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 Files\blp\data\"/>
    </mc:Choice>
  </mc:AlternateContent>
  <bookViews>
    <workbookView xWindow="10395" yWindow="-105" windowWidth="14850" windowHeight="12735"/>
  </bookViews>
  <sheets>
    <sheet name="BIData" sheetId="2" r:id="rId1"/>
    <sheet name="ReferenceData" sheetId="3" r:id="rId2"/>
    <sheet name="Help-Reference" sheetId="4" r:id="rId3"/>
  </sheets>
  <calcPr calcId="162913"/>
</workbook>
</file>

<file path=xl/calcChain.xml><?xml version="1.0" encoding="utf-8"?>
<calcChain xmlns="http://schemas.openxmlformats.org/spreadsheetml/2006/main">
  <c r="DU1347" i="3" l="1"/>
  <c r="DT1347" i="3"/>
  <c r="DS1347" i="3"/>
  <c r="DR1347" i="3"/>
  <c r="DQ1347" i="3"/>
  <c r="DP1347" i="3"/>
  <c r="DO1347" i="3"/>
  <c r="DN1347" i="3"/>
  <c r="DM1347" i="3"/>
  <c r="DL1347" i="3"/>
  <c r="DK1347" i="3"/>
  <c r="DJ1347" i="3"/>
  <c r="DI1347" i="3"/>
  <c r="DH1347" i="3"/>
  <c r="DG1347" i="3"/>
  <c r="DF1347" i="3"/>
  <c r="DE1347" i="3"/>
  <c r="DD1347" i="3"/>
  <c r="DC1347" i="3"/>
  <c r="DB1347" i="3"/>
  <c r="DA1347" i="3"/>
  <c r="CZ1347" i="3"/>
  <c r="CY1347" i="3"/>
  <c r="CX1347" i="3"/>
  <c r="CW1347" i="3"/>
  <c r="CV1347" i="3"/>
  <c r="CU1347" i="3"/>
  <c r="CT1347" i="3"/>
  <c r="CS1347" i="3"/>
  <c r="CR1347" i="3"/>
  <c r="CQ1347" i="3"/>
  <c r="CP1347" i="3"/>
  <c r="CO1347" i="3"/>
  <c r="CN1347" i="3"/>
  <c r="CM1347" i="3"/>
  <c r="CL1347" i="3"/>
  <c r="CK1347" i="3"/>
  <c r="CJ1347" i="3"/>
  <c r="CI1347" i="3"/>
  <c r="CH1347" i="3"/>
  <c r="CG1347" i="3"/>
  <c r="CF1347" i="3"/>
  <c r="CE1347" i="3"/>
  <c r="CD1347" i="3"/>
  <c r="CC1347" i="3"/>
  <c r="CB1347" i="3"/>
  <c r="CA1347" i="3"/>
  <c r="BZ1347" i="3"/>
  <c r="BY1347" i="3"/>
  <c r="BX1347" i="3"/>
  <c r="BW1347" i="3"/>
  <c r="BV1347" i="3"/>
  <c r="BU1347" i="3"/>
  <c r="BT1347" i="3"/>
  <c r="BS1347" i="3"/>
  <c r="BR1347" i="3"/>
  <c r="BQ1347" i="3"/>
  <c r="BP1347" i="3"/>
  <c r="BO1347" i="3"/>
  <c r="BN1347" i="3"/>
  <c r="E1347" i="3"/>
  <c r="D1347" i="3"/>
  <c r="C1347" i="3"/>
  <c r="B1347" i="3"/>
  <c r="A1347" i="3"/>
  <c r="DU1346" i="3"/>
  <c r="DT1346" i="3"/>
  <c r="DS1346" i="3"/>
  <c r="DR1346" i="3"/>
  <c r="DQ1346" i="3"/>
  <c r="DP1346" i="3"/>
  <c r="DO1346" i="3"/>
  <c r="DN1346" i="3"/>
  <c r="DM1346" i="3"/>
  <c r="DL1346" i="3"/>
  <c r="DK1346" i="3"/>
  <c r="DJ1346" i="3"/>
  <c r="DI1346" i="3"/>
  <c r="DH1346" i="3"/>
  <c r="DG1346" i="3"/>
  <c r="DF1346" i="3"/>
  <c r="DE1346" i="3"/>
  <c r="DD1346" i="3"/>
  <c r="DC1346" i="3"/>
  <c r="DB1346" i="3"/>
  <c r="DA1346" i="3"/>
  <c r="CZ1346" i="3"/>
  <c r="CY1346" i="3"/>
  <c r="CX1346" i="3"/>
  <c r="CW1346" i="3"/>
  <c r="CV1346" i="3"/>
  <c r="CU1346" i="3"/>
  <c r="CT1346" i="3"/>
  <c r="CS1346" i="3"/>
  <c r="CR1346" i="3"/>
  <c r="CQ1346" i="3"/>
  <c r="CP1346" i="3"/>
  <c r="CO1346" i="3"/>
  <c r="CN1346" i="3"/>
  <c r="CM1346" i="3"/>
  <c r="CL1346" i="3"/>
  <c r="CK1346" i="3"/>
  <c r="CJ1346" i="3"/>
  <c r="CI1346" i="3"/>
  <c r="CH1346" i="3"/>
  <c r="CG1346" i="3"/>
  <c r="CF1346" i="3"/>
  <c r="CE1346" i="3"/>
  <c r="CD1346" i="3"/>
  <c r="CC1346" i="3"/>
  <c r="CB1346" i="3"/>
  <c r="CA1346" i="3"/>
  <c r="BZ1346" i="3"/>
  <c r="BY1346" i="3"/>
  <c r="BX1346" i="3"/>
  <c r="BW1346" i="3"/>
  <c r="BV1346" i="3"/>
  <c r="BU1346" i="3"/>
  <c r="BT1346" i="3"/>
  <c r="BS1346" i="3"/>
  <c r="BR1346" i="3"/>
  <c r="BQ1346" i="3"/>
  <c r="BP1346" i="3"/>
  <c r="BO1346" i="3"/>
  <c r="BN1346" i="3"/>
  <c r="A1346" i="3"/>
  <c r="DU1345" i="3"/>
  <c r="DT1345" i="3"/>
  <c r="DS1345" i="3"/>
  <c r="DR1345" i="3"/>
  <c r="DQ1345" i="3"/>
  <c r="DP1345" i="3"/>
  <c r="DO1345" i="3"/>
  <c r="DN1345" i="3"/>
  <c r="DM1345" i="3"/>
  <c r="DL1345" i="3"/>
  <c r="DK1345" i="3"/>
  <c r="DJ1345" i="3"/>
  <c r="DI1345" i="3"/>
  <c r="DH1345" i="3"/>
  <c r="DG1345" i="3"/>
  <c r="DF1345" i="3"/>
  <c r="DE1345" i="3"/>
  <c r="DD1345" i="3"/>
  <c r="DC1345" i="3"/>
  <c r="DB1345" i="3"/>
  <c r="DA1345" i="3"/>
  <c r="CZ1345" i="3"/>
  <c r="CY1345" i="3"/>
  <c r="CX1345" i="3"/>
  <c r="CW1345" i="3"/>
  <c r="CV1345" i="3"/>
  <c r="CU1345" i="3"/>
  <c r="CT1345" i="3"/>
  <c r="CS1345" i="3"/>
  <c r="CR1345" i="3"/>
  <c r="CQ1345" i="3"/>
  <c r="CP1345" i="3"/>
  <c r="CO1345" i="3"/>
  <c r="CN1345" i="3"/>
  <c r="CM1345" i="3"/>
  <c r="CL1345" i="3"/>
  <c r="CK1345" i="3"/>
  <c r="CJ1345" i="3"/>
  <c r="CI1345" i="3"/>
  <c r="CH1345" i="3"/>
  <c r="CG1345" i="3"/>
  <c r="CF1345" i="3"/>
  <c r="CE1345" i="3"/>
  <c r="CD1345" i="3"/>
  <c r="CC1345" i="3"/>
  <c r="CB1345" i="3"/>
  <c r="CA1345" i="3"/>
  <c r="BZ1345" i="3"/>
  <c r="BY1345" i="3"/>
  <c r="BX1345" i="3"/>
  <c r="BW1345" i="3"/>
  <c r="BV1345" i="3"/>
  <c r="BU1345" i="3"/>
  <c r="BT1345" i="3"/>
  <c r="BS1345" i="3"/>
  <c r="BR1345" i="3"/>
  <c r="BQ1345" i="3"/>
  <c r="BP1345" i="3"/>
  <c r="BO1345" i="3"/>
  <c r="BN1345" i="3"/>
  <c r="A1345" i="3"/>
  <c r="DU1344" i="3"/>
  <c r="DT1344" i="3"/>
  <c r="DS1344" i="3"/>
  <c r="DR1344" i="3"/>
  <c r="DQ1344" i="3"/>
  <c r="DP1344" i="3"/>
  <c r="DO1344" i="3"/>
  <c r="DN1344" i="3"/>
  <c r="DM1344" i="3"/>
  <c r="DL1344" i="3"/>
  <c r="DK1344" i="3"/>
  <c r="DJ1344" i="3"/>
  <c r="DI1344" i="3"/>
  <c r="DH1344" i="3"/>
  <c r="DG1344" i="3"/>
  <c r="DF1344" i="3"/>
  <c r="DE1344" i="3"/>
  <c r="DD1344" i="3"/>
  <c r="DC1344" i="3"/>
  <c r="DB1344" i="3"/>
  <c r="DA1344" i="3"/>
  <c r="CZ1344" i="3"/>
  <c r="CY1344" i="3"/>
  <c r="CX1344" i="3"/>
  <c r="CW1344" i="3"/>
  <c r="CV1344" i="3"/>
  <c r="CU1344" i="3"/>
  <c r="CT1344" i="3"/>
  <c r="CS1344" i="3"/>
  <c r="CR1344" i="3"/>
  <c r="CQ1344" i="3"/>
  <c r="CP1344" i="3"/>
  <c r="CO1344" i="3"/>
  <c r="CN1344" i="3"/>
  <c r="CM1344" i="3"/>
  <c r="CL1344" i="3"/>
  <c r="CK1344" i="3"/>
  <c r="CJ1344" i="3"/>
  <c r="CI1344" i="3"/>
  <c r="CH1344" i="3"/>
  <c r="CG1344" i="3"/>
  <c r="CF1344" i="3"/>
  <c r="CE1344" i="3"/>
  <c r="CD1344" i="3"/>
  <c r="CC1344" i="3"/>
  <c r="CB1344" i="3"/>
  <c r="CA1344" i="3"/>
  <c r="BZ1344" i="3"/>
  <c r="BY1344" i="3"/>
  <c r="BX1344" i="3"/>
  <c r="BW1344" i="3"/>
  <c r="BV1344" i="3"/>
  <c r="BU1344" i="3"/>
  <c r="BT1344" i="3"/>
  <c r="BS1344" i="3"/>
  <c r="BR1344" i="3"/>
  <c r="BQ1344" i="3"/>
  <c r="BP1344" i="3"/>
  <c r="BO1344" i="3"/>
  <c r="BN1344" i="3"/>
  <c r="A1344" i="3"/>
  <c r="DU1343" i="3"/>
  <c r="DT1343" i="3"/>
  <c r="DS1343" i="3"/>
  <c r="DR1343" i="3"/>
  <c r="DQ1343" i="3"/>
  <c r="DP1343" i="3"/>
  <c r="DO1343" i="3"/>
  <c r="DN1343" i="3"/>
  <c r="DM1343" i="3"/>
  <c r="DL1343" i="3"/>
  <c r="DK1343" i="3"/>
  <c r="DJ1343" i="3"/>
  <c r="DI1343" i="3"/>
  <c r="DH1343" i="3"/>
  <c r="DG1343" i="3"/>
  <c r="DF1343" i="3"/>
  <c r="DE1343" i="3"/>
  <c r="DD1343" i="3"/>
  <c r="DC1343" i="3"/>
  <c r="DB1343" i="3"/>
  <c r="DA1343" i="3"/>
  <c r="CZ1343" i="3"/>
  <c r="CY1343" i="3"/>
  <c r="CX1343" i="3"/>
  <c r="CW1343" i="3"/>
  <c r="CV1343" i="3"/>
  <c r="CU1343" i="3"/>
  <c r="CT1343" i="3"/>
  <c r="CS1343" i="3"/>
  <c r="CR1343" i="3"/>
  <c r="CQ1343" i="3"/>
  <c r="CP1343" i="3"/>
  <c r="CO1343" i="3"/>
  <c r="CN1343" i="3"/>
  <c r="CM1343" i="3"/>
  <c r="CL1343" i="3"/>
  <c r="CK1343" i="3"/>
  <c r="CJ1343" i="3"/>
  <c r="CI1343" i="3"/>
  <c r="CH1343" i="3"/>
  <c r="CG1343" i="3"/>
  <c r="CF1343" i="3"/>
  <c r="CE1343" i="3"/>
  <c r="CD1343" i="3"/>
  <c r="CC1343" i="3"/>
  <c r="CB1343" i="3"/>
  <c r="CA1343" i="3"/>
  <c r="BZ1343" i="3"/>
  <c r="BY1343" i="3"/>
  <c r="BX1343" i="3"/>
  <c r="BW1343" i="3"/>
  <c r="BV1343" i="3"/>
  <c r="BU1343" i="3"/>
  <c r="BT1343" i="3"/>
  <c r="BS1343" i="3"/>
  <c r="BR1343" i="3"/>
  <c r="BQ1343" i="3"/>
  <c r="BP1343" i="3"/>
  <c r="BO1343" i="3"/>
  <c r="BN1343" i="3"/>
  <c r="A1343" i="3"/>
  <c r="DU1342" i="3"/>
  <c r="DT1342" i="3"/>
  <c r="DS1342" i="3"/>
  <c r="DR1342" i="3"/>
  <c r="DQ1342" i="3"/>
  <c r="DP1342" i="3"/>
  <c r="DO1342" i="3"/>
  <c r="DN1342" i="3"/>
  <c r="DM1342" i="3"/>
  <c r="DL1342" i="3"/>
  <c r="DK1342" i="3"/>
  <c r="DJ1342" i="3"/>
  <c r="DI1342" i="3"/>
  <c r="DH1342" i="3"/>
  <c r="DG1342" i="3"/>
  <c r="DF1342" i="3"/>
  <c r="DE1342" i="3"/>
  <c r="DD1342" i="3"/>
  <c r="DC1342" i="3"/>
  <c r="DB1342" i="3"/>
  <c r="DA1342" i="3"/>
  <c r="CZ1342" i="3"/>
  <c r="CY1342" i="3"/>
  <c r="CX1342" i="3"/>
  <c r="CW1342" i="3"/>
  <c r="CV1342" i="3"/>
  <c r="CU1342" i="3"/>
  <c r="CT1342" i="3"/>
  <c r="CS1342" i="3"/>
  <c r="CR1342" i="3"/>
  <c r="CQ1342" i="3"/>
  <c r="CP1342" i="3"/>
  <c r="CO1342" i="3"/>
  <c r="CN1342" i="3"/>
  <c r="CM1342" i="3"/>
  <c r="CL1342" i="3"/>
  <c r="CK1342" i="3"/>
  <c r="CJ1342" i="3"/>
  <c r="CI1342" i="3"/>
  <c r="CH1342" i="3"/>
  <c r="CG1342" i="3"/>
  <c r="CF1342" i="3"/>
  <c r="CE1342" i="3"/>
  <c r="CD1342" i="3"/>
  <c r="CC1342" i="3"/>
  <c r="CB1342" i="3"/>
  <c r="CA1342" i="3"/>
  <c r="BZ1342" i="3"/>
  <c r="BY1342" i="3"/>
  <c r="BX1342" i="3"/>
  <c r="BW1342" i="3"/>
  <c r="BV1342" i="3"/>
  <c r="BU1342" i="3"/>
  <c r="BT1342" i="3"/>
  <c r="BS1342" i="3"/>
  <c r="BR1342" i="3"/>
  <c r="BQ1342" i="3"/>
  <c r="BP1342" i="3"/>
  <c r="BO1342" i="3"/>
  <c r="BN1342" i="3"/>
  <c r="A1342" i="3"/>
  <c r="DU1341" i="3"/>
  <c r="DT1341" i="3"/>
  <c r="DS1341" i="3"/>
  <c r="DR1341" i="3"/>
  <c r="DQ1341" i="3"/>
  <c r="DP1341" i="3"/>
  <c r="DO1341" i="3"/>
  <c r="DN1341" i="3"/>
  <c r="DM1341" i="3"/>
  <c r="DL1341" i="3"/>
  <c r="DK1341" i="3"/>
  <c r="DJ1341" i="3"/>
  <c r="DI1341" i="3"/>
  <c r="DH1341" i="3"/>
  <c r="DG1341" i="3"/>
  <c r="DF1341" i="3"/>
  <c r="DE1341" i="3"/>
  <c r="DD1341" i="3"/>
  <c r="DC1341" i="3"/>
  <c r="DB1341" i="3"/>
  <c r="DA1341" i="3"/>
  <c r="CZ1341" i="3"/>
  <c r="CY1341" i="3"/>
  <c r="CX1341" i="3"/>
  <c r="CW1341" i="3"/>
  <c r="CV1341" i="3"/>
  <c r="CU1341" i="3"/>
  <c r="CT1341" i="3"/>
  <c r="CS1341" i="3"/>
  <c r="CR1341" i="3"/>
  <c r="CQ1341" i="3"/>
  <c r="CP1341" i="3"/>
  <c r="CO1341" i="3"/>
  <c r="CN1341" i="3"/>
  <c r="CM1341" i="3"/>
  <c r="CL1341" i="3"/>
  <c r="CK1341" i="3"/>
  <c r="CJ1341" i="3"/>
  <c r="CI1341" i="3"/>
  <c r="CH1341" i="3"/>
  <c r="CG1341" i="3"/>
  <c r="CF1341" i="3"/>
  <c r="CE1341" i="3"/>
  <c r="CD1341" i="3"/>
  <c r="CC1341" i="3"/>
  <c r="CB1341" i="3"/>
  <c r="CA1341" i="3"/>
  <c r="BZ1341" i="3"/>
  <c r="BY1341" i="3"/>
  <c r="BX1341" i="3"/>
  <c r="BW1341" i="3"/>
  <c r="BV1341" i="3"/>
  <c r="BU1341" i="3"/>
  <c r="BT1341" i="3"/>
  <c r="BS1341" i="3"/>
  <c r="BR1341" i="3"/>
  <c r="BQ1341" i="3"/>
  <c r="BP1341" i="3"/>
  <c r="BO1341" i="3"/>
  <c r="BN1341" i="3"/>
  <c r="A1341" i="3"/>
  <c r="DU1340" i="3"/>
  <c r="DT1340" i="3"/>
  <c r="DS1340" i="3"/>
  <c r="DR1340" i="3"/>
  <c r="DQ1340" i="3"/>
  <c r="DP1340" i="3"/>
  <c r="DO1340" i="3"/>
  <c r="DN1340" i="3"/>
  <c r="DM1340" i="3"/>
  <c r="DL1340" i="3"/>
  <c r="DK1340" i="3"/>
  <c r="DJ1340" i="3"/>
  <c r="DI1340" i="3"/>
  <c r="DH1340" i="3"/>
  <c r="DG1340" i="3"/>
  <c r="DF1340" i="3"/>
  <c r="DE1340" i="3"/>
  <c r="DD1340" i="3"/>
  <c r="DC1340" i="3"/>
  <c r="DB1340" i="3"/>
  <c r="DA1340" i="3"/>
  <c r="CZ1340" i="3"/>
  <c r="CY1340" i="3"/>
  <c r="CX1340" i="3"/>
  <c r="CW1340" i="3"/>
  <c r="CV1340" i="3"/>
  <c r="CU1340" i="3"/>
  <c r="CT1340" i="3"/>
  <c r="CS1340" i="3"/>
  <c r="CR1340" i="3"/>
  <c r="CQ1340" i="3"/>
  <c r="CP1340" i="3"/>
  <c r="CO1340" i="3"/>
  <c r="CN1340" i="3"/>
  <c r="CM1340" i="3"/>
  <c r="CL1340" i="3"/>
  <c r="CK1340" i="3"/>
  <c r="CJ1340" i="3"/>
  <c r="CI1340" i="3"/>
  <c r="CH1340" i="3"/>
  <c r="CG1340" i="3"/>
  <c r="CF1340" i="3"/>
  <c r="CE1340" i="3"/>
  <c r="CD1340" i="3"/>
  <c r="CC1340" i="3"/>
  <c r="CB1340" i="3"/>
  <c r="CA1340" i="3"/>
  <c r="BZ1340" i="3"/>
  <c r="BY1340" i="3"/>
  <c r="BX1340" i="3"/>
  <c r="BW1340" i="3"/>
  <c r="BV1340" i="3"/>
  <c r="BU1340" i="3"/>
  <c r="BT1340" i="3"/>
  <c r="BS1340" i="3"/>
  <c r="BR1340" i="3"/>
  <c r="BQ1340" i="3"/>
  <c r="BP1340" i="3"/>
  <c r="BO1340" i="3"/>
  <c r="BN1340" i="3"/>
  <c r="A1340" i="3"/>
  <c r="DU1339" i="3"/>
  <c r="DT1339" i="3"/>
  <c r="DS1339" i="3"/>
  <c r="DR1339" i="3"/>
  <c r="DQ1339" i="3"/>
  <c r="DP1339" i="3"/>
  <c r="DO1339" i="3"/>
  <c r="DN1339" i="3"/>
  <c r="DM1339" i="3"/>
  <c r="DL1339" i="3"/>
  <c r="DK1339" i="3"/>
  <c r="DJ1339" i="3"/>
  <c r="DI1339" i="3"/>
  <c r="DH1339" i="3"/>
  <c r="DG1339" i="3"/>
  <c r="DF1339" i="3"/>
  <c r="DE1339" i="3"/>
  <c r="DD1339" i="3"/>
  <c r="DC1339" i="3"/>
  <c r="DB1339" i="3"/>
  <c r="DA1339" i="3"/>
  <c r="CZ1339" i="3"/>
  <c r="CY1339" i="3"/>
  <c r="CX1339" i="3"/>
  <c r="CW1339" i="3"/>
  <c r="CV1339" i="3"/>
  <c r="CU1339" i="3"/>
  <c r="CT1339" i="3"/>
  <c r="CS1339" i="3"/>
  <c r="CR1339" i="3"/>
  <c r="CQ1339" i="3"/>
  <c r="CP1339" i="3"/>
  <c r="CO1339" i="3"/>
  <c r="CN1339" i="3"/>
  <c r="CM1339" i="3"/>
  <c r="CL1339" i="3"/>
  <c r="CK1339" i="3"/>
  <c r="CJ1339" i="3"/>
  <c r="CI1339" i="3"/>
  <c r="CH1339" i="3"/>
  <c r="CG1339" i="3"/>
  <c r="CF1339" i="3"/>
  <c r="CE1339" i="3"/>
  <c r="CD1339" i="3"/>
  <c r="CC1339" i="3"/>
  <c r="CB1339" i="3"/>
  <c r="CA1339" i="3"/>
  <c r="BZ1339" i="3"/>
  <c r="BY1339" i="3"/>
  <c r="BX1339" i="3"/>
  <c r="BW1339" i="3"/>
  <c r="BV1339" i="3"/>
  <c r="BU1339" i="3"/>
  <c r="BT1339" i="3"/>
  <c r="BS1339" i="3"/>
  <c r="BR1339" i="3"/>
  <c r="BQ1339" i="3"/>
  <c r="BP1339" i="3"/>
  <c r="BO1339" i="3"/>
  <c r="BN1339" i="3"/>
  <c r="A1339" i="3"/>
  <c r="DU1338" i="3"/>
  <c r="DT1338" i="3"/>
  <c r="DS1338" i="3"/>
  <c r="DR1338" i="3"/>
  <c r="DQ1338" i="3"/>
  <c r="DP1338" i="3"/>
  <c r="DO1338" i="3"/>
  <c r="DN1338" i="3"/>
  <c r="DM1338" i="3"/>
  <c r="DL1338" i="3"/>
  <c r="DK1338" i="3"/>
  <c r="DJ1338" i="3"/>
  <c r="DI1338" i="3"/>
  <c r="DH1338" i="3"/>
  <c r="DG1338" i="3"/>
  <c r="DF1338" i="3"/>
  <c r="DE1338" i="3"/>
  <c r="DD1338" i="3"/>
  <c r="DC1338" i="3"/>
  <c r="DB1338" i="3"/>
  <c r="DA1338" i="3"/>
  <c r="CZ1338" i="3"/>
  <c r="CY1338" i="3"/>
  <c r="CX1338" i="3"/>
  <c r="CW1338" i="3"/>
  <c r="CV1338" i="3"/>
  <c r="CU1338" i="3"/>
  <c r="CT1338" i="3"/>
  <c r="CS1338" i="3"/>
  <c r="CR1338" i="3"/>
  <c r="CQ1338" i="3"/>
  <c r="CP1338" i="3"/>
  <c r="CO1338" i="3"/>
  <c r="CN1338" i="3"/>
  <c r="CM1338" i="3"/>
  <c r="CL1338" i="3"/>
  <c r="CK1338" i="3"/>
  <c r="CJ1338" i="3"/>
  <c r="CI1338" i="3"/>
  <c r="CH1338" i="3"/>
  <c r="CG1338" i="3"/>
  <c r="CF1338" i="3"/>
  <c r="CE1338" i="3"/>
  <c r="CD1338" i="3"/>
  <c r="CC1338" i="3"/>
  <c r="CB1338" i="3"/>
  <c r="CA1338" i="3"/>
  <c r="BZ1338" i="3"/>
  <c r="BY1338" i="3"/>
  <c r="BX1338" i="3"/>
  <c r="BW1338" i="3"/>
  <c r="BV1338" i="3"/>
  <c r="BU1338" i="3"/>
  <c r="BT1338" i="3"/>
  <c r="BS1338" i="3"/>
  <c r="BR1338" i="3"/>
  <c r="BQ1338" i="3"/>
  <c r="BP1338" i="3"/>
  <c r="BO1338" i="3"/>
  <c r="BN1338" i="3"/>
  <c r="A1338" i="3"/>
  <c r="DU1337" i="3"/>
  <c r="DT1337" i="3"/>
  <c r="DS1337" i="3"/>
  <c r="DR1337" i="3"/>
  <c r="DQ1337" i="3"/>
  <c r="DP1337" i="3"/>
  <c r="DO1337" i="3"/>
  <c r="DN1337" i="3"/>
  <c r="DM1337" i="3"/>
  <c r="DL1337" i="3"/>
  <c r="DK1337" i="3"/>
  <c r="DJ1337" i="3"/>
  <c r="DI1337" i="3"/>
  <c r="DH1337" i="3"/>
  <c r="DG1337" i="3"/>
  <c r="DF1337" i="3"/>
  <c r="DE1337" i="3"/>
  <c r="DD1337" i="3"/>
  <c r="DC1337" i="3"/>
  <c r="DB1337" i="3"/>
  <c r="DA1337" i="3"/>
  <c r="CZ1337" i="3"/>
  <c r="CY1337" i="3"/>
  <c r="CX1337" i="3"/>
  <c r="CW1337" i="3"/>
  <c r="CV1337" i="3"/>
  <c r="CU1337" i="3"/>
  <c r="CT1337" i="3"/>
  <c r="CS1337" i="3"/>
  <c r="CR1337" i="3"/>
  <c r="CQ1337" i="3"/>
  <c r="CP1337" i="3"/>
  <c r="CO1337" i="3"/>
  <c r="CN1337" i="3"/>
  <c r="CM1337" i="3"/>
  <c r="CL1337" i="3"/>
  <c r="CK1337" i="3"/>
  <c r="CJ1337" i="3"/>
  <c r="CI1337" i="3"/>
  <c r="CH1337" i="3"/>
  <c r="CG1337" i="3"/>
  <c r="CF1337" i="3"/>
  <c r="CE1337" i="3"/>
  <c r="CD1337" i="3"/>
  <c r="CC1337" i="3"/>
  <c r="CB1337" i="3"/>
  <c r="CA1337" i="3"/>
  <c r="BZ1337" i="3"/>
  <c r="BY1337" i="3"/>
  <c r="BX1337" i="3"/>
  <c r="BW1337" i="3"/>
  <c r="BV1337" i="3"/>
  <c r="BU1337" i="3"/>
  <c r="BT1337" i="3"/>
  <c r="BS1337" i="3"/>
  <c r="BR1337" i="3"/>
  <c r="BQ1337" i="3"/>
  <c r="BP1337" i="3"/>
  <c r="BO1337" i="3"/>
  <c r="BN1337" i="3"/>
  <c r="A1337" i="3"/>
  <c r="DU1336" i="3"/>
  <c r="DT1336" i="3"/>
  <c r="DS1336" i="3"/>
  <c r="DR1336" i="3"/>
  <c r="DQ1336" i="3"/>
  <c r="DP1336" i="3"/>
  <c r="DO1336" i="3"/>
  <c r="DN1336" i="3"/>
  <c r="DM1336" i="3"/>
  <c r="DL1336" i="3"/>
  <c r="DK1336" i="3"/>
  <c r="DJ1336" i="3"/>
  <c r="DI1336" i="3"/>
  <c r="DH1336" i="3"/>
  <c r="DG1336" i="3"/>
  <c r="DF1336" i="3"/>
  <c r="DE1336" i="3"/>
  <c r="DD1336" i="3"/>
  <c r="DC1336" i="3"/>
  <c r="DB1336" i="3"/>
  <c r="DA1336" i="3"/>
  <c r="CZ1336" i="3"/>
  <c r="CY1336" i="3"/>
  <c r="CX1336" i="3"/>
  <c r="CW1336" i="3"/>
  <c r="CV1336" i="3"/>
  <c r="CU1336" i="3"/>
  <c r="CT1336" i="3"/>
  <c r="CS1336" i="3"/>
  <c r="CR1336" i="3"/>
  <c r="CQ1336" i="3"/>
  <c r="CP1336" i="3"/>
  <c r="CO1336" i="3"/>
  <c r="CN1336" i="3"/>
  <c r="CM1336" i="3"/>
  <c r="CL1336" i="3"/>
  <c r="CK1336" i="3"/>
  <c r="CJ1336" i="3"/>
  <c r="CI1336" i="3"/>
  <c r="CH1336" i="3"/>
  <c r="CG1336" i="3"/>
  <c r="CF1336" i="3"/>
  <c r="CE1336" i="3"/>
  <c r="CD1336" i="3"/>
  <c r="CC1336" i="3"/>
  <c r="CB1336" i="3"/>
  <c r="CA1336" i="3"/>
  <c r="BZ1336" i="3"/>
  <c r="BY1336" i="3"/>
  <c r="BX1336" i="3"/>
  <c r="BW1336" i="3"/>
  <c r="BV1336" i="3"/>
  <c r="BU1336" i="3"/>
  <c r="BT1336" i="3"/>
  <c r="BS1336" i="3"/>
  <c r="BR1336" i="3"/>
  <c r="BQ1336" i="3"/>
  <c r="BP1336" i="3"/>
  <c r="BO1336" i="3"/>
  <c r="BN1336" i="3"/>
  <c r="A1336" i="3"/>
  <c r="DU1335" i="3"/>
  <c r="DT1335" i="3"/>
  <c r="DS1335" i="3"/>
  <c r="DR1335" i="3"/>
  <c r="DQ1335" i="3"/>
  <c r="DP1335" i="3"/>
  <c r="DO1335" i="3"/>
  <c r="DN1335" i="3"/>
  <c r="DM1335" i="3"/>
  <c r="DL1335" i="3"/>
  <c r="DK1335" i="3"/>
  <c r="DJ1335" i="3"/>
  <c r="DI1335" i="3"/>
  <c r="DH1335" i="3"/>
  <c r="DG1335" i="3"/>
  <c r="DF1335" i="3"/>
  <c r="DE1335" i="3"/>
  <c r="DD1335" i="3"/>
  <c r="DC1335" i="3"/>
  <c r="DB1335" i="3"/>
  <c r="DA1335" i="3"/>
  <c r="CZ1335" i="3"/>
  <c r="CY1335" i="3"/>
  <c r="CX1335" i="3"/>
  <c r="CW1335" i="3"/>
  <c r="CV1335" i="3"/>
  <c r="CU1335" i="3"/>
  <c r="CT1335" i="3"/>
  <c r="CS1335" i="3"/>
  <c r="CR1335" i="3"/>
  <c r="CQ1335" i="3"/>
  <c r="CP1335" i="3"/>
  <c r="CO1335" i="3"/>
  <c r="CN1335" i="3"/>
  <c r="CM1335" i="3"/>
  <c r="CL1335" i="3"/>
  <c r="CK1335" i="3"/>
  <c r="CJ1335" i="3"/>
  <c r="CI1335" i="3"/>
  <c r="CH1335" i="3"/>
  <c r="CG1335" i="3"/>
  <c r="CF1335" i="3"/>
  <c r="CE1335" i="3"/>
  <c r="CD1335" i="3"/>
  <c r="CC1335" i="3"/>
  <c r="CB1335" i="3"/>
  <c r="CA1335" i="3"/>
  <c r="BZ1335" i="3"/>
  <c r="BY1335" i="3"/>
  <c r="BX1335" i="3"/>
  <c r="BW1335" i="3"/>
  <c r="BV1335" i="3"/>
  <c r="BU1335" i="3"/>
  <c r="BT1335" i="3"/>
  <c r="BS1335" i="3"/>
  <c r="BR1335" i="3"/>
  <c r="BQ1335" i="3"/>
  <c r="BP1335" i="3"/>
  <c r="BO1335" i="3"/>
  <c r="BN1335" i="3"/>
  <c r="A1335" i="3"/>
  <c r="DU1334" i="3"/>
  <c r="DT1334" i="3"/>
  <c r="DS1334" i="3"/>
  <c r="DR1334" i="3"/>
  <c r="DQ1334" i="3"/>
  <c r="DP1334" i="3"/>
  <c r="DO1334" i="3"/>
  <c r="DN1334" i="3"/>
  <c r="DM1334" i="3"/>
  <c r="DL1334" i="3"/>
  <c r="DK1334" i="3"/>
  <c r="DJ1334" i="3"/>
  <c r="DI1334" i="3"/>
  <c r="DH1334" i="3"/>
  <c r="DG1334" i="3"/>
  <c r="DF1334" i="3"/>
  <c r="DE1334" i="3"/>
  <c r="DD1334" i="3"/>
  <c r="DC1334" i="3"/>
  <c r="DB1334" i="3"/>
  <c r="DA1334" i="3"/>
  <c r="CZ1334" i="3"/>
  <c r="CY1334" i="3"/>
  <c r="CX1334" i="3"/>
  <c r="CW1334" i="3"/>
  <c r="CV1334" i="3"/>
  <c r="CU1334" i="3"/>
  <c r="CT1334" i="3"/>
  <c r="CS1334" i="3"/>
  <c r="CR1334" i="3"/>
  <c r="CQ1334" i="3"/>
  <c r="CP1334" i="3"/>
  <c r="CO1334" i="3"/>
  <c r="CN1334" i="3"/>
  <c r="CM1334" i="3"/>
  <c r="CL1334" i="3"/>
  <c r="CK1334" i="3"/>
  <c r="CJ1334" i="3"/>
  <c r="CI1334" i="3"/>
  <c r="CH1334" i="3"/>
  <c r="CG1334" i="3"/>
  <c r="CF1334" i="3"/>
  <c r="CE1334" i="3"/>
  <c r="CD1334" i="3"/>
  <c r="CC1334" i="3"/>
  <c r="CB1334" i="3"/>
  <c r="CA1334" i="3"/>
  <c r="BZ1334" i="3"/>
  <c r="BY1334" i="3"/>
  <c r="BX1334" i="3"/>
  <c r="BW1334" i="3"/>
  <c r="BV1334" i="3"/>
  <c r="BU1334" i="3"/>
  <c r="BT1334" i="3"/>
  <c r="BS1334" i="3"/>
  <c r="BR1334" i="3"/>
  <c r="BQ1334" i="3"/>
  <c r="BP1334" i="3"/>
  <c r="BO1334" i="3"/>
  <c r="BN1334" i="3"/>
  <c r="A1334" i="3"/>
  <c r="DU1333" i="3"/>
  <c r="DT1333" i="3"/>
  <c r="DS1333" i="3"/>
  <c r="DR1333" i="3"/>
  <c r="DQ1333" i="3"/>
  <c r="DP1333" i="3"/>
  <c r="DO1333" i="3"/>
  <c r="DN1333" i="3"/>
  <c r="DM1333" i="3"/>
  <c r="DL1333" i="3"/>
  <c r="DK1333" i="3"/>
  <c r="DJ1333" i="3"/>
  <c r="DI1333" i="3"/>
  <c r="DH1333" i="3"/>
  <c r="DG1333" i="3"/>
  <c r="DF1333" i="3"/>
  <c r="DE1333" i="3"/>
  <c r="DD1333" i="3"/>
  <c r="DC1333" i="3"/>
  <c r="DB1333" i="3"/>
  <c r="DA1333" i="3"/>
  <c r="CZ1333" i="3"/>
  <c r="CY1333" i="3"/>
  <c r="CX1333" i="3"/>
  <c r="CW1333" i="3"/>
  <c r="CV1333" i="3"/>
  <c r="CU1333" i="3"/>
  <c r="CT1333" i="3"/>
  <c r="CS1333" i="3"/>
  <c r="CR1333" i="3"/>
  <c r="CQ1333" i="3"/>
  <c r="CP1333" i="3"/>
  <c r="CO1333" i="3"/>
  <c r="CN1333" i="3"/>
  <c r="CM1333" i="3"/>
  <c r="CL1333" i="3"/>
  <c r="CK1333" i="3"/>
  <c r="CJ1333" i="3"/>
  <c r="CI1333" i="3"/>
  <c r="CH1333" i="3"/>
  <c r="CG1333" i="3"/>
  <c r="CF1333" i="3"/>
  <c r="CE1333" i="3"/>
  <c r="CD1333" i="3"/>
  <c r="CC1333" i="3"/>
  <c r="CB1333" i="3"/>
  <c r="CA1333" i="3"/>
  <c r="BZ1333" i="3"/>
  <c r="BY1333" i="3"/>
  <c r="BX1333" i="3"/>
  <c r="BW1333" i="3"/>
  <c r="BV1333" i="3"/>
  <c r="BU1333" i="3"/>
  <c r="BT1333" i="3"/>
  <c r="BS1333" i="3"/>
  <c r="BR1333" i="3"/>
  <c r="BQ1333" i="3"/>
  <c r="BP1333" i="3"/>
  <c r="BO1333" i="3"/>
  <c r="BN1333" i="3"/>
  <c r="A1333" i="3"/>
  <c r="DU1332" i="3"/>
  <c r="DT1332" i="3"/>
  <c r="DS1332" i="3"/>
  <c r="DR1332" i="3"/>
  <c r="DQ1332" i="3"/>
  <c r="DP1332" i="3"/>
  <c r="DO1332" i="3"/>
  <c r="DN1332" i="3"/>
  <c r="DM1332" i="3"/>
  <c r="DL1332" i="3"/>
  <c r="DK1332" i="3"/>
  <c r="DJ1332" i="3"/>
  <c r="DI1332" i="3"/>
  <c r="DH1332" i="3"/>
  <c r="DG1332" i="3"/>
  <c r="DF1332" i="3"/>
  <c r="DE1332" i="3"/>
  <c r="DD1332" i="3"/>
  <c r="DC1332" i="3"/>
  <c r="DB1332" i="3"/>
  <c r="DA1332" i="3"/>
  <c r="CZ1332" i="3"/>
  <c r="CY1332" i="3"/>
  <c r="CX1332" i="3"/>
  <c r="CW1332" i="3"/>
  <c r="CV1332" i="3"/>
  <c r="CU1332" i="3"/>
  <c r="CT1332" i="3"/>
  <c r="CS1332" i="3"/>
  <c r="CR1332" i="3"/>
  <c r="CQ1332" i="3"/>
  <c r="CP1332" i="3"/>
  <c r="CO1332" i="3"/>
  <c r="CN1332" i="3"/>
  <c r="CM1332" i="3"/>
  <c r="CL1332" i="3"/>
  <c r="CK1332" i="3"/>
  <c r="CJ1332" i="3"/>
  <c r="CI1332" i="3"/>
  <c r="CH1332" i="3"/>
  <c r="CG1332" i="3"/>
  <c r="CF1332" i="3"/>
  <c r="CE1332" i="3"/>
  <c r="CD1332" i="3"/>
  <c r="CC1332" i="3"/>
  <c r="CB1332" i="3"/>
  <c r="CA1332" i="3"/>
  <c r="BZ1332" i="3"/>
  <c r="BY1332" i="3"/>
  <c r="BX1332" i="3"/>
  <c r="BW1332" i="3"/>
  <c r="BV1332" i="3"/>
  <c r="BU1332" i="3"/>
  <c r="BT1332" i="3"/>
  <c r="BS1332" i="3"/>
  <c r="BR1332" i="3"/>
  <c r="BQ1332" i="3"/>
  <c r="BP1332" i="3"/>
  <c r="BO1332" i="3"/>
  <c r="BN1332" i="3"/>
  <c r="A1332" i="3"/>
  <c r="DU1331" i="3"/>
  <c r="DT1331" i="3"/>
  <c r="DS1331" i="3"/>
  <c r="DR1331" i="3"/>
  <c r="DQ1331" i="3"/>
  <c r="DP1331" i="3"/>
  <c r="DO1331" i="3"/>
  <c r="DN1331" i="3"/>
  <c r="DM1331" i="3"/>
  <c r="DL1331" i="3"/>
  <c r="DK1331" i="3"/>
  <c r="DJ1331" i="3"/>
  <c r="DI1331" i="3"/>
  <c r="DH1331" i="3"/>
  <c r="DG1331" i="3"/>
  <c r="DF1331" i="3"/>
  <c r="DE1331" i="3"/>
  <c r="DD1331" i="3"/>
  <c r="DC1331" i="3"/>
  <c r="DB1331" i="3"/>
  <c r="DA1331" i="3"/>
  <c r="CZ1331" i="3"/>
  <c r="CY1331" i="3"/>
  <c r="CX1331" i="3"/>
  <c r="CW1331" i="3"/>
  <c r="CV1331" i="3"/>
  <c r="CU1331" i="3"/>
  <c r="CT1331" i="3"/>
  <c r="CS1331" i="3"/>
  <c r="CR1331" i="3"/>
  <c r="CQ1331" i="3"/>
  <c r="CP1331" i="3"/>
  <c r="CO1331" i="3"/>
  <c r="CN1331" i="3"/>
  <c r="CM1331" i="3"/>
  <c r="CL1331" i="3"/>
  <c r="CK1331" i="3"/>
  <c r="CJ1331" i="3"/>
  <c r="CI1331" i="3"/>
  <c r="CH1331" i="3"/>
  <c r="CG1331" i="3"/>
  <c r="CF1331" i="3"/>
  <c r="CE1331" i="3"/>
  <c r="CD1331" i="3"/>
  <c r="CC1331" i="3"/>
  <c r="CB1331" i="3"/>
  <c r="CA1331" i="3"/>
  <c r="BZ1331" i="3"/>
  <c r="BY1331" i="3"/>
  <c r="BX1331" i="3"/>
  <c r="BW1331" i="3"/>
  <c r="BV1331" i="3"/>
  <c r="BU1331" i="3"/>
  <c r="BT1331" i="3"/>
  <c r="BS1331" i="3"/>
  <c r="BR1331" i="3"/>
  <c r="BQ1331" i="3"/>
  <c r="BP1331" i="3"/>
  <c r="BO1331" i="3"/>
  <c r="BN1331" i="3"/>
  <c r="A1331" i="3"/>
  <c r="DU1330" i="3"/>
  <c r="DT1330" i="3"/>
  <c r="DS1330" i="3"/>
  <c r="DR1330" i="3"/>
  <c r="DQ1330" i="3"/>
  <c r="DP1330" i="3"/>
  <c r="DO1330" i="3"/>
  <c r="DN1330" i="3"/>
  <c r="DM1330" i="3"/>
  <c r="DL1330" i="3"/>
  <c r="DK1330" i="3"/>
  <c r="DJ1330" i="3"/>
  <c r="DI1330" i="3"/>
  <c r="DH1330" i="3"/>
  <c r="DG1330" i="3"/>
  <c r="DF1330" i="3"/>
  <c r="DE1330" i="3"/>
  <c r="DD1330" i="3"/>
  <c r="DC1330" i="3"/>
  <c r="DB1330" i="3"/>
  <c r="DA1330" i="3"/>
  <c r="CZ1330" i="3"/>
  <c r="CY1330" i="3"/>
  <c r="CX1330" i="3"/>
  <c r="CW1330" i="3"/>
  <c r="CV1330" i="3"/>
  <c r="CU1330" i="3"/>
  <c r="CT1330" i="3"/>
  <c r="CS1330" i="3"/>
  <c r="CR1330" i="3"/>
  <c r="CQ1330" i="3"/>
  <c r="CP1330" i="3"/>
  <c r="CO1330" i="3"/>
  <c r="CN1330" i="3"/>
  <c r="CM1330" i="3"/>
  <c r="CL1330" i="3"/>
  <c r="CK1330" i="3"/>
  <c r="CJ1330" i="3"/>
  <c r="CI1330" i="3"/>
  <c r="CH1330" i="3"/>
  <c r="CG1330" i="3"/>
  <c r="CF1330" i="3"/>
  <c r="CE1330" i="3"/>
  <c r="CD1330" i="3"/>
  <c r="CC1330" i="3"/>
  <c r="CB1330" i="3"/>
  <c r="CA1330" i="3"/>
  <c r="BZ1330" i="3"/>
  <c r="BY1330" i="3"/>
  <c r="BX1330" i="3"/>
  <c r="BW1330" i="3"/>
  <c r="BV1330" i="3"/>
  <c r="BU1330" i="3"/>
  <c r="BT1330" i="3"/>
  <c r="BS1330" i="3"/>
  <c r="BR1330" i="3"/>
  <c r="BQ1330" i="3"/>
  <c r="BP1330" i="3"/>
  <c r="BO1330" i="3"/>
  <c r="BN1330" i="3"/>
  <c r="BJ1330" i="3"/>
  <c r="BI1330" i="3"/>
  <c r="BH1330" i="3"/>
  <c r="BG1330" i="3"/>
  <c r="BF1330" i="3"/>
  <c r="BE1330" i="3"/>
  <c r="BD1330" i="3"/>
  <c r="BC1330" i="3"/>
  <c r="BB1330" i="3"/>
  <c r="BA1330" i="3"/>
  <c r="AZ1330" i="3"/>
  <c r="AY1330" i="3"/>
  <c r="AX1330" i="3"/>
  <c r="AW1330" i="3"/>
  <c r="AV1330" i="3"/>
  <c r="AU1330" i="3"/>
  <c r="AT1330" i="3"/>
  <c r="AS1330" i="3"/>
  <c r="AR1330" i="3"/>
  <c r="AQ1330" i="3"/>
  <c r="AP1330" i="3"/>
  <c r="AO1330" i="3"/>
  <c r="AN1330" i="3"/>
  <c r="AM1330" i="3"/>
  <c r="AL1330" i="3"/>
  <c r="AK1330" i="3"/>
  <c r="AJ1330" i="3"/>
  <c r="AI1330" i="3"/>
  <c r="AH1330" i="3"/>
  <c r="AG1330" i="3"/>
  <c r="AF1330" i="3"/>
  <c r="AE1330" i="3"/>
  <c r="AD1330" i="3"/>
  <c r="AC1330" i="3"/>
  <c r="AB1330" i="3"/>
  <c r="AA1330" i="3"/>
  <c r="Z1330" i="3"/>
  <c r="Y1330" i="3"/>
  <c r="X1330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A1330" i="3"/>
  <c r="DU1329" i="3"/>
  <c r="DT1329" i="3"/>
  <c r="DS1329" i="3"/>
  <c r="DR1329" i="3"/>
  <c r="DQ1329" i="3"/>
  <c r="DP1329" i="3"/>
  <c r="DO1329" i="3"/>
  <c r="DN1329" i="3"/>
  <c r="DM1329" i="3"/>
  <c r="DL1329" i="3"/>
  <c r="DK1329" i="3"/>
  <c r="DJ1329" i="3"/>
  <c r="DI1329" i="3"/>
  <c r="DH1329" i="3"/>
  <c r="DG1329" i="3"/>
  <c r="DF1329" i="3"/>
  <c r="DE1329" i="3"/>
  <c r="DD1329" i="3"/>
  <c r="DC1329" i="3"/>
  <c r="DB1329" i="3"/>
  <c r="DA1329" i="3"/>
  <c r="CZ1329" i="3"/>
  <c r="CY1329" i="3"/>
  <c r="CX1329" i="3"/>
  <c r="CW1329" i="3"/>
  <c r="CV1329" i="3"/>
  <c r="CU1329" i="3"/>
  <c r="CT1329" i="3"/>
  <c r="CS1329" i="3"/>
  <c r="CR1329" i="3"/>
  <c r="CQ1329" i="3"/>
  <c r="CP1329" i="3"/>
  <c r="CO1329" i="3"/>
  <c r="CN1329" i="3"/>
  <c r="CM1329" i="3"/>
  <c r="CL1329" i="3"/>
  <c r="CK1329" i="3"/>
  <c r="CJ1329" i="3"/>
  <c r="CI1329" i="3"/>
  <c r="CH1329" i="3"/>
  <c r="CG1329" i="3"/>
  <c r="CF1329" i="3"/>
  <c r="CE1329" i="3"/>
  <c r="CD1329" i="3"/>
  <c r="CC1329" i="3"/>
  <c r="CB1329" i="3"/>
  <c r="CA1329" i="3"/>
  <c r="BZ1329" i="3"/>
  <c r="BY1329" i="3"/>
  <c r="BX1329" i="3"/>
  <c r="BW1329" i="3"/>
  <c r="BV1329" i="3"/>
  <c r="BU1329" i="3"/>
  <c r="BT1329" i="3"/>
  <c r="BS1329" i="3"/>
  <c r="BR1329" i="3"/>
  <c r="BQ1329" i="3"/>
  <c r="BP1329" i="3"/>
  <c r="BO1329" i="3"/>
  <c r="BN1329" i="3"/>
  <c r="E1329" i="3"/>
  <c r="D1329" i="3"/>
  <c r="C1329" i="3"/>
  <c r="B1329" i="3"/>
  <c r="A1329" i="3"/>
  <c r="DU1328" i="3"/>
  <c r="DT1328" i="3"/>
  <c r="DS1328" i="3"/>
  <c r="DR1328" i="3"/>
  <c r="DQ1328" i="3"/>
  <c r="DP1328" i="3"/>
  <c r="DO1328" i="3"/>
  <c r="DN1328" i="3"/>
  <c r="DM1328" i="3"/>
  <c r="DL1328" i="3"/>
  <c r="DK1328" i="3"/>
  <c r="DJ1328" i="3"/>
  <c r="DI1328" i="3"/>
  <c r="DH1328" i="3"/>
  <c r="DG1328" i="3"/>
  <c r="DF1328" i="3"/>
  <c r="DE1328" i="3"/>
  <c r="DD1328" i="3"/>
  <c r="DC1328" i="3"/>
  <c r="DB1328" i="3"/>
  <c r="DA1328" i="3"/>
  <c r="CZ1328" i="3"/>
  <c r="CY1328" i="3"/>
  <c r="CX1328" i="3"/>
  <c r="CW1328" i="3"/>
  <c r="CV1328" i="3"/>
  <c r="CU1328" i="3"/>
  <c r="CT1328" i="3"/>
  <c r="CS1328" i="3"/>
  <c r="CR1328" i="3"/>
  <c r="CQ1328" i="3"/>
  <c r="CP1328" i="3"/>
  <c r="CO1328" i="3"/>
  <c r="CN1328" i="3"/>
  <c r="CM1328" i="3"/>
  <c r="CL1328" i="3"/>
  <c r="CK1328" i="3"/>
  <c r="CJ1328" i="3"/>
  <c r="CI1328" i="3"/>
  <c r="CH1328" i="3"/>
  <c r="CG1328" i="3"/>
  <c r="CF1328" i="3"/>
  <c r="CE1328" i="3"/>
  <c r="CD1328" i="3"/>
  <c r="CC1328" i="3"/>
  <c r="CB1328" i="3"/>
  <c r="CA1328" i="3"/>
  <c r="BZ1328" i="3"/>
  <c r="BY1328" i="3"/>
  <c r="BX1328" i="3"/>
  <c r="BW1328" i="3"/>
  <c r="BV1328" i="3"/>
  <c r="BU1328" i="3"/>
  <c r="BT1328" i="3"/>
  <c r="BS1328" i="3"/>
  <c r="BR1328" i="3"/>
  <c r="BQ1328" i="3"/>
  <c r="BP1328" i="3"/>
  <c r="BO1328" i="3"/>
  <c r="BN1328" i="3"/>
  <c r="E1328" i="3"/>
  <c r="D1328" i="3"/>
  <c r="C1328" i="3"/>
  <c r="B1328" i="3"/>
  <c r="A1328" i="3"/>
  <c r="DU1327" i="3"/>
  <c r="DT1327" i="3"/>
  <c r="DS1327" i="3"/>
  <c r="DR1327" i="3"/>
  <c r="DQ1327" i="3"/>
  <c r="DP1327" i="3"/>
  <c r="DO1327" i="3"/>
  <c r="DN1327" i="3"/>
  <c r="DM1327" i="3"/>
  <c r="DL1327" i="3"/>
  <c r="DK1327" i="3"/>
  <c r="DJ1327" i="3"/>
  <c r="DI1327" i="3"/>
  <c r="DH1327" i="3"/>
  <c r="DG1327" i="3"/>
  <c r="DF1327" i="3"/>
  <c r="DE1327" i="3"/>
  <c r="DD1327" i="3"/>
  <c r="DC1327" i="3"/>
  <c r="DB1327" i="3"/>
  <c r="DA1327" i="3"/>
  <c r="CZ1327" i="3"/>
  <c r="CY1327" i="3"/>
  <c r="CX1327" i="3"/>
  <c r="CW1327" i="3"/>
  <c r="CV1327" i="3"/>
  <c r="CU1327" i="3"/>
  <c r="CT1327" i="3"/>
  <c r="CS1327" i="3"/>
  <c r="CR1327" i="3"/>
  <c r="CQ1327" i="3"/>
  <c r="CP1327" i="3"/>
  <c r="CO1327" i="3"/>
  <c r="CN1327" i="3"/>
  <c r="CM1327" i="3"/>
  <c r="CL1327" i="3"/>
  <c r="CK1327" i="3"/>
  <c r="CJ1327" i="3"/>
  <c r="CI1327" i="3"/>
  <c r="CH1327" i="3"/>
  <c r="CG1327" i="3"/>
  <c r="CF1327" i="3"/>
  <c r="CE1327" i="3"/>
  <c r="CD1327" i="3"/>
  <c r="CC1327" i="3"/>
  <c r="CB1327" i="3"/>
  <c r="CA1327" i="3"/>
  <c r="BZ1327" i="3"/>
  <c r="BY1327" i="3"/>
  <c r="BX1327" i="3"/>
  <c r="BW1327" i="3"/>
  <c r="BV1327" i="3"/>
  <c r="BU1327" i="3"/>
  <c r="BT1327" i="3"/>
  <c r="BS1327" i="3"/>
  <c r="BR1327" i="3"/>
  <c r="BQ1327" i="3"/>
  <c r="BP1327" i="3"/>
  <c r="BO1327" i="3"/>
  <c r="BN1327" i="3"/>
  <c r="E1327" i="3"/>
  <c r="D1327" i="3"/>
  <c r="C1327" i="3"/>
  <c r="A1327" i="3"/>
  <c r="DU1326" i="3"/>
  <c r="DT1326" i="3"/>
  <c r="DS1326" i="3"/>
  <c r="DR1326" i="3"/>
  <c r="DQ1326" i="3"/>
  <c r="DP1326" i="3"/>
  <c r="DO1326" i="3"/>
  <c r="DN1326" i="3"/>
  <c r="DM1326" i="3"/>
  <c r="DL1326" i="3"/>
  <c r="DK1326" i="3"/>
  <c r="DJ1326" i="3"/>
  <c r="DI1326" i="3"/>
  <c r="DH1326" i="3"/>
  <c r="DG1326" i="3"/>
  <c r="DF1326" i="3"/>
  <c r="DE1326" i="3"/>
  <c r="DD1326" i="3"/>
  <c r="DC1326" i="3"/>
  <c r="DB1326" i="3"/>
  <c r="DA1326" i="3"/>
  <c r="CZ1326" i="3"/>
  <c r="CY1326" i="3"/>
  <c r="CX1326" i="3"/>
  <c r="CW1326" i="3"/>
  <c r="CV1326" i="3"/>
  <c r="CU1326" i="3"/>
  <c r="CT1326" i="3"/>
  <c r="CS1326" i="3"/>
  <c r="CR1326" i="3"/>
  <c r="CQ1326" i="3"/>
  <c r="CP1326" i="3"/>
  <c r="CO1326" i="3"/>
  <c r="CN1326" i="3"/>
  <c r="CM1326" i="3"/>
  <c r="CL1326" i="3"/>
  <c r="CK1326" i="3"/>
  <c r="CJ1326" i="3"/>
  <c r="CI1326" i="3"/>
  <c r="CH1326" i="3"/>
  <c r="CG1326" i="3"/>
  <c r="CF1326" i="3"/>
  <c r="CE1326" i="3"/>
  <c r="CD1326" i="3"/>
  <c r="CC1326" i="3"/>
  <c r="CB1326" i="3"/>
  <c r="CA1326" i="3"/>
  <c r="BZ1326" i="3"/>
  <c r="BY1326" i="3"/>
  <c r="BX1326" i="3"/>
  <c r="BW1326" i="3"/>
  <c r="BV1326" i="3"/>
  <c r="BU1326" i="3"/>
  <c r="BT1326" i="3"/>
  <c r="BS1326" i="3"/>
  <c r="BR1326" i="3"/>
  <c r="BQ1326" i="3"/>
  <c r="BP1326" i="3"/>
  <c r="BO1326" i="3"/>
  <c r="BN1326" i="3"/>
  <c r="E1326" i="3"/>
  <c r="D1326" i="3"/>
  <c r="C1326" i="3"/>
  <c r="B1326" i="3"/>
  <c r="A1326" i="3"/>
  <c r="DU1325" i="3"/>
  <c r="DT1325" i="3"/>
  <c r="DS1325" i="3"/>
  <c r="DR1325" i="3"/>
  <c r="DQ1325" i="3"/>
  <c r="DP1325" i="3"/>
  <c r="DO1325" i="3"/>
  <c r="DN1325" i="3"/>
  <c r="DM1325" i="3"/>
  <c r="DL1325" i="3"/>
  <c r="DK1325" i="3"/>
  <c r="DJ1325" i="3"/>
  <c r="DI1325" i="3"/>
  <c r="DH1325" i="3"/>
  <c r="DG1325" i="3"/>
  <c r="DF1325" i="3"/>
  <c r="DE1325" i="3"/>
  <c r="DD1325" i="3"/>
  <c r="DC1325" i="3"/>
  <c r="DB1325" i="3"/>
  <c r="DA1325" i="3"/>
  <c r="CZ1325" i="3"/>
  <c r="CY1325" i="3"/>
  <c r="CX1325" i="3"/>
  <c r="CW1325" i="3"/>
  <c r="CV1325" i="3"/>
  <c r="CU1325" i="3"/>
  <c r="CT1325" i="3"/>
  <c r="CS1325" i="3"/>
  <c r="CR1325" i="3"/>
  <c r="CQ1325" i="3"/>
  <c r="CP1325" i="3"/>
  <c r="CO1325" i="3"/>
  <c r="CN1325" i="3"/>
  <c r="CM1325" i="3"/>
  <c r="CL1325" i="3"/>
  <c r="CK1325" i="3"/>
  <c r="CJ1325" i="3"/>
  <c r="CI1325" i="3"/>
  <c r="CH1325" i="3"/>
  <c r="CG1325" i="3"/>
  <c r="CF1325" i="3"/>
  <c r="CE1325" i="3"/>
  <c r="CD1325" i="3"/>
  <c r="CC1325" i="3"/>
  <c r="CB1325" i="3"/>
  <c r="CA1325" i="3"/>
  <c r="BZ1325" i="3"/>
  <c r="BY1325" i="3"/>
  <c r="BX1325" i="3"/>
  <c r="BW1325" i="3"/>
  <c r="BV1325" i="3"/>
  <c r="BU1325" i="3"/>
  <c r="BT1325" i="3"/>
  <c r="BS1325" i="3"/>
  <c r="BR1325" i="3"/>
  <c r="BQ1325" i="3"/>
  <c r="BP1325" i="3"/>
  <c r="BO1325" i="3"/>
  <c r="BN1325" i="3"/>
  <c r="A1325" i="3"/>
  <c r="DU1324" i="3"/>
  <c r="DT1324" i="3"/>
  <c r="DS1324" i="3"/>
  <c r="DR1324" i="3"/>
  <c r="DQ1324" i="3"/>
  <c r="DP1324" i="3"/>
  <c r="DO1324" i="3"/>
  <c r="DN1324" i="3"/>
  <c r="DM1324" i="3"/>
  <c r="DL1324" i="3"/>
  <c r="DK1324" i="3"/>
  <c r="DJ1324" i="3"/>
  <c r="DI1324" i="3"/>
  <c r="DH1324" i="3"/>
  <c r="DG1324" i="3"/>
  <c r="DF1324" i="3"/>
  <c r="DE1324" i="3"/>
  <c r="DD1324" i="3"/>
  <c r="DC1324" i="3"/>
  <c r="DB1324" i="3"/>
  <c r="DA1324" i="3"/>
  <c r="CZ1324" i="3"/>
  <c r="CY1324" i="3"/>
  <c r="CX1324" i="3"/>
  <c r="CW1324" i="3"/>
  <c r="CV1324" i="3"/>
  <c r="CU1324" i="3"/>
  <c r="CT1324" i="3"/>
  <c r="CS1324" i="3"/>
  <c r="CR1324" i="3"/>
  <c r="CQ1324" i="3"/>
  <c r="CP1324" i="3"/>
  <c r="CO1324" i="3"/>
  <c r="CN1324" i="3"/>
  <c r="CM1324" i="3"/>
  <c r="CL1324" i="3"/>
  <c r="CK1324" i="3"/>
  <c r="CJ1324" i="3"/>
  <c r="CI1324" i="3"/>
  <c r="CH1324" i="3"/>
  <c r="CG1324" i="3"/>
  <c r="CF1324" i="3"/>
  <c r="CE1324" i="3"/>
  <c r="CD1324" i="3"/>
  <c r="CC1324" i="3"/>
  <c r="CB1324" i="3"/>
  <c r="CA1324" i="3"/>
  <c r="BZ1324" i="3"/>
  <c r="BY1324" i="3"/>
  <c r="BX1324" i="3"/>
  <c r="BW1324" i="3"/>
  <c r="BV1324" i="3"/>
  <c r="BU1324" i="3"/>
  <c r="BT1324" i="3"/>
  <c r="BS1324" i="3"/>
  <c r="BR1324" i="3"/>
  <c r="BQ1324" i="3"/>
  <c r="BP1324" i="3"/>
  <c r="BO1324" i="3"/>
  <c r="BN1324" i="3"/>
  <c r="E1324" i="3"/>
  <c r="D1324" i="3"/>
  <c r="C1324" i="3"/>
  <c r="B1324" i="3"/>
  <c r="A1324" i="3"/>
  <c r="DU1323" i="3"/>
  <c r="DT1323" i="3"/>
  <c r="DS1323" i="3"/>
  <c r="DR1323" i="3"/>
  <c r="DQ1323" i="3"/>
  <c r="DP1323" i="3"/>
  <c r="DO1323" i="3"/>
  <c r="DN1323" i="3"/>
  <c r="DM1323" i="3"/>
  <c r="DL1323" i="3"/>
  <c r="DK1323" i="3"/>
  <c r="DJ1323" i="3"/>
  <c r="DI1323" i="3"/>
  <c r="DH1323" i="3"/>
  <c r="DG1323" i="3"/>
  <c r="DF1323" i="3"/>
  <c r="DE1323" i="3"/>
  <c r="DD1323" i="3"/>
  <c r="DC1323" i="3"/>
  <c r="DB1323" i="3"/>
  <c r="DA1323" i="3"/>
  <c r="CZ1323" i="3"/>
  <c r="CY1323" i="3"/>
  <c r="CX1323" i="3"/>
  <c r="CW1323" i="3"/>
  <c r="CV1323" i="3"/>
  <c r="CU1323" i="3"/>
  <c r="CT1323" i="3"/>
  <c r="CS1323" i="3"/>
  <c r="CR1323" i="3"/>
  <c r="CQ1323" i="3"/>
  <c r="CP1323" i="3"/>
  <c r="CO1323" i="3"/>
  <c r="CN1323" i="3"/>
  <c r="CM1323" i="3"/>
  <c r="CL1323" i="3"/>
  <c r="CK1323" i="3"/>
  <c r="CJ1323" i="3"/>
  <c r="CI1323" i="3"/>
  <c r="CH1323" i="3"/>
  <c r="CG1323" i="3"/>
  <c r="CF1323" i="3"/>
  <c r="CE1323" i="3"/>
  <c r="CD1323" i="3"/>
  <c r="CC1323" i="3"/>
  <c r="CB1323" i="3"/>
  <c r="CA1323" i="3"/>
  <c r="BZ1323" i="3"/>
  <c r="BY1323" i="3"/>
  <c r="BX1323" i="3"/>
  <c r="BW1323" i="3"/>
  <c r="BV1323" i="3"/>
  <c r="BU1323" i="3"/>
  <c r="BT1323" i="3"/>
  <c r="BS1323" i="3"/>
  <c r="BR1323" i="3"/>
  <c r="BQ1323" i="3"/>
  <c r="BP1323" i="3"/>
  <c r="BO1323" i="3"/>
  <c r="BN1323" i="3"/>
  <c r="E1323" i="3"/>
  <c r="D1323" i="3"/>
  <c r="C1323" i="3"/>
  <c r="B1323" i="3"/>
  <c r="A1323" i="3"/>
  <c r="DU1322" i="3"/>
  <c r="DT1322" i="3"/>
  <c r="DS1322" i="3"/>
  <c r="DR1322" i="3"/>
  <c r="DQ1322" i="3"/>
  <c r="DP1322" i="3"/>
  <c r="DO1322" i="3"/>
  <c r="DN1322" i="3"/>
  <c r="DM1322" i="3"/>
  <c r="DL1322" i="3"/>
  <c r="DK1322" i="3"/>
  <c r="DJ1322" i="3"/>
  <c r="DI1322" i="3"/>
  <c r="DH1322" i="3"/>
  <c r="DG1322" i="3"/>
  <c r="DF1322" i="3"/>
  <c r="DE1322" i="3"/>
  <c r="DD1322" i="3"/>
  <c r="DC1322" i="3"/>
  <c r="DB1322" i="3"/>
  <c r="DA1322" i="3"/>
  <c r="CZ1322" i="3"/>
  <c r="CY1322" i="3"/>
  <c r="CX1322" i="3"/>
  <c r="CW1322" i="3"/>
  <c r="CV1322" i="3"/>
  <c r="CU1322" i="3"/>
  <c r="CT1322" i="3"/>
  <c r="CS1322" i="3"/>
  <c r="CR1322" i="3"/>
  <c r="CQ1322" i="3"/>
  <c r="CP1322" i="3"/>
  <c r="CO1322" i="3"/>
  <c r="CN1322" i="3"/>
  <c r="CM1322" i="3"/>
  <c r="CL1322" i="3"/>
  <c r="CK1322" i="3"/>
  <c r="CJ1322" i="3"/>
  <c r="CI1322" i="3"/>
  <c r="CH1322" i="3"/>
  <c r="CG1322" i="3"/>
  <c r="CF1322" i="3"/>
  <c r="CE1322" i="3"/>
  <c r="CD1322" i="3"/>
  <c r="CC1322" i="3"/>
  <c r="CB1322" i="3"/>
  <c r="CA1322" i="3"/>
  <c r="BZ1322" i="3"/>
  <c r="BY1322" i="3"/>
  <c r="BX1322" i="3"/>
  <c r="BW1322" i="3"/>
  <c r="BV1322" i="3"/>
  <c r="BU1322" i="3"/>
  <c r="BT1322" i="3"/>
  <c r="BS1322" i="3"/>
  <c r="BR1322" i="3"/>
  <c r="BQ1322" i="3"/>
  <c r="BP1322" i="3"/>
  <c r="BO1322" i="3"/>
  <c r="BN1322" i="3"/>
  <c r="E1322" i="3"/>
  <c r="D1322" i="3"/>
  <c r="C1322" i="3"/>
  <c r="B1322" i="3"/>
  <c r="A1322" i="3"/>
  <c r="DU1321" i="3"/>
  <c r="DT1321" i="3"/>
  <c r="DS1321" i="3"/>
  <c r="DR1321" i="3"/>
  <c r="DQ1321" i="3"/>
  <c r="DP1321" i="3"/>
  <c r="DO1321" i="3"/>
  <c r="DN1321" i="3"/>
  <c r="DM1321" i="3"/>
  <c r="DL1321" i="3"/>
  <c r="DK1321" i="3"/>
  <c r="DJ1321" i="3"/>
  <c r="DI1321" i="3"/>
  <c r="DH1321" i="3"/>
  <c r="DG1321" i="3"/>
  <c r="DF1321" i="3"/>
  <c r="DE1321" i="3"/>
  <c r="DD1321" i="3"/>
  <c r="DC1321" i="3"/>
  <c r="DB1321" i="3"/>
  <c r="DA1321" i="3"/>
  <c r="CZ1321" i="3"/>
  <c r="CY1321" i="3"/>
  <c r="CX1321" i="3"/>
  <c r="CW1321" i="3"/>
  <c r="CV1321" i="3"/>
  <c r="CU1321" i="3"/>
  <c r="CT1321" i="3"/>
  <c r="CS1321" i="3"/>
  <c r="CR1321" i="3"/>
  <c r="CQ1321" i="3"/>
  <c r="CP1321" i="3"/>
  <c r="CO1321" i="3"/>
  <c r="CN1321" i="3"/>
  <c r="CM1321" i="3"/>
  <c r="CL1321" i="3"/>
  <c r="CK1321" i="3"/>
  <c r="CJ1321" i="3"/>
  <c r="CI1321" i="3"/>
  <c r="CH1321" i="3"/>
  <c r="CG1321" i="3"/>
  <c r="CF1321" i="3"/>
  <c r="CE1321" i="3"/>
  <c r="CD1321" i="3"/>
  <c r="CC1321" i="3"/>
  <c r="CB1321" i="3"/>
  <c r="CA1321" i="3"/>
  <c r="BZ1321" i="3"/>
  <c r="BY1321" i="3"/>
  <c r="BX1321" i="3"/>
  <c r="BW1321" i="3"/>
  <c r="BV1321" i="3"/>
  <c r="BU1321" i="3"/>
  <c r="BT1321" i="3"/>
  <c r="BS1321" i="3"/>
  <c r="BR1321" i="3"/>
  <c r="BQ1321" i="3"/>
  <c r="BP1321" i="3"/>
  <c r="BO1321" i="3"/>
  <c r="BN1321" i="3"/>
  <c r="E1321" i="3"/>
  <c r="D1321" i="3"/>
  <c r="C1321" i="3"/>
  <c r="B1321" i="3"/>
  <c r="A1321" i="3"/>
  <c r="DU1320" i="3"/>
  <c r="DT1320" i="3"/>
  <c r="DS1320" i="3"/>
  <c r="DR1320" i="3"/>
  <c r="DQ1320" i="3"/>
  <c r="DP1320" i="3"/>
  <c r="DO1320" i="3"/>
  <c r="DN1320" i="3"/>
  <c r="DM1320" i="3"/>
  <c r="DL1320" i="3"/>
  <c r="DK1320" i="3"/>
  <c r="DJ1320" i="3"/>
  <c r="DI1320" i="3"/>
  <c r="DH1320" i="3"/>
  <c r="DG1320" i="3"/>
  <c r="DF1320" i="3"/>
  <c r="DE1320" i="3"/>
  <c r="DD1320" i="3"/>
  <c r="DC1320" i="3"/>
  <c r="DB1320" i="3"/>
  <c r="DA1320" i="3"/>
  <c r="CZ1320" i="3"/>
  <c r="CY1320" i="3"/>
  <c r="CX1320" i="3"/>
  <c r="CW1320" i="3"/>
  <c r="CV1320" i="3"/>
  <c r="CU1320" i="3"/>
  <c r="CT1320" i="3"/>
  <c r="CS1320" i="3"/>
  <c r="CR1320" i="3"/>
  <c r="CQ1320" i="3"/>
  <c r="CP1320" i="3"/>
  <c r="CO1320" i="3"/>
  <c r="CN1320" i="3"/>
  <c r="CM1320" i="3"/>
  <c r="CL1320" i="3"/>
  <c r="CK1320" i="3"/>
  <c r="CJ1320" i="3"/>
  <c r="CI1320" i="3"/>
  <c r="CH1320" i="3"/>
  <c r="CG1320" i="3"/>
  <c r="CF1320" i="3"/>
  <c r="CE1320" i="3"/>
  <c r="CD1320" i="3"/>
  <c r="CC1320" i="3"/>
  <c r="CB1320" i="3"/>
  <c r="CA1320" i="3"/>
  <c r="BZ1320" i="3"/>
  <c r="BY1320" i="3"/>
  <c r="BX1320" i="3"/>
  <c r="BW1320" i="3"/>
  <c r="BV1320" i="3"/>
  <c r="BU1320" i="3"/>
  <c r="BT1320" i="3"/>
  <c r="BS1320" i="3"/>
  <c r="BR1320" i="3"/>
  <c r="BQ1320" i="3"/>
  <c r="BP1320" i="3"/>
  <c r="BO1320" i="3"/>
  <c r="BN1320" i="3"/>
  <c r="E1320" i="3"/>
  <c r="D1320" i="3"/>
  <c r="C1320" i="3"/>
  <c r="B1320" i="3"/>
  <c r="A1320" i="3"/>
  <c r="DU1319" i="3"/>
  <c r="DT1319" i="3"/>
  <c r="DS1319" i="3"/>
  <c r="DR1319" i="3"/>
  <c r="DQ1319" i="3"/>
  <c r="DP1319" i="3"/>
  <c r="DO1319" i="3"/>
  <c r="DN1319" i="3"/>
  <c r="DM1319" i="3"/>
  <c r="DL1319" i="3"/>
  <c r="DK1319" i="3"/>
  <c r="DJ1319" i="3"/>
  <c r="DI1319" i="3"/>
  <c r="DH1319" i="3"/>
  <c r="DG1319" i="3"/>
  <c r="DF1319" i="3"/>
  <c r="DE1319" i="3"/>
  <c r="DD1319" i="3"/>
  <c r="DC1319" i="3"/>
  <c r="DB1319" i="3"/>
  <c r="DA1319" i="3"/>
  <c r="CZ1319" i="3"/>
  <c r="CY1319" i="3"/>
  <c r="CX1319" i="3"/>
  <c r="CW1319" i="3"/>
  <c r="CV1319" i="3"/>
  <c r="CU1319" i="3"/>
  <c r="CT1319" i="3"/>
  <c r="CS1319" i="3"/>
  <c r="CR1319" i="3"/>
  <c r="CQ1319" i="3"/>
  <c r="CP1319" i="3"/>
  <c r="CO1319" i="3"/>
  <c r="CN1319" i="3"/>
  <c r="CM1319" i="3"/>
  <c r="CL1319" i="3"/>
  <c r="CK1319" i="3"/>
  <c r="CJ1319" i="3"/>
  <c r="CI1319" i="3"/>
  <c r="CH1319" i="3"/>
  <c r="CG1319" i="3"/>
  <c r="CF1319" i="3"/>
  <c r="CE1319" i="3"/>
  <c r="CD1319" i="3"/>
  <c r="CC1319" i="3"/>
  <c r="CB1319" i="3"/>
  <c r="CA1319" i="3"/>
  <c r="BZ1319" i="3"/>
  <c r="BY1319" i="3"/>
  <c r="BX1319" i="3"/>
  <c r="BW1319" i="3"/>
  <c r="BV1319" i="3"/>
  <c r="BU1319" i="3"/>
  <c r="BT1319" i="3"/>
  <c r="BS1319" i="3"/>
  <c r="BR1319" i="3"/>
  <c r="BQ1319" i="3"/>
  <c r="BP1319" i="3"/>
  <c r="BO1319" i="3"/>
  <c r="BN1319" i="3"/>
  <c r="E1319" i="3"/>
  <c r="D1319" i="3"/>
  <c r="C1319" i="3"/>
  <c r="B1319" i="3"/>
  <c r="A1319" i="3"/>
  <c r="DU1318" i="3"/>
  <c r="DT1318" i="3"/>
  <c r="DS1318" i="3"/>
  <c r="DR1318" i="3"/>
  <c r="DQ1318" i="3"/>
  <c r="DP1318" i="3"/>
  <c r="DO1318" i="3"/>
  <c r="DN1318" i="3"/>
  <c r="DM1318" i="3"/>
  <c r="DL1318" i="3"/>
  <c r="DK1318" i="3"/>
  <c r="DJ1318" i="3"/>
  <c r="DI1318" i="3"/>
  <c r="DH1318" i="3"/>
  <c r="DG1318" i="3"/>
  <c r="DF1318" i="3"/>
  <c r="DE1318" i="3"/>
  <c r="DD1318" i="3"/>
  <c r="DC1318" i="3"/>
  <c r="DB1318" i="3"/>
  <c r="DA1318" i="3"/>
  <c r="CZ1318" i="3"/>
  <c r="CY1318" i="3"/>
  <c r="CX1318" i="3"/>
  <c r="CW1318" i="3"/>
  <c r="CV1318" i="3"/>
  <c r="CU1318" i="3"/>
  <c r="CT1318" i="3"/>
  <c r="CS1318" i="3"/>
  <c r="CR1318" i="3"/>
  <c r="CQ1318" i="3"/>
  <c r="CP1318" i="3"/>
  <c r="CO1318" i="3"/>
  <c r="CN1318" i="3"/>
  <c r="CM1318" i="3"/>
  <c r="CL1318" i="3"/>
  <c r="CK1318" i="3"/>
  <c r="CJ1318" i="3"/>
  <c r="CI1318" i="3"/>
  <c r="CH1318" i="3"/>
  <c r="CG1318" i="3"/>
  <c r="CF1318" i="3"/>
  <c r="CE1318" i="3"/>
  <c r="CD1318" i="3"/>
  <c r="CC1318" i="3"/>
  <c r="CB1318" i="3"/>
  <c r="CA1318" i="3"/>
  <c r="BZ1318" i="3"/>
  <c r="BY1318" i="3"/>
  <c r="BX1318" i="3"/>
  <c r="BW1318" i="3"/>
  <c r="BV1318" i="3"/>
  <c r="BU1318" i="3"/>
  <c r="BT1318" i="3"/>
  <c r="BS1318" i="3"/>
  <c r="BR1318" i="3"/>
  <c r="BQ1318" i="3"/>
  <c r="BP1318" i="3"/>
  <c r="BO1318" i="3"/>
  <c r="BN1318" i="3"/>
  <c r="DU1317" i="3"/>
  <c r="DT1317" i="3"/>
  <c r="DS1317" i="3"/>
  <c r="DR1317" i="3"/>
  <c r="DQ1317" i="3"/>
  <c r="DP1317" i="3"/>
  <c r="DO1317" i="3"/>
  <c r="DN1317" i="3"/>
  <c r="DM1317" i="3"/>
  <c r="DL1317" i="3"/>
  <c r="DK1317" i="3"/>
  <c r="DJ1317" i="3"/>
  <c r="DI1317" i="3"/>
  <c r="DH1317" i="3"/>
  <c r="DG1317" i="3"/>
  <c r="DF1317" i="3"/>
  <c r="DE1317" i="3"/>
  <c r="DD1317" i="3"/>
  <c r="DC1317" i="3"/>
  <c r="DB1317" i="3"/>
  <c r="DA1317" i="3"/>
  <c r="CZ1317" i="3"/>
  <c r="CY1317" i="3"/>
  <c r="CX1317" i="3"/>
  <c r="CW1317" i="3"/>
  <c r="CV1317" i="3"/>
  <c r="CU1317" i="3"/>
  <c r="CT1317" i="3"/>
  <c r="CS1317" i="3"/>
  <c r="CR1317" i="3"/>
  <c r="CQ1317" i="3"/>
  <c r="CP1317" i="3"/>
  <c r="CO1317" i="3"/>
  <c r="CN1317" i="3"/>
  <c r="CM1317" i="3"/>
  <c r="CL1317" i="3"/>
  <c r="CK1317" i="3"/>
  <c r="CJ1317" i="3"/>
  <c r="CI1317" i="3"/>
  <c r="CH1317" i="3"/>
  <c r="CG1317" i="3"/>
  <c r="CF1317" i="3"/>
  <c r="CE1317" i="3"/>
  <c r="CD1317" i="3"/>
  <c r="CC1317" i="3"/>
  <c r="CB1317" i="3"/>
  <c r="CA1317" i="3"/>
  <c r="BZ1317" i="3"/>
  <c r="BY1317" i="3"/>
  <c r="BX1317" i="3"/>
  <c r="BW1317" i="3"/>
  <c r="BV1317" i="3"/>
  <c r="BU1317" i="3"/>
  <c r="BT1317" i="3"/>
  <c r="BS1317" i="3"/>
  <c r="BR1317" i="3"/>
  <c r="BQ1317" i="3"/>
  <c r="BP1317" i="3"/>
  <c r="BO1317" i="3"/>
  <c r="BN1317" i="3"/>
  <c r="DU1316" i="3"/>
  <c r="DT1316" i="3"/>
  <c r="DS1316" i="3"/>
  <c r="DR1316" i="3"/>
  <c r="DQ1316" i="3"/>
  <c r="DP1316" i="3"/>
  <c r="DO1316" i="3"/>
  <c r="DN1316" i="3"/>
  <c r="DM1316" i="3"/>
  <c r="DL1316" i="3"/>
  <c r="DK1316" i="3"/>
  <c r="DJ1316" i="3"/>
  <c r="DI1316" i="3"/>
  <c r="DH1316" i="3"/>
  <c r="DG1316" i="3"/>
  <c r="DF1316" i="3"/>
  <c r="DE1316" i="3"/>
  <c r="DD1316" i="3"/>
  <c r="DC1316" i="3"/>
  <c r="DB1316" i="3"/>
  <c r="DA1316" i="3"/>
  <c r="CZ1316" i="3"/>
  <c r="CY1316" i="3"/>
  <c r="CX1316" i="3"/>
  <c r="CW1316" i="3"/>
  <c r="CV1316" i="3"/>
  <c r="CU1316" i="3"/>
  <c r="CT1316" i="3"/>
  <c r="CS1316" i="3"/>
  <c r="CR1316" i="3"/>
  <c r="CQ1316" i="3"/>
  <c r="CP1316" i="3"/>
  <c r="CO1316" i="3"/>
  <c r="CN1316" i="3"/>
  <c r="CM1316" i="3"/>
  <c r="CL1316" i="3"/>
  <c r="CK1316" i="3"/>
  <c r="CJ1316" i="3"/>
  <c r="CI1316" i="3"/>
  <c r="CH1316" i="3"/>
  <c r="CG1316" i="3"/>
  <c r="CF1316" i="3"/>
  <c r="CE1316" i="3"/>
  <c r="CD1316" i="3"/>
  <c r="CC1316" i="3"/>
  <c r="CB1316" i="3"/>
  <c r="CA1316" i="3"/>
  <c r="BZ1316" i="3"/>
  <c r="BY1316" i="3"/>
  <c r="BX1316" i="3"/>
  <c r="BW1316" i="3"/>
  <c r="BV1316" i="3"/>
  <c r="BU1316" i="3"/>
  <c r="BT1316" i="3"/>
  <c r="BS1316" i="3"/>
  <c r="BR1316" i="3"/>
  <c r="BQ1316" i="3"/>
  <c r="BP1316" i="3"/>
  <c r="BO1316" i="3"/>
  <c r="BN1316" i="3"/>
  <c r="DU1315" i="3"/>
  <c r="DT1315" i="3"/>
  <c r="DS1315" i="3"/>
  <c r="DR1315" i="3"/>
  <c r="DQ1315" i="3"/>
  <c r="DP1315" i="3"/>
  <c r="DO1315" i="3"/>
  <c r="DN1315" i="3"/>
  <c r="DM1315" i="3"/>
  <c r="DL1315" i="3"/>
  <c r="DK1315" i="3"/>
  <c r="DJ1315" i="3"/>
  <c r="DI1315" i="3"/>
  <c r="DH1315" i="3"/>
  <c r="DG1315" i="3"/>
  <c r="DF1315" i="3"/>
  <c r="DE1315" i="3"/>
  <c r="DD1315" i="3"/>
  <c r="DC1315" i="3"/>
  <c r="DB1315" i="3"/>
  <c r="DA1315" i="3"/>
  <c r="CZ1315" i="3"/>
  <c r="CY1315" i="3"/>
  <c r="CX1315" i="3"/>
  <c r="CW1315" i="3"/>
  <c r="CV1315" i="3"/>
  <c r="CU1315" i="3"/>
  <c r="CT1315" i="3"/>
  <c r="CS1315" i="3"/>
  <c r="CR1315" i="3"/>
  <c r="CQ1315" i="3"/>
  <c r="CP1315" i="3"/>
  <c r="CO1315" i="3"/>
  <c r="CN1315" i="3"/>
  <c r="CM1315" i="3"/>
  <c r="CL1315" i="3"/>
  <c r="CK1315" i="3"/>
  <c r="CJ1315" i="3"/>
  <c r="CI1315" i="3"/>
  <c r="CH1315" i="3"/>
  <c r="CG1315" i="3"/>
  <c r="CF1315" i="3"/>
  <c r="CE1315" i="3"/>
  <c r="CD1315" i="3"/>
  <c r="CC1315" i="3"/>
  <c r="CB1315" i="3"/>
  <c r="CA1315" i="3"/>
  <c r="BZ1315" i="3"/>
  <c r="BY1315" i="3"/>
  <c r="BX1315" i="3"/>
  <c r="BW1315" i="3"/>
  <c r="BV1315" i="3"/>
  <c r="BU1315" i="3"/>
  <c r="BT1315" i="3"/>
  <c r="BS1315" i="3"/>
  <c r="BR1315" i="3"/>
  <c r="BQ1315" i="3"/>
  <c r="BP1315" i="3"/>
  <c r="BO1315" i="3"/>
  <c r="BN1315" i="3"/>
  <c r="DU1314" i="3"/>
  <c r="DT1314" i="3"/>
  <c r="DS1314" i="3"/>
  <c r="DR1314" i="3"/>
  <c r="DQ1314" i="3"/>
  <c r="DP1314" i="3"/>
  <c r="DO1314" i="3"/>
  <c r="DN1314" i="3"/>
  <c r="DM1314" i="3"/>
  <c r="DL1314" i="3"/>
  <c r="DK1314" i="3"/>
  <c r="DJ1314" i="3"/>
  <c r="DI1314" i="3"/>
  <c r="DH1314" i="3"/>
  <c r="DG1314" i="3"/>
  <c r="DF1314" i="3"/>
  <c r="DE1314" i="3"/>
  <c r="DD1314" i="3"/>
  <c r="DC1314" i="3"/>
  <c r="DB1314" i="3"/>
  <c r="DA1314" i="3"/>
  <c r="CZ1314" i="3"/>
  <c r="CY1314" i="3"/>
  <c r="CX1314" i="3"/>
  <c r="CW1314" i="3"/>
  <c r="CV1314" i="3"/>
  <c r="CU1314" i="3"/>
  <c r="CT1314" i="3"/>
  <c r="CS1314" i="3"/>
  <c r="CR1314" i="3"/>
  <c r="CQ1314" i="3"/>
  <c r="CP1314" i="3"/>
  <c r="CO1314" i="3"/>
  <c r="CN1314" i="3"/>
  <c r="CM1314" i="3"/>
  <c r="CL1314" i="3"/>
  <c r="CK1314" i="3"/>
  <c r="CJ1314" i="3"/>
  <c r="CI1314" i="3"/>
  <c r="CH1314" i="3"/>
  <c r="CG1314" i="3"/>
  <c r="CF1314" i="3"/>
  <c r="CE1314" i="3"/>
  <c r="CD1314" i="3"/>
  <c r="CC1314" i="3"/>
  <c r="CB1314" i="3"/>
  <c r="CA1314" i="3"/>
  <c r="BZ1314" i="3"/>
  <c r="BY1314" i="3"/>
  <c r="BX1314" i="3"/>
  <c r="BW1314" i="3"/>
  <c r="BV1314" i="3"/>
  <c r="BU1314" i="3"/>
  <c r="BT1314" i="3"/>
  <c r="BS1314" i="3"/>
  <c r="BR1314" i="3"/>
  <c r="BQ1314" i="3"/>
  <c r="BP1314" i="3"/>
  <c r="BO1314" i="3"/>
  <c r="BN1314" i="3"/>
  <c r="DU1313" i="3"/>
  <c r="DT1313" i="3"/>
  <c r="DS1313" i="3"/>
  <c r="DR1313" i="3"/>
  <c r="DQ1313" i="3"/>
  <c r="DP1313" i="3"/>
  <c r="DO1313" i="3"/>
  <c r="DN1313" i="3"/>
  <c r="DM1313" i="3"/>
  <c r="DL1313" i="3"/>
  <c r="DK1313" i="3"/>
  <c r="DJ1313" i="3"/>
  <c r="DI1313" i="3"/>
  <c r="DH1313" i="3"/>
  <c r="DG1313" i="3"/>
  <c r="DF1313" i="3"/>
  <c r="DE1313" i="3"/>
  <c r="DD1313" i="3"/>
  <c r="DC1313" i="3"/>
  <c r="DB1313" i="3"/>
  <c r="DA1313" i="3"/>
  <c r="CZ1313" i="3"/>
  <c r="CY1313" i="3"/>
  <c r="CX1313" i="3"/>
  <c r="CW1313" i="3"/>
  <c r="CV1313" i="3"/>
  <c r="CU1313" i="3"/>
  <c r="CT1313" i="3"/>
  <c r="CS1313" i="3"/>
  <c r="CR1313" i="3"/>
  <c r="CQ1313" i="3"/>
  <c r="CP1313" i="3"/>
  <c r="CO1313" i="3"/>
  <c r="CN1313" i="3"/>
  <c r="CM1313" i="3"/>
  <c r="CL1313" i="3"/>
  <c r="CK1313" i="3"/>
  <c r="CJ1313" i="3"/>
  <c r="CI1313" i="3"/>
  <c r="CH1313" i="3"/>
  <c r="CG1313" i="3"/>
  <c r="CF1313" i="3"/>
  <c r="CE1313" i="3"/>
  <c r="CD1313" i="3"/>
  <c r="CC1313" i="3"/>
  <c r="CB1313" i="3"/>
  <c r="CA1313" i="3"/>
  <c r="BZ1313" i="3"/>
  <c r="BY1313" i="3"/>
  <c r="BX1313" i="3"/>
  <c r="BW1313" i="3"/>
  <c r="BV1313" i="3"/>
  <c r="BU1313" i="3"/>
  <c r="BT1313" i="3"/>
  <c r="BS1313" i="3"/>
  <c r="BR1313" i="3"/>
  <c r="BQ1313" i="3"/>
  <c r="BP1313" i="3"/>
  <c r="BO1313" i="3"/>
  <c r="BN1313" i="3"/>
  <c r="DU1312" i="3"/>
  <c r="DT1312" i="3"/>
  <c r="DS1312" i="3"/>
  <c r="DR1312" i="3"/>
  <c r="DQ1312" i="3"/>
  <c r="DP1312" i="3"/>
  <c r="DO1312" i="3"/>
  <c r="DN1312" i="3"/>
  <c r="DM1312" i="3"/>
  <c r="DL1312" i="3"/>
  <c r="DK1312" i="3"/>
  <c r="DJ1312" i="3"/>
  <c r="DI1312" i="3"/>
  <c r="DH1312" i="3"/>
  <c r="DG1312" i="3"/>
  <c r="DF1312" i="3"/>
  <c r="DE1312" i="3"/>
  <c r="DD1312" i="3"/>
  <c r="DC1312" i="3"/>
  <c r="DB1312" i="3"/>
  <c r="DA1312" i="3"/>
  <c r="CZ1312" i="3"/>
  <c r="CY1312" i="3"/>
  <c r="CX1312" i="3"/>
  <c r="CW1312" i="3"/>
  <c r="CV1312" i="3"/>
  <c r="CU1312" i="3"/>
  <c r="CT1312" i="3"/>
  <c r="CS1312" i="3"/>
  <c r="CR1312" i="3"/>
  <c r="CQ1312" i="3"/>
  <c r="CP1312" i="3"/>
  <c r="CO1312" i="3"/>
  <c r="CN1312" i="3"/>
  <c r="CM1312" i="3"/>
  <c r="CL1312" i="3"/>
  <c r="CK1312" i="3"/>
  <c r="CJ1312" i="3"/>
  <c r="CI1312" i="3"/>
  <c r="CH1312" i="3"/>
  <c r="CG1312" i="3"/>
  <c r="CF1312" i="3"/>
  <c r="CE1312" i="3"/>
  <c r="CD1312" i="3"/>
  <c r="CC1312" i="3"/>
  <c r="CB1312" i="3"/>
  <c r="CA1312" i="3"/>
  <c r="BZ1312" i="3"/>
  <c r="BY1312" i="3"/>
  <c r="BX1312" i="3"/>
  <c r="BW1312" i="3"/>
  <c r="BV1312" i="3"/>
  <c r="BU1312" i="3"/>
  <c r="BT1312" i="3"/>
  <c r="BS1312" i="3"/>
  <c r="BR1312" i="3"/>
  <c r="BQ1312" i="3"/>
  <c r="BP1312" i="3"/>
  <c r="BO1312" i="3"/>
  <c r="BN1312" i="3"/>
  <c r="DU1311" i="3"/>
  <c r="DT1311" i="3"/>
  <c r="DS1311" i="3"/>
  <c r="DR1311" i="3"/>
  <c r="DQ1311" i="3"/>
  <c r="DP1311" i="3"/>
  <c r="DO1311" i="3"/>
  <c r="DN1311" i="3"/>
  <c r="DM1311" i="3"/>
  <c r="DL1311" i="3"/>
  <c r="DK1311" i="3"/>
  <c r="DJ1311" i="3"/>
  <c r="DI1311" i="3"/>
  <c r="DH1311" i="3"/>
  <c r="DG1311" i="3"/>
  <c r="DF1311" i="3"/>
  <c r="DE1311" i="3"/>
  <c r="DD1311" i="3"/>
  <c r="DC1311" i="3"/>
  <c r="DB1311" i="3"/>
  <c r="DA1311" i="3"/>
  <c r="CZ1311" i="3"/>
  <c r="CY1311" i="3"/>
  <c r="CX1311" i="3"/>
  <c r="CW1311" i="3"/>
  <c r="CV1311" i="3"/>
  <c r="CU1311" i="3"/>
  <c r="CT1311" i="3"/>
  <c r="CS1311" i="3"/>
  <c r="CR1311" i="3"/>
  <c r="CQ1311" i="3"/>
  <c r="CP1311" i="3"/>
  <c r="CO1311" i="3"/>
  <c r="CN1311" i="3"/>
  <c r="CM1311" i="3"/>
  <c r="CL1311" i="3"/>
  <c r="CK1311" i="3"/>
  <c r="CJ1311" i="3"/>
  <c r="CI1311" i="3"/>
  <c r="CH1311" i="3"/>
  <c r="CG1311" i="3"/>
  <c r="CF1311" i="3"/>
  <c r="CE1311" i="3"/>
  <c r="CD1311" i="3"/>
  <c r="CC1311" i="3"/>
  <c r="CB1311" i="3"/>
  <c r="CA1311" i="3"/>
  <c r="BZ1311" i="3"/>
  <c r="BY1311" i="3"/>
  <c r="BX1311" i="3"/>
  <c r="BW1311" i="3"/>
  <c r="BV1311" i="3"/>
  <c r="BU1311" i="3"/>
  <c r="BT1311" i="3"/>
  <c r="BS1311" i="3"/>
  <c r="BR1311" i="3"/>
  <c r="BQ1311" i="3"/>
  <c r="BP1311" i="3"/>
  <c r="BO1311" i="3"/>
  <c r="BN1311" i="3"/>
  <c r="DU1310" i="3"/>
  <c r="DT1310" i="3"/>
  <c r="DS1310" i="3"/>
  <c r="DR1310" i="3"/>
  <c r="DQ1310" i="3"/>
  <c r="DP1310" i="3"/>
  <c r="DO1310" i="3"/>
  <c r="DN1310" i="3"/>
  <c r="DM1310" i="3"/>
  <c r="DL1310" i="3"/>
  <c r="DK1310" i="3"/>
  <c r="DJ1310" i="3"/>
  <c r="DI1310" i="3"/>
  <c r="DH1310" i="3"/>
  <c r="DG1310" i="3"/>
  <c r="DF1310" i="3"/>
  <c r="DE1310" i="3"/>
  <c r="DD1310" i="3"/>
  <c r="DC1310" i="3"/>
  <c r="DB1310" i="3"/>
  <c r="DA1310" i="3"/>
  <c r="CZ1310" i="3"/>
  <c r="CY1310" i="3"/>
  <c r="CX1310" i="3"/>
  <c r="CW1310" i="3"/>
  <c r="CV1310" i="3"/>
  <c r="CU1310" i="3"/>
  <c r="CT1310" i="3"/>
  <c r="CS1310" i="3"/>
  <c r="CR1310" i="3"/>
  <c r="CQ1310" i="3"/>
  <c r="CP1310" i="3"/>
  <c r="CO1310" i="3"/>
  <c r="CN1310" i="3"/>
  <c r="CM1310" i="3"/>
  <c r="CL1310" i="3"/>
  <c r="CK1310" i="3"/>
  <c r="CJ1310" i="3"/>
  <c r="CI1310" i="3"/>
  <c r="CH1310" i="3"/>
  <c r="CG1310" i="3"/>
  <c r="CF1310" i="3"/>
  <c r="CE1310" i="3"/>
  <c r="CD1310" i="3"/>
  <c r="CC1310" i="3"/>
  <c r="CB1310" i="3"/>
  <c r="CA1310" i="3"/>
  <c r="BZ1310" i="3"/>
  <c r="BY1310" i="3"/>
  <c r="BX1310" i="3"/>
  <c r="BW1310" i="3"/>
  <c r="BV1310" i="3"/>
  <c r="BU1310" i="3"/>
  <c r="BT1310" i="3"/>
  <c r="BS1310" i="3"/>
  <c r="BR1310" i="3"/>
  <c r="BQ1310" i="3"/>
  <c r="BP1310" i="3"/>
  <c r="BO1310" i="3"/>
  <c r="BN1310" i="3"/>
  <c r="DU1309" i="3"/>
  <c r="DT1309" i="3"/>
  <c r="DS1309" i="3"/>
  <c r="DR1309" i="3"/>
  <c r="DQ1309" i="3"/>
  <c r="DP1309" i="3"/>
  <c r="DO1309" i="3"/>
  <c r="DN1309" i="3"/>
  <c r="DM1309" i="3"/>
  <c r="DL1309" i="3"/>
  <c r="DK1309" i="3"/>
  <c r="DJ1309" i="3"/>
  <c r="DI1309" i="3"/>
  <c r="DH1309" i="3"/>
  <c r="DG1309" i="3"/>
  <c r="DF1309" i="3"/>
  <c r="DE1309" i="3"/>
  <c r="DD1309" i="3"/>
  <c r="DC1309" i="3"/>
  <c r="DB1309" i="3"/>
  <c r="DA1309" i="3"/>
  <c r="CZ1309" i="3"/>
  <c r="CY1309" i="3"/>
  <c r="CX1309" i="3"/>
  <c r="CW1309" i="3"/>
  <c r="CV1309" i="3"/>
  <c r="CU1309" i="3"/>
  <c r="CT1309" i="3"/>
  <c r="CS1309" i="3"/>
  <c r="CR1309" i="3"/>
  <c r="CQ1309" i="3"/>
  <c r="CP1309" i="3"/>
  <c r="CO1309" i="3"/>
  <c r="CN1309" i="3"/>
  <c r="CM1309" i="3"/>
  <c r="CL1309" i="3"/>
  <c r="CK1309" i="3"/>
  <c r="CJ1309" i="3"/>
  <c r="CI1309" i="3"/>
  <c r="CH1309" i="3"/>
  <c r="CG1309" i="3"/>
  <c r="CF1309" i="3"/>
  <c r="CE1309" i="3"/>
  <c r="CD1309" i="3"/>
  <c r="CC1309" i="3"/>
  <c r="CB1309" i="3"/>
  <c r="CA1309" i="3"/>
  <c r="BZ1309" i="3"/>
  <c r="BY1309" i="3"/>
  <c r="BX1309" i="3"/>
  <c r="BW1309" i="3"/>
  <c r="BV1309" i="3"/>
  <c r="BU1309" i="3"/>
  <c r="BT1309" i="3"/>
  <c r="BS1309" i="3"/>
  <c r="BR1309" i="3"/>
  <c r="BQ1309" i="3"/>
  <c r="BP1309" i="3"/>
  <c r="BO1309" i="3"/>
  <c r="BN1309" i="3"/>
  <c r="DU1308" i="3"/>
  <c r="DT1308" i="3"/>
  <c r="DS1308" i="3"/>
  <c r="DR1308" i="3"/>
  <c r="DQ1308" i="3"/>
  <c r="DP1308" i="3"/>
  <c r="DO1308" i="3"/>
  <c r="DN1308" i="3"/>
  <c r="DM1308" i="3"/>
  <c r="DL1308" i="3"/>
  <c r="DK1308" i="3"/>
  <c r="DJ1308" i="3"/>
  <c r="DI1308" i="3"/>
  <c r="DH1308" i="3"/>
  <c r="DG1308" i="3"/>
  <c r="DF1308" i="3"/>
  <c r="DE1308" i="3"/>
  <c r="DD1308" i="3"/>
  <c r="DC1308" i="3"/>
  <c r="DB1308" i="3"/>
  <c r="DA1308" i="3"/>
  <c r="CZ1308" i="3"/>
  <c r="CY1308" i="3"/>
  <c r="CX1308" i="3"/>
  <c r="CW1308" i="3"/>
  <c r="CV1308" i="3"/>
  <c r="CU1308" i="3"/>
  <c r="CT1308" i="3"/>
  <c r="CS1308" i="3"/>
  <c r="CR1308" i="3"/>
  <c r="CQ1308" i="3"/>
  <c r="CP1308" i="3"/>
  <c r="CO1308" i="3"/>
  <c r="CN1308" i="3"/>
  <c r="CM1308" i="3"/>
  <c r="CL1308" i="3"/>
  <c r="CK1308" i="3"/>
  <c r="CJ1308" i="3"/>
  <c r="CI1308" i="3"/>
  <c r="CH1308" i="3"/>
  <c r="CG1308" i="3"/>
  <c r="CF1308" i="3"/>
  <c r="CE1308" i="3"/>
  <c r="CD1308" i="3"/>
  <c r="CC1308" i="3"/>
  <c r="CB1308" i="3"/>
  <c r="CA1308" i="3"/>
  <c r="BZ1308" i="3"/>
  <c r="BY1308" i="3"/>
  <c r="BX1308" i="3"/>
  <c r="BW1308" i="3"/>
  <c r="BV1308" i="3"/>
  <c r="BU1308" i="3"/>
  <c r="BT1308" i="3"/>
  <c r="BS1308" i="3"/>
  <c r="BR1308" i="3"/>
  <c r="BQ1308" i="3"/>
  <c r="BP1308" i="3"/>
  <c r="BO1308" i="3"/>
  <c r="BN1308" i="3"/>
  <c r="DU1307" i="3"/>
  <c r="DT1307" i="3"/>
  <c r="DS1307" i="3"/>
  <c r="DR1307" i="3"/>
  <c r="DQ1307" i="3"/>
  <c r="DP1307" i="3"/>
  <c r="DO1307" i="3"/>
  <c r="DN1307" i="3"/>
  <c r="DM1307" i="3"/>
  <c r="DL1307" i="3"/>
  <c r="DK1307" i="3"/>
  <c r="DJ1307" i="3"/>
  <c r="DI1307" i="3"/>
  <c r="DH1307" i="3"/>
  <c r="DG1307" i="3"/>
  <c r="DF1307" i="3"/>
  <c r="DE1307" i="3"/>
  <c r="DD1307" i="3"/>
  <c r="DC1307" i="3"/>
  <c r="DB1307" i="3"/>
  <c r="DA1307" i="3"/>
  <c r="CZ1307" i="3"/>
  <c r="CY1307" i="3"/>
  <c r="CX1307" i="3"/>
  <c r="CW1307" i="3"/>
  <c r="CV1307" i="3"/>
  <c r="CU1307" i="3"/>
  <c r="CT1307" i="3"/>
  <c r="CS1307" i="3"/>
  <c r="CR1307" i="3"/>
  <c r="CQ1307" i="3"/>
  <c r="CP1307" i="3"/>
  <c r="CO1307" i="3"/>
  <c r="CN1307" i="3"/>
  <c r="CM1307" i="3"/>
  <c r="CL1307" i="3"/>
  <c r="CK1307" i="3"/>
  <c r="CJ1307" i="3"/>
  <c r="CI1307" i="3"/>
  <c r="CH1307" i="3"/>
  <c r="CG1307" i="3"/>
  <c r="CF1307" i="3"/>
  <c r="CE1307" i="3"/>
  <c r="CD1307" i="3"/>
  <c r="CC1307" i="3"/>
  <c r="CB1307" i="3"/>
  <c r="CA1307" i="3"/>
  <c r="BZ1307" i="3"/>
  <c r="BY1307" i="3"/>
  <c r="BX1307" i="3"/>
  <c r="BW1307" i="3"/>
  <c r="BV1307" i="3"/>
  <c r="BU1307" i="3"/>
  <c r="BT1307" i="3"/>
  <c r="BS1307" i="3"/>
  <c r="BR1307" i="3"/>
  <c r="BQ1307" i="3"/>
  <c r="BP1307" i="3"/>
  <c r="BO1307" i="3"/>
  <c r="BN1307" i="3"/>
  <c r="DU1306" i="3"/>
  <c r="DT1306" i="3"/>
  <c r="DS1306" i="3"/>
  <c r="DR1306" i="3"/>
  <c r="DQ1306" i="3"/>
  <c r="DP1306" i="3"/>
  <c r="DO1306" i="3"/>
  <c r="DN1306" i="3"/>
  <c r="DM1306" i="3"/>
  <c r="DL1306" i="3"/>
  <c r="DK1306" i="3"/>
  <c r="DJ1306" i="3"/>
  <c r="DI1306" i="3"/>
  <c r="DH1306" i="3"/>
  <c r="DG1306" i="3"/>
  <c r="DF1306" i="3"/>
  <c r="DE1306" i="3"/>
  <c r="DD1306" i="3"/>
  <c r="DC1306" i="3"/>
  <c r="DB1306" i="3"/>
  <c r="DA1306" i="3"/>
  <c r="CZ1306" i="3"/>
  <c r="CY1306" i="3"/>
  <c r="CX1306" i="3"/>
  <c r="CW1306" i="3"/>
  <c r="CV1306" i="3"/>
  <c r="CU1306" i="3"/>
  <c r="CT1306" i="3"/>
  <c r="CS1306" i="3"/>
  <c r="CR1306" i="3"/>
  <c r="CQ1306" i="3"/>
  <c r="CP1306" i="3"/>
  <c r="CO1306" i="3"/>
  <c r="CN1306" i="3"/>
  <c r="CM1306" i="3"/>
  <c r="CL1306" i="3"/>
  <c r="CK1306" i="3"/>
  <c r="CJ1306" i="3"/>
  <c r="CI1306" i="3"/>
  <c r="CH1306" i="3"/>
  <c r="CG1306" i="3"/>
  <c r="CF1306" i="3"/>
  <c r="CE1306" i="3"/>
  <c r="CD1306" i="3"/>
  <c r="CC1306" i="3"/>
  <c r="CB1306" i="3"/>
  <c r="CA1306" i="3"/>
  <c r="BZ1306" i="3"/>
  <c r="BY1306" i="3"/>
  <c r="BX1306" i="3"/>
  <c r="BW1306" i="3"/>
  <c r="BV1306" i="3"/>
  <c r="BU1306" i="3"/>
  <c r="BT1306" i="3"/>
  <c r="BS1306" i="3"/>
  <c r="BR1306" i="3"/>
  <c r="BQ1306" i="3"/>
  <c r="BP1306" i="3"/>
  <c r="BO1306" i="3"/>
  <c r="BN1306" i="3"/>
  <c r="DU1305" i="3"/>
  <c r="DT1305" i="3"/>
  <c r="DS1305" i="3"/>
  <c r="DR1305" i="3"/>
  <c r="DQ1305" i="3"/>
  <c r="DP1305" i="3"/>
  <c r="DO1305" i="3"/>
  <c r="DN1305" i="3"/>
  <c r="DM1305" i="3"/>
  <c r="DL1305" i="3"/>
  <c r="DK1305" i="3"/>
  <c r="DJ1305" i="3"/>
  <c r="DI1305" i="3"/>
  <c r="DH1305" i="3"/>
  <c r="DG1305" i="3"/>
  <c r="DF1305" i="3"/>
  <c r="DE1305" i="3"/>
  <c r="DD1305" i="3"/>
  <c r="DC1305" i="3"/>
  <c r="DB1305" i="3"/>
  <c r="DA1305" i="3"/>
  <c r="CZ1305" i="3"/>
  <c r="CY1305" i="3"/>
  <c r="CX1305" i="3"/>
  <c r="CW1305" i="3"/>
  <c r="CV1305" i="3"/>
  <c r="CU1305" i="3"/>
  <c r="CT1305" i="3"/>
  <c r="CS1305" i="3"/>
  <c r="CR1305" i="3"/>
  <c r="CQ1305" i="3"/>
  <c r="CP1305" i="3"/>
  <c r="CO1305" i="3"/>
  <c r="CN1305" i="3"/>
  <c r="CM1305" i="3"/>
  <c r="CL1305" i="3"/>
  <c r="CK1305" i="3"/>
  <c r="CJ1305" i="3"/>
  <c r="CI1305" i="3"/>
  <c r="CH1305" i="3"/>
  <c r="CG1305" i="3"/>
  <c r="CF1305" i="3"/>
  <c r="CE1305" i="3"/>
  <c r="CD1305" i="3"/>
  <c r="CC1305" i="3"/>
  <c r="CB1305" i="3"/>
  <c r="CA1305" i="3"/>
  <c r="BZ1305" i="3"/>
  <c r="BY1305" i="3"/>
  <c r="BX1305" i="3"/>
  <c r="BW1305" i="3"/>
  <c r="BV1305" i="3"/>
  <c r="BU1305" i="3"/>
  <c r="BT1305" i="3"/>
  <c r="BS1305" i="3"/>
  <c r="BR1305" i="3"/>
  <c r="BQ1305" i="3"/>
  <c r="BP1305" i="3"/>
  <c r="BO1305" i="3"/>
  <c r="BN1305" i="3"/>
  <c r="DU1304" i="3"/>
  <c r="DT1304" i="3"/>
  <c r="DS1304" i="3"/>
  <c r="DR1304" i="3"/>
  <c r="DQ1304" i="3"/>
  <c r="DP1304" i="3"/>
  <c r="DO1304" i="3"/>
  <c r="DN1304" i="3"/>
  <c r="DM1304" i="3"/>
  <c r="DL1304" i="3"/>
  <c r="DK1304" i="3"/>
  <c r="DJ1304" i="3"/>
  <c r="DI1304" i="3"/>
  <c r="DH1304" i="3"/>
  <c r="DG1304" i="3"/>
  <c r="DF1304" i="3"/>
  <c r="DE1304" i="3"/>
  <c r="DD1304" i="3"/>
  <c r="DC1304" i="3"/>
  <c r="DB1304" i="3"/>
  <c r="DA1304" i="3"/>
  <c r="CZ1304" i="3"/>
  <c r="CY1304" i="3"/>
  <c r="CX1304" i="3"/>
  <c r="CW1304" i="3"/>
  <c r="CV1304" i="3"/>
  <c r="CU1304" i="3"/>
  <c r="CT1304" i="3"/>
  <c r="CS1304" i="3"/>
  <c r="CR1304" i="3"/>
  <c r="CQ1304" i="3"/>
  <c r="CP1304" i="3"/>
  <c r="CO1304" i="3"/>
  <c r="CN1304" i="3"/>
  <c r="CM1304" i="3"/>
  <c r="CL1304" i="3"/>
  <c r="CK1304" i="3"/>
  <c r="CJ1304" i="3"/>
  <c r="CI1304" i="3"/>
  <c r="CH1304" i="3"/>
  <c r="CG1304" i="3"/>
  <c r="CF1304" i="3"/>
  <c r="CE1304" i="3"/>
  <c r="CD1304" i="3"/>
  <c r="CC1304" i="3"/>
  <c r="CB1304" i="3"/>
  <c r="CA1304" i="3"/>
  <c r="BZ1304" i="3"/>
  <c r="BY1304" i="3"/>
  <c r="BX1304" i="3"/>
  <c r="BW1304" i="3"/>
  <c r="BV1304" i="3"/>
  <c r="BU1304" i="3"/>
  <c r="BT1304" i="3"/>
  <c r="BS1304" i="3"/>
  <c r="BR1304" i="3"/>
  <c r="BQ1304" i="3"/>
  <c r="BP1304" i="3"/>
  <c r="BO1304" i="3"/>
  <c r="BN1304" i="3"/>
  <c r="DU1303" i="3"/>
  <c r="DT1303" i="3"/>
  <c r="DS1303" i="3"/>
  <c r="DR1303" i="3"/>
  <c r="DQ1303" i="3"/>
  <c r="DP1303" i="3"/>
  <c r="DO1303" i="3"/>
  <c r="DN1303" i="3"/>
  <c r="DM1303" i="3"/>
  <c r="DL1303" i="3"/>
  <c r="DK1303" i="3"/>
  <c r="DJ1303" i="3"/>
  <c r="DI1303" i="3"/>
  <c r="DH1303" i="3"/>
  <c r="DG1303" i="3"/>
  <c r="DF1303" i="3"/>
  <c r="DE1303" i="3"/>
  <c r="DD1303" i="3"/>
  <c r="DC1303" i="3"/>
  <c r="DB1303" i="3"/>
  <c r="DA1303" i="3"/>
  <c r="CZ1303" i="3"/>
  <c r="CY1303" i="3"/>
  <c r="CX1303" i="3"/>
  <c r="CW1303" i="3"/>
  <c r="CV1303" i="3"/>
  <c r="CU1303" i="3"/>
  <c r="CT1303" i="3"/>
  <c r="CS1303" i="3"/>
  <c r="CR1303" i="3"/>
  <c r="CQ1303" i="3"/>
  <c r="CP1303" i="3"/>
  <c r="CO1303" i="3"/>
  <c r="CN1303" i="3"/>
  <c r="CM1303" i="3"/>
  <c r="CL1303" i="3"/>
  <c r="CK1303" i="3"/>
  <c r="CJ1303" i="3"/>
  <c r="CI1303" i="3"/>
  <c r="CH1303" i="3"/>
  <c r="CG1303" i="3"/>
  <c r="CF1303" i="3"/>
  <c r="CE1303" i="3"/>
  <c r="CD1303" i="3"/>
  <c r="CC1303" i="3"/>
  <c r="CB1303" i="3"/>
  <c r="CA1303" i="3"/>
  <c r="BZ1303" i="3"/>
  <c r="BY1303" i="3"/>
  <c r="BX1303" i="3"/>
  <c r="BW1303" i="3"/>
  <c r="BV1303" i="3"/>
  <c r="BU1303" i="3"/>
  <c r="BT1303" i="3"/>
  <c r="BS1303" i="3"/>
  <c r="BR1303" i="3"/>
  <c r="BQ1303" i="3"/>
  <c r="BP1303" i="3"/>
  <c r="BO1303" i="3"/>
  <c r="BN1303" i="3"/>
  <c r="DU1302" i="3"/>
  <c r="DT1302" i="3"/>
  <c r="DS1302" i="3"/>
  <c r="DR1302" i="3"/>
  <c r="DQ1302" i="3"/>
  <c r="DP1302" i="3"/>
  <c r="DO1302" i="3"/>
  <c r="DN1302" i="3"/>
  <c r="DM1302" i="3"/>
  <c r="DL1302" i="3"/>
  <c r="DK1302" i="3"/>
  <c r="DJ1302" i="3"/>
  <c r="DI1302" i="3"/>
  <c r="DH1302" i="3"/>
  <c r="DG1302" i="3"/>
  <c r="DF1302" i="3"/>
  <c r="DE1302" i="3"/>
  <c r="DD1302" i="3"/>
  <c r="DC1302" i="3"/>
  <c r="DB1302" i="3"/>
  <c r="DA1302" i="3"/>
  <c r="CZ1302" i="3"/>
  <c r="CY1302" i="3"/>
  <c r="CX1302" i="3"/>
  <c r="CW1302" i="3"/>
  <c r="CV1302" i="3"/>
  <c r="CU1302" i="3"/>
  <c r="CT1302" i="3"/>
  <c r="CS1302" i="3"/>
  <c r="CR1302" i="3"/>
  <c r="CQ1302" i="3"/>
  <c r="CP1302" i="3"/>
  <c r="CO1302" i="3"/>
  <c r="CN1302" i="3"/>
  <c r="CM1302" i="3"/>
  <c r="CL1302" i="3"/>
  <c r="CK1302" i="3"/>
  <c r="CJ1302" i="3"/>
  <c r="CI1302" i="3"/>
  <c r="CH1302" i="3"/>
  <c r="CG1302" i="3"/>
  <c r="CF1302" i="3"/>
  <c r="CE1302" i="3"/>
  <c r="CD1302" i="3"/>
  <c r="CC1302" i="3"/>
  <c r="CB1302" i="3"/>
  <c r="CA1302" i="3"/>
  <c r="BZ1302" i="3"/>
  <c r="BY1302" i="3"/>
  <c r="BX1302" i="3"/>
  <c r="BW1302" i="3"/>
  <c r="BV1302" i="3"/>
  <c r="BU1302" i="3"/>
  <c r="BT1302" i="3"/>
  <c r="BS1302" i="3"/>
  <c r="BR1302" i="3"/>
  <c r="BQ1302" i="3"/>
  <c r="BP1302" i="3"/>
  <c r="BO1302" i="3"/>
  <c r="BN1302" i="3"/>
  <c r="DU1301" i="3"/>
  <c r="DT1301" i="3"/>
  <c r="DS1301" i="3"/>
  <c r="DR1301" i="3"/>
  <c r="DQ1301" i="3"/>
  <c r="DP1301" i="3"/>
  <c r="DO1301" i="3"/>
  <c r="DN1301" i="3"/>
  <c r="DM1301" i="3"/>
  <c r="DL1301" i="3"/>
  <c r="DK1301" i="3"/>
  <c r="DJ1301" i="3"/>
  <c r="DI1301" i="3"/>
  <c r="DH1301" i="3"/>
  <c r="DG1301" i="3"/>
  <c r="DF1301" i="3"/>
  <c r="DE1301" i="3"/>
  <c r="DD1301" i="3"/>
  <c r="DC1301" i="3"/>
  <c r="DB1301" i="3"/>
  <c r="DA1301" i="3"/>
  <c r="CZ1301" i="3"/>
  <c r="CY1301" i="3"/>
  <c r="CX1301" i="3"/>
  <c r="CW1301" i="3"/>
  <c r="CV1301" i="3"/>
  <c r="CU1301" i="3"/>
  <c r="CT1301" i="3"/>
  <c r="CS1301" i="3"/>
  <c r="CR1301" i="3"/>
  <c r="CQ1301" i="3"/>
  <c r="CP1301" i="3"/>
  <c r="CO1301" i="3"/>
  <c r="CN1301" i="3"/>
  <c r="CM1301" i="3"/>
  <c r="CL1301" i="3"/>
  <c r="CK1301" i="3"/>
  <c r="CJ1301" i="3"/>
  <c r="CI1301" i="3"/>
  <c r="CH1301" i="3"/>
  <c r="CG1301" i="3"/>
  <c r="CF1301" i="3"/>
  <c r="CE1301" i="3"/>
  <c r="CD1301" i="3"/>
  <c r="CC1301" i="3"/>
  <c r="CB1301" i="3"/>
  <c r="CA1301" i="3"/>
  <c r="BZ1301" i="3"/>
  <c r="BY1301" i="3"/>
  <c r="BX1301" i="3"/>
  <c r="BW1301" i="3"/>
  <c r="BV1301" i="3"/>
  <c r="BU1301" i="3"/>
  <c r="BT1301" i="3"/>
  <c r="BS1301" i="3"/>
  <c r="BR1301" i="3"/>
  <c r="BQ1301" i="3"/>
  <c r="BP1301" i="3"/>
  <c r="BO1301" i="3"/>
  <c r="BN1301" i="3"/>
  <c r="DU1300" i="3"/>
  <c r="DT1300" i="3"/>
  <c r="DS1300" i="3"/>
  <c r="DR1300" i="3"/>
  <c r="DQ1300" i="3"/>
  <c r="DP1300" i="3"/>
  <c r="DO1300" i="3"/>
  <c r="DN1300" i="3"/>
  <c r="DM1300" i="3"/>
  <c r="DL1300" i="3"/>
  <c r="DK1300" i="3"/>
  <c r="DJ1300" i="3"/>
  <c r="DI1300" i="3"/>
  <c r="DH1300" i="3"/>
  <c r="DG1300" i="3"/>
  <c r="DF1300" i="3"/>
  <c r="DE1300" i="3"/>
  <c r="DD1300" i="3"/>
  <c r="DC1300" i="3"/>
  <c r="DB1300" i="3"/>
  <c r="DA1300" i="3"/>
  <c r="CZ1300" i="3"/>
  <c r="CY1300" i="3"/>
  <c r="CX1300" i="3"/>
  <c r="CW1300" i="3"/>
  <c r="CV1300" i="3"/>
  <c r="CU1300" i="3"/>
  <c r="CT1300" i="3"/>
  <c r="CS1300" i="3"/>
  <c r="CR1300" i="3"/>
  <c r="CQ1300" i="3"/>
  <c r="CP1300" i="3"/>
  <c r="CO1300" i="3"/>
  <c r="CN1300" i="3"/>
  <c r="CM1300" i="3"/>
  <c r="CL1300" i="3"/>
  <c r="CK1300" i="3"/>
  <c r="CJ1300" i="3"/>
  <c r="CI1300" i="3"/>
  <c r="CH1300" i="3"/>
  <c r="CG1300" i="3"/>
  <c r="CF1300" i="3"/>
  <c r="CE1300" i="3"/>
  <c r="CD1300" i="3"/>
  <c r="CC1300" i="3"/>
  <c r="CB1300" i="3"/>
  <c r="CA1300" i="3"/>
  <c r="BZ1300" i="3"/>
  <c r="BY1300" i="3"/>
  <c r="BX1300" i="3"/>
  <c r="BW1300" i="3"/>
  <c r="BV1300" i="3"/>
  <c r="BU1300" i="3"/>
  <c r="BT1300" i="3"/>
  <c r="BS1300" i="3"/>
  <c r="BR1300" i="3"/>
  <c r="BQ1300" i="3"/>
  <c r="BP1300" i="3"/>
  <c r="BO1300" i="3"/>
  <c r="BN1300" i="3"/>
  <c r="DU1299" i="3"/>
  <c r="DT1299" i="3"/>
  <c r="DS1299" i="3"/>
  <c r="DR1299" i="3"/>
  <c r="DQ1299" i="3"/>
  <c r="DP1299" i="3"/>
  <c r="DO1299" i="3"/>
  <c r="DN1299" i="3"/>
  <c r="DM1299" i="3"/>
  <c r="DL1299" i="3"/>
  <c r="DK1299" i="3"/>
  <c r="DJ1299" i="3"/>
  <c r="DI1299" i="3"/>
  <c r="DH1299" i="3"/>
  <c r="DG1299" i="3"/>
  <c r="DF1299" i="3"/>
  <c r="DE1299" i="3"/>
  <c r="DD1299" i="3"/>
  <c r="DC1299" i="3"/>
  <c r="DB1299" i="3"/>
  <c r="DA1299" i="3"/>
  <c r="CZ1299" i="3"/>
  <c r="CY1299" i="3"/>
  <c r="CX1299" i="3"/>
  <c r="CW1299" i="3"/>
  <c r="CV1299" i="3"/>
  <c r="CU1299" i="3"/>
  <c r="CT1299" i="3"/>
  <c r="CS1299" i="3"/>
  <c r="CR1299" i="3"/>
  <c r="CQ1299" i="3"/>
  <c r="CP1299" i="3"/>
  <c r="CO1299" i="3"/>
  <c r="CN1299" i="3"/>
  <c r="CM1299" i="3"/>
  <c r="CL1299" i="3"/>
  <c r="CK1299" i="3"/>
  <c r="CJ1299" i="3"/>
  <c r="CI1299" i="3"/>
  <c r="CH1299" i="3"/>
  <c r="CG1299" i="3"/>
  <c r="CF1299" i="3"/>
  <c r="CE1299" i="3"/>
  <c r="CD1299" i="3"/>
  <c r="CC1299" i="3"/>
  <c r="CB1299" i="3"/>
  <c r="CA1299" i="3"/>
  <c r="BZ1299" i="3"/>
  <c r="BY1299" i="3"/>
  <c r="BX1299" i="3"/>
  <c r="BW1299" i="3"/>
  <c r="BV1299" i="3"/>
  <c r="BU1299" i="3"/>
  <c r="BT1299" i="3"/>
  <c r="BS1299" i="3"/>
  <c r="BR1299" i="3"/>
  <c r="BQ1299" i="3"/>
  <c r="BP1299" i="3"/>
  <c r="BO1299" i="3"/>
  <c r="BN1299" i="3"/>
  <c r="DU1298" i="3"/>
  <c r="DT1298" i="3"/>
  <c r="DS1298" i="3"/>
  <c r="DR1298" i="3"/>
  <c r="DQ1298" i="3"/>
  <c r="DP1298" i="3"/>
  <c r="DO1298" i="3"/>
  <c r="DN1298" i="3"/>
  <c r="DM1298" i="3"/>
  <c r="DL1298" i="3"/>
  <c r="DK1298" i="3"/>
  <c r="DJ1298" i="3"/>
  <c r="DI1298" i="3"/>
  <c r="DH1298" i="3"/>
  <c r="DG1298" i="3"/>
  <c r="DF1298" i="3"/>
  <c r="DE1298" i="3"/>
  <c r="DD1298" i="3"/>
  <c r="DC1298" i="3"/>
  <c r="DB1298" i="3"/>
  <c r="DA1298" i="3"/>
  <c r="CZ1298" i="3"/>
  <c r="CY1298" i="3"/>
  <c r="CX1298" i="3"/>
  <c r="CW1298" i="3"/>
  <c r="CV1298" i="3"/>
  <c r="CU1298" i="3"/>
  <c r="CT1298" i="3"/>
  <c r="CS1298" i="3"/>
  <c r="CR1298" i="3"/>
  <c r="CQ1298" i="3"/>
  <c r="CP1298" i="3"/>
  <c r="CO1298" i="3"/>
  <c r="CN1298" i="3"/>
  <c r="CM1298" i="3"/>
  <c r="CL1298" i="3"/>
  <c r="CK1298" i="3"/>
  <c r="CJ1298" i="3"/>
  <c r="CI1298" i="3"/>
  <c r="CH1298" i="3"/>
  <c r="CG1298" i="3"/>
  <c r="CF1298" i="3"/>
  <c r="CE1298" i="3"/>
  <c r="CD1298" i="3"/>
  <c r="CC1298" i="3"/>
  <c r="CB1298" i="3"/>
  <c r="CA1298" i="3"/>
  <c r="BZ1298" i="3"/>
  <c r="BY1298" i="3"/>
  <c r="BX1298" i="3"/>
  <c r="BW1298" i="3"/>
  <c r="BV1298" i="3"/>
  <c r="BU1298" i="3"/>
  <c r="BT1298" i="3"/>
  <c r="BS1298" i="3"/>
  <c r="BR1298" i="3"/>
  <c r="BQ1298" i="3"/>
  <c r="BP1298" i="3"/>
  <c r="BO1298" i="3"/>
  <c r="BN1298" i="3"/>
  <c r="DU1297" i="3"/>
  <c r="DT1297" i="3"/>
  <c r="DS1297" i="3"/>
  <c r="DR1297" i="3"/>
  <c r="DQ1297" i="3"/>
  <c r="DP1297" i="3"/>
  <c r="DO1297" i="3"/>
  <c r="DN1297" i="3"/>
  <c r="DM1297" i="3"/>
  <c r="DL1297" i="3"/>
  <c r="DK1297" i="3"/>
  <c r="DJ1297" i="3"/>
  <c r="DI1297" i="3"/>
  <c r="DH1297" i="3"/>
  <c r="DG1297" i="3"/>
  <c r="DF1297" i="3"/>
  <c r="DE1297" i="3"/>
  <c r="DD1297" i="3"/>
  <c r="DC1297" i="3"/>
  <c r="DB1297" i="3"/>
  <c r="DA1297" i="3"/>
  <c r="CZ1297" i="3"/>
  <c r="CY1297" i="3"/>
  <c r="CX1297" i="3"/>
  <c r="CW1297" i="3"/>
  <c r="CV1297" i="3"/>
  <c r="CU1297" i="3"/>
  <c r="CT1297" i="3"/>
  <c r="CS1297" i="3"/>
  <c r="CR1297" i="3"/>
  <c r="CQ1297" i="3"/>
  <c r="CP1297" i="3"/>
  <c r="CO1297" i="3"/>
  <c r="CN1297" i="3"/>
  <c r="CM1297" i="3"/>
  <c r="CL1297" i="3"/>
  <c r="CK1297" i="3"/>
  <c r="CJ1297" i="3"/>
  <c r="CI1297" i="3"/>
  <c r="CH1297" i="3"/>
  <c r="CG1297" i="3"/>
  <c r="CF1297" i="3"/>
  <c r="CE1297" i="3"/>
  <c r="CD1297" i="3"/>
  <c r="CC1297" i="3"/>
  <c r="CB1297" i="3"/>
  <c r="CA1297" i="3"/>
  <c r="BZ1297" i="3"/>
  <c r="BY1297" i="3"/>
  <c r="BX1297" i="3"/>
  <c r="BW1297" i="3"/>
  <c r="BV1297" i="3"/>
  <c r="BU1297" i="3"/>
  <c r="BT1297" i="3"/>
  <c r="BS1297" i="3"/>
  <c r="BR1297" i="3"/>
  <c r="BQ1297" i="3"/>
  <c r="BP1297" i="3"/>
  <c r="BO1297" i="3"/>
  <c r="BN1297" i="3"/>
  <c r="DU1296" i="3"/>
  <c r="DT1296" i="3"/>
  <c r="DS1296" i="3"/>
  <c r="DR1296" i="3"/>
  <c r="DQ1296" i="3"/>
  <c r="DP1296" i="3"/>
  <c r="DO1296" i="3"/>
  <c r="DN1296" i="3"/>
  <c r="DM1296" i="3"/>
  <c r="DL1296" i="3"/>
  <c r="DK1296" i="3"/>
  <c r="DJ1296" i="3"/>
  <c r="DI1296" i="3"/>
  <c r="DH1296" i="3"/>
  <c r="DG1296" i="3"/>
  <c r="DF1296" i="3"/>
  <c r="DE1296" i="3"/>
  <c r="DD1296" i="3"/>
  <c r="DC1296" i="3"/>
  <c r="DB1296" i="3"/>
  <c r="DA1296" i="3"/>
  <c r="CZ1296" i="3"/>
  <c r="CY1296" i="3"/>
  <c r="CX1296" i="3"/>
  <c r="CW1296" i="3"/>
  <c r="CV1296" i="3"/>
  <c r="CU1296" i="3"/>
  <c r="CT1296" i="3"/>
  <c r="CS1296" i="3"/>
  <c r="CR1296" i="3"/>
  <c r="CQ1296" i="3"/>
  <c r="CP1296" i="3"/>
  <c r="CO1296" i="3"/>
  <c r="CN1296" i="3"/>
  <c r="CM1296" i="3"/>
  <c r="CL1296" i="3"/>
  <c r="CK1296" i="3"/>
  <c r="CJ1296" i="3"/>
  <c r="CI1296" i="3"/>
  <c r="CH1296" i="3"/>
  <c r="CG1296" i="3"/>
  <c r="CF1296" i="3"/>
  <c r="CE1296" i="3"/>
  <c r="CD1296" i="3"/>
  <c r="CC1296" i="3"/>
  <c r="CB1296" i="3"/>
  <c r="CA1296" i="3"/>
  <c r="BZ1296" i="3"/>
  <c r="BY1296" i="3"/>
  <c r="BX1296" i="3"/>
  <c r="BW1296" i="3"/>
  <c r="BV1296" i="3"/>
  <c r="BU1296" i="3"/>
  <c r="BT1296" i="3"/>
  <c r="BS1296" i="3"/>
  <c r="BR1296" i="3"/>
  <c r="BQ1296" i="3"/>
  <c r="BP1296" i="3"/>
  <c r="BO1296" i="3"/>
  <c r="BN1296" i="3"/>
  <c r="DU1295" i="3"/>
  <c r="DT1295" i="3"/>
  <c r="DS1295" i="3"/>
  <c r="DR1295" i="3"/>
  <c r="DQ1295" i="3"/>
  <c r="DP1295" i="3"/>
  <c r="DO1295" i="3"/>
  <c r="DN1295" i="3"/>
  <c r="DM1295" i="3"/>
  <c r="DL1295" i="3"/>
  <c r="DK1295" i="3"/>
  <c r="DJ1295" i="3"/>
  <c r="DI1295" i="3"/>
  <c r="DH1295" i="3"/>
  <c r="DG1295" i="3"/>
  <c r="DF1295" i="3"/>
  <c r="DE1295" i="3"/>
  <c r="DD1295" i="3"/>
  <c r="DC1295" i="3"/>
  <c r="DB1295" i="3"/>
  <c r="DA1295" i="3"/>
  <c r="CZ1295" i="3"/>
  <c r="CY1295" i="3"/>
  <c r="CX1295" i="3"/>
  <c r="CW1295" i="3"/>
  <c r="CV1295" i="3"/>
  <c r="CU1295" i="3"/>
  <c r="CT1295" i="3"/>
  <c r="CS1295" i="3"/>
  <c r="CR1295" i="3"/>
  <c r="CQ1295" i="3"/>
  <c r="CP1295" i="3"/>
  <c r="CO1295" i="3"/>
  <c r="CN1295" i="3"/>
  <c r="CM1295" i="3"/>
  <c r="CL1295" i="3"/>
  <c r="CK1295" i="3"/>
  <c r="CJ1295" i="3"/>
  <c r="CI1295" i="3"/>
  <c r="CH1295" i="3"/>
  <c r="CG1295" i="3"/>
  <c r="CF1295" i="3"/>
  <c r="CE1295" i="3"/>
  <c r="CD1295" i="3"/>
  <c r="CC1295" i="3"/>
  <c r="CB1295" i="3"/>
  <c r="CA1295" i="3"/>
  <c r="BZ1295" i="3"/>
  <c r="BY1295" i="3"/>
  <c r="BX1295" i="3"/>
  <c r="BW1295" i="3"/>
  <c r="BV1295" i="3"/>
  <c r="BU1295" i="3"/>
  <c r="BT1295" i="3"/>
  <c r="BS1295" i="3"/>
  <c r="BR1295" i="3"/>
  <c r="BQ1295" i="3"/>
  <c r="BP1295" i="3"/>
  <c r="BO1295" i="3"/>
  <c r="BN1295" i="3"/>
  <c r="DU1294" i="3"/>
  <c r="DT1294" i="3"/>
  <c r="DS1294" i="3"/>
  <c r="DR1294" i="3"/>
  <c r="DQ1294" i="3"/>
  <c r="DP1294" i="3"/>
  <c r="DO1294" i="3"/>
  <c r="DN1294" i="3"/>
  <c r="DM1294" i="3"/>
  <c r="DL1294" i="3"/>
  <c r="DK1294" i="3"/>
  <c r="DJ1294" i="3"/>
  <c r="DI1294" i="3"/>
  <c r="DH1294" i="3"/>
  <c r="DG1294" i="3"/>
  <c r="DF1294" i="3"/>
  <c r="DE1294" i="3"/>
  <c r="DD1294" i="3"/>
  <c r="DC1294" i="3"/>
  <c r="DB1294" i="3"/>
  <c r="DA1294" i="3"/>
  <c r="CZ1294" i="3"/>
  <c r="CY1294" i="3"/>
  <c r="CX1294" i="3"/>
  <c r="CW1294" i="3"/>
  <c r="CV1294" i="3"/>
  <c r="CU1294" i="3"/>
  <c r="CT1294" i="3"/>
  <c r="CS1294" i="3"/>
  <c r="CR1294" i="3"/>
  <c r="CQ1294" i="3"/>
  <c r="CP1294" i="3"/>
  <c r="CO1294" i="3"/>
  <c r="CN1294" i="3"/>
  <c r="CM1294" i="3"/>
  <c r="CL1294" i="3"/>
  <c r="CK1294" i="3"/>
  <c r="CJ1294" i="3"/>
  <c r="CI1294" i="3"/>
  <c r="CH1294" i="3"/>
  <c r="CG1294" i="3"/>
  <c r="CF1294" i="3"/>
  <c r="CE1294" i="3"/>
  <c r="CD1294" i="3"/>
  <c r="CC1294" i="3"/>
  <c r="CB1294" i="3"/>
  <c r="CA1294" i="3"/>
  <c r="BZ1294" i="3"/>
  <c r="BY1294" i="3"/>
  <c r="BX1294" i="3"/>
  <c r="BW1294" i="3"/>
  <c r="BV1294" i="3"/>
  <c r="BU1294" i="3"/>
  <c r="BT1294" i="3"/>
  <c r="BS1294" i="3"/>
  <c r="BR1294" i="3"/>
  <c r="BQ1294" i="3"/>
  <c r="BP1294" i="3"/>
  <c r="BO1294" i="3"/>
  <c r="BN1294" i="3"/>
  <c r="DU1293" i="3"/>
  <c r="DT1293" i="3"/>
  <c r="DS1293" i="3"/>
  <c r="DR1293" i="3"/>
  <c r="DQ1293" i="3"/>
  <c r="DP1293" i="3"/>
  <c r="DO1293" i="3"/>
  <c r="DN1293" i="3"/>
  <c r="DM1293" i="3"/>
  <c r="DL1293" i="3"/>
  <c r="DK1293" i="3"/>
  <c r="DJ1293" i="3"/>
  <c r="DI1293" i="3"/>
  <c r="DH1293" i="3"/>
  <c r="DG1293" i="3"/>
  <c r="DF1293" i="3"/>
  <c r="DE1293" i="3"/>
  <c r="DD1293" i="3"/>
  <c r="DC1293" i="3"/>
  <c r="DB1293" i="3"/>
  <c r="DA1293" i="3"/>
  <c r="CZ1293" i="3"/>
  <c r="CY1293" i="3"/>
  <c r="CX1293" i="3"/>
  <c r="CW1293" i="3"/>
  <c r="CV1293" i="3"/>
  <c r="CU1293" i="3"/>
  <c r="CT1293" i="3"/>
  <c r="CS1293" i="3"/>
  <c r="CR1293" i="3"/>
  <c r="CQ1293" i="3"/>
  <c r="CP1293" i="3"/>
  <c r="CO1293" i="3"/>
  <c r="CN1293" i="3"/>
  <c r="CM1293" i="3"/>
  <c r="CL1293" i="3"/>
  <c r="CK1293" i="3"/>
  <c r="CJ1293" i="3"/>
  <c r="CI1293" i="3"/>
  <c r="CH1293" i="3"/>
  <c r="CG1293" i="3"/>
  <c r="CF1293" i="3"/>
  <c r="CE1293" i="3"/>
  <c r="CD1293" i="3"/>
  <c r="CC1293" i="3"/>
  <c r="CB1293" i="3"/>
  <c r="CA1293" i="3"/>
  <c r="BZ1293" i="3"/>
  <c r="BY1293" i="3"/>
  <c r="BX1293" i="3"/>
  <c r="BW1293" i="3"/>
  <c r="BV1293" i="3"/>
  <c r="BU1293" i="3"/>
  <c r="BT1293" i="3"/>
  <c r="BS1293" i="3"/>
  <c r="BR1293" i="3"/>
  <c r="BQ1293" i="3"/>
  <c r="BP1293" i="3"/>
  <c r="BO1293" i="3"/>
  <c r="BN1293" i="3"/>
  <c r="DU1292" i="3"/>
  <c r="DT1292" i="3"/>
  <c r="DS1292" i="3"/>
  <c r="DR1292" i="3"/>
  <c r="DQ1292" i="3"/>
  <c r="DP1292" i="3"/>
  <c r="DO1292" i="3"/>
  <c r="DN1292" i="3"/>
  <c r="DM1292" i="3"/>
  <c r="DL1292" i="3"/>
  <c r="DK1292" i="3"/>
  <c r="DJ1292" i="3"/>
  <c r="DI1292" i="3"/>
  <c r="DH1292" i="3"/>
  <c r="DG1292" i="3"/>
  <c r="DF1292" i="3"/>
  <c r="DE1292" i="3"/>
  <c r="DD1292" i="3"/>
  <c r="DC1292" i="3"/>
  <c r="DB1292" i="3"/>
  <c r="DA1292" i="3"/>
  <c r="CZ1292" i="3"/>
  <c r="CY1292" i="3"/>
  <c r="CX1292" i="3"/>
  <c r="CW1292" i="3"/>
  <c r="CV1292" i="3"/>
  <c r="CU1292" i="3"/>
  <c r="CT1292" i="3"/>
  <c r="CS1292" i="3"/>
  <c r="CR1292" i="3"/>
  <c r="CQ1292" i="3"/>
  <c r="CP1292" i="3"/>
  <c r="CO1292" i="3"/>
  <c r="CN1292" i="3"/>
  <c r="CM1292" i="3"/>
  <c r="CL1292" i="3"/>
  <c r="CK1292" i="3"/>
  <c r="CJ1292" i="3"/>
  <c r="CI1292" i="3"/>
  <c r="CH1292" i="3"/>
  <c r="CG1292" i="3"/>
  <c r="CF1292" i="3"/>
  <c r="CE1292" i="3"/>
  <c r="CD1292" i="3"/>
  <c r="CC1292" i="3"/>
  <c r="CB1292" i="3"/>
  <c r="CA1292" i="3"/>
  <c r="BZ1292" i="3"/>
  <c r="BY1292" i="3"/>
  <c r="BX1292" i="3"/>
  <c r="BW1292" i="3"/>
  <c r="BV1292" i="3"/>
  <c r="BU1292" i="3"/>
  <c r="BT1292" i="3"/>
  <c r="BS1292" i="3"/>
  <c r="BR1292" i="3"/>
  <c r="BQ1292" i="3"/>
  <c r="BP1292" i="3"/>
  <c r="BO1292" i="3"/>
  <c r="BN1292" i="3"/>
  <c r="DU1291" i="3"/>
  <c r="DT1291" i="3"/>
  <c r="DS1291" i="3"/>
  <c r="DR1291" i="3"/>
  <c r="DQ1291" i="3"/>
  <c r="DP1291" i="3"/>
  <c r="DO1291" i="3"/>
  <c r="DN1291" i="3"/>
  <c r="DM1291" i="3"/>
  <c r="DL1291" i="3"/>
  <c r="DK1291" i="3"/>
  <c r="DJ1291" i="3"/>
  <c r="DI1291" i="3"/>
  <c r="DH1291" i="3"/>
  <c r="DG1291" i="3"/>
  <c r="DF1291" i="3"/>
  <c r="DE1291" i="3"/>
  <c r="DD1291" i="3"/>
  <c r="DC1291" i="3"/>
  <c r="DB1291" i="3"/>
  <c r="DA1291" i="3"/>
  <c r="CZ1291" i="3"/>
  <c r="CY1291" i="3"/>
  <c r="CX1291" i="3"/>
  <c r="CW1291" i="3"/>
  <c r="CV1291" i="3"/>
  <c r="CU1291" i="3"/>
  <c r="CT1291" i="3"/>
  <c r="CS1291" i="3"/>
  <c r="CR1291" i="3"/>
  <c r="CQ1291" i="3"/>
  <c r="CP1291" i="3"/>
  <c r="CO1291" i="3"/>
  <c r="CN1291" i="3"/>
  <c r="CM1291" i="3"/>
  <c r="CL1291" i="3"/>
  <c r="CK1291" i="3"/>
  <c r="CJ1291" i="3"/>
  <c r="CI1291" i="3"/>
  <c r="CH1291" i="3"/>
  <c r="CG1291" i="3"/>
  <c r="CF1291" i="3"/>
  <c r="CE1291" i="3"/>
  <c r="CD1291" i="3"/>
  <c r="CC1291" i="3"/>
  <c r="CB1291" i="3"/>
  <c r="CA1291" i="3"/>
  <c r="BZ1291" i="3"/>
  <c r="BY1291" i="3"/>
  <c r="BX1291" i="3"/>
  <c r="BW1291" i="3"/>
  <c r="BV1291" i="3"/>
  <c r="BU1291" i="3"/>
  <c r="BT1291" i="3"/>
  <c r="BS1291" i="3"/>
  <c r="BR1291" i="3"/>
  <c r="BQ1291" i="3"/>
  <c r="BP1291" i="3"/>
  <c r="BO1291" i="3"/>
  <c r="BN1291" i="3"/>
  <c r="DU1290" i="3"/>
  <c r="DT1290" i="3"/>
  <c r="DS1290" i="3"/>
  <c r="DR1290" i="3"/>
  <c r="DQ1290" i="3"/>
  <c r="DP1290" i="3"/>
  <c r="DO1290" i="3"/>
  <c r="DN1290" i="3"/>
  <c r="DM1290" i="3"/>
  <c r="DL1290" i="3"/>
  <c r="DK1290" i="3"/>
  <c r="DJ1290" i="3"/>
  <c r="DI1290" i="3"/>
  <c r="DH1290" i="3"/>
  <c r="DG1290" i="3"/>
  <c r="DF1290" i="3"/>
  <c r="DE1290" i="3"/>
  <c r="DD1290" i="3"/>
  <c r="DC1290" i="3"/>
  <c r="DB1290" i="3"/>
  <c r="DA1290" i="3"/>
  <c r="CZ1290" i="3"/>
  <c r="CY1290" i="3"/>
  <c r="CX1290" i="3"/>
  <c r="CW1290" i="3"/>
  <c r="CV1290" i="3"/>
  <c r="CU1290" i="3"/>
  <c r="CT1290" i="3"/>
  <c r="CS1290" i="3"/>
  <c r="CR1290" i="3"/>
  <c r="CQ1290" i="3"/>
  <c r="CP1290" i="3"/>
  <c r="CO1290" i="3"/>
  <c r="CN1290" i="3"/>
  <c r="CM1290" i="3"/>
  <c r="CL1290" i="3"/>
  <c r="CK1290" i="3"/>
  <c r="CJ1290" i="3"/>
  <c r="CI1290" i="3"/>
  <c r="CH1290" i="3"/>
  <c r="CG1290" i="3"/>
  <c r="CF1290" i="3"/>
  <c r="CE1290" i="3"/>
  <c r="CD1290" i="3"/>
  <c r="CC1290" i="3"/>
  <c r="CB1290" i="3"/>
  <c r="CA1290" i="3"/>
  <c r="BZ1290" i="3"/>
  <c r="BY1290" i="3"/>
  <c r="BX1290" i="3"/>
  <c r="BW1290" i="3"/>
  <c r="BV1290" i="3"/>
  <c r="BU1290" i="3"/>
  <c r="BT1290" i="3"/>
  <c r="BS1290" i="3"/>
  <c r="BR1290" i="3"/>
  <c r="BQ1290" i="3"/>
  <c r="BP1290" i="3"/>
  <c r="BO1290" i="3"/>
  <c r="BN1290" i="3"/>
  <c r="DU1289" i="3"/>
  <c r="DT1289" i="3"/>
  <c r="DS1289" i="3"/>
  <c r="DR1289" i="3"/>
  <c r="DQ1289" i="3"/>
  <c r="DP1289" i="3"/>
  <c r="DO1289" i="3"/>
  <c r="DN1289" i="3"/>
  <c r="DM1289" i="3"/>
  <c r="DL1289" i="3"/>
  <c r="DK1289" i="3"/>
  <c r="DJ1289" i="3"/>
  <c r="DI1289" i="3"/>
  <c r="DH1289" i="3"/>
  <c r="DG1289" i="3"/>
  <c r="DF1289" i="3"/>
  <c r="DE1289" i="3"/>
  <c r="DD1289" i="3"/>
  <c r="DC1289" i="3"/>
  <c r="DB1289" i="3"/>
  <c r="DA1289" i="3"/>
  <c r="CZ1289" i="3"/>
  <c r="CY1289" i="3"/>
  <c r="CX1289" i="3"/>
  <c r="CW1289" i="3"/>
  <c r="CV1289" i="3"/>
  <c r="CU1289" i="3"/>
  <c r="CT1289" i="3"/>
  <c r="CS1289" i="3"/>
  <c r="CR1289" i="3"/>
  <c r="CQ1289" i="3"/>
  <c r="CP1289" i="3"/>
  <c r="CO1289" i="3"/>
  <c r="CN1289" i="3"/>
  <c r="CM1289" i="3"/>
  <c r="CL1289" i="3"/>
  <c r="CK1289" i="3"/>
  <c r="CJ1289" i="3"/>
  <c r="CI1289" i="3"/>
  <c r="CH1289" i="3"/>
  <c r="CG1289" i="3"/>
  <c r="CF1289" i="3"/>
  <c r="CE1289" i="3"/>
  <c r="CD1289" i="3"/>
  <c r="CC1289" i="3"/>
  <c r="CB1289" i="3"/>
  <c r="CA1289" i="3"/>
  <c r="BZ1289" i="3"/>
  <c r="BY1289" i="3"/>
  <c r="BX1289" i="3"/>
  <c r="BW1289" i="3"/>
  <c r="BV1289" i="3"/>
  <c r="BU1289" i="3"/>
  <c r="BT1289" i="3"/>
  <c r="BS1289" i="3"/>
  <c r="BR1289" i="3"/>
  <c r="BQ1289" i="3"/>
  <c r="BP1289" i="3"/>
  <c r="BO1289" i="3"/>
  <c r="BN1289" i="3"/>
  <c r="DU1288" i="3"/>
  <c r="DT1288" i="3"/>
  <c r="DS1288" i="3"/>
  <c r="DR1288" i="3"/>
  <c r="DQ1288" i="3"/>
  <c r="DP1288" i="3"/>
  <c r="DO1288" i="3"/>
  <c r="DN1288" i="3"/>
  <c r="DM1288" i="3"/>
  <c r="DL1288" i="3"/>
  <c r="DK1288" i="3"/>
  <c r="DJ1288" i="3"/>
  <c r="DI1288" i="3"/>
  <c r="DH1288" i="3"/>
  <c r="DG1288" i="3"/>
  <c r="DF1288" i="3"/>
  <c r="DE1288" i="3"/>
  <c r="DD1288" i="3"/>
  <c r="DC1288" i="3"/>
  <c r="DB1288" i="3"/>
  <c r="DA1288" i="3"/>
  <c r="CZ1288" i="3"/>
  <c r="CY1288" i="3"/>
  <c r="CX1288" i="3"/>
  <c r="CW1288" i="3"/>
  <c r="CV1288" i="3"/>
  <c r="CU1288" i="3"/>
  <c r="CT1288" i="3"/>
  <c r="CS1288" i="3"/>
  <c r="CR1288" i="3"/>
  <c r="CQ1288" i="3"/>
  <c r="CP1288" i="3"/>
  <c r="CO1288" i="3"/>
  <c r="CN1288" i="3"/>
  <c r="CM1288" i="3"/>
  <c r="CL1288" i="3"/>
  <c r="CK1288" i="3"/>
  <c r="CJ1288" i="3"/>
  <c r="CI1288" i="3"/>
  <c r="CH1288" i="3"/>
  <c r="CG1288" i="3"/>
  <c r="CF1288" i="3"/>
  <c r="CE1288" i="3"/>
  <c r="CD1288" i="3"/>
  <c r="CC1288" i="3"/>
  <c r="CB1288" i="3"/>
  <c r="CA1288" i="3"/>
  <c r="BZ1288" i="3"/>
  <c r="BY1288" i="3"/>
  <c r="BX1288" i="3"/>
  <c r="BW1288" i="3"/>
  <c r="BV1288" i="3"/>
  <c r="BU1288" i="3"/>
  <c r="BT1288" i="3"/>
  <c r="BS1288" i="3"/>
  <c r="BR1288" i="3"/>
  <c r="BQ1288" i="3"/>
  <c r="BP1288" i="3"/>
  <c r="BO1288" i="3"/>
  <c r="BN1288" i="3"/>
  <c r="DU1287" i="3"/>
  <c r="DT1287" i="3"/>
  <c r="DS1287" i="3"/>
  <c r="DR1287" i="3"/>
  <c r="DQ1287" i="3"/>
  <c r="DP1287" i="3"/>
  <c r="DO1287" i="3"/>
  <c r="DN1287" i="3"/>
  <c r="DM1287" i="3"/>
  <c r="DL1287" i="3"/>
  <c r="DK1287" i="3"/>
  <c r="DJ1287" i="3"/>
  <c r="DI1287" i="3"/>
  <c r="DH1287" i="3"/>
  <c r="DG1287" i="3"/>
  <c r="DF1287" i="3"/>
  <c r="DE1287" i="3"/>
  <c r="DD1287" i="3"/>
  <c r="DC1287" i="3"/>
  <c r="DB1287" i="3"/>
  <c r="DA1287" i="3"/>
  <c r="CZ1287" i="3"/>
  <c r="CY1287" i="3"/>
  <c r="CX1287" i="3"/>
  <c r="CW1287" i="3"/>
  <c r="CV1287" i="3"/>
  <c r="CU1287" i="3"/>
  <c r="CT1287" i="3"/>
  <c r="CS1287" i="3"/>
  <c r="CR1287" i="3"/>
  <c r="CQ1287" i="3"/>
  <c r="CP1287" i="3"/>
  <c r="CO1287" i="3"/>
  <c r="CN1287" i="3"/>
  <c r="CM1287" i="3"/>
  <c r="CL1287" i="3"/>
  <c r="CK1287" i="3"/>
  <c r="CJ1287" i="3"/>
  <c r="CI1287" i="3"/>
  <c r="CH1287" i="3"/>
  <c r="CG1287" i="3"/>
  <c r="CF1287" i="3"/>
  <c r="CE1287" i="3"/>
  <c r="CD1287" i="3"/>
  <c r="CC1287" i="3"/>
  <c r="CB1287" i="3"/>
  <c r="CA1287" i="3"/>
  <c r="BZ1287" i="3"/>
  <c r="BY1287" i="3"/>
  <c r="BX1287" i="3"/>
  <c r="BW1287" i="3"/>
  <c r="BV1287" i="3"/>
  <c r="BU1287" i="3"/>
  <c r="BT1287" i="3"/>
  <c r="BS1287" i="3"/>
  <c r="BR1287" i="3"/>
  <c r="BQ1287" i="3"/>
  <c r="BP1287" i="3"/>
  <c r="BO1287" i="3"/>
  <c r="BN1287" i="3"/>
  <c r="DU1286" i="3"/>
  <c r="DT1286" i="3"/>
  <c r="DS1286" i="3"/>
  <c r="DR1286" i="3"/>
  <c r="DQ1286" i="3"/>
  <c r="DP1286" i="3"/>
  <c r="DO1286" i="3"/>
  <c r="DN1286" i="3"/>
  <c r="DM1286" i="3"/>
  <c r="DL1286" i="3"/>
  <c r="DK1286" i="3"/>
  <c r="DJ1286" i="3"/>
  <c r="DI1286" i="3"/>
  <c r="DH1286" i="3"/>
  <c r="DG1286" i="3"/>
  <c r="DF1286" i="3"/>
  <c r="DE1286" i="3"/>
  <c r="DD1286" i="3"/>
  <c r="DC1286" i="3"/>
  <c r="DB1286" i="3"/>
  <c r="DA1286" i="3"/>
  <c r="CZ1286" i="3"/>
  <c r="CY1286" i="3"/>
  <c r="CX1286" i="3"/>
  <c r="CW1286" i="3"/>
  <c r="CV1286" i="3"/>
  <c r="CU1286" i="3"/>
  <c r="CT1286" i="3"/>
  <c r="CS1286" i="3"/>
  <c r="CR1286" i="3"/>
  <c r="CQ1286" i="3"/>
  <c r="CP1286" i="3"/>
  <c r="CO1286" i="3"/>
  <c r="CN1286" i="3"/>
  <c r="CM1286" i="3"/>
  <c r="CL1286" i="3"/>
  <c r="CK1286" i="3"/>
  <c r="CJ1286" i="3"/>
  <c r="CI1286" i="3"/>
  <c r="CH1286" i="3"/>
  <c r="CG1286" i="3"/>
  <c r="CF1286" i="3"/>
  <c r="CE1286" i="3"/>
  <c r="CD1286" i="3"/>
  <c r="CC1286" i="3"/>
  <c r="CB1286" i="3"/>
  <c r="CA1286" i="3"/>
  <c r="BZ1286" i="3"/>
  <c r="BY1286" i="3"/>
  <c r="BX1286" i="3"/>
  <c r="BW1286" i="3"/>
  <c r="BV1286" i="3"/>
  <c r="BU1286" i="3"/>
  <c r="BT1286" i="3"/>
  <c r="BS1286" i="3"/>
  <c r="BR1286" i="3"/>
  <c r="BQ1286" i="3"/>
  <c r="BP1286" i="3"/>
  <c r="BO1286" i="3"/>
  <c r="BN1286" i="3"/>
  <c r="DU1285" i="3"/>
  <c r="DT1285" i="3"/>
  <c r="DS1285" i="3"/>
  <c r="DR1285" i="3"/>
  <c r="DQ1285" i="3"/>
  <c r="DP1285" i="3"/>
  <c r="DO1285" i="3"/>
  <c r="DN1285" i="3"/>
  <c r="DM1285" i="3"/>
  <c r="DL1285" i="3"/>
  <c r="DK1285" i="3"/>
  <c r="DJ1285" i="3"/>
  <c r="DI1285" i="3"/>
  <c r="DH1285" i="3"/>
  <c r="DG1285" i="3"/>
  <c r="DF1285" i="3"/>
  <c r="DE1285" i="3"/>
  <c r="DD1285" i="3"/>
  <c r="DC1285" i="3"/>
  <c r="DB1285" i="3"/>
  <c r="DA1285" i="3"/>
  <c r="CZ1285" i="3"/>
  <c r="CY1285" i="3"/>
  <c r="CX1285" i="3"/>
  <c r="CW1285" i="3"/>
  <c r="CV1285" i="3"/>
  <c r="CU1285" i="3"/>
  <c r="CT1285" i="3"/>
  <c r="CS1285" i="3"/>
  <c r="CR1285" i="3"/>
  <c r="CQ1285" i="3"/>
  <c r="CP1285" i="3"/>
  <c r="CO1285" i="3"/>
  <c r="CN1285" i="3"/>
  <c r="CM1285" i="3"/>
  <c r="CL1285" i="3"/>
  <c r="CK1285" i="3"/>
  <c r="CJ1285" i="3"/>
  <c r="CI1285" i="3"/>
  <c r="CH1285" i="3"/>
  <c r="CG1285" i="3"/>
  <c r="CF1285" i="3"/>
  <c r="CE1285" i="3"/>
  <c r="CD1285" i="3"/>
  <c r="CC1285" i="3"/>
  <c r="CB1285" i="3"/>
  <c r="CA1285" i="3"/>
  <c r="BZ1285" i="3"/>
  <c r="BY1285" i="3"/>
  <c r="BX1285" i="3"/>
  <c r="BW1285" i="3"/>
  <c r="BV1285" i="3"/>
  <c r="BU1285" i="3"/>
  <c r="BT1285" i="3"/>
  <c r="BS1285" i="3"/>
  <c r="BR1285" i="3"/>
  <c r="BQ1285" i="3"/>
  <c r="BP1285" i="3"/>
  <c r="BO1285" i="3"/>
  <c r="BN1285" i="3"/>
  <c r="DU1284" i="3"/>
  <c r="DT1284" i="3"/>
  <c r="DS1284" i="3"/>
  <c r="DR1284" i="3"/>
  <c r="DQ1284" i="3"/>
  <c r="DP1284" i="3"/>
  <c r="DO1284" i="3"/>
  <c r="DN1284" i="3"/>
  <c r="DM1284" i="3"/>
  <c r="DL1284" i="3"/>
  <c r="DK1284" i="3"/>
  <c r="DJ1284" i="3"/>
  <c r="DI1284" i="3"/>
  <c r="DH1284" i="3"/>
  <c r="DG1284" i="3"/>
  <c r="DF1284" i="3"/>
  <c r="DE1284" i="3"/>
  <c r="DD1284" i="3"/>
  <c r="DC1284" i="3"/>
  <c r="DB1284" i="3"/>
  <c r="DA1284" i="3"/>
  <c r="CZ1284" i="3"/>
  <c r="CY1284" i="3"/>
  <c r="CX1284" i="3"/>
  <c r="CW1284" i="3"/>
  <c r="CV1284" i="3"/>
  <c r="CU1284" i="3"/>
  <c r="CT1284" i="3"/>
  <c r="CS1284" i="3"/>
  <c r="CR1284" i="3"/>
  <c r="CQ1284" i="3"/>
  <c r="CP1284" i="3"/>
  <c r="CO1284" i="3"/>
  <c r="CN1284" i="3"/>
  <c r="CM1284" i="3"/>
  <c r="CL1284" i="3"/>
  <c r="CK1284" i="3"/>
  <c r="CJ1284" i="3"/>
  <c r="CI1284" i="3"/>
  <c r="CH1284" i="3"/>
  <c r="CG1284" i="3"/>
  <c r="CF1284" i="3"/>
  <c r="CE1284" i="3"/>
  <c r="CD1284" i="3"/>
  <c r="CC1284" i="3"/>
  <c r="CB1284" i="3"/>
  <c r="CA1284" i="3"/>
  <c r="BZ1284" i="3"/>
  <c r="BY1284" i="3"/>
  <c r="BX1284" i="3"/>
  <c r="BW1284" i="3"/>
  <c r="BV1284" i="3"/>
  <c r="BU1284" i="3"/>
  <c r="BT1284" i="3"/>
  <c r="BS1284" i="3"/>
  <c r="BR1284" i="3"/>
  <c r="BQ1284" i="3"/>
  <c r="BP1284" i="3"/>
  <c r="BO1284" i="3"/>
  <c r="BN1284" i="3"/>
  <c r="DU1283" i="3"/>
  <c r="DT1283" i="3"/>
  <c r="DS1283" i="3"/>
  <c r="DR1283" i="3"/>
  <c r="DQ1283" i="3"/>
  <c r="DP1283" i="3"/>
  <c r="DO1283" i="3"/>
  <c r="DN1283" i="3"/>
  <c r="DM1283" i="3"/>
  <c r="DL1283" i="3"/>
  <c r="DK1283" i="3"/>
  <c r="DJ1283" i="3"/>
  <c r="DI1283" i="3"/>
  <c r="DH1283" i="3"/>
  <c r="DG1283" i="3"/>
  <c r="DF1283" i="3"/>
  <c r="DE1283" i="3"/>
  <c r="DD1283" i="3"/>
  <c r="DC1283" i="3"/>
  <c r="DB1283" i="3"/>
  <c r="DA1283" i="3"/>
  <c r="CZ1283" i="3"/>
  <c r="CY1283" i="3"/>
  <c r="CX1283" i="3"/>
  <c r="CW1283" i="3"/>
  <c r="CV1283" i="3"/>
  <c r="CU1283" i="3"/>
  <c r="CT1283" i="3"/>
  <c r="CS1283" i="3"/>
  <c r="CR1283" i="3"/>
  <c r="CQ1283" i="3"/>
  <c r="CP1283" i="3"/>
  <c r="CO1283" i="3"/>
  <c r="CN1283" i="3"/>
  <c r="CM1283" i="3"/>
  <c r="CL1283" i="3"/>
  <c r="CK1283" i="3"/>
  <c r="CJ1283" i="3"/>
  <c r="CI1283" i="3"/>
  <c r="CH1283" i="3"/>
  <c r="CG1283" i="3"/>
  <c r="CF1283" i="3"/>
  <c r="CE1283" i="3"/>
  <c r="CD1283" i="3"/>
  <c r="CC1283" i="3"/>
  <c r="CB1283" i="3"/>
  <c r="CA1283" i="3"/>
  <c r="BZ1283" i="3"/>
  <c r="BY1283" i="3"/>
  <c r="BX1283" i="3"/>
  <c r="BW1283" i="3"/>
  <c r="BV1283" i="3"/>
  <c r="BU1283" i="3"/>
  <c r="BT1283" i="3"/>
  <c r="BS1283" i="3"/>
  <c r="BR1283" i="3"/>
  <c r="BQ1283" i="3"/>
  <c r="BP1283" i="3"/>
  <c r="BO1283" i="3"/>
  <c r="BN1283" i="3"/>
  <c r="DU1282" i="3"/>
  <c r="DT1282" i="3"/>
  <c r="DS1282" i="3"/>
  <c r="DR1282" i="3"/>
  <c r="DQ1282" i="3"/>
  <c r="DP1282" i="3"/>
  <c r="DO1282" i="3"/>
  <c r="DN1282" i="3"/>
  <c r="DM1282" i="3"/>
  <c r="DL1282" i="3"/>
  <c r="DK1282" i="3"/>
  <c r="DJ1282" i="3"/>
  <c r="DI1282" i="3"/>
  <c r="DH1282" i="3"/>
  <c r="DG1282" i="3"/>
  <c r="DF1282" i="3"/>
  <c r="DE1282" i="3"/>
  <c r="DD1282" i="3"/>
  <c r="DC1282" i="3"/>
  <c r="DB1282" i="3"/>
  <c r="DA1282" i="3"/>
  <c r="CZ1282" i="3"/>
  <c r="CY1282" i="3"/>
  <c r="CX1282" i="3"/>
  <c r="CW1282" i="3"/>
  <c r="CV1282" i="3"/>
  <c r="CU1282" i="3"/>
  <c r="CT1282" i="3"/>
  <c r="CS1282" i="3"/>
  <c r="CR1282" i="3"/>
  <c r="CQ1282" i="3"/>
  <c r="CP1282" i="3"/>
  <c r="CO1282" i="3"/>
  <c r="CN1282" i="3"/>
  <c r="CM1282" i="3"/>
  <c r="CL1282" i="3"/>
  <c r="CK1282" i="3"/>
  <c r="CJ1282" i="3"/>
  <c r="CI1282" i="3"/>
  <c r="CH1282" i="3"/>
  <c r="CG1282" i="3"/>
  <c r="CF1282" i="3"/>
  <c r="CE1282" i="3"/>
  <c r="CD1282" i="3"/>
  <c r="CC1282" i="3"/>
  <c r="CB1282" i="3"/>
  <c r="CA1282" i="3"/>
  <c r="BZ1282" i="3"/>
  <c r="BY1282" i="3"/>
  <c r="BX1282" i="3"/>
  <c r="BW1282" i="3"/>
  <c r="BV1282" i="3"/>
  <c r="BU1282" i="3"/>
  <c r="BT1282" i="3"/>
  <c r="BS1282" i="3"/>
  <c r="BR1282" i="3"/>
  <c r="BQ1282" i="3"/>
  <c r="BP1282" i="3"/>
  <c r="BO1282" i="3"/>
  <c r="BN1282" i="3"/>
  <c r="DU1281" i="3"/>
  <c r="DT1281" i="3"/>
  <c r="DS1281" i="3"/>
  <c r="DR1281" i="3"/>
  <c r="DQ1281" i="3"/>
  <c r="DP1281" i="3"/>
  <c r="DO1281" i="3"/>
  <c r="DN1281" i="3"/>
  <c r="DM1281" i="3"/>
  <c r="DL1281" i="3"/>
  <c r="DK1281" i="3"/>
  <c r="DJ1281" i="3"/>
  <c r="DI1281" i="3"/>
  <c r="DH1281" i="3"/>
  <c r="DG1281" i="3"/>
  <c r="DF1281" i="3"/>
  <c r="DE1281" i="3"/>
  <c r="DD1281" i="3"/>
  <c r="DC1281" i="3"/>
  <c r="DB1281" i="3"/>
  <c r="DA1281" i="3"/>
  <c r="CZ1281" i="3"/>
  <c r="CY1281" i="3"/>
  <c r="CX1281" i="3"/>
  <c r="CW1281" i="3"/>
  <c r="CV1281" i="3"/>
  <c r="CU1281" i="3"/>
  <c r="CT1281" i="3"/>
  <c r="CS1281" i="3"/>
  <c r="CR1281" i="3"/>
  <c r="CQ1281" i="3"/>
  <c r="CP1281" i="3"/>
  <c r="CO1281" i="3"/>
  <c r="CN1281" i="3"/>
  <c r="CM1281" i="3"/>
  <c r="CL1281" i="3"/>
  <c r="CK1281" i="3"/>
  <c r="CJ1281" i="3"/>
  <c r="CI1281" i="3"/>
  <c r="CH1281" i="3"/>
  <c r="CG1281" i="3"/>
  <c r="CF1281" i="3"/>
  <c r="CE1281" i="3"/>
  <c r="CD1281" i="3"/>
  <c r="CC1281" i="3"/>
  <c r="CB1281" i="3"/>
  <c r="CA1281" i="3"/>
  <c r="BZ1281" i="3"/>
  <c r="BY1281" i="3"/>
  <c r="BX1281" i="3"/>
  <c r="BW1281" i="3"/>
  <c r="BV1281" i="3"/>
  <c r="BU1281" i="3"/>
  <c r="BT1281" i="3"/>
  <c r="BS1281" i="3"/>
  <c r="BR1281" i="3"/>
  <c r="BQ1281" i="3"/>
  <c r="BP1281" i="3"/>
  <c r="BO1281" i="3"/>
  <c r="BN1281" i="3"/>
  <c r="DU1280" i="3"/>
  <c r="DT1280" i="3"/>
  <c r="DS1280" i="3"/>
  <c r="DR1280" i="3"/>
  <c r="DQ1280" i="3"/>
  <c r="DP1280" i="3"/>
  <c r="DO1280" i="3"/>
  <c r="DN1280" i="3"/>
  <c r="DM1280" i="3"/>
  <c r="DL1280" i="3"/>
  <c r="DK1280" i="3"/>
  <c r="DJ1280" i="3"/>
  <c r="DI1280" i="3"/>
  <c r="DH1280" i="3"/>
  <c r="DG1280" i="3"/>
  <c r="DF1280" i="3"/>
  <c r="DE1280" i="3"/>
  <c r="DD1280" i="3"/>
  <c r="DC1280" i="3"/>
  <c r="DB1280" i="3"/>
  <c r="DA1280" i="3"/>
  <c r="CZ1280" i="3"/>
  <c r="CY1280" i="3"/>
  <c r="CX1280" i="3"/>
  <c r="CW1280" i="3"/>
  <c r="CV1280" i="3"/>
  <c r="CU1280" i="3"/>
  <c r="CT1280" i="3"/>
  <c r="CS1280" i="3"/>
  <c r="CR1280" i="3"/>
  <c r="CQ1280" i="3"/>
  <c r="CP1280" i="3"/>
  <c r="CO1280" i="3"/>
  <c r="CN1280" i="3"/>
  <c r="CM1280" i="3"/>
  <c r="CL1280" i="3"/>
  <c r="CK1280" i="3"/>
  <c r="CJ1280" i="3"/>
  <c r="CI1280" i="3"/>
  <c r="CH1280" i="3"/>
  <c r="CG1280" i="3"/>
  <c r="CF1280" i="3"/>
  <c r="CE1280" i="3"/>
  <c r="CD1280" i="3"/>
  <c r="CC1280" i="3"/>
  <c r="CB1280" i="3"/>
  <c r="CA1280" i="3"/>
  <c r="BZ1280" i="3"/>
  <c r="BY1280" i="3"/>
  <c r="BX1280" i="3"/>
  <c r="BW1280" i="3"/>
  <c r="BV1280" i="3"/>
  <c r="BU1280" i="3"/>
  <c r="BT1280" i="3"/>
  <c r="BS1280" i="3"/>
  <c r="BR1280" i="3"/>
  <c r="BQ1280" i="3"/>
  <c r="BP1280" i="3"/>
  <c r="BO1280" i="3"/>
  <c r="BN1280" i="3"/>
  <c r="DU1279" i="3"/>
  <c r="DT1279" i="3"/>
  <c r="DS1279" i="3"/>
  <c r="DR1279" i="3"/>
  <c r="DQ1279" i="3"/>
  <c r="DP1279" i="3"/>
  <c r="DO1279" i="3"/>
  <c r="DN1279" i="3"/>
  <c r="DM1279" i="3"/>
  <c r="DL1279" i="3"/>
  <c r="DK1279" i="3"/>
  <c r="DJ1279" i="3"/>
  <c r="DI1279" i="3"/>
  <c r="DH1279" i="3"/>
  <c r="DG1279" i="3"/>
  <c r="DF1279" i="3"/>
  <c r="DE1279" i="3"/>
  <c r="DD1279" i="3"/>
  <c r="DC1279" i="3"/>
  <c r="DB1279" i="3"/>
  <c r="DA1279" i="3"/>
  <c r="CZ1279" i="3"/>
  <c r="CY1279" i="3"/>
  <c r="CX1279" i="3"/>
  <c r="CW1279" i="3"/>
  <c r="CV1279" i="3"/>
  <c r="CU1279" i="3"/>
  <c r="CT1279" i="3"/>
  <c r="CS1279" i="3"/>
  <c r="CR1279" i="3"/>
  <c r="CQ1279" i="3"/>
  <c r="CP1279" i="3"/>
  <c r="CO1279" i="3"/>
  <c r="CN1279" i="3"/>
  <c r="CM1279" i="3"/>
  <c r="CL1279" i="3"/>
  <c r="CK1279" i="3"/>
  <c r="CJ1279" i="3"/>
  <c r="CI1279" i="3"/>
  <c r="CH1279" i="3"/>
  <c r="CG1279" i="3"/>
  <c r="CF1279" i="3"/>
  <c r="CE1279" i="3"/>
  <c r="CD1279" i="3"/>
  <c r="CC1279" i="3"/>
  <c r="CB1279" i="3"/>
  <c r="CA1279" i="3"/>
  <c r="BZ1279" i="3"/>
  <c r="BY1279" i="3"/>
  <c r="BX1279" i="3"/>
  <c r="BW1279" i="3"/>
  <c r="BV1279" i="3"/>
  <c r="BU1279" i="3"/>
  <c r="BT1279" i="3"/>
  <c r="BS1279" i="3"/>
  <c r="BR1279" i="3"/>
  <c r="BQ1279" i="3"/>
  <c r="BP1279" i="3"/>
  <c r="BO1279" i="3"/>
  <c r="BN1279" i="3"/>
  <c r="DU1278" i="3"/>
  <c r="DT1278" i="3"/>
  <c r="DS1278" i="3"/>
  <c r="DR1278" i="3"/>
  <c r="DQ1278" i="3"/>
  <c r="DP1278" i="3"/>
  <c r="DO1278" i="3"/>
  <c r="DN1278" i="3"/>
  <c r="DM1278" i="3"/>
  <c r="DL1278" i="3"/>
  <c r="DK1278" i="3"/>
  <c r="DJ1278" i="3"/>
  <c r="DI1278" i="3"/>
  <c r="DH1278" i="3"/>
  <c r="DG1278" i="3"/>
  <c r="DF1278" i="3"/>
  <c r="DE1278" i="3"/>
  <c r="DD1278" i="3"/>
  <c r="DC1278" i="3"/>
  <c r="DB1278" i="3"/>
  <c r="DA1278" i="3"/>
  <c r="CZ1278" i="3"/>
  <c r="CY1278" i="3"/>
  <c r="CX1278" i="3"/>
  <c r="CW1278" i="3"/>
  <c r="CV1278" i="3"/>
  <c r="CU1278" i="3"/>
  <c r="CT1278" i="3"/>
  <c r="CS1278" i="3"/>
  <c r="CR1278" i="3"/>
  <c r="CQ1278" i="3"/>
  <c r="CP1278" i="3"/>
  <c r="CO1278" i="3"/>
  <c r="CN1278" i="3"/>
  <c r="CM1278" i="3"/>
  <c r="CL1278" i="3"/>
  <c r="CK1278" i="3"/>
  <c r="CJ1278" i="3"/>
  <c r="CI1278" i="3"/>
  <c r="CH1278" i="3"/>
  <c r="CG1278" i="3"/>
  <c r="CF1278" i="3"/>
  <c r="CE1278" i="3"/>
  <c r="CD1278" i="3"/>
  <c r="CC1278" i="3"/>
  <c r="CB1278" i="3"/>
  <c r="CA1278" i="3"/>
  <c r="BZ1278" i="3"/>
  <c r="BY1278" i="3"/>
  <c r="BX1278" i="3"/>
  <c r="BW1278" i="3"/>
  <c r="BV1278" i="3"/>
  <c r="BU1278" i="3"/>
  <c r="BT1278" i="3"/>
  <c r="BS1278" i="3"/>
  <c r="BR1278" i="3"/>
  <c r="BQ1278" i="3"/>
  <c r="BP1278" i="3"/>
  <c r="BO1278" i="3"/>
  <c r="BN1278" i="3"/>
  <c r="DU1277" i="3"/>
  <c r="DT1277" i="3"/>
  <c r="DS1277" i="3"/>
  <c r="DR1277" i="3"/>
  <c r="DQ1277" i="3"/>
  <c r="DP1277" i="3"/>
  <c r="DO1277" i="3"/>
  <c r="DN1277" i="3"/>
  <c r="DM1277" i="3"/>
  <c r="DL1277" i="3"/>
  <c r="DK1277" i="3"/>
  <c r="DJ1277" i="3"/>
  <c r="DI1277" i="3"/>
  <c r="DH1277" i="3"/>
  <c r="DG1277" i="3"/>
  <c r="DF1277" i="3"/>
  <c r="DE1277" i="3"/>
  <c r="DD1277" i="3"/>
  <c r="DC1277" i="3"/>
  <c r="DB1277" i="3"/>
  <c r="DA1277" i="3"/>
  <c r="CZ1277" i="3"/>
  <c r="CY1277" i="3"/>
  <c r="CX1277" i="3"/>
  <c r="CW1277" i="3"/>
  <c r="CV1277" i="3"/>
  <c r="CU1277" i="3"/>
  <c r="CT1277" i="3"/>
  <c r="CS1277" i="3"/>
  <c r="CR1277" i="3"/>
  <c r="CQ1277" i="3"/>
  <c r="CP1277" i="3"/>
  <c r="CO1277" i="3"/>
  <c r="CN1277" i="3"/>
  <c r="CM1277" i="3"/>
  <c r="CL1277" i="3"/>
  <c r="CK1277" i="3"/>
  <c r="CJ1277" i="3"/>
  <c r="CI1277" i="3"/>
  <c r="CH1277" i="3"/>
  <c r="CG1277" i="3"/>
  <c r="CF1277" i="3"/>
  <c r="CE1277" i="3"/>
  <c r="CD1277" i="3"/>
  <c r="CC1277" i="3"/>
  <c r="CB1277" i="3"/>
  <c r="CA1277" i="3"/>
  <c r="BZ1277" i="3"/>
  <c r="BY1277" i="3"/>
  <c r="BX1277" i="3"/>
  <c r="BW1277" i="3"/>
  <c r="BV1277" i="3"/>
  <c r="BU1277" i="3"/>
  <c r="BT1277" i="3"/>
  <c r="BS1277" i="3"/>
  <c r="BR1277" i="3"/>
  <c r="BQ1277" i="3"/>
  <c r="BP1277" i="3"/>
  <c r="BO1277" i="3"/>
  <c r="BN1277" i="3"/>
  <c r="DU1276" i="3"/>
  <c r="DT1276" i="3"/>
  <c r="DS1276" i="3"/>
  <c r="DR1276" i="3"/>
  <c r="DQ1276" i="3"/>
  <c r="DP1276" i="3"/>
  <c r="DO1276" i="3"/>
  <c r="DN1276" i="3"/>
  <c r="DM1276" i="3"/>
  <c r="DL1276" i="3"/>
  <c r="DK1276" i="3"/>
  <c r="DJ1276" i="3"/>
  <c r="DI1276" i="3"/>
  <c r="DH1276" i="3"/>
  <c r="DG1276" i="3"/>
  <c r="DF1276" i="3"/>
  <c r="DE1276" i="3"/>
  <c r="DD1276" i="3"/>
  <c r="DC1276" i="3"/>
  <c r="DB1276" i="3"/>
  <c r="DA1276" i="3"/>
  <c r="CZ1276" i="3"/>
  <c r="CY1276" i="3"/>
  <c r="CX1276" i="3"/>
  <c r="CW1276" i="3"/>
  <c r="CV1276" i="3"/>
  <c r="CU1276" i="3"/>
  <c r="CT1276" i="3"/>
  <c r="CS1276" i="3"/>
  <c r="CR1276" i="3"/>
  <c r="CQ1276" i="3"/>
  <c r="CP1276" i="3"/>
  <c r="CO1276" i="3"/>
  <c r="CN1276" i="3"/>
  <c r="CM1276" i="3"/>
  <c r="CL1276" i="3"/>
  <c r="CK1276" i="3"/>
  <c r="CJ1276" i="3"/>
  <c r="CI1276" i="3"/>
  <c r="CH1276" i="3"/>
  <c r="CG1276" i="3"/>
  <c r="CF1276" i="3"/>
  <c r="CE1276" i="3"/>
  <c r="CD1276" i="3"/>
  <c r="CC1276" i="3"/>
  <c r="CB1276" i="3"/>
  <c r="CA1276" i="3"/>
  <c r="BZ1276" i="3"/>
  <c r="BY1276" i="3"/>
  <c r="BX1276" i="3"/>
  <c r="BW1276" i="3"/>
  <c r="BV1276" i="3"/>
  <c r="BU1276" i="3"/>
  <c r="BT1276" i="3"/>
  <c r="BS1276" i="3"/>
  <c r="BR1276" i="3"/>
  <c r="BQ1276" i="3"/>
  <c r="BP1276" i="3"/>
  <c r="BO1276" i="3"/>
  <c r="BN1276" i="3"/>
  <c r="DU1275" i="3"/>
  <c r="DT1275" i="3"/>
  <c r="DS1275" i="3"/>
  <c r="DR1275" i="3"/>
  <c r="DQ1275" i="3"/>
  <c r="DP1275" i="3"/>
  <c r="DO1275" i="3"/>
  <c r="DN1275" i="3"/>
  <c r="DM1275" i="3"/>
  <c r="DL1275" i="3"/>
  <c r="DK1275" i="3"/>
  <c r="DJ1275" i="3"/>
  <c r="DI1275" i="3"/>
  <c r="DH1275" i="3"/>
  <c r="DG1275" i="3"/>
  <c r="DF1275" i="3"/>
  <c r="DE1275" i="3"/>
  <c r="DD1275" i="3"/>
  <c r="DC1275" i="3"/>
  <c r="DB1275" i="3"/>
  <c r="DA1275" i="3"/>
  <c r="CZ1275" i="3"/>
  <c r="CY1275" i="3"/>
  <c r="CX1275" i="3"/>
  <c r="CW1275" i="3"/>
  <c r="CV1275" i="3"/>
  <c r="CU1275" i="3"/>
  <c r="CT1275" i="3"/>
  <c r="CS1275" i="3"/>
  <c r="CR1275" i="3"/>
  <c r="CQ1275" i="3"/>
  <c r="CP1275" i="3"/>
  <c r="CO1275" i="3"/>
  <c r="CN1275" i="3"/>
  <c r="CM1275" i="3"/>
  <c r="CL1275" i="3"/>
  <c r="CK1275" i="3"/>
  <c r="CJ1275" i="3"/>
  <c r="CI1275" i="3"/>
  <c r="CH1275" i="3"/>
  <c r="CG1275" i="3"/>
  <c r="CF1275" i="3"/>
  <c r="CE1275" i="3"/>
  <c r="CD1275" i="3"/>
  <c r="CC1275" i="3"/>
  <c r="CB1275" i="3"/>
  <c r="CA1275" i="3"/>
  <c r="BZ1275" i="3"/>
  <c r="BY1275" i="3"/>
  <c r="BX1275" i="3"/>
  <c r="BW1275" i="3"/>
  <c r="BV1275" i="3"/>
  <c r="BU1275" i="3"/>
  <c r="BT1275" i="3"/>
  <c r="BS1275" i="3"/>
  <c r="BR1275" i="3"/>
  <c r="BQ1275" i="3"/>
  <c r="BP1275" i="3"/>
  <c r="BO1275" i="3"/>
  <c r="BN1275" i="3"/>
  <c r="DU1274" i="3"/>
  <c r="DT1274" i="3"/>
  <c r="DS1274" i="3"/>
  <c r="DR1274" i="3"/>
  <c r="DQ1274" i="3"/>
  <c r="DP1274" i="3"/>
  <c r="DO1274" i="3"/>
  <c r="DN1274" i="3"/>
  <c r="DM1274" i="3"/>
  <c r="DL1274" i="3"/>
  <c r="DK1274" i="3"/>
  <c r="DJ1274" i="3"/>
  <c r="DI1274" i="3"/>
  <c r="DH1274" i="3"/>
  <c r="DG1274" i="3"/>
  <c r="DF1274" i="3"/>
  <c r="DE1274" i="3"/>
  <c r="DD1274" i="3"/>
  <c r="DC1274" i="3"/>
  <c r="DB1274" i="3"/>
  <c r="DA1274" i="3"/>
  <c r="CZ1274" i="3"/>
  <c r="CY1274" i="3"/>
  <c r="CX1274" i="3"/>
  <c r="CW1274" i="3"/>
  <c r="CV1274" i="3"/>
  <c r="CU1274" i="3"/>
  <c r="CT1274" i="3"/>
  <c r="CS1274" i="3"/>
  <c r="CR1274" i="3"/>
  <c r="CQ1274" i="3"/>
  <c r="CP1274" i="3"/>
  <c r="CO1274" i="3"/>
  <c r="CN1274" i="3"/>
  <c r="CM1274" i="3"/>
  <c r="CL1274" i="3"/>
  <c r="CK1274" i="3"/>
  <c r="CJ1274" i="3"/>
  <c r="CI1274" i="3"/>
  <c r="CH1274" i="3"/>
  <c r="CG1274" i="3"/>
  <c r="CF1274" i="3"/>
  <c r="CE1274" i="3"/>
  <c r="CD1274" i="3"/>
  <c r="CC1274" i="3"/>
  <c r="CB1274" i="3"/>
  <c r="CA1274" i="3"/>
  <c r="BZ1274" i="3"/>
  <c r="BY1274" i="3"/>
  <c r="BX1274" i="3"/>
  <c r="BW1274" i="3"/>
  <c r="BV1274" i="3"/>
  <c r="BU1274" i="3"/>
  <c r="BT1274" i="3"/>
  <c r="BS1274" i="3"/>
  <c r="BR1274" i="3"/>
  <c r="BQ1274" i="3"/>
  <c r="BP1274" i="3"/>
  <c r="BO1274" i="3"/>
  <c r="BN1274" i="3"/>
  <c r="DU1273" i="3"/>
  <c r="DT1273" i="3"/>
  <c r="DS1273" i="3"/>
  <c r="DR1273" i="3"/>
  <c r="DQ1273" i="3"/>
  <c r="DP1273" i="3"/>
  <c r="DO1273" i="3"/>
  <c r="DN1273" i="3"/>
  <c r="DM1273" i="3"/>
  <c r="DL1273" i="3"/>
  <c r="DK1273" i="3"/>
  <c r="DJ1273" i="3"/>
  <c r="DI1273" i="3"/>
  <c r="DH1273" i="3"/>
  <c r="DG1273" i="3"/>
  <c r="DF1273" i="3"/>
  <c r="DE1273" i="3"/>
  <c r="DD1273" i="3"/>
  <c r="DC1273" i="3"/>
  <c r="DB1273" i="3"/>
  <c r="DA1273" i="3"/>
  <c r="CZ1273" i="3"/>
  <c r="CY1273" i="3"/>
  <c r="CX1273" i="3"/>
  <c r="CW1273" i="3"/>
  <c r="CV1273" i="3"/>
  <c r="CU1273" i="3"/>
  <c r="CT1273" i="3"/>
  <c r="CS1273" i="3"/>
  <c r="CR1273" i="3"/>
  <c r="CQ1273" i="3"/>
  <c r="CP1273" i="3"/>
  <c r="CO1273" i="3"/>
  <c r="CN1273" i="3"/>
  <c r="CM1273" i="3"/>
  <c r="CL1273" i="3"/>
  <c r="CK1273" i="3"/>
  <c r="CJ1273" i="3"/>
  <c r="CI1273" i="3"/>
  <c r="CH1273" i="3"/>
  <c r="CG1273" i="3"/>
  <c r="CF1273" i="3"/>
  <c r="CE1273" i="3"/>
  <c r="CD1273" i="3"/>
  <c r="CC1273" i="3"/>
  <c r="CB1273" i="3"/>
  <c r="CA1273" i="3"/>
  <c r="BZ1273" i="3"/>
  <c r="BY1273" i="3"/>
  <c r="BX1273" i="3"/>
  <c r="BW1273" i="3"/>
  <c r="BV1273" i="3"/>
  <c r="BU1273" i="3"/>
  <c r="BT1273" i="3"/>
  <c r="BS1273" i="3"/>
  <c r="BR1273" i="3"/>
  <c r="BQ1273" i="3"/>
  <c r="BP1273" i="3"/>
  <c r="BO1273" i="3"/>
  <c r="BN1273" i="3"/>
  <c r="DU1272" i="3"/>
  <c r="DT1272" i="3"/>
  <c r="DS1272" i="3"/>
  <c r="DR1272" i="3"/>
  <c r="DQ1272" i="3"/>
  <c r="DP1272" i="3"/>
  <c r="DO1272" i="3"/>
  <c r="DN1272" i="3"/>
  <c r="DM1272" i="3"/>
  <c r="DL1272" i="3"/>
  <c r="DK1272" i="3"/>
  <c r="DJ1272" i="3"/>
  <c r="DI1272" i="3"/>
  <c r="DH1272" i="3"/>
  <c r="DG1272" i="3"/>
  <c r="DF1272" i="3"/>
  <c r="DE1272" i="3"/>
  <c r="DD1272" i="3"/>
  <c r="DC1272" i="3"/>
  <c r="DB1272" i="3"/>
  <c r="DA1272" i="3"/>
  <c r="CZ1272" i="3"/>
  <c r="CY1272" i="3"/>
  <c r="CX1272" i="3"/>
  <c r="CW1272" i="3"/>
  <c r="CV1272" i="3"/>
  <c r="CU1272" i="3"/>
  <c r="CT1272" i="3"/>
  <c r="CS1272" i="3"/>
  <c r="CR1272" i="3"/>
  <c r="CQ1272" i="3"/>
  <c r="CP1272" i="3"/>
  <c r="CO1272" i="3"/>
  <c r="CN1272" i="3"/>
  <c r="CM1272" i="3"/>
  <c r="CL1272" i="3"/>
  <c r="CK1272" i="3"/>
  <c r="CJ1272" i="3"/>
  <c r="CI1272" i="3"/>
  <c r="CH1272" i="3"/>
  <c r="CG1272" i="3"/>
  <c r="CF1272" i="3"/>
  <c r="CE1272" i="3"/>
  <c r="CD1272" i="3"/>
  <c r="CC1272" i="3"/>
  <c r="CB1272" i="3"/>
  <c r="CA1272" i="3"/>
  <c r="BZ1272" i="3"/>
  <c r="BY1272" i="3"/>
  <c r="BX1272" i="3"/>
  <c r="BW1272" i="3"/>
  <c r="BV1272" i="3"/>
  <c r="BU1272" i="3"/>
  <c r="BT1272" i="3"/>
  <c r="BS1272" i="3"/>
  <c r="BR1272" i="3"/>
  <c r="BQ1272" i="3"/>
  <c r="BP1272" i="3"/>
  <c r="BO1272" i="3"/>
  <c r="BN1272" i="3"/>
  <c r="DU1271" i="3"/>
  <c r="DT1271" i="3"/>
  <c r="DS1271" i="3"/>
  <c r="DR1271" i="3"/>
  <c r="DQ1271" i="3"/>
  <c r="DP1271" i="3"/>
  <c r="DO1271" i="3"/>
  <c r="DN1271" i="3"/>
  <c r="DM1271" i="3"/>
  <c r="DL1271" i="3"/>
  <c r="DK1271" i="3"/>
  <c r="DJ1271" i="3"/>
  <c r="DI1271" i="3"/>
  <c r="DH1271" i="3"/>
  <c r="DG1271" i="3"/>
  <c r="DF1271" i="3"/>
  <c r="DE1271" i="3"/>
  <c r="DD1271" i="3"/>
  <c r="DC1271" i="3"/>
  <c r="DB1271" i="3"/>
  <c r="DA1271" i="3"/>
  <c r="CZ1271" i="3"/>
  <c r="CY1271" i="3"/>
  <c r="CX1271" i="3"/>
  <c r="CW1271" i="3"/>
  <c r="CV1271" i="3"/>
  <c r="CU1271" i="3"/>
  <c r="CT1271" i="3"/>
  <c r="CS1271" i="3"/>
  <c r="CR1271" i="3"/>
  <c r="CQ1271" i="3"/>
  <c r="CP1271" i="3"/>
  <c r="CO1271" i="3"/>
  <c r="CN1271" i="3"/>
  <c r="CM1271" i="3"/>
  <c r="CL1271" i="3"/>
  <c r="CK1271" i="3"/>
  <c r="CJ1271" i="3"/>
  <c r="CI1271" i="3"/>
  <c r="CH1271" i="3"/>
  <c r="CG1271" i="3"/>
  <c r="CF1271" i="3"/>
  <c r="CE1271" i="3"/>
  <c r="CD1271" i="3"/>
  <c r="CC1271" i="3"/>
  <c r="CB1271" i="3"/>
  <c r="CA1271" i="3"/>
  <c r="BZ1271" i="3"/>
  <c r="BY1271" i="3"/>
  <c r="BX1271" i="3"/>
  <c r="BW1271" i="3"/>
  <c r="BV1271" i="3"/>
  <c r="BU1271" i="3"/>
  <c r="BT1271" i="3"/>
  <c r="BS1271" i="3"/>
  <c r="BR1271" i="3"/>
  <c r="BQ1271" i="3"/>
  <c r="BP1271" i="3"/>
  <c r="BO1271" i="3"/>
  <c r="BN1271" i="3"/>
  <c r="DU1270" i="3"/>
  <c r="DT1270" i="3"/>
  <c r="DS1270" i="3"/>
  <c r="DR1270" i="3"/>
  <c r="DQ1270" i="3"/>
  <c r="DP1270" i="3"/>
  <c r="DO1270" i="3"/>
  <c r="DN1270" i="3"/>
  <c r="DM1270" i="3"/>
  <c r="DL1270" i="3"/>
  <c r="DK1270" i="3"/>
  <c r="DJ1270" i="3"/>
  <c r="DI1270" i="3"/>
  <c r="DH1270" i="3"/>
  <c r="DG1270" i="3"/>
  <c r="DF1270" i="3"/>
  <c r="DE1270" i="3"/>
  <c r="DD1270" i="3"/>
  <c r="DC1270" i="3"/>
  <c r="DB1270" i="3"/>
  <c r="DA1270" i="3"/>
  <c r="CZ1270" i="3"/>
  <c r="CY1270" i="3"/>
  <c r="CX1270" i="3"/>
  <c r="CW1270" i="3"/>
  <c r="CV1270" i="3"/>
  <c r="CU1270" i="3"/>
  <c r="CT1270" i="3"/>
  <c r="CS1270" i="3"/>
  <c r="CR1270" i="3"/>
  <c r="CQ1270" i="3"/>
  <c r="CP1270" i="3"/>
  <c r="CO1270" i="3"/>
  <c r="CN1270" i="3"/>
  <c r="CM1270" i="3"/>
  <c r="CL1270" i="3"/>
  <c r="CK1270" i="3"/>
  <c r="CJ1270" i="3"/>
  <c r="CI1270" i="3"/>
  <c r="CH1270" i="3"/>
  <c r="CG1270" i="3"/>
  <c r="CF1270" i="3"/>
  <c r="CE1270" i="3"/>
  <c r="CD1270" i="3"/>
  <c r="CC1270" i="3"/>
  <c r="CB1270" i="3"/>
  <c r="CA1270" i="3"/>
  <c r="BZ1270" i="3"/>
  <c r="BY1270" i="3"/>
  <c r="BX1270" i="3"/>
  <c r="BW1270" i="3"/>
  <c r="BV1270" i="3"/>
  <c r="BU1270" i="3"/>
  <c r="BT1270" i="3"/>
  <c r="BS1270" i="3"/>
  <c r="BR1270" i="3"/>
  <c r="BQ1270" i="3"/>
  <c r="BP1270" i="3"/>
  <c r="BO1270" i="3"/>
  <c r="BN1270" i="3"/>
  <c r="DU1269" i="3"/>
  <c r="DT1269" i="3"/>
  <c r="DS1269" i="3"/>
  <c r="DR1269" i="3"/>
  <c r="DQ1269" i="3"/>
  <c r="DP1269" i="3"/>
  <c r="DO1269" i="3"/>
  <c r="DN1269" i="3"/>
  <c r="DM1269" i="3"/>
  <c r="DL1269" i="3"/>
  <c r="DK1269" i="3"/>
  <c r="DJ1269" i="3"/>
  <c r="DI1269" i="3"/>
  <c r="DH1269" i="3"/>
  <c r="DG1269" i="3"/>
  <c r="DF1269" i="3"/>
  <c r="DE1269" i="3"/>
  <c r="DD1269" i="3"/>
  <c r="DC1269" i="3"/>
  <c r="DB1269" i="3"/>
  <c r="DA1269" i="3"/>
  <c r="CZ1269" i="3"/>
  <c r="CY1269" i="3"/>
  <c r="CX1269" i="3"/>
  <c r="CW1269" i="3"/>
  <c r="CV1269" i="3"/>
  <c r="CU1269" i="3"/>
  <c r="CT1269" i="3"/>
  <c r="CS1269" i="3"/>
  <c r="CR1269" i="3"/>
  <c r="CQ1269" i="3"/>
  <c r="CP1269" i="3"/>
  <c r="CO1269" i="3"/>
  <c r="CN1269" i="3"/>
  <c r="CM1269" i="3"/>
  <c r="CL1269" i="3"/>
  <c r="CK1269" i="3"/>
  <c r="CJ1269" i="3"/>
  <c r="CI1269" i="3"/>
  <c r="CH1269" i="3"/>
  <c r="CG1269" i="3"/>
  <c r="CF1269" i="3"/>
  <c r="CE1269" i="3"/>
  <c r="CD1269" i="3"/>
  <c r="CC1269" i="3"/>
  <c r="CB1269" i="3"/>
  <c r="CA1269" i="3"/>
  <c r="BZ1269" i="3"/>
  <c r="BY1269" i="3"/>
  <c r="BX1269" i="3"/>
  <c r="BW1269" i="3"/>
  <c r="BV1269" i="3"/>
  <c r="BU1269" i="3"/>
  <c r="BT1269" i="3"/>
  <c r="BS1269" i="3"/>
  <c r="BR1269" i="3"/>
  <c r="BQ1269" i="3"/>
  <c r="BP1269" i="3"/>
  <c r="BO1269" i="3"/>
  <c r="BN1269" i="3"/>
  <c r="DU1268" i="3"/>
  <c r="DT1268" i="3"/>
  <c r="DS1268" i="3"/>
  <c r="DR1268" i="3"/>
  <c r="DQ1268" i="3"/>
  <c r="DP1268" i="3"/>
  <c r="DO1268" i="3"/>
  <c r="DN1268" i="3"/>
  <c r="DM1268" i="3"/>
  <c r="DL1268" i="3"/>
  <c r="DK1268" i="3"/>
  <c r="DJ1268" i="3"/>
  <c r="DI1268" i="3"/>
  <c r="DH1268" i="3"/>
  <c r="DG1268" i="3"/>
  <c r="DF1268" i="3"/>
  <c r="DE1268" i="3"/>
  <c r="DD1268" i="3"/>
  <c r="DC1268" i="3"/>
  <c r="DB1268" i="3"/>
  <c r="DA1268" i="3"/>
  <c r="CZ1268" i="3"/>
  <c r="CY1268" i="3"/>
  <c r="CX1268" i="3"/>
  <c r="CW1268" i="3"/>
  <c r="CV1268" i="3"/>
  <c r="CU1268" i="3"/>
  <c r="CT1268" i="3"/>
  <c r="CS1268" i="3"/>
  <c r="CR1268" i="3"/>
  <c r="CQ1268" i="3"/>
  <c r="CP1268" i="3"/>
  <c r="CO1268" i="3"/>
  <c r="CN1268" i="3"/>
  <c r="CM1268" i="3"/>
  <c r="CL1268" i="3"/>
  <c r="CK1268" i="3"/>
  <c r="CJ1268" i="3"/>
  <c r="CI1268" i="3"/>
  <c r="CH1268" i="3"/>
  <c r="CG1268" i="3"/>
  <c r="CF1268" i="3"/>
  <c r="CE1268" i="3"/>
  <c r="CD1268" i="3"/>
  <c r="CC1268" i="3"/>
  <c r="CB1268" i="3"/>
  <c r="CA1268" i="3"/>
  <c r="BZ1268" i="3"/>
  <c r="BY1268" i="3"/>
  <c r="BX1268" i="3"/>
  <c r="BW1268" i="3"/>
  <c r="BV1268" i="3"/>
  <c r="BU1268" i="3"/>
  <c r="BT1268" i="3"/>
  <c r="BS1268" i="3"/>
  <c r="BR1268" i="3"/>
  <c r="BQ1268" i="3"/>
  <c r="BP1268" i="3"/>
  <c r="BO1268" i="3"/>
  <c r="BN1268" i="3"/>
  <c r="DU1267" i="3"/>
  <c r="DT1267" i="3"/>
  <c r="DS1267" i="3"/>
  <c r="DR1267" i="3"/>
  <c r="DQ1267" i="3"/>
  <c r="DP1267" i="3"/>
  <c r="DO1267" i="3"/>
  <c r="DN1267" i="3"/>
  <c r="DM1267" i="3"/>
  <c r="DL1267" i="3"/>
  <c r="DK1267" i="3"/>
  <c r="DJ1267" i="3"/>
  <c r="DI1267" i="3"/>
  <c r="DH1267" i="3"/>
  <c r="DG1267" i="3"/>
  <c r="DF1267" i="3"/>
  <c r="DE1267" i="3"/>
  <c r="DD1267" i="3"/>
  <c r="DC1267" i="3"/>
  <c r="DB1267" i="3"/>
  <c r="DA1267" i="3"/>
  <c r="CZ1267" i="3"/>
  <c r="CY1267" i="3"/>
  <c r="CX1267" i="3"/>
  <c r="CW1267" i="3"/>
  <c r="CV1267" i="3"/>
  <c r="CU1267" i="3"/>
  <c r="CT1267" i="3"/>
  <c r="CS1267" i="3"/>
  <c r="CR1267" i="3"/>
  <c r="CQ1267" i="3"/>
  <c r="CP1267" i="3"/>
  <c r="CO1267" i="3"/>
  <c r="CN1267" i="3"/>
  <c r="CM1267" i="3"/>
  <c r="CL1267" i="3"/>
  <c r="CK1267" i="3"/>
  <c r="CJ1267" i="3"/>
  <c r="CI1267" i="3"/>
  <c r="CH1267" i="3"/>
  <c r="CG1267" i="3"/>
  <c r="CF1267" i="3"/>
  <c r="CE1267" i="3"/>
  <c r="CD1267" i="3"/>
  <c r="CC1267" i="3"/>
  <c r="CB1267" i="3"/>
  <c r="CA1267" i="3"/>
  <c r="BZ1267" i="3"/>
  <c r="BY1267" i="3"/>
  <c r="BX1267" i="3"/>
  <c r="BW1267" i="3"/>
  <c r="BV1267" i="3"/>
  <c r="BU1267" i="3"/>
  <c r="BT1267" i="3"/>
  <c r="BS1267" i="3"/>
  <c r="BR1267" i="3"/>
  <c r="BQ1267" i="3"/>
  <c r="BP1267" i="3"/>
  <c r="BO1267" i="3"/>
  <c r="BN1267" i="3"/>
  <c r="DU1266" i="3"/>
  <c r="DT1266" i="3"/>
  <c r="DS1266" i="3"/>
  <c r="DR1266" i="3"/>
  <c r="DQ1266" i="3"/>
  <c r="DP1266" i="3"/>
  <c r="DO1266" i="3"/>
  <c r="DN1266" i="3"/>
  <c r="DM1266" i="3"/>
  <c r="DL1266" i="3"/>
  <c r="DK1266" i="3"/>
  <c r="DJ1266" i="3"/>
  <c r="DI1266" i="3"/>
  <c r="DH1266" i="3"/>
  <c r="DG1266" i="3"/>
  <c r="DF1266" i="3"/>
  <c r="DE1266" i="3"/>
  <c r="DD1266" i="3"/>
  <c r="DC1266" i="3"/>
  <c r="DB1266" i="3"/>
  <c r="DA1266" i="3"/>
  <c r="CZ1266" i="3"/>
  <c r="CY1266" i="3"/>
  <c r="CX1266" i="3"/>
  <c r="CW1266" i="3"/>
  <c r="CV1266" i="3"/>
  <c r="CU1266" i="3"/>
  <c r="CT1266" i="3"/>
  <c r="CS1266" i="3"/>
  <c r="CR1266" i="3"/>
  <c r="CQ1266" i="3"/>
  <c r="CP1266" i="3"/>
  <c r="CO1266" i="3"/>
  <c r="CN1266" i="3"/>
  <c r="CM1266" i="3"/>
  <c r="CL1266" i="3"/>
  <c r="CK1266" i="3"/>
  <c r="CJ1266" i="3"/>
  <c r="CI1266" i="3"/>
  <c r="CH1266" i="3"/>
  <c r="CG1266" i="3"/>
  <c r="CF1266" i="3"/>
  <c r="CE1266" i="3"/>
  <c r="CD1266" i="3"/>
  <c r="CC1266" i="3"/>
  <c r="CB1266" i="3"/>
  <c r="CA1266" i="3"/>
  <c r="BZ1266" i="3"/>
  <c r="BY1266" i="3"/>
  <c r="BX1266" i="3"/>
  <c r="BW1266" i="3"/>
  <c r="BV1266" i="3"/>
  <c r="BU1266" i="3"/>
  <c r="BT1266" i="3"/>
  <c r="BS1266" i="3"/>
  <c r="BR1266" i="3"/>
  <c r="BQ1266" i="3"/>
  <c r="BP1266" i="3"/>
  <c r="BO1266" i="3"/>
  <c r="BN1266" i="3"/>
  <c r="DU1265" i="3"/>
  <c r="DT1265" i="3"/>
  <c r="DS1265" i="3"/>
  <c r="DR1265" i="3"/>
  <c r="DQ1265" i="3"/>
  <c r="DP1265" i="3"/>
  <c r="DO1265" i="3"/>
  <c r="DN1265" i="3"/>
  <c r="DM1265" i="3"/>
  <c r="DL1265" i="3"/>
  <c r="DK1265" i="3"/>
  <c r="DJ1265" i="3"/>
  <c r="DI1265" i="3"/>
  <c r="DH1265" i="3"/>
  <c r="DG1265" i="3"/>
  <c r="DF1265" i="3"/>
  <c r="DE1265" i="3"/>
  <c r="DD1265" i="3"/>
  <c r="DC1265" i="3"/>
  <c r="DB1265" i="3"/>
  <c r="DA1265" i="3"/>
  <c r="CZ1265" i="3"/>
  <c r="CY1265" i="3"/>
  <c r="CX1265" i="3"/>
  <c r="CW1265" i="3"/>
  <c r="CV1265" i="3"/>
  <c r="CU1265" i="3"/>
  <c r="CT1265" i="3"/>
  <c r="CS1265" i="3"/>
  <c r="CR1265" i="3"/>
  <c r="CQ1265" i="3"/>
  <c r="CP1265" i="3"/>
  <c r="CO1265" i="3"/>
  <c r="CN1265" i="3"/>
  <c r="CM1265" i="3"/>
  <c r="CL1265" i="3"/>
  <c r="CK1265" i="3"/>
  <c r="CJ1265" i="3"/>
  <c r="CI1265" i="3"/>
  <c r="CH1265" i="3"/>
  <c r="CG1265" i="3"/>
  <c r="CF1265" i="3"/>
  <c r="CE1265" i="3"/>
  <c r="CD1265" i="3"/>
  <c r="CC1265" i="3"/>
  <c r="CB1265" i="3"/>
  <c r="CA1265" i="3"/>
  <c r="BZ1265" i="3"/>
  <c r="BY1265" i="3"/>
  <c r="BX1265" i="3"/>
  <c r="BW1265" i="3"/>
  <c r="BV1265" i="3"/>
  <c r="BU1265" i="3"/>
  <c r="BT1265" i="3"/>
  <c r="BS1265" i="3"/>
  <c r="BR1265" i="3"/>
  <c r="BQ1265" i="3"/>
  <c r="BP1265" i="3"/>
  <c r="BO1265" i="3"/>
  <c r="BN1265" i="3"/>
  <c r="DU1264" i="3"/>
  <c r="DT1264" i="3"/>
  <c r="DS1264" i="3"/>
  <c r="DR1264" i="3"/>
  <c r="DQ1264" i="3"/>
  <c r="DP1264" i="3"/>
  <c r="DO1264" i="3"/>
  <c r="DN1264" i="3"/>
  <c r="DM1264" i="3"/>
  <c r="DL1264" i="3"/>
  <c r="DK1264" i="3"/>
  <c r="DJ1264" i="3"/>
  <c r="DI1264" i="3"/>
  <c r="DH1264" i="3"/>
  <c r="DG1264" i="3"/>
  <c r="DF1264" i="3"/>
  <c r="DE1264" i="3"/>
  <c r="DD1264" i="3"/>
  <c r="DC1264" i="3"/>
  <c r="DB1264" i="3"/>
  <c r="DA1264" i="3"/>
  <c r="CZ1264" i="3"/>
  <c r="CY1264" i="3"/>
  <c r="CX1264" i="3"/>
  <c r="CW1264" i="3"/>
  <c r="CV1264" i="3"/>
  <c r="CU1264" i="3"/>
  <c r="CT1264" i="3"/>
  <c r="CS1264" i="3"/>
  <c r="CR1264" i="3"/>
  <c r="CQ1264" i="3"/>
  <c r="CP1264" i="3"/>
  <c r="CO1264" i="3"/>
  <c r="CN1264" i="3"/>
  <c r="CM1264" i="3"/>
  <c r="CL1264" i="3"/>
  <c r="CK1264" i="3"/>
  <c r="CJ1264" i="3"/>
  <c r="CI1264" i="3"/>
  <c r="CH1264" i="3"/>
  <c r="CG1264" i="3"/>
  <c r="CF1264" i="3"/>
  <c r="CE1264" i="3"/>
  <c r="CD1264" i="3"/>
  <c r="CC1264" i="3"/>
  <c r="CB1264" i="3"/>
  <c r="CA1264" i="3"/>
  <c r="BZ1264" i="3"/>
  <c r="BY1264" i="3"/>
  <c r="BX1264" i="3"/>
  <c r="BW1264" i="3"/>
  <c r="BV1264" i="3"/>
  <c r="BU1264" i="3"/>
  <c r="BT1264" i="3"/>
  <c r="BS1264" i="3"/>
  <c r="BR1264" i="3"/>
  <c r="BQ1264" i="3"/>
  <c r="BP1264" i="3"/>
  <c r="BO1264" i="3"/>
  <c r="BN1264" i="3"/>
  <c r="DU1263" i="3"/>
  <c r="DT1263" i="3"/>
  <c r="DS1263" i="3"/>
  <c r="DR1263" i="3"/>
  <c r="DQ1263" i="3"/>
  <c r="DP1263" i="3"/>
  <c r="DO1263" i="3"/>
  <c r="DN1263" i="3"/>
  <c r="DM1263" i="3"/>
  <c r="DL1263" i="3"/>
  <c r="DK1263" i="3"/>
  <c r="DJ1263" i="3"/>
  <c r="DI1263" i="3"/>
  <c r="DH1263" i="3"/>
  <c r="DG1263" i="3"/>
  <c r="DF1263" i="3"/>
  <c r="DE1263" i="3"/>
  <c r="DD1263" i="3"/>
  <c r="DC1263" i="3"/>
  <c r="DB1263" i="3"/>
  <c r="DA1263" i="3"/>
  <c r="CZ1263" i="3"/>
  <c r="CY1263" i="3"/>
  <c r="CX1263" i="3"/>
  <c r="CW1263" i="3"/>
  <c r="CV1263" i="3"/>
  <c r="CU1263" i="3"/>
  <c r="CT1263" i="3"/>
  <c r="CS1263" i="3"/>
  <c r="CR1263" i="3"/>
  <c r="CQ1263" i="3"/>
  <c r="CP1263" i="3"/>
  <c r="CO1263" i="3"/>
  <c r="CN1263" i="3"/>
  <c r="CM1263" i="3"/>
  <c r="CL1263" i="3"/>
  <c r="CK1263" i="3"/>
  <c r="CJ1263" i="3"/>
  <c r="CI1263" i="3"/>
  <c r="CH1263" i="3"/>
  <c r="CG1263" i="3"/>
  <c r="CF1263" i="3"/>
  <c r="CE1263" i="3"/>
  <c r="CD1263" i="3"/>
  <c r="CC1263" i="3"/>
  <c r="CB1263" i="3"/>
  <c r="CA1263" i="3"/>
  <c r="BZ1263" i="3"/>
  <c r="BY1263" i="3"/>
  <c r="BX1263" i="3"/>
  <c r="BW1263" i="3"/>
  <c r="BV1263" i="3"/>
  <c r="BU1263" i="3"/>
  <c r="BT1263" i="3"/>
  <c r="BS1263" i="3"/>
  <c r="BR1263" i="3"/>
  <c r="BQ1263" i="3"/>
  <c r="BP1263" i="3"/>
  <c r="BO1263" i="3"/>
  <c r="BN1263" i="3"/>
  <c r="DU1262" i="3"/>
  <c r="DT1262" i="3"/>
  <c r="DS1262" i="3"/>
  <c r="DR1262" i="3"/>
  <c r="DQ1262" i="3"/>
  <c r="DP1262" i="3"/>
  <c r="DO1262" i="3"/>
  <c r="DN1262" i="3"/>
  <c r="DM1262" i="3"/>
  <c r="DL1262" i="3"/>
  <c r="DK1262" i="3"/>
  <c r="DJ1262" i="3"/>
  <c r="DI1262" i="3"/>
  <c r="DH1262" i="3"/>
  <c r="DG1262" i="3"/>
  <c r="DF1262" i="3"/>
  <c r="DE1262" i="3"/>
  <c r="DD1262" i="3"/>
  <c r="DC1262" i="3"/>
  <c r="DB1262" i="3"/>
  <c r="DA1262" i="3"/>
  <c r="CZ1262" i="3"/>
  <c r="CY1262" i="3"/>
  <c r="CX1262" i="3"/>
  <c r="CW1262" i="3"/>
  <c r="CV1262" i="3"/>
  <c r="CU1262" i="3"/>
  <c r="CT1262" i="3"/>
  <c r="CS1262" i="3"/>
  <c r="CR1262" i="3"/>
  <c r="CQ1262" i="3"/>
  <c r="CP1262" i="3"/>
  <c r="CO1262" i="3"/>
  <c r="CN1262" i="3"/>
  <c r="CM1262" i="3"/>
  <c r="CL1262" i="3"/>
  <c r="CK1262" i="3"/>
  <c r="CJ1262" i="3"/>
  <c r="CI1262" i="3"/>
  <c r="CH1262" i="3"/>
  <c r="CG1262" i="3"/>
  <c r="CF1262" i="3"/>
  <c r="CE1262" i="3"/>
  <c r="CD1262" i="3"/>
  <c r="CC1262" i="3"/>
  <c r="CB1262" i="3"/>
  <c r="CA1262" i="3"/>
  <c r="BZ1262" i="3"/>
  <c r="BY1262" i="3"/>
  <c r="BX1262" i="3"/>
  <c r="BW1262" i="3"/>
  <c r="BV1262" i="3"/>
  <c r="BU1262" i="3"/>
  <c r="BT1262" i="3"/>
  <c r="BS1262" i="3"/>
  <c r="BR1262" i="3"/>
  <c r="BQ1262" i="3"/>
  <c r="BP1262" i="3"/>
  <c r="BO1262" i="3"/>
  <c r="BN1262" i="3"/>
  <c r="DU1261" i="3"/>
  <c r="DT1261" i="3"/>
  <c r="DS1261" i="3"/>
  <c r="DR1261" i="3"/>
  <c r="DQ1261" i="3"/>
  <c r="DP1261" i="3"/>
  <c r="DO1261" i="3"/>
  <c r="DN1261" i="3"/>
  <c r="DM1261" i="3"/>
  <c r="DL1261" i="3"/>
  <c r="DK1261" i="3"/>
  <c r="DJ1261" i="3"/>
  <c r="DI1261" i="3"/>
  <c r="DH1261" i="3"/>
  <c r="DG1261" i="3"/>
  <c r="DF1261" i="3"/>
  <c r="DE1261" i="3"/>
  <c r="DD1261" i="3"/>
  <c r="DC1261" i="3"/>
  <c r="DB1261" i="3"/>
  <c r="DA1261" i="3"/>
  <c r="CZ1261" i="3"/>
  <c r="CY1261" i="3"/>
  <c r="CX1261" i="3"/>
  <c r="CW1261" i="3"/>
  <c r="CV1261" i="3"/>
  <c r="CU1261" i="3"/>
  <c r="CT1261" i="3"/>
  <c r="CS1261" i="3"/>
  <c r="CR1261" i="3"/>
  <c r="CQ1261" i="3"/>
  <c r="CP1261" i="3"/>
  <c r="CO1261" i="3"/>
  <c r="CN1261" i="3"/>
  <c r="CM1261" i="3"/>
  <c r="CL1261" i="3"/>
  <c r="CK1261" i="3"/>
  <c r="CJ1261" i="3"/>
  <c r="CI1261" i="3"/>
  <c r="CH1261" i="3"/>
  <c r="CG1261" i="3"/>
  <c r="CF1261" i="3"/>
  <c r="CE1261" i="3"/>
  <c r="CD1261" i="3"/>
  <c r="CC1261" i="3"/>
  <c r="CB1261" i="3"/>
  <c r="CA1261" i="3"/>
  <c r="BZ1261" i="3"/>
  <c r="BY1261" i="3"/>
  <c r="BX1261" i="3"/>
  <c r="BW1261" i="3"/>
  <c r="BV1261" i="3"/>
  <c r="BU1261" i="3"/>
  <c r="BT1261" i="3"/>
  <c r="BS1261" i="3"/>
  <c r="BR1261" i="3"/>
  <c r="BQ1261" i="3"/>
  <c r="BP1261" i="3"/>
  <c r="BO1261" i="3"/>
  <c r="BN1261" i="3"/>
  <c r="DU1260" i="3"/>
  <c r="DT1260" i="3"/>
  <c r="DS1260" i="3"/>
  <c r="DR1260" i="3"/>
  <c r="DQ1260" i="3"/>
  <c r="DP1260" i="3"/>
  <c r="DO1260" i="3"/>
  <c r="DN1260" i="3"/>
  <c r="DM1260" i="3"/>
  <c r="DL1260" i="3"/>
  <c r="DK1260" i="3"/>
  <c r="DJ1260" i="3"/>
  <c r="DI1260" i="3"/>
  <c r="DH1260" i="3"/>
  <c r="DG1260" i="3"/>
  <c r="DF1260" i="3"/>
  <c r="DE1260" i="3"/>
  <c r="DD1260" i="3"/>
  <c r="DC1260" i="3"/>
  <c r="DB1260" i="3"/>
  <c r="DA1260" i="3"/>
  <c r="CZ1260" i="3"/>
  <c r="CY1260" i="3"/>
  <c r="CX1260" i="3"/>
  <c r="CW1260" i="3"/>
  <c r="CV1260" i="3"/>
  <c r="CU1260" i="3"/>
  <c r="CT1260" i="3"/>
  <c r="CS1260" i="3"/>
  <c r="CR1260" i="3"/>
  <c r="CQ1260" i="3"/>
  <c r="CP1260" i="3"/>
  <c r="CO1260" i="3"/>
  <c r="CN1260" i="3"/>
  <c r="CM1260" i="3"/>
  <c r="CL1260" i="3"/>
  <c r="CK1260" i="3"/>
  <c r="CJ1260" i="3"/>
  <c r="CI1260" i="3"/>
  <c r="CH1260" i="3"/>
  <c r="CG1260" i="3"/>
  <c r="CF1260" i="3"/>
  <c r="CE1260" i="3"/>
  <c r="CD1260" i="3"/>
  <c r="CC1260" i="3"/>
  <c r="CB1260" i="3"/>
  <c r="CA1260" i="3"/>
  <c r="BZ1260" i="3"/>
  <c r="BY1260" i="3"/>
  <c r="BX1260" i="3"/>
  <c r="BW1260" i="3"/>
  <c r="BV1260" i="3"/>
  <c r="BU1260" i="3"/>
  <c r="BT1260" i="3"/>
  <c r="BS1260" i="3"/>
  <c r="BR1260" i="3"/>
  <c r="BQ1260" i="3"/>
  <c r="BP1260" i="3"/>
  <c r="BO1260" i="3"/>
  <c r="BN1260" i="3"/>
  <c r="DU1259" i="3"/>
  <c r="DT1259" i="3"/>
  <c r="DS1259" i="3"/>
  <c r="DR1259" i="3"/>
  <c r="DQ1259" i="3"/>
  <c r="DP1259" i="3"/>
  <c r="DO1259" i="3"/>
  <c r="DN1259" i="3"/>
  <c r="DM1259" i="3"/>
  <c r="DL1259" i="3"/>
  <c r="DK1259" i="3"/>
  <c r="DJ1259" i="3"/>
  <c r="DI1259" i="3"/>
  <c r="DH1259" i="3"/>
  <c r="DG1259" i="3"/>
  <c r="DF1259" i="3"/>
  <c r="DE1259" i="3"/>
  <c r="DD1259" i="3"/>
  <c r="DC1259" i="3"/>
  <c r="DB1259" i="3"/>
  <c r="DA1259" i="3"/>
  <c r="CZ1259" i="3"/>
  <c r="CY1259" i="3"/>
  <c r="CX1259" i="3"/>
  <c r="CW1259" i="3"/>
  <c r="CV1259" i="3"/>
  <c r="CU1259" i="3"/>
  <c r="CT1259" i="3"/>
  <c r="CS1259" i="3"/>
  <c r="CR1259" i="3"/>
  <c r="CQ1259" i="3"/>
  <c r="CP1259" i="3"/>
  <c r="CO1259" i="3"/>
  <c r="CN1259" i="3"/>
  <c r="CM1259" i="3"/>
  <c r="CL1259" i="3"/>
  <c r="CK1259" i="3"/>
  <c r="CJ1259" i="3"/>
  <c r="CI1259" i="3"/>
  <c r="CH1259" i="3"/>
  <c r="CG1259" i="3"/>
  <c r="CF1259" i="3"/>
  <c r="CE1259" i="3"/>
  <c r="CD1259" i="3"/>
  <c r="CC1259" i="3"/>
  <c r="CB1259" i="3"/>
  <c r="CA1259" i="3"/>
  <c r="BZ1259" i="3"/>
  <c r="BY1259" i="3"/>
  <c r="BX1259" i="3"/>
  <c r="BW1259" i="3"/>
  <c r="BV1259" i="3"/>
  <c r="BU1259" i="3"/>
  <c r="BT1259" i="3"/>
  <c r="BS1259" i="3"/>
  <c r="BR1259" i="3"/>
  <c r="BQ1259" i="3"/>
  <c r="BP1259" i="3"/>
  <c r="BO1259" i="3"/>
  <c r="BN1259" i="3"/>
  <c r="DU1258" i="3"/>
  <c r="DT1258" i="3"/>
  <c r="DS1258" i="3"/>
  <c r="DR1258" i="3"/>
  <c r="DQ1258" i="3"/>
  <c r="DP1258" i="3"/>
  <c r="DO1258" i="3"/>
  <c r="DN1258" i="3"/>
  <c r="DM1258" i="3"/>
  <c r="DL1258" i="3"/>
  <c r="DK1258" i="3"/>
  <c r="DJ1258" i="3"/>
  <c r="DI1258" i="3"/>
  <c r="DH1258" i="3"/>
  <c r="DG1258" i="3"/>
  <c r="DF1258" i="3"/>
  <c r="DE1258" i="3"/>
  <c r="DD1258" i="3"/>
  <c r="DC1258" i="3"/>
  <c r="DB1258" i="3"/>
  <c r="DA1258" i="3"/>
  <c r="CZ1258" i="3"/>
  <c r="CY1258" i="3"/>
  <c r="CX1258" i="3"/>
  <c r="CW1258" i="3"/>
  <c r="CV1258" i="3"/>
  <c r="CU1258" i="3"/>
  <c r="CT1258" i="3"/>
  <c r="CS1258" i="3"/>
  <c r="CR1258" i="3"/>
  <c r="CQ1258" i="3"/>
  <c r="CP1258" i="3"/>
  <c r="CO1258" i="3"/>
  <c r="CN1258" i="3"/>
  <c r="CM1258" i="3"/>
  <c r="CL1258" i="3"/>
  <c r="CK1258" i="3"/>
  <c r="CJ1258" i="3"/>
  <c r="CI1258" i="3"/>
  <c r="CH1258" i="3"/>
  <c r="CG1258" i="3"/>
  <c r="CF1258" i="3"/>
  <c r="CE1258" i="3"/>
  <c r="CD1258" i="3"/>
  <c r="CC1258" i="3"/>
  <c r="CB1258" i="3"/>
  <c r="CA1258" i="3"/>
  <c r="BZ1258" i="3"/>
  <c r="BY1258" i="3"/>
  <c r="BX1258" i="3"/>
  <c r="BW1258" i="3"/>
  <c r="BV1258" i="3"/>
  <c r="BU1258" i="3"/>
  <c r="BT1258" i="3"/>
  <c r="BS1258" i="3"/>
  <c r="BR1258" i="3"/>
  <c r="BQ1258" i="3"/>
  <c r="BP1258" i="3"/>
  <c r="BO1258" i="3"/>
  <c r="BN1258" i="3"/>
  <c r="DU1257" i="3"/>
  <c r="DT1257" i="3"/>
  <c r="DS1257" i="3"/>
  <c r="DR1257" i="3"/>
  <c r="DQ1257" i="3"/>
  <c r="DP1257" i="3"/>
  <c r="DO1257" i="3"/>
  <c r="DN1257" i="3"/>
  <c r="DM1257" i="3"/>
  <c r="DL1257" i="3"/>
  <c r="DK1257" i="3"/>
  <c r="DJ1257" i="3"/>
  <c r="DI1257" i="3"/>
  <c r="DH1257" i="3"/>
  <c r="DG1257" i="3"/>
  <c r="DF1257" i="3"/>
  <c r="DE1257" i="3"/>
  <c r="DD1257" i="3"/>
  <c r="DC1257" i="3"/>
  <c r="DB1257" i="3"/>
  <c r="DA1257" i="3"/>
  <c r="CZ1257" i="3"/>
  <c r="CY1257" i="3"/>
  <c r="CX1257" i="3"/>
  <c r="CW1257" i="3"/>
  <c r="CV1257" i="3"/>
  <c r="CU1257" i="3"/>
  <c r="CT1257" i="3"/>
  <c r="CS1257" i="3"/>
  <c r="CR1257" i="3"/>
  <c r="CQ1257" i="3"/>
  <c r="CP1257" i="3"/>
  <c r="CO1257" i="3"/>
  <c r="CN1257" i="3"/>
  <c r="CM1257" i="3"/>
  <c r="CL1257" i="3"/>
  <c r="CK1257" i="3"/>
  <c r="CJ1257" i="3"/>
  <c r="CI1257" i="3"/>
  <c r="CH1257" i="3"/>
  <c r="CG1257" i="3"/>
  <c r="CF1257" i="3"/>
  <c r="CE1257" i="3"/>
  <c r="CD1257" i="3"/>
  <c r="CC1257" i="3"/>
  <c r="CB1257" i="3"/>
  <c r="CA1257" i="3"/>
  <c r="BZ1257" i="3"/>
  <c r="BY1257" i="3"/>
  <c r="BX1257" i="3"/>
  <c r="BW1257" i="3"/>
  <c r="BV1257" i="3"/>
  <c r="BU1257" i="3"/>
  <c r="BT1257" i="3"/>
  <c r="BS1257" i="3"/>
  <c r="BR1257" i="3"/>
  <c r="BQ1257" i="3"/>
  <c r="BP1257" i="3"/>
  <c r="BO1257" i="3"/>
  <c r="BN1257" i="3"/>
  <c r="DU1256" i="3"/>
  <c r="DT1256" i="3"/>
  <c r="DS1256" i="3"/>
  <c r="DR1256" i="3"/>
  <c r="DQ1256" i="3"/>
  <c r="DP1256" i="3"/>
  <c r="DO1256" i="3"/>
  <c r="DN1256" i="3"/>
  <c r="DM1256" i="3"/>
  <c r="DL1256" i="3"/>
  <c r="DK1256" i="3"/>
  <c r="DJ1256" i="3"/>
  <c r="DI1256" i="3"/>
  <c r="DH1256" i="3"/>
  <c r="DG1256" i="3"/>
  <c r="DF1256" i="3"/>
  <c r="DE1256" i="3"/>
  <c r="DD1256" i="3"/>
  <c r="DC1256" i="3"/>
  <c r="DB1256" i="3"/>
  <c r="DA1256" i="3"/>
  <c r="CZ1256" i="3"/>
  <c r="CY1256" i="3"/>
  <c r="CX1256" i="3"/>
  <c r="CW1256" i="3"/>
  <c r="CV1256" i="3"/>
  <c r="CU1256" i="3"/>
  <c r="CT1256" i="3"/>
  <c r="CS1256" i="3"/>
  <c r="CR1256" i="3"/>
  <c r="CQ1256" i="3"/>
  <c r="CP1256" i="3"/>
  <c r="CO1256" i="3"/>
  <c r="CN1256" i="3"/>
  <c r="CM1256" i="3"/>
  <c r="CL1256" i="3"/>
  <c r="CK1256" i="3"/>
  <c r="CJ1256" i="3"/>
  <c r="CI1256" i="3"/>
  <c r="CH1256" i="3"/>
  <c r="CG1256" i="3"/>
  <c r="CF1256" i="3"/>
  <c r="CE1256" i="3"/>
  <c r="CD1256" i="3"/>
  <c r="CC1256" i="3"/>
  <c r="CB1256" i="3"/>
  <c r="CA1256" i="3"/>
  <c r="BZ1256" i="3"/>
  <c r="BY1256" i="3"/>
  <c r="BX1256" i="3"/>
  <c r="BW1256" i="3"/>
  <c r="BV1256" i="3"/>
  <c r="BU1256" i="3"/>
  <c r="BT1256" i="3"/>
  <c r="BS1256" i="3"/>
  <c r="BR1256" i="3"/>
  <c r="BQ1256" i="3"/>
  <c r="BP1256" i="3"/>
  <c r="BO1256" i="3"/>
  <c r="BN1256" i="3"/>
  <c r="DU1255" i="3"/>
  <c r="DT1255" i="3"/>
  <c r="DS1255" i="3"/>
  <c r="DR1255" i="3"/>
  <c r="DQ1255" i="3"/>
  <c r="DP1255" i="3"/>
  <c r="DO1255" i="3"/>
  <c r="DN1255" i="3"/>
  <c r="DM1255" i="3"/>
  <c r="DL1255" i="3"/>
  <c r="DK1255" i="3"/>
  <c r="DJ1255" i="3"/>
  <c r="DI1255" i="3"/>
  <c r="DH1255" i="3"/>
  <c r="DG1255" i="3"/>
  <c r="DF1255" i="3"/>
  <c r="DE1255" i="3"/>
  <c r="DD1255" i="3"/>
  <c r="DC1255" i="3"/>
  <c r="DB1255" i="3"/>
  <c r="DA1255" i="3"/>
  <c r="CZ1255" i="3"/>
  <c r="CY1255" i="3"/>
  <c r="CX1255" i="3"/>
  <c r="CW1255" i="3"/>
  <c r="CV1255" i="3"/>
  <c r="CU1255" i="3"/>
  <c r="CT1255" i="3"/>
  <c r="CS1255" i="3"/>
  <c r="CR1255" i="3"/>
  <c r="CQ1255" i="3"/>
  <c r="CP1255" i="3"/>
  <c r="CO1255" i="3"/>
  <c r="CN1255" i="3"/>
  <c r="CM1255" i="3"/>
  <c r="CL1255" i="3"/>
  <c r="CK1255" i="3"/>
  <c r="CJ1255" i="3"/>
  <c r="CI1255" i="3"/>
  <c r="CH1255" i="3"/>
  <c r="CG1255" i="3"/>
  <c r="CF1255" i="3"/>
  <c r="CE1255" i="3"/>
  <c r="CD1255" i="3"/>
  <c r="CC1255" i="3"/>
  <c r="CB1255" i="3"/>
  <c r="CA1255" i="3"/>
  <c r="BZ1255" i="3"/>
  <c r="BY1255" i="3"/>
  <c r="BX1255" i="3"/>
  <c r="BW1255" i="3"/>
  <c r="BV1255" i="3"/>
  <c r="BU1255" i="3"/>
  <c r="BT1255" i="3"/>
  <c r="BS1255" i="3"/>
  <c r="BR1255" i="3"/>
  <c r="BQ1255" i="3"/>
  <c r="BP1255" i="3"/>
  <c r="BO1255" i="3"/>
  <c r="BN1255" i="3"/>
  <c r="DU1254" i="3"/>
  <c r="DT1254" i="3"/>
  <c r="DS1254" i="3"/>
  <c r="DR1254" i="3"/>
  <c r="DQ1254" i="3"/>
  <c r="DP1254" i="3"/>
  <c r="DO1254" i="3"/>
  <c r="DN1254" i="3"/>
  <c r="DM1254" i="3"/>
  <c r="DL1254" i="3"/>
  <c r="DK1254" i="3"/>
  <c r="DJ1254" i="3"/>
  <c r="DI1254" i="3"/>
  <c r="DH1254" i="3"/>
  <c r="DG1254" i="3"/>
  <c r="DF1254" i="3"/>
  <c r="DE1254" i="3"/>
  <c r="DD1254" i="3"/>
  <c r="DC1254" i="3"/>
  <c r="DB1254" i="3"/>
  <c r="DA1254" i="3"/>
  <c r="CZ1254" i="3"/>
  <c r="CY1254" i="3"/>
  <c r="CX1254" i="3"/>
  <c r="CW1254" i="3"/>
  <c r="CV1254" i="3"/>
  <c r="CU1254" i="3"/>
  <c r="CT1254" i="3"/>
  <c r="CS1254" i="3"/>
  <c r="CR1254" i="3"/>
  <c r="CQ1254" i="3"/>
  <c r="CP1254" i="3"/>
  <c r="CO1254" i="3"/>
  <c r="CN1254" i="3"/>
  <c r="CM1254" i="3"/>
  <c r="CL1254" i="3"/>
  <c r="CK1254" i="3"/>
  <c r="CJ1254" i="3"/>
  <c r="CI1254" i="3"/>
  <c r="CH1254" i="3"/>
  <c r="CG1254" i="3"/>
  <c r="CF1254" i="3"/>
  <c r="CE1254" i="3"/>
  <c r="CD1254" i="3"/>
  <c r="CC1254" i="3"/>
  <c r="CB1254" i="3"/>
  <c r="CA1254" i="3"/>
  <c r="BZ1254" i="3"/>
  <c r="BY1254" i="3"/>
  <c r="BX1254" i="3"/>
  <c r="BW1254" i="3"/>
  <c r="BV1254" i="3"/>
  <c r="BU1254" i="3"/>
  <c r="BT1254" i="3"/>
  <c r="BS1254" i="3"/>
  <c r="BR1254" i="3"/>
  <c r="BQ1254" i="3"/>
  <c r="BP1254" i="3"/>
  <c r="BO1254" i="3"/>
  <c r="BN1254" i="3"/>
  <c r="DU1253" i="3"/>
  <c r="DT1253" i="3"/>
  <c r="DS1253" i="3"/>
  <c r="DR1253" i="3"/>
  <c r="DQ1253" i="3"/>
  <c r="DP1253" i="3"/>
  <c r="DO1253" i="3"/>
  <c r="DN1253" i="3"/>
  <c r="DM1253" i="3"/>
  <c r="DL1253" i="3"/>
  <c r="DK1253" i="3"/>
  <c r="DJ1253" i="3"/>
  <c r="DI1253" i="3"/>
  <c r="DH1253" i="3"/>
  <c r="DG1253" i="3"/>
  <c r="DF1253" i="3"/>
  <c r="DE1253" i="3"/>
  <c r="DD1253" i="3"/>
  <c r="DC1253" i="3"/>
  <c r="DB1253" i="3"/>
  <c r="DA1253" i="3"/>
  <c r="CZ1253" i="3"/>
  <c r="CY1253" i="3"/>
  <c r="CX1253" i="3"/>
  <c r="CW1253" i="3"/>
  <c r="CV1253" i="3"/>
  <c r="CU1253" i="3"/>
  <c r="CT1253" i="3"/>
  <c r="CS1253" i="3"/>
  <c r="CR1253" i="3"/>
  <c r="CQ1253" i="3"/>
  <c r="CP1253" i="3"/>
  <c r="CO1253" i="3"/>
  <c r="CN1253" i="3"/>
  <c r="CM1253" i="3"/>
  <c r="CL1253" i="3"/>
  <c r="CK1253" i="3"/>
  <c r="CJ1253" i="3"/>
  <c r="CI1253" i="3"/>
  <c r="CH1253" i="3"/>
  <c r="CG1253" i="3"/>
  <c r="CF1253" i="3"/>
  <c r="CE1253" i="3"/>
  <c r="CD1253" i="3"/>
  <c r="CC1253" i="3"/>
  <c r="CB1253" i="3"/>
  <c r="CA1253" i="3"/>
  <c r="BZ1253" i="3"/>
  <c r="BY1253" i="3"/>
  <c r="BX1253" i="3"/>
  <c r="BW1253" i="3"/>
  <c r="BV1253" i="3"/>
  <c r="BU1253" i="3"/>
  <c r="BT1253" i="3"/>
  <c r="BS1253" i="3"/>
  <c r="BR1253" i="3"/>
  <c r="BQ1253" i="3"/>
  <c r="BP1253" i="3"/>
  <c r="BO1253" i="3"/>
  <c r="BN1253" i="3"/>
  <c r="DU1252" i="3"/>
  <c r="DT1252" i="3"/>
  <c r="DS1252" i="3"/>
  <c r="DR1252" i="3"/>
  <c r="DQ1252" i="3"/>
  <c r="DP1252" i="3"/>
  <c r="DO1252" i="3"/>
  <c r="DN1252" i="3"/>
  <c r="DM1252" i="3"/>
  <c r="DL1252" i="3"/>
  <c r="DK1252" i="3"/>
  <c r="DJ1252" i="3"/>
  <c r="DI1252" i="3"/>
  <c r="DH1252" i="3"/>
  <c r="DG1252" i="3"/>
  <c r="DF1252" i="3"/>
  <c r="DE1252" i="3"/>
  <c r="DD1252" i="3"/>
  <c r="DC1252" i="3"/>
  <c r="DB1252" i="3"/>
  <c r="DA1252" i="3"/>
  <c r="CZ1252" i="3"/>
  <c r="CY1252" i="3"/>
  <c r="CX1252" i="3"/>
  <c r="CW1252" i="3"/>
  <c r="CV1252" i="3"/>
  <c r="CU1252" i="3"/>
  <c r="CT1252" i="3"/>
  <c r="CS1252" i="3"/>
  <c r="CR1252" i="3"/>
  <c r="CQ1252" i="3"/>
  <c r="CP1252" i="3"/>
  <c r="CO1252" i="3"/>
  <c r="CN1252" i="3"/>
  <c r="CM1252" i="3"/>
  <c r="CL1252" i="3"/>
  <c r="CK1252" i="3"/>
  <c r="CJ1252" i="3"/>
  <c r="CI1252" i="3"/>
  <c r="CH1252" i="3"/>
  <c r="CG1252" i="3"/>
  <c r="CF1252" i="3"/>
  <c r="CE1252" i="3"/>
  <c r="CD1252" i="3"/>
  <c r="CC1252" i="3"/>
  <c r="CB1252" i="3"/>
  <c r="CA1252" i="3"/>
  <c r="BZ1252" i="3"/>
  <c r="BY1252" i="3"/>
  <c r="BX1252" i="3"/>
  <c r="BW1252" i="3"/>
  <c r="BV1252" i="3"/>
  <c r="BU1252" i="3"/>
  <c r="BT1252" i="3"/>
  <c r="BS1252" i="3"/>
  <c r="BR1252" i="3"/>
  <c r="BQ1252" i="3"/>
  <c r="BP1252" i="3"/>
  <c r="BO1252" i="3"/>
  <c r="BN1252" i="3"/>
  <c r="DU1251" i="3"/>
  <c r="DT1251" i="3"/>
  <c r="DS1251" i="3"/>
  <c r="DR1251" i="3"/>
  <c r="DQ1251" i="3"/>
  <c r="DP1251" i="3"/>
  <c r="DO1251" i="3"/>
  <c r="DN1251" i="3"/>
  <c r="DM1251" i="3"/>
  <c r="DL1251" i="3"/>
  <c r="DK1251" i="3"/>
  <c r="DJ1251" i="3"/>
  <c r="DI1251" i="3"/>
  <c r="DH1251" i="3"/>
  <c r="DG1251" i="3"/>
  <c r="DF1251" i="3"/>
  <c r="DE1251" i="3"/>
  <c r="DD1251" i="3"/>
  <c r="DC1251" i="3"/>
  <c r="DB1251" i="3"/>
  <c r="DA1251" i="3"/>
  <c r="CZ1251" i="3"/>
  <c r="CY1251" i="3"/>
  <c r="CX1251" i="3"/>
  <c r="CW1251" i="3"/>
  <c r="CV1251" i="3"/>
  <c r="CU1251" i="3"/>
  <c r="CT1251" i="3"/>
  <c r="CS1251" i="3"/>
  <c r="CR1251" i="3"/>
  <c r="CQ1251" i="3"/>
  <c r="CP1251" i="3"/>
  <c r="CO1251" i="3"/>
  <c r="CN1251" i="3"/>
  <c r="CM1251" i="3"/>
  <c r="CL1251" i="3"/>
  <c r="CK1251" i="3"/>
  <c r="CJ1251" i="3"/>
  <c r="CI1251" i="3"/>
  <c r="CH1251" i="3"/>
  <c r="CG1251" i="3"/>
  <c r="CF1251" i="3"/>
  <c r="CE1251" i="3"/>
  <c r="CD1251" i="3"/>
  <c r="CC1251" i="3"/>
  <c r="CB1251" i="3"/>
  <c r="CA1251" i="3"/>
  <c r="BZ1251" i="3"/>
  <c r="BY1251" i="3"/>
  <c r="BX1251" i="3"/>
  <c r="BW1251" i="3"/>
  <c r="BV1251" i="3"/>
  <c r="BU1251" i="3"/>
  <c r="BT1251" i="3"/>
  <c r="BS1251" i="3"/>
  <c r="BR1251" i="3"/>
  <c r="BQ1251" i="3"/>
  <c r="BP1251" i="3"/>
  <c r="BO1251" i="3"/>
  <c r="BN1251" i="3"/>
  <c r="DU1250" i="3"/>
  <c r="DT1250" i="3"/>
  <c r="DS1250" i="3"/>
  <c r="DR1250" i="3"/>
  <c r="DQ1250" i="3"/>
  <c r="DP1250" i="3"/>
  <c r="DO1250" i="3"/>
  <c r="DN1250" i="3"/>
  <c r="DM1250" i="3"/>
  <c r="DL1250" i="3"/>
  <c r="DK1250" i="3"/>
  <c r="DJ1250" i="3"/>
  <c r="DI1250" i="3"/>
  <c r="DH1250" i="3"/>
  <c r="DG1250" i="3"/>
  <c r="DF1250" i="3"/>
  <c r="DE1250" i="3"/>
  <c r="DD1250" i="3"/>
  <c r="DC1250" i="3"/>
  <c r="DB1250" i="3"/>
  <c r="DA1250" i="3"/>
  <c r="CZ1250" i="3"/>
  <c r="CY1250" i="3"/>
  <c r="CX1250" i="3"/>
  <c r="CW1250" i="3"/>
  <c r="CV1250" i="3"/>
  <c r="CU1250" i="3"/>
  <c r="CT1250" i="3"/>
  <c r="CS1250" i="3"/>
  <c r="CR1250" i="3"/>
  <c r="CQ1250" i="3"/>
  <c r="CP1250" i="3"/>
  <c r="CO1250" i="3"/>
  <c r="CN1250" i="3"/>
  <c r="CM1250" i="3"/>
  <c r="CL1250" i="3"/>
  <c r="CK1250" i="3"/>
  <c r="CJ1250" i="3"/>
  <c r="CI1250" i="3"/>
  <c r="CH1250" i="3"/>
  <c r="CG1250" i="3"/>
  <c r="CF1250" i="3"/>
  <c r="CE1250" i="3"/>
  <c r="CD1250" i="3"/>
  <c r="CC1250" i="3"/>
  <c r="CB1250" i="3"/>
  <c r="CA1250" i="3"/>
  <c r="BZ1250" i="3"/>
  <c r="BY1250" i="3"/>
  <c r="BX1250" i="3"/>
  <c r="BW1250" i="3"/>
  <c r="BV1250" i="3"/>
  <c r="BU1250" i="3"/>
  <c r="BT1250" i="3"/>
  <c r="BS1250" i="3"/>
  <c r="BR1250" i="3"/>
  <c r="BQ1250" i="3"/>
  <c r="BP1250" i="3"/>
  <c r="BO1250" i="3"/>
  <c r="BN1250" i="3"/>
  <c r="DU1249" i="3"/>
  <c r="DT1249" i="3"/>
  <c r="DS1249" i="3"/>
  <c r="DR1249" i="3"/>
  <c r="DQ1249" i="3"/>
  <c r="DP1249" i="3"/>
  <c r="DO1249" i="3"/>
  <c r="DN1249" i="3"/>
  <c r="DM1249" i="3"/>
  <c r="DL1249" i="3"/>
  <c r="DK1249" i="3"/>
  <c r="DJ1249" i="3"/>
  <c r="DI1249" i="3"/>
  <c r="DH1249" i="3"/>
  <c r="DG1249" i="3"/>
  <c r="DF1249" i="3"/>
  <c r="DE1249" i="3"/>
  <c r="DD1249" i="3"/>
  <c r="DC1249" i="3"/>
  <c r="DB1249" i="3"/>
  <c r="DA1249" i="3"/>
  <c r="CZ1249" i="3"/>
  <c r="CY1249" i="3"/>
  <c r="CX1249" i="3"/>
  <c r="CW1249" i="3"/>
  <c r="CV1249" i="3"/>
  <c r="CU1249" i="3"/>
  <c r="CT1249" i="3"/>
  <c r="CS1249" i="3"/>
  <c r="CR1249" i="3"/>
  <c r="CQ1249" i="3"/>
  <c r="CP1249" i="3"/>
  <c r="CO1249" i="3"/>
  <c r="CN1249" i="3"/>
  <c r="CM1249" i="3"/>
  <c r="CL1249" i="3"/>
  <c r="CK1249" i="3"/>
  <c r="CJ1249" i="3"/>
  <c r="CI1249" i="3"/>
  <c r="CH1249" i="3"/>
  <c r="CG1249" i="3"/>
  <c r="CF1249" i="3"/>
  <c r="CE1249" i="3"/>
  <c r="CD1249" i="3"/>
  <c r="CC1249" i="3"/>
  <c r="CB1249" i="3"/>
  <c r="CA1249" i="3"/>
  <c r="BZ1249" i="3"/>
  <c r="BY1249" i="3"/>
  <c r="BX1249" i="3"/>
  <c r="BW1249" i="3"/>
  <c r="BV1249" i="3"/>
  <c r="BU1249" i="3"/>
  <c r="BT1249" i="3"/>
  <c r="BS1249" i="3"/>
  <c r="BR1249" i="3"/>
  <c r="BQ1249" i="3"/>
  <c r="BP1249" i="3"/>
  <c r="BO1249" i="3"/>
  <c r="BN1249" i="3"/>
  <c r="DU1248" i="3"/>
  <c r="DT1248" i="3"/>
  <c r="DS1248" i="3"/>
  <c r="DR1248" i="3"/>
  <c r="DQ1248" i="3"/>
  <c r="DP1248" i="3"/>
  <c r="DO1248" i="3"/>
  <c r="DN1248" i="3"/>
  <c r="DM1248" i="3"/>
  <c r="DL1248" i="3"/>
  <c r="DK1248" i="3"/>
  <c r="DJ1248" i="3"/>
  <c r="DI1248" i="3"/>
  <c r="DH1248" i="3"/>
  <c r="DG1248" i="3"/>
  <c r="DF1248" i="3"/>
  <c r="DE1248" i="3"/>
  <c r="DD1248" i="3"/>
  <c r="DC1248" i="3"/>
  <c r="DB1248" i="3"/>
  <c r="DA1248" i="3"/>
  <c r="CZ1248" i="3"/>
  <c r="CY1248" i="3"/>
  <c r="CX1248" i="3"/>
  <c r="CW1248" i="3"/>
  <c r="CV1248" i="3"/>
  <c r="CU1248" i="3"/>
  <c r="CT1248" i="3"/>
  <c r="CS1248" i="3"/>
  <c r="CR1248" i="3"/>
  <c r="CQ1248" i="3"/>
  <c r="CP1248" i="3"/>
  <c r="CO1248" i="3"/>
  <c r="CN1248" i="3"/>
  <c r="CM1248" i="3"/>
  <c r="CL1248" i="3"/>
  <c r="CK1248" i="3"/>
  <c r="CJ1248" i="3"/>
  <c r="CI1248" i="3"/>
  <c r="CH1248" i="3"/>
  <c r="CG1248" i="3"/>
  <c r="CF1248" i="3"/>
  <c r="CE1248" i="3"/>
  <c r="CD1248" i="3"/>
  <c r="CC1248" i="3"/>
  <c r="CB1248" i="3"/>
  <c r="CA1248" i="3"/>
  <c r="BZ1248" i="3"/>
  <c r="BY1248" i="3"/>
  <c r="BX1248" i="3"/>
  <c r="BW1248" i="3"/>
  <c r="BV1248" i="3"/>
  <c r="BU1248" i="3"/>
  <c r="BT1248" i="3"/>
  <c r="BS1248" i="3"/>
  <c r="BR1248" i="3"/>
  <c r="BQ1248" i="3"/>
  <c r="BP1248" i="3"/>
  <c r="BO1248" i="3"/>
  <c r="BN1248" i="3"/>
  <c r="DU1247" i="3"/>
  <c r="DT1247" i="3"/>
  <c r="DS1247" i="3"/>
  <c r="DR1247" i="3"/>
  <c r="DQ1247" i="3"/>
  <c r="DP1247" i="3"/>
  <c r="DO1247" i="3"/>
  <c r="DN1247" i="3"/>
  <c r="DM1247" i="3"/>
  <c r="DL1247" i="3"/>
  <c r="DK1247" i="3"/>
  <c r="DJ1247" i="3"/>
  <c r="DI1247" i="3"/>
  <c r="DH1247" i="3"/>
  <c r="DG1247" i="3"/>
  <c r="DF1247" i="3"/>
  <c r="DE1247" i="3"/>
  <c r="DD1247" i="3"/>
  <c r="DC1247" i="3"/>
  <c r="DB1247" i="3"/>
  <c r="DA1247" i="3"/>
  <c r="CZ1247" i="3"/>
  <c r="CY1247" i="3"/>
  <c r="CX1247" i="3"/>
  <c r="CW1247" i="3"/>
  <c r="CV1247" i="3"/>
  <c r="CU1247" i="3"/>
  <c r="CT1247" i="3"/>
  <c r="CS1247" i="3"/>
  <c r="CR1247" i="3"/>
  <c r="CQ1247" i="3"/>
  <c r="CP1247" i="3"/>
  <c r="CO1247" i="3"/>
  <c r="CN1247" i="3"/>
  <c r="CM1247" i="3"/>
  <c r="CL1247" i="3"/>
  <c r="CK1247" i="3"/>
  <c r="CJ1247" i="3"/>
  <c r="CI1247" i="3"/>
  <c r="CH1247" i="3"/>
  <c r="CG1247" i="3"/>
  <c r="CF1247" i="3"/>
  <c r="CE1247" i="3"/>
  <c r="CD1247" i="3"/>
  <c r="CC1247" i="3"/>
  <c r="CB1247" i="3"/>
  <c r="CA1247" i="3"/>
  <c r="BZ1247" i="3"/>
  <c r="BY1247" i="3"/>
  <c r="BX1247" i="3"/>
  <c r="BW1247" i="3"/>
  <c r="BV1247" i="3"/>
  <c r="BU1247" i="3"/>
  <c r="BT1247" i="3"/>
  <c r="BS1247" i="3"/>
  <c r="BR1247" i="3"/>
  <c r="BQ1247" i="3"/>
  <c r="BP1247" i="3"/>
  <c r="BO1247" i="3"/>
  <c r="BN1247" i="3"/>
  <c r="DU1246" i="3"/>
  <c r="DT1246" i="3"/>
  <c r="DS1246" i="3"/>
  <c r="DR1246" i="3"/>
  <c r="DQ1246" i="3"/>
  <c r="DP1246" i="3"/>
  <c r="DO1246" i="3"/>
  <c r="DN1246" i="3"/>
  <c r="DM1246" i="3"/>
  <c r="DL1246" i="3"/>
  <c r="DK1246" i="3"/>
  <c r="DJ1246" i="3"/>
  <c r="DI1246" i="3"/>
  <c r="DH1246" i="3"/>
  <c r="DG1246" i="3"/>
  <c r="DF1246" i="3"/>
  <c r="DE1246" i="3"/>
  <c r="DD1246" i="3"/>
  <c r="DC1246" i="3"/>
  <c r="DB1246" i="3"/>
  <c r="DA1246" i="3"/>
  <c r="CZ1246" i="3"/>
  <c r="CY1246" i="3"/>
  <c r="CX1246" i="3"/>
  <c r="CW1246" i="3"/>
  <c r="CV1246" i="3"/>
  <c r="CU1246" i="3"/>
  <c r="CT1246" i="3"/>
  <c r="CS1246" i="3"/>
  <c r="CR1246" i="3"/>
  <c r="CQ1246" i="3"/>
  <c r="CP1246" i="3"/>
  <c r="CO1246" i="3"/>
  <c r="CN1246" i="3"/>
  <c r="CM1246" i="3"/>
  <c r="CL1246" i="3"/>
  <c r="CK1246" i="3"/>
  <c r="CJ1246" i="3"/>
  <c r="CI1246" i="3"/>
  <c r="CH1246" i="3"/>
  <c r="CG1246" i="3"/>
  <c r="CF1246" i="3"/>
  <c r="CE1246" i="3"/>
  <c r="CD1246" i="3"/>
  <c r="CC1246" i="3"/>
  <c r="CB1246" i="3"/>
  <c r="CA1246" i="3"/>
  <c r="BZ1246" i="3"/>
  <c r="BY1246" i="3"/>
  <c r="BX1246" i="3"/>
  <c r="BW1246" i="3"/>
  <c r="BV1246" i="3"/>
  <c r="BU1246" i="3"/>
  <c r="BT1246" i="3"/>
  <c r="BS1246" i="3"/>
  <c r="BR1246" i="3"/>
  <c r="BQ1246" i="3"/>
  <c r="BP1246" i="3"/>
  <c r="BO1246" i="3"/>
  <c r="BN1246" i="3"/>
  <c r="DU1245" i="3"/>
  <c r="DT1245" i="3"/>
  <c r="DS1245" i="3"/>
  <c r="DR1245" i="3"/>
  <c r="DQ1245" i="3"/>
  <c r="DP1245" i="3"/>
  <c r="DO1245" i="3"/>
  <c r="DN1245" i="3"/>
  <c r="DM1245" i="3"/>
  <c r="DL1245" i="3"/>
  <c r="DK1245" i="3"/>
  <c r="DJ1245" i="3"/>
  <c r="DI1245" i="3"/>
  <c r="DH1245" i="3"/>
  <c r="DG1245" i="3"/>
  <c r="DF1245" i="3"/>
  <c r="DE1245" i="3"/>
  <c r="DD1245" i="3"/>
  <c r="DC1245" i="3"/>
  <c r="DB1245" i="3"/>
  <c r="DA1245" i="3"/>
  <c r="CZ1245" i="3"/>
  <c r="CY1245" i="3"/>
  <c r="CX1245" i="3"/>
  <c r="CW1245" i="3"/>
  <c r="CV1245" i="3"/>
  <c r="CU1245" i="3"/>
  <c r="CT1245" i="3"/>
  <c r="CS1245" i="3"/>
  <c r="CR1245" i="3"/>
  <c r="CQ1245" i="3"/>
  <c r="CP1245" i="3"/>
  <c r="CO1245" i="3"/>
  <c r="CN1245" i="3"/>
  <c r="CM1245" i="3"/>
  <c r="CL1245" i="3"/>
  <c r="CK1245" i="3"/>
  <c r="CJ1245" i="3"/>
  <c r="CI1245" i="3"/>
  <c r="CH1245" i="3"/>
  <c r="CG1245" i="3"/>
  <c r="CF1245" i="3"/>
  <c r="CE1245" i="3"/>
  <c r="CD1245" i="3"/>
  <c r="CC1245" i="3"/>
  <c r="CB1245" i="3"/>
  <c r="CA1245" i="3"/>
  <c r="BZ1245" i="3"/>
  <c r="BY1245" i="3"/>
  <c r="BX1245" i="3"/>
  <c r="BW1245" i="3"/>
  <c r="BV1245" i="3"/>
  <c r="BU1245" i="3"/>
  <c r="BT1245" i="3"/>
  <c r="BS1245" i="3"/>
  <c r="BR1245" i="3"/>
  <c r="BQ1245" i="3"/>
  <c r="BP1245" i="3"/>
  <c r="BO1245" i="3"/>
  <c r="BN1245" i="3"/>
  <c r="DU1244" i="3"/>
  <c r="DT1244" i="3"/>
  <c r="DS1244" i="3"/>
  <c r="DR1244" i="3"/>
  <c r="DQ1244" i="3"/>
  <c r="DP1244" i="3"/>
  <c r="DO1244" i="3"/>
  <c r="DN1244" i="3"/>
  <c r="DM1244" i="3"/>
  <c r="DL1244" i="3"/>
  <c r="DK1244" i="3"/>
  <c r="DJ1244" i="3"/>
  <c r="DI1244" i="3"/>
  <c r="DH1244" i="3"/>
  <c r="DG1244" i="3"/>
  <c r="DF1244" i="3"/>
  <c r="DE1244" i="3"/>
  <c r="DD1244" i="3"/>
  <c r="DC1244" i="3"/>
  <c r="DB1244" i="3"/>
  <c r="DA1244" i="3"/>
  <c r="CZ1244" i="3"/>
  <c r="CY1244" i="3"/>
  <c r="CX1244" i="3"/>
  <c r="CW1244" i="3"/>
  <c r="CV1244" i="3"/>
  <c r="CU1244" i="3"/>
  <c r="CT1244" i="3"/>
  <c r="CS1244" i="3"/>
  <c r="CR1244" i="3"/>
  <c r="CQ1244" i="3"/>
  <c r="CP1244" i="3"/>
  <c r="CO1244" i="3"/>
  <c r="CN1244" i="3"/>
  <c r="CM1244" i="3"/>
  <c r="CL1244" i="3"/>
  <c r="CK1244" i="3"/>
  <c r="CJ1244" i="3"/>
  <c r="CI1244" i="3"/>
  <c r="CH1244" i="3"/>
  <c r="CG1244" i="3"/>
  <c r="CF1244" i="3"/>
  <c r="CE1244" i="3"/>
  <c r="CD1244" i="3"/>
  <c r="CC1244" i="3"/>
  <c r="CB1244" i="3"/>
  <c r="CA1244" i="3"/>
  <c r="BZ1244" i="3"/>
  <c r="BY1244" i="3"/>
  <c r="BX1244" i="3"/>
  <c r="BW1244" i="3"/>
  <c r="BV1244" i="3"/>
  <c r="BU1244" i="3"/>
  <c r="BT1244" i="3"/>
  <c r="BS1244" i="3"/>
  <c r="BR1244" i="3"/>
  <c r="BQ1244" i="3"/>
  <c r="BP1244" i="3"/>
  <c r="BO1244" i="3"/>
  <c r="BN1244" i="3"/>
  <c r="DU1243" i="3"/>
  <c r="DT1243" i="3"/>
  <c r="DS1243" i="3"/>
  <c r="DR1243" i="3"/>
  <c r="DQ1243" i="3"/>
  <c r="DP1243" i="3"/>
  <c r="DO1243" i="3"/>
  <c r="DN1243" i="3"/>
  <c r="DM1243" i="3"/>
  <c r="DL1243" i="3"/>
  <c r="DK1243" i="3"/>
  <c r="DJ1243" i="3"/>
  <c r="DI1243" i="3"/>
  <c r="DH1243" i="3"/>
  <c r="DG1243" i="3"/>
  <c r="DF1243" i="3"/>
  <c r="DE1243" i="3"/>
  <c r="DD1243" i="3"/>
  <c r="DC1243" i="3"/>
  <c r="DB1243" i="3"/>
  <c r="DA1243" i="3"/>
  <c r="CZ1243" i="3"/>
  <c r="CY1243" i="3"/>
  <c r="CX1243" i="3"/>
  <c r="CW1243" i="3"/>
  <c r="CV1243" i="3"/>
  <c r="CU1243" i="3"/>
  <c r="CT1243" i="3"/>
  <c r="CS1243" i="3"/>
  <c r="CR1243" i="3"/>
  <c r="CQ1243" i="3"/>
  <c r="CP1243" i="3"/>
  <c r="CO1243" i="3"/>
  <c r="CN1243" i="3"/>
  <c r="CM1243" i="3"/>
  <c r="CL1243" i="3"/>
  <c r="CK1243" i="3"/>
  <c r="CJ1243" i="3"/>
  <c r="CI1243" i="3"/>
  <c r="CH1243" i="3"/>
  <c r="CG1243" i="3"/>
  <c r="CF1243" i="3"/>
  <c r="CE1243" i="3"/>
  <c r="CD1243" i="3"/>
  <c r="CC1243" i="3"/>
  <c r="CB1243" i="3"/>
  <c r="CA1243" i="3"/>
  <c r="BZ1243" i="3"/>
  <c r="BY1243" i="3"/>
  <c r="BX1243" i="3"/>
  <c r="BW1243" i="3"/>
  <c r="BV1243" i="3"/>
  <c r="BU1243" i="3"/>
  <c r="BT1243" i="3"/>
  <c r="BS1243" i="3"/>
  <c r="BR1243" i="3"/>
  <c r="BQ1243" i="3"/>
  <c r="BP1243" i="3"/>
  <c r="BO1243" i="3"/>
  <c r="BN1243" i="3"/>
  <c r="DU1242" i="3"/>
  <c r="DT1242" i="3"/>
  <c r="DS1242" i="3"/>
  <c r="DR1242" i="3"/>
  <c r="DQ1242" i="3"/>
  <c r="DP1242" i="3"/>
  <c r="DO1242" i="3"/>
  <c r="DN1242" i="3"/>
  <c r="DM1242" i="3"/>
  <c r="DL1242" i="3"/>
  <c r="DK1242" i="3"/>
  <c r="DJ1242" i="3"/>
  <c r="DI1242" i="3"/>
  <c r="DH1242" i="3"/>
  <c r="DG1242" i="3"/>
  <c r="DF1242" i="3"/>
  <c r="DE1242" i="3"/>
  <c r="DD1242" i="3"/>
  <c r="DC1242" i="3"/>
  <c r="DB1242" i="3"/>
  <c r="DA1242" i="3"/>
  <c r="CZ1242" i="3"/>
  <c r="CY1242" i="3"/>
  <c r="CX1242" i="3"/>
  <c r="CW1242" i="3"/>
  <c r="CV1242" i="3"/>
  <c r="CU1242" i="3"/>
  <c r="CT1242" i="3"/>
  <c r="CS1242" i="3"/>
  <c r="CR1242" i="3"/>
  <c r="CQ1242" i="3"/>
  <c r="CP1242" i="3"/>
  <c r="CO1242" i="3"/>
  <c r="CN1242" i="3"/>
  <c r="CM1242" i="3"/>
  <c r="CL1242" i="3"/>
  <c r="CK1242" i="3"/>
  <c r="CJ1242" i="3"/>
  <c r="CI1242" i="3"/>
  <c r="CH1242" i="3"/>
  <c r="CG1242" i="3"/>
  <c r="CF1242" i="3"/>
  <c r="CE1242" i="3"/>
  <c r="CD1242" i="3"/>
  <c r="CC1242" i="3"/>
  <c r="CB1242" i="3"/>
  <c r="CA1242" i="3"/>
  <c r="BZ1242" i="3"/>
  <c r="BY1242" i="3"/>
  <c r="BX1242" i="3"/>
  <c r="BW1242" i="3"/>
  <c r="BV1242" i="3"/>
  <c r="BU1242" i="3"/>
  <c r="BT1242" i="3"/>
  <c r="BS1242" i="3"/>
  <c r="BR1242" i="3"/>
  <c r="BQ1242" i="3"/>
  <c r="BP1242" i="3"/>
  <c r="BO1242" i="3"/>
  <c r="BN1242" i="3"/>
  <c r="DU1241" i="3"/>
  <c r="DT1241" i="3"/>
  <c r="DS1241" i="3"/>
  <c r="DR1241" i="3"/>
  <c r="DQ1241" i="3"/>
  <c r="DP1241" i="3"/>
  <c r="DO1241" i="3"/>
  <c r="DN1241" i="3"/>
  <c r="DM1241" i="3"/>
  <c r="DL1241" i="3"/>
  <c r="DK1241" i="3"/>
  <c r="DJ1241" i="3"/>
  <c r="DI1241" i="3"/>
  <c r="DH1241" i="3"/>
  <c r="DG1241" i="3"/>
  <c r="DF1241" i="3"/>
  <c r="DE1241" i="3"/>
  <c r="DD1241" i="3"/>
  <c r="DC1241" i="3"/>
  <c r="DB1241" i="3"/>
  <c r="DA1241" i="3"/>
  <c r="CZ1241" i="3"/>
  <c r="CY1241" i="3"/>
  <c r="CX1241" i="3"/>
  <c r="CW1241" i="3"/>
  <c r="CV1241" i="3"/>
  <c r="CU1241" i="3"/>
  <c r="CT1241" i="3"/>
  <c r="CS1241" i="3"/>
  <c r="CR1241" i="3"/>
  <c r="CQ1241" i="3"/>
  <c r="CP1241" i="3"/>
  <c r="CO1241" i="3"/>
  <c r="CN1241" i="3"/>
  <c r="CM1241" i="3"/>
  <c r="CL1241" i="3"/>
  <c r="CK1241" i="3"/>
  <c r="CJ1241" i="3"/>
  <c r="CI1241" i="3"/>
  <c r="CH1241" i="3"/>
  <c r="CG1241" i="3"/>
  <c r="CF1241" i="3"/>
  <c r="CE1241" i="3"/>
  <c r="CD1241" i="3"/>
  <c r="CC1241" i="3"/>
  <c r="CB1241" i="3"/>
  <c r="CA1241" i="3"/>
  <c r="BZ1241" i="3"/>
  <c r="BY1241" i="3"/>
  <c r="BX1241" i="3"/>
  <c r="BW1241" i="3"/>
  <c r="BV1241" i="3"/>
  <c r="BU1241" i="3"/>
  <c r="BT1241" i="3"/>
  <c r="BS1241" i="3"/>
  <c r="BR1241" i="3"/>
  <c r="BQ1241" i="3"/>
  <c r="BP1241" i="3"/>
  <c r="BO1241" i="3"/>
  <c r="BN1241" i="3"/>
  <c r="DU1240" i="3"/>
  <c r="DT1240" i="3"/>
  <c r="DS1240" i="3"/>
  <c r="DR1240" i="3"/>
  <c r="DQ1240" i="3"/>
  <c r="DP1240" i="3"/>
  <c r="DO1240" i="3"/>
  <c r="DN1240" i="3"/>
  <c r="DM1240" i="3"/>
  <c r="DL1240" i="3"/>
  <c r="DK1240" i="3"/>
  <c r="DJ1240" i="3"/>
  <c r="DI1240" i="3"/>
  <c r="DH1240" i="3"/>
  <c r="DG1240" i="3"/>
  <c r="DF1240" i="3"/>
  <c r="DE1240" i="3"/>
  <c r="DD1240" i="3"/>
  <c r="DC1240" i="3"/>
  <c r="DB1240" i="3"/>
  <c r="DA1240" i="3"/>
  <c r="CZ1240" i="3"/>
  <c r="CY1240" i="3"/>
  <c r="CX1240" i="3"/>
  <c r="CW1240" i="3"/>
  <c r="CV1240" i="3"/>
  <c r="CU1240" i="3"/>
  <c r="CT1240" i="3"/>
  <c r="CS1240" i="3"/>
  <c r="CR1240" i="3"/>
  <c r="CQ1240" i="3"/>
  <c r="CP1240" i="3"/>
  <c r="CO1240" i="3"/>
  <c r="CN1240" i="3"/>
  <c r="CM1240" i="3"/>
  <c r="CL1240" i="3"/>
  <c r="CK1240" i="3"/>
  <c r="CJ1240" i="3"/>
  <c r="CI1240" i="3"/>
  <c r="CH1240" i="3"/>
  <c r="CG1240" i="3"/>
  <c r="CF1240" i="3"/>
  <c r="CE1240" i="3"/>
  <c r="CD1240" i="3"/>
  <c r="CC1240" i="3"/>
  <c r="CB1240" i="3"/>
  <c r="CA1240" i="3"/>
  <c r="BZ1240" i="3"/>
  <c r="BY1240" i="3"/>
  <c r="BX1240" i="3"/>
  <c r="BW1240" i="3"/>
  <c r="BV1240" i="3"/>
  <c r="BU1240" i="3"/>
  <c r="BT1240" i="3"/>
  <c r="BS1240" i="3"/>
  <c r="BR1240" i="3"/>
  <c r="BQ1240" i="3"/>
  <c r="BP1240" i="3"/>
  <c r="BO1240" i="3"/>
  <c r="BN1240" i="3"/>
  <c r="DU1239" i="3"/>
  <c r="DT1239" i="3"/>
  <c r="DS1239" i="3"/>
  <c r="DR1239" i="3"/>
  <c r="DQ1239" i="3"/>
  <c r="DP1239" i="3"/>
  <c r="DO1239" i="3"/>
  <c r="DN1239" i="3"/>
  <c r="DM1239" i="3"/>
  <c r="DL1239" i="3"/>
  <c r="DK1239" i="3"/>
  <c r="DJ1239" i="3"/>
  <c r="DI1239" i="3"/>
  <c r="DH1239" i="3"/>
  <c r="DG1239" i="3"/>
  <c r="DF1239" i="3"/>
  <c r="DE1239" i="3"/>
  <c r="DD1239" i="3"/>
  <c r="DC1239" i="3"/>
  <c r="DB1239" i="3"/>
  <c r="DA1239" i="3"/>
  <c r="CZ1239" i="3"/>
  <c r="CY1239" i="3"/>
  <c r="CX1239" i="3"/>
  <c r="CW1239" i="3"/>
  <c r="CV1239" i="3"/>
  <c r="CU1239" i="3"/>
  <c r="CT1239" i="3"/>
  <c r="CS1239" i="3"/>
  <c r="CR1239" i="3"/>
  <c r="CQ1239" i="3"/>
  <c r="CP1239" i="3"/>
  <c r="CO1239" i="3"/>
  <c r="CN1239" i="3"/>
  <c r="CM1239" i="3"/>
  <c r="CL1239" i="3"/>
  <c r="CK1239" i="3"/>
  <c r="CJ1239" i="3"/>
  <c r="CI1239" i="3"/>
  <c r="CH1239" i="3"/>
  <c r="CG1239" i="3"/>
  <c r="CF1239" i="3"/>
  <c r="CE1239" i="3"/>
  <c r="CD1239" i="3"/>
  <c r="CC1239" i="3"/>
  <c r="CB1239" i="3"/>
  <c r="CA1239" i="3"/>
  <c r="BZ1239" i="3"/>
  <c r="BY1239" i="3"/>
  <c r="BX1239" i="3"/>
  <c r="BW1239" i="3"/>
  <c r="BV1239" i="3"/>
  <c r="BU1239" i="3"/>
  <c r="BT1239" i="3"/>
  <c r="BS1239" i="3"/>
  <c r="BR1239" i="3"/>
  <c r="BQ1239" i="3"/>
  <c r="BP1239" i="3"/>
  <c r="BO1239" i="3"/>
  <c r="BN1239" i="3"/>
  <c r="DU1238" i="3"/>
  <c r="DT1238" i="3"/>
  <c r="DS1238" i="3"/>
  <c r="DR1238" i="3"/>
  <c r="DQ1238" i="3"/>
  <c r="DP1238" i="3"/>
  <c r="DO1238" i="3"/>
  <c r="DN1238" i="3"/>
  <c r="DM1238" i="3"/>
  <c r="DL1238" i="3"/>
  <c r="DK1238" i="3"/>
  <c r="DJ1238" i="3"/>
  <c r="DI1238" i="3"/>
  <c r="DH1238" i="3"/>
  <c r="DG1238" i="3"/>
  <c r="DF1238" i="3"/>
  <c r="DE1238" i="3"/>
  <c r="DD1238" i="3"/>
  <c r="DC1238" i="3"/>
  <c r="DB1238" i="3"/>
  <c r="DA1238" i="3"/>
  <c r="CZ1238" i="3"/>
  <c r="CY1238" i="3"/>
  <c r="CX1238" i="3"/>
  <c r="CW1238" i="3"/>
  <c r="CV1238" i="3"/>
  <c r="CU1238" i="3"/>
  <c r="CT1238" i="3"/>
  <c r="CS1238" i="3"/>
  <c r="CR1238" i="3"/>
  <c r="CQ1238" i="3"/>
  <c r="CP1238" i="3"/>
  <c r="CO1238" i="3"/>
  <c r="CN1238" i="3"/>
  <c r="CM1238" i="3"/>
  <c r="CL1238" i="3"/>
  <c r="CK1238" i="3"/>
  <c r="CJ1238" i="3"/>
  <c r="CI1238" i="3"/>
  <c r="CH1238" i="3"/>
  <c r="CG1238" i="3"/>
  <c r="CF1238" i="3"/>
  <c r="CE1238" i="3"/>
  <c r="CD1238" i="3"/>
  <c r="CC1238" i="3"/>
  <c r="CB1238" i="3"/>
  <c r="CA1238" i="3"/>
  <c r="BZ1238" i="3"/>
  <c r="BY1238" i="3"/>
  <c r="BX1238" i="3"/>
  <c r="BW1238" i="3"/>
  <c r="BV1238" i="3"/>
  <c r="BU1238" i="3"/>
  <c r="BT1238" i="3"/>
  <c r="BS1238" i="3"/>
  <c r="BR1238" i="3"/>
  <c r="BQ1238" i="3"/>
  <c r="BP1238" i="3"/>
  <c r="BO1238" i="3"/>
  <c r="BN1238" i="3"/>
  <c r="DU1237" i="3"/>
  <c r="DT1237" i="3"/>
  <c r="DS1237" i="3"/>
  <c r="DR1237" i="3"/>
  <c r="DQ1237" i="3"/>
  <c r="DP1237" i="3"/>
  <c r="DO1237" i="3"/>
  <c r="DN1237" i="3"/>
  <c r="DM1237" i="3"/>
  <c r="DL1237" i="3"/>
  <c r="DK1237" i="3"/>
  <c r="DJ1237" i="3"/>
  <c r="DI1237" i="3"/>
  <c r="DH1237" i="3"/>
  <c r="DG1237" i="3"/>
  <c r="DF1237" i="3"/>
  <c r="DE1237" i="3"/>
  <c r="DD1237" i="3"/>
  <c r="DC1237" i="3"/>
  <c r="DB1237" i="3"/>
  <c r="DA1237" i="3"/>
  <c r="CZ1237" i="3"/>
  <c r="CY1237" i="3"/>
  <c r="CX1237" i="3"/>
  <c r="CW1237" i="3"/>
  <c r="CV1237" i="3"/>
  <c r="CU1237" i="3"/>
  <c r="CT1237" i="3"/>
  <c r="CS1237" i="3"/>
  <c r="CR1237" i="3"/>
  <c r="CQ1237" i="3"/>
  <c r="CP1237" i="3"/>
  <c r="CO1237" i="3"/>
  <c r="CN1237" i="3"/>
  <c r="CM1237" i="3"/>
  <c r="CL1237" i="3"/>
  <c r="CK1237" i="3"/>
  <c r="CJ1237" i="3"/>
  <c r="CI1237" i="3"/>
  <c r="CH1237" i="3"/>
  <c r="CG1237" i="3"/>
  <c r="CF1237" i="3"/>
  <c r="CE1237" i="3"/>
  <c r="CD1237" i="3"/>
  <c r="CC1237" i="3"/>
  <c r="CB1237" i="3"/>
  <c r="CA1237" i="3"/>
  <c r="BZ1237" i="3"/>
  <c r="BY1237" i="3"/>
  <c r="BX1237" i="3"/>
  <c r="BW1237" i="3"/>
  <c r="BV1237" i="3"/>
  <c r="BU1237" i="3"/>
  <c r="BT1237" i="3"/>
  <c r="BS1237" i="3"/>
  <c r="BR1237" i="3"/>
  <c r="BQ1237" i="3"/>
  <c r="BP1237" i="3"/>
  <c r="BO1237" i="3"/>
  <c r="BN1237" i="3"/>
  <c r="DU1236" i="3"/>
  <c r="DT1236" i="3"/>
  <c r="DS1236" i="3"/>
  <c r="DR1236" i="3"/>
  <c r="DQ1236" i="3"/>
  <c r="DP1236" i="3"/>
  <c r="DO1236" i="3"/>
  <c r="DN1236" i="3"/>
  <c r="DM1236" i="3"/>
  <c r="DL1236" i="3"/>
  <c r="DK1236" i="3"/>
  <c r="DJ1236" i="3"/>
  <c r="DI1236" i="3"/>
  <c r="DH1236" i="3"/>
  <c r="DG1236" i="3"/>
  <c r="DF1236" i="3"/>
  <c r="DE1236" i="3"/>
  <c r="DD1236" i="3"/>
  <c r="DC1236" i="3"/>
  <c r="DB1236" i="3"/>
  <c r="DA1236" i="3"/>
  <c r="CZ1236" i="3"/>
  <c r="CY1236" i="3"/>
  <c r="CX1236" i="3"/>
  <c r="CW1236" i="3"/>
  <c r="CV1236" i="3"/>
  <c r="CU1236" i="3"/>
  <c r="CT1236" i="3"/>
  <c r="CS1236" i="3"/>
  <c r="CR1236" i="3"/>
  <c r="CQ1236" i="3"/>
  <c r="CP1236" i="3"/>
  <c r="CO1236" i="3"/>
  <c r="CN1236" i="3"/>
  <c r="CM1236" i="3"/>
  <c r="CL1236" i="3"/>
  <c r="CK1236" i="3"/>
  <c r="CJ1236" i="3"/>
  <c r="CI1236" i="3"/>
  <c r="CH1236" i="3"/>
  <c r="CG1236" i="3"/>
  <c r="CF1236" i="3"/>
  <c r="CE1236" i="3"/>
  <c r="CD1236" i="3"/>
  <c r="CC1236" i="3"/>
  <c r="CB1236" i="3"/>
  <c r="CA1236" i="3"/>
  <c r="BZ1236" i="3"/>
  <c r="BY1236" i="3"/>
  <c r="BX1236" i="3"/>
  <c r="BW1236" i="3"/>
  <c r="BV1236" i="3"/>
  <c r="BU1236" i="3"/>
  <c r="BT1236" i="3"/>
  <c r="BS1236" i="3"/>
  <c r="BR1236" i="3"/>
  <c r="BQ1236" i="3"/>
  <c r="BP1236" i="3"/>
  <c r="BO1236" i="3"/>
  <c r="BN1236" i="3"/>
  <c r="DU1235" i="3"/>
  <c r="DT1235" i="3"/>
  <c r="DS1235" i="3"/>
  <c r="DR1235" i="3"/>
  <c r="DQ1235" i="3"/>
  <c r="DP1235" i="3"/>
  <c r="DO1235" i="3"/>
  <c r="DN1235" i="3"/>
  <c r="DM1235" i="3"/>
  <c r="DL1235" i="3"/>
  <c r="DK1235" i="3"/>
  <c r="DJ1235" i="3"/>
  <c r="DI1235" i="3"/>
  <c r="DH1235" i="3"/>
  <c r="DG1235" i="3"/>
  <c r="DF1235" i="3"/>
  <c r="DE1235" i="3"/>
  <c r="DD1235" i="3"/>
  <c r="DC1235" i="3"/>
  <c r="DB1235" i="3"/>
  <c r="DA1235" i="3"/>
  <c r="CZ1235" i="3"/>
  <c r="CY1235" i="3"/>
  <c r="CX1235" i="3"/>
  <c r="CW1235" i="3"/>
  <c r="CV1235" i="3"/>
  <c r="CU1235" i="3"/>
  <c r="CT1235" i="3"/>
  <c r="CS1235" i="3"/>
  <c r="CR1235" i="3"/>
  <c r="CQ1235" i="3"/>
  <c r="CP1235" i="3"/>
  <c r="CO1235" i="3"/>
  <c r="CN1235" i="3"/>
  <c r="CM1235" i="3"/>
  <c r="CL1235" i="3"/>
  <c r="CK1235" i="3"/>
  <c r="CJ1235" i="3"/>
  <c r="CI1235" i="3"/>
  <c r="CH1235" i="3"/>
  <c r="CG1235" i="3"/>
  <c r="CF1235" i="3"/>
  <c r="CE1235" i="3"/>
  <c r="CD1235" i="3"/>
  <c r="CC1235" i="3"/>
  <c r="CB1235" i="3"/>
  <c r="CA1235" i="3"/>
  <c r="BZ1235" i="3"/>
  <c r="BY1235" i="3"/>
  <c r="BX1235" i="3"/>
  <c r="BW1235" i="3"/>
  <c r="BV1235" i="3"/>
  <c r="BU1235" i="3"/>
  <c r="BT1235" i="3"/>
  <c r="BS1235" i="3"/>
  <c r="BR1235" i="3"/>
  <c r="BQ1235" i="3"/>
  <c r="BP1235" i="3"/>
  <c r="BO1235" i="3"/>
  <c r="BN1235" i="3"/>
  <c r="DU1234" i="3"/>
  <c r="DT1234" i="3"/>
  <c r="DS1234" i="3"/>
  <c r="DR1234" i="3"/>
  <c r="DQ1234" i="3"/>
  <c r="DP1234" i="3"/>
  <c r="DO1234" i="3"/>
  <c r="DN1234" i="3"/>
  <c r="DM1234" i="3"/>
  <c r="DL1234" i="3"/>
  <c r="DK1234" i="3"/>
  <c r="DJ1234" i="3"/>
  <c r="DI1234" i="3"/>
  <c r="DH1234" i="3"/>
  <c r="DG1234" i="3"/>
  <c r="DF1234" i="3"/>
  <c r="DE1234" i="3"/>
  <c r="DD1234" i="3"/>
  <c r="DC1234" i="3"/>
  <c r="DB1234" i="3"/>
  <c r="DA1234" i="3"/>
  <c r="CZ1234" i="3"/>
  <c r="CY1234" i="3"/>
  <c r="CX1234" i="3"/>
  <c r="CW1234" i="3"/>
  <c r="CV1234" i="3"/>
  <c r="CU1234" i="3"/>
  <c r="CT1234" i="3"/>
  <c r="CS1234" i="3"/>
  <c r="CR1234" i="3"/>
  <c r="CQ1234" i="3"/>
  <c r="CP1234" i="3"/>
  <c r="CO1234" i="3"/>
  <c r="CN1234" i="3"/>
  <c r="CM1234" i="3"/>
  <c r="CL1234" i="3"/>
  <c r="CK1234" i="3"/>
  <c r="CJ1234" i="3"/>
  <c r="CI1234" i="3"/>
  <c r="CH1234" i="3"/>
  <c r="CG1234" i="3"/>
  <c r="CF1234" i="3"/>
  <c r="CE1234" i="3"/>
  <c r="CD1234" i="3"/>
  <c r="CC1234" i="3"/>
  <c r="CB1234" i="3"/>
  <c r="CA1234" i="3"/>
  <c r="BZ1234" i="3"/>
  <c r="BY1234" i="3"/>
  <c r="BX1234" i="3"/>
  <c r="BW1234" i="3"/>
  <c r="BV1234" i="3"/>
  <c r="BU1234" i="3"/>
  <c r="BT1234" i="3"/>
  <c r="BS1234" i="3"/>
  <c r="BR1234" i="3"/>
  <c r="BQ1234" i="3"/>
  <c r="BP1234" i="3"/>
  <c r="BO1234" i="3"/>
  <c r="BN1234" i="3"/>
  <c r="DU1233" i="3"/>
  <c r="DT1233" i="3"/>
  <c r="DS1233" i="3"/>
  <c r="DR1233" i="3"/>
  <c r="DQ1233" i="3"/>
  <c r="DP1233" i="3"/>
  <c r="DO1233" i="3"/>
  <c r="DN1233" i="3"/>
  <c r="DM1233" i="3"/>
  <c r="DL1233" i="3"/>
  <c r="DK1233" i="3"/>
  <c r="DJ1233" i="3"/>
  <c r="DI1233" i="3"/>
  <c r="DH1233" i="3"/>
  <c r="DG1233" i="3"/>
  <c r="DF1233" i="3"/>
  <c r="DE1233" i="3"/>
  <c r="DD1233" i="3"/>
  <c r="DC1233" i="3"/>
  <c r="DB1233" i="3"/>
  <c r="DA1233" i="3"/>
  <c r="CZ1233" i="3"/>
  <c r="CY1233" i="3"/>
  <c r="CX1233" i="3"/>
  <c r="CW1233" i="3"/>
  <c r="CV1233" i="3"/>
  <c r="CU1233" i="3"/>
  <c r="CT1233" i="3"/>
  <c r="CS1233" i="3"/>
  <c r="CR1233" i="3"/>
  <c r="CQ1233" i="3"/>
  <c r="CP1233" i="3"/>
  <c r="CO1233" i="3"/>
  <c r="CN1233" i="3"/>
  <c r="CM1233" i="3"/>
  <c r="CL1233" i="3"/>
  <c r="CK1233" i="3"/>
  <c r="CJ1233" i="3"/>
  <c r="CI1233" i="3"/>
  <c r="CH1233" i="3"/>
  <c r="CG1233" i="3"/>
  <c r="CF1233" i="3"/>
  <c r="CE1233" i="3"/>
  <c r="CD1233" i="3"/>
  <c r="CC1233" i="3"/>
  <c r="CB1233" i="3"/>
  <c r="CA1233" i="3"/>
  <c r="BZ1233" i="3"/>
  <c r="BY1233" i="3"/>
  <c r="BX1233" i="3"/>
  <c r="BW1233" i="3"/>
  <c r="BV1233" i="3"/>
  <c r="BU1233" i="3"/>
  <c r="BT1233" i="3"/>
  <c r="BS1233" i="3"/>
  <c r="BR1233" i="3"/>
  <c r="BQ1233" i="3"/>
  <c r="BP1233" i="3"/>
  <c r="BO1233" i="3"/>
  <c r="BN1233" i="3"/>
  <c r="DU1232" i="3"/>
  <c r="DT1232" i="3"/>
  <c r="DS1232" i="3"/>
  <c r="DR1232" i="3"/>
  <c r="DQ1232" i="3"/>
  <c r="DP1232" i="3"/>
  <c r="DO1232" i="3"/>
  <c r="DN1232" i="3"/>
  <c r="DM1232" i="3"/>
  <c r="DL1232" i="3"/>
  <c r="DK1232" i="3"/>
  <c r="DJ1232" i="3"/>
  <c r="DI1232" i="3"/>
  <c r="DH1232" i="3"/>
  <c r="DG1232" i="3"/>
  <c r="DF1232" i="3"/>
  <c r="DE1232" i="3"/>
  <c r="DD1232" i="3"/>
  <c r="DC1232" i="3"/>
  <c r="DB1232" i="3"/>
  <c r="DA1232" i="3"/>
  <c r="CZ1232" i="3"/>
  <c r="CY1232" i="3"/>
  <c r="CX1232" i="3"/>
  <c r="CW1232" i="3"/>
  <c r="CV1232" i="3"/>
  <c r="CU1232" i="3"/>
  <c r="CT1232" i="3"/>
  <c r="CS1232" i="3"/>
  <c r="CR1232" i="3"/>
  <c r="CQ1232" i="3"/>
  <c r="CP1232" i="3"/>
  <c r="CO1232" i="3"/>
  <c r="CN1232" i="3"/>
  <c r="CM1232" i="3"/>
  <c r="CL1232" i="3"/>
  <c r="CK1232" i="3"/>
  <c r="CJ1232" i="3"/>
  <c r="CI1232" i="3"/>
  <c r="CH1232" i="3"/>
  <c r="CG1232" i="3"/>
  <c r="CF1232" i="3"/>
  <c r="CE1232" i="3"/>
  <c r="CD1232" i="3"/>
  <c r="CC1232" i="3"/>
  <c r="CB1232" i="3"/>
  <c r="CA1232" i="3"/>
  <c r="BZ1232" i="3"/>
  <c r="BY1232" i="3"/>
  <c r="BX1232" i="3"/>
  <c r="BW1232" i="3"/>
  <c r="BV1232" i="3"/>
  <c r="BU1232" i="3"/>
  <c r="BT1232" i="3"/>
  <c r="BS1232" i="3"/>
  <c r="BR1232" i="3"/>
  <c r="BQ1232" i="3"/>
  <c r="BP1232" i="3"/>
  <c r="BO1232" i="3"/>
  <c r="BN1232" i="3"/>
  <c r="DU1231" i="3"/>
  <c r="DT1231" i="3"/>
  <c r="DS1231" i="3"/>
  <c r="DR1231" i="3"/>
  <c r="DQ1231" i="3"/>
  <c r="DP1231" i="3"/>
  <c r="DO1231" i="3"/>
  <c r="DN1231" i="3"/>
  <c r="DM1231" i="3"/>
  <c r="DL1231" i="3"/>
  <c r="DK1231" i="3"/>
  <c r="DJ1231" i="3"/>
  <c r="DI1231" i="3"/>
  <c r="DH1231" i="3"/>
  <c r="DG1231" i="3"/>
  <c r="DF1231" i="3"/>
  <c r="DE1231" i="3"/>
  <c r="DD1231" i="3"/>
  <c r="DC1231" i="3"/>
  <c r="DB1231" i="3"/>
  <c r="DA1231" i="3"/>
  <c r="CZ1231" i="3"/>
  <c r="CY1231" i="3"/>
  <c r="CX1231" i="3"/>
  <c r="CW1231" i="3"/>
  <c r="CV1231" i="3"/>
  <c r="CU1231" i="3"/>
  <c r="CT1231" i="3"/>
  <c r="CS1231" i="3"/>
  <c r="CR1231" i="3"/>
  <c r="CQ1231" i="3"/>
  <c r="CP1231" i="3"/>
  <c r="CO1231" i="3"/>
  <c r="CN1231" i="3"/>
  <c r="CM1231" i="3"/>
  <c r="CL1231" i="3"/>
  <c r="CK1231" i="3"/>
  <c r="CJ1231" i="3"/>
  <c r="CI1231" i="3"/>
  <c r="CH1231" i="3"/>
  <c r="CG1231" i="3"/>
  <c r="CF1231" i="3"/>
  <c r="CE1231" i="3"/>
  <c r="CD1231" i="3"/>
  <c r="CC1231" i="3"/>
  <c r="CB1231" i="3"/>
  <c r="CA1231" i="3"/>
  <c r="BZ1231" i="3"/>
  <c r="BY1231" i="3"/>
  <c r="BX1231" i="3"/>
  <c r="BW1231" i="3"/>
  <c r="BV1231" i="3"/>
  <c r="BU1231" i="3"/>
  <c r="BT1231" i="3"/>
  <c r="BS1231" i="3"/>
  <c r="BR1231" i="3"/>
  <c r="BQ1231" i="3"/>
  <c r="BP1231" i="3"/>
  <c r="BO1231" i="3"/>
  <c r="BN1231" i="3"/>
  <c r="DU1230" i="3"/>
  <c r="DT1230" i="3"/>
  <c r="DS1230" i="3"/>
  <c r="DR1230" i="3"/>
  <c r="DQ1230" i="3"/>
  <c r="DP1230" i="3"/>
  <c r="DO1230" i="3"/>
  <c r="DN1230" i="3"/>
  <c r="DM1230" i="3"/>
  <c r="DL1230" i="3"/>
  <c r="DK1230" i="3"/>
  <c r="DJ1230" i="3"/>
  <c r="DI1230" i="3"/>
  <c r="DH1230" i="3"/>
  <c r="DG1230" i="3"/>
  <c r="DF1230" i="3"/>
  <c r="DE1230" i="3"/>
  <c r="DD1230" i="3"/>
  <c r="DC1230" i="3"/>
  <c r="DB1230" i="3"/>
  <c r="DA1230" i="3"/>
  <c r="CZ1230" i="3"/>
  <c r="CY1230" i="3"/>
  <c r="CX1230" i="3"/>
  <c r="CW1230" i="3"/>
  <c r="CV1230" i="3"/>
  <c r="CU1230" i="3"/>
  <c r="CT1230" i="3"/>
  <c r="CS1230" i="3"/>
  <c r="CR1230" i="3"/>
  <c r="CQ1230" i="3"/>
  <c r="CP1230" i="3"/>
  <c r="CO1230" i="3"/>
  <c r="CN1230" i="3"/>
  <c r="CM1230" i="3"/>
  <c r="CL1230" i="3"/>
  <c r="CK1230" i="3"/>
  <c r="CJ1230" i="3"/>
  <c r="CI1230" i="3"/>
  <c r="CH1230" i="3"/>
  <c r="CG1230" i="3"/>
  <c r="CF1230" i="3"/>
  <c r="CE1230" i="3"/>
  <c r="CD1230" i="3"/>
  <c r="CC1230" i="3"/>
  <c r="CB1230" i="3"/>
  <c r="CA1230" i="3"/>
  <c r="BZ1230" i="3"/>
  <c r="BY1230" i="3"/>
  <c r="BX1230" i="3"/>
  <c r="BW1230" i="3"/>
  <c r="BV1230" i="3"/>
  <c r="BU1230" i="3"/>
  <c r="BT1230" i="3"/>
  <c r="BS1230" i="3"/>
  <c r="BR1230" i="3"/>
  <c r="BQ1230" i="3"/>
  <c r="BP1230" i="3"/>
  <c r="BO1230" i="3"/>
  <c r="BN1230" i="3"/>
  <c r="DU1229" i="3"/>
  <c r="DT1229" i="3"/>
  <c r="DS1229" i="3"/>
  <c r="DR1229" i="3"/>
  <c r="DQ1229" i="3"/>
  <c r="DP1229" i="3"/>
  <c r="DO1229" i="3"/>
  <c r="DN1229" i="3"/>
  <c r="DM1229" i="3"/>
  <c r="DL1229" i="3"/>
  <c r="DK1229" i="3"/>
  <c r="DJ1229" i="3"/>
  <c r="DI1229" i="3"/>
  <c r="DH1229" i="3"/>
  <c r="DG1229" i="3"/>
  <c r="DF1229" i="3"/>
  <c r="DE1229" i="3"/>
  <c r="DD1229" i="3"/>
  <c r="DC1229" i="3"/>
  <c r="DB1229" i="3"/>
  <c r="DA1229" i="3"/>
  <c r="CZ1229" i="3"/>
  <c r="CY1229" i="3"/>
  <c r="CX1229" i="3"/>
  <c r="CW1229" i="3"/>
  <c r="CV1229" i="3"/>
  <c r="CU1229" i="3"/>
  <c r="CT1229" i="3"/>
  <c r="CS1229" i="3"/>
  <c r="CR1229" i="3"/>
  <c r="CQ1229" i="3"/>
  <c r="CP1229" i="3"/>
  <c r="CO1229" i="3"/>
  <c r="CN1229" i="3"/>
  <c r="CM1229" i="3"/>
  <c r="CL1229" i="3"/>
  <c r="CK1229" i="3"/>
  <c r="CJ1229" i="3"/>
  <c r="CI1229" i="3"/>
  <c r="CH1229" i="3"/>
  <c r="CG1229" i="3"/>
  <c r="CF1229" i="3"/>
  <c r="CE1229" i="3"/>
  <c r="CD1229" i="3"/>
  <c r="CC1229" i="3"/>
  <c r="CB1229" i="3"/>
  <c r="CA1229" i="3"/>
  <c r="BZ1229" i="3"/>
  <c r="BY1229" i="3"/>
  <c r="BX1229" i="3"/>
  <c r="BW1229" i="3"/>
  <c r="BV1229" i="3"/>
  <c r="BU1229" i="3"/>
  <c r="BT1229" i="3"/>
  <c r="BS1229" i="3"/>
  <c r="BR1229" i="3"/>
  <c r="BQ1229" i="3"/>
  <c r="BP1229" i="3"/>
  <c r="BO1229" i="3"/>
  <c r="BN1229" i="3"/>
  <c r="DU1228" i="3"/>
  <c r="DT1228" i="3"/>
  <c r="DS1228" i="3"/>
  <c r="DR1228" i="3"/>
  <c r="DQ1228" i="3"/>
  <c r="DP1228" i="3"/>
  <c r="DO1228" i="3"/>
  <c r="DN1228" i="3"/>
  <c r="DM1228" i="3"/>
  <c r="DL1228" i="3"/>
  <c r="DK1228" i="3"/>
  <c r="DJ1228" i="3"/>
  <c r="DI1228" i="3"/>
  <c r="DH1228" i="3"/>
  <c r="DG1228" i="3"/>
  <c r="DF1228" i="3"/>
  <c r="DE1228" i="3"/>
  <c r="DD1228" i="3"/>
  <c r="DC1228" i="3"/>
  <c r="DB1228" i="3"/>
  <c r="DA1228" i="3"/>
  <c r="CZ1228" i="3"/>
  <c r="CY1228" i="3"/>
  <c r="CX1228" i="3"/>
  <c r="CW1228" i="3"/>
  <c r="CV1228" i="3"/>
  <c r="CU1228" i="3"/>
  <c r="CT1228" i="3"/>
  <c r="CS1228" i="3"/>
  <c r="CR1228" i="3"/>
  <c r="CQ1228" i="3"/>
  <c r="CP1228" i="3"/>
  <c r="CO1228" i="3"/>
  <c r="CN1228" i="3"/>
  <c r="CM1228" i="3"/>
  <c r="CL1228" i="3"/>
  <c r="CK1228" i="3"/>
  <c r="CJ1228" i="3"/>
  <c r="CI1228" i="3"/>
  <c r="CH1228" i="3"/>
  <c r="CG1228" i="3"/>
  <c r="CF1228" i="3"/>
  <c r="CE1228" i="3"/>
  <c r="CD1228" i="3"/>
  <c r="CC1228" i="3"/>
  <c r="CB1228" i="3"/>
  <c r="CA1228" i="3"/>
  <c r="BZ1228" i="3"/>
  <c r="BY1228" i="3"/>
  <c r="BX1228" i="3"/>
  <c r="BW1228" i="3"/>
  <c r="BV1228" i="3"/>
  <c r="BU1228" i="3"/>
  <c r="BT1228" i="3"/>
  <c r="BS1228" i="3"/>
  <c r="BR1228" i="3"/>
  <c r="BQ1228" i="3"/>
  <c r="BP1228" i="3"/>
  <c r="BO1228" i="3"/>
  <c r="BN1228" i="3"/>
  <c r="DU1227" i="3"/>
  <c r="DT1227" i="3"/>
  <c r="DS1227" i="3"/>
  <c r="DR1227" i="3"/>
  <c r="DQ1227" i="3"/>
  <c r="DP1227" i="3"/>
  <c r="DO1227" i="3"/>
  <c r="DN1227" i="3"/>
  <c r="DM1227" i="3"/>
  <c r="DL1227" i="3"/>
  <c r="DK1227" i="3"/>
  <c r="DJ1227" i="3"/>
  <c r="DI1227" i="3"/>
  <c r="DH1227" i="3"/>
  <c r="DG1227" i="3"/>
  <c r="DF1227" i="3"/>
  <c r="DE1227" i="3"/>
  <c r="DD1227" i="3"/>
  <c r="DC1227" i="3"/>
  <c r="DB1227" i="3"/>
  <c r="DA1227" i="3"/>
  <c r="CZ1227" i="3"/>
  <c r="CY1227" i="3"/>
  <c r="CX1227" i="3"/>
  <c r="CW1227" i="3"/>
  <c r="CV1227" i="3"/>
  <c r="CU1227" i="3"/>
  <c r="CT1227" i="3"/>
  <c r="CS1227" i="3"/>
  <c r="CR1227" i="3"/>
  <c r="CQ1227" i="3"/>
  <c r="CP1227" i="3"/>
  <c r="CO1227" i="3"/>
  <c r="CN1227" i="3"/>
  <c r="CM1227" i="3"/>
  <c r="CL1227" i="3"/>
  <c r="CK1227" i="3"/>
  <c r="CJ1227" i="3"/>
  <c r="CI1227" i="3"/>
  <c r="CH1227" i="3"/>
  <c r="CG1227" i="3"/>
  <c r="CF1227" i="3"/>
  <c r="CE1227" i="3"/>
  <c r="CD1227" i="3"/>
  <c r="CC1227" i="3"/>
  <c r="CB1227" i="3"/>
  <c r="CA1227" i="3"/>
  <c r="BZ1227" i="3"/>
  <c r="BY1227" i="3"/>
  <c r="BX1227" i="3"/>
  <c r="BW1227" i="3"/>
  <c r="BV1227" i="3"/>
  <c r="BU1227" i="3"/>
  <c r="BT1227" i="3"/>
  <c r="BS1227" i="3"/>
  <c r="BR1227" i="3"/>
  <c r="BQ1227" i="3"/>
  <c r="BP1227" i="3"/>
  <c r="BO1227" i="3"/>
  <c r="BN1227" i="3"/>
  <c r="DU1226" i="3"/>
  <c r="DT1226" i="3"/>
  <c r="DS1226" i="3"/>
  <c r="DR1226" i="3"/>
  <c r="DQ1226" i="3"/>
  <c r="DP1226" i="3"/>
  <c r="DO1226" i="3"/>
  <c r="DN1226" i="3"/>
  <c r="DM1226" i="3"/>
  <c r="DL1226" i="3"/>
  <c r="DK1226" i="3"/>
  <c r="DJ1226" i="3"/>
  <c r="DI1226" i="3"/>
  <c r="DH1226" i="3"/>
  <c r="DG1226" i="3"/>
  <c r="DF1226" i="3"/>
  <c r="DE1226" i="3"/>
  <c r="DD1226" i="3"/>
  <c r="DC1226" i="3"/>
  <c r="DB1226" i="3"/>
  <c r="DA1226" i="3"/>
  <c r="CZ1226" i="3"/>
  <c r="CY1226" i="3"/>
  <c r="CX1226" i="3"/>
  <c r="CW1226" i="3"/>
  <c r="CV1226" i="3"/>
  <c r="CU1226" i="3"/>
  <c r="CT1226" i="3"/>
  <c r="CS1226" i="3"/>
  <c r="CR1226" i="3"/>
  <c r="CQ1226" i="3"/>
  <c r="CP1226" i="3"/>
  <c r="CO1226" i="3"/>
  <c r="CN1226" i="3"/>
  <c r="CM1226" i="3"/>
  <c r="CL1226" i="3"/>
  <c r="CK1226" i="3"/>
  <c r="CJ1226" i="3"/>
  <c r="CI1226" i="3"/>
  <c r="CH1226" i="3"/>
  <c r="CG1226" i="3"/>
  <c r="CF1226" i="3"/>
  <c r="CE1226" i="3"/>
  <c r="CD1226" i="3"/>
  <c r="CC1226" i="3"/>
  <c r="CB1226" i="3"/>
  <c r="CA1226" i="3"/>
  <c r="BZ1226" i="3"/>
  <c r="BY1226" i="3"/>
  <c r="BX1226" i="3"/>
  <c r="BW1226" i="3"/>
  <c r="BV1226" i="3"/>
  <c r="BU1226" i="3"/>
  <c r="BT1226" i="3"/>
  <c r="BS1226" i="3"/>
  <c r="BR1226" i="3"/>
  <c r="BQ1226" i="3"/>
  <c r="BP1226" i="3"/>
  <c r="BO1226" i="3"/>
  <c r="BN1226" i="3"/>
  <c r="DU1225" i="3"/>
  <c r="DT1225" i="3"/>
  <c r="DS1225" i="3"/>
  <c r="DR1225" i="3"/>
  <c r="DQ1225" i="3"/>
  <c r="DP1225" i="3"/>
  <c r="DO1225" i="3"/>
  <c r="DN1225" i="3"/>
  <c r="DM1225" i="3"/>
  <c r="DL1225" i="3"/>
  <c r="DK1225" i="3"/>
  <c r="DJ1225" i="3"/>
  <c r="DI1225" i="3"/>
  <c r="DH1225" i="3"/>
  <c r="DG1225" i="3"/>
  <c r="DF1225" i="3"/>
  <c r="DE1225" i="3"/>
  <c r="DD1225" i="3"/>
  <c r="DC1225" i="3"/>
  <c r="DB1225" i="3"/>
  <c r="DA1225" i="3"/>
  <c r="CZ1225" i="3"/>
  <c r="CY1225" i="3"/>
  <c r="CX1225" i="3"/>
  <c r="CW1225" i="3"/>
  <c r="CV1225" i="3"/>
  <c r="CU1225" i="3"/>
  <c r="CT1225" i="3"/>
  <c r="CS1225" i="3"/>
  <c r="CR1225" i="3"/>
  <c r="CQ1225" i="3"/>
  <c r="CP1225" i="3"/>
  <c r="CO1225" i="3"/>
  <c r="CN1225" i="3"/>
  <c r="CM1225" i="3"/>
  <c r="CL1225" i="3"/>
  <c r="CK1225" i="3"/>
  <c r="CJ1225" i="3"/>
  <c r="CI1225" i="3"/>
  <c r="CH1225" i="3"/>
  <c r="CG1225" i="3"/>
  <c r="CF1225" i="3"/>
  <c r="CE1225" i="3"/>
  <c r="CD1225" i="3"/>
  <c r="CC1225" i="3"/>
  <c r="CB1225" i="3"/>
  <c r="CA1225" i="3"/>
  <c r="BZ1225" i="3"/>
  <c r="BY1225" i="3"/>
  <c r="BX1225" i="3"/>
  <c r="BW1225" i="3"/>
  <c r="BV1225" i="3"/>
  <c r="BU1225" i="3"/>
  <c r="BT1225" i="3"/>
  <c r="BS1225" i="3"/>
  <c r="BR1225" i="3"/>
  <c r="BQ1225" i="3"/>
  <c r="BP1225" i="3"/>
  <c r="BO1225" i="3"/>
  <c r="BN1225" i="3"/>
  <c r="DU1224" i="3"/>
  <c r="DT1224" i="3"/>
  <c r="DS1224" i="3"/>
  <c r="DR1224" i="3"/>
  <c r="DQ1224" i="3"/>
  <c r="DP1224" i="3"/>
  <c r="DO1224" i="3"/>
  <c r="DN1224" i="3"/>
  <c r="DM1224" i="3"/>
  <c r="DL1224" i="3"/>
  <c r="DK1224" i="3"/>
  <c r="DJ1224" i="3"/>
  <c r="DI1224" i="3"/>
  <c r="DH1224" i="3"/>
  <c r="DG1224" i="3"/>
  <c r="DF1224" i="3"/>
  <c r="DE1224" i="3"/>
  <c r="DD1224" i="3"/>
  <c r="DC1224" i="3"/>
  <c r="DB1224" i="3"/>
  <c r="DA1224" i="3"/>
  <c r="CZ1224" i="3"/>
  <c r="CY1224" i="3"/>
  <c r="CX1224" i="3"/>
  <c r="CW1224" i="3"/>
  <c r="CV1224" i="3"/>
  <c r="CU1224" i="3"/>
  <c r="CT1224" i="3"/>
  <c r="CS1224" i="3"/>
  <c r="CR1224" i="3"/>
  <c r="CQ1224" i="3"/>
  <c r="CP1224" i="3"/>
  <c r="CO1224" i="3"/>
  <c r="CN1224" i="3"/>
  <c r="CM1224" i="3"/>
  <c r="CL1224" i="3"/>
  <c r="CK1224" i="3"/>
  <c r="CJ1224" i="3"/>
  <c r="CI1224" i="3"/>
  <c r="CH1224" i="3"/>
  <c r="CG1224" i="3"/>
  <c r="CF1224" i="3"/>
  <c r="CE1224" i="3"/>
  <c r="CD1224" i="3"/>
  <c r="CC1224" i="3"/>
  <c r="CB1224" i="3"/>
  <c r="CA1224" i="3"/>
  <c r="BZ1224" i="3"/>
  <c r="BY1224" i="3"/>
  <c r="BX1224" i="3"/>
  <c r="BW1224" i="3"/>
  <c r="BV1224" i="3"/>
  <c r="BU1224" i="3"/>
  <c r="BT1224" i="3"/>
  <c r="BS1224" i="3"/>
  <c r="BR1224" i="3"/>
  <c r="BQ1224" i="3"/>
  <c r="BP1224" i="3"/>
  <c r="BO1224" i="3"/>
  <c r="BN1224" i="3"/>
  <c r="DU1223" i="3"/>
  <c r="DT1223" i="3"/>
  <c r="DS1223" i="3"/>
  <c r="DR1223" i="3"/>
  <c r="DQ1223" i="3"/>
  <c r="DP1223" i="3"/>
  <c r="DO1223" i="3"/>
  <c r="DN1223" i="3"/>
  <c r="DM1223" i="3"/>
  <c r="DL1223" i="3"/>
  <c r="DK1223" i="3"/>
  <c r="DJ1223" i="3"/>
  <c r="DI1223" i="3"/>
  <c r="DH1223" i="3"/>
  <c r="DG1223" i="3"/>
  <c r="DF1223" i="3"/>
  <c r="DE1223" i="3"/>
  <c r="DD1223" i="3"/>
  <c r="DC1223" i="3"/>
  <c r="DB1223" i="3"/>
  <c r="DA1223" i="3"/>
  <c r="CZ1223" i="3"/>
  <c r="CY1223" i="3"/>
  <c r="CX1223" i="3"/>
  <c r="CW1223" i="3"/>
  <c r="CV1223" i="3"/>
  <c r="CU1223" i="3"/>
  <c r="CT1223" i="3"/>
  <c r="CS1223" i="3"/>
  <c r="CR1223" i="3"/>
  <c r="CQ1223" i="3"/>
  <c r="CP1223" i="3"/>
  <c r="CO1223" i="3"/>
  <c r="CN1223" i="3"/>
  <c r="CM1223" i="3"/>
  <c r="CL1223" i="3"/>
  <c r="CK1223" i="3"/>
  <c r="CJ1223" i="3"/>
  <c r="CI1223" i="3"/>
  <c r="CH1223" i="3"/>
  <c r="CG1223" i="3"/>
  <c r="CF1223" i="3"/>
  <c r="CE1223" i="3"/>
  <c r="CD1223" i="3"/>
  <c r="CC1223" i="3"/>
  <c r="CB1223" i="3"/>
  <c r="CA1223" i="3"/>
  <c r="BZ1223" i="3"/>
  <c r="BY1223" i="3"/>
  <c r="BX1223" i="3"/>
  <c r="BW1223" i="3"/>
  <c r="BV1223" i="3"/>
  <c r="BU1223" i="3"/>
  <c r="BT1223" i="3"/>
  <c r="BS1223" i="3"/>
  <c r="BR1223" i="3"/>
  <c r="BQ1223" i="3"/>
  <c r="BP1223" i="3"/>
  <c r="BO1223" i="3"/>
  <c r="BN1223" i="3"/>
  <c r="DU1222" i="3"/>
  <c r="DT1222" i="3"/>
  <c r="DS1222" i="3"/>
  <c r="DR1222" i="3"/>
  <c r="DQ1222" i="3"/>
  <c r="DP1222" i="3"/>
  <c r="DO1222" i="3"/>
  <c r="DN1222" i="3"/>
  <c r="DM1222" i="3"/>
  <c r="DL1222" i="3"/>
  <c r="DK1222" i="3"/>
  <c r="DJ1222" i="3"/>
  <c r="DI1222" i="3"/>
  <c r="DH1222" i="3"/>
  <c r="DG1222" i="3"/>
  <c r="DF1222" i="3"/>
  <c r="DE1222" i="3"/>
  <c r="DD1222" i="3"/>
  <c r="DC1222" i="3"/>
  <c r="DB1222" i="3"/>
  <c r="DA1222" i="3"/>
  <c r="CZ1222" i="3"/>
  <c r="CY1222" i="3"/>
  <c r="CX1222" i="3"/>
  <c r="CW1222" i="3"/>
  <c r="CV1222" i="3"/>
  <c r="CU1222" i="3"/>
  <c r="CT1222" i="3"/>
  <c r="CS1222" i="3"/>
  <c r="CR1222" i="3"/>
  <c r="CQ1222" i="3"/>
  <c r="CP1222" i="3"/>
  <c r="CO1222" i="3"/>
  <c r="CN1222" i="3"/>
  <c r="CM1222" i="3"/>
  <c r="CL1222" i="3"/>
  <c r="CK1222" i="3"/>
  <c r="CJ1222" i="3"/>
  <c r="CI1222" i="3"/>
  <c r="CH1222" i="3"/>
  <c r="CG1222" i="3"/>
  <c r="CF1222" i="3"/>
  <c r="CE1222" i="3"/>
  <c r="CD1222" i="3"/>
  <c r="CC1222" i="3"/>
  <c r="CB1222" i="3"/>
  <c r="CA1222" i="3"/>
  <c r="BZ1222" i="3"/>
  <c r="BY1222" i="3"/>
  <c r="BX1222" i="3"/>
  <c r="BW1222" i="3"/>
  <c r="BV1222" i="3"/>
  <c r="BU1222" i="3"/>
  <c r="BT1222" i="3"/>
  <c r="BS1222" i="3"/>
  <c r="BR1222" i="3"/>
  <c r="BQ1222" i="3"/>
  <c r="BP1222" i="3"/>
  <c r="BO1222" i="3"/>
  <c r="BN1222" i="3"/>
  <c r="DU1221" i="3"/>
  <c r="DT1221" i="3"/>
  <c r="DS1221" i="3"/>
  <c r="DR1221" i="3"/>
  <c r="DQ1221" i="3"/>
  <c r="DP1221" i="3"/>
  <c r="DO1221" i="3"/>
  <c r="DN1221" i="3"/>
  <c r="DM1221" i="3"/>
  <c r="DL1221" i="3"/>
  <c r="DK1221" i="3"/>
  <c r="DJ1221" i="3"/>
  <c r="DI1221" i="3"/>
  <c r="DH1221" i="3"/>
  <c r="DG1221" i="3"/>
  <c r="DF1221" i="3"/>
  <c r="DE1221" i="3"/>
  <c r="DD1221" i="3"/>
  <c r="DC1221" i="3"/>
  <c r="DB1221" i="3"/>
  <c r="DA1221" i="3"/>
  <c r="CZ1221" i="3"/>
  <c r="CY1221" i="3"/>
  <c r="CX1221" i="3"/>
  <c r="CW1221" i="3"/>
  <c r="CV1221" i="3"/>
  <c r="CU1221" i="3"/>
  <c r="CT1221" i="3"/>
  <c r="CS1221" i="3"/>
  <c r="CR1221" i="3"/>
  <c r="CQ1221" i="3"/>
  <c r="CP1221" i="3"/>
  <c r="CO1221" i="3"/>
  <c r="CN1221" i="3"/>
  <c r="CM1221" i="3"/>
  <c r="CL1221" i="3"/>
  <c r="CK1221" i="3"/>
  <c r="CJ1221" i="3"/>
  <c r="CI1221" i="3"/>
  <c r="CH1221" i="3"/>
  <c r="CG1221" i="3"/>
  <c r="CF1221" i="3"/>
  <c r="CE1221" i="3"/>
  <c r="CD1221" i="3"/>
  <c r="CC1221" i="3"/>
  <c r="CB1221" i="3"/>
  <c r="CA1221" i="3"/>
  <c r="BZ1221" i="3"/>
  <c r="BY1221" i="3"/>
  <c r="BX1221" i="3"/>
  <c r="BW1221" i="3"/>
  <c r="BV1221" i="3"/>
  <c r="BU1221" i="3"/>
  <c r="BT1221" i="3"/>
  <c r="BS1221" i="3"/>
  <c r="BR1221" i="3"/>
  <c r="BQ1221" i="3"/>
  <c r="BP1221" i="3"/>
  <c r="BO1221" i="3"/>
  <c r="BN1221" i="3"/>
  <c r="DU1220" i="3"/>
  <c r="DT1220" i="3"/>
  <c r="DS1220" i="3"/>
  <c r="DR1220" i="3"/>
  <c r="DQ1220" i="3"/>
  <c r="DP1220" i="3"/>
  <c r="DO1220" i="3"/>
  <c r="DN1220" i="3"/>
  <c r="DM1220" i="3"/>
  <c r="DL1220" i="3"/>
  <c r="DK1220" i="3"/>
  <c r="DJ1220" i="3"/>
  <c r="DI1220" i="3"/>
  <c r="DH1220" i="3"/>
  <c r="DG1220" i="3"/>
  <c r="DF1220" i="3"/>
  <c r="DE1220" i="3"/>
  <c r="DD1220" i="3"/>
  <c r="DC1220" i="3"/>
  <c r="DB1220" i="3"/>
  <c r="DA1220" i="3"/>
  <c r="CZ1220" i="3"/>
  <c r="CY1220" i="3"/>
  <c r="CX1220" i="3"/>
  <c r="CW1220" i="3"/>
  <c r="CV1220" i="3"/>
  <c r="CU1220" i="3"/>
  <c r="CT1220" i="3"/>
  <c r="CS1220" i="3"/>
  <c r="CR1220" i="3"/>
  <c r="CQ1220" i="3"/>
  <c r="CP1220" i="3"/>
  <c r="CO1220" i="3"/>
  <c r="CN1220" i="3"/>
  <c r="CM1220" i="3"/>
  <c r="CL1220" i="3"/>
  <c r="CK1220" i="3"/>
  <c r="CJ1220" i="3"/>
  <c r="CI1220" i="3"/>
  <c r="CH1220" i="3"/>
  <c r="CG1220" i="3"/>
  <c r="CF1220" i="3"/>
  <c r="CE1220" i="3"/>
  <c r="CD1220" i="3"/>
  <c r="CC1220" i="3"/>
  <c r="CB1220" i="3"/>
  <c r="CA1220" i="3"/>
  <c r="BZ1220" i="3"/>
  <c r="BY1220" i="3"/>
  <c r="BX1220" i="3"/>
  <c r="BW1220" i="3"/>
  <c r="BV1220" i="3"/>
  <c r="BU1220" i="3"/>
  <c r="BT1220" i="3"/>
  <c r="BS1220" i="3"/>
  <c r="BR1220" i="3"/>
  <c r="BQ1220" i="3"/>
  <c r="BP1220" i="3"/>
  <c r="BO1220" i="3"/>
  <c r="BN1220" i="3"/>
  <c r="DU1219" i="3"/>
  <c r="DT1219" i="3"/>
  <c r="DS1219" i="3"/>
  <c r="DR1219" i="3"/>
  <c r="DQ1219" i="3"/>
  <c r="DP1219" i="3"/>
  <c r="DO1219" i="3"/>
  <c r="DN1219" i="3"/>
  <c r="DM1219" i="3"/>
  <c r="DL1219" i="3"/>
  <c r="DK1219" i="3"/>
  <c r="DJ1219" i="3"/>
  <c r="DI1219" i="3"/>
  <c r="DH1219" i="3"/>
  <c r="DG1219" i="3"/>
  <c r="DF1219" i="3"/>
  <c r="DE1219" i="3"/>
  <c r="DD1219" i="3"/>
  <c r="DC1219" i="3"/>
  <c r="DB1219" i="3"/>
  <c r="DA1219" i="3"/>
  <c r="CZ1219" i="3"/>
  <c r="CY1219" i="3"/>
  <c r="CX1219" i="3"/>
  <c r="CW1219" i="3"/>
  <c r="CV1219" i="3"/>
  <c r="CU1219" i="3"/>
  <c r="CT1219" i="3"/>
  <c r="CS1219" i="3"/>
  <c r="CR1219" i="3"/>
  <c r="CQ1219" i="3"/>
  <c r="CP1219" i="3"/>
  <c r="CO1219" i="3"/>
  <c r="CN1219" i="3"/>
  <c r="CM1219" i="3"/>
  <c r="CL1219" i="3"/>
  <c r="CK1219" i="3"/>
  <c r="CJ1219" i="3"/>
  <c r="CI1219" i="3"/>
  <c r="CH1219" i="3"/>
  <c r="CG1219" i="3"/>
  <c r="CF1219" i="3"/>
  <c r="CE1219" i="3"/>
  <c r="CD1219" i="3"/>
  <c r="CC1219" i="3"/>
  <c r="CB1219" i="3"/>
  <c r="CA1219" i="3"/>
  <c r="BZ1219" i="3"/>
  <c r="BY1219" i="3"/>
  <c r="BX1219" i="3"/>
  <c r="BW1219" i="3"/>
  <c r="BV1219" i="3"/>
  <c r="BU1219" i="3"/>
  <c r="BT1219" i="3"/>
  <c r="BS1219" i="3"/>
  <c r="BR1219" i="3"/>
  <c r="BQ1219" i="3"/>
  <c r="BP1219" i="3"/>
  <c r="BO1219" i="3"/>
  <c r="BN1219" i="3"/>
  <c r="DU1218" i="3"/>
  <c r="DT1218" i="3"/>
  <c r="DS1218" i="3"/>
  <c r="DR1218" i="3"/>
  <c r="DQ1218" i="3"/>
  <c r="DP1218" i="3"/>
  <c r="DO1218" i="3"/>
  <c r="DN1218" i="3"/>
  <c r="DM1218" i="3"/>
  <c r="DL1218" i="3"/>
  <c r="DK1218" i="3"/>
  <c r="DJ1218" i="3"/>
  <c r="DI1218" i="3"/>
  <c r="DH1218" i="3"/>
  <c r="DG1218" i="3"/>
  <c r="DF1218" i="3"/>
  <c r="DE1218" i="3"/>
  <c r="DD1218" i="3"/>
  <c r="DC1218" i="3"/>
  <c r="DB1218" i="3"/>
  <c r="DA1218" i="3"/>
  <c r="CZ1218" i="3"/>
  <c r="CY1218" i="3"/>
  <c r="CX1218" i="3"/>
  <c r="CW1218" i="3"/>
  <c r="CV1218" i="3"/>
  <c r="CU1218" i="3"/>
  <c r="CT1218" i="3"/>
  <c r="CS1218" i="3"/>
  <c r="CR1218" i="3"/>
  <c r="CQ1218" i="3"/>
  <c r="CP1218" i="3"/>
  <c r="CO1218" i="3"/>
  <c r="CN1218" i="3"/>
  <c r="CM1218" i="3"/>
  <c r="CL1218" i="3"/>
  <c r="CK1218" i="3"/>
  <c r="CJ1218" i="3"/>
  <c r="CI1218" i="3"/>
  <c r="CH1218" i="3"/>
  <c r="CG1218" i="3"/>
  <c r="CF1218" i="3"/>
  <c r="CE1218" i="3"/>
  <c r="CD1218" i="3"/>
  <c r="CC1218" i="3"/>
  <c r="CB1218" i="3"/>
  <c r="CA1218" i="3"/>
  <c r="BZ1218" i="3"/>
  <c r="BY1218" i="3"/>
  <c r="BX1218" i="3"/>
  <c r="BW1218" i="3"/>
  <c r="BV1218" i="3"/>
  <c r="BU1218" i="3"/>
  <c r="BT1218" i="3"/>
  <c r="BS1218" i="3"/>
  <c r="BR1218" i="3"/>
  <c r="BQ1218" i="3"/>
  <c r="BP1218" i="3"/>
  <c r="BO1218" i="3"/>
  <c r="BN1218" i="3"/>
  <c r="DU1217" i="3"/>
  <c r="DT1217" i="3"/>
  <c r="DS1217" i="3"/>
  <c r="DR1217" i="3"/>
  <c r="DQ1217" i="3"/>
  <c r="DP1217" i="3"/>
  <c r="DO1217" i="3"/>
  <c r="DN1217" i="3"/>
  <c r="DM1217" i="3"/>
  <c r="DL1217" i="3"/>
  <c r="DK1217" i="3"/>
  <c r="DJ1217" i="3"/>
  <c r="DI1217" i="3"/>
  <c r="DH1217" i="3"/>
  <c r="DG1217" i="3"/>
  <c r="DF1217" i="3"/>
  <c r="DE1217" i="3"/>
  <c r="DD1217" i="3"/>
  <c r="DC1217" i="3"/>
  <c r="DB1217" i="3"/>
  <c r="DA1217" i="3"/>
  <c r="CZ1217" i="3"/>
  <c r="CY1217" i="3"/>
  <c r="CX1217" i="3"/>
  <c r="CW1217" i="3"/>
  <c r="CV1217" i="3"/>
  <c r="CU1217" i="3"/>
  <c r="CT1217" i="3"/>
  <c r="CS1217" i="3"/>
  <c r="CR1217" i="3"/>
  <c r="CQ1217" i="3"/>
  <c r="CP1217" i="3"/>
  <c r="CO1217" i="3"/>
  <c r="CN1217" i="3"/>
  <c r="CM1217" i="3"/>
  <c r="CL1217" i="3"/>
  <c r="CK1217" i="3"/>
  <c r="CJ1217" i="3"/>
  <c r="CI1217" i="3"/>
  <c r="CH1217" i="3"/>
  <c r="CG1217" i="3"/>
  <c r="CF1217" i="3"/>
  <c r="CE1217" i="3"/>
  <c r="CD1217" i="3"/>
  <c r="CC1217" i="3"/>
  <c r="CB1217" i="3"/>
  <c r="CA1217" i="3"/>
  <c r="BZ1217" i="3"/>
  <c r="BY1217" i="3"/>
  <c r="BX1217" i="3"/>
  <c r="BW1217" i="3"/>
  <c r="BV1217" i="3"/>
  <c r="BU1217" i="3"/>
  <c r="BT1217" i="3"/>
  <c r="BS1217" i="3"/>
  <c r="BR1217" i="3"/>
  <c r="BQ1217" i="3"/>
  <c r="BP1217" i="3"/>
  <c r="BO1217" i="3"/>
  <c r="BN1217" i="3"/>
  <c r="DU1216" i="3"/>
  <c r="DT1216" i="3"/>
  <c r="DS1216" i="3"/>
  <c r="DR1216" i="3"/>
  <c r="DQ1216" i="3"/>
  <c r="DP1216" i="3"/>
  <c r="DO1216" i="3"/>
  <c r="DN1216" i="3"/>
  <c r="DM1216" i="3"/>
  <c r="DL1216" i="3"/>
  <c r="DK1216" i="3"/>
  <c r="DJ1216" i="3"/>
  <c r="DI1216" i="3"/>
  <c r="DH1216" i="3"/>
  <c r="DG1216" i="3"/>
  <c r="DF1216" i="3"/>
  <c r="DE1216" i="3"/>
  <c r="DD1216" i="3"/>
  <c r="DC1216" i="3"/>
  <c r="DB1216" i="3"/>
  <c r="DA1216" i="3"/>
  <c r="CZ1216" i="3"/>
  <c r="CY1216" i="3"/>
  <c r="CX1216" i="3"/>
  <c r="CW1216" i="3"/>
  <c r="CV1216" i="3"/>
  <c r="CU1216" i="3"/>
  <c r="CT1216" i="3"/>
  <c r="CS1216" i="3"/>
  <c r="CR1216" i="3"/>
  <c r="CQ1216" i="3"/>
  <c r="CP1216" i="3"/>
  <c r="CO1216" i="3"/>
  <c r="CN1216" i="3"/>
  <c r="CM1216" i="3"/>
  <c r="CL1216" i="3"/>
  <c r="CK1216" i="3"/>
  <c r="CJ1216" i="3"/>
  <c r="CI1216" i="3"/>
  <c r="CH1216" i="3"/>
  <c r="CG1216" i="3"/>
  <c r="CF1216" i="3"/>
  <c r="CE1216" i="3"/>
  <c r="CD1216" i="3"/>
  <c r="CC1216" i="3"/>
  <c r="CB1216" i="3"/>
  <c r="CA1216" i="3"/>
  <c r="BZ1216" i="3"/>
  <c r="BY1216" i="3"/>
  <c r="BX1216" i="3"/>
  <c r="BW1216" i="3"/>
  <c r="BV1216" i="3"/>
  <c r="BU1216" i="3"/>
  <c r="BT1216" i="3"/>
  <c r="BS1216" i="3"/>
  <c r="BR1216" i="3"/>
  <c r="BQ1216" i="3"/>
  <c r="BP1216" i="3"/>
  <c r="BO1216" i="3"/>
  <c r="BN1216" i="3"/>
  <c r="DU1215" i="3"/>
  <c r="DT1215" i="3"/>
  <c r="DS1215" i="3"/>
  <c r="DR1215" i="3"/>
  <c r="DQ1215" i="3"/>
  <c r="DP1215" i="3"/>
  <c r="DO1215" i="3"/>
  <c r="DN1215" i="3"/>
  <c r="DM1215" i="3"/>
  <c r="DL1215" i="3"/>
  <c r="DK1215" i="3"/>
  <c r="DJ1215" i="3"/>
  <c r="DI1215" i="3"/>
  <c r="DH1215" i="3"/>
  <c r="DG1215" i="3"/>
  <c r="DF1215" i="3"/>
  <c r="DE1215" i="3"/>
  <c r="DD1215" i="3"/>
  <c r="DC1215" i="3"/>
  <c r="DB1215" i="3"/>
  <c r="DA1215" i="3"/>
  <c r="CZ1215" i="3"/>
  <c r="CY1215" i="3"/>
  <c r="CX1215" i="3"/>
  <c r="CW1215" i="3"/>
  <c r="CV1215" i="3"/>
  <c r="CU1215" i="3"/>
  <c r="CT1215" i="3"/>
  <c r="CS1215" i="3"/>
  <c r="CR1215" i="3"/>
  <c r="CQ1215" i="3"/>
  <c r="CP1215" i="3"/>
  <c r="CO1215" i="3"/>
  <c r="CN1215" i="3"/>
  <c r="CM1215" i="3"/>
  <c r="CL1215" i="3"/>
  <c r="CK1215" i="3"/>
  <c r="CJ1215" i="3"/>
  <c r="CI1215" i="3"/>
  <c r="CH1215" i="3"/>
  <c r="CG1215" i="3"/>
  <c r="CF1215" i="3"/>
  <c r="CE1215" i="3"/>
  <c r="CD1215" i="3"/>
  <c r="CC1215" i="3"/>
  <c r="CB1215" i="3"/>
  <c r="CA1215" i="3"/>
  <c r="BZ1215" i="3"/>
  <c r="BY1215" i="3"/>
  <c r="BX1215" i="3"/>
  <c r="BW1215" i="3"/>
  <c r="BV1215" i="3"/>
  <c r="BU1215" i="3"/>
  <c r="BT1215" i="3"/>
  <c r="BS1215" i="3"/>
  <c r="BR1215" i="3"/>
  <c r="BQ1215" i="3"/>
  <c r="BP1215" i="3"/>
  <c r="BO1215" i="3"/>
  <c r="BN1215" i="3"/>
  <c r="DU1214" i="3"/>
  <c r="DT1214" i="3"/>
  <c r="DS1214" i="3"/>
  <c r="DR1214" i="3"/>
  <c r="DQ1214" i="3"/>
  <c r="DP1214" i="3"/>
  <c r="DO1214" i="3"/>
  <c r="DN1214" i="3"/>
  <c r="DM1214" i="3"/>
  <c r="DL1214" i="3"/>
  <c r="DK1214" i="3"/>
  <c r="DJ1214" i="3"/>
  <c r="DI1214" i="3"/>
  <c r="DH1214" i="3"/>
  <c r="DG1214" i="3"/>
  <c r="DF1214" i="3"/>
  <c r="DE1214" i="3"/>
  <c r="DD1214" i="3"/>
  <c r="DC1214" i="3"/>
  <c r="DB1214" i="3"/>
  <c r="DA1214" i="3"/>
  <c r="CZ1214" i="3"/>
  <c r="CY1214" i="3"/>
  <c r="CX1214" i="3"/>
  <c r="CW1214" i="3"/>
  <c r="CV1214" i="3"/>
  <c r="CU1214" i="3"/>
  <c r="CT1214" i="3"/>
  <c r="CS1214" i="3"/>
  <c r="CR1214" i="3"/>
  <c r="CQ1214" i="3"/>
  <c r="CP1214" i="3"/>
  <c r="CO1214" i="3"/>
  <c r="CN1214" i="3"/>
  <c r="CM1214" i="3"/>
  <c r="CL1214" i="3"/>
  <c r="CK1214" i="3"/>
  <c r="CJ1214" i="3"/>
  <c r="CI1214" i="3"/>
  <c r="CH1214" i="3"/>
  <c r="CG1214" i="3"/>
  <c r="CF1214" i="3"/>
  <c r="CE1214" i="3"/>
  <c r="CD1214" i="3"/>
  <c r="CC1214" i="3"/>
  <c r="CB1214" i="3"/>
  <c r="CA1214" i="3"/>
  <c r="BZ1214" i="3"/>
  <c r="BY1214" i="3"/>
  <c r="BX1214" i="3"/>
  <c r="BW1214" i="3"/>
  <c r="BV1214" i="3"/>
  <c r="BU1214" i="3"/>
  <c r="BT1214" i="3"/>
  <c r="BS1214" i="3"/>
  <c r="BR1214" i="3"/>
  <c r="BQ1214" i="3"/>
  <c r="BP1214" i="3"/>
  <c r="BO1214" i="3"/>
  <c r="BN1214" i="3"/>
  <c r="DU1213" i="3"/>
  <c r="DT1213" i="3"/>
  <c r="DS1213" i="3"/>
  <c r="DR1213" i="3"/>
  <c r="DQ1213" i="3"/>
  <c r="DP1213" i="3"/>
  <c r="DO1213" i="3"/>
  <c r="DN1213" i="3"/>
  <c r="DM1213" i="3"/>
  <c r="DL1213" i="3"/>
  <c r="DK1213" i="3"/>
  <c r="DJ1213" i="3"/>
  <c r="DI1213" i="3"/>
  <c r="DH1213" i="3"/>
  <c r="DG1213" i="3"/>
  <c r="DF1213" i="3"/>
  <c r="DE1213" i="3"/>
  <c r="DD1213" i="3"/>
  <c r="DC1213" i="3"/>
  <c r="DB1213" i="3"/>
  <c r="DA1213" i="3"/>
  <c r="CZ1213" i="3"/>
  <c r="CY1213" i="3"/>
  <c r="CX1213" i="3"/>
  <c r="CW1213" i="3"/>
  <c r="CV1213" i="3"/>
  <c r="CU1213" i="3"/>
  <c r="CT1213" i="3"/>
  <c r="CS1213" i="3"/>
  <c r="CR1213" i="3"/>
  <c r="CQ1213" i="3"/>
  <c r="CP1213" i="3"/>
  <c r="CO1213" i="3"/>
  <c r="CN1213" i="3"/>
  <c r="CM1213" i="3"/>
  <c r="CL1213" i="3"/>
  <c r="CK1213" i="3"/>
  <c r="CJ1213" i="3"/>
  <c r="CI1213" i="3"/>
  <c r="CH1213" i="3"/>
  <c r="CG1213" i="3"/>
  <c r="CF1213" i="3"/>
  <c r="CE1213" i="3"/>
  <c r="CD1213" i="3"/>
  <c r="CC1213" i="3"/>
  <c r="CB1213" i="3"/>
  <c r="CA1213" i="3"/>
  <c r="BZ1213" i="3"/>
  <c r="BY1213" i="3"/>
  <c r="BX1213" i="3"/>
  <c r="BW1213" i="3"/>
  <c r="BV1213" i="3"/>
  <c r="BU1213" i="3"/>
  <c r="BT1213" i="3"/>
  <c r="BS1213" i="3"/>
  <c r="BR1213" i="3"/>
  <c r="BQ1213" i="3"/>
  <c r="BP1213" i="3"/>
  <c r="BO1213" i="3"/>
  <c r="BN1213" i="3"/>
  <c r="DU1212" i="3"/>
  <c r="DT1212" i="3"/>
  <c r="DS1212" i="3"/>
  <c r="DR1212" i="3"/>
  <c r="DQ1212" i="3"/>
  <c r="DP1212" i="3"/>
  <c r="DO1212" i="3"/>
  <c r="DN1212" i="3"/>
  <c r="DM1212" i="3"/>
  <c r="DL1212" i="3"/>
  <c r="DK1212" i="3"/>
  <c r="DJ1212" i="3"/>
  <c r="DI1212" i="3"/>
  <c r="DH1212" i="3"/>
  <c r="DG1212" i="3"/>
  <c r="DF1212" i="3"/>
  <c r="DE1212" i="3"/>
  <c r="DD1212" i="3"/>
  <c r="DC1212" i="3"/>
  <c r="DB1212" i="3"/>
  <c r="DA1212" i="3"/>
  <c r="CZ1212" i="3"/>
  <c r="CY1212" i="3"/>
  <c r="CX1212" i="3"/>
  <c r="CW1212" i="3"/>
  <c r="CV1212" i="3"/>
  <c r="CU1212" i="3"/>
  <c r="CT1212" i="3"/>
  <c r="CS1212" i="3"/>
  <c r="CR1212" i="3"/>
  <c r="CQ1212" i="3"/>
  <c r="CP1212" i="3"/>
  <c r="CO1212" i="3"/>
  <c r="CN1212" i="3"/>
  <c r="CM1212" i="3"/>
  <c r="CL1212" i="3"/>
  <c r="CK1212" i="3"/>
  <c r="CJ1212" i="3"/>
  <c r="CI1212" i="3"/>
  <c r="CH1212" i="3"/>
  <c r="CG1212" i="3"/>
  <c r="CF1212" i="3"/>
  <c r="CE1212" i="3"/>
  <c r="CD1212" i="3"/>
  <c r="CC1212" i="3"/>
  <c r="CB1212" i="3"/>
  <c r="CA1212" i="3"/>
  <c r="BZ1212" i="3"/>
  <c r="BY1212" i="3"/>
  <c r="BX1212" i="3"/>
  <c r="BW1212" i="3"/>
  <c r="BV1212" i="3"/>
  <c r="BU1212" i="3"/>
  <c r="BT1212" i="3"/>
  <c r="BS1212" i="3"/>
  <c r="BR1212" i="3"/>
  <c r="BQ1212" i="3"/>
  <c r="BP1212" i="3"/>
  <c r="BO1212" i="3"/>
  <c r="BN1212" i="3"/>
  <c r="DU1211" i="3"/>
  <c r="DT1211" i="3"/>
  <c r="DS1211" i="3"/>
  <c r="DR1211" i="3"/>
  <c r="DQ1211" i="3"/>
  <c r="DP1211" i="3"/>
  <c r="DO1211" i="3"/>
  <c r="DN1211" i="3"/>
  <c r="DM1211" i="3"/>
  <c r="DL1211" i="3"/>
  <c r="DK1211" i="3"/>
  <c r="DJ1211" i="3"/>
  <c r="DI1211" i="3"/>
  <c r="DH1211" i="3"/>
  <c r="DG1211" i="3"/>
  <c r="DF1211" i="3"/>
  <c r="DE1211" i="3"/>
  <c r="DD1211" i="3"/>
  <c r="DC1211" i="3"/>
  <c r="DB1211" i="3"/>
  <c r="DA1211" i="3"/>
  <c r="CZ1211" i="3"/>
  <c r="CY1211" i="3"/>
  <c r="CX1211" i="3"/>
  <c r="CW1211" i="3"/>
  <c r="CV1211" i="3"/>
  <c r="CU1211" i="3"/>
  <c r="CT1211" i="3"/>
  <c r="CS1211" i="3"/>
  <c r="CR1211" i="3"/>
  <c r="CQ1211" i="3"/>
  <c r="CP1211" i="3"/>
  <c r="CO1211" i="3"/>
  <c r="CN1211" i="3"/>
  <c r="CM1211" i="3"/>
  <c r="CL1211" i="3"/>
  <c r="CK1211" i="3"/>
  <c r="CJ1211" i="3"/>
  <c r="CI1211" i="3"/>
  <c r="CH1211" i="3"/>
  <c r="CG1211" i="3"/>
  <c r="CF1211" i="3"/>
  <c r="CE1211" i="3"/>
  <c r="CD1211" i="3"/>
  <c r="CC1211" i="3"/>
  <c r="CB1211" i="3"/>
  <c r="CA1211" i="3"/>
  <c r="BZ1211" i="3"/>
  <c r="BY1211" i="3"/>
  <c r="BX1211" i="3"/>
  <c r="BW1211" i="3"/>
  <c r="BV1211" i="3"/>
  <c r="BU1211" i="3"/>
  <c r="BT1211" i="3"/>
  <c r="BS1211" i="3"/>
  <c r="BR1211" i="3"/>
  <c r="BQ1211" i="3"/>
  <c r="BP1211" i="3"/>
  <c r="BO1211" i="3"/>
  <c r="BN1211" i="3"/>
  <c r="DU1210" i="3"/>
  <c r="DT1210" i="3"/>
  <c r="DS1210" i="3"/>
  <c r="DR1210" i="3"/>
  <c r="DQ1210" i="3"/>
  <c r="DP1210" i="3"/>
  <c r="DO1210" i="3"/>
  <c r="DN1210" i="3"/>
  <c r="DM1210" i="3"/>
  <c r="DL1210" i="3"/>
  <c r="DK1210" i="3"/>
  <c r="DJ1210" i="3"/>
  <c r="DI1210" i="3"/>
  <c r="DH1210" i="3"/>
  <c r="DG1210" i="3"/>
  <c r="DF1210" i="3"/>
  <c r="DE1210" i="3"/>
  <c r="DD1210" i="3"/>
  <c r="DC1210" i="3"/>
  <c r="DB1210" i="3"/>
  <c r="DA1210" i="3"/>
  <c r="CZ1210" i="3"/>
  <c r="CY1210" i="3"/>
  <c r="CX1210" i="3"/>
  <c r="CW1210" i="3"/>
  <c r="CV1210" i="3"/>
  <c r="CU1210" i="3"/>
  <c r="CT1210" i="3"/>
  <c r="CS1210" i="3"/>
  <c r="CR1210" i="3"/>
  <c r="CQ1210" i="3"/>
  <c r="CP1210" i="3"/>
  <c r="CO1210" i="3"/>
  <c r="CN1210" i="3"/>
  <c r="CM1210" i="3"/>
  <c r="CL1210" i="3"/>
  <c r="CK1210" i="3"/>
  <c r="CJ1210" i="3"/>
  <c r="CI1210" i="3"/>
  <c r="CH1210" i="3"/>
  <c r="CG1210" i="3"/>
  <c r="CF1210" i="3"/>
  <c r="CE1210" i="3"/>
  <c r="CD1210" i="3"/>
  <c r="CC1210" i="3"/>
  <c r="CB1210" i="3"/>
  <c r="CA1210" i="3"/>
  <c r="BZ1210" i="3"/>
  <c r="BY1210" i="3"/>
  <c r="BX1210" i="3"/>
  <c r="BW1210" i="3"/>
  <c r="BV1210" i="3"/>
  <c r="BU1210" i="3"/>
  <c r="BT1210" i="3"/>
  <c r="BS1210" i="3"/>
  <c r="BR1210" i="3"/>
  <c r="BQ1210" i="3"/>
  <c r="BP1210" i="3"/>
  <c r="BO1210" i="3"/>
  <c r="BN1210" i="3"/>
  <c r="DU1209" i="3"/>
  <c r="DT1209" i="3"/>
  <c r="DS1209" i="3"/>
  <c r="DR1209" i="3"/>
  <c r="DQ1209" i="3"/>
  <c r="DP1209" i="3"/>
  <c r="DO1209" i="3"/>
  <c r="DN1209" i="3"/>
  <c r="DM1209" i="3"/>
  <c r="DL1209" i="3"/>
  <c r="DK1209" i="3"/>
  <c r="DJ1209" i="3"/>
  <c r="DI1209" i="3"/>
  <c r="DH1209" i="3"/>
  <c r="DG1209" i="3"/>
  <c r="DF1209" i="3"/>
  <c r="DE1209" i="3"/>
  <c r="DD1209" i="3"/>
  <c r="DC1209" i="3"/>
  <c r="DB1209" i="3"/>
  <c r="DA1209" i="3"/>
  <c r="CZ1209" i="3"/>
  <c r="CY1209" i="3"/>
  <c r="CX1209" i="3"/>
  <c r="CW1209" i="3"/>
  <c r="CV1209" i="3"/>
  <c r="CU1209" i="3"/>
  <c r="CT1209" i="3"/>
  <c r="CS1209" i="3"/>
  <c r="CR1209" i="3"/>
  <c r="CQ1209" i="3"/>
  <c r="CP1209" i="3"/>
  <c r="CO1209" i="3"/>
  <c r="CN1209" i="3"/>
  <c r="CM1209" i="3"/>
  <c r="CL1209" i="3"/>
  <c r="CK1209" i="3"/>
  <c r="CJ1209" i="3"/>
  <c r="CI1209" i="3"/>
  <c r="CH1209" i="3"/>
  <c r="CG1209" i="3"/>
  <c r="CF1209" i="3"/>
  <c r="CE1209" i="3"/>
  <c r="CD1209" i="3"/>
  <c r="CC1209" i="3"/>
  <c r="CB1209" i="3"/>
  <c r="CA1209" i="3"/>
  <c r="BZ1209" i="3"/>
  <c r="BY1209" i="3"/>
  <c r="BX1209" i="3"/>
  <c r="BW1209" i="3"/>
  <c r="BV1209" i="3"/>
  <c r="BU1209" i="3"/>
  <c r="BT1209" i="3"/>
  <c r="BS1209" i="3"/>
  <c r="BR1209" i="3"/>
  <c r="BQ1209" i="3"/>
  <c r="BP1209" i="3"/>
  <c r="BO1209" i="3"/>
  <c r="BN1209" i="3"/>
  <c r="DU1208" i="3"/>
  <c r="DT1208" i="3"/>
  <c r="DS1208" i="3"/>
  <c r="DR1208" i="3"/>
  <c r="DQ1208" i="3"/>
  <c r="DP1208" i="3"/>
  <c r="DO1208" i="3"/>
  <c r="DN1208" i="3"/>
  <c r="DM1208" i="3"/>
  <c r="DL1208" i="3"/>
  <c r="DK1208" i="3"/>
  <c r="DJ1208" i="3"/>
  <c r="DI1208" i="3"/>
  <c r="DH1208" i="3"/>
  <c r="DG1208" i="3"/>
  <c r="DF1208" i="3"/>
  <c r="DE1208" i="3"/>
  <c r="DD1208" i="3"/>
  <c r="DC1208" i="3"/>
  <c r="DB1208" i="3"/>
  <c r="DA1208" i="3"/>
  <c r="CZ1208" i="3"/>
  <c r="CY1208" i="3"/>
  <c r="CX1208" i="3"/>
  <c r="CW1208" i="3"/>
  <c r="CV1208" i="3"/>
  <c r="CU1208" i="3"/>
  <c r="CT1208" i="3"/>
  <c r="CS1208" i="3"/>
  <c r="CR1208" i="3"/>
  <c r="CQ1208" i="3"/>
  <c r="CP1208" i="3"/>
  <c r="CO1208" i="3"/>
  <c r="CN1208" i="3"/>
  <c r="CM1208" i="3"/>
  <c r="CL1208" i="3"/>
  <c r="CK1208" i="3"/>
  <c r="CJ1208" i="3"/>
  <c r="CI1208" i="3"/>
  <c r="CH1208" i="3"/>
  <c r="CG1208" i="3"/>
  <c r="CF1208" i="3"/>
  <c r="CE1208" i="3"/>
  <c r="CD1208" i="3"/>
  <c r="CC1208" i="3"/>
  <c r="CB1208" i="3"/>
  <c r="CA1208" i="3"/>
  <c r="BZ1208" i="3"/>
  <c r="BY1208" i="3"/>
  <c r="BX1208" i="3"/>
  <c r="BW1208" i="3"/>
  <c r="BV1208" i="3"/>
  <c r="BU1208" i="3"/>
  <c r="BT1208" i="3"/>
  <c r="BS1208" i="3"/>
  <c r="BR1208" i="3"/>
  <c r="BQ1208" i="3"/>
  <c r="BP1208" i="3"/>
  <c r="BO1208" i="3"/>
  <c r="BN1208" i="3"/>
  <c r="DU1207" i="3"/>
  <c r="DT1207" i="3"/>
  <c r="DS1207" i="3"/>
  <c r="DR1207" i="3"/>
  <c r="DQ1207" i="3"/>
  <c r="DP1207" i="3"/>
  <c r="DO1207" i="3"/>
  <c r="DN1207" i="3"/>
  <c r="DM1207" i="3"/>
  <c r="DL1207" i="3"/>
  <c r="DK1207" i="3"/>
  <c r="DJ1207" i="3"/>
  <c r="DI1207" i="3"/>
  <c r="DH1207" i="3"/>
  <c r="DG1207" i="3"/>
  <c r="DF1207" i="3"/>
  <c r="DE1207" i="3"/>
  <c r="DD1207" i="3"/>
  <c r="DC1207" i="3"/>
  <c r="DB1207" i="3"/>
  <c r="DA1207" i="3"/>
  <c r="CZ1207" i="3"/>
  <c r="CY1207" i="3"/>
  <c r="CX1207" i="3"/>
  <c r="CW1207" i="3"/>
  <c r="CV1207" i="3"/>
  <c r="CU1207" i="3"/>
  <c r="CT1207" i="3"/>
  <c r="CS1207" i="3"/>
  <c r="CR1207" i="3"/>
  <c r="CQ1207" i="3"/>
  <c r="CP1207" i="3"/>
  <c r="CO1207" i="3"/>
  <c r="CN1207" i="3"/>
  <c r="CM1207" i="3"/>
  <c r="CL1207" i="3"/>
  <c r="CK1207" i="3"/>
  <c r="CJ1207" i="3"/>
  <c r="CI1207" i="3"/>
  <c r="CH1207" i="3"/>
  <c r="CG1207" i="3"/>
  <c r="CF1207" i="3"/>
  <c r="CE1207" i="3"/>
  <c r="CD1207" i="3"/>
  <c r="CC1207" i="3"/>
  <c r="CB1207" i="3"/>
  <c r="CA1207" i="3"/>
  <c r="BZ1207" i="3"/>
  <c r="BY1207" i="3"/>
  <c r="BX1207" i="3"/>
  <c r="BW1207" i="3"/>
  <c r="BV1207" i="3"/>
  <c r="BU1207" i="3"/>
  <c r="BT1207" i="3"/>
  <c r="BS1207" i="3"/>
  <c r="BR1207" i="3"/>
  <c r="BQ1207" i="3"/>
  <c r="BP1207" i="3"/>
  <c r="BO1207" i="3"/>
  <c r="BN1207" i="3"/>
  <c r="DU1206" i="3"/>
  <c r="DT1206" i="3"/>
  <c r="DS1206" i="3"/>
  <c r="DR1206" i="3"/>
  <c r="DQ1206" i="3"/>
  <c r="DP1206" i="3"/>
  <c r="DO1206" i="3"/>
  <c r="DN1206" i="3"/>
  <c r="DM1206" i="3"/>
  <c r="DL1206" i="3"/>
  <c r="DK1206" i="3"/>
  <c r="DJ1206" i="3"/>
  <c r="DI1206" i="3"/>
  <c r="DH1206" i="3"/>
  <c r="DG1206" i="3"/>
  <c r="DF1206" i="3"/>
  <c r="DE1206" i="3"/>
  <c r="DD1206" i="3"/>
  <c r="DC1206" i="3"/>
  <c r="DB1206" i="3"/>
  <c r="DA1206" i="3"/>
  <c r="CZ1206" i="3"/>
  <c r="CY1206" i="3"/>
  <c r="CX1206" i="3"/>
  <c r="CW1206" i="3"/>
  <c r="CV1206" i="3"/>
  <c r="CU1206" i="3"/>
  <c r="CT1206" i="3"/>
  <c r="CS1206" i="3"/>
  <c r="CR1206" i="3"/>
  <c r="CQ1206" i="3"/>
  <c r="CP1206" i="3"/>
  <c r="CO1206" i="3"/>
  <c r="CN1206" i="3"/>
  <c r="CM1206" i="3"/>
  <c r="CL1206" i="3"/>
  <c r="CK1206" i="3"/>
  <c r="CJ1206" i="3"/>
  <c r="CI1206" i="3"/>
  <c r="CH1206" i="3"/>
  <c r="CG1206" i="3"/>
  <c r="CF1206" i="3"/>
  <c r="CE1206" i="3"/>
  <c r="CD1206" i="3"/>
  <c r="CC1206" i="3"/>
  <c r="CB1206" i="3"/>
  <c r="CA1206" i="3"/>
  <c r="BZ1206" i="3"/>
  <c r="BY1206" i="3"/>
  <c r="BX1206" i="3"/>
  <c r="BW1206" i="3"/>
  <c r="BV1206" i="3"/>
  <c r="BU1206" i="3"/>
  <c r="BT1206" i="3"/>
  <c r="BS1206" i="3"/>
  <c r="BR1206" i="3"/>
  <c r="BQ1206" i="3"/>
  <c r="BP1206" i="3"/>
  <c r="BO1206" i="3"/>
  <c r="BN1206" i="3"/>
  <c r="DU1205" i="3"/>
  <c r="DT1205" i="3"/>
  <c r="DS1205" i="3"/>
  <c r="DR1205" i="3"/>
  <c r="DQ1205" i="3"/>
  <c r="DP1205" i="3"/>
  <c r="DO1205" i="3"/>
  <c r="DN1205" i="3"/>
  <c r="DM1205" i="3"/>
  <c r="DL1205" i="3"/>
  <c r="DK1205" i="3"/>
  <c r="DJ1205" i="3"/>
  <c r="DI1205" i="3"/>
  <c r="DH1205" i="3"/>
  <c r="DG1205" i="3"/>
  <c r="DF1205" i="3"/>
  <c r="DE1205" i="3"/>
  <c r="DD1205" i="3"/>
  <c r="DC1205" i="3"/>
  <c r="DB1205" i="3"/>
  <c r="DA1205" i="3"/>
  <c r="CZ1205" i="3"/>
  <c r="CY1205" i="3"/>
  <c r="CX1205" i="3"/>
  <c r="CW1205" i="3"/>
  <c r="CV1205" i="3"/>
  <c r="CU1205" i="3"/>
  <c r="CT1205" i="3"/>
  <c r="CS1205" i="3"/>
  <c r="CR1205" i="3"/>
  <c r="CQ1205" i="3"/>
  <c r="CP1205" i="3"/>
  <c r="CO1205" i="3"/>
  <c r="CN1205" i="3"/>
  <c r="CM1205" i="3"/>
  <c r="CL1205" i="3"/>
  <c r="CK1205" i="3"/>
  <c r="CJ1205" i="3"/>
  <c r="CI1205" i="3"/>
  <c r="CH1205" i="3"/>
  <c r="CG1205" i="3"/>
  <c r="CF1205" i="3"/>
  <c r="CE1205" i="3"/>
  <c r="CD1205" i="3"/>
  <c r="CC1205" i="3"/>
  <c r="CB1205" i="3"/>
  <c r="CA1205" i="3"/>
  <c r="BZ1205" i="3"/>
  <c r="BY1205" i="3"/>
  <c r="BX1205" i="3"/>
  <c r="BW1205" i="3"/>
  <c r="BV1205" i="3"/>
  <c r="BU1205" i="3"/>
  <c r="BT1205" i="3"/>
  <c r="BS1205" i="3"/>
  <c r="BR1205" i="3"/>
  <c r="BQ1205" i="3"/>
  <c r="BP1205" i="3"/>
  <c r="BO1205" i="3"/>
  <c r="BN1205" i="3"/>
  <c r="DU1204" i="3"/>
  <c r="DT1204" i="3"/>
  <c r="DS1204" i="3"/>
  <c r="DR1204" i="3"/>
  <c r="DQ1204" i="3"/>
  <c r="DP1204" i="3"/>
  <c r="DO1204" i="3"/>
  <c r="DN1204" i="3"/>
  <c r="DM1204" i="3"/>
  <c r="DL1204" i="3"/>
  <c r="DK1204" i="3"/>
  <c r="DJ1204" i="3"/>
  <c r="DI1204" i="3"/>
  <c r="DH1204" i="3"/>
  <c r="DG1204" i="3"/>
  <c r="DF1204" i="3"/>
  <c r="DE1204" i="3"/>
  <c r="DD1204" i="3"/>
  <c r="DC1204" i="3"/>
  <c r="DB1204" i="3"/>
  <c r="DA1204" i="3"/>
  <c r="CZ1204" i="3"/>
  <c r="CY1204" i="3"/>
  <c r="CX1204" i="3"/>
  <c r="CW1204" i="3"/>
  <c r="CV1204" i="3"/>
  <c r="CU1204" i="3"/>
  <c r="CT1204" i="3"/>
  <c r="CS1204" i="3"/>
  <c r="CR1204" i="3"/>
  <c r="CQ1204" i="3"/>
  <c r="CP1204" i="3"/>
  <c r="CO1204" i="3"/>
  <c r="CN1204" i="3"/>
  <c r="CM1204" i="3"/>
  <c r="CL1204" i="3"/>
  <c r="CK1204" i="3"/>
  <c r="CJ1204" i="3"/>
  <c r="CI1204" i="3"/>
  <c r="CH1204" i="3"/>
  <c r="CG1204" i="3"/>
  <c r="CF1204" i="3"/>
  <c r="CE1204" i="3"/>
  <c r="CD1204" i="3"/>
  <c r="CC1204" i="3"/>
  <c r="CB1204" i="3"/>
  <c r="CA1204" i="3"/>
  <c r="BZ1204" i="3"/>
  <c r="BY1204" i="3"/>
  <c r="BX1204" i="3"/>
  <c r="BW1204" i="3"/>
  <c r="BV1204" i="3"/>
  <c r="BU1204" i="3"/>
  <c r="BT1204" i="3"/>
  <c r="BS1204" i="3"/>
  <c r="BR1204" i="3"/>
  <c r="BQ1204" i="3"/>
  <c r="BP1204" i="3"/>
  <c r="BO1204" i="3"/>
  <c r="BN1204" i="3"/>
  <c r="DU1203" i="3"/>
  <c r="DT1203" i="3"/>
  <c r="DS1203" i="3"/>
  <c r="DR1203" i="3"/>
  <c r="DQ1203" i="3"/>
  <c r="DP1203" i="3"/>
  <c r="DO1203" i="3"/>
  <c r="DN1203" i="3"/>
  <c r="DM1203" i="3"/>
  <c r="DL1203" i="3"/>
  <c r="DK1203" i="3"/>
  <c r="DJ1203" i="3"/>
  <c r="DI1203" i="3"/>
  <c r="DH1203" i="3"/>
  <c r="DG1203" i="3"/>
  <c r="DF1203" i="3"/>
  <c r="DE1203" i="3"/>
  <c r="DD1203" i="3"/>
  <c r="DC1203" i="3"/>
  <c r="DB1203" i="3"/>
  <c r="DA1203" i="3"/>
  <c r="CZ1203" i="3"/>
  <c r="CY1203" i="3"/>
  <c r="CX1203" i="3"/>
  <c r="CW1203" i="3"/>
  <c r="CV1203" i="3"/>
  <c r="CU1203" i="3"/>
  <c r="CT1203" i="3"/>
  <c r="CS1203" i="3"/>
  <c r="CR1203" i="3"/>
  <c r="CQ1203" i="3"/>
  <c r="CP1203" i="3"/>
  <c r="CO1203" i="3"/>
  <c r="CN1203" i="3"/>
  <c r="CM1203" i="3"/>
  <c r="CL1203" i="3"/>
  <c r="CK1203" i="3"/>
  <c r="CJ1203" i="3"/>
  <c r="CI1203" i="3"/>
  <c r="CH1203" i="3"/>
  <c r="CG1203" i="3"/>
  <c r="CF1203" i="3"/>
  <c r="CE1203" i="3"/>
  <c r="CD1203" i="3"/>
  <c r="CC1203" i="3"/>
  <c r="CB1203" i="3"/>
  <c r="CA1203" i="3"/>
  <c r="BZ1203" i="3"/>
  <c r="BY1203" i="3"/>
  <c r="BX1203" i="3"/>
  <c r="BW1203" i="3"/>
  <c r="BV1203" i="3"/>
  <c r="BU1203" i="3"/>
  <c r="BT1203" i="3"/>
  <c r="BS1203" i="3"/>
  <c r="BR1203" i="3"/>
  <c r="BQ1203" i="3"/>
  <c r="BP1203" i="3"/>
  <c r="BO1203" i="3"/>
  <c r="BN1203" i="3"/>
  <c r="DU1202" i="3"/>
  <c r="DT1202" i="3"/>
  <c r="DS1202" i="3"/>
  <c r="DR1202" i="3"/>
  <c r="DQ1202" i="3"/>
  <c r="DP1202" i="3"/>
  <c r="DO1202" i="3"/>
  <c r="DN1202" i="3"/>
  <c r="DM1202" i="3"/>
  <c r="DL1202" i="3"/>
  <c r="DK1202" i="3"/>
  <c r="DJ1202" i="3"/>
  <c r="DI1202" i="3"/>
  <c r="DH1202" i="3"/>
  <c r="DG1202" i="3"/>
  <c r="DF1202" i="3"/>
  <c r="DE1202" i="3"/>
  <c r="DD1202" i="3"/>
  <c r="DC1202" i="3"/>
  <c r="DB1202" i="3"/>
  <c r="DA1202" i="3"/>
  <c r="CZ1202" i="3"/>
  <c r="CY1202" i="3"/>
  <c r="CX1202" i="3"/>
  <c r="CW1202" i="3"/>
  <c r="CV1202" i="3"/>
  <c r="CU1202" i="3"/>
  <c r="CT1202" i="3"/>
  <c r="CS1202" i="3"/>
  <c r="CR1202" i="3"/>
  <c r="CQ1202" i="3"/>
  <c r="CP1202" i="3"/>
  <c r="CO1202" i="3"/>
  <c r="CN1202" i="3"/>
  <c r="CM1202" i="3"/>
  <c r="CL1202" i="3"/>
  <c r="CK1202" i="3"/>
  <c r="CJ1202" i="3"/>
  <c r="CI1202" i="3"/>
  <c r="CH1202" i="3"/>
  <c r="CG1202" i="3"/>
  <c r="CF1202" i="3"/>
  <c r="CE1202" i="3"/>
  <c r="CD1202" i="3"/>
  <c r="CC1202" i="3"/>
  <c r="CB1202" i="3"/>
  <c r="CA1202" i="3"/>
  <c r="BZ1202" i="3"/>
  <c r="BY1202" i="3"/>
  <c r="BX1202" i="3"/>
  <c r="BW1202" i="3"/>
  <c r="BV1202" i="3"/>
  <c r="BU1202" i="3"/>
  <c r="BT1202" i="3"/>
  <c r="BS1202" i="3"/>
  <c r="BR1202" i="3"/>
  <c r="BQ1202" i="3"/>
  <c r="BP1202" i="3"/>
  <c r="BO1202" i="3"/>
  <c r="BN1202" i="3"/>
  <c r="DU1201" i="3"/>
  <c r="DT1201" i="3"/>
  <c r="DS1201" i="3"/>
  <c r="DR1201" i="3"/>
  <c r="DQ1201" i="3"/>
  <c r="DP1201" i="3"/>
  <c r="DO1201" i="3"/>
  <c r="DN1201" i="3"/>
  <c r="DM1201" i="3"/>
  <c r="DL1201" i="3"/>
  <c r="DK1201" i="3"/>
  <c r="DJ1201" i="3"/>
  <c r="DI1201" i="3"/>
  <c r="DH1201" i="3"/>
  <c r="DG1201" i="3"/>
  <c r="DF1201" i="3"/>
  <c r="DE1201" i="3"/>
  <c r="DD1201" i="3"/>
  <c r="DC1201" i="3"/>
  <c r="DB1201" i="3"/>
  <c r="DA1201" i="3"/>
  <c r="CZ1201" i="3"/>
  <c r="CY1201" i="3"/>
  <c r="CX1201" i="3"/>
  <c r="CW1201" i="3"/>
  <c r="CV1201" i="3"/>
  <c r="CU1201" i="3"/>
  <c r="CT1201" i="3"/>
  <c r="CS1201" i="3"/>
  <c r="CR1201" i="3"/>
  <c r="CQ1201" i="3"/>
  <c r="CP1201" i="3"/>
  <c r="CO1201" i="3"/>
  <c r="CN1201" i="3"/>
  <c r="CM1201" i="3"/>
  <c r="CL1201" i="3"/>
  <c r="CK1201" i="3"/>
  <c r="CJ1201" i="3"/>
  <c r="CI1201" i="3"/>
  <c r="CH1201" i="3"/>
  <c r="CG1201" i="3"/>
  <c r="CF1201" i="3"/>
  <c r="CE1201" i="3"/>
  <c r="CD1201" i="3"/>
  <c r="CC1201" i="3"/>
  <c r="CB1201" i="3"/>
  <c r="CA1201" i="3"/>
  <c r="BZ1201" i="3"/>
  <c r="BY1201" i="3"/>
  <c r="BX1201" i="3"/>
  <c r="BW1201" i="3"/>
  <c r="BV1201" i="3"/>
  <c r="BU1201" i="3"/>
  <c r="BT1201" i="3"/>
  <c r="BS1201" i="3"/>
  <c r="BR1201" i="3"/>
  <c r="BQ1201" i="3"/>
  <c r="BP1201" i="3"/>
  <c r="BO1201" i="3"/>
  <c r="BN1201" i="3"/>
  <c r="DU1200" i="3"/>
  <c r="DT1200" i="3"/>
  <c r="DS1200" i="3"/>
  <c r="DR1200" i="3"/>
  <c r="DQ1200" i="3"/>
  <c r="DP1200" i="3"/>
  <c r="DO1200" i="3"/>
  <c r="DN1200" i="3"/>
  <c r="DM1200" i="3"/>
  <c r="DL1200" i="3"/>
  <c r="DK1200" i="3"/>
  <c r="DJ1200" i="3"/>
  <c r="DI1200" i="3"/>
  <c r="DH1200" i="3"/>
  <c r="DG1200" i="3"/>
  <c r="DF1200" i="3"/>
  <c r="DE1200" i="3"/>
  <c r="DD1200" i="3"/>
  <c r="DC1200" i="3"/>
  <c r="DB1200" i="3"/>
  <c r="DA1200" i="3"/>
  <c r="CZ1200" i="3"/>
  <c r="CY1200" i="3"/>
  <c r="CX1200" i="3"/>
  <c r="CW1200" i="3"/>
  <c r="CV1200" i="3"/>
  <c r="CU1200" i="3"/>
  <c r="CT1200" i="3"/>
  <c r="CS1200" i="3"/>
  <c r="CR1200" i="3"/>
  <c r="CQ1200" i="3"/>
  <c r="CP1200" i="3"/>
  <c r="CO1200" i="3"/>
  <c r="CN1200" i="3"/>
  <c r="CM1200" i="3"/>
  <c r="CL1200" i="3"/>
  <c r="CK1200" i="3"/>
  <c r="CJ1200" i="3"/>
  <c r="CI1200" i="3"/>
  <c r="CH1200" i="3"/>
  <c r="CG1200" i="3"/>
  <c r="CF1200" i="3"/>
  <c r="CE1200" i="3"/>
  <c r="CD1200" i="3"/>
  <c r="CC1200" i="3"/>
  <c r="CB1200" i="3"/>
  <c r="CA1200" i="3"/>
  <c r="BZ1200" i="3"/>
  <c r="BY1200" i="3"/>
  <c r="BX1200" i="3"/>
  <c r="BW1200" i="3"/>
  <c r="BV1200" i="3"/>
  <c r="BU1200" i="3"/>
  <c r="BT1200" i="3"/>
  <c r="BS1200" i="3"/>
  <c r="BR1200" i="3"/>
  <c r="BQ1200" i="3"/>
  <c r="BP1200" i="3"/>
  <c r="BO1200" i="3"/>
  <c r="BN1200" i="3"/>
  <c r="DU1199" i="3"/>
  <c r="DT1199" i="3"/>
  <c r="DS1199" i="3"/>
  <c r="DR1199" i="3"/>
  <c r="DQ1199" i="3"/>
  <c r="DP1199" i="3"/>
  <c r="DO1199" i="3"/>
  <c r="DN1199" i="3"/>
  <c r="DM1199" i="3"/>
  <c r="DL1199" i="3"/>
  <c r="DK1199" i="3"/>
  <c r="DJ1199" i="3"/>
  <c r="DI1199" i="3"/>
  <c r="DH1199" i="3"/>
  <c r="DG1199" i="3"/>
  <c r="DF1199" i="3"/>
  <c r="DE1199" i="3"/>
  <c r="DD1199" i="3"/>
  <c r="DC1199" i="3"/>
  <c r="DB1199" i="3"/>
  <c r="DA1199" i="3"/>
  <c r="CZ1199" i="3"/>
  <c r="CY1199" i="3"/>
  <c r="CX1199" i="3"/>
  <c r="CW1199" i="3"/>
  <c r="CV1199" i="3"/>
  <c r="CU1199" i="3"/>
  <c r="CT1199" i="3"/>
  <c r="CS1199" i="3"/>
  <c r="CR1199" i="3"/>
  <c r="CQ1199" i="3"/>
  <c r="CP1199" i="3"/>
  <c r="CO1199" i="3"/>
  <c r="CN1199" i="3"/>
  <c r="CM1199" i="3"/>
  <c r="CL1199" i="3"/>
  <c r="CK1199" i="3"/>
  <c r="CJ1199" i="3"/>
  <c r="CI1199" i="3"/>
  <c r="CH1199" i="3"/>
  <c r="CG1199" i="3"/>
  <c r="CF1199" i="3"/>
  <c r="CE1199" i="3"/>
  <c r="CD1199" i="3"/>
  <c r="CC1199" i="3"/>
  <c r="CB1199" i="3"/>
  <c r="CA1199" i="3"/>
  <c r="BZ1199" i="3"/>
  <c r="BY1199" i="3"/>
  <c r="BX1199" i="3"/>
  <c r="BW1199" i="3"/>
  <c r="BV1199" i="3"/>
  <c r="BU1199" i="3"/>
  <c r="BT1199" i="3"/>
  <c r="BS1199" i="3"/>
  <c r="BR1199" i="3"/>
  <c r="BQ1199" i="3"/>
  <c r="BP1199" i="3"/>
  <c r="BO1199" i="3"/>
  <c r="BN1199" i="3"/>
  <c r="DU1198" i="3"/>
  <c r="DT1198" i="3"/>
  <c r="DS1198" i="3"/>
  <c r="DR1198" i="3"/>
  <c r="DQ1198" i="3"/>
  <c r="DP1198" i="3"/>
  <c r="DO1198" i="3"/>
  <c r="DN1198" i="3"/>
  <c r="DM1198" i="3"/>
  <c r="DL1198" i="3"/>
  <c r="DK1198" i="3"/>
  <c r="DJ1198" i="3"/>
  <c r="DI1198" i="3"/>
  <c r="DH1198" i="3"/>
  <c r="DG1198" i="3"/>
  <c r="DF1198" i="3"/>
  <c r="DE1198" i="3"/>
  <c r="DD1198" i="3"/>
  <c r="DC1198" i="3"/>
  <c r="DB1198" i="3"/>
  <c r="DA1198" i="3"/>
  <c r="CZ1198" i="3"/>
  <c r="CY1198" i="3"/>
  <c r="CX1198" i="3"/>
  <c r="CW1198" i="3"/>
  <c r="CV1198" i="3"/>
  <c r="CU1198" i="3"/>
  <c r="CT1198" i="3"/>
  <c r="CS1198" i="3"/>
  <c r="CR1198" i="3"/>
  <c r="CQ1198" i="3"/>
  <c r="CP1198" i="3"/>
  <c r="CO1198" i="3"/>
  <c r="CN1198" i="3"/>
  <c r="CM1198" i="3"/>
  <c r="CL1198" i="3"/>
  <c r="CK1198" i="3"/>
  <c r="CJ1198" i="3"/>
  <c r="CI1198" i="3"/>
  <c r="CH1198" i="3"/>
  <c r="CG1198" i="3"/>
  <c r="CF1198" i="3"/>
  <c r="CE1198" i="3"/>
  <c r="CD1198" i="3"/>
  <c r="CC1198" i="3"/>
  <c r="CB1198" i="3"/>
  <c r="CA1198" i="3"/>
  <c r="BZ1198" i="3"/>
  <c r="BY1198" i="3"/>
  <c r="BX1198" i="3"/>
  <c r="BW1198" i="3"/>
  <c r="BV1198" i="3"/>
  <c r="BU1198" i="3"/>
  <c r="BT1198" i="3"/>
  <c r="BS1198" i="3"/>
  <c r="BR1198" i="3"/>
  <c r="BQ1198" i="3"/>
  <c r="BP1198" i="3"/>
  <c r="BO1198" i="3"/>
  <c r="BN1198" i="3"/>
  <c r="DU1197" i="3"/>
  <c r="DT1197" i="3"/>
  <c r="DS1197" i="3"/>
  <c r="DR1197" i="3"/>
  <c r="DQ1197" i="3"/>
  <c r="DP1197" i="3"/>
  <c r="DO1197" i="3"/>
  <c r="DN1197" i="3"/>
  <c r="DM1197" i="3"/>
  <c r="DL1197" i="3"/>
  <c r="DK1197" i="3"/>
  <c r="DJ1197" i="3"/>
  <c r="DI1197" i="3"/>
  <c r="DH1197" i="3"/>
  <c r="DG1197" i="3"/>
  <c r="DF1197" i="3"/>
  <c r="DE1197" i="3"/>
  <c r="DD1197" i="3"/>
  <c r="DC1197" i="3"/>
  <c r="DB1197" i="3"/>
  <c r="DA1197" i="3"/>
  <c r="CZ1197" i="3"/>
  <c r="CY1197" i="3"/>
  <c r="CX1197" i="3"/>
  <c r="CW1197" i="3"/>
  <c r="CV1197" i="3"/>
  <c r="CU1197" i="3"/>
  <c r="CT1197" i="3"/>
  <c r="CS1197" i="3"/>
  <c r="CR1197" i="3"/>
  <c r="CQ1197" i="3"/>
  <c r="CP1197" i="3"/>
  <c r="CO1197" i="3"/>
  <c r="CN1197" i="3"/>
  <c r="CM1197" i="3"/>
  <c r="CL1197" i="3"/>
  <c r="CK1197" i="3"/>
  <c r="CJ1197" i="3"/>
  <c r="CI1197" i="3"/>
  <c r="CH1197" i="3"/>
  <c r="CG1197" i="3"/>
  <c r="CF1197" i="3"/>
  <c r="CE1197" i="3"/>
  <c r="CD1197" i="3"/>
  <c r="CC1197" i="3"/>
  <c r="CB1197" i="3"/>
  <c r="CA1197" i="3"/>
  <c r="BZ1197" i="3"/>
  <c r="BY1197" i="3"/>
  <c r="BX1197" i="3"/>
  <c r="BW1197" i="3"/>
  <c r="BV1197" i="3"/>
  <c r="BU1197" i="3"/>
  <c r="BT1197" i="3"/>
  <c r="BS1197" i="3"/>
  <c r="BR1197" i="3"/>
  <c r="BQ1197" i="3"/>
  <c r="BP1197" i="3"/>
  <c r="BO1197" i="3"/>
  <c r="BN1197" i="3"/>
  <c r="DU1196" i="3"/>
  <c r="DT1196" i="3"/>
  <c r="DS1196" i="3"/>
  <c r="DR1196" i="3"/>
  <c r="DQ1196" i="3"/>
  <c r="DP1196" i="3"/>
  <c r="DO1196" i="3"/>
  <c r="DN1196" i="3"/>
  <c r="DM1196" i="3"/>
  <c r="DL1196" i="3"/>
  <c r="DK1196" i="3"/>
  <c r="DJ1196" i="3"/>
  <c r="DI1196" i="3"/>
  <c r="DH1196" i="3"/>
  <c r="DG1196" i="3"/>
  <c r="DF1196" i="3"/>
  <c r="DE1196" i="3"/>
  <c r="DD1196" i="3"/>
  <c r="DC1196" i="3"/>
  <c r="DB1196" i="3"/>
  <c r="DA1196" i="3"/>
  <c r="CZ1196" i="3"/>
  <c r="CY1196" i="3"/>
  <c r="CX1196" i="3"/>
  <c r="CW1196" i="3"/>
  <c r="CV1196" i="3"/>
  <c r="CU1196" i="3"/>
  <c r="CT1196" i="3"/>
  <c r="CS1196" i="3"/>
  <c r="CR1196" i="3"/>
  <c r="CQ1196" i="3"/>
  <c r="CP1196" i="3"/>
  <c r="CO1196" i="3"/>
  <c r="CN1196" i="3"/>
  <c r="CM1196" i="3"/>
  <c r="CL1196" i="3"/>
  <c r="CK1196" i="3"/>
  <c r="CJ1196" i="3"/>
  <c r="CI1196" i="3"/>
  <c r="CH1196" i="3"/>
  <c r="CG1196" i="3"/>
  <c r="CF1196" i="3"/>
  <c r="CE1196" i="3"/>
  <c r="CD1196" i="3"/>
  <c r="CC1196" i="3"/>
  <c r="CB1196" i="3"/>
  <c r="CA1196" i="3"/>
  <c r="BZ1196" i="3"/>
  <c r="BY1196" i="3"/>
  <c r="BX1196" i="3"/>
  <c r="BW1196" i="3"/>
  <c r="BV1196" i="3"/>
  <c r="BU1196" i="3"/>
  <c r="BT1196" i="3"/>
  <c r="BS1196" i="3"/>
  <c r="BR1196" i="3"/>
  <c r="BQ1196" i="3"/>
  <c r="BP1196" i="3"/>
  <c r="BO1196" i="3"/>
  <c r="BN1196" i="3"/>
  <c r="DU1195" i="3"/>
  <c r="DT1195" i="3"/>
  <c r="DS1195" i="3"/>
  <c r="DR1195" i="3"/>
  <c r="DQ1195" i="3"/>
  <c r="DP1195" i="3"/>
  <c r="DO1195" i="3"/>
  <c r="DN1195" i="3"/>
  <c r="DM1195" i="3"/>
  <c r="DL1195" i="3"/>
  <c r="DK1195" i="3"/>
  <c r="DJ1195" i="3"/>
  <c r="DI1195" i="3"/>
  <c r="DH1195" i="3"/>
  <c r="DG1195" i="3"/>
  <c r="DF1195" i="3"/>
  <c r="DE1195" i="3"/>
  <c r="DD1195" i="3"/>
  <c r="DC1195" i="3"/>
  <c r="DB1195" i="3"/>
  <c r="DA1195" i="3"/>
  <c r="CZ1195" i="3"/>
  <c r="CY1195" i="3"/>
  <c r="CX1195" i="3"/>
  <c r="CW1195" i="3"/>
  <c r="CV1195" i="3"/>
  <c r="CU1195" i="3"/>
  <c r="CT1195" i="3"/>
  <c r="CS1195" i="3"/>
  <c r="CR1195" i="3"/>
  <c r="CQ1195" i="3"/>
  <c r="CP1195" i="3"/>
  <c r="CO1195" i="3"/>
  <c r="CN1195" i="3"/>
  <c r="CM1195" i="3"/>
  <c r="CL1195" i="3"/>
  <c r="CK1195" i="3"/>
  <c r="CJ1195" i="3"/>
  <c r="CI1195" i="3"/>
  <c r="CH1195" i="3"/>
  <c r="CG1195" i="3"/>
  <c r="CF1195" i="3"/>
  <c r="CE1195" i="3"/>
  <c r="CD1195" i="3"/>
  <c r="CC1195" i="3"/>
  <c r="CB1195" i="3"/>
  <c r="CA1195" i="3"/>
  <c r="BZ1195" i="3"/>
  <c r="BY1195" i="3"/>
  <c r="BX1195" i="3"/>
  <c r="BW1195" i="3"/>
  <c r="BV1195" i="3"/>
  <c r="BU1195" i="3"/>
  <c r="BT1195" i="3"/>
  <c r="BS1195" i="3"/>
  <c r="BR1195" i="3"/>
  <c r="BQ1195" i="3"/>
  <c r="BP1195" i="3"/>
  <c r="BO1195" i="3"/>
  <c r="BN1195" i="3"/>
  <c r="DU1194" i="3"/>
  <c r="DT1194" i="3"/>
  <c r="DS1194" i="3"/>
  <c r="DR1194" i="3"/>
  <c r="DQ1194" i="3"/>
  <c r="DP1194" i="3"/>
  <c r="DO1194" i="3"/>
  <c r="DN1194" i="3"/>
  <c r="DM1194" i="3"/>
  <c r="DL1194" i="3"/>
  <c r="DK1194" i="3"/>
  <c r="DJ1194" i="3"/>
  <c r="DI1194" i="3"/>
  <c r="DH1194" i="3"/>
  <c r="DG1194" i="3"/>
  <c r="DF1194" i="3"/>
  <c r="DE1194" i="3"/>
  <c r="DD1194" i="3"/>
  <c r="DC1194" i="3"/>
  <c r="DB1194" i="3"/>
  <c r="DA1194" i="3"/>
  <c r="CZ1194" i="3"/>
  <c r="CY1194" i="3"/>
  <c r="CX1194" i="3"/>
  <c r="CW1194" i="3"/>
  <c r="CV1194" i="3"/>
  <c r="CU1194" i="3"/>
  <c r="CT1194" i="3"/>
  <c r="CS1194" i="3"/>
  <c r="CR1194" i="3"/>
  <c r="CQ1194" i="3"/>
  <c r="CP1194" i="3"/>
  <c r="CO1194" i="3"/>
  <c r="CN1194" i="3"/>
  <c r="CM1194" i="3"/>
  <c r="CL1194" i="3"/>
  <c r="CK1194" i="3"/>
  <c r="CJ1194" i="3"/>
  <c r="CI1194" i="3"/>
  <c r="CH1194" i="3"/>
  <c r="CG1194" i="3"/>
  <c r="CF1194" i="3"/>
  <c r="CE1194" i="3"/>
  <c r="CD1194" i="3"/>
  <c r="CC1194" i="3"/>
  <c r="CB1194" i="3"/>
  <c r="CA1194" i="3"/>
  <c r="BZ1194" i="3"/>
  <c r="BY1194" i="3"/>
  <c r="BX1194" i="3"/>
  <c r="BW1194" i="3"/>
  <c r="BV1194" i="3"/>
  <c r="BU1194" i="3"/>
  <c r="BT1194" i="3"/>
  <c r="BS1194" i="3"/>
  <c r="BR1194" i="3"/>
  <c r="BQ1194" i="3"/>
  <c r="BP1194" i="3"/>
  <c r="BO1194" i="3"/>
  <c r="BN1194" i="3"/>
  <c r="DU1193" i="3"/>
  <c r="DT1193" i="3"/>
  <c r="DS1193" i="3"/>
  <c r="DR1193" i="3"/>
  <c r="DQ1193" i="3"/>
  <c r="DP1193" i="3"/>
  <c r="DO1193" i="3"/>
  <c r="DN1193" i="3"/>
  <c r="DM1193" i="3"/>
  <c r="DL1193" i="3"/>
  <c r="DK1193" i="3"/>
  <c r="DJ1193" i="3"/>
  <c r="DI1193" i="3"/>
  <c r="DH1193" i="3"/>
  <c r="DG1193" i="3"/>
  <c r="DF1193" i="3"/>
  <c r="DE1193" i="3"/>
  <c r="DD1193" i="3"/>
  <c r="DC1193" i="3"/>
  <c r="DB1193" i="3"/>
  <c r="DA1193" i="3"/>
  <c r="CZ1193" i="3"/>
  <c r="CY1193" i="3"/>
  <c r="CX1193" i="3"/>
  <c r="CW1193" i="3"/>
  <c r="CV1193" i="3"/>
  <c r="CU1193" i="3"/>
  <c r="CT1193" i="3"/>
  <c r="CS1193" i="3"/>
  <c r="CR1193" i="3"/>
  <c r="CQ1193" i="3"/>
  <c r="CP1193" i="3"/>
  <c r="CO1193" i="3"/>
  <c r="CN1193" i="3"/>
  <c r="CM1193" i="3"/>
  <c r="CL1193" i="3"/>
  <c r="CK1193" i="3"/>
  <c r="CJ1193" i="3"/>
  <c r="CI1193" i="3"/>
  <c r="CH1193" i="3"/>
  <c r="CG1193" i="3"/>
  <c r="CF1193" i="3"/>
  <c r="CE1193" i="3"/>
  <c r="CD1193" i="3"/>
  <c r="CC1193" i="3"/>
  <c r="CB1193" i="3"/>
  <c r="CA1193" i="3"/>
  <c r="BZ1193" i="3"/>
  <c r="BY1193" i="3"/>
  <c r="BX1193" i="3"/>
  <c r="BW1193" i="3"/>
  <c r="BV1193" i="3"/>
  <c r="BU1193" i="3"/>
  <c r="BT1193" i="3"/>
  <c r="BS1193" i="3"/>
  <c r="BR1193" i="3"/>
  <c r="BQ1193" i="3"/>
  <c r="BP1193" i="3"/>
  <c r="BO1193" i="3"/>
  <c r="BN1193" i="3"/>
  <c r="DU1192" i="3"/>
  <c r="DT1192" i="3"/>
  <c r="DS1192" i="3"/>
  <c r="DR1192" i="3"/>
  <c r="DQ1192" i="3"/>
  <c r="DP1192" i="3"/>
  <c r="DO1192" i="3"/>
  <c r="DN1192" i="3"/>
  <c r="DM1192" i="3"/>
  <c r="DL1192" i="3"/>
  <c r="DK1192" i="3"/>
  <c r="DJ1192" i="3"/>
  <c r="DI1192" i="3"/>
  <c r="DH1192" i="3"/>
  <c r="DG1192" i="3"/>
  <c r="DF1192" i="3"/>
  <c r="DE1192" i="3"/>
  <c r="DD1192" i="3"/>
  <c r="DC1192" i="3"/>
  <c r="DB1192" i="3"/>
  <c r="DA1192" i="3"/>
  <c r="CZ1192" i="3"/>
  <c r="CY1192" i="3"/>
  <c r="CX1192" i="3"/>
  <c r="CW1192" i="3"/>
  <c r="CV1192" i="3"/>
  <c r="CU1192" i="3"/>
  <c r="CT1192" i="3"/>
  <c r="CS1192" i="3"/>
  <c r="CR1192" i="3"/>
  <c r="CQ1192" i="3"/>
  <c r="CP1192" i="3"/>
  <c r="CO1192" i="3"/>
  <c r="CN1192" i="3"/>
  <c r="CM1192" i="3"/>
  <c r="CL1192" i="3"/>
  <c r="CK1192" i="3"/>
  <c r="CJ1192" i="3"/>
  <c r="CI1192" i="3"/>
  <c r="CH1192" i="3"/>
  <c r="CG1192" i="3"/>
  <c r="CF1192" i="3"/>
  <c r="CE1192" i="3"/>
  <c r="CD1192" i="3"/>
  <c r="CC1192" i="3"/>
  <c r="CB1192" i="3"/>
  <c r="CA1192" i="3"/>
  <c r="BZ1192" i="3"/>
  <c r="BY1192" i="3"/>
  <c r="BX1192" i="3"/>
  <c r="BW1192" i="3"/>
  <c r="BV1192" i="3"/>
  <c r="BU1192" i="3"/>
  <c r="BT1192" i="3"/>
  <c r="BS1192" i="3"/>
  <c r="BR1192" i="3"/>
  <c r="BQ1192" i="3"/>
  <c r="BP1192" i="3"/>
  <c r="BO1192" i="3"/>
  <c r="BN1192" i="3"/>
  <c r="DU1191" i="3"/>
  <c r="DT1191" i="3"/>
  <c r="DS1191" i="3"/>
  <c r="DR1191" i="3"/>
  <c r="DQ1191" i="3"/>
  <c r="DP1191" i="3"/>
  <c r="DO1191" i="3"/>
  <c r="DN1191" i="3"/>
  <c r="DM1191" i="3"/>
  <c r="DL1191" i="3"/>
  <c r="DK1191" i="3"/>
  <c r="DJ1191" i="3"/>
  <c r="DI1191" i="3"/>
  <c r="DH1191" i="3"/>
  <c r="DG1191" i="3"/>
  <c r="DF1191" i="3"/>
  <c r="DE1191" i="3"/>
  <c r="DD1191" i="3"/>
  <c r="DC1191" i="3"/>
  <c r="DB1191" i="3"/>
  <c r="DA1191" i="3"/>
  <c r="CZ1191" i="3"/>
  <c r="CY1191" i="3"/>
  <c r="CX1191" i="3"/>
  <c r="CW1191" i="3"/>
  <c r="CV1191" i="3"/>
  <c r="CU1191" i="3"/>
  <c r="CT1191" i="3"/>
  <c r="CS1191" i="3"/>
  <c r="CR1191" i="3"/>
  <c r="CQ1191" i="3"/>
  <c r="CP1191" i="3"/>
  <c r="CO1191" i="3"/>
  <c r="CN1191" i="3"/>
  <c r="CM1191" i="3"/>
  <c r="CL1191" i="3"/>
  <c r="CK1191" i="3"/>
  <c r="CJ1191" i="3"/>
  <c r="CI1191" i="3"/>
  <c r="CH1191" i="3"/>
  <c r="CG1191" i="3"/>
  <c r="CF1191" i="3"/>
  <c r="CE1191" i="3"/>
  <c r="CD1191" i="3"/>
  <c r="CC1191" i="3"/>
  <c r="CB1191" i="3"/>
  <c r="CA1191" i="3"/>
  <c r="BZ1191" i="3"/>
  <c r="BY1191" i="3"/>
  <c r="BX1191" i="3"/>
  <c r="BW1191" i="3"/>
  <c r="BV1191" i="3"/>
  <c r="BU1191" i="3"/>
  <c r="BT1191" i="3"/>
  <c r="BS1191" i="3"/>
  <c r="BR1191" i="3"/>
  <c r="BQ1191" i="3"/>
  <c r="BP1191" i="3"/>
  <c r="BO1191" i="3"/>
  <c r="BN1191" i="3"/>
  <c r="DU1190" i="3"/>
  <c r="DT1190" i="3"/>
  <c r="DS1190" i="3"/>
  <c r="DR1190" i="3"/>
  <c r="DQ1190" i="3"/>
  <c r="DP1190" i="3"/>
  <c r="DO1190" i="3"/>
  <c r="DN1190" i="3"/>
  <c r="DM1190" i="3"/>
  <c r="DL1190" i="3"/>
  <c r="DK1190" i="3"/>
  <c r="DJ1190" i="3"/>
  <c r="DI1190" i="3"/>
  <c r="DH1190" i="3"/>
  <c r="DG1190" i="3"/>
  <c r="DF1190" i="3"/>
  <c r="DE1190" i="3"/>
  <c r="DD1190" i="3"/>
  <c r="DC1190" i="3"/>
  <c r="DB1190" i="3"/>
  <c r="DA1190" i="3"/>
  <c r="CZ1190" i="3"/>
  <c r="CY1190" i="3"/>
  <c r="CX1190" i="3"/>
  <c r="CW1190" i="3"/>
  <c r="CV1190" i="3"/>
  <c r="CU1190" i="3"/>
  <c r="CT1190" i="3"/>
  <c r="CS1190" i="3"/>
  <c r="CR1190" i="3"/>
  <c r="CQ1190" i="3"/>
  <c r="CP1190" i="3"/>
  <c r="CO1190" i="3"/>
  <c r="CN1190" i="3"/>
  <c r="CM1190" i="3"/>
  <c r="CL1190" i="3"/>
  <c r="CK1190" i="3"/>
  <c r="CJ1190" i="3"/>
  <c r="CI1190" i="3"/>
  <c r="CH1190" i="3"/>
  <c r="CG1190" i="3"/>
  <c r="CF1190" i="3"/>
  <c r="CE1190" i="3"/>
  <c r="CD1190" i="3"/>
  <c r="CC1190" i="3"/>
  <c r="CB1190" i="3"/>
  <c r="CA1190" i="3"/>
  <c r="BZ1190" i="3"/>
  <c r="BY1190" i="3"/>
  <c r="BX1190" i="3"/>
  <c r="BW1190" i="3"/>
  <c r="BV1190" i="3"/>
  <c r="BU1190" i="3"/>
  <c r="BT1190" i="3"/>
  <c r="BS1190" i="3"/>
  <c r="BR1190" i="3"/>
  <c r="BQ1190" i="3"/>
  <c r="BP1190" i="3"/>
  <c r="BO1190" i="3"/>
  <c r="BN1190" i="3"/>
  <c r="DU1189" i="3"/>
  <c r="DT1189" i="3"/>
  <c r="DS1189" i="3"/>
  <c r="DR1189" i="3"/>
  <c r="DQ1189" i="3"/>
  <c r="DP1189" i="3"/>
  <c r="DO1189" i="3"/>
  <c r="DN1189" i="3"/>
  <c r="DM1189" i="3"/>
  <c r="DL1189" i="3"/>
  <c r="DK1189" i="3"/>
  <c r="DJ1189" i="3"/>
  <c r="DI1189" i="3"/>
  <c r="DH1189" i="3"/>
  <c r="DG1189" i="3"/>
  <c r="DF1189" i="3"/>
  <c r="DE1189" i="3"/>
  <c r="DD1189" i="3"/>
  <c r="DC1189" i="3"/>
  <c r="DB1189" i="3"/>
  <c r="DA1189" i="3"/>
  <c r="CZ1189" i="3"/>
  <c r="CY1189" i="3"/>
  <c r="CX1189" i="3"/>
  <c r="CW1189" i="3"/>
  <c r="CV1189" i="3"/>
  <c r="CU1189" i="3"/>
  <c r="CT1189" i="3"/>
  <c r="CS1189" i="3"/>
  <c r="CR1189" i="3"/>
  <c r="CQ1189" i="3"/>
  <c r="CP1189" i="3"/>
  <c r="CO1189" i="3"/>
  <c r="CN1189" i="3"/>
  <c r="CM1189" i="3"/>
  <c r="CL1189" i="3"/>
  <c r="CK1189" i="3"/>
  <c r="CJ1189" i="3"/>
  <c r="CI1189" i="3"/>
  <c r="CH1189" i="3"/>
  <c r="CG1189" i="3"/>
  <c r="CF1189" i="3"/>
  <c r="CE1189" i="3"/>
  <c r="CD1189" i="3"/>
  <c r="CC1189" i="3"/>
  <c r="CB1189" i="3"/>
  <c r="CA1189" i="3"/>
  <c r="BZ1189" i="3"/>
  <c r="BY1189" i="3"/>
  <c r="BX1189" i="3"/>
  <c r="BW1189" i="3"/>
  <c r="BV1189" i="3"/>
  <c r="BU1189" i="3"/>
  <c r="BT1189" i="3"/>
  <c r="BS1189" i="3"/>
  <c r="BR1189" i="3"/>
  <c r="BQ1189" i="3"/>
  <c r="BP1189" i="3"/>
  <c r="BO1189" i="3"/>
  <c r="BN1189" i="3"/>
  <c r="DU1188" i="3"/>
  <c r="DT1188" i="3"/>
  <c r="DS1188" i="3"/>
  <c r="DR1188" i="3"/>
  <c r="DQ1188" i="3"/>
  <c r="DP1188" i="3"/>
  <c r="DO1188" i="3"/>
  <c r="DN1188" i="3"/>
  <c r="DM1188" i="3"/>
  <c r="DL1188" i="3"/>
  <c r="DK1188" i="3"/>
  <c r="DJ1188" i="3"/>
  <c r="DI1188" i="3"/>
  <c r="DH1188" i="3"/>
  <c r="DG1188" i="3"/>
  <c r="DF1188" i="3"/>
  <c r="DE1188" i="3"/>
  <c r="DD1188" i="3"/>
  <c r="DC1188" i="3"/>
  <c r="DB1188" i="3"/>
  <c r="DA1188" i="3"/>
  <c r="CZ1188" i="3"/>
  <c r="CY1188" i="3"/>
  <c r="CX1188" i="3"/>
  <c r="CW1188" i="3"/>
  <c r="CV1188" i="3"/>
  <c r="CU1188" i="3"/>
  <c r="CT1188" i="3"/>
  <c r="CS1188" i="3"/>
  <c r="CR1188" i="3"/>
  <c r="CQ1188" i="3"/>
  <c r="CP1188" i="3"/>
  <c r="CO1188" i="3"/>
  <c r="CN1188" i="3"/>
  <c r="CM1188" i="3"/>
  <c r="CL1188" i="3"/>
  <c r="CK1188" i="3"/>
  <c r="CJ1188" i="3"/>
  <c r="CI1188" i="3"/>
  <c r="CH1188" i="3"/>
  <c r="CG1188" i="3"/>
  <c r="CF1188" i="3"/>
  <c r="CE1188" i="3"/>
  <c r="CD1188" i="3"/>
  <c r="CC1188" i="3"/>
  <c r="CB1188" i="3"/>
  <c r="CA1188" i="3"/>
  <c r="BZ1188" i="3"/>
  <c r="BY1188" i="3"/>
  <c r="BX1188" i="3"/>
  <c r="BW1188" i="3"/>
  <c r="BV1188" i="3"/>
  <c r="BU1188" i="3"/>
  <c r="BT1188" i="3"/>
  <c r="BS1188" i="3"/>
  <c r="BR1188" i="3"/>
  <c r="BQ1188" i="3"/>
  <c r="BP1188" i="3"/>
  <c r="BO1188" i="3"/>
  <c r="BN1188" i="3"/>
  <c r="DU1187" i="3"/>
  <c r="DT1187" i="3"/>
  <c r="DS1187" i="3"/>
  <c r="DR1187" i="3"/>
  <c r="DQ1187" i="3"/>
  <c r="DP1187" i="3"/>
  <c r="DO1187" i="3"/>
  <c r="DN1187" i="3"/>
  <c r="DM1187" i="3"/>
  <c r="DL1187" i="3"/>
  <c r="DK1187" i="3"/>
  <c r="DJ1187" i="3"/>
  <c r="DI1187" i="3"/>
  <c r="DH1187" i="3"/>
  <c r="DG1187" i="3"/>
  <c r="DF1187" i="3"/>
  <c r="DE1187" i="3"/>
  <c r="DD1187" i="3"/>
  <c r="DC1187" i="3"/>
  <c r="DB1187" i="3"/>
  <c r="DA1187" i="3"/>
  <c r="CZ1187" i="3"/>
  <c r="CY1187" i="3"/>
  <c r="CX1187" i="3"/>
  <c r="CW1187" i="3"/>
  <c r="CV1187" i="3"/>
  <c r="CU1187" i="3"/>
  <c r="CT1187" i="3"/>
  <c r="CS1187" i="3"/>
  <c r="CR1187" i="3"/>
  <c r="CQ1187" i="3"/>
  <c r="CP1187" i="3"/>
  <c r="CO1187" i="3"/>
  <c r="CN1187" i="3"/>
  <c r="CM1187" i="3"/>
  <c r="CL1187" i="3"/>
  <c r="CK1187" i="3"/>
  <c r="CJ1187" i="3"/>
  <c r="CI1187" i="3"/>
  <c r="CH1187" i="3"/>
  <c r="CG1187" i="3"/>
  <c r="CF1187" i="3"/>
  <c r="CE1187" i="3"/>
  <c r="CD1187" i="3"/>
  <c r="CC1187" i="3"/>
  <c r="CB1187" i="3"/>
  <c r="CA1187" i="3"/>
  <c r="BZ1187" i="3"/>
  <c r="BY1187" i="3"/>
  <c r="BX1187" i="3"/>
  <c r="BW1187" i="3"/>
  <c r="BV1187" i="3"/>
  <c r="BU1187" i="3"/>
  <c r="BT1187" i="3"/>
  <c r="BS1187" i="3"/>
  <c r="BR1187" i="3"/>
  <c r="BQ1187" i="3"/>
  <c r="BP1187" i="3"/>
  <c r="BO1187" i="3"/>
  <c r="BN1187" i="3"/>
  <c r="DU1186" i="3"/>
  <c r="DT1186" i="3"/>
  <c r="DS1186" i="3"/>
  <c r="DR1186" i="3"/>
  <c r="DQ1186" i="3"/>
  <c r="DP1186" i="3"/>
  <c r="DO1186" i="3"/>
  <c r="DN1186" i="3"/>
  <c r="DM1186" i="3"/>
  <c r="DL1186" i="3"/>
  <c r="DK1186" i="3"/>
  <c r="DJ1186" i="3"/>
  <c r="DI1186" i="3"/>
  <c r="DH1186" i="3"/>
  <c r="DG1186" i="3"/>
  <c r="DF1186" i="3"/>
  <c r="DE1186" i="3"/>
  <c r="DD1186" i="3"/>
  <c r="DC1186" i="3"/>
  <c r="DB1186" i="3"/>
  <c r="DA1186" i="3"/>
  <c r="CZ1186" i="3"/>
  <c r="CY1186" i="3"/>
  <c r="CX1186" i="3"/>
  <c r="CW1186" i="3"/>
  <c r="CV1186" i="3"/>
  <c r="CU1186" i="3"/>
  <c r="CT1186" i="3"/>
  <c r="CS1186" i="3"/>
  <c r="CR1186" i="3"/>
  <c r="CQ1186" i="3"/>
  <c r="CP1186" i="3"/>
  <c r="CO1186" i="3"/>
  <c r="CN1186" i="3"/>
  <c r="CM1186" i="3"/>
  <c r="CL1186" i="3"/>
  <c r="CK1186" i="3"/>
  <c r="CJ1186" i="3"/>
  <c r="CI1186" i="3"/>
  <c r="CH1186" i="3"/>
  <c r="CG1186" i="3"/>
  <c r="CF1186" i="3"/>
  <c r="CE1186" i="3"/>
  <c r="CD1186" i="3"/>
  <c r="CC1186" i="3"/>
  <c r="CB1186" i="3"/>
  <c r="CA1186" i="3"/>
  <c r="BZ1186" i="3"/>
  <c r="BY1186" i="3"/>
  <c r="BX1186" i="3"/>
  <c r="BW1186" i="3"/>
  <c r="BV1186" i="3"/>
  <c r="BU1186" i="3"/>
  <c r="BT1186" i="3"/>
  <c r="BS1186" i="3"/>
  <c r="BR1186" i="3"/>
  <c r="BQ1186" i="3"/>
  <c r="BP1186" i="3"/>
  <c r="BO1186" i="3"/>
  <c r="BN1186" i="3"/>
  <c r="DU1185" i="3"/>
  <c r="DT1185" i="3"/>
  <c r="DS1185" i="3"/>
  <c r="DR1185" i="3"/>
  <c r="DQ1185" i="3"/>
  <c r="DP1185" i="3"/>
  <c r="DO1185" i="3"/>
  <c r="DN1185" i="3"/>
  <c r="DM1185" i="3"/>
  <c r="DL1185" i="3"/>
  <c r="DK1185" i="3"/>
  <c r="DJ1185" i="3"/>
  <c r="DI1185" i="3"/>
  <c r="DH1185" i="3"/>
  <c r="DG1185" i="3"/>
  <c r="DF1185" i="3"/>
  <c r="DE1185" i="3"/>
  <c r="DD1185" i="3"/>
  <c r="DC1185" i="3"/>
  <c r="DB1185" i="3"/>
  <c r="DA1185" i="3"/>
  <c r="CZ1185" i="3"/>
  <c r="CY1185" i="3"/>
  <c r="CX1185" i="3"/>
  <c r="CW1185" i="3"/>
  <c r="CV1185" i="3"/>
  <c r="CU1185" i="3"/>
  <c r="CT1185" i="3"/>
  <c r="CS1185" i="3"/>
  <c r="CR1185" i="3"/>
  <c r="CQ1185" i="3"/>
  <c r="CP1185" i="3"/>
  <c r="CO1185" i="3"/>
  <c r="CN1185" i="3"/>
  <c r="CM1185" i="3"/>
  <c r="CL1185" i="3"/>
  <c r="CK1185" i="3"/>
  <c r="CJ1185" i="3"/>
  <c r="CI1185" i="3"/>
  <c r="CH1185" i="3"/>
  <c r="CG1185" i="3"/>
  <c r="CF1185" i="3"/>
  <c r="CE1185" i="3"/>
  <c r="CD1185" i="3"/>
  <c r="CC1185" i="3"/>
  <c r="CB1185" i="3"/>
  <c r="CA1185" i="3"/>
  <c r="BZ1185" i="3"/>
  <c r="BY1185" i="3"/>
  <c r="BX1185" i="3"/>
  <c r="BW1185" i="3"/>
  <c r="BV1185" i="3"/>
  <c r="BU1185" i="3"/>
  <c r="BT1185" i="3"/>
  <c r="BS1185" i="3"/>
  <c r="BR1185" i="3"/>
  <c r="BQ1185" i="3"/>
  <c r="BP1185" i="3"/>
  <c r="BO1185" i="3"/>
  <c r="BN1185" i="3"/>
  <c r="DU1184" i="3"/>
  <c r="DT1184" i="3"/>
  <c r="DS1184" i="3"/>
  <c r="DR1184" i="3"/>
  <c r="DQ1184" i="3"/>
  <c r="DP1184" i="3"/>
  <c r="DO1184" i="3"/>
  <c r="DN1184" i="3"/>
  <c r="DM1184" i="3"/>
  <c r="DL1184" i="3"/>
  <c r="DK1184" i="3"/>
  <c r="DJ1184" i="3"/>
  <c r="DI1184" i="3"/>
  <c r="DH1184" i="3"/>
  <c r="DG1184" i="3"/>
  <c r="DF1184" i="3"/>
  <c r="DE1184" i="3"/>
  <c r="DD1184" i="3"/>
  <c r="DC1184" i="3"/>
  <c r="DB1184" i="3"/>
  <c r="DA1184" i="3"/>
  <c r="CZ1184" i="3"/>
  <c r="CY1184" i="3"/>
  <c r="CX1184" i="3"/>
  <c r="CW1184" i="3"/>
  <c r="CV1184" i="3"/>
  <c r="CU1184" i="3"/>
  <c r="CT1184" i="3"/>
  <c r="CS1184" i="3"/>
  <c r="CR1184" i="3"/>
  <c r="CQ1184" i="3"/>
  <c r="CP1184" i="3"/>
  <c r="CO1184" i="3"/>
  <c r="CN1184" i="3"/>
  <c r="CM1184" i="3"/>
  <c r="CL1184" i="3"/>
  <c r="CK1184" i="3"/>
  <c r="CJ1184" i="3"/>
  <c r="CI1184" i="3"/>
  <c r="CH1184" i="3"/>
  <c r="CG1184" i="3"/>
  <c r="CF1184" i="3"/>
  <c r="CE1184" i="3"/>
  <c r="CD1184" i="3"/>
  <c r="CC1184" i="3"/>
  <c r="CB1184" i="3"/>
  <c r="CA1184" i="3"/>
  <c r="BZ1184" i="3"/>
  <c r="BY1184" i="3"/>
  <c r="BX1184" i="3"/>
  <c r="BW1184" i="3"/>
  <c r="BV1184" i="3"/>
  <c r="BU1184" i="3"/>
  <c r="BT1184" i="3"/>
  <c r="BS1184" i="3"/>
  <c r="BR1184" i="3"/>
  <c r="BQ1184" i="3"/>
  <c r="BP1184" i="3"/>
  <c r="BO1184" i="3"/>
  <c r="BN1184" i="3"/>
  <c r="DU1183" i="3"/>
  <c r="DT1183" i="3"/>
  <c r="DS1183" i="3"/>
  <c r="DR1183" i="3"/>
  <c r="DQ1183" i="3"/>
  <c r="DP1183" i="3"/>
  <c r="DO1183" i="3"/>
  <c r="DN1183" i="3"/>
  <c r="DM1183" i="3"/>
  <c r="DL1183" i="3"/>
  <c r="DK1183" i="3"/>
  <c r="DJ1183" i="3"/>
  <c r="DI1183" i="3"/>
  <c r="DH1183" i="3"/>
  <c r="DG1183" i="3"/>
  <c r="DF1183" i="3"/>
  <c r="DE1183" i="3"/>
  <c r="DD1183" i="3"/>
  <c r="DC1183" i="3"/>
  <c r="DB1183" i="3"/>
  <c r="DA1183" i="3"/>
  <c r="CZ1183" i="3"/>
  <c r="CY1183" i="3"/>
  <c r="CX1183" i="3"/>
  <c r="CW1183" i="3"/>
  <c r="CV1183" i="3"/>
  <c r="CU1183" i="3"/>
  <c r="CT1183" i="3"/>
  <c r="CS1183" i="3"/>
  <c r="CR1183" i="3"/>
  <c r="CQ1183" i="3"/>
  <c r="CP1183" i="3"/>
  <c r="CO1183" i="3"/>
  <c r="CN1183" i="3"/>
  <c r="CM1183" i="3"/>
  <c r="CL1183" i="3"/>
  <c r="CK1183" i="3"/>
  <c r="CJ1183" i="3"/>
  <c r="CI1183" i="3"/>
  <c r="CH1183" i="3"/>
  <c r="CG1183" i="3"/>
  <c r="CF1183" i="3"/>
  <c r="CE1183" i="3"/>
  <c r="CD1183" i="3"/>
  <c r="CC1183" i="3"/>
  <c r="CB1183" i="3"/>
  <c r="CA1183" i="3"/>
  <c r="BZ1183" i="3"/>
  <c r="BY1183" i="3"/>
  <c r="BX1183" i="3"/>
  <c r="BW1183" i="3"/>
  <c r="BV1183" i="3"/>
  <c r="BU1183" i="3"/>
  <c r="BT1183" i="3"/>
  <c r="BS1183" i="3"/>
  <c r="BR1183" i="3"/>
  <c r="BQ1183" i="3"/>
  <c r="BP1183" i="3"/>
  <c r="BO1183" i="3"/>
  <c r="BN1183" i="3"/>
  <c r="DU1182" i="3"/>
  <c r="DT1182" i="3"/>
  <c r="DS1182" i="3"/>
  <c r="DR1182" i="3"/>
  <c r="DQ1182" i="3"/>
  <c r="DP1182" i="3"/>
  <c r="DO1182" i="3"/>
  <c r="DN1182" i="3"/>
  <c r="DM1182" i="3"/>
  <c r="DL1182" i="3"/>
  <c r="DK1182" i="3"/>
  <c r="DJ1182" i="3"/>
  <c r="DI1182" i="3"/>
  <c r="DH1182" i="3"/>
  <c r="DG1182" i="3"/>
  <c r="DF1182" i="3"/>
  <c r="DE1182" i="3"/>
  <c r="DD1182" i="3"/>
  <c r="DC1182" i="3"/>
  <c r="DB1182" i="3"/>
  <c r="DA1182" i="3"/>
  <c r="CZ1182" i="3"/>
  <c r="CY1182" i="3"/>
  <c r="CX1182" i="3"/>
  <c r="CW1182" i="3"/>
  <c r="CV1182" i="3"/>
  <c r="CU1182" i="3"/>
  <c r="CT1182" i="3"/>
  <c r="CS1182" i="3"/>
  <c r="CR1182" i="3"/>
  <c r="CQ1182" i="3"/>
  <c r="CP1182" i="3"/>
  <c r="CO1182" i="3"/>
  <c r="CN1182" i="3"/>
  <c r="CM1182" i="3"/>
  <c r="CL1182" i="3"/>
  <c r="CK1182" i="3"/>
  <c r="CJ1182" i="3"/>
  <c r="CI1182" i="3"/>
  <c r="CH1182" i="3"/>
  <c r="CG1182" i="3"/>
  <c r="CF1182" i="3"/>
  <c r="CE1182" i="3"/>
  <c r="CD1182" i="3"/>
  <c r="CC1182" i="3"/>
  <c r="CB1182" i="3"/>
  <c r="CA1182" i="3"/>
  <c r="BZ1182" i="3"/>
  <c r="BY1182" i="3"/>
  <c r="BX1182" i="3"/>
  <c r="BW1182" i="3"/>
  <c r="BV1182" i="3"/>
  <c r="BU1182" i="3"/>
  <c r="BT1182" i="3"/>
  <c r="BS1182" i="3"/>
  <c r="BR1182" i="3"/>
  <c r="BQ1182" i="3"/>
  <c r="BP1182" i="3"/>
  <c r="BO1182" i="3"/>
  <c r="BN1182" i="3"/>
  <c r="DU1181" i="3"/>
  <c r="DT1181" i="3"/>
  <c r="DS1181" i="3"/>
  <c r="DR1181" i="3"/>
  <c r="DQ1181" i="3"/>
  <c r="DP1181" i="3"/>
  <c r="DO1181" i="3"/>
  <c r="DN1181" i="3"/>
  <c r="DM1181" i="3"/>
  <c r="DL1181" i="3"/>
  <c r="DK1181" i="3"/>
  <c r="DJ1181" i="3"/>
  <c r="DI1181" i="3"/>
  <c r="DH1181" i="3"/>
  <c r="DG1181" i="3"/>
  <c r="DF1181" i="3"/>
  <c r="DE1181" i="3"/>
  <c r="DD1181" i="3"/>
  <c r="DC1181" i="3"/>
  <c r="DB1181" i="3"/>
  <c r="DA1181" i="3"/>
  <c r="CZ1181" i="3"/>
  <c r="CY1181" i="3"/>
  <c r="CX1181" i="3"/>
  <c r="CW1181" i="3"/>
  <c r="CV1181" i="3"/>
  <c r="CU1181" i="3"/>
  <c r="CT1181" i="3"/>
  <c r="CS1181" i="3"/>
  <c r="CR1181" i="3"/>
  <c r="CQ1181" i="3"/>
  <c r="CP1181" i="3"/>
  <c r="CO1181" i="3"/>
  <c r="CN1181" i="3"/>
  <c r="CM1181" i="3"/>
  <c r="CL1181" i="3"/>
  <c r="CK1181" i="3"/>
  <c r="CJ1181" i="3"/>
  <c r="CI1181" i="3"/>
  <c r="CH1181" i="3"/>
  <c r="CG1181" i="3"/>
  <c r="CF1181" i="3"/>
  <c r="CE1181" i="3"/>
  <c r="CD1181" i="3"/>
  <c r="CC1181" i="3"/>
  <c r="CB1181" i="3"/>
  <c r="CA1181" i="3"/>
  <c r="BZ1181" i="3"/>
  <c r="BY1181" i="3"/>
  <c r="BX1181" i="3"/>
  <c r="BW1181" i="3"/>
  <c r="BV1181" i="3"/>
  <c r="BU1181" i="3"/>
  <c r="BT1181" i="3"/>
  <c r="BS1181" i="3"/>
  <c r="BR1181" i="3"/>
  <c r="BQ1181" i="3"/>
  <c r="BP1181" i="3"/>
  <c r="BO1181" i="3"/>
  <c r="BN1181" i="3"/>
  <c r="DU1180" i="3"/>
  <c r="DT1180" i="3"/>
  <c r="DS1180" i="3"/>
  <c r="DR1180" i="3"/>
  <c r="DQ1180" i="3"/>
  <c r="DP1180" i="3"/>
  <c r="DO1180" i="3"/>
  <c r="DN1180" i="3"/>
  <c r="DM1180" i="3"/>
  <c r="DL1180" i="3"/>
  <c r="DK1180" i="3"/>
  <c r="DJ1180" i="3"/>
  <c r="DI1180" i="3"/>
  <c r="DH1180" i="3"/>
  <c r="DG1180" i="3"/>
  <c r="DF1180" i="3"/>
  <c r="DE1180" i="3"/>
  <c r="DD1180" i="3"/>
  <c r="DC1180" i="3"/>
  <c r="DB1180" i="3"/>
  <c r="DA1180" i="3"/>
  <c r="CZ1180" i="3"/>
  <c r="CY1180" i="3"/>
  <c r="CX1180" i="3"/>
  <c r="CW1180" i="3"/>
  <c r="CV1180" i="3"/>
  <c r="CU1180" i="3"/>
  <c r="CT1180" i="3"/>
  <c r="CS1180" i="3"/>
  <c r="CR1180" i="3"/>
  <c r="CQ1180" i="3"/>
  <c r="CP1180" i="3"/>
  <c r="CO1180" i="3"/>
  <c r="CN1180" i="3"/>
  <c r="CM1180" i="3"/>
  <c r="CL1180" i="3"/>
  <c r="CK1180" i="3"/>
  <c r="CJ1180" i="3"/>
  <c r="CI1180" i="3"/>
  <c r="CH1180" i="3"/>
  <c r="CG1180" i="3"/>
  <c r="CF1180" i="3"/>
  <c r="CE1180" i="3"/>
  <c r="CD1180" i="3"/>
  <c r="CC1180" i="3"/>
  <c r="CB1180" i="3"/>
  <c r="CA1180" i="3"/>
  <c r="BZ1180" i="3"/>
  <c r="BY1180" i="3"/>
  <c r="BX1180" i="3"/>
  <c r="BW1180" i="3"/>
  <c r="BV1180" i="3"/>
  <c r="BU1180" i="3"/>
  <c r="BT1180" i="3"/>
  <c r="BS1180" i="3"/>
  <c r="BR1180" i="3"/>
  <c r="BQ1180" i="3"/>
  <c r="BP1180" i="3"/>
  <c r="BO1180" i="3"/>
  <c r="BN1180" i="3"/>
  <c r="DU1179" i="3"/>
  <c r="DT1179" i="3"/>
  <c r="DS1179" i="3"/>
  <c r="DR1179" i="3"/>
  <c r="DQ1179" i="3"/>
  <c r="DP1179" i="3"/>
  <c r="DO1179" i="3"/>
  <c r="DN1179" i="3"/>
  <c r="DM1179" i="3"/>
  <c r="DL1179" i="3"/>
  <c r="DK1179" i="3"/>
  <c r="DJ1179" i="3"/>
  <c r="DI1179" i="3"/>
  <c r="DH1179" i="3"/>
  <c r="DG1179" i="3"/>
  <c r="DF1179" i="3"/>
  <c r="DE1179" i="3"/>
  <c r="DD1179" i="3"/>
  <c r="DC1179" i="3"/>
  <c r="DB1179" i="3"/>
  <c r="DA1179" i="3"/>
  <c r="CZ1179" i="3"/>
  <c r="CY1179" i="3"/>
  <c r="CX1179" i="3"/>
  <c r="CW1179" i="3"/>
  <c r="CV1179" i="3"/>
  <c r="CU1179" i="3"/>
  <c r="CT1179" i="3"/>
  <c r="CS1179" i="3"/>
  <c r="CR1179" i="3"/>
  <c r="CQ1179" i="3"/>
  <c r="CP1179" i="3"/>
  <c r="CO1179" i="3"/>
  <c r="CN1179" i="3"/>
  <c r="CM1179" i="3"/>
  <c r="CL1179" i="3"/>
  <c r="CK1179" i="3"/>
  <c r="CJ1179" i="3"/>
  <c r="CI1179" i="3"/>
  <c r="CH1179" i="3"/>
  <c r="CG1179" i="3"/>
  <c r="CF1179" i="3"/>
  <c r="CE1179" i="3"/>
  <c r="CD1179" i="3"/>
  <c r="CC1179" i="3"/>
  <c r="CB1179" i="3"/>
  <c r="CA1179" i="3"/>
  <c r="BZ1179" i="3"/>
  <c r="BY1179" i="3"/>
  <c r="BX1179" i="3"/>
  <c r="BW1179" i="3"/>
  <c r="BV1179" i="3"/>
  <c r="BU1179" i="3"/>
  <c r="BT1179" i="3"/>
  <c r="BS1179" i="3"/>
  <c r="BR1179" i="3"/>
  <c r="BQ1179" i="3"/>
  <c r="BP1179" i="3"/>
  <c r="BO1179" i="3"/>
  <c r="BN1179" i="3"/>
  <c r="DU1178" i="3"/>
  <c r="DT1178" i="3"/>
  <c r="DS1178" i="3"/>
  <c r="DR1178" i="3"/>
  <c r="DQ1178" i="3"/>
  <c r="DP1178" i="3"/>
  <c r="DO1178" i="3"/>
  <c r="DN1178" i="3"/>
  <c r="DM1178" i="3"/>
  <c r="DL1178" i="3"/>
  <c r="DK1178" i="3"/>
  <c r="DJ1178" i="3"/>
  <c r="DI1178" i="3"/>
  <c r="DH1178" i="3"/>
  <c r="DG1178" i="3"/>
  <c r="DF1178" i="3"/>
  <c r="DE1178" i="3"/>
  <c r="DD1178" i="3"/>
  <c r="DC1178" i="3"/>
  <c r="DB1178" i="3"/>
  <c r="DA1178" i="3"/>
  <c r="CZ1178" i="3"/>
  <c r="CY1178" i="3"/>
  <c r="CX1178" i="3"/>
  <c r="CW1178" i="3"/>
  <c r="CV1178" i="3"/>
  <c r="CU1178" i="3"/>
  <c r="CT1178" i="3"/>
  <c r="CS1178" i="3"/>
  <c r="CR1178" i="3"/>
  <c r="CQ1178" i="3"/>
  <c r="CP1178" i="3"/>
  <c r="CO1178" i="3"/>
  <c r="CN1178" i="3"/>
  <c r="CM1178" i="3"/>
  <c r="CL1178" i="3"/>
  <c r="CK1178" i="3"/>
  <c r="CJ1178" i="3"/>
  <c r="CI1178" i="3"/>
  <c r="CH1178" i="3"/>
  <c r="CG1178" i="3"/>
  <c r="CF1178" i="3"/>
  <c r="CE1178" i="3"/>
  <c r="CD1178" i="3"/>
  <c r="CC1178" i="3"/>
  <c r="CB1178" i="3"/>
  <c r="CA1178" i="3"/>
  <c r="BZ1178" i="3"/>
  <c r="BY1178" i="3"/>
  <c r="BX1178" i="3"/>
  <c r="BW1178" i="3"/>
  <c r="BV1178" i="3"/>
  <c r="BU1178" i="3"/>
  <c r="BT1178" i="3"/>
  <c r="BS1178" i="3"/>
  <c r="BR1178" i="3"/>
  <c r="BQ1178" i="3"/>
  <c r="BP1178" i="3"/>
  <c r="BO1178" i="3"/>
  <c r="BN1178" i="3"/>
  <c r="DU1177" i="3"/>
  <c r="DT1177" i="3"/>
  <c r="DS1177" i="3"/>
  <c r="DR1177" i="3"/>
  <c r="DQ1177" i="3"/>
  <c r="DP1177" i="3"/>
  <c r="DO1177" i="3"/>
  <c r="DN1177" i="3"/>
  <c r="DM1177" i="3"/>
  <c r="DL1177" i="3"/>
  <c r="DK1177" i="3"/>
  <c r="DJ1177" i="3"/>
  <c r="DI1177" i="3"/>
  <c r="DH1177" i="3"/>
  <c r="DG1177" i="3"/>
  <c r="DF1177" i="3"/>
  <c r="DE1177" i="3"/>
  <c r="DD1177" i="3"/>
  <c r="DC1177" i="3"/>
  <c r="DB1177" i="3"/>
  <c r="DA1177" i="3"/>
  <c r="CZ1177" i="3"/>
  <c r="CY1177" i="3"/>
  <c r="CX1177" i="3"/>
  <c r="CW1177" i="3"/>
  <c r="CV1177" i="3"/>
  <c r="CU1177" i="3"/>
  <c r="CT1177" i="3"/>
  <c r="CS1177" i="3"/>
  <c r="CR1177" i="3"/>
  <c r="CQ1177" i="3"/>
  <c r="CP1177" i="3"/>
  <c r="CO1177" i="3"/>
  <c r="CN1177" i="3"/>
  <c r="CM1177" i="3"/>
  <c r="CL1177" i="3"/>
  <c r="CK1177" i="3"/>
  <c r="CJ1177" i="3"/>
  <c r="CI1177" i="3"/>
  <c r="CH1177" i="3"/>
  <c r="CG1177" i="3"/>
  <c r="CF1177" i="3"/>
  <c r="CE1177" i="3"/>
  <c r="CD1177" i="3"/>
  <c r="CC1177" i="3"/>
  <c r="CB1177" i="3"/>
  <c r="CA1177" i="3"/>
  <c r="BZ1177" i="3"/>
  <c r="BY1177" i="3"/>
  <c r="BX1177" i="3"/>
  <c r="BW1177" i="3"/>
  <c r="BV1177" i="3"/>
  <c r="BU1177" i="3"/>
  <c r="BT1177" i="3"/>
  <c r="BS1177" i="3"/>
  <c r="BR1177" i="3"/>
  <c r="BQ1177" i="3"/>
  <c r="BP1177" i="3"/>
  <c r="BO1177" i="3"/>
  <c r="BN1177" i="3"/>
  <c r="DU1176" i="3"/>
  <c r="DT1176" i="3"/>
  <c r="DS1176" i="3"/>
  <c r="DR1176" i="3"/>
  <c r="DQ1176" i="3"/>
  <c r="DP1176" i="3"/>
  <c r="DO1176" i="3"/>
  <c r="DN1176" i="3"/>
  <c r="DM1176" i="3"/>
  <c r="DL1176" i="3"/>
  <c r="DK1176" i="3"/>
  <c r="DJ1176" i="3"/>
  <c r="DI1176" i="3"/>
  <c r="DH1176" i="3"/>
  <c r="DG1176" i="3"/>
  <c r="DF1176" i="3"/>
  <c r="DE1176" i="3"/>
  <c r="DD1176" i="3"/>
  <c r="DC1176" i="3"/>
  <c r="DB1176" i="3"/>
  <c r="DA1176" i="3"/>
  <c r="CZ1176" i="3"/>
  <c r="CY1176" i="3"/>
  <c r="CX1176" i="3"/>
  <c r="CW1176" i="3"/>
  <c r="CV1176" i="3"/>
  <c r="CU1176" i="3"/>
  <c r="CT1176" i="3"/>
  <c r="CS1176" i="3"/>
  <c r="CR1176" i="3"/>
  <c r="CQ1176" i="3"/>
  <c r="CP1176" i="3"/>
  <c r="CO1176" i="3"/>
  <c r="CN1176" i="3"/>
  <c r="CM1176" i="3"/>
  <c r="CL1176" i="3"/>
  <c r="CK1176" i="3"/>
  <c r="CJ1176" i="3"/>
  <c r="CI1176" i="3"/>
  <c r="CH1176" i="3"/>
  <c r="CG1176" i="3"/>
  <c r="CF1176" i="3"/>
  <c r="CE1176" i="3"/>
  <c r="CD1176" i="3"/>
  <c r="CC1176" i="3"/>
  <c r="CB1176" i="3"/>
  <c r="CA1176" i="3"/>
  <c r="BZ1176" i="3"/>
  <c r="BY1176" i="3"/>
  <c r="BX1176" i="3"/>
  <c r="BW1176" i="3"/>
  <c r="BV1176" i="3"/>
  <c r="BU1176" i="3"/>
  <c r="BT1176" i="3"/>
  <c r="BS1176" i="3"/>
  <c r="BR1176" i="3"/>
  <c r="BQ1176" i="3"/>
  <c r="BP1176" i="3"/>
  <c r="BO1176" i="3"/>
  <c r="BN1176" i="3"/>
  <c r="DU1175" i="3"/>
  <c r="DT1175" i="3"/>
  <c r="DS1175" i="3"/>
  <c r="DR1175" i="3"/>
  <c r="DQ1175" i="3"/>
  <c r="DP1175" i="3"/>
  <c r="DO1175" i="3"/>
  <c r="DN1175" i="3"/>
  <c r="DM1175" i="3"/>
  <c r="DL1175" i="3"/>
  <c r="DK1175" i="3"/>
  <c r="DJ1175" i="3"/>
  <c r="DI1175" i="3"/>
  <c r="DH1175" i="3"/>
  <c r="DG1175" i="3"/>
  <c r="DF1175" i="3"/>
  <c r="DE1175" i="3"/>
  <c r="DD1175" i="3"/>
  <c r="DC1175" i="3"/>
  <c r="DB1175" i="3"/>
  <c r="DA1175" i="3"/>
  <c r="CZ1175" i="3"/>
  <c r="CY1175" i="3"/>
  <c r="CX1175" i="3"/>
  <c r="CW1175" i="3"/>
  <c r="CV1175" i="3"/>
  <c r="CU1175" i="3"/>
  <c r="CT1175" i="3"/>
  <c r="CS1175" i="3"/>
  <c r="CR1175" i="3"/>
  <c r="CQ1175" i="3"/>
  <c r="CP1175" i="3"/>
  <c r="CO1175" i="3"/>
  <c r="CN1175" i="3"/>
  <c r="CM1175" i="3"/>
  <c r="CL1175" i="3"/>
  <c r="CK1175" i="3"/>
  <c r="CJ1175" i="3"/>
  <c r="CI1175" i="3"/>
  <c r="CH1175" i="3"/>
  <c r="CG1175" i="3"/>
  <c r="CF1175" i="3"/>
  <c r="CE1175" i="3"/>
  <c r="CD1175" i="3"/>
  <c r="CC1175" i="3"/>
  <c r="CB1175" i="3"/>
  <c r="CA1175" i="3"/>
  <c r="BZ1175" i="3"/>
  <c r="BY1175" i="3"/>
  <c r="BX1175" i="3"/>
  <c r="BW1175" i="3"/>
  <c r="BV1175" i="3"/>
  <c r="BU1175" i="3"/>
  <c r="BT1175" i="3"/>
  <c r="BS1175" i="3"/>
  <c r="BR1175" i="3"/>
  <c r="BQ1175" i="3"/>
  <c r="BP1175" i="3"/>
  <c r="BO1175" i="3"/>
  <c r="BN1175" i="3"/>
  <c r="DU1174" i="3"/>
  <c r="DT1174" i="3"/>
  <c r="DS1174" i="3"/>
  <c r="DR1174" i="3"/>
  <c r="DQ1174" i="3"/>
  <c r="DP1174" i="3"/>
  <c r="DO1174" i="3"/>
  <c r="DN1174" i="3"/>
  <c r="DM1174" i="3"/>
  <c r="DL1174" i="3"/>
  <c r="DK1174" i="3"/>
  <c r="DJ1174" i="3"/>
  <c r="DI1174" i="3"/>
  <c r="DH1174" i="3"/>
  <c r="DG1174" i="3"/>
  <c r="DF1174" i="3"/>
  <c r="DE1174" i="3"/>
  <c r="DD1174" i="3"/>
  <c r="DC1174" i="3"/>
  <c r="DB1174" i="3"/>
  <c r="DA1174" i="3"/>
  <c r="CZ1174" i="3"/>
  <c r="CY1174" i="3"/>
  <c r="CX1174" i="3"/>
  <c r="CW1174" i="3"/>
  <c r="CV1174" i="3"/>
  <c r="CU1174" i="3"/>
  <c r="CT1174" i="3"/>
  <c r="CS1174" i="3"/>
  <c r="CR1174" i="3"/>
  <c r="CQ1174" i="3"/>
  <c r="CP1174" i="3"/>
  <c r="CO1174" i="3"/>
  <c r="CN1174" i="3"/>
  <c r="CM1174" i="3"/>
  <c r="CL1174" i="3"/>
  <c r="CK1174" i="3"/>
  <c r="CJ1174" i="3"/>
  <c r="CI1174" i="3"/>
  <c r="CH1174" i="3"/>
  <c r="CG1174" i="3"/>
  <c r="CF1174" i="3"/>
  <c r="CE1174" i="3"/>
  <c r="CD1174" i="3"/>
  <c r="CC1174" i="3"/>
  <c r="CB1174" i="3"/>
  <c r="CA1174" i="3"/>
  <c r="BZ1174" i="3"/>
  <c r="BY1174" i="3"/>
  <c r="BX1174" i="3"/>
  <c r="BW1174" i="3"/>
  <c r="BV1174" i="3"/>
  <c r="BU1174" i="3"/>
  <c r="BT1174" i="3"/>
  <c r="BS1174" i="3"/>
  <c r="BR1174" i="3"/>
  <c r="BQ1174" i="3"/>
  <c r="BP1174" i="3"/>
  <c r="BO1174" i="3"/>
  <c r="BN1174" i="3"/>
  <c r="DU1173" i="3"/>
  <c r="DT1173" i="3"/>
  <c r="DS1173" i="3"/>
  <c r="DR1173" i="3"/>
  <c r="DQ1173" i="3"/>
  <c r="DP1173" i="3"/>
  <c r="DO1173" i="3"/>
  <c r="DN1173" i="3"/>
  <c r="DM1173" i="3"/>
  <c r="DL1173" i="3"/>
  <c r="DK1173" i="3"/>
  <c r="DJ1173" i="3"/>
  <c r="DI1173" i="3"/>
  <c r="DH1173" i="3"/>
  <c r="DG1173" i="3"/>
  <c r="DF1173" i="3"/>
  <c r="DE1173" i="3"/>
  <c r="DD1173" i="3"/>
  <c r="DC1173" i="3"/>
  <c r="DB1173" i="3"/>
  <c r="DA1173" i="3"/>
  <c r="CZ1173" i="3"/>
  <c r="CY1173" i="3"/>
  <c r="CX1173" i="3"/>
  <c r="CW1173" i="3"/>
  <c r="CV1173" i="3"/>
  <c r="CU1173" i="3"/>
  <c r="CT1173" i="3"/>
  <c r="CS1173" i="3"/>
  <c r="CR1173" i="3"/>
  <c r="CQ1173" i="3"/>
  <c r="CP1173" i="3"/>
  <c r="CO1173" i="3"/>
  <c r="CN1173" i="3"/>
  <c r="CM1173" i="3"/>
  <c r="CL1173" i="3"/>
  <c r="CK1173" i="3"/>
  <c r="CJ1173" i="3"/>
  <c r="CI1173" i="3"/>
  <c r="CH1173" i="3"/>
  <c r="CG1173" i="3"/>
  <c r="CF1173" i="3"/>
  <c r="CE1173" i="3"/>
  <c r="CD1173" i="3"/>
  <c r="CC1173" i="3"/>
  <c r="CB1173" i="3"/>
  <c r="CA1173" i="3"/>
  <c r="BZ1173" i="3"/>
  <c r="BY1173" i="3"/>
  <c r="BX1173" i="3"/>
  <c r="BW1173" i="3"/>
  <c r="BV1173" i="3"/>
  <c r="BU1173" i="3"/>
  <c r="BT1173" i="3"/>
  <c r="BS1173" i="3"/>
  <c r="BR1173" i="3"/>
  <c r="BQ1173" i="3"/>
  <c r="BP1173" i="3"/>
  <c r="BO1173" i="3"/>
  <c r="BN1173" i="3"/>
  <c r="DU1172" i="3"/>
  <c r="DT1172" i="3"/>
  <c r="DS1172" i="3"/>
  <c r="DR1172" i="3"/>
  <c r="DQ1172" i="3"/>
  <c r="DP1172" i="3"/>
  <c r="DO1172" i="3"/>
  <c r="DN1172" i="3"/>
  <c r="DM1172" i="3"/>
  <c r="DL1172" i="3"/>
  <c r="DK1172" i="3"/>
  <c r="DJ1172" i="3"/>
  <c r="DI1172" i="3"/>
  <c r="DH1172" i="3"/>
  <c r="DG1172" i="3"/>
  <c r="DF1172" i="3"/>
  <c r="DE1172" i="3"/>
  <c r="DD1172" i="3"/>
  <c r="DC1172" i="3"/>
  <c r="DB1172" i="3"/>
  <c r="DA1172" i="3"/>
  <c r="CZ1172" i="3"/>
  <c r="CY1172" i="3"/>
  <c r="CX1172" i="3"/>
  <c r="CW1172" i="3"/>
  <c r="CV1172" i="3"/>
  <c r="CU1172" i="3"/>
  <c r="CT1172" i="3"/>
  <c r="CS1172" i="3"/>
  <c r="CR1172" i="3"/>
  <c r="CQ1172" i="3"/>
  <c r="CP1172" i="3"/>
  <c r="CO1172" i="3"/>
  <c r="CN1172" i="3"/>
  <c r="CM1172" i="3"/>
  <c r="CL1172" i="3"/>
  <c r="CK1172" i="3"/>
  <c r="CJ1172" i="3"/>
  <c r="CI1172" i="3"/>
  <c r="CH1172" i="3"/>
  <c r="CG1172" i="3"/>
  <c r="CF1172" i="3"/>
  <c r="CE1172" i="3"/>
  <c r="CD1172" i="3"/>
  <c r="CC1172" i="3"/>
  <c r="CB1172" i="3"/>
  <c r="CA1172" i="3"/>
  <c r="BZ1172" i="3"/>
  <c r="BY1172" i="3"/>
  <c r="BX1172" i="3"/>
  <c r="BW1172" i="3"/>
  <c r="BV1172" i="3"/>
  <c r="BU1172" i="3"/>
  <c r="BT1172" i="3"/>
  <c r="BS1172" i="3"/>
  <c r="BR1172" i="3"/>
  <c r="BQ1172" i="3"/>
  <c r="BP1172" i="3"/>
  <c r="BO1172" i="3"/>
  <c r="BN1172" i="3"/>
  <c r="DU1171" i="3"/>
  <c r="DT1171" i="3"/>
  <c r="DS1171" i="3"/>
  <c r="DR1171" i="3"/>
  <c r="DQ1171" i="3"/>
  <c r="DP1171" i="3"/>
  <c r="DO1171" i="3"/>
  <c r="DN1171" i="3"/>
  <c r="DM1171" i="3"/>
  <c r="DL1171" i="3"/>
  <c r="DK1171" i="3"/>
  <c r="DJ1171" i="3"/>
  <c r="DI1171" i="3"/>
  <c r="DH1171" i="3"/>
  <c r="DG1171" i="3"/>
  <c r="DF1171" i="3"/>
  <c r="DE1171" i="3"/>
  <c r="DD1171" i="3"/>
  <c r="DC1171" i="3"/>
  <c r="DB1171" i="3"/>
  <c r="DA1171" i="3"/>
  <c r="CZ1171" i="3"/>
  <c r="CY1171" i="3"/>
  <c r="CX1171" i="3"/>
  <c r="CW1171" i="3"/>
  <c r="CV1171" i="3"/>
  <c r="CU1171" i="3"/>
  <c r="CT1171" i="3"/>
  <c r="CS1171" i="3"/>
  <c r="CR1171" i="3"/>
  <c r="CQ1171" i="3"/>
  <c r="CP1171" i="3"/>
  <c r="CO1171" i="3"/>
  <c r="CN1171" i="3"/>
  <c r="CM1171" i="3"/>
  <c r="CL1171" i="3"/>
  <c r="CK1171" i="3"/>
  <c r="CJ1171" i="3"/>
  <c r="CI1171" i="3"/>
  <c r="CH1171" i="3"/>
  <c r="CG1171" i="3"/>
  <c r="CF1171" i="3"/>
  <c r="CE1171" i="3"/>
  <c r="CD1171" i="3"/>
  <c r="CC1171" i="3"/>
  <c r="CB1171" i="3"/>
  <c r="CA1171" i="3"/>
  <c r="BZ1171" i="3"/>
  <c r="BY1171" i="3"/>
  <c r="BX1171" i="3"/>
  <c r="BW1171" i="3"/>
  <c r="BV1171" i="3"/>
  <c r="BU1171" i="3"/>
  <c r="BT1171" i="3"/>
  <c r="BS1171" i="3"/>
  <c r="BR1171" i="3"/>
  <c r="BQ1171" i="3"/>
  <c r="BP1171" i="3"/>
  <c r="BO1171" i="3"/>
  <c r="BN1171" i="3"/>
  <c r="DU1170" i="3"/>
  <c r="DT1170" i="3"/>
  <c r="DS1170" i="3"/>
  <c r="DR1170" i="3"/>
  <c r="DQ1170" i="3"/>
  <c r="DP1170" i="3"/>
  <c r="DO1170" i="3"/>
  <c r="DN1170" i="3"/>
  <c r="DM1170" i="3"/>
  <c r="DL1170" i="3"/>
  <c r="DK1170" i="3"/>
  <c r="DJ1170" i="3"/>
  <c r="DI1170" i="3"/>
  <c r="DH1170" i="3"/>
  <c r="DG1170" i="3"/>
  <c r="DF1170" i="3"/>
  <c r="DE1170" i="3"/>
  <c r="DD1170" i="3"/>
  <c r="DC1170" i="3"/>
  <c r="DB1170" i="3"/>
  <c r="DA1170" i="3"/>
  <c r="CZ1170" i="3"/>
  <c r="CY1170" i="3"/>
  <c r="CX1170" i="3"/>
  <c r="CW1170" i="3"/>
  <c r="CV1170" i="3"/>
  <c r="CU1170" i="3"/>
  <c r="CT1170" i="3"/>
  <c r="CS1170" i="3"/>
  <c r="CR1170" i="3"/>
  <c r="CQ1170" i="3"/>
  <c r="CP1170" i="3"/>
  <c r="CO1170" i="3"/>
  <c r="CN1170" i="3"/>
  <c r="CM1170" i="3"/>
  <c r="CL1170" i="3"/>
  <c r="CK1170" i="3"/>
  <c r="CJ1170" i="3"/>
  <c r="CI1170" i="3"/>
  <c r="CH1170" i="3"/>
  <c r="CG1170" i="3"/>
  <c r="CF1170" i="3"/>
  <c r="CE1170" i="3"/>
  <c r="CD1170" i="3"/>
  <c r="CC1170" i="3"/>
  <c r="CB1170" i="3"/>
  <c r="CA1170" i="3"/>
  <c r="BZ1170" i="3"/>
  <c r="BY1170" i="3"/>
  <c r="BX1170" i="3"/>
  <c r="BW1170" i="3"/>
  <c r="BV1170" i="3"/>
  <c r="BU1170" i="3"/>
  <c r="BT1170" i="3"/>
  <c r="BS1170" i="3"/>
  <c r="BR1170" i="3"/>
  <c r="BQ1170" i="3"/>
  <c r="BP1170" i="3"/>
  <c r="BO1170" i="3"/>
  <c r="BN1170" i="3"/>
  <c r="DU1169" i="3"/>
  <c r="DT1169" i="3"/>
  <c r="DS1169" i="3"/>
  <c r="DR1169" i="3"/>
  <c r="DQ1169" i="3"/>
  <c r="DP1169" i="3"/>
  <c r="DO1169" i="3"/>
  <c r="DN1169" i="3"/>
  <c r="DM1169" i="3"/>
  <c r="DL1169" i="3"/>
  <c r="DK1169" i="3"/>
  <c r="DJ1169" i="3"/>
  <c r="DI1169" i="3"/>
  <c r="DH1169" i="3"/>
  <c r="DG1169" i="3"/>
  <c r="DF1169" i="3"/>
  <c r="DE1169" i="3"/>
  <c r="DD1169" i="3"/>
  <c r="DC1169" i="3"/>
  <c r="DB1169" i="3"/>
  <c r="DA1169" i="3"/>
  <c r="CZ1169" i="3"/>
  <c r="CY1169" i="3"/>
  <c r="CX1169" i="3"/>
  <c r="CW1169" i="3"/>
  <c r="CV1169" i="3"/>
  <c r="CU1169" i="3"/>
  <c r="CT1169" i="3"/>
  <c r="CS1169" i="3"/>
  <c r="CR1169" i="3"/>
  <c r="CQ1169" i="3"/>
  <c r="CP1169" i="3"/>
  <c r="CO1169" i="3"/>
  <c r="CN1169" i="3"/>
  <c r="CM1169" i="3"/>
  <c r="CL1169" i="3"/>
  <c r="CK1169" i="3"/>
  <c r="CJ1169" i="3"/>
  <c r="CI1169" i="3"/>
  <c r="CH1169" i="3"/>
  <c r="CG1169" i="3"/>
  <c r="CF1169" i="3"/>
  <c r="CE1169" i="3"/>
  <c r="CD1169" i="3"/>
  <c r="CC1169" i="3"/>
  <c r="CB1169" i="3"/>
  <c r="CA1169" i="3"/>
  <c r="BZ1169" i="3"/>
  <c r="BY1169" i="3"/>
  <c r="BX1169" i="3"/>
  <c r="BW1169" i="3"/>
  <c r="BV1169" i="3"/>
  <c r="BU1169" i="3"/>
  <c r="BT1169" i="3"/>
  <c r="BS1169" i="3"/>
  <c r="BR1169" i="3"/>
  <c r="BQ1169" i="3"/>
  <c r="BP1169" i="3"/>
  <c r="BO1169" i="3"/>
  <c r="BN1169" i="3"/>
  <c r="DU1168" i="3"/>
  <c r="DT1168" i="3"/>
  <c r="DS1168" i="3"/>
  <c r="DR1168" i="3"/>
  <c r="DQ1168" i="3"/>
  <c r="DP1168" i="3"/>
  <c r="DO1168" i="3"/>
  <c r="DN1168" i="3"/>
  <c r="DM1168" i="3"/>
  <c r="DL1168" i="3"/>
  <c r="DK1168" i="3"/>
  <c r="DJ1168" i="3"/>
  <c r="DI1168" i="3"/>
  <c r="DH1168" i="3"/>
  <c r="DG1168" i="3"/>
  <c r="DF1168" i="3"/>
  <c r="DE1168" i="3"/>
  <c r="DD1168" i="3"/>
  <c r="DC1168" i="3"/>
  <c r="DB1168" i="3"/>
  <c r="DA1168" i="3"/>
  <c r="CZ1168" i="3"/>
  <c r="CY1168" i="3"/>
  <c r="CX1168" i="3"/>
  <c r="CW1168" i="3"/>
  <c r="CV1168" i="3"/>
  <c r="CU1168" i="3"/>
  <c r="CT1168" i="3"/>
  <c r="CS1168" i="3"/>
  <c r="CR1168" i="3"/>
  <c r="CQ1168" i="3"/>
  <c r="CP1168" i="3"/>
  <c r="CO1168" i="3"/>
  <c r="CN1168" i="3"/>
  <c r="CM1168" i="3"/>
  <c r="CL1168" i="3"/>
  <c r="CK1168" i="3"/>
  <c r="CJ1168" i="3"/>
  <c r="CI1168" i="3"/>
  <c r="CH1168" i="3"/>
  <c r="CG1168" i="3"/>
  <c r="CF1168" i="3"/>
  <c r="CE1168" i="3"/>
  <c r="CD1168" i="3"/>
  <c r="CC1168" i="3"/>
  <c r="CB1168" i="3"/>
  <c r="CA1168" i="3"/>
  <c r="BZ1168" i="3"/>
  <c r="BY1168" i="3"/>
  <c r="BX1168" i="3"/>
  <c r="BW1168" i="3"/>
  <c r="BV1168" i="3"/>
  <c r="BU1168" i="3"/>
  <c r="BT1168" i="3"/>
  <c r="BS1168" i="3"/>
  <c r="BR1168" i="3"/>
  <c r="BQ1168" i="3"/>
  <c r="BP1168" i="3"/>
  <c r="BO1168" i="3"/>
  <c r="BN1168" i="3"/>
  <c r="DU1167" i="3"/>
  <c r="DT1167" i="3"/>
  <c r="DS1167" i="3"/>
  <c r="DR1167" i="3"/>
  <c r="DQ1167" i="3"/>
  <c r="DP1167" i="3"/>
  <c r="DO1167" i="3"/>
  <c r="DN1167" i="3"/>
  <c r="DM1167" i="3"/>
  <c r="DL1167" i="3"/>
  <c r="DK1167" i="3"/>
  <c r="DJ1167" i="3"/>
  <c r="DI1167" i="3"/>
  <c r="DH1167" i="3"/>
  <c r="DG1167" i="3"/>
  <c r="DF1167" i="3"/>
  <c r="DE1167" i="3"/>
  <c r="DD1167" i="3"/>
  <c r="DC1167" i="3"/>
  <c r="DB1167" i="3"/>
  <c r="DA1167" i="3"/>
  <c r="CZ1167" i="3"/>
  <c r="CY1167" i="3"/>
  <c r="CX1167" i="3"/>
  <c r="CW1167" i="3"/>
  <c r="CV1167" i="3"/>
  <c r="CU1167" i="3"/>
  <c r="CT1167" i="3"/>
  <c r="CS1167" i="3"/>
  <c r="CR1167" i="3"/>
  <c r="CQ1167" i="3"/>
  <c r="CP1167" i="3"/>
  <c r="CO1167" i="3"/>
  <c r="CN1167" i="3"/>
  <c r="CM1167" i="3"/>
  <c r="CL1167" i="3"/>
  <c r="CK1167" i="3"/>
  <c r="CJ1167" i="3"/>
  <c r="CI1167" i="3"/>
  <c r="CH1167" i="3"/>
  <c r="CG1167" i="3"/>
  <c r="CF1167" i="3"/>
  <c r="CE1167" i="3"/>
  <c r="CD1167" i="3"/>
  <c r="CC1167" i="3"/>
  <c r="CB1167" i="3"/>
  <c r="CA1167" i="3"/>
  <c r="BZ1167" i="3"/>
  <c r="BY1167" i="3"/>
  <c r="BX1167" i="3"/>
  <c r="BW1167" i="3"/>
  <c r="BV1167" i="3"/>
  <c r="BU1167" i="3"/>
  <c r="BT1167" i="3"/>
  <c r="BS1167" i="3"/>
  <c r="BR1167" i="3"/>
  <c r="BQ1167" i="3"/>
  <c r="BP1167" i="3"/>
  <c r="BO1167" i="3"/>
  <c r="BN1167" i="3"/>
  <c r="DU1166" i="3"/>
  <c r="DT1166" i="3"/>
  <c r="DS1166" i="3"/>
  <c r="DR1166" i="3"/>
  <c r="DQ1166" i="3"/>
  <c r="DP1166" i="3"/>
  <c r="DO1166" i="3"/>
  <c r="DN1166" i="3"/>
  <c r="DM1166" i="3"/>
  <c r="DL1166" i="3"/>
  <c r="DK1166" i="3"/>
  <c r="DJ1166" i="3"/>
  <c r="DI1166" i="3"/>
  <c r="DH1166" i="3"/>
  <c r="DG1166" i="3"/>
  <c r="DF1166" i="3"/>
  <c r="DE1166" i="3"/>
  <c r="DD1166" i="3"/>
  <c r="DC1166" i="3"/>
  <c r="DB1166" i="3"/>
  <c r="DA1166" i="3"/>
  <c r="CZ1166" i="3"/>
  <c r="CY1166" i="3"/>
  <c r="CX1166" i="3"/>
  <c r="CW1166" i="3"/>
  <c r="CV1166" i="3"/>
  <c r="CU1166" i="3"/>
  <c r="CT1166" i="3"/>
  <c r="CS1166" i="3"/>
  <c r="CR1166" i="3"/>
  <c r="CQ1166" i="3"/>
  <c r="CP1166" i="3"/>
  <c r="CO1166" i="3"/>
  <c r="CN1166" i="3"/>
  <c r="CM1166" i="3"/>
  <c r="CL1166" i="3"/>
  <c r="CK1166" i="3"/>
  <c r="CJ1166" i="3"/>
  <c r="CI1166" i="3"/>
  <c r="CH1166" i="3"/>
  <c r="CG1166" i="3"/>
  <c r="CF1166" i="3"/>
  <c r="CE1166" i="3"/>
  <c r="CD1166" i="3"/>
  <c r="CC1166" i="3"/>
  <c r="CB1166" i="3"/>
  <c r="CA1166" i="3"/>
  <c r="BZ1166" i="3"/>
  <c r="BY1166" i="3"/>
  <c r="BX1166" i="3"/>
  <c r="BW1166" i="3"/>
  <c r="BV1166" i="3"/>
  <c r="BU1166" i="3"/>
  <c r="BT1166" i="3"/>
  <c r="BS1166" i="3"/>
  <c r="BR1166" i="3"/>
  <c r="BQ1166" i="3"/>
  <c r="BP1166" i="3"/>
  <c r="BO1166" i="3"/>
  <c r="BN1166" i="3"/>
  <c r="DU1165" i="3"/>
  <c r="DT1165" i="3"/>
  <c r="DS1165" i="3"/>
  <c r="DR1165" i="3"/>
  <c r="DQ1165" i="3"/>
  <c r="DP1165" i="3"/>
  <c r="DO1165" i="3"/>
  <c r="DN1165" i="3"/>
  <c r="DM1165" i="3"/>
  <c r="DL1165" i="3"/>
  <c r="DK1165" i="3"/>
  <c r="DJ1165" i="3"/>
  <c r="DI1165" i="3"/>
  <c r="DH1165" i="3"/>
  <c r="DG1165" i="3"/>
  <c r="DF1165" i="3"/>
  <c r="DE1165" i="3"/>
  <c r="DD1165" i="3"/>
  <c r="DC1165" i="3"/>
  <c r="DB1165" i="3"/>
  <c r="DA1165" i="3"/>
  <c r="CZ1165" i="3"/>
  <c r="CY1165" i="3"/>
  <c r="CX1165" i="3"/>
  <c r="CW1165" i="3"/>
  <c r="CV1165" i="3"/>
  <c r="CU1165" i="3"/>
  <c r="CT1165" i="3"/>
  <c r="CS1165" i="3"/>
  <c r="CR1165" i="3"/>
  <c r="CQ1165" i="3"/>
  <c r="CP1165" i="3"/>
  <c r="CO1165" i="3"/>
  <c r="CN1165" i="3"/>
  <c r="CM1165" i="3"/>
  <c r="CL1165" i="3"/>
  <c r="CK1165" i="3"/>
  <c r="CJ1165" i="3"/>
  <c r="CI1165" i="3"/>
  <c r="CH1165" i="3"/>
  <c r="CG1165" i="3"/>
  <c r="CF1165" i="3"/>
  <c r="CE1165" i="3"/>
  <c r="CD1165" i="3"/>
  <c r="CC1165" i="3"/>
  <c r="CB1165" i="3"/>
  <c r="CA1165" i="3"/>
  <c r="BZ1165" i="3"/>
  <c r="BY1165" i="3"/>
  <c r="BX1165" i="3"/>
  <c r="BW1165" i="3"/>
  <c r="BV1165" i="3"/>
  <c r="BU1165" i="3"/>
  <c r="BT1165" i="3"/>
  <c r="BS1165" i="3"/>
  <c r="BR1165" i="3"/>
  <c r="BQ1165" i="3"/>
  <c r="BP1165" i="3"/>
  <c r="BO1165" i="3"/>
  <c r="BN1165" i="3"/>
  <c r="DU1164" i="3"/>
  <c r="DT1164" i="3"/>
  <c r="DS1164" i="3"/>
  <c r="DR1164" i="3"/>
  <c r="DQ1164" i="3"/>
  <c r="DP1164" i="3"/>
  <c r="DO1164" i="3"/>
  <c r="DN1164" i="3"/>
  <c r="DM1164" i="3"/>
  <c r="DL1164" i="3"/>
  <c r="DK1164" i="3"/>
  <c r="DJ1164" i="3"/>
  <c r="DI1164" i="3"/>
  <c r="DH1164" i="3"/>
  <c r="DG1164" i="3"/>
  <c r="DF1164" i="3"/>
  <c r="DE1164" i="3"/>
  <c r="DD1164" i="3"/>
  <c r="DC1164" i="3"/>
  <c r="DB1164" i="3"/>
  <c r="DA1164" i="3"/>
  <c r="CZ1164" i="3"/>
  <c r="CY1164" i="3"/>
  <c r="CX1164" i="3"/>
  <c r="CW1164" i="3"/>
  <c r="CV1164" i="3"/>
  <c r="CU1164" i="3"/>
  <c r="CT1164" i="3"/>
  <c r="CS1164" i="3"/>
  <c r="CR1164" i="3"/>
  <c r="CQ1164" i="3"/>
  <c r="CP1164" i="3"/>
  <c r="CO1164" i="3"/>
  <c r="CN1164" i="3"/>
  <c r="CM1164" i="3"/>
  <c r="CL1164" i="3"/>
  <c r="CK1164" i="3"/>
  <c r="CJ1164" i="3"/>
  <c r="CI1164" i="3"/>
  <c r="CH1164" i="3"/>
  <c r="CG1164" i="3"/>
  <c r="CF1164" i="3"/>
  <c r="CE1164" i="3"/>
  <c r="CD1164" i="3"/>
  <c r="CC1164" i="3"/>
  <c r="CB1164" i="3"/>
  <c r="CA1164" i="3"/>
  <c r="BZ1164" i="3"/>
  <c r="BY1164" i="3"/>
  <c r="BX1164" i="3"/>
  <c r="BW1164" i="3"/>
  <c r="BV1164" i="3"/>
  <c r="BU1164" i="3"/>
  <c r="BT1164" i="3"/>
  <c r="BS1164" i="3"/>
  <c r="BR1164" i="3"/>
  <c r="BQ1164" i="3"/>
  <c r="BP1164" i="3"/>
  <c r="BO1164" i="3"/>
  <c r="BN1164" i="3"/>
  <c r="DU1163" i="3"/>
  <c r="DT1163" i="3"/>
  <c r="DS1163" i="3"/>
  <c r="DR1163" i="3"/>
  <c r="DQ1163" i="3"/>
  <c r="DP1163" i="3"/>
  <c r="DO1163" i="3"/>
  <c r="DN1163" i="3"/>
  <c r="DM1163" i="3"/>
  <c r="DL1163" i="3"/>
  <c r="DK1163" i="3"/>
  <c r="DJ1163" i="3"/>
  <c r="DI1163" i="3"/>
  <c r="DH1163" i="3"/>
  <c r="DG1163" i="3"/>
  <c r="DF1163" i="3"/>
  <c r="DE1163" i="3"/>
  <c r="DD1163" i="3"/>
  <c r="DC1163" i="3"/>
  <c r="DB1163" i="3"/>
  <c r="DA1163" i="3"/>
  <c r="CZ1163" i="3"/>
  <c r="CY1163" i="3"/>
  <c r="CX1163" i="3"/>
  <c r="CW1163" i="3"/>
  <c r="CV1163" i="3"/>
  <c r="CU1163" i="3"/>
  <c r="CT1163" i="3"/>
  <c r="CS1163" i="3"/>
  <c r="CR1163" i="3"/>
  <c r="CQ1163" i="3"/>
  <c r="CP1163" i="3"/>
  <c r="CO1163" i="3"/>
  <c r="CN1163" i="3"/>
  <c r="CM1163" i="3"/>
  <c r="CL1163" i="3"/>
  <c r="CK1163" i="3"/>
  <c r="CJ1163" i="3"/>
  <c r="CI1163" i="3"/>
  <c r="CH1163" i="3"/>
  <c r="CG1163" i="3"/>
  <c r="CF1163" i="3"/>
  <c r="CE1163" i="3"/>
  <c r="CD1163" i="3"/>
  <c r="CC1163" i="3"/>
  <c r="CB1163" i="3"/>
  <c r="CA1163" i="3"/>
  <c r="BZ1163" i="3"/>
  <c r="BY1163" i="3"/>
  <c r="BX1163" i="3"/>
  <c r="BW1163" i="3"/>
  <c r="BV1163" i="3"/>
  <c r="BU1163" i="3"/>
  <c r="BT1163" i="3"/>
  <c r="BS1163" i="3"/>
  <c r="BR1163" i="3"/>
  <c r="BQ1163" i="3"/>
  <c r="BP1163" i="3"/>
  <c r="BO1163" i="3"/>
  <c r="BN1163" i="3"/>
  <c r="DU1162" i="3"/>
  <c r="DT1162" i="3"/>
  <c r="DS1162" i="3"/>
  <c r="DR1162" i="3"/>
  <c r="DQ1162" i="3"/>
  <c r="DP1162" i="3"/>
  <c r="DO1162" i="3"/>
  <c r="DN1162" i="3"/>
  <c r="DM1162" i="3"/>
  <c r="DL1162" i="3"/>
  <c r="DK1162" i="3"/>
  <c r="DJ1162" i="3"/>
  <c r="DI1162" i="3"/>
  <c r="DH1162" i="3"/>
  <c r="DG1162" i="3"/>
  <c r="DF1162" i="3"/>
  <c r="DE1162" i="3"/>
  <c r="DD1162" i="3"/>
  <c r="DC1162" i="3"/>
  <c r="DB1162" i="3"/>
  <c r="DA1162" i="3"/>
  <c r="CZ1162" i="3"/>
  <c r="CY1162" i="3"/>
  <c r="CX1162" i="3"/>
  <c r="CW1162" i="3"/>
  <c r="CV1162" i="3"/>
  <c r="CU1162" i="3"/>
  <c r="CT1162" i="3"/>
  <c r="CS1162" i="3"/>
  <c r="CR1162" i="3"/>
  <c r="CQ1162" i="3"/>
  <c r="CP1162" i="3"/>
  <c r="CO1162" i="3"/>
  <c r="CN1162" i="3"/>
  <c r="CM1162" i="3"/>
  <c r="CL1162" i="3"/>
  <c r="CK1162" i="3"/>
  <c r="CJ1162" i="3"/>
  <c r="CI1162" i="3"/>
  <c r="CH1162" i="3"/>
  <c r="CG1162" i="3"/>
  <c r="CF1162" i="3"/>
  <c r="CE1162" i="3"/>
  <c r="CD1162" i="3"/>
  <c r="CC1162" i="3"/>
  <c r="CB1162" i="3"/>
  <c r="CA1162" i="3"/>
  <c r="BZ1162" i="3"/>
  <c r="BY1162" i="3"/>
  <c r="BX1162" i="3"/>
  <c r="BW1162" i="3"/>
  <c r="BV1162" i="3"/>
  <c r="BU1162" i="3"/>
  <c r="BT1162" i="3"/>
  <c r="BS1162" i="3"/>
  <c r="BR1162" i="3"/>
  <c r="BQ1162" i="3"/>
  <c r="BP1162" i="3"/>
  <c r="BO1162" i="3"/>
  <c r="BN1162" i="3"/>
  <c r="DU1161" i="3"/>
  <c r="DT1161" i="3"/>
  <c r="DS1161" i="3"/>
  <c r="DR1161" i="3"/>
  <c r="DQ1161" i="3"/>
  <c r="DP1161" i="3"/>
  <c r="DO1161" i="3"/>
  <c r="DN1161" i="3"/>
  <c r="DM1161" i="3"/>
  <c r="DL1161" i="3"/>
  <c r="DK1161" i="3"/>
  <c r="DJ1161" i="3"/>
  <c r="DI1161" i="3"/>
  <c r="DH1161" i="3"/>
  <c r="DG1161" i="3"/>
  <c r="DF1161" i="3"/>
  <c r="DE1161" i="3"/>
  <c r="DD1161" i="3"/>
  <c r="DC1161" i="3"/>
  <c r="DB1161" i="3"/>
  <c r="DA1161" i="3"/>
  <c r="CZ1161" i="3"/>
  <c r="CY1161" i="3"/>
  <c r="CX1161" i="3"/>
  <c r="CW1161" i="3"/>
  <c r="CV1161" i="3"/>
  <c r="CU1161" i="3"/>
  <c r="CT1161" i="3"/>
  <c r="CS1161" i="3"/>
  <c r="CR1161" i="3"/>
  <c r="CQ1161" i="3"/>
  <c r="CP1161" i="3"/>
  <c r="CO1161" i="3"/>
  <c r="CN1161" i="3"/>
  <c r="CM1161" i="3"/>
  <c r="CL1161" i="3"/>
  <c r="CK1161" i="3"/>
  <c r="CJ1161" i="3"/>
  <c r="CI1161" i="3"/>
  <c r="CH1161" i="3"/>
  <c r="CG1161" i="3"/>
  <c r="CF1161" i="3"/>
  <c r="CE1161" i="3"/>
  <c r="CD1161" i="3"/>
  <c r="CC1161" i="3"/>
  <c r="CB1161" i="3"/>
  <c r="CA1161" i="3"/>
  <c r="BZ1161" i="3"/>
  <c r="BY1161" i="3"/>
  <c r="BX1161" i="3"/>
  <c r="BW1161" i="3"/>
  <c r="BV1161" i="3"/>
  <c r="BU1161" i="3"/>
  <c r="BT1161" i="3"/>
  <c r="BS1161" i="3"/>
  <c r="BR1161" i="3"/>
  <c r="BQ1161" i="3"/>
  <c r="BP1161" i="3"/>
  <c r="BO1161" i="3"/>
  <c r="BN1161" i="3"/>
  <c r="DU1160" i="3"/>
  <c r="DT1160" i="3"/>
  <c r="DS1160" i="3"/>
  <c r="DR1160" i="3"/>
  <c r="DQ1160" i="3"/>
  <c r="DP1160" i="3"/>
  <c r="DO1160" i="3"/>
  <c r="DN1160" i="3"/>
  <c r="DM1160" i="3"/>
  <c r="DL1160" i="3"/>
  <c r="DK1160" i="3"/>
  <c r="DJ1160" i="3"/>
  <c r="DI1160" i="3"/>
  <c r="DH1160" i="3"/>
  <c r="DG1160" i="3"/>
  <c r="DF1160" i="3"/>
  <c r="DE1160" i="3"/>
  <c r="DD1160" i="3"/>
  <c r="DC1160" i="3"/>
  <c r="DB1160" i="3"/>
  <c r="DA1160" i="3"/>
  <c r="CZ1160" i="3"/>
  <c r="CY1160" i="3"/>
  <c r="CX1160" i="3"/>
  <c r="CW1160" i="3"/>
  <c r="CV1160" i="3"/>
  <c r="CU1160" i="3"/>
  <c r="CT1160" i="3"/>
  <c r="CS1160" i="3"/>
  <c r="CR1160" i="3"/>
  <c r="CQ1160" i="3"/>
  <c r="CP1160" i="3"/>
  <c r="CO1160" i="3"/>
  <c r="CN1160" i="3"/>
  <c r="CM1160" i="3"/>
  <c r="CL1160" i="3"/>
  <c r="CK1160" i="3"/>
  <c r="CJ1160" i="3"/>
  <c r="CI1160" i="3"/>
  <c r="CH1160" i="3"/>
  <c r="CG1160" i="3"/>
  <c r="CF1160" i="3"/>
  <c r="CE1160" i="3"/>
  <c r="CD1160" i="3"/>
  <c r="CC1160" i="3"/>
  <c r="CB1160" i="3"/>
  <c r="CA1160" i="3"/>
  <c r="BZ1160" i="3"/>
  <c r="BY1160" i="3"/>
  <c r="BX1160" i="3"/>
  <c r="BW1160" i="3"/>
  <c r="BV1160" i="3"/>
  <c r="BU1160" i="3"/>
  <c r="BT1160" i="3"/>
  <c r="BS1160" i="3"/>
  <c r="BR1160" i="3"/>
  <c r="BQ1160" i="3"/>
  <c r="BP1160" i="3"/>
  <c r="BO1160" i="3"/>
  <c r="BN1160" i="3"/>
  <c r="DU1159" i="3"/>
  <c r="DT1159" i="3"/>
  <c r="DS1159" i="3"/>
  <c r="DR1159" i="3"/>
  <c r="DQ1159" i="3"/>
  <c r="DP1159" i="3"/>
  <c r="DO1159" i="3"/>
  <c r="DN1159" i="3"/>
  <c r="DM1159" i="3"/>
  <c r="DL1159" i="3"/>
  <c r="DK1159" i="3"/>
  <c r="DJ1159" i="3"/>
  <c r="DI1159" i="3"/>
  <c r="DH1159" i="3"/>
  <c r="DG1159" i="3"/>
  <c r="DF1159" i="3"/>
  <c r="DE1159" i="3"/>
  <c r="DD1159" i="3"/>
  <c r="DC1159" i="3"/>
  <c r="DB1159" i="3"/>
  <c r="DA1159" i="3"/>
  <c r="CZ1159" i="3"/>
  <c r="CY1159" i="3"/>
  <c r="CX1159" i="3"/>
  <c r="CW1159" i="3"/>
  <c r="CV1159" i="3"/>
  <c r="CU1159" i="3"/>
  <c r="CT1159" i="3"/>
  <c r="CS1159" i="3"/>
  <c r="CR1159" i="3"/>
  <c r="CQ1159" i="3"/>
  <c r="CP1159" i="3"/>
  <c r="CO1159" i="3"/>
  <c r="CN1159" i="3"/>
  <c r="CM1159" i="3"/>
  <c r="CL1159" i="3"/>
  <c r="CK1159" i="3"/>
  <c r="CJ1159" i="3"/>
  <c r="CI1159" i="3"/>
  <c r="CH1159" i="3"/>
  <c r="CG1159" i="3"/>
  <c r="CF1159" i="3"/>
  <c r="CE1159" i="3"/>
  <c r="CD1159" i="3"/>
  <c r="CC1159" i="3"/>
  <c r="CB1159" i="3"/>
  <c r="CA1159" i="3"/>
  <c r="BZ1159" i="3"/>
  <c r="BY1159" i="3"/>
  <c r="BX1159" i="3"/>
  <c r="BW1159" i="3"/>
  <c r="BV1159" i="3"/>
  <c r="BU1159" i="3"/>
  <c r="BT1159" i="3"/>
  <c r="BS1159" i="3"/>
  <c r="BR1159" i="3"/>
  <c r="BQ1159" i="3"/>
  <c r="BP1159" i="3"/>
  <c r="BO1159" i="3"/>
  <c r="BN1159" i="3"/>
  <c r="DU1158" i="3"/>
  <c r="DT1158" i="3"/>
  <c r="DS1158" i="3"/>
  <c r="DR1158" i="3"/>
  <c r="DQ1158" i="3"/>
  <c r="DP1158" i="3"/>
  <c r="DO1158" i="3"/>
  <c r="DN1158" i="3"/>
  <c r="DM1158" i="3"/>
  <c r="DL1158" i="3"/>
  <c r="DK1158" i="3"/>
  <c r="DJ1158" i="3"/>
  <c r="DI1158" i="3"/>
  <c r="DH1158" i="3"/>
  <c r="DG1158" i="3"/>
  <c r="DF1158" i="3"/>
  <c r="DE1158" i="3"/>
  <c r="DD1158" i="3"/>
  <c r="DC1158" i="3"/>
  <c r="DB1158" i="3"/>
  <c r="DA1158" i="3"/>
  <c r="CZ1158" i="3"/>
  <c r="CY1158" i="3"/>
  <c r="CX1158" i="3"/>
  <c r="CW1158" i="3"/>
  <c r="CV1158" i="3"/>
  <c r="CU1158" i="3"/>
  <c r="CT1158" i="3"/>
  <c r="CS1158" i="3"/>
  <c r="CR1158" i="3"/>
  <c r="CQ1158" i="3"/>
  <c r="CP1158" i="3"/>
  <c r="CO1158" i="3"/>
  <c r="CN1158" i="3"/>
  <c r="CM1158" i="3"/>
  <c r="CL1158" i="3"/>
  <c r="CK1158" i="3"/>
  <c r="CJ1158" i="3"/>
  <c r="CI1158" i="3"/>
  <c r="CH1158" i="3"/>
  <c r="CG1158" i="3"/>
  <c r="CF1158" i="3"/>
  <c r="CE1158" i="3"/>
  <c r="CD1158" i="3"/>
  <c r="CC1158" i="3"/>
  <c r="CB1158" i="3"/>
  <c r="CA1158" i="3"/>
  <c r="BZ1158" i="3"/>
  <c r="BY1158" i="3"/>
  <c r="BX1158" i="3"/>
  <c r="BW1158" i="3"/>
  <c r="BV1158" i="3"/>
  <c r="BU1158" i="3"/>
  <c r="BT1158" i="3"/>
  <c r="BS1158" i="3"/>
  <c r="BR1158" i="3"/>
  <c r="BQ1158" i="3"/>
  <c r="BP1158" i="3"/>
  <c r="BO1158" i="3"/>
  <c r="BN1158" i="3"/>
  <c r="DU1157" i="3"/>
  <c r="DT1157" i="3"/>
  <c r="DS1157" i="3"/>
  <c r="DR1157" i="3"/>
  <c r="DQ1157" i="3"/>
  <c r="DP1157" i="3"/>
  <c r="DO1157" i="3"/>
  <c r="DN1157" i="3"/>
  <c r="DM1157" i="3"/>
  <c r="DL1157" i="3"/>
  <c r="DK1157" i="3"/>
  <c r="DJ1157" i="3"/>
  <c r="DI1157" i="3"/>
  <c r="DH1157" i="3"/>
  <c r="DG1157" i="3"/>
  <c r="DF1157" i="3"/>
  <c r="DE1157" i="3"/>
  <c r="DD1157" i="3"/>
  <c r="DC1157" i="3"/>
  <c r="DB1157" i="3"/>
  <c r="DA1157" i="3"/>
  <c r="CZ1157" i="3"/>
  <c r="CY1157" i="3"/>
  <c r="CX1157" i="3"/>
  <c r="CW1157" i="3"/>
  <c r="CV1157" i="3"/>
  <c r="CU1157" i="3"/>
  <c r="CT1157" i="3"/>
  <c r="CS1157" i="3"/>
  <c r="CR1157" i="3"/>
  <c r="CQ1157" i="3"/>
  <c r="CP1157" i="3"/>
  <c r="CO1157" i="3"/>
  <c r="CN1157" i="3"/>
  <c r="CM1157" i="3"/>
  <c r="CL1157" i="3"/>
  <c r="CK1157" i="3"/>
  <c r="CJ1157" i="3"/>
  <c r="CI1157" i="3"/>
  <c r="CH1157" i="3"/>
  <c r="CG1157" i="3"/>
  <c r="CF1157" i="3"/>
  <c r="CE1157" i="3"/>
  <c r="CD1157" i="3"/>
  <c r="CC1157" i="3"/>
  <c r="CB1157" i="3"/>
  <c r="CA1157" i="3"/>
  <c r="BZ1157" i="3"/>
  <c r="BY1157" i="3"/>
  <c r="BX1157" i="3"/>
  <c r="BW1157" i="3"/>
  <c r="BV1157" i="3"/>
  <c r="BU1157" i="3"/>
  <c r="BT1157" i="3"/>
  <c r="BS1157" i="3"/>
  <c r="BR1157" i="3"/>
  <c r="BQ1157" i="3"/>
  <c r="BP1157" i="3"/>
  <c r="BO1157" i="3"/>
  <c r="BN1157" i="3"/>
  <c r="DU1156" i="3"/>
  <c r="DT1156" i="3"/>
  <c r="DS1156" i="3"/>
  <c r="DR1156" i="3"/>
  <c r="DQ1156" i="3"/>
  <c r="DP1156" i="3"/>
  <c r="DO1156" i="3"/>
  <c r="DN1156" i="3"/>
  <c r="DM1156" i="3"/>
  <c r="DL1156" i="3"/>
  <c r="DK1156" i="3"/>
  <c r="DJ1156" i="3"/>
  <c r="DI1156" i="3"/>
  <c r="DH1156" i="3"/>
  <c r="DG1156" i="3"/>
  <c r="DF1156" i="3"/>
  <c r="DE1156" i="3"/>
  <c r="DD1156" i="3"/>
  <c r="DC1156" i="3"/>
  <c r="DB1156" i="3"/>
  <c r="DA1156" i="3"/>
  <c r="CZ1156" i="3"/>
  <c r="CY1156" i="3"/>
  <c r="CX1156" i="3"/>
  <c r="CW1156" i="3"/>
  <c r="CV1156" i="3"/>
  <c r="CU1156" i="3"/>
  <c r="CT1156" i="3"/>
  <c r="CS1156" i="3"/>
  <c r="CR1156" i="3"/>
  <c r="CQ1156" i="3"/>
  <c r="CP1156" i="3"/>
  <c r="CO1156" i="3"/>
  <c r="CN1156" i="3"/>
  <c r="CM1156" i="3"/>
  <c r="CL1156" i="3"/>
  <c r="CK1156" i="3"/>
  <c r="CJ1156" i="3"/>
  <c r="CI1156" i="3"/>
  <c r="CH1156" i="3"/>
  <c r="CG1156" i="3"/>
  <c r="CF1156" i="3"/>
  <c r="CE1156" i="3"/>
  <c r="CD1156" i="3"/>
  <c r="CC1156" i="3"/>
  <c r="CB1156" i="3"/>
  <c r="CA1156" i="3"/>
  <c r="BZ1156" i="3"/>
  <c r="BY1156" i="3"/>
  <c r="BX1156" i="3"/>
  <c r="BW1156" i="3"/>
  <c r="BV1156" i="3"/>
  <c r="BU1156" i="3"/>
  <c r="BT1156" i="3"/>
  <c r="BS1156" i="3"/>
  <c r="BR1156" i="3"/>
  <c r="BQ1156" i="3"/>
  <c r="BP1156" i="3"/>
  <c r="BO1156" i="3"/>
  <c r="BN1156" i="3"/>
  <c r="DU1155" i="3"/>
  <c r="DT1155" i="3"/>
  <c r="DS1155" i="3"/>
  <c r="DR1155" i="3"/>
  <c r="DQ1155" i="3"/>
  <c r="DP1155" i="3"/>
  <c r="DO1155" i="3"/>
  <c r="DN1155" i="3"/>
  <c r="DM1155" i="3"/>
  <c r="DL1155" i="3"/>
  <c r="DK1155" i="3"/>
  <c r="DJ1155" i="3"/>
  <c r="DI1155" i="3"/>
  <c r="DH1155" i="3"/>
  <c r="DG1155" i="3"/>
  <c r="DF1155" i="3"/>
  <c r="DE1155" i="3"/>
  <c r="DD1155" i="3"/>
  <c r="DC1155" i="3"/>
  <c r="DB1155" i="3"/>
  <c r="DA1155" i="3"/>
  <c r="CZ1155" i="3"/>
  <c r="CY1155" i="3"/>
  <c r="CX1155" i="3"/>
  <c r="CW1155" i="3"/>
  <c r="CV1155" i="3"/>
  <c r="CU1155" i="3"/>
  <c r="CT1155" i="3"/>
  <c r="CS1155" i="3"/>
  <c r="CR1155" i="3"/>
  <c r="CQ1155" i="3"/>
  <c r="CP1155" i="3"/>
  <c r="CO1155" i="3"/>
  <c r="CN1155" i="3"/>
  <c r="CM1155" i="3"/>
  <c r="CL1155" i="3"/>
  <c r="CK1155" i="3"/>
  <c r="CJ1155" i="3"/>
  <c r="CI1155" i="3"/>
  <c r="CH1155" i="3"/>
  <c r="CG1155" i="3"/>
  <c r="CF1155" i="3"/>
  <c r="CE1155" i="3"/>
  <c r="CD1155" i="3"/>
  <c r="CC1155" i="3"/>
  <c r="CB1155" i="3"/>
  <c r="CA1155" i="3"/>
  <c r="BZ1155" i="3"/>
  <c r="BY1155" i="3"/>
  <c r="BX1155" i="3"/>
  <c r="BW1155" i="3"/>
  <c r="BV1155" i="3"/>
  <c r="BU1155" i="3"/>
  <c r="BT1155" i="3"/>
  <c r="BS1155" i="3"/>
  <c r="BR1155" i="3"/>
  <c r="BQ1155" i="3"/>
  <c r="BP1155" i="3"/>
  <c r="BO1155" i="3"/>
  <c r="BN1155" i="3"/>
  <c r="DU1154" i="3"/>
  <c r="DT1154" i="3"/>
  <c r="DS1154" i="3"/>
  <c r="DR1154" i="3"/>
  <c r="DQ1154" i="3"/>
  <c r="DP1154" i="3"/>
  <c r="DO1154" i="3"/>
  <c r="DN1154" i="3"/>
  <c r="DM1154" i="3"/>
  <c r="DL1154" i="3"/>
  <c r="DK1154" i="3"/>
  <c r="DJ1154" i="3"/>
  <c r="DI1154" i="3"/>
  <c r="DH1154" i="3"/>
  <c r="DG1154" i="3"/>
  <c r="DF1154" i="3"/>
  <c r="DE1154" i="3"/>
  <c r="DD1154" i="3"/>
  <c r="DC1154" i="3"/>
  <c r="DB1154" i="3"/>
  <c r="DA1154" i="3"/>
  <c r="CZ1154" i="3"/>
  <c r="CY1154" i="3"/>
  <c r="CX1154" i="3"/>
  <c r="CW1154" i="3"/>
  <c r="CV1154" i="3"/>
  <c r="CU1154" i="3"/>
  <c r="CT1154" i="3"/>
  <c r="CS1154" i="3"/>
  <c r="CR1154" i="3"/>
  <c r="CQ1154" i="3"/>
  <c r="CP1154" i="3"/>
  <c r="CO1154" i="3"/>
  <c r="CN1154" i="3"/>
  <c r="CM1154" i="3"/>
  <c r="CL1154" i="3"/>
  <c r="CK1154" i="3"/>
  <c r="CJ1154" i="3"/>
  <c r="CI1154" i="3"/>
  <c r="CH1154" i="3"/>
  <c r="CG1154" i="3"/>
  <c r="CF1154" i="3"/>
  <c r="CE1154" i="3"/>
  <c r="CD1154" i="3"/>
  <c r="CC1154" i="3"/>
  <c r="CB1154" i="3"/>
  <c r="CA1154" i="3"/>
  <c r="BZ1154" i="3"/>
  <c r="BY1154" i="3"/>
  <c r="BX1154" i="3"/>
  <c r="BW1154" i="3"/>
  <c r="BV1154" i="3"/>
  <c r="BU1154" i="3"/>
  <c r="BT1154" i="3"/>
  <c r="BS1154" i="3"/>
  <c r="BR1154" i="3"/>
  <c r="BQ1154" i="3"/>
  <c r="BP1154" i="3"/>
  <c r="BO1154" i="3"/>
  <c r="BN1154" i="3"/>
  <c r="DU1153" i="3"/>
  <c r="DT1153" i="3"/>
  <c r="DS1153" i="3"/>
  <c r="DR1153" i="3"/>
  <c r="DQ1153" i="3"/>
  <c r="DP1153" i="3"/>
  <c r="DO1153" i="3"/>
  <c r="DN1153" i="3"/>
  <c r="DM1153" i="3"/>
  <c r="DL1153" i="3"/>
  <c r="DK1153" i="3"/>
  <c r="DJ1153" i="3"/>
  <c r="DI1153" i="3"/>
  <c r="DH1153" i="3"/>
  <c r="DG1153" i="3"/>
  <c r="DF1153" i="3"/>
  <c r="DE1153" i="3"/>
  <c r="DD1153" i="3"/>
  <c r="DC1153" i="3"/>
  <c r="DB1153" i="3"/>
  <c r="DA1153" i="3"/>
  <c r="CZ1153" i="3"/>
  <c r="CY1153" i="3"/>
  <c r="CX1153" i="3"/>
  <c r="CW1153" i="3"/>
  <c r="CV1153" i="3"/>
  <c r="CU1153" i="3"/>
  <c r="CT1153" i="3"/>
  <c r="CS1153" i="3"/>
  <c r="CR1153" i="3"/>
  <c r="CQ1153" i="3"/>
  <c r="CP1153" i="3"/>
  <c r="CO1153" i="3"/>
  <c r="CN1153" i="3"/>
  <c r="CM1153" i="3"/>
  <c r="CL1153" i="3"/>
  <c r="CK1153" i="3"/>
  <c r="CJ1153" i="3"/>
  <c r="CI1153" i="3"/>
  <c r="CH1153" i="3"/>
  <c r="CG1153" i="3"/>
  <c r="CF1153" i="3"/>
  <c r="CE1153" i="3"/>
  <c r="CD1153" i="3"/>
  <c r="CC1153" i="3"/>
  <c r="CB1153" i="3"/>
  <c r="CA1153" i="3"/>
  <c r="BZ1153" i="3"/>
  <c r="BY1153" i="3"/>
  <c r="BX1153" i="3"/>
  <c r="BW1153" i="3"/>
  <c r="BV1153" i="3"/>
  <c r="BU1153" i="3"/>
  <c r="BT1153" i="3"/>
  <c r="BS1153" i="3"/>
  <c r="BR1153" i="3"/>
  <c r="BQ1153" i="3"/>
  <c r="BP1153" i="3"/>
  <c r="BO1153" i="3"/>
  <c r="BN1153" i="3"/>
  <c r="DU1152" i="3"/>
  <c r="DT1152" i="3"/>
  <c r="DS1152" i="3"/>
  <c r="DR1152" i="3"/>
  <c r="DQ1152" i="3"/>
  <c r="DP1152" i="3"/>
  <c r="DO1152" i="3"/>
  <c r="DN1152" i="3"/>
  <c r="DM1152" i="3"/>
  <c r="DL1152" i="3"/>
  <c r="DK1152" i="3"/>
  <c r="DJ1152" i="3"/>
  <c r="DI1152" i="3"/>
  <c r="DH1152" i="3"/>
  <c r="DG1152" i="3"/>
  <c r="DF1152" i="3"/>
  <c r="DE1152" i="3"/>
  <c r="DD1152" i="3"/>
  <c r="DC1152" i="3"/>
  <c r="DB1152" i="3"/>
  <c r="DA1152" i="3"/>
  <c r="CZ1152" i="3"/>
  <c r="CY1152" i="3"/>
  <c r="CX1152" i="3"/>
  <c r="CW1152" i="3"/>
  <c r="CV1152" i="3"/>
  <c r="CU1152" i="3"/>
  <c r="CT1152" i="3"/>
  <c r="CS1152" i="3"/>
  <c r="CR1152" i="3"/>
  <c r="CQ1152" i="3"/>
  <c r="CP1152" i="3"/>
  <c r="CO1152" i="3"/>
  <c r="CN1152" i="3"/>
  <c r="CM1152" i="3"/>
  <c r="CL1152" i="3"/>
  <c r="CK1152" i="3"/>
  <c r="CJ1152" i="3"/>
  <c r="CI1152" i="3"/>
  <c r="CH1152" i="3"/>
  <c r="CG1152" i="3"/>
  <c r="CF1152" i="3"/>
  <c r="CE1152" i="3"/>
  <c r="CD1152" i="3"/>
  <c r="CC1152" i="3"/>
  <c r="CB1152" i="3"/>
  <c r="CA1152" i="3"/>
  <c r="BZ1152" i="3"/>
  <c r="BY1152" i="3"/>
  <c r="BX1152" i="3"/>
  <c r="BW1152" i="3"/>
  <c r="BV1152" i="3"/>
  <c r="BU1152" i="3"/>
  <c r="BT1152" i="3"/>
  <c r="BS1152" i="3"/>
  <c r="BR1152" i="3"/>
  <c r="BQ1152" i="3"/>
  <c r="BP1152" i="3"/>
  <c r="BO1152" i="3"/>
  <c r="BN1152" i="3"/>
  <c r="DU1151" i="3"/>
  <c r="DT1151" i="3"/>
  <c r="DS1151" i="3"/>
  <c r="DR1151" i="3"/>
  <c r="DQ1151" i="3"/>
  <c r="DP1151" i="3"/>
  <c r="DO1151" i="3"/>
  <c r="DN1151" i="3"/>
  <c r="DM1151" i="3"/>
  <c r="DL1151" i="3"/>
  <c r="DK1151" i="3"/>
  <c r="DJ1151" i="3"/>
  <c r="DI1151" i="3"/>
  <c r="DH1151" i="3"/>
  <c r="DG1151" i="3"/>
  <c r="DF1151" i="3"/>
  <c r="DE1151" i="3"/>
  <c r="DD1151" i="3"/>
  <c r="DC1151" i="3"/>
  <c r="DB1151" i="3"/>
  <c r="DA1151" i="3"/>
  <c r="CZ1151" i="3"/>
  <c r="CY1151" i="3"/>
  <c r="CX1151" i="3"/>
  <c r="CW1151" i="3"/>
  <c r="CV1151" i="3"/>
  <c r="CU1151" i="3"/>
  <c r="CT1151" i="3"/>
  <c r="CS1151" i="3"/>
  <c r="CR1151" i="3"/>
  <c r="CQ1151" i="3"/>
  <c r="CP1151" i="3"/>
  <c r="CO1151" i="3"/>
  <c r="CN1151" i="3"/>
  <c r="CM1151" i="3"/>
  <c r="CL1151" i="3"/>
  <c r="CK1151" i="3"/>
  <c r="CJ1151" i="3"/>
  <c r="CI1151" i="3"/>
  <c r="CH1151" i="3"/>
  <c r="CG1151" i="3"/>
  <c r="CF1151" i="3"/>
  <c r="CE1151" i="3"/>
  <c r="CD1151" i="3"/>
  <c r="CC1151" i="3"/>
  <c r="CB1151" i="3"/>
  <c r="CA1151" i="3"/>
  <c r="BZ1151" i="3"/>
  <c r="BY1151" i="3"/>
  <c r="BX1151" i="3"/>
  <c r="BW1151" i="3"/>
  <c r="BV1151" i="3"/>
  <c r="BU1151" i="3"/>
  <c r="BT1151" i="3"/>
  <c r="BS1151" i="3"/>
  <c r="BR1151" i="3"/>
  <c r="BQ1151" i="3"/>
  <c r="BP1151" i="3"/>
  <c r="BO1151" i="3"/>
  <c r="BN1151" i="3"/>
  <c r="DU1150" i="3"/>
  <c r="DT1150" i="3"/>
  <c r="DS1150" i="3"/>
  <c r="DR1150" i="3"/>
  <c r="DQ1150" i="3"/>
  <c r="DP1150" i="3"/>
  <c r="DO1150" i="3"/>
  <c r="DN1150" i="3"/>
  <c r="DM1150" i="3"/>
  <c r="DL1150" i="3"/>
  <c r="DK1150" i="3"/>
  <c r="DJ1150" i="3"/>
  <c r="DI1150" i="3"/>
  <c r="DH1150" i="3"/>
  <c r="DG1150" i="3"/>
  <c r="DF1150" i="3"/>
  <c r="DE1150" i="3"/>
  <c r="DD1150" i="3"/>
  <c r="DC1150" i="3"/>
  <c r="DB1150" i="3"/>
  <c r="DA1150" i="3"/>
  <c r="CZ1150" i="3"/>
  <c r="CY1150" i="3"/>
  <c r="CX1150" i="3"/>
  <c r="CW1150" i="3"/>
  <c r="CV1150" i="3"/>
  <c r="CU1150" i="3"/>
  <c r="CT1150" i="3"/>
  <c r="CS1150" i="3"/>
  <c r="CR1150" i="3"/>
  <c r="CQ1150" i="3"/>
  <c r="CP1150" i="3"/>
  <c r="CO1150" i="3"/>
  <c r="CN1150" i="3"/>
  <c r="CM1150" i="3"/>
  <c r="CL1150" i="3"/>
  <c r="CK1150" i="3"/>
  <c r="CJ1150" i="3"/>
  <c r="CI1150" i="3"/>
  <c r="CH1150" i="3"/>
  <c r="CG1150" i="3"/>
  <c r="CF1150" i="3"/>
  <c r="CE1150" i="3"/>
  <c r="CD1150" i="3"/>
  <c r="CC1150" i="3"/>
  <c r="CB1150" i="3"/>
  <c r="CA1150" i="3"/>
  <c r="BZ1150" i="3"/>
  <c r="BY1150" i="3"/>
  <c r="BX1150" i="3"/>
  <c r="BW1150" i="3"/>
  <c r="BV1150" i="3"/>
  <c r="BU1150" i="3"/>
  <c r="BT1150" i="3"/>
  <c r="BS1150" i="3"/>
  <c r="BR1150" i="3"/>
  <c r="BQ1150" i="3"/>
  <c r="BP1150" i="3"/>
  <c r="BO1150" i="3"/>
  <c r="BN1150" i="3"/>
  <c r="DU1149" i="3"/>
  <c r="DT1149" i="3"/>
  <c r="DS1149" i="3"/>
  <c r="DR1149" i="3"/>
  <c r="DQ1149" i="3"/>
  <c r="DP1149" i="3"/>
  <c r="DO1149" i="3"/>
  <c r="DN1149" i="3"/>
  <c r="DM1149" i="3"/>
  <c r="DL1149" i="3"/>
  <c r="DK1149" i="3"/>
  <c r="DJ1149" i="3"/>
  <c r="DI1149" i="3"/>
  <c r="DH1149" i="3"/>
  <c r="DG1149" i="3"/>
  <c r="DF1149" i="3"/>
  <c r="DE1149" i="3"/>
  <c r="DD1149" i="3"/>
  <c r="DC1149" i="3"/>
  <c r="DB1149" i="3"/>
  <c r="DA1149" i="3"/>
  <c r="CZ1149" i="3"/>
  <c r="CY1149" i="3"/>
  <c r="CX1149" i="3"/>
  <c r="CW1149" i="3"/>
  <c r="CV1149" i="3"/>
  <c r="CU1149" i="3"/>
  <c r="CT1149" i="3"/>
  <c r="CS1149" i="3"/>
  <c r="CR1149" i="3"/>
  <c r="CQ1149" i="3"/>
  <c r="CP1149" i="3"/>
  <c r="CO1149" i="3"/>
  <c r="CN1149" i="3"/>
  <c r="CM1149" i="3"/>
  <c r="CL1149" i="3"/>
  <c r="CK1149" i="3"/>
  <c r="CJ1149" i="3"/>
  <c r="CI1149" i="3"/>
  <c r="CH1149" i="3"/>
  <c r="CG1149" i="3"/>
  <c r="CF1149" i="3"/>
  <c r="CE1149" i="3"/>
  <c r="CD1149" i="3"/>
  <c r="CC1149" i="3"/>
  <c r="CB1149" i="3"/>
  <c r="CA1149" i="3"/>
  <c r="BZ1149" i="3"/>
  <c r="BY1149" i="3"/>
  <c r="BX1149" i="3"/>
  <c r="BW1149" i="3"/>
  <c r="BV1149" i="3"/>
  <c r="BU1149" i="3"/>
  <c r="BT1149" i="3"/>
  <c r="BS1149" i="3"/>
  <c r="BR1149" i="3"/>
  <c r="BQ1149" i="3"/>
  <c r="BP1149" i="3"/>
  <c r="BO1149" i="3"/>
  <c r="BN1149" i="3"/>
  <c r="DU1148" i="3"/>
  <c r="DT1148" i="3"/>
  <c r="DS1148" i="3"/>
  <c r="DR1148" i="3"/>
  <c r="DQ1148" i="3"/>
  <c r="DP1148" i="3"/>
  <c r="DO1148" i="3"/>
  <c r="DN1148" i="3"/>
  <c r="DM1148" i="3"/>
  <c r="DL1148" i="3"/>
  <c r="DK1148" i="3"/>
  <c r="DJ1148" i="3"/>
  <c r="DI1148" i="3"/>
  <c r="DH1148" i="3"/>
  <c r="DG1148" i="3"/>
  <c r="DF1148" i="3"/>
  <c r="DE1148" i="3"/>
  <c r="DD1148" i="3"/>
  <c r="DC1148" i="3"/>
  <c r="DB1148" i="3"/>
  <c r="DA1148" i="3"/>
  <c r="CZ1148" i="3"/>
  <c r="CY1148" i="3"/>
  <c r="CX1148" i="3"/>
  <c r="CW1148" i="3"/>
  <c r="CV1148" i="3"/>
  <c r="CU1148" i="3"/>
  <c r="CT1148" i="3"/>
  <c r="CS1148" i="3"/>
  <c r="CR1148" i="3"/>
  <c r="CQ1148" i="3"/>
  <c r="CP1148" i="3"/>
  <c r="CO1148" i="3"/>
  <c r="CN1148" i="3"/>
  <c r="CM1148" i="3"/>
  <c r="CL1148" i="3"/>
  <c r="CK1148" i="3"/>
  <c r="CJ1148" i="3"/>
  <c r="CI1148" i="3"/>
  <c r="CH1148" i="3"/>
  <c r="CG1148" i="3"/>
  <c r="CF1148" i="3"/>
  <c r="CE1148" i="3"/>
  <c r="CD1148" i="3"/>
  <c r="CC1148" i="3"/>
  <c r="CB1148" i="3"/>
  <c r="CA1148" i="3"/>
  <c r="BZ1148" i="3"/>
  <c r="BY1148" i="3"/>
  <c r="BX1148" i="3"/>
  <c r="BW1148" i="3"/>
  <c r="BV1148" i="3"/>
  <c r="BU1148" i="3"/>
  <c r="BT1148" i="3"/>
  <c r="BS1148" i="3"/>
  <c r="BR1148" i="3"/>
  <c r="BQ1148" i="3"/>
  <c r="BP1148" i="3"/>
  <c r="BO1148" i="3"/>
  <c r="BN1148" i="3"/>
  <c r="DU1147" i="3"/>
  <c r="DT1147" i="3"/>
  <c r="DS1147" i="3"/>
  <c r="DR1147" i="3"/>
  <c r="DQ1147" i="3"/>
  <c r="DP1147" i="3"/>
  <c r="DO1147" i="3"/>
  <c r="DN1147" i="3"/>
  <c r="DM1147" i="3"/>
  <c r="DL1147" i="3"/>
  <c r="DK1147" i="3"/>
  <c r="DJ1147" i="3"/>
  <c r="DI1147" i="3"/>
  <c r="DH1147" i="3"/>
  <c r="DG1147" i="3"/>
  <c r="DF1147" i="3"/>
  <c r="DE1147" i="3"/>
  <c r="DD1147" i="3"/>
  <c r="DC1147" i="3"/>
  <c r="DB1147" i="3"/>
  <c r="DA1147" i="3"/>
  <c r="CZ1147" i="3"/>
  <c r="CY1147" i="3"/>
  <c r="CX1147" i="3"/>
  <c r="CW1147" i="3"/>
  <c r="CV1147" i="3"/>
  <c r="CU1147" i="3"/>
  <c r="CT1147" i="3"/>
  <c r="CS1147" i="3"/>
  <c r="CR1147" i="3"/>
  <c r="CQ1147" i="3"/>
  <c r="CP1147" i="3"/>
  <c r="CO1147" i="3"/>
  <c r="CN1147" i="3"/>
  <c r="CM1147" i="3"/>
  <c r="CL1147" i="3"/>
  <c r="CK1147" i="3"/>
  <c r="CJ1147" i="3"/>
  <c r="CI1147" i="3"/>
  <c r="CH1147" i="3"/>
  <c r="CG1147" i="3"/>
  <c r="CF1147" i="3"/>
  <c r="CE1147" i="3"/>
  <c r="CD1147" i="3"/>
  <c r="CC1147" i="3"/>
  <c r="CB1147" i="3"/>
  <c r="CA1147" i="3"/>
  <c r="BZ1147" i="3"/>
  <c r="BY1147" i="3"/>
  <c r="BX1147" i="3"/>
  <c r="BW1147" i="3"/>
  <c r="BV1147" i="3"/>
  <c r="BU1147" i="3"/>
  <c r="BT1147" i="3"/>
  <c r="BS1147" i="3"/>
  <c r="BR1147" i="3"/>
  <c r="BQ1147" i="3"/>
  <c r="BP1147" i="3"/>
  <c r="BO1147" i="3"/>
  <c r="BN1147" i="3"/>
  <c r="DU1146" i="3"/>
  <c r="DT1146" i="3"/>
  <c r="DS1146" i="3"/>
  <c r="DR1146" i="3"/>
  <c r="DQ1146" i="3"/>
  <c r="DP1146" i="3"/>
  <c r="DO1146" i="3"/>
  <c r="DN1146" i="3"/>
  <c r="DM1146" i="3"/>
  <c r="DL1146" i="3"/>
  <c r="DK1146" i="3"/>
  <c r="DJ1146" i="3"/>
  <c r="DI1146" i="3"/>
  <c r="DH1146" i="3"/>
  <c r="DG1146" i="3"/>
  <c r="DF1146" i="3"/>
  <c r="DE1146" i="3"/>
  <c r="DD1146" i="3"/>
  <c r="DC1146" i="3"/>
  <c r="DB1146" i="3"/>
  <c r="DA1146" i="3"/>
  <c r="CZ1146" i="3"/>
  <c r="CY1146" i="3"/>
  <c r="CX1146" i="3"/>
  <c r="CW1146" i="3"/>
  <c r="CV1146" i="3"/>
  <c r="CU1146" i="3"/>
  <c r="CT1146" i="3"/>
  <c r="CS1146" i="3"/>
  <c r="CR1146" i="3"/>
  <c r="CQ1146" i="3"/>
  <c r="CP1146" i="3"/>
  <c r="CO1146" i="3"/>
  <c r="CN1146" i="3"/>
  <c r="CM1146" i="3"/>
  <c r="CL1146" i="3"/>
  <c r="CK1146" i="3"/>
  <c r="CJ1146" i="3"/>
  <c r="CI1146" i="3"/>
  <c r="CH1146" i="3"/>
  <c r="CG1146" i="3"/>
  <c r="CF1146" i="3"/>
  <c r="CE1146" i="3"/>
  <c r="CD1146" i="3"/>
  <c r="CC1146" i="3"/>
  <c r="CB1146" i="3"/>
  <c r="CA1146" i="3"/>
  <c r="BZ1146" i="3"/>
  <c r="BY1146" i="3"/>
  <c r="BX1146" i="3"/>
  <c r="BW1146" i="3"/>
  <c r="BV1146" i="3"/>
  <c r="BU1146" i="3"/>
  <c r="BT1146" i="3"/>
  <c r="BS1146" i="3"/>
  <c r="BR1146" i="3"/>
  <c r="BQ1146" i="3"/>
  <c r="BP1146" i="3"/>
  <c r="BO1146" i="3"/>
  <c r="BN1146" i="3"/>
  <c r="DU1145" i="3"/>
  <c r="DT1145" i="3"/>
  <c r="DS1145" i="3"/>
  <c r="DR1145" i="3"/>
  <c r="DQ1145" i="3"/>
  <c r="DP1145" i="3"/>
  <c r="DO1145" i="3"/>
  <c r="DN1145" i="3"/>
  <c r="DM1145" i="3"/>
  <c r="DL1145" i="3"/>
  <c r="DK1145" i="3"/>
  <c r="DJ1145" i="3"/>
  <c r="DI1145" i="3"/>
  <c r="DH1145" i="3"/>
  <c r="DG1145" i="3"/>
  <c r="DF1145" i="3"/>
  <c r="DE1145" i="3"/>
  <c r="DD1145" i="3"/>
  <c r="DC1145" i="3"/>
  <c r="DB1145" i="3"/>
  <c r="DA1145" i="3"/>
  <c r="CZ1145" i="3"/>
  <c r="CY1145" i="3"/>
  <c r="CX1145" i="3"/>
  <c r="CW1145" i="3"/>
  <c r="CV1145" i="3"/>
  <c r="CU1145" i="3"/>
  <c r="CT1145" i="3"/>
  <c r="CS1145" i="3"/>
  <c r="CR1145" i="3"/>
  <c r="CQ1145" i="3"/>
  <c r="CP1145" i="3"/>
  <c r="CO1145" i="3"/>
  <c r="CN1145" i="3"/>
  <c r="CM1145" i="3"/>
  <c r="CL1145" i="3"/>
  <c r="CK1145" i="3"/>
  <c r="CJ1145" i="3"/>
  <c r="CI1145" i="3"/>
  <c r="CH1145" i="3"/>
  <c r="CG1145" i="3"/>
  <c r="CF1145" i="3"/>
  <c r="CE1145" i="3"/>
  <c r="CD1145" i="3"/>
  <c r="CC1145" i="3"/>
  <c r="CB1145" i="3"/>
  <c r="CA1145" i="3"/>
  <c r="BZ1145" i="3"/>
  <c r="BY1145" i="3"/>
  <c r="BX1145" i="3"/>
  <c r="BW1145" i="3"/>
  <c r="BV1145" i="3"/>
  <c r="BU1145" i="3"/>
  <c r="BT1145" i="3"/>
  <c r="BS1145" i="3"/>
  <c r="BR1145" i="3"/>
  <c r="BQ1145" i="3"/>
  <c r="BP1145" i="3"/>
  <c r="BO1145" i="3"/>
  <c r="BN1145" i="3"/>
  <c r="DU1144" i="3"/>
  <c r="DT1144" i="3"/>
  <c r="DS1144" i="3"/>
  <c r="DR1144" i="3"/>
  <c r="DQ1144" i="3"/>
  <c r="DP1144" i="3"/>
  <c r="DO1144" i="3"/>
  <c r="DN1144" i="3"/>
  <c r="DM1144" i="3"/>
  <c r="DL1144" i="3"/>
  <c r="DK1144" i="3"/>
  <c r="DJ1144" i="3"/>
  <c r="DI1144" i="3"/>
  <c r="DH1144" i="3"/>
  <c r="DG1144" i="3"/>
  <c r="DF1144" i="3"/>
  <c r="DE1144" i="3"/>
  <c r="DD1144" i="3"/>
  <c r="DC1144" i="3"/>
  <c r="DB1144" i="3"/>
  <c r="DA1144" i="3"/>
  <c r="CZ1144" i="3"/>
  <c r="CY1144" i="3"/>
  <c r="CX1144" i="3"/>
  <c r="CW1144" i="3"/>
  <c r="CV1144" i="3"/>
  <c r="CU1144" i="3"/>
  <c r="CT1144" i="3"/>
  <c r="CS1144" i="3"/>
  <c r="CR1144" i="3"/>
  <c r="CQ1144" i="3"/>
  <c r="CP1144" i="3"/>
  <c r="CO1144" i="3"/>
  <c r="CN1144" i="3"/>
  <c r="CM1144" i="3"/>
  <c r="CL1144" i="3"/>
  <c r="CK1144" i="3"/>
  <c r="CJ1144" i="3"/>
  <c r="CI1144" i="3"/>
  <c r="CH1144" i="3"/>
  <c r="CG1144" i="3"/>
  <c r="CF1144" i="3"/>
  <c r="CE1144" i="3"/>
  <c r="CD1144" i="3"/>
  <c r="CC1144" i="3"/>
  <c r="CB1144" i="3"/>
  <c r="CA1144" i="3"/>
  <c r="BZ1144" i="3"/>
  <c r="BY1144" i="3"/>
  <c r="BX1144" i="3"/>
  <c r="BW1144" i="3"/>
  <c r="BV1144" i="3"/>
  <c r="BU1144" i="3"/>
  <c r="BT1144" i="3"/>
  <c r="BS1144" i="3"/>
  <c r="BR1144" i="3"/>
  <c r="BQ1144" i="3"/>
  <c r="BP1144" i="3"/>
  <c r="BO1144" i="3"/>
  <c r="BN1144" i="3"/>
  <c r="DU1143" i="3"/>
  <c r="DT1143" i="3"/>
  <c r="DS1143" i="3"/>
  <c r="DR1143" i="3"/>
  <c r="DQ1143" i="3"/>
  <c r="DP1143" i="3"/>
  <c r="DO1143" i="3"/>
  <c r="DN1143" i="3"/>
  <c r="DM1143" i="3"/>
  <c r="DL1143" i="3"/>
  <c r="DK1143" i="3"/>
  <c r="DJ1143" i="3"/>
  <c r="DI1143" i="3"/>
  <c r="DH1143" i="3"/>
  <c r="DG1143" i="3"/>
  <c r="DF1143" i="3"/>
  <c r="DE1143" i="3"/>
  <c r="DD1143" i="3"/>
  <c r="DC1143" i="3"/>
  <c r="DB1143" i="3"/>
  <c r="DA1143" i="3"/>
  <c r="CZ1143" i="3"/>
  <c r="CY1143" i="3"/>
  <c r="CX1143" i="3"/>
  <c r="CW1143" i="3"/>
  <c r="CV1143" i="3"/>
  <c r="CU1143" i="3"/>
  <c r="CT1143" i="3"/>
  <c r="CS1143" i="3"/>
  <c r="CR1143" i="3"/>
  <c r="CQ1143" i="3"/>
  <c r="CP1143" i="3"/>
  <c r="CO1143" i="3"/>
  <c r="CN1143" i="3"/>
  <c r="CM1143" i="3"/>
  <c r="CL1143" i="3"/>
  <c r="CK1143" i="3"/>
  <c r="CJ1143" i="3"/>
  <c r="CI1143" i="3"/>
  <c r="CH1143" i="3"/>
  <c r="CG1143" i="3"/>
  <c r="CF1143" i="3"/>
  <c r="CE1143" i="3"/>
  <c r="CD1143" i="3"/>
  <c r="CC1143" i="3"/>
  <c r="CB1143" i="3"/>
  <c r="CA1143" i="3"/>
  <c r="BZ1143" i="3"/>
  <c r="BY1143" i="3"/>
  <c r="BX1143" i="3"/>
  <c r="BW1143" i="3"/>
  <c r="BV1143" i="3"/>
  <c r="BU1143" i="3"/>
  <c r="BT1143" i="3"/>
  <c r="BS1143" i="3"/>
  <c r="BR1143" i="3"/>
  <c r="BQ1143" i="3"/>
  <c r="BP1143" i="3"/>
  <c r="BO1143" i="3"/>
  <c r="BN1143" i="3"/>
  <c r="DU1142" i="3"/>
  <c r="DT1142" i="3"/>
  <c r="DS1142" i="3"/>
  <c r="DR1142" i="3"/>
  <c r="DQ1142" i="3"/>
  <c r="DP1142" i="3"/>
  <c r="DO1142" i="3"/>
  <c r="DN1142" i="3"/>
  <c r="DM1142" i="3"/>
  <c r="DL1142" i="3"/>
  <c r="DK1142" i="3"/>
  <c r="DJ1142" i="3"/>
  <c r="DI1142" i="3"/>
  <c r="DH1142" i="3"/>
  <c r="DG1142" i="3"/>
  <c r="DF1142" i="3"/>
  <c r="DE1142" i="3"/>
  <c r="DD1142" i="3"/>
  <c r="DC1142" i="3"/>
  <c r="DB1142" i="3"/>
  <c r="DA1142" i="3"/>
  <c r="CZ1142" i="3"/>
  <c r="CY1142" i="3"/>
  <c r="CX1142" i="3"/>
  <c r="CW1142" i="3"/>
  <c r="CV1142" i="3"/>
  <c r="CU1142" i="3"/>
  <c r="CT1142" i="3"/>
  <c r="CS1142" i="3"/>
  <c r="CR1142" i="3"/>
  <c r="CQ1142" i="3"/>
  <c r="CP1142" i="3"/>
  <c r="CO1142" i="3"/>
  <c r="CN1142" i="3"/>
  <c r="CM1142" i="3"/>
  <c r="CL1142" i="3"/>
  <c r="CK1142" i="3"/>
  <c r="CJ1142" i="3"/>
  <c r="CI1142" i="3"/>
  <c r="CH1142" i="3"/>
  <c r="CG1142" i="3"/>
  <c r="CF1142" i="3"/>
  <c r="CE1142" i="3"/>
  <c r="CD1142" i="3"/>
  <c r="CC1142" i="3"/>
  <c r="CB1142" i="3"/>
  <c r="CA1142" i="3"/>
  <c r="BZ1142" i="3"/>
  <c r="BY1142" i="3"/>
  <c r="BX1142" i="3"/>
  <c r="BW1142" i="3"/>
  <c r="BV1142" i="3"/>
  <c r="BU1142" i="3"/>
  <c r="BT1142" i="3"/>
  <c r="BS1142" i="3"/>
  <c r="BR1142" i="3"/>
  <c r="BQ1142" i="3"/>
  <c r="BP1142" i="3"/>
  <c r="BO1142" i="3"/>
  <c r="BN1142" i="3"/>
  <c r="DU1141" i="3"/>
  <c r="DT1141" i="3"/>
  <c r="DS1141" i="3"/>
  <c r="DR1141" i="3"/>
  <c r="DQ1141" i="3"/>
  <c r="DP1141" i="3"/>
  <c r="DO1141" i="3"/>
  <c r="DN1141" i="3"/>
  <c r="DM1141" i="3"/>
  <c r="DL1141" i="3"/>
  <c r="DK1141" i="3"/>
  <c r="DJ1141" i="3"/>
  <c r="DI1141" i="3"/>
  <c r="DH1141" i="3"/>
  <c r="DG1141" i="3"/>
  <c r="DF1141" i="3"/>
  <c r="DE1141" i="3"/>
  <c r="DD1141" i="3"/>
  <c r="DC1141" i="3"/>
  <c r="DB1141" i="3"/>
  <c r="DA1141" i="3"/>
  <c r="CZ1141" i="3"/>
  <c r="CY1141" i="3"/>
  <c r="CX1141" i="3"/>
  <c r="CW1141" i="3"/>
  <c r="CV1141" i="3"/>
  <c r="CU1141" i="3"/>
  <c r="CT1141" i="3"/>
  <c r="CS1141" i="3"/>
  <c r="CR1141" i="3"/>
  <c r="CQ1141" i="3"/>
  <c r="CP1141" i="3"/>
  <c r="CO1141" i="3"/>
  <c r="CN1141" i="3"/>
  <c r="CM1141" i="3"/>
  <c r="CL1141" i="3"/>
  <c r="CK1141" i="3"/>
  <c r="CJ1141" i="3"/>
  <c r="CI1141" i="3"/>
  <c r="CH1141" i="3"/>
  <c r="CG1141" i="3"/>
  <c r="CF1141" i="3"/>
  <c r="CE1141" i="3"/>
  <c r="CD1141" i="3"/>
  <c r="CC1141" i="3"/>
  <c r="CB1141" i="3"/>
  <c r="CA1141" i="3"/>
  <c r="BZ1141" i="3"/>
  <c r="BY1141" i="3"/>
  <c r="BX1141" i="3"/>
  <c r="BW1141" i="3"/>
  <c r="BV1141" i="3"/>
  <c r="BU1141" i="3"/>
  <c r="BT1141" i="3"/>
  <c r="BS1141" i="3"/>
  <c r="BR1141" i="3"/>
  <c r="BQ1141" i="3"/>
  <c r="BP1141" i="3"/>
  <c r="BO1141" i="3"/>
  <c r="BN1141" i="3"/>
  <c r="DU1140" i="3"/>
  <c r="DT1140" i="3"/>
  <c r="DS1140" i="3"/>
  <c r="DR1140" i="3"/>
  <c r="DQ1140" i="3"/>
  <c r="DP1140" i="3"/>
  <c r="DO1140" i="3"/>
  <c r="DN1140" i="3"/>
  <c r="DM1140" i="3"/>
  <c r="DL1140" i="3"/>
  <c r="DK1140" i="3"/>
  <c r="DJ1140" i="3"/>
  <c r="DI1140" i="3"/>
  <c r="DH1140" i="3"/>
  <c r="DG1140" i="3"/>
  <c r="DF1140" i="3"/>
  <c r="DE1140" i="3"/>
  <c r="DD1140" i="3"/>
  <c r="DC1140" i="3"/>
  <c r="DB1140" i="3"/>
  <c r="DA1140" i="3"/>
  <c r="CZ1140" i="3"/>
  <c r="CY1140" i="3"/>
  <c r="CX1140" i="3"/>
  <c r="CW1140" i="3"/>
  <c r="CV1140" i="3"/>
  <c r="CU1140" i="3"/>
  <c r="CT1140" i="3"/>
  <c r="CS1140" i="3"/>
  <c r="CR1140" i="3"/>
  <c r="CQ1140" i="3"/>
  <c r="CP1140" i="3"/>
  <c r="CO1140" i="3"/>
  <c r="CN1140" i="3"/>
  <c r="CM1140" i="3"/>
  <c r="CL1140" i="3"/>
  <c r="CK1140" i="3"/>
  <c r="CJ1140" i="3"/>
  <c r="CI1140" i="3"/>
  <c r="CH1140" i="3"/>
  <c r="CG1140" i="3"/>
  <c r="CF1140" i="3"/>
  <c r="CE1140" i="3"/>
  <c r="CD1140" i="3"/>
  <c r="CC1140" i="3"/>
  <c r="CB1140" i="3"/>
  <c r="CA1140" i="3"/>
  <c r="BZ1140" i="3"/>
  <c r="BY1140" i="3"/>
  <c r="BX1140" i="3"/>
  <c r="BW1140" i="3"/>
  <c r="BV1140" i="3"/>
  <c r="BU1140" i="3"/>
  <c r="BT1140" i="3"/>
  <c r="BS1140" i="3"/>
  <c r="BR1140" i="3"/>
  <c r="BQ1140" i="3"/>
  <c r="BP1140" i="3"/>
  <c r="BO1140" i="3"/>
  <c r="BN1140" i="3"/>
  <c r="DU1139" i="3"/>
  <c r="DT1139" i="3"/>
  <c r="DS1139" i="3"/>
  <c r="DR1139" i="3"/>
  <c r="DQ1139" i="3"/>
  <c r="DP1139" i="3"/>
  <c r="DO1139" i="3"/>
  <c r="DN1139" i="3"/>
  <c r="DM1139" i="3"/>
  <c r="DL1139" i="3"/>
  <c r="DK1139" i="3"/>
  <c r="DJ1139" i="3"/>
  <c r="DI1139" i="3"/>
  <c r="DH1139" i="3"/>
  <c r="DG1139" i="3"/>
  <c r="DF1139" i="3"/>
  <c r="DE1139" i="3"/>
  <c r="DD1139" i="3"/>
  <c r="DC1139" i="3"/>
  <c r="DB1139" i="3"/>
  <c r="DA1139" i="3"/>
  <c r="CZ1139" i="3"/>
  <c r="CY1139" i="3"/>
  <c r="CX1139" i="3"/>
  <c r="CW1139" i="3"/>
  <c r="CV1139" i="3"/>
  <c r="CU1139" i="3"/>
  <c r="CT1139" i="3"/>
  <c r="CS1139" i="3"/>
  <c r="CR1139" i="3"/>
  <c r="CQ1139" i="3"/>
  <c r="CP1139" i="3"/>
  <c r="CO1139" i="3"/>
  <c r="CN1139" i="3"/>
  <c r="CM1139" i="3"/>
  <c r="CL1139" i="3"/>
  <c r="CK1139" i="3"/>
  <c r="CJ1139" i="3"/>
  <c r="CI1139" i="3"/>
  <c r="CH1139" i="3"/>
  <c r="CG1139" i="3"/>
  <c r="CF1139" i="3"/>
  <c r="CE1139" i="3"/>
  <c r="CD1139" i="3"/>
  <c r="CC1139" i="3"/>
  <c r="CB1139" i="3"/>
  <c r="CA1139" i="3"/>
  <c r="BZ1139" i="3"/>
  <c r="BY1139" i="3"/>
  <c r="BX1139" i="3"/>
  <c r="BW1139" i="3"/>
  <c r="BV1139" i="3"/>
  <c r="BU1139" i="3"/>
  <c r="BT1139" i="3"/>
  <c r="BS1139" i="3"/>
  <c r="BR1139" i="3"/>
  <c r="BQ1139" i="3"/>
  <c r="BP1139" i="3"/>
  <c r="BO1139" i="3"/>
  <c r="BN1139" i="3"/>
  <c r="DU1138" i="3"/>
  <c r="DT1138" i="3"/>
  <c r="DS1138" i="3"/>
  <c r="DR1138" i="3"/>
  <c r="DQ1138" i="3"/>
  <c r="DP1138" i="3"/>
  <c r="DO1138" i="3"/>
  <c r="DN1138" i="3"/>
  <c r="DM1138" i="3"/>
  <c r="DL1138" i="3"/>
  <c r="DK1138" i="3"/>
  <c r="DJ1138" i="3"/>
  <c r="DI1138" i="3"/>
  <c r="DH1138" i="3"/>
  <c r="DG1138" i="3"/>
  <c r="DF1138" i="3"/>
  <c r="DE1138" i="3"/>
  <c r="DD1138" i="3"/>
  <c r="DC1138" i="3"/>
  <c r="DB1138" i="3"/>
  <c r="DA1138" i="3"/>
  <c r="CZ1138" i="3"/>
  <c r="CY1138" i="3"/>
  <c r="CX1138" i="3"/>
  <c r="CW1138" i="3"/>
  <c r="CV1138" i="3"/>
  <c r="CU1138" i="3"/>
  <c r="CT1138" i="3"/>
  <c r="CS1138" i="3"/>
  <c r="CR1138" i="3"/>
  <c r="CQ1138" i="3"/>
  <c r="CP1138" i="3"/>
  <c r="CO1138" i="3"/>
  <c r="CN1138" i="3"/>
  <c r="CM1138" i="3"/>
  <c r="CL1138" i="3"/>
  <c r="CK1138" i="3"/>
  <c r="CJ1138" i="3"/>
  <c r="CI1138" i="3"/>
  <c r="CH1138" i="3"/>
  <c r="CG1138" i="3"/>
  <c r="CF1138" i="3"/>
  <c r="CE1138" i="3"/>
  <c r="CD1138" i="3"/>
  <c r="CC1138" i="3"/>
  <c r="CB1138" i="3"/>
  <c r="CA1138" i="3"/>
  <c r="BZ1138" i="3"/>
  <c r="BY1138" i="3"/>
  <c r="BX1138" i="3"/>
  <c r="BW1138" i="3"/>
  <c r="BV1138" i="3"/>
  <c r="BU1138" i="3"/>
  <c r="BT1138" i="3"/>
  <c r="BS1138" i="3"/>
  <c r="BR1138" i="3"/>
  <c r="BQ1138" i="3"/>
  <c r="BP1138" i="3"/>
  <c r="BO1138" i="3"/>
  <c r="BN1138" i="3"/>
  <c r="DU1137" i="3"/>
  <c r="DT1137" i="3"/>
  <c r="DS1137" i="3"/>
  <c r="DR1137" i="3"/>
  <c r="DQ1137" i="3"/>
  <c r="DP1137" i="3"/>
  <c r="DO1137" i="3"/>
  <c r="DN1137" i="3"/>
  <c r="DM1137" i="3"/>
  <c r="DL1137" i="3"/>
  <c r="DK1137" i="3"/>
  <c r="DJ1137" i="3"/>
  <c r="DI1137" i="3"/>
  <c r="DH1137" i="3"/>
  <c r="DG1137" i="3"/>
  <c r="DF1137" i="3"/>
  <c r="DE1137" i="3"/>
  <c r="DD1137" i="3"/>
  <c r="DC1137" i="3"/>
  <c r="DB1137" i="3"/>
  <c r="DA1137" i="3"/>
  <c r="CZ1137" i="3"/>
  <c r="CY1137" i="3"/>
  <c r="CX1137" i="3"/>
  <c r="CW1137" i="3"/>
  <c r="CV1137" i="3"/>
  <c r="CU1137" i="3"/>
  <c r="CT1137" i="3"/>
  <c r="CS1137" i="3"/>
  <c r="CR1137" i="3"/>
  <c r="CQ1137" i="3"/>
  <c r="CP1137" i="3"/>
  <c r="CO1137" i="3"/>
  <c r="CN1137" i="3"/>
  <c r="CM1137" i="3"/>
  <c r="CL1137" i="3"/>
  <c r="CK1137" i="3"/>
  <c r="CJ1137" i="3"/>
  <c r="CI1137" i="3"/>
  <c r="CH1137" i="3"/>
  <c r="CG1137" i="3"/>
  <c r="CF1137" i="3"/>
  <c r="CE1137" i="3"/>
  <c r="CD1137" i="3"/>
  <c r="CC1137" i="3"/>
  <c r="CB1137" i="3"/>
  <c r="CA1137" i="3"/>
  <c r="BZ1137" i="3"/>
  <c r="BY1137" i="3"/>
  <c r="BX1137" i="3"/>
  <c r="BW1137" i="3"/>
  <c r="BV1137" i="3"/>
  <c r="BU1137" i="3"/>
  <c r="BT1137" i="3"/>
  <c r="BS1137" i="3"/>
  <c r="BR1137" i="3"/>
  <c r="BQ1137" i="3"/>
  <c r="BP1137" i="3"/>
  <c r="BO1137" i="3"/>
  <c r="BN1137" i="3"/>
  <c r="DU1136" i="3"/>
  <c r="DT1136" i="3"/>
  <c r="DS1136" i="3"/>
  <c r="DR1136" i="3"/>
  <c r="DQ1136" i="3"/>
  <c r="DP1136" i="3"/>
  <c r="DO1136" i="3"/>
  <c r="DN1136" i="3"/>
  <c r="DM1136" i="3"/>
  <c r="DL1136" i="3"/>
  <c r="DK1136" i="3"/>
  <c r="DJ1136" i="3"/>
  <c r="DI1136" i="3"/>
  <c r="DH1136" i="3"/>
  <c r="DG1136" i="3"/>
  <c r="DF1136" i="3"/>
  <c r="DE1136" i="3"/>
  <c r="DD1136" i="3"/>
  <c r="DC1136" i="3"/>
  <c r="DB1136" i="3"/>
  <c r="DA1136" i="3"/>
  <c r="CZ1136" i="3"/>
  <c r="CY1136" i="3"/>
  <c r="CX1136" i="3"/>
  <c r="CW1136" i="3"/>
  <c r="CV1136" i="3"/>
  <c r="CU1136" i="3"/>
  <c r="CT1136" i="3"/>
  <c r="CS1136" i="3"/>
  <c r="CR1136" i="3"/>
  <c r="CQ1136" i="3"/>
  <c r="CP1136" i="3"/>
  <c r="CO1136" i="3"/>
  <c r="CN1136" i="3"/>
  <c r="CM1136" i="3"/>
  <c r="CL1136" i="3"/>
  <c r="CK1136" i="3"/>
  <c r="CJ1136" i="3"/>
  <c r="CI1136" i="3"/>
  <c r="CH1136" i="3"/>
  <c r="CG1136" i="3"/>
  <c r="CF1136" i="3"/>
  <c r="CE1136" i="3"/>
  <c r="CD1136" i="3"/>
  <c r="CC1136" i="3"/>
  <c r="CB1136" i="3"/>
  <c r="CA1136" i="3"/>
  <c r="BZ1136" i="3"/>
  <c r="BY1136" i="3"/>
  <c r="BX1136" i="3"/>
  <c r="BW1136" i="3"/>
  <c r="BV1136" i="3"/>
  <c r="BU1136" i="3"/>
  <c r="BT1136" i="3"/>
  <c r="BS1136" i="3"/>
  <c r="BR1136" i="3"/>
  <c r="BQ1136" i="3"/>
  <c r="BP1136" i="3"/>
  <c r="BO1136" i="3"/>
  <c r="BN1136" i="3"/>
  <c r="DU1135" i="3"/>
  <c r="DT1135" i="3"/>
  <c r="DS1135" i="3"/>
  <c r="DR1135" i="3"/>
  <c r="DQ1135" i="3"/>
  <c r="DP1135" i="3"/>
  <c r="DO1135" i="3"/>
  <c r="DN1135" i="3"/>
  <c r="DM1135" i="3"/>
  <c r="DL1135" i="3"/>
  <c r="DK1135" i="3"/>
  <c r="DJ1135" i="3"/>
  <c r="DI1135" i="3"/>
  <c r="DH1135" i="3"/>
  <c r="DG1135" i="3"/>
  <c r="DF1135" i="3"/>
  <c r="DE1135" i="3"/>
  <c r="DD1135" i="3"/>
  <c r="DC1135" i="3"/>
  <c r="DB1135" i="3"/>
  <c r="DA1135" i="3"/>
  <c r="CZ1135" i="3"/>
  <c r="CY1135" i="3"/>
  <c r="CX1135" i="3"/>
  <c r="CW1135" i="3"/>
  <c r="CV1135" i="3"/>
  <c r="CU1135" i="3"/>
  <c r="CT1135" i="3"/>
  <c r="CS1135" i="3"/>
  <c r="CR1135" i="3"/>
  <c r="CQ1135" i="3"/>
  <c r="CP1135" i="3"/>
  <c r="CO1135" i="3"/>
  <c r="CN1135" i="3"/>
  <c r="CM1135" i="3"/>
  <c r="CL1135" i="3"/>
  <c r="CK1135" i="3"/>
  <c r="CJ1135" i="3"/>
  <c r="CI1135" i="3"/>
  <c r="CH1135" i="3"/>
  <c r="CG1135" i="3"/>
  <c r="CF1135" i="3"/>
  <c r="CE1135" i="3"/>
  <c r="CD1135" i="3"/>
  <c r="CC1135" i="3"/>
  <c r="CB1135" i="3"/>
  <c r="CA1135" i="3"/>
  <c r="BZ1135" i="3"/>
  <c r="BY1135" i="3"/>
  <c r="BX1135" i="3"/>
  <c r="BW1135" i="3"/>
  <c r="BV1135" i="3"/>
  <c r="BU1135" i="3"/>
  <c r="BT1135" i="3"/>
  <c r="BS1135" i="3"/>
  <c r="BR1135" i="3"/>
  <c r="BQ1135" i="3"/>
  <c r="BP1135" i="3"/>
  <c r="BO1135" i="3"/>
  <c r="BN1135" i="3"/>
  <c r="DU1134" i="3"/>
  <c r="DT1134" i="3"/>
  <c r="DS1134" i="3"/>
  <c r="DR1134" i="3"/>
  <c r="DQ1134" i="3"/>
  <c r="DP1134" i="3"/>
  <c r="DO1134" i="3"/>
  <c r="DN1134" i="3"/>
  <c r="DM1134" i="3"/>
  <c r="DL1134" i="3"/>
  <c r="DK1134" i="3"/>
  <c r="DJ1134" i="3"/>
  <c r="DI1134" i="3"/>
  <c r="DH1134" i="3"/>
  <c r="DG1134" i="3"/>
  <c r="DF1134" i="3"/>
  <c r="DE1134" i="3"/>
  <c r="DD1134" i="3"/>
  <c r="DC1134" i="3"/>
  <c r="DB1134" i="3"/>
  <c r="DA1134" i="3"/>
  <c r="CZ1134" i="3"/>
  <c r="CY1134" i="3"/>
  <c r="CX1134" i="3"/>
  <c r="CW1134" i="3"/>
  <c r="CV1134" i="3"/>
  <c r="CU1134" i="3"/>
  <c r="CT1134" i="3"/>
  <c r="CS1134" i="3"/>
  <c r="CR1134" i="3"/>
  <c r="CQ1134" i="3"/>
  <c r="CP1134" i="3"/>
  <c r="CO1134" i="3"/>
  <c r="CN1134" i="3"/>
  <c r="CM1134" i="3"/>
  <c r="CL1134" i="3"/>
  <c r="CK1134" i="3"/>
  <c r="CJ1134" i="3"/>
  <c r="CI1134" i="3"/>
  <c r="CH1134" i="3"/>
  <c r="CG1134" i="3"/>
  <c r="CF1134" i="3"/>
  <c r="CE1134" i="3"/>
  <c r="CD1134" i="3"/>
  <c r="CC1134" i="3"/>
  <c r="CB1134" i="3"/>
  <c r="CA1134" i="3"/>
  <c r="BZ1134" i="3"/>
  <c r="BY1134" i="3"/>
  <c r="BX1134" i="3"/>
  <c r="BW1134" i="3"/>
  <c r="BV1134" i="3"/>
  <c r="BU1134" i="3"/>
  <c r="BT1134" i="3"/>
  <c r="BS1134" i="3"/>
  <c r="BR1134" i="3"/>
  <c r="BQ1134" i="3"/>
  <c r="BP1134" i="3"/>
  <c r="BO1134" i="3"/>
  <c r="BN1134" i="3"/>
  <c r="DU1133" i="3"/>
  <c r="DT1133" i="3"/>
  <c r="DS1133" i="3"/>
  <c r="DR1133" i="3"/>
  <c r="DQ1133" i="3"/>
  <c r="DP1133" i="3"/>
  <c r="DO1133" i="3"/>
  <c r="DN1133" i="3"/>
  <c r="DM1133" i="3"/>
  <c r="DL1133" i="3"/>
  <c r="DK1133" i="3"/>
  <c r="DJ1133" i="3"/>
  <c r="DI1133" i="3"/>
  <c r="DH1133" i="3"/>
  <c r="DG1133" i="3"/>
  <c r="DF1133" i="3"/>
  <c r="DE1133" i="3"/>
  <c r="DD1133" i="3"/>
  <c r="DC1133" i="3"/>
  <c r="DB1133" i="3"/>
  <c r="DA1133" i="3"/>
  <c r="CZ1133" i="3"/>
  <c r="CY1133" i="3"/>
  <c r="CX1133" i="3"/>
  <c r="CW1133" i="3"/>
  <c r="CV1133" i="3"/>
  <c r="CU1133" i="3"/>
  <c r="CT1133" i="3"/>
  <c r="CS1133" i="3"/>
  <c r="CR1133" i="3"/>
  <c r="CQ1133" i="3"/>
  <c r="CP1133" i="3"/>
  <c r="CO1133" i="3"/>
  <c r="CN1133" i="3"/>
  <c r="CM1133" i="3"/>
  <c r="CL1133" i="3"/>
  <c r="CK1133" i="3"/>
  <c r="CJ1133" i="3"/>
  <c r="CI1133" i="3"/>
  <c r="CH1133" i="3"/>
  <c r="CG1133" i="3"/>
  <c r="CF1133" i="3"/>
  <c r="CE1133" i="3"/>
  <c r="CD1133" i="3"/>
  <c r="CC1133" i="3"/>
  <c r="CB1133" i="3"/>
  <c r="CA1133" i="3"/>
  <c r="BZ1133" i="3"/>
  <c r="BY1133" i="3"/>
  <c r="BX1133" i="3"/>
  <c r="BW1133" i="3"/>
  <c r="BV1133" i="3"/>
  <c r="BU1133" i="3"/>
  <c r="BT1133" i="3"/>
  <c r="BS1133" i="3"/>
  <c r="BR1133" i="3"/>
  <c r="BQ1133" i="3"/>
  <c r="BP1133" i="3"/>
  <c r="BO1133" i="3"/>
  <c r="BN1133" i="3"/>
  <c r="DU1132" i="3"/>
  <c r="DT1132" i="3"/>
  <c r="DS1132" i="3"/>
  <c r="DR1132" i="3"/>
  <c r="DQ1132" i="3"/>
  <c r="DP1132" i="3"/>
  <c r="DO1132" i="3"/>
  <c r="DN1132" i="3"/>
  <c r="DM1132" i="3"/>
  <c r="DL1132" i="3"/>
  <c r="DK1132" i="3"/>
  <c r="DJ1132" i="3"/>
  <c r="DI1132" i="3"/>
  <c r="DH1132" i="3"/>
  <c r="DG1132" i="3"/>
  <c r="DF1132" i="3"/>
  <c r="DE1132" i="3"/>
  <c r="DD1132" i="3"/>
  <c r="DC1132" i="3"/>
  <c r="DB1132" i="3"/>
  <c r="DA1132" i="3"/>
  <c r="CZ1132" i="3"/>
  <c r="CY1132" i="3"/>
  <c r="CX1132" i="3"/>
  <c r="CW1132" i="3"/>
  <c r="CV1132" i="3"/>
  <c r="CU1132" i="3"/>
  <c r="CT1132" i="3"/>
  <c r="CS1132" i="3"/>
  <c r="CR1132" i="3"/>
  <c r="CQ1132" i="3"/>
  <c r="CP1132" i="3"/>
  <c r="CO1132" i="3"/>
  <c r="CN1132" i="3"/>
  <c r="CM1132" i="3"/>
  <c r="CL1132" i="3"/>
  <c r="CK1132" i="3"/>
  <c r="CJ1132" i="3"/>
  <c r="CI1132" i="3"/>
  <c r="CH1132" i="3"/>
  <c r="CG1132" i="3"/>
  <c r="CF1132" i="3"/>
  <c r="CE1132" i="3"/>
  <c r="CD1132" i="3"/>
  <c r="CC1132" i="3"/>
  <c r="CB1132" i="3"/>
  <c r="CA1132" i="3"/>
  <c r="BZ1132" i="3"/>
  <c r="BY1132" i="3"/>
  <c r="BX1132" i="3"/>
  <c r="BW1132" i="3"/>
  <c r="BV1132" i="3"/>
  <c r="BU1132" i="3"/>
  <c r="BT1132" i="3"/>
  <c r="BS1132" i="3"/>
  <c r="BR1132" i="3"/>
  <c r="BQ1132" i="3"/>
  <c r="BP1132" i="3"/>
  <c r="BO1132" i="3"/>
  <c r="BN1132" i="3"/>
  <c r="DU1131" i="3"/>
  <c r="DT1131" i="3"/>
  <c r="DS1131" i="3"/>
  <c r="DR1131" i="3"/>
  <c r="DQ1131" i="3"/>
  <c r="DP1131" i="3"/>
  <c r="DO1131" i="3"/>
  <c r="DN1131" i="3"/>
  <c r="DM1131" i="3"/>
  <c r="DL1131" i="3"/>
  <c r="DK1131" i="3"/>
  <c r="DJ1131" i="3"/>
  <c r="DI1131" i="3"/>
  <c r="DH1131" i="3"/>
  <c r="DG1131" i="3"/>
  <c r="DF1131" i="3"/>
  <c r="DE1131" i="3"/>
  <c r="DD1131" i="3"/>
  <c r="DC1131" i="3"/>
  <c r="DB1131" i="3"/>
  <c r="DA1131" i="3"/>
  <c r="CZ1131" i="3"/>
  <c r="CY1131" i="3"/>
  <c r="CX1131" i="3"/>
  <c r="CW1131" i="3"/>
  <c r="CV1131" i="3"/>
  <c r="CU1131" i="3"/>
  <c r="CT1131" i="3"/>
  <c r="CS1131" i="3"/>
  <c r="CR1131" i="3"/>
  <c r="CQ1131" i="3"/>
  <c r="CP1131" i="3"/>
  <c r="CO1131" i="3"/>
  <c r="CN1131" i="3"/>
  <c r="CM1131" i="3"/>
  <c r="CL1131" i="3"/>
  <c r="CK1131" i="3"/>
  <c r="CJ1131" i="3"/>
  <c r="CI1131" i="3"/>
  <c r="CH1131" i="3"/>
  <c r="CG1131" i="3"/>
  <c r="CF1131" i="3"/>
  <c r="CE1131" i="3"/>
  <c r="CD1131" i="3"/>
  <c r="CC1131" i="3"/>
  <c r="CB1131" i="3"/>
  <c r="CA1131" i="3"/>
  <c r="BZ1131" i="3"/>
  <c r="BY1131" i="3"/>
  <c r="BX1131" i="3"/>
  <c r="BW1131" i="3"/>
  <c r="BV1131" i="3"/>
  <c r="BU1131" i="3"/>
  <c r="BT1131" i="3"/>
  <c r="BS1131" i="3"/>
  <c r="BR1131" i="3"/>
  <c r="BQ1131" i="3"/>
  <c r="BP1131" i="3"/>
  <c r="BO1131" i="3"/>
  <c r="BN1131" i="3"/>
  <c r="DU1130" i="3"/>
  <c r="DT1130" i="3"/>
  <c r="DS1130" i="3"/>
  <c r="DR1130" i="3"/>
  <c r="DQ1130" i="3"/>
  <c r="DP1130" i="3"/>
  <c r="DO1130" i="3"/>
  <c r="DN1130" i="3"/>
  <c r="DM1130" i="3"/>
  <c r="DL1130" i="3"/>
  <c r="DK1130" i="3"/>
  <c r="DJ1130" i="3"/>
  <c r="DI1130" i="3"/>
  <c r="DH1130" i="3"/>
  <c r="DG1130" i="3"/>
  <c r="DF1130" i="3"/>
  <c r="DE1130" i="3"/>
  <c r="DD1130" i="3"/>
  <c r="DC1130" i="3"/>
  <c r="DB1130" i="3"/>
  <c r="DA1130" i="3"/>
  <c r="CZ1130" i="3"/>
  <c r="CY1130" i="3"/>
  <c r="CX1130" i="3"/>
  <c r="CW1130" i="3"/>
  <c r="CV1130" i="3"/>
  <c r="CU1130" i="3"/>
  <c r="CT1130" i="3"/>
  <c r="CS1130" i="3"/>
  <c r="CR1130" i="3"/>
  <c r="CQ1130" i="3"/>
  <c r="CP1130" i="3"/>
  <c r="CO1130" i="3"/>
  <c r="CN1130" i="3"/>
  <c r="CM1130" i="3"/>
  <c r="CL1130" i="3"/>
  <c r="CK1130" i="3"/>
  <c r="CJ1130" i="3"/>
  <c r="CI1130" i="3"/>
  <c r="CH1130" i="3"/>
  <c r="CG1130" i="3"/>
  <c r="CF1130" i="3"/>
  <c r="CE1130" i="3"/>
  <c r="CD1130" i="3"/>
  <c r="CC1130" i="3"/>
  <c r="CB1130" i="3"/>
  <c r="CA1130" i="3"/>
  <c r="BZ1130" i="3"/>
  <c r="BY1130" i="3"/>
  <c r="BX1130" i="3"/>
  <c r="BW1130" i="3"/>
  <c r="BV1130" i="3"/>
  <c r="BU1130" i="3"/>
  <c r="BT1130" i="3"/>
  <c r="BS1130" i="3"/>
  <c r="BR1130" i="3"/>
  <c r="BQ1130" i="3"/>
  <c r="BP1130" i="3"/>
  <c r="BO1130" i="3"/>
  <c r="BN1130" i="3"/>
  <c r="DU1129" i="3"/>
  <c r="DT1129" i="3"/>
  <c r="DS1129" i="3"/>
  <c r="DR1129" i="3"/>
  <c r="DQ1129" i="3"/>
  <c r="DP1129" i="3"/>
  <c r="DO1129" i="3"/>
  <c r="DN1129" i="3"/>
  <c r="DM1129" i="3"/>
  <c r="DL1129" i="3"/>
  <c r="DK1129" i="3"/>
  <c r="DJ1129" i="3"/>
  <c r="DI1129" i="3"/>
  <c r="DH1129" i="3"/>
  <c r="DG1129" i="3"/>
  <c r="DF1129" i="3"/>
  <c r="DE1129" i="3"/>
  <c r="DD1129" i="3"/>
  <c r="DC1129" i="3"/>
  <c r="DB1129" i="3"/>
  <c r="DA1129" i="3"/>
  <c r="CZ1129" i="3"/>
  <c r="CY1129" i="3"/>
  <c r="CX1129" i="3"/>
  <c r="CW1129" i="3"/>
  <c r="CV1129" i="3"/>
  <c r="CU1129" i="3"/>
  <c r="CT1129" i="3"/>
  <c r="CS1129" i="3"/>
  <c r="CR1129" i="3"/>
  <c r="CQ1129" i="3"/>
  <c r="CP1129" i="3"/>
  <c r="CO1129" i="3"/>
  <c r="CN1129" i="3"/>
  <c r="CM1129" i="3"/>
  <c r="CL1129" i="3"/>
  <c r="CK1129" i="3"/>
  <c r="CJ1129" i="3"/>
  <c r="CI1129" i="3"/>
  <c r="CH1129" i="3"/>
  <c r="CG1129" i="3"/>
  <c r="CF1129" i="3"/>
  <c r="CE1129" i="3"/>
  <c r="CD1129" i="3"/>
  <c r="CC1129" i="3"/>
  <c r="CB1129" i="3"/>
  <c r="CA1129" i="3"/>
  <c r="BZ1129" i="3"/>
  <c r="BY1129" i="3"/>
  <c r="BX1129" i="3"/>
  <c r="BW1129" i="3"/>
  <c r="BV1129" i="3"/>
  <c r="BU1129" i="3"/>
  <c r="BT1129" i="3"/>
  <c r="BS1129" i="3"/>
  <c r="BR1129" i="3"/>
  <c r="BQ1129" i="3"/>
  <c r="BP1129" i="3"/>
  <c r="BO1129" i="3"/>
  <c r="BN1129" i="3"/>
  <c r="DU1128" i="3"/>
  <c r="DT1128" i="3"/>
  <c r="DS1128" i="3"/>
  <c r="DR1128" i="3"/>
  <c r="DQ1128" i="3"/>
  <c r="DP1128" i="3"/>
  <c r="DO1128" i="3"/>
  <c r="DN1128" i="3"/>
  <c r="DM1128" i="3"/>
  <c r="DL1128" i="3"/>
  <c r="DK1128" i="3"/>
  <c r="DJ1128" i="3"/>
  <c r="DI1128" i="3"/>
  <c r="DH1128" i="3"/>
  <c r="DG1128" i="3"/>
  <c r="DF1128" i="3"/>
  <c r="DE1128" i="3"/>
  <c r="DD1128" i="3"/>
  <c r="DC1128" i="3"/>
  <c r="DB1128" i="3"/>
  <c r="DA1128" i="3"/>
  <c r="CZ1128" i="3"/>
  <c r="CY1128" i="3"/>
  <c r="CX1128" i="3"/>
  <c r="CW1128" i="3"/>
  <c r="CV1128" i="3"/>
  <c r="CU1128" i="3"/>
  <c r="CT1128" i="3"/>
  <c r="CS1128" i="3"/>
  <c r="CR1128" i="3"/>
  <c r="CQ1128" i="3"/>
  <c r="CP1128" i="3"/>
  <c r="CO1128" i="3"/>
  <c r="CN1128" i="3"/>
  <c r="CM1128" i="3"/>
  <c r="CL1128" i="3"/>
  <c r="CK1128" i="3"/>
  <c r="CJ1128" i="3"/>
  <c r="CI1128" i="3"/>
  <c r="CH1128" i="3"/>
  <c r="CG1128" i="3"/>
  <c r="CF1128" i="3"/>
  <c r="CE1128" i="3"/>
  <c r="CD1128" i="3"/>
  <c r="CC1128" i="3"/>
  <c r="CB1128" i="3"/>
  <c r="CA1128" i="3"/>
  <c r="BZ1128" i="3"/>
  <c r="BY1128" i="3"/>
  <c r="BX1128" i="3"/>
  <c r="BW1128" i="3"/>
  <c r="BV1128" i="3"/>
  <c r="BU1128" i="3"/>
  <c r="BT1128" i="3"/>
  <c r="BS1128" i="3"/>
  <c r="BR1128" i="3"/>
  <c r="BQ1128" i="3"/>
  <c r="BP1128" i="3"/>
  <c r="BO1128" i="3"/>
  <c r="BN1128" i="3"/>
  <c r="DU1127" i="3"/>
  <c r="DT1127" i="3"/>
  <c r="DS1127" i="3"/>
  <c r="DR1127" i="3"/>
  <c r="DQ1127" i="3"/>
  <c r="DP1127" i="3"/>
  <c r="DO1127" i="3"/>
  <c r="DN1127" i="3"/>
  <c r="DM1127" i="3"/>
  <c r="DL1127" i="3"/>
  <c r="DK1127" i="3"/>
  <c r="DJ1127" i="3"/>
  <c r="DI1127" i="3"/>
  <c r="DH1127" i="3"/>
  <c r="DG1127" i="3"/>
  <c r="DF1127" i="3"/>
  <c r="DE1127" i="3"/>
  <c r="DD1127" i="3"/>
  <c r="DC1127" i="3"/>
  <c r="DB1127" i="3"/>
  <c r="DA1127" i="3"/>
  <c r="CZ1127" i="3"/>
  <c r="CY1127" i="3"/>
  <c r="CX1127" i="3"/>
  <c r="CW1127" i="3"/>
  <c r="CV1127" i="3"/>
  <c r="CU1127" i="3"/>
  <c r="CT1127" i="3"/>
  <c r="CS1127" i="3"/>
  <c r="CR1127" i="3"/>
  <c r="CQ1127" i="3"/>
  <c r="CP1127" i="3"/>
  <c r="CO1127" i="3"/>
  <c r="CN1127" i="3"/>
  <c r="CM1127" i="3"/>
  <c r="CL1127" i="3"/>
  <c r="CK1127" i="3"/>
  <c r="CJ1127" i="3"/>
  <c r="CI1127" i="3"/>
  <c r="CH1127" i="3"/>
  <c r="CG1127" i="3"/>
  <c r="CF1127" i="3"/>
  <c r="CE1127" i="3"/>
  <c r="CD1127" i="3"/>
  <c r="CC1127" i="3"/>
  <c r="CB1127" i="3"/>
  <c r="CA1127" i="3"/>
  <c r="BZ1127" i="3"/>
  <c r="BY1127" i="3"/>
  <c r="BX1127" i="3"/>
  <c r="BW1127" i="3"/>
  <c r="BV1127" i="3"/>
  <c r="BU1127" i="3"/>
  <c r="BT1127" i="3"/>
  <c r="BS1127" i="3"/>
  <c r="BR1127" i="3"/>
  <c r="BQ1127" i="3"/>
  <c r="BP1127" i="3"/>
  <c r="BO1127" i="3"/>
  <c r="BN1127" i="3"/>
  <c r="DU1126" i="3"/>
  <c r="DT1126" i="3"/>
  <c r="DS1126" i="3"/>
  <c r="DR1126" i="3"/>
  <c r="DQ1126" i="3"/>
  <c r="DP1126" i="3"/>
  <c r="DO1126" i="3"/>
  <c r="DN1126" i="3"/>
  <c r="DM1126" i="3"/>
  <c r="DL1126" i="3"/>
  <c r="DK1126" i="3"/>
  <c r="DJ1126" i="3"/>
  <c r="DI1126" i="3"/>
  <c r="DH1126" i="3"/>
  <c r="DG1126" i="3"/>
  <c r="DF1126" i="3"/>
  <c r="DE1126" i="3"/>
  <c r="DD1126" i="3"/>
  <c r="DC1126" i="3"/>
  <c r="DB1126" i="3"/>
  <c r="DA1126" i="3"/>
  <c r="CZ1126" i="3"/>
  <c r="CY1126" i="3"/>
  <c r="CX1126" i="3"/>
  <c r="CW1126" i="3"/>
  <c r="CV1126" i="3"/>
  <c r="CU1126" i="3"/>
  <c r="CT1126" i="3"/>
  <c r="CS1126" i="3"/>
  <c r="CR1126" i="3"/>
  <c r="CQ1126" i="3"/>
  <c r="CP1126" i="3"/>
  <c r="CO1126" i="3"/>
  <c r="CN1126" i="3"/>
  <c r="CM1126" i="3"/>
  <c r="CL1126" i="3"/>
  <c r="CK1126" i="3"/>
  <c r="CJ1126" i="3"/>
  <c r="CI1126" i="3"/>
  <c r="CH1126" i="3"/>
  <c r="CG1126" i="3"/>
  <c r="CF1126" i="3"/>
  <c r="CE1126" i="3"/>
  <c r="CD1126" i="3"/>
  <c r="CC1126" i="3"/>
  <c r="CB1126" i="3"/>
  <c r="CA1126" i="3"/>
  <c r="BZ1126" i="3"/>
  <c r="BY1126" i="3"/>
  <c r="BX1126" i="3"/>
  <c r="BW1126" i="3"/>
  <c r="BV1126" i="3"/>
  <c r="BU1126" i="3"/>
  <c r="BT1126" i="3"/>
  <c r="BS1126" i="3"/>
  <c r="BR1126" i="3"/>
  <c r="BQ1126" i="3"/>
  <c r="BP1126" i="3"/>
  <c r="BO1126" i="3"/>
  <c r="BN1126" i="3"/>
  <c r="DU1125" i="3"/>
  <c r="DT1125" i="3"/>
  <c r="DS1125" i="3"/>
  <c r="DR1125" i="3"/>
  <c r="DQ1125" i="3"/>
  <c r="DP1125" i="3"/>
  <c r="DO1125" i="3"/>
  <c r="DN1125" i="3"/>
  <c r="DM1125" i="3"/>
  <c r="DL1125" i="3"/>
  <c r="DK1125" i="3"/>
  <c r="DJ1125" i="3"/>
  <c r="DI1125" i="3"/>
  <c r="DH1125" i="3"/>
  <c r="DG1125" i="3"/>
  <c r="DF1125" i="3"/>
  <c r="DE1125" i="3"/>
  <c r="DD1125" i="3"/>
  <c r="DC1125" i="3"/>
  <c r="DB1125" i="3"/>
  <c r="DA1125" i="3"/>
  <c r="CZ1125" i="3"/>
  <c r="CY1125" i="3"/>
  <c r="CX1125" i="3"/>
  <c r="CW1125" i="3"/>
  <c r="CV1125" i="3"/>
  <c r="CU1125" i="3"/>
  <c r="CT1125" i="3"/>
  <c r="CS1125" i="3"/>
  <c r="CR1125" i="3"/>
  <c r="CQ1125" i="3"/>
  <c r="CP1125" i="3"/>
  <c r="CO1125" i="3"/>
  <c r="CN1125" i="3"/>
  <c r="CM1125" i="3"/>
  <c r="CL1125" i="3"/>
  <c r="CK1125" i="3"/>
  <c r="CJ1125" i="3"/>
  <c r="CI1125" i="3"/>
  <c r="CH1125" i="3"/>
  <c r="CG1125" i="3"/>
  <c r="CF1125" i="3"/>
  <c r="CE1125" i="3"/>
  <c r="CD1125" i="3"/>
  <c r="CC1125" i="3"/>
  <c r="CB1125" i="3"/>
  <c r="CA1125" i="3"/>
  <c r="BZ1125" i="3"/>
  <c r="BY1125" i="3"/>
  <c r="BX1125" i="3"/>
  <c r="BW1125" i="3"/>
  <c r="BV1125" i="3"/>
  <c r="BU1125" i="3"/>
  <c r="BT1125" i="3"/>
  <c r="BS1125" i="3"/>
  <c r="BR1125" i="3"/>
  <c r="BQ1125" i="3"/>
  <c r="BP1125" i="3"/>
  <c r="BO1125" i="3"/>
  <c r="BN1125" i="3"/>
  <c r="DU1124" i="3"/>
  <c r="DT1124" i="3"/>
  <c r="DS1124" i="3"/>
  <c r="DR1124" i="3"/>
  <c r="DQ1124" i="3"/>
  <c r="DP1124" i="3"/>
  <c r="DO1124" i="3"/>
  <c r="DN1124" i="3"/>
  <c r="DM1124" i="3"/>
  <c r="DL1124" i="3"/>
  <c r="DK1124" i="3"/>
  <c r="DJ1124" i="3"/>
  <c r="DI1124" i="3"/>
  <c r="DH1124" i="3"/>
  <c r="DG1124" i="3"/>
  <c r="DF1124" i="3"/>
  <c r="DE1124" i="3"/>
  <c r="DD1124" i="3"/>
  <c r="DC1124" i="3"/>
  <c r="DB1124" i="3"/>
  <c r="DA1124" i="3"/>
  <c r="CZ1124" i="3"/>
  <c r="CY1124" i="3"/>
  <c r="CX1124" i="3"/>
  <c r="CW1124" i="3"/>
  <c r="CV1124" i="3"/>
  <c r="CU1124" i="3"/>
  <c r="CT1124" i="3"/>
  <c r="CS1124" i="3"/>
  <c r="CR1124" i="3"/>
  <c r="CQ1124" i="3"/>
  <c r="CP1124" i="3"/>
  <c r="CO1124" i="3"/>
  <c r="CN1124" i="3"/>
  <c r="CM1124" i="3"/>
  <c r="CL1124" i="3"/>
  <c r="CK1124" i="3"/>
  <c r="CJ1124" i="3"/>
  <c r="CI1124" i="3"/>
  <c r="CH1124" i="3"/>
  <c r="CG1124" i="3"/>
  <c r="CF1124" i="3"/>
  <c r="CE1124" i="3"/>
  <c r="CD1124" i="3"/>
  <c r="CC1124" i="3"/>
  <c r="CB1124" i="3"/>
  <c r="CA1124" i="3"/>
  <c r="BZ1124" i="3"/>
  <c r="BY1124" i="3"/>
  <c r="BX1124" i="3"/>
  <c r="BW1124" i="3"/>
  <c r="BV1124" i="3"/>
  <c r="BU1124" i="3"/>
  <c r="BT1124" i="3"/>
  <c r="BS1124" i="3"/>
  <c r="BR1124" i="3"/>
  <c r="BQ1124" i="3"/>
  <c r="BP1124" i="3"/>
  <c r="BO1124" i="3"/>
  <c r="BN1124" i="3"/>
  <c r="DU1123" i="3"/>
  <c r="DT1123" i="3"/>
  <c r="DS1123" i="3"/>
  <c r="DR1123" i="3"/>
  <c r="DQ1123" i="3"/>
  <c r="DP1123" i="3"/>
  <c r="DO1123" i="3"/>
  <c r="DN1123" i="3"/>
  <c r="DM1123" i="3"/>
  <c r="DL1123" i="3"/>
  <c r="DK1123" i="3"/>
  <c r="DJ1123" i="3"/>
  <c r="DI1123" i="3"/>
  <c r="DH1123" i="3"/>
  <c r="DG1123" i="3"/>
  <c r="DF1123" i="3"/>
  <c r="DE1123" i="3"/>
  <c r="DD1123" i="3"/>
  <c r="DC1123" i="3"/>
  <c r="DB1123" i="3"/>
  <c r="DA1123" i="3"/>
  <c r="CZ1123" i="3"/>
  <c r="CY1123" i="3"/>
  <c r="CX1123" i="3"/>
  <c r="CW1123" i="3"/>
  <c r="CV1123" i="3"/>
  <c r="CU1123" i="3"/>
  <c r="CT1123" i="3"/>
  <c r="CS1123" i="3"/>
  <c r="CR1123" i="3"/>
  <c r="CQ1123" i="3"/>
  <c r="CP1123" i="3"/>
  <c r="CO1123" i="3"/>
  <c r="CN1123" i="3"/>
  <c r="CM1123" i="3"/>
  <c r="CL1123" i="3"/>
  <c r="CK1123" i="3"/>
  <c r="CJ1123" i="3"/>
  <c r="CI1123" i="3"/>
  <c r="CH1123" i="3"/>
  <c r="CG1123" i="3"/>
  <c r="CF1123" i="3"/>
  <c r="CE1123" i="3"/>
  <c r="CD1123" i="3"/>
  <c r="CC1123" i="3"/>
  <c r="CB1123" i="3"/>
  <c r="CA1123" i="3"/>
  <c r="BZ1123" i="3"/>
  <c r="BY1123" i="3"/>
  <c r="BX1123" i="3"/>
  <c r="BW1123" i="3"/>
  <c r="BV1123" i="3"/>
  <c r="BU1123" i="3"/>
  <c r="BT1123" i="3"/>
  <c r="BS1123" i="3"/>
  <c r="BR1123" i="3"/>
  <c r="BQ1123" i="3"/>
  <c r="BP1123" i="3"/>
  <c r="BO1123" i="3"/>
  <c r="BN1123" i="3"/>
  <c r="DU1122" i="3"/>
  <c r="DT1122" i="3"/>
  <c r="DS1122" i="3"/>
  <c r="DR1122" i="3"/>
  <c r="DQ1122" i="3"/>
  <c r="DP1122" i="3"/>
  <c r="DO1122" i="3"/>
  <c r="DN1122" i="3"/>
  <c r="DM1122" i="3"/>
  <c r="DL1122" i="3"/>
  <c r="DK1122" i="3"/>
  <c r="DJ1122" i="3"/>
  <c r="DI1122" i="3"/>
  <c r="DH1122" i="3"/>
  <c r="DG1122" i="3"/>
  <c r="DF1122" i="3"/>
  <c r="DE1122" i="3"/>
  <c r="DD1122" i="3"/>
  <c r="DC1122" i="3"/>
  <c r="DB1122" i="3"/>
  <c r="DA1122" i="3"/>
  <c r="CZ1122" i="3"/>
  <c r="CY1122" i="3"/>
  <c r="CX1122" i="3"/>
  <c r="CW1122" i="3"/>
  <c r="CV1122" i="3"/>
  <c r="CU1122" i="3"/>
  <c r="CT1122" i="3"/>
  <c r="CS1122" i="3"/>
  <c r="CR1122" i="3"/>
  <c r="CQ1122" i="3"/>
  <c r="CP1122" i="3"/>
  <c r="CO1122" i="3"/>
  <c r="CN1122" i="3"/>
  <c r="CM1122" i="3"/>
  <c r="CL1122" i="3"/>
  <c r="CK1122" i="3"/>
  <c r="CJ1122" i="3"/>
  <c r="CI1122" i="3"/>
  <c r="CH1122" i="3"/>
  <c r="CG1122" i="3"/>
  <c r="CF1122" i="3"/>
  <c r="CE1122" i="3"/>
  <c r="CD1122" i="3"/>
  <c r="CC1122" i="3"/>
  <c r="CB1122" i="3"/>
  <c r="CA1122" i="3"/>
  <c r="BZ1122" i="3"/>
  <c r="BY1122" i="3"/>
  <c r="BX1122" i="3"/>
  <c r="BW1122" i="3"/>
  <c r="BV1122" i="3"/>
  <c r="BU1122" i="3"/>
  <c r="BT1122" i="3"/>
  <c r="BS1122" i="3"/>
  <c r="BR1122" i="3"/>
  <c r="BQ1122" i="3"/>
  <c r="BP1122" i="3"/>
  <c r="BO1122" i="3"/>
  <c r="BN1122" i="3"/>
  <c r="DU1121" i="3"/>
  <c r="DT1121" i="3"/>
  <c r="DS1121" i="3"/>
  <c r="DR1121" i="3"/>
  <c r="DQ1121" i="3"/>
  <c r="DP1121" i="3"/>
  <c r="DO1121" i="3"/>
  <c r="DN1121" i="3"/>
  <c r="DM1121" i="3"/>
  <c r="DL1121" i="3"/>
  <c r="DK1121" i="3"/>
  <c r="DJ1121" i="3"/>
  <c r="DI1121" i="3"/>
  <c r="DH1121" i="3"/>
  <c r="DG1121" i="3"/>
  <c r="DF1121" i="3"/>
  <c r="DE1121" i="3"/>
  <c r="DD1121" i="3"/>
  <c r="DC1121" i="3"/>
  <c r="DB1121" i="3"/>
  <c r="DA1121" i="3"/>
  <c r="CZ1121" i="3"/>
  <c r="CY1121" i="3"/>
  <c r="CX1121" i="3"/>
  <c r="CW1121" i="3"/>
  <c r="CV1121" i="3"/>
  <c r="CU1121" i="3"/>
  <c r="CT1121" i="3"/>
  <c r="CS1121" i="3"/>
  <c r="CR1121" i="3"/>
  <c r="CQ1121" i="3"/>
  <c r="CP1121" i="3"/>
  <c r="CO1121" i="3"/>
  <c r="CN1121" i="3"/>
  <c r="CM1121" i="3"/>
  <c r="CL1121" i="3"/>
  <c r="CK1121" i="3"/>
  <c r="CJ1121" i="3"/>
  <c r="CI1121" i="3"/>
  <c r="CH1121" i="3"/>
  <c r="CG1121" i="3"/>
  <c r="CF1121" i="3"/>
  <c r="CE1121" i="3"/>
  <c r="CD1121" i="3"/>
  <c r="CC1121" i="3"/>
  <c r="CB1121" i="3"/>
  <c r="CA1121" i="3"/>
  <c r="BZ1121" i="3"/>
  <c r="BY1121" i="3"/>
  <c r="BX1121" i="3"/>
  <c r="BW1121" i="3"/>
  <c r="BV1121" i="3"/>
  <c r="BU1121" i="3"/>
  <c r="BT1121" i="3"/>
  <c r="BS1121" i="3"/>
  <c r="BR1121" i="3"/>
  <c r="BQ1121" i="3"/>
  <c r="BP1121" i="3"/>
  <c r="BO1121" i="3"/>
  <c r="BN1121" i="3"/>
  <c r="DU1120" i="3"/>
  <c r="DT1120" i="3"/>
  <c r="DS1120" i="3"/>
  <c r="DR1120" i="3"/>
  <c r="DQ1120" i="3"/>
  <c r="DP1120" i="3"/>
  <c r="DO1120" i="3"/>
  <c r="DN1120" i="3"/>
  <c r="DM1120" i="3"/>
  <c r="DL1120" i="3"/>
  <c r="DK1120" i="3"/>
  <c r="DJ1120" i="3"/>
  <c r="DI1120" i="3"/>
  <c r="DH1120" i="3"/>
  <c r="DG1120" i="3"/>
  <c r="DF1120" i="3"/>
  <c r="DE1120" i="3"/>
  <c r="DD1120" i="3"/>
  <c r="DC1120" i="3"/>
  <c r="DB1120" i="3"/>
  <c r="DA1120" i="3"/>
  <c r="CZ1120" i="3"/>
  <c r="CY1120" i="3"/>
  <c r="CX1120" i="3"/>
  <c r="CW1120" i="3"/>
  <c r="CV1120" i="3"/>
  <c r="CU1120" i="3"/>
  <c r="CT1120" i="3"/>
  <c r="CS1120" i="3"/>
  <c r="CR1120" i="3"/>
  <c r="CQ1120" i="3"/>
  <c r="CP1120" i="3"/>
  <c r="CO1120" i="3"/>
  <c r="CN1120" i="3"/>
  <c r="CM1120" i="3"/>
  <c r="CL1120" i="3"/>
  <c r="CK1120" i="3"/>
  <c r="CJ1120" i="3"/>
  <c r="CI1120" i="3"/>
  <c r="CH1120" i="3"/>
  <c r="CG1120" i="3"/>
  <c r="CF1120" i="3"/>
  <c r="CE1120" i="3"/>
  <c r="CD1120" i="3"/>
  <c r="CC1120" i="3"/>
  <c r="CB1120" i="3"/>
  <c r="CA1120" i="3"/>
  <c r="BZ1120" i="3"/>
  <c r="BY1120" i="3"/>
  <c r="BX1120" i="3"/>
  <c r="BW1120" i="3"/>
  <c r="BV1120" i="3"/>
  <c r="BU1120" i="3"/>
  <c r="BT1120" i="3"/>
  <c r="BS1120" i="3"/>
  <c r="BR1120" i="3"/>
  <c r="BQ1120" i="3"/>
  <c r="BP1120" i="3"/>
  <c r="BO1120" i="3"/>
  <c r="BN1120" i="3"/>
  <c r="DU1119" i="3"/>
  <c r="DT1119" i="3"/>
  <c r="DS1119" i="3"/>
  <c r="DR1119" i="3"/>
  <c r="DQ1119" i="3"/>
  <c r="DP1119" i="3"/>
  <c r="DO1119" i="3"/>
  <c r="DN1119" i="3"/>
  <c r="DM1119" i="3"/>
  <c r="DL1119" i="3"/>
  <c r="DK1119" i="3"/>
  <c r="DJ1119" i="3"/>
  <c r="DI1119" i="3"/>
  <c r="DH1119" i="3"/>
  <c r="DG1119" i="3"/>
  <c r="DF1119" i="3"/>
  <c r="DE1119" i="3"/>
  <c r="DD1119" i="3"/>
  <c r="DC1119" i="3"/>
  <c r="DB1119" i="3"/>
  <c r="DA1119" i="3"/>
  <c r="CZ1119" i="3"/>
  <c r="CY1119" i="3"/>
  <c r="CX1119" i="3"/>
  <c r="CW1119" i="3"/>
  <c r="CV1119" i="3"/>
  <c r="CU1119" i="3"/>
  <c r="CT1119" i="3"/>
  <c r="CS1119" i="3"/>
  <c r="CR1119" i="3"/>
  <c r="CQ1119" i="3"/>
  <c r="CP1119" i="3"/>
  <c r="CO1119" i="3"/>
  <c r="CN1119" i="3"/>
  <c r="CM1119" i="3"/>
  <c r="CL1119" i="3"/>
  <c r="CK1119" i="3"/>
  <c r="CJ1119" i="3"/>
  <c r="CI1119" i="3"/>
  <c r="CH1119" i="3"/>
  <c r="CG1119" i="3"/>
  <c r="CF1119" i="3"/>
  <c r="CE1119" i="3"/>
  <c r="CD1119" i="3"/>
  <c r="CC1119" i="3"/>
  <c r="CB1119" i="3"/>
  <c r="CA1119" i="3"/>
  <c r="BZ1119" i="3"/>
  <c r="BY1119" i="3"/>
  <c r="BX1119" i="3"/>
  <c r="BW1119" i="3"/>
  <c r="BV1119" i="3"/>
  <c r="BU1119" i="3"/>
  <c r="BT1119" i="3"/>
  <c r="BS1119" i="3"/>
  <c r="BR1119" i="3"/>
  <c r="BQ1119" i="3"/>
  <c r="BP1119" i="3"/>
  <c r="BO1119" i="3"/>
  <c r="BN1119" i="3"/>
  <c r="DU1118" i="3"/>
  <c r="DT1118" i="3"/>
  <c r="DS1118" i="3"/>
  <c r="DR1118" i="3"/>
  <c r="DQ1118" i="3"/>
  <c r="DP1118" i="3"/>
  <c r="DO1118" i="3"/>
  <c r="DN1118" i="3"/>
  <c r="DM1118" i="3"/>
  <c r="DL1118" i="3"/>
  <c r="DK1118" i="3"/>
  <c r="DJ1118" i="3"/>
  <c r="DI1118" i="3"/>
  <c r="DH1118" i="3"/>
  <c r="DG1118" i="3"/>
  <c r="DF1118" i="3"/>
  <c r="DE1118" i="3"/>
  <c r="DD1118" i="3"/>
  <c r="DC1118" i="3"/>
  <c r="DB1118" i="3"/>
  <c r="DA1118" i="3"/>
  <c r="CZ1118" i="3"/>
  <c r="CY1118" i="3"/>
  <c r="CX1118" i="3"/>
  <c r="CW1118" i="3"/>
  <c r="CV1118" i="3"/>
  <c r="CU1118" i="3"/>
  <c r="CT1118" i="3"/>
  <c r="CS1118" i="3"/>
  <c r="CR1118" i="3"/>
  <c r="CQ1118" i="3"/>
  <c r="CP1118" i="3"/>
  <c r="CO1118" i="3"/>
  <c r="CN1118" i="3"/>
  <c r="CM1118" i="3"/>
  <c r="CL1118" i="3"/>
  <c r="CK1118" i="3"/>
  <c r="CJ1118" i="3"/>
  <c r="CI1118" i="3"/>
  <c r="CH1118" i="3"/>
  <c r="CG1118" i="3"/>
  <c r="CF1118" i="3"/>
  <c r="CE1118" i="3"/>
  <c r="CD1118" i="3"/>
  <c r="CC1118" i="3"/>
  <c r="CB1118" i="3"/>
  <c r="CA1118" i="3"/>
  <c r="BZ1118" i="3"/>
  <c r="BY1118" i="3"/>
  <c r="BX1118" i="3"/>
  <c r="BW1118" i="3"/>
  <c r="BV1118" i="3"/>
  <c r="BU1118" i="3"/>
  <c r="BT1118" i="3"/>
  <c r="BS1118" i="3"/>
  <c r="BR1118" i="3"/>
  <c r="BQ1118" i="3"/>
  <c r="BP1118" i="3"/>
  <c r="BO1118" i="3"/>
  <c r="BN1118" i="3"/>
  <c r="DU1117" i="3"/>
  <c r="DT1117" i="3"/>
  <c r="DS1117" i="3"/>
  <c r="DR1117" i="3"/>
  <c r="DQ1117" i="3"/>
  <c r="DP1117" i="3"/>
  <c r="DO1117" i="3"/>
  <c r="DN1117" i="3"/>
  <c r="DM1117" i="3"/>
  <c r="DL1117" i="3"/>
  <c r="DK1117" i="3"/>
  <c r="DJ1117" i="3"/>
  <c r="DI1117" i="3"/>
  <c r="DH1117" i="3"/>
  <c r="DG1117" i="3"/>
  <c r="DF1117" i="3"/>
  <c r="DE1117" i="3"/>
  <c r="DD1117" i="3"/>
  <c r="DC1117" i="3"/>
  <c r="DB1117" i="3"/>
  <c r="DA1117" i="3"/>
  <c r="CZ1117" i="3"/>
  <c r="CY1117" i="3"/>
  <c r="CX1117" i="3"/>
  <c r="CW1117" i="3"/>
  <c r="CV1117" i="3"/>
  <c r="CU1117" i="3"/>
  <c r="CT1117" i="3"/>
  <c r="CS1117" i="3"/>
  <c r="CR1117" i="3"/>
  <c r="CQ1117" i="3"/>
  <c r="CP1117" i="3"/>
  <c r="CO1117" i="3"/>
  <c r="CN1117" i="3"/>
  <c r="CM1117" i="3"/>
  <c r="CL1117" i="3"/>
  <c r="CK1117" i="3"/>
  <c r="CJ1117" i="3"/>
  <c r="CI1117" i="3"/>
  <c r="CH1117" i="3"/>
  <c r="CG1117" i="3"/>
  <c r="CF1117" i="3"/>
  <c r="CE1117" i="3"/>
  <c r="CD1117" i="3"/>
  <c r="CC1117" i="3"/>
  <c r="CB1117" i="3"/>
  <c r="CA1117" i="3"/>
  <c r="BZ1117" i="3"/>
  <c r="BY1117" i="3"/>
  <c r="BX1117" i="3"/>
  <c r="BW1117" i="3"/>
  <c r="BV1117" i="3"/>
  <c r="BU1117" i="3"/>
  <c r="BT1117" i="3"/>
  <c r="BS1117" i="3"/>
  <c r="BR1117" i="3"/>
  <c r="BQ1117" i="3"/>
  <c r="BP1117" i="3"/>
  <c r="BO1117" i="3"/>
  <c r="BN1117" i="3"/>
  <c r="DU1116" i="3"/>
  <c r="DT1116" i="3"/>
  <c r="DS1116" i="3"/>
  <c r="DR1116" i="3"/>
  <c r="DQ1116" i="3"/>
  <c r="DP1116" i="3"/>
  <c r="DO1116" i="3"/>
  <c r="DN1116" i="3"/>
  <c r="DM1116" i="3"/>
  <c r="DL1116" i="3"/>
  <c r="DK1116" i="3"/>
  <c r="DJ1116" i="3"/>
  <c r="DI1116" i="3"/>
  <c r="DH1116" i="3"/>
  <c r="DG1116" i="3"/>
  <c r="DF1116" i="3"/>
  <c r="DE1116" i="3"/>
  <c r="DD1116" i="3"/>
  <c r="DC1116" i="3"/>
  <c r="DB1116" i="3"/>
  <c r="DA1116" i="3"/>
  <c r="CZ1116" i="3"/>
  <c r="CY1116" i="3"/>
  <c r="CX1116" i="3"/>
  <c r="CW1116" i="3"/>
  <c r="CV1116" i="3"/>
  <c r="CU1116" i="3"/>
  <c r="CT1116" i="3"/>
  <c r="CS1116" i="3"/>
  <c r="CR1116" i="3"/>
  <c r="CQ1116" i="3"/>
  <c r="CP1116" i="3"/>
  <c r="CO1116" i="3"/>
  <c r="CN1116" i="3"/>
  <c r="CM1116" i="3"/>
  <c r="CL1116" i="3"/>
  <c r="CK1116" i="3"/>
  <c r="CJ1116" i="3"/>
  <c r="CI1116" i="3"/>
  <c r="CH1116" i="3"/>
  <c r="CG1116" i="3"/>
  <c r="CF1116" i="3"/>
  <c r="CE1116" i="3"/>
  <c r="CD1116" i="3"/>
  <c r="CC1116" i="3"/>
  <c r="CB1116" i="3"/>
  <c r="CA1116" i="3"/>
  <c r="BZ1116" i="3"/>
  <c r="BY1116" i="3"/>
  <c r="BX1116" i="3"/>
  <c r="BW1116" i="3"/>
  <c r="BV1116" i="3"/>
  <c r="BU1116" i="3"/>
  <c r="BT1116" i="3"/>
  <c r="BS1116" i="3"/>
  <c r="BR1116" i="3"/>
  <c r="BQ1116" i="3"/>
  <c r="BP1116" i="3"/>
  <c r="BO1116" i="3"/>
  <c r="BN1116" i="3"/>
  <c r="DU1115" i="3"/>
  <c r="DT1115" i="3"/>
  <c r="DS1115" i="3"/>
  <c r="DR1115" i="3"/>
  <c r="DQ1115" i="3"/>
  <c r="DP1115" i="3"/>
  <c r="DO1115" i="3"/>
  <c r="DN1115" i="3"/>
  <c r="DM1115" i="3"/>
  <c r="DL1115" i="3"/>
  <c r="DK1115" i="3"/>
  <c r="DJ1115" i="3"/>
  <c r="DI1115" i="3"/>
  <c r="DH1115" i="3"/>
  <c r="DG1115" i="3"/>
  <c r="DF1115" i="3"/>
  <c r="DE1115" i="3"/>
  <c r="DD1115" i="3"/>
  <c r="DC1115" i="3"/>
  <c r="DB1115" i="3"/>
  <c r="DA1115" i="3"/>
  <c r="CZ1115" i="3"/>
  <c r="CY1115" i="3"/>
  <c r="CX1115" i="3"/>
  <c r="CW1115" i="3"/>
  <c r="CV1115" i="3"/>
  <c r="CU1115" i="3"/>
  <c r="CT1115" i="3"/>
  <c r="CS1115" i="3"/>
  <c r="CR1115" i="3"/>
  <c r="CQ1115" i="3"/>
  <c r="CP1115" i="3"/>
  <c r="CO1115" i="3"/>
  <c r="CN1115" i="3"/>
  <c r="CM1115" i="3"/>
  <c r="CL1115" i="3"/>
  <c r="CK1115" i="3"/>
  <c r="CJ1115" i="3"/>
  <c r="CI1115" i="3"/>
  <c r="CH1115" i="3"/>
  <c r="CG1115" i="3"/>
  <c r="CF1115" i="3"/>
  <c r="CE1115" i="3"/>
  <c r="CD1115" i="3"/>
  <c r="CC1115" i="3"/>
  <c r="CB1115" i="3"/>
  <c r="CA1115" i="3"/>
  <c r="BZ1115" i="3"/>
  <c r="BY1115" i="3"/>
  <c r="BX1115" i="3"/>
  <c r="BW1115" i="3"/>
  <c r="BV1115" i="3"/>
  <c r="BU1115" i="3"/>
  <c r="BT1115" i="3"/>
  <c r="BS1115" i="3"/>
  <c r="BR1115" i="3"/>
  <c r="BQ1115" i="3"/>
  <c r="BP1115" i="3"/>
  <c r="BO1115" i="3"/>
  <c r="BN1115" i="3"/>
  <c r="DU1114" i="3"/>
  <c r="DT1114" i="3"/>
  <c r="DS1114" i="3"/>
  <c r="DR1114" i="3"/>
  <c r="DQ1114" i="3"/>
  <c r="DP1114" i="3"/>
  <c r="DO1114" i="3"/>
  <c r="DN1114" i="3"/>
  <c r="DM1114" i="3"/>
  <c r="DL1114" i="3"/>
  <c r="DK1114" i="3"/>
  <c r="DJ1114" i="3"/>
  <c r="DI1114" i="3"/>
  <c r="DH1114" i="3"/>
  <c r="DG1114" i="3"/>
  <c r="DF1114" i="3"/>
  <c r="DE1114" i="3"/>
  <c r="DD1114" i="3"/>
  <c r="DC1114" i="3"/>
  <c r="DB1114" i="3"/>
  <c r="DA1114" i="3"/>
  <c r="CZ1114" i="3"/>
  <c r="CY1114" i="3"/>
  <c r="CX1114" i="3"/>
  <c r="CW1114" i="3"/>
  <c r="CV1114" i="3"/>
  <c r="CU1114" i="3"/>
  <c r="CT1114" i="3"/>
  <c r="CS1114" i="3"/>
  <c r="CR1114" i="3"/>
  <c r="CQ1114" i="3"/>
  <c r="CP1114" i="3"/>
  <c r="CO1114" i="3"/>
  <c r="CN1114" i="3"/>
  <c r="CM1114" i="3"/>
  <c r="CL1114" i="3"/>
  <c r="CK1114" i="3"/>
  <c r="CJ1114" i="3"/>
  <c r="CI1114" i="3"/>
  <c r="CH1114" i="3"/>
  <c r="CG1114" i="3"/>
  <c r="CF1114" i="3"/>
  <c r="CE1114" i="3"/>
  <c r="CD1114" i="3"/>
  <c r="CC1114" i="3"/>
  <c r="CB1114" i="3"/>
  <c r="CA1114" i="3"/>
  <c r="BZ1114" i="3"/>
  <c r="BY1114" i="3"/>
  <c r="BX1114" i="3"/>
  <c r="BW1114" i="3"/>
  <c r="BV1114" i="3"/>
  <c r="BU1114" i="3"/>
  <c r="BT1114" i="3"/>
  <c r="BS1114" i="3"/>
  <c r="BR1114" i="3"/>
  <c r="BQ1114" i="3"/>
  <c r="BP1114" i="3"/>
  <c r="BO1114" i="3"/>
  <c r="BN1114" i="3"/>
  <c r="DU1113" i="3"/>
  <c r="DT1113" i="3"/>
  <c r="DS1113" i="3"/>
  <c r="DR1113" i="3"/>
  <c r="DQ1113" i="3"/>
  <c r="DP1113" i="3"/>
  <c r="DO1113" i="3"/>
  <c r="DN1113" i="3"/>
  <c r="DM1113" i="3"/>
  <c r="DL1113" i="3"/>
  <c r="DK1113" i="3"/>
  <c r="DJ1113" i="3"/>
  <c r="DI1113" i="3"/>
  <c r="DH1113" i="3"/>
  <c r="DG1113" i="3"/>
  <c r="DF1113" i="3"/>
  <c r="DE1113" i="3"/>
  <c r="DD1113" i="3"/>
  <c r="DC1113" i="3"/>
  <c r="DB1113" i="3"/>
  <c r="DA1113" i="3"/>
  <c r="CZ1113" i="3"/>
  <c r="CY1113" i="3"/>
  <c r="CX1113" i="3"/>
  <c r="CW1113" i="3"/>
  <c r="CV1113" i="3"/>
  <c r="CU1113" i="3"/>
  <c r="CT1113" i="3"/>
  <c r="CS1113" i="3"/>
  <c r="CR1113" i="3"/>
  <c r="CQ1113" i="3"/>
  <c r="CP1113" i="3"/>
  <c r="CO1113" i="3"/>
  <c r="CN1113" i="3"/>
  <c r="CM1113" i="3"/>
  <c r="CL1113" i="3"/>
  <c r="CK1113" i="3"/>
  <c r="CJ1113" i="3"/>
  <c r="CI1113" i="3"/>
  <c r="CH1113" i="3"/>
  <c r="CG1113" i="3"/>
  <c r="CF1113" i="3"/>
  <c r="CE1113" i="3"/>
  <c r="CD1113" i="3"/>
  <c r="CC1113" i="3"/>
  <c r="CB1113" i="3"/>
  <c r="CA1113" i="3"/>
  <c r="BZ1113" i="3"/>
  <c r="BY1113" i="3"/>
  <c r="BX1113" i="3"/>
  <c r="BW1113" i="3"/>
  <c r="BV1113" i="3"/>
  <c r="BU1113" i="3"/>
  <c r="BT1113" i="3"/>
  <c r="BS1113" i="3"/>
  <c r="BR1113" i="3"/>
  <c r="BQ1113" i="3"/>
  <c r="BP1113" i="3"/>
  <c r="BO1113" i="3"/>
  <c r="BN1113" i="3"/>
  <c r="DU1112" i="3"/>
  <c r="DT1112" i="3"/>
  <c r="DS1112" i="3"/>
  <c r="DR1112" i="3"/>
  <c r="DQ1112" i="3"/>
  <c r="DP1112" i="3"/>
  <c r="DO1112" i="3"/>
  <c r="DN1112" i="3"/>
  <c r="DM1112" i="3"/>
  <c r="DL1112" i="3"/>
  <c r="DK1112" i="3"/>
  <c r="DJ1112" i="3"/>
  <c r="DI1112" i="3"/>
  <c r="DH1112" i="3"/>
  <c r="DG1112" i="3"/>
  <c r="DF1112" i="3"/>
  <c r="DE1112" i="3"/>
  <c r="DD1112" i="3"/>
  <c r="DC1112" i="3"/>
  <c r="DB1112" i="3"/>
  <c r="DA1112" i="3"/>
  <c r="CZ1112" i="3"/>
  <c r="CY1112" i="3"/>
  <c r="CX1112" i="3"/>
  <c r="CW1112" i="3"/>
  <c r="CV1112" i="3"/>
  <c r="CU1112" i="3"/>
  <c r="CT1112" i="3"/>
  <c r="CS1112" i="3"/>
  <c r="CR1112" i="3"/>
  <c r="CQ1112" i="3"/>
  <c r="CP1112" i="3"/>
  <c r="CO1112" i="3"/>
  <c r="CN1112" i="3"/>
  <c r="CM1112" i="3"/>
  <c r="CL1112" i="3"/>
  <c r="CK1112" i="3"/>
  <c r="CJ1112" i="3"/>
  <c r="CI1112" i="3"/>
  <c r="CH1112" i="3"/>
  <c r="CG1112" i="3"/>
  <c r="CF1112" i="3"/>
  <c r="CE1112" i="3"/>
  <c r="CD1112" i="3"/>
  <c r="CC1112" i="3"/>
  <c r="CB1112" i="3"/>
  <c r="CA1112" i="3"/>
  <c r="BZ1112" i="3"/>
  <c r="BY1112" i="3"/>
  <c r="BX1112" i="3"/>
  <c r="BW1112" i="3"/>
  <c r="BV1112" i="3"/>
  <c r="BU1112" i="3"/>
  <c r="BT1112" i="3"/>
  <c r="BS1112" i="3"/>
  <c r="BR1112" i="3"/>
  <c r="BQ1112" i="3"/>
  <c r="BP1112" i="3"/>
  <c r="BO1112" i="3"/>
  <c r="BN1112" i="3"/>
  <c r="DU1111" i="3"/>
  <c r="DT1111" i="3"/>
  <c r="DS1111" i="3"/>
  <c r="DR1111" i="3"/>
  <c r="DQ1111" i="3"/>
  <c r="DP1111" i="3"/>
  <c r="DO1111" i="3"/>
  <c r="DN1111" i="3"/>
  <c r="DM1111" i="3"/>
  <c r="DL1111" i="3"/>
  <c r="DK1111" i="3"/>
  <c r="DJ1111" i="3"/>
  <c r="DI1111" i="3"/>
  <c r="DH1111" i="3"/>
  <c r="DG1111" i="3"/>
  <c r="DF1111" i="3"/>
  <c r="DE1111" i="3"/>
  <c r="DD1111" i="3"/>
  <c r="DC1111" i="3"/>
  <c r="DB1111" i="3"/>
  <c r="DA1111" i="3"/>
  <c r="CZ1111" i="3"/>
  <c r="CY1111" i="3"/>
  <c r="CX1111" i="3"/>
  <c r="CW1111" i="3"/>
  <c r="CV1111" i="3"/>
  <c r="CU1111" i="3"/>
  <c r="CT1111" i="3"/>
  <c r="CS1111" i="3"/>
  <c r="CR1111" i="3"/>
  <c r="CQ1111" i="3"/>
  <c r="CP1111" i="3"/>
  <c r="CO1111" i="3"/>
  <c r="CN1111" i="3"/>
  <c r="CM1111" i="3"/>
  <c r="CL1111" i="3"/>
  <c r="CK1111" i="3"/>
  <c r="CJ1111" i="3"/>
  <c r="CI1111" i="3"/>
  <c r="CH1111" i="3"/>
  <c r="CG1111" i="3"/>
  <c r="CF1111" i="3"/>
  <c r="CE1111" i="3"/>
  <c r="CD1111" i="3"/>
  <c r="CC1111" i="3"/>
  <c r="CB1111" i="3"/>
  <c r="CA1111" i="3"/>
  <c r="BZ1111" i="3"/>
  <c r="BY1111" i="3"/>
  <c r="BX1111" i="3"/>
  <c r="BW1111" i="3"/>
  <c r="BV1111" i="3"/>
  <c r="BU1111" i="3"/>
  <c r="BT1111" i="3"/>
  <c r="BS1111" i="3"/>
  <c r="BR1111" i="3"/>
  <c r="BQ1111" i="3"/>
  <c r="BP1111" i="3"/>
  <c r="BO1111" i="3"/>
  <c r="BN1111" i="3"/>
  <c r="DU1110" i="3"/>
  <c r="DT1110" i="3"/>
  <c r="DS1110" i="3"/>
  <c r="DR1110" i="3"/>
  <c r="DQ1110" i="3"/>
  <c r="DP1110" i="3"/>
  <c r="DO1110" i="3"/>
  <c r="DN1110" i="3"/>
  <c r="DM1110" i="3"/>
  <c r="DL1110" i="3"/>
  <c r="DK1110" i="3"/>
  <c r="DJ1110" i="3"/>
  <c r="DI1110" i="3"/>
  <c r="DH1110" i="3"/>
  <c r="DG1110" i="3"/>
  <c r="DF1110" i="3"/>
  <c r="DE1110" i="3"/>
  <c r="DD1110" i="3"/>
  <c r="DC1110" i="3"/>
  <c r="DB1110" i="3"/>
  <c r="DA1110" i="3"/>
  <c r="CZ1110" i="3"/>
  <c r="CY1110" i="3"/>
  <c r="CX1110" i="3"/>
  <c r="CW1110" i="3"/>
  <c r="CV1110" i="3"/>
  <c r="CU1110" i="3"/>
  <c r="CT1110" i="3"/>
  <c r="CS1110" i="3"/>
  <c r="CR1110" i="3"/>
  <c r="CQ1110" i="3"/>
  <c r="CP1110" i="3"/>
  <c r="CO1110" i="3"/>
  <c r="CN1110" i="3"/>
  <c r="CM1110" i="3"/>
  <c r="CL1110" i="3"/>
  <c r="CK1110" i="3"/>
  <c r="CJ1110" i="3"/>
  <c r="CI1110" i="3"/>
  <c r="CH1110" i="3"/>
  <c r="CG1110" i="3"/>
  <c r="CF1110" i="3"/>
  <c r="CE1110" i="3"/>
  <c r="CD1110" i="3"/>
  <c r="CC1110" i="3"/>
  <c r="CB1110" i="3"/>
  <c r="CA1110" i="3"/>
  <c r="BZ1110" i="3"/>
  <c r="BY1110" i="3"/>
  <c r="BX1110" i="3"/>
  <c r="BW1110" i="3"/>
  <c r="BV1110" i="3"/>
  <c r="BU1110" i="3"/>
  <c r="BT1110" i="3"/>
  <c r="BS1110" i="3"/>
  <c r="BR1110" i="3"/>
  <c r="BQ1110" i="3"/>
  <c r="BP1110" i="3"/>
  <c r="BO1110" i="3"/>
  <c r="BN1110" i="3"/>
  <c r="DU1109" i="3"/>
  <c r="DT1109" i="3"/>
  <c r="DS1109" i="3"/>
  <c r="DR1109" i="3"/>
  <c r="DQ1109" i="3"/>
  <c r="DP1109" i="3"/>
  <c r="DO1109" i="3"/>
  <c r="DN1109" i="3"/>
  <c r="DM1109" i="3"/>
  <c r="DL1109" i="3"/>
  <c r="DK1109" i="3"/>
  <c r="DJ1109" i="3"/>
  <c r="DI1109" i="3"/>
  <c r="DH1109" i="3"/>
  <c r="DG1109" i="3"/>
  <c r="DF1109" i="3"/>
  <c r="DE1109" i="3"/>
  <c r="DD1109" i="3"/>
  <c r="DC1109" i="3"/>
  <c r="DB1109" i="3"/>
  <c r="DA1109" i="3"/>
  <c r="CZ1109" i="3"/>
  <c r="CY1109" i="3"/>
  <c r="CX1109" i="3"/>
  <c r="CW1109" i="3"/>
  <c r="CV1109" i="3"/>
  <c r="CU1109" i="3"/>
  <c r="CT1109" i="3"/>
  <c r="CS1109" i="3"/>
  <c r="CR1109" i="3"/>
  <c r="CQ1109" i="3"/>
  <c r="CP1109" i="3"/>
  <c r="CO1109" i="3"/>
  <c r="CN1109" i="3"/>
  <c r="CM1109" i="3"/>
  <c r="CL1109" i="3"/>
  <c r="CK1109" i="3"/>
  <c r="CJ1109" i="3"/>
  <c r="CI1109" i="3"/>
  <c r="CH1109" i="3"/>
  <c r="CG1109" i="3"/>
  <c r="CF1109" i="3"/>
  <c r="CE1109" i="3"/>
  <c r="CD1109" i="3"/>
  <c r="CC1109" i="3"/>
  <c r="CB1109" i="3"/>
  <c r="CA1109" i="3"/>
  <c r="BZ1109" i="3"/>
  <c r="BY1109" i="3"/>
  <c r="BX1109" i="3"/>
  <c r="BW1109" i="3"/>
  <c r="BV1109" i="3"/>
  <c r="BU1109" i="3"/>
  <c r="BT1109" i="3"/>
  <c r="BS1109" i="3"/>
  <c r="BR1109" i="3"/>
  <c r="BQ1109" i="3"/>
  <c r="BP1109" i="3"/>
  <c r="BO1109" i="3"/>
  <c r="BN1109" i="3"/>
  <c r="DU1108" i="3"/>
  <c r="DT1108" i="3"/>
  <c r="DS1108" i="3"/>
  <c r="DR1108" i="3"/>
  <c r="DQ1108" i="3"/>
  <c r="DP1108" i="3"/>
  <c r="DO1108" i="3"/>
  <c r="DN1108" i="3"/>
  <c r="DM1108" i="3"/>
  <c r="DL1108" i="3"/>
  <c r="DK1108" i="3"/>
  <c r="DJ1108" i="3"/>
  <c r="DI1108" i="3"/>
  <c r="DH1108" i="3"/>
  <c r="DG1108" i="3"/>
  <c r="DF1108" i="3"/>
  <c r="DE1108" i="3"/>
  <c r="DD1108" i="3"/>
  <c r="DC1108" i="3"/>
  <c r="DB1108" i="3"/>
  <c r="DA1108" i="3"/>
  <c r="CZ1108" i="3"/>
  <c r="CY1108" i="3"/>
  <c r="CX1108" i="3"/>
  <c r="CW1108" i="3"/>
  <c r="CV1108" i="3"/>
  <c r="CU1108" i="3"/>
  <c r="CT1108" i="3"/>
  <c r="CS1108" i="3"/>
  <c r="CR1108" i="3"/>
  <c r="CQ1108" i="3"/>
  <c r="CP1108" i="3"/>
  <c r="CO1108" i="3"/>
  <c r="CN1108" i="3"/>
  <c r="CM1108" i="3"/>
  <c r="CL1108" i="3"/>
  <c r="CK1108" i="3"/>
  <c r="CJ1108" i="3"/>
  <c r="CI1108" i="3"/>
  <c r="CH1108" i="3"/>
  <c r="CG1108" i="3"/>
  <c r="CF1108" i="3"/>
  <c r="CE1108" i="3"/>
  <c r="CD1108" i="3"/>
  <c r="CC1108" i="3"/>
  <c r="CB1108" i="3"/>
  <c r="CA1108" i="3"/>
  <c r="BZ1108" i="3"/>
  <c r="BY1108" i="3"/>
  <c r="BX1108" i="3"/>
  <c r="BW1108" i="3"/>
  <c r="BV1108" i="3"/>
  <c r="BU1108" i="3"/>
  <c r="BT1108" i="3"/>
  <c r="BS1108" i="3"/>
  <c r="BR1108" i="3"/>
  <c r="BQ1108" i="3"/>
  <c r="BP1108" i="3"/>
  <c r="BO1108" i="3"/>
  <c r="BN1108" i="3"/>
  <c r="DU1107" i="3"/>
  <c r="DT1107" i="3"/>
  <c r="DS1107" i="3"/>
  <c r="DR1107" i="3"/>
  <c r="DQ1107" i="3"/>
  <c r="DP1107" i="3"/>
  <c r="DO1107" i="3"/>
  <c r="DN1107" i="3"/>
  <c r="DM1107" i="3"/>
  <c r="DL1107" i="3"/>
  <c r="DK1107" i="3"/>
  <c r="DJ1107" i="3"/>
  <c r="DI1107" i="3"/>
  <c r="DH1107" i="3"/>
  <c r="DG1107" i="3"/>
  <c r="DF1107" i="3"/>
  <c r="DE1107" i="3"/>
  <c r="DD1107" i="3"/>
  <c r="DC1107" i="3"/>
  <c r="DB1107" i="3"/>
  <c r="DA1107" i="3"/>
  <c r="CZ1107" i="3"/>
  <c r="CY1107" i="3"/>
  <c r="CX1107" i="3"/>
  <c r="CW1107" i="3"/>
  <c r="CV1107" i="3"/>
  <c r="CU1107" i="3"/>
  <c r="CT1107" i="3"/>
  <c r="CS1107" i="3"/>
  <c r="CR1107" i="3"/>
  <c r="CQ1107" i="3"/>
  <c r="CP1107" i="3"/>
  <c r="CO1107" i="3"/>
  <c r="CN1107" i="3"/>
  <c r="CM1107" i="3"/>
  <c r="CL1107" i="3"/>
  <c r="CK1107" i="3"/>
  <c r="CJ1107" i="3"/>
  <c r="CI1107" i="3"/>
  <c r="CH1107" i="3"/>
  <c r="CG1107" i="3"/>
  <c r="CF1107" i="3"/>
  <c r="CE1107" i="3"/>
  <c r="CD1107" i="3"/>
  <c r="CC1107" i="3"/>
  <c r="CB1107" i="3"/>
  <c r="CA1107" i="3"/>
  <c r="BZ1107" i="3"/>
  <c r="BY1107" i="3"/>
  <c r="BX1107" i="3"/>
  <c r="BW1107" i="3"/>
  <c r="BV1107" i="3"/>
  <c r="BU1107" i="3"/>
  <c r="BT1107" i="3"/>
  <c r="BS1107" i="3"/>
  <c r="BR1107" i="3"/>
  <c r="BQ1107" i="3"/>
  <c r="BP1107" i="3"/>
  <c r="BO1107" i="3"/>
  <c r="BN1107" i="3"/>
  <c r="DU1106" i="3"/>
  <c r="DT1106" i="3"/>
  <c r="DS1106" i="3"/>
  <c r="DR1106" i="3"/>
  <c r="DQ1106" i="3"/>
  <c r="DP1106" i="3"/>
  <c r="DO1106" i="3"/>
  <c r="DN1106" i="3"/>
  <c r="DM1106" i="3"/>
  <c r="DL1106" i="3"/>
  <c r="DK1106" i="3"/>
  <c r="DJ1106" i="3"/>
  <c r="DI1106" i="3"/>
  <c r="DH1106" i="3"/>
  <c r="DG1106" i="3"/>
  <c r="DF1106" i="3"/>
  <c r="DE1106" i="3"/>
  <c r="DD1106" i="3"/>
  <c r="DC1106" i="3"/>
  <c r="DB1106" i="3"/>
  <c r="DA1106" i="3"/>
  <c r="CZ1106" i="3"/>
  <c r="CY1106" i="3"/>
  <c r="CX1106" i="3"/>
  <c r="CW1106" i="3"/>
  <c r="CV1106" i="3"/>
  <c r="CU1106" i="3"/>
  <c r="CT1106" i="3"/>
  <c r="CS1106" i="3"/>
  <c r="CR1106" i="3"/>
  <c r="CQ1106" i="3"/>
  <c r="CP1106" i="3"/>
  <c r="CO1106" i="3"/>
  <c r="CN1106" i="3"/>
  <c r="CM1106" i="3"/>
  <c r="CL1106" i="3"/>
  <c r="CK1106" i="3"/>
  <c r="CJ1106" i="3"/>
  <c r="CI1106" i="3"/>
  <c r="CH1106" i="3"/>
  <c r="CG1106" i="3"/>
  <c r="CF1106" i="3"/>
  <c r="CE1106" i="3"/>
  <c r="CD1106" i="3"/>
  <c r="CC1106" i="3"/>
  <c r="CB1106" i="3"/>
  <c r="CA1106" i="3"/>
  <c r="BZ1106" i="3"/>
  <c r="BY1106" i="3"/>
  <c r="BX1106" i="3"/>
  <c r="BW1106" i="3"/>
  <c r="BV1106" i="3"/>
  <c r="BU1106" i="3"/>
  <c r="BT1106" i="3"/>
  <c r="BS1106" i="3"/>
  <c r="BR1106" i="3"/>
  <c r="BQ1106" i="3"/>
  <c r="BP1106" i="3"/>
  <c r="BO1106" i="3"/>
  <c r="BN1106" i="3"/>
  <c r="DU1105" i="3"/>
  <c r="DT1105" i="3"/>
  <c r="DS1105" i="3"/>
  <c r="DR1105" i="3"/>
  <c r="DQ1105" i="3"/>
  <c r="DP1105" i="3"/>
  <c r="DO1105" i="3"/>
  <c r="DN1105" i="3"/>
  <c r="DM1105" i="3"/>
  <c r="DL1105" i="3"/>
  <c r="DK1105" i="3"/>
  <c r="DJ1105" i="3"/>
  <c r="DI1105" i="3"/>
  <c r="DH1105" i="3"/>
  <c r="DG1105" i="3"/>
  <c r="DF1105" i="3"/>
  <c r="DE1105" i="3"/>
  <c r="DD1105" i="3"/>
  <c r="DC1105" i="3"/>
  <c r="DB1105" i="3"/>
  <c r="DA1105" i="3"/>
  <c r="CZ1105" i="3"/>
  <c r="CY1105" i="3"/>
  <c r="CX1105" i="3"/>
  <c r="CW1105" i="3"/>
  <c r="CV1105" i="3"/>
  <c r="CU1105" i="3"/>
  <c r="CT1105" i="3"/>
  <c r="CS1105" i="3"/>
  <c r="CR1105" i="3"/>
  <c r="CQ1105" i="3"/>
  <c r="CP1105" i="3"/>
  <c r="CO1105" i="3"/>
  <c r="CN1105" i="3"/>
  <c r="CM1105" i="3"/>
  <c r="CL1105" i="3"/>
  <c r="CK1105" i="3"/>
  <c r="CJ1105" i="3"/>
  <c r="CI1105" i="3"/>
  <c r="CH1105" i="3"/>
  <c r="CG1105" i="3"/>
  <c r="CF1105" i="3"/>
  <c r="CE1105" i="3"/>
  <c r="CD1105" i="3"/>
  <c r="CC1105" i="3"/>
  <c r="CB1105" i="3"/>
  <c r="CA1105" i="3"/>
  <c r="BZ1105" i="3"/>
  <c r="BY1105" i="3"/>
  <c r="BX1105" i="3"/>
  <c r="BW1105" i="3"/>
  <c r="BV1105" i="3"/>
  <c r="BU1105" i="3"/>
  <c r="BT1105" i="3"/>
  <c r="BS1105" i="3"/>
  <c r="BR1105" i="3"/>
  <c r="BQ1105" i="3"/>
  <c r="BP1105" i="3"/>
  <c r="BO1105" i="3"/>
  <c r="BN1105" i="3"/>
  <c r="DU1104" i="3"/>
  <c r="DT1104" i="3"/>
  <c r="DS1104" i="3"/>
  <c r="DR1104" i="3"/>
  <c r="DQ1104" i="3"/>
  <c r="DP1104" i="3"/>
  <c r="DO1104" i="3"/>
  <c r="DN1104" i="3"/>
  <c r="DM1104" i="3"/>
  <c r="DL1104" i="3"/>
  <c r="DK1104" i="3"/>
  <c r="DJ1104" i="3"/>
  <c r="DI1104" i="3"/>
  <c r="DH1104" i="3"/>
  <c r="DG1104" i="3"/>
  <c r="DF1104" i="3"/>
  <c r="DE1104" i="3"/>
  <c r="DD1104" i="3"/>
  <c r="DC1104" i="3"/>
  <c r="DB1104" i="3"/>
  <c r="DA1104" i="3"/>
  <c r="CZ1104" i="3"/>
  <c r="CY1104" i="3"/>
  <c r="CX1104" i="3"/>
  <c r="CW1104" i="3"/>
  <c r="CV1104" i="3"/>
  <c r="CU1104" i="3"/>
  <c r="CT1104" i="3"/>
  <c r="CS1104" i="3"/>
  <c r="CR1104" i="3"/>
  <c r="CQ1104" i="3"/>
  <c r="CP1104" i="3"/>
  <c r="CO1104" i="3"/>
  <c r="CN1104" i="3"/>
  <c r="CM1104" i="3"/>
  <c r="CL1104" i="3"/>
  <c r="CK1104" i="3"/>
  <c r="CJ1104" i="3"/>
  <c r="CI1104" i="3"/>
  <c r="CH1104" i="3"/>
  <c r="CG1104" i="3"/>
  <c r="CF1104" i="3"/>
  <c r="CE1104" i="3"/>
  <c r="CD1104" i="3"/>
  <c r="CC1104" i="3"/>
  <c r="CB1104" i="3"/>
  <c r="CA1104" i="3"/>
  <c r="BZ1104" i="3"/>
  <c r="BY1104" i="3"/>
  <c r="BX1104" i="3"/>
  <c r="BW1104" i="3"/>
  <c r="BV1104" i="3"/>
  <c r="BU1104" i="3"/>
  <c r="BT1104" i="3"/>
  <c r="BS1104" i="3"/>
  <c r="BR1104" i="3"/>
  <c r="BQ1104" i="3"/>
  <c r="BP1104" i="3"/>
  <c r="BO1104" i="3"/>
  <c r="BN1104" i="3"/>
  <c r="DU1103" i="3"/>
  <c r="DT1103" i="3"/>
  <c r="DS1103" i="3"/>
  <c r="DR1103" i="3"/>
  <c r="DQ1103" i="3"/>
  <c r="DP1103" i="3"/>
  <c r="DO1103" i="3"/>
  <c r="DN1103" i="3"/>
  <c r="DM1103" i="3"/>
  <c r="DL1103" i="3"/>
  <c r="DK1103" i="3"/>
  <c r="DJ1103" i="3"/>
  <c r="DI1103" i="3"/>
  <c r="DH1103" i="3"/>
  <c r="DG1103" i="3"/>
  <c r="DF1103" i="3"/>
  <c r="DE1103" i="3"/>
  <c r="DD1103" i="3"/>
  <c r="DC1103" i="3"/>
  <c r="DB1103" i="3"/>
  <c r="DA1103" i="3"/>
  <c r="CZ1103" i="3"/>
  <c r="CY1103" i="3"/>
  <c r="CX1103" i="3"/>
  <c r="CW1103" i="3"/>
  <c r="CV1103" i="3"/>
  <c r="CU1103" i="3"/>
  <c r="CT1103" i="3"/>
  <c r="CS1103" i="3"/>
  <c r="CR1103" i="3"/>
  <c r="CQ1103" i="3"/>
  <c r="CP1103" i="3"/>
  <c r="CO1103" i="3"/>
  <c r="CN1103" i="3"/>
  <c r="CM1103" i="3"/>
  <c r="CL1103" i="3"/>
  <c r="CK1103" i="3"/>
  <c r="CJ1103" i="3"/>
  <c r="CI1103" i="3"/>
  <c r="CH1103" i="3"/>
  <c r="CG1103" i="3"/>
  <c r="CF1103" i="3"/>
  <c r="CE1103" i="3"/>
  <c r="CD1103" i="3"/>
  <c r="CC1103" i="3"/>
  <c r="CB1103" i="3"/>
  <c r="CA1103" i="3"/>
  <c r="BZ1103" i="3"/>
  <c r="BY1103" i="3"/>
  <c r="BX1103" i="3"/>
  <c r="BW1103" i="3"/>
  <c r="BV1103" i="3"/>
  <c r="BU1103" i="3"/>
  <c r="BT1103" i="3"/>
  <c r="BS1103" i="3"/>
  <c r="BR1103" i="3"/>
  <c r="BQ1103" i="3"/>
  <c r="BP1103" i="3"/>
  <c r="BO1103" i="3"/>
  <c r="BN1103" i="3"/>
  <c r="DU1102" i="3"/>
  <c r="DT1102" i="3"/>
  <c r="DS1102" i="3"/>
  <c r="DR1102" i="3"/>
  <c r="DQ1102" i="3"/>
  <c r="DP1102" i="3"/>
  <c r="DO1102" i="3"/>
  <c r="DN1102" i="3"/>
  <c r="DM1102" i="3"/>
  <c r="DL1102" i="3"/>
  <c r="DK1102" i="3"/>
  <c r="DJ1102" i="3"/>
  <c r="DI1102" i="3"/>
  <c r="DH1102" i="3"/>
  <c r="DG1102" i="3"/>
  <c r="DF1102" i="3"/>
  <c r="DE1102" i="3"/>
  <c r="DD1102" i="3"/>
  <c r="DC1102" i="3"/>
  <c r="DB1102" i="3"/>
  <c r="DA1102" i="3"/>
  <c r="CZ1102" i="3"/>
  <c r="CY1102" i="3"/>
  <c r="CX1102" i="3"/>
  <c r="CW1102" i="3"/>
  <c r="CV1102" i="3"/>
  <c r="CU1102" i="3"/>
  <c r="CT1102" i="3"/>
  <c r="CS1102" i="3"/>
  <c r="CR1102" i="3"/>
  <c r="CQ1102" i="3"/>
  <c r="CP1102" i="3"/>
  <c r="CO1102" i="3"/>
  <c r="CN1102" i="3"/>
  <c r="CM1102" i="3"/>
  <c r="CL1102" i="3"/>
  <c r="CK1102" i="3"/>
  <c r="CJ1102" i="3"/>
  <c r="CI1102" i="3"/>
  <c r="CH1102" i="3"/>
  <c r="CG1102" i="3"/>
  <c r="CF1102" i="3"/>
  <c r="CE1102" i="3"/>
  <c r="CD1102" i="3"/>
  <c r="CC1102" i="3"/>
  <c r="CB1102" i="3"/>
  <c r="CA1102" i="3"/>
  <c r="BZ1102" i="3"/>
  <c r="BY1102" i="3"/>
  <c r="BX1102" i="3"/>
  <c r="BW1102" i="3"/>
  <c r="BV1102" i="3"/>
  <c r="BU1102" i="3"/>
  <c r="BT1102" i="3"/>
  <c r="BS1102" i="3"/>
  <c r="BR1102" i="3"/>
  <c r="BQ1102" i="3"/>
  <c r="BP1102" i="3"/>
  <c r="BO1102" i="3"/>
  <c r="BN1102" i="3"/>
  <c r="DU1101" i="3"/>
  <c r="DT1101" i="3"/>
  <c r="DS1101" i="3"/>
  <c r="DR1101" i="3"/>
  <c r="DQ1101" i="3"/>
  <c r="DP1101" i="3"/>
  <c r="DO1101" i="3"/>
  <c r="DN1101" i="3"/>
  <c r="DM1101" i="3"/>
  <c r="DL1101" i="3"/>
  <c r="DK1101" i="3"/>
  <c r="DJ1101" i="3"/>
  <c r="DI1101" i="3"/>
  <c r="DH1101" i="3"/>
  <c r="DG1101" i="3"/>
  <c r="DF1101" i="3"/>
  <c r="DE1101" i="3"/>
  <c r="DD1101" i="3"/>
  <c r="DC1101" i="3"/>
  <c r="DB1101" i="3"/>
  <c r="DA1101" i="3"/>
  <c r="CZ1101" i="3"/>
  <c r="CY1101" i="3"/>
  <c r="CX1101" i="3"/>
  <c r="CW1101" i="3"/>
  <c r="CV1101" i="3"/>
  <c r="CU1101" i="3"/>
  <c r="CT1101" i="3"/>
  <c r="CS1101" i="3"/>
  <c r="CR1101" i="3"/>
  <c r="CQ1101" i="3"/>
  <c r="CP1101" i="3"/>
  <c r="CO1101" i="3"/>
  <c r="CN1101" i="3"/>
  <c r="CM1101" i="3"/>
  <c r="CL1101" i="3"/>
  <c r="CK1101" i="3"/>
  <c r="CJ1101" i="3"/>
  <c r="CI1101" i="3"/>
  <c r="CH1101" i="3"/>
  <c r="CG1101" i="3"/>
  <c r="CF1101" i="3"/>
  <c r="CE1101" i="3"/>
  <c r="CD1101" i="3"/>
  <c r="CC1101" i="3"/>
  <c r="CB1101" i="3"/>
  <c r="CA1101" i="3"/>
  <c r="BZ1101" i="3"/>
  <c r="BY1101" i="3"/>
  <c r="BX1101" i="3"/>
  <c r="BW1101" i="3"/>
  <c r="BV1101" i="3"/>
  <c r="BU1101" i="3"/>
  <c r="BT1101" i="3"/>
  <c r="BS1101" i="3"/>
  <c r="BR1101" i="3"/>
  <c r="BQ1101" i="3"/>
  <c r="BP1101" i="3"/>
  <c r="BO1101" i="3"/>
  <c r="BN1101" i="3"/>
  <c r="DU1100" i="3"/>
  <c r="DT1100" i="3"/>
  <c r="DS1100" i="3"/>
  <c r="DR1100" i="3"/>
  <c r="DQ1100" i="3"/>
  <c r="DP1100" i="3"/>
  <c r="DO1100" i="3"/>
  <c r="DN1100" i="3"/>
  <c r="DM1100" i="3"/>
  <c r="DL1100" i="3"/>
  <c r="DK1100" i="3"/>
  <c r="DJ1100" i="3"/>
  <c r="DI1100" i="3"/>
  <c r="DH1100" i="3"/>
  <c r="DG1100" i="3"/>
  <c r="DF1100" i="3"/>
  <c r="DE1100" i="3"/>
  <c r="DD1100" i="3"/>
  <c r="DC1100" i="3"/>
  <c r="DB1100" i="3"/>
  <c r="DA1100" i="3"/>
  <c r="CZ1100" i="3"/>
  <c r="CY1100" i="3"/>
  <c r="CX1100" i="3"/>
  <c r="CW1100" i="3"/>
  <c r="CV1100" i="3"/>
  <c r="CU1100" i="3"/>
  <c r="CT1100" i="3"/>
  <c r="CS1100" i="3"/>
  <c r="CR1100" i="3"/>
  <c r="CQ1100" i="3"/>
  <c r="CP1100" i="3"/>
  <c r="CO1100" i="3"/>
  <c r="CN1100" i="3"/>
  <c r="CM1100" i="3"/>
  <c r="CL1100" i="3"/>
  <c r="CK1100" i="3"/>
  <c r="CJ1100" i="3"/>
  <c r="CI1100" i="3"/>
  <c r="CH1100" i="3"/>
  <c r="CG1100" i="3"/>
  <c r="CF1100" i="3"/>
  <c r="CE1100" i="3"/>
  <c r="CD1100" i="3"/>
  <c r="CC1100" i="3"/>
  <c r="CB1100" i="3"/>
  <c r="CA1100" i="3"/>
  <c r="BZ1100" i="3"/>
  <c r="BY1100" i="3"/>
  <c r="BX1100" i="3"/>
  <c r="BW1100" i="3"/>
  <c r="BV1100" i="3"/>
  <c r="BU1100" i="3"/>
  <c r="BT1100" i="3"/>
  <c r="BS1100" i="3"/>
  <c r="BR1100" i="3"/>
  <c r="BQ1100" i="3"/>
  <c r="BP1100" i="3"/>
  <c r="BO1100" i="3"/>
  <c r="BN1100" i="3"/>
  <c r="DU1099" i="3"/>
  <c r="DT1099" i="3"/>
  <c r="DS1099" i="3"/>
  <c r="DR1099" i="3"/>
  <c r="DQ1099" i="3"/>
  <c r="DP1099" i="3"/>
  <c r="DO1099" i="3"/>
  <c r="DN1099" i="3"/>
  <c r="DM1099" i="3"/>
  <c r="DL1099" i="3"/>
  <c r="DK1099" i="3"/>
  <c r="DJ1099" i="3"/>
  <c r="DI1099" i="3"/>
  <c r="DH1099" i="3"/>
  <c r="DG1099" i="3"/>
  <c r="DF1099" i="3"/>
  <c r="DE1099" i="3"/>
  <c r="DD1099" i="3"/>
  <c r="DC1099" i="3"/>
  <c r="DB1099" i="3"/>
  <c r="DA1099" i="3"/>
  <c r="CZ1099" i="3"/>
  <c r="CY1099" i="3"/>
  <c r="CX1099" i="3"/>
  <c r="CW1099" i="3"/>
  <c r="CV1099" i="3"/>
  <c r="CU1099" i="3"/>
  <c r="CT1099" i="3"/>
  <c r="CS1099" i="3"/>
  <c r="CR1099" i="3"/>
  <c r="CQ1099" i="3"/>
  <c r="CP1099" i="3"/>
  <c r="CO1099" i="3"/>
  <c r="CN1099" i="3"/>
  <c r="CM1099" i="3"/>
  <c r="CL1099" i="3"/>
  <c r="CK1099" i="3"/>
  <c r="CJ1099" i="3"/>
  <c r="CI1099" i="3"/>
  <c r="CH1099" i="3"/>
  <c r="CG1099" i="3"/>
  <c r="CF1099" i="3"/>
  <c r="CE1099" i="3"/>
  <c r="CD1099" i="3"/>
  <c r="CC1099" i="3"/>
  <c r="CB1099" i="3"/>
  <c r="CA1099" i="3"/>
  <c r="BZ1099" i="3"/>
  <c r="BY1099" i="3"/>
  <c r="BX1099" i="3"/>
  <c r="BW1099" i="3"/>
  <c r="BV1099" i="3"/>
  <c r="BU1099" i="3"/>
  <c r="BT1099" i="3"/>
  <c r="BS1099" i="3"/>
  <c r="BR1099" i="3"/>
  <c r="BQ1099" i="3"/>
  <c r="BP1099" i="3"/>
  <c r="BO1099" i="3"/>
  <c r="BN1099" i="3"/>
  <c r="DU1098" i="3"/>
  <c r="DT1098" i="3"/>
  <c r="DS1098" i="3"/>
  <c r="DR1098" i="3"/>
  <c r="DQ1098" i="3"/>
  <c r="DP1098" i="3"/>
  <c r="DO1098" i="3"/>
  <c r="DN1098" i="3"/>
  <c r="DM1098" i="3"/>
  <c r="DL1098" i="3"/>
  <c r="DK1098" i="3"/>
  <c r="DJ1098" i="3"/>
  <c r="DI1098" i="3"/>
  <c r="DH1098" i="3"/>
  <c r="DG1098" i="3"/>
  <c r="DF1098" i="3"/>
  <c r="DE1098" i="3"/>
  <c r="DD1098" i="3"/>
  <c r="DC1098" i="3"/>
  <c r="DB1098" i="3"/>
  <c r="DA1098" i="3"/>
  <c r="CZ1098" i="3"/>
  <c r="CY1098" i="3"/>
  <c r="CX1098" i="3"/>
  <c r="CW1098" i="3"/>
  <c r="CV1098" i="3"/>
  <c r="CU1098" i="3"/>
  <c r="CT1098" i="3"/>
  <c r="CS1098" i="3"/>
  <c r="CR1098" i="3"/>
  <c r="CQ1098" i="3"/>
  <c r="CP1098" i="3"/>
  <c r="CO1098" i="3"/>
  <c r="CN1098" i="3"/>
  <c r="CM1098" i="3"/>
  <c r="CL1098" i="3"/>
  <c r="CK1098" i="3"/>
  <c r="CJ1098" i="3"/>
  <c r="CI1098" i="3"/>
  <c r="CH1098" i="3"/>
  <c r="CG1098" i="3"/>
  <c r="CF1098" i="3"/>
  <c r="CE1098" i="3"/>
  <c r="CD1098" i="3"/>
  <c r="CC1098" i="3"/>
  <c r="CB1098" i="3"/>
  <c r="CA1098" i="3"/>
  <c r="BZ1098" i="3"/>
  <c r="BY1098" i="3"/>
  <c r="BX1098" i="3"/>
  <c r="BW1098" i="3"/>
  <c r="BV1098" i="3"/>
  <c r="BU1098" i="3"/>
  <c r="BT1098" i="3"/>
  <c r="BS1098" i="3"/>
  <c r="BR1098" i="3"/>
  <c r="BQ1098" i="3"/>
  <c r="BP1098" i="3"/>
  <c r="BO1098" i="3"/>
  <c r="BN1098" i="3"/>
  <c r="DU1097" i="3"/>
  <c r="DT1097" i="3"/>
  <c r="DS1097" i="3"/>
  <c r="DR1097" i="3"/>
  <c r="DQ1097" i="3"/>
  <c r="DP1097" i="3"/>
  <c r="DO1097" i="3"/>
  <c r="DN1097" i="3"/>
  <c r="DM1097" i="3"/>
  <c r="DL1097" i="3"/>
  <c r="DK1097" i="3"/>
  <c r="DJ1097" i="3"/>
  <c r="DI1097" i="3"/>
  <c r="DH1097" i="3"/>
  <c r="DG1097" i="3"/>
  <c r="DF1097" i="3"/>
  <c r="DE1097" i="3"/>
  <c r="DD1097" i="3"/>
  <c r="DC1097" i="3"/>
  <c r="DB1097" i="3"/>
  <c r="DA1097" i="3"/>
  <c r="CZ1097" i="3"/>
  <c r="CY1097" i="3"/>
  <c r="CX1097" i="3"/>
  <c r="CW1097" i="3"/>
  <c r="CV1097" i="3"/>
  <c r="CU1097" i="3"/>
  <c r="CT1097" i="3"/>
  <c r="CS1097" i="3"/>
  <c r="CR1097" i="3"/>
  <c r="CQ1097" i="3"/>
  <c r="CP1097" i="3"/>
  <c r="CO1097" i="3"/>
  <c r="CN1097" i="3"/>
  <c r="CM1097" i="3"/>
  <c r="CL1097" i="3"/>
  <c r="CK1097" i="3"/>
  <c r="CJ1097" i="3"/>
  <c r="CI1097" i="3"/>
  <c r="CH1097" i="3"/>
  <c r="CG1097" i="3"/>
  <c r="CF1097" i="3"/>
  <c r="CE1097" i="3"/>
  <c r="CD1097" i="3"/>
  <c r="CC1097" i="3"/>
  <c r="CB1097" i="3"/>
  <c r="CA1097" i="3"/>
  <c r="BZ1097" i="3"/>
  <c r="BY1097" i="3"/>
  <c r="BX1097" i="3"/>
  <c r="BW1097" i="3"/>
  <c r="BV1097" i="3"/>
  <c r="BU1097" i="3"/>
  <c r="BT1097" i="3"/>
  <c r="BS1097" i="3"/>
  <c r="BR1097" i="3"/>
  <c r="BQ1097" i="3"/>
  <c r="BP1097" i="3"/>
  <c r="BO1097" i="3"/>
  <c r="BN1097" i="3"/>
  <c r="DU1096" i="3"/>
  <c r="DT1096" i="3"/>
  <c r="DS1096" i="3"/>
  <c r="DR1096" i="3"/>
  <c r="DQ1096" i="3"/>
  <c r="DP1096" i="3"/>
  <c r="DO1096" i="3"/>
  <c r="DN1096" i="3"/>
  <c r="DM1096" i="3"/>
  <c r="DL1096" i="3"/>
  <c r="DK1096" i="3"/>
  <c r="DJ1096" i="3"/>
  <c r="DI1096" i="3"/>
  <c r="DH1096" i="3"/>
  <c r="DG1096" i="3"/>
  <c r="DF1096" i="3"/>
  <c r="DE1096" i="3"/>
  <c r="DD1096" i="3"/>
  <c r="DC1096" i="3"/>
  <c r="DB1096" i="3"/>
  <c r="DA1096" i="3"/>
  <c r="CZ1096" i="3"/>
  <c r="CY1096" i="3"/>
  <c r="CX1096" i="3"/>
  <c r="CW1096" i="3"/>
  <c r="CV1096" i="3"/>
  <c r="CU1096" i="3"/>
  <c r="CT1096" i="3"/>
  <c r="CS1096" i="3"/>
  <c r="CR1096" i="3"/>
  <c r="CQ1096" i="3"/>
  <c r="CP1096" i="3"/>
  <c r="CO1096" i="3"/>
  <c r="CN1096" i="3"/>
  <c r="CM1096" i="3"/>
  <c r="CL1096" i="3"/>
  <c r="CK1096" i="3"/>
  <c r="CJ1096" i="3"/>
  <c r="CI1096" i="3"/>
  <c r="CH1096" i="3"/>
  <c r="CG1096" i="3"/>
  <c r="CF1096" i="3"/>
  <c r="CE1096" i="3"/>
  <c r="CD1096" i="3"/>
  <c r="CC1096" i="3"/>
  <c r="CB1096" i="3"/>
  <c r="CA1096" i="3"/>
  <c r="BZ1096" i="3"/>
  <c r="BY1096" i="3"/>
  <c r="BX1096" i="3"/>
  <c r="BW1096" i="3"/>
  <c r="BV1096" i="3"/>
  <c r="BU1096" i="3"/>
  <c r="BT1096" i="3"/>
  <c r="BS1096" i="3"/>
  <c r="BR1096" i="3"/>
  <c r="BQ1096" i="3"/>
  <c r="BP1096" i="3"/>
  <c r="BO1096" i="3"/>
  <c r="BN1096" i="3"/>
  <c r="DU1095" i="3"/>
  <c r="DT1095" i="3"/>
  <c r="DS1095" i="3"/>
  <c r="DR1095" i="3"/>
  <c r="DQ1095" i="3"/>
  <c r="DP1095" i="3"/>
  <c r="DO1095" i="3"/>
  <c r="DN1095" i="3"/>
  <c r="DM1095" i="3"/>
  <c r="DL1095" i="3"/>
  <c r="DK1095" i="3"/>
  <c r="DJ1095" i="3"/>
  <c r="DI1095" i="3"/>
  <c r="DH1095" i="3"/>
  <c r="DG1095" i="3"/>
  <c r="DF1095" i="3"/>
  <c r="DE1095" i="3"/>
  <c r="DD1095" i="3"/>
  <c r="DC1095" i="3"/>
  <c r="DB1095" i="3"/>
  <c r="DA1095" i="3"/>
  <c r="CZ1095" i="3"/>
  <c r="CY1095" i="3"/>
  <c r="CX1095" i="3"/>
  <c r="CW1095" i="3"/>
  <c r="CV1095" i="3"/>
  <c r="CU1095" i="3"/>
  <c r="CT1095" i="3"/>
  <c r="CS1095" i="3"/>
  <c r="CR1095" i="3"/>
  <c r="CQ1095" i="3"/>
  <c r="CP1095" i="3"/>
  <c r="CO1095" i="3"/>
  <c r="CN1095" i="3"/>
  <c r="CM1095" i="3"/>
  <c r="CL1095" i="3"/>
  <c r="CK1095" i="3"/>
  <c r="CJ1095" i="3"/>
  <c r="CI1095" i="3"/>
  <c r="CH1095" i="3"/>
  <c r="CG1095" i="3"/>
  <c r="CF1095" i="3"/>
  <c r="CE1095" i="3"/>
  <c r="CD1095" i="3"/>
  <c r="CC1095" i="3"/>
  <c r="CB1095" i="3"/>
  <c r="CA1095" i="3"/>
  <c r="BZ1095" i="3"/>
  <c r="BY1095" i="3"/>
  <c r="BX1095" i="3"/>
  <c r="BW1095" i="3"/>
  <c r="BV1095" i="3"/>
  <c r="BU1095" i="3"/>
  <c r="BT1095" i="3"/>
  <c r="BS1095" i="3"/>
  <c r="BR1095" i="3"/>
  <c r="BQ1095" i="3"/>
  <c r="BP1095" i="3"/>
  <c r="BO1095" i="3"/>
  <c r="BN1095" i="3"/>
  <c r="DU1094" i="3"/>
  <c r="DT1094" i="3"/>
  <c r="DS1094" i="3"/>
  <c r="DR1094" i="3"/>
  <c r="DQ1094" i="3"/>
  <c r="DP1094" i="3"/>
  <c r="DO1094" i="3"/>
  <c r="DN1094" i="3"/>
  <c r="DM1094" i="3"/>
  <c r="DL1094" i="3"/>
  <c r="DK1094" i="3"/>
  <c r="DJ1094" i="3"/>
  <c r="DI1094" i="3"/>
  <c r="DH1094" i="3"/>
  <c r="DG1094" i="3"/>
  <c r="DF1094" i="3"/>
  <c r="DE1094" i="3"/>
  <c r="DD1094" i="3"/>
  <c r="DC1094" i="3"/>
  <c r="DB1094" i="3"/>
  <c r="DA1094" i="3"/>
  <c r="CZ1094" i="3"/>
  <c r="CY1094" i="3"/>
  <c r="CX1094" i="3"/>
  <c r="CW1094" i="3"/>
  <c r="CV1094" i="3"/>
  <c r="CU1094" i="3"/>
  <c r="CT1094" i="3"/>
  <c r="CS1094" i="3"/>
  <c r="CR1094" i="3"/>
  <c r="CQ1094" i="3"/>
  <c r="CP1094" i="3"/>
  <c r="CO1094" i="3"/>
  <c r="CN1094" i="3"/>
  <c r="CM1094" i="3"/>
  <c r="CL1094" i="3"/>
  <c r="CK1094" i="3"/>
  <c r="CJ1094" i="3"/>
  <c r="CI1094" i="3"/>
  <c r="CH1094" i="3"/>
  <c r="CG1094" i="3"/>
  <c r="CF1094" i="3"/>
  <c r="CE1094" i="3"/>
  <c r="CD1094" i="3"/>
  <c r="CC1094" i="3"/>
  <c r="CB1094" i="3"/>
  <c r="CA1094" i="3"/>
  <c r="BZ1094" i="3"/>
  <c r="BY1094" i="3"/>
  <c r="BX1094" i="3"/>
  <c r="BW1094" i="3"/>
  <c r="BV1094" i="3"/>
  <c r="BU1094" i="3"/>
  <c r="BT1094" i="3"/>
  <c r="BS1094" i="3"/>
  <c r="BR1094" i="3"/>
  <c r="BQ1094" i="3"/>
  <c r="BP1094" i="3"/>
  <c r="BO1094" i="3"/>
  <c r="BN1094" i="3"/>
  <c r="DU1093" i="3"/>
  <c r="DT1093" i="3"/>
  <c r="DS1093" i="3"/>
  <c r="DR1093" i="3"/>
  <c r="DQ1093" i="3"/>
  <c r="DP1093" i="3"/>
  <c r="DO1093" i="3"/>
  <c r="DN1093" i="3"/>
  <c r="DM1093" i="3"/>
  <c r="DL1093" i="3"/>
  <c r="DK1093" i="3"/>
  <c r="DJ1093" i="3"/>
  <c r="DI1093" i="3"/>
  <c r="DH1093" i="3"/>
  <c r="DG1093" i="3"/>
  <c r="DF1093" i="3"/>
  <c r="DE1093" i="3"/>
  <c r="DD1093" i="3"/>
  <c r="DC1093" i="3"/>
  <c r="DB1093" i="3"/>
  <c r="DA1093" i="3"/>
  <c r="CZ1093" i="3"/>
  <c r="CY1093" i="3"/>
  <c r="CX1093" i="3"/>
  <c r="CW1093" i="3"/>
  <c r="CV1093" i="3"/>
  <c r="CU1093" i="3"/>
  <c r="CT1093" i="3"/>
  <c r="CS1093" i="3"/>
  <c r="CR1093" i="3"/>
  <c r="CQ1093" i="3"/>
  <c r="CP1093" i="3"/>
  <c r="CO1093" i="3"/>
  <c r="CN1093" i="3"/>
  <c r="CM1093" i="3"/>
  <c r="CL1093" i="3"/>
  <c r="CK1093" i="3"/>
  <c r="CJ1093" i="3"/>
  <c r="CI1093" i="3"/>
  <c r="CH1093" i="3"/>
  <c r="CG1093" i="3"/>
  <c r="CF1093" i="3"/>
  <c r="CE1093" i="3"/>
  <c r="CD1093" i="3"/>
  <c r="CC1093" i="3"/>
  <c r="CB1093" i="3"/>
  <c r="CA1093" i="3"/>
  <c r="BZ1093" i="3"/>
  <c r="BY1093" i="3"/>
  <c r="BX1093" i="3"/>
  <c r="BW1093" i="3"/>
  <c r="BV1093" i="3"/>
  <c r="BU1093" i="3"/>
  <c r="BT1093" i="3"/>
  <c r="BS1093" i="3"/>
  <c r="BR1093" i="3"/>
  <c r="BQ1093" i="3"/>
  <c r="BP1093" i="3"/>
  <c r="BO1093" i="3"/>
  <c r="BN1093" i="3"/>
  <c r="DU1092" i="3"/>
  <c r="DT1092" i="3"/>
  <c r="DS1092" i="3"/>
  <c r="DR1092" i="3"/>
  <c r="DQ1092" i="3"/>
  <c r="DP1092" i="3"/>
  <c r="DO1092" i="3"/>
  <c r="DN1092" i="3"/>
  <c r="DM1092" i="3"/>
  <c r="DL1092" i="3"/>
  <c r="DK1092" i="3"/>
  <c r="DJ1092" i="3"/>
  <c r="DI1092" i="3"/>
  <c r="DH1092" i="3"/>
  <c r="DG1092" i="3"/>
  <c r="DF1092" i="3"/>
  <c r="DE1092" i="3"/>
  <c r="DD1092" i="3"/>
  <c r="DC1092" i="3"/>
  <c r="DB1092" i="3"/>
  <c r="DA1092" i="3"/>
  <c r="CZ1092" i="3"/>
  <c r="CY1092" i="3"/>
  <c r="CX1092" i="3"/>
  <c r="CW1092" i="3"/>
  <c r="CV1092" i="3"/>
  <c r="CU1092" i="3"/>
  <c r="CT1092" i="3"/>
  <c r="CS1092" i="3"/>
  <c r="CR1092" i="3"/>
  <c r="CQ1092" i="3"/>
  <c r="CP1092" i="3"/>
  <c r="CO1092" i="3"/>
  <c r="CN1092" i="3"/>
  <c r="CM1092" i="3"/>
  <c r="CL1092" i="3"/>
  <c r="CK1092" i="3"/>
  <c r="CJ1092" i="3"/>
  <c r="CI1092" i="3"/>
  <c r="CH1092" i="3"/>
  <c r="CG1092" i="3"/>
  <c r="CF1092" i="3"/>
  <c r="CE1092" i="3"/>
  <c r="CD1092" i="3"/>
  <c r="CC1092" i="3"/>
  <c r="CB1092" i="3"/>
  <c r="CA1092" i="3"/>
  <c r="BZ1092" i="3"/>
  <c r="BY1092" i="3"/>
  <c r="BX1092" i="3"/>
  <c r="BW1092" i="3"/>
  <c r="BV1092" i="3"/>
  <c r="BU1092" i="3"/>
  <c r="BT1092" i="3"/>
  <c r="BS1092" i="3"/>
  <c r="BR1092" i="3"/>
  <c r="BQ1092" i="3"/>
  <c r="BP1092" i="3"/>
  <c r="BO1092" i="3"/>
  <c r="BN1092" i="3"/>
  <c r="DU1091" i="3"/>
  <c r="DT1091" i="3"/>
  <c r="DS1091" i="3"/>
  <c r="DR1091" i="3"/>
  <c r="DQ1091" i="3"/>
  <c r="DP1091" i="3"/>
  <c r="DO1091" i="3"/>
  <c r="DN1091" i="3"/>
  <c r="DM1091" i="3"/>
  <c r="DL1091" i="3"/>
  <c r="DK1091" i="3"/>
  <c r="DJ1091" i="3"/>
  <c r="DI1091" i="3"/>
  <c r="DH1091" i="3"/>
  <c r="DG1091" i="3"/>
  <c r="DF1091" i="3"/>
  <c r="DE1091" i="3"/>
  <c r="DD1091" i="3"/>
  <c r="DC1091" i="3"/>
  <c r="DB1091" i="3"/>
  <c r="DA1091" i="3"/>
  <c r="CZ1091" i="3"/>
  <c r="CY1091" i="3"/>
  <c r="CX1091" i="3"/>
  <c r="CW1091" i="3"/>
  <c r="CV1091" i="3"/>
  <c r="CU1091" i="3"/>
  <c r="CT1091" i="3"/>
  <c r="CS1091" i="3"/>
  <c r="CR1091" i="3"/>
  <c r="CQ1091" i="3"/>
  <c r="CP1091" i="3"/>
  <c r="CO1091" i="3"/>
  <c r="CN1091" i="3"/>
  <c r="CM1091" i="3"/>
  <c r="CL1091" i="3"/>
  <c r="CK1091" i="3"/>
  <c r="CJ1091" i="3"/>
  <c r="CI1091" i="3"/>
  <c r="CH1091" i="3"/>
  <c r="CG1091" i="3"/>
  <c r="CF1091" i="3"/>
  <c r="CE1091" i="3"/>
  <c r="CD1091" i="3"/>
  <c r="CC1091" i="3"/>
  <c r="CB1091" i="3"/>
  <c r="CA1091" i="3"/>
  <c r="BZ1091" i="3"/>
  <c r="BY1091" i="3"/>
  <c r="BX1091" i="3"/>
  <c r="BW1091" i="3"/>
  <c r="BV1091" i="3"/>
  <c r="BU1091" i="3"/>
  <c r="BT1091" i="3"/>
  <c r="BS1091" i="3"/>
  <c r="BR1091" i="3"/>
  <c r="BQ1091" i="3"/>
  <c r="BP1091" i="3"/>
  <c r="BO1091" i="3"/>
  <c r="BN1091" i="3"/>
  <c r="DU1090" i="3"/>
  <c r="DT1090" i="3"/>
  <c r="DS1090" i="3"/>
  <c r="DR1090" i="3"/>
  <c r="DQ1090" i="3"/>
  <c r="DP1090" i="3"/>
  <c r="DO1090" i="3"/>
  <c r="DN1090" i="3"/>
  <c r="DM1090" i="3"/>
  <c r="DL1090" i="3"/>
  <c r="DK1090" i="3"/>
  <c r="DJ1090" i="3"/>
  <c r="DI1090" i="3"/>
  <c r="DH1090" i="3"/>
  <c r="DG1090" i="3"/>
  <c r="DF1090" i="3"/>
  <c r="DE1090" i="3"/>
  <c r="DD1090" i="3"/>
  <c r="DC1090" i="3"/>
  <c r="DB1090" i="3"/>
  <c r="DA1090" i="3"/>
  <c r="CZ1090" i="3"/>
  <c r="CY1090" i="3"/>
  <c r="CX1090" i="3"/>
  <c r="CW1090" i="3"/>
  <c r="CV1090" i="3"/>
  <c r="CU1090" i="3"/>
  <c r="CT1090" i="3"/>
  <c r="CS1090" i="3"/>
  <c r="CR1090" i="3"/>
  <c r="CQ1090" i="3"/>
  <c r="CP1090" i="3"/>
  <c r="CO1090" i="3"/>
  <c r="CN1090" i="3"/>
  <c r="CM1090" i="3"/>
  <c r="CL1090" i="3"/>
  <c r="CK1090" i="3"/>
  <c r="CJ1090" i="3"/>
  <c r="CI1090" i="3"/>
  <c r="CH1090" i="3"/>
  <c r="CG1090" i="3"/>
  <c r="CF1090" i="3"/>
  <c r="CE1090" i="3"/>
  <c r="CD1090" i="3"/>
  <c r="CC1090" i="3"/>
  <c r="CB1090" i="3"/>
  <c r="CA1090" i="3"/>
  <c r="BZ1090" i="3"/>
  <c r="BY1090" i="3"/>
  <c r="BX1090" i="3"/>
  <c r="BW1090" i="3"/>
  <c r="BV1090" i="3"/>
  <c r="BU1090" i="3"/>
  <c r="BT1090" i="3"/>
  <c r="BS1090" i="3"/>
  <c r="BR1090" i="3"/>
  <c r="BQ1090" i="3"/>
  <c r="BP1090" i="3"/>
  <c r="BO1090" i="3"/>
  <c r="BN1090" i="3"/>
  <c r="DU1089" i="3"/>
  <c r="DT1089" i="3"/>
  <c r="DS1089" i="3"/>
  <c r="DR1089" i="3"/>
  <c r="DQ1089" i="3"/>
  <c r="DP1089" i="3"/>
  <c r="DO1089" i="3"/>
  <c r="DN1089" i="3"/>
  <c r="DM1089" i="3"/>
  <c r="DL1089" i="3"/>
  <c r="DK1089" i="3"/>
  <c r="DJ1089" i="3"/>
  <c r="DI1089" i="3"/>
  <c r="DH1089" i="3"/>
  <c r="DG1089" i="3"/>
  <c r="DF1089" i="3"/>
  <c r="DE1089" i="3"/>
  <c r="DD1089" i="3"/>
  <c r="DC1089" i="3"/>
  <c r="DB1089" i="3"/>
  <c r="DA1089" i="3"/>
  <c r="CZ1089" i="3"/>
  <c r="CY1089" i="3"/>
  <c r="CX1089" i="3"/>
  <c r="CW1089" i="3"/>
  <c r="CV1089" i="3"/>
  <c r="CU1089" i="3"/>
  <c r="CT1089" i="3"/>
  <c r="CS1089" i="3"/>
  <c r="CR1089" i="3"/>
  <c r="CQ1089" i="3"/>
  <c r="CP1089" i="3"/>
  <c r="CO1089" i="3"/>
  <c r="CN1089" i="3"/>
  <c r="CM1089" i="3"/>
  <c r="CL1089" i="3"/>
  <c r="CK1089" i="3"/>
  <c r="CJ1089" i="3"/>
  <c r="CI1089" i="3"/>
  <c r="CH1089" i="3"/>
  <c r="CG1089" i="3"/>
  <c r="CF1089" i="3"/>
  <c r="CE1089" i="3"/>
  <c r="CD1089" i="3"/>
  <c r="CC1089" i="3"/>
  <c r="CB1089" i="3"/>
  <c r="CA1089" i="3"/>
  <c r="BZ1089" i="3"/>
  <c r="BY1089" i="3"/>
  <c r="BX1089" i="3"/>
  <c r="BW1089" i="3"/>
  <c r="BV1089" i="3"/>
  <c r="BU1089" i="3"/>
  <c r="BT1089" i="3"/>
  <c r="BS1089" i="3"/>
  <c r="BR1089" i="3"/>
  <c r="BQ1089" i="3"/>
  <c r="BP1089" i="3"/>
  <c r="BO1089" i="3"/>
  <c r="BN1089" i="3"/>
  <c r="DU1088" i="3"/>
  <c r="DT1088" i="3"/>
  <c r="DS1088" i="3"/>
  <c r="DR1088" i="3"/>
  <c r="DQ1088" i="3"/>
  <c r="DP1088" i="3"/>
  <c r="DO1088" i="3"/>
  <c r="DN1088" i="3"/>
  <c r="DM1088" i="3"/>
  <c r="DL1088" i="3"/>
  <c r="DK1088" i="3"/>
  <c r="DJ1088" i="3"/>
  <c r="DI1088" i="3"/>
  <c r="DH1088" i="3"/>
  <c r="DG1088" i="3"/>
  <c r="DF1088" i="3"/>
  <c r="DE1088" i="3"/>
  <c r="DD1088" i="3"/>
  <c r="DC1088" i="3"/>
  <c r="DB1088" i="3"/>
  <c r="DA1088" i="3"/>
  <c r="CZ1088" i="3"/>
  <c r="CY1088" i="3"/>
  <c r="CX1088" i="3"/>
  <c r="CW1088" i="3"/>
  <c r="CV1088" i="3"/>
  <c r="CU1088" i="3"/>
  <c r="CT1088" i="3"/>
  <c r="CS1088" i="3"/>
  <c r="CR1088" i="3"/>
  <c r="CQ1088" i="3"/>
  <c r="CP1088" i="3"/>
  <c r="CO1088" i="3"/>
  <c r="CN1088" i="3"/>
  <c r="CM1088" i="3"/>
  <c r="CL1088" i="3"/>
  <c r="CK1088" i="3"/>
  <c r="CJ1088" i="3"/>
  <c r="CI1088" i="3"/>
  <c r="CH1088" i="3"/>
  <c r="CG1088" i="3"/>
  <c r="CF1088" i="3"/>
  <c r="CE1088" i="3"/>
  <c r="CD1088" i="3"/>
  <c r="CC1088" i="3"/>
  <c r="CB1088" i="3"/>
  <c r="CA1088" i="3"/>
  <c r="BZ1088" i="3"/>
  <c r="BY1088" i="3"/>
  <c r="BX1088" i="3"/>
  <c r="BW1088" i="3"/>
  <c r="BV1088" i="3"/>
  <c r="BU1088" i="3"/>
  <c r="BT1088" i="3"/>
  <c r="BS1088" i="3"/>
  <c r="BR1088" i="3"/>
  <c r="BQ1088" i="3"/>
  <c r="BP1088" i="3"/>
  <c r="BO1088" i="3"/>
  <c r="BN1088" i="3"/>
  <c r="DU1087" i="3"/>
  <c r="DT1087" i="3"/>
  <c r="DS1087" i="3"/>
  <c r="DR1087" i="3"/>
  <c r="DQ1087" i="3"/>
  <c r="DP1087" i="3"/>
  <c r="DO1087" i="3"/>
  <c r="DN1087" i="3"/>
  <c r="DM1087" i="3"/>
  <c r="DL1087" i="3"/>
  <c r="DK1087" i="3"/>
  <c r="DJ1087" i="3"/>
  <c r="DI1087" i="3"/>
  <c r="DH1087" i="3"/>
  <c r="DG1087" i="3"/>
  <c r="DF1087" i="3"/>
  <c r="DE1087" i="3"/>
  <c r="DD1087" i="3"/>
  <c r="DC1087" i="3"/>
  <c r="DB1087" i="3"/>
  <c r="DA1087" i="3"/>
  <c r="CZ1087" i="3"/>
  <c r="CY1087" i="3"/>
  <c r="CX1087" i="3"/>
  <c r="CW1087" i="3"/>
  <c r="CV1087" i="3"/>
  <c r="CU1087" i="3"/>
  <c r="CT1087" i="3"/>
  <c r="CS1087" i="3"/>
  <c r="CR1087" i="3"/>
  <c r="CQ1087" i="3"/>
  <c r="CP1087" i="3"/>
  <c r="CO1087" i="3"/>
  <c r="CN1087" i="3"/>
  <c r="CM1087" i="3"/>
  <c r="CL1087" i="3"/>
  <c r="CK1087" i="3"/>
  <c r="CJ1087" i="3"/>
  <c r="CI1087" i="3"/>
  <c r="CH1087" i="3"/>
  <c r="CG1087" i="3"/>
  <c r="CF1087" i="3"/>
  <c r="CE1087" i="3"/>
  <c r="CD1087" i="3"/>
  <c r="CC1087" i="3"/>
  <c r="CB1087" i="3"/>
  <c r="CA1087" i="3"/>
  <c r="BZ1087" i="3"/>
  <c r="BY1087" i="3"/>
  <c r="BX1087" i="3"/>
  <c r="BW1087" i="3"/>
  <c r="BV1087" i="3"/>
  <c r="BU1087" i="3"/>
  <c r="BT1087" i="3"/>
  <c r="BS1087" i="3"/>
  <c r="BR1087" i="3"/>
  <c r="BQ1087" i="3"/>
  <c r="BP1087" i="3"/>
  <c r="BO1087" i="3"/>
  <c r="BN1087" i="3"/>
  <c r="DU1086" i="3"/>
  <c r="DT1086" i="3"/>
  <c r="DS1086" i="3"/>
  <c r="DR1086" i="3"/>
  <c r="DQ1086" i="3"/>
  <c r="DP1086" i="3"/>
  <c r="DO1086" i="3"/>
  <c r="DN1086" i="3"/>
  <c r="DM1086" i="3"/>
  <c r="DL1086" i="3"/>
  <c r="DK1086" i="3"/>
  <c r="DJ1086" i="3"/>
  <c r="DI1086" i="3"/>
  <c r="DH1086" i="3"/>
  <c r="DG1086" i="3"/>
  <c r="DF1086" i="3"/>
  <c r="DE1086" i="3"/>
  <c r="DD1086" i="3"/>
  <c r="DC1086" i="3"/>
  <c r="DB1086" i="3"/>
  <c r="DA1086" i="3"/>
  <c r="CZ1086" i="3"/>
  <c r="CY1086" i="3"/>
  <c r="CX1086" i="3"/>
  <c r="CW1086" i="3"/>
  <c r="CV1086" i="3"/>
  <c r="CU1086" i="3"/>
  <c r="CT1086" i="3"/>
  <c r="CS1086" i="3"/>
  <c r="CR1086" i="3"/>
  <c r="CQ1086" i="3"/>
  <c r="CP1086" i="3"/>
  <c r="CO1086" i="3"/>
  <c r="CN1086" i="3"/>
  <c r="CM1086" i="3"/>
  <c r="CL1086" i="3"/>
  <c r="CK1086" i="3"/>
  <c r="CJ1086" i="3"/>
  <c r="CI1086" i="3"/>
  <c r="CH1086" i="3"/>
  <c r="CG1086" i="3"/>
  <c r="CF1086" i="3"/>
  <c r="CE1086" i="3"/>
  <c r="CD1086" i="3"/>
  <c r="CC1086" i="3"/>
  <c r="CB1086" i="3"/>
  <c r="CA1086" i="3"/>
  <c r="BZ1086" i="3"/>
  <c r="BY1086" i="3"/>
  <c r="BX1086" i="3"/>
  <c r="BW1086" i="3"/>
  <c r="BV1086" i="3"/>
  <c r="BU1086" i="3"/>
  <c r="BT1086" i="3"/>
  <c r="BS1086" i="3"/>
  <c r="BR1086" i="3"/>
  <c r="BQ1086" i="3"/>
  <c r="BP1086" i="3"/>
  <c r="BO1086" i="3"/>
  <c r="BN1086" i="3"/>
  <c r="DU1085" i="3"/>
  <c r="DT1085" i="3"/>
  <c r="DS1085" i="3"/>
  <c r="DR1085" i="3"/>
  <c r="DQ1085" i="3"/>
  <c r="DP1085" i="3"/>
  <c r="DO1085" i="3"/>
  <c r="DN1085" i="3"/>
  <c r="DM1085" i="3"/>
  <c r="DL1085" i="3"/>
  <c r="DK1085" i="3"/>
  <c r="DJ1085" i="3"/>
  <c r="DI1085" i="3"/>
  <c r="DH1085" i="3"/>
  <c r="DG1085" i="3"/>
  <c r="DF1085" i="3"/>
  <c r="DE1085" i="3"/>
  <c r="DD1085" i="3"/>
  <c r="DC1085" i="3"/>
  <c r="DB1085" i="3"/>
  <c r="DA1085" i="3"/>
  <c r="CZ1085" i="3"/>
  <c r="CY1085" i="3"/>
  <c r="CX1085" i="3"/>
  <c r="CW1085" i="3"/>
  <c r="CV1085" i="3"/>
  <c r="CU1085" i="3"/>
  <c r="CT1085" i="3"/>
  <c r="CS1085" i="3"/>
  <c r="CR1085" i="3"/>
  <c r="CQ1085" i="3"/>
  <c r="CP1085" i="3"/>
  <c r="CO1085" i="3"/>
  <c r="CN1085" i="3"/>
  <c r="CM1085" i="3"/>
  <c r="CL1085" i="3"/>
  <c r="CK1085" i="3"/>
  <c r="CJ1085" i="3"/>
  <c r="CI1085" i="3"/>
  <c r="CH1085" i="3"/>
  <c r="CG1085" i="3"/>
  <c r="CF1085" i="3"/>
  <c r="CE1085" i="3"/>
  <c r="CD1085" i="3"/>
  <c r="CC1085" i="3"/>
  <c r="CB1085" i="3"/>
  <c r="CA1085" i="3"/>
  <c r="BZ1085" i="3"/>
  <c r="BY1085" i="3"/>
  <c r="BX1085" i="3"/>
  <c r="BW1085" i="3"/>
  <c r="BV1085" i="3"/>
  <c r="BU1085" i="3"/>
  <c r="BT1085" i="3"/>
  <c r="BS1085" i="3"/>
  <c r="BR1085" i="3"/>
  <c r="BQ1085" i="3"/>
  <c r="BP1085" i="3"/>
  <c r="BO1085" i="3"/>
  <c r="BN1085" i="3"/>
  <c r="DU1084" i="3"/>
  <c r="DT1084" i="3"/>
  <c r="DS1084" i="3"/>
  <c r="DR1084" i="3"/>
  <c r="DQ1084" i="3"/>
  <c r="DP1084" i="3"/>
  <c r="DO1084" i="3"/>
  <c r="DN1084" i="3"/>
  <c r="DM1084" i="3"/>
  <c r="DL1084" i="3"/>
  <c r="DK1084" i="3"/>
  <c r="DJ1084" i="3"/>
  <c r="DI1084" i="3"/>
  <c r="DH1084" i="3"/>
  <c r="DG1084" i="3"/>
  <c r="DF1084" i="3"/>
  <c r="DE1084" i="3"/>
  <c r="DD1084" i="3"/>
  <c r="DC1084" i="3"/>
  <c r="DB1084" i="3"/>
  <c r="DA1084" i="3"/>
  <c r="CZ1084" i="3"/>
  <c r="CY1084" i="3"/>
  <c r="CX1084" i="3"/>
  <c r="CW1084" i="3"/>
  <c r="CV1084" i="3"/>
  <c r="CU1084" i="3"/>
  <c r="CT1084" i="3"/>
  <c r="CS1084" i="3"/>
  <c r="CR1084" i="3"/>
  <c r="CQ1084" i="3"/>
  <c r="CP1084" i="3"/>
  <c r="CO1084" i="3"/>
  <c r="CN1084" i="3"/>
  <c r="CM1084" i="3"/>
  <c r="CL1084" i="3"/>
  <c r="CK1084" i="3"/>
  <c r="CJ1084" i="3"/>
  <c r="CI1084" i="3"/>
  <c r="CH1084" i="3"/>
  <c r="CG1084" i="3"/>
  <c r="CF1084" i="3"/>
  <c r="CE1084" i="3"/>
  <c r="CD1084" i="3"/>
  <c r="CC1084" i="3"/>
  <c r="CB1084" i="3"/>
  <c r="CA1084" i="3"/>
  <c r="BZ1084" i="3"/>
  <c r="BY1084" i="3"/>
  <c r="BX1084" i="3"/>
  <c r="BW1084" i="3"/>
  <c r="BV1084" i="3"/>
  <c r="BU1084" i="3"/>
  <c r="BT1084" i="3"/>
  <c r="BS1084" i="3"/>
  <c r="BR1084" i="3"/>
  <c r="BQ1084" i="3"/>
  <c r="BP1084" i="3"/>
  <c r="BO1084" i="3"/>
  <c r="BN1084" i="3"/>
  <c r="DU1083" i="3"/>
  <c r="DT1083" i="3"/>
  <c r="DS1083" i="3"/>
  <c r="DR1083" i="3"/>
  <c r="DQ1083" i="3"/>
  <c r="DP1083" i="3"/>
  <c r="DO1083" i="3"/>
  <c r="DN1083" i="3"/>
  <c r="DM1083" i="3"/>
  <c r="DL1083" i="3"/>
  <c r="DK1083" i="3"/>
  <c r="DJ1083" i="3"/>
  <c r="DI1083" i="3"/>
  <c r="DH1083" i="3"/>
  <c r="DG1083" i="3"/>
  <c r="DF1083" i="3"/>
  <c r="DE1083" i="3"/>
  <c r="DD1083" i="3"/>
  <c r="DC1083" i="3"/>
  <c r="DB1083" i="3"/>
  <c r="DA1083" i="3"/>
  <c r="CZ1083" i="3"/>
  <c r="CY1083" i="3"/>
  <c r="CX1083" i="3"/>
  <c r="CW1083" i="3"/>
  <c r="CV1083" i="3"/>
  <c r="CU1083" i="3"/>
  <c r="CT1083" i="3"/>
  <c r="CS1083" i="3"/>
  <c r="CR1083" i="3"/>
  <c r="CQ1083" i="3"/>
  <c r="CP1083" i="3"/>
  <c r="CO1083" i="3"/>
  <c r="CN1083" i="3"/>
  <c r="CM1083" i="3"/>
  <c r="CL1083" i="3"/>
  <c r="CK1083" i="3"/>
  <c r="CJ1083" i="3"/>
  <c r="CI1083" i="3"/>
  <c r="CH1083" i="3"/>
  <c r="CG1083" i="3"/>
  <c r="CF1083" i="3"/>
  <c r="CE1083" i="3"/>
  <c r="CD1083" i="3"/>
  <c r="CC1083" i="3"/>
  <c r="CB1083" i="3"/>
  <c r="CA1083" i="3"/>
  <c r="BZ1083" i="3"/>
  <c r="BY1083" i="3"/>
  <c r="BX1083" i="3"/>
  <c r="BW1083" i="3"/>
  <c r="BV1083" i="3"/>
  <c r="BU1083" i="3"/>
  <c r="BT1083" i="3"/>
  <c r="BS1083" i="3"/>
  <c r="BR1083" i="3"/>
  <c r="BQ1083" i="3"/>
  <c r="BP1083" i="3"/>
  <c r="BO1083" i="3"/>
  <c r="BN1083" i="3"/>
  <c r="DU1082" i="3"/>
  <c r="DT1082" i="3"/>
  <c r="DS1082" i="3"/>
  <c r="DR1082" i="3"/>
  <c r="DQ1082" i="3"/>
  <c r="DP1082" i="3"/>
  <c r="DO1082" i="3"/>
  <c r="DN1082" i="3"/>
  <c r="DM1082" i="3"/>
  <c r="DL1082" i="3"/>
  <c r="DK1082" i="3"/>
  <c r="DJ1082" i="3"/>
  <c r="DI1082" i="3"/>
  <c r="DH1082" i="3"/>
  <c r="DG1082" i="3"/>
  <c r="DF1082" i="3"/>
  <c r="DE1082" i="3"/>
  <c r="DD1082" i="3"/>
  <c r="DC1082" i="3"/>
  <c r="DB1082" i="3"/>
  <c r="DA1082" i="3"/>
  <c r="CZ1082" i="3"/>
  <c r="CY1082" i="3"/>
  <c r="CX1082" i="3"/>
  <c r="CW1082" i="3"/>
  <c r="CV1082" i="3"/>
  <c r="CU1082" i="3"/>
  <c r="CT1082" i="3"/>
  <c r="CS1082" i="3"/>
  <c r="CR1082" i="3"/>
  <c r="CQ1082" i="3"/>
  <c r="CP1082" i="3"/>
  <c r="CO1082" i="3"/>
  <c r="CN1082" i="3"/>
  <c r="CM1082" i="3"/>
  <c r="CL1082" i="3"/>
  <c r="CK1082" i="3"/>
  <c r="CJ1082" i="3"/>
  <c r="CI1082" i="3"/>
  <c r="CH1082" i="3"/>
  <c r="CG1082" i="3"/>
  <c r="CF1082" i="3"/>
  <c r="CE1082" i="3"/>
  <c r="CD1082" i="3"/>
  <c r="CC1082" i="3"/>
  <c r="CB1082" i="3"/>
  <c r="CA1082" i="3"/>
  <c r="BZ1082" i="3"/>
  <c r="BY1082" i="3"/>
  <c r="BX1082" i="3"/>
  <c r="BW1082" i="3"/>
  <c r="BV1082" i="3"/>
  <c r="BU1082" i="3"/>
  <c r="BT1082" i="3"/>
  <c r="BS1082" i="3"/>
  <c r="BR1082" i="3"/>
  <c r="BQ1082" i="3"/>
  <c r="BP1082" i="3"/>
  <c r="BO1082" i="3"/>
  <c r="BN1082" i="3"/>
  <c r="DU1081" i="3"/>
  <c r="DT1081" i="3"/>
  <c r="DS1081" i="3"/>
  <c r="DR1081" i="3"/>
  <c r="DQ1081" i="3"/>
  <c r="DP1081" i="3"/>
  <c r="DO1081" i="3"/>
  <c r="DN1081" i="3"/>
  <c r="DM1081" i="3"/>
  <c r="DL1081" i="3"/>
  <c r="DK1081" i="3"/>
  <c r="DJ1081" i="3"/>
  <c r="DI1081" i="3"/>
  <c r="DH1081" i="3"/>
  <c r="DG1081" i="3"/>
  <c r="DF1081" i="3"/>
  <c r="DE1081" i="3"/>
  <c r="DD1081" i="3"/>
  <c r="DC1081" i="3"/>
  <c r="DB1081" i="3"/>
  <c r="DA1081" i="3"/>
  <c r="CZ1081" i="3"/>
  <c r="CY1081" i="3"/>
  <c r="CX1081" i="3"/>
  <c r="CW1081" i="3"/>
  <c r="CV1081" i="3"/>
  <c r="CU1081" i="3"/>
  <c r="CT1081" i="3"/>
  <c r="CS1081" i="3"/>
  <c r="CR1081" i="3"/>
  <c r="CQ1081" i="3"/>
  <c r="CP1081" i="3"/>
  <c r="CO1081" i="3"/>
  <c r="CN1081" i="3"/>
  <c r="CM1081" i="3"/>
  <c r="CL1081" i="3"/>
  <c r="CK1081" i="3"/>
  <c r="CJ1081" i="3"/>
  <c r="CI1081" i="3"/>
  <c r="CH1081" i="3"/>
  <c r="CG1081" i="3"/>
  <c r="CF1081" i="3"/>
  <c r="CE1081" i="3"/>
  <c r="CD1081" i="3"/>
  <c r="CC1081" i="3"/>
  <c r="CB1081" i="3"/>
  <c r="CA1081" i="3"/>
  <c r="BZ1081" i="3"/>
  <c r="BY1081" i="3"/>
  <c r="BX1081" i="3"/>
  <c r="BW1081" i="3"/>
  <c r="BV1081" i="3"/>
  <c r="BU1081" i="3"/>
  <c r="BT1081" i="3"/>
  <c r="BS1081" i="3"/>
  <c r="BR1081" i="3"/>
  <c r="BQ1081" i="3"/>
  <c r="BP1081" i="3"/>
  <c r="BO1081" i="3"/>
  <c r="BN1081" i="3"/>
  <c r="DU1080" i="3"/>
  <c r="DT1080" i="3"/>
  <c r="DS1080" i="3"/>
  <c r="DR1080" i="3"/>
  <c r="DQ1080" i="3"/>
  <c r="DP1080" i="3"/>
  <c r="DO1080" i="3"/>
  <c r="DN1080" i="3"/>
  <c r="DM1080" i="3"/>
  <c r="DL1080" i="3"/>
  <c r="DK1080" i="3"/>
  <c r="DJ1080" i="3"/>
  <c r="DI1080" i="3"/>
  <c r="DH1080" i="3"/>
  <c r="DG1080" i="3"/>
  <c r="DF1080" i="3"/>
  <c r="DE1080" i="3"/>
  <c r="DD1080" i="3"/>
  <c r="DC1080" i="3"/>
  <c r="DB1080" i="3"/>
  <c r="DA1080" i="3"/>
  <c r="CZ1080" i="3"/>
  <c r="CY1080" i="3"/>
  <c r="CX1080" i="3"/>
  <c r="CW1080" i="3"/>
  <c r="CV1080" i="3"/>
  <c r="CU1080" i="3"/>
  <c r="CT1080" i="3"/>
  <c r="CS1080" i="3"/>
  <c r="CR1080" i="3"/>
  <c r="CQ1080" i="3"/>
  <c r="CP1080" i="3"/>
  <c r="CO1080" i="3"/>
  <c r="CN1080" i="3"/>
  <c r="CM1080" i="3"/>
  <c r="CL1080" i="3"/>
  <c r="CK1080" i="3"/>
  <c r="CJ1080" i="3"/>
  <c r="CI1080" i="3"/>
  <c r="CH1080" i="3"/>
  <c r="CG1080" i="3"/>
  <c r="CF1080" i="3"/>
  <c r="CE1080" i="3"/>
  <c r="CD1080" i="3"/>
  <c r="CC1080" i="3"/>
  <c r="CB1080" i="3"/>
  <c r="CA1080" i="3"/>
  <c r="BZ1080" i="3"/>
  <c r="BY1080" i="3"/>
  <c r="BX1080" i="3"/>
  <c r="BW1080" i="3"/>
  <c r="BV1080" i="3"/>
  <c r="BU1080" i="3"/>
  <c r="BT1080" i="3"/>
  <c r="BS1080" i="3"/>
  <c r="BR1080" i="3"/>
  <c r="BQ1080" i="3"/>
  <c r="BP1080" i="3"/>
  <c r="BO1080" i="3"/>
  <c r="BN1080" i="3"/>
  <c r="DU1079" i="3"/>
  <c r="DT1079" i="3"/>
  <c r="DS1079" i="3"/>
  <c r="DR1079" i="3"/>
  <c r="DQ1079" i="3"/>
  <c r="DP1079" i="3"/>
  <c r="DO1079" i="3"/>
  <c r="DN1079" i="3"/>
  <c r="DM1079" i="3"/>
  <c r="DL1079" i="3"/>
  <c r="DK1079" i="3"/>
  <c r="DJ1079" i="3"/>
  <c r="DI1079" i="3"/>
  <c r="DH1079" i="3"/>
  <c r="DG1079" i="3"/>
  <c r="DF1079" i="3"/>
  <c r="DE1079" i="3"/>
  <c r="DD1079" i="3"/>
  <c r="DC1079" i="3"/>
  <c r="DB1079" i="3"/>
  <c r="DA1079" i="3"/>
  <c r="CZ1079" i="3"/>
  <c r="CY1079" i="3"/>
  <c r="CX1079" i="3"/>
  <c r="CW1079" i="3"/>
  <c r="CV1079" i="3"/>
  <c r="CU1079" i="3"/>
  <c r="CT1079" i="3"/>
  <c r="CS1079" i="3"/>
  <c r="CR1079" i="3"/>
  <c r="CQ1079" i="3"/>
  <c r="CP1079" i="3"/>
  <c r="CO1079" i="3"/>
  <c r="CN1079" i="3"/>
  <c r="CM1079" i="3"/>
  <c r="CL1079" i="3"/>
  <c r="CK1079" i="3"/>
  <c r="CJ1079" i="3"/>
  <c r="CI1079" i="3"/>
  <c r="CH1079" i="3"/>
  <c r="CG1079" i="3"/>
  <c r="CF1079" i="3"/>
  <c r="CE1079" i="3"/>
  <c r="CD1079" i="3"/>
  <c r="CC1079" i="3"/>
  <c r="CB1079" i="3"/>
  <c r="CA1079" i="3"/>
  <c r="BZ1079" i="3"/>
  <c r="BY1079" i="3"/>
  <c r="BX1079" i="3"/>
  <c r="BW1079" i="3"/>
  <c r="BV1079" i="3"/>
  <c r="BU1079" i="3"/>
  <c r="BT1079" i="3"/>
  <c r="BS1079" i="3"/>
  <c r="BR1079" i="3"/>
  <c r="BQ1079" i="3"/>
  <c r="BP1079" i="3"/>
  <c r="BO1079" i="3"/>
  <c r="BN1079" i="3"/>
  <c r="DU1078" i="3"/>
  <c r="DT1078" i="3"/>
  <c r="DS1078" i="3"/>
  <c r="DR1078" i="3"/>
  <c r="DQ1078" i="3"/>
  <c r="DP1078" i="3"/>
  <c r="DO1078" i="3"/>
  <c r="DN1078" i="3"/>
  <c r="DM1078" i="3"/>
  <c r="DL1078" i="3"/>
  <c r="DK1078" i="3"/>
  <c r="DJ1078" i="3"/>
  <c r="DI1078" i="3"/>
  <c r="DH1078" i="3"/>
  <c r="DG1078" i="3"/>
  <c r="DF1078" i="3"/>
  <c r="DE1078" i="3"/>
  <c r="DD1078" i="3"/>
  <c r="DC1078" i="3"/>
  <c r="DB1078" i="3"/>
  <c r="DA1078" i="3"/>
  <c r="CZ1078" i="3"/>
  <c r="CY1078" i="3"/>
  <c r="CX1078" i="3"/>
  <c r="CW1078" i="3"/>
  <c r="CV1078" i="3"/>
  <c r="CU1078" i="3"/>
  <c r="CT1078" i="3"/>
  <c r="CS1078" i="3"/>
  <c r="CR1078" i="3"/>
  <c r="CQ1078" i="3"/>
  <c r="CP1078" i="3"/>
  <c r="CO1078" i="3"/>
  <c r="CN1078" i="3"/>
  <c r="CM1078" i="3"/>
  <c r="CL1078" i="3"/>
  <c r="CK1078" i="3"/>
  <c r="CJ1078" i="3"/>
  <c r="CI1078" i="3"/>
  <c r="CH1078" i="3"/>
  <c r="CG1078" i="3"/>
  <c r="CF1078" i="3"/>
  <c r="CE1078" i="3"/>
  <c r="CD1078" i="3"/>
  <c r="CC1078" i="3"/>
  <c r="CB1078" i="3"/>
  <c r="CA1078" i="3"/>
  <c r="BZ1078" i="3"/>
  <c r="BY1078" i="3"/>
  <c r="BX1078" i="3"/>
  <c r="BW1078" i="3"/>
  <c r="BV1078" i="3"/>
  <c r="BU1078" i="3"/>
  <c r="BT1078" i="3"/>
  <c r="BS1078" i="3"/>
  <c r="BR1078" i="3"/>
  <c r="BQ1078" i="3"/>
  <c r="BP1078" i="3"/>
  <c r="BO1078" i="3"/>
  <c r="BN1078" i="3"/>
  <c r="DU1077" i="3"/>
  <c r="DT1077" i="3"/>
  <c r="DS1077" i="3"/>
  <c r="DR1077" i="3"/>
  <c r="DQ1077" i="3"/>
  <c r="DP1077" i="3"/>
  <c r="DO1077" i="3"/>
  <c r="DN1077" i="3"/>
  <c r="DM1077" i="3"/>
  <c r="DL1077" i="3"/>
  <c r="DK1077" i="3"/>
  <c r="DJ1077" i="3"/>
  <c r="DI1077" i="3"/>
  <c r="DH1077" i="3"/>
  <c r="DG1077" i="3"/>
  <c r="DF1077" i="3"/>
  <c r="DE1077" i="3"/>
  <c r="DD1077" i="3"/>
  <c r="DC1077" i="3"/>
  <c r="DB1077" i="3"/>
  <c r="DA1077" i="3"/>
  <c r="CZ1077" i="3"/>
  <c r="CY1077" i="3"/>
  <c r="CX1077" i="3"/>
  <c r="CW1077" i="3"/>
  <c r="CV1077" i="3"/>
  <c r="CU1077" i="3"/>
  <c r="CT1077" i="3"/>
  <c r="CS1077" i="3"/>
  <c r="CR1077" i="3"/>
  <c r="CQ1077" i="3"/>
  <c r="CP1077" i="3"/>
  <c r="CO1077" i="3"/>
  <c r="CN1077" i="3"/>
  <c r="CM1077" i="3"/>
  <c r="CL1077" i="3"/>
  <c r="CK1077" i="3"/>
  <c r="CJ1077" i="3"/>
  <c r="CI1077" i="3"/>
  <c r="CH1077" i="3"/>
  <c r="CG1077" i="3"/>
  <c r="CF1077" i="3"/>
  <c r="CE1077" i="3"/>
  <c r="CD1077" i="3"/>
  <c r="CC1077" i="3"/>
  <c r="CB1077" i="3"/>
  <c r="CA1077" i="3"/>
  <c r="BZ1077" i="3"/>
  <c r="BY1077" i="3"/>
  <c r="BX1077" i="3"/>
  <c r="BW1077" i="3"/>
  <c r="BV1077" i="3"/>
  <c r="BU1077" i="3"/>
  <c r="BT1077" i="3"/>
  <c r="BS1077" i="3"/>
  <c r="BR1077" i="3"/>
  <c r="BQ1077" i="3"/>
  <c r="BP1077" i="3"/>
  <c r="BO1077" i="3"/>
  <c r="BN1077" i="3"/>
  <c r="DU1076" i="3"/>
  <c r="DT1076" i="3"/>
  <c r="DS1076" i="3"/>
  <c r="DR1076" i="3"/>
  <c r="DQ1076" i="3"/>
  <c r="DP1076" i="3"/>
  <c r="DO1076" i="3"/>
  <c r="DN1076" i="3"/>
  <c r="DM1076" i="3"/>
  <c r="DL1076" i="3"/>
  <c r="DK1076" i="3"/>
  <c r="DJ1076" i="3"/>
  <c r="DI1076" i="3"/>
  <c r="DH1076" i="3"/>
  <c r="DG1076" i="3"/>
  <c r="DF1076" i="3"/>
  <c r="DE1076" i="3"/>
  <c r="DD1076" i="3"/>
  <c r="DC1076" i="3"/>
  <c r="DB1076" i="3"/>
  <c r="DA1076" i="3"/>
  <c r="CZ1076" i="3"/>
  <c r="CY1076" i="3"/>
  <c r="CX1076" i="3"/>
  <c r="CW1076" i="3"/>
  <c r="CV1076" i="3"/>
  <c r="CU1076" i="3"/>
  <c r="CT1076" i="3"/>
  <c r="CS1076" i="3"/>
  <c r="CR1076" i="3"/>
  <c r="CQ1076" i="3"/>
  <c r="CP1076" i="3"/>
  <c r="CO1076" i="3"/>
  <c r="CN1076" i="3"/>
  <c r="CM1076" i="3"/>
  <c r="CL1076" i="3"/>
  <c r="CK1076" i="3"/>
  <c r="CJ1076" i="3"/>
  <c r="CI1076" i="3"/>
  <c r="CH1076" i="3"/>
  <c r="CG1076" i="3"/>
  <c r="CF1076" i="3"/>
  <c r="CE1076" i="3"/>
  <c r="CD1076" i="3"/>
  <c r="CC1076" i="3"/>
  <c r="CB1076" i="3"/>
  <c r="CA1076" i="3"/>
  <c r="BZ1076" i="3"/>
  <c r="BY1076" i="3"/>
  <c r="BX1076" i="3"/>
  <c r="BW1076" i="3"/>
  <c r="BV1076" i="3"/>
  <c r="BU1076" i="3"/>
  <c r="BT1076" i="3"/>
  <c r="BS1076" i="3"/>
  <c r="BR1076" i="3"/>
  <c r="BQ1076" i="3"/>
  <c r="BP1076" i="3"/>
  <c r="BO1076" i="3"/>
  <c r="BN1076" i="3"/>
  <c r="DU1075" i="3"/>
  <c r="DT1075" i="3"/>
  <c r="DS1075" i="3"/>
  <c r="DR1075" i="3"/>
  <c r="DQ1075" i="3"/>
  <c r="DP1075" i="3"/>
  <c r="DO1075" i="3"/>
  <c r="DN1075" i="3"/>
  <c r="DM1075" i="3"/>
  <c r="DL1075" i="3"/>
  <c r="DK1075" i="3"/>
  <c r="DJ1075" i="3"/>
  <c r="DI1075" i="3"/>
  <c r="DH1075" i="3"/>
  <c r="DG1075" i="3"/>
  <c r="DF1075" i="3"/>
  <c r="DE1075" i="3"/>
  <c r="DD1075" i="3"/>
  <c r="DC1075" i="3"/>
  <c r="DB1075" i="3"/>
  <c r="DA1075" i="3"/>
  <c r="CZ1075" i="3"/>
  <c r="CY1075" i="3"/>
  <c r="CX1075" i="3"/>
  <c r="CW1075" i="3"/>
  <c r="CV1075" i="3"/>
  <c r="CU1075" i="3"/>
  <c r="CT1075" i="3"/>
  <c r="CS1075" i="3"/>
  <c r="CR1075" i="3"/>
  <c r="CQ1075" i="3"/>
  <c r="CP1075" i="3"/>
  <c r="CO1075" i="3"/>
  <c r="CN1075" i="3"/>
  <c r="CM1075" i="3"/>
  <c r="CL1075" i="3"/>
  <c r="CK1075" i="3"/>
  <c r="CJ1075" i="3"/>
  <c r="CI1075" i="3"/>
  <c r="CH1075" i="3"/>
  <c r="CG1075" i="3"/>
  <c r="CF1075" i="3"/>
  <c r="CE1075" i="3"/>
  <c r="CD1075" i="3"/>
  <c r="CC1075" i="3"/>
  <c r="CB1075" i="3"/>
  <c r="CA1075" i="3"/>
  <c r="BZ1075" i="3"/>
  <c r="BY1075" i="3"/>
  <c r="BX1075" i="3"/>
  <c r="BW1075" i="3"/>
  <c r="BV1075" i="3"/>
  <c r="BU1075" i="3"/>
  <c r="BT1075" i="3"/>
  <c r="BS1075" i="3"/>
  <c r="BR1075" i="3"/>
  <c r="BQ1075" i="3"/>
  <c r="BP1075" i="3"/>
  <c r="BO1075" i="3"/>
  <c r="BN1075" i="3"/>
  <c r="DU1074" i="3"/>
  <c r="DT1074" i="3"/>
  <c r="DS1074" i="3"/>
  <c r="DR1074" i="3"/>
  <c r="DQ1074" i="3"/>
  <c r="DP1074" i="3"/>
  <c r="DO1074" i="3"/>
  <c r="DN1074" i="3"/>
  <c r="DM1074" i="3"/>
  <c r="DL1074" i="3"/>
  <c r="DK1074" i="3"/>
  <c r="DJ1074" i="3"/>
  <c r="DI1074" i="3"/>
  <c r="DH1074" i="3"/>
  <c r="DG1074" i="3"/>
  <c r="DF1074" i="3"/>
  <c r="DE1074" i="3"/>
  <c r="DD1074" i="3"/>
  <c r="DC1074" i="3"/>
  <c r="DB1074" i="3"/>
  <c r="DA1074" i="3"/>
  <c r="CZ1074" i="3"/>
  <c r="CY1074" i="3"/>
  <c r="CX1074" i="3"/>
  <c r="CW1074" i="3"/>
  <c r="CV1074" i="3"/>
  <c r="CU1074" i="3"/>
  <c r="CT1074" i="3"/>
  <c r="CS1074" i="3"/>
  <c r="CR1074" i="3"/>
  <c r="CQ1074" i="3"/>
  <c r="CP1074" i="3"/>
  <c r="CO1074" i="3"/>
  <c r="CN1074" i="3"/>
  <c r="CM1074" i="3"/>
  <c r="CL1074" i="3"/>
  <c r="CK1074" i="3"/>
  <c r="CJ1074" i="3"/>
  <c r="CI1074" i="3"/>
  <c r="CH1074" i="3"/>
  <c r="CG1074" i="3"/>
  <c r="CF1074" i="3"/>
  <c r="CE1074" i="3"/>
  <c r="CD1074" i="3"/>
  <c r="CC1074" i="3"/>
  <c r="CB1074" i="3"/>
  <c r="CA1074" i="3"/>
  <c r="BZ1074" i="3"/>
  <c r="BY1074" i="3"/>
  <c r="BX1074" i="3"/>
  <c r="BW1074" i="3"/>
  <c r="BV1074" i="3"/>
  <c r="BU1074" i="3"/>
  <c r="BT1074" i="3"/>
  <c r="BS1074" i="3"/>
  <c r="BR1074" i="3"/>
  <c r="BQ1074" i="3"/>
  <c r="BP1074" i="3"/>
  <c r="BO1074" i="3"/>
  <c r="BN1074" i="3"/>
  <c r="DU1073" i="3"/>
  <c r="DT1073" i="3"/>
  <c r="DS1073" i="3"/>
  <c r="DR1073" i="3"/>
  <c r="DQ1073" i="3"/>
  <c r="DP1073" i="3"/>
  <c r="DO1073" i="3"/>
  <c r="DN1073" i="3"/>
  <c r="DM1073" i="3"/>
  <c r="DL1073" i="3"/>
  <c r="DK1073" i="3"/>
  <c r="DJ1073" i="3"/>
  <c r="DI1073" i="3"/>
  <c r="DH1073" i="3"/>
  <c r="DG1073" i="3"/>
  <c r="DF1073" i="3"/>
  <c r="DE1073" i="3"/>
  <c r="DD1073" i="3"/>
  <c r="DC1073" i="3"/>
  <c r="DB1073" i="3"/>
  <c r="DA1073" i="3"/>
  <c r="CZ1073" i="3"/>
  <c r="CY1073" i="3"/>
  <c r="CX1073" i="3"/>
  <c r="CW1073" i="3"/>
  <c r="CV1073" i="3"/>
  <c r="CU1073" i="3"/>
  <c r="CT1073" i="3"/>
  <c r="CS1073" i="3"/>
  <c r="CR1073" i="3"/>
  <c r="CQ1073" i="3"/>
  <c r="CP1073" i="3"/>
  <c r="CO1073" i="3"/>
  <c r="CN1073" i="3"/>
  <c r="CM1073" i="3"/>
  <c r="CL1073" i="3"/>
  <c r="CK1073" i="3"/>
  <c r="CJ1073" i="3"/>
  <c r="CI1073" i="3"/>
  <c r="CH1073" i="3"/>
  <c r="CG1073" i="3"/>
  <c r="CF1073" i="3"/>
  <c r="CE1073" i="3"/>
  <c r="CD1073" i="3"/>
  <c r="CC1073" i="3"/>
  <c r="CB1073" i="3"/>
  <c r="CA1073" i="3"/>
  <c r="BZ1073" i="3"/>
  <c r="BY1073" i="3"/>
  <c r="BX1073" i="3"/>
  <c r="BW1073" i="3"/>
  <c r="BV1073" i="3"/>
  <c r="BU1073" i="3"/>
  <c r="BT1073" i="3"/>
  <c r="BS1073" i="3"/>
  <c r="BR1073" i="3"/>
  <c r="BQ1073" i="3"/>
  <c r="BP1073" i="3"/>
  <c r="BO1073" i="3"/>
  <c r="BN1073" i="3"/>
  <c r="DU1072" i="3"/>
  <c r="DT1072" i="3"/>
  <c r="DS1072" i="3"/>
  <c r="DR1072" i="3"/>
  <c r="DQ1072" i="3"/>
  <c r="DP1072" i="3"/>
  <c r="DO1072" i="3"/>
  <c r="DN1072" i="3"/>
  <c r="DM1072" i="3"/>
  <c r="DL1072" i="3"/>
  <c r="DK1072" i="3"/>
  <c r="DJ1072" i="3"/>
  <c r="DI1072" i="3"/>
  <c r="DH1072" i="3"/>
  <c r="DG1072" i="3"/>
  <c r="DF1072" i="3"/>
  <c r="DE1072" i="3"/>
  <c r="DD1072" i="3"/>
  <c r="DC1072" i="3"/>
  <c r="DB1072" i="3"/>
  <c r="DA1072" i="3"/>
  <c r="CZ1072" i="3"/>
  <c r="CY1072" i="3"/>
  <c r="CX1072" i="3"/>
  <c r="CW1072" i="3"/>
  <c r="CV1072" i="3"/>
  <c r="CU1072" i="3"/>
  <c r="CT1072" i="3"/>
  <c r="CS1072" i="3"/>
  <c r="CR1072" i="3"/>
  <c r="CQ1072" i="3"/>
  <c r="CP1072" i="3"/>
  <c r="CO1072" i="3"/>
  <c r="CN1072" i="3"/>
  <c r="CM1072" i="3"/>
  <c r="CL1072" i="3"/>
  <c r="CK1072" i="3"/>
  <c r="CJ1072" i="3"/>
  <c r="CI1072" i="3"/>
  <c r="CH1072" i="3"/>
  <c r="CG1072" i="3"/>
  <c r="CF1072" i="3"/>
  <c r="CE1072" i="3"/>
  <c r="CD1072" i="3"/>
  <c r="CC1072" i="3"/>
  <c r="CB1072" i="3"/>
  <c r="CA1072" i="3"/>
  <c r="BZ1072" i="3"/>
  <c r="BY1072" i="3"/>
  <c r="BX1072" i="3"/>
  <c r="BW1072" i="3"/>
  <c r="BV1072" i="3"/>
  <c r="BU1072" i="3"/>
  <c r="BT1072" i="3"/>
  <c r="BS1072" i="3"/>
  <c r="BR1072" i="3"/>
  <c r="BQ1072" i="3"/>
  <c r="BP1072" i="3"/>
  <c r="BO1072" i="3"/>
  <c r="BN1072" i="3"/>
  <c r="DU1071" i="3"/>
  <c r="DT1071" i="3"/>
  <c r="DS1071" i="3"/>
  <c r="DR1071" i="3"/>
  <c r="DQ1071" i="3"/>
  <c r="DP1071" i="3"/>
  <c r="DO1071" i="3"/>
  <c r="DN1071" i="3"/>
  <c r="DM1071" i="3"/>
  <c r="DL1071" i="3"/>
  <c r="DK1071" i="3"/>
  <c r="DJ1071" i="3"/>
  <c r="DI1071" i="3"/>
  <c r="DH1071" i="3"/>
  <c r="DG1071" i="3"/>
  <c r="DF1071" i="3"/>
  <c r="DE1071" i="3"/>
  <c r="DD1071" i="3"/>
  <c r="DC1071" i="3"/>
  <c r="DB1071" i="3"/>
  <c r="DA1071" i="3"/>
  <c r="CZ1071" i="3"/>
  <c r="CY1071" i="3"/>
  <c r="CX1071" i="3"/>
  <c r="CW1071" i="3"/>
  <c r="CV1071" i="3"/>
  <c r="CU1071" i="3"/>
  <c r="CT1071" i="3"/>
  <c r="CS1071" i="3"/>
  <c r="CR1071" i="3"/>
  <c r="CQ1071" i="3"/>
  <c r="CP1071" i="3"/>
  <c r="CO1071" i="3"/>
  <c r="CN1071" i="3"/>
  <c r="CM1071" i="3"/>
  <c r="CL1071" i="3"/>
  <c r="CK1071" i="3"/>
  <c r="CJ1071" i="3"/>
  <c r="CI1071" i="3"/>
  <c r="CH1071" i="3"/>
  <c r="CG1071" i="3"/>
  <c r="CF1071" i="3"/>
  <c r="CE1071" i="3"/>
  <c r="CD1071" i="3"/>
  <c r="CC1071" i="3"/>
  <c r="CB1071" i="3"/>
  <c r="CA1071" i="3"/>
  <c r="BZ1071" i="3"/>
  <c r="BY1071" i="3"/>
  <c r="BX1071" i="3"/>
  <c r="BW1071" i="3"/>
  <c r="BV1071" i="3"/>
  <c r="BU1071" i="3"/>
  <c r="BT1071" i="3"/>
  <c r="BS1071" i="3"/>
  <c r="BR1071" i="3"/>
  <c r="BQ1071" i="3"/>
  <c r="BP1071" i="3"/>
  <c r="BO1071" i="3"/>
  <c r="BN1071" i="3"/>
  <c r="DU1070" i="3"/>
  <c r="DT1070" i="3"/>
  <c r="DS1070" i="3"/>
  <c r="DR1070" i="3"/>
  <c r="DQ1070" i="3"/>
  <c r="DP1070" i="3"/>
  <c r="DO1070" i="3"/>
  <c r="DN1070" i="3"/>
  <c r="DM1070" i="3"/>
  <c r="DL1070" i="3"/>
  <c r="DK1070" i="3"/>
  <c r="DJ1070" i="3"/>
  <c r="DI1070" i="3"/>
  <c r="DH1070" i="3"/>
  <c r="DG1070" i="3"/>
  <c r="DF1070" i="3"/>
  <c r="DE1070" i="3"/>
  <c r="DD1070" i="3"/>
  <c r="DC1070" i="3"/>
  <c r="DB1070" i="3"/>
  <c r="DA1070" i="3"/>
  <c r="CZ1070" i="3"/>
  <c r="CY1070" i="3"/>
  <c r="CX1070" i="3"/>
  <c r="CW1070" i="3"/>
  <c r="CV1070" i="3"/>
  <c r="CU1070" i="3"/>
  <c r="CT1070" i="3"/>
  <c r="CS1070" i="3"/>
  <c r="CR1070" i="3"/>
  <c r="CQ1070" i="3"/>
  <c r="CP1070" i="3"/>
  <c r="CO1070" i="3"/>
  <c r="CN1070" i="3"/>
  <c r="CM1070" i="3"/>
  <c r="CL1070" i="3"/>
  <c r="CK1070" i="3"/>
  <c r="CJ1070" i="3"/>
  <c r="CI1070" i="3"/>
  <c r="CH1070" i="3"/>
  <c r="CG1070" i="3"/>
  <c r="CF1070" i="3"/>
  <c r="CE1070" i="3"/>
  <c r="CD1070" i="3"/>
  <c r="CC1070" i="3"/>
  <c r="CB1070" i="3"/>
  <c r="CA1070" i="3"/>
  <c r="BZ1070" i="3"/>
  <c r="BY1070" i="3"/>
  <c r="BX1070" i="3"/>
  <c r="BW1070" i="3"/>
  <c r="BV1070" i="3"/>
  <c r="BU1070" i="3"/>
  <c r="BT1070" i="3"/>
  <c r="BS1070" i="3"/>
  <c r="BR1070" i="3"/>
  <c r="BQ1070" i="3"/>
  <c r="BP1070" i="3"/>
  <c r="BO1070" i="3"/>
  <c r="BN1070" i="3"/>
  <c r="DU1069" i="3"/>
  <c r="DT1069" i="3"/>
  <c r="DS1069" i="3"/>
  <c r="DR1069" i="3"/>
  <c r="DQ1069" i="3"/>
  <c r="DP1069" i="3"/>
  <c r="DO1069" i="3"/>
  <c r="DN1069" i="3"/>
  <c r="DM1069" i="3"/>
  <c r="DL1069" i="3"/>
  <c r="DK1069" i="3"/>
  <c r="DJ1069" i="3"/>
  <c r="DI1069" i="3"/>
  <c r="DH1069" i="3"/>
  <c r="DG1069" i="3"/>
  <c r="DF1069" i="3"/>
  <c r="DE1069" i="3"/>
  <c r="DD1069" i="3"/>
  <c r="DC1069" i="3"/>
  <c r="DB1069" i="3"/>
  <c r="DA1069" i="3"/>
  <c r="CZ1069" i="3"/>
  <c r="CY1069" i="3"/>
  <c r="CX1069" i="3"/>
  <c r="CW1069" i="3"/>
  <c r="CV1069" i="3"/>
  <c r="CU1069" i="3"/>
  <c r="CT1069" i="3"/>
  <c r="CS1069" i="3"/>
  <c r="CR1069" i="3"/>
  <c r="CQ1069" i="3"/>
  <c r="CP1069" i="3"/>
  <c r="CO1069" i="3"/>
  <c r="CN1069" i="3"/>
  <c r="CM1069" i="3"/>
  <c r="CL1069" i="3"/>
  <c r="CK1069" i="3"/>
  <c r="CJ1069" i="3"/>
  <c r="CI1069" i="3"/>
  <c r="CH1069" i="3"/>
  <c r="CG1069" i="3"/>
  <c r="CF1069" i="3"/>
  <c r="CE1069" i="3"/>
  <c r="CD1069" i="3"/>
  <c r="CC1069" i="3"/>
  <c r="CB1069" i="3"/>
  <c r="CA1069" i="3"/>
  <c r="BZ1069" i="3"/>
  <c r="BY1069" i="3"/>
  <c r="BX1069" i="3"/>
  <c r="BW1069" i="3"/>
  <c r="BV1069" i="3"/>
  <c r="BU1069" i="3"/>
  <c r="BT1069" i="3"/>
  <c r="BS1069" i="3"/>
  <c r="BR1069" i="3"/>
  <c r="BQ1069" i="3"/>
  <c r="BP1069" i="3"/>
  <c r="BO1069" i="3"/>
  <c r="BN1069" i="3"/>
  <c r="DU1068" i="3"/>
  <c r="DT1068" i="3"/>
  <c r="DS1068" i="3"/>
  <c r="DR1068" i="3"/>
  <c r="DQ1068" i="3"/>
  <c r="DP1068" i="3"/>
  <c r="DO1068" i="3"/>
  <c r="DN1068" i="3"/>
  <c r="DM1068" i="3"/>
  <c r="DL1068" i="3"/>
  <c r="DK1068" i="3"/>
  <c r="DJ1068" i="3"/>
  <c r="DI1068" i="3"/>
  <c r="DH1068" i="3"/>
  <c r="DG1068" i="3"/>
  <c r="DF1068" i="3"/>
  <c r="DE1068" i="3"/>
  <c r="DD1068" i="3"/>
  <c r="DC1068" i="3"/>
  <c r="DB1068" i="3"/>
  <c r="DA1068" i="3"/>
  <c r="CZ1068" i="3"/>
  <c r="CY1068" i="3"/>
  <c r="CX1068" i="3"/>
  <c r="CW1068" i="3"/>
  <c r="CV1068" i="3"/>
  <c r="CU1068" i="3"/>
  <c r="CT1068" i="3"/>
  <c r="CS1068" i="3"/>
  <c r="CR1068" i="3"/>
  <c r="CQ1068" i="3"/>
  <c r="CP1068" i="3"/>
  <c r="CO1068" i="3"/>
  <c r="CN1068" i="3"/>
  <c r="CM1068" i="3"/>
  <c r="CL1068" i="3"/>
  <c r="CK1068" i="3"/>
  <c r="CJ1068" i="3"/>
  <c r="CI1068" i="3"/>
  <c r="CH1068" i="3"/>
  <c r="CG1068" i="3"/>
  <c r="CF1068" i="3"/>
  <c r="CE1068" i="3"/>
  <c r="CD1068" i="3"/>
  <c r="CC1068" i="3"/>
  <c r="CB1068" i="3"/>
  <c r="CA1068" i="3"/>
  <c r="BZ1068" i="3"/>
  <c r="BY1068" i="3"/>
  <c r="BX1068" i="3"/>
  <c r="BW1068" i="3"/>
  <c r="BV1068" i="3"/>
  <c r="BU1068" i="3"/>
  <c r="BT1068" i="3"/>
  <c r="BS1068" i="3"/>
  <c r="BR1068" i="3"/>
  <c r="BQ1068" i="3"/>
  <c r="BP1068" i="3"/>
  <c r="BO1068" i="3"/>
  <c r="BN1068" i="3"/>
  <c r="DU1067" i="3"/>
  <c r="DT1067" i="3"/>
  <c r="DS1067" i="3"/>
  <c r="DR1067" i="3"/>
  <c r="DQ1067" i="3"/>
  <c r="DP1067" i="3"/>
  <c r="DO1067" i="3"/>
  <c r="DN1067" i="3"/>
  <c r="DM1067" i="3"/>
  <c r="DL1067" i="3"/>
  <c r="DK1067" i="3"/>
  <c r="DJ1067" i="3"/>
  <c r="DI1067" i="3"/>
  <c r="DH1067" i="3"/>
  <c r="DG1067" i="3"/>
  <c r="DF1067" i="3"/>
  <c r="DE1067" i="3"/>
  <c r="DD1067" i="3"/>
  <c r="DC1067" i="3"/>
  <c r="DB1067" i="3"/>
  <c r="DA1067" i="3"/>
  <c r="CZ1067" i="3"/>
  <c r="CY1067" i="3"/>
  <c r="CX1067" i="3"/>
  <c r="CW1067" i="3"/>
  <c r="CV1067" i="3"/>
  <c r="CU1067" i="3"/>
  <c r="CT1067" i="3"/>
  <c r="CS1067" i="3"/>
  <c r="CR1067" i="3"/>
  <c r="CQ1067" i="3"/>
  <c r="CP1067" i="3"/>
  <c r="CO1067" i="3"/>
  <c r="CN1067" i="3"/>
  <c r="CM1067" i="3"/>
  <c r="CL1067" i="3"/>
  <c r="CK1067" i="3"/>
  <c r="CJ1067" i="3"/>
  <c r="CI1067" i="3"/>
  <c r="CH1067" i="3"/>
  <c r="CG1067" i="3"/>
  <c r="CF1067" i="3"/>
  <c r="CE1067" i="3"/>
  <c r="CD1067" i="3"/>
  <c r="CC1067" i="3"/>
  <c r="CB1067" i="3"/>
  <c r="CA1067" i="3"/>
  <c r="BZ1067" i="3"/>
  <c r="BY1067" i="3"/>
  <c r="BX1067" i="3"/>
  <c r="BW1067" i="3"/>
  <c r="BV1067" i="3"/>
  <c r="BU1067" i="3"/>
  <c r="BT1067" i="3"/>
  <c r="BS1067" i="3"/>
  <c r="BR1067" i="3"/>
  <c r="BQ1067" i="3"/>
  <c r="BP1067" i="3"/>
  <c r="BO1067" i="3"/>
  <c r="BN1067" i="3"/>
  <c r="DU1066" i="3"/>
  <c r="DT1066" i="3"/>
  <c r="DS1066" i="3"/>
  <c r="DR1066" i="3"/>
  <c r="DQ1066" i="3"/>
  <c r="DP1066" i="3"/>
  <c r="DO1066" i="3"/>
  <c r="DN1066" i="3"/>
  <c r="DM1066" i="3"/>
  <c r="DL1066" i="3"/>
  <c r="DK1066" i="3"/>
  <c r="DJ1066" i="3"/>
  <c r="DI1066" i="3"/>
  <c r="DH1066" i="3"/>
  <c r="DG1066" i="3"/>
  <c r="DF1066" i="3"/>
  <c r="DE1066" i="3"/>
  <c r="DD1066" i="3"/>
  <c r="DC1066" i="3"/>
  <c r="DB1066" i="3"/>
  <c r="DA1066" i="3"/>
  <c r="CZ1066" i="3"/>
  <c r="CY1066" i="3"/>
  <c r="CX1066" i="3"/>
  <c r="CW1066" i="3"/>
  <c r="CV1066" i="3"/>
  <c r="CU1066" i="3"/>
  <c r="CT1066" i="3"/>
  <c r="CS1066" i="3"/>
  <c r="CR1066" i="3"/>
  <c r="CQ1066" i="3"/>
  <c r="CP1066" i="3"/>
  <c r="CO1066" i="3"/>
  <c r="CN1066" i="3"/>
  <c r="CM1066" i="3"/>
  <c r="CL1066" i="3"/>
  <c r="CK1066" i="3"/>
  <c r="CJ1066" i="3"/>
  <c r="CI1066" i="3"/>
  <c r="CH1066" i="3"/>
  <c r="CG1066" i="3"/>
  <c r="CF1066" i="3"/>
  <c r="CE1066" i="3"/>
  <c r="CD1066" i="3"/>
  <c r="CC1066" i="3"/>
  <c r="CB1066" i="3"/>
  <c r="CA1066" i="3"/>
  <c r="BZ1066" i="3"/>
  <c r="BY1066" i="3"/>
  <c r="BX1066" i="3"/>
  <c r="BW1066" i="3"/>
  <c r="BV1066" i="3"/>
  <c r="BU1066" i="3"/>
  <c r="BT1066" i="3"/>
  <c r="BS1066" i="3"/>
  <c r="BR1066" i="3"/>
  <c r="BQ1066" i="3"/>
  <c r="BP1066" i="3"/>
  <c r="BO1066" i="3"/>
  <c r="BN1066" i="3"/>
  <c r="DU1065" i="3"/>
  <c r="DT1065" i="3"/>
  <c r="DS1065" i="3"/>
  <c r="DR1065" i="3"/>
  <c r="DQ1065" i="3"/>
  <c r="DP1065" i="3"/>
  <c r="DO1065" i="3"/>
  <c r="DN1065" i="3"/>
  <c r="DM1065" i="3"/>
  <c r="DL1065" i="3"/>
  <c r="DK1065" i="3"/>
  <c r="DJ1065" i="3"/>
  <c r="DI1065" i="3"/>
  <c r="DH1065" i="3"/>
  <c r="DG1065" i="3"/>
  <c r="DF1065" i="3"/>
  <c r="DE1065" i="3"/>
  <c r="DD1065" i="3"/>
  <c r="DC1065" i="3"/>
  <c r="DB1065" i="3"/>
  <c r="DA1065" i="3"/>
  <c r="CZ1065" i="3"/>
  <c r="CY1065" i="3"/>
  <c r="CX1065" i="3"/>
  <c r="CW1065" i="3"/>
  <c r="CV1065" i="3"/>
  <c r="CU1065" i="3"/>
  <c r="CT1065" i="3"/>
  <c r="CS1065" i="3"/>
  <c r="CR1065" i="3"/>
  <c r="CQ1065" i="3"/>
  <c r="CP1065" i="3"/>
  <c r="CO1065" i="3"/>
  <c r="CN1065" i="3"/>
  <c r="CM1065" i="3"/>
  <c r="CL1065" i="3"/>
  <c r="CK1065" i="3"/>
  <c r="CJ1065" i="3"/>
  <c r="CI1065" i="3"/>
  <c r="CH1065" i="3"/>
  <c r="CG1065" i="3"/>
  <c r="CF1065" i="3"/>
  <c r="CE1065" i="3"/>
  <c r="CD1065" i="3"/>
  <c r="CC1065" i="3"/>
  <c r="CB1065" i="3"/>
  <c r="CA1065" i="3"/>
  <c r="BZ1065" i="3"/>
  <c r="BY1065" i="3"/>
  <c r="BX1065" i="3"/>
  <c r="BW1065" i="3"/>
  <c r="BV1065" i="3"/>
  <c r="BU1065" i="3"/>
  <c r="BT1065" i="3"/>
  <c r="BS1065" i="3"/>
  <c r="BR1065" i="3"/>
  <c r="BQ1065" i="3"/>
  <c r="BP1065" i="3"/>
  <c r="BO1065" i="3"/>
  <c r="BN1065" i="3"/>
  <c r="DU1064" i="3"/>
  <c r="DT1064" i="3"/>
  <c r="DS1064" i="3"/>
  <c r="DR1064" i="3"/>
  <c r="DQ1064" i="3"/>
  <c r="DP1064" i="3"/>
  <c r="DO1064" i="3"/>
  <c r="DN1064" i="3"/>
  <c r="DM1064" i="3"/>
  <c r="DL1064" i="3"/>
  <c r="DK1064" i="3"/>
  <c r="DJ1064" i="3"/>
  <c r="DI1064" i="3"/>
  <c r="DH1064" i="3"/>
  <c r="DG1064" i="3"/>
  <c r="DF1064" i="3"/>
  <c r="DE1064" i="3"/>
  <c r="DD1064" i="3"/>
  <c r="DC1064" i="3"/>
  <c r="DB1064" i="3"/>
  <c r="DA1064" i="3"/>
  <c r="CZ1064" i="3"/>
  <c r="CY1064" i="3"/>
  <c r="CX1064" i="3"/>
  <c r="CW1064" i="3"/>
  <c r="CV1064" i="3"/>
  <c r="CU1064" i="3"/>
  <c r="CT1064" i="3"/>
  <c r="CS1064" i="3"/>
  <c r="CR1064" i="3"/>
  <c r="CQ1064" i="3"/>
  <c r="CP1064" i="3"/>
  <c r="CO1064" i="3"/>
  <c r="CN1064" i="3"/>
  <c r="CM1064" i="3"/>
  <c r="CL1064" i="3"/>
  <c r="CK1064" i="3"/>
  <c r="CJ1064" i="3"/>
  <c r="CI1064" i="3"/>
  <c r="CH1064" i="3"/>
  <c r="CG1064" i="3"/>
  <c r="CF1064" i="3"/>
  <c r="CE1064" i="3"/>
  <c r="CD1064" i="3"/>
  <c r="CC1064" i="3"/>
  <c r="CB1064" i="3"/>
  <c r="CA1064" i="3"/>
  <c r="BZ1064" i="3"/>
  <c r="BY1064" i="3"/>
  <c r="BX1064" i="3"/>
  <c r="BW1064" i="3"/>
  <c r="BV1064" i="3"/>
  <c r="BU1064" i="3"/>
  <c r="BT1064" i="3"/>
  <c r="BS1064" i="3"/>
  <c r="BR1064" i="3"/>
  <c r="BQ1064" i="3"/>
  <c r="BP1064" i="3"/>
  <c r="BO1064" i="3"/>
  <c r="BN1064" i="3"/>
  <c r="DU1063" i="3"/>
  <c r="DT1063" i="3"/>
  <c r="DS1063" i="3"/>
  <c r="DR1063" i="3"/>
  <c r="DQ1063" i="3"/>
  <c r="DP1063" i="3"/>
  <c r="DO1063" i="3"/>
  <c r="DN1063" i="3"/>
  <c r="DM1063" i="3"/>
  <c r="DL1063" i="3"/>
  <c r="DK1063" i="3"/>
  <c r="DJ1063" i="3"/>
  <c r="DI1063" i="3"/>
  <c r="DH1063" i="3"/>
  <c r="DG1063" i="3"/>
  <c r="DF1063" i="3"/>
  <c r="DE1063" i="3"/>
  <c r="DD1063" i="3"/>
  <c r="DC1063" i="3"/>
  <c r="DB1063" i="3"/>
  <c r="DA1063" i="3"/>
  <c r="CZ1063" i="3"/>
  <c r="CY1063" i="3"/>
  <c r="CX1063" i="3"/>
  <c r="CW1063" i="3"/>
  <c r="CV1063" i="3"/>
  <c r="CU1063" i="3"/>
  <c r="CT1063" i="3"/>
  <c r="CS1063" i="3"/>
  <c r="CR1063" i="3"/>
  <c r="CQ1063" i="3"/>
  <c r="CP1063" i="3"/>
  <c r="CO1063" i="3"/>
  <c r="CN1063" i="3"/>
  <c r="CM1063" i="3"/>
  <c r="CL1063" i="3"/>
  <c r="CK1063" i="3"/>
  <c r="CJ1063" i="3"/>
  <c r="CI1063" i="3"/>
  <c r="CH1063" i="3"/>
  <c r="CG1063" i="3"/>
  <c r="CF1063" i="3"/>
  <c r="CE1063" i="3"/>
  <c r="CD1063" i="3"/>
  <c r="CC1063" i="3"/>
  <c r="CB1063" i="3"/>
  <c r="CA1063" i="3"/>
  <c r="BZ1063" i="3"/>
  <c r="BY1063" i="3"/>
  <c r="BX1063" i="3"/>
  <c r="BW1063" i="3"/>
  <c r="BV1063" i="3"/>
  <c r="BU1063" i="3"/>
  <c r="BT1063" i="3"/>
  <c r="BS1063" i="3"/>
  <c r="BR1063" i="3"/>
  <c r="BQ1063" i="3"/>
  <c r="BP1063" i="3"/>
  <c r="BO1063" i="3"/>
  <c r="BN1063" i="3"/>
  <c r="DU1062" i="3"/>
  <c r="DT1062" i="3"/>
  <c r="DS1062" i="3"/>
  <c r="DR1062" i="3"/>
  <c r="DQ1062" i="3"/>
  <c r="DP1062" i="3"/>
  <c r="DO1062" i="3"/>
  <c r="DN1062" i="3"/>
  <c r="DM1062" i="3"/>
  <c r="DL1062" i="3"/>
  <c r="DK1062" i="3"/>
  <c r="DJ1062" i="3"/>
  <c r="DI1062" i="3"/>
  <c r="DH1062" i="3"/>
  <c r="DG1062" i="3"/>
  <c r="DF1062" i="3"/>
  <c r="DE1062" i="3"/>
  <c r="DD1062" i="3"/>
  <c r="DC1062" i="3"/>
  <c r="DB1062" i="3"/>
  <c r="DA1062" i="3"/>
  <c r="CZ1062" i="3"/>
  <c r="CY1062" i="3"/>
  <c r="CX1062" i="3"/>
  <c r="CW1062" i="3"/>
  <c r="CV1062" i="3"/>
  <c r="CU1062" i="3"/>
  <c r="CT1062" i="3"/>
  <c r="CS1062" i="3"/>
  <c r="CR1062" i="3"/>
  <c r="CQ1062" i="3"/>
  <c r="CP1062" i="3"/>
  <c r="CO1062" i="3"/>
  <c r="CN1062" i="3"/>
  <c r="CM1062" i="3"/>
  <c r="CL1062" i="3"/>
  <c r="CK1062" i="3"/>
  <c r="CJ1062" i="3"/>
  <c r="CI1062" i="3"/>
  <c r="CH1062" i="3"/>
  <c r="CG1062" i="3"/>
  <c r="CF1062" i="3"/>
  <c r="CE1062" i="3"/>
  <c r="CD1062" i="3"/>
  <c r="CC1062" i="3"/>
  <c r="CB1062" i="3"/>
  <c r="CA1062" i="3"/>
  <c r="BZ1062" i="3"/>
  <c r="BY1062" i="3"/>
  <c r="BX1062" i="3"/>
  <c r="BW1062" i="3"/>
  <c r="BV1062" i="3"/>
  <c r="BU1062" i="3"/>
  <c r="BT1062" i="3"/>
  <c r="BS1062" i="3"/>
  <c r="BR1062" i="3"/>
  <c r="BQ1062" i="3"/>
  <c r="BP1062" i="3"/>
  <c r="BO1062" i="3"/>
  <c r="BN1062" i="3"/>
  <c r="DU1061" i="3"/>
  <c r="DT1061" i="3"/>
  <c r="DS1061" i="3"/>
  <c r="DR1061" i="3"/>
  <c r="DQ1061" i="3"/>
  <c r="DP1061" i="3"/>
  <c r="DO1061" i="3"/>
  <c r="DN1061" i="3"/>
  <c r="DM1061" i="3"/>
  <c r="DL1061" i="3"/>
  <c r="DK1061" i="3"/>
  <c r="DJ1061" i="3"/>
  <c r="DI1061" i="3"/>
  <c r="DH1061" i="3"/>
  <c r="DG1061" i="3"/>
  <c r="DF1061" i="3"/>
  <c r="DE1061" i="3"/>
  <c r="DD1061" i="3"/>
  <c r="DC1061" i="3"/>
  <c r="DB1061" i="3"/>
  <c r="DA1061" i="3"/>
  <c r="CZ1061" i="3"/>
  <c r="CY1061" i="3"/>
  <c r="CX1061" i="3"/>
  <c r="CW1061" i="3"/>
  <c r="CV1061" i="3"/>
  <c r="CU1061" i="3"/>
  <c r="CT1061" i="3"/>
  <c r="CS1061" i="3"/>
  <c r="CR1061" i="3"/>
  <c r="CQ1061" i="3"/>
  <c r="CP1061" i="3"/>
  <c r="CO1061" i="3"/>
  <c r="CN1061" i="3"/>
  <c r="CM1061" i="3"/>
  <c r="CL1061" i="3"/>
  <c r="CK1061" i="3"/>
  <c r="CJ1061" i="3"/>
  <c r="CI1061" i="3"/>
  <c r="CH1061" i="3"/>
  <c r="CG1061" i="3"/>
  <c r="CF1061" i="3"/>
  <c r="CE1061" i="3"/>
  <c r="CD1061" i="3"/>
  <c r="CC1061" i="3"/>
  <c r="CB1061" i="3"/>
  <c r="CA1061" i="3"/>
  <c r="BZ1061" i="3"/>
  <c r="BY1061" i="3"/>
  <c r="BX1061" i="3"/>
  <c r="BW1061" i="3"/>
  <c r="BV1061" i="3"/>
  <c r="BU1061" i="3"/>
  <c r="BT1061" i="3"/>
  <c r="BS1061" i="3"/>
  <c r="BR1061" i="3"/>
  <c r="BQ1061" i="3"/>
  <c r="BP1061" i="3"/>
  <c r="BO1061" i="3"/>
  <c r="BN1061" i="3"/>
  <c r="DU1060" i="3"/>
  <c r="DT1060" i="3"/>
  <c r="DS1060" i="3"/>
  <c r="DR1060" i="3"/>
  <c r="DQ1060" i="3"/>
  <c r="DP1060" i="3"/>
  <c r="DO1060" i="3"/>
  <c r="DN1060" i="3"/>
  <c r="DM1060" i="3"/>
  <c r="DL1060" i="3"/>
  <c r="DK1060" i="3"/>
  <c r="DJ1060" i="3"/>
  <c r="DI1060" i="3"/>
  <c r="DH1060" i="3"/>
  <c r="DG1060" i="3"/>
  <c r="DF1060" i="3"/>
  <c r="DE1060" i="3"/>
  <c r="DD1060" i="3"/>
  <c r="DC1060" i="3"/>
  <c r="DB1060" i="3"/>
  <c r="DA1060" i="3"/>
  <c r="CZ1060" i="3"/>
  <c r="CY1060" i="3"/>
  <c r="CX1060" i="3"/>
  <c r="CW1060" i="3"/>
  <c r="CV1060" i="3"/>
  <c r="CU1060" i="3"/>
  <c r="CT1060" i="3"/>
  <c r="CS1060" i="3"/>
  <c r="CR1060" i="3"/>
  <c r="CQ1060" i="3"/>
  <c r="CP1060" i="3"/>
  <c r="CO1060" i="3"/>
  <c r="CN1060" i="3"/>
  <c r="CM1060" i="3"/>
  <c r="CL1060" i="3"/>
  <c r="CK1060" i="3"/>
  <c r="CJ1060" i="3"/>
  <c r="CI1060" i="3"/>
  <c r="CH1060" i="3"/>
  <c r="CG1060" i="3"/>
  <c r="CF1060" i="3"/>
  <c r="CE1060" i="3"/>
  <c r="CD1060" i="3"/>
  <c r="CC1060" i="3"/>
  <c r="CB1060" i="3"/>
  <c r="CA1060" i="3"/>
  <c r="BZ1060" i="3"/>
  <c r="BY1060" i="3"/>
  <c r="BX1060" i="3"/>
  <c r="BW1060" i="3"/>
  <c r="BV1060" i="3"/>
  <c r="BU1060" i="3"/>
  <c r="BT1060" i="3"/>
  <c r="BS1060" i="3"/>
  <c r="BR1060" i="3"/>
  <c r="BQ1060" i="3"/>
  <c r="BP1060" i="3"/>
  <c r="BO1060" i="3"/>
  <c r="BN1060" i="3"/>
  <c r="DU1059" i="3"/>
  <c r="DT1059" i="3"/>
  <c r="DS1059" i="3"/>
  <c r="DR1059" i="3"/>
  <c r="DQ1059" i="3"/>
  <c r="DP1059" i="3"/>
  <c r="DO1059" i="3"/>
  <c r="DN1059" i="3"/>
  <c r="DM1059" i="3"/>
  <c r="DL1059" i="3"/>
  <c r="DK1059" i="3"/>
  <c r="DJ1059" i="3"/>
  <c r="DI1059" i="3"/>
  <c r="DH1059" i="3"/>
  <c r="DG1059" i="3"/>
  <c r="DF1059" i="3"/>
  <c r="DE1059" i="3"/>
  <c r="DD1059" i="3"/>
  <c r="DC1059" i="3"/>
  <c r="DB1059" i="3"/>
  <c r="DA1059" i="3"/>
  <c r="CZ1059" i="3"/>
  <c r="CY1059" i="3"/>
  <c r="CX1059" i="3"/>
  <c r="CW1059" i="3"/>
  <c r="CV1059" i="3"/>
  <c r="CU1059" i="3"/>
  <c r="CT1059" i="3"/>
  <c r="CS1059" i="3"/>
  <c r="CR1059" i="3"/>
  <c r="CQ1059" i="3"/>
  <c r="CP1059" i="3"/>
  <c r="CO1059" i="3"/>
  <c r="CN1059" i="3"/>
  <c r="CM1059" i="3"/>
  <c r="CL1059" i="3"/>
  <c r="CK1059" i="3"/>
  <c r="CJ1059" i="3"/>
  <c r="CI1059" i="3"/>
  <c r="CH1059" i="3"/>
  <c r="CG1059" i="3"/>
  <c r="CF1059" i="3"/>
  <c r="CE1059" i="3"/>
  <c r="CD1059" i="3"/>
  <c r="CC1059" i="3"/>
  <c r="CB1059" i="3"/>
  <c r="CA1059" i="3"/>
  <c r="BZ1059" i="3"/>
  <c r="BY1059" i="3"/>
  <c r="BX1059" i="3"/>
  <c r="BW1059" i="3"/>
  <c r="BV1059" i="3"/>
  <c r="BU1059" i="3"/>
  <c r="BT1059" i="3"/>
  <c r="BS1059" i="3"/>
  <c r="BR1059" i="3"/>
  <c r="BQ1059" i="3"/>
  <c r="BP1059" i="3"/>
  <c r="BO1059" i="3"/>
  <c r="BN1059" i="3"/>
  <c r="DU1058" i="3"/>
  <c r="DT1058" i="3"/>
  <c r="DS1058" i="3"/>
  <c r="DR1058" i="3"/>
  <c r="DQ1058" i="3"/>
  <c r="DP1058" i="3"/>
  <c r="DO1058" i="3"/>
  <c r="DN1058" i="3"/>
  <c r="DM1058" i="3"/>
  <c r="DL1058" i="3"/>
  <c r="DK1058" i="3"/>
  <c r="DJ1058" i="3"/>
  <c r="DI1058" i="3"/>
  <c r="DH1058" i="3"/>
  <c r="DG1058" i="3"/>
  <c r="DF1058" i="3"/>
  <c r="DE1058" i="3"/>
  <c r="DD1058" i="3"/>
  <c r="DC1058" i="3"/>
  <c r="DB1058" i="3"/>
  <c r="DA1058" i="3"/>
  <c r="CZ1058" i="3"/>
  <c r="CY1058" i="3"/>
  <c r="CX1058" i="3"/>
  <c r="CW1058" i="3"/>
  <c r="CV1058" i="3"/>
  <c r="CU1058" i="3"/>
  <c r="CT1058" i="3"/>
  <c r="CS1058" i="3"/>
  <c r="CR1058" i="3"/>
  <c r="CQ1058" i="3"/>
  <c r="CP1058" i="3"/>
  <c r="CO1058" i="3"/>
  <c r="CN1058" i="3"/>
  <c r="CM1058" i="3"/>
  <c r="CL1058" i="3"/>
  <c r="CK1058" i="3"/>
  <c r="CJ1058" i="3"/>
  <c r="CI1058" i="3"/>
  <c r="CH1058" i="3"/>
  <c r="CG1058" i="3"/>
  <c r="CF1058" i="3"/>
  <c r="CE1058" i="3"/>
  <c r="CD1058" i="3"/>
  <c r="CC1058" i="3"/>
  <c r="CB1058" i="3"/>
  <c r="CA1058" i="3"/>
  <c r="BZ1058" i="3"/>
  <c r="BY1058" i="3"/>
  <c r="BX1058" i="3"/>
  <c r="BW1058" i="3"/>
  <c r="BV1058" i="3"/>
  <c r="BU1058" i="3"/>
  <c r="BT1058" i="3"/>
  <c r="BS1058" i="3"/>
  <c r="BR1058" i="3"/>
  <c r="BQ1058" i="3"/>
  <c r="BP1058" i="3"/>
  <c r="BO1058" i="3"/>
  <c r="BN1058" i="3"/>
  <c r="DU1057" i="3"/>
  <c r="DT1057" i="3"/>
  <c r="DS1057" i="3"/>
  <c r="DR1057" i="3"/>
  <c r="DQ1057" i="3"/>
  <c r="DP1057" i="3"/>
  <c r="DO1057" i="3"/>
  <c r="DN1057" i="3"/>
  <c r="DM1057" i="3"/>
  <c r="DL1057" i="3"/>
  <c r="DK1057" i="3"/>
  <c r="DJ1057" i="3"/>
  <c r="DI1057" i="3"/>
  <c r="DH1057" i="3"/>
  <c r="DG1057" i="3"/>
  <c r="DF1057" i="3"/>
  <c r="DE1057" i="3"/>
  <c r="DD1057" i="3"/>
  <c r="DC1057" i="3"/>
  <c r="DB1057" i="3"/>
  <c r="DA1057" i="3"/>
  <c r="CZ1057" i="3"/>
  <c r="CY1057" i="3"/>
  <c r="CX1057" i="3"/>
  <c r="CW1057" i="3"/>
  <c r="CV1057" i="3"/>
  <c r="CU1057" i="3"/>
  <c r="CT1057" i="3"/>
  <c r="CS1057" i="3"/>
  <c r="CR1057" i="3"/>
  <c r="CQ1057" i="3"/>
  <c r="CP1057" i="3"/>
  <c r="CO1057" i="3"/>
  <c r="CN1057" i="3"/>
  <c r="CM1057" i="3"/>
  <c r="CL1057" i="3"/>
  <c r="CK1057" i="3"/>
  <c r="CJ1057" i="3"/>
  <c r="CI1057" i="3"/>
  <c r="CH1057" i="3"/>
  <c r="CG1057" i="3"/>
  <c r="CF1057" i="3"/>
  <c r="CE1057" i="3"/>
  <c r="CD1057" i="3"/>
  <c r="CC1057" i="3"/>
  <c r="CB1057" i="3"/>
  <c r="CA1057" i="3"/>
  <c r="BZ1057" i="3"/>
  <c r="BY1057" i="3"/>
  <c r="BX1057" i="3"/>
  <c r="BW1057" i="3"/>
  <c r="BV1057" i="3"/>
  <c r="BU1057" i="3"/>
  <c r="BT1057" i="3"/>
  <c r="BS1057" i="3"/>
  <c r="BR1057" i="3"/>
  <c r="BQ1057" i="3"/>
  <c r="BP1057" i="3"/>
  <c r="BO1057" i="3"/>
  <c r="BN1057" i="3"/>
  <c r="DU1056" i="3"/>
  <c r="DT1056" i="3"/>
  <c r="DS1056" i="3"/>
  <c r="DR1056" i="3"/>
  <c r="DQ1056" i="3"/>
  <c r="DP1056" i="3"/>
  <c r="DO1056" i="3"/>
  <c r="DN1056" i="3"/>
  <c r="DM1056" i="3"/>
  <c r="DL1056" i="3"/>
  <c r="DK1056" i="3"/>
  <c r="DJ1056" i="3"/>
  <c r="DI1056" i="3"/>
  <c r="DH1056" i="3"/>
  <c r="DG1056" i="3"/>
  <c r="DF1056" i="3"/>
  <c r="DE1056" i="3"/>
  <c r="DD1056" i="3"/>
  <c r="DC1056" i="3"/>
  <c r="DB1056" i="3"/>
  <c r="DA1056" i="3"/>
  <c r="CZ1056" i="3"/>
  <c r="CY1056" i="3"/>
  <c r="CX1056" i="3"/>
  <c r="CW1056" i="3"/>
  <c r="CV1056" i="3"/>
  <c r="CU1056" i="3"/>
  <c r="CT1056" i="3"/>
  <c r="CS1056" i="3"/>
  <c r="CR1056" i="3"/>
  <c r="CQ1056" i="3"/>
  <c r="CP1056" i="3"/>
  <c r="CO1056" i="3"/>
  <c r="CN1056" i="3"/>
  <c r="CM1056" i="3"/>
  <c r="CL1056" i="3"/>
  <c r="CK1056" i="3"/>
  <c r="CJ1056" i="3"/>
  <c r="CI1056" i="3"/>
  <c r="CH1056" i="3"/>
  <c r="CG1056" i="3"/>
  <c r="CF1056" i="3"/>
  <c r="CE1056" i="3"/>
  <c r="CD1056" i="3"/>
  <c r="CC1056" i="3"/>
  <c r="CB1056" i="3"/>
  <c r="CA1056" i="3"/>
  <c r="BZ1056" i="3"/>
  <c r="BY1056" i="3"/>
  <c r="BX1056" i="3"/>
  <c r="BW1056" i="3"/>
  <c r="BV1056" i="3"/>
  <c r="BU1056" i="3"/>
  <c r="BT1056" i="3"/>
  <c r="BS1056" i="3"/>
  <c r="BR1056" i="3"/>
  <c r="BQ1056" i="3"/>
  <c r="BP1056" i="3"/>
  <c r="BO1056" i="3"/>
  <c r="BN1056" i="3"/>
  <c r="DU1055" i="3"/>
  <c r="DT1055" i="3"/>
  <c r="DS1055" i="3"/>
  <c r="DR1055" i="3"/>
  <c r="DQ1055" i="3"/>
  <c r="DP1055" i="3"/>
  <c r="DO1055" i="3"/>
  <c r="DN1055" i="3"/>
  <c r="DM1055" i="3"/>
  <c r="DL1055" i="3"/>
  <c r="DK1055" i="3"/>
  <c r="DJ1055" i="3"/>
  <c r="DI1055" i="3"/>
  <c r="DH1055" i="3"/>
  <c r="DG1055" i="3"/>
  <c r="DF1055" i="3"/>
  <c r="DE1055" i="3"/>
  <c r="DD1055" i="3"/>
  <c r="DC1055" i="3"/>
  <c r="DB1055" i="3"/>
  <c r="DA1055" i="3"/>
  <c r="CZ1055" i="3"/>
  <c r="CY1055" i="3"/>
  <c r="CX1055" i="3"/>
  <c r="CW1055" i="3"/>
  <c r="CV1055" i="3"/>
  <c r="CU1055" i="3"/>
  <c r="CT1055" i="3"/>
  <c r="CS1055" i="3"/>
  <c r="CR1055" i="3"/>
  <c r="CQ1055" i="3"/>
  <c r="CP1055" i="3"/>
  <c r="CO1055" i="3"/>
  <c r="CN1055" i="3"/>
  <c r="CM1055" i="3"/>
  <c r="CL1055" i="3"/>
  <c r="CK1055" i="3"/>
  <c r="CJ1055" i="3"/>
  <c r="CI1055" i="3"/>
  <c r="CH1055" i="3"/>
  <c r="CG1055" i="3"/>
  <c r="CF1055" i="3"/>
  <c r="CE1055" i="3"/>
  <c r="CD1055" i="3"/>
  <c r="CC1055" i="3"/>
  <c r="CB1055" i="3"/>
  <c r="CA1055" i="3"/>
  <c r="BZ1055" i="3"/>
  <c r="BY1055" i="3"/>
  <c r="BX1055" i="3"/>
  <c r="BW1055" i="3"/>
  <c r="BV1055" i="3"/>
  <c r="BU1055" i="3"/>
  <c r="BT1055" i="3"/>
  <c r="BS1055" i="3"/>
  <c r="BR1055" i="3"/>
  <c r="BQ1055" i="3"/>
  <c r="BP1055" i="3"/>
  <c r="BO1055" i="3"/>
  <c r="BN1055" i="3"/>
  <c r="DU1054" i="3"/>
  <c r="DT1054" i="3"/>
  <c r="DS1054" i="3"/>
  <c r="DR1054" i="3"/>
  <c r="DQ1054" i="3"/>
  <c r="DP1054" i="3"/>
  <c r="DO1054" i="3"/>
  <c r="DN1054" i="3"/>
  <c r="DM1054" i="3"/>
  <c r="DL1054" i="3"/>
  <c r="DK1054" i="3"/>
  <c r="DJ1054" i="3"/>
  <c r="DI1054" i="3"/>
  <c r="DH1054" i="3"/>
  <c r="DG1054" i="3"/>
  <c r="DF1054" i="3"/>
  <c r="DE1054" i="3"/>
  <c r="DD1054" i="3"/>
  <c r="DC1054" i="3"/>
  <c r="DB1054" i="3"/>
  <c r="DA1054" i="3"/>
  <c r="CZ1054" i="3"/>
  <c r="CY1054" i="3"/>
  <c r="CX1054" i="3"/>
  <c r="CW1054" i="3"/>
  <c r="CV1054" i="3"/>
  <c r="CU1054" i="3"/>
  <c r="CT1054" i="3"/>
  <c r="CS1054" i="3"/>
  <c r="CR1054" i="3"/>
  <c r="CQ1054" i="3"/>
  <c r="CP1054" i="3"/>
  <c r="CO1054" i="3"/>
  <c r="CN1054" i="3"/>
  <c r="CM1054" i="3"/>
  <c r="CL1054" i="3"/>
  <c r="CK1054" i="3"/>
  <c r="CJ1054" i="3"/>
  <c r="CI1054" i="3"/>
  <c r="CH1054" i="3"/>
  <c r="CG1054" i="3"/>
  <c r="CF1054" i="3"/>
  <c r="CE1054" i="3"/>
  <c r="CD1054" i="3"/>
  <c r="CC1054" i="3"/>
  <c r="CB1054" i="3"/>
  <c r="CA1054" i="3"/>
  <c r="BZ1054" i="3"/>
  <c r="BY1054" i="3"/>
  <c r="BX1054" i="3"/>
  <c r="BW1054" i="3"/>
  <c r="BV1054" i="3"/>
  <c r="BU1054" i="3"/>
  <c r="BT1054" i="3"/>
  <c r="BS1054" i="3"/>
  <c r="BR1054" i="3"/>
  <c r="BQ1054" i="3"/>
  <c r="BP1054" i="3"/>
  <c r="BO1054" i="3"/>
  <c r="BN1054" i="3"/>
  <c r="DU1053" i="3"/>
  <c r="DT1053" i="3"/>
  <c r="DS1053" i="3"/>
  <c r="DR1053" i="3"/>
  <c r="DQ1053" i="3"/>
  <c r="DP1053" i="3"/>
  <c r="DO1053" i="3"/>
  <c r="DN1053" i="3"/>
  <c r="DM1053" i="3"/>
  <c r="DL1053" i="3"/>
  <c r="DK1053" i="3"/>
  <c r="DJ1053" i="3"/>
  <c r="DI1053" i="3"/>
  <c r="DH1053" i="3"/>
  <c r="DG1053" i="3"/>
  <c r="DF1053" i="3"/>
  <c r="DE1053" i="3"/>
  <c r="DD1053" i="3"/>
  <c r="DC1053" i="3"/>
  <c r="DB1053" i="3"/>
  <c r="DA1053" i="3"/>
  <c r="CZ1053" i="3"/>
  <c r="CY1053" i="3"/>
  <c r="CX1053" i="3"/>
  <c r="CW1053" i="3"/>
  <c r="CV1053" i="3"/>
  <c r="CU1053" i="3"/>
  <c r="CT1053" i="3"/>
  <c r="CS1053" i="3"/>
  <c r="CR1053" i="3"/>
  <c r="CQ1053" i="3"/>
  <c r="CP1053" i="3"/>
  <c r="CO1053" i="3"/>
  <c r="CN1053" i="3"/>
  <c r="CM1053" i="3"/>
  <c r="CL1053" i="3"/>
  <c r="CK1053" i="3"/>
  <c r="CJ1053" i="3"/>
  <c r="CI1053" i="3"/>
  <c r="CH1053" i="3"/>
  <c r="CG1053" i="3"/>
  <c r="CF1053" i="3"/>
  <c r="CE1053" i="3"/>
  <c r="CD1053" i="3"/>
  <c r="CC1053" i="3"/>
  <c r="CB1053" i="3"/>
  <c r="CA1053" i="3"/>
  <c r="BZ1053" i="3"/>
  <c r="BY1053" i="3"/>
  <c r="BX1053" i="3"/>
  <c r="BW1053" i="3"/>
  <c r="BV1053" i="3"/>
  <c r="BU1053" i="3"/>
  <c r="BT1053" i="3"/>
  <c r="BS1053" i="3"/>
  <c r="BR1053" i="3"/>
  <c r="BQ1053" i="3"/>
  <c r="BP1053" i="3"/>
  <c r="BO1053" i="3"/>
  <c r="BN1053" i="3"/>
  <c r="DU1052" i="3"/>
  <c r="DT1052" i="3"/>
  <c r="DS1052" i="3"/>
  <c r="DR1052" i="3"/>
  <c r="DQ1052" i="3"/>
  <c r="DP1052" i="3"/>
  <c r="DO1052" i="3"/>
  <c r="DN1052" i="3"/>
  <c r="DM1052" i="3"/>
  <c r="DL1052" i="3"/>
  <c r="DK1052" i="3"/>
  <c r="DJ1052" i="3"/>
  <c r="DI1052" i="3"/>
  <c r="DH1052" i="3"/>
  <c r="DG1052" i="3"/>
  <c r="DF1052" i="3"/>
  <c r="DE1052" i="3"/>
  <c r="DD1052" i="3"/>
  <c r="DC1052" i="3"/>
  <c r="DB1052" i="3"/>
  <c r="DA1052" i="3"/>
  <c r="CZ1052" i="3"/>
  <c r="CY1052" i="3"/>
  <c r="CX1052" i="3"/>
  <c r="CW1052" i="3"/>
  <c r="CV1052" i="3"/>
  <c r="CU1052" i="3"/>
  <c r="CT1052" i="3"/>
  <c r="CS1052" i="3"/>
  <c r="CR1052" i="3"/>
  <c r="CQ1052" i="3"/>
  <c r="CP1052" i="3"/>
  <c r="CO1052" i="3"/>
  <c r="CN1052" i="3"/>
  <c r="CM1052" i="3"/>
  <c r="CL1052" i="3"/>
  <c r="CK1052" i="3"/>
  <c r="CJ1052" i="3"/>
  <c r="CI1052" i="3"/>
  <c r="CH1052" i="3"/>
  <c r="CG1052" i="3"/>
  <c r="CF1052" i="3"/>
  <c r="CE1052" i="3"/>
  <c r="CD1052" i="3"/>
  <c r="CC1052" i="3"/>
  <c r="CB1052" i="3"/>
  <c r="CA1052" i="3"/>
  <c r="BZ1052" i="3"/>
  <c r="BY1052" i="3"/>
  <c r="BX1052" i="3"/>
  <c r="BW1052" i="3"/>
  <c r="BV1052" i="3"/>
  <c r="BU1052" i="3"/>
  <c r="BT1052" i="3"/>
  <c r="BS1052" i="3"/>
  <c r="BR1052" i="3"/>
  <c r="BQ1052" i="3"/>
  <c r="BP1052" i="3"/>
  <c r="BO1052" i="3"/>
  <c r="BN1052" i="3"/>
  <c r="DU1051" i="3"/>
  <c r="DT1051" i="3"/>
  <c r="DS1051" i="3"/>
  <c r="DR1051" i="3"/>
  <c r="DQ1051" i="3"/>
  <c r="DP1051" i="3"/>
  <c r="DO1051" i="3"/>
  <c r="DN1051" i="3"/>
  <c r="DM1051" i="3"/>
  <c r="DL1051" i="3"/>
  <c r="DK1051" i="3"/>
  <c r="DJ1051" i="3"/>
  <c r="DI1051" i="3"/>
  <c r="DH1051" i="3"/>
  <c r="DG1051" i="3"/>
  <c r="DF1051" i="3"/>
  <c r="DE1051" i="3"/>
  <c r="DD1051" i="3"/>
  <c r="DC1051" i="3"/>
  <c r="DB1051" i="3"/>
  <c r="DA1051" i="3"/>
  <c r="CZ1051" i="3"/>
  <c r="CY1051" i="3"/>
  <c r="CX1051" i="3"/>
  <c r="CW1051" i="3"/>
  <c r="CV1051" i="3"/>
  <c r="CU1051" i="3"/>
  <c r="CT1051" i="3"/>
  <c r="CS1051" i="3"/>
  <c r="CR1051" i="3"/>
  <c r="CQ1051" i="3"/>
  <c r="CP1051" i="3"/>
  <c r="CO1051" i="3"/>
  <c r="CN1051" i="3"/>
  <c r="CM1051" i="3"/>
  <c r="CL1051" i="3"/>
  <c r="CK1051" i="3"/>
  <c r="CJ1051" i="3"/>
  <c r="CI1051" i="3"/>
  <c r="CH1051" i="3"/>
  <c r="CG1051" i="3"/>
  <c r="CF1051" i="3"/>
  <c r="CE1051" i="3"/>
  <c r="CD1051" i="3"/>
  <c r="CC1051" i="3"/>
  <c r="CB1051" i="3"/>
  <c r="CA1051" i="3"/>
  <c r="BZ1051" i="3"/>
  <c r="BY1051" i="3"/>
  <c r="BX1051" i="3"/>
  <c r="BW1051" i="3"/>
  <c r="BV1051" i="3"/>
  <c r="BU1051" i="3"/>
  <c r="BT1051" i="3"/>
  <c r="BS1051" i="3"/>
  <c r="BR1051" i="3"/>
  <c r="BQ1051" i="3"/>
  <c r="BP1051" i="3"/>
  <c r="BO1051" i="3"/>
  <c r="BN1051" i="3"/>
  <c r="DU1050" i="3"/>
  <c r="DT1050" i="3"/>
  <c r="DS1050" i="3"/>
  <c r="DR1050" i="3"/>
  <c r="DQ1050" i="3"/>
  <c r="DP1050" i="3"/>
  <c r="DO1050" i="3"/>
  <c r="DN1050" i="3"/>
  <c r="DM1050" i="3"/>
  <c r="DL1050" i="3"/>
  <c r="DK1050" i="3"/>
  <c r="DJ1050" i="3"/>
  <c r="DI1050" i="3"/>
  <c r="DH1050" i="3"/>
  <c r="DG1050" i="3"/>
  <c r="DF1050" i="3"/>
  <c r="DE1050" i="3"/>
  <c r="DD1050" i="3"/>
  <c r="DC1050" i="3"/>
  <c r="DB1050" i="3"/>
  <c r="DA1050" i="3"/>
  <c r="CZ1050" i="3"/>
  <c r="CY1050" i="3"/>
  <c r="CX1050" i="3"/>
  <c r="CW1050" i="3"/>
  <c r="CV1050" i="3"/>
  <c r="CU1050" i="3"/>
  <c r="CT1050" i="3"/>
  <c r="CS1050" i="3"/>
  <c r="CR1050" i="3"/>
  <c r="CQ1050" i="3"/>
  <c r="CP1050" i="3"/>
  <c r="CO1050" i="3"/>
  <c r="CN1050" i="3"/>
  <c r="CM1050" i="3"/>
  <c r="CL1050" i="3"/>
  <c r="CK1050" i="3"/>
  <c r="CJ1050" i="3"/>
  <c r="CI1050" i="3"/>
  <c r="CH1050" i="3"/>
  <c r="CG1050" i="3"/>
  <c r="CF1050" i="3"/>
  <c r="CE1050" i="3"/>
  <c r="CD1050" i="3"/>
  <c r="CC1050" i="3"/>
  <c r="CB1050" i="3"/>
  <c r="CA1050" i="3"/>
  <c r="BZ1050" i="3"/>
  <c r="BY1050" i="3"/>
  <c r="BX1050" i="3"/>
  <c r="BW1050" i="3"/>
  <c r="BV1050" i="3"/>
  <c r="BU1050" i="3"/>
  <c r="BT1050" i="3"/>
  <c r="BS1050" i="3"/>
  <c r="BR1050" i="3"/>
  <c r="BQ1050" i="3"/>
  <c r="BP1050" i="3"/>
  <c r="BO1050" i="3"/>
  <c r="BN1050" i="3"/>
  <c r="DU1049" i="3"/>
  <c r="DT1049" i="3"/>
  <c r="DS1049" i="3"/>
  <c r="DR1049" i="3"/>
  <c r="DQ1049" i="3"/>
  <c r="DP1049" i="3"/>
  <c r="DO1049" i="3"/>
  <c r="DN1049" i="3"/>
  <c r="DM1049" i="3"/>
  <c r="DL1049" i="3"/>
  <c r="DK1049" i="3"/>
  <c r="DJ1049" i="3"/>
  <c r="DI1049" i="3"/>
  <c r="DH1049" i="3"/>
  <c r="DG1049" i="3"/>
  <c r="DF1049" i="3"/>
  <c r="DE1049" i="3"/>
  <c r="DD1049" i="3"/>
  <c r="DC1049" i="3"/>
  <c r="DB1049" i="3"/>
  <c r="DA1049" i="3"/>
  <c r="CZ1049" i="3"/>
  <c r="CY1049" i="3"/>
  <c r="CX1049" i="3"/>
  <c r="CW1049" i="3"/>
  <c r="CV1049" i="3"/>
  <c r="CU1049" i="3"/>
  <c r="CT1049" i="3"/>
  <c r="CS1049" i="3"/>
  <c r="CR1049" i="3"/>
  <c r="CQ1049" i="3"/>
  <c r="CP1049" i="3"/>
  <c r="CO1049" i="3"/>
  <c r="CN1049" i="3"/>
  <c r="CM1049" i="3"/>
  <c r="CL1049" i="3"/>
  <c r="CK1049" i="3"/>
  <c r="CJ1049" i="3"/>
  <c r="CI1049" i="3"/>
  <c r="CH1049" i="3"/>
  <c r="CG1049" i="3"/>
  <c r="CF1049" i="3"/>
  <c r="CE1049" i="3"/>
  <c r="CD1049" i="3"/>
  <c r="CC1049" i="3"/>
  <c r="CB1049" i="3"/>
  <c r="CA1049" i="3"/>
  <c r="BZ1049" i="3"/>
  <c r="BY1049" i="3"/>
  <c r="BX1049" i="3"/>
  <c r="BW1049" i="3"/>
  <c r="BV1049" i="3"/>
  <c r="BU1049" i="3"/>
  <c r="BT1049" i="3"/>
  <c r="BS1049" i="3"/>
  <c r="BR1049" i="3"/>
  <c r="BQ1049" i="3"/>
  <c r="BP1049" i="3"/>
  <c r="BO1049" i="3"/>
  <c r="BN1049" i="3"/>
  <c r="DU1048" i="3"/>
  <c r="DT1048" i="3"/>
  <c r="DS1048" i="3"/>
  <c r="DR1048" i="3"/>
  <c r="DQ1048" i="3"/>
  <c r="DP1048" i="3"/>
  <c r="DO1048" i="3"/>
  <c r="DN1048" i="3"/>
  <c r="DM1048" i="3"/>
  <c r="DL1048" i="3"/>
  <c r="DK1048" i="3"/>
  <c r="DJ1048" i="3"/>
  <c r="DI1048" i="3"/>
  <c r="DH1048" i="3"/>
  <c r="DG1048" i="3"/>
  <c r="DF1048" i="3"/>
  <c r="DE1048" i="3"/>
  <c r="DD1048" i="3"/>
  <c r="DC1048" i="3"/>
  <c r="DB1048" i="3"/>
  <c r="DA1048" i="3"/>
  <c r="CZ1048" i="3"/>
  <c r="CY1048" i="3"/>
  <c r="CX1048" i="3"/>
  <c r="CW1048" i="3"/>
  <c r="CV1048" i="3"/>
  <c r="CU1048" i="3"/>
  <c r="CT1048" i="3"/>
  <c r="CS1048" i="3"/>
  <c r="CR1048" i="3"/>
  <c r="CQ1048" i="3"/>
  <c r="CP1048" i="3"/>
  <c r="CO1048" i="3"/>
  <c r="CN1048" i="3"/>
  <c r="CM1048" i="3"/>
  <c r="CL1048" i="3"/>
  <c r="CK1048" i="3"/>
  <c r="CJ1048" i="3"/>
  <c r="CI1048" i="3"/>
  <c r="CH1048" i="3"/>
  <c r="CG1048" i="3"/>
  <c r="CF1048" i="3"/>
  <c r="CE1048" i="3"/>
  <c r="CD1048" i="3"/>
  <c r="CC1048" i="3"/>
  <c r="CB1048" i="3"/>
  <c r="CA1048" i="3"/>
  <c r="BZ1048" i="3"/>
  <c r="BY1048" i="3"/>
  <c r="BX1048" i="3"/>
  <c r="BW1048" i="3"/>
  <c r="BV1048" i="3"/>
  <c r="BU1048" i="3"/>
  <c r="BT1048" i="3"/>
  <c r="BS1048" i="3"/>
  <c r="BR1048" i="3"/>
  <c r="BQ1048" i="3"/>
  <c r="BP1048" i="3"/>
  <c r="BO1048" i="3"/>
  <c r="BN1048" i="3"/>
  <c r="DU1047" i="3"/>
  <c r="DT1047" i="3"/>
  <c r="DS1047" i="3"/>
  <c r="DR1047" i="3"/>
  <c r="DQ1047" i="3"/>
  <c r="DP1047" i="3"/>
  <c r="DO1047" i="3"/>
  <c r="DN1047" i="3"/>
  <c r="DM1047" i="3"/>
  <c r="DL1047" i="3"/>
  <c r="DK1047" i="3"/>
  <c r="DJ1047" i="3"/>
  <c r="DI1047" i="3"/>
  <c r="DH1047" i="3"/>
  <c r="DG1047" i="3"/>
  <c r="DF1047" i="3"/>
  <c r="DE1047" i="3"/>
  <c r="DD1047" i="3"/>
  <c r="DC1047" i="3"/>
  <c r="DB1047" i="3"/>
  <c r="DA1047" i="3"/>
  <c r="CZ1047" i="3"/>
  <c r="CY1047" i="3"/>
  <c r="CX1047" i="3"/>
  <c r="CW1047" i="3"/>
  <c r="CV1047" i="3"/>
  <c r="CU1047" i="3"/>
  <c r="CT1047" i="3"/>
  <c r="CS1047" i="3"/>
  <c r="CR1047" i="3"/>
  <c r="CQ1047" i="3"/>
  <c r="CP1047" i="3"/>
  <c r="CO1047" i="3"/>
  <c r="CN1047" i="3"/>
  <c r="CM1047" i="3"/>
  <c r="CL1047" i="3"/>
  <c r="CK1047" i="3"/>
  <c r="CJ1047" i="3"/>
  <c r="CI1047" i="3"/>
  <c r="CH1047" i="3"/>
  <c r="CG1047" i="3"/>
  <c r="CF1047" i="3"/>
  <c r="CE1047" i="3"/>
  <c r="CD1047" i="3"/>
  <c r="CC1047" i="3"/>
  <c r="CB1047" i="3"/>
  <c r="CA1047" i="3"/>
  <c r="BZ1047" i="3"/>
  <c r="BY1047" i="3"/>
  <c r="BX1047" i="3"/>
  <c r="BW1047" i="3"/>
  <c r="BV1047" i="3"/>
  <c r="BU1047" i="3"/>
  <c r="BT1047" i="3"/>
  <c r="BS1047" i="3"/>
  <c r="BR1047" i="3"/>
  <c r="BQ1047" i="3"/>
  <c r="BP1047" i="3"/>
  <c r="BO1047" i="3"/>
  <c r="BN1047" i="3"/>
  <c r="DU1046" i="3"/>
  <c r="DT1046" i="3"/>
  <c r="DS1046" i="3"/>
  <c r="DR1046" i="3"/>
  <c r="DQ1046" i="3"/>
  <c r="DP1046" i="3"/>
  <c r="DO1046" i="3"/>
  <c r="DN1046" i="3"/>
  <c r="DM1046" i="3"/>
  <c r="DL1046" i="3"/>
  <c r="DK1046" i="3"/>
  <c r="DJ1046" i="3"/>
  <c r="DI1046" i="3"/>
  <c r="DH1046" i="3"/>
  <c r="DG1046" i="3"/>
  <c r="DF1046" i="3"/>
  <c r="DE1046" i="3"/>
  <c r="DD1046" i="3"/>
  <c r="DC1046" i="3"/>
  <c r="DB1046" i="3"/>
  <c r="DA1046" i="3"/>
  <c r="CZ1046" i="3"/>
  <c r="CY1046" i="3"/>
  <c r="CX1046" i="3"/>
  <c r="CW1046" i="3"/>
  <c r="CV1046" i="3"/>
  <c r="CU1046" i="3"/>
  <c r="CT1046" i="3"/>
  <c r="CS1046" i="3"/>
  <c r="CR1046" i="3"/>
  <c r="CQ1046" i="3"/>
  <c r="CP1046" i="3"/>
  <c r="CO1046" i="3"/>
  <c r="CN1046" i="3"/>
  <c r="CM1046" i="3"/>
  <c r="CL1046" i="3"/>
  <c r="CK1046" i="3"/>
  <c r="CJ1046" i="3"/>
  <c r="CI1046" i="3"/>
  <c r="CH1046" i="3"/>
  <c r="CG1046" i="3"/>
  <c r="CF1046" i="3"/>
  <c r="CE1046" i="3"/>
  <c r="CD1046" i="3"/>
  <c r="CC1046" i="3"/>
  <c r="CB1046" i="3"/>
  <c r="CA1046" i="3"/>
  <c r="BZ1046" i="3"/>
  <c r="BY1046" i="3"/>
  <c r="BX1046" i="3"/>
  <c r="BW1046" i="3"/>
  <c r="BV1046" i="3"/>
  <c r="BU1046" i="3"/>
  <c r="BT1046" i="3"/>
  <c r="BS1046" i="3"/>
  <c r="BR1046" i="3"/>
  <c r="BQ1046" i="3"/>
  <c r="BP1046" i="3"/>
  <c r="BO1046" i="3"/>
  <c r="BN1046" i="3"/>
  <c r="DU1045" i="3"/>
  <c r="DT1045" i="3"/>
  <c r="DS1045" i="3"/>
  <c r="DR1045" i="3"/>
  <c r="DQ1045" i="3"/>
  <c r="DP1045" i="3"/>
  <c r="DO1045" i="3"/>
  <c r="DN1045" i="3"/>
  <c r="DM1045" i="3"/>
  <c r="DL1045" i="3"/>
  <c r="DK1045" i="3"/>
  <c r="DJ1045" i="3"/>
  <c r="DI1045" i="3"/>
  <c r="DH1045" i="3"/>
  <c r="DG1045" i="3"/>
  <c r="DF1045" i="3"/>
  <c r="DE1045" i="3"/>
  <c r="DD1045" i="3"/>
  <c r="DC1045" i="3"/>
  <c r="DB1045" i="3"/>
  <c r="DA1045" i="3"/>
  <c r="CZ1045" i="3"/>
  <c r="CY1045" i="3"/>
  <c r="CX1045" i="3"/>
  <c r="CW1045" i="3"/>
  <c r="CV1045" i="3"/>
  <c r="CU1045" i="3"/>
  <c r="CT1045" i="3"/>
  <c r="CS1045" i="3"/>
  <c r="CR1045" i="3"/>
  <c r="CQ1045" i="3"/>
  <c r="CP1045" i="3"/>
  <c r="CO1045" i="3"/>
  <c r="CN1045" i="3"/>
  <c r="CM1045" i="3"/>
  <c r="CL1045" i="3"/>
  <c r="CK1045" i="3"/>
  <c r="CJ1045" i="3"/>
  <c r="CI1045" i="3"/>
  <c r="CH1045" i="3"/>
  <c r="CG1045" i="3"/>
  <c r="CF1045" i="3"/>
  <c r="CE1045" i="3"/>
  <c r="CD1045" i="3"/>
  <c r="CC1045" i="3"/>
  <c r="CB1045" i="3"/>
  <c r="CA1045" i="3"/>
  <c r="BZ1045" i="3"/>
  <c r="BY1045" i="3"/>
  <c r="BX1045" i="3"/>
  <c r="BW1045" i="3"/>
  <c r="BV1045" i="3"/>
  <c r="BU1045" i="3"/>
  <c r="BT1045" i="3"/>
  <c r="BS1045" i="3"/>
  <c r="BR1045" i="3"/>
  <c r="BQ1045" i="3"/>
  <c r="BP1045" i="3"/>
  <c r="BO1045" i="3"/>
  <c r="BN1045" i="3"/>
  <c r="DU1044" i="3"/>
  <c r="DT1044" i="3"/>
  <c r="DS1044" i="3"/>
  <c r="DR1044" i="3"/>
  <c r="DQ1044" i="3"/>
  <c r="DP1044" i="3"/>
  <c r="DO1044" i="3"/>
  <c r="DN1044" i="3"/>
  <c r="DM1044" i="3"/>
  <c r="DL1044" i="3"/>
  <c r="DK1044" i="3"/>
  <c r="DJ1044" i="3"/>
  <c r="DI1044" i="3"/>
  <c r="DH1044" i="3"/>
  <c r="DG1044" i="3"/>
  <c r="DF1044" i="3"/>
  <c r="DE1044" i="3"/>
  <c r="DD1044" i="3"/>
  <c r="DC1044" i="3"/>
  <c r="DB1044" i="3"/>
  <c r="DA1044" i="3"/>
  <c r="CZ1044" i="3"/>
  <c r="CY1044" i="3"/>
  <c r="CX1044" i="3"/>
  <c r="CW1044" i="3"/>
  <c r="CV1044" i="3"/>
  <c r="CU1044" i="3"/>
  <c r="CT1044" i="3"/>
  <c r="CS1044" i="3"/>
  <c r="CR1044" i="3"/>
  <c r="CQ1044" i="3"/>
  <c r="CP1044" i="3"/>
  <c r="CO1044" i="3"/>
  <c r="CN1044" i="3"/>
  <c r="CM1044" i="3"/>
  <c r="CL1044" i="3"/>
  <c r="CK1044" i="3"/>
  <c r="CJ1044" i="3"/>
  <c r="CI1044" i="3"/>
  <c r="CH1044" i="3"/>
  <c r="CG1044" i="3"/>
  <c r="CF1044" i="3"/>
  <c r="CE1044" i="3"/>
  <c r="CD1044" i="3"/>
  <c r="CC1044" i="3"/>
  <c r="CB1044" i="3"/>
  <c r="CA1044" i="3"/>
  <c r="BZ1044" i="3"/>
  <c r="BY1044" i="3"/>
  <c r="BX1044" i="3"/>
  <c r="BW1044" i="3"/>
  <c r="BV1044" i="3"/>
  <c r="BU1044" i="3"/>
  <c r="BT1044" i="3"/>
  <c r="BS1044" i="3"/>
  <c r="BR1044" i="3"/>
  <c r="BQ1044" i="3"/>
  <c r="BP1044" i="3"/>
  <c r="BO1044" i="3"/>
  <c r="BN1044" i="3"/>
  <c r="DU1043" i="3"/>
  <c r="DT1043" i="3"/>
  <c r="DS1043" i="3"/>
  <c r="DR1043" i="3"/>
  <c r="DQ1043" i="3"/>
  <c r="DP1043" i="3"/>
  <c r="DO1043" i="3"/>
  <c r="DN1043" i="3"/>
  <c r="DM1043" i="3"/>
  <c r="DL1043" i="3"/>
  <c r="DK1043" i="3"/>
  <c r="DJ1043" i="3"/>
  <c r="DI1043" i="3"/>
  <c r="DH1043" i="3"/>
  <c r="DG1043" i="3"/>
  <c r="DF1043" i="3"/>
  <c r="DE1043" i="3"/>
  <c r="DD1043" i="3"/>
  <c r="DC1043" i="3"/>
  <c r="DB1043" i="3"/>
  <c r="DA1043" i="3"/>
  <c r="CZ1043" i="3"/>
  <c r="CY1043" i="3"/>
  <c r="CX1043" i="3"/>
  <c r="CW1043" i="3"/>
  <c r="CV1043" i="3"/>
  <c r="CU1043" i="3"/>
  <c r="CT1043" i="3"/>
  <c r="CS1043" i="3"/>
  <c r="CR1043" i="3"/>
  <c r="CQ1043" i="3"/>
  <c r="CP1043" i="3"/>
  <c r="CO1043" i="3"/>
  <c r="CN1043" i="3"/>
  <c r="CM1043" i="3"/>
  <c r="CL1043" i="3"/>
  <c r="CK1043" i="3"/>
  <c r="CJ1043" i="3"/>
  <c r="CI1043" i="3"/>
  <c r="CH1043" i="3"/>
  <c r="CG1043" i="3"/>
  <c r="CF1043" i="3"/>
  <c r="CE1043" i="3"/>
  <c r="CD1043" i="3"/>
  <c r="CC1043" i="3"/>
  <c r="CB1043" i="3"/>
  <c r="CA1043" i="3"/>
  <c r="BZ1043" i="3"/>
  <c r="BY1043" i="3"/>
  <c r="BX1043" i="3"/>
  <c r="BW1043" i="3"/>
  <c r="BV1043" i="3"/>
  <c r="BU1043" i="3"/>
  <c r="BT1043" i="3"/>
  <c r="BS1043" i="3"/>
  <c r="BR1043" i="3"/>
  <c r="BQ1043" i="3"/>
  <c r="BP1043" i="3"/>
  <c r="BO1043" i="3"/>
  <c r="BN1043" i="3"/>
  <c r="DU1042" i="3"/>
  <c r="DT1042" i="3"/>
  <c r="DS1042" i="3"/>
  <c r="DR1042" i="3"/>
  <c r="DQ1042" i="3"/>
  <c r="DP1042" i="3"/>
  <c r="DO1042" i="3"/>
  <c r="DN1042" i="3"/>
  <c r="DM1042" i="3"/>
  <c r="DL1042" i="3"/>
  <c r="DK1042" i="3"/>
  <c r="DJ1042" i="3"/>
  <c r="DI1042" i="3"/>
  <c r="DH1042" i="3"/>
  <c r="DG1042" i="3"/>
  <c r="DF1042" i="3"/>
  <c r="DE1042" i="3"/>
  <c r="DD1042" i="3"/>
  <c r="DC1042" i="3"/>
  <c r="DB1042" i="3"/>
  <c r="DA1042" i="3"/>
  <c r="CZ1042" i="3"/>
  <c r="CY1042" i="3"/>
  <c r="CX1042" i="3"/>
  <c r="CW1042" i="3"/>
  <c r="CV1042" i="3"/>
  <c r="CU1042" i="3"/>
  <c r="CT1042" i="3"/>
  <c r="CS1042" i="3"/>
  <c r="CR1042" i="3"/>
  <c r="CQ1042" i="3"/>
  <c r="CP1042" i="3"/>
  <c r="CO1042" i="3"/>
  <c r="CN1042" i="3"/>
  <c r="CM1042" i="3"/>
  <c r="CL1042" i="3"/>
  <c r="CK1042" i="3"/>
  <c r="CJ1042" i="3"/>
  <c r="CI1042" i="3"/>
  <c r="CH1042" i="3"/>
  <c r="CG1042" i="3"/>
  <c r="CF1042" i="3"/>
  <c r="CE1042" i="3"/>
  <c r="CD1042" i="3"/>
  <c r="CC1042" i="3"/>
  <c r="CB1042" i="3"/>
  <c r="CA1042" i="3"/>
  <c r="BZ1042" i="3"/>
  <c r="BY1042" i="3"/>
  <c r="BX1042" i="3"/>
  <c r="BW1042" i="3"/>
  <c r="BV1042" i="3"/>
  <c r="BU1042" i="3"/>
  <c r="BT1042" i="3"/>
  <c r="BS1042" i="3"/>
  <c r="BR1042" i="3"/>
  <c r="BQ1042" i="3"/>
  <c r="BP1042" i="3"/>
  <c r="BO1042" i="3"/>
  <c r="BN1042" i="3"/>
  <c r="DU1041" i="3"/>
  <c r="DT1041" i="3"/>
  <c r="DS1041" i="3"/>
  <c r="DR1041" i="3"/>
  <c r="DQ1041" i="3"/>
  <c r="DP1041" i="3"/>
  <c r="DO1041" i="3"/>
  <c r="DN1041" i="3"/>
  <c r="DM1041" i="3"/>
  <c r="DL1041" i="3"/>
  <c r="DK1041" i="3"/>
  <c r="DJ1041" i="3"/>
  <c r="DI1041" i="3"/>
  <c r="DH1041" i="3"/>
  <c r="DG1041" i="3"/>
  <c r="DF1041" i="3"/>
  <c r="DE1041" i="3"/>
  <c r="DD1041" i="3"/>
  <c r="DC1041" i="3"/>
  <c r="DB1041" i="3"/>
  <c r="DA1041" i="3"/>
  <c r="CZ1041" i="3"/>
  <c r="CY1041" i="3"/>
  <c r="CX1041" i="3"/>
  <c r="CW1041" i="3"/>
  <c r="CV1041" i="3"/>
  <c r="CU1041" i="3"/>
  <c r="CT1041" i="3"/>
  <c r="CS1041" i="3"/>
  <c r="CR1041" i="3"/>
  <c r="CQ1041" i="3"/>
  <c r="CP1041" i="3"/>
  <c r="CO1041" i="3"/>
  <c r="CN1041" i="3"/>
  <c r="CM1041" i="3"/>
  <c r="CL1041" i="3"/>
  <c r="CK1041" i="3"/>
  <c r="CJ1041" i="3"/>
  <c r="CI1041" i="3"/>
  <c r="CH1041" i="3"/>
  <c r="CG1041" i="3"/>
  <c r="CF1041" i="3"/>
  <c r="CE1041" i="3"/>
  <c r="CD1041" i="3"/>
  <c r="CC1041" i="3"/>
  <c r="CB1041" i="3"/>
  <c r="CA1041" i="3"/>
  <c r="BZ1041" i="3"/>
  <c r="BY1041" i="3"/>
  <c r="BX1041" i="3"/>
  <c r="BW1041" i="3"/>
  <c r="BV1041" i="3"/>
  <c r="BU1041" i="3"/>
  <c r="BT1041" i="3"/>
  <c r="BS1041" i="3"/>
  <c r="BR1041" i="3"/>
  <c r="BQ1041" i="3"/>
  <c r="BP1041" i="3"/>
  <c r="BO1041" i="3"/>
  <c r="BN1041" i="3"/>
  <c r="DU1040" i="3"/>
  <c r="DT1040" i="3"/>
  <c r="DS1040" i="3"/>
  <c r="DR1040" i="3"/>
  <c r="DQ1040" i="3"/>
  <c r="DP1040" i="3"/>
  <c r="DO1040" i="3"/>
  <c r="DN1040" i="3"/>
  <c r="DM1040" i="3"/>
  <c r="DL1040" i="3"/>
  <c r="DK1040" i="3"/>
  <c r="DJ1040" i="3"/>
  <c r="DI1040" i="3"/>
  <c r="DH1040" i="3"/>
  <c r="DG1040" i="3"/>
  <c r="DF1040" i="3"/>
  <c r="DE1040" i="3"/>
  <c r="DD1040" i="3"/>
  <c r="DC1040" i="3"/>
  <c r="DB1040" i="3"/>
  <c r="DA1040" i="3"/>
  <c r="CZ1040" i="3"/>
  <c r="CY1040" i="3"/>
  <c r="CX1040" i="3"/>
  <c r="CW1040" i="3"/>
  <c r="CV1040" i="3"/>
  <c r="CU1040" i="3"/>
  <c r="CT1040" i="3"/>
  <c r="CS1040" i="3"/>
  <c r="CR1040" i="3"/>
  <c r="CQ1040" i="3"/>
  <c r="CP1040" i="3"/>
  <c r="CO1040" i="3"/>
  <c r="CN1040" i="3"/>
  <c r="CM1040" i="3"/>
  <c r="CL1040" i="3"/>
  <c r="CK1040" i="3"/>
  <c r="CJ1040" i="3"/>
  <c r="CI1040" i="3"/>
  <c r="CH1040" i="3"/>
  <c r="CG1040" i="3"/>
  <c r="CF1040" i="3"/>
  <c r="CE1040" i="3"/>
  <c r="CD1040" i="3"/>
  <c r="CC1040" i="3"/>
  <c r="CB1040" i="3"/>
  <c r="CA1040" i="3"/>
  <c r="BZ1040" i="3"/>
  <c r="BY1040" i="3"/>
  <c r="BX1040" i="3"/>
  <c r="BW1040" i="3"/>
  <c r="BV1040" i="3"/>
  <c r="BU1040" i="3"/>
  <c r="BT1040" i="3"/>
  <c r="BS1040" i="3"/>
  <c r="BR1040" i="3"/>
  <c r="BQ1040" i="3"/>
  <c r="BP1040" i="3"/>
  <c r="BO1040" i="3"/>
  <c r="BN1040" i="3"/>
  <c r="DU1039" i="3"/>
  <c r="DT1039" i="3"/>
  <c r="DS1039" i="3"/>
  <c r="DR1039" i="3"/>
  <c r="DQ1039" i="3"/>
  <c r="DP1039" i="3"/>
  <c r="DO1039" i="3"/>
  <c r="DN1039" i="3"/>
  <c r="DM1039" i="3"/>
  <c r="DL1039" i="3"/>
  <c r="DK1039" i="3"/>
  <c r="DJ1039" i="3"/>
  <c r="DI1039" i="3"/>
  <c r="DH1039" i="3"/>
  <c r="DG1039" i="3"/>
  <c r="DF1039" i="3"/>
  <c r="DE1039" i="3"/>
  <c r="DD1039" i="3"/>
  <c r="DC1039" i="3"/>
  <c r="DB1039" i="3"/>
  <c r="DA1039" i="3"/>
  <c r="CZ1039" i="3"/>
  <c r="CY1039" i="3"/>
  <c r="CX1039" i="3"/>
  <c r="CW1039" i="3"/>
  <c r="CV1039" i="3"/>
  <c r="CU1039" i="3"/>
  <c r="CT1039" i="3"/>
  <c r="CS1039" i="3"/>
  <c r="CR1039" i="3"/>
  <c r="CQ1039" i="3"/>
  <c r="CP1039" i="3"/>
  <c r="CO1039" i="3"/>
  <c r="CN1039" i="3"/>
  <c r="CM1039" i="3"/>
  <c r="CL1039" i="3"/>
  <c r="CK1039" i="3"/>
  <c r="CJ1039" i="3"/>
  <c r="CI1039" i="3"/>
  <c r="CH1039" i="3"/>
  <c r="CG1039" i="3"/>
  <c r="CF1039" i="3"/>
  <c r="CE1039" i="3"/>
  <c r="CD1039" i="3"/>
  <c r="CC1039" i="3"/>
  <c r="CB1039" i="3"/>
  <c r="CA1039" i="3"/>
  <c r="BZ1039" i="3"/>
  <c r="BY1039" i="3"/>
  <c r="BX1039" i="3"/>
  <c r="BW1039" i="3"/>
  <c r="BV1039" i="3"/>
  <c r="BU1039" i="3"/>
  <c r="BT1039" i="3"/>
  <c r="BS1039" i="3"/>
  <c r="BR1039" i="3"/>
  <c r="BQ1039" i="3"/>
  <c r="BP1039" i="3"/>
  <c r="BO1039" i="3"/>
  <c r="BN1039" i="3"/>
  <c r="DU1038" i="3"/>
  <c r="DT1038" i="3"/>
  <c r="DS1038" i="3"/>
  <c r="DR1038" i="3"/>
  <c r="DQ1038" i="3"/>
  <c r="DP1038" i="3"/>
  <c r="DO1038" i="3"/>
  <c r="DN1038" i="3"/>
  <c r="DM1038" i="3"/>
  <c r="DL1038" i="3"/>
  <c r="DK1038" i="3"/>
  <c r="DJ1038" i="3"/>
  <c r="DI1038" i="3"/>
  <c r="DH1038" i="3"/>
  <c r="DG1038" i="3"/>
  <c r="DF1038" i="3"/>
  <c r="DE1038" i="3"/>
  <c r="DD1038" i="3"/>
  <c r="DC1038" i="3"/>
  <c r="DB1038" i="3"/>
  <c r="DA1038" i="3"/>
  <c r="CZ1038" i="3"/>
  <c r="CY1038" i="3"/>
  <c r="CX1038" i="3"/>
  <c r="CW1038" i="3"/>
  <c r="CV1038" i="3"/>
  <c r="CU1038" i="3"/>
  <c r="CT1038" i="3"/>
  <c r="CS1038" i="3"/>
  <c r="CR1038" i="3"/>
  <c r="CQ1038" i="3"/>
  <c r="CP1038" i="3"/>
  <c r="CO1038" i="3"/>
  <c r="CN1038" i="3"/>
  <c r="CM1038" i="3"/>
  <c r="CL1038" i="3"/>
  <c r="CK1038" i="3"/>
  <c r="CJ1038" i="3"/>
  <c r="CI1038" i="3"/>
  <c r="CH1038" i="3"/>
  <c r="CG1038" i="3"/>
  <c r="CF1038" i="3"/>
  <c r="CE1038" i="3"/>
  <c r="CD1038" i="3"/>
  <c r="CC1038" i="3"/>
  <c r="CB1038" i="3"/>
  <c r="CA1038" i="3"/>
  <c r="BZ1038" i="3"/>
  <c r="BY1038" i="3"/>
  <c r="BX1038" i="3"/>
  <c r="BW1038" i="3"/>
  <c r="BV1038" i="3"/>
  <c r="BU1038" i="3"/>
  <c r="BT1038" i="3"/>
  <c r="BS1038" i="3"/>
  <c r="BR1038" i="3"/>
  <c r="BQ1038" i="3"/>
  <c r="BP1038" i="3"/>
  <c r="BO1038" i="3"/>
  <c r="BN1038" i="3"/>
  <c r="DU1037" i="3"/>
  <c r="DT1037" i="3"/>
  <c r="DS1037" i="3"/>
  <c r="DR1037" i="3"/>
  <c r="DQ1037" i="3"/>
  <c r="DP1037" i="3"/>
  <c r="DO1037" i="3"/>
  <c r="DN1037" i="3"/>
  <c r="DM1037" i="3"/>
  <c r="DL1037" i="3"/>
  <c r="DK1037" i="3"/>
  <c r="DJ1037" i="3"/>
  <c r="DI1037" i="3"/>
  <c r="DH1037" i="3"/>
  <c r="DG1037" i="3"/>
  <c r="DF1037" i="3"/>
  <c r="DE1037" i="3"/>
  <c r="DD1037" i="3"/>
  <c r="DC1037" i="3"/>
  <c r="DB1037" i="3"/>
  <c r="DA1037" i="3"/>
  <c r="CZ1037" i="3"/>
  <c r="CY1037" i="3"/>
  <c r="CX1037" i="3"/>
  <c r="CW1037" i="3"/>
  <c r="CV1037" i="3"/>
  <c r="CU1037" i="3"/>
  <c r="CT1037" i="3"/>
  <c r="CS1037" i="3"/>
  <c r="CR1037" i="3"/>
  <c r="CQ1037" i="3"/>
  <c r="CP1037" i="3"/>
  <c r="CO1037" i="3"/>
  <c r="CN1037" i="3"/>
  <c r="CM1037" i="3"/>
  <c r="CL1037" i="3"/>
  <c r="CK1037" i="3"/>
  <c r="CJ1037" i="3"/>
  <c r="CI1037" i="3"/>
  <c r="CH1037" i="3"/>
  <c r="CG1037" i="3"/>
  <c r="CF1037" i="3"/>
  <c r="CE1037" i="3"/>
  <c r="CD1037" i="3"/>
  <c r="CC1037" i="3"/>
  <c r="CB1037" i="3"/>
  <c r="CA1037" i="3"/>
  <c r="BZ1037" i="3"/>
  <c r="BY1037" i="3"/>
  <c r="BX1037" i="3"/>
  <c r="BW1037" i="3"/>
  <c r="BV1037" i="3"/>
  <c r="BU1037" i="3"/>
  <c r="BT1037" i="3"/>
  <c r="BS1037" i="3"/>
  <c r="BR1037" i="3"/>
  <c r="BQ1037" i="3"/>
  <c r="BP1037" i="3"/>
  <c r="BO1037" i="3"/>
  <c r="BN1037" i="3"/>
  <c r="DU1036" i="3"/>
  <c r="DT1036" i="3"/>
  <c r="DS1036" i="3"/>
  <c r="DR1036" i="3"/>
  <c r="DQ1036" i="3"/>
  <c r="DP1036" i="3"/>
  <c r="DO1036" i="3"/>
  <c r="DN1036" i="3"/>
  <c r="DM1036" i="3"/>
  <c r="DL1036" i="3"/>
  <c r="DK1036" i="3"/>
  <c r="DJ1036" i="3"/>
  <c r="DI1036" i="3"/>
  <c r="DH1036" i="3"/>
  <c r="DG1036" i="3"/>
  <c r="DF1036" i="3"/>
  <c r="DE1036" i="3"/>
  <c r="DD1036" i="3"/>
  <c r="DC1036" i="3"/>
  <c r="DB1036" i="3"/>
  <c r="DA1036" i="3"/>
  <c r="CZ1036" i="3"/>
  <c r="CY1036" i="3"/>
  <c r="CX1036" i="3"/>
  <c r="CW1036" i="3"/>
  <c r="CV1036" i="3"/>
  <c r="CU1036" i="3"/>
  <c r="CT1036" i="3"/>
  <c r="CS1036" i="3"/>
  <c r="CR1036" i="3"/>
  <c r="CQ1036" i="3"/>
  <c r="CP1036" i="3"/>
  <c r="CO1036" i="3"/>
  <c r="CN1036" i="3"/>
  <c r="CM1036" i="3"/>
  <c r="CL1036" i="3"/>
  <c r="CK1036" i="3"/>
  <c r="CJ1036" i="3"/>
  <c r="CI1036" i="3"/>
  <c r="CH1036" i="3"/>
  <c r="CG1036" i="3"/>
  <c r="CF1036" i="3"/>
  <c r="CE1036" i="3"/>
  <c r="CD1036" i="3"/>
  <c r="CC1036" i="3"/>
  <c r="CB1036" i="3"/>
  <c r="CA1036" i="3"/>
  <c r="BZ1036" i="3"/>
  <c r="BY1036" i="3"/>
  <c r="BX1036" i="3"/>
  <c r="BW1036" i="3"/>
  <c r="BV1036" i="3"/>
  <c r="BU1036" i="3"/>
  <c r="BT1036" i="3"/>
  <c r="BS1036" i="3"/>
  <c r="BR1036" i="3"/>
  <c r="BQ1036" i="3"/>
  <c r="BP1036" i="3"/>
  <c r="BO1036" i="3"/>
  <c r="BN1036" i="3"/>
  <c r="DU1035" i="3"/>
  <c r="DT1035" i="3"/>
  <c r="DS1035" i="3"/>
  <c r="DR1035" i="3"/>
  <c r="DQ1035" i="3"/>
  <c r="DP1035" i="3"/>
  <c r="DO1035" i="3"/>
  <c r="DN1035" i="3"/>
  <c r="DM1035" i="3"/>
  <c r="DL1035" i="3"/>
  <c r="DK1035" i="3"/>
  <c r="DJ1035" i="3"/>
  <c r="DI1035" i="3"/>
  <c r="DH1035" i="3"/>
  <c r="DG1035" i="3"/>
  <c r="DF1035" i="3"/>
  <c r="DE1035" i="3"/>
  <c r="DD1035" i="3"/>
  <c r="DC1035" i="3"/>
  <c r="DB1035" i="3"/>
  <c r="DA1035" i="3"/>
  <c r="CZ1035" i="3"/>
  <c r="CY1035" i="3"/>
  <c r="CX1035" i="3"/>
  <c r="CW1035" i="3"/>
  <c r="CV1035" i="3"/>
  <c r="CU1035" i="3"/>
  <c r="CT1035" i="3"/>
  <c r="CS1035" i="3"/>
  <c r="CR1035" i="3"/>
  <c r="CQ1035" i="3"/>
  <c r="CP1035" i="3"/>
  <c r="CO1035" i="3"/>
  <c r="CN1035" i="3"/>
  <c r="CM1035" i="3"/>
  <c r="CL1035" i="3"/>
  <c r="CK1035" i="3"/>
  <c r="CJ1035" i="3"/>
  <c r="CI1035" i="3"/>
  <c r="CH1035" i="3"/>
  <c r="CG1035" i="3"/>
  <c r="CF1035" i="3"/>
  <c r="CE1035" i="3"/>
  <c r="CD1035" i="3"/>
  <c r="CC1035" i="3"/>
  <c r="CB1035" i="3"/>
  <c r="CA1035" i="3"/>
  <c r="BZ1035" i="3"/>
  <c r="BY1035" i="3"/>
  <c r="BX1035" i="3"/>
  <c r="BW1035" i="3"/>
  <c r="BV1035" i="3"/>
  <c r="BU1035" i="3"/>
  <c r="BT1035" i="3"/>
  <c r="BS1035" i="3"/>
  <c r="BR1035" i="3"/>
  <c r="BQ1035" i="3"/>
  <c r="BP1035" i="3"/>
  <c r="BO1035" i="3"/>
  <c r="BN1035" i="3"/>
  <c r="DU1034" i="3"/>
  <c r="DT1034" i="3"/>
  <c r="DS1034" i="3"/>
  <c r="DR1034" i="3"/>
  <c r="DQ1034" i="3"/>
  <c r="DP1034" i="3"/>
  <c r="DO1034" i="3"/>
  <c r="DN1034" i="3"/>
  <c r="DM1034" i="3"/>
  <c r="DL1034" i="3"/>
  <c r="DK1034" i="3"/>
  <c r="DJ1034" i="3"/>
  <c r="DI1034" i="3"/>
  <c r="DH1034" i="3"/>
  <c r="DG1034" i="3"/>
  <c r="DF1034" i="3"/>
  <c r="DE1034" i="3"/>
  <c r="DD1034" i="3"/>
  <c r="DC1034" i="3"/>
  <c r="DB1034" i="3"/>
  <c r="DA1034" i="3"/>
  <c r="CZ1034" i="3"/>
  <c r="CY1034" i="3"/>
  <c r="CX1034" i="3"/>
  <c r="CW1034" i="3"/>
  <c r="CV1034" i="3"/>
  <c r="CU1034" i="3"/>
  <c r="CT1034" i="3"/>
  <c r="CS1034" i="3"/>
  <c r="CR1034" i="3"/>
  <c r="CQ1034" i="3"/>
  <c r="CP1034" i="3"/>
  <c r="CO1034" i="3"/>
  <c r="CN1034" i="3"/>
  <c r="CM1034" i="3"/>
  <c r="CL1034" i="3"/>
  <c r="CK1034" i="3"/>
  <c r="CJ1034" i="3"/>
  <c r="CI1034" i="3"/>
  <c r="CH1034" i="3"/>
  <c r="CG1034" i="3"/>
  <c r="CF1034" i="3"/>
  <c r="CE1034" i="3"/>
  <c r="CD1034" i="3"/>
  <c r="CC1034" i="3"/>
  <c r="CB1034" i="3"/>
  <c r="CA1034" i="3"/>
  <c r="BZ1034" i="3"/>
  <c r="BY1034" i="3"/>
  <c r="BX1034" i="3"/>
  <c r="BW1034" i="3"/>
  <c r="BV1034" i="3"/>
  <c r="BU1034" i="3"/>
  <c r="BT1034" i="3"/>
  <c r="BS1034" i="3"/>
  <c r="BR1034" i="3"/>
  <c r="BQ1034" i="3"/>
  <c r="BP1034" i="3"/>
  <c r="BO1034" i="3"/>
  <c r="BN1034" i="3"/>
  <c r="DU1033" i="3"/>
  <c r="DT1033" i="3"/>
  <c r="DS1033" i="3"/>
  <c r="DR1033" i="3"/>
  <c r="DQ1033" i="3"/>
  <c r="DP1033" i="3"/>
  <c r="DO1033" i="3"/>
  <c r="DN1033" i="3"/>
  <c r="DM1033" i="3"/>
  <c r="DL1033" i="3"/>
  <c r="DK1033" i="3"/>
  <c r="DJ1033" i="3"/>
  <c r="DI1033" i="3"/>
  <c r="DH1033" i="3"/>
  <c r="DG1033" i="3"/>
  <c r="DF1033" i="3"/>
  <c r="DE1033" i="3"/>
  <c r="DD1033" i="3"/>
  <c r="DC1033" i="3"/>
  <c r="DB1033" i="3"/>
  <c r="DA1033" i="3"/>
  <c r="CZ1033" i="3"/>
  <c r="CY1033" i="3"/>
  <c r="CX1033" i="3"/>
  <c r="CW1033" i="3"/>
  <c r="CV1033" i="3"/>
  <c r="CU1033" i="3"/>
  <c r="CT1033" i="3"/>
  <c r="CS1033" i="3"/>
  <c r="CR1033" i="3"/>
  <c r="CQ1033" i="3"/>
  <c r="CP1033" i="3"/>
  <c r="CO1033" i="3"/>
  <c r="CN1033" i="3"/>
  <c r="CM1033" i="3"/>
  <c r="CL1033" i="3"/>
  <c r="CK1033" i="3"/>
  <c r="CJ1033" i="3"/>
  <c r="CI1033" i="3"/>
  <c r="CH1033" i="3"/>
  <c r="CG1033" i="3"/>
  <c r="CF1033" i="3"/>
  <c r="CE1033" i="3"/>
  <c r="CD1033" i="3"/>
  <c r="CC1033" i="3"/>
  <c r="CB1033" i="3"/>
  <c r="CA1033" i="3"/>
  <c r="BZ1033" i="3"/>
  <c r="BY1033" i="3"/>
  <c r="BX1033" i="3"/>
  <c r="BW1033" i="3"/>
  <c r="BV1033" i="3"/>
  <c r="BU1033" i="3"/>
  <c r="BT1033" i="3"/>
  <c r="BS1033" i="3"/>
  <c r="BR1033" i="3"/>
  <c r="BQ1033" i="3"/>
  <c r="BP1033" i="3"/>
  <c r="BO1033" i="3"/>
  <c r="BN1033" i="3"/>
  <c r="DU1032" i="3"/>
  <c r="DT1032" i="3"/>
  <c r="DS1032" i="3"/>
  <c r="DR1032" i="3"/>
  <c r="DQ1032" i="3"/>
  <c r="DP1032" i="3"/>
  <c r="DO1032" i="3"/>
  <c r="DN1032" i="3"/>
  <c r="DM1032" i="3"/>
  <c r="DL1032" i="3"/>
  <c r="DK1032" i="3"/>
  <c r="DJ1032" i="3"/>
  <c r="DI1032" i="3"/>
  <c r="DH1032" i="3"/>
  <c r="DG1032" i="3"/>
  <c r="DF1032" i="3"/>
  <c r="DE1032" i="3"/>
  <c r="DD1032" i="3"/>
  <c r="DC1032" i="3"/>
  <c r="DB1032" i="3"/>
  <c r="DA1032" i="3"/>
  <c r="CZ1032" i="3"/>
  <c r="CY1032" i="3"/>
  <c r="CX1032" i="3"/>
  <c r="CW1032" i="3"/>
  <c r="CV1032" i="3"/>
  <c r="CU1032" i="3"/>
  <c r="CT1032" i="3"/>
  <c r="CS1032" i="3"/>
  <c r="CR1032" i="3"/>
  <c r="CQ1032" i="3"/>
  <c r="CP1032" i="3"/>
  <c r="CO1032" i="3"/>
  <c r="CN1032" i="3"/>
  <c r="CM1032" i="3"/>
  <c r="CL1032" i="3"/>
  <c r="CK1032" i="3"/>
  <c r="CJ1032" i="3"/>
  <c r="CI1032" i="3"/>
  <c r="CH1032" i="3"/>
  <c r="CG1032" i="3"/>
  <c r="CF1032" i="3"/>
  <c r="CE1032" i="3"/>
  <c r="CD1032" i="3"/>
  <c r="CC1032" i="3"/>
  <c r="CB1032" i="3"/>
  <c r="CA1032" i="3"/>
  <c r="BZ1032" i="3"/>
  <c r="BY1032" i="3"/>
  <c r="BX1032" i="3"/>
  <c r="BW1032" i="3"/>
  <c r="BV1032" i="3"/>
  <c r="BU1032" i="3"/>
  <c r="BT1032" i="3"/>
  <c r="BS1032" i="3"/>
  <c r="BR1032" i="3"/>
  <c r="BQ1032" i="3"/>
  <c r="BP1032" i="3"/>
  <c r="BO1032" i="3"/>
  <c r="BN1032" i="3"/>
  <c r="DU1031" i="3"/>
  <c r="DT1031" i="3"/>
  <c r="DS1031" i="3"/>
  <c r="DR1031" i="3"/>
  <c r="DQ1031" i="3"/>
  <c r="DP1031" i="3"/>
  <c r="DO1031" i="3"/>
  <c r="DN1031" i="3"/>
  <c r="DM1031" i="3"/>
  <c r="DL1031" i="3"/>
  <c r="DK1031" i="3"/>
  <c r="DJ1031" i="3"/>
  <c r="DI1031" i="3"/>
  <c r="DH1031" i="3"/>
  <c r="DG1031" i="3"/>
  <c r="DF1031" i="3"/>
  <c r="DE1031" i="3"/>
  <c r="DD1031" i="3"/>
  <c r="DC1031" i="3"/>
  <c r="DB1031" i="3"/>
  <c r="DA1031" i="3"/>
  <c r="CZ1031" i="3"/>
  <c r="CY1031" i="3"/>
  <c r="CX1031" i="3"/>
  <c r="CW1031" i="3"/>
  <c r="CV1031" i="3"/>
  <c r="CU1031" i="3"/>
  <c r="CT1031" i="3"/>
  <c r="CS1031" i="3"/>
  <c r="CR1031" i="3"/>
  <c r="CQ1031" i="3"/>
  <c r="CP1031" i="3"/>
  <c r="CO1031" i="3"/>
  <c r="CN1031" i="3"/>
  <c r="CM1031" i="3"/>
  <c r="CL1031" i="3"/>
  <c r="CK1031" i="3"/>
  <c r="CJ1031" i="3"/>
  <c r="CI1031" i="3"/>
  <c r="CH1031" i="3"/>
  <c r="CG1031" i="3"/>
  <c r="CF1031" i="3"/>
  <c r="CE1031" i="3"/>
  <c r="CD1031" i="3"/>
  <c r="CC1031" i="3"/>
  <c r="CB1031" i="3"/>
  <c r="CA1031" i="3"/>
  <c r="BZ1031" i="3"/>
  <c r="BY1031" i="3"/>
  <c r="BX1031" i="3"/>
  <c r="BW1031" i="3"/>
  <c r="BV1031" i="3"/>
  <c r="BU1031" i="3"/>
  <c r="BT1031" i="3"/>
  <c r="BS1031" i="3"/>
  <c r="BR1031" i="3"/>
  <c r="BQ1031" i="3"/>
  <c r="BP1031" i="3"/>
  <c r="BO1031" i="3"/>
  <c r="BN1031" i="3"/>
  <c r="DU1030" i="3"/>
  <c r="DT1030" i="3"/>
  <c r="DS1030" i="3"/>
  <c r="DR1030" i="3"/>
  <c r="DQ1030" i="3"/>
  <c r="DP1030" i="3"/>
  <c r="DO1030" i="3"/>
  <c r="DN1030" i="3"/>
  <c r="DM1030" i="3"/>
  <c r="DL1030" i="3"/>
  <c r="DK1030" i="3"/>
  <c r="DJ1030" i="3"/>
  <c r="DI1030" i="3"/>
  <c r="DH1030" i="3"/>
  <c r="DG1030" i="3"/>
  <c r="DF1030" i="3"/>
  <c r="DE1030" i="3"/>
  <c r="DD1030" i="3"/>
  <c r="DC1030" i="3"/>
  <c r="DB1030" i="3"/>
  <c r="DA1030" i="3"/>
  <c r="CZ1030" i="3"/>
  <c r="CY1030" i="3"/>
  <c r="CX1030" i="3"/>
  <c r="CW1030" i="3"/>
  <c r="CV1030" i="3"/>
  <c r="CU1030" i="3"/>
  <c r="CT1030" i="3"/>
  <c r="CS1030" i="3"/>
  <c r="CR1030" i="3"/>
  <c r="CQ1030" i="3"/>
  <c r="CP1030" i="3"/>
  <c r="CO1030" i="3"/>
  <c r="CN1030" i="3"/>
  <c r="CM1030" i="3"/>
  <c r="CL1030" i="3"/>
  <c r="CK1030" i="3"/>
  <c r="CJ1030" i="3"/>
  <c r="CI1030" i="3"/>
  <c r="CH1030" i="3"/>
  <c r="CG1030" i="3"/>
  <c r="CF1030" i="3"/>
  <c r="CE1030" i="3"/>
  <c r="CD1030" i="3"/>
  <c r="CC1030" i="3"/>
  <c r="CB1030" i="3"/>
  <c r="CA1030" i="3"/>
  <c r="BZ1030" i="3"/>
  <c r="BY1030" i="3"/>
  <c r="BX1030" i="3"/>
  <c r="BW1030" i="3"/>
  <c r="BV1030" i="3"/>
  <c r="BU1030" i="3"/>
  <c r="BT1030" i="3"/>
  <c r="BS1030" i="3"/>
  <c r="BR1030" i="3"/>
  <c r="BQ1030" i="3"/>
  <c r="BP1030" i="3"/>
  <c r="BO1030" i="3"/>
  <c r="BN1030" i="3"/>
  <c r="DU1029" i="3"/>
  <c r="DT1029" i="3"/>
  <c r="DS1029" i="3"/>
  <c r="DR1029" i="3"/>
  <c r="DQ1029" i="3"/>
  <c r="DP1029" i="3"/>
  <c r="DO1029" i="3"/>
  <c r="DN1029" i="3"/>
  <c r="DM1029" i="3"/>
  <c r="DL1029" i="3"/>
  <c r="DK1029" i="3"/>
  <c r="DJ1029" i="3"/>
  <c r="DI1029" i="3"/>
  <c r="DH1029" i="3"/>
  <c r="DG1029" i="3"/>
  <c r="DF1029" i="3"/>
  <c r="DE1029" i="3"/>
  <c r="DD1029" i="3"/>
  <c r="DC1029" i="3"/>
  <c r="DB1029" i="3"/>
  <c r="DA1029" i="3"/>
  <c r="CZ1029" i="3"/>
  <c r="CY1029" i="3"/>
  <c r="CX1029" i="3"/>
  <c r="CW1029" i="3"/>
  <c r="CV1029" i="3"/>
  <c r="CU1029" i="3"/>
  <c r="CT1029" i="3"/>
  <c r="CS1029" i="3"/>
  <c r="CR1029" i="3"/>
  <c r="CQ1029" i="3"/>
  <c r="CP1029" i="3"/>
  <c r="CO1029" i="3"/>
  <c r="CN1029" i="3"/>
  <c r="CM1029" i="3"/>
  <c r="CL1029" i="3"/>
  <c r="CK1029" i="3"/>
  <c r="CJ1029" i="3"/>
  <c r="CI1029" i="3"/>
  <c r="CH1029" i="3"/>
  <c r="CG1029" i="3"/>
  <c r="CF1029" i="3"/>
  <c r="CE1029" i="3"/>
  <c r="CD1029" i="3"/>
  <c r="CC1029" i="3"/>
  <c r="CB1029" i="3"/>
  <c r="CA1029" i="3"/>
  <c r="BZ1029" i="3"/>
  <c r="BY1029" i="3"/>
  <c r="BX1029" i="3"/>
  <c r="BW1029" i="3"/>
  <c r="BV1029" i="3"/>
  <c r="BU1029" i="3"/>
  <c r="BT1029" i="3"/>
  <c r="BS1029" i="3"/>
  <c r="BR1029" i="3"/>
  <c r="BQ1029" i="3"/>
  <c r="BP1029" i="3"/>
  <c r="BO1029" i="3"/>
  <c r="BN1029" i="3"/>
  <c r="DU1028" i="3"/>
  <c r="DT1028" i="3"/>
  <c r="DS1028" i="3"/>
  <c r="DR1028" i="3"/>
  <c r="DQ1028" i="3"/>
  <c r="DP1028" i="3"/>
  <c r="DO1028" i="3"/>
  <c r="DN1028" i="3"/>
  <c r="DM1028" i="3"/>
  <c r="DL1028" i="3"/>
  <c r="DK1028" i="3"/>
  <c r="DJ1028" i="3"/>
  <c r="DI1028" i="3"/>
  <c r="DH1028" i="3"/>
  <c r="DG1028" i="3"/>
  <c r="DF1028" i="3"/>
  <c r="DE1028" i="3"/>
  <c r="DD1028" i="3"/>
  <c r="DC1028" i="3"/>
  <c r="DB1028" i="3"/>
  <c r="DA1028" i="3"/>
  <c r="CZ1028" i="3"/>
  <c r="CY1028" i="3"/>
  <c r="CX1028" i="3"/>
  <c r="CW1028" i="3"/>
  <c r="CV1028" i="3"/>
  <c r="CU1028" i="3"/>
  <c r="CT1028" i="3"/>
  <c r="CS1028" i="3"/>
  <c r="CR1028" i="3"/>
  <c r="CQ1028" i="3"/>
  <c r="CP1028" i="3"/>
  <c r="CO1028" i="3"/>
  <c r="CN1028" i="3"/>
  <c r="CM1028" i="3"/>
  <c r="CL1028" i="3"/>
  <c r="CK1028" i="3"/>
  <c r="CJ1028" i="3"/>
  <c r="CI1028" i="3"/>
  <c r="CH1028" i="3"/>
  <c r="CG1028" i="3"/>
  <c r="CF1028" i="3"/>
  <c r="CE1028" i="3"/>
  <c r="CD1028" i="3"/>
  <c r="CC1028" i="3"/>
  <c r="CB1028" i="3"/>
  <c r="CA1028" i="3"/>
  <c r="BZ1028" i="3"/>
  <c r="BY1028" i="3"/>
  <c r="BX1028" i="3"/>
  <c r="BW1028" i="3"/>
  <c r="BV1028" i="3"/>
  <c r="BU1028" i="3"/>
  <c r="BT1028" i="3"/>
  <c r="BS1028" i="3"/>
  <c r="BR1028" i="3"/>
  <c r="BQ1028" i="3"/>
  <c r="BP1028" i="3"/>
  <c r="BO1028" i="3"/>
  <c r="BN1028" i="3"/>
  <c r="DU1027" i="3"/>
  <c r="DT1027" i="3"/>
  <c r="DS1027" i="3"/>
  <c r="DR1027" i="3"/>
  <c r="DQ1027" i="3"/>
  <c r="DP1027" i="3"/>
  <c r="DO1027" i="3"/>
  <c r="DN1027" i="3"/>
  <c r="DM1027" i="3"/>
  <c r="DL1027" i="3"/>
  <c r="DK1027" i="3"/>
  <c r="DJ1027" i="3"/>
  <c r="DI1027" i="3"/>
  <c r="DH1027" i="3"/>
  <c r="DG1027" i="3"/>
  <c r="DF1027" i="3"/>
  <c r="DE1027" i="3"/>
  <c r="DD1027" i="3"/>
  <c r="DC1027" i="3"/>
  <c r="DB1027" i="3"/>
  <c r="DA1027" i="3"/>
  <c r="CZ1027" i="3"/>
  <c r="CY1027" i="3"/>
  <c r="CX1027" i="3"/>
  <c r="CW1027" i="3"/>
  <c r="CV1027" i="3"/>
  <c r="CU1027" i="3"/>
  <c r="CT1027" i="3"/>
  <c r="CS1027" i="3"/>
  <c r="CR1027" i="3"/>
  <c r="CQ1027" i="3"/>
  <c r="CP1027" i="3"/>
  <c r="CO1027" i="3"/>
  <c r="CN1027" i="3"/>
  <c r="CM1027" i="3"/>
  <c r="CL1027" i="3"/>
  <c r="CK1027" i="3"/>
  <c r="CJ1027" i="3"/>
  <c r="CI1027" i="3"/>
  <c r="CH1027" i="3"/>
  <c r="CG1027" i="3"/>
  <c r="CF1027" i="3"/>
  <c r="CE1027" i="3"/>
  <c r="CD1027" i="3"/>
  <c r="CC1027" i="3"/>
  <c r="CB1027" i="3"/>
  <c r="CA1027" i="3"/>
  <c r="BZ1027" i="3"/>
  <c r="BY1027" i="3"/>
  <c r="BX1027" i="3"/>
  <c r="BW1027" i="3"/>
  <c r="BV1027" i="3"/>
  <c r="BU1027" i="3"/>
  <c r="BT1027" i="3"/>
  <c r="BS1027" i="3"/>
  <c r="BR1027" i="3"/>
  <c r="BQ1027" i="3"/>
  <c r="BP1027" i="3"/>
  <c r="BO1027" i="3"/>
  <c r="BN1027" i="3"/>
  <c r="DU1026" i="3"/>
  <c r="DT1026" i="3"/>
  <c r="DS1026" i="3"/>
  <c r="DR1026" i="3"/>
  <c r="DQ1026" i="3"/>
  <c r="DP1026" i="3"/>
  <c r="DO1026" i="3"/>
  <c r="DN1026" i="3"/>
  <c r="DM1026" i="3"/>
  <c r="DL1026" i="3"/>
  <c r="DK1026" i="3"/>
  <c r="DJ1026" i="3"/>
  <c r="DI1026" i="3"/>
  <c r="DH1026" i="3"/>
  <c r="DG1026" i="3"/>
  <c r="DF1026" i="3"/>
  <c r="DE1026" i="3"/>
  <c r="DD1026" i="3"/>
  <c r="DC1026" i="3"/>
  <c r="DB1026" i="3"/>
  <c r="DA1026" i="3"/>
  <c r="CZ1026" i="3"/>
  <c r="CY1026" i="3"/>
  <c r="CX1026" i="3"/>
  <c r="CW1026" i="3"/>
  <c r="CV1026" i="3"/>
  <c r="CU1026" i="3"/>
  <c r="CT1026" i="3"/>
  <c r="CS1026" i="3"/>
  <c r="CR1026" i="3"/>
  <c r="CQ1026" i="3"/>
  <c r="CP1026" i="3"/>
  <c r="CO1026" i="3"/>
  <c r="CN1026" i="3"/>
  <c r="CM1026" i="3"/>
  <c r="CL1026" i="3"/>
  <c r="CK1026" i="3"/>
  <c r="CJ1026" i="3"/>
  <c r="CI1026" i="3"/>
  <c r="CH1026" i="3"/>
  <c r="CG1026" i="3"/>
  <c r="CF1026" i="3"/>
  <c r="CE1026" i="3"/>
  <c r="CD1026" i="3"/>
  <c r="CC1026" i="3"/>
  <c r="CB1026" i="3"/>
  <c r="CA1026" i="3"/>
  <c r="BZ1026" i="3"/>
  <c r="BY1026" i="3"/>
  <c r="BX1026" i="3"/>
  <c r="BW1026" i="3"/>
  <c r="BV1026" i="3"/>
  <c r="BU1026" i="3"/>
  <c r="BT1026" i="3"/>
  <c r="BS1026" i="3"/>
  <c r="BR1026" i="3"/>
  <c r="BQ1026" i="3"/>
  <c r="BP1026" i="3"/>
  <c r="BO1026" i="3"/>
  <c r="BN1026" i="3"/>
  <c r="DU1025" i="3"/>
  <c r="DT1025" i="3"/>
  <c r="DS1025" i="3"/>
  <c r="DR1025" i="3"/>
  <c r="DQ1025" i="3"/>
  <c r="DP1025" i="3"/>
  <c r="DO1025" i="3"/>
  <c r="DN1025" i="3"/>
  <c r="DM1025" i="3"/>
  <c r="DL1025" i="3"/>
  <c r="DK1025" i="3"/>
  <c r="DJ1025" i="3"/>
  <c r="DI1025" i="3"/>
  <c r="DH1025" i="3"/>
  <c r="DG1025" i="3"/>
  <c r="DF1025" i="3"/>
  <c r="DE1025" i="3"/>
  <c r="DD1025" i="3"/>
  <c r="DC1025" i="3"/>
  <c r="DB1025" i="3"/>
  <c r="DA1025" i="3"/>
  <c r="CZ1025" i="3"/>
  <c r="CY1025" i="3"/>
  <c r="CX1025" i="3"/>
  <c r="CW1025" i="3"/>
  <c r="CV1025" i="3"/>
  <c r="CU1025" i="3"/>
  <c r="CT1025" i="3"/>
  <c r="CS1025" i="3"/>
  <c r="CR1025" i="3"/>
  <c r="CQ1025" i="3"/>
  <c r="CP1025" i="3"/>
  <c r="CO1025" i="3"/>
  <c r="CN1025" i="3"/>
  <c r="CM1025" i="3"/>
  <c r="CL1025" i="3"/>
  <c r="CK1025" i="3"/>
  <c r="CJ1025" i="3"/>
  <c r="CI1025" i="3"/>
  <c r="CH1025" i="3"/>
  <c r="CG1025" i="3"/>
  <c r="CF1025" i="3"/>
  <c r="CE1025" i="3"/>
  <c r="CD1025" i="3"/>
  <c r="CC1025" i="3"/>
  <c r="CB1025" i="3"/>
  <c r="CA1025" i="3"/>
  <c r="BZ1025" i="3"/>
  <c r="BY1025" i="3"/>
  <c r="BX1025" i="3"/>
  <c r="BW1025" i="3"/>
  <c r="BV1025" i="3"/>
  <c r="BU1025" i="3"/>
  <c r="BT1025" i="3"/>
  <c r="BS1025" i="3"/>
  <c r="BR1025" i="3"/>
  <c r="BQ1025" i="3"/>
  <c r="BP1025" i="3"/>
  <c r="BO1025" i="3"/>
  <c r="BN1025" i="3"/>
  <c r="DU1024" i="3"/>
  <c r="DT1024" i="3"/>
  <c r="DS1024" i="3"/>
  <c r="DR1024" i="3"/>
  <c r="DQ1024" i="3"/>
  <c r="DP1024" i="3"/>
  <c r="DO1024" i="3"/>
  <c r="DN1024" i="3"/>
  <c r="DM1024" i="3"/>
  <c r="DL1024" i="3"/>
  <c r="DK1024" i="3"/>
  <c r="DJ1024" i="3"/>
  <c r="DI1024" i="3"/>
  <c r="DH1024" i="3"/>
  <c r="DG1024" i="3"/>
  <c r="DF1024" i="3"/>
  <c r="DE1024" i="3"/>
  <c r="DD1024" i="3"/>
  <c r="DC1024" i="3"/>
  <c r="DB1024" i="3"/>
  <c r="DA1024" i="3"/>
  <c r="CZ1024" i="3"/>
  <c r="CY1024" i="3"/>
  <c r="CX1024" i="3"/>
  <c r="CW1024" i="3"/>
  <c r="CV1024" i="3"/>
  <c r="CU1024" i="3"/>
  <c r="CT1024" i="3"/>
  <c r="CS1024" i="3"/>
  <c r="CR1024" i="3"/>
  <c r="CQ1024" i="3"/>
  <c r="CP1024" i="3"/>
  <c r="CO1024" i="3"/>
  <c r="CN1024" i="3"/>
  <c r="CM1024" i="3"/>
  <c r="CL1024" i="3"/>
  <c r="CK1024" i="3"/>
  <c r="CJ1024" i="3"/>
  <c r="CI1024" i="3"/>
  <c r="CH1024" i="3"/>
  <c r="CG1024" i="3"/>
  <c r="CF1024" i="3"/>
  <c r="CE1024" i="3"/>
  <c r="CD1024" i="3"/>
  <c r="CC1024" i="3"/>
  <c r="CB1024" i="3"/>
  <c r="CA1024" i="3"/>
  <c r="BZ1024" i="3"/>
  <c r="BY1024" i="3"/>
  <c r="BX1024" i="3"/>
  <c r="BW1024" i="3"/>
  <c r="BV1024" i="3"/>
  <c r="BU1024" i="3"/>
  <c r="BT1024" i="3"/>
  <c r="BS1024" i="3"/>
  <c r="BR1024" i="3"/>
  <c r="BQ1024" i="3"/>
  <c r="BP1024" i="3"/>
  <c r="BO1024" i="3"/>
  <c r="BN1024" i="3"/>
  <c r="DU1023" i="3"/>
  <c r="DT1023" i="3"/>
  <c r="DS1023" i="3"/>
  <c r="DR1023" i="3"/>
  <c r="DQ1023" i="3"/>
  <c r="DP1023" i="3"/>
  <c r="DO1023" i="3"/>
  <c r="DN1023" i="3"/>
  <c r="DM1023" i="3"/>
  <c r="DL1023" i="3"/>
  <c r="DK1023" i="3"/>
  <c r="DJ1023" i="3"/>
  <c r="DI1023" i="3"/>
  <c r="DH1023" i="3"/>
  <c r="DG1023" i="3"/>
  <c r="DF1023" i="3"/>
  <c r="DE1023" i="3"/>
  <c r="DD1023" i="3"/>
  <c r="DC1023" i="3"/>
  <c r="DB1023" i="3"/>
  <c r="DA1023" i="3"/>
  <c r="CZ1023" i="3"/>
  <c r="CY1023" i="3"/>
  <c r="CX1023" i="3"/>
  <c r="CW1023" i="3"/>
  <c r="CV1023" i="3"/>
  <c r="CU1023" i="3"/>
  <c r="CT1023" i="3"/>
  <c r="CS1023" i="3"/>
  <c r="CR1023" i="3"/>
  <c r="CQ1023" i="3"/>
  <c r="CP1023" i="3"/>
  <c r="CO1023" i="3"/>
  <c r="CN1023" i="3"/>
  <c r="CM1023" i="3"/>
  <c r="CL1023" i="3"/>
  <c r="CK1023" i="3"/>
  <c r="CJ1023" i="3"/>
  <c r="CI1023" i="3"/>
  <c r="CH1023" i="3"/>
  <c r="CG1023" i="3"/>
  <c r="CF1023" i="3"/>
  <c r="CE1023" i="3"/>
  <c r="CD1023" i="3"/>
  <c r="CC1023" i="3"/>
  <c r="CB1023" i="3"/>
  <c r="CA1023" i="3"/>
  <c r="BZ1023" i="3"/>
  <c r="BY1023" i="3"/>
  <c r="BX1023" i="3"/>
  <c r="BW1023" i="3"/>
  <c r="BV1023" i="3"/>
  <c r="BU1023" i="3"/>
  <c r="BT1023" i="3"/>
  <c r="BS1023" i="3"/>
  <c r="BR1023" i="3"/>
  <c r="BQ1023" i="3"/>
  <c r="BP1023" i="3"/>
  <c r="BO1023" i="3"/>
  <c r="BN1023" i="3"/>
  <c r="DU1022" i="3"/>
  <c r="DT1022" i="3"/>
  <c r="DS1022" i="3"/>
  <c r="DR1022" i="3"/>
  <c r="DQ1022" i="3"/>
  <c r="DP1022" i="3"/>
  <c r="DO1022" i="3"/>
  <c r="DN1022" i="3"/>
  <c r="DM1022" i="3"/>
  <c r="DL1022" i="3"/>
  <c r="DK1022" i="3"/>
  <c r="DJ1022" i="3"/>
  <c r="DI1022" i="3"/>
  <c r="DH1022" i="3"/>
  <c r="DG1022" i="3"/>
  <c r="DF1022" i="3"/>
  <c r="DE1022" i="3"/>
  <c r="DD1022" i="3"/>
  <c r="DC1022" i="3"/>
  <c r="DB1022" i="3"/>
  <c r="DA1022" i="3"/>
  <c r="CZ1022" i="3"/>
  <c r="CY1022" i="3"/>
  <c r="CX1022" i="3"/>
  <c r="CW1022" i="3"/>
  <c r="CV1022" i="3"/>
  <c r="CU1022" i="3"/>
  <c r="CT1022" i="3"/>
  <c r="CS1022" i="3"/>
  <c r="CR1022" i="3"/>
  <c r="CQ1022" i="3"/>
  <c r="CP1022" i="3"/>
  <c r="CO1022" i="3"/>
  <c r="CN1022" i="3"/>
  <c r="CM1022" i="3"/>
  <c r="CL1022" i="3"/>
  <c r="CK1022" i="3"/>
  <c r="CJ1022" i="3"/>
  <c r="CI1022" i="3"/>
  <c r="CH1022" i="3"/>
  <c r="CG1022" i="3"/>
  <c r="CF1022" i="3"/>
  <c r="CE1022" i="3"/>
  <c r="CD1022" i="3"/>
  <c r="CC1022" i="3"/>
  <c r="CB1022" i="3"/>
  <c r="CA1022" i="3"/>
  <c r="BZ1022" i="3"/>
  <c r="BY1022" i="3"/>
  <c r="BX1022" i="3"/>
  <c r="BW1022" i="3"/>
  <c r="BV1022" i="3"/>
  <c r="BU1022" i="3"/>
  <c r="BT1022" i="3"/>
  <c r="BS1022" i="3"/>
  <c r="BR1022" i="3"/>
  <c r="BQ1022" i="3"/>
  <c r="BP1022" i="3"/>
  <c r="BO1022" i="3"/>
  <c r="BN1022" i="3"/>
  <c r="DU1021" i="3"/>
  <c r="DT1021" i="3"/>
  <c r="DS1021" i="3"/>
  <c r="DR1021" i="3"/>
  <c r="DQ1021" i="3"/>
  <c r="DP1021" i="3"/>
  <c r="DO1021" i="3"/>
  <c r="DN1021" i="3"/>
  <c r="DM1021" i="3"/>
  <c r="DL1021" i="3"/>
  <c r="DK1021" i="3"/>
  <c r="DJ1021" i="3"/>
  <c r="DI1021" i="3"/>
  <c r="DH1021" i="3"/>
  <c r="DG1021" i="3"/>
  <c r="DF1021" i="3"/>
  <c r="DE1021" i="3"/>
  <c r="DD1021" i="3"/>
  <c r="DC1021" i="3"/>
  <c r="DB1021" i="3"/>
  <c r="DA1021" i="3"/>
  <c r="CZ1021" i="3"/>
  <c r="CY1021" i="3"/>
  <c r="CX1021" i="3"/>
  <c r="CW1021" i="3"/>
  <c r="CV1021" i="3"/>
  <c r="CU1021" i="3"/>
  <c r="CT1021" i="3"/>
  <c r="CS1021" i="3"/>
  <c r="CR1021" i="3"/>
  <c r="CQ1021" i="3"/>
  <c r="CP1021" i="3"/>
  <c r="CO1021" i="3"/>
  <c r="CN1021" i="3"/>
  <c r="CM1021" i="3"/>
  <c r="CL1021" i="3"/>
  <c r="CK1021" i="3"/>
  <c r="CJ1021" i="3"/>
  <c r="CI1021" i="3"/>
  <c r="CH1021" i="3"/>
  <c r="CG1021" i="3"/>
  <c r="CF1021" i="3"/>
  <c r="CE1021" i="3"/>
  <c r="CD1021" i="3"/>
  <c r="CC1021" i="3"/>
  <c r="CB1021" i="3"/>
  <c r="CA1021" i="3"/>
  <c r="BZ1021" i="3"/>
  <c r="BY1021" i="3"/>
  <c r="BX1021" i="3"/>
  <c r="BW1021" i="3"/>
  <c r="BV1021" i="3"/>
  <c r="BU1021" i="3"/>
  <c r="BT1021" i="3"/>
  <c r="BS1021" i="3"/>
  <c r="BR1021" i="3"/>
  <c r="BQ1021" i="3"/>
  <c r="BP1021" i="3"/>
  <c r="BO1021" i="3"/>
  <c r="BN1021" i="3"/>
  <c r="DU1020" i="3"/>
  <c r="DT1020" i="3"/>
  <c r="DS1020" i="3"/>
  <c r="DR1020" i="3"/>
  <c r="DQ1020" i="3"/>
  <c r="DP1020" i="3"/>
  <c r="DO1020" i="3"/>
  <c r="DN1020" i="3"/>
  <c r="DM1020" i="3"/>
  <c r="DL1020" i="3"/>
  <c r="DK1020" i="3"/>
  <c r="DJ1020" i="3"/>
  <c r="DI1020" i="3"/>
  <c r="DH1020" i="3"/>
  <c r="DG1020" i="3"/>
  <c r="DF1020" i="3"/>
  <c r="DE1020" i="3"/>
  <c r="DD1020" i="3"/>
  <c r="DC1020" i="3"/>
  <c r="DB1020" i="3"/>
  <c r="DA1020" i="3"/>
  <c r="CZ1020" i="3"/>
  <c r="CY1020" i="3"/>
  <c r="CX1020" i="3"/>
  <c r="CW1020" i="3"/>
  <c r="CV1020" i="3"/>
  <c r="CU1020" i="3"/>
  <c r="CT1020" i="3"/>
  <c r="CS1020" i="3"/>
  <c r="CR1020" i="3"/>
  <c r="CQ1020" i="3"/>
  <c r="CP1020" i="3"/>
  <c r="CO1020" i="3"/>
  <c r="CN1020" i="3"/>
  <c r="CM1020" i="3"/>
  <c r="CL1020" i="3"/>
  <c r="CK1020" i="3"/>
  <c r="CJ1020" i="3"/>
  <c r="CI1020" i="3"/>
  <c r="CH1020" i="3"/>
  <c r="CG1020" i="3"/>
  <c r="CF1020" i="3"/>
  <c r="CE1020" i="3"/>
  <c r="CD1020" i="3"/>
  <c r="CC1020" i="3"/>
  <c r="CB1020" i="3"/>
  <c r="CA1020" i="3"/>
  <c r="BZ1020" i="3"/>
  <c r="BY1020" i="3"/>
  <c r="BX1020" i="3"/>
  <c r="BW1020" i="3"/>
  <c r="BV1020" i="3"/>
  <c r="BU1020" i="3"/>
  <c r="BT1020" i="3"/>
  <c r="BS1020" i="3"/>
  <c r="BR1020" i="3"/>
  <c r="BQ1020" i="3"/>
  <c r="BP1020" i="3"/>
  <c r="BO1020" i="3"/>
  <c r="BN1020" i="3"/>
  <c r="DU1019" i="3"/>
  <c r="DT1019" i="3"/>
  <c r="DS1019" i="3"/>
  <c r="DR1019" i="3"/>
  <c r="DQ1019" i="3"/>
  <c r="DP1019" i="3"/>
  <c r="DO1019" i="3"/>
  <c r="DN1019" i="3"/>
  <c r="DM1019" i="3"/>
  <c r="DL1019" i="3"/>
  <c r="DK1019" i="3"/>
  <c r="DJ1019" i="3"/>
  <c r="DI1019" i="3"/>
  <c r="DH1019" i="3"/>
  <c r="DG1019" i="3"/>
  <c r="DF1019" i="3"/>
  <c r="DE1019" i="3"/>
  <c r="DD1019" i="3"/>
  <c r="DC1019" i="3"/>
  <c r="DB1019" i="3"/>
  <c r="DA1019" i="3"/>
  <c r="CZ1019" i="3"/>
  <c r="CY1019" i="3"/>
  <c r="CX1019" i="3"/>
  <c r="CW1019" i="3"/>
  <c r="CV1019" i="3"/>
  <c r="CU1019" i="3"/>
  <c r="CT1019" i="3"/>
  <c r="CS1019" i="3"/>
  <c r="CR1019" i="3"/>
  <c r="CQ1019" i="3"/>
  <c r="CP1019" i="3"/>
  <c r="CO1019" i="3"/>
  <c r="CN1019" i="3"/>
  <c r="CM1019" i="3"/>
  <c r="CL1019" i="3"/>
  <c r="CK1019" i="3"/>
  <c r="CJ1019" i="3"/>
  <c r="CI1019" i="3"/>
  <c r="CH1019" i="3"/>
  <c r="CG1019" i="3"/>
  <c r="CF1019" i="3"/>
  <c r="CE1019" i="3"/>
  <c r="CD1019" i="3"/>
  <c r="CC1019" i="3"/>
  <c r="CB1019" i="3"/>
  <c r="CA1019" i="3"/>
  <c r="BZ1019" i="3"/>
  <c r="BY1019" i="3"/>
  <c r="BX1019" i="3"/>
  <c r="BW1019" i="3"/>
  <c r="BV1019" i="3"/>
  <c r="BU1019" i="3"/>
  <c r="BT1019" i="3"/>
  <c r="BS1019" i="3"/>
  <c r="BR1019" i="3"/>
  <c r="BQ1019" i="3"/>
  <c r="BP1019" i="3"/>
  <c r="BO1019" i="3"/>
  <c r="BN1019" i="3"/>
  <c r="DU1018" i="3"/>
  <c r="DT1018" i="3"/>
  <c r="DS1018" i="3"/>
  <c r="DR1018" i="3"/>
  <c r="DQ1018" i="3"/>
  <c r="DP1018" i="3"/>
  <c r="DO1018" i="3"/>
  <c r="DN1018" i="3"/>
  <c r="DM1018" i="3"/>
  <c r="DL1018" i="3"/>
  <c r="DK1018" i="3"/>
  <c r="DJ1018" i="3"/>
  <c r="DI1018" i="3"/>
  <c r="DH1018" i="3"/>
  <c r="DG1018" i="3"/>
  <c r="DF1018" i="3"/>
  <c r="DE1018" i="3"/>
  <c r="DD1018" i="3"/>
  <c r="DC1018" i="3"/>
  <c r="DB1018" i="3"/>
  <c r="DA1018" i="3"/>
  <c r="CZ1018" i="3"/>
  <c r="CY1018" i="3"/>
  <c r="CX1018" i="3"/>
  <c r="CW1018" i="3"/>
  <c r="CV1018" i="3"/>
  <c r="CU1018" i="3"/>
  <c r="CT1018" i="3"/>
  <c r="CS1018" i="3"/>
  <c r="CR1018" i="3"/>
  <c r="CQ1018" i="3"/>
  <c r="CP1018" i="3"/>
  <c r="CO1018" i="3"/>
  <c r="CN1018" i="3"/>
  <c r="CM1018" i="3"/>
  <c r="CL1018" i="3"/>
  <c r="CK1018" i="3"/>
  <c r="CJ1018" i="3"/>
  <c r="CI1018" i="3"/>
  <c r="CH1018" i="3"/>
  <c r="CG1018" i="3"/>
  <c r="CF1018" i="3"/>
  <c r="CE1018" i="3"/>
  <c r="CD1018" i="3"/>
  <c r="CC1018" i="3"/>
  <c r="CB1018" i="3"/>
  <c r="CA1018" i="3"/>
  <c r="BZ1018" i="3"/>
  <c r="BY1018" i="3"/>
  <c r="BX1018" i="3"/>
  <c r="BW1018" i="3"/>
  <c r="BV1018" i="3"/>
  <c r="BU1018" i="3"/>
  <c r="BT1018" i="3"/>
  <c r="BS1018" i="3"/>
  <c r="BR1018" i="3"/>
  <c r="BQ1018" i="3"/>
  <c r="BP1018" i="3"/>
  <c r="BO1018" i="3"/>
  <c r="BN1018" i="3"/>
  <c r="DU1017" i="3"/>
  <c r="DT1017" i="3"/>
  <c r="DS1017" i="3"/>
  <c r="DR1017" i="3"/>
  <c r="DQ1017" i="3"/>
  <c r="DP1017" i="3"/>
  <c r="DO1017" i="3"/>
  <c r="DN1017" i="3"/>
  <c r="DM1017" i="3"/>
  <c r="DL1017" i="3"/>
  <c r="DK1017" i="3"/>
  <c r="DJ1017" i="3"/>
  <c r="DI1017" i="3"/>
  <c r="DH1017" i="3"/>
  <c r="DG1017" i="3"/>
  <c r="DF1017" i="3"/>
  <c r="DE1017" i="3"/>
  <c r="DD1017" i="3"/>
  <c r="DC1017" i="3"/>
  <c r="DB1017" i="3"/>
  <c r="DA1017" i="3"/>
  <c r="CZ1017" i="3"/>
  <c r="CY1017" i="3"/>
  <c r="CX1017" i="3"/>
  <c r="CW1017" i="3"/>
  <c r="CV1017" i="3"/>
  <c r="CU1017" i="3"/>
  <c r="CT1017" i="3"/>
  <c r="CS1017" i="3"/>
  <c r="CR1017" i="3"/>
  <c r="CQ1017" i="3"/>
  <c r="CP1017" i="3"/>
  <c r="CO1017" i="3"/>
  <c r="CN1017" i="3"/>
  <c r="CM1017" i="3"/>
  <c r="CL1017" i="3"/>
  <c r="CK1017" i="3"/>
  <c r="CJ1017" i="3"/>
  <c r="CI1017" i="3"/>
  <c r="CH1017" i="3"/>
  <c r="CG1017" i="3"/>
  <c r="CF1017" i="3"/>
  <c r="CE1017" i="3"/>
  <c r="CD1017" i="3"/>
  <c r="CC1017" i="3"/>
  <c r="CB1017" i="3"/>
  <c r="CA1017" i="3"/>
  <c r="BZ1017" i="3"/>
  <c r="BY1017" i="3"/>
  <c r="BX1017" i="3"/>
  <c r="BW1017" i="3"/>
  <c r="BV1017" i="3"/>
  <c r="BU1017" i="3"/>
  <c r="BT1017" i="3"/>
  <c r="BS1017" i="3"/>
  <c r="BR1017" i="3"/>
  <c r="BQ1017" i="3"/>
  <c r="BP1017" i="3"/>
  <c r="BO1017" i="3"/>
  <c r="BN1017" i="3"/>
  <c r="DU1016" i="3"/>
  <c r="DT1016" i="3"/>
  <c r="DS1016" i="3"/>
  <c r="DR1016" i="3"/>
  <c r="DQ1016" i="3"/>
  <c r="DP1016" i="3"/>
  <c r="DO1016" i="3"/>
  <c r="DN1016" i="3"/>
  <c r="DM1016" i="3"/>
  <c r="DL1016" i="3"/>
  <c r="DK1016" i="3"/>
  <c r="DJ1016" i="3"/>
  <c r="DI1016" i="3"/>
  <c r="DH1016" i="3"/>
  <c r="DG1016" i="3"/>
  <c r="DF1016" i="3"/>
  <c r="DE1016" i="3"/>
  <c r="DD1016" i="3"/>
  <c r="DC1016" i="3"/>
  <c r="DB1016" i="3"/>
  <c r="DA1016" i="3"/>
  <c r="CZ1016" i="3"/>
  <c r="CY1016" i="3"/>
  <c r="CX1016" i="3"/>
  <c r="CW1016" i="3"/>
  <c r="CV1016" i="3"/>
  <c r="CU1016" i="3"/>
  <c r="CT1016" i="3"/>
  <c r="CS1016" i="3"/>
  <c r="CR1016" i="3"/>
  <c r="CQ1016" i="3"/>
  <c r="CP1016" i="3"/>
  <c r="CO1016" i="3"/>
  <c r="CN1016" i="3"/>
  <c r="CM1016" i="3"/>
  <c r="CL1016" i="3"/>
  <c r="CK1016" i="3"/>
  <c r="CJ1016" i="3"/>
  <c r="CI1016" i="3"/>
  <c r="CH1016" i="3"/>
  <c r="CG1016" i="3"/>
  <c r="CF1016" i="3"/>
  <c r="CE1016" i="3"/>
  <c r="CD1016" i="3"/>
  <c r="CC1016" i="3"/>
  <c r="CB1016" i="3"/>
  <c r="CA1016" i="3"/>
  <c r="BZ1016" i="3"/>
  <c r="BY1016" i="3"/>
  <c r="BX1016" i="3"/>
  <c r="BW1016" i="3"/>
  <c r="BV1016" i="3"/>
  <c r="BU1016" i="3"/>
  <c r="BT1016" i="3"/>
  <c r="BS1016" i="3"/>
  <c r="BR1016" i="3"/>
  <c r="BQ1016" i="3"/>
  <c r="BP1016" i="3"/>
  <c r="BO1016" i="3"/>
  <c r="BN1016" i="3"/>
  <c r="DU1015" i="3"/>
  <c r="DT1015" i="3"/>
  <c r="DS1015" i="3"/>
  <c r="DR1015" i="3"/>
  <c r="DQ1015" i="3"/>
  <c r="DP1015" i="3"/>
  <c r="DO1015" i="3"/>
  <c r="DN1015" i="3"/>
  <c r="DM1015" i="3"/>
  <c r="DL1015" i="3"/>
  <c r="DK1015" i="3"/>
  <c r="DJ1015" i="3"/>
  <c r="DI1015" i="3"/>
  <c r="DH1015" i="3"/>
  <c r="DG1015" i="3"/>
  <c r="DF1015" i="3"/>
  <c r="DE1015" i="3"/>
  <c r="DD1015" i="3"/>
  <c r="DC1015" i="3"/>
  <c r="DB1015" i="3"/>
  <c r="DA1015" i="3"/>
  <c r="CZ1015" i="3"/>
  <c r="CY1015" i="3"/>
  <c r="CX1015" i="3"/>
  <c r="CW1015" i="3"/>
  <c r="CV1015" i="3"/>
  <c r="CU1015" i="3"/>
  <c r="CT1015" i="3"/>
  <c r="CS1015" i="3"/>
  <c r="CR1015" i="3"/>
  <c r="CQ1015" i="3"/>
  <c r="CP1015" i="3"/>
  <c r="CO1015" i="3"/>
  <c r="CN1015" i="3"/>
  <c r="CM1015" i="3"/>
  <c r="CL1015" i="3"/>
  <c r="CK1015" i="3"/>
  <c r="CJ1015" i="3"/>
  <c r="CI1015" i="3"/>
  <c r="CH1015" i="3"/>
  <c r="CG1015" i="3"/>
  <c r="CF1015" i="3"/>
  <c r="CE1015" i="3"/>
  <c r="CD1015" i="3"/>
  <c r="CC1015" i="3"/>
  <c r="CB1015" i="3"/>
  <c r="CA1015" i="3"/>
  <c r="BZ1015" i="3"/>
  <c r="BY1015" i="3"/>
  <c r="BX1015" i="3"/>
  <c r="BW1015" i="3"/>
  <c r="BV1015" i="3"/>
  <c r="BU1015" i="3"/>
  <c r="BT1015" i="3"/>
  <c r="BS1015" i="3"/>
  <c r="BR1015" i="3"/>
  <c r="BQ1015" i="3"/>
  <c r="BP1015" i="3"/>
  <c r="BO1015" i="3"/>
  <c r="BN1015" i="3"/>
  <c r="DU1014" i="3"/>
  <c r="DT1014" i="3"/>
  <c r="DS1014" i="3"/>
  <c r="DR1014" i="3"/>
  <c r="DQ1014" i="3"/>
  <c r="DP1014" i="3"/>
  <c r="DO1014" i="3"/>
  <c r="DN1014" i="3"/>
  <c r="DM1014" i="3"/>
  <c r="DL1014" i="3"/>
  <c r="DK1014" i="3"/>
  <c r="DJ1014" i="3"/>
  <c r="DI1014" i="3"/>
  <c r="DH1014" i="3"/>
  <c r="DG1014" i="3"/>
  <c r="DF1014" i="3"/>
  <c r="DE1014" i="3"/>
  <c r="DD1014" i="3"/>
  <c r="DC1014" i="3"/>
  <c r="DB1014" i="3"/>
  <c r="DA1014" i="3"/>
  <c r="CZ1014" i="3"/>
  <c r="CY1014" i="3"/>
  <c r="CX1014" i="3"/>
  <c r="CW1014" i="3"/>
  <c r="CV1014" i="3"/>
  <c r="CU1014" i="3"/>
  <c r="CT1014" i="3"/>
  <c r="CS1014" i="3"/>
  <c r="CR1014" i="3"/>
  <c r="CQ1014" i="3"/>
  <c r="CP1014" i="3"/>
  <c r="CO1014" i="3"/>
  <c r="CN1014" i="3"/>
  <c r="CM1014" i="3"/>
  <c r="CL1014" i="3"/>
  <c r="CK1014" i="3"/>
  <c r="CJ1014" i="3"/>
  <c r="CI1014" i="3"/>
  <c r="CH1014" i="3"/>
  <c r="CG1014" i="3"/>
  <c r="CF1014" i="3"/>
  <c r="CE1014" i="3"/>
  <c r="CD1014" i="3"/>
  <c r="CC1014" i="3"/>
  <c r="CB1014" i="3"/>
  <c r="CA1014" i="3"/>
  <c r="BZ1014" i="3"/>
  <c r="BY1014" i="3"/>
  <c r="BX1014" i="3"/>
  <c r="BW1014" i="3"/>
  <c r="BV1014" i="3"/>
  <c r="BU1014" i="3"/>
  <c r="BT1014" i="3"/>
  <c r="BS1014" i="3"/>
  <c r="BR1014" i="3"/>
  <c r="BQ1014" i="3"/>
  <c r="BP1014" i="3"/>
  <c r="BO1014" i="3"/>
  <c r="BN1014" i="3"/>
  <c r="DU1013" i="3"/>
  <c r="DT1013" i="3"/>
  <c r="DS1013" i="3"/>
  <c r="DR1013" i="3"/>
  <c r="DQ1013" i="3"/>
  <c r="DP1013" i="3"/>
  <c r="DO1013" i="3"/>
  <c r="DN1013" i="3"/>
  <c r="DM1013" i="3"/>
  <c r="DL1013" i="3"/>
  <c r="DK1013" i="3"/>
  <c r="DJ1013" i="3"/>
  <c r="DI1013" i="3"/>
  <c r="DH1013" i="3"/>
  <c r="DG1013" i="3"/>
  <c r="DF1013" i="3"/>
  <c r="DE1013" i="3"/>
  <c r="DD1013" i="3"/>
  <c r="DC1013" i="3"/>
  <c r="DB1013" i="3"/>
  <c r="DA1013" i="3"/>
  <c r="CZ1013" i="3"/>
  <c r="CY1013" i="3"/>
  <c r="CX1013" i="3"/>
  <c r="CW1013" i="3"/>
  <c r="CV1013" i="3"/>
  <c r="CU1013" i="3"/>
  <c r="CT1013" i="3"/>
  <c r="CS1013" i="3"/>
  <c r="CR1013" i="3"/>
  <c r="CQ1013" i="3"/>
  <c r="CP1013" i="3"/>
  <c r="CO1013" i="3"/>
  <c r="CN1013" i="3"/>
  <c r="CM1013" i="3"/>
  <c r="CL1013" i="3"/>
  <c r="CK1013" i="3"/>
  <c r="CJ1013" i="3"/>
  <c r="CI1013" i="3"/>
  <c r="CH1013" i="3"/>
  <c r="CG1013" i="3"/>
  <c r="CF1013" i="3"/>
  <c r="CE1013" i="3"/>
  <c r="CD1013" i="3"/>
  <c r="CC1013" i="3"/>
  <c r="CB1013" i="3"/>
  <c r="CA1013" i="3"/>
  <c r="BZ1013" i="3"/>
  <c r="BY1013" i="3"/>
  <c r="BX1013" i="3"/>
  <c r="BW1013" i="3"/>
  <c r="BV1013" i="3"/>
  <c r="BU1013" i="3"/>
  <c r="BT1013" i="3"/>
  <c r="BS1013" i="3"/>
  <c r="BR1013" i="3"/>
  <c r="BQ1013" i="3"/>
  <c r="BP1013" i="3"/>
  <c r="BO1013" i="3"/>
  <c r="BN1013" i="3"/>
  <c r="DU1012" i="3"/>
  <c r="DT1012" i="3"/>
  <c r="DS1012" i="3"/>
  <c r="DR1012" i="3"/>
  <c r="DQ1012" i="3"/>
  <c r="DP1012" i="3"/>
  <c r="DO1012" i="3"/>
  <c r="DN1012" i="3"/>
  <c r="DM1012" i="3"/>
  <c r="DL1012" i="3"/>
  <c r="DK1012" i="3"/>
  <c r="DJ1012" i="3"/>
  <c r="DI1012" i="3"/>
  <c r="DH1012" i="3"/>
  <c r="DG1012" i="3"/>
  <c r="DF1012" i="3"/>
  <c r="DE1012" i="3"/>
  <c r="DD1012" i="3"/>
  <c r="DC1012" i="3"/>
  <c r="DB1012" i="3"/>
  <c r="DA1012" i="3"/>
  <c r="CZ1012" i="3"/>
  <c r="CY1012" i="3"/>
  <c r="CX1012" i="3"/>
  <c r="CW1012" i="3"/>
  <c r="CV1012" i="3"/>
  <c r="CU1012" i="3"/>
  <c r="CT1012" i="3"/>
  <c r="CS1012" i="3"/>
  <c r="CR1012" i="3"/>
  <c r="CQ1012" i="3"/>
  <c r="CP1012" i="3"/>
  <c r="CO1012" i="3"/>
  <c r="CN1012" i="3"/>
  <c r="CM1012" i="3"/>
  <c r="CL1012" i="3"/>
  <c r="CK1012" i="3"/>
  <c r="CJ1012" i="3"/>
  <c r="CI1012" i="3"/>
  <c r="CH1012" i="3"/>
  <c r="CG1012" i="3"/>
  <c r="CF1012" i="3"/>
  <c r="CE1012" i="3"/>
  <c r="CD1012" i="3"/>
  <c r="CC1012" i="3"/>
  <c r="CB1012" i="3"/>
  <c r="CA1012" i="3"/>
  <c r="BZ1012" i="3"/>
  <c r="BY1012" i="3"/>
  <c r="BX1012" i="3"/>
  <c r="BW1012" i="3"/>
  <c r="BV1012" i="3"/>
  <c r="BU1012" i="3"/>
  <c r="BT1012" i="3"/>
  <c r="BS1012" i="3"/>
  <c r="BR1012" i="3"/>
  <c r="BQ1012" i="3"/>
  <c r="BP1012" i="3"/>
  <c r="BO1012" i="3"/>
  <c r="BN1012" i="3"/>
  <c r="DU1011" i="3"/>
  <c r="DT1011" i="3"/>
  <c r="DS1011" i="3"/>
  <c r="DR1011" i="3"/>
  <c r="DQ1011" i="3"/>
  <c r="DP1011" i="3"/>
  <c r="DO1011" i="3"/>
  <c r="DN1011" i="3"/>
  <c r="DM1011" i="3"/>
  <c r="DL1011" i="3"/>
  <c r="DK1011" i="3"/>
  <c r="DJ1011" i="3"/>
  <c r="DI1011" i="3"/>
  <c r="DH1011" i="3"/>
  <c r="DG1011" i="3"/>
  <c r="DF1011" i="3"/>
  <c r="DE1011" i="3"/>
  <c r="DD1011" i="3"/>
  <c r="DC1011" i="3"/>
  <c r="DB1011" i="3"/>
  <c r="DA1011" i="3"/>
  <c r="CZ1011" i="3"/>
  <c r="CY1011" i="3"/>
  <c r="CX1011" i="3"/>
  <c r="CW1011" i="3"/>
  <c r="CV1011" i="3"/>
  <c r="CU1011" i="3"/>
  <c r="CT1011" i="3"/>
  <c r="CS1011" i="3"/>
  <c r="CR1011" i="3"/>
  <c r="CQ1011" i="3"/>
  <c r="CP1011" i="3"/>
  <c r="CO1011" i="3"/>
  <c r="CN1011" i="3"/>
  <c r="CM1011" i="3"/>
  <c r="CL1011" i="3"/>
  <c r="CK1011" i="3"/>
  <c r="CJ1011" i="3"/>
  <c r="CI1011" i="3"/>
  <c r="CH1011" i="3"/>
  <c r="CG1011" i="3"/>
  <c r="CF1011" i="3"/>
  <c r="CE1011" i="3"/>
  <c r="CD1011" i="3"/>
  <c r="CC1011" i="3"/>
  <c r="CB1011" i="3"/>
  <c r="CA1011" i="3"/>
  <c r="BZ1011" i="3"/>
  <c r="BY1011" i="3"/>
  <c r="BX1011" i="3"/>
  <c r="BW1011" i="3"/>
  <c r="BV1011" i="3"/>
  <c r="BU1011" i="3"/>
  <c r="BT1011" i="3"/>
  <c r="BS1011" i="3"/>
  <c r="BR1011" i="3"/>
  <c r="BQ1011" i="3"/>
  <c r="BP1011" i="3"/>
  <c r="BO1011" i="3"/>
  <c r="BN1011" i="3"/>
  <c r="DU1010" i="3"/>
  <c r="DT1010" i="3"/>
  <c r="DS1010" i="3"/>
  <c r="DR1010" i="3"/>
  <c r="DQ1010" i="3"/>
  <c r="DP1010" i="3"/>
  <c r="DO1010" i="3"/>
  <c r="DN1010" i="3"/>
  <c r="DM1010" i="3"/>
  <c r="DL1010" i="3"/>
  <c r="DK1010" i="3"/>
  <c r="DJ1010" i="3"/>
  <c r="DI1010" i="3"/>
  <c r="DH1010" i="3"/>
  <c r="DG1010" i="3"/>
  <c r="DF1010" i="3"/>
  <c r="DE1010" i="3"/>
  <c r="DD1010" i="3"/>
  <c r="DC1010" i="3"/>
  <c r="DB1010" i="3"/>
  <c r="DA1010" i="3"/>
  <c r="CZ1010" i="3"/>
  <c r="CY1010" i="3"/>
  <c r="CX1010" i="3"/>
  <c r="CW1010" i="3"/>
  <c r="CV1010" i="3"/>
  <c r="CU1010" i="3"/>
  <c r="CT1010" i="3"/>
  <c r="CS1010" i="3"/>
  <c r="CR1010" i="3"/>
  <c r="CQ1010" i="3"/>
  <c r="CP1010" i="3"/>
  <c r="CO1010" i="3"/>
  <c r="CN1010" i="3"/>
  <c r="CM1010" i="3"/>
  <c r="CL1010" i="3"/>
  <c r="CK1010" i="3"/>
  <c r="CJ1010" i="3"/>
  <c r="CI1010" i="3"/>
  <c r="CH1010" i="3"/>
  <c r="CG1010" i="3"/>
  <c r="CF1010" i="3"/>
  <c r="CE1010" i="3"/>
  <c r="CD1010" i="3"/>
  <c r="CC1010" i="3"/>
  <c r="CB1010" i="3"/>
  <c r="CA1010" i="3"/>
  <c r="BZ1010" i="3"/>
  <c r="BY1010" i="3"/>
  <c r="BX1010" i="3"/>
  <c r="BW1010" i="3"/>
  <c r="BV1010" i="3"/>
  <c r="BU1010" i="3"/>
  <c r="BT1010" i="3"/>
  <c r="BS1010" i="3"/>
  <c r="BR1010" i="3"/>
  <c r="BQ1010" i="3"/>
  <c r="BP1010" i="3"/>
  <c r="BO1010" i="3"/>
  <c r="BN1010" i="3"/>
  <c r="DU1009" i="3"/>
  <c r="DT1009" i="3"/>
  <c r="DS1009" i="3"/>
  <c r="DR1009" i="3"/>
  <c r="DQ1009" i="3"/>
  <c r="DP1009" i="3"/>
  <c r="DO1009" i="3"/>
  <c r="DN1009" i="3"/>
  <c r="DM1009" i="3"/>
  <c r="DL1009" i="3"/>
  <c r="DK1009" i="3"/>
  <c r="DJ1009" i="3"/>
  <c r="DI1009" i="3"/>
  <c r="DH1009" i="3"/>
  <c r="DG1009" i="3"/>
  <c r="DF1009" i="3"/>
  <c r="DE1009" i="3"/>
  <c r="DD1009" i="3"/>
  <c r="DC1009" i="3"/>
  <c r="DB1009" i="3"/>
  <c r="DA1009" i="3"/>
  <c r="CZ1009" i="3"/>
  <c r="CY1009" i="3"/>
  <c r="CX1009" i="3"/>
  <c r="CW1009" i="3"/>
  <c r="CV1009" i="3"/>
  <c r="CU1009" i="3"/>
  <c r="CT1009" i="3"/>
  <c r="CS1009" i="3"/>
  <c r="CR1009" i="3"/>
  <c r="CQ1009" i="3"/>
  <c r="CP1009" i="3"/>
  <c r="CO1009" i="3"/>
  <c r="CN1009" i="3"/>
  <c r="CM1009" i="3"/>
  <c r="CL1009" i="3"/>
  <c r="CK1009" i="3"/>
  <c r="CJ1009" i="3"/>
  <c r="CI1009" i="3"/>
  <c r="CH1009" i="3"/>
  <c r="CG1009" i="3"/>
  <c r="CF1009" i="3"/>
  <c r="CE1009" i="3"/>
  <c r="CD1009" i="3"/>
  <c r="CC1009" i="3"/>
  <c r="CB1009" i="3"/>
  <c r="CA1009" i="3"/>
  <c r="BZ1009" i="3"/>
  <c r="BY1009" i="3"/>
  <c r="BX1009" i="3"/>
  <c r="BW1009" i="3"/>
  <c r="BV1009" i="3"/>
  <c r="BU1009" i="3"/>
  <c r="BT1009" i="3"/>
  <c r="BS1009" i="3"/>
  <c r="BR1009" i="3"/>
  <c r="BQ1009" i="3"/>
  <c r="BP1009" i="3"/>
  <c r="BO1009" i="3"/>
  <c r="BN1009" i="3"/>
  <c r="DU1008" i="3"/>
  <c r="DT1008" i="3"/>
  <c r="DS1008" i="3"/>
  <c r="DR1008" i="3"/>
  <c r="DQ1008" i="3"/>
  <c r="DP1008" i="3"/>
  <c r="DO1008" i="3"/>
  <c r="DN1008" i="3"/>
  <c r="DM1008" i="3"/>
  <c r="DL1008" i="3"/>
  <c r="DK1008" i="3"/>
  <c r="DJ1008" i="3"/>
  <c r="DI1008" i="3"/>
  <c r="DH1008" i="3"/>
  <c r="DG1008" i="3"/>
  <c r="DF1008" i="3"/>
  <c r="DE1008" i="3"/>
  <c r="DD1008" i="3"/>
  <c r="DC1008" i="3"/>
  <c r="DB1008" i="3"/>
  <c r="DA1008" i="3"/>
  <c r="CZ1008" i="3"/>
  <c r="CY1008" i="3"/>
  <c r="CX1008" i="3"/>
  <c r="CW1008" i="3"/>
  <c r="CV1008" i="3"/>
  <c r="CU1008" i="3"/>
  <c r="CT1008" i="3"/>
  <c r="CS1008" i="3"/>
  <c r="CR1008" i="3"/>
  <c r="CQ1008" i="3"/>
  <c r="CP1008" i="3"/>
  <c r="CO1008" i="3"/>
  <c r="CN1008" i="3"/>
  <c r="CM1008" i="3"/>
  <c r="CL1008" i="3"/>
  <c r="CK1008" i="3"/>
  <c r="CJ1008" i="3"/>
  <c r="CI1008" i="3"/>
  <c r="CH1008" i="3"/>
  <c r="CG1008" i="3"/>
  <c r="CF1008" i="3"/>
  <c r="CE1008" i="3"/>
  <c r="CD1008" i="3"/>
  <c r="CC1008" i="3"/>
  <c r="CB1008" i="3"/>
  <c r="CA1008" i="3"/>
  <c r="BZ1008" i="3"/>
  <c r="BY1008" i="3"/>
  <c r="BX1008" i="3"/>
  <c r="BW1008" i="3"/>
  <c r="BV1008" i="3"/>
  <c r="BU1008" i="3"/>
  <c r="BT1008" i="3"/>
  <c r="BS1008" i="3"/>
  <c r="BR1008" i="3"/>
  <c r="BQ1008" i="3"/>
  <c r="BP1008" i="3"/>
  <c r="BO1008" i="3"/>
  <c r="BN1008" i="3"/>
  <c r="DU1007" i="3"/>
  <c r="DT1007" i="3"/>
  <c r="DS1007" i="3"/>
  <c r="DR1007" i="3"/>
  <c r="DQ1007" i="3"/>
  <c r="DP1007" i="3"/>
  <c r="DO1007" i="3"/>
  <c r="DN1007" i="3"/>
  <c r="DM1007" i="3"/>
  <c r="DL1007" i="3"/>
  <c r="DK1007" i="3"/>
  <c r="DJ1007" i="3"/>
  <c r="DI1007" i="3"/>
  <c r="DH1007" i="3"/>
  <c r="DG1007" i="3"/>
  <c r="DF1007" i="3"/>
  <c r="DE1007" i="3"/>
  <c r="DD1007" i="3"/>
  <c r="DC1007" i="3"/>
  <c r="DB1007" i="3"/>
  <c r="DA1007" i="3"/>
  <c r="CZ1007" i="3"/>
  <c r="CY1007" i="3"/>
  <c r="CX1007" i="3"/>
  <c r="CW1007" i="3"/>
  <c r="CV1007" i="3"/>
  <c r="CU1007" i="3"/>
  <c r="CT1007" i="3"/>
  <c r="CS1007" i="3"/>
  <c r="CR1007" i="3"/>
  <c r="CQ1007" i="3"/>
  <c r="CP1007" i="3"/>
  <c r="CO1007" i="3"/>
  <c r="CN1007" i="3"/>
  <c r="CM1007" i="3"/>
  <c r="CL1007" i="3"/>
  <c r="CK1007" i="3"/>
  <c r="CJ1007" i="3"/>
  <c r="CI1007" i="3"/>
  <c r="CH1007" i="3"/>
  <c r="CG1007" i="3"/>
  <c r="CF1007" i="3"/>
  <c r="CE1007" i="3"/>
  <c r="CD1007" i="3"/>
  <c r="CC1007" i="3"/>
  <c r="CB1007" i="3"/>
  <c r="CA1007" i="3"/>
  <c r="BZ1007" i="3"/>
  <c r="BY1007" i="3"/>
  <c r="BX1007" i="3"/>
  <c r="BW1007" i="3"/>
  <c r="BV1007" i="3"/>
  <c r="BU1007" i="3"/>
  <c r="BT1007" i="3"/>
  <c r="BS1007" i="3"/>
  <c r="BR1007" i="3"/>
  <c r="BQ1007" i="3"/>
  <c r="BP1007" i="3"/>
  <c r="BO1007" i="3"/>
  <c r="BN1007" i="3"/>
  <c r="DU1006" i="3"/>
  <c r="DT1006" i="3"/>
  <c r="DS1006" i="3"/>
  <c r="DR1006" i="3"/>
  <c r="DQ1006" i="3"/>
  <c r="DP1006" i="3"/>
  <c r="DO1006" i="3"/>
  <c r="DN1006" i="3"/>
  <c r="DM1006" i="3"/>
  <c r="DL1006" i="3"/>
  <c r="DK1006" i="3"/>
  <c r="DJ1006" i="3"/>
  <c r="DI1006" i="3"/>
  <c r="DH1006" i="3"/>
  <c r="DG1006" i="3"/>
  <c r="DF1006" i="3"/>
  <c r="DE1006" i="3"/>
  <c r="DD1006" i="3"/>
  <c r="DC1006" i="3"/>
  <c r="DB1006" i="3"/>
  <c r="DA1006" i="3"/>
  <c r="CZ1006" i="3"/>
  <c r="CY1006" i="3"/>
  <c r="CX1006" i="3"/>
  <c r="CW1006" i="3"/>
  <c r="CV1006" i="3"/>
  <c r="CU1006" i="3"/>
  <c r="CT1006" i="3"/>
  <c r="CS1006" i="3"/>
  <c r="CR1006" i="3"/>
  <c r="CQ1006" i="3"/>
  <c r="CP1006" i="3"/>
  <c r="CO1006" i="3"/>
  <c r="CN1006" i="3"/>
  <c r="CM1006" i="3"/>
  <c r="CL1006" i="3"/>
  <c r="CK1006" i="3"/>
  <c r="CJ1006" i="3"/>
  <c r="CI1006" i="3"/>
  <c r="CH1006" i="3"/>
  <c r="CG1006" i="3"/>
  <c r="CF1006" i="3"/>
  <c r="CE1006" i="3"/>
  <c r="CD1006" i="3"/>
  <c r="CC1006" i="3"/>
  <c r="CB1006" i="3"/>
  <c r="CA1006" i="3"/>
  <c r="BZ1006" i="3"/>
  <c r="BY1006" i="3"/>
  <c r="BX1006" i="3"/>
  <c r="BW1006" i="3"/>
  <c r="BV1006" i="3"/>
  <c r="BU1006" i="3"/>
  <c r="BT1006" i="3"/>
  <c r="BS1006" i="3"/>
  <c r="BR1006" i="3"/>
  <c r="BQ1006" i="3"/>
  <c r="BP1006" i="3"/>
  <c r="BO1006" i="3"/>
  <c r="BN1006" i="3"/>
  <c r="DU1005" i="3"/>
  <c r="DT1005" i="3"/>
  <c r="DS1005" i="3"/>
  <c r="DR1005" i="3"/>
  <c r="DQ1005" i="3"/>
  <c r="DP1005" i="3"/>
  <c r="DO1005" i="3"/>
  <c r="DN1005" i="3"/>
  <c r="DM1005" i="3"/>
  <c r="DL1005" i="3"/>
  <c r="DK1005" i="3"/>
  <c r="DJ1005" i="3"/>
  <c r="DI1005" i="3"/>
  <c r="DH1005" i="3"/>
  <c r="DG1005" i="3"/>
  <c r="DF1005" i="3"/>
  <c r="DE1005" i="3"/>
  <c r="DD1005" i="3"/>
  <c r="DC1005" i="3"/>
  <c r="DB1005" i="3"/>
  <c r="DA1005" i="3"/>
  <c r="CZ1005" i="3"/>
  <c r="CY1005" i="3"/>
  <c r="CX1005" i="3"/>
  <c r="CW1005" i="3"/>
  <c r="CV1005" i="3"/>
  <c r="CU1005" i="3"/>
  <c r="CT1005" i="3"/>
  <c r="CS1005" i="3"/>
  <c r="CR1005" i="3"/>
  <c r="CQ1005" i="3"/>
  <c r="CP1005" i="3"/>
  <c r="CO1005" i="3"/>
  <c r="CN1005" i="3"/>
  <c r="CM1005" i="3"/>
  <c r="CL1005" i="3"/>
  <c r="CK1005" i="3"/>
  <c r="CJ1005" i="3"/>
  <c r="CI1005" i="3"/>
  <c r="CH1005" i="3"/>
  <c r="CG1005" i="3"/>
  <c r="CF1005" i="3"/>
  <c r="CE1005" i="3"/>
  <c r="CD1005" i="3"/>
  <c r="CC1005" i="3"/>
  <c r="CB1005" i="3"/>
  <c r="CA1005" i="3"/>
  <c r="BZ1005" i="3"/>
  <c r="BY1005" i="3"/>
  <c r="BX1005" i="3"/>
  <c r="BW1005" i="3"/>
  <c r="BV1005" i="3"/>
  <c r="BU1005" i="3"/>
  <c r="BT1005" i="3"/>
  <c r="BS1005" i="3"/>
  <c r="BR1005" i="3"/>
  <c r="BQ1005" i="3"/>
  <c r="BP1005" i="3"/>
  <c r="BO1005" i="3"/>
  <c r="BN1005" i="3"/>
  <c r="DU1004" i="3"/>
  <c r="DT1004" i="3"/>
  <c r="DS1004" i="3"/>
  <c r="DR1004" i="3"/>
  <c r="DQ1004" i="3"/>
  <c r="DP1004" i="3"/>
  <c r="DO1004" i="3"/>
  <c r="DN1004" i="3"/>
  <c r="DM1004" i="3"/>
  <c r="DL1004" i="3"/>
  <c r="DK1004" i="3"/>
  <c r="DJ1004" i="3"/>
  <c r="DI1004" i="3"/>
  <c r="DH1004" i="3"/>
  <c r="DG1004" i="3"/>
  <c r="DF1004" i="3"/>
  <c r="DE1004" i="3"/>
  <c r="DD1004" i="3"/>
  <c r="DC1004" i="3"/>
  <c r="DB1004" i="3"/>
  <c r="DA1004" i="3"/>
  <c r="CZ1004" i="3"/>
  <c r="CY1004" i="3"/>
  <c r="CX1004" i="3"/>
  <c r="CW1004" i="3"/>
  <c r="CV1004" i="3"/>
  <c r="CU1004" i="3"/>
  <c r="CT1004" i="3"/>
  <c r="CS1004" i="3"/>
  <c r="CR1004" i="3"/>
  <c r="CQ1004" i="3"/>
  <c r="CP1004" i="3"/>
  <c r="CO1004" i="3"/>
  <c r="CN1004" i="3"/>
  <c r="CM1004" i="3"/>
  <c r="CL1004" i="3"/>
  <c r="CK1004" i="3"/>
  <c r="CJ1004" i="3"/>
  <c r="CI1004" i="3"/>
  <c r="CH1004" i="3"/>
  <c r="CG1004" i="3"/>
  <c r="CF1004" i="3"/>
  <c r="CE1004" i="3"/>
  <c r="CD1004" i="3"/>
  <c r="CC1004" i="3"/>
  <c r="CB1004" i="3"/>
  <c r="CA1004" i="3"/>
  <c r="BZ1004" i="3"/>
  <c r="BY1004" i="3"/>
  <c r="BX1004" i="3"/>
  <c r="BW1004" i="3"/>
  <c r="BV1004" i="3"/>
  <c r="BU1004" i="3"/>
  <c r="BT1004" i="3"/>
  <c r="BS1004" i="3"/>
  <c r="BR1004" i="3"/>
  <c r="BQ1004" i="3"/>
  <c r="BP1004" i="3"/>
  <c r="BO1004" i="3"/>
  <c r="BN1004" i="3"/>
  <c r="DU1003" i="3"/>
  <c r="DT1003" i="3"/>
  <c r="DS1003" i="3"/>
  <c r="DR1003" i="3"/>
  <c r="DQ1003" i="3"/>
  <c r="DP1003" i="3"/>
  <c r="DO1003" i="3"/>
  <c r="DN1003" i="3"/>
  <c r="DM1003" i="3"/>
  <c r="DL1003" i="3"/>
  <c r="DK1003" i="3"/>
  <c r="DJ1003" i="3"/>
  <c r="DI1003" i="3"/>
  <c r="DH1003" i="3"/>
  <c r="DG1003" i="3"/>
  <c r="DF1003" i="3"/>
  <c r="DE1003" i="3"/>
  <c r="DD1003" i="3"/>
  <c r="DC1003" i="3"/>
  <c r="DB1003" i="3"/>
  <c r="DA1003" i="3"/>
  <c r="CZ1003" i="3"/>
  <c r="CY1003" i="3"/>
  <c r="CX1003" i="3"/>
  <c r="CW1003" i="3"/>
  <c r="CV1003" i="3"/>
  <c r="CU1003" i="3"/>
  <c r="CT1003" i="3"/>
  <c r="CS1003" i="3"/>
  <c r="CR1003" i="3"/>
  <c r="CQ1003" i="3"/>
  <c r="CP1003" i="3"/>
  <c r="CO1003" i="3"/>
  <c r="CN1003" i="3"/>
  <c r="CM1003" i="3"/>
  <c r="CL1003" i="3"/>
  <c r="CK1003" i="3"/>
  <c r="CJ1003" i="3"/>
  <c r="CI1003" i="3"/>
  <c r="CH1003" i="3"/>
  <c r="CG1003" i="3"/>
  <c r="CF1003" i="3"/>
  <c r="CE1003" i="3"/>
  <c r="CD1003" i="3"/>
  <c r="CC1003" i="3"/>
  <c r="CB1003" i="3"/>
  <c r="CA1003" i="3"/>
  <c r="BZ1003" i="3"/>
  <c r="BY1003" i="3"/>
  <c r="BX1003" i="3"/>
  <c r="BW1003" i="3"/>
  <c r="BV1003" i="3"/>
  <c r="BU1003" i="3"/>
  <c r="BT1003" i="3"/>
  <c r="BS1003" i="3"/>
  <c r="BR1003" i="3"/>
  <c r="BQ1003" i="3"/>
  <c r="BP1003" i="3"/>
  <c r="BO1003" i="3"/>
  <c r="BN1003" i="3"/>
  <c r="DU1002" i="3"/>
  <c r="DT1002" i="3"/>
  <c r="DS1002" i="3"/>
  <c r="DR1002" i="3"/>
  <c r="DQ1002" i="3"/>
  <c r="DP1002" i="3"/>
  <c r="DO1002" i="3"/>
  <c r="DN1002" i="3"/>
  <c r="DM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1002" i="3"/>
  <c r="BX1002" i="3"/>
  <c r="BW1002" i="3"/>
  <c r="BV1002" i="3"/>
  <c r="BU1002" i="3"/>
  <c r="BT1002" i="3"/>
  <c r="BS1002" i="3"/>
  <c r="BR1002" i="3"/>
  <c r="BQ1002" i="3"/>
  <c r="BP1002" i="3"/>
  <c r="BO1002" i="3"/>
  <c r="BN1002" i="3"/>
  <c r="DU1001" i="3"/>
  <c r="DT1001" i="3"/>
  <c r="DS1001" i="3"/>
  <c r="DR1001" i="3"/>
  <c r="DQ1001" i="3"/>
  <c r="DP1001" i="3"/>
  <c r="DO1001" i="3"/>
  <c r="DN1001" i="3"/>
  <c r="DM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U1001" i="3"/>
  <c r="BT1001" i="3"/>
  <c r="BS1001" i="3"/>
  <c r="BR1001" i="3"/>
  <c r="BQ1001" i="3"/>
  <c r="BP1001" i="3"/>
  <c r="BO1001" i="3"/>
  <c r="BN1001" i="3"/>
  <c r="DU1000" i="3"/>
  <c r="DT1000" i="3"/>
  <c r="DS1000" i="3"/>
  <c r="DR1000" i="3"/>
  <c r="DQ1000" i="3"/>
  <c r="DP1000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U1000" i="3"/>
  <c r="BT1000" i="3"/>
  <c r="BS1000" i="3"/>
  <c r="BR1000" i="3"/>
  <c r="BQ1000" i="3"/>
  <c r="BP1000" i="3"/>
  <c r="BO1000" i="3"/>
  <c r="BN1000" i="3"/>
  <c r="DU999" i="3"/>
  <c r="DT999" i="3"/>
  <c r="DS999" i="3"/>
  <c r="DR999" i="3"/>
  <c r="DQ999" i="3"/>
  <c r="DP999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BU999" i="3"/>
  <c r="BT999" i="3"/>
  <c r="BS999" i="3"/>
  <c r="BR999" i="3"/>
  <c r="BQ999" i="3"/>
  <c r="BP999" i="3"/>
  <c r="BO999" i="3"/>
  <c r="BN999" i="3"/>
  <c r="DU998" i="3"/>
  <c r="DT998" i="3"/>
  <c r="DS998" i="3"/>
  <c r="DR998" i="3"/>
  <c r="DQ998" i="3"/>
  <c r="DP998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BY998" i="3"/>
  <c r="BX998" i="3"/>
  <c r="BW998" i="3"/>
  <c r="BV998" i="3"/>
  <c r="BU998" i="3"/>
  <c r="BT998" i="3"/>
  <c r="BS998" i="3"/>
  <c r="BR998" i="3"/>
  <c r="BQ998" i="3"/>
  <c r="BP998" i="3"/>
  <c r="BO998" i="3"/>
  <c r="BN998" i="3"/>
  <c r="DU997" i="3"/>
  <c r="DT997" i="3"/>
  <c r="DS997" i="3"/>
  <c r="DR997" i="3"/>
  <c r="DQ997" i="3"/>
  <c r="DP997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BY997" i="3"/>
  <c r="BX997" i="3"/>
  <c r="BW997" i="3"/>
  <c r="BV997" i="3"/>
  <c r="BU997" i="3"/>
  <c r="BT997" i="3"/>
  <c r="BS997" i="3"/>
  <c r="BR997" i="3"/>
  <c r="BQ997" i="3"/>
  <c r="BP997" i="3"/>
  <c r="BO997" i="3"/>
  <c r="BN997" i="3"/>
  <c r="DU996" i="3"/>
  <c r="DT996" i="3"/>
  <c r="DS996" i="3"/>
  <c r="DR996" i="3"/>
  <c r="DQ996" i="3"/>
  <c r="DP996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BY996" i="3"/>
  <c r="BX996" i="3"/>
  <c r="BW996" i="3"/>
  <c r="BV996" i="3"/>
  <c r="BU996" i="3"/>
  <c r="BT996" i="3"/>
  <c r="BS996" i="3"/>
  <c r="BR996" i="3"/>
  <c r="BQ996" i="3"/>
  <c r="BP996" i="3"/>
  <c r="BO996" i="3"/>
  <c r="BN996" i="3"/>
  <c r="DU995" i="3"/>
  <c r="DT995" i="3"/>
  <c r="DS995" i="3"/>
  <c r="DR995" i="3"/>
  <c r="DQ995" i="3"/>
  <c r="DP995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BY995" i="3"/>
  <c r="BX995" i="3"/>
  <c r="BW995" i="3"/>
  <c r="BV995" i="3"/>
  <c r="BU995" i="3"/>
  <c r="BT995" i="3"/>
  <c r="BS995" i="3"/>
  <c r="BR995" i="3"/>
  <c r="BQ995" i="3"/>
  <c r="BP995" i="3"/>
  <c r="BO995" i="3"/>
  <c r="BN995" i="3"/>
  <c r="DU994" i="3"/>
  <c r="DT994" i="3"/>
  <c r="DS994" i="3"/>
  <c r="DR994" i="3"/>
  <c r="DQ994" i="3"/>
  <c r="DP994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BY994" i="3"/>
  <c r="BX994" i="3"/>
  <c r="BW994" i="3"/>
  <c r="BV994" i="3"/>
  <c r="BU994" i="3"/>
  <c r="BT994" i="3"/>
  <c r="BS994" i="3"/>
  <c r="BR994" i="3"/>
  <c r="BQ994" i="3"/>
  <c r="BP994" i="3"/>
  <c r="BO994" i="3"/>
  <c r="BN994" i="3"/>
  <c r="DU993" i="3"/>
  <c r="DT993" i="3"/>
  <c r="DS993" i="3"/>
  <c r="DR993" i="3"/>
  <c r="DQ993" i="3"/>
  <c r="DP993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BY993" i="3"/>
  <c r="BX993" i="3"/>
  <c r="BW993" i="3"/>
  <c r="BV993" i="3"/>
  <c r="BU993" i="3"/>
  <c r="BT993" i="3"/>
  <c r="BS993" i="3"/>
  <c r="BR993" i="3"/>
  <c r="BQ993" i="3"/>
  <c r="BP993" i="3"/>
  <c r="BO993" i="3"/>
  <c r="BN993" i="3"/>
  <c r="DU992" i="3"/>
  <c r="DT992" i="3"/>
  <c r="DS992" i="3"/>
  <c r="DR992" i="3"/>
  <c r="DQ992" i="3"/>
  <c r="DP992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BY992" i="3"/>
  <c r="BX992" i="3"/>
  <c r="BW992" i="3"/>
  <c r="BV992" i="3"/>
  <c r="BU992" i="3"/>
  <c r="BT992" i="3"/>
  <c r="BS992" i="3"/>
  <c r="BR992" i="3"/>
  <c r="BQ992" i="3"/>
  <c r="BP992" i="3"/>
  <c r="BO992" i="3"/>
  <c r="BN992" i="3"/>
  <c r="DU991" i="3"/>
  <c r="DT991" i="3"/>
  <c r="DS991" i="3"/>
  <c r="DR991" i="3"/>
  <c r="DQ991" i="3"/>
  <c r="DP991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BY991" i="3"/>
  <c r="BX991" i="3"/>
  <c r="BW991" i="3"/>
  <c r="BV991" i="3"/>
  <c r="BU991" i="3"/>
  <c r="BT991" i="3"/>
  <c r="BS991" i="3"/>
  <c r="BR991" i="3"/>
  <c r="BQ991" i="3"/>
  <c r="BP991" i="3"/>
  <c r="BO991" i="3"/>
  <c r="BN991" i="3"/>
  <c r="DU990" i="3"/>
  <c r="DT990" i="3"/>
  <c r="DS990" i="3"/>
  <c r="DR990" i="3"/>
  <c r="DQ990" i="3"/>
  <c r="DP990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BY990" i="3"/>
  <c r="BX990" i="3"/>
  <c r="BW990" i="3"/>
  <c r="BV990" i="3"/>
  <c r="BU990" i="3"/>
  <c r="BT990" i="3"/>
  <c r="BS990" i="3"/>
  <c r="BR990" i="3"/>
  <c r="BQ990" i="3"/>
  <c r="BP990" i="3"/>
  <c r="BO990" i="3"/>
  <c r="BN990" i="3"/>
  <c r="DU989" i="3"/>
  <c r="DT989" i="3"/>
  <c r="DS989" i="3"/>
  <c r="DR989" i="3"/>
  <c r="DQ989" i="3"/>
  <c r="DP989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BY989" i="3"/>
  <c r="BX989" i="3"/>
  <c r="BW989" i="3"/>
  <c r="BV989" i="3"/>
  <c r="BU989" i="3"/>
  <c r="BT989" i="3"/>
  <c r="BS989" i="3"/>
  <c r="BR989" i="3"/>
  <c r="BQ989" i="3"/>
  <c r="BP989" i="3"/>
  <c r="BO989" i="3"/>
  <c r="BN989" i="3"/>
  <c r="DU988" i="3"/>
  <c r="DT988" i="3"/>
  <c r="DS988" i="3"/>
  <c r="DR988" i="3"/>
  <c r="DQ988" i="3"/>
  <c r="DP988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BY988" i="3"/>
  <c r="BX988" i="3"/>
  <c r="BW988" i="3"/>
  <c r="BV988" i="3"/>
  <c r="BU988" i="3"/>
  <c r="BT988" i="3"/>
  <c r="BS988" i="3"/>
  <c r="BR988" i="3"/>
  <c r="BQ988" i="3"/>
  <c r="BP988" i="3"/>
  <c r="BO988" i="3"/>
  <c r="BN988" i="3"/>
  <c r="DU987" i="3"/>
  <c r="DT987" i="3"/>
  <c r="DS987" i="3"/>
  <c r="DR987" i="3"/>
  <c r="DQ987" i="3"/>
  <c r="DP987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BY987" i="3"/>
  <c r="BX987" i="3"/>
  <c r="BW987" i="3"/>
  <c r="BV987" i="3"/>
  <c r="BU987" i="3"/>
  <c r="BT987" i="3"/>
  <c r="BS987" i="3"/>
  <c r="BR987" i="3"/>
  <c r="BQ987" i="3"/>
  <c r="BP987" i="3"/>
  <c r="BO987" i="3"/>
  <c r="BN987" i="3"/>
  <c r="DU986" i="3"/>
  <c r="DT986" i="3"/>
  <c r="DS986" i="3"/>
  <c r="DR986" i="3"/>
  <c r="DQ986" i="3"/>
  <c r="DP986" i="3"/>
  <c r="DO986" i="3"/>
  <c r="DN986" i="3"/>
  <c r="DM986" i="3"/>
  <c r="DL986" i="3"/>
  <c r="DK986" i="3"/>
  <c r="DJ986" i="3"/>
  <c r="DI986" i="3"/>
  <c r="DH986" i="3"/>
  <c r="DG986" i="3"/>
  <c r="DF986" i="3"/>
  <c r="DE986" i="3"/>
  <c r="DD986" i="3"/>
  <c r="DC986" i="3"/>
  <c r="DB986" i="3"/>
  <c r="DA986" i="3"/>
  <c r="CZ986" i="3"/>
  <c r="CY986" i="3"/>
  <c r="CX986" i="3"/>
  <c r="CW986" i="3"/>
  <c r="CV986" i="3"/>
  <c r="CU986" i="3"/>
  <c r="CT986" i="3"/>
  <c r="CS986" i="3"/>
  <c r="CR986" i="3"/>
  <c r="CQ986" i="3"/>
  <c r="CP986" i="3"/>
  <c r="CO986" i="3"/>
  <c r="CN986" i="3"/>
  <c r="CM986" i="3"/>
  <c r="CL986" i="3"/>
  <c r="CK986" i="3"/>
  <c r="CJ986" i="3"/>
  <c r="CI986" i="3"/>
  <c r="CH986" i="3"/>
  <c r="CG986" i="3"/>
  <c r="CF986" i="3"/>
  <c r="CE986" i="3"/>
  <c r="CD986" i="3"/>
  <c r="CC986" i="3"/>
  <c r="CB986" i="3"/>
  <c r="CA986" i="3"/>
  <c r="BZ986" i="3"/>
  <c r="BY986" i="3"/>
  <c r="BX986" i="3"/>
  <c r="BW986" i="3"/>
  <c r="BV986" i="3"/>
  <c r="BU986" i="3"/>
  <c r="BT986" i="3"/>
  <c r="BS986" i="3"/>
  <c r="BR986" i="3"/>
  <c r="BQ986" i="3"/>
  <c r="BP986" i="3"/>
  <c r="BO986" i="3"/>
  <c r="BN986" i="3"/>
  <c r="DU985" i="3"/>
  <c r="DT985" i="3"/>
  <c r="DS985" i="3"/>
  <c r="DR985" i="3"/>
  <c r="DQ985" i="3"/>
  <c r="DP985" i="3"/>
  <c r="DO985" i="3"/>
  <c r="DN985" i="3"/>
  <c r="DM985" i="3"/>
  <c r="DL985" i="3"/>
  <c r="DK985" i="3"/>
  <c r="DJ985" i="3"/>
  <c r="DI985" i="3"/>
  <c r="DH985" i="3"/>
  <c r="DG985" i="3"/>
  <c r="DF985" i="3"/>
  <c r="DE985" i="3"/>
  <c r="DD985" i="3"/>
  <c r="DC985" i="3"/>
  <c r="DB985" i="3"/>
  <c r="DA985" i="3"/>
  <c r="CZ985" i="3"/>
  <c r="CY985" i="3"/>
  <c r="CX985" i="3"/>
  <c r="CW985" i="3"/>
  <c r="CV985" i="3"/>
  <c r="CU985" i="3"/>
  <c r="CT985" i="3"/>
  <c r="CS985" i="3"/>
  <c r="CR985" i="3"/>
  <c r="CQ985" i="3"/>
  <c r="CP985" i="3"/>
  <c r="CO985" i="3"/>
  <c r="CN985" i="3"/>
  <c r="CM985" i="3"/>
  <c r="CL985" i="3"/>
  <c r="CK985" i="3"/>
  <c r="CJ985" i="3"/>
  <c r="CI985" i="3"/>
  <c r="CH985" i="3"/>
  <c r="CG985" i="3"/>
  <c r="CF985" i="3"/>
  <c r="CE985" i="3"/>
  <c r="CD985" i="3"/>
  <c r="CC985" i="3"/>
  <c r="CB985" i="3"/>
  <c r="CA985" i="3"/>
  <c r="BZ985" i="3"/>
  <c r="BY985" i="3"/>
  <c r="BX985" i="3"/>
  <c r="BW985" i="3"/>
  <c r="BV985" i="3"/>
  <c r="BU985" i="3"/>
  <c r="BT985" i="3"/>
  <c r="BS985" i="3"/>
  <c r="BR985" i="3"/>
  <c r="BQ985" i="3"/>
  <c r="BP985" i="3"/>
  <c r="BO985" i="3"/>
  <c r="BN985" i="3"/>
  <c r="DU984" i="3"/>
  <c r="DT984" i="3"/>
  <c r="DS984" i="3"/>
  <c r="DR984" i="3"/>
  <c r="DQ984" i="3"/>
  <c r="DP984" i="3"/>
  <c r="DO984" i="3"/>
  <c r="DN984" i="3"/>
  <c r="DM984" i="3"/>
  <c r="DL984" i="3"/>
  <c r="DK984" i="3"/>
  <c r="DJ984" i="3"/>
  <c r="DI984" i="3"/>
  <c r="DH984" i="3"/>
  <c r="DG984" i="3"/>
  <c r="DF984" i="3"/>
  <c r="DE984" i="3"/>
  <c r="DD984" i="3"/>
  <c r="DC984" i="3"/>
  <c r="DB984" i="3"/>
  <c r="DA984" i="3"/>
  <c r="CZ984" i="3"/>
  <c r="CY984" i="3"/>
  <c r="CX984" i="3"/>
  <c r="CW984" i="3"/>
  <c r="CV984" i="3"/>
  <c r="CU984" i="3"/>
  <c r="CT984" i="3"/>
  <c r="CS984" i="3"/>
  <c r="CR984" i="3"/>
  <c r="CQ984" i="3"/>
  <c r="CP984" i="3"/>
  <c r="CO984" i="3"/>
  <c r="CN984" i="3"/>
  <c r="CM984" i="3"/>
  <c r="CL984" i="3"/>
  <c r="CK984" i="3"/>
  <c r="CJ984" i="3"/>
  <c r="CI984" i="3"/>
  <c r="CH984" i="3"/>
  <c r="CG984" i="3"/>
  <c r="CF984" i="3"/>
  <c r="CE984" i="3"/>
  <c r="CD984" i="3"/>
  <c r="CC984" i="3"/>
  <c r="CB984" i="3"/>
  <c r="CA984" i="3"/>
  <c r="BZ984" i="3"/>
  <c r="BY984" i="3"/>
  <c r="BX984" i="3"/>
  <c r="BW984" i="3"/>
  <c r="BV984" i="3"/>
  <c r="BU984" i="3"/>
  <c r="BT984" i="3"/>
  <c r="BS984" i="3"/>
  <c r="BR984" i="3"/>
  <c r="BQ984" i="3"/>
  <c r="BP984" i="3"/>
  <c r="BO984" i="3"/>
  <c r="BN984" i="3"/>
  <c r="DU983" i="3"/>
  <c r="DT983" i="3"/>
  <c r="DS983" i="3"/>
  <c r="DR983" i="3"/>
  <c r="DQ983" i="3"/>
  <c r="DP983" i="3"/>
  <c r="DO983" i="3"/>
  <c r="DN983" i="3"/>
  <c r="DM983" i="3"/>
  <c r="DL983" i="3"/>
  <c r="DK983" i="3"/>
  <c r="DJ983" i="3"/>
  <c r="DI983" i="3"/>
  <c r="DH983" i="3"/>
  <c r="DG983" i="3"/>
  <c r="DF983" i="3"/>
  <c r="DE983" i="3"/>
  <c r="DD983" i="3"/>
  <c r="DC983" i="3"/>
  <c r="DB983" i="3"/>
  <c r="DA983" i="3"/>
  <c r="CZ983" i="3"/>
  <c r="CY983" i="3"/>
  <c r="CX983" i="3"/>
  <c r="CW983" i="3"/>
  <c r="CV983" i="3"/>
  <c r="CU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C983" i="3"/>
  <c r="CB983" i="3"/>
  <c r="CA983" i="3"/>
  <c r="BZ983" i="3"/>
  <c r="BY983" i="3"/>
  <c r="BX983" i="3"/>
  <c r="BW983" i="3"/>
  <c r="BV983" i="3"/>
  <c r="BU983" i="3"/>
  <c r="BT983" i="3"/>
  <c r="BS983" i="3"/>
  <c r="BR983" i="3"/>
  <c r="BQ983" i="3"/>
  <c r="BP983" i="3"/>
  <c r="BO983" i="3"/>
  <c r="BN983" i="3"/>
  <c r="DU982" i="3"/>
  <c r="DT982" i="3"/>
  <c r="DS982" i="3"/>
  <c r="DR982" i="3"/>
  <c r="DQ982" i="3"/>
  <c r="DP982" i="3"/>
  <c r="DO982" i="3"/>
  <c r="DN982" i="3"/>
  <c r="DM982" i="3"/>
  <c r="DL982" i="3"/>
  <c r="DK982" i="3"/>
  <c r="DJ982" i="3"/>
  <c r="DI982" i="3"/>
  <c r="DH982" i="3"/>
  <c r="DG982" i="3"/>
  <c r="DF982" i="3"/>
  <c r="DE982" i="3"/>
  <c r="DD982" i="3"/>
  <c r="DC982" i="3"/>
  <c r="DB982" i="3"/>
  <c r="DA982" i="3"/>
  <c r="CZ982" i="3"/>
  <c r="CY982" i="3"/>
  <c r="CX982" i="3"/>
  <c r="CW982" i="3"/>
  <c r="CV982" i="3"/>
  <c r="CU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C982" i="3"/>
  <c r="CB982" i="3"/>
  <c r="CA982" i="3"/>
  <c r="BZ982" i="3"/>
  <c r="BY982" i="3"/>
  <c r="BX982" i="3"/>
  <c r="BW982" i="3"/>
  <c r="BV982" i="3"/>
  <c r="BU982" i="3"/>
  <c r="BT982" i="3"/>
  <c r="BS982" i="3"/>
  <c r="BR982" i="3"/>
  <c r="BQ982" i="3"/>
  <c r="BP982" i="3"/>
  <c r="BO982" i="3"/>
  <c r="BN982" i="3"/>
  <c r="DU981" i="3"/>
  <c r="DT981" i="3"/>
  <c r="DS981" i="3"/>
  <c r="DR981" i="3"/>
  <c r="DQ981" i="3"/>
  <c r="DP981" i="3"/>
  <c r="DO981" i="3"/>
  <c r="DN981" i="3"/>
  <c r="DM981" i="3"/>
  <c r="DL981" i="3"/>
  <c r="DK981" i="3"/>
  <c r="DJ981" i="3"/>
  <c r="DI981" i="3"/>
  <c r="DH981" i="3"/>
  <c r="DG981" i="3"/>
  <c r="DF981" i="3"/>
  <c r="DE981" i="3"/>
  <c r="DD981" i="3"/>
  <c r="DC981" i="3"/>
  <c r="DB981" i="3"/>
  <c r="DA981" i="3"/>
  <c r="CZ981" i="3"/>
  <c r="CY981" i="3"/>
  <c r="CX981" i="3"/>
  <c r="CW981" i="3"/>
  <c r="CV981" i="3"/>
  <c r="CU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C981" i="3"/>
  <c r="CB981" i="3"/>
  <c r="CA981" i="3"/>
  <c r="BZ981" i="3"/>
  <c r="BY981" i="3"/>
  <c r="BX981" i="3"/>
  <c r="BW981" i="3"/>
  <c r="BV981" i="3"/>
  <c r="BU981" i="3"/>
  <c r="BT981" i="3"/>
  <c r="BS981" i="3"/>
  <c r="BR981" i="3"/>
  <c r="BQ981" i="3"/>
  <c r="BP981" i="3"/>
  <c r="BO981" i="3"/>
  <c r="BN981" i="3"/>
  <c r="DU980" i="3"/>
  <c r="DT980" i="3"/>
  <c r="DS980" i="3"/>
  <c r="DR980" i="3"/>
  <c r="DQ980" i="3"/>
  <c r="DP980" i="3"/>
  <c r="DO980" i="3"/>
  <c r="DN980" i="3"/>
  <c r="DM980" i="3"/>
  <c r="DL980" i="3"/>
  <c r="DK980" i="3"/>
  <c r="DJ980" i="3"/>
  <c r="DI980" i="3"/>
  <c r="DH980" i="3"/>
  <c r="DG980" i="3"/>
  <c r="DF980" i="3"/>
  <c r="DE980" i="3"/>
  <c r="DD980" i="3"/>
  <c r="DC980" i="3"/>
  <c r="DB980" i="3"/>
  <c r="DA980" i="3"/>
  <c r="CZ980" i="3"/>
  <c r="CY980" i="3"/>
  <c r="CX980" i="3"/>
  <c r="CW980" i="3"/>
  <c r="CV980" i="3"/>
  <c r="CU980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C980" i="3"/>
  <c r="CB980" i="3"/>
  <c r="CA980" i="3"/>
  <c r="BZ980" i="3"/>
  <c r="BY980" i="3"/>
  <c r="BX980" i="3"/>
  <c r="BW980" i="3"/>
  <c r="BV980" i="3"/>
  <c r="BU980" i="3"/>
  <c r="BT980" i="3"/>
  <c r="BS980" i="3"/>
  <c r="BR980" i="3"/>
  <c r="BQ980" i="3"/>
  <c r="BP980" i="3"/>
  <c r="BO980" i="3"/>
  <c r="BN980" i="3"/>
  <c r="DU979" i="3"/>
  <c r="DT979" i="3"/>
  <c r="DS979" i="3"/>
  <c r="DR979" i="3"/>
  <c r="DQ979" i="3"/>
  <c r="DP979" i="3"/>
  <c r="DO979" i="3"/>
  <c r="DN979" i="3"/>
  <c r="DM979" i="3"/>
  <c r="DL979" i="3"/>
  <c r="DK979" i="3"/>
  <c r="DJ979" i="3"/>
  <c r="DI979" i="3"/>
  <c r="DH979" i="3"/>
  <c r="DG979" i="3"/>
  <c r="DF979" i="3"/>
  <c r="DE979" i="3"/>
  <c r="DD979" i="3"/>
  <c r="DC979" i="3"/>
  <c r="DB979" i="3"/>
  <c r="DA979" i="3"/>
  <c r="CZ979" i="3"/>
  <c r="CY979" i="3"/>
  <c r="CX979" i="3"/>
  <c r="CW979" i="3"/>
  <c r="CV979" i="3"/>
  <c r="CU979" i="3"/>
  <c r="CT979" i="3"/>
  <c r="CS979" i="3"/>
  <c r="CR979" i="3"/>
  <c r="CQ979" i="3"/>
  <c r="CP979" i="3"/>
  <c r="CO979" i="3"/>
  <c r="CN979" i="3"/>
  <c r="CM979" i="3"/>
  <c r="CL979" i="3"/>
  <c r="CK979" i="3"/>
  <c r="CJ979" i="3"/>
  <c r="CI979" i="3"/>
  <c r="CH979" i="3"/>
  <c r="CG979" i="3"/>
  <c r="CF979" i="3"/>
  <c r="CE979" i="3"/>
  <c r="CD979" i="3"/>
  <c r="CC979" i="3"/>
  <c r="CB979" i="3"/>
  <c r="CA979" i="3"/>
  <c r="BZ979" i="3"/>
  <c r="BY979" i="3"/>
  <c r="BX979" i="3"/>
  <c r="BW979" i="3"/>
  <c r="BV979" i="3"/>
  <c r="BU979" i="3"/>
  <c r="BT979" i="3"/>
  <c r="BS979" i="3"/>
  <c r="BR979" i="3"/>
  <c r="BQ979" i="3"/>
  <c r="BP979" i="3"/>
  <c r="BO979" i="3"/>
  <c r="BN979" i="3"/>
  <c r="DU978" i="3"/>
  <c r="DT978" i="3"/>
  <c r="DS978" i="3"/>
  <c r="DR978" i="3"/>
  <c r="DQ978" i="3"/>
  <c r="DP978" i="3"/>
  <c r="DO978" i="3"/>
  <c r="DN978" i="3"/>
  <c r="DM978" i="3"/>
  <c r="DL978" i="3"/>
  <c r="DK978" i="3"/>
  <c r="DJ978" i="3"/>
  <c r="DI978" i="3"/>
  <c r="DH978" i="3"/>
  <c r="DG978" i="3"/>
  <c r="DF978" i="3"/>
  <c r="DE978" i="3"/>
  <c r="DD978" i="3"/>
  <c r="DC978" i="3"/>
  <c r="DB978" i="3"/>
  <c r="DA978" i="3"/>
  <c r="CZ978" i="3"/>
  <c r="CY978" i="3"/>
  <c r="CX978" i="3"/>
  <c r="CW978" i="3"/>
  <c r="CV978" i="3"/>
  <c r="CU978" i="3"/>
  <c r="CT978" i="3"/>
  <c r="CS978" i="3"/>
  <c r="CR978" i="3"/>
  <c r="CQ978" i="3"/>
  <c r="CP978" i="3"/>
  <c r="CO978" i="3"/>
  <c r="CN978" i="3"/>
  <c r="CM978" i="3"/>
  <c r="CL978" i="3"/>
  <c r="CK978" i="3"/>
  <c r="CJ978" i="3"/>
  <c r="CI978" i="3"/>
  <c r="CH978" i="3"/>
  <c r="CG978" i="3"/>
  <c r="CF978" i="3"/>
  <c r="CE978" i="3"/>
  <c r="CD978" i="3"/>
  <c r="CC978" i="3"/>
  <c r="CB978" i="3"/>
  <c r="CA978" i="3"/>
  <c r="BZ978" i="3"/>
  <c r="BY978" i="3"/>
  <c r="BX978" i="3"/>
  <c r="BW978" i="3"/>
  <c r="BV978" i="3"/>
  <c r="BU978" i="3"/>
  <c r="BT978" i="3"/>
  <c r="BS978" i="3"/>
  <c r="BR978" i="3"/>
  <c r="BQ978" i="3"/>
  <c r="BP978" i="3"/>
  <c r="BO978" i="3"/>
  <c r="BN978" i="3"/>
  <c r="DU977" i="3"/>
  <c r="DT977" i="3"/>
  <c r="DS977" i="3"/>
  <c r="DR977" i="3"/>
  <c r="DQ977" i="3"/>
  <c r="DP977" i="3"/>
  <c r="DO977" i="3"/>
  <c r="DN977" i="3"/>
  <c r="DM977" i="3"/>
  <c r="DL977" i="3"/>
  <c r="DK977" i="3"/>
  <c r="DJ977" i="3"/>
  <c r="DI977" i="3"/>
  <c r="DH977" i="3"/>
  <c r="DG977" i="3"/>
  <c r="DF977" i="3"/>
  <c r="DE977" i="3"/>
  <c r="DD977" i="3"/>
  <c r="DC977" i="3"/>
  <c r="DB977" i="3"/>
  <c r="DA977" i="3"/>
  <c r="CZ977" i="3"/>
  <c r="CY977" i="3"/>
  <c r="CX977" i="3"/>
  <c r="CW977" i="3"/>
  <c r="CV977" i="3"/>
  <c r="CU977" i="3"/>
  <c r="CT977" i="3"/>
  <c r="CS977" i="3"/>
  <c r="CR977" i="3"/>
  <c r="CQ977" i="3"/>
  <c r="CP977" i="3"/>
  <c r="CO977" i="3"/>
  <c r="CN977" i="3"/>
  <c r="CM977" i="3"/>
  <c r="CL977" i="3"/>
  <c r="CK977" i="3"/>
  <c r="CJ977" i="3"/>
  <c r="CI977" i="3"/>
  <c r="CH977" i="3"/>
  <c r="CG977" i="3"/>
  <c r="CF977" i="3"/>
  <c r="CE977" i="3"/>
  <c r="CD977" i="3"/>
  <c r="CC977" i="3"/>
  <c r="CB977" i="3"/>
  <c r="CA977" i="3"/>
  <c r="BZ977" i="3"/>
  <c r="BY977" i="3"/>
  <c r="BX977" i="3"/>
  <c r="BW977" i="3"/>
  <c r="BV977" i="3"/>
  <c r="BU977" i="3"/>
  <c r="BT977" i="3"/>
  <c r="BS977" i="3"/>
  <c r="BR977" i="3"/>
  <c r="BQ977" i="3"/>
  <c r="BP977" i="3"/>
  <c r="BO977" i="3"/>
  <c r="BN977" i="3"/>
  <c r="DU976" i="3"/>
  <c r="DT976" i="3"/>
  <c r="DS976" i="3"/>
  <c r="DR976" i="3"/>
  <c r="DQ976" i="3"/>
  <c r="DP976" i="3"/>
  <c r="DO976" i="3"/>
  <c r="DN976" i="3"/>
  <c r="DM976" i="3"/>
  <c r="DL976" i="3"/>
  <c r="DK976" i="3"/>
  <c r="DJ976" i="3"/>
  <c r="DI976" i="3"/>
  <c r="DH976" i="3"/>
  <c r="DG976" i="3"/>
  <c r="DF976" i="3"/>
  <c r="DE976" i="3"/>
  <c r="DD976" i="3"/>
  <c r="DC976" i="3"/>
  <c r="DB976" i="3"/>
  <c r="DA976" i="3"/>
  <c r="CZ976" i="3"/>
  <c r="CY976" i="3"/>
  <c r="CX976" i="3"/>
  <c r="CW976" i="3"/>
  <c r="CV976" i="3"/>
  <c r="CU976" i="3"/>
  <c r="CT976" i="3"/>
  <c r="CS976" i="3"/>
  <c r="CR976" i="3"/>
  <c r="CQ976" i="3"/>
  <c r="CP976" i="3"/>
  <c r="CO976" i="3"/>
  <c r="CN976" i="3"/>
  <c r="CM976" i="3"/>
  <c r="CL976" i="3"/>
  <c r="CK976" i="3"/>
  <c r="CJ976" i="3"/>
  <c r="CI976" i="3"/>
  <c r="CH976" i="3"/>
  <c r="CG976" i="3"/>
  <c r="CF976" i="3"/>
  <c r="CE976" i="3"/>
  <c r="CD976" i="3"/>
  <c r="CC976" i="3"/>
  <c r="CB976" i="3"/>
  <c r="CA976" i="3"/>
  <c r="BZ976" i="3"/>
  <c r="BY976" i="3"/>
  <c r="BX976" i="3"/>
  <c r="BW976" i="3"/>
  <c r="BV976" i="3"/>
  <c r="BU976" i="3"/>
  <c r="BT976" i="3"/>
  <c r="BS976" i="3"/>
  <c r="BR976" i="3"/>
  <c r="BQ976" i="3"/>
  <c r="BP976" i="3"/>
  <c r="BO976" i="3"/>
  <c r="BN976" i="3"/>
  <c r="DU975" i="3"/>
  <c r="DT975" i="3"/>
  <c r="DS975" i="3"/>
  <c r="DR975" i="3"/>
  <c r="DQ975" i="3"/>
  <c r="DP975" i="3"/>
  <c r="DO975" i="3"/>
  <c r="DN975" i="3"/>
  <c r="DM975" i="3"/>
  <c r="DL975" i="3"/>
  <c r="DK975" i="3"/>
  <c r="DJ975" i="3"/>
  <c r="DI975" i="3"/>
  <c r="DH975" i="3"/>
  <c r="DG975" i="3"/>
  <c r="DF975" i="3"/>
  <c r="DE975" i="3"/>
  <c r="DD975" i="3"/>
  <c r="DC975" i="3"/>
  <c r="DB975" i="3"/>
  <c r="DA975" i="3"/>
  <c r="CZ975" i="3"/>
  <c r="CY975" i="3"/>
  <c r="CX975" i="3"/>
  <c r="CW975" i="3"/>
  <c r="CV975" i="3"/>
  <c r="CU975" i="3"/>
  <c r="CT975" i="3"/>
  <c r="CS975" i="3"/>
  <c r="CR975" i="3"/>
  <c r="CQ975" i="3"/>
  <c r="CP975" i="3"/>
  <c r="CO975" i="3"/>
  <c r="CN975" i="3"/>
  <c r="CM975" i="3"/>
  <c r="CL975" i="3"/>
  <c r="CK975" i="3"/>
  <c r="CJ975" i="3"/>
  <c r="CI975" i="3"/>
  <c r="CH975" i="3"/>
  <c r="CG975" i="3"/>
  <c r="CF975" i="3"/>
  <c r="CE975" i="3"/>
  <c r="CD975" i="3"/>
  <c r="CC975" i="3"/>
  <c r="CB975" i="3"/>
  <c r="CA975" i="3"/>
  <c r="BZ975" i="3"/>
  <c r="BY975" i="3"/>
  <c r="BX975" i="3"/>
  <c r="BW975" i="3"/>
  <c r="BV975" i="3"/>
  <c r="BU975" i="3"/>
  <c r="BT975" i="3"/>
  <c r="BS975" i="3"/>
  <c r="BR975" i="3"/>
  <c r="BQ975" i="3"/>
  <c r="BP975" i="3"/>
  <c r="BO975" i="3"/>
  <c r="BN975" i="3"/>
  <c r="DU974" i="3"/>
  <c r="DT974" i="3"/>
  <c r="DS974" i="3"/>
  <c r="DR974" i="3"/>
  <c r="DQ974" i="3"/>
  <c r="DP974" i="3"/>
  <c r="DO974" i="3"/>
  <c r="DN974" i="3"/>
  <c r="DM974" i="3"/>
  <c r="DL974" i="3"/>
  <c r="DK974" i="3"/>
  <c r="DJ974" i="3"/>
  <c r="DI974" i="3"/>
  <c r="DH974" i="3"/>
  <c r="DG974" i="3"/>
  <c r="DF974" i="3"/>
  <c r="DE974" i="3"/>
  <c r="DD974" i="3"/>
  <c r="DC974" i="3"/>
  <c r="DB974" i="3"/>
  <c r="DA974" i="3"/>
  <c r="CZ974" i="3"/>
  <c r="CY974" i="3"/>
  <c r="CX974" i="3"/>
  <c r="CW974" i="3"/>
  <c r="CV974" i="3"/>
  <c r="CU974" i="3"/>
  <c r="CT974" i="3"/>
  <c r="CS974" i="3"/>
  <c r="CR974" i="3"/>
  <c r="CQ974" i="3"/>
  <c r="CP974" i="3"/>
  <c r="CO974" i="3"/>
  <c r="CN974" i="3"/>
  <c r="CM974" i="3"/>
  <c r="CL974" i="3"/>
  <c r="CK974" i="3"/>
  <c r="CJ974" i="3"/>
  <c r="CI974" i="3"/>
  <c r="CH974" i="3"/>
  <c r="CG974" i="3"/>
  <c r="CF974" i="3"/>
  <c r="CE974" i="3"/>
  <c r="CD974" i="3"/>
  <c r="CC974" i="3"/>
  <c r="CB974" i="3"/>
  <c r="CA974" i="3"/>
  <c r="BZ974" i="3"/>
  <c r="BY974" i="3"/>
  <c r="BX974" i="3"/>
  <c r="BW974" i="3"/>
  <c r="BV974" i="3"/>
  <c r="BU974" i="3"/>
  <c r="BT974" i="3"/>
  <c r="BS974" i="3"/>
  <c r="BR974" i="3"/>
  <c r="BQ974" i="3"/>
  <c r="BP974" i="3"/>
  <c r="BO974" i="3"/>
  <c r="BN974" i="3"/>
  <c r="DU973" i="3"/>
  <c r="DT973" i="3"/>
  <c r="DS973" i="3"/>
  <c r="DR973" i="3"/>
  <c r="DQ973" i="3"/>
  <c r="DP973" i="3"/>
  <c r="DO973" i="3"/>
  <c r="DN973" i="3"/>
  <c r="DM973" i="3"/>
  <c r="DL973" i="3"/>
  <c r="DK973" i="3"/>
  <c r="DJ973" i="3"/>
  <c r="DI973" i="3"/>
  <c r="DH973" i="3"/>
  <c r="DG973" i="3"/>
  <c r="DF973" i="3"/>
  <c r="DE973" i="3"/>
  <c r="DD973" i="3"/>
  <c r="DC973" i="3"/>
  <c r="DB973" i="3"/>
  <c r="DA973" i="3"/>
  <c r="CZ973" i="3"/>
  <c r="CY973" i="3"/>
  <c r="CX973" i="3"/>
  <c r="CW973" i="3"/>
  <c r="CV973" i="3"/>
  <c r="CU973" i="3"/>
  <c r="CT973" i="3"/>
  <c r="CS973" i="3"/>
  <c r="CR973" i="3"/>
  <c r="CQ973" i="3"/>
  <c r="CP973" i="3"/>
  <c r="CO973" i="3"/>
  <c r="CN973" i="3"/>
  <c r="CM973" i="3"/>
  <c r="CL973" i="3"/>
  <c r="CK973" i="3"/>
  <c r="CJ973" i="3"/>
  <c r="CI973" i="3"/>
  <c r="CH973" i="3"/>
  <c r="CG973" i="3"/>
  <c r="CF973" i="3"/>
  <c r="CE973" i="3"/>
  <c r="CD973" i="3"/>
  <c r="CC973" i="3"/>
  <c r="CB973" i="3"/>
  <c r="CA973" i="3"/>
  <c r="BZ973" i="3"/>
  <c r="BY973" i="3"/>
  <c r="BX973" i="3"/>
  <c r="BW973" i="3"/>
  <c r="BV973" i="3"/>
  <c r="BU973" i="3"/>
  <c r="BT973" i="3"/>
  <c r="BS973" i="3"/>
  <c r="BR973" i="3"/>
  <c r="BQ973" i="3"/>
  <c r="BP973" i="3"/>
  <c r="BO973" i="3"/>
  <c r="BN973" i="3"/>
  <c r="DU972" i="3"/>
  <c r="DT972" i="3"/>
  <c r="DS972" i="3"/>
  <c r="DR972" i="3"/>
  <c r="DQ972" i="3"/>
  <c r="DP972" i="3"/>
  <c r="DO972" i="3"/>
  <c r="DN972" i="3"/>
  <c r="DM972" i="3"/>
  <c r="DL972" i="3"/>
  <c r="DK972" i="3"/>
  <c r="DJ972" i="3"/>
  <c r="DI972" i="3"/>
  <c r="DH972" i="3"/>
  <c r="DG972" i="3"/>
  <c r="DF972" i="3"/>
  <c r="DE972" i="3"/>
  <c r="DD972" i="3"/>
  <c r="DC972" i="3"/>
  <c r="DB972" i="3"/>
  <c r="DA972" i="3"/>
  <c r="CZ972" i="3"/>
  <c r="CY972" i="3"/>
  <c r="CX972" i="3"/>
  <c r="CW972" i="3"/>
  <c r="CV972" i="3"/>
  <c r="CU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C972" i="3"/>
  <c r="CB972" i="3"/>
  <c r="CA972" i="3"/>
  <c r="BZ972" i="3"/>
  <c r="BY972" i="3"/>
  <c r="BX972" i="3"/>
  <c r="BW972" i="3"/>
  <c r="BV972" i="3"/>
  <c r="BU972" i="3"/>
  <c r="BT972" i="3"/>
  <c r="BS972" i="3"/>
  <c r="BR972" i="3"/>
  <c r="BQ972" i="3"/>
  <c r="BP972" i="3"/>
  <c r="BO972" i="3"/>
  <c r="BN972" i="3"/>
  <c r="DU971" i="3"/>
  <c r="DT971" i="3"/>
  <c r="DS971" i="3"/>
  <c r="DR971" i="3"/>
  <c r="DQ971" i="3"/>
  <c r="DP971" i="3"/>
  <c r="DO971" i="3"/>
  <c r="DN971" i="3"/>
  <c r="DM971" i="3"/>
  <c r="DL971" i="3"/>
  <c r="DK971" i="3"/>
  <c r="DJ971" i="3"/>
  <c r="DI971" i="3"/>
  <c r="DH971" i="3"/>
  <c r="DG971" i="3"/>
  <c r="DF971" i="3"/>
  <c r="DE971" i="3"/>
  <c r="DD971" i="3"/>
  <c r="DC971" i="3"/>
  <c r="DB971" i="3"/>
  <c r="DA971" i="3"/>
  <c r="CZ971" i="3"/>
  <c r="CY971" i="3"/>
  <c r="CX971" i="3"/>
  <c r="CW971" i="3"/>
  <c r="CV971" i="3"/>
  <c r="CU971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C971" i="3"/>
  <c r="CB971" i="3"/>
  <c r="CA971" i="3"/>
  <c r="BZ971" i="3"/>
  <c r="BY971" i="3"/>
  <c r="BX971" i="3"/>
  <c r="BW971" i="3"/>
  <c r="BV971" i="3"/>
  <c r="BU971" i="3"/>
  <c r="BT971" i="3"/>
  <c r="BS971" i="3"/>
  <c r="BR971" i="3"/>
  <c r="BQ971" i="3"/>
  <c r="BP971" i="3"/>
  <c r="BO971" i="3"/>
  <c r="BN971" i="3"/>
  <c r="DU970" i="3"/>
  <c r="DT970" i="3"/>
  <c r="DS970" i="3"/>
  <c r="DR970" i="3"/>
  <c r="DQ970" i="3"/>
  <c r="DP970" i="3"/>
  <c r="DO970" i="3"/>
  <c r="DN970" i="3"/>
  <c r="DM970" i="3"/>
  <c r="DL970" i="3"/>
  <c r="DK970" i="3"/>
  <c r="DJ970" i="3"/>
  <c r="DI970" i="3"/>
  <c r="DH970" i="3"/>
  <c r="DG970" i="3"/>
  <c r="DF970" i="3"/>
  <c r="DE970" i="3"/>
  <c r="DD970" i="3"/>
  <c r="DC970" i="3"/>
  <c r="DB970" i="3"/>
  <c r="DA970" i="3"/>
  <c r="CZ970" i="3"/>
  <c r="CY970" i="3"/>
  <c r="CX970" i="3"/>
  <c r="CW970" i="3"/>
  <c r="CV970" i="3"/>
  <c r="CU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C970" i="3"/>
  <c r="CB970" i="3"/>
  <c r="CA970" i="3"/>
  <c r="BZ970" i="3"/>
  <c r="BY970" i="3"/>
  <c r="BX970" i="3"/>
  <c r="BW970" i="3"/>
  <c r="BV970" i="3"/>
  <c r="BU970" i="3"/>
  <c r="BT970" i="3"/>
  <c r="BS970" i="3"/>
  <c r="BR970" i="3"/>
  <c r="BQ970" i="3"/>
  <c r="BP970" i="3"/>
  <c r="BO970" i="3"/>
  <c r="BN970" i="3"/>
  <c r="DU969" i="3"/>
  <c r="DT969" i="3"/>
  <c r="DS969" i="3"/>
  <c r="DR969" i="3"/>
  <c r="DQ969" i="3"/>
  <c r="DP969" i="3"/>
  <c r="DO969" i="3"/>
  <c r="DN969" i="3"/>
  <c r="DM969" i="3"/>
  <c r="DL969" i="3"/>
  <c r="DK969" i="3"/>
  <c r="DJ969" i="3"/>
  <c r="DI969" i="3"/>
  <c r="DH969" i="3"/>
  <c r="DG969" i="3"/>
  <c r="DF969" i="3"/>
  <c r="DE969" i="3"/>
  <c r="DD969" i="3"/>
  <c r="DC969" i="3"/>
  <c r="DB969" i="3"/>
  <c r="DA969" i="3"/>
  <c r="CZ969" i="3"/>
  <c r="CY969" i="3"/>
  <c r="CX969" i="3"/>
  <c r="CW969" i="3"/>
  <c r="CV969" i="3"/>
  <c r="CU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C969" i="3"/>
  <c r="CB969" i="3"/>
  <c r="CA969" i="3"/>
  <c r="BZ969" i="3"/>
  <c r="BY969" i="3"/>
  <c r="BX969" i="3"/>
  <c r="BW969" i="3"/>
  <c r="BV969" i="3"/>
  <c r="BU969" i="3"/>
  <c r="BT969" i="3"/>
  <c r="BS969" i="3"/>
  <c r="BR969" i="3"/>
  <c r="BQ969" i="3"/>
  <c r="BP969" i="3"/>
  <c r="BO969" i="3"/>
  <c r="BN969" i="3"/>
  <c r="DU968" i="3"/>
  <c r="DT968" i="3"/>
  <c r="DS968" i="3"/>
  <c r="DR968" i="3"/>
  <c r="DQ968" i="3"/>
  <c r="DP968" i="3"/>
  <c r="DO968" i="3"/>
  <c r="DN968" i="3"/>
  <c r="DM968" i="3"/>
  <c r="DL968" i="3"/>
  <c r="DK968" i="3"/>
  <c r="DJ968" i="3"/>
  <c r="DI968" i="3"/>
  <c r="DH968" i="3"/>
  <c r="DG968" i="3"/>
  <c r="DF968" i="3"/>
  <c r="DE968" i="3"/>
  <c r="DD968" i="3"/>
  <c r="DC968" i="3"/>
  <c r="DB968" i="3"/>
  <c r="DA968" i="3"/>
  <c r="CZ968" i="3"/>
  <c r="CY968" i="3"/>
  <c r="CX968" i="3"/>
  <c r="CW968" i="3"/>
  <c r="CV968" i="3"/>
  <c r="CU968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C968" i="3"/>
  <c r="CB968" i="3"/>
  <c r="CA968" i="3"/>
  <c r="BZ968" i="3"/>
  <c r="BY968" i="3"/>
  <c r="BX968" i="3"/>
  <c r="BW968" i="3"/>
  <c r="BV968" i="3"/>
  <c r="BU968" i="3"/>
  <c r="BT968" i="3"/>
  <c r="BS968" i="3"/>
  <c r="BR968" i="3"/>
  <c r="BQ968" i="3"/>
  <c r="BP968" i="3"/>
  <c r="BO968" i="3"/>
  <c r="BN968" i="3"/>
  <c r="DU967" i="3"/>
  <c r="DT967" i="3"/>
  <c r="DS967" i="3"/>
  <c r="DR967" i="3"/>
  <c r="DQ967" i="3"/>
  <c r="DP967" i="3"/>
  <c r="DO967" i="3"/>
  <c r="DN967" i="3"/>
  <c r="DM967" i="3"/>
  <c r="DL967" i="3"/>
  <c r="DK967" i="3"/>
  <c r="DJ967" i="3"/>
  <c r="DI967" i="3"/>
  <c r="DH967" i="3"/>
  <c r="DG967" i="3"/>
  <c r="DF967" i="3"/>
  <c r="DE967" i="3"/>
  <c r="DD967" i="3"/>
  <c r="DC967" i="3"/>
  <c r="DB967" i="3"/>
  <c r="DA967" i="3"/>
  <c r="CZ967" i="3"/>
  <c r="CY967" i="3"/>
  <c r="CX967" i="3"/>
  <c r="CW967" i="3"/>
  <c r="CV967" i="3"/>
  <c r="CU967" i="3"/>
  <c r="CT967" i="3"/>
  <c r="CS967" i="3"/>
  <c r="CR967" i="3"/>
  <c r="CQ967" i="3"/>
  <c r="CP967" i="3"/>
  <c r="CO967" i="3"/>
  <c r="CN967" i="3"/>
  <c r="CM967" i="3"/>
  <c r="CL967" i="3"/>
  <c r="CK967" i="3"/>
  <c r="CJ967" i="3"/>
  <c r="CI967" i="3"/>
  <c r="CH967" i="3"/>
  <c r="CG967" i="3"/>
  <c r="CF967" i="3"/>
  <c r="CE967" i="3"/>
  <c r="CD967" i="3"/>
  <c r="CC967" i="3"/>
  <c r="CB967" i="3"/>
  <c r="CA967" i="3"/>
  <c r="BZ967" i="3"/>
  <c r="BY967" i="3"/>
  <c r="BX967" i="3"/>
  <c r="BW967" i="3"/>
  <c r="BV967" i="3"/>
  <c r="BU967" i="3"/>
  <c r="BT967" i="3"/>
  <c r="BS967" i="3"/>
  <c r="BR967" i="3"/>
  <c r="BQ967" i="3"/>
  <c r="BP967" i="3"/>
  <c r="BO967" i="3"/>
  <c r="BN967" i="3"/>
  <c r="DU966" i="3"/>
  <c r="DT966" i="3"/>
  <c r="DS966" i="3"/>
  <c r="DR966" i="3"/>
  <c r="DQ966" i="3"/>
  <c r="DP966" i="3"/>
  <c r="DO966" i="3"/>
  <c r="DN966" i="3"/>
  <c r="DM966" i="3"/>
  <c r="DL966" i="3"/>
  <c r="DK966" i="3"/>
  <c r="DJ966" i="3"/>
  <c r="DI966" i="3"/>
  <c r="DH966" i="3"/>
  <c r="DG966" i="3"/>
  <c r="DF966" i="3"/>
  <c r="DE966" i="3"/>
  <c r="DD966" i="3"/>
  <c r="DC966" i="3"/>
  <c r="DB966" i="3"/>
  <c r="DA966" i="3"/>
  <c r="CZ966" i="3"/>
  <c r="CY966" i="3"/>
  <c r="CX966" i="3"/>
  <c r="CW966" i="3"/>
  <c r="CV966" i="3"/>
  <c r="CU966" i="3"/>
  <c r="CT966" i="3"/>
  <c r="CS966" i="3"/>
  <c r="CR966" i="3"/>
  <c r="CQ966" i="3"/>
  <c r="CP966" i="3"/>
  <c r="CO966" i="3"/>
  <c r="CN966" i="3"/>
  <c r="CM966" i="3"/>
  <c r="CL966" i="3"/>
  <c r="CK966" i="3"/>
  <c r="CJ966" i="3"/>
  <c r="CI966" i="3"/>
  <c r="CH966" i="3"/>
  <c r="CG966" i="3"/>
  <c r="CF966" i="3"/>
  <c r="CE966" i="3"/>
  <c r="CD966" i="3"/>
  <c r="CC966" i="3"/>
  <c r="CB966" i="3"/>
  <c r="CA966" i="3"/>
  <c r="BZ966" i="3"/>
  <c r="BY966" i="3"/>
  <c r="BX966" i="3"/>
  <c r="BW966" i="3"/>
  <c r="BV966" i="3"/>
  <c r="BU966" i="3"/>
  <c r="BT966" i="3"/>
  <c r="BS966" i="3"/>
  <c r="BR966" i="3"/>
  <c r="BQ966" i="3"/>
  <c r="BP966" i="3"/>
  <c r="BO966" i="3"/>
  <c r="BN966" i="3"/>
  <c r="DU965" i="3"/>
  <c r="DT965" i="3"/>
  <c r="DS965" i="3"/>
  <c r="DR965" i="3"/>
  <c r="DQ965" i="3"/>
  <c r="DP965" i="3"/>
  <c r="DO965" i="3"/>
  <c r="DN965" i="3"/>
  <c r="DM965" i="3"/>
  <c r="DL965" i="3"/>
  <c r="DK965" i="3"/>
  <c r="DJ965" i="3"/>
  <c r="DI965" i="3"/>
  <c r="DH965" i="3"/>
  <c r="DG965" i="3"/>
  <c r="DF965" i="3"/>
  <c r="DE965" i="3"/>
  <c r="DD965" i="3"/>
  <c r="DC965" i="3"/>
  <c r="DB965" i="3"/>
  <c r="DA965" i="3"/>
  <c r="CZ965" i="3"/>
  <c r="CY965" i="3"/>
  <c r="CX965" i="3"/>
  <c r="CW965" i="3"/>
  <c r="CV965" i="3"/>
  <c r="CU965" i="3"/>
  <c r="CT965" i="3"/>
  <c r="CS965" i="3"/>
  <c r="CR965" i="3"/>
  <c r="CQ965" i="3"/>
  <c r="CP965" i="3"/>
  <c r="CO965" i="3"/>
  <c r="CN965" i="3"/>
  <c r="CM965" i="3"/>
  <c r="CL965" i="3"/>
  <c r="CK965" i="3"/>
  <c r="CJ965" i="3"/>
  <c r="CI965" i="3"/>
  <c r="CH965" i="3"/>
  <c r="CG965" i="3"/>
  <c r="CF965" i="3"/>
  <c r="CE965" i="3"/>
  <c r="CD965" i="3"/>
  <c r="CC965" i="3"/>
  <c r="CB965" i="3"/>
  <c r="CA965" i="3"/>
  <c r="BZ965" i="3"/>
  <c r="BY965" i="3"/>
  <c r="BX965" i="3"/>
  <c r="BW965" i="3"/>
  <c r="BV965" i="3"/>
  <c r="BU965" i="3"/>
  <c r="BT965" i="3"/>
  <c r="BS965" i="3"/>
  <c r="BR965" i="3"/>
  <c r="BQ965" i="3"/>
  <c r="BP965" i="3"/>
  <c r="BO965" i="3"/>
  <c r="BN965" i="3"/>
  <c r="DU964" i="3"/>
  <c r="DT964" i="3"/>
  <c r="DS964" i="3"/>
  <c r="DR964" i="3"/>
  <c r="DQ964" i="3"/>
  <c r="DP964" i="3"/>
  <c r="DO964" i="3"/>
  <c r="DN964" i="3"/>
  <c r="DM964" i="3"/>
  <c r="DL964" i="3"/>
  <c r="DK964" i="3"/>
  <c r="DJ964" i="3"/>
  <c r="DI964" i="3"/>
  <c r="DH964" i="3"/>
  <c r="DG964" i="3"/>
  <c r="DF964" i="3"/>
  <c r="DE964" i="3"/>
  <c r="DD964" i="3"/>
  <c r="DC964" i="3"/>
  <c r="DB964" i="3"/>
  <c r="DA964" i="3"/>
  <c r="CZ964" i="3"/>
  <c r="CY964" i="3"/>
  <c r="CX964" i="3"/>
  <c r="CW964" i="3"/>
  <c r="CV964" i="3"/>
  <c r="CU964" i="3"/>
  <c r="CT964" i="3"/>
  <c r="CS964" i="3"/>
  <c r="CR964" i="3"/>
  <c r="CQ964" i="3"/>
  <c r="CP964" i="3"/>
  <c r="CO964" i="3"/>
  <c r="CN964" i="3"/>
  <c r="CM964" i="3"/>
  <c r="CL964" i="3"/>
  <c r="CK964" i="3"/>
  <c r="CJ964" i="3"/>
  <c r="CI964" i="3"/>
  <c r="CH964" i="3"/>
  <c r="CG964" i="3"/>
  <c r="CF964" i="3"/>
  <c r="CE964" i="3"/>
  <c r="CD964" i="3"/>
  <c r="CC964" i="3"/>
  <c r="CB964" i="3"/>
  <c r="CA964" i="3"/>
  <c r="BZ964" i="3"/>
  <c r="BY964" i="3"/>
  <c r="BX964" i="3"/>
  <c r="BW964" i="3"/>
  <c r="BV964" i="3"/>
  <c r="BU964" i="3"/>
  <c r="BT964" i="3"/>
  <c r="BS964" i="3"/>
  <c r="BR964" i="3"/>
  <c r="BQ964" i="3"/>
  <c r="BP964" i="3"/>
  <c r="BO964" i="3"/>
  <c r="BN964" i="3"/>
  <c r="DU963" i="3"/>
  <c r="DT963" i="3"/>
  <c r="DS963" i="3"/>
  <c r="DR963" i="3"/>
  <c r="DQ963" i="3"/>
  <c r="DP963" i="3"/>
  <c r="DO963" i="3"/>
  <c r="DN963" i="3"/>
  <c r="DM963" i="3"/>
  <c r="DL963" i="3"/>
  <c r="DK963" i="3"/>
  <c r="DJ963" i="3"/>
  <c r="DI963" i="3"/>
  <c r="DH963" i="3"/>
  <c r="DG963" i="3"/>
  <c r="DF963" i="3"/>
  <c r="DE963" i="3"/>
  <c r="DD963" i="3"/>
  <c r="DC963" i="3"/>
  <c r="DB963" i="3"/>
  <c r="DA963" i="3"/>
  <c r="CZ963" i="3"/>
  <c r="CY963" i="3"/>
  <c r="CX963" i="3"/>
  <c r="CW963" i="3"/>
  <c r="CV963" i="3"/>
  <c r="CU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C963" i="3"/>
  <c r="CB963" i="3"/>
  <c r="CA963" i="3"/>
  <c r="BZ963" i="3"/>
  <c r="BY963" i="3"/>
  <c r="BX963" i="3"/>
  <c r="BW963" i="3"/>
  <c r="BV963" i="3"/>
  <c r="BU963" i="3"/>
  <c r="BT963" i="3"/>
  <c r="BS963" i="3"/>
  <c r="BR963" i="3"/>
  <c r="BQ963" i="3"/>
  <c r="BP963" i="3"/>
  <c r="BO963" i="3"/>
  <c r="BN963" i="3"/>
  <c r="DU962" i="3"/>
  <c r="DT962" i="3"/>
  <c r="DS962" i="3"/>
  <c r="DR962" i="3"/>
  <c r="DQ962" i="3"/>
  <c r="DP962" i="3"/>
  <c r="DO962" i="3"/>
  <c r="DN962" i="3"/>
  <c r="DM962" i="3"/>
  <c r="DL962" i="3"/>
  <c r="DK962" i="3"/>
  <c r="DJ962" i="3"/>
  <c r="DI962" i="3"/>
  <c r="DH962" i="3"/>
  <c r="DG962" i="3"/>
  <c r="DF962" i="3"/>
  <c r="DE962" i="3"/>
  <c r="DD962" i="3"/>
  <c r="DC962" i="3"/>
  <c r="DB962" i="3"/>
  <c r="DA962" i="3"/>
  <c r="CZ962" i="3"/>
  <c r="CY962" i="3"/>
  <c r="CX962" i="3"/>
  <c r="CW962" i="3"/>
  <c r="CV962" i="3"/>
  <c r="CU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C962" i="3"/>
  <c r="CB962" i="3"/>
  <c r="CA962" i="3"/>
  <c r="BZ962" i="3"/>
  <c r="BY962" i="3"/>
  <c r="BX962" i="3"/>
  <c r="BW962" i="3"/>
  <c r="BV962" i="3"/>
  <c r="BU962" i="3"/>
  <c r="BT962" i="3"/>
  <c r="BS962" i="3"/>
  <c r="BR962" i="3"/>
  <c r="BQ962" i="3"/>
  <c r="BP962" i="3"/>
  <c r="BO962" i="3"/>
  <c r="BN962" i="3"/>
  <c r="DU961" i="3"/>
  <c r="DT961" i="3"/>
  <c r="DS961" i="3"/>
  <c r="DR961" i="3"/>
  <c r="DQ961" i="3"/>
  <c r="DP961" i="3"/>
  <c r="DO961" i="3"/>
  <c r="DN961" i="3"/>
  <c r="DM961" i="3"/>
  <c r="DL961" i="3"/>
  <c r="DK961" i="3"/>
  <c r="DJ961" i="3"/>
  <c r="DI961" i="3"/>
  <c r="DH961" i="3"/>
  <c r="DG961" i="3"/>
  <c r="DF961" i="3"/>
  <c r="DE961" i="3"/>
  <c r="DD961" i="3"/>
  <c r="DC961" i="3"/>
  <c r="DB961" i="3"/>
  <c r="DA961" i="3"/>
  <c r="CZ961" i="3"/>
  <c r="CY961" i="3"/>
  <c r="CX961" i="3"/>
  <c r="CW961" i="3"/>
  <c r="CV961" i="3"/>
  <c r="CU961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C961" i="3"/>
  <c r="CB961" i="3"/>
  <c r="CA961" i="3"/>
  <c r="BZ961" i="3"/>
  <c r="BY961" i="3"/>
  <c r="BX961" i="3"/>
  <c r="BW961" i="3"/>
  <c r="BV961" i="3"/>
  <c r="BU961" i="3"/>
  <c r="BT961" i="3"/>
  <c r="BS961" i="3"/>
  <c r="BR961" i="3"/>
  <c r="BQ961" i="3"/>
  <c r="BP961" i="3"/>
  <c r="BO961" i="3"/>
  <c r="BN961" i="3"/>
  <c r="DU960" i="3"/>
  <c r="DT960" i="3"/>
  <c r="DS960" i="3"/>
  <c r="DR960" i="3"/>
  <c r="DQ960" i="3"/>
  <c r="DP960" i="3"/>
  <c r="DO960" i="3"/>
  <c r="DN960" i="3"/>
  <c r="DM960" i="3"/>
  <c r="DL960" i="3"/>
  <c r="DK960" i="3"/>
  <c r="DJ960" i="3"/>
  <c r="DI960" i="3"/>
  <c r="DH960" i="3"/>
  <c r="DG960" i="3"/>
  <c r="DF960" i="3"/>
  <c r="DE960" i="3"/>
  <c r="DD960" i="3"/>
  <c r="DC960" i="3"/>
  <c r="DB960" i="3"/>
  <c r="DA960" i="3"/>
  <c r="CZ960" i="3"/>
  <c r="CY960" i="3"/>
  <c r="CX960" i="3"/>
  <c r="CW960" i="3"/>
  <c r="CV960" i="3"/>
  <c r="CU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C960" i="3"/>
  <c r="CB960" i="3"/>
  <c r="CA960" i="3"/>
  <c r="BZ960" i="3"/>
  <c r="BY960" i="3"/>
  <c r="BX960" i="3"/>
  <c r="BW960" i="3"/>
  <c r="BV960" i="3"/>
  <c r="BU960" i="3"/>
  <c r="BT960" i="3"/>
  <c r="BS960" i="3"/>
  <c r="BR960" i="3"/>
  <c r="BQ960" i="3"/>
  <c r="BP960" i="3"/>
  <c r="BO960" i="3"/>
  <c r="BN960" i="3"/>
  <c r="DU959" i="3"/>
  <c r="DT959" i="3"/>
  <c r="DS959" i="3"/>
  <c r="DR959" i="3"/>
  <c r="DQ959" i="3"/>
  <c r="DP959" i="3"/>
  <c r="DO959" i="3"/>
  <c r="DN959" i="3"/>
  <c r="DM959" i="3"/>
  <c r="DL959" i="3"/>
  <c r="DK959" i="3"/>
  <c r="DJ959" i="3"/>
  <c r="DI959" i="3"/>
  <c r="DH959" i="3"/>
  <c r="DG959" i="3"/>
  <c r="DF959" i="3"/>
  <c r="DE959" i="3"/>
  <c r="DD959" i="3"/>
  <c r="DC959" i="3"/>
  <c r="DB959" i="3"/>
  <c r="DA959" i="3"/>
  <c r="CZ959" i="3"/>
  <c r="CY959" i="3"/>
  <c r="CX959" i="3"/>
  <c r="CW959" i="3"/>
  <c r="CV959" i="3"/>
  <c r="CU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C959" i="3"/>
  <c r="CB959" i="3"/>
  <c r="CA959" i="3"/>
  <c r="BZ959" i="3"/>
  <c r="BY959" i="3"/>
  <c r="BX959" i="3"/>
  <c r="BW959" i="3"/>
  <c r="BV959" i="3"/>
  <c r="BU959" i="3"/>
  <c r="BT959" i="3"/>
  <c r="BS959" i="3"/>
  <c r="BR959" i="3"/>
  <c r="BQ959" i="3"/>
  <c r="BP959" i="3"/>
  <c r="BO959" i="3"/>
  <c r="BN959" i="3"/>
  <c r="DU958" i="3"/>
  <c r="DT958" i="3"/>
  <c r="DS958" i="3"/>
  <c r="DR958" i="3"/>
  <c r="DQ958" i="3"/>
  <c r="DP958" i="3"/>
  <c r="DO958" i="3"/>
  <c r="DN958" i="3"/>
  <c r="DM958" i="3"/>
  <c r="DL958" i="3"/>
  <c r="DK958" i="3"/>
  <c r="DJ958" i="3"/>
  <c r="DI958" i="3"/>
  <c r="DH958" i="3"/>
  <c r="DG958" i="3"/>
  <c r="DF958" i="3"/>
  <c r="DE958" i="3"/>
  <c r="DD958" i="3"/>
  <c r="DC958" i="3"/>
  <c r="DB958" i="3"/>
  <c r="DA958" i="3"/>
  <c r="CZ958" i="3"/>
  <c r="CY958" i="3"/>
  <c r="CX958" i="3"/>
  <c r="CW958" i="3"/>
  <c r="CV958" i="3"/>
  <c r="CU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C958" i="3"/>
  <c r="CB958" i="3"/>
  <c r="CA958" i="3"/>
  <c r="BZ958" i="3"/>
  <c r="BY958" i="3"/>
  <c r="BX958" i="3"/>
  <c r="BW958" i="3"/>
  <c r="BV958" i="3"/>
  <c r="BU958" i="3"/>
  <c r="BT958" i="3"/>
  <c r="BS958" i="3"/>
  <c r="BR958" i="3"/>
  <c r="BQ958" i="3"/>
  <c r="BP958" i="3"/>
  <c r="BO958" i="3"/>
  <c r="BN958" i="3"/>
  <c r="DU957" i="3"/>
  <c r="DT957" i="3"/>
  <c r="DS957" i="3"/>
  <c r="DR957" i="3"/>
  <c r="DQ957" i="3"/>
  <c r="DP957" i="3"/>
  <c r="DO957" i="3"/>
  <c r="DN957" i="3"/>
  <c r="DM957" i="3"/>
  <c r="DL957" i="3"/>
  <c r="DK957" i="3"/>
  <c r="DJ957" i="3"/>
  <c r="DI957" i="3"/>
  <c r="DH957" i="3"/>
  <c r="DG957" i="3"/>
  <c r="DF957" i="3"/>
  <c r="DE957" i="3"/>
  <c r="DD957" i="3"/>
  <c r="DC957" i="3"/>
  <c r="DB957" i="3"/>
  <c r="DA957" i="3"/>
  <c r="CZ957" i="3"/>
  <c r="CY957" i="3"/>
  <c r="CX957" i="3"/>
  <c r="CW957" i="3"/>
  <c r="CV957" i="3"/>
  <c r="CU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C957" i="3"/>
  <c r="CB957" i="3"/>
  <c r="CA957" i="3"/>
  <c r="BZ957" i="3"/>
  <c r="BY957" i="3"/>
  <c r="BX957" i="3"/>
  <c r="BW957" i="3"/>
  <c r="BV957" i="3"/>
  <c r="BU957" i="3"/>
  <c r="BT957" i="3"/>
  <c r="BS957" i="3"/>
  <c r="BR957" i="3"/>
  <c r="BQ957" i="3"/>
  <c r="BP957" i="3"/>
  <c r="BO957" i="3"/>
  <c r="BN957" i="3"/>
  <c r="DU956" i="3"/>
  <c r="DT956" i="3"/>
  <c r="DS956" i="3"/>
  <c r="DR956" i="3"/>
  <c r="DQ956" i="3"/>
  <c r="DP956" i="3"/>
  <c r="DO956" i="3"/>
  <c r="DN956" i="3"/>
  <c r="DM956" i="3"/>
  <c r="DL956" i="3"/>
  <c r="DK956" i="3"/>
  <c r="DJ956" i="3"/>
  <c r="DI956" i="3"/>
  <c r="DH956" i="3"/>
  <c r="DG956" i="3"/>
  <c r="DF956" i="3"/>
  <c r="DE956" i="3"/>
  <c r="DD956" i="3"/>
  <c r="DC956" i="3"/>
  <c r="DB956" i="3"/>
  <c r="DA956" i="3"/>
  <c r="CZ956" i="3"/>
  <c r="CY956" i="3"/>
  <c r="CX956" i="3"/>
  <c r="CW956" i="3"/>
  <c r="CV956" i="3"/>
  <c r="CU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C956" i="3"/>
  <c r="CB956" i="3"/>
  <c r="CA956" i="3"/>
  <c r="BZ956" i="3"/>
  <c r="BY956" i="3"/>
  <c r="BX956" i="3"/>
  <c r="BW956" i="3"/>
  <c r="BV956" i="3"/>
  <c r="BU956" i="3"/>
  <c r="BT956" i="3"/>
  <c r="BS956" i="3"/>
  <c r="BR956" i="3"/>
  <c r="BQ956" i="3"/>
  <c r="BP956" i="3"/>
  <c r="BO956" i="3"/>
  <c r="BN956" i="3"/>
  <c r="DU955" i="3"/>
  <c r="DT955" i="3"/>
  <c r="DS955" i="3"/>
  <c r="DR955" i="3"/>
  <c r="DQ955" i="3"/>
  <c r="DP955" i="3"/>
  <c r="DO955" i="3"/>
  <c r="DN955" i="3"/>
  <c r="DM955" i="3"/>
  <c r="DL955" i="3"/>
  <c r="DK955" i="3"/>
  <c r="DJ955" i="3"/>
  <c r="DI955" i="3"/>
  <c r="DH955" i="3"/>
  <c r="DG955" i="3"/>
  <c r="DF955" i="3"/>
  <c r="DE955" i="3"/>
  <c r="DD955" i="3"/>
  <c r="DC955" i="3"/>
  <c r="DB955" i="3"/>
  <c r="DA955" i="3"/>
  <c r="CZ955" i="3"/>
  <c r="CY955" i="3"/>
  <c r="CX955" i="3"/>
  <c r="CW955" i="3"/>
  <c r="CV955" i="3"/>
  <c r="CU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C955" i="3"/>
  <c r="CB955" i="3"/>
  <c r="CA955" i="3"/>
  <c r="BZ955" i="3"/>
  <c r="BY955" i="3"/>
  <c r="BX955" i="3"/>
  <c r="BW955" i="3"/>
  <c r="BV955" i="3"/>
  <c r="BU955" i="3"/>
  <c r="BT955" i="3"/>
  <c r="BS955" i="3"/>
  <c r="BR955" i="3"/>
  <c r="BQ955" i="3"/>
  <c r="BP955" i="3"/>
  <c r="BO955" i="3"/>
  <c r="BN955" i="3"/>
  <c r="DU954" i="3"/>
  <c r="DT954" i="3"/>
  <c r="DS954" i="3"/>
  <c r="DR954" i="3"/>
  <c r="DQ954" i="3"/>
  <c r="DP954" i="3"/>
  <c r="DO954" i="3"/>
  <c r="DN954" i="3"/>
  <c r="DM954" i="3"/>
  <c r="DL954" i="3"/>
  <c r="DK954" i="3"/>
  <c r="DJ954" i="3"/>
  <c r="DI954" i="3"/>
  <c r="DH954" i="3"/>
  <c r="DG954" i="3"/>
  <c r="DF954" i="3"/>
  <c r="DE954" i="3"/>
  <c r="DD954" i="3"/>
  <c r="DC954" i="3"/>
  <c r="DB954" i="3"/>
  <c r="DA954" i="3"/>
  <c r="CZ954" i="3"/>
  <c r="CY954" i="3"/>
  <c r="CX954" i="3"/>
  <c r="CW954" i="3"/>
  <c r="CV954" i="3"/>
  <c r="CU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C954" i="3"/>
  <c r="CB954" i="3"/>
  <c r="CA954" i="3"/>
  <c r="BZ954" i="3"/>
  <c r="BY954" i="3"/>
  <c r="BX954" i="3"/>
  <c r="BW954" i="3"/>
  <c r="BV954" i="3"/>
  <c r="BU954" i="3"/>
  <c r="BT954" i="3"/>
  <c r="BS954" i="3"/>
  <c r="BR954" i="3"/>
  <c r="BQ954" i="3"/>
  <c r="BP954" i="3"/>
  <c r="BO954" i="3"/>
  <c r="BN954" i="3"/>
  <c r="DU953" i="3"/>
  <c r="DT953" i="3"/>
  <c r="DS953" i="3"/>
  <c r="DR953" i="3"/>
  <c r="DQ953" i="3"/>
  <c r="DP953" i="3"/>
  <c r="DO953" i="3"/>
  <c r="DN953" i="3"/>
  <c r="DM953" i="3"/>
  <c r="DL953" i="3"/>
  <c r="DK953" i="3"/>
  <c r="DJ953" i="3"/>
  <c r="DI953" i="3"/>
  <c r="DH953" i="3"/>
  <c r="DG953" i="3"/>
  <c r="DF953" i="3"/>
  <c r="DE953" i="3"/>
  <c r="DD953" i="3"/>
  <c r="DC953" i="3"/>
  <c r="DB953" i="3"/>
  <c r="DA953" i="3"/>
  <c r="CZ953" i="3"/>
  <c r="CY953" i="3"/>
  <c r="CX953" i="3"/>
  <c r="CW953" i="3"/>
  <c r="CV953" i="3"/>
  <c r="CU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C953" i="3"/>
  <c r="CB953" i="3"/>
  <c r="CA953" i="3"/>
  <c r="BZ953" i="3"/>
  <c r="BY953" i="3"/>
  <c r="BX953" i="3"/>
  <c r="BW953" i="3"/>
  <c r="BV953" i="3"/>
  <c r="BU953" i="3"/>
  <c r="BT953" i="3"/>
  <c r="BS953" i="3"/>
  <c r="BR953" i="3"/>
  <c r="BQ953" i="3"/>
  <c r="BP953" i="3"/>
  <c r="BO953" i="3"/>
  <c r="BN953" i="3"/>
  <c r="DU952" i="3"/>
  <c r="DT952" i="3"/>
  <c r="DS952" i="3"/>
  <c r="DR952" i="3"/>
  <c r="DQ952" i="3"/>
  <c r="DP952" i="3"/>
  <c r="DO952" i="3"/>
  <c r="DN952" i="3"/>
  <c r="DM952" i="3"/>
  <c r="DL952" i="3"/>
  <c r="DK952" i="3"/>
  <c r="DJ952" i="3"/>
  <c r="DI952" i="3"/>
  <c r="DH952" i="3"/>
  <c r="DG952" i="3"/>
  <c r="DF952" i="3"/>
  <c r="DE952" i="3"/>
  <c r="DD952" i="3"/>
  <c r="DC952" i="3"/>
  <c r="DB952" i="3"/>
  <c r="DA952" i="3"/>
  <c r="CZ952" i="3"/>
  <c r="CY952" i="3"/>
  <c r="CX952" i="3"/>
  <c r="CW952" i="3"/>
  <c r="CV952" i="3"/>
  <c r="CU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C952" i="3"/>
  <c r="CB952" i="3"/>
  <c r="CA952" i="3"/>
  <c r="BZ952" i="3"/>
  <c r="BY952" i="3"/>
  <c r="BX952" i="3"/>
  <c r="BW952" i="3"/>
  <c r="BV952" i="3"/>
  <c r="BU952" i="3"/>
  <c r="BT952" i="3"/>
  <c r="BS952" i="3"/>
  <c r="BR952" i="3"/>
  <c r="BQ952" i="3"/>
  <c r="BP952" i="3"/>
  <c r="BO952" i="3"/>
  <c r="BN952" i="3"/>
  <c r="DU951" i="3"/>
  <c r="DT951" i="3"/>
  <c r="DS951" i="3"/>
  <c r="DR951" i="3"/>
  <c r="DQ951" i="3"/>
  <c r="DP951" i="3"/>
  <c r="DO951" i="3"/>
  <c r="DN951" i="3"/>
  <c r="DM951" i="3"/>
  <c r="DL951" i="3"/>
  <c r="DK951" i="3"/>
  <c r="DJ951" i="3"/>
  <c r="DI951" i="3"/>
  <c r="DH951" i="3"/>
  <c r="DG951" i="3"/>
  <c r="DF951" i="3"/>
  <c r="DE951" i="3"/>
  <c r="DD951" i="3"/>
  <c r="DC951" i="3"/>
  <c r="DB951" i="3"/>
  <c r="DA951" i="3"/>
  <c r="CZ951" i="3"/>
  <c r="CY951" i="3"/>
  <c r="CX951" i="3"/>
  <c r="CW951" i="3"/>
  <c r="CV951" i="3"/>
  <c r="CU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C951" i="3"/>
  <c r="CB951" i="3"/>
  <c r="CA951" i="3"/>
  <c r="BZ951" i="3"/>
  <c r="BY951" i="3"/>
  <c r="BX951" i="3"/>
  <c r="BW951" i="3"/>
  <c r="BV951" i="3"/>
  <c r="BU951" i="3"/>
  <c r="BT951" i="3"/>
  <c r="BS951" i="3"/>
  <c r="BR951" i="3"/>
  <c r="BQ951" i="3"/>
  <c r="BP951" i="3"/>
  <c r="BO951" i="3"/>
  <c r="BN951" i="3"/>
  <c r="DU950" i="3"/>
  <c r="DT950" i="3"/>
  <c r="DS950" i="3"/>
  <c r="DR950" i="3"/>
  <c r="DQ950" i="3"/>
  <c r="DP950" i="3"/>
  <c r="DO950" i="3"/>
  <c r="DN950" i="3"/>
  <c r="DM950" i="3"/>
  <c r="DL950" i="3"/>
  <c r="DK950" i="3"/>
  <c r="DJ950" i="3"/>
  <c r="DI950" i="3"/>
  <c r="DH950" i="3"/>
  <c r="DG950" i="3"/>
  <c r="DF950" i="3"/>
  <c r="DE950" i="3"/>
  <c r="DD950" i="3"/>
  <c r="DC950" i="3"/>
  <c r="DB950" i="3"/>
  <c r="DA950" i="3"/>
  <c r="CZ950" i="3"/>
  <c r="CY950" i="3"/>
  <c r="CX950" i="3"/>
  <c r="CW950" i="3"/>
  <c r="CV950" i="3"/>
  <c r="CU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C950" i="3"/>
  <c r="CB950" i="3"/>
  <c r="CA950" i="3"/>
  <c r="BZ950" i="3"/>
  <c r="BY950" i="3"/>
  <c r="BX950" i="3"/>
  <c r="BW950" i="3"/>
  <c r="BV950" i="3"/>
  <c r="BU950" i="3"/>
  <c r="BT950" i="3"/>
  <c r="BS950" i="3"/>
  <c r="BR950" i="3"/>
  <c r="BQ950" i="3"/>
  <c r="BP950" i="3"/>
  <c r="BO950" i="3"/>
  <c r="BN950" i="3"/>
  <c r="DU949" i="3"/>
  <c r="DT949" i="3"/>
  <c r="DS949" i="3"/>
  <c r="DR949" i="3"/>
  <c r="DQ949" i="3"/>
  <c r="DP949" i="3"/>
  <c r="DO949" i="3"/>
  <c r="DN949" i="3"/>
  <c r="DM949" i="3"/>
  <c r="DL949" i="3"/>
  <c r="DK949" i="3"/>
  <c r="DJ949" i="3"/>
  <c r="DI949" i="3"/>
  <c r="DH949" i="3"/>
  <c r="DG949" i="3"/>
  <c r="DF949" i="3"/>
  <c r="DE949" i="3"/>
  <c r="DD949" i="3"/>
  <c r="DC949" i="3"/>
  <c r="DB949" i="3"/>
  <c r="DA949" i="3"/>
  <c r="CZ949" i="3"/>
  <c r="CY949" i="3"/>
  <c r="CX949" i="3"/>
  <c r="CW949" i="3"/>
  <c r="CV949" i="3"/>
  <c r="CU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C949" i="3"/>
  <c r="CB949" i="3"/>
  <c r="CA949" i="3"/>
  <c r="BZ949" i="3"/>
  <c r="BY949" i="3"/>
  <c r="BX949" i="3"/>
  <c r="BW949" i="3"/>
  <c r="BV949" i="3"/>
  <c r="BU949" i="3"/>
  <c r="BT949" i="3"/>
  <c r="BS949" i="3"/>
  <c r="BR949" i="3"/>
  <c r="BQ949" i="3"/>
  <c r="BP949" i="3"/>
  <c r="BO949" i="3"/>
  <c r="BN949" i="3"/>
  <c r="DU948" i="3"/>
  <c r="DT948" i="3"/>
  <c r="DS948" i="3"/>
  <c r="DR948" i="3"/>
  <c r="DQ948" i="3"/>
  <c r="DP948" i="3"/>
  <c r="DO948" i="3"/>
  <c r="DN948" i="3"/>
  <c r="DM948" i="3"/>
  <c r="DL948" i="3"/>
  <c r="DK948" i="3"/>
  <c r="DJ948" i="3"/>
  <c r="DI948" i="3"/>
  <c r="DH948" i="3"/>
  <c r="DG948" i="3"/>
  <c r="DF948" i="3"/>
  <c r="DE948" i="3"/>
  <c r="DD948" i="3"/>
  <c r="DC948" i="3"/>
  <c r="DB948" i="3"/>
  <c r="DA948" i="3"/>
  <c r="CZ948" i="3"/>
  <c r="CY948" i="3"/>
  <c r="CX948" i="3"/>
  <c r="CW948" i="3"/>
  <c r="CV948" i="3"/>
  <c r="CU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C948" i="3"/>
  <c r="CB948" i="3"/>
  <c r="CA948" i="3"/>
  <c r="BZ948" i="3"/>
  <c r="BY948" i="3"/>
  <c r="BX948" i="3"/>
  <c r="BW948" i="3"/>
  <c r="BV948" i="3"/>
  <c r="BU948" i="3"/>
  <c r="BT948" i="3"/>
  <c r="BS948" i="3"/>
  <c r="BR948" i="3"/>
  <c r="BQ948" i="3"/>
  <c r="BP948" i="3"/>
  <c r="BO948" i="3"/>
  <c r="BN948" i="3"/>
  <c r="DU947" i="3"/>
  <c r="DT947" i="3"/>
  <c r="DS947" i="3"/>
  <c r="DR947" i="3"/>
  <c r="DQ947" i="3"/>
  <c r="DP947" i="3"/>
  <c r="DO947" i="3"/>
  <c r="DN947" i="3"/>
  <c r="DM947" i="3"/>
  <c r="DL947" i="3"/>
  <c r="DK947" i="3"/>
  <c r="DJ947" i="3"/>
  <c r="DI947" i="3"/>
  <c r="DH947" i="3"/>
  <c r="DG947" i="3"/>
  <c r="DF947" i="3"/>
  <c r="DE947" i="3"/>
  <c r="DD947" i="3"/>
  <c r="DC947" i="3"/>
  <c r="DB947" i="3"/>
  <c r="DA947" i="3"/>
  <c r="CZ947" i="3"/>
  <c r="CY947" i="3"/>
  <c r="CX947" i="3"/>
  <c r="CW947" i="3"/>
  <c r="CV947" i="3"/>
  <c r="CU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C947" i="3"/>
  <c r="CB947" i="3"/>
  <c r="CA947" i="3"/>
  <c r="BZ947" i="3"/>
  <c r="BY947" i="3"/>
  <c r="BX947" i="3"/>
  <c r="BW947" i="3"/>
  <c r="BV947" i="3"/>
  <c r="BU947" i="3"/>
  <c r="BT947" i="3"/>
  <c r="BS947" i="3"/>
  <c r="BR947" i="3"/>
  <c r="BQ947" i="3"/>
  <c r="BP947" i="3"/>
  <c r="BO947" i="3"/>
  <c r="BN947" i="3"/>
  <c r="DU946" i="3"/>
  <c r="DT946" i="3"/>
  <c r="DS946" i="3"/>
  <c r="DR946" i="3"/>
  <c r="DQ946" i="3"/>
  <c r="DP946" i="3"/>
  <c r="DO946" i="3"/>
  <c r="DN946" i="3"/>
  <c r="DM946" i="3"/>
  <c r="DL946" i="3"/>
  <c r="DK946" i="3"/>
  <c r="DJ946" i="3"/>
  <c r="DI946" i="3"/>
  <c r="DH946" i="3"/>
  <c r="DG946" i="3"/>
  <c r="DF946" i="3"/>
  <c r="DE946" i="3"/>
  <c r="DD946" i="3"/>
  <c r="DC946" i="3"/>
  <c r="DB946" i="3"/>
  <c r="DA946" i="3"/>
  <c r="CZ946" i="3"/>
  <c r="CY946" i="3"/>
  <c r="CX946" i="3"/>
  <c r="CW946" i="3"/>
  <c r="CV946" i="3"/>
  <c r="CU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C946" i="3"/>
  <c r="CB946" i="3"/>
  <c r="CA946" i="3"/>
  <c r="BZ946" i="3"/>
  <c r="BY946" i="3"/>
  <c r="BX946" i="3"/>
  <c r="BW946" i="3"/>
  <c r="BV946" i="3"/>
  <c r="BU946" i="3"/>
  <c r="BT946" i="3"/>
  <c r="BS946" i="3"/>
  <c r="BR946" i="3"/>
  <c r="BQ946" i="3"/>
  <c r="BP946" i="3"/>
  <c r="BO946" i="3"/>
  <c r="BN946" i="3"/>
  <c r="DU945" i="3"/>
  <c r="DT945" i="3"/>
  <c r="DS945" i="3"/>
  <c r="DR945" i="3"/>
  <c r="DQ945" i="3"/>
  <c r="DP945" i="3"/>
  <c r="DO945" i="3"/>
  <c r="DN945" i="3"/>
  <c r="DM945" i="3"/>
  <c r="DL945" i="3"/>
  <c r="DK945" i="3"/>
  <c r="DJ945" i="3"/>
  <c r="DI945" i="3"/>
  <c r="DH945" i="3"/>
  <c r="DG945" i="3"/>
  <c r="DF945" i="3"/>
  <c r="DE945" i="3"/>
  <c r="DD945" i="3"/>
  <c r="DC945" i="3"/>
  <c r="DB945" i="3"/>
  <c r="DA945" i="3"/>
  <c r="CZ945" i="3"/>
  <c r="CY945" i="3"/>
  <c r="CX945" i="3"/>
  <c r="CW945" i="3"/>
  <c r="CV945" i="3"/>
  <c r="CU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C945" i="3"/>
  <c r="CB945" i="3"/>
  <c r="CA945" i="3"/>
  <c r="BZ945" i="3"/>
  <c r="BY945" i="3"/>
  <c r="BX945" i="3"/>
  <c r="BW945" i="3"/>
  <c r="BV945" i="3"/>
  <c r="BU945" i="3"/>
  <c r="BT945" i="3"/>
  <c r="BS945" i="3"/>
  <c r="BR945" i="3"/>
  <c r="BQ945" i="3"/>
  <c r="BP945" i="3"/>
  <c r="BO945" i="3"/>
  <c r="BN945" i="3"/>
  <c r="DU944" i="3"/>
  <c r="DT944" i="3"/>
  <c r="DS944" i="3"/>
  <c r="DR944" i="3"/>
  <c r="DQ944" i="3"/>
  <c r="DP944" i="3"/>
  <c r="DO944" i="3"/>
  <c r="DN944" i="3"/>
  <c r="DM944" i="3"/>
  <c r="DL944" i="3"/>
  <c r="DK944" i="3"/>
  <c r="DJ944" i="3"/>
  <c r="DI944" i="3"/>
  <c r="DH944" i="3"/>
  <c r="DG944" i="3"/>
  <c r="DF944" i="3"/>
  <c r="DE944" i="3"/>
  <c r="DD944" i="3"/>
  <c r="DC944" i="3"/>
  <c r="DB944" i="3"/>
  <c r="DA944" i="3"/>
  <c r="CZ944" i="3"/>
  <c r="CY944" i="3"/>
  <c r="CX944" i="3"/>
  <c r="CW944" i="3"/>
  <c r="CV944" i="3"/>
  <c r="CU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C944" i="3"/>
  <c r="CB944" i="3"/>
  <c r="CA944" i="3"/>
  <c r="BZ944" i="3"/>
  <c r="BY944" i="3"/>
  <c r="BX944" i="3"/>
  <c r="BW944" i="3"/>
  <c r="BV944" i="3"/>
  <c r="BU944" i="3"/>
  <c r="BT944" i="3"/>
  <c r="BS944" i="3"/>
  <c r="BR944" i="3"/>
  <c r="BQ944" i="3"/>
  <c r="BP944" i="3"/>
  <c r="BO944" i="3"/>
  <c r="BN944" i="3"/>
  <c r="DU943" i="3"/>
  <c r="DT943" i="3"/>
  <c r="DS943" i="3"/>
  <c r="DR943" i="3"/>
  <c r="DQ943" i="3"/>
  <c r="DP943" i="3"/>
  <c r="DO943" i="3"/>
  <c r="DN943" i="3"/>
  <c r="DM943" i="3"/>
  <c r="DL943" i="3"/>
  <c r="DK943" i="3"/>
  <c r="DJ943" i="3"/>
  <c r="DI943" i="3"/>
  <c r="DH943" i="3"/>
  <c r="DG943" i="3"/>
  <c r="DF943" i="3"/>
  <c r="DE943" i="3"/>
  <c r="DD943" i="3"/>
  <c r="DC943" i="3"/>
  <c r="DB943" i="3"/>
  <c r="DA943" i="3"/>
  <c r="CZ943" i="3"/>
  <c r="CY943" i="3"/>
  <c r="CX943" i="3"/>
  <c r="CW943" i="3"/>
  <c r="CV943" i="3"/>
  <c r="CU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C943" i="3"/>
  <c r="CB943" i="3"/>
  <c r="CA943" i="3"/>
  <c r="BZ943" i="3"/>
  <c r="BY943" i="3"/>
  <c r="BX943" i="3"/>
  <c r="BW943" i="3"/>
  <c r="BV943" i="3"/>
  <c r="BU943" i="3"/>
  <c r="BT943" i="3"/>
  <c r="BS943" i="3"/>
  <c r="BR943" i="3"/>
  <c r="BQ943" i="3"/>
  <c r="BP943" i="3"/>
  <c r="BO943" i="3"/>
  <c r="BN943" i="3"/>
  <c r="DU942" i="3"/>
  <c r="DT942" i="3"/>
  <c r="DS942" i="3"/>
  <c r="DR942" i="3"/>
  <c r="DQ942" i="3"/>
  <c r="DP942" i="3"/>
  <c r="DO942" i="3"/>
  <c r="DN942" i="3"/>
  <c r="DM942" i="3"/>
  <c r="DL942" i="3"/>
  <c r="DK942" i="3"/>
  <c r="DJ942" i="3"/>
  <c r="DI942" i="3"/>
  <c r="DH942" i="3"/>
  <c r="DG942" i="3"/>
  <c r="DF942" i="3"/>
  <c r="DE942" i="3"/>
  <c r="DD942" i="3"/>
  <c r="DC942" i="3"/>
  <c r="DB942" i="3"/>
  <c r="DA942" i="3"/>
  <c r="CZ942" i="3"/>
  <c r="CY942" i="3"/>
  <c r="CX942" i="3"/>
  <c r="CW942" i="3"/>
  <c r="CV942" i="3"/>
  <c r="CU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C942" i="3"/>
  <c r="CB942" i="3"/>
  <c r="CA942" i="3"/>
  <c r="BZ942" i="3"/>
  <c r="BY942" i="3"/>
  <c r="BX942" i="3"/>
  <c r="BW942" i="3"/>
  <c r="BV942" i="3"/>
  <c r="BU942" i="3"/>
  <c r="BT942" i="3"/>
  <c r="BS942" i="3"/>
  <c r="BR942" i="3"/>
  <c r="BQ942" i="3"/>
  <c r="BP942" i="3"/>
  <c r="BO942" i="3"/>
  <c r="BN942" i="3"/>
  <c r="DU941" i="3"/>
  <c r="DT941" i="3"/>
  <c r="DS941" i="3"/>
  <c r="DR941" i="3"/>
  <c r="DQ941" i="3"/>
  <c r="DP941" i="3"/>
  <c r="DO941" i="3"/>
  <c r="DN941" i="3"/>
  <c r="DM941" i="3"/>
  <c r="DL941" i="3"/>
  <c r="DK941" i="3"/>
  <c r="DJ941" i="3"/>
  <c r="DI941" i="3"/>
  <c r="DH941" i="3"/>
  <c r="DG941" i="3"/>
  <c r="DF941" i="3"/>
  <c r="DE941" i="3"/>
  <c r="DD941" i="3"/>
  <c r="DC941" i="3"/>
  <c r="DB941" i="3"/>
  <c r="DA941" i="3"/>
  <c r="CZ941" i="3"/>
  <c r="CY941" i="3"/>
  <c r="CX941" i="3"/>
  <c r="CW941" i="3"/>
  <c r="CV941" i="3"/>
  <c r="CU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C941" i="3"/>
  <c r="CB941" i="3"/>
  <c r="CA941" i="3"/>
  <c r="BZ941" i="3"/>
  <c r="BY941" i="3"/>
  <c r="BX941" i="3"/>
  <c r="BW941" i="3"/>
  <c r="BV941" i="3"/>
  <c r="BU941" i="3"/>
  <c r="BT941" i="3"/>
  <c r="BS941" i="3"/>
  <c r="BR941" i="3"/>
  <c r="BQ941" i="3"/>
  <c r="BP941" i="3"/>
  <c r="BO941" i="3"/>
  <c r="BN941" i="3"/>
  <c r="DU940" i="3"/>
  <c r="DT940" i="3"/>
  <c r="DS940" i="3"/>
  <c r="DR940" i="3"/>
  <c r="DQ940" i="3"/>
  <c r="DP940" i="3"/>
  <c r="DO940" i="3"/>
  <c r="DN940" i="3"/>
  <c r="DM940" i="3"/>
  <c r="DL940" i="3"/>
  <c r="DK940" i="3"/>
  <c r="DJ940" i="3"/>
  <c r="DI940" i="3"/>
  <c r="DH940" i="3"/>
  <c r="DG940" i="3"/>
  <c r="DF940" i="3"/>
  <c r="DE940" i="3"/>
  <c r="DD940" i="3"/>
  <c r="DC940" i="3"/>
  <c r="DB940" i="3"/>
  <c r="DA940" i="3"/>
  <c r="CZ940" i="3"/>
  <c r="CY940" i="3"/>
  <c r="CX940" i="3"/>
  <c r="CW940" i="3"/>
  <c r="CV940" i="3"/>
  <c r="CU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C940" i="3"/>
  <c r="CB940" i="3"/>
  <c r="CA940" i="3"/>
  <c r="BZ940" i="3"/>
  <c r="BY940" i="3"/>
  <c r="BX940" i="3"/>
  <c r="BW940" i="3"/>
  <c r="BV940" i="3"/>
  <c r="BU940" i="3"/>
  <c r="BT940" i="3"/>
  <c r="BS940" i="3"/>
  <c r="BR940" i="3"/>
  <c r="BQ940" i="3"/>
  <c r="BP940" i="3"/>
  <c r="BO940" i="3"/>
  <c r="BN940" i="3"/>
  <c r="DU939" i="3"/>
  <c r="DT939" i="3"/>
  <c r="DS939" i="3"/>
  <c r="DR939" i="3"/>
  <c r="DQ939" i="3"/>
  <c r="DP939" i="3"/>
  <c r="DO939" i="3"/>
  <c r="DN939" i="3"/>
  <c r="DM939" i="3"/>
  <c r="DL939" i="3"/>
  <c r="DK939" i="3"/>
  <c r="DJ939" i="3"/>
  <c r="DI939" i="3"/>
  <c r="DH939" i="3"/>
  <c r="DG939" i="3"/>
  <c r="DF939" i="3"/>
  <c r="DE939" i="3"/>
  <c r="DD939" i="3"/>
  <c r="DC939" i="3"/>
  <c r="DB939" i="3"/>
  <c r="DA939" i="3"/>
  <c r="CZ939" i="3"/>
  <c r="CY939" i="3"/>
  <c r="CX939" i="3"/>
  <c r="CW939" i="3"/>
  <c r="CV939" i="3"/>
  <c r="CU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C939" i="3"/>
  <c r="CB939" i="3"/>
  <c r="CA939" i="3"/>
  <c r="BZ939" i="3"/>
  <c r="BY939" i="3"/>
  <c r="BX939" i="3"/>
  <c r="BW939" i="3"/>
  <c r="BV939" i="3"/>
  <c r="BU939" i="3"/>
  <c r="BT939" i="3"/>
  <c r="BS939" i="3"/>
  <c r="BR939" i="3"/>
  <c r="BQ939" i="3"/>
  <c r="BP939" i="3"/>
  <c r="BO939" i="3"/>
  <c r="BN939" i="3"/>
  <c r="DU938" i="3"/>
  <c r="DT938" i="3"/>
  <c r="DS938" i="3"/>
  <c r="DR938" i="3"/>
  <c r="DQ938" i="3"/>
  <c r="DP938" i="3"/>
  <c r="DO938" i="3"/>
  <c r="DN938" i="3"/>
  <c r="DM938" i="3"/>
  <c r="DL938" i="3"/>
  <c r="DK938" i="3"/>
  <c r="DJ938" i="3"/>
  <c r="DI938" i="3"/>
  <c r="DH938" i="3"/>
  <c r="DG938" i="3"/>
  <c r="DF938" i="3"/>
  <c r="DE938" i="3"/>
  <c r="DD938" i="3"/>
  <c r="DC938" i="3"/>
  <c r="DB938" i="3"/>
  <c r="DA938" i="3"/>
  <c r="CZ938" i="3"/>
  <c r="CY938" i="3"/>
  <c r="CX938" i="3"/>
  <c r="CW938" i="3"/>
  <c r="CV938" i="3"/>
  <c r="CU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C938" i="3"/>
  <c r="CB938" i="3"/>
  <c r="CA938" i="3"/>
  <c r="BZ938" i="3"/>
  <c r="BY938" i="3"/>
  <c r="BX938" i="3"/>
  <c r="BW938" i="3"/>
  <c r="BV938" i="3"/>
  <c r="BU938" i="3"/>
  <c r="BT938" i="3"/>
  <c r="BS938" i="3"/>
  <c r="BR938" i="3"/>
  <c r="BQ938" i="3"/>
  <c r="BP938" i="3"/>
  <c r="BO938" i="3"/>
  <c r="BN938" i="3"/>
  <c r="DU937" i="3"/>
  <c r="DT937" i="3"/>
  <c r="DS937" i="3"/>
  <c r="DR937" i="3"/>
  <c r="DQ937" i="3"/>
  <c r="DP937" i="3"/>
  <c r="DO937" i="3"/>
  <c r="DN937" i="3"/>
  <c r="DM937" i="3"/>
  <c r="DL937" i="3"/>
  <c r="DK937" i="3"/>
  <c r="DJ937" i="3"/>
  <c r="DI937" i="3"/>
  <c r="DH937" i="3"/>
  <c r="DG937" i="3"/>
  <c r="DF937" i="3"/>
  <c r="DE937" i="3"/>
  <c r="DD937" i="3"/>
  <c r="DC937" i="3"/>
  <c r="DB937" i="3"/>
  <c r="DA937" i="3"/>
  <c r="CZ937" i="3"/>
  <c r="CY937" i="3"/>
  <c r="CX937" i="3"/>
  <c r="CW937" i="3"/>
  <c r="CV937" i="3"/>
  <c r="CU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C937" i="3"/>
  <c r="CB937" i="3"/>
  <c r="CA937" i="3"/>
  <c r="BZ937" i="3"/>
  <c r="BY937" i="3"/>
  <c r="BX937" i="3"/>
  <c r="BW937" i="3"/>
  <c r="BV937" i="3"/>
  <c r="BU937" i="3"/>
  <c r="BT937" i="3"/>
  <c r="BS937" i="3"/>
  <c r="BR937" i="3"/>
  <c r="BQ937" i="3"/>
  <c r="BP937" i="3"/>
  <c r="BO937" i="3"/>
  <c r="BN937" i="3"/>
  <c r="DU936" i="3"/>
  <c r="DT936" i="3"/>
  <c r="DS936" i="3"/>
  <c r="DR936" i="3"/>
  <c r="DQ936" i="3"/>
  <c r="DP936" i="3"/>
  <c r="DO936" i="3"/>
  <c r="DN936" i="3"/>
  <c r="DM936" i="3"/>
  <c r="DL936" i="3"/>
  <c r="DK936" i="3"/>
  <c r="DJ936" i="3"/>
  <c r="DI936" i="3"/>
  <c r="DH936" i="3"/>
  <c r="DG936" i="3"/>
  <c r="DF936" i="3"/>
  <c r="DE936" i="3"/>
  <c r="DD936" i="3"/>
  <c r="DC936" i="3"/>
  <c r="DB936" i="3"/>
  <c r="DA936" i="3"/>
  <c r="CZ936" i="3"/>
  <c r="CY936" i="3"/>
  <c r="CX936" i="3"/>
  <c r="CW936" i="3"/>
  <c r="CV936" i="3"/>
  <c r="CU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C936" i="3"/>
  <c r="CB936" i="3"/>
  <c r="CA936" i="3"/>
  <c r="BZ936" i="3"/>
  <c r="BY936" i="3"/>
  <c r="BX936" i="3"/>
  <c r="BW936" i="3"/>
  <c r="BV936" i="3"/>
  <c r="BU936" i="3"/>
  <c r="BT936" i="3"/>
  <c r="BS936" i="3"/>
  <c r="BR936" i="3"/>
  <c r="BQ936" i="3"/>
  <c r="BP936" i="3"/>
  <c r="BO936" i="3"/>
  <c r="BN936" i="3"/>
  <c r="DU935" i="3"/>
  <c r="DT935" i="3"/>
  <c r="DS935" i="3"/>
  <c r="DR935" i="3"/>
  <c r="DQ935" i="3"/>
  <c r="DP935" i="3"/>
  <c r="DO935" i="3"/>
  <c r="DN935" i="3"/>
  <c r="DM935" i="3"/>
  <c r="DL935" i="3"/>
  <c r="DK935" i="3"/>
  <c r="DJ935" i="3"/>
  <c r="DI935" i="3"/>
  <c r="DH935" i="3"/>
  <c r="DG935" i="3"/>
  <c r="DF935" i="3"/>
  <c r="DE935" i="3"/>
  <c r="DD935" i="3"/>
  <c r="DC935" i="3"/>
  <c r="DB935" i="3"/>
  <c r="DA935" i="3"/>
  <c r="CZ935" i="3"/>
  <c r="CY935" i="3"/>
  <c r="CX935" i="3"/>
  <c r="CW935" i="3"/>
  <c r="CV935" i="3"/>
  <c r="CU935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C935" i="3"/>
  <c r="CB935" i="3"/>
  <c r="CA935" i="3"/>
  <c r="BZ935" i="3"/>
  <c r="BY935" i="3"/>
  <c r="BX935" i="3"/>
  <c r="BW935" i="3"/>
  <c r="BV935" i="3"/>
  <c r="BU935" i="3"/>
  <c r="BT935" i="3"/>
  <c r="BS935" i="3"/>
  <c r="BR935" i="3"/>
  <c r="BQ935" i="3"/>
  <c r="BP935" i="3"/>
  <c r="BO935" i="3"/>
  <c r="BN935" i="3"/>
  <c r="DU934" i="3"/>
  <c r="DT934" i="3"/>
  <c r="DS934" i="3"/>
  <c r="DR934" i="3"/>
  <c r="DQ934" i="3"/>
  <c r="DP934" i="3"/>
  <c r="DO934" i="3"/>
  <c r="DN934" i="3"/>
  <c r="DM934" i="3"/>
  <c r="DL934" i="3"/>
  <c r="DK934" i="3"/>
  <c r="DJ934" i="3"/>
  <c r="DI934" i="3"/>
  <c r="DH934" i="3"/>
  <c r="DG934" i="3"/>
  <c r="DF934" i="3"/>
  <c r="DE934" i="3"/>
  <c r="DD934" i="3"/>
  <c r="DC934" i="3"/>
  <c r="DB934" i="3"/>
  <c r="DA934" i="3"/>
  <c r="CZ934" i="3"/>
  <c r="CY934" i="3"/>
  <c r="CX934" i="3"/>
  <c r="CW934" i="3"/>
  <c r="CV934" i="3"/>
  <c r="CU934" i="3"/>
  <c r="CT934" i="3"/>
  <c r="CS934" i="3"/>
  <c r="CR934" i="3"/>
  <c r="CQ934" i="3"/>
  <c r="CP934" i="3"/>
  <c r="CO934" i="3"/>
  <c r="CN934" i="3"/>
  <c r="CM934" i="3"/>
  <c r="CL934" i="3"/>
  <c r="CK934" i="3"/>
  <c r="CJ934" i="3"/>
  <c r="CI934" i="3"/>
  <c r="CH934" i="3"/>
  <c r="CG934" i="3"/>
  <c r="CF934" i="3"/>
  <c r="CE934" i="3"/>
  <c r="CD934" i="3"/>
  <c r="CC934" i="3"/>
  <c r="CB934" i="3"/>
  <c r="CA934" i="3"/>
  <c r="BZ934" i="3"/>
  <c r="BY934" i="3"/>
  <c r="BX934" i="3"/>
  <c r="BW934" i="3"/>
  <c r="BV934" i="3"/>
  <c r="BU934" i="3"/>
  <c r="BT934" i="3"/>
  <c r="BS934" i="3"/>
  <c r="BR934" i="3"/>
  <c r="BQ934" i="3"/>
  <c r="BP934" i="3"/>
  <c r="BO934" i="3"/>
  <c r="BN934" i="3"/>
  <c r="DU933" i="3"/>
  <c r="DT933" i="3"/>
  <c r="DS933" i="3"/>
  <c r="DR933" i="3"/>
  <c r="DQ933" i="3"/>
  <c r="DP933" i="3"/>
  <c r="DO933" i="3"/>
  <c r="DN933" i="3"/>
  <c r="DM933" i="3"/>
  <c r="DL933" i="3"/>
  <c r="DK933" i="3"/>
  <c r="DJ933" i="3"/>
  <c r="DI933" i="3"/>
  <c r="DH933" i="3"/>
  <c r="DG933" i="3"/>
  <c r="DF933" i="3"/>
  <c r="DE933" i="3"/>
  <c r="DD933" i="3"/>
  <c r="DC933" i="3"/>
  <c r="DB933" i="3"/>
  <c r="DA933" i="3"/>
  <c r="CZ933" i="3"/>
  <c r="CY933" i="3"/>
  <c r="CX933" i="3"/>
  <c r="CW933" i="3"/>
  <c r="CV933" i="3"/>
  <c r="CU933" i="3"/>
  <c r="CT933" i="3"/>
  <c r="CS933" i="3"/>
  <c r="CR933" i="3"/>
  <c r="CQ933" i="3"/>
  <c r="CP933" i="3"/>
  <c r="CO933" i="3"/>
  <c r="CN933" i="3"/>
  <c r="CM933" i="3"/>
  <c r="CL933" i="3"/>
  <c r="CK933" i="3"/>
  <c r="CJ933" i="3"/>
  <c r="CI933" i="3"/>
  <c r="CH933" i="3"/>
  <c r="CG933" i="3"/>
  <c r="CF933" i="3"/>
  <c r="CE933" i="3"/>
  <c r="CD933" i="3"/>
  <c r="CC933" i="3"/>
  <c r="CB933" i="3"/>
  <c r="CA933" i="3"/>
  <c r="BZ933" i="3"/>
  <c r="BY933" i="3"/>
  <c r="BX933" i="3"/>
  <c r="BW933" i="3"/>
  <c r="BV933" i="3"/>
  <c r="BU933" i="3"/>
  <c r="BT933" i="3"/>
  <c r="BS933" i="3"/>
  <c r="BR933" i="3"/>
  <c r="BQ933" i="3"/>
  <c r="BP933" i="3"/>
  <c r="BO933" i="3"/>
  <c r="BN933" i="3"/>
  <c r="DU932" i="3"/>
  <c r="DT932" i="3"/>
  <c r="DS932" i="3"/>
  <c r="DR932" i="3"/>
  <c r="DQ932" i="3"/>
  <c r="DP932" i="3"/>
  <c r="DO932" i="3"/>
  <c r="DN932" i="3"/>
  <c r="DM932" i="3"/>
  <c r="DL932" i="3"/>
  <c r="DK932" i="3"/>
  <c r="DJ932" i="3"/>
  <c r="DI932" i="3"/>
  <c r="DH932" i="3"/>
  <c r="DG932" i="3"/>
  <c r="DF932" i="3"/>
  <c r="DE932" i="3"/>
  <c r="DD932" i="3"/>
  <c r="DC932" i="3"/>
  <c r="DB932" i="3"/>
  <c r="DA932" i="3"/>
  <c r="CZ932" i="3"/>
  <c r="CY932" i="3"/>
  <c r="CX932" i="3"/>
  <c r="CW932" i="3"/>
  <c r="CV932" i="3"/>
  <c r="CU932" i="3"/>
  <c r="CT932" i="3"/>
  <c r="CS932" i="3"/>
  <c r="CR932" i="3"/>
  <c r="CQ932" i="3"/>
  <c r="CP932" i="3"/>
  <c r="CO932" i="3"/>
  <c r="CN932" i="3"/>
  <c r="CM932" i="3"/>
  <c r="CL932" i="3"/>
  <c r="CK932" i="3"/>
  <c r="CJ932" i="3"/>
  <c r="CI932" i="3"/>
  <c r="CH932" i="3"/>
  <c r="CG932" i="3"/>
  <c r="CF932" i="3"/>
  <c r="CE932" i="3"/>
  <c r="CD932" i="3"/>
  <c r="CC932" i="3"/>
  <c r="CB932" i="3"/>
  <c r="CA932" i="3"/>
  <c r="BZ932" i="3"/>
  <c r="BY932" i="3"/>
  <c r="BX932" i="3"/>
  <c r="BW932" i="3"/>
  <c r="BV932" i="3"/>
  <c r="BU932" i="3"/>
  <c r="BT932" i="3"/>
  <c r="BS932" i="3"/>
  <c r="BR932" i="3"/>
  <c r="BQ932" i="3"/>
  <c r="BP932" i="3"/>
  <c r="BO932" i="3"/>
  <c r="BN932" i="3"/>
  <c r="DU931" i="3"/>
  <c r="DT931" i="3"/>
  <c r="DS931" i="3"/>
  <c r="DR931" i="3"/>
  <c r="DQ931" i="3"/>
  <c r="DP931" i="3"/>
  <c r="DO931" i="3"/>
  <c r="DN931" i="3"/>
  <c r="DM931" i="3"/>
  <c r="DL931" i="3"/>
  <c r="DK931" i="3"/>
  <c r="DJ931" i="3"/>
  <c r="DI931" i="3"/>
  <c r="DH931" i="3"/>
  <c r="DG931" i="3"/>
  <c r="DF931" i="3"/>
  <c r="DE931" i="3"/>
  <c r="DD931" i="3"/>
  <c r="DC931" i="3"/>
  <c r="DB931" i="3"/>
  <c r="DA931" i="3"/>
  <c r="CZ931" i="3"/>
  <c r="CY931" i="3"/>
  <c r="CX931" i="3"/>
  <c r="CW931" i="3"/>
  <c r="CV931" i="3"/>
  <c r="CU931" i="3"/>
  <c r="CT931" i="3"/>
  <c r="CS931" i="3"/>
  <c r="CR931" i="3"/>
  <c r="CQ931" i="3"/>
  <c r="CP931" i="3"/>
  <c r="CO931" i="3"/>
  <c r="CN931" i="3"/>
  <c r="CM931" i="3"/>
  <c r="CL931" i="3"/>
  <c r="CK931" i="3"/>
  <c r="CJ931" i="3"/>
  <c r="CI931" i="3"/>
  <c r="CH931" i="3"/>
  <c r="CG931" i="3"/>
  <c r="CF931" i="3"/>
  <c r="CE931" i="3"/>
  <c r="CD931" i="3"/>
  <c r="CC931" i="3"/>
  <c r="CB931" i="3"/>
  <c r="CA931" i="3"/>
  <c r="BZ931" i="3"/>
  <c r="BY931" i="3"/>
  <c r="BX931" i="3"/>
  <c r="BW931" i="3"/>
  <c r="BV931" i="3"/>
  <c r="BU931" i="3"/>
  <c r="BT931" i="3"/>
  <c r="BS931" i="3"/>
  <c r="BR931" i="3"/>
  <c r="BQ931" i="3"/>
  <c r="BP931" i="3"/>
  <c r="BO931" i="3"/>
  <c r="BN931" i="3"/>
  <c r="DU930" i="3"/>
  <c r="DT930" i="3"/>
  <c r="DS930" i="3"/>
  <c r="DR930" i="3"/>
  <c r="DQ930" i="3"/>
  <c r="DP930" i="3"/>
  <c r="DO930" i="3"/>
  <c r="DN930" i="3"/>
  <c r="DM930" i="3"/>
  <c r="DL930" i="3"/>
  <c r="DK930" i="3"/>
  <c r="DJ930" i="3"/>
  <c r="DI930" i="3"/>
  <c r="DH930" i="3"/>
  <c r="DG930" i="3"/>
  <c r="DF930" i="3"/>
  <c r="DE930" i="3"/>
  <c r="DD930" i="3"/>
  <c r="DC930" i="3"/>
  <c r="DB930" i="3"/>
  <c r="DA930" i="3"/>
  <c r="CZ930" i="3"/>
  <c r="CY930" i="3"/>
  <c r="CX930" i="3"/>
  <c r="CW930" i="3"/>
  <c r="CV930" i="3"/>
  <c r="CU930" i="3"/>
  <c r="CT930" i="3"/>
  <c r="CS930" i="3"/>
  <c r="CR930" i="3"/>
  <c r="CQ930" i="3"/>
  <c r="CP930" i="3"/>
  <c r="CO930" i="3"/>
  <c r="CN930" i="3"/>
  <c r="CM930" i="3"/>
  <c r="CL930" i="3"/>
  <c r="CK930" i="3"/>
  <c r="CJ930" i="3"/>
  <c r="CI930" i="3"/>
  <c r="CH930" i="3"/>
  <c r="CG930" i="3"/>
  <c r="CF930" i="3"/>
  <c r="CE930" i="3"/>
  <c r="CD930" i="3"/>
  <c r="CC930" i="3"/>
  <c r="CB930" i="3"/>
  <c r="CA930" i="3"/>
  <c r="BZ930" i="3"/>
  <c r="BY930" i="3"/>
  <c r="BX930" i="3"/>
  <c r="BW930" i="3"/>
  <c r="BV930" i="3"/>
  <c r="BU930" i="3"/>
  <c r="BT930" i="3"/>
  <c r="BS930" i="3"/>
  <c r="BR930" i="3"/>
  <c r="BQ930" i="3"/>
  <c r="BP930" i="3"/>
  <c r="BO930" i="3"/>
  <c r="BN930" i="3"/>
  <c r="DU929" i="3"/>
  <c r="DT929" i="3"/>
  <c r="DS929" i="3"/>
  <c r="DR929" i="3"/>
  <c r="DQ929" i="3"/>
  <c r="DP929" i="3"/>
  <c r="DO929" i="3"/>
  <c r="DN929" i="3"/>
  <c r="DM929" i="3"/>
  <c r="DL929" i="3"/>
  <c r="DK929" i="3"/>
  <c r="DJ929" i="3"/>
  <c r="DI929" i="3"/>
  <c r="DH929" i="3"/>
  <c r="DG929" i="3"/>
  <c r="DF929" i="3"/>
  <c r="DE929" i="3"/>
  <c r="DD929" i="3"/>
  <c r="DC929" i="3"/>
  <c r="DB929" i="3"/>
  <c r="DA929" i="3"/>
  <c r="CZ929" i="3"/>
  <c r="CY929" i="3"/>
  <c r="CX929" i="3"/>
  <c r="CW929" i="3"/>
  <c r="CV929" i="3"/>
  <c r="CU929" i="3"/>
  <c r="CT929" i="3"/>
  <c r="CS929" i="3"/>
  <c r="CR929" i="3"/>
  <c r="CQ929" i="3"/>
  <c r="CP929" i="3"/>
  <c r="CO929" i="3"/>
  <c r="CN929" i="3"/>
  <c r="CM929" i="3"/>
  <c r="CL929" i="3"/>
  <c r="CK929" i="3"/>
  <c r="CJ929" i="3"/>
  <c r="CI929" i="3"/>
  <c r="CH929" i="3"/>
  <c r="CG929" i="3"/>
  <c r="CF929" i="3"/>
  <c r="CE929" i="3"/>
  <c r="CD929" i="3"/>
  <c r="CC929" i="3"/>
  <c r="CB929" i="3"/>
  <c r="CA929" i="3"/>
  <c r="BZ929" i="3"/>
  <c r="BY929" i="3"/>
  <c r="BX929" i="3"/>
  <c r="BW929" i="3"/>
  <c r="BV929" i="3"/>
  <c r="BU929" i="3"/>
  <c r="BT929" i="3"/>
  <c r="BS929" i="3"/>
  <c r="BR929" i="3"/>
  <c r="BQ929" i="3"/>
  <c r="BP929" i="3"/>
  <c r="BO929" i="3"/>
  <c r="BN929" i="3"/>
  <c r="DU928" i="3"/>
  <c r="DT928" i="3"/>
  <c r="DS928" i="3"/>
  <c r="DR928" i="3"/>
  <c r="DQ928" i="3"/>
  <c r="DP928" i="3"/>
  <c r="DO928" i="3"/>
  <c r="DN928" i="3"/>
  <c r="DM928" i="3"/>
  <c r="DL928" i="3"/>
  <c r="DK928" i="3"/>
  <c r="DJ928" i="3"/>
  <c r="DI928" i="3"/>
  <c r="DH928" i="3"/>
  <c r="DG928" i="3"/>
  <c r="DF928" i="3"/>
  <c r="DE928" i="3"/>
  <c r="DD928" i="3"/>
  <c r="DC928" i="3"/>
  <c r="DB928" i="3"/>
  <c r="DA928" i="3"/>
  <c r="CZ928" i="3"/>
  <c r="CY928" i="3"/>
  <c r="CX928" i="3"/>
  <c r="CW928" i="3"/>
  <c r="CV928" i="3"/>
  <c r="CU928" i="3"/>
  <c r="CT928" i="3"/>
  <c r="CS928" i="3"/>
  <c r="CR928" i="3"/>
  <c r="CQ928" i="3"/>
  <c r="CP928" i="3"/>
  <c r="CO928" i="3"/>
  <c r="CN928" i="3"/>
  <c r="CM928" i="3"/>
  <c r="CL928" i="3"/>
  <c r="CK928" i="3"/>
  <c r="CJ928" i="3"/>
  <c r="CI928" i="3"/>
  <c r="CH928" i="3"/>
  <c r="CG928" i="3"/>
  <c r="CF928" i="3"/>
  <c r="CE928" i="3"/>
  <c r="CD928" i="3"/>
  <c r="CC928" i="3"/>
  <c r="CB928" i="3"/>
  <c r="CA928" i="3"/>
  <c r="BZ928" i="3"/>
  <c r="BY928" i="3"/>
  <c r="BX928" i="3"/>
  <c r="BW928" i="3"/>
  <c r="BV928" i="3"/>
  <c r="BU928" i="3"/>
  <c r="BT928" i="3"/>
  <c r="BS928" i="3"/>
  <c r="BR928" i="3"/>
  <c r="BQ928" i="3"/>
  <c r="BP928" i="3"/>
  <c r="BO928" i="3"/>
  <c r="BN928" i="3"/>
  <c r="DU927" i="3"/>
  <c r="DT927" i="3"/>
  <c r="DS927" i="3"/>
  <c r="DR927" i="3"/>
  <c r="DQ927" i="3"/>
  <c r="DP927" i="3"/>
  <c r="DO927" i="3"/>
  <c r="DN927" i="3"/>
  <c r="DM927" i="3"/>
  <c r="DL927" i="3"/>
  <c r="DK927" i="3"/>
  <c r="DJ927" i="3"/>
  <c r="DI927" i="3"/>
  <c r="DH927" i="3"/>
  <c r="DG927" i="3"/>
  <c r="DF927" i="3"/>
  <c r="DE927" i="3"/>
  <c r="DD927" i="3"/>
  <c r="DC927" i="3"/>
  <c r="DB927" i="3"/>
  <c r="DA927" i="3"/>
  <c r="CZ927" i="3"/>
  <c r="CY927" i="3"/>
  <c r="CX927" i="3"/>
  <c r="CW927" i="3"/>
  <c r="CV927" i="3"/>
  <c r="CU927" i="3"/>
  <c r="CT927" i="3"/>
  <c r="CS927" i="3"/>
  <c r="CR927" i="3"/>
  <c r="CQ927" i="3"/>
  <c r="CP927" i="3"/>
  <c r="CO927" i="3"/>
  <c r="CN927" i="3"/>
  <c r="CM927" i="3"/>
  <c r="CL927" i="3"/>
  <c r="CK927" i="3"/>
  <c r="CJ927" i="3"/>
  <c r="CI927" i="3"/>
  <c r="CH927" i="3"/>
  <c r="CG927" i="3"/>
  <c r="CF927" i="3"/>
  <c r="CE927" i="3"/>
  <c r="CD927" i="3"/>
  <c r="CC927" i="3"/>
  <c r="CB927" i="3"/>
  <c r="CA927" i="3"/>
  <c r="BZ927" i="3"/>
  <c r="BY927" i="3"/>
  <c r="BX927" i="3"/>
  <c r="BW927" i="3"/>
  <c r="BV927" i="3"/>
  <c r="BU927" i="3"/>
  <c r="BT927" i="3"/>
  <c r="BS927" i="3"/>
  <c r="BR927" i="3"/>
  <c r="BQ927" i="3"/>
  <c r="BP927" i="3"/>
  <c r="BO927" i="3"/>
  <c r="BN927" i="3"/>
  <c r="DU926" i="3"/>
  <c r="DT926" i="3"/>
  <c r="DS926" i="3"/>
  <c r="DR926" i="3"/>
  <c r="DQ926" i="3"/>
  <c r="DP926" i="3"/>
  <c r="DO926" i="3"/>
  <c r="DN926" i="3"/>
  <c r="DM926" i="3"/>
  <c r="DL926" i="3"/>
  <c r="DK926" i="3"/>
  <c r="DJ926" i="3"/>
  <c r="DI926" i="3"/>
  <c r="DH926" i="3"/>
  <c r="DG926" i="3"/>
  <c r="DF926" i="3"/>
  <c r="DE926" i="3"/>
  <c r="DD926" i="3"/>
  <c r="DC926" i="3"/>
  <c r="DB926" i="3"/>
  <c r="DA926" i="3"/>
  <c r="CZ926" i="3"/>
  <c r="CY926" i="3"/>
  <c r="CX926" i="3"/>
  <c r="CW926" i="3"/>
  <c r="CV926" i="3"/>
  <c r="CU926" i="3"/>
  <c r="CT926" i="3"/>
  <c r="CS926" i="3"/>
  <c r="CR926" i="3"/>
  <c r="CQ926" i="3"/>
  <c r="CP926" i="3"/>
  <c r="CO926" i="3"/>
  <c r="CN926" i="3"/>
  <c r="CM926" i="3"/>
  <c r="CL926" i="3"/>
  <c r="CK926" i="3"/>
  <c r="CJ926" i="3"/>
  <c r="CI926" i="3"/>
  <c r="CH926" i="3"/>
  <c r="CG926" i="3"/>
  <c r="CF926" i="3"/>
  <c r="CE926" i="3"/>
  <c r="CD926" i="3"/>
  <c r="CC926" i="3"/>
  <c r="CB926" i="3"/>
  <c r="CA926" i="3"/>
  <c r="BZ926" i="3"/>
  <c r="BY926" i="3"/>
  <c r="BX926" i="3"/>
  <c r="BW926" i="3"/>
  <c r="BV926" i="3"/>
  <c r="BU926" i="3"/>
  <c r="BT926" i="3"/>
  <c r="BS926" i="3"/>
  <c r="BR926" i="3"/>
  <c r="BQ926" i="3"/>
  <c r="BP926" i="3"/>
  <c r="BO926" i="3"/>
  <c r="BN926" i="3"/>
  <c r="DU925" i="3"/>
  <c r="DT925" i="3"/>
  <c r="DS925" i="3"/>
  <c r="DR925" i="3"/>
  <c r="DQ925" i="3"/>
  <c r="DP925" i="3"/>
  <c r="DO925" i="3"/>
  <c r="DN925" i="3"/>
  <c r="DM925" i="3"/>
  <c r="DL925" i="3"/>
  <c r="DK925" i="3"/>
  <c r="DJ925" i="3"/>
  <c r="DI925" i="3"/>
  <c r="DH925" i="3"/>
  <c r="DG925" i="3"/>
  <c r="DF925" i="3"/>
  <c r="DE925" i="3"/>
  <c r="DD925" i="3"/>
  <c r="DC925" i="3"/>
  <c r="DB925" i="3"/>
  <c r="DA925" i="3"/>
  <c r="CZ925" i="3"/>
  <c r="CY925" i="3"/>
  <c r="CX925" i="3"/>
  <c r="CW925" i="3"/>
  <c r="CV925" i="3"/>
  <c r="CU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C925" i="3"/>
  <c r="CB925" i="3"/>
  <c r="CA925" i="3"/>
  <c r="BZ925" i="3"/>
  <c r="BY925" i="3"/>
  <c r="BX925" i="3"/>
  <c r="BW925" i="3"/>
  <c r="BV925" i="3"/>
  <c r="BU925" i="3"/>
  <c r="BT925" i="3"/>
  <c r="BS925" i="3"/>
  <c r="BR925" i="3"/>
  <c r="BQ925" i="3"/>
  <c r="BP925" i="3"/>
  <c r="BO925" i="3"/>
  <c r="BN925" i="3"/>
  <c r="DU924" i="3"/>
  <c r="DT924" i="3"/>
  <c r="DS924" i="3"/>
  <c r="DR924" i="3"/>
  <c r="DQ924" i="3"/>
  <c r="DP924" i="3"/>
  <c r="DO924" i="3"/>
  <c r="DN924" i="3"/>
  <c r="DM924" i="3"/>
  <c r="DL924" i="3"/>
  <c r="DK924" i="3"/>
  <c r="DJ924" i="3"/>
  <c r="DI924" i="3"/>
  <c r="DH924" i="3"/>
  <c r="DG924" i="3"/>
  <c r="DF924" i="3"/>
  <c r="DE924" i="3"/>
  <c r="DD924" i="3"/>
  <c r="DC924" i="3"/>
  <c r="DB924" i="3"/>
  <c r="DA924" i="3"/>
  <c r="CZ924" i="3"/>
  <c r="CY924" i="3"/>
  <c r="CX924" i="3"/>
  <c r="CW924" i="3"/>
  <c r="CV924" i="3"/>
  <c r="CU924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C924" i="3"/>
  <c r="CB924" i="3"/>
  <c r="CA924" i="3"/>
  <c r="BZ924" i="3"/>
  <c r="BY924" i="3"/>
  <c r="BX924" i="3"/>
  <c r="BW924" i="3"/>
  <c r="BV924" i="3"/>
  <c r="BU924" i="3"/>
  <c r="BT924" i="3"/>
  <c r="BS924" i="3"/>
  <c r="BR924" i="3"/>
  <c r="BQ924" i="3"/>
  <c r="BP924" i="3"/>
  <c r="BO924" i="3"/>
  <c r="BN924" i="3"/>
  <c r="DU923" i="3"/>
  <c r="DT923" i="3"/>
  <c r="DS923" i="3"/>
  <c r="DR923" i="3"/>
  <c r="DQ923" i="3"/>
  <c r="DP923" i="3"/>
  <c r="DO923" i="3"/>
  <c r="DN923" i="3"/>
  <c r="DM923" i="3"/>
  <c r="DL923" i="3"/>
  <c r="DK923" i="3"/>
  <c r="DJ923" i="3"/>
  <c r="DI923" i="3"/>
  <c r="DH923" i="3"/>
  <c r="DG923" i="3"/>
  <c r="DF923" i="3"/>
  <c r="DE923" i="3"/>
  <c r="DD923" i="3"/>
  <c r="DC923" i="3"/>
  <c r="DB923" i="3"/>
  <c r="DA923" i="3"/>
  <c r="CZ923" i="3"/>
  <c r="CY923" i="3"/>
  <c r="CX923" i="3"/>
  <c r="CW923" i="3"/>
  <c r="CV923" i="3"/>
  <c r="CU923" i="3"/>
  <c r="CT923" i="3"/>
  <c r="CS923" i="3"/>
  <c r="CR923" i="3"/>
  <c r="CQ923" i="3"/>
  <c r="CP923" i="3"/>
  <c r="CO923" i="3"/>
  <c r="CN923" i="3"/>
  <c r="CM923" i="3"/>
  <c r="CL923" i="3"/>
  <c r="CK923" i="3"/>
  <c r="CJ923" i="3"/>
  <c r="CI923" i="3"/>
  <c r="CH923" i="3"/>
  <c r="CG923" i="3"/>
  <c r="CF923" i="3"/>
  <c r="CE923" i="3"/>
  <c r="CD923" i="3"/>
  <c r="CC923" i="3"/>
  <c r="CB923" i="3"/>
  <c r="CA923" i="3"/>
  <c r="BZ923" i="3"/>
  <c r="BY923" i="3"/>
  <c r="BX923" i="3"/>
  <c r="BW923" i="3"/>
  <c r="BV923" i="3"/>
  <c r="BU923" i="3"/>
  <c r="BT923" i="3"/>
  <c r="BS923" i="3"/>
  <c r="BR923" i="3"/>
  <c r="BQ923" i="3"/>
  <c r="BP923" i="3"/>
  <c r="BO923" i="3"/>
  <c r="BN923" i="3"/>
  <c r="DU922" i="3"/>
  <c r="DT922" i="3"/>
  <c r="DS922" i="3"/>
  <c r="DR922" i="3"/>
  <c r="DQ922" i="3"/>
  <c r="DP922" i="3"/>
  <c r="DO922" i="3"/>
  <c r="DN922" i="3"/>
  <c r="DM922" i="3"/>
  <c r="DL922" i="3"/>
  <c r="DK922" i="3"/>
  <c r="DJ922" i="3"/>
  <c r="DI922" i="3"/>
  <c r="DH922" i="3"/>
  <c r="DG922" i="3"/>
  <c r="DF922" i="3"/>
  <c r="DE922" i="3"/>
  <c r="DD922" i="3"/>
  <c r="DC922" i="3"/>
  <c r="DB922" i="3"/>
  <c r="DA922" i="3"/>
  <c r="CZ922" i="3"/>
  <c r="CY922" i="3"/>
  <c r="CX922" i="3"/>
  <c r="CW922" i="3"/>
  <c r="CV922" i="3"/>
  <c r="CU922" i="3"/>
  <c r="CT922" i="3"/>
  <c r="CS922" i="3"/>
  <c r="CR922" i="3"/>
  <c r="CQ922" i="3"/>
  <c r="CP922" i="3"/>
  <c r="CO922" i="3"/>
  <c r="CN922" i="3"/>
  <c r="CM922" i="3"/>
  <c r="CL922" i="3"/>
  <c r="CK922" i="3"/>
  <c r="CJ922" i="3"/>
  <c r="CI922" i="3"/>
  <c r="CH922" i="3"/>
  <c r="CG922" i="3"/>
  <c r="CF922" i="3"/>
  <c r="CE922" i="3"/>
  <c r="CD922" i="3"/>
  <c r="CC922" i="3"/>
  <c r="CB922" i="3"/>
  <c r="CA922" i="3"/>
  <c r="BZ922" i="3"/>
  <c r="BY922" i="3"/>
  <c r="BX922" i="3"/>
  <c r="BW922" i="3"/>
  <c r="BV922" i="3"/>
  <c r="BU922" i="3"/>
  <c r="BT922" i="3"/>
  <c r="BS922" i="3"/>
  <c r="BR922" i="3"/>
  <c r="BQ922" i="3"/>
  <c r="BP922" i="3"/>
  <c r="BO922" i="3"/>
  <c r="BN922" i="3"/>
  <c r="DU921" i="3"/>
  <c r="DT921" i="3"/>
  <c r="DS921" i="3"/>
  <c r="DR921" i="3"/>
  <c r="DQ921" i="3"/>
  <c r="DP921" i="3"/>
  <c r="DO921" i="3"/>
  <c r="DN921" i="3"/>
  <c r="DM921" i="3"/>
  <c r="DL921" i="3"/>
  <c r="DK921" i="3"/>
  <c r="DJ921" i="3"/>
  <c r="DI921" i="3"/>
  <c r="DH921" i="3"/>
  <c r="DG921" i="3"/>
  <c r="DF921" i="3"/>
  <c r="DE921" i="3"/>
  <c r="DD921" i="3"/>
  <c r="DC921" i="3"/>
  <c r="DB921" i="3"/>
  <c r="DA921" i="3"/>
  <c r="CZ921" i="3"/>
  <c r="CY921" i="3"/>
  <c r="CX921" i="3"/>
  <c r="CW921" i="3"/>
  <c r="CV921" i="3"/>
  <c r="CU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C921" i="3"/>
  <c r="CB921" i="3"/>
  <c r="CA921" i="3"/>
  <c r="BZ921" i="3"/>
  <c r="BY921" i="3"/>
  <c r="BX921" i="3"/>
  <c r="BW921" i="3"/>
  <c r="BV921" i="3"/>
  <c r="BU921" i="3"/>
  <c r="BT921" i="3"/>
  <c r="BS921" i="3"/>
  <c r="BR921" i="3"/>
  <c r="BQ921" i="3"/>
  <c r="BP921" i="3"/>
  <c r="BO921" i="3"/>
  <c r="BN921" i="3"/>
  <c r="DU920" i="3"/>
  <c r="DT920" i="3"/>
  <c r="DS920" i="3"/>
  <c r="DR920" i="3"/>
  <c r="DQ920" i="3"/>
  <c r="DP920" i="3"/>
  <c r="DO920" i="3"/>
  <c r="DN920" i="3"/>
  <c r="DM920" i="3"/>
  <c r="DL920" i="3"/>
  <c r="DK920" i="3"/>
  <c r="DJ920" i="3"/>
  <c r="DI920" i="3"/>
  <c r="DH920" i="3"/>
  <c r="DG920" i="3"/>
  <c r="DF920" i="3"/>
  <c r="DE920" i="3"/>
  <c r="DD920" i="3"/>
  <c r="DC920" i="3"/>
  <c r="DB920" i="3"/>
  <c r="DA920" i="3"/>
  <c r="CZ920" i="3"/>
  <c r="CY920" i="3"/>
  <c r="CX920" i="3"/>
  <c r="CW920" i="3"/>
  <c r="CV920" i="3"/>
  <c r="CU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C920" i="3"/>
  <c r="CB920" i="3"/>
  <c r="CA920" i="3"/>
  <c r="BZ920" i="3"/>
  <c r="BY920" i="3"/>
  <c r="BX920" i="3"/>
  <c r="BW920" i="3"/>
  <c r="BV920" i="3"/>
  <c r="BU920" i="3"/>
  <c r="BT920" i="3"/>
  <c r="BS920" i="3"/>
  <c r="BR920" i="3"/>
  <c r="BQ920" i="3"/>
  <c r="BP920" i="3"/>
  <c r="BO920" i="3"/>
  <c r="BN920" i="3"/>
  <c r="DU919" i="3"/>
  <c r="DT919" i="3"/>
  <c r="DS919" i="3"/>
  <c r="DR919" i="3"/>
  <c r="DQ919" i="3"/>
  <c r="DP919" i="3"/>
  <c r="DO919" i="3"/>
  <c r="DN919" i="3"/>
  <c r="DM919" i="3"/>
  <c r="DL919" i="3"/>
  <c r="DK919" i="3"/>
  <c r="DJ919" i="3"/>
  <c r="DI919" i="3"/>
  <c r="DH919" i="3"/>
  <c r="DG919" i="3"/>
  <c r="DF919" i="3"/>
  <c r="DE919" i="3"/>
  <c r="DD919" i="3"/>
  <c r="DC919" i="3"/>
  <c r="DB919" i="3"/>
  <c r="DA919" i="3"/>
  <c r="CZ919" i="3"/>
  <c r="CY919" i="3"/>
  <c r="CX919" i="3"/>
  <c r="CW919" i="3"/>
  <c r="CV919" i="3"/>
  <c r="CU919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C919" i="3"/>
  <c r="CB919" i="3"/>
  <c r="CA919" i="3"/>
  <c r="BZ919" i="3"/>
  <c r="BY919" i="3"/>
  <c r="BX919" i="3"/>
  <c r="BW919" i="3"/>
  <c r="BV919" i="3"/>
  <c r="BU919" i="3"/>
  <c r="BT919" i="3"/>
  <c r="BS919" i="3"/>
  <c r="BR919" i="3"/>
  <c r="BQ919" i="3"/>
  <c r="BP919" i="3"/>
  <c r="BO919" i="3"/>
  <c r="BN919" i="3"/>
  <c r="DU918" i="3"/>
  <c r="DT918" i="3"/>
  <c r="DS918" i="3"/>
  <c r="DR918" i="3"/>
  <c r="DQ918" i="3"/>
  <c r="DP918" i="3"/>
  <c r="DO918" i="3"/>
  <c r="DN918" i="3"/>
  <c r="DM918" i="3"/>
  <c r="DL918" i="3"/>
  <c r="DK918" i="3"/>
  <c r="DJ918" i="3"/>
  <c r="DI918" i="3"/>
  <c r="DH918" i="3"/>
  <c r="DG918" i="3"/>
  <c r="DF918" i="3"/>
  <c r="DE918" i="3"/>
  <c r="DD918" i="3"/>
  <c r="DC918" i="3"/>
  <c r="DB918" i="3"/>
  <c r="DA918" i="3"/>
  <c r="CZ918" i="3"/>
  <c r="CY918" i="3"/>
  <c r="CX918" i="3"/>
  <c r="CW918" i="3"/>
  <c r="CV918" i="3"/>
  <c r="CU918" i="3"/>
  <c r="CT918" i="3"/>
  <c r="CS918" i="3"/>
  <c r="CR918" i="3"/>
  <c r="CQ918" i="3"/>
  <c r="CP918" i="3"/>
  <c r="CO918" i="3"/>
  <c r="CN918" i="3"/>
  <c r="CM918" i="3"/>
  <c r="CL918" i="3"/>
  <c r="CK918" i="3"/>
  <c r="CJ918" i="3"/>
  <c r="CI918" i="3"/>
  <c r="CH918" i="3"/>
  <c r="CG918" i="3"/>
  <c r="CF918" i="3"/>
  <c r="CE918" i="3"/>
  <c r="CD918" i="3"/>
  <c r="CC918" i="3"/>
  <c r="CB918" i="3"/>
  <c r="CA918" i="3"/>
  <c r="BZ918" i="3"/>
  <c r="BY918" i="3"/>
  <c r="BX918" i="3"/>
  <c r="BW918" i="3"/>
  <c r="BV918" i="3"/>
  <c r="BU918" i="3"/>
  <c r="BT918" i="3"/>
  <c r="BS918" i="3"/>
  <c r="BR918" i="3"/>
  <c r="BQ918" i="3"/>
  <c r="BP918" i="3"/>
  <c r="BO918" i="3"/>
  <c r="BN918" i="3"/>
  <c r="DU917" i="3"/>
  <c r="DT917" i="3"/>
  <c r="DS917" i="3"/>
  <c r="DR917" i="3"/>
  <c r="DQ917" i="3"/>
  <c r="DP917" i="3"/>
  <c r="DO917" i="3"/>
  <c r="DN917" i="3"/>
  <c r="DM917" i="3"/>
  <c r="DL917" i="3"/>
  <c r="DK917" i="3"/>
  <c r="DJ917" i="3"/>
  <c r="DI917" i="3"/>
  <c r="DH917" i="3"/>
  <c r="DG917" i="3"/>
  <c r="DF917" i="3"/>
  <c r="DE917" i="3"/>
  <c r="DD917" i="3"/>
  <c r="DC917" i="3"/>
  <c r="DB917" i="3"/>
  <c r="DA917" i="3"/>
  <c r="CZ917" i="3"/>
  <c r="CY917" i="3"/>
  <c r="CX917" i="3"/>
  <c r="CW917" i="3"/>
  <c r="CV917" i="3"/>
  <c r="CU917" i="3"/>
  <c r="CT917" i="3"/>
  <c r="CS917" i="3"/>
  <c r="CR917" i="3"/>
  <c r="CQ917" i="3"/>
  <c r="CP917" i="3"/>
  <c r="CO917" i="3"/>
  <c r="CN917" i="3"/>
  <c r="CM917" i="3"/>
  <c r="CL917" i="3"/>
  <c r="CK917" i="3"/>
  <c r="CJ917" i="3"/>
  <c r="CI917" i="3"/>
  <c r="CH917" i="3"/>
  <c r="CG917" i="3"/>
  <c r="CF917" i="3"/>
  <c r="CE917" i="3"/>
  <c r="CD917" i="3"/>
  <c r="CC917" i="3"/>
  <c r="CB917" i="3"/>
  <c r="CA917" i="3"/>
  <c r="BZ917" i="3"/>
  <c r="BY917" i="3"/>
  <c r="BX917" i="3"/>
  <c r="BW917" i="3"/>
  <c r="BV917" i="3"/>
  <c r="BU917" i="3"/>
  <c r="BT917" i="3"/>
  <c r="BS917" i="3"/>
  <c r="BR917" i="3"/>
  <c r="BQ917" i="3"/>
  <c r="BP917" i="3"/>
  <c r="BO917" i="3"/>
  <c r="BN917" i="3"/>
  <c r="DU916" i="3"/>
  <c r="DT916" i="3"/>
  <c r="DS916" i="3"/>
  <c r="DR916" i="3"/>
  <c r="DQ916" i="3"/>
  <c r="DP916" i="3"/>
  <c r="DO916" i="3"/>
  <c r="DN916" i="3"/>
  <c r="DM916" i="3"/>
  <c r="DL916" i="3"/>
  <c r="DK916" i="3"/>
  <c r="DJ916" i="3"/>
  <c r="DI916" i="3"/>
  <c r="DH916" i="3"/>
  <c r="DG916" i="3"/>
  <c r="DF916" i="3"/>
  <c r="DE916" i="3"/>
  <c r="DD916" i="3"/>
  <c r="DC916" i="3"/>
  <c r="DB916" i="3"/>
  <c r="DA916" i="3"/>
  <c r="CZ916" i="3"/>
  <c r="CY916" i="3"/>
  <c r="CX916" i="3"/>
  <c r="CW916" i="3"/>
  <c r="CV916" i="3"/>
  <c r="CU916" i="3"/>
  <c r="CT916" i="3"/>
  <c r="CS916" i="3"/>
  <c r="CR916" i="3"/>
  <c r="CQ916" i="3"/>
  <c r="CP916" i="3"/>
  <c r="CO916" i="3"/>
  <c r="CN916" i="3"/>
  <c r="CM916" i="3"/>
  <c r="CL916" i="3"/>
  <c r="CK916" i="3"/>
  <c r="CJ916" i="3"/>
  <c r="CI916" i="3"/>
  <c r="CH916" i="3"/>
  <c r="CG916" i="3"/>
  <c r="CF916" i="3"/>
  <c r="CE916" i="3"/>
  <c r="CD916" i="3"/>
  <c r="CC916" i="3"/>
  <c r="CB916" i="3"/>
  <c r="CA916" i="3"/>
  <c r="BZ916" i="3"/>
  <c r="BY916" i="3"/>
  <c r="BX916" i="3"/>
  <c r="BW916" i="3"/>
  <c r="BV916" i="3"/>
  <c r="BU916" i="3"/>
  <c r="BT916" i="3"/>
  <c r="BS916" i="3"/>
  <c r="BR916" i="3"/>
  <c r="BQ916" i="3"/>
  <c r="BP916" i="3"/>
  <c r="BO916" i="3"/>
  <c r="BN916" i="3"/>
  <c r="DU915" i="3"/>
  <c r="DT915" i="3"/>
  <c r="DS915" i="3"/>
  <c r="DR915" i="3"/>
  <c r="DQ915" i="3"/>
  <c r="DP915" i="3"/>
  <c r="DO915" i="3"/>
  <c r="DN915" i="3"/>
  <c r="DM915" i="3"/>
  <c r="DL915" i="3"/>
  <c r="DK915" i="3"/>
  <c r="DJ915" i="3"/>
  <c r="DI915" i="3"/>
  <c r="DH915" i="3"/>
  <c r="DG915" i="3"/>
  <c r="DF915" i="3"/>
  <c r="DE915" i="3"/>
  <c r="DD915" i="3"/>
  <c r="DC915" i="3"/>
  <c r="DB915" i="3"/>
  <c r="DA915" i="3"/>
  <c r="CZ915" i="3"/>
  <c r="CY915" i="3"/>
  <c r="CX915" i="3"/>
  <c r="CW915" i="3"/>
  <c r="CV915" i="3"/>
  <c r="CU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C915" i="3"/>
  <c r="CB915" i="3"/>
  <c r="CA915" i="3"/>
  <c r="BZ915" i="3"/>
  <c r="BY915" i="3"/>
  <c r="BX915" i="3"/>
  <c r="BW915" i="3"/>
  <c r="BV915" i="3"/>
  <c r="BU915" i="3"/>
  <c r="BT915" i="3"/>
  <c r="BS915" i="3"/>
  <c r="BR915" i="3"/>
  <c r="BQ915" i="3"/>
  <c r="BP915" i="3"/>
  <c r="BO915" i="3"/>
  <c r="BN915" i="3"/>
  <c r="DU914" i="3"/>
  <c r="DT914" i="3"/>
  <c r="DS914" i="3"/>
  <c r="DR914" i="3"/>
  <c r="DQ914" i="3"/>
  <c r="DP914" i="3"/>
  <c r="DO914" i="3"/>
  <c r="DN914" i="3"/>
  <c r="DM914" i="3"/>
  <c r="DL914" i="3"/>
  <c r="DK914" i="3"/>
  <c r="DJ914" i="3"/>
  <c r="DI914" i="3"/>
  <c r="DH914" i="3"/>
  <c r="DG914" i="3"/>
  <c r="DF914" i="3"/>
  <c r="DE914" i="3"/>
  <c r="DD914" i="3"/>
  <c r="DC914" i="3"/>
  <c r="DB914" i="3"/>
  <c r="DA914" i="3"/>
  <c r="CZ914" i="3"/>
  <c r="CY914" i="3"/>
  <c r="CX914" i="3"/>
  <c r="CW914" i="3"/>
  <c r="CV914" i="3"/>
  <c r="CU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C914" i="3"/>
  <c r="CB914" i="3"/>
  <c r="CA914" i="3"/>
  <c r="BZ914" i="3"/>
  <c r="BY914" i="3"/>
  <c r="BX914" i="3"/>
  <c r="BW914" i="3"/>
  <c r="BV914" i="3"/>
  <c r="BU914" i="3"/>
  <c r="BT914" i="3"/>
  <c r="BS914" i="3"/>
  <c r="BR914" i="3"/>
  <c r="BQ914" i="3"/>
  <c r="BP914" i="3"/>
  <c r="BO914" i="3"/>
  <c r="BN914" i="3"/>
  <c r="DU913" i="3"/>
  <c r="DT913" i="3"/>
  <c r="DS913" i="3"/>
  <c r="DR913" i="3"/>
  <c r="DQ913" i="3"/>
  <c r="DP913" i="3"/>
  <c r="DO913" i="3"/>
  <c r="DN913" i="3"/>
  <c r="DM913" i="3"/>
  <c r="DL913" i="3"/>
  <c r="DK913" i="3"/>
  <c r="DJ913" i="3"/>
  <c r="DI913" i="3"/>
  <c r="DH913" i="3"/>
  <c r="DG913" i="3"/>
  <c r="DF913" i="3"/>
  <c r="DE913" i="3"/>
  <c r="DD913" i="3"/>
  <c r="DC913" i="3"/>
  <c r="DB913" i="3"/>
  <c r="DA913" i="3"/>
  <c r="CZ913" i="3"/>
  <c r="CY913" i="3"/>
  <c r="CX913" i="3"/>
  <c r="CW913" i="3"/>
  <c r="CV913" i="3"/>
  <c r="CU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C913" i="3"/>
  <c r="CB913" i="3"/>
  <c r="CA913" i="3"/>
  <c r="BZ913" i="3"/>
  <c r="BY913" i="3"/>
  <c r="BX913" i="3"/>
  <c r="BW913" i="3"/>
  <c r="BV913" i="3"/>
  <c r="BU913" i="3"/>
  <c r="BT913" i="3"/>
  <c r="BS913" i="3"/>
  <c r="BR913" i="3"/>
  <c r="BQ913" i="3"/>
  <c r="BP913" i="3"/>
  <c r="BO913" i="3"/>
  <c r="BN913" i="3"/>
  <c r="DU912" i="3"/>
  <c r="DT912" i="3"/>
  <c r="DS912" i="3"/>
  <c r="DR912" i="3"/>
  <c r="DQ912" i="3"/>
  <c r="DP912" i="3"/>
  <c r="DO912" i="3"/>
  <c r="DN912" i="3"/>
  <c r="DM912" i="3"/>
  <c r="DL912" i="3"/>
  <c r="DK912" i="3"/>
  <c r="DJ912" i="3"/>
  <c r="DI912" i="3"/>
  <c r="DH912" i="3"/>
  <c r="DG912" i="3"/>
  <c r="DF912" i="3"/>
  <c r="DE912" i="3"/>
  <c r="DD912" i="3"/>
  <c r="DC912" i="3"/>
  <c r="DB912" i="3"/>
  <c r="DA912" i="3"/>
  <c r="CZ912" i="3"/>
  <c r="CY912" i="3"/>
  <c r="CX912" i="3"/>
  <c r="CW912" i="3"/>
  <c r="CV912" i="3"/>
  <c r="CU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C912" i="3"/>
  <c r="CB912" i="3"/>
  <c r="CA912" i="3"/>
  <c r="BZ912" i="3"/>
  <c r="BY912" i="3"/>
  <c r="BX912" i="3"/>
  <c r="BW912" i="3"/>
  <c r="BV912" i="3"/>
  <c r="BU912" i="3"/>
  <c r="BT912" i="3"/>
  <c r="BS912" i="3"/>
  <c r="BR912" i="3"/>
  <c r="BQ912" i="3"/>
  <c r="BP912" i="3"/>
  <c r="BO912" i="3"/>
  <c r="BN912" i="3"/>
  <c r="DU911" i="3"/>
  <c r="DT911" i="3"/>
  <c r="DS911" i="3"/>
  <c r="DR911" i="3"/>
  <c r="DQ911" i="3"/>
  <c r="DP911" i="3"/>
  <c r="DO911" i="3"/>
  <c r="DN911" i="3"/>
  <c r="DM911" i="3"/>
  <c r="DL911" i="3"/>
  <c r="DK911" i="3"/>
  <c r="DJ911" i="3"/>
  <c r="DI911" i="3"/>
  <c r="DH911" i="3"/>
  <c r="DG911" i="3"/>
  <c r="DF911" i="3"/>
  <c r="DE911" i="3"/>
  <c r="DD911" i="3"/>
  <c r="DC911" i="3"/>
  <c r="DB911" i="3"/>
  <c r="DA911" i="3"/>
  <c r="CZ911" i="3"/>
  <c r="CY911" i="3"/>
  <c r="CX911" i="3"/>
  <c r="CW911" i="3"/>
  <c r="CV911" i="3"/>
  <c r="CU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C911" i="3"/>
  <c r="CB911" i="3"/>
  <c r="CA911" i="3"/>
  <c r="BZ911" i="3"/>
  <c r="BY911" i="3"/>
  <c r="BX911" i="3"/>
  <c r="BW911" i="3"/>
  <c r="BV911" i="3"/>
  <c r="BU911" i="3"/>
  <c r="BT911" i="3"/>
  <c r="BS911" i="3"/>
  <c r="BR911" i="3"/>
  <c r="BQ911" i="3"/>
  <c r="BP911" i="3"/>
  <c r="BO911" i="3"/>
  <c r="BN911" i="3"/>
  <c r="DU910" i="3"/>
  <c r="DT910" i="3"/>
  <c r="DS910" i="3"/>
  <c r="DR910" i="3"/>
  <c r="DQ910" i="3"/>
  <c r="DP910" i="3"/>
  <c r="DO910" i="3"/>
  <c r="DN910" i="3"/>
  <c r="DM910" i="3"/>
  <c r="DL910" i="3"/>
  <c r="DK910" i="3"/>
  <c r="DJ910" i="3"/>
  <c r="DI910" i="3"/>
  <c r="DH910" i="3"/>
  <c r="DG910" i="3"/>
  <c r="DF910" i="3"/>
  <c r="DE910" i="3"/>
  <c r="DD910" i="3"/>
  <c r="DC910" i="3"/>
  <c r="DB910" i="3"/>
  <c r="DA910" i="3"/>
  <c r="CZ910" i="3"/>
  <c r="CY910" i="3"/>
  <c r="CX910" i="3"/>
  <c r="CW910" i="3"/>
  <c r="CV910" i="3"/>
  <c r="CU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C910" i="3"/>
  <c r="CB910" i="3"/>
  <c r="CA910" i="3"/>
  <c r="BZ910" i="3"/>
  <c r="BY910" i="3"/>
  <c r="BX910" i="3"/>
  <c r="BW910" i="3"/>
  <c r="BV910" i="3"/>
  <c r="BU910" i="3"/>
  <c r="BT910" i="3"/>
  <c r="BS910" i="3"/>
  <c r="BR910" i="3"/>
  <c r="BQ910" i="3"/>
  <c r="BP910" i="3"/>
  <c r="BO910" i="3"/>
  <c r="BN910" i="3"/>
  <c r="DU909" i="3"/>
  <c r="DT909" i="3"/>
  <c r="DS909" i="3"/>
  <c r="DR909" i="3"/>
  <c r="DQ909" i="3"/>
  <c r="DP909" i="3"/>
  <c r="DO909" i="3"/>
  <c r="DN909" i="3"/>
  <c r="DM909" i="3"/>
  <c r="DL909" i="3"/>
  <c r="DK909" i="3"/>
  <c r="DJ909" i="3"/>
  <c r="DI909" i="3"/>
  <c r="DH909" i="3"/>
  <c r="DG909" i="3"/>
  <c r="DF909" i="3"/>
  <c r="DE909" i="3"/>
  <c r="DD909" i="3"/>
  <c r="DC909" i="3"/>
  <c r="DB909" i="3"/>
  <c r="DA909" i="3"/>
  <c r="CZ909" i="3"/>
  <c r="CY909" i="3"/>
  <c r="CX909" i="3"/>
  <c r="CW909" i="3"/>
  <c r="CV909" i="3"/>
  <c r="CU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C909" i="3"/>
  <c r="CB909" i="3"/>
  <c r="CA909" i="3"/>
  <c r="BZ909" i="3"/>
  <c r="BY909" i="3"/>
  <c r="BX909" i="3"/>
  <c r="BW909" i="3"/>
  <c r="BV909" i="3"/>
  <c r="BU909" i="3"/>
  <c r="BT909" i="3"/>
  <c r="BS909" i="3"/>
  <c r="BR909" i="3"/>
  <c r="BQ909" i="3"/>
  <c r="BP909" i="3"/>
  <c r="BO909" i="3"/>
  <c r="BN909" i="3"/>
  <c r="DU908" i="3"/>
  <c r="DT908" i="3"/>
  <c r="DS908" i="3"/>
  <c r="DR908" i="3"/>
  <c r="DQ908" i="3"/>
  <c r="DP908" i="3"/>
  <c r="DO908" i="3"/>
  <c r="DN908" i="3"/>
  <c r="DM908" i="3"/>
  <c r="DL908" i="3"/>
  <c r="DK908" i="3"/>
  <c r="DJ908" i="3"/>
  <c r="DI908" i="3"/>
  <c r="DH908" i="3"/>
  <c r="DG908" i="3"/>
  <c r="DF908" i="3"/>
  <c r="DE908" i="3"/>
  <c r="DD908" i="3"/>
  <c r="DC908" i="3"/>
  <c r="DB908" i="3"/>
  <c r="DA908" i="3"/>
  <c r="CZ908" i="3"/>
  <c r="CY908" i="3"/>
  <c r="CX908" i="3"/>
  <c r="CW908" i="3"/>
  <c r="CV908" i="3"/>
  <c r="CU908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C908" i="3"/>
  <c r="CB908" i="3"/>
  <c r="CA908" i="3"/>
  <c r="BZ908" i="3"/>
  <c r="BY908" i="3"/>
  <c r="BX908" i="3"/>
  <c r="BW908" i="3"/>
  <c r="BV908" i="3"/>
  <c r="BU908" i="3"/>
  <c r="BT908" i="3"/>
  <c r="BS908" i="3"/>
  <c r="BR908" i="3"/>
  <c r="BQ908" i="3"/>
  <c r="BP908" i="3"/>
  <c r="BO908" i="3"/>
  <c r="BN908" i="3"/>
  <c r="DU907" i="3"/>
  <c r="DT907" i="3"/>
  <c r="DS907" i="3"/>
  <c r="DR907" i="3"/>
  <c r="DQ907" i="3"/>
  <c r="DP907" i="3"/>
  <c r="DO907" i="3"/>
  <c r="DN907" i="3"/>
  <c r="DM907" i="3"/>
  <c r="DL907" i="3"/>
  <c r="DK907" i="3"/>
  <c r="DJ907" i="3"/>
  <c r="DI907" i="3"/>
  <c r="DH907" i="3"/>
  <c r="DG907" i="3"/>
  <c r="DF907" i="3"/>
  <c r="DE907" i="3"/>
  <c r="DD907" i="3"/>
  <c r="DC907" i="3"/>
  <c r="DB907" i="3"/>
  <c r="DA907" i="3"/>
  <c r="CZ907" i="3"/>
  <c r="CY907" i="3"/>
  <c r="CX907" i="3"/>
  <c r="CW907" i="3"/>
  <c r="CV907" i="3"/>
  <c r="CU907" i="3"/>
  <c r="CT907" i="3"/>
  <c r="CS907" i="3"/>
  <c r="CR907" i="3"/>
  <c r="CQ907" i="3"/>
  <c r="CP907" i="3"/>
  <c r="CO907" i="3"/>
  <c r="CN907" i="3"/>
  <c r="CM907" i="3"/>
  <c r="CL907" i="3"/>
  <c r="CK907" i="3"/>
  <c r="CJ907" i="3"/>
  <c r="CI907" i="3"/>
  <c r="CH907" i="3"/>
  <c r="CG907" i="3"/>
  <c r="CF907" i="3"/>
  <c r="CE907" i="3"/>
  <c r="CD907" i="3"/>
  <c r="CC907" i="3"/>
  <c r="CB907" i="3"/>
  <c r="CA907" i="3"/>
  <c r="BZ907" i="3"/>
  <c r="BY907" i="3"/>
  <c r="BX907" i="3"/>
  <c r="BW907" i="3"/>
  <c r="BV907" i="3"/>
  <c r="BU907" i="3"/>
  <c r="BT907" i="3"/>
  <c r="BS907" i="3"/>
  <c r="BR907" i="3"/>
  <c r="BQ907" i="3"/>
  <c r="BP907" i="3"/>
  <c r="BO907" i="3"/>
  <c r="BN907" i="3"/>
  <c r="DU906" i="3"/>
  <c r="DT906" i="3"/>
  <c r="DS906" i="3"/>
  <c r="DR906" i="3"/>
  <c r="DQ906" i="3"/>
  <c r="DP906" i="3"/>
  <c r="DO906" i="3"/>
  <c r="DN906" i="3"/>
  <c r="DM906" i="3"/>
  <c r="DL906" i="3"/>
  <c r="DK906" i="3"/>
  <c r="DJ906" i="3"/>
  <c r="DI906" i="3"/>
  <c r="DH906" i="3"/>
  <c r="DG906" i="3"/>
  <c r="DF906" i="3"/>
  <c r="DE906" i="3"/>
  <c r="DD906" i="3"/>
  <c r="DC906" i="3"/>
  <c r="DB906" i="3"/>
  <c r="DA906" i="3"/>
  <c r="CZ906" i="3"/>
  <c r="CY906" i="3"/>
  <c r="CX906" i="3"/>
  <c r="CW906" i="3"/>
  <c r="CV906" i="3"/>
  <c r="CU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C906" i="3"/>
  <c r="CB906" i="3"/>
  <c r="CA906" i="3"/>
  <c r="BZ906" i="3"/>
  <c r="BY906" i="3"/>
  <c r="BX906" i="3"/>
  <c r="BW906" i="3"/>
  <c r="BV906" i="3"/>
  <c r="BU906" i="3"/>
  <c r="BT906" i="3"/>
  <c r="BS906" i="3"/>
  <c r="BR906" i="3"/>
  <c r="BQ906" i="3"/>
  <c r="BP906" i="3"/>
  <c r="BO906" i="3"/>
  <c r="BN906" i="3"/>
  <c r="DU905" i="3"/>
  <c r="DT905" i="3"/>
  <c r="DS905" i="3"/>
  <c r="DR905" i="3"/>
  <c r="DQ905" i="3"/>
  <c r="DP905" i="3"/>
  <c r="DO905" i="3"/>
  <c r="DN905" i="3"/>
  <c r="DM905" i="3"/>
  <c r="DL905" i="3"/>
  <c r="DK905" i="3"/>
  <c r="DJ905" i="3"/>
  <c r="DI905" i="3"/>
  <c r="DH905" i="3"/>
  <c r="DG905" i="3"/>
  <c r="DF905" i="3"/>
  <c r="DE905" i="3"/>
  <c r="DD905" i="3"/>
  <c r="DC905" i="3"/>
  <c r="DB905" i="3"/>
  <c r="DA905" i="3"/>
  <c r="CZ905" i="3"/>
  <c r="CY905" i="3"/>
  <c r="CX905" i="3"/>
  <c r="CW905" i="3"/>
  <c r="CV905" i="3"/>
  <c r="CU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C905" i="3"/>
  <c r="CB905" i="3"/>
  <c r="CA905" i="3"/>
  <c r="BZ905" i="3"/>
  <c r="BY905" i="3"/>
  <c r="BX905" i="3"/>
  <c r="BW905" i="3"/>
  <c r="BV905" i="3"/>
  <c r="BU905" i="3"/>
  <c r="BT905" i="3"/>
  <c r="BS905" i="3"/>
  <c r="BR905" i="3"/>
  <c r="BQ905" i="3"/>
  <c r="BP905" i="3"/>
  <c r="BO905" i="3"/>
  <c r="BN905" i="3"/>
  <c r="DU904" i="3"/>
  <c r="DT904" i="3"/>
  <c r="DS904" i="3"/>
  <c r="DR904" i="3"/>
  <c r="DQ904" i="3"/>
  <c r="DP904" i="3"/>
  <c r="DO904" i="3"/>
  <c r="DN904" i="3"/>
  <c r="DM904" i="3"/>
  <c r="DL904" i="3"/>
  <c r="DK904" i="3"/>
  <c r="DJ904" i="3"/>
  <c r="DI904" i="3"/>
  <c r="DH904" i="3"/>
  <c r="DG904" i="3"/>
  <c r="DF904" i="3"/>
  <c r="DE904" i="3"/>
  <c r="DD904" i="3"/>
  <c r="DC904" i="3"/>
  <c r="DB904" i="3"/>
  <c r="DA904" i="3"/>
  <c r="CZ904" i="3"/>
  <c r="CY904" i="3"/>
  <c r="CX904" i="3"/>
  <c r="CW904" i="3"/>
  <c r="CV904" i="3"/>
  <c r="CU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C904" i="3"/>
  <c r="CB904" i="3"/>
  <c r="CA904" i="3"/>
  <c r="BZ904" i="3"/>
  <c r="BY904" i="3"/>
  <c r="BX904" i="3"/>
  <c r="BW904" i="3"/>
  <c r="BV904" i="3"/>
  <c r="BU904" i="3"/>
  <c r="BT904" i="3"/>
  <c r="BS904" i="3"/>
  <c r="BR904" i="3"/>
  <c r="BQ904" i="3"/>
  <c r="BP904" i="3"/>
  <c r="BO904" i="3"/>
  <c r="BN904" i="3"/>
  <c r="DU903" i="3"/>
  <c r="DT903" i="3"/>
  <c r="DS903" i="3"/>
  <c r="DR903" i="3"/>
  <c r="DQ903" i="3"/>
  <c r="DP903" i="3"/>
  <c r="DO903" i="3"/>
  <c r="DN903" i="3"/>
  <c r="DM903" i="3"/>
  <c r="DL903" i="3"/>
  <c r="DK903" i="3"/>
  <c r="DJ903" i="3"/>
  <c r="DI903" i="3"/>
  <c r="DH903" i="3"/>
  <c r="DG903" i="3"/>
  <c r="DF903" i="3"/>
  <c r="DE903" i="3"/>
  <c r="DD903" i="3"/>
  <c r="DC903" i="3"/>
  <c r="DB903" i="3"/>
  <c r="DA903" i="3"/>
  <c r="CZ903" i="3"/>
  <c r="CY903" i="3"/>
  <c r="CX903" i="3"/>
  <c r="CW903" i="3"/>
  <c r="CV903" i="3"/>
  <c r="CU903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C903" i="3"/>
  <c r="CB903" i="3"/>
  <c r="CA903" i="3"/>
  <c r="BZ903" i="3"/>
  <c r="BY903" i="3"/>
  <c r="BX903" i="3"/>
  <c r="BW903" i="3"/>
  <c r="BV903" i="3"/>
  <c r="BU903" i="3"/>
  <c r="BT903" i="3"/>
  <c r="BS903" i="3"/>
  <c r="BR903" i="3"/>
  <c r="BQ903" i="3"/>
  <c r="BP903" i="3"/>
  <c r="BO903" i="3"/>
  <c r="BN903" i="3"/>
  <c r="DU902" i="3"/>
  <c r="DT902" i="3"/>
  <c r="DS902" i="3"/>
  <c r="DR902" i="3"/>
  <c r="DQ902" i="3"/>
  <c r="DP902" i="3"/>
  <c r="DO902" i="3"/>
  <c r="DN902" i="3"/>
  <c r="DM902" i="3"/>
  <c r="DL902" i="3"/>
  <c r="DK902" i="3"/>
  <c r="DJ902" i="3"/>
  <c r="DI902" i="3"/>
  <c r="DH902" i="3"/>
  <c r="DG902" i="3"/>
  <c r="DF902" i="3"/>
  <c r="DE902" i="3"/>
  <c r="DD902" i="3"/>
  <c r="DC902" i="3"/>
  <c r="DB902" i="3"/>
  <c r="DA902" i="3"/>
  <c r="CZ902" i="3"/>
  <c r="CY902" i="3"/>
  <c r="CX902" i="3"/>
  <c r="CW902" i="3"/>
  <c r="CV902" i="3"/>
  <c r="CU902" i="3"/>
  <c r="CT902" i="3"/>
  <c r="CS902" i="3"/>
  <c r="CR902" i="3"/>
  <c r="CQ902" i="3"/>
  <c r="CP902" i="3"/>
  <c r="CO902" i="3"/>
  <c r="CN902" i="3"/>
  <c r="CM902" i="3"/>
  <c r="CL902" i="3"/>
  <c r="CK902" i="3"/>
  <c r="CJ902" i="3"/>
  <c r="CI902" i="3"/>
  <c r="CH902" i="3"/>
  <c r="CG902" i="3"/>
  <c r="CF902" i="3"/>
  <c r="CE902" i="3"/>
  <c r="CD902" i="3"/>
  <c r="CC902" i="3"/>
  <c r="CB902" i="3"/>
  <c r="CA902" i="3"/>
  <c r="BZ902" i="3"/>
  <c r="BY902" i="3"/>
  <c r="BX902" i="3"/>
  <c r="BW902" i="3"/>
  <c r="BV902" i="3"/>
  <c r="BU902" i="3"/>
  <c r="BT902" i="3"/>
  <c r="BS902" i="3"/>
  <c r="BR902" i="3"/>
  <c r="BQ902" i="3"/>
  <c r="BP902" i="3"/>
  <c r="BO902" i="3"/>
  <c r="BN902" i="3"/>
  <c r="DU901" i="3"/>
  <c r="DT901" i="3"/>
  <c r="DS901" i="3"/>
  <c r="DR901" i="3"/>
  <c r="DQ901" i="3"/>
  <c r="DP901" i="3"/>
  <c r="DO901" i="3"/>
  <c r="DN901" i="3"/>
  <c r="DM901" i="3"/>
  <c r="DL901" i="3"/>
  <c r="DK901" i="3"/>
  <c r="DJ901" i="3"/>
  <c r="DI901" i="3"/>
  <c r="DH901" i="3"/>
  <c r="DG901" i="3"/>
  <c r="DF901" i="3"/>
  <c r="DE901" i="3"/>
  <c r="DD901" i="3"/>
  <c r="DC901" i="3"/>
  <c r="DB901" i="3"/>
  <c r="DA901" i="3"/>
  <c r="CZ901" i="3"/>
  <c r="CY901" i="3"/>
  <c r="CX901" i="3"/>
  <c r="CW901" i="3"/>
  <c r="CV901" i="3"/>
  <c r="CU901" i="3"/>
  <c r="CT901" i="3"/>
  <c r="CS901" i="3"/>
  <c r="CR901" i="3"/>
  <c r="CQ901" i="3"/>
  <c r="CP901" i="3"/>
  <c r="CO901" i="3"/>
  <c r="CN901" i="3"/>
  <c r="CM901" i="3"/>
  <c r="CL901" i="3"/>
  <c r="CK901" i="3"/>
  <c r="CJ901" i="3"/>
  <c r="CI901" i="3"/>
  <c r="CH901" i="3"/>
  <c r="CG901" i="3"/>
  <c r="CF901" i="3"/>
  <c r="CE901" i="3"/>
  <c r="CD901" i="3"/>
  <c r="CC901" i="3"/>
  <c r="CB901" i="3"/>
  <c r="CA901" i="3"/>
  <c r="BZ901" i="3"/>
  <c r="BY901" i="3"/>
  <c r="BX901" i="3"/>
  <c r="BW901" i="3"/>
  <c r="BV901" i="3"/>
  <c r="BU901" i="3"/>
  <c r="BT901" i="3"/>
  <c r="BS901" i="3"/>
  <c r="BR901" i="3"/>
  <c r="BQ901" i="3"/>
  <c r="BP901" i="3"/>
  <c r="BO901" i="3"/>
  <c r="BN901" i="3"/>
  <c r="DU900" i="3"/>
  <c r="DT900" i="3"/>
  <c r="DS900" i="3"/>
  <c r="DR900" i="3"/>
  <c r="DQ900" i="3"/>
  <c r="DP900" i="3"/>
  <c r="DO900" i="3"/>
  <c r="DN900" i="3"/>
  <c r="DM900" i="3"/>
  <c r="DL900" i="3"/>
  <c r="DK900" i="3"/>
  <c r="DJ900" i="3"/>
  <c r="DI900" i="3"/>
  <c r="DH900" i="3"/>
  <c r="DG900" i="3"/>
  <c r="DF900" i="3"/>
  <c r="DE900" i="3"/>
  <c r="DD900" i="3"/>
  <c r="DC900" i="3"/>
  <c r="DB900" i="3"/>
  <c r="DA900" i="3"/>
  <c r="CZ900" i="3"/>
  <c r="CY900" i="3"/>
  <c r="CX900" i="3"/>
  <c r="CW900" i="3"/>
  <c r="CV900" i="3"/>
  <c r="CU900" i="3"/>
  <c r="CT900" i="3"/>
  <c r="CS900" i="3"/>
  <c r="CR900" i="3"/>
  <c r="CQ900" i="3"/>
  <c r="CP900" i="3"/>
  <c r="CO900" i="3"/>
  <c r="CN900" i="3"/>
  <c r="CM900" i="3"/>
  <c r="CL900" i="3"/>
  <c r="CK900" i="3"/>
  <c r="CJ900" i="3"/>
  <c r="CI900" i="3"/>
  <c r="CH900" i="3"/>
  <c r="CG900" i="3"/>
  <c r="CF900" i="3"/>
  <c r="CE900" i="3"/>
  <c r="CD900" i="3"/>
  <c r="CC900" i="3"/>
  <c r="CB900" i="3"/>
  <c r="CA900" i="3"/>
  <c r="BZ900" i="3"/>
  <c r="BY900" i="3"/>
  <c r="BX900" i="3"/>
  <c r="BW900" i="3"/>
  <c r="BV900" i="3"/>
  <c r="BU900" i="3"/>
  <c r="BT900" i="3"/>
  <c r="BS900" i="3"/>
  <c r="BR900" i="3"/>
  <c r="BQ900" i="3"/>
  <c r="BP900" i="3"/>
  <c r="BO900" i="3"/>
  <c r="BN900" i="3"/>
  <c r="DU899" i="3"/>
  <c r="DT899" i="3"/>
  <c r="DS899" i="3"/>
  <c r="DR899" i="3"/>
  <c r="DQ899" i="3"/>
  <c r="DP899" i="3"/>
  <c r="DO899" i="3"/>
  <c r="DN899" i="3"/>
  <c r="DM899" i="3"/>
  <c r="DL899" i="3"/>
  <c r="DK899" i="3"/>
  <c r="DJ899" i="3"/>
  <c r="DI899" i="3"/>
  <c r="DH899" i="3"/>
  <c r="DG899" i="3"/>
  <c r="DF899" i="3"/>
  <c r="DE899" i="3"/>
  <c r="DD899" i="3"/>
  <c r="DC899" i="3"/>
  <c r="DB899" i="3"/>
  <c r="DA899" i="3"/>
  <c r="CZ899" i="3"/>
  <c r="CY899" i="3"/>
  <c r="CX899" i="3"/>
  <c r="CW899" i="3"/>
  <c r="CV899" i="3"/>
  <c r="CU899" i="3"/>
  <c r="CT899" i="3"/>
  <c r="CS899" i="3"/>
  <c r="CR899" i="3"/>
  <c r="CQ899" i="3"/>
  <c r="CP899" i="3"/>
  <c r="CO899" i="3"/>
  <c r="CN899" i="3"/>
  <c r="CM899" i="3"/>
  <c r="CL899" i="3"/>
  <c r="CK899" i="3"/>
  <c r="CJ899" i="3"/>
  <c r="CI899" i="3"/>
  <c r="CH899" i="3"/>
  <c r="CG899" i="3"/>
  <c r="CF899" i="3"/>
  <c r="CE899" i="3"/>
  <c r="CD899" i="3"/>
  <c r="CC899" i="3"/>
  <c r="CB899" i="3"/>
  <c r="CA899" i="3"/>
  <c r="BZ899" i="3"/>
  <c r="BY899" i="3"/>
  <c r="BX899" i="3"/>
  <c r="BW899" i="3"/>
  <c r="BV899" i="3"/>
  <c r="BU899" i="3"/>
  <c r="BT899" i="3"/>
  <c r="BS899" i="3"/>
  <c r="BR899" i="3"/>
  <c r="BQ899" i="3"/>
  <c r="BP899" i="3"/>
  <c r="BO899" i="3"/>
  <c r="BN899" i="3"/>
  <c r="DU898" i="3"/>
  <c r="DT898" i="3"/>
  <c r="DS898" i="3"/>
  <c r="DR898" i="3"/>
  <c r="DQ898" i="3"/>
  <c r="DP898" i="3"/>
  <c r="DO898" i="3"/>
  <c r="DN898" i="3"/>
  <c r="DM898" i="3"/>
  <c r="DL898" i="3"/>
  <c r="DK898" i="3"/>
  <c r="DJ898" i="3"/>
  <c r="DI898" i="3"/>
  <c r="DH898" i="3"/>
  <c r="DG898" i="3"/>
  <c r="DF898" i="3"/>
  <c r="DE898" i="3"/>
  <c r="DD898" i="3"/>
  <c r="DC898" i="3"/>
  <c r="DB898" i="3"/>
  <c r="DA898" i="3"/>
  <c r="CZ898" i="3"/>
  <c r="CY898" i="3"/>
  <c r="CX898" i="3"/>
  <c r="CW898" i="3"/>
  <c r="CV898" i="3"/>
  <c r="CU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C898" i="3"/>
  <c r="CB898" i="3"/>
  <c r="CA898" i="3"/>
  <c r="BZ898" i="3"/>
  <c r="BY898" i="3"/>
  <c r="BX898" i="3"/>
  <c r="BW898" i="3"/>
  <c r="BV898" i="3"/>
  <c r="BU898" i="3"/>
  <c r="BT898" i="3"/>
  <c r="BS898" i="3"/>
  <c r="BR898" i="3"/>
  <c r="BQ898" i="3"/>
  <c r="BP898" i="3"/>
  <c r="BO898" i="3"/>
  <c r="BN898" i="3"/>
  <c r="DU897" i="3"/>
  <c r="DT897" i="3"/>
  <c r="DS897" i="3"/>
  <c r="DR897" i="3"/>
  <c r="DQ897" i="3"/>
  <c r="DP897" i="3"/>
  <c r="DO897" i="3"/>
  <c r="DN897" i="3"/>
  <c r="DM897" i="3"/>
  <c r="DL897" i="3"/>
  <c r="DK897" i="3"/>
  <c r="DJ897" i="3"/>
  <c r="DI897" i="3"/>
  <c r="DH897" i="3"/>
  <c r="DG897" i="3"/>
  <c r="DF897" i="3"/>
  <c r="DE897" i="3"/>
  <c r="DD897" i="3"/>
  <c r="DC897" i="3"/>
  <c r="DB897" i="3"/>
  <c r="DA897" i="3"/>
  <c r="CZ897" i="3"/>
  <c r="CY897" i="3"/>
  <c r="CX897" i="3"/>
  <c r="CW897" i="3"/>
  <c r="CV897" i="3"/>
  <c r="CU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C897" i="3"/>
  <c r="CB897" i="3"/>
  <c r="CA897" i="3"/>
  <c r="BZ897" i="3"/>
  <c r="BY897" i="3"/>
  <c r="BX897" i="3"/>
  <c r="BW897" i="3"/>
  <c r="BV897" i="3"/>
  <c r="BU897" i="3"/>
  <c r="BT897" i="3"/>
  <c r="BS897" i="3"/>
  <c r="BR897" i="3"/>
  <c r="BQ897" i="3"/>
  <c r="BP897" i="3"/>
  <c r="BO897" i="3"/>
  <c r="BN897" i="3"/>
  <c r="DU896" i="3"/>
  <c r="DT896" i="3"/>
  <c r="DS896" i="3"/>
  <c r="DR896" i="3"/>
  <c r="DQ896" i="3"/>
  <c r="DP896" i="3"/>
  <c r="DO896" i="3"/>
  <c r="DN896" i="3"/>
  <c r="DM896" i="3"/>
  <c r="DL896" i="3"/>
  <c r="DK896" i="3"/>
  <c r="DJ896" i="3"/>
  <c r="DI896" i="3"/>
  <c r="DH896" i="3"/>
  <c r="DG896" i="3"/>
  <c r="DF896" i="3"/>
  <c r="DE896" i="3"/>
  <c r="DD896" i="3"/>
  <c r="DC896" i="3"/>
  <c r="DB896" i="3"/>
  <c r="DA896" i="3"/>
  <c r="CZ896" i="3"/>
  <c r="CY896" i="3"/>
  <c r="CX896" i="3"/>
  <c r="CW896" i="3"/>
  <c r="CV896" i="3"/>
  <c r="CU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C896" i="3"/>
  <c r="CB896" i="3"/>
  <c r="CA896" i="3"/>
  <c r="BZ896" i="3"/>
  <c r="BY896" i="3"/>
  <c r="BX896" i="3"/>
  <c r="BW896" i="3"/>
  <c r="BV896" i="3"/>
  <c r="BU896" i="3"/>
  <c r="BT896" i="3"/>
  <c r="BS896" i="3"/>
  <c r="BR896" i="3"/>
  <c r="BQ896" i="3"/>
  <c r="BP896" i="3"/>
  <c r="BO896" i="3"/>
  <c r="BN896" i="3"/>
  <c r="DU895" i="3"/>
  <c r="DT895" i="3"/>
  <c r="DS895" i="3"/>
  <c r="DR895" i="3"/>
  <c r="DQ895" i="3"/>
  <c r="DP895" i="3"/>
  <c r="DO895" i="3"/>
  <c r="DN895" i="3"/>
  <c r="DM895" i="3"/>
  <c r="DL895" i="3"/>
  <c r="DK895" i="3"/>
  <c r="DJ895" i="3"/>
  <c r="DI895" i="3"/>
  <c r="DH895" i="3"/>
  <c r="DG895" i="3"/>
  <c r="DF895" i="3"/>
  <c r="DE895" i="3"/>
  <c r="DD895" i="3"/>
  <c r="DC895" i="3"/>
  <c r="DB895" i="3"/>
  <c r="DA895" i="3"/>
  <c r="CZ895" i="3"/>
  <c r="CY895" i="3"/>
  <c r="CX895" i="3"/>
  <c r="CW895" i="3"/>
  <c r="CV895" i="3"/>
  <c r="CU895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C895" i="3"/>
  <c r="CB895" i="3"/>
  <c r="CA895" i="3"/>
  <c r="BZ895" i="3"/>
  <c r="BY895" i="3"/>
  <c r="BX895" i="3"/>
  <c r="BW895" i="3"/>
  <c r="BV895" i="3"/>
  <c r="BU895" i="3"/>
  <c r="BT895" i="3"/>
  <c r="BS895" i="3"/>
  <c r="BR895" i="3"/>
  <c r="BQ895" i="3"/>
  <c r="BP895" i="3"/>
  <c r="BO895" i="3"/>
  <c r="BN895" i="3"/>
  <c r="DU894" i="3"/>
  <c r="DT894" i="3"/>
  <c r="DS894" i="3"/>
  <c r="DR894" i="3"/>
  <c r="DQ894" i="3"/>
  <c r="DP894" i="3"/>
  <c r="DO894" i="3"/>
  <c r="DN894" i="3"/>
  <c r="DM894" i="3"/>
  <c r="DL894" i="3"/>
  <c r="DK894" i="3"/>
  <c r="DJ894" i="3"/>
  <c r="DI894" i="3"/>
  <c r="DH894" i="3"/>
  <c r="DG894" i="3"/>
  <c r="DF894" i="3"/>
  <c r="DE894" i="3"/>
  <c r="DD894" i="3"/>
  <c r="DC894" i="3"/>
  <c r="DB894" i="3"/>
  <c r="DA894" i="3"/>
  <c r="CZ894" i="3"/>
  <c r="CY894" i="3"/>
  <c r="CX894" i="3"/>
  <c r="CW894" i="3"/>
  <c r="CV894" i="3"/>
  <c r="CU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CC894" i="3"/>
  <c r="CB894" i="3"/>
  <c r="CA894" i="3"/>
  <c r="BZ894" i="3"/>
  <c r="BY894" i="3"/>
  <c r="BX894" i="3"/>
  <c r="BW894" i="3"/>
  <c r="BV894" i="3"/>
  <c r="BU894" i="3"/>
  <c r="BT894" i="3"/>
  <c r="BS894" i="3"/>
  <c r="BR894" i="3"/>
  <c r="BQ894" i="3"/>
  <c r="BP894" i="3"/>
  <c r="BO894" i="3"/>
  <c r="BN894" i="3"/>
  <c r="DU893" i="3"/>
  <c r="DT893" i="3"/>
  <c r="DS893" i="3"/>
  <c r="DR893" i="3"/>
  <c r="DQ893" i="3"/>
  <c r="DP893" i="3"/>
  <c r="DO893" i="3"/>
  <c r="DN893" i="3"/>
  <c r="DM893" i="3"/>
  <c r="DL893" i="3"/>
  <c r="DK893" i="3"/>
  <c r="DJ893" i="3"/>
  <c r="DI893" i="3"/>
  <c r="DH893" i="3"/>
  <c r="DG893" i="3"/>
  <c r="DF893" i="3"/>
  <c r="DE893" i="3"/>
  <c r="DD893" i="3"/>
  <c r="DC893" i="3"/>
  <c r="DB893" i="3"/>
  <c r="DA893" i="3"/>
  <c r="CZ893" i="3"/>
  <c r="CY893" i="3"/>
  <c r="CX893" i="3"/>
  <c r="CW893" i="3"/>
  <c r="CV893" i="3"/>
  <c r="CU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C893" i="3"/>
  <c r="CB893" i="3"/>
  <c r="CA893" i="3"/>
  <c r="BZ893" i="3"/>
  <c r="BY893" i="3"/>
  <c r="BX893" i="3"/>
  <c r="BW893" i="3"/>
  <c r="BV893" i="3"/>
  <c r="BU893" i="3"/>
  <c r="BT893" i="3"/>
  <c r="BS893" i="3"/>
  <c r="BR893" i="3"/>
  <c r="BQ893" i="3"/>
  <c r="BP893" i="3"/>
  <c r="BO893" i="3"/>
  <c r="BN893" i="3"/>
  <c r="DU892" i="3"/>
  <c r="DT892" i="3"/>
  <c r="DS892" i="3"/>
  <c r="DR892" i="3"/>
  <c r="DQ892" i="3"/>
  <c r="DP892" i="3"/>
  <c r="DO892" i="3"/>
  <c r="DN892" i="3"/>
  <c r="DM892" i="3"/>
  <c r="DL892" i="3"/>
  <c r="DK892" i="3"/>
  <c r="DJ892" i="3"/>
  <c r="DI892" i="3"/>
  <c r="DH892" i="3"/>
  <c r="DG892" i="3"/>
  <c r="DF892" i="3"/>
  <c r="DE892" i="3"/>
  <c r="DD892" i="3"/>
  <c r="DC892" i="3"/>
  <c r="DB892" i="3"/>
  <c r="DA892" i="3"/>
  <c r="CZ892" i="3"/>
  <c r="CY892" i="3"/>
  <c r="CX892" i="3"/>
  <c r="CW892" i="3"/>
  <c r="CV892" i="3"/>
  <c r="CU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C892" i="3"/>
  <c r="CB892" i="3"/>
  <c r="CA892" i="3"/>
  <c r="BZ892" i="3"/>
  <c r="BY892" i="3"/>
  <c r="BX892" i="3"/>
  <c r="BW892" i="3"/>
  <c r="BV892" i="3"/>
  <c r="BU892" i="3"/>
  <c r="BT892" i="3"/>
  <c r="BS892" i="3"/>
  <c r="BR892" i="3"/>
  <c r="BQ892" i="3"/>
  <c r="BP892" i="3"/>
  <c r="BO892" i="3"/>
  <c r="BN892" i="3"/>
  <c r="DU891" i="3"/>
  <c r="DT891" i="3"/>
  <c r="DS891" i="3"/>
  <c r="DR891" i="3"/>
  <c r="DQ891" i="3"/>
  <c r="DP891" i="3"/>
  <c r="DO891" i="3"/>
  <c r="DN891" i="3"/>
  <c r="DM891" i="3"/>
  <c r="DL891" i="3"/>
  <c r="DK891" i="3"/>
  <c r="DJ891" i="3"/>
  <c r="DI891" i="3"/>
  <c r="DH891" i="3"/>
  <c r="DG891" i="3"/>
  <c r="DF891" i="3"/>
  <c r="DE891" i="3"/>
  <c r="DD891" i="3"/>
  <c r="DC891" i="3"/>
  <c r="DB891" i="3"/>
  <c r="DA891" i="3"/>
  <c r="CZ891" i="3"/>
  <c r="CY891" i="3"/>
  <c r="CX891" i="3"/>
  <c r="CW891" i="3"/>
  <c r="CV891" i="3"/>
  <c r="CU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C891" i="3"/>
  <c r="CB891" i="3"/>
  <c r="CA891" i="3"/>
  <c r="BZ891" i="3"/>
  <c r="BY891" i="3"/>
  <c r="BX891" i="3"/>
  <c r="BW891" i="3"/>
  <c r="BV891" i="3"/>
  <c r="BU891" i="3"/>
  <c r="BT891" i="3"/>
  <c r="BS891" i="3"/>
  <c r="BR891" i="3"/>
  <c r="BQ891" i="3"/>
  <c r="BP891" i="3"/>
  <c r="BO891" i="3"/>
  <c r="BN891" i="3"/>
  <c r="DU890" i="3"/>
  <c r="DT890" i="3"/>
  <c r="DS890" i="3"/>
  <c r="DR890" i="3"/>
  <c r="DQ890" i="3"/>
  <c r="DP890" i="3"/>
  <c r="DO890" i="3"/>
  <c r="DN890" i="3"/>
  <c r="DM890" i="3"/>
  <c r="DL890" i="3"/>
  <c r="DK890" i="3"/>
  <c r="DJ890" i="3"/>
  <c r="DI890" i="3"/>
  <c r="DH890" i="3"/>
  <c r="DG890" i="3"/>
  <c r="DF890" i="3"/>
  <c r="DE890" i="3"/>
  <c r="DD890" i="3"/>
  <c r="DC890" i="3"/>
  <c r="DB890" i="3"/>
  <c r="DA890" i="3"/>
  <c r="CZ890" i="3"/>
  <c r="CY890" i="3"/>
  <c r="CX890" i="3"/>
  <c r="CW890" i="3"/>
  <c r="CV890" i="3"/>
  <c r="CU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C890" i="3"/>
  <c r="CB890" i="3"/>
  <c r="CA890" i="3"/>
  <c r="BZ890" i="3"/>
  <c r="BY890" i="3"/>
  <c r="BX890" i="3"/>
  <c r="BW890" i="3"/>
  <c r="BV890" i="3"/>
  <c r="BU890" i="3"/>
  <c r="BT890" i="3"/>
  <c r="BS890" i="3"/>
  <c r="BR890" i="3"/>
  <c r="BQ890" i="3"/>
  <c r="BP890" i="3"/>
  <c r="BO890" i="3"/>
  <c r="BN890" i="3"/>
  <c r="DU889" i="3"/>
  <c r="DT889" i="3"/>
  <c r="DS889" i="3"/>
  <c r="DR889" i="3"/>
  <c r="DQ889" i="3"/>
  <c r="DP889" i="3"/>
  <c r="DO889" i="3"/>
  <c r="DN889" i="3"/>
  <c r="DM889" i="3"/>
  <c r="DL889" i="3"/>
  <c r="DK889" i="3"/>
  <c r="DJ889" i="3"/>
  <c r="DI889" i="3"/>
  <c r="DH889" i="3"/>
  <c r="DG889" i="3"/>
  <c r="DF889" i="3"/>
  <c r="DE889" i="3"/>
  <c r="DD889" i="3"/>
  <c r="DC889" i="3"/>
  <c r="DB889" i="3"/>
  <c r="DA889" i="3"/>
  <c r="CZ889" i="3"/>
  <c r="CY889" i="3"/>
  <c r="CX889" i="3"/>
  <c r="CW889" i="3"/>
  <c r="CV889" i="3"/>
  <c r="CU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C889" i="3"/>
  <c r="CB889" i="3"/>
  <c r="CA889" i="3"/>
  <c r="BZ889" i="3"/>
  <c r="BY889" i="3"/>
  <c r="BX889" i="3"/>
  <c r="BW889" i="3"/>
  <c r="BV889" i="3"/>
  <c r="BU889" i="3"/>
  <c r="BT889" i="3"/>
  <c r="BS889" i="3"/>
  <c r="BR889" i="3"/>
  <c r="BQ889" i="3"/>
  <c r="BP889" i="3"/>
  <c r="BO889" i="3"/>
  <c r="BN889" i="3"/>
  <c r="DU888" i="3"/>
  <c r="DT888" i="3"/>
  <c r="DS888" i="3"/>
  <c r="DR888" i="3"/>
  <c r="DQ888" i="3"/>
  <c r="DP888" i="3"/>
  <c r="DO888" i="3"/>
  <c r="DN888" i="3"/>
  <c r="DM888" i="3"/>
  <c r="DL888" i="3"/>
  <c r="DK888" i="3"/>
  <c r="DJ888" i="3"/>
  <c r="DI888" i="3"/>
  <c r="DH888" i="3"/>
  <c r="DG888" i="3"/>
  <c r="DF888" i="3"/>
  <c r="DE888" i="3"/>
  <c r="DD888" i="3"/>
  <c r="DC888" i="3"/>
  <c r="DB888" i="3"/>
  <c r="DA888" i="3"/>
  <c r="CZ888" i="3"/>
  <c r="CY888" i="3"/>
  <c r="CX888" i="3"/>
  <c r="CW888" i="3"/>
  <c r="CV888" i="3"/>
  <c r="CU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C888" i="3"/>
  <c r="CB888" i="3"/>
  <c r="CA888" i="3"/>
  <c r="BZ888" i="3"/>
  <c r="BY888" i="3"/>
  <c r="BX888" i="3"/>
  <c r="BW888" i="3"/>
  <c r="BV888" i="3"/>
  <c r="BU888" i="3"/>
  <c r="BT888" i="3"/>
  <c r="BS888" i="3"/>
  <c r="BR888" i="3"/>
  <c r="BQ888" i="3"/>
  <c r="BP888" i="3"/>
  <c r="BO888" i="3"/>
  <c r="BN888" i="3"/>
  <c r="DU887" i="3"/>
  <c r="DT887" i="3"/>
  <c r="DS887" i="3"/>
  <c r="DR887" i="3"/>
  <c r="DQ887" i="3"/>
  <c r="DP887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BY887" i="3"/>
  <c r="BX887" i="3"/>
  <c r="BW887" i="3"/>
  <c r="BV887" i="3"/>
  <c r="BU887" i="3"/>
  <c r="BT887" i="3"/>
  <c r="BS887" i="3"/>
  <c r="BR887" i="3"/>
  <c r="BQ887" i="3"/>
  <c r="BP887" i="3"/>
  <c r="BO887" i="3"/>
  <c r="BN887" i="3"/>
  <c r="DU886" i="3"/>
  <c r="DT886" i="3"/>
  <c r="DS886" i="3"/>
  <c r="DR886" i="3"/>
  <c r="DQ886" i="3"/>
  <c r="DP886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BY886" i="3"/>
  <c r="BX886" i="3"/>
  <c r="BW886" i="3"/>
  <c r="BV886" i="3"/>
  <c r="BU886" i="3"/>
  <c r="BT886" i="3"/>
  <c r="BS886" i="3"/>
  <c r="BR886" i="3"/>
  <c r="BQ886" i="3"/>
  <c r="BP886" i="3"/>
  <c r="BO886" i="3"/>
  <c r="BN886" i="3"/>
  <c r="DU885" i="3"/>
  <c r="DT885" i="3"/>
  <c r="DS885" i="3"/>
  <c r="DR885" i="3"/>
  <c r="DQ885" i="3"/>
  <c r="DP885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BY885" i="3"/>
  <c r="BX885" i="3"/>
  <c r="BW885" i="3"/>
  <c r="BV885" i="3"/>
  <c r="BU885" i="3"/>
  <c r="BT885" i="3"/>
  <c r="BS885" i="3"/>
  <c r="BR885" i="3"/>
  <c r="BQ885" i="3"/>
  <c r="BP885" i="3"/>
  <c r="BO885" i="3"/>
  <c r="BN885" i="3"/>
  <c r="DU884" i="3"/>
  <c r="DT884" i="3"/>
  <c r="DS884" i="3"/>
  <c r="DR884" i="3"/>
  <c r="DQ884" i="3"/>
  <c r="DP884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BY884" i="3"/>
  <c r="BX884" i="3"/>
  <c r="BW884" i="3"/>
  <c r="BV884" i="3"/>
  <c r="BU884" i="3"/>
  <c r="BT884" i="3"/>
  <c r="BS884" i="3"/>
  <c r="BR884" i="3"/>
  <c r="BQ884" i="3"/>
  <c r="BP884" i="3"/>
  <c r="BO884" i="3"/>
  <c r="BN884" i="3"/>
  <c r="DU883" i="3"/>
  <c r="DT883" i="3"/>
  <c r="DS883" i="3"/>
  <c r="DR883" i="3"/>
  <c r="DQ883" i="3"/>
  <c r="DP883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BY883" i="3"/>
  <c r="BX883" i="3"/>
  <c r="BW883" i="3"/>
  <c r="BV883" i="3"/>
  <c r="BU883" i="3"/>
  <c r="BT883" i="3"/>
  <c r="BS883" i="3"/>
  <c r="BR883" i="3"/>
  <c r="BQ883" i="3"/>
  <c r="BP883" i="3"/>
  <c r="BO883" i="3"/>
  <c r="BN883" i="3"/>
  <c r="DU882" i="3"/>
  <c r="DT882" i="3"/>
  <c r="DS882" i="3"/>
  <c r="DR882" i="3"/>
  <c r="DQ882" i="3"/>
  <c r="DP882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BY882" i="3"/>
  <c r="BX882" i="3"/>
  <c r="BW882" i="3"/>
  <c r="BV882" i="3"/>
  <c r="BU882" i="3"/>
  <c r="BT882" i="3"/>
  <c r="BS882" i="3"/>
  <c r="BR882" i="3"/>
  <c r="BQ882" i="3"/>
  <c r="BP882" i="3"/>
  <c r="BO882" i="3"/>
  <c r="BN882" i="3"/>
  <c r="DU881" i="3"/>
  <c r="DT881" i="3"/>
  <c r="DS881" i="3"/>
  <c r="DR881" i="3"/>
  <c r="DQ881" i="3"/>
  <c r="DP881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BY881" i="3"/>
  <c r="BX881" i="3"/>
  <c r="BW881" i="3"/>
  <c r="BV881" i="3"/>
  <c r="BU881" i="3"/>
  <c r="BT881" i="3"/>
  <c r="BS881" i="3"/>
  <c r="BR881" i="3"/>
  <c r="BQ881" i="3"/>
  <c r="BP881" i="3"/>
  <c r="BO881" i="3"/>
  <c r="BN881" i="3"/>
  <c r="DU880" i="3"/>
  <c r="DT880" i="3"/>
  <c r="DS880" i="3"/>
  <c r="DR880" i="3"/>
  <c r="DQ880" i="3"/>
  <c r="DP880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BY880" i="3"/>
  <c r="BX880" i="3"/>
  <c r="BW880" i="3"/>
  <c r="BV880" i="3"/>
  <c r="BU880" i="3"/>
  <c r="BT880" i="3"/>
  <c r="BS880" i="3"/>
  <c r="BR880" i="3"/>
  <c r="BQ880" i="3"/>
  <c r="BP880" i="3"/>
  <c r="BO880" i="3"/>
  <c r="BN880" i="3"/>
  <c r="DU879" i="3"/>
  <c r="DT879" i="3"/>
  <c r="DS879" i="3"/>
  <c r="DR879" i="3"/>
  <c r="DQ879" i="3"/>
  <c r="DP879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BY879" i="3"/>
  <c r="BX879" i="3"/>
  <c r="BW879" i="3"/>
  <c r="BV879" i="3"/>
  <c r="BU879" i="3"/>
  <c r="BT879" i="3"/>
  <c r="BS879" i="3"/>
  <c r="BR879" i="3"/>
  <c r="BQ879" i="3"/>
  <c r="BP879" i="3"/>
  <c r="BO879" i="3"/>
  <c r="BN879" i="3"/>
  <c r="DU878" i="3"/>
  <c r="DT878" i="3"/>
  <c r="DS878" i="3"/>
  <c r="DR878" i="3"/>
  <c r="DQ878" i="3"/>
  <c r="DP878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BY878" i="3"/>
  <c r="BX878" i="3"/>
  <c r="BW878" i="3"/>
  <c r="BV878" i="3"/>
  <c r="BU878" i="3"/>
  <c r="BT878" i="3"/>
  <c r="BS878" i="3"/>
  <c r="BR878" i="3"/>
  <c r="BQ878" i="3"/>
  <c r="BP878" i="3"/>
  <c r="BO878" i="3"/>
  <c r="BN878" i="3"/>
  <c r="DU877" i="3"/>
  <c r="DT877" i="3"/>
  <c r="DS877" i="3"/>
  <c r="DR877" i="3"/>
  <c r="DQ877" i="3"/>
  <c r="DP877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BY877" i="3"/>
  <c r="BX877" i="3"/>
  <c r="BW877" i="3"/>
  <c r="BV877" i="3"/>
  <c r="BU877" i="3"/>
  <c r="BT877" i="3"/>
  <c r="BS877" i="3"/>
  <c r="BR877" i="3"/>
  <c r="BQ877" i="3"/>
  <c r="BP877" i="3"/>
  <c r="BO877" i="3"/>
  <c r="BN877" i="3"/>
  <c r="DU876" i="3"/>
  <c r="DT876" i="3"/>
  <c r="DS876" i="3"/>
  <c r="DR876" i="3"/>
  <c r="DQ876" i="3"/>
  <c r="DP876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BY876" i="3"/>
  <c r="BX876" i="3"/>
  <c r="BW876" i="3"/>
  <c r="BV876" i="3"/>
  <c r="BU876" i="3"/>
  <c r="BT876" i="3"/>
  <c r="BS876" i="3"/>
  <c r="BR876" i="3"/>
  <c r="BQ876" i="3"/>
  <c r="BP876" i="3"/>
  <c r="BO876" i="3"/>
  <c r="BN876" i="3"/>
  <c r="DU875" i="3"/>
  <c r="DT875" i="3"/>
  <c r="DS875" i="3"/>
  <c r="DR875" i="3"/>
  <c r="DQ875" i="3"/>
  <c r="DP875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BY875" i="3"/>
  <c r="BX875" i="3"/>
  <c r="BW875" i="3"/>
  <c r="BV875" i="3"/>
  <c r="BU875" i="3"/>
  <c r="BT875" i="3"/>
  <c r="BS875" i="3"/>
  <c r="BR875" i="3"/>
  <c r="BQ875" i="3"/>
  <c r="BP875" i="3"/>
  <c r="BO875" i="3"/>
  <c r="BN875" i="3"/>
  <c r="DU874" i="3"/>
  <c r="DT874" i="3"/>
  <c r="DS874" i="3"/>
  <c r="DR874" i="3"/>
  <c r="DQ874" i="3"/>
  <c r="DP874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BY874" i="3"/>
  <c r="BX874" i="3"/>
  <c r="BW874" i="3"/>
  <c r="BV874" i="3"/>
  <c r="BU874" i="3"/>
  <c r="BT874" i="3"/>
  <c r="BS874" i="3"/>
  <c r="BR874" i="3"/>
  <c r="BQ874" i="3"/>
  <c r="BP874" i="3"/>
  <c r="BO874" i="3"/>
  <c r="BN874" i="3"/>
  <c r="DU873" i="3"/>
  <c r="DT873" i="3"/>
  <c r="DS873" i="3"/>
  <c r="DR873" i="3"/>
  <c r="DQ873" i="3"/>
  <c r="DP873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BY873" i="3"/>
  <c r="BX873" i="3"/>
  <c r="BW873" i="3"/>
  <c r="BV873" i="3"/>
  <c r="BU873" i="3"/>
  <c r="BT873" i="3"/>
  <c r="BS873" i="3"/>
  <c r="BR873" i="3"/>
  <c r="BQ873" i="3"/>
  <c r="BP873" i="3"/>
  <c r="BO873" i="3"/>
  <c r="BN873" i="3"/>
  <c r="DU872" i="3"/>
  <c r="DT872" i="3"/>
  <c r="DS872" i="3"/>
  <c r="DR872" i="3"/>
  <c r="DQ872" i="3"/>
  <c r="DP872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BY872" i="3"/>
  <c r="BX872" i="3"/>
  <c r="BW872" i="3"/>
  <c r="BV872" i="3"/>
  <c r="BU872" i="3"/>
  <c r="BT872" i="3"/>
  <c r="BS872" i="3"/>
  <c r="BR872" i="3"/>
  <c r="BQ872" i="3"/>
  <c r="BP872" i="3"/>
  <c r="BO872" i="3"/>
  <c r="BN872" i="3"/>
  <c r="DU871" i="3"/>
  <c r="DT871" i="3"/>
  <c r="DS871" i="3"/>
  <c r="DR871" i="3"/>
  <c r="DQ871" i="3"/>
  <c r="DP871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BY871" i="3"/>
  <c r="BX871" i="3"/>
  <c r="BW871" i="3"/>
  <c r="BV871" i="3"/>
  <c r="BU871" i="3"/>
  <c r="BT871" i="3"/>
  <c r="BS871" i="3"/>
  <c r="BR871" i="3"/>
  <c r="BQ871" i="3"/>
  <c r="BP871" i="3"/>
  <c r="BO871" i="3"/>
  <c r="BN871" i="3"/>
  <c r="DU870" i="3"/>
  <c r="DT870" i="3"/>
  <c r="DS870" i="3"/>
  <c r="DR870" i="3"/>
  <c r="DQ870" i="3"/>
  <c r="DP870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BY870" i="3"/>
  <c r="BX870" i="3"/>
  <c r="BW870" i="3"/>
  <c r="BV870" i="3"/>
  <c r="BU870" i="3"/>
  <c r="BT870" i="3"/>
  <c r="BS870" i="3"/>
  <c r="BR870" i="3"/>
  <c r="BQ870" i="3"/>
  <c r="BP870" i="3"/>
  <c r="BO870" i="3"/>
  <c r="BN870" i="3"/>
  <c r="DU869" i="3"/>
  <c r="DT869" i="3"/>
  <c r="DS869" i="3"/>
  <c r="DR869" i="3"/>
  <c r="DQ869" i="3"/>
  <c r="DP869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BY869" i="3"/>
  <c r="BX869" i="3"/>
  <c r="BW869" i="3"/>
  <c r="BV869" i="3"/>
  <c r="BU869" i="3"/>
  <c r="BT869" i="3"/>
  <c r="BS869" i="3"/>
  <c r="BR869" i="3"/>
  <c r="BQ869" i="3"/>
  <c r="BP869" i="3"/>
  <c r="BO869" i="3"/>
  <c r="BN869" i="3"/>
  <c r="DU868" i="3"/>
  <c r="DT868" i="3"/>
  <c r="DS868" i="3"/>
  <c r="DR868" i="3"/>
  <c r="DQ868" i="3"/>
  <c r="DP868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BY868" i="3"/>
  <c r="BX868" i="3"/>
  <c r="BW868" i="3"/>
  <c r="BV868" i="3"/>
  <c r="BU868" i="3"/>
  <c r="BT868" i="3"/>
  <c r="BS868" i="3"/>
  <c r="BR868" i="3"/>
  <c r="BQ868" i="3"/>
  <c r="BP868" i="3"/>
  <c r="BO868" i="3"/>
  <c r="BN868" i="3"/>
  <c r="DU867" i="3"/>
  <c r="DT867" i="3"/>
  <c r="DS867" i="3"/>
  <c r="DR867" i="3"/>
  <c r="DQ867" i="3"/>
  <c r="DP867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BY867" i="3"/>
  <c r="BX867" i="3"/>
  <c r="BW867" i="3"/>
  <c r="BV867" i="3"/>
  <c r="BU867" i="3"/>
  <c r="BT867" i="3"/>
  <c r="BS867" i="3"/>
  <c r="BR867" i="3"/>
  <c r="BQ867" i="3"/>
  <c r="BP867" i="3"/>
  <c r="BO867" i="3"/>
  <c r="BN867" i="3"/>
  <c r="DU866" i="3"/>
  <c r="DT866" i="3"/>
  <c r="DS866" i="3"/>
  <c r="DR866" i="3"/>
  <c r="DQ866" i="3"/>
  <c r="DP866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Y866" i="3"/>
  <c r="BX866" i="3"/>
  <c r="BW866" i="3"/>
  <c r="BV866" i="3"/>
  <c r="BU866" i="3"/>
  <c r="BT866" i="3"/>
  <c r="BS866" i="3"/>
  <c r="BR866" i="3"/>
  <c r="BQ866" i="3"/>
  <c r="BP866" i="3"/>
  <c r="BO866" i="3"/>
  <c r="BN866" i="3"/>
  <c r="DU865" i="3"/>
  <c r="DT865" i="3"/>
  <c r="DS865" i="3"/>
  <c r="DR865" i="3"/>
  <c r="DQ865" i="3"/>
  <c r="DP865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BY865" i="3"/>
  <c r="BX865" i="3"/>
  <c r="BW865" i="3"/>
  <c r="BV865" i="3"/>
  <c r="BU865" i="3"/>
  <c r="BT865" i="3"/>
  <c r="BS865" i="3"/>
  <c r="BR865" i="3"/>
  <c r="BQ865" i="3"/>
  <c r="BP865" i="3"/>
  <c r="BO865" i="3"/>
  <c r="BN865" i="3"/>
  <c r="DU864" i="3"/>
  <c r="DT864" i="3"/>
  <c r="DS864" i="3"/>
  <c r="DR864" i="3"/>
  <c r="DQ864" i="3"/>
  <c r="DP864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BY864" i="3"/>
  <c r="BX864" i="3"/>
  <c r="BW864" i="3"/>
  <c r="BV864" i="3"/>
  <c r="BU864" i="3"/>
  <c r="BT864" i="3"/>
  <c r="BS864" i="3"/>
  <c r="BR864" i="3"/>
  <c r="BQ864" i="3"/>
  <c r="BP864" i="3"/>
  <c r="BO864" i="3"/>
  <c r="BN864" i="3"/>
  <c r="DU863" i="3"/>
  <c r="DT863" i="3"/>
  <c r="DS863" i="3"/>
  <c r="DR863" i="3"/>
  <c r="DQ863" i="3"/>
  <c r="DP863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BY863" i="3"/>
  <c r="BX863" i="3"/>
  <c r="BW863" i="3"/>
  <c r="BV863" i="3"/>
  <c r="BU863" i="3"/>
  <c r="BT863" i="3"/>
  <c r="BS863" i="3"/>
  <c r="BR863" i="3"/>
  <c r="BQ863" i="3"/>
  <c r="BP863" i="3"/>
  <c r="BO863" i="3"/>
  <c r="BN863" i="3"/>
  <c r="DU862" i="3"/>
  <c r="DT862" i="3"/>
  <c r="DS862" i="3"/>
  <c r="DR862" i="3"/>
  <c r="DQ862" i="3"/>
  <c r="DP862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Y862" i="3"/>
  <c r="BX862" i="3"/>
  <c r="BW862" i="3"/>
  <c r="BV862" i="3"/>
  <c r="BU862" i="3"/>
  <c r="BT862" i="3"/>
  <c r="BS862" i="3"/>
  <c r="BR862" i="3"/>
  <c r="BQ862" i="3"/>
  <c r="BP862" i="3"/>
  <c r="BO862" i="3"/>
  <c r="BN862" i="3"/>
  <c r="DU861" i="3"/>
  <c r="DT861" i="3"/>
  <c r="DS861" i="3"/>
  <c r="DR861" i="3"/>
  <c r="DQ861" i="3"/>
  <c r="DP861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BY861" i="3"/>
  <c r="BX861" i="3"/>
  <c r="BW861" i="3"/>
  <c r="BV861" i="3"/>
  <c r="BU861" i="3"/>
  <c r="BT861" i="3"/>
  <c r="BS861" i="3"/>
  <c r="BR861" i="3"/>
  <c r="BQ861" i="3"/>
  <c r="BP861" i="3"/>
  <c r="BO861" i="3"/>
  <c r="BN861" i="3"/>
  <c r="DU860" i="3"/>
  <c r="DT860" i="3"/>
  <c r="DS860" i="3"/>
  <c r="DR860" i="3"/>
  <c r="DQ860" i="3"/>
  <c r="DP860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BY860" i="3"/>
  <c r="BX860" i="3"/>
  <c r="BW860" i="3"/>
  <c r="BV860" i="3"/>
  <c r="BU860" i="3"/>
  <c r="BT860" i="3"/>
  <c r="BS860" i="3"/>
  <c r="BR860" i="3"/>
  <c r="BQ860" i="3"/>
  <c r="BP860" i="3"/>
  <c r="BO860" i="3"/>
  <c r="BN860" i="3"/>
  <c r="DU859" i="3"/>
  <c r="DT859" i="3"/>
  <c r="DS859" i="3"/>
  <c r="DR859" i="3"/>
  <c r="DQ859" i="3"/>
  <c r="DP859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BY859" i="3"/>
  <c r="BX859" i="3"/>
  <c r="BW859" i="3"/>
  <c r="BV859" i="3"/>
  <c r="BU859" i="3"/>
  <c r="BT859" i="3"/>
  <c r="BS859" i="3"/>
  <c r="BR859" i="3"/>
  <c r="BQ859" i="3"/>
  <c r="BP859" i="3"/>
  <c r="BO859" i="3"/>
  <c r="BN859" i="3"/>
  <c r="DU858" i="3"/>
  <c r="DT858" i="3"/>
  <c r="DS858" i="3"/>
  <c r="DR858" i="3"/>
  <c r="DQ858" i="3"/>
  <c r="DP858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BY858" i="3"/>
  <c r="BX858" i="3"/>
  <c r="BW858" i="3"/>
  <c r="BV858" i="3"/>
  <c r="BU858" i="3"/>
  <c r="BT858" i="3"/>
  <c r="BS858" i="3"/>
  <c r="BR858" i="3"/>
  <c r="BQ858" i="3"/>
  <c r="BP858" i="3"/>
  <c r="BO858" i="3"/>
  <c r="BN858" i="3"/>
  <c r="DU857" i="3"/>
  <c r="DT857" i="3"/>
  <c r="DS857" i="3"/>
  <c r="DR857" i="3"/>
  <c r="DQ857" i="3"/>
  <c r="DP857" i="3"/>
  <c r="DO857" i="3"/>
  <c r="DN857" i="3"/>
  <c r="DM857" i="3"/>
  <c r="DL857" i="3"/>
  <c r="DK857" i="3"/>
  <c r="DJ857" i="3"/>
  <c r="DI857" i="3"/>
  <c r="DH857" i="3"/>
  <c r="DG857" i="3"/>
  <c r="DF857" i="3"/>
  <c r="DE857" i="3"/>
  <c r="DD857" i="3"/>
  <c r="DC857" i="3"/>
  <c r="DB857" i="3"/>
  <c r="DA857" i="3"/>
  <c r="CZ857" i="3"/>
  <c r="CY857" i="3"/>
  <c r="CX857" i="3"/>
  <c r="CW857" i="3"/>
  <c r="CV857" i="3"/>
  <c r="CU857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C857" i="3"/>
  <c r="CB857" i="3"/>
  <c r="CA857" i="3"/>
  <c r="BZ857" i="3"/>
  <c r="BY857" i="3"/>
  <c r="BX857" i="3"/>
  <c r="BW857" i="3"/>
  <c r="BV857" i="3"/>
  <c r="BU857" i="3"/>
  <c r="BT857" i="3"/>
  <c r="BS857" i="3"/>
  <c r="BR857" i="3"/>
  <c r="BQ857" i="3"/>
  <c r="BP857" i="3"/>
  <c r="BO857" i="3"/>
  <c r="BN857" i="3"/>
  <c r="DU856" i="3"/>
  <c r="DT856" i="3"/>
  <c r="DS856" i="3"/>
  <c r="DR856" i="3"/>
  <c r="DQ856" i="3"/>
  <c r="DP856" i="3"/>
  <c r="DO856" i="3"/>
  <c r="DN856" i="3"/>
  <c r="DM856" i="3"/>
  <c r="DL856" i="3"/>
  <c r="DK856" i="3"/>
  <c r="DJ856" i="3"/>
  <c r="DI856" i="3"/>
  <c r="DH856" i="3"/>
  <c r="DG856" i="3"/>
  <c r="DF856" i="3"/>
  <c r="DE856" i="3"/>
  <c r="DD856" i="3"/>
  <c r="DC856" i="3"/>
  <c r="DB856" i="3"/>
  <c r="DA856" i="3"/>
  <c r="CZ856" i="3"/>
  <c r="CY856" i="3"/>
  <c r="CX856" i="3"/>
  <c r="CW856" i="3"/>
  <c r="CV856" i="3"/>
  <c r="CU856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C856" i="3"/>
  <c r="CB856" i="3"/>
  <c r="CA856" i="3"/>
  <c r="BZ856" i="3"/>
  <c r="BY856" i="3"/>
  <c r="BX856" i="3"/>
  <c r="BW856" i="3"/>
  <c r="BV856" i="3"/>
  <c r="BU856" i="3"/>
  <c r="BT856" i="3"/>
  <c r="BS856" i="3"/>
  <c r="BR856" i="3"/>
  <c r="BQ856" i="3"/>
  <c r="BP856" i="3"/>
  <c r="BO856" i="3"/>
  <c r="BN856" i="3"/>
  <c r="DU855" i="3"/>
  <c r="DT855" i="3"/>
  <c r="DS855" i="3"/>
  <c r="DR855" i="3"/>
  <c r="DQ855" i="3"/>
  <c r="DP855" i="3"/>
  <c r="DO855" i="3"/>
  <c r="DN855" i="3"/>
  <c r="DM855" i="3"/>
  <c r="DL855" i="3"/>
  <c r="DK855" i="3"/>
  <c r="DJ855" i="3"/>
  <c r="DI855" i="3"/>
  <c r="DH855" i="3"/>
  <c r="DG855" i="3"/>
  <c r="DF855" i="3"/>
  <c r="DE855" i="3"/>
  <c r="DD855" i="3"/>
  <c r="DC855" i="3"/>
  <c r="DB855" i="3"/>
  <c r="DA855" i="3"/>
  <c r="CZ855" i="3"/>
  <c r="CY855" i="3"/>
  <c r="CX855" i="3"/>
  <c r="CW855" i="3"/>
  <c r="CV855" i="3"/>
  <c r="CU855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C855" i="3"/>
  <c r="CB855" i="3"/>
  <c r="CA855" i="3"/>
  <c r="BZ855" i="3"/>
  <c r="BY855" i="3"/>
  <c r="BX855" i="3"/>
  <c r="BW855" i="3"/>
  <c r="BV855" i="3"/>
  <c r="BU855" i="3"/>
  <c r="BT855" i="3"/>
  <c r="BS855" i="3"/>
  <c r="BR855" i="3"/>
  <c r="BQ855" i="3"/>
  <c r="BP855" i="3"/>
  <c r="BO855" i="3"/>
  <c r="BN855" i="3"/>
  <c r="DU854" i="3"/>
  <c r="DT854" i="3"/>
  <c r="DS854" i="3"/>
  <c r="DR854" i="3"/>
  <c r="DQ854" i="3"/>
  <c r="DP854" i="3"/>
  <c r="DO854" i="3"/>
  <c r="DN854" i="3"/>
  <c r="DM854" i="3"/>
  <c r="DL854" i="3"/>
  <c r="DK854" i="3"/>
  <c r="DJ854" i="3"/>
  <c r="DI854" i="3"/>
  <c r="DH854" i="3"/>
  <c r="DG854" i="3"/>
  <c r="DF854" i="3"/>
  <c r="DE854" i="3"/>
  <c r="DD854" i="3"/>
  <c r="DC854" i="3"/>
  <c r="DB854" i="3"/>
  <c r="DA854" i="3"/>
  <c r="CZ854" i="3"/>
  <c r="CY854" i="3"/>
  <c r="CX854" i="3"/>
  <c r="CW854" i="3"/>
  <c r="CV854" i="3"/>
  <c r="CU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C854" i="3"/>
  <c r="CB854" i="3"/>
  <c r="CA854" i="3"/>
  <c r="BZ854" i="3"/>
  <c r="BY854" i="3"/>
  <c r="BX854" i="3"/>
  <c r="BW854" i="3"/>
  <c r="BV854" i="3"/>
  <c r="BU854" i="3"/>
  <c r="BT854" i="3"/>
  <c r="BS854" i="3"/>
  <c r="BR854" i="3"/>
  <c r="BQ854" i="3"/>
  <c r="BP854" i="3"/>
  <c r="BO854" i="3"/>
  <c r="BN854" i="3"/>
  <c r="DU853" i="3"/>
  <c r="DT853" i="3"/>
  <c r="DS853" i="3"/>
  <c r="DR853" i="3"/>
  <c r="DQ853" i="3"/>
  <c r="DP853" i="3"/>
  <c r="DO853" i="3"/>
  <c r="DN853" i="3"/>
  <c r="DM853" i="3"/>
  <c r="DL853" i="3"/>
  <c r="DK853" i="3"/>
  <c r="DJ853" i="3"/>
  <c r="DI853" i="3"/>
  <c r="DH853" i="3"/>
  <c r="DG853" i="3"/>
  <c r="DF853" i="3"/>
  <c r="DE853" i="3"/>
  <c r="DD853" i="3"/>
  <c r="DC853" i="3"/>
  <c r="DB853" i="3"/>
  <c r="DA853" i="3"/>
  <c r="CZ853" i="3"/>
  <c r="CY853" i="3"/>
  <c r="CX853" i="3"/>
  <c r="CW853" i="3"/>
  <c r="CV853" i="3"/>
  <c r="CU853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C853" i="3"/>
  <c r="CB853" i="3"/>
  <c r="CA853" i="3"/>
  <c r="BZ853" i="3"/>
  <c r="BY853" i="3"/>
  <c r="BX853" i="3"/>
  <c r="BW853" i="3"/>
  <c r="BV853" i="3"/>
  <c r="BU853" i="3"/>
  <c r="BT853" i="3"/>
  <c r="BS853" i="3"/>
  <c r="BR853" i="3"/>
  <c r="BQ853" i="3"/>
  <c r="BP853" i="3"/>
  <c r="BO853" i="3"/>
  <c r="BN853" i="3"/>
  <c r="DU852" i="3"/>
  <c r="DT852" i="3"/>
  <c r="DS852" i="3"/>
  <c r="DR852" i="3"/>
  <c r="DQ852" i="3"/>
  <c r="DP852" i="3"/>
  <c r="DO852" i="3"/>
  <c r="DN852" i="3"/>
  <c r="DM852" i="3"/>
  <c r="DL852" i="3"/>
  <c r="DK852" i="3"/>
  <c r="DJ852" i="3"/>
  <c r="DI852" i="3"/>
  <c r="DH852" i="3"/>
  <c r="DG852" i="3"/>
  <c r="DF852" i="3"/>
  <c r="DE852" i="3"/>
  <c r="DD852" i="3"/>
  <c r="DC852" i="3"/>
  <c r="DB852" i="3"/>
  <c r="DA852" i="3"/>
  <c r="CZ852" i="3"/>
  <c r="CY852" i="3"/>
  <c r="CX852" i="3"/>
  <c r="CW852" i="3"/>
  <c r="CV852" i="3"/>
  <c r="CU852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C852" i="3"/>
  <c r="CB852" i="3"/>
  <c r="CA852" i="3"/>
  <c r="BZ852" i="3"/>
  <c r="BY852" i="3"/>
  <c r="BX852" i="3"/>
  <c r="BW852" i="3"/>
  <c r="BV852" i="3"/>
  <c r="BU852" i="3"/>
  <c r="BT852" i="3"/>
  <c r="BS852" i="3"/>
  <c r="BR852" i="3"/>
  <c r="BQ852" i="3"/>
  <c r="BP852" i="3"/>
  <c r="BO852" i="3"/>
  <c r="BN852" i="3"/>
  <c r="DU851" i="3"/>
  <c r="DT851" i="3"/>
  <c r="DS851" i="3"/>
  <c r="DR851" i="3"/>
  <c r="DQ851" i="3"/>
  <c r="DP851" i="3"/>
  <c r="DO851" i="3"/>
  <c r="DN851" i="3"/>
  <c r="DM851" i="3"/>
  <c r="DL851" i="3"/>
  <c r="DK851" i="3"/>
  <c r="DJ851" i="3"/>
  <c r="DI851" i="3"/>
  <c r="DH851" i="3"/>
  <c r="DG851" i="3"/>
  <c r="DF851" i="3"/>
  <c r="DE851" i="3"/>
  <c r="DD851" i="3"/>
  <c r="DC851" i="3"/>
  <c r="DB851" i="3"/>
  <c r="DA851" i="3"/>
  <c r="CZ851" i="3"/>
  <c r="CY851" i="3"/>
  <c r="CX851" i="3"/>
  <c r="CW851" i="3"/>
  <c r="CV851" i="3"/>
  <c r="CU851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C851" i="3"/>
  <c r="CB851" i="3"/>
  <c r="CA851" i="3"/>
  <c r="BZ851" i="3"/>
  <c r="BY851" i="3"/>
  <c r="BX851" i="3"/>
  <c r="BW851" i="3"/>
  <c r="BV851" i="3"/>
  <c r="BU851" i="3"/>
  <c r="BT851" i="3"/>
  <c r="BS851" i="3"/>
  <c r="BR851" i="3"/>
  <c r="BQ851" i="3"/>
  <c r="BP851" i="3"/>
  <c r="BO851" i="3"/>
  <c r="BN851" i="3"/>
  <c r="DU850" i="3"/>
  <c r="DT850" i="3"/>
  <c r="DS850" i="3"/>
  <c r="DR850" i="3"/>
  <c r="DQ850" i="3"/>
  <c r="DP850" i="3"/>
  <c r="DO850" i="3"/>
  <c r="DN850" i="3"/>
  <c r="DM850" i="3"/>
  <c r="DL850" i="3"/>
  <c r="DK850" i="3"/>
  <c r="DJ850" i="3"/>
  <c r="DI850" i="3"/>
  <c r="DH850" i="3"/>
  <c r="DG850" i="3"/>
  <c r="DF850" i="3"/>
  <c r="DE850" i="3"/>
  <c r="DD850" i="3"/>
  <c r="DC850" i="3"/>
  <c r="DB850" i="3"/>
  <c r="DA850" i="3"/>
  <c r="CZ850" i="3"/>
  <c r="CY850" i="3"/>
  <c r="CX850" i="3"/>
  <c r="CW850" i="3"/>
  <c r="CV850" i="3"/>
  <c r="CU850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C850" i="3"/>
  <c r="CB850" i="3"/>
  <c r="CA850" i="3"/>
  <c r="BZ850" i="3"/>
  <c r="BY850" i="3"/>
  <c r="BX850" i="3"/>
  <c r="BW850" i="3"/>
  <c r="BV850" i="3"/>
  <c r="BU850" i="3"/>
  <c r="BT850" i="3"/>
  <c r="BS850" i="3"/>
  <c r="BR850" i="3"/>
  <c r="BQ850" i="3"/>
  <c r="BP850" i="3"/>
  <c r="BO850" i="3"/>
  <c r="BN850" i="3"/>
  <c r="DU849" i="3"/>
  <c r="DT849" i="3"/>
  <c r="DS849" i="3"/>
  <c r="DR849" i="3"/>
  <c r="DQ849" i="3"/>
  <c r="DP849" i="3"/>
  <c r="DO849" i="3"/>
  <c r="DN849" i="3"/>
  <c r="DM849" i="3"/>
  <c r="DL849" i="3"/>
  <c r="DK849" i="3"/>
  <c r="DJ849" i="3"/>
  <c r="DI849" i="3"/>
  <c r="DH849" i="3"/>
  <c r="DG849" i="3"/>
  <c r="DF849" i="3"/>
  <c r="DE849" i="3"/>
  <c r="DD849" i="3"/>
  <c r="DC849" i="3"/>
  <c r="DB849" i="3"/>
  <c r="DA849" i="3"/>
  <c r="CZ849" i="3"/>
  <c r="CY849" i="3"/>
  <c r="CX849" i="3"/>
  <c r="CW849" i="3"/>
  <c r="CV849" i="3"/>
  <c r="CU849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C849" i="3"/>
  <c r="CB849" i="3"/>
  <c r="CA849" i="3"/>
  <c r="BZ849" i="3"/>
  <c r="BY849" i="3"/>
  <c r="BX849" i="3"/>
  <c r="BW849" i="3"/>
  <c r="BV849" i="3"/>
  <c r="BU849" i="3"/>
  <c r="BT849" i="3"/>
  <c r="BS849" i="3"/>
  <c r="BR849" i="3"/>
  <c r="BQ849" i="3"/>
  <c r="BP849" i="3"/>
  <c r="BO849" i="3"/>
  <c r="BN849" i="3"/>
  <c r="DU848" i="3"/>
  <c r="DT848" i="3"/>
  <c r="DS848" i="3"/>
  <c r="DR848" i="3"/>
  <c r="DQ848" i="3"/>
  <c r="DP848" i="3"/>
  <c r="DO848" i="3"/>
  <c r="DN848" i="3"/>
  <c r="DM848" i="3"/>
  <c r="DL848" i="3"/>
  <c r="DK848" i="3"/>
  <c r="DJ848" i="3"/>
  <c r="DI848" i="3"/>
  <c r="DH848" i="3"/>
  <c r="DG848" i="3"/>
  <c r="DF848" i="3"/>
  <c r="DE848" i="3"/>
  <c r="DD848" i="3"/>
  <c r="DC848" i="3"/>
  <c r="DB848" i="3"/>
  <c r="DA848" i="3"/>
  <c r="CZ848" i="3"/>
  <c r="CY848" i="3"/>
  <c r="CX848" i="3"/>
  <c r="CW848" i="3"/>
  <c r="CV848" i="3"/>
  <c r="CU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C848" i="3"/>
  <c r="CB848" i="3"/>
  <c r="CA848" i="3"/>
  <c r="BZ848" i="3"/>
  <c r="BY848" i="3"/>
  <c r="BX848" i="3"/>
  <c r="BW848" i="3"/>
  <c r="BV848" i="3"/>
  <c r="BU848" i="3"/>
  <c r="BT848" i="3"/>
  <c r="BS848" i="3"/>
  <c r="BR848" i="3"/>
  <c r="BQ848" i="3"/>
  <c r="BP848" i="3"/>
  <c r="BO848" i="3"/>
  <c r="BN848" i="3"/>
  <c r="DU847" i="3"/>
  <c r="DT847" i="3"/>
  <c r="DS847" i="3"/>
  <c r="DR847" i="3"/>
  <c r="DQ847" i="3"/>
  <c r="DP847" i="3"/>
  <c r="DO847" i="3"/>
  <c r="DN847" i="3"/>
  <c r="DM847" i="3"/>
  <c r="DL847" i="3"/>
  <c r="DK847" i="3"/>
  <c r="DJ847" i="3"/>
  <c r="DI847" i="3"/>
  <c r="DH847" i="3"/>
  <c r="DG847" i="3"/>
  <c r="DF847" i="3"/>
  <c r="DE847" i="3"/>
  <c r="DD847" i="3"/>
  <c r="DC847" i="3"/>
  <c r="DB847" i="3"/>
  <c r="DA847" i="3"/>
  <c r="CZ847" i="3"/>
  <c r="CY847" i="3"/>
  <c r="CX847" i="3"/>
  <c r="CW847" i="3"/>
  <c r="CV847" i="3"/>
  <c r="CU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C847" i="3"/>
  <c r="CB847" i="3"/>
  <c r="CA847" i="3"/>
  <c r="BZ847" i="3"/>
  <c r="BY847" i="3"/>
  <c r="BX847" i="3"/>
  <c r="BW847" i="3"/>
  <c r="BV847" i="3"/>
  <c r="BU847" i="3"/>
  <c r="BT847" i="3"/>
  <c r="BS847" i="3"/>
  <c r="BR847" i="3"/>
  <c r="BQ847" i="3"/>
  <c r="BP847" i="3"/>
  <c r="BO847" i="3"/>
  <c r="BN847" i="3"/>
  <c r="DU846" i="3"/>
  <c r="DT846" i="3"/>
  <c r="DS846" i="3"/>
  <c r="DR846" i="3"/>
  <c r="DQ846" i="3"/>
  <c r="DP846" i="3"/>
  <c r="DO846" i="3"/>
  <c r="DN846" i="3"/>
  <c r="DM846" i="3"/>
  <c r="DL846" i="3"/>
  <c r="DK846" i="3"/>
  <c r="DJ846" i="3"/>
  <c r="DI846" i="3"/>
  <c r="DH846" i="3"/>
  <c r="DG846" i="3"/>
  <c r="DF846" i="3"/>
  <c r="DE846" i="3"/>
  <c r="DD846" i="3"/>
  <c r="DC846" i="3"/>
  <c r="DB846" i="3"/>
  <c r="DA846" i="3"/>
  <c r="CZ846" i="3"/>
  <c r="CY846" i="3"/>
  <c r="CX846" i="3"/>
  <c r="CW846" i="3"/>
  <c r="CV846" i="3"/>
  <c r="CU846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C846" i="3"/>
  <c r="CB846" i="3"/>
  <c r="CA846" i="3"/>
  <c r="BZ846" i="3"/>
  <c r="BY846" i="3"/>
  <c r="BX846" i="3"/>
  <c r="BW846" i="3"/>
  <c r="BV846" i="3"/>
  <c r="BU846" i="3"/>
  <c r="BT846" i="3"/>
  <c r="BS846" i="3"/>
  <c r="BR846" i="3"/>
  <c r="BQ846" i="3"/>
  <c r="BP846" i="3"/>
  <c r="BO846" i="3"/>
  <c r="BN846" i="3"/>
  <c r="DU845" i="3"/>
  <c r="DT845" i="3"/>
  <c r="DS845" i="3"/>
  <c r="DR845" i="3"/>
  <c r="DQ845" i="3"/>
  <c r="DP845" i="3"/>
  <c r="DO845" i="3"/>
  <c r="DN845" i="3"/>
  <c r="DM845" i="3"/>
  <c r="DL845" i="3"/>
  <c r="DK845" i="3"/>
  <c r="DJ845" i="3"/>
  <c r="DI845" i="3"/>
  <c r="DH845" i="3"/>
  <c r="DG845" i="3"/>
  <c r="DF845" i="3"/>
  <c r="DE845" i="3"/>
  <c r="DD845" i="3"/>
  <c r="DC845" i="3"/>
  <c r="DB845" i="3"/>
  <c r="DA845" i="3"/>
  <c r="CZ845" i="3"/>
  <c r="CY845" i="3"/>
  <c r="CX845" i="3"/>
  <c r="CW845" i="3"/>
  <c r="CV845" i="3"/>
  <c r="CU845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C845" i="3"/>
  <c r="CB845" i="3"/>
  <c r="CA845" i="3"/>
  <c r="BZ845" i="3"/>
  <c r="BY845" i="3"/>
  <c r="BX845" i="3"/>
  <c r="BW845" i="3"/>
  <c r="BV845" i="3"/>
  <c r="BU845" i="3"/>
  <c r="BT845" i="3"/>
  <c r="BS845" i="3"/>
  <c r="BR845" i="3"/>
  <c r="BQ845" i="3"/>
  <c r="BP845" i="3"/>
  <c r="BO845" i="3"/>
  <c r="BN845" i="3"/>
  <c r="DU844" i="3"/>
  <c r="DT844" i="3"/>
  <c r="DS844" i="3"/>
  <c r="DR844" i="3"/>
  <c r="DQ844" i="3"/>
  <c r="DP844" i="3"/>
  <c r="DO844" i="3"/>
  <c r="DN844" i="3"/>
  <c r="DM844" i="3"/>
  <c r="DL844" i="3"/>
  <c r="DK844" i="3"/>
  <c r="DJ844" i="3"/>
  <c r="DI844" i="3"/>
  <c r="DH844" i="3"/>
  <c r="DG844" i="3"/>
  <c r="DF844" i="3"/>
  <c r="DE844" i="3"/>
  <c r="DD844" i="3"/>
  <c r="DC844" i="3"/>
  <c r="DB844" i="3"/>
  <c r="DA844" i="3"/>
  <c r="CZ844" i="3"/>
  <c r="CY844" i="3"/>
  <c r="CX844" i="3"/>
  <c r="CW844" i="3"/>
  <c r="CV844" i="3"/>
  <c r="CU844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C844" i="3"/>
  <c r="CB844" i="3"/>
  <c r="CA844" i="3"/>
  <c r="BZ844" i="3"/>
  <c r="BY844" i="3"/>
  <c r="BX844" i="3"/>
  <c r="BW844" i="3"/>
  <c r="BV844" i="3"/>
  <c r="BU844" i="3"/>
  <c r="BT844" i="3"/>
  <c r="BS844" i="3"/>
  <c r="BR844" i="3"/>
  <c r="BQ844" i="3"/>
  <c r="BP844" i="3"/>
  <c r="BO844" i="3"/>
  <c r="BN844" i="3"/>
  <c r="DU843" i="3"/>
  <c r="DT843" i="3"/>
  <c r="DS843" i="3"/>
  <c r="DR843" i="3"/>
  <c r="DQ843" i="3"/>
  <c r="DP843" i="3"/>
  <c r="DO843" i="3"/>
  <c r="DN843" i="3"/>
  <c r="DM843" i="3"/>
  <c r="DL843" i="3"/>
  <c r="DK843" i="3"/>
  <c r="DJ843" i="3"/>
  <c r="DI843" i="3"/>
  <c r="DH843" i="3"/>
  <c r="DG843" i="3"/>
  <c r="DF843" i="3"/>
  <c r="DE843" i="3"/>
  <c r="DD843" i="3"/>
  <c r="DC843" i="3"/>
  <c r="DB843" i="3"/>
  <c r="DA843" i="3"/>
  <c r="CZ843" i="3"/>
  <c r="CY843" i="3"/>
  <c r="CX843" i="3"/>
  <c r="CW843" i="3"/>
  <c r="CV843" i="3"/>
  <c r="CU84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C843" i="3"/>
  <c r="CB843" i="3"/>
  <c r="CA843" i="3"/>
  <c r="BZ843" i="3"/>
  <c r="BY843" i="3"/>
  <c r="BX843" i="3"/>
  <c r="BW843" i="3"/>
  <c r="BV843" i="3"/>
  <c r="BU843" i="3"/>
  <c r="BT843" i="3"/>
  <c r="BS843" i="3"/>
  <c r="BR843" i="3"/>
  <c r="BQ843" i="3"/>
  <c r="BP843" i="3"/>
  <c r="BO843" i="3"/>
  <c r="BN843" i="3"/>
  <c r="DU842" i="3"/>
  <c r="DT842" i="3"/>
  <c r="DS842" i="3"/>
  <c r="DR842" i="3"/>
  <c r="DQ842" i="3"/>
  <c r="DP842" i="3"/>
  <c r="DO842" i="3"/>
  <c r="DN842" i="3"/>
  <c r="DM842" i="3"/>
  <c r="DL842" i="3"/>
  <c r="DK842" i="3"/>
  <c r="DJ842" i="3"/>
  <c r="DI842" i="3"/>
  <c r="DH842" i="3"/>
  <c r="DG842" i="3"/>
  <c r="DF842" i="3"/>
  <c r="DE842" i="3"/>
  <c r="DD842" i="3"/>
  <c r="DC842" i="3"/>
  <c r="DB842" i="3"/>
  <c r="DA842" i="3"/>
  <c r="CZ842" i="3"/>
  <c r="CY842" i="3"/>
  <c r="CX842" i="3"/>
  <c r="CW842" i="3"/>
  <c r="CV842" i="3"/>
  <c r="CU842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C842" i="3"/>
  <c r="CB842" i="3"/>
  <c r="CA842" i="3"/>
  <c r="BZ842" i="3"/>
  <c r="BY842" i="3"/>
  <c r="BX842" i="3"/>
  <c r="BW842" i="3"/>
  <c r="BV842" i="3"/>
  <c r="BU842" i="3"/>
  <c r="BT842" i="3"/>
  <c r="BS842" i="3"/>
  <c r="BR842" i="3"/>
  <c r="BQ842" i="3"/>
  <c r="BP842" i="3"/>
  <c r="BO842" i="3"/>
  <c r="BN842" i="3"/>
  <c r="DU841" i="3"/>
  <c r="DT841" i="3"/>
  <c r="DS841" i="3"/>
  <c r="DR841" i="3"/>
  <c r="DQ841" i="3"/>
  <c r="DP841" i="3"/>
  <c r="DO841" i="3"/>
  <c r="DN841" i="3"/>
  <c r="DM841" i="3"/>
  <c r="DL841" i="3"/>
  <c r="DK841" i="3"/>
  <c r="DJ841" i="3"/>
  <c r="DI841" i="3"/>
  <c r="DH841" i="3"/>
  <c r="DG841" i="3"/>
  <c r="DF841" i="3"/>
  <c r="DE841" i="3"/>
  <c r="DD841" i="3"/>
  <c r="DC841" i="3"/>
  <c r="DB841" i="3"/>
  <c r="DA841" i="3"/>
  <c r="CZ841" i="3"/>
  <c r="CY841" i="3"/>
  <c r="CX841" i="3"/>
  <c r="CW841" i="3"/>
  <c r="CV841" i="3"/>
  <c r="CU841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C841" i="3"/>
  <c r="CB841" i="3"/>
  <c r="CA841" i="3"/>
  <c r="BZ841" i="3"/>
  <c r="BY841" i="3"/>
  <c r="BX841" i="3"/>
  <c r="BW841" i="3"/>
  <c r="BV841" i="3"/>
  <c r="BU841" i="3"/>
  <c r="BT841" i="3"/>
  <c r="BS841" i="3"/>
  <c r="BR841" i="3"/>
  <c r="BQ841" i="3"/>
  <c r="BP841" i="3"/>
  <c r="BO841" i="3"/>
  <c r="BN841" i="3"/>
  <c r="DU840" i="3"/>
  <c r="DT840" i="3"/>
  <c r="DS840" i="3"/>
  <c r="DR840" i="3"/>
  <c r="DQ840" i="3"/>
  <c r="DP840" i="3"/>
  <c r="DO840" i="3"/>
  <c r="DN840" i="3"/>
  <c r="DM840" i="3"/>
  <c r="DL840" i="3"/>
  <c r="DK840" i="3"/>
  <c r="DJ840" i="3"/>
  <c r="DI840" i="3"/>
  <c r="DH840" i="3"/>
  <c r="DG840" i="3"/>
  <c r="DF840" i="3"/>
  <c r="DE840" i="3"/>
  <c r="DD840" i="3"/>
  <c r="DC840" i="3"/>
  <c r="DB840" i="3"/>
  <c r="DA840" i="3"/>
  <c r="CZ840" i="3"/>
  <c r="CY840" i="3"/>
  <c r="CX840" i="3"/>
  <c r="CW840" i="3"/>
  <c r="CV840" i="3"/>
  <c r="CU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C840" i="3"/>
  <c r="CB840" i="3"/>
  <c r="CA840" i="3"/>
  <c r="BZ840" i="3"/>
  <c r="BY840" i="3"/>
  <c r="BX840" i="3"/>
  <c r="BW840" i="3"/>
  <c r="BV840" i="3"/>
  <c r="BU840" i="3"/>
  <c r="BT840" i="3"/>
  <c r="BS840" i="3"/>
  <c r="BR840" i="3"/>
  <c r="BQ840" i="3"/>
  <c r="BP840" i="3"/>
  <c r="BO840" i="3"/>
  <c r="BN840" i="3"/>
  <c r="DU839" i="3"/>
  <c r="DT839" i="3"/>
  <c r="DS839" i="3"/>
  <c r="DR839" i="3"/>
  <c r="DQ839" i="3"/>
  <c r="DP839" i="3"/>
  <c r="DO839" i="3"/>
  <c r="DN839" i="3"/>
  <c r="DM839" i="3"/>
  <c r="DL839" i="3"/>
  <c r="DK839" i="3"/>
  <c r="DJ839" i="3"/>
  <c r="DI839" i="3"/>
  <c r="DH839" i="3"/>
  <c r="DG839" i="3"/>
  <c r="DF839" i="3"/>
  <c r="DE839" i="3"/>
  <c r="DD839" i="3"/>
  <c r="DC839" i="3"/>
  <c r="DB839" i="3"/>
  <c r="DA839" i="3"/>
  <c r="CZ839" i="3"/>
  <c r="CY839" i="3"/>
  <c r="CX839" i="3"/>
  <c r="CW839" i="3"/>
  <c r="CV839" i="3"/>
  <c r="CU839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C839" i="3"/>
  <c r="CB839" i="3"/>
  <c r="CA839" i="3"/>
  <c r="BZ839" i="3"/>
  <c r="BY839" i="3"/>
  <c r="BX839" i="3"/>
  <c r="BW839" i="3"/>
  <c r="BV839" i="3"/>
  <c r="BU839" i="3"/>
  <c r="BT839" i="3"/>
  <c r="BS839" i="3"/>
  <c r="BR839" i="3"/>
  <c r="BQ839" i="3"/>
  <c r="BP839" i="3"/>
  <c r="BO839" i="3"/>
  <c r="BN839" i="3"/>
  <c r="DU838" i="3"/>
  <c r="DT838" i="3"/>
  <c r="DS838" i="3"/>
  <c r="DR838" i="3"/>
  <c r="DQ838" i="3"/>
  <c r="DP838" i="3"/>
  <c r="DO838" i="3"/>
  <c r="DN838" i="3"/>
  <c r="DM838" i="3"/>
  <c r="DL838" i="3"/>
  <c r="DK838" i="3"/>
  <c r="DJ838" i="3"/>
  <c r="DI838" i="3"/>
  <c r="DH838" i="3"/>
  <c r="DG838" i="3"/>
  <c r="DF838" i="3"/>
  <c r="DE838" i="3"/>
  <c r="DD838" i="3"/>
  <c r="DC838" i="3"/>
  <c r="DB838" i="3"/>
  <c r="DA838" i="3"/>
  <c r="CZ838" i="3"/>
  <c r="CY838" i="3"/>
  <c r="CX838" i="3"/>
  <c r="CW838" i="3"/>
  <c r="CV838" i="3"/>
  <c r="CU838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C838" i="3"/>
  <c r="CB838" i="3"/>
  <c r="CA838" i="3"/>
  <c r="BZ838" i="3"/>
  <c r="BY838" i="3"/>
  <c r="BX838" i="3"/>
  <c r="BW838" i="3"/>
  <c r="BV838" i="3"/>
  <c r="BU838" i="3"/>
  <c r="BT838" i="3"/>
  <c r="BS838" i="3"/>
  <c r="BR838" i="3"/>
  <c r="BQ838" i="3"/>
  <c r="BP838" i="3"/>
  <c r="BO838" i="3"/>
  <c r="BN838" i="3"/>
  <c r="DU837" i="3"/>
  <c r="DT837" i="3"/>
  <c r="DS837" i="3"/>
  <c r="DR837" i="3"/>
  <c r="DQ837" i="3"/>
  <c r="DP837" i="3"/>
  <c r="DO837" i="3"/>
  <c r="DN837" i="3"/>
  <c r="DM837" i="3"/>
  <c r="DL837" i="3"/>
  <c r="DK837" i="3"/>
  <c r="DJ837" i="3"/>
  <c r="DI837" i="3"/>
  <c r="DH837" i="3"/>
  <c r="DG837" i="3"/>
  <c r="DF837" i="3"/>
  <c r="DE837" i="3"/>
  <c r="DD837" i="3"/>
  <c r="DC837" i="3"/>
  <c r="DB837" i="3"/>
  <c r="DA837" i="3"/>
  <c r="CZ837" i="3"/>
  <c r="CY837" i="3"/>
  <c r="CX837" i="3"/>
  <c r="CW837" i="3"/>
  <c r="CV837" i="3"/>
  <c r="CU837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C837" i="3"/>
  <c r="CB837" i="3"/>
  <c r="CA837" i="3"/>
  <c r="BZ837" i="3"/>
  <c r="BY837" i="3"/>
  <c r="BX837" i="3"/>
  <c r="BW837" i="3"/>
  <c r="BV837" i="3"/>
  <c r="BU837" i="3"/>
  <c r="BT837" i="3"/>
  <c r="BS837" i="3"/>
  <c r="BR837" i="3"/>
  <c r="BQ837" i="3"/>
  <c r="BP837" i="3"/>
  <c r="BO837" i="3"/>
  <c r="BN837" i="3"/>
  <c r="DU836" i="3"/>
  <c r="DT836" i="3"/>
  <c r="DS836" i="3"/>
  <c r="DR836" i="3"/>
  <c r="DQ836" i="3"/>
  <c r="DP836" i="3"/>
  <c r="DO836" i="3"/>
  <c r="DN836" i="3"/>
  <c r="DM836" i="3"/>
  <c r="DL836" i="3"/>
  <c r="DK836" i="3"/>
  <c r="DJ836" i="3"/>
  <c r="DI836" i="3"/>
  <c r="DH836" i="3"/>
  <c r="DG836" i="3"/>
  <c r="DF836" i="3"/>
  <c r="DE836" i="3"/>
  <c r="DD836" i="3"/>
  <c r="DC836" i="3"/>
  <c r="DB836" i="3"/>
  <c r="DA836" i="3"/>
  <c r="CZ836" i="3"/>
  <c r="CY836" i="3"/>
  <c r="CX836" i="3"/>
  <c r="CW836" i="3"/>
  <c r="CV836" i="3"/>
  <c r="CU836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C836" i="3"/>
  <c r="CB836" i="3"/>
  <c r="CA836" i="3"/>
  <c r="BZ836" i="3"/>
  <c r="BY836" i="3"/>
  <c r="BX836" i="3"/>
  <c r="BW836" i="3"/>
  <c r="BV836" i="3"/>
  <c r="BU836" i="3"/>
  <c r="BT836" i="3"/>
  <c r="BS836" i="3"/>
  <c r="BR836" i="3"/>
  <c r="BQ836" i="3"/>
  <c r="BP836" i="3"/>
  <c r="BO836" i="3"/>
  <c r="BN836" i="3"/>
  <c r="DU835" i="3"/>
  <c r="DT835" i="3"/>
  <c r="DS835" i="3"/>
  <c r="DR835" i="3"/>
  <c r="DQ835" i="3"/>
  <c r="DP835" i="3"/>
  <c r="DO835" i="3"/>
  <c r="DN835" i="3"/>
  <c r="DM835" i="3"/>
  <c r="DL835" i="3"/>
  <c r="DK835" i="3"/>
  <c r="DJ835" i="3"/>
  <c r="DI835" i="3"/>
  <c r="DH835" i="3"/>
  <c r="DG835" i="3"/>
  <c r="DF835" i="3"/>
  <c r="DE835" i="3"/>
  <c r="DD835" i="3"/>
  <c r="DC835" i="3"/>
  <c r="DB835" i="3"/>
  <c r="DA835" i="3"/>
  <c r="CZ835" i="3"/>
  <c r="CY835" i="3"/>
  <c r="CX835" i="3"/>
  <c r="CW835" i="3"/>
  <c r="CV835" i="3"/>
  <c r="CU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C835" i="3"/>
  <c r="CB835" i="3"/>
  <c r="CA835" i="3"/>
  <c r="BZ835" i="3"/>
  <c r="BY835" i="3"/>
  <c r="BX835" i="3"/>
  <c r="BW835" i="3"/>
  <c r="BV835" i="3"/>
  <c r="BU835" i="3"/>
  <c r="BT835" i="3"/>
  <c r="BS835" i="3"/>
  <c r="BR835" i="3"/>
  <c r="BQ835" i="3"/>
  <c r="BP835" i="3"/>
  <c r="BO835" i="3"/>
  <c r="BN835" i="3"/>
  <c r="DU834" i="3"/>
  <c r="DT834" i="3"/>
  <c r="DS834" i="3"/>
  <c r="DR834" i="3"/>
  <c r="DQ834" i="3"/>
  <c r="DP834" i="3"/>
  <c r="DO834" i="3"/>
  <c r="DN834" i="3"/>
  <c r="DM834" i="3"/>
  <c r="DL834" i="3"/>
  <c r="DK834" i="3"/>
  <c r="DJ834" i="3"/>
  <c r="DI834" i="3"/>
  <c r="DH834" i="3"/>
  <c r="DG834" i="3"/>
  <c r="DF834" i="3"/>
  <c r="DE834" i="3"/>
  <c r="DD834" i="3"/>
  <c r="DC834" i="3"/>
  <c r="DB834" i="3"/>
  <c r="DA834" i="3"/>
  <c r="CZ834" i="3"/>
  <c r="CY834" i="3"/>
  <c r="CX834" i="3"/>
  <c r="CW834" i="3"/>
  <c r="CV834" i="3"/>
  <c r="CU834" i="3"/>
  <c r="CT834" i="3"/>
  <c r="CS834" i="3"/>
  <c r="CR834" i="3"/>
  <c r="CQ834" i="3"/>
  <c r="CP834" i="3"/>
  <c r="CO834" i="3"/>
  <c r="CN834" i="3"/>
  <c r="CM834" i="3"/>
  <c r="CL834" i="3"/>
  <c r="CK834" i="3"/>
  <c r="CJ834" i="3"/>
  <c r="CI834" i="3"/>
  <c r="CH834" i="3"/>
  <c r="CG834" i="3"/>
  <c r="CF834" i="3"/>
  <c r="CE834" i="3"/>
  <c r="CD834" i="3"/>
  <c r="CC834" i="3"/>
  <c r="CB834" i="3"/>
  <c r="CA834" i="3"/>
  <c r="BZ834" i="3"/>
  <c r="BY834" i="3"/>
  <c r="BX834" i="3"/>
  <c r="BW834" i="3"/>
  <c r="BV834" i="3"/>
  <c r="BU834" i="3"/>
  <c r="BT834" i="3"/>
  <c r="BS834" i="3"/>
  <c r="BR834" i="3"/>
  <c r="BQ834" i="3"/>
  <c r="BP834" i="3"/>
  <c r="BO834" i="3"/>
  <c r="BN834" i="3"/>
  <c r="DU833" i="3"/>
  <c r="DT833" i="3"/>
  <c r="DS833" i="3"/>
  <c r="DR833" i="3"/>
  <c r="DQ833" i="3"/>
  <c r="DP833" i="3"/>
  <c r="DO833" i="3"/>
  <c r="DN833" i="3"/>
  <c r="DM833" i="3"/>
  <c r="DL833" i="3"/>
  <c r="DK833" i="3"/>
  <c r="DJ833" i="3"/>
  <c r="DI833" i="3"/>
  <c r="DH833" i="3"/>
  <c r="DG833" i="3"/>
  <c r="DF833" i="3"/>
  <c r="DE833" i="3"/>
  <c r="DD833" i="3"/>
  <c r="DC833" i="3"/>
  <c r="DB833" i="3"/>
  <c r="DA833" i="3"/>
  <c r="CZ833" i="3"/>
  <c r="CY833" i="3"/>
  <c r="CX833" i="3"/>
  <c r="CW833" i="3"/>
  <c r="CV833" i="3"/>
  <c r="CU833" i="3"/>
  <c r="CT833" i="3"/>
  <c r="CS833" i="3"/>
  <c r="CR833" i="3"/>
  <c r="CQ833" i="3"/>
  <c r="CP833" i="3"/>
  <c r="CO833" i="3"/>
  <c r="CN833" i="3"/>
  <c r="CM833" i="3"/>
  <c r="CL833" i="3"/>
  <c r="CK833" i="3"/>
  <c r="CJ833" i="3"/>
  <c r="CI833" i="3"/>
  <c r="CH833" i="3"/>
  <c r="CG833" i="3"/>
  <c r="CF833" i="3"/>
  <c r="CE833" i="3"/>
  <c r="CD833" i="3"/>
  <c r="CC833" i="3"/>
  <c r="CB833" i="3"/>
  <c r="CA833" i="3"/>
  <c r="BZ833" i="3"/>
  <c r="BY833" i="3"/>
  <c r="BX833" i="3"/>
  <c r="BW833" i="3"/>
  <c r="BV833" i="3"/>
  <c r="BU833" i="3"/>
  <c r="BT833" i="3"/>
  <c r="BS833" i="3"/>
  <c r="BR833" i="3"/>
  <c r="BQ833" i="3"/>
  <c r="BP833" i="3"/>
  <c r="BO833" i="3"/>
  <c r="BN833" i="3"/>
  <c r="DU832" i="3"/>
  <c r="DT832" i="3"/>
  <c r="DS832" i="3"/>
  <c r="DR832" i="3"/>
  <c r="DQ832" i="3"/>
  <c r="DP832" i="3"/>
  <c r="DO832" i="3"/>
  <c r="DN832" i="3"/>
  <c r="DM832" i="3"/>
  <c r="DL832" i="3"/>
  <c r="DK832" i="3"/>
  <c r="DJ832" i="3"/>
  <c r="DI832" i="3"/>
  <c r="DH832" i="3"/>
  <c r="DG832" i="3"/>
  <c r="DF832" i="3"/>
  <c r="DE832" i="3"/>
  <c r="DD832" i="3"/>
  <c r="DC832" i="3"/>
  <c r="DB832" i="3"/>
  <c r="DA832" i="3"/>
  <c r="CZ832" i="3"/>
  <c r="CY832" i="3"/>
  <c r="CX832" i="3"/>
  <c r="CW832" i="3"/>
  <c r="CV832" i="3"/>
  <c r="CU832" i="3"/>
  <c r="CT832" i="3"/>
  <c r="CS832" i="3"/>
  <c r="CR832" i="3"/>
  <c r="CQ832" i="3"/>
  <c r="CP832" i="3"/>
  <c r="CO832" i="3"/>
  <c r="CN832" i="3"/>
  <c r="CM832" i="3"/>
  <c r="CL832" i="3"/>
  <c r="CK832" i="3"/>
  <c r="CJ832" i="3"/>
  <c r="CI832" i="3"/>
  <c r="CH832" i="3"/>
  <c r="CG832" i="3"/>
  <c r="CF832" i="3"/>
  <c r="CE832" i="3"/>
  <c r="CD832" i="3"/>
  <c r="CC832" i="3"/>
  <c r="CB832" i="3"/>
  <c r="CA832" i="3"/>
  <c r="BZ832" i="3"/>
  <c r="BY832" i="3"/>
  <c r="BX832" i="3"/>
  <c r="BW832" i="3"/>
  <c r="BV832" i="3"/>
  <c r="BU832" i="3"/>
  <c r="BT832" i="3"/>
  <c r="BS832" i="3"/>
  <c r="BR832" i="3"/>
  <c r="BQ832" i="3"/>
  <c r="BP832" i="3"/>
  <c r="BO832" i="3"/>
  <c r="BN832" i="3"/>
  <c r="DU831" i="3"/>
  <c r="DT831" i="3"/>
  <c r="DS831" i="3"/>
  <c r="DR831" i="3"/>
  <c r="DQ831" i="3"/>
  <c r="DP831" i="3"/>
  <c r="DO831" i="3"/>
  <c r="DN831" i="3"/>
  <c r="DM831" i="3"/>
  <c r="DL831" i="3"/>
  <c r="DK831" i="3"/>
  <c r="DJ831" i="3"/>
  <c r="DI831" i="3"/>
  <c r="DH831" i="3"/>
  <c r="DG831" i="3"/>
  <c r="DF831" i="3"/>
  <c r="DE831" i="3"/>
  <c r="DD831" i="3"/>
  <c r="DC831" i="3"/>
  <c r="DB831" i="3"/>
  <c r="DA831" i="3"/>
  <c r="CZ831" i="3"/>
  <c r="CY831" i="3"/>
  <c r="CX831" i="3"/>
  <c r="CW831" i="3"/>
  <c r="CV831" i="3"/>
  <c r="CU831" i="3"/>
  <c r="CT831" i="3"/>
  <c r="CS831" i="3"/>
  <c r="CR831" i="3"/>
  <c r="CQ831" i="3"/>
  <c r="CP831" i="3"/>
  <c r="CO831" i="3"/>
  <c r="CN831" i="3"/>
  <c r="CM831" i="3"/>
  <c r="CL831" i="3"/>
  <c r="CK831" i="3"/>
  <c r="CJ831" i="3"/>
  <c r="CI831" i="3"/>
  <c r="CH831" i="3"/>
  <c r="CG831" i="3"/>
  <c r="CF831" i="3"/>
  <c r="CE831" i="3"/>
  <c r="CD831" i="3"/>
  <c r="CC831" i="3"/>
  <c r="CB831" i="3"/>
  <c r="CA831" i="3"/>
  <c r="BZ831" i="3"/>
  <c r="BY831" i="3"/>
  <c r="BX831" i="3"/>
  <c r="BW831" i="3"/>
  <c r="BV831" i="3"/>
  <c r="BU831" i="3"/>
  <c r="BT831" i="3"/>
  <c r="BS831" i="3"/>
  <c r="BR831" i="3"/>
  <c r="BQ831" i="3"/>
  <c r="BP831" i="3"/>
  <c r="BO831" i="3"/>
  <c r="BN831" i="3"/>
  <c r="DU830" i="3"/>
  <c r="DT830" i="3"/>
  <c r="DS830" i="3"/>
  <c r="DR830" i="3"/>
  <c r="DQ830" i="3"/>
  <c r="DP830" i="3"/>
  <c r="DO830" i="3"/>
  <c r="DN830" i="3"/>
  <c r="DM830" i="3"/>
  <c r="DL830" i="3"/>
  <c r="DK830" i="3"/>
  <c r="DJ830" i="3"/>
  <c r="DI830" i="3"/>
  <c r="DH830" i="3"/>
  <c r="DG830" i="3"/>
  <c r="DF830" i="3"/>
  <c r="DE830" i="3"/>
  <c r="DD830" i="3"/>
  <c r="DC830" i="3"/>
  <c r="DB830" i="3"/>
  <c r="DA830" i="3"/>
  <c r="CZ830" i="3"/>
  <c r="CY830" i="3"/>
  <c r="CX830" i="3"/>
  <c r="CW830" i="3"/>
  <c r="CV830" i="3"/>
  <c r="CU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CC830" i="3"/>
  <c r="CB830" i="3"/>
  <c r="CA830" i="3"/>
  <c r="BZ830" i="3"/>
  <c r="BY830" i="3"/>
  <c r="BX830" i="3"/>
  <c r="BW830" i="3"/>
  <c r="BV830" i="3"/>
  <c r="BU830" i="3"/>
  <c r="BT830" i="3"/>
  <c r="BS830" i="3"/>
  <c r="BR830" i="3"/>
  <c r="BQ830" i="3"/>
  <c r="BP830" i="3"/>
  <c r="BO830" i="3"/>
  <c r="BN830" i="3"/>
  <c r="DU829" i="3"/>
  <c r="DT829" i="3"/>
  <c r="DS829" i="3"/>
  <c r="DR829" i="3"/>
  <c r="DQ829" i="3"/>
  <c r="DP829" i="3"/>
  <c r="DO829" i="3"/>
  <c r="DN829" i="3"/>
  <c r="DM829" i="3"/>
  <c r="DL829" i="3"/>
  <c r="DK829" i="3"/>
  <c r="DJ829" i="3"/>
  <c r="DI829" i="3"/>
  <c r="DH829" i="3"/>
  <c r="DG829" i="3"/>
  <c r="DF829" i="3"/>
  <c r="DE829" i="3"/>
  <c r="DD829" i="3"/>
  <c r="DC829" i="3"/>
  <c r="DB829" i="3"/>
  <c r="DA829" i="3"/>
  <c r="CZ829" i="3"/>
  <c r="CY829" i="3"/>
  <c r="CX829" i="3"/>
  <c r="CW829" i="3"/>
  <c r="CV829" i="3"/>
  <c r="CU829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C829" i="3"/>
  <c r="CB829" i="3"/>
  <c r="CA829" i="3"/>
  <c r="BZ829" i="3"/>
  <c r="BY829" i="3"/>
  <c r="BX829" i="3"/>
  <c r="BW829" i="3"/>
  <c r="BV829" i="3"/>
  <c r="BU829" i="3"/>
  <c r="BT829" i="3"/>
  <c r="BS829" i="3"/>
  <c r="BR829" i="3"/>
  <c r="BQ829" i="3"/>
  <c r="BP829" i="3"/>
  <c r="BO829" i="3"/>
  <c r="BN829" i="3"/>
  <c r="DU828" i="3"/>
  <c r="DT828" i="3"/>
  <c r="DS828" i="3"/>
  <c r="DR828" i="3"/>
  <c r="DQ828" i="3"/>
  <c r="DP828" i="3"/>
  <c r="DO828" i="3"/>
  <c r="DN828" i="3"/>
  <c r="DM828" i="3"/>
  <c r="DL828" i="3"/>
  <c r="DK828" i="3"/>
  <c r="DJ828" i="3"/>
  <c r="DI828" i="3"/>
  <c r="DH828" i="3"/>
  <c r="DG828" i="3"/>
  <c r="DF828" i="3"/>
  <c r="DE828" i="3"/>
  <c r="DD828" i="3"/>
  <c r="DC828" i="3"/>
  <c r="DB828" i="3"/>
  <c r="DA828" i="3"/>
  <c r="CZ828" i="3"/>
  <c r="CY828" i="3"/>
  <c r="CX828" i="3"/>
  <c r="CW828" i="3"/>
  <c r="CV828" i="3"/>
  <c r="CU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CC828" i="3"/>
  <c r="CB828" i="3"/>
  <c r="CA828" i="3"/>
  <c r="BZ828" i="3"/>
  <c r="BY828" i="3"/>
  <c r="BX828" i="3"/>
  <c r="BW828" i="3"/>
  <c r="BV828" i="3"/>
  <c r="BU828" i="3"/>
  <c r="BT828" i="3"/>
  <c r="BS828" i="3"/>
  <c r="BR828" i="3"/>
  <c r="BQ828" i="3"/>
  <c r="BP828" i="3"/>
  <c r="BO828" i="3"/>
  <c r="BN828" i="3"/>
  <c r="DU827" i="3"/>
  <c r="DT827" i="3"/>
  <c r="DS827" i="3"/>
  <c r="DR827" i="3"/>
  <c r="DQ827" i="3"/>
  <c r="DP827" i="3"/>
  <c r="DO827" i="3"/>
  <c r="DN827" i="3"/>
  <c r="DM827" i="3"/>
  <c r="DL827" i="3"/>
  <c r="DK827" i="3"/>
  <c r="DJ827" i="3"/>
  <c r="DI827" i="3"/>
  <c r="DH827" i="3"/>
  <c r="DG827" i="3"/>
  <c r="DF827" i="3"/>
  <c r="DE827" i="3"/>
  <c r="DD827" i="3"/>
  <c r="DC827" i="3"/>
  <c r="DB827" i="3"/>
  <c r="DA827" i="3"/>
  <c r="CZ827" i="3"/>
  <c r="CY827" i="3"/>
  <c r="CX827" i="3"/>
  <c r="CW827" i="3"/>
  <c r="CV827" i="3"/>
  <c r="CU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C827" i="3"/>
  <c r="CB827" i="3"/>
  <c r="CA827" i="3"/>
  <c r="BZ827" i="3"/>
  <c r="BY827" i="3"/>
  <c r="BX827" i="3"/>
  <c r="BW827" i="3"/>
  <c r="BV827" i="3"/>
  <c r="BU827" i="3"/>
  <c r="BT827" i="3"/>
  <c r="BS827" i="3"/>
  <c r="BR827" i="3"/>
  <c r="BQ827" i="3"/>
  <c r="BP827" i="3"/>
  <c r="BO827" i="3"/>
  <c r="BN827" i="3"/>
  <c r="DU826" i="3"/>
  <c r="DT826" i="3"/>
  <c r="DS826" i="3"/>
  <c r="DR826" i="3"/>
  <c r="DQ826" i="3"/>
  <c r="DP826" i="3"/>
  <c r="DO826" i="3"/>
  <c r="DN826" i="3"/>
  <c r="DM826" i="3"/>
  <c r="DL826" i="3"/>
  <c r="DK826" i="3"/>
  <c r="DJ826" i="3"/>
  <c r="DI826" i="3"/>
  <c r="DH826" i="3"/>
  <c r="DG826" i="3"/>
  <c r="DF826" i="3"/>
  <c r="DE826" i="3"/>
  <c r="DD826" i="3"/>
  <c r="DC826" i="3"/>
  <c r="DB826" i="3"/>
  <c r="DA826" i="3"/>
  <c r="CZ826" i="3"/>
  <c r="CY826" i="3"/>
  <c r="CX826" i="3"/>
  <c r="CW826" i="3"/>
  <c r="CV826" i="3"/>
  <c r="CU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C826" i="3"/>
  <c r="CB826" i="3"/>
  <c r="CA826" i="3"/>
  <c r="BZ826" i="3"/>
  <c r="BY826" i="3"/>
  <c r="BX826" i="3"/>
  <c r="BW826" i="3"/>
  <c r="BV826" i="3"/>
  <c r="BU826" i="3"/>
  <c r="BT826" i="3"/>
  <c r="BS826" i="3"/>
  <c r="BR826" i="3"/>
  <c r="BQ826" i="3"/>
  <c r="BP826" i="3"/>
  <c r="BO826" i="3"/>
  <c r="BN826" i="3"/>
  <c r="DU825" i="3"/>
  <c r="DT825" i="3"/>
  <c r="DS825" i="3"/>
  <c r="DR825" i="3"/>
  <c r="DQ825" i="3"/>
  <c r="DP825" i="3"/>
  <c r="DO825" i="3"/>
  <c r="DN825" i="3"/>
  <c r="DM825" i="3"/>
  <c r="DL825" i="3"/>
  <c r="DK825" i="3"/>
  <c r="DJ825" i="3"/>
  <c r="DI825" i="3"/>
  <c r="DH825" i="3"/>
  <c r="DG825" i="3"/>
  <c r="DF825" i="3"/>
  <c r="DE825" i="3"/>
  <c r="DD825" i="3"/>
  <c r="DC825" i="3"/>
  <c r="DB825" i="3"/>
  <c r="DA825" i="3"/>
  <c r="CZ825" i="3"/>
  <c r="CY825" i="3"/>
  <c r="CX825" i="3"/>
  <c r="CW825" i="3"/>
  <c r="CV825" i="3"/>
  <c r="CU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C825" i="3"/>
  <c r="CB825" i="3"/>
  <c r="CA825" i="3"/>
  <c r="BZ825" i="3"/>
  <c r="BY825" i="3"/>
  <c r="BX825" i="3"/>
  <c r="BW825" i="3"/>
  <c r="BV825" i="3"/>
  <c r="BU825" i="3"/>
  <c r="BT825" i="3"/>
  <c r="BS825" i="3"/>
  <c r="BR825" i="3"/>
  <c r="BQ825" i="3"/>
  <c r="BP825" i="3"/>
  <c r="BO825" i="3"/>
  <c r="BN825" i="3"/>
  <c r="DU824" i="3"/>
  <c r="DT824" i="3"/>
  <c r="DS824" i="3"/>
  <c r="DR824" i="3"/>
  <c r="DQ824" i="3"/>
  <c r="DP824" i="3"/>
  <c r="DO824" i="3"/>
  <c r="DN824" i="3"/>
  <c r="DM824" i="3"/>
  <c r="DL824" i="3"/>
  <c r="DK824" i="3"/>
  <c r="DJ824" i="3"/>
  <c r="DI824" i="3"/>
  <c r="DH824" i="3"/>
  <c r="DG824" i="3"/>
  <c r="DF824" i="3"/>
  <c r="DE824" i="3"/>
  <c r="DD824" i="3"/>
  <c r="DC824" i="3"/>
  <c r="DB824" i="3"/>
  <c r="DA824" i="3"/>
  <c r="CZ824" i="3"/>
  <c r="CY824" i="3"/>
  <c r="CX824" i="3"/>
  <c r="CW824" i="3"/>
  <c r="CV824" i="3"/>
  <c r="CU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C824" i="3"/>
  <c r="CB824" i="3"/>
  <c r="CA824" i="3"/>
  <c r="BZ824" i="3"/>
  <c r="BY824" i="3"/>
  <c r="BX824" i="3"/>
  <c r="BW824" i="3"/>
  <c r="BV824" i="3"/>
  <c r="BU824" i="3"/>
  <c r="BT824" i="3"/>
  <c r="BS824" i="3"/>
  <c r="BR824" i="3"/>
  <c r="BQ824" i="3"/>
  <c r="BP824" i="3"/>
  <c r="BO824" i="3"/>
  <c r="BN824" i="3"/>
  <c r="DU823" i="3"/>
  <c r="DT823" i="3"/>
  <c r="DS823" i="3"/>
  <c r="DR823" i="3"/>
  <c r="DQ823" i="3"/>
  <c r="DP823" i="3"/>
  <c r="DO823" i="3"/>
  <c r="DN823" i="3"/>
  <c r="DM823" i="3"/>
  <c r="DL823" i="3"/>
  <c r="DK823" i="3"/>
  <c r="DJ823" i="3"/>
  <c r="DI823" i="3"/>
  <c r="DH823" i="3"/>
  <c r="DG823" i="3"/>
  <c r="DF823" i="3"/>
  <c r="DE823" i="3"/>
  <c r="DD823" i="3"/>
  <c r="DC823" i="3"/>
  <c r="DB823" i="3"/>
  <c r="DA823" i="3"/>
  <c r="CZ823" i="3"/>
  <c r="CY823" i="3"/>
  <c r="CX823" i="3"/>
  <c r="CW823" i="3"/>
  <c r="CV823" i="3"/>
  <c r="CU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C823" i="3"/>
  <c r="CB823" i="3"/>
  <c r="CA823" i="3"/>
  <c r="BZ823" i="3"/>
  <c r="BY823" i="3"/>
  <c r="BX823" i="3"/>
  <c r="BW823" i="3"/>
  <c r="BV823" i="3"/>
  <c r="BU823" i="3"/>
  <c r="BT823" i="3"/>
  <c r="BS823" i="3"/>
  <c r="BR823" i="3"/>
  <c r="BQ823" i="3"/>
  <c r="BP823" i="3"/>
  <c r="BO823" i="3"/>
  <c r="BN823" i="3"/>
  <c r="DU822" i="3"/>
  <c r="DT822" i="3"/>
  <c r="DS822" i="3"/>
  <c r="DR822" i="3"/>
  <c r="DQ822" i="3"/>
  <c r="DP822" i="3"/>
  <c r="DO822" i="3"/>
  <c r="DN822" i="3"/>
  <c r="DM822" i="3"/>
  <c r="DL822" i="3"/>
  <c r="DK822" i="3"/>
  <c r="DJ822" i="3"/>
  <c r="DI822" i="3"/>
  <c r="DH822" i="3"/>
  <c r="DG822" i="3"/>
  <c r="DF822" i="3"/>
  <c r="DE822" i="3"/>
  <c r="DD822" i="3"/>
  <c r="DC822" i="3"/>
  <c r="DB822" i="3"/>
  <c r="DA822" i="3"/>
  <c r="CZ822" i="3"/>
  <c r="CY822" i="3"/>
  <c r="CX822" i="3"/>
  <c r="CW822" i="3"/>
  <c r="CV822" i="3"/>
  <c r="CU822" i="3"/>
  <c r="CT822" i="3"/>
  <c r="CS822" i="3"/>
  <c r="CR822" i="3"/>
  <c r="CQ822" i="3"/>
  <c r="CP822" i="3"/>
  <c r="CO822" i="3"/>
  <c r="CN822" i="3"/>
  <c r="CM822" i="3"/>
  <c r="CL822" i="3"/>
  <c r="CK822" i="3"/>
  <c r="CJ822" i="3"/>
  <c r="CI822" i="3"/>
  <c r="CH822" i="3"/>
  <c r="CG822" i="3"/>
  <c r="CF822" i="3"/>
  <c r="CE822" i="3"/>
  <c r="CD822" i="3"/>
  <c r="CC822" i="3"/>
  <c r="CB822" i="3"/>
  <c r="CA822" i="3"/>
  <c r="BZ822" i="3"/>
  <c r="BY822" i="3"/>
  <c r="BX822" i="3"/>
  <c r="BW822" i="3"/>
  <c r="BV822" i="3"/>
  <c r="BU822" i="3"/>
  <c r="BT822" i="3"/>
  <c r="BS822" i="3"/>
  <c r="BR822" i="3"/>
  <c r="BQ822" i="3"/>
  <c r="BP822" i="3"/>
  <c r="BO822" i="3"/>
  <c r="BN822" i="3"/>
  <c r="DU821" i="3"/>
  <c r="DT821" i="3"/>
  <c r="DS821" i="3"/>
  <c r="DR821" i="3"/>
  <c r="DQ821" i="3"/>
  <c r="DP821" i="3"/>
  <c r="DO821" i="3"/>
  <c r="DN821" i="3"/>
  <c r="DM821" i="3"/>
  <c r="DL821" i="3"/>
  <c r="DK821" i="3"/>
  <c r="DJ821" i="3"/>
  <c r="DI821" i="3"/>
  <c r="DH821" i="3"/>
  <c r="DG821" i="3"/>
  <c r="DF821" i="3"/>
  <c r="DE821" i="3"/>
  <c r="DD821" i="3"/>
  <c r="DC821" i="3"/>
  <c r="DB821" i="3"/>
  <c r="DA821" i="3"/>
  <c r="CZ821" i="3"/>
  <c r="CY821" i="3"/>
  <c r="CX821" i="3"/>
  <c r="CW821" i="3"/>
  <c r="CV821" i="3"/>
  <c r="CU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CC821" i="3"/>
  <c r="CB821" i="3"/>
  <c r="CA821" i="3"/>
  <c r="BZ821" i="3"/>
  <c r="BY821" i="3"/>
  <c r="BX821" i="3"/>
  <c r="BW821" i="3"/>
  <c r="BV821" i="3"/>
  <c r="BU821" i="3"/>
  <c r="BT821" i="3"/>
  <c r="BS821" i="3"/>
  <c r="BR821" i="3"/>
  <c r="BQ821" i="3"/>
  <c r="BP821" i="3"/>
  <c r="BO821" i="3"/>
  <c r="BN821" i="3"/>
  <c r="DU820" i="3"/>
  <c r="DT820" i="3"/>
  <c r="DS820" i="3"/>
  <c r="DR820" i="3"/>
  <c r="DQ820" i="3"/>
  <c r="DP820" i="3"/>
  <c r="DO820" i="3"/>
  <c r="DN820" i="3"/>
  <c r="DM820" i="3"/>
  <c r="DL820" i="3"/>
  <c r="DK820" i="3"/>
  <c r="DJ820" i="3"/>
  <c r="DI820" i="3"/>
  <c r="DH820" i="3"/>
  <c r="DG820" i="3"/>
  <c r="DF820" i="3"/>
  <c r="DE820" i="3"/>
  <c r="DD820" i="3"/>
  <c r="DC820" i="3"/>
  <c r="DB820" i="3"/>
  <c r="DA820" i="3"/>
  <c r="CZ820" i="3"/>
  <c r="CY820" i="3"/>
  <c r="CX820" i="3"/>
  <c r="CW820" i="3"/>
  <c r="CV820" i="3"/>
  <c r="CU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C820" i="3"/>
  <c r="CB820" i="3"/>
  <c r="CA820" i="3"/>
  <c r="BZ820" i="3"/>
  <c r="BY820" i="3"/>
  <c r="BX820" i="3"/>
  <c r="BW820" i="3"/>
  <c r="BV820" i="3"/>
  <c r="BU820" i="3"/>
  <c r="BT820" i="3"/>
  <c r="BS820" i="3"/>
  <c r="BR820" i="3"/>
  <c r="BQ820" i="3"/>
  <c r="BP820" i="3"/>
  <c r="BO820" i="3"/>
  <c r="BN820" i="3"/>
  <c r="DU819" i="3"/>
  <c r="DT819" i="3"/>
  <c r="DS819" i="3"/>
  <c r="DR819" i="3"/>
  <c r="DQ819" i="3"/>
  <c r="DP819" i="3"/>
  <c r="DO819" i="3"/>
  <c r="DN819" i="3"/>
  <c r="DM819" i="3"/>
  <c r="DL819" i="3"/>
  <c r="DK819" i="3"/>
  <c r="DJ819" i="3"/>
  <c r="DI819" i="3"/>
  <c r="DH819" i="3"/>
  <c r="DG819" i="3"/>
  <c r="DF819" i="3"/>
  <c r="DE819" i="3"/>
  <c r="DD819" i="3"/>
  <c r="DC819" i="3"/>
  <c r="DB819" i="3"/>
  <c r="DA819" i="3"/>
  <c r="CZ819" i="3"/>
  <c r="CY819" i="3"/>
  <c r="CX819" i="3"/>
  <c r="CW819" i="3"/>
  <c r="CV819" i="3"/>
  <c r="CU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C819" i="3"/>
  <c r="CB819" i="3"/>
  <c r="CA819" i="3"/>
  <c r="BZ819" i="3"/>
  <c r="BY819" i="3"/>
  <c r="BX819" i="3"/>
  <c r="BW819" i="3"/>
  <c r="BV819" i="3"/>
  <c r="BU819" i="3"/>
  <c r="BT819" i="3"/>
  <c r="BS819" i="3"/>
  <c r="BR819" i="3"/>
  <c r="BQ819" i="3"/>
  <c r="BP819" i="3"/>
  <c r="BO819" i="3"/>
  <c r="BN819" i="3"/>
  <c r="DU818" i="3"/>
  <c r="DT818" i="3"/>
  <c r="DS818" i="3"/>
  <c r="DR818" i="3"/>
  <c r="DQ818" i="3"/>
  <c r="DP818" i="3"/>
  <c r="DO818" i="3"/>
  <c r="DN818" i="3"/>
  <c r="DM818" i="3"/>
  <c r="DL818" i="3"/>
  <c r="DK818" i="3"/>
  <c r="DJ818" i="3"/>
  <c r="DI818" i="3"/>
  <c r="DH818" i="3"/>
  <c r="DG818" i="3"/>
  <c r="DF818" i="3"/>
  <c r="DE818" i="3"/>
  <c r="DD818" i="3"/>
  <c r="DC818" i="3"/>
  <c r="DB818" i="3"/>
  <c r="DA818" i="3"/>
  <c r="CZ818" i="3"/>
  <c r="CY818" i="3"/>
  <c r="CX818" i="3"/>
  <c r="CW818" i="3"/>
  <c r="CV818" i="3"/>
  <c r="CU818" i="3"/>
  <c r="CT818" i="3"/>
  <c r="CS818" i="3"/>
  <c r="CR818" i="3"/>
  <c r="CQ818" i="3"/>
  <c r="CP818" i="3"/>
  <c r="CO818" i="3"/>
  <c r="CN818" i="3"/>
  <c r="CM818" i="3"/>
  <c r="CL818" i="3"/>
  <c r="CK818" i="3"/>
  <c r="CJ818" i="3"/>
  <c r="CI818" i="3"/>
  <c r="CH818" i="3"/>
  <c r="CG818" i="3"/>
  <c r="CF818" i="3"/>
  <c r="CE818" i="3"/>
  <c r="CD818" i="3"/>
  <c r="CC818" i="3"/>
  <c r="CB818" i="3"/>
  <c r="CA818" i="3"/>
  <c r="BZ818" i="3"/>
  <c r="BY818" i="3"/>
  <c r="BX818" i="3"/>
  <c r="BW818" i="3"/>
  <c r="BV818" i="3"/>
  <c r="BU818" i="3"/>
  <c r="BT818" i="3"/>
  <c r="BS818" i="3"/>
  <c r="BR818" i="3"/>
  <c r="BQ818" i="3"/>
  <c r="BP818" i="3"/>
  <c r="BO818" i="3"/>
  <c r="BN818" i="3"/>
  <c r="DU817" i="3"/>
  <c r="DT817" i="3"/>
  <c r="DS817" i="3"/>
  <c r="DR817" i="3"/>
  <c r="DQ817" i="3"/>
  <c r="DP817" i="3"/>
  <c r="DO817" i="3"/>
  <c r="DN817" i="3"/>
  <c r="DM817" i="3"/>
  <c r="DL817" i="3"/>
  <c r="DK817" i="3"/>
  <c r="DJ817" i="3"/>
  <c r="DI817" i="3"/>
  <c r="DH817" i="3"/>
  <c r="DG817" i="3"/>
  <c r="DF817" i="3"/>
  <c r="DE817" i="3"/>
  <c r="DD817" i="3"/>
  <c r="DC817" i="3"/>
  <c r="DB817" i="3"/>
  <c r="DA817" i="3"/>
  <c r="CZ817" i="3"/>
  <c r="CY817" i="3"/>
  <c r="CX817" i="3"/>
  <c r="CW817" i="3"/>
  <c r="CV817" i="3"/>
  <c r="CU817" i="3"/>
  <c r="CT817" i="3"/>
  <c r="CS817" i="3"/>
  <c r="CR817" i="3"/>
  <c r="CQ817" i="3"/>
  <c r="CP817" i="3"/>
  <c r="CO817" i="3"/>
  <c r="CN817" i="3"/>
  <c r="CM817" i="3"/>
  <c r="CL817" i="3"/>
  <c r="CK817" i="3"/>
  <c r="CJ817" i="3"/>
  <c r="CI817" i="3"/>
  <c r="CH817" i="3"/>
  <c r="CG817" i="3"/>
  <c r="CF817" i="3"/>
  <c r="CE817" i="3"/>
  <c r="CD817" i="3"/>
  <c r="CC817" i="3"/>
  <c r="CB817" i="3"/>
  <c r="CA817" i="3"/>
  <c r="BZ817" i="3"/>
  <c r="BY817" i="3"/>
  <c r="BX817" i="3"/>
  <c r="BW817" i="3"/>
  <c r="BV817" i="3"/>
  <c r="BU817" i="3"/>
  <c r="BT817" i="3"/>
  <c r="BS817" i="3"/>
  <c r="BR817" i="3"/>
  <c r="BQ817" i="3"/>
  <c r="BP817" i="3"/>
  <c r="BO817" i="3"/>
  <c r="BN817" i="3"/>
  <c r="DU816" i="3"/>
  <c r="DT816" i="3"/>
  <c r="DS816" i="3"/>
  <c r="DR816" i="3"/>
  <c r="DQ816" i="3"/>
  <c r="DP816" i="3"/>
  <c r="DO816" i="3"/>
  <c r="DN816" i="3"/>
  <c r="DM816" i="3"/>
  <c r="DL816" i="3"/>
  <c r="DK816" i="3"/>
  <c r="DJ816" i="3"/>
  <c r="DI816" i="3"/>
  <c r="DH816" i="3"/>
  <c r="DG816" i="3"/>
  <c r="DF816" i="3"/>
  <c r="DE816" i="3"/>
  <c r="DD816" i="3"/>
  <c r="DC816" i="3"/>
  <c r="DB816" i="3"/>
  <c r="DA816" i="3"/>
  <c r="CZ816" i="3"/>
  <c r="CY816" i="3"/>
  <c r="CX816" i="3"/>
  <c r="CW816" i="3"/>
  <c r="CV816" i="3"/>
  <c r="CU816" i="3"/>
  <c r="CT816" i="3"/>
  <c r="CS816" i="3"/>
  <c r="CR816" i="3"/>
  <c r="CQ816" i="3"/>
  <c r="CP816" i="3"/>
  <c r="CO816" i="3"/>
  <c r="CN816" i="3"/>
  <c r="CM816" i="3"/>
  <c r="CL816" i="3"/>
  <c r="CK816" i="3"/>
  <c r="CJ816" i="3"/>
  <c r="CI816" i="3"/>
  <c r="CH816" i="3"/>
  <c r="CG816" i="3"/>
  <c r="CF816" i="3"/>
  <c r="CE816" i="3"/>
  <c r="CD816" i="3"/>
  <c r="CC816" i="3"/>
  <c r="CB816" i="3"/>
  <c r="CA816" i="3"/>
  <c r="BZ816" i="3"/>
  <c r="BY816" i="3"/>
  <c r="BX816" i="3"/>
  <c r="BW816" i="3"/>
  <c r="BV816" i="3"/>
  <c r="BU816" i="3"/>
  <c r="BT816" i="3"/>
  <c r="BS816" i="3"/>
  <c r="BR816" i="3"/>
  <c r="BQ816" i="3"/>
  <c r="BP816" i="3"/>
  <c r="BO816" i="3"/>
  <c r="BN816" i="3"/>
  <c r="DU815" i="3"/>
  <c r="DT815" i="3"/>
  <c r="DS815" i="3"/>
  <c r="DR815" i="3"/>
  <c r="DQ815" i="3"/>
  <c r="DP815" i="3"/>
  <c r="DO815" i="3"/>
  <c r="DN815" i="3"/>
  <c r="DM815" i="3"/>
  <c r="DL815" i="3"/>
  <c r="DK815" i="3"/>
  <c r="DJ815" i="3"/>
  <c r="DI815" i="3"/>
  <c r="DH815" i="3"/>
  <c r="DG815" i="3"/>
  <c r="DF815" i="3"/>
  <c r="DE815" i="3"/>
  <c r="DD815" i="3"/>
  <c r="DC815" i="3"/>
  <c r="DB815" i="3"/>
  <c r="DA815" i="3"/>
  <c r="CZ815" i="3"/>
  <c r="CY815" i="3"/>
  <c r="CX815" i="3"/>
  <c r="CW815" i="3"/>
  <c r="CV815" i="3"/>
  <c r="CU815" i="3"/>
  <c r="CT815" i="3"/>
  <c r="CS815" i="3"/>
  <c r="CR815" i="3"/>
  <c r="CQ815" i="3"/>
  <c r="CP815" i="3"/>
  <c r="CO815" i="3"/>
  <c r="CN815" i="3"/>
  <c r="CM815" i="3"/>
  <c r="CL815" i="3"/>
  <c r="CK815" i="3"/>
  <c r="CJ815" i="3"/>
  <c r="CI815" i="3"/>
  <c r="CH815" i="3"/>
  <c r="CG815" i="3"/>
  <c r="CF815" i="3"/>
  <c r="CE815" i="3"/>
  <c r="CD815" i="3"/>
  <c r="CC815" i="3"/>
  <c r="CB815" i="3"/>
  <c r="CA815" i="3"/>
  <c r="BZ815" i="3"/>
  <c r="BY815" i="3"/>
  <c r="BX815" i="3"/>
  <c r="BW815" i="3"/>
  <c r="BV815" i="3"/>
  <c r="BU815" i="3"/>
  <c r="BT815" i="3"/>
  <c r="BS815" i="3"/>
  <c r="BR815" i="3"/>
  <c r="BQ815" i="3"/>
  <c r="BP815" i="3"/>
  <c r="BO815" i="3"/>
  <c r="BN815" i="3"/>
  <c r="DU814" i="3"/>
  <c r="DT814" i="3"/>
  <c r="DS814" i="3"/>
  <c r="DR814" i="3"/>
  <c r="DQ814" i="3"/>
  <c r="DP814" i="3"/>
  <c r="DO814" i="3"/>
  <c r="DN814" i="3"/>
  <c r="DM814" i="3"/>
  <c r="DL814" i="3"/>
  <c r="DK814" i="3"/>
  <c r="DJ814" i="3"/>
  <c r="DI814" i="3"/>
  <c r="DH814" i="3"/>
  <c r="DG814" i="3"/>
  <c r="DF814" i="3"/>
  <c r="DE814" i="3"/>
  <c r="DD814" i="3"/>
  <c r="DC814" i="3"/>
  <c r="DB814" i="3"/>
  <c r="DA814" i="3"/>
  <c r="CZ814" i="3"/>
  <c r="CY814" i="3"/>
  <c r="CX814" i="3"/>
  <c r="CW814" i="3"/>
  <c r="CV814" i="3"/>
  <c r="CU814" i="3"/>
  <c r="CT814" i="3"/>
  <c r="CS814" i="3"/>
  <c r="CR814" i="3"/>
  <c r="CQ814" i="3"/>
  <c r="CP814" i="3"/>
  <c r="CO814" i="3"/>
  <c r="CN814" i="3"/>
  <c r="CM814" i="3"/>
  <c r="CL814" i="3"/>
  <c r="CK814" i="3"/>
  <c r="CJ814" i="3"/>
  <c r="CI814" i="3"/>
  <c r="CH814" i="3"/>
  <c r="CG814" i="3"/>
  <c r="CF814" i="3"/>
  <c r="CE814" i="3"/>
  <c r="CD814" i="3"/>
  <c r="CC814" i="3"/>
  <c r="CB814" i="3"/>
  <c r="CA814" i="3"/>
  <c r="BZ814" i="3"/>
  <c r="BY814" i="3"/>
  <c r="BX814" i="3"/>
  <c r="BW814" i="3"/>
  <c r="BV814" i="3"/>
  <c r="BU814" i="3"/>
  <c r="BT814" i="3"/>
  <c r="BS814" i="3"/>
  <c r="BR814" i="3"/>
  <c r="BQ814" i="3"/>
  <c r="BP814" i="3"/>
  <c r="BO814" i="3"/>
  <c r="BN814" i="3"/>
  <c r="DU813" i="3"/>
  <c r="DT813" i="3"/>
  <c r="DS813" i="3"/>
  <c r="DR813" i="3"/>
  <c r="DQ813" i="3"/>
  <c r="DP813" i="3"/>
  <c r="DO813" i="3"/>
  <c r="DN813" i="3"/>
  <c r="DM813" i="3"/>
  <c r="DL813" i="3"/>
  <c r="DK813" i="3"/>
  <c r="DJ813" i="3"/>
  <c r="DI813" i="3"/>
  <c r="DH813" i="3"/>
  <c r="DG813" i="3"/>
  <c r="DF813" i="3"/>
  <c r="DE813" i="3"/>
  <c r="DD813" i="3"/>
  <c r="DC813" i="3"/>
  <c r="DB813" i="3"/>
  <c r="DA813" i="3"/>
  <c r="CZ813" i="3"/>
  <c r="CY813" i="3"/>
  <c r="CX813" i="3"/>
  <c r="CW813" i="3"/>
  <c r="CV813" i="3"/>
  <c r="CU813" i="3"/>
  <c r="CT813" i="3"/>
  <c r="CS813" i="3"/>
  <c r="CR813" i="3"/>
  <c r="CQ813" i="3"/>
  <c r="CP813" i="3"/>
  <c r="CO813" i="3"/>
  <c r="CN813" i="3"/>
  <c r="CM813" i="3"/>
  <c r="CL813" i="3"/>
  <c r="CK813" i="3"/>
  <c r="CJ813" i="3"/>
  <c r="CI813" i="3"/>
  <c r="CH813" i="3"/>
  <c r="CG813" i="3"/>
  <c r="CF813" i="3"/>
  <c r="CE813" i="3"/>
  <c r="CD813" i="3"/>
  <c r="CC813" i="3"/>
  <c r="CB813" i="3"/>
  <c r="CA813" i="3"/>
  <c r="BZ813" i="3"/>
  <c r="BY813" i="3"/>
  <c r="BX813" i="3"/>
  <c r="BW813" i="3"/>
  <c r="BV813" i="3"/>
  <c r="BU813" i="3"/>
  <c r="BT813" i="3"/>
  <c r="BS813" i="3"/>
  <c r="BR813" i="3"/>
  <c r="BQ813" i="3"/>
  <c r="BP813" i="3"/>
  <c r="BO813" i="3"/>
  <c r="BN813" i="3"/>
  <c r="DU812" i="3"/>
  <c r="DT812" i="3"/>
  <c r="DS812" i="3"/>
  <c r="DR812" i="3"/>
  <c r="DQ812" i="3"/>
  <c r="DP812" i="3"/>
  <c r="DO812" i="3"/>
  <c r="DN812" i="3"/>
  <c r="DM812" i="3"/>
  <c r="DL812" i="3"/>
  <c r="DK812" i="3"/>
  <c r="DJ812" i="3"/>
  <c r="DI812" i="3"/>
  <c r="DH812" i="3"/>
  <c r="DG812" i="3"/>
  <c r="DF812" i="3"/>
  <c r="DE812" i="3"/>
  <c r="DD812" i="3"/>
  <c r="DC812" i="3"/>
  <c r="DB812" i="3"/>
  <c r="DA812" i="3"/>
  <c r="CZ812" i="3"/>
  <c r="CY812" i="3"/>
  <c r="CX812" i="3"/>
  <c r="CW812" i="3"/>
  <c r="CV812" i="3"/>
  <c r="CU812" i="3"/>
  <c r="CT812" i="3"/>
  <c r="CS812" i="3"/>
  <c r="CR812" i="3"/>
  <c r="CQ812" i="3"/>
  <c r="CP812" i="3"/>
  <c r="CO812" i="3"/>
  <c r="CN812" i="3"/>
  <c r="CM812" i="3"/>
  <c r="CL812" i="3"/>
  <c r="CK812" i="3"/>
  <c r="CJ812" i="3"/>
  <c r="CI812" i="3"/>
  <c r="CH812" i="3"/>
  <c r="CG812" i="3"/>
  <c r="CF812" i="3"/>
  <c r="CE812" i="3"/>
  <c r="CD812" i="3"/>
  <c r="CC812" i="3"/>
  <c r="CB812" i="3"/>
  <c r="CA812" i="3"/>
  <c r="BZ812" i="3"/>
  <c r="BY812" i="3"/>
  <c r="BX812" i="3"/>
  <c r="BW812" i="3"/>
  <c r="BV812" i="3"/>
  <c r="BU812" i="3"/>
  <c r="BT812" i="3"/>
  <c r="BS812" i="3"/>
  <c r="BR812" i="3"/>
  <c r="BQ812" i="3"/>
  <c r="BP812" i="3"/>
  <c r="BO812" i="3"/>
  <c r="BN812" i="3"/>
  <c r="DU811" i="3"/>
  <c r="DT811" i="3"/>
  <c r="DS811" i="3"/>
  <c r="DR811" i="3"/>
  <c r="DQ811" i="3"/>
  <c r="DP811" i="3"/>
  <c r="DO811" i="3"/>
  <c r="DN811" i="3"/>
  <c r="DM811" i="3"/>
  <c r="DL811" i="3"/>
  <c r="DK811" i="3"/>
  <c r="DJ811" i="3"/>
  <c r="DI811" i="3"/>
  <c r="DH811" i="3"/>
  <c r="DG811" i="3"/>
  <c r="DF811" i="3"/>
  <c r="DE811" i="3"/>
  <c r="DD811" i="3"/>
  <c r="DC811" i="3"/>
  <c r="DB811" i="3"/>
  <c r="DA811" i="3"/>
  <c r="CZ811" i="3"/>
  <c r="CY811" i="3"/>
  <c r="CX811" i="3"/>
  <c r="CW811" i="3"/>
  <c r="CV811" i="3"/>
  <c r="CU811" i="3"/>
  <c r="CT811" i="3"/>
  <c r="CS811" i="3"/>
  <c r="CR811" i="3"/>
  <c r="CQ811" i="3"/>
  <c r="CP811" i="3"/>
  <c r="CO811" i="3"/>
  <c r="CN811" i="3"/>
  <c r="CM811" i="3"/>
  <c r="CL811" i="3"/>
  <c r="CK811" i="3"/>
  <c r="CJ811" i="3"/>
  <c r="CI811" i="3"/>
  <c r="CH811" i="3"/>
  <c r="CG811" i="3"/>
  <c r="CF811" i="3"/>
  <c r="CE811" i="3"/>
  <c r="CD811" i="3"/>
  <c r="CC811" i="3"/>
  <c r="CB811" i="3"/>
  <c r="CA811" i="3"/>
  <c r="BZ811" i="3"/>
  <c r="BY811" i="3"/>
  <c r="BX811" i="3"/>
  <c r="BW811" i="3"/>
  <c r="BV811" i="3"/>
  <c r="BU811" i="3"/>
  <c r="BT811" i="3"/>
  <c r="BS811" i="3"/>
  <c r="BR811" i="3"/>
  <c r="BQ811" i="3"/>
  <c r="BP811" i="3"/>
  <c r="BO811" i="3"/>
  <c r="BN811" i="3"/>
  <c r="DU810" i="3"/>
  <c r="DT810" i="3"/>
  <c r="DS810" i="3"/>
  <c r="DR810" i="3"/>
  <c r="DQ810" i="3"/>
  <c r="DP810" i="3"/>
  <c r="DO810" i="3"/>
  <c r="DN810" i="3"/>
  <c r="DM810" i="3"/>
  <c r="DL810" i="3"/>
  <c r="DK810" i="3"/>
  <c r="DJ810" i="3"/>
  <c r="DI810" i="3"/>
  <c r="DH810" i="3"/>
  <c r="DG810" i="3"/>
  <c r="DF810" i="3"/>
  <c r="DE810" i="3"/>
  <c r="DD810" i="3"/>
  <c r="DC810" i="3"/>
  <c r="DB810" i="3"/>
  <c r="DA810" i="3"/>
  <c r="CZ810" i="3"/>
  <c r="CY810" i="3"/>
  <c r="CX810" i="3"/>
  <c r="CW810" i="3"/>
  <c r="CV810" i="3"/>
  <c r="CU81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C810" i="3"/>
  <c r="CB810" i="3"/>
  <c r="CA810" i="3"/>
  <c r="BZ810" i="3"/>
  <c r="BY810" i="3"/>
  <c r="BX810" i="3"/>
  <c r="BW810" i="3"/>
  <c r="BV810" i="3"/>
  <c r="BU810" i="3"/>
  <c r="BT810" i="3"/>
  <c r="BS810" i="3"/>
  <c r="BR810" i="3"/>
  <c r="BQ810" i="3"/>
  <c r="BP810" i="3"/>
  <c r="BO810" i="3"/>
  <c r="BN810" i="3"/>
  <c r="DU809" i="3"/>
  <c r="DT809" i="3"/>
  <c r="DS809" i="3"/>
  <c r="DR809" i="3"/>
  <c r="DQ809" i="3"/>
  <c r="DP809" i="3"/>
  <c r="DO809" i="3"/>
  <c r="DN809" i="3"/>
  <c r="DM809" i="3"/>
  <c r="DL809" i="3"/>
  <c r="DK809" i="3"/>
  <c r="DJ809" i="3"/>
  <c r="DI809" i="3"/>
  <c r="DH809" i="3"/>
  <c r="DG809" i="3"/>
  <c r="DF809" i="3"/>
  <c r="DE809" i="3"/>
  <c r="DD809" i="3"/>
  <c r="DC809" i="3"/>
  <c r="DB809" i="3"/>
  <c r="DA809" i="3"/>
  <c r="CZ809" i="3"/>
  <c r="CY809" i="3"/>
  <c r="CX809" i="3"/>
  <c r="CW809" i="3"/>
  <c r="CV809" i="3"/>
  <c r="CU80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C809" i="3"/>
  <c r="CB809" i="3"/>
  <c r="CA809" i="3"/>
  <c r="BZ809" i="3"/>
  <c r="BY809" i="3"/>
  <c r="BX809" i="3"/>
  <c r="BW809" i="3"/>
  <c r="BV809" i="3"/>
  <c r="BU809" i="3"/>
  <c r="BT809" i="3"/>
  <c r="BS809" i="3"/>
  <c r="BR809" i="3"/>
  <c r="BQ809" i="3"/>
  <c r="BP809" i="3"/>
  <c r="BO809" i="3"/>
  <c r="BN809" i="3"/>
  <c r="DU808" i="3"/>
  <c r="DT808" i="3"/>
  <c r="DS808" i="3"/>
  <c r="DR808" i="3"/>
  <c r="DQ808" i="3"/>
  <c r="DP808" i="3"/>
  <c r="DO808" i="3"/>
  <c r="DN808" i="3"/>
  <c r="DM808" i="3"/>
  <c r="DL808" i="3"/>
  <c r="DK808" i="3"/>
  <c r="DJ808" i="3"/>
  <c r="DI808" i="3"/>
  <c r="DH808" i="3"/>
  <c r="DG808" i="3"/>
  <c r="DF808" i="3"/>
  <c r="DE808" i="3"/>
  <c r="DD808" i="3"/>
  <c r="DC808" i="3"/>
  <c r="DB808" i="3"/>
  <c r="DA808" i="3"/>
  <c r="CZ808" i="3"/>
  <c r="CY808" i="3"/>
  <c r="CX808" i="3"/>
  <c r="CW808" i="3"/>
  <c r="CV808" i="3"/>
  <c r="CU808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C808" i="3"/>
  <c r="CB808" i="3"/>
  <c r="CA808" i="3"/>
  <c r="BZ808" i="3"/>
  <c r="BY808" i="3"/>
  <c r="BX808" i="3"/>
  <c r="BW808" i="3"/>
  <c r="BV808" i="3"/>
  <c r="BU808" i="3"/>
  <c r="BT808" i="3"/>
  <c r="BS808" i="3"/>
  <c r="BR808" i="3"/>
  <c r="BQ808" i="3"/>
  <c r="BP808" i="3"/>
  <c r="BO808" i="3"/>
  <c r="BN808" i="3"/>
  <c r="DU807" i="3"/>
  <c r="DT807" i="3"/>
  <c r="DS807" i="3"/>
  <c r="DR807" i="3"/>
  <c r="DQ807" i="3"/>
  <c r="DP807" i="3"/>
  <c r="DO807" i="3"/>
  <c r="DN807" i="3"/>
  <c r="DM807" i="3"/>
  <c r="DL807" i="3"/>
  <c r="DK807" i="3"/>
  <c r="DJ807" i="3"/>
  <c r="DI807" i="3"/>
  <c r="DH807" i="3"/>
  <c r="DG807" i="3"/>
  <c r="DF807" i="3"/>
  <c r="DE807" i="3"/>
  <c r="DD807" i="3"/>
  <c r="DC807" i="3"/>
  <c r="DB807" i="3"/>
  <c r="DA807" i="3"/>
  <c r="CZ807" i="3"/>
  <c r="CY807" i="3"/>
  <c r="CX807" i="3"/>
  <c r="CW807" i="3"/>
  <c r="CV807" i="3"/>
  <c r="CU807" i="3"/>
  <c r="CT807" i="3"/>
  <c r="CS807" i="3"/>
  <c r="CR807" i="3"/>
  <c r="CQ807" i="3"/>
  <c r="CP807" i="3"/>
  <c r="CO807" i="3"/>
  <c r="CN807" i="3"/>
  <c r="CM807" i="3"/>
  <c r="CL807" i="3"/>
  <c r="CK807" i="3"/>
  <c r="CJ807" i="3"/>
  <c r="CI807" i="3"/>
  <c r="CH807" i="3"/>
  <c r="CG807" i="3"/>
  <c r="CF807" i="3"/>
  <c r="CE807" i="3"/>
  <c r="CD807" i="3"/>
  <c r="CC807" i="3"/>
  <c r="CB807" i="3"/>
  <c r="CA807" i="3"/>
  <c r="BZ807" i="3"/>
  <c r="BY807" i="3"/>
  <c r="BX807" i="3"/>
  <c r="BW807" i="3"/>
  <c r="BV807" i="3"/>
  <c r="BU807" i="3"/>
  <c r="BT807" i="3"/>
  <c r="BS807" i="3"/>
  <c r="BR807" i="3"/>
  <c r="BQ807" i="3"/>
  <c r="BP807" i="3"/>
  <c r="BO807" i="3"/>
  <c r="BN807" i="3"/>
  <c r="DU806" i="3"/>
  <c r="DT806" i="3"/>
  <c r="DS806" i="3"/>
  <c r="DR806" i="3"/>
  <c r="DQ806" i="3"/>
  <c r="DP806" i="3"/>
  <c r="DO806" i="3"/>
  <c r="DN806" i="3"/>
  <c r="DM806" i="3"/>
  <c r="DL806" i="3"/>
  <c r="DK806" i="3"/>
  <c r="DJ806" i="3"/>
  <c r="DI806" i="3"/>
  <c r="DH806" i="3"/>
  <c r="DG806" i="3"/>
  <c r="DF806" i="3"/>
  <c r="DE806" i="3"/>
  <c r="DD806" i="3"/>
  <c r="DC806" i="3"/>
  <c r="DB806" i="3"/>
  <c r="DA806" i="3"/>
  <c r="CZ806" i="3"/>
  <c r="CY806" i="3"/>
  <c r="CX806" i="3"/>
  <c r="CW806" i="3"/>
  <c r="CV806" i="3"/>
  <c r="CU806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C806" i="3"/>
  <c r="CB806" i="3"/>
  <c r="CA806" i="3"/>
  <c r="BZ806" i="3"/>
  <c r="BY806" i="3"/>
  <c r="BX806" i="3"/>
  <c r="BW806" i="3"/>
  <c r="BV806" i="3"/>
  <c r="BU806" i="3"/>
  <c r="BT806" i="3"/>
  <c r="BS806" i="3"/>
  <c r="BR806" i="3"/>
  <c r="BQ806" i="3"/>
  <c r="BP806" i="3"/>
  <c r="BO806" i="3"/>
  <c r="BN806" i="3"/>
  <c r="DU805" i="3"/>
  <c r="DT805" i="3"/>
  <c r="DS805" i="3"/>
  <c r="DR805" i="3"/>
  <c r="DQ805" i="3"/>
  <c r="DP805" i="3"/>
  <c r="DO805" i="3"/>
  <c r="DN805" i="3"/>
  <c r="DM805" i="3"/>
  <c r="DL805" i="3"/>
  <c r="DK805" i="3"/>
  <c r="DJ805" i="3"/>
  <c r="DI805" i="3"/>
  <c r="DH805" i="3"/>
  <c r="DG805" i="3"/>
  <c r="DF805" i="3"/>
  <c r="DE805" i="3"/>
  <c r="DD805" i="3"/>
  <c r="DC805" i="3"/>
  <c r="DB805" i="3"/>
  <c r="DA805" i="3"/>
  <c r="CZ805" i="3"/>
  <c r="CY805" i="3"/>
  <c r="CX805" i="3"/>
  <c r="CW805" i="3"/>
  <c r="CV805" i="3"/>
  <c r="CU805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C805" i="3"/>
  <c r="CB805" i="3"/>
  <c r="CA805" i="3"/>
  <c r="BZ805" i="3"/>
  <c r="BY805" i="3"/>
  <c r="BX805" i="3"/>
  <c r="BW805" i="3"/>
  <c r="BV805" i="3"/>
  <c r="BU805" i="3"/>
  <c r="BT805" i="3"/>
  <c r="BS805" i="3"/>
  <c r="BR805" i="3"/>
  <c r="BQ805" i="3"/>
  <c r="BP805" i="3"/>
  <c r="BO805" i="3"/>
  <c r="BN805" i="3"/>
  <c r="DU804" i="3"/>
  <c r="DT804" i="3"/>
  <c r="DS804" i="3"/>
  <c r="DR804" i="3"/>
  <c r="DQ804" i="3"/>
  <c r="DP804" i="3"/>
  <c r="DO804" i="3"/>
  <c r="DN804" i="3"/>
  <c r="DM804" i="3"/>
  <c r="DL804" i="3"/>
  <c r="DK804" i="3"/>
  <c r="DJ804" i="3"/>
  <c r="DI804" i="3"/>
  <c r="DH804" i="3"/>
  <c r="DG804" i="3"/>
  <c r="DF804" i="3"/>
  <c r="DE804" i="3"/>
  <c r="DD804" i="3"/>
  <c r="DC804" i="3"/>
  <c r="DB804" i="3"/>
  <c r="DA804" i="3"/>
  <c r="CZ804" i="3"/>
  <c r="CY804" i="3"/>
  <c r="CX804" i="3"/>
  <c r="CW804" i="3"/>
  <c r="CV804" i="3"/>
  <c r="CU804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C804" i="3"/>
  <c r="CB804" i="3"/>
  <c r="CA804" i="3"/>
  <c r="BZ804" i="3"/>
  <c r="BY804" i="3"/>
  <c r="BX804" i="3"/>
  <c r="BW804" i="3"/>
  <c r="BV804" i="3"/>
  <c r="BU804" i="3"/>
  <c r="BT804" i="3"/>
  <c r="BS804" i="3"/>
  <c r="BR804" i="3"/>
  <c r="BQ804" i="3"/>
  <c r="BP804" i="3"/>
  <c r="BO804" i="3"/>
  <c r="BN804" i="3"/>
  <c r="DU803" i="3"/>
  <c r="DT803" i="3"/>
  <c r="DS803" i="3"/>
  <c r="DR803" i="3"/>
  <c r="DQ803" i="3"/>
  <c r="DP803" i="3"/>
  <c r="DO803" i="3"/>
  <c r="DN803" i="3"/>
  <c r="DM803" i="3"/>
  <c r="DL803" i="3"/>
  <c r="DK803" i="3"/>
  <c r="DJ803" i="3"/>
  <c r="DI803" i="3"/>
  <c r="DH803" i="3"/>
  <c r="DG803" i="3"/>
  <c r="DF803" i="3"/>
  <c r="DE803" i="3"/>
  <c r="DD803" i="3"/>
  <c r="DC803" i="3"/>
  <c r="DB803" i="3"/>
  <c r="DA803" i="3"/>
  <c r="CZ803" i="3"/>
  <c r="CY803" i="3"/>
  <c r="CX803" i="3"/>
  <c r="CW803" i="3"/>
  <c r="CV803" i="3"/>
  <c r="CU803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C803" i="3"/>
  <c r="CB803" i="3"/>
  <c r="CA803" i="3"/>
  <c r="BZ803" i="3"/>
  <c r="BY803" i="3"/>
  <c r="BX803" i="3"/>
  <c r="BW803" i="3"/>
  <c r="BV803" i="3"/>
  <c r="BU803" i="3"/>
  <c r="BT803" i="3"/>
  <c r="BS803" i="3"/>
  <c r="BR803" i="3"/>
  <c r="BQ803" i="3"/>
  <c r="BP803" i="3"/>
  <c r="BO803" i="3"/>
  <c r="BN803" i="3"/>
  <c r="DU802" i="3"/>
  <c r="DT802" i="3"/>
  <c r="DS802" i="3"/>
  <c r="DR802" i="3"/>
  <c r="DQ802" i="3"/>
  <c r="DP802" i="3"/>
  <c r="DO802" i="3"/>
  <c r="DN802" i="3"/>
  <c r="DM802" i="3"/>
  <c r="DL802" i="3"/>
  <c r="DK802" i="3"/>
  <c r="DJ802" i="3"/>
  <c r="DI802" i="3"/>
  <c r="DH802" i="3"/>
  <c r="DG802" i="3"/>
  <c r="DF802" i="3"/>
  <c r="DE802" i="3"/>
  <c r="DD802" i="3"/>
  <c r="DC802" i="3"/>
  <c r="DB802" i="3"/>
  <c r="DA802" i="3"/>
  <c r="CZ802" i="3"/>
  <c r="CY802" i="3"/>
  <c r="CX802" i="3"/>
  <c r="CW802" i="3"/>
  <c r="CV802" i="3"/>
  <c r="CU802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C802" i="3"/>
  <c r="CB802" i="3"/>
  <c r="CA802" i="3"/>
  <c r="BZ802" i="3"/>
  <c r="BY802" i="3"/>
  <c r="BX802" i="3"/>
  <c r="BW802" i="3"/>
  <c r="BV802" i="3"/>
  <c r="BU802" i="3"/>
  <c r="BT802" i="3"/>
  <c r="BS802" i="3"/>
  <c r="BR802" i="3"/>
  <c r="BQ802" i="3"/>
  <c r="BP802" i="3"/>
  <c r="BO802" i="3"/>
  <c r="BN802" i="3"/>
  <c r="DU801" i="3"/>
  <c r="DT801" i="3"/>
  <c r="DS801" i="3"/>
  <c r="DR801" i="3"/>
  <c r="DQ801" i="3"/>
  <c r="DP801" i="3"/>
  <c r="DO801" i="3"/>
  <c r="DN801" i="3"/>
  <c r="DM801" i="3"/>
  <c r="DL801" i="3"/>
  <c r="DK801" i="3"/>
  <c r="DJ801" i="3"/>
  <c r="DI801" i="3"/>
  <c r="DH801" i="3"/>
  <c r="DG801" i="3"/>
  <c r="DF801" i="3"/>
  <c r="DE801" i="3"/>
  <c r="DD801" i="3"/>
  <c r="DC801" i="3"/>
  <c r="DB801" i="3"/>
  <c r="DA801" i="3"/>
  <c r="CZ801" i="3"/>
  <c r="CY801" i="3"/>
  <c r="CX801" i="3"/>
  <c r="CW801" i="3"/>
  <c r="CV801" i="3"/>
  <c r="CU801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C801" i="3"/>
  <c r="CB801" i="3"/>
  <c r="CA801" i="3"/>
  <c r="BZ801" i="3"/>
  <c r="BY801" i="3"/>
  <c r="BX801" i="3"/>
  <c r="BW801" i="3"/>
  <c r="BV801" i="3"/>
  <c r="BU801" i="3"/>
  <c r="BT801" i="3"/>
  <c r="BS801" i="3"/>
  <c r="BR801" i="3"/>
  <c r="BQ801" i="3"/>
  <c r="BP801" i="3"/>
  <c r="BO801" i="3"/>
  <c r="BN801" i="3"/>
  <c r="DU800" i="3"/>
  <c r="DT800" i="3"/>
  <c r="DS800" i="3"/>
  <c r="DR800" i="3"/>
  <c r="DQ800" i="3"/>
  <c r="DP800" i="3"/>
  <c r="DO800" i="3"/>
  <c r="DN800" i="3"/>
  <c r="DM800" i="3"/>
  <c r="DL800" i="3"/>
  <c r="DK800" i="3"/>
  <c r="DJ800" i="3"/>
  <c r="DI800" i="3"/>
  <c r="DH800" i="3"/>
  <c r="DG800" i="3"/>
  <c r="DF800" i="3"/>
  <c r="DE800" i="3"/>
  <c r="DD800" i="3"/>
  <c r="DC800" i="3"/>
  <c r="DB800" i="3"/>
  <c r="DA800" i="3"/>
  <c r="CZ800" i="3"/>
  <c r="CY800" i="3"/>
  <c r="CX800" i="3"/>
  <c r="CW800" i="3"/>
  <c r="CV800" i="3"/>
  <c r="CU800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C800" i="3"/>
  <c r="CB800" i="3"/>
  <c r="CA800" i="3"/>
  <c r="BZ800" i="3"/>
  <c r="BY800" i="3"/>
  <c r="BX800" i="3"/>
  <c r="BW800" i="3"/>
  <c r="BV800" i="3"/>
  <c r="BU800" i="3"/>
  <c r="BT800" i="3"/>
  <c r="BS800" i="3"/>
  <c r="BR800" i="3"/>
  <c r="BQ800" i="3"/>
  <c r="BP800" i="3"/>
  <c r="BO800" i="3"/>
  <c r="BN800" i="3"/>
  <c r="DU799" i="3"/>
  <c r="DT799" i="3"/>
  <c r="DS799" i="3"/>
  <c r="DR799" i="3"/>
  <c r="DQ799" i="3"/>
  <c r="DP799" i="3"/>
  <c r="DO799" i="3"/>
  <c r="DN799" i="3"/>
  <c r="DM799" i="3"/>
  <c r="DL799" i="3"/>
  <c r="DK799" i="3"/>
  <c r="DJ799" i="3"/>
  <c r="DI799" i="3"/>
  <c r="DH799" i="3"/>
  <c r="DG799" i="3"/>
  <c r="DF799" i="3"/>
  <c r="DE799" i="3"/>
  <c r="DD799" i="3"/>
  <c r="DC799" i="3"/>
  <c r="DB799" i="3"/>
  <c r="DA799" i="3"/>
  <c r="CZ799" i="3"/>
  <c r="CY799" i="3"/>
  <c r="CX799" i="3"/>
  <c r="CW799" i="3"/>
  <c r="CV799" i="3"/>
  <c r="CU799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C799" i="3"/>
  <c r="CB799" i="3"/>
  <c r="CA799" i="3"/>
  <c r="BZ799" i="3"/>
  <c r="BY799" i="3"/>
  <c r="BX799" i="3"/>
  <c r="BW799" i="3"/>
  <c r="BV799" i="3"/>
  <c r="BU799" i="3"/>
  <c r="BT799" i="3"/>
  <c r="BS799" i="3"/>
  <c r="BR799" i="3"/>
  <c r="BQ799" i="3"/>
  <c r="BP799" i="3"/>
  <c r="BO799" i="3"/>
  <c r="BN799" i="3"/>
  <c r="DU798" i="3"/>
  <c r="DT798" i="3"/>
  <c r="DS798" i="3"/>
  <c r="DR798" i="3"/>
  <c r="DQ798" i="3"/>
  <c r="DP798" i="3"/>
  <c r="DO798" i="3"/>
  <c r="DN798" i="3"/>
  <c r="DM798" i="3"/>
  <c r="DL798" i="3"/>
  <c r="DK798" i="3"/>
  <c r="DJ798" i="3"/>
  <c r="DI798" i="3"/>
  <c r="DH798" i="3"/>
  <c r="DG798" i="3"/>
  <c r="DF798" i="3"/>
  <c r="DE798" i="3"/>
  <c r="DD798" i="3"/>
  <c r="DC798" i="3"/>
  <c r="DB798" i="3"/>
  <c r="DA798" i="3"/>
  <c r="CZ798" i="3"/>
  <c r="CY798" i="3"/>
  <c r="CX798" i="3"/>
  <c r="CW798" i="3"/>
  <c r="CV798" i="3"/>
  <c r="CU798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C798" i="3"/>
  <c r="CB798" i="3"/>
  <c r="CA798" i="3"/>
  <c r="BZ798" i="3"/>
  <c r="BY798" i="3"/>
  <c r="BX798" i="3"/>
  <c r="BW798" i="3"/>
  <c r="BV798" i="3"/>
  <c r="BU798" i="3"/>
  <c r="BT798" i="3"/>
  <c r="BS798" i="3"/>
  <c r="BR798" i="3"/>
  <c r="BQ798" i="3"/>
  <c r="BP798" i="3"/>
  <c r="BO798" i="3"/>
  <c r="BN798" i="3"/>
  <c r="DU797" i="3"/>
  <c r="DT797" i="3"/>
  <c r="DS797" i="3"/>
  <c r="DR797" i="3"/>
  <c r="DQ797" i="3"/>
  <c r="DP797" i="3"/>
  <c r="DO797" i="3"/>
  <c r="DN797" i="3"/>
  <c r="DM797" i="3"/>
  <c r="DL797" i="3"/>
  <c r="DK797" i="3"/>
  <c r="DJ797" i="3"/>
  <c r="DI797" i="3"/>
  <c r="DH797" i="3"/>
  <c r="DG797" i="3"/>
  <c r="DF797" i="3"/>
  <c r="DE797" i="3"/>
  <c r="DD797" i="3"/>
  <c r="DC797" i="3"/>
  <c r="DB797" i="3"/>
  <c r="DA797" i="3"/>
  <c r="CZ797" i="3"/>
  <c r="CY797" i="3"/>
  <c r="CX797" i="3"/>
  <c r="CW797" i="3"/>
  <c r="CV797" i="3"/>
  <c r="CU797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C797" i="3"/>
  <c r="CB797" i="3"/>
  <c r="CA797" i="3"/>
  <c r="BZ797" i="3"/>
  <c r="BY797" i="3"/>
  <c r="BX797" i="3"/>
  <c r="BW797" i="3"/>
  <c r="BV797" i="3"/>
  <c r="BU797" i="3"/>
  <c r="BT797" i="3"/>
  <c r="BS797" i="3"/>
  <c r="BR797" i="3"/>
  <c r="BQ797" i="3"/>
  <c r="BP797" i="3"/>
  <c r="BO797" i="3"/>
  <c r="BN797" i="3"/>
  <c r="DU796" i="3"/>
  <c r="DT796" i="3"/>
  <c r="DS796" i="3"/>
  <c r="DR796" i="3"/>
  <c r="DQ796" i="3"/>
  <c r="DP796" i="3"/>
  <c r="DO796" i="3"/>
  <c r="DN796" i="3"/>
  <c r="DM796" i="3"/>
  <c r="DL796" i="3"/>
  <c r="DK796" i="3"/>
  <c r="DJ796" i="3"/>
  <c r="DI796" i="3"/>
  <c r="DH796" i="3"/>
  <c r="DG796" i="3"/>
  <c r="DF796" i="3"/>
  <c r="DE796" i="3"/>
  <c r="DD796" i="3"/>
  <c r="DC796" i="3"/>
  <c r="DB796" i="3"/>
  <c r="DA796" i="3"/>
  <c r="CZ796" i="3"/>
  <c r="CY796" i="3"/>
  <c r="CX796" i="3"/>
  <c r="CW796" i="3"/>
  <c r="CV796" i="3"/>
  <c r="CU796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C796" i="3"/>
  <c r="CB796" i="3"/>
  <c r="CA796" i="3"/>
  <c r="BZ796" i="3"/>
  <c r="BY796" i="3"/>
  <c r="BX796" i="3"/>
  <c r="BW796" i="3"/>
  <c r="BV796" i="3"/>
  <c r="BU796" i="3"/>
  <c r="BT796" i="3"/>
  <c r="BS796" i="3"/>
  <c r="BR796" i="3"/>
  <c r="BQ796" i="3"/>
  <c r="BP796" i="3"/>
  <c r="BO796" i="3"/>
  <c r="BN796" i="3"/>
  <c r="DU795" i="3"/>
  <c r="DT795" i="3"/>
  <c r="DS795" i="3"/>
  <c r="DR795" i="3"/>
  <c r="DQ795" i="3"/>
  <c r="DP795" i="3"/>
  <c r="DO795" i="3"/>
  <c r="DN795" i="3"/>
  <c r="DM795" i="3"/>
  <c r="DL795" i="3"/>
  <c r="DK795" i="3"/>
  <c r="DJ795" i="3"/>
  <c r="DI795" i="3"/>
  <c r="DH795" i="3"/>
  <c r="DG795" i="3"/>
  <c r="DF795" i="3"/>
  <c r="DE795" i="3"/>
  <c r="DD795" i="3"/>
  <c r="DC795" i="3"/>
  <c r="DB795" i="3"/>
  <c r="DA795" i="3"/>
  <c r="CZ795" i="3"/>
  <c r="CY795" i="3"/>
  <c r="CX795" i="3"/>
  <c r="CW795" i="3"/>
  <c r="CV795" i="3"/>
  <c r="CU795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C795" i="3"/>
  <c r="CB795" i="3"/>
  <c r="CA795" i="3"/>
  <c r="BZ795" i="3"/>
  <c r="BY795" i="3"/>
  <c r="BX795" i="3"/>
  <c r="BW795" i="3"/>
  <c r="BV795" i="3"/>
  <c r="BU795" i="3"/>
  <c r="BT795" i="3"/>
  <c r="BS795" i="3"/>
  <c r="BR795" i="3"/>
  <c r="BQ795" i="3"/>
  <c r="BP795" i="3"/>
  <c r="BO795" i="3"/>
  <c r="BN795" i="3"/>
  <c r="DU794" i="3"/>
  <c r="DT794" i="3"/>
  <c r="DS794" i="3"/>
  <c r="DR794" i="3"/>
  <c r="DQ794" i="3"/>
  <c r="DP794" i="3"/>
  <c r="DO794" i="3"/>
  <c r="DN794" i="3"/>
  <c r="DM794" i="3"/>
  <c r="DL794" i="3"/>
  <c r="DK794" i="3"/>
  <c r="DJ794" i="3"/>
  <c r="DI794" i="3"/>
  <c r="DH794" i="3"/>
  <c r="DG794" i="3"/>
  <c r="DF794" i="3"/>
  <c r="DE794" i="3"/>
  <c r="DD794" i="3"/>
  <c r="DC794" i="3"/>
  <c r="DB794" i="3"/>
  <c r="DA794" i="3"/>
  <c r="CZ794" i="3"/>
  <c r="CY794" i="3"/>
  <c r="CX794" i="3"/>
  <c r="CW794" i="3"/>
  <c r="CV794" i="3"/>
  <c r="CU794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C794" i="3"/>
  <c r="CB794" i="3"/>
  <c r="CA794" i="3"/>
  <c r="BZ794" i="3"/>
  <c r="BY794" i="3"/>
  <c r="BX794" i="3"/>
  <c r="BW794" i="3"/>
  <c r="BV794" i="3"/>
  <c r="BU794" i="3"/>
  <c r="BT794" i="3"/>
  <c r="BS794" i="3"/>
  <c r="BR794" i="3"/>
  <c r="BQ794" i="3"/>
  <c r="BP794" i="3"/>
  <c r="BO794" i="3"/>
  <c r="BN794" i="3"/>
  <c r="DU793" i="3"/>
  <c r="DT793" i="3"/>
  <c r="DS793" i="3"/>
  <c r="DR793" i="3"/>
  <c r="DQ793" i="3"/>
  <c r="DP793" i="3"/>
  <c r="DO793" i="3"/>
  <c r="DN793" i="3"/>
  <c r="DM793" i="3"/>
  <c r="DL793" i="3"/>
  <c r="DK793" i="3"/>
  <c r="DJ793" i="3"/>
  <c r="DI793" i="3"/>
  <c r="DH793" i="3"/>
  <c r="DG793" i="3"/>
  <c r="DF793" i="3"/>
  <c r="DE793" i="3"/>
  <c r="DD793" i="3"/>
  <c r="DC793" i="3"/>
  <c r="DB793" i="3"/>
  <c r="DA793" i="3"/>
  <c r="CZ793" i="3"/>
  <c r="CY793" i="3"/>
  <c r="CX793" i="3"/>
  <c r="CW793" i="3"/>
  <c r="CV793" i="3"/>
  <c r="CU793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C793" i="3"/>
  <c r="CB793" i="3"/>
  <c r="CA793" i="3"/>
  <c r="BZ793" i="3"/>
  <c r="BY793" i="3"/>
  <c r="BX793" i="3"/>
  <c r="BW793" i="3"/>
  <c r="BV793" i="3"/>
  <c r="BU793" i="3"/>
  <c r="BT793" i="3"/>
  <c r="BS793" i="3"/>
  <c r="BR793" i="3"/>
  <c r="BQ793" i="3"/>
  <c r="BP793" i="3"/>
  <c r="BO793" i="3"/>
  <c r="BN793" i="3"/>
  <c r="DU792" i="3"/>
  <c r="DT792" i="3"/>
  <c r="DS792" i="3"/>
  <c r="DR792" i="3"/>
  <c r="DQ792" i="3"/>
  <c r="DP792" i="3"/>
  <c r="DO792" i="3"/>
  <c r="DN792" i="3"/>
  <c r="DM792" i="3"/>
  <c r="DL792" i="3"/>
  <c r="DK792" i="3"/>
  <c r="DJ792" i="3"/>
  <c r="DI792" i="3"/>
  <c r="DH792" i="3"/>
  <c r="DG792" i="3"/>
  <c r="DF792" i="3"/>
  <c r="DE792" i="3"/>
  <c r="DD792" i="3"/>
  <c r="DC792" i="3"/>
  <c r="DB792" i="3"/>
  <c r="DA792" i="3"/>
  <c r="CZ792" i="3"/>
  <c r="CY792" i="3"/>
  <c r="CX792" i="3"/>
  <c r="CW792" i="3"/>
  <c r="CV792" i="3"/>
  <c r="CU792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C792" i="3"/>
  <c r="CB792" i="3"/>
  <c r="CA792" i="3"/>
  <c r="BZ792" i="3"/>
  <c r="BY792" i="3"/>
  <c r="BX792" i="3"/>
  <c r="BW792" i="3"/>
  <c r="BV792" i="3"/>
  <c r="BU792" i="3"/>
  <c r="BT792" i="3"/>
  <c r="BS792" i="3"/>
  <c r="BR792" i="3"/>
  <c r="BQ792" i="3"/>
  <c r="BP792" i="3"/>
  <c r="BO792" i="3"/>
  <c r="BN792" i="3"/>
  <c r="DU791" i="3"/>
  <c r="DT791" i="3"/>
  <c r="DS791" i="3"/>
  <c r="DR791" i="3"/>
  <c r="DQ791" i="3"/>
  <c r="DP791" i="3"/>
  <c r="DO791" i="3"/>
  <c r="DN791" i="3"/>
  <c r="DM791" i="3"/>
  <c r="DL791" i="3"/>
  <c r="DK791" i="3"/>
  <c r="DJ791" i="3"/>
  <c r="DI791" i="3"/>
  <c r="DH791" i="3"/>
  <c r="DG791" i="3"/>
  <c r="DF791" i="3"/>
  <c r="DE791" i="3"/>
  <c r="DD791" i="3"/>
  <c r="DC791" i="3"/>
  <c r="DB791" i="3"/>
  <c r="DA791" i="3"/>
  <c r="CZ791" i="3"/>
  <c r="CY791" i="3"/>
  <c r="CX791" i="3"/>
  <c r="CW791" i="3"/>
  <c r="CV791" i="3"/>
  <c r="CU791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C791" i="3"/>
  <c r="CB791" i="3"/>
  <c r="CA791" i="3"/>
  <c r="BZ791" i="3"/>
  <c r="BY791" i="3"/>
  <c r="BX791" i="3"/>
  <c r="BW791" i="3"/>
  <c r="BV791" i="3"/>
  <c r="BU791" i="3"/>
  <c r="BT791" i="3"/>
  <c r="BS791" i="3"/>
  <c r="BR791" i="3"/>
  <c r="BQ791" i="3"/>
  <c r="BP791" i="3"/>
  <c r="BO791" i="3"/>
  <c r="BN791" i="3"/>
  <c r="DU790" i="3"/>
  <c r="DT790" i="3"/>
  <c r="DS790" i="3"/>
  <c r="DR790" i="3"/>
  <c r="DQ790" i="3"/>
  <c r="DP790" i="3"/>
  <c r="DO790" i="3"/>
  <c r="DN790" i="3"/>
  <c r="DM790" i="3"/>
  <c r="DL790" i="3"/>
  <c r="DK790" i="3"/>
  <c r="DJ790" i="3"/>
  <c r="DI790" i="3"/>
  <c r="DH790" i="3"/>
  <c r="DG790" i="3"/>
  <c r="DF790" i="3"/>
  <c r="DE790" i="3"/>
  <c r="DD790" i="3"/>
  <c r="DC790" i="3"/>
  <c r="DB790" i="3"/>
  <c r="DA790" i="3"/>
  <c r="CZ790" i="3"/>
  <c r="CY790" i="3"/>
  <c r="CX790" i="3"/>
  <c r="CW790" i="3"/>
  <c r="CV790" i="3"/>
  <c r="CU790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C790" i="3"/>
  <c r="CB790" i="3"/>
  <c r="CA790" i="3"/>
  <c r="BZ790" i="3"/>
  <c r="BY790" i="3"/>
  <c r="BX790" i="3"/>
  <c r="BW790" i="3"/>
  <c r="BV790" i="3"/>
  <c r="BU790" i="3"/>
  <c r="BT790" i="3"/>
  <c r="BS790" i="3"/>
  <c r="BR790" i="3"/>
  <c r="BQ790" i="3"/>
  <c r="BP790" i="3"/>
  <c r="BO790" i="3"/>
  <c r="BN790" i="3"/>
  <c r="DU789" i="3"/>
  <c r="DT789" i="3"/>
  <c r="DS789" i="3"/>
  <c r="DR789" i="3"/>
  <c r="DQ789" i="3"/>
  <c r="DP789" i="3"/>
  <c r="DO789" i="3"/>
  <c r="DN789" i="3"/>
  <c r="DM789" i="3"/>
  <c r="DL789" i="3"/>
  <c r="DK789" i="3"/>
  <c r="DJ789" i="3"/>
  <c r="DI789" i="3"/>
  <c r="DH789" i="3"/>
  <c r="DG789" i="3"/>
  <c r="DF789" i="3"/>
  <c r="DE789" i="3"/>
  <c r="DD789" i="3"/>
  <c r="DC789" i="3"/>
  <c r="DB789" i="3"/>
  <c r="DA789" i="3"/>
  <c r="CZ789" i="3"/>
  <c r="CY789" i="3"/>
  <c r="CX789" i="3"/>
  <c r="CW789" i="3"/>
  <c r="CV789" i="3"/>
  <c r="CU789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C789" i="3"/>
  <c r="CB789" i="3"/>
  <c r="CA789" i="3"/>
  <c r="BZ789" i="3"/>
  <c r="BY789" i="3"/>
  <c r="BX789" i="3"/>
  <c r="BW789" i="3"/>
  <c r="BV789" i="3"/>
  <c r="BU789" i="3"/>
  <c r="BT789" i="3"/>
  <c r="BS789" i="3"/>
  <c r="BR789" i="3"/>
  <c r="BQ789" i="3"/>
  <c r="BP789" i="3"/>
  <c r="BO789" i="3"/>
  <c r="BN789" i="3"/>
  <c r="DU788" i="3"/>
  <c r="DT788" i="3"/>
  <c r="DS788" i="3"/>
  <c r="DR788" i="3"/>
  <c r="DQ788" i="3"/>
  <c r="DP788" i="3"/>
  <c r="DO788" i="3"/>
  <c r="DN788" i="3"/>
  <c r="DM788" i="3"/>
  <c r="DL788" i="3"/>
  <c r="DK788" i="3"/>
  <c r="DJ788" i="3"/>
  <c r="DI788" i="3"/>
  <c r="DH788" i="3"/>
  <c r="DG788" i="3"/>
  <c r="DF788" i="3"/>
  <c r="DE788" i="3"/>
  <c r="DD788" i="3"/>
  <c r="DC788" i="3"/>
  <c r="DB788" i="3"/>
  <c r="DA788" i="3"/>
  <c r="CZ788" i="3"/>
  <c r="CY788" i="3"/>
  <c r="CX788" i="3"/>
  <c r="CW788" i="3"/>
  <c r="CV788" i="3"/>
  <c r="CU788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C788" i="3"/>
  <c r="CB788" i="3"/>
  <c r="CA788" i="3"/>
  <c r="BZ788" i="3"/>
  <c r="BY788" i="3"/>
  <c r="BX788" i="3"/>
  <c r="BW788" i="3"/>
  <c r="BV788" i="3"/>
  <c r="BU788" i="3"/>
  <c r="BT788" i="3"/>
  <c r="BS788" i="3"/>
  <c r="BR788" i="3"/>
  <c r="BQ788" i="3"/>
  <c r="BP788" i="3"/>
  <c r="BO788" i="3"/>
  <c r="BN788" i="3"/>
  <c r="DU787" i="3"/>
  <c r="DT787" i="3"/>
  <c r="DS787" i="3"/>
  <c r="DR787" i="3"/>
  <c r="DQ787" i="3"/>
  <c r="DP787" i="3"/>
  <c r="DO787" i="3"/>
  <c r="DN787" i="3"/>
  <c r="DM787" i="3"/>
  <c r="DL787" i="3"/>
  <c r="DK787" i="3"/>
  <c r="DJ787" i="3"/>
  <c r="DI787" i="3"/>
  <c r="DH787" i="3"/>
  <c r="DG787" i="3"/>
  <c r="DF787" i="3"/>
  <c r="DE787" i="3"/>
  <c r="DD787" i="3"/>
  <c r="DC787" i="3"/>
  <c r="DB787" i="3"/>
  <c r="DA787" i="3"/>
  <c r="CZ787" i="3"/>
  <c r="CY787" i="3"/>
  <c r="CX787" i="3"/>
  <c r="CW787" i="3"/>
  <c r="CV787" i="3"/>
  <c r="CU787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C787" i="3"/>
  <c r="CB787" i="3"/>
  <c r="CA787" i="3"/>
  <c r="BZ787" i="3"/>
  <c r="BY787" i="3"/>
  <c r="BX787" i="3"/>
  <c r="BW787" i="3"/>
  <c r="BV787" i="3"/>
  <c r="BU787" i="3"/>
  <c r="BT787" i="3"/>
  <c r="BS787" i="3"/>
  <c r="BR787" i="3"/>
  <c r="BQ787" i="3"/>
  <c r="BP787" i="3"/>
  <c r="BO787" i="3"/>
  <c r="BN787" i="3"/>
  <c r="DU786" i="3"/>
  <c r="DT786" i="3"/>
  <c r="DS786" i="3"/>
  <c r="DR786" i="3"/>
  <c r="DQ786" i="3"/>
  <c r="DP786" i="3"/>
  <c r="DO786" i="3"/>
  <c r="DN786" i="3"/>
  <c r="DM786" i="3"/>
  <c r="DL786" i="3"/>
  <c r="DK786" i="3"/>
  <c r="DJ786" i="3"/>
  <c r="DI786" i="3"/>
  <c r="DH786" i="3"/>
  <c r="DG786" i="3"/>
  <c r="DF786" i="3"/>
  <c r="DE786" i="3"/>
  <c r="DD786" i="3"/>
  <c r="DC786" i="3"/>
  <c r="DB786" i="3"/>
  <c r="DA786" i="3"/>
  <c r="CZ786" i="3"/>
  <c r="CY786" i="3"/>
  <c r="CX786" i="3"/>
  <c r="CW786" i="3"/>
  <c r="CV786" i="3"/>
  <c r="CU786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C786" i="3"/>
  <c r="CB786" i="3"/>
  <c r="CA786" i="3"/>
  <c r="BZ786" i="3"/>
  <c r="BY786" i="3"/>
  <c r="BX786" i="3"/>
  <c r="BW786" i="3"/>
  <c r="BV786" i="3"/>
  <c r="BU786" i="3"/>
  <c r="BT786" i="3"/>
  <c r="BS786" i="3"/>
  <c r="BR786" i="3"/>
  <c r="BQ786" i="3"/>
  <c r="BP786" i="3"/>
  <c r="BO786" i="3"/>
  <c r="BN786" i="3"/>
  <c r="DU785" i="3"/>
  <c r="DT785" i="3"/>
  <c r="DS785" i="3"/>
  <c r="DR785" i="3"/>
  <c r="DQ785" i="3"/>
  <c r="DP785" i="3"/>
  <c r="DO785" i="3"/>
  <c r="DN785" i="3"/>
  <c r="DM785" i="3"/>
  <c r="DL785" i="3"/>
  <c r="DK785" i="3"/>
  <c r="DJ785" i="3"/>
  <c r="DI785" i="3"/>
  <c r="DH785" i="3"/>
  <c r="DG785" i="3"/>
  <c r="DF785" i="3"/>
  <c r="DE785" i="3"/>
  <c r="DD785" i="3"/>
  <c r="DC785" i="3"/>
  <c r="DB785" i="3"/>
  <c r="DA785" i="3"/>
  <c r="CZ785" i="3"/>
  <c r="CY785" i="3"/>
  <c r="CX785" i="3"/>
  <c r="CW785" i="3"/>
  <c r="CV785" i="3"/>
  <c r="CU785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C785" i="3"/>
  <c r="CB785" i="3"/>
  <c r="CA785" i="3"/>
  <c r="BZ785" i="3"/>
  <c r="BY785" i="3"/>
  <c r="BX785" i="3"/>
  <c r="BW785" i="3"/>
  <c r="BV785" i="3"/>
  <c r="BU785" i="3"/>
  <c r="BT785" i="3"/>
  <c r="BS785" i="3"/>
  <c r="BR785" i="3"/>
  <c r="BQ785" i="3"/>
  <c r="BP785" i="3"/>
  <c r="BO785" i="3"/>
  <c r="BN785" i="3"/>
  <c r="DU784" i="3"/>
  <c r="DT784" i="3"/>
  <c r="DS784" i="3"/>
  <c r="DR784" i="3"/>
  <c r="DQ784" i="3"/>
  <c r="DP784" i="3"/>
  <c r="DO784" i="3"/>
  <c r="DN784" i="3"/>
  <c r="DM784" i="3"/>
  <c r="DL784" i="3"/>
  <c r="DK784" i="3"/>
  <c r="DJ784" i="3"/>
  <c r="DI784" i="3"/>
  <c r="DH784" i="3"/>
  <c r="DG784" i="3"/>
  <c r="DF784" i="3"/>
  <c r="DE784" i="3"/>
  <c r="DD784" i="3"/>
  <c r="DC784" i="3"/>
  <c r="DB784" i="3"/>
  <c r="DA784" i="3"/>
  <c r="CZ784" i="3"/>
  <c r="CY784" i="3"/>
  <c r="CX784" i="3"/>
  <c r="CW784" i="3"/>
  <c r="CV784" i="3"/>
  <c r="CU784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C784" i="3"/>
  <c r="CB784" i="3"/>
  <c r="CA784" i="3"/>
  <c r="BZ784" i="3"/>
  <c r="BY784" i="3"/>
  <c r="BX784" i="3"/>
  <c r="BW784" i="3"/>
  <c r="BV784" i="3"/>
  <c r="BU784" i="3"/>
  <c r="BT784" i="3"/>
  <c r="BS784" i="3"/>
  <c r="BR784" i="3"/>
  <c r="BQ784" i="3"/>
  <c r="BP784" i="3"/>
  <c r="BO784" i="3"/>
  <c r="BN784" i="3"/>
  <c r="DU783" i="3"/>
  <c r="DT783" i="3"/>
  <c r="DS783" i="3"/>
  <c r="DR783" i="3"/>
  <c r="DQ783" i="3"/>
  <c r="DP783" i="3"/>
  <c r="DO783" i="3"/>
  <c r="DN783" i="3"/>
  <c r="DM783" i="3"/>
  <c r="DL783" i="3"/>
  <c r="DK783" i="3"/>
  <c r="DJ783" i="3"/>
  <c r="DI783" i="3"/>
  <c r="DH783" i="3"/>
  <c r="DG783" i="3"/>
  <c r="DF783" i="3"/>
  <c r="DE783" i="3"/>
  <c r="DD783" i="3"/>
  <c r="DC783" i="3"/>
  <c r="DB783" i="3"/>
  <c r="DA783" i="3"/>
  <c r="CZ783" i="3"/>
  <c r="CY783" i="3"/>
  <c r="CX783" i="3"/>
  <c r="CW783" i="3"/>
  <c r="CV783" i="3"/>
  <c r="CU783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C783" i="3"/>
  <c r="CB783" i="3"/>
  <c r="CA783" i="3"/>
  <c r="BZ783" i="3"/>
  <c r="BY783" i="3"/>
  <c r="BX783" i="3"/>
  <c r="BW783" i="3"/>
  <c r="BV783" i="3"/>
  <c r="BU783" i="3"/>
  <c r="BT783" i="3"/>
  <c r="BS783" i="3"/>
  <c r="BR783" i="3"/>
  <c r="BQ783" i="3"/>
  <c r="BP783" i="3"/>
  <c r="BO783" i="3"/>
  <c r="BN783" i="3"/>
  <c r="DU782" i="3"/>
  <c r="DT782" i="3"/>
  <c r="DS782" i="3"/>
  <c r="DR782" i="3"/>
  <c r="DQ782" i="3"/>
  <c r="DP782" i="3"/>
  <c r="DO782" i="3"/>
  <c r="DN782" i="3"/>
  <c r="DM782" i="3"/>
  <c r="DL782" i="3"/>
  <c r="DK782" i="3"/>
  <c r="DJ782" i="3"/>
  <c r="DI782" i="3"/>
  <c r="DH782" i="3"/>
  <c r="DG782" i="3"/>
  <c r="DF782" i="3"/>
  <c r="DE782" i="3"/>
  <c r="DD782" i="3"/>
  <c r="DC782" i="3"/>
  <c r="DB782" i="3"/>
  <c r="DA782" i="3"/>
  <c r="CZ782" i="3"/>
  <c r="CY782" i="3"/>
  <c r="CX782" i="3"/>
  <c r="CW782" i="3"/>
  <c r="CV782" i="3"/>
  <c r="CU782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C782" i="3"/>
  <c r="CB782" i="3"/>
  <c r="CA782" i="3"/>
  <c r="BZ782" i="3"/>
  <c r="BY782" i="3"/>
  <c r="BX782" i="3"/>
  <c r="BW782" i="3"/>
  <c r="BV782" i="3"/>
  <c r="BU782" i="3"/>
  <c r="BT782" i="3"/>
  <c r="BS782" i="3"/>
  <c r="BR782" i="3"/>
  <c r="BQ782" i="3"/>
  <c r="BP782" i="3"/>
  <c r="BO782" i="3"/>
  <c r="BN782" i="3"/>
  <c r="DU781" i="3"/>
  <c r="DT781" i="3"/>
  <c r="DS781" i="3"/>
  <c r="DR781" i="3"/>
  <c r="DQ781" i="3"/>
  <c r="DP781" i="3"/>
  <c r="DO781" i="3"/>
  <c r="DN781" i="3"/>
  <c r="DM781" i="3"/>
  <c r="DL781" i="3"/>
  <c r="DK781" i="3"/>
  <c r="DJ781" i="3"/>
  <c r="DI781" i="3"/>
  <c r="DH781" i="3"/>
  <c r="DG781" i="3"/>
  <c r="DF781" i="3"/>
  <c r="DE781" i="3"/>
  <c r="DD781" i="3"/>
  <c r="DC781" i="3"/>
  <c r="DB781" i="3"/>
  <c r="DA781" i="3"/>
  <c r="CZ781" i="3"/>
  <c r="CY781" i="3"/>
  <c r="CX781" i="3"/>
  <c r="CW781" i="3"/>
  <c r="CV781" i="3"/>
  <c r="CU781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C781" i="3"/>
  <c r="CB781" i="3"/>
  <c r="CA781" i="3"/>
  <c r="BZ781" i="3"/>
  <c r="BY781" i="3"/>
  <c r="BX781" i="3"/>
  <c r="BW781" i="3"/>
  <c r="BV781" i="3"/>
  <c r="BU781" i="3"/>
  <c r="BT781" i="3"/>
  <c r="BS781" i="3"/>
  <c r="BR781" i="3"/>
  <c r="BQ781" i="3"/>
  <c r="BP781" i="3"/>
  <c r="BO781" i="3"/>
  <c r="BN781" i="3"/>
  <c r="DU780" i="3"/>
  <c r="DT780" i="3"/>
  <c r="DS780" i="3"/>
  <c r="DR780" i="3"/>
  <c r="DQ780" i="3"/>
  <c r="DP780" i="3"/>
  <c r="DO780" i="3"/>
  <c r="DN780" i="3"/>
  <c r="DM780" i="3"/>
  <c r="DL780" i="3"/>
  <c r="DK780" i="3"/>
  <c r="DJ780" i="3"/>
  <c r="DI780" i="3"/>
  <c r="DH780" i="3"/>
  <c r="DG780" i="3"/>
  <c r="DF780" i="3"/>
  <c r="DE780" i="3"/>
  <c r="DD780" i="3"/>
  <c r="DC780" i="3"/>
  <c r="DB780" i="3"/>
  <c r="DA780" i="3"/>
  <c r="CZ780" i="3"/>
  <c r="CY780" i="3"/>
  <c r="CX780" i="3"/>
  <c r="CW780" i="3"/>
  <c r="CV780" i="3"/>
  <c r="CU780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C780" i="3"/>
  <c r="CB780" i="3"/>
  <c r="CA780" i="3"/>
  <c r="BZ780" i="3"/>
  <c r="BY780" i="3"/>
  <c r="BX780" i="3"/>
  <c r="BW780" i="3"/>
  <c r="BV780" i="3"/>
  <c r="BU780" i="3"/>
  <c r="BT780" i="3"/>
  <c r="BS780" i="3"/>
  <c r="BR780" i="3"/>
  <c r="BQ780" i="3"/>
  <c r="BP780" i="3"/>
  <c r="BO780" i="3"/>
  <c r="BN780" i="3"/>
  <c r="DU779" i="3"/>
  <c r="DT779" i="3"/>
  <c r="DS779" i="3"/>
  <c r="DR779" i="3"/>
  <c r="DQ779" i="3"/>
  <c r="DP779" i="3"/>
  <c r="DO779" i="3"/>
  <c r="DN779" i="3"/>
  <c r="DM779" i="3"/>
  <c r="DL779" i="3"/>
  <c r="DK779" i="3"/>
  <c r="DJ779" i="3"/>
  <c r="DI779" i="3"/>
  <c r="DH779" i="3"/>
  <c r="DG779" i="3"/>
  <c r="DF779" i="3"/>
  <c r="DE779" i="3"/>
  <c r="DD779" i="3"/>
  <c r="DC779" i="3"/>
  <c r="DB779" i="3"/>
  <c r="DA779" i="3"/>
  <c r="CZ779" i="3"/>
  <c r="CY779" i="3"/>
  <c r="CX779" i="3"/>
  <c r="CW779" i="3"/>
  <c r="CV779" i="3"/>
  <c r="CU779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C779" i="3"/>
  <c r="CB779" i="3"/>
  <c r="CA779" i="3"/>
  <c r="BZ779" i="3"/>
  <c r="BY779" i="3"/>
  <c r="BX779" i="3"/>
  <c r="BW779" i="3"/>
  <c r="BV779" i="3"/>
  <c r="BU779" i="3"/>
  <c r="BT779" i="3"/>
  <c r="BS779" i="3"/>
  <c r="BR779" i="3"/>
  <c r="BQ779" i="3"/>
  <c r="BP779" i="3"/>
  <c r="BO779" i="3"/>
  <c r="BN779" i="3"/>
  <c r="DU778" i="3"/>
  <c r="DT778" i="3"/>
  <c r="DS778" i="3"/>
  <c r="DR778" i="3"/>
  <c r="DQ778" i="3"/>
  <c r="DP778" i="3"/>
  <c r="DO778" i="3"/>
  <c r="DN778" i="3"/>
  <c r="DM778" i="3"/>
  <c r="DL778" i="3"/>
  <c r="DK778" i="3"/>
  <c r="DJ778" i="3"/>
  <c r="DI778" i="3"/>
  <c r="DH778" i="3"/>
  <c r="DG778" i="3"/>
  <c r="DF778" i="3"/>
  <c r="DE778" i="3"/>
  <c r="DD778" i="3"/>
  <c r="DC778" i="3"/>
  <c r="DB778" i="3"/>
  <c r="DA778" i="3"/>
  <c r="CZ778" i="3"/>
  <c r="CY778" i="3"/>
  <c r="CX778" i="3"/>
  <c r="CW778" i="3"/>
  <c r="CV778" i="3"/>
  <c r="CU778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C778" i="3"/>
  <c r="CB778" i="3"/>
  <c r="CA778" i="3"/>
  <c r="BZ778" i="3"/>
  <c r="BY778" i="3"/>
  <c r="BX778" i="3"/>
  <c r="BW778" i="3"/>
  <c r="BV778" i="3"/>
  <c r="BU778" i="3"/>
  <c r="BT778" i="3"/>
  <c r="BS778" i="3"/>
  <c r="BR778" i="3"/>
  <c r="BQ778" i="3"/>
  <c r="BP778" i="3"/>
  <c r="BO778" i="3"/>
  <c r="BN778" i="3"/>
  <c r="DU777" i="3"/>
  <c r="DT777" i="3"/>
  <c r="DS777" i="3"/>
  <c r="DR777" i="3"/>
  <c r="DQ777" i="3"/>
  <c r="DP777" i="3"/>
  <c r="DO777" i="3"/>
  <c r="DN777" i="3"/>
  <c r="DM777" i="3"/>
  <c r="DL777" i="3"/>
  <c r="DK777" i="3"/>
  <c r="DJ777" i="3"/>
  <c r="DI777" i="3"/>
  <c r="DH777" i="3"/>
  <c r="DG777" i="3"/>
  <c r="DF777" i="3"/>
  <c r="DE777" i="3"/>
  <c r="DD777" i="3"/>
  <c r="DC777" i="3"/>
  <c r="DB777" i="3"/>
  <c r="DA777" i="3"/>
  <c r="CZ777" i="3"/>
  <c r="CY777" i="3"/>
  <c r="CX777" i="3"/>
  <c r="CW777" i="3"/>
  <c r="CV777" i="3"/>
  <c r="CU777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C777" i="3"/>
  <c r="CB777" i="3"/>
  <c r="CA777" i="3"/>
  <c r="BZ777" i="3"/>
  <c r="BY777" i="3"/>
  <c r="BX777" i="3"/>
  <c r="BW777" i="3"/>
  <c r="BV777" i="3"/>
  <c r="BU777" i="3"/>
  <c r="BT777" i="3"/>
  <c r="BS777" i="3"/>
  <c r="BR777" i="3"/>
  <c r="BQ777" i="3"/>
  <c r="BP777" i="3"/>
  <c r="BO777" i="3"/>
  <c r="BN777" i="3"/>
  <c r="DU776" i="3"/>
  <c r="DT776" i="3"/>
  <c r="DS776" i="3"/>
  <c r="DR776" i="3"/>
  <c r="DQ776" i="3"/>
  <c r="DP776" i="3"/>
  <c r="DO776" i="3"/>
  <c r="DN776" i="3"/>
  <c r="DM776" i="3"/>
  <c r="DL776" i="3"/>
  <c r="DK776" i="3"/>
  <c r="DJ776" i="3"/>
  <c r="DI776" i="3"/>
  <c r="DH776" i="3"/>
  <c r="DG776" i="3"/>
  <c r="DF776" i="3"/>
  <c r="DE776" i="3"/>
  <c r="DD776" i="3"/>
  <c r="DC776" i="3"/>
  <c r="DB776" i="3"/>
  <c r="DA776" i="3"/>
  <c r="CZ776" i="3"/>
  <c r="CY776" i="3"/>
  <c r="CX776" i="3"/>
  <c r="CW776" i="3"/>
  <c r="CV776" i="3"/>
  <c r="CU776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C776" i="3"/>
  <c r="CB776" i="3"/>
  <c r="CA776" i="3"/>
  <c r="BZ776" i="3"/>
  <c r="BY776" i="3"/>
  <c r="BX776" i="3"/>
  <c r="BW776" i="3"/>
  <c r="BV776" i="3"/>
  <c r="BU776" i="3"/>
  <c r="BT776" i="3"/>
  <c r="BS776" i="3"/>
  <c r="BR776" i="3"/>
  <c r="BQ776" i="3"/>
  <c r="BP776" i="3"/>
  <c r="BO776" i="3"/>
  <c r="BN776" i="3"/>
  <c r="DU775" i="3"/>
  <c r="DT775" i="3"/>
  <c r="DS775" i="3"/>
  <c r="DR775" i="3"/>
  <c r="DQ775" i="3"/>
  <c r="DP775" i="3"/>
  <c r="DO775" i="3"/>
  <c r="DN775" i="3"/>
  <c r="DM775" i="3"/>
  <c r="DL775" i="3"/>
  <c r="DK775" i="3"/>
  <c r="DJ775" i="3"/>
  <c r="DI775" i="3"/>
  <c r="DH775" i="3"/>
  <c r="DG775" i="3"/>
  <c r="DF775" i="3"/>
  <c r="DE775" i="3"/>
  <c r="DD775" i="3"/>
  <c r="DC775" i="3"/>
  <c r="DB775" i="3"/>
  <c r="DA775" i="3"/>
  <c r="CZ775" i="3"/>
  <c r="CY775" i="3"/>
  <c r="CX775" i="3"/>
  <c r="CW775" i="3"/>
  <c r="CV775" i="3"/>
  <c r="CU775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C775" i="3"/>
  <c r="CB775" i="3"/>
  <c r="CA775" i="3"/>
  <c r="BZ775" i="3"/>
  <c r="BY775" i="3"/>
  <c r="BX775" i="3"/>
  <c r="BW775" i="3"/>
  <c r="BV775" i="3"/>
  <c r="BU775" i="3"/>
  <c r="BT775" i="3"/>
  <c r="BS775" i="3"/>
  <c r="BR775" i="3"/>
  <c r="BQ775" i="3"/>
  <c r="BP775" i="3"/>
  <c r="BO775" i="3"/>
  <c r="BN775" i="3"/>
  <c r="DU774" i="3"/>
  <c r="DT774" i="3"/>
  <c r="DS774" i="3"/>
  <c r="DR774" i="3"/>
  <c r="DQ774" i="3"/>
  <c r="DP774" i="3"/>
  <c r="DO774" i="3"/>
  <c r="DN774" i="3"/>
  <c r="DM774" i="3"/>
  <c r="DL774" i="3"/>
  <c r="DK774" i="3"/>
  <c r="DJ774" i="3"/>
  <c r="DI774" i="3"/>
  <c r="DH774" i="3"/>
  <c r="DG774" i="3"/>
  <c r="DF774" i="3"/>
  <c r="DE774" i="3"/>
  <c r="DD774" i="3"/>
  <c r="DC774" i="3"/>
  <c r="DB774" i="3"/>
  <c r="DA774" i="3"/>
  <c r="CZ774" i="3"/>
  <c r="CY774" i="3"/>
  <c r="CX774" i="3"/>
  <c r="CW774" i="3"/>
  <c r="CV774" i="3"/>
  <c r="CU774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C774" i="3"/>
  <c r="CB774" i="3"/>
  <c r="CA774" i="3"/>
  <c r="BZ774" i="3"/>
  <c r="BY774" i="3"/>
  <c r="BX774" i="3"/>
  <c r="BW774" i="3"/>
  <c r="BV774" i="3"/>
  <c r="BU774" i="3"/>
  <c r="BT774" i="3"/>
  <c r="BS774" i="3"/>
  <c r="BR774" i="3"/>
  <c r="BQ774" i="3"/>
  <c r="BP774" i="3"/>
  <c r="BO774" i="3"/>
  <c r="BN774" i="3"/>
  <c r="DU773" i="3"/>
  <c r="DT773" i="3"/>
  <c r="DS773" i="3"/>
  <c r="DR773" i="3"/>
  <c r="DQ773" i="3"/>
  <c r="DP773" i="3"/>
  <c r="DO773" i="3"/>
  <c r="DN773" i="3"/>
  <c r="DM773" i="3"/>
  <c r="DL773" i="3"/>
  <c r="DK773" i="3"/>
  <c r="DJ773" i="3"/>
  <c r="DI773" i="3"/>
  <c r="DH773" i="3"/>
  <c r="DG773" i="3"/>
  <c r="DF773" i="3"/>
  <c r="DE773" i="3"/>
  <c r="DD773" i="3"/>
  <c r="DC773" i="3"/>
  <c r="DB773" i="3"/>
  <c r="DA773" i="3"/>
  <c r="CZ773" i="3"/>
  <c r="CY773" i="3"/>
  <c r="CX773" i="3"/>
  <c r="CW773" i="3"/>
  <c r="CV773" i="3"/>
  <c r="CU773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C773" i="3"/>
  <c r="CB773" i="3"/>
  <c r="CA773" i="3"/>
  <c r="BZ773" i="3"/>
  <c r="BY773" i="3"/>
  <c r="BX773" i="3"/>
  <c r="BW773" i="3"/>
  <c r="BV773" i="3"/>
  <c r="BU773" i="3"/>
  <c r="BT773" i="3"/>
  <c r="BS773" i="3"/>
  <c r="BR773" i="3"/>
  <c r="BQ773" i="3"/>
  <c r="BP773" i="3"/>
  <c r="BO773" i="3"/>
  <c r="BN773" i="3"/>
  <c r="DU772" i="3"/>
  <c r="DT772" i="3"/>
  <c r="DS772" i="3"/>
  <c r="DR772" i="3"/>
  <c r="DQ772" i="3"/>
  <c r="DP772" i="3"/>
  <c r="DO772" i="3"/>
  <c r="DN772" i="3"/>
  <c r="DM772" i="3"/>
  <c r="DL772" i="3"/>
  <c r="DK772" i="3"/>
  <c r="DJ772" i="3"/>
  <c r="DI772" i="3"/>
  <c r="DH772" i="3"/>
  <c r="DG772" i="3"/>
  <c r="DF772" i="3"/>
  <c r="DE772" i="3"/>
  <c r="DD772" i="3"/>
  <c r="DC772" i="3"/>
  <c r="DB772" i="3"/>
  <c r="DA772" i="3"/>
  <c r="CZ772" i="3"/>
  <c r="CY772" i="3"/>
  <c r="CX772" i="3"/>
  <c r="CW772" i="3"/>
  <c r="CV772" i="3"/>
  <c r="CU772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C772" i="3"/>
  <c r="CB772" i="3"/>
  <c r="CA772" i="3"/>
  <c r="BZ772" i="3"/>
  <c r="BY772" i="3"/>
  <c r="BX772" i="3"/>
  <c r="BW772" i="3"/>
  <c r="BV772" i="3"/>
  <c r="BU772" i="3"/>
  <c r="BT772" i="3"/>
  <c r="BS772" i="3"/>
  <c r="BR772" i="3"/>
  <c r="BQ772" i="3"/>
  <c r="BP772" i="3"/>
  <c r="BO772" i="3"/>
  <c r="BN772" i="3"/>
  <c r="DU771" i="3"/>
  <c r="DT771" i="3"/>
  <c r="DS771" i="3"/>
  <c r="DR771" i="3"/>
  <c r="DQ771" i="3"/>
  <c r="DP771" i="3"/>
  <c r="DO771" i="3"/>
  <c r="DN771" i="3"/>
  <c r="DM771" i="3"/>
  <c r="DL771" i="3"/>
  <c r="DK771" i="3"/>
  <c r="DJ771" i="3"/>
  <c r="DI771" i="3"/>
  <c r="DH771" i="3"/>
  <c r="DG771" i="3"/>
  <c r="DF771" i="3"/>
  <c r="DE771" i="3"/>
  <c r="DD771" i="3"/>
  <c r="DC771" i="3"/>
  <c r="DB771" i="3"/>
  <c r="DA771" i="3"/>
  <c r="CZ771" i="3"/>
  <c r="CY771" i="3"/>
  <c r="CX771" i="3"/>
  <c r="CW771" i="3"/>
  <c r="CV771" i="3"/>
  <c r="CU771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C771" i="3"/>
  <c r="CB771" i="3"/>
  <c r="CA771" i="3"/>
  <c r="BZ771" i="3"/>
  <c r="BY771" i="3"/>
  <c r="BX771" i="3"/>
  <c r="BW771" i="3"/>
  <c r="BV771" i="3"/>
  <c r="BU771" i="3"/>
  <c r="BT771" i="3"/>
  <c r="BS771" i="3"/>
  <c r="BR771" i="3"/>
  <c r="BQ771" i="3"/>
  <c r="BP771" i="3"/>
  <c r="BO771" i="3"/>
  <c r="BN771" i="3"/>
  <c r="DU770" i="3"/>
  <c r="DT770" i="3"/>
  <c r="DS770" i="3"/>
  <c r="DR770" i="3"/>
  <c r="DQ770" i="3"/>
  <c r="DP770" i="3"/>
  <c r="DO770" i="3"/>
  <c r="DN770" i="3"/>
  <c r="DM770" i="3"/>
  <c r="DL770" i="3"/>
  <c r="DK770" i="3"/>
  <c r="DJ770" i="3"/>
  <c r="DI770" i="3"/>
  <c r="DH770" i="3"/>
  <c r="DG770" i="3"/>
  <c r="DF770" i="3"/>
  <c r="DE770" i="3"/>
  <c r="DD770" i="3"/>
  <c r="DC770" i="3"/>
  <c r="DB770" i="3"/>
  <c r="DA770" i="3"/>
  <c r="CZ770" i="3"/>
  <c r="CY770" i="3"/>
  <c r="CX770" i="3"/>
  <c r="CW770" i="3"/>
  <c r="CV770" i="3"/>
  <c r="CU770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C770" i="3"/>
  <c r="CB770" i="3"/>
  <c r="CA770" i="3"/>
  <c r="BZ770" i="3"/>
  <c r="BY770" i="3"/>
  <c r="BX770" i="3"/>
  <c r="BW770" i="3"/>
  <c r="BV770" i="3"/>
  <c r="BU770" i="3"/>
  <c r="BT770" i="3"/>
  <c r="BS770" i="3"/>
  <c r="BR770" i="3"/>
  <c r="BQ770" i="3"/>
  <c r="BP770" i="3"/>
  <c r="BO770" i="3"/>
  <c r="BN770" i="3"/>
  <c r="DU769" i="3"/>
  <c r="DT769" i="3"/>
  <c r="DS769" i="3"/>
  <c r="DR769" i="3"/>
  <c r="DQ769" i="3"/>
  <c r="DP769" i="3"/>
  <c r="DO769" i="3"/>
  <c r="DN769" i="3"/>
  <c r="DM769" i="3"/>
  <c r="DL769" i="3"/>
  <c r="DK769" i="3"/>
  <c r="DJ769" i="3"/>
  <c r="DI769" i="3"/>
  <c r="DH769" i="3"/>
  <c r="DG769" i="3"/>
  <c r="DF769" i="3"/>
  <c r="DE769" i="3"/>
  <c r="DD769" i="3"/>
  <c r="DC769" i="3"/>
  <c r="DB769" i="3"/>
  <c r="DA769" i="3"/>
  <c r="CZ769" i="3"/>
  <c r="CY769" i="3"/>
  <c r="CX769" i="3"/>
  <c r="CW769" i="3"/>
  <c r="CV769" i="3"/>
  <c r="CU769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C769" i="3"/>
  <c r="CB769" i="3"/>
  <c r="CA769" i="3"/>
  <c r="BZ769" i="3"/>
  <c r="BY769" i="3"/>
  <c r="BX769" i="3"/>
  <c r="BW769" i="3"/>
  <c r="BV769" i="3"/>
  <c r="BU769" i="3"/>
  <c r="BT769" i="3"/>
  <c r="BS769" i="3"/>
  <c r="BR769" i="3"/>
  <c r="BQ769" i="3"/>
  <c r="BP769" i="3"/>
  <c r="BO769" i="3"/>
  <c r="BN769" i="3"/>
  <c r="DU768" i="3"/>
  <c r="DT768" i="3"/>
  <c r="DS768" i="3"/>
  <c r="DR768" i="3"/>
  <c r="DQ768" i="3"/>
  <c r="DP768" i="3"/>
  <c r="DO768" i="3"/>
  <c r="DN768" i="3"/>
  <c r="DM768" i="3"/>
  <c r="DL768" i="3"/>
  <c r="DK768" i="3"/>
  <c r="DJ768" i="3"/>
  <c r="DI768" i="3"/>
  <c r="DH768" i="3"/>
  <c r="DG768" i="3"/>
  <c r="DF768" i="3"/>
  <c r="DE768" i="3"/>
  <c r="DD768" i="3"/>
  <c r="DC768" i="3"/>
  <c r="DB768" i="3"/>
  <c r="DA768" i="3"/>
  <c r="CZ768" i="3"/>
  <c r="CY768" i="3"/>
  <c r="CX768" i="3"/>
  <c r="CW768" i="3"/>
  <c r="CV768" i="3"/>
  <c r="CU768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C768" i="3"/>
  <c r="CB768" i="3"/>
  <c r="CA768" i="3"/>
  <c r="BZ768" i="3"/>
  <c r="BY768" i="3"/>
  <c r="BX768" i="3"/>
  <c r="BW768" i="3"/>
  <c r="BV768" i="3"/>
  <c r="BU768" i="3"/>
  <c r="BT768" i="3"/>
  <c r="BS768" i="3"/>
  <c r="BR768" i="3"/>
  <c r="BQ768" i="3"/>
  <c r="BP768" i="3"/>
  <c r="BO768" i="3"/>
  <c r="BN768" i="3"/>
  <c r="DU767" i="3"/>
  <c r="DT767" i="3"/>
  <c r="DS767" i="3"/>
  <c r="DR767" i="3"/>
  <c r="DQ767" i="3"/>
  <c r="DP767" i="3"/>
  <c r="DO767" i="3"/>
  <c r="DN767" i="3"/>
  <c r="DM767" i="3"/>
  <c r="DL767" i="3"/>
  <c r="DK767" i="3"/>
  <c r="DJ767" i="3"/>
  <c r="DI767" i="3"/>
  <c r="DH767" i="3"/>
  <c r="DG767" i="3"/>
  <c r="DF767" i="3"/>
  <c r="DE767" i="3"/>
  <c r="DD767" i="3"/>
  <c r="DC767" i="3"/>
  <c r="DB767" i="3"/>
  <c r="DA767" i="3"/>
  <c r="CZ767" i="3"/>
  <c r="CY767" i="3"/>
  <c r="CX767" i="3"/>
  <c r="CW767" i="3"/>
  <c r="CV767" i="3"/>
  <c r="CU767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C767" i="3"/>
  <c r="CB767" i="3"/>
  <c r="CA767" i="3"/>
  <c r="BZ767" i="3"/>
  <c r="BY767" i="3"/>
  <c r="BX767" i="3"/>
  <c r="BW767" i="3"/>
  <c r="BV767" i="3"/>
  <c r="BU767" i="3"/>
  <c r="BT767" i="3"/>
  <c r="BS767" i="3"/>
  <c r="BR767" i="3"/>
  <c r="BQ767" i="3"/>
  <c r="BP767" i="3"/>
  <c r="BO767" i="3"/>
  <c r="BN767" i="3"/>
  <c r="DU766" i="3"/>
  <c r="DT766" i="3"/>
  <c r="DS766" i="3"/>
  <c r="DR766" i="3"/>
  <c r="DQ766" i="3"/>
  <c r="DP766" i="3"/>
  <c r="DO766" i="3"/>
  <c r="DN766" i="3"/>
  <c r="DM766" i="3"/>
  <c r="DL766" i="3"/>
  <c r="DK766" i="3"/>
  <c r="DJ766" i="3"/>
  <c r="DI766" i="3"/>
  <c r="DH766" i="3"/>
  <c r="DG766" i="3"/>
  <c r="DF766" i="3"/>
  <c r="DE766" i="3"/>
  <c r="DD766" i="3"/>
  <c r="DC766" i="3"/>
  <c r="DB766" i="3"/>
  <c r="DA766" i="3"/>
  <c r="CZ766" i="3"/>
  <c r="CY766" i="3"/>
  <c r="CX766" i="3"/>
  <c r="CW766" i="3"/>
  <c r="CV766" i="3"/>
  <c r="CU766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C766" i="3"/>
  <c r="CB766" i="3"/>
  <c r="CA766" i="3"/>
  <c r="BZ766" i="3"/>
  <c r="BY766" i="3"/>
  <c r="BX766" i="3"/>
  <c r="BW766" i="3"/>
  <c r="BV766" i="3"/>
  <c r="BU766" i="3"/>
  <c r="BT766" i="3"/>
  <c r="BS766" i="3"/>
  <c r="BR766" i="3"/>
  <c r="BQ766" i="3"/>
  <c r="BP766" i="3"/>
  <c r="BO766" i="3"/>
  <c r="BN766" i="3"/>
  <c r="DU765" i="3"/>
  <c r="DT765" i="3"/>
  <c r="DS765" i="3"/>
  <c r="DR765" i="3"/>
  <c r="DQ765" i="3"/>
  <c r="DP765" i="3"/>
  <c r="DO765" i="3"/>
  <c r="DN765" i="3"/>
  <c r="DM765" i="3"/>
  <c r="DL765" i="3"/>
  <c r="DK765" i="3"/>
  <c r="DJ765" i="3"/>
  <c r="DI765" i="3"/>
  <c r="DH765" i="3"/>
  <c r="DG765" i="3"/>
  <c r="DF765" i="3"/>
  <c r="DE765" i="3"/>
  <c r="DD765" i="3"/>
  <c r="DC765" i="3"/>
  <c r="DB765" i="3"/>
  <c r="DA765" i="3"/>
  <c r="CZ765" i="3"/>
  <c r="CY765" i="3"/>
  <c r="CX765" i="3"/>
  <c r="CW765" i="3"/>
  <c r="CV765" i="3"/>
  <c r="CU765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C765" i="3"/>
  <c r="CB765" i="3"/>
  <c r="CA765" i="3"/>
  <c r="BZ765" i="3"/>
  <c r="BY765" i="3"/>
  <c r="BX765" i="3"/>
  <c r="BW765" i="3"/>
  <c r="BV765" i="3"/>
  <c r="BU765" i="3"/>
  <c r="BT765" i="3"/>
  <c r="BS765" i="3"/>
  <c r="BR765" i="3"/>
  <c r="BQ765" i="3"/>
  <c r="BP765" i="3"/>
  <c r="BO765" i="3"/>
  <c r="BN765" i="3"/>
  <c r="DU764" i="3"/>
  <c r="DT764" i="3"/>
  <c r="DS764" i="3"/>
  <c r="DR764" i="3"/>
  <c r="DQ764" i="3"/>
  <c r="DP764" i="3"/>
  <c r="DO764" i="3"/>
  <c r="DN764" i="3"/>
  <c r="DM764" i="3"/>
  <c r="DL764" i="3"/>
  <c r="DK764" i="3"/>
  <c r="DJ764" i="3"/>
  <c r="DI764" i="3"/>
  <c r="DH764" i="3"/>
  <c r="DG764" i="3"/>
  <c r="DF764" i="3"/>
  <c r="DE764" i="3"/>
  <c r="DD764" i="3"/>
  <c r="DC764" i="3"/>
  <c r="DB764" i="3"/>
  <c r="DA764" i="3"/>
  <c r="CZ764" i="3"/>
  <c r="CY764" i="3"/>
  <c r="CX764" i="3"/>
  <c r="CW764" i="3"/>
  <c r="CV764" i="3"/>
  <c r="CU764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C764" i="3"/>
  <c r="CB764" i="3"/>
  <c r="CA764" i="3"/>
  <c r="BZ764" i="3"/>
  <c r="BY764" i="3"/>
  <c r="BX764" i="3"/>
  <c r="BW764" i="3"/>
  <c r="BV764" i="3"/>
  <c r="BU764" i="3"/>
  <c r="BT764" i="3"/>
  <c r="BS764" i="3"/>
  <c r="BR764" i="3"/>
  <c r="BQ764" i="3"/>
  <c r="BP764" i="3"/>
  <c r="BO764" i="3"/>
  <c r="BN764" i="3"/>
  <c r="DU763" i="3"/>
  <c r="DT763" i="3"/>
  <c r="DS763" i="3"/>
  <c r="DR763" i="3"/>
  <c r="DQ763" i="3"/>
  <c r="DP763" i="3"/>
  <c r="DO763" i="3"/>
  <c r="DN763" i="3"/>
  <c r="DM763" i="3"/>
  <c r="DL763" i="3"/>
  <c r="DK763" i="3"/>
  <c r="DJ763" i="3"/>
  <c r="DI763" i="3"/>
  <c r="DH763" i="3"/>
  <c r="DG763" i="3"/>
  <c r="DF763" i="3"/>
  <c r="DE763" i="3"/>
  <c r="DD763" i="3"/>
  <c r="DC763" i="3"/>
  <c r="DB763" i="3"/>
  <c r="DA763" i="3"/>
  <c r="CZ763" i="3"/>
  <c r="CY763" i="3"/>
  <c r="CX763" i="3"/>
  <c r="CW763" i="3"/>
  <c r="CV763" i="3"/>
  <c r="CU763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C763" i="3"/>
  <c r="CB763" i="3"/>
  <c r="CA763" i="3"/>
  <c r="BZ763" i="3"/>
  <c r="BY763" i="3"/>
  <c r="BX763" i="3"/>
  <c r="BW763" i="3"/>
  <c r="BV763" i="3"/>
  <c r="BU763" i="3"/>
  <c r="BT763" i="3"/>
  <c r="BS763" i="3"/>
  <c r="BR763" i="3"/>
  <c r="BQ763" i="3"/>
  <c r="BP763" i="3"/>
  <c r="BO763" i="3"/>
  <c r="BN763" i="3"/>
  <c r="DU762" i="3"/>
  <c r="DT762" i="3"/>
  <c r="DS762" i="3"/>
  <c r="DR762" i="3"/>
  <c r="DQ762" i="3"/>
  <c r="DP762" i="3"/>
  <c r="DO762" i="3"/>
  <c r="DN762" i="3"/>
  <c r="DM762" i="3"/>
  <c r="DL762" i="3"/>
  <c r="DK762" i="3"/>
  <c r="DJ762" i="3"/>
  <c r="DI762" i="3"/>
  <c r="DH762" i="3"/>
  <c r="DG762" i="3"/>
  <c r="DF762" i="3"/>
  <c r="DE762" i="3"/>
  <c r="DD762" i="3"/>
  <c r="DC762" i="3"/>
  <c r="DB762" i="3"/>
  <c r="DA762" i="3"/>
  <c r="CZ762" i="3"/>
  <c r="CY762" i="3"/>
  <c r="CX762" i="3"/>
  <c r="CW762" i="3"/>
  <c r="CV762" i="3"/>
  <c r="CU762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C762" i="3"/>
  <c r="CB762" i="3"/>
  <c r="CA762" i="3"/>
  <c r="BZ762" i="3"/>
  <c r="BY762" i="3"/>
  <c r="BX762" i="3"/>
  <c r="BW762" i="3"/>
  <c r="BV762" i="3"/>
  <c r="BU762" i="3"/>
  <c r="BT762" i="3"/>
  <c r="BS762" i="3"/>
  <c r="BR762" i="3"/>
  <c r="BQ762" i="3"/>
  <c r="BP762" i="3"/>
  <c r="BO762" i="3"/>
  <c r="BN762" i="3"/>
  <c r="DU761" i="3"/>
  <c r="DT761" i="3"/>
  <c r="DS761" i="3"/>
  <c r="DR761" i="3"/>
  <c r="DQ761" i="3"/>
  <c r="DP761" i="3"/>
  <c r="DO761" i="3"/>
  <c r="DN761" i="3"/>
  <c r="DM761" i="3"/>
  <c r="DL761" i="3"/>
  <c r="DK761" i="3"/>
  <c r="DJ761" i="3"/>
  <c r="DI761" i="3"/>
  <c r="DH761" i="3"/>
  <c r="DG761" i="3"/>
  <c r="DF761" i="3"/>
  <c r="DE761" i="3"/>
  <c r="DD761" i="3"/>
  <c r="DC761" i="3"/>
  <c r="DB761" i="3"/>
  <c r="DA761" i="3"/>
  <c r="CZ761" i="3"/>
  <c r="CY761" i="3"/>
  <c r="CX761" i="3"/>
  <c r="CW761" i="3"/>
  <c r="CV761" i="3"/>
  <c r="CU761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C761" i="3"/>
  <c r="CB761" i="3"/>
  <c r="CA761" i="3"/>
  <c r="BZ761" i="3"/>
  <c r="BY761" i="3"/>
  <c r="BX761" i="3"/>
  <c r="BW761" i="3"/>
  <c r="BV761" i="3"/>
  <c r="BU761" i="3"/>
  <c r="BT761" i="3"/>
  <c r="BS761" i="3"/>
  <c r="BR761" i="3"/>
  <c r="BQ761" i="3"/>
  <c r="BP761" i="3"/>
  <c r="BO761" i="3"/>
  <c r="BN761" i="3"/>
  <c r="DU760" i="3"/>
  <c r="DT760" i="3"/>
  <c r="DS760" i="3"/>
  <c r="DR760" i="3"/>
  <c r="DQ760" i="3"/>
  <c r="DP760" i="3"/>
  <c r="DO760" i="3"/>
  <c r="DN760" i="3"/>
  <c r="DM760" i="3"/>
  <c r="DL760" i="3"/>
  <c r="DK760" i="3"/>
  <c r="DJ760" i="3"/>
  <c r="DI760" i="3"/>
  <c r="DH760" i="3"/>
  <c r="DG760" i="3"/>
  <c r="DF760" i="3"/>
  <c r="DE760" i="3"/>
  <c r="DD760" i="3"/>
  <c r="DC760" i="3"/>
  <c r="DB760" i="3"/>
  <c r="DA760" i="3"/>
  <c r="CZ760" i="3"/>
  <c r="CY760" i="3"/>
  <c r="CX760" i="3"/>
  <c r="CW760" i="3"/>
  <c r="CV760" i="3"/>
  <c r="CU760" i="3"/>
  <c r="CT760" i="3"/>
  <c r="CS760" i="3"/>
  <c r="CR760" i="3"/>
  <c r="CQ760" i="3"/>
  <c r="CP760" i="3"/>
  <c r="CO760" i="3"/>
  <c r="CN760" i="3"/>
  <c r="CM760" i="3"/>
  <c r="CL760" i="3"/>
  <c r="CK760" i="3"/>
  <c r="CJ760" i="3"/>
  <c r="CI760" i="3"/>
  <c r="CH760" i="3"/>
  <c r="CG760" i="3"/>
  <c r="CF760" i="3"/>
  <c r="CE760" i="3"/>
  <c r="CD760" i="3"/>
  <c r="CC760" i="3"/>
  <c r="CB760" i="3"/>
  <c r="CA760" i="3"/>
  <c r="BZ760" i="3"/>
  <c r="BY760" i="3"/>
  <c r="BX760" i="3"/>
  <c r="BW760" i="3"/>
  <c r="BV760" i="3"/>
  <c r="BU760" i="3"/>
  <c r="BT760" i="3"/>
  <c r="BS760" i="3"/>
  <c r="BR760" i="3"/>
  <c r="BQ760" i="3"/>
  <c r="BP760" i="3"/>
  <c r="BO760" i="3"/>
  <c r="BN760" i="3"/>
  <c r="DU759" i="3"/>
  <c r="DT759" i="3"/>
  <c r="DS759" i="3"/>
  <c r="DR759" i="3"/>
  <c r="DQ759" i="3"/>
  <c r="DP759" i="3"/>
  <c r="DO759" i="3"/>
  <c r="DN759" i="3"/>
  <c r="DM759" i="3"/>
  <c r="DL759" i="3"/>
  <c r="DK759" i="3"/>
  <c r="DJ759" i="3"/>
  <c r="DI759" i="3"/>
  <c r="DH759" i="3"/>
  <c r="DG759" i="3"/>
  <c r="DF759" i="3"/>
  <c r="DE759" i="3"/>
  <c r="DD759" i="3"/>
  <c r="DC759" i="3"/>
  <c r="DB759" i="3"/>
  <c r="DA759" i="3"/>
  <c r="CZ759" i="3"/>
  <c r="CY759" i="3"/>
  <c r="CX759" i="3"/>
  <c r="CW759" i="3"/>
  <c r="CV759" i="3"/>
  <c r="CU759" i="3"/>
  <c r="CT759" i="3"/>
  <c r="CS759" i="3"/>
  <c r="CR759" i="3"/>
  <c r="CQ759" i="3"/>
  <c r="CP759" i="3"/>
  <c r="CO759" i="3"/>
  <c r="CN759" i="3"/>
  <c r="CM759" i="3"/>
  <c r="CL759" i="3"/>
  <c r="CK759" i="3"/>
  <c r="CJ759" i="3"/>
  <c r="CI759" i="3"/>
  <c r="CH759" i="3"/>
  <c r="CG759" i="3"/>
  <c r="CF759" i="3"/>
  <c r="CE759" i="3"/>
  <c r="CD759" i="3"/>
  <c r="CC759" i="3"/>
  <c r="CB759" i="3"/>
  <c r="CA759" i="3"/>
  <c r="BZ759" i="3"/>
  <c r="BY759" i="3"/>
  <c r="BX759" i="3"/>
  <c r="BW759" i="3"/>
  <c r="BV759" i="3"/>
  <c r="BU759" i="3"/>
  <c r="BT759" i="3"/>
  <c r="BS759" i="3"/>
  <c r="BR759" i="3"/>
  <c r="BQ759" i="3"/>
  <c r="BP759" i="3"/>
  <c r="BO759" i="3"/>
  <c r="BN759" i="3"/>
  <c r="DU758" i="3"/>
  <c r="DT758" i="3"/>
  <c r="DS758" i="3"/>
  <c r="DR758" i="3"/>
  <c r="DQ758" i="3"/>
  <c r="DP758" i="3"/>
  <c r="DO758" i="3"/>
  <c r="DN758" i="3"/>
  <c r="DM758" i="3"/>
  <c r="DL758" i="3"/>
  <c r="DK758" i="3"/>
  <c r="DJ758" i="3"/>
  <c r="DI758" i="3"/>
  <c r="DH758" i="3"/>
  <c r="DG758" i="3"/>
  <c r="DF758" i="3"/>
  <c r="DE758" i="3"/>
  <c r="DD758" i="3"/>
  <c r="DC758" i="3"/>
  <c r="DB758" i="3"/>
  <c r="DA758" i="3"/>
  <c r="CZ758" i="3"/>
  <c r="CY758" i="3"/>
  <c r="CX758" i="3"/>
  <c r="CW758" i="3"/>
  <c r="CV758" i="3"/>
  <c r="CU758" i="3"/>
  <c r="CT758" i="3"/>
  <c r="CS758" i="3"/>
  <c r="CR758" i="3"/>
  <c r="CQ758" i="3"/>
  <c r="CP758" i="3"/>
  <c r="CO758" i="3"/>
  <c r="CN758" i="3"/>
  <c r="CM758" i="3"/>
  <c r="CL758" i="3"/>
  <c r="CK758" i="3"/>
  <c r="CJ758" i="3"/>
  <c r="CI758" i="3"/>
  <c r="CH758" i="3"/>
  <c r="CG758" i="3"/>
  <c r="CF758" i="3"/>
  <c r="CE758" i="3"/>
  <c r="CD758" i="3"/>
  <c r="CC758" i="3"/>
  <c r="CB758" i="3"/>
  <c r="CA758" i="3"/>
  <c r="BZ758" i="3"/>
  <c r="BY758" i="3"/>
  <c r="BX758" i="3"/>
  <c r="BW758" i="3"/>
  <c r="BV758" i="3"/>
  <c r="BU758" i="3"/>
  <c r="BT758" i="3"/>
  <c r="BS758" i="3"/>
  <c r="BR758" i="3"/>
  <c r="BQ758" i="3"/>
  <c r="BP758" i="3"/>
  <c r="BO758" i="3"/>
  <c r="BN758" i="3"/>
  <c r="DU757" i="3"/>
  <c r="DT757" i="3"/>
  <c r="DS757" i="3"/>
  <c r="DR757" i="3"/>
  <c r="DQ757" i="3"/>
  <c r="DP757" i="3"/>
  <c r="DO757" i="3"/>
  <c r="DN757" i="3"/>
  <c r="DM757" i="3"/>
  <c r="DL757" i="3"/>
  <c r="DK757" i="3"/>
  <c r="DJ757" i="3"/>
  <c r="DI757" i="3"/>
  <c r="DH757" i="3"/>
  <c r="DG757" i="3"/>
  <c r="DF757" i="3"/>
  <c r="DE757" i="3"/>
  <c r="DD757" i="3"/>
  <c r="DC757" i="3"/>
  <c r="DB757" i="3"/>
  <c r="DA757" i="3"/>
  <c r="CZ757" i="3"/>
  <c r="CY757" i="3"/>
  <c r="CX757" i="3"/>
  <c r="CW757" i="3"/>
  <c r="CV757" i="3"/>
  <c r="CU757" i="3"/>
  <c r="CT757" i="3"/>
  <c r="CS757" i="3"/>
  <c r="CR757" i="3"/>
  <c r="CQ757" i="3"/>
  <c r="CP757" i="3"/>
  <c r="CO757" i="3"/>
  <c r="CN757" i="3"/>
  <c r="CM757" i="3"/>
  <c r="CL757" i="3"/>
  <c r="CK757" i="3"/>
  <c r="CJ757" i="3"/>
  <c r="CI757" i="3"/>
  <c r="CH757" i="3"/>
  <c r="CG757" i="3"/>
  <c r="CF757" i="3"/>
  <c r="CE757" i="3"/>
  <c r="CD757" i="3"/>
  <c r="CC757" i="3"/>
  <c r="CB757" i="3"/>
  <c r="CA757" i="3"/>
  <c r="BZ757" i="3"/>
  <c r="BY757" i="3"/>
  <c r="BX757" i="3"/>
  <c r="BW757" i="3"/>
  <c r="BV757" i="3"/>
  <c r="BU757" i="3"/>
  <c r="BT757" i="3"/>
  <c r="BS757" i="3"/>
  <c r="BR757" i="3"/>
  <c r="BQ757" i="3"/>
  <c r="BP757" i="3"/>
  <c r="BO757" i="3"/>
  <c r="BN757" i="3"/>
  <c r="DU756" i="3"/>
  <c r="DT756" i="3"/>
  <c r="DS756" i="3"/>
  <c r="DR756" i="3"/>
  <c r="DQ756" i="3"/>
  <c r="DP756" i="3"/>
  <c r="DO756" i="3"/>
  <c r="DN756" i="3"/>
  <c r="DM756" i="3"/>
  <c r="DL756" i="3"/>
  <c r="DK756" i="3"/>
  <c r="DJ756" i="3"/>
  <c r="DI756" i="3"/>
  <c r="DH756" i="3"/>
  <c r="DG756" i="3"/>
  <c r="DF756" i="3"/>
  <c r="DE756" i="3"/>
  <c r="DD756" i="3"/>
  <c r="DC756" i="3"/>
  <c r="DB756" i="3"/>
  <c r="DA756" i="3"/>
  <c r="CZ756" i="3"/>
  <c r="CY756" i="3"/>
  <c r="CX756" i="3"/>
  <c r="CW756" i="3"/>
  <c r="CV756" i="3"/>
  <c r="CU756" i="3"/>
  <c r="CT756" i="3"/>
  <c r="CS756" i="3"/>
  <c r="CR756" i="3"/>
  <c r="CQ756" i="3"/>
  <c r="CP756" i="3"/>
  <c r="CO756" i="3"/>
  <c r="CN756" i="3"/>
  <c r="CM756" i="3"/>
  <c r="CL756" i="3"/>
  <c r="CK756" i="3"/>
  <c r="CJ756" i="3"/>
  <c r="CI756" i="3"/>
  <c r="CH756" i="3"/>
  <c r="CG756" i="3"/>
  <c r="CF756" i="3"/>
  <c r="CE756" i="3"/>
  <c r="CD756" i="3"/>
  <c r="CC756" i="3"/>
  <c r="CB756" i="3"/>
  <c r="CA756" i="3"/>
  <c r="BZ756" i="3"/>
  <c r="BY756" i="3"/>
  <c r="BX756" i="3"/>
  <c r="BW756" i="3"/>
  <c r="BV756" i="3"/>
  <c r="BU756" i="3"/>
  <c r="BT756" i="3"/>
  <c r="BS756" i="3"/>
  <c r="BR756" i="3"/>
  <c r="BQ756" i="3"/>
  <c r="BP756" i="3"/>
  <c r="BO756" i="3"/>
  <c r="BN756" i="3"/>
  <c r="DU755" i="3"/>
  <c r="DT755" i="3"/>
  <c r="DS755" i="3"/>
  <c r="DR755" i="3"/>
  <c r="DQ755" i="3"/>
  <c r="DP755" i="3"/>
  <c r="DO755" i="3"/>
  <c r="DN755" i="3"/>
  <c r="DM755" i="3"/>
  <c r="DL755" i="3"/>
  <c r="DK755" i="3"/>
  <c r="DJ755" i="3"/>
  <c r="DI755" i="3"/>
  <c r="DH755" i="3"/>
  <c r="DG755" i="3"/>
  <c r="DF755" i="3"/>
  <c r="DE755" i="3"/>
  <c r="DD755" i="3"/>
  <c r="DC755" i="3"/>
  <c r="DB755" i="3"/>
  <c r="DA755" i="3"/>
  <c r="CZ755" i="3"/>
  <c r="CY755" i="3"/>
  <c r="CX755" i="3"/>
  <c r="CW755" i="3"/>
  <c r="CV755" i="3"/>
  <c r="CU755" i="3"/>
  <c r="CT755" i="3"/>
  <c r="CS755" i="3"/>
  <c r="CR755" i="3"/>
  <c r="CQ755" i="3"/>
  <c r="CP755" i="3"/>
  <c r="CO755" i="3"/>
  <c r="CN755" i="3"/>
  <c r="CM755" i="3"/>
  <c r="CL755" i="3"/>
  <c r="CK755" i="3"/>
  <c r="CJ755" i="3"/>
  <c r="CI755" i="3"/>
  <c r="CH755" i="3"/>
  <c r="CG755" i="3"/>
  <c r="CF755" i="3"/>
  <c r="CE755" i="3"/>
  <c r="CD755" i="3"/>
  <c r="CC755" i="3"/>
  <c r="CB755" i="3"/>
  <c r="CA755" i="3"/>
  <c r="BZ755" i="3"/>
  <c r="BY755" i="3"/>
  <c r="BX755" i="3"/>
  <c r="BW755" i="3"/>
  <c r="BV755" i="3"/>
  <c r="BU755" i="3"/>
  <c r="BT755" i="3"/>
  <c r="BS755" i="3"/>
  <c r="BR755" i="3"/>
  <c r="BQ755" i="3"/>
  <c r="BP755" i="3"/>
  <c r="BO755" i="3"/>
  <c r="BN755" i="3"/>
  <c r="DU754" i="3"/>
  <c r="DT754" i="3"/>
  <c r="DS754" i="3"/>
  <c r="DR754" i="3"/>
  <c r="DQ754" i="3"/>
  <c r="DP754" i="3"/>
  <c r="DO754" i="3"/>
  <c r="DN754" i="3"/>
  <c r="DM754" i="3"/>
  <c r="DL754" i="3"/>
  <c r="DK754" i="3"/>
  <c r="DJ754" i="3"/>
  <c r="DI754" i="3"/>
  <c r="DH754" i="3"/>
  <c r="DG754" i="3"/>
  <c r="DF754" i="3"/>
  <c r="DE754" i="3"/>
  <c r="DD754" i="3"/>
  <c r="DC754" i="3"/>
  <c r="DB754" i="3"/>
  <c r="DA754" i="3"/>
  <c r="CZ754" i="3"/>
  <c r="CY754" i="3"/>
  <c r="CX754" i="3"/>
  <c r="CW754" i="3"/>
  <c r="CV754" i="3"/>
  <c r="CU754" i="3"/>
  <c r="CT754" i="3"/>
  <c r="CS754" i="3"/>
  <c r="CR754" i="3"/>
  <c r="CQ754" i="3"/>
  <c r="CP754" i="3"/>
  <c r="CO754" i="3"/>
  <c r="CN754" i="3"/>
  <c r="CM754" i="3"/>
  <c r="CL754" i="3"/>
  <c r="CK754" i="3"/>
  <c r="CJ754" i="3"/>
  <c r="CI754" i="3"/>
  <c r="CH754" i="3"/>
  <c r="CG754" i="3"/>
  <c r="CF754" i="3"/>
  <c r="CE754" i="3"/>
  <c r="CD754" i="3"/>
  <c r="CC754" i="3"/>
  <c r="CB754" i="3"/>
  <c r="CA754" i="3"/>
  <c r="BZ754" i="3"/>
  <c r="BY754" i="3"/>
  <c r="BX754" i="3"/>
  <c r="BW754" i="3"/>
  <c r="BV754" i="3"/>
  <c r="BU754" i="3"/>
  <c r="BT754" i="3"/>
  <c r="BS754" i="3"/>
  <c r="BR754" i="3"/>
  <c r="BQ754" i="3"/>
  <c r="BP754" i="3"/>
  <c r="BO754" i="3"/>
  <c r="BN754" i="3"/>
  <c r="DU753" i="3"/>
  <c r="DT753" i="3"/>
  <c r="DS753" i="3"/>
  <c r="DR753" i="3"/>
  <c r="DQ753" i="3"/>
  <c r="DP753" i="3"/>
  <c r="DO753" i="3"/>
  <c r="DN753" i="3"/>
  <c r="DM753" i="3"/>
  <c r="DL753" i="3"/>
  <c r="DK753" i="3"/>
  <c r="DJ753" i="3"/>
  <c r="DI753" i="3"/>
  <c r="DH753" i="3"/>
  <c r="DG753" i="3"/>
  <c r="DF753" i="3"/>
  <c r="DE753" i="3"/>
  <c r="DD753" i="3"/>
  <c r="DC753" i="3"/>
  <c r="DB753" i="3"/>
  <c r="DA753" i="3"/>
  <c r="CZ753" i="3"/>
  <c r="CY753" i="3"/>
  <c r="CX753" i="3"/>
  <c r="CW753" i="3"/>
  <c r="CV753" i="3"/>
  <c r="CU753" i="3"/>
  <c r="CT753" i="3"/>
  <c r="CS753" i="3"/>
  <c r="CR753" i="3"/>
  <c r="CQ753" i="3"/>
  <c r="CP753" i="3"/>
  <c r="CO753" i="3"/>
  <c r="CN753" i="3"/>
  <c r="CM753" i="3"/>
  <c r="CL753" i="3"/>
  <c r="CK753" i="3"/>
  <c r="CJ753" i="3"/>
  <c r="CI753" i="3"/>
  <c r="CH753" i="3"/>
  <c r="CG753" i="3"/>
  <c r="CF753" i="3"/>
  <c r="CE753" i="3"/>
  <c r="CD753" i="3"/>
  <c r="CC753" i="3"/>
  <c r="CB753" i="3"/>
  <c r="CA753" i="3"/>
  <c r="BZ753" i="3"/>
  <c r="BY753" i="3"/>
  <c r="BX753" i="3"/>
  <c r="BW753" i="3"/>
  <c r="BV753" i="3"/>
  <c r="BU753" i="3"/>
  <c r="BT753" i="3"/>
  <c r="BS753" i="3"/>
  <c r="BR753" i="3"/>
  <c r="BQ753" i="3"/>
  <c r="BP753" i="3"/>
  <c r="BO753" i="3"/>
  <c r="BN753" i="3"/>
  <c r="DU752" i="3"/>
  <c r="DT752" i="3"/>
  <c r="DS752" i="3"/>
  <c r="DR752" i="3"/>
  <c r="DQ752" i="3"/>
  <c r="DP752" i="3"/>
  <c r="DO752" i="3"/>
  <c r="DN752" i="3"/>
  <c r="DM752" i="3"/>
  <c r="DL752" i="3"/>
  <c r="DK752" i="3"/>
  <c r="DJ752" i="3"/>
  <c r="DI752" i="3"/>
  <c r="DH752" i="3"/>
  <c r="DG752" i="3"/>
  <c r="DF752" i="3"/>
  <c r="DE752" i="3"/>
  <c r="DD752" i="3"/>
  <c r="DC752" i="3"/>
  <c r="DB752" i="3"/>
  <c r="DA752" i="3"/>
  <c r="CZ752" i="3"/>
  <c r="CY752" i="3"/>
  <c r="CX752" i="3"/>
  <c r="CW752" i="3"/>
  <c r="CV752" i="3"/>
  <c r="CU752" i="3"/>
  <c r="CT752" i="3"/>
  <c r="CS752" i="3"/>
  <c r="CR752" i="3"/>
  <c r="CQ752" i="3"/>
  <c r="CP752" i="3"/>
  <c r="CO752" i="3"/>
  <c r="CN752" i="3"/>
  <c r="CM752" i="3"/>
  <c r="CL752" i="3"/>
  <c r="CK752" i="3"/>
  <c r="CJ752" i="3"/>
  <c r="CI752" i="3"/>
  <c r="CH752" i="3"/>
  <c r="CG752" i="3"/>
  <c r="CF752" i="3"/>
  <c r="CE752" i="3"/>
  <c r="CD752" i="3"/>
  <c r="CC752" i="3"/>
  <c r="CB752" i="3"/>
  <c r="CA752" i="3"/>
  <c r="BZ752" i="3"/>
  <c r="BY752" i="3"/>
  <c r="BX752" i="3"/>
  <c r="BW752" i="3"/>
  <c r="BV752" i="3"/>
  <c r="BU752" i="3"/>
  <c r="BT752" i="3"/>
  <c r="BS752" i="3"/>
  <c r="BR752" i="3"/>
  <c r="BQ752" i="3"/>
  <c r="BP752" i="3"/>
  <c r="BO752" i="3"/>
  <c r="BN752" i="3"/>
  <c r="DU751" i="3"/>
  <c r="DT751" i="3"/>
  <c r="DS751" i="3"/>
  <c r="DR751" i="3"/>
  <c r="DQ751" i="3"/>
  <c r="DP751" i="3"/>
  <c r="DO751" i="3"/>
  <c r="DN751" i="3"/>
  <c r="DM751" i="3"/>
  <c r="DL751" i="3"/>
  <c r="DK751" i="3"/>
  <c r="DJ751" i="3"/>
  <c r="DI751" i="3"/>
  <c r="DH751" i="3"/>
  <c r="DG751" i="3"/>
  <c r="DF751" i="3"/>
  <c r="DE751" i="3"/>
  <c r="DD751" i="3"/>
  <c r="DC751" i="3"/>
  <c r="DB751" i="3"/>
  <c r="DA751" i="3"/>
  <c r="CZ751" i="3"/>
  <c r="CY751" i="3"/>
  <c r="CX751" i="3"/>
  <c r="CW751" i="3"/>
  <c r="CV751" i="3"/>
  <c r="CU751" i="3"/>
  <c r="CT751" i="3"/>
  <c r="CS751" i="3"/>
  <c r="CR751" i="3"/>
  <c r="CQ751" i="3"/>
  <c r="CP751" i="3"/>
  <c r="CO751" i="3"/>
  <c r="CN751" i="3"/>
  <c r="CM751" i="3"/>
  <c r="CL751" i="3"/>
  <c r="CK751" i="3"/>
  <c r="CJ751" i="3"/>
  <c r="CI751" i="3"/>
  <c r="CH751" i="3"/>
  <c r="CG751" i="3"/>
  <c r="CF751" i="3"/>
  <c r="CE751" i="3"/>
  <c r="CD751" i="3"/>
  <c r="CC751" i="3"/>
  <c r="CB751" i="3"/>
  <c r="CA751" i="3"/>
  <c r="BZ751" i="3"/>
  <c r="BY751" i="3"/>
  <c r="BX751" i="3"/>
  <c r="BW751" i="3"/>
  <c r="BV751" i="3"/>
  <c r="BU751" i="3"/>
  <c r="BT751" i="3"/>
  <c r="BS751" i="3"/>
  <c r="BR751" i="3"/>
  <c r="BQ751" i="3"/>
  <c r="BP751" i="3"/>
  <c r="BO751" i="3"/>
  <c r="BN751" i="3"/>
  <c r="DU750" i="3"/>
  <c r="DT750" i="3"/>
  <c r="DS750" i="3"/>
  <c r="DR750" i="3"/>
  <c r="DQ750" i="3"/>
  <c r="DP750" i="3"/>
  <c r="DO750" i="3"/>
  <c r="DN750" i="3"/>
  <c r="DM750" i="3"/>
  <c r="DL750" i="3"/>
  <c r="DK750" i="3"/>
  <c r="DJ750" i="3"/>
  <c r="DI750" i="3"/>
  <c r="DH750" i="3"/>
  <c r="DG750" i="3"/>
  <c r="DF750" i="3"/>
  <c r="DE750" i="3"/>
  <c r="DD750" i="3"/>
  <c r="DC750" i="3"/>
  <c r="DB750" i="3"/>
  <c r="DA750" i="3"/>
  <c r="CZ750" i="3"/>
  <c r="CY750" i="3"/>
  <c r="CX750" i="3"/>
  <c r="CW750" i="3"/>
  <c r="CV750" i="3"/>
  <c r="CU750" i="3"/>
  <c r="CT750" i="3"/>
  <c r="CS750" i="3"/>
  <c r="CR750" i="3"/>
  <c r="CQ750" i="3"/>
  <c r="CP750" i="3"/>
  <c r="CO750" i="3"/>
  <c r="CN750" i="3"/>
  <c r="CM750" i="3"/>
  <c r="CL750" i="3"/>
  <c r="CK750" i="3"/>
  <c r="CJ750" i="3"/>
  <c r="CI750" i="3"/>
  <c r="CH750" i="3"/>
  <c r="CG750" i="3"/>
  <c r="CF750" i="3"/>
  <c r="CE750" i="3"/>
  <c r="CD750" i="3"/>
  <c r="CC750" i="3"/>
  <c r="CB750" i="3"/>
  <c r="CA750" i="3"/>
  <c r="BZ750" i="3"/>
  <c r="BY750" i="3"/>
  <c r="BX750" i="3"/>
  <c r="BW750" i="3"/>
  <c r="BV750" i="3"/>
  <c r="BU750" i="3"/>
  <c r="BT750" i="3"/>
  <c r="BS750" i="3"/>
  <c r="BR750" i="3"/>
  <c r="BQ750" i="3"/>
  <c r="BP750" i="3"/>
  <c r="BO750" i="3"/>
  <c r="BN750" i="3"/>
  <c r="DU749" i="3"/>
  <c r="DT749" i="3"/>
  <c r="DS749" i="3"/>
  <c r="DR749" i="3"/>
  <c r="DQ749" i="3"/>
  <c r="DP749" i="3"/>
  <c r="DO749" i="3"/>
  <c r="DN749" i="3"/>
  <c r="DM749" i="3"/>
  <c r="DL749" i="3"/>
  <c r="DK749" i="3"/>
  <c r="DJ749" i="3"/>
  <c r="DI749" i="3"/>
  <c r="DH749" i="3"/>
  <c r="DG749" i="3"/>
  <c r="DF749" i="3"/>
  <c r="DE749" i="3"/>
  <c r="DD749" i="3"/>
  <c r="DC749" i="3"/>
  <c r="DB749" i="3"/>
  <c r="DA749" i="3"/>
  <c r="CZ749" i="3"/>
  <c r="CY749" i="3"/>
  <c r="CX749" i="3"/>
  <c r="CW749" i="3"/>
  <c r="CV749" i="3"/>
  <c r="CU749" i="3"/>
  <c r="CT749" i="3"/>
  <c r="CS749" i="3"/>
  <c r="CR749" i="3"/>
  <c r="CQ749" i="3"/>
  <c r="CP749" i="3"/>
  <c r="CO749" i="3"/>
  <c r="CN749" i="3"/>
  <c r="CM749" i="3"/>
  <c r="CL749" i="3"/>
  <c r="CK749" i="3"/>
  <c r="CJ749" i="3"/>
  <c r="CI749" i="3"/>
  <c r="CH749" i="3"/>
  <c r="CG749" i="3"/>
  <c r="CF749" i="3"/>
  <c r="CE749" i="3"/>
  <c r="CD749" i="3"/>
  <c r="CC749" i="3"/>
  <c r="CB749" i="3"/>
  <c r="CA749" i="3"/>
  <c r="BZ749" i="3"/>
  <c r="BY749" i="3"/>
  <c r="BX749" i="3"/>
  <c r="BW749" i="3"/>
  <c r="BV749" i="3"/>
  <c r="BU749" i="3"/>
  <c r="BT749" i="3"/>
  <c r="BS749" i="3"/>
  <c r="BR749" i="3"/>
  <c r="BQ749" i="3"/>
  <c r="BP749" i="3"/>
  <c r="BO749" i="3"/>
  <c r="BN749" i="3"/>
  <c r="DU748" i="3"/>
  <c r="DT748" i="3"/>
  <c r="DS748" i="3"/>
  <c r="DR748" i="3"/>
  <c r="DQ748" i="3"/>
  <c r="DP748" i="3"/>
  <c r="DO748" i="3"/>
  <c r="DN748" i="3"/>
  <c r="DM748" i="3"/>
  <c r="DL748" i="3"/>
  <c r="DK748" i="3"/>
  <c r="DJ748" i="3"/>
  <c r="DI748" i="3"/>
  <c r="DH748" i="3"/>
  <c r="DG748" i="3"/>
  <c r="DF748" i="3"/>
  <c r="DE748" i="3"/>
  <c r="DD748" i="3"/>
  <c r="DC748" i="3"/>
  <c r="DB748" i="3"/>
  <c r="DA748" i="3"/>
  <c r="CZ748" i="3"/>
  <c r="CY748" i="3"/>
  <c r="CX748" i="3"/>
  <c r="CW748" i="3"/>
  <c r="CV748" i="3"/>
  <c r="CU748" i="3"/>
  <c r="CT748" i="3"/>
  <c r="CS748" i="3"/>
  <c r="CR748" i="3"/>
  <c r="CQ748" i="3"/>
  <c r="CP748" i="3"/>
  <c r="CO748" i="3"/>
  <c r="CN748" i="3"/>
  <c r="CM748" i="3"/>
  <c r="CL748" i="3"/>
  <c r="CK748" i="3"/>
  <c r="CJ748" i="3"/>
  <c r="CI748" i="3"/>
  <c r="CH748" i="3"/>
  <c r="CG748" i="3"/>
  <c r="CF748" i="3"/>
  <c r="CE748" i="3"/>
  <c r="CD748" i="3"/>
  <c r="CC748" i="3"/>
  <c r="CB748" i="3"/>
  <c r="CA748" i="3"/>
  <c r="BZ748" i="3"/>
  <c r="BY748" i="3"/>
  <c r="BX748" i="3"/>
  <c r="BW748" i="3"/>
  <c r="BV748" i="3"/>
  <c r="BU748" i="3"/>
  <c r="BT748" i="3"/>
  <c r="BS748" i="3"/>
  <c r="BR748" i="3"/>
  <c r="BQ748" i="3"/>
  <c r="BP748" i="3"/>
  <c r="BO748" i="3"/>
  <c r="BN748" i="3"/>
  <c r="DU747" i="3"/>
  <c r="DT747" i="3"/>
  <c r="DS747" i="3"/>
  <c r="DR747" i="3"/>
  <c r="DQ747" i="3"/>
  <c r="DP747" i="3"/>
  <c r="DO747" i="3"/>
  <c r="DN747" i="3"/>
  <c r="DM747" i="3"/>
  <c r="DL747" i="3"/>
  <c r="DK747" i="3"/>
  <c r="DJ747" i="3"/>
  <c r="DI747" i="3"/>
  <c r="DH747" i="3"/>
  <c r="DG747" i="3"/>
  <c r="DF747" i="3"/>
  <c r="DE747" i="3"/>
  <c r="DD747" i="3"/>
  <c r="DC747" i="3"/>
  <c r="DB747" i="3"/>
  <c r="DA747" i="3"/>
  <c r="CZ747" i="3"/>
  <c r="CY747" i="3"/>
  <c r="CX747" i="3"/>
  <c r="CW747" i="3"/>
  <c r="CV747" i="3"/>
  <c r="CU747" i="3"/>
  <c r="CT747" i="3"/>
  <c r="CS747" i="3"/>
  <c r="CR747" i="3"/>
  <c r="CQ747" i="3"/>
  <c r="CP747" i="3"/>
  <c r="CO747" i="3"/>
  <c r="CN747" i="3"/>
  <c r="CM747" i="3"/>
  <c r="CL747" i="3"/>
  <c r="CK747" i="3"/>
  <c r="CJ747" i="3"/>
  <c r="CI747" i="3"/>
  <c r="CH747" i="3"/>
  <c r="CG747" i="3"/>
  <c r="CF747" i="3"/>
  <c r="CE747" i="3"/>
  <c r="CD747" i="3"/>
  <c r="CC747" i="3"/>
  <c r="CB747" i="3"/>
  <c r="CA747" i="3"/>
  <c r="BZ747" i="3"/>
  <c r="BY747" i="3"/>
  <c r="BX747" i="3"/>
  <c r="BW747" i="3"/>
  <c r="BV747" i="3"/>
  <c r="BU747" i="3"/>
  <c r="BT747" i="3"/>
  <c r="BS747" i="3"/>
  <c r="BR747" i="3"/>
  <c r="BQ747" i="3"/>
  <c r="BP747" i="3"/>
  <c r="BO747" i="3"/>
  <c r="BN747" i="3"/>
  <c r="DU746" i="3"/>
  <c r="DT746" i="3"/>
  <c r="DS746" i="3"/>
  <c r="DR746" i="3"/>
  <c r="DQ746" i="3"/>
  <c r="DP746" i="3"/>
  <c r="DO746" i="3"/>
  <c r="DN746" i="3"/>
  <c r="DM746" i="3"/>
  <c r="DL746" i="3"/>
  <c r="DK746" i="3"/>
  <c r="DJ746" i="3"/>
  <c r="DI746" i="3"/>
  <c r="DH746" i="3"/>
  <c r="DG746" i="3"/>
  <c r="DF746" i="3"/>
  <c r="DE746" i="3"/>
  <c r="DD746" i="3"/>
  <c r="DC746" i="3"/>
  <c r="DB746" i="3"/>
  <c r="DA746" i="3"/>
  <c r="CZ746" i="3"/>
  <c r="CY746" i="3"/>
  <c r="CX746" i="3"/>
  <c r="CW746" i="3"/>
  <c r="CV746" i="3"/>
  <c r="CU746" i="3"/>
  <c r="CT746" i="3"/>
  <c r="CS746" i="3"/>
  <c r="CR746" i="3"/>
  <c r="CQ746" i="3"/>
  <c r="CP746" i="3"/>
  <c r="CO746" i="3"/>
  <c r="CN746" i="3"/>
  <c r="CM746" i="3"/>
  <c r="CL746" i="3"/>
  <c r="CK746" i="3"/>
  <c r="CJ746" i="3"/>
  <c r="CI746" i="3"/>
  <c r="CH746" i="3"/>
  <c r="CG746" i="3"/>
  <c r="CF746" i="3"/>
  <c r="CE746" i="3"/>
  <c r="CD746" i="3"/>
  <c r="CC746" i="3"/>
  <c r="CB746" i="3"/>
  <c r="CA746" i="3"/>
  <c r="BZ746" i="3"/>
  <c r="BY746" i="3"/>
  <c r="BX746" i="3"/>
  <c r="BW746" i="3"/>
  <c r="BV746" i="3"/>
  <c r="BU746" i="3"/>
  <c r="BT746" i="3"/>
  <c r="BS746" i="3"/>
  <c r="BR746" i="3"/>
  <c r="BQ746" i="3"/>
  <c r="BP746" i="3"/>
  <c r="BO746" i="3"/>
  <c r="BN746" i="3"/>
  <c r="DU745" i="3"/>
  <c r="DT745" i="3"/>
  <c r="DS745" i="3"/>
  <c r="DR745" i="3"/>
  <c r="DQ745" i="3"/>
  <c r="DP745" i="3"/>
  <c r="DO745" i="3"/>
  <c r="DN745" i="3"/>
  <c r="DM745" i="3"/>
  <c r="DL745" i="3"/>
  <c r="DK745" i="3"/>
  <c r="DJ745" i="3"/>
  <c r="DI745" i="3"/>
  <c r="DH745" i="3"/>
  <c r="DG745" i="3"/>
  <c r="DF745" i="3"/>
  <c r="DE745" i="3"/>
  <c r="DD745" i="3"/>
  <c r="DC745" i="3"/>
  <c r="DB745" i="3"/>
  <c r="DA745" i="3"/>
  <c r="CZ745" i="3"/>
  <c r="CY745" i="3"/>
  <c r="CX745" i="3"/>
  <c r="CW745" i="3"/>
  <c r="CV745" i="3"/>
  <c r="CU745" i="3"/>
  <c r="CT745" i="3"/>
  <c r="CS745" i="3"/>
  <c r="CR745" i="3"/>
  <c r="CQ745" i="3"/>
  <c r="CP745" i="3"/>
  <c r="CO745" i="3"/>
  <c r="CN745" i="3"/>
  <c r="CM745" i="3"/>
  <c r="CL745" i="3"/>
  <c r="CK745" i="3"/>
  <c r="CJ745" i="3"/>
  <c r="CI745" i="3"/>
  <c r="CH745" i="3"/>
  <c r="CG745" i="3"/>
  <c r="CF745" i="3"/>
  <c r="CE745" i="3"/>
  <c r="CD745" i="3"/>
  <c r="CC745" i="3"/>
  <c r="CB745" i="3"/>
  <c r="CA745" i="3"/>
  <c r="BZ745" i="3"/>
  <c r="BY745" i="3"/>
  <c r="BX745" i="3"/>
  <c r="BW745" i="3"/>
  <c r="BV745" i="3"/>
  <c r="BU745" i="3"/>
  <c r="BT745" i="3"/>
  <c r="BS745" i="3"/>
  <c r="BR745" i="3"/>
  <c r="BQ745" i="3"/>
  <c r="BP745" i="3"/>
  <c r="BO745" i="3"/>
  <c r="BN745" i="3"/>
  <c r="DU744" i="3"/>
  <c r="DT744" i="3"/>
  <c r="DS744" i="3"/>
  <c r="DR744" i="3"/>
  <c r="DQ744" i="3"/>
  <c r="DP744" i="3"/>
  <c r="DO744" i="3"/>
  <c r="DN744" i="3"/>
  <c r="DM744" i="3"/>
  <c r="DL744" i="3"/>
  <c r="DK744" i="3"/>
  <c r="DJ744" i="3"/>
  <c r="DI744" i="3"/>
  <c r="DH744" i="3"/>
  <c r="DG744" i="3"/>
  <c r="DF744" i="3"/>
  <c r="DE744" i="3"/>
  <c r="DD744" i="3"/>
  <c r="DC744" i="3"/>
  <c r="DB744" i="3"/>
  <c r="DA744" i="3"/>
  <c r="CZ744" i="3"/>
  <c r="CY744" i="3"/>
  <c r="CX744" i="3"/>
  <c r="CW744" i="3"/>
  <c r="CV744" i="3"/>
  <c r="CU744" i="3"/>
  <c r="CT744" i="3"/>
  <c r="CS744" i="3"/>
  <c r="CR744" i="3"/>
  <c r="CQ744" i="3"/>
  <c r="CP744" i="3"/>
  <c r="CO744" i="3"/>
  <c r="CN744" i="3"/>
  <c r="CM744" i="3"/>
  <c r="CL744" i="3"/>
  <c r="CK744" i="3"/>
  <c r="CJ744" i="3"/>
  <c r="CI744" i="3"/>
  <c r="CH744" i="3"/>
  <c r="CG744" i="3"/>
  <c r="CF744" i="3"/>
  <c r="CE744" i="3"/>
  <c r="CD744" i="3"/>
  <c r="CC744" i="3"/>
  <c r="CB744" i="3"/>
  <c r="CA744" i="3"/>
  <c r="BZ744" i="3"/>
  <c r="BY744" i="3"/>
  <c r="BX744" i="3"/>
  <c r="BW744" i="3"/>
  <c r="BV744" i="3"/>
  <c r="BU744" i="3"/>
  <c r="BT744" i="3"/>
  <c r="BS744" i="3"/>
  <c r="BR744" i="3"/>
  <c r="BQ744" i="3"/>
  <c r="BP744" i="3"/>
  <c r="BO744" i="3"/>
  <c r="BN744" i="3"/>
  <c r="DU743" i="3"/>
  <c r="DT743" i="3"/>
  <c r="DS743" i="3"/>
  <c r="DR743" i="3"/>
  <c r="DQ743" i="3"/>
  <c r="DP743" i="3"/>
  <c r="DO743" i="3"/>
  <c r="DN743" i="3"/>
  <c r="DM743" i="3"/>
  <c r="DL743" i="3"/>
  <c r="DK743" i="3"/>
  <c r="DJ743" i="3"/>
  <c r="DI743" i="3"/>
  <c r="DH743" i="3"/>
  <c r="DG743" i="3"/>
  <c r="DF743" i="3"/>
  <c r="DE743" i="3"/>
  <c r="DD743" i="3"/>
  <c r="DC743" i="3"/>
  <c r="DB743" i="3"/>
  <c r="DA743" i="3"/>
  <c r="CZ743" i="3"/>
  <c r="CY743" i="3"/>
  <c r="CX743" i="3"/>
  <c r="CW743" i="3"/>
  <c r="CV743" i="3"/>
  <c r="CU743" i="3"/>
  <c r="CT743" i="3"/>
  <c r="CS743" i="3"/>
  <c r="CR743" i="3"/>
  <c r="CQ743" i="3"/>
  <c r="CP743" i="3"/>
  <c r="CO743" i="3"/>
  <c r="CN743" i="3"/>
  <c r="CM743" i="3"/>
  <c r="CL743" i="3"/>
  <c r="CK743" i="3"/>
  <c r="CJ743" i="3"/>
  <c r="CI743" i="3"/>
  <c r="CH743" i="3"/>
  <c r="CG743" i="3"/>
  <c r="CF743" i="3"/>
  <c r="CE743" i="3"/>
  <c r="CD743" i="3"/>
  <c r="CC743" i="3"/>
  <c r="CB743" i="3"/>
  <c r="CA743" i="3"/>
  <c r="BZ743" i="3"/>
  <c r="BY743" i="3"/>
  <c r="BX743" i="3"/>
  <c r="BW743" i="3"/>
  <c r="BV743" i="3"/>
  <c r="BU743" i="3"/>
  <c r="BT743" i="3"/>
  <c r="BS743" i="3"/>
  <c r="BR743" i="3"/>
  <c r="BQ743" i="3"/>
  <c r="BP743" i="3"/>
  <c r="BO743" i="3"/>
  <c r="BN743" i="3"/>
  <c r="DU742" i="3"/>
  <c r="DT742" i="3"/>
  <c r="DS742" i="3"/>
  <c r="DR742" i="3"/>
  <c r="DQ742" i="3"/>
  <c r="DP742" i="3"/>
  <c r="DO742" i="3"/>
  <c r="DN742" i="3"/>
  <c r="DM742" i="3"/>
  <c r="DL742" i="3"/>
  <c r="DK742" i="3"/>
  <c r="DJ742" i="3"/>
  <c r="DI742" i="3"/>
  <c r="DH742" i="3"/>
  <c r="DG742" i="3"/>
  <c r="DF742" i="3"/>
  <c r="DE742" i="3"/>
  <c r="DD742" i="3"/>
  <c r="DC742" i="3"/>
  <c r="DB742" i="3"/>
  <c r="DA742" i="3"/>
  <c r="CZ742" i="3"/>
  <c r="CY742" i="3"/>
  <c r="CX742" i="3"/>
  <c r="CW742" i="3"/>
  <c r="CV742" i="3"/>
  <c r="CU742" i="3"/>
  <c r="CT742" i="3"/>
  <c r="CS742" i="3"/>
  <c r="CR742" i="3"/>
  <c r="CQ742" i="3"/>
  <c r="CP742" i="3"/>
  <c r="CO742" i="3"/>
  <c r="CN742" i="3"/>
  <c r="CM742" i="3"/>
  <c r="CL742" i="3"/>
  <c r="CK742" i="3"/>
  <c r="CJ742" i="3"/>
  <c r="CI742" i="3"/>
  <c r="CH742" i="3"/>
  <c r="CG742" i="3"/>
  <c r="CF742" i="3"/>
  <c r="CE742" i="3"/>
  <c r="CD742" i="3"/>
  <c r="CC742" i="3"/>
  <c r="CB742" i="3"/>
  <c r="CA742" i="3"/>
  <c r="BZ742" i="3"/>
  <c r="BY742" i="3"/>
  <c r="BX742" i="3"/>
  <c r="BW742" i="3"/>
  <c r="BV742" i="3"/>
  <c r="BU742" i="3"/>
  <c r="BT742" i="3"/>
  <c r="BS742" i="3"/>
  <c r="BR742" i="3"/>
  <c r="BQ742" i="3"/>
  <c r="BP742" i="3"/>
  <c r="BO742" i="3"/>
  <c r="BN742" i="3"/>
  <c r="DU741" i="3"/>
  <c r="DT741" i="3"/>
  <c r="DS741" i="3"/>
  <c r="DR741" i="3"/>
  <c r="DQ741" i="3"/>
  <c r="DP741" i="3"/>
  <c r="DO741" i="3"/>
  <c r="DN741" i="3"/>
  <c r="DM741" i="3"/>
  <c r="DL741" i="3"/>
  <c r="DK741" i="3"/>
  <c r="DJ741" i="3"/>
  <c r="DI741" i="3"/>
  <c r="DH741" i="3"/>
  <c r="DG741" i="3"/>
  <c r="DF741" i="3"/>
  <c r="DE741" i="3"/>
  <c r="DD741" i="3"/>
  <c r="DC741" i="3"/>
  <c r="DB741" i="3"/>
  <c r="DA741" i="3"/>
  <c r="CZ741" i="3"/>
  <c r="CY741" i="3"/>
  <c r="CX741" i="3"/>
  <c r="CW741" i="3"/>
  <c r="CV741" i="3"/>
  <c r="CU741" i="3"/>
  <c r="CT741" i="3"/>
  <c r="CS741" i="3"/>
  <c r="CR741" i="3"/>
  <c r="CQ741" i="3"/>
  <c r="CP741" i="3"/>
  <c r="CO741" i="3"/>
  <c r="CN741" i="3"/>
  <c r="CM741" i="3"/>
  <c r="CL741" i="3"/>
  <c r="CK741" i="3"/>
  <c r="CJ741" i="3"/>
  <c r="CI741" i="3"/>
  <c r="CH741" i="3"/>
  <c r="CG741" i="3"/>
  <c r="CF741" i="3"/>
  <c r="CE741" i="3"/>
  <c r="CD741" i="3"/>
  <c r="CC741" i="3"/>
  <c r="CB741" i="3"/>
  <c r="CA741" i="3"/>
  <c r="BZ741" i="3"/>
  <c r="BY741" i="3"/>
  <c r="BX741" i="3"/>
  <c r="BW741" i="3"/>
  <c r="BV741" i="3"/>
  <c r="BU741" i="3"/>
  <c r="BT741" i="3"/>
  <c r="BS741" i="3"/>
  <c r="BR741" i="3"/>
  <c r="BQ741" i="3"/>
  <c r="BP741" i="3"/>
  <c r="BO741" i="3"/>
  <c r="BN741" i="3"/>
  <c r="DU740" i="3"/>
  <c r="DT740" i="3"/>
  <c r="DS740" i="3"/>
  <c r="DR740" i="3"/>
  <c r="DQ740" i="3"/>
  <c r="DP740" i="3"/>
  <c r="DO740" i="3"/>
  <c r="DN740" i="3"/>
  <c r="DM740" i="3"/>
  <c r="DL740" i="3"/>
  <c r="DK740" i="3"/>
  <c r="DJ740" i="3"/>
  <c r="DI740" i="3"/>
  <c r="DH740" i="3"/>
  <c r="DG740" i="3"/>
  <c r="DF740" i="3"/>
  <c r="DE740" i="3"/>
  <c r="DD740" i="3"/>
  <c r="DC740" i="3"/>
  <c r="DB740" i="3"/>
  <c r="DA740" i="3"/>
  <c r="CZ740" i="3"/>
  <c r="CY740" i="3"/>
  <c r="CX740" i="3"/>
  <c r="CW740" i="3"/>
  <c r="CV740" i="3"/>
  <c r="CU740" i="3"/>
  <c r="CT740" i="3"/>
  <c r="CS740" i="3"/>
  <c r="CR740" i="3"/>
  <c r="CQ740" i="3"/>
  <c r="CP740" i="3"/>
  <c r="CO740" i="3"/>
  <c r="CN740" i="3"/>
  <c r="CM740" i="3"/>
  <c r="CL740" i="3"/>
  <c r="CK740" i="3"/>
  <c r="CJ740" i="3"/>
  <c r="CI740" i="3"/>
  <c r="CH740" i="3"/>
  <c r="CG740" i="3"/>
  <c r="CF740" i="3"/>
  <c r="CE740" i="3"/>
  <c r="CD740" i="3"/>
  <c r="CC740" i="3"/>
  <c r="CB740" i="3"/>
  <c r="CA740" i="3"/>
  <c r="BZ740" i="3"/>
  <c r="BY740" i="3"/>
  <c r="BX740" i="3"/>
  <c r="BW740" i="3"/>
  <c r="BV740" i="3"/>
  <c r="BU740" i="3"/>
  <c r="BT740" i="3"/>
  <c r="BS740" i="3"/>
  <c r="BR740" i="3"/>
  <c r="BQ740" i="3"/>
  <c r="BP740" i="3"/>
  <c r="BO740" i="3"/>
  <c r="BN740" i="3"/>
  <c r="DU739" i="3"/>
  <c r="DT739" i="3"/>
  <c r="DS739" i="3"/>
  <c r="DR739" i="3"/>
  <c r="DQ739" i="3"/>
  <c r="DP739" i="3"/>
  <c r="DO739" i="3"/>
  <c r="DN739" i="3"/>
  <c r="DM739" i="3"/>
  <c r="DL739" i="3"/>
  <c r="DK739" i="3"/>
  <c r="DJ739" i="3"/>
  <c r="DI739" i="3"/>
  <c r="DH739" i="3"/>
  <c r="DG739" i="3"/>
  <c r="DF739" i="3"/>
  <c r="DE739" i="3"/>
  <c r="DD739" i="3"/>
  <c r="DC739" i="3"/>
  <c r="DB739" i="3"/>
  <c r="DA739" i="3"/>
  <c r="CZ739" i="3"/>
  <c r="CY739" i="3"/>
  <c r="CX739" i="3"/>
  <c r="CW739" i="3"/>
  <c r="CV739" i="3"/>
  <c r="CU739" i="3"/>
  <c r="CT739" i="3"/>
  <c r="CS739" i="3"/>
  <c r="CR739" i="3"/>
  <c r="CQ739" i="3"/>
  <c r="CP739" i="3"/>
  <c r="CO739" i="3"/>
  <c r="CN739" i="3"/>
  <c r="CM739" i="3"/>
  <c r="CL739" i="3"/>
  <c r="CK739" i="3"/>
  <c r="CJ739" i="3"/>
  <c r="CI739" i="3"/>
  <c r="CH739" i="3"/>
  <c r="CG739" i="3"/>
  <c r="CF739" i="3"/>
  <c r="CE739" i="3"/>
  <c r="CD739" i="3"/>
  <c r="CC739" i="3"/>
  <c r="CB739" i="3"/>
  <c r="CA739" i="3"/>
  <c r="BZ739" i="3"/>
  <c r="BY739" i="3"/>
  <c r="BX739" i="3"/>
  <c r="BW739" i="3"/>
  <c r="BV739" i="3"/>
  <c r="BU739" i="3"/>
  <c r="BT739" i="3"/>
  <c r="BS739" i="3"/>
  <c r="BR739" i="3"/>
  <c r="BQ739" i="3"/>
  <c r="BP739" i="3"/>
  <c r="BO739" i="3"/>
  <c r="BN739" i="3"/>
  <c r="DU738" i="3"/>
  <c r="DT738" i="3"/>
  <c r="DS738" i="3"/>
  <c r="DR738" i="3"/>
  <c r="DQ738" i="3"/>
  <c r="DP738" i="3"/>
  <c r="DO738" i="3"/>
  <c r="DN738" i="3"/>
  <c r="DM738" i="3"/>
  <c r="DL738" i="3"/>
  <c r="DK738" i="3"/>
  <c r="DJ738" i="3"/>
  <c r="DI738" i="3"/>
  <c r="DH738" i="3"/>
  <c r="DG738" i="3"/>
  <c r="DF738" i="3"/>
  <c r="DE738" i="3"/>
  <c r="DD738" i="3"/>
  <c r="DC738" i="3"/>
  <c r="DB738" i="3"/>
  <c r="DA738" i="3"/>
  <c r="CZ738" i="3"/>
  <c r="CY738" i="3"/>
  <c r="CX738" i="3"/>
  <c r="CW738" i="3"/>
  <c r="CV738" i="3"/>
  <c r="CU738" i="3"/>
  <c r="CT738" i="3"/>
  <c r="CS738" i="3"/>
  <c r="CR738" i="3"/>
  <c r="CQ738" i="3"/>
  <c r="CP738" i="3"/>
  <c r="CO738" i="3"/>
  <c r="CN738" i="3"/>
  <c r="CM738" i="3"/>
  <c r="CL738" i="3"/>
  <c r="CK738" i="3"/>
  <c r="CJ738" i="3"/>
  <c r="CI738" i="3"/>
  <c r="CH738" i="3"/>
  <c r="CG738" i="3"/>
  <c r="CF738" i="3"/>
  <c r="CE738" i="3"/>
  <c r="CD738" i="3"/>
  <c r="CC738" i="3"/>
  <c r="CB738" i="3"/>
  <c r="CA738" i="3"/>
  <c r="BZ738" i="3"/>
  <c r="BY738" i="3"/>
  <c r="BX738" i="3"/>
  <c r="BW738" i="3"/>
  <c r="BV738" i="3"/>
  <c r="BU738" i="3"/>
  <c r="BT738" i="3"/>
  <c r="BS738" i="3"/>
  <c r="BR738" i="3"/>
  <c r="BQ738" i="3"/>
  <c r="BP738" i="3"/>
  <c r="BO738" i="3"/>
  <c r="BN738" i="3"/>
  <c r="DU737" i="3"/>
  <c r="DT737" i="3"/>
  <c r="DS737" i="3"/>
  <c r="DR737" i="3"/>
  <c r="DQ737" i="3"/>
  <c r="DP737" i="3"/>
  <c r="DO737" i="3"/>
  <c r="DN737" i="3"/>
  <c r="DM737" i="3"/>
  <c r="DL737" i="3"/>
  <c r="DK737" i="3"/>
  <c r="DJ737" i="3"/>
  <c r="DI737" i="3"/>
  <c r="DH737" i="3"/>
  <c r="DG737" i="3"/>
  <c r="DF737" i="3"/>
  <c r="DE737" i="3"/>
  <c r="DD737" i="3"/>
  <c r="DC737" i="3"/>
  <c r="DB737" i="3"/>
  <c r="DA737" i="3"/>
  <c r="CZ737" i="3"/>
  <c r="CY737" i="3"/>
  <c r="CX737" i="3"/>
  <c r="CW737" i="3"/>
  <c r="CV737" i="3"/>
  <c r="CU737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C737" i="3"/>
  <c r="CB737" i="3"/>
  <c r="CA737" i="3"/>
  <c r="BZ737" i="3"/>
  <c r="BY737" i="3"/>
  <c r="BX737" i="3"/>
  <c r="BW737" i="3"/>
  <c r="BV737" i="3"/>
  <c r="BU737" i="3"/>
  <c r="BT737" i="3"/>
  <c r="BS737" i="3"/>
  <c r="BR737" i="3"/>
  <c r="BQ737" i="3"/>
  <c r="BP737" i="3"/>
  <c r="BO737" i="3"/>
  <c r="BN737" i="3"/>
  <c r="DU736" i="3"/>
  <c r="DT736" i="3"/>
  <c r="DS736" i="3"/>
  <c r="DR736" i="3"/>
  <c r="DQ736" i="3"/>
  <c r="DP736" i="3"/>
  <c r="DO736" i="3"/>
  <c r="DN736" i="3"/>
  <c r="DM736" i="3"/>
  <c r="DL736" i="3"/>
  <c r="DK736" i="3"/>
  <c r="DJ736" i="3"/>
  <c r="DI736" i="3"/>
  <c r="DH736" i="3"/>
  <c r="DG736" i="3"/>
  <c r="DF736" i="3"/>
  <c r="DE736" i="3"/>
  <c r="DD736" i="3"/>
  <c r="DC736" i="3"/>
  <c r="DB736" i="3"/>
  <c r="DA736" i="3"/>
  <c r="CZ736" i="3"/>
  <c r="CY736" i="3"/>
  <c r="CX736" i="3"/>
  <c r="CW736" i="3"/>
  <c r="CV736" i="3"/>
  <c r="CU736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C736" i="3"/>
  <c r="CB736" i="3"/>
  <c r="CA736" i="3"/>
  <c r="BZ736" i="3"/>
  <c r="BY736" i="3"/>
  <c r="BX736" i="3"/>
  <c r="BW736" i="3"/>
  <c r="BV736" i="3"/>
  <c r="BU736" i="3"/>
  <c r="BT736" i="3"/>
  <c r="BS736" i="3"/>
  <c r="BR736" i="3"/>
  <c r="BQ736" i="3"/>
  <c r="BP736" i="3"/>
  <c r="BO736" i="3"/>
  <c r="BN736" i="3"/>
  <c r="DU735" i="3"/>
  <c r="DT735" i="3"/>
  <c r="DS735" i="3"/>
  <c r="DR735" i="3"/>
  <c r="DQ735" i="3"/>
  <c r="DP735" i="3"/>
  <c r="DO735" i="3"/>
  <c r="DN735" i="3"/>
  <c r="DM735" i="3"/>
  <c r="DL735" i="3"/>
  <c r="DK735" i="3"/>
  <c r="DJ735" i="3"/>
  <c r="DI735" i="3"/>
  <c r="DH735" i="3"/>
  <c r="DG735" i="3"/>
  <c r="DF735" i="3"/>
  <c r="DE735" i="3"/>
  <c r="DD735" i="3"/>
  <c r="DC735" i="3"/>
  <c r="DB735" i="3"/>
  <c r="DA735" i="3"/>
  <c r="CZ735" i="3"/>
  <c r="CY735" i="3"/>
  <c r="CX735" i="3"/>
  <c r="CW735" i="3"/>
  <c r="CV735" i="3"/>
  <c r="CU735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C735" i="3"/>
  <c r="CB735" i="3"/>
  <c r="CA735" i="3"/>
  <c r="BZ735" i="3"/>
  <c r="BY735" i="3"/>
  <c r="BX735" i="3"/>
  <c r="BW735" i="3"/>
  <c r="BV735" i="3"/>
  <c r="BU735" i="3"/>
  <c r="BT735" i="3"/>
  <c r="BS735" i="3"/>
  <c r="BR735" i="3"/>
  <c r="BQ735" i="3"/>
  <c r="BP735" i="3"/>
  <c r="BO735" i="3"/>
  <c r="BN735" i="3"/>
  <c r="DU734" i="3"/>
  <c r="DT734" i="3"/>
  <c r="DS734" i="3"/>
  <c r="DR734" i="3"/>
  <c r="DQ734" i="3"/>
  <c r="DP734" i="3"/>
  <c r="DO734" i="3"/>
  <c r="DN734" i="3"/>
  <c r="DM734" i="3"/>
  <c r="DL734" i="3"/>
  <c r="DK734" i="3"/>
  <c r="DJ734" i="3"/>
  <c r="DI734" i="3"/>
  <c r="DH734" i="3"/>
  <c r="DG734" i="3"/>
  <c r="DF734" i="3"/>
  <c r="DE734" i="3"/>
  <c r="DD734" i="3"/>
  <c r="DC734" i="3"/>
  <c r="DB734" i="3"/>
  <c r="DA734" i="3"/>
  <c r="CZ734" i="3"/>
  <c r="CY734" i="3"/>
  <c r="CX734" i="3"/>
  <c r="CW734" i="3"/>
  <c r="CV734" i="3"/>
  <c r="CU734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C734" i="3"/>
  <c r="CB734" i="3"/>
  <c r="CA734" i="3"/>
  <c r="BZ734" i="3"/>
  <c r="BY734" i="3"/>
  <c r="BX734" i="3"/>
  <c r="BW734" i="3"/>
  <c r="BV734" i="3"/>
  <c r="BU734" i="3"/>
  <c r="BT734" i="3"/>
  <c r="BS734" i="3"/>
  <c r="BR734" i="3"/>
  <c r="BQ734" i="3"/>
  <c r="BP734" i="3"/>
  <c r="BO734" i="3"/>
  <c r="BN734" i="3"/>
  <c r="DU733" i="3"/>
  <c r="DT733" i="3"/>
  <c r="DS733" i="3"/>
  <c r="DR733" i="3"/>
  <c r="DQ733" i="3"/>
  <c r="DP733" i="3"/>
  <c r="DO733" i="3"/>
  <c r="DN733" i="3"/>
  <c r="DM733" i="3"/>
  <c r="DL733" i="3"/>
  <c r="DK733" i="3"/>
  <c r="DJ733" i="3"/>
  <c r="DI733" i="3"/>
  <c r="DH733" i="3"/>
  <c r="DG733" i="3"/>
  <c r="DF733" i="3"/>
  <c r="DE733" i="3"/>
  <c r="DD733" i="3"/>
  <c r="DC733" i="3"/>
  <c r="DB733" i="3"/>
  <c r="DA733" i="3"/>
  <c r="CZ733" i="3"/>
  <c r="CY733" i="3"/>
  <c r="CX733" i="3"/>
  <c r="CW733" i="3"/>
  <c r="CV733" i="3"/>
  <c r="CU733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C733" i="3"/>
  <c r="CB733" i="3"/>
  <c r="CA733" i="3"/>
  <c r="BZ733" i="3"/>
  <c r="BY733" i="3"/>
  <c r="BX733" i="3"/>
  <c r="BW733" i="3"/>
  <c r="BV733" i="3"/>
  <c r="BU733" i="3"/>
  <c r="BT733" i="3"/>
  <c r="BS733" i="3"/>
  <c r="BR733" i="3"/>
  <c r="BQ733" i="3"/>
  <c r="BP733" i="3"/>
  <c r="BO733" i="3"/>
  <c r="BN733" i="3"/>
  <c r="DU732" i="3"/>
  <c r="DT732" i="3"/>
  <c r="DS732" i="3"/>
  <c r="DR732" i="3"/>
  <c r="DQ732" i="3"/>
  <c r="DP732" i="3"/>
  <c r="DO732" i="3"/>
  <c r="DN732" i="3"/>
  <c r="DM732" i="3"/>
  <c r="DL732" i="3"/>
  <c r="DK732" i="3"/>
  <c r="DJ732" i="3"/>
  <c r="DI732" i="3"/>
  <c r="DH732" i="3"/>
  <c r="DG732" i="3"/>
  <c r="DF732" i="3"/>
  <c r="DE732" i="3"/>
  <c r="DD732" i="3"/>
  <c r="DC732" i="3"/>
  <c r="DB732" i="3"/>
  <c r="DA732" i="3"/>
  <c r="CZ732" i="3"/>
  <c r="CY732" i="3"/>
  <c r="CX732" i="3"/>
  <c r="CW732" i="3"/>
  <c r="CV732" i="3"/>
  <c r="CU732" i="3"/>
  <c r="CT732" i="3"/>
  <c r="CS732" i="3"/>
  <c r="CR732" i="3"/>
  <c r="CQ732" i="3"/>
  <c r="CP732" i="3"/>
  <c r="CO732" i="3"/>
  <c r="CN732" i="3"/>
  <c r="CM732" i="3"/>
  <c r="CL732" i="3"/>
  <c r="CK732" i="3"/>
  <c r="CJ732" i="3"/>
  <c r="CI732" i="3"/>
  <c r="CH732" i="3"/>
  <c r="CG732" i="3"/>
  <c r="CF732" i="3"/>
  <c r="CE732" i="3"/>
  <c r="CD732" i="3"/>
  <c r="CC732" i="3"/>
  <c r="CB732" i="3"/>
  <c r="CA732" i="3"/>
  <c r="BZ732" i="3"/>
  <c r="BY732" i="3"/>
  <c r="BX732" i="3"/>
  <c r="BW732" i="3"/>
  <c r="BV732" i="3"/>
  <c r="BU732" i="3"/>
  <c r="BT732" i="3"/>
  <c r="BS732" i="3"/>
  <c r="BR732" i="3"/>
  <c r="BQ732" i="3"/>
  <c r="BP732" i="3"/>
  <c r="BO732" i="3"/>
  <c r="BN732" i="3"/>
  <c r="DU731" i="3"/>
  <c r="DT731" i="3"/>
  <c r="DS731" i="3"/>
  <c r="DR731" i="3"/>
  <c r="DQ731" i="3"/>
  <c r="DP731" i="3"/>
  <c r="DO731" i="3"/>
  <c r="DN731" i="3"/>
  <c r="DM731" i="3"/>
  <c r="DL731" i="3"/>
  <c r="DK731" i="3"/>
  <c r="DJ731" i="3"/>
  <c r="DI731" i="3"/>
  <c r="DH731" i="3"/>
  <c r="DG731" i="3"/>
  <c r="DF731" i="3"/>
  <c r="DE731" i="3"/>
  <c r="DD731" i="3"/>
  <c r="DC731" i="3"/>
  <c r="DB731" i="3"/>
  <c r="DA731" i="3"/>
  <c r="CZ731" i="3"/>
  <c r="CY731" i="3"/>
  <c r="CX731" i="3"/>
  <c r="CW731" i="3"/>
  <c r="CV731" i="3"/>
  <c r="CU731" i="3"/>
  <c r="CT731" i="3"/>
  <c r="CS731" i="3"/>
  <c r="CR731" i="3"/>
  <c r="CQ731" i="3"/>
  <c r="CP731" i="3"/>
  <c r="CO731" i="3"/>
  <c r="CN731" i="3"/>
  <c r="CM731" i="3"/>
  <c r="CL731" i="3"/>
  <c r="CK731" i="3"/>
  <c r="CJ731" i="3"/>
  <c r="CI731" i="3"/>
  <c r="CH731" i="3"/>
  <c r="CG731" i="3"/>
  <c r="CF731" i="3"/>
  <c r="CE731" i="3"/>
  <c r="CD731" i="3"/>
  <c r="CC731" i="3"/>
  <c r="CB731" i="3"/>
  <c r="CA731" i="3"/>
  <c r="BZ731" i="3"/>
  <c r="BY731" i="3"/>
  <c r="BX731" i="3"/>
  <c r="BW731" i="3"/>
  <c r="BV731" i="3"/>
  <c r="BU731" i="3"/>
  <c r="BT731" i="3"/>
  <c r="BS731" i="3"/>
  <c r="BR731" i="3"/>
  <c r="BQ731" i="3"/>
  <c r="BP731" i="3"/>
  <c r="BO731" i="3"/>
  <c r="BN731" i="3"/>
  <c r="DU730" i="3"/>
  <c r="DT730" i="3"/>
  <c r="DS730" i="3"/>
  <c r="DR730" i="3"/>
  <c r="DQ730" i="3"/>
  <c r="DP730" i="3"/>
  <c r="DO730" i="3"/>
  <c r="DN730" i="3"/>
  <c r="DM730" i="3"/>
  <c r="DL730" i="3"/>
  <c r="DK730" i="3"/>
  <c r="DJ730" i="3"/>
  <c r="DI730" i="3"/>
  <c r="DH730" i="3"/>
  <c r="DG730" i="3"/>
  <c r="DF730" i="3"/>
  <c r="DE730" i="3"/>
  <c r="DD730" i="3"/>
  <c r="DC730" i="3"/>
  <c r="DB730" i="3"/>
  <c r="DA730" i="3"/>
  <c r="CZ730" i="3"/>
  <c r="CY730" i="3"/>
  <c r="CX730" i="3"/>
  <c r="CW730" i="3"/>
  <c r="CV730" i="3"/>
  <c r="CU730" i="3"/>
  <c r="CT730" i="3"/>
  <c r="CS730" i="3"/>
  <c r="CR730" i="3"/>
  <c r="CQ730" i="3"/>
  <c r="CP730" i="3"/>
  <c r="CO730" i="3"/>
  <c r="CN730" i="3"/>
  <c r="CM730" i="3"/>
  <c r="CL730" i="3"/>
  <c r="CK730" i="3"/>
  <c r="CJ730" i="3"/>
  <c r="CI730" i="3"/>
  <c r="CH730" i="3"/>
  <c r="CG730" i="3"/>
  <c r="CF730" i="3"/>
  <c r="CE730" i="3"/>
  <c r="CD730" i="3"/>
  <c r="CC730" i="3"/>
  <c r="CB730" i="3"/>
  <c r="CA730" i="3"/>
  <c r="BZ730" i="3"/>
  <c r="BY730" i="3"/>
  <c r="BX730" i="3"/>
  <c r="BW730" i="3"/>
  <c r="BV730" i="3"/>
  <c r="BU730" i="3"/>
  <c r="BT730" i="3"/>
  <c r="BS730" i="3"/>
  <c r="BR730" i="3"/>
  <c r="BQ730" i="3"/>
  <c r="BP730" i="3"/>
  <c r="BO730" i="3"/>
  <c r="BN730" i="3"/>
  <c r="DU729" i="3"/>
  <c r="DT729" i="3"/>
  <c r="DS729" i="3"/>
  <c r="DR729" i="3"/>
  <c r="DQ729" i="3"/>
  <c r="DP729" i="3"/>
  <c r="DO729" i="3"/>
  <c r="DN729" i="3"/>
  <c r="DM729" i="3"/>
  <c r="DL729" i="3"/>
  <c r="DK729" i="3"/>
  <c r="DJ729" i="3"/>
  <c r="DI729" i="3"/>
  <c r="DH729" i="3"/>
  <c r="DG729" i="3"/>
  <c r="DF729" i="3"/>
  <c r="DE729" i="3"/>
  <c r="DD729" i="3"/>
  <c r="DC729" i="3"/>
  <c r="DB729" i="3"/>
  <c r="DA729" i="3"/>
  <c r="CZ729" i="3"/>
  <c r="CY729" i="3"/>
  <c r="CX729" i="3"/>
  <c r="CW729" i="3"/>
  <c r="CV729" i="3"/>
  <c r="CU729" i="3"/>
  <c r="CT729" i="3"/>
  <c r="CS729" i="3"/>
  <c r="CR729" i="3"/>
  <c r="CQ729" i="3"/>
  <c r="CP729" i="3"/>
  <c r="CO729" i="3"/>
  <c r="CN729" i="3"/>
  <c r="CM729" i="3"/>
  <c r="CL729" i="3"/>
  <c r="CK729" i="3"/>
  <c r="CJ729" i="3"/>
  <c r="CI729" i="3"/>
  <c r="CH729" i="3"/>
  <c r="CG729" i="3"/>
  <c r="CF729" i="3"/>
  <c r="CE729" i="3"/>
  <c r="CD729" i="3"/>
  <c r="CC729" i="3"/>
  <c r="CB729" i="3"/>
  <c r="CA729" i="3"/>
  <c r="BZ729" i="3"/>
  <c r="BY729" i="3"/>
  <c r="BX729" i="3"/>
  <c r="BW729" i="3"/>
  <c r="BV729" i="3"/>
  <c r="BU729" i="3"/>
  <c r="BT729" i="3"/>
  <c r="BS729" i="3"/>
  <c r="BR729" i="3"/>
  <c r="BQ729" i="3"/>
  <c r="BP729" i="3"/>
  <c r="BO729" i="3"/>
  <c r="BN729" i="3"/>
  <c r="DU728" i="3"/>
  <c r="DT728" i="3"/>
  <c r="DS728" i="3"/>
  <c r="DR728" i="3"/>
  <c r="DQ728" i="3"/>
  <c r="DP728" i="3"/>
  <c r="DO728" i="3"/>
  <c r="DN728" i="3"/>
  <c r="DM728" i="3"/>
  <c r="DL728" i="3"/>
  <c r="DK728" i="3"/>
  <c r="DJ728" i="3"/>
  <c r="DI728" i="3"/>
  <c r="DH728" i="3"/>
  <c r="DG728" i="3"/>
  <c r="DF728" i="3"/>
  <c r="DE728" i="3"/>
  <c r="DD728" i="3"/>
  <c r="DC728" i="3"/>
  <c r="DB728" i="3"/>
  <c r="DA728" i="3"/>
  <c r="CZ728" i="3"/>
  <c r="CY728" i="3"/>
  <c r="CX728" i="3"/>
  <c r="CW728" i="3"/>
  <c r="CV728" i="3"/>
  <c r="CU728" i="3"/>
  <c r="CT728" i="3"/>
  <c r="CS728" i="3"/>
  <c r="CR728" i="3"/>
  <c r="CQ728" i="3"/>
  <c r="CP728" i="3"/>
  <c r="CO728" i="3"/>
  <c r="CN728" i="3"/>
  <c r="CM728" i="3"/>
  <c r="CL728" i="3"/>
  <c r="CK728" i="3"/>
  <c r="CJ728" i="3"/>
  <c r="CI728" i="3"/>
  <c r="CH728" i="3"/>
  <c r="CG728" i="3"/>
  <c r="CF728" i="3"/>
  <c r="CE728" i="3"/>
  <c r="CD728" i="3"/>
  <c r="CC728" i="3"/>
  <c r="CB728" i="3"/>
  <c r="CA728" i="3"/>
  <c r="BZ728" i="3"/>
  <c r="BY728" i="3"/>
  <c r="BX728" i="3"/>
  <c r="BW728" i="3"/>
  <c r="BV728" i="3"/>
  <c r="BU728" i="3"/>
  <c r="BT728" i="3"/>
  <c r="BS728" i="3"/>
  <c r="BR728" i="3"/>
  <c r="BQ728" i="3"/>
  <c r="BP728" i="3"/>
  <c r="BO728" i="3"/>
  <c r="BN728" i="3"/>
  <c r="DU727" i="3"/>
  <c r="DT727" i="3"/>
  <c r="DS727" i="3"/>
  <c r="DR727" i="3"/>
  <c r="DQ727" i="3"/>
  <c r="DP727" i="3"/>
  <c r="DO727" i="3"/>
  <c r="DN727" i="3"/>
  <c r="DM727" i="3"/>
  <c r="DL727" i="3"/>
  <c r="DK727" i="3"/>
  <c r="DJ727" i="3"/>
  <c r="DI727" i="3"/>
  <c r="DH727" i="3"/>
  <c r="DG727" i="3"/>
  <c r="DF727" i="3"/>
  <c r="DE727" i="3"/>
  <c r="DD727" i="3"/>
  <c r="DC727" i="3"/>
  <c r="DB727" i="3"/>
  <c r="DA727" i="3"/>
  <c r="CZ727" i="3"/>
  <c r="CY727" i="3"/>
  <c r="CX727" i="3"/>
  <c r="CW727" i="3"/>
  <c r="CV727" i="3"/>
  <c r="CU727" i="3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D727" i="3"/>
  <c r="CC727" i="3"/>
  <c r="CB727" i="3"/>
  <c r="CA727" i="3"/>
  <c r="BZ727" i="3"/>
  <c r="BY727" i="3"/>
  <c r="BX727" i="3"/>
  <c r="BW727" i="3"/>
  <c r="BV727" i="3"/>
  <c r="BU727" i="3"/>
  <c r="BT727" i="3"/>
  <c r="BS727" i="3"/>
  <c r="BR727" i="3"/>
  <c r="BQ727" i="3"/>
  <c r="BP727" i="3"/>
  <c r="BO727" i="3"/>
  <c r="BN727" i="3"/>
  <c r="DU726" i="3"/>
  <c r="DT726" i="3"/>
  <c r="DS726" i="3"/>
  <c r="DR726" i="3"/>
  <c r="DQ726" i="3"/>
  <c r="DP726" i="3"/>
  <c r="DO726" i="3"/>
  <c r="DN726" i="3"/>
  <c r="DM726" i="3"/>
  <c r="DL726" i="3"/>
  <c r="DK726" i="3"/>
  <c r="DJ726" i="3"/>
  <c r="DI726" i="3"/>
  <c r="DH726" i="3"/>
  <c r="DG726" i="3"/>
  <c r="DF726" i="3"/>
  <c r="DE726" i="3"/>
  <c r="DD726" i="3"/>
  <c r="DC726" i="3"/>
  <c r="DB726" i="3"/>
  <c r="DA726" i="3"/>
  <c r="CZ726" i="3"/>
  <c r="CY726" i="3"/>
  <c r="CX726" i="3"/>
  <c r="CW726" i="3"/>
  <c r="CV726" i="3"/>
  <c r="CU726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C726" i="3"/>
  <c r="CB726" i="3"/>
  <c r="CA726" i="3"/>
  <c r="BZ726" i="3"/>
  <c r="BY726" i="3"/>
  <c r="BX726" i="3"/>
  <c r="BW726" i="3"/>
  <c r="BV726" i="3"/>
  <c r="BU726" i="3"/>
  <c r="BT726" i="3"/>
  <c r="BS726" i="3"/>
  <c r="BR726" i="3"/>
  <c r="BQ726" i="3"/>
  <c r="BP726" i="3"/>
  <c r="BO726" i="3"/>
  <c r="BN726" i="3"/>
  <c r="DU725" i="3"/>
  <c r="DT725" i="3"/>
  <c r="DS725" i="3"/>
  <c r="DR725" i="3"/>
  <c r="DQ725" i="3"/>
  <c r="DP725" i="3"/>
  <c r="DO725" i="3"/>
  <c r="DN725" i="3"/>
  <c r="DM725" i="3"/>
  <c r="DL725" i="3"/>
  <c r="DK725" i="3"/>
  <c r="DJ725" i="3"/>
  <c r="DI725" i="3"/>
  <c r="DH725" i="3"/>
  <c r="DG725" i="3"/>
  <c r="DF725" i="3"/>
  <c r="DE725" i="3"/>
  <c r="DD725" i="3"/>
  <c r="DC725" i="3"/>
  <c r="DB725" i="3"/>
  <c r="DA725" i="3"/>
  <c r="CZ725" i="3"/>
  <c r="CY725" i="3"/>
  <c r="CX725" i="3"/>
  <c r="CW725" i="3"/>
  <c r="CV725" i="3"/>
  <c r="CU725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C725" i="3"/>
  <c r="CB725" i="3"/>
  <c r="CA725" i="3"/>
  <c r="BZ725" i="3"/>
  <c r="BY725" i="3"/>
  <c r="BX725" i="3"/>
  <c r="BW725" i="3"/>
  <c r="BV725" i="3"/>
  <c r="BU725" i="3"/>
  <c r="BT725" i="3"/>
  <c r="BS725" i="3"/>
  <c r="BR725" i="3"/>
  <c r="BQ725" i="3"/>
  <c r="BP725" i="3"/>
  <c r="BO725" i="3"/>
  <c r="BN725" i="3"/>
  <c r="DU724" i="3"/>
  <c r="DT724" i="3"/>
  <c r="DS724" i="3"/>
  <c r="DR724" i="3"/>
  <c r="DQ724" i="3"/>
  <c r="DP724" i="3"/>
  <c r="DO724" i="3"/>
  <c r="DN724" i="3"/>
  <c r="DM724" i="3"/>
  <c r="DL724" i="3"/>
  <c r="DK724" i="3"/>
  <c r="DJ724" i="3"/>
  <c r="DI724" i="3"/>
  <c r="DH724" i="3"/>
  <c r="DG724" i="3"/>
  <c r="DF724" i="3"/>
  <c r="DE724" i="3"/>
  <c r="DD724" i="3"/>
  <c r="DC724" i="3"/>
  <c r="DB724" i="3"/>
  <c r="DA724" i="3"/>
  <c r="CZ724" i="3"/>
  <c r="CY724" i="3"/>
  <c r="CX724" i="3"/>
  <c r="CW724" i="3"/>
  <c r="CV724" i="3"/>
  <c r="CU724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C724" i="3"/>
  <c r="CB724" i="3"/>
  <c r="CA724" i="3"/>
  <c r="BZ724" i="3"/>
  <c r="BY724" i="3"/>
  <c r="BX724" i="3"/>
  <c r="BW724" i="3"/>
  <c r="BV724" i="3"/>
  <c r="BU724" i="3"/>
  <c r="BT724" i="3"/>
  <c r="BS724" i="3"/>
  <c r="BR724" i="3"/>
  <c r="BQ724" i="3"/>
  <c r="BP724" i="3"/>
  <c r="BO724" i="3"/>
  <c r="BN724" i="3"/>
  <c r="DU723" i="3"/>
  <c r="DT723" i="3"/>
  <c r="DS723" i="3"/>
  <c r="DR723" i="3"/>
  <c r="DQ723" i="3"/>
  <c r="DP723" i="3"/>
  <c r="DO723" i="3"/>
  <c r="DN723" i="3"/>
  <c r="DM723" i="3"/>
  <c r="DL723" i="3"/>
  <c r="DK723" i="3"/>
  <c r="DJ723" i="3"/>
  <c r="DI723" i="3"/>
  <c r="DH723" i="3"/>
  <c r="DG723" i="3"/>
  <c r="DF723" i="3"/>
  <c r="DE723" i="3"/>
  <c r="DD723" i="3"/>
  <c r="DC723" i="3"/>
  <c r="DB723" i="3"/>
  <c r="DA723" i="3"/>
  <c r="CZ723" i="3"/>
  <c r="CY723" i="3"/>
  <c r="CX723" i="3"/>
  <c r="CW723" i="3"/>
  <c r="CV723" i="3"/>
  <c r="CU723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C723" i="3"/>
  <c r="CB723" i="3"/>
  <c r="CA723" i="3"/>
  <c r="BZ723" i="3"/>
  <c r="BY723" i="3"/>
  <c r="BX723" i="3"/>
  <c r="BW723" i="3"/>
  <c r="BV723" i="3"/>
  <c r="BU723" i="3"/>
  <c r="BT723" i="3"/>
  <c r="BS723" i="3"/>
  <c r="BR723" i="3"/>
  <c r="BQ723" i="3"/>
  <c r="BP723" i="3"/>
  <c r="BO723" i="3"/>
  <c r="BN723" i="3"/>
  <c r="DU722" i="3"/>
  <c r="DT722" i="3"/>
  <c r="DS722" i="3"/>
  <c r="DR722" i="3"/>
  <c r="DQ722" i="3"/>
  <c r="DP722" i="3"/>
  <c r="DO722" i="3"/>
  <c r="DN722" i="3"/>
  <c r="DM722" i="3"/>
  <c r="DL722" i="3"/>
  <c r="DK722" i="3"/>
  <c r="DJ722" i="3"/>
  <c r="DI722" i="3"/>
  <c r="DH722" i="3"/>
  <c r="DG722" i="3"/>
  <c r="DF722" i="3"/>
  <c r="DE722" i="3"/>
  <c r="DD722" i="3"/>
  <c r="DC722" i="3"/>
  <c r="DB722" i="3"/>
  <c r="DA722" i="3"/>
  <c r="CZ722" i="3"/>
  <c r="CY722" i="3"/>
  <c r="CX722" i="3"/>
  <c r="CW722" i="3"/>
  <c r="CV722" i="3"/>
  <c r="CU722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C722" i="3"/>
  <c r="CB722" i="3"/>
  <c r="CA722" i="3"/>
  <c r="BZ722" i="3"/>
  <c r="BY722" i="3"/>
  <c r="BX722" i="3"/>
  <c r="BW722" i="3"/>
  <c r="BV722" i="3"/>
  <c r="BU722" i="3"/>
  <c r="BT722" i="3"/>
  <c r="BS722" i="3"/>
  <c r="BR722" i="3"/>
  <c r="BQ722" i="3"/>
  <c r="BP722" i="3"/>
  <c r="BO722" i="3"/>
  <c r="BN722" i="3"/>
  <c r="DU721" i="3"/>
  <c r="DT721" i="3"/>
  <c r="DS721" i="3"/>
  <c r="DR721" i="3"/>
  <c r="DQ721" i="3"/>
  <c r="DP721" i="3"/>
  <c r="DO721" i="3"/>
  <c r="DN721" i="3"/>
  <c r="DM721" i="3"/>
  <c r="DL721" i="3"/>
  <c r="DK721" i="3"/>
  <c r="DJ721" i="3"/>
  <c r="DI721" i="3"/>
  <c r="DH721" i="3"/>
  <c r="DG721" i="3"/>
  <c r="DF721" i="3"/>
  <c r="DE721" i="3"/>
  <c r="DD721" i="3"/>
  <c r="DC721" i="3"/>
  <c r="DB721" i="3"/>
  <c r="DA721" i="3"/>
  <c r="CZ721" i="3"/>
  <c r="CY721" i="3"/>
  <c r="CX721" i="3"/>
  <c r="CW721" i="3"/>
  <c r="CV721" i="3"/>
  <c r="CU721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C721" i="3"/>
  <c r="CB721" i="3"/>
  <c r="CA721" i="3"/>
  <c r="BZ721" i="3"/>
  <c r="BY721" i="3"/>
  <c r="BX721" i="3"/>
  <c r="BW721" i="3"/>
  <c r="BV721" i="3"/>
  <c r="BU721" i="3"/>
  <c r="BT721" i="3"/>
  <c r="BS721" i="3"/>
  <c r="BR721" i="3"/>
  <c r="BQ721" i="3"/>
  <c r="BP721" i="3"/>
  <c r="BO721" i="3"/>
  <c r="BN721" i="3"/>
  <c r="DU720" i="3"/>
  <c r="DT720" i="3"/>
  <c r="DS720" i="3"/>
  <c r="DR720" i="3"/>
  <c r="DQ720" i="3"/>
  <c r="DP720" i="3"/>
  <c r="DO720" i="3"/>
  <c r="DN720" i="3"/>
  <c r="DM720" i="3"/>
  <c r="DL720" i="3"/>
  <c r="DK720" i="3"/>
  <c r="DJ720" i="3"/>
  <c r="DI720" i="3"/>
  <c r="DH720" i="3"/>
  <c r="DG720" i="3"/>
  <c r="DF720" i="3"/>
  <c r="DE720" i="3"/>
  <c r="DD720" i="3"/>
  <c r="DC720" i="3"/>
  <c r="DB720" i="3"/>
  <c r="DA720" i="3"/>
  <c r="CZ720" i="3"/>
  <c r="CY720" i="3"/>
  <c r="CX720" i="3"/>
  <c r="CW720" i="3"/>
  <c r="CV720" i="3"/>
  <c r="CU720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C720" i="3"/>
  <c r="CB720" i="3"/>
  <c r="CA720" i="3"/>
  <c r="BZ720" i="3"/>
  <c r="BY720" i="3"/>
  <c r="BX720" i="3"/>
  <c r="BW720" i="3"/>
  <c r="BV720" i="3"/>
  <c r="BU720" i="3"/>
  <c r="BT720" i="3"/>
  <c r="BS720" i="3"/>
  <c r="BR720" i="3"/>
  <c r="BQ720" i="3"/>
  <c r="BP720" i="3"/>
  <c r="BO720" i="3"/>
  <c r="BN720" i="3"/>
  <c r="DU719" i="3"/>
  <c r="DT719" i="3"/>
  <c r="DS719" i="3"/>
  <c r="DR719" i="3"/>
  <c r="DQ719" i="3"/>
  <c r="DP719" i="3"/>
  <c r="DO719" i="3"/>
  <c r="DN719" i="3"/>
  <c r="DM719" i="3"/>
  <c r="DL719" i="3"/>
  <c r="DK719" i="3"/>
  <c r="DJ719" i="3"/>
  <c r="DI719" i="3"/>
  <c r="DH719" i="3"/>
  <c r="DG719" i="3"/>
  <c r="DF719" i="3"/>
  <c r="DE719" i="3"/>
  <c r="DD719" i="3"/>
  <c r="DC719" i="3"/>
  <c r="DB719" i="3"/>
  <c r="DA719" i="3"/>
  <c r="CZ719" i="3"/>
  <c r="CY719" i="3"/>
  <c r="CX719" i="3"/>
  <c r="CW719" i="3"/>
  <c r="CV719" i="3"/>
  <c r="CU719" i="3"/>
  <c r="CT719" i="3"/>
  <c r="CS719" i="3"/>
  <c r="CR719" i="3"/>
  <c r="CQ719" i="3"/>
  <c r="CP719" i="3"/>
  <c r="CO719" i="3"/>
  <c r="CN719" i="3"/>
  <c r="CM719" i="3"/>
  <c r="CL719" i="3"/>
  <c r="CK719" i="3"/>
  <c r="CJ719" i="3"/>
  <c r="CI719" i="3"/>
  <c r="CH719" i="3"/>
  <c r="CG719" i="3"/>
  <c r="CF719" i="3"/>
  <c r="CE719" i="3"/>
  <c r="CD719" i="3"/>
  <c r="CC719" i="3"/>
  <c r="CB719" i="3"/>
  <c r="CA719" i="3"/>
  <c r="BZ719" i="3"/>
  <c r="BY719" i="3"/>
  <c r="BX719" i="3"/>
  <c r="BW719" i="3"/>
  <c r="BV719" i="3"/>
  <c r="BU719" i="3"/>
  <c r="BT719" i="3"/>
  <c r="BS719" i="3"/>
  <c r="BR719" i="3"/>
  <c r="BQ719" i="3"/>
  <c r="BP719" i="3"/>
  <c r="BO719" i="3"/>
  <c r="BN719" i="3"/>
  <c r="DU718" i="3"/>
  <c r="DT718" i="3"/>
  <c r="DS718" i="3"/>
  <c r="DR718" i="3"/>
  <c r="DQ718" i="3"/>
  <c r="DP718" i="3"/>
  <c r="DO718" i="3"/>
  <c r="DN718" i="3"/>
  <c r="DM718" i="3"/>
  <c r="DL718" i="3"/>
  <c r="DK718" i="3"/>
  <c r="DJ718" i="3"/>
  <c r="DI718" i="3"/>
  <c r="DH718" i="3"/>
  <c r="DG718" i="3"/>
  <c r="DF718" i="3"/>
  <c r="DE718" i="3"/>
  <c r="DD718" i="3"/>
  <c r="DC718" i="3"/>
  <c r="DB718" i="3"/>
  <c r="DA718" i="3"/>
  <c r="CZ718" i="3"/>
  <c r="CY718" i="3"/>
  <c r="CX718" i="3"/>
  <c r="CW718" i="3"/>
  <c r="CV718" i="3"/>
  <c r="CU718" i="3"/>
  <c r="CT718" i="3"/>
  <c r="CS718" i="3"/>
  <c r="CR718" i="3"/>
  <c r="CQ718" i="3"/>
  <c r="CP718" i="3"/>
  <c r="CO718" i="3"/>
  <c r="CN718" i="3"/>
  <c r="CM718" i="3"/>
  <c r="CL718" i="3"/>
  <c r="CK718" i="3"/>
  <c r="CJ718" i="3"/>
  <c r="CI718" i="3"/>
  <c r="CH718" i="3"/>
  <c r="CG718" i="3"/>
  <c r="CF718" i="3"/>
  <c r="CE718" i="3"/>
  <c r="CD718" i="3"/>
  <c r="CC718" i="3"/>
  <c r="CB718" i="3"/>
  <c r="CA718" i="3"/>
  <c r="BZ718" i="3"/>
  <c r="BY718" i="3"/>
  <c r="BX718" i="3"/>
  <c r="BW718" i="3"/>
  <c r="BV718" i="3"/>
  <c r="BU718" i="3"/>
  <c r="BT718" i="3"/>
  <c r="BS718" i="3"/>
  <c r="BR718" i="3"/>
  <c r="BQ718" i="3"/>
  <c r="BP718" i="3"/>
  <c r="BO718" i="3"/>
  <c r="BN718" i="3"/>
  <c r="DU717" i="3"/>
  <c r="DT717" i="3"/>
  <c r="DS717" i="3"/>
  <c r="DR717" i="3"/>
  <c r="DQ717" i="3"/>
  <c r="DP717" i="3"/>
  <c r="DO717" i="3"/>
  <c r="DN717" i="3"/>
  <c r="DM717" i="3"/>
  <c r="DL717" i="3"/>
  <c r="DK717" i="3"/>
  <c r="DJ717" i="3"/>
  <c r="DI717" i="3"/>
  <c r="DH717" i="3"/>
  <c r="DG717" i="3"/>
  <c r="DF717" i="3"/>
  <c r="DE717" i="3"/>
  <c r="DD717" i="3"/>
  <c r="DC717" i="3"/>
  <c r="DB717" i="3"/>
  <c r="DA717" i="3"/>
  <c r="CZ717" i="3"/>
  <c r="CY717" i="3"/>
  <c r="CX717" i="3"/>
  <c r="CW717" i="3"/>
  <c r="CV717" i="3"/>
  <c r="CU717" i="3"/>
  <c r="CT717" i="3"/>
  <c r="CS717" i="3"/>
  <c r="CR717" i="3"/>
  <c r="CQ717" i="3"/>
  <c r="CP717" i="3"/>
  <c r="CO717" i="3"/>
  <c r="CN717" i="3"/>
  <c r="CM717" i="3"/>
  <c r="CL717" i="3"/>
  <c r="CK717" i="3"/>
  <c r="CJ717" i="3"/>
  <c r="CI717" i="3"/>
  <c r="CH717" i="3"/>
  <c r="CG717" i="3"/>
  <c r="CF717" i="3"/>
  <c r="CE717" i="3"/>
  <c r="CD717" i="3"/>
  <c r="CC717" i="3"/>
  <c r="CB717" i="3"/>
  <c r="CA717" i="3"/>
  <c r="BZ717" i="3"/>
  <c r="BY717" i="3"/>
  <c r="BX717" i="3"/>
  <c r="BW717" i="3"/>
  <c r="BV717" i="3"/>
  <c r="BU717" i="3"/>
  <c r="BT717" i="3"/>
  <c r="BS717" i="3"/>
  <c r="BR717" i="3"/>
  <c r="BQ717" i="3"/>
  <c r="BP717" i="3"/>
  <c r="BO717" i="3"/>
  <c r="BN717" i="3"/>
  <c r="DU716" i="3"/>
  <c r="DT716" i="3"/>
  <c r="DS716" i="3"/>
  <c r="DR716" i="3"/>
  <c r="DQ716" i="3"/>
  <c r="DP716" i="3"/>
  <c r="DO716" i="3"/>
  <c r="DN716" i="3"/>
  <c r="DM716" i="3"/>
  <c r="DL716" i="3"/>
  <c r="DK716" i="3"/>
  <c r="DJ716" i="3"/>
  <c r="DI716" i="3"/>
  <c r="DH716" i="3"/>
  <c r="DG716" i="3"/>
  <c r="DF716" i="3"/>
  <c r="DE716" i="3"/>
  <c r="DD716" i="3"/>
  <c r="DC716" i="3"/>
  <c r="DB716" i="3"/>
  <c r="DA716" i="3"/>
  <c r="CZ716" i="3"/>
  <c r="CY716" i="3"/>
  <c r="CX716" i="3"/>
  <c r="CW716" i="3"/>
  <c r="CV716" i="3"/>
  <c r="CU716" i="3"/>
  <c r="CT716" i="3"/>
  <c r="CS716" i="3"/>
  <c r="CR716" i="3"/>
  <c r="CQ716" i="3"/>
  <c r="CP716" i="3"/>
  <c r="CO716" i="3"/>
  <c r="CN716" i="3"/>
  <c r="CM716" i="3"/>
  <c r="CL716" i="3"/>
  <c r="CK716" i="3"/>
  <c r="CJ716" i="3"/>
  <c r="CI716" i="3"/>
  <c r="CH716" i="3"/>
  <c r="CG716" i="3"/>
  <c r="CF716" i="3"/>
  <c r="CE716" i="3"/>
  <c r="CD716" i="3"/>
  <c r="CC716" i="3"/>
  <c r="CB716" i="3"/>
  <c r="CA716" i="3"/>
  <c r="BZ716" i="3"/>
  <c r="BY716" i="3"/>
  <c r="BX716" i="3"/>
  <c r="BW716" i="3"/>
  <c r="BV716" i="3"/>
  <c r="BU716" i="3"/>
  <c r="BT716" i="3"/>
  <c r="BS716" i="3"/>
  <c r="BR716" i="3"/>
  <c r="BQ716" i="3"/>
  <c r="BP716" i="3"/>
  <c r="BO716" i="3"/>
  <c r="BN716" i="3"/>
  <c r="DU715" i="3"/>
  <c r="DT715" i="3"/>
  <c r="DS715" i="3"/>
  <c r="DR715" i="3"/>
  <c r="DQ715" i="3"/>
  <c r="DP715" i="3"/>
  <c r="DO715" i="3"/>
  <c r="DN715" i="3"/>
  <c r="DM715" i="3"/>
  <c r="DL715" i="3"/>
  <c r="DK715" i="3"/>
  <c r="DJ715" i="3"/>
  <c r="DI715" i="3"/>
  <c r="DH715" i="3"/>
  <c r="DG715" i="3"/>
  <c r="DF715" i="3"/>
  <c r="DE715" i="3"/>
  <c r="DD715" i="3"/>
  <c r="DC715" i="3"/>
  <c r="DB715" i="3"/>
  <c r="DA715" i="3"/>
  <c r="CZ715" i="3"/>
  <c r="CY715" i="3"/>
  <c r="CX715" i="3"/>
  <c r="CW715" i="3"/>
  <c r="CV715" i="3"/>
  <c r="CU715" i="3"/>
  <c r="CT715" i="3"/>
  <c r="CS715" i="3"/>
  <c r="CR715" i="3"/>
  <c r="CQ715" i="3"/>
  <c r="CP715" i="3"/>
  <c r="CO715" i="3"/>
  <c r="CN715" i="3"/>
  <c r="CM715" i="3"/>
  <c r="CL715" i="3"/>
  <c r="CK715" i="3"/>
  <c r="CJ715" i="3"/>
  <c r="CI715" i="3"/>
  <c r="CH715" i="3"/>
  <c r="CG715" i="3"/>
  <c r="CF715" i="3"/>
  <c r="CE715" i="3"/>
  <c r="CD715" i="3"/>
  <c r="CC715" i="3"/>
  <c r="CB715" i="3"/>
  <c r="CA715" i="3"/>
  <c r="BZ715" i="3"/>
  <c r="BY715" i="3"/>
  <c r="BX715" i="3"/>
  <c r="BW715" i="3"/>
  <c r="BV715" i="3"/>
  <c r="BU715" i="3"/>
  <c r="BT715" i="3"/>
  <c r="BS715" i="3"/>
  <c r="BR715" i="3"/>
  <c r="BQ715" i="3"/>
  <c r="BP715" i="3"/>
  <c r="BO715" i="3"/>
  <c r="BN715" i="3"/>
  <c r="DU714" i="3"/>
  <c r="DT714" i="3"/>
  <c r="DS714" i="3"/>
  <c r="DR714" i="3"/>
  <c r="DQ714" i="3"/>
  <c r="DP714" i="3"/>
  <c r="DO714" i="3"/>
  <c r="DN714" i="3"/>
  <c r="DM714" i="3"/>
  <c r="DL714" i="3"/>
  <c r="DK714" i="3"/>
  <c r="DJ714" i="3"/>
  <c r="DI714" i="3"/>
  <c r="DH714" i="3"/>
  <c r="DG714" i="3"/>
  <c r="DF714" i="3"/>
  <c r="DE714" i="3"/>
  <c r="DD714" i="3"/>
  <c r="DC714" i="3"/>
  <c r="DB714" i="3"/>
  <c r="DA714" i="3"/>
  <c r="CZ714" i="3"/>
  <c r="CY714" i="3"/>
  <c r="CX714" i="3"/>
  <c r="CW714" i="3"/>
  <c r="CV714" i="3"/>
  <c r="CU714" i="3"/>
  <c r="CT714" i="3"/>
  <c r="CS714" i="3"/>
  <c r="CR714" i="3"/>
  <c r="CQ714" i="3"/>
  <c r="CP714" i="3"/>
  <c r="CO714" i="3"/>
  <c r="CN714" i="3"/>
  <c r="CM714" i="3"/>
  <c r="CL714" i="3"/>
  <c r="CK714" i="3"/>
  <c r="CJ714" i="3"/>
  <c r="CI714" i="3"/>
  <c r="CH714" i="3"/>
  <c r="CG714" i="3"/>
  <c r="CF714" i="3"/>
  <c r="CE714" i="3"/>
  <c r="CD714" i="3"/>
  <c r="CC714" i="3"/>
  <c r="CB714" i="3"/>
  <c r="CA714" i="3"/>
  <c r="BZ714" i="3"/>
  <c r="BY714" i="3"/>
  <c r="BX714" i="3"/>
  <c r="BW714" i="3"/>
  <c r="BV714" i="3"/>
  <c r="BU714" i="3"/>
  <c r="BT714" i="3"/>
  <c r="BS714" i="3"/>
  <c r="BR714" i="3"/>
  <c r="BQ714" i="3"/>
  <c r="BP714" i="3"/>
  <c r="BO714" i="3"/>
  <c r="BN714" i="3"/>
  <c r="DU713" i="3"/>
  <c r="DT713" i="3"/>
  <c r="DS713" i="3"/>
  <c r="DR713" i="3"/>
  <c r="DQ713" i="3"/>
  <c r="DP713" i="3"/>
  <c r="DO713" i="3"/>
  <c r="DN713" i="3"/>
  <c r="DM713" i="3"/>
  <c r="DL713" i="3"/>
  <c r="DK713" i="3"/>
  <c r="DJ713" i="3"/>
  <c r="DI713" i="3"/>
  <c r="DH713" i="3"/>
  <c r="DG713" i="3"/>
  <c r="DF713" i="3"/>
  <c r="DE713" i="3"/>
  <c r="DD713" i="3"/>
  <c r="DC713" i="3"/>
  <c r="DB713" i="3"/>
  <c r="DA713" i="3"/>
  <c r="CZ713" i="3"/>
  <c r="CY713" i="3"/>
  <c r="CX713" i="3"/>
  <c r="CW713" i="3"/>
  <c r="CV713" i="3"/>
  <c r="CU713" i="3"/>
  <c r="CT713" i="3"/>
  <c r="CS713" i="3"/>
  <c r="CR713" i="3"/>
  <c r="CQ713" i="3"/>
  <c r="CP713" i="3"/>
  <c r="CO713" i="3"/>
  <c r="CN713" i="3"/>
  <c r="CM713" i="3"/>
  <c r="CL713" i="3"/>
  <c r="CK713" i="3"/>
  <c r="CJ713" i="3"/>
  <c r="CI713" i="3"/>
  <c r="CH713" i="3"/>
  <c r="CG713" i="3"/>
  <c r="CF713" i="3"/>
  <c r="CE713" i="3"/>
  <c r="CD713" i="3"/>
  <c r="CC713" i="3"/>
  <c r="CB713" i="3"/>
  <c r="CA713" i="3"/>
  <c r="BZ713" i="3"/>
  <c r="BY713" i="3"/>
  <c r="BX713" i="3"/>
  <c r="BW713" i="3"/>
  <c r="BV713" i="3"/>
  <c r="BU713" i="3"/>
  <c r="BT713" i="3"/>
  <c r="BS713" i="3"/>
  <c r="BR713" i="3"/>
  <c r="BQ713" i="3"/>
  <c r="BP713" i="3"/>
  <c r="BO713" i="3"/>
  <c r="BN713" i="3"/>
  <c r="DU712" i="3"/>
  <c r="DT712" i="3"/>
  <c r="DS712" i="3"/>
  <c r="DR712" i="3"/>
  <c r="DQ712" i="3"/>
  <c r="DP712" i="3"/>
  <c r="DO712" i="3"/>
  <c r="DN712" i="3"/>
  <c r="DM712" i="3"/>
  <c r="DL712" i="3"/>
  <c r="DK712" i="3"/>
  <c r="DJ712" i="3"/>
  <c r="DI712" i="3"/>
  <c r="DH712" i="3"/>
  <c r="DG712" i="3"/>
  <c r="DF712" i="3"/>
  <c r="DE712" i="3"/>
  <c r="DD712" i="3"/>
  <c r="DC712" i="3"/>
  <c r="DB712" i="3"/>
  <c r="DA712" i="3"/>
  <c r="CZ712" i="3"/>
  <c r="CY712" i="3"/>
  <c r="CX712" i="3"/>
  <c r="CW712" i="3"/>
  <c r="CV712" i="3"/>
  <c r="CU712" i="3"/>
  <c r="CT712" i="3"/>
  <c r="CS712" i="3"/>
  <c r="CR712" i="3"/>
  <c r="CQ712" i="3"/>
  <c r="CP712" i="3"/>
  <c r="CO712" i="3"/>
  <c r="CN712" i="3"/>
  <c r="CM712" i="3"/>
  <c r="CL712" i="3"/>
  <c r="CK712" i="3"/>
  <c r="CJ712" i="3"/>
  <c r="CI712" i="3"/>
  <c r="CH712" i="3"/>
  <c r="CG712" i="3"/>
  <c r="CF712" i="3"/>
  <c r="CE712" i="3"/>
  <c r="CD712" i="3"/>
  <c r="CC712" i="3"/>
  <c r="CB712" i="3"/>
  <c r="CA712" i="3"/>
  <c r="BZ712" i="3"/>
  <c r="BY712" i="3"/>
  <c r="BX712" i="3"/>
  <c r="BW712" i="3"/>
  <c r="BV712" i="3"/>
  <c r="BU712" i="3"/>
  <c r="BT712" i="3"/>
  <c r="BS712" i="3"/>
  <c r="BR712" i="3"/>
  <c r="BQ712" i="3"/>
  <c r="BP712" i="3"/>
  <c r="BO712" i="3"/>
  <c r="BN712" i="3"/>
  <c r="DU711" i="3"/>
  <c r="DT711" i="3"/>
  <c r="DS711" i="3"/>
  <c r="DR711" i="3"/>
  <c r="DQ711" i="3"/>
  <c r="DP711" i="3"/>
  <c r="DO711" i="3"/>
  <c r="DN711" i="3"/>
  <c r="DM711" i="3"/>
  <c r="DL711" i="3"/>
  <c r="DK711" i="3"/>
  <c r="DJ711" i="3"/>
  <c r="DI711" i="3"/>
  <c r="DH711" i="3"/>
  <c r="DG711" i="3"/>
  <c r="DF711" i="3"/>
  <c r="DE711" i="3"/>
  <c r="DD711" i="3"/>
  <c r="DC711" i="3"/>
  <c r="DB711" i="3"/>
  <c r="DA711" i="3"/>
  <c r="CZ711" i="3"/>
  <c r="CY711" i="3"/>
  <c r="CX711" i="3"/>
  <c r="CW711" i="3"/>
  <c r="CV711" i="3"/>
  <c r="CU711" i="3"/>
  <c r="CT711" i="3"/>
  <c r="CS711" i="3"/>
  <c r="CR711" i="3"/>
  <c r="CQ711" i="3"/>
  <c r="CP711" i="3"/>
  <c r="CO711" i="3"/>
  <c r="CN711" i="3"/>
  <c r="CM711" i="3"/>
  <c r="CL711" i="3"/>
  <c r="CK711" i="3"/>
  <c r="CJ711" i="3"/>
  <c r="CI711" i="3"/>
  <c r="CH711" i="3"/>
  <c r="CG711" i="3"/>
  <c r="CF711" i="3"/>
  <c r="CE711" i="3"/>
  <c r="CD711" i="3"/>
  <c r="CC711" i="3"/>
  <c r="CB711" i="3"/>
  <c r="CA711" i="3"/>
  <c r="BZ711" i="3"/>
  <c r="BY711" i="3"/>
  <c r="BX711" i="3"/>
  <c r="BW711" i="3"/>
  <c r="BV711" i="3"/>
  <c r="BU711" i="3"/>
  <c r="BT711" i="3"/>
  <c r="BS711" i="3"/>
  <c r="BR711" i="3"/>
  <c r="BQ711" i="3"/>
  <c r="BP711" i="3"/>
  <c r="BO711" i="3"/>
  <c r="BN711" i="3"/>
  <c r="DU710" i="3"/>
  <c r="DT710" i="3"/>
  <c r="DS710" i="3"/>
  <c r="DR710" i="3"/>
  <c r="DQ710" i="3"/>
  <c r="DP710" i="3"/>
  <c r="DO710" i="3"/>
  <c r="DN710" i="3"/>
  <c r="DM710" i="3"/>
  <c r="DL710" i="3"/>
  <c r="DK710" i="3"/>
  <c r="DJ710" i="3"/>
  <c r="DI710" i="3"/>
  <c r="DH710" i="3"/>
  <c r="DG710" i="3"/>
  <c r="DF710" i="3"/>
  <c r="DE710" i="3"/>
  <c r="DD710" i="3"/>
  <c r="DC710" i="3"/>
  <c r="DB710" i="3"/>
  <c r="DA710" i="3"/>
  <c r="CZ710" i="3"/>
  <c r="CY710" i="3"/>
  <c r="CX710" i="3"/>
  <c r="CW710" i="3"/>
  <c r="CV710" i="3"/>
  <c r="CU710" i="3"/>
  <c r="CT710" i="3"/>
  <c r="CS710" i="3"/>
  <c r="CR710" i="3"/>
  <c r="CQ710" i="3"/>
  <c r="CP710" i="3"/>
  <c r="CO710" i="3"/>
  <c r="CN710" i="3"/>
  <c r="CM710" i="3"/>
  <c r="CL710" i="3"/>
  <c r="CK710" i="3"/>
  <c r="CJ710" i="3"/>
  <c r="CI710" i="3"/>
  <c r="CH710" i="3"/>
  <c r="CG710" i="3"/>
  <c r="CF710" i="3"/>
  <c r="CE710" i="3"/>
  <c r="CD710" i="3"/>
  <c r="CC710" i="3"/>
  <c r="CB710" i="3"/>
  <c r="CA710" i="3"/>
  <c r="BZ710" i="3"/>
  <c r="BY710" i="3"/>
  <c r="BX710" i="3"/>
  <c r="BW710" i="3"/>
  <c r="BV710" i="3"/>
  <c r="BU710" i="3"/>
  <c r="BT710" i="3"/>
  <c r="BS710" i="3"/>
  <c r="BR710" i="3"/>
  <c r="BQ710" i="3"/>
  <c r="BP710" i="3"/>
  <c r="BO710" i="3"/>
  <c r="BN710" i="3"/>
  <c r="DU709" i="3"/>
  <c r="DT709" i="3"/>
  <c r="DS709" i="3"/>
  <c r="DR709" i="3"/>
  <c r="DQ709" i="3"/>
  <c r="DP709" i="3"/>
  <c r="DO709" i="3"/>
  <c r="DN709" i="3"/>
  <c r="DM709" i="3"/>
  <c r="DL709" i="3"/>
  <c r="DK709" i="3"/>
  <c r="DJ709" i="3"/>
  <c r="DI709" i="3"/>
  <c r="DH709" i="3"/>
  <c r="DG709" i="3"/>
  <c r="DF709" i="3"/>
  <c r="DE709" i="3"/>
  <c r="DD709" i="3"/>
  <c r="DC709" i="3"/>
  <c r="DB709" i="3"/>
  <c r="DA709" i="3"/>
  <c r="CZ709" i="3"/>
  <c r="CY709" i="3"/>
  <c r="CX709" i="3"/>
  <c r="CW709" i="3"/>
  <c r="CV709" i="3"/>
  <c r="CU709" i="3"/>
  <c r="CT709" i="3"/>
  <c r="CS709" i="3"/>
  <c r="CR709" i="3"/>
  <c r="CQ709" i="3"/>
  <c r="CP709" i="3"/>
  <c r="CO709" i="3"/>
  <c r="CN709" i="3"/>
  <c r="CM709" i="3"/>
  <c r="CL709" i="3"/>
  <c r="CK709" i="3"/>
  <c r="CJ709" i="3"/>
  <c r="CI709" i="3"/>
  <c r="CH709" i="3"/>
  <c r="CG709" i="3"/>
  <c r="CF709" i="3"/>
  <c r="CE709" i="3"/>
  <c r="CD709" i="3"/>
  <c r="CC709" i="3"/>
  <c r="CB709" i="3"/>
  <c r="CA709" i="3"/>
  <c r="BZ709" i="3"/>
  <c r="BY709" i="3"/>
  <c r="BX709" i="3"/>
  <c r="BW709" i="3"/>
  <c r="BV709" i="3"/>
  <c r="BU709" i="3"/>
  <c r="BT709" i="3"/>
  <c r="BS709" i="3"/>
  <c r="BR709" i="3"/>
  <c r="BQ709" i="3"/>
  <c r="BP709" i="3"/>
  <c r="BO709" i="3"/>
  <c r="BN709" i="3"/>
  <c r="DU708" i="3"/>
  <c r="DT708" i="3"/>
  <c r="DS708" i="3"/>
  <c r="DR708" i="3"/>
  <c r="DQ708" i="3"/>
  <c r="DP708" i="3"/>
  <c r="DO708" i="3"/>
  <c r="DN708" i="3"/>
  <c r="DM708" i="3"/>
  <c r="DL708" i="3"/>
  <c r="DK708" i="3"/>
  <c r="DJ708" i="3"/>
  <c r="DI708" i="3"/>
  <c r="DH708" i="3"/>
  <c r="DG708" i="3"/>
  <c r="DF708" i="3"/>
  <c r="DE708" i="3"/>
  <c r="DD708" i="3"/>
  <c r="DC708" i="3"/>
  <c r="DB708" i="3"/>
  <c r="DA708" i="3"/>
  <c r="CZ708" i="3"/>
  <c r="CY708" i="3"/>
  <c r="CX708" i="3"/>
  <c r="CW708" i="3"/>
  <c r="CV708" i="3"/>
  <c r="CU708" i="3"/>
  <c r="CT708" i="3"/>
  <c r="CS708" i="3"/>
  <c r="CR708" i="3"/>
  <c r="CQ708" i="3"/>
  <c r="CP708" i="3"/>
  <c r="CO708" i="3"/>
  <c r="CN708" i="3"/>
  <c r="CM708" i="3"/>
  <c r="CL708" i="3"/>
  <c r="CK708" i="3"/>
  <c r="CJ708" i="3"/>
  <c r="CI708" i="3"/>
  <c r="CH708" i="3"/>
  <c r="CG708" i="3"/>
  <c r="CF708" i="3"/>
  <c r="CE708" i="3"/>
  <c r="CD708" i="3"/>
  <c r="CC708" i="3"/>
  <c r="CB708" i="3"/>
  <c r="CA708" i="3"/>
  <c r="BZ708" i="3"/>
  <c r="BY708" i="3"/>
  <c r="BX708" i="3"/>
  <c r="BW708" i="3"/>
  <c r="BV708" i="3"/>
  <c r="BU708" i="3"/>
  <c r="BT708" i="3"/>
  <c r="BS708" i="3"/>
  <c r="BR708" i="3"/>
  <c r="BQ708" i="3"/>
  <c r="BP708" i="3"/>
  <c r="BO708" i="3"/>
  <c r="BN708" i="3"/>
  <c r="DU707" i="3"/>
  <c r="DT707" i="3"/>
  <c r="DS707" i="3"/>
  <c r="DR707" i="3"/>
  <c r="DQ707" i="3"/>
  <c r="DP707" i="3"/>
  <c r="DO707" i="3"/>
  <c r="DN707" i="3"/>
  <c r="DM707" i="3"/>
  <c r="DL707" i="3"/>
  <c r="DK707" i="3"/>
  <c r="DJ707" i="3"/>
  <c r="DI707" i="3"/>
  <c r="DH707" i="3"/>
  <c r="DG707" i="3"/>
  <c r="DF707" i="3"/>
  <c r="DE707" i="3"/>
  <c r="DD707" i="3"/>
  <c r="DC707" i="3"/>
  <c r="DB707" i="3"/>
  <c r="DA707" i="3"/>
  <c r="CZ707" i="3"/>
  <c r="CY707" i="3"/>
  <c r="CX707" i="3"/>
  <c r="CW707" i="3"/>
  <c r="CV707" i="3"/>
  <c r="CU707" i="3"/>
  <c r="CT707" i="3"/>
  <c r="CS707" i="3"/>
  <c r="CR707" i="3"/>
  <c r="CQ707" i="3"/>
  <c r="CP707" i="3"/>
  <c r="CO707" i="3"/>
  <c r="CN707" i="3"/>
  <c r="CM707" i="3"/>
  <c r="CL707" i="3"/>
  <c r="CK707" i="3"/>
  <c r="CJ707" i="3"/>
  <c r="CI707" i="3"/>
  <c r="CH707" i="3"/>
  <c r="CG707" i="3"/>
  <c r="CF707" i="3"/>
  <c r="CE707" i="3"/>
  <c r="CD707" i="3"/>
  <c r="CC707" i="3"/>
  <c r="CB707" i="3"/>
  <c r="CA707" i="3"/>
  <c r="BZ707" i="3"/>
  <c r="BY707" i="3"/>
  <c r="BX707" i="3"/>
  <c r="BW707" i="3"/>
  <c r="BV707" i="3"/>
  <c r="BU707" i="3"/>
  <c r="BT707" i="3"/>
  <c r="BS707" i="3"/>
  <c r="BR707" i="3"/>
  <c r="BQ707" i="3"/>
  <c r="BP707" i="3"/>
  <c r="BO707" i="3"/>
  <c r="BN707" i="3"/>
  <c r="DU706" i="3"/>
  <c r="DT706" i="3"/>
  <c r="DS706" i="3"/>
  <c r="DR706" i="3"/>
  <c r="DQ706" i="3"/>
  <c r="DP706" i="3"/>
  <c r="DO706" i="3"/>
  <c r="DN706" i="3"/>
  <c r="DM706" i="3"/>
  <c r="DL706" i="3"/>
  <c r="DK706" i="3"/>
  <c r="DJ706" i="3"/>
  <c r="DI706" i="3"/>
  <c r="DH706" i="3"/>
  <c r="DG706" i="3"/>
  <c r="DF706" i="3"/>
  <c r="DE706" i="3"/>
  <c r="DD706" i="3"/>
  <c r="DC706" i="3"/>
  <c r="DB706" i="3"/>
  <c r="DA706" i="3"/>
  <c r="CZ706" i="3"/>
  <c r="CY706" i="3"/>
  <c r="CX706" i="3"/>
  <c r="CW706" i="3"/>
  <c r="CV706" i="3"/>
  <c r="CU706" i="3"/>
  <c r="CT706" i="3"/>
  <c r="CS706" i="3"/>
  <c r="CR706" i="3"/>
  <c r="CQ706" i="3"/>
  <c r="CP706" i="3"/>
  <c r="CO706" i="3"/>
  <c r="CN706" i="3"/>
  <c r="CM706" i="3"/>
  <c r="CL706" i="3"/>
  <c r="CK706" i="3"/>
  <c r="CJ706" i="3"/>
  <c r="CI706" i="3"/>
  <c r="CH706" i="3"/>
  <c r="CG706" i="3"/>
  <c r="CF706" i="3"/>
  <c r="CE706" i="3"/>
  <c r="CD706" i="3"/>
  <c r="CC706" i="3"/>
  <c r="CB706" i="3"/>
  <c r="CA706" i="3"/>
  <c r="BZ706" i="3"/>
  <c r="BY706" i="3"/>
  <c r="BX706" i="3"/>
  <c r="BW706" i="3"/>
  <c r="BV706" i="3"/>
  <c r="BU706" i="3"/>
  <c r="BT706" i="3"/>
  <c r="BS706" i="3"/>
  <c r="BR706" i="3"/>
  <c r="BQ706" i="3"/>
  <c r="BP706" i="3"/>
  <c r="BO706" i="3"/>
  <c r="BN706" i="3"/>
  <c r="DU705" i="3"/>
  <c r="DT705" i="3"/>
  <c r="DS705" i="3"/>
  <c r="DR705" i="3"/>
  <c r="DQ705" i="3"/>
  <c r="DP705" i="3"/>
  <c r="DO705" i="3"/>
  <c r="DN705" i="3"/>
  <c r="DM705" i="3"/>
  <c r="DL705" i="3"/>
  <c r="DK705" i="3"/>
  <c r="DJ705" i="3"/>
  <c r="DI705" i="3"/>
  <c r="DH705" i="3"/>
  <c r="DG705" i="3"/>
  <c r="DF705" i="3"/>
  <c r="DE705" i="3"/>
  <c r="DD705" i="3"/>
  <c r="DC705" i="3"/>
  <c r="DB705" i="3"/>
  <c r="DA705" i="3"/>
  <c r="CZ705" i="3"/>
  <c r="CY705" i="3"/>
  <c r="CX705" i="3"/>
  <c r="CW705" i="3"/>
  <c r="CV705" i="3"/>
  <c r="CU705" i="3"/>
  <c r="CT705" i="3"/>
  <c r="CS705" i="3"/>
  <c r="CR705" i="3"/>
  <c r="CQ705" i="3"/>
  <c r="CP705" i="3"/>
  <c r="CO705" i="3"/>
  <c r="CN705" i="3"/>
  <c r="CM705" i="3"/>
  <c r="CL705" i="3"/>
  <c r="CK705" i="3"/>
  <c r="CJ705" i="3"/>
  <c r="CI705" i="3"/>
  <c r="CH705" i="3"/>
  <c r="CG705" i="3"/>
  <c r="CF705" i="3"/>
  <c r="CE705" i="3"/>
  <c r="CD705" i="3"/>
  <c r="CC705" i="3"/>
  <c r="CB705" i="3"/>
  <c r="CA705" i="3"/>
  <c r="BZ705" i="3"/>
  <c r="BY705" i="3"/>
  <c r="BX705" i="3"/>
  <c r="BW705" i="3"/>
  <c r="BV705" i="3"/>
  <c r="BU705" i="3"/>
  <c r="BT705" i="3"/>
  <c r="BS705" i="3"/>
  <c r="BR705" i="3"/>
  <c r="BQ705" i="3"/>
  <c r="BP705" i="3"/>
  <c r="BO705" i="3"/>
  <c r="BN705" i="3"/>
  <c r="DU704" i="3"/>
  <c r="DT704" i="3"/>
  <c r="DS704" i="3"/>
  <c r="DR704" i="3"/>
  <c r="DQ704" i="3"/>
  <c r="DP704" i="3"/>
  <c r="DO704" i="3"/>
  <c r="DN704" i="3"/>
  <c r="DM704" i="3"/>
  <c r="DL704" i="3"/>
  <c r="DK704" i="3"/>
  <c r="DJ704" i="3"/>
  <c r="DI704" i="3"/>
  <c r="DH704" i="3"/>
  <c r="DG704" i="3"/>
  <c r="DF704" i="3"/>
  <c r="DE704" i="3"/>
  <c r="DD704" i="3"/>
  <c r="DC704" i="3"/>
  <c r="DB704" i="3"/>
  <c r="DA704" i="3"/>
  <c r="CZ704" i="3"/>
  <c r="CY704" i="3"/>
  <c r="CX704" i="3"/>
  <c r="CW704" i="3"/>
  <c r="CV704" i="3"/>
  <c r="CU704" i="3"/>
  <c r="CT704" i="3"/>
  <c r="CS704" i="3"/>
  <c r="CR704" i="3"/>
  <c r="CQ704" i="3"/>
  <c r="CP704" i="3"/>
  <c r="CO704" i="3"/>
  <c r="CN704" i="3"/>
  <c r="CM704" i="3"/>
  <c r="CL704" i="3"/>
  <c r="CK704" i="3"/>
  <c r="CJ704" i="3"/>
  <c r="CI704" i="3"/>
  <c r="CH704" i="3"/>
  <c r="CG704" i="3"/>
  <c r="CF704" i="3"/>
  <c r="CE704" i="3"/>
  <c r="CD704" i="3"/>
  <c r="CC704" i="3"/>
  <c r="CB704" i="3"/>
  <c r="CA704" i="3"/>
  <c r="BZ704" i="3"/>
  <c r="BY704" i="3"/>
  <c r="BX704" i="3"/>
  <c r="BW704" i="3"/>
  <c r="BV704" i="3"/>
  <c r="BU704" i="3"/>
  <c r="BT704" i="3"/>
  <c r="BS704" i="3"/>
  <c r="BR704" i="3"/>
  <c r="BQ704" i="3"/>
  <c r="BP704" i="3"/>
  <c r="BO704" i="3"/>
  <c r="BN704" i="3"/>
  <c r="DU703" i="3"/>
  <c r="DT703" i="3"/>
  <c r="DS703" i="3"/>
  <c r="DR703" i="3"/>
  <c r="DQ703" i="3"/>
  <c r="DP703" i="3"/>
  <c r="DO703" i="3"/>
  <c r="DN703" i="3"/>
  <c r="DM703" i="3"/>
  <c r="DL703" i="3"/>
  <c r="DK703" i="3"/>
  <c r="DJ703" i="3"/>
  <c r="DI703" i="3"/>
  <c r="DH703" i="3"/>
  <c r="DG703" i="3"/>
  <c r="DF703" i="3"/>
  <c r="DE703" i="3"/>
  <c r="DD703" i="3"/>
  <c r="DC703" i="3"/>
  <c r="DB703" i="3"/>
  <c r="DA703" i="3"/>
  <c r="CZ703" i="3"/>
  <c r="CY703" i="3"/>
  <c r="CX703" i="3"/>
  <c r="CW703" i="3"/>
  <c r="CV703" i="3"/>
  <c r="CU703" i="3"/>
  <c r="CT703" i="3"/>
  <c r="CS703" i="3"/>
  <c r="CR703" i="3"/>
  <c r="CQ703" i="3"/>
  <c r="CP703" i="3"/>
  <c r="CO703" i="3"/>
  <c r="CN703" i="3"/>
  <c r="CM703" i="3"/>
  <c r="CL703" i="3"/>
  <c r="CK703" i="3"/>
  <c r="CJ703" i="3"/>
  <c r="CI703" i="3"/>
  <c r="CH703" i="3"/>
  <c r="CG703" i="3"/>
  <c r="CF703" i="3"/>
  <c r="CE703" i="3"/>
  <c r="CD703" i="3"/>
  <c r="CC703" i="3"/>
  <c r="CB703" i="3"/>
  <c r="CA703" i="3"/>
  <c r="BZ703" i="3"/>
  <c r="BY703" i="3"/>
  <c r="BX703" i="3"/>
  <c r="BW703" i="3"/>
  <c r="BV703" i="3"/>
  <c r="BU703" i="3"/>
  <c r="BT703" i="3"/>
  <c r="BS703" i="3"/>
  <c r="BR703" i="3"/>
  <c r="BQ703" i="3"/>
  <c r="BP703" i="3"/>
  <c r="BO703" i="3"/>
  <c r="BN703" i="3"/>
  <c r="DU702" i="3"/>
  <c r="DT702" i="3"/>
  <c r="DS702" i="3"/>
  <c r="DR702" i="3"/>
  <c r="DQ702" i="3"/>
  <c r="DP702" i="3"/>
  <c r="DO702" i="3"/>
  <c r="DN702" i="3"/>
  <c r="DM702" i="3"/>
  <c r="DL702" i="3"/>
  <c r="DK702" i="3"/>
  <c r="DJ702" i="3"/>
  <c r="DI702" i="3"/>
  <c r="DH702" i="3"/>
  <c r="DG702" i="3"/>
  <c r="DF702" i="3"/>
  <c r="DE702" i="3"/>
  <c r="DD702" i="3"/>
  <c r="DC702" i="3"/>
  <c r="DB702" i="3"/>
  <c r="DA702" i="3"/>
  <c r="CZ702" i="3"/>
  <c r="CY702" i="3"/>
  <c r="CX702" i="3"/>
  <c r="CW702" i="3"/>
  <c r="CV702" i="3"/>
  <c r="CU702" i="3"/>
  <c r="CT702" i="3"/>
  <c r="CS702" i="3"/>
  <c r="CR702" i="3"/>
  <c r="CQ702" i="3"/>
  <c r="CP702" i="3"/>
  <c r="CO702" i="3"/>
  <c r="CN702" i="3"/>
  <c r="CM702" i="3"/>
  <c r="CL702" i="3"/>
  <c r="CK702" i="3"/>
  <c r="CJ702" i="3"/>
  <c r="CI702" i="3"/>
  <c r="CH702" i="3"/>
  <c r="CG702" i="3"/>
  <c r="CF702" i="3"/>
  <c r="CE702" i="3"/>
  <c r="CD702" i="3"/>
  <c r="CC702" i="3"/>
  <c r="CB702" i="3"/>
  <c r="CA702" i="3"/>
  <c r="BZ702" i="3"/>
  <c r="BY702" i="3"/>
  <c r="BX702" i="3"/>
  <c r="BW702" i="3"/>
  <c r="BV702" i="3"/>
  <c r="BU702" i="3"/>
  <c r="BT702" i="3"/>
  <c r="BS702" i="3"/>
  <c r="BR702" i="3"/>
  <c r="BQ702" i="3"/>
  <c r="BP702" i="3"/>
  <c r="BO702" i="3"/>
  <c r="BN702" i="3"/>
  <c r="DU701" i="3"/>
  <c r="DT701" i="3"/>
  <c r="DS701" i="3"/>
  <c r="DR701" i="3"/>
  <c r="DQ701" i="3"/>
  <c r="DP701" i="3"/>
  <c r="DO701" i="3"/>
  <c r="DN701" i="3"/>
  <c r="DM701" i="3"/>
  <c r="DL701" i="3"/>
  <c r="DK701" i="3"/>
  <c r="DJ701" i="3"/>
  <c r="DI701" i="3"/>
  <c r="DH701" i="3"/>
  <c r="DG701" i="3"/>
  <c r="DF701" i="3"/>
  <c r="DE701" i="3"/>
  <c r="DD701" i="3"/>
  <c r="DC701" i="3"/>
  <c r="DB701" i="3"/>
  <c r="DA701" i="3"/>
  <c r="CZ701" i="3"/>
  <c r="CY701" i="3"/>
  <c r="CX701" i="3"/>
  <c r="CW701" i="3"/>
  <c r="CV701" i="3"/>
  <c r="CU70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C701" i="3"/>
  <c r="CB701" i="3"/>
  <c r="CA701" i="3"/>
  <c r="BZ701" i="3"/>
  <c r="BY701" i="3"/>
  <c r="BX701" i="3"/>
  <c r="BW701" i="3"/>
  <c r="BV701" i="3"/>
  <c r="BU701" i="3"/>
  <c r="BT701" i="3"/>
  <c r="BS701" i="3"/>
  <c r="BR701" i="3"/>
  <c r="BQ701" i="3"/>
  <c r="BP701" i="3"/>
  <c r="BO701" i="3"/>
  <c r="BN701" i="3"/>
  <c r="DU700" i="3"/>
  <c r="DT700" i="3"/>
  <c r="DS700" i="3"/>
  <c r="DR700" i="3"/>
  <c r="DQ700" i="3"/>
  <c r="DP700" i="3"/>
  <c r="DO700" i="3"/>
  <c r="DN700" i="3"/>
  <c r="DM700" i="3"/>
  <c r="DL700" i="3"/>
  <c r="DK700" i="3"/>
  <c r="DJ700" i="3"/>
  <c r="DI700" i="3"/>
  <c r="DH700" i="3"/>
  <c r="DG700" i="3"/>
  <c r="DF700" i="3"/>
  <c r="DE700" i="3"/>
  <c r="DD700" i="3"/>
  <c r="DC700" i="3"/>
  <c r="DB700" i="3"/>
  <c r="DA700" i="3"/>
  <c r="CZ700" i="3"/>
  <c r="CY700" i="3"/>
  <c r="CX700" i="3"/>
  <c r="CW700" i="3"/>
  <c r="CV700" i="3"/>
  <c r="CU70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C700" i="3"/>
  <c r="CB700" i="3"/>
  <c r="CA700" i="3"/>
  <c r="BZ700" i="3"/>
  <c r="BY700" i="3"/>
  <c r="BX700" i="3"/>
  <c r="BW700" i="3"/>
  <c r="BV700" i="3"/>
  <c r="BU700" i="3"/>
  <c r="BT700" i="3"/>
  <c r="BS700" i="3"/>
  <c r="BR700" i="3"/>
  <c r="BQ700" i="3"/>
  <c r="BP700" i="3"/>
  <c r="BO700" i="3"/>
  <c r="BN700" i="3"/>
  <c r="DU699" i="3"/>
  <c r="DT699" i="3"/>
  <c r="DS699" i="3"/>
  <c r="DR699" i="3"/>
  <c r="DQ699" i="3"/>
  <c r="DP699" i="3"/>
  <c r="DO699" i="3"/>
  <c r="DN699" i="3"/>
  <c r="DM699" i="3"/>
  <c r="DL699" i="3"/>
  <c r="DK699" i="3"/>
  <c r="DJ699" i="3"/>
  <c r="DI699" i="3"/>
  <c r="DH699" i="3"/>
  <c r="DG699" i="3"/>
  <c r="DF699" i="3"/>
  <c r="DE699" i="3"/>
  <c r="DD699" i="3"/>
  <c r="DC699" i="3"/>
  <c r="DB699" i="3"/>
  <c r="DA699" i="3"/>
  <c r="CZ699" i="3"/>
  <c r="CY699" i="3"/>
  <c r="CX699" i="3"/>
  <c r="CW699" i="3"/>
  <c r="CV699" i="3"/>
  <c r="CU699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C699" i="3"/>
  <c r="CB699" i="3"/>
  <c r="CA699" i="3"/>
  <c r="BZ699" i="3"/>
  <c r="BY699" i="3"/>
  <c r="BX699" i="3"/>
  <c r="BW699" i="3"/>
  <c r="BV699" i="3"/>
  <c r="BU699" i="3"/>
  <c r="BT699" i="3"/>
  <c r="BS699" i="3"/>
  <c r="BR699" i="3"/>
  <c r="BQ699" i="3"/>
  <c r="BP699" i="3"/>
  <c r="BO699" i="3"/>
  <c r="BN699" i="3"/>
  <c r="DU698" i="3"/>
  <c r="DT698" i="3"/>
  <c r="DS698" i="3"/>
  <c r="DR698" i="3"/>
  <c r="DQ698" i="3"/>
  <c r="DP698" i="3"/>
  <c r="DO698" i="3"/>
  <c r="DN698" i="3"/>
  <c r="DM698" i="3"/>
  <c r="DL698" i="3"/>
  <c r="DK698" i="3"/>
  <c r="DJ698" i="3"/>
  <c r="DI698" i="3"/>
  <c r="DH698" i="3"/>
  <c r="DG698" i="3"/>
  <c r="DF698" i="3"/>
  <c r="DE698" i="3"/>
  <c r="DD698" i="3"/>
  <c r="DC698" i="3"/>
  <c r="DB698" i="3"/>
  <c r="DA698" i="3"/>
  <c r="CZ698" i="3"/>
  <c r="CY698" i="3"/>
  <c r="CX698" i="3"/>
  <c r="CW698" i="3"/>
  <c r="CV698" i="3"/>
  <c r="CU698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C698" i="3"/>
  <c r="CB698" i="3"/>
  <c r="CA698" i="3"/>
  <c r="BZ698" i="3"/>
  <c r="BY698" i="3"/>
  <c r="BX698" i="3"/>
  <c r="BW698" i="3"/>
  <c r="BV698" i="3"/>
  <c r="BU698" i="3"/>
  <c r="BT698" i="3"/>
  <c r="BS698" i="3"/>
  <c r="BR698" i="3"/>
  <c r="BQ698" i="3"/>
  <c r="BP698" i="3"/>
  <c r="BO698" i="3"/>
  <c r="BN698" i="3"/>
  <c r="DU697" i="3"/>
  <c r="DT697" i="3"/>
  <c r="DS697" i="3"/>
  <c r="DR697" i="3"/>
  <c r="DQ697" i="3"/>
  <c r="DP697" i="3"/>
  <c r="DO697" i="3"/>
  <c r="DN697" i="3"/>
  <c r="DM697" i="3"/>
  <c r="DL697" i="3"/>
  <c r="DK697" i="3"/>
  <c r="DJ697" i="3"/>
  <c r="DI697" i="3"/>
  <c r="DH697" i="3"/>
  <c r="DG697" i="3"/>
  <c r="DF697" i="3"/>
  <c r="DE697" i="3"/>
  <c r="DD697" i="3"/>
  <c r="DC697" i="3"/>
  <c r="DB697" i="3"/>
  <c r="DA697" i="3"/>
  <c r="CZ697" i="3"/>
  <c r="CY697" i="3"/>
  <c r="CX697" i="3"/>
  <c r="CW697" i="3"/>
  <c r="CV697" i="3"/>
  <c r="CU697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C697" i="3"/>
  <c r="CB697" i="3"/>
  <c r="CA697" i="3"/>
  <c r="BZ697" i="3"/>
  <c r="BY697" i="3"/>
  <c r="BX697" i="3"/>
  <c r="BW697" i="3"/>
  <c r="BV697" i="3"/>
  <c r="BU697" i="3"/>
  <c r="BT697" i="3"/>
  <c r="BS697" i="3"/>
  <c r="BR697" i="3"/>
  <c r="BQ697" i="3"/>
  <c r="BP697" i="3"/>
  <c r="BO697" i="3"/>
  <c r="BN697" i="3"/>
  <c r="DU696" i="3"/>
  <c r="DT696" i="3"/>
  <c r="DS696" i="3"/>
  <c r="DR696" i="3"/>
  <c r="DQ696" i="3"/>
  <c r="DP696" i="3"/>
  <c r="DO696" i="3"/>
  <c r="DN696" i="3"/>
  <c r="DM696" i="3"/>
  <c r="DL696" i="3"/>
  <c r="DK696" i="3"/>
  <c r="DJ696" i="3"/>
  <c r="DI696" i="3"/>
  <c r="DH696" i="3"/>
  <c r="DG696" i="3"/>
  <c r="DF696" i="3"/>
  <c r="DE696" i="3"/>
  <c r="DD696" i="3"/>
  <c r="DC696" i="3"/>
  <c r="DB696" i="3"/>
  <c r="DA696" i="3"/>
  <c r="CZ696" i="3"/>
  <c r="CY696" i="3"/>
  <c r="CX696" i="3"/>
  <c r="CW696" i="3"/>
  <c r="CV696" i="3"/>
  <c r="CU696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C696" i="3"/>
  <c r="CB696" i="3"/>
  <c r="CA696" i="3"/>
  <c r="BZ696" i="3"/>
  <c r="BY696" i="3"/>
  <c r="BX696" i="3"/>
  <c r="BW696" i="3"/>
  <c r="BV696" i="3"/>
  <c r="BU696" i="3"/>
  <c r="BT696" i="3"/>
  <c r="BS696" i="3"/>
  <c r="BR696" i="3"/>
  <c r="BQ696" i="3"/>
  <c r="BP696" i="3"/>
  <c r="BO696" i="3"/>
  <c r="BN696" i="3"/>
  <c r="DU695" i="3"/>
  <c r="DT695" i="3"/>
  <c r="DS695" i="3"/>
  <c r="DR695" i="3"/>
  <c r="DQ695" i="3"/>
  <c r="DP695" i="3"/>
  <c r="DO695" i="3"/>
  <c r="DN695" i="3"/>
  <c r="DM695" i="3"/>
  <c r="DL695" i="3"/>
  <c r="DK695" i="3"/>
  <c r="DJ695" i="3"/>
  <c r="DI695" i="3"/>
  <c r="DH695" i="3"/>
  <c r="DG695" i="3"/>
  <c r="DF695" i="3"/>
  <c r="DE695" i="3"/>
  <c r="DD695" i="3"/>
  <c r="DC695" i="3"/>
  <c r="DB695" i="3"/>
  <c r="DA695" i="3"/>
  <c r="CZ695" i="3"/>
  <c r="CY695" i="3"/>
  <c r="CX695" i="3"/>
  <c r="CW695" i="3"/>
  <c r="CV695" i="3"/>
  <c r="CU695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C695" i="3"/>
  <c r="CB695" i="3"/>
  <c r="CA695" i="3"/>
  <c r="BZ695" i="3"/>
  <c r="BY695" i="3"/>
  <c r="BX695" i="3"/>
  <c r="BW695" i="3"/>
  <c r="BV695" i="3"/>
  <c r="BU695" i="3"/>
  <c r="BT695" i="3"/>
  <c r="BS695" i="3"/>
  <c r="BR695" i="3"/>
  <c r="BQ695" i="3"/>
  <c r="BP695" i="3"/>
  <c r="BO695" i="3"/>
  <c r="BN695" i="3"/>
  <c r="DU694" i="3"/>
  <c r="DT694" i="3"/>
  <c r="DS694" i="3"/>
  <c r="DR694" i="3"/>
  <c r="DQ694" i="3"/>
  <c r="DP694" i="3"/>
  <c r="DO694" i="3"/>
  <c r="DN694" i="3"/>
  <c r="DM694" i="3"/>
  <c r="DL694" i="3"/>
  <c r="DK694" i="3"/>
  <c r="DJ694" i="3"/>
  <c r="DI694" i="3"/>
  <c r="DH694" i="3"/>
  <c r="DG694" i="3"/>
  <c r="DF694" i="3"/>
  <c r="DE694" i="3"/>
  <c r="DD694" i="3"/>
  <c r="DC694" i="3"/>
  <c r="DB694" i="3"/>
  <c r="DA694" i="3"/>
  <c r="CZ694" i="3"/>
  <c r="CY694" i="3"/>
  <c r="CX694" i="3"/>
  <c r="CW694" i="3"/>
  <c r="CV694" i="3"/>
  <c r="CU694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C694" i="3"/>
  <c r="CB694" i="3"/>
  <c r="CA694" i="3"/>
  <c r="BZ694" i="3"/>
  <c r="BY694" i="3"/>
  <c r="BX694" i="3"/>
  <c r="BW694" i="3"/>
  <c r="BV694" i="3"/>
  <c r="BU694" i="3"/>
  <c r="BT694" i="3"/>
  <c r="BS694" i="3"/>
  <c r="BR694" i="3"/>
  <c r="BQ694" i="3"/>
  <c r="BP694" i="3"/>
  <c r="BO694" i="3"/>
  <c r="BN694" i="3"/>
  <c r="DU693" i="3"/>
  <c r="DT693" i="3"/>
  <c r="DS693" i="3"/>
  <c r="DR693" i="3"/>
  <c r="DQ693" i="3"/>
  <c r="DP693" i="3"/>
  <c r="DO693" i="3"/>
  <c r="DN693" i="3"/>
  <c r="DM693" i="3"/>
  <c r="DL693" i="3"/>
  <c r="DK693" i="3"/>
  <c r="DJ693" i="3"/>
  <c r="DI693" i="3"/>
  <c r="DH693" i="3"/>
  <c r="DG693" i="3"/>
  <c r="DF693" i="3"/>
  <c r="DE693" i="3"/>
  <c r="DD693" i="3"/>
  <c r="DC693" i="3"/>
  <c r="DB693" i="3"/>
  <c r="DA693" i="3"/>
  <c r="CZ693" i="3"/>
  <c r="CY693" i="3"/>
  <c r="CX693" i="3"/>
  <c r="CW693" i="3"/>
  <c r="CV693" i="3"/>
  <c r="CU693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C693" i="3"/>
  <c r="CB693" i="3"/>
  <c r="CA693" i="3"/>
  <c r="BZ693" i="3"/>
  <c r="BY693" i="3"/>
  <c r="BX693" i="3"/>
  <c r="BW693" i="3"/>
  <c r="BV693" i="3"/>
  <c r="BU693" i="3"/>
  <c r="BT693" i="3"/>
  <c r="BS693" i="3"/>
  <c r="BR693" i="3"/>
  <c r="BQ693" i="3"/>
  <c r="BP693" i="3"/>
  <c r="BO693" i="3"/>
  <c r="BN693" i="3"/>
  <c r="DU692" i="3"/>
  <c r="DT692" i="3"/>
  <c r="DS692" i="3"/>
  <c r="DR692" i="3"/>
  <c r="DQ692" i="3"/>
  <c r="DP692" i="3"/>
  <c r="DO692" i="3"/>
  <c r="DN692" i="3"/>
  <c r="DM692" i="3"/>
  <c r="DL692" i="3"/>
  <c r="DK692" i="3"/>
  <c r="DJ692" i="3"/>
  <c r="DI692" i="3"/>
  <c r="DH692" i="3"/>
  <c r="DG692" i="3"/>
  <c r="DF692" i="3"/>
  <c r="DE692" i="3"/>
  <c r="DD692" i="3"/>
  <c r="DC692" i="3"/>
  <c r="DB692" i="3"/>
  <c r="DA692" i="3"/>
  <c r="CZ692" i="3"/>
  <c r="CY692" i="3"/>
  <c r="CX692" i="3"/>
  <c r="CW692" i="3"/>
  <c r="CV692" i="3"/>
  <c r="CU692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C692" i="3"/>
  <c r="CB692" i="3"/>
  <c r="CA692" i="3"/>
  <c r="BZ692" i="3"/>
  <c r="BY692" i="3"/>
  <c r="BX692" i="3"/>
  <c r="BW692" i="3"/>
  <c r="BV692" i="3"/>
  <c r="BU692" i="3"/>
  <c r="BT692" i="3"/>
  <c r="BS692" i="3"/>
  <c r="BR692" i="3"/>
  <c r="BQ692" i="3"/>
  <c r="BP692" i="3"/>
  <c r="BO692" i="3"/>
  <c r="BN692" i="3"/>
  <c r="DU691" i="3"/>
  <c r="DT691" i="3"/>
  <c r="DS691" i="3"/>
  <c r="DR691" i="3"/>
  <c r="DQ691" i="3"/>
  <c r="DP691" i="3"/>
  <c r="DO691" i="3"/>
  <c r="DN691" i="3"/>
  <c r="DM691" i="3"/>
  <c r="DL691" i="3"/>
  <c r="DK691" i="3"/>
  <c r="DJ691" i="3"/>
  <c r="DI691" i="3"/>
  <c r="DH691" i="3"/>
  <c r="DG691" i="3"/>
  <c r="DF691" i="3"/>
  <c r="DE691" i="3"/>
  <c r="DD691" i="3"/>
  <c r="DC691" i="3"/>
  <c r="DB691" i="3"/>
  <c r="DA691" i="3"/>
  <c r="CZ691" i="3"/>
  <c r="CY691" i="3"/>
  <c r="CX691" i="3"/>
  <c r="CW691" i="3"/>
  <c r="CV691" i="3"/>
  <c r="CU69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C691" i="3"/>
  <c r="CB691" i="3"/>
  <c r="CA691" i="3"/>
  <c r="BZ691" i="3"/>
  <c r="BY691" i="3"/>
  <c r="BX691" i="3"/>
  <c r="BW691" i="3"/>
  <c r="BV691" i="3"/>
  <c r="BU691" i="3"/>
  <c r="BT691" i="3"/>
  <c r="BS691" i="3"/>
  <c r="BR691" i="3"/>
  <c r="BQ691" i="3"/>
  <c r="BP691" i="3"/>
  <c r="BO691" i="3"/>
  <c r="BN691" i="3"/>
  <c r="DU690" i="3"/>
  <c r="DT690" i="3"/>
  <c r="DS690" i="3"/>
  <c r="DR690" i="3"/>
  <c r="DQ690" i="3"/>
  <c r="DP690" i="3"/>
  <c r="DO690" i="3"/>
  <c r="DN690" i="3"/>
  <c r="DM690" i="3"/>
  <c r="DL690" i="3"/>
  <c r="DK690" i="3"/>
  <c r="DJ690" i="3"/>
  <c r="DI690" i="3"/>
  <c r="DH690" i="3"/>
  <c r="DG690" i="3"/>
  <c r="DF690" i="3"/>
  <c r="DE690" i="3"/>
  <c r="DD690" i="3"/>
  <c r="DC690" i="3"/>
  <c r="DB690" i="3"/>
  <c r="DA690" i="3"/>
  <c r="CZ690" i="3"/>
  <c r="CY690" i="3"/>
  <c r="CX690" i="3"/>
  <c r="CW690" i="3"/>
  <c r="CV690" i="3"/>
  <c r="CU69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C690" i="3"/>
  <c r="CB690" i="3"/>
  <c r="CA690" i="3"/>
  <c r="BZ690" i="3"/>
  <c r="BY690" i="3"/>
  <c r="BX690" i="3"/>
  <c r="BW690" i="3"/>
  <c r="BV690" i="3"/>
  <c r="BU690" i="3"/>
  <c r="BT690" i="3"/>
  <c r="BS690" i="3"/>
  <c r="BR690" i="3"/>
  <c r="BQ690" i="3"/>
  <c r="BP690" i="3"/>
  <c r="BO690" i="3"/>
  <c r="BN690" i="3"/>
  <c r="DU689" i="3"/>
  <c r="DT689" i="3"/>
  <c r="DS689" i="3"/>
  <c r="DR689" i="3"/>
  <c r="DQ689" i="3"/>
  <c r="DP689" i="3"/>
  <c r="DO689" i="3"/>
  <c r="DN689" i="3"/>
  <c r="DM689" i="3"/>
  <c r="DL689" i="3"/>
  <c r="DK689" i="3"/>
  <c r="DJ689" i="3"/>
  <c r="DI689" i="3"/>
  <c r="DH689" i="3"/>
  <c r="DG689" i="3"/>
  <c r="DF689" i="3"/>
  <c r="DE689" i="3"/>
  <c r="DD689" i="3"/>
  <c r="DC689" i="3"/>
  <c r="DB689" i="3"/>
  <c r="DA689" i="3"/>
  <c r="CZ689" i="3"/>
  <c r="CY689" i="3"/>
  <c r="CX689" i="3"/>
  <c r="CW689" i="3"/>
  <c r="CV689" i="3"/>
  <c r="CU689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C689" i="3"/>
  <c r="CB689" i="3"/>
  <c r="CA689" i="3"/>
  <c r="BZ689" i="3"/>
  <c r="BY689" i="3"/>
  <c r="BX689" i="3"/>
  <c r="BW689" i="3"/>
  <c r="BV689" i="3"/>
  <c r="BU689" i="3"/>
  <c r="BT689" i="3"/>
  <c r="BS689" i="3"/>
  <c r="BR689" i="3"/>
  <c r="BQ689" i="3"/>
  <c r="BP689" i="3"/>
  <c r="BO689" i="3"/>
  <c r="BN689" i="3"/>
  <c r="DU688" i="3"/>
  <c r="DT688" i="3"/>
  <c r="DS688" i="3"/>
  <c r="DR688" i="3"/>
  <c r="DQ688" i="3"/>
  <c r="DP688" i="3"/>
  <c r="DO688" i="3"/>
  <c r="DN688" i="3"/>
  <c r="DM688" i="3"/>
  <c r="DL688" i="3"/>
  <c r="DK688" i="3"/>
  <c r="DJ688" i="3"/>
  <c r="DI688" i="3"/>
  <c r="DH688" i="3"/>
  <c r="DG688" i="3"/>
  <c r="DF688" i="3"/>
  <c r="DE688" i="3"/>
  <c r="DD688" i="3"/>
  <c r="DC688" i="3"/>
  <c r="DB688" i="3"/>
  <c r="DA688" i="3"/>
  <c r="CZ688" i="3"/>
  <c r="CY688" i="3"/>
  <c r="CX688" i="3"/>
  <c r="CW688" i="3"/>
  <c r="CV688" i="3"/>
  <c r="CU688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C688" i="3"/>
  <c r="CB688" i="3"/>
  <c r="CA688" i="3"/>
  <c r="BZ688" i="3"/>
  <c r="BY688" i="3"/>
  <c r="BX688" i="3"/>
  <c r="BW688" i="3"/>
  <c r="BV688" i="3"/>
  <c r="BU688" i="3"/>
  <c r="BT688" i="3"/>
  <c r="BS688" i="3"/>
  <c r="BR688" i="3"/>
  <c r="BQ688" i="3"/>
  <c r="BP688" i="3"/>
  <c r="BO688" i="3"/>
  <c r="BN688" i="3"/>
  <c r="DU687" i="3"/>
  <c r="DT687" i="3"/>
  <c r="DS687" i="3"/>
  <c r="DR687" i="3"/>
  <c r="DQ687" i="3"/>
  <c r="DP687" i="3"/>
  <c r="DO687" i="3"/>
  <c r="DN687" i="3"/>
  <c r="DM687" i="3"/>
  <c r="DL687" i="3"/>
  <c r="DK687" i="3"/>
  <c r="DJ687" i="3"/>
  <c r="DI687" i="3"/>
  <c r="DH687" i="3"/>
  <c r="DG687" i="3"/>
  <c r="DF687" i="3"/>
  <c r="DE687" i="3"/>
  <c r="DD687" i="3"/>
  <c r="DC687" i="3"/>
  <c r="DB687" i="3"/>
  <c r="DA687" i="3"/>
  <c r="CZ687" i="3"/>
  <c r="CY687" i="3"/>
  <c r="CX687" i="3"/>
  <c r="CW687" i="3"/>
  <c r="CV687" i="3"/>
  <c r="CU687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C687" i="3"/>
  <c r="CB687" i="3"/>
  <c r="CA687" i="3"/>
  <c r="BZ687" i="3"/>
  <c r="BY687" i="3"/>
  <c r="BX687" i="3"/>
  <c r="BW687" i="3"/>
  <c r="BV687" i="3"/>
  <c r="BU687" i="3"/>
  <c r="BT687" i="3"/>
  <c r="BS687" i="3"/>
  <c r="BR687" i="3"/>
  <c r="BQ687" i="3"/>
  <c r="BP687" i="3"/>
  <c r="BO687" i="3"/>
  <c r="BN687" i="3"/>
  <c r="DU686" i="3"/>
  <c r="DT686" i="3"/>
  <c r="DS686" i="3"/>
  <c r="DR686" i="3"/>
  <c r="DQ686" i="3"/>
  <c r="DP686" i="3"/>
  <c r="DO686" i="3"/>
  <c r="DN686" i="3"/>
  <c r="DM686" i="3"/>
  <c r="DL686" i="3"/>
  <c r="DK686" i="3"/>
  <c r="DJ686" i="3"/>
  <c r="DI686" i="3"/>
  <c r="DH686" i="3"/>
  <c r="DG686" i="3"/>
  <c r="DF686" i="3"/>
  <c r="DE686" i="3"/>
  <c r="DD686" i="3"/>
  <c r="DC686" i="3"/>
  <c r="DB686" i="3"/>
  <c r="DA686" i="3"/>
  <c r="CZ686" i="3"/>
  <c r="CY686" i="3"/>
  <c r="CX686" i="3"/>
  <c r="CW686" i="3"/>
  <c r="CV686" i="3"/>
  <c r="CU686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C686" i="3"/>
  <c r="CB686" i="3"/>
  <c r="CA686" i="3"/>
  <c r="BZ686" i="3"/>
  <c r="BY686" i="3"/>
  <c r="BX686" i="3"/>
  <c r="BW686" i="3"/>
  <c r="BV686" i="3"/>
  <c r="BU686" i="3"/>
  <c r="BT686" i="3"/>
  <c r="BS686" i="3"/>
  <c r="BR686" i="3"/>
  <c r="BQ686" i="3"/>
  <c r="BP686" i="3"/>
  <c r="BO686" i="3"/>
  <c r="BN686" i="3"/>
  <c r="DU685" i="3"/>
  <c r="DT685" i="3"/>
  <c r="DS685" i="3"/>
  <c r="DR685" i="3"/>
  <c r="DQ685" i="3"/>
  <c r="DP685" i="3"/>
  <c r="DO685" i="3"/>
  <c r="DN685" i="3"/>
  <c r="DM685" i="3"/>
  <c r="DL685" i="3"/>
  <c r="DK685" i="3"/>
  <c r="DJ685" i="3"/>
  <c r="DI685" i="3"/>
  <c r="DH685" i="3"/>
  <c r="DG685" i="3"/>
  <c r="DF685" i="3"/>
  <c r="DE685" i="3"/>
  <c r="DD685" i="3"/>
  <c r="DC685" i="3"/>
  <c r="DB685" i="3"/>
  <c r="DA685" i="3"/>
  <c r="CZ685" i="3"/>
  <c r="CY685" i="3"/>
  <c r="CX685" i="3"/>
  <c r="CW685" i="3"/>
  <c r="CV685" i="3"/>
  <c r="CU685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C685" i="3"/>
  <c r="CB685" i="3"/>
  <c r="CA685" i="3"/>
  <c r="BZ685" i="3"/>
  <c r="BY685" i="3"/>
  <c r="BX685" i="3"/>
  <c r="BW685" i="3"/>
  <c r="BV685" i="3"/>
  <c r="BU685" i="3"/>
  <c r="BT685" i="3"/>
  <c r="BS685" i="3"/>
  <c r="BR685" i="3"/>
  <c r="BQ685" i="3"/>
  <c r="BP685" i="3"/>
  <c r="BO685" i="3"/>
  <c r="BN685" i="3"/>
  <c r="DU684" i="3"/>
  <c r="DT684" i="3"/>
  <c r="DS684" i="3"/>
  <c r="DR684" i="3"/>
  <c r="DQ684" i="3"/>
  <c r="DP684" i="3"/>
  <c r="DO684" i="3"/>
  <c r="DN684" i="3"/>
  <c r="DM684" i="3"/>
  <c r="DL684" i="3"/>
  <c r="DK684" i="3"/>
  <c r="DJ684" i="3"/>
  <c r="DI684" i="3"/>
  <c r="DH684" i="3"/>
  <c r="DG684" i="3"/>
  <c r="DF684" i="3"/>
  <c r="DE684" i="3"/>
  <c r="DD684" i="3"/>
  <c r="DC684" i="3"/>
  <c r="DB684" i="3"/>
  <c r="DA684" i="3"/>
  <c r="CZ684" i="3"/>
  <c r="CY684" i="3"/>
  <c r="CX684" i="3"/>
  <c r="CW684" i="3"/>
  <c r="CV684" i="3"/>
  <c r="CU684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C684" i="3"/>
  <c r="CB684" i="3"/>
  <c r="CA684" i="3"/>
  <c r="BZ684" i="3"/>
  <c r="BY684" i="3"/>
  <c r="BX684" i="3"/>
  <c r="BW684" i="3"/>
  <c r="BV684" i="3"/>
  <c r="BU684" i="3"/>
  <c r="BT684" i="3"/>
  <c r="BS684" i="3"/>
  <c r="BR684" i="3"/>
  <c r="BQ684" i="3"/>
  <c r="BP684" i="3"/>
  <c r="BO684" i="3"/>
  <c r="BN684" i="3"/>
  <c r="DU683" i="3"/>
  <c r="DT683" i="3"/>
  <c r="DS683" i="3"/>
  <c r="DR683" i="3"/>
  <c r="DQ683" i="3"/>
  <c r="DP683" i="3"/>
  <c r="DO683" i="3"/>
  <c r="DN683" i="3"/>
  <c r="DM683" i="3"/>
  <c r="DL683" i="3"/>
  <c r="DK683" i="3"/>
  <c r="DJ683" i="3"/>
  <c r="DI683" i="3"/>
  <c r="DH683" i="3"/>
  <c r="DG683" i="3"/>
  <c r="DF683" i="3"/>
  <c r="DE683" i="3"/>
  <c r="DD683" i="3"/>
  <c r="DC683" i="3"/>
  <c r="DB683" i="3"/>
  <c r="DA683" i="3"/>
  <c r="CZ683" i="3"/>
  <c r="CY683" i="3"/>
  <c r="CX683" i="3"/>
  <c r="CW683" i="3"/>
  <c r="CV683" i="3"/>
  <c r="CU683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C683" i="3"/>
  <c r="CB683" i="3"/>
  <c r="CA683" i="3"/>
  <c r="BZ683" i="3"/>
  <c r="BY683" i="3"/>
  <c r="BX683" i="3"/>
  <c r="BW683" i="3"/>
  <c r="BV683" i="3"/>
  <c r="BU683" i="3"/>
  <c r="BT683" i="3"/>
  <c r="BS683" i="3"/>
  <c r="BR683" i="3"/>
  <c r="BQ683" i="3"/>
  <c r="BP683" i="3"/>
  <c r="BO683" i="3"/>
  <c r="BN683" i="3"/>
  <c r="DU682" i="3"/>
  <c r="DT682" i="3"/>
  <c r="DS682" i="3"/>
  <c r="DR682" i="3"/>
  <c r="DQ682" i="3"/>
  <c r="DP682" i="3"/>
  <c r="DO682" i="3"/>
  <c r="DN682" i="3"/>
  <c r="DM682" i="3"/>
  <c r="DL682" i="3"/>
  <c r="DK682" i="3"/>
  <c r="DJ682" i="3"/>
  <c r="DI682" i="3"/>
  <c r="DH682" i="3"/>
  <c r="DG682" i="3"/>
  <c r="DF682" i="3"/>
  <c r="DE682" i="3"/>
  <c r="DD682" i="3"/>
  <c r="DC682" i="3"/>
  <c r="DB682" i="3"/>
  <c r="DA682" i="3"/>
  <c r="CZ682" i="3"/>
  <c r="CY682" i="3"/>
  <c r="CX682" i="3"/>
  <c r="CW682" i="3"/>
  <c r="CV682" i="3"/>
  <c r="CU682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C682" i="3"/>
  <c r="CB682" i="3"/>
  <c r="CA682" i="3"/>
  <c r="BZ682" i="3"/>
  <c r="BY682" i="3"/>
  <c r="BX682" i="3"/>
  <c r="BW682" i="3"/>
  <c r="BV682" i="3"/>
  <c r="BU682" i="3"/>
  <c r="BT682" i="3"/>
  <c r="BS682" i="3"/>
  <c r="BR682" i="3"/>
  <c r="BQ682" i="3"/>
  <c r="BP682" i="3"/>
  <c r="BO682" i="3"/>
  <c r="BN682" i="3"/>
  <c r="DU681" i="3"/>
  <c r="DT681" i="3"/>
  <c r="DS681" i="3"/>
  <c r="DR681" i="3"/>
  <c r="DQ681" i="3"/>
  <c r="DP681" i="3"/>
  <c r="DO681" i="3"/>
  <c r="DN681" i="3"/>
  <c r="DM681" i="3"/>
  <c r="DL681" i="3"/>
  <c r="DK681" i="3"/>
  <c r="DJ681" i="3"/>
  <c r="DI681" i="3"/>
  <c r="DH681" i="3"/>
  <c r="DG681" i="3"/>
  <c r="DF681" i="3"/>
  <c r="DE681" i="3"/>
  <c r="DD681" i="3"/>
  <c r="DC681" i="3"/>
  <c r="DB681" i="3"/>
  <c r="DA681" i="3"/>
  <c r="CZ681" i="3"/>
  <c r="CY681" i="3"/>
  <c r="CX681" i="3"/>
  <c r="CW681" i="3"/>
  <c r="CV681" i="3"/>
  <c r="CU68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C681" i="3"/>
  <c r="CB681" i="3"/>
  <c r="CA681" i="3"/>
  <c r="BZ681" i="3"/>
  <c r="BY681" i="3"/>
  <c r="BX681" i="3"/>
  <c r="BW681" i="3"/>
  <c r="BV681" i="3"/>
  <c r="BU681" i="3"/>
  <c r="BT681" i="3"/>
  <c r="BS681" i="3"/>
  <c r="BR681" i="3"/>
  <c r="BQ681" i="3"/>
  <c r="BP681" i="3"/>
  <c r="BO681" i="3"/>
  <c r="BN681" i="3"/>
  <c r="DU680" i="3"/>
  <c r="DT680" i="3"/>
  <c r="DS680" i="3"/>
  <c r="DR680" i="3"/>
  <c r="DQ680" i="3"/>
  <c r="DP680" i="3"/>
  <c r="DO680" i="3"/>
  <c r="DN680" i="3"/>
  <c r="DM680" i="3"/>
  <c r="DL680" i="3"/>
  <c r="DK680" i="3"/>
  <c r="DJ680" i="3"/>
  <c r="DI680" i="3"/>
  <c r="DH680" i="3"/>
  <c r="DG680" i="3"/>
  <c r="DF680" i="3"/>
  <c r="DE680" i="3"/>
  <c r="DD680" i="3"/>
  <c r="DC680" i="3"/>
  <c r="DB680" i="3"/>
  <c r="DA680" i="3"/>
  <c r="CZ680" i="3"/>
  <c r="CY680" i="3"/>
  <c r="CX680" i="3"/>
  <c r="CW680" i="3"/>
  <c r="CV680" i="3"/>
  <c r="CU68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C680" i="3"/>
  <c r="CB680" i="3"/>
  <c r="CA680" i="3"/>
  <c r="BZ680" i="3"/>
  <c r="BY680" i="3"/>
  <c r="BX680" i="3"/>
  <c r="BW680" i="3"/>
  <c r="BV680" i="3"/>
  <c r="BU680" i="3"/>
  <c r="BT680" i="3"/>
  <c r="BS680" i="3"/>
  <c r="BR680" i="3"/>
  <c r="BQ680" i="3"/>
  <c r="BP680" i="3"/>
  <c r="BO680" i="3"/>
  <c r="BN680" i="3"/>
  <c r="DU679" i="3"/>
  <c r="DT679" i="3"/>
  <c r="DS679" i="3"/>
  <c r="DR679" i="3"/>
  <c r="DQ679" i="3"/>
  <c r="DP679" i="3"/>
  <c r="DO679" i="3"/>
  <c r="DN679" i="3"/>
  <c r="DM679" i="3"/>
  <c r="DL679" i="3"/>
  <c r="DK679" i="3"/>
  <c r="DJ679" i="3"/>
  <c r="DI679" i="3"/>
  <c r="DH679" i="3"/>
  <c r="DG679" i="3"/>
  <c r="DF679" i="3"/>
  <c r="DE679" i="3"/>
  <c r="DD679" i="3"/>
  <c r="DC679" i="3"/>
  <c r="DB679" i="3"/>
  <c r="DA679" i="3"/>
  <c r="CZ679" i="3"/>
  <c r="CY679" i="3"/>
  <c r="CX679" i="3"/>
  <c r="CW679" i="3"/>
  <c r="CV679" i="3"/>
  <c r="CU679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C679" i="3"/>
  <c r="CB679" i="3"/>
  <c r="CA679" i="3"/>
  <c r="BZ679" i="3"/>
  <c r="BY679" i="3"/>
  <c r="BX679" i="3"/>
  <c r="BW679" i="3"/>
  <c r="BV679" i="3"/>
  <c r="BU679" i="3"/>
  <c r="BT679" i="3"/>
  <c r="BS679" i="3"/>
  <c r="BR679" i="3"/>
  <c r="BQ679" i="3"/>
  <c r="BP679" i="3"/>
  <c r="BO679" i="3"/>
  <c r="BN679" i="3"/>
  <c r="DU678" i="3"/>
  <c r="DT678" i="3"/>
  <c r="DS678" i="3"/>
  <c r="DR678" i="3"/>
  <c r="DQ678" i="3"/>
  <c r="DP678" i="3"/>
  <c r="DO678" i="3"/>
  <c r="DN678" i="3"/>
  <c r="DM678" i="3"/>
  <c r="DL678" i="3"/>
  <c r="DK678" i="3"/>
  <c r="DJ678" i="3"/>
  <c r="DI678" i="3"/>
  <c r="DH678" i="3"/>
  <c r="DG678" i="3"/>
  <c r="DF678" i="3"/>
  <c r="DE678" i="3"/>
  <c r="DD678" i="3"/>
  <c r="DC678" i="3"/>
  <c r="DB678" i="3"/>
  <c r="DA678" i="3"/>
  <c r="CZ678" i="3"/>
  <c r="CY678" i="3"/>
  <c r="CX678" i="3"/>
  <c r="CW678" i="3"/>
  <c r="CV678" i="3"/>
  <c r="CU678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C678" i="3"/>
  <c r="CB678" i="3"/>
  <c r="CA678" i="3"/>
  <c r="BZ678" i="3"/>
  <c r="BY678" i="3"/>
  <c r="BX678" i="3"/>
  <c r="BW678" i="3"/>
  <c r="BV678" i="3"/>
  <c r="BU678" i="3"/>
  <c r="BT678" i="3"/>
  <c r="BS678" i="3"/>
  <c r="BR678" i="3"/>
  <c r="BQ678" i="3"/>
  <c r="BP678" i="3"/>
  <c r="BO678" i="3"/>
  <c r="BN678" i="3"/>
  <c r="DU677" i="3"/>
  <c r="DT677" i="3"/>
  <c r="DS677" i="3"/>
  <c r="DR677" i="3"/>
  <c r="DQ677" i="3"/>
  <c r="DP677" i="3"/>
  <c r="DO677" i="3"/>
  <c r="DN677" i="3"/>
  <c r="DM677" i="3"/>
  <c r="DL677" i="3"/>
  <c r="DK677" i="3"/>
  <c r="DJ677" i="3"/>
  <c r="DI677" i="3"/>
  <c r="DH677" i="3"/>
  <c r="DG677" i="3"/>
  <c r="DF677" i="3"/>
  <c r="DE677" i="3"/>
  <c r="DD677" i="3"/>
  <c r="DC677" i="3"/>
  <c r="DB677" i="3"/>
  <c r="DA677" i="3"/>
  <c r="CZ677" i="3"/>
  <c r="CY677" i="3"/>
  <c r="CX677" i="3"/>
  <c r="CW677" i="3"/>
  <c r="CV677" i="3"/>
  <c r="CU677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C677" i="3"/>
  <c r="CB677" i="3"/>
  <c r="CA677" i="3"/>
  <c r="BZ677" i="3"/>
  <c r="BY677" i="3"/>
  <c r="BX677" i="3"/>
  <c r="BW677" i="3"/>
  <c r="BV677" i="3"/>
  <c r="BU677" i="3"/>
  <c r="BT677" i="3"/>
  <c r="BS677" i="3"/>
  <c r="BR677" i="3"/>
  <c r="BQ677" i="3"/>
  <c r="BP677" i="3"/>
  <c r="BO677" i="3"/>
  <c r="BN677" i="3"/>
  <c r="A677" i="3"/>
  <c r="DU676" i="3"/>
  <c r="DT676" i="3"/>
  <c r="DS676" i="3"/>
  <c r="DR676" i="3"/>
  <c r="DQ676" i="3"/>
  <c r="DP676" i="3"/>
  <c r="DO676" i="3"/>
  <c r="DN676" i="3"/>
  <c r="DM676" i="3"/>
  <c r="DL676" i="3"/>
  <c r="DK676" i="3"/>
  <c r="DJ676" i="3"/>
  <c r="DI676" i="3"/>
  <c r="DH676" i="3"/>
  <c r="DG676" i="3"/>
  <c r="DF676" i="3"/>
  <c r="DE676" i="3"/>
  <c r="DD676" i="3"/>
  <c r="DC676" i="3"/>
  <c r="DB676" i="3"/>
  <c r="DA676" i="3"/>
  <c r="CZ676" i="3"/>
  <c r="CY676" i="3"/>
  <c r="CX676" i="3"/>
  <c r="CW676" i="3"/>
  <c r="CV676" i="3"/>
  <c r="CU676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C676" i="3"/>
  <c r="CB676" i="3"/>
  <c r="CA676" i="3"/>
  <c r="BZ676" i="3"/>
  <c r="BY676" i="3"/>
  <c r="BX676" i="3"/>
  <c r="BW676" i="3"/>
  <c r="BV676" i="3"/>
  <c r="BU676" i="3"/>
  <c r="BT676" i="3"/>
  <c r="BS676" i="3"/>
  <c r="BR676" i="3"/>
  <c r="BQ676" i="3"/>
  <c r="BP676" i="3"/>
  <c r="BO676" i="3"/>
  <c r="BN676" i="3"/>
  <c r="B676" i="3"/>
  <c r="B1327" i="3" s="1"/>
  <c r="A676" i="3"/>
  <c r="DU675" i="3"/>
  <c r="DT675" i="3"/>
  <c r="DS675" i="3"/>
  <c r="DR675" i="3"/>
  <c r="DQ675" i="3"/>
  <c r="DP675" i="3"/>
  <c r="DO675" i="3"/>
  <c r="DN675" i="3"/>
  <c r="DM675" i="3"/>
  <c r="DL675" i="3"/>
  <c r="DK675" i="3"/>
  <c r="DJ675" i="3"/>
  <c r="DI675" i="3"/>
  <c r="DH675" i="3"/>
  <c r="DG675" i="3"/>
  <c r="DF675" i="3"/>
  <c r="DE675" i="3"/>
  <c r="DD675" i="3"/>
  <c r="DC675" i="3"/>
  <c r="DB675" i="3"/>
  <c r="DA675" i="3"/>
  <c r="CZ675" i="3"/>
  <c r="CY675" i="3"/>
  <c r="CX675" i="3"/>
  <c r="CW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Y675" i="3"/>
  <c r="BX675" i="3"/>
  <c r="BW675" i="3"/>
  <c r="BV675" i="3"/>
  <c r="BU675" i="3"/>
  <c r="BT675" i="3"/>
  <c r="BS675" i="3"/>
  <c r="BR675" i="3"/>
  <c r="BQ675" i="3"/>
  <c r="BP675" i="3"/>
  <c r="BO675" i="3"/>
  <c r="BN675" i="3"/>
  <c r="A675" i="3"/>
  <c r="DU674" i="3"/>
  <c r="DT674" i="3"/>
  <c r="DS674" i="3"/>
  <c r="DR674" i="3"/>
  <c r="DQ674" i="3"/>
  <c r="DP674" i="3"/>
  <c r="DO674" i="3"/>
  <c r="DN674" i="3"/>
  <c r="DM674" i="3"/>
  <c r="DL674" i="3"/>
  <c r="DK674" i="3"/>
  <c r="DJ674" i="3"/>
  <c r="DI674" i="3"/>
  <c r="DH674" i="3"/>
  <c r="DG674" i="3"/>
  <c r="DF674" i="3"/>
  <c r="DE674" i="3"/>
  <c r="DD674" i="3"/>
  <c r="DC674" i="3"/>
  <c r="DB674" i="3"/>
  <c r="DA674" i="3"/>
  <c r="CZ674" i="3"/>
  <c r="CY674" i="3"/>
  <c r="CX674" i="3"/>
  <c r="CW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Y674" i="3"/>
  <c r="BX674" i="3"/>
  <c r="BW674" i="3"/>
  <c r="BV674" i="3"/>
  <c r="BU674" i="3"/>
  <c r="BT674" i="3"/>
  <c r="BS674" i="3"/>
  <c r="BR674" i="3"/>
  <c r="BQ674" i="3"/>
  <c r="BP674" i="3"/>
  <c r="BO674" i="3"/>
  <c r="BN674" i="3"/>
  <c r="B674" i="3"/>
  <c r="C675" i="3" s="1"/>
  <c r="A674" i="3"/>
  <c r="DU673" i="3"/>
  <c r="DT673" i="3"/>
  <c r="DS673" i="3"/>
  <c r="DR673" i="3"/>
  <c r="DQ673" i="3"/>
  <c r="DP673" i="3"/>
  <c r="DO673" i="3"/>
  <c r="DN673" i="3"/>
  <c r="DM673" i="3"/>
  <c r="DL673" i="3"/>
  <c r="DK673" i="3"/>
  <c r="DJ673" i="3"/>
  <c r="DI673" i="3"/>
  <c r="DH673" i="3"/>
  <c r="DG673" i="3"/>
  <c r="DF673" i="3"/>
  <c r="DE673" i="3"/>
  <c r="DD673" i="3"/>
  <c r="DC673" i="3"/>
  <c r="DB673" i="3"/>
  <c r="DA673" i="3"/>
  <c r="CZ673" i="3"/>
  <c r="CY673" i="3"/>
  <c r="CX673" i="3"/>
  <c r="CW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Y673" i="3"/>
  <c r="BX673" i="3"/>
  <c r="BW673" i="3"/>
  <c r="BV673" i="3"/>
  <c r="BU673" i="3"/>
  <c r="BT673" i="3"/>
  <c r="BS673" i="3"/>
  <c r="BR673" i="3"/>
  <c r="BQ673" i="3"/>
  <c r="BP673" i="3"/>
  <c r="BO673" i="3"/>
  <c r="BN673" i="3"/>
  <c r="C673" i="3"/>
  <c r="B673" i="3"/>
  <c r="A673" i="3"/>
  <c r="DU672" i="3"/>
  <c r="DT672" i="3"/>
  <c r="DS672" i="3"/>
  <c r="DR672" i="3"/>
  <c r="DQ672" i="3"/>
  <c r="DP672" i="3"/>
  <c r="DO672" i="3"/>
  <c r="DN672" i="3"/>
  <c r="DM672" i="3"/>
  <c r="DL672" i="3"/>
  <c r="DK672" i="3"/>
  <c r="DJ672" i="3"/>
  <c r="DI672" i="3"/>
  <c r="DH672" i="3"/>
  <c r="DG672" i="3"/>
  <c r="DF672" i="3"/>
  <c r="DE672" i="3"/>
  <c r="DD672" i="3"/>
  <c r="DC672" i="3"/>
  <c r="DB672" i="3"/>
  <c r="DA672" i="3"/>
  <c r="CZ672" i="3"/>
  <c r="CY672" i="3"/>
  <c r="CX672" i="3"/>
  <c r="CW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Y672" i="3"/>
  <c r="BX672" i="3"/>
  <c r="BW672" i="3"/>
  <c r="BV672" i="3"/>
  <c r="BU672" i="3"/>
  <c r="BT672" i="3"/>
  <c r="BS672" i="3"/>
  <c r="BR672" i="3"/>
  <c r="BQ672" i="3"/>
  <c r="BP672" i="3"/>
  <c r="BO672" i="3"/>
  <c r="BN672" i="3"/>
  <c r="B672" i="3"/>
  <c r="A672" i="3"/>
  <c r="DU671" i="3"/>
  <c r="DT671" i="3"/>
  <c r="DS671" i="3"/>
  <c r="DR671" i="3"/>
  <c r="DQ671" i="3"/>
  <c r="DP671" i="3"/>
  <c r="DO671" i="3"/>
  <c r="DN671" i="3"/>
  <c r="DM671" i="3"/>
  <c r="DL671" i="3"/>
  <c r="DK671" i="3"/>
  <c r="DJ671" i="3"/>
  <c r="DI671" i="3"/>
  <c r="DH671" i="3"/>
  <c r="DG671" i="3"/>
  <c r="DF671" i="3"/>
  <c r="DE671" i="3"/>
  <c r="DD671" i="3"/>
  <c r="DC671" i="3"/>
  <c r="DB671" i="3"/>
  <c r="DA671" i="3"/>
  <c r="CZ671" i="3"/>
  <c r="CY671" i="3"/>
  <c r="CX671" i="3"/>
  <c r="CW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Y671" i="3"/>
  <c r="BX671" i="3"/>
  <c r="BW671" i="3"/>
  <c r="BV671" i="3"/>
  <c r="BU671" i="3"/>
  <c r="BT671" i="3"/>
  <c r="BS671" i="3"/>
  <c r="BR671" i="3"/>
  <c r="BQ671" i="3"/>
  <c r="BP671" i="3"/>
  <c r="BO671" i="3"/>
  <c r="BN671" i="3"/>
  <c r="DU670" i="3"/>
  <c r="DT670" i="3"/>
  <c r="DS670" i="3"/>
  <c r="DR670" i="3"/>
  <c r="DQ670" i="3"/>
  <c r="DP670" i="3"/>
  <c r="DO670" i="3"/>
  <c r="DN670" i="3"/>
  <c r="DM670" i="3"/>
  <c r="DL670" i="3"/>
  <c r="DK670" i="3"/>
  <c r="DJ670" i="3"/>
  <c r="DI670" i="3"/>
  <c r="DH670" i="3"/>
  <c r="DG670" i="3"/>
  <c r="DF670" i="3"/>
  <c r="DE670" i="3"/>
  <c r="DD670" i="3"/>
  <c r="DC670" i="3"/>
  <c r="DB670" i="3"/>
  <c r="DA670" i="3"/>
  <c r="CZ670" i="3"/>
  <c r="CY670" i="3"/>
  <c r="CX670" i="3"/>
  <c r="CW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Y670" i="3"/>
  <c r="BX670" i="3"/>
  <c r="BW670" i="3"/>
  <c r="BV670" i="3"/>
  <c r="BU670" i="3"/>
  <c r="BT670" i="3"/>
  <c r="BS670" i="3"/>
  <c r="BR670" i="3"/>
  <c r="BQ670" i="3"/>
  <c r="BP670" i="3"/>
  <c r="BO670" i="3"/>
  <c r="BN670" i="3"/>
  <c r="A670" i="3"/>
  <c r="DU669" i="3"/>
  <c r="DT669" i="3"/>
  <c r="DS669" i="3"/>
  <c r="DR669" i="3"/>
  <c r="DQ669" i="3"/>
  <c r="DP669" i="3"/>
  <c r="DO669" i="3"/>
  <c r="DN669" i="3"/>
  <c r="DM669" i="3"/>
  <c r="DL669" i="3"/>
  <c r="DK669" i="3"/>
  <c r="DJ669" i="3"/>
  <c r="DI669" i="3"/>
  <c r="DH669" i="3"/>
  <c r="DG669" i="3"/>
  <c r="DF669" i="3"/>
  <c r="DE669" i="3"/>
  <c r="DD669" i="3"/>
  <c r="DC669" i="3"/>
  <c r="DB669" i="3"/>
  <c r="DA669" i="3"/>
  <c r="CZ669" i="3"/>
  <c r="CY669" i="3"/>
  <c r="CX669" i="3"/>
  <c r="CW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Y669" i="3"/>
  <c r="BX669" i="3"/>
  <c r="BW669" i="3"/>
  <c r="BV669" i="3"/>
  <c r="BU669" i="3"/>
  <c r="BT669" i="3"/>
  <c r="BS669" i="3"/>
  <c r="BR669" i="3"/>
  <c r="BQ669" i="3"/>
  <c r="BP669" i="3"/>
  <c r="BO669" i="3"/>
  <c r="BN669" i="3"/>
  <c r="BM669" i="3"/>
  <c r="BL669" i="3"/>
  <c r="BK669" i="3"/>
  <c r="BJ669" i="3"/>
  <c r="BI669" i="3"/>
  <c r="BH669" i="3"/>
  <c r="BG669" i="3"/>
  <c r="BF669" i="3"/>
  <c r="BE669" i="3"/>
  <c r="BD669" i="3"/>
  <c r="BC669" i="3"/>
  <c r="BB669" i="3"/>
  <c r="BA669" i="3"/>
  <c r="AZ669" i="3"/>
  <c r="AY669" i="3"/>
  <c r="AX669" i="3"/>
  <c r="AW669" i="3"/>
  <c r="AV669" i="3"/>
  <c r="AU669" i="3"/>
  <c r="AT669" i="3"/>
  <c r="AS669" i="3"/>
  <c r="AR669" i="3"/>
  <c r="AQ669" i="3"/>
  <c r="AP669" i="3"/>
  <c r="AO669" i="3"/>
  <c r="AN669" i="3"/>
  <c r="AM669" i="3"/>
  <c r="AL669" i="3"/>
  <c r="AK669" i="3"/>
  <c r="AJ669" i="3"/>
  <c r="AI669" i="3"/>
  <c r="AH669" i="3"/>
  <c r="AG669" i="3"/>
  <c r="AF669" i="3"/>
  <c r="AE669" i="3"/>
  <c r="AD669" i="3"/>
  <c r="AC669" i="3"/>
  <c r="AB669" i="3"/>
  <c r="AA669" i="3"/>
  <c r="Z669" i="3"/>
  <c r="Y669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A669" i="3"/>
  <c r="DU668" i="3"/>
  <c r="DT668" i="3"/>
  <c r="DS668" i="3"/>
  <c r="DR668" i="3"/>
  <c r="DQ668" i="3"/>
  <c r="DP668" i="3"/>
  <c r="DO668" i="3"/>
  <c r="DN668" i="3"/>
  <c r="DM668" i="3"/>
  <c r="DL668" i="3"/>
  <c r="DK668" i="3"/>
  <c r="DJ668" i="3"/>
  <c r="DI668" i="3"/>
  <c r="DH668" i="3"/>
  <c r="DG668" i="3"/>
  <c r="DF668" i="3"/>
  <c r="DE668" i="3"/>
  <c r="DD668" i="3"/>
  <c r="DC668" i="3"/>
  <c r="DB668" i="3"/>
  <c r="DA668" i="3"/>
  <c r="CZ668" i="3"/>
  <c r="CY668" i="3"/>
  <c r="CX668" i="3"/>
  <c r="CW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Y668" i="3"/>
  <c r="BX668" i="3"/>
  <c r="BW668" i="3"/>
  <c r="BV668" i="3"/>
  <c r="BU668" i="3"/>
  <c r="BT668" i="3"/>
  <c r="BS668" i="3"/>
  <c r="BR668" i="3"/>
  <c r="BQ668" i="3"/>
  <c r="BP668" i="3"/>
  <c r="BO668" i="3"/>
  <c r="BN668" i="3"/>
  <c r="DU667" i="3"/>
  <c r="DT667" i="3"/>
  <c r="DS667" i="3"/>
  <c r="DR667" i="3"/>
  <c r="DQ667" i="3"/>
  <c r="DP667" i="3"/>
  <c r="DO667" i="3"/>
  <c r="DN667" i="3"/>
  <c r="DM667" i="3"/>
  <c r="DL667" i="3"/>
  <c r="DK667" i="3"/>
  <c r="DJ667" i="3"/>
  <c r="DI667" i="3"/>
  <c r="DH667" i="3"/>
  <c r="DG667" i="3"/>
  <c r="DF667" i="3"/>
  <c r="DE667" i="3"/>
  <c r="DD667" i="3"/>
  <c r="DC667" i="3"/>
  <c r="DB667" i="3"/>
  <c r="DA667" i="3"/>
  <c r="CZ667" i="3"/>
  <c r="CY667" i="3"/>
  <c r="CX667" i="3"/>
  <c r="CW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Y667" i="3"/>
  <c r="BX667" i="3"/>
  <c r="BW667" i="3"/>
  <c r="BV667" i="3"/>
  <c r="BU667" i="3"/>
  <c r="BT667" i="3"/>
  <c r="BS667" i="3"/>
  <c r="BR667" i="3"/>
  <c r="BQ667" i="3"/>
  <c r="BP667" i="3"/>
  <c r="BO667" i="3"/>
  <c r="BN667" i="3"/>
  <c r="DU666" i="3"/>
  <c r="DT666" i="3"/>
  <c r="DS666" i="3"/>
  <c r="DR666" i="3"/>
  <c r="DQ666" i="3"/>
  <c r="DP666" i="3"/>
  <c r="DO666" i="3"/>
  <c r="DN666" i="3"/>
  <c r="DM666" i="3"/>
  <c r="DL666" i="3"/>
  <c r="DK666" i="3"/>
  <c r="DJ666" i="3"/>
  <c r="DI666" i="3"/>
  <c r="DH666" i="3"/>
  <c r="DG666" i="3"/>
  <c r="DF666" i="3"/>
  <c r="DE666" i="3"/>
  <c r="DD666" i="3"/>
  <c r="DC666" i="3"/>
  <c r="DB666" i="3"/>
  <c r="DA666" i="3"/>
  <c r="CZ666" i="3"/>
  <c r="CY666" i="3"/>
  <c r="CX666" i="3"/>
  <c r="CW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Y666" i="3"/>
  <c r="BX666" i="3"/>
  <c r="BW666" i="3"/>
  <c r="BV666" i="3"/>
  <c r="BU666" i="3"/>
  <c r="BT666" i="3"/>
  <c r="BS666" i="3"/>
  <c r="BR666" i="3"/>
  <c r="BQ666" i="3"/>
  <c r="BP666" i="3"/>
  <c r="BO666" i="3"/>
  <c r="BN666" i="3"/>
  <c r="DU665" i="3"/>
  <c r="DT665" i="3"/>
  <c r="DS665" i="3"/>
  <c r="DR665" i="3"/>
  <c r="DQ665" i="3"/>
  <c r="DP665" i="3"/>
  <c r="DO665" i="3"/>
  <c r="DN665" i="3"/>
  <c r="DM665" i="3"/>
  <c r="DL665" i="3"/>
  <c r="DK665" i="3"/>
  <c r="DJ665" i="3"/>
  <c r="DI665" i="3"/>
  <c r="DH665" i="3"/>
  <c r="DG665" i="3"/>
  <c r="DF665" i="3"/>
  <c r="DE665" i="3"/>
  <c r="DD665" i="3"/>
  <c r="DC665" i="3"/>
  <c r="DB665" i="3"/>
  <c r="DA665" i="3"/>
  <c r="CZ665" i="3"/>
  <c r="CY665" i="3"/>
  <c r="CX665" i="3"/>
  <c r="CW665" i="3"/>
  <c r="CV665" i="3"/>
  <c r="CU665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C665" i="3"/>
  <c r="CB665" i="3"/>
  <c r="CA665" i="3"/>
  <c r="BZ665" i="3"/>
  <c r="BY665" i="3"/>
  <c r="BX665" i="3"/>
  <c r="BW665" i="3"/>
  <c r="BV665" i="3"/>
  <c r="BU665" i="3"/>
  <c r="BT665" i="3"/>
  <c r="BS665" i="3"/>
  <c r="BR665" i="3"/>
  <c r="BQ665" i="3"/>
  <c r="BP665" i="3"/>
  <c r="BO665" i="3"/>
  <c r="BN665" i="3"/>
  <c r="DU664" i="3"/>
  <c r="DT664" i="3"/>
  <c r="DS664" i="3"/>
  <c r="DR664" i="3"/>
  <c r="DQ664" i="3"/>
  <c r="DP664" i="3"/>
  <c r="DO664" i="3"/>
  <c r="DN664" i="3"/>
  <c r="DM664" i="3"/>
  <c r="DL664" i="3"/>
  <c r="DK664" i="3"/>
  <c r="DJ664" i="3"/>
  <c r="DI664" i="3"/>
  <c r="DH664" i="3"/>
  <c r="DG664" i="3"/>
  <c r="DF664" i="3"/>
  <c r="DE664" i="3"/>
  <c r="DD664" i="3"/>
  <c r="DC664" i="3"/>
  <c r="DB664" i="3"/>
  <c r="DA664" i="3"/>
  <c r="CZ664" i="3"/>
  <c r="CY664" i="3"/>
  <c r="CX664" i="3"/>
  <c r="CW664" i="3"/>
  <c r="CV664" i="3"/>
  <c r="CU664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C664" i="3"/>
  <c r="CB664" i="3"/>
  <c r="CA664" i="3"/>
  <c r="BZ664" i="3"/>
  <c r="BY664" i="3"/>
  <c r="BX664" i="3"/>
  <c r="BW664" i="3"/>
  <c r="BV664" i="3"/>
  <c r="BU664" i="3"/>
  <c r="BT664" i="3"/>
  <c r="BS664" i="3"/>
  <c r="BR664" i="3"/>
  <c r="BQ664" i="3"/>
  <c r="BP664" i="3"/>
  <c r="BO664" i="3"/>
  <c r="BN664" i="3"/>
  <c r="DU663" i="3"/>
  <c r="DT663" i="3"/>
  <c r="DS663" i="3"/>
  <c r="DR663" i="3"/>
  <c r="DQ663" i="3"/>
  <c r="DP663" i="3"/>
  <c r="DO663" i="3"/>
  <c r="DN663" i="3"/>
  <c r="DM663" i="3"/>
  <c r="DL663" i="3"/>
  <c r="DK663" i="3"/>
  <c r="DJ663" i="3"/>
  <c r="DI663" i="3"/>
  <c r="DH663" i="3"/>
  <c r="DG663" i="3"/>
  <c r="DF663" i="3"/>
  <c r="DE663" i="3"/>
  <c r="DD663" i="3"/>
  <c r="DC663" i="3"/>
  <c r="DB663" i="3"/>
  <c r="DA663" i="3"/>
  <c r="CZ663" i="3"/>
  <c r="CY663" i="3"/>
  <c r="CX663" i="3"/>
  <c r="CW663" i="3"/>
  <c r="CV663" i="3"/>
  <c r="CU663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C663" i="3"/>
  <c r="CB663" i="3"/>
  <c r="CA663" i="3"/>
  <c r="BZ663" i="3"/>
  <c r="BY663" i="3"/>
  <c r="BX663" i="3"/>
  <c r="BW663" i="3"/>
  <c r="BV663" i="3"/>
  <c r="BU663" i="3"/>
  <c r="BT663" i="3"/>
  <c r="BS663" i="3"/>
  <c r="BR663" i="3"/>
  <c r="BQ663" i="3"/>
  <c r="BP663" i="3"/>
  <c r="BO663" i="3"/>
  <c r="BN663" i="3"/>
  <c r="DU662" i="3"/>
  <c r="DT662" i="3"/>
  <c r="DS662" i="3"/>
  <c r="DR662" i="3"/>
  <c r="DQ662" i="3"/>
  <c r="DP662" i="3"/>
  <c r="DO662" i="3"/>
  <c r="DN662" i="3"/>
  <c r="DM662" i="3"/>
  <c r="DL662" i="3"/>
  <c r="DK662" i="3"/>
  <c r="DJ662" i="3"/>
  <c r="DI662" i="3"/>
  <c r="DH662" i="3"/>
  <c r="DG662" i="3"/>
  <c r="DF662" i="3"/>
  <c r="DE662" i="3"/>
  <c r="DD662" i="3"/>
  <c r="DC662" i="3"/>
  <c r="DB662" i="3"/>
  <c r="DA662" i="3"/>
  <c r="CZ662" i="3"/>
  <c r="CY662" i="3"/>
  <c r="CX662" i="3"/>
  <c r="CW662" i="3"/>
  <c r="CV662" i="3"/>
  <c r="CU662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C662" i="3"/>
  <c r="CB662" i="3"/>
  <c r="CA662" i="3"/>
  <c r="BZ662" i="3"/>
  <c r="BY662" i="3"/>
  <c r="BX662" i="3"/>
  <c r="BW662" i="3"/>
  <c r="BV662" i="3"/>
  <c r="BU662" i="3"/>
  <c r="BT662" i="3"/>
  <c r="BS662" i="3"/>
  <c r="BR662" i="3"/>
  <c r="BQ662" i="3"/>
  <c r="BP662" i="3"/>
  <c r="BO662" i="3"/>
  <c r="BN662" i="3"/>
  <c r="DU661" i="3"/>
  <c r="DT661" i="3"/>
  <c r="DS661" i="3"/>
  <c r="DR661" i="3"/>
  <c r="DQ661" i="3"/>
  <c r="DP661" i="3"/>
  <c r="DO661" i="3"/>
  <c r="DN661" i="3"/>
  <c r="DM661" i="3"/>
  <c r="DL661" i="3"/>
  <c r="DK661" i="3"/>
  <c r="DJ661" i="3"/>
  <c r="DI661" i="3"/>
  <c r="DH661" i="3"/>
  <c r="DG661" i="3"/>
  <c r="DF661" i="3"/>
  <c r="DE661" i="3"/>
  <c r="DD661" i="3"/>
  <c r="DC661" i="3"/>
  <c r="DB661" i="3"/>
  <c r="DA661" i="3"/>
  <c r="CZ661" i="3"/>
  <c r="CY661" i="3"/>
  <c r="CX661" i="3"/>
  <c r="CW661" i="3"/>
  <c r="CV661" i="3"/>
  <c r="CU661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C661" i="3"/>
  <c r="CB661" i="3"/>
  <c r="CA661" i="3"/>
  <c r="BZ661" i="3"/>
  <c r="BY661" i="3"/>
  <c r="BX661" i="3"/>
  <c r="BW661" i="3"/>
  <c r="BV661" i="3"/>
  <c r="BU661" i="3"/>
  <c r="BT661" i="3"/>
  <c r="BS661" i="3"/>
  <c r="BR661" i="3"/>
  <c r="BQ661" i="3"/>
  <c r="BP661" i="3"/>
  <c r="BO661" i="3"/>
  <c r="BN661" i="3"/>
  <c r="E661" i="3"/>
  <c r="E1318" i="3" s="1"/>
  <c r="D661" i="3"/>
  <c r="D1318" i="3" s="1"/>
  <c r="C661" i="3"/>
  <c r="C1318" i="3" s="1"/>
  <c r="B661" i="3"/>
  <c r="B1318" i="3" s="1"/>
  <c r="A661" i="3"/>
  <c r="A1318" i="3" s="1"/>
  <c r="DU660" i="3"/>
  <c r="DT660" i="3"/>
  <c r="DS660" i="3"/>
  <c r="DR660" i="3"/>
  <c r="DQ660" i="3"/>
  <c r="DP660" i="3"/>
  <c r="DO660" i="3"/>
  <c r="DN660" i="3"/>
  <c r="DM660" i="3"/>
  <c r="DL660" i="3"/>
  <c r="DK660" i="3"/>
  <c r="DJ660" i="3"/>
  <c r="DI660" i="3"/>
  <c r="DH660" i="3"/>
  <c r="DG660" i="3"/>
  <c r="DF660" i="3"/>
  <c r="DE660" i="3"/>
  <c r="DD660" i="3"/>
  <c r="DC660" i="3"/>
  <c r="DB660" i="3"/>
  <c r="DA660" i="3"/>
  <c r="CZ660" i="3"/>
  <c r="CY660" i="3"/>
  <c r="CX660" i="3"/>
  <c r="CW660" i="3"/>
  <c r="CV660" i="3"/>
  <c r="CU660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C660" i="3"/>
  <c r="CB660" i="3"/>
  <c r="CA660" i="3"/>
  <c r="BZ660" i="3"/>
  <c r="BY660" i="3"/>
  <c r="BX660" i="3"/>
  <c r="BW660" i="3"/>
  <c r="BV660" i="3"/>
  <c r="BU660" i="3"/>
  <c r="BT660" i="3"/>
  <c r="BS660" i="3"/>
  <c r="BR660" i="3"/>
  <c r="BQ660" i="3"/>
  <c r="BP660" i="3"/>
  <c r="BO660" i="3"/>
  <c r="BN660" i="3"/>
  <c r="E660" i="3"/>
  <c r="E1317" i="3" s="1"/>
  <c r="D660" i="3"/>
  <c r="D1317" i="3" s="1"/>
  <c r="C660" i="3"/>
  <c r="C1317" i="3" s="1"/>
  <c r="B660" i="3"/>
  <c r="B1317" i="3" s="1"/>
  <c r="A660" i="3"/>
  <c r="A1317" i="3" s="1"/>
  <c r="DU659" i="3"/>
  <c r="DT659" i="3"/>
  <c r="DS659" i="3"/>
  <c r="DR659" i="3"/>
  <c r="DQ659" i="3"/>
  <c r="DP659" i="3"/>
  <c r="DO659" i="3"/>
  <c r="DN659" i="3"/>
  <c r="DM659" i="3"/>
  <c r="DL659" i="3"/>
  <c r="DK659" i="3"/>
  <c r="DJ659" i="3"/>
  <c r="DI659" i="3"/>
  <c r="DH659" i="3"/>
  <c r="DG659" i="3"/>
  <c r="DF659" i="3"/>
  <c r="DE659" i="3"/>
  <c r="DD659" i="3"/>
  <c r="DC659" i="3"/>
  <c r="DB659" i="3"/>
  <c r="DA659" i="3"/>
  <c r="CZ659" i="3"/>
  <c r="CY659" i="3"/>
  <c r="CX659" i="3"/>
  <c r="CW659" i="3"/>
  <c r="CV659" i="3"/>
  <c r="CU659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C659" i="3"/>
  <c r="CB659" i="3"/>
  <c r="CA659" i="3"/>
  <c r="BZ659" i="3"/>
  <c r="BY659" i="3"/>
  <c r="BX659" i="3"/>
  <c r="BW659" i="3"/>
  <c r="BV659" i="3"/>
  <c r="BU659" i="3"/>
  <c r="BT659" i="3"/>
  <c r="BS659" i="3"/>
  <c r="BR659" i="3"/>
  <c r="BQ659" i="3"/>
  <c r="BP659" i="3"/>
  <c r="BO659" i="3"/>
  <c r="BN659" i="3"/>
  <c r="E659" i="3"/>
  <c r="E1316" i="3" s="1"/>
  <c r="D659" i="3"/>
  <c r="D1316" i="3" s="1"/>
  <c r="C659" i="3"/>
  <c r="C1316" i="3" s="1"/>
  <c r="B659" i="3"/>
  <c r="B1316" i="3" s="1"/>
  <c r="A659" i="3"/>
  <c r="A1316" i="3" s="1"/>
  <c r="DU658" i="3"/>
  <c r="DT658" i="3"/>
  <c r="DS658" i="3"/>
  <c r="DR658" i="3"/>
  <c r="DQ658" i="3"/>
  <c r="DP658" i="3"/>
  <c r="DO658" i="3"/>
  <c r="DN658" i="3"/>
  <c r="DM658" i="3"/>
  <c r="DL658" i="3"/>
  <c r="DK658" i="3"/>
  <c r="DJ658" i="3"/>
  <c r="DI658" i="3"/>
  <c r="DH658" i="3"/>
  <c r="DG658" i="3"/>
  <c r="DF658" i="3"/>
  <c r="DE658" i="3"/>
  <c r="DD658" i="3"/>
  <c r="DC658" i="3"/>
  <c r="DB658" i="3"/>
  <c r="DA658" i="3"/>
  <c r="CZ658" i="3"/>
  <c r="CY658" i="3"/>
  <c r="CX658" i="3"/>
  <c r="CW658" i="3"/>
  <c r="CV658" i="3"/>
  <c r="CU658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C658" i="3"/>
  <c r="CB658" i="3"/>
  <c r="CA658" i="3"/>
  <c r="BZ658" i="3"/>
  <c r="BY658" i="3"/>
  <c r="BX658" i="3"/>
  <c r="BW658" i="3"/>
  <c r="BV658" i="3"/>
  <c r="BU658" i="3"/>
  <c r="BT658" i="3"/>
  <c r="BS658" i="3"/>
  <c r="BR658" i="3"/>
  <c r="BQ658" i="3"/>
  <c r="BP658" i="3"/>
  <c r="BO658" i="3"/>
  <c r="BN658" i="3"/>
  <c r="E658" i="3"/>
  <c r="E1315" i="3" s="1"/>
  <c r="D658" i="3"/>
  <c r="D1315" i="3" s="1"/>
  <c r="C658" i="3"/>
  <c r="C1315" i="3" s="1"/>
  <c r="B658" i="3"/>
  <c r="B1315" i="3" s="1"/>
  <c r="A658" i="3"/>
  <c r="A1315" i="3" s="1"/>
  <c r="DU657" i="3"/>
  <c r="DT657" i="3"/>
  <c r="DS657" i="3"/>
  <c r="DR657" i="3"/>
  <c r="DQ657" i="3"/>
  <c r="DP657" i="3"/>
  <c r="DO657" i="3"/>
  <c r="DN657" i="3"/>
  <c r="DM657" i="3"/>
  <c r="DL657" i="3"/>
  <c r="DK657" i="3"/>
  <c r="DJ657" i="3"/>
  <c r="DI657" i="3"/>
  <c r="DH657" i="3"/>
  <c r="DG657" i="3"/>
  <c r="DF657" i="3"/>
  <c r="DE657" i="3"/>
  <c r="DD657" i="3"/>
  <c r="DC657" i="3"/>
  <c r="DB657" i="3"/>
  <c r="DA657" i="3"/>
  <c r="CZ657" i="3"/>
  <c r="CY657" i="3"/>
  <c r="CX657" i="3"/>
  <c r="CW657" i="3"/>
  <c r="CV657" i="3"/>
  <c r="CU657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C657" i="3"/>
  <c r="CB657" i="3"/>
  <c r="CA657" i="3"/>
  <c r="BZ657" i="3"/>
  <c r="BY657" i="3"/>
  <c r="BX657" i="3"/>
  <c r="BW657" i="3"/>
  <c r="BV657" i="3"/>
  <c r="BU657" i="3"/>
  <c r="BT657" i="3"/>
  <c r="BS657" i="3"/>
  <c r="BR657" i="3"/>
  <c r="BQ657" i="3"/>
  <c r="BP657" i="3"/>
  <c r="BO657" i="3"/>
  <c r="BN657" i="3"/>
  <c r="E657" i="3"/>
  <c r="E1314" i="3" s="1"/>
  <c r="D657" i="3"/>
  <c r="D1314" i="3" s="1"/>
  <c r="C657" i="3"/>
  <c r="C1314" i="3" s="1"/>
  <c r="B657" i="3"/>
  <c r="B1314" i="3" s="1"/>
  <c r="A657" i="3"/>
  <c r="A1314" i="3" s="1"/>
  <c r="DU656" i="3"/>
  <c r="DT656" i="3"/>
  <c r="DS656" i="3"/>
  <c r="DR656" i="3"/>
  <c r="DQ656" i="3"/>
  <c r="DP656" i="3"/>
  <c r="DO656" i="3"/>
  <c r="DN656" i="3"/>
  <c r="DM656" i="3"/>
  <c r="DL656" i="3"/>
  <c r="DK656" i="3"/>
  <c r="DJ656" i="3"/>
  <c r="DI656" i="3"/>
  <c r="DH656" i="3"/>
  <c r="DG656" i="3"/>
  <c r="DF656" i="3"/>
  <c r="DE656" i="3"/>
  <c r="DD656" i="3"/>
  <c r="DC656" i="3"/>
  <c r="DB656" i="3"/>
  <c r="DA656" i="3"/>
  <c r="CZ656" i="3"/>
  <c r="CY656" i="3"/>
  <c r="CX656" i="3"/>
  <c r="CW656" i="3"/>
  <c r="CV656" i="3"/>
  <c r="CU656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C656" i="3"/>
  <c r="CB656" i="3"/>
  <c r="CA656" i="3"/>
  <c r="BZ656" i="3"/>
  <c r="BY656" i="3"/>
  <c r="BX656" i="3"/>
  <c r="BW656" i="3"/>
  <c r="BV656" i="3"/>
  <c r="BU656" i="3"/>
  <c r="BT656" i="3"/>
  <c r="BS656" i="3"/>
  <c r="BR656" i="3"/>
  <c r="BQ656" i="3"/>
  <c r="BP656" i="3"/>
  <c r="BO656" i="3"/>
  <c r="BN656" i="3"/>
  <c r="E656" i="3"/>
  <c r="E1313" i="3" s="1"/>
  <c r="D656" i="3"/>
  <c r="D1313" i="3" s="1"/>
  <c r="C656" i="3"/>
  <c r="C1313" i="3" s="1"/>
  <c r="B656" i="3"/>
  <c r="B1313" i="3" s="1"/>
  <c r="A656" i="3"/>
  <c r="A1313" i="3" s="1"/>
  <c r="DU655" i="3"/>
  <c r="DT655" i="3"/>
  <c r="DS655" i="3"/>
  <c r="DR655" i="3"/>
  <c r="DQ655" i="3"/>
  <c r="DP655" i="3"/>
  <c r="DO655" i="3"/>
  <c r="DN655" i="3"/>
  <c r="DM655" i="3"/>
  <c r="DL655" i="3"/>
  <c r="DK655" i="3"/>
  <c r="DJ655" i="3"/>
  <c r="DI655" i="3"/>
  <c r="DH655" i="3"/>
  <c r="DG655" i="3"/>
  <c r="DF655" i="3"/>
  <c r="DE655" i="3"/>
  <c r="DD655" i="3"/>
  <c r="DC655" i="3"/>
  <c r="DB655" i="3"/>
  <c r="DA655" i="3"/>
  <c r="CZ655" i="3"/>
  <c r="CY655" i="3"/>
  <c r="CX655" i="3"/>
  <c r="CW655" i="3"/>
  <c r="CV655" i="3"/>
  <c r="CU655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C655" i="3"/>
  <c r="CB655" i="3"/>
  <c r="CA655" i="3"/>
  <c r="BZ655" i="3"/>
  <c r="BY655" i="3"/>
  <c r="BX655" i="3"/>
  <c r="BW655" i="3"/>
  <c r="BV655" i="3"/>
  <c r="BU655" i="3"/>
  <c r="BT655" i="3"/>
  <c r="BS655" i="3"/>
  <c r="BR655" i="3"/>
  <c r="BQ655" i="3"/>
  <c r="BP655" i="3"/>
  <c r="BO655" i="3"/>
  <c r="BN655" i="3"/>
  <c r="E655" i="3"/>
  <c r="E1312" i="3" s="1"/>
  <c r="D655" i="3"/>
  <c r="D1312" i="3" s="1"/>
  <c r="C655" i="3"/>
  <c r="C1312" i="3" s="1"/>
  <c r="B655" i="3"/>
  <c r="B1312" i="3" s="1"/>
  <c r="A655" i="3"/>
  <c r="A1312" i="3" s="1"/>
  <c r="DU654" i="3"/>
  <c r="DT654" i="3"/>
  <c r="DS654" i="3"/>
  <c r="DR654" i="3"/>
  <c r="DQ654" i="3"/>
  <c r="DP654" i="3"/>
  <c r="DO654" i="3"/>
  <c r="DN654" i="3"/>
  <c r="DM654" i="3"/>
  <c r="DL654" i="3"/>
  <c r="DK654" i="3"/>
  <c r="DJ654" i="3"/>
  <c r="DI654" i="3"/>
  <c r="DH654" i="3"/>
  <c r="DG654" i="3"/>
  <c r="DF654" i="3"/>
  <c r="DE654" i="3"/>
  <c r="DD654" i="3"/>
  <c r="DC654" i="3"/>
  <c r="DB654" i="3"/>
  <c r="DA654" i="3"/>
  <c r="CZ654" i="3"/>
  <c r="CY654" i="3"/>
  <c r="CX654" i="3"/>
  <c r="CW654" i="3"/>
  <c r="CV654" i="3"/>
  <c r="CU654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C654" i="3"/>
  <c r="CB654" i="3"/>
  <c r="CA654" i="3"/>
  <c r="BZ654" i="3"/>
  <c r="BY654" i="3"/>
  <c r="BX654" i="3"/>
  <c r="BW654" i="3"/>
  <c r="BV654" i="3"/>
  <c r="BU654" i="3"/>
  <c r="BT654" i="3"/>
  <c r="BS654" i="3"/>
  <c r="BR654" i="3"/>
  <c r="BQ654" i="3"/>
  <c r="BP654" i="3"/>
  <c r="BO654" i="3"/>
  <c r="BN654" i="3"/>
  <c r="E654" i="3"/>
  <c r="E1311" i="3" s="1"/>
  <c r="D654" i="3"/>
  <c r="D1311" i="3" s="1"/>
  <c r="C654" i="3"/>
  <c r="C1311" i="3" s="1"/>
  <c r="B654" i="3"/>
  <c r="B1311" i="3" s="1"/>
  <c r="A654" i="3"/>
  <c r="A1311" i="3" s="1"/>
  <c r="DU653" i="3"/>
  <c r="DT653" i="3"/>
  <c r="DS653" i="3"/>
  <c r="DR653" i="3"/>
  <c r="DQ653" i="3"/>
  <c r="DP653" i="3"/>
  <c r="DO653" i="3"/>
  <c r="DN653" i="3"/>
  <c r="DM653" i="3"/>
  <c r="DL653" i="3"/>
  <c r="DK653" i="3"/>
  <c r="DJ653" i="3"/>
  <c r="DI653" i="3"/>
  <c r="DH653" i="3"/>
  <c r="DG653" i="3"/>
  <c r="DF653" i="3"/>
  <c r="DE653" i="3"/>
  <c r="DD653" i="3"/>
  <c r="DC653" i="3"/>
  <c r="DB653" i="3"/>
  <c r="DA653" i="3"/>
  <c r="CZ653" i="3"/>
  <c r="CY653" i="3"/>
  <c r="CX653" i="3"/>
  <c r="CW653" i="3"/>
  <c r="CV653" i="3"/>
  <c r="CU653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C653" i="3"/>
  <c r="CB653" i="3"/>
  <c r="CA653" i="3"/>
  <c r="BZ653" i="3"/>
  <c r="BY653" i="3"/>
  <c r="BX653" i="3"/>
  <c r="BW653" i="3"/>
  <c r="BV653" i="3"/>
  <c r="BU653" i="3"/>
  <c r="BT653" i="3"/>
  <c r="BS653" i="3"/>
  <c r="BR653" i="3"/>
  <c r="BQ653" i="3"/>
  <c r="BP653" i="3"/>
  <c r="BO653" i="3"/>
  <c r="BN653" i="3"/>
  <c r="E653" i="3"/>
  <c r="E1310" i="3" s="1"/>
  <c r="D653" i="3"/>
  <c r="D1310" i="3" s="1"/>
  <c r="C653" i="3"/>
  <c r="C1310" i="3" s="1"/>
  <c r="B653" i="3"/>
  <c r="B1310" i="3" s="1"/>
  <c r="A653" i="3"/>
  <c r="A1310" i="3" s="1"/>
  <c r="DU652" i="3"/>
  <c r="DT652" i="3"/>
  <c r="DS652" i="3"/>
  <c r="DR652" i="3"/>
  <c r="DQ652" i="3"/>
  <c r="DP652" i="3"/>
  <c r="DO652" i="3"/>
  <c r="DN652" i="3"/>
  <c r="DM652" i="3"/>
  <c r="DL652" i="3"/>
  <c r="DK652" i="3"/>
  <c r="DJ652" i="3"/>
  <c r="DI652" i="3"/>
  <c r="DH652" i="3"/>
  <c r="DG652" i="3"/>
  <c r="DF652" i="3"/>
  <c r="DE652" i="3"/>
  <c r="DD652" i="3"/>
  <c r="DC652" i="3"/>
  <c r="DB652" i="3"/>
  <c r="DA652" i="3"/>
  <c r="CZ652" i="3"/>
  <c r="CY652" i="3"/>
  <c r="CX652" i="3"/>
  <c r="CW652" i="3"/>
  <c r="CV652" i="3"/>
  <c r="CU652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C652" i="3"/>
  <c r="CB652" i="3"/>
  <c r="CA652" i="3"/>
  <c r="BZ652" i="3"/>
  <c r="BY652" i="3"/>
  <c r="BX652" i="3"/>
  <c r="BW652" i="3"/>
  <c r="BV652" i="3"/>
  <c r="BU652" i="3"/>
  <c r="BT652" i="3"/>
  <c r="BS652" i="3"/>
  <c r="BR652" i="3"/>
  <c r="BQ652" i="3"/>
  <c r="BP652" i="3"/>
  <c r="BO652" i="3"/>
  <c r="BN652" i="3"/>
  <c r="E652" i="3"/>
  <c r="E1309" i="3" s="1"/>
  <c r="D652" i="3"/>
  <c r="D1309" i="3" s="1"/>
  <c r="C652" i="3"/>
  <c r="C1309" i="3" s="1"/>
  <c r="B652" i="3"/>
  <c r="B1309" i="3" s="1"/>
  <c r="A652" i="3"/>
  <c r="A1309" i="3" s="1"/>
  <c r="DU651" i="3"/>
  <c r="DT651" i="3"/>
  <c r="DS651" i="3"/>
  <c r="DR651" i="3"/>
  <c r="DQ651" i="3"/>
  <c r="DP651" i="3"/>
  <c r="DO651" i="3"/>
  <c r="DN651" i="3"/>
  <c r="DM651" i="3"/>
  <c r="DL651" i="3"/>
  <c r="DK651" i="3"/>
  <c r="DJ651" i="3"/>
  <c r="DI651" i="3"/>
  <c r="DH651" i="3"/>
  <c r="DG651" i="3"/>
  <c r="DF651" i="3"/>
  <c r="DE651" i="3"/>
  <c r="DD651" i="3"/>
  <c r="DC651" i="3"/>
  <c r="DB651" i="3"/>
  <c r="DA651" i="3"/>
  <c r="CZ651" i="3"/>
  <c r="CY651" i="3"/>
  <c r="CX651" i="3"/>
  <c r="CW651" i="3"/>
  <c r="CV651" i="3"/>
  <c r="CU651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C651" i="3"/>
  <c r="CB651" i="3"/>
  <c r="CA651" i="3"/>
  <c r="BZ651" i="3"/>
  <c r="BY651" i="3"/>
  <c r="BX651" i="3"/>
  <c r="BW651" i="3"/>
  <c r="BV651" i="3"/>
  <c r="BU651" i="3"/>
  <c r="BT651" i="3"/>
  <c r="BS651" i="3"/>
  <c r="BR651" i="3"/>
  <c r="BQ651" i="3"/>
  <c r="BP651" i="3"/>
  <c r="BO651" i="3"/>
  <c r="BN651" i="3"/>
  <c r="E651" i="3"/>
  <c r="E1308" i="3" s="1"/>
  <c r="D651" i="3"/>
  <c r="D1308" i="3" s="1"/>
  <c r="C651" i="3"/>
  <c r="C1308" i="3" s="1"/>
  <c r="B651" i="3"/>
  <c r="B1308" i="3" s="1"/>
  <c r="A651" i="3"/>
  <c r="A1308" i="3" s="1"/>
  <c r="DU650" i="3"/>
  <c r="DT650" i="3"/>
  <c r="DS650" i="3"/>
  <c r="DR650" i="3"/>
  <c r="DQ650" i="3"/>
  <c r="DP650" i="3"/>
  <c r="DO650" i="3"/>
  <c r="DN650" i="3"/>
  <c r="DM650" i="3"/>
  <c r="DL650" i="3"/>
  <c r="DK650" i="3"/>
  <c r="DJ650" i="3"/>
  <c r="DI650" i="3"/>
  <c r="DH650" i="3"/>
  <c r="DG650" i="3"/>
  <c r="DF650" i="3"/>
  <c r="DE650" i="3"/>
  <c r="DD650" i="3"/>
  <c r="DC650" i="3"/>
  <c r="DB650" i="3"/>
  <c r="DA650" i="3"/>
  <c r="CZ650" i="3"/>
  <c r="CY650" i="3"/>
  <c r="CX650" i="3"/>
  <c r="CW650" i="3"/>
  <c r="CV650" i="3"/>
  <c r="CU650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C650" i="3"/>
  <c r="CB650" i="3"/>
  <c r="CA650" i="3"/>
  <c r="BZ650" i="3"/>
  <c r="BY650" i="3"/>
  <c r="BX650" i="3"/>
  <c r="BW650" i="3"/>
  <c r="BV650" i="3"/>
  <c r="BU650" i="3"/>
  <c r="BT650" i="3"/>
  <c r="BS650" i="3"/>
  <c r="BR650" i="3"/>
  <c r="BQ650" i="3"/>
  <c r="BP650" i="3"/>
  <c r="BO650" i="3"/>
  <c r="BN650" i="3"/>
  <c r="E650" i="3"/>
  <c r="E1307" i="3" s="1"/>
  <c r="D650" i="3"/>
  <c r="D1307" i="3" s="1"/>
  <c r="C650" i="3"/>
  <c r="C1307" i="3" s="1"/>
  <c r="B650" i="3"/>
  <c r="B1307" i="3" s="1"/>
  <c r="A650" i="3"/>
  <c r="A1307" i="3" s="1"/>
  <c r="DU649" i="3"/>
  <c r="DT649" i="3"/>
  <c r="DS649" i="3"/>
  <c r="DR649" i="3"/>
  <c r="DQ649" i="3"/>
  <c r="DP649" i="3"/>
  <c r="DO649" i="3"/>
  <c r="DN649" i="3"/>
  <c r="DM649" i="3"/>
  <c r="DL649" i="3"/>
  <c r="DK649" i="3"/>
  <c r="DJ649" i="3"/>
  <c r="DI649" i="3"/>
  <c r="DH649" i="3"/>
  <c r="DG649" i="3"/>
  <c r="DF649" i="3"/>
  <c r="DE649" i="3"/>
  <c r="DD649" i="3"/>
  <c r="DC649" i="3"/>
  <c r="DB649" i="3"/>
  <c r="DA649" i="3"/>
  <c r="CZ649" i="3"/>
  <c r="CY649" i="3"/>
  <c r="CX649" i="3"/>
  <c r="CW649" i="3"/>
  <c r="CV649" i="3"/>
  <c r="CU649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C649" i="3"/>
  <c r="CB649" i="3"/>
  <c r="CA649" i="3"/>
  <c r="BZ649" i="3"/>
  <c r="BY649" i="3"/>
  <c r="BX649" i="3"/>
  <c r="BW649" i="3"/>
  <c r="BV649" i="3"/>
  <c r="BU649" i="3"/>
  <c r="BT649" i="3"/>
  <c r="BS649" i="3"/>
  <c r="BR649" i="3"/>
  <c r="BQ649" i="3"/>
  <c r="BP649" i="3"/>
  <c r="BO649" i="3"/>
  <c r="BN649" i="3"/>
  <c r="E649" i="3"/>
  <c r="E1306" i="3" s="1"/>
  <c r="D649" i="3"/>
  <c r="D1306" i="3" s="1"/>
  <c r="C649" i="3"/>
  <c r="C1306" i="3" s="1"/>
  <c r="B649" i="3"/>
  <c r="B1306" i="3" s="1"/>
  <c r="A649" i="3"/>
  <c r="A1306" i="3" s="1"/>
  <c r="DU648" i="3"/>
  <c r="DT648" i="3"/>
  <c r="DS648" i="3"/>
  <c r="DR648" i="3"/>
  <c r="DQ648" i="3"/>
  <c r="DP648" i="3"/>
  <c r="DO648" i="3"/>
  <c r="DN648" i="3"/>
  <c r="DM648" i="3"/>
  <c r="DL648" i="3"/>
  <c r="DK648" i="3"/>
  <c r="DJ648" i="3"/>
  <c r="DI648" i="3"/>
  <c r="DH648" i="3"/>
  <c r="DG648" i="3"/>
  <c r="DF648" i="3"/>
  <c r="DE648" i="3"/>
  <c r="DD648" i="3"/>
  <c r="DC648" i="3"/>
  <c r="DB648" i="3"/>
  <c r="DA648" i="3"/>
  <c r="CZ648" i="3"/>
  <c r="CY648" i="3"/>
  <c r="CX648" i="3"/>
  <c r="CW648" i="3"/>
  <c r="CV648" i="3"/>
  <c r="CU648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C648" i="3"/>
  <c r="CB648" i="3"/>
  <c r="CA648" i="3"/>
  <c r="BZ648" i="3"/>
  <c r="BY648" i="3"/>
  <c r="BX648" i="3"/>
  <c r="BW648" i="3"/>
  <c r="BV648" i="3"/>
  <c r="BU648" i="3"/>
  <c r="BT648" i="3"/>
  <c r="BS648" i="3"/>
  <c r="BR648" i="3"/>
  <c r="BQ648" i="3"/>
  <c r="BP648" i="3"/>
  <c r="BO648" i="3"/>
  <c r="BN648" i="3"/>
  <c r="E648" i="3"/>
  <c r="E1305" i="3" s="1"/>
  <c r="D648" i="3"/>
  <c r="D1305" i="3" s="1"/>
  <c r="C648" i="3"/>
  <c r="C1305" i="3" s="1"/>
  <c r="B648" i="3"/>
  <c r="B1305" i="3" s="1"/>
  <c r="A648" i="3"/>
  <c r="A1305" i="3" s="1"/>
  <c r="DU647" i="3"/>
  <c r="DT647" i="3"/>
  <c r="DS647" i="3"/>
  <c r="DR647" i="3"/>
  <c r="DQ647" i="3"/>
  <c r="DP647" i="3"/>
  <c r="DO647" i="3"/>
  <c r="DN647" i="3"/>
  <c r="DM647" i="3"/>
  <c r="DL647" i="3"/>
  <c r="DK647" i="3"/>
  <c r="DJ647" i="3"/>
  <c r="DI647" i="3"/>
  <c r="DH647" i="3"/>
  <c r="DG647" i="3"/>
  <c r="DF647" i="3"/>
  <c r="DE647" i="3"/>
  <c r="DD647" i="3"/>
  <c r="DC647" i="3"/>
  <c r="DB647" i="3"/>
  <c r="DA647" i="3"/>
  <c r="CZ647" i="3"/>
  <c r="CY647" i="3"/>
  <c r="CX647" i="3"/>
  <c r="CW647" i="3"/>
  <c r="CV647" i="3"/>
  <c r="CU647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C647" i="3"/>
  <c r="CB647" i="3"/>
  <c r="CA647" i="3"/>
  <c r="BZ647" i="3"/>
  <c r="BY647" i="3"/>
  <c r="BX647" i="3"/>
  <c r="BW647" i="3"/>
  <c r="BV647" i="3"/>
  <c r="BU647" i="3"/>
  <c r="BT647" i="3"/>
  <c r="BS647" i="3"/>
  <c r="BR647" i="3"/>
  <c r="BQ647" i="3"/>
  <c r="BP647" i="3"/>
  <c r="BO647" i="3"/>
  <c r="BN647" i="3"/>
  <c r="E647" i="3"/>
  <c r="E1304" i="3" s="1"/>
  <c r="D647" i="3"/>
  <c r="D1304" i="3" s="1"/>
  <c r="C647" i="3"/>
  <c r="C1304" i="3" s="1"/>
  <c r="B647" i="3"/>
  <c r="B1304" i="3" s="1"/>
  <c r="A647" i="3"/>
  <c r="A1304" i="3" s="1"/>
  <c r="DU646" i="3"/>
  <c r="DT646" i="3"/>
  <c r="DS646" i="3"/>
  <c r="DR646" i="3"/>
  <c r="DQ646" i="3"/>
  <c r="DP646" i="3"/>
  <c r="DO646" i="3"/>
  <c r="DN646" i="3"/>
  <c r="DM646" i="3"/>
  <c r="DL646" i="3"/>
  <c r="DK646" i="3"/>
  <c r="DJ646" i="3"/>
  <c r="DI646" i="3"/>
  <c r="DH646" i="3"/>
  <c r="DG646" i="3"/>
  <c r="DF646" i="3"/>
  <c r="DE646" i="3"/>
  <c r="DD646" i="3"/>
  <c r="DC646" i="3"/>
  <c r="DB646" i="3"/>
  <c r="DA646" i="3"/>
  <c r="CZ646" i="3"/>
  <c r="CY646" i="3"/>
  <c r="CX646" i="3"/>
  <c r="CW646" i="3"/>
  <c r="CV646" i="3"/>
  <c r="CU646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C646" i="3"/>
  <c r="CB646" i="3"/>
  <c r="CA646" i="3"/>
  <c r="BZ646" i="3"/>
  <c r="BY646" i="3"/>
  <c r="BX646" i="3"/>
  <c r="BW646" i="3"/>
  <c r="BV646" i="3"/>
  <c r="BU646" i="3"/>
  <c r="BT646" i="3"/>
  <c r="BS646" i="3"/>
  <c r="BR646" i="3"/>
  <c r="BQ646" i="3"/>
  <c r="BP646" i="3"/>
  <c r="BO646" i="3"/>
  <c r="BN646" i="3"/>
  <c r="E646" i="3"/>
  <c r="E1303" i="3" s="1"/>
  <c r="D646" i="3"/>
  <c r="D1303" i="3" s="1"/>
  <c r="C646" i="3"/>
  <c r="C1303" i="3" s="1"/>
  <c r="B646" i="3"/>
  <c r="B1303" i="3" s="1"/>
  <c r="A646" i="3"/>
  <c r="A1303" i="3" s="1"/>
  <c r="DU645" i="3"/>
  <c r="DT645" i="3"/>
  <c r="DS645" i="3"/>
  <c r="DR645" i="3"/>
  <c r="DQ645" i="3"/>
  <c r="DP645" i="3"/>
  <c r="DO645" i="3"/>
  <c r="DN645" i="3"/>
  <c r="DM645" i="3"/>
  <c r="DL645" i="3"/>
  <c r="DK645" i="3"/>
  <c r="DJ645" i="3"/>
  <c r="DI645" i="3"/>
  <c r="DH645" i="3"/>
  <c r="DG645" i="3"/>
  <c r="DF645" i="3"/>
  <c r="DE645" i="3"/>
  <c r="DD645" i="3"/>
  <c r="DC645" i="3"/>
  <c r="DB645" i="3"/>
  <c r="DA645" i="3"/>
  <c r="CZ645" i="3"/>
  <c r="CY645" i="3"/>
  <c r="CX645" i="3"/>
  <c r="CW645" i="3"/>
  <c r="CV645" i="3"/>
  <c r="CU645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C645" i="3"/>
  <c r="CB645" i="3"/>
  <c r="CA645" i="3"/>
  <c r="BZ645" i="3"/>
  <c r="BY645" i="3"/>
  <c r="BX645" i="3"/>
  <c r="BW645" i="3"/>
  <c r="BV645" i="3"/>
  <c r="BU645" i="3"/>
  <c r="BT645" i="3"/>
  <c r="BS645" i="3"/>
  <c r="BR645" i="3"/>
  <c r="BQ645" i="3"/>
  <c r="BP645" i="3"/>
  <c r="BO645" i="3"/>
  <c r="BN645" i="3"/>
  <c r="E645" i="3"/>
  <c r="E1302" i="3" s="1"/>
  <c r="D645" i="3"/>
  <c r="D1302" i="3" s="1"/>
  <c r="C645" i="3"/>
  <c r="C1302" i="3" s="1"/>
  <c r="B645" i="3"/>
  <c r="B1302" i="3" s="1"/>
  <c r="A645" i="3"/>
  <c r="A1302" i="3" s="1"/>
  <c r="DU644" i="3"/>
  <c r="DT644" i="3"/>
  <c r="DS644" i="3"/>
  <c r="DR644" i="3"/>
  <c r="DQ644" i="3"/>
  <c r="DP644" i="3"/>
  <c r="DO644" i="3"/>
  <c r="DN644" i="3"/>
  <c r="DM644" i="3"/>
  <c r="DL644" i="3"/>
  <c r="DK644" i="3"/>
  <c r="DJ644" i="3"/>
  <c r="DI644" i="3"/>
  <c r="DH644" i="3"/>
  <c r="DG644" i="3"/>
  <c r="DF644" i="3"/>
  <c r="DE644" i="3"/>
  <c r="DD644" i="3"/>
  <c r="DC644" i="3"/>
  <c r="DB644" i="3"/>
  <c r="DA644" i="3"/>
  <c r="CZ644" i="3"/>
  <c r="CY644" i="3"/>
  <c r="CX644" i="3"/>
  <c r="CW644" i="3"/>
  <c r="CV644" i="3"/>
  <c r="CU644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C644" i="3"/>
  <c r="CB644" i="3"/>
  <c r="CA644" i="3"/>
  <c r="BZ644" i="3"/>
  <c r="BY644" i="3"/>
  <c r="BX644" i="3"/>
  <c r="BW644" i="3"/>
  <c r="BV644" i="3"/>
  <c r="BU644" i="3"/>
  <c r="BT644" i="3"/>
  <c r="BS644" i="3"/>
  <c r="BR644" i="3"/>
  <c r="BQ644" i="3"/>
  <c r="BP644" i="3"/>
  <c r="BO644" i="3"/>
  <c r="BN644" i="3"/>
  <c r="E644" i="3"/>
  <c r="E1301" i="3" s="1"/>
  <c r="D644" i="3"/>
  <c r="D1301" i="3" s="1"/>
  <c r="C644" i="3"/>
  <c r="C1301" i="3" s="1"/>
  <c r="B644" i="3"/>
  <c r="B1301" i="3" s="1"/>
  <c r="A644" i="3"/>
  <c r="A1301" i="3" s="1"/>
  <c r="DU643" i="3"/>
  <c r="DT643" i="3"/>
  <c r="DS643" i="3"/>
  <c r="DR643" i="3"/>
  <c r="DQ643" i="3"/>
  <c r="DP643" i="3"/>
  <c r="DO643" i="3"/>
  <c r="DN643" i="3"/>
  <c r="DM643" i="3"/>
  <c r="DL643" i="3"/>
  <c r="DK643" i="3"/>
  <c r="DJ643" i="3"/>
  <c r="DI643" i="3"/>
  <c r="DH643" i="3"/>
  <c r="DG643" i="3"/>
  <c r="DF643" i="3"/>
  <c r="DE643" i="3"/>
  <c r="DD643" i="3"/>
  <c r="DC643" i="3"/>
  <c r="DB643" i="3"/>
  <c r="DA643" i="3"/>
  <c r="CZ643" i="3"/>
  <c r="CY643" i="3"/>
  <c r="CX643" i="3"/>
  <c r="CW643" i="3"/>
  <c r="CV643" i="3"/>
  <c r="CU643" i="3"/>
  <c r="CT643" i="3"/>
  <c r="CS643" i="3"/>
  <c r="CR643" i="3"/>
  <c r="CQ643" i="3"/>
  <c r="CP643" i="3"/>
  <c r="CO643" i="3"/>
  <c r="CN643" i="3"/>
  <c r="CM643" i="3"/>
  <c r="CL643" i="3"/>
  <c r="CK643" i="3"/>
  <c r="CJ643" i="3"/>
  <c r="CI643" i="3"/>
  <c r="CH643" i="3"/>
  <c r="CG643" i="3"/>
  <c r="CF643" i="3"/>
  <c r="CE643" i="3"/>
  <c r="CD643" i="3"/>
  <c r="CC643" i="3"/>
  <c r="CB643" i="3"/>
  <c r="CA643" i="3"/>
  <c r="BZ643" i="3"/>
  <c r="BY643" i="3"/>
  <c r="BX643" i="3"/>
  <c r="BW643" i="3"/>
  <c r="BV643" i="3"/>
  <c r="BU643" i="3"/>
  <c r="BT643" i="3"/>
  <c r="BS643" i="3"/>
  <c r="BR643" i="3"/>
  <c r="BQ643" i="3"/>
  <c r="BP643" i="3"/>
  <c r="BO643" i="3"/>
  <c r="BN643" i="3"/>
  <c r="E643" i="3"/>
  <c r="E1300" i="3" s="1"/>
  <c r="D643" i="3"/>
  <c r="D1300" i="3" s="1"/>
  <c r="C643" i="3"/>
  <c r="C1300" i="3" s="1"/>
  <c r="B643" i="3"/>
  <c r="B1300" i="3" s="1"/>
  <c r="A643" i="3"/>
  <c r="A1300" i="3" s="1"/>
  <c r="DU642" i="3"/>
  <c r="DT642" i="3"/>
  <c r="DS642" i="3"/>
  <c r="DR642" i="3"/>
  <c r="DQ642" i="3"/>
  <c r="DP642" i="3"/>
  <c r="DO642" i="3"/>
  <c r="DN642" i="3"/>
  <c r="DM642" i="3"/>
  <c r="DL642" i="3"/>
  <c r="DK642" i="3"/>
  <c r="DJ642" i="3"/>
  <c r="DI642" i="3"/>
  <c r="DH642" i="3"/>
  <c r="DG642" i="3"/>
  <c r="DF642" i="3"/>
  <c r="DE642" i="3"/>
  <c r="DD642" i="3"/>
  <c r="DC642" i="3"/>
  <c r="DB642" i="3"/>
  <c r="DA642" i="3"/>
  <c r="CZ642" i="3"/>
  <c r="CY642" i="3"/>
  <c r="CX642" i="3"/>
  <c r="CW642" i="3"/>
  <c r="CV642" i="3"/>
  <c r="CU642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C642" i="3"/>
  <c r="CB642" i="3"/>
  <c r="CA642" i="3"/>
  <c r="BZ642" i="3"/>
  <c r="BY642" i="3"/>
  <c r="BX642" i="3"/>
  <c r="BW642" i="3"/>
  <c r="BV642" i="3"/>
  <c r="BU642" i="3"/>
  <c r="BT642" i="3"/>
  <c r="BS642" i="3"/>
  <c r="BR642" i="3"/>
  <c r="BQ642" i="3"/>
  <c r="BP642" i="3"/>
  <c r="BO642" i="3"/>
  <c r="BN642" i="3"/>
  <c r="E642" i="3"/>
  <c r="E1299" i="3" s="1"/>
  <c r="D642" i="3"/>
  <c r="D1299" i="3" s="1"/>
  <c r="C642" i="3"/>
  <c r="C1299" i="3" s="1"/>
  <c r="B642" i="3"/>
  <c r="B1299" i="3" s="1"/>
  <c r="A642" i="3"/>
  <c r="A1299" i="3" s="1"/>
  <c r="DU641" i="3"/>
  <c r="DT641" i="3"/>
  <c r="DS641" i="3"/>
  <c r="DR641" i="3"/>
  <c r="DQ641" i="3"/>
  <c r="DP641" i="3"/>
  <c r="DO641" i="3"/>
  <c r="DN641" i="3"/>
  <c r="DM641" i="3"/>
  <c r="DL641" i="3"/>
  <c r="DK641" i="3"/>
  <c r="DJ641" i="3"/>
  <c r="DI641" i="3"/>
  <c r="DH641" i="3"/>
  <c r="DG641" i="3"/>
  <c r="DF641" i="3"/>
  <c r="DE641" i="3"/>
  <c r="DD641" i="3"/>
  <c r="DC641" i="3"/>
  <c r="DB641" i="3"/>
  <c r="DA641" i="3"/>
  <c r="CZ641" i="3"/>
  <c r="CY641" i="3"/>
  <c r="CX641" i="3"/>
  <c r="CW641" i="3"/>
  <c r="CV641" i="3"/>
  <c r="CU641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C641" i="3"/>
  <c r="CB641" i="3"/>
  <c r="CA641" i="3"/>
  <c r="BZ641" i="3"/>
  <c r="BY641" i="3"/>
  <c r="BX641" i="3"/>
  <c r="BW641" i="3"/>
  <c r="BV641" i="3"/>
  <c r="BU641" i="3"/>
  <c r="BT641" i="3"/>
  <c r="BS641" i="3"/>
  <c r="BR641" i="3"/>
  <c r="BQ641" i="3"/>
  <c r="BP641" i="3"/>
  <c r="BO641" i="3"/>
  <c r="BN641" i="3"/>
  <c r="E641" i="3"/>
  <c r="E1298" i="3" s="1"/>
  <c r="D641" i="3"/>
  <c r="D1298" i="3" s="1"/>
  <c r="C641" i="3"/>
  <c r="C1298" i="3" s="1"/>
  <c r="B641" i="3"/>
  <c r="B1298" i="3" s="1"/>
  <c r="A641" i="3"/>
  <c r="A1298" i="3" s="1"/>
  <c r="DU640" i="3"/>
  <c r="DT640" i="3"/>
  <c r="DS640" i="3"/>
  <c r="DR640" i="3"/>
  <c r="DQ640" i="3"/>
  <c r="DP640" i="3"/>
  <c r="DO640" i="3"/>
  <c r="DN640" i="3"/>
  <c r="DM640" i="3"/>
  <c r="DL640" i="3"/>
  <c r="DK640" i="3"/>
  <c r="DJ640" i="3"/>
  <c r="DI640" i="3"/>
  <c r="DH640" i="3"/>
  <c r="DG640" i="3"/>
  <c r="DF640" i="3"/>
  <c r="DE640" i="3"/>
  <c r="DD640" i="3"/>
  <c r="DC640" i="3"/>
  <c r="DB640" i="3"/>
  <c r="DA640" i="3"/>
  <c r="CZ640" i="3"/>
  <c r="CY640" i="3"/>
  <c r="CX640" i="3"/>
  <c r="CW640" i="3"/>
  <c r="CV640" i="3"/>
  <c r="CU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D640" i="3"/>
  <c r="CC640" i="3"/>
  <c r="CB640" i="3"/>
  <c r="CA640" i="3"/>
  <c r="BZ640" i="3"/>
  <c r="BY640" i="3"/>
  <c r="BX640" i="3"/>
  <c r="BW640" i="3"/>
  <c r="BV640" i="3"/>
  <c r="BU640" i="3"/>
  <c r="BT640" i="3"/>
  <c r="BS640" i="3"/>
  <c r="BR640" i="3"/>
  <c r="BQ640" i="3"/>
  <c r="BP640" i="3"/>
  <c r="BO640" i="3"/>
  <c r="BN640" i="3"/>
  <c r="E640" i="3"/>
  <c r="E1297" i="3" s="1"/>
  <c r="D640" i="3"/>
  <c r="D1297" i="3" s="1"/>
  <c r="C640" i="3"/>
  <c r="C1297" i="3" s="1"/>
  <c r="B640" i="3"/>
  <c r="B1297" i="3" s="1"/>
  <c r="A640" i="3"/>
  <c r="A1297" i="3" s="1"/>
  <c r="DU639" i="3"/>
  <c r="DT639" i="3"/>
  <c r="DS639" i="3"/>
  <c r="DR639" i="3"/>
  <c r="DQ639" i="3"/>
  <c r="DP639" i="3"/>
  <c r="DO639" i="3"/>
  <c r="DN639" i="3"/>
  <c r="DM639" i="3"/>
  <c r="DL639" i="3"/>
  <c r="DK639" i="3"/>
  <c r="DJ639" i="3"/>
  <c r="DI639" i="3"/>
  <c r="DH639" i="3"/>
  <c r="DG639" i="3"/>
  <c r="DF639" i="3"/>
  <c r="DE639" i="3"/>
  <c r="DD639" i="3"/>
  <c r="DC639" i="3"/>
  <c r="DB639" i="3"/>
  <c r="DA639" i="3"/>
  <c r="CZ639" i="3"/>
  <c r="CY639" i="3"/>
  <c r="CX639" i="3"/>
  <c r="CW639" i="3"/>
  <c r="CV639" i="3"/>
  <c r="CU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D639" i="3"/>
  <c r="CC639" i="3"/>
  <c r="CB639" i="3"/>
  <c r="CA639" i="3"/>
  <c r="BZ639" i="3"/>
  <c r="BY639" i="3"/>
  <c r="BX639" i="3"/>
  <c r="BW639" i="3"/>
  <c r="BV639" i="3"/>
  <c r="BU639" i="3"/>
  <c r="BT639" i="3"/>
  <c r="BS639" i="3"/>
  <c r="BR639" i="3"/>
  <c r="BQ639" i="3"/>
  <c r="BP639" i="3"/>
  <c r="BO639" i="3"/>
  <c r="BN639" i="3"/>
  <c r="E639" i="3"/>
  <c r="E1296" i="3" s="1"/>
  <c r="D639" i="3"/>
  <c r="D1296" i="3" s="1"/>
  <c r="C639" i="3"/>
  <c r="C1296" i="3" s="1"/>
  <c r="B639" i="3"/>
  <c r="B1296" i="3" s="1"/>
  <c r="A639" i="3"/>
  <c r="A1296" i="3" s="1"/>
  <c r="DU638" i="3"/>
  <c r="DT638" i="3"/>
  <c r="DS638" i="3"/>
  <c r="DR638" i="3"/>
  <c r="DQ638" i="3"/>
  <c r="DP638" i="3"/>
  <c r="DO638" i="3"/>
  <c r="DN638" i="3"/>
  <c r="DM638" i="3"/>
  <c r="DL638" i="3"/>
  <c r="DK638" i="3"/>
  <c r="DJ638" i="3"/>
  <c r="DI638" i="3"/>
  <c r="DH638" i="3"/>
  <c r="DG638" i="3"/>
  <c r="DF638" i="3"/>
  <c r="DE638" i="3"/>
  <c r="DD638" i="3"/>
  <c r="DC638" i="3"/>
  <c r="DB638" i="3"/>
  <c r="DA638" i="3"/>
  <c r="CZ638" i="3"/>
  <c r="CY638" i="3"/>
  <c r="CX638" i="3"/>
  <c r="CW638" i="3"/>
  <c r="CV638" i="3"/>
  <c r="CU638" i="3"/>
  <c r="CT638" i="3"/>
  <c r="CS638" i="3"/>
  <c r="CR638" i="3"/>
  <c r="CQ638" i="3"/>
  <c r="CP638" i="3"/>
  <c r="CO638" i="3"/>
  <c r="CN638" i="3"/>
  <c r="CM638" i="3"/>
  <c r="CL638" i="3"/>
  <c r="CK638" i="3"/>
  <c r="CJ638" i="3"/>
  <c r="CI638" i="3"/>
  <c r="CH638" i="3"/>
  <c r="CG638" i="3"/>
  <c r="CF638" i="3"/>
  <c r="CE638" i="3"/>
  <c r="CD638" i="3"/>
  <c r="CC638" i="3"/>
  <c r="CB638" i="3"/>
  <c r="CA638" i="3"/>
  <c r="BZ638" i="3"/>
  <c r="BY638" i="3"/>
  <c r="BX638" i="3"/>
  <c r="BW638" i="3"/>
  <c r="BV638" i="3"/>
  <c r="BU638" i="3"/>
  <c r="BT638" i="3"/>
  <c r="BS638" i="3"/>
  <c r="BR638" i="3"/>
  <c r="BQ638" i="3"/>
  <c r="BP638" i="3"/>
  <c r="BO638" i="3"/>
  <c r="BN638" i="3"/>
  <c r="E638" i="3"/>
  <c r="E1295" i="3" s="1"/>
  <c r="D638" i="3"/>
  <c r="D1295" i="3" s="1"/>
  <c r="C638" i="3"/>
  <c r="C1295" i="3" s="1"/>
  <c r="B638" i="3"/>
  <c r="B1295" i="3" s="1"/>
  <c r="A638" i="3"/>
  <c r="A1295" i="3" s="1"/>
  <c r="DU637" i="3"/>
  <c r="DT637" i="3"/>
  <c r="DS637" i="3"/>
  <c r="DR637" i="3"/>
  <c r="DQ637" i="3"/>
  <c r="DP637" i="3"/>
  <c r="DO637" i="3"/>
  <c r="DN637" i="3"/>
  <c r="DM637" i="3"/>
  <c r="DL637" i="3"/>
  <c r="DK637" i="3"/>
  <c r="DJ637" i="3"/>
  <c r="DI637" i="3"/>
  <c r="DH637" i="3"/>
  <c r="DG637" i="3"/>
  <c r="DF637" i="3"/>
  <c r="DE637" i="3"/>
  <c r="DD637" i="3"/>
  <c r="DC637" i="3"/>
  <c r="DB637" i="3"/>
  <c r="DA637" i="3"/>
  <c r="CZ637" i="3"/>
  <c r="CY637" i="3"/>
  <c r="CX637" i="3"/>
  <c r="CW637" i="3"/>
  <c r="CV637" i="3"/>
  <c r="CU637" i="3"/>
  <c r="CT637" i="3"/>
  <c r="CS637" i="3"/>
  <c r="CR637" i="3"/>
  <c r="CQ637" i="3"/>
  <c r="CP637" i="3"/>
  <c r="CO637" i="3"/>
  <c r="CN637" i="3"/>
  <c r="CM637" i="3"/>
  <c r="CL637" i="3"/>
  <c r="CK637" i="3"/>
  <c r="CJ637" i="3"/>
  <c r="CI637" i="3"/>
  <c r="CH637" i="3"/>
  <c r="CG637" i="3"/>
  <c r="CF637" i="3"/>
  <c r="CE637" i="3"/>
  <c r="CD637" i="3"/>
  <c r="CC637" i="3"/>
  <c r="CB637" i="3"/>
  <c r="CA637" i="3"/>
  <c r="BZ637" i="3"/>
  <c r="BY637" i="3"/>
  <c r="BX637" i="3"/>
  <c r="BW637" i="3"/>
  <c r="BV637" i="3"/>
  <c r="BU637" i="3"/>
  <c r="BT637" i="3"/>
  <c r="BS637" i="3"/>
  <c r="BR637" i="3"/>
  <c r="BQ637" i="3"/>
  <c r="BP637" i="3"/>
  <c r="BO637" i="3"/>
  <c r="BN637" i="3"/>
  <c r="E637" i="3"/>
  <c r="E1294" i="3" s="1"/>
  <c r="D637" i="3"/>
  <c r="D1294" i="3" s="1"/>
  <c r="C637" i="3"/>
  <c r="C1294" i="3" s="1"/>
  <c r="B637" i="3"/>
  <c r="B1294" i="3" s="1"/>
  <c r="A637" i="3"/>
  <c r="A1294" i="3" s="1"/>
  <c r="DU636" i="3"/>
  <c r="DT636" i="3"/>
  <c r="DS636" i="3"/>
  <c r="DR636" i="3"/>
  <c r="DQ636" i="3"/>
  <c r="DP636" i="3"/>
  <c r="DO636" i="3"/>
  <c r="DN636" i="3"/>
  <c r="DM636" i="3"/>
  <c r="DL636" i="3"/>
  <c r="DK636" i="3"/>
  <c r="DJ636" i="3"/>
  <c r="DI636" i="3"/>
  <c r="DH636" i="3"/>
  <c r="DG636" i="3"/>
  <c r="DF636" i="3"/>
  <c r="DE636" i="3"/>
  <c r="DD636" i="3"/>
  <c r="DC636" i="3"/>
  <c r="DB636" i="3"/>
  <c r="DA636" i="3"/>
  <c r="CZ636" i="3"/>
  <c r="CY636" i="3"/>
  <c r="CX636" i="3"/>
  <c r="CW636" i="3"/>
  <c r="CV636" i="3"/>
  <c r="CU636" i="3"/>
  <c r="CT636" i="3"/>
  <c r="CS636" i="3"/>
  <c r="CR636" i="3"/>
  <c r="CQ636" i="3"/>
  <c r="CP636" i="3"/>
  <c r="CO636" i="3"/>
  <c r="CN636" i="3"/>
  <c r="CM636" i="3"/>
  <c r="CL636" i="3"/>
  <c r="CK636" i="3"/>
  <c r="CJ636" i="3"/>
  <c r="CI636" i="3"/>
  <c r="CH636" i="3"/>
  <c r="CG636" i="3"/>
  <c r="CF636" i="3"/>
  <c r="CE636" i="3"/>
  <c r="CD636" i="3"/>
  <c r="CC636" i="3"/>
  <c r="CB636" i="3"/>
  <c r="CA636" i="3"/>
  <c r="BZ636" i="3"/>
  <c r="BY636" i="3"/>
  <c r="BX636" i="3"/>
  <c r="BW636" i="3"/>
  <c r="BV636" i="3"/>
  <c r="BU636" i="3"/>
  <c r="BT636" i="3"/>
  <c r="BS636" i="3"/>
  <c r="BR636" i="3"/>
  <c r="BQ636" i="3"/>
  <c r="BP636" i="3"/>
  <c r="BO636" i="3"/>
  <c r="BN636" i="3"/>
  <c r="E636" i="3"/>
  <c r="E1293" i="3" s="1"/>
  <c r="D636" i="3"/>
  <c r="D1293" i="3" s="1"/>
  <c r="C636" i="3"/>
  <c r="C1293" i="3" s="1"/>
  <c r="B636" i="3"/>
  <c r="B1293" i="3" s="1"/>
  <c r="A636" i="3"/>
  <c r="A1293" i="3" s="1"/>
  <c r="DU635" i="3"/>
  <c r="DT635" i="3"/>
  <c r="DS635" i="3"/>
  <c r="DR635" i="3"/>
  <c r="DQ635" i="3"/>
  <c r="DP635" i="3"/>
  <c r="DO635" i="3"/>
  <c r="DN635" i="3"/>
  <c r="DM635" i="3"/>
  <c r="DL635" i="3"/>
  <c r="DK635" i="3"/>
  <c r="DJ635" i="3"/>
  <c r="DI635" i="3"/>
  <c r="DH635" i="3"/>
  <c r="DG635" i="3"/>
  <c r="DF635" i="3"/>
  <c r="DE635" i="3"/>
  <c r="DD635" i="3"/>
  <c r="DC635" i="3"/>
  <c r="DB635" i="3"/>
  <c r="DA635" i="3"/>
  <c r="CZ635" i="3"/>
  <c r="CY635" i="3"/>
  <c r="CX635" i="3"/>
  <c r="CW635" i="3"/>
  <c r="CV635" i="3"/>
  <c r="CU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D635" i="3"/>
  <c r="CC635" i="3"/>
  <c r="CB635" i="3"/>
  <c r="CA635" i="3"/>
  <c r="BZ635" i="3"/>
  <c r="BY635" i="3"/>
  <c r="BX635" i="3"/>
  <c r="BW635" i="3"/>
  <c r="BV635" i="3"/>
  <c r="BU635" i="3"/>
  <c r="BT635" i="3"/>
  <c r="BS635" i="3"/>
  <c r="BR635" i="3"/>
  <c r="BQ635" i="3"/>
  <c r="BP635" i="3"/>
  <c r="BO635" i="3"/>
  <c r="BN635" i="3"/>
  <c r="E635" i="3"/>
  <c r="E1292" i="3" s="1"/>
  <c r="D635" i="3"/>
  <c r="D1292" i="3" s="1"/>
  <c r="C635" i="3"/>
  <c r="C1292" i="3" s="1"/>
  <c r="B635" i="3"/>
  <c r="B1292" i="3" s="1"/>
  <c r="A635" i="3"/>
  <c r="A1292" i="3" s="1"/>
  <c r="DU634" i="3"/>
  <c r="DT634" i="3"/>
  <c r="DS634" i="3"/>
  <c r="DR634" i="3"/>
  <c r="DQ634" i="3"/>
  <c r="DP634" i="3"/>
  <c r="DO634" i="3"/>
  <c r="DN634" i="3"/>
  <c r="DM634" i="3"/>
  <c r="DL634" i="3"/>
  <c r="DK634" i="3"/>
  <c r="DJ634" i="3"/>
  <c r="DI634" i="3"/>
  <c r="DH634" i="3"/>
  <c r="DG634" i="3"/>
  <c r="DF634" i="3"/>
  <c r="DE634" i="3"/>
  <c r="DD634" i="3"/>
  <c r="DC634" i="3"/>
  <c r="DB634" i="3"/>
  <c r="DA634" i="3"/>
  <c r="CZ634" i="3"/>
  <c r="CY634" i="3"/>
  <c r="CX634" i="3"/>
  <c r="CW634" i="3"/>
  <c r="CV634" i="3"/>
  <c r="CU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C634" i="3"/>
  <c r="CB634" i="3"/>
  <c r="CA634" i="3"/>
  <c r="BZ634" i="3"/>
  <c r="BY634" i="3"/>
  <c r="BX634" i="3"/>
  <c r="BW634" i="3"/>
  <c r="BV634" i="3"/>
  <c r="BU634" i="3"/>
  <c r="BT634" i="3"/>
  <c r="BS634" i="3"/>
  <c r="BR634" i="3"/>
  <c r="BQ634" i="3"/>
  <c r="BP634" i="3"/>
  <c r="BO634" i="3"/>
  <c r="BN634" i="3"/>
  <c r="E634" i="3"/>
  <c r="E1291" i="3" s="1"/>
  <c r="D634" i="3"/>
  <c r="D1291" i="3" s="1"/>
  <c r="C634" i="3"/>
  <c r="C1291" i="3" s="1"/>
  <c r="B634" i="3"/>
  <c r="B1291" i="3" s="1"/>
  <c r="A634" i="3"/>
  <c r="A1291" i="3" s="1"/>
  <c r="DU633" i="3"/>
  <c r="DT633" i="3"/>
  <c r="DS633" i="3"/>
  <c r="DR633" i="3"/>
  <c r="DQ633" i="3"/>
  <c r="DP633" i="3"/>
  <c r="DO633" i="3"/>
  <c r="DN633" i="3"/>
  <c r="DM633" i="3"/>
  <c r="DL633" i="3"/>
  <c r="DK633" i="3"/>
  <c r="DJ633" i="3"/>
  <c r="DI633" i="3"/>
  <c r="DH633" i="3"/>
  <c r="DG633" i="3"/>
  <c r="DF633" i="3"/>
  <c r="DE633" i="3"/>
  <c r="DD633" i="3"/>
  <c r="DC633" i="3"/>
  <c r="DB633" i="3"/>
  <c r="DA633" i="3"/>
  <c r="CZ633" i="3"/>
  <c r="CY633" i="3"/>
  <c r="CX633" i="3"/>
  <c r="CW633" i="3"/>
  <c r="CV633" i="3"/>
  <c r="CU633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C633" i="3"/>
  <c r="CB633" i="3"/>
  <c r="CA633" i="3"/>
  <c r="BZ633" i="3"/>
  <c r="BY633" i="3"/>
  <c r="BX633" i="3"/>
  <c r="BW633" i="3"/>
  <c r="BV633" i="3"/>
  <c r="BU633" i="3"/>
  <c r="BT633" i="3"/>
  <c r="BS633" i="3"/>
  <c r="BR633" i="3"/>
  <c r="BQ633" i="3"/>
  <c r="BP633" i="3"/>
  <c r="BO633" i="3"/>
  <c r="BN633" i="3"/>
  <c r="E633" i="3"/>
  <c r="E1290" i="3" s="1"/>
  <c r="D633" i="3"/>
  <c r="D1290" i="3" s="1"/>
  <c r="C633" i="3"/>
  <c r="C1290" i="3" s="1"/>
  <c r="B633" i="3"/>
  <c r="B1290" i="3" s="1"/>
  <c r="A633" i="3"/>
  <c r="A1290" i="3" s="1"/>
  <c r="DU632" i="3"/>
  <c r="DT632" i="3"/>
  <c r="DS632" i="3"/>
  <c r="DR632" i="3"/>
  <c r="DQ632" i="3"/>
  <c r="DP632" i="3"/>
  <c r="DO632" i="3"/>
  <c r="DN632" i="3"/>
  <c r="DM632" i="3"/>
  <c r="DL632" i="3"/>
  <c r="DK632" i="3"/>
  <c r="DJ632" i="3"/>
  <c r="DI632" i="3"/>
  <c r="DH632" i="3"/>
  <c r="DG632" i="3"/>
  <c r="DF632" i="3"/>
  <c r="DE632" i="3"/>
  <c r="DD632" i="3"/>
  <c r="DC632" i="3"/>
  <c r="DB632" i="3"/>
  <c r="DA632" i="3"/>
  <c r="CZ632" i="3"/>
  <c r="CY632" i="3"/>
  <c r="CX632" i="3"/>
  <c r="CW632" i="3"/>
  <c r="CV632" i="3"/>
  <c r="CU632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C632" i="3"/>
  <c r="CB632" i="3"/>
  <c r="CA632" i="3"/>
  <c r="BZ632" i="3"/>
  <c r="BY632" i="3"/>
  <c r="BX632" i="3"/>
  <c r="BW632" i="3"/>
  <c r="BV632" i="3"/>
  <c r="BU632" i="3"/>
  <c r="BT632" i="3"/>
  <c r="BS632" i="3"/>
  <c r="BR632" i="3"/>
  <c r="BQ632" i="3"/>
  <c r="BP632" i="3"/>
  <c r="BO632" i="3"/>
  <c r="BN632" i="3"/>
  <c r="E632" i="3"/>
  <c r="E1289" i="3" s="1"/>
  <c r="D632" i="3"/>
  <c r="D1289" i="3" s="1"/>
  <c r="C632" i="3"/>
  <c r="C1289" i="3" s="1"/>
  <c r="B632" i="3"/>
  <c r="B1289" i="3" s="1"/>
  <c r="A632" i="3"/>
  <c r="A1289" i="3" s="1"/>
  <c r="DU631" i="3"/>
  <c r="DT631" i="3"/>
  <c r="DS631" i="3"/>
  <c r="DR631" i="3"/>
  <c r="DQ631" i="3"/>
  <c r="DP631" i="3"/>
  <c r="DO631" i="3"/>
  <c r="DN631" i="3"/>
  <c r="DM631" i="3"/>
  <c r="DL631" i="3"/>
  <c r="DK631" i="3"/>
  <c r="DJ631" i="3"/>
  <c r="DI631" i="3"/>
  <c r="DH631" i="3"/>
  <c r="DG631" i="3"/>
  <c r="DF631" i="3"/>
  <c r="DE631" i="3"/>
  <c r="DD631" i="3"/>
  <c r="DC631" i="3"/>
  <c r="DB631" i="3"/>
  <c r="DA631" i="3"/>
  <c r="CZ631" i="3"/>
  <c r="CY631" i="3"/>
  <c r="CX631" i="3"/>
  <c r="CW631" i="3"/>
  <c r="CV631" i="3"/>
  <c r="CU631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C631" i="3"/>
  <c r="CB631" i="3"/>
  <c r="CA631" i="3"/>
  <c r="BZ631" i="3"/>
  <c r="BY631" i="3"/>
  <c r="BX631" i="3"/>
  <c r="BW631" i="3"/>
  <c r="BV631" i="3"/>
  <c r="BU631" i="3"/>
  <c r="BT631" i="3"/>
  <c r="BS631" i="3"/>
  <c r="BR631" i="3"/>
  <c r="BQ631" i="3"/>
  <c r="BP631" i="3"/>
  <c r="BO631" i="3"/>
  <c r="BN631" i="3"/>
  <c r="E631" i="3"/>
  <c r="E1288" i="3" s="1"/>
  <c r="D631" i="3"/>
  <c r="D1288" i="3" s="1"/>
  <c r="C631" i="3"/>
  <c r="C1288" i="3" s="1"/>
  <c r="B631" i="3"/>
  <c r="B1288" i="3" s="1"/>
  <c r="A631" i="3"/>
  <c r="A1288" i="3" s="1"/>
  <c r="DU630" i="3"/>
  <c r="DT630" i="3"/>
  <c r="DS630" i="3"/>
  <c r="DR630" i="3"/>
  <c r="DQ630" i="3"/>
  <c r="DP630" i="3"/>
  <c r="DO630" i="3"/>
  <c r="DN630" i="3"/>
  <c r="DM630" i="3"/>
  <c r="DL630" i="3"/>
  <c r="DK630" i="3"/>
  <c r="DJ630" i="3"/>
  <c r="DI630" i="3"/>
  <c r="DH630" i="3"/>
  <c r="DG630" i="3"/>
  <c r="DF630" i="3"/>
  <c r="DE630" i="3"/>
  <c r="DD630" i="3"/>
  <c r="DC630" i="3"/>
  <c r="DB630" i="3"/>
  <c r="DA630" i="3"/>
  <c r="CZ630" i="3"/>
  <c r="CY630" i="3"/>
  <c r="CX630" i="3"/>
  <c r="CW630" i="3"/>
  <c r="CV630" i="3"/>
  <c r="CU630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C630" i="3"/>
  <c r="CB630" i="3"/>
  <c r="CA630" i="3"/>
  <c r="BZ630" i="3"/>
  <c r="BY630" i="3"/>
  <c r="BX630" i="3"/>
  <c r="BW630" i="3"/>
  <c r="BV630" i="3"/>
  <c r="BU630" i="3"/>
  <c r="BT630" i="3"/>
  <c r="BS630" i="3"/>
  <c r="BR630" i="3"/>
  <c r="BQ630" i="3"/>
  <c r="BP630" i="3"/>
  <c r="BO630" i="3"/>
  <c r="BN630" i="3"/>
  <c r="E630" i="3"/>
  <c r="E1287" i="3" s="1"/>
  <c r="D630" i="3"/>
  <c r="D1287" i="3" s="1"/>
  <c r="C630" i="3"/>
  <c r="C1287" i="3" s="1"/>
  <c r="B630" i="3"/>
  <c r="B1287" i="3" s="1"/>
  <c r="A630" i="3"/>
  <c r="A1287" i="3" s="1"/>
  <c r="DU629" i="3"/>
  <c r="DT629" i="3"/>
  <c r="DS629" i="3"/>
  <c r="DR629" i="3"/>
  <c r="DQ629" i="3"/>
  <c r="DP629" i="3"/>
  <c r="DO629" i="3"/>
  <c r="DN629" i="3"/>
  <c r="DM629" i="3"/>
  <c r="DL629" i="3"/>
  <c r="DK629" i="3"/>
  <c r="DJ629" i="3"/>
  <c r="DI629" i="3"/>
  <c r="DH629" i="3"/>
  <c r="DG629" i="3"/>
  <c r="DF629" i="3"/>
  <c r="DE629" i="3"/>
  <c r="DD629" i="3"/>
  <c r="DC629" i="3"/>
  <c r="DB629" i="3"/>
  <c r="DA629" i="3"/>
  <c r="CZ629" i="3"/>
  <c r="CY629" i="3"/>
  <c r="CX629" i="3"/>
  <c r="CW629" i="3"/>
  <c r="CV629" i="3"/>
  <c r="CU629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C629" i="3"/>
  <c r="CB629" i="3"/>
  <c r="CA629" i="3"/>
  <c r="BZ629" i="3"/>
  <c r="BY629" i="3"/>
  <c r="BX629" i="3"/>
  <c r="BW629" i="3"/>
  <c r="BV629" i="3"/>
  <c r="BU629" i="3"/>
  <c r="BT629" i="3"/>
  <c r="BS629" i="3"/>
  <c r="BR629" i="3"/>
  <c r="BQ629" i="3"/>
  <c r="BP629" i="3"/>
  <c r="BO629" i="3"/>
  <c r="BN629" i="3"/>
  <c r="E629" i="3"/>
  <c r="E1286" i="3" s="1"/>
  <c r="D629" i="3"/>
  <c r="D1286" i="3" s="1"/>
  <c r="C629" i="3"/>
  <c r="C1286" i="3" s="1"/>
  <c r="B629" i="3"/>
  <c r="B1286" i="3" s="1"/>
  <c r="A629" i="3"/>
  <c r="A1286" i="3" s="1"/>
  <c r="DU628" i="3"/>
  <c r="DT628" i="3"/>
  <c r="DS628" i="3"/>
  <c r="DR628" i="3"/>
  <c r="DQ628" i="3"/>
  <c r="DP628" i="3"/>
  <c r="DO628" i="3"/>
  <c r="DN628" i="3"/>
  <c r="DM628" i="3"/>
  <c r="DL628" i="3"/>
  <c r="DK628" i="3"/>
  <c r="DJ628" i="3"/>
  <c r="DI628" i="3"/>
  <c r="DH628" i="3"/>
  <c r="DG628" i="3"/>
  <c r="DF628" i="3"/>
  <c r="DE628" i="3"/>
  <c r="DD628" i="3"/>
  <c r="DC628" i="3"/>
  <c r="DB628" i="3"/>
  <c r="DA628" i="3"/>
  <c r="CZ628" i="3"/>
  <c r="CY628" i="3"/>
  <c r="CX628" i="3"/>
  <c r="CW628" i="3"/>
  <c r="CV628" i="3"/>
  <c r="CU628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C628" i="3"/>
  <c r="CB628" i="3"/>
  <c r="CA628" i="3"/>
  <c r="BZ628" i="3"/>
  <c r="BY628" i="3"/>
  <c r="BX628" i="3"/>
  <c r="BW628" i="3"/>
  <c r="BV628" i="3"/>
  <c r="BU628" i="3"/>
  <c r="BT628" i="3"/>
  <c r="BS628" i="3"/>
  <c r="BR628" i="3"/>
  <c r="BQ628" i="3"/>
  <c r="BP628" i="3"/>
  <c r="BO628" i="3"/>
  <c r="BN628" i="3"/>
  <c r="E628" i="3"/>
  <c r="E1285" i="3" s="1"/>
  <c r="D628" i="3"/>
  <c r="D1285" i="3" s="1"/>
  <c r="C628" i="3"/>
  <c r="C1285" i="3" s="1"/>
  <c r="B628" i="3"/>
  <c r="B1285" i="3" s="1"/>
  <c r="A628" i="3"/>
  <c r="A1285" i="3" s="1"/>
  <c r="DU627" i="3"/>
  <c r="DT627" i="3"/>
  <c r="DS627" i="3"/>
  <c r="DR627" i="3"/>
  <c r="DQ627" i="3"/>
  <c r="DP627" i="3"/>
  <c r="DO627" i="3"/>
  <c r="DN627" i="3"/>
  <c r="DM627" i="3"/>
  <c r="DL627" i="3"/>
  <c r="DK627" i="3"/>
  <c r="DJ627" i="3"/>
  <c r="DI627" i="3"/>
  <c r="DH627" i="3"/>
  <c r="DG627" i="3"/>
  <c r="DF627" i="3"/>
  <c r="DE627" i="3"/>
  <c r="DD627" i="3"/>
  <c r="DC627" i="3"/>
  <c r="DB627" i="3"/>
  <c r="DA627" i="3"/>
  <c r="CZ627" i="3"/>
  <c r="CY627" i="3"/>
  <c r="CX627" i="3"/>
  <c r="CW627" i="3"/>
  <c r="CV627" i="3"/>
  <c r="CU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C627" i="3"/>
  <c r="CB627" i="3"/>
  <c r="CA627" i="3"/>
  <c r="BZ627" i="3"/>
  <c r="BY627" i="3"/>
  <c r="BX627" i="3"/>
  <c r="BW627" i="3"/>
  <c r="BV627" i="3"/>
  <c r="BU627" i="3"/>
  <c r="BT627" i="3"/>
  <c r="BS627" i="3"/>
  <c r="BR627" i="3"/>
  <c r="BQ627" i="3"/>
  <c r="BP627" i="3"/>
  <c r="BO627" i="3"/>
  <c r="BN627" i="3"/>
  <c r="E627" i="3"/>
  <c r="E1284" i="3" s="1"/>
  <c r="D627" i="3"/>
  <c r="D1284" i="3" s="1"/>
  <c r="C627" i="3"/>
  <c r="C1284" i="3" s="1"/>
  <c r="B627" i="3"/>
  <c r="B1284" i="3" s="1"/>
  <c r="A627" i="3"/>
  <c r="A1284" i="3" s="1"/>
  <c r="DU626" i="3"/>
  <c r="DT626" i="3"/>
  <c r="DS626" i="3"/>
  <c r="DR626" i="3"/>
  <c r="DQ626" i="3"/>
  <c r="DP626" i="3"/>
  <c r="DO626" i="3"/>
  <c r="DN626" i="3"/>
  <c r="DM626" i="3"/>
  <c r="DL626" i="3"/>
  <c r="DK626" i="3"/>
  <c r="DJ626" i="3"/>
  <c r="DI626" i="3"/>
  <c r="DH626" i="3"/>
  <c r="DG626" i="3"/>
  <c r="DF626" i="3"/>
  <c r="DE626" i="3"/>
  <c r="DD626" i="3"/>
  <c r="DC626" i="3"/>
  <c r="DB626" i="3"/>
  <c r="DA626" i="3"/>
  <c r="CZ626" i="3"/>
  <c r="CY626" i="3"/>
  <c r="CX626" i="3"/>
  <c r="CW626" i="3"/>
  <c r="CV626" i="3"/>
  <c r="CU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C626" i="3"/>
  <c r="CB626" i="3"/>
  <c r="CA626" i="3"/>
  <c r="BZ626" i="3"/>
  <c r="BY626" i="3"/>
  <c r="BX626" i="3"/>
  <c r="BW626" i="3"/>
  <c r="BV626" i="3"/>
  <c r="BU626" i="3"/>
  <c r="BT626" i="3"/>
  <c r="BS626" i="3"/>
  <c r="BR626" i="3"/>
  <c r="BQ626" i="3"/>
  <c r="BP626" i="3"/>
  <c r="BO626" i="3"/>
  <c r="BN626" i="3"/>
  <c r="E626" i="3"/>
  <c r="E1283" i="3" s="1"/>
  <c r="D626" i="3"/>
  <c r="D1283" i="3" s="1"/>
  <c r="C626" i="3"/>
  <c r="C1283" i="3" s="1"/>
  <c r="B626" i="3"/>
  <c r="B1283" i="3" s="1"/>
  <c r="A626" i="3"/>
  <c r="A1283" i="3" s="1"/>
  <c r="DU625" i="3"/>
  <c r="DT625" i="3"/>
  <c r="DS625" i="3"/>
  <c r="DR625" i="3"/>
  <c r="DQ625" i="3"/>
  <c r="DP625" i="3"/>
  <c r="DO625" i="3"/>
  <c r="DN625" i="3"/>
  <c r="DM625" i="3"/>
  <c r="DL625" i="3"/>
  <c r="DK625" i="3"/>
  <c r="DJ625" i="3"/>
  <c r="DI625" i="3"/>
  <c r="DH625" i="3"/>
  <c r="DG625" i="3"/>
  <c r="DF625" i="3"/>
  <c r="DE625" i="3"/>
  <c r="DD625" i="3"/>
  <c r="DC625" i="3"/>
  <c r="DB625" i="3"/>
  <c r="DA625" i="3"/>
  <c r="CZ625" i="3"/>
  <c r="CY625" i="3"/>
  <c r="CX625" i="3"/>
  <c r="CW625" i="3"/>
  <c r="CV625" i="3"/>
  <c r="CU625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C625" i="3"/>
  <c r="CB625" i="3"/>
  <c r="CA625" i="3"/>
  <c r="BZ625" i="3"/>
  <c r="BY625" i="3"/>
  <c r="BX625" i="3"/>
  <c r="BW625" i="3"/>
  <c r="BV625" i="3"/>
  <c r="BU625" i="3"/>
  <c r="BT625" i="3"/>
  <c r="BS625" i="3"/>
  <c r="BR625" i="3"/>
  <c r="BQ625" i="3"/>
  <c r="BP625" i="3"/>
  <c r="BO625" i="3"/>
  <c r="BN625" i="3"/>
  <c r="E625" i="3"/>
  <c r="E1282" i="3" s="1"/>
  <c r="D625" i="3"/>
  <c r="D1282" i="3" s="1"/>
  <c r="C625" i="3"/>
  <c r="C1282" i="3" s="1"/>
  <c r="B625" i="3"/>
  <c r="B1282" i="3" s="1"/>
  <c r="A625" i="3"/>
  <c r="A1282" i="3" s="1"/>
  <c r="DU624" i="3"/>
  <c r="DT624" i="3"/>
  <c r="DS624" i="3"/>
  <c r="DR624" i="3"/>
  <c r="DQ624" i="3"/>
  <c r="DP624" i="3"/>
  <c r="DO624" i="3"/>
  <c r="DN624" i="3"/>
  <c r="DM624" i="3"/>
  <c r="DL624" i="3"/>
  <c r="DK624" i="3"/>
  <c r="DJ624" i="3"/>
  <c r="DI624" i="3"/>
  <c r="DH624" i="3"/>
  <c r="DG624" i="3"/>
  <c r="DF624" i="3"/>
  <c r="DE624" i="3"/>
  <c r="DD624" i="3"/>
  <c r="DC624" i="3"/>
  <c r="DB624" i="3"/>
  <c r="DA624" i="3"/>
  <c r="CZ624" i="3"/>
  <c r="CY624" i="3"/>
  <c r="CX624" i="3"/>
  <c r="CW624" i="3"/>
  <c r="CV624" i="3"/>
  <c r="CU624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C624" i="3"/>
  <c r="CB624" i="3"/>
  <c r="CA624" i="3"/>
  <c r="BZ624" i="3"/>
  <c r="BY624" i="3"/>
  <c r="BX624" i="3"/>
  <c r="BW624" i="3"/>
  <c r="BV624" i="3"/>
  <c r="BU624" i="3"/>
  <c r="BT624" i="3"/>
  <c r="BS624" i="3"/>
  <c r="BR624" i="3"/>
  <c r="BQ624" i="3"/>
  <c r="BP624" i="3"/>
  <c r="BO624" i="3"/>
  <c r="BN624" i="3"/>
  <c r="E624" i="3"/>
  <c r="E1281" i="3" s="1"/>
  <c r="D624" i="3"/>
  <c r="D1281" i="3" s="1"/>
  <c r="C624" i="3"/>
  <c r="C1281" i="3" s="1"/>
  <c r="B624" i="3"/>
  <c r="B1281" i="3" s="1"/>
  <c r="A624" i="3"/>
  <c r="A1281" i="3" s="1"/>
  <c r="DU623" i="3"/>
  <c r="DT623" i="3"/>
  <c r="DS623" i="3"/>
  <c r="DR623" i="3"/>
  <c r="DQ623" i="3"/>
  <c r="DP623" i="3"/>
  <c r="DO623" i="3"/>
  <c r="DN623" i="3"/>
  <c r="DM623" i="3"/>
  <c r="DL623" i="3"/>
  <c r="DK623" i="3"/>
  <c r="DJ623" i="3"/>
  <c r="DI623" i="3"/>
  <c r="DH623" i="3"/>
  <c r="DG623" i="3"/>
  <c r="DF623" i="3"/>
  <c r="DE623" i="3"/>
  <c r="DD623" i="3"/>
  <c r="DC623" i="3"/>
  <c r="DB623" i="3"/>
  <c r="DA623" i="3"/>
  <c r="CZ623" i="3"/>
  <c r="CY623" i="3"/>
  <c r="CX623" i="3"/>
  <c r="CW623" i="3"/>
  <c r="CV623" i="3"/>
  <c r="CU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C623" i="3"/>
  <c r="CB623" i="3"/>
  <c r="CA623" i="3"/>
  <c r="BZ623" i="3"/>
  <c r="BY623" i="3"/>
  <c r="BX623" i="3"/>
  <c r="BW623" i="3"/>
  <c r="BV623" i="3"/>
  <c r="BU623" i="3"/>
  <c r="BT623" i="3"/>
  <c r="BS623" i="3"/>
  <c r="BR623" i="3"/>
  <c r="BQ623" i="3"/>
  <c r="BP623" i="3"/>
  <c r="BO623" i="3"/>
  <c r="BN623" i="3"/>
  <c r="E623" i="3"/>
  <c r="E1280" i="3" s="1"/>
  <c r="D623" i="3"/>
  <c r="D1280" i="3" s="1"/>
  <c r="C623" i="3"/>
  <c r="C1280" i="3" s="1"/>
  <c r="B623" i="3"/>
  <c r="B1280" i="3" s="1"/>
  <c r="A623" i="3"/>
  <c r="A1280" i="3" s="1"/>
  <c r="DU622" i="3"/>
  <c r="DT622" i="3"/>
  <c r="DS622" i="3"/>
  <c r="DR622" i="3"/>
  <c r="DQ622" i="3"/>
  <c r="DP622" i="3"/>
  <c r="DO622" i="3"/>
  <c r="DN622" i="3"/>
  <c r="DM622" i="3"/>
  <c r="DL622" i="3"/>
  <c r="DK622" i="3"/>
  <c r="DJ622" i="3"/>
  <c r="DI622" i="3"/>
  <c r="DH622" i="3"/>
  <c r="DG622" i="3"/>
  <c r="DF622" i="3"/>
  <c r="DE622" i="3"/>
  <c r="DD622" i="3"/>
  <c r="DC622" i="3"/>
  <c r="DB622" i="3"/>
  <c r="DA622" i="3"/>
  <c r="CZ622" i="3"/>
  <c r="CY622" i="3"/>
  <c r="CX622" i="3"/>
  <c r="CW622" i="3"/>
  <c r="CV622" i="3"/>
  <c r="CU622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C622" i="3"/>
  <c r="CB622" i="3"/>
  <c r="CA622" i="3"/>
  <c r="BZ622" i="3"/>
  <c r="BY622" i="3"/>
  <c r="BX622" i="3"/>
  <c r="BW622" i="3"/>
  <c r="BV622" i="3"/>
  <c r="BU622" i="3"/>
  <c r="BT622" i="3"/>
  <c r="BS622" i="3"/>
  <c r="BR622" i="3"/>
  <c r="BQ622" i="3"/>
  <c r="BP622" i="3"/>
  <c r="BO622" i="3"/>
  <c r="BN622" i="3"/>
  <c r="E622" i="3"/>
  <c r="E1279" i="3" s="1"/>
  <c r="D622" i="3"/>
  <c r="D1279" i="3" s="1"/>
  <c r="C622" i="3"/>
  <c r="C1279" i="3" s="1"/>
  <c r="B622" i="3"/>
  <c r="B1279" i="3" s="1"/>
  <c r="A622" i="3"/>
  <c r="A1279" i="3" s="1"/>
  <c r="DU621" i="3"/>
  <c r="DT621" i="3"/>
  <c r="DS621" i="3"/>
  <c r="DR621" i="3"/>
  <c r="DQ621" i="3"/>
  <c r="DP621" i="3"/>
  <c r="DO621" i="3"/>
  <c r="DN621" i="3"/>
  <c r="DM621" i="3"/>
  <c r="DL621" i="3"/>
  <c r="DK621" i="3"/>
  <c r="DJ621" i="3"/>
  <c r="DI621" i="3"/>
  <c r="DH621" i="3"/>
  <c r="DG621" i="3"/>
  <c r="DF621" i="3"/>
  <c r="DE621" i="3"/>
  <c r="DD621" i="3"/>
  <c r="DC621" i="3"/>
  <c r="DB621" i="3"/>
  <c r="DA621" i="3"/>
  <c r="CZ621" i="3"/>
  <c r="CY621" i="3"/>
  <c r="CX621" i="3"/>
  <c r="CW621" i="3"/>
  <c r="CV621" i="3"/>
  <c r="CU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C621" i="3"/>
  <c r="CB621" i="3"/>
  <c r="CA621" i="3"/>
  <c r="BZ621" i="3"/>
  <c r="BY621" i="3"/>
  <c r="BX621" i="3"/>
  <c r="BW621" i="3"/>
  <c r="BV621" i="3"/>
  <c r="BU621" i="3"/>
  <c r="BT621" i="3"/>
  <c r="BS621" i="3"/>
  <c r="BR621" i="3"/>
  <c r="BQ621" i="3"/>
  <c r="BP621" i="3"/>
  <c r="BO621" i="3"/>
  <c r="BN621" i="3"/>
  <c r="E621" i="3"/>
  <c r="B621" i="3"/>
  <c r="A621" i="3"/>
  <c r="DU620" i="3"/>
  <c r="DT620" i="3"/>
  <c r="DS620" i="3"/>
  <c r="DR620" i="3"/>
  <c r="DQ620" i="3"/>
  <c r="DP620" i="3"/>
  <c r="DO620" i="3"/>
  <c r="DN620" i="3"/>
  <c r="DM620" i="3"/>
  <c r="DL620" i="3"/>
  <c r="DK620" i="3"/>
  <c r="DJ620" i="3"/>
  <c r="DI620" i="3"/>
  <c r="DH620" i="3"/>
  <c r="DG620" i="3"/>
  <c r="DF620" i="3"/>
  <c r="DE620" i="3"/>
  <c r="DD620" i="3"/>
  <c r="DC620" i="3"/>
  <c r="DB620" i="3"/>
  <c r="DA620" i="3"/>
  <c r="CZ620" i="3"/>
  <c r="CY620" i="3"/>
  <c r="CX620" i="3"/>
  <c r="CW620" i="3"/>
  <c r="CV620" i="3"/>
  <c r="CU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C620" i="3"/>
  <c r="CB620" i="3"/>
  <c r="CA620" i="3"/>
  <c r="BZ620" i="3"/>
  <c r="BY620" i="3"/>
  <c r="BX620" i="3"/>
  <c r="BW620" i="3"/>
  <c r="BV620" i="3"/>
  <c r="BU620" i="3"/>
  <c r="BT620" i="3"/>
  <c r="BS620" i="3"/>
  <c r="BR620" i="3"/>
  <c r="BQ620" i="3"/>
  <c r="BP620" i="3"/>
  <c r="BO620" i="3"/>
  <c r="BN620" i="3"/>
  <c r="E620" i="3"/>
  <c r="E1278" i="3" s="1"/>
  <c r="D620" i="3"/>
  <c r="D1278" i="3" s="1"/>
  <c r="C620" i="3"/>
  <c r="C1278" i="3" s="1"/>
  <c r="B620" i="3"/>
  <c r="B1278" i="3" s="1"/>
  <c r="A620" i="3"/>
  <c r="A1278" i="3" s="1"/>
  <c r="DU619" i="3"/>
  <c r="DT619" i="3"/>
  <c r="DS619" i="3"/>
  <c r="DR619" i="3"/>
  <c r="DQ619" i="3"/>
  <c r="DP619" i="3"/>
  <c r="DO619" i="3"/>
  <c r="DN619" i="3"/>
  <c r="DM619" i="3"/>
  <c r="DL619" i="3"/>
  <c r="DK619" i="3"/>
  <c r="DJ619" i="3"/>
  <c r="DI619" i="3"/>
  <c r="DH619" i="3"/>
  <c r="DG619" i="3"/>
  <c r="DF619" i="3"/>
  <c r="DE619" i="3"/>
  <c r="DD619" i="3"/>
  <c r="DC619" i="3"/>
  <c r="DB619" i="3"/>
  <c r="DA619" i="3"/>
  <c r="CZ619" i="3"/>
  <c r="CY619" i="3"/>
  <c r="CX619" i="3"/>
  <c r="CW619" i="3"/>
  <c r="CV619" i="3"/>
  <c r="CU619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C619" i="3"/>
  <c r="CB619" i="3"/>
  <c r="CA619" i="3"/>
  <c r="BZ619" i="3"/>
  <c r="BY619" i="3"/>
  <c r="BX619" i="3"/>
  <c r="BW619" i="3"/>
  <c r="BV619" i="3"/>
  <c r="BU619" i="3"/>
  <c r="BT619" i="3"/>
  <c r="BS619" i="3"/>
  <c r="BR619" i="3"/>
  <c r="BQ619" i="3"/>
  <c r="BP619" i="3"/>
  <c r="BO619" i="3"/>
  <c r="BN619" i="3"/>
  <c r="E619" i="3"/>
  <c r="E1277" i="3" s="1"/>
  <c r="D619" i="3"/>
  <c r="D1277" i="3" s="1"/>
  <c r="C619" i="3"/>
  <c r="C1277" i="3" s="1"/>
  <c r="B619" i="3"/>
  <c r="B1277" i="3" s="1"/>
  <c r="A619" i="3"/>
  <c r="A1277" i="3" s="1"/>
  <c r="DU618" i="3"/>
  <c r="DT618" i="3"/>
  <c r="DS618" i="3"/>
  <c r="DR618" i="3"/>
  <c r="DQ618" i="3"/>
  <c r="DP618" i="3"/>
  <c r="DO618" i="3"/>
  <c r="DN618" i="3"/>
  <c r="DM618" i="3"/>
  <c r="DL618" i="3"/>
  <c r="DK618" i="3"/>
  <c r="DJ618" i="3"/>
  <c r="DI618" i="3"/>
  <c r="DH618" i="3"/>
  <c r="DG618" i="3"/>
  <c r="DF618" i="3"/>
  <c r="DE618" i="3"/>
  <c r="DD618" i="3"/>
  <c r="DC618" i="3"/>
  <c r="DB618" i="3"/>
  <c r="DA618" i="3"/>
  <c r="CZ618" i="3"/>
  <c r="CY618" i="3"/>
  <c r="CX618" i="3"/>
  <c r="CW618" i="3"/>
  <c r="CV618" i="3"/>
  <c r="CU618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C618" i="3"/>
  <c r="CB618" i="3"/>
  <c r="CA618" i="3"/>
  <c r="BZ618" i="3"/>
  <c r="BY618" i="3"/>
  <c r="BX618" i="3"/>
  <c r="BW618" i="3"/>
  <c r="BV618" i="3"/>
  <c r="BU618" i="3"/>
  <c r="BT618" i="3"/>
  <c r="BS618" i="3"/>
  <c r="BR618" i="3"/>
  <c r="BQ618" i="3"/>
  <c r="BP618" i="3"/>
  <c r="BO618" i="3"/>
  <c r="BN618" i="3"/>
  <c r="E618" i="3"/>
  <c r="E1276" i="3" s="1"/>
  <c r="D618" i="3"/>
  <c r="D1276" i="3" s="1"/>
  <c r="C618" i="3"/>
  <c r="C1276" i="3" s="1"/>
  <c r="B618" i="3"/>
  <c r="B1276" i="3" s="1"/>
  <c r="A618" i="3"/>
  <c r="A1276" i="3" s="1"/>
  <c r="DU617" i="3"/>
  <c r="DT617" i="3"/>
  <c r="DS617" i="3"/>
  <c r="DR617" i="3"/>
  <c r="DQ617" i="3"/>
  <c r="DP617" i="3"/>
  <c r="DO617" i="3"/>
  <c r="DN617" i="3"/>
  <c r="DM617" i="3"/>
  <c r="DL617" i="3"/>
  <c r="DK617" i="3"/>
  <c r="DJ617" i="3"/>
  <c r="DI617" i="3"/>
  <c r="DH617" i="3"/>
  <c r="DG617" i="3"/>
  <c r="DF617" i="3"/>
  <c r="DE617" i="3"/>
  <c r="DD617" i="3"/>
  <c r="DC617" i="3"/>
  <c r="DB617" i="3"/>
  <c r="DA617" i="3"/>
  <c r="CZ617" i="3"/>
  <c r="CY617" i="3"/>
  <c r="CX617" i="3"/>
  <c r="CW617" i="3"/>
  <c r="CV617" i="3"/>
  <c r="CU617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C617" i="3"/>
  <c r="CB617" i="3"/>
  <c r="CA617" i="3"/>
  <c r="BZ617" i="3"/>
  <c r="BY617" i="3"/>
  <c r="BX617" i="3"/>
  <c r="BW617" i="3"/>
  <c r="BV617" i="3"/>
  <c r="BU617" i="3"/>
  <c r="BT617" i="3"/>
  <c r="BS617" i="3"/>
  <c r="BR617" i="3"/>
  <c r="BQ617" i="3"/>
  <c r="BP617" i="3"/>
  <c r="BO617" i="3"/>
  <c r="BN617" i="3"/>
  <c r="E617" i="3"/>
  <c r="E1275" i="3" s="1"/>
  <c r="D617" i="3"/>
  <c r="D1275" i="3" s="1"/>
  <c r="C617" i="3"/>
  <c r="C1275" i="3" s="1"/>
  <c r="B617" i="3"/>
  <c r="B1275" i="3" s="1"/>
  <c r="A617" i="3"/>
  <c r="A1275" i="3" s="1"/>
  <c r="DU616" i="3"/>
  <c r="DT616" i="3"/>
  <c r="DS616" i="3"/>
  <c r="DR616" i="3"/>
  <c r="DQ616" i="3"/>
  <c r="DP616" i="3"/>
  <c r="DO616" i="3"/>
  <c r="DN616" i="3"/>
  <c r="DM616" i="3"/>
  <c r="DL616" i="3"/>
  <c r="DK616" i="3"/>
  <c r="DJ616" i="3"/>
  <c r="DI616" i="3"/>
  <c r="DH616" i="3"/>
  <c r="DG616" i="3"/>
  <c r="DF616" i="3"/>
  <c r="DE616" i="3"/>
  <c r="DD616" i="3"/>
  <c r="DC616" i="3"/>
  <c r="DB616" i="3"/>
  <c r="DA616" i="3"/>
  <c r="CZ616" i="3"/>
  <c r="CY616" i="3"/>
  <c r="CX616" i="3"/>
  <c r="CW616" i="3"/>
  <c r="CV616" i="3"/>
  <c r="CU616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C616" i="3"/>
  <c r="CB616" i="3"/>
  <c r="CA616" i="3"/>
  <c r="BZ616" i="3"/>
  <c r="BY616" i="3"/>
  <c r="BX616" i="3"/>
  <c r="BW616" i="3"/>
  <c r="BV616" i="3"/>
  <c r="BU616" i="3"/>
  <c r="BT616" i="3"/>
  <c r="BS616" i="3"/>
  <c r="BR616" i="3"/>
  <c r="BQ616" i="3"/>
  <c r="BP616" i="3"/>
  <c r="BO616" i="3"/>
  <c r="BN616" i="3"/>
  <c r="E616" i="3"/>
  <c r="E1274" i="3" s="1"/>
  <c r="D616" i="3"/>
  <c r="D1274" i="3" s="1"/>
  <c r="C616" i="3"/>
  <c r="C1274" i="3" s="1"/>
  <c r="B616" i="3"/>
  <c r="B1274" i="3" s="1"/>
  <c r="A616" i="3"/>
  <c r="A1274" i="3" s="1"/>
  <c r="DU615" i="3"/>
  <c r="DT615" i="3"/>
  <c r="DS615" i="3"/>
  <c r="DR615" i="3"/>
  <c r="DQ615" i="3"/>
  <c r="DP615" i="3"/>
  <c r="DO615" i="3"/>
  <c r="DN615" i="3"/>
  <c r="DM615" i="3"/>
  <c r="DL615" i="3"/>
  <c r="DK615" i="3"/>
  <c r="DJ615" i="3"/>
  <c r="DI615" i="3"/>
  <c r="DH615" i="3"/>
  <c r="DG615" i="3"/>
  <c r="DF615" i="3"/>
  <c r="DE615" i="3"/>
  <c r="DD615" i="3"/>
  <c r="DC615" i="3"/>
  <c r="DB615" i="3"/>
  <c r="DA615" i="3"/>
  <c r="CZ615" i="3"/>
  <c r="CY615" i="3"/>
  <c r="CX615" i="3"/>
  <c r="CW615" i="3"/>
  <c r="CV615" i="3"/>
  <c r="CU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C615" i="3"/>
  <c r="CB615" i="3"/>
  <c r="CA615" i="3"/>
  <c r="BZ615" i="3"/>
  <c r="BY615" i="3"/>
  <c r="BX615" i="3"/>
  <c r="BW615" i="3"/>
  <c r="BV615" i="3"/>
  <c r="BU615" i="3"/>
  <c r="BT615" i="3"/>
  <c r="BS615" i="3"/>
  <c r="BR615" i="3"/>
  <c r="BQ615" i="3"/>
  <c r="BP615" i="3"/>
  <c r="BO615" i="3"/>
  <c r="BN615" i="3"/>
  <c r="E615" i="3"/>
  <c r="E1273" i="3" s="1"/>
  <c r="D615" i="3"/>
  <c r="D1273" i="3" s="1"/>
  <c r="C615" i="3"/>
  <c r="C1273" i="3" s="1"/>
  <c r="B615" i="3"/>
  <c r="B1273" i="3" s="1"/>
  <c r="A615" i="3"/>
  <c r="A1273" i="3" s="1"/>
  <c r="DU614" i="3"/>
  <c r="DT614" i="3"/>
  <c r="DS614" i="3"/>
  <c r="DR614" i="3"/>
  <c r="DQ614" i="3"/>
  <c r="DP614" i="3"/>
  <c r="DO614" i="3"/>
  <c r="DN614" i="3"/>
  <c r="DM614" i="3"/>
  <c r="DL614" i="3"/>
  <c r="DK614" i="3"/>
  <c r="DJ614" i="3"/>
  <c r="DI614" i="3"/>
  <c r="DH614" i="3"/>
  <c r="DG614" i="3"/>
  <c r="DF614" i="3"/>
  <c r="DE614" i="3"/>
  <c r="DD614" i="3"/>
  <c r="DC614" i="3"/>
  <c r="DB614" i="3"/>
  <c r="DA614" i="3"/>
  <c r="CZ614" i="3"/>
  <c r="CY614" i="3"/>
  <c r="CX614" i="3"/>
  <c r="CW614" i="3"/>
  <c r="CV614" i="3"/>
  <c r="CU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C614" i="3"/>
  <c r="CB614" i="3"/>
  <c r="CA614" i="3"/>
  <c r="BZ614" i="3"/>
  <c r="BY614" i="3"/>
  <c r="BX614" i="3"/>
  <c r="BW614" i="3"/>
  <c r="BV614" i="3"/>
  <c r="BU614" i="3"/>
  <c r="BT614" i="3"/>
  <c r="BS614" i="3"/>
  <c r="BR614" i="3"/>
  <c r="BQ614" i="3"/>
  <c r="BP614" i="3"/>
  <c r="BO614" i="3"/>
  <c r="BN614" i="3"/>
  <c r="E614" i="3"/>
  <c r="E1272" i="3" s="1"/>
  <c r="D614" i="3"/>
  <c r="D1272" i="3" s="1"/>
  <c r="C614" i="3"/>
  <c r="C1272" i="3" s="1"/>
  <c r="B614" i="3"/>
  <c r="B1272" i="3" s="1"/>
  <c r="A614" i="3"/>
  <c r="A1272" i="3" s="1"/>
  <c r="DU613" i="3"/>
  <c r="DT613" i="3"/>
  <c r="DS613" i="3"/>
  <c r="DR613" i="3"/>
  <c r="DQ613" i="3"/>
  <c r="DP613" i="3"/>
  <c r="DO613" i="3"/>
  <c r="DN613" i="3"/>
  <c r="DM613" i="3"/>
  <c r="DL613" i="3"/>
  <c r="DK613" i="3"/>
  <c r="DJ613" i="3"/>
  <c r="DI613" i="3"/>
  <c r="DH613" i="3"/>
  <c r="DG613" i="3"/>
  <c r="DF613" i="3"/>
  <c r="DE613" i="3"/>
  <c r="DD613" i="3"/>
  <c r="DC613" i="3"/>
  <c r="DB613" i="3"/>
  <c r="DA613" i="3"/>
  <c r="CZ613" i="3"/>
  <c r="CY613" i="3"/>
  <c r="CX613" i="3"/>
  <c r="CW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C613" i="3"/>
  <c r="CB613" i="3"/>
  <c r="CA613" i="3"/>
  <c r="BZ613" i="3"/>
  <c r="BY613" i="3"/>
  <c r="BX613" i="3"/>
  <c r="BW613" i="3"/>
  <c r="BV613" i="3"/>
  <c r="BU613" i="3"/>
  <c r="BT613" i="3"/>
  <c r="BS613" i="3"/>
  <c r="BR613" i="3"/>
  <c r="BQ613" i="3"/>
  <c r="BP613" i="3"/>
  <c r="BO613" i="3"/>
  <c r="BN613" i="3"/>
  <c r="E613" i="3"/>
  <c r="E1271" i="3" s="1"/>
  <c r="D613" i="3"/>
  <c r="D1271" i="3" s="1"/>
  <c r="C613" i="3"/>
  <c r="C1271" i="3" s="1"/>
  <c r="B613" i="3"/>
  <c r="B1271" i="3" s="1"/>
  <c r="A613" i="3"/>
  <c r="A1271" i="3" s="1"/>
  <c r="DU612" i="3"/>
  <c r="DT612" i="3"/>
  <c r="DS612" i="3"/>
  <c r="DR612" i="3"/>
  <c r="DQ612" i="3"/>
  <c r="DP612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C612" i="3"/>
  <c r="CB612" i="3"/>
  <c r="CA612" i="3"/>
  <c r="BZ612" i="3"/>
  <c r="BY612" i="3"/>
  <c r="BX612" i="3"/>
  <c r="BW612" i="3"/>
  <c r="BV612" i="3"/>
  <c r="BU612" i="3"/>
  <c r="BT612" i="3"/>
  <c r="BS612" i="3"/>
  <c r="BR612" i="3"/>
  <c r="BQ612" i="3"/>
  <c r="BP612" i="3"/>
  <c r="BO612" i="3"/>
  <c r="BN612" i="3"/>
  <c r="E612" i="3"/>
  <c r="E1270" i="3" s="1"/>
  <c r="D612" i="3"/>
  <c r="D1270" i="3" s="1"/>
  <c r="C612" i="3"/>
  <c r="C1270" i="3" s="1"/>
  <c r="B612" i="3"/>
  <c r="B1270" i="3" s="1"/>
  <c r="A612" i="3"/>
  <c r="A1270" i="3" s="1"/>
  <c r="DU611" i="3"/>
  <c r="DT611" i="3"/>
  <c r="DS611" i="3"/>
  <c r="DR611" i="3"/>
  <c r="DQ611" i="3"/>
  <c r="DP611" i="3"/>
  <c r="DO611" i="3"/>
  <c r="DN611" i="3"/>
  <c r="DM611" i="3"/>
  <c r="DL611" i="3"/>
  <c r="DK611" i="3"/>
  <c r="DJ611" i="3"/>
  <c r="DI611" i="3"/>
  <c r="DH611" i="3"/>
  <c r="DG611" i="3"/>
  <c r="DF611" i="3"/>
  <c r="DE611" i="3"/>
  <c r="DD611" i="3"/>
  <c r="DC611" i="3"/>
  <c r="DB611" i="3"/>
  <c r="DA611" i="3"/>
  <c r="CZ611" i="3"/>
  <c r="CY611" i="3"/>
  <c r="CX611" i="3"/>
  <c r="CW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C611" i="3"/>
  <c r="CB611" i="3"/>
  <c r="CA611" i="3"/>
  <c r="BZ611" i="3"/>
  <c r="BY611" i="3"/>
  <c r="BX611" i="3"/>
  <c r="BW611" i="3"/>
  <c r="BV611" i="3"/>
  <c r="BU611" i="3"/>
  <c r="BT611" i="3"/>
  <c r="BS611" i="3"/>
  <c r="BR611" i="3"/>
  <c r="BQ611" i="3"/>
  <c r="BP611" i="3"/>
  <c r="BO611" i="3"/>
  <c r="BN611" i="3"/>
  <c r="E611" i="3"/>
  <c r="E1269" i="3" s="1"/>
  <c r="D611" i="3"/>
  <c r="D1269" i="3" s="1"/>
  <c r="C611" i="3"/>
  <c r="C1269" i="3" s="1"/>
  <c r="B611" i="3"/>
  <c r="B1269" i="3" s="1"/>
  <c r="A611" i="3"/>
  <c r="A1269" i="3" s="1"/>
  <c r="DU610" i="3"/>
  <c r="DT610" i="3"/>
  <c r="DS610" i="3"/>
  <c r="DR610" i="3"/>
  <c r="DQ610" i="3"/>
  <c r="DP610" i="3"/>
  <c r="DO610" i="3"/>
  <c r="DN610" i="3"/>
  <c r="DM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C610" i="3"/>
  <c r="CB610" i="3"/>
  <c r="CA610" i="3"/>
  <c r="BZ610" i="3"/>
  <c r="BY610" i="3"/>
  <c r="BX610" i="3"/>
  <c r="BW610" i="3"/>
  <c r="BV610" i="3"/>
  <c r="BU610" i="3"/>
  <c r="BT610" i="3"/>
  <c r="BS610" i="3"/>
  <c r="BR610" i="3"/>
  <c r="BQ610" i="3"/>
  <c r="BP610" i="3"/>
  <c r="BO610" i="3"/>
  <c r="BN610" i="3"/>
  <c r="E610" i="3"/>
  <c r="E1268" i="3" s="1"/>
  <c r="D610" i="3"/>
  <c r="D1268" i="3" s="1"/>
  <c r="C610" i="3"/>
  <c r="C1268" i="3" s="1"/>
  <c r="B610" i="3"/>
  <c r="B1268" i="3" s="1"/>
  <c r="A610" i="3"/>
  <c r="A1268" i="3" s="1"/>
  <c r="DU609" i="3"/>
  <c r="DT609" i="3"/>
  <c r="DS609" i="3"/>
  <c r="DR609" i="3"/>
  <c r="DQ609" i="3"/>
  <c r="DP609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BY609" i="3"/>
  <c r="BX609" i="3"/>
  <c r="BW609" i="3"/>
  <c r="BV609" i="3"/>
  <c r="BU609" i="3"/>
  <c r="BT609" i="3"/>
  <c r="BS609" i="3"/>
  <c r="BR609" i="3"/>
  <c r="BQ609" i="3"/>
  <c r="BP609" i="3"/>
  <c r="BO609" i="3"/>
  <c r="BN609" i="3"/>
  <c r="E609" i="3"/>
  <c r="E1267" i="3" s="1"/>
  <c r="D609" i="3"/>
  <c r="D1267" i="3" s="1"/>
  <c r="C609" i="3"/>
  <c r="C1267" i="3" s="1"/>
  <c r="B609" i="3"/>
  <c r="B1267" i="3" s="1"/>
  <c r="A609" i="3"/>
  <c r="A1267" i="3" s="1"/>
  <c r="DU608" i="3"/>
  <c r="DT608" i="3"/>
  <c r="DS608" i="3"/>
  <c r="DR608" i="3"/>
  <c r="DQ608" i="3"/>
  <c r="DP608" i="3"/>
  <c r="DO608" i="3"/>
  <c r="DN608" i="3"/>
  <c r="DM608" i="3"/>
  <c r="DL608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C608" i="3"/>
  <c r="CB608" i="3"/>
  <c r="CA608" i="3"/>
  <c r="BZ608" i="3"/>
  <c r="BY608" i="3"/>
  <c r="BX608" i="3"/>
  <c r="BW608" i="3"/>
  <c r="BV608" i="3"/>
  <c r="BU608" i="3"/>
  <c r="BT608" i="3"/>
  <c r="BS608" i="3"/>
  <c r="BR608" i="3"/>
  <c r="BQ608" i="3"/>
  <c r="BP608" i="3"/>
  <c r="BO608" i="3"/>
  <c r="BN608" i="3"/>
  <c r="E608" i="3"/>
  <c r="E1266" i="3" s="1"/>
  <c r="D608" i="3"/>
  <c r="D1266" i="3" s="1"/>
  <c r="C608" i="3"/>
  <c r="C1266" i="3" s="1"/>
  <c r="B608" i="3"/>
  <c r="B1266" i="3" s="1"/>
  <c r="A608" i="3"/>
  <c r="A1266" i="3" s="1"/>
  <c r="DU607" i="3"/>
  <c r="DT607" i="3"/>
  <c r="DS607" i="3"/>
  <c r="DR607" i="3"/>
  <c r="DQ607" i="3"/>
  <c r="DP607" i="3"/>
  <c r="DO607" i="3"/>
  <c r="DN607" i="3"/>
  <c r="DM607" i="3"/>
  <c r="DL607" i="3"/>
  <c r="DK607" i="3"/>
  <c r="DJ607" i="3"/>
  <c r="DI607" i="3"/>
  <c r="DH607" i="3"/>
  <c r="DG607" i="3"/>
  <c r="DF607" i="3"/>
  <c r="DE607" i="3"/>
  <c r="DD607" i="3"/>
  <c r="DC607" i="3"/>
  <c r="DB607" i="3"/>
  <c r="DA607" i="3"/>
  <c r="CZ607" i="3"/>
  <c r="CY607" i="3"/>
  <c r="CX607" i="3"/>
  <c r="CW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C607" i="3"/>
  <c r="CB607" i="3"/>
  <c r="CA607" i="3"/>
  <c r="BZ607" i="3"/>
  <c r="BY607" i="3"/>
  <c r="BX607" i="3"/>
  <c r="BW607" i="3"/>
  <c r="BV607" i="3"/>
  <c r="BU607" i="3"/>
  <c r="BT607" i="3"/>
  <c r="BS607" i="3"/>
  <c r="BR607" i="3"/>
  <c r="BQ607" i="3"/>
  <c r="BP607" i="3"/>
  <c r="BO607" i="3"/>
  <c r="BN607" i="3"/>
  <c r="E607" i="3"/>
  <c r="E1265" i="3" s="1"/>
  <c r="D607" i="3"/>
  <c r="D1265" i="3" s="1"/>
  <c r="C607" i="3"/>
  <c r="C1265" i="3" s="1"/>
  <c r="B607" i="3"/>
  <c r="B1265" i="3" s="1"/>
  <c r="A607" i="3"/>
  <c r="A1265" i="3" s="1"/>
  <c r="DU606" i="3"/>
  <c r="DT606" i="3"/>
  <c r="DS606" i="3"/>
  <c r="DR606" i="3"/>
  <c r="DQ606" i="3"/>
  <c r="DP606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C606" i="3"/>
  <c r="CB606" i="3"/>
  <c r="CA606" i="3"/>
  <c r="BZ606" i="3"/>
  <c r="BY606" i="3"/>
  <c r="BX606" i="3"/>
  <c r="BW606" i="3"/>
  <c r="BV606" i="3"/>
  <c r="BU606" i="3"/>
  <c r="BT606" i="3"/>
  <c r="BS606" i="3"/>
  <c r="BR606" i="3"/>
  <c r="BQ606" i="3"/>
  <c r="BP606" i="3"/>
  <c r="BO606" i="3"/>
  <c r="BN606" i="3"/>
  <c r="E606" i="3"/>
  <c r="E1264" i="3" s="1"/>
  <c r="D606" i="3"/>
  <c r="D1264" i="3" s="1"/>
  <c r="C606" i="3"/>
  <c r="C1264" i="3" s="1"/>
  <c r="B606" i="3"/>
  <c r="B1264" i="3" s="1"/>
  <c r="A606" i="3"/>
  <c r="A1264" i="3" s="1"/>
  <c r="DU605" i="3"/>
  <c r="DT605" i="3"/>
  <c r="DS605" i="3"/>
  <c r="DR605" i="3"/>
  <c r="DQ605" i="3"/>
  <c r="DP605" i="3"/>
  <c r="DO605" i="3"/>
  <c r="DN605" i="3"/>
  <c r="DM605" i="3"/>
  <c r="DL605" i="3"/>
  <c r="DK605" i="3"/>
  <c r="DJ605" i="3"/>
  <c r="DI605" i="3"/>
  <c r="DH605" i="3"/>
  <c r="DG605" i="3"/>
  <c r="DF605" i="3"/>
  <c r="DE605" i="3"/>
  <c r="DD605" i="3"/>
  <c r="DC605" i="3"/>
  <c r="DB605" i="3"/>
  <c r="DA605" i="3"/>
  <c r="CZ605" i="3"/>
  <c r="CY605" i="3"/>
  <c r="CX605" i="3"/>
  <c r="CW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CC605" i="3"/>
  <c r="CB605" i="3"/>
  <c r="CA605" i="3"/>
  <c r="BZ605" i="3"/>
  <c r="BY605" i="3"/>
  <c r="BX605" i="3"/>
  <c r="BW605" i="3"/>
  <c r="BV605" i="3"/>
  <c r="BU605" i="3"/>
  <c r="BT605" i="3"/>
  <c r="BS605" i="3"/>
  <c r="BR605" i="3"/>
  <c r="BQ605" i="3"/>
  <c r="BP605" i="3"/>
  <c r="BO605" i="3"/>
  <c r="BN605" i="3"/>
  <c r="E605" i="3"/>
  <c r="E1263" i="3" s="1"/>
  <c r="D605" i="3"/>
  <c r="D1263" i="3" s="1"/>
  <c r="C605" i="3"/>
  <c r="C1263" i="3" s="1"/>
  <c r="B605" i="3"/>
  <c r="B1263" i="3" s="1"/>
  <c r="A605" i="3"/>
  <c r="A1263" i="3" s="1"/>
  <c r="DU604" i="3"/>
  <c r="DT604" i="3"/>
  <c r="DS604" i="3"/>
  <c r="DR604" i="3"/>
  <c r="DQ604" i="3"/>
  <c r="DP604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C604" i="3"/>
  <c r="CB604" i="3"/>
  <c r="CA604" i="3"/>
  <c r="BZ604" i="3"/>
  <c r="BY604" i="3"/>
  <c r="BX604" i="3"/>
  <c r="BW604" i="3"/>
  <c r="BV604" i="3"/>
  <c r="BU604" i="3"/>
  <c r="BT604" i="3"/>
  <c r="BS604" i="3"/>
  <c r="BR604" i="3"/>
  <c r="BQ604" i="3"/>
  <c r="BP604" i="3"/>
  <c r="BO604" i="3"/>
  <c r="BN604" i="3"/>
  <c r="E604" i="3"/>
  <c r="E1262" i="3" s="1"/>
  <c r="D604" i="3"/>
  <c r="D1262" i="3" s="1"/>
  <c r="C604" i="3"/>
  <c r="C1262" i="3" s="1"/>
  <c r="B604" i="3"/>
  <c r="B1262" i="3" s="1"/>
  <c r="A604" i="3"/>
  <c r="A1262" i="3" s="1"/>
  <c r="DU603" i="3"/>
  <c r="DT603" i="3"/>
  <c r="DS603" i="3"/>
  <c r="DR603" i="3"/>
  <c r="DQ603" i="3"/>
  <c r="DP603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BY603" i="3"/>
  <c r="BX603" i="3"/>
  <c r="BW603" i="3"/>
  <c r="BV603" i="3"/>
  <c r="BU603" i="3"/>
  <c r="BT603" i="3"/>
  <c r="BS603" i="3"/>
  <c r="BR603" i="3"/>
  <c r="BQ603" i="3"/>
  <c r="BP603" i="3"/>
  <c r="BO603" i="3"/>
  <c r="BN603" i="3"/>
  <c r="E603" i="3"/>
  <c r="E1261" i="3" s="1"/>
  <c r="D603" i="3"/>
  <c r="D1261" i="3" s="1"/>
  <c r="C603" i="3"/>
  <c r="C1261" i="3" s="1"/>
  <c r="B603" i="3"/>
  <c r="B1261" i="3" s="1"/>
  <c r="A603" i="3"/>
  <c r="A1261" i="3" s="1"/>
  <c r="DU602" i="3"/>
  <c r="DT602" i="3"/>
  <c r="DS602" i="3"/>
  <c r="DR602" i="3"/>
  <c r="DQ602" i="3"/>
  <c r="DP602" i="3"/>
  <c r="DO602" i="3"/>
  <c r="DN602" i="3"/>
  <c r="DM602" i="3"/>
  <c r="DL602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C602" i="3"/>
  <c r="CB602" i="3"/>
  <c r="CA602" i="3"/>
  <c r="BZ602" i="3"/>
  <c r="BY602" i="3"/>
  <c r="BX602" i="3"/>
  <c r="BW602" i="3"/>
  <c r="BV602" i="3"/>
  <c r="BU602" i="3"/>
  <c r="BT602" i="3"/>
  <c r="BS602" i="3"/>
  <c r="BR602" i="3"/>
  <c r="BQ602" i="3"/>
  <c r="BP602" i="3"/>
  <c r="BO602" i="3"/>
  <c r="BN602" i="3"/>
  <c r="E602" i="3"/>
  <c r="E1260" i="3" s="1"/>
  <c r="D602" i="3"/>
  <c r="D1260" i="3" s="1"/>
  <c r="C602" i="3"/>
  <c r="C1260" i="3" s="1"/>
  <c r="B602" i="3"/>
  <c r="B1260" i="3" s="1"/>
  <c r="A602" i="3"/>
  <c r="A1260" i="3" s="1"/>
  <c r="DU601" i="3"/>
  <c r="DT601" i="3"/>
  <c r="DS601" i="3"/>
  <c r="DR601" i="3"/>
  <c r="DQ601" i="3"/>
  <c r="DP601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C601" i="3"/>
  <c r="CB601" i="3"/>
  <c r="CA601" i="3"/>
  <c r="BZ601" i="3"/>
  <c r="BY601" i="3"/>
  <c r="BX601" i="3"/>
  <c r="BW601" i="3"/>
  <c r="BV601" i="3"/>
  <c r="BU601" i="3"/>
  <c r="BT601" i="3"/>
  <c r="BS601" i="3"/>
  <c r="BR601" i="3"/>
  <c r="BQ601" i="3"/>
  <c r="BP601" i="3"/>
  <c r="BO601" i="3"/>
  <c r="BN601" i="3"/>
  <c r="E601" i="3"/>
  <c r="E1259" i="3" s="1"/>
  <c r="D601" i="3"/>
  <c r="D1259" i="3" s="1"/>
  <c r="C601" i="3"/>
  <c r="C1259" i="3" s="1"/>
  <c r="B601" i="3"/>
  <c r="B1259" i="3" s="1"/>
  <c r="A601" i="3"/>
  <c r="A1259" i="3" s="1"/>
  <c r="DU600" i="3"/>
  <c r="DT600" i="3"/>
  <c r="DS600" i="3"/>
  <c r="DR600" i="3"/>
  <c r="DQ600" i="3"/>
  <c r="DP600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C600" i="3"/>
  <c r="CB600" i="3"/>
  <c r="CA600" i="3"/>
  <c r="BZ600" i="3"/>
  <c r="BY600" i="3"/>
  <c r="BX600" i="3"/>
  <c r="BW600" i="3"/>
  <c r="BV600" i="3"/>
  <c r="BU600" i="3"/>
  <c r="BT600" i="3"/>
  <c r="BS600" i="3"/>
  <c r="BR600" i="3"/>
  <c r="BQ600" i="3"/>
  <c r="BP600" i="3"/>
  <c r="BO600" i="3"/>
  <c r="BN600" i="3"/>
  <c r="E600" i="3"/>
  <c r="E1258" i="3" s="1"/>
  <c r="D600" i="3"/>
  <c r="D1258" i="3" s="1"/>
  <c r="C600" i="3"/>
  <c r="C1258" i="3" s="1"/>
  <c r="B600" i="3"/>
  <c r="B1258" i="3" s="1"/>
  <c r="A600" i="3"/>
  <c r="A1258" i="3" s="1"/>
  <c r="DU599" i="3"/>
  <c r="DT599" i="3"/>
  <c r="DS599" i="3"/>
  <c r="DR599" i="3"/>
  <c r="DQ599" i="3"/>
  <c r="DP599" i="3"/>
  <c r="DO599" i="3"/>
  <c r="DN599" i="3"/>
  <c r="DM599" i="3"/>
  <c r="DL599" i="3"/>
  <c r="DK599" i="3"/>
  <c r="DJ599" i="3"/>
  <c r="DI599" i="3"/>
  <c r="DH599" i="3"/>
  <c r="DG599" i="3"/>
  <c r="DF599" i="3"/>
  <c r="DE599" i="3"/>
  <c r="DD599" i="3"/>
  <c r="DC599" i="3"/>
  <c r="DB599" i="3"/>
  <c r="DA599" i="3"/>
  <c r="CZ599" i="3"/>
  <c r="CY599" i="3"/>
  <c r="CX599" i="3"/>
  <c r="CW599" i="3"/>
  <c r="CV599" i="3"/>
  <c r="CU599" i="3"/>
  <c r="CT599" i="3"/>
  <c r="CS599" i="3"/>
  <c r="CR599" i="3"/>
  <c r="CQ599" i="3"/>
  <c r="CP599" i="3"/>
  <c r="CO599" i="3"/>
  <c r="CN599" i="3"/>
  <c r="CM599" i="3"/>
  <c r="CL599" i="3"/>
  <c r="CK599" i="3"/>
  <c r="CJ599" i="3"/>
  <c r="CI599" i="3"/>
  <c r="CH599" i="3"/>
  <c r="CG599" i="3"/>
  <c r="CF599" i="3"/>
  <c r="CE599" i="3"/>
  <c r="CD599" i="3"/>
  <c r="CC599" i="3"/>
  <c r="CB599" i="3"/>
  <c r="CA599" i="3"/>
  <c r="BZ599" i="3"/>
  <c r="BY599" i="3"/>
  <c r="BX599" i="3"/>
  <c r="BW599" i="3"/>
  <c r="BV599" i="3"/>
  <c r="BU599" i="3"/>
  <c r="BT599" i="3"/>
  <c r="BS599" i="3"/>
  <c r="BR599" i="3"/>
  <c r="BQ599" i="3"/>
  <c r="BP599" i="3"/>
  <c r="BO599" i="3"/>
  <c r="BN599" i="3"/>
  <c r="E599" i="3"/>
  <c r="E1257" i="3" s="1"/>
  <c r="D599" i="3"/>
  <c r="D1257" i="3" s="1"/>
  <c r="C599" i="3"/>
  <c r="C1257" i="3" s="1"/>
  <c r="B599" i="3"/>
  <c r="B1257" i="3" s="1"/>
  <c r="A599" i="3"/>
  <c r="A1257" i="3" s="1"/>
  <c r="DU598" i="3"/>
  <c r="DT598" i="3"/>
  <c r="DS598" i="3"/>
  <c r="DR598" i="3"/>
  <c r="DQ598" i="3"/>
  <c r="DP598" i="3"/>
  <c r="DO598" i="3"/>
  <c r="DN598" i="3"/>
  <c r="DM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CY598" i="3"/>
  <c r="CX598" i="3"/>
  <c r="CW598" i="3"/>
  <c r="CV598" i="3"/>
  <c r="CU59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BY598" i="3"/>
  <c r="BX598" i="3"/>
  <c r="BW598" i="3"/>
  <c r="BV598" i="3"/>
  <c r="BU598" i="3"/>
  <c r="BT598" i="3"/>
  <c r="BS598" i="3"/>
  <c r="BR598" i="3"/>
  <c r="BQ598" i="3"/>
  <c r="BP598" i="3"/>
  <c r="BO598" i="3"/>
  <c r="BN598" i="3"/>
  <c r="E598" i="3"/>
  <c r="E1256" i="3" s="1"/>
  <c r="D598" i="3"/>
  <c r="D1256" i="3" s="1"/>
  <c r="C598" i="3"/>
  <c r="C1256" i="3" s="1"/>
  <c r="B598" i="3"/>
  <c r="B1256" i="3" s="1"/>
  <c r="A598" i="3"/>
  <c r="A1256" i="3" s="1"/>
  <c r="DU597" i="3"/>
  <c r="DT597" i="3"/>
  <c r="DS597" i="3"/>
  <c r="DR597" i="3"/>
  <c r="DQ597" i="3"/>
  <c r="DP597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BY597" i="3"/>
  <c r="BX597" i="3"/>
  <c r="BW597" i="3"/>
  <c r="BV597" i="3"/>
  <c r="BU597" i="3"/>
  <c r="BT597" i="3"/>
  <c r="BS597" i="3"/>
  <c r="BR597" i="3"/>
  <c r="BQ597" i="3"/>
  <c r="BP597" i="3"/>
  <c r="BO597" i="3"/>
  <c r="BN597" i="3"/>
  <c r="E597" i="3"/>
  <c r="E1255" i="3" s="1"/>
  <c r="D597" i="3"/>
  <c r="D1255" i="3" s="1"/>
  <c r="C597" i="3"/>
  <c r="C1255" i="3" s="1"/>
  <c r="B597" i="3"/>
  <c r="B1255" i="3" s="1"/>
  <c r="A597" i="3"/>
  <c r="A1255" i="3" s="1"/>
  <c r="DU596" i="3"/>
  <c r="DT596" i="3"/>
  <c r="DS596" i="3"/>
  <c r="DR596" i="3"/>
  <c r="DQ596" i="3"/>
  <c r="DP596" i="3"/>
  <c r="DO596" i="3"/>
  <c r="DN596" i="3"/>
  <c r="DM596" i="3"/>
  <c r="DL596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C596" i="3"/>
  <c r="CB596" i="3"/>
  <c r="CA596" i="3"/>
  <c r="BZ596" i="3"/>
  <c r="BY596" i="3"/>
  <c r="BX596" i="3"/>
  <c r="BW596" i="3"/>
  <c r="BV596" i="3"/>
  <c r="BU596" i="3"/>
  <c r="BT596" i="3"/>
  <c r="BS596" i="3"/>
  <c r="BR596" i="3"/>
  <c r="BQ596" i="3"/>
  <c r="BP596" i="3"/>
  <c r="BO596" i="3"/>
  <c r="BN596" i="3"/>
  <c r="E596" i="3"/>
  <c r="E1254" i="3" s="1"/>
  <c r="D596" i="3"/>
  <c r="D1254" i="3" s="1"/>
  <c r="C596" i="3"/>
  <c r="C1254" i="3" s="1"/>
  <c r="B596" i="3"/>
  <c r="B1254" i="3" s="1"/>
  <c r="A596" i="3"/>
  <c r="A1254" i="3" s="1"/>
  <c r="DU595" i="3"/>
  <c r="DT595" i="3"/>
  <c r="DS595" i="3"/>
  <c r="DR595" i="3"/>
  <c r="DQ595" i="3"/>
  <c r="DP595" i="3"/>
  <c r="DO595" i="3"/>
  <c r="DN595" i="3"/>
  <c r="DM595" i="3"/>
  <c r="DL595" i="3"/>
  <c r="DK595" i="3"/>
  <c r="DJ595" i="3"/>
  <c r="DI595" i="3"/>
  <c r="DH595" i="3"/>
  <c r="DG595" i="3"/>
  <c r="DF595" i="3"/>
  <c r="DE595" i="3"/>
  <c r="DD595" i="3"/>
  <c r="DC595" i="3"/>
  <c r="DB595" i="3"/>
  <c r="DA595" i="3"/>
  <c r="CZ595" i="3"/>
  <c r="CY595" i="3"/>
  <c r="CX595" i="3"/>
  <c r="CW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CC595" i="3"/>
  <c r="CB595" i="3"/>
  <c r="CA595" i="3"/>
  <c r="BZ595" i="3"/>
  <c r="BY595" i="3"/>
  <c r="BX595" i="3"/>
  <c r="BW595" i="3"/>
  <c r="BV595" i="3"/>
  <c r="BU595" i="3"/>
  <c r="BT595" i="3"/>
  <c r="BS595" i="3"/>
  <c r="BR595" i="3"/>
  <c r="BQ595" i="3"/>
  <c r="BP595" i="3"/>
  <c r="BO595" i="3"/>
  <c r="BN595" i="3"/>
  <c r="E595" i="3"/>
  <c r="E1253" i="3" s="1"/>
  <c r="D595" i="3"/>
  <c r="D1253" i="3" s="1"/>
  <c r="C595" i="3"/>
  <c r="C1253" i="3" s="1"/>
  <c r="B595" i="3"/>
  <c r="B1253" i="3" s="1"/>
  <c r="A595" i="3"/>
  <c r="A1253" i="3" s="1"/>
  <c r="DU594" i="3"/>
  <c r="DT594" i="3"/>
  <c r="DS594" i="3"/>
  <c r="DR594" i="3"/>
  <c r="DQ594" i="3"/>
  <c r="DP594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C594" i="3"/>
  <c r="CB594" i="3"/>
  <c r="CA594" i="3"/>
  <c r="BZ594" i="3"/>
  <c r="BY594" i="3"/>
  <c r="BX594" i="3"/>
  <c r="BW594" i="3"/>
  <c r="BV594" i="3"/>
  <c r="BU594" i="3"/>
  <c r="BT594" i="3"/>
  <c r="BS594" i="3"/>
  <c r="BR594" i="3"/>
  <c r="BQ594" i="3"/>
  <c r="BP594" i="3"/>
  <c r="BO594" i="3"/>
  <c r="BN594" i="3"/>
  <c r="E594" i="3"/>
  <c r="E1252" i="3" s="1"/>
  <c r="D594" i="3"/>
  <c r="D1252" i="3" s="1"/>
  <c r="C594" i="3"/>
  <c r="C1252" i="3" s="1"/>
  <c r="B594" i="3"/>
  <c r="B1252" i="3" s="1"/>
  <c r="A594" i="3"/>
  <c r="A1252" i="3" s="1"/>
  <c r="DU593" i="3"/>
  <c r="DT593" i="3"/>
  <c r="DS593" i="3"/>
  <c r="DR593" i="3"/>
  <c r="DQ593" i="3"/>
  <c r="DP593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C593" i="3"/>
  <c r="CB593" i="3"/>
  <c r="CA593" i="3"/>
  <c r="BZ593" i="3"/>
  <c r="BY593" i="3"/>
  <c r="BX593" i="3"/>
  <c r="BW593" i="3"/>
  <c r="BV593" i="3"/>
  <c r="BU593" i="3"/>
  <c r="BT593" i="3"/>
  <c r="BS593" i="3"/>
  <c r="BR593" i="3"/>
  <c r="BQ593" i="3"/>
  <c r="BP593" i="3"/>
  <c r="BO593" i="3"/>
  <c r="BN593" i="3"/>
  <c r="E593" i="3"/>
  <c r="E1251" i="3" s="1"/>
  <c r="D593" i="3"/>
  <c r="D1251" i="3" s="1"/>
  <c r="C593" i="3"/>
  <c r="C1251" i="3" s="1"/>
  <c r="B593" i="3"/>
  <c r="B1251" i="3" s="1"/>
  <c r="A593" i="3"/>
  <c r="A1251" i="3" s="1"/>
  <c r="DU592" i="3"/>
  <c r="DT592" i="3"/>
  <c r="DS592" i="3"/>
  <c r="DR592" i="3"/>
  <c r="DQ592" i="3"/>
  <c r="DP592" i="3"/>
  <c r="DO592" i="3"/>
  <c r="DN592" i="3"/>
  <c r="DM592" i="3"/>
  <c r="DL592" i="3"/>
  <c r="DK592" i="3"/>
  <c r="DJ592" i="3"/>
  <c r="DI592" i="3"/>
  <c r="DH592" i="3"/>
  <c r="DG592" i="3"/>
  <c r="DF592" i="3"/>
  <c r="DE592" i="3"/>
  <c r="DD592" i="3"/>
  <c r="DC592" i="3"/>
  <c r="DB592" i="3"/>
  <c r="DA592" i="3"/>
  <c r="CZ592" i="3"/>
  <c r="CY592" i="3"/>
  <c r="CX592" i="3"/>
  <c r="CW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CC592" i="3"/>
  <c r="CB592" i="3"/>
  <c r="CA592" i="3"/>
  <c r="BZ592" i="3"/>
  <c r="BY592" i="3"/>
  <c r="BX592" i="3"/>
  <c r="BW592" i="3"/>
  <c r="BV592" i="3"/>
  <c r="BU592" i="3"/>
  <c r="BT592" i="3"/>
  <c r="BS592" i="3"/>
  <c r="BR592" i="3"/>
  <c r="BQ592" i="3"/>
  <c r="BP592" i="3"/>
  <c r="BO592" i="3"/>
  <c r="BN592" i="3"/>
  <c r="E592" i="3"/>
  <c r="E1250" i="3" s="1"/>
  <c r="D592" i="3"/>
  <c r="D1250" i="3" s="1"/>
  <c r="C592" i="3"/>
  <c r="C1250" i="3" s="1"/>
  <c r="B592" i="3"/>
  <c r="B1250" i="3" s="1"/>
  <c r="A592" i="3"/>
  <c r="A1250" i="3" s="1"/>
  <c r="DU591" i="3"/>
  <c r="DT591" i="3"/>
  <c r="DS591" i="3"/>
  <c r="DR591" i="3"/>
  <c r="DQ591" i="3"/>
  <c r="DP591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C591" i="3"/>
  <c r="CB591" i="3"/>
  <c r="CA591" i="3"/>
  <c r="BZ591" i="3"/>
  <c r="BY591" i="3"/>
  <c r="BX591" i="3"/>
  <c r="BW591" i="3"/>
  <c r="BV591" i="3"/>
  <c r="BU591" i="3"/>
  <c r="BT591" i="3"/>
  <c r="BS591" i="3"/>
  <c r="BR591" i="3"/>
  <c r="BQ591" i="3"/>
  <c r="BP591" i="3"/>
  <c r="BO591" i="3"/>
  <c r="BN591" i="3"/>
  <c r="E591" i="3"/>
  <c r="E1249" i="3" s="1"/>
  <c r="D591" i="3"/>
  <c r="D1249" i="3" s="1"/>
  <c r="C591" i="3"/>
  <c r="C1249" i="3" s="1"/>
  <c r="B591" i="3"/>
  <c r="B1249" i="3" s="1"/>
  <c r="A591" i="3"/>
  <c r="A1249" i="3" s="1"/>
  <c r="DU590" i="3"/>
  <c r="DT590" i="3"/>
  <c r="DS590" i="3"/>
  <c r="DR590" i="3"/>
  <c r="DQ590" i="3"/>
  <c r="DP590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BY590" i="3"/>
  <c r="BX590" i="3"/>
  <c r="BW590" i="3"/>
  <c r="BV590" i="3"/>
  <c r="BU590" i="3"/>
  <c r="BT590" i="3"/>
  <c r="BS590" i="3"/>
  <c r="BR590" i="3"/>
  <c r="BQ590" i="3"/>
  <c r="BP590" i="3"/>
  <c r="BO590" i="3"/>
  <c r="BN590" i="3"/>
  <c r="E590" i="3"/>
  <c r="E1248" i="3" s="1"/>
  <c r="D590" i="3"/>
  <c r="D1248" i="3" s="1"/>
  <c r="C590" i="3"/>
  <c r="C1248" i="3" s="1"/>
  <c r="B590" i="3"/>
  <c r="B1248" i="3" s="1"/>
  <c r="A590" i="3"/>
  <c r="A1248" i="3" s="1"/>
  <c r="DU589" i="3"/>
  <c r="DT589" i="3"/>
  <c r="DS589" i="3"/>
  <c r="DR589" i="3"/>
  <c r="DQ589" i="3"/>
  <c r="DP589" i="3"/>
  <c r="DO589" i="3"/>
  <c r="DN589" i="3"/>
  <c r="DM589" i="3"/>
  <c r="DL589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C589" i="3"/>
  <c r="CB589" i="3"/>
  <c r="CA589" i="3"/>
  <c r="BZ589" i="3"/>
  <c r="BY589" i="3"/>
  <c r="BX589" i="3"/>
  <c r="BW589" i="3"/>
  <c r="BV589" i="3"/>
  <c r="BU589" i="3"/>
  <c r="BT589" i="3"/>
  <c r="BS589" i="3"/>
  <c r="BR589" i="3"/>
  <c r="BQ589" i="3"/>
  <c r="BP589" i="3"/>
  <c r="BO589" i="3"/>
  <c r="BN589" i="3"/>
  <c r="E589" i="3"/>
  <c r="E1247" i="3" s="1"/>
  <c r="D589" i="3"/>
  <c r="D1247" i="3" s="1"/>
  <c r="C589" i="3"/>
  <c r="C1247" i="3" s="1"/>
  <c r="B589" i="3"/>
  <c r="B1247" i="3" s="1"/>
  <c r="A589" i="3"/>
  <c r="A1247" i="3" s="1"/>
  <c r="DU588" i="3"/>
  <c r="DT588" i="3"/>
  <c r="DS588" i="3"/>
  <c r="DR588" i="3"/>
  <c r="DQ588" i="3"/>
  <c r="DP588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C588" i="3"/>
  <c r="CB588" i="3"/>
  <c r="CA588" i="3"/>
  <c r="BZ588" i="3"/>
  <c r="BY588" i="3"/>
  <c r="BX588" i="3"/>
  <c r="BW588" i="3"/>
  <c r="BV588" i="3"/>
  <c r="BU588" i="3"/>
  <c r="BT588" i="3"/>
  <c r="BS588" i="3"/>
  <c r="BR588" i="3"/>
  <c r="BQ588" i="3"/>
  <c r="BP588" i="3"/>
  <c r="BO588" i="3"/>
  <c r="BN588" i="3"/>
  <c r="E588" i="3"/>
  <c r="E1246" i="3" s="1"/>
  <c r="D588" i="3"/>
  <c r="D1246" i="3" s="1"/>
  <c r="C588" i="3"/>
  <c r="C1246" i="3" s="1"/>
  <c r="B588" i="3"/>
  <c r="B1246" i="3" s="1"/>
  <c r="A588" i="3"/>
  <c r="A1246" i="3" s="1"/>
  <c r="DU587" i="3"/>
  <c r="DT587" i="3"/>
  <c r="DS587" i="3"/>
  <c r="DR587" i="3"/>
  <c r="DQ587" i="3"/>
  <c r="DP587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BZ587" i="3"/>
  <c r="BY587" i="3"/>
  <c r="BX587" i="3"/>
  <c r="BW587" i="3"/>
  <c r="BV587" i="3"/>
  <c r="BU587" i="3"/>
  <c r="BT587" i="3"/>
  <c r="BS587" i="3"/>
  <c r="BR587" i="3"/>
  <c r="BQ587" i="3"/>
  <c r="BP587" i="3"/>
  <c r="BO587" i="3"/>
  <c r="BN587" i="3"/>
  <c r="E587" i="3"/>
  <c r="E1245" i="3" s="1"/>
  <c r="D587" i="3"/>
  <c r="D1245" i="3" s="1"/>
  <c r="C587" i="3"/>
  <c r="C1245" i="3" s="1"/>
  <c r="B587" i="3"/>
  <c r="B1245" i="3" s="1"/>
  <c r="A587" i="3"/>
  <c r="A1245" i="3" s="1"/>
  <c r="DU586" i="3"/>
  <c r="DT586" i="3"/>
  <c r="DS586" i="3"/>
  <c r="DR586" i="3"/>
  <c r="DQ586" i="3"/>
  <c r="DP586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C586" i="3"/>
  <c r="CB586" i="3"/>
  <c r="CA586" i="3"/>
  <c r="BZ586" i="3"/>
  <c r="BY586" i="3"/>
  <c r="BX586" i="3"/>
  <c r="BW586" i="3"/>
  <c r="BV586" i="3"/>
  <c r="BU586" i="3"/>
  <c r="BT586" i="3"/>
  <c r="BS586" i="3"/>
  <c r="BR586" i="3"/>
  <c r="BQ586" i="3"/>
  <c r="BP586" i="3"/>
  <c r="BO586" i="3"/>
  <c r="BN586" i="3"/>
  <c r="E586" i="3"/>
  <c r="E1244" i="3" s="1"/>
  <c r="D586" i="3"/>
  <c r="D1244" i="3" s="1"/>
  <c r="C586" i="3"/>
  <c r="C1244" i="3" s="1"/>
  <c r="B586" i="3"/>
  <c r="B1244" i="3" s="1"/>
  <c r="A586" i="3"/>
  <c r="A1244" i="3" s="1"/>
  <c r="DU585" i="3"/>
  <c r="DT585" i="3"/>
  <c r="DS585" i="3"/>
  <c r="DR585" i="3"/>
  <c r="DQ585" i="3"/>
  <c r="DP585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CC585" i="3"/>
  <c r="CB585" i="3"/>
  <c r="CA585" i="3"/>
  <c r="BZ585" i="3"/>
  <c r="BY585" i="3"/>
  <c r="BX585" i="3"/>
  <c r="BW585" i="3"/>
  <c r="BV585" i="3"/>
  <c r="BU585" i="3"/>
  <c r="BT585" i="3"/>
  <c r="BS585" i="3"/>
  <c r="BR585" i="3"/>
  <c r="BQ585" i="3"/>
  <c r="BP585" i="3"/>
  <c r="BO585" i="3"/>
  <c r="BN585" i="3"/>
  <c r="E585" i="3"/>
  <c r="E1243" i="3" s="1"/>
  <c r="D585" i="3"/>
  <c r="D1243" i="3" s="1"/>
  <c r="C585" i="3"/>
  <c r="C1243" i="3" s="1"/>
  <c r="B585" i="3"/>
  <c r="B1243" i="3" s="1"/>
  <c r="A585" i="3"/>
  <c r="A1243" i="3" s="1"/>
  <c r="DU584" i="3"/>
  <c r="DT584" i="3"/>
  <c r="DS584" i="3"/>
  <c r="DR584" i="3"/>
  <c r="DQ584" i="3"/>
  <c r="DP584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BY584" i="3"/>
  <c r="BX584" i="3"/>
  <c r="BW584" i="3"/>
  <c r="BV584" i="3"/>
  <c r="BU584" i="3"/>
  <c r="BT584" i="3"/>
  <c r="BS584" i="3"/>
  <c r="BR584" i="3"/>
  <c r="BQ584" i="3"/>
  <c r="BP584" i="3"/>
  <c r="BO584" i="3"/>
  <c r="BN584" i="3"/>
  <c r="E584" i="3"/>
  <c r="E1242" i="3" s="1"/>
  <c r="D584" i="3"/>
  <c r="D1242" i="3" s="1"/>
  <c r="C584" i="3"/>
  <c r="C1242" i="3" s="1"/>
  <c r="B584" i="3"/>
  <c r="B1242" i="3" s="1"/>
  <c r="A584" i="3"/>
  <c r="A1242" i="3" s="1"/>
  <c r="DU583" i="3"/>
  <c r="DT583" i="3"/>
  <c r="DS583" i="3"/>
  <c r="DR583" i="3"/>
  <c r="DQ583" i="3"/>
  <c r="DP583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C583" i="3"/>
  <c r="CB583" i="3"/>
  <c r="CA583" i="3"/>
  <c r="BZ583" i="3"/>
  <c r="BY583" i="3"/>
  <c r="BX583" i="3"/>
  <c r="BW583" i="3"/>
  <c r="BV583" i="3"/>
  <c r="BU583" i="3"/>
  <c r="BT583" i="3"/>
  <c r="BS583" i="3"/>
  <c r="BR583" i="3"/>
  <c r="BQ583" i="3"/>
  <c r="BP583" i="3"/>
  <c r="BO583" i="3"/>
  <c r="BN583" i="3"/>
  <c r="E583" i="3"/>
  <c r="E1241" i="3" s="1"/>
  <c r="D583" i="3"/>
  <c r="D1241" i="3" s="1"/>
  <c r="C583" i="3"/>
  <c r="C1241" i="3" s="1"/>
  <c r="B583" i="3"/>
  <c r="B1241" i="3" s="1"/>
  <c r="A583" i="3"/>
  <c r="A1241" i="3" s="1"/>
  <c r="DU582" i="3"/>
  <c r="DT582" i="3"/>
  <c r="DS582" i="3"/>
  <c r="DR582" i="3"/>
  <c r="DQ582" i="3"/>
  <c r="DP582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C582" i="3"/>
  <c r="CB582" i="3"/>
  <c r="CA582" i="3"/>
  <c r="BZ582" i="3"/>
  <c r="BY582" i="3"/>
  <c r="BX582" i="3"/>
  <c r="BW582" i="3"/>
  <c r="BV582" i="3"/>
  <c r="BU582" i="3"/>
  <c r="BT582" i="3"/>
  <c r="BS582" i="3"/>
  <c r="BR582" i="3"/>
  <c r="BQ582" i="3"/>
  <c r="BP582" i="3"/>
  <c r="BO582" i="3"/>
  <c r="BN582" i="3"/>
  <c r="E582" i="3"/>
  <c r="E1240" i="3" s="1"/>
  <c r="D582" i="3"/>
  <c r="D1240" i="3" s="1"/>
  <c r="C582" i="3"/>
  <c r="C1240" i="3" s="1"/>
  <c r="B582" i="3"/>
  <c r="B1240" i="3" s="1"/>
  <c r="A582" i="3"/>
  <c r="A1240" i="3" s="1"/>
  <c r="DU581" i="3"/>
  <c r="DT581" i="3"/>
  <c r="DS581" i="3"/>
  <c r="DR581" i="3"/>
  <c r="DQ581" i="3"/>
  <c r="DP581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C581" i="3"/>
  <c r="CB581" i="3"/>
  <c r="CA581" i="3"/>
  <c r="BZ581" i="3"/>
  <c r="BY581" i="3"/>
  <c r="BX581" i="3"/>
  <c r="BW581" i="3"/>
  <c r="BV581" i="3"/>
  <c r="BU581" i="3"/>
  <c r="BT581" i="3"/>
  <c r="BS581" i="3"/>
  <c r="BR581" i="3"/>
  <c r="BQ581" i="3"/>
  <c r="BP581" i="3"/>
  <c r="BO581" i="3"/>
  <c r="BN581" i="3"/>
  <c r="E581" i="3"/>
  <c r="E1239" i="3" s="1"/>
  <c r="D581" i="3"/>
  <c r="D1239" i="3" s="1"/>
  <c r="C581" i="3"/>
  <c r="C1239" i="3" s="1"/>
  <c r="B581" i="3"/>
  <c r="B1239" i="3" s="1"/>
  <c r="A581" i="3"/>
  <c r="A1239" i="3" s="1"/>
  <c r="DU580" i="3"/>
  <c r="DT580" i="3"/>
  <c r="DS580" i="3"/>
  <c r="DR580" i="3"/>
  <c r="DQ580" i="3"/>
  <c r="DP580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C580" i="3"/>
  <c r="CB580" i="3"/>
  <c r="CA580" i="3"/>
  <c r="BZ580" i="3"/>
  <c r="BY580" i="3"/>
  <c r="BX580" i="3"/>
  <c r="BW580" i="3"/>
  <c r="BV580" i="3"/>
  <c r="BU580" i="3"/>
  <c r="BT580" i="3"/>
  <c r="BS580" i="3"/>
  <c r="BR580" i="3"/>
  <c r="BQ580" i="3"/>
  <c r="BP580" i="3"/>
  <c r="BO580" i="3"/>
  <c r="BN580" i="3"/>
  <c r="E580" i="3"/>
  <c r="B580" i="3"/>
  <c r="A580" i="3"/>
  <c r="DU579" i="3"/>
  <c r="DT579" i="3"/>
  <c r="DS579" i="3"/>
  <c r="DR579" i="3"/>
  <c r="DQ579" i="3"/>
  <c r="DP579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Y579" i="3"/>
  <c r="BX579" i="3"/>
  <c r="BW579" i="3"/>
  <c r="BV579" i="3"/>
  <c r="BU579" i="3"/>
  <c r="BT579" i="3"/>
  <c r="BS579" i="3"/>
  <c r="BR579" i="3"/>
  <c r="BQ579" i="3"/>
  <c r="BP579" i="3"/>
  <c r="BO579" i="3"/>
  <c r="BN579" i="3"/>
  <c r="E579" i="3"/>
  <c r="E1238" i="3" s="1"/>
  <c r="D579" i="3"/>
  <c r="D1238" i="3" s="1"/>
  <c r="C579" i="3"/>
  <c r="C1238" i="3" s="1"/>
  <c r="B579" i="3"/>
  <c r="B1238" i="3" s="1"/>
  <c r="A579" i="3"/>
  <c r="A1238" i="3" s="1"/>
  <c r="DU578" i="3"/>
  <c r="DT578" i="3"/>
  <c r="DS578" i="3"/>
  <c r="DR578" i="3"/>
  <c r="DQ578" i="3"/>
  <c r="DP578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Y578" i="3"/>
  <c r="BX578" i="3"/>
  <c r="BW578" i="3"/>
  <c r="BV578" i="3"/>
  <c r="BU578" i="3"/>
  <c r="BT578" i="3"/>
  <c r="BS578" i="3"/>
  <c r="BR578" i="3"/>
  <c r="BQ578" i="3"/>
  <c r="BP578" i="3"/>
  <c r="BO578" i="3"/>
  <c r="BN578" i="3"/>
  <c r="E578" i="3"/>
  <c r="E1237" i="3" s="1"/>
  <c r="D578" i="3"/>
  <c r="D1237" i="3" s="1"/>
  <c r="C578" i="3"/>
  <c r="C1237" i="3" s="1"/>
  <c r="B578" i="3"/>
  <c r="B1237" i="3" s="1"/>
  <c r="A578" i="3"/>
  <c r="A1237" i="3" s="1"/>
  <c r="DU577" i="3"/>
  <c r="DT577" i="3"/>
  <c r="DS577" i="3"/>
  <c r="DR577" i="3"/>
  <c r="DQ577" i="3"/>
  <c r="DP577" i="3"/>
  <c r="DO577" i="3"/>
  <c r="DN577" i="3"/>
  <c r="DM577" i="3"/>
  <c r="DL577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C577" i="3"/>
  <c r="CB577" i="3"/>
  <c r="CA577" i="3"/>
  <c r="BZ577" i="3"/>
  <c r="BY577" i="3"/>
  <c r="BX577" i="3"/>
  <c r="BW577" i="3"/>
  <c r="BV577" i="3"/>
  <c r="BU577" i="3"/>
  <c r="BT577" i="3"/>
  <c r="BS577" i="3"/>
  <c r="BR577" i="3"/>
  <c r="BQ577" i="3"/>
  <c r="BP577" i="3"/>
  <c r="BO577" i="3"/>
  <c r="BN577" i="3"/>
  <c r="E577" i="3"/>
  <c r="E1236" i="3" s="1"/>
  <c r="D577" i="3"/>
  <c r="D1236" i="3" s="1"/>
  <c r="C577" i="3"/>
  <c r="C1236" i="3" s="1"/>
  <c r="B577" i="3"/>
  <c r="B1236" i="3" s="1"/>
  <c r="A577" i="3"/>
  <c r="A1236" i="3" s="1"/>
  <c r="DU576" i="3"/>
  <c r="DT576" i="3"/>
  <c r="DS576" i="3"/>
  <c r="DR576" i="3"/>
  <c r="DQ576" i="3"/>
  <c r="DP576" i="3"/>
  <c r="DO576" i="3"/>
  <c r="DN576" i="3"/>
  <c r="DM576" i="3"/>
  <c r="DL576" i="3"/>
  <c r="DK576" i="3"/>
  <c r="DJ576" i="3"/>
  <c r="DI576" i="3"/>
  <c r="DH576" i="3"/>
  <c r="DG576" i="3"/>
  <c r="DF576" i="3"/>
  <c r="DE576" i="3"/>
  <c r="DD576" i="3"/>
  <c r="DC576" i="3"/>
  <c r="DB576" i="3"/>
  <c r="DA576" i="3"/>
  <c r="CZ576" i="3"/>
  <c r="CY576" i="3"/>
  <c r="CX576" i="3"/>
  <c r="CW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CC576" i="3"/>
  <c r="CB576" i="3"/>
  <c r="CA576" i="3"/>
  <c r="BZ576" i="3"/>
  <c r="BY576" i="3"/>
  <c r="BX576" i="3"/>
  <c r="BW576" i="3"/>
  <c r="BV576" i="3"/>
  <c r="BU576" i="3"/>
  <c r="BT576" i="3"/>
  <c r="BS576" i="3"/>
  <c r="BR576" i="3"/>
  <c r="BQ576" i="3"/>
  <c r="BP576" i="3"/>
  <c r="BO576" i="3"/>
  <c r="BN576" i="3"/>
  <c r="E576" i="3"/>
  <c r="E1235" i="3" s="1"/>
  <c r="D576" i="3"/>
  <c r="D1235" i="3" s="1"/>
  <c r="C576" i="3"/>
  <c r="C1235" i="3" s="1"/>
  <c r="B576" i="3"/>
  <c r="B1235" i="3" s="1"/>
  <c r="A576" i="3"/>
  <c r="A1235" i="3" s="1"/>
  <c r="DU575" i="3"/>
  <c r="DT575" i="3"/>
  <c r="DS575" i="3"/>
  <c r="DR575" i="3"/>
  <c r="DQ575" i="3"/>
  <c r="DP575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CC575" i="3"/>
  <c r="CB575" i="3"/>
  <c r="CA575" i="3"/>
  <c r="BZ575" i="3"/>
  <c r="BY575" i="3"/>
  <c r="BX575" i="3"/>
  <c r="BW575" i="3"/>
  <c r="BV575" i="3"/>
  <c r="BU575" i="3"/>
  <c r="BT575" i="3"/>
  <c r="BS575" i="3"/>
  <c r="BR575" i="3"/>
  <c r="BQ575" i="3"/>
  <c r="BP575" i="3"/>
  <c r="BO575" i="3"/>
  <c r="BN575" i="3"/>
  <c r="E575" i="3"/>
  <c r="E1234" i="3" s="1"/>
  <c r="D575" i="3"/>
  <c r="D1234" i="3" s="1"/>
  <c r="C575" i="3"/>
  <c r="C1234" i="3" s="1"/>
  <c r="B575" i="3"/>
  <c r="B1234" i="3" s="1"/>
  <c r="A575" i="3"/>
  <c r="A1234" i="3" s="1"/>
  <c r="DU574" i="3"/>
  <c r="DT574" i="3"/>
  <c r="DS574" i="3"/>
  <c r="DR574" i="3"/>
  <c r="DQ574" i="3"/>
  <c r="DP574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CC574" i="3"/>
  <c r="CB574" i="3"/>
  <c r="CA574" i="3"/>
  <c r="BZ574" i="3"/>
  <c r="BY574" i="3"/>
  <c r="BX574" i="3"/>
  <c r="BW574" i="3"/>
  <c r="BV574" i="3"/>
  <c r="BU574" i="3"/>
  <c r="BT574" i="3"/>
  <c r="BS574" i="3"/>
  <c r="BR574" i="3"/>
  <c r="BQ574" i="3"/>
  <c r="BP574" i="3"/>
  <c r="BO574" i="3"/>
  <c r="BN574" i="3"/>
  <c r="E574" i="3"/>
  <c r="E1233" i="3" s="1"/>
  <c r="D574" i="3"/>
  <c r="D1233" i="3" s="1"/>
  <c r="C574" i="3"/>
  <c r="C1233" i="3" s="1"/>
  <c r="B574" i="3"/>
  <c r="B1233" i="3" s="1"/>
  <c r="A574" i="3"/>
  <c r="A1233" i="3" s="1"/>
  <c r="DU573" i="3"/>
  <c r="DT573" i="3"/>
  <c r="DS573" i="3"/>
  <c r="DR573" i="3"/>
  <c r="DQ573" i="3"/>
  <c r="DP573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Y573" i="3"/>
  <c r="BX573" i="3"/>
  <c r="BW573" i="3"/>
  <c r="BV573" i="3"/>
  <c r="BU573" i="3"/>
  <c r="BT573" i="3"/>
  <c r="BS573" i="3"/>
  <c r="BR573" i="3"/>
  <c r="BQ573" i="3"/>
  <c r="BP573" i="3"/>
  <c r="BO573" i="3"/>
  <c r="BN573" i="3"/>
  <c r="E573" i="3"/>
  <c r="E1232" i="3" s="1"/>
  <c r="D573" i="3"/>
  <c r="D1232" i="3" s="1"/>
  <c r="C573" i="3"/>
  <c r="C1232" i="3" s="1"/>
  <c r="B573" i="3"/>
  <c r="B1232" i="3" s="1"/>
  <c r="A573" i="3"/>
  <c r="A1232" i="3" s="1"/>
  <c r="DU572" i="3"/>
  <c r="DT572" i="3"/>
  <c r="DS572" i="3"/>
  <c r="DR572" i="3"/>
  <c r="DQ572" i="3"/>
  <c r="DP572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Y572" i="3"/>
  <c r="BX572" i="3"/>
  <c r="BW572" i="3"/>
  <c r="BV572" i="3"/>
  <c r="BU572" i="3"/>
  <c r="BT572" i="3"/>
  <c r="BS572" i="3"/>
  <c r="BR572" i="3"/>
  <c r="BQ572" i="3"/>
  <c r="BP572" i="3"/>
  <c r="BO572" i="3"/>
  <c r="BN572" i="3"/>
  <c r="E572" i="3"/>
  <c r="E1231" i="3" s="1"/>
  <c r="D572" i="3"/>
  <c r="D1231" i="3" s="1"/>
  <c r="C572" i="3"/>
  <c r="C1231" i="3" s="1"/>
  <c r="B572" i="3"/>
  <c r="B1231" i="3" s="1"/>
  <c r="A572" i="3"/>
  <c r="A1231" i="3" s="1"/>
  <c r="DU571" i="3"/>
  <c r="DT571" i="3"/>
  <c r="DS571" i="3"/>
  <c r="DR571" i="3"/>
  <c r="DQ571" i="3"/>
  <c r="DP571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BY571" i="3"/>
  <c r="BX571" i="3"/>
  <c r="BW571" i="3"/>
  <c r="BV571" i="3"/>
  <c r="BU571" i="3"/>
  <c r="BT571" i="3"/>
  <c r="BS571" i="3"/>
  <c r="BR571" i="3"/>
  <c r="BQ571" i="3"/>
  <c r="BP571" i="3"/>
  <c r="BO571" i="3"/>
  <c r="BN571" i="3"/>
  <c r="E571" i="3"/>
  <c r="E1230" i="3" s="1"/>
  <c r="D571" i="3"/>
  <c r="D1230" i="3" s="1"/>
  <c r="C571" i="3"/>
  <c r="C1230" i="3" s="1"/>
  <c r="B571" i="3"/>
  <c r="B1230" i="3" s="1"/>
  <c r="A571" i="3"/>
  <c r="A1230" i="3" s="1"/>
  <c r="DU570" i="3"/>
  <c r="DT570" i="3"/>
  <c r="DS570" i="3"/>
  <c r="DR570" i="3"/>
  <c r="DQ570" i="3"/>
  <c r="DP570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BY570" i="3"/>
  <c r="BX570" i="3"/>
  <c r="BW570" i="3"/>
  <c r="BV570" i="3"/>
  <c r="BU570" i="3"/>
  <c r="BT570" i="3"/>
  <c r="BS570" i="3"/>
  <c r="BR570" i="3"/>
  <c r="BQ570" i="3"/>
  <c r="BP570" i="3"/>
  <c r="BO570" i="3"/>
  <c r="BN570" i="3"/>
  <c r="E570" i="3"/>
  <c r="E1229" i="3" s="1"/>
  <c r="D570" i="3"/>
  <c r="D1229" i="3" s="1"/>
  <c r="C570" i="3"/>
  <c r="C1229" i="3" s="1"/>
  <c r="B570" i="3"/>
  <c r="B1229" i="3" s="1"/>
  <c r="A570" i="3"/>
  <c r="A1229" i="3" s="1"/>
  <c r="DU569" i="3"/>
  <c r="DT569" i="3"/>
  <c r="DS569" i="3"/>
  <c r="DR569" i="3"/>
  <c r="DQ569" i="3"/>
  <c r="DP569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BY569" i="3"/>
  <c r="BX569" i="3"/>
  <c r="BW569" i="3"/>
  <c r="BV569" i="3"/>
  <c r="BU569" i="3"/>
  <c r="BT569" i="3"/>
  <c r="BS569" i="3"/>
  <c r="BR569" i="3"/>
  <c r="BQ569" i="3"/>
  <c r="BP569" i="3"/>
  <c r="BO569" i="3"/>
  <c r="BN569" i="3"/>
  <c r="E569" i="3"/>
  <c r="E1228" i="3" s="1"/>
  <c r="D569" i="3"/>
  <c r="D1228" i="3" s="1"/>
  <c r="C569" i="3"/>
  <c r="C1228" i="3" s="1"/>
  <c r="B569" i="3"/>
  <c r="B1228" i="3" s="1"/>
  <c r="A569" i="3"/>
  <c r="A1228" i="3" s="1"/>
  <c r="DU568" i="3"/>
  <c r="DT568" i="3"/>
  <c r="DS568" i="3"/>
  <c r="DR568" i="3"/>
  <c r="DQ568" i="3"/>
  <c r="DP568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Y568" i="3"/>
  <c r="BX568" i="3"/>
  <c r="BW568" i="3"/>
  <c r="BV568" i="3"/>
  <c r="BU568" i="3"/>
  <c r="BT568" i="3"/>
  <c r="BS568" i="3"/>
  <c r="BR568" i="3"/>
  <c r="BQ568" i="3"/>
  <c r="BP568" i="3"/>
  <c r="BO568" i="3"/>
  <c r="BN568" i="3"/>
  <c r="E568" i="3"/>
  <c r="E1227" i="3" s="1"/>
  <c r="D568" i="3"/>
  <c r="D1227" i="3" s="1"/>
  <c r="C568" i="3"/>
  <c r="C1227" i="3" s="1"/>
  <c r="B568" i="3"/>
  <c r="B1227" i="3" s="1"/>
  <c r="A568" i="3"/>
  <c r="A1227" i="3" s="1"/>
  <c r="DU567" i="3"/>
  <c r="DT567" i="3"/>
  <c r="DS567" i="3"/>
  <c r="DR567" i="3"/>
  <c r="DQ567" i="3"/>
  <c r="DP567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Y567" i="3"/>
  <c r="BX567" i="3"/>
  <c r="BW567" i="3"/>
  <c r="BV567" i="3"/>
  <c r="BU567" i="3"/>
  <c r="BT567" i="3"/>
  <c r="BS567" i="3"/>
  <c r="BR567" i="3"/>
  <c r="BQ567" i="3"/>
  <c r="BP567" i="3"/>
  <c r="BO567" i="3"/>
  <c r="BN567" i="3"/>
  <c r="E567" i="3"/>
  <c r="E1226" i="3" s="1"/>
  <c r="D567" i="3"/>
  <c r="D1226" i="3" s="1"/>
  <c r="C567" i="3"/>
  <c r="C1226" i="3" s="1"/>
  <c r="B567" i="3"/>
  <c r="B1226" i="3" s="1"/>
  <c r="A567" i="3"/>
  <c r="A1226" i="3" s="1"/>
  <c r="DU566" i="3"/>
  <c r="DT566" i="3"/>
  <c r="DS566" i="3"/>
  <c r="DR566" i="3"/>
  <c r="DQ566" i="3"/>
  <c r="DP566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Y566" i="3"/>
  <c r="BX566" i="3"/>
  <c r="BW566" i="3"/>
  <c r="BV566" i="3"/>
  <c r="BU566" i="3"/>
  <c r="BT566" i="3"/>
  <c r="BS566" i="3"/>
  <c r="BR566" i="3"/>
  <c r="BQ566" i="3"/>
  <c r="BP566" i="3"/>
  <c r="BO566" i="3"/>
  <c r="BN566" i="3"/>
  <c r="E566" i="3"/>
  <c r="E1225" i="3" s="1"/>
  <c r="D566" i="3"/>
  <c r="D1225" i="3" s="1"/>
  <c r="C566" i="3"/>
  <c r="C1225" i="3" s="1"/>
  <c r="B566" i="3"/>
  <c r="B1225" i="3" s="1"/>
  <c r="A566" i="3"/>
  <c r="A1225" i="3" s="1"/>
  <c r="DU565" i="3"/>
  <c r="DT565" i="3"/>
  <c r="DS565" i="3"/>
  <c r="DR565" i="3"/>
  <c r="DQ565" i="3"/>
  <c r="DP565" i="3"/>
  <c r="DO565" i="3"/>
  <c r="DN565" i="3"/>
  <c r="DM565" i="3"/>
  <c r="DL565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CC565" i="3"/>
  <c r="CB565" i="3"/>
  <c r="CA565" i="3"/>
  <c r="BZ565" i="3"/>
  <c r="BY565" i="3"/>
  <c r="BX565" i="3"/>
  <c r="BW565" i="3"/>
  <c r="BV565" i="3"/>
  <c r="BU565" i="3"/>
  <c r="BT565" i="3"/>
  <c r="BS565" i="3"/>
  <c r="BR565" i="3"/>
  <c r="BQ565" i="3"/>
  <c r="BP565" i="3"/>
  <c r="BO565" i="3"/>
  <c r="BN565" i="3"/>
  <c r="E565" i="3"/>
  <c r="E1224" i="3" s="1"/>
  <c r="D565" i="3"/>
  <c r="D1224" i="3" s="1"/>
  <c r="C565" i="3"/>
  <c r="C1224" i="3" s="1"/>
  <c r="B565" i="3"/>
  <c r="B1224" i="3" s="1"/>
  <c r="A565" i="3"/>
  <c r="A1224" i="3" s="1"/>
  <c r="DU564" i="3"/>
  <c r="DT564" i="3"/>
  <c r="DS564" i="3"/>
  <c r="DR564" i="3"/>
  <c r="DQ564" i="3"/>
  <c r="DP564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Y564" i="3"/>
  <c r="BX564" i="3"/>
  <c r="BW564" i="3"/>
  <c r="BV564" i="3"/>
  <c r="BU564" i="3"/>
  <c r="BT564" i="3"/>
  <c r="BS564" i="3"/>
  <c r="BR564" i="3"/>
  <c r="BQ564" i="3"/>
  <c r="BP564" i="3"/>
  <c r="BO564" i="3"/>
  <c r="BN564" i="3"/>
  <c r="E564" i="3"/>
  <c r="E1223" i="3" s="1"/>
  <c r="D564" i="3"/>
  <c r="D1223" i="3" s="1"/>
  <c r="C564" i="3"/>
  <c r="C1223" i="3" s="1"/>
  <c r="B564" i="3"/>
  <c r="B1223" i="3" s="1"/>
  <c r="A564" i="3"/>
  <c r="A1223" i="3" s="1"/>
  <c r="DU563" i="3"/>
  <c r="DT563" i="3"/>
  <c r="DS563" i="3"/>
  <c r="DR563" i="3"/>
  <c r="DQ563" i="3"/>
  <c r="DP563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Y563" i="3"/>
  <c r="BX563" i="3"/>
  <c r="BW563" i="3"/>
  <c r="BV563" i="3"/>
  <c r="BU563" i="3"/>
  <c r="BT563" i="3"/>
  <c r="BS563" i="3"/>
  <c r="BR563" i="3"/>
  <c r="BQ563" i="3"/>
  <c r="BP563" i="3"/>
  <c r="BO563" i="3"/>
  <c r="BN563" i="3"/>
  <c r="E563" i="3"/>
  <c r="E1222" i="3" s="1"/>
  <c r="D563" i="3"/>
  <c r="D1222" i="3" s="1"/>
  <c r="C563" i="3"/>
  <c r="C1222" i="3" s="1"/>
  <c r="B563" i="3"/>
  <c r="B1222" i="3" s="1"/>
  <c r="A563" i="3"/>
  <c r="A1222" i="3" s="1"/>
  <c r="DU562" i="3"/>
  <c r="DT562" i="3"/>
  <c r="DS562" i="3"/>
  <c r="DR562" i="3"/>
  <c r="DQ562" i="3"/>
  <c r="DP562" i="3"/>
  <c r="DO562" i="3"/>
  <c r="DN562" i="3"/>
  <c r="DM562" i="3"/>
  <c r="DL562" i="3"/>
  <c r="DK562" i="3"/>
  <c r="DJ562" i="3"/>
  <c r="DI562" i="3"/>
  <c r="DH562" i="3"/>
  <c r="DG562" i="3"/>
  <c r="DF562" i="3"/>
  <c r="DE562" i="3"/>
  <c r="DD562" i="3"/>
  <c r="DC562" i="3"/>
  <c r="DB562" i="3"/>
  <c r="DA562" i="3"/>
  <c r="CZ562" i="3"/>
  <c r="CY562" i="3"/>
  <c r="CX562" i="3"/>
  <c r="CW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Y562" i="3"/>
  <c r="BX562" i="3"/>
  <c r="BW562" i="3"/>
  <c r="BV562" i="3"/>
  <c r="BU562" i="3"/>
  <c r="BT562" i="3"/>
  <c r="BS562" i="3"/>
  <c r="BR562" i="3"/>
  <c r="BQ562" i="3"/>
  <c r="BP562" i="3"/>
  <c r="BO562" i="3"/>
  <c r="BN562" i="3"/>
  <c r="E562" i="3"/>
  <c r="E1221" i="3" s="1"/>
  <c r="D562" i="3"/>
  <c r="D1221" i="3" s="1"/>
  <c r="C562" i="3"/>
  <c r="C1221" i="3" s="1"/>
  <c r="B562" i="3"/>
  <c r="B1221" i="3" s="1"/>
  <c r="A562" i="3"/>
  <c r="A1221" i="3" s="1"/>
  <c r="DU561" i="3"/>
  <c r="DT561" i="3"/>
  <c r="DS561" i="3"/>
  <c r="DR561" i="3"/>
  <c r="DQ561" i="3"/>
  <c r="DP561" i="3"/>
  <c r="DO561" i="3"/>
  <c r="DN561" i="3"/>
  <c r="DM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Y561" i="3"/>
  <c r="BX561" i="3"/>
  <c r="BW561" i="3"/>
  <c r="BV561" i="3"/>
  <c r="BU561" i="3"/>
  <c r="BT561" i="3"/>
  <c r="BS561" i="3"/>
  <c r="BR561" i="3"/>
  <c r="BQ561" i="3"/>
  <c r="BP561" i="3"/>
  <c r="BO561" i="3"/>
  <c r="BN561" i="3"/>
  <c r="E561" i="3"/>
  <c r="E1220" i="3" s="1"/>
  <c r="D561" i="3"/>
  <c r="D1220" i="3" s="1"/>
  <c r="C561" i="3"/>
  <c r="C1220" i="3" s="1"/>
  <c r="B561" i="3"/>
  <c r="B1220" i="3" s="1"/>
  <c r="A561" i="3"/>
  <c r="A1220" i="3" s="1"/>
  <c r="DU560" i="3"/>
  <c r="DT560" i="3"/>
  <c r="DS560" i="3"/>
  <c r="DR560" i="3"/>
  <c r="DQ560" i="3"/>
  <c r="DP560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Y560" i="3"/>
  <c r="BX560" i="3"/>
  <c r="BW560" i="3"/>
  <c r="BV560" i="3"/>
  <c r="BU560" i="3"/>
  <c r="BT560" i="3"/>
  <c r="BS560" i="3"/>
  <c r="BR560" i="3"/>
  <c r="BQ560" i="3"/>
  <c r="BP560" i="3"/>
  <c r="BO560" i="3"/>
  <c r="BN560" i="3"/>
  <c r="E560" i="3"/>
  <c r="E1219" i="3" s="1"/>
  <c r="D560" i="3"/>
  <c r="D1219" i="3" s="1"/>
  <c r="C560" i="3"/>
  <c r="C1219" i="3" s="1"/>
  <c r="B560" i="3"/>
  <c r="B1219" i="3" s="1"/>
  <c r="A560" i="3"/>
  <c r="A1219" i="3" s="1"/>
  <c r="DU559" i="3"/>
  <c r="DT559" i="3"/>
  <c r="DS559" i="3"/>
  <c r="DR559" i="3"/>
  <c r="DQ559" i="3"/>
  <c r="DP559" i="3"/>
  <c r="DO559" i="3"/>
  <c r="DN559" i="3"/>
  <c r="DM559" i="3"/>
  <c r="DL559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CC559" i="3"/>
  <c r="CB559" i="3"/>
  <c r="CA559" i="3"/>
  <c r="BZ559" i="3"/>
  <c r="BY559" i="3"/>
  <c r="BX559" i="3"/>
  <c r="BW559" i="3"/>
  <c r="BV559" i="3"/>
  <c r="BU559" i="3"/>
  <c r="BT559" i="3"/>
  <c r="BS559" i="3"/>
  <c r="BR559" i="3"/>
  <c r="BQ559" i="3"/>
  <c r="BP559" i="3"/>
  <c r="BO559" i="3"/>
  <c r="BN559" i="3"/>
  <c r="E559" i="3"/>
  <c r="E1218" i="3" s="1"/>
  <c r="D559" i="3"/>
  <c r="D1218" i="3" s="1"/>
  <c r="C559" i="3"/>
  <c r="C1218" i="3" s="1"/>
  <c r="B559" i="3"/>
  <c r="B1218" i="3" s="1"/>
  <c r="A559" i="3"/>
  <c r="A1218" i="3" s="1"/>
  <c r="DU558" i="3"/>
  <c r="DT558" i="3"/>
  <c r="DS558" i="3"/>
  <c r="DR558" i="3"/>
  <c r="DQ558" i="3"/>
  <c r="DP558" i="3"/>
  <c r="DO558" i="3"/>
  <c r="DN558" i="3"/>
  <c r="DM558" i="3"/>
  <c r="DL558" i="3"/>
  <c r="DK558" i="3"/>
  <c r="DJ558" i="3"/>
  <c r="DI558" i="3"/>
  <c r="DH558" i="3"/>
  <c r="DG558" i="3"/>
  <c r="DF558" i="3"/>
  <c r="DE558" i="3"/>
  <c r="DD558" i="3"/>
  <c r="DC558" i="3"/>
  <c r="DB558" i="3"/>
  <c r="DA558" i="3"/>
  <c r="CZ558" i="3"/>
  <c r="CY558" i="3"/>
  <c r="CX558" i="3"/>
  <c r="CW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BY558" i="3"/>
  <c r="BX558" i="3"/>
  <c r="BW558" i="3"/>
  <c r="BV558" i="3"/>
  <c r="BU558" i="3"/>
  <c r="BT558" i="3"/>
  <c r="BS558" i="3"/>
  <c r="BR558" i="3"/>
  <c r="BQ558" i="3"/>
  <c r="BP558" i="3"/>
  <c r="BO558" i="3"/>
  <c r="BN558" i="3"/>
  <c r="E558" i="3"/>
  <c r="E1217" i="3" s="1"/>
  <c r="D558" i="3"/>
  <c r="D1217" i="3" s="1"/>
  <c r="C558" i="3"/>
  <c r="C1217" i="3" s="1"/>
  <c r="B558" i="3"/>
  <c r="B1217" i="3" s="1"/>
  <c r="A558" i="3"/>
  <c r="A1217" i="3" s="1"/>
  <c r="DU557" i="3"/>
  <c r="DT557" i="3"/>
  <c r="DS557" i="3"/>
  <c r="DR557" i="3"/>
  <c r="DQ557" i="3"/>
  <c r="DP557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BY557" i="3"/>
  <c r="BX557" i="3"/>
  <c r="BW557" i="3"/>
  <c r="BV557" i="3"/>
  <c r="BU557" i="3"/>
  <c r="BT557" i="3"/>
  <c r="BS557" i="3"/>
  <c r="BR557" i="3"/>
  <c r="BQ557" i="3"/>
  <c r="BP557" i="3"/>
  <c r="BO557" i="3"/>
  <c r="BN557" i="3"/>
  <c r="E557" i="3"/>
  <c r="E1216" i="3" s="1"/>
  <c r="D557" i="3"/>
  <c r="D1216" i="3" s="1"/>
  <c r="C557" i="3"/>
  <c r="C1216" i="3" s="1"/>
  <c r="B557" i="3"/>
  <c r="B1216" i="3" s="1"/>
  <c r="A557" i="3"/>
  <c r="A1216" i="3" s="1"/>
  <c r="DU556" i="3"/>
  <c r="DT556" i="3"/>
  <c r="DS556" i="3"/>
  <c r="DR556" i="3"/>
  <c r="DQ556" i="3"/>
  <c r="DP556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Y556" i="3"/>
  <c r="BX556" i="3"/>
  <c r="BW556" i="3"/>
  <c r="BV556" i="3"/>
  <c r="BU556" i="3"/>
  <c r="BT556" i="3"/>
  <c r="BS556" i="3"/>
  <c r="BR556" i="3"/>
  <c r="BQ556" i="3"/>
  <c r="BP556" i="3"/>
  <c r="BO556" i="3"/>
  <c r="BN556" i="3"/>
  <c r="E556" i="3"/>
  <c r="E1215" i="3" s="1"/>
  <c r="D556" i="3"/>
  <c r="D1215" i="3" s="1"/>
  <c r="C556" i="3"/>
  <c r="C1215" i="3" s="1"/>
  <c r="B556" i="3"/>
  <c r="B1215" i="3" s="1"/>
  <c r="A556" i="3"/>
  <c r="A1215" i="3" s="1"/>
  <c r="DU555" i="3"/>
  <c r="DT555" i="3"/>
  <c r="DS555" i="3"/>
  <c r="DR555" i="3"/>
  <c r="DQ555" i="3"/>
  <c r="DP555" i="3"/>
  <c r="DO555" i="3"/>
  <c r="DN555" i="3"/>
  <c r="DM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Y555" i="3"/>
  <c r="BX555" i="3"/>
  <c r="BW555" i="3"/>
  <c r="BV555" i="3"/>
  <c r="BU555" i="3"/>
  <c r="BT555" i="3"/>
  <c r="BS555" i="3"/>
  <c r="BR555" i="3"/>
  <c r="BQ555" i="3"/>
  <c r="BP555" i="3"/>
  <c r="BO555" i="3"/>
  <c r="BN555" i="3"/>
  <c r="E555" i="3"/>
  <c r="E1214" i="3" s="1"/>
  <c r="D555" i="3"/>
  <c r="D1214" i="3" s="1"/>
  <c r="C555" i="3"/>
  <c r="C1214" i="3" s="1"/>
  <c r="B555" i="3"/>
  <c r="B1214" i="3" s="1"/>
  <c r="A555" i="3"/>
  <c r="A1214" i="3" s="1"/>
  <c r="DU554" i="3"/>
  <c r="DT554" i="3"/>
  <c r="DS554" i="3"/>
  <c r="DR554" i="3"/>
  <c r="DQ554" i="3"/>
  <c r="DP554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Y554" i="3"/>
  <c r="BX554" i="3"/>
  <c r="BW554" i="3"/>
  <c r="BV554" i="3"/>
  <c r="BU554" i="3"/>
  <c r="BT554" i="3"/>
  <c r="BS554" i="3"/>
  <c r="BR554" i="3"/>
  <c r="BQ554" i="3"/>
  <c r="BP554" i="3"/>
  <c r="BO554" i="3"/>
  <c r="BN554" i="3"/>
  <c r="E554" i="3"/>
  <c r="E1213" i="3" s="1"/>
  <c r="D554" i="3"/>
  <c r="D1213" i="3" s="1"/>
  <c r="C554" i="3"/>
  <c r="C1213" i="3" s="1"/>
  <c r="B554" i="3"/>
  <c r="B1213" i="3" s="1"/>
  <c r="A554" i="3"/>
  <c r="A1213" i="3" s="1"/>
  <c r="DU553" i="3"/>
  <c r="DT553" i="3"/>
  <c r="DS553" i="3"/>
  <c r="DR553" i="3"/>
  <c r="DQ553" i="3"/>
  <c r="DP553" i="3"/>
  <c r="DO553" i="3"/>
  <c r="DN553" i="3"/>
  <c r="DM553" i="3"/>
  <c r="DL553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CC553" i="3"/>
  <c r="CB553" i="3"/>
  <c r="CA553" i="3"/>
  <c r="BZ553" i="3"/>
  <c r="BY553" i="3"/>
  <c r="BX553" i="3"/>
  <c r="BW553" i="3"/>
  <c r="BV553" i="3"/>
  <c r="BU553" i="3"/>
  <c r="BT553" i="3"/>
  <c r="BS553" i="3"/>
  <c r="BR553" i="3"/>
  <c r="BQ553" i="3"/>
  <c r="BP553" i="3"/>
  <c r="BO553" i="3"/>
  <c r="BN553" i="3"/>
  <c r="E553" i="3"/>
  <c r="E1212" i="3" s="1"/>
  <c r="D553" i="3"/>
  <c r="D1212" i="3" s="1"/>
  <c r="C553" i="3"/>
  <c r="C1212" i="3" s="1"/>
  <c r="B553" i="3"/>
  <c r="B1212" i="3" s="1"/>
  <c r="A553" i="3"/>
  <c r="A1212" i="3" s="1"/>
  <c r="DU552" i="3"/>
  <c r="DT552" i="3"/>
  <c r="DS552" i="3"/>
  <c r="DR552" i="3"/>
  <c r="DQ552" i="3"/>
  <c r="DP552" i="3"/>
  <c r="DO552" i="3"/>
  <c r="DN552" i="3"/>
  <c r="DM552" i="3"/>
  <c r="DL552" i="3"/>
  <c r="DK552" i="3"/>
  <c r="DJ552" i="3"/>
  <c r="DI552" i="3"/>
  <c r="DH552" i="3"/>
  <c r="DG552" i="3"/>
  <c r="DF552" i="3"/>
  <c r="DE552" i="3"/>
  <c r="DD552" i="3"/>
  <c r="DC552" i="3"/>
  <c r="DB552" i="3"/>
  <c r="DA552" i="3"/>
  <c r="CZ552" i="3"/>
  <c r="CY552" i="3"/>
  <c r="CX552" i="3"/>
  <c r="CW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BY552" i="3"/>
  <c r="BX552" i="3"/>
  <c r="BW552" i="3"/>
  <c r="BV552" i="3"/>
  <c r="BU552" i="3"/>
  <c r="BT552" i="3"/>
  <c r="BS552" i="3"/>
  <c r="BR552" i="3"/>
  <c r="BQ552" i="3"/>
  <c r="BP552" i="3"/>
  <c r="BO552" i="3"/>
  <c r="BN552" i="3"/>
  <c r="E552" i="3"/>
  <c r="E1211" i="3" s="1"/>
  <c r="D552" i="3"/>
  <c r="D1211" i="3" s="1"/>
  <c r="C552" i="3"/>
  <c r="C1211" i="3" s="1"/>
  <c r="B552" i="3"/>
  <c r="B1211" i="3" s="1"/>
  <c r="A552" i="3"/>
  <c r="A1211" i="3" s="1"/>
  <c r="DU551" i="3"/>
  <c r="DT551" i="3"/>
  <c r="DS551" i="3"/>
  <c r="DR551" i="3"/>
  <c r="DQ551" i="3"/>
  <c r="DP551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BY551" i="3"/>
  <c r="BX551" i="3"/>
  <c r="BW551" i="3"/>
  <c r="BV551" i="3"/>
  <c r="BU551" i="3"/>
  <c r="BT551" i="3"/>
  <c r="BS551" i="3"/>
  <c r="BR551" i="3"/>
  <c r="BQ551" i="3"/>
  <c r="BP551" i="3"/>
  <c r="BO551" i="3"/>
  <c r="BN551" i="3"/>
  <c r="E551" i="3"/>
  <c r="E1210" i="3" s="1"/>
  <c r="D551" i="3"/>
  <c r="D1210" i="3" s="1"/>
  <c r="C551" i="3"/>
  <c r="C1210" i="3" s="1"/>
  <c r="B551" i="3"/>
  <c r="B1210" i="3" s="1"/>
  <c r="A551" i="3"/>
  <c r="A1210" i="3" s="1"/>
  <c r="DU550" i="3"/>
  <c r="DT550" i="3"/>
  <c r="DS550" i="3"/>
  <c r="DR550" i="3"/>
  <c r="DQ550" i="3"/>
  <c r="DP550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Y550" i="3"/>
  <c r="BX550" i="3"/>
  <c r="BW550" i="3"/>
  <c r="BV550" i="3"/>
  <c r="BU550" i="3"/>
  <c r="BT550" i="3"/>
  <c r="BS550" i="3"/>
  <c r="BR550" i="3"/>
  <c r="BQ550" i="3"/>
  <c r="BP550" i="3"/>
  <c r="BO550" i="3"/>
  <c r="BN550" i="3"/>
  <c r="E550" i="3"/>
  <c r="E1209" i="3" s="1"/>
  <c r="D550" i="3"/>
  <c r="D1209" i="3" s="1"/>
  <c r="C550" i="3"/>
  <c r="C1209" i="3" s="1"/>
  <c r="B550" i="3"/>
  <c r="B1209" i="3" s="1"/>
  <c r="A550" i="3"/>
  <c r="A1209" i="3" s="1"/>
  <c r="DU549" i="3"/>
  <c r="DT549" i="3"/>
  <c r="DS549" i="3"/>
  <c r="DR549" i="3"/>
  <c r="DQ549" i="3"/>
  <c r="DP549" i="3"/>
  <c r="DO549" i="3"/>
  <c r="DN549" i="3"/>
  <c r="DM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Y549" i="3"/>
  <c r="BX549" i="3"/>
  <c r="BW549" i="3"/>
  <c r="BV549" i="3"/>
  <c r="BU549" i="3"/>
  <c r="BT549" i="3"/>
  <c r="BS549" i="3"/>
  <c r="BR549" i="3"/>
  <c r="BQ549" i="3"/>
  <c r="BP549" i="3"/>
  <c r="BO549" i="3"/>
  <c r="BN549" i="3"/>
  <c r="E549" i="3"/>
  <c r="E1208" i="3" s="1"/>
  <c r="D549" i="3"/>
  <c r="D1208" i="3" s="1"/>
  <c r="C549" i="3"/>
  <c r="C1208" i="3" s="1"/>
  <c r="B549" i="3"/>
  <c r="B1208" i="3" s="1"/>
  <c r="A549" i="3"/>
  <c r="A1208" i="3" s="1"/>
  <c r="DU548" i="3"/>
  <c r="DT548" i="3"/>
  <c r="DS548" i="3"/>
  <c r="DR548" i="3"/>
  <c r="DQ548" i="3"/>
  <c r="DP548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Y548" i="3"/>
  <c r="BX548" i="3"/>
  <c r="BW548" i="3"/>
  <c r="BV548" i="3"/>
  <c r="BU548" i="3"/>
  <c r="BT548" i="3"/>
  <c r="BS548" i="3"/>
  <c r="BR548" i="3"/>
  <c r="BQ548" i="3"/>
  <c r="BP548" i="3"/>
  <c r="BO548" i="3"/>
  <c r="BN548" i="3"/>
  <c r="E548" i="3"/>
  <c r="E1207" i="3" s="1"/>
  <c r="D548" i="3"/>
  <c r="D1207" i="3" s="1"/>
  <c r="C548" i="3"/>
  <c r="C1207" i="3" s="1"/>
  <c r="B548" i="3"/>
  <c r="B1207" i="3" s="1"/>
  <c r="A548" i="3"/>
  <c r="A1207" i="3" s="1"/>
  <c r="DU547" i="3"/>
  <c r="DT547" i="3"/>
  <c r="DS547" i="3"/>
  <c r="DR547" i="3"/>
  <c r="DQ547" i="3"/>
  <c r="DP547" i="3"/>
  <c r="DO547" i="3"/>
  <c r="DN547" i="3"/>
  <c r="DM547" i="3"/>
  <c r="DL547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CC547" i="3"/>
  <c r="CB547" i="3"/>
  <c r="CA547" i="3"/>
  <c r="BZ547" i="3"/>
  <c r="BY547" i="3"/>
  <c r="BX547" i="3"/>
  <c r="BW547" i="3"/>
  <c r="BV547" i="3"/>
  <c r="BU547" i="3"/>
  <c r="BT547" i="3"/>
  <c r="BS547" i="3"/>
  <c r="BR547" i="3"/>
  <c r="BQ547" i="3"/>
  <c r="BP547" i="3"/>
  <c r="BO547" i="3"/>
  <c r="BN547" i="3"/>
  <c r="E547" i="3"/>
  <c r="E1206" i="3" s="1"/>
  <c r="D547" i="3"/>
  <c r="D1206" i="3" s="1"/>
  <c r="C547" i="3"/>
  <c r="C1206" i="3" s="1"/>
  <c r="B547" i="3"/>
  <c r="B1206" i="3" s="1"/>
  <c r="A547" i="3"/>
  <c r="A1206" i="3" s="1"/>
  <c r="DU546" i="3"/>
  <c r="DT546" i="3"/>
  <c r="DS546" i="3"/>
  <c r="DR546" i="3"/>
  <c r="DQ546" i="3"/>
  <c r="DP546" i="3"/>
  <c r="DO546" i="3"/>
  <c r="DN546" i="3"/>
  <c r="DM546" i="3"/>
  <c r="DL546" i="3"/>
  <c r="DK546" i="3"/>
  <c r="DJ546" i="3"/>
  <c r="DI546" i="3"/>
  <c r="DH546" i="3"/>
  <c r="DG546" i="3"/>
  <c r="DF546" i="3"/>
  <c r="DE546" i="3"/>
  <c r="DD546" i="3"/>
  <c r="DC546" i="3"/>
  <c r="DB546" i="3"/>
  <c r="DA546" i="3"/>
  <c r="CZ546" i="3"/>
  <c r="CY546" i="3"/>
  <c r="CX546" i="3"/>
  <c r="CW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BY546" i="3"/>
  <c r="BX546" i="3"/>
  <c r="BW546" i="3"/>
  <c r="BV546" i="3"/>
  <c r="BU546" i="3"/>
  <c r="BT546" i="3"/>
  <c r="BS546" i="3"/>
  <c r="BR546" i="3"/>
  <c r="BQ546" i="3"/>
  <c r="BP546" i="3"/>
  <c r="BO546" i="3"/>
  <c r="BN546" i="3"/>
  <c r="E546" i="3"/>
  <c r="E1205" i="3" s="1"/>
  <c r="D546" i="3"/>
  <c r="D1205" i="3" s="1"/>
  <c r="C546" i="3"/>
  <c r="C1205" i="3" s="1"/>
  <c r="B546" i="3"/>
  <c r="B1205" i="3" s="1"/>
  <c r="A546" i="3"/>
  <c r="A1205" i="3" s="1"/>
  <c r="DU545" i="3"/>
  <c r="DT545" i="3"/>
  <c r="DS545" i="3"/>
  <c r="DR545" i="3"/>
  <c r="DQ545" i="3"/>
  <c r="DP545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BY545" i="3"/>
  <c r="BX545" i="3"/>
  <c r="BW545" i="3"/>
  <c r="BV545" i="3"/>
  <c r="BU545" i="3"/>
  <c r="BT545" i="3"/>
  <c r="BS545" i="3"/>
  <c r="BR545" i="3"/>
  <c r="BQ545" i="3"/>
  <c r="BP545" i="3"/>
  <c r="BO545" i="3"/>
  <c r="BN545" i="3"/>
  <c r="E545" i="3"/>
  <c r="E1204" i="3" s="1"/>
  <c r="D545" i="3"/>
  <c r="D1204" i="3" s="1"/>
  <c r="C545" i="3"/>
  <c r="C1204" i="3" s="1"/>
  <c r="B545" i="3"/>
  <c r="B1204" i="3" s="1"/>
  <c r="A545" i="3"/>
  <c r="A1204" i="3" s="1"/>
  <c r="DU544" i="3"/>
  <c r="DT544" i="3"/>
  <c r="DS544" i="3"/>
  <c r="DR544" i="3"/>
  <c r="DQ544" i="3"/>
  <c r="DP544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Y544" i="3"/>
  <c r="BX544" i="3"/>
  <c r="BW544" i="3"/>
  <c r="BV544" i="3"/>
  <c r="BU544" i="3"/>
  <c r="BT544" i="3"/>
  <c r="BS544" i="3"/>
  <c r="BR544" i="3"/>
  <c r="BQ544" i="3"/>
  <c r="BP544" i="3"/>
  <c r="BO544" i="3"/>
  <c r="BN544" i="3"/>
  <c r="E544" i="3"/>
  <c r="E1203" i="3" s="1"/>
  <c r="D544" i="3"/>
  <c r="D1203" i="3" s="1"/>
  <c r="C544" i="3"/>
  <c r="C1203" i="3" s="1"/>
  <c r="B544" i="3"/>
  <c r="B1203" i="3" s="1"/>
  <c r="A544" i="3"/>
  <c r="A1203" i="3" s="1"/>
  <c r="DU543" i="3"/>
  <c r="DT543" i="3"/>
  <c r="DS543" i="3"/>
  <c r="DR543" i="3"/>
  <c r="DQ543" i="3"/>
  <c r="DP543" i="3"/>
  <c r="DO543" i="3"/>
  <c r="DN543" i="3"/>
  <c r="DM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Y543" i="3"/>
  <c r="BX543" i="3"/>
  <c r="BW543" i="3"/>
  <c r="BV543" i="3"/>
  <c r="BU543" i="3"/>
  <c r="BT543" i="3"/>
  <c r="BS543" i="3"/>
  <c r="BR543" i="3"/>
  <c r="BQ543" i="3"/>
  <c r="BP543" i="3"/>
  <c r="BO543" i="3"/>
  <c r="BN543" i="3"/>
  <c r="E543" i="3"/>
  <c r="E1202" i="3" s="1"/>
  <c r="D543" i="3"/>
  <c r="D1202" i="3" s="1"/>
  <c r="C543" i="3"/>
  <c r="C1202" i="3" s="1"/>
  <c r="B543" i="3"/>
  <c r="B1202" i="3" s="1"/>
  <c r="A543" i="3"/>
  <c r="A1202" i="3" s="1"/>
  <c r="DU542" i="3"/>
  <c r="DT542" i="3"/>
  <c r="DS542" i="3"/>
  <c r="DR542" i="3"/>
  <c r="DQ542" i="3"/>
  <c r="DP542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Y542" i="3"/>
  <c r="BX542" i="3"/>
  <c r="BW542" i="3"/>
  <c r="BV542" i="3"/>
  <c r="BU542" i="3"/>
  <c r="BT542" i="3"/>
  <c r="BS542" i="3"/>
  <c r="BR542" i="3"/>
  <c r="BQ542" i="3"/>
  <c r="BP542" i="3"/>
  <c r="BO542" i="3"/>
  <c r="BN542" i="3"/>
  <c r="E542" i="3"/>
  <c r="E1201" i="3" s="1"/>
  <c r="D542" i="3"/>
  <c r="D1201" i="3" s="1"/>
  <c r="C542" i="3"/>
  <c r="C1201" i="3" s="1"/>
  <c r="B542" i="3"/>
  <c r="B1201" i="3" s="1"/>
  <c r="A542" i="3"/>
  <c r="A1201" i="3" s="1"/>
  <c r="DU541" i="3"/>
  <c r="DT541" i="3"/>
  <c r="DS541" i="3"/>
  <c r="DR541" i="3"/>
  <c r="DQ541" i="3"/>
  <c r="DP541" i="3"/>
  <c r="DO541" i="3"/>
  <c r="DN541" i="3"/>
  <c r="DM541" i="3"/>
  <c r="DL541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CC541" i="3"/>
  <c r="CB541" i="3"/>
  <c r="CA541" i="3"/>
  <c r="BZ541" i="3"/>
  <c r="BY541" i="3"/>
  <c r="BX541" i="3"/>
  <c r="BW541" i="3"/>
  <c r="BV541" i="3"/>
  <c r="BU541" i="3"/>
  <c r="BT541" i="3"/>
  <c r="BS541" i="3"/>
  <c r="BR541" i="3"/>
  <c r="BQ541" i="3"/>
  <c r="BP541" i="3"/>
  <c r="BO541" i="3"/>
  <c r="BN541" i="3"/>
  <c r="E541" i="3"/>
  <c r="E1200" i="3" s="1"/>
  <c r="D541" i="3"/>
  <c r="D1200" i="3" s="1"/>
  <c r="C541" i="3"/>
  <c r="C1200" i="3" s="1"/>
  <c r="B541" i="3"/>
  <c r="B1200" i="3" s="1"/>
  <c r="A541" i="3"/>
  <c r="A1200" i="3" s="1"/>
  <c r="DU540" i="3"/>
  <c r="DT540" i="3"/>
  <c r="DS540" i="3"/>
  <c r="DR540" i="3"/>
  <c r="DQ540" i="3"/>
  <c r="DP540" i="3"/>
  <c r="DO540" i="3"/>
  <c r="DN540" i="3"/>
  <c r="DM540" i="3"/>
  <c r="DL540" i="3"/>
  <c r="DK540" i="3"/>
  <c r="DJ540" i="3"/>
  <c r="DI540" i="3"/>
  <c r="DH540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BY540" i="3"/>
  <c r="BX540" i="3"/>
  <c r="BW540" i="3"/>
  <c r="BV540" i="3"/>
  <c r="BU540" i="3"/>
  <c r="BT540" i="3"/>
  <c r="BS540" i="3"/>
  <c r="BR540" i="3"/>
  <c r="BQ540" i="3"/>
  <c r="BP540" i="3"/>
  <c r="BO540" i="3"/>
  <c r="BN540" i="3"/>
  <c r="E540" i="3"/>
  <c r="E1199" i="3" s="1"/>
  <c r="D540" i="3"/>
  <c r="D1199" i="3" s="1"/>
  <c r="C540" i="3"/>
  <c r="C1199" i="3" s="1"/>
  <c r="B540" i="3"/>
  <c r="B1199" i="3" s="1"/>
  <c r="A540" i="3"/>
  <c r="A1199" i="3" s="1"/>
  <c r="DU539" i="3"/>
  <c r="DT539" i="3"/>
  <c r="DS539" i="3"/>
  <c r="DR539" i="3"/>
  <c r="DQ539" i="3"/>
  <c r="DP539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Y539" i="3"/>
  <c r="BX539" i="3"/>
  <c r="BW539" i="3"/>
  <c r="BV539" i="3"/>
  <c r="BU539" i="3"/>
  <c r="BT539" i="3"/>
  <c r="BS539" i="3"/>
  <c r="BR539" i="3"/>
  <c r="BQ539" i="3"/>
  <c r="BP539" i="3"/>
  <c r="BO539" i="3"/>
  <c r="BN539" i="3"/>
  <c r="E539" i="3"/>
  <c r="B539" i="3"/>
  <c r="A539" i="3"/>
  <c r="DU538" i="3"/>
  <c r="DT538" i="3"/>
  <c r="DS538" i="3"/>
  <c r="DR538" i="3"/>
  <c r="DQ538" i="3"/>
  <c r="DP538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Y538" i="3"/>
  <c r="BX538" i="3"/>
  <c r="BW538" i="3"/>
  <c r="BV538" i="3"/>
  <c r="BU538" i="3"/>
  <c r="BT538" i="3"/>
  <c r="BS538" i="3"/>
  <c r="BR538" i="3"/>
  <c r="BQ538" i="3"/>
  <c r="BP538" i="3"/>
  <c r="BO538" i="3"/>
  <c r="BN538" i="3"/>
  <c r="E538" i="3"/>
  <c r="E1198" i="3" s="1"/>
  <c r="D538" i="3"/>
  <c r="D1198" i="3" s="1"/>
  <c r="C538" i="3"/>
  <c r="C1198" i="3" s="1"/>
  <c r="B538" i="3"/>
  <c r="B1198" i="3" s="1"/>
  <c r="A538" i="3"/>
  <c r="A1198" i="3" s="1"/>
  <c r="DU537" i="3"/>
  <c r="DT537" i="3"/>
  <c r="DS537" i="3"/>
  <c r="DR537" i="3"/>
  <c r="DQ537" i="3"/>
  <c r="DP537" i="3"/>
  <c r="DO537" i="3"/>
  <c r="DN537" i="3"/>
  <c r="DM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Y537" i="3"/>
  <c r="BX537" i="3"/>
  <c r="BW537" i="3"/>
  <c r="BV537" i="3"/>
  <c r="BU537" i="3"/>
  <c r="BT537" i="3"/>
  <c r="BS537" i="3"/>
  <c r="BR537" i="3"/>
  <c r="BQ537" i="3"/>
  <c r="BP537" i="3"/>
  <c r="BO537" i="3"/>
  <c r="BN537" i="3"/>
  <c r="E537" i="3"/>
  <c r="E1197" i="3" s="1"/>
  <c r="D537" i="3"/>
  <c r="D1197" i="3" s="1"/>
  <c r="C537" i="3"/>
  <c r="C1197" i="3" s="1"/>
  <c r="B537" i="3"/>
  <c r="B1197" i="3" s="1"/>
  <c r="A537" i="3"/>
  <c r="A1197" i="3" s="1"/>
  <c r="DU536" i="3"/>
  <c r="DT536" i="3"/>
  <c r="DS536" i="3"/>
  <c r="DR536" i="3"/>
  <c r="DQ536" i="3"/>
  <c r="DP536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Y536" i="3"/>
  <c r="BX536" i="3"/>
  <c r="BW536" i="3"/>
  <c r="BV536" i="3"/>
  <c r="BU536" i="3"/>
  <c r="BT536" i="3"/>
  <c r="BS536" i="3"/>
  <c r="BR536" i="3"/>
  <c r="BQ536" i="3"/>
  <c r="BP536" i="3"/>
  <c r="BO536" i="3"/>
  <c r="BN536" i="3"/>
  <c r="E536" i="3"/>
  <c r="E1196" i="3" s="1"/>
  <c r="D536" i="3"/>
  <c r="D1196" i="3" s="1"/>
  <c r="C536" i="3"/>
  <c r="C1196" i="3" s="1"/>
  <c r="B536" i="3"/>
  <c r="B1196" i="3" s="1"/>
  <c r="A536" i="3"/>
  <c r="A1196" i="3" s="1"/>
  <c r="DU535" i="3"/>
  <c r="DT535" i="3"/>
  <c r="DS535" i="3"/>
  <c r="DR535" i="3"/>
  <c r="DQ535" i="3"/>
  <c r="DP535" i="3"/>
  <c r="DO535" i="3"/>
  <c r="DN535" i="3"/>
  <c r="DM535" i="3"/>
  <c r="DL535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CC535" i="3"/>
  <c r="CB535" i="3"/>
  <c r="CA535" i="3"/>
  <c r="BZ535" i="3"/>
  <c r="BY535" i="3"/>
  <c r="BX535" i="3"/>
  <c r="BW535" i="3"/>
  <c r="BV535" i="3"/>
  <c r="BU535" i="3"/>
  <c r="BT535" i="3"/>
  <c r="BS535" i="3"/>
  <c r="BR535" i="3"/>
  <c r="BQ535" i="3"/>
  <c r="BP535" i="3"/>
  <c r="BO535" i="3"/>
  <c r="BN535" i="3"/>
  <c r="E535" i="3"/>
  <c r="E1195" i="3" s="1"/>
  <c r="D535" i="3"/>
  <c r="D1195" i="3" s="1"/>
  <c r="C535" i="3"/>
  <c r="C1195" i="3" s="1"/>
  <c r="B535" i="3"/>
  <c r="B1195" i="3" s="1"/>
  <c r="A535" i="3"/>
  <c r="A1195" i="3" s="1"/>
  <c r="DU534" i="3"/>
  <c r="DT534" i="3"/>
  <c r="DS534" i="3"/>
  <c r="DR534" i="3"/>
  <c r="DQ534" i="3"/>
  <c r="DP534" i="3"/>
  <c r="DO534" i="3"/>
  <c r="DN534" i="3"/>
  <c r="DM534" i="3"/>
  <c r="DL534" i="3"/>
  <c r="DK534" i="3"/>
  <c r="DJ534" i="3"/>
  <c r="DI534" i="3"/>
  <c r="DH534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BY534" i="3"/>
  <c r="BX534" i="3"/>
  <c r="BW534" i="3"/>
  <c r="BV534" i="3"/>
  <c r="BU534" i="3"/>
  <c r="BT534" i="3"/>
  <c r="BS534" i="3"/>
  <c r="BR534" i="3"/>
  <c r="BQ534" i="3"/>
  <c r="BP534" i="3"/>
  <c r="BO534" i="3"/>
  <c r="BN534" i="3"/>
  <c r="E534" i="3"/>
  <c r="E1194" i="3" s="1"/>
  <c r="D534" i="3"/>
  <c r="D1194" i="3" s="1"/>
  <c r="C534" i="3"/>
  <c r="C1194" i="3" s="1"/>
  <c r="B534" i="3"/>
  <c r="B1194" i="3" s="1"/>
  <c r="A534" i="3"/>
  <c r="A1194" i="3" s="1"/>
  <c r="DU533" i="3"/>
  <c r="DT533" i="3"/>
  <c r="DS533" i="3"/>
  <c r="DR533" i="3"/>
  <c r="DQ533" i="3"/>
  <c r="DP533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BY533" i="3"/>
  <c r="BX533" i="3"/>
  <c r="BW533" i="3"/>
  <c r="BV533" i="3"/>
  <c r="BU533" i="3"/>
  <c r="BT533" i="3"/>
  <c r="BS533" i="3"/>
  <c r="BR533" i="3"/>
  <c r="BQ533" i="3"/>
  <c r="BP533" i="3"/>
  <c r="BO533" i="3"/>
  <c r="BN533" i="3"/>
  <c r="E533" i="3"/>
  <c r="E1193" i="3" s="1"/>
  <c r="D533" i="3"/>
  <c r="D1193" i="3" s="1"/>
  <c r="C533" i="3"/>
  <c r="C1193" i="3" s="1"/>
  <c r="B533" i="3"/>
  <c r="B1193" i="3" s="1"/>
  <c r="A533" i="3"/>
  <c r="A1193" i="3" s="1"/>
  <c r="DU532" i="3"/>
  <c r="DT532" i="3"/>
  <c r="DS532" i="3"/>
  <c r="DR532" i="3"/>
  <c r="DQ532" i="3"/>
  <c r="DP532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Y532" i="3"/>
  <c r="BX532" i="3"/>
  <c r="BW532" i="3"/>
  <c r="BV532" i="3"/>
  <c r="BU532" i="3"/>
  <c r="BT532" i="3"/>
  <c r="BS532" i="3"/>
  <c r="BR532" i="3"/>
  <c r="BQ532" i="3"/>
  <c r="BP532" i="3"/>
  <c r="BO532" i="3"/>
  <c r="BN532" i="3"/>
  <c r="E532" i="3"/>
  <c r="E1192" i="3" s="1"/>
  <c r="D532" i="3"/>
  <c r="D1192" i="3" s="1"/>
  <c r="C532" i="3"/>
  <c r="C1192" i="3" s="1"/>
  <c r="B532" i="3"/>
  <c r="B1192" i="3" s="1"/>
  <c r="A532" i="3"/>
  <c r="A1192" i="3" s="1"/>
  <c r="DU531" i="3"/>
  <c r="DT531" i="3"/>
  <c r="DS531" i="3"/>
  <c r="DR531" i="3"/>
  <c r="DQ531" i="3"/>
  <c r="DP531" i="3"/>
  <c r="DO531" i="3"/>
  <c r="DN531" i="3"/>
  <c r="DM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Y531" i="3"/>
  <c r="BX531" i="3"/>
  <c r="BW531" i="3"/>
  <c r="BV531" i="3"/>
  <c r="BU531" i="3"/>
  <c r="BT531" i="3"/>
  <c r="BS531" i="3"/>
  <c r="BR531" i="3"/>
  <c r="BQ531" i="3"/>
  <c r="BP531" i="3"/>
  <c r="BO531" i="3"/>
  <c r="BN531" i="3"/>
  <c r="E531" i="3"/>
  <c r="E1191" i="3" s="1"/>
  <c r="D531" i="3"/>
  <c r="D1191" i="3" s="1"/>
  <c r="C531" i="3"/>
  <c r="C1191" i="3" s="1"/>
  <c r="B531" i="3"/>
  <c r="B1191" i="3" s="1"/>
  <c r="A531" i="3"/>
  <c r="A1191" i="3" s="1"/>
  <c r="DU530" i="3"/>
  <c r="DT530" i="3"/>
  <c r="DS530" i="3"/>
  <c r="DR530" i="3"/>
  <c r="DQ530" i="3"/>
  <c r="DP530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Y530" i="3"/>
  <c r="BX530" i="3"/>
  <c r="BW530" i="3"/>
  <c r="BV530" i="3"/>
  <c r="BU530" i="3"/>
  <c r="BT530" i="3"/>
  <c r="BS530" i="3"/>
  <c r="BR530" i="3"/>
  <c r="BQ530" i="3"/>
  <c r="BP530" i="3"/>
  <c r="BO530" i="3"/>
  <c r="BN530" i="3"/>
  <c r="E530" i="3"/>
  <c r="E1190" i="3" s="1"/>
  <c r="D530" i="3"/>
  <c r="D1190" i="3" s="1"/>
  <c r="C530" i="3"/>
  <c r="C1190" i="3" s="1"/>
  <c r="B530" i="3"/>
  <c r="B1190" i="3" s="1"/>
  <c r="A530" i="3"/>
  <c r="A1190" i="3" s="1"/>
  <c r="DU529" i="3"/>
  <c r="DT529" i="3"/>
  <c r="DS529" i="3"/>
  <c r="DR529" i="3"/>
  <c r="DQ529" i="3"/>
  <c r="DP529" i="3"/>
  <c r="DO529" i="3"/>
  <c r="DN529" i="3"/>
  <c r="DM529" i="3"/>
  <c r="DL529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CC529" i="3"/>
  <c r="CB529" i="3"/>
  <c r="CA529" i="3"/>
  <c r="BZ529" i="3"/>
  <c r="BY529" i="3"/>
  <c r="BX529" i="3"/>
  <c r="BW529" i="3"/>
  <c r="BV529" i="3"/>
  <c r="BU529" i="3"/>
  <c r="BT529" i="3"/>
  <c r="BS529" i="3"/>
  <c r="BR529" i="3"/>
  <c r="BQ529" i="3"/>
  <c r="BP529" i="3"/>
  <c r="BO529" i="3"/>
  <c r="BN529" i="3"/>
  <c r="E529" i="3"/>
  <c r="E1189" i="3" s="1"/>
  <c r="D529" i="3"/>
  <c r="D1189" i="3" s="1"/>
  <c r="C529" i="3"/>
  <c r="C1189" i="3" s="1"/>
  <c r="B529" i="3"/>
  <c r="B1189" i="3" s="1"/>
  <c r="A529" i="3"/>
  <c r="A1189" i="3" s="1"/>
  <c r="DU528" i="3"/>
  <c r="DT528" i="3"/>
  <c r="DS528" i="3"/>
  <c r="DR528" i="3"/>
  <c r="DQ528" i="3"/>
  <c r="DP528" i="3"/>
  <c r="DO528" i="3"/>
  <c r="DN528" i="3"/>
  <c r="DM528" i="3"/>
  <c r="DL528" i="3"/>
  <c r="DK528" i="3"/>
  <c r="DJ528" i="3"/>
  <c r="DI528" i="3"/>
  <c r="DH528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BY528" i="3"/>
  <c r="BX528" i="3"/>
  <c r="BW528" i="3"/>
  <c r="BV528" i="3"/>
  <c r="BU528" i="3"/>
  <c r="BT528" i="3"/>
  <c r="BS528" i="3"/>
  <c r="BR528" i="3"/>
  <c r="BQ528" i="3"/>
  <c r="BP528" i="3"/>
  <c r="BO528" i="3"/>
  <c r="BN528" i="3"/>
  <c r="E528" i="3"/>
  <c r="E1188" i="3" s="1"/>
  <c r="D528" i="3"/>
  <c r="D1188" i="3" s="1"/>
  <c r="C528" i="3"/>
  <c r="C1188" i="3" s="1"/>
  <c r="B528" i="3"/>
  <c r="B1188" i="3" s="1"/>
  <c r="A528" i="3"/>
  <c r="A1188" i="3" s="1"/>
  <c r="DU527" i="3"/>
  <c r="DT527" i="3"/>
  <c r="DS527" i="3"/>
  <c r="DR527" i="3"/>
  <c r="DQ527" i="3"/>
  <c r="DP527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BY527" i="3"/>
  <c r="BX527" i="3"/>
  <c r="BW527" i="3"/>
  <c r="BV527" i="3"/>
  <c r="BU527" i="3"/>
  <c r="BT527" i="3"/>
  <c r="BS527" i="3"/>
  <c r="BR527" i="3"/>
  <c r="BQ527" i="3"/>
  <c r="BP527" i="3"/>
  <c r="BO527" i="3"/>
  <c r="BN527" i="3"/>
  <c r="E527" i="3"/>
  <c r="E1187" i="3" s="1"/>
  <c r="D527" i="3"/>
  <c r="D1187" i="3" s="1"/>
  <c r="C527" i="3"/>
  <c r="C1187" i="3" s="1"/>
  <c r="B527" i="3"/>
  <c r="B1187" i="3" s="1"/>
  <c r="A527" i="3"/>
  <c r="A1187" i="3" s="1"/>
  <c r="DU526" i="3"/>
  <c r="DT526" i="3"/>
  <c r="DS526" i="3"/>
  <c r="DR526" i="3"/>
  <c r="DQ526" i="3"/>
  <c r="DP526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Y526" i="3"/>
  <c r="BX526" i="3"/>
  <c r="BW526" i="3"/>
  <c r="BV526" i="3"/>
  <c r="BU526" i="3"/>
  <c r="BT526" i="3"/>
  <c r="BS526" i="3"/>
  <c r="BR526" i="3"/>
  <c r="BQ526" i="3"/>
  <c r="BP526" i="3"/>
  <c r="BO526" i="3"/>
  <c r="BN526" i="3"/>
  <c r="E526" i="3"/>
  <c r="E1186" i="3" s="1"/>
  <c r="D526" i="3"/>
  <c r="D1186" i="3" s="1"/>
  <c r="C526" i="3"/>
  <c r="C1186" i="3" s="1"/>
  <c r="B526" i="3"/>
  <c r="B1186" i="3" s="1"/>
  <c r="A526" i="3"/>
  <c r="A1186" i="3" s="1"/>
  <c r="DU525" i="3"/>
  <c r="DT525" i="3"/>
  <c r="DS525" i="3"/>
  <c r="DR525" i="3"/>
  <c r="DQ525" i="3"/>
  <c r="DP525" i="3"/>
  <c r="DO525" i="3"/>
  <c r="DN525" i="3"/>
  <c r="DM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Y525" i="3"/>
  <c r="BX525" i="3"/>
  <c r="BW525" i="3"/>
  <c r="BV525" i="3"/>
  <c r="BU525" i="3"/>
  <c r="BT525" i="3"/>
  <c r="BS525" i="3"/>
  <c r="BR525" i="3"/>
  <c r="BQ525" i="3"/>
  <c r="BP525" i="3"/>
  <c r="BO525" i="3"/>
  <c r="BN525" i="3"/>
  <c r="E525" i="3"/>
  <c r="E1185" i="3" s="1"/>
  <c r="D525" i="3"/>
  <c r="D1185" i="3" s="1"/>
  <c r="C525" i="3"/>
  <c r="C1185" i="3" s="1"/>
  <c r="B525" i="3"/>
  <c r="B1185" i="3" s="1"/>
  <c r="A525" i="3"/>
  <c r="A1185" i="3" s="1"/>
  <c r="DU524" i="3"/>
  <c r="DT524" i="3"/>
  <c r="DS524" i="3"/>
  <c r="DR524" i="3"/>
  <c r="DQ524" i="3"/>
  <c r="DP524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Y524" i="3"/>
  <c r="BX524" i="3"/>
  <c r="BW524" i="3"/>
  <c r="BV524" i="3"/>
  <c r="BU524" i="3"/>
  <c r="BT524" i="3"/>
  <c r="BS524" i="3"/>
  <c r="BR524" i="3"/>
  <c r="BQ524" i="3"/>
  <c r="BP524" i="3"/>
  <c r="BO524" i="3"/>
  <c r="BN524" i="3"/>
  <c r="E524" i="3"/>
  <c r="E1184" i="3" s="1"/>
  <c r="D524" i="3"/>
  <c r="D1184" i="3" s="1"/>
  <c r="C524" i="3"/>
  <c r="C1184" i="3" s="1"/>
  <c r="B524" i="3"/>
  <c r="B1184" i="3" s="1"/>
  <c r="A524" i="3"/>
  <c r="A1184" i="3" s="1"/>
  <c r="DU523" i="3"/>
  <c r="DT523" i="3"/>
  <c r="DS523" i="3"/>
  <c r="DR523" i="3"/>
  <c r="DQ523" i="3"/>
  <c r="DP523" i="3"/>
  <c r="DO523" i="3"/>
  <c r="DN523" i="3"/>
  <c r="DM523" i="3"/>
  <c r="DL523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CC523" i="3"/>
  <c r="CB523" i="3"/>
  <c r="CA523" i="3"/>
  <c r="BZ523" i="3"/>
  <c r="BY523" i="3"/>
  <c r="BX523" i="3"/>
  <c r="BW523" i="3"/>
  <c r="BV523" i="3"/>
  <c r="BU523" i="3"/>
  <c r="BT523" i="3"/>
  <c r="BS523" i="3"/>
  <c r="BR523" i="3"/>
  <c r="BQ523" i="3"/>
  <c r="BP523" i="3"/>
  <c r="BO523" i="3"/>
  <c r="BN523" i="3"/>
  <c r="E523" i="3"/>
  <c r="E1183" i="3" s="1"/>
  <c r="D523" i="3"/>
  <c r="D1183" i="3" s="1"/>
  <c r="C523" i="3"/>
  <c r="C1183" i="3" s="1"/>
  <c r="B523" i="3"/>
  <c r="B1183" i="3" s="1"/>
  <c r="A523" i="3"/>
  <c r="A1183" i="3" s="1"/>
  <c r="DU522" i="3"/>
  <c r="DT522" i="3"/>
  <c r="DS522" i="3"/>
  <c r="DR522" i="3"/>
  <c r="DQ522" i="3"/>
  <c r="DP522" i="3"/>
  <c r="DO522" i="3"/>
  <c r="DN522" i="3"/>
  <c r="DM522" i="3"/>
  <c r="DL522" i="3"/>
  <c r="DK522" i="3"/>
  <c r="DJ522" i="3"/>
  <c r="DI522" i="3"/>
  <c r="DH522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BY522" i="3"/>
  <c r="BX522" i="3"/>
  <c r="BW522" i="3"/>
  <c r="BV522" i="3"/>
  <c r="BU522" i="3"/>
  <c r="BT522" i="3"/>
  <c r="BS522" i="3"/>
  <c r="BR522" i="3"/>
  <c r="BQ522" i="3"/>
  <c r="BP522" i="3"/>
  <c r="BO522" i="3"/>
  <c r="BN522" i="3"/>
  <c r="E522" i="3"/>
  <c r="E1182" i="3" s="1"/>
  <c r="D522" i="3"/>
  <c r="D1182" i="3" s="1"/>
  <c r="C522" i="3"/>
  <c r="C1182" i="3" s="1"/>
  <c r="B522" i="3"/>
  <c r="B1182" i="3" s="1"/>
  <c r="A522" i="3"/>
  <c r="A1182" i="3" s="1"/>
  <c r="DU521" i="3"/>
  <c r="DT521" i="3"/>
  <c r="DS521" i="3"/>
  <c r="DR521" i="3"/>
  <c r="DQ521" i="3"/>
  <c r="DP521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Y521" i="3"/>
  <c r="BX521" i="3"/>
  <c r="BW521" i="3"/>
  <c r="BV521" i="3"/>
  <c r="BU521" i="3"/>
  <c r="BT521" i="3"/>
  <c r="BS521" i="3"/>
  <c r="BR521" i="3"/>
  <c r="BQ521" i="3"/>
  <c r="BP521" i="3"/>
  <c r="BO521" i="3"/>
  <c r="BN521" i="3"/>
  <c r="E521" i="3"/>
  <c r="E1181" i="3" s="1"/>
  <c r="D521" i="3"/>
  <c r="D1181" i="3" s="1"/>
  <c r="C521" i="3"/>
  <c r="C1181" i="3" s="1"/>
  <c r="B521" i="3"/>
  <c r="B1181" i="3" s="1"/>
  <c r="A521" i="3"/>
  <c r="A1181" i="3" s="1"/>
  <c r="DU520" i="3"/>
  <c r="DT520" i="3"/>
  <c r="DS520" i="3"/>
  <c r="DR520" i="3"/>
  <c r="DQ520" i="3"/>
  <c r="DP520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Y520" i="3"/>
  <c r="BX520" i="3"/>
  <c r="BW520" i="3"/>
  <c r="BV520" i="3"/>
  <c r="BU520" i="3"/>
  <c r="BT520" i="3"/>
  <c r="BS520" i="3"/>
  <c r="BR520" i="3"/>
  <c r="BQ520" i="3"/>
  <c r="BP520" i="3"/>
  <c r="BO520" i="3"/>
  <c r="BN520" i="3"/>
  <c r="E520" i="3"/>
  <c r="E1180" i="3" s="1"/>
  <c r="D520" i="3"/>
  <c r="D1180" i="3" s="1"/>
  <c r="C520" i="3"/>
  <c r="C1180" i="3" s="1"/>
  <c r="B520" i="3"/>
  <c r="B1180" i="3" s="1"/>
  <c r="A520" i="3"/>
  <c r="A1180" i="3" s="1"/>
  <c r="DU519" i="3"/>
  <c r="DT519" i="3"/>
  <c r="DS519" i="3"/>
  <c r="DR519" i="3"/>
  <c r="DQ519" i="3"/>
  <c r="DP519" i="3"/>
  <c r="DO519" i="3"/>
  <c r="DN519" i="3"/>
  <c r="DM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Y519" i="3"/>
  <c r="BX519" i="3"/>
  <c r="BW519" i="3"/>
  <c r="BV519" i="3"/>
  <c r="BU519" i="3"/>
  <c r="BT519" i="3"/>
  <c r="BS519" i="3"/>
  <c r="BR519" i="3"/>
  <c r="BQ519" i="3"/>
  <c r="BP519" i="3"/>
  <c r="BO519" i="3"/>
  <c r="BN519" i="3"/>
  <c r="E519" i="3"/>
  <c r="E1179" i="3" s="1"/>
  <c r="D519" i="3"/>
  <c r="D1179" i="3" s="1"/>
  <c r="C519" i="3"/>
  <c r="C1179" i="3" s="1"/>
  <c r="B519" i="3"/>
  <c r="B1179" i="3" s="1"/>
  <c r="A519" i="3"/>
  <c r="A1179" i="3" s="1"/>
  <c r="DU518" i="3"/>
  <c r="DT518" i="3"/>
  <c r="DS518" i="3"/>
  <c r="DR518" i="3"/>
  <c r="DQ518" i="3"/>
  <c r="DP518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Y518" i="3"/>
  <c r="BX518" i="3"/>
  <c r="BW518" i="3"/>
  <c r="BV518" i="3"/>
  <c r="BU518" i="3"/>
  <c r="BT518" i="3"/>
  <c r="BS518" i="3"/>
  <c r="BR518" i="3"/>
  <c r="BQ518" i="3"/>
  <c r="BP518" i="3"/>
  <c r="BO518" i="3"/>
  <c r="BN518" i="3"/>
  <c r="E518" i="3"/>
  <c r="E1178" i="3" s="1"/>
  <c r="D518" i="3"/>
  <c r="D1178" i="3" s="1"/>
  <c r="C518" i="3"/>
  <c r="C1178" i="3" s="1"/>
  <c r="B518" i="3"/>
  <c r="B1178" i="3" s="1"/>
  <c r="A518" i="3"/>
  <c r="A1178" i="3" s="1"/>
  <c r="DU517" i="3"/>
  <c r="DT517" i="3"/>
  <c r="DS517" i="3"/>
  <c r="DR517" i="3"/>
  <c r="DQ517" i="3"/>
  <c r="DP517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BY517" i="3"/>
  <c r="BX517" i="3"/>
  <c r="BW517" i="3"/>
  <c r="BV517" i="3"/>
  <c r="BU517" i="3"/>
  <c r="BT517" i="3"/>
  <c r="BS517" i="3"/>
  <c r="BR517" i="3"/>
  <c r="BQ517" i="3"/>
  <c r="BP517" i="3"/>
  <c r="BO517" i="3"/>
  <c r="BN517" i="3"/>
  <c r="E517" i="3"/>
  <c r="E1177" i="3" s="1"/>
  <c r="D517" i="3"/>
  <c r="D1177" i="3" s="1"/>
  <c r="C517" i="3"/>
  <c r="C1177" i="3" s="1"/>
  <c r="B517" i="3"/>
  <c r="B1177" i="3" s="1"/>
  <c r="A517" i="3"/>
  <c r="A1177" i="3" s="1"/>
  <c r="DU516" i="3"/>
  <c r="DT516" i="3"/>
  <c r="DS516" i="3"/>
  <c r="DR516" i="3"/>
  <c r="DQ516" i="3"/>
  <c r="DP516" i="3"/>
  <c r="DO516" i="3"/>
  <c r="DN516" i="3"/>
  <c r="DM516" i="3"/>
  <c r="DL516" i="3"/>
  <c r="DK516" i="3"/>
  <c r="DJ516" i="3"/>
  <c r="DI516" i="3"/>
  <c r="DH516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BY516" i="3"/>
  <c r="BX516" i="3"/>
  <c r="BW516" i="3"/>
  <c r="BV516" i="3"/>
  <c r="BU516" i="3"/>
  <c r="BT516" i="3"/>
  <c r="BS516" i="3"/>
  <c r="BR516" i="3"/>
  <c r="BQ516" i="3"/>
  <c r="BP516" i="3"/>
  <c r="BO516" i="3"/>
  <c r="BN516" i="3"/>
  <c r="E516" i="3"/>
  <c r="E1176" i="3" s="1"/>
  <c r="D516" i="3"/>
  <c r="D1176" i="3" s="1"/>
  <c r="C516" i="3"/>
  <c r="C1176" i="3" s="1"/>
  <c r="B516" i="3"/>
  <c r="B1176" i="3" s="1"/>
  <c r="A516" i="3"/>
  <c r="A1176" i="3" s="1"/>
  <c r="DU515" i="3"/>
  <c r="DT515" i="3"/>
  <c r="DS515" i="3"/>
  <c r="DR515" i="3"/>
  <c r="DQ515" i="3"/>
  <c r="DP515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Y515" i="3"/>
  <c r="BX515" i="3"/>
  <c r="BW515" i="3"/>
  <c r="BV515" i="3"/>
  <c r="BU515" i="3"/>
  <c r="BT515" i="3"/>
  <c r="BS515" i="3"/>
  <c r="BR515" i="3"/>
  <c r="BQ515" i="3"/>
  <c r="BP515" i="3"/>
  <c r="BO515" i="3"/>
  <c r="BN515" i="3"/>
  <c r="E515" i="3"/>
  <c r="E1175" i="3" s="1"/>
  <c r="D515" i="3"/>
  <c r="D1175" i="3" s="1"/>
  <c r="C515" i="3"/>
  <c r="C1175" i="3" s="1"/>
  <c r="B515" i="3"/>
  <c r="B1175" i="3" s="1"/>
  <c r="A515" i="3"/>
  <c r="A1175" i="3" s="1"/>
  <c r="DU514" i="3"/>
  <c r="DT514" i="3"/>
  <c r="DS514" i="3"/>
  <c r="DR514" i="3"/>
  <c r="DQ514" i="3"/>
  <c r="DP514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Y514" i="3"/>
  <c r="BX514" i="3"/>
  <c r="BW514" i="3"/>
  <c r="BV514" i="3"/>
  <c r="BU514" i="3"/>
  <c r="BT514" i="3"/>
  <c r="BS514" i="3"/>
  <c r="BR514" i="3"/>
  <c r="BQ514" i="3"/>
  <c r="BP514" i="3"/>
  <c r="BO514" i="3"/>
  <c r="BN514" i="3"/>
  <c r="E514" i="3"/>
  <c r="E1174" i="3" s="1"/>
  <c r="D514" i="3"/>
  <c r="D1174" i="3" s="1"/>
  <c r="C514" i="3"/>
  <c r="C1174" i="3" s="1"/>
  <c r="B514" i="3"/>
  <c r="B1174" i="3" s="1"/>
  <c r="A514" i="3"/>
  <c r="A1174" i="3" s="1"/>
  <c r="DU513" i="3"/>
  <c r="DT513" i="3"/>
  <c r="DS513" i="3"/>
  <c r="DR513" i="3"/>
  <c r="DQ513" i="3"/>
  <c r="DP513" i="3"/>
  <c r="DO513" i="3"/>
  <c r="DN513" i="3"/>
  <c r="DM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Y513" i="3"/>
  <c r="BX513" i="3"/>
  <c r="BW513" i="3"/>
  <c r="BV513" i="3"/>
  <c r="BU513" i="3"/>
  <c r="BT513" i="3"/>
  <c r="BS513" i="3"/>
  <c r="BR513" i="3"/>
  <c r="BQ513" i="3"/>
  <c r="BP513" i="3"/>
  <c r="BO513" i="3"/>
  <c r="BN513" i="3"/>
  <c r="E513" i="3"/>
  <c r="E1173" i="3" s="1"/>
  <c r="D513" i="3"/>
  <c r="D1173" i="3" s="1"/>
  <c r="C513" i="3"/>
  <c r="C1173" i="3" s="1"/>
  <c r="B513" i="3"/>
  <c r="B1173" i="3" s="1"/>
  <c r="A513" i="3"/>
  <c r="A1173" i="3" s="1"/>
  <c r="DU512" i="3"/>
  <c r="DT512" i="3"/>
  <c r="DS512" i="3"/>
  <c r="DR512" i="3"/>
  <c r="DQ512" i="3"/>
  <c r="DP512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Y512" i="3"/>
  <c r="BX512" i="3"/>
  <c r="BW512" i="3"/>
  <c r="BV512" i="3"/>
  <c r="BU512" i="3"/>
  <c r="BT512" i="3"/>
  <c r="BS512" i="3"/>
  <c r="BR512" i="3"/>
  <c r="BQ512" i="3"/>
  <c r="BP512" i="3"/>
  <c r="BO512" i="3"/>
  <c r="BN512" i="3"/>
  <c r="E512" i="3"/>
  <c r="E1172" i="3" s="1"/>
  <c r="D512" i="3"/>
  <c r="D1172" i="3" s="1"/>
  <c r="C512" i="3"/>
  <c r="C1172" i="3" s="1"/>
  <c r="B512" i="3"/>
  <c r="B1172" i="3" s="1"/>
  <c r="A512" i="3"/>
  <c r="A1172" i="3" s="1"/>
  <c r="DU511" i="3"/>
  <c r="DT511" i="3"/>
  <c r="DS511" i="3"/>
  <c r="DR511" i="3"/>
  <c r="DQ511" i="3"/>
  <c r="DP511" i="3"/>
  <c r="DO511" i="3"/>
  <c r="DN511" i="3"/>
  <c r="DM511" i="3"/>
  <c r="DL511" i="3"/>
  <c r="DK511" i="3"/>
  <c r="DJ511" i="3"/>
  <c r="DI511" i="3"/>
  <c r="DH511" i="3"/>
  <c r="DG511" i="3"/>
  <c r="DF511" i="3"/>
  <c r="DE511" i="3"/>
  <c r="DD511" i="3"/>
  <c r="DC511" i="3"/>
  <c r="DB511" i="3"/>
  <c r="DA511" i="3"/>
  <c r="CZ511" i="3"/>
  <c r="CY511" i="3"/>
  <c r="CX511" i="3"/>
  <c r="CW511" i="3"/>
  <c r="CV511" i="3"/>
  <c r="CU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CC511" i="3"/>
  <c r="CB511" i="3"/>
  <c r="CA511" i="3"/>
  <c r="BZ511" i="3"/>
  <c r="BY511" i="3"/>
  <c r="BX511" i="3"/>
  <c r="BW511" i="3"/>
  <c r="BV511" i="3"/>
  <c r="BU511" i="3"/>
  <c r="BT511" i="3"/>
  <c r="BS511" i="3"/>
  <c r="BR511" i="3"/>
  <c r="BQ511" i="3"/>
  <c r="BP511" i="3"/>
  <c r="BO511" i="3"/>
  <c r="BN511" i="3"/>
  <c r="E511" i="3"/>
  <c r="E1171" i="3" s="1"/>
  <c r="D511" i="3"/>
  <c r="D1171" i="3" s="1"/>
  <c r="C511" i="3"/>
  <c r="C1171" i="3" s="1"/>
  <c r="B511" i="3"/>
  <c r="B1171" i="3" s="1"/>
  <c r="A511" i="3"/>
  <c r="A1171" i="3" s="1"/>
  <c r="DU510" i="3"/>
  <c r="DT510" i="3"/>
  <c r="DS510" i="3"/>
  <c r="DR510" i="3"/>
  <c r="DQ510" i="3"/>
  <c r="DP510" i="3"/>
  <c r="DO510" i="3"/>
  <c r="DN510" i="3"/>
  <c r="DM510" i="3"/>
  <c r="DL510" i="3"/>
  <c r="DK510" i="3"/>
  <c r="DJ510" i="3"/>
  <c r="DI510" i="3"/>
  <c r="DH510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BY510" i="3"/>
  <c r="BX510" i="3"/>
  <c r="BW510" i="3"/>
  <c r="BV510" i="3"/>
  <c r="BU510" i="3"/>
  <c r="BT510" i="3"/>
  <c r="BS510" i="3"/>
  <c r="BR510" i="3"/>
  <c r="BQ510" i="3"/>
  <c r="BP510" i="3"/>
  <c r="BO510" i="3"/>
  <c r="BN510" i="3"/>
  <c r="E510" i="3"/>
  <c r="E1170" i="3" s="1"/>
  <c r="D510" i="3"/>
  <c r="D1170" i="3" s="1"/>
  <c r="C510" i="3"/>
  <c r="C1170" i="3" s="1"/>
  <c r="B510" i="3"/>
  <c r="B1170" i="3" s="1"/>
  <c r="A510" i="3"/>
  <c r="A1170" i="3" s="1"/>
  <c r="DU509" i="3"/>
  <c r="DT509" i="3"/>
  <c r="DS509" i="3"/>
  <c r="DR509" i="3"/>
  <c r="DQ509" i="3"/>
  <c r="DP509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Y509" i="3"/>
  <c r="BX509" i="3"/>
  <c r="BW509" i="3"/>
  <c r="BV509" i="3"/>
  <c r="BU509" i="3"/>
  <c r="BT509" i="3"/>
  <c r="BS509" i="3"/>
  <c r="BR509" i="3"/>
  <c r="BQ509" i="3"/>
  <c r="BP509" i="3"/>
  <c r="BO509" i="3"/>
  <c r="BN509" i="3"/>
  <c r="E509" i="3"/>
  <c r="E1169" i="3" s="1"/>
  <c r="D509" i="3"/>
  <c r="D1169" i="3" s="1"/>
  <c r="C509" i="3"/>
  <c r="C1169" i="3" s="1"/>
  <c r="B509" i="3"/>
  <c r="B1169" i="3" s="1"/>
  <c r="A509" i="3"/>
  <c r="A1169" i="3" s="1"/>
  <c r="DU508" i="3"/>
  <c r="DT508" i="3"/>
  <c r="DS508" i="3"/>
  <c r="DR508" i="3"/>
  <c r="DQ508" i="3"/>
  <c r="DP508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Y508" i="3"/>
  <c r="BX508" i="3"/>
  <c r="BW508" i="3"/>
  <c r="BV508" i="3"/>
  <c r="BU508" i="3"/>
  <c r="BT508" i="3"/>
  <c r="BS508" i="3"/>
  <c r="BR508" i="3"/>
  <c r="BQ508" i="3"/>
  <c r="BP508" i="3"/>
  <c r="BO508" i="3"/>
  <c r="BN508" i="3"/>
  <c r="E508" i="3"/>
  <c r="E1168" i="3" s="1"/>
  <c r="D508" i="3"/>
  <c r="D1168" i="3" s="1"/>
  <c r="C508" i="3"/>
  <c r="C1168" i="3" s="1"/>
  <c r="B508" i="3"/>
  <c r="B1168" i="3" s="1"/>
  <c r="A508" i="3"/>
  <c r="A1168" i="3" s="1"/>
  <c r="DU507" i="3"/>
  <c r="DT507" i="3"/>
  <c r="DS507" i="3"/>
  <c r="DR507" i="3"/>
  <c r="DQ507" i="3"/>
  <c r="DP507" i="3"/>
  <c r="DO507" i="3"/>
  <c r="DN507" i="3"/>
  <c r="DM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Y507" i="3"/>
  <c r="BX507" i="3"/>
  <c r="BW507" i="3"/>
  <c r="BV507" i="3"/>
  <c r="BU507" i="3"/>
  <c r="BT507" i="3"/>
  <c r="BS507" i="3"/>
  <c r="BR507" i="3"/>
  <c r="BQ507" i="3"/>
  <c r="BP507" i="3"/>
  <c r="BO507" i="3"/>
  <c r="BN507" i="3"/>
  <c r="E507" i="3"/>
  <c r="E1167" i="3" s="1"/>
  <c r="D507" i="3"/>
  <c r="D1167" i="3" s="1"/>
  <c r="C507" i="3"/>
  <c r="C1167" i="3" s="1"/>
  <c r="B507" i="3"/>
  <c r="B1167" i="3" s="1"/>
  <c r="A507" i="3"/>
  <c r="A1167" i="3" s="1"/>
  <c r="DU506" i="3"/>
  <c r="DT506" i="3"/>
  <c r="DS506" i="3"/>
  <c r="DR506" i="3"/>
  <c r="DQ506" i="3"/>
  <c r="DP506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Y506" i="3"/>
  <c r="BX506" i="3"/>
  <c r="BW506" i="3"/>
  <c r="BV506" i="3"/>
  <c r="BU506" i="3"/>
  <c r="BT506" i="3"/>
  <c r="BS506" i="3"/>
  <c r="BR506" i="3"/>
  <c r="BQ506" i="3"/>
  <c r="BP506" i="3"/>
  <c r="BO506" i="3"/>
  <c r="BN506" i="3"/>
  <c r="E506" i="3"/>
  <c r="E1166" i="3" s="1"/>
  <c r="D506" i="3"/>
  <c r="D1166" i="3" s="1"/>
  <c r="C506" i="3"/>
  <c r="C1166" i="3" s="1"/>
  <c r="B506" i="3"/>
  <c r="B1166" i="3" s="1"/>
  <c r="A506" i="3"/>
  <c r="A1166" i="3" s="1"/>
  <c r="DU505" i="3"/>
  <c r="DT505" i="3"/>
  <c r="DS505" i="3"/>
  <c r="DR505" i="3"/>
  <c r="DQ505" i="3"/>
  <c r="DP505" i="3"/>
  <c r="DO505" i="3"/>
  <c r="DN505" i="3"/>
  <c r="DM505" i="3"/>
  <c r="DL505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C505" i="3"/>
  <c r="CB505" i="3"/>
  <c r="CA505" i="3"/>
  <c r="BZ505" i="3"/>
  <c r="BY505" i="3"/>
  <c r="BX505" i="3"/>
  <c r="BW505" i="3"/>
  <c r="BV505" i="3"/>
  <c r="BU505" i="3"/>
  <c r="BT505" i="3"/>
  <c r="BS505" i="3"/>
  <c r="BR505" i="3"/>
  <c r="BQ505" i="3"/>
  <c r="BP505" i="3"/>
  <c r="BO505" i="3"/>
  <c r="BN505" i="3"/>
  <c r="E505" i="3"/>
  <c r="E1165" i="3" s="1"/>
  <c r="D505" i="3"/>
  <c r="D1165" i="3" s="1"/>
  <c r="C505" i="3"/>
  <c r="C1165" i="3" s="1"/>
  <c r="B505" i="3"/>
  <c r="B1165" i="3" s="1"/>
  <c r="A505" i="3"/>
  <c r="A1165" i="3" s="1"/>
  <c r="DU504" i="3"/>
  <c r="DT504" i="3"/>
  <c r="DS504" i="3"/>
  <c r="DR504" i="3"/>
  <c r="DQ504" i="3"/>
  <c r="DP504" i="3"/>
  <c r="DO504" i="3"/>
  <c r="DN504" i="3"/>
  <c r="DM504" i="3"/>
  <c r="DL504" i="3"/>
  <c r="DK504" i="3"/>
  <c r="DJ504" i="3"/>
  <c r="DI504" i="3"/>
  <c r="DH504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BY504" i="3"/>
  <c r="BX504" i="3"/>
  <c r="BW504" i="3"/>
  <c r="BV504" i="3"/>
  <c r="BU504" i="3"/>
  <c r="BT504" i="3"/>
  <c r="BS504" i="3"/>
  <c r="BR504" i="3"/>
  <c r="BQ504" i="3"/>
  <c r="BP504" i="3"/>
  <c r="BO504" i="3"/>
  <c r="BN504" i="3"/>
  <c r="E504" i="3"/>
  <c r="E1164" i="3" s="1"/>
  <c r="D504" i="3"/>
  <c r="D1164" i="3" s="1"/>
  <c r="C504" i="3"/>
  <c r="C1164" i="3" s="1"/>
  <c r="B504" i="3"/>
  <c r="B1164" i="3" s="1"/>
  <c r="A504" i="3"/>
  <c r="A1164" i="3" s="1"/>
  <c r="DU503" i="3"/>
  <c r="DT503" i="3"/>
  <c r="DS503" i="3"/>
  <c r="DR503" i="3"/>
  <c r="DQ503" i="3"/>
  <c r="DP503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Y503" i="3"/>
  <c r="BX503" i="3"/>
  <c r="BW503" i="3"/>
  <c r="BV503" i="3"/>
  <c r="BU503" i="3"/>
  <c r="BT503" i="3"/>
  <c r="BS503" i="3"/>
  <c r="BR503" i="3"/>
  <c r="BQ503" i="3"/>
  <c r="BP503" i="3"/>
  <c r="BO503" i="3"/>
  <c r="BN503" i="3"/>
  <c r="E503" i="3"/>
  <c r="E1163" i="3" s="1"/>
  <c r="D503" i="3"/>
  <c r="D1163" i="3" s="1"/>
  <c r="C503" i="3"/>
  <c r="C1163" i="3" s="1"/>
  <c r="B503" i="3"/>
  <c r="B1163" i="3" s="1"/>
  <c r="A503" i="3"/>
  <c r="A1163" i="3" s="1"/>
  <c r="DU502" i="3"/>
  <c r="DT502" i="3"/>
  <c r="DS502" i="3"/>
  <c r="DR502" i="3"/>
  <c r="DQ502" i="3"/>
  <c r="DP502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Y502" i="3"/>
  <c r="BX502" i="3"/>
  <c r="BW502" i="3"/>
  <c r="BV502" i="3"/>
  <c r="BU502" i="3"/>
  <c r="BT502" i="3"/>
  <c r="BS502" i="3"/>
  <c r="BR502" i="3"/>
  <c r="BQ502" i="3"/>
  <c r="BP502" i="3"/>
  <c r="BO502" i="3"/>
  <c r="BN502" i="3"/>
  <c r="E502" i="3"/>
  <c r="E1162" i="3" s="1"/>
  <c r="D502" i="3"/>
  <c r="D1162" i="3" s="1"/>
  <c r="C502" i="3"/>
  <c r="C1162" i="3" s="1"/>
  <c r="B502" i="3"/>
  <c r="B1162" i="3" s="1"/>
  <c r="A502" i="3"/>
  <c r="A1162" i="3" s="1"/>
  <c r="DU501" i="3"/>
  <c r="DT501" i="3"/>
  <c r="DS501" i="3"/>
  <c r="DR501" i="3"/>
  <c r="DQ501" i="3"/>
  <c r="DP501" i="3"/>
  <c r="DO501" i="3"/>
  <c r="DN501" i="3"/>
  <c r="DM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Y501" i="3"/>
  <c r="BX501" i="3"/>
  <c r="BW501" i="3"/>
  <c r="BV501" i="3"/>
  <c r="BU501" i="3"/>
  <c r="BT501" i="3"/>
  <c r="BS501" i="3"/>
  <c r="BR501" i="3"/>
  <c r="BQ501" i="3"/>
  <c r="BP501" i="3"/>
  <c r="BO501" i="3"/>
  <c r="BN501" i="3"/>
  <c r="E501" i="3"/>
  <c r="E1161" i="3" s="1"/>
  <c r="D501" i="3"/>
  <c r="D1161" i="3" s="1"/>
  <c r="C501" i="3"/>
  <c r="C1161" i="3" s="1"/>
  <c r="B501" i="3"/>
  <c r="B1161" i="3" s="1"/>
  <c r="A501" i="3"/>
  <c r="A1161" i="3" s="1"/>
  <c r="DU500" i="3"/>
  <c r="DT500" i="3"/>
  <c r="DS500" i="3"/>
  <c r="DR500" i="3"/>
  <c r="DQ500" i="3"/>
  <c r="DP500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Y500" i="3"/>
  <c r="BX500" i="3"/>
  <c r="BW500" i="3"/>
  <c r="BV500" i="3"/>
  <c r="BU500" i="3"/>
  <c r="BT500" i="3"/>
  <c r="BS500" i="3"/>
  <c r="BR500" i="3"/>
  <c r="BQ500" i="3"/>
  <c r="BP500" i="3"/>
  <c r="BO500" i="3"/>
  <c r="BN500" i="3"/>
  <c r="E500" i="3"/>
  <c r="E1160" i="3" s="1"/>
  <c r="D500" i="3"/>
  <c r="D1160" i="3" s="1"/>
  <c r="C500" i="3"/>
  <c r="C1160" i="3" s="1"/>
  <c r="B500" i="3"/>
  <c r="B1160" i="3" s="1"/>
  <c r="A500" i="3"/>
  <c r="A1160" i="3" s="1"/>
  <c r="DU499" i="3"/>
  <c r="DT499" i="3"/>
  <c r="DS499" i="3"/>
  <c r="DR499" i="3"/>
  <c r="DQ499" i="3"/>
  <c r="DP499" i="3"/>
  <c r="DO499" i="3"/>
  <c r="DN499" i="3"/>
  <c r="DM499" i="3"/>
  <c r="DL499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C499" i="3"/>
  <c r="CB499" i="3"/>
  <c r="CA499" i="3"/>
  <c r="BZ499" i="3"/>
  <c r="BY499" i="3"/>
  <c r="BX499" i="3"/>
  <c r="BW499" i="3"/>
  <c r="BV499" i="3"/>
  <c r="BU499" i="3"/>
  <c r="BT499" i="3"/>
  <c r="BS499" i="3"/>
  <c r="BR499" i="3"/>
  <c r="BQ499" i="3"/>
  <c r="BP499" i="3"/>
  <c r="BO499" i="3"/>
  <c r="BN499" i="3"/>
  <c r="E499" i="3"/>
  <c r="E1159" i="3" s="1"/>
  <c r="D499" i="3"/>
  <c r="D1159" i="3" s="1"/>
  <c r="C499" i="3"/>
  <c r="C1159" i="3" s="1"/>
  <c r="B499" i="3"/>
  <c r="B1159" i="3" s="1"/>
  <c r="A499" i="3"/>
  <c r="A1159" i="3" s="1"/>
  <c r="DU498" i="3"/>
  <c r="DT498" i="3"/>
  <c r="DS498" i="3"/>
  <c r="DR498" i="3"/>
  <c r="DQ498" i="3"/>
  <c r="DP498" i="3"/>
  <c r="DO498" i="3"/>
  <c r="DN498" i="3"/>
  <c r="DM498" i="3"/>
  <c r="DL498" i="3"/>
  <c r="DK498" i="3"/>
  <c r="DJ498" i="3"/>
  <c r="DI498" i="3"/>
  <c r="DH498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BY498" i="3"/>
  <c r="BX498" i="3"/>
  <c r="BW498" i="3"/>
  <c r="BV498" i="3"/>
  <c r="BU498" i="3"/>
  <c r="BT498" i="3"/>
  <c r="BS498" i="3"/>
  <c r="BR498" i="3"/>
  <c r="BQ498" i="3"/>
  <c r="BP498" i="3"/>
  <c r="BO498" i="3"/>
  <c r="BN498" i="3"/>
  <c r="E498" i="3"/>
  <c r="B498" i="3"/>
  <c r="A498" i="3"/>
  <c r="DU497" i="3"/>
  <c r="DT497" i="3"/>
  <c r="DS497" i="3"/>
  <c r="DR497" i="3"/>
  <c r="DQ497" i="3"/>
  <c r="DP497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BY497" i="3"/>
  <c r="BX497" i="3"/>
  <c r="BW497" i="3"/>
  <c r="BV497" i="3"/>
  <c r="BU497" i="3"/>
  <c r="BT497" i="3"/>
  <c r="BS497" i="3"/>
  <c r="BR497" i="3"/>
  <c r="BQ497" i="3"/>
  <c r="BP497" i="3"/>
  <c r="BO497" i="3"/>
  <c r="BN497" i="3"/>
  <c r="E497" i="3"/>
  <c r="B497" i="3"/>
  <c r="A497" i="3"/>
  <c r="DU496" i="3"/>
  <c r="DT496" i="3"/>
  <c r="DS496" i="3"/>
  <c r="DR496" i="3"/>
  <c r="DQ496" i="3"/>
  <c r="DP496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BY496" i="3"/>
  <c r="BX496" i="3"/>
  <c r="BW496" i="3"/>
  <c r="BV496" i="3"/>
  <c r="BU496" i="3"/>
  <c r="BT496" i="3"/>
  <c r="BS496" i="3"/>
  <c r="BR496" i="3"/>
  <c r="BQ496" i="3"/>
  <c r="BP496" i="3"/>
  <c r="BO496" i="3"/>
  <c r="BN496" i="3"/>
  <c r="E496" i="3"/>
  <c r="E1158" i="3" s="1"/>
  <c r="D496" i="3"/>
  <c r="D1158" i="3" s="1"/>
  <c r="C496" i="3"/>
  <c r="C1158" i="3" s="1"/>
  <c r="B496" i="3"/>
  <c r="B1158" i="3" s="1"/>
  <c r="A496" i="3"/>
  <c r="A1158" i="3" s="1"/>
  <c r="DU495" i="3"/>
  <c r="DT495" i="3"/>
  <c r="DS495" i="3"/>
  <c r="DR495" i="3"/>
  <c r="DQ495" i="3"/>
  <c r="DP495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BY495" i="3"/>
  <c r="BX495" i="3"/>
  <c r="BW495" i="3"/>
  <c r="BV495" i="3"/>
  <c r="BU495" i="3"/>
  <c r="BT495" i="3"/>
  <c r="BS495" i="3"/>
  <c r="BR495" i="3"/>
  <c r="BQ495" i="3"/>
  <c r="BP495" i="3"/>
  <c r="BO495" i="3"/>
  <c r="BN495" i="3"/>
  <c r="E495" i="3"/>
  <c r="E1157" i="3" s="1"/>
  <c r="D495" i="3"/>
  <c r="D1157" i="3" s="1"/>
  <c r="C495" i="3"/>
  <c r="C1157" i="3" s="1"/>
  <c r="B495" i="3"/>
  <c r="B1157" i="3" s="1"/>
  <c r="A495" i="3"/>
  <c r="A1157" i="3" s="1"/>
  <c r="DU494" i="3"/>
  <c r="DT494" i="3"/>
  <c r="DS494" i="3"/>
  <c r="DR494" i="3"/>
  <c r="DQ494" i="3"/>
  <c r="DP494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BY494" i="3"/>
  <c r="BX494" i="3"/>
  <c r="BW494" i="3"/>
  <c r="BV494" i="3"/>
  <c r="BU494" i="3"/>
  <c r="BT494" i="3"/>
  <c r="BS494" i="3"/>
  <c r="BR494" i="3"/>
  <c r="BQ494" i="3"/>
  <c r="BP494" i="3"/>
  <c r="BO494" i="3"/>
  <c r="BN494" i="3"/>
  <c r="E494" i="3"/>
  <c r="E1156" i="3" s="1"/>
  <c r="D494" i="3"/>
  <c r="D1156" i="3" s="1"/>
  <c r="C494" i="3"/>
  <c r="C1156" i="3" s="1"/>
  <c r="B494" i="3"/>
  <c r="B1156" i="3" s="1"/>
  <c r="A494" i="3"/>
  <c r="A1156" i="3" s="1"/>
  <c r="DU493" i="3"/>
  <c r="DT493" i="3"/>
  <c r="DS493" i="3"/>
  <c r="DR493" i="3"/>
  <c r="DQ493" i="3"/>
  <c r="DP493" i="3"/>
  <c r="DO493" i="3"/>
  <c r="DN493" i="3"/>
  <c r="DM493" i="3"/>
  <c r="DL493" i="3"/>
  <c r="DK493" i="3"/>
  <c r="DJ493" i="3"/>
  <c r="DI493" i="3"/>
  <c r="DH493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Y493" i="3"/>
  <c r="BX493" i="3"/>
  <c r="BW493" i="3"/>
  <c r="BV493" i="3"/>
  <c r="BU493" i="3"/>
  <c r="BT493" i="3"/>
  <c r="BS493" i="3"/>
  <c r="BR493" i="3"/>
  <c r="BQ493" i="3"/>
  <c r="BP493" i="3"/>
  <c r="BO493" i="3"/>
  <c r="BN493" i="3"/>
  <c r="E493" i="3"/>
  <c r="E1155" i="3" s="1"/>
  <c r="D493" i="3"/>
  <c r="D1155" i="3" s="1"/>
  <c r="C493" i="3"/>
  <c r="C1155" i="3" s="1"/>
  <c r="B493" i="3"/>
  <c r="B1155" i="3" s="1"/>
  <c r="A493" i="3"/>
  <c r="A1155" i="3" s="1"/>
  <c r="DU492" i="3"/>
  <c r="DT492" i="3"/>
  <c r="DS492" i="3"/>
  <c r="DR492" i="3"/>
  <c r="DQ492" i="3"/>
  <c r="DP492" i="3"/>
  <c r="DO492" i="3"/>
  <c r="DN492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Y492" i="3"/>
  <c r="BX492" i="3"/>
  <c r="BW492" i="3"/>
  <c r="BV492" i="3"/>
  <c r="BU492" i="3"/>
  <c r="BT492" i="3"/>
  <c r="BS492" i="3"/>
  <c r="BR492" i="3"/>
  <c r="BQ492" i="3"/>
  <c r="BP492" i="3"/>
  <c r="BO492" i="3"/>
  <c r="BN492" i="3"/>
  <c r="E492" i="3"/>
  <c r="E1154" i="3" s="1"/>
  <c r="D492" i="3"/>
  <c r="D1154" i="3" s="1"/>
  <c r="C492" i="3"/>
  <c r="C1154" i="3" s="1"/>
  <c r="B492" i="3"/>
  <c r="B1154" i="3" s="1"/>
  <c r="A492" i="3"/>
  <c r="A1154" i="3" s="1"/>
  <c r="DU491" i="3"/>
  <c r="DT491" i="3"/>
  <c r="DS491" i="3"/>
  <c r="DR491" i="3"/>
  <c r="DQ491" i="3"/>
  <c r="DP491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Y491" i="3"/>
  <c r="BX491" i="3"/>
  <c r="BW491" i="3"/>
  <c r="BV491" i="3"/>
  <c r="BU491" i="3"/>
  <c r="BT491" i="3"/>
  <c r="BS491" i="3"/>
  <c r="BR491" i="3"/>
  <c r="BQ491" i="3"/>
  <c r="BP491" i="3"/>
  <c r="BO491" i="3"/>
  <c r="BN491" i="3"/>
  <c r="E491" i="3"/>
  <c r="E1153" i="3" s="1"/>
  <c r="D491" i="3"/>
  <c r="D1153" i="3" s="1"/>
  <c r="C491" i="3"/>
  <c r="C1153" i="3" s="1"/>
  <c r="B491" i="3"/>
  <c r="B1153" i="3" s="1"/>
  <c r="A491" i="3"/>
  <c r="A1153" i="3" s="1"/>
  <c r="DU490" i="3"/>
  <c r="DT490" i="3"/>
  <c r="DS490" i="3"/>
  <c r="DR490" i="3"/>
  <c r="DQ490" i="3"/>
  <c r="DP490" i="3"/>
  <c r="DO490" i="3"/>
  <c r="DN490" i="3"/>
  <c r="DM490" i="3"/>
  <c r="DL490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C490" i="3"/>
  <c r="CB490" i="3"/>
  <c r="CA490" i="3"/>
  <c r="BZ490" i="3"/>
  <c r="BY490" i="3"/>
  <c r="BX490" i="3"/>
  <c r="BW490" i="3"/>
  <c r="BV490" i="3"/>
  <c r="BU490" i="3"/>
  <c r="BT490" i="3"/>
  <c r="BS490" i="3"/>
  <c r="BR490" i="3"/>
  <c r="BQ490" i="3"/>
  <c r="BP490" i="3"/>
  <c r="BO490" i="3"/>
  <c r="BN490" i="3"/>
  <c r="E490" i="3"/>
  <c r="E1152" i="3" s="1"/>
  <c r="D490" i="3"/>
  <c r="D1152" i="3" s="1"/>
  <c r="C490" i="3"/>
  <c r="C1152" i="3" s="1"/>
  <c r="B490" i="3"/>
  <c r="B1152" i="3" s="1"/>
  <c r="A490" i="3"/>
  <c r="A1152" i="3" s="1"/>
  <c r="DU489" i="3"/>
  <c r="DT489" i="3"/>
  <c r="DS489" i="3"/>
  <c r="DR489" i="3"/>
  <c r="DQ489" i="3"/>
  <c r="DP489" i="3"/>
  <c r="DO489" i="3"/>
  <c r="DN489" i="3"/>
  <c r="DM489" i="3"/>
  <c r="DL489" i="3"/>
  <c r="DK489" i="3"/>
  <c r="DJ489" i="3"/>
  <c r="DI489" i="3"/>
  <c r="DH489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BY489" i="3"/>
  <c r="BX489" i="3"/>
  <c r="BW489" i="3"/>
  <c r="BV489" i="3"/>
  <c r="BU489" i="3"/>
  <c r="BT489" i="3"/>
  <c r="BS489" i="3"/>
  <c r="BR489" i="3"/>
  <c r="BQ489" i="3"/>
  <c r="BP489" i="3"/>
  <c r="BO489" i="3"/>
  <c r="BN489" i="3"/>
  <c r="E489" i="3"/>
  <c r="E1151" i="3" s="1"/>
  <c r="D489" i="3"/>
  <c r="D1151" i="3" s="1"/>
  <c r="C489" i="3"/>
  <c r="C1151" i="3" s="1"/>
  <c r="B489" i="3"/>
  <c r="B1151" i="3" s="1"/>
  <c r="A489" i="3"/>
  <c r="A1151" i="3" s="1"/>
  <c r="DU488" i="3"/>
  <c r="DT488" i="3"/>
  <c r="DS488" i="3"/>
  <c r="DR488" i="3"/>
  <c r="DQ488" i="3"/>
  <c r="DP488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BY488" i="3"/>
  <c r="BX488" i="3"/>
  <c r="BW488" i="3"/>
  <c r="BV488" i="3"/>
  <c r="BU488" i="3"/>
  <c r="BT488" i="3"/>
  <c r="BS488" i="3"/>
  <c r="BR488" i="3"/>
  <c r="BQ488" i="3"/>
  <c r="BP488" i="3"/>
  <c r="BO488" i="3"/>
  <c r="BN488" i="3"/>
  <c r="E488" i="3"/>
  <c r="E1150" i="3" s="1"/>
  <c r="D488" i="3"/>
  <c r="D1150" i="3" s="1"/>
  <c r="C488" i="3"/>
  <c r="C1150" i="3" s="1"/>
  <c r="B488" i="3"/>
  <c r="B1150" i="3" s="1"/>
  <c r="A488" i="3"/>
  <c r="A1150" i="3" s="1"/>
  <c r="DU487" i="3"/>
  <c r="DT487" i="3"/>
  <c r="DS487" i="3"/>
  <c r="DR487" i="3"/>
  <c r="DQ487" i="3"/>
  <c r="DP487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BY487" i="3"/>
  <c r="BX487" i="3"/>
  <c r="BW487" i="3"/>
  <c r="BV487" i="3"/>
  <c r="BU487" i="3"/>
  <c r="BT487" i="3"/>
  <c r="BS487" i="3"/>
  <c r="BR487" i="3"/>
  <c r="BQ487" i="3"/>
  <c r="BP487" i="3"/>
  <c r="BO487" i="3"/>
  <c r="BN487" i="3"/>
  <c r="E487" i="3"/>
  <c r="E1149" i="3" s="1"/>
  <c r="D487" i="3"/>
  <c r="D1149" i="3" s="1"/>
  <c r="C487" i="3"/>
  <c r="C1149" i="3" s="1"/>
  <c r="B487" i="3"/>
  <c r="B1149" i="3" s="1"/>
  <c r="A487" i="3"/>
  <c r="A1149" i="3" s="1"/>
  <c r="DU486" i="3"/>
  <c r="DT486" i="3"/>
  <c r="DS486" i="3"/>
  <c r="DR486" i="3"/>
  <c r="DQ486" i="3"/>
  <c r="DP486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BY486" i="3"/>
  <c r="BX486" i="3"/>
  <c r="BW486" i="3"/>
  <c r="BV486" i="3"/>
  <c r="BU486" i="3"/>
  <c r="BT486" i="3"/>
  <c r="BS486" i="3"/>
  <c r="BR486" i="3"/>
  <c r="BQ486" i="3"/>
  <c r="BP486" i="3"/>
  <c r="BO486" i="3"/>
  <c r="BN486" i="3"/>
  <c r="E486" i="3"/>
  <c r="E1148" i="3" s="1"/>
  <c r="D486" i="3"/>
  <c r="D1148" i="3" s="1"/>
  <c r="C486" i="3"/>
  <c r="C1148" i="3" s="1"/>
  <c r="B486" i="3"/>
  <c r="B1148" i="3" s="1"/>
  <c r="A486" i="3"/>
  <c r="A1148" i="3" s="1"/>
  <c r="DU485" i="3"/>
  <c r="DT485" i="3"/>
  <c r="DS485" i="3"/>
  <c r="DR485" i="3"/>
  <c r="DQ485" i="3"/>
  <c r="DP485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BY485" i="3"/>
  <c r="BX485" i="3"/>
  <c r="BW485" i="3"/>
  <c r="BV485" i="3"/>
  <c r="BU485" i="3"/>
  <c r="BT485" i="3"/>
  <c r="BS485" i="3"/>
  <c r="BR485" i="3"/>
  <c r="BQ485" i="3"/>
  <c r="BP485" i="3"/>
  <c r="BO485" i="3"/>
  <c r="BN485" i="3"/>
  <c r="E485" i="3"/>
  <c r="E1147" i="3" s="1"/>
  <c r="D485" i="3"/>
  <c r="D1147" i="3" s="1"/>
  <c r="C485" i="3"/>
  <c r="C1147" i="3" s="1"/>
  <c r="B485" i="3"/>
  <c r="B1147" i="3" s="1"/>
  <c r="A485" i="3"/>
  <c r="A1147" i="3" s="1"/>
  <c r="DU484" i="3"/>
  <c r="DT484" i="3"/>
  <c r="DS484" i="3"/>
  <c r="DR484" i="3"/>
  <c r="DQ484" i="3"/>
  <c r="DP484" i="3"/>
  <c r="DO484" i="3"/>
  <c r="DN484" i="3"/>
  <c r="DM484" i="3"/>
  <c r="DL484" i="3"/>
  <c r="DK484" i="3"/>
  <c r="DJ484" i="3"/>
  <c r="DI484" i="3"/>
  <c r="DH484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Y484" i="3"/>
  <c r="BX484" i="3"/>
  <c r="BW484" i="3"/>
  <c r="BV484" i="3"/>
  <c r="BU484" i="3"/>
  <c r="BT484" i="3"/>
  <c r="BS484" i="3"/>
  <c r="BR484" i="3"/>
  <c r="BQ484" i="3"/>
  <c r="BP484" i="3"/>
  <c r="BO484" i="3"/>
  <c r="BN484" i="3"/>
  <c r="E484" i="3"/>
  <c r="E1146" i="3" s="1"/>
  <c r="D484" i="3"/>
  <c r="D1146" i="3" s="1"/>
  <c r="C484" i="3"/>
  <c r="C1146" i="3" s="1"/>
  <c r="B484" i="3"/>
  <c r="B1146" i="3" s="1"/>
  <c r="A484" i="3"/>
  <c r="A1146" i="3" s="1"/>
  <c r="DU483" i="3"/>
  <c r="DT483" i="3"/>
  <c r="DS483" i="3"/>
  <c r="DR483" i="3"/>
  <c r="DQ483" i="3"/>
  <c r="DP483" i="3"/>
  <c r="DO483" i="3"/>
  <c r="DN483" i="3"/>
  <c r="DM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Y483" i="3"/>
  <c r="BX483" i="3"/>
  <c r="BW483" i="3"/>
  <c r="BV483" i="3"/>
  <c r="BU483" i="3"/>
  <c r="BT483" i="3"/>
  <c r="BS483" i="3"/>
  <c r="BR483" i="3"/>
  <c r="BQ483" i="3"/>
  <c r="BP483" i="3"/>
  <c r="BO483" i="3"/>
  <c r="BN483" i="3"/>
  <c r="E483" i="3"/>
  <c r="E1145" i="3" s="1"/>
  <c r="D483" i="3"/>
  <c r="D1145" i="3" s="1"/>
  <c r="C483" i="3"/>
  <c r="C1145" i="3" s="1"/>
  <c r="B483" i="3"/>
  <c r="B1145" i="3" s="1"/>
  <c r="A483" i="3"/>
  <c r="A1145" i="3" s="1"/>
  <c r="DU482" i="3"/>
  <c r="DT482" i="3"/>
  <c r="DS482" i="3"/>
  <c r="DR482" i="3"/>
  <c r="DQ482" i="3"/>
  <c r="DP482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Y482" i="3"/>
  <c r="BX482" i="3"/>
  <c r="BW482" i="3"/>
  <c r="BV482" i="3"/>
  <c r="BU482" i="3"/>
  <c r="BT482" i="3"/>
  <c r="BS482" i="3"/>
  <c r="BR482" i="3"/>
  <c r="BQ482" i="3"/>
  <c r="BP482" i="3"/>
  <c r="BO482" i="3"/>
  <c r="BN482" i="3"/>
  <c r="E482" i="3"/>
  <c r="E1144" i="3" s="1"/>
  <c r="D482" i="3"/>
  <c r="D1144" i="3" s="1"/>
  <c r="C482" i="3"/>
  <c r="C1144" i="3" s="1"/>
  <c r="B482" i="3"/>
  <c r="B1144" i="3" s="1"/>
  <c r="A482" i="3"/>
  <c r="A1144" i="3" s="1"/>
  <c r="DU481" i="3"/>
  <c r="DT481" i="3"/>
  <c r="DS481" i="3"/>
  <c r="DR481" i="3"/>
  <c r="DQ481" i="3"/>
  <c r="DP481" i="3"/>
  <c r="DO481" i="3"/>
  <c r="DN481" i="3"/>
  <c r="DM481" i="3"/>
  <c r="DL481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C481" i="3"/>
  <c r="CB481" i="3"/>
  <c r="CA481" i="3"/>
  <c r="BZ481" i="3"/>
  <c r="BY481" i="3"/>
  <c r="BX481" i="3"/>
  <c r="BW481" i="3"/>
  <c r="BV481" i="3"/>
  <c r="BU481" i="3"/>
  <c r="BT481" i="3"/>
  <c r="BS481" i="3"/>
  <c r="BR481" i="3"/>
  <c r="BQ481" i="3"/>
  <c r="BP481" i="3"/>
  <c r="BO481" i="3"/>
  <c r="BN481" i="3"/>
  <c r="E481" i="3"/>
  <c r="E1143" i="3" s="1"/>
  <c r="D481" i="3"/>
  <c r="D1143" i="3" s="1"/>
  <c r="C481" i="3"/>
  <c r="C1143" i="3" s="1"/>
  <c r="B481" i="3"/>
  <c r="B1143" i="3" s="1"/>
  <c r="A481" i="3"/>
  <c r="A1143" i="3" s="1"/>
  <c r="DU480" i="3"/>
  <c r="DT480" i="3"/>
  <c r="DS480" i="3"/>
  <c r="DR480" i="3"/>
  <c r="DQ480" i="3"/>
  <c r="DP480" i="3"/>
  <c r="DO480" i="3"/>
  <c r="DN480" i="3"/>
  <c r="DM480" i="3"/>
  <c r="DL480" i="3"/>
  <c r="DK480" i="3"/>
  <c r="DJ480" i="3"/>
  <c r="DI480" i="3"/>
  <c r="DH480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BY480" i="3"/>
  <c r="BX480" i="3"/>
  <c r="BW480" i="3"/>
  <c r="BV480" i="3"/>
  <c r="BU480" i="3"/>
  <c r="BT480" i="3"/>
  <c r="BS480" i="3"/>
  <c r="BR480" i="3"/>
  <c r="BQ480" i="3"/>
  <c r="BP480" i="3"/>
  <c r="BO480" i="3"/>
  <c r="BN480" i="3"/>
  <c r="E480" i="3"/>
  <c r="E1142" i="3" s="1"/>
  <c r="D480" i="3"/>
  <c r="D1142" i="3" s="1"/>
  <c r="C480" i="3"/>
  <c r="C1142" i="3" s="1"/>
  <c r="B480" i="3"/>
  <c r="B1142" i="3" s="1"/>
  <c r="A480" i="3"/>
  <c r="A1142" i="3" s="1"/>
  <c r="DU479" i="3"/>
  <c r="DT479" i="3"/>
  <c r="DS479" i="3"/>
  <c r="DR479" i="3"/>
  <c r="DQ479" i="3"/>
  <c r="DP479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BY479" i="3"/>
  <c r="BX479" i="3"/>
  <c r="BW479" i="3"/>
  <c r="BV479" i="3"/>
  <c r="BU479" i="3"/>
  <c r="BT479" i="3"/>
  <c r="BS479" i="3"/>
  <c r="BR479" i="3"/>
  <c r="BQ479" i="3"/>
  <c r="BP479" i="3"/>
  <c r="BO479" i="3"/>
  <c r="BN479" i="3"/>
  <c r="E479" i="3"/>
  <c r="E1141" i="3" s="1"/>
  <c r="D479" i="3"/>
  <c r="D1141" i="3" s="1"/>
  <c r="C479" i="3"/>
  <c r="C1141" i="3" s="1"/>
  <c r="B479" i="3"/>
  <c r="B1141" i="3" s="1"/>
  <c r="A479" i="3"/>
  <c r="A1141" i="3" s="1"/>
  <c r="DU478" i="3"/>
  <c r="DT478" i="3"/>
  <c r="DS478" i="3"/>
  <c r="DR478" i="3"/>
  <c r="DQ478" i="3"/>
  <c r="DP478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BY478" i="3"/>
  <c r="BX478" i="3"/>
  <c r="BW478" i="3"/>
  <c r="BV478" i="3"/>
  <c r="BU478" i="3"/>
  <c r="BT478" i="3"/>
  <c r="BS478" i="3"/>
  <c r="BR478" i="3"/>
  <c r="BQ478" i="3"/>
  <c r="BP478" i="3"/>
  <c r="BO478" i="3"/>
  <c r="BN478" i="3"/>
  <c r="E478" i="3"/>
  <c r="E1140" i="3" s="1"/>
  <c r="D478" i="3"/>
  <c r="D1140" i="3" s="1"/>
  <c r="C478" i="3"/>
  <c r="C1140" i="3" s="1"/>
  <c r="B478" i="3"/>
  <c r="B1140" i="3" s="1"/>
  <c r="A478" i="3"/>
  <c r="A1140" i="3" s="1"/>
  <c r="DU477" i="3"/>
  <c r="DT477" i="3"/>
  <c r="DS477" i="3"/>
  <c r="DR477" i="3"/>
  <c r="DQ477" i="3"/>
  <c r="DP477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BY477" i="3"/>
  <c r="BX477" i="3"/>
  <c r="BW477" i="3"/>
  <c r="BV477" i="3"/>
  <c r="BU477" i="3"/>
  <c r="BT477" i="3"/>
  <c r="BS477" i="3"/>
  <c r="BR477" i="3"/>
  <c r="BQ477" i="3"/>
  <c r="BP477" i="3"/>
  <c r="BO477" i="3"/>
  <c r="BN477" i="3"/>
  <c r="E477" i="3"/>
  <c r="E1139" i="3" s="1"/>
  <c r="D477" i="3"/>
  <c r="D1139" i="3" s="1"/>
  <c r="C477" i="3"/>
  <c r="C1139" i="3" s="1"/>
  <c r="B477" i="3"/>
  <c r="B1139" i="3" s="1"/>
  <c r="A477" i="3"/>
  <c r="A1139" i="3" s="1"/>
  <c r="DU476" i="3"/>
  <c r="DT476" i="3"/>
  <c r="DS476" i="3"/>
  <c r="DR476" i="3"/>
  <c r="DQ476" i="3"/>
  <c r="DP476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BY476" i="3"/>
  <c r="BX476" i="3"/>
  <c r="BW476" i="3"/>
  <c r="BV476" i="3"/>
  <c r="BU476" i="3"/>
  <c r="BT476" i="3"/>
  <c r="BS476" i="3"/>
  <c r="BR476" i="3"/>
  <c r="BQ476" i="3"/>
  <c r="BP476" i="3"/>
  <c r="BO476" i="3"/>
  <c r="BN476" i="3"/>
  <c r="E476" i="3"/>
  <c r="E1138" i="3" s="1"/>
  <c r="D476" i="3"/>
  <c r="D1138" i="3" s="1"/>
  <c r="C476" i="3"/>
  <c r="C1138" i="3" s="1"/>
  <c r="B476" i="3"/>
  <c r="B1138" i="3" s="1"/>
  <c r="A476" i="3"/>
  <c r="A1138" i="3" s="1"/>
  <c r="DU475" i="3"/>
  <c r="DT475" i="3"/>
  <c r="DS475" i="3"/>
  <c r="DR475" i="3"/>
  <c r="DQ475" i="3"/>
  <c r="DP475" i="3"/>
  <c r="DO475" i="3"/>
  <c r="DN475" i="3"/>
  <c r="DM475" i="3"/>
  <c r="DL475" i="3"/>
  <c r="DK475" i="3"/>
  <c r="DJ475" i="3"/>
  <c r="DI475" i="3"/>
  <c r="DH475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Y475" i="3"/>
  <c r="BX475" i="3"/>
  <c r="BW475" i="3"/>
  <c r="BV475" i="3"/>
  <c r="BU475" i="3"/>
  <c r="BT475" i="3"/>
  <c r="BS475" i="3"/>
  <c r="BR475" i="3"/>
  <c r="BQ475" i="3"/>
  <c r="BP475" i="3"/>
  <c r="BO475" i="3"/>
  <c r="BN475" i="3"/>
  <c r="E475" i="3"/>
  <c r="E1137" i="3" s="1"/>
  <c r="D475" i="3"/>
  <c r="D1137" i="3" s="1"/>
  <c r="C475" i="3"/>
  <c r="C1137" i="3" s="1"/>
  <c r="B475" i="3"/>
  <c r="B1137" i="3" s="1"/>
  <c r="A475" i="3"/>
  <c r="A1137" i="3" s="1"/>
  <c r="DU474" i="3"/>
  <c r="DT474" i="3"/>
  <c r="DS474" i="3"/>
  <c r="DR474" i="3"/>
  <c r="DQ474" i="3"/>
  <c r="DP474" i="3"/>
  <c r="DO474" i="3"/>
  <c r="DN474" i="3"/>
  <c r="DM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Y474" i="3"/>
  <c r="BX474" i="3"/>
  <c r="BW474" i="3"/>
  <c r="BV474" i="3"/>
  <c r="BU474" i="3"/>
  <c r="BT474" i="3"/>
  <c r="BS474" i="3"/>
  <c r="BR474" i="3"/>
  <c r="BQ474" i="3"/>
  <c r="BP474" i="3"/>
  <c r="BO474" i="3"/>
  <c r="BN474" i="3"/>
  <c r="E474" i="3"/>
  <c r="E1136" i="3" s="1"/>
  <c r="D474" i="3"/>
  <c r="D1136" i="3" s="1"/>
  <c r="C474" i="3"/>
  <c r="C1136" i="3" s="1"/>
  <c r="B474" i="3"/>
  <c r="B1136" i="3" s="1"/>
  <c r="A474" i="3"/>
  <c r="A1136" i="3" s="1"/>
  <c r="DU473" i="3"/>
  <c r="DT473" i="3"/>
  <c r="DS473" i="3"/>
  <c r="DR473" i="3"/>
  <c r="DQ473" i="3"/>
  <c r="DP473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Y473" i="3"/>
  <c r="BX473" i="3"/>
  <c r="BW473" i="3"/>
  <c r="BV473" i="3"/>
  <c r="BU473" i="3"/>
  <c r="BT473" i="3"/>
  <c r="BS473" i="3"/>
  <c r="BR473" i="3"/>
  <c r="BQ473" i="3"/>
  <c r="BP473" i="3"/>
  <c r="BO473" i="3"/>
  <c r="BN473" i="3"/>
  <c r="E473" i="3"/>
  <c r="E1135" i="3" s="1"/>
  <c r="D473" i="3"/>
  <c r="D1135" i="3" s="1"/>
  <c r="C473" i="3"/>
  <c r="C1135" i="3" s="1"/>
  <c r="B473" i="3"/>
  <c r="B1135" i="3" s="1"/>
  <c r="A473" i="3"/>
  <c r="A1135" i="3" s="1"/>
  <c r="DU472" i="3"/>
  <c r="DT472" i="3"/>
  <c r="DS472" i="3"/>
  <c r="DR472" i="3"/>
  <c r="DQ472" i="3"/>
  <c r="DP472" i="3"/>
  <c r="DO472" i="3"/>
  <c r="DN472" i="3"/>
  <c r="DM472" i="3"/>
  <c r="DL472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C472" i="3"/>
  <c r="CB472" i="3"/>
  <c r="CA472" i="3"/>
  <c r="BZ472" i="3"/>
  <c r="BY472" i="3"/>
  <c r="BX472" i="3"/>
  <c r="BW472" i="3"/>
  <c r="BV472" i="3"/>
  <c r="BU472" i="3"/>
  <c r="BT472" i="3"/>
  <c r="BS472" i="3"/>
  <c r="BR472" i="3"/>
  <c r="BQ472" i="3"/>
  <c r="BP472" i="3"/>
  <c r="BO472" i="3"/>
  <c r="BN472" i="3"/>
  <c r="E472" i="3"/>
  <c r="E1134" i="3" s="1"/>
  <c r="D472" i="3"/>
  <c r="D1134" i="3" s="1"/>
  <c r="C472" i="3"/>
  <c r="C1134" i="3" s="1"/>
  <c r="B472" i="3"/>
  <c r="B1134" i="3" s="1"/>
  <c r="A472" i="3"/>
  <c r="A1134" i="3" s="1"/>
  <c r="DU471" i="3"/>
  <c r="DT471" i="3"/>
  <c r="DS471" i="3"/>
  <c r="DR471" i="3"/>
  <c r="DQ471" i="3"/>
  <c r="DP471" i="3"/>
  <c r="DO471" i="3"/>
  <c r="DN471" i="3"/>
  <c r="DM471" i="3"/>
  <c r="DL471" i="3"/>
  <c r="DK471" i="3"/>
  <c r="DJ471" i="3"/>
  <c r="DI471" i="3"/>
  <c r="DH471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BY471" i="3"/>
  <c r="BX471" i="3"/>
  <c r="BW471" i="3"/>
  <c r="BV471" i="3"/>
  <c r="BU471" i="3"/>
  <c r="BT471" i="3"/>
  <c r="BS471" i="3"/>
  <c r="BR471" i="3"/>
  <c r="BQ471" i="3"/>
  <c r="BP471" i="3"/>
  <c r="BO471" i="3"/>
  <c r="BN471" i="3"/>
  <c r="E471" i="3"/>
  <c r="E1133" i="3" s="1"/>
  <c r="D471" i="3"/>
  <c r="D1133" i="3" s="1"/>
  <c r="C471" i="3"/>
  <c r="C1133" i="3" s="1"/>
  <c r="B471" i="3"/>
  <c r="B1133" i="3" s="1"/>
  <c r="A471" i="3"/>
  <c r="A1133" i="3" s="1"/>
  <c r="DU470" i="3"/>
  <c r="DT470" i="3"/>
  <c r="DS470" i="3"/>
  <c r="DR470" i="3"/>
  <c r="DQ470" i="3"/>
  <c r="DP470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BY470" i="3"/>
  <c r="BX470" i="3"/>
  <c r="BW470" i="3"/>
  <c r="BV470" i="3"/>
  <c r="BU470" i="3"/>
  <c r="BT470" i="3"/>
  <c r="BS470" i="3"/>
  <c r="BR470" i="3"/>
  <c r="BQ470" i="3"/>
  <c r="BP470" i="3"/>
  <c r="BO470" i="3"/>
  <c r="BN470" i="3"/>
  <c r="E470" i="3"/>
  <c r="E1132" i="3" s="1"/>
  <c r="D470" i="3"/>
  <c r="D1132" i="3" s="1"/>
  <c r="C470" i="3"/>
  <c r="C1132" i="3" s="1"/>
  <c r="B470" i="3"/>
  <c r="B1132" i="3" s="1"/>
  <c r="A470" i="3"/>
  <c r="A1132" i="3" s="1"/>
  <c r="DU469" i="3"/>
  <c r="DT469" i="3"/>
  <c r="DS469" i="3"/>
  <c r="DR469" i="3"/>
  <c r="DQ469" i="3"/>
  <c r="DP469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BY469" i="3"/>
  <c r="BX469" i="3"/>
  <c r="BW469" i="3"/>
  <c r="BV469" i="3"/>
  <c r="BU469" i="3"/>
  <c r="BT469" i="3"/>
  <c r="BS469" i="3"/>
  <c r="BR469" i="3"/>
  <c r="BQ469" i="3"/>
  <c r="BP469" i="3"/>
  <c r="BO469" i="3"/>
  <c r="BN469" i="3"/>
  <c r="E469" i="3"/>
  <c r="E1131" i="3" s="1"/>
  <c r="D469" i="3"/>
  <c r="D1131" i="3" s="1"/>
  <c r="C469" i="3"/>
  <c r="C1131" i="3" s="1"/>
  <c r="B469" i="3"/>
  <c r="B1131" i="3" s="1"/>
  <c r="A469" i="3"/>
  <c r="A1131" i="3" s="1"/>
  <c r="DU468" i="3"/>
  <c r="DT468" i="3"/>
  <c r="DS468" i="3"/>
  <c r="DR468" i="3"/>
  <c r="DQ468" i="3"/>
  <c r="DP468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BY468" i="3"/>
  <c r="BX468" i="3"/>
  <c r="BW468" i="3"/>
  <c r="BV468" i="3"/>
  <c r="BU468" i="3"/>
  <c r="BT468" i="3"/>
  <c r="BS468" i="3"/>
  <c r="BR468" i="3"/>
  <c r="BQ468" i="3"/>
  <c r="BP468" i="3"/>
  <c r="BO468" i="3"/>
  <c r="BN468" i="3"/>
  <c r="E468" i="3"/>
  <c r="E1130" i="3" s="1"/>
  <c r="D468" i="3"/>
  <c r="D1130" i="3" s="1"/>
  <c r="C468" i="3"/>
  <c r="C1130" i="3" s="1"/>
  <c r="B468" i="3"/>
  <c r="B1130" i="3" s="1"/>
  <c r="A468" i="3"/>
  <c r="A1130" i="3" s="1"/>
  <c r="DU467" i="3"/>
  <c r="DT467" i="3"/>
  <c r="DS467" i="3"/>
  <c r="DR467" i="3"/>
  <c r="DQ467" i="3"/>
  <c r="DP467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BY467" i="3"/>
  <c r="BX467" i="3"/>
  <c r="BW467" i="3"/>
  <c r="BV467" i="3"/>
  <c r="BU467" i="3"/>
  <c r="BT467" i="3"/>
  <c r="BS467" i="3"/>
  <c r="BR467" i="3"/>
  <c r="BQ467" i="3"/>
  <c r="BP467" i="3"/>
  <c r="BO467" i="3"/>
  <c r="BN467" i="3"/>
  <c r="E467" i="3"/>
  <c r="E1129" i="3" s="1"/>
  <c r="D467" i="3"/>
  <c r="D1129" i="3" s="1"/>
  <c r="C467" i="3"/>
  <c r="C1129" i="3" s="1"/>
  <c r="B467" i="3"/>
  <c r="B1129" i="3" s="1"/>
  <c r="A467" i="3"/>
  <c r="A1129" i="3" s="1"/>
  <c r="DU466" i="3"/>
  <c r="DT466" i="3"/>
  <c r="DS466" i="3"/>
  <c r="DR466" i="3"/>
  <c r="DQ466" i="3"/>
  <c r="DP466" i="3"/>
  <c r="DO466" i="3"/>
  <c r="DN466" i="3"/>
  <c r="DM466" i="3"/>
  <c r="DL466" i="3"/>
  <c r="DK466" i="3"/>
  <c r="DJ466" i="3"/>
  <c r="DI466" i="3"/>
  <c r="DH466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Y466" i="3"/>
  <c r="BX466" i="3"/>
  <c r="BW466" i="3"/>
  <c r="BV466" i="3"/>
  <c r="BU466" i="3"/>
  <c r="BT466" i="3"/>
  <c r="BS466" i="3"/>
  <c r="BR466" i="3"/>
  <c r="BQ466" i="3"/>
  <c r="BP466" i="3"/>
  <c r="BO466" i="3"/>
  <c r="BN466" i="3"/>
  <c r="E466" i="3"/>
  <c r="E1128" i="3" s="1"/>
  <c r="D466" i="3"/>
  <c r="D1128" i="3" s="1"/>
  <c r="C466" i="3"/>
  <c r="C1128" i="3" s="1"/>
  <c r="B466" i="3"/>
  <c r="B1128" i="3" s="1"/>
  <c r="A466" i="3"/>
  <c r="A1128" i="3" s="1"/>
  <c r="DU465" i="3"/>
  <c r="DT465" i="3"/>
  <c r="DS465" i="3"/>
  <c r="DR465" i="3"/>
  <c r="DQ465" i="3"/>
  <c r="DP465" i="3"/>
  <c r="DO465" i="3"/>
  <c r="DN465" i="3"/>
  <c r="DM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Y465" i="3"/>
  <c r="BX465" i="3"/>
  <c r="BW465" i="3"/>
  <c r="BV465" i="3"/>
  <c r="BU465" i="3"/>
  <c r="BT465" i="3"/>
  <c r="BS465" i="3"/>
  <c r="BR465" i="3"/>
  <c r="BQ465" i="3"/>
  <c r="BP465" i="3"/>
  <c r="BO465" i="3"/>
  <c r="BN465" i="3"/>
  <c r="E465" i="3"/>
  <c r="E1127" i="3" s="1"/>
  <c r="D465" i="3"/>
  <c r="D1127" i="3" s="1"/>
  <c r="C465" i="3"/>
  <c r="C1127" i="3" s="1"/>
  <c r="B465" i="3"/>
  <c r="B1127" i="3" s="1"/>
  <c r="A465" i="3"/>
  <c r="A1127" i="3" s="1"/>
  <c r="DU464" i="3"/>
  <c r="DT464" i="3"/>
  <c r="DS464" i="3"/>
  <c r="DR464" i="3"/>
  <c r="DQ464" i="3"/>
  <c r="DP464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Y464" i="3"/>
  <c r="BX464" i="3"/>
  <c r="BW464" i="3"/>
  <c r="BV464" i="3"/>
  <c r="BU464" i="3"/>
  <c r="BT464" i="3"/>
  <c r="BS464" i="3"/>
  <c r="BR464" i="3"/>
  <c r="BQ464" i="3"/>
  <c r="BP464" i="3"/>
  <c r="BO464" i="3"/>
  <c r="BN464" i="3"/>
  <c r="E464" i="3"/>
  <c r="E1126" i="3" s="1"/>
  <c r="D464" i="3"/>
  <c r="D1126" i="3" s="1"/>
  <c r="C464" i="3"/>
  <c r="C1126" i="3" s="1"/>
  <c r="B464" i="3"/>
  <c r="B1126" i="3" s="1"/>
  <c r="A464" i="3"/>
  <c r="A1126" i="3" s="1"/>
  <c r="DU463" i="3"/>
  <c r="DT463" i="3"/>
  <c r="DS463" i="3"/>
  <c r="DR463" i="3"/>
  <c r="DQ463" i="3"/>
  <c r="DP463" i="3"/>
  <c r="DO463" i="3"/>
  <c r="DN463" i="3"/>
  <c r="DM463" i="3"/>
  <c r="DL463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C463" i="3"/>
  <c r="CB463" i="3"/>
  <c r="CA463" i="3"/>
  <c r="BZ463" i="3"/>
  <c r="BY463" i="3"/>
  <c r="BX463" i="3"/>
  <c r="BW463" i="3"/>
  <c r="BV463" i="3"/>
  <c r="BU463" i="3"/>
  <c r="BT463" i="3"/>
  <c r="BS463" i="3"/>
  <c r="BR463" i="3"/>
  <c r="BQ463" i="3"/>
  <c r="BP463" i="3"/>
  <c r="BO463" i="3"/>
  <c r="BN463" i="3"/>
  <c r="E463" i="3"/>
  <c r="E1125" i="3" s="1"/>
  <c r="D463" i="3"/>
  <c r="D1125" i="3" s="1"/>
  <c r="C463" i="3"/>
  <c r="C1125" i="3" s="1"/>
  <c r="B463" i="3"/>
  <c r="B1125" i="3" s="1"/>
  <c r="A463" i="3"/>
  <c r="A1125" i="3" s="1"/>
  <c r="DU462" i="3"/>
  <c r="DT462" i="3"/>
  <c r="DS462" i="3"/>
  <c r="DR462" i="3"/>
  <c r="DQ462" i="3"/>
  <c r="DP462" i="3"/>
  <c r="DO462" i="3"/>
  <c r="DN462" i="3"/>
  <c r="DM462" i="3"/>
  <c r="DL462" i="3"/>
  <c r="DK462" i="3"/>
  <c r="DJ462" i="3"/>
  <c r="DI462" i="3"/>
  <c r="DH462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BY462" i="3"/>
  <c r="BX462" i="3"/>
  <c r="BW462" i="3"/>
  <c r="BV462" i="3"/>
  <c r="BU462" i="3"/>
  <c r="BT462" i="3"/>
  <c r="BS462" i="3"/>
  <c r="BR462" i="3"/>
  <c r="BQ462" i="3"/>
  <c r="BP462" i="3"/>
  <c r="BO462" i="3"/>
  <c r="BN462" i="3"/>
  <c r="E462" i="3"/>
  <c r="E1124" i="3" s="1"/>
  <c r="D462" i="3"/>
  <c r="D1124" i="3" s="1"/>
  <c r="C462" i="3"/>
  <c r="C1124" i="3" s="1"/>
  <c r="B462" i="3"/>
  <c r="B1124" i="3" s="1"/>
  <c r="A462" i="3"/>
  <c r="A1124" i="3" s="1"/>
  <c r="DU461" i="3"/>
  <c r="DT461" i="3"/>
  <c r="DS461" i="3"/>
  <c r="DR461" i="3"/>
  <c r="DQ461" i="3"/>
  <c r="DP461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BY461" i="3"/>
  <c r="BX461" i="3"/>
  <c r="BW461" i="3"/>
  <c r="BV461" i="3"/>
  <c r="BU461" i="3"/>
  <c r="BT461" i="3"/>
  <c r="BS461" i="3"/>
  <c r="BR461" i="3"/>
  <c r="BQ461" i="3"/>
  <c r="BP461" i="3"/>
  <c r="BO461" i="3"/>
  <c r="BN461" i="3"/>
  <c r="E461" i="3"/>
  <c r="E1123" i="3" s="1"/>
  <c r="D461" i="3"/>
  <c r="D1123" i="3" s="1"/>
  <c r="C461" i="3"/>
  <c r="C1123" i="3" s="1"/>
  <c r="B461" i="3"/>
  <c r="B1123" i="3" s="1"/>
  <c r="A461" i="3"/>
  <c r="A1123" i="3" s="1"/>
  <c r="DU460" i="3"/>
  <c r="DT460" i="3"/>
  <c r="DS460" i="3"/>
  <c r="DR460" i="3"/>
  <c r="DQ460" i="3"/>
  <c r="DP460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BY460" i="3"/>
  <c r="BX460" i="3"/>
  <c r="BW460" i="3"/>
  <c r="BV460" i="3"/>
  <c r="BU460" i="3"/>
  <c r="BT460" i="3"/>
  <c r="BS460" i="3"/>
  <c r="BR460" i="3"/>
  <c r="BQ460" i="3"/>
  <c r="BP460" i="3"/>
  <c r="BO460" i="3"/>
  <c r="BN460" i="3"/>
  <c r="E460" i="3"/>
  <c r="E1122" i="3" s="1"/>
  <c r="D460" i="3"/>
  <c r="D1122" i="3" s="1"/>
  <c r="C460" i="3"/>
  <c r="C1122" i="3" s="1"/>
  <c r="B460" i="3"/>
  <c r="B1122" i="3" s="1"/>
  <c r="A460" i="3"/>
  <c r="A1122" i="3" s="1"/>
  <c r="DU459" i="3"/>
  <c r="DT459" i="3"/>
  <c r="DS459" i="3"/>
  <c r="DR459" i="3"/>
  <c r="DQ459" i="3"/>
  <c r="DP459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BY459" i="3"/>
  <c r="BX459" i="3"/>
  <c r="BW459" i="3"/>
  <c r="BV459" i="3"/>
  <c r="BU459" i="3"/>
  <c r="BT459" i="3"/>
  <c r="BS459" i="3"/>
  <c r="BR459" i="3"/>
  <c r="BQ459" i="3"/>
  <c r="BP459" i="3"/>
  <c r="BO459" i="3"/>
  <c r="BN459" i="3"/>
  <c r="E459" i="3"/>
  <c r="E1121" i="3" s="1"/>
  <c r="D459" i="3"/>
  <c r="D1121" i="3" s="1"/>
  <c r="C459" i="3"/>
  <c r="C1121" i="3" s="1"/>
  <c r="B459" i="3"/>
  <c r="B1121" i="3" s="1"/>
  <c r="A459" i="3"/>
  <c r="A1121" i="3" s="1"/>
  <c r="DU458" i="3"/>
  <c r="DT458" i="3"/>
  <c r="DS458" i="3"/>
  <c r="DR458" i="3"/>
  <c r="DQ458" i="3"/>
  <c r="DP458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BY458" i="3"/>
  <c r="BX458" i="3"/>
  <c r="BW458" i="3"/>
  <c r="BV458" i="3"/>
  <c r="BU458" i="3"/>
  <c r="BT458" i="3"/>
  <c r="BS458" i="3"/>
  <c r="BR458" i="3"/>
  <c r="BQ458" i="3"/>
  <c r="BP458" i="3"/>
  <c r="BO458" i="3"/>
  <c r="BN458" i="3"/>
  <c r="E458" i="3"/>
  <c r="E1120" i="3" s="1"/>
  <c r="D458" i="3"/>
  <c r="D1120" i="3" s="1"/>
  <c r="C458" i="3"/>
  <c r="C1120" i="3" s="1"/>
  <c r="B458" i="3"/>
  <c r="B1120" i="3" s="1"/>
  <c r="A458" i="3"/>
  <c r="A1120" i="3" s="1"/>
  <c r="DU457" i="3"/>
  <c r="DT457" i="3"/>
  <c r="DS457" i="3"/>
  <c r="DR457" i="3"/>
  <c r="DQ457" i="3"/>
  <c r="DP457" i="3"/>
  <c r="DO457" i="3"/>
  <c r="DN457" i="3"/>
  <c r="DM457" i="3"/>
  <c r="DL457" i="3"/>
  <c r="DK457" i="3"/>
  <c r="DJ457" i="3"/>
  <c r="DI457" i="3"/>
  <c r="DH457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Y457" i="3"/>
  <c r="BX457" i="3"/>
  <c r="BW457" i="3"/>
  <c r="BV457" i="3"/>
  <c r="BU457" i="3"/>
  <c r="BT457" i="3"/>
  <c r="BS457" i="3"/>
  <c r="BR457" i="3"/>
  <c r="BQ457" i="3"/>
  <c r="BP457" i="3"/>
  <c r="BO457" i="3"/>
  <c r="BN457" i="3"/>
  <c r="E457" i="3"/>
  <c r="E1119" i="3" s="1"/>
  <c r="D457" i="3"/>
  <c r="D1119" i="3" s="1"/>
  <c r="C457" i="3"/>
  <c r="C1119" i="3" s="1"/>
  <c r="B457" i="3"/>
  <c r="B1119" i="3" s="1"/>
  <c r="A457" i="3"/>
  <c r="A1119" i="3" s="1"/>
  <c r="DU456" i="3"/>
  <c r="DT456" i="3"/>
  <c r="DS456" i="3"/>
  <c r="DR456" i="3"/>
  <c r="DQ456" i="3"/>
  <c r="DP456" i="3"/>
  <c r="DO456" i="3"/>
  <c r="DN456" i="3"/>
  <c r="DM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Y456" i="3"/>
  <c r="BX456" i="3"/>
  <c r="BW456" i="3"/>
  <c r="BV456" i="3"/>
  <c r="BU456" i="3"/>
  <c r="BT456" i="3"/>
  <c r="BS456" i="3"/>
  <c r="BR456" i="3"/>
  <c r="BQ456" i="3"/>
  <c r="BP456" i="3"/>
  <c r="BO456" i="3"/>
  <c r="BN456" i="3"/>
  <c r="E456" i="3"/>
  <c r="B456" i="3"/>
  <c r="A456" i="3"/>
  <c r="DU455" i="3"/>
  <c r="DT455" i="3"/>
  <c r="DS455" i="3"/>
  <c r="DR455" i="3"/>
  <c r="DQ455" i="3"/>
  <c r="DP455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Y455" i="3"/>
  <c r="BX455" i="3"/>
  <c r="BW455" i="3"/>
  <c r="BV455" i="3"/>
  <c r="BU455" i="3"/>
  <c r="BT455" i="3"/>
  <c r="BS455" i="3"/>
  <c r="BR455" i="3"/>
  <c r="BQ455" i="3"/>
  <c r="BP455" i="3"/>
  <c r="BO455" i="3"/>
  <c r="BN455" i="3"/>
  <c r="E455" i="3"/>
  <c r="E1118" i="3" s="1"/>
  <c r="D455" i="3"/>
  <c r="D1118" i="3" s="1"/>
  <c r="C455" i="3"/>
  <c r="C1118" i="3" s="1"/>
  <c r="B455" i="3"/>
  <c r="B1118" i="3" s="1"/>
  <c r="A455" i="3"/>
  <c r="A1118" i="3" s="1"/>
  <c r="DU454" i="3"/>
  <c r="DT454" i="3"/>
  <c r="DS454" i="3"/>
  <c r="DR454" i="3"/>
  <c r="DQ454" i="3"/>
  <c r="DP454" i="3"/>
  <c r="DO454" i="3"/>
  <c r="DN454" i="3"/>
  <c r="DM454" i="3"/>
  <c r="DL454" i="3"/>
  <c r="DK454" i="3"/>
  <c r="DJ454" i="3"/>
  <c r="DI454" i="3"/>
  <c r="DH454" i="3"/>
  <c r="DG454" i="3"/>
  <c r="DF454" i="3"/>
  <c r="DE454" i="3"/>
  <c r="DD454" i="3"/>
  <c r="DC454" i="3"/>
  <c r="DB454" i="3"/>
  <c r="DA454" i="3"/>
  <c r="CZ454" i="3"/>
  <c r="CY454" i="3"/>
  <c r="CX454" i="3"/>
  <c r="CW454" i="3"/>
  <c r="CV454" i="3"/>
  <c r="CU454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C454" i="3"/>
  <c r="CB454" i="3"/>
  <c r="CA454" i="3"/>
  <c r="BZ454" i="3"/>
  <c r="BY454" i="3"/>
  <c r="BX454" i="3"/>
  <c r="BW454" i="3"/>
  <c r="BV454" i="3"/>
  <c r="BU454" i="3"/>
  <c r="BT454" i="3"/>
  <c r="BS454" i="3"/>
  <c r="BR454" i="3"/>
  <c r="BQ454" i="3"/>
  <c r="BP454" i="3"/>
  <c r="BO454" i="3"/>
  <c r="BN454" i="3"/>
  <c r="E454" i="3"/>
  <c r="E1117" i="3" s="1"/>
  <c r="D454" i="3"/>
  <c r="D1117" i="3" s="1"/>
  <c r="C454" i="3"/>
  <c r="C1117" i="3" s="1"/>
  <c r="B454" i="3"/>
  <c r="B1117" i="3" s="1"/>
  <c r="A454" i="3"/>
  <c r="A1117" i="3" s="1"/>
  <c r="DU453" i="3"/>
  <c r="DT453" i="3"/>
  <c r="DS453" i="3"/>
  <c r="DR453" i="3"/>
  <c r="DQ453" i="3"/>
  <c r="DP453" i="3"/>
  <c r="DO453" i="3"/>
  <c r="DN453" i="3"/>
  <c r="DM453" i="3"/>
  <c r="DL453" i="3"/>
  <c r="DK453" i="3"/>
  <c r="DJ453" i="3"/>
  <c r="DI453" i="3"/>
  <c r="DH453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BY453" i="3"/>
  <c r="BX453" i="3"/>
  <c r="BW453" i="3"/>
  <c r="BV453" i="3"/>
  <c r="BU453" i="3"/>
  <c r="BT453" i="3"/>
  <c r="BS453" i="3"/>
  <c r="BR453" i="3"/>
  <c r="BQ453" i="3"/>
  <c r="BP453" i="3"/>
  <c r="BO453" i="3"/>
  <c r="BN453" i="3"/>
  <c r="E453" i="3"/>
  <c r="E1116" i="3" s="1"/>
  <c r="D453" i="3"/>
  <c r="D1116" i="3" s="1"/>
  <c r="C453" i="3"/>
  <c r="C1116" i="3" s="1"/>
  <c r="B453" i="3"/>
  <c r="B1116" i="3" s="1"/>
  <c r="A453" i="3"/>
  <c r="A1116" i="3" s="1"/>
  <c r="DU452" i="3"/>
  <c r="DT452" i="3"/>
  <c r="DS452" i="3"/>
  <c r="DR452" i="3"/>
  <c r="DQ452" i="3"/>
  <c r="DP452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BY452" i="3"/>
  <c r="BX452" i="3"/>
  <c r="BW452" i="3"/>
  <c r="BV452" i="3"/>
  <c r="BU452" i="3"/>
  <c r="BT452" i="3"/>
  <c r="BS452" i="3"/>
  <c r="BR452" i="3"/>
  <c r="BQ452" i="3"/>
  <c r="BP452" i="3"/>
  <c r="BO452" i="3"/>
  <c r="BN452" i="3"/>
  <c r="E452" i="3"/>
  <c r="E1115" i="3" s="1"/>
  <c r="D452" i="3"/>
  <c r="D1115" i="3" s="1"/>
  <c r="C452" i="3"/>
  <c r="C1115" i="3" s="1"/>
  <c r="B452" i="3"/>
  <c r="B1115" i="3" s="1"/>
  <c r="A452" i="3"/>
  <c r="A1115" i="3" s="1"/>
  <c r="DU451" i="3"/>
  <c r="DT451" i="3"/>
  <c r="DS451" i="3"/>
  <c r="DR451" i="3"/>
  <c r="DQ451" i="3"/>
  <c r="DP451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BY451" i="3"/>
  <c r="BX451" i="3"/>
  <c r="BW451" i="3"/>
  <c r="BV451" i="3"/>
  <c r="BU451" i="3"/>
  <c r="BT451" i="3"/>
  <c r="BS451" i="3"/>
  <c r="BR451" i="3"/>
  <c r="BQ451" i="3"/>
  <c r="BP451" i="3"/>
  <c r="BO451" i="3"/>
  <c r="BN451" i="3"/>
  <c r="E451" i="3"/>
  <c r="E1114" i="3" s="1"/>
  <c r="D451" i="3"/>
  <c r="D1114" i="3" s="1"/>
  <c r="C451" i="3"/>
  <c r="C1114" i="3" s="1"/>
  <c r="B451" i="3"/>
  <c r="B1114" i="3" s="1"/>
  <c r="A451" i="3"/>
  <c r="A1114" i="3" s="1"/>
  <c r="DU450" i="3"/>
  <c r="DT450" i="3"/>
  <c r="DS450" i="3"/>
  <c r="DR450" i="3"/>
  <c r="DQ450" i="3"/>
  <c r="DP450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BY450" i="3"/>
  <c r="BX450" i="3"/>
  <c r="BW450" i="3"/>
  <c r="BV450" i="3"/>
  <c r="BU450" i="3"/>
  <c r="BT450" i="3"/>
  <c r="BS450" i="3"/>
  <c r="BR450" i="3"/>
  <c r="BQ450" i="3"/>
  <c r="BP450" i="3"/>
  <c r="BO450" i="3"/>
  <c r="BN450" i="3"/>
  <c r="E450" i="3"/>
  <c r="E1113" i="3" s="1"/>
  <c r="D450" i="3"/>
  <c r="D1113" i="3" s="1"/>
  <c r="C450" i="3"/>
  <c r="C1113" i="3" s="1"/>
  <c r="B450" i="3"/>
  <c r="B1113" i="3" s="1"/>
  <c r="A450" i="3"/>
  <c r="A1113" i="3" s="1"/>
  <c r="DU449" i="3"/>
  <c r="DT449" i="3"/>
  <c r="DS449" i="3"/>
  <c r="DR449" i="3"/>
  <c r="DQ449" i="3"/>
  <c r="DP449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BY449" i="3"/>
  <c r="BX449" i="3"/>
  <c r="BW449" i="3"/>
  <c r="BV449" i="3"/>
  <c r="BU449" i="3"/>
  <c r="BT449" i="3"/>
  <c r="BS449" i="3"/>
  <c r="BR449" i="3"/>
  <c r="BQ449" i="3"/>
  <c r="BP449" i="3"/>
  <c r="BO449" i="3"/>
  <c r="BN449" i="3"/>
  <c r="E449" i="3"/>
  <c r="E1112" i="3" s="1"/>
  <c r="D449" i="3"/>
  <c r="D1112" i="3" s="1"/>
  <c r="C449" i="3"/>
  <c r="C1112" i="3" s="1"/>
  <c r="B449" i="3"/>
  <c r="B1112" i="3" s="1"/>
  <c r="A449" i="3"/>
  <c r="A1112" i="3" s="1"/>
  <c r="DU448" i="3"/>
  <c r="DT448" i="3"/>
  <c r="DS448" i="3"/>
  <c r="DR448" i="3"/>
  <c r="DQ448" i="3"/>
  <c r="DP448" i="3"/>
  <c r="DO448" i="3"/>
  <c r="DN448" i="3"/>
  <c r="DM448" i="3"/>
  <c r="DL448" i="3"/>
  <c r="DK448" i="3"/>
  <c r="DJ448" i="3"/>
  <c r="DI448" i="3"/>
  <c r="DH448" i="3"/>
  <c r="DG448" i="3"/>
  <c r="DF448" i="3"/>
  <c r="DE448" i="3"/>
  <c r="DD448" i="3"/>
  <c r="DC448" i="3"/>
  <c r="DB448" i="3"/>
  <c r="DA448" i="3"/>
  <c r="CZ448" i="3"/>
  <c r="CY448" i="3"/>
  <c r="CX448" i="3"/>
  <c r="CW448" i="3"/>
  <c r="CV448" i="3"/>
  <c r="CU448" i="3"/>
  <c r="CT448" i="3"/>
  <c r="CS448" i="3"/>
  <c r="CR448" i="3"/>
  <c r="CQ448" i="3"/>
  <c r="CP448" i="3"/>
  <c r="CO448" i="3"/>
  <c r="CN448" i="3"/>
  <c r="CM448" i="3"/>
  <c r="CL448" i="3"/>
  <c r="CK448" i="3"/>
  <c r="CJ448" i="3"/>
  <c r="CI448" i="3"/>
  <c r="CH448" i="3"/>
  <c r="CG448" i="3"/>
  <c r="CF448" i="3"/>
  <c r="CE448" i="3"/>
  <c r="CD448" i="3"/>
  <c r="CC448" i="3"/>
  <c r="CB448" i="3"/>
  <c r="CA448" i="3"/>
  <c r="BZ448" i="3"/>
  <c r="BY448" i="3"/>
  <c r="BX448" i="3"/>
  <c r="BW448" i="3"/>
  <c r="BV448" i="3"/>
  <c r="BU448" i="3"/>
  <c r="BT448" i="3"/>
  <c r="BS448" i="3"/>
  <c r="BR448" i="3"/>
  <c r="BQ448" i="3"/>
  <c r="BP448" i="3"/>
  <c r="BO448" i="3"/>
  <c r="BN448" i="3"/>
  <c r="E448" i="3"/>
  <c r="E1111" i="3" s="1"/>
  <c r="D448" i="3"/>
  <c r="D1111" i="3" s="1"/>
  <c r="C448" i="3"/>
  <c r="C1111" i="3" s="1"/>
  <c r="B448" i="3"/>
  <c r="B1111" i="3" s="1"/>
  <c r="A448" i="3"/>
  <c r="A1111" i="3" s="1"/>
  <c r="DU447" i="3"/>
  <c r="DT447" i="3"/>
  <c r="DS447" i="3"/>
  <c r="DR447" i="3"/>
  <c r="DQ447" i="3"/>
  <c r="DP447" i="3"/>
  <c r="DO447" i="3"/>
  <c r="DN447" i="3"/>
  <c r="DM447" i="3"/>
  <c r="DL447" i="3"/>
  <c r="DK447" i="3"/>
  <c r="DJ447" i="3"/>
  <c r="DI447" i="3"/>
  <c r="DH447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BY447" i="3"/>
  <c r="BX447" i="3"/>
  <c r="BW447" i="3"/>
  <c r="BV447" i="3"/>
  <c r="BU447" i="3"/>
  <c r="BT447" i="3"/>
  <c r="BS447" i="3"/>
  <c r="BR447" i="3"/>
  <c r="BQ447" i="3"/>
  <c r="BP447" i="3"/>
  <c r="BO447" i="3"/>
  <c r="BN447" i="3"/>
  <c r="E447" i="3"/>
  <c r="E1110" i="3" s="1"/>
  <c r="D447" i="3"/>
  <c r="D1110" i="3" s="1"/>
  <c r="C447" i="3"/>
  <c r="C1110" i="3" s="1"/>
  <c r="B447" i="3"/>
  <c r="B1110" i="3" s="1"/>
  <c r="A447" i="3"/>
  <c r="A1110" i="3" s="1"/>
  <c r="DU446" i="3"/>
  <c r="DT446" i="3"/>
  <c r="DS446" i="3"/>
  <c r="DR446" i="3"/>
  <c r="DQ446" i="3"/>
  <c r="DP446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BY446" i="3"/>
  <c r="BX446" i="3"/>
  <c r="BW446" i="3"/>
  <c r="BV446" i="3"/>
  <c r="BU446" i="3"/>
  <c r="BT446" i="3"/>
  <c r="BS446" i="3"/>
  <c r="BR446" i="3"/>
  <c r="BQ446" i="3"/>
  <c r="BP446" i="3"/>
  <c r="BO446" i="3"/>
  <c r="BN446" i="3"/>
  <c r="E446" i="3"/>
  <c r="E1109" i="3" s="1"/>
  <c r="D446" i="3"/>
  <c r="D1109" i="3" s="1"/>
  <c r="C446" i="3"/>
  <c r="C1109" i="3" s="1"/>
  <c r="B446" i="3"/>
  <c r="B1109" i="3" s="1"/>
  <c r="A446" i="3"/>
  <c r="A1109" i="3" s="1"/>
  <c r="DU445" i="3"/>
  <c r="DT445" i="3"/>
  <c r="DS445" i="3"/>
  <c r="DR445" i="3"/>
  <c r="DQ445" i="3"/>
  <c r="DP445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BY445" i="3"/>
  <c r="BX445" i="3"/>
  <c r="BW445" i="3"/>
  <c r="BV445" i="3"/>
  <c r="BU445" i="3"/>
  <c r="BT445" i="3"/>
  <c r="BS445" i="3"/>
  <c r="BR445" i="3"/>
  <c r="BQ445" i="3"/>
  <c r="BP445" i="3"/>
  <c r="BO445" i="3"/>
  <c r="BN445" i="3"/>
  <c r="E445" i="3"/>
  <c r="E1108" i="3" s="1"/>
  <c r="D445" i="3"/>
  <c r="D1108" i="3" s="1"/>
  <c r="C445" i="3"/>
  <c r="C1108" i="3" s="1"/>
  <c r="B445" i="3"/>
  <c r="B1108" i="3" s="1"/>
  <c r="A445" i="3"/>
  <c r="A1108" i="3" s="1"/>
  <c r="DU444" i="3"/>
  <c r="DT444" i="3"/>
  <c r="DS444" i="3"/>
  <c r="DR444" i="3"/>
  <c r="DQ444" i="3"/>
  <c r="DP444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BY444" i="3"/>
  <c r="BX444" i="3"/>
  <c r="BW444" i="3"/>
  <c r="BV444" i="3"/>
  <c r="BU444" i="3"/>
  <c r="BT444" i="3"/>
  <c r="BS444" i="3"/>
  <c r="BR444" i="3"/>
  <c r="BQ444" i="3"/>
  <c r="BP444" i="3"/>
  <c r="BO444" i="3"/>
  <c r="BN444" i="3"/>
  <c r="E444" i="3"/>
  <c r="E1107" i="3" s="1"/>
  <c r="D444" i="3"/>
  <c r="D1107" i="3" s="1"/>
  <c r="C444" i="3"/>
  <c r="C1107" i="3" s="1"/>
  <c r="B444" i="3"/>
  <c r="B1107" i="3" s="1"/>
  <c r="A444" i="3"/>
  <c r="A1107" i="3" s="1"/>
  <c r="DU443" i="3"/>
  <c r="DT443" i="3"/>
  <c r="DS443" i="3"/>
  <c r="DR443" i="3"/>
  <c r="DQ443" i="3"/>
  <c r="DP443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BY443" i="3"/>
  <c r="BX443" i="3"/>
  <c r="BW443" i="3"/>
  <c r="BV443" i="3"/>
  <c r="BU443" i="3"/>
  <c r="BT443" i="3"/>
  <c r="BS443" i="3"/>
  <c r="BR443" i="3"/>
  <c r="BQ443" i="3"/>
  <c r="BP443" i="3"/>
  <c r="BO443" i="3"/>
  <c r="BN443" i="3"/>
  <c r="E443" i="3"/>
  <c r="E1106" i="3" s="1"/>
  <c r="D443" i="3"/>
  <c r="D1106" i="3" s="1"/>
  <c r="C443" i="3"/>
  <c r="C1106" i="3" s="1"/>
  <c r="B443" i="3"/>
  <c r="B1106" i="3" s="1"/>
  <c r="A443" i="3"/>
  <c r="A1106" i="3" s="1"/>
  <c r="DU442" i="3"/>
  <c r="DT442" i="3"/>
  <c r="DS442" i="3"/>
  <c r="DR442" i="3"/>
  <c r="DQ442" i="3"/>
  <c r="DP442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BY442" i="3"/>
  <c r="BX442" i="3"/>
  <c r="BW442" i="3"/>
  <c r="BV442" i="3"/>
  <c r="BU442" i="3"/>
  <c r="BT442" i="3"/>
  <c r="BS442" i="3"/>
  <c r="BR442" i="3"/>
  <c r="BQ442" i="3"/>
  <c r="BP442" i="3"/>
  <c r="BO442" i="3"/>
  <c r="BN442" i="3"/>
  <c r="E442" i="3"/>
  <c r="E1105" i="3" s="1"/>
  <c r="D442" i="3"/>
  <c r="D1105" i="3" s="1"/>
  <c r="C442" i="3"/>
  <c r="C1105" i="3" s="1"/>
  <c r="B442" i="3"/>
  <c r="B1105" i="3" s="1"/>
  <c r="A442" i="3"/>
  <c r="A1105" i="3" s="1"/>
  <c r="DU441" i="3"/>
  <c r="DT441" i="3"/>
  <c r="DS441" i="3"/>
  <c r="DR441" i="3"/>
  <c r="DQ441" i="3"/>
  <c r="DP441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Y441" i="3"/>
  <c r="BX441" i="3"/>
  <c r="BW441" i="3"/>
  <c r="BV441" i="3"/>
  <c r="BU441" i="3"/>
  <c r="BT441" i="3"/>
  <c r="BS441" i="3"/>
  <c r="BR441" i="3"/>
  <c r="BQ441" i="3"/>
  <c r="BP441" i="3"/>
  <c r="BO441" i="3"/>
  <c r="BN441" i="3"/>
  <c r="E441" i="3"/>
  <c r="E1104" i="3" s="1"/>
  <c r="D441" i="3"/>
  <c r="D1104" i="3" s="1"/>
  <c r="C441" i="3"/>
  <c r="C1104" i="3" s="1"/>
  <c r="B441" i="3"/>
  <c r="B1104" i="3" s="1"/>
  <c r="A441" i="3"/>
  <c r="A1104" i="3" s="1"/>
  <c r="DU440" i="3"/>
  <c r="DT440" i="3"/>
  <c r="DS440" i="3"/>
  <c r="DR440" i="3"/>
  <c r="DQ440" i="3"/>
  <c r="DP440" i="3"/>
  <c r="DO440" i="3"/>
  <c r="DN440" i="3"/>
  <c r="DM440" i="3"/>
  <c r="DL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BU440" i="3"/>
  <c r="BT440" i="3"/>
  <c r="BS440" i="3"/>
  <c r="BR440" i="3"/>
  <c r="BQ440" i="3"/>
  <c r="BP440" i="3"/>
  <c r="BO440" i="3"/>
  <c r="BN440" i="3"/>
  <c r="E440" i="3"/>
  <c r="E1103" i="3" s="1"/>
  <c r="D440" i="3"/>
  <c r="D1103" i="3" s="1"/>
  <c r="C440" i="3"/>
  <c r="C1103" i="3" s="1"/>
  <c r="B440" i="3"/>
  <c r="B1103" i="3" s="1"/>
  <c r="A440" i="3"/>
  <c r="A1103" i="3" s="1"/>
  <c r="DU439" i="3"/>
  <c r="DT439" i="3"/>
  <c r="DS439" i="3"/>
  <c r="DR439" i="3"/>
  <c r="DQ439" i="3"/>
  <c r="DP439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BY439" i="3"/>
  <c r="BX439" i="3"/>
  <c r="BW439" i="3"/>
  <c r="BV439" i="3"/>
  <c r="BU439" i="3"/>
  <c r="BT439" i="3"/>
  <c r="BS439" i="3"/>
  <c r="BR439" i="3"/>
  <c r="BQ439" i="3"/>
  <c r="BP439" i="3"/>
  <c r="BO439" i="3"/>
  <c r="BN439" i="3"/>
  <c r="E439" i="3"/>
  <c r="E1102" i="3" s="1"/>
  <c r="D439" i="3"/>
  <c r="D1102" i="3" s="1"/>
  <c r="C439" i="3"/>
  <c r="C1102" i="3" s="1"/>
  <c r="B439" i="3"/>
  <c r="B1102" i="3" s="1"/>
  <c r="A439" i="3"/>
  <c r="A1102" i="3" s="1"/>
  <c r="DU438" i="3"/>
  <c r="DT438" i="3"/>
  <c r="DS438" i="3"/>
  <c r="DR438" i="3"/>
  <c r="DQ438" i="3"/>
  <c r="DP438" i="3"/>
  <c r="DO438" i="3"/>
  <c r="DN438" i="3"/>
  <c r="DM438" i="3"/>
  <c r="DL438" i="3"/>
  <c r="DK438" i="3"/>
  <c r="DJ438" i="3"/>
  <c r="DI438" i="3"/>
  <c r="DH438" i="3"/>
  <c r="DG438" i="3"/>
  <c r="DF438" i="3"/>
  <c r="DE438" i="3"/>
  <c r="DD438" i="3"/>
  <c r="DC438" i="3"/>
  <c r="DB438" i="3"/>
  <c r="DA438" i="3"/>
  <c r="CZ438" i="3"/>
  <c r="CY438" i="3"/>
  <c r="CX438" i="3"/>
  <c r="CW438" i="3"/>
  <c r="CV438" i="3"/>
  <c r="CU438" i="3"/>
  <c r="CT438" i="3"/>
  <c r="CS438" i="3"/>
  <c r="CR438" i="3"/>
  <c r="CQ438" i="3"/>
  <c r="CP438" i="3"/>
  <c r="CO438" i="3"/>
  <c r="CN438" i="3"/>
  <c r="CM438" i="3"/>
  <c r="CL438" i="3"/>
  <c r="CK438" i="3"/>
  <c r="CJ438" i="3"/>
  <c r="CI438" i="3"/>
  <c r="CH438" i="3"/>
  <c r="CG438" i="3"/>
  <c r="CF438" i="3"/>
  <c r="CE438" i="3"/>
  <c r="CD438" i="3"/>
  <c r="CC438" i="3"/>
  <c r="CB438" i="3"/>
  <c r="CA438" i="3"/>
  <c r="BZ438" i="3"/>
  <c r="BY438" i="3"/>
  <c r="BX438" i="3"/>
  <c r="BW438" i="3"/>
  <c r="BV438" i="3"/>
  <c r="BU438" i="3"/>
  <c r="BT438" i="3"/>
  <c r="BS438" i="3"/>
  <c r="BR438" i="3"/>
  <c r="BQ438" i="3"/>
  <c r="BP438" i="3"/>
  <c r="BO438" i="3"/>
  <c r="BN438" i="3"/>
  <c r="E438" i="3"/>
  <c r="E1101" i="3" s="1"/>
  <c r="D438" i="3"/>
  <c r="D1101" i="3" s="1"/>
  <c r="C438" i="3"/>
  <c r="C1101" i="3" s="1"/>
  <c r="B438" i="3"/>
  <c r="B1101" i="3" s="1"/>
  <c r="A438" i="3"/>
  <c r="A1101" i="3" s="1"/>
  <c r="DU437" i="3"/>
  <c r="DT437" i="3"/>
  <c r="DS437" i="3"/>
  <c r="DR437" i="3"/>
  <c r="DQ437" i="3"/>
  <c r="DP437" i="3"/>
  <c r="DO437" i="3"/>
  <c r="DN437" i="3"/>
  <c r="DM437" i="3"/>
  <c r="DL437" i="3"/>
  <c r="DK437" i="3"/>
  <c r="DJ437" i="3"/>
  <c r="DI437" i="3"/>
  <c r="DH437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BY437" i="3"/>
  <c r="BX437" i="3"/>
  <c r="BW437" i="3"/>
  <c r="BV437" i="3"/>
  <c r="BU437" i="3"/>
  <c r="BT437" i="3"/>
  <c r="BS437" i="3"/>
  <c r="BR437" i="3"/>
  <c r="BQ437" i="3"/>
  <c r="BP437" i="3"/>
  <c r="BO437" i="3"/>
  <c r="BN437" i="3"/>
  <c r="E437" i="3"/>
  <c r="E1100" i="3" s="1"/>
  <c r="D437" i="3"/>
  <c r="D1100" i="3" s="1"/>
  <c r="C437" i="3"/>
  <c r="C1100" i="3" s="1"/>
  <c r="B437" i="3"/>
  <c r="B1100" i="3" s="1"/>
  <c r="A437" i="3"/>
  <c r="A1100" i="3" s="1"/>
  <c r="DU436" i="3"/>
  <c r="DT436" i="3"/>
  <c r="DS436" i="3"/>
  <c r="DR436" i="3"/>
  <c r="DQ436" i="3"/>
  <c r="DP436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BY436" i="3"/>
  <c r="BX436" i="3"/>
  <c r="BW436" i="3"/>
  <c r="BV436" i="3"/>
  <c r="BU436" i="3"/>
  <c r="BT436" i="3"/>
  <c r="BS436" i="3"/>
  <c r="BR436" i="3"/>
  <c r="BQ436" i="3"/>
  <c r="BP436" i="3"/>
  <c r="BO436" i="3"/>
  <c r="BN436" i="3"/>
  <c r="E436" i="3"/>
  <c r="E1099" i="3" s="1"/>
  <c r="D436" i="3"/>
  <c r="D1099" i="3" s="1"/>
  <c r="C436" i="3"/>
  <c r="C1099" i="3" s="1"/>
  <c r="B436" i="3"/>
  <c r="B1099" i="3" s="1"/>
  <c r="A436" i="3"/>
  <c r="A1099" i="3" s="1"/>
  <c r="DU435" i="3"/>
  <c r="DT435" i="3"/>
  <c r="DS435" i="3"/>
  <c r="DR435" i="3"/>
  <c r="DQ435" i="3"/>
  <c r="DP435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BY435" i="3"/>
  <c r="BX435" i="3"/>
  <c r="BW435" i="3"/>
  <c r="BV435" i="3"/>
  <c r="BU435" i="3"/>
  <c r="BT435" i="3"/>
  <c r="BS435" i="3"/>
  <c r="BR435" i="3"/>
  <c r="BQ435" i="3"/>
  <c r="BP435" i="3"/>
  <c r="BO435" i="3"/>
  <c r="BN435" i="3"/>
  <c r="E435" i="3"/>
  <c r="E1098" i="3" s="1"/>
  <c r="D435" i="3"/>
  <c r="D1098" i="3" s="1"/>
  <c r="C435" i="3"/>
  <c r="C1098" i="3" s="1"/>
  <c r="B435" i="3"/>
  <c r="B1098" i="3" s="1"/>
  <c r="A435" i="3"/>
  <c r="A1098" i="3" s="1"/>
  <c r="DU434" i="3"/>
  <c r="DT434" i="3"/>
  <c r="DS434" i="3"/>
  <c r="DR434" i="3"/>
  <c r="DQ434" i="3"/>
  <c r="DP434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BY434" i="3"/>
  <c r="BX434" i="3"/>
  <c r="BW434" i="3"/>
  <c r="BV434" i="3"/>
  <c r="BU434" i="3"/>
  <c r="BT434" i="3"/>
  <c r="BS434" i="3"/>
  <c r="BR434" i="3"/>
  <c r="BQ434" i="3"/>
  <c r="BP434" i="3"/>
  <c r="BO434" i="3"/>
  <c r="BN434" i="3"/>
  <c r="E434" i="3"/>
  <c r="E1097" i="3" s="1"/>
  <c r="D434" i="3"/>
  <c r="D1097" i="3" s="1"/>
  <c r="C434" i="3"/>
  <c r="C1097" i="3" s="1"/>
  <c r="B434" i="3"/>
  <c r="B1097" i="3" s="1"/>
  <c r="A434" i="3"/>
  <c r="A1097" i="3" s="1"/>
  <c r="DU433" i="3"/>
  <c r="DT433" i="3"/>
  <c r="DS433" i="3"/>
  <c r="DR433" i="3"/>
  <c r="DQ433" i="3"/>
  <c r="DP433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BY433" i="3"/>
  <c r="BX433" i="3"/>
  <c r="BW433" i="3"/>
  <c r="BV433" i="3"/>
  <c r="BU433" i="3"/>
  <c r="BT433" i="3"/>
  <c r="BS433" i="3"/>
  <c r="BR433" i="3"/>
  <c r="BQ433" i="3"/>
  <c r="BP433" i="3"/>
  <c r="BO433" i="3"/>
  <c r="BN433" i="3"/>
  <c r="E433" i="3"/>
  <c r="E1096" i="3" s="1"/>
  <c r="D433" i="3"/>
  <c r="D1096" i="3" s="1"/>
  <c r="C433" i="3"/>
  <c r="C1096" i="3" s="1"/>
  <c r="B433" i="3"/>
  <c r="B1096" i="3" s="1"/>
  <c r="A433" i="3"/>
  <c r="A1096" i="3" s="1"/>
  <c r="DU432" i="3"/>
  <c r="DT432" i="3"/>
  <c r="DS432" i="3"/>
  <c r="DR432" i="3"/>
  <c r="DQ432" i="3"/>
  <c r="DP432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BY432" i="3"/>
  <c r="BX432" i="3"/>
  <c r="BW432" i="3"/>
  <c r="BV432" i="3"/>
  <c r="BU432" i="3"/>
  <c r="BT432" i="3"/>
  <c r="BS432" i="3"/>
  <c r="BR432" i="3"/>
  <c r="BQ432" i="3"/>
  <c r="BP432" i="3"/>
  <c r="BO432" i="3"/>
  <c r="BN432" i="3"/>
  <c r="E432" i="3"/>
  <c r="E1095" i="3" s="1"/>
  <c r="D432" i="3"/>
  <c r="D1095" i="3" s="1"/>
  <c r="C432" i="3"/>
  <c r="C1095" i="3" s="1"/>
  <c r="B432" i="3"/>
  <c r="B1095" i="3" s="1"/>
  <c r="A432" i="3"/>
  <c r="A1095" i="3" s="1"/>
  <c r="DU431" i="3"/>
  <c r="DT431" i="3"/>
  <c r="DS431" i="3"/>
  <c r="DR431" i="3"/>
  <c r="DQ431" i="3"/>
  <c r="DP431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Y431" i="3"/>
  <c r="BX431" i="3"/>
  <c r="BW431" i="3"/>
  <c r="BV431" i="3"/>
  <c r="BU431" i="3"/>
  <c r="BT431" i="3"/>
  <c r="BS431" i="3"/>
  <c r="BR431" i="3"/>
  <c r="BQ431" i="3"/>
  <c r="BP431" i="3"/>
  <c r="BO431" i="3"/>
  <c r="BN431" i="3"/>
  <c r="E431" i="3"/>
  <c r="E1094" i="3" s="1"/>
  <c r="D431" i="3"/>
  <c r="D1094" i="3" s="1"/>
  <c r="C431" i="3"/>
  <c r="C1094" i="3" s="1"/>
  <c r="B431" i="3"/>
  <c r="B1094" i="3" s="1"/>
  <c r="A431" i="3"/>
  <c r="A1094" i="3" s="1"/>
  <c r="DU430" i="3"/>
  <c r="DT430" i="3"/>
  <c r="DS430" i="3"/>
  <c r="DR430" i="3"/>
  <c r="DQ430" i="3"/>
  <c r="DP430" i="3"/>
  <c r="DO430" i="3"/>
  <c r="DN430" i="3"/>
  <c r="DM430" i="3"/>
  <c r="DL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BU430" i="3"/>
  <c r="BT430" i="3"/>
  <c r="BS430" i="3"/>
  <c r="BR430" i="3"/>
  <c r="BQ430" i="3"/>
  <c r="BP430" i="3"/>
  <c r="BO430" i="3"/>
  <c r="BN430" i="3"/>
  <c r="E430" i="3"/>
  <c r="E1093" i="3" s="1"/>
  <c r="D430" i="3"/>
  <c r="D1093" i="3" s="1"/>
  <c r="C430" i="3"/>
  <c r="C1093" i="3" s="1"/>
  <c r="B430" i="3"/>
  <c r="B1093" i="3" s="1"/>
  <c r="A430" i="3"/>
  <c r="A1093" i="3" s="1"/>
  <c r="DU429" i="3"/>
  <c r="DT429" i="3"/>
  <c r="DS429" i="3"/>
  <c r="DR429" i="3"/>
  <c r="DQ429" i="3"/>
  <c r="DP429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BY429" i="3"/>
  <c r="BX429" i="3"/>
  <c r="BW429" i="3"/>
  <c r="BV429" i="3"/>
  <c r="BU429" i="3"/>
  <c r="BT429" i="3"/>
  <c r="BS429" i="3"/>
  <c r="BR429" i="3"/>
  <c r="BQ429" i="3"/>
  <c r="BP429" i="3"/>
  <c r="BO429" i="3"/>
  <c r="BN429" i="3"/>
  <c r="E429" i="3"/>
  <c r="E1092" i="3" s="1"/>
  <c r="D429" i="3"/>
  <c r="D1092" i="3" s="1"/>
  <c r="C429" i="3"/>
  <c r="C1092" i="3" s="1"/>
  <c r="B429" i="3"/>
  <c r="B1092" i="3" s="1"/>
  <c r="A429" i="3"/>
  <c r="A1092" i="3" s="1"/>
  <c r="DU428" i="3"/>
  <c r="DT428" i="3"/>
  <c r="DS428" i="3"/>
  <c r="DR428" i="3"/>
  <c r="DQ428" i="3"/>
  <c r="DP428" i="3"/>
  <c r="DO428" i="3"/>
  <c r="DN428" i="3"/>
  <c r="DM428" i="3"/>
  <c r="DL428" i="3"/>
  <c r="DK428" i="3"/>
  <c r="DJ428" i="3"/>
  <c r="DI428" i="3"/>
  <c r="DH428" i="3"/>
  <c r="DG428" i="3"/>
  <c r="DF428" i="3"/>
  <c r="DE428" i="3"/>
  <c r="DD428" i="3"/>
  <c r="DC428" i="3"/>
  <c r="DB428" i="3"/>
  <c r="DA428" i="3"/>
  <c r="CZ428" i="3"/>
  <c r="CY428" i="3"/>
  <c r="CX428" i="3"/>
  <c r="CW428" i="3"/>
  <c r="CV428" i="3"/>
  <c r="CU428" i="3"/>
  <c r="CT428" i="3"/>
  <c r="CS428" i="3"/>
  <c r="CR428" i="3"/>
  <c r="CQ428" i="3"/>
  <c r="CP428" i="3"/>
  <c r="CO428" i="3"/>
  <c r="CN428" i="3"/>
  <c r="CM428" i="3"/>
  <c r="CL428" i="3"/>
  <c r="CK428" i="3"/>
  <c r="CJ428" i="3"/>
  <c r="CI428" i="3"/>
  <c r="CH428" i="3"/>
  <c r="CG428" i="3"/>
  <c r="CF428" i="3"/>
  <c r="CE428" i="3"/>
  <c r="CD428" i="3"/>
  <c r="CC428" i="3"/>
  <c r="CB428" i="3"/>
  <c r="CA428" i="3"/>
  <c r="BZ428" i="3"/>
  <c r="BY428" i="3"/>
  <c r="BX428" i="3"/>
  <c r="BW428" i="3"/>
  <c r="BV428" i="3"/>
  <c r="BU428" i="3"/>
  <c r="BT428" i="3"/>
  <c r="BS428" i="3"/>
  <c r="BR428" i="3"/>
  <c r="BQ428" i="3"/>
  <c r="BP428" i="3"/>
  <c r="BO428" i="3"/>
  <c r="BN428" i="3"/>
  <c r="E428" i="3"/>
  <c r="E1091" i="3" s="1"/>
  <c r="D428" i="3"/>
  <c r="D1091" i="3" s="1"/>
  <c r="C428" i="3"/>
  <c r="C1091" i="3" s="1"/>
  <c r="B428" i="3"/>
  <c r="B1091" i="3" s="1"/>
  <c r="A428" i="3"/>
  <c r="A1091" i="3" s="1"/>
  <c r="DU427" i="3"/>
  <c r="DT427" i="3"/>
  <c r="DS427" i="3"/>
  <c r="DR427" i="3"/>
  <c r="DQ427" i="3"/>
  <c r="DP427" i="3"/>
  <c r="DO427" i="3"/>
  <c r="DN427" i="3"/>
  <c r="DM427" i="3"/>
  <c r="DL427" i="3"/>
  <c r="DK427" i="3"/>
  <c r="DJ427" i="3"/>
  <c r="DI427" i="3"/>
  <c r="DH427" i="3"/>
  <c r="DG427" i="3"/>
  <c r="DF427" i="3"/>
  <c r="DE427" i="3"/>
  <c r="DD427" i="3"/>
  <c r="DC427" i="3"/>
  <c r="DB427" i="3"/>
  <c r="DA427" i="3"/>
  <c r="CZ427" i="3"/>
  <c r="CY427" i="3"/>
  <c r="CX427" i="3"/>
  <c r="CW427" i="3"/>
  <c r="CV427" i="3"/>
  <c r="CU427" i="3"/>
  <c r="CT427" i="3"/>
  <c r="CS427" i="3"/>
  <c r="CR427" i="3"/>
  <c r="CQ427" i="3"/>
  <c r="CP427" i="3"/>
  <c r="CO427" i="3"/>
  <c r="CN427" i="3"/>
  <c r="CM427" i="3"/>
  <c r="CL427" i="3"/>
  <c r="CK427" i="3"/>
  <c r="CJ427" i="3"/>
  <c r="CI427" i="3"/>
  <c r="CH427" i="3"/>
  <c r="CG427" i="3"/>
  <c r="CF427" i="3"/>
  <c r="CE427" i="3"/>
  <c r="CD427" i="3"/>
  <c r="CC427" i="3"/>
  <c r="CB427" i="3"/>
  <c r="CA427" i="3"/>
  <c r="BZ427" i="3"/>
  <c r="BY427" i="3"/>
  <c r="BX427" i="3"/>
  <c r="BW427" i="3"/>
  <c r="BV427" i="3"/>
  <c r="BU427" i="3"/>
  <c r="BT427" i="3"/>
  <c r="BS427" i="3"/>
  <c r="BR427" i="3"/>
  <c r="BQ427" i="3"/>
  <c r="BP427" i="3"/>
  <c r="BO427" i="3"/>
  <c r="BN427" i="3"/>
  <c r="E427" i="3"/>
  <c r="E1090" i="3" s="1"/>
  <c r="D427" i="3"/>
  <c r="D1090" i="3" s="1"/>
  <c r="C427" i="3"/>
  <c r="C1090" i="3" s="1"/>
  <c r="B427" i="3"/>
  <c r="B1090" i="3" s="1"/>
  <c r="A427" i="3"/>
  <c r="A1090" i="3" s="1"/>
  <c r="DU426" i="3"/>
  <c r="DT426" i="3"/>
  <c r="DS426" i="3"/>
  <c r="DR426" i="3"/>
  <c r="DQ426" i="3"/>
  <c r="DP426" i="3"/>
  <c r="DO426" i="3"/>
  <c r="DN426" i="3"/>
  <c r="DM426" i="3"/>
  <c r="DL426" i="3"/>
  <c r="DK426" i="3"/>
  <c r="DJ426" i="3"/>
  <c r="DI426" i="3"/>
  <c r="DH426" i="3"/>
  <c r="DG426" i="3"/>
  <c r="DF426" i="3"/>
  <c r="DE426" i="3"/>
  <c r="DD426" i="3"/>
  <c r="DC426" i="3"/>
  <c r="DB426" i="3"/>
  <c r="DA426" i="3"/>
  <c r="CZ426" i="3"/>
  <c r="CY426" i="3"/>
  <c r="CX426" i="3"/>
  <c r="CW426" i="3"/>
  <c r="CV426" i="3"/>
  <c r="CU426" i="3"/>
  <c r="CT426" i="3"/>
  <c r="CS426" i="3"/>
  <c r="CR426" i="3"/>
  <c r="CQ426" i="3"/>
  <c r="CP426" i="3"/>
  <c r="CO426" i="3"/>
  <c r="CN426" i="3"/>
  <c r="CM426" i="3"/>
  <c r="CL426" i="3"/>
  <c r="CK426" i="3"/>
  <c r="CJ426" i="3"/>
  <c r="CI426" i="3"/>
  <c r="CH426" i="3"/>
  <c r="CG426" i="3"/>
  <c r="CF426" i="3"/>
  <c r="CE426" i="3"/>
  <c r="CD426" i="3"/>
  <c r="CC426" i="3"/>
  <c r="CB426" i="3"/>
  <c r="CA426" i="3"/>
  <c r="BZ426" i="3"/>
  <c r="BY426" i="3"/>
  <c r="BX426" i="3"/>
  <c r="BW426" i="3"/>
  <c r="BV426" i="3"/>
  <c r="BU426" i="3"/>
  <c r="BT426" i="3"/>
  <c r="BS426" i="3"/>
  <c r="BR426" i="3"/>
  <c r="BQ426" i="3"/>
  <c r="BP426" i="3"/>
  <c r="BO426" i="3"/>
  <c r="BN426" i="3"/>
  <c r="E426" i="3"/>
  <c r="E1089" i="3" s="1"/>
  <c r="D426" i="3"/>
  <c r="D1089" i="3" s="1"/>
  <c r="C426" i="3"/>
  <c r="C1089" i="3" s="1"/>
  <c r="B426" i="3"/>
  <c r="B1089" i="3" s="1"/>
  <c r="A426" i="3"/>
  <c r="A1089" i="3" s="1"/>
  <c r="DU425" i="3"/>
  <c r="DT425" i="3"/>
  <c r="DS425" i="3"/>
  <c r="DR425" i="3"/>
  <c r="DQ425" i="3"/>
  <c r="DP425" i="3"/>
  <c r="DO425" i="3"/>
  <c r="DN425" i="3"/>
  <c r="DM425" i="3"/>
  <c r="DL425" i="3"/>
  <c r="DK425" i="3"/>
  <c r="DJ425" i="3"/>
  <c r="DI425" i="3"/>
  <c r="DH425" i="3"/>
  <c r="DG425" i="3"/>
  <c r="DF425" i="3"/>
  <c r="DE425" i="3"/>
  <c r="DD425" i="3"/>
  <c r="DC425" i="3"/>
  <c r="DB425" i="3"/>
  <c r="DA425" i="3"/>
  <c r="CZ425" i="3"/>
  <c r="CY425" i="3"/>
  <c r="CX425" i="3"/>
  <c r="CW425" i="3"/>
  <c r="CV425" i="3"/>
  <c r="CU425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D425" i="3"/>
  <c r="CC425" i="3"/>
  <c r="CB425" i="3"/>
  <c r="CA425" i="3"/>
  <c r="BZ425" i="3"/>
  <c r="BY425" i="3"/>
  <c r="BX425" i="3"/>
  <c r="BW425" i="3"/>
  <c r="BV425" i="3"/>
  <c r="BU425" i="3"/>
  <c r="BT425" i="3"/>
  <c r="BS425" i="3"/>
  <c r="BR425" i="3"/>
  <c r="BQ425" i="3"/>
  <c r="BP425" i="3"/>
  <c r="BO425" i="3"/>
  <c r="BN425" i="3"/>
  <c r="E425" i="3"/>
  <c r="E1088" i="3" s="1"/>
  <c r="D425" i="3"/>
  <c r="D1088" i="3" s="1"/>
  <c r="C425" i="3"/>
  <c r="C1088" i="3" s="1"/>
  <c r="B425" i="3"/>
  <c r="B1088" i="3" s="1"/>
  <c r="A425" i="3"/>
  <c r="A1088" i="3" s="1"/>
  <c r="DU424" i="3"/>
  <c r="DT424" i="3"/>
  <c r="DS424" i="3"/>
  <c r="DR424" i="3"/>
  <c r="DQ424" i="3"/>
  <c r="DP424" i="3"/>
  <c r="DO424" i="3"/>
  <c r="DN424" i="3"/>
  <c r="DM424" i="3"/>
  <c r="DL424" i="3"/>
  <c r="DK424" i="3"/>
  <c r="DJ424" i="3"/>
  <c r="DI424" i="3"/>
  <c r="DH424" i="3"/>
  <c r="DG424" i="3"/>
  <c r="DF424" i="3"/>
  <c r="DE424" i="3"/>
  <c r="DD424" i="3"/>
  <c r="DC424" i="3"/>
  <c r="DB424" i="3"/>
  <c r="DA424" i="3"/>
  <c r="CZ424" i="3"/>
  <c r="CY424" i="3"/>
  <c r="CX424" i="3"/>
  <c r="CW424" i="3"/>
  <c r="CV424" i="3"/>
  <c r="CU424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D424" i="3"/>
  <c r="CC424" i="3"/>
  <c r="CB424" i="3"/>
  <c r="CA424" i="3"/>
  <c r="BZ424" i="3"/>
  <c r="BY424" i="3"/>
  <c r="BX424" i="3"/>
  <c r="BW424" i="3"/>
  <c r="BV424" i="3"/>
  <c r="BU424" i="3"/>
  <c r="BT424" i="3"/>
  <c r="BS424" i="3"/>
  <c r="BR424" i="3"/>
  <c r="BQ424" i="3"/>
  <c r="BP424" i="3"/>
  <c r="BO424" i="3"/>
  <c r="BN424" i="3"/>
  <c r="E424" i="3"/>
  <c r="E1087" i="3" s="1"/>
  <c r="D424" i="3"/>
  <c r="D1087" i="3" s="1"/>
  <c r="C424" i="3"/>
  <c r="C1087" i="3" s="1"/>
  <c r="B424" i="3"/>
  <c r="B1087" i="3" s="1"/>
  <c r="A424" i="3"/>
  <c r="A1087" i="3" s="1"/>
  <c r="DU423" i="3"/>
  <c r="DT423" i="3"/>
  <c r="DS423" i="3"/>
  <c r="DR423" i="3"/>
  <c r="DQ423" i="3"/>
  <c r="DP423" i="3"/>
  <c r="DO423" i="3"/>
  <c r="DN423" i="3"/>
  <c r="DM423" i="3"/>
  <c r="DL423" i="3"/>
  <c r="DK423" i="3"/>
  <c r="DJ423" i="3"/>
  <c r="DI423" i="3"/>
  <c r="DH423" i="3"/>
  <c r="DG423" i="3"/>
  <c r="DF423" i="3"/>
  <c r="DE423" i="3"/>
  <c r="DD423" i="3"/>
  <c r="DC423" i="3"/>
  <c r="DB423" i="3"/>
  <c r="DA423" i="3"/>
  <c r="CZ423" i="3"/>
  <c r="CY423" i="3"/>
  <c r="CX423" i="3"/>
  <c r="CW423" i="3"/>
  <c r="CV423" i="3"/>
  <c r="CU423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D423" i="3"/>
  <c r="CC423" i="3"/>
  <c r="CB423" i="3"/>
  <c r="CA423" i="3"/>
  <c r="BZ423" i="3"/>
  <c r="BY423" i="3"/>
  <c r="BX423" i="3"/>
  <c r="BW423" i="3"/>
  <c r="BV423" i="3"/>
  <c r="BU423" i="3"/>
  <c r="BT423" i="3"/>
  <c r="BS423" i="3"/>
  <c r="BR423" i="3"/>
  <c r="BQ423" i="3"/>
  <c r="BP423" i="3"/>
  <c r="BO423" i="3"/>
  <c r="BN423" i="3"/>
  <c r="E423" i="3"/>
  <c r="E1086" i="3" s="1"/>
  <c r="D423" i="3"/>
  <c r="D1086" i="3" s="1"/>
  <c r="C423" i="3"/>
  <c r="C1086" i="3" s="1"/>
  <c r="B423" i="3"/>
  <c r="B1086" i="3" s="1"/>
  <c r="A423" i="3"/>
  <c r="A1086" i="3" s="1"/>
  <c r="DU422" i="3"/>
  <c r="DT422" i="3"/>
  <c r="DS422" i="3"/>
  <c r="DR422" i="3"/>
  <c r="DQ422" i="3"/>
  <c r="DP422" i="3"/>
  <c r="DO422" i="3"/>
  <c r="DN422" i="3"/>
  <c r="DM422" i="3"/>
  <c r="DL422" i="3"/>
  <c r="DK422" i="3"/>
  <c r="DJ422" i="3"/>
  <c r="DI422" i="3"/>
  <c r="DH422" i="3"/>
  <c r="DG422" i="3"/>
  <c r="DF422" i="3"/>
  <c r="DE422" i="3"/>
  <c r="DD422" i="3"/>
  <c r="DC422" i="3"/>
  <c r="DB422" i="3"/>
  <c r="DA422" i="3"/>
  <c r="CZ422" i="3"/>
  <c r="CY422" i="3"/>
  <c r="CX422" i="3"/>
  <c r="CW422" i="3"/>
  <c r="CV422" i="3"/>
  <c r="CU42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C422" i="3"/>
  <c r="CB422" i="3"/>
  <c r="CA422" i="3"/>
  <c r="BZ422" i="3"/>
  <c r="BY422" i="3"/>
  <c r="BX422" i="3"/>
  <c r="BW422" i="3"/>
  <c r="BV422" i="3"/>
  <c r="BU422" i="3"/>
  <c r="BT422" i="3"/>
  <c r="BS422" i="3"/>
  <c r="BR422" i="3"/>
  <c r="BQ422" i="3"/>
  <c r="BP422" i="3"/>
  <c r="BO422" i="3"/>
  <c r="BN422" i="3"/>
  <c r="E422" i="3"/>
  <c r="E1085" i="3" s="1"/>
  <c r="D422" i="3"/>
  <c r="D1085" i="3" s="1"/>
  <c r="C422" i="3"/>
  <c r="C1085" i="3" s="1"/>
  <c r="B422" i="3"/>
  <c r="B1085" i="3" s="1"/>
  <c r="A422" i="3"/>
  <c r="A1085" i="3" s="1"/>
  <c r="DU421" i="3"/>
  <c r="DT421" i="3"/>
  <c r="DS421" i="3"/>
  <c r="DR421" i="3"/>
  <c r="DQ421" i="3"/>
  <c r="DP421" i="3"/>
  <c r="DO421" i="3"/>
  <c r="DN421" i="3"/>
  <c r="DM421" i="3"/>
  <c r="DL421" i="3"/>
  <c r="DK421" i="3"/>
  <c r="DJ421" i="3"/>
  <c r="DI421" i="3"/>
  <c r="DH421" i="3"/>
  <c r="DG421" i="3"/>
  <c r="DF421" i="3"/>
  <c r="DE421" i="3"/>
  <c r="DD421" i="3"/>
  <c r="DC421" i="3"/>
  <c r="DB421" i="3"/>
  <c r="DA421" i="3"/>
  <c r="CZ421" i="3"/>
  <c r="CY421" i="3"/>
  <c r="CX421" i="3"/>
  <c r="CW421" i="3"/>
  <c r="CV421" i="3"/>
  <c r="CU42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C421" i="3"/>
  <c r="CB421" i="3"/>
  <c r="CA421" i="3"/>
  <c r="BZ421" i="3"/>
  <c r="BY421" i="3"/>
  <c r="BX421" i="3"/>
  <c r="BW421" i="3"/>
  <c r="BV421" i="3"/>
  <c r="BU421" i="3"/>
  <c r="BT421" i="3"/>
  <c r="BS421" i="3"/>
  <c r="BR421" i="3"/>
  <c r="BQ421" i="3"/>
  <c r="BP421" i="3"/>
  <c r="BO421" i="3"/>
  <c r="BN421" i="3"/>
  <c r="E421" i="3"/>
  <c r="E1084" i="3" s="1"/>
  <c r="D421" i="3"/>
  <c r="D1084" i="3" s="1"/>
  <c r="C421" i="3"/>
  <c r="C1084" i="3" s="1"/>
  <c r="B421" i="3"/>
  <c r="B1084" i="3" s="1"/>
  <c r="A421" i="3"/>
  <c r="A1084" i="3" s="1"/>
  <c r="DU420" i="3"/>
  <c r="DT420" i="3"/>
  <c r="DS420" i="3"/>
  <c r="DR420" i="3"/>
  <c r="DQ420" i="3"/>
  <c r="DP420" i="3"/>
  <c r="DO420" i="3"/>
  <c r="DN420" i="3"/>
  <c r="DM420" i="3"/>
  <c r="DL420" i="3"/>
  <c r="DK420" i="3"/>
  <c r="DJ420" i="3"/>
  <c r="DI420" i="3"/>
  <c r="DH420" i="3"/>
  <c r="DG420" i="3"/>
  <c r="DF420" i="3"/>
  <c r="DE420" i="3"/>
  <c r="DD420" i="3"/>
  <c r="DC420" i="3"/>
  <c r="DB420" i="3"/>
  <c r="DA420" i="3"/>
  <c r="CZ420" i="3"/>
  <c r="CY420" i="3"/>
  <c r="CX420" i="3"/>
  <c r="CW420" i="3"/>
  <c r="CV420" i="3"/>
  <c r="CU420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C420" i="3"/>
  <c r="CB420" i="3"/>
  <c r="CA420" i="3"/>
  <c r="BZ420" i="3"/>
  <c r="BY420" i="3"/>
  <c r="BX420" i="3"/>
  <c r="BW420" i="3"/>
  <c r="BV420" i="3"/>
  <c r="BU420" i="3"/>
  <c r="BT420" i="3"/>
  <c r="BS420" i="3"/>
  <c r="BR420" i="3"/>
  <c r="BQ420" i="3"/>
  <c r="BP420" i="3"/>
  <c r="BO420" i="3"/>
  <c r="BN420" i="3"/>
  <c r="E420" i="3"/>
  <c r="E1083" i="3" s="1"/>
  <c r="D420" i="3"/>
  <c r="D1083" i="3" s="1"/>
  <c r="C420" i="3"/>
  <c r="C1083" i="3" s="1"/>
  <c r="B420" i="3"/>
  <c r="B1083" i="3" s="1"/>
  <c r="A420" i="3"/>
  <c r="A1083" i="3" s="1"/>
  <c r="DU419" i="3"/>
  <c r="DT419" i="3"/>
  <c r="DS419" i="3"/>
  <c r="DR419" i="3"/>
  <c r="DQ419" i="3"/>
  <c r="DP419" i="3"/>
  <c r="DO419" i="3"/>
  <c r="DN419" i="3"/>
  <c r="DM419" i="3"/>
  <c r="DL419" i="3"/>
  <c r="DK419" i="3"/>
  <c r="DJ419" i="3"/>
  <c r="DI419" i="3"/>
  <c r="DH419" i="3"/>
  <c r="DG419" i="3"/>
  <c r="DF419" i="3"/>
  <c r="DE419" i="3"/>
  <c r="DD419" i="3"/>
  <c r="DC419" i="3"/>
  <c r="DB419" i="3"/>
  <c r="DA419" i="3"/>
  <c r="CZ419" i="3"/>
  <c r="CY419" i="3"/>
  <c r="CX419" i="3"/>
  <c r="CW419" i="3"/>
  <c r="CV419" i="3"/>
  <c r="CU419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C419" i="3"/>
  <c r="CB419" i="3"/>
  <c r="CA419" i="3"/>
  <c r="BZ419" i="3"/>
  <c r="BY419" i="3"/>
  <c r="BX419" i="3"/>
  <c r="BW419" i="3"/>
  <c r="BV419" i="3"/>
  <c r="BU419" i="3"/>
  <c r="BT419" i="3"/>
  <c r="BS419" i="3"/>
  <c r="BR419" i="3"/>
  <c r="BQ419" i="3"/>
  <c r="BP419" i="3"/>
  <c r="BO419" i="3"/>
  <c r="BN419" i="3"/>
  <c r="E419" i="3"/>
  <c r="E1082" i="3" s="1"/>
  <c r="D419" i="3"/>
  <c r="D1082" i="3" s="1"/>
  <c r="C419" i="3"/>
  <c r="C1082" i="3" s="1"/>
  <c r="B419" i="3"/>
  <c r="B1082" i="3" s="1"/>
  <c r="A419" i="3"/>
  <c r="A1082" i="3" s="1"/>
  <c r="DU418" i="3"/>
  <c r="DT418" i="3"/>
  <c r="DS418" i="3"/>
  <c r="DR418" i="3"/>
  <c r="DQ418" i="3"/>
  <c r="DP418" i="3"/>
  <c r="DO418" i="3"/>
  <c r="DN418" i="3"/>
  <c r="DM418" i="3"/>
  <c r="DL418" i="3"/>
  <c r="DK418" i="3"/>
  <c r="DJ418" i="3"/>
  <c r="DI418" i="3"/>
  <c r="DH418" i="3"/>
  <c r="DG418" i="3"/>
  <c r="DF418" i="3"/>
  <c r="DE418" i="3"/>
  <c r="DD418" i="3"/>
  <c r="DC418" i="3"/>
  <c r="DB418" i="3"/>
  <c r="DA418" i="3"/>
  <c r="CZ418" i="3"/>
  <c r="CY418" i="3"/>
  <c r="CX418" i="3"/>
  <c r="CW418" i="3"/>
  <c r="CV418" i="3"/>
  <c r="CU418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C418" i="3"/>
  <c r="CB418" i="3"/>
  <c r="CA418" i="3"/>
  <c r="BZ418" i="3"/>
  <c r="BY418" i="3"/>
  <c r="BX418" i="3"/>
  <c r="BW418" i="3"/>
  <c r="BV418" i="3"/>
  <c r="BU418" i="3"/>
  <c r="BT418" i="3"/>
  <c r="BS418" i="3"/>
  <c r="BR418" i="3"/>
  <c r="BQ418" i="3"/>
  <c r="BP418" i="3"/>
  <c r="BO418" i="3"/>
  <c r="BN418" i="3"/>
  <c r="E418" i="3"/>
  <c r="E1081" i="3" s="1"/>
  <c r="D418" i="3"/>
  <c r="D1081" i="3" s="1"/>
  <c r="C418" i="3"/>
  <c r="C1081" i="3" s="1"/>
  <c r="B418" i="3"/>
  <c r="B1081" i="3" s="1"/>
  <c r="A418" i="3"/>
  <c r="A1081" i="3" s="1"/>
  <c r="DU417" i="3"/>
  <c r="DT417" i="3"/>
  <c r="DS417" i="3"/>
  <c r="DR417" i="3"/>
  <c r="DQ417" i="3"/>
  <c r="DP417" i="3"/>
  <c r="DO417" i="3"/>
  <c r="DN417" i="3"/>
  <c r="DM417" i="3"/>
  <c r="DL417" i="3"/>
  <c r="DK417" i="3"/>
  <c r="DJ417" i="3"/>
  <c r="DI417" i="3"/>
  <c r="DH417" i="3"/>
  <c r="DG417" i="3"/>
  <c r="DF417" i="3"/>
  <c r="DE417" i="3"/>
  <c r="DD417" i="3"/>
  <c r="DC417" i="3"/>
  <c r="DB417" i="3"/>
  <c r="DA417" i="3"/>
  <c r="CZ417" i="3"/>
  <c r="CY417" i="3"/>
  <c r="CX417" i="3"/>
  <c r="CW417" i="3"/>
  <c r="CV417" i="3"/>
  <c r="CU417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C417" i="3"/>
  <c r="CB417" i="3"/>
  <c r="CA417" i="3"/>
  <c r="BZ417" i="3"/>
  <c r="BY417" i="3"/>
  <c r="BX417" i="3"/>
  <c r="BW417" i="3"/>
  <c r="BV417" i="3"/>
  <c r="BU417" i="3"/>
  <c r="BT417" i="3"/>
  <c r="BS417" i="3"/>
  <c r="BR417" i="3"/>
  <c r="BQ417" i="3"/>
  <c r="BP417" i="3"/>
  <c r="BO417" i="3"/>
  <c r="BN417" i="3"/>
  <c r="E417" i="3"/>
  <c r="E1080" i="3" s="1"/>
  <c r="D417" i="3"/>
  <c r="D1080" i="3" s="1"/>
  <c r="C417" i="3"/>
  <c r="C1080" i="3" s="1"/>
  <c r="B417" i="3"/>
  <c r="B1080" i="3" s="1"/>
  <c r="A417" i="3"/>
  <c r="A1080" i="3" s="1"/>
  <c r="DU416" i="3"/>
  <c r="DT416" i="3"/>
  <c r="DS416" i="3"/>
  <c r="DR416" i="3"/>
  <c r="DQ416" i="3"/>
  <c r="DP416" i="3"/>
  <c r="DO416" i="3"/>
  <c r="DN416" i="3"/>
  <c r="DM416" i="3"/>
  <c r="DL416" i="3"/>
  <c r="DK416" i="3"/>
  <c r="DJ416" i="3"/>
  <c r="DI416" i="3"/>
  <c r="DH416" i="3"/>
  <c r="DG416" i="3"/>
  <c r="DF416" i="3"/>
  <c r="DE416" i="3"/>
  <c r="DD416" i="3"/>
  <c r="DC416" i="3"/>
  <c r="DB416" i="3"/>
  <c r="DA416" i="3"/>
  <c r="CZ416" i="3"/>
  <c r="CY416" i="3"/>
  <c r="CX416" i="3"/>
  <c r="CW416" i="3"/>
  <c r="CV416" i="3"/>
  <c r="CU416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C416" i="3"/>
  <c r="CB416" i="3"/>
  <c r="CA416" i="3"/>
  <c r="BZ416" i="3"/>
  <c r="BY416" i="3"/>
  <c r="BX416" i="3"/>
  <c r="BW416" i="3"/>
  <c r="BV416" i="3"/>
  <c r="BU416" i="3"/>
  <c r="BT416" i="3"/>
  <c r="BS416" i="3"/>
  <c r="BR416" i="3"/>
  <c r="BQ416" i="3"/>
  <c r="BP416" i="3"/>
  <c r="BO416" i="3"/>
  <c r="BN416" i="3"/>
  <c r="E416" i="3"/>
  <c r="E1079" i="3" s="1"/>
  <c r="D416" i="3"/>
  <c r="D1079" i="3" s="1"/>
  <c r="C416" i="3"/>
  <c r="C1079" i="3" s="1"/>
  <c r="B416" i="3"/>
  <c r="B1079" i="3" s="1"/>
  <c r="A416" i="3"/>
  <c r="A1079" i="3" s="1"/>
  <c r="DU415" i="3"/>
  <c r="DT415" i="3"/>
  <c r="DS415" i="3"/>
  <c r="DR415" i="3"/>
  <c r="DQ415" i="3"/>
  <c r="DP415" i="3"/>
  <c r="DO415" i="3"/>
  <c r="DN415" i="3"/>
  <c r="DM415" i="3"/>
  <c r="DL415" i="3"/>
  <c r="DK415" i="3"/>
  <c r="DJ415" i="3"/>
  <c r="DI415" i="3"/>
  <c r="DH415" i="3"/>
  <c r="DG415" i="3"/>
  <c r="DF415" i="3"/>
  <c r="DE415" i="3"/>
  <c r="DD415" i="3"/>
  <c r="DC415" i="3"/>
  <c r="DB415" i="3"/>
  <c r="DA415" i="3"/>
  <c r="CZ415" i="3"/>
  <c r="CY415" i="3"/>
  <c r="CX415" i="3"/>
  <c r="CW415" i="3"/>
  <c r="CV415" i="3"/>
  <c r="CU415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C415" i="3"/>
  <c r="CB415" i="3"/>
  <c r="CA415" i="3"/>
  <c r="BZ415" i="3"/>
  <c r="BY415" i="3"/>
  <c r="BX415" i="3"/>
  <c r="BW415" i="3"/>
  <c r="BV415" i="3"/>
  <c r="BU415" i="3"/>
  <c r="BT415" i="3"/>
  <c r="BS415" i="3"/>
  <c r="BR415" i="3"/>
  <c r="BQ415" i="3"/>
  <c r="BP415" i="3"/>
  <c r="BO415" i="3"/>
  <c r="BN415" i="3"/>
  <c r="E415" i="3"/>
  <c r="B415" i="3"/>
  <c r="A415" i="3"/>
  <c r="DU414" i="3"/>
  <c r="DT414" i="3"/>
  <c r="DS414" i="3"/>
  <c r="DR414" i="3"/>
  <c r="DQ414" i="3"/>
  <c r="DP414" i="3"/>
  <c r="DO414" i="3"/>
  <c r="DN414" i="3"/>
  <c r="DM414" i="3"/>
  <c r="DL414" i="3"/>
  <c r="DK414" i="3"/>
  <c r="DJ414" i="3"/>
  <c r="DI414" i="3"/>
  <c r="DH414" i="3"/>
  <c r="DG414" i="3"/>
  <c r="DF414" i="3"/>
  <c r="DE414" i="3"/>
  <c r="DD414" i="3"/>
  <c r="DC414" i="3"/>
  <c r="DB414" i="3"/>
  <c r="DA414" i="3"/>
  <c r="CZ414" i="3"/>
  <c r="CY414" i="3"/>
  <c r="CX414" i="3"/>
  <c r="CW414" i="3"/>
  <c r="CV414" i="3"/>
  <c r="CU414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C414" i="3"/>
  <c r="CB414" i="3"/>
  <c r="CA414" i="3"/>
  <c r="BZ414" i="3"/>
  <c r="BY414" i="3"/>
  <c r="BX414" i="3"/>
  <c r="BW414" i="3"/>
  <c r="BV414" i="3"/>
  <c r="BU414" i="3"/>
  <c r="BT414" i="3"/>
  <c r="BS414" i="3"/>
  <c r="BR414" i="3"/>
  <c r="BQ414" i="3"/>
  <c r="BP414" i="3"/>
  <c r="BO414" i="3"/>
  <c r="BN414" i="3"/>
  <c r="E414" i="3"/>
  <c r="E1078" i="3" s="1"/>
  <c r="D414" i="3"/>
  <c r="D1078" i="3" s="1"/>
  <c r="C414" i="3"/>
  <c r="C1078" i="3" s="1"/>
  <c r="B414" i="3"/>
  <c r="B1078" i="3" s="1"/>
  <c r="A414" i="3"/>
  <c r="A1078" i="3" s="1"/>
  <c r="DU413" i="3"/>
  <c r="DT413" i="3"/>
  <c r="DS413" i="3"/>
  <c r="DR413" i="3"/>
  <c r="DQ413" i="3"/>
  <c r="DP413" i="3"/>
  <c r="DO413" i="3"/>
  <c r="DN413" i="3"/>
  <c r="DM413" i="3"/>
  <c r="DL413" i="3"/>
  <c r="DK413" i="3"/>
  <c r="DJ413" i="3"/>
  <c r="DI413" i="3"/>
  <c r="DH413" i="3"/>
  <c r="DG413" i="3"/>
  <c r="DF413" i="3"/>
  <c r="DE413" i="3"/>
  <c r="DD413" i="3"/>
  <c r="DC413" i="3"/>
  <c r="DB413" i="3"/>
  <c r="DA413" i="3"/>
  <c r="CZ413" i="3"/>
  <c r="CY413" i="3"/>
  <c r="CX413" i="3"/>
  <c r="CW413" i="3"/>
  <c r="CV413" i="3"/>
  <c r="CU413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C413" i="3"/>
  <c r="CB413" i="3"/>
  <c r="CA413" i="3"/>
  <c r="BZ413" i="3"/>
  <c r="BY413" i="3"/>
  <c r="BX413" i="3"/>
  <c r="BW413" i="3"/>
  <c r="BV413" i="3"/>
  <c r="BU413" i="3"/>
  <c r="BT413" i="3"/>
  <c r="BS413" i="3"/>
  <c r="BR413" i="3"/>
  <c r="BQ413" i="3"/>
  <c r="BP413" i="3"/>
  <c r="BO413" i="3"/>
  <c r="BN413" i="3"/>
  <c r="E413" i="3"/>
  <c r="E1077" i="3" s="1"/>
  <c r="D413" i="3"/>
  <c r="D1077" i="3" s="1"/>
  <c r="C413" i="3"/>
  <c r="C1077" i="3" s="1"/>
  <c r="B413" i="3"/>
  <c r="B1077" i="3" s="1"/>
  <c r="A413" i="3"/>
  <c r="A1077" i="3" s="1"/>
  <c r="DU412" i="3"/>
  <c r="DT412" i="3"/>
  <c r="DS412" i="3"/>
  <c r="DR412" i="3"/>
  <c r="DQ412" i="3"/>
  <c r="DP412" i="3"/>
  <c r="DO412" i="3"/>
  <c r="DN412" i="3"/>
  <c r="DM412" i="3"/>
  <c r="DL412" i="3"/>
  <c r="DK412" i="3"/>
  <c r="DJ412" i="3"/>
  <c r="DI412" i="3"/>
  <c r="DH412" i="3"/>
  <c r="DG412" i="3"/>
  <c r="DF412" i="3"/>
  <c r="DE412" i="3"/>
  <c r="DD412" i="3"/>
  <c r="DC412" i="3"/>
  <c r="DB412" i="3"/>
  <c r="DA412" i="3"/>
  <c r="CZ412" i="3"/>
  <c r="CY412" i="3"/>
  <c r="CX412" i="3"/>
  <c r="CW412" i="3"/>
  <c r="CV412" i="3"/>
  <c r="CU412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C412" i="3"/>
  <c r="CB412" i="3"/>
  <c r="CA412" i="3"/>
  <c r="BZ412" i="3"/>
  <c r="BY412" i="3"/>
  <c r="BX412" i="3"/>
  <c r="BW412" i="3"/>
  <c r="BV412" i="3"/>
  <c r="BU412" i="3"/>
  <c r="BT412" i="3"/>
  <c r="BS412" i="3"/>
  <c r="BR412" i="3"/>
  <c r="BQ412" i="3"/>
  <c r="BP412" i="3"/>
  <c r="BO412" i="3"/>
  <c r="BN412" i="3"/>
  <c r="E412" i="3"/>
  <c r="E1076" i="3" s="1"/>
  <c r="D412" i="3"/>
  <c r="D1076" i="3" s="1"/>
  <c r="C412" i="3"/>
  <c r="C1076" i="3" s="1"/>
  <c r="B412" i="3"/>
  <c r="B1076" i="3" s="1"/>
  <c r="A412" i="3"/>
  <c r="A1076" i="3" s="1"/>
  <c r="DU411" i="3"/>
  <c r="DT411" i="3"/>
  <c r="DS411" i="3"/>
  <c r="DR411" i="3"/>
  <c r="DQ411" i="3"/>
  <c r="DP411" i="3"/>
  <c r="DO411" i="3"/>
  <c r="DN411" i="3"/>
  <c r="DM411" i="3"/>
  <c r="DL411" i="3"/>
  <c r="DK411" i="3"/>
  <c r="DJ411" i="3"/>
  <c r="DI411" i="3"/>
  <c r="DH411" i="3"/>
  <c r="DG411" i="3"/>
  <c r="DF411" i="3"/>
  <c r="DE411" i="3"/>
  <c r="DD411" i="3"/>
  <c r="DC411" i="3"/>
  <c r="DB411" i="3"/>
  <c r="DA411" i="3"/>
  <c r="CZ411" i="3"/>
  <c r="CY411" i="3"/>
  <c r="CX411" i="3"/>
  <c r="CW411" i="3"/>
  <c r="CV411" i="3"/>
  <c r="CU411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C411" i="3"/>
  <c r="CB411" i="3"/>
  <c r="CA411" i="3"/>
  <c r="BZ411" i="3"/>
  <c r="BY411" i="3"/>
  <c r="BX411" i="3"/>
  <c r="BW411" i="3"/>
  <c r="BV411" i="3"/>
  <c r="BU411" i="3"/>
  <c r="BT411" i="3"/>
  <c r="BS411" i="3"/>
  <c r="BR411" i="3"/>
  <c r="BQ411" i="3"/>
  <c r="BP411" i="3"/>
  <c r="BO411" i="3"/>
  <c r="BN411" i="3"/>
  <c r="E411" i="3"/>
  <c r="E1075" i="3" s="1"/>
  <c r="D411" i="3"/>
  <c r="D1075" i="3" s="1"/>
  <c r="C411" i="3"/>
  <c r="C1075" i="3" s="1"/>
  <c r="B411" i="3"/>
  <c r="B1075" i="3" s="1"/>
  <c r="A411" i="3"/>
  <c r="A1075" i="3" s="1"/>
  <c r="DU410" i="3"/>
  <c r="DT410" i="3"/>
  <c r="DS410" i="3"/>
  <c r="DR410" i="3"/>
  <c r="DQ410" i="3"/>
  <c r="DP410" i="3"/>
  <c r="DO410" i="3"/>
  <c r="DN410" i="3"/>
  <c r="DM410" i="3"/>
  <c r="DL410" i="3"/>
  <c r="DK410" i="3"/>
  <c r="DJ410" i="3"/>
  <c r="DI410" i="3"/>
  <c r="DH410" i="3"/>
  <c r="DG410" i="3"/>
  <c r="DF410" i="3"/>
  <c r="DE410" i="3"/>
  <c r="DD410" i="3"/>
  <c r="DC410" i="3"/>
  <c r="DB410" i="3"/>
  <c r="DA410" i="3"/>
  <c r="CZ410" i="3"/>
  <c r="CY410" i="3"/>
  <c r="CX410" i="3"/>
  <c r="CW410" i="3"/>
  <c r="CV410" i="3"/>
  <c r="CU410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C410" i="3"/>
  <c r="CB410" i="3"/>
  <c r="CA410" i="3"/>
  <c r="BZ410" i="3"/>
  <c r="BY410" i="3"/>
  <c r="BX410" i="3"/>
  <c r="BW410" i="3"/>
  <c r="BV410" i="3"/>
  <c r="BU410" i="3"/>
  <c r="BT410" i="3"/>
  <c r="BS410" i="3"/>
  <c r="BR410" i="3"/>
  <c r="BQ410" i="3"/>
  <c r="BP410" i="3"/>
  <c r="BO410" i="3"/>
  <c r="BN410" i="3"/>
  <c r="E410" i="3"/>
  <c r="E1074" i="3" s="1"/>
  <c r="D410" i="3"/>
  <c r="D1074" i="3" s="1"/>
  <c r="C410" i="3"/>
  <c r="C1074" i="3" s="1"/>
  <c r="B410" i="3"/>
  <c r="B1074" i="3" s="1"/>
  <c r="A410" i="3"/>
  <c r="A1074" i="3" s="1"/>
  <c r="DU409" i="3"/>
  <c r="DT409" i="3"/>
  <c r="DS409" i="3"/>
  <c r="DR409" i="3"/>
  <c r="DQ409" i="3"/>
  <c r="DP409" i="3"/>
  <c r="DO409" i="3"/>
  <c r="DN409" i="3"/>
  <c r="DM409" i="3"/>
  <c r="DL409" i="3"/>
  <c r="DK409" i="3"/>
  <c r="DJ409" i="3"/>
  <c r="DI409" i="3"/>
  <c r="DH409" i="3"/>
  <c r="DG409" i="3"/>
  <c r="DF409" i="3"/>
  <c r="DE409" i="3"/>
  <c r="DD409" i="3"/>
  <c r="DC409" i="3"/>
  <c r="DB409" i="3"/>
  <c r="DA409" i="3"/>
  <c r="CZ409" i="3"/>
  <c r="CY409" i="3"/>
  <c r="CX409" i="3"/>
  <c r="CW409" i="3"/>
  <c r="CV409" i="3"/>
  <c r="CU409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C409" i="3"/>
  <c r="CB409" i="3"/>
  <c r="CA409" i="3"/>
  <c r="BZ409" i="3"/>
  <c r="BY409" i="3"/>
  <c r="BX409" i="3"/>
  <c r="BW409" i="3"/>
  <c r="BV409" i="3"/>
  <c r="BU409" i="3"/>
  <c r="BT409" i="3"/>
  <c r="BS409" i="3"/>
  <c r="BR409" i="3"/>
  <c r="BQ409" i="3"/>
  <c r="BP409" i="3"/>
  <c r="BO409" i="3"/>
  <c r="BN409" i="3"/>
  <c r="E409" i="3"/>
  <c r="E1073" i="3" s="1"/>
  <c r="D409" i="3"/>
  <c r="D1073" i="3" s="1"/>
  <c r="C409" i="3"/>
  <c r="C1073" i="3" s="1"/>
  <c r="B409" i="3"/>
  <c r="B1073" i="3" s="1"/>
  <c r="A409" i="3"/>
  <c r="A1073" i="3" s="1"/>
  <c r="DU408" i="3"/>
  <c r="DT408" i="3"/>
  <c r="DS408" i="3"/>
  <c r="DR408" i="3"/>
  <c r="DQ408" i="3"/>
  <c r="DP408" i="3"/>
  <c r="DO408" i="3"/>
  <c r="DN408" i="3"/>
  <c r="DM408" i="3"/>
  <c r="DL408" i="3"/>
  <c r="DK408" i="3"/>
  <c r="DJ408" i="3"/>
  <c r="DI408" i="3"/>
  <c r="DH408" i="3"/>
  <c r="DG408" i="3"/>
  <c r="DF408" i="3"/>
  <c r="DE408" i="3"/>
  <c r="DD408" i="3"/>
  <c r="DC408" i="3"/>
  <c r="DB408" i="3"/>
  <c r="DA408" i="3"/>
  <c r="CZ408" i="3"/>
  <c r="CY408" i="3"/>
  <c r="CX408" i="3"/>
  <c r="CW408" i="3"/>
  <c r="CV408" i="3"/>
  <c r="CU408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C408" i="3"/>
  <c r="CB408" i="3"/>
  <c r="CA408" i="3"/>
  <c r="BZ408" i="3"/>
  <c r="BY408" i="3"/>
  <c r="BX408" i="3"/>
  <c r="BW408" i="3"/>
  <c r="BV408" i="3"/>
  <c r="BU408" i="3"/>
  <c r="BT408" i="3"/>
  <c r="BS408" i="3"/>
  <c r="BR408" i="3"/>
  <c r="BQ408" i="3"/>
  <c r="BP408" i="3"/>
  <c r="BO408" i="3"/>
  <c r="BN408" i="3"/>
  <c r="E408" i="3"/>
  <c r="E1072" i="3" s="1"/>
  <c r="D408" i="3"/>
  <c r="D1072" i="3" s="1"/>
  <c r="C408" i="3"/>
  <c r="C1072" i="3" s="1"/>
  <c r="B408" i="3"/>
  <c r="B1072" i="3" s="1"/>
  <c r="A408" i="3"/>
  <c r="A1072" i="3" s="1"/>
  <c r="DU407" i="3"/>
  <c r="DT407" i="3"/>
  <c r="DS407" i="3"/>
  <c r="DR407" i="3"/>
  <c r="DQ407" i="3"/>
  <c r="DP407" i="3"/>
  <c r="DO407" i="3"/>
  <c r="DN407" i="3"/>
  <c r="DM407" i="3"/>
  <c r="DL407" i="3"/>
  <c r="DK407" i="3"/>
  <c r="DJ407" i="3"/>
  <c r="DI407" i="3"/>
  <c r="DH407" i="3"/>
  <c r="DG407" i="3"/>
  <c r="DF407" i="3"/>
  <c r="DE407" i="3"/>
  <c r="DD407" i="3"/>
  <c r="DC407" i="3"/>
  <c r="DB407" i="3"/>
  <c r="DA407" i="3"/>
  <c r="CZ407" i="3"/>
  <c r="CY407" i="3"/>
  <c r="CX407" i="3"/>
  <c r="CW407" i="3"/>
  <c r="CV407" i="3"/>
  <c r="CU407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C407" i="3"/>
  <c r="CB407" i="3"/>
  <c r="CA407" i="3"/>
  <c r="BZ407" i="3"/>
  <c r="BY407" i="3"/>
  <c r="BX407" i="3"/>
  <c r="BW407" i="3"/>
  <c r="BV407" i="3"/>
  <c r="BU407" i="3"/>
  <c r="BT407" i="3"/>
  <c r="BS407" i="3"/>
  <c r="BR407" i="3"/>
  <c r="BQ407" i="3"/>
  <c r="BP407" i="3"/>
  <c r="BO407" i="3"/>
  <c r="BN407" i="3"/>
  <c r="E407" i="3"/>
  <c r="E1071" i="3" s="1"/>
  <c r="D407" i="3"/>
  <c r="D1071" i="3" s="1"/>
  <c r="C407" i="3"/>
  <c r="C1071" i="3" s="1"/>
  <c r="B407" i="3"/>
  <c r="B1071" i="3" s="1"/>
  <c r="A407" i="3"/>
  <c r="A1071" i="3" s="1"/>
  <c r="DU406" i="3"/>
  <c r="DT406" i="3"/>
  <c r="DS406" i="3"/>
  <c r="DR406" i="3"/>
  <c r="DQ406" i="3"/>
  <c r="DP406" i="3"/>
  <c r="DO406" i="3"/>
  <c r="DN406" i="3"/>
  <c r="DM406" i="3"/>
  <c r="DL406" i="3"/>
  <c r="DK406" i="3"/>
  <c r="DJ406" i="3"/>
  <c r="DI406" i="3"/>
  <c r="DH406" i="3"/>
  <c r="DG406" i="3"/>
  <c r="DF406" i="3"/>
  <c r="DE406" i="3"/>
  <c r="DD406" i="3"/>
  <c r="DC406" i="3"/>
  <c r="DB406" i="3"/>
  <c r="DA406" i="3"/>
  <c r="CZ406" i="3"/>
  <c r="CY406" i="3"/>
  <c r="CX406" i="3"/>
  <c r="CW406" i="3"/>
  <c r="CV406" i="3"/>
  <c r="CU406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C406" i="3"/>
  <c r="CB406" i="3"/>
  <c r="CA406" i="3"/>
  <c r="BZ406" i="3"/>
  <c r="BY406" i="3"/>
  <c r="BX406" i="3"/>
  <c r="BW406" i="3"/>
  <c r="BV406" i="3"/>
  <c r="BU406" i="3"/>
  <c r="BT406" i="3"/>
  <c r="BS406" i="3"/>
  <c r="BR406" i="3"/>
  <c r="BQ406" i="3"/>
  <c r="BP406" i="3"/>
  <c r="BO406" i="3"/>
  <c r="BN406" i="3"/>
  <c r="E406" i="3"/>
  <c r="E1070" i="3" s="1"/>
  <c r="D406" i="3"/>
  <c r="D1070" i="3" s="1"/>
  <c r="C406" i="3"/>
  <c r="C1070" i="3" s="1"/>
  <c r="B406" i="3"/>
  <c r="B1070" i="3" s="1"/>
  <c r="A406" i="3"/>
  <c r="A1070" i="3" s="1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E405" i="3"/>
  <c r="E1069" i="3" s="1"/>
  <c r="D405" i="3"/>
  <c r="D1069" i="3" s="1"/>
  <c r="C405" i="3"/>
  <c r="C1069" i="3" s="1"/>
  <c r="B405" i="3"/>
  <c r="B1069" i="3" s="1"/>
  <c r="A405" i="3"/>
  <c r="A1069" i="3" s="1"/>
  <c r="DU404" i="3"/>
  <c r="DT404" i="3"/>
  <c r="DS404" i="3"/>
  <c r="DR404" i="3"/>
  <c r="DQ404" i="3"/>
  <c r="DP404" i="3"/>
  <c r="DO404" i="3"/>
  <c r="DN404" i="3"/>
  <c r="DM404" i="3"/>
  <c r="DL404" i="3"/>
  <c r="DK404" i="3"/>
  <c r="DJ404" i="3"/>
  <c r="DI404" i="3"/>
  <c r="DH404" i="3"/>
  <c r="DG404" i="3"/>
  <c r="DF404" i="3"/>
  <c r="DE404" i="3"/>
  <c r="DD404" i="3"/>
  <c r="DC404" i="3"/>
  <c r="DB404" i="3"/>
  <c r="DA404" i="3"/>
  <c r="CZ404" i="3"/>
  <c r="CY404" i="3"/>
  <c r="CX404" i="3"/>
  <c r="CW404" i="3"/>
  <c r="CV404" i="3"/>
  <c r="CU404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C404" i="3"/>
  <c r="CB404" i="3"/>
  <c r="CA404" i="3"/>
  <c r="BZ404" i="3"/>
  <c r="BY404" i="3"/>
  <c r="BX404" i="3"/>
  <c r="BW404" i="3"/>
  <c r="BV404" i="3"/>
  <c r="BU404" i="3"/>
  <c r="BT404" i="3"/>
  <c r="BS404" i="3"/>
  <c r="BR404" i="3"/>
  <c r="BQ404" i="3"/>
  <c r="BP404" i="3"/>
  <c r="BO404" i="3"/>
  <c r="BN404" i="3"/>
  <c r="E404" i="3"/>
  <c r="E1068" i="3" s="1"/>
  <c r="D404" i="3"/>
  <c r="D1068" i="3" s="1"/>
  <c r="C404" i="3"/>
  <c r="C1068" i="3" s="1"/>
  <c r="B404" i="3"/>
  <c r="B1068" i="3" s="1"/>
  <c r="A404" i="3"/>
  <c r="A1068" i="3" s="1"/>
  <c r="DU403" i="3"/>
  <c r="DT403" i="3"/>
  <c r="DS403" i="3"/>
  <c r="DR403" i="3"/>
  <c r="DQ403" i="3"/>
  <c r="DP403" i="3"/>
  <c r="DO403" i="3"/>
  <c r="DN403" i="3"/>
  <c r="DM403" i="3"/>
  <c r="DL403" i="3"/>
  <c r="DK403" i="3"/>
  <c r="DJ403" i="3"/>
  <c r="DI403" i="3"/>
  <c r="DH403" i="3"/>
  <c r="DG403" i="3"/>
  <c r="DF403" i="3"/>
  <c r="DE403" i="3"/>
  <c r="DD403" i="3"/>
  <c r="DC403" i="3"/>
  <c r="DB403" i="3"/>
  <c r="DA403" i="3"/>
  <c r="CZ403" i="3"/>
  <c r="CY403" i="3"/>
  <c r="CX403" i="3"/>
  <c r="CW403" i="3"/>
  <c r="CV403" i="3"/>
  <c r="CU403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C403" i="3"/>
  <c r="CB403" i="3"/>
  <c r="CA403" i="3"/>
  <c r="BZ403" i="3"/>
  <c r="BY403" i="3"/>
  <c r="BX403" i="3"/>
  <c r="BW403" i="3"/>
  <c r="BV403" i="3"/>
  <c r="BU403" i="3"/>
  <c r="BT403" i="3"/>
  <c r="BS403" i="3"/>
  <c r="BR403" i="3"/>
  <c r="BQ403" i="3"/>
  <c r="BP403" i="3"/>
  <c r="BO403" i="3"/>
  <c r="BN403" i="3"/>
  <c r="E403" i="3"/>
  <c r="E1067" i="3" s="1"/>
  <c r="D403" i="3"/>
  <c r="D1067" i="3" s="1"/>
  <c r="C403" i="3"/>
  <c r="C1067" i="3" s="1"/>
  <c r="B403" i="3"/>
  <c r="B1067" i="3" s="1"/>
  <c r="A403" i="3"/>
  <c r="A1067" i="3" s="1"/>
  <c r="DU402" i="3"/>
  <c r="DT402" i="3"/>
  <c r="DS402" i="3"/>
  <c r="DR402" i="3"/>
  <c r="DQ402" i="3"/>
  <c r="DP402" i="3"/>
  <c r="DO402" i="3"/>
  <c r="DN402" i="3"/>
  <c r="DM402" i="3"/>
  <c r="DL402" i="3"/>
  <c r="DK402" i="3"/>
  <c r="DJ402" i="3"/>
  <c r="DI402" i="3"/>
  <c r="DH402" i="3"/>
  <c r="DG402" i="3"/>
  <c r="DF402" i="3"/>
  <c r="DE402" i="3"/>
  <c r="DD402" i="3"/>
  <c r="DC402" i="3"/>
  <c r="DB402" i="3"/>
  <c r="DA402" i="3"/>
  <c r="CZ402" i="3"/>
  <c r="CY402" i="3"/>
  <c r="CX402" i="3"/>
  <c r="CW402" i="3"/>
  <c r="CV402" i="3"/>
  <c r="CU402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C402" i="3"/>
  <c r="CB402" i="3"/>
  <c r="CA402" i="3"/>
  <c r="BZ402" i="3"/>
  <c r="BY402" i="3"/>
  <c r="BX402" i="3"/>
  <c r="BW402" i="3"/>
  <c r="BV402" i="3"/>
  <c r="BU402" i="3"/>
  <c r="BT402" i="3"/>
  <c r="BS402" i="3"/>
  <c r="BR402" i="3"/>
  <c r="BQ402" i="3"/>
  <c r="BP402" i="3"/>
  <c r="BO402" i="3"/>
  <c r="BN402" i="3"/>
  <c r="E402" i="3"/>
  <c r="E1066" i="3" s="1"/>
  <c r="D402" i="3"/>
  <c r="D1066" i="3" s="1"/>
  <c r="C402" i="3"/>
  <c r="C1066" i="3" s="1"/>
  <c r="B402" i="3"/>
  <c r="B1066" i="3" s="1"/>
  <c r="A402" i="3"/>
  <c r="A1066" i="3" s="1"/>
  <c r="DU401" i="3"/>
  <c r="DT401" i="3"/>
  <c r="DS401" i="3"/>
  <c r="DR401" i="3"/>
  <c r="DQ401" i="3"/>
  <c r="DP401" i="3"/>
  <c r="DO401" i="3"/>
  <c r="DN401" i="3"/>
  <c r="DM401" i="3"/>
  <c r="DL401" i="3"/>
  <c r="DK401" i="3"/>
  <c r="DJ401" i="3"/>
  <c r="DI401" i="3"/>
  <c r="DH401" i="3"/>
  <c r="DG401" i="3"/>
  <c r="DF401" i="3"/>
  <c r="DE401" i="3"/>
  <c r="DD401" i="3"/>
  <c r="DC401" i="3"/>
  <c r="DB401" i="3"/>
  <c r="DA401" i="3"/>
  <c r="CZ401" i="3"/>
  <c r="CY401" i="3"/>
  <c r="CX401" i="3"/>
  <c r="CW401" i="3"/>
  <c r="CV401" i="3"/>
  <c r="CU401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C401" i="3"/>
  <c r="CB401" i="3"/>
  <c r="CA401" i="3"/>
  <c r="BZ401" i="3"/>
  <c r="BY401" i="3"/>
  <c r="BX401" i="3"/>
  <c r="BW401" i="3"/>
  <c r="BV401" i="3"/>
  <c r="BU401" i="3"/>
  <c r="BT401" i="3"/>
  <c r="BS401" i="3"/>
  <c r="BR401" i="3"/>
  <c r="BQ401" i="3"/>
  <c r="BP401" i="3"/>
  <c r="BO401" i="3"/>
  <c r="BN401" i="3"/>
  <c r="E401" i="3"/>
  <c r="E1065" i="3" s="1"/>
  <c r="D401" i="3"/>
  <c r="D1065" i="3" s="1"/>
  <c r="C401" i="3"/>
  <c r="C1065" i="3" s="1"/>
  <c r="B401" i="3"/>
  <c r="B1065" i="3" s="1"/>
  <c r="A401" i="3"/>
  <c r="A1065" i="3" s="1"/>
  <c r="DU400" i="3"/>
  <c r="DT400" i="3"/>
  <c r="DS400" i="3"/>
  <c r="DR400" i="3"/>
  <c r="DQ400" i="3"/>
  <c r="DP400" i="3"/>
  <c r="DO400" i="3"/>
  <c r="DN400" i="3"/>
  <c r="DM400" i="3"/>
  <c r="DL400" i="3"/>
  <c r="DK400" i="3"/>
  <c r="DJ400" i="3"/>
  <c r="DI400" i="3"/>
  <c r="DH400" i="3"/>
  <c r="DG400" i="3"/>
  <c r="DF400" i="3"/>
  <c r="DE400" i="3"/>
  <c r="DD400" i="3"/>
  <c r="DC400" i="3"/>
  <c r="DB400" i="3"/>
  <c r="DA400" i="3"/>
  <c r="CZ400" i="3"/>
  <c r="CY400" i="3"/>
  <c r="CX400" i="3"/>
  <c r="CW400" i="3"/>
  <c r="CV400" i="3"/>
  <c r="CU400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C400" i="3"/>
  <c r="CB400" i="3"/>
  <c r="CA400" i="3"/>
  <c r="BZ400" i="3"/>
  <c r="BY400" i="3"/>
  <c r="BX400" i="3"/>
  <c r="BW400" i="3"/>
  <c r="BV400" i="3"/>
  <c r="BU400" i="3"/>
  <c r="BT400" i="3"/>
  <c r="BS400" i="3"/>
  <c r="BR400" i="3"/>
  <c r="BQ400" i="3"/>
  <c r="BP400" i="3"/>
  <c r="BO400" i="3"/>
  <c r="BN400" i="3"/>
  <c r="E400" i="3"/>
  <c r="E1064" i="3" s="1"/>
  <c r="D400" i="3"/>
  <c r="D1064" i="3" s="1"/>
  <c r="C400" i="3"/>
  <c r="C1064" i="3" s="1"/>
  <c r="B400" i="3"/>
  <c r="B1064" i="3" s="1"/>
  <c r="A400" i="3"/>
  <c r="A1064" i="3" s="1"/>
  <c r="DU399" i="3"/>
  <c r="DT399" i="3"/>
  <c r="DS399" i="3"/>
  <c r="DR399" i="3"/>
  <c r="DQ399" i="3"/>
  <c r="DP399" i="3"/>
  <c r="DO399" i="3"/>
  <c r="DN399" i="3"/>
  <c r="DM399" i="3"/>
  <c r="DL399" i="3"/>
  <c r="DK399" i="3"/>
  <c r="DJ399" i="3"/>
  <c r="DI399" i="3"/>
  <c r="DH399" i="3"/>
  <c r="DG399" i="3"/>
  <c r="DF399" i="3"/>
  <c r="DE399" i="3"/>
  <c r="DD399" i="3"/>
  <c r="DC399" i="3"/>
  <c r="DB399" i="3"/>
  <c r="DA399" i="3"/>
  <c r="CZ399" i="3"/>
  <c r="CY399" i="3"/>
  <c r="CX399" i="3"/>
  <c r="CW399" i="3"/>
  <c r="CV399" i="3"/>
  <c r="CU399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C399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BP399" i="3"/>
  <c r="BO399" i="3"/>
  <c r="BN399" i="3"/>
  <c r="E399" i="3"/>
  <c r="E1063" i="3" s="1"/>
  <c r="D399" i="3"/>
  <c r="D1063" i="3" s="1"/>
  <c r="C399" i="3"/>
  <c r="C1063" i="3" s="1"/>
  <c r="B399" i="3"/>
  <c r="B1063" i="3" s="1"/>
  <c r="A399" i="3"/>
  <c r="A1063" i="3" s="1"/>
  <c r="DU398" i="3"/>
  <c r="DT398" i="3"/>
  <c r="DS398" i="3"/>
  <c r="DR398" i="3"/>
  <c r="DQ398" i="3"/>
  <c r="DP398" i="3"/>
  <c r="DO398" i="3"/>
  <c r="DN398" i="3"/>
  <c r="DM398" i="3"/>
  <c r="DL398" i="3"/>
  <c r="DK398" i="3"/>
  <c r="DJ398" i="3"/>
  <c r="DI398" i="3"/>
  <c r="DH398" i="3"/>
  <c r="DG398" i="3"/>
  <c r="DF398" i="3"/>
  <c r="DE398" i="3"/>
  <c r="DD398" i="3"/>
  <c r="DC398" i="3"/>
  <c r="DB398" i="3"/>
  <c r="DA398" i="3"/>
  <c r="CZ398" i="3"/>
  <c r="CY398" i="3"/>
  <c r="CX398" i="3"/>
  <c r="CW398" i="3"/>
  <c r="CV398" i="3"/>
  <c r="CU398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C398" i="3"/>
  <c r="CB398" i="3"/>
  <c r="CA398" i="3"/>
  <c r="BZ398" i="3"/>
  <c r="BY398" i="3"/>
  <c r="BX398" i="3"/>
  <c r="BW398" i="3"/>
  <c r="BV398" i="3"/>
  <c r="BU398" i="3"/>
  <c r="BT398" i="3"/>
  <c r="BS398" i="3"/>
  <c r="BR398" i="3"/>
  <c r="BQ398" i="3"/>
  <c r="BP398" i="3"/>
  <c r="BO398" i="3"/>
  <c r="BN398" i="3"/>
  <c r="E398" i="3"/>
  <c r="E1062" i="3" s="1"/>
  <c r="D398" i="3"/>
  <c r="D1062" i="3" s="1"/>
  <c r="C398" i="3"/>
  <c r="C1062" i="3" s="1"/>
  <c r="B398" i="3"/>
  <c r="B1062" i="3" s="1"/>
  <c r="A398" i="3"/>
  <c r="A1062" i="3" s="1"/>
  <c r="DU397" i="3"/>
  <c r="DT397" i="3"/>
  <c r="DS397" i="3"/>
  <c r="DR397" i="3"/>
  <c r="DQ397" i="3"/>
  <c r="DP397" i="3"/>
  <c r="DO397" i="3"/>
  <c r="DN397" i="3"/>
  <c r="DM397" i="3"/>
  <c r="DL397" i="3"/>
  <c r="DK397" i="3"/>
  <c r="DJ397" i="3"/>
  <c r="DI397" i="3"/>
  <c r="DH397" i="3"/>
  <c r="DG397" i="3"/>
  <c r="DF397" i="3"/>
  <c r="DE397" i="3"/>
  <c r="DD397" i="3"/>
  <c r="DC397" i="3"/>
  <c r="DB397" i="3"/>
  <c r="DA397" i="3"/>
  <c r="CZ397" i="3"/>
  <c r="CY397" i="3"/>
  <c r="CX397" i="3"/>
  <c r="CW397" i="3"/>
  <c r="CV397" i="3"/>
  <c r="CU397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C397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E397" i="3"/>
  <c r="E1061" i="3" s="1"/>
  <c r="D397" i="3"/>
  <c r="D1061" i="3" s="1"/>
  <c r="C397" i="3"/>
  <c r="C1061" i="3" s="1"/>
  <c r="B397" i="3"/>
  <c r="B1061" i="3" s="1"/>
  <c r="A397" i="3"/>
  <c r="A1061" i="3" s="1"/>
  <c r="DU396" i="3"/>
  <c r="DT396" i="3"/>
  <c r="DS396" i="3"/>
  <c r="DR396" i="3"/>
  <c r="DQ396" i="3"/>
  <c r="DP396" i="3"/>
  <c r="DO396" i="3"/>
  <c r="DN396" i="3"/>
  <c r="DM396" i="3"/>
  <c r="DL396" i="3"/>
  <c r="DK396" i="3"/>
  <c r="DJ396" i="3"/>
  <c r="DI396" i="3"/>
  <c r="DH396" i="3"/>
  <c r="DG396" i="3"/>
  <c r="DF396" i="3"/>
  <c r="DE396" i="3"/>
  <c r="DD396" i="3"/>
  <c r="DC396" i="3"/>
  <c r="DB396" i="3"/>
  <c r="DA396" i="3"/>
  <c r="CZ396" i="3"/>
  <c r="CY396" i="3"/>
  <c r="CX396" i="3"/>
  <c r="CW396" i="3"/>
  <c r="CV396" i="3"/>
  <c r="CU396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C396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BP396" i="3"/>
  <c r="BO396" i="3"/>
  <c r="BN396" i="3"/>
  <c r="E396" i="3"/>
  <c r="E1060" i="3" s="1"/>
  <c r="D396" i="3"/>
  <c r="D1060" i="3" s="1"/>
  <c r="C396" i="3"/>
  <c r="C1060" i="3" s="1"/>
  <c r="B396" i="3"/>
  <c r="B1060" i="3" s="1"/>
  <c r="A396" i="3"/>
  <c r="A1060" i="3" s="1"/>
  <c r="DU395" i="3"/>
  <c r="DT395" i="3"/>
  <c r="DS395" i="3"/>
  <c r="DR395" i="3"/>
  <c r="DQ395" i="3"/>
  <c r="DP395" i="3"/>
  <c r="DO395" i="3"/>
  <c r="DN395" i="3"/>
  <c r="DM395" i="3"/>
  <c r="DL395" i="3"/>
  <c r="DK395" i="3"/>
  <c r="DJ395" i="3"/>
  <c r="DI395" i="3"/>
  <c r="DH395" i="3"/>
  <c r="DG395" i="3"/>
  <c r="DF395" i="3"/>
  <c r="DE395" i="3"/>
  <c r="DD395" i="3"/>
  <c r="DC395" i="3"/>
  <c r="DB395" i="3"/>
  <c r="DA395" i="3"/>
  <c r="CZ395" i="3"/>
  <c r="CY395" i="3"/>
  <c r="CX395" i="3"/>
  <c r="CW395" i="3"/>
  <c r="CV395" i="3"/>
  <c r="CU395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C395" i="3"/>
  <c r="CB395" i="3"/>
  <c r="CA395" i="3"/>
  <c r="BZ395" i="3"/>
  <c r="BY395" i="3"/>
  <c r="BX395" i="3"/>
  <c r="BW395" i="3"/>
  <c r="BV395" i="3"/>
  <c r="BU395" i="3"/>
  <c r="BT395" i="3"/>
  <c r="BS395" i="3"/>
  <c r="BR395" i="3"/>
  <c r="BQ395" i="3"/>
  <c r="BP395" i="3"/>
  <c r="BO395" i="3"/>
  <c r="BN395" i="3"/>
  <c r="E395" i="3"/>
  <c r="E1059" i="3" s="1"/>
  <c r="D395" i="3"/>
  <c r="D1059" i="3" s="1"/>
  <c r="C395" i="3"/>
  <c r="C1059" i="3" s="1"/>
  <c r="B395" i="3"/>
  <c r="B1059" i="3" s="1"/>
  <c r="A395" i="3"/>
  <c r="A1059" i="3" s="1"/>
  <c r="DU394" i="3"/>
  <c r="DT394" i="3"/>
  <c r="DS394" i="3"/>
  <c r="DR394" i="3"/>
  <c r="DQ394" i="3"/>
  <c r="DP394" i="3"/>
  <c r="DO394" i="3"/>
  <c r="DN394" i="3"/>
  <c r="DM394" i="3"/>
  <c r="DL394" i="3"/>
  <c r="DK394" i="3"/>
  <c r="DJ394" i="3"/>
  <c r="DI394" i="3"/>
  <c r="DH394" i="3"/>
  <c r="DG394" i="3"/>
  <c r="DF394" i="3"/>
  <c r="DE394" i="3"/>
  <c r="DD394" i="3"/>
  <c r="DC394" i="3"/>
  <c r="DB394" i="3"/>
  <c r="DA394" i="3"/>
  <c r="CZ394" i="3"/>
  <c r="CY394" i="3"/>
  <c r="CX394" i="3"/>
  <c r="CW394" i="3"/>
  <c r="CV394" i="3"/>
  <c r="CU394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C394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BP394" i="3"/>
  <c r="BO394" i="3"/>
  <c r="BN394" i="3"/>
  <c r="E394" i="3"/>
  <c r="E1058" i="3" s="1"/>
  <c r="D394" i="3"/>
  <c r="D1058" i="3" s="1"/>
  <c r="C394" i="3"/>
  <c r="C1058" i="3" s="1"/>
  <c r="B394" i="3"/>
  <c r="B1058" i="3" s="1"/>
  <c r="A394" i="3"/>
  <c r="A1058" i="3" s="1"/>
  <c r="DU393" i="3"/>
  <c r="DT393" i="3"/>
  <c r="DS393" i="3"/>
  <c r="DR393" i="3"/>
  <c r="DQ393" i="3"/>
  <c r="DP393" i="3"/>
  <c r="DO393" i="3"/>
  <c r="DN393" i="3"/>
  <c r="DM393" i="3"/>
  <c r="DL393" i="3"/>
  <c r="DK393" i="3"/>
  <c r="DJ393" i="3"/>
  <c r="DI393" i="3"/>
  <c r="DH393" i="3"/>
  <c r="DG393" i="3"/>
  <c r="DF393" i="3"/>
  <c r="DE393" i="3"/>
  <c r="DD393" i="3"/>
  <c r="DC393" i="3"/>
  <c r="DB393" i="3"/>
  <c r="DA393" i="3"/>
  <c r="CZ393" i="3"/>
  <c r="CY393" i="3"/>
  <c r="CX393" i="3"/>
  <c r="CW393" i="3"/>
  <c r="CV393" i="3"/>
  <c r="CU393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C393" i="3"/>
  <c r="CB393" i="3"/>
  <c r="CA393" i="3"/>
  <c r="BZ393" i="3"/>
  <c r="BY393" i="3"/>
  <c r="BX393" i="3"/>
  <c r="BW393" i="3"/>
  <c r="BV393" i="3"/>
  <c r="BU393" i="3"/>
  <c r="BT393" i="3"/>
  <c r="BS393" i="3"/>
  <c r="BR393" i="3"/>
  <c r="BQ393" i="3"/>
  <c r="BP393" i="3"/>
  <c r="BO393" i="3"/>
  <c r="BN393" i="3"/>
  <c r="E393" i="3"/>
  <c r="E1057" i="3" s="1"/>
  <c r="D393" i="3"/>
  <c r="D1057" i="3" s="1"/>
  <c r="C393" i="3"/>
  <c r="C1057" i="3" s="1"/>
  <c r="B393" i="3"/>
  <c r="B1057" i="3" s="1"/>
  <c r="A393" i="3"/>
  <c r="A1057" i="3" s="1"/>
  <c r="DU392" i="3"/>
  <c r="DT392" i="3"/>
  <c r="DS392" i="3"/>
  <c r="DR392" i="3"/>
  <c r="DQ392" i="3"/>
  <c r="DP392" i="3"/>
  <c r="DO392" i="3"/>
  <c r="DN392" i="3"/>
  <c r="DM392" i="3"/>
  <c r="DL392" i="3"/>
  <c r="DK392" i="3"/>
  <c r="DJ392" i="3"/>
  <c r="DI392" i="3"/>
  <c r="DH392" i="3"/>
  <c r="DG392" i="3"/>
  <c r="DF392" i="3"/>
  <c r="DE392" i="3"/>
  <c r="DD392" i="3"/>
  <c r="DC392" i="3"/>
  <c r="DB392" i="3"/>
  <c r="DA392" i="3"/>
  <c r="CZ392" i="3"/>
  <c r="CY392" i="3"/>
  <c r="CX392" i="3"/>
  <c r="CW392" i="3"/>
  <c r="CV392" i="3"/>
  <c r="CU392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C392" i="3"/>
  <c r="CB392" i="3"/>
  <c r="CA392" i="3"/>
  <c r="BZ392" i="3"/>
  <c r="BY392" i="3"/>
  <c r="BX392" i="3"/>
  <c r="BW392" i="3"/>
  <c r="BV392" i="3"/>
  <c r="BU392" i="3"/>
  <c r="BT392" i="3"/>
  <c r="BS392" i="3"/>
  <c r="BR392" i="3"/>
  <c r="BQ392" i="3"/>
  <c r="BP392" i="3"/>
  <c r="BO392" i="3"/>
  <c r="BN392" i="3"/>
  <c r="E392" i="3"/>
  <c r="E1056" i="3" s="1"/>
  <c r="D392" i="3"/>
  <c r="D1056" i="3" s="1"/>
  <c r="C392" i="3"/>
  <c r="C1056" i="3" s="1"/>
  <c r="B392" i="3"/>
  <c r="B1056" i="3" s="1"/>
  <c r="A392" i="3"/>
  <c r="A1056" i="3" s="1"/>
  <c r="DU391" i="3"/>
  <c r="DT391" i="3"/>
  <c r="DS391" i="3"/>
  <c r="DR391" i="3"/>
  <c r="DQ391" i="3"/>
  <c r="DP391" i="3"/>
  <c r="DO391" i="3"/>
  <c r="DN391" i="3"/>
  <c r="DM391" i="3"/>
  <c r="DL391" i="3"/>
  <c r="DK391" i="3"/>
  <c r="DJ391" i="3"/>
  <c r="DI391" i="3"/>
  <c r="DH391" i="3"/>
  <c r="DG391" i="3"/>
  <c r="DF391" i="3"/>
  <c r="DE391" i="3"/>
  <c r="DD391" i="3"/>
  <c r="DC391" i="3"/>
  <c r="DB391" i="3"/>
  <c r="DA391" i="3"/>
  <c r="CZ391" i="3"/>
  <c r="CY391" i="3"/>
  <c r="CX391" i="3"/>
  <c r="CW391" i="3"/>
  <c r="CV391" i="3"/>
  <c r="CU391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D391" i="3"/>
  <c r="CC391" i="3"/>
  <c r="CB391" i="3"/>
  <c r="CA391" i="3"/>
  <c r="BZ391" i="3"/>
  <c r="BY391" i="3"/>
  <c r="BX391" i="3"/>
  <c r="BW391" i="3"/>
  <c r="BV391" i="3"/>
  <c r="BU391" i="3"/>
  <c r="BT391" i="3"/>
  <c r="BS391" i="3"/>
  <c r="BR391" i="3"/>
  <c r="BQ391" i="3"/>
  <c r="BP391" i="3"/>
  <c r="BO391" i="3"/>
  <c r="BN391" i="3"/>
  <c r="E391" i="3"/>
  <c r="E1055" i="3" s="1"/>
  <c r="D391" i="3"/>
  <c r="D1055" i="3" s="1"/>
  <c r="C391" i="3"/>
  <c r="C1055" i="3" s="1"/>
  <c r="B391" i="3"/>
  <c r="B1055" i="3" s="1"/>
  <c r="A391" i="3"/>
  <c r="A1055" i="3" s="1"/>
  <c r="DU390" i="3"/>
  <c r="DT390" i="3"/>
  <c r="DS390" i="3"/>
  <c r="DR390" i="3"/>
  <c r="DQ390" i="3"/>
  <c r="DP390" i="3"/>
  <c r="DO390" i="3"/>
  <c r="DN390" i="3"/>
  <c r="DM390" i="3"/>
  <c r="DL390" i="3"/>
  <c r="DK390" i="3"/>
  <c r="DJ390" i="3"/>
  <c r="DI390" i="3"/>
  <c r="DH390" i="3"/>
  <c r="DG390" i="3"/>
  <c r="DF390" i="3"/>
  <c r="DE390" i="3"/>
  <c r="DD390" i="3"/>
  <c r="DC390" i="3"/>
  <c r="DB390" i="3"/>
  <c r="DA390" i="3"/>
  <c r="CZ390" i="3"/>
  <c r="CY390" i="3"/>
  <c r="CX390" i="3"/>
  <c r="CW390" i="3"/>
  <c r="CV390" i="3"/>
  <c r="CU390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C390" i="3"/>
  <c r="CB390" i="3"/>
  <c r="CA390" i="3"/>
  <c r="BZ390" i="3"/>
  <c r="BY390" i="3"/>
  <c r="BX390" i="3"/>
  <c r="BW390" i="3"/>
  <c r="BV390" i="3"/>
  <c r="BU390" i="3"/>
  <c r="BT390" i="3"/>
  <c r="BS390" i="3"/>
  <c r="BR390" i="3"/>
  <c r="BQ390" i="3"/>
  <c r="BP390" i="3"/>
  <c r="BO390" i="3"/>
  <c r="BN390" i="3"/>
  <c r="E390" i="3"/>
  <c r="E1054" i="3" s="1"/>
  <c r="D390" i="3"/>
  <c r="D1054" i="3" s="1"/>
  <c r="C390" i="3"/>
  <c r="C1054" i="3" s="1"/>
  <c r="B390" i="3"/>
  <c r="B1054" i="3" s="1"/>
  <c r="A390" i="3"/>
  <c r="A1054" i="3" s="1"/>
  <c r="DU389" i="3"/>
  <c r="DT389" i="3"/>
  <c r="DS389" i="3"/>
  <c r="DR389" i="3"/>
  <c r="DQ389" i="3"/>
  <c r="DP389" i="3"/>
  <c r="DO389" i="3"/>
  <c r="DN389" i="3"/>
  <c r="DM389" i="3"/>
  <c r="DL389" i="3"/>
  <c r="DK389" i="3"/>
  <c r="DJ389" i="3"/>
  <c r="DI389" i="3"/>
  <c r="DH389" i="3"/>
  <c r="DG389" i="3"/>
  <c r="DF389" i="3"/>
  <c r="DE389" i="3"/>
  <c r="DD389" i="3"/>
  <c r="DC389" i="3"/>
  <c r="DB389" i="3"/>
  <c r="DA389" i="3"/>
  <c r="CZ389" i="3"/>
  <c r="CY389" i="3"/>
  <c r="CX389" i="3"/>
  <c r="CW389" i="3"/>
  <c r="CV389" i="3"/>
  <c r="CU389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C389" i="3"/>
  <c r="CB389" i="3"/>
  <c r="CA389" i="3"/>
  <c r="BZ389" i="3"/>
  <c r="BY389" i="3"/>
  <c r="BX389" i="3"/>
  <c r="BW389" i="3"/>
  <c r="BV389" i="3"/>
  <c r="BU389" i="3"/>
  <c r="BT389" i="3"/>
  <c r="BS389" i="3"/>
  <c r="BR389" i="3"/>
  <c r="BQ389" i="3"/>
  <c r="BP389" i="3"/>
  <c r="BO389" i="3"/>
  <c r="BN389" i="3"/>
  <c r="E389" i="3"/>
  <c r="E1053" i="3" s="1"/>
  <c r="D389" i="3"/>
  <c r="D1053" i="3" s="1"/>
  <c r="C389" i="3"/>
  <c r="C1053" i="3" s="1"/>
  <c r="B389" i="3"/>
  <c r="B1053" i="3" s="1"/>
  <c r="A389" i="3"/>
  <c r="A1053" i="3" s="1"/>
  <c r="DU388" i="3"/>
  <c r="DT388" i="3"/>
  <c r="DS388" i="3"/>
  <c r="DR388" i="3"/>
  <c r="DQ388" i="3"/>
  <c r="DP388" i="3"/>
  <c r="DO388" i="3"/>
  <c r="DN388" i="3"/>
  <c r="DM388" i="3"/>
  <c r="DL388" i="3"/>
  <c r="DK388" i="3"/>
  <c r="DJ388" i="3"/>
  <c r="DI388" i="3"/>
  <c r="DH388" i="3"/>
  <c r="DG388" i="3"/>
  <c r="DF388" i="3"/>
  <c r="DE388" i="3"/>
  <c r="DD388" i="3"/>
  <c r="DC388" i="3"/>
  <c r="DB388" i="3"/>
  <c r="DA388" i="3"/>
  <c r="CZ388" i="3"/>
  <c r="CY388" i="3"/>
  <c r="CX388" i="3"/>
  <c r="CW388" i="3"/>
  <c r="CV388" i="3"/>
  <c r="CU388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C388" i="3"/>
  <c r="CB388" i="3"/>
  <c r="CA388" i="3"/>
  <c r="BZ388" i="3"/>
  <c r="BY388" i="3"/>
  <c r="BX388" i="3"/>
  <c r="BW388" i="3"/>
  <c r="BV388" i="3"/>
  <c r="BU388" i="3"/>
  <c r="BT388" i="3"/>
  <c r="BS388" i="3"/>
  <c r="BR388" i="3"/>
  <c r="BQ388" i="3"/>
  <c r="BP388" i="3"/>
  <c r="BO388" i="3"/>
  <c r="BN388" i="3"/>
  <c r="E388" i="3"/>
  <c r="E1052" i="3" s="1"/>
  <c r="D388" i="3"/>
  <c r="D1052" i="3" s="1"/>
  <c r="C388" i="3"/>
  <c r="C1052" i="3" s="1"/>
  <c r="B388" i="3"/>
  <c r="B1052" i="3" s="1"/>
  <c r="A388" i="3"/>
  <c r="A1052" i="3" s="1"/>
  <c r="DU387" i="3"/>
  <c r="DT387" i="3"/>
  <c r="DS387" i="3"/>
  <c r="DR387" i="3"/>
  <c r="DQ387" i="3"/>
  <c r="DP387" i="3"/>
  <c r="DO387" i="3"/>
  <c r="DN387" i="3"/>
  <c r="DM387" i="3"/>
  <c r="DL387" i="3"/>
  <c r="DK387" i="3"/>
  <c r="DJ387" i="3"/>
  <c r="DI387" i="3"/>
  <c r="DH387" i="3"/>
  <c r="DG387" i="3"/>
  <c r="DF387" i="3"/>
  <c r="DE387" i="3"/>
  <c r="DD387" i="3"/>
  <c r="DC387" i="3"/>
  <c r="DB387" i="3"/>
  <c r="DA387" i="3"/>
  <c r="CZ387" i="3"/>
  <c r="CY387" i="3"/>
  <c r="CX387" i="3"/>
  <c r="CW387" i="3"/>
  <c r="CV387" i="3"/>
  <c r="CU387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C387" i="3"/>
  <c r="CB387" i="3"/>
  <c r="CA387" i="3"/>
  <c r="BZ387" i="3"/>
  <c r="BY387" i="3"/>
  <c r="BX387" i="3"/>
  <c r="BW387" i="3"/>
  <c r="BV387" i="3"/>
  <c r="BU387" i="3"/>
  <c r="BT387" i="3"/>
  <c r="BS387" i="3"/>
  <c r="BR387" i="3"/>
  <c r="BQ387" i="3"/>
  <c r="BP387" i="3"/>
  <c r="BO387" i="3"/>
  <c r="BN387" i="3"/>
  <c r="E387" i="3"/>
  <c r="E1051" i="3" s="1"/>
  <c r="D387" i="3"/>
  <c r="D1051" i="3" s="1"/>
  <c r="C387" i="3"/>
  <c r="C1051" i="3" s="1"/>
  <c r="B387" i="3"/>
  <c r="B1051" i="3" s="1"/>
  <c r="A387" i="3"/>
  <c r="A1051" i="3" s="1"/>
  <c r="DU386" i="3"/>
  <c r="DT386" i="3"/>
  <c r="DS386" i="3"/>
  <c r="DR386" i="3"/>
  <c r="DQ386" i="3"/>
  <c r="DP386" i="3"/>
  <c r="DO386" i="3"/>
  <c r="DN386" i="3"/>
  <c r="DM386" i="3"/>
  <c r="DL386" i="3"/>
  <c r="DK386" i="3"/>
  <c r="DJ386" i="3"/>
  <c r="DI386" i="3"/>
  <c r="DH386" i="3"/>
  <c r="DG386" i="3"/>
  <c r="DF386" i="3"/>
  <c r="DE386" i="3"/>
  <c r="DD386" i="3"/>
  <c r="DC386" i="3"/>
  <c r="DB386" i="3"/>
  <c r="DA386" i="3"/>
  <c r="CZ386" i="3"/>
  <c r="CY386" i="3"/>
  <c r="CX386" i="3"/>
  <c r="CW386" i="3"/>
  <c r="CV386" i="3"/>
  <c r="CU386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C386" i="3"/>
  <c r="CB386" i="3"/>
  <c r="CA386" i="3"/>
  <c r="BZ386" i="3"/>
  <c r="BY386" i="3"/>
  <c r="BX386" i="3"/>
  <c r="BW386" i="3"/>
  <c r="BV386" i="3"/>
  <c r="BU386" i="3"/>
  <c r="BT386" i="3"/>
  <c r="BS386" i="3"/>
  <c r="BR386" i="3"/>
  <c r="BQ386" i="3"/>
  <c r="BP386" i="3"/>
  <c r="BO386" i="3"/>
  <c r="BN386" i="3"/>
  <c r="E386" i="3"/>
  <c r="E1050" i="3" s="1"/>
  <c r="D386" i="3"/>
  <c r="D1050" i="3" s="1"/>
  <c r="C386" i="3"/>
  <c r="C1050" i="3" s="1"/>
  <c r="B386" i="3"/>
  <c r="B1050" i="3" s="1"/>
  <c r="A386" i="3"/>
  <c r="A1050" i="3" s="1"/>
  <c r="DU385" i="3"/>
  <c r="DT385" i="3"/>
  <c r="DS385" i="3"/>
  <c r="DR385" i="3"/>
  <c r="DQ385" i="3"/>
  <c r="DP385" i="3"/>
  <c r="DO385" i="3"/>
  <c r="DN385" i="3"/>
  <c r="DM385" i="3"/>
  <c r="DL385" i="3"/>
  <c r="DK385" i="3"/>
  <c r="DJ385" i="3"/>
  <c r="DI385" i="3"/>
  <c r="DH385" i="3"/>
  <c r="DG385" i="3"/>
  <c r="DF385" i="3"/>
  <c r="DE385" i="3"/>
  <c r="DD385" i="3"/>
  <c r="DC385" i="3"/>
  <c r="DB385" i="3"/>
  <c r="DA385" i="3"/>
  <c r="CZ385" i="3"/>
  <c r="CY385" i="3"/>
  <c r="CX385" i="3"/>
  <c r="CW385" i="3"/>
  <c r="CV385" i="3"/>
  <c r="CU385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C385" i="3"/>
  <c r="CB385" i="3"/>
  <c r="CA385" i="3"/>
  <c r="BZ385" i="3"/>
  <c r="BY385" i="3"/>
  <c r="BX385" i="3"/>
  <c r="BW385" i="3"/>
  <c r="BV385" i="3"/>
  <c r="BU385" i="3"/>
  <c r="BT385" i="3"/>
  <c r="BS385" i="3"/>
  <c r="BR385" i="3"/>
  <c r="BQ385" i="3"/>
  <c r="BP385" i="3"/>
  <c r="BO385" i="3"/>
  <c r="BN385" i="3"/>
  <c r="E385" i="3"/>
  <c r="E1049" i="3" s="1"/>
  <c r="D385" i="3"/>
  <c r="D1049" i="3" s="1"/>
  <c r="C385" i="3"/>
  <c r="C1049" i="3" s="1"/>
  <c r="B385" i="3"/>
  <c r="B1049" i="3" s="1"/>
  <c r="A385" i="3"/>
  <c r="A1049" i="3" s="1"/>
  <c r="DU384" i="3"/>
  <c r="DT384" i="3"/>
  <c r="DS384" i="3"/>
  <c r="DR384" i="3"/>
  <c r="DQ384" i="3"/>
  <c r="DP384" i="3"/>
  <c r="DO384" i="3"/>
  <c r="DN384" i="3"/>
  <c r="DM384" i="3"/>
  <c r="DL384" i="3"/>
  <c r="DK384" i="3"/>
  <c r="DJ384" i="3"/>
  <c r="DI384" i="3"/>
  <c r="DH384" i="3"/>
  <c r="DG384" i="3"/>
  <c r="DF384" i="3"/>
  <c r="DE384" i="3"/>
  <c r="DD384" i="3"/>
  <c r="DC384" i="3"/>
  <c r="DB384" i="3"/>
  <c r="DA384" i="3"/>
  <c r="CZ384" i="3"/>
  <c r="CY384" i="3"/>
  <c r="CX384" i="3"/>
  <c r="CW384" i="3"/>
  <c r="CV384" i="3"/>
  <c r="CU384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C384" i="3"/>
  <c r="CB384" i="3"/>
  <c r="CA384" i="3"/>
  <c r="BZ384" i="3"/>
  <c r="BY384" i="3"/>
  <c r="BX384" i="3"/>
  <c r="BW384" i="3"/>
  <c r="BV384" i="3"/>
  <c r="BU384" i="3"/>
  <c r="BT384" i="3"/>
  <c r="BS384" i="3"/>
  <c r="BR384" i="3"/>
  <c r="BQ384" i="3"/>
  <c r="BP384" i="3"/>
  <c r="BO384" i="3"/>
  <c r="BN384" i="3"/>
  <c r="E384" i="3"/>
  <c r="E1048" i="3" s="1"/>
  <c r="D384" i="3"/>
  <c r="D1048" i="3" s="1"/>
  <c r="C384" i="3"/>
  <c r="C1048" i="3" s="1"/>
  <c r="B384" i="3"/>
  <c r="B1048" i="3" s="1"/>
  <c r="A384" i="3"/>
  <c r="A1048" i="3" s="1"/>
  <c r="DU383" i="3"/>
  <c r="DT383" i="3"/>
  <c r="DS383" i="3"/>
  <c r="DR383" i="3"/>
  <c r="DQ383" i="3"/>
  <c r="DP383" i="3"/>
  <c r="DO383" i="3"/>
  <c r="DN383" i="3"/>
  <c r="DM383" i="3"/>
  <c r="DL383" i="3"/>
  <c r="DK383" i="3"/>
  <c r="DJ383" i="3"/>
  <c r="DI383" i="3"/>
  <c r="DH383" i="3"/>
  <c r="DG383" i="3"/>
  <c r="DF383" i="3"/>
  <c r="DE383" i="3"/>
  <c r="DD383" i="3"/>
  <c r="DC383" i="3"/>
  <c r="DB383" i="3"/>
  <c r="DA383" i="3"/>
  <c r="CZ383" i="3"/>
  <c r="CY383" i="3"/>
  <c r="CX383" i="3"/>
  <c r="CW383" i="3"/>
  <c r="CV383" i="3"/>
  <c r="CU383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C383" i="3"/>
  <c r="CB383" i="3"/>
  <c r="CA383" i="3"/>
  <c r="BZ383" i="3"/>
  <c r="BY383" i="3"/>
  <c r="BX383" i="3"/>
  <c r="BW383" i="3"/>
  <c r="BV383" i="3"/>
  <c r="BU383" i="3"/>
  <c r="BT383" i="3"/>
  <c r="BS383" i="3"/>
  <c r="BR383" i="3"/>
  <c r="BQ383" i="3"/>
  <c r="BP383" i="3"/>
  <c r="BO383" i="3"/>
  <c r="BN383" i="3"/>
  <c r="E383" i="3"/>
  <c r="E1047" i="3" s="1"/>
  <c r="D383" i="3"/>
  <c r="D1047" i="3" s="1"/>
  <c r="C383" i="3"/>
  <c r="C1047" i="3" s="1"/>
  <c r="B383" i="3"/>
  <c r="B1047" i="3" s="1"/>
  <c r="A383" i="3"/>
  <c r="A1047" i="3" s="1"/>
  <c r="DU382" i="3"/>
  <c r="DT382" i="3"/>
  <c r="DS382" i="3"/>
  <c r="DR382" i="3"/>
  <c r="DQ382" i="3"/>
  <c r="DP382" i="3"/>
  <c r="DO382" i="3"/>
  <c r="DN382" i="3"/>
  <c r="DM382" i="3"/>
  <c r="DL382" i="3"/>
  <c r="DK382" i="3"/>
  <c r="DJ38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Y382" i="3"/>
  <c r="BX382" i="3"/>
  <c r="BW382" i="3"/>
  <c r="BV382" i="3"/>
  <c r="BU382" i="3"/>
  <c r="BT382" i="3"/>
  <c r="BS382" i="3"/>
  <c r="BR382" i="3"/>
  <c r="BQ382" i="3"/>
  <c r="BP382" i="3"/>
  <c r="BO382" i="3"/>
  <c r="BN382" i="3"/>
  <c r="E382" i="3"/>
  <c r="E1046" i="3" s="1"/>
  <c r="D382" i="3"/>
  <c r="D1046" i="3" s="1"/>
  <c r="C382" i="3"/>
  <c r="C1046" i="3" s="1"/>
  <c r="B382" i="3"/>
  <c r="B1046" i="3" s="1"/>
  <c r="A382" i="3"/>
  <c r="A1046" i="3" s="1"/>
  <c r="DU381" i="3"/>
  <c r="DT381" i="3"/>
  <c r="DS381" i="3"/>
  <c r="DR381" i="3"/>
  <c r="DQ381" i="3"/>
  <c r="DP381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Y381" i="3"/>
  <c r="BX381" i="3"/>
  <c r="BW381" i="3"/>
  <c r="BV381" i="3"/>
  <c r="BU381" i="3"/>
  <c r="BT381" i="3"/>
  <c r="BS381" i="3"/>
  <c r="BR381" i="3"/>
  <c r="BQ381" i="3"/>
  <c r="BP381" i="3"/>
  <c r="BO381" i="3"/>
  <c r="BN381" i="3"/>
  <c r="E381" i="3"/>
  <c r="E1045" i="3" s="1"/>
  <c r="D381" i="3"/>
  <c r="D1045" i="3" s="1"/>
  <c r="C381" i="3"/>
  <c r="C1045" i="3" s="1"/>
  <c r="B381" i="3"/>
  <c r="B1045" i="3" s="1"/>
  <c r="A381" i="3"/>
  <c r="A1045" i="3" s="1"/>
  <c r="DU380" i="3"/>
  <c r="DT380" i="3"/>
  <c r="DS380" i="3"/>
  <c r="DR380" i="3"/>
  <c r="DQ380" i="3"/>
  <c r="DP380" i="3"/>
  <c r="DO380" i="3"/>
  <c r="DN380" i="3"/>
  <c r="DM380" i="3"/>
  <c r="DL380" i="3"/>
  <c r="DK380" i="3"/>
  <c r="DJ380" i="3"/>
  <c r="DI380" i="3"/>
  <c r="DH380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BY380" i="3"/>
  <c r="BX380" i="3"/>
  <c r="BW380" i="3"/>
  <c r="BV380" i="3"/>
  <c r="BU380" i="3"/>
  <c r="BT380" i="3"/>
  <c r="BS380" i="3"/>
  <c r="BR380" i="3"/>
  <c r="BQ380" i="3"/>
  <c r="BP380" i="3"/>
  <c r="BO380" i="3"/>
  <c r="BN380" i="3"/>
  <c r="E380" i="3"/>
  <c r="E1044" i="3" s="1"/>
  <c r="D380" i="3"/>
  <c r="D1044" i="3" s="1"/>
  <c r="C380" i="3"/>
  <c r="C1044" i="3" s="1"/>
  <c r="B380" i="3"/>
  <c r="B1044" i="3" s="1"/>
  <c r="A380" i="3"/>
  <c r="A1044" i="3" s="1"/>
  <c r="DU379" i="3"/>
  <c r="DT379" i="3"/>
  <c r="DS379" i="3"/>
  <c r="DR379" i="3"/>
  <c r="DQ379" i="3"/>
  <c r="DP379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BY379" i="3"/>
  <c r="BX379" i="3"/>
  <c r="BW379" i="3"/>
  <c r="BV379" i="3"/>
  <c r="BU379" i="3"/>
  <c r="BT379" i="3"/>
  <c r="BS379" i="3"/>
  <c r="BR379" i="3"/>
  <c r="BQ379" i="3"/>
  <c r="BP379" i="3"/>
  <c r="BO379" i="3"/>
  <c r="BN379" i="3"/>
  <c r="E379" i="3"/>
  <c r="E1043" i="3" s="1"/>
  <c r="D379" i="3"/>
  <c r="D1043" i="3" s="1"/>
  <c r="C379" i="3"/>
  <c r="C1043" i="3" s="1"/>
  <c r="B379" i="3"/>
  <c r="B1043" i="3" s="1"/>
  <c r="A379" i="3"/>
  <c r="A1043" i="3" s="1"/>
  <c r="DU378" i="3"/>
  <c r="DT378" i="3"/>
  <c r="DS378" i="3"/>
  <c r="DR378" i="3"/>
  <c r="DQ378" i="3"/>
  <c r="DP378" i="3"/>
  <c r="DO378" i="3"/>
  <c r="DN378" i="3"/>
  <c r="DM378" i="3"/>
  <c r="DL378" i="3"/>
  <c r="DK378" i="3"/>
  <c r="DJ378" i="3"/>
  <c r="DI378" i="3"/>
  <c r="DH378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BY378" i="3"/>
  <c r="BX378" i="3"/>
  <c r="BW378" i="3"/>
  <c r="BV378" i="3"/>
  <c r="BU378" i="3"/>
  <c r="BT378" i="3"/>
  <c r="BS378" i="3"/>
  <c r="BR378" i="3"/>
  <c r="BQ378" i="3"/>
  <c r="BP378" i="3"/>
  <c r="BO378" i="3"/>
  <c r="BN378" i="3"/>
  <c r="E378" i="3"/>
  <c r="E1042" i="3" s="1"/>
  <c r="D378" i="3"/>
  <c r="D1042" i="3" s="1"/>
  <c r="C378" i="3"/>
  <c r="C1042" i="3" s="1"/>
  <c r="B378" i="3"/>
  <c r="B1042" i="3" s="1"/>
  <c r="A378" i="3"/>
  <c r="A1042" i="3" s="1"/>
  <c r="DU377" i="3"/>
  <c r="DT377" i="3"/>
  <c r="DS377" i="3"/>
  <c r="DR377" i="3"/>
  <c r="DQ377" i="3"/>
  <c r="DP377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BY377" i="3"/>
  <c r="BX377" i="3"/>
  <c r="BW377" i="3"/>
  <c r="BV377" i="3"/>
  <c r="BU377" i="3"/>
  <c r="BT377" i="3"/>
  <c r="BS377" i="3"/>
  <c r="BR377" i="3"/>
  <c r="BQ377" i="3"/>
  <c r="BP377" i="3"/>
  <c r="BO377" i="3"/>
  <c r="BN377" i="3"/>
  <c r="E377" i="3"/>
  <c r="E1041" i="3" s="1"/>
  <c r="D377" i="3"/>
  <c r="D1041" i="3" s="1"/>
  <c r="C377" i="3"/>
  <c r="C1041" i="3" s="1"/>
  <c r="B377" i="3"/>
  <c r="B1041" i="3" s="1"/>
  <c r="A377" i="3"/>
  <c r="A1041" i="3" s="1"/>
  <c r="DU376" i="3"/>
  <c r="DT376" i="3"/>
  <c r="DS376" i="3"/>
  <c r="DR376" i="3"/>
  <c r="DQ376" i="3"/>
  <c r="DP376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BY376" i="3"/>
  <c r="BX376" i="3"/>
  <c r="BW376" i="3"/>
  <c r="BV376" i="3"/>
  <c r="BU376" i="3"/>
  <c r="BT376" i="3"/>
  <c r="BS376" i="3"/>
  <c r="BR376" i="3"/>
  <c r="BQ376" i="3"/>
  <c r="BP376" i="3"/>
  <c r="BO376" i="3"/>
  <c r="BN376" i="3"/>
  <c r="E376" i="3"/>
  <c r="E1040" i="3" s="1"/>
  <c r="D376" i="3"/>
  <c r="D1040" i="3" s="1"/>
  <c r="C376" i="3"/>
  <c r="C1040" i="3" s="1"/>
  <c r="B376" i="3"/>
  <c r="B1040" i="3" s="1"/>
  <c r="A376" i="3"/>
  <c r="A1040" i="3" s="1"/>
  <c r="DU375" i="3"/>
  <c r="DT375" i="3"/>
  <c r="DS375" i="3"/>
  <c r="DR375" i="3"/>
  <c r="DQ375" i="3"/>
  <c r="DP375" i="3"/>
  <c r="DO375" i="3"/>
  <c r="DN375" i="3"/>
  <c r="DM375" i="3"/>
  <c r="DL375" i="3"/>
  <c r="DK375" i="3"/>
  <c r="DJ375" i="3"/>
  <c r="DI375" i="3"/>
  <c r="DH375" i="3"/>
  <c r="DG375" i="3"/>
  <c r="DF375" i="3"/>
  <c r="DE375" i="3"/>
  <c r="DD375" i="3"/>
  <c r="DC375" i="3"/>
  <c r="DB375" i="3"/>
  <c r="DA375" i="3"/>
  <c r="CZ375" i="3"/>
  <c r="CY375" i="3"/>
  <c r="CX375" i="3"/>
  <c r="CW375" i="3"/>
  <c r="CV375" i="3"/>
  <c r="CU375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C375" i="3"/>
  <c r="CB375" i="3"/>
  <c r="CA375" i="3"/>
  <c r="BZ375" i="3"/>
  <c r="BY375" i="3"/>
  <c r="BX375" i="3"/>
  <c r="BW375" i="3"/>
  <c r="BV375" i="3"/>
  <c r="BU375" i="3"/>
  <c r="BT375" i="3"/>
  <c r="BS375" i="3"/>
  <c r="BR375" i="3"/>
  <c r="BQ375" i="3"/>
  <c r="BP375" i="3"/>
  <c r="BO375" i="3"/>
  <c r="BN375" i="3"/>
  <c r="E375" i="3"/>
  <c r="E1039" i="3" s="1"/>
  <c r="D375" i="3"/>
  <c r="D1039" i="3" s="1"/>
  <c r="C375" i="3"/>
  <c r="C1039" i="3" s="1"/>
  <c r="B375" i="3"/>
  <c r="B1039" i="3" s="1"/>
  <c r="A375" i="3"/>
  <c r="A1039" i="3" s="1"/>
  <c r="DU374" i="3"/>
  <c r="DT374" i="3"/>
  <c r="DS374" i="3"/>
  <c r="DR374" i="3"/>
  <c r="DQ374" i="3"/>
  <c r="DP374" i="3"/>
  <c r="DO374" i="3"/>
  <c r="DN374" i="3"/>
  <c r="DM374" i="3"/>
  <c r="DL374" i="3"/>
  <c r="DK374" i="3"/>
  <c r="DJ374" i="3"/>
  <c r="DI374" i="3"/>
  <c r="DH374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BY374" i="3"/>
  <c r="BX374" i="3"/>
  <c r="BW374" i="3"/>
  <c r="BV374" i="3"/>
  <c r="BU374" i="3"/>
  <c r="BT374" i="3"/>
  <c r="BS374" i="3"/>
  <c r="BR374" i="3"/>
  <c r="BQ374" i="3"/>
  <c r="BP374" i="3"/>
  <c r="BO374" i="3"/>
  <c r="BN374" i="3"/>
  <c r="E374" i="3"/>
  <c r="B374" i="3"/>
  <c r="A374" i="3"/>
  <c r="DU373" i="3"/>
  <c r="DT373" i="3"/>
  <c r="DS373" i="3"/>
  <c r="DR373" i="3"/>
  <c r="DQ373" i="3"/>
  <c r="DP373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BY373" i="3"/>
  <c r="BX373" i="3"/>
  <c r="BW373" i="3"/>
  <c r="BV373" i="3"/>
  <c r="BU373" i="3"/>
  <c r="BT373" i="3"/>
  <c r="BS373" i="3"/>
  <c r="BR373" i="3"/>
  <c r="BQ373" i="3"/>
  <c r="BP373" i="3"/>
  <c r="BO373" i="3"/>
  <c r="BN373" i="3"/>
  <c r="E373" i="3"/>
  <c r="E1038" i="3" s="1"/>
  <c r="D373" i="3"/>
  <c r="D1038" i="3" s="1"/>
  <c r="C373" i="3"/>
  <c r="C1038" i="3" s="1"/>
  <c r="B373" i="3"/>
  <c r="B1038" i="3" s="1"/>
  <c r="A373" i="3"/>
  <c r="A1038" i="3" s="1"/>
  <c r="DU372" i="3"/>
  <c r="DT372" i="3"/>
  <c r="DS372" i="3"/>
  <c r="DR372" i="3"/>
  <c r="DQ372" i="3"/>
  <c r="DP372" i="3"/>
  <c r="DO372" i="3"/>
  <c r="DN372" i="3"/>
  <c r="DM372" i="3"/>
  <c r="DL372" i="3"/>
  <c r="DK372" i="3"/>
  <c r="DJ372" i="3"/>
  <c r="DI372" i="3"/>
  <c r="DH372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BY372" i="3"/>
  <c r="BX372" i="3"/>
  <c r="BW372" i="3"/>
  <c r="BV372" i="3"/>
  <c r="BU372" i="3"/>
  <c r="BT372" i="3"/>
  <c r="BS372" i="3"/>
  <c r="BR372" i="3"/>
  <c r="BQ372" i="3"/>
  <c r="BP372" i="3"/>
  <c r="BO372" i="3"/>
  <c r="BN372" i="3"/>
  <c r="E372" i="3"/>
  <c r="E1037" i="3" s="1"/>
  <c r="D372" i="3"/>
  <c r="D1037" i="3" s="1"/>
  <c r="C372" i="3"/>
  <c r="C1037" i="3" s="1"/>
  <c r="B372" i="3"/>
  <c r="B1037" i="3" s="1"/>
  <c r="A372" i="3"/>
  <c r="A1037" i="3" s="1"/>
  <c r="DU371" i="3"/>
  <c r="DT371" i="3"/>
  <c r="DS371" i="3"/>
  <c r="DR371" i="3"/>
  <c r="DQ371" i="3"/>
  <c r="DP371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BY371" i="3"/>
  <c r="BX371" i="3"/>
  <c r="BW371" i="3"/>
  <c r="BV371" i="3"/>
  <c r="BU371" i="3"/>
  <c r="BT371" i="3"/>
  <c r="BS371" i="3"/>
  <c r="BR371" i="3"/>
  <c r="BQ371" i="3"/>
  <c r="BP371" i="3"/>
  <c r="BO371" i="3"/>
  <c r="BN371" i="3"/>
  <c r="E371" i="3"/>
  <c r="E1036" i="3" s="1"/>
  <c r="D371" i="3"/>
  <c r="D1036" i="3" s="1"/>
  <c r="C371" i="3"/>
  <c r="C1036" i="3" s="1"/>
  <c r="B371" i="3"/>
  <c r="B1036" i="3" s="1"/>
  <c r="A371" i="3"/>
  <c r="A1036" i="3" s="1"/>
  <c r="DU370" i="3"/>
  <c r="DT370" i="3"/>
  <c r="DS370" i="3"/>
  <c r="DR370" i="3"/>
  <c r="DQ370" i="3"/>
  <c r="DP370" i="3"/>
  <c r="DO370" i="3"/>
  <c r="DN370" i="3"/>
  <c r="DM370" i="3"/>
  <c r="DL370" i="3"/>
  <c r="DK370" i="3"/>
  <c r="DJ370" i="3"/>
  <c r="DI370" i="3"/>
  <c r="DH370" i="3"/>
  <c r="DG370" i="3"/>
  <c r="DF370" i="3"/>
  <c r="DE370" i="3"/>
  <c r="DD370" i="3"/>
  <c r="DC370" i="3"/>
  <c r="DB370" i="3"/>
  <c r="DA370" i="3"/>
  <c r="CZ370" i="3"/>
  <c r="CY370" i="3"/>
  <c r="CX370" i="3"/>
  <c r="CW370" i="3"/>
  <c r="CV370" i="3"/>
  <c r="CU370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C370" i="3"/>
  <c r="CB370" i="3"/>
  <c r="CA370" i="3"/>
  <c r="BZ370" i="3"/>
  <c r="BY370" i="3"/>
  <c r="BX370" i="3"/>
  <c r="BW370" i="3"/>
  <c r="BV370" i="3"/>
  <c r="BU370" i="3"/>
  <c r="BT370" i="3"/>
  <c r="BS370" i="3"/>
  <c r="BR370" i="3"/>
  <c r="BQ370" i="3"/>
  <c r="BP370" i="3"/>
  <c r="BO370" i="3"/>
  <c r="BN370" i="3"/>
  <c r="E370" i="3"/>
  <c r="E1035" i="3" s="1"/>
  <c r="D370" i="3"/>
  <c r="D1035" i="3" s="1"/>
  <c r="C370" i="3"/>
  <c r="C1035" i="3" s="1"/>
  <c r="B370" i="3"/>
  <c r="B1035" i="3" s="1"/>
  <c r="A370" i="3"/>
  <c r="A1035" i="3" s="1"/>
  <c r="DU369" i="3"/>
  <c r="DT369" i="3"/>
  <c r="DS369" i="3"/>
  <c r="DR369" i="3"/>
  <c r="DQ369" i="3"/>
  <c r="DP369" i="3"/>
  <c r="DO369" i="3"/>
  <c r="DN369" i="3"/>
  <c r="DM369" i="3"/>
  <c r="DL369" i="3"/>
  <c r="DK369" i="3"/>
  <c r="DJ369" i="3"/>
  <c r="DI369" i="3"/>
  <c r="DH369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BY369" i="3"/>
  <c r="BX369" i="3"/>
  <c r="BW369" i="3"/>
  <c r="BV369" i="3"/>
  <c r="BU369" i="3"/>
  <c r="BT369" i="3"/>
  <c r="BS369" i="3"/>
  <c r="BR369" i="3"/>
  <c r="BQ369" i="3"/>
  <c r="BP369" i="3"/>
  <c r="BO369" i="3"/>
  <c r="BN369" i="3"/>
  <c r="E369" i="3"/>
  <c r="E1034" i="3" s="1"/>
  <c r="D369" i="3"/>
  <c r="D1034" i="3" s="1"/>
  <c r="C369" i="3"/>
  <c r="C1034" i="3" s="1"/>
  <c r="B369" i="3"/>
  <c r="B1034" i="3" s="1"/>
  <c r="A369" i="3"/>
  <c r="A1034" i="3" s="1"/>
  <c r="DU368" i="3"/>
  <c r="DT368" i="3"/>
  <c r="DS368" i="3"/>
  <c r="DR368" i="3"/>
  <c r="DQ368" i="3"/>
  <c r="DP368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BY368" i="3"/>
  <c r="BX368" i="3"/>
  <c r="BW368" i="3"/>
  <c r="BV368" i="3"/>
  <c r="BU368" i="3"/>
  <c r="BT368" i="3"/>
  <c r="BS368" i="3"/>
  <c r="BR368" i="3"/>
  <c r="BQ368" i="3"/>
  <c r="BP368" i="3"/>
  <c r="BO368" i="3"/>
  <c r="BN368" i="3"/>
  <c r="E368" i="3"/>
  <c r="E1033" i="3" s="1"/>
  <c r="D368" i="3"/>
  <c r="D1033" i="3" s="1"/>
  <c r="C368" i="3"/>
  <c r="C1033" i="3" s="1"/>
  <c r="B368" i="3"/>
  <c r="B1033" i="3" s="1"/>
  <c r="A368" i="3"/>
  <c r="A1033" i="3" s="1"/>
  <c r="DU367" i="3"/>
  <c r="DT367" i="3"/>
  <c r="DS367" i="3"/>
  <c r="DR367" i="3"/>
  <c r="DQ367" i="3"/>
  <c r="DP367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Y367" i="3"/>
  <c r="BX367" i="3"/>
  <c r="BW367" i="3"/>
  <c r="BV367" i="3"/>
  <c r="BU367" i="3"/>
  <c r="BT367" i="3"/>
  <c r="BS367" i="3"/>
  <c r="BR367" i="3"/>
  <c r="BQ367" i="3"/>
  <c r="BP367" i="3"/>
  <c r="BO367" i="3"/>
  <c r="BN367" i="3"/>
  <c r="E367" i="3"/>
  <c r="E1032" i="3" s="1"/>
  <c r="D367" i="3"/>
  <c r="D1032" i="3" s="1"/>
  <c r="C367" i="3"/>
  <c r="C1032" i="3" s="1"/>
  <c r="B367" i="3"/>
  <c r="B1032" i="3" s="1"/>
  <c r="A367" i="3"/>
  <c r="A1032" i="3" s="1"/>
  <c r="DU366" i="3"/>
  <c r="DT366" i="3"/>
  <c r="DS366" i="3"/>
  <c r="DR366" i="3"/>
  <c r="DQ366" i="3"/>
  <c r="DP366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BY366" i="3"/>
  <c r="BX366" i="3"/>
  <c r="BW366" i="3"/>
  <c r="BV366" i="3"/>
  <c r="BU366" i="3"/>
  <c r="BT366" i="3"/>
  <c r="BS366" i="3"/>
  <c r="BR366" i="3"/>
  <c r="BQ366" i="3"/>
  <c r="BP366" i="3"/>
  <c r="BO366" i="3"/>
  <c r="BN366" i="3"/>
  <c r="E366" i="3"/>
  <c r="E1031" i="3" s="1"/>
  <c r="D366" i="3"/>
  <c r="D1031" i="3" s="1"/>
  <c r="C366" i="3"/>
  <c r="C1031" i="3" s="1"/>
  <c r="B366" i="3"/>
  <c r="B1031" i="3" s="1"/>
  <c r="A366" i="3"/>
  <c r="A1031" i="3" s="1"/>
  <c r="DU365" i="3"/>
  <c r="DT365" i="3"/>
  <c r="DS365" i="3"/>
  <c r="DR365" i="3"/>
  <c r="DQ365" i="3"/>
  <c r="DP365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BY365" i="3"/>
  <c r="BX365" i="3"/>
  <c r="BW365" i="3"/>
  <c r="BV365" i="3"/>
  <c r="BU365" i="3"/>
  <c r="BT365" i="3"/>
  <c r="BS365" i="3"/>
  <c r="BR365" i="3"/>
  <c r="BQ365" i="3"/>
  <c r="BP365" i="3"/>
  <c r="BO365" i="3"/>
  <c r="BN365" i="3"/>
  <c r="E365" i="3"/>
  <c r="E1030" i="3" s="1"/>
  <c r="D365" i="3"/>
  <c r="D1030" i="3" s="1"/>
  <c r="C365" i="3"/>
  <c r="C1030" i="3" s="1"/>
  <c r="B365" i="3"/>
  <c r="B1030" i="3" s="1"/>
  <c r="A365" i="3"/>
  <c r="A1030" i="3" s="1"/>
  <c r="DU364" i="3"/>
  <c r="DT364" i="3"/>
  <c r="DS364" i="3"/>
  <c r="DR364" i="3"/>
  <c r="DQ364" i="3"/>
  <c r="DP364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BY364" i="3"/>
  <c r="BX364" i="3"/>
  <c r="BW364" i="3"/>
  <c r="BV364" i="3"/>
  <c r="BU364" i="3"/>
  <c r="BT364" i="3"/>
  <c r="BS364" i="3"/>
  <c r="BR364" i="3"/>
  <c r="BQ364" i="3"/>
  <c r="BP364" i="3"/>
  <c r="BO364" i="3"/>
  <c r="BN364" i="3"/>
  <c r="E364" i="3"/>
  <c r="E1029" i="3" s="1"/>
  <c r="D364" i="3"/>
  <c r="D1029" i="3" s="1"/>
  <c r="C364" i="3"/>
  <c r="C1029" i="3" s="1"/>
  <c r="B364" i="3"/>
  <c r="B1029" i="3" s="1"/>
  <c r="A364" i="3"/>
  <c r="A1029" i="3" s="1"/>
  <c r="DU363" i="3"/>
  <c r="DT363" i="3"/>
  <c r="DS363" i="3"/>
  <c r="DR363" i="3"/>
  <c r="DQ363" i="3"/>
  <c r="DP363" i="3"/>
  <c r="DO363" i="3"/>
  <c r="DN363" i="3"/>
  <c r="DM363" i="3"/>
  <c r="DL363" i="3"/>
  <c r="DK363" i="3"/>
  <c r="DJ363" i="3"/>
  <c r="DI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BY363" i="3"/>
  <c r="BX363" i="3"/>
  <c r="BW363" i="3"/>
  <c r="BV363" i="3"/>
  <c r="BU363" i="3"/>
  <c r="BT363" i="3"/>
  <c r="BS363" i="3"/>
  <c r="BR363" i="3"/>
  <c r="BQ363" i="3"/>
  <c r="BP363" i="3"/>
  <c r="BO363" i="3"/>
  <c r="BN363" i="3"/>
  <c r="E363" i="3"/>
  <c r="E1028" i="3" s="1"/>
  <c r="D363" i="3"/>
  <c r="D1028" i="3" s="1"/>
  <c r="C363" i="3"/>
  <c r="C1028" i="3" s="1"/>
  <c r="B363" i="3"/>
  <c r="B1028" i="3" s="1"/>
  <c r="A363" i="3"/>
  <c r="A1028" i="3" s="1"/>
  <c r="DU362" i="3"/>
  <c r="DT362" i="3"/>
  <c r="DS362" i="3"/>
  <c r="DR362" i="3"/>
  <c r="DQ362" i="3"/>
  <c r="DP362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BY362" i="3"/>
  <c r="BX362" i="3"/>
  <c r="BW362" i="3"/>
  <c r="BV362" i="3"/>
  <c r="BU362" i="3"/>
  <c r="BT362" i="3"/>
  <c r="BS362" i="3"/>
  <c r="BR362" i="3"/>
  <c r="BQ362" i="3"/>
  <c r="BP362" i="3"/>
  <c r="BO362" i="3"/>
  <c r="BN362" i="3"/>
  <c r="E362" i="3"/>
  <c r="E1027" i="3" s="1"/>
  <c r="D362" i="3"/>
  <c r="D1027" i="3" s="1"/>
  <c r="C362" i="3"/>
  <c r="C1027" i="3" s="1"/>
  <c r="B362" i="3"/>
  <c r="B1027" i="3" s="1"/>
  <c r="A362" i="3"/>
  <c r="A1027" i="3" s="1"/>
  <c r="DU361" i="3"/>
  <c r="DT361" i="3"/>
  <c r="DS361" i="3"/>
  <c r="DR361" i="3"/>
  <c r="DQ361" i="3"/>
  <c r="DP361" i="3"/>
  <c r="DO361" i="3"/>
  <c r="DN361" i="3"/>
  <c r="DM361" i="3"/>
  <c r="DL361" i="3"/>
  <c r="DK361" i="3"/>
  <c r="DJ361" i="3"/>
  <c r="DI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BY361" i="3"/>
  <c r="BX361" i="3"/>
  <c r="BW361" i="3"/>
  <c r="BV361" i="3"/>
  <c r="BU361" i="3"/>
  <c r="BT361" i="3"/>
  <c r="BS361" i="3"/>
  <c r="BR361" i="3"/>
  <c r="BQ361" i="3"/>
  <c r="BP361" i="3"/>
  <c r="BO361" i="3"/>
  <c r="BN361" i="3"/>
  <c r="E361" i="3"/>
  <c r="E1026" i="3" s="1"/>
  <c r="D361" i="3"/>
  <c r="D1026" i="3" s="1"/>
  <c r="C361" i="3"/>
  <c r="C1026" i="3" s="1"/>
  <c r="B361" i="3"/>
  <c r="B1026" i="3" s="1"/>
  <c r="A361" i="3"/>
  <c r="A1026" i="3" s="1"/>
  <c r="DU360" i="3"/>
  <c r="DT360" i="3"/>
  <c r="DS360" i="3"/>
  <c r="DR360" i="3"/>
  <c r="DQ360" i="3"/>
  <c r="DP360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BY360" i="3"/>
  <c r="BX360" i="3"/>
  <c r="BW360" i="3"/>
  <c r="BV360" i="3"/>
  <c r="BU360" i="3"/>
  <c r="BT360" i="3"/>
  <c r="BS360" i="3"/>
  <c r="BR360" i="3"/>
  <c r="BQ360" i="3"/>
  <c r="BP360" i="3"/>
  <c r="BO360" i="3"/>
  <c r="BN360" i="3"/>
  <c r="E360" i="3"/>
  <c r="E1025" i="3" s="1"/>
  <c r="D360" i="3"/>
  <c r="D1025" i="3" s="1"/>
  <c r="C360" i="3"/>
  <c r="C1025" i="3" s="1"/>
  <c r="B360" i="3"/>
  <c r="B1025" i="3" s="1"/>
  <c r="A360" i="3"/>
  <c r="A1025" i="3" s="1"/>
  <c r="DU359" i="3"/>
  <c r="DT359" i="3"/>
  <c r="DS359" i="3"/>
  <c r="DR359" i="3"/>
  <c r="DQ359" i="3"/>
  <c r="DP359" i="3"/>
  <c r="DO359" i="3"/>
  <c r="DN359" i="3"/>
  <c r="DM359" i="3"/>
  <c r="DL359" i="3"/>
  <c r="DK359" i="3"/>
  <c r="DJ359" i="3"/>
  <c r="DI359" i="3"/>
  <c r="DH359" i="3"/>
  <c r="DG359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CA359" i="3"/>
  <c r="BZ359" i="3"/>
  <c r="BY359" i="3"/>
  <c r="BX359" i="3"/>
  <c r="BW359" i="3"/>
  <c r="BV359" i="3"/>
  <c r="BU359" i="3"/>
  <c r="BT359" i="3"/>
  <c r="BS359" i="3"/>
  <c r="BR359" i="3"/>
  <c r="BQ359" i="3"/>
  <c r="BP359" i="3"/>
  <c r="BO359" i="3"/>
  <c r="BN359" i="3"/>
  <c r="E359" i="3"/>
  <c r="E1024" i="3" s="1"/>
  <c r="D359" i="3"/>
  <c r="D1024" i="3" s="1"/>
  <c r="C359" i="3"/>
  <c r="C1024" i="3" s="1"/>
  <c r="B359" i="3"/>
  <c r="B1024" i="3" s="1"/>
  <c r="A359" i="3"/>
  <c r="A1024" i="3" s="1"/>
  <c r="DU358" i="3"/>
  <c r="DT358" i="3"/>
  <c r="DS358" i="3"/>
  <c r="DR358" i="3"/>
  <c r="DQ358" i="3"/>
  <c r="DP358" i="3"/>
  <c r="DO358" i="3"/>
  <c r="DN358" i="3"/>
  <c r="DM358" i="3"/>
  <c r="DL358" i="3"/>
  <c r="DK358" i="3"/>
  <c r="DJ358" i="3"/>
  <c r="DI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BY358" i="3"/>
  <c r="BX358" i="3"/>
  <c r="BW358" i="3"/>
  <c r="BV358" i="3"/>
  <c r="BU358" i="3"/>
  <c r="BT358" i="3"/>
  <c r="BS358" i="3"/>
  <c r="BR358" i="3"/>
  <c r="BQ358" i="3"/>
  <c r="BP358" i="3"/>
  <c r="BO358" i="3"/>
  <c r="BN358" i="3"/>
  <c r="E358" i="3"/>
  <c r="E1023" i="3" s="1"/>
  <c r="D358" i="3"/>
  <c r="D1023" i="3" s="1"/>
  <c r="C358" i="3"/>
  <c r="C1023" i="3" s="1"/>
  <c r="B358" i="3"/>
  <c r="B1023" i="3" s="1"/>
  <c r="A358" i="3"/>
  <c r="A1023" i="3" s="1"/>
  <c r="DU357" i="3"/>
  <c r="DT357" i="3"/>
  <c r="DS357" i="3"/>
  <c r="DR357" i="3"/>
  <c r="DQ357" i="3"/>
  <c r="DP35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BY357" i="3"/>
  <c r="BX357" i="3"/>
  <c r="BW357" i="3"/>
  <c r="BV357" i="3"/>
  <c r="BU357" i="3"/>
  <c r="BT357" i="3"/>
  <c r="BS357" i="3"/>
  <c r="BR357" i="3"/>
  <c r="BQ357" i="3"/>
  <c r="BP357" i="3"/>
  <c r="BO357" i="3"/>
  <c r="BN357" i="3"/>
  <c r="E357" i="3"/>
  <c r="E1022" i="3" s="1"/>
  <c r="D357" i="3"/>
  <c r="D1022" i="3" s="1"/>
  <c r="C357" i="3"/>
  <c r="C1022" i="3" s="1"/>
  <c r="B357" i="3"/>
  <c r="B1022" i="3" s="1"/>
  <c r="A357" i="3"/>
  <c r="A1022" i="3" s="1"/>
  <c r="DU356" i="3"/>
  <c r="DT356" i="3"/>
  <c r="DS356" i="3"/>
  <c r="DR356" i="3"/>
  <c r="DQ356" i="3"/>
  <c r="DP356" i="3"/>
  <c r="DO356" i="3"/>
  <c r="DN356" i="3"/>
  <c r="DM356" i="3"/>
  <c r="DL356" i="3"/>
  <c r="DK356" i="3"/>
  <c r="DJ356" i="3"/>
  <c r="DI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BY356" i="3"/>
  <c r="BX356" i="3"/>
  <c r="BW356" i="3"/>
  <c r="BV356" i="3"/>
  <c r="BU356" i="3"/>
  <c r="BT356" i="3"/>
  <c r="BS356" i="3"/>
  <c r="BR356" i="3"/>
  <c r="BQ356" i="3"/>
  <c r="BP356" i="3"/>
  <c r="BO356" i="3"/>
  <c r="BN356" i="3"/>
  <c r="E356" i="3"/>
  <c r="E1021" i="3" s="1"/>
  <c r="D356" i="3"/>
  <c r="D1021" i="3" s="1"/>
  <c r="C356" i="3"/>
  <c r="C1021" i="3" s="1"/>
  <c r="B356" i="3"/>
  <c r="B1021" i="3" s="1"/>
  <c r="A356" i="3"/>
  <c r="A1021" i="3" s="1"/>
  <c r="DU355" i="3"/>
  <c r="DT355" i="3"/>
  <c r="DS355" i="3"/>
  <c r="DR355" i="3"/>
  <c r="DQ355" i="3"/>
  <c r="DP355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BY355" i="3"/>
  <c r="BX355" i="3"/>
  <c r="BW355" i="3"/>
  <c r="BV355" i="3"/>
  <c r="BU355" i="3"/>
  <c r="BT355" i="3"/>
  <c r="BS355" i="3"/>
  <c r="BR355" i="3"/>
  <c r="BQ355" i="3"/>
  <c r="BP355" i="3"/>
  <c r="BO355" i="3"/>
  <c r="BN355" i="3"/>
  <c r="E355" i="3"/>
  <c r="E1020" i="3" s="1"/>
  <c r="D355" i="3"/>
  <c r="D1020" i="3" s="1"/>
  <c r="C355" i="3"/>
  <c r="C1020" i="3" s="1"/>
  <c r="B355" i="3"/>
  <c r="B1020" i="3" s="1"/>
  <c r="A355" i="3"/>
  <c r="A1020" i="3" s="1"/>
  <c r="DU354" i="3"/>
  <c r="DT354" i="3"/>
  <c r="DS354" i="3"/>
  <c r="DR354" i="3"/>
  <c r="DQ354" i="3"/>
  <c r="DP354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BY354" i="3"/>
  <c r="BX354" i="3"/>
  <c r="BW354" i="3"/>
  <c r="BV354" i="3"/>
  <c r="BU354" i="3"/>
  <c r="BT354" i="3"/>
  <c r="BS354" i="3"/>
  <c r="BR354" i="3"/>
  <c r="BQ354" i="3"/>
  <c r="BP354" i="3"/>
  <c r="BO354" i="3"/>
  <c r="BN354" i="3"/>
  <c r="E354" i="3"/>
  <c r="E1019" i="3" s="1"/>
  <c r="D354" i="3"/>
  <c r="D1019" i="3" s="1"/>
  <c r="C354" i="3"/>
  <c r="C1019" i="3" s="1"/>
  <c r="B354" i="3"/>
  <c r="B1019" i="3" s="1"/>
  <c r="A354" i="3"/>
  <c r="A1019" i="3" s="1"/>
  <c r="DU353" i="3"/>
  <c r="DT353" i="3"/>
  <c r="DS353" i="3"/>
  <c r="DR353" i="3"/>
  <c r="DQ353" i="3"/>
  <c r="DP353" i="3"/>
  <c r="DO353" i="3"/>
  <c r="DN353" i="3"/>
  <c r="DM353" i="3"/>
  <c r="DL353" i="3"/>
  <c r="DK353" i="3"/>
  <c r="DJ353" i="3"/>
  <c r="DI353" i="3"/>
  <c r="DH353" i="3"/>
  <c r="DG353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CA353" i="3"/>
  <c r="BZ353" i="3"/>
  <c r="BY353" i="3"/>
  <c r="BX353" i="3"/>
  <c r="BW353" i="3"/>
  <c r="BV353" i="3"/>
  <c r="BU353" i="3"/>
  <c r="BT353" i="3"/>
  <c r="BS353" i="3"/>
  <c r="BR353" i="3"/>
  <c r="BQ353" i="3"/>
  <c r="BP353" i="3"/>
  <c r="BO353" i="3"/>
  <c r="BN353" i="3"/>
  <c r="E353" i="3"/>
  <c r="E1018" i="3" s="1"/>
  <c r="D353" i="3"/>
  <c r="D1018" i="3" s="1"/>
  <c r="C353" i="3"/>
  <c r="C1018" i="3" s="1"/>
  <c r="B353" i="3"/>
  <c r="B1018" i="3" s="1"/>
  <c r="A353" i="3"/>
  <c r="A1018" i="3" s="1"/>
  <c r="DU352" i="3"/>
  <c r="DT352" i="3"/>
  <c r="DS352" i="3"/>
  <c r="DR352" i="3"/>
  <c r="DQ352" i="3"/>
  <c r="DP352" i="3"/>
  <c r="DO352" i="3"/>
  <c r="DN352" i="3"/>
  <c r="DM352" i="3"/>
  <c r="DL352" i="3"/>
  <c r="DK352" i="3"/>
  <c r="DJ352" i="3"/>
  <c r="DI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BY352" i="3"/>
  <c r="BX352" i="3"/>
  <c r="BW352" i="3"/>
  <c r="BV352" i="3"/>
  <c r="BU352" i="3"/>
  <c r="BT352" i="3"/>
  <c r="BS352" i="3"/>
  <c r="BR352" i="3"/>
  <c r="BQ352" i="3"/>
  <c r="BP352" i="3"/>
  <c r="BO352" i="3"/>
  <c r="BN352" i="3"/>
  <c r="E352" i="3"/>
  <c r="E1017" i="3" s="1"/>
  <c r="D352" i="3"/>
  <c r="D1017" i="3" s="1"/>
  <c r="C352" i="3"/>
  <c r="C1017" i="3" s="1"/>
  <c r="B352" i="3"/>
  <c r="B1017" i="3" s="1"/>
  <c r="A352" i="3"/>
  <c r="A1017" i="3" s="1"/>
  <c r="DU351" i="3"/>
  <c r="DT351" i="3"/>
  <c r="DS351" i="3"/>
  <c r="DR351" i="3"/>
  <c r="DQ351" i="3"/>
  <c r="DP351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BY351" i="3"/>
  <c r="BX351" i="3"/>
  <c r="BW351" i="3"/>
  <c r="BV351" i="3"/>
  <c r="BU351" i="3"/>
  <c r="BT351" i="3"/>
  <c r="BS351" i="3"/>
  <c r="BR351" i="3"/>
  <c r="BQ351" i="3"/>
  <c r="BP351" i="3"/>
  <c r="BO351" i="3"/>
  <c r="BN351" i="3"/>
  <c r="E351" i="3"/>
  <c r="E1016" i="3" s="1"/>
  <c r="D351" i="3"/>
  <c r="D1016" i="3" s="1"/>
  <c r="C351" i="3"/>
  <c r="C1016" i="3" s="1"/>
  <c r="B351" i="3"/>
  <c r="B1016" i="3" s="1"/>
  <c r="A351" i="3"/>
  <c r="A1016" i="3" s="1"/>
  <c r="DU350" i="3"/>
  <c r="DT350" i="3"/>
  <c r="DS350" i="3"/>
  <c r="DR350" i="3"/>
  <c r="DQ350" i="3"/>
  <c r="DP350" i="3"/>
  <c r="DO350" i="3"/>
  <c r="DN350" i="3"/>
  <c r="DM350" i="3"/>
  <c r="DL350" i="3"/>
  <c r="DK350" i="3"/>
  <c r="DJ350" i="3"/>
  <c r="DI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BY350" i="3"/>
  <c r="BX350" i="3"/>
  <c r="BW350" i="3"/>
  <c r="BV350" i="3"/>
  <c r="BU350" i="3"/>
  <c r="BT350" i="3"/>
  <c r="BS350" i="3"/>
  <c r="BR350" i="3"/>
  <c r="BQ350" i="3"/>
  <c r="BP350" i="3"/>
  <c r="BO350" i="3"/>
  <c r="BN350" i="3"/>
  <c r="E350" i="3"/>
  <c r="E1015" i="3" s="1"/>
  <c r="D350" i="3"/>
  <c r="D1015" i="3" s="1"/>
  <c r="C350" i="3"/>
  <c r="C1015" i="3" s="1"/>
  <c r="B350" i="3"/>
  <c r="B1015" i="3" s="1"/>
  <c r="A350" i="3"/>
  <c r="A1015" i="3" s="1"/>
  <c r="DU349" i="3"/>
  <c r="DT349" i="3"/>
  <c r="DS349" i="3"/>
  <c r="DR349" i="3"/>
  <c r="DQ349" i="3"/>
  <c r="DP349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Y349" i="3"/>
  <c r="BX349" i="3"/>
  <c r="BW349" i="3"/>
  <c r="BV349" i="3"/>
  <c r="BU349" i="3"/>
  <c r="BT349" i="3"/>
  <c r="BS349" i="3"/>
  <c r="BR349" i="3"/>
  <c r="BQ349" i="3"/>
  <c r="BP349" i="3"/>
  <c r="BO349" i="3"/>
  <c r="BN349" i="3"/>
  <c r="E349" i="3"/>
  <c r="E1014" i="3" s="1"/>
  <c r="D349" i="3"/>
  <c r="D1014" i="3" s="1"/>
  <c r="C349" i="3"/>
  <c r="C1014" i="3" s="1"/>
  <c r="B349" i="3"/>
  <c r="B1014" i="3" s="1"/>
  <c r="A349" i="3"/>
  <c r="A1014" i="3" s="1"/>
  <c r="DU348" i="3"/>
  <c r="DT348" i="3"/>
  <c r="DS348" i="3"/>
  <c r="DR348" i="3"/>
  <c r="DQ348" i="3"/>
  <c r="DP348" i="3"/>
  <c r="DO348" i="3"/>
  <c r="DN348" i="3"/>
  <c r="DM348" i="3"/>
  <c r="DL348" i="3"/>
  <c r="DK348" i="3"/>
  <c r="DJ348" i="3"/>
  <c r="DI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Y348" i="3"/>
  <c r="BX348" i="3"/>
  <c r="BW348" i="3"/>
  <c r="BV348" i="3"/>
  <c r="BU348" i="3"/>
  <c r="BT348" i="3"/>
  <c r="BS348" i="3"/>
  <c r="BR348" i="3"/>
  <c r="BQ348" i="3"/>
  <c r="BP348" i="3"/>
  <c r="BO348" i="3"/>
  <c r="BN348" i="3"/>
  <c r="E348" i="3"/>
  <c r="E1013" i="3" s="1"/>
  <c r="D348" i="3"/>
  <c r="D1013" i="3" s="1"/>
  <c r="C348" i="3"/>
  <c r="C1013" i="3" s="1"/>
  <c r="B348" i="3"/>
  <c r="B1013" i="3" s="1"/>
  <c r="A348" i="3"/>
  <c r="A1013" i="3" s="1"/>
  <c r="DU347" i="3"/>
  <c r="DT347" i="3"/>
  <c r="DS347" i="3"/>
  <c r="DR347" i="3"/>
  <c r="DQ347" i="3"/>
  <c r="DP347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Y347" i="3"/>
  <c r="BX347" i="3"/>
  <c r="BW347" i="3"/>
  <c r="BV347" i="3"/>
  <c r="BU347" i="3"/>
  <c r="BT347" i="3"/>
  <c r="BS347" i="3"/>
  <c r="BR347" i="3"/>
  <c r="BQ347" i="3"/>
  <c r="BP347" i="3"/>
  <c r="BO347" i="3"/>
  <c r="BN347" i="3"/>
  <c r="E347" i="3"/>
  <c r="E1012" i="3" s="1"/>
  <c r="D347" i="3"/>
  <c r="D1012" i="3" s="1"/>
  <c r="C347" i="3"/>
  <c r="C1012" i="3" s="1"/>
  <c r="B347" i="3"/>
  <c r="B1012" i="3" s="1"/>
  <c r="A347" i="3"/>
  <c r="A1012" i="3" s="1"/>
  <c r="DU346" i="3"/>
  <c r="DT346" i="3"/>
  <c r="DS346" i="3"/>
  <c r="DR346" i="3"/>
  <c r="DQ346" i="3"/>
  <c r="DP346" i="3"/>
  <c r="DO346" i="3"/>
  <c r="DN346" i="3"/>
  <c r="DM346" i="3"/>
  <c r="DL346" i="3"/>
  <c r="DK346" i="3"/>
  <c r="DJ346" i="3"/>
  <c r="DI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Y346" i="3"/>
  <c r="BX346" i="3"/>
  <c r="BW346" i="3"/>
  <c r="BV346" i="3"/>
  <c r="BU346" i="3"/>
  <c r="BT346" i="3"/>
  <c r="BS346" i="3"/>
  <c r="BR346" i="3"/>
  <c r="BQ346" i="3"/>
  <c r="BP346" i="3"/>
  <c r="BO346" i="3"/>
  <c r="BN346" i="3"/>
  <c r="E346" i="3"/>
  <c r="E1011" i="3" s="1"/>
  <c r="D346" i="3"/>
  <c r="D1011" i="3" s="1"/>
  <c r="C346" i="3"/>
  <c r="C1011" i="3" s="1"/>
  <c r="B346" i="3"/>
  <c r="B1011" i="3" s="1"/>
  <c r="A346" i="3"/>
  <c r="A1011" i="3" s="1"/>
  <c r="DU345" i="3"/>
  <c r="DT345" i="3"/>
  <c r="DS345" i="3"/>
  <c r="DR345" i="3"/>
  <c r="DQ345" i="3"/>
  <c r="DP345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Y345" i="3"/>
  <c r="BX345" i="3"/>
  <c r="BW345" i="3"/>
  <c r="BV345" i="3"/>
  <c r="BU345" i="3"/>
  <c r="BT345" i="3"/>
  <c r="BS345" i="3"/>
  <c r="BR345" i="3"/>
  <c r="BQ345" i="3"/>
  <c r="BP345" i="3"/>
  <c r="BO345" i="3"/>
  <c r="BN345" i="3"/>
  <c r="E345" i="3"/>
  <c r="E1010" i="3" s="1"/>
  <c r="D345" i="3"/>
  <c r="D1010" i="3" s="1"/>
  <c r="C345" i="3"/>
  <c r="C1010" i="3" s="1"/>
  <c r="B345" i="3"/>
  <c r="B1010" i="3" s="1"/>
  <c r="A345" i="3"/>
  <c r="A1010" i="3" s="1"/>
  <c r="DU344" i="3"/>
  <c r="DT344" i="3"/>
  <c r="DS344" i="3"/>
  <c r="DR344" i="3"/>
  <c r="DQ344" i="3"/>
  <c r="DP344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Y344" i="3"/>
  <c r="BX344" i="3"/>
  <c r="BW344" i="3"/>
  <c r="BV344" i="3"/>
  <c r="BU344" i="3"/>
  <c r="BT344" i="3"/>
  <c r="BS344" i="3"/>
  <c r="BR344" i="3"/>
  <c r="BQ344" i="3"/>
  <c r="BP344" i="3"/>
  <c r="BO344" i="3"/>
  <c r="BN344" i="3"/>
  <c r="E344" i="3"/>
  <c r="E1009" i="3" s="1"/>
  <c r="D344" i="3"/>
  <c r="D1009" i="3" s="1"/>
  <c r="C344" i="3"/>
  <c r="C1009" i="3" s="1"/>
  <c r="B344" i="3"/>
  <c r="B1009" i="3" s="1"/>
  <c r="A344" i="3"/>
  <c r="A1009" i="3" s="1"/>
  <c r="DU343" i="3"/>
  <c r="DT343" i="3"/>
  <c r="DS343" i="3"/>
  <c r="DR343" i="3"/>
  <c r="DQ343" i="3"/>
  <c r="DP343" i="3"/>
  <c r="DO343" i="3"/>
  <c r="DN343" i="3"/>
  <c r="DM343" i="3"/>
  <c r="DL343" i="3"/>
  <c r="DK343" i="3"/>
  <c r="DJ343" i="3"/>
  <c r="DI343" i="3"/>
  <c r="DH343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CA343" i="3"/>
  <c r="BZ343" i="3"/>
  <c r="BY343" i="3"/>
  <c r="BX343" i="3"/>
  <c r="BW343" i="3"/>
  <c r="BV343" i="3"/>
  <c r="BU343" i="3"/>
  <c r="BT343" i="3"/>
  <c r="BS343" i="3"/>
  <c r="BR343" i="3"/>
  <c r="BQ343" i="3"/>
  <c r="BP343" i="3"/>
  <c r="BO343" i="3"/>
  <c r="BN343" i="3"/>
  <c r="E343" i="3"/>
  <c r="E1008" i="3" s="1"/>
  <c r="D343" i="3"/>
  <c r="D1008" i="3" s="1"/>
  <c r="C343" i="3"/>
  <c r="C1008" i="3" s="1"/>
  <c r="B343" i="3"/>
  <c r="B1008" i="3" s="1"/>
  <c r="A343" i="3"/>
  <c r="A1008" i="3" s="1"/>
  <c r="DU342" i="3"/>
  <c r="DT342" i="3"/>
  <c r="DS342" i="3"/>
  <c r="DR342" i="3"/>
  <c r="DQ342" i="3"/>
  <c r="DP342" i="3"/>
  <c r="DO342" i="3"/>
  <c r="DN342" i="3"/>
  <c r="DM342" i="3"/>
  <c r="DL342" i="3"/>
  <c r="DK342" i="3"/>
  <c r="DJ342" i="3"/>
  <c r="DI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BY342" i="3"/>
  <c r="BX342" i="3"/>
  <c r="BW342" i="3"/>
  <c r="BV342" i="3"/>
  <c r="BU342" i="3"/>
  <c r="BT342" i="3"/>
  <c r="BS342" i="3"/>
  <c r="BR342" i="3"/>
  <c r="BQ342" i="3"/>
  <c r="BP342" i="3"/>
  <c r="BO342" i="3"/>
  <c r="BN342" i="3"/>
  <c r="E342" i="3"/>
  <c r="E1007" i="3" s="1"/>
  <c r="D342" i="3"/>
  <c r="D1007" i="3" s="1"/>
  <c r="C342" i="3"/>
  <c r="C1007" i="3" s="1"/>
  <c r="B342" i="3"/>
  <c r="B1007" i="3" s="1"/>
  <c r="A342" i="3"/>
  <c r="A1007" i="3" s="1"/>
  <c r="DU341" i="3"/>
  <c r="DT341" i="3"/>
  <c r="DS341" i="3"/>
  <c r="DR341" i="3"/>
  <c r="DQ341" i="3"/>
  <c r="DP341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Y341" i="3"/>
  <c r="BX341" i="3"/>
  <c r="BW341" i="3"/>
  <c r="BV341" i="3"/>
  <c r="BU341" i="3"/>
  <c r="BT341" i="3"/>
  <c r="BS341" i="3"/>
  <c r="BR341" i="3"/>
  <c r="BQ341" i="3"/>
  <c r="BP341" i="3"/>
  <c r="BO341" i="3"/>
  <c r="BN341" i="3"/>
  <c r="E341" i="3"/>
  <c r="E1006" i="3" s="1"/>
  <c r="D341" i="3"/>
  <c r="D1006" i="3" s="1"/>
  <c r="C341" i="3"/>
  <c r="C1006" i="3" s="1"/>
  <c r="B341" i="3"/>
  <c r="B1006" i="3" s="1"/>
  <c r="A341" i="3"/>
  <c r="A1006" i="3" s="1"/>
  <c r="DU340" i="3"/>
  <c r="DT340" i="3"/>
  <c r="DS340" i="3"/>
  <c r="DR340" i="3"/>
  <c r="DQ340" i="3"/>
  <c r="DP340" i="3"/>
  <c r="DO340" i="3"/>
  <c r="DN340" i="3"/>
  <c r="DM340" i="3"/>
  <c r="DL340" i="3"/>
  <c r="DK340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Y340" i="3"/>
  <c r="BX340" i="3"/>
  <c r="BW340" i="3"/>
  <c r="BV340" i="3"/>
  <c r="BU340" i="3"/>
  <c r="BT340" i="3"/>
  <c r="BS340" i="3"/>
  <c r="BR340" i="3"/>
  <c r="BQ340" i="3"/>
  <c r="BP340" i="3"/>
  <c r="BO340" i="3"/>
  <c r="BN340" i="3"/>
  <c r="E340" i="3"/>
  <c r="E1005" i="3" s="1"/>
  <c r="D340" i="3"/>
  <c r="D1005" i="3" s="1"/>
  <c r="C340" i="3"/>
  <c r="C1005" i="3" s="1"/>
  <c r="B340" i="3"/>
  <c r="B1005" i="3" s="1"/>
  <c r="A340" i="3"/>
  <c r="A1005" i="3" s="1"/>
  <c r="DU339" i="3"/>
  <c r="DT339" i="3"/>
  <c r="DS339" i="3"/>
  <c r="DR339" i="3"/>
  <c r="DQ339" i="3"/>
  <c r="DP339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Y339" i="3"/>
  <c r="BX339" i="3"/>
  <c r="BW339" i="3"/>
  <c r="BV339" i="3"/>
  <c r="BU339" i="3"/>
  <c r="BT339" i="3"/>
  <c r="BS339" i="3"/>
  <c r="BR339" i="3"/>
  <c r="BQ339" i="3"/>
  <c r="BP339" i="3"/>
  <c r="BO339" i="3"/>
  <c r="BN339" i="3"/>
  <c r="E339" i="3"/>
  <c r="E1004" i="3" s="1"/>
  <c r="D339" i="3"/>
  <c r="D1004" i="3" s="1"/>
  <c r="C339" i="3"/>
  <c r="C1004" i="3" s="1"/>
  <c r="B339" i="3"/>
  <c r="B1004" i="3" s="1"/>
  <c r="A339" i="3"/>
  <c r="A1004" i="3" s="1"/>
  <c r="DU338" i="3"/>
  <c r="DT338" i="3"/>
  <c r="DS338" i="3"/>
  <c r="DR338" i="3"/>
  <c r="DQ338" i="3"/>
  <c r="DP338" i="3"/>
  <c r="DO338" i="3"/>
  <c r="DN338" i="3"/>
  <c r="DM338" i="3"/>
  <c r="DL338" i="3"/>
  <c r="DK338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Y338" i="3"/>
  <c r="BX338" i="3"/>
  <c r="BW338" i="3"/>
  <c r="BV338" i="3"/>
  <c r="BU338" i="3"/>
  <c r="BT338" i="3"/>
  <c r="BS338" i="3"/>
  <c r="BR338" i="3"/>
  <c r="BQ338" i="3"/>
  <c r="BP338" i="3"/>
  <c r="BO338" i="3"/>
  <c r="BN338" i="3"/>
  <c r="E338" i="3"/>
  <c r="E1003" i="3" s="1"/>
  <c r="D338" i="3"/>
  <c r="D1003" i="3" s="1"/>
  <c r="C338" i="3"/>
  <c r="C1003" i="3" s="1"/>
  <c r="B338" i="3"/>
  <c r="B1003" i="3" s="1"/>
  <c r="A338" i="3"/>
  <c r="A1003" i="3" s="1"/>
  <c r="DU337" i="3"/>
  <c r="DT337" i="3"/>
  <c r="DS337" i="3"/>
  <c r="DR337" i="3"/>
  <c r="DQ337" i="3"/>
  <c r="DP337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Y337" i="3"/>
  <c r="BX337" i="3"/>
  <c r="BW337" i="3"/>
  <c r="BV337" i="3"/>
  <c r="BU337" i="3"/>
  <c r="BT337" i="3"/>
  <c r="BS337" i="3"/>
  <c r="BR337" i="3"/>
  <c r="BQ337" i="3"/>
  <c r="BP337" i="3"/>
  <c r="BO337" i="3"/>
  <c r="BN337" i="3"/>
  <c r="E337" i="3"/>
  <c r="E1002" i="3" s="1"/>
  <c r="D337" i="3"/>
  <c r="D1002" i="3" s="1"/>
  <c r="C337" i="3"/>
  <c r="C1002" i="3" s="1"/>
  <c r="B337" i="3"/>
  <c r="B1002" i="3" s="1"/>
  <c r="A337" i="3"/>
  <c r="A1002" i="3" s="1"/>
  <c r="DU336" i="3"/>
  <c r="DT336" i="3"/>
  <c r="DS336" i="3"/>
  <c r="DR336" i="3"/>
  <c r="DQ336" i="3"/>
  <c r="DP336" i="3"/>
  <c r="DO336" i="3"/>
  <c r="DN336" i="3"/>
  <c r="DM336" i="3"/>
  <c r="DL336" i="3"/>
  <c r="DK336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Y336" i="3"/>
  <c r="BX336" i="3"/>
  <c r="BW336" i="3"/>
  <c r="BV336" i="3"/>
  <c r="BU336" i="3"/>
  <c r="BT336" i="3"/>
  <c r="BS336" i="3"/>
  <c r="BR336" i="3"/>
  <c r="BQ336" i="3"/>
  <c r="BP336" i="3"/>
  <c r="BO336" i="3"/>
  <c r="BN336" i="3"/>
  <c r="E336" i="3"/>
  <c r="E1001" i="3" s="1"/>
  <c r="D336" i="3"/>
  <c r="D1001" i="3" s="1"/>
  <c r="C336" i="3"/>
  <c r="C1001" i="3" s="1"/>
  <c r="B336" i="3"/>
  <c r="B1001" i="3" s="1"/>
  <c r="A336" i="3"/>
  <c r="A1001" i="3" s="1"/>
  <c r="DU335" i="3"/>
  <c r="DT335" i="3"/>
  <c r="DS335" i="3"/>
  <c r="DR335" i="3"/>
  <c r="DQ335" i="3"/>
  <c r="DP335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Y335" i="3"/>
  <c r="BX335" i="3"/>
  <c r="BW335" i="3"/>
  <c r="BV335" i="3"/>
  <c r="BU335" i="3"/>
  <c r="BT335" i="3"/>
  <c r="BS335" i="3"/>
  <c r="BR335" i="3"/>
  <c r="BQ335" i="3"/>
  <c r="BP335" i="3"/>
  <c r="BO335" i="3"/>
  <c r="BN335" i="3"/>
  <c r="E335" i="3"/>
  <c r="E1000" i="3" s="1"/>
  <c r="D335" i="3"/>
  <c r="D1000" i="3" s="1"/>
  <c r="C335" i="3"/>
  <c r="C1000" i="3" s="1"/>
  <c r="B335" i="3"/>
  <c r="B1000" i="3" s="1"/>
  <c r="A335" i="3"/>
  <c r="A1000" i="3" s="1"/>
  <c r="DU334" i="3"/>
  <c r="DT334" i="3"/>
  <c r="DS334" i="3"/>
  <c r="DR334" i="3"/>
  <c r="DQ334" i="3"/>
  <c r="DP334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Y334" i="3"/>
  <c r="BX334" i="3"/>
  <c r="BW334" i="3"/>
  <c r="BV334" i="3"/>
  <c r="BU334" i="3"/>
  <c r="BT334" i="3"/>
  <c r="BS334" i="3"/>
  <c r="BR334" i="3"/>
  <c r="BQ334" i="3"/>
  <c r="BP334" i="3"/>
  <c r="BO334" i="3"/>
  <c r="BN334" i="3"/>
  <c r="E334" i="3"/>
  <c r="E999" i="3" s="1"/>
  <c r="D334" i="3"/>
  <c r="D999" i="3" s="1"/>
  <c r="C334" i="3"/>
  <c r="C999" i="3" s="1"/>
  <c r="B334" i="3"/>
  <c r="B999" i="3" s="1"/>
  <c r="A334" i="3"/>
  <c r="A999" i="3" s="1"/>
  <c r="DU333" i="3"/>
  <c r="DT333" i="3"/>
  <c r="DS333" i="3"/>
  <c r="DR333" i="3"/>
  <c r="DQ333" i="3"/>
  <c r="DP333" i="3"/>
  <c r="DO333" i="3"/>
  <c r="DN333" i="3"/>
  <c r="DM333" i="3"/>
  <c r="DL333" i="3"/>
  <c r="DK333" i="3"/>
  <c r="DJ333" i="3"/>
  <c r="DI333" i="3"/>
  <c r="DH333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Y333" i="3"/>
  <c r="BX333" i="3"/>
  <c r="BW333" i="3"/>
  <c r="BV333" i="3"/>
  <c r="BU333" i="3"/>
  <c r="BT333" i="3"/>
  <c r="BS333" i="3"/>
  <c r="BR333" i="3"/>
  <c r="BQ333" i="3"/>
  <c r="BP333" i="3"/>
  <c r="BO333" i="3"/>
  <c r="BN333" i="3"/>
  <c r="E333" i="3"/>
  <c r="B333" i="3"/>
  <c r="A333" i="3"/>
  <c r="DU332" i="3"/>
  <c r="DT332" i="3"/>
  <c r="DS332" i="3"/>
  <c r="DR332" i="3"/>
  <c r="DQ332" i="3"/>
  <c r="DP332" i="3"/>
  <c r="DO332" i="3"/>
  <c r="DN332" i="3"/>
  <c r="DM332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Y332" i="3"/>
  <c r="BX332" i="3"/>
  <c r="BW332" i="3"/>
  <c r="BV332" i="3"/>
  <c r="BU332" i="3"/>
  <c r="BT332" i="3"/>
  <c r="BS332" i="3"/>
  <c r="BR332" i="3"/>
  <c r="BQ332" i="3"/>
  <c r="BP332" i="3"/>
  <c r="BO332" i="3"/>
  <c r="BN332" i="3"/>
  <c r="E332" i="3"/>
  <c r="E998" i="3" s="1"/>
  <c r="D332" i="3"/>
  <c r="D998" i="3" s="1"/>
  <c r="C332" i="3"/>
  <c r="C998" i="3" s="1"/>
  <c r="B332" i="3"/>
  <c r="B998" i="3" s="1"/>
  <c r="A332" i="3"/>
  <c r="A998" i="3" s="1"/>
  <c r="DU331" i="3"/>
  <c r="DT331" i="3"/>
  <c r="DS331" i="3"/>
  <c r="DR331" i="3"/>
  <c r="DQ331" i="3"/>
  <c r="DP331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Y331" i="3"/>
  <c r="BX331" i="3"/>
  <c r="BW331" i="3"/>
  <c r="BV331" i="3"/>
  <c r="BU331" i="3"/>
  <c r="BT331" i="3"/>
  <c r="BS331" i="3"/>
  <c r="BR331" i="3"/>
  <c r="BQ331" i="3"/>
  <c r="BP331" i="3"/>
  <c r="BO331" i="3"/>
  <c r="BN331" i="3"/>
  <c r="E331" i="3"/>
  <c r="E997" i="3" s="1"/>
  <c r="D331" i="3"/>
  <c r="D997" i="3" s="1"/>
  <c r="C331" i="3"/>
  <c r="C997" i="3" s="1"/>
  <c r="B331" i="3"/>
  <c r="B997" i="3" s="1"/>
  <c r="A331" i="3"/>
  <c r="A997" i="3" s="1"/>
  <c r="DU330" i="3"/>
  <c r="DT330" i="3"/>
  <c r="DS330" i="3"/>
  <c r="DR330" i="3"/>
  <c r="DQ330" i="3"/>
  <c r="DP330" i="3"/>
  <c r="DO330" i="3"/>
  <c r="DN330" i="3"/>
  <c r="DM330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Y330" i="3"/>
  <c r="BX330" i="3"/>
  <c r="BW330" i="3"/>
  <c r="BV330" i="3"/>
  <c r="BU330" i="3"/>
  <c r="BT330" i="3"/>
  <c r="BS330" i="3"/>
  <c r="BR330" i="3"/>
  <c r="BQ330" i="3"/>
  <c r="BP330" i="3"/>
  <c r="BO330" i="3"/>
  <c r="BN330" i="3"/>
  <c r="E330" i="3"/>
  <c r="E996" i="3" s="1"/>
  <c r="D330" i="3"/>
  <c r="D996" i="3" s="1"/>
  <c r="C330" i="3"/>
  <c r="C996" i="3" s="1"/>
  <c r="B330" i="3"/>
  <c r="B996" i="3" s="1"/>
  <c r="A330" i="3"/>
  <c r="A996" i="3" s="1"/>
  <c r="DU329" i="3"/>
  <c r="DT329" i="3"/>
  <c r="DS329" i="3"/>
  <c r="DR329" i="3"/>
  <c r="DQ329" i="3"/>
  <c r="DP329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Y329" i="3"/>
  <c r="BX329" i="3"/>
  <c r="BW329" i="3"/>
  <c r="BV329" i="3"/>
  <c r="BU329" i="3"/>
  <c r="BT329" i="3"/>
  <c r="BS329" i="3"/>
  <c r="BR329" i="3"/>
  <c r="BQ329" i="3"/>
  <c r="BP329" i="3"/>
  <c r="BO329" i="3"/>
  <c r="BN329" i="3"/>
  <c r="E329" i="3"/>
  <c r="E995" i="3" s="1"/>
  <c r="D329" i="3"/>
  <c r="D995" i="3" s="1"/>
  <c r="C329" i="3"/>
  <c r="C995" i="3" s="1"/>
  <c r="B329" i="3"/>
  <c r="B995" i="3" s="1"/>
  <c r="A329" i="3"/>
  <c r="A995" i="3" s="1"/>
  <c r="DU328" i="3"/>
  <c r="DT328" i="3"/>
  <c r="DS328" i="3"/>
  <c r="DR328" i="3"/>
  <c r="DQ328" i="3"/>
  <c r="DP328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Y328" i="3"/>
  <c r="BX328" i="3"/>
  <c r="BW328" i="3"/>
  <c r="BV328" i="3"/>
  <c r="BU328" i="3"/>
  <c r="BT328" i="3"/>
  <c r="BS328" i="3"/>
  <c r="BR328" i="3"/>
  <c r="BQ328" i="3"/>
  <c r="BP328" i="3"/>
  <c r="BO328" i="3"/>
  <c r="BN328" i="3"/>
  <c r="E328" i="3"/>
  <c r="E994" i="3" s="1"/>
  <c r="D328" i="3"/>
  <c r="D994" i="3" s="1"/>
  <c r="C328" i="3"/>
  <c r="C994" i="3" s="1"/>
  <c r="B328" i="3"/>
  <c r="B994" i="3" s="1"/>
  <c r="A328" i="3"/>
  <c r="A994" i="3" s="1"/>
  <c r="DU327" i="3"/>
  <c r="DT327" i="3"/>
  <c r="DS327" i="3"/>
  <c r="DR327" i="3"/>
  <c r="DQ327" i="3"/>
  <c r="DP327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Y327" i="3"/>
  <c r="BX327" i="3"/>
  <c r="BW327" i="3"/>
  <c r="BV327" i="3"/>
  <c r="BU327" i="3"/>
  <c r="BT327" i="3"/>
  <c r="BS327" i="3"/>
  <c r="BR327" i="3"/>
  <c r="BQ327" i="3"/>
  <c r="BP327" i="3"/>
  <c r="BO327" i="3"/>
  <c r="BN327" i="3"/>
  <c r="E327" i="3"/>
  <c r="E993" i="3" s="1"/>
  <c r="D327" i="3"/>
  <c r="D993" i="3" s="1"/>
  <c r="C327" i="3"/>
  <c r="C993" i="3" s="1"/>
  <c r="B327" i="3"/>
  <c r="B993" i="3" s="1"/>
  <c r="A327" i="3"/>
  <c r="A993" i="3" s="1"/>
  <c r="DU326" i="3"/>
  <c r="DT326" i="3"/>
  <c r="DS326" i="3"/>
  <c r="DR326" i="3"/>
  <c r="DQ326" i="3"/>
  <c r="DP326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Y326" i="3"/>
  <c r="BX326" i="3"/>
  <c r="BW326" i="3"/>
  <c r="BV326" i="3"/>
  <c r="BU326" i="3"/>
  <c r="BT326" i="3"/>
  <c r="BS326" i="3"/>
  <c r="BR326" i="3"/>
  <c r="BQ326" i="3"/>
  <c r="BP326" i="3"/>
  <c r="BO326" i="3"/>
  <c r="BN326" i="3"/>
  <c r="E326" i="3"/>
  <c r="E992" i="3" s="1"/>
  <c r="D326" i="3"/>
  <c r="D992" i="3" s="1"/>
  <c r="C326" i="3"/>
  <c r="C992" i="3" s="1"/>
  <c r="B326" i="3"/>
  <c r="B992" i="3" s="1"/>
  <c r="A326" i="3"/>
  <c r="A992" i="3" s="1"/>
  <c r="DU325" i="3"/>
  <c r="DT325" i="3"/>
  <c r="DS325" i="3"/>
  <c r="DR325" i="3"/>
  <c r="DQ325" i="3"/>
  <c r="DP325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Y325" i="3"/>
  <c r="BX325" i="3"/>
  <c r="BW325" i="3"/>
  <c r="BV325" i="3"/>
  <c r="BU325" i="3"/>
  <c r="BT325" i="3"/>
  <c r="BS325" i="3"/>
  <c r="BR325" i="3"/>
  <c r="BQ325" i="3"/>
  <c r="BP325" i="3"/>
  <c r="BO325" i="3"/>
  <c r="BN325" i="3"/>
  <c r="E325" i="3"/>
  <c r="E991" i="3" s="1"/>
  <c r="D325" i="3"/>
  <c r="D991" i="3" s="1"/>
  <c r="C325" i="3"/>
  <c r="C991" i="3" s="1"/>
  <c r="B325" i="3"/>
  <c r="B991" i="3" s="1"/>
  <c r="A325" i="3"/>
  <c r="A991" i="3" s="1"/>
  <c r="DU324" i="3"/>
  <c r="DT324" i="3"/>
  <c r="DS324" i="3"/>
  <c r="DR324" i="3"/>
  <c r="DQ324" i="3"/>
  <c r="DP324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Y324" i="3"/>
  <c r="BX324" i="3"/>
  <c r="BW324" i="3"/>
  <c r="BV324" i="3"/>
  <c r="BU324" i="3"/>
  <c r="BT324" i="3"/>
  <c r="BS324" i="3"/>
  <c r="BR324" i="3"/>
  <c r="BQ324" i="3"/>
  <c r="BP324" i="3"/>
  <c r="BO324" i="3"/>
  <c r="BN324" i="3"/>
  <c r="E324" i="3"/>
  <c r="E990" i="3" s="1"/>
  <c r="D324" i="3"/>
  <c r="D990" i="3" s="1"/>
  <c r="C324" i="3"/>
  <c r="C990" i="3" s="1"/>
  <c r="B324" i="3"/>
  <c r="B990" i="3" s="1"/>
  <c r="A324" i="3"/>
  <c r="A990" i="3" s="1"/>
  <c r="DU323" i="3"/>
  <c r="DT323" i="3"/>
  <c r="DS323" i="3"/>
  <c r="DR323" i="3"/>
  <c r="DQ323" i="3"/>
  <c r="DP323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Y323" i="3"/>
  <c r="BX323" i="3"/>
  <c r="BW323" i="3"/>
  <c r="BV323" i="3"/>
  <c r="BU323" i="3"/>
  <c r="BT323" i="3"/>
  <c r="BS323" i="3"/>
  <c r="BR323" i="3"/>
  <c r="BQ323" i="3"/>
  <c r="BP323" i="3"/>
  <c r="BO323" i="3"/>
  <c r="BN323" i="3"/>
  <c r="E323" i="3"/>
  <c r="E989" i="3" s="1"/>
  <c r="D323" i="3"/>
  <c r="D989" i="3" s="1"/>
  <c r="C323" i="3"/>
  <c r="C989" i="3" s="1"/>
  <c r="B323" i="3"/>
  <c r="B989" i="3" s="1"/>
  <c r="A323" i="3"/>
  <c r="A989" i="3" s="1"/>
  <c r="DU322" i="3"/>
  <c r="DT322" i="3"/>
  <c r="DS322" i="3"/>
  <c r="DR322" i="3"/>
  <c r="DQ322" i="3"/>
  <c r="DP322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Y322" i="3"/>
  <c r="BX322" i="3"/>
  <c r="BW322" i="3"/>
  <c r="BV322" i="3"/>
  <c r="BU322" i="3"/>
  <c r="BT322" i="3"/>
  <c r="BS322" i="3"/>
  <c r="BR322" i="3"/>
  <c r="BQ322" i="3"/>
  <c r="BP322" i="3"/>
  <c r="BO322" i="3"/>
  <c r="BN322" i="3"/>
  <c r="E322" i="3"/>
  <c r="E988" i="3" s="1"/>
  <c r="D322" i="3"/>
  <c r="D988" i="3" s="1"/>
  <c r="C322" i="3"/>
  <c r="C988" i="3" s="1"/>
  <c r="B322" i="3"/>
  <c r="B988" i="3" s="1"/>
  <c r="A322" i="3"/>
  <c r="A988" i="3" s="1"/>
  <c r="DU321" i="3"/>
  <c r="DT321" i="3"/>
  <c r="DS321" i="3"/>
  <c r="DR321" i="3"/>
  <c r="DQ321" i="3"/>
  <c r="DP321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Y321" i="3"/>
  <c r="BX321" i="3"/>
  <c r="BW321" i="3"/>
  <c r="BV321" i="3"/>
  <c r="BU321" i="3"/>
  <c r="BT321" i="3"/>
  <c r="BS321" i="3"/>
  <c r="BR321" i="3"/>
  <c r="BQ321" i="3"/>
  <c r="BP321" i="3"/>
  <c r="BO321" i="3"/>
  <c r="BN321" i="3"/>
  <c r="E321" i="3"/>
  <c r="E987" i="3" s="1"/>
  <c r="D321" i="3"/>
  <c r="D987" i="3" s="1"/>
  <c r="C321" i="3"/>
  <c r="C987" i="3" s="1"/>
  <c r="B321" i="3"/>
  <c r="B987" i="3" s="1"/>
  <c r="A321" i="3"/>
  <c r="A987" i="3" s="1"/>
  <c r="DU320" i="3"/>
  <c r="DT320" i="3"/>
  <c r="DS320" i="3"/>
  <c r="DR320" i="3"/>
  <c r="DQ320" i="3"/>
  <c r="DP320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Y320" i="3"/>
  <c r="BX320" i="3"/>
  <c r="BW320" i="3"/>
  <c r="BV320" i="3"/>
  <c r="BU320" i="3"/>
  <c r="BT320" i="3"/>
  <c r="BS320" i="3"/>
  <c r="BR320" i="3"/>
  <c r="BQ320" i="3"/>
  <c r="BP320" i="3"/>
  <c r="BO320" i="3"/>
  <c r="BN320" i="3"/>
  <c r="E320" i="3"/>
  <c r="E986" i="3" s="1"/>
  <c r="D320" i="3"/>
  <c r="D986" i="3" s="1"/>
  <c r="C320" i="3"/>
  <c r="C986" i="3" s="1"/>
  <c r="B320" i="3"/>
  <c r="B986" i="3" s="1"/>
  <c r="A320" i="3"/>
  <c r="A986" i="3" s="1"/>
  <c r="DU319" i="3"/>
  <c r="DT319" i="3"/>
  <c r="DS319" i="3"/>
  <c r="DR319" i="3"/>
  <c r="DQ319" i="3"/>
  <c r="DP319" i="3"/>
  <c r="DO319" i="3"/>
  <c r="DN319" i="3"/>
  <c r="DM319" i="3"/>
  <c r="DL319" i="3"/>
  <c r="DK319" i="3"/>
  <c r="DJ319" i="3"/>
  <c r="DI319" i="3"/>
  <c r="DH319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Y319" i="3"/>
  <c r="BX319" i="3"/>
  <c r="BW319" i="3"/>
  <c r="BV319" i="3"/>
  <c r="BU319" i="3"/>
  <c r="BT319" i="3"/>
  <c r="BS319" i="3"/>
  <c r="BR319" i="3"/>
  <c r="BQ319" i="3"/>
  <c r="BP319" i="3"/>
  <c r="BO319" i="3"/>
  <c r="BN319" i="3"/>
  <c r="E319" i="3"/>
  <c r="E985" i="3" s="1"/>
  <c r="D319" i="3"/>
  <c r="D985" i="3" s="1"/>
  <c r="C319" i="3"/>
  <c r="C985" i="3" s="1"/>
  <c r="B319" i="3"/>
  <c r="B985" i="3" s="1"/>
  <c r="A319" i="3"/>
  <c r="A985" i="3" s="1"/>
  <c r="DU318" i="3"/>
  <c r="DT318" i="3"/>
  <c r="DS318" i="3"/>
  <c r="DR318" i="3"/>
  <c r="DQ318" i="3"/>
  <c r="DP318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Y318" i="3"/>
  <c r="BX318" i="3"/>
  <c r="BW318" i="3"/>
  <c r="BV318" i="3"/>
  <c r="BU318" i="3"/>
  <c r="BT318" i="3"/>
  <c r="BS318" i="3"/>
  <c r="BR318" i="3"/>
  <c r="BQ318" i="3"/>
  <c r="BP318" i="3"/>
  <c r="BO318" i="3"/>
  <c r="BN318" i="3"/>
  <c r="E318" i="3"/>
  <c r="E984" i="3" s="1"/>
  <c r="D318" i="3"/>
  <c r="D984" i="3" s="1"/>
  <c r="C318" i="3"/>
  <c r="C984" i="3" s="1"/>
  <c r="B318" i="3"/>
  <c r="B984" i="3" s="1"/>
  <c r="A318" i="3"/>
  <c r="A984" i="3" s="1"/>
  <c r="DU317" i="3"/>
  <c r="DT317" i="3"/>
  <c r="DS317" i="3"/>
  <c r="DR317" i="3"/>
  <c r="DQ317" i="3"/>
  <c r="DP317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Y317" i="3"/>
  <c r="BX317" i="3"/>
  <c r="BW317" i="3"/>
  <c r="BV317" i="3"/>
  <c r="BU317" i="3"/>
  <c r="BT317" i="3"/>
  <c r="BS317" i="3"/>
  <c r="BR317" i="3"/>
  <c r="BQ317" i="3"/>
  <c r="BP317" i="3"/>
  <c r="BO317" i="3"/>
  <c r="BN317" i="3"/>
  <c r="E317" i="3"/>
  <c r="E983" i="3" s="1"/>
  <c r="D317" i="3"/>
  <c r="D983" i="3" s="1"/>
  <c r="C317" i="3"/>
  <c r="C983" i="3" s="1"/>
  <c r="B317" i="3"/>
  <c r="B983" i="3" s="1"/>
  <c r="A317" i="3"/>
  <c r="A983" i="3" s="1"/>
  <c r="DU316" i="3"/>
  <c r="DT316" i="3"/>
  <c r="DS316" i="3"/>
  <c r="DR316" i="3"/>
  <c r="DQ316" i="3"/>
  <c r="DP316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Y316" i="3"/>
  <c r="BX316" i="3"/>
  <c r="BW316" i="3"/>
  <c r="BV316" i="3"/>
  <c r="BU316" i="3"/>
  <c r="BT316" i="3"/>
  <c r="BS316" i="3"/>
  <c r="BR316" i="3"/>
  <c r="BQ316" i="3"/>
  <c r="BP316" i="3"/>
  <c r="BO316" i="3"/>
  <c r="BN316" i="3"/>
  <c r="E316" i="3"/>
  <c r="E982" i="3" s="1"/>
  <c r="D316" i="3"/>
  <c r="D982" i="3" s="1"/>
  <c r="C316" i="3"/>
  <c r="C982" i="3" s="1"/>
  <c r="B316" i="3"/>
  <c r="B982" i="3" s="1"/>
  <c r="A316" i="3"/>
  <c r="A982" i="3" s="1"/>
  <c r="DU315" i="3"/>
  <c r="DT315" i="3"/>
  <c r="DS315" i="3"/>
  <c r="DR315" i="3"/>
  <c r="DQ315" i="3"/>
  <c r="DP315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Y315" i="3"/>
  <c r="BX315" i="3"/>
  <c r="BW315" i="3"/>
  <c r="BV315" i="3"/>
  <c r="BU315" i="3"/>
  <c r="BT315" i="3"/>
  <c r="BS315" i="3"/>
  <c r="BR315" i="3"/>
  <c r="BQ315" i="3"/>
  <c r="BP315" i="3"/>
  <c r="BO315" i="3"/>
  <c r="BN315" i="3"/>
  <c r="E315" i="3"/>
  <c r="E981" i="3" s="1"/>
  <c r="D315" i="3"/>
  <c r="D981" i="3" s="1"/>
  <c r="C315" i="3"/>
  <c r="C981" i="3" s="1"/>
  <c r="B315" i="3"/>
  <c r="B981" i="3" s="1"/>
  <c r="A315" i="3"/>
  <c r="A981" i="3" s="1"/>
  <c r="DU314" i="3"/>
  <c r="DT314" i="3"/>
  <c r="DS314" i="3"/>
  <c r="DR314" i="3"/>
  <c r="DQ314" i="3"/>
  <c r="DP314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Y314" i="3"/>
  <c r="BX314" i="3"/>
  <c r="BW314" i="3"/>
  <c r="BV314" i="3"/>
  <c r="BU314" i="3"/>
  <c r="BT314" i="3"/>
  <c r="BS314" i="3"/>
  <c r="BR314" i="3"/>
  <c r="BQ314" i="3"/>
  <c r="BP314" i="3"/>
  <c r="BO314" i="3"/>
  <c r="BN314" i="3"/>
  <c r="E314" i="3"/>
  <c r="E980" i="3" s="1"/>
  <c r="D314" i="3"/>
  <c r="D980" i="3" s="1"/>
  <c r="C314" i="3"/>
  <c r="C980" i="3" s="1"/>
  <c r="B314" i="3"/>
  <c r="B980" i="3" s="1"/>
  <c r="A314" i="3"/>
  <c r="A980" i="3" s="1"/>
  <c r="DU313" i="3"/>
  <c r="DT313" i="3"/>
  <c r="DS313" i="3"/>
  <c r="DR313" i="3"/>
  <c r="DQ313" i="3"/>
  <c r="DP313" i="3"/>
  <c r="DO313" i="3"/>
  <c r="DN313" i="3"/>
  <c r="DM313" i="3"/>
  <c r="DL313" i="3"/>
  <c r="DK313" i="3"/>
  <c r="DJ313" i="3"/>
  <c r="DI313" i="3"/>
  <c r="DH313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Y313" i="3"/>
  <c r="BX313" i="3"/>
  <c r="BW313" i="3"/>
  <c r="BV313" i="3"/>
  <c r="BU313" i="3"/>
  <c r="BT313" i="3"/>
  <c r="BS313" i="3"/>
  <c r="BR313" i="3"/>
  <c r="BQ313" i="3"/>
  <c r="BP313" i="3"/>
  <c r="BO313" i="3"/>
  <c r="BN313" i="3"/>
  <c r="E313" i="3"/>
  <c r="E979" i="3" s="1"/>
  <c r="D313" i="3"/>
  <c r="D979" i="3" s="1"/>
  <c r="C313" i="3"/>
  <c r="C979" i="3" s="1"/>
  <c r="B313" i="3"/>
  <c r="B979" i="3" s="1"/>
  <c r="A313" i="3"/>
  <c r="A979" i="3" s="1"/>
  <c r="DU312" i="3"/>
  <c r="DT312" i="3"/>
  <c r="DS312" i="3"/>
  <c r="DR312" i="3"/>
  <c r="DQ312" i="3"/>
  <c r="DP312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Y312" i="3"/>
  <c r="BX312" i="3"/>
  <c r="BW312" i="3"/>
  <c r="BV312" i="3"/>
  <c r="BU312" i="3"/>
  <c r="BT312" i="3"/>
  <c r="BS312" i="3"/>
  <c r="BR312" i="3"/>
  <c r="BQ312" i="3"/>
  <c r="BP312" i="3"/>
  <c r="BO312" i="3"/>
  <c r="BN312" i="3"/>
  <c r="E312" i="3"/>
  <c r="E978" i="3" s="1"/>
  <c r="D312" i="3"/>
  <c r="D978" i="3" s="1"/>
  <c r="C312" i="3"/>
  <c r="C978" i="3" s="1"/>
  <c r="B312" i="3"/>
  <c r="B978" i="3" s="1"/>
  <c r="A312" i="3"/>
  <c r="A978" i="3" s="1"/>
  <c r="DU311" i="3"/>
  <c r="DT311" i="3"/>
  <c r="DS311" i="3"/>
  <c r="DR311" i="3"/>
  <c r="DQ311" i="3"/>
  <c r="DP311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Y311" i="3"/>
  <c r="BX311" i="3"/>
  <c r="BW311" i="3"/>
  <c r="BV311" i="3"/>
  <c r="BU311" i="3"/>
  <c r="BT311" i="3"/>
  <c r="BS311" i="3"/>
  <c r="BR311" i="3"/>
  <c r="BQ311" i="3"/>
  <c r="BP311" i="3"/>
  <c r="BO311" i="3"/>
  <c r="BN311" i="3"/>
  <c r="E311" i="3"/>
  <c r="E977" i="3" s="1"/>
  <c r="D311" i="3"/>
  <c r="D977" i="3" s="1"/>
  <c r="C311" i="3"/>
  <c r="C977" i="3" s="1"/>
  <c r="B311" i="3"/>
  <c r="B977" i="3" s="1"/>
  <c r="A311" i="3"/>
  <c r="A977" i="3" s="1"/>
  <c r="DU310" i="3"/>
  <c r="DT310" i="3"/>
  <c r="DS310" i="3"/>
  <c r="DR310" i="3"/>
  <c r="DQ310" i="3"/>
  <c r="DP310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Y310" i="3"/>
  <c r="BX310" i="3"/>
  <c r="BW310" i="3"/>
  <c r="BV310" i="3"/>
  <c r="BU310" i="3"/>
  <c r="BT310" i="3"/>
  <c r="BS310" i="3"/>
  <c r="BR310" i="3"/>
  <c r="BQ310" i="3"/>
  <c r="BP310" i="3"/>
  <c r="BO310" i="3"/>
  <c r="BN310" i="3"/>
  <c r="E310" i="3"/>
  <c r="E976" i="3" s="1"/>
  <c r="D310" i="3"/>
  <c r="D976" i="3" s="1"/>
  <c r="C310" i="3"/>
  <c r="C976" i="3" s="1"/>
  <c r="B310" i="3"/>
  <c r="B976" i="3" s="1"/>
  <c r="A310" i="3"/>
  <c r="A976" i="3" s="1"/>
  <c r="DU309" i="3"/>
  <c r="DT309" i="3"/>
  <c r="DS309" i="3"/>
  <c r="DR309" i="3"/>
  <c r="DQ309" i="3"/>
  <c r="DP309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Y309" i="3"/>
  <c r="BX309" i="3"/>
  <c r="BW309" i="3"/>
  <c r="BV309" i="3"/>
  <c r="BU309" i="3"/>
  <c r="BT309" i="3"/>
  <c r="BS309" i="3"/>
  <c r="BR309" i="3"/>
  <c r="BQ309" i="3"/>
  <c r="BP309" i="3"/>
  <c r="BO309" i="3"/>
  <c r="BN309" i="3"/>
  <c r="E309" i="3"/>
  <c r="E975" i="3" s="1"/>
  <c r="D309" i="3"/>
  <c r="D975" i="3" s="1"/>
  <c r="C309" i="3"/>
  <c r="C975" i="3" s="1"/>
  <c r="B309" i="3"/>
  <c r="B975" i="3" s="1"/>
  <c r="A309" i="3"/>
  <c r="A975" i="3" s="1"/>
  <c r="DU308" i="3"/>
  <c r="DT308" i="3"/>
  <c r="DS308" i="3"/>
  <c r="DR308" i="3"/>
  <c r="DQ308" i="3"/>
  <c r="DP308" i="3"/>
  <c r="DO308" i="3"/>
  <c r="DN308" i="3"/>
  <c r="DM308" i="3"/>
  <c r="DL308" i="3"/>
  <c r="DK308" i="3"/>
  <c r="DJ308" i="3"/>
  <c r="DI308" i="3"/>
  <c r="DH308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BV308" i="3"/>
  <c r="BU308" i="3"/>
  <c r="BT308" i="3"/>
  <c r="BS308" i="3"/>
  <c r="BR308" i="3"/>
  <c r="BQ308" i="3"/>
  <c r="BP308" i="3"/>
  <c r="BO308" i="3"/>
  <c r="BN308" i="3"/>
  <c r="E308" i="3"/>
  <c r="E974" i="3" s="1"/>
  <c r="D308" i="3"/>
  <c r="D974" i="3" s="1"/>
  <c r="C308" i="3"/>
  <c r="C974" i="3" s="1"/>
  <c r="B308" i="3"/>
  <c r="B974" i="3" s="1"/>
  <c r="A308" i="3"/>
  <c r="A974" i="3" s="1"/>
  <c r="DU307" i="3"/>
  <c r="DT307" i="3"/>
  <c r="DS307" i="3"/>
  <c r="DR307" i="3"/>
  <c r="DQ307" i="3"/>
  <c r="DP307" i="3"/>
  <c r="DO307" i="3"/>
  <c r="DN307" i="3"/>
  <c r="DM307" i="3"/>
  <c r="DL307" i="3"/>
  <c r="DK307" i="3"/>
  <c r="DJ307" i="3"/>
  <c r="DI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BV307" i="3"/>
  <c r="BU307" i="3"/>
  <c r="BT307" i="3"/>
  <c r="BS307" i="3"/>
  <c r="BR307" i="3"/>
  <c r="BQ307" i="3"/>
  <c r="BP307" i="3"/>
  <c r="BO307" i="3"/>
  <c r="BN307" i="3"/>
  <c r="E307" i="3"/>
  <c r="E973" i="3" s="1"/>
  <c r="D307" i="3"/>
  <c r="D973" i="3" s="1"/>
  <c r="C307" i="3"/>
  <c r="C973" i="3" s="1"/>
  <c r="B307" i="3"/>
  <c r="B973" i="3" s="1"/>
  <c r="A307" i="3"/>
  <c r="A973" i="3" s="1"/>
  <c r="DU306" i="3"/>
  <c r="DT306" i="3"/>
  <c r="DS306" i="3"/>
  <c r="DR306" i="3"/>
  <c r="DQ306" i="3"/>
  <c r="DP306" i="3"/>
  <c r="DO306" i="3"/>
  <c r="DN306" i="3"/>
  <c r="DM306" i="3"/>
  <c r="DL306" i="3"/>
  <c r="DK306" i="3"/>
  <c r="DJ306" i="3"/>
  <c r="DI306" i="3"/>
  <c r="DH306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BV306" i="3"/>
  <c r="BU306" i="3"/>
  <c r="BT306" i="3"/>
  <c r="BS306" i="3"/>
  <c r="BR306" i="3"/>
  <c r="BQ306" i="3"/>
  <c r="BP306" i="3"/>
  <c r="BO306" i="3"/>
  <c r="BN306" i="3"/>
  <c r="E306" i="3"/>
  <c r="E972" i="3" s="1"/>
  <c r="D306" i="3"/>
  <c r="D972" i="3" s="1"/>
  <c r="C306" i="3"/>
  <c r="C972" i="3" s="1"/>
  <c r="B306" i="3"/>
  <c r="B972" i="3" s="1"/>
  <c r="A306" i="3"/>
  <c r="A972" i="3" s="1"/>
  <c r="DU305" i="3"/>
  <c r="DT305" i="3"/>
  <c r="DS305" i="3"/>
  <c r="DR305" i="3"/>
  <c r="DQ305" i="3"/>
  <c r="DP305" i="3"/>
  <c r="DO305" i="3"/>
  <c r="DN305" i="3"/>
  <c r="DM305" i="3"/>
  <c r="DL305" i="3"/>
  <c r="DK305" i="3"/>
  <c r="DJ305" i="3"/>
  <c r="DI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Y305" i="3"/>
  <c r="BX305" i="3"/>
  <c r="BW305" i="3"/>
  <c r="BV305" i="3"/>
  <c r="BU305" i="3"/>
  <c r="BT305" i="3"/>
  <c r="BS305" i="3"/>
  <c r="BR305" i="3"/>
  <c r="BQ305" i="3"/>
  <c r="BP305" i="3"/>
  <c r="BO305" i="3"/>
  <c r="BN305" i="3"/>
  <c r="E305" i="3"/>
  <c r="E971" i="3" s="1"/>
  <c r="D305" i="3"/>
  <c r="D971" i="3" s="1"/>
  <c r="C305" i="3"/>
  <c r="C971" i="3" s="1"/>
  <c r="B305" i="3"/>
  <c r="B971" i="3" s="1"/>
  <c r="A305" i="3"/>
  <c r="A971" i="3" s="1"/>
  <c r="DU304" i="3"/>
  <c r="DT304" i="3"/>
  <c r="DS304" i="3"/>
  <c r="DR304" i="3"/>
  <c r="DQ304" i="3"/>
  <c r="DP304" i="3"/>
  <c r="DO304" i="3"/>
  <c r="DN304" i="3"/>
  <c r="DM304" i="3"/>
  <c r="DL304" i="3"/>
  <c r="DK304" i="3"/>
  <c r="DJ304" i="3"/>
  <c r="DI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Y304" i="3"/>
  <c r="BX304" i="3"/>
  <c r="BW304" i="3"/>
  <c r="BV304" i="3"/>
  <c r="BU304" i="3"/>
  <c r="BT304" i="3"/>
  <c r="BS304" i="3"/>
  <c r="BR304" i="3"/>
  <c r="BQ304" i="3"/>
  <c r="BP304" i="3"/>
  <c r="BO304" i="3"/>
  <c r="BN304" i="3"/>
  <c r="E304" i="3"/>
  <c r="E970" i="3" s="1"/>
  <c r="D304" i="3"/>
  <c r="D970" i="3" s="1"/>
  <c r="C304" i="3"/>
  <c r="C970" i="3" s="1"/>
  <c r="B304" i="3"/>
  <c r="B970" i="3" s="1"/>
  <c r="A304" i="3"/>
  <c r="A970" i="3" s="1"/>
  <c r="DU303" i="3"/>
  <c r="DT303" i="3"/>
  <c r="DS303" i="3"/>
  <c r="DR303" i="3"/>
  <c r="DQ303" i="3"/>
  <c r="DP303" i="3"/>
  <c r="DO303" i="3"/>
  <c r="DN303" i="3"/>
  <c r="DM303" i="3"/>
  <c r="DL303" i="3"/>
  <c r="DK303" i="3"/>
  <c r="DJ303" i="3"/>
  <c r="DI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Y303" i="3"/>
  <c r="BX303" i="3"/>
  <c r="BW303" i="3"/>
  <c r="BV303" i="3"/>
  <c r="BU303" i="3"/>
  <c r="BT303" i="3"/>
  <c r="BS303" i="3"/>
  <c r="BR303" i="3"/>
  <c r="BQ303" i="3"/>
  <c r="BP303" i="3"/>
  <c r="BO303" i="3"/>
  <c r="BN303" i="3"/>
  <c r="E303" i="3"/>
  <c r="E969" i="3" s="1"/>
  <c r="D303" i="3"/>
  <c r="D969" i="3" s="1"/>
  <c r="C303" i="3"/>
  <c r="C969" i="3" s="1"/>
  <c r="B303" i="3"/>
  <c r="B969" i="3" s="1"/>
  <c r="A303" i="3"/>
  <c r="A969" i="3" s="1"/>
  <c r="DU302" i="3"/>
  <c r="DT302" i="3"/>
  <c r="DS302" i="3"/>
  <c r="DR302" i="3"/>
  <c r="DQ302" i="3"/>
  <c r="DP302" i="3"/>
  <c r="DO302" i="3"/>
  <c r="DN302" i="3"/>
  <c r="DM302" i="3"/>
  <c r="DL302" i="3"/>
  <c r="DK302" i="3"/>
  <c r="DJ302" i="3"/>
  <c r="DI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Y302" i="3"/>
  <c r="BX302" i="3"/>
  <c r="BW302" i="3"/>
  <c r="BV302" i="3"/>
  <c r="BU302" i="3"/>
  <c r="BT302" i="3"/>
  <c r="BS302" i="3"/>
  <c r="BR302" i="3"/>
  <c r="BQ302" i="3"/>
  <c r="BP302" i="3"/>
  <c r="BO302" i="3"/>
  <c r="BN302" i="3"/>
  <c r="E302" i="3"/>
  <c r="E968" i="3" s="1"/>
  <c r="D302" i="3"/>
  <c r="D968" i="3" s="1"/>
  <c r="C302" i="3"/>
  <c r="C968" i="3" s="1"/>
  <c r="B302" i="3"/>
  <c r="B968" i="3" s="1"/>
  <c r="A302" i="3"/>
  <c r="A968" i="3" s="1"/>
  <c r="DU301" i="3"/>
  <c r="DT301" i="3"/>
  <c r="DS301" i="3"/>
  <c r="DR301" i="3"/>
  <c r="DQ301" i="3"/>
  <c r="DP301" i="3"/>
  <c r="DO301" i="3"/>
  <c r="DN301" i="3"/>
  <c r="DM301" i="3"/>
  <c r="DL301" i="3"/>
  <c r="DK301" i="3"/>
  <c r="DJ301" i="3"/>
  <c r="DI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Y301" i="3"/>
  <c r="BX301" i="3"/>
  <c r="BW301" i="3"/>
  <c r="BV301" i="3"/>
  <c r="BU301" i="3"/>
  <c r="BT301" i="3"/>
  <c r="BS301" i="3"/>
  <c r="BR301" i="3"/>
  <c r="BQ301" i="3"/>
  <c r="BP301" i="3"/>
  <c r="BO301" i="3"/>
  <c r="BN301" i="3"/>
  <c r="E301" i="3"/>
  <c r="E967" i="3" s="1"/>
  <c r="D301" i="3"/>
  <c r="D967" i="3" s="1"/>
  <c r="C301" i="3"/>
  <c r="C967" i="3" s="1"/>
  <c r="B301" i="3"/>
  <c r="B967" i="3" s="1"/>
  <c r="A301" i="3"/>
  <c r="A967" i="3" s="1"/>
  <c r="DU300" i="3"/>
  <c r="DT300" i="3"/>
  <c r="DS300" i="3"/>
  <c r="DR300" i="3"/>
  <c r="DQ300" i="3"/>
  <c r="DP300" i="3"/>
  <c r="DO300" i="3"/>
  <c r="DN300" i="3"/>
  <c r="DM300" i="3"/>
  <c r="DL300" i="3"/>
  <c r="DK300" i="3"/>
  <c r="DJ300" i="3"/>
  <c r="DI300" i="3"/>
  <c r="DH300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Y300" i="3"/>
  <c r="BX300" i="3"/>
  <c r="BW300" i="3"/>
  <c r="BV300" i="3"/>
  <c r="BU300" i="3"/>
  <c r="BT300" i="3"/>
  <c r="BS300" i="3"/>
  <c r="BR300" i="3"/>
  <c r="BQ300" i="3"/>
  <c r="BP300" i="3"/>
  <c r="BO300" i="3"/>
  <c r="BN300" i="3"/>
  <c r="E300" i="3"/>
  <c r="E966" i="3" s="1"/>
  <c r="D300" i="3"/>
  <c r="D966" i="3" s="1"/>
  <c r="C300" i="3"/>
  <c r="C966" i="3" s="1"/>
  <c r="B300" i="3"/>
  <c r="B966" i="3" s="1"/>
  <c r="A300" i="3"/>
  <c r="A966" i="3" s="1"/>
  <c r="DU299" i="3"/>
  <c r="DT299" i="3"/>
  <c r="DS299" i="3"/>
  <c r="DR299" i="3"/>
  <c r="DQ299" i="3"/>
  <c r="DP299" i="3"/>
  <c r="DO299" i="3"/>
  <c r="DN299" i="3"/>
  <c r="DM299" i="3"/>
  <c r="DL299" i="3"/>
  <c r="DK299" i="3"/>
  <c r="DJ299" i="3"/>
  <c r="DI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Y299" i="3"/>
  <c r="BX299" i="3"/>
  <c r="BW299" i="3"/>
  <c r="BV299" i="3"/>
  <c r="BU299" i="3"/>
  <c r="BT299" i="3"/>
  <c r="BS299" i="3"/>
  <c r="BR299" i="3"/>
  <c r="BQ299" i="3"/>
  <c r="BP299" i="3"/>
  <c r="BO299" i="3"/>
  <c r="BN299" i="3"/>
  <c r="E299" i="3"/>
  <c r="E965" i="3" s="1"/>
  <c r="D299" i="3"/>
  <c r="D965" i="3" s="1"/>
  <c r="C299" i="3"/>
  <c r="C965" i="3" s="1"/>
  <c r="B299" i="3"/>
  <c r="B965" i="3" s="1"/>
  <c r="A299" i="3"/>
  <c r="A965" i="3" s="1"/>
  <c r="DU298" i="3"/>
  <c r="DT298" i="3"/>
  <c r="DS298" i="3"/>
  <c r="DR298" i="3"/>
  <c r="DQ298" i="3"/>
  <c r="DP298" i="3"/>
  <c r="DO298" i="3"/>
  <c r="DN298" i="3"/>
  <c r="DM298" i="3"/>
  <c r="DL298" i="3"/>
  <c r="DK298" i="3"/>
  <c r="DJ298" i="3"/>
  <c r="DI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Y298" i="3"/>
  <c r="BX298" i="3"/>
  <c r="BW298" i="3"/>
  <c r="BV298" i="3"/>
  <c r="BU298" i="3"/>
  <c r="BT298" i="3"/>
  <c r="BS298" i="3"/>
  <c r="BR298" i="3"/>
  <c r="BQ298" i="3"/>
  <c r="BP298" i="3"/>
  <c r="BO298" i="3"/>
  <c r="BN298" i="3"/>
  <c r="E298" i="3"/>
  <c r="E964" i="3" s="1"/>
  <c r="D298" i="3"/>
  <c r="D964" i="3" s="1"/>
  <c r="C298" i="3"/>
  <c r="C964" i="3" s="1"/>
  <c r="B298" i="3"/>
  <c r="B964" i="3" s="1"/>
  <c r="A298" i="3"/>
  <c r="A964" i="3" s="1"/>
  <c r="DU297" i="3"/>
  <c r="DT297" i="3"/>
  <c r="DS297" i="3"/>
  <c r="DR297" i="3"/>
  <c r="DQ297" i="3"/>
  <c r="DP297" i="3"/>
  <c r="DO297" i="3"/>
  <c r="DN297" i="3"/>
  <c r="DM297" i="3"/>
  <c r="DL297" i="3"/>
  <c r="DK297" i="3"/>
  <c r="DJ297" i="3"/>
  <c r="DI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Y297" i="3"/>
  <c r="BX297" i="3"/>
  <c r="BW297" i="3"/>
  <c r="BV297" i="3"/>
  <c r="BU297" i="3"/>
  <c r="BT297" i="3"/>
  <c r="BS297" i="3"/>
  <c r="BR297" i="3"/>
  <c r="BQ297" i="3"/>
  <c r="BP297" i="3"/>
  <c r="BO297" i="3"/>
  <c r="BN297" i="3"/>
  <c r="E297" i="3"/>
  <c r="E963" i="3" s="1"/>
  <c r="D297" i="3"/>
  <c r="D963" i="3" s="1"/>
  <c r="C297" i="3"/>
  <c r="C963" i="3" s="1"/>
  <c r="B297" i="3"/>
  <c r="B963" i="3" s="1"/>
  <c r="A297" i="3"/>
  <c r="A963" i="3" s="1"/>
  <c r="DU296" i="3"/>
  <c r="DT296" i="3"/>
  <c r="DS296" i="3"/>
  <c r="DR296" i="3"/>
  <c r="DQ296" i="3"/>
  <c r="DP296" i="3"/>
  <c r="DO296" i="3"/>
  <c r="DN296" i="3"/>
  <c r="DM296" i="3"/>
  <c r="DL296" i="3"/>
  <c r="DK296" i="3"/>
  <c r="DJ296" i="3"/>
  <c r="DI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Y296" i="3"/>
  <c r="BX296" i="3"/>
  <c r="BW296" i="3"/>
  <c r="BV296" i="3"/>
  <c r="BU296" i="3"/>
  <c r="BT296" i="3"/>
  <c r="BS296" i="3"/>
  <c r="BR296" i="3"/>
  <c r="BQ296" i="3"/>
  <c r="BP296" i="3"/>
  <c r="BO296" i="3"/>
  <c r="BN296" i="3"/>
  <c r="E296" i="3"/>
  <c r="E962" i="3" s="1"/>
  <c r="D296" i="3"/>
  <c r="D962" i="3" s="1"/>
  <c r="C296" i="3"/>
  <c r="C962" i="3" s="1"/>
  <c r="B296" i="3"/>
  <c r="B962" i="3" s="1"/>
  <c r="A296" i="3"/>
  <c r="A962" i="3" s="1"/>
  <c r="DU295" i="3"/>
  <c r="DT295" i="3"/>
  <c r="DS295" i="3"/>
  <c r="DR295" i="3"/>
  <c r="DQ295" i="3"/>
  <c r="DP295" i="3"/>
  <c r="DO295" i="3"/>
  <c r="DN295" i="3"/>
  <c r="DM295" i="3"/>
  <c r="DL295" i="3"/>
  <c r="DK295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BS295" i="3"/>
  <c r="BR295" i="3"/>
  <c r="BQ295" i="3"/>
  <c r="BP295" i="3"/>
  <c r="BO295" i="3"/>
  <c r="BN295" i="3"/>
  <c r="E295" i="3"/>
  <c r="E961" i="3" s="1"/>
  <c r="D295" i="3"/>
  <c r="D961" i="3" s="1"/>
  <c r="C295" i="3"/>
  <c r="C961" i="3" s="1"/>
  <c r="B295" i="3"/>
  <c r="B961" i="3" s="1"/>
  <c r="A295" i="3"/>
  <c r="A961" i="3" s="1"/>
  <c r="DU294" i="3"/>
  <c r="DT294" i="3"/>
  <c r="DS294" i="3"/>
  <c r="DR294" i="3"/>
  <c r="DQ294" i="3"/>
  <c r="DP294" i="3"/>
  <c r="DO294" i="3"/>
  <c r="DN294" i="3"/>
  <c r="DM294" i="3"/>
  <c r="DL294" i="3"/>
  <c r="DK294" i="3"/>
  <c r="DJ294" i="3"/>
  <c r="DI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W294" i="3"/>
  <c r="BV294" i="3"/>
  <c r="BU294" i="3"/>
  <c r="BT294" i="3"/>
  <c r="BS294" i="3"/>
  <c r="BR294" i="3"/>
  <c r="BQ294" i="3"/>
  <c r="BP294" i="3"/>
  <c r="BO294" i="3"/>
  <c r="BN294" i="3"/>
  <c r="E294" i="3"/>
  <c r="E960" i="3" s="1"/>
  <c r="D294" i="3"/>
  <c r="D960" i="3" s="1"/>
  <c r="C294" i="3"/>
  <c r="C960" i="3" s="1"/>
  <c r="B294" i="3"/>
  <c r="B960" i="3" s="1"/>
  <c r="A294" i="3"/>
  <c r="A960" i="3" s="1"/>
  <c r="DU293" i="3"/>
  <c r="DT293" i="3"/>
  <c r="DS293" i="3"/>
  <c r="DR293" i="3"/>
  <c r="DQ293" i="3"/>
  <c r="DP293" i="3"/>
  <c r="DO293" i="3"/>
  <c r="DN293" i="3"/>
  <c r="DM293" i="3"/>
  <c r="DL293" i="3"/>
  <c r="DK293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BQ293" i="3"/>
  <c r="BP293" i="3"/>
  <c r="BO293" i="3"/>
  <c r="BN293" i="3"/>
  <c r="E293" i="3"/>
  <c r="E959" i="3" s="1"/>
  <c r="D293" i="3"/>
  <c r="D959" i="3" s="1"/>
  <c r="C293" i="3"/>
  <c r="C959" i="3" s="1"/>
  <c r="B293" i="3"/>
  <c r="B959" i="3" s="1"/>
  <c r="A293" i="3"/>
  <c r="A959" i="3" s="1"/>
  <c r="DU292" i="3"/>
  <c r="DT292" i="3"/>
  <c r="DS292" i="3"/>
  <c r="DR292" i="3"/>
  <c r="DQ292" i="3"/>
  <c r="DP292" i="3"/>
  <c r="DO292" i="3"/>
  <c r="DN292" i="3"/>
  <c r="DM292" i="3"/>
  <c r="DL292" i="3"/>
  <c r="DK292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BS292" i="3"/>
  <c r="BR292" i="3"/>
  <c r="BQ292" i="3"/>
  <c r="BP292" i="3"/>
  <c r="BO292" i="3"/>
  <c r="BN292" i="3"/>
  <c r="E292" i="3"/>
  <c r="B292" i="3"/>
  <c r="A292" i="3"/>
  <c r="DU291" i="3"/>
  <c r="DT291" i="3"/>
  <c r="DS291" i="3"/>
  <c r="DR291" i="3"/>
  <c r="DQ291" i="3"/>
  <c r="DP291" i="3"/>
  <c r="DO291" i="3"/>
  <c r="DN291" i="3"/>
  <c r="DM291" i="3"/>
  <c r="DL291" i="3"/>
  <c r="DK291" i="3"/>
  <c r="DJ291" i="3"/>
  <c r="DI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E291" i="3"/>
  <c r="B291" i="3"/>
  <c r="A291" i="3"/>
  <c r="DU290" i="3"/>
  <c r="DT290" i="3"/>
  <c r="DS290" i="3"/>
  <c r="DR290" i="3"/>
  <c r="DQ290" i="3"/>
  <c r="DP290" i="3"/>
  <c r="DO290" i="3"/>
  <c r="DN290" i="3"/>
  <c r="DM290" i="3"/>
  <c r="DL290" i="3"/>
  <c r="DK290" i="3"/>
  <c r="DJ290" i="3"/>
  <c r="DI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BS290" i="3"/>
  <c r="BR290" i="3"/>
  <c r="BQ290" i="3"/>
  <c r="BP290" i="3"/>
  <c r="BO290" i="3"/>
  <c r="BN290" i="3"/>
  <c r="E290" i="3"/>
  <c r="E958" i="3" s="1"/>
  <c r="D290" i="3"/>
  <c r="D958" i="3" s="1"/>
  <c r="C290" i="3"/>
  <c r="C958" i="3" s="1"/>
  <c r="B290" i="3"/>
  <c r="B958" i="3" s="1"/>
  <c r="A290" i="3"/>
  <c r="A958" i="3" s="1"/>
  <c r="DU289" i="3"/>
  <c r="DT289" i="3"/>
  <c r="DS289" i="3"/>
  <c r="DR289" i="3"/>
  <c r="DQ289" i="3"/>
  <c r="DP289" i="3"/>
  <c r="DO289" i="3"/>
  <c r="DN289" i="3"/>
  <c r="DM289" i="3"/>
  <c r="DL289" i="3"/>
  <c r="DK289" i="3"/>
  <c r="DJ289" i="3"/>
  <c r="DI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E289" i="3"/>
  <c r="E957" i="3" s="1"/>
  <c r="D289" i="3"/>
  <c r="D957" i="3" s="1"/>
  <c r="C289" i="3"/>
  <c r="C957" i="3" s="1"/>
  <c r="B289" i="3"/>
  <c r="B957" i="3" s="1"/>
  <c r="A289" i="3"/>
  <c r="A957" i="3" s="1"/>
  <c r="DU288" i="3"/>
  <c r="DT288" i="3"/>
  <c r="DS288" i="3"/>
  <c r="DR288" i="3"/>
  <c r="DQ288" i="3"/>
  <c r="DP288" i="3"/>
  <c r="DO288" i="3"/>
  <c r="DN288" i="3"/>
  <c r="DM288" i="3"/>
  <c r="DL288" i="3"/>
  <c r="DK288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E288" i="3"/>
  <c r="E956" i="3" s="1"/>
  <c r="D288" i="3"/>
  <c r="D956" i="3" s="1"/>
  <c r="C288" i="3"/>
  <c r="C956" i="3" s="1"/>
  <c r="B288" i="3"/>
  <c r="B956" i="3" s="1"/>
  <c r="A288" i="3"/>
  <c r="A956" i="3" s="1"/>
  <c r="DU287" i="3"/>
  <c r="DT287" i="3"/>
  <c r="DS287" i="3"/>
  <c r="DR287" i="3"/>
  <c r="DQ287" i="3"/>
  <c r="DP287" i="3"/>
  <c r="DO287" i="3"/>
  <c r="DN287" i="3"/>
  <c r="DM287" i="3"/>
  <c r="DL287" i="3"/>
  <c r="DK287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E287" i="3"/>
  <c r="E955" i="3" s="1"/>
  <c r="D287" i="3"/>
  <c r="D955" i="3" s="1"/>
  <c r="C287" i="3"/>
  <c r="C955" i="3" s="1"/>
  <c r="B287" i="3"/>
  <c r="B955" i="3" s="1"/>
  <c r="A287" i="3"/>
  <c r="A955" i="3" s="1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E286" i="3"/>
  <c r="E954" i="3" s="1"/>
  <c r="D286" i="3"/>
  <c r="D954" i="3" s="1"/>
  <c r="C286" i="3"/>
  <c r="C954" i="3" s="1"/>
  <c r="B286" i="3"/>
  <c r="B954" i="3" s="1"/>
  <c r="A286" i="3"/>
  <c r="A954" i="3" s="1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E285" i="3"/>
  <c r="E953" i="3" s="1"/>
  <c r="D285" i="3"/>
  <c r="D953" i="3" s="1"/>
  <c r="C285" i="3"/>
  <c r="C953" i="3" s="1"/>
  <c r="B285" i="3"/>
  <c r="B953" i="3" s="1"/>
  <c r="A285" i="3"/>
  <c r="A953" i="3" s="1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E284" i="3"/>
  <c r="E952" i="3" s="1"/>
  <c r="D284" i="3"/>
  <c r="D952" i="3" s="1"/>
  <c r="C284" i="3"/>
  <c r="C952" i="3" s="1"/>
  <c r="B284" i="3"/>
  <c r="B952" i="3" s="1"/>
  <c r="A284" i="3"/>
  <c r="A952" i="3" s="1"/>
  <c r="DU283" i="3"/>
  <c r="DT283" i="3"/>
  <c r="DS283" i="3"/>
  <c r="DR283" i="3"/>
  <c r="DQ283" i="3"/>
  <c r="DP283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E283" i="3"/>
  <c r="E951" i="3" s="1"/>
  <c r="D283" i="3"/>
  <c r="D951" i="3" s="1"/>
  <c r="C283" i="3"/>
  <c r="C951" i="3" s="1"/>
  <c r="B283" i="3"/>
  <c r="B951" i="3" s="1"/>
  <c r="A283" i="3"/>
  <c r="A951" i="3" s="1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E282" i="3"/>
  <c r="E950" i="3" s="1"/>
  <c r="D282" i="3"/>
  <c r="D950" i="3" s="1"/>
  <c r="C282" i="3"/>
  <c r="C950" i="3" s="1"/>
  <c r="B282" i="3"/>
  <c r="B950" i="3" s="1"/>
  <c r="A282" i="3"/>
  <c r="A950" i="3" s="1"/>
  <c r="DU281" i="3"/>
  <c r="DT281" i="3"/>
  <c r="DS281" i="3"/>
  <c r="DR281" i="3"/>
  <c r="DQ281" i="3"/>
  <c r="DP281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E281" i="3"/>
  <c r="E949" i="3" s="1"/>
  <c r="D281" i="3"/>
  <c r="D949" i="3" s="1"/>
  <c r="C281" i="3"/>
  <c r="C949" i="3" s="1"/>
  <c r="B281" i="3"/>
  <c r="B949" i="3" s="1"/>
  <c r="A281" i="3"/>
  <c r="A949" i="3" s="1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E280" i="3"/>
  <c r="E948" i="3" s="1"/>
  <c r="D280" i="3"/>
  <c r="D948" i="3" s="1"/>
  <c r="C280" i="3"/>
  <c r="C948" i="3" s="1"/>
  <c r="B280" i="3"/>
  <c r="B948" i="3" s="1"/>
  <c r="A280" i="3"/>
  <c r="A948" i="3" s="1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E279" i="3"/>
  <c r="E947" i="3" s="1"/>
  <c r="D279" i="3"/>
  <c r="D947" i="3" s="1"/>
  <c r="C279" i="3"/>
  <c r="C947" i="3" s="1"/>
  <c r="B279" i="3"/>
  <c r="B947" i="3" s="1"/>
  <c r="A279" i="3"/>
  <c r="A947" i="3" s="1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E278" i="3"/>
  <c r="E946" i="3" s="1"/>
  <c r="D278" i="3"/>
  <c r="D946" i="3" s="1"/>
  <c r="C278" i="3"/>
  <c r="C946" i="3" s="1"/>
  <c r="B278" i="3"/>
  <c r="B946" i="3" s="1"/>
  <c r="A278" i="3"/>
  <c r="A946" i="3" s="1"/>
  <c r="DU277" i="3"/>
  <c r="DT277" i="3"/>
  <c r="DS277" i="3"/>
  <c r="DR277" i="3"/>
  <c r="DQ277" i="3"/>
  <c r="DP277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E277" i="3"/>
  <c r="E945" i="3" s="1"/>
  <c r="D277" i="3"/>
  <c r="D945" i="3" s="1"/>
  <c r="C277" i="3"/>
  <c r="C945" i="3" s="1"/>
  <c r="B277" i="3"/>
  <c r="B945" i="3" s="1"/>
  <c r="A277" i="3"/>
  <c r="A945" i="3" s="1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E276" i="3"/>
  <c r="E944" i="3" s="1"/>
  <c r="D276" i="3"/>
  <c r="D944" i="3" s="1"/>
  <c r="C276" i="3"/>
  <c r="C944" i="3" s="1"/>
  <c r="B276" i="3"/>
  <c r="B944" i="3" s="1"/>
  <c r="A276" i="3"/>
  <c r="A944" i="3" s="1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E275" i="3"/>
  <c r="E943" i="3" s="1"/>
  <c r="D275" i="3"/>
  <c r="D943" i="3" s="1"/>
  <c r="C275" i="3"/>
  <c r="C943" i="3" s="1"/>
  <c r="B275" i="3"/>
  <c r="B943" i="3" s="1"/>
  <c r="A275" i="3"/>
  <c r="A943" i="3" s="1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E274" i="3"/>
  <c r="E942" i="3" s="1"/>
  <c r="D274" i="3"/>
  <c r="D942" i="3" s="1"/>
  <c r="C274" i="3"/>
  <c r="C942" i="3" s="1"/>
  <c r="B274" i="3"/>
  <c r="B942" i="3" s="1"/>
  <c r="A274" i="3"/>
  <c r="A942" i="3" s="1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E273" i="3"/>
  <c r="E941" i="3" s="1"/>
  <c r="D273" i="3"/>
  <c r="D941" i="3" s="1"/>
  <c r="C273" i="3"/>
  <c r="C941" i="3" s="1"/>
  <c r="B273" i="3"/>
  <c r="B941" i="3" s="1"/>
  <c r="A273" i="3"/>
  <c r="A941" i="3" s="1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E272" i="3"/>
  <c r="E940" i="3" s="1"/>
  <c r="D272" i="3"/>
  <c r="D940" i="3" s="1"/>
  <c r="C272" i="3"/>
  <c r="C940" i="3" s="1"/>
  <c r="B272" i="3"/>
  <c r="B940" i="3" s="1"/>
  <c r="A272" i="3"/>
  <c r="A940" i="3" s="1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E271" i="3"/>
  <c r="E939" i="3" s="1"/>
  <c r="D271" i="3"/>
  <c r="D939" i="3" s="1"/>
  <c r="C271" i="3"/>
  <c r="C939" i="3" s="1"/>
  <c r="B271" i="3"/>
  <c r="B939" i="3" s="1"/>
  <c r="A271" i="3"/>
  <c r="A939" i="3" s="1"/>
  <c r="DU270" i="3"/>
  <c r="DT270" i="3"/>
  <c r="DS270" i="3"/>
  <c r="DR270" i="3"/>
  <c r="DQ270" i="3"/>
  <c r="DP270" i="3"/>
  <c r="DO270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E270" i="3"/>
  <c r="E938" i="3" s="1"/>
  <c r="D270" i="3"/>
  <c r="D938" i="3" s="1"/>
  <c r="C270" i="3"/>
  <c r="C938" i="3" s="1"/>
  <c r="B270" i="3"/>
  <c r="B938" i="3" s="1"/>
  <c r="A270" i="3"/>
  <c r="A938" i="3" s="1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E269" i="3"/>
  <c r="E937" i="3" s="1"/>
  <c r="D269" i="3"/>
  <c r="D937" i="3" s="1"/>
  <c r="C269" i="3"/>
  <c r="C937" i="3" s="1"/>
  <c r="B269" i="3"/>
  <c r="B937" i="3" s="1"/>
  <c r="A269" i="3"/>
  <c r="A937" i="3" s="1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E268" i="3"/>
  <c r="E936" i="3" s="1"/>
  <c r="D268" i="3"/>
  <c r="D936" i="3" s="1"/>
  <c r="C268" i="3"/>
  <c r="C936" i="3" s="1"/>
  <c r="B268" i="3"/>
  <c r="B936" i="3" s="1"/>
  <c r="A268" i="3"/>
  <c r="A936" i="3" s="1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E267" i="3"/>
  <c r="E935" i="3" s="1"/>
  <c r="D267" i="3"/>
  <c r="D935" i="3" s="1"/>
  <c r="C267" i="3"/>
  <c r="C935" i="3" s="1"/>
  <c r="B267" i="3"/>
  <c r="B935" i="3" s="1"/>
  <c r="A267" i="3"/>
  <c r="A935" i="3" s="1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E266" i="3"/>
  <c r="E934" i="3" s="1"/>
  <c r="D266" i="3"/>
  <c r="D934" i="3" s="1"/>
  <c r="C266" i="3"/>
  <c r="C934" i="3" s="1"/>
  <c r="B266" i="3"/>
  <c r="B934" i="3" s="1"/>
  <c r="A266" i="3"/>
  <c r="A934" i="3" s="1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E265" i="3"/>
  <c r="E933" i="3" s="1"/>
  <c r="D265" i="3"/>
  <c r="D933" i="3" s="1"/>
  <c r="C265" i="3"/>
  <c r="C933" i="3" s="1"/>
  <c r="B265" i="3"/>
  <c r="B933" i="3" s="1"/>
  <c r="A265" i="3"/>
  <c r="A933" i="3" s="1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E264" i="3"/>
  <c r="E932" i="3" s="1"/>
  <c r="D264" i="3"/>
  <c r="D932" i="3" s="1"/>
  <c r="C264" i="3"/>
  <c r="C932" i="3" s="1"/>
  <c r="B264" i="3"/>
  <c r="B932" i="3" s="1"/>
  <c r="A264" i="3"/>
  <c r="A932" i="3" s="1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E263" i="3"/>
  <c r="E931" i="3" s="1"/>
  <c r="D263" i="3"/>
  <c r="D931" i="3" s="1"/>
  <c r="C263" i="3"/>
  <c r="C931" i="3" s="1"/>
  <c r="B263" i="3"/>
  <c r="B931" i="3" s="1"/>
  <c r="A263" i="3"/>
  <c r="A931" i="3" s="1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E262" i="3"/>
  <c r="E930" i="3" s="1"/>
  <c r="D262" i="3"/>
  <c r="D930" i="3" s="1"/>
  <c r="C262" i="3"/>
  <c r="C930" i="3" s="1"/>
  <c r="B262" i="3"/>
  <c r="B930" i="3" s="1"/>
  <c r="A262" i="3"/>
  <c r="A930" i="3" s="1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E261" i="3"/>
  <c r="E929" i="3" s="1"/>
  <c r="D261" i="3"/>
  <c r="D929" i="3" s="1"/>
  <c r="C261" i="3"/>
  <c r="C929" i="3" s="1"/>
  <c r="B261" i="3"/>
  <c r="B929" i="3" s="1"/>
  <c r="A261" i="3"/>
  <c r="A929" i="3" s="1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E260" i="3"/>
  <c r="E928" i="3" s="1"/>
  <c r="D260" i="3"/>
  <c r="D928" i="3" s="1"/>
  <c r="C260" i="3"/>
  <c r="C928" i="3" s="1"/>
  <c r="B260" i="3"/>
  <c r="B928" i="3" s="1"/>
  <c r="A260" i="3"/>
  <c r="A928" i="3" s="1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E259" i="3"/>
  <c r="E927" i="3" s="1"/>
  <c r="D259" i="3"/>
  <c r="D927" i="3" s="1"/>
  <c r="C259" i="3"/>
  <c r="C927" i="3" s="1"/>
  <c r="B259" i="3"/>
  <c r="B927" i="3" s="1"/>
  <c r="A259" i="3"/>
  <c r="A927" i="3" s="1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E258" i="3"/>
  <c r="E926" i="3" s="1"/>
  <c r="D258" i="3"/>
  <c r="D926" i="3" s="1"/>
  <c r="C258" i="3"/>
  <c r="C926" i="3" s="1"/>
  <c r="B258" i="3"/>
  <c r="B926" i="3" s="1"/>
  <c r="A258" i="3"/>
  <c r="A926" i="3" s="1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E257" i="3"/>
  <c r="E925" i="3" s="1"/>
  <c r="D257" i="3"/>
  <c r="D925" i="3" s="1"/>
  <c r="C257" i="3"/>
  <c r="C925" i="3" s="1"/>
  <c r="B257" i="3"/>
  <c r="B925" i="3" s="1"/>
  <c r="A257" i="3"/>
  <c r="A925" i="3" s="1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E256" i="3"/>
  <c r="E924" i="3" s="1"/>
  <c r="D256" i="3"/>
  <c r="D924" i="3" s="1"/>
  <c r="C256" i="3"/>
  <c r="C924" i="3" s="1"/>
  <c r="B256" i="3"/>
  <c r="B924" i="3" s="1"/>
  <c r="A256" i="3"/>
  <c r="A924" i="3" s="1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E255" i="3"/>
  <c r="E923" i="3" s="1"/>
  <c r="D255" i="3"/>
  <c r="D923" i="3" s="1"/>
  <c r="C255" i="3"/>
  <c r="C923" i="3" s="1"/>
  <c r="B255" i="3"/>
  <c r="B923" i="3" s="1"/>
  <c r="A255" i="3"/>
  <c r="A923" i="3" s="1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E254" i="3"/>
  <c r="E922" i="3" s="1"/>
  <c r="D254" i="3"/>
  <c r="D922" i="3" s="1"/>
  <c r="C254" i="3"/>
  <c r="C922" i="3" s="1"/>
  <c r="B254" i="3"/>
  <c r="B922" i="3" s="1"/>
  <c r="A254" i="3"/>
  <c r="A922" i="3" s="1"/>
  <c r="DU253" i="3"/>
  <c r="DT253" i="3"/>
  <c r="DS253" i="3"/>
  <c r="DR253" i="3"/>
  <c r="DQ253" i="3"/>
  <c r="DP253" i="3"/>
  <c r="DO253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E253" i="3"/>
  <c r="E921" i="3" s="1"/>
  <c r="D253" i="3"/>
  <c r="D921" i="3" s="1"/>
  <c r="C253" i="3"/>
  <c r="C921" i="3" s="1"/>
  <c r="B253" i="3"/>
  <c r="B921" i="3" s="1"/>
  <c r="A253" i="3"/>
  <c r="A921" i="3" s="1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E252" i="3"/>
  <c r="E920" i="3" s="1"/>
  <c r="D252" i="3"/>
  <c r="D920" i="3" s="1"/>
  <c r="C252" i="3"/>
  <c r="C920" i="3" s="1"/>
  <c r="B252" i="3"/>
  <c r="B920" i="3" s="1"/>
  <c r="A252" i="3"/>
  <c r="A920" i="3" s="1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E251" i="3"/>
  <c r="E919" i="3" s="1"/>
  <c r="D251" i="3"/>
  <c r="D919" i="3" s="1"/>
  <c r="C251" i="3"/>
  <c r="C919" i="3" s="1"/>
  <c r="B251" i="3"/>
  <c r="B919" i="3" s="1"/>
  <c r="A251" i="3"/>
  <c r="A919" i="3" s="1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E250" i="3"/>
  <c r="B250" i="3"/>
  <c r="A250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E249" i="3"/>
  <c r="E918" i="3" s="1"/>
  <c r="D249" i="3"/>
  <c r="D918" i="3" s="1"/>
  <c r="C249" i="3"/>
  <c r="C918" i="3" s="1"/>
  <c r="B249" i="3"/>
  <c r="B918" i="3" s="1"/>
  <c r="A249" i="3"/>
  <c r="A918" i="3" s="1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E248" i="3"/>
  <c r="E917" i="3" s="1"/>
  <c r="D248" i="3"/>
  <c r="D917" i="3" s="1"/>
  <c r="C248" i="3"/>
  <c r="C917" i="3" s="1"/>
  <c r="B248" i="3"/>
  <c r="B917" i="3" s="1"/>
  <c r="A248" i="3"/>
  <c r="A917" i="3" s="1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E247" i="3"/>
  <c r="E916" i="3" s="1"/>
  <c r="D247" i="3"/>
  <c r="D916" i="3" s="1"/>
  <c r="C247" i="3"/>
  <c r="C916" i="3" s="1"/>
  <c r="B247" i="3"/>
  <c r="B916" i="3" s="1"/>
  <c r="A247" i="3"/>
  <c r="A916" i="3" s="1"/>
  <c r="DU246" i="3"/>
  <c r="DT246" i="3"/>
  <c r="DS246" i="3"/>
  <c r="DR246" i="3"/>
  <c r="DQ246" i="3"/>
  <c r="DP246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E246" i="3"/>
  <c r="E915" i="3" s="1"/>
  <c r="D246" i="3"/>
  <c r="D915" i="3" s="1"/>
  <c r="C246" i="3"/>
  <c r="C915" i="3" s="1"/>
  <c r="B246" i="3"/>
  <c r="B915" i="3" s="1"/>
  <c r="A246" i="3"/>
  <c r="A915" i="3" s="1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E245" i="3"/>
  <c r="E914" i="3" s="1"/>
  <c r="D245" i="3"/>
  <c r="D914" i="3" s="1"/>
  <c r="C245" i="3"/>
  <c r="C914" i="3" s="1"/>
  <c r="B245" i="3"/>
  <c r="B914" i="3" s="1"/>
  <c r="A245" i="3"/>
  <c r="A914" i="3" s="1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E244" i="3"/>
  <c r="E913" i="3" s="1"/>
  <c r="D244" i="3"/>
  <c r="D913" i="3" s="1"/>
  <c r="C244" i="3"/>
  <c r="C913" i="3" s="1"/>
  <c r="B244" i="3"/>
  <c r="B913" i="3" s="1"/>
  <c r="A244" i="3"/>
  <c r="A913" i="3" s="1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E243" i="3"/>
  <c r="E912" i="3" s="1"/>
  <c r="D243" i="3"/>
  <c r="D912" i="3" s="1"/>
  <c r="C243" i="3"/>
  <c r="C912" i="3" s="1"/>
  <c r="B243" i="3"/>
  <c r="B912" i="3" s="1"/>
  <c r="A243" i="3"/>
  <c r="A912" i="3" s="1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E242" i="3"/>
  <c r="E911" i="3" s="1"/>
  <c r="D242" i="3"/>
  <c r="D911" i="3" s="1"/>
  <c r="C242" i="3"/>
  <c r="C911" i="3" s="1"/>
  <c r="B242" i="3"/>
  <c r="B911" i="3" s="1"/>
  <c r="A242" i="3"/>
  <c r="A911" i="3" s="1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E241" i="3"/>
  <c r="E910" i="3" s="1"/>
  <c r="D241" i="3"/>
  <c r="D910" i="3" s="1"/>
  <c r="C241" i="3"/>
  <c r="C910" i="3" s="1"/>
  <c r="B241" i="3"/>
  <c r="B910" i="3" s="1"/>
  <c r="A241" i="3"/>
  <c r="A910" i="3" s="1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E240" i="3"/>
  <c r="E909" i="3" s="1"/>
  <c r="D240" i="3"/>
  <c r="D909" i="3" s="1"/>
  <c r="C240" i="3"/>
  <c r="C909" i="3" s="1"/>
  <c r="B240" i="3"/>
  <c r="B909" i="3" s="1"/>
  <c r="A240" i="3"/>
  <c r="A909" i="3" s="1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E239" i="3"/>
  <c r="E908" i="3" s="1"/>
  <c r="D239" i="3"/>
  <c r="D908" i="3" s="1"/>
  <c r="C239" i="3"/>
  <c r="C908" i="3" s="1"/>
  <c r="B239" i="3"/>
  <c r="B908" i="3" s="1"/>
  <c r="A239" i="3"/>
  <c r="A908" i="3" s="1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E238" i="3"/>
  <c r="E907" i="3" s="1"/>
  <c r="D238" i="3"/>
  <c r="D907" i="3" s="1"/>
  <c r="C238" i="3"/>
  <c r="C907" i="3" s="1"/>
  <c r="B238" i="3"/>
  <c r="B907" i="3" s="1"/>
  <c r="A238" i="3"/>
  <c r="A907" i="3" s="1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E237" i="3"/>
  <c r="E906" i="3" s="1"/>
  <c r="D237" i="3"/>
  <c r="D906" i="3" s="1"/>
  <c r="C237" i="3"/>
  <c r="C906" i="3" s="1"/>
  <c r="B237" i="3"/>
  <c r="B906" i="3" s="1"/>
  <c r="A237" i="3"/>
  <c r="A906" i="3" s="1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E236" i="3"/>
  <c r="E905" i="3" s="1"/>
  <c r="D236" i="3"/>
  <c r="D905" i="3" s="1"/>
  <c r="C236" i="3"/>
  <c r="C905" i="3" s="1"/>
  <c r="B236" i="3"/>
  <c r="B905" i="3" s="1"/>
  <c r="A236" i="3"/>
  <c r="A905" i="3" s="1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E235" i="3"/>
  <c r="E904" i="3" s="1"/>
  <c r="D235" i="3"/>
  <c r="D904" i="3" s="1"/>
  <c r="C235" i="3"/>
  <c r="C904" i="3" s="1"/>
  <c r="B235" i="3"/>
  <c r="B904" i="3" s="1"/>
  <c r="A235" i="3"/>
  <c r="A904" i="3" s="1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E234" i="3"/>
  <c r="E903" i="3" s="1"/>
  <c r="D234" i="3"/>
  <c r="D903" i="3" s="1"/>
  <c r="C234" i="3"/>
  <c r="C903" i="3" s="1"/>
  <c r="B234" i="3"/>
  <c r="B903" i="3" s="1"/>
  <c r="A234" i="3"/>
  <c r="A903" i="3" s="1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E233" i="3"/>
  <c r="E902" i="3" s="1"/>
  <c r="D233" i="3"/>
  <c r="D902" i="3" s="1"/>
  <c r="C233" i="3"/>
  <c r="C902" i="3" s="1"/>
  <c r="B233" i="3"/>
  <c r="B902" i="3" s="1"/>
  <c r="A233" i="3"/>
  <c r="A902" i="3" s="1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E232" i="3"/>
  <c r="E901" i="3" s="1"/>
  <c r="D232" i="3"/>
  <c r="D901" i="3" s="1"/>
  <c r="C232" i="3"/>
  <c r="C901" i="3" s="1"/>
  <c r="B232" i="3"/>
  <c r="B901" i="3" s="1"/>
  <c r="A232" i="3"/>
  <c r="A901" i="3" s="1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E231" i="3"/>
  <c r="E900" i="3" s="1"/>
  <c r="D231" i="3"/>
  <c r="D900" i="3" s="1"/>
  <c r="C231" i="3"/>
  <c r="C900" i="3" s="1"/>
  <c r="B231" i="3"/>
  <c r="B900" i="3" s="1"/>
  <c r="A231" i="3"/>
  <c r="A900" i="3" s="1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E230" i="3"/>
  <c r="E899" i="3" s="1"/>
  <c r="D230" i="3"/>
  <c r="D899" i="3" s="1"/>
  <c r="C230" i="3"/>
  <c r="C899" i="3" s="1"/>
  <c r="B230" i="3"/>
  <c r="B899" i="3" s="1"/>
  <c r="A230" i="3"/>
  <c r="A899" i="3" s="1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E229" i="3"/>
  <c r="E898" i="3" s="1"/>
  <c r="D229" i="3"/>
  <c r="D898" i="3" s="1"/>
  <c r="C229" i="3"/>
  <c r="C898" i="3" s="1"/>
  <c r="B229" i="3"/>
  <c r="B898" i="3" s="1"/>
  <c r="A229" i="3"/>
  <c r="A898" i="3" s="1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E228" i="3"/>
  <c r="E897" i="3" s="1"/>
  <c r="D228" i="3"/>
  <c r="D897" i="3" s="1"/>
  <c r="C228" i="3"/>
  <c r="C897" i="3" s="1"/>
  <c r="B228" i="3"/>
  <c r="B897" i="3" s="1"/>
  <c r="A228" i="3"/>
  <c r="A897" i="3" s="1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E227" i="3"/>
  <c r="E896" i="3" s="1"/>
  <c r="D227" i="3"/>
  <c r="D896" i="3" s="1"/>
  <c r="C227" i="3"/>
  <c r="C896" i="3" s="1"/>
  <c r="B227" i="3"/>
  <c r="B896" i="3" s="1"/>
  <c r="A227" i="3"/>
  <c r="A896" i="3" s="1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E226" i="3"/>
  <c r="E895" i="3" s="1"/>
  <c r="D226" i="3"/>
  <c r="D895" i="3" s="1"/>
  <c r="C226" i="3"/>
  <c r="C895" i="3" s="1"/>
  <c r="B226" i="3"/>
  <c r="B895" i="3" s="1"/>
  <c r="A226" i="3"/>
  <c r="A895" i="3" s="1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E225" i="3"/>
  <c r="E894" i="3" s="1"/>
  <c r="D225" i="3"/>
  <c r="D894" i="3" s="1"/>
  <c r="C225" i="3"/>
  <c r="C894" i="3" s="1"/>
  <c r="B225" i="3"/>
  <c r="B894" i="3" s="1"/>
  <c r="A225" i="3"/>
  <c r="A894" i="3" s="1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E224" i="3"/>
  <c r="E893" i="3" s="1"/>
  <c r="D224" i="3"/>
  <c r="D893" i="3" s="1"/>
  <c r="C224" i="3"/>
  <c r="C893" i="3" s="1"/>
  <c r="B224" i="3"/>
  <c r="B893" i="3" s="1"/>
  <c r="A224" i="3"/>
  <c r="A893" i="3" s="1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E223" i="3"/>
  <c r="E892" i="3" s="1"/>
  <c r="D223" i="3"/>
  <c r="D892" i="3" s="1"/>
  <c r="C223" i="3"/>
  <c r="C892" i="3" s="1"/>
  <c r="B223" i="3"/>
  <c r="B892" i="3" s="1"/>
  <c r="A223" i="3"/>
  <c r="A892" i="3" s="1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E222" i="3"/>
  <c r="E891" i="3" s="1"/>
  <c r="D222" i="3"/>
  <c r="D891" i="3" s="1"/>
  <c r="C222" i="3"/>
  <c r="C891" i="3" s="1"/>
  <c r="B222" i="3"/>
  <c r="B891" i="3" s="1"/>
  <c r="A222" i="3"/>
  <c r="A891" i="3" s="1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E221" i="3"/>
  <c r="E890" i="3" s="1"/>
  <c r="D221" i="3"/>
  <c r="D890" i="3" s="1"/>
  <c r="C221" i="3"/>
  <c r="C890" i="3" s="1"/>
  <c r="B221" i="3"/>
  <c r="B890" i="3" s="1"/>
  <c r="A221" i="3"/>
  <c r="A890" i="3" s="1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E220" i="3"/>
  <c r="E889" i="3" s="1"/>
  <c r="D220" i="3"/>
  <c r="D889" i="3" s="1"/>
  <c r="C220" i="3"/>
  <c r="C889" i="3" s="1"/>
  <c r="B220" i="3"/>
  <c r="B889" i="3" s="1"/>
  <c r="A220" i="3"/>
  <c r="A889" i="3" s="1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E219" i="3"/>
  <c r="E888" i="3" s="1"/>
  <c r="D219" i="3"/>
  <c r="D888" i="3" s="1"/>
  <c r="C219" i="3"/>
  <c r="C888" i="3" s="1"/>
  <c r="B219" i="3"/>
  <c r="B888" i="3" s="1"/>
  <c r="A219" i="3"/>
  <c r="A888" i="3" s="1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E218" i="3"/>
  <c r="E887" i="3" s="1"/>
  <c r="D218" i="3"/>
  <c r="D887" i="3" s="1"/>
  <c r="C218" i="3"/>
  <c r="C887" i="3" s="1"/>
  <c r="B218" i="3"/>
  <c r="B887" i="3" s="1"/>
  <c r="A218" i="3"/>
  <c r="A887" i="3" s="1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E217" i="3"/>
  <c r="E886" i="3" s="1"/>
  <c r="D217" i="3"/>
  <c r="D886" i="3" s="1"/>
  <c r="C217" i="3"/>
  <c r="C886" i="3" s="1"/>
  <c r="B217" i="3"/>
  <c r="B886" i="3" s="1"/>
  <c r="A217" i="3"/>
  <c r="A886" i="3" s="1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E216" i="3"/>
  <c r="E885" i="3" s="1"/>
  <c r="D216" i="3"/>
  <c r="D885" i="3" s="1"/>
  <c r="C216" i="3"/>
  <c r="C885" i="3" s="1"/>
  <c r="B216" i="3"/>
  <c r="B885" i="3" s="1"/>
  <c r="A216" i="3"/>
  <c r="A885" i="3" s="1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E215" i="3"/>
  <c r="E884" i="3" s="1"/>
  <c r="D215" i="3"/>
  <c r="D884" i="3" s="1"/>
  <c r="C215" i="3"/>
  <c r="C884" i="3" s="1"/>
  <c r="B215" i="3"/>
  <c r="B884" i="3" s="1"/>
  <c r="A215" i="3"/>
  <c r="A884" i="3" s="1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E214" i="3"/>
  <c r="E883" i="3" s="1"/>
  <c r="D214" i="3"/>
  <c r="D883" i="3" s="1"/>
  <c r="C214" i="3"/>
  <c r="C883" i="3" s="1"/>
  <c r="B214" i="3"/>
  <c r="B883" i="3" s="1"/>
  <c r="A214" i="3"/>
  <c r="A883" i="3" s="1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E213" i="3"/>
  <c r="E882" i="3" s="1"/>
  <c r="D213" i="3"/>
  <c r="D882" i="3" s="1"/>
  <c r="C213" i="3"/>
  <c r="C882" i="3" s="1"/>
  <c r="B213" i="3"/>
  <c r="B882" i="3" s="1"/>
  <c r="A213" i="3"/>
  <c r="A882" i="3" s="1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E212" i="3"/>
  <c r="E881" i="3" s="1"/>
  <c r="D212" i="3"/>
  <c r="D881" i="3" s="1"/>
  <c r="C212" i="3"/>
  <c r="C881" i="3" s="1"/>
  <c r="B212" i="3"/>
  <c r="B881" i="3" s="1"/>
  <c r="A212" i="3"/>
  <c r="A881" i="3" s="1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E211" i="3"/>
  <c r="E880" i="3" s="1"/>
  <c r="D211" i="3"/>
  <c r="D880" i="3" s="1"/>
  <c r="C211" i="3"/>
  <c r="C880" i="3" s="1"/>
  <c r="B211" i="3"/>
  <c r="B880" i="3" s="1"/>
  <c r="A211" i="3"/>
  <c r="A880" i="3" s="1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E210" i="3"/>
  <c r="E879" i="3" s="1"/>
  <c r="D210" i="3"/>
  <c r="D879" i="3" s="1"/>
  <c r="C210" i="3"/>
  <c r="C879" i="3" s="1"/>
  <c r="B210" i="3"/>
  <c r="B879" i="3" s="1"/>
  <c r="A210" i="3"/>
  <c r="A879" i="3" s="1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E209" i="3"/>
  <c r="B209" i="3"/>
  <c r="A209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E208" i="3"/>
  <c r="E878" i="3" s="1"/>
  <c r="D208" i="3"/>
  <c r="D878" i="3" s="1"/>
  <c r="C208" i="3"/>
  <c r="C878" i="3" s="1"/>
  <c r="B208" i="3"/>
  <c r="B878" i="3" s="1"/>
  <c r="A208" i="3"/>
  <c r="A878" i="3" s="1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E207" i="3"/>
  <c r="E877" i="3" s="1"/>
  <c r="D207" i="3"/>
  <c r="D877" i="3" s="1"/>
  <c r="C207" i="3"/>
  <c r="C877" i="3" s="1"/>
  <c r="B207" i="3"/>
  <c r="B877" i="3" s="1"/>
  <c r="A207" i="3"/>
  <c r="A877" i="3" s="1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E206" i="3"/>
  <c r="E876" i="3" s="1"/>
  <c r="D206" i="3"/>
  <c r="D876" i="3" s="1"/>
  <c r="C206" i="3"/>
  <c r="C876" i="3" s="1"/>
  <c r="B206" i="3"/>
  <c r="B876" i="3" s="1"/>
  <c r="A206" i="3"/>
  <c r="A876" i="3" s="1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E205" i="3"/>
  <c r="E875" i="3" s="1"/>
  <c r="D205" i="3"/>
  <c r="D875" i="3" s="1"/>
  <c r="C205" i="3"/>
  <c r="C875" i="3" s="1"/>
  <c r="B205" i="3"/>
  <c r="B875" i="3" s="1"/>
  <c r="A205" i="3"/>
  <c r="A875" i="3" s="1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E204" i="3"/>
  <c r="E874" i="3" s="1"/>
  <c r="D204" i="3"/>
  <c r="D874" i="3" s="1"/>
  <c r="C204" i="3"/>
  <c r="C874" i="3" s="1"/>
  <c r="B204" i="3"/>
  <c r="B874" i="3" s="1"/>
  <c r="A204" i="3"/>
  <c r="A874" i="3" s="1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E203" i="3"/>
  <c r="E873" i="3" s="1"/>
  <c r="D203" i="3"/>
  <c r="D873" i="3" s="1"/>
  <c r="C203" i="3"/>
  <c r="C873" i="3" s="1"/>
  <c r="B203" i="3"/>
  <c r="B873" i="3" s="1"/>
  <c r="A203" i="3"/>
  <c r="A873" i="3" s="1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E202" i="3"/>
  <c r="E872" i="3" s="1"/>
  <c r="D202" i="3"/>
  <c r="D872" i="3" s="1"/>
  <c r="C202" i="3"/>
  <c r="C872" i="3" s="1"/>
  <c r="B202" i="3"/>
  <c r="B872" i="3" s="1"/>
  <c r="A202" i="3"/>
  <c r="A872" i="3" s="1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E201" i="3"/>
  <c r="E871" i="3" s="1"/>
  <c r="D201" i="3"/>
  <c r="D871" i="3" s="1"/>
  <c r="C201" i="3"/>
  <c r="C871" i="3" s="1"/>
  <c r="B201" i="3"/>
  <c r="B871" i="3" s="1"/>
  <c r="A201" i="3"/>
  <c r="A871" i="3" s="1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E200" i="3"/>
  <c r="E870" i="3" s="1"/>
  <c r="D200" i="3"/>
  <c r="D870" i="3" s="1"/>
  <c r="C200" i="3"/>
  <c r="C870" i="3" s="1"/>
  <c r="B200" i="3"/>
  <c r="B870" i="3" s="1"/>
  <c r="A200" i="3"/>
  <c r="A870" i="3" s="1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E199" i="3"/>
  <c r="E869" i="3" s="1"/>
  <c r="D199" i="3"/>
  <c r="D869" i="3" s="1"/>
  <c r="C199" i="3"/>
  <c r="C869" i="3" s="1"/>
  <c r="B199" i="3"/>
  <c r="B869" i="3" s="1"/>
  <c r="A199" i="3"/>
  <c r="A869" i="3" s="1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E198" i="3"/>
  <c r="E868" i="3" s="1"/>
  <c r="D198" i="3"/>
  <c r="D868" i="3" s="1"/>
  <c r="C198" i="3"/>
  <c r="C868" i="3" s="1"/>
  <c r="B198" i="3"/>
  <c r="B868" i="3" s="1"/>
  <c r="A198" i="3"/>
  <c r="A868" i="3" s="1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E197" i="3"/>
  <c r="E867" i="3" s="1"/>
  <c r="D197" i="3"/>
  <c r="D867" i="3" s="1"/>
  <c r="C197" i="3"/>
  <c r="C867" i="3" s="1"/>
  <c r="B197" i="3"/>
  <c r="B867" i="3" s="1"/>
  <c r="A197" i="3"/>
  <c r="A867" i="3" s="1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E196" i="3"/>
  <c r="E866" i="3" s="1"/>
  <c r="D196" i="3"/>
  <c r="D866" i="3" s="1"/>
  <c r="C196" i="3"/>
  <c r="C866" i="3" s="1"/>
  <c r="B196" i="3"/>
  <c r="B866" i="3" s="1"/>
  <c r="A196" i="3"/>
  <c r="A866" i="3" s="1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E195" i="3"/>
  <c r="E865" i="3" s="1"/>
  <c r="D195" i="3"/>
  <c r="D865" i="3" s="1"/>
  <c r="C195" i="3"/>
  <c r="C865" i="3" s="1"/>
  <c r="B195" i="3"/>
  <c r="B865" i="3" s="1"/>
  <c r="A195" i="3"/>
  <c r="A865" i="3" s="1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E194" i="3"/>
  <c r="E864" i="3" s="1"/>
  <c r="D194" i="3"/>
  <c r="D864" i="3" s="1"/>
  <c r="C194" i="3"/>
  <c r="C864" i="3" s="1"/>
  <c r="B194" i="3"/>
  <c r="B864" i="3" s="1"/>
  <c r="A194" i="3"/>
  <c r="A864" i="3" s="1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E193" i="3"/>
  <c r="E863" i="3" s="1"/>
  <c r="D193" i="3"/>
  <c r="D863" i="3" s="1"/>
  <c r="C193" i="3"/>
  <c r="C863" i="3" s="1"/>
  <c r="B193" i="3"/>
  <c r="B863" i="3" s="1"/>
  <c r="A193" i="3"/>
  <c r="A863" i="3" s="1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E192" i="3"/>
  <c r="E862" i="3" s="1"/>
  <c r="D192" i="3"/>
  <c r="D862" i="3" s="1"/>
  <c r="C192" i="3"/>
  <c r="C862" i="3" s="1"/>
  <c r="B192" i="3"/>
  <c r="B862" i="3" s="1"/>
  <c r="A192" i="3"/>
  <c r="A862" i="3" s="1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E191" i="3"/>
  <c r="E861" i="3" s="1"/>
  <c r="D191" i="3"/>
  <c r="D861" i="3" s="1"/>
  <c r="C191" i="3"/>
  <c r="C861" i="3" s="1"/>
  <c r="B191" i="3"/>
  <c r="B861" i="3" s="1"/>
  <c r="A191" i="3"/>
  <c r="A861" i="3" s="1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E190" i="3"/>
  <c r="E860" i="3" s="1"/>
  <c r="D190" i="3"/>
  <c r="D860" i="3" s="1"/>
  <c r="C190" i="3"/>
  <c r="C860" i="3" s="1"/>
  <c r="B190" i="3"/>
  <c r="B860" i="3" s="1"/>
  <c r="A190" i="3"/>
  <c r="A860" i="3" s="1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E189" i="3"/>
  <c r="E859" i="3" s="1"/>
  <c r="D189" i="3"/>
  <c r="D859" i="3" s="1"/>
  <c r="C189" i="3"/>
  <c r="C859" i="3" s="1"/>
  <c r="B189" i="3"/>
  <c r="B859" i="3" s="1"/>
  <c r="A189" i="3"/>
  <c r="A859" i="3" s="1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E188" i="3"/>
  <c r="E858" i="3" s="1"/>
  <c r="D188" i="3"/>
  <c r="D858" i="3" s="1"/>
  <c r="C188" i="3"/>
  <c r="C858" i="3" s="1"/>
  <c r="B188" i="3"/>
  <c r="B858" i="3" s="1"/>
  <c r="A188" i="3"/>
  <c r="A858" i="3" s="1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E187" i="3"/>
  <c r="E857" i="3" s="1"/>
  <c r="D187" i="3"/>
  <c r="D857" i="3" s="1"/>
  <c r="C187" i="3"/>
  <c r="C857" i="3" s="1"/>
  <c r="B187" i="3"/>
  <c r="B857" i="3" s="1"/>
  <c r="A187" i="3"/>
  <c r="A857" i="3" s="1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E186" i="3"/>
  <c r="E856" i="3" s="1"/>
  <c r="D186" i="3"/>
  <c r="D856" i="3" s="1"/>
  <c r="C186" i="3"/>
  <c r="C856" i="3" s="1"/>
  <c r="B186" i="3"/>
  <c r="B856" i="3" s="1"/>
  <c r="A186" i="3"/>
  <c r="A856" i="3" s="1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E185" i="3"/>
  <c r="E855" i="3" s="1"/>
  <c r="D185" i="3"/>
  <c r="D855" i="3" s="1"/>
  <c r="C185" i="3"/>
  <c r="C855" i="3" s="1"/>
  <c r="B185" i="3"/>
  <c r="B855" i="3" s="1"/>
  <c r="A185" i="3"/>
  <c r="A855" i="3" s="1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E184" i="3"/>
  <c r="E854" i="3" s="1"/>
  <c r="D184" i="3"/>
  <c r="D854" i="3" s="1"/>
  <c r="C184" i="3"/>
  <c r="C854" i="3" s="1"/>
  <c r="B184" i="3"/>
  <c r="B854" i="3" s="1"/>
  <c r="A184" i="3"/>
  <c r="A854" i="3" s="1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E183" i="3"/>
  <c r="E853" i="3" s="1"/>
  <c r="D183" i="3"/>
  <c r="D853" i="3" s="1"/>
  <c r="C183" i="3"/>
  <c r="C853" i="3" s="1"/>
  <c r="B183" i="3"/>
  <c r="B853" i="3" s="1"/>
  <c r="A183" i="3"/>
  <c r="A853" i="3" s="1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E182" i="3"/>
  <c r="E852" i="3" s="1"/>
  <c r="D182" i="3"/>
  <c r="D852" i="3" s="1"/>
  <c r="C182" i="3"/>
  <c r="C852" i="3" s="1"/>
  <c r="B182" i="3"/>
  <c r="B852" i="3" s="1"/>
  <c r="A182" i="3"/>
  <c r="A852" i="3" s="1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E181" i="3"/>
  <c r="E851" i="3" s="1"/>
  <c r="D181" i="3"/>
  <c r="D851" i="3" s="1"/>
  <c r="C181" i="3"/>
  <c r="C851" i="3" s="1"/>
  <c r="B181" i="3"/>
  <c r="B851" i="3" s="1"/>
  <c r="A181" i="3"/>
  <c r="A851" i="3" s="1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E180" i="3"/>
  <c r="E850" i="3" s="1"/>
  <c r="D180" i="3"/>
  <c r="D850" i="3" s="1"/>
  <c r="C180" i="3"/>
  <c r="C850" i="3" s="1"/>
  <c r="B180" i="3"/>
  <c r="B850" i="3" s="1"/>
  <c r="A180" i="3"/>
  <c r="A850" i="3" s="1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E179" i="3"/>
  <c r="E849" i="3" s="1"/>
  <c r="D179" i="3"/>
  <c r="D849" i="3" s="1"/>
  <c r="C179" i="3"/>
  <c r="C849" i="3" s="1"/>
  <c r="B179" i="3"/>
  <c r="B849" i="3" s="1"/>
  <c r="A179" i="3"/>
  <c r="A849" i="3" s="1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E178" i="3"/>
  <c r="E848" i="3" s="1"/>
  <c r="D178" i="3"/>
  <c r="D848" i="3" s="1"/>
  <c r="C178" i="3"/>
  <c r="C848" i="3" s="1"/>
  <c r="B178" i="3"/>
  <c r="B848" i="3" s="1"/>
  <c r="A178" i="3"/>
  <c r="A848" i="3" s="1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E177" i="3"/>
  <c r="E847" i="3" s="1"/>
  <c r="D177" i="3"/>
  <c r="D847" i="3" s="1"/>
  <c r="C177" i="3"/>
  <c r="C847" i="3" s="1"/>
  <c r="B177" i="3"/>
  <c r="B847" i="3" s="1"/>
  <c r="A177" i="3"/>
  <c r="A847" i="3" s="1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E176" i="3"/>
  <c r="E846" i="3" s="1"/>
  <c r="D176" i="3"/>
  <c r="D846" i="3" s="1"/>
  <c r="C176" i="3"/>
  <c r="C846" i="3" s="1"/>
  <c r="B176" i="3"/>
  <c r="B846" i="3" s="1"/>
  <c r="A176" i="3"/>
  <c r="A846" i="3" s="1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E175" i="3"/>
  <c r="E845" i="3" s="1"/>
  <c r="D175" i="3"/>
  <c r="D845" i="3" s="1"/>
  <c r="C175" i="3"/>
  <c r="C845" i="3" s="1"/>
  <c r="B175" i="3"/>
  <c r="B845" i="3" s="1"/>
  <c r="A175" i="3"/>
  <c r="A845" i="3" s="1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E174" i="3"/>
  <c r="E844" i="3" s="1"/>
  <c r="D174" i="3"/>
  <c r="D844" i="3" s="1"/>
  <c r="C174" i="3"/>
  <c r="C844" i="3" s="1"/>
  <c r="B174" i="3"/>
  <c r="B844" i="3" s="1"/>
  <c r="A174" i="3"/>
  <c r="A844" i="3" s="1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E173" i="3"/>
  <c r="E843" i="3" s="1"/>
  <c r="D173" i="3"/>
  <c r="D843" i="3" s="1"/>
  <c r="C173" i="3"/>
  <c r="C843" i="3" s="1"/>
  <c r="B173" i="3"/>
  <c r="B843" i="3" s="1"/>
  <c r="A173" i="3"/>
  <c r="A843" i="3" s="1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E172" i="3"/>
  <c r="E842" i="3" s="1"/>
  <c r="D172" i="3"/>
  <c r="D842" i="3" s="1"/>
  <c r="C172" i="3"/>
  <c r="C842" i="3" s="1"/>
  <c r="B172" i="3"/>
  <c r="B842" i="3" s="1"/>
  <c r="A172" i="3"/>
  <c r="A842" i="3" s="1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E171" i="3"/>
  <c r="E841" i="3" s="1"/>
  <c r="D171" i="3"/>
  <c r="D841" i="3" s="1"/>
  <c r="C171" i="3"/>
  <c r="C841" i="3" s="1"/>
  <c r="B171" i="3"/>
  <c r="B841" i="3" s="1"/>
  <c r="A171" i="3"/>
  <c r="A841" i="3" s="1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E170" i="3"/>
  <c r="E840" i="3" s="1"/>
  <c r="D170" i="3"/>
  <c r="D840" i="3" s="1"/>
  <c r="C170" i="3"/>
  <c r="C840" i="3" s="1"/>
  <c r="B170" i="3"/>
  <c r="B840" i="3" s="1"/>
  <c r="A170" i="3"/>
  <c r="A840" i="3" s="1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E169" i="3"/>
  <c r="E839" i="3" s="1"/>
  <c r="D169" i="3"/>
  <c r="D839" i="3" s="1"/>
  <c r="C169" i="3"/>
  <c r="C839" i="3" s="1"/>
  <c r="B169" i="3"/>
  <c r="B839" i="3" s="1"/>
  <c r="A169" i="3"/>
  <c r="A839" i="3" s="1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E168" i="3"/>
  <c r="B168" i="3"/>
  <c r="A168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E167" i="3"/>
  <c r="E838" i="3" s="1"/>
  <c r="D167" i="3"/>
  <c r="D838" i="3" s="1"/>
  <c r="C167" i="3"/>
  <c r="C838" i="3" s="1"/>
  <c r="B167" i="3"/>
  <c r="B838" i="3" s="1"/>
  <c r="A167" i="3"/>
  <c r="A838" i="3" s="1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E166" i="3"/>
  <c r="E837" i="3" s="1"/>
  <c r="D166" i="3"/>
  <c r="D837" i="3" s="1"/>
  <c r="C166" i="3"/>
  <c r="C837" i="3" s="1"/>
  <c r="B166" i="3"/>
  <c r="B837" i="3" s="1"/>
  <c r="A166" i="3"/>
  <c r="A837" i="3" s="1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E165" i="3"/>
  <c r="E836" i="3" s="1"/>
  <c r="D165" i="3"/>
  <c r="D836" i="3" s="1"/>
  <c r="C165" i="3"/>
  <c r="C836" i="3" s="1"/>
  <c r="B165" i="3"/>
  <c r="B836" i="3" s="1"/>
  <c r="A165" i="3"/>
  <c r="A836" i="3" s="1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E164" i="3"/>
  <c r="E835" i="3" s="1"/>
  <c r="D164" i="3"/>
  <c r="D835" i="3" s="1"/>
  <c r="C164" i="3"/>
  <c r="C835" i="3" s="1"/>
  <c r="B164" i="3"/>
  <c r="B835" i="3" s="1"/>
  <c r="A164" i="3"/>
  <c r="A835" i="3" s="1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E163" i="3"/>
  <c r="E834" i="3" s="1"/>
  <c r="D163" i="3"/>
  <c r="D834" i="3" s="1"/>
  <c r="C163" i="3"/>
  <c r="C834" i="3" s="1"/>
  <c r="B163" i="3"/>
  <c r="B834" i="3" s="1"/>
  <c r="A163" i="3"/>
  <c r="A834" i="3" s="1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E162" i="3"/>
  <c r="E833" i="3" s="1"/>
  <c r="D162" i="3"/>
  <c r="D833" i="3" s="1"/>
  <c r="C162" i="3"/>
  <c r="C833" i="3" s="1"/>
  <c r="B162" i="3"/>
  <c r="B833" i="3" s="1"/>
  <c r="A162" i="3"/>
  <c r="A833" i="3" s="1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E161" i="3"/>
  <c r="E832" i="3" s="1"/>
  <c r="D161" i="3"/>
  <c r="D832" i="3" s="1"/>
  <c r="C161" i="3"/>
  <c r="C832" i="3" s="1"/>
  <c r="B161" i="3"/>
  <c r="B832" i="3" s="1"/>
  <c r="A161" i="3"/>
  <c r="A832" i="3" s="1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E160" i="3"/>
  <c r="E831" i="3" s="1"/>
  <c r="D160" i="3"/>
  <c r="D831" i="3" s="1"/>
  <c r="C160" i="3"/>
  <c r="C831" i="3" s="1"/>
  <c r="B160" i="3"/>
  <c r="B831" i="3" s="1"/>
  <c r="A160" i="3"/>
  <c r="A831" i="3" s="1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E159" i="3"/>
  <c r="E830" i="3" s="1"/>
  <c r="D159" i="3"/>
  <c r="D830" i="3" s="1"/>
  <c r="C159" i="3"/>
  <c r="C830" i="3" s="1"/>
  <c r="B159" i="3"/>
  <c r="B830" i="3" s="1"/>
  <c r="A159" i="3"/>
  <c r="A830" i="3" s="1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E158" i="3"/>
  <c r="E829" i="3" s="1"/>
  <c r="D158" i="3"/>
  <c r="D829" i="3" s="1"/>
  <c r="C158" i="3"/>
  <c r="C829" i="3" s="1"/>
  <c r="B158" i="3"/>
  <c r="B829" i="3" s="1"/>
  <c r="A158" i="3"/>
  <c r="A829" i="3" s="1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E157" i="3"/>
  <c r="E828" i="3" s="1"/>
  <c r="D157" i="3"/>
  <c r="D828" i="3" s="1"/>
  <c r="C157" i="3"/>
  <c r="C828" i="3" s="1"/>
  <c r="B157" i="3"/>
  <c r="B828" i="3" s="1"/>
  <c r="A157" i="3"/>
  <c r="A828" i="3" s="1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E156" i="3"/>
  <c r="E827" i="3" s="1"/>
  <c r="D156" i="3"/>
  <c r="D827" i="3" s="1"/>
  <c r="C156" i="3"/>
  <c r="C827" i="3" s="1"/>
  <c r="B156" i="3"/>
  <c r="B827" i="3" s="1"/>
  <c r="A156" i="3"/>
  <c r="A827" i="3" s="1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E155" i="3"/>
  <c r="E826" i="3" s="1"/>
  <c r="D155" i="3"/>
  <c r="D826" i="3" s="1"/>
  <c r="C155" i="3"/>
  <c r="C826" i="3" s="1"/>
  <c r="B155" i="3"/>
  <c r="B826" i="3" s="1"/>
  <c r="A155" i="3"/>
  <c r="A826" i="3" s="1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E154" i="3"/>
  <c r="E825" i="3" s="1"/>
  <c r="D154" i="3"/>
  <c r="D825" i="3" s="1"/>
  <c r="C154" i="3"/>
  <c r="C825" i="3" s="1"/>
  <c r="B154" i="3"/>
  <c r="B825" i="3" s="1"/>
  <c r="A154" i="3"/>
  <c r="A825" i="3" s="1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E153" i="3"/>
  <c r="E824" i="3" s="1"/>
  <c r="D153" i="3"/>
  <c r="D824" i="3" s="1"/>
  <c r="C153" i="3"/>
  <c r="C824" i="3" s="1"/>
  <c r="B153" i="3"/>
  <c r="B824" i="3" s="1"/>
  <c r="A153" i="3"/>
  <c r="A824" i="3" s="1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E152" i="3"/>
  <c r="E823" i="3" s="1"/>
  <c r="D152" i="3"/>
  <c r="D823" i="3" s="1"/>
  <c r="C152" i="3"/>
  <c r="C823" i="3" s="1"/>
  <c r="B152" i="3"/>
  <c r="B823" i="3" s="1"/>
  <c r="A152" i="3"/>
  <c r="A823" i="3" s="1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E151" i="3"/>
  <c r="E822" i="3" s="1"/>
  <c r="D151" i="3"/>
  <c r="D822" i="3" s="1"/>
  <c r="C151" i="3"/>
  <c r="C822" i="3" s="1"/>
  <c r="B151" i="3"/>
  <c r="B822" i="3" s="1"/>
  <c r="A151" i="3"/>
  <c r="A822" i="3" s="1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E150" i="3"/>
  <c r="E821" i="3" s="1"/>
  <c r="D150" i="3"/>
  <c r="D821" i="3" s="1"/>
  <c r="C150" i="3"/>
  <c r="C821" i="3" s="1"/>
  <c r="B150" i="3"/>
  <c r="B821" i="3" s="1"/>
  <c r="A150" i="3"/>
  <c r="A821" i="3" s="1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E149" i="3"/>
  <c r="E820" i="3" s="1"/>
  <c r="D149" i="3"/>
  <c r="D820" i="3" s="1"/>
  <c r="C149" i="3"/>
  <c r="C820" i="3" s="1"/>
  <c r="B149" i="3"/>
  <c r="B820" i="3" s="1"/>
  <c r="A149" i="3"/>
  <c r="A820" i="3" s="1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E148" i="3"/>
  <c r="E819" i="3" s="1"/>
  <c r="D148" i="3"/>
  <c r="D819" i="3" s="1"/>
  <c r="C148" i="3"/>
  <c r="C819" i="3" s="1"/>
  <c r="B148" i="3"/>
  <c r="B819" i="3" s="1"/>
  <c r="A148" i="3"/>
  <c r="A819" i="3" s="1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E147" i="3"/>
  <c r="E818" i="3" s="1"/>
  <c r="D147" i="3"/>
  <c r="D818" i="3" s="1"/>
  <c r="C147" i="3"/>
  <c r="C818" i="3" s="1"/>
  <c r="B147" i="3"/>
  <c r="B818" i="3" s="1"/>
  <c r="A147" i="3"/>
  <c r="A818" i="3" s="1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E146" i="3"/>
  <c r="E817" i="3" s="1"/>
  <c r="D146" i="3"/>
  <c r="D817" i="3" s="1"/>
  <c r="C146" i="3"/>
  <c r="C817" i="3" s="1"/>
  <c r="B146" i="3"/>
  <c r="B817" i="3" s="1"/>
  <c r="A146" i="3"/>
  <c r="A817" i="3" s="1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E145" i="3"/>
  <c r="E816" i="3" s="1"/>
  <c r="D145" i="3"/>
  <c r="D816" i="3" s="1"/>
  <c r="C145" i="3"/>
  <c r="C816" i="3" s="1"/>
  <c r="B145" i="3"/>
  <c r="B816" i="3" s="1"/>
  <c r="A145" i="3"/>
  <c r="A816" i="3" s="1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E144" i="3"/>
  <c r="E815" i="3" s="1"/>
  <c r="D144" i="3"/>
  <c r="D815" i="3" s="1"/>
  <c r="C144" i="3"/>
  <c r="C815" i="3" s="1"/>
  <c r="B144" i="3"/>
  <c r="B815" i="3" s="1"/>
  <c r="A144" i="3"/>
  <c r="A815" i="3" s="1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E143" i="3"/>
  <c r="E814" i="3" s="1"/>
  <c r="D143" i="3"/>
  <c r="D814" i="3" s="1"/>
  <c r="C143" i="3"/>
  <c r="C814" i="3" s="1"/>
  <c r="B143" i="3"/>
  <c r="B814" i="3" s="1"/>
  <c r="A143" i="3"/>
  <c r="A814" i="3" s="1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E142" i="3"/>
  <c r="E813" i="3" s="1"/>
  <c r="D142" i="3"/>
  <c r="D813" i="3" s="1"/>
  <c r="C142" i="3"/>
  <c r="C813" i="3" s="1"/>
  <c r="B142" i="3"/>
  <c r="B813" i="3" s="1"/>
  <c r="A142" i="3"/>
  <c r="A813" i="3" s="1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E141" i="3"/>
  <c r="E812" i="3" s="1"/>
  <c r="D141" i="3"/>
  <c r="D812" i="3" s="1"/>
  <c r="C141" i="3"/>
  <c r="C812" i="3" s="1"/>
  <c r="B141" i="3"/>
  <c r="B812" i="3" s="1"/>
  <c r="A141" i="3"/>
  <c r="A812" i="3" s="1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E140" i="3"/>
  <c r="E811" i="3" s="1"/>
  <c r="D140" i="3"/>
  <c r="D811" i="3" s="1"/>
  <c r="C140" i="3"/>
  <c r="C811" i="3" s="1"/>
  <c r="B140" i="3"/>
  <c r="B811" i="3" s="1"/>
  <c r="A140" i="3"/>
  <c r="A811" i="3" s="1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E139" i="3"/>
  <c r="E810" i="3" s="1"/>
  <c r="D139" i="3"/>
  <c r="D810" i="3" s="1"/>
  <c r="C139" i="3"/>
  <c r="C810" i="3" s="1"/>
  <c r="B139" i="3"/>
  <c r="B810" i="3" s="1"/>
  <c r="A139" i="3"/>
  <c r="A810" i="3" s="1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E138" i="3"/>
  <c r="E809" i="3" s="1"/>
  <c r="D138" i="3"/>
  <c r="D809" i="3" s="1"/>
  <c r="C138" i="3"/>
  <c r="C809" i="3" s="1"/>
  <c r="B138" i="3"/>
  <c r="B809" i="3" s="1"/>
  <c r="A138" i="3"/>
  <c r="A809" i="3" s="1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E137" i="3"/>
  <c r="E808" i="3" s="1"/>
  <c r="D137" i="3"/>
  <c r="D808" i="3" s="1"/>
  <c r="C137" i="3"/>
  <c r="C808" i="3" s="1"/>
  <c r="B137" i="3"/>
  <c r="B808" i="3" s="1"/>
  <c r="A137" i="3"/>
  <c r="A808" i="3" s="1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E136" i="3"/>
  <c r="E807" i="3" s="1"/>
  <c r="D136" i="3"/>
  <c r="D807" i="3" s="1"/>
  <c r="C136" i="3"/>
  <c r="C807" i="3" s="1"/>
  <c r="B136" i="3"/>
  <c r="B807" i="3" s="1"/>
  <c r="A136" i="3"/>
  <c r="A807" i="3" s="1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E135" i="3"/>
  <c r="E806" i="3" s="1"/>
  <c r="D135" i="3"/>
  <c r="D806" i="3" s="1"/>
  <c r="C135" i="3"/>
  <c r="C806" i="3" s="1"/>
  <c r="B135" i="3"/>
  <c r="B806" i="3" s="1"/>
  <c r="A135" i="3"/>
  <c r="A806" i="3" s="1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E134" i="3"/>
  <c r="E805" i="3" s="1"/>
  <c r="D134" i="3"/>
  <c r="D805" i="3" s="1"/>
  <c r="C134" i="3"/>
  <c r="C805" i="3" s="1"/>
  <c r="B134" i="3"/>
  <c r="B805" i="3" s="1"/>
  <c r="A134" i="3"/>
  <c r="A805" i="3" s="1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E133" i="3"/>
  <c r="E804" i="3" s="1"/>
  <c r="D133" i="3"/>
  <c r="D804" i="3" s="1"/>
  <c r="C133" i="3"/>
  <c r="C804" i="3" s="1"/>
  <c r="B133" i="3"/>
  <c r="B804" i="3" s="1"/>
  <c r="A133" i="3"/>
  <c r="A804" i="3" s="1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E132" i="3"/>
  <c r="E803" i="3" s="1"/>
  <c r="D132" i="3"/>
  <c r="D803" i="3" s="1"/>
  <c r="C132" i="3"/>
  <c r="C803" i="3" s="1"/>
  <c r="B132" i="3"/>
  <c r="B803" i="3" s="1"/>
  <c r="A132" i="3"/>
  <c r="A803" i="3" s="1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E131" i="3"/>
  <c r="E802" i="3" s="1"/>
  <c r="D131" i="3"/>
  <c r="D802" i="3" s="1"/>
  <c r="C131" i="3"/>
  <c r="C802" i="3" s="1"/>
  <c r="B131" i="3"/>
  <c r="B802" i="3" s="1"/>
  <c r="A131" i="3"/>
  <c r="A802" i="3" s="1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E130" i="3"/>
  <c r="E801" i="3" s="1"/>
  <c r="D130" i="3"/>
  <c r="D801" i="3" s="1"/>
  <c r="C130" i="3"/>
  <c r="C801" i="3" s="1"/>
  <c r="B130" i="3"/>
  <c r="B801" i="3" s="1"/>
  <c r="A130" i="3"/>
  <c r="A801" i="3" s="1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E129" i="3"/>
  <c r="E800" i="3" s="1"/>
  <c r="D129" i="3"/>
  <c r="D800" i="3" s="1"/>
  <c r="C129" i="3"/>
  <c r="C800" i="3" s="1"/>
  <c r="B129" i="3"/>
  <c r="B800" i="3" s="1"/>
  <c r="A129" i="3"/>
  <c r="A800" i="3" s="1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E128" i="3"/>
  <c r="E799" i="3" s="1"/>
  <c r="D128" i="3"/>
  <c r="D799" i="3" s="1"/>
  <c r="C128" i="3"/>
  <c r="C799" i="3" s="1"/>
  <c r="B128" i="3"/>
  <c r="B799" i="3" s="1"/>
  <c r="A128" i="3"/>
  <c r="A799" i="3" s="1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E127" i="3"/>
  <c r="B127" i="3"/>
  <c r="A127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E126" i="3"/>
  <c r="E798" i="3" s="1"/>
  <c r="D126" i="3"/>
  <c r="D798" i="3" s="1"/>
  <c r="C126" i="3"/>
  <c r="C798" i="3" s="1"/>
  <c r="B126" i="3"/>
  <c r="B798" i="3" s="1"/>
  <c r="A126" i="3"/>
  <c r="A798" i="3" s="1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E125" i="3"/>
  <c r="E797" i="3" s="1"/>
  <c r="D125" i="3"/>
  <c r="D797" i="3" s="1"/>
  <c r="C125" i="3"/>
  <c r="C797" i="3" s="1"/>
  <c r="B125" i="3"/>
  <c r="B797" i="3" s="1"/>
  <c r="A125" i="3"/>
  <c r="A797" i="3" s="1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E124" i="3"/>
  <c r="E796" i="3" s="1"/>
  <c r="D124" i="3"/>
  <c r="D796" i="3" s="1"/>
  <c r="C124" i="3"/>
  <c r="C796" i="3" s="1"/>
  <c r="B124" i="3"/>
  <c r="B796" i="3" s="1"/>
  <c r="A124" i="3"/>
  <c r="A796" i="3" s="1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E123" i="3"/>
  <c r="E795" i="3" s="1"/>
  <c r="D123" i="3"/>
  <c r="D795" i="3" s="1"/>
  <c r="C123" i="3"/>
  <c r="C795" i="3" s="1"/>
  <c r="B123" i="3"/>
  <c r="B795" i="3" s="1"/>
  <c r="A123" i="3"/>
  <c r="A795" i="3" s="1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E122" i="3"/>
  <c r="E794" i="3" s="1"/>
  <c r="D122" i="3"/>
  <c r="D794" i="3" s="1"/>
  <c r="C122" i="3"/>
  <c r="C794" i="3" s="1"/>
  <c r="B122" i="3"/>
  <c r="B794" i="3" s="1"/>
  <c r="A122" i="3"/>
  <c r="A794" i="3" s="1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E121" i="3"/>
  <c r="E793" i="3" s="1"/>
  <c r="D121" i="3"/>
  <c r="D793" i="3" s="1"/>
  <c r="C121" i="3"/>
  <c r="C793" i="3" s="1"/>
  <c r="B121" i="3"/>
  <c r="B793" i="3" s="1"/>
  <c r="A121" i="3"/>
  <c r="A793" i="3" s="1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E120" i="3"/>
  <c r="E792" i="3" s="1"/>
  <c r="D120" i="3"/>
  <c r="D792" i="3" s="1"/>
  <c r="C120" i="3"/>
  <c r="C792" i="3" s="1"/>
  <c r="B120" i="3"/>
  <c r="B792" i="3" s="1"/>
  <c r="A120" i="3"/>
  <c r="A792" i="3" s="1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E119" i="3"/>
  <c r="E791" i="3" s="1"/>
  <c r="D119" i="3"/>
  <c r="D791" i="3" s="1"/>
  <c r="C119" i="3"/>
  <c r="C791" i="3" s="1"/>
  <c r="B119" i="3"/>
  <c r="B791" i="3" s="1"/>
  <c r="A119" i="3"/>
  <c r="A791" i="3" s="1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E118" i="3"/>
  <c r="E790" i="3" s="1"/>
  <c r="D118" i="3"/>
  <c r="D790" i="3" s="1"/>
  <c r="C118" i="3"/>
  <c r="C790" i="3" s="1"/>
  <c r="B118" i="3"/>
  <c r="B790" i="3" s="1"/>
  <c r="A118" i="3"/>
  <c r="A790" i="3" s="1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E117" i="3"/>
  <c r="E789" i="3" s="1"/>
  <c r="D117" i="3"/>
  <c r="D789" i="3" s="1"/>
  <c r="C117" i="3"/>
  <c r="C789" i="3" s="1"/>
  <c r="B117" i="3"/>
  <c r="B789" i="3" s="1"/>
  <c r="A117" i="3"/>
  <c r="A789" i="3" s="1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E116" i="3"/>
  <c r="E788" i="3" s="1"/>
  <c r="D116" i="3"/>
  <c r="D788" i="3" s="1"/>
  <c r="C116" i="3"/>
  <c r="C788" i="3" s="1"/>
  <c r="B116" i="3"/>
  <c r="B788" i="3" s="1"/>
  <c r="A116" i="3"/>
  <c r="A788" i="3" s="1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E115" i="3"/>
  <c r="E787" i="3" s="1"/>
  <c r="D115" i="3"/>
  <c r="D787" i="3" s="1"/>
  <c r="C115" i="3"/>
  <c r="C787" i="3" s="1"/>
  <c r="B115" i="3"/>
  <c r="B787" i="3" s="1"/>
  <c r="A115" i="3"/>
  <c r="A787" i="3" s="1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E114" i="3"/>
  <c r="E786" i="3" s="1"/>
  <c r="D114" i="3"/>
  <c r="D786" i="3" s="1"/>
  <c r="C114" i="3"/>
  <c r="C786" i="3" s="1"/>
  <c r="B114" i="3"/>
  <c r="B786" i="3" s="1"/>
  <c r="A114" i="3"/>
  <c r="A786" i="3" s="1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E113" i="3"/>
  <c r="E785" i="3" s="1"/>
  <c r="D113" i="3"/>
  <c r="D785" i="3" s="1"/>
  <c r="C113" i="3"/>
  <c r="C785" i="3" s="1"/>
  <c r="B113" i="3"/>
  <c r="B785" i="3" s="1"/>
  <c r="A113" i="3"/>
  <c r="A785" i="3" s="1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E112" i="3"/>
  <c r="E784" i="3" s="1"/>
  <c r="D112" i="3"/>
  <c r="D784" i="3" s="1"/>
  <c r="C112" i="3"/>
  <c r="C784" i="3" s="1"/>
  <c r="B112" i="3"/>
  <c r="B784" i="3" s="1"/>
  <c r="A112" i="3"/>
  <c r="A784" i="3" s="1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E111" i="3"/>
  <c r="E783" i="3" s="1"/>
  <c r="D111" i="3"/>
  <c r="D783" i="3" s="1"/>
  <c r="C111" i="3"/>
  <c r="C783" i="3" s="1"/>
  <c r="B111" i="3"/>
  <c r="B783" i="3" s="1"/>
  <c r="A111" i="3"/>
  <c r="A783" i="3" s="1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E110" i="3"/>
  <c r="E782" i="3" s="1"/>
  <c r="D110" i="3"/>
  <c r="D782" i="3" s="1"/>
  <c r="C110" i="3"/>
  <c r="C782" i="3" s="1"/>
  <c r="B110" i="3"/>
  <c r="B782" i="3" s="1"/>
  <c r="A110" i="3"/>
  <c r="A782" i="3" s="1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E109" i="3"/>
  <c r="E781" i="3" s="1"/>
  <c r="D109" i="3"/>
  <c r="D781" i="3" s="1"/>
  <c r="C109" i="3"/>
  <c r="C781" i="3" s="1"/>
  <c r="B109" i="3"/>
  <c r="B781" i="3" s="1"/>
  <c r="A109" i="3"/>
  <c r="A781" i="3" s="1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E108" i="3"/>
  <c r="E780" i="3" s="1"/>
  <c r="D108" i="3"/>
  <c r="D780" i="3" s="1"/>
  <c r="C108" i="3"/>
  <c r="C780" i="3" s="1"/>
  <c r="B108" i="3"/>
  <c r="B780" i="3" s="1"/>
  <c r="A108" i="3"/>
  <c r="A780" i="3" s="1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E107" i="3"/>
  <c r="E779" i="3" s="1"/>
  <c r="D107" i="3"/>
  <c r="D779" i="3" s="1"/>
  <c r="C107" i="3"/>
  <c r="C779" i="3" s="1"/>
  <c r="B107" i="3"/>
  <c r="B779" i="3" s="1"/>
  <c r="A107" i="3"/>
  <c r="A779" i="3" s="1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E106" i="3"/>
  <c r="E778" i="3" s="1"/>
  <c r="D106" i="3"/>
  <c r="D778" i="3" s="1"/>
  <c r="C106" i="3"/>
  <c r="C778" i="3" s="1"/>
  <c r="B106" i="3"/>
  <c r="B778" i="3" s="1"/>
  <c r="A106" i="3"/>
  <c r="A778" i="3" s="1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E105" i="3"/>
  <c r="E777" i="3" s="1"/>
  <c r="D105" i="3"/>
  <c r="D777" i="3" s="1"/>
  <c r="C105" i="3"/>
  <c r="C777" i="3" s="1"/>
  <c r="B105" i="3"/>
  <c r="B777" i="3" s="1"/>
  <c r="A105" i="3"/>
  <c r="A777" i="3" s="1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E104" i="3"/>
  <c r="E776" i="3" s="1"/>
  <c r="D104" i="3"/>
  <c r="D776" i="3" s="1"/>
  <c r="C104" i="3"/>
  <c r="C776" i="3" s="1"/>
  <c r="B104" i="3"/>
  <c r="B776" i="3" s="1"/>
  <c r="A104" i="3"/>
  <c r="A776" i="3" s="1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E103" i="3"/>
  <c r="E775" i="3" s="1"/>
  <c r="D103" i="3"/>
  <c r="D775" i="3" s="1"/>
  <c r="C103" i="3"/>
  <c r="C775" i="3" s="1"/>
  <c r="B103" i="3"/>
  <c r="B775" i="3" s="1"/>
  <c r="A103" i="3"/>
  <c r="A775" i="3" s="1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E102" i="3"/>
  <c r="E774" i="3" s="1"/>
  <c r="D102" i="3"/>
  <c r="D774" i="3" s="1"/>
  <c r="C102" i="3"/>
  <c r="C774" i="3" s="1"/>
  <c r="B102" i="3"/>
  <c r="B774" i="3" s="1"/>
  <c r="A102" i="3"/>
  <c r="A774" i="3" s="1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E101" i="3"/>
  <c r="E773" i="3" s="1"/>
  <c r="D101" i="3"/>
  <c r="D773" i="3" s="1"/>
  <c r="C101" i="3"/>
  <c r="C773" i="3" s="1"/>
  <c r="B101" i="3"/>
  <c r="B773" i="3" s="1"/>
  <c r="A101" i="3"/>
  <c r="A773" i="3" s="1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E100" i="3"/>
  <c r="E772" i="3" s="1"/>
  <c r="D100" i="3"/>
  <c r="D772" i="3" s="1"/>
  <c r="C100" i="3"/>
  <c r="C772" i="3" s="1"/>
  <c r="B100" i="3"/>
  <c r="B772" i="3" s="1"/>
  <c r="A100" i="3"/>
  <c r="A772" i="3" s="1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E99" i="3"/>
  <c r="E771" i="3" s="1"/>
  <c r="D99" i="3"/>
  <c r="D771" i="3" s="1"/>
  <c r="C99" i="3"/>
  <c r="C771" i="3" s="1"/>
  <c r="B99" i="3"/>
  <c r="B771" i="3" s="1"/>
  <c r="A99" i="3"/>
  <c r="A771" i="3" s="1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E98" i="3"/>
  <c r="E770" i="3" s="1"/>
  <c r="D98" i="3"/>
  <c r="D770" i="3" s="1"/>
  <c r="C98" i="3"/>
  <c r="C770" i="3" s="1"/>
  <c r="B98" i="3"/>
  <c r="B770" i="3" s="1"/>
  <c r="A98" i="3"/>
  <c r="A770" i="3" s="1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E97" i="3"/>
  <c r="E769" i="3" s="1"/>
  <c r="D97" i="3"/>
  <c r="D769" i="3" s="1"/>
  <c r="C97" i="3"/>
  <c r="C769" i="3" s="1"/>
  <c r="B97" i="3"/>
  <c r="B769" i="3" s="1"/>
  <c r="A97" i="3"/>
  <c r="A769" i="3" s="1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E96" i="3"/>
  <c r="E768" i="3" s="1"/>
  <c r="D96" i="3"/>
  <c r="D768" i="3" s="1"/>
  <c r="C96" i="3"/>
  <c r="C768" i="3" s="1"/>
  <c r="B96" i="3"/>
  <c r="B768" i="3" s="1"/>
  <c r="A96" i="3"/>
  <c r="A768" i="3" s="1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E95" i="3"/>
  <c r="E767" i="3" s="1"/>
  <c r="D95" i="3"/>
  <c r="D767" i="3" s="1"/>
  <c r="C95" i="3"/>
  <c r="C767" i="3" s="1"/>
  <c r="B95" i="3"/>
  <c r="B767" i="3" s="1"/>
  <c r="A95" i="3"/>
  <c r="A767" i="3" s="1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E94" i="3"/>
  <c r="E766" i="3" s="1"/>
  <c r="D94" i="3"/>
  <c r="D766" i="3" s="1"/>
  <c r="C94" i="3"/>
  <c r="C766" i="3" s="1"/>
  <c r="B94" i="3"/>
  <c r="B766" i="3" s="1"/>
  <c r="A94" i="3"/>
  <c r="A766" i="3" s="1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E93" i="3"/>
  <c r="E765" i="3" s="1"/>
  <c r="D93" i="3"/>
  <c r="D765" i="3" s="1"/>
  <c r="C93" i="3"/>
  <c r="C765" i="3" s="1"/>
  <c r="B93" i="3"/>
  <c r="B765" i="3" s="1"/>
  <c r="A93" i="3"/>
  <c r="A765" i="3" s="1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E92" i="3"/>
  <c r="E764" i="3" s="1"/>
  <c r="D92" i="3"/>
  <c r="D764" i="3" s="1"/>
  <c r="C92" i="3"/>
  <c r="C764" i="3" s="1"/>
  <c r="B92" i="3"/>
  <c r="B764" i="3" s="1"/>
  <c r="A92" i="3"/>
  <c r="A764" i="3" s="1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E91" i="3"/>
  <c r="E763" i="3" s="1"/>
  <c r="D91" i="3"/>
  <c r="D763" i="3" s="1"/>
  <c r="C91" i="3"/>
  <c r="C763" i="3" s="1"/>
  <c r="B91" i="3"/>
  <c r="B763" i="3" s="1"/>
  <c r="A91" i="3"/>
  <c r="A763" i="3" s="1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E90" i="3"/>
  <c r="E762" i="3" s="1"/>
  <c r="D90" i="3"/>
  <c r="D762" i="3" s="1"/>
  <c r="C90" i="3"/>
  <c r="C762" i="3" s="1"/>
  <c r="B90" i="3"/>
  <c r="B762" i="3" s="1"/>
  <c r="A90" i="3"/>
  <c r="A762" i="3" s="1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E89" i="3"/>
  <c r="E761" i="3" s="1"/>
  <c r="D89" i="3"/>
  <c r="D761" i="3" s="1"/>
  <c r="C89" i="3"/>
  <c r="C761" i="3" s="1"/>
  <c r="B89" i="3"/>
  <c r="B761" i="3" s="1"/>
  <c r="A89" i="3"/>
  <c r="A761" i="3" s="1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E88" i="3"/>
  <c r="E760" i="3" s="1"/>
  <c r="D88" i="3"/>
  <c r="D760" i="3" s="1"/>
  <c r="C88" i="3"/>
  <c r="C760" i="3" s="1"/>
  <c r="B88" i="3"/>
  <c r="B760" i="3" s="1"/>
  <c r="A88" i="3"/>
  <c r="A760" i="3" s="1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E87" i="3"/>
  <c r="E759" i="3" s="1"/>
  <c r="D87" i="3"/>
  <c r="D759" i="3" s="1"/>
  <c r="C87" i="3"/>
  <c r="C759" i="3" s="1"/>
  <c r="B87" i="3"/>
  <c r="B759" i="3" s="1"/>
  <c r="A87" i="3"/>
  <c r="A759" i="3" s="1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E86" i="3"/>
  <c r="B86" i="3"/>
  <c r="A86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E85" i="3"/>
  <c r="E758" i="3" s="1"/>
  <c r="D85" i="3"/>
  <c r="D758" i="3" s="1"/>
  <c r="C85" i="3"/>
  <c r="C758" i="3" s="1"/>
  <c r="B85" i="3"/>
  <c r="B758" i="3" s="1"/>
  <c r="A85" i="3"/>
  <c r="A758" i="3" s="1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E84" i="3"/>
  <c r="E757" i="3" s="1"/>
  <c r="D84" i="3"/>
  <c r="D757" i="3" s="1"/>
  <c r="C84" i="3"/>
  <c r="C757" i="3" s="1"/>
  <c r="B84" i="3"/>
  <c r="B757" i="3" s="1"/>
  <c r="A84" i="3"/>
  <c r="A757" i="3" s="1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E83" i="3"/>
  <c r="E756" i="3" s="1"/>
  <c r="D83" i="3"/>
  <c r="D756" i="3" s="1"/>
  <c r="C83" i="3"/>
  <c r="C756" i="3" s="1"/>
  <c r="B83" i="3"/>
  <c r="B756" i="3" s="1"/>
  <c r="A83" i="3"/>
  <c r="A756" i="3" s="1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E82" i="3"/>
  <c r="E755" i="3" s="1"/>
  <c r="D82" i="3"/>
  <c r="D755" i="3" s="1"/>
  <c r="C82" i="3"/>
  <c r="C755" i="3" s="1"/>
  <c r="B82" i="3"/>
  <c r="B755" i="3" s="1"/>
  <c r="A82" i="3"/>
  <c r="A755" i="3" s="1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E81" i="3"/>
  <c r="E754" i="3" s="1"/>
  <c r="D81" i="3"/>
  <c r="D754" i="3" s="1"/>
  <c r="C81" i="3"/>
  <c r="C754" i="3" s="1"/>
  <c r="B81" i="3"/>
  <c r="B754" i="3" s="1"/>
  <c r="A81" i="3"/>
  <c r="A754" i="3" s="1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E80" i="3"/>
  <c r="E753" i="3" s="1"/>
  <c r="D80" i="3"/>
  <c r="D753" i="3" s="1"/>
  <c r="C80" i="3"/>
  <c r="C753" i="3" s="1"/>
  <c r="B80" i="3"/>
  <c r="B753" i="3" s="1"/>
  <c r="A80" i="3"/>
  <c r="A753" i="3" s="1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E79" i="3"/>
  <c r="E752" i="3" s="1"/>
  <c r="D79" i="3"/>
  <c r="D752" i="3" s="1"/>
  <c r="C79" i="3"/>
  <c r="C752" i="3" s="1"/>
  <c r="B79" i="3"/>
  <c r="B752" i="3" s="1"/>
  <c r="A79" i="3"/>
  <c r="A752" i="3" s="1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E78" i="3"/>
  <c r="E751" i="3" s="1"/>
  <c r="D78" i="3"/>
  <c r="D751" i="3" s="1"/>
  <c r="C78" i="3"/>
  <c r="C751" i="3" s="1"/>
  <c r="B78" i="3"/>
  <c r="B751" i="3" s="1"/>
  <c r="A78" i="3"/>
  <c r="A751" i="3" s="1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E77" i="3"/>
  <c r="E750" i="3" s="1"/>
  <c r="D77" i="3"/>
  <c r="D750" i="3" s="1"/>
  <c r="C77" i="3"/>
  <c r="C750" i="3" s="1"/>
  <c r="B77" i="3"/>
  <c r="B750" i="3" s="1"/>
  <c r="A77" i="3"/>
  <c r="A750" i="3" s="1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E76" i="3"/>
  <c r="E749" i="3" s="1"/>
  <c r="D76" i="3"/>
  <c r="D749" i="3" s="1"/>
  <c r="C76" i="3"/>
  <c r="C749" i="3" s="1"/>
  <c r="B76" i="3"/>
  <c r="B749" i="3" s="1"/>
  <c r="A76" i="3"/>
  <c r="A749" i="3" s="1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E75" i="3"/>
  <c r="E748" i="3" s="1"/>
  <c r="D75" i="3"/>
  <c r="D748" i="3" s="1"/>
  <c r="C75" i="3"/>
  <c r="C748" i="3" s="1"/>
  <c r="B75" i="3"/>
  <c r="B748" i="3" s="1"/>
  <c r="A75" i="3"/>
  <c r="A748" i="3" s="1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E74" i="3"/>
  <c r="E747" i="3" s="1"/>
  <c r="D74" i="3"/>
  <c r="D747" i="3" s="1"/>
  <c r="C74" i="3"/>
  <c r="C747" i="3" s="1"/>
  <c r="B74" i="3"/>
  <c r="B747" i="3" s="1"/>
  <c r="A74" i="3"/>
  <c r="A747" i="3" s="1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E73" i="3"/>
  <c r="E746" i="3" s="1"/>
  <c r="D73" i="3"/>
  <c r="D746" i="3" s="1"/>
  <c r="C73" i="3"/>
  <c r="C746" i="3" s="1"/>
  <c r="B73" i="3"/>
  <c r="B746" i="3" s="1"/>
  <c r="A73" i="3"/>
  <c r="A746" i="3" s="1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E72" i="3"/>
  <c r="E745" i="3" s="1"/>
  <c r="D72" i="3"/>
  <c r="D745" i="3" s="1"/>
  <c r="C72" i="3"/>
  <c r="C745" i="3" s="1"/>
  <c r="B72" i="3"/>
  <c r="B745" i="3" s="1"/>
  <c r="A72" i="3"/>
  <c r="A745" i="3" s="1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E71" i="3"/>
  <c r="E744" i="3" s="1"/>
  <c r="D71" i="3"/>
  <c r="D744" i="3" s="1"/>
  <c r="C71" i="3"/>
  <c r="C744" i="3" s="1"/>
  <c r="B71" i="3"/>
  <c r="B744" i="3" s="1"/>
  <c r="A71" i="3"/>
  <c r="A744" i="3" s="1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E70" i="3"/>
  <c r="E743" i="3" s="1"/>
  <c r="D70" i="3"/>
  <c r="D743" i="3" s="1"/>
  <c r="C70" i="3"/>
  <c r="C743" i="3" s="1"/>
  <c r="B70" i="3"/>
  <c r="B743" i="3" s="1"/>
  <c r="A70" i="3"/>
  <c r="A743" i="3" s="1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E69" i="3"/>
  <c r="E742" i="3" s="1"/>
  <c r="D69" i="3"/>
  <c r="D742" i="3" s="1"/>
  <c r="C69" i="3"/>
  <c r="C742" i="3" s="1"/>
  <c r="B69" i="3"/>
  <c r="B742" i="3" s="1"/>
  <c r="A69" i="3"/>
  <c r="A742" i="3" s="1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E68" i="3"/>
  <c r="E741" i="3" s="1"/>
  <c r="D68" i="3"/>
  <c r="D741" i="3" s="1"/>
  <c r="C68" i="3"/>
  <c r="C741" i="3" s="1"/>
  <c r="B68" i="3"/>
  <c r="B741" i="3" s="1"/>
  <c r="A68" i="3"/>
  <c r="A741" i="3" s="1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E67" i="3"/>
  <c r="E740" i="3" s="1"/>
  <c r="D67" i="3"/>
  <c r="D740" i="3" s="1"/>
  <c r="C67" i="3"/>
  <c r="C740" i="3" s="1"/>
  <c r="B67" i="3"/>
  <c r="B740" i="3" s="1"/>
  <c r="A67" i="3"/>
  <c r="A740" i="3" s="1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E66" i="3"/>
  <c r="E739" i="3" s="1"/>
  <c r="D66" i="3"/>
  <c r="D739" i="3" s="1"/>
  <c r="C66" i="3"/>
  <c r="C739" i="3" s="1"/>
  <c r="B66" i="3"/>
  <c r="B739" i="3" s="1"/>
  <c r="A66" i="3"/>
  <c r="A739" i="3" s="1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E65" i="3"/>
  <c r="E738" i="3" s="1"/>
  <c r="D65" i="3"/>
  <c r="D738" i="3" s="1"/>
  <c r="C65" i="3"/>
  <c r="C738" i="3" s="1"/>
  <c r="B65" i="3"/>
  <c r="B738" i="3" s="1"/>
  <c r="A65" i="3"/>
  <c r="A738" i="3" s="1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E64" i="3"/>
  <c r="E737" i="3" s="1"/>
  <c r="D64" i="3"/>
  <c r="D737" i="3" s="1"/>
  <c r="C64" i="3"/>
  <c r="C737" i="3" s="1"/>
  <c r="B64" i="3"/>
  <c r="B737" i="3" s="1"/>
  <c r="A64" i="3"/>
  <c r="A737" i="3" s="1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E63" i="3"/>
  <c r="E736" i="3" s="1"/>
  <c r="D63" i="3"/>
  <c r="D736" i="3" s="1"/>
  <c r="C63" i="3"/>
  <c r="C736" i="3" s="1"/>
  <c r="B63" i="3"/>
  <c r="B736" i="3" s="1"/>
  <c r="A63" i="3"/>
  <c r="A736" i="3" s="1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E62" i="3"/>
  <c r="E735" i="3" s="1"/>
  <c r="D62" i="3"/>
  <c r="D735" i="3" s="1"/>
  <c r="C62" i="3"/>
  <c r="C735" i="3" s="1"/>
  <c r="B62" i="3"/>
  <c r="B735" i="3" s="1"/>
  <c r="A62" i="3"/>
  <c r="A735" i="3" s="1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E61" i="3"/>
  <c r="E734" i="3" s="1"/>
  <c r="D61" i="3"/>
  <c r="D734" i="3" s="1"/>
  <c r="C61" i="3"/>
  <c r="C734" i="3" s="1"/>
  <c r="B61" i="3"/>
  <c r="B734" i="3" s="1"/>
  <c r="A61" i="3"/>
  <c r="A734" i="3" s="1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E60" i="3"/>
  <c r="E733" i="3" s="1"/>
  <c r="D60" i="3"/>
  <c r="D733" i="3" s="1"/>
  <c r="C60" i="3"/>
  <c r="C733" i="3" s="1"/>
  <c r="B60" i="3"/>
  <c r="B733" i="3" s="1"/>
  <c r="A60" i="3"/>
  <c r="A733" i="3" s="1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E59" i="3"/>
  <c r="E732" i="3" s="1"/>
  <c r="D59" i="3"/>
  <c r="D732" i="3" s="1"/>
  <c r="C59" i="3"/>
  <c r="C732" i="3" s="1"/>
  <c r="B59" i="3"/>
  <c r="B732" i="3" s="1"/>
  <c r="A59" i="3"/>
  <c r="A732" i="3" s="1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E58" i="3"/>
  <c r="E731" i="3" s="1"/>
  <c r="D58" i="3"/>
  <c r="D731" i="3" s="1"/>
  <c r="C58" i="3"/>
  <c r="C731" i="3" s="1"/>
  <c r="B58" i="3"/>
  <c r="B731" i="3" s="1"/>
  <c r="A58" i="3"/>
  <c r="A731" i="3" s="1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E57" i="3"/>
  <c r="E730" i="3" s="1"/>
  <c r="D57" i="3"/>
  <c r="D730" i="3" s="1"/>
  <c r="C57" i="3"/>
  <c r="C730" i="3" s="1"/>
  <c r="B57" i="3"/>
  <c r="B730" i="3" s="1"/>
  <c r="A57" i="3"/>
  <c r="A730" i="3" s="1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E56" i="3"/>
  <c r="E729" i="3" s="1"/>
  <c r="D56" i="3"/>
  <c r="D729" i="3" s="1"/>
  <c r="C56" i="3"/>
  <c r="C729" i="3" s="1"/>
  <c r="B56" i="3"/>
  <c r="B729" i="3" s="1"/>
  <c r="A56" i="3"/>
  <c r="A729" i="3" s="1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E55" i="3"/>
  <c r="E728" i="3" s="1"/>
  <c r="D55" i="3"/>
  <c r="D728" i="3" s="1"/>
  <c r="C55" i="3"/>
  <c r="C728" i="3" s="1"/>
  <c r="B55" i="3"/>
  <c r="B728" i="3" s="1"/>
  <c r="A55" i="3"/>
  <c r="A728" i="3" s="1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E54" i="3"/>
  <c r="E727" i="3" s="1"/>
  <c r="D54" i="3"/>
  <c r="D727" i="3" s="1"/>
  <c r="C54" i="3"/>
  <c r="C727" i="3" s="1"/>
  <c r="B54" i="3"/>
  <c r="B727" i="3" s="1"/>
  <c r="A54" i="3"/>
  <c r="A727" i="3" s="1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E53" i="3"/>
  <c r="E726" i="3" s="1"/>
  <c r="D53" i="3"/>
  <c r="D726" i="3" s="1"/>
  <c r="C53" i="3"/>
  <c r="C726" i="3" s="1"/>
  <c r="B53" i="3"/>
  <c r="B726" i="3" s="1"/>
  <c r="A53" i="3"/>
  <c r="A726" i="3" s="1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E52" i="3"/>
  <c r="E725" i="3" s="1"/>
  <c r="D52" i="3"/>
  <c r="D725" i="3" s="1"/>
  <c r="C52" i="3"/>
  <c r="C725" i="3" s="1"/>
  <c r="B52" i="3"/>
  <c r="B725" i="3" s="1"/>
  <c r="A52" i="3"/>
  <c r="A725" i="3" s="1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E51" i="3"/>
  <c r="E724" i="3" s="1"/>
  <c r="D51" i="3"/>
  <c r="D724" i="3" s="1"/>
  <c r="C51" i="3"/>
  <c r="C724" i="3" s="1"/>
  <c r="B51" i="3"/>
  <c r="B724" i="3" s="1"/>
  <c r="A51" i="3"/>
  <c r="A724" i="3" s="1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E50" i="3"/>
  <c r="E723" i="3" s="1"/>
  <c r="D50" i="3"/>
  <c r="D723" i="3" s="1"/>
  <c r="C50" i="3"/>
  <c r="C723" i="3" s="1"/>
  <c r="B50" i="3"/>
  <c r="B723" i="3" s="1"/>
  <c r="A50" i="3"/>
  <c r="A723" i="3" s="1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E49" i="3"/>
  <c r="E722" i="3" s="1"/>
  <c r="D49" i="3"/>
  <c r="D722" i="3" s="1"/>
  <c r="C49" i="3"/>
  <c r="C722" i="3" s="1"/>
  <c r="B49" i="3"/>
  <c r="B722" i="3" s="1"/>
  <c r="A49" i="3"/>
  <c r="A722" i="3" s="1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E48" i="3"/>
  <c r="E721" i="3" s="1"/>
  <c r="D48" i="3"/>
  <c r="D721" i="3" s="1"/>
  <c r="C48" i="3"/>
  <c r="C721" i="3" s="1"/>
  <c r="B48" i="3"/>
  <c r="B721" i="3" s="1"/>
  <c r="A48" i="3"/>
  <c r="A721" i="3" s="1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E47" i="3"/>
  <c r="E720" i="3" s="1"/>
  <c r="D47" i="3"/>
  <c r="D720" i="3" s="1"/>
  <c r="C47" i="3"/>
  <c r="C720" i="3" s="1"/>
  <c r="B47" i="3"/>
  <c r="B720" i="3" s="1"/>
  <c r="A47" i="3"/>
  <c r="A720" i="3" s="1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E46" i="3"/>
  <c r="E719" i="3" s="1"/>
  <c r="D46" i="3"/>
  <c r="D719" i="3" s="1"/>
  <c r="C46" i="3"/>
  <c r="C719" i="3" s="1"/>
  <c r="B46" i="3"/>
  <c r="B719" i="3" s="1"/>
  <c r="A46" i="3"/>
  <c r="A719" i="3" s="1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E45" i="3"/>
  <c r="B45" i="3"/>
  <c r="A45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E44" i="3"/>
  <c r="E718" i="3" s="1"/>
  <c r="D44" i="3"/>
  <c r="D718" i="3" s="1"/>
  <c r="C44" i="3"/>
  <c r="C718" i="3" s="1"/>
  <c r="B44" i="3"/>
  <c r="B718" i="3" s="1"/>
  <c r="A44" i="3"/>
  <c r="A718" i="3" s="1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E43" i="3"/>
  <c r="E717" i="3" s="1"/>
  <c r="D43" i="3"/>
  <c r="D717" i="3" s="1"/>
  <c r="C43" i="3"/>
  <c r="C717" i="3" s="1"/>
  <c r="B43" i="3"/>
  <c r="B717" i="3" s="1"/>
  <c r="A43" i="3"/>
  <c r="A717" i="3" s="1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E42" i="3"/>
  <c r="E716" i="3" s="1"/>
  <c r="D42" i="3"/>
  <c r="D716" i="3" s="1"/>
  <c r="C42" i="3"/>
  <c r="C716" i="3" s="1"/>
  <c r="B42" i="3"/>
  <c r="B716" i="3" s="1"/>
  <c r="A42" i="3"/>
  <c r="A716" i="3" s="1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E41" i="3"/>
  <c r="E715" i="3" s="1"/>
  <c r="D41" i="3"/>
  <c r="D715" i="3" s="1"/>
  <c r="C41" i="3"/>
  <c r="C715" i="3" s="1"/>
  <c r="B41" i="3"/>
  <c r="B715" i="3" s="1"/>
  <c r="A41" i="3"/>
  <c r="A715" i="3" s="1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E40" i="3"/>
  <c r="E714" i="3" s="1"/>
  <c r="D40" i="3"/>
  <c r="D714" i="3" s="1"/>
  <c r="C40" i="3"/>
  <c r="C714" i="3" s="1"/>
  <c r="B40" i="3"/>
  <c r="B714" i="3" s="1"/>
  <c r="A40" i="3"/>
  <c r="A714" i="3" s="1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E39" i="3"/>
  <c r="E713" i="3" s="1"/>
  <c r="D39" i="3"/>
  <c r="D713" i="3" s="1"/>
  <c r="C39" i="3"/>
  <c r="C713" i="3" s="1"/>
  <c r="B39" i="3"/>
  <c r="B713" i="3" s="1"/>
  <c r="A39" i="3"/>
  <c r="A713" i="3" s="1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E38" i="3"/>
  <c r="E712" i="3" s="1"/>
  <c r="D38" i="3"/>
  <c r="D712" i="3" s="1"/>
  <c r="C38" i="3"/>
  <c r="C712" i="3" s="1"/>
  <c r="B38" i="3"/>
  <c r="B712" i="3" s="1"/>
  <c r="A38" i="3"/>
  <c r="A712" i="3" s="1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E37" i="3"/>
  <c r="E711" i="3" s="1"/>
  <c r="D37" i="3"/>
  <c r="D711" i="3" s="1"/>
  <c r="C37" i="3"/>
  <c r="C711" i="3" s="1"/>
  <c r="B37" i="3"/>
  <c r="B711" i="3" s="1"/>
  <c r="A37" i="3"/>
  <c r="A711" i="3" s="1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E36" i="3"/>
  <c r="E710" i="3" s="1"/>
  <c r="D36" i="3"/>
  <c r="D710" i="3" s="1"/>
  <c r="C36" i="3"/>
  <c r="C710" i="3" s="1"/>
  <c r="B36" i="3"/>
  <c r="B710" i="3" s="1"/>
  <c r="A36" i="3"/>
  <c r="A710" i="3" s="1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E35" i="3"/>
  <c r="E709" i="3" s="1"/>
  <c r="D35" i="3"/>
  <c r="D709" i="3" s="1"/>
  <c r="C35" i="3"/>
  <c r="C709" i="3" s="1"/>
  <c r="B35" i="3"/>
  <c r="B709" i="3" s="1"/>
  <c r="A35" i="3"/>
  <c r="A709" i="3" s="1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E34" i="3"/>
  <c r="E708" i="3" s="1"/>
  <c r="D34" i="3"/>
  <c r="D708" i="3" s="1"/>
  <c r="C34" i="3"/>
  <c r="C708" i="3" s="1"/>
  <c r="B34" i="3"/>
  <c r="B708" i="3" s="1"/>
  <c r="A34" i="3"/>
  <c r="A708" i="3" s="1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E33" i="3"/>
  <c r="E707" i="3" s="1"/>
  <c r="D33" i="3"/>
  <c r="D707" i="3" s="1"/>
  <c r="C33" i="3"/>
  <c r="C707" i="3" s="1"/>
  <c r="B33" i="3"/>
  <c r="B707" i="3" s="1"/>
  <c r="A33" i="3"/>
  <c r="A707" i="3" s="1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E32" i="3"/>
  <c r="E706" i="3" s="1"/>
  <c r="D32" i="3"/>
  <c r="D706" i="3" s="1"/>
  <c r="C32" i="3"/>
  <c r="C706" i="3" s="1"/>
  <c r="B32" i="3"/>
  <c r="B706" i="3" s="1"/>
  <c r="A32" i="3"/>
  <c r="A706" i="3" s="1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E31" i="3"/>
  <c r="E705" i="3" s="1"/>
  <c r="D31" i="3"/>
  <c r="D705" i="3" s="1"/>
  <c r="C31" i="3"/>
  <c r="C705" i="3" s="1"/>
  <c r="B31" i="3"/>
  <c r="B705" i="3" s="1"/>
  <c r="A31" i="3"/>
  <c r="A705" i="3" s="1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E30" i="3"/>
  <c r="E704" i="3" s="1"/>
  <c r="D30" i="3"/>
  <c r="D704" i="3" s="1"/>
  <c r="C30" i="3"/>
  <c r="C704" i="3" s="1"/>
  <c r="B30" i="3"/>
  <c r="B704" i="3" s="1"/>
  <c r="A30" i="3"/>
  <c r="A704" i="3" s="1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E29" i="3"/>
  <c r="E703" i="3" s="1"/>
  <c r="D29" i="3"/>
  <c r="D703" i="3" s="1"/>
  <c r="C29" i="3"/>
  <c r="C703" i="3" s="1"/>
  <c r="B29" i="3"/>
  <c r="B703" i="3" s="1"/>
  <c r="A29" i="3"/>
  <c r="A703" i="3" s="1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E28" i="3"/>
  <c r="E702" i="3" s="1"/>
  <c r="D28" i="3"/>
  <c r="D702" i="3" s="1"/>
  <c r="C28" i="3"/>
  <c r="C702" i="3" s="1"/>
  <c r="B28" i="3"/>
  <c r="B702" i="3" s="1"/>
  <c r="A28" i="3"/>
  <c r="A702" i="3" s="1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E27" i="3"/>
  <c r="E701" i="3" s="1"/>
  <c r="D27" i="3"/>
  <c r="D701" i="3" s="1"/>
  <c r="C27" i="3"/>
  <c r="C701" i="3" s="1"/>
  <c r="B27" i="3"/>
  <c r="B701" i="3" s="1"/>
  <c r="A27" i="3"/>
  <c r="A701" i="3" s="1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E26" i="3"/>
  <c r="E700" i="3" s="1"/>
  <c r="D26" i="3"/>
  <c r="D700" i="3" s="1"/>
  <c r="C26" i="3"/>
  <c r="C700" i="3" s="1"/>
  <c r="B26" i="3"/>
  <c r="B700" i="3" s="1"/>
  <c r="A26" i="3"/>
  <c r="A700" i="3" s="1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E25" i="3"/>
  <c r="E699" i="3" s="1"/>
  <c r="D25" i="3"/>
  <c r="D699" i="3" s="1"/>
  <c r="C25" i="3"/>
  <c r="C699" i="3" s="1"/>
  <c r="B25" i="3"/>
  <c r="B699" i="3" s="1"/>
  <c r="A25" i="3"/>
  <c r="A699" i="3" s="1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E24" i="3"/>
  <c r="E698" i="3" s="1"/>
  <c r="D24" i="3"/>
  <c r="D698" i="3" s="1"/>
  <c r="C24" i="3"/>
  <c r="C698" i="3" s="1"/>
  <c r="B24" i="3"/>
  <c r="B698" i="3" s="1"/>
  <c r="A24" i="3"/>
  <c r="A698" i="3" s="1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E23" i="3"/>
  <c r="E697" i="3" s="1"/>
  <c r="D23" i="3"/>
  <c r="D697" i="3" s="1"/>
  <c r="C23" i="3"/>
  <c r="C697" i="3" s="1"/>
  <c r="B23" i="3"/>
  <c r="B697" i="3" s="1"/>
  <c r="A23" i="3"/>
  <c r="A697" i="3" s="1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E22" i="3"/>
  <c r="E696" i="3" s="1"/>
  <c r="D22" i="3"/>
  <c r="D696" i="3" s="1"/>
  <c r="C22" i="3"/>
  <c r="C696" i="3" s="1"/>
  <c r="B22" i="3"/>
  <c r="B696" i="3" s="1"/>
  <c r="A22" i="3"/>
  <c r="A696" i="3" s="1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E21" i="3"/>
  <c r="E695" i="3" s="1"/>
  <c r="D21" i="3"/>
  <c r="D695" i="3" s="1"/>
  <c r="C21" i="3"/>
  <c r="C695" i="3" s="1"/>
  <c r="B21" i="3"/>
  <c r="B695" i="3" s="1"/>
  <c r="A21" i="3"/>
  <c r="A695" i="3" s="1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E20" i="3"/>
  <c r="E694" i="3" s="1"/>
  <c r="D20" i="3"/>
  <c r="D694" i="3" s="1"/>
  <c r="C20" i="3"/>
  <c r="C694" i="3" s="1"/>
  <c r="B20" i="3"/>
  <c r="B694" i="3" s="1"/>
  <c r="A20" i="3"/>
  <c r="A694" i="3" s="1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E19" i="3"/>
  <c r="E693" i="3" s="1"/>
  <c r="D19" i="3"/>
  <c r="D693" i="3" s="1"/>
  <c r="C19" i="3"/>
  <c r="C693" i="3" s="1"/>
  <c r="B19" i="3"/>
  <c r="B693" i="3" s="1"/>
  <c r="A19" i="3"/>
  <c r="A693" i="3" s="1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E18" i="3"/>
  <c r="E692" i="3" s="1"/>
  <c r="D18" i="3"/>
  <c r="D692" i="3" s="1"/>
  <c r="C18" i="3"/>
  <c r="C692" i="3" s="1"/>
  <c r="B18" i="3"/>
  <c r="B692" i="3" s="1"/>
  <c r="A18" i="3"/>
  <c r="A692" i="3" s="1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E17" i="3"/>
  <c r="E691" i="3" s="1"/>
  <c r="D17" i="3"/>
  <c r="D691" i="3" s="1"/>
  <c r="C17" i="3"/>
  <c r="C691" i="3" s="1"/>
  <c r="B17" i="3"/>
  <c r="B691" i="3" s="1"/>
  <c r="A17" i="3"/>
  <c r="A691" i="3" s="1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E16" i="3"/>
  <c r="E690" i="3" s="1"/>
  <c r="D16" i="3"/>
  <c r="D690" i="3" s="1"/>
  <c r="C16" i="3"/>
  <c r="C690" i="3" s="1"/>
  <c r="B16" i="3"/>
  <c r="B690" i="3" s="1"/>
  <c r="A16" i="3"/>
  <c r="A690" i="3" s="1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E15" i="3"/>
  <c r="E689" i="3" s="1"/>
  <c r="D15" i="3"/>
  <c r="D689" i="3" s="1"/>
  <c r="C15" i="3"/>
  <c r="C689" i="3" s="1"/>
  <c r="B15" i="3"/>
  <c r="B689" i="3" s="1"/>
  <c r="A15" i="3"/>
  <c r="A689" i="3" s="1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E14" i="3"/>
  <c r="E688" i="3" s="1"/>
  <c r="D14" i="3"/>
  <c r="D688" i="3" s="1"/>
  <c r="C14" i="3"/>
  <c r="C688" i="3" s="1"/>
  <c r="B14" i="3"/>
  <c r="B688" i="3" s="1"/>
  <c r="A14" i="3"/>
  <c r="A688" i="3" s="1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E13" i="3"/>
  <c r="E687" i="3" s="1"/>
  <c r="D13" i="3"/>
  <c r="D687" i="3" s="1"/>
  <c r="C13" i="3"/>
  <c r="C687" i="3" s="1"/>
  <c r="B13" i="3"/>
  <c r="B687" i="3" s="1"/>
  <c r="A13" i="3"/>
  <c r="A687" i="3" s="1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E12" i="3"/>
  <c r="E686" i="3" s="1"/>
  <c r="D12" i="3"/>
  <c r="D686" i="3" s="1"/>
  <c r="C12" i="3"/>
  <c r="C686" i="3" s="1"/>
  <c r="B12" i="3"/>
  <c r="B686" i="3" s="1"/>
  <c r="A12" i="3"/>
  <c r="A686" i="3" s="1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E11" i="3"/>
  <c r="E685" i="3" s="1"/>
  <c r="D11" i="3"/>
  <c r="D685" i="3" s="1"/>
  <c r="C11" i="3"/>
  <c r="C685" i="3" s="1"/>
  <c r="B11" i="3"/>
  <c r="B685" i="3" s="1"/>
  <c r="A11" i="3"/>
  <c r="A685" i="3" s="1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E10" i="3"/>
  <c r="E684" i="3" s="1"/>
  <c r="D10" i="3"/>
  <c r="D684" i="3" s="1"/>
  <c r="C10" i="3"/>
  <c r="C684" i="3" s="1"/>
  <c r="B10" i="3"/>
  <c r="B684" i="3" s="1"/>
  <c r="A10" i="3"/>
  <c r="A684" i="3" s="1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E9" i="3"/>
  <c r="E683" i="3" s="1"/>
  <c r="D9" i="3"/>
  <c r="D683" i="3" s="1"/>
  <c r="C9" i="3"/>
  <c r="C683" i="3" s="1"/>
  <c r="B9" i="3"/>
  <c r="B683" i="3" s="1"/>
  <c r="A9" i="3"/>
  <c r="A683" i="3" s="1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E8" i="3"/>
  <c r="E682" i="3" s="1"/>
  <c r="D8" i="3"/>
  <c r="D682" i="3" s="1"/>
  <c r="C8" i="3"/>
  <c r="C682" i="3" s="1"/>
  <c r="B8" i="3"/>
  <c r="B682" i="3" s="1"/>
  <c r="A8" i="3"/>
  <c r="A682" i="3" s="1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E7" i="3"/>
  <c r="E681" i="3" s="1"/>
  <c r="D7" i="3"/>
  <c r="D681" i="3" s="1"/>
  <c r="C7" i="3"/>
  <c r="C681" i="3" s="1"/>
  <c r="B7" i="3"/>
  <c r="B681" i="3" s="1"/>
  <c r="A7" i="3"/>
  <c r="A681" i="3" s="1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E6" i="3"/>
  <c r="E680" i="3" s="1"/>
  <c r="D6" i="3"/>
  <c r="D680" i="3" s="1"/>
  <c r="C6" i="3"/>
  <c r="C680" i="3" s="1"/>
  <c r="B6" i="3"/>
  <c r="B680" i="3" s="1"/>
  <c r="A6" i="3"/>
  <c r="A680" i="3" s="1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E5" i="3"/>
  <c r="E679" i="3" s="1"/>
  <c r="D5" i="3"/>
  <c r="D679" i="3" s="1"/>
  <c r="C5" i="3"/>
  <c r="C679" i="3" s="1"/>
  <c r="B5" i="3"/>
  <c r="B679" i="3" s="1"/>
  <c r="A5" i="3"/>
  <c r="A679" i="3" s="1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E4" i="3"/>
  <c r="B4" i="3"/>
  <c r="A4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E3" i="3"/>
  <c r="B3" i="3"/>
  <c r="A3" i="3"/>
  <c r="E2" i="3"/>
  <c r="D2" i="3"/>
  <c r="C2" i="3"/>
  <c r="B2" i="3"/>
  <c r="A2" i="3"/>
  <c r="E661" i="2"/>
  <c r="D661" i="2"/>
  <c r="C661" i="2"/>
  <c r="B661" i="2"/>
  <c r="A661" i="2"/>
  <c r="E660" i="2"/>
  <c r="D660" i="2"/>
  <c r="C660" i="2"/>
  <c r="B660" i="2"/>
  <c r="A660" i="2"/>
  <c r="E659" i="2"/>
  <c r="D659" i="2"/>
  <c r="C659" i="2"/>
  <c r="B659" i="2"/>
  <c r="A659" i="2"/>
  <c r="E658" i="2"/>
  <c r="D658" i="2"/>
  <c r="C658" i="2"/>
  <c r="B658" i="2"/>
  <c r="A658" i="2"/>
  <c r="E657" i="2"/>
  <c r="D657" i="2"/>
  <c r="C657" i="2"/>
  <c r="B657" i="2"/>
  <c r="A657" i="2"/>
  <c r="E656" i="2"/>
  <c r="D656" i="2"/>
  <c r="C656" i="2"/>
  <c r="B656" i="2"/>
  <c r="A656" i="2"/>
  <c r="E655" i="2"/>
  <c r="D655" i="2"/>
  <c r="C655" i="2"/>
  <c r="B655" i="2"/>
  <c r="A655" i="2"/>
  <c r="E654" i="2"/>
  <c r="D654" i="2"/>
  <c r="C654" i="2"/>
  <c r="B654" i="2"/>
  <c r="A654" i="2"/>
  <c r="E653" i="2"/>
  <c r="D653" i="2"/>
  <c r="C653" i="2"/>
  <c r="B653" i="2"/>
  <c r="A653" i="2"/>
  <c r="E652" i="2"/>
  <c r="D652" i="2"/>
  <c r="C652" i="2"/>
  <c r="B652" i="2"/>
  <c r="A652" i="2"/>
  <c r="E651" i="2"/>
  <c r="D651" i="2"/>
  <c r="C651" i="2"/>
  <c r="B651" i="2"/>
  <c r="A651" i="2"/>
  <c r="E650" i="2"/>
  <c r="D650" i="2"/>
  <c r="C650" i="2"/>
  <c r="B650" i="2"/>
  <c r="A650" i="2"/>
  <c r="E649" i="2"/>
  <c r="D649" i="2"/>
  <c r="C649" i="2"/>
  <c r="B649" i="2"/>
  <c r="A649" i="2"/>
  <c r="E648" i="2"/>
  <c r="D648" i="2"/>
  <c r="C648" i="2"/>
  <c r="B648" i="2"/>
  <c r="A648" i="2"/>
  <c r="E647" i="2"/>
  <c r="D647" i="2"/>
  <c r="C647" i="2"/>
  <c r="B647" i="2"/>
  <c r="A647" i="2"/>
  <c r="E646" i="2"/>
  <c r="D646" i="2"/>
  <c r="C646" i="2"/>
  <c r="B646" i="2"/>
  <c r="A646" i="2"/>
  <c r="E645" i="2"/>
  <c r="D645" i="2"/>
  <c r="C645" i="2"/>
  <c r="B645" i="2"/>
  <c r="A645" i="2"/>
  <c r="E644" i="2"/>
  <c r="D644" i="2"/>
  <c r="C644" i="2"/>
  <c r="B644" i="2"/>
  <c r="A644" i="2"/>
  <c r="E643" i="2"/>
  <c r="D643" i="2"/>
  <c r="C643" i="2"/>
  <c r="B643" i="2"/>
  <c r="A643" i="2"/>
  <c r="E642" i="2"/>
  <c r="D642" i="2"/>
  <c r="C642" i="2"/>
  <c r="B642" i="2"/>
  <c r="A642" i="2"/>
  <c r="E641" i="2"/>
  <c r="D641" i="2"/>
  <c r="C641" i="2"/>
  <c r="B641" i="2"/>
  <c r="A641" i="2"/>
  <c r="E640" i="2"/>
  <c r="D640" i="2"/>
  <c r="C640" i="2"/>
  <c r="B640" i="2"/>
  <c r="A640" i="2"/>
  <c r="E639" i="2"/>
  <c r="D639" i="2"/>
  <c r="C639" i="2"/>
  <c r="B639" i="2"/>
  <c r="A639" i="2"/>
  <c r="E638" i="2"/>
  <c r="D638" i="2"/>
  <c r="C638" i="2"/>
  <c r="B638" i="2"/>
  <c r="A638" i="2"/>
  <c r="E637" i="2"/>
  <c r="D637" i="2"/>
  <c r="C637" i="2"/>
  <c r="B637" i="2"/>
  <c r="A637" i="2"/>
  <c r="E636" i="2"/>
  <c r="D636" i="2"/>
  <c r="C636" i="2"/>
  <c r="B636" i="2"/>
  <c r="A636" i="2"/>
  <c r="E635" i="2"/>
  <c r="D635" i="2"/>
  <c r="C635" i="2"/>
  <c r="B635" i="2"/>
  <c r="A635" i="2"/>
  <c r="E634" i="2"/>
  <c r="D634" i="2"/>
  <c r="C634" i="2"/>
  <c r="B634" i="2"/>
  <c r="A634" i="2"/>
  <c r="E633" i="2"/>
  <c r="D633" i="2"/>
  <c r="C633" i="2"/>
  <c r="B633" i="2"/>
  <c r="A633" i="2"/>
  <c r="E632" i="2"/>
  <c r="D632" i="2"/>
  <c r="C632" i="2"/>
  <c r="B632" i="2"/>
  <c r="A632" i="2"/>
  <c r="E631" i="2"/>
  <c r="D631" i="2"/>
  <c r="C631" i="2"/>
  <c r="B631" i="2"/>
  <c r="A631" i="2"/>
  <c r="E630" i="2"/>
  <c r="D630" i="2"/>
  <c r="C630" i="2"/>
  <c r="B630" i="2"/>
  <c r="A630" i="2"/>
  <c r="E629" i="2"/>
  <c r="D629" i="2"/>
  <c r="C629" i="2"/>
  <c r="B629" i="2"/>
  <c r="A629" i="2"/>
  <c r="E628" i="2"/>
  <c r="D628" i="2"/>
  <c r="C628" i="2"/>
  <c r="B628" i="2"/>
  <c r="A628" i="2"/>
  <c r="E627" i="2"/>
  <c r="D627" i="2"/>
  <c r="C627" i="2"/>
  <c r="B627" i="2"/>
  <c r="A627" i="2"/>
  <c r="E626" i="2"/>
  <c r="D626" i="2"/>
  <c r="C626" i="2"/>
  <c r="B626" i="2"/>
  <c r="A626" i="2"/>
  <c r="E625" i="2"/>
  <c r="D625" i="2"/>
  <c r="C625" i="2"/>
  <c r="B625" i="2"/>
  <c r="A625" i="2"/>
  <c r="E624" i="2"/>
  <c r="D624" i="2"/>
  <c r="C624" i="2"/>
  <c r="B624" i="2"/>
  <c r="A624" i="2"/>
  <c r="E623" i="2"/>
  <c r="D623" i="2"/>
  <c r="C623" i="2"/>
  <c r="B623" i="2"/>
  <c r="A623" i="2"/>
  <c r="E622" i="2"/>
  <c r="D622" i="2"/>
  <c r="C622" i="2"/>
  <c r="B622" i="2"/>
  <c r="A622" i="2"/>
  <c r="E621" i="2"/>
  <c r="D621" i="2"/>
  <c r="C621" i="2"/>
  <c r="B621" i="2"/>
  <c r="A621" i="2"/>
  <c r="E620" i="2"/>
  <c r="D620" i="2"/>
  <c r="C620" i="2"/>
  <c r="B620" i="2"/>
  <c r="A620" i="2"/>
  <c r="E619" i="2"/>
  <c r="D619" i="2"/>
  <c r="C619" i="2"/>
  <c r="B619" i="2"/>
  <c r="A619" i="2"/>
  <c r="E618" i="2"/>
  <c r="D618" i="2"/>
  <c r="C618" i="2"/>
  <c r="B618" i="2"/>
  <c r="A618" i="2"/>
  <c r="E617" i="2"/>
  <c r="D617" i="2"/>
  <c r="C617" i="2"/>
  <c r="B617" i="2"/>
  <c r="A617" i="2"/>
  <c r="E616" i="2"/>
  <c r="D616" i="2"/>
  <c r="C616" i="2"/>
  <c r="B616" i="2"/>
  <c r="A616" i="2"/>
  <c r="E615" i="2"/>
  <c r="D615" i="2"/>
  <c r="C615" i="2"/>
  <c r="B615" i="2"/>
  <c r="A615" i="2"/>
  <c r="E614" i="2"/>
  <c r="D614" i="2"/>
  <c r="C614" i="2"/>
  <c r="B614" i="2"/>
  <c r="A614" i="2"/>
  <c r="E613" i="2"/>
  <c r="D613" i="2"/>
  <c r="C613" i="2"/>
  <c r="B613" i="2"/>
  <c r="A613" i="2"/>
  <c r="E612" i="2"/>
  <c r="D612" i="2"/>
  <c r="C612" i="2"/>
  <c r="B612" i="2"/>
  <c r="A612" i="2"/>
  <c r="E611" i="2"/>
  <c r="D611" i="2"/>
  <c r="C611" i="2"/>
  <c r="B611" i="2"/>
  <c r="A611" i="2"/>
  <c r="E610" i="2"/>
  <c r="D610" i="2"/>
  <c r="C610" i="2"/>
  <c r="B610" i="2"/>
  <c r="A610" i="2"/>
  <c r="E609" i="2"/>
  <c r="D609" i="2"/>
  <c r="C609" i="2"/>
  <c r="B609" i="2"/>
  <c r="A609" i="2"/>
  <c r="E608" i="2"/>
  <c r="D608" i="2"/>
  <c r="C608" i="2"/>
  <c r="B608" i="2"/>
  <c r="A608" i="2"/>
  <c r="E607" i="2"/>
  <c r="D607" i="2"/>
  <c r="C607" i="2"/>
  <c r="B607" i="2"/>
  <c r="A607" i="2"/>
  <c r="E606" i="2"/>
  <c r="D606" i="2"/>
  <c r="C606" i="2"/>
  <c r="B606" i="2"/>
  <c r="A606" i="2"/>
  <c r="E605" i="2"/>
  <c r="D605" i="2"/>
  <c r="C605" i="2"/>
  <c r="B605" i="2"/>
  <c r="A605" i="2"/>
  <c r="E604" i="2"/>
  <c r="D604" i="2"/>
  <c r="C604" i="2"/>
  <c r="B604" i="2"/>
  <c r="A604" i="2"/>
  <c r="E603" i="2"/>
  <c r="D603" i="2"/>
  <c r="C603" i="2"/>
  <c r="B603" i="2"/>
  <c r="A603" i="2"/>
  <c r="E602" i="2"/>
  <c r="D602" i="2"/>
  <c r="C602" i="2"/>
  <c r="B602" i="2"/>
  <c r="A602" i="2"/>
  <c r="E601" i="2"/>
  <c r="D601" i="2"/>
  <c r="C601" i="2"/>
  <c r="B601" i="2"/>
  <c r="A601" i="2"/>
  <c r="E600" i="2"/>
  <c r="D600" i="2"/>
  <c r="C600" i="2"/>
  <c r="B600" i="2"/>
  <c r="A600" i="2"/>
  <c r="E599" i="2"/>
  <c r="D599" i="2"/>
  <c r="C599" i="2"/>
  <c r="B599" i="2"/>
  <c r="A599" i="2"/>
  <c r="E598" i="2"/>
  <c r="D598" i="2"/>
  <c r="C598" i="2"/>
  <c r="B598" i="2"/>
  <c r="A598" i="2"/>
  <c r="E597" i="2"/>
  <c r="D597" i="2"/>
  <c r="C597" i="2"/>
  <c r="B597" i="2"/>
  <c r="A597" i="2"/>
  <c r="E596" i="2"/>
  <c r="D596" i="2"/>
  <c r="C596" i="2"/>
  <c r="B596" i="2"/>
  <c r="A596" i="2"/>
  <c r="E595" i="2"/>
  <c r="D595" i="2"/>
  <c r="C595" i="2"/>
  <c r="B595" i="2"/>
  <c r="A595" i="2"/>
  <c r="E594" i="2"/>
  <c r="D594" i="2"/>
  <c r="C594" i="2"/>
  <c r="B594" i="2"/>
  <c r="A594" i="2"/>
  <c r="E593" i="2"/>
  <c r="D593" i="2"/>
  <c r="C593" i="2"/>
  <c r="B593" i="2"/>
  <c r="A593" i="2"/>
  <c r="E592" i="2"/>
  <c r="D592" i="2"/>
  <c r="C592" i="2"/>
  <c r="B592" i="2"/>
  <c r="A592" i="2"/>
  <c r="E591" i="2"/>
  <c r="D591" i="2"/>
  <c r="C591" i="2"/>
  <c r="B591" i="2"/>
  <c r="A591" i="2"/>
  <c r="E590" i="2"/>
  <c r="D590" i="2"/>
  <c r="C590" i="2"/>
  <c r="B590" i="2"/>
  <c r="A590" i="2"/>
  <c r="E589" i="2"/>
  <c r="D589" i="2"/>
  <c r="C589" i="2"/>
  <c r="B589" i="2"/>
  <c r="A589" i="2"/>
  <c r="E588" i="2"/>
  <c r="D588" i="2"/>
  <c r="C588" i="2"/>
  <c r="B588" i="2"/>
  <c r="A588" i="2"/>
  <c r="E587" i="2"/>
  <c r="D587" i="2"/>
  <c r="C587" i="2"/>
  <c r="B587" i="2"/>
  <c r="A587" i="2"/>
  <c r="E586" i="2"/>
  <c r="D586" i="2"/>
  <c r="C586" i="2"/>
  <c r="B586" i="2"/>
  <c r="A586" i="2"/>
  <c r="E585" i="2"/>
  <c r="D585" i="2"/>
  <c r="C585" i="2"/>
  <c r="B585" i="2"/>
  <c r="A585" i="2"/>
  <c r="E584" i="2"/>
  <c r="D584" i="2"/>
  <c r="C584" i="2"/>
  <c r="B584" i="2"/>
  <c r="A584" i="2"/>
  <c r="E583" i="2"/>
  <c r="D583" i="2"/>
  <c r="C583" i="2"/>
  <c r="B583" i="2"/>
  <c r="A583" i="2"/>
  <c r="E582" i="2"/>
  <c r="D582" i="2"/>
  <c r="C582" i="2"/>
  <c r="B582" i="2"/>
  <c r="A582" i="2"/>
  <c r="E581" i="2"/>
  <c r="D581" i="2"/>
  <c r="C581" i="2"/>
  <c r="B581" i="2"/>
  <c r="A581" i="2"/>
  <c r="E580" i="2"/>
  <c r="D580" i="2"/>
  <c r="C580" i="2"/>
  <c r="B580" i="2"/>
  <c r="A580" i="2"/>
  <c r="E579" i="2"/>
  <c r="D579" i="2"/>
  <c r="C579" i="2"/>
  <c r="B579" i="2"/>
  <c r="A579" i="2"/>
  <c r="E578" i="2"/>
  <c r="D578" i="2"/>
  <c r="C578" i="2"/>
  <c r="B578" i="2"/>
  <c r="A578" i="2"/>
  <c r="E577" i="2"/>
  <c r="D577" i="2"/>
  <c r="C577" i="2"/>
  <c r="B577" i="2"/>
  <c r="A577" i="2"/>
  <c r="E576" i="2"/>
  <c r="D576" i="2"/>
  <c r="C576" i="2"/>
  <c r="B576" i="2"/>
  <c r="A576" i="2"/>
  <c r="E575" i="2"/>
  <c r="D575" i="2"/>
  <c r="C575" i="2"/>
  <c r="B575" i="2"/>
  <c r="A575" i="2"/>
  <c r="E574" i="2"/>
  <c r="D574" i="2"/>
  <c r="C574" i="2"/>
  <c r="B574" i="2"/>
  <c r="A574" i="2"/>
  <c r="E573" i="2"/>
  <c r="D573" i="2"/>
  <c r="C573" i="2"/>
  <c r="B573" i="2"/>
  <c r="A573" i="2"/>
  <c r="E572" i="2"/>
  <c r="D572" i="2"/>
  <c r="C572" i="2"/>
  <c r="B572" i="2"/>
  <c r="A572" i="2"/>
  <c r="E571" i="2"/>
  <c r="D571" i="2"/>
  <c r="C571" i="2"/>
  <c r="B571" i="2"/>
  <c r="A571" i="2"/>
  <c r="E570" i="2"/>
  <c r="D570" i="2"/>
  <c r="C570" i="2"/>
  <c r="B570" i="2"/>
  <c r="A570" i="2"/>
  <c r="E569" i="2"/>
  <c r="D569" i="2"/>
  <c r="C569" i="2"/>
  <c r="B569" i="2"/>
  <c r="A569" i="2"/>
  <c r="E568" i="2"/>
  <c r="D568" i="2"/>
  <c r="C568" i="2"/>
  <c r="B568" i="2"/>
  <c r="A568" i="2"/>
  <c r="E567" i="2"/>
  <c r="D567" i="2"/>
  <c r="C567" i="2"/>
  <c r="B567" i="2"/>
  <c r="A567" i="2"/>
  <c r="E566" i="2"/>
  <c r="D566" i="2"/>
  <c r="C566" i="2"/>
  <c r="B566" i="2"/>
  <c r="A566" i="2"/>
  <c r="E565" i="2"/>
  <c r="D565" i="2"/>
  <c r="C565" i="2"/>
  <c r="B565" i="2"/>
  <c r="A565" i="2"/>
  <c r="E564" i="2"/>
  <c r="D564" i="2"/>
  <c r="C564" i="2"/>
  <c r="B564" i="2"/>
  <c r="A564" i="2"/>
  <c r="E563" i="2"/>
  <c r="D563" i="2"/>
  <c r="C563" i="2"/>
  <c r="B563" i="2"/>
  <c r="A563" i="2"/>
  <c r="E562" i="2"/>
  <c r="D562" i="2"/>
  <c r="C562" i="2"/>
  <c r="B562" i="2"/>
  <c r="A562" i="2"/>
  <c r="E561" i="2"/>
  <c r="D561" i="2"/>
  <c r="C561" i="2"/>
  <c r="B561" i="2"/>
  <c r="A561" i="2"/>
  <c r="E560" i="2"/>
  <c r="D560" i="2"/>
  <c r="C560" i="2"/>
  <c r="B560" i="2"/>
  <c r="A560" i="2"/>
  <c r="E559" i="2"/>
  <c r="D559" i="2"/>
  <c r="C559" i="2"/>
  <c r="B559" i="2"/>
  <c r="A559" i="2"/>
  <c r="E558" i="2"/>
  <c r="D558" i="2"/>
  <c r="C558" i="2"/>
  <c r="B558" i="2"/>
  <c r="A558" i="2"/>
  <c r="E557" i="2"/>
  <c r="D557" i="2"/>
  <c r="C557" i="2"/>
  <c r="B557" i="2"/>
  <c r="A557" i="2"/>
  <c r="E556" i="2"/>
  <c r="D556" i="2"/>
  <c r="C556" i="2"/>
  <c r="B556" i="2"/>
  <c r="A556" i="2"/>
  <c r="E555" i="2"/>
  <c r="D555" i="2"/>
  <c r="C555" i="2"/>
  <c r="B555" i="2"/>
  <c r="A555" i="2"/>
  <c r="E554" i="2"/>
  <c r="D554" i="2"/>
  <c r="C554" i="2"/>
  <c r="B554" i="2"/>
  <c r="A554" i="2"/>
  <c r="E553" i="2"/>
  <c r="D553" i="2"/>
  <c r="C553" i="2"/>
  <c r="B553" i="2"/>
  <c r="A553" i="2"/>
  <c r="E552" i="2"/>
  <c r="D552" i="2"/>
  <c r="C552" i="2"/>
  <c r="B552" i="2"/>
  <c r="A552" i="2"/>
  <c r="E551" i="2"/>
  <c r="D551" i="2"/>
  <c r="C551" i="2"/>
  <c r="B551" i="2"/>
  <c r="A551" i="2"/>
  <c r="E550" i="2"/>
  <c r="D550" i="2"/>
  <c r="C550" i="2"/>
  <c r="B550" i="2"/>
  <c r="A550" i="2"/>
  <c r="E549" i="2"/>
  <c r="D549" i="2"/>
  <c r="C549" i="2"/>
  <c r="B549" i="2"/>
  <c r="A549" i="2"/>
  <c r="E548" i="2"/>
  <c r="D548" i="2"/>
  <c r="C548" i="2"/>
  <c r="B548" i="2"/>
  <c r="A548" i="2"/>
  <c r="E547" i="2"/>
  <c r="D547" i="2"/>
  <c r="C547" i="2"/>
  <c r="B547" i="2"/>
  <c r="A547" i="2"/>
  <c r="E546" i="2"/>
  <c r="D546" i="2"/>
  <c r="C546" i="2"/>
  <c r="B546" i="2"/>
  <c r="A546" i="2"/>
  <c r="E545" i="2"/>
  <c r="D545" i="2"/>
  <c r="C545" i="2"/>
  <c r="B545" i="2"/>
  <c r="A545" i="2"/>
  <c r="E544" i="2"/>
  <c r="D544" i="2"/>
  <c r="C544" i="2"/>
  <c r="B544" i="2"/>
  <c r="A544" i="2"/>
  <c r="E543" i="2"/>
  <c r="D543" i="2"/>
  <c r="C543" i="2"/>
  <c r="B543" i="2"/>
  <c r="A543" i="2"/>
  <c r="E542" i="2"/>
  <c r="D542" i="2"/>
  <c r="C542" i="2"/>
  <c r="B542" i="2"/>
  <c r="A542" i="2"/>
  <c r="E541" i="2"/>
  <c r="D541" i="2"/>
  <c r="C541" i="2"/>
  <c r="B541" i="2"/>
  <c r="A541" i="2"/>
  <c r="E540" i="2"/>
  <c r="D540" i="2"/>
  <c r="C540" i="2"/>
  <c r="B540" i="2"/>
  <c r="A540" i="2"/>
  <c r="E539" i="2"/>
  <c r="D539" i="2"/>
  <c r="C539" i="2"/>
  <c r="B539" i="2"/>
  <c r="A539" i="2"/>
  <c r="E538" i="2"/>
  <c r="D538" i="2"/>
  <c r="C538" i="2"/>
  <c r="B538" i="2"/>
  <c r="A538" i="2"/>
  <c r="E537" i="2"/>
  <c r="D537" i="2"/>
  <c r="C537" i="2"/>
  <c r="B537" i="2"/>
  <c r="A537" i="2"/>
  <c r="E536" i="2"/>
  <c r="D536" i="2"/>
  <c r="C536" i="2"/>
  <c r="B536" i="2"/>
  <c r="A536" i="2"/>
  <c r="E535" i="2"/>
  <c r="D535" i="2"/>
  <c r="C535" i="2"/>
  <c r="B535" i="2"/>
  <c r="A535" i="2"/>
  <c r="E534" i="2"/>
  <c r="D534" i="2"/>
  <c r="C534" i="2"/>
  <c r="B534" i="2"/>
  <c r="A534" i="2"/>
  <c r="E533" i="2"/>
  <c r="D533" i="2"/>
  <c r="C533" i="2"/>
  <c r="B533" i="2"/>
  <c r="A533" i="2"/>
  <c r="E532" i="2"/>
  <c r="D532" i="2"/>
  <c r="C532" i="2"/>
  <c r="B532" i="2"/>
  <c r="A532" i="2"/>
  <c r="E531" i="2"/>
  <c r="D531" i="2"/>
  <c r="C531" i="2"/>
  <c r="B531" i="2"/>
  <c r="A531" i="2"/>
  <c r="E530" i="2"/>
  <c r="D530" i="2"/>
  <c r="C530" i="2"/>
  <c r="B530" i="2"/>
  <c r="A530" i="2"/>
  <c r="E529" i="2"/>
  <c r="D529" i="2"/>
  <c r="C529" i="2"/>
  <c r="B529" i="2"/>
  <c r="A529" i="2"/>
  <c r="E528" i="2"/>
  <c r="D528" i="2"/>
  <c r="C528" i="2"/>
  <c r="B528" i="2"/>
  <c r="A528" i="2"/>
  <c r="E527" i="2"/>
  <c r="D527" i="2"/>
  <c r="C527" i="2"/>
  <c r="B527" i="2"/>
  <c r="A527" i="2"/>
  <c r="E526" i="2"/>
  <c r="D526" i="2"/>
  <c r="C526" i="2"/>
  <c r="B526" i="2"/>
  <c r="A526" i="2"/>
  <c r="E525" i="2"/>
  <c r="D525" i="2"/>
  <c r="C525" i="2"/>
  <c r="B525" i="2"/>
  <c r="A525" i="2"/>
  <c r="E524" i="2"/>
  <c r="D524" i="2"/>
  <c r="C524" i="2"/>
  <c r="B524" i="2"/>
  <c r="A524" i="2"/>
  <c r="E523" i="2"/>
  <c r="D523" i="2"/>
  <c r="C523" i="2"/>
  <c r="B523" i="2"/>
  <c r="A523" i="2"/>
  <c r="E522" i="2"/>
  <c r="D522" i="2"/>
  <c r="C522" i="2"/>
  <c r="B522" i="2"/>
  <c r="A522" i="2"/>
  <c r="E521" i="2"/>
  <c r="D521" i="2"/>
  <c r="C521" i="2"/>
  <c r="B521" i="2"/>
  <c r="A521" i="2"/>
  <c r="E520" i="2"/>
  <c r="D520" i="2"/>
  <c r="C520" i="2"/>
  <c r="B520" i="2"/>
  <c r="A520" i="2"/>
  <c r="E519" i="2"/>
  <c r="D519" i="2"/>
  <c r="C519" i="2"/>
  <c r="B519" i="2"/>
  <c r="A519" i="2"/>
  <c r="E518" i="2"/>
  <c r="D518" i="2"/>
  <c r="C518" i="2"/>
  <c r="B518" i="2"/>
  <c r="A518" i="2"/>
  <c r="E517" i="2"/>
  <c r="D517" i="2"/>
  <c r="C517" i="2"/>
  <c r="B517" i="2"/>
  <c r="A517" i="2"/>
  <c r="E516" i="2"/>
  <c r="D516" i="2"/>
  <c r="C516" i="2"/>
  <c r="B516" i="2"/>
  <c r="A516" i="2"/>
  <c r="E515" i="2"/>
  <c r="D515" i="2"/>
  <c r="C515" i="2"/>
  <c r="B515" i="2"/>
  <c r="A515" i="2"/>
  <c r="E514" i="2"/>
  <c r="D514" i="2"/>
  <c r="C514" i="2"/>
  <c r="B514" i="2"/>
  <c r="A514" i="2"/>
  <c r="E513" i="2"/>
  <c r="D513" i="2"/>
  <c r="C513" i="2"/>
  <c r="B513" i="2"/>
  <c r="A513" i="2"/>
  <c r="E512" i="2"/>
  <c r="D512" i="2"/>
  <c r="C512" i="2"/>
  <c r="B512" i="2"/>
  <c r="A512" i="2"/>
  <c r="E511" i="2"/>
  <c r="D511" i="2"/>
  <c r="C511" i="2"/>
  <c r="B511" i="2"/>
  <c r="A511" i="2"/>
  <c r="E510" i="2"/>
  <c r="D510" i="2"/>
  <c r="C510" i="2"/>
  <c r="B510" i="2"/>
  <c r="A510" i="2"/>
  <c r="E509" i="2"/>
  <c r="D509" i="2"/>
  <c r="C509" i="2"/>
  <c r="B509" i="2"/>
  <c r="A509" i="2"/>
  <c r="E508" i="2"/>
  <c r="D508" i="2"/>
  <c r="C508" i="2"/>
  <c r="B508" i="2"/>
  <c r="A508" i="2"/>
  <c r="E507" i="2"/>
  <c r="D507" i="2"/>
  <c r="C507" i="2"/>
  <c r="B507" i="2"/>
  <c r="A507" i="2"/>
  <c r="E506" i="2"/>
  <c r="D506" i="2"/>
  <c r="C506" i="2"/>
  <c r="B506" i="2"/>
  <c r="A506" i="2"/>
  <c r="E505" i="2"/>
  <c r="D505" i="2"/>
  <c r="C505" i="2"/>
  <c r="B505" i="2"/>
  <c r="A505" i="2"/>
  <c r="E504" i="2"/>
  <c r="D504" i="2"/>
  <c r="C504" i="2"/>
  <c r="B504" i="2"/>
  <c r="A504" i="2"/>
  <c r="E503" i="2"/>
  <c r="D503" i="2"/>
  <c r="C503" i="2"/>
  <c r="B503" i="2"/>
  <c r="A503" i="2"/>
  <c r="E502" i="2"/>
  <c r="D502" i="2"/>
  <c r="C502" i="2"/>
  <c r="B502" i="2"/>
  <c r="A502" i="2"/>
  <c r="E501" i="2"/>
  <c r="D501" i="2"/>
  <c r="C501" i="2"/>
  <c r="B501" i="2"/>
  <c r="A501" i="2"/>
  <c r="E500" i="2"/>
  <c r="D500" i="2"/>
  <c r="C500" i="2"/>
  <c r="B500" i="2"/>
  <c r="A500" i="2"/>
  <c r="E499" i="2"/>
  <c r="D499" i="2"/>
  <c r="C499" i="2"/>
  <c r="B499" i="2"/>
  <c r="A499" i="2"/>
  <c r="E498" i="2"/>
  <c r="D498" i="2"/>
  <c r="C498" i="2"/>
  <c r="B498" i="2"/>
  <c r="A498" i="2"/>
  <c r="BM497" i="2"/>
  <c r="BL497" i="2"/>
  <c r="BK497" i="2"/>
  <c r="BJ497" i="2"/>
  <c r="BI497" i="2"/>
  <c r="BH497" i="2"/>
  <c r="BG497" i="2"/>
  <c r="BF497" i="2"/>
  <c r="BE497" i="2"/>
  <c r="BD497" i="2"/>
  <c r="BC497" i="2"/>
  <c r="BB497" i="2"/>
  <c r="BA497" i="2"/>
  <c r="AZ497" i="2"/>
  <c r="AY497" i="2"/>
  <c r="AX497" i="2"/>
  <c r="AW497" i="2"/>
  <c r="AV497" i="2"/>
  <c r="AU497" i="2"/>
  <c r="AT497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G497" i="2"/>
  <c r="AF497" i="2"/>
  <c r="AE497" i="2"/>
  <c r="AD497" i="2"/>
  <c r="AC497" i="2"/>
  <c r="AB497" i="2"/>
  <c r="AA497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A497" i="2"/>
  <c r="E496" i="2"/>
  <c r="D496" i="2"/>
  <c r="C496" i="2"/>
  <c r="B496" i="2"/>
  <c r="A496" i="2"/>
  <c r="E495" i="2"/>
  <c r="D495" i="2"/>
  <c r="C495" i="2"/>
  <c r="B495" i="2"/>
  <c r="A495" i="2"/>
  <c r="E494" i="2"/>
  <c r="D494" i="2"/>
  <c r="C494" i="2"/>
  <c r="B494" i="2"/>
  <c r="A494" i="2"/>
  <c r="E493" i="2"/>
  <c r="D493" i="2"/>
  <c r="C493" i="2"/>
  <c r="B493" i="2"/>
  <c r="A493" i="2"/>
  <c r="E492" i="2"/>
  <c r="D492" i="2"/>
  <c r="C492" i="2"/>
  <c r="B492" i="2"/>
  <c r="A492" i="2"/>
  <c r="E491" i="2"/>
  <c r="D491" i="2"/>
  <c r="C491" i="2"/>
  <c r="B491" i="2"/>
  <c r="A491" i="2"/>
  <c r="E490" i="2"/>
  <c r="D490" i="2"/>
  <c r="C490" i="2"/>
  <c r="B490" i="2"/>
  <c r="A490" i="2"/>
  <c r="E489" i="2"/>
  <c r="D489" i="2"/>
  <c r="C489" i="2"/>
  <c r="B489" i="2"/>
  <c r="A489" i="2"/>
  <c r="E488" i="2"/>
  <c r="D488" i="2"/>
  <c r="C488" i="2"/>
  <c r="B488" i="2"/>
  <c r="A488" i="2"/>
  <c r="E487" i="2"/>
  <c r="D487" i="2"/>
  <c r="C487" i="2"/>
  <c r="B487" i="2"/>
  <c r="A487" i="2"/>
  <c r="E486" i="2"/>
  <c r="D486" i="2"/>
  <c r="C486" i="2"/>
  <c r="B486" i="2"/>
  <c r="A486" i="2"/>
  <c r="E485" i="2"/>
  <c r="D485" i="2"/>
  <c r="C485" i="2"/>
  <c r="B485" i="2"/>
  <c r="A485" i="2"/>
  <c r="E484" i="2"/>
  <c r="D484" i="2"/>
  <c r="C484" i="2"/>
  <c r="B484" i="2"/>
  <c r="A484" i="2"/>
  <c r="E483" i="2"/>
  <c r="D483" i="2"/>
  <c r="C483" i="2"/>
  <c r="B483" i="2"/>
  <c r="A483" i="2"/>
  <c r="E482" i="2"/>
  <c r="D482" i="2"/>
  <c r="C482" i="2"/>
  <c r="B482" i="2"/>
  <c r="A482" i="2"/>
  <c r="E481" i="2"/>
  <c r="D481" i="2"/>
  <c r="C481" i="2"/>
  <c r="B481" i="2"/>
  <c r="A481" i="2"/>
  <c r="E480" i="2"/>
  <c r="D480" i="2"/>
  <c r="C480" i="2"/>
  <c r="B480" i="2"/>
  <c r="A480" i="2"/>
  <c r="E479" i="2"/>
  <c r="D479" i="2"/>
  <c r="C479" i="2"/>
  <c r="B479" i="2"/>
  <c r="A479" i="2"/>
  <c r="E478" i="2"/>
  <c r="D478" i="2"/>
  <c r="C478" i="2"/>
  <c r="B478" i="2"/>
  <c r="A478" i="2"/>
  <c r="E477" i="2"/>
  <c r="D477" i="2"/>
  <c r="C477" i="2"/>
  <c r="B477" i="2"/>
  <c r="A477" i="2"/>
  <c r="E476" i="2"/>
  <c r="D476" i="2"/>
  <c r="C476" i="2"/>
  <c r="B476" i="2"/>
  <c r="A476" i="2"/>
  <c r="E475" i="2"/>
  <c r="D475" i="2"/>
  <c r="C475" i="2"/>
  <c r="B475" i="2"/>
  <c r="A475" i="2"/>
  <c r="E474" i="2"/>
  <c r="D474" i="2"/>
  <c r="C474" i="2"/>
  <c r="B474" i="2"/>
  <c r="A474" i="2"/>
  <c r="E473" i="2"/>
  <c r="D473" i="2"/>
  <c r="C473" i="2"/>
  <c r="B473" i="2"/>
  <c r="A473" i="2"/>
  <c r="E472" i="2"/>
  <c r="D472" i="2"/>
  <c r="C472" i="2"/>
  <c r="B472" i="2"/>
  <c r="A472" i="2"/>
  <c r="E471" i="2"/>
  <c r="D471" i="2"/>
  <c r="C471" i="2"/>
  <c r="B471" i="2"/>
  <c r="A471" i="2"/>
  <c r="E470" i="2"/>
  <c r="D470" i="2"/>
  <c r="C470" i="2"/>
  <c r="B470" i="2"/>
  <c r="A470" i="2"/>
  <c r="E469" i="2"/>
  <c r="D469" i="2"/>
  <c r="C469" i="2"/>
  <c r="B469" i="2"/>
  <c r="A469" i="2"/>
  <c r="E468" i="2"/>
  <c r="D468" i="2"/>
  <c r="C468" i="2"/>
  <c r="B468" i="2"/>
  <c r="A468" i="2"/>
  <c r="E467" i="2"/>
  <c r="D467" i="2"/>
  <c r="C467" i="2"/>
  <c r="B467" i="2"/>
  <c r="A467" i="2"/>
  <c r="E466" i="2"/>
  <c r="D466" i="2"/>
  <c r="C466" i="2"/>
  <c r="B466" i="2"/>
  <c r="A466" i="2"/>
  <c r="E465" i="2"/>
  <c r="D465" i="2"/>
  <c r="C465" i="2"/>
  <c r="B465" i="2"/>
  <c r="A465" i="2"/>
  <c r="E464" i="2"/>
  <c r="D464" i="2"/>
  <c r="C464" i="2"/>
  <c r="B464" i="2"/>
  <c r="A464" i="2"/>
  <c r="E463" i="2"/>
  <c r="D463" i="2"/>
  <c r="C463" i="2"/>
  <c r="B463" i="2"/>
  <c r="A463" i="2"/>
  <c r="E462" i="2"/>
  <c r="D462" i="2"/>
  <c r="C462" i="2"/>
  <c r="B462" i="2"/>
  <c r="A462" i="2"/>
  <c r="E461" i="2"/>
  <c r="D461" i="2"/>
  <c r="C461" i="2"/>
  <c r="B461" i="2"/>
  <c r="A461" i="2"/>
  <c r="E460" i="2"/>
  <c r="D460" i="2"/>
  <c r="C460" i="2"/>
  <c r="B460" i="2"/>
  <c r="A460" i="2"/>
  <c r="E459" i="2"/>
  <c r="D459" i="2"/>
  <c r="C459" i="2"/>
  <c r="B459" i="2"/>
  <c r="A459" i="2"/>
  <c r="E458" i="2"/>
  <c r="D458" i="2"/>
  <c r="C458" i="2"/>
  <c r="B458" i="2"/>
  <c r="A458" i="2"/>
  <c r="E457" i="2"/>
  <c r="D457" i="2"/>
  <c r="C457" i="2"/>
  <c r="B457" i="2"/>
  <c r="A457" i="2"/>
  <c r="E456" i="2"/>
  <c r="D456" i="2"/>
  <c r="C456" i="2"/>
  <c r="B456" i="2"/>
  <c r="A456" i="2"/>
  <c r="E455" i="2"/>
  <c r="D455" i="2"/>
  <c r="C455" i="2"/>
  <c r="B455" i="2"/>
  <c r="A455" i="2"/>
  <c r="E454" i="2"/>
  <c r="D454" i="2"/>
  <c r="C454" i="2"/>
  <c r="B454" i="2"/>
  <c r="A454" i="2"/>
  <c r="E453" i="2"/>
  <c r="D453" i="2"/>
  <c r="C453" i="2"/>
  <c r="B453" i="2"/>
  <c r="A453" i="2"/>
  <c r="E452" i="2"/>
  <c r="D452" i="2"/>
  <c r="C452" i="2"/>
  <c r="B452" i="2"/>
  <c r="A452" i="2"/>
  <c r="E451" i="2"/>
  <c r="D451" i="2"/>
  <c r="C451" i="2"/>
  <c r="B451" i="2"/>
  <c r="A451" i="2"/>
  <c r="E450" i="2"/>
  <c r="D450" i="2"/>
  <c r="C450" i="2"/>
  <c r="B450" i="2"/>
  <c r="A450" i="2"/>
  <c r="E449" i="2"/>
  <c r="D449" i="2"/>
  <c r="C449" i="2"/>
  <c r="B449" i="2"/>
  <c r="A449" i="2"/>
  <c r="E448" i="2"/>
  <c r="D448" i="2"/>
  <c r="C448" i="2"/>
  <c r="B448" i="2"/>
  <c r="A448" i="2"/>
  <c r="E447" i="2"/>
  <c r="D447" i="2"/>
  <c r="C447" i="2"/>
  <c r="B447" i="2"/>
  <c r="A447" i="2"/>
  <c r="E446" i="2"/>
  <c r="D446" i="2"/>
  <c r="C446" i="2"/>
  <c r="B446" i="2"/>
  <c r="A446" i="2"/>
  <c r="E445" i="2"/>
  <c r="D445" i="2"/>
  <c r="C445" i="2"/>
  <c r="B445" i="2"/>
  <c r="A445" i="2"/>
  <c r="E444" i="2"/>
  <c r="D444" i="2"/>
  <c r="C444" i="2"/>
  <c r="B444" i="2"/>
  <c r="A444" i="2"/>
  <c r="E443" i="2"/>
  <c r="D443" i="2"/>
  <c r="C443" i="2"/>
  <c r="B443" i="2"/>
  <c r="A443" i="2"/>
  <c r="E442" i="2"/>
  <c r="D442" i="2"/>
  <c r="C442" i="2"/>
  <c r="B442" i="2"/>
  <c r="A442" i="2"/>
  <c r="E441" i="2"/>
  <c r="D441" i="2"/>
  <c r="C441" i="2"/>
  <c r="B441" i="2"/>
  <c r="A441" i="2"/>
  <c r="E440" i="2"/>
  <c r="D440" i="2"/>
  <c r="C440" i="2"/>
  <c r="B440" i="2"/>
  <c r="A440" i="2"/>
  <c r="E439" i="2"/>
  <c r="D439" i="2"/>
  <c r="C439" i="2"/>
  <c r="B439" i="2"/>
  <c r="A439" i="2"/>
  <c r="E438" i="2"/>
  <c r="D438" i="2"/>
  <c r="C438" i="2"/>
  <c r="B438" i="2"/>
  <c r="A438" i="2"/>
  <c r="E437" i="2"/>
  <c r="D437" i="2"/>
  <c r="C437" i="2"/>
  <c r="B437" i="2"/>
  <c r="A437" i="2"/>
  <c r="E436" i="2"/>
  <c r="D436" i="2"/>
  <c r="C436" i="2"/>
  <c r="B436" i="2"/>
  <c r="A436" i="2"/>
  <c r="E435" i="2"/>
  <c r="D435" i="2"/>
  <c r="C435" i="2"/>
  <c r="B435" i="2"/>
  <c r="A435" i="2"/>
  <c r="E434" i="2"/>
  <c r="D434" i="2"/>
  <c r="C434" i="2"/>
  <c r="B434" i="2"/>
  <c r="A434" i="2"/>
  <c r="E433" i="2"/>
  <c r="D433" i="2"/>
  <c r="C433" i="2"/>
  <c r="B433" i="2"/>
  <c r="A433" i="2"/>
  <c r="E432" i="2"/>
  <c r="D432" i="2"/>
  <c r="C432" i="2"/>
  <c r="B432" i="2"/>
  <c r="A432" i="2"/>
  <c r="E431" i="2"/>
  <c r="D431" i="2"/>
  <c r="C431" i="2"/>
  <c r="B431" i="2"/>
  <c r="A431" i="2"/>
  <c r="E430" i="2"/>
  <c r="D430" i="2"/>
  <c r="C430" i="2"/>
  <c r="B430" i="2"/>
  <c r="A430" i="2"/>
  <c r="E429" i="2"/>
  <c r="D429" i="2"/>
  <c r="C429" i="2"/>
  <c r="B429" i="2"/>
  <c r="A429" i="2"/>
  <c r="E428" i="2"/>
  <c r="D428" i="2"/>
  <c r="C428" i="2"/>
  <c r="B428" i="2"/>
  <c r="A428" i="2"/>
  <c r="E427" i="2"/>
  <c r="D427" i="2"/>
  <c r="C427" i="2"/>
  <c r="B427" i="2"/>
  <c r="A427" i="2"/>
  <c r="E426" i="2"/>
  <c r="D426" i="2"/>
  <c r="C426" i="2"/>
  <c r="B426" i="2"/>
  <c r="A426" i="2"/>
  <c r="E425" i="2"/>
  <c r="D425" i="2"/>
  <c r="C425" i="2"/>
  <c r="B425" i="2"/>
  <c r="A425" i="2"/>
  <c r="E424" i="2"/>
  <c r="D424" i="2"/>
  <c r="C424" i="2"/>
  <c r="B424" i="2"/>
  <c r="A424" i="2"/>
  <c r="E423" i="2"/>
  <c r="D423" i="2"/>
  <c r="C423" i="2"/>
  <c r="B423" i="2"/>
  <c r="A423" i="2"/>
  <c r="E422" i="2"/>
  <c r="D422" i="2"/>
  <c r="C422" i="2"/>
  <c r="B422" i="2"/>
  <c r="A422" i="2"/>
  <c r="E421" i="2"/>
  <c r="D421" i="2"/>
  <c r="C421" i="2"/>
  <c r="B421" i="2"/>
  <c r="A421" i="2"/>
  <c r="E420" i="2"/>
  <c r="D420" i="2"/>
  <c r="C420" i="2"/>
  <c r="B420" i="2"/>
  <c r="A420" i="2"/>
  <c r="E419" i="2"/>
  <c r="D419" i="2"/>
  <c r="C419" i="2"/>
  <c r="B419" i="2"/>
  <c r="A419" i="2"/>
  <c r="E418" i="2"/>
  <c r="D418" i="2"/>
  <c r="C418" i="2"/>
  <c r="B418" i="2"/>
  <c r="A418" i="2"/>
  <c r="E417" i="2"/>
  <c r="D417" i="2"/>
  <c r="C417" i="2"/>
  <c r="B417" i="2"/>
  <c r="A417" i="2"/>
  <c r="E416" i="2"/>
  <c r="D416" i="2"/>
  <c r="C416" i="2"/>
  <c r="B416" i="2"/>
  <c r="A416" i="2"/>
  <c r="E415" i="2"/>
  <c r="D415" i="2"/>
  <c r="C415" i="2"/>
  <c r="B415" i="2"/>
  <c r="A415" i="2"/>
  <c r="E414" i="2"/>
  <c r="D414" i="2"/>
  <c r="C414" i="2"/>
  <c r="B414" i="2"/>
  <c r="A414" i="2"/>
  <c r="E413" i="2"/>
  <c r="D413" i="2"/>
  <c r="C413" i="2"/>
  <c r="B413" i="2"/>
  <c r="A413" i="2"/>
  <c r="E412" i="2"/>
  <c r="D412" i="2"/>
  <c r="C412" i="2"/>
  <c r="B412" i="2"/>
  <c r="A412" i="2"/>
  <c r="E411" i="2"/>
  <c r="D411" i="2"/>
  <c r="C411" i="2"/>
  <c r="B411" i="2"/>
  <c r="A411" i="2"/>
  <c r="E410" i="2"/>
  <c r="D410" i="2"/>
  <c r="C410" i="2"/>
  <c r="B410" i="2"/>
  <c r="A410" i="2"/>
  <c r="E409" i="2"/>
  <c r="D409" i="2"/>
  <c r="C409" i="2"/>
  <c r="B409" i="2"/>
  <c r="A409" i="2"/>
  <c r="E408" i="2"/>
  <c r="D408" i="2"/>
  <c r="C408" i="2"/>
  <c r="B408" i="2"/>
  <c r="A408" i="2"/>
  <c r="E407" i="2"/>
  <c r="D407" i="2"/>
  <c r="C407" i="2"/>
  <c r="B407" i="2"/>
  <c r="A407" i="2"/>
  <c r="E406" i="2"/>
  <c r="D406" i="2"/>
  <c r="C406" i="2"/>
  <c r="B406" i="2"/>
  <c r="A406" i="2"/>
  <c r="E405" i="2"/>
  <c r="D405" i="2"/>
  <c r="C405" i="2"/>
  <c r="B405" i="2"/>
  <c r="A405" i="2"/>
  <c r="E404" i="2"/>
  <c r="D404" i="2"/>
  <c r="C404" i="2"/>
  <c r="B404" i="2"/>
  <c r="A404" i="2"/>
  <c r="E403" i="2"/>
  <c r="D403" i="2"/>
  <c r="C403" i="2"/>
  <c r="B403" i="2"/>
  <c r="A403" i="2"/>
  <c r="E402" i="2"/>
  <c r="D402" i="2"/>
  <c r="C402" i="2"/>
  <c r="B402" i="2"/>
  <c r="A402" i="2"/>
  <c r="E401" i="2"/>
  <c r="D401" i="2"/>
  <c r="C401" i="2"/>
  <c r="B401" i="2"/>
  <c r="A401" i="2"/>
  <c r="E400" i="2"/>
  <c r="D400" i="2"/>
  <c r="C400" i="2"/>
  <c r="B400" i="2"/>
  <c r="A400" i="2"/>
  <c r="E399" i="2"/>
  <c r="D399" i="2"/>
  <c r="C399" i="2"/>
  <c r="B399" i="2"/>
  <c r="A399" i="2"/>
  <c r="E398" i="2"/>
  <c r="D398" i="2"/>
  <c r="C398" i="2"/>
  <c r="B398" i="2"/>
  <c r="A398" i="2"/>
  <c r="E397" i="2"/>
  <c r="D397" i="2"/>
  <c r="C397" i="2"/>
  <c r="B397" i="2"/>
  <c r="A397" i="2"/>
  <c r="E396" i="2"/>
  <c r="D396" i="2"/>
  <c r="C396" i="2"/>
  <c r="B396" i="2"/>
  <c r="A396" i="2"/>
  <c r="E395" i="2"/>
  <c r="D395" i="2"/>
  <c r="C395" i="2"/>
  <c r="B395" i="2"/>
  <c r="A395" i="2"/>
  <c r="E394" i="2"/>
  <c r="D394" i="2"/>
  <c r="C394" i="2"/>
  <c r="B394" i="2"/>
  <c r="A394" i="2"/>
  <c r="E393" i="2"/>
  <c r="D393" i="2"/>
  <c r="C393" i="2"/>
  <c r="B393" i="2"/>
  <c r="A393" i="2"/>
  <c r="E392" i="2"/>
  <c r="D392" i="2"/>
  <c r="C392" i="2"/>
  <c r="B392" i="2"/>
  <c r="A392" i="2"/>
  <c r="E391" i="2"/>
  <c r="D391" i="2"/>
  <c r="C391" i="2"/>
  <c r="B391" i="2"/>
  <c r="A391" i="2"/>
  <c r="E390" i="2"/>
  <c r="D390" i="2"/>
  <c r="C390" i="2"/>
  <c r="B390" i="2"/>
  <c r="A390" i="2"/>
  <c r="E389" i="2"/>
  <c r="D389" i="2"/>
  <c r="C389" i="2"/>
  <c r="B389" i="2"/>
  <c r="A389" i="2"/>
  <c r="E388" i="2"/>
  <c r="D388" i="2"/>
  <c r="C388" i="2"/>
  <c r="B388" i="2"/>
  <c r="A388" i="2"/>
  <c r="E387" i="2"/>
  <c r="D387" i="2"/>
  <c r="C387" i="2"/>
  <c r="B387" i="2"/>
  <c r="A387" i="2"/>
  <c r="E386" i="2"/>
  <c r="D386" i="2"/>
  <c r="C386" i="2"/>
  <c r="B386" i="2"/>
  <c r="A386" i="2"/>
  <c r="E385" i="2"/>
  <c r="D385" i="2"/>
  <c r="C385" i="2"/>
  <c r="B385" i="2"/>
  <c r="A385" i="2"/>
  <c r="E384" i="2"/>
  <c r="D384" i="2"/>
  <c r="C384" i="2"/>
  <c r="B384" i="2"/>
  <c r="A384" i="2"/>
  <c r="E383" i="2"/>
  <c r="D383" i="2"/>
  <c r="C383" i="2"/>
  <c r="B383" i="2"/>
  <c r="A383" i="2"/>
  <c r="E382" i="2"/>
  <c r="D382" i="2"/>
  <c r="C382" i="2"/>
  <c r="B382" i="2"/>
  <c r="A382" i="2"/>
  <c r="E381" i="2"/>
  <c r="D381" i="2"/>
  <c r="C381" i="2"/>
  <c r="B381" i="2"/>
  <c r="A381" i="2"/>
  <c r="E380" i="2"/>
  <c r="D380" i="2"/>
  <c r="C380" i="2"/>
  <c r="B380" i="2"/>
  <c r="A380" i="2"/>
  <c r="E379" i="2"/>
  <c r="D379" i="2"/>
  <c r="C379" i="2"/>
  <c r="B379" i="2"/>
  <c r="A379" i="2"/>
  <c r="E378" i="2"/>
  <c r="D378" i="2"/>
  <c r="C378" i="2"/>
  <c r="B378" i="2"/>
  <c r="A378" i="2"/>
  <c r="E377" i="2"/>
  <c r="D377" i="2"/>
  <c r="C377" i="2"/>
  <c r="B377" i="2"/>
  <c r="A377" i="2"/>
  <c r="E376" i="2"/>
  <c r="D376" i="2"/>
  <c r="C376" i="2"/>
  <c r="B376" i="2"/>
  <c r="A376" i="2"/>
  <c r="E375" i="2"/>
  <c r="D375" i="2"/>
  <c r="C375" i="2"/>
  <c r="B375" i="2"/>
  <c r="A375" i="2"/>
  <c r="E374" i="2"/>
  <c r="D374" i="2"/>
  <c r="C374" i="2"/>
  <c r="B374" i="2"/>
  <c r="A374" i="2"/>
  <c r="E373" i="2"/>
  <c r="D373" i="2"/>
  <c r="C373" i="2"/>
  <c r="B373" i="2"/>
  <c r="A373" i="2"/>
  <c r="E372" i="2"/>
  <c r="D372" i="2"/>
  <c r="C372" i="2"/>
  <c r="B372" i="2"/>
  <c r="A372" i="2"/>
  <c r="E371" i="2"/>
  <c r="D371" i="2"/>
  <c r="C371" i="2"/>
  <c r="B371" i="2"/>
  <c r="A371" i="2"/>
  <c r="E370" i="2"/>
  <c r="D370" i="2"/>
  <c r="C370" i="2"/>
  <c r="B370" i="2"/>
  <c r="A370" i="2"/>
  <c r="E369" i="2"/>
  <c r="D369" i="2"/>
  <c r="C369" i="2"/>
  <c r="B369" i="2"/>
  <c r="A369" i="2"/>
  <c r="E368" i="2"/>
  <c r="D368" i="2"/>
  <c r="C368" i="2"/>
  <c r="B368" i="2"/>
  <c r="A368" i="2"/>
  <c r="E367" i="2"/>
  <c r="D367" i="2"/>
  <c r="C367" i="2"/>
  <c r="B367" i="2"/>
  <c r="A367" i="2"/>
  <c r="E366" i="2"/>
  <c r="D366" i="2"/>
  <c r="C366" i="2"/>
  <c r="B366" i="2"/>
  <c r="A366" i="2"/>
  <c r="E365" i="2"/>
  <c r="D365" i="2"/>
  <c r="C365" i="2"/>
  <c r="B365" i="2"/>
  <c r="A365" i="2"/>
  <c r="E364" i="2"/>
  <c r="D364" i="2"/>
  <c r="C364" i="2"/>
  <c r="B364" i="2"/>
  <c r="A364" i="2"/>
  <c r="E363" i="2"/>
  <c r="D363" i="2"/>
  <c r="C363" i="2"/>
  <c r="B363" i="2"/>
  <c r="A363" i="2"/>
  <c r="E362" i="2"/>
  <c r="D362" i="2"/>
  <c r="C362" i="2"/>
  <c r="B362" i="2"/>
  <c r="A362" i="2"/>
  <c r="E361" i="2"/>
  <c r="D361" i="2"/>
  <c r="C361" i="2"/>
  <c r="B361" i="2"/>
  <c r="A361" i="2"/>
  <c r="E360" i="2"/>
  <c r="D360" i="2"/>
  <c r="C360" i="2"/>
  <c r="B360" i="2"/>
  <c r="A360" i="2"/>
  <c r="E359" i="2"/>
  <c r="D359" i="2"/>
  <c r="C359" i="2"/>
  <c r="B359" i="2"/>
  <c r="A359" i="2"/>
  <c r="E358" i="2"/>
  <c r="D358" i="2"/>
  <c r="C358" i="2"/>
  <c r="B358" i="2"/>
  <c r="A358" i="2"/>
  <c r="E357" i="2"/>
  <c r="D357" i="2"/>
  <c r="C357" i="2"/>
  <c r="B357" i="2"/>
  <c r="A357" i="2"/>
  <c r="E356" i="2"/>
  <c r="D356" i="2"/>
  <c r="C356" i="2"/>
  <c r="B356" i="2"/>
  <c r="A356" i="2"/>
  <c r="E355" i="2"/>
  <c r="D355" i="2"/>
  <c r="C355" i="2"/>
  <c r="B355" i="2"/>
  <c r="A355" i="2"/>
  <c r="E354" i="2"/>
  <c r="D354" i="2"/>
  <c r="C354" i="2"/>
  <c r="B354" i="2"/>
  <c r="A354" i="2"/>
  <c r="E353" i="2"/>
  <c r="D353" i="2"/>
  <c r="C353" i="2"/>
  <c r="B353" i="2"/>
  <c r="A353" i="2"/>
  <c r="E352" i="2"/>
  <c r="D352" i="2"/>
  <c r="C352" i="2"/>
  <c r="B352" i="2"/>
  <c r="A352" i="2"/>
  <c r="E351" i="2"/>
  <c r="D351" i="2"/>
  <c r="C351" i="2"/>
  <c r="B351" i="2"/>
  <c r="A351" i="2"/>
  <c r="E350" i="2"/>
  <c r="D350" i="2"/>
  <c r="C350" i="2"/>
  <c r="B350" i="2"/>
  <c r="A350" i="2"/>
  <c r="E349" i="2"/>
  <c r="D349" i="2"/>
  <c r="C349" i="2"/>
  <c r="B349" i="2"/>
  <c r="A349" i="2"/>
  <c r="E348" i="2"/>
  <c r="D348" i="2"/>
  <c r="C348" i="2"/>
  <c r="B348" i="2"/>
  <c r="A348" i="2"/>
  <c r="E347" i="2"/>
  <c r="D347" i="2"/>
  <c r="C347" i="2"/>
  <c r="B347" i="2"/>
  <c r="A347" i="2"/>
  <c r="E346" i="2"/>
  <c r="D346" i="2"/>
  <c r="C346" i="2"/>
  <c r="B346" i="2"/>
  <c r="A346" i="2"/>
  <c r="E345" i="2"/>
  <c r="D345" i="2"/>
  <c r="C345" i="2"/>
  <c r="B345" i="2"/>
  <c r="A345" i="2"/>
  <c r="E344" i="2"/>
  <c r="D344" i="2"/>
  <c r="C344" i="2"/>
  <c r="B344" i="2"/>
  <c r="A344" i="2"/>
  <c r="E343" i="2"/>
  <c r="D343" i="2"/>
  <c r="C343" i="2"/>
  <c r="B343" i="2"/>
  <c r="A343" i="2"/>
  <c r="E342" i="2"/>
  <c r="D342" i="2"/>
  <c r="C342" i="2"/>
  <c r="B342" i="2"/>
  <c r="A342" i="2"/>
  <c r="E341" i="2"/>
  <c r="D341" i="2"/>
  <c r="C341" i="2"/>
  <c r="B341" i="2"/>
  <c r="A341" i="2"/>
  <c r="E340" i="2"/>
  <c r="D340" i="2"/>
  <c r="C340" i="2"/>
  <c r="B340" i="2"/>
  <c r="A340" i="2"/>
  <c r="E339" i="2"/>
  <c r="D339" i="2"/>
  <c r="C339" i="2"/>
  <c r="B339" i="2"/>
  <c r="A339" i="2"/>
  <c r="E338" i="2"/>
  <c r="D338" i="2"/>
  <c r="C338" i="2"/>
  <c r="B338" i="2"/>
  <c r="A338" i="2"/>
  <c r="E337" i="2"/>
  <c r="D337" i="2"/>
  <c r="C337" i="2"/>
  <c r="B337" i="2"/>
  <c r="A337" i="2"/>
  <c r="E336" i="2"/>
  <c r="D336" i="2"/>
  <c r="C336" i="2"/>
  <c r="B336" i="2"/>
  <c r="A336" i="2"/>
  <c r="E335" i="2"/>
  <c r="D335" i="2"/>
  <c r="C335" i="2"/>
  <c r="B335" i="2"/>
  <c r="A335" i="2"/>
  <c r="E334" i="2"/>
  <c r="D334" i="2"/>
  <c r="C334" i="2"/>
  <c r="B334" i="2"/>
  <c r="A334" i="2"/>
  <c r="E333" i="2"/>
  <c r="D333" i="2"/>
  <c r="C333" i="2"/>
  <c r="B333" i="2"/>
  <c r="A333" i="2"/>
  <c r="E332" i="2"/>
  <c r="D332" i="2"/>
  <c r="C332" i="2"/>
  <c r="B332" i="2"/>
  <c r="A332" i="2"/>
  <c r="E331" i="2"/>
  <c r="D331" i="2"/>
  <c r="C331" i="2"/>
  <c r="B331" i="2"/>
  <c r="A331" i="2"/>
  <c r="E330" i="2"/>
  <c r="D330" i="2"/>
  <c r="C330" i="2"/>
  <c r="B330" i="2"/>
  <c r="A330" i="2"/>
  <c r="E329" i="2"/>
  <c r="D329" i="2"/>
  <c r="C329" i="2"/>
  <c r="B329" i="2"/>
  <c r="A329" i="2"/>
  <c r="E328" i="2"/>
  <c r="D328" i="2"/>
  <c r="C328" i="2"/>
  <c r="B328" i="2"/>
  <c r="A328" i="2"/>
  <c r="E327" i="2"/>
  <c r="D327" i="2"/>
  <c r="C327" i="2"/>
  <c r="B327" i="2"/>
  <c r="A327" i="2"/>
  <c r="E326" i="2"/>
  <c r="D326" i="2"/>
  <c r="C326" i="2"/>
  <c r="B326" i="2"/>
  <c r="A326" i="2"/>
  <c r="E325" i="2"/>
  <c r="D325" i="2"/>
  <c r="C325" i="2"/>
  <c r="B325" i="2"/>
  <c r="A325" i="2"/>
  <c r="E324" i="2"/>
  <c r="D324" i="2"/>
  <c r="C324" i="2"/>
  <c r="B324" i="2"/>
  <c r="A324" i="2"/>
  <c r="E323" i="2"/>
  <c r="D323" i="2"/>
  <c r="C323" i="2"/>
  <c r="B323" i="2"/>
  <c r="A323" i="2"/>
  <c r="E322" i="2"/>
  <c r="D322" i="2"/>
  <c r="C322" i="2"/>
  <c r="B322" i="2"/>
  <c r="A322" i="2"/>
  <c r="E321" i="2"/>
  <c r="D321" i="2"/>
  <c r="C321" i="2"/>
  <c r="B321" i="2"/>
  <c r="A321" i="2"/>
  <c r="E320" i="2"/>
  <c r="D320" i="2"/>
  <c r="C320" i="2"/>
  <c r="B320" i="2"/>
  <c r="A320" i="2"/>
  <c r="E319" i="2"/>
  <c r="D319" i="2"/>
  <c r="C319" i="2"/>
  <c r="B319" i="2"/>
  <c r="A319" i="2"/>
  <c r="E318" i="2"/>
  <c r="D318" i="2"/>
  <c r="C318" i="2"/>
  <c r="B318" i="2"/>
  <c r="A318" i="2"/>
  <c r="E317" i="2"/>
  <c r="D317" i="2"/>
  <c r="C317" i="2"/>
  <c r="B317" i="2"/>
  <c r="A317" i="2"/>
  <c r="E316" i="2"/>
  <c r="D316" i="2"/>
  <c r="C316" i="2"/>
  <c r="B316" i="2"/>
  <c r="A316" i="2"/>
  <c r="E315" i="2"/>
  <c r="D315" i="2"/>
  <c r="C315" i="2"/>
  <c r="B315" i="2"/>
  <c r="A315" i="2"/>
  <c r="E314" i="2"/>
  <c r="D314" i="2"/>
  <c r="C314" i="2"/>
  <c r="B314" i="2"/>
  <c r="A314" i="2"/>
  <c r="E313" i="2"/>
  <c r="D313" i="2"/>
  <c r="C313" i="2"/>
  <c r="B313" i="2"/>
  <c r="A313" i="2"/>
  <c r="E312" i="2"/>
  <c r="D312" i="2"/>
  <c r="C312" i="2"/>
  <c r="B312" i="2"/>
  <c r="A312" i="2"/>
  <c r="E311" i="2"/>
  <c r="D311" i="2"/>
  <c r="C311" i="2"/>
  <c r="B311" i="2"/>
  <c r="A311" i="2"/>
  <c r="E310" i="2"/>
  <c r="D310" i="2"/>
  <c r="C310" i="2"/>
  <c r="B310" i="2"/>
  <c r="A310" i="2"/>
  <c r="E309" i="2"/>
  <c r="D309" i="2"/>
  <c r="C309" i="2"/>
  <c r="B309" i="2"/>
  <c r="A309" i="2"/>
  <c r="E308" i="2"/>
  <c r="D308" i="2"/>
  <c r="C308" i="2"/>
  <c r="B308" i="2"/>
  <c r="A308" i="2"/>
  <c r="E307" i="2"/>
  <c r="D307" i="2"/>
  <c r="C307" i="2"/>
  <c r="B307" i="2"/>
  <c r="A307" i="2"/>
  <c r="E306" i="2"/>
  <c r="D306" i="2"/>
  <c r="C306" i="2"/>
  <c r="B306" i="2"/>
  <c r="A306" i="2"/>
  <c r="E305" i="2"/>
  <c r="D305" i="2"/>
  <c r="C305" i="2"/>
  <c r="B305" i="2"/>
  <c r="A305" i="2"/>
  <c r="E304" i="2"/>
  <c r="D304" i="2"/>
  <c r="C304" i="2"/>
  <c r="B304" i="2"/>
  <c r="A304" i="2"/>
  <c r="E303" i="2"/>
  <c r="D303" i="2"/>
  <c r="C303" i="2"/>
  <c r="B303" i="2"/>
  <c r="A303" i="2"/>
  <c r="E302" i="2"/>
  <c r="D302" i="2"/>
  <c r="C302" i="2"/>
  <c r="B302" i="2"/>
  <c r="A302" i="2"/>
  <c r="E301" i="2"/>
  <c r="D301" i="2"/>
  <c r="C301" i="2"/>
  <c r="B301" i="2"/>
  <c r="A301" i="2"/>
  <c r="E300" i="2"/>
  <c r="D300" i="2"/>
  <c r="C300" i="2"/>
  <c r="B300" i="2"/>
  <c r="A300" i="2"/>
  <c r="E299" i="2"/>
  <c r="D299" i="2"/>
  <c r="C299" i="2"/>
  <c r="B299" i="2"/>
  <c r="A299" i="2"/>
  <c r="E298" i="2"/>
  <c r="D298" i="2"/>
  <c r="C298" i="2"/>
  <c r="B298" i="2"/>
  <c r="A298" i="2"/>
  <c r="E297" i="2"/>
  <c r="D297" i="2"/>
  <c r="C297" i="2"/>
  <c r="B297" i="2"/>
  <c r="A297" i="2"/>
  <c r="E296" i="2"/>
  <c r="D296" i="2"/>
  <c r="C296" i="2"/>
  <c r="B296" i="2"/>
  <c r="A296" i="2"/>
  <c r="E295" i="2"/>
  <c r="D295" i="2"/>
  <c r="C295" i="2"/>
  <c r="B295" i="2"/>
  <c r="A295" i="2"/>
  <c r="E294" i="2"/>
  <c r="D294" i="2"/>
  <c r="C294" i="2"/>
  <c r="B294" i="2"/>
  <c r="A294" i="2"/>
  <c r="E293" i="2"/>
  <c r="D293" i="2"/>
  <c r="C293" i="2"/>
  <c r="B293" i="2"/>
  <c r="A293" i="2"/>
  <c r="E292" i="2"/>
  <c r="D292" i="2"/>
  <c r="C292" i="2"/>
  <c r="B292" i="2"/>
  <c r="A292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BA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E290" i="2"/>
  <c r="D290" i="2"/>
  <c r="C290" i="2"/>
  <c r="B290" i="2"/>
  <c r="A290" i="2"/>
  <c r="E289" i="2"/>
  <c r="D289" i="2"/>
  <c r="C289" i="2"/>
  <c r="B289" i="2"/>
  <c r="A289" i="2"/>
  <c r="E288" i="2"/>
  <c r="D288" i="2"/>
  <c r="C288" i="2"/>
  <c r="B288" i="2"/>
  <c r="A288" i="2"/>
  <c r="E287" i="2"/>
  <c r="D287" i="2"/>
  <c r="C287" i="2"/>
  <c r="B287" i="2"/>
  <c r="A287" i="2"/>
  <c r="E286" i="2"/>
  <c r="D286" i="2"/>
  <c r="C286" i="2"/>
  <c r="B286" i="2"/>
  <c r="A286" i="2"/>
  <c r="E285" i="2"/>
  <c r="D285" i="2"/>
  <c r="C285" i="2"/>
  <c r="B285" i="2"/>
  <c r="A285" i="2"/>
  <c r="E284" i="2"/>
  <c r="D284" i="2"/>
  <c r="C284" i="2"/>
  <c r="B284" i="2"/>
  <c r="A284" i="2"/>
  <c r="E283" i="2"/>
  <c r="D283" i="2"/>
  <c r="C283" i="2"/>
  <c r="B283" i="2"/>
  <c r="A283" i="2"/>
  <c r="E282" i="2"/>
  <c r="D282" i="2"/>
  <c r="C282" i="2"/>
  <c r="B282" i="2"/>
  <c r="A282" i="2"/>
  <c r="E281" i="2"/>
  <c r="D281" i="2"/>
  <c r="C281" i="2"/>
  <c r="B281" i="2"/>
  <c r="A281" i="2"/>
  <c r="E280" i="2"/>
  <c r="D280" i="2"/>
  <c r="C280" i="2"/>
  <c r="B280" i="2"/>
  <c r="A280" i="2"/>
  <c r="E279" i="2"/>
  <c r="D279" i="2"/>
  <c r="C279" i="2"/>
  <c r="B279" i="2"/>
  <c r="A279" i="2"/>
  <c r="E278" i="2"/>
  <c r="D278" i="2"/>
  <c r="C278" i="2"/>
  <c r="B278" i="2"/>
  <c r="A278" i="2"/>
  <c r="E277" i="2"/>
  <c r="D277" i="2"/>
  <c r="C277" i="2"/>
  <c r="B277" i="2"/>
  <c r="A277" i="2"/>
  <c r="E276" i="2"/>
  <c r="D276" i="2"/>
  <c r="C276" i="2"/>
  <c r="B276" i="2"/>
  <c r="A276" i="2"/>
  <c r="E275" i="2"/>
  <c r="D275" i="2"/>
  <c r="C275" i="2"/>
  <c r="B275" i="2"/>
  <c r="A275" i="2"/>
  <c r="E274" i="2"/>
  <c r="D274" i="2"/>
  <c r="C274" i="2"/>
  <c r="B274" i="2"/>
  <c r="A274" i="2"/>
  <c r="E273" i="2"/>
  <c r="D273" i="2"/>
  <c r="C273" i="2"/>
  <c r="B273" i="2"/>
  <c r="A273" i="2"/>
  <c r="E272" i="2"/>
  <c r="D272" i="2"/>
  <c r="C272" i="2"/>
  <c r="B272" i="2"/>
  <c r="A272" i="2"/>
  <c r="E271" i="2"/>
  <c r="D271" i="2"/>
  <c r="C271" i="2"/>
  <c r="B271" i="2"/>
  <c r="A271" i="2"/>
  <c r="E270" i="2"/>
  <c r="D270" i="2"/>
  <c r="C270" i="2"/>
  <c r="B270" i="2"/>
  <c r="A270" i="2"/>
  <c r="E269" i="2"/>
  <c r="D269" i="2"/>
  <c r="C269" i="2"/>
  <c r="B269" i="2"/>
  <c r="A269" i="2"/>
  <c r="E268" i="2"/>
  <c r="D268" i="2"/>
  <c r="C268" i="2"/>
  <c r="B268" i="2"/>
  <c r="A268" i="2"/>
  <c r="E267" i="2"/>
  <c r="D267" i="2"/>
  <c r="C267" i="2"/>
  <c r="B267" i="2"/>
  <c r="A267" i="2"/>
  <c r="E266" i="2"/>
  <c r="D266" i="2"/>
  <c r="C266" i="2"/>
  <c r="B266" i="2"/>
  <c r="A266" i="2"/>
  <c r="E265" i="2"/>
  <c r="D265" i="2"/>
  <c r="C265" i="2"/>
  <c r="B265" i="2"/>
  <c r="A265" i="2"/>
  <c r="E264" i="2"/>
  <c r="D264" i="2"/>
  <c r="C264" i="2"/>
  <c r="B264" i="2"/>
  <c r="A264" i="2"/>
  <c r="E263" i="2"/>
  <c r="D263" i="2"/>
  <c r="C263" i="2"/>
  <c r="B263" i="2"/>
  <c r="A263" i="2"/>
  <c r="E262" i="2"/>
  <c r="D262" i="2"/>
  <c r="C262" i="2"/>
  <c r="B262" i="2"/>
  <c r="A262" i="2"/>
  <c r="E261" i="2"/>
  <c r="D261" i="2"/>
  <c r="C261" i="2"/>
  <c r="B261" i="2"/>
  <c r="A261" i="2"/>
  <c r="E260" i="2"/>
  <c r="D260" i="2"/>
  <c r="C260" i="2"/>
  <c r="B260" i="2"/>
  <c r="A260" i="2"/>
  <c r="E259" i="2"/>
  <c r="D259" i="2"/>
  <c r="C259" i="2"/>
  <c r="B259" i="2"/>
  <c r="A259" i="2"/>
  <c r="E258" i="2"/>
  <c r="D258" i="2"/>
  <c r="C258" i="2"/>
  <c r="B258" i="2"/>
  <c r="A258" i="2"/>
  <c r="E257" i="2"/>
  <c r="D257" i="2"/>
  <c r="C257" i="2"/>
  <c r="B257" i="2"/>
  <c r="A257" i="2"/>
  <c r="E256" i="2"/>
  <c r="D256" i="2"/>
  <c r="C256" i="2"/>
  <c r="B256" i="2"/>
  <c r="A256" i="2"/>
  <c r="E255" i="2"/>
  <c r="D255" i="2"/>
  <c r="C255" i="2"/>
  <c r="B255" i="2"/>
  <c r="A255" i="2"/>
  <c r="E254" i="2"/>
  <c r="D254" i="2"/>
  <c r="C254" i="2"/>
  <c r="B254" i="2"/>
  <c r="A254" i="2"/>
  <c r="E253" i="2"/>
  <c r="D253" i="2"/>
  <c r="C253" i="2"/>
  <c r="B253" i="2"/>
  <c r="A253" i="2"/>
  <c r="E252" i="2"/>
  <c r="D252" i="2"/>
  <c r="C252" i="2"/>
  <c r="B252" i="2"/>
  <c r="A252" i="2"/>
  <c r="E251" i="2"/>
  <c r="D251" i="2"/>
  <c r="C251" i="2"/>
  <c r="B251" i="2"/>
  <c r="A251" i="2"/>
  <c r="E250" i="2"/>
  <c r="D250" i="2"/>
  <c r="C250" i="2"/>
  <c r="B250" i="2"/>
  <c r="A250" i="2"/>
  <c r="E249" i="2"/>
  <c r="D249" i="2"/>
  <c r="C249" i="2"/>
  <c r="B249" i="2"/>
  <c r="A249" i="2"/>
  <c r="E248" i="2"/>
  <c r="D248" i="2"/>
  <c r="C248" i="2"/>
  <c r="B248" i="2"/>
  <c r="A248" i="2"/>
  <c r="E247" i="2"/>
  <c r="D247" i="2"/>
  <c r="C247" i="2"/>
  <c r="B247" i="2"/>
  <c r="A247" i="2"/>
  <c r="E246" i="2"/>
  <c r="D246" i="2"/>
  <c r="C246" i="2"/>
  <c r="B246" i="2"/>
  <c r="A246" i="2"/>
  <c r="E245" i="2"/>
  <c r="D245" i="2"/>
  <c r="C245" i="2"/>
  <c r="B245" i="2"/>
  <c r="A245" i="2"/>
  <c r="E244" i="2"/>
  <c r="D244" i="2"/>
  <c r="C244" i="2"/>
  <c r="B244" i="2"/>
  <c r="A244" i="2"/>
  <c r="E243" i="2"/>
  <c r="D243" i="2"/>
  <c r="C243" i="2"/>
  <c r="B243" i="2"/>
  <c r="A243" i="2"/>
  <c r="E242" i="2"/>
  <c r="D242" i="2"/>
  <c r="C242" i="2"/>
  <c r="B242" i="2"/>
  <c r="A242" i="2"/>
  <c r="E241" i="2"/>
  <c r="D241" i="2"/>
  <c r="C241" i="2"/>
  <c r="B241" i="2"/>
  <c r="A241" i="2"/>
  <c r="E240" i="2"/>
  <c r="D240" i="2"/>
  <c r="C240" i="2"/>
  <c r="B240" i="2"/>
  <c r="A240" i="2"/>
  <c r="E239" i="2"/>
  <c r="D239" i="2"/>
  <c r="C239" i="2"/>
  <c r="B239" i="2"/>
  <c r="A239" i="2"/>
  <c r="E238" i="2"/>
  <c r="D238" i="2"/>
  <c r="C238" i="2"/>
  <c r="B238" i="2"/>
  <c r="A238" i="2"/>
  <c r="E237" i="2"/>
  <c r="D237" i="2"/>
  <c r="C237" i="2"/>
  <c r="B237" i="2"/>
  <c r="A237" i="2"/>
  <c r="E236" i="2"/>
  <c r="D236" i="2"/>
  <c r="C236" i="2"/>
  <c r="B236" i="2"/>
  <c r="A236" i="2"/>
  <c r="E235" i="2"/>
  <c r="D235" i="2"/>
  <c r="C235" i="2"/>
  <c r="B235" i="2"/>
  <c r="A235" i="2"/>
  <c r="E234" i="2"/>
  <c r="D234" i="2"/>
  <c r="C234" i="2"/>
  <c r="B234" i="2"/>
  <c r="A234" i="2"/>
  <c r="E233" i="2"/>
  <c r="D233" i="2"/>
  <c r="C233" i="2"/>
  <c r="B233" i="2"/>
  <c r="A233" i="2"/>
  <c r="E232" i="2"/>
  <c r="D232" i="2"/>
  <c r="C232" i="2"/>
  <c r="B232" i="2"/>
  <c r="A232" i="2"/>
  <c r="E231" i="2"/>
  <c r="D231" i="2"/>
  <c r="C231" i="2"/>
  <c r="B231" i="2"/>
  <c r="A231" i="2"/>
  <c r="E230" i="2"/>
  <c r="D230" i="2"/>
  <c r="C230" i="2"/>
  <c r="B230" i="2"/>
  <c r="A230" i="2"/>
  <c r="E229" i="2"/>
  <c r="D229" i="2"/>
  <c r="C229" i="2"/>
  <c r="B229" i="2"/>
  <c r="A229" i="2"/>
  <c r="E228" i="2"/>
  <c r="D228" i="2"/>
  <c r="C228" i="2"/>
  <c r="B228" i="2"/>
  <c r="A228" i="2"/>
  <c r="E227" i="2"/>
  <c r="D227" i="2"/>
  <c r="C227" i="2"/>
  <c r="B227" i="2"/>
  <c r="A227" i="2"/>
  <c r="E226" i="2"/>
  <c r="D226" i="2"/>
  <c r="C226" i="2"/>
  <c r="B226" i="2"/>
  <c r="A226" i="2"/>
  <c r="E225" i="2"/>
  <c r="D225" i="2"/>
  <c r="C225" i="2"/>
  <c r="B225" i="2"/>
  <c r="A225" i="2"/>
  <c r="E224" i="2"/>
  <c r="D224" i="2"/>
  <c r="C224" i="2"/>
  <c r="B224" i="2"/>
  <c r="A224" i="2"/>
  <c r="E223" i="2"/>
  <c r="D223" i="2"/>
  <c r="C223" i="2"/>
  <c r="B223" i="2"/>
  <c r="A223" i="2"/>
  <c r="E222" i="2"/>
  <c r="D222" i="2"/>
  <c r="C222" i="2"/>
  <c r="B222" i="2"/>
  <c r="A222" i="2"/>
  <c r="E221" i="2"/>
  <c r="D221" i="2"/>
  <c r="C221" i="2"/>
  <c r="B221" i="2"/>
  <c r="A221" i="2"/>
  <c r="E220" i="2"/>
  <c r="D220" i="2"/>
  <c r="C220" i="2"/>
  <c r="B220" i="2"/>
  <c r="A220" i="2"/>
  <c r="E219" i="2"/>
  <c r="D219" i="2"/>
  <c r="C219" i="2"/>
  <c r="B219" i="2"/>
  <c r="A219" i="2"/>
  <c r="E218" i="2"/>
  <c r="D218" i="2"/>
  <c r="C218" i="2"/>
  <c r="B218" i="2"/>
  <c r="A218" i="2"/>
  <c r="E217" i="2"/>
  <c r="D217" i="2"/>
  <c r="C217" i="2"/>
  <c r="B217" i="2"/>
  <c r="A217" i="2"/>
  <c r="E216" i="2"/>
  <c r="D216" i="2"/>
  <c r="C216" i="2"/>
  <c r="B216" i="2"/>
  <c r="A216" i="2"/>
  <c r="E215" i="2"/>
  <c r="D215" i="2"/>
  <c r="C215" i="2"/>
  <c r="B215" i="2"/>
  <c r="A215" i="2"/>
  <c r="E214" i="2"/>
  <c r="D214" i="2"/>
  <c r="C214" i="2"/>
  <c r="B214" i="2"/>
  <c r="A214" i="2"/>
  <c r="E213" i="2"/>
  <c r="D213" i="2"/>
  <c r="C213" i="2"/>
  <c r="B213" i="2"/>
  <c r="A213" i="2"/>
  <c r="E212" i="2"/>
  <c r="D212" i="2"/>
  <c r="C212" i="2"/>
  <c r="B212" i="2"/>
  <c r="A212" i="2"/>
  <c r="E211" i="2"/>
  <c r="D211" i="2"/>
  <c r="C211" i="2"/>
  <c r="B211" i="2"/>
  <c r="A211" i="2"/>
  <c r="E210" i="2"/>
  <c r="D210" i="2"/>
  <c r="C210" i="2"/>
  <c r="B210" i="2"/>
  <c r="A210" i="2"/>
  <c r="E209" i="2"/>
  <c r="D209" i="2"/>
  <c r="C209" i="2"/>
  <c r="B209" i="2"/>
  <c r="A209" i="2"/>
  <c r="E208" i="2"/>
  <c r="D208" i="2"/>
  <c r="C208" i="2"/>
  <c r="B208" i="2"/>
  <c r="A208" i="2"/>
  <c r="E207" i="2"/>
  <c r="D207" i="2"/>
  <c r="C207" i="2"/>
  <c r="B207" i="2"/>
  <c r="A207" i="2"/>
  <c r="E206" i="2"/>
  <c r="D206" i="2"/>
  <c r="C206" i="2"/>
  <c r="B206" i="2"/>
  <c r="A206" i="2"/>
  <c r="E205" i="2"/>
  <c r="D205" i="2"/>
  <c r="C205" i="2"/>
  <c r="B205" i="2"/>
  <c r="A205" i="2"/>
  <c r="E204" i="2"/>
  <c r="D204" i="2"/>
  <c r="C204" i="2"/>
  <c r="B204" i="2"/>
  <c r="A204" i="2"/>
  <c r="E203" i="2"/>
  <c r="D203" i="2"/>
  <c r="C203" i="2"/>
  <c r="B203" i="2"/>
  <c r="A203" i="2"/>
  <c r="E202" i="2"/>
  <c r="D202" i="2"/>
  <c r="C202" i="2"/>
  <c r="B202" i="2"/>
  <c r="A202" i="2"/>
  <c r="E201" i="2"/>
  <c r="D201" i="2"/>
  <c r="C201" i="2"/>
  <c r="B201" i="2"/>
  <c r="A201" i="2"/>
  <c r="E200" i="2"/>
  <c r="D200" i="2"/>
  <c r="C200" i="2"/>
  <c r="B200" i="2"/>
  <c r="A200" i="2"/>
  <c r="E199" i="2"/>
  <c r="D199" i="2"/>
  <c r="C199" i="2"/>
  <c r="B199" i="2"/>
  <c r="A199" i="2"/>
  <c r="E198" i="2"/>
  <c r="D198" i="2"/>
  <c r="C198" i="2"/>
  <c r="B198" i="2"/>
  <c r="A198" i="2"/>
  <c r="E197" i="2"/>
  <c r="D197" i="2"/>
  <c r="C197" i="2"/>
  <c r="B197" i="2"/>
  <c r="A197" i="2"/>
  <c r="E196" i="2"/>
  <c r="D196" i="2"/>
  <c r="C196" i="2"/>
  <c r="B196" i="2"/>
  <c r="A196" i="2"/>
  <c r="E195" i="2"/>
  <c r="D195" i="2"/>
  <c r="C195" i="2"/>
  <c r="B195" i="2"/>
  <c r="A195" i="2"/>
  <c r="E194" i="2"/>
  <c r="D194" i="2"/>
  <c r="C194" i="2"/>
  <c r="B194" i="2"/>
  <c r="A194" i="2"/>
  <c r="E193" i="2"/>
  <c r="D193" i="2"/>
  <c r="C193" i="2"/>
  <c r="B193" i="2"/>
  <c r="A193" i="2"/>
  <c r="E192" i="2"/>
  <c r="D192" i="2"/>
  <c r="C192" i="2"/>
  <c r="B192" i="2"/>
  <c r="A192" i="2"/>
  <c r="E191" i="2"/>
  <c r="D191" i="2"/>
  <c r="C191" i="2"/>
  <c r="B191" i="2"/>
  <c r="A191" i="2"/>
  <c r="E190" i="2"/>
  <c r="D190" i="2"/>
  <c r="C190" i="2"/>
  <c r="B190" i="2"/>
  <c r="A190" i="2"/>
  <c r="E189" i="2"/>
  <c r="D189" i="2"/>
  <c r="C189" i="2"/>
  <c r="B189" i="2"/>
  <c r="A189" i="2"/>
  <c r="E188" i="2"/>
  <c r="D188" i="2"/>
  <c r="C188" i="2"/>
  <c r="B188" i="2"/>
  <c r="A188" i="2"/>
  <c r="E187" i="2"/>
  <c r="D187" i="2"/>
  <c r="C187" i="2"/>
  <c r="B187" i="2"/>
  <c r="A187" i="2"/>
  <c r="E186" i="2"/>
  <c r="D186" i="2"/>
  <c r="C186" i="2"/>
  <c r="B186" i="2"/>
  <c r="A186" i="2"/>
  <c r="E185" i="2"/>
  <c r="D185" i="2"/>
  <c r="C185" i="2"/>
  <c r="B185" i="2"/>
  <c r="A185" i="2"/>
  <c r="E184" i="2"/>
  <c r="D184" i="2"/>
  <c r="C184" i="2"/>
  <c r="B184" i="2"/>
  <c r="A184" i="2"/>
  <c r="E183" i="2"/>
  <c r="D183" i="2"/>
  <c r="C183" i="2"/>
  <c r="B183" i="2"/>
  <c r="A183" i="2"/>
  <c r="E182" i="2"/>
  <c r="D182" i="2"/>
  <c r="C182" i="2"/>
  <c r="B182" i="2"/>
  <c r="A182" i="2"/>
  <c r="E181" i="2"/>
  <c r="D181" i="2"/>
  <c r="C181" i="2"/>
  <c r="B181" i="2"/>
  <c r="A181" i="2"/>
  <c r="E180" i="2"/>
  <c r="D180" i="2"/>
  <c r="C180" i="2"/>
  <c r="B180" i="2"/>
  <c r="A180" i="2"/>
  <c r="E179" i="2"/>
  <c r="D179" i="2"/>
  <c r="C179" i="2"/>
  <c r="B179" i="2"/>
  <c r="A179" i="2"/>
  <c r="E178" i="2"/>
  <c r="D178" i="2"/>
  <c r="C178" i="2"/>
  <c r="B178" i="2"/>
  <c r="A178" i="2"/>
  <c r="E177" i="2"/>
  <c r="D177" i="2"/>
  <c r="C177" i="2"/>
  <c r="B177" i="2"/>
  <c r="A177" i="2"/>
  <c r="E176" i="2"/>
  <c r="D176" i="2"/>
  <c r="C176" i="2"/>
  <c r="B176" i="2"/>
  <c r="A176" i="2"/>
  <c r="E175" i="2"/>
  <c r="D175" i="2"/>
  <c r="C175" i="2"/>
  <c r="B175" i="2"/>
  <c r="A175" i="2"/>
  <c r="E174" i="2"/>
  <c r="D174" i="2"/>
  <c r="C174" i="2"/>
  <c r="B174" i="2"/>
  <c r="A174" i="2"/>
  <c r="E173" i="2"/>
  <c r="D173" i="2"/>
  <c r="C173" i="2"/>
  <c r="B173" i="2"/>
  <c r="A173" i="2"/>
  <c r="E172" i="2"/>
  <c r="D172" i="2"/>
  <c r="C172" i="2"/>
  <c r="B172" i="2"/>
  <c r="A172" i="2"/>
  <c r="E171" i="2"/>
  <c r="D171" i="2"/>
  <c r="C171" i="2"/>
  <c r="B171" i="2"/>
  <c r="A171" i="2"/>
  <c r="E170" i="2"/>
  <c r="D170" i="2"/>
  <c r="C170" i="2"/>
  <c r="B170" i="2"/>
  <c r="A170" i="2"/>
  <c r="E169" i="2"/>
  <c r="D169" i="2"/>
  <c r="C169" i="2"/>
  <c r="B169" i="2"/>
  <c r="A169" i="2"/>
  <c r="E168" i="2"/>
  <c r="D168" i="2"/>
  <c r="C168" i="2"/>
  <c r="B168" i="2"/>
  <c r="A168" i="2"/>
  <c r="E167" i="2"/>
  <c r="D167" i="2"/>
  <c r="C167" i="2"/>
  <c r="B167" i="2"/>
  <c r="A167" i="2"/>
  <c r="E166" i="2"/>
  <c r="D166" i="2"/>
  <c r="C166" i="2"/>
  <c r="B166" i="2"/>
  <c r="A166" i="2"/>
  <c r="E165" i="2"/>
  <c r="D165" i="2"/>
  <c r="C165" i="2"/>
  <c r="B165" i="2"/>
  <c r="A165" i="2"/>
  <c r="E164" i="2"/>
  <c r="D164" i="2"/>
  <c r="C164" i="2"/>
  <c r="B164" i="2"/>
  <c r="A164" i="2"/>
  <c r="E163" i="2"/>
  <c r="D163" i="2"/>
  <c r="C163" i="2"/>
  <c r="B163" i="2"/>
  <c r="A163" i="2"/>
  <c r="E162" i="2"/>
  <c r="D162" i="2"/>
  <c r="C162" i="2"/>
  <c r="B162" i="2"/>
  <c r="A162" i="2"/>
  <c r="E161" i="2"/>
  <c r="D161" i="2"/>
  <c r="C161" i="2"/>
  <c r="B161" i="2"/>
  <c r="A161" i="2"/>
  <c r="E160" i="2"/>
  <c r="D160" i="2"/>
  <c r="C160" i="2"/>
  <c r="B160" i="2"/>
  <c r="A160" i="2"/>
  <c r="E159" i="2"/>
  <c r="D159" i="2"/>
  <c r="C159" i="2"/>
  <c r="B159" i="2"/>
  <c r="A159" i="2"/>
  <c r="E158" i="2"/>
  <c r="D158" i="2"/>
  <c r="C158" i="2"/>
  <c r="B158" i="2"/>
  <c r="A158" i="2"/>
  <c r="E157" i="2"/>
  <c r="D157" i="2"/>
  <c r="C157" i="2"/>
  <c r="B157" i="2"/>
  <c r="A157" i="2"/>
  <c r="E156" i="2"/>
  <c r="D156" i="2"/>
  <c r="C156" i="2"/>
  <c r="B156" i="2"/>
  <c r="A156" i="2"/>
  <c r="E155" i="2"/>
  <c r="D155" i="2"/>
  <c r="C155" i="2"/>
  <c r="B155" i="2"/>
  <c r="A155" i="2"/>
  <c r="E154" i="2"/>
  <c r="D154" i="2"/>
  <c r="C154" i="2"/>
  <c r="B154" i="2"/>
  <c r="A154" i="2"/>
  <c r="E153" i="2"/>
  <c r="D153" i="2"/>
  <c r="C153" i="2"/>
  <c r="B153" i="2"/>
  <c r="A153" i="2"/>
  <c r="E152" i="2"/>
  <c r="D152" i="2"/>
  <c r="C152" i="2"/>
  <c r="B152" i="2"/>
  <c r="A152" i="2"/>
  <c r="E151" i="2"/>
  <c r="D151" i="2"/>
  <c r="C151" i="2"/>
  <c r="B151" i="2"/>
  <c r="A151" i="2"/>
  <c r="E150" i="2"/>
  <c r="D150" i="2"/>
  <c r="C150" i="2"/>
  <c r="B150" i="2"/>
  <c r="A150" i="2"/>
  <c r="E149" i="2"/>
  <c r="D149" i="2"/>
  <c r="C149" i="2"/>
  <c r="B149" i="2"/>
  <c r="A149" i="2"/>
  <c r="E148" i="2"/>
  <c r="D148" i="2"/>
  <c r="C148" i="2"/>
  <c r="B148" i="2"/>
  <c r="A148" i="2"/>
  <c r="E147" i="2"/>
  <c r="D147" i="2"/>
  <c r="C147" i="2"/>
  <c r="B147" i="2"/>
  <c r="A147" i="2"/>
  <c r="E146" i="2"/>
  <c r="D146" i="2"/>
  <c r="C146" i="2"/>
  <c r="B146" i="2"/>
  <c r="A146" i="2"/>
  <c r="E145" i="2"/>
  <c r="D145" i="2"/>
  <c r="C145" i="2"/>
  <c r="B145" i="2"/>
  <c r="A145" i="2"/>
  <c r="E144" i="2"/>
  <c r="D144" i="2"/>
  <c r="C144" i="2"/>
  <c r="B144" i="2"/>
  <c r="A144" i="2"/>
  <c r="E143" i="2"/>
  <c r="D143" i="2"/>
  <c r="C143" i="2"/>
  <c r="B143" i="2"/>
  <c r="A143" i="2"/>
  <c r="E142" i="2"/>
  <c r="D142" i="2"/>
  <c r="C142" i="2"/>
  <c r="B142" i="2"/>
  <c r="A142" i="2"/>
  <c r="E141" i="2"/>
  <c r="D141" i="2"/>
  <c r="C141" i="2"/>
  <c r="B141" i="2"/>
  <c r="A141" i="2"/>
  <c r="E140" i="2"/>
  <c r="D140" i="2"/>
  <c r="C140" i="2"/>
  <c r="B140" i="2"/>
  <c r="A140" i="2"/>
  <c r="E139" i="2"/>
  <c r="D139" i="2"/>
  <c r="C139" i="2"/>
  <c r="B139" i="2"/>
  <c r="A139" i="2"/>
  <c r="E138" i="2"/>
  <c r="D138" i="2"/>
  <c r="C138" i="2"/>
  <c r="B138" i="2"/>
  <c r="A138" i="2"/>
  <c r="E137" i="2"/>
  <c r="D137" i="2"/>
  <c r="C137" i="2"/>
  <c r="B137" i="2"/>
  <c r="A137" i="2"/>
  <c r="E136" i="2"/>
  <c r="D136" i="2"/>
  <c r="C136" i="2"/>
  <c r="B136" i="2"/>
  <c r="A136" i="2"/>
  <c r="E135" i="2"/>
  <c r="D135" i="2"/>
  <c r="C135" i="2"/>
  <c r="B135" i="2"/>
  <c r="A135" i="2"/>
  <c r="E134" i="2"/>
  <c r="D134" i="2"/>
  <c r="C134" i="2"/>
  <c r="B134" i="2"/>
  <c r="A134" i="2"/>
  <c r="E133" i="2"/>
  <c r="D133" i="2"/>
  <c r="C133" i="2"/>
  <c r="B133" i="2"/>
  <c r="A133" i="2"/>
  <c r="E132" i="2"/>
  <c r="D132" i="2"/>
  <c r="C132" i="2"/>
  <c r="B132" i="2"/>
  <c r="A132" i="2"/>
  <c r="E131" i="2"/>
  <c r="D131" i="2"/>
  <c r="C131" i="2"/>
  <c r="B131" i="2"/>
  <c r="A131" i="2"/>
  <c r="E130" i="2"/>
  <c r="D130" i="2"/>
  <c r="C130" i="2"/>
  <c r="B130" i="2"/>
  <c r="A130" i="2"/>
  <c r="E129" i="2"/>
  <c r="D129" i="2"/>
  <c r="C129" i="2"/>
  <c r="B129" i="2"/>
  <c r="A129" i="2"/>
  <c r="E128" i="2"/>
  <c r="D128" i="2"/>
  <c r="C128" i="2"/>
  <c r="B128" i="2"/>
  <c r="A128" i="2"/>
  <c r="E127" i="2"/>
  <c r="D127" i="2"/>
  <c r="C127" i="2"/>
  <c r="B127" i="2"/>
  <c r="A127" i="2"/>
  <c r="E126" i="2"/>
  <c r="D126" i="2"/>
  <c r="C126" i="2"/>
  <c r="B126" i="2"/>
  <c r="A126" i="2"/>
  <c r="E125" i="2"/>
  <c r="D125" i="2"/>
  <c r="C125" i="2"/>
  <c r="B125" i="2"/>
  <c r="A125" i="2"/>
  <c r="E124" i="2"/>
  <c r="D124" i="2"/>
  <c r="C124" i="2"/>
  <c r="B124" i="2"/>
  <c r="A124" i="2"/>
  <c r="E123" i="2"/>
  <c r="D123" i="2"/>
  <c r="C123" i="2"/>
  <c r="B123" i="2"/>
  <c r="A123" i="2"/>
  <c r="E122" i="2"/>
  <c r="D122" i="2"/>
  <c r="C122" i="2"/>
  <c r="B122" i="2"/>
  <c r="A122" i="2"/>
  <c r="E121" i="2"/>
  <c r="D121" i="2"/>
  <c r="C121" i="2"/>
  <c r="B121" i="2"/>
  <c r="A121" i="2"/>
  <c r="E120" i="2"/>
  <c r="D120" i="2"/>
  <c r="C120" i="2"/>
  <c r="B120" i="2"/>
  <c r="A120" i="2"/>
  <c r="E119" i="2"/>
  <c r="D119" i="2"/>
  <c r="C119" i="2"/>
  <c r="B119" i="2"/>
  <c r="A119" i="2"/>
  <c r="E118" i="2"/>
  <c r="D118" i="2"/>
  <c r="C118" i="2"/>
  <c r="B118" i="2"/>
  <c r="A118" i="2"/>
  <c r="E117" i="2"/>
  <c r="D117" i="2"/>
  <c r="C117" i="2"/>
  <c r="B117" i="2"/>
  <c r="A117" i="2"/>
  <c r="E116" i="2"/>
  <c r="D116" i="2"/>
  <c r="C116" i="2"/>
  <c r="B116" i="2"/>
  <c r="A116" i="2"/>
  <c r="E115" i="2"/>
  <c r="D115" i="2"/>
  <c r="C115" i="2"/>
  <c r="B115" i="2"/>
  <c r="A115" i="2"/>
  <c r="E114" i="2"/>
  <c r="D114" i="2"/>
  <c r="C114" i="2"/>
  <c r="B114" i="2"/>
  <c r="A114" i="2"/>
  <c r="E113" i="2"/>
  <c r="D113" i="2"/>
  <c r="C113" i="2"/>
  <c r="B113" i="2"/>
  <c r="A113" i="2"/>
  <c r="E112" i="2"/>
  <c r="D112" i="2"/>
  <c r="C112" i="2"/>
  <c r="B112" i="2"/>
  <c r="A112" i="2"/>
  <c r="E111" i="2"/>
  <c r="D111" i="2"/>
  <c r="C111" i="2"/>
  <c r="B111" i="2"/>
  <c r="A111" i="2"/>
  <c r="E110" i="2"/>
  <c r="D110" i="2"/>
  <c r="C110" i="2"/>
  <c r="B110" i="2"/>
  <c r="A110" i="2"/>
  <c r="E109" i="2"/>
  <c r="D109" i="2"/>
  <c r="C109" i="2"/>
  <c r="B109" i="2"/>
  <c r="A109" i="2"/>
  <c r="E108" i="2"/>
  <c r="D108" i="2"/>
  <c r="C108" i="2"/>
  <c r="B108" i="2"/>
  <c r="A108" i="2"/>
  <c r="E107" i="2"/>
  <c r="D107" i="2"/>
  <c r="C107" i="2"/>
  <c r="B107" i="2"/>
  <c r="A107" i="2"/>
  <c r="E106" i="2"/>
  <c r="D106" i="2"/>
  <c r="C106" i="2"/>
  <c r="B106" i="2"/>
  <c r="A106" i="2"/>
  <c r="E105" i="2"/>
  <c r="D105" i="2"/>
  <c r="C105" i="2"/>
  <c r="B105" i="2"/>
  <c r="A105" i="2"/>
  <c r="E104" i="2"/>
  <c r="D104" i="2"/>
  <c r="C104" i="2"/>
  <c r="B104" i="2"/>
  <c r="A104" i="2"/>
  <c r="E103" i="2"/>
  <c r="D103" i="2"/>
  <c r="C103" i="2"/>
  <c r="B103" i="2"/>
  <c r="A103" i="2"/>
  <c r="E102" i="2"/>
  <c r="D102" i="2"/>
  <c r="C102" i="2"/>
  <c r="B102" i="2"/>
  <c r="A102" i="2"/>
  <c r="E101" i="2"/>
  <c r="D101" i="2"/>
  <c r="C101" i="2"/>
  <c r="B101" i="2"/>
  <c r="A101" i="2"/>
  <c r="E100" i="2"/>
  <c r="D100" i="2"/>
  <c r="C100" i="2"/>
  <c r="B100" i="2"/>
  <c r="A100" i="2"/>
  <c r="E99" i="2"/>
  <c r="D99" i="2"/>
  <c r="C99" i="2"/>
  <c r="B99" i="2"/>
  <c r="A99" i="2"/>
  <c r="E98" i="2"/>
  <c r="D98" i="2"/>
  <c r="C98" i="2"/>
  <c r="B98" i="2"/>
  <c r="A98" i="2"/>
  <c r="E97" i="2"/>
  <c r="D97" i="2"/>
  <c r="C97" i="2"/>
  <c r="B97" i="2"/>
  <c r="A97" i="2"/>
  <c r="E96" i="2"/>
  <c r="D96" i="2"/>
  <c r="C96" i="2"/>
  <c r="B96" i="2"/>
  <c r="A96" i="2"/>
  <c r="E95" i="2"/>
  <c r="D95" i="2"/>
  <c r="C95" i="2"/>
  <c r="B95" i="2"/>
  <c r="A95" i="2"/>
  <c r="E94" i="2"/>
  <c r="D94" i="2"/>
  <c r="C94" i="2"/>
  <c r="B94" i="2"/>
  <c r="A94" i="2"/>
  <c r="E93" i="2"/>
  <c r="D93" i="2"/>
  <c r="C93" i="2"/>
  <c r="B93" i="2"/>
  <c r="A93" i="2"/>
  <c r="E92" i="2"/>
  <c r="D92" i="2"/>
  <c r="C92" i="2"/>
  <c r="B92" i="2"/>
  <c r="A92" i="2"/>
  <c r="E91" i="2"/>
  <c r="D91" i="2"/>
  <c r="C91" i="2"/>
  <c r="B91" i="2"/>
  <c r="A91" i="2"/>
  <c r="E90" i="2"/>
  <c r="D90" i="2"/>
  <c r="C90" i="2"/>
  <c r="B90" i="2"/>
  <c r="A90" i="2"/>
  <c r="E89" i="2"/>
  <c r="D89" i="2"/>
  <c r="C89" i="2"/>
  <c r="B89" i="2"/>
  <c r="A89" i="2"/>
  <c r="E88" i="2"/>
  <c r="D88" i="2"/>
  <c r="C88" i="2"/>
  <c r="B88" i="2"/>
  <c r="A88" i="2"/>
  <c r="E87" i="2"/>
  <c r="D87" i="2"/>
  <c r="C87" i="2"/>
  <c r="B87" i="2"/>
  <c r="A87" i="2"/>
  <c r="E86" i="2"/>
  <c r="D86" i="2"/>
  <c r="C86" i="2"/>
  <c r="B86" i="2"/>
  <c r="A86" i="2"/>
  <c r="E85" i="2"/>
  <c r="D85" i="2"/>
  <c r="C85" i="2"/>
  <c r="B85" i="2"/>
  <c r="A85" i="2"/>
  <c r="E84" i="2"/>
  <c r="D84" i="2"/>
  <c r="C84" i="2"/>
  <c r="B84" i="2"/>
  <c r="A84" i="2"/>
  <c r="E83" i="2"/>
  <c r="D83" i="2"/>
  <c r="C83" i="2"/>
  <c r="B83" i="2"/>
  <c r="A83" i="2"/>
  <c r="E82" i="2"/>
  <c r="D82" i="2"/>
  <c r="C82" i="2"/>
  <c r="B82" i="2"/>
  <c r="A82" i="2"/>
  <c r="E81" i="2"/>
  <c r="D81" i="2"/>
  <c r="C81" i="2"/>
  <c r="B81" i="2"/>
  <c r="A81" i="2"/>
  <c r="E80" i="2"/>
  <c r="D80" i="2"/>
  <c r="C80" i="2"/>
  <c r="B80" i="2"/>
  <c r="A80" i="2"/>
  <c r="E79" i="2"/>
  <c r="D79" i="2"/>
  <c r="C79" i="2"/>
  <c r="B79" i="2"/>
  <c r="A79" i="2"/>
  <c r="E78" i="2"/>
  <c r="D78" i="2"/>
  <c r="C78" i="2"/>
  <c r="B78" i="2"/>
  <c r="A78" i="2"/>
  <c r="E77" i="2"/>
  <c r="D77" i="2"/>
  <c r="C77" i="2"/>
  <c r="B77" i="2"/>
  <c r="A77" i="2"/>
  <c r="E76" i="2"/>
  <c r="D76" i="2"/>
  <c r="C76" i="2"/>
  <c r="B76" i="2"/>
  <c r="A76" i="2"/>
  <c r="E75" i="2"/>
  <c r="D75" i="2"/>
  <c r="C75" i="2"/>
  <c r="B75" i="2"/>
  <c r="A75" i="2"/>
  <c r="E74" i="2"/>
  <c r="D74" i="2"/>
  <c r="C74" i="2"/>
  <c r="B74" i="2"/>
  <c r="A74" i="2"/>
  <c r="E73" i="2"/>
  <c r="D73" i="2"/>
  <c r="C73" i="2"/>
  <c r="B73" i="2"/>
  <c r="A73" i="2"/>
  <c r="E72" i="2"/>
  <c r="D72" i="2"/>
  <c r="C72" i="2"/>
  <c r="B72" i="2"/>
  <c r="A72" i="2"/>
  <c r="E71" i="2"/>
  <c r="D71" i="2"/>
  <c r="C71" i="2"/>
  <c r="B71" i="2"/>
  <c r="A71" i="2"/>
  <c r="E70" i="2"/>
  <c r="D70" i="2"/>
  <c r="C70" i="2"/>
  <c r="B70" i="2"/>
  <c r="A70" i="2"/>
  <c r="E69" i="2"/>
  <c r="D69" i="2"/>
  <c r="C69" i="2"/>
  <c r="B69" i="2"/>
  <c r="A69" i="2"/>
  <c r="E68" i="2"/>
  <c r="D68" i="2"/>
  <c r="C68" i="2"/>
  <c r="B68" i="2"/>
  <c r="A68" i="2"/>
  <c r="E67" i="2"/>
  <c r="D67" i="2"/>
  <c r="C67" i="2"/>
  <c r="B67" i="2"/>
  <c r="A67" i="2"/>
  <c r="E66" i="2"/>
  <c r="D66" i="2"/>
  <c r="C66" i="2"/>
  <c r="B66" i="2"/>
  <c r="A66" i="2"/>
  <c r="E65" i="2"/>
  <c r="D65" i="2"/>
  <c r="C65" i="2"/>
  <c r="B65" i="2"/>
  <c r="A65" i="2"/>
  <c r="E64" i="2"/>
  <c r="D64" i="2"/>
  <c r="C64" i="2"/>
  <c r="B64" i="2"/>
  <c r="A64" i="2"/>
  <c r="E63" i="2"/>
  <c r="D63" i="2"/>
  <c r="C63" i="2"/>
  <c r="B63" i="2"/>
  <c r="A63" i="2"/>
  <c r="E62" i="2"/>
  <c r="D62" i="2"/>
  <c r="C62" i="2"/>
  <c r="B62" i="2"/>
  <c r="A62" i="2"/>
  <c r="E61" i="2"/>
  <c r="D61" i="2"/>
  <c r="C61" i="2"/>
  <c r="B61" i="2"/>
  <c r="A61" i="2"/>
  <c r="E60" i="2"/>
  <c r="D60" i="2"/>
  <c r="C60" i="2"/>
  <c r="B60" i="2"/>
  <c r="A60" i="2"/>
  <c r="E59" i="2"/>
  <c r="D59" i="2"/>
  <c r="C59" i="2"/>
  <c r="B59" i="2"/>
  <c r="A59" i="2"/>
  <c r="E58" i="2"/>
  <c r="D58" i="2"/>
  <c r="C58" i="2"/>
  <c r="B58" i="2"/>
  <c r="A58" i="2"/>
  <c r="E57" i="2"/>
  <c r="D57" i="2"/>
  <c r="C57" i="2"/>
  <c r="B57" i="2"/>
  <c r="A57" i="2"/>
  <c r="E56" i="2"/>
  <c r="D56" i="2"/>
  <c r="C56" i="2"/>
  <c r="B56" i="2"/>
  <c r="A56" i="2"/>
  <c r="E55" i="2"/>
  <c r="D55" i="2"/>
  <c r="C55" i="2"/>
  <c r="B55" i="2"/>
  <c r="A55" i="2"/>
  <c r="E54" i="2"/>
  <c r="D54" i="2"/>
  <c r="C54" i="2"/>
  <c r="B54" i="2"/>
  <c r="A54" i="2"/>
  <c r="E53" i="2"/>
  <c r="D53" i="2"/>
  <c r="C53" i="2"/>
  <c r="B53" i="2"/>
  <c r="A53" i="2"/>
  <c r="E52" i="2"/>
  <c r="D52" i="2"/>
  <c r="C52" i="2"/>
  <c r="B52" i="2"/>
  <c r="A52" i="2"/>
  <c r="E51" i="2"/>
  <c r="D51" i="2"/>
  <c r="C51" i="2"/>
  <c r="B51" i="2"/>
  <c r="A51" i="2"/>
  <c r="E50" i="2"/>
  <c r="D50" i="2"/>
  <c r="C50" i="2"/>
  <c r="B50" i="2"/>
  <c r="A50" i="2"/>
  <c r="E49" i="2"/>
  <c r="D49" i="2"/>
  <c r="C49" i="2"/>
  <c r="B49" i="2"/>
  <c r="A49" i="2"/>
  <c r="E48" i="2"/>
  <c r="D48" i="2"/>
  <c r="C48" i="2"/>
  <c r="B48" i="2"/>
  <c r="A48" i="2"/>
  <c r="E47" i="2"/>
  <c r="D47" i="2"/>
  <c r="C47" i="2"/>
  <c r="B47" i="2"/>
  <c r="A47" i="2"/>
  <c r="E46" i="2"/>
  <c r="D46" i="2"/>
  <c r="C46" i="2"/>
  <c r="B46" i="2"/>
  <c r="A46" i="2"/>
  <c r="E45" i="2"/>
  <c r="D45" i="2"/>
  <c r="C45" i="2"/>
  <c r="B45" i="2"/>
  <c r="A45" i="2"/>
  <c r="E44" i="2"/>
  <c r="D44" i="2"/>
  <c r="C44" i="2"/>
  <c r="B44" i="2"/>
  <c r="A44" i="2"/>
  <c r="E43" i="2"/>
  <c r="D43" i="2"/>
  <c r="C43" i="2"/>
  <c r="B43" i="2"/>
  <c r="A43" i="2"/>
  <c r="E42" i="2"/>
  <c r="D42" i="2"/>
  <c r="C42" i="2"/>
  <c r="B42" i="2"/>
  <c r="A42" i="2"/>
  <c r="E41" i="2"/>
  <c r="D41" i="2"/>
  <c r="C41" i="2"/>
  <c r="B41" i="2"/>
  <c r="A41" i="2"/>
  <c r="E40" i="2"/>
  <c r="D40" i="2"/>
  <c r="C40" i="2"/>
  <c r="B40" i="2"/>
  <c r="A40" i="2"/>
  <c r="E39" i="2"/>
  <c r="D39" i="2"/>
  <c r="C39" i="2"/>
  <c r="B39" i="2"/>
  <c r="A39" i="2"/>
  <c r="E38" i="2"/>
  <c r="D38" i="2"/>
  <c r="C38" i="2"/>
  <c r="B38" i="2"/>
  <c r="A38" i="2"/>
  <c r="E37" i="2"/>
  <c r="D37" i="2"/>
  <c r="C37" i="2"/>
  <c r="B37" i="2"/>
  <c r="A37" i="2"/>
  <c r="E36" i="2"/>
  <c r="D36" i="2"/>
  <c r="C36" i="2"/>
  <c r="B36" i="2"/>
  <c r="A36" i="2"/>
  <c r="E35" i="2"/>
  <c r="D35" i="2"/>
  <c r="C35" i="2"/>
  <c r="B35" i="2"/>
  <c r="A35" i="2"/>
  <c r="E34" i="2"/>
  <c r="D34" i="2"/>
  <c r="C34" i="2"/>
  <c r="B34" i="2"/>
  <c r="A34" i="2"/>
  <c r="E33" i="2"/>
  <c r="D33" i="2"/>
  <c r="C33" i="2"/>
  <c r="B33" i="2"/>
  <c r="A33" i="2"/>
  <c r="E32" i="2"/>
  <c r="D32" i="2"/>
  <c r="C32" i="2"/>
  <c r="B32" i="2"/>
  <c r="A32" i="2"/>
  <c r="E31" i="2"/>
  <c r="D31" i="2"/>
  <c r="C31" i="2"/>
  <c r="B31" i="2"/>
  <c r="A31" i="2"/>
  <c r="E30" i="2"/>
  <c r="D30" i="2"/>
  <c r="C30" i="2"/>
  <c r="B30" i="2"/>
  <c r="A30" i="2"/>
  <c r="E29" i="2"/>
  <c r="D29" i="2"/>
  <c r="C29" i="2"/>
  <c r="B29" i="2"/>
  <c r="A29" i="2"/>
  <c r="E28" i="2"/>
  <c r="D28" i="2"/>
  <c r="C28" i="2"/>
  <c r="B28" i="2"/>
  <c r="A28" i="2"/>
  <c r="E27" i="2"/>
  <c r="D27" i="2"/>
  <c r="C27" i="2"/>
  <c r="B27" i="2"/>
  <c r="A27" i="2"/>
  <c r="E26" i="2"/>
  <c r="D26" i="2"/>
  <c r="C26" i="2"/>
  <c r="B26" i="2"/>
  <c r="A26" i="2"/>
  <c r="E25" i="2"/>
  <c r="D25" i="2"/>
  <c r="C25" i="2"/>
  <c r="B25" i="2"/>
  <c r="A25" i="2"/>
  <c r="E24" i="2"/>
  <c r="D24" i="2"/>
  <c r="C24" i="2"/>
  <c r="B24" i="2"/>
  <c r="A24" i="2"/>
  <c r="E23" i="2"/>
  <c r="D23" i="2"/>
  <c r="C23" i="2"/>
  <c r="B23" i="2"/>
  <c r="A23" i="2"/>
  <c r="E22" i="2"/>
  <c r="D22" i="2"/>
  <c r="C22" i="2"/>
  <c r="B22" i="2"/>
  <c r="A22" i="2"/>
  <c r="E21" i="2"/>
  <c r="D21" i="2"/>
  <c r="C21" i="2"/>
  <c r="B21" i="2"/>
  <c r="A21" i="2"/>
  <c r="E20" i="2"/>
  <c r="D20" i="2"/>
  <c r="C20" i="2"/>
  <c r="B20" i="2"/>
  <c r="A20" i="2"/>
  <c r="E19" i="2"/>
  <c r="D19" i="2"/>
  <c r="C19" i="2"/>
  <c r="B19" i="2"/>
  <c r="A19" i="2"/>
  <c r="E18" i="2"/>
  <c r="D18" i="2"/>
  <c r="C18" i="2"/>
  <c r="B18" i="2"/>
  <c r="A18" i="2"/>
  <c r="E17" i="2"/>
  <c r="D17" i="2"/>
  <c r="C17" i="2"/>
  <c r="B17" i="2"/>
  <c r="A17" i="2"/>
  <c r="E16" i="2"/>
  <c r="D16" i="2"/>
  <c r="C16" i="2"/>
  <c r="B16" i="2"/>
  <c r="A16" i="2"/>
  <c r="E15" i="2"/>
  <c r="D15" i="2"/>
  <c r="C15" i="2"/>
  <c r="B15" i="2"/>
  <c r="A15" i="2"/>
  <c r="E14" i="2"/>
  <c r="D14" i="2"/>
  <c r="C14" i="2"/>
  <c r="B14" i="2"/>
  <c r="A14" i="2"/>
  <c r="E13" i="2"/>
  <c r="D13" i="2"/>
  <c r="C13" i="2"/>
  <c r="B13" i="2"/>
  <c r="A13" i="2"/>
  <c r="E12" i="2"/>
  <c r="D12" i="2"/>
  <c r="C12" i="2"/>
  <c r="B12" i="2"/>
  <c r="A12" i="2"/>
  <c r="E11" i="2"/>
  <c r="D11" i="2"/>
  <c r="C11" i="2"/>
  <c r="B11" i="2"/>
  <c r="A11" i="2"/>
  <c r="E10" i="2"/>
  <c r="D10" i="2"/>
  <c r="C10" i="2"/>
  <c r="B10" i="2"/>
  <c r="A10" i="2"/>
  <c r="E9" i="2"/>
  <c r="D9" i="2"/>
  <c r="C9" i="2"/>
  <c r="B9" i="2"/>
  <c r="A9" i="2"/>
  <c r="E8" i="2"/>
  <c r="D8" i="2"/>
  <c r="C8" i="2"/>
  <c r="B8" i="2"/>
  <c r="A8" i="2"/>
  <c r="E7" i="2"/>
  <c r="D7" i="2"/>
  <c r="C7" i="2"/>
  <c r="B7" i="2"/>
  <c r="A7" i="2"/>
  <c r="E6" i="2"/>
  <c r="D6" i="2"/>
  <c r="C6" i="2"/>
  <c r="B6" i="2"/>
  <c r="A6" i="2"/>
  <c r="E5" i="2"/>
  <c r="D5" i="2"/>
  <c r="C5" i="2"/>
  <c r="B5" i="2"/>
  <c r="A5" i="2"/>
  <c r="E4" i="2"/>
  <c r="D4" i="2"/>
  <c r="C4" i="2"/>
  <c r="B4" i="2"/>
  <c r="A4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E2" i="2"/>
  <c r="D2" i="2"/>
  <c r="C2" i="2"/>
  <c r="B2" i="2"/>
  <c r="A2" i="2"/>
  <c r="A671" i="3"/>
  <c r="B675" i="3" l="1"/>
  <c r="F1317" i="3"/>
  <c r="F1309" i="3"/>
  <c r="F1318" i="3"/>
  <c r="F1310" i="3"/>
  <c r="F1299" i="3"/>
  <c r="F1291" i="3"/>
  <c r="F1304" i="3"/>
  <c r="F1296" i="3"/>
  <c r="F1288" i="3"/>
  <c r="F1280" i="3"/>
  <c r="F1272" i="3"/>
  <c r="F1264" i="3"/>
  <c r="F1279" i="3"/>
  <c r="F1271" i="3"/>
  <c r="F1254" i="3"/>
  <c r="F1246" i="3"/>
  <c r="F1238" i="3"/>
  <c r="F1230" i="3"/>
  <c r="F1222" i="3"/>
  <c r="F1269" i="3"/>
  <c r="F1257" i="3"/>
  <c r="F1249" i="3"/>
  <c r="F1241" i="3"/>
  <c r="F1233" i="3"/>
  <c r="F1225" i="3"/>
  <c r="F1217" i="3"/>
  <c r="F1209" i="3"/>
  <c r="F1201" i="3"/>
  <c r="F1193" i="3"/>
  <c r="F1202" i="3"/>
  <c r="F1186" i="3"/>
  <c r="F1178" i="3"/>
  <c r="F1170" i="3"/>
  <c r="F1162" i="3"/>
  <c r="F1154" i="3"/>
  <c r="F1146" i="3"/>
  <c r="F1138" i="3"/>
  <c r="F1130" i="3"/>
  <c r="F1122" i="3"/>
  <c r="F1114" i="3"/>
  <c r="F1200" i="3"/>
  <c r="F1206" i="3"/>
  <c r="F1187" i="3"/>
  <c r="F1179" i="3"/>
  <c r="F1171" i="3"/>
  <c r="F1163" i="3"/>
  <c r="F1155" i="3"/>
  <c r="F1147" i="3"/>
  <c r="F1139" i="3"/>
  <c r="F1131" i="3"/>
  <c r="F1123" i="3"/>
  <c r="F1111" i="3"/>
  <c r="F1113" i="3"/>
  <c r="F1096" i="3"/>
  <c r="F1088" i="3"/>
  <c r="F1080" i="3"/>
  <c r="F1072" i="3"/>
  <c r="F1064" i="3"/>
  <c r="F1056" i="3"/>
  <c r="F1048" i="3"/>
  <c r="F1040" i="3"/>
  <c r="F1032" i="3"/>
  <c r="F1024" i="3"/>
  <c r="F1016" i="3"/>
  <c r="F1008" i="3"/>
  <c r="F1107" i="3"/>
  <c r="F1117" i="3"/>
  <c r="F1095" i="3"/>
  <c r="F1087" i="3"/>
  <c r="F1079" i="3"/>
  <c r="F1071" i="3"/>
  <c r="F1063" i="3"/>
  <c r="F1055" i="3"/>
  <c r="F1047" i="3"/>
  <c r="F1039" i="3"/>
  <c r="F1031" i="3"/>
  <c r="F1023" i="3"/>
  <c r="F1015" i="3"/>
  <c r="F1007" i="3"/>
  <c r="F999" i="3"/>
  <c r="F991" i="3"/>
  <c r="F1002" i="3"/>
  <c r="F982" i="3"/>
  <c r="F974" i="3"/>
  <c r="F966" i="3"/>
  <c r="F958" i="3"/>
  <c r="F950" i="3"/>
  <c r="F942" i="3"/>
  <c r="F934" i="3"/>
  <c r="F926" i="3"/>
  <c r="F918" i="3"/>
  <c r="F910" i="3"/>
  <c r="F902" i="3"/>
  <c r="F894" i="3"/>
  <c r="F886" i="3"/>
  <c r="F878" i="3"/>
  <c r="F996" i="3"/>
  <c r="F979" i="3"/>
  <c r="F971" i="3"/>
  <c r="F963" i="3"/>
  <c r="F955" i="3"/>
  <c r="F947" i="3"/>
  <c r="F939" i="3"/>
  <c r="F931" i="3"/>
  <c r="F923" i="3"/>
  <c r="F915" i="3"/>
  <c r="F907" i="3"/>
  <c r="F899" i="3"/>
  <c r="F994" i="3"/>
  <c r="F879" i="3"/>
  <c r="F866" i="3"/>
  <c r="F858" i="3"/>
  <c r="F850" i="3"/>
  <c r="F842" i="3"/>
  <c r="F834" i="3"/>
  <c r="F826" i="3"/>
  <c r="F818" i="3"/>
  <c r="F810" i="3"/>
  <c r="F802" i="3"/>
  <c r="F794" i="3"/>
  <c r="F786" i="3"/>
  <c r="F778" i="3"/>
  <c r="F770" i="3"/>
  <c r="F889" i="3"/>
  <c r="F881" i="3"/>
  <c r="F867" i="3"/>
  <c r="F859" i="3"/>
  <c r="F851" i="3"/>
  <c r="F843" i="3"/>
  <c r="F835" i="3"/>
  <c r="F827" i="3"/>
  <c r="F819" i="3"/>
  <c r="F811" i="3"/>
  <c r="F803" i="3"/>
  <c r="F795" i="3"/>
  <c r="F787" i="3"/>
  <c r="F779" i="3"/>
  <c r="F771" i="3"/>
  <c r="F874" i="3"/>
  <c r="F756" i="3"/>
  <c r="F748" i="3"/>
  <c r="F740" i="3"/>
  <c r="F732" i="3"/>
  <c r="F724" i="3"/>
  <c r="F716" i="3"/>
  <c r="F708" i="3"/>
  <c r="F700" i="3"/>
  <c r="F692" i="3"/>
  <c r="F684" i="3"/>
  <c r="F765" i="3"/>
  <c r="F755" i="3"/>
  <c r="F747" i="3"/>
  <c r="F739" i="3"/>
  <c r="F731" i="3"/>
  <c r="F723" i="3"/>
  <c r="F715" i="3"/>
  <c r="F707" i="3"/>
  <c r="F699" i="3"/>
  <c r="F691" i="3"/>
  <c r="F683" i="3"/>
  <c r="C1331" i="3"/>
  <c r="C1333" i="3"/>
  <c r="C1335" i="3"/>
  <c r="C1339" i="3"/>
  <c r="C1341" i="3"/>
  <c r="C1343" i="3"/>
  <c r="F1315" i="3"/>
  <c r="F1307" i="3"/>
  <c r="F1316" i="3"/>
  <c r="F1308" i="3"/>
  <c r="F1297" i="3"/>
  <c r="F1289" i="3"/>
  <c r="F1302" i="3"/>
  <c r="F1294" i="3"/>
  <c r="F1286" i="3"/>
  <c r="F1278" i="3"/>
  <c r="F1270" i="3"/>
  <c r="F1262" i="3"/>
  <c r="F1275" i="3"/>
  <c r="F1263" i="3"/>
  <c r="F1252" i="3"/>
  <c r="F1244" i="3"/>
  <c r="F1236" i="3"/>
  <c r="F1228" i="3"/>
  <c r="F1220" i="3"/>
  <c r="F1261" i="3"/>
  <c r="F1255" i="3"/>
  <c r="F1247" i="3"/>
  <c r="F1239" i="3"/>
  <c r="F1231" i="3"/>
  <c r="F1223" i="3"/>
  <c r="F1215" i="3"/>
  <c r="F1207" i="3"/>
  <c r="F1199" i="3"/>
  <c r="F1216" i="3"/>
  <c r="F1194" i="3"/>
  <c r="F1184" i="3"/>
  <c r="F1176" i="3"/>
  <c r="F1168" i="3"/>
  <c r="F1160" i="3"/>
  <c r="F1152" i="3"/>
  <c r="F1144" i="3"/>
  <c r="F1136" i="3"/>
  <c r="F1128" i="3"/>
  <c r="F1120" i="3"/>
  <c r="F1112" i="3"/>
  <c r="F1192" i="3"/>
  <c r="F1198" i="3"/>
  <c r="F1185" i="3"/>
  <c r="F1177" i="3"/>
  <c r="F1169" i="3"/>
  <c r="F1161" i="3"/>
  <c r="F1153" i="3"/>
  <c r="F1145" i="3"/>
  <c r="F1137" i="3"/>
  <c r="F1129" i="3"/>
  <c r="F1204" i="3"/>
  <c r="F1103" i="3"/>
  <c r="F1108" i="3"/>
  <c r="F1094" i="3"/>
  <c r="F1086" i="3"/>
  <c r="F1078" i="3"/>
  <c r="F1070" i="3"/>
  <c r="F1062" i="3"/>
  <c r="F1054" i="3"/>
  <c r="F1046" i="3"/>
  <c r="F1038" i="3"/>
  <c r="F1030" i="3"/>
  <c r="F1022" i="3"/>
  <c r="F1014" i="3"/>
  <c r="F1006" i="3"/>
  <c r="F1106" i="3"/>
  <c r="F1105" i="3"/>
  <c r="F1093" i="3"/>
  <c r="F1085" i="3"/>
  <c r="F1077" i="3"/>
  <c r="F1069" i="3"/>
  <c r="F1061" i="3"/>
  <c r="F1053" i="3"/>
  <c r="F1045" i="3"/>
  <c r="F1037" i="3"/>
  <c r="F1029" i="3"/>
  <c r="F1021" i="3"/>
  <c r="F1013" i="3"/>
  <c r="F1005" i="3"/>
  <c r="F997" i="3"/>
  <c r="F989" i="3"/>
  <c r="F998" i="3"/>
  <c r="F980" i="3"/>
  <c r="F972" i="3"/>
  <c r="F964" i="3"/>
  <c r="F956" i="3"/>
  <c r="F948" i="3"/>
  <c r="F940" i="3"/>
  <c r="F932" i="3"/>
  <c r="F924" i="3"/>
  <c r="F916" i="3"/>
  <c r="F908" i="3"/>
  <c r="F900" i="3"/>
  <c r="F892" i="3"/>
  <c r="F884" i="3"/>
  <c r="F990" i="3"/>
  <c r="F988" i="3"/>
  <c r="F977" i="3"/>
  <c r="F969" i="3"/>
  <c r="F961" i="3"/>
  <c r="F953" i="3"/>
  <c r="F945" i="3"/>
  <c r="F937" i="3"/>
  <c r="F929" i="3"/>
  <c r="F921" i="3"/>
  <c r="F913" i="3"/>
  <c r="F905" i="3"/>
  <c r="F897" i="3"/>
  <c r="F986" i="3"/>
  <c r="F873" i="3"/>
  <c r="F864" i="3"/>
  <c r="F856" i="3"/>
  <c r="F848" i="3"/>
  <c r="F840" i="3"/>
  <c r="F832" i="3"/>
  <c r="F824" i="3"/>
  <c r="F816" i="3"/>
  <c r="F808" i="3"/>
  <c r="F800" i="3"/>
  <c r="F792" i="3"/>
  <c r="F784" i="3"/>
  <c r="F776" i="3"/>
  <c r="F768" i="3"/>
  <c r="F871" i="3"/>
  <c r="F877" i="3"/>
  <c r="F865" i="3"/>
  <c r="F857" i="3"/>
  <c r="F849" i="3"/>
  <c r="F841" i="3"/>
  <c r="F833" i="3"/>
  <c r="F825" i="3"/>
  <c r="F817" i="3"/>
  <c r="F809" i="3"/>
  <c r="F801" i="3"/>
  <c r="F793" i="3"/>
  <c r="F785" i="3"/>
  <c r="F777" i="3"/>
  <c r="F769" i="3"/>
  <c r="F762" i="3"/>
  <c r="F754" i="3"/>
  <c r="F746" i="3"/>
  <c r="F738" i="3"/>
  <c r="F730" i="3"/>
  <c r="F722" i="3"/>
  <c r="F714" i="3"/>
  <c r="F706" i="3"/>
  <c r="F698" i="3"/>
  <c r="F690" i="3"/>
  <c r="F682" i="3"/>
  <c r="F761" i="3"/>
  <c r="F753" i="3"/>
  <c r="F745" i="3"/>
  <c r="F737" i="3"/>
  <c r="F729" i="3"/>
  <c r="F721" i="3"/>
  <c r="F713" i="3"/>
  <c r="F705" i="3"/>
  <c r="F697" i="3"/>
  <c r="F689" i="3"/>
  <c r="F681" i="3"/>
  <c r="F1313" i="3"/>
  <c r="F1305" i="3"/>
  <c r="F1314" i="3"/>
  <c r="F1306" i="3"/>
  <c r="F1295" i="3"/>
  <c r="F1287" i="3"/>
  <c r="F1300" i="3"/>
  <c r="F1292" i="3"/>
  <c r="F1284" i="3"/>
  <c r="F1276" i="3"/>
  <c r="F1268" i="3"/>
  <c r="F1260" i="3"/>
  <c r="F1273" i="3"/>
  <c r="F1258" i="3"/>
  <c r="F1250" i="3"/>
  <c r="F1242" i="3"/>
  <c r="F1234" i="3"/>
  <c r="F1226" i="3"/>
  <c r="F1281" i="3"/>
  <c r="F1267" i="3"/>
  <c r="F1253" i="3"/>
  <c r="F1245" i="3"/>
  <c r="F1237" i="3"/>
  <c r="F1229" i="3"/>
  <c r="F1221" i="3"/>
  <c r="F1213" i="3"/>
  <c r="F1205" i="3"/>
  <c r="F1197" i="3"/>
  <c r="F1212" i="3"/>
  <c r="F1190" i="3"/>
  <c r="F1182" i="3"/>
  <c r="F1174" i="3"/>
  <c r="F1166" i="3"/>
  <c r="F1158" i="3"/>
  <c r="F1150" i="3"/>
  <c r="F1142" i="3"/>
  <c r="F1134" i="3"/>
  <c r="F1126" i="3"/>
  <c r="F1118" i="3"/>
  <c r="F1110" i="3"/>
  <c r="F1218" i="3"/>
  <c r="F1191" i="3"/>
  <c r="F1183" i="3"/>
  <c r="F1175" i="3"/>
  <c r="F1167" i="3"/>
  <c r="F1159" i="3"/>
  <c r="F1151" i="3"/>
  <c r="F1143" i="3"/>
  <c r="F1135" i="3"/>
  <c r="F1127" i="3"/>
  <c r="F1196" i="3"/>
  <c r="F1102" i="3"/>
  <c r="F1101" i="3"/>
  <c r="F1092" i="3"/>
  <c r="F1084" i="3"/>
  <c r="F1076" i="3"/>
  <c r="F1068" i="3"/>
  <c r="F1060" i="3"/>
  <c r="F1052" i="3"/>
  <c r="F1044" i="3"/>
  <c r="F1036" i="3"/>
  <c r="F1028" i="3"/>
  <c r="F1020" i="3"/>
  <c r="F1012" i="3"/>
  <c r="F1115" i="3"/>
  <c r="F1099" i="3"/>
  <c r="F1104" i="3"/>
  <c r="F1091" i="3"/>
  <c r="F1083" i="3"/>
  <c r="F1075" i="3"/>
  <c r="F1067" i="3"/>
  <c r="F1059" i="3"/>
  <c r="F1051" i="3"/>
  <c r="F1043" i="3"/>
  <c r="F1035" i="3"/>
  <c r="F1027" i="3"/>
  <c r="F1019" i="3"/>
  <c r="F1011" i="3"/>
  <c r="F1003" i="3"/>
  <c r="F995" i="3"/>
  <c r="F987" i="3"/>
  <c r="F992" i="3"/>
  <c r="F978" i="3"/>
  <c r="F970" i="3"/>
  <c r="F962" i="3"/>
  <c r="F954" i="3"/>
  <c r="F946" i="3"/>
  <c r="F938" i="3"/>
  <c r="F930" i="3"/>
  <c r="F922" i="3"/>
  <c r="F914" i="3"/>
  <c r="F906" i="3"/>
  <c r="F898" i="3"/>
  <c r="F890" i="3"/>
  <c r="F882" i="3"/>
  <c r="F1004" i="3"/>
  <c r="F983" i="3"/>
  <c r="F975" i="3"/>
  <c r="F967" i="3"/>
  <c r="F959" i="3"/>
  <c r="F951" i="3"/>
  <c r="F943" i="3"/>
  <c r="F935" i="3"/>
  <c r="F927" i="3"/>
  <c r="F919" i="3"/>
  <c r="F911" i="3"/>
  <c r="F903" i="3"/>
  <c r="F895" i="3"/>
  <c r="F887" i="3"/>
  <c r="F872" i="3"/>
  <c r="F862" i="3"/>
  <c r="F854" i="3"/>
  <c r="F846" i="3"/>
  <c r="F838" i="3"/>
  <c r="F830" i="3"/>
  <c r="F822" i="3"/>
  <c r="F814" i="3"/>
  <c r="F806" i="3"/>
  <c r="F798" i="3"/>
  <c r="F790" i="3"/>
  <c r="F782" i="3"/>
  <c r="F774" i="3"/>
  <c r="F766" i="3"/>
  <c r="F870" i="3"/>
  <c r="F876" i="3"/>
  <c r="F863" i="3"/>
  <c r="F855" i="3"/>
  <c r="F847" i="3"/>
  <c r="F839" i="3"/>
  <c r="F831" i="3"/>
  <c r="F823" i="3"/>
  <c r="F815" i="3"/>
  <c r="F807" i="3"/>
  <c r="F799" i="3"/>
  <c r="F791" i="3"/>
  <c r="F783" i="3"/>
  <c r="F775" i="3"/>
  <c r="F885" i="3"/>
  <c r="F760" i="3"/>
  <c r="F752" i="3"/>
  <c r="F744" i="3"/>
  <c r="F736" i="3"/>
  <c r="F728" i="3"/>
  <c r="F720" i="3"/>
  <c r="F712" i="3"/>
  <c r="F704" i="3"/>
  <c r="F696" i="3"/>
  <c r="F688" i="3"/>
  <c r="F680" i="3"/>
  <c r="F759" i="3"/>
  <c r="F751" i="3"/>
  <c r="F743" i="3"/>
  <c r="F735" i="3"/>
  <c r="F727" i="3"/>
  <c r="F719" i="3"/>
  <c r="F711" i="3"/>
  <c r="F703" i="3"/>
  <c r="F695" i="3"/>
  <c r="F687" i="3"/>
  <c r="F679" i="3"/>
  <c r="F1311" i="3"/>
  <c r="F1303" i="3"/>
  <c r="F1312" i="3"/>
  <c r="F1301" i="3"/>
  <c r="F1293" i="3"/>
  <c r="F1285" i="3"/>
  <c r="F1298" i="3"/>
  <c r="F1290" i="3"/>
  <c r="F1282" i="3"/>
  <c r="F1274" i="3"/>
  <c r="F1266" i="3"/>
  <c r="F1283" i="3"/>
  <c r="F1265" i="3"/>
  <c r="F1256" i="3"/>
  <c r="F1248" i="3"/>
  <c r="F1240" i="3"/>
  <c r="F1232" i="3"/>
  <c r="F1224" i="3"/>
  <c r="F1277" i="3"/>
  <c r="F1259" i="3"/>
  <c r="F1251" i="3"/>
  <c r="F1243" i="3"/>
  <c r="F1235" i="3"/>
  <c r="F1227" i="3"/>
  <c r="F1219" i="3"/>
  <c r="F1211" i="3"/>
  <c r="F1203" i="3"/>
  <c r="F1195" i="3"/>
  <c r="F1210" i="3"/>
  <c r="F1188" i="3"/>
  <c r="F1180" i="3"/>
  <c r="F1172" i="3"/>
  <c r="F1164" i="3"/>
  <c r="F1156" i="3"/>
  <c r="F1148" i="3"/>
  <c r="F1140" i="3"/>
  <c r="F1132" i="3"/>
  <c r="F1124" i="3"/>
  <c r="F1116" i="3"/>
  <c r="F1208" i="3"/>
  <c r="F1214" i="3"/>
  <c r="F1189" i="3"/>
  <c r="F1181" i="3"/>
  <c r="F1173" i="3"/>
  <c r="F1165" i="3"/>
  <c r="F1157" i="3"/>
  <c r="F1149" i="3"/>
  <c r="F1141" i="3"/>
  <c r="F1133" i="3"/>
  <c r="F1125" i="3"/>
  <c r="F1119" i="3"/>
  <c r="F1121" i="3"/>
  <c r="F1100" i="3"/>
  <c r="F1090" i="3"/>
  <c r="F1082" i="3"/>
  <c r="F1074" i="3"/>
  <c r="F1066" i="3"/>
  <c r="F1058" i="3"/>
  <c r="F1050" i="3"/>
  <c r="F1042" i="3"/>
  <c r="F1034" i="3"/>
  <c r="F1026" i="3"/>
  <c r="F1018" i="3"/>
  <c r="F1010" i="3"/>
  <c r="F1109" i="3"/>
  <c r="F1098" i="3"/>
  <c r="F1097" i="3"/>
  <c r="F1089" i="3"/>
  <c r="F1081" i="3"/>
  <c r="F1073" i="3"/>
  <c r="F1065" i="3"/>
  <c r="F1057" i="3"/>
  <c r="F1049" i="3"/>
  <c r="F1041" i="3"/>
  <c r="F1033" i="3"/>
  <c r="F1025" i="3"/>
  <c r="F1017" i="3"/>
  <c r="F1009" i="3"/>
  <c r="F1001" i="3"/>
  <c r="F993" i="3"/>
  <c r="F985" i="3"/>
  <c r="F984" i="3"/>
  <c r="F976" i="3"/>
  <c r="F968" i="3"/>
  <c r="F960" i="3"/>
  <c r="F952" i="3"/>
  <c r="F944" i="3"/>
  <c r="F936" i="3"/>
  <c r="F928" i="3"/>
  <c r="F920" i="3"/>
  <c r="F912" i="3"/>
  <c r="F904" i="3"/>
  <c r="F896" i="3"/>
  <c r="F888" i="3"/>
  <c r="F880" i="3"/>
  <c r="F1000" i="3"/>
  <c r="F981" i="3"/>
  <c r="F973" i="3"/>
  <c r="F965" i="3"/>
  <c r="F957" i="3"/>
  <c r="F949" i="3"/>
  <c r="F941" i="3"/>
  <c r="F933" i="3"/>
  <c r="F925" i="3"/>
  <c r="F917" i="3"/>
  <c r="F909" i="3"/>
  <c r="F901" i="3"/>
  <c r="F893" i="3"/>
  <c r="F883" i="3"/>
  <c r="F868" i="3"/>
  <c r="F860" i="3"/>
  <c r="F852" i="3"/>
  <c r="F844" i="3"/>
  <c r="F836" i="3"/>
  <c r="F828" i="3"/>
  <c r="F820" i="3"/>
  <c r="F812" i="3"/>
  <c r="F804" i="3"/>
  <c r="F796" i="3"/>
  <c r="F788" i="3"/>
  <c r="F780" i="3"/>
  <c r="F772" i="3"/>
  <c r="F764" i="3"/>
  <c r="F891" i="3"/>
  <c r="F869" i="3"/>
  <c r="F861" i="3"/>
  <c r="F853" i="3"/>
  <c r="F845" i="3"/>
  <c r="F837" i="3"/>
  <c r="F829" i="3"/>
  <c r="F821" i="3"/>
  <c r="F813" i="3"/>
  <c r="F805" i="3"/>
  <c r="F797" i="3"/>
  <c r="F789" i="3"/>
  <c r="F781" i="3"/>
  <c r="F773" i="3"/>
  <c r="F875" i="3"/>
  <c r="F758" i="3"/>
  <c r="F750" i="3"/>
  <c r="F742" i="3"/>
  <c r="F734" i="3"/>
  <c r="F726" i="3"/>
  <c r="F718" i="3"/>
  <c r="F710" i="3"/>
  <c r="F702" i="3"/>
  <c r="F694" i="3"/>
  <c r="F686" i="3"/>
  <c r="F767" i="3"/>
  <c r="F757" i="3"/>
  <c r="F749" i="3"/>
  <c r="F741" i="3"/>
  <c r="F733" i="3"/>
  <c r="F725" i="3"/>
  <c r="F717" i="3"/>
  <c r="F709" i="3"/>
  <c r="F701" i="3"/>
  <c r="F693" i="3"/>
  <c r="F685" i="3"/>
  <c r="F763" i="3"/>
  <c r="B1343" i="3" l="1"/>
  <c r="B1341" i="3"/>
  <c r="B1339" i="3"/>
  <c r="B1335" i="3"/>
  <c r="B1333" i="3"/>
  <c r="B1331" i="3"/>
  <c r="BI1345" i="3" l="1"/>
  <c r="BI1346" i="3" s="1"/>
  <c r="BE1345" i="3"/>
  <c r="BE1346" i="3" s="1"/>
  <c r="BA1345" i="3"/>
  <c r="BA1346" i="3" s="1"/>
  <c r="AW1345" i="3"/>
  <c r="AW1346" i="3" s="1"/>
  <c r="AS1345" i="3"/>
  <c r="AS1346" i="3" s="1"/>
  <c r="AO1345" i="3"/>
  <c r="AO1346" i="3" s="1"/>
  <c r="AK1345" i="3"/>
  <c r="AK1346" i="3" s="1"/>
  <c r="AG1345" i="3"/>
  <c r="AG1346" i="3" s="1"/>
  <c r="AC1345" i="3"/>
  <c r="AC1346" i="3" s="1"/>
  <c r="Y1345" i="3"/>
  <c r="Y1346" i="3" s="1"/>
  <c r="U1345" i="3"/>
  <c r="U1346" i="3" s="1"/>
  <c r="Q1345" i="3"/>
  <c r="Q1346" i="3" s="1"/>
  <c r="M1345" i="3"/>
  <c r="M1346" i="3" s="1"/>
  <c r="I1345" i="3"/>
  <c r="I1346" i="3" s="1"/>
  <c r="E1345" i="3"/>
  <c r="E1346" i="3" s="1"/>
  <c r="BH1345" i="3"/>
  <c r="BH1346" i="3" s="1"/>
  <c r="BD1345" i="3"/>
  <c r="BD1346" i="3" s="1"/>
  <c r="AZ1345" i="3"/>
  <c r="AZ1346" i="3" s="1"/>
  <c r="AV1345" i="3"/>
  <c r="AV1346" i="3" s="1"/>
  <c r="AR1345" i="3"/>
  <c r="AR1346" i="3" s="1"/>
  <c r="AN1345" i="3"/>
  <c r="AN1346" i="3" s="1"/>
  <c r="AJ1345" i="3"/>
  <c r="AJ1346" i="3" s="1"/>
  <c r="AF1345" i="3"/>
  <c r="AF1346" i="3" s="1"/>
  <c r="AB1345" i="3"/>
  <c r="AB1346" i="3" s="1"/>
  <c r="X1345" i="3"/>
  <c r="X1346" i="3" s="1"/>
  <c r="T1345" i="3"/>
  <c r="T1346" i="3" s="1"/>
  <c r="P1345" i="3"/>
  <c r="P1346" i="3" s="1"/>
  <c r="L1345" i="3"/>
  <c r="L1346" i="3" s="1"/>
  <c r="H1345" i="3"/>
  <c r="H1346" i="3" s="1"/>
  <c r="D1345" i="3"/>
  <c r="D1346" i="3" s="1"/>
  <c r="BG1345" i="3"/>
  <c r="BG1346" i="3" s="1"/>
  <c r="BC1345" i="3"/>
  <c r="BC1346" i="3" s="1"/>
  <c r="AY1345" i="3"/>
  <c r="AY1346" i="3" s="1"/>
  <c r="AU1345" i="3"/>
  <c r="AU1346" i="3" s="1"/>
  <c r="AQ1345" i="3"/>
  <c r="AQ1346" i="3" s="1"/>
  <c r="AM1345" i="3"/>
  <c r="AM1346" i="3" s="1"/>
  <c r="AI1345" i="3"/>
  <c r="AI1346" i="3" s="1"/>
  <c r="AE1345" i="3"/>
  <c r="AE1346" i="3" s="1"/>
  <c r="AA1345" i="3"/>
  <c r="AA1346" i="3" s="1"/>
  <c r="W1345" i="3"/>
  <c r="W1346" i="3" s="1"/>
  <c r="S1345" i="3"/>
  <c r="S1346" i="3" s="1"/>
  <c r="O1345" i="3"/>
  <c r="O1346" i="3" s="1"/>
  <c r="K1345" i="3"/>
  <c r="K1346" i="3" s="1"/>
  <c r="G1345" i="3"/>
  <c r="G1346" i="3" s="1"/>
  <c r="C1345" i="3"/>
  <c r="C1346" i="3" s="1"/>
  <c r="BJ1345" i="3"/>
  <c r="BJ1346" i="3" s="1"/>
  <c r="BF1345" i="3"/>
  <c r="BF1346" i="3" s="1"/>
  <c r="BB1345" i="3"/>
  <c r="BB1346" i="3" s="1"/>
  <c r="AX1345" i="3"/>
  <c r="AX1346" i="3" s="1"/>
  <c r="AT1345" i="3"/>
  <c r="AT1346" i="3" s="1"/>
  <c r="AP1345" i="3"/>
  <c r="AP1346" i="3" s="1"/>
  <c r="AL1345" i="3"/>
  <c r="AL1346" i="3" s="1"/>
  <c r="AH1345" i="3"/>
  <c r="AH1346" i="3" s="1"/>
  <c r="AD1345" i="3"/>
  <c r="AD1346" i="3" s="1"/>
  <c r="Z1345" i="3"/>
  <c r="Z1346" i="3" s="1"/>
  <c r="V1345" i="3"/>
  <c r="V1346" i="3" s="1"/>
  <c r="R1345" i="3"/>
  <c r="R1346" i="3" s="1"/>
  <c r="N1345" i="3"/>
  <c r="N1346" i="3" s="1"/>
  <c r="J1345" i="3"/>
  <c r="J1346" i="3" s="1"/>
  <c r="F1345" i="3"/>
  <c r="F1346" i="3" s="1"/>
  <c r="B1345" i="3"/>
  <c r="B1346" i="3" s="1"/>
  <c r="BI1337" i="3"/>
  <c r="BI1338" i="3" s="1"/>
  <c r="BE1337" i="3"/>
  <c r="BE1338" i="3" s="1"/>
  <c r="BA1337" i="3"/>
  <c r="BA1338" i="3" s="1"/>
  <c r="AW1337" i="3"/>
  <c r="AW1338" i="3" s="1"/>
  <c r="AS1337" i="3"/>
  <c r="AS1338" i="3" s="1"/>
  <c r="AO1337" i="3"/>
  <c r="AO1338" i="3" s="1"/>
  <c r="AK1337" i="3"/>
  <c r="AK1338" i="3" s="1"/>
  <c r="AG1337" i="3"/>
  <c r="AG1338" i="3" s="1"/>
  <c r="AC1337" i="3"/>
  <c r="AC1338" i="3" s="1"/>
  <c r="Y1337" i="3"/>
  <c r="Y1338" i="3" s="1"/>
  <c r="U1337" i="3"/>
  <c r="U1338" i="3" s="1"/>
  <c r="Q1337" i="3"/>
  <c r="Q1338" i="3" s="1"/>
  <c r="M1337" i="3"/>
  <c r="M1338" i="3" s="1"/>
  <c r="I1337" i="3"/>
  <c r="I1338" i="3" s="1"/>
  <c r="E1337" i="3"/>
  <c r="E1338" i="3" s="1"/>
  <c r="BG1337" i="3"/>
  <c r="BG1338" i="3" s="1"/>
  <c r="BC1337" i="3"/>
  <c r="BC1338" i="3" s="1"/>
  <c r="AY1337" i="3"/>
  <c r="AY1338" i="3" s="1"/>
  <c r="AU1337" i="3"/>
  <c r="AU1338" i="3" s="1"/>
  <c r="AQ1337" i="3"/>
  <c r="AQ1338" i="3" s="1"/>
  <c r="AM1337" i="3"/>
  <c r="AM1338" i="3" s="1"/>
  <c r="AI1337" i="3"/>
  <c r="AI1338" i="3" s="1"/>
  <c r="AE1337" i="3"/>
  <c r="AE1338" i="3" s="1"/>
  <c r="AA1337" i="3"/>
  <c r="AA1338" i="3" s="1"/>
  <c r="W1337" i="3"/>
  <c r="W1338" i="3" s="1"/>
  <c r="S1337" i="3"/>
  <c r="S1338" i="3" s="1"/>
  <c r="O1337" i="3"/>
  <c r="O1338" i="3" s="1"/>
  <c r="K1337" i="3"/>
  <c r="K1338" i="3" s="1"/>
  <c r="G1337" i="3"/>
  <c r="G1338" i="3" s="1"/>
  <c r="C1337" i="3"/>
  <c r="C1338" i="3" s="1"/>
  <c r="BJ1337" i="3"/>
  <c r="BJ1338" i="3" s="1"/>
  <c r="BF1337" i="3"/>
  <c r="BF1338" i="3" s="1"/>
  <c r="BB1337" i="3"/>
  <c r="BB1338" i="3" s="1"/>
  <c r="AX1337" i="3"/>
  <c r="AX1338" i="3" s="1"/>
  <c r="AT1337" i="3"/>
  <c r="AT1338" i="3" s="1"/>
  <c r="AP1337" i="3"/>
  <c r="AP1338" i="3" s="1"/>
  <c r="AL1337" i="3"/>
  <c r="AL1338" i="3" s="1"/>
  <c r="AH1337" i="3"/>
  <c r="AH1338" i="3" s="1"/>
  <c r="AD1337" i="3"/>
  <c r="AD1338" i="3" s="1"/>
  <c r="Z1337" i="3"/>
  <c r="Z1338" i="3" s="1"/>
  <c r="V1337" i="3"/>
  <c r="V1338" i="3" s="1"/>
  <c r="R1337" i="3"/>
  <c r="R1338" i="3" s="1"/>
  <c r="N1337" i="3"/>
  <c r="N1338" i="3" s="1"/>
  <c r="J1337" i="3"/>
  <c r="J1338" i="3" s="1"/>
  <c r="F1337" i="3"/>
  <c r="F1338" i="3" s="1"/>
  <c r="B1337" i="3"/>
  <c r="B1338" i="3" s="1"/>
  <c r="AZ1337" i="3"/>
  <c r="AZ1338" i="3" s="1"/>
  <c r="AJ1337" i="3"/>
  <c r="AJ1338" i="3" s="1"/>
  <c r="T1337" i="3"/>
  <c r="T1338" i="3" s="1"/>
  <c r="D1337" i="3"/>
  <c r="D1338" i="3" s="1"/>
  <c r="AV1337" i="3"/>
  <c r="AV1338" i="3" s="1"/>
  <c r="AF1337" i="3"/>
  <c r="AF1338" i="3" s="1"/>
  <c r="P1337" i="3"/>
  <c r="P1338" i="3" s="1"/>
  <c r="BH1337" i="3"/>
  <c r="BH1338" i="3" s="1"/>
  <c r="AR1337" i="3"/>
  <c r="AR1338" i="3" s="1"/>
  <c r="AB1337" i="3"/>
  <c r="AB1338" i="3" s="1"/>
  <c r="L1337" i="3"/>
  <c r="L1338" i="3" s="1"/>
  <c r="BD1337" i="3"/>
  <c r="BD1338" i="3" s="1"/>
  <c r="AN1337" i="3"/>
  <c r="AN1338" i="3" s="1"/>
  <c r="X1337" i="3"/>
  <c r="X1338" i="3" s="1"/>
  <c r="H1337" i="3"/>
  <c r="H1338" i="3" s="1"/>
  <c r="BW2" i="3" l="1"/>
  <c r="O2" i="3"/>
  <c r="O2" i="2" s="1"/>
  <c r="CG2" i="3"/>
  <c r="Y2" i="3"/>
  <c r="Y2" i="2" s="1"/>
  <c r="CH2" i="3"/>
  <c r="Z2" i="3"/>
  <c r="Z2" i="2" s="1"/>
  <c r="CI2" i="3"/>
  <c r="AA2" i="3"/>
  <c r="AA2" i="2" s="1"/>
  <c r="CQ2" i="3"/>
  <c r="AI2" i="3"/>
  <c r="AI2" i="2" s="1"/>
  <c r="CK2" i="3"/>
  <c r="AC2" i="3"/>
  <c r="AC2" i="2" s="1"/>
  <c r="BV2" i="3"/>
  <c r="N2" i="3"/>
  <c r="N2" i="2" s="1"/>
  <c r="DR2" i="3"/>
  <c r="BJ2" i="3"/>
  <c r="BJ2" i="2" s="1"/>
  <c r="DH2" i="3"/>
  <c r="AZ2" i="3"/>
  <c r="AZ2" i="2" s="1"/>
  <c r="CY2" i="3"/>
  <c r="AQ2" i="3"/>
  <c r="AQ2" i="2" s="1"/>
  <c r="DC2" i="3"/>
  <c r="AU2" i="3"/>
  <c r="AU2" i="2" s="1"/>
  <c r="DG2" i="3"/>
  <c r="AY2" i="3"/>
  <c r="AY2" i="2" s="1"/>
  <c r="DK2" i="3"/>
  <c r="BC2" i="3"/>
  <c r="BC2" i="2" s="1"/>
  <c r="BY2" i="3"/>
  <c r="Q2" i="3"/>
  <c r="Q2" i="2" s="1"/>
  <c r="CO2" i="3"/>
  <c r="AG2" i="3"/>
  <c r="AG2" i="2" s="1"/>
  <c r="DE2" i="3"/>
  <c r="AW2" i="3"/>
  <c r="AW2" i="2" s="1"/>
  <c r="DU2" i="3"/>
  <c r="BM2" i="3"/>
  <c r="BM2" i="2" s="1"/>
  <c r="BZ2" i="3"/>
  <c r="R2" i="3"/>
  <c r="R2" i="2" s="1"/>
  <c r="CP2" i="3"/>
  <c r="AH2" i="3"/>
  <c r="AH2" i="2" s="1"/>
  <c r="DF2" i="3"/>
  <c r="AX2" i="3"/>
  <c r="AX2" i="2" s="1"/>
  <c r="BP2" i="3"/>
  <c r="H2" i="3"/>
  <c r="H2" i="2" s="1"/>
  <c r="CF2" i="3"/>
  <c r="X2" i="3"/>
  <c r="X2" i="2" s="1"/>
  <c r="CV2" i="3"/>
  <c r="AN2" i="3"/>
  <c r="AN2" i="2" s="1"/>
  <c r="DL2" i="3"/>
  <c r="BD2" i="3"/>
  <c r="BD2" i="2" s="1"/>
  <c r="BS2" i="3"/>
  <c r="K2" i="3"/>
  <c r="K2" i="2" s="1"/>
  <c r="BQ2" i="3"/>
  <c r="I2" i="3"/>
  <c r="I2" i="2" s="1"/>
  <c r="DM2" i="3"/>
  <c r="BE2" i="3"/>
  <c r="BE2" i="2" s="1"/>
  <c r="CM2" i="3"/>
  <c r="AE2" i="3"/>
  <c r="AE2" i="2" s="1"/>
  <c r="BU2" i="3"/>
  <c r="M2" i="3"/>
  <c r="M2" i="2" s="1"/>
  <c r="DQ2" i="3"/>
  <c r="BI2" i="3"/>
  <c r="BI2" i="2" s="1"/>
  <c r="DB2" i="3"/>
  <c r="AT2" i="3"/>
  <c r="AT2" i="2" s="1"/>
  <c r="CR2" i="3"/>
  <c r="AJ2" i="3"/>
  <c r="AJ2" i="2" s="1"/>
  <c r="DO2" i="3"/>
  <c r="BG2" i="3"/>
  <c r="BG2" i="2" s="1"/>
  <c r="DS2" i="3"/>
  <c r="BK2" i="3"/>
  <c r="BK2" i="2" s="1"/>
  <c r="BO2" i="3"/>
  <c r="G2" i="3"/>
  <c r="G2" i="2" s="1"/>
  <c r="B677" i="3"/>
  <c r="CC2" i="3"/>
  <c r="U2" i="3"/>
  <c r="U2" i="2" s="1"/>
  <c r="CS2" i="3"/>
  <c r="AK2" i="3"/>
  <c r="AK2" i="2" s="1"/>
  <c r="DI2" i="3"/>
  <c r="BA2" i="3"/>
  <c r="BA2" i="2" s="1"/>
  <c r="BN2" i="3"/>
  <c r="F2" i="3"/>
  <c r="F2" i="2" s="1"/>
  <c r="CD2" i="3"/>
  <c r="V2" i="3"/>
  <c r="V2" i="2" s="1"/>
  <c r="CT2" i="3"/>
  <c r="AL2" i="3"/>
  <c r="AL2" i="2" s="1"/>
  <c r="DJ2" i="3"/>
  <c r="BB2" i="3"/>
  <c r="BB2" i="2" s="1"/>
  <c r="BT2" i="3"/>
  <c r="L2" i="3"/>
  <c r="L2" i="2" s="1"/>
  <c r="CJ2" i="3"/>
  <c r="AB2" i="3"/>
  <c r="AB2" i="2" s="1"/>
  <c r="CZ2" i="3"/>
  <c r="AR2" i="3"/>
  <c r="AR2" i="2" s="1"/>
  <c r="DP2" i="3"/>
  <c r="BH2" i="3"/>
  <c r="BH2" i="2" s="1"/>
  <c r="CA2" i="3"/>
  <c r="S2" i="3"/>
  <c r="S2" i="2" s="1"/>
  <c r="CW2" i="3"/>
  <c r="AO2" i="3"/>
  <c r="AO2" i="2" s="1"/>
  <c r="CX2" i="3"/>
  <c r="AP2" i="3"/>
  <c r="AP2" i="2" s="1"/>
  <c r="DN2" i="3"/>
  <c r="BF2" i="3"/>
  <c r="BF2" i="2" s="1"/>
  <c r="BX2" i="3"/>
  <c r="P2" i="3"/>
  <c r="P2" i="2" s="1"/>
  <c r="CN2" i="3"/>
  <c r="AF2" i="3"/>
  <c r="AF2" i="2" s="1"/>
  <c r="DD2" i="3"/>
  <c r="AV2" i="3"/>
  <c r="AV2" i="2" s="1"/>
  <c r="DT2" i="3"/>
  <c r="BL2" i="3"/>
  <c r="BL2" i="2" s="1"/>
  <c r="CE2" i="3"/>
  <c r="W2" i="3"/>
  <c r="W2" i="2" s="1"/>
  <c r="BR2" i="3"/>
  <c r="J2" i="3"/>
  <c r="J2" i="2" s="1"/>
  <c r="CU2" i="3"/>
  <c r="AM2" i="3"/>
  <c r="AM2" i="2" s="1"/>
  <c r="DA2" i="3"/>
  <c r="AS2" i="3"/>
  <c r="AS2" i="2" s="1"/>
  <c r="CL2" i="3"/>
  <c r="AD2" i="3"/>
  <c r="AD2" i="2" s="1"/>
  <c r="CB2" i="3"/>
  <c r="T2" i="3"/>
  <c r="T2" i="2" s="1"/>
  <c r="BJ661" i="3"/>
  <c r="AT661" i="3"/>
  <c r="AD661" i="3"/>
  <c r="N661" i="3"/>
  <c r="BC660" i="3"/>
  <c r="AM660" i="3"/>
  <c r="W660" i="3"/>
  <c r="G660" i="3"/>
  <c r="AZ659" i="3"/>
  <c r="AJ659" i="3"/>
  <c r="T659" i="3"/>
  <c r="BM658" i="3"/>
  <c r="AW658" i="3"/>
  <c r="AG658" i="3"/>
  <c r="Q658" i="3"/>
  <c r="BF657" i="3"/>
  <c r="AP657" i="3"/>
  <c r="Z657" i="3"/>
  <c r="J657" i="3"/>
  <c r="AY656" i="3"/>
  <c r="AI656" i="3"/>
  <c r="S656" i="3"/>
  <c r="BL655" i="3"/>
  <c r="AV655" i="3"/>
  <c r="AF655" i="3"/>
  <c r="P655" i="3"/>
  <c r="BI654" i="3"/>
  <c r="AS654" i="3"/>
  <c r="AC654" i="3"/>
  <c r="M654" i="3"/>
  <c r="BB653" i="3"/>
  <c r="AL653" i="3"/>
  <c r="V653" i="3"/>
  <c r="BK652" i="3"/>
  <c r="AU652" i="3"/>
  <c r="AE652" i="3"/>
  <c r="O652" i="3"/>
  <c r="BH651" i="3"/>
  <c r="AR651" i="3"/>
  <c r="AB651" i="3"/>
  <c r="L651" i="3"/>
  <c r="BE650" i="3"/>
  <c r="AO650" i="3"/>
  <c r="Y650" i="3"/>
  <c r="I650" i="3"/>
  <c r="AX649" i="3"/>
  <c r="AW661" i="3"/>
  <c r="AB661" i="3"/>
  <c r="G661" i="3"/>
  <c r="AT660" i="3"/>
  <c r="Y660" i="3"/>
  <c r="BM659" i="3"/>
  <c r="AQ659" i="3"/>
  <c r="V659" i="3"/>
  <c r="BD658" i="3"/>
  <c r="AI658" i="3"/>
  <c r="N658" i="3"/>
  <c r="BC657" i="3"/>
  <c r="AG657" i="3"/>
  <c r="L657" i="3"/>
  <c r="AZ656" i="3"/>
  <c r="AD656" i="3"/>
  <c r="I656" i="3"/>
  <c r="AW655" i="3"/>
  <c r="AA655" i="3"/>
  <c r="BJ654" i="3"/>
  <c r="AN654" i="3"/>
  <c r="S654" i="3"/>
  <c r="BH653" i="3"/>
  <c r="AM653" i="3"/>
  <c r="Q653" i="3"/>
  <c r="BE652" i="3"/>
  <c r="AJ652" i="3"/>
  <c r="N652" i="3"/>
  <c r="BB651" i="3"/>
  <c r="AG651" i="3"/>
  <c r="K651" i="3"/>
  <c r="AT650" i="3"/>
  <c r="X650" i="3"/>
  <c r="BM649" i="3"/>
  <c r="AS649" i="3"/>
  <c r="AC649" i="3"/>
  <c r="M649" i="3"/>
  <c r="BB648" i="3"/>
  <c r="AL648" i="3"/>
  <c r="V648" i="3"/>
  <c r="BK647" i="3"/>
  <c r="AU647" i="3"/>
  <c r="AE647" i="3"/>
  <c r="O647" i="3"/>
  <c r="BH646" i="3"/>
  <c r="AR646" i="3"/>
  <c r="AB646" i="3"/>
  <c r="L646" i="3"/>
  <c r="BA661" i="3"/>
  <c r="AF661" i="3"/>
  <c r="K661" i="3"/>
  <c r="AS660" i="3"/>
  <c r="X660" i="3"/>
  <c r="BK659" i="3"/>
  <c r="AP659" i="3"/>
  <c r="U659" i="3"/>
  <c r="BC658" i="3"/>
  <c r="AH658" i="3"/>
  <c r="L658" i="3"/>
  <c r="BA657" i="3"/>
  <c r="AF657" i="3"/>
  <c r="K657" i="3"/>
  <c r="AS656" i="3"/>
  <c r="X656" i="3"/>
  <c r="BK655" i="3"/>
  <c r="AP655" i="3"/>
  <c r="U655" i="3"/>
  <c r="BC654" i="3"/>
  <c r="AH654" i="3"/>
  <c r="L654" i="3"/>
  <c r="BA653" i="3"/>
  <c r="AF653" i="3"/>
  <c r="K653" i="3"/>
  <c r="AS652" i="3"/>
  <c r="X652" i="3"/>
  <c r="BK651" i="3"/>
  <c r="AP651" i="3"/>
  <c r="U651" i="3"/>
  <c r="BC650" i="3"/>
  <c r="AH650" i="3"/>
  <c r="L650" i="3"/>
  <c r="BA649" i="3"/>
  <c r="AJ649" i="3"/>
  <c r="T649" i="3"/>
  <c r="BM648" i="3"/>
  <c r="AW648" i="3"/>
  <c r="AG648" i="3"/>
  <c r="Q648" i="3"/>
  <c r="BF647" i="3"/>
  <c r="AP647" i="3"/>
  <c r="Z647" i="3"/>
  <c r="J647" i="3"/>
  <c r="AY646" i="3"/>
  <c r="AI646" i="3"/>
  <c r="S646" i="3"/>
  <c r="BL645" i="3"/>
  <c r="AV645" i="3"/>
  <c r="AF645" i="3"/>
  <c r="P645" i="3"/>
  <c r="BE661" i="3"/>
  <c r="AJ661" i="3"/>
  <c r="O661" i="3"/>
  <c r="BB660" i="3"/>
  <c r="AG660" i="3"/>
  <c r="L660" i="3"/>
  <c r="AT659" i="3"/>
  <c r="Y659" i="3"/>
  <c r="BL658" i="3"/>
  <c r="AQ658" i="3"/>
  <c r="V658" i="3"/>
  <c r="BE657" i="3"/>
  <c r="AJ657" i="3"/>
  <c r="O657" i="3"/>
  <c r="BB656" i="3"/>
  <c r="AG656" i="3"/>
  <c r="L656" i="3"/>
  <c r="AY661" i="3"/>
  <c r="AC661" i="3"/>
  <c r="H661" i="3"/>
  <c r="AV660" i="3"/>
  <c r="Z660" i="3"/>
  <c r="BI659" i="3"/>
  <c r="AM659" i="3"/>
  <c r="R659" i="3"/>
  <c r="BF658" i="3"/>
  <c r="AJ658" i="3"/>
  <c r="O658" i="3"/>
  <c r="AY657" i="3"/>
  <c r="AC657" i="3"/>
  <c r="H657" i="3"/>
  <c r="AV656" i="3"/>
  <c r="Z656" i="3"/>
  <c r="BI655" i="3"/>
  <c r="AM655" i="3"/>
  <c r="R655" i="3"/>
  <c r="BF654" i="3"/>
  <c r="AJ654" i="3"/>
  <c r="O654" i="3"/>
  <c r="AY653" i="3"/>
  <c r="AC653" i="3"/>
  <c r="H653" i="3"/>
  <c r="AV652" i="3"/>
  <c r="Z652" i="3"/>
  <c r="BI651" i="3"/>
  <c r="AM651" i="3"/>
  <c r="R651" i="3"/>
  <c r="BF650" i="3"/>
  <c r="AJ650" i="3"/>
  <c r="O650" i="3"/>
  <c r="AY649" i="3"/>
  <c r="AH649" i="3"/>
  <c r="R649" i="3"/>
  <c r="BG648" i="3"/>
  <c r="AQ648" i="3"/>
  <c r="AA648" i="3"/>
  <c r="K648" i="3"/>
  <c r="BD647" i="3"/>
  <c r="AN647" i="3"/>
  <c r="X647" i="3"/>
  <c r="H647" i="3"/>
  <c r="BA646" i="3"/>
  <c r="AK646" i="3"/>
  <c r="U646" i="3"/>
  <c r="BJ645" i="3"/>
  <c r="AT645" i="3"/>
  <c r="AD645" i="3"/>
  <c r="N645" i="3"/>
  <c r="BC644" i="3"/>
  <c r="AM644" i="3"/>
  <c r="W644" i="3"/>
  <c r="G644" i="3"/>
  <c r="AZ643" i="3"/>
  <c r="AJ643" i="3"/>
  <c r="T643" i="3"/>
  <c r="BM642" i="3"/>
  <c r="AW642" i="3"/>
  <c r="AG642" i="3"/>
  <c r="Q642" i="3"/>
  <c r="BF641" i="3"/>
  <c r="AP641" i="3"/>
  <c r="Z641" i="3"/>
  <c r="J641" i="3"/>
  <c r="AY640" i="3"/>
  <c r="AI640" i="3"/>
  <c r="S640" i="3"/>
  <c r="BL639" i="3"/>
  <c r="AV639" i="3"/>
  <c r="AF639" i="3"/>
  <c r="P639" i="3"/>
  <c r="BI638" i="3"/>
  <c r="AS638" i="3"/>
  <c r="AC638" i="3"/>
  <c r="M638" i="3"/>
  <c r="BB637" i="3"/>
  <c r="AL637" i="3"/>
  <c r="V637" i="3"/>
  <c r="BK636" i="3"/>
  <c r="AU636" i="3"/>
  <c r="AE636" i="3"/>
  <c r="O636" i="3"/>
  <c r="AI655" i="3"/>
  <c r="P654" i="3"/>
  <c r="BM652" i="3"/>
  <c r="Y651" i="3"/>
  <c r="AI649" i="3"/>
  <c r="T648" i="3"/>
  <c r="AX646" i="3"/>
  <c r="AY645" i="3"/>
  <c r="S645" i="3"/>
  <c r="BB644" i="3"/>
  <c r="AG644" i="3"/>
  <c r="L644" i="3"/>
  <c r="AT643" i="3"/>
  <c r="Y643" i="3"/>
  <c r="BL642" i="3"/>
  <c r="AQ642" i="3"/>
  <c r="V642" i="3"/>
  <c r="BE641" i="3"/>
  <c r="AJ641" i="3"/>
  <c r="O641" i="3"/>
  <c r="BB640" i="3"/>
  <c r="AG640" i="3"/>
  <c r="L640" i="3"/>
  <c r="AT639" i="3"/>
  <c r="Y639" i="3"/>
  <c r="BL638" i="3"/>
  <c r="AQ638" i="3"/>
  <c r="V638" i="3"/>
  <c r="BE637" i="3"/>
  <c r="AJ637" i="3"/>
  <c r="O637" i="3"/>
  <c r="BB636" i="3"/>
  <c r="AG636" i="3"/>
  <c r="L636" i="3"/>
  <c r="AY635" i="3"/>
  <c r="AI635" i="3"/>
  <c r="S635" i="3"/>
  <c r="BL634" i="3"/>
  <c r="AV634" i="3"/>
  <c r="AF634" i="3"/>
  <c r="P634" i="3"/>
  <c r="BI633" i="3"/>
  <c r="AS633" i="3"/>
  <c r="AC633" i="3"/>
  <c r="M633" i="3"/>
  <c r="BB632" i="3"/>
  <c r="AL632" i="3"/>
  <c r="V632" i="3"/>
  <c r="BK631" i="3"/>
  <c r="AU631" i="3"/>
  <c r="AE631" i="3"/>
  <c r="O631" i="3"/>
  <c r="BH630" i="3"/>
  <c r="AR630" i="3"/>
  <c r="AB630" i="3"/>
  <c r="L630" i="3"/>
  <c r="BE629" i="3"/>
  <c r="AO629" i="3"/>
  <c r="Y629" i="3"/>
  <c r="I629" i="3"/>
  <c r="AX628" i="3"/>
  <c r="AH628" i="3"/>
  <c r="R628" i="3"/>
  <c r="BG627" i="3"/>
  <c r="AQ627" i="3"/>
  <c r="AA627" i="3"/>
  <c r="K627" i="3"/>
  <c r="BD626" i="3"/>
  <c r="AN626" i="3"/>
  <c r="X626" i="3"/>
  <c r="H626" i="3"/>
  <c r="BA625" i="3"/>
  <c r="AK625" i="3"/>
  <c r="U625" i="3"/>
  <c r="BJ624" i="3"/>
  <c r="AT624" i="3"/>
  <c r="AD624" i="3"/>
  <c r="N624" i="3"/>
  <c r="BC623" i="3"/>
  <c r="AM623" i="3"/>
  <c r="W623" i="3"/>
  <c r="G623" i="3"/>
  <c r="AZ622" i="3"/>
  <c r="AJ622" i="3"/>
  <c r="T622" i="3"/>
  <c r="AY655" i="3"/>
  <c r="AF654" i="3"/>
  <c r="O653" i="3"/>
  <c r="BJ651" i="3"/>
  <c r="AQ650" i="3"/>
  <c r="O649" i="3"/>
  <c r="P648" i="3"/>
  <c r="Q647" i="3"/>
  <c r="N646" i="3"/>
  <c r="AO645" i="3"/>
  <c r="I645" i="3"/>
  <c r="AV644" i="3"/>
  <c r="Z644" i="3"/>
  <c r="BI643" i="3"/>
  <c r="AM643" i="3"/>
  <c r="R643" i="3"/>
  <c r="BF642" i="3"/>
  <c r="AJ642" i="3"/>
  <c r="O642" i="3"/>
  <c r="AY641" i="3"/>
  <c r="AC641" i="3"/>
  <c r="H641" i="3"/>
  <c r="AV640" i="3"/>
  <c r="Z640" i="3"/>
  <c r="BI639" i="3"/>
  <c r="AM639" i="3"/>
  <c r="R639" i="3"/>
  <c r="BF638" i="3"/>
  <c r="AJ638" i="3"/>
  <c r="O638" i="3"/>
  <c r="AY637" i="3"/>
  <c r="AC637" i="3"/>
  <c r="H637" i="3"/>
  <c r="AV636" i="3"/>
  <c r="Z636" i="3"/>
  <c r="BJ635" i="3"/>
  <c r="AT635" i="3"/>
  <c r="AD635" i="3"/>
  <c r="N635" i="3"/>
  <c r="BC634" i="3"/>
  <c r="AM634" i="3"/>
  <c r="W634" i="3"/>
  <c r="G634" i="3"/>
  <c r="AZ633" i="3"/>
  <c r="AJ633" i="3"/>
  <c r="T633" i="3"/>
  <c r="BM632" i="3"/>
  <c r="AW632" i="3"/>
  <c r="AG632" i="3"/>
  <c r="Q632" i="3"/>
  <c r="BF631" i="3"/>
  <c r="AP631" i="3"/>
  <c r="Z631" i="3"/>
  <c r="J631" i="3"/>
  <c r="AY630" i="3"/>
  <c r="AI630" i="3"/>
  <c r="S630" i="3"/>
  <c r="BL629" i="3"/>
  <c r="AV629" i="3"/>
  <c r="AF629" i="3"/>
  <c r="P629" i="3"/>
  <c r="BI628" i="3"/>
  <c r="AS628" i="3"/>
  <c r="AC628" i="3"/>
  <c r="M628" i="3"/>
  <c r="BB627" i="3"/>
  <c r="AL627" i="3"/>
  <c r="V627" i="3"/>
  <c r="BK626" i="3"/>
  <c r="AU626" i="3"/>
  <c r="AE626" i="3"/>
  <c r="O626" i="3"/>
  <c r="BH625" i="3"/>
  <c r="AR625" i="3"/>
  <c r="AB625" i="3"/>
  <c r="L625" i="3"/>
  <c r="BE624" i="3"/>
  <c r="AO624" i="3"/>
  <c r="Y624" i="3"/>
  <c r="I624" i="3"/>
  <c r="AX623" i="3"/>
  <c r="AH623" i="3"/>
  <c r="R623" i="3"/>
  <c r="BG622" i="3"/>
  <c r="AQ622" i="3"/>
  <c r="AA654" i="3"/>
  <c r="BB652" i="3"/>
  <c r="AI651" i="3"/>
  <c r="P650" i="3"/>
  <c r="K649" i="3"/>
  <c r="L648" i="3"/>
  <c r="M647" i="3"/>
  <c r="J646" i="3"/>
  <c r="AM645" i="3"/>
  <c r="G645" i="3"/>
  <c r="AT644" i="3"/>
  <c r="Y644" i="3"/>
  <c r="BM643" i="3"/>
  <c r="AQ643" i="3"/>
  <c r="V643" i="3"/>
  <c r="BD642" i="3"/>
  <c r="AI642" i="3"/>
  <c r="N642" i="3"/>
  <c r="BC641" i="3"/>
  <c r="AG641" i="3"/>
  <c r="L641" i="3"/>
  <c r="AZ640" i="3"/>
  <c r="AD640" i="3"/>
  <c r="I640" i="3"/>
  <c r="AW639" i="3"/>
  <c r="AA639" i="3"/>
  <c r="BJ638" i="3"/>
  <c r="AN638" i="3"/>
  <c r="S638" i="3"/>
  <c r="BH637" i="3"/>
  <c r="AM637" i="3"/>
  <c r="Q637" i="3"/>
  <c r="BE636" i="3"/>
  <c r="AJ636" i="3"/>
  <c r="N636" i="3"/>
  <c r="BE635" i="3"/>
  <c r="AO635" i="3"/>
  <c r="Y635" i="3"/>
  <c r="I635" i="3"/>
  <c r="AX634" i="3"/>
  <c r="AH634" i="3"/>
  <c r="R634" i="3"/>
  <c r="BG633" i="3"/>
  <c r="AQ633" i="3"/>
  <c r="AA633" i="3"/>
  <c r="K633" i="3"/>
  <c r="BD632" i="3"/>
  <c r="AN632" i="3"/>
  <c r="X632" i="3"/>
  <c r="H632" i="3"/>
  <c r="BA631" i="3"/>
  <c r="AK631" i="3"/>
  <c r="U631" i="3"/>
  <c r="BJ630" i="3"/>
  <c r="AT630" i="3"/>
  <c r="AD630" i="3"/>
  <c r="N630" i="3"/>
  <c r="BC629" i="3"/>
  <c r="AM629" i="3"/>
  <c r="W629" i="3"/>
  <c r="G629" i="3"/>
  <c r="AZ628" i="3"/>
  <c r="AJ628" i="3"/>
  <c r="T628" i="3"/>
  <c r="BM627" i="3"/>
  <c r="AW627" i="3"/>
  <c r="AG627" i="3"/>
  <c r="Q627" i="3"/>
  <c r="BF626" i="3"/>
  <c r="AP626" i="3"/>
  <c r="Z626" i="3"/>
  <c r="J626" i="3"/>
  <c r="AY625" i="3"/>
  <c r="AI625" i="3"/>
  <c r="S625" i="3"/>
  <c r="BL624" i="3"/>
  <c r="AV624" i="3"/>
  <c r="AF624" i="3"/>
  <c r="P624" i="3"/>
  <c r="BI623" i="3"/>
  <c r="AS623" i="3"/>
  <c r="AC623" i="3"/>
  <c r="M623" i="3"/>
  <c r="BL654" i="3"/>
  <c r="Y653" i="3"/>
  <c r="AD651" i="3"/>
  <c r="K650" i="3"/>
  <c r="G649" i="3"/>
  <c r="H648" i="3"/>
  <c r="I647" i="3"/>
  <c r="BI645" i="3"/>
  <c r="AC645" i="3"/>
  <c r="BD644" i="3"/>
  <c r="AH644" i="3"/>
  <c r="M644" i="3"/>
  <c r="BA643" i="3"/>
  <c r="AE643" i="3"/>
  <c r="J643" i="3"/>
  <c r="AR642" i="3"/>
  <c r="W642" i="3"/>
  <c r="BL641" i="3"/>
  <c r="AQ641" i="3"/>
  <c r="U641" i="3"/>
  <c r="BD640" i="3"/>
  <c r="AH640" i="3"/>
  <c r="M640" i="3"/>
  <c r="BA639" i="3"/>
  <c r="AE639" i="3"/>
  <c r="J639" i="3"/>
  <c r="AR638" i="3"/>
  <c r="W638" i="3"/>
  <c r="BL637" i="3"/>
  <c r="AQ637" i="3"/>
  <c r="U637" i="3"/>
  <c r="BD636" i="3"/>
  <c r="AH636" i="3"/>
  <c r="M636" i="3"/>
  <c r="BD635" i="3"/>
  <c r="AN635" i="3"/>
  <c r="X635" i="3"/>
  <c r="H635" i="3"/>
  <c r="BA634" i="3"/>
  <c r="AK634" i="3"/>
  <c r="U634" i="3"/>
  <c r="BJ633" i="3"/>
  <c r="AT633" i="3"/>
  <c r="AD633" i="3"/>
  <c r="N633" i="3"/>
  <c r="BC632" i="3"/>
  <c r="AM632" i="3"/>
  <c r="W632" i="3"/>
  <c r="G632" i="3"/>
  <c r="AZ631" i="3"/>
  <c r="AJ631" i="3"/>
  <c r="T631" i="3"/>
  <c r="BM630" i="3"/>
  <c r="AW630" i="3"/>
  <c r="AG630" i="3"/>
  <c r="Q630" i="3"/>
  <c r="BF629" i="3"/>
  <c r="AP629" i="3"/>
  <c r="Z629" i="3"/>
  <c r="J629" i="3"/>
  <c r="AY628" i="3"/>
  <c r="AI628" i="3"/>
  <c r="S628" i="3"/>
  <c r="BL627" i="3"/>
  <c r="AV627" i="3"/>
  <c r="AF627" i="3"/>
  <c r="P627" i="3"/>
  <c r="BI626" i="3"/>
  <c r="AS626" i="3"/>
  <c r="AC626" i="3"/>
  <c r="M626" i="3"/>
  <c r="BB625" i="3"/>
  <c r="AL625" i="3"/>
  <c r="V625" i="3"/>
  <c r="BK624" i="3"/>
  <c r="AU624" i="3"/>
  <c r="AE624" i="3"/>
  <c r="O624" i="3"/>
  <c r="BH623" i="3"/>
  <c r="AR623" i="3"/>
  <c r="AB623" i="3"/>
  <c r="L623" i="3"/>
  <c r="AP622" i="3"/>
  <c r="U622" i="3"/>
  <c r="BI620" i="3"/>
  <c r="AS620" i="3"/>
  <c r="AC620" i="3"/>
  <c r="M620" i="3"/>
  <c r="BB619" i="3"/>
  <c r="AL619" i="3"/>
  <c r="V619" i="3"/>
  <c r="BK618" i="3"/>
  <c r="AU618" i="3"/>
  <c r="AE618" i="3"/>
  <c r="O618" i="3"/>
  <c r="BH617" i="3"/>
  <c r="AR617" i="3"/>
  <c r="AB617" i="3"/>
  <c r="L617" i="3"/>
  <c r="BE616" i="3"/>
  <c r="AO616" i="3"/>
  <c r="Y616" i="3"/>
  <c r="I616" i="3"/>
  <c r="AX615" i="3"/>
  <c r="AH615" i="3"/>
  <c r="R615" i="3"/>
  <c r="BG614" i="3"/>
  <c r="AQ614" i="3"/>
  <c r="AA614" i="3"/>
  <c r="K614" i="3"/>
  <c r="BD613" i="3"/>
  <c r="AN613" i="3"/>
  <c r="X613" i="3"/>
  <c r="H613" i="3"/>
  <c r="BA612" i="3"/>
  <c r="AK612" i="3"/>
  <c r="U612" i="3"/>
  <c r="BJ611" i="3"/>
  <c r="AT611" i="3"/>
  <c r="AD611" i="3"/>
  <c r="N611" i="3"/>
  <c r="BC610" i="3"/>
  <c r="AM610" i="3"/>
  <c r="W610" i="3"/>
  <c r="G610" i="3"/>
  <c r="AZ609" i="3"/>
  <c r="AJ609" i="3"/>
  <c r="T609" i="3"/>
  <c r="BM608" i="3"/>
  <c r="AW608" i="3"/>
  <c r="AG608" i="3"/>
  <c r="Q608" i="3"/>
  <c r="BF607" i="3"/>
  <c r="AP607" i="3"/>
  <c r="Z607" i="3"/>
  <c r="J607" i="3"/>
  <c r="AY606" i="3"/>
  <c r="AI606" i="3"/>
  <c r="S606" i="3"/>
  <c r="BL605" i="3"/>
  <c r="AV605" i="3"/>
  <c r="AF605" i="3"/>
  <c r="P605" i="3"/>
  <c r="BI604" i="3"/>
  <c r="AS604" i="3"/>
  <c r="AC604" i="3"/>
  <c r="M604" i="3"/>
  <c r="BB603" i="3"/>
  <c r="AL603" i="3"/>
  <c r="V603" i="3"/>
  <c r="BK602" i="3"/>
  <c r="AU602" i="3"/>
  <c r="AE602" i="3"/>
  <c r="O602" i="3"/>
  <c r="BH601" i="3"/>
  <c r="AR601" i="3"/>
  <c r="AB601" i="3"/>
  <c r="L601" i="3"/>
  <c r="BE600" i="3"/>
  <c r="AO600" i="3"/>
  <c r="Y600" i="3"/>
  <c r="I600" i="3"/>
  <c r="AX599" i="3"/>
  <c r="AH599" i="3"/>
  <c r="R599" i="3"/>
  <c r="BE622" i="3"/>
  <c r="AD622" i="3"/>
  <c r="I622" i="3"/>
  <c r="AZ620" i="3"/>
  <c r="AJ620" i="3"/>
  <c r="T620" i="3"/>
  <c r="BM619" i="3"/>
  <c r="AW619" i="3"/>
  <c r="AG619" i="3"/>
  <c r="Q619" i="3"/>
  <c r="BF618" i="3"/>
  <c r="AP618" i="3"/>
  <c r="Z618" i="3"/>
  <c r="J618" i="3"/>
  <c r="AY617" i="3"/>
  <c r="AI617" i="3"/>
  <c r="S617" i="3"/>
  <c r="BL616" i="3"/>
  <c r="AV616" i="3"/>
  <c r="AF616" i="3"/>
  <c r="P616" i="3"/>
  <c r="BI615" i="3"/>
  <c r="AS615" i="3"/>
  <c r="AC615" i="3"/>
  <c r="M615" i="3"/>
  <c r="BB614" i="3"/>
  <c r="AL614" i="3"/>
  <c r="V614" i="3"/>
  <c r="BK613" i="3"/>
  <c r="AU613" i="3"/>
  <c r="AE613" i="3"/>
  <c r="O613" i="3"/>
  <c r="BH612" i="3"/>
  <c r="AR612" i="3"/>
  <c r="AB612" i="3"/>
  <c r="L612" i="3"/>
  <c r="BE611" i="3"/>
  <c r="AO611" i="3"/>
  <c r="Y611" i="3"/>
  <c r="I611" i="3"/>
  <c r="AX610" i="3"/>
  <c r="AH610" i="3"/>
  <c r="R610" i="3"/>
  <c r="BG609" i="3"/>
  <c r="AQ609" i="3"/>
  <c r="AA609" i="3"/>
  <c r="K609" i="3"/>
  <c r="BD608" i="3"/>
  <c r="AN608" i="3"/>
  <c r="X608" i="3"/>
  <c r="H608" i="3"/>
  <c r="BA607" i="3"/>
  <c r="AK607" i="3"/>
  <c r="U607" i="3"/>
  <c r="BJ606" i="3"/>
  <c r="AT606" i="3"/>
  <c r="AD606" i="3"/>
  <c r="N606" i="3"/>
  <c r="BC605" i="3"/>
  <c r="AM605" i="3"/>
  <c r="W605" i="3"/>
  <c r="G605" i="3"/>
  <c r="AZ604" i="3"/>
  <c r="AJ604" i="3"/>
  <c r="T604" i="3"/>
  <c r="BM603" i="3"/>
  <c r="AW603" i="3"/>
  <c r="AG603" i="3"/>
  <c r="Q603" i="3"/>
  <c r="BF602" i="3"/>
  <c r="AP602" i="3"/>
  <c r="Z602" i="3"/>
  <c r="J602" i="3"/>
  <c r="AY601" i="3"/>
  <c r="AI601" i="3"/>
  <c r="S601" i="3"/>
  <c r="BL600" i="3"/>
  <c r="AV600" i="3"/>
  <c r="AF600" i="3"/>
  <c r="P600" i="3"/>
  <c r="BI599" i="3"/>
  <c r="AS599" i="3"/>
  <c r="BJ622" i="3"/>
  <c r="AH622" i="3"/>
  <c r="M622" i="3"/>
  <c r="BC620" i="3"/>
  <c r="AM620" i="3"/>
  <c r="W620" i="3"/>
  <c r="G620" i="3"/>
  <c r="AZ619" i="3"/>
  <c r="AJ619" i="3"/>
  <c r="T619" i="3"/>
  <c r="BM618" i="3"/>
  <c r="AW618" i="3"/>
  <c r="AG618" i="3"/>
  <c r="Q618" i="3"/>
  <c r="BF617" i="3"/>
  <c r="AP617" i="3"/>
  <c r="Z617" i="3"/>
  <c r="J617" i="3"/>
  <c r="AY616" i="3"/>
  <c r="AI616" i="3"/>
  <c r="S616" i="3"/>
  <c r="BL615" i="3"/>
  <c r="AV615" i="3"/>
  <c r="AF615" i="3"/>
  <c r="P615" i="3"/>
  <c r="BI614" i="3"/>
  <c r="AS614" i="3"/>
  <c r="AC614" i="3"/>
  <c r="M614" i="3"/>
  <c r="BB613" i="3"/>
  <c r="AL613" i="3"/>
  <c r="V613" i="3"/>
  <c r="BK612" i="3"/>
  <c r="AU612" i="3"/>
  <c r="AE612" i="3"/>
  <c r="O612" i="3"/>
  <c r="BH611" i="3"/>
  <c r="AR611" i="3"/>
  <c r="AB611" i="3"/>
  <c r="L611" i="3"/>
  <c r="BE610" i="3"/>
  <c r="AO610" i="3"/>
  <c r="Y610" i="3"/>
  <c r="I610" i="3"/>
  <c r="AX609" i="3"/>
  <c r="AH609" i="3"/>
  <c r="R609" i="3"/>
  <c r="BG608" i="3"/>
  <c r="AQ608" i="3"/>
  <c r="AA608" i="3"/>
  <c r="K608" i="3"/>
  <c r="BD607" i="3"/>
  <c r="AN607" i="3"/>
  <c r="X607" i="3"/>
  <c r="H607" i="3"/>
  <c r="BA606" i="3"/>
  <c r="AK606" i="3"/>
  <c r="U606" i="3"/>
  <c r="BJ605" i="3"/>
  <c r="AT605" i="3"/>
  <c r="AD605" i="3"/>
  <c r="N605" i="3"/>
  <c r="BC604" i="3"/>
  <c r="AM604" i="3"/>
  <c r="W604" i="3"/>
  <c r="G604" i="3"/>
  <c r="AZ603" i="3"/>
  <c r="AJ603" i="3"/>
  <c r="T603" i="3"/>
  <c r="BM602" i="3"/>
  <c r="AW602" i="3"/>
  <c r="AG602" i="3"/>
  <c r="Q602" i="3"/>
  <c r="BF601" i="3"/>
  <c r="AP601" i="3"/>
  <c r="Z601" i="3"/>
  <c r="J601" i="3"/>
  <c r="AY600" i="3"/>
  <c r="AI600" i="3"/>
  <c r="S600" i="3"/>
  <c r="BL599" i="3"/>
  <c r="AL622" i="3"/>
  <c r="Q622" i="3"/>
  <c r="BB620" i="3"/>
  <c r="AL620" i="3"/>
  <c r="V620" i="3"/>
  <c r="BK619" i="3"/>
  <c r="AU619" i="3"/>
  <c r="AE619" i="3"/>
  <c r="O619" i="3"/>
  <c r="BH618" i="3"/>
  <c r="AR618" i="3"/>
  <c r="AB618" i="3"/>
  <c r="L618" i="3"/>
  <c r="BE617" i="3"/>
  <c r="AO617" i="3"/>
  <c r="Y617" i="3"/>
  <c r="I617" i="3"/>
  <c r="AX616" i="3"/>
  <c r="AH616" i="3"/>
  <c r="R616" i="3"/>
  <c r="BG615" i="3"/>
  <c r="AQ615" i="3"/>
  <c r="AA615" i="3"/>
  <c r="K615" i="3"/>
  <c r="BD614" i="3"/>
  <c r="AN614" i="3"/>
  <c r="X614" i="3"/>
  <c r="H614" i="3"/>
  <c r="BA613" i="3"/>
  <c r="AK613" i="3"/>
  <c r="U613" i="3"/>
  <c r="BJ612" i="3"/>
  <c r="AT612" i="3"/>
  <c r="AD612" i="3"/>
  <c r="N612" i="3"/>
  <c r="BC611" i="3"/>
  <c r="AM611" i="3"/>
  <c r="W611" i="3"/>
  <c r="G611" i="3"/>
  <c r="AZ610" i="3"/>
  <c r="AJ610" i="3"/>
  <c r="T610" i="3"/>
  <c r="BM609" i="3"/>
  <c r="AW609" i="3"/>
  <c r="AG609" i="3"/>
  <c r="Q609" i="3"/>
  <c r="BF608" i="3"/>
  <c r="AP608" i="3"/>
  <c r="Z608" i="3"/>
  <c r="J608" i="3"/>
  <c r="AY607" i="3"/>
  <c r="AI607" i="3"/>
  <c r="S607" i="3"/>
  <c r="BL606" i="3"/>
  <c r="AV606" i="3"/>
  <c r="AF606" i="3"/>
  <c r="P606" i="3"/>
  <c r="BI605" i="3"/>
  <c r="AS605" i="3"/>
  <c r="AC605" i="3"/>
  <c r="M605" i="3"/>
  <c r="BB604" i="3"/>
  <c r="AL604" i="3"/>
  <c r="V604" i="3"/>
  <c r="BK603" i="3"/>
  <c r="AU603" i="3"/>
  <c r="AE603" i="3"/>
  <c r="O603" i="3"/>
  <c r="BH602" i="3"/>
  <c r="AR602" i="3"/>
  <c r="AB602" i="3"/>
  <c r="L602" i="3"/>
  <c r="BE601" i="3"/>
  <c r="AO601" i="3"/>
  <c r="Y601" i="3"/>
  <c r="I601" i="3"/>
  <c r="AX600" i="3"/>
  <c r="AH600" i="3"/>
  <c r="R600" i="3"/>
  <c r="BG599" i="3"/>
  <c r="AQ599" i="3"/>
  <c r="AA599" i="3"/>
  <c r="K599" i="3"/>
  <c r="Y599" i="3"/>
  <c r="BH598" i="3"/>
  <c r="AR598" i="3"/>
  <c r="AB598" i="3"/>
  <c r="L598" i="3"/>
  <c r="BE597" i="3"/>
  <c r="AO597" i="3"/>
  <c r="Y597" i="3"/>
  <c r="I597" i="3"/>
  <c r="AX596" i="3"/>
  <c r="AH596" i="3"/>
  <c r="R596" i="3"/>
  <c r="BG595" i="3"/>
  <c r="AQ595" i="3"/>
  <c r="AA595" i="3"/>
  <c r="K595" i="3"/>
  <c r="BD594" i="3"/>
  <c r="AN594" i="3"/>
  <c r="X594" i="3"/>
  <c r="H594" i="3"/>
  <c r="BA593" i="3"/>
  <c r="AK593" i="3"/>
  <c r="U593" i="3"/>
  <c r="BJ592" i="3"/>
  <c r="AT592" i="3"/>
  <c r="AD592" i="3"/>
  <c r="N592" i="3"/>
  <c r="BC591" i="3"/>
  <c r="AM591" i="3"/>
  <c r="W591" i="3"/>
  <c r="G591" i="3"/>
  <c r="AZ590" i="3"/>
  <c r="AJ590" i="3"/>
  <c r="T590" i="3"/>
  <c r="BM589" i="3"/>
  <c r="AW589" i="3"/>
  <c r="AG589" i="3"/>
  <c r="Q589" i="3"/>
  <c r="BF588" i="3"/>
  <c r="AP588" i="3"/>
  <c r="Z588" i="3"/>
  <c r="J588" i="3"/>
  <c r="AY587" i="3"/>
  <c r="AI587" i="3"/>
  <c r="S587" i="3"/>
  <c r="BL586" i="3"/>
  <c r="AV586" i="3"/>
  <c r="AF586" i="3"/>
  <c r="P586" i="3"/>
  <c r="BI585" i="3"/>
  <c r="AS585" i="3"/>
  <c r="AC585" i="3"/>
  <c r="M585" i="3"/>
  <c r="BB584" i="3"/>
  <c r="AL584" i="3"/>
  <c r="V584" i="3"/>
  <c r="BK583" i="3"/>
  <c r="AU583" i="3"/>
  <c r="AE583" i="3"/>
  <c r="O583" i="3"/>
  <c r="BH582" i="3"/>
  <c r="AR582" i="3"/>
  <c r="AB582" i="3"/>
  <c r="L582" i="3"/>
  <c r="BE581" i="3"/>
  <c r="AO581" i="3"/>
  <c r="Y581" i="3"/>
  <c r="I581" i="3"/>
  <c r="BA579" i="3"/>
  <c r="AK579" i="3"/>
  <c r="U579" i="3"/>
  <c r="BJ578" i="3"/>
  <c r="AT578" i="3"/>
  <c r="AD578" i="3"/>
  <c r="N578" i="3"/>
  <c r="BC577" i="3"/>
  <c r="AM577" i="3"/>
  <c r="W577" i="3"/>
  <c r="G577" i="3"/>
  <c r="AZ576" i="3"/>
  <c r="AJ576" i="3"/>
  <c r="T576" i="3"/>
  <c r="BM575" i="3"/>
  <c r="AW575" i="3"/>
  <c r="AG575" i="3"/>
  <c r="Q575" i="3"/>
  <c r="BF574" i="3"/>
  <c r="AP574" i="3"/>
  <c r="Z574" i="3"/>
  <c r="J574" i="3"/>
  <c r="AY573" i="3"/>
  <c r="AI573" i="3"/>
  <c r="S573" i="3"/>
  <c r="BL572" i="3"/>
  <c r="AV572" i="3"/>
  <c r="AF572" i="3"/>
  <c r="P572" i="3"/>
  <c r="BI571" i="3"/>
  <c r="AS571" i="3"/>
  <c r="AC571" i="3"/>
  <c r="M571" i="3"/>
  <c r="BB570" i="3"/>
  <c r="AL570" i="3"/>
  <c r="V570" i="3"/>
  <c r="BK569" i="3"/>
  <c r="AU569" i="3"/>
  <c r="AE569" i="3"/>
  <c r="O569" i="3"/>
  <c r="BH568" i="3"/>
  <c r="AR568" i="3"/>
  <c r="AB568" i="3"/>
  <c r="L568" i="3"/>
  <c r="BE567" i="3"/>
  <c r="AO567" i="3"/>
  <c r="Y567" i="3"/>
  <c r="I567" i="3"/>
  <c r="AX566" i="3"/>
  <c r="AH566" i="3"/>
  <c r="R566" i="3"/>
  <c r="BG565" i="3"/>
  <c r="AQ565" i="3"/>
  <c r="AA565" i="3"/>
  <c r="K565" i="3"/>
  <c r="BD564" i="3"/>
  <c r="AN564" i="3"/>
  <c r="X564" i="3"/>
  <c r="H564" i="3"/>
  <c r="BA563" i="3"/>
  <c r="AK563" i="3"/>
  <c r="U563" i="3"/>
  <c r="BJ562" i="3"/>
  <c r="AT562" i="3"/>
  <c r="AD562" i="3"/>
  <c r="N562" i="3"/>
  <c r="BC561" i="3"/>
  <c r="AM561" i="3"/>
  <c r="W561" i="3"/>
  <c r="G561" i="3"/>
  <c r="AZ560" i="3"/>
  <c r="AJ560" i="3"/>
  <c r="T560" i="3"/>
  <c r="BM559" i="3"/>
  <c r="AW559" i="3"/>
  <c r="AG559" i="3"/>
  <c r="Q559" i="3"/>
  <c r="BF558" i="3"/>
  <c r="AP558" i="3"/>
  <c r="Z558" i="3"/>
  <c r="J558" i="3"/>
  <c r="AY557" i="3"/>
  <c r="AI557" i="3"/>
  <c r="S557" i="3"/>
  <c r="BL556" i="3"/>
  <c r="AV556" i="3"/>
  <c r="AF556" i="3"/>
  <c r="P556" i="3"/>
  <c r="BI555" i="3"/>
  <c r="AS555" i="3"/>
  <c r="AC555" i="3"/>
  <c r="M555" i="3"/>
  <c r="BB554" i="3"/>
  <c r="AL554" i="3"/>
  <c r="V554" i="3"/>
  <c r="BK553" i="3"/>
  <c r="X599" i="3"/>
  <c r="BG598" i="3"/>
  <c r="AQ598" i="3"/>
  <c r="AA598" i="3"/>
  <c r="K598" i="3"/>
  <c r="BD597" i="3"/>
  <c r="AN597" i="3"/>
  <c r="X597" i="3"/>
  <c r="H597" i="3"/>
  <c r="BA596" i="3"/>
  <c r="AK596" i="3"/>
  <c r="U596" i="3"/>
  <c r="BJ595" i="3"/>
  <c r="AT595" i="3"/>
  <c r="AD595" i="3"/>
  <c r="N595" i="3"/>
  <c r="BC594" i="3"/>
  <c r="AM594" i="3"/>
  <c r="W594" i="3"/>
  <c r="G594" i="3"/>
  <c r="AZ593" i="3"/>
  <c r="AJ593" i="3"/>
  <c r="T593" i="3"/>
  <c r="BM592" i="3"/>
  <c r="AW592" i="3"/>
  <c r="AG592" i="3"/>
  <c r="Q592" i="3"/>
  <c r="BF591" i="3"/>
  <c r="AP591" i="3"/>
  <c r="Z591" i="3"/>
  <c r="J591" i="3"/>
  <c r="AY590" i="3"/>
  <c r="AI590" i="3"/>
  <c r="S590" i="3"/>
  <c r="BL589" i="3"/>
  <c r="AV589" i="3"/>
  <c r="AF589" i="3"/>
  <c r="P589" i="3"/>
  <c r="BI588" i="3"/>
  <c r="AS588" i="3"/>
  <c r="AC588" i="3"/>
  <c r="M588" i="3"/>
  <c r="BB587" i="3"/>
  <c r="AL587" i="3"/>
  <c r="V587" i="3"/>
  <c r="BK586" i="3"/>
  <c r="AU586" i="3"/>
  <c r="AE586" i="3"/>
  <c r="O586" i="3"/>
  <c r="BH585" i="3"/>
  <c r="AR585" i="3"/>
  <c r="AB585" i="3"/>
  <c r="L585" i="3"/>
  <c r="BE584" i="3"/>
  <c r="AO584" i="3"/>
  <c r="Y584" i="3"/>
  <c r="I584" i="3"/>
  <c r="AX583" i="3"/>
  <c r="AH583" i="3"/>
  <c r="R583" i="3"/>
  <c r="BG582" i="3"/>
  <c r="AQ582" i="3"/>
  <c r="AA582" i="3"/>
  <c r="K582" i="3"/>
  <c r="BD581" i="3"/>
  <c r="AN581" i="3"/>
  <c r="X581" i="3"/>
  <c r="H581" i="3"/>
  <c r="AZ579" i="3"/>
  <c r="AJ579" i="3"/>
  <c r="T579" i="3"/>
  <c r="BM578" i="3"/>
  <c r="AW578" i="3"/>
  <c r="AG578" i="3"/>
  <c r="Q578" i="3"/>
  <c r="BF577" i="3"/>
  <c r="AP577" i="3"/>
  <c r="Z577" i="3"/>
  <c r="J577" i="3"/>
  <c r="AY576" i="3"/>
  <c r="AI576" i="3"/>
  <c r="S576" i="3"/>
  <c r="BL575" i="3"/>
  <c r="AV575" i="3"/>
  <c r="AF575" i="3"/>
  <c r="P575" i="3"/>
  <c r="BI574" i="3"/>
  <c r="AS574" i="3"/>
  <c r="AC574" i="3"/>
  <c r="M574" i="3"/>
  <c r="BB573" i="3"/>
  <c r="AL573" i="3"/>
  <c r="V573" i="3"/>
  <c r="BK572" i="3"/>
  <c r="AU572" i="3"/>
  <c r="AE572" i="3"/>
  <c r="O572" i="3"/>
  <c r="BH571" i="3"/>
  <c r="AR571" i="3"/>
  <c r="AB571" i="3"/>
  <c r="L571" i="3"/>
  <c r="BE570" i="3"/>
  <c r="AO570" i="3"/>
  <c r="Y570" i="3"/>
  <c r="I570" i="3"/>
  <c r="AX569" i="3"/>
  <c r="AH569" i="3"/>
  <c r="R569" i="3"/>
  <c r="BG568" i="3"/>
  <c r="AQ568" i="3"/>
  <c r="AA568" i="3"/>
  <c r="K568" i="3"/>
  <c r="BD567" i="3"/>
  <c r="AN567" i="3"/>
  <c r="X567" i="3"/>
  <c r="H567" i="3"/>
  <c r="BA566" i="3"/>
  <c r="AK566" i="3"/>
  <c r="U566" i="3"/>
  <c r="BJ565" i="3"/>
  <c r="AT565" i="3"/>
  <c r="AD565" i="3"/>
  <c r="N565" i="3"/>
  <c r="BC564" i="3"/>
  <c r="AM564" i="3"/>
  <c r="W564" i="3"/>
  <c r="G564" i="3"/>
  <c r="AZ563" i="3"/>
  <c r="AJ563" i="3"/>
  <c r="T563" i="3"/>
  <c r="BM562" i="3"/>
  <c r="AW562" i="3"/>
  <c r="AG562" i="3"/>
  <c r="Q562" i="3"/>
  <c r="BF561" i="3"/>
  <c r="AP561" i="3"/>
  <c r="Z561" i="3"/>
  <c r="J561" i="3"/>
  <c r="AY560" i="3"/>
  <c r="AI560" i="3"/>
  <c r="S560" i="3"/>
  <c r="BL559" i="3"/>
  <c r="AV559" i="3"/>
  <c r="AF559" i="3"/>
  <c r="P559" i="3"/>
  <c r="BI558" i="3"/>
  <c r="AS558" i="3"/>
  <c r="AC558" i="3"/>
  <c r="M558" i="3"/>
  <c r="BB557" i="3"/>
  <c r="AL557" i="3"/>
  <c r="V557" i="3"/>
  <c r="BK556" i="3"/>
  <c r="AU556" i="3"/>
  <c r="AE556" i="3"/>
  <c r="O556" i="3"/>
  <c r="BH555" i="3"/>
  <c r="AR555" i="3"/>
  <c r="AB555" i="3"/>
  <c r="L555" i="3"/>
  <c r="BE554" i="3"/>
  <c r="AO554" i="3"/>
  <c r="Y554" i="3"/>
  <c r="I554" i="3"/>
  <c r="U599" i="3"/>
  <c r="BB598" i="3"/>
  <c r="AL598" i="3"/>
  <c r="V598" i="3"/>
  <c r="BK597" i="3"/>
  <c r="AU597" i="3"/>
  <c r="AE597" i="3"/>
  <c r="O597" i="3"/>
  <c r="BH596" i="3"/>
  <c r="AR596" i="3"/>
  <c r="AB596" i="3"/>
  <c r="L596" i="3"/>
  <c r="BE595" i="3"/>
  <c r="AO595" i="3"/>
  <c r="Y595" i="3"/>
  <c r="I595" i="3"/>
  <c r="AX594" i="3"/>
  <c r="AH594" i="3"/>
  <c r="R594" i="3"/>
  <c r="BG593" i="3"/>
  <c r="AQ593" i="3"/>
  <c r="AA593" i="3"/>
  <c r="K593" i="3"/>
  <c r="BD592" i="3"/>
  <c r="AN592" i="3"/>
  <c r="X592" i="3"/>
  <c r="H592" i="3"/>
  <c r="BA591" i="3"/>
  <c r="AK591" i="3"/>
  <c r="U591" i="3"/>
  <c r="BJ590" i="3"/>
  <c r="AT590" i="3"/>
  <c r="AD590" i="3"/>
  <c r="N590" i="3"/>
  <c r="BC589" i="3"/>
  <c r="AM589" i="3"/>
  <c r="W589" i="3"/>
  <c r="G589" i="3"/>
  <c r="AZ588" i="3"/>
  <c r="AJ588" i="3"/>
  <c r="T588" i="3"/>
  <c r="BM587" i="3"/>
  <c r="AW587" i="3"/>
  <c r="AG587" i="3"/>
  <c r="Q587" i="3"/>
  <c r="BF586" i="3"/>
  <c r="AP586" i="3"/>
  <c r="Z586" i="3"/>
  <c r="J586" i="3"/>
  <c r="AY585" i="3"/>
  <c r="AI585" i="3"/>
  <c r="S585" i="3"/>
  <c r="BL584" i="3"/>
  <c r="AV584" i="3"/>
  <c r="AF584" i="3"/>
  <c r="P584" i="3"/>
  <c r="BI583" i="3"/>
  <c r="AS583" i="3"/>
  <c r="AC583" i="3"/>
  <c r="M583" i="3"/>
  <c r="BB582" i="3"/>
  <c r="AL582" i="3"/>
  <c r="V582" i="3"/>
  <c r="BK581" i="3"/>
  <c r="AU581" i="3"/>
  <c r="AE581" i="3"/>
  <c r="O581" i="3"/>
  <c r="BG579" i="3"/>
  <c r="AQ579" i="3"/>
  <c r="AA579" i="3"/>
  <c r="K579" i="3"/>
  <c r="BD578" i="3"/>
  <c r="AN578" i="3"/>
  <c r="X578" i="3"/>
  <c r="H578" i="3"/>
  <c r="BA577" i="3"/>
  <c r="AK577" i="3"/>
  <c r="U577" i="3"/>
  <c r="BJ576" i="3"/>
  <c r="AT576" i="3"/>
  <c r="AD576" i="3"/>
  <c r="N576" i="3"/>
  <c r="BC575" i="3"/>
  <c r="AM575" i="3"/>
  <c r="W575" i="3"/>
  <c r="G575" i="3"/>
  <c r="AZ574" i="3"/>
  <c r="AJ574" i="3"/>
  <c r="T574" i="3"/>
  <c r="BM573" i="3"/>
  <c r="AW573" i="3"/>
  <c r="AG573" i="3"/>
  <c r="Q573" i="3"/>
  <c r="BF572" i="3"/>
  <c r="AP572" i="3"/>
  <c r="Z572" i="3"/>
  <c r="J572" i="3"/>
  <c r="AY571" i="3"/>
  <c r="AI571" i="3"/>
  <c r="S571" i="3"/>
  <c r="BL570" i="3"/>
  <c r="AV570" i="3"/>
  <c r="AF570" i="3"/>
  <c r="P570" i="3"/>
  <c r="BI569" i="3"/>
  <c r="AS569" i="3"/>
  <c r="AC569" i="3"/>
  <c r="M569" i="3"/>
  <c r="BB568" i="3"/>
  <c r="AL568" i="3"/>
  <c r="V568" i="3"/>
  <c r="BK567" i="3"/>
  <c r="AU567" i="3"/>
  <c r="AE567" i="3"/>
  <c r="O567" i="3"/>
  <c r="BH566" i="3"/>
  <c r="AR566" i="3"/>
  <c r="AB566" i="3"/>
  <c r="L566" i="3"/>
  <c r="BE565" i="3"/>
  <c r="AO565" i="3"/>
  <c r="Y565" i="3"/>
  <c r="I565" i="3"/>
  <c r="AX564" i="3"/>
  <c r="AH564" i="3"/>
  <c r="R564" i="3"/>
  <c r="BG563" i="3"/>
  <c r="AQ563" i="3"/>
  <c r="AA563" i="3"/>
  <c r="K563" i="3"/>
  <c r="BD562" i="3"/>
  <c r="AN562" i="3"/>
  <c r="X562" i="3"/>
  <c r="H562" i="3"/>
  <c r="BA561" i="3"/>
  <c r="AK561" i="3"/>
  <c r="U561" i="3"/>
  <c r="BJ560" i="3"/>
  <c r="AT560" i="3"/>
  <c r="AD560" i="3"/>
  <c r="N560" i="3"/>
  <c r="BC559" i="3"/>
  <c r="AM559" i="3"/>
  <c r="W559" i="3"/>
  <c r="G559" i="3"/>
  <c r="AZ558" i="3"/>
  <c r="AJ558" i="3"/>
  <c r="T558" i="3"/>
  <c r="BM557" i="3"/>
  <c r="AW557" i="3"/>
  <c r="AG557" i="3"/>
  <c r="Q557" i="3"/>
  <c r="BF556" i="3"/>
  <c r="AP556" i="3"/>
  <c r="Z556" i="3"/>
  <c r="J556" i="3"/>
  <c r="AY555" i="3"/>
  <c r="AI555" i="3"/>
  <c r="S555" i="3"/>
  <c r="BD599" i="3"/>
  <c r="L599" i="3"/>
  <c r="BA598" i="3"/>
  <c r="AK598" i="3"/>
  <c r="U598" i="3"/>
  <c r="BJ597" i="3"/>
  <c r="AT597" i="3"/>
  <c r="AD597" i="3"/>
  <c r="N597" i="3"/>
  <c r="BC596" i="3"/>
  <c r="AM596" i="3"/>
  <c r="W596" i="3"/>
  <c r="G596" i="3"/>
  <c r="AZ595" i="3"/>
  <c r="AJ595" i="3"/>
  <c r="T595" i="3"/>
  <c r="BM594" i="3"/>
  <c r="AW594" i="3"/>
  <c r="AG594" i="3"/>
  <c r="Q594" i="3"/>
  <c r="BF593" i="3"/>
  <c r="AP593" i="3"/>
  <c r="Z593" i="3"/>
  <c r="J593" i="3"/>
  <c r="AY592" i="3"/>
  <c r="AI592" i="3"/>
  <c r="S592" i="3"/>
  <c r="BL591" i="3"/>
  <c r="AV591" i="3"/>
  <c r="AF591" i="3"/>
  <c r="P591" i="3"/>
  <c r="BI590" i="3"/>
  <c r="AS590" i="3"/>
  <c r="AC590" i="3"/>
  <c r="M590" i="3"/>
  <c r="BB589" i="3"/>
  <c r="AL589" i="3"/>
  <c r="V589" i="3"/>
  <c r="BK588" i="3"/>
  <c r="AU588" i="3"/>
  <c r="AE588" i="3"/>
  <c r="O588" i="3"/>
  <c r="BH587" i="3"/>
  <c r="AR587" i="3"/>
  <c r="AB587" i="3"/>
  <c r="L587" i="3"/>
  <c r="BE586" i="3"/>
  <c r="AO586" i="3"/>
  <c r="Y586" i="3"/>
  <c r="I586" i="3"/>
  <c r="AX585" i="3"/>
  <c r="AH585" i="3"/>
  <c r="R585" i="3"/>
  <c r="BG584" i="3"/>
  <c r="AQ584" i="3"/>
  <c r="AA584" i="3"/>
  <c r="K584" i="3"/>
  <c r="BD583" i="3"/>
  <c r="AN583" i="3"/>
  <c r="X583" i="3"/>
  <c r="H583" i="3"/>
  <c r="BA582" i="3"/>
  <c r="AK582" i="3"/>
  <c r="U582" i="3"/>
  <c r="BJ581" i="3"/>
  <c r="AT581" i="3"/>
  <c r="AD581" i="3"/>
  <c r="N581" i="3"/>
  <c r="BB579" i="3"/>
  <c r="AL579" i="3"/>
  <c r="V579" i="3"/>
  <c r="BK578" i="3"/>
  <c r="AU578" i="3"/>
  <c r="AE578" i="3"/>
  <c r="O578" i="3"/>
  <c r="BH577" i="3"/>
  <c r="AR577" i="3"/>
  <c r="AB577" i="3"/>
  <c r="L577" i="3"/>
  <c r="BE576" i="3"/>
  <c r="AO576" i="3"/>
  <c r="Y576" i="3"/>
  <c r="I576" i="3"/>
  <c r="AX575" i="3"/>
  <c r="AH575" i="3"/>
  <c r="R575" i="3"/>
  <c r="BG574" i="3"/>
  <c r="AQ574" i="3"/>
  <c r="AA574" i="3"/>
  <c r="K574" i="3"/>
  <c r="BD573" i="3"/>
  <c r="AN573" i="3"/>
  <c r="X573" i="3"/>
  <c r="H573" i="3"/>
  <c r="BA572" i="3"/>
  <c r="AK572" i="3"/>
  <c r="U572" i="3"/>
  <c r="BJ571" i="3"/>
  <c r="AT571" i="3"/>
  <c r="AD571" i="3"/>
  <c r="N571" i="3"/>
  <c r="BC570" i="3"/>
  <c r="AM570" i="3"/>
  <c r="W570" i="3"/>
  <c r="G570" i="3"/>
  <c r="AZ569" i="3"/>
  <c r="AJ569" i="3"/>
  <c r="T569" i="3"/>
  <c r="BM568" i="3"/>
  <c r="AW568" i="3"/>
  <c r="AG568" i="3"/>
  <c r="Q568" i="3"/>
  <c r="BF567" i="3"/>
  <c r="AP567" i="3"/>
  <c r="Z567" i="3"/>
  <c r="J567" i="3"/>
  <c r="AY566" i="3"/>
  <c r="AI566" i="3"/>
  <c r="S566" i="3"/>
  <c r="BL565" i="3"/>
  <c r="AV565" i="3"/>
  <c r="AF565" i="3"/>
  <c r="P565" i="3"/>
  <c r="BI564" i="3"/>
  <c r="AS564" i="3"/>
  <c r="AC564" i="3"/>
  <c r="M564" i="3"/>
  <c r="BB563" i="3"/>
  <c r="AL563" i="3"/>
  <c r="V563" i="3"/>
  <c r="BK562" i="3"/>
  <c r="AU562" i="3"/>
  <c r="AE562" i="3"/>
  <c r="O562" i="3"/>
  <c r="BH561" i="3"/>
  <c r="AR561" i="3"/>
  <c r="AB561" i="3"/>
  <c r="L561" i="3"/>
  <c r="BE560" i="3"/>
  <c r="AO560" i="3"/>
  <c r="Y560" i="3"/>
  <c r="I560" i="3"/>
  <c r="AX559" i="3"/>
  <c r="AH559" i="3"/>
  <c r="R559" i="3"/>
  <c r="BG558" i="3"/>
  <c r="AQ558" i="3"/>
  <c r="AA558" i="3"/>
  <c r="K558" i="3"/>
  <c r="BD557" i="3"/>
  <c r="AN557" i="3"/>
  <c r="X557" i="3"/>
  <c r="H557" i="3"/>
  <c r="BA556" i="3"/>
  <c r="AK556" i="3"/>
  <c r="U556" i="3"/>
  <c r="BJ555" i="3"/>
  <c r="AT555" i="3"/>
  <c r="AD555" i="3"/>
  <c r="N555" i="3"/>
  <c r="AQ554" i="3"/>
  <c r="K554" i="3"/>
  <c r="AY553" i="3"/>
  <c r="AI553" i="3"/>
  <c r="S553" i="3"/>
  <c r="BL552" i="3"/>
  <c r="AV552" i="3"/>
  <c r="AF552" i="3"/>
  <c r="P552" i="3"/>
  <c r="BI551" i="3"/>
  <c r="AS551" i="3"/>
  <c r="AC551" i="3"/>
  <c r="M551" i="3"/>
  <c r="BB550" i="3"/>
  <c r="AL550" i="3"/>
  <c r="V550" i="3"/>
  <c r="BK549" i="3"/>
  <c r="AU549" i="3"/>
  <c r="AE549" i="3"/>
  <c r="O549" i="3"/>
  <c r="BH548" i="3"/>
  <c r="AR548" i="3"/>
  <c r="AB548" i="3"/>
  <c r="L548" i="3"/>
  <c r="BE547" i="3"/>
  <c r="AO547" i="3"/>
  <c r="Y547" i="3"/>
  <c r="I547" i="3"/>
  <c r="AX546" i="3"/>
  <c r="AH546" i="3"/>
  <c r="R546" i="3"/>
  <c r="BG545" i="3"/>
  <c r="AQ545" i="3"/>
  <c r="AA545" i="3"/>
  <c r="K545" i="3"/>
  <c r="BD544" i="3"/>
  <c r="AN544" i="3"/>
  <c r="X544" i="3"/>
  <c r="H544" i="3"/>
  <c r="BA543" i="3"/>
  <c r="AK543" i="3"/>
  <c r="U543" i="3"/>
  <c r="BJ542" i="3"/>
  <c r="AT542" i="3"/>
  <c r="AD542" i="3"/>
  <c r="N542" i="3"/>
  <c r="BC541" i="3"/>
  <c r="AM541" i="3"/>
  <c r="W541" i="3"/>
  <c r="G541" i="3"/>
  <c r="AZ540" i="3"/>
  <c r="AJ540" i="3"/>
  <c r="T540" i="3"/>
  <c r="BL538" i="3"/>
  <c r="AV538" i="3"/>
  <c r="AF538" i="3"/>
  <c r="P538" i="3"/>
  <c r="BI537" i="3"/>
  <c r="AS537" i="3"/>
  <c r="AC537" i="3"/>
  <c r="M537" i="3"/>
  <c r="BB536" i="3"/>
  <c r="AL536" i="3"/>
  <c r="V536" i="3"/>
  <c r="BK535" i="3"/>
  <c r="AU535" i="3"/>
  <c r="AE535" i="3"/>
  <c r="O535" i="3"/>
  <c r="BH534" i="3"/>
  <c r="AR534" i="3"/>
  <c r="AB534" i="3"/>
  <c r="L534" i="3"/>
  <c r="BE533" i="3"/>
  <c r="AO533" i="3"/>
  <c r="Y533" i="3"/>
  <c r="I533" i="3"/>
  <c r="AX532" i="3"/>
  <c r="AH532" i="3"/>
  <c r="R532" i="3"/>
  <c r="BG531" i="3"/>
  <c r="AQ531" i="3"/>
  <c r="AA531" i="3"/>
  <c r="K531" i="3"/>
  <c r="BD530" i="3"/>
  <c r="AN530" i="3"/>
  <c r="X530" i="3"/>
  <c r="H530" i="3"/>
  <c r="BA529" i="3"/>
  <c r="AK529" i="3"/>
  <c r="U529" i="3"/>
  <c r="BJ528" i="3"/>
  <c r="AT528" i="3"/>
  <c r="AD528" i="3"/>
  <c r="N528" i="3"/>
  <c r="BC527" i="3"/>
  <c r="AM527" i="3"/>
  <c r="W527" i="3"/>
  <c r="G527" i="3"/>
  <c r="AZ526" i="3"/>
  <c r="AJ526" i="3"/>
  <c r="T526" i="3"/>
  <c r="BM525" i="3"/>
  <c r="AW525" i="3"/>
  <c r="AG525" i="3"/>
  <c r="Q525" i="3"/>
  <c r="BF524" i="3"/>
  <c r="AP524" i="3"/>
  <c r="Z524" i="3"/>
  <c r="J524" i="3"/>
  <c r="AY523" i="3"/>
  <c r="AI523" i="3"/>
  <c r="S523" i="3"/>
  <c r="BL522" i="3"/>
  <c r="AV522" i="3"/>
  <c r="AF522" i="3"/>
  <c r="P522" i="3"/>
  <c r="BI521" i="3"/>
  <c r="AS521" i="3"/>
  <c r="AC521" i="3"/>
  <c r="M521" i="3"/>
  <c r="BB520" i="3"/>
  <c r="AL520" i="3"/>
  <c r="V520" i="3"/>
  <c r="BK519" i="3"/>
  <c r="AU519" i="3"/>
  <c r="AE519" i="3"/>
  <c r="O519" i="3"/>
  <c r="BH518" i="3"/>
  <c r="AR518" i="3"/>
  <c r="AB518" i="3"/>
  <c r="L518" i="3"/>
  <c r="BE517" i="3"/>
  <c r="AO517" i="3"/>
  <c r="Y517" i="3"/>
  <c r="I517" i="3"/>
  <c r="AX516" i="3"/>
  <c r="AH516" i="3"/>
  <c r="R516" i="3"/>
  <c r="BG515" i="3"/>
  <c r="AQ515" i="3"/>
  <c r="AA515" i="3"/>
  <c r="K515" i="3"/>
  <c r="BD514" i="3"/>
  <c r="AN514" i="3"/>
  <c r="X514" i="3"/>
  <c r="H514" i="3"/>
  <c r="BA513" i="3"/>
  <c r="AK513" i="3"/>
  <c r="U513" i="3"/>
  <c r="BJ512" i="3"/>
  <c r="AT512" i="3"/>
  <c r="AD512" i="3"/>
  <c r="N512" i="3"/>
  <c r="BC511" i="3"/>
  <c r="AM511" i="3"/>
  <c r="W511" i="3"/>
  <c r="G511" i="3"/>
  <c r="AZ510" i="3"/>
  <c r="AJ510" i="3"/>
  <c r="T510" i="3"/>
  <c r="BM509" i="3"/>
  <c r="AW509" i="3"/>
  <c r="AG509" i="3"/>
  <c r="Q509" i="3"/>
  <c r="BD554" i="3"/>
  <c r="X554" i="3"/>
  <c r="BF553" i="3"/>
  <c r="AP553" i="3"/>
  <c r="Z553" i="3"/>
  <c r="J553" i="3"/>
  <c r="AY552" i="3"/>
  <c r="AI552" i="3"/>
  <c r="S552" i="3"/>
  <c r="BL551" i="3"/>
  <c r="AV551" i="3"/>
  <c r="AF551" i="3"/>
  <c r="P551" i="3"/>
  <c r="BI550" i="3"/>
  <c r="AS550" i="3"/>
  <c r="AC550" i="3"/>
  <c r="M550" i="3"/>
  <c r="BB549" i="3"/>
  <c r="AL549" i="3"/>
  <c r="V549" i="3"/>
  <c r="BK548" i="3"/>
  <c r="AU548" i="3"/>
  <c r="AE548" i="3"/>
  <c r="O548" i="3"/>
  <c r="BH547" i="3"/>
  <c r="AR547" i="3"/>
  <c r="AB547" i="3"/>
  <c r="L547" i="3"/>
  <c r="BE546" i="3"/>
  <c r="AO546" i="3"/>
  <c r="Y546" i="3"/>
  <c r="I546" i="3"/>
  <c r="AX545" i="3"/>
  <c r="AH545" i="3"/>
  <c r="R545" i="3"/>
  <c r="BG544" i="3"/>
  <c r="AQ544" i="3"/>
  <c r="AA544" i="3"/>
  <c r="K544" i="3"/>
  <c r="BD543" i="3"/>
  <c r="AN543" i="3"/>
  <c r="X543" i="3"/>
  <c r="H543" i="3"/>
  <c r="BA542" i="3"/>
  <c r="AK542" i="3"/>
  <c r="U542" i="3"/>
  <c r="BJ541" i="3"/>
  <c r="AT541" i="3"/>
  <c r="AD541" i="3"/>
  <c r="N541" i="3"/>
  <c r="BC540" i="3"/>
  <c r="AM540" i="3"/>
  <c r="W540" i="3"/>
  <c r="G540" i="3"/>
  <c r="AY538" i="3"/>
  <c r="AI538" i="3"/>
  <c r="S538" i="3"/>
  <c r="BL537" i="3"/>
  <c r="AV537" i="3"/>
  <c r="AF537" i="3"/>
  <c r="P537" i="3"/>
  <c r="BI536" i="3"/>
  <c r="AS536" i="3"/>
  <c r="AC536" i="3"/>
  <c r="M536" i="3"/>
  <c r="BB535" i="3"/>
  <c r="AL535" i="3"/>
  <c r="V535" i="3"/>
  <c r="BK534" i="3"/>
  <c r="AU534" i="3"/>
  <c r="AE534" i="3"/>
  <c r="O534" i="3"/>
  <c r="BH533" i="3"/>
  <c r="AR533" i="3"/>
  <c r="AB533" i="3"/>
  <c r="L533" i="3"/>
  <c r="BE532" i="3"/>
  <c r="AO532" i="3"/>
  <c r="Y532" i="3"/>
  <c r="I532" i="3"/>
  <c r="AX531" i="3"/>
  <c r="AH531" i="3"/>
  <c r="R531" i="3"/>
  <c r="BG530" i="3"/>
  <c r="AQ530" i="3"/>
  <c r="AA530" i="3"/>
  <c r="K530" i="3"/>
  <c r="BD529" i="3"/>
  <c r="AN529" i="3"/>
  <c r="X529" i="3"/>
  <c r="H529" i="3"/>
  <c r="BA528" i="3"/>
  <c r="AK528" i="3"/>
  <c r="U528" i="3"/>
  <c r="BJ527" i="3"/>
  <c r="AT527" i="3"/>
  <c r="AD527" i="3"/>
  <c r="N527" i="3"/>
  <c r="BC526" i="3"/>
  <c r="AM526" i="3"/>
  <c r="W526" i="3"/>
  <c r="G526" i="3"/>
  <c r="AZ525" i="3"/>
  <c r="AJ525" i="3"/>
  <c r="T525" i="3"/>
  <c r="BM524" i="3"/>
  <c r="AW524" i="3"/>
  <c r="AG524" i="3"/>
  <c r="Q524" i="3"/>
  <c r="BF523" i="3"/>
  <c r="AP523" i="3"/>
  <c r="Z523" i="3"/>
  <c r="J523" i="3"/>
  <c r="AY522" i="3"/>
  <c r="AI522" i="3"/>
  <c r="S522" i="3"/>
  <c r="BL521" i="3"/>
  <c r="AV521" i="3"/>
  <c r="AF521" i="3"/>
  <c r="P521" i="3"/>
  <c r="BI520" i="3"/>
  <c r="AS520" i="3"/>
  <c r="AC520" i="3"/>
  <c r="M520" i="3"/>
  <c r="BB519" i="3"/>
  <c r="AL519" i="3"/>
  <c r="V519" i="3"/>
  <c r="BK518" i="3"/>
  <c r="AU518" i="3"/>
  <c r="AE518" i="3"/>
  <c r="O518" i="3"/>
  <c r="BH517" i="3"/>
  <c r="AR517" i="3"/>
  <c r="AB517" i="3"/>
  <c r="L517" i="3"/>
  <c r="BE516" i="3"/>
  <c r="AO516" i="3"/>
  <c r="Y516" i="3"/>
  <c r="I516" i="3"/>
  <c r="AX515" i="3"/>
  <c r="AH515" i="3"/>
  <c r="R515" i="3"/>
  <c r="BG514" i="3"/>
  <c r="AQ514" i="3"/>
  <c r="AA514" i="3"/>
  <c r="K514" i="3"/>
  <c r="BD513" i="3"/>
  <c r="AN513" i="3"/>
  <c r="X513" i="3"/>
  <c r="H513" i="3"/>
  <c r="BA512" i="3"/>
  <c r="AK512" i="3"/>
  <c r="U512" i="3"/>
  <c r="BJ511" i="3"/>
  <c r="AT511" i="3"/>
  <c r="AD511" i="3"/>
  <c r="N511" i="3"/>
  <c r="BC510" i="3"/>
  <c r="AM510" i="3"/>
  <c r="W510" i="3"/>
  <c r="G510" i="3"/>
  <c r="AZ509" i="3"/>
  <c r="AJ509" i="3"/>
  <c r="T509" i="3"/>
  <c r="BC554" i="3"/>
  <c r="W554" i="3"/>
  <c r="BE553" i="3"/>
  <c r="AO553" i="3"/>
  <c r="Y553" i="3"/>
  <c r="I553" i="3"/>
  <c r="AX552" i="3"/>
  <c r="AH552" i="3"/>
  <c r="R552" i="3"/>
  <c r="BG551" i="3"/>
  <c r="AQ551" i="3"/>
  <c r="AA551" i="3"/>
  <c r="K551" i="3"/>
  <c r="BD550" i="3"/>
  <c r="AN550" i="3"/>
  <c r="X550" i="3"/>
  <c r="H550" i="3"/>
  <c r="BA549" i="3"/>
  <c r="AK549" i="3"/>
  <c r="U549" i="3"/>
  <c r="BJ548" i="3"/>
  <c r="AT548" i="3"/>
  <c r="AD548" i="3"/>
  <c r="N548" i="3"/>
  <c r="BC547" i="3"/>
  <c r="AM547" i="3"/>
  <c r="W547" i="3"/>
  <c r="G547" i="3"/>
  <c r="AZ546" i="3"/>
  <c r="AJ546" i="3"/>
  <c r="T546" i="3"/>
  <c r="BM545" i="3"/>
  <c r="AW545" i="3"/>
  <c r="AG545" i="3"/>
  <c r="Q545" i="3"/>
  <c r="BF544" i="3"/>
  <c r="AP544" i="3"/>
  <c r="Z544" i="3"/>
  <c r="J544" i="3"/>
  <c r="AY543" i="3"/>
  <c r="AI543" i="3"/>
  <c r="S543" i="3"/>
  <c r="BL542" i="3"/>
  <c r="AV542" i="3"/>
  <c r="AF542" i="3"/>
  <c r="P542" i="3"/>
  <c r="BI541" i="3"/>
  <c r="AS541" i="3"/>
  <c r="AC541" i="3"/>
  <c r="M541" i="3"/>
  <c r="BB540" i="3"/>
  <c r="AL540" i="3"/>
  <c r="V540" i="3"/>
  <c r="BJ538" i="3"/>
  <c r="AT538" i="3"/>
  <c r="AD538" i="3"/>
  <c r="N538" i="3"/>
  <c r="BC537" i="3"/>
  <c r="AM537" i="3"/>
  <c r="W537" i="3"/>
  <c r="G537" i="3"/>
  <c r="AZ536" i="3"/>
  <c r="AJ536" i="3"/>
  <c r="T536" i="3"/>
  <c r="BM535" i="3"/>
  <c r="AW535" i="3"/>
  <c r="AG535" i="3"/>
  <c r="Q535" i="3"/>
  <c r="BF534" i="3"/>
  <c r="AP534" i="3"/>
  <c r="Z534" i="3"/>
  <c r="J534" i="3"/>
  <c r="AY533" i="3"/>
  <c r="AI533" i="3"/>
  <c r="S533" i="3"/>
  <c r="BL532" i="3"/>
  <c r="AV532" i="3"/>
  <c r="AF532" i="3"/>
  <c r="P532" i="3"/>
  <c r="BI531" i="3"/>
  <c r="AS531" i="3"/>
  <c r="AC531" i="3"/>
  <c r="M531" i="3"/>
  <c r="BB530" i="3"/>
  <c r="AL530" i="3"/>
  <c r="V530" i="3"/>
  <c r="BK529" i="3"/>
  <c r="AU529" i="3"/>
  <c r="AE529" i="3"/>
  <c r="O529" i="3"/>
  <c r="BH528" i="3"/>
  <c r="AR528" i="3"/>
  <c r="AB528" i="3"/>
  <c r="L528" i="3"/>
  <c r="BE527" i="3"/>
  <c r="AO527" i="3"/>
  <c r="Y527" i="3"/>
  <c r="I527" i="3"/>
  <c r="AX526" i="3"/>
  <c r="AH526" i="3"/>
  <c r="R526" i="3"/>
  <c r="BG525" i="3"/>
  <c r="AQ525" i="3"/>
  <c r="AA525" i="3"/>
  <c r="K525" i="3"/>
  <c r="BD524" i="3"/>
  <c r="AN524" i="3"/>
  <c r="X524" i="3"/>
  <c r="H524" i="3"/>
  <c r="BA523" i="3"/>
  <c r="AK523" i="3"/>
  <c r="U523" i="3"/>
  <c r="BJ522" i="3"/>
  <c r="AT522" i="3"/>
  <c r="AD522" i="3"/>
  <c r="N522" i="3"/>
  <c r="BC521" i="3"/>
  <c r="AM521" i="3"/>
  <c r="W521" i="3"/>
  <c r="G521" i="3"/>
  <c r="AZ520" i="3"/>
  <c r="AJ520" i="3"/>
  <c r="T520" i="3"/>
  <c r="BM519" i="3"/>
  <c r="AW519" i="3"/>
  <c r="AG519" i="3"/>
  <c r="Q519" i="3"/>
  <c r="BF518" i="3"/>
  <c r="AP518" i="3"/>
  <c r="Z518" i="3"/>
  <c r="J518" i="3"/>
  <c r="AY517" i="3"/>
  <c r="AI517" i="3"/>
  <c r="S517" i="3"/>
  <c r="BL516" i="3"/>
  <c r="AV516" i="3"/>
  <c r="AF516" i="3"/>
  <c r="P516" i="3"/>
  <c r="BI515" i="3"/>
  <c r="AS515" i="3"/>
  <c r="AC515" i="3"/>
  <c r="M515" i="3"/>
  <c r="BB514" i="3"/>
  <c r="AL514" i="3"/>
  <c r="V514" i="3"/>
  <c r="BK513" i="3"/>
  <c r="AU513" i="3"/>
  <c r="AE513" i="3"/>
  <c r="O513" i="3"/>
  <c r="BH512" i="3"/>
  <c r="AR512" i="3"/>
  <c r="AB512" i="3"/>
  <c r="L512" i="3"/>
  <c r="BE511" i="3"/>
  <c r="AO511" i="3"/>
  <c r="Y511" i="3"/>
  <c r="I511" i="3"/>
  <c r="AX510" i="3"/>
  <c r="AH510" i="3"/>
  <c r="R510" i="3"/>
  <c r="AZ554" i="3"/>
  <c r="T554" i="3"/>
  <c r="AZ553" i="3"/>
  <c r="AJ553" i="3"/>
  <c r="T553" i="3"/>
  <c r="BM552" i="3"/>
  <c r="AW552" i="3"/>
  <c r="AG552" i="3"/>
  <c r="Q552" i="3"/>
  <c r="BF551" i="3"/>
  <c r="AP551" i="3"/>
  <c r="Z551" i="3"/>
  <c r="J551" i="3"/>
  <c r="AY550" i="3"/>
  <c r="AI550" i="3"/>
  <c r="S550" i="3"/>
  <c r="BL549" i="3"/>
  <c r="AV549" i="3"/>
  <c r="AF549" i="3"/>
  <c r="P549" i="3"/>
  <c r="BI548" i="3"/>
  <c r="AS548" i="3"/>
  <c r="AC548" i="3"/>
  <c r="M548" i="3"/>
  <c r="BB547" i="3"/>
  <c r="AL547" i="3"/>
  <c r="V547" i="3"/>
  <c r="BK546" i="3"/>
  <c r="AU546" i="3"/>
  <c r="AE546" i="3"/>
  <c r="O546" i="3"/>
  <c r="BH545" i="3"/>
  <c r="AR545" i="3"/>
  <c r="AB545" i="3"/>
  <c r="L545" i="3"/>
  <c r="BE544" i="3"/>
  <c r="AO544" i="3"/>
  <c r="Y544" i="3"/>
  <c r="I544" i="3"/>
  <c r="AX543" i="3"/>
  <c r="AH543" i="3"/>
  <c r="R543" i="3"/>
  <c r="BG542" i="3"/>
  <c r="AQ542" i="3"/>
  <c r="AA542" i="3"/>
  <c r="K542" i="3"/>
  <c r="BD541" i="3"/>
  <c r="AN541" i="3"/>
  <c r="X541" i="3"/>
  <c r="H541" i="3"/>
  <c r="BA540" i="3"/>
  <c r="AK540" i="3"/>
  <c r="U540" i="3"/>
  <c r="BM538" i="3"/>
  <c r="AW538" i="3"/>
  <c r="AG538" i="3"/>
  <c r="Q538" i="3"/>
  <c r="BF537" i="3"/>
  <c r="AP537" i="3"/>
  <c r="Z537" i="3"/>
  <c r="J537" i="3"/>
  <c r="AY536" i="3"/>
  <c r="AI536" i="3"/>
  <c r="S536" i="3"/>
  <c r="BL535" i="3"/>
  <c r="AV535" i="3"/>
  <c r="AF535" i="3"/>
  <c r="P535" i="3"/>
  <c r="BI534" i="3"/>
  <c r="AS534" i="3"/>
  <c r="AC534" i="3"/>
  <c r="M534" i="3"/>
  <c r="BB533" i="3"/>
  <c r="AL533" i="3"/>
  <c r="V533" i="3"/>
  <c r="BK532" i="3"/>
  <c r="AU532" i="3"/>
  <c r="AE532" i="3"/>
  <c r="O532" i="3"/>
  <c r="BH531" i="3"/>
  <c r="AR531" i="3"/>
  <c r="AB531" i="3"/>
  <c r="L531" i="3"/>
  <c r="BE530" i="3"/>
  <c r="AO530" i="3"/>
  <c r="Y530" i="3"/>
  <c r="I530" i="3"/>
  <c r="AX529" i="3"/>
  <c r="AH529" i="3"/>
  <c r="R529" i="3"/>
  <c r="BG528" i="3"/>
  <c r="AQ528" i="3"/>
  <c r="AA528" i="3"/>
  <c r="K528" i="3"/>
  <c r="BD527" i="3"/>
  <c r="AN527" i="3"/>
  <c r="X527" i="3"/>
  <c r="H527" i="3"/>
  <c r="BA526" i="3"/>
  <c r="AK526" i="3"/>
  <c r="U526" i="3"/>
  <c r="BJ525" i="3"/>
  <c r="AT525" i="3"/>
  <c r="AD525" i="3"/>
  <c r="N525" i="3"/>
  <c r="BC524" i="3"/>
  <c r="AM524" i="3"/>
  <c r="W524" i="3"/>
  <c r="G524" i="3"/>
  <c r="AZ523" i="3"/>
  <c r="AJ523" i="3"/>
  <c r="T523" i="3"/>
  <c r="BM522" i="3"/>
  <c r="AW522" i="3"/>
  <c r="AG522" i="3"/>
  <c r="Q522" i="3"/>
  <c r="BF521" i="3"/>
  <c r="AP521" i="3"/>
  <c r="Z521" i="3"/>
  <c r="J521" i="3"/>
  <c r="AY520" i="3"/>
  <c r="AI520" i="3"/>
  <c r="S520" i="3"/>
  <c r="BL519" i="3"/>
  <c r="AV519" i="3"/>
  <c r="AF519" i="3"/>
  <c r="P519" i="3"/>
  <c r="BI518" i="3"/>
  <c r="AS518" i="3"/>
  <c r="AC518" i="3"/>
  <c r="M518" i="3"/>
  <c r="BB517" i="3"/>
  <c r="AL517" i="3"/>
  <c r="V517" i="3"/>
  <c r="BK516" i="3"/>
  <c r="AU516" i="3"/>
  <c r="AE516" i="3"/>
  <c r="O516" i="3"/>
  <c r="BH515" i="3"/>
  <c r="AR515" i="3"/>
  <c r="AB515" i="3"/>
  <c r="L515" i="3"/>
  <c r="BE514" i="3"/>
  <c r="AO514" i="3"/>
  <c r="Y514" i="3"/>
  <c r="I514" i="3"/>
  <c r="AX513" i="3"/>
  <c r="AH513" i="3"/>
  <c r="R513" i="3"/>
  <c r="BG512" i="3"/>
  <c r="AQ512" i="3"/>
  <c r="AA512" i="3"/>
  <c r="K512" i="3"/>
  <c r="BD511" i="3"/>
  <c r="AN511" i="3"/>
  <c r="X511" i="3"/>
  <c r="H511" i="3"/>
  <c r="BA510" i="3"/>
  <c r="AK510" i="3"/>
  <c r="U510" i="3"/>
  <c r="BK509" i="3"/>
  <c r="AE509" i="3"/>
  <c r="BM508" i="3"/>
  <c r="AW508" i="3"/>
  <c r="AG508" i="3"/>
  <c r="Q508" i="3"/>
  <c r="BF507" i="3"/>
  <c r="AP507" i="3"/>
  <c r="Z507" i="3"/>
  <c r="J507" i="3"/>
  <c r="AY506" i="3"/>
  <c r="AI506" i="3"/>
  <c r="S506" i="3"/>
  <c r="BL505" i="3"/>
  <c r="AV505" i="3"/>
  <c r="AF505" i="3"/>
  <c r="P505" i="3"/>
  <c r="BI504" i="3"/>
  <c r="AS504" i="3"/>
  <c r="AC504" i="3"/>
  <c r="M504" i="3"/>
  <c r="BB503" i="3"/>
  <c r="AL503" i="3"/>
  <c r="V503" i="3"/>
  <c r="BK502" i="3"/>
  <c r="AU502" i="3"/>
  <c r="AE502" i="3"/>
  <c r="O502" i="3"/>
  <c r="BH501" i="3"/>
  <c r="AR501" i="3"/>
  <c r="AB501" i="3"/>
  <c r="L501" i="3"/>
  <c r="BE500" i="3"/>
  <c r="AO500" i="3"/>
  <c r="Y500" i="3"/>
  <c r="I500" i="3"/>
  <c r="AX499" i="3"/>
  <c r="AH499" i="3"/>
  <c r="R499" i="3"/>
  <c r="BI496" i="3"/>
  <c r="AS496" i="3"/>
  <c r="AC496" i="3"/>
  <c r="M496" i="3"/>
  <c r="BB495" i="3"/>
  <c r="AL495" i="3"/>
  <c r="V495" i="3"/>
  <c r="BK494" i="3"/>
  <c r="AU494" i="3"/>
  <c r="AE494" i="3"/>
  <c r="O494" i="3"/>
  <c r="BH493" i="3"/>
  <c r="AR493" i="3"/>
  <c r="AB493" i="3"/>
  <c r="L493" i="3"/>
  <c r="BE492" i="3"/>
  <c r="AO492" i="3"/>
  <c r="Y492" i="3"/>
  <c r="I492" i="3"/>
  <c r="AX491" i="3"/>
  <c r="AH491" i="3"/>
  <c r="R491" i="3"/>
  <c r="BG490" i="3"/>
  <c r="AQ490" i="3"/>
  <c r="AA490" i="3"/>
  <c r="K490" i="3"/>
  <c r="BD489" i="3"/>
  <c r="AN489" i="3"/>
  <c r="X489" i="3"/>
  <c r="H489" i="3"/>
  <c r="BA488" i="3"/>
  <c r="AK488" i="3"/>
  <c r="U488" i="3"/>
  <c r="BJ487" i="3"/>
  <c r="AT487" i="3"/>
  <c r="AD487" i="3"/>
  <c r="N487" i="3"/>
  <c r="BC486" i="3"/>
  <c r="AM486" i="3"/>
  <c r="W486" i="3"/>
  <c r="G486" i="3"/>
  <c r="AZ485" i="3"/>
  <c r="AJ485" i="3"/>
  <c r="T485" i="3"/>
  <c r="BM484" i="3"/>
  <c r="AW484" i="3"/>
  <c r="AG484" i="3"/>
  <c r="Q484" i="3"/>
  <c r="BF483" i="3"/>
  <c r="AP483" i="3"/>
  <c r="Z483" i="3"/>
  <c r="J483" i="3"/>
  <c r="AY482" i="3"/>
  <c r="AI482" i="3"/>
  <c r="S482" i="3"/>
  <c r="BL481" i="3"/>
  <c r="AV481" i="3"/>
  <c r="AF481" i="3"/>
  <c r="P481" i="3"/>
  <c r="BI480" i="3"/>
  <c r="AS480" i="3"/>
  <c r="AC480" i="3"/>
  <c r="M480" i="3"/>
  <c r="BB479" i="3"/>
  <c r="AL479" i="3"/>
  <c r="V479" i="3"/>
  <c r="BK478" i="3"/>
  <c r="AU478" i="3"/>
  <c r="AE478" i="3"/>
  <c r="O478" i="3"/>
  <c r="BH477" i="3"/>
  <c r="AR477" i="3"/>
  <c r="AB477" i="3"/>
  <c r="L477" i="3"/>
  <c r="BE476" i="3"/>
  <c r="AO476" i="3"/>
  <c r="Y476" i="3"/>
  <c r="I476" i="3"/>
  <c r="AX475" i="3"/>
  <c r="AH475" i="3"/>
  <c r="R475" i="3"/>
  <c r="BG474" i="3"/>
  <c r="AQ474" i="3"/>
  <c r="AA474" i="3"/>
  <c r="K474" i="3"/>
  <c r="BD473" i="3"/>
  <c r="AN473" i="3"/>
  <c r="X473" i="3"/>
  <c r="H473" i="3"/>
  <c r="BA472" i="3"/>
  <c r="AK472" i="3"/>
  <c r="U472" i="3"/>
  <c r="BJ471" i="3"/>
  <c r="AT471" i="3"/>
  <c r="AD471" i="3"/>
  <c r="N471" i="3"/>
  <c r="BC470" i="3"/>
  <c r="AM470" i="3"/>
  <c r="W470" i="3"/>
  <c r="G470" i="3"/>
  <c r="AZ469" i="3"/>
  <c r="AJ469" i="3"/>
  <c r="T469" i="3"/>
  <c r="BM468" i="3"/>
  <c r="AW468" i="3"/>
  <c r="AG468" i="3"/>
  <c r="Q468" i="3"/>
  <c r="BF467" i="3"/>
  <c r="AP467" i="3"/>
  <c r="Z467" i="3"/>
  <c r="J467" i="3"/>
  <c r="AY466" i="3"/>
  <c r="AI466" i="3"/>
  <c r="S466" i="3"/>
  <c r="BL465" i="3"/>
  <c r="AV465" i="3"/>
  <c r="AF465" i="3"/>
  <c r="P465" i="3"/>
  <c r="BI464" i="3"/>
  <c r="AS464" i="3"/>
  <c r="AC464" i="3"/>
  <c r="M464" i="3"/>
  <c r="BB463" i="3"/>
  <c r="AL463" i="3"/>
  <c r="V463" i="3"/>
  <c r="BK462" i="3"/>
  <c r="AU462" i="3"/>
  <c r="AE462" i="3"/>
  <c r="O462" i="3"/>
  <c r="BB509" i="3"/>
  <c r="V509" i="3"/>
  <c r="BH508" i="3"/>
  <c r="AR508" i="3"/>
  <c r="AB508" i="3"/>
  <c r="L508" i="3"/>
  <c r="BE507" i="3"/>
  <c r="AO507" i="3"/>
  <c r="Y507" i="3"/>
  <c r="I507" i="3"/>
  <c r="AX506" i="3"/>
  <c r="AH506" i="3"/>
  <c r="R506" i="3"/>
  <c r="BG505" i="3"/>
  <c r="AQ505" i="3"/>
  <c r="AA505" i="3"/>
  <c r="K505" i="3"/>
  <c r="BD504" i="3"/>
  <c r="AN504" i="3"/>
  <c r="X504" i="3"/>
  <c r="H504" i="3"/>
  <c r="BA503" i="3"/>
  <c r="AK503" i="3"/>
  <c r="U503" i="3"/>
  <c r="BJ502" i="3"/>
  <c r="AT502" i="3"/>
  <c r="AD502" i="3"/>
  <c r="N502" i="3"/>
  <c r="BC501" i="3"/>
  <c r="AM501" i="3"/>
  <c r="W501" i="3"/>
  <c r="G501" i="3"/>
  <c r="AZ500" i="3"/>
  <c r="AJ500" i="3"/>
  <c r="T500" i="3"/>
  <c r="BM499" i="3"/>
  <c r="AW499" i="3"/>
  <c r="AG499" i="3"/>
  <c r="Q499" i="3"/>
  <c r="BH496" i="3"/>
  <c r="AR496" i="3"/>
  <c r="AB496" i="3"/>
  <c r="L496" i="3"/>
  <c r="BE495" i="3"/>
  <c r="AO495" i="3"/>
  <c r="Y495" i="3"/>
  <c r="I495" i="3"/>
  <c r="AX494" i="3"/>
  <c r="AH494" i="3"/>
  <c r="R494" i="3"/>
  <c r="BG493" i="3"/>
  <c r="AQ493" i="3"/>
  <c r="AA493" i="3"/>
  <c r="K493" i="3"/>
  <c r="BD492" i="3"/>
  <c r="AN492" i="3"/>
  <c r="X492" i="3"/>
  <c r="H492" i="3"/>
  <c r="BA491" i="3"/>
  <c r="AK491" i="3"/>
  <c r="U491" i="3"/>
  <c r="BJ490" i="3"/>
  <c r="AT490" i="3"/>
  <c r="AD490" i="3"/>
  <c r="N490" i="3"/>
  <c r="BC489" i="3"/>
  <c r="AM489" i="3"/>
  <c r="W489" i="3"/>
  <c r="G489" i="3"/>
  <c r="AZ488" i="3"/>
  <c r="AJ488" i="3"/>
  <c r="T488" i="3"/>
  <c r="BM487" i="3"/>
  <c r="AW487" i="3"/>
  <c r="AG487" i="3"/>
  <c r="Q487" i="3"/>
  <c r="BF486" i="3"/>
  <c r="AP486" i="3"/>
  <c r="Z486" i="3"/>
  <c r="J486" i="3"/>
  <c r="AY485" i="3"/>
  <c r="AI485" i="3"/>
  <c r="S485" i="3"/>
  <c r="BL484" i="3"/>
  <c r="AV484" i="3"/>
  <c r="AF484" i="3"/>
  <c r="P484" i="3"/>
  <c r="BI483" i="3"/>
  <c r="AS483" i="3"/>
  <c r="AC483" i="3"/>
  <c r="M483" i="3"/>
  <c r="BB482" i="3"/>
  <c r="AL482" i="3"/>
  <c r="V482" i="3"/>
  <c r="BK481" i="3"/>
  <c r="AU481" i="3"/>
  <c r="AE481" i="3"/>
  <c r="O481" i="3"/>
  <c r="BH480" i="3"/>
  <c r="AR480" i="3"/>
  <c r="AB480" i="3"/>
  <c r="L480" i="3"/>
  <c r="BE479" i="3"/>
  <c r="AO479" i="3"/>
  <c r="Y479" i="3"/>
  <c r="I479" i="3"/>
  <c r="AX478" i="3"/>
  <c r="AH478" i="3"/>
  <c r="R478" i="3"/>
  <c r="BG477" i="3"/>
  <c r="AQ477" i="3"/>
  <c r="AA477" i="3"/>
  <c r="K477" i="3"/>
  <c r="BD476" i="3"/>
  <c r="AN476" i="3"/>
  <c r="X476" i="3"/>
  <c r="H476" i="3"/>
  <c r="BA475" i="3"/>
  <c r="AK475" i="3"/>
  <c r="U475" i="3"/>
  <c r="BJ474" i="3"/>
  <c r="AT474" i="3"/>
  <c r="AD474" i="3"/>
  <c r="N474" i="3"/>
  <c r="BC473" i="3"/>
  <c r="AM473" i="3"/>
  <c r="W473" i="3"/>
  <c r="G473" i="3"/>
  <c r="AZ472" i="3"/>
  <c r="AJ472" i="3"/>
  <c r="T472" i="3"/>
  <c r="BM471" i="3"/>
  <c r="AW471" i="3"/>
  <c r="AG471" i="3"/>
  <c r="Q471" i="3"/>
  <c r="BF470" i="3"/>
  <c r="AP470" i="3"/>
  <c r="Z470" i="3"/>
  <c r="J470" i="3"/>
  <c r="AY469" i="3"/>
  <c r="AI469" i="3"/>
  <c r="S469" i="3"/>
  <c r="BL468" i="3"/>
  <c r="AV468" i="3"/>
  <c r="AF468" i="3"/>
  <c r="P468" i="3"/>
  <c r="BI467" i="3"/>
  <c r="AS467" i="3"/>
  <c r="AC467" i="3"/>
  <c r="M467" i="3"/>
  <c r="BB466" i="3"/>
  <c r="AL466" i="3"/>
  <c r="V466" i="3"/>
  <c r="BK465" i="3"/>
  <c r="AU465" i="3"/>
  <c r="AE465" i="3"/>
  <c r="O465" i="3"/>
  <c r="BH464" i="3"/>
  <c r="AR464" i="3"/>
  <c r="AB464" i="3"/>
  <c r="L464" i="3"/>
  <c r="BE463" i="3"/>
  <c r="AO463" i="3"/>
  <c r="Y463" i="3"/>
  <c r="I463" i="3"/>
  <c r="AX462" i="3"/>
  <c r="AQ509" i="3"/>
  <c r="K509" i="3"/>
  <c r="AY508" i="3"/>
  <c r="AI508" i="3"/>
  <c r="S508" i="3"/>
  <c r="BL507" i="3"/>
  <c r="AV507" i="3"/>
  <c r="AF507" i="3"/>
  <c r="P507" i="3"/>
  <c r="BI506" i="3"/>
  <c r="AS506" i="3"/>
  <c r="AC506" i="3"/>
  <c r="M506" i="3"/>
  <c r="BB505" i="3"/>
  <c r="AL505" i="3"/>
  <c r="V505" i="3"/>
  <c r="BK504" i="3"/>
  <c r="AU504" i="3"/>
  <c r="AE504" i="3"/>
  <c r="O504" i="3"/>
  <c r="BH503" i="3"/>
  <c r="AR503" i="3"/>
  <c r="AB503" i="3"/>
  <c r="L503" i="3"/>
  <c r="BE502" i="3"/>
  <c r="AO502" i="3"/>
  <c r="Y502" i="3"/>
  <c r="I502" i="3"/>
  <c r="AX501" i="3"/>
  <c r="AH501" i="3"/>
  <c r="R501" i="3"/>
  <c r="BG500" i="3"/>
  <c r="AQ500" i="3"/>
  <c r="AA500" i="3"/>
  <c r="K500" i="3"/>
  <c r="BD499" i="3"/>
  <c r="AN499" i="3"/>
  <c r="X499" i="3"/>
  <c r="H499" i="3"/>
  <c r="AY496" i="3"/>
  <c r="AI496" i="3"/>
  <c r="S496" i="3"/>
  <c r="BL495" i="3"/>
  <c r="AV495" i="3"/>
  <c r="AF495" i="3"/>
  <c r="P495" i="3"/>
  <c r="BI494" i="3"/>
  <c r="AS494" i="3"/>
  <c r="AC494" i="3"/>
  <c r="M494" i="3"/>
  <c r="BB493" i="3"/>
  <c r="AL493" i="3"/>
  <c r="V493" i="3"/>
  <c r="BK492" i="3"/>
  <c r="AU492" i="3"/>
  <c r="AE492" i="3"/>
  <c r="O492" i="3"/>
  <c r="BH491" i="3"/>
  <c r="AR491" i="3"/>
  <c r="AB491" i="3"/>
  <c r="L491" i="3"/>
  <c r="BE490" i="3"/>
  <c r="AO490" i="3"/>
  <c r="Y490" i="3"/>
  <c r="I490" i="3"/>
  <c r="AX489" i="3"/>
  <c r="AH489" i="3"/>
  <c r="R489" i="3"/>
  <c r="BG488" i="3"/>
  <c r="AQ488" i="3"/>
  <c r="AA488" i="3"/>
  <c r="K488" i="3"/>
  <c r="BD487" i="3"/>
  <c r="AN487" i="3"/>
  <c r="X487" i="3"/>
  <c r="H487" i="3"/>
  <c r="BA486" i="3"/>
  <c r="AK486" i="3"/>
  <c r="U486" i="3"/>
  <c r="BJ485" i="3"/>
  <c r="AT485" i="3"/>
  <c r="AD485" i="3"/>
  <c r="N485" i="3"/>
  <c r="BC484" i="3"/>
  <c r="AM484" i="3"/>
  <c r="W484" i="3"/>
  <c r="G484" i="3"/>
  <c r="AZ483" i="3"/>
  <c r="AJ483" i="3"/>
  <c r="T483" i="3"/>
  <c r="BM482" i="3"/>
  <c r="AW482" i="3"/>
  <c r="AG482" i="3"/>
  <c r="Q482" i="3"/>
  <c r="BF481" i="3"/>
  <c r="AP481" i="3"/>
  <c r="Z481" i="3"/>
  <c r="J481" i="3"/>
  <c r="AY480" i="3"/>
  <c r="AI480" i="3"/>
  <c r="S480" i="3"/>
  <c r="BL479" i="3"/>
  <c r="AV479" i="3"/>
  <c r="AF479" i="3"/>
  <c r="P479" i="3"/>
  <c r="BI478" i="3"/>
  <c r="AS478" i="3"/>
  <c r="AC478" i="3"/>
  <c r="M478" i="3"/>
  <c r="BB477" i="3"/>
  <c r="AL477" i="3"/>
  <c r="V477" i="3"/>
  <c r="BK476" i="3"/>
  <c r="AU476" i="3"/>
  <c r="AE476" i="3"/>
  <c r="O476" i="3"/>
  <c r="BH475" i="3"/>
  <c r="AR475" i="3"/>
  <c r="AB475" i="3"/>
  <c r="L475" i="3"/>
  <c r="BE474" i="3"/>
  <c r="AO474" i="3"/>
  <c r="Y474" i="3"/>
  <c r="I474" i="3"/>
  <c r="AX473" i="3"/>
  <c r="AH473" i="3"/>
  <c r="R473" i="3"/>
  <c r="BG472" i="3"/>
  <c r="AQ472" i="3"/>
  <c r="AA472" i="3"/>
  <c r="K472" i="3"/>
  <c r="BD471" i="3"/>
  <c r="AN471" i="3"/>
  <c r="X471" i="3"/>
  <c r="H471" i="3"/>
  <c r="BA470" i="3"/>
  <c r="AK470" i="3"/>
  <c r="U470" i="3"/>
  <c r="BJ469" i="3"/>
  <c r="AT469" i="3"/>
  <c r="AD469" i="3"/>
  <c r="N469" i="3"/>
  <c r="BC468" i="3"/>
  <c r="AM468" i="3"/>
  <c r="W468" i="3"/>
  <c r="G468" i="3"/>
  <c r="AZ467" i="3"/>
  <c r="AJ467" i="3"/>
  <c r="T467" i="3"/>
  <c r="BM466" i="3"/>
  <c r="AW466" i="3"/>
  <c r="AG466" i="3"/>
  <c r="Q466" i="3"/>
  <c r="BF465" i="3"/>
  <c r="AP465" i="3"/>
  <c r="Z465" i="3"/>
  <c r="J465" i="3"/>
  <c r="AY464" i="3"/>
  <c r="AI464" i="3"/>
  <c r="S464" i="3"/>
  <c r="BF509" i="3"/>
  <c r="Z509" i="3"/>
  <c r="BF508" i="3"/>
  <c r="AP508" i="3"/>
  <c r="Z508" i="3"/>
  <c r="J508" i="3"/>
  <c r="AY507" i="3"/>
  <c r="AI507" i="3"/>
  <c r="S507" i="3"/>
  <c r="BL506" i="3"/>
  <c r="AV506" i="3"/>
  <c r="AF506" i="3"/>
  <c r="P506" i="3"/>
  <c r="BI505" i="3"/>
  <c r="AS505" i="3"/>
  <c r="AC505" i="3"/>
  <c r="M505" i="3"/>
  <c r="BB504" i="3"/>
  <c r="AL504" i="3"/>
  <c r="V504" i="3"/>
  <c r="BK503" i="3"/>
  <c r="AU503" i="3"/>
  <c r="AE503" i="3"/>
  <c r="O503" i="3"/>
  <c r="BH502" i="3"/>
  <c r="AR502" i="3"/>
  <c r="AB502" i="3"/>
  <c r="L502" i="3"/>
  <c r="BE501" i="3"/>
  <c r="AO501" i="3"/>
  <c r="Y501" i="3"/>
  <c r="I501" i="3"/>
  <c r="AX500" i="3"/>
  <c r="AH500" i="3"/>
  <c r="R500" i="3"/>
  <c r="BG499" i="3"/>
  <c r="AQ499" i="3"/>
  <c r="AA499" i="3"/>
  <c r="K499" i="3"/>
  <c r="BB496" i="3"/>
  <c r="AL496" i="3"/>
  <c r="V496" i="3"/>
  <c r="BK495" i="3"/>
  <c r="AU495" i="3"/>
  <c r="AE495" i="3"/>
  <c r="O495" i="3"/>
  <c r="BH494" i="3"/>
  <c r="AR494" i="3"/>
  <c r="AB494" i="3"/>
  <c r="L494" i="3"/>
  <c r="BE493" i="3"/>
  <c r="AO493" i="3"/>
  <c r="Y493" i="3"/>
  <c r="I493" i="3"/>
  <c r="AX492" i="3"/>
  <c r="AH492" i="3"/>
  <c r="R492" i="3"/>
  <c r="BG491" i="3"/>
  <c r="AQ491" i="3"/>
  <c r="AA491" i="3"/>
  <c r="K491" i="3"/>
  <c r="BD490" i="3"/>
  <c r="AN490" i="3"/>
  <c r="X490" i="3"/>
  <c r="H490" i="3"/>
  <c r="BA489" i="3"/>
  <c r="AK489" i="3"/>
  <c r="U489" i="3"/>
  <c r="BJ488" i="3"/>
  <c r="AT488" i="3"/>
  <c r="AD488" i="3"/>
  <c r="N488" i="3"/>
  <c r="BC487" i="3"/>
  <c r="AM487" i="3"/>
  <c r="W487" i="3"/>
  <c r="G487" i="3"/>
  <c r="AZ486" i="3"/>
  <c r="AJ486" i="3"/>
  <c r="T486" i="3"/>
  <c r="BM485" i="3"/>
  <c r="AW485" i="3"/>
  <c r="AG485" i="3"/>
  <c r="Q485" i="3"/>
  <c r="BF484" i="3"/>
  <c r="AP484" i="3"/>
  <c r="Z484" i="3"/>
  <c r="J484" i="3"/>
  <c r="AY483" i="3"/>
  <c r="AI483" i="3"/>
  <c r="S483" i="3"/>
  <c r="BL482" i="3"/>
  <c r="AV482" i="3"/>
  <c r="AF482" i="3"/>
  <c r="P482" i="3"/>
  <c r="BI481" i="3"/>
  <c r="AS481" i="3"/>
  <c r="AC481" i="3"/>
  <c r="M481" i="3"/>
  <c r="BB480" i="3"/>
  <c r="AL480" i="3"/>
  <c r="V480" i="3"/>
  <c r="BK479" i="3"/>
  <c r="AU479" i="3"/>
  <c r="AE479" i="3"/>
  <c r="O479" i="3"/>
  <c r="BH478" i="3"/>
  <c r="AR478" i="3"/>
  <c r="AB478" i="3"/>
  <c r="L478" i="3"/>
  <c r="BE477" i="3"/>
  <c r="AO477" i="3"/>
  <c r="Y477" i="3"/>
  <c r="I477" i="3"/>
  <c r="AX476" i="3"/>
  <c r="AH476" i="3"/>
  <c r="R476" i="3"/>
  <c r="BG475" i="3"/>
  <c r="AQ475" i="3"/>
  <c r="AA475" i="3"/>
  <c r="K475" i="3"/>
  <c r="BD474" i="3"/>
  <c r="AN474" i="3"/>
  <c r="X474" i="3"/>
  <c r="H474" i="3"/>
  <c r="BA473" i="3"/>
  <c r="AK473" i="3"/>
  <c r="U473" i="3"/>
  <c r="BJ472" i="3"/>
  <c r="AT472" i="3"/>
  <c r="AD472" i="3"/>
  <c r="N472" i="3"/>
  <c r="BC471" i="3"/>
  <c r="AM471" i="3"/>
  <c r="W471" i="3"/>
  <c r="G471" i="3"/>
  <c r="AZ470" i="3"/>
  <c r="AJ470" i="3"/>
  <c r="T470" i="3"/>
  <c r="BM469" i="3"/>
  <c r="AW469" i="3"/>
  <c r="AG469" i="3"/>
  <c r="Q469" i="3"/>
  <c r="BF468" i="3"/>
  <c r="AP468" i="3"/>
  <c r="Z468" i="3"/>
  <c r="J468" i="3"/>
  <c r="AY467" i="3"/>
  <c r="AI467" i="3"/>
  <c r="S467" i="3"/>
  <c r="BL466" i="3"/>
  <c r="AV466" i="3"/>
  <c r="AF466" i="3"/>
  <c r="P466" i="3"/>
  <c r="BI465" i="3"/>
  <c r="AS465" i="3"/>
  <c r="AC465" i="3"/>
  <c r="M465" i="3"/>
  <c r="BB464" i="3"/>
  <c r="AL464" i="3"/>
  <c r="V464" i="3"/>
  <c r="BK463" i="3"/>
  <c r="AU463" i="3"/>
  <c r="AE463" i="3"/>
  <c r="O463" i="3"/>
  <c r="AN463" i="3"/>
  <c r="BA462" i="3"/>
  <c r="AC462" i="3"/>
  <c r="H462" i="3"/>
  <c r="AZ461" i="3"/>
  <c r="AJ461" i="3"/>
  <c r="T461" i="3"/>
  <c r="BM460" i="3"/>
  <c r="AW460" i="3"/>
  <c r="AG460" i="3"/>
  <c r="Q460" i="3"/>
  <c r="BF459" i="3"/>
  <c r="AP459" i="3"/>
  <c r="Z459" i="3"/>
  <c r="J459" i="3"/>
  <c r="AY458" i="3"/>
  <c r="AI458" i="3"/>
  <c r="S458" i="3"/>
  <c r="BL457" i="3"/>
  <c r="AV457" i="3"/>
  <c r="AF457" i="3"/>
  <c r="P457" i="3"/>
  <c r="BH455" i="3"/>
  <c r="AR455" i="3"/>
  <c r="AB455" i="3"/>
  <c r="L455" i="3"/>
  <c r="BE454" i="3"/>
  <c r="AO454" i="3"/>
  <c r="Y454" i="3"/>
  <c r="I454" i="3"/>
  <c r="AX453" i="3"/>
  <c r="AH453" i="3"/>
  <c r="R453" i="3"/>
  <c r="BG452" i="3"/>
  <c r="AQ452" i="3"/>
  <c r="AA452" i="3"/>
  <c r="K452" i="3"/>
  <c r="BD451" i="3"/>
  <c r="AN451" i="3"/>
  <c r="X451" i="3"/>
  <c r="H451" i="3"/>
  <c r="BA450" i="3"/>
  <c r="AK450" i="3"/>
  <c r="U450" i="3"/>
  <c r="BJ449" i="3"/>
  <c r="AT449" i="3"/>
  <c r="AD449" i="3"/>
  <c r="N449" i="3"/>
  <c r="BC448" i="3"/>
  <c r="AM448" i="3"/>
  <c r="W448" i="3"/>
  <c r="G448" i="3"/>
  <c r="AZ447" i="3"/>
  <c r="AJ447" i="3"/>
  <c r="T447" i="3"/>
  <c r="BM446" i="3"/>
  <c r="AW446" i="3"/>
  <c r="AG446" i="3"/>
  <c r="Q446" i="3"/>
  <c r="BF445" i="3"/>
  <c r="AP445" i="3"/>
  <c r="Z445" i="3"/>
  <c r="J445" i="3"/>
  <c r="AY444" i="3"/>
  <c r="AI444" i="3"/>
  <c r="S444" i="3"/>
  <c r="BL443" i="3"/>
  <c r="AV443" i="3"/>
  <c r="AF443" i="3"/>
  <c r="P443" i="3"/>
  <c r="BI442" i="3"/>
  <c r="AS442" i="3"/>
  <c r="AC442" i="3"/>
  <c r="M442" i="3"/>
  <c r="BB441" i="3"/>
  <c r="AL441" i="3"/>
  <c r="V441" i="3"/>
  <c r="BK440" i="3"/>
  <c r="AU440" i="3"/>
  <c r="AE440" i="3"/>
  <c r="O440" i="3"/>
  <c r="BH439" i="3"/>
  <c r="AR439" i="3"/>
  <c r="AB439" i="3"/>
  <c r="L439" i="3"/>
  <c r="BE438" i="3"/>
  <c r="AO438" i="3"/>
  <c r="Y438" i="3"/>
  <c r="I438" i="3"/>
  <c r="AX437" i="3"/>
  <c r="AH437" i="3"/>
  <c r="R437" i="3"/>
  <c r="BG436" i="3"/>
  <c r="AQ436" i="3"/>
  <c r="AA436" i="3"/>
  <c r="K436" i="3"/>
  <c r="BD435" i="3"/>
  <c r="AN435" i="3"/>
  <c r="X435" i="3"/>
  <c r="H435" i="3"/>
  <c r="BA434" i="3"/>
  <c r="AK434" i="3"/>
  <c r="U434" i="3"/>
  <c r="BJ433" i="3"/>
  <c r="AT433" i="3"/>
  <c r="AD433" i="3"/>
  <c r="N433" i="3"/>
  <c r="BC432" i="3"/>
  <c r="AM432" i="3"/>
  <c r="W432" i="3"/>
  <c r="G432" i="3"/>
  <c r="AZ431" i="3"/>
  <c r="AJ431" i="3"/>
  <c r="T431" i="3"/>
  <c r="BM430" i="3"/>
  <c r="AW430" i="3"/>
  <c r="AG430" i="3"/>
  <c r="Q430" i="3"/>
  <c r="BF429" i="3"/>
  <c r="AP429" i="3"/>
  <c r="Z429" i="3"/>
  <c r="J429" i="3"/>
  <c r="AY428" i="3"/>
  <c r="AI428" i="3"/>
  <c r="S428" i="3"/>
  <c r="BL427" i="3"/>
  <c r="AV427" i="3"/>
  <c r="AF427" i="3"/>
  <c r="P427" i="3"/>
  <c r="BI426" i="3"/>
  <c r="AS426" i="3"/>
  <c r="AC426" i="3"/>
  <c r="M426" i="3"/>
  <c r="BB425" i="3"/>
  <c r="AL425" i="3"/>
  <c r="V425" i="3"/>
  <c r="BK424" i="3"/>
  <c r="AU424" i="3"/>
  <c r="AE424" i="3"/>
  <c r="O424" i="3"/>
  <c r="BH423" i="3"/>
  <c r="AR423" i="3"/>
  <c r="AB423" i="3"/>
  <c r="L423" i="3"/>
  <c r="BE422" i="3"/>
  <c r="AO422" i="3"/>
  <c r="Y422" i="3"/>
  <c r="I422" i="3"/>
  <c r="AX421" i="3"/>
  <c r="AH421" i="3"/>
  <c r="R421" i="3"/>
  <c r="BG420" i="3"/>
  <c r="AQ420" i="3"/>
  <c r="AA420" i="3"/>
  <c r="K420" i="3"/>
  <c r="BD419" i="3"/>
  <c r="AN419" i="3"/>
  <c r="X419" i="3"/>
  <c r="H419" i="3"/>
  <c r="BA418" i="3"/>
  <c r="AK418" i="3"/>
  <c r="U418" i="3"/>
  <c r="BJ417" i="3"/>
  <c r="AT417" i="3"/>
  <c r="AD417" i="3"/>
  <c r="N417" i="3"/>
  <c r="T463" i="3"/>
  <c r="AL462" i="3"/>
  <c r="Q462" i="3"/>
  <c r="BC461" i="3"/>
  <c r="AM461" i="3"/>
  <c r="W461" i="3"/>
  <c r="G461" i="3"/>
  <c r="AZ460" i="3"/>
  <c r="AJ460" i="3"/>
  <c r="T460" i="3"/>
  <c r="BM459" i="3"/>
  <c r="AW459" i="3"/>
  <c r="AG459" i="3"/>
  <c r="Q459" i="3"/>
  <c r="BF458" i="3"/>
  <c r="AP458" i="3"/>
  <c r="Z458" i="3"/>
  <c r="J458" i="3"/>
  <c r="AY457" i="3"/>
  <c r="AI457" i="3"/>
  <c r="S457" i="3"/>
  <c r="BK455" i="3"/>
  <c r="AU455" i="3"/>
  <c r="AE455" i="3"/>
  <c r="O455" i="3"/>
  <c r="BH454" i="3"/>
  <c r="AR454" i="3"/>
  <c r="AB454" i="3"/>
  <c r="L454" i="3"/>
  <c r="BE453" i="3"/>
  <c r="AO453" i="3"/>
  <c r="Y453" i="3"/>
  <c r="I453" i="3"/>
  <c r="AX452" i="3"/>
  <c r="AH452" i="3"/>
  <c r="R452" i="3"/>
  <c r="BG451" i="3"/>
  <c r="AQ451" i="3"/>
  <c r="AA451" i="3"/>
  <c r="K451" i="3"/>
  <c r="BD450" i="3"/>
  <c r="AN450" i="3"/>
  <c r="X450" i="3"/>
  <c r="H450" i="3"/>
  <c r="BA449" i="3"/>
  <c r="AK449" i="3"/>
  <c r="U449" i="3"/>
  <c r="BJ448" i="3"/>
  <c r="AT448" i="3"/>
  <c r="AD448" i="3"/>
  <c r="N448" i="3"/>
  <c r="BC447" i="3"/>
  <c r="AM447" i="3"/>
  <c r="W447" i="3"/>
  <c r="G447" i="3"/>
  <c r="AZ446" i="3"/>
  <c r="AJ446" i="3"/>
  <c r="T446" i="3"/>
  <c r="BM445" i="3"/>
  <c r="AW445" i="3"/>
  <c r="AG445" i="3"/>
  <c r="Q445" i="3"/>
  <c r="BF444" i="3"/>
  <c r="AP444" i="3"/>
  <c r="Z444" i="3"/>
  <c r="J444" i="3"/>
  <c r="AY443" i="3"/>
  <c r="AI443" i="3"/>
  <c r="S443" i="3"/>
  <c r="BL442" i="3"/>
  <c r="AV442" i="3"/>
  <c r="AF442" i="3"/>
  <c r="P442" i="3"/>
  <c r="BI441" i="3"/>
  <c r="AS441" i="3"/>
  <c r="AC441" i="3"/>
  <c r="M441" i="3"/>
  <c r="BB440" i="3"/>
  <c r="AL440" i="3"/>
  <c r="V440" i="3"/>
  <c r="BK439" i="3"/>
  <c r="AU439" i="3"/>
  <c r="AE439" i="3"/>
  <c r="O439" i="3"/>
  <c r="BH438" i="3"/>
  <c r="AR438" i="3"/>
  <c r="AB438" i="3"/>
  <c r="L438" i="3"/>
  <c r="BE437" i="3"/>
  <c r="AO437" i="3"/>
  <c r="Y437" i="3"/>
  <c r="I437" i="3"/>
  <c r="AX436" i="3"/>
  <c r="AH436" i="3"/>
  <c r="R436" i="3"/>
  <c r="BG435" i="3"/>
  <c r="AQ435" i="3"/>
  <c r="AA435" i="3"/>
  <c r="K435" i="3"/>
  <c r="BD434" i="3"/>
  <c r="AN434" i="3"/>
  <c r="X434" i="3"/>
  <c r="H434" i="3"/>
  <c r="BA433" i="3"/>
  <c r="AK433" i="3"/>
  <c r="U433" i="3"/>
  <c r="BJ432" i="3"/>
  <c r="AT432" i="3"/>
  <c r="AD432" i="3"/>
  <c r="N432" i="3"/>
  <c r="BC431" i="3"/>
  <c r="AM431" i="3"/>
  <c r="W431" i="3"/>
  <c r="G431" i="3"/>
  <c r="AZ430" i="3"/>
  <c r="AJ430" i="3"/>
  <c r="T430" i="3"/>
  <c r="BM429" i="3"/>
  <c r="AW429" i="3"/>
  <c r="AG429" i="3"/>
  <c r="Q429" i="3"/>
  <c r="BF428" i="3"/>
  <c r="AP428" i="3"/>
  <c r="Z428" i="3"/>
  <c r="J428" i="3"/>
  <c r="AY427" i="3"/>
  <c r="AI427" i="3"/>
  <c r="S427" i="3"/>
  <c r="BL426" i="3"/>
  <c r="AV426" i="3"/>
  <c r="AF426" i="3"/>
  <c r="P426" i="3"/>
  <c r="BI425" i="3"/>
  <c r="AS425" i="3"/>
  <c r="AC425" i="3"/>
  <c r="M425" i="3"/>
  <c r="BB424" i="3"/>
  <c r="AL424" i="3"/>
  <c r="V424" i="3"/>
  <c r="BK423" i="3"/>
  <c r="AU423" i="3"/>
  <c r="AE423" i="3"/>
  <c r="O423" i="3"/>
  <c r="BH422" i="3"/>
  <c r="AR422" i="3"/>
  <c r="AB422" i="3"/>
  <c r="L422" i="3"/>
  <c r="BE421" i="3"/>
  <c r="AO421" i="3"/>
  <c r="Y421" i="3"/>
  <c r="I421" i="3"/>
  <c r="AX420" i="3"/>
  <c r="AH420" i="3"/>
  <c r="R420" i="3"/>
  <c r="BG419" i="3"/>
  <c r="AQ419" i="3"/>
  <c r="AA419" i="3"/>
  <c r="K419" i="3"/>
  <c r="BD418" i="3"/>
  <c r="AN418" i="3"/>
  <c r="X418" i="3"/>
  <c r="H418" i="3"/>
  <c r="BA417" i="3"/>
  <c r="AK417" i="3"/>
  <c r="U417" i="3"/>
  <c r="BL463" i="3"/>
  <c r="BM462" i="3"/>
  <c r="AK462" i="3"/>
  <c r="P462" i="3"/>
  <c r="BB461" i="3"/>
  <c r="AL461" i="3"/>
  <c r="V461" i="3"/>
  <c r="BK460" i="3"/>
  <c r="AU460" i="3"/>
  <c r="AE460" i="3"/>
  <c r="O460" i="3"/>
  <c r="BH459" i="3"/>
  <c r="AR459" i="3"/>
  <c r="AB459" i="3"/>
  <c r="L459" i="3"/>
  <c r="BE458" i="3"/>
  <c r="AO458" i="3"/>
  <c r="Y458" i="3"/>
  <c r="I458" i="3"/>
  <c r="AX457" i="3"/>
  <c r="AH457" i="3"/>
  <c r="R457" i="3"/>
  <c r="BF455" i="3"/>
  <c r="AP455" i="3"/>
  <c r="Z455" i="3"/>
  <c r="J455" i="3"/>
  <c r="AY454" i="3"/>
  <c r="AI454" i="3"/>
  <c r="S454" i="3"/>
  <c r="BL453" i="3"/>
  <c r="AV453" i="3"/>
  <c r="AF453" i="3"/>
  <c r="P453" i="3"/>
  <c r="BI452" i="3"/>
  <c r="AS452" i="3"/>
  <c r="AC452" i="3"/>
  <c r="M452" i="3"/>
  <c r="BB451" i="3"/>
  <c r="AL451" i="3"/>
  <c r="V451" i="3"/>
  <c r="BK450" i="3"/>
  <c r="AU450" i="3"/>
  <c r="AE450" i="3"/>
  <c r="O450" i="3"/>
  <c r="BH449" i="3"/>
  <c r="AR449" i="3"/>
  <c r="AB449" i="3"/>
  <c r="L449" i="3"/>
  <c r="BE448" i="3"/>
  <c r="AO448" i="3"/>
  <c r="Y448" i="3"/>
  <c r="I448" i="3"/>
  <c r="AX447" i="3"/>
  <c r="AH447" i="3"/>
  <c r="R447" i="3"/>
  <c r="BG446" i="3"/>
  <c r="AQ446" i="3"/>
  <c r="AA446" i="3"/>
  <c r="K446" i="3"/>
  <c r="BD445" i="3"/>
  <c r="AN445" i="3"/>
  <c r="X445" i="3"/>
  <c r="H445" i="3"/>
  <c r="BA444" i="3"/>
  <c r="AK444" i="3"/>
  <c r="U444" i="3"/>
  <c r="BJ443" i="3"/>
  <c r="AT443" i="3"/>
  <c r="AD443" i="3"/>
  <c r="N443" i="3"/>
  <c r="BC442" i="3"/>
  <c r="AM442" i="3"/>
  <c r="W442" i="3"/>
  <c r="G442" i="3"/>
  <c r="AZ441" i="3"/>
  <c r="AJ441" i="3"/>
  <c r="T441" i="3"/>
  <c r="BM440" i="3"/>
  <c r="AW440" i="3"/>
  <c r="AG440" i="3"/>
  <c r="Q440" i="3"/>
  <c r="BF439" i="3"/>
  <c r="AP439" i="3"/>
  <c r="Z439" i="3"/>
  <c r="J439" i="3"/>
  <c r="AY438" i="3"/>
  <c r="AI438" i="3"/>
  <c r="S438" i="3"/>
  <c r="BL437" i="3"/>
  <c r="AV437" i="3"/>
  <c r="AF437" i="3"/>
  <c r="P437" i="3"/>
  <c r="BI436" i="3"/>
  <c r="AS436" i="3"/>
  <c r="AC436" i="3"/>
  <c r="M436" i="3"/>
  <c r="BB435" i="3"/>
  <c r="AL435" i="3"/>
  <c r="V435" i="3"/>
  <c r="BK434" i="3"/>
  <c r="AU434" i="3"/>
  <c r="AE434" i="3"/>
  <c r="O434" i="3"/>
  <c r="BH433" i="3"/>
  <c r="AR433" i="3"/>
  <c r="AB433" i="3"/>
  <c r="L433" i="3"/>
  <c r="BE432" i="3"/>
  <c r="AO432" i="3"/>
  <c r="Y432" i="3"/>
  <c r="I432" i="3"/>
  <c r="AX431" i="3"/>
  <c r="AH431" i="3"/>
  <c r="R431" i="3"/>
  <c r="BG430" i="3"/>
  <c r="AQ430" i="3"/>
  <c r="AA430" i="3"/>
  <c r="K430" i="3"/>
  <c r="BD429" i="3"/>
  <c r="AN429" i="3"/>
  <c r="X429" i="3"/>
  <c r="H429" i="3"/>
  <c r="BA428" i="3"/>
  <c r="AK428" i="3"/>
  <c r="U428" i="3"/>
  <c r="BJ427" i="3"/>
  <c r="AT427" i="3"/>
  <c r="AD427" i="3"/>
  <c r="N427" i="3"/>
  <c r="BC426" i="3"/>
  <c r="AM426" i="3"/>
  <c r="W426" i="3"/>
  <c r="G426" i="3"/>
  <c r="AZ425" i="3"/>
  <c r="AJ425" i="3"/>
  <c r="T425" i="3"/>
  <c r="BM424" i="3"/>
  <c r="AW424" i="3"/>
  <c r="AG424" i="3"/>
  <c r="Q424" i="3"/>
  <c r="BF423" i="3"/>
  <c r="AP423" i="3"/>
  <c r="Z423" i="3"/>
  <c r="J423" i="3"/>
  <c r="AY422" i="3"/>
  <c r="AI422" i="3"/>
  <c r="S422" i="3"/>
  <c r="BL421" i="3"/>
  <c r="AV421" i="3"/>
  <c r="AF421" i="3"/>
  <c r="P421" i="3"/>
  <c r="BI420" i="3"/>
  <c r="AS420" i="3"/>
  <c r="AC420" i="3"/>
  <c r="M420" i="3"/>
  <c r="BB419" i="3"/>
  <c r="AL419" i="3"/>
  <c r="V419" i="3"/>
  <c r="BK418" i="3"/>
  <c r="AU418" i="3"/>
  <c r="AE418" i="3"/>
  <c r="O418" i="3"/>
  <c r="BH417" i="3"/>
  <c r="AR417" i="3"/>
  <c r="AR463" i="3"/>
  <c r="BD462" i="3"/>
  <c r="AD462" i="3"/>
  <c r="I462" i="3"/>
  <c r="BA461" i="3"/>
  <c r="AK461" i="3"/>
  <c r="U461" i="3"/>
  <c r="BJ460" i="3"/>
  <c r="AT460" i="3"/>
  <c r="AD460" i="3"/>
  <c r="N460" i="3"/>
  <c r="BC459" i="3"/>
  <c r="AM459" i="3"/>
  <c r="W459" i="3"/>
  <c r="G459" i="3"/>
  <c r="AZ458" i="3"/>
  <c r="AJ458" i="3"/>
  <c r="T458" i="3"/>
  <c r="BM457" i="3"/>
  <c r="AW457" i="3"/>
  <c r="AG457" i="3"/>
  <c r="Q457" i="3"/>
  <c r="BI455" i="3"/>
  <c r="AS455" i="3"/>
  <c r="AC455" i="3"/>
  <c r="M455" i="3"/>
  <c r="BB454" i="3"/>
  <c r="AL454" i="3"/>
  <c r="V454" i="3"/>
  <c r="BK453" i="3"/>
  <c r="AU453" i="3"/>
  <c r="AE453" i="3"/>
  <c r="O453" i="3"/>
  <c r="BH452" i="3"/>
  <c r="AR452" i="3"/>
  <c r="AB452" i="3"/>
  <c r="L452" i="3"/>
  <c r="BE451" i="3"/>
  <c r="AO451" i="3"/>
  <c r="Y451" i="3"/>
  <c r="I451" i="3"/>
  <c r="AX450" i="3"/>
  <c r="AH450" i="3"/>
  <c r="R450" i="3"/>
  <c r="BG449" i="3"/>
  <c r="AQ449" i="3"/>
  <c r="AA449" i="3"/>
  <c r="K449" i="3"/>
  <c r="BD448" i="3"/>
  <c r="AN448" i="3"/>
  <c r="X448" i="3"/>
  <c r="H448" i="3"/>
  <c r="BA447" i="3"/>
  <c r="AK447" i="3"/>
  <c r="U447" i="3"/>
  <c r="BJ446" i="3"/>
  <c r="AT446" i="3"/>
  <c r="AD446" i="3"/>
  <c r="N446" i="3"/>
  <c r="BC445" i="3"/>
  <c r="AM445" i="3"/>
  <c r="W445" i="3"/>
  <c r="G445" i="3"/>
  <c r="AZ444" i="3"/>
  <c r="AJ444" i="3"/>
  <c r="T444" i="3"/>
  <c r="BM443" i="3"/>
  <c r="AW443" i="3"/>
  <c r="AG443" i="3"/>
  <c r="Q443" i="3"/>
  <c r="BF442" i="3"/>
  <c r="AP442" i="3"/>
  <c r="Z442" i="3"/>
  <c r="J442" i="3"/>
  <c r="AY441" i="3"/>
  <c r="AI441" i="3"/>
  <c r="S441" i="3"/>
  <c r="BL440" i="3"/>
  <c r="AV440" i="3"/>
  <c r="AF440" i="3"/>
  <c r="P440" i="3"/>
  <c r="BI439" i="3"/>
  <c r="AS439" i="3"/>
  <c r="AC439" i="3"/>
  <c r="M439" i="3"/>
  <c r="BB438" i="3"/>
  <c r="AL438" i="3"/>
  <c r="V438" i="3"/>
  <c r="BK437" i="3"/>
  <c r="AU437" i="3"/>
  <c r="AE437" i="3"/>
  <c r="O437" i="3"/>
  <c r="BH436" i="3"/>
  <c r="AR436" i="3"/>
  <c r="AB436" i="3"/>
  <c r="L436" i="3"/>
  <c r="BE435" i="3"/>
  <c r="AO435" i="3"/>
  <c r="Y435" i="3"/>
  <c r="I435" i="3"/>
  <c r="AX434" i="3"/>
  <c r="AH434" i="3"/>
  <c r="R434" i="3"/>
  <c r="BG433" i="3"/>
  <c r="AQ433" i="3"/>
  <c r="AA433" i="3"/>
  <c r="K433" i="3"/>
  <c r="BD432" i="3"/>
  <c r="AN432" i="3"/>
  <c r="X432" i="3"/>
  <c r="H432" i="3"/>
  <c r="BA431" i="3"/>
  <c r="AK431" i="3"/>
  <c r="U431" i="3"/>
  <c r="BJ430" i="3"/>
  <c r="AT430" i="3"/>
  <c r="AD430" i="3"/>
  <c r="N430" i="3"/>
  <c r="BC429" i="3"/>
  <c r="AM429" i="3"/>
  <c r="W429" i="3"/>
  <c r="G429" i="3"/>
  <c r="AZ428" i="3"/>
  <c r="AJ428" i="3"/>
  <c r="T428" i="3"/>
  <c r="BM427" i="3"/>
  <c r="AW427" i="3"/>
  <c r="AG427" i="3"/>
  <c r="Q427" i="3"/>
  <c r="BF426" i="3"/>
  <c r="AP426" i="3"/>
  <c r="Z426" i="3"/>
  <c r="J426" i="3"/>
  <c r="AY425" i="3"/>
  <c r="AI425" i="3"/>
  <c r="S425" i="3"/>
  <c r="BL424" i="3"/>
  <c r="AV424" i="3"/>
  <c r="AF424" i="3"/>
  <c r="P424" i="3"/>
  <c r="BI423" i="3"/>
  <c r="AS423" i="3"/>
  <c r="AC423" i="3"/>
  <c r="M423" i="3"/>
  <c r="BB422" i="3"/>
  <c r="AL422" i="3"/>
  <c r="V422" i="3"/>
  <c r="BK421" i="3"/>
  <c r="AU421" i="3"/>
  <c r="AE421" i="3"/>
  <c r="O421" i="3"/>
  <c r="BH420" i="3"/>
  <c r="AR420" i="3"/>
  <c r="AB420" i="3"/>
  <c r="L420" i="3"/>
  <c r="BE419" i="3"/>
  <c r="AO419" i="3"/>
  <c r="Y419" i="3"/>
  <c r="I419" i="3"/>
  <c r="AX418" i="3"/>
  <c r="AH418" i="3"/>
  <c r="R418" i="3"/>
  <c r="BG417" i="3"/>
  <c r="AQ417" i="3"/>
  <c r="AA417" i="3"/>
  <c r="K417" i="3"/>
  <c r="BK416" i="3"/>
  <c r="AU416" i="3"/>
  <c r="AE416" i="3"/>
  <c r="O416" i="3"/>
  <c r="BG414" i="3"/>
  <c r="AQ414" i="3"/>
  <c r="AA414" i="3"/>
  <c r="K414" i="3"/>
  <c r="BD413" i="3"/>
  <c r="AN413" i="3"/>
  <c r="X413" i="3"/>
  <c r="H413" i="3"/>
  <c r="BA412" i="3"/>
  <c r="AK412" i="3"/>
  <c r="U412" i="3"/>
  <c r="BJ411" i="3"/>
  <c r="AT411" i="3"/>
  <c r="AD411" i="3"/>
  <c r="N411" i="3"/>
  <c r="BC410" i="3"/>
  <c r="AM410" i="3"/>
  <c r="W410" i="3"/>
  <c r="G410" i="3"/>
  <c r="AZ409" i="3"/>
  <c r="AJ409" i="3"/>
  <c r="T409" i="3"/>
  <c r="BM408" i="3"/>
  <c r="AW408" i="3"/>
  <c r="AG408" i="3"/>
  <c r="Q408" i="3"/>
  <c r="BF407" i="3"/>
  <c r="AP407" i="3"/>
  <c r="Z407" i="3"/>
  <c r="J407" i="3"/>
  <c r="AY406" i="3"/>
  <c r="AI406" i="3"/>
  <c r="S406" i="3"/>
  <c r="BL405" i="3"/>
  <c r="AV405" i="3"/>
  <c r="AF405" i="3"/>
  <c r="P405" i="3"/>
  <c r="BI404" i="3"/>
  <c r="AS404" i="3"/>
  <c r="AC404" i="3"/>
  <c r="M404" i="3"/>
  <c r="BB403" i="3"/>
  <c r="AL403" i="3"/>
  <c r="V403" i="3"/>
  <c r="BK402" i="3"/>
  <c r="AU402" i="3"/>
  <c r="AE402" i="3"/>
  <c r="O402" i="3"/>
  <c r="BH401" i="3"/>
  <c r="AR401" i="3"/>
  <c r="AB401" i="3"/>
  <c r="L401" i="3"/>
  <c r="BE400" i="3"/>
  <c r="AO400" i="3"/>
  <c r="Y400" i="3"/>
  <c r="I400" i="3"/>
  <c r="AX399" i="3"/>
  <c r="AH399" i="3"/>
  <c r="R399" i="3"/>
  <c r="BG398" i="3"/>
  <c r="AQ398" i="3"/>
  <c r="AA398" i="3"/>
  <c r="K398" i="3"/>
  <c r="BD397" i="3"/>
  <c r="AN397" i="3"/>
  <c r="X397" i="3"/>
  <c r="H397" i="3"/>
  <c r="BA396" i="3"/>
  <c r="AK396" i="3"/>
  <c r="U396" i="3"/>
  <c r="BJ395" i="3"/>
  <c r="AT395" i="3"/>
  <c r="AD395" i="3"/>
  <c r="N395" i="3"/>
  <c r="BC394" i="3"/>
  <c r="AM394" i="3"/>
  <c r="W394" i="3"/>
  <c r="G394" i="3"/>
  <c r="AZ393" i="3"/>
  <c r="AJ393" i="3"/>
  <c r="T393" i="3"/>
  <c r="BM392" i="3"/>
  <c r="AW392" i="3"/>
  <c r="AG392" i="3"/>
  <c r="Q392" i="3"/>
  <c r="BF391" i="3"/>
  <c r="AP391" i="3"/>
  <c r="Z391" i="3"/>
  <c r="J391" i="3"/>
  <c r="AY390" i="3"/>
  <c r="AI390" i="3"/>
  <c r="S390" i="3"/>
  <c r="BL389" i="3"/>
  <c r="AV389" i="3"/>
  <c r="AF389" i="3"/>
  <c r="P389" i="3"/>
  <c r="BI388" i="3"/>
  <c r="AS388" i="3"/>
  <c r="AC388" i="3"/>
  <c r="M388" i="3"/>
  <c r="BB387" i="3"/>
  <c r="AL387" i="3"/>
  <c r="V387" i="3"/>
  <c r="BK386" i="3"/>
  <c r="AU386" i="3"/>
  <c r="AE386" i="3"/>
  <c r="O386" i="3"/>
  <c r="BH385" i="3"/>
  <c r="AR385" i="3"/>
  <c r="AB385" i="3"/>
  <c r="L385" i="3"/>
  <c r="BE384" i="3"/>
  <c r="AO384" i="3"/>
  <c r="Y384" i="3"/>
  <c r="I384" i="3"/>
  <c r="AX383" i="3"/>
  <c r="AH383" i="3"/>
  <c r="R383" i="3"/>
  <c r="BG382" i="3"/>
  <c r="AQ382" i="3"/>
  <c r="AA382" i="3"/>
  <c r="K382" i="3"/>
  <c r="BD381" i="3"/>
  <c r="AN381" i="3"/>
  <c r="X381" i="3"/>
  <c r="H381" i="3"/>
  <c r="BA380" i="3"/>
  <c r="AK380" i="3"/>
  <c r="U380" i="3"/>
  <c r="BJ379" i="3"/>
  <c r="AT379" i="3"/>
  <c r="AD379" i="3"/>
  <c r="N379" i="3"/>
  <c r="BC378" i="3"/>
  <c r="AM378" i="3"/>
  <c r="W378" i="3"/>
  <c r="G378" i="3"/>
  <c r="AZ377" i="3"/>
  <c r="AJ377" i="3"/>
  <c r="T377" i="3"/>
  <c r="BM376" i="3"/>
  <c r="AW376" i="3"/>
  <c r="AG376" i="3"/>
  <c r="Q376" i="3"/>
  <c r="BF375" i="3"/>
  <c r="AP375" i="3"/>
  <c r="Z375" i="3"/>
  <c r="J375" i="3"/>
  <c r="AX373" i="3"/>
  <c r="AH373" i="3"/>
  <c r="R373" i="3"/>
  <c r="BG372" i="3"/>
  <c r="AQ372" i="3"/>
  <c r="AA372" i="3"/>
  <c r="K372" i="3"/>
  <c r="BD371" i="3"/>
  <c r="AN371" i="3"/>
  <c r="X371" i="3"/>
  <c r="H371" i="3"/>
  <c r="BA370" i="3"/>
  <c r="AK370" i="3"/>
  <c r="U370" i="3"/>
  <c r="BJ369" i="3"/>
  <c r="AT369" i="3"/>
  <c r="AD369" i="3"/>
  <c r="N369" i="3"/>
  <c r="BC368" i="3"/>
  <c r="AM368" i="3"/>
  <c r="W368" i="3"/>
  <c r="G368" i="3"/>
  <c r="AZ367" i="3"/>
  <c r="AJ367" i="3"/>
  <c r="T367" i="3"/>
  <c r="BM366" i="3"/>
  <c r="AW366" i="3"/>
  <c r="AG366" i="3"/>
  <c r="Q366" i="3"/>
  <c r="BF365" i="3"/>
  <c r="AP365" i="3"/>
  <c r="Z365" i="3"/>
  <c r="J365" i="3"/>
  <c r="AY364" i="3"/>
  <c r="AI364" i="3"/>
  <c r="S364" i="3"/>
  <c r="BL363" i="3"/>
  <c r="AV363" i="3"/>
  <c r="AF363" i="3"/>
  <c r="P363" i="3"/>
  <c r="BI362" i="3"/>
  <c r="AS362" i="3"/>
  <c r="AC362" i="3"/>
  <c r="M362" i="3"/>
  <c r="BB361" i="3"/>
  <c r="AL361" i="3"/>
  <c r="V361" i="3"/>
  <c r="BK360" i="3"/>
  <c r="AU360" i="3"/>
  <c r="AE360" i="3"/>
  <c r="O360" i="3"/>
  <c r="BH359" i="3"/>
  <c r="AR359" i="3"/>
  <c r="AB359" i="3"/>
  <c r="L359" i="3"/>
  <c r="BE358" i="3"/>
  <c r="AO358" i="3"/>
  <c r="Y358" i="3"/>
  <c r="I358" i="3"/>
  <c r="AX357" i="3"/>
  <c r="AH357" i="3"/>
  <c r="R357" i="3"/>
  <c r="BG356" i="3"/>
  <c r="AQ356" i="3"/>
  <c r="AA356" i="3"/>
  <c r="K356" i="3"/>
  <c r="BD355" i="3"/>
  <c r="AN355" i="3"/>
  <c r="X355" i="3"/>
  <c r="H355" i="3"/>
  <c r="BA354" i="3"/>
  <c r="AK354" i="3"/>
  <c r="U354" i="3"/>
  <c r="BJ353" i="3"/>
  <c r="AT353" i="3"/>
  <c r="AD353" i="3"/>
  <c r="N353" i="3"/>
  <c r="BC352" i="3"/>
  <c r="AM352" i="3"/>
  <c r="W352" i="3"/>
  <c r="G352" i="3"/>
  <c r="AZ351" i="3"/>
  <c r="AJ351" i="3"/>
  <c r="T351" i="3"/>
  <c r="BM350" i="3"/>
  <c r="AW350" i="3"/>
  <c r="AG350" i="3"/>
  <c r="Q350" i="3"/>
  <c r="BF349" i="3"/>
  <c r="AP349" i="3"/>
  <c r="Z349" i="3"/>
  <c r="J349" i="3"/>
  <c r="AY348" i="3"/>
  <c r="AI348" i="3"/>
  <c r="S348" i="3"/>
  <c r="BL347" i="3"/>
  <c r="AV347" i="3"/>
  <c r="AF347" i="3"/>
  <c r="P347" i="3"/>
  <c r="BI346" i="3"/>
  <c r="AS346" i="3"/>
  <c r="AC346" i="3"/>
  <c r="M346" i="3"/>
  <c r="BB345" i="3"/>
  <c r="AL345" i="3"/>
  <c r="V345" i="3"/>
  <c r="BK344" i="3"/>
  <c r="AU344" i="3"/>
  <c r="AE344" i="3"/>
  <c r="O344" i="3"/>
  <c r="BH343" i="3"/>
  <c r="AR343" i="3"/>
  <c r="AB343" i="3"/>
  <c r="L343" i="3"/>
  <c r="BE342" i="3"/>
  <c r="AO342" i="3"/>
  <c r="Y342" i="3"/>
  <c r="I342" i="3"/>
  <c r="AX341" i="3"/>
  <c r="AH341" i="3"/>
  <c r="R341" i="3"/>
  <c r="BG340" i="3"/>
  <c r="AQ340" i="3"/>
  <c r="AA340" i="3"/>
  <c r="K340" i="3"/>
  <c r="BD339" i="3"/>
  <c r="AN339" i="3"/>
  <c r="X339" i="3"/>
  <c r="H339" i="3"/>
  <c r="BA338" i="3"/>
  <c r="AK338" i="3"/>
  <c r="U338" i="3"/>
  <c r="BJ337" i="3"/>
  <c r="AT337" i="3"/>
  <c r="AD337" i="3"/>
  <c r="N337" i="3"/>
  <c r="BC336" i="3"/>
  <c r="AM336" i="3"/>
  <c r="W336" i="3"/>
  <c r="G336" i="3"/>
  <c r="AZ335" i="3"/>
  <c r="AJ335" i="3"/>
  <c r="T335" i="3"/>
  <c r="BM334" i="3"/>
  <c r="AW334" i="3"/>
  <c r="AG334" i="3"/>
  <c r="Q334" i="3"/>
  <c r="BI332" i="3"/>
  <c r="AS332" i="3"/>
  <c r="AC332" i="3"/>
  <c r="M332" i="3"/>
  <c r="BB331" i="3"/>
  <c r="AL331" i="3"/>
  <c r="V331" i="3"/>
  <c r="BK330" i="3"/>
  <c r="AU330" i="3"/>
  <c r="AE330" i="3"/>
  <c r="O330" i="3"/>
  <c r="BH329" i="3"/>
  <c r="AR329" i="3"/>
  <c r="AB329" i="3"/>
  <c r="L329" i="3"/>
  <c r="BE328" i="3"/>
  <c r="AO328" i="3"/>
  <c r="Y328" i="3"/>
  <c r="I328" i="3"/>
  <c r="AX327" i="3"/>
  <c r="AH327" i="3"/>
  <c r="R327" i="3"/>
  <c r="BG326" i="3"/>
  <c r="AQ326" i="3"/>
  <c r="AA326" i="3"/>
  <c r="T417" i="3"/>
  <c r="AX416" i="3"/>
  <c r="AH416" i="3"/>
  <c r="R416" i="3"/>
  <c r="BF414" i="3"/>
  <c r="AP414" i="3"/>
  <c r="Z414" i="3"/>
  <c r="J414" i="3"/>
  <c r="AY413" i="3"/>
  <c r="AI413" i="3"/>
  <c r="S413" i="3"/>
  <c r="BL412" i="3"/>
  <c r="AV412" i="3"/>
  <c r="AF412" i="3"/>
  <c r="P412" i="3"/>
  <c r="BI411" i="3"/>
  <c r="AS411" i="3"/>
  <c r="AC411" i="3"/>
  <c r="M411" i="3"/>
  <c r="BB410" i="3"/>
  <c r="AL410" i="3"/>
  <c r="V410" i="3"/>
  <c r="BK409" i="3"/>
  <c r="AU409" i="3"/>
  <c r="AE409" i="3"/>
  <c r="O409" i="3"/>
  <c r="BH408" i="3"/>
  <c r="AR408" i="3"/>
  <c r="AB408" i="3"/>
  <c r="L408" i="3"/>
  <c r="BE407" i="3"/>
  <c r="AO407" i="3"/>
  <c r="Y407" i="3"/>
  <c r="I407" i="3"/>
  <c r="AX406" i="3"/>
  <c r="AH406" i="3"/>
  <c r="R406" i="3"/>
  <c r="BG405" i="3"/>
  <c r="AQ405" i="3"/>
  <c r="AA405" i="3"/>
  <c r="K405" i="3"/>
  <c r="BD404" i="3"/>
  <c r="AN404" i="3"/>
  <c r="X404" i="3"/>
  <c r="H404" i="3"/>
  <c r="BA403" i="3"/>
  <c r="AK403" i="3"/>
  <c r="U403" i="3"/>
  <c r="BJ402" i="3"/>
  <c r="AT402" i="3"/>
  <c r="AD402" i="3"/>
  <c r="N402" i="3"/>
  <c r="BC401" i="3"/>
  <c r="AM401" i="3"/>
  <c r="W401" i="3"/>
  <c r="G401" i="3"/>
  <c r="AZ400" i="3"/>
  <c r="AJ400" i="3"/>
  <c r="T400" i="3"/>
  <c r="BM399" i="3"/>
  <c r="AW399" i="3"/>
  <c r="AG399" i="3"/>
  <c r="Q399" i="3"/>
  <c r="BF398" i="3"/>
  <c r="AP398" i="3"/>
  <c r="Z398" i="3"/>
  <c r="J398" i="3"/>
  <c r="AY397" i="3"/>
  <c r="AI397" i="3"/>
  <c r="S397" i="3"/>
  <c r="BL396" i="3"/>
  <c r="AV396" i="3"/>
  <c r="AF396" i="3"/>
  <c r="P396" i="3"/>
  <c r="BI395" i="3"/>
  <c r="AS395" i="3"/>
  <c r="AC395" i="3"/>
  <c r="M395" i="3"/>
  <c r="BB394" i="3"/>
  <c r="AL394" i="3"/>
  <c r="V394" i="3"/>
  <c r="BK393" i="3"/>
  <c r="AU393" i="3"/>
  <c r="AE393" i="3"/>
  <c r="O393" i="3"/>
  <c r="BH392" i="3"/>
  <c r="AR392" i="3"/>
  <c r="AB392" i="3"/>
  <c r="L392" i="3"/>
  <c r="BE391" i="3"/>
  <c r="AO391" i="3"/>
  <c r="Y391" i="3"/>
  <c r="I391" i="3"/>
  <c r="AX390" i="3"/>
  <c r="AH390" i="3"/>
  <c r="R390" i="3"/>
  <c r="BG389" i="3"/>
  <c r="AQ389" i="3"/>
  <c r="AA389" i="3"/>
  <c r="K389" i="3"/>
  <c r="BD388" i="3"/>
  <c r="AN388" i="3"/>
  <c r="X388" i="3"/>
  <c r="H388" i="3"/>
  <c r="BA387" i="3"/>
  <c r="AK387" i="3"/>
  <c r="U387" i="3"/>
  <c r="BJ386" i="3"/>
  <c r="AT386" i="3"/>
  <c r="AD386" i="3"/>
  <c r="N386" i="3"/>
  <c r="BC385" i="3"/>
  <c r="AM385" i="3"/>
  <c r="W385" i="3"/>
  <c r="G385" i="3"/>
  <c r="AZ384" i="3"/>
  <c r="AJ384" i="3"/>
  <c r="T384" i="3"/>
  <c r="BM383" i="3"/>
  <c r="AW383" i="3"/>
  <c r="AG383" i="3"/>
  <c r="Q383" i="3"/>
  <c r="BF382" i="3"/>
  <c r="AP382" i="3"/>
  <c r="Z382" i="3"/>
  <c r="J382" i="3"/>
  <c r="AY381" i="3"/>
  <c r="AI381" i="3"/>
  <c r="S381" i="3"/>
  <c r="BL380" i="3"/>
  <c r="AV380" i="3"/>
  <c r="AF380" i="3"/>
  <c r="P380" i="3"/>
  <c r="BI379" i="3"/>
  <c r="AS379" i="3"/>
  <c r="AC379" i="3"/>
  <c r="M379" i="3"/>
  <c r="BB378" i="3"/>
  <c r="AL378" i="3"/>
  <c r="V378" i="3"/>
  <c r="BK377" i="3"/>
  <c r="AU377" i="3"/>
  <c r="AE377" i="3"/>
  <c r="O377" i="3"/>
  <c r="BH376" i="3"/>
  <c r="AR376" i="3"/>
  <c r="AB376" i="3"/>
  <c r="L376" i="3"/>
  <c r="BE375" i="3"/>
  <c r="AO375" i="3"/>
  <c r="Y375" i="3"/>
  <c r="I375" i="3"/>
  <c r="BA373" i="3"/>
  <c r="AK373" i="3"/>
  <c r="U373" i="3"/>
  <c r="BJ372" i="3"/>
  <c r="AT372" i="3"/>
  <c r="AD372" i="3"/>
  <c r="N372" i="3"/>
  <c r="BC371" i="3"/>
  <c r="AM371" i="3"/>
  <c r="W371" i="3"/>
  <c r="G371" i="3"/>
  <c r="AZ370" i="3"/>
  <c r="AJ370" i="3"/>
  <c r="T370" i="3"/>
  <c r="BM369" i="3"/>
  <c r="AW369" i="3"/>
  <c r="AG369" i="3"/>
  <c r="Q369" i="3"/>
  <c r="BF368" i="3"/>
  <c r="AP368" i="3"/>
  <c r="Z368" i="3"/>
  <c r="J368" i="3"/>
  <c r="AY367" i="3"/>
  <c r="AI367" i="3"/>
  <c r="S367" i="3"/>
  <c r="BL366" i="3"/>
  <c r="AV366" i="3"/>
  <c r="AF366" i="3"/>
  <c r="P366" i="3"/>
  <c r="BI365" i="3"/>
  <c r="AS365" i="3"/>
  <c r="AC365" i="3"/>
  <c r="M365" i="3"/>
  <c r="BB364" i="3"/>
  <c r="AL364" i="3"/>
  <c r="V364" i="3"/>
  <c r="BK363" i="3"/>
  <c r="AU363" i="3"/>
  <c r="AE363" i="3"/>
  <c r="O363" i="3"/>
  <c r="BH362" i="3"/>
  <c r="AR362" i="3"/>
  <c r="AB362" i="3"/>
  <c r="L362" i="3"/>
  <c r="BE361" i="3"/>
  <c r="AO361" i="3"/>
  <c r="Y361" i="3"/>
  <c r="I361" i="3"/>
  <c r="AX360" i="3"/>
  <c r="AH360" i="3"/>
  <c r="R360" i="3"/>
  <c r="BG359" i="3"/>
  <c r="AQ359" i="3"/>
  <c r="AA359" i="3"/>
  <c r="K359" i="3"/>
  <c r="BD358" i="3"/>
  <c r="AN358" i="3"/>
  <c r="X358" i="3"/>
  <c r="H358" i="3"/>
  <c r="BA357" i="3"/>
  <c r="AK357" i="3"/>
  <c r="U357" i="3"/>
  <c r="BJ356" i="3"/>
  <c r="AT356" i="3"/>
  <c r="AD356" i="3"/>
  <c r="N356" i="3"/>
  <c r="BC355" i="3"/>
  <c r="AM355" i="3"/>
  <c r="W355" i="3"/>
  <c r="G355" i="3"/>
  <c r="AZ354" i="3"/>
  <c r="AJ354" i="3"/>
  <c r="T354" i="3"/>
  <c r="BM353" i="3"/>
  <c r="AW353" i="3"/>
  <c r="AG353" i="3"/>
  <c r="Q353" i="3"/>
  <c r="BF352" i="3"/>
  <c r="AP352" i="3"/>
  <c r="Z352" i="3"/>
  <c r="J352" i="3"/>
  <c r="AY351" i="3"/>
  <c r="AI351" i="3"/>
  <c r="S351" i="3"/>
  <c r="BL350" i="3"/>
  <c r="AV350" i="3"/>
  <c r="AF350" i="3"/>
  <c r="P350" i="3"/>
  <c r="BI349" i="3"/>
  <c r="AS349" i="3"/>
  <c r="AC349" i="3"/>
  <c r="M349" i="3"/>
  <c r="BB348" i="3"/>
  <c r="AL348" i="3"/>
  <c r="V348" i="3"/>
  <c r="BK347" i="3"/>
  <c r="AU347" i="3"/>
  <c r="AE347" i="3"/>
  <c r="O347" i="3"/>
  <c r="BH346" i="3"/>
  <c r="AR346" i="3"/>
  <c r="AB346" i="3"/>
  <c r="L346" i="3"/>
  <c r="BE345" i="3"/>
  <c r="AO345" i="3"/>
  <c r="Y345" i="3"/>
  <c r="I345" i="3"/>
  <c r="AX344" i="3"/>
  <c r="AH344" i="3"/>
  <c r="R344" i="3"/>
  <c r="BG343" i="3"/>
  <c r="AQ343" i="3"/>
  <c r="AA343" i="3"/>
  <c r="K343" i="3"/>
  <c r="BD342" i="3"/>
  <c r="AN342" i="3"/>
  <c r="X342" i="3"/>
  <c r="H342" i="3"/>
  <c r="BA341" i="3"/>
  <c r="AK341" i="3"/>
  <c r="U341" i="3"/>
  <c r="BJ340" i="3"/>
  <c r="AT340" i="3"/>
  <c r="AD340" i="3"/>
  <c r="N340" i="3"/>
  <c r="BC339" i="3"/>
  <c r="AM339" i="3"/>
  <c r="W339" i="3"/>
  <c r="G339" i="3"/>
  <c r="AZ338" i="3"/>
  <c r="AJ338" i="3"/>
  <c r="T338" i="3"/>
  <c r="BM337" i="3"/>
  <c r="AW337" i="3"/>
  <c r="AG337" i="3"/>
  <c r="Q337" i="3"/>
  <c r="BF336" i="3"/>
  <c r="AP336" i="3"/>
  <c r="Z336" i="3"/>
  <c r="J336" i="3"/>
  <c r="AY335" i="3"/>
  <c r="AI335" i="3"/>
  <c r="S335" i="3"/>
  <c r="BL334" i="3"/>
  <c r="AV334" i="3"/>
  <c r="AF334" i="3"/>
  <c r="P334" i="3"/>
  <c r="BH332" i="3"/>
  <c r="AR332" i="3"/>
  <c r="AB332" i="3"/>
  <c r="L332" i="3"/>
  <c r="BE331" i="3"/>
  <c r="AO331" i="3"/>
  <c r="Y331" i="3"/>
  <c r="I331" i="3"/>
  <c r="AX330" i="3"/>
  <c r="AH330" i="3"/>
  <c r="R330" i="3"/>
  <c r="BG329" i="3"/>
  <c r="AQ329" i="3"/>
  <c r="AA329" i="3"/>
  <c r="K329" i="3"/>
  <c r="BD328" i="3"/>
  <c r="AN328" i="3"/>
  <c r="X328" i="3"/>
  <c r="H328" i="3"/>
  <c r="BA327" i="3"/>
  <c r="AK327" i="3"/>
  <c r="U327" i="3"/>
  <c r="AF417" i="3"/>
  <c r="BE416" i="3"/>
  <c r="AO416" i="3"/>
  <c r="Y416" i="3"/>
  <c r="I416" i="3"/>
  <c r="BA414" i="3"/>
  <c r="AK414" i="3"/>
  <c r="U414" i="3"/>
  <c r="BJ413" i="3"/>
  <c r="AT413" i="3"/>
  <c r="AD413" i="3"/>
  <c r="N413" i="3"/>
  <c r="BC412" i="3"/>
  <c r="AM412" i="3"/>
  <c r="W412" i="3"/>
  <c r="G412" i="3"/>
  <c r="AZ411" i="3"/>
  <c r="AJ411" i="3"/>
  <c r="T411" i="3"/>
  <c r="BM410" i="3"/>
  <c r="AW410" i="3"/>
  <c r="AG410" i="3"/>
  <c r="Q410" i="3"/>
  <c r="BF409" i="3"/>
  <c r="AP409" i="3"/>
  <c r="Z409" i="3"/>
  <c r="J409" i="3"/>
  <c r="AY408" i="3"/>
  <c r="AI408" i="3"/>
  <c r="S408" i="3"/>
  <c r="BL407" i="3"/>
  <c r="AV407" i="3"/>
  <c r="AF407" i="3"/>
  <c r="P407" i="3"/>
  <c r="BI406" i="3"/>
  <c r="AS406" i="3"/>
  <c r="AC406" i="3"/>
  <c r="M406" i="3"/>
  <c r="BB405" i="3"/>
  <c r="AL405" i="3"/>
  <c r="V405" i="3"/>
  <c r="BK404" i="3"/>
  <c r="AU404" i="3"/>
  <c r="AE404" i="3"/>
  <c r="O404" i="3"/>
  <c r="BH403" i="3"/>
  <c r="AR403" i="3"/>
  <c r="AB403" i="3"/>
  <c r="L403" i="3"/>
  <c r="BE402" i="3"/>
  <c r="AO402" i="3"/>
  <c r="Y402" i="3"/>
  <c r="I402" i="3"/>
  <c r="AX401" i="3"/>
  <c r="AH401" i="3"/>
  <c r="R401" i="3"/>
  <c r="BG400" i="3"/>
  <c r="AQ400" i="3"/>
  <c r="AA400" i="3"/>
  <c r="K400" i="3"/>
  <c r="BD399" i="3"/>
  <c r="AN399" i="3"/>
  <c r="X399" i="3"/>
  <c r="H399" i="3"/>
  <c r="BA398" i="3"/>
  <c r="AK398" i="3"/>
  <c r="U398" i="3"/>
  <c r="BJ397" i="3"/>
  <c r="AT397" i="3"/>
  <c r="AD397" i="3"/>
  <c r="N397" i="3"/>
  <c r="BC396" i="3"/>
  <c r="AM396" i="3"/>
  <c r="W396" i="3"/>
  <c r="G396" i="3"/>
  <c r="AZ395" i="3"/>
  <c r="AJ395" i="3"/>
  <c r="T395" i="3"/>
  <c r="BM394" i="3"/>
  <c r="AW394" i="3"/>
  <c r="AG394" i="3"/>
  <c r="Q394" i="3"/>
  <c r="BF393" i="3"/>
  <c r="AP393" i="3"/>
  <c r="Z393" i="3"/>
  <c r="J393" i="3"/>
  <c r="AY392" i="3"/>
  <c r="AI392" i="3"/>
  <c r="S392" i="3"/>
  <c r="BL391" i="3"/>
  <c r="AV391" i="3"/>
  <c r="AF391" i="3"/>
  <c r="P391" i="3"/>
  <c r="BI390" i="3"/>
  <c r="AS390" i="3"/>
  <c r="AC390" i="3"/>
  <c r="M390" i="3"/>
  <c r="BB389" i="3"/>
  <c r="AL389" i="3"/>
  <c r="V389" i="3"/>
  <c r="BK388" i="3"/>
  <c r="AU388" i="3"/>
  <c r="AE388" i="3"/>
  <c r="O388" i="3"/>
  <c r="BH387" i="3"/>
  <c r="AR387" i="3"/>
  <c r="AB387" i="3"/>
  <c r="L387" i="3"/>
  <c r="BE386" i="3"/>
  <c r="AO386" i="3"/>
  <c r="Y386" i="3"/>
  <c r="I386" i="3"/>
  <c r="AX385" i="3"/>
  <c r="AH385" i="3"/>
  <c r="R385" i="3"/>
  <c r="BG384" i="3"/>
  <c r="AQ384" i="3"/>
  <c r="AA384" i="3"/>
  <c r="K384" i="3"/>
  <c r="BD383" i="3"/>
  <c r="AN383" i="3"/>
  <c r="X383" i="3"/>
  <c r="H383" i="3"/>
  <c r="BA382" i="3"/>
  <c r="AK382" i="3"/>
  <c r="U382" i="3"/>
  <c r="BJ381" i="3"/>
  <c r="AT381" i="3"/>
  <c r="AD381" i="3"/>
  <c r="N381" i="3"/>
  <c r="BC380" i="3"/>
  <c r="AM380" i="3"/>
  <c r="W380" i="3"/>
  <c r="G380" i="3"/>
  <c r="AZ379" i="3"/>
  <c r="AJ379" i="3"/>
  <c r="T379" i="3"/>
  <c r="BM378" i="3"/>
  <c r="AW378" i="3"/>
  <c r="AG378" i="3"/>
  <c r="Q378" i="3"/>
  <c r="BF377" i="3"/>
  <c r="AP377" i="3"/>
  <c r="Z377" i="3"/>
  <c r="J377" i="3"/>
  <c r="AY376" i="3"/>
  <c r="AI376" i="3"/>
  <c r="S376" i="3"/>
  <c r="BL375" i="3"/>
  <c r="AV375" i="3"/>
  <c r="AF375" i="3"/>
  <c r="P375" i="3"/>
  <c r="BH373" i="3"/>
  <c r="AR373" i="3"/>
  <c r="AB373" i="3"/>
  <c r="L373" i="3"/>
  <c r="BE372" i="3"/>
  <c r="AO372" i="3"/>
  <c r="Y372" i="3"/>
  <c r="I372" i="3"/>
  <c r="AX371" i="3"/>
  <c r="AH371" i="3"/>
  <c r="R371" i="3"/>
  <c r="BG370" i="3"/>
  <c r="AQ370" i="3"/>
  <c r="AA370" i="3"/>
  <c r="K370" i="3"/>
  <c r="BD369" i="3"/>
  <c r="AN369" i="3"/>
  <c r="X369" i="3"/>
  <c r="H369" i="3"/>
  <c r="BA368" i="3"/>
  <c r="AK368" i="3"/>
  <c r="U368" i="3"/>
  <c r="BJ367" i="3"/>
  <c r="AT367" i="3"/>
  <c r="AD367" i="3"/>
  <c r="N367" i="3"/>
  <c r="BC366" i="3"/>
  <c r="AM366" i="3"/>
  <c r="W366" i="3"/>
  <c r="G366" i="3"/>
  <c r="AZ365" i="3"/>
  <c r="AJ365" i="3"/>
  <c r="T365" i="3"/>
  <c r="BM364" i="3"/>
  <c r="AW364" i="3"/>
  <c r="AG364" i="3"/>
  <c r="Q364" i="3"/>
  <c r="BF363" i="3"/>
  <c r="AP363" i="3"/>
  <c r="Z363" i="3"/>
  <c r="J363" i="3"/>
  <c r="AY362" i="3"/>
  <c r="AI362" i="3"/>
  <c r="S362" i="3"/>
  <c r="BL361" i="3"/>
  <c r="AV361" i="3"/>
  <c r="AF361" i="3"/>
  <c r="P361" i="3"/>
  <c r="BI360" i="3"/>
  <c r="AS360" i="3"/>
  <c r="AC360" i="3"/>
  <c r="M360" i="3"/>
  <c r="BB359" i="3"/>
  <c r="AL359" i="3"/>
  <c r="V359" i="3"/>
  <c r="BK358" i="3"/>
  <c r="AU358" i="3"/>
  <c r="AE358" i="3"/>
  <c r="O358" i="3"/>
  <c r="BH357" i="3"/>
  <c r="AR357" i="3"/>
  <c r="AB357" i="3"/>
  <c r="L357" i="3"/>
  <c r="BE356" i="3"/>
  <c r="AO356" i="3"/>
  <c r="Y356" i="3"/>
  <c r="I356" i="3"/>
  <c r="AX355" i="3"/>
  <c r="AH355" i="3"/>
  <c r="R355" i="3"/>
  <c r="BG354" i="3"/>
  <c r="AQ354" i="3"/>
  <c r="AA354" i="3"/>
  <c r="K354" i="3"/>
  <c r="BD353" i="3"/>
  <c r="AN353" i="3"/>
  <c r="X353" i="3"/>
  <c r="H353" i="3"/>
  <c r="BA352" i="3"/>
  <c r="AK352" i="3"/>
  <c r="U352" i="3"/>
  <c r="BJ351" i="3"/>
  <c r="AT351" i="3"/>
  <c r="AD351" i="3"/>
  <c r="N351" i="3"/>
  <c r="BC350" i="3"/>
  <c r="AM350" i="3"/>
  <c r="W350" i="3"/>
  <c r="G350" i="3"/>
  <c r="AZ349" i="3"/>
  <c r="AJ349" i="3"/>
  <c r="T349" i="3"/>
  <c r="BM348" i="3"/>
  <c r="AW348" i="3"/>
  <c r="AG348" i="3"/>
  <c r="Q348" i="3"/>
  <c r="BF347" i="3"/>
  <c r="AP347" i="3"/>
  <c r="Z347" i="3"/>
  <c r="J347" i="3"/>
  <c r="AY346" i="3"/>
  <c r="AI346" i="3"/>
  <c r="S346" i="3"/>
  <c r="BL345" i="3"/>
  <c r="AV345" i="3"/>
  <c r="AF345" i="3"/>
  <c r="P345" i="3"/>
  <c r="BI344" i="3"/>
  <c r="AS344" i="3"/>
  <c r="AC344" i="3"/>
  <c r="M344" i="3"/>
  <c r="BB343" i="3"/>
  <c r="AL343" i="3"/>
  <c r="V343" i="3"/>
  <c r="BK342" i="3"/>
  <c r="AU342" i="3"/>
  <c r="AE342" i="3"/>
  <c r="O342" i="3"/>
  <c r="BH341" i="3"/>
  <c r="AR341" i="3"/>
  <c r="AB341" i="3"/>
  <c r="L341" i="3"/>
  <c r="BE340" i="3"/>
  <c r="AO340" i="3"/>
  <c r="Y340" i="3"/>
  <c r="I340" i="3"/>
  <c r="AX339" i="3"/>
  <c r="AH339" i="3"/>
  <c r="R339" i="3"/>
  <c r="BG338" i="3"/>
  <c r="AQ338" i="3"/>
  <c r="AA338" i="3"/>
  <c r="K338" i="3"/>
  <c r="BD337" i="3"/>
  <c r="AN337" i="3"/>
  <c r="X337" i="3"/>
  <c r="H337" i="3"/>
  <c r="BA336" i="3"/>
  <c r="AK336" i="3"/>
  <c r="U336" i="3"/>
  <c r="BJ335" i="3"/>
  <c r="AT335" i="3"/>
  <c r="AD335" i="3"/>
  <c r="N335" i="3"/>
  <c r="BC334" i="3"/>
  <c r="AM334" i="3"/>
  <c r="W334" i="3"/>
  <c r="G334" i="3"/>
  <c r="AY332" i="3"/>
  <c r="AI332" i="3"/>
  <c r="S332" i="3"/>
  <c r="BL331" i="3"/>
  <c r="AV331" i="3"/>
  <c r="AF331" i="3"/>
  <c r="P331" i="3"/>
  <c r="BI330" i="3"/>
  <c r="AS330" i="3"/>
  <c r="AC330" i="3"/>
  <c r="M330" i="3"/>
  <c r="BB329" i="3"/>
  <c r="AL329" i="3"/>
  <c r="V329" i="3"/>
  <c r="BK328" i="3"/>
  <c r="AU328" i="3"/>
  <c r="AE328" i="3"/>
  <c r="O328" i="3"/>
  <c r="L417" i="3"/>
  <c r="AZ416" i="3"/>
  <c r="AJ416" i="3"/>
  <c r="T416" i="3"/>
  <c r="BL414" i="3"/>
  <c r="AV414" i="3"/>
  <c r="AF414" i="3"/>
  <c r="P414" i="3"/>
  <c r="BI413" i="3"/>
  <c r="AS413" i="3"/>
  <c r="AC413" i="3"/>
  <c r="M413" i="3"/>
  <c r="BB412" i="3"/>
  <c r="AL412" i="3"/>
  <c r="V412" i="3"/>
  <c r="BK411" i="3"/>
  <c r="AU411" i="3"/>
  <c r="AE411" i="3"/>
  <c r="O411" i="3"/>
  <c r="BH410" i="3"/>
  <c r="AR410" i="3"/>
  <c r="AB410" i="3"/>
  <c r="L410" i="3"/>
  <c r="BE409" i="3"/>
  <c r="AO409" i="3"/>
  <c r="Y409" i="3"/>
  <c r="I409" i="3"/>
  <c r="AX408" i="3"/>
  <c r="AH408" i="3"/>
  <c r="R408" i="3"/>
  <c r="BG407" i="3"/>
  <c r="AQ407" i="3"/>
  <c r="AA407" i="3"/>
  <c r="K407" i="3"/>
  <c r="BD406" i="3"/>
  <c r="AN406" i="3"/>
  <c r="X406" i="3"/>
  <c r="H406" i="3"/>
  <c r="BA405" i="3"/>
  <c r="AK405" i="3"/>
  <c r="U405" i="3"/>
  <c r="BJ404" i="3"/>
  <c r="AT404" i="3"/>
  <c r="AD404" i="3"/>
  <c r="N404" i="3"/>
  <c r="BC403" i="3"/>
  <c r="AM403" i="3"/>
  <c r="W403" i="3"/>
  <c r="G403" i="3"/>
  <c r="AZ402" i="3"/>
  <c r="AJ402" i="3"/>
  <c r="T402" i="3"/>
  <c r="BM401" i="3"/>
  <c r="AW401" i="3"/>
  <c r="AG401" i="3"/>
  <c r="Q401" i="3"/>
  <c r="BF400" i="3"/>
  <c r="AP400" i="3"/>
  <c r="Z400" i="3"/>
  <c r="J400" i="3"/>
  <c r="AY399" i="3"/>
  <c r="AI399" i="3"/>
  <c r="S399" i="3"/>
  <c r="BL398" i="3"/>
  <c r="AV398" i="3"/>
  <c r="AF398" i="3"/>
  <c r="P398" i="3"/>
  <c r="BI397" i="3"/>
  <c r="AS397" i="3"/>
  <c r="AC397" i="3"/>
  <c r="M397" i="3"/>
  <c r="BB396" i="3"/>
  <c r="AL396" i="3"/>
  <c r="V396" i="3"/>
  <c r="BK395" i="3"/>
  <c r="AU395" i="3"/>
  <c r="AE395" i="3"/>
  <c r="O395" i="3"/>
  <c r="BH394" i="3"/>
  <c r="AR394" i="3"/>
  <c r="AB394" i="3"/>
  <c r="L394" i="3"/>
  <c r="BE393" i="3"/>
  <c r="AO393" i="3"/>
  <c r="Y393" i="3"/>
  <c r="I393" i="3"/>
  <c r="AX392" i="3"/>
  <c r="AH392" i="3"/>
  <c r="R392" i="3"/>
  <c r="BG391" i="3"/>
  <c r="AQ391" i="3"/>
  <c r="AA391" i="3"/>
  <c r="K391" i="3"/>
  <c r="BD390" i="3"/>
  <c r="AN390" i="3"/>
  <c r="X390" i="3"/>
  <c r="H390" i="3"/>
  <c r="BA389" i="3"/>
  <c r="AK389" i="3"/>
  <c r="U389" i="3"/>
  <c r="BJ388" i="3"/>
  <c r="AT388" i="3"/>
  <c r="AD388" i="3"/>
  <c r="N388" i="3"/>
  <c r="BC387" i="3"/>
  <c r="AM387" i="3"/>
  <c r="W387" i="3"/>
  <c r="G387" i="3"/>
  <c r="AZ386" i="3"/>
  <c r="AJ386" i="3"/>
  <c r="T386" i="3"/>
  <c r="BM385" i="3"/>
  <c r="AW385" i="3"/>
  <c r="AG385" i="3"/>
  <c r="Q385" i="3"/>
  <c r="BF384" i="3"/>
  <c r="AP384" i="3"/>
  <c r="Z384" i="3"/>
  <c r="J384" i="3"/>
  <c r="AY383" i="3"/>
  <c r="AI383" i="3"/>
  <c r="S383" i="3"/>
  <c r="BL382" i="3"/>
  <c r="AV382" i="3"/>
  <c r="AF382" i="3"/>
  <c r="P382" i="3"/>
  <c r="BI381" i="3"/>
  <c r="AS381" i="3"/>
  <c r="AC381" i="3"/>
  <c r="M381" i="3"/>
  <c r="BB380" i="3"/>
  <c r="AL380" i="3"/>
  <c r="V380" i="3"/>
  <c r="BK379" i="3"/>
  <c r="AU379" i="3"/>
  <c r="AE379" i="3"/>
  <c r="O379" i="3"/>
  <c r="BH378" i="3"/>
  <c r="AR378" i="3"/>
  <c r="AB378" i="3"/>
  <c r="L378" i="3"/>
  <c r="BE377" i="3"/>
  <c r="AO377" i="3"/>
  <c r="Y377" i="3"/>
  <c r="I377" i="3"/>
  <c r="AX376" i="3"/>
  <c r="AH376" i="3"/>
  <c r="R376" i="3"/>
  <c r="BG375" i="3"/>
  <c r="AQ375" i="3"/>
  <c r="AA375" i="3"/>
  <c r="K375" i="3"/>
  <c r="BC373" i="3"/>
  <c r="AM373" i="3"/>
  <c r="W373" i="3"/>
  <c r="G373" i="3"/>
  <c r="AZ372" i="3"/>
  <c r="AJ372" i="3"/>
  <c r="T372" i="3"/>
  <c r="BM371" i="3"/>
  <c r="AW371" i="3"/>
  <c r="AG371" i="3"/>
  <c r="Q371" i="3"/>
  <c r="BF370" i="3"/>
  <c r="AP370" i="3"/>
  <c r="Z370" i="3"/>
  <c r="J370" i="3"/>
  <c r="AY369" i="3"/>
  <c r="AI369" i="3"/>
  <c r="S369" i="3"/>
  <c r="BL368" i="3"/>
  <c r="AV368" i="3"/>
  <c r="AF368" i="3"/>
  <c r="P368" i="3"/>
  <c r="BI367" i="3"/>
  <c r="AS367" i="3"/>
  <c r="AC367" i="3"/>
  <c r="M367" i="3"/>
  <c r="BB366" i="3"/>
  <c r="AL366" i="3"/>
  <c r="V366" i="3"/>
  <c r="BK365" i="3"/>
  <c r="AU365" i="3"/>
  <c r="AE365" i="3"/>
  <c r="O365" i="3"/>
  <c r="BH364" i="3"/>
  <c r="AR364" i="3"/>
  <c r="AB364" i="3"/>
  <c r="L364" i="3"/>
  <c r="BE363" i="3"/>
  <c r="AO363" i="3"/>
  <c r="Y363" i="3"/>
  <c r="I363" i="3"/>
  <c r="AX362" i="3"/>
  <c r="AH362" i="3"/>
  <c r="R362" i="3"/>
  <c r="BG361" i="3"/>
  <c r="AQ361" i="3"/>
  <c r="AA361" i="3"/>
  <c r="K361" i="3"/>
  <c r="BD360" i="3"/>
  <c r="AN360" i="3"/>
  <c r="X360" i="3"/>
  <c r="H360" i="3"/>
  <c r="BA359" i="3"/>
  <c r="AK359" i="3"/>
  <c r="U359" i="3"/>
  <c r="BJ358" i="3"/>
  <c r="AT358" i="3"/>
  <c r="AD358" i="3"/>
  <c r="N358" i="3"/>
  <c r="BC357" i="3"/>
  <c r="AM357" i="3"/>
  <c r="W357" i="3"/>
  <c r="G357" i="3"/>
  <c r="AZ356" i="3"/>
  <c r="AJ356" i="3"/>
  <c r="T356" i="3"/>
  <c r="BM355" i="3"/>
  <c r="AW355" i="3"/>
  <c r="AG355" i="3"/>
  <c r="Q355" i="3"/>
  <c r="BF354" i="3"/>
  <c r="AP354" i="3"/>
  <c r="Z354" i="3"/>
  <c r="J354" i="3"/>
  <c r="AY353" i="3"/>
  <c r="AI353" i="3"/>
  <c r="S353" i="3"/>
  <c r="BL352" i="3"/>
  <c r="AV352" i="3"/>
  <c r="AF352" i="3"/>
  <c r="P352" i="3"/>
  <c r="BI351" i="3"/>
  <c r="AS351" i="3"/>
  <c r="AC351" i="3"/>
  <c r="M351" i="3"/>
  <c r="BB350" i="3"/>
  <c r="AL350" i="3"/>
  <c r="V350" i="3"/>
  <c r="BK349" i="3"/>
  <c r="AU349" i="3"/>
  <c r="AE349" i="3"/>
  <c r="O349" i="3"/>
  <c r="BH348" i="3"/>
  <c r="AR348" i="3"/>
  <c r="AB348" i="3"/>
  <c r="L348" i="3"/>
  <c r="BE347" i="3"/>
  <c r="AO347" i="3"/>
  <c r="Y347" i="3"/>
  <c r="I347" i="3"/>
  <c r="AX346" i="3"/>
  <c r="AH346" i="3"/>
  <c r="R346" i="3"/>
  <c r="BG345" i="3"/>
  <c r="AQ345" i="3"/>
  <c r="AA345" i="3"/>
  <c r="K345" i="3"/>
  <c r="BD344" i="3"/>
  <c r="AN344" i="3"/>
  <c r="X344" i="3"/>
  <c r="H344" i="3"/>
  <c r="BA343" i="3"/>
  <c r="AK343" i="3"/>
  <c r="U343" i="3"/>
  <c r="BJ342" i="3"/>
  <c r="AT342" i="3"/>
  <c r="AD342" i="3"/>
  <c r="N342" i="3"/>
  <c r="BC341" i="3"/>
  <c r="AM341" i="3"/>
  <c r="W341" i="3"/>
  <c r="G341" i="3"/>
  <c r="AZ340" i="3"/>
  <c r="AJ340" i="3"/>
  <c r="T340" i="3"/>
  <c r="BM339" i="3"/>
  <c r="AW339" i="3"/>
  <c r="AG339" i="3"/>
  <c r="Q339" i="3"/>
  <c r="BF338" i="3"/>
  <c r="AP338" i="3"/>
  <c r="Z338" i="3"/>
  <c r="J338" i="3"/>
  <c r="AY337" i="3"/>
  <c r="AI337" i="3"/>
  <c r="S337" i="3"/>
  <c r="BL336" i="3"/>
  <c r="AV336" i="3"/>
  <c r="AF336" i="3"/>
  <c r="P336" i="3"/>
  <c r="BI335" i="3"/>
  <c r="AS335" i="3"/>
  <c r="AC335" i="3"/>
  <c r="M335" i="3"/>
  <c r="BB334" i="3"/>
  <c r="AL334" i="3"/>
  <c r="V334" i="3"/>
  <c r="BJ332" i="3"/>
  <c r="AT332" i="3"/>
  <c r="AD332" i="3"/>
  <c r="N332" i="3"/>
  <c r="BC331" i="3"/>
  <c r="AM331" i="3"/>
  <c r="W331" i="3"/>
  <c r="G331" i="3"/>
  <c r="AZ330" i="3"/>
  <c r="AJ330" i="3"/>
  <c r="T330" i="3"/>
  <c r="BM329" i="3"/>
  <c r="AW329" i="3"/>
  <c r="AG329" i="3"/>
  <c r="Q329" i="3"/>
  <c r="BF328" i="3"/>
  <c r="AP328" i="3"/>
  <c r="Z328" i="3"/>
  <c r="J328" i="3"/>
  <c r="AJ327" i="3"/>
  <c r="BI326" i="3"/>
  <c r="AN326" i="3"/>
  <c r="R326" i="3"/>
  <c r="BF325" i="3"/>
  <c r="AP325" i="3"/>
  <c r="Z325" i="3"/>
  <c r="J325" i="3"/>
  <c r="AY324" i="3"/>
  <c r="AI324" i="3"/>
  <c r="S324" i="3"/>
  <c r="BL323" i="3"/>
  <c r="AV323" i="3"/>
  <c r="AF323" i="3"/>
  <c r="P323" i="3"/>
  <c r="BI322" i="3"/>
  <c r="AS322" i="3"/>
  <c r="AC322" i="3"/>
  <c r="M322" i="3"/>
  <c r="BB321" i="3"/>
  <c r="AL321" i="3"/>
  <c r="V321" i="3"/>
  <c r="BK320" i="3"/>
  <c r="AU320" i="3"/>
  <c r="AE320" i="3"/>
  <c r="O320" i="3"/>
  <c r="BH319" i="3"/>
  <c r="AR319" i="3"/>
  <c r="AB319" i="3"/>
  <c r="L319" i="3"/>
  <c r="BE318" i="3"/>
  <c r="AO318" i="3"/>
  <c r="Y318" i="3"/>
  <c r="I318" i="3"/>
  <c r="AX317" i="3"/>
  <c r="AH317" i="3"/>
  <c r="R317" i="3"/>
  <c r="BG316" i="3"/>
  <c r="AQ316" i="3"/>
  <c r="AA316" i="3"/>
  <c r="K316" i="3"/>
  <c r="BD315" i="3"/>
  <c r="AN315" i="3"/>
  <c r="X315" i="3"/>
  <c r="H315" i="3"/>
  <c r="BA314" i="3"/>
  <c r="AK314" i="3"/>
  <c r="U314" i="3"/>
  <c r="BJ313" i="3"/>
  <c r="AT313" i="3"/>
  <c r="AD313" i="3"/>
  <c r="N313" i="3"/>
  <c r="BC312" i="3"/>
  <c r="AM312" i="3"/>
  <c r="W312" i="3"/>
  <c r="G312" i="3"/>
  <c r="AZ311" i="3"/>
  <c r="AJ311" i="3"/>
  <c r="T311" i="3"/>
  <c r="BM310" i="3"/>
  <c r="AW310" i="3"/>
  <c r="AG310" i="3"/>
  <c r="Q310" i="3"/>
  <c r="BF309" i="3"/>
  <c r="AP309" i="3"/>
  <c r="Z309" i="3"/>
  <c r="J309" i="3"/>
  <c r="AY308" i="3"/>
  <c r="AI308" i="3"/>
  <c r="S308" i="3"/>
  <c r="BL307" i="3"/>
  <c r="AV307" i="3"/>
  <c r="AF307" i="3"/>
  <c r="P307" i="3"/>
  <c r="BI306" i="3"/>
  <c r="AS306" i="3"/>
  <c r="AC306" i="3"/>
  <c r="M306" i="3"/>
  <c r="BB305" i="3"/>
  <c r="AL305" i="3"/>
  <c r="V305" i="3"/>
  <c r="BK304" i="3"/>
  <c r="AU304" i="3"/>
  <c r="AE304" i="3"/>
  <c r="O304" i="3"/>
  <c r="BH303" i="3"/>
  <c r="AR303" i="3"/>
  <c r="AB303" i="3"/>
  <c r="L303" i="3"/>
  <c r="BE302" i="3"/>
  <c r="AO302" i="3"/>
  <c r="Y302" i="3"/>
  <c r="I302" i="3"/>
  <c r="AX301" i="3"/>
  <c r="AH301" i="3"/>
  <c r="R301" i="3"/>
  <c r="BG300" i="3"/>
  <c r="AQ300" i="3"/>
  <c r="AA300" i="3"/>
  <c r="K300" i="3"/>
  <c r="BD299" i="3"/>
  <c r="AN299" i="3"/>
  <c r="X299" i="3"/>
  <c r="H299" i="3"/>
  <c r="BA298" i="3"/>
  <c r="AK298" i="3"/>
  <c r="U298" i="3"/>
  <c r="BJ297" i="3"/>
  <c r="AT297" i="3"/>
  <c r="AD297" i="3"/>
  <c r="N297" i="3"/>
  <c r="BC296" i="3"/>
  <c r="AM296" i="3"/>
  <c r="W296" i="3"/>
  <c r="G296" i="3"/>
  <c r="AZ295" i="3"/>
  <c r="AJ295" i="3"/>
  <c r="T295" i="3"/>
  <c r="BM294" i="3"/>
  <c r="AW294" i="3"/>
  <c r="AG294" i="3"/>
  <c r="Q294" i="3"/>
  <c r="BF293" i="3"/>
  <c r="AP293" i="3"/>
  <c r="Z293" i="3"/>
  <c r="J293" i="3"/>
  <c r="BA290" i="3"/>
  <c r="AK290" i="3"/>
  <c r="U290" i="3"/>
  <c r="BJ289" i="3"/>
  <c r="AT289" i="3"/>
  <c r="AD289" i="3"/>
  <c r="N289" i="3"/>
  <c r="BC288" i="3"/>
  <c r="AM288" i="3"/>
  <c r="W288" i="3"/>
  <c r="G288" i="3"/>
  <c r="AZ287" i="3"/>
  <c r="AJ287" i="3"/>
  <c r="T287" i="3"/>
  <c r="BM286" i="3"/>
  <c r="AW286" i="3"/>
  <c r="AG286" i="3"/>
  <c r="Q286" i="3"/>
  <c r="BF285" i="3"/>
  <c r="AP285" i="3"/>
  <c r="Z285" i="3"/>
  <c r="J285" i="3"/>
  <c r="AY284" i="3"/>
  <c r="AI284" i="3"/>
  <c r="S284" i="3"/>
  <c r="BL283" i="3"/>
  <c r="AV283" i="3"/>
  <c r="AF283" i="3"/>
  <c r="P283" i="3"/>
  <c r="BI282" i="3"/>
  <c r="AS282" i="3"/>
  <c r="AC282" i="3"/>
  <c r="M282" i="3"/>
  <c r="BB281" i="3"/>
  <c r="AL281" i="3"/>
  <c r="V281" i="3"/>
  <c r="BK280" i="3"/>
  <c r="AU280" i="3"/>
  <c r="AE280" i="3"/>
  <c r="O280" i="3"/>
  <c r="BH279" i="3"/>
  <c r="AR279" i="3"/>
  <c r="AB279" i="3"/>
  <c r="L279" i="3"/>
  <c r="BE278" i="3"/>
  <c r="AO278" i="3"/>
  <c r="Y278" i="3"/>
  <c r="I278" i="3"/>
  <c r="AX277" i="3"/>
  <c r="AH277" i="3"/>
  <c r="R277" i="3"/>
  <c r="BG276" i="3"/>
  <c r="AQ276" i="3"/>
  <c r="AA276" i="3"/>
  <c r="K276" i="3"/>
  <c r="BD275" i="3"/>
  <c r="AN275" i="3"/>
  <c r="X275" i="3"/>
  <c r="H275" i="3"/>
  <c r="BA274" i="3"/>
  <c r="AK274" i="3"/>
  <c r="U274" i="3"/>
  <c r="BJ273" i="3"/>
  <c r="AT273" i="3"/>
  <c r="AD273" i="3"/>
  <c r="N273" i="3"/>
  <c r="BC272" i="3"/>
  <c r="AM272" i="3"/>
  <c r="W272" i="3"/>
  <c r="G272" i="3"/>
  <c r="AZ271" i="3"/>
  <c r="AJ271" i="3"/>
  <c r="T271" i="3"/>
  <c r="BM270" i="3"/>
  <c r="AW270" i="3"/>
  <c r="AG270" i="3"/>
  <c r="Q270" i="3"/>
  <c r="BF269" i="3"/>
  <c r="AP269" i="3"/>
  <c r="Z269" i="3"/>
  <c r="J269" i="3"/>
  <c r="AY268" i="3"/>
  <c r="AI268" i="3"/>
  <c r="S268" i="3"/>
  <c r="BL267" i="3"/>
  <c r="AV267" i="3"/>
  <c r="AF267" i="3"/>
  <c r="P267" i="3"/>
  <c r="BI266" i="3"/>
  <c r="AS266" i="3"/>
  <c r="AC266" i="3"/>
  <c r="M266" i="3"/>
  <c r="BB265" i="3"/>
  <c r="AL265" i="3"/>
  <c r="V265" i="3"/>
  <c r="BK264" i="3"/>
  <c r="AU264" i="3"/>
  <c r="AE264" i="3"/>
  <c r="O264" i="3"/>
  <c r="BH263" i="3"/>
  <c r="AR263" i="3"/>
  <c r="AB263" i="3"/>
  <c r="L263" i="3"/>
  <c r="BE262" i="3"/>
  <c r="AO262" i="3"/>
  <c r="Y262" i="3"/>
  <c r="I262" i="3"/>
  <c r="AX261" i="3"/>
  <c r="AH261" i="3"/>
  <c r="R261" i="3"/>
  <c r="BG260" i="3"/>
  <c r="AQ260" i="3"/>
  <c r="AA260" i="3"/>
  <c r="K260" i="3"/>
  <c r="BD259" i="3"/>
  <c r="AN259" i="3"/>
  <c r="X259" i="3"/>
  <c r="H259" i="3"/>
  <c r="BA258" i="3"/>
  <c r="AK258" i="3"/>
  <c r="U258" i="3"/>
  <c r="BJ257" i="3"/>
  <c r="AT257" i="3"/>
  <c r="AD257" i="3"/>
  <c r="N257" i="3"/>
  <c r="BC256" i="3"/>
  <c r="AM256" i="3"/>
  <c r="W256" i="3"/>
  <c r="G256" i="3"/>
  <c r="AZ255" i="3"/>
  <c r="AJ255" i="3"/>
  <c r="T255" i="3"/>
  <c r="BM254" i="3"/>
  <c r="AW254" i="3"/>
  <c r="AG254" i="3"/>
  <c r="Q254" i="3"/>
  <c r="BF253" i="3"/>
  <c r="AP253" i="3"/>
  <c r="Z253" i="3"/>
  <c r="J253" i="3"/>
  <c r="AY252" i="3"/>
  <c r="AI252" i="3"/>
  <c r="S252" i="3"/>
  <c r="BL251" i="3"/>
  <c r="AV251" i="3"/>
  <c r="AF251" i="3"/>
  <c r="P251" i="3"/>
  <c r="BH249" i="3"/>
  <c r="AR249" i="3"/>
  <c r="AB249" i="3"/>
  <c r="L249" i="3"/>
  <c r="BE248" i="3"/>
  <c r="AO248" i="3"/>
  <c r="Y248" i="3"/>
  <c r="I248" i="3"/>
  <c r="AX247" i="3"/>
  <c r="AH247" i="3"/>
  <c r="R247" i="3"/>
  <c r="BG246" i="3"/>
  <c r="AQ246" i="3"/>
  <c r="AA246" i="3"/>
  <c r="K246" i="3"/>
  <c r="BD245" i="3"/>
  <c r="AN245" i="3"/>
  <c r="X245" i="3"/>
  <c r="H245" i="3"/>
  <c r="BA244" i="3"/>
  <c r="AK244" i="3"/>
  <c r="U244" i="3"/>
  <c r="BJ243" i="3"/>
  <c r="AT243" i="3"/>
  <c r="AD243" i="3"/>
  <c r="N243" i="3"/>
  <c r="BC242" i="3"/>
  <c r="AM242" i="3"/>
  <c r="W242" i="3"/>
  <c r="G242" i="3"/>
  <c r="AZ241" i="3"/>
  <c r="AJ241" i="3"/>
  <c r="T241" i="3"/>
  <c r="BM240" i="3"/>
  <c r="AW240" i="3"/>
  <c r="AG240" i="3"/>
  <c r="Q240" i="3"/>
  <c r="BF239" i="3"/>
  <c r="AP239" i="3"/>
  <c r="Z239" i="3"/>
  <c r="J239" i="3"/>
  <c r="AY238" i="3"/>
  <c r="AI238" i="3"/>
  <c r="S238" i="3"/>
  <c r="BL237" i="3"/>
  <c r="AV237" i="3"/>
  <c r="AF237" i="3"/>
  <c r="P237" i="3"/>
  <c r="BI236" i="3"/>
  <c r="AS236" i="3"/>
  <c r="AC236" i="3"/>
  <c r="M236" i="3"/>
  <c r="BB235" i="3"/>
  <c r="AL235" i="3"/>
  <c r="V235" i="3"/>
  <c r="BK234" i="3"/>
  <c r="BG327" i="3"/>
  <c r="AA327" i="3"/>
  <c r="BH326" i="3"/>
  <c r="AL326" i="3"/>
  <c r="Q326" i="3"/>
  <c r="BI325" i="3"/>
  <c r="AS325" i="3"/>
  <c r="AC325" i="3"/>
  <c r="M325" i="3"/>
  <c r="BB324" i="3"/>
  <c r="AL324" i="3"/>
  <c r="V324" i="3"/>
  <c r="BK323" i="3"/>
  <c r="AU323" i="3"/>
  <c r="AE323" i="3"/>
  <c r="O323" i="3"/>
  <c r="BH322" i="3"/>
  <c r="AR322" i="3"/>
  <c r="AB322" i="3"/>
  <c r="L322" i="3"/>
  <c r="BE321" i="3"/>
  <c r="AO321" i="3"/>
  <c r="Y321" i="3"/>
  <c r="I321" i="3"/>
  <c r="AX320" i="3"/>
  <c r="AH320" i="3"/>
  <c r="R320" i="3"/>
  <c r="BG319" i="3"/>
  <c r="AQ319" i="3"/>
  <c r="AA319" i="3"/>
  <c r="K319" i="3"/>
  <c r="BD318" i="3"/>
  <c r="AN318" i="3"/>
  <c r="X318" i="3"/>
  <c r="H318" i="3"/>
  <c r="BA317" i="3"/>
  <c r="AK317" i="3"/>
  <c r="U317" i="3"/>
  <c r="BJ316" i="3"/>
  <c r="AT316" i="3"/>
  <c r="AD316" i="3"/>
  <c r="N316" i="3"/>
  <c r="BC315" i="3"/>
  <c r="AM315" i="3"/>
  <c r="W315" i="3"/>
  <c r="G315" i="3"/>
  <c r="AZ314" i="3"/>
  <c r="AJ314" i="3"/>
  <c r="T314" i="3"/>
  <c r="BM313" i="3"/>
  <c r="AW313" i="3"/>
  <c r="AG313" i="3"/>
  <c r="Q313" i="3"/>
  <c r="BF312" i="3"/>
  <c r="AP312" i="3"/>
  <c r="Z312" i="3"/>
  <c r="J312" i="3"/>
  <c r="AY311" i="3"/>
  <c r="AI311" i="3"/>
  <c r="S311" i="3"/>
  <c r="BL310" i="3"/>
  <c r="AV310" i="3"/>
  <c r="AF310" i="3"/>
  <c r="P310" i="3"/>
  <c r="BI309" i="3"/>
  <c r="AS309" i="3"/>
  <c r="AC309" i="3"/>
  <c r="M309" i="3"/>
  <c r="BB308" i="3"/>
  <c r="AL308" i="3"/>
  <c r="V308" i="3"/>
  <c r="BK307" i="3"/>
  <c r="AU307" i="3"/>
  <c r="AE307" i="3"/>
  <c r="O307" i="3"/>
  <c r="BH306" i="3"/>
  <c r="AR306" i="3"/>
  <c r="AB306" i="3"/>
  <c r="L306" i="3"/>
  <c r="BE305" i="3"/>
  <c r="AO305" i="3"/>
  <c r="Y305" i="3"/>
  <c r="I305" i="3"/>
  <c r="AX304" i="3"/>
  <c r="AH304" i="3"/>
  <c r="R304" i="3"/>
  <c r="BG303" i="3"/>
  <c r="AQ303" i="3"/>
  <c r="AA303" i="3"/>
  <c r="K303" i="3"/>
  <c r="BD302" i="3"/>
  <c r="AN302" i="3"/>
  <c r="X302" i="3"/>
  <c r="H302" i="3"/>
  <c r="BA301" i="3"/>
  <c r="AK301" i="3"/>
  <c r="U301" i="3"/>
  <c r="BJ300" i="3"/>
  <c r="AT300" i="3"/>
  <c r="AD300" i="3"/>
  <c r="N300" i="3"/>
  <c r="BC299" i="3"/>
  <c r="AM299" i="3"/>
  <c r="W299" i="3"/>
  <c r="G299" i="3"/>
  <c r="AZ298" i="3"/>
  <c r="AJ298" i="3"/>
  <c r="T298" i="3"/>
  <c r="BM297" i="3"/>
  <c r="AW297" i="3"/>
  <c r="AG297" i="3"/>
  <c r="Q297" i="3"/>
  <c r="BF296" i="3"/>
  <c r="AP296" i="3"/>
  <c r="Z296" i="3"/>
  <c r="J296" i="3"/>
  <c r="AY295" i="3"/>
  <c r="AI295" i="3"/>
  <c r="S295" i="3"/>
  <c r="BL294" i="3"/>
  <c r="AV294" i="3"/>
  <c r="AF294" i="3"/>
  <c r="P294" i="3"/>
  <c r="BI293" i="3"/>
  <c r="AS293" i="3"/>
  <c r="AC293" i="3"/>
  <c r="M293" i="3"/>
  <c r="BD290" i="3"/>
  <c r="AN290" i="3"/>
  <c r="X290" i="3"/>
  <c r="H290" i="3"/>
  <c r="BA289" i="3"/>
  <c r="AK289" i="3"/>
  <c r="U289" i="3"/>
  <c r="BJ288" i="3"/>
  <c r="AT288" i="3"/>
  <c r="AD288" i="3"/>
  <c r="N288" i="3"/>
  <c r="BC287" i="3"/>
  <c r="AM287" i="3"/>
  <c r="W287" i="3"/>
  <c r="G287" i="3"/>
  <c r="AZ286" i="3"/>
  <c r="AJ286" i="3"/>
  <c r="T286" i="3"/>
  <c r="BM285" i="3"/>
  <c r="AW285" i="3"/>
  <c r="AG285" i="3"/>
  <c r="Q285" i="3"/>
  <c r="BF284" i="3"/>
  <c r="AP284" i="3"/>
  <c r="Z284" i="3"/>
  <c r="J284" i="3"/>
  <c r="AY283" i="3"/>
  <c r="AI283" i="3"/>
  <c r="S283" i="3"/>
  <c r="BL282" i="3"/>
  <c r="AV282" i="3"/>
  <c r="AF282" i="3"/>
  <c r="P282" i="3"/>
  <c r="BI281" i="3"/>
  <c r="AS281" i="3"/>
  <c r="AC281" i="3"/>
  <c r="M281" i="3"/>
  <c r="BB280" i="3"/>
  <c r="AL280" i="3"/>
  <c r="V280" i="3"/>
  <c r="BK279" i="3"/>
  <c r="AU279" i="3"/>
  <c r="AE279" i="3"/>
  <c r="O279" i="3"/>
  <c r="BH278" i="3"/>
  <c r="AR278" i="3"/>
  <c r="AB278" i="3"/>
  <c r="L278" i="3"/>
  <c r="BE277" i="3"/>
  <c r="AO277" i="3"/>
  <c r="Y277" i="3"/>
  <c r="I277" i="3"/>
  <c r="AX276" i="3"/>
  <c r="AH276" i="3"/>
  <c r="R276" i="3"/>
  <c r="BG275" i="3"/>
  <c r="AQ275" i="3"/>
  <c r="AA275" i="3"/>
  <c r="K275" i="3"/>
  <c r="BD274" i="3"/>
  <c r="AN274" i="3"/>
  <c r="X274" i="3"/>
  <c r="H274" i="3"/>
  <c r="BA273" i="3"/>
  <c r="AK273" i="3"/>
  <c r="U273" i="3"/>
  <c r="BJ272" i="3"/>
  <c r="AT272" i="3"/>
  <c r="AD272" i="3"/>
  <c r="N272" i="3"/>
  <c r="BC271" i="3"/>
  <c r="AM271" i="3"/>
  <c r="W271" i="3"/>
  <c r="G271" i="3"/>
  <c r="AZ270" i="3"/>
  <c r="AJ270" i="3"/>
  <c r="T270" i="3"/>
  <c r="BM269" i="3"/>
  <c r="AW269" i="3"/>
  <c r="AG269" i="3"/>
  <c r="Q269" i="3"/>
  <c r="BF268" i="3"/>
  <c r="AP268" i="3"/>
  <c r="Z268" i="3"/>
  <c r="J268" i="3"/>
  <c r="AY267" i="3"/>
  <c r="AI267" i="3"/>
  <c r="S267" i="3"/>
  <c r="BL266" i="3"/>
  <c r="AV266" i="3"/>
  <c r="AF266" i="3"/>
  <c r="P266" i="3"/>
  <c r="BI265" i="3"/>
  <c r="AS265" i="3"/>
  <c r="AC265" i="3"/>
  <c r="M265" i="3"/>
  <c r="BB264" i="3"/>
  <c r="AL264" i="3"/>
  <c r="V264" i="3"/>
  <c r="BK263" i="3"/>
  <c r="AU263" i="3"/>
  <c r="AE263" i="3"/>
  <c r="O263" i="3"/>
  <c r="BH262" i="3"/>
  <c r="AR262" i="3"/>
  <c r="AB262" i="3"/>
  <c r="L262" i="3"/>
  <c r="BE261" i="3"/>
  <c r="AO261" i="3"/>
  <c r="Y261" i="3"/>
  <c r="I261" i="3"/>
  <c r="AX260" i="3"/>
  <c r="AH260" i="3"/>
  <c r="R260" i="3"/>
  <c r="BG259" i="3"/>
  <c r="AQ259" i="3"/>
  <c r="AA259" i="3"/>
  <c r="K259" i="3"/>
  <c r="BD258" i="3"/>
  <c r="AN258" i="3"/>
  <c r="X258" i="3"/>
  <c r="H258" i="3"/>
  <c r="BA257" i="3"/>
  <c r="AK257" i="3"/>
  <c r="U257" i="3"/>
  <c r="BJ256" i="3"/>
  <c r="AT256" i="3"/>
  <c r="AD256" i="3"/>
  <c r="N256" i="3"/>
  <c r="BC255" i="3"/>
  <c r="AM255" i="3"/>
  <c r="W255" i="3"/>
  <c r="G255" i="3"/>
  <c r="AZ254" i="3"/>
  <c r="AJ254" i="3"/>
  <c r="T254" i="3"/>
  <c r="BM253" i="3"/>
  <c r="AW253" i="3"/>
  <c r="AG253" i="3"/>
  <c r="Q253" i="3"/>
  <c r="BF252" i="3"/>
  <c r="AP252" i="3"/>
  <c r="Z252" i="3"/>
  <c r="J252" i="3"/>
  <c r="AY251" i="3"/>
  <c r="AI251" i="3"/>
  <c r="S251" i="3"/>
  <c r="BK249" i="3"/>
  <c r="AU249" i="3"/>
  <c r="AE249" i="3"/>
  <c r="O249" i="3"/>
  <c r="BH248" i="3"/>
  <c r="AR248" i="3"/>
  <c r="AB248" i="3"/>
  <c r="L248" i="3"/>
  <c r="BE247" i="3"/>
  <c r="AO247" i="3"/>
  <c r="Y247" i="3"/>
  <c r="I247" i="3"/>
  <c r="AX246" i="3"/>
  <c r="AH246" i="3"/>
  <c r="R246" i="3"/>
  <c r="BG245" i="3"/>
  <c r="AQ245" i="3"/>
  <c r="AA245" i="3"/>
  <c r="K245" i="3"/>
  <c r="BD244" i="3"/>
  <c r="AN244" i="3"/>
  <c r="X244" i="3"/>
  <c r="H244" i="3"/>
  <c r="BA243" i="3"/>
  <c r="AK243" i="3"/>
  <c r="U243" i="3"/>
  <c r="BJ242" i="3"/>
  <c r="AT242" i="3"/>
  <c r="AD242" i="3"/>
  <c r="N242" i="3"/>
  <c r="BC241" i="3"/>
  <c r="AM241" i="3"/>
  <c r="W241" i="3"/>
  <c r="G241" i="3"/>
  <c r="AZ240" i="3"/>
  <c r="AJ240" i="3"/>
  <c r="T240" i="3"/>
  <c r="BM239" i="3"/>
  <c r="AW239" i="3"/>
  <c r="AG239" i="3"/>
  <c r="Q239" i="3"/>
  <c r="BF238" i="3"/>
  <c r="AP238" i="3"/>
  <c r="Z238" i="3"/>
  <c r="J238" i="3"/>
  <c r="AY237" i="3"/>
  <c r="AI237" i="3"/>
  <c r="S237" i="3"/>
  <c r="BL236" i="3"/>
  <c r="AV236" i="3"/>
  <c r="AF236" i="3"/>
  <c r="P236" i="3"/>
  <c r="BI235" i="3"/>
  <c r="AS235" i="3"/>
  <c r="AN327" i="3"/>
  <c r="H327" i="3"/>
  <c r="AV326" i="3"/>
  <c r="Z326" i="3"/>
  <c r="G326" i="3"/>
  <c r="AZ325" i="3"/>
  <c r="AJ325" i="3"/>
  <c r="T325" i="3"/>
  <c r="BM324" i="3"/>
  <c r="AW324" i="3"/>
  <c r="AG324" i="3"/>
  <c r="Q324" i="3"/>
  <c r="BF323" i="3"/>
  <c r="AP323" i="3"/>
  <c r="Z323" i="3"/>
  <c r="J323" i="3"/>
  <c r="AY322" i="3"/>
  <c r="AI322" i="3"/>
  <c r="S322" i="3"/>
  <c r="BL321" i="3"/>
  <c r="AV321" i="3"/>
  <c r="AF321" i="3"/>
  <c r="P321" i="3"/>
  <c r="BI320" i="3"/>
  <c r="AS320" i="3"/>
  <c r="AC320" i="3"/>
  <c r="M320" i="3"/>
  <c r="BB319" i="3"/>
  <c r="AL319" i="3"/>
  <c r="V319" i="3"/>
  <c r="BK318" i="3"/>
  <c r="AU318" i="3"/>
  <c r="AE318" i="3"/>
  <c r="O318" i="3"/>
  <c r="BH317" i="3"/>
  <c r="AR317" i="3"/>
  <c r="AB317" i="3"/>
  <c r="L317" i="3"/>
  <c r="BE316" i="3"/>
  <c r="AO316" i="3"/>
  <c r="Y316" i="3"/>
  <c r="I316" i="3"/>
  <c r="AX315" i="3"/>
  <c r="AH315" i="3"/>
  <c r="R315" i="3"/>
  <c r="BG314" i="3"/>
  <c r="AQ314" i="3"/>
  <c r="AA314" i="3"/>
  <c r="K314" i="3"/>
  <c r="BD313" i="3"/>
  <c r="AN313" i="3"/>
  <c r="X313" i="3"/>
  <c r="H313" i="3"/>
  <c r="BA312" i="3"/>
  <c r="AK312" i="3"/>
  <c r="U312" i="3"/>
  <c r="BJ311" i="3"/>
  <c r="AT311" i="3"/>
  <c r="AD311" i="3"/>
  <c r="N311" i="3"/>
  <c r="BC310" i="3"/>
  <c r="AM310" i="3"/>
  <c r="W310" i="3"/>
  <c r="G310" i="3"/>
  <c r="AZ309" i="3"/>
  <c r="AJ309" i="3"/>
  <c r="T309" i="3"/>
  <c r="BM308" i="3"/>
  <c r="AW308" i="3"/>
  <c r="AG308" i="3"/>
  <c r="Q308" i="3"/>
  <c r="BF307" i="3"/>
  <c r="AP307" i="3"/>
  <c r="Z307" i="3"/>
  <c r="J307" i="3"/>
  <c r="AY306" i="3"/>
  <c r="AI306" i="3"/>
  <c r="S306" i="3"/>
  <c r="BL305" i="3"/>
  <c r="AV305" i="3"/>
  <c r="AF305" i="3"/>
  <c r="P305" i="3"/>
  <c r="BI304" i="3"/>
  <c r="AS304" i="3"/>
  <c r="AC304" i="3"/>
  <c r="M304" i="3"/>
  <c r="BB303" i="3"/>
  <c r="AL303" i="3"/>
  <c r="V303" i="3"/>
  <c r="BK302" i="3"/>
  <c r="AU302" i="3"/>
  <c r="AE302" i="3"/>
  <c r="O302" i="3"/>
  <c r="BH301" i="3"/>
  <c r="AR301" i="3"/>
  <c r="AB301" i="3"/>
  <c r="L301" i="3"/>
  <c r="BE300" i="3"/>
  <c r="AO300" i="3"/>
  <c r="Y300" i="3"/>
  <c r="I300" i="3"/>
  <c r="AX299" i="3"/>
  <c r="AH299" i="3"/>
  <c r="R299" i="3"/>
  <c r="BG298" i="3"/>
  <c r="AQ298" i="3"/>
  <c r="AA298" i="3"/>
  <c r="K298" i="3"/>
  <c r="BD297" i="3"/>
  <c r="AN297" i="3"/>
  <c r="X297" i="3"/>
  <c r="H297" i="3"/>
  <c r="BA296" i="3"/>
  <c r="AK296" i="3"/>
  <c r="U296" i="3"/>
  <c r="BJ295" i="3"/>
  <c r="AT295" i="3"/>
  <c r="AD295" i="3"/>
  <c r="N295" i="3"/>
  <c r="BC294" i="3"/>
  <c r="AM294" i="3"/>
  <c r="W294" i="3"/>
  <c r="G294" i="3"/>
  <c r="AZ293" i="3"/>
  <c r="AJ293" i="3"/>
  <c r="T293" i="3"/>
  <c r="BK290" i="3"/>
  <c r="AU290" i="3"/>
  <c r="AE290" i="3"/>
  <c r="O290" i="3"/>
  <c r="BH289" i="3"/>
  <c r="AR289" i="3"/>
  <c r="AB289" i="3"/>
  <c r="L289" i="3"/>
  <c r="BE288" i="3"/>
  <c r="AO288" i="3"/>
  <c r="Y288" i="3"/>
  <c r="I288" i="3"/>
  <c r="AX287" i="3"/>
  <c r="AH287" i="3"/>
  <c r="R287" i="3"/>
  <c r="BG286" i="3"/>
  <c r="AQ286" i="3"/>
  <c r="AA286" i="3"/>
  <c r="K286" i="3"/>
  <c r="BD285" i="3"/>
  <c r="AN285" i="3"/>
  <c r="X285" i="3"/>
  <c r="H285" i="3"/>
  <c r="BA284" i="3"/>
  <c r="AK284" i="3"/>
  <c r="U284" i="3"/>
  <c r="BJ283" i="3"/>
  <c r="AT283" i="3"/>
  <c r="AD283" i="3"/>
  <c r="N283" i="3"/>
  <c r="BC282" i="3"/>
  <c r="AM282" i="3"/>
  <c r="W282" i="3"/>
  <c r="G282" i="3"/>
  <c r="AZ281" i="3"/>
  <c r="AJ281" i="3"/>
  <c r="T281" i="3"/>
  <c r="BM280" i="3"/>
  <c r="AW280" i="3"/>
  <c r="AG280" i="3"/>
  <c r="Q280" i="3"/>
  <c r="BF279" i="3"/>
  <c r="AP279" i="3"/>
  <c r="Z279" i="3"/>
  <c r="J279" i="3"/>
  <c r="AY278" i="3"/>
  <c r="AI278" i="3"/>
  <c r="S278" i="3"/>
  <c r="BL277" i="3"/>
  <c r="AV277" i="3"/>
  <c r="AF277" i="3"/>
  <c r="P277" i="3"/>
  <c r="BI276" i="3"/>
  <c r="AS276" i="3"/>
  <c r="AC276" i="3"/>
  <c r="M276" i="3"/>
  <c r="BB275" i="3"/>
  <c r="AL275" i="3"/>
  <c r="V275" i="3"/>
  <c r="BK274" i="3"/>
  <c r="AU274" i="3"/>
  <c r="AE274" i="3"/>
  <c r="O274" i="3"/>
  <c r="BH273" i="3"/>
  <c r="AR273" i="3"/>
  <c r="AB273" i="3"/>
  <c r="L273" i="3"/>
  <c r="BE272" i="3"/>
  <c r="AO272" i="3"/>
  <c r="Y272" i="3"/>
  <c r="I272" i="3"/>
  <c r="AX271" i="3"/>
  <c r="AH271" i="3"/>
  <c r="R271" i="3"/>
  <c r="BG270" i="3"/>
  <c r="AQ270" i="3"/>
  <c r="AA270" i="3"/>
  <c r="K270" i="3"/>
  <c r="BD269" i="3"/>
  <c r="AN269" i="3"/>
  <c r="X269" i="3"/>
  <c r="H269" i="3"/>
  <c r="BA268" i="3"/>
  <c r="AK268" i="3"/>
  <c r="U268" i="3"/>
  <c r="BJ267" i="3"/>
  <c r="AT267" i="3"/>
  <c r="AD267" i="3"/>
  <c r="N267" i="3"/>
  <c r="BC266" i="3"/>
  <c r="AM266" i="3"/>
  <c r="W266" i="3"/>
  <c r="G266" i="3"/>
  <c r="AZ265" i="3"/>
  <c r="AJ265" i="3"/>
  <c r="T265" i="3"/>
  <c r="BM264" i="3"/>
  <c r="AW264" i="3"/>
  <c r="AG264" i="3"/>
  <c r="Q264" i="3"/>
  <c r="BF263" i="3"/>
  <c r="AP263" i="3"/>
  <c r="Z263" i="3"/>
  <c r="J263" i="3"/>
  <c r="AY262" i="3"/>
  <c r="AI262" i="3"/>
  <c r="S262" i="3"/>
  <c r="BL261" i="3"/>
  <c r="AV261" i="3"/>
  <c r="AF261" i="3"/>
  <c r="P261" i="3"/>
  <c r="BI260" i="3"/>
  <c r="AS260" i="3"/>
  <c r="AC260" i="3"/>
  <c r="M260" i="3"/>
  <c r="BB259" i="3"/>
  <c r="AL259" i="3"/>
  <c r="V259" i="3"/>
  <c r="BK258" i="3"/>
  <c r="AU258" i="3"/>
  <c r="AE258" i="3"/>
  <c r="O258" i="3"/>
  <c r="BH257" i="3"/>
  <c r="AR257" i="3"/>
  <c r="AB257" i="3"/>
  <c r="L257" i="3"/>
  <c r="BE256" i="3"/>
  <c r="AO256" i="3"/>
  <c r="Y256" i="3"/>
  <c r="I256" i="3"/>
  <c r="AX255" i="3"/>
  <c r="AH255" i="3"/>
  <c r="R255" i="3"/>
  <c r="BG254" i="3"/>
  <c r="AQ254" i="3"/>
  <c r="AA254" i="3"/>
  <c r="K254" i="3"/>
  <c r="BD253" i="3"/>
  <c r="AN253" i="3"/>
  <c r="X253" i="3"/>
  <c r="H253" i="3"/>
  <c r="BA252" i="3"/>
  <c r="AK252" i="3"/>
  <c r="U252" i="3"/>
  <c r="BJ251" i="3"/>
  <c r="AT251" i="3"/>
  <c r="AD251" i="3"/>
  <c r="N251" i="3"/>
  <c r="BB249" i="3"/>
  <c r="AL249" i="3"/>
  <c r="V249" i="3"/>
  <c r="BK248" i="3"/>
  <c r="AU248" i="3"/>
  <c r="AE248" i="3"/>
  <c r="O248" i="3"/>
  <c r="BH247" i="3"/>
  <c r="AR247" i="3"/>
  <c r="AB247" i="3"/>
  <c r="L247" i="3"/>
  <c r="BE246" i="3"/>
  <c r="AO246" i="3"/>
  <c r="Y246" i="3"/>
  <c r="I246" i="3"/>
  <c r="AX245" i="3"/>
  <c r="AH245" i="3"/>
  <c r="R245" i="3"/>
  <c r="BG244" i="3"/>
  <c r="AQ244" i="3"/>
  <c r="AA244" i="3"/>
  <c r="K244" i="3"/>
  <c r="BD243" i="3"/>
  <c r="AN243" i="3"/>
  <c r="X243" i="3"/>
  <c r="H243" i="3"/>
  <c r="BA242" i="3"/>
  <c r="AK242" i="3"/>
  <c r="U242" i="3"/>
  <c r="BJ241" i="3"/>
  <c r="AT241" i="3"/>
  <c r="AD241" i="3"/>
  <c r="N241" i="3"/>
  <c r="BC240" i="3"/>
  <c r="AM240" i="3"/>
  <c r="W240" i="3"/>
  <c r="G240" i="3"/>
  <c r="AZ239" i="3"/>
  <c r="AJ239" i="3"/>
  <c r="T239" i="3"/>
  <c r="BM238" i="3"/>
  <c r="AW238" i="3"/>
  <c r="AG238" i="3"/>
  <c r="Q238" i="3"/>
  <c r="BF237" i="3"/>
  <c r="AP237" i="3"/>
  <c r="Z237" i="3"/>
  <c r="J237" i="3"/>
  <c r="AY236" i="3"/>
  <c r="AI236" i="3"/>
  <c r="S236" i="3"/>
  <c r="BK327" i="3"/>
  <c r="AE327" i="3"/>
  <c r="BJ326" i="3"/>
  <c r="AO326" i="3"/>
  <c r="T326" i="3"/>
  <c r="BG325" i="3"/>
  <c r="AQ325" i="3"/>
  <c r="AA325" i="3"/>
  <c r="K325" i="3"/>
  <c r="BD324" i="3"/>
  <c r="AN324" i="3"/>
  <c r="X324" i="3"/>
  <c r="H324" i="3"/>
  <c r="BA323" i="3"/>
  <c r="AK323" i="3"/>
  <c r="U323" i="3"/>
  <c r="BJ322" i="3"/>
  <c r="AT322" i="3"/>
  <c r="AD322" i="3"/>
  <c r="N322" i="3"/>
  <c r="BC321" i="3"/>
  <c r="AM321" i="3"/>
  <c r="W321" i="3"/>
  <c r="G321" i="3"/>
  <c r="AZ320" i="3"/>
  <c r="AJ320" i="3"/>
  <c r="T320" i="3"/>
  <c r="BM319" i="3"/>
  <c r="AW319" i="3"/>
  <c r="AG319" i="3"/>
  <c r="Q319" i="3"/>
  <c r="BF318" i="3"/>
  <c r="AP318" i="3"/>
  <c r="Z318" i="3"/>
  <c r="J318" i="3"/>
  <c r="AY317" i="3"/>
  <c r="AI317" i="3"/>
  <c r="S317" i="3"/>
  <c r="BL316" i="3"/>
  <c r="AV316" i="3"/>
  <c r="AF316" i="3"/>
  <c r="P316" i="3"/>
  <c r="BI315" i="3"/>
  <c r="AS315" i="3"/>
  <c r="AC315" i="3"/>
  <c r="M315" i="3"/>
  <c r="BB314" i="3"/>
  <c r="AL314" i="3"/>
  <c r="V314" i="3"/>
  <c r="BK313" i="3"/>
  <c r="AU313" i="3"/>
  <c r="AE313" i="3"/>
  <c r="O313" i="3"/>
  <c r="BH312" i="3"/>
  <c r="AR312" i="3"/>
  <c r="AB312" i="3"/>
  <c r="L312" i="3"/>
  <c r="BE311" i="3"/>
  <c r="AO311" i="3"/>
  <c r="Y311" i="3"/>
  <c r="I311" i="3"/>
  <c r="AX310" i="3"/>
  <c r="AH310" i="3"/>
  <c r="R310" i="3"/>
  <c r="BG309" i="3"/>
  <c r="AQ309" i="3"/>
  <c r="AA309" i="3"/>
  <c r="K309" i="3"/>
  <c r="BD308" i="3"/>
  <c r="AN308" i="3"/>
  <c r="X308" i="3"/>
  <c r="H308" i="3"/>
  <c r="BA307" i="3"/>
  <c r="AK307" i="3"/>
  <c r="U307" i="3"/>
  <c r="BJ306" i="3"/>
  <c r="AT306" i="3"/>
  <c r="AD306" i="3"/>
  <c r="N306" i="3"/>
  <c r="BC305" i="3"/>
  <c r="AM305" i="3"/>
  <c r="W305" i="3"/>
  <c r="G305" i="3"/>
  <c r="AZ304" i="3"/>
  <c r="AJ304" i="3"/>
  <c r="T304" i="3"/>
  <c r="BM303" i="3"/>
  <c r="AW303" i="3"/>
  <c r="AG303" i="3"/>
  <c r="Q303" i="3"/>
  <c r="BF302" i="3"/>
  <c r="AP302" i="3"/>
  <c r="Z302" i="3"/>
  <c r="J302" i="3"/>
  <c r="AY301" i="3"/>
  <c r="AI301" i="3"/>
  <c r="S301" i="3"/>
  <c r="BL300" i="3"/>
  <c r="AV300" i="3"/>
  <c r="AF300" i="3"/>
  <c r="P300" i="3"/>
  <c r="BI299" i="3"/>
  <c r="AS299" i="3"/>
  <c r="AC299" i="3"/>
  <c r="M299" i="3"/>
  <c r="BB298" i="3"/>
  <c r="AL298" i="3"/>
  <c r="V298" i="3"/>
  <c r="BK297" i="3"/>
  <c r="AU297" i="3"/>
  <c r="AE297" i="3"/>
  <c r="O297" i="3"/>
  <c r="BH296" i="3"/>
  <c r="AR296" i="3"/>
  <c r="AB296" i="3"/>
  <c r="L296" i="3"/>
  <c r="BE295" i="3"/>
  <c r="AO295" i="3"/>
  <c r="Y295" i="3"/>
  <c r="I295" i="3"/>
  <c r="AX294" i="3"/>
  <c r="AH294" i="3"/>
  <c r="R294" i="3"/>
  <c r="BG293" i="3"/>
  <c r="AQ293" i="3"/>
  <c r="AA293" i="3"/>
  <c r="K293" i="3"/>
  <c r="BB290" i="3"/>
  <c r="AL290" i="3"/>
  <c r="V290" i="3"/>
  <c r="BK289" i="3"/>
  <c r="AU289" i="3"/>
  <c r="AE289" i="3"/>
  <c r="O289" i="3"/>
  <c r="BH288" i="3"/>
  <c r="AR288" i="3"/>
  <c r="AB288" i="3"/>
  <c r="L288" i="3"/>
  <c r="BE287" i="3"/>
  <c r="AO287" i="3"/>
  <c r="Y287" i="3"/>
  <c r="I287" i="3"/>
  <c r="AX286" i="3"/>
  <c r="AH286" i="3"/>
  <c r="R286" i="3"/>
  <c r="BG285" i="3"/>
  <c r="AQ285" i="3"/>
  <c r="AA285" i="3"/>
  <c r="K285" i="3"/>
  <c r="BD284" i="3"/>
  <c r="AN284" i="3"/>
  <c r="X284" i="3"/>
  <c r="H284" i="3"/>
  <c r="BA283" i="3"/>
  <c r="AK283" i="3"/>
  <c r="U283" i="3"/>
  <c r="BJ282" i="3"/>
  <c r="AT282" i="3"/>
  <c r="AD282" i="3"/>
  <c r="N282" i="3"/>
  <c r="BC281" i="3"/>
  <c r="AM281" i="3"/>
  <c r="W281" i="3"/>
  <c r="G281" i="3"/>
  <c r="AZ280" i="3"/>
  <c r="AJ280" i="3"/>
  <c r="T280" i="3"/>
  <c r="BM279" i="3"/>
  <c r="AW279" i="3"/>
  <c r="AG279" i="3"/>
  <c r="Q279" i="3"/>
  <c r="BF278" i="3"/>
  <c r="AP278" i="3"/>
  <c r="Z278" i="3"/>
  <c r="J278" i="3"/>
  <c r="AY277" i="3"/>
  <c r="AI277" i="3"/>
  <c r="S277" i="3"/>
  <c r="BL276" i="3"/>
  <c r="AV276" i="3"/>
  <c r="AF276" i="3"/>
  <c r="P276" i="3"/>
  <c r="BI275" i="3"/>
  <c r="AS275" i="3"/>
  <c r="AC275" i="3"/>
  <c r="M275" i="3"/>
  <c r="BB274" i="3"/>
  <c r="AL274" i="3"/>
  <c r="V274" i="3"/>
  <c r="BK273" i="3"/>
  <c r="AU273" i="3"/>
  <c r="AE273" i="3"/>
  <c r="O273" i="3"/>
  <c r="BH272" i="3"/>
  <c r="AR272" i="3"/>
  <c r="AB272" i="3"/>
  <c r="L272" i="3"/>
  <c r="BE271" i="3"/>
  <c r="AO271" i="3"/>
  <c r="Y271" i="3"/>
  <c r="I271" i="3"/>
  <c r="AX270" i="3"/>
  <c r="AH270" i="3"/>
  <c r="R270" i="3"/>
  <c r="BG269" i="3"/>
  <c r="AQ269" i="3"/>
  <c r="AA269" i="3"/>
  <c r="K269" i="3"/>
  <c r="BD268" i="3"/>
  <c r="AN268" i="3"/>
  <c r="X268" i="3"/>
  <c r="H268" i="3"/>
  <c r="BA267" i="3"/>
  <c r="AK267" i="3"/>
  <c r="U267" i="3"/>
  <c r="BJ266" i="3"/>
  <c r="AT266" i="3"/>
  <c r="AD266" i="3"/>
  <c r="N266" i="3"/>
  <c r="BC265" i="3"/>
  <c r="AM265" i="3"/>
  <c r="W265" i="3"/>
  <c r="G265" i="3"/>
  <c r="AZ264" i="3"/>
  <c r="AJ264" i="3"/>
  <c r="T264" i="3"/>
  <c r="BM263" i="3"/>
  <c r="AW263" i="3"/>
  <c r="AG263" i="3"/>
  <c r="Q263" i="3"/>
  <c r="BF262" i="3"/>
  <c r="AP262" i="3"/>
  <c r="Z262" i="3"/>
  <c r="J262" i="3"/>
  <c r="AY261" i="3"/>
  <c r="AI261" i="3"/>
  <c r="S261" i="3"/>
  <c r="BL260" i="3"/>
  <c r="AV260" i="3"/>
  <c r="AF260" i="3"/>
  <c r="P260" i="3"/>
  <c r="BI259" i="3"/>
  <c r="AS259" i="3"/>
  <c r="AC259" i="3"/>
  <c r="M259" i="3"/>
  <c r="BB258" i="3"/>
  <c r="AL258" i="3"/>
  <c r="V258" i="3"/>
  <c r="BK257" i="3"/>
  <c r="AU257" i="3"/>
  <c r="AE257" i="3"/>
  <c r="O257" i="3"/>
  <c r="BH256" i="3"/>
  <c r="AR256" i="3"/>
  <c r="AB256" i="3"/>
  <c r="L256" i="3"/>
  <c r="BE255" i="3"/>
  <c r="AO255" i="3"/>
  <c r="Y255" i="3"/>
  <c r="I255" i="3"/>
  <c r="AX254" i="3"/>
  <c r="AH254" i="3"/>
  <c r="R254" i="3"/>
  <c r="BG253" i="3"/>
  <c r="AQ253" i="3"/>
  <c r="AA253" i="3"/>
  <c r="K253" i="3"/>
  <c r="BD252" i="3"/>
  <c r="AN252" i="3"/>
  <c r="X252" i="3"/>
  <c r="H252" i="3"/>
  <c r="BA251" i="3"/>
  <c r="AK251" i="3"/>
  <c r="U251" i="3"/>
  <c r="BM249" i="3"/>
  <c r="AW249" i="3"/>
  <c r="AG249" i="3"/>
  <c r="Q249" i="3"/>
  <c r="BF248" i="3"/>
  <c r="AP248" i="3"/>
  <c r="Z248" i="3"/>
  <c r="J248" i="3"/>
  <c r="AY247" i="3"/>
  <c r="AI247" i="3"/>
  <c r="S247" i="3"/>
  <c r="BL246" i="3"/>
  <c r="AV246" i="3"/>
  <c r="AF246" i="3"/>
  <c r="P246" i="3"/>
  <c r="BI245" i="3"/>
  <c r="AS245" i="3"/>
  <c r="AC245" i="3"/>
  <c r="M245" i="3"/>
  <c r="BB244" i="3"/>
  <c r="AL244" i="3"/>
  <c r="V244" i="3"/>
  <c r="BK243" i="3"/>
  <c r="AU243" i="3"/>
  <c r="AE243" i="3"/>
  <c r="O243" i="3"/>
  <c r="BH242" i="3"/>
  <c r="AR242" i="3"/>
  <c r="AB242" i="3"/>
  <c r="L242" i="3"/>
  <c r="BE241" i="3"/>
  <c r="AO241" i="3"/>
  <c r="Y241" i="3"/>
  <c r="I241" i="3"/>
  <c r="AX240" i="3"/>
  <c r="AH240" i="3"/>
  <c r="R240" i="3"/>
  <c r="BG239" i="3"/>
  <c r="AQ239" i="3"/>
  <c r="AA239" i="3"/>
  <c r="K239" i="3"/>
  <c r="BD238" i="3"/>
  <c r="AN238" i="3"/>
  <c r="X238" i="3"/>
  <c r="H238" i="3"/>
  <c r="BA237" i="3"/>
  <c r="AK237" i="3"/>
  <c r="U237" i="3"/>
  <c r="BJ236" i="3"/>
  <c r="AT236" i="3"/>
  <c r="AD236" i="3"/>
  <c r="N236" i="3"/>
  <c r="BC235" i="3"/>
  <c r="AM235" i="3"/>
  <c r="BL235" i="3"/>
  <c r="W235" i="3"/>
  <c r="BJ234" i="3"/>
  <c r="AQ234" i="3"/>
  <c r="AA234" i="3"/>
  <c r="K234" i="3"/>
  <c r="BD233" i="3"/>
  <c r="AN233" i="3"/>
  <c r="X233" i="3"/>
  <c r="H233" i="3"/>
  <c r="BA232" i="3"/>
  <c r="AK232" i="3"/>
  <c r="U232" i="3"/>
  <c r="BJ231" i="3"/>
  <c r="AT231" i="3"/>
  <c r="AD231" i="3"/>
  <c r="N231" i="3"/>
  <c r="BC230" i="3"/>
  <c r="AM230" i="3"/>
  <c r="W230" i="3"/>
  <c r="G230" i="3"/>
  <c r="AZ229" i="3"/>
  <c r="AJ229" i="3"/>
  <c r="T229" i="3"/>
  <c r="BM228" i="3"/>
  <c r="AW228" i="3"/>
  <c r="AG228" i="3"/>
  <c r="Q228" i="3"/>
  <c r="BF227" i="3"/>
  <c r="AP227" i="3"/>
  <c r="Z227" i="3"/>
  <c r="J227" i="3"/>
  <c r="AY226" i="3"/>
  <c r="AI226" i="3"/>
  <c r="S226" i="3"/>
  <c r="BL225" i="3"/>
  <c r="AV225" i="3"/>
  <c r="AF225" i="3"/>
  <c r="P225" i="3"/>
  <c r="BI224" i="3"/>
  <c r="AS224" i="3"/>
  <c r="AC224" i="3"/>
  <c r="M224" i="3"/>
  <c r="BB223" i="3"/>
  <c r="AL223" i="3"/>
  <c r="V223" i="3"/>
  <c r="BK222" i="3"/>
  <c r="AU222" i="3"/>
  <c r="AE222" i="3"/>
  <c r="O222" i="3"/>
  <c r="BH221" i="3"/>
  <c r="AR221" i="3"/>
  <c r="AB221" i="3"/>
  <c r="L221" i="3"/>
  <c r="BE220" i="3"/>
  <c r="AO220" i="3"/>
  <c r="Y220" i="3"/>
  <c r="I220" i="3"/>
  <c r="AX219" i="3"/>
  <c r="AH219" i="3"/>
  <c r="R219" i="3"/>
  <c r="BG218" i="3"/>
  <c r="AQ218" i="3"/>
  <c r="AA218" i="3"/>
  <c r="K218" i="3"/>
  <c r="BD217" i="3"/>
  <c r="AN217" i="3"/>
  <c r="X217" i="3"/>
  <c r="H217" i="3"/>
  <c r="BA216" i="3"/>
  <c r="AK216" i="3"/>
  <c r="U216" i="3"/>
  <c r="BJ215" i="3"/>
  <c r="AT215" i="3"/>
  <c r="AD215" i="3"/>
  <c r="N215" i="3"/>
  <c r="BC214" i="3"/>
  <c r="AM214" i="3"/>
  <c r="W214" i="3"/>
  <c r="G214" i="3"/>
  <c r="AZ213" i="3"/>
  <c r="AJ213" i="3"/>
  <c r="T213" i="3"/>
  <c r="BM212" i="3"/>
  <c r="AW212" i="3"/>
  <c r="AG212" i="3"/>
  <c r="Q212" i="3"/>
  <c r="BF211" i="3"/>
  <c r="AP211" i="3"/>
  <c r="Z211" i="3"/>
  <c r="J211" i="3"/>
  <c r="AY210" i="3"/>
  <c r="AI210" i="3"/>
  <c r="S210" i="3"/>
  <c r="BK208" i="3"/>
  <c r="AU208" i="3"/>
  <c r="AE208" i="3"/>
  <c r="O208" i="3"/>
  <c r="BH207" i="3"/>
  <c r="AR207" i="3"/>
  <c r="AB207" i="3"/>
  <c r="L207" i="3"/>
  <c r="BE206" i="3"/>
  <c r="AO206" i="3"/>
  <c r="Y206" i="3"/>
  <c r="I206" i="3"/>
  <c r="AX205" i="3"/>
  <c r="AH205" i="3"/>
  <c r="R205" i="3"/>
  <c r="BG204" i="3"/>
  <c r="AQ204" i="3"/>
  <c r="AA204" i="3"/>
  <c r="K204" i="3"/>
  <c r="BD203" i="3"/>
  <c r="AN203" i="3"/>
  <c r="X203" i="3"/>
  <c r="H203" i="3"/>
  <c r="BA202" i="3"/>
  <c r="AK202" i="3"/>
  <c r="U202" i="3"/>
  <c r="BJ201" i="3"/>
  <c r="AT201" i="3"/>
  <c r="AD201" i="3"/>
  <c r="N201" i="3"/>
  <c r="BC200" i="3"/>
  <c r="AM200" i="3"/>
  <c r="W200" i="3"/>
  <c r="G200" i="3"/>
  <c r="AZ199" i="3"/>
  <c r="AJ199" i="3"/>
  <c r="T199" i="3"/>
  <c r="BM198" i="3"/>
  <c r="AW198" i="3"/>
  <c r="AG198" i="3"/>
  <c r="Q198" i="3"/>
  <c r="BF197" i="3"/>
  <c r="AP197" i="3"/>
  <c r="Z197" i="3"/>
  <c r="J197" i="3"/>
  <c r="AY196" i="3"/>
  <c r="AI196" i="3"/>
  <c r="S196" i="3"/>
  <c r="BL195" i="3"/>
  <c r="AV195" i="3"/>
  <c r="AF195" i="3"/>
  <c r="P195" i="3"/>
  <c r="BI194" i="3"/>
  <c r="AS194" i="3"/>
  <c r="AC194" i="3"/>
  <c r="M194" i="3"/>
  <c r="BB193" i="3"/>
  <c r="AL193" i="3"/>
  <c r="V193" i="3"/>
  <c r="BK192" i="3"/>
  <c r="AU192" i="3"/>
  <c r="AE192" i="3"/>
  <c r="O192" i="3"/>
  <c r="BH191" i="3"/>
  <c r="AR191" i="3"/>
  <c r="AB191" i="3"/>
  <c r="L191" i="3"/>
  <c r="BE190" i="3"/>
  <c r="AO190" i="3"/>
  <c r="Y190" i="3"/>
  <c r="I190" i="3"/>
  <c r="AX189" i="3"/>
  <c r="AH189" i="3"/>
  <c r="R189" i="3"/>
  <c r="BG188" i="3"/>
  <c r="AQ188" i="3"/>
  <c r="AA188" i="3"/>
  <c r="K188" i="3"/>
  <c r="BD187" i="3"/>
  <c r="AN187" i="3"/>
  <c r="X187" i="3"/>
  <c r="H187" i="3"/>
  <c r="BA186" i="3"/>
  <c r="AK186" i="3"/>
  <c r="U186" i="3"/>
  <c r="BJ185" i="3"/>
  <c r="AT185" i="3"/>
  <c r="AD185" i="3"/>
  <c r="N185" i="3"/>
  <c r="BC184" i="3"/>
  <c r="AM184" i="3"/>
  <c r="W184" i="3"/>
  <c r="G184" i="3"/>
  <c r="AZ183" i="3"/>
  <c r="AJ183" i="3"/>
  <c r="T183" i="3"/>
  <c r="BM182" i="3"/>
  <c r="AW182" i="3"/>
  <c r="AG182" i="3"/>
  <c r="Q182" i="3"/>
  <c r="BF181" i="3"/>
  <c r="AP181" i="3"/>
  <c r="Z181" i="3"/>
  <c r="J181" i="3"/>
  <c r="AY180" i="3"/>
  <c r="AI180" i="3"/>
  <c r="S180" i="3"/>
  <c r="BL179" i="3"/>
  <c r="AV179" i="3"/>
  <c r="AF179" i="3"/>
  <c r="P179" i="3"/>
  <c r="BI178" i="3"/>
  <c r="AS178" i="3"/>
  <c r="AC178" i="3"/>
  <c r="M178" i="3"/>
  <c r="BB177" i="3"/>
  <c r="AL177" i="3"/>
  <c r="V177" i="3"/>
  <c r="BK176" i="3"/>
  <c r="AU176" i="3"/>
  <c r="AE176" i="3"/>
  <c r="O176" i="3"/>
  <c r="BH175" i="3"/>
  <c r="AR175" i="3"/>
  <c r="AB175" i="3"/>
  <c r="L175" i="3"/>
  <c r="BE174" i="3"/>
  <c r="AO174" i="3"/>
  <c r="Y174" i="3"/>
  <c r="I174" i="3"/>
  <c r="AX173" i="3"/>
  <c r="AH173" i="3"/>
  <c r="R173" i="3"/>
  <c r="BG172" i="3"/>
  <c r="AQ172" i="3"/>
  <c r="AA172" i="3"/>
  <c r="K172" i="3"/>
  <c r="BD171" i="3"/>
  <c r="AN171" i="3"/>
  <c r="X171" i="3"/>
  <c r="H171" i="3"/>
  <c r="BA170" i="3"/>
  <c r="AK170" i="3"/>
  <c r="U170" i="3"/>
  <c r="BJ169" i="3"/>
  <c r="AT169" i="3"/>
  <c r="AD169" i="3"/>
  <c r="N169" i="3"/>
  <c r="BB167" i="3"/>
  <c r="AL167" i="3"/>
  <c r="V167" i="3"/>
  <c r="BK166" i="3"/>
  <c r="AU166" i="3"/>
  <c r="AE166" i="3"/>
  <c r="O166" i="3"/>
  <c r="BH165" i="3"/>
  <c r="AR165" i="3"/>
  <c r="AB165" i="3"/>
  <c r="L165" i="3"/>
  <c r="BE164" i="3"/>
  <c r="AO164" i="3"/>
  <c r="Y164" i="3"/>
  <c r="I164" i="3"/>
  <c r="AX163" i="3"/>
  <c r="AH163" i="3"/>
  <c r="R163" i="3"/>
  <c r="BG162" i="3"/>
  <c r="AQ162" i="3"/>
  <c r="AA162" i="3"/>
  <c r="K162" i="3"/>
  <c r="BD161" i="3"/>
  <c r="AN161" i="3"/>
  <c r="X161" i="3"/>
  <c r="H161" i="3"/>
  <c r="BA160" i="3"/>
  <c r="AK160" i="3"/>
  <c r="U160" i="3"/>
  <c r="BJ159" i="3"/>
  <c r="AT159" i="3"/>
  <c r="AD159" i="3"/>
  <c r="N159" i="3"/>
  <c r="BC158" i="3"/>
  <c r="AM158" i="3"/>
  <c r="W158" i="3"/>
  <c r="G158" i="3"/>
  <c r="AZ157" i="3"/>
  <c r="AJ157" i="3"/>
  <c r="T157" i="3"/>
  <c r="BM156" i="3"/>
  <c r="AW156" i="3"/>
  <c r="AG156" i="3"/>
  <c r="Q156" i="3"/>
  <c r="BF155" i="3"/>
  <c r="AP155" i="3"/>
  <c r="Z155" i="3"/>
  <c r="J155" i="3"/>
  <c r="AY154" i="3"/>
  <c r="AI154" i="3"/>
  <c r="S154" i="3"/>
  <c r="BL153" i="3"/>
  <c r="AV153" i="3"/>
  <c r="AF153" i="3"/>
  <c r="P153" i="3"/>
  <c r="BI152" i="3"/>
  <c r="AS152" i="3"/>
  <c r="AC152" i="3"/>
  <c r="M152" i="3"/>
  <c r="BB151" i="3"/>
  <c r="AL151" i="3"/>
  <c r="V151" i="3"/>
  <c r="BK150" i="3"/>
  <c r="AU150" i="3"/>
  <c r="AE150" i="3"/>
  <c r="O150" i="3"/>
  <c r="BH149" i="3"/>
  <c r="AR149" i="3"/>
  <c r="AB149" i="3"/>
  <c r="L149" i="3"/>
  <c r="BE148" i="3"/>
  <c r="AO148" i="3"/>
  <c r="Y148" i="3"/>
  <c r="I148" i="3"/>
  <c r="AX147" i="3"/>
  <c r="AH147" i="3"/>
  <c r="R147" i="3"/>
  <c r="BG146" i="3"/>
  <c r="AQ146" i="3"/>
  <c r="AA146" i="3"/>
  <c r="K146" i="3"/>
  <c r="BD145" i="3"/>
  <c r="AN145" i="3"/>
  <c r="X145" i="3"/>
  <c r="H145" i="3"/>
  <c r="BA144" i="3"/>
  <c r="AK144" i="3"/>
  <c r="U144" i="3"/>
  <c r="BH235" i="3"/>
  <c r="U235" i="3"/>
  <c r="BD234" i="3"/>
  <c r="AL234" i="3"/>
  <c r="V234" i="3"/>
  <c r="BK233" i="3"/>
  <c r="AU233" i="3"/>
  <c r="AE233" i="3"/>
  <c r="O233" i="3"/>
  <c r="BH232" i="3"/>
  <c r="AR232" i="3"/>
  <c r="AB232" i="3"/>
  <c r="L232" i="3"/>
  <c r="BE231" i="3"/>
  <c r="AO231" i="3"/>
  <c r="Y231" i="3"/>
  <c r="I231" i="3"/>
  <c r="AX230" i="3"/>
  <c r="AH230" i="3"/>
  <c r="R230" i="3"/>
  <c r="BG229" i="3"/>
  <c r="AQ229" i="3"/>
  <c r="AA229" i="3"/>
  <c r="K229" i="3"/>
  <c r="BD228" i="3"/>
  <c r="AN228" i="3"/>
  <c r="X228" i="3"/>
  <c r="H228" i="3"/>
  <c r="BA227" i="3"/>
  <c r="AK227" i="3"/>
  <c r="U227" i="3"/>
  <c r="BJ226" i="3"/>
  <c r="AT226" i="3"/>
  <c r="AD226" i="3"/>
  <c r="N226" i="3"/>
  <c r="BC225" i="3"/>
  <c r="AM225" i="3"/>
  <c r="W225" i="3"/>
  <c r="G225" i="3"/>
  <c r="AZ224" i="3"/>
  <c r="AJ224" i="3"/>
  <c r="T224" i="3"/>
  <c r="BM223" i="3"/>
  <c r="AW223" i="3"/>
  <c r="AG223" i="3"/>
  <c r="Q223" i="3"/>
  <c r="BF222" i="3"/>
  <c r="AP222" i="3"/>
  <c r="Z222" i="3"/>
  <c r="J222" i="3"/>
  <c r="AY221" i="3"/>
  <c r="AI221" i="3"/>
  <c r="S221" i="3"/>
  <c r="BL220" i="3"/>
  <c r="AV220" i="3"/>
  <c r="AF220" i="3"/>
  <c r="P220" i="3"/>
  <c r="BI219" i="3"/>
  <c r="AS219" i="3"/>
  <c r="AC219" i="3"/>
  <c r="M219" i="3"/>
  <c r="BB218" i="3"/>
  <c r="AL218" i="3"/>
  <c r="V218" i="3"/>
  <c r="BK217" i="3"/>
  <c r="AU217" i="3"/>
  <c r="AE217" i="3"/>
  <c r="O217" i="3"/>
  <c r="BH216" i="3"/>
  <c r="AR216" i="3"/>
  <c r="AB216" i="3"/>
  <c r="L216" i="3"/>
  <c r="BE215" i="3"/>
  <c r="AO215" i="3"/>
  <c r="Y215" i="3"/>
  <c r="I215" i="3"/>
  <c r="AX214" i="3"/>
  <c r="AH214" i="3"/>
  <c r="R214" i="3"/>
  <c r="BG213" i="3"/>
  <c r="AQ213" i="3"/>
  <c r="AA213" i="3"/>
  <c r="K213" i="3"/>
  <c r="BD212" i="3"/>
  <c r="AN212" i="3"/>
  <c r="X212" i="3"/>
  <c r="H212" i="3"/>
  <c r="BA211" i="3"/>
  <c r="AK211" i="3"/>
  <c r="U211" i="3"/>
  <c r="BJ210" i="3"/>
  <c r="AT210" i="3"/>
  <c r="AD210" i="3"/>
  <c r="N210" i="3"/>
  <c r="BB208" i="3"/>
  <c r="AL208" i="3"/>
  <c r="V208" i="3"/>
  <c r="BK207" i="3"/>
  <c r="AU207" i="3"/>
  <c r="AE207" i="3"/>
  <c r="O207" i="3"/>
  <c r="BH206" i="3"/>
  <c r="AR206" i="3"/>
  <c r="AB206" i="3"/>
  <c r="L206" i="3"/>
  <c r="BE205" i="3"/>
  <c r="AO205" i="3"/>
  <c r="Y205" i="3"/>
  <c r="I205" i="3"/>
  <c r="AX204" i="3"/>
  <c r="AH204" i="3"/>
  <c r="R204" i="3"/>
  <c r="BG203" i="3"/>
  <c r="AQ203" i="3"/>
  <c r="AA203" i="3"/>
  <c r="K203" i="3"/>
  <c r="BD202" i="3"/>
  <c r="AN202" i="3"/>
  <c r="X202" i="3"/>
  <c r="H202" i="3"/>
  <c r="BA201" i="3"/>
  <c r="AK201" i="3"/>
  <c r="U201" i="3"/>
  <c r="BJ200" i="3"/>
  <c r="AT200" i="3"/>
  <c r="AD200" i="3"/>
  <c r="N200" i="3"/>
  <c r="BC199" i="3"/>
  <c r="AM199" i="3"/>
  <c r="W199" i="3"/>
  <c r="G199" i="3"/>
  <c r="AZ198" i="3"/>
  <c r="AJ198" i="3"/>
  <c r="T198" i="3"/>
  <c r="BM197" i="3"/>
  <c r="AW197" i="3"/>
  <c r="AG197" i="3"/>
  <c r="Q197" i="3"/>
  <c r="BF196" i="3"/>
  <c r="AP196" i="3"/>
  <c r="Z196" i="3"/>
  <c r="J196" i="3"/>
  <c r="AY195" i="3"/>
  <c r="AI195" i="3"/>
  <c r="S195" i="3"/>
  <c r="BL194" i="3"/>
  <c r="AV194" i="3"/>
  <c r="AF194" i="3"/>
  <c r="P194" i="3"/>
  <c r="BI193" i="3"/>
  <c r="AS193" i="3"/>
  <c r="AC193" i="3"/>
  <c r="M193" i="3"/>
  <c r="BB192" i="3"/>
  <c r="AL192" i="3"/>
  <c r="V192" i="3"/>
  <c r="BK191" i="3"/>
  <c r="AU191" i="3"/>
  <c r="AE191" i="3"/>
  <c r="O191" i="3"/>
  <c r="BH190" i="3"/>
  <c r="AR190" i="3"/>
  <c r="AB190" i="3"/>
  <c r="L190" i="3"/>
  <c r="BE189" i="3"/>
  <c r="AO189" i="3"/>
  <c r="Y189" i="3"/>
  <c r="I189" i="3"/>
  <c r="AX188" i="3"/>
  <c r="AH188" i="3"/>
  <c r="R188" i="3"/>
  <c r="BG187" i="3"/>
  <c r="AQ187" i="3"/>
  <c r="AA187" i="3"/>
  <c r="K187" i="3"/>
  <c r="BD186" i="3"/>
  <c r="AN186" i="3"/>
  <c r="X186" i="3"/>
  <c r="H186" i="3"/>
  <c r="BA185" i="3"/>
  <c r="AK185" i="3"/>
  <c r="U185" i="3"/>
  <c r="BJ184" i="3"/>
  <c r="AT184" i="3"/>
  <c r="AD184" i="3"/>
  <c r="N184" i="3"/>
  <c r="BC183" i="3"/>
  <c r="AM183" i="3"/>
  <c r="W183" i="3"/>
  <c r="G183" i="3"/>
  <c r="AZ182" i="3"/>
  <c r="AJ182" i="3"/>
  <c r="T182" i="3"/>
  <c r="BM181" i="3"/>
  <c r="AW181" i="3"/>
  <c r="AG181" i="3"/>
  <c r="Q181" i="3"/>
  <c r="BF180" i="3"/>
  <c r="AP180" i="3"/>
  <c r="Z180" i="3"/>
  <c r="J180" i="3"/>
  <c r="AY179" i="3"/>
  <c r="AI179" i="3"/>
  <c r="S179" i="3"/>
  <c r="BL178" i="3"/>
  <c r="AV178" i="3"/>
  <c r="AF178" i="3"/>
  <c r="P178" i="3"/>
  <c r="BI177" i="3"/>
  <c r="AS177" i="3"/>
  <c r="AC177" i="3"/>
  <c r="M177" i="3"/>
  <c r="BB176" i="3"/>
  <c r="AL176" i="3"/>
  <c r="V176" i="3"/>
  <c r="BK175" i="3"/>
  <c r="AU175" i="3"/>
  <c r="AE175" i="3"/>
  <c r="O175" i="3"/>
  <c r="BH174" i="3"/>
  <c r="AR174" i="3"/>
  <c r="AB174" i="3"/>
  <c r="L174" i="3"/>
  <c r="BE173" i="3"/>
  <c r="AO173" i="3"/>
  <c r="Y173" i="3"/>
  <c r="I173" i="3"/>
  <c r="AX172" i="3"/>
  <c r="AH172" i="3"/>
  <c r="R172" i="3"/>
  <c r="BG171" i="3"/>
  <c r="AQ171" i="3"/>
  <c r="AA171" i="3"/>
  <c r="K171" i="3"/>
  <c r="BD170" i="3"/>
  <c r="AN170" i="3"/>
  <c r="X170" i="3"/>
  <c r="H170" i="3"/>
  <c r="BA169" i="3"/>
  <c r="AK169" i="3"/>
  <c r="U169" i="3"/>
  <c r="BM167" i="3"/>
  <c r="AW167" i="3"/>
  <c r="AG167" i="3"/>
  <c r="Q167" i="3"/>
  <c r="BF166" i="3"/>
  <c r="AP166" i="3"/>
  <c r="Z166" i="3"/>
  <c r="J166" i="3"/>
  <c r="AY165" i="3"/>
  <c r="AI165" i="3"/>
  <c r="S165" i="3"/>
  <c r="BL164" i="3"/>
  <c r="AV164" i="3"/>
  <c r="AF164" i="3"/>
  <c r="P164" i="3"/>
  <c r="BI163" i="3"/>
  <c r="AS163" i="3"/>
  <c r="AC163" i="3"/>
  <c r="M163" i="3"/>
  <c r="BB162" i="3"/>
  <c r="AL162" i="3"/>
  <c r="V162" i="3"/>
  <c r="BK161" i="3"/>
  <c r="AU161" i="3"/>
  <c r="AE161" i="3"/>
  <c r="O161" i="3"/>
  <c r="BH160" i="3"/>
  <c r="AR160" i="3"/>
  <c r="AB160" i="3"/>
  <c r="L160" i="3"/>
  <c r="BE159" i="3"/>
  <c r="AO159" i="3"/>
  <c r="Y159" i="3"/>
  <c r="I159" i="3"/>
  <c r="AX158" i="3"/>
  <c r="AH158" i="3"/>
  <c r="R158" i="3"/>
  <c r="BG157" i="3"/>
  <c r="AQ157" i="3"/>
  <c r="AA157" i="3"/>
  <c r="K157" i="3"/>
  <c r="BD156" i="3"/>
  <c r="AN156" i="3"/>
  <c r="X156" i="3"/>
  <c r="H156" i="3"/>
  <c r="BA155" i="3"/>
  <c r="AK155" i="3"/>
  <c r="U155" i="3"/>
  <c r="BJ154" i="3"/>
  <c r="AT154" i="3"/>
  <c r="AD154" i="3"/>
  <c r="N154" i="3"/>
  <c r="BC153" i="3"/>
  <c r="AM153" i="3"/>
  <c r="W153" i="3"/>
  <c r="G153" i="3"/>
  <c r="AZ152" i="3"/>
  <c r="AJ152" i="3"/>
  <c r="T152" i="3"/>
  <c r="BM151" i="3"/>
  <c r="AW151" i="3"/>
  <c r="AG151" i="3"/>
  <c r="Q151" i="3"/>
  <c r="BF150" i="3"/>
  <c r="AP150" i="3"/>
  <c r="Z150" i="3"/>
  <c r="J150" i="3"/>
  <c r="AY149" i="3"/>
  <c r="AI149" i="3"/>
  <c r="S149" i="3"/>
  <c r="BL148" i="3"/>
  <c r="AV148" i="3"/>
  <c r="AF148" i="3"/>
  <c r="P148" i="3"/>
  <c r="BI147" i="3"/>
  <c r="AS147" i="3"/>
  <c r="AC147" i="3"/>
  <c r="M147" i="3"/>
  <c r="BB146" i="3"/>
  <c r="AL146" i="3"/>
  <c r="V146" i="3"/>
  <c r="BK145" i="3"/>
  <c r="AU145" i="3"/>
  <c r="AE145" i="3"/>
  <c r="O145" i="3"/>
  <c r="BH144" i="3"/>
  <c r="AR144" i="3"/>
  <c r="BD235" i="3"/>
  <c r="T235" i="3"/>
  <c r="BH234" i="3"/>
  <c r="AO234" i="3"/>
  <c r="Y234" i="3"/>
  <c r="I234" i="3"/>
  <c r="AX233" i="3"/>
  <c r="AH233" i="3"/>
  <c r="R233" i="3"/>
  <c r="BG232" i="3"/>
  <c r="AQ232" i="3"/>
  <c r="AA232" i="3"/>
  <c r="K232" i="3"/>
  <c r="BD231" i="3"/>
  <c r="AN231" i="3"/>
  <c r="X231" i="3"/>
  <c r="H231" i="3"/>
  <c r="BA230" i="3"/>
  <c r="AK230" i="3"/>
  <c r="U230" i="3"/>
  <c r="BJ229" i="3"/>
  <c r="AT229" i="3"/>
  <c r="AD229" i="3"/>
  <c r="N229" i="3"/>
  <c r="BC228" i="3"/>
  <c r="AM228" i="3"/>
  <c r="W228" i="3"/>
  <c r="G228" i="3"/>
  <c r="AZ227" i="3"/>
  <c r="AJ227" i="3"/>
  <c r="T227" i="3"/>
  <c r="BM226" i="3"/>
  <c r="AW226" i="3"/>
  <c r="AG226" i="3"/>
  <c r="Q226" i="3"/>
  <c r="BF225" i="3"/>
  <c r="AP225" i="3"/>
  <c r="Z225" i="3"/>
  <c r="J225" i="3"/>
  <c r="AY224" i="3"/>
  <c r="AI224" i="3"/>
  <c r="S224" i="3"/>
  <c r="BL223" i="3"/>
  <c r="AV223" i="3"/>
  <c r="AF223" i="3"/>
  <c r="P223" i="3"/>
  <c r="BI222" i="3"/>
  <c r="AS222" i="3"/>
  <c r="AC222" i="3"/>
  <c r="M222" i="3"/>
  <c r="BB221" i="3"/>
  <c r="AL221" i="3"/>
  <c r="V221" i="3"/>
  <c r="BK220" i="3"/>
  <c r="AU220" i="3"/>
  <c r="AE220" i="3"/>
  <c r="O220" i="3"/>
  <c r="BH219" i="3"/>
  <c r="AR219" i="3"/>
  <c r="AB219" i="3"/>
  <c r="L219" i="3"/>
  <c r="BE218" i="3"/>
  <c r="AO218" i="3"/>
  <c r="Y218" i="3"/>
  <c r="I218" i="3"/>
  <c r="AX217" i="3"/>
  <c r="AH217" i="3"/>
  <c r="R217" i="3"/>
  <c r="BG216" i="3"/>
  <c r="AQ216" i="3"/>
  <c r="AA216" i="3"/>
  <c r="K216" i="3"/>
  <c r="BD215" i="3"/>
  <c r="AN215" i="3"/>
  <c r="X215" i="3"/>
  <c r="H215" i="3"/>
  <c r="BA214" i="3"/>
  <c r="AK214" i="3"/>
  <c r="U214" i="3"/>
  <c r="BJ213" i="3"/>
  <c r="AT213" i="3"/>
  <c r="AD213" i="3"/>
  <c r="N213" i="3"/>
  <c r="BC212" i="3"/>
  <c r="AM212" i="3"/>
  <c r="W212" i="3"/>
  <c r="G212" i="3"/>
  <c r="AZ211" i="3"/>
  <c r="AJ211" i="3"/>
  <c r="T211" i="3"/>
  <c r="BM210" i="3"/>
  <c r="AW210" i="3"/>
  <c r="AG210" i="3"/>
  <c r="Q210" i="3"/>
  <c r="BI208" i="3"/>
  <c r="AS208" i="3"/>
  <c r="AC208" i="3"/>
  <c r="M208" i="3"/>
  <c r="BB207" i="3"/>
  <c r="AL207" i="3"/>
  <c r="V207" i="3"/>
  <c r="BK206" i="3"/>
  <c r="AU206" i="3"/>
  <c r="AE206" i="3"/>
  <c r="O206" i="3"/>
  <c r="BH205" i="3"/>
  <c r="AR205" i="3"/>
  <c r="AB205" i="3"/>
  <c r="L205" i="3"/>
  <c r="BE204" i="3"/>
  <c r="AO204" i="3"/>
  <c r="Y204" i="3"/>
  <c r="I204" i="3"/>
  <c r="AX203" i="3"/>
  <c r="AH203" i="3"/>
  <c r="R203" i="3"/>
  <c r="BG202" i="3"/>
  <c r="AQ202" i="3"/>
  <c r="AA202" i="3"/>
  <c r="K202" i="3"/>
  <c r="BD201" i="3"/>
  <c r="AN201" i="3"/>
  <c r="X201" i="3"/>
  <c r="H201" i="3"/>
  <c r="BA200" i="3"/>
  <c r="AK200" i="3"/>
  <c r="U200" i="3"/>
  <c r="BJ199" i="3"/>
  <c r="AT199" i="3"/>
  <c r="AD199" i="3"/>
  <c r="N199" i="3"/>
  <c r="BC198" i="3"/>
  <c r="AM198" i="3"/>
  <c r="W198" i="3"/>
  <c r="G198" i="3"/>
  <c r="AZ197" i="3"/>
  <c r="AJ197" i="3"/>
  <c r="T197" i="3"/>
  <c r="BM196" i="3"/>
  <c r="AW196" i="3"/>
  <c r="AG196" i="3"/>
  <c r="Q196" i="3"/>
  <c r="BF195" i="3"/>
  <c r="AP195" i="3"/>
  <c r="Z195" i="3"/>
  <c r="J195" i="3"/>
  <c r="AY194" i="3"/>
  <c r="AI194" i="3"/>
  <c r="S194" i="3"/>
  <c r="BL193" i="3"/>
  <c r="AV193" i="3"/>
  <c r="AF193" i="3"/>
  <c r="P193" i="3"/>
  <c r="BI192" i="3"/>
  <c r="AS192" i="3"/>
  <c r="AC192" i="3"/>
  <c r="M192" i="3"/>
  <c r="BB191" i="3"/>
  <c r="AL191" i="3"/>
  <c r="V191" i="3"/>
  <c r="BK190" i="3"/>
  <c r="AU190" i="3"/>
  <c r="AE190" i="3"/>
  <c r="O190" i="3"/>
  <c r="BH189" i="3"/>
  <c r="AR189" i="3"/>
  <c r="AB189" i="3"/>
  <c r="L189" i="3"/>
  <c r="BE188" i="3"/>
  <c r="AO188" i="3"/>
  <c r="Y188" i="3"/>
  <c r="I188" i="3"/>
  <c r="AX187" i="3"/>
  <c r="AH187" i="3"/>
  <c r="R187" i="3"/>
  <c r="BG186" i="3"/>
  <c r="AQ186" i="3"/>
  <c r="AA186" i="3"/>
  <c r="K186" i="3"/>
  <c r="BD185" i="3"/>
  <c r="AN185" i="3"/>
  <c r="X185" i="3"/>
  <c r="H185" i="3"/>
  <c r="BA184" i="3"/>
  <c r="AK184" i="3"/>
  <c r="U184" i="3"/>
  <c r="BJ183" i="3"/>
  <c r="AT183" i="3"/>
  <c r="AD183" i="3"/>
  <c r="N183" i="3"/>
  <c r="BC182" i="3"/>
  <c r="AM182" i="3"/>
  <c r="W182" i="3"/>
  <c r="G182" i="3"/>
  <c r="AZ181" i="3"/>
  <c r="AJ181" i="3"/>
  <c r="T181" i="3"/>
  <c r="BM180" i="3"/>
  <c r="AW180" i="3"/>
  <c r="AG180" i="3"/>
  <c r="Q180" i="3"/>
  <c r="BF179" i="3"/>
  <c r="AP179" i="3"/>
  <c r="Z179" i="3"/>
  <c r="J179" i="3"/>
  <c r="AY178" i="3"/>
  <c r="AI178" i="3"/>
  <c r="S178" i="3"/>
  <c r="BL177" i="3"/>
  <c r="AV177" i="3"/>
  <c r="AF177" i="3"/>
  <c r="P177" i="3"/>
  <c r="BI176" i="3"/>
  <c r="AS176" i="3"/>
  <c r="AC176" i="3"/>
  <c r="M176" i="3"/>
  <c r="BB175" i="3"/>
  <c r="AL175" i="3"/>
  <c r="V175" i="3"/>
  <c r="BK174" i="3"/>
  <c r="AU174" i="3"/>
  <c r="AE174" i="3"/>
  <c r="O174" i="3"/>
  <c r="BH173" i="3"/>
  <c r="AR173" i="3"/>
  <c r="AB173" i="3"/>
  <c r="L173" i="3"/>
  <c r="BE172" i="3"/>
  <c r="AO172" i="3"/>
  <c r="Y172" i="3"/>
  <c r="I172" i="3"/>
  <c r="AX171" i="3"/>
  <c r="AH171" i="3"/>
  <c r="R171" i="3"/>
  <c r="BG170" i="3"/>
  <c r="AQ170" i="3"/>
  <c r="AA170" i="3"/>
  <c r="K170" i="3"/>
  <c r="BD169" i="3"/>
  <c r="AN169" i="3"/>
  <c r="X169" i="3"/>
  <c r="H169" i="3"/>
  <c r="AZ167" i="3"/>
  <c r="AJ167" i="3"/>
  <c r="T167" i="3"/>
  <c r="BM166" i="3"/>
  <c r="AW166" i="3"/>
  <c r="AG166" i="3"/>
  <c r="Q166" i="3"/>
  <c r="BF165" i="3"/>
  <c r="AP165" i="3"/>
  <c r="Z165" i="3"/>
  <c r="J165" i="3"/>
  <c r="AY164" i="3"/>
  <c r="AI164" i="3"/>
  <c r="S164" i="3"/>
  <c r="BL163" i="3"/>
  <c r="AV163" i="3"/>
  <c r="AF163" i="3"/>
  <c r="P163" i="3"/>
  <c r="BI162" i="3"/>
  <c r="AS162" i="3"/>
  <c r="AC162" i="3"/>
  <c r="M162" i="3"/>
  <c r="BB161" i="3"/>
  <c r="AL161" i="3"/>
  <c r="V161" i="3"/>
  <c r="BK160" i="3"/>
  <c r="AU160" i="3"/>
  <c r="AE160" i="3"/>
  <c r="O160" i="3"/>
  <c r="BH159" i="3"/>
  <c r="AR159" i="3"/>
  <c r="AB159" i="3"/>
  <c r="L159" i="3"/>
  <c r="BF661" i="3"/>
  <c r="AP661" i="3"/>
  <c r="Z661" i="3"/>
  <c r="J661" i="3"/>
  <c r="AY660" i="3"/>
  <c r="AI660" i="3"/>
  <c r="S660" i="3"/>
  <c r="BL659" i="3"/>
  <c r="AV659" i="3"/>
  <c r="AF659" i="3"/>
  <c r="P659" i="3"/>
  <c r="BI658" i="3"/>
  <c r="AS658" i="3"/>
  <c r="AC658" i="3"/>
  <c r="M658" i="3"/>
  <c r="BB657" i="3"/>
  <c r="AL657" i="3"/>
  <c r="V657" i="3"/>
  <c r="BK656" i="3"/>
  <c r="AU656" i="3"/>
  <c r="AE656" i="3"/>
  <c r="O656" i="3"/>
  <c r="BH655" i="3"/>
  <c r="AR655" i="3"/>
  <c r="AB655" i="3"/>
  <c r="L655" i="3"/>
  <c r="BE654" i="3"/>
  <c r="AO654" i="3"/>
  <c r="Y654" i="3"/>
  <c r="I654" i="3"/>
  <c r="AX653" i="3"/>
  <c r="AH653" i="3"/>
  <c r="R653" i="3"/>
  <c r="BG652" i="3"/>
  <c r="AQ652" i="3"/>
  <c r="AA652" i="3"/>
  <c r="K652" i="3"/>
  <c r="BD651" i="3"/>
  <c r="AN651" i="3"/>
  <c r="X651" i="3"/>
  <c r="H651" i="3"/>
  <c r="BA650" i="3"/>
  <c r="AK650" i="3"/>
  <c r="U650" i="3"/>
  <c r="BJ649" i="3"/>
  <c r="BM661" i="3"/>
  <c r="AR661" i="3"/>
  <c r="W661" i="3"/>
  <c r="BJ660" i="3"/>
  <c r="AO660" i="3"/>
  <c r="T660" i="3"/>
  <c r="BG659" i="3"/>
  <c r="AL659" i="3"/>
  <c r="Q659" i="3"/>
  <c r="AY658" i="3"/>
  <c r="AD658" i="3"/>
  <c r="H658" i="3"/>
  <c r="AW657" i="3"/>
  <c r="AB657" i="3"/>
  <c r="G657" i="3"/>
  <c r="AT656" i="3"/>
  <c r="Y656" i="3"/>
  <c r="BM655" i="3"/>
  <c r="AQ655" i="3"/>
  <c r="V655" i="3"/>
  <c r="BD654" i="3"/>
  <c r="AI654" i="3"/>
  <c r="N654" i="3"/>
  <c r="BC653" i="3"/>
  <c r="AG653" i="3"/>
  <c r="L653" i="3"/>
  <c r="AZ652" i="3"/>
  <c r="AD652" i="3"/>
  <c r="I652" i="3"/>
  <c r="AW651" i="3"/>
  <c r="AA651" i="3"/>
  <c r="BJ650" i="3"/>
  <c r="AN650" i="3"/>
  <c r="S650" i="3"/>
  <c r="BH649" i="3"/>
  <c r="AO649" i="3"/>
  <c r="Y649" i="3"/>
  <c r="I649" i="3"/>
  <c r="AX648" i="3"/>
  <c r="AH648" i="3"/>
  <c r="R648" i="3"/>
  <c r="BG647" i="3"/>
  <c r="AQ647" i="3"/>
  <c r="AA647" i="3"/>
  <c r="K647" i="3"/>
  <c r="BD646" i="3"/>
  <c r="AN646" i="3"/>
  <c r="X646" i="3"/>
  <c r="H646" i="3"/>
  <c r="AV661" i="3"/>
  <c r="AA661" i="3"/>
  <c r="BI660" i="3"/>
  <c r="AN660" i="3"/>
  <c r="R660" i="3"/>
  <c r="BF659" i="3"/>
  <c r="AK659" i="3"/>
  <c r="O659" i="3"/>
  <c r="AX658" i="3"/>
  <c r="AB658" i="3"/>
  <c r="G658" i="3"/>
  <c r="AV657" i="3"/>
  <c r="AA657" i="3"/>
  <c r="BI656" i="3"/>
  <c r="AN656" i="3"/>
  <c r="R656" i="3"/>
  <c r="BF655" i="3"/>
  <c r="AK655" i="3"/>
  <c r="O655" i="3"/>
  <c r="AX654" i="3"/>
  <c r="AB654" i="3"/>
  <c r="G654" i="3"/>
  <c r="AV653" i="3"/>
  <c r="AA653" i="3"/>
  <c r="BI652" i="3"/>
  <c r="AN652" i="3"/>
  <c r="R652" i="3"/>
  <c r="BF651" i="3"/>
  <c r="AK651" i="3"/>
  <c r="O651" i="3"/>
  <c r="AX650" i="3"/>
  <c r="AB650" i="3"/>
  <c r="G650" i="3"/>
  <c r="AV649" i="3"/>
  <c r="AF649" i="3"/>
  <c r="P649" i="3"/>
  <c r="BI648" i="3"/>
  <c r="AS648" i="3"/>
  <c r="AC648" i="3"/>
  <c r="M648" i="3"/>
  <c r="BB647" i="3"/>
  <c r="AL647" i="3"/>
  <c r="V647" i="3"/>
  <c r="BK646" i="3"/>
  <c r="AU646" i="3"/>
  <c r="AE646" i="3"/>
  <c r="O646" i="3"/>
  <c r="BH645" i="3"/>
  <c r="AR645" i="3"/>
  <c r="AB645" i="3"/>
  <c r="L645" i="3"/>
  <c r="AZ661" i="3"/>
  <c r="AE661" i="3"/>
  <c r="I661" i="3"/>
  <c r="AW660" i="3"/>
  <c r="AB660" i="3"/>
  <c r="BJ659" i="3"/>
  <c r="AO659" i="3"/>
  <c r="S659" i="3"/>
  <c r="BG658" i="3"/>
  <c r="AL658" i="3"/>
  <c r="P658" i="3"/>
  <c r="AZ657" i="3"/>
  <c r="AE657" i="3"/>
  <c r="I657" i="3"/>
  <c r="AW656" i="3"/>
  <c r="AB656" i="3"/>
  <c r="BJ655" i="3"/>
  <c r="AS661" i="3"/>
  <c r="X661" i="3"/>
  <c r="BL660" i="3"/>
  <c r="AP660" i="3"/>
  <c r="U660" i="3"/>
  <c r="BC659" i="3"/>
  <c r="AH659" i="3"/>
  <c r="M659" i="3"/>
  <c r="AZ658" i="3"/>
  <c r="AE658" i="3"/>
  <c r="J658" i="3"/>
  <c r="AS657" i="3"/>
  <c r="X657" i="3"/>
  <c r="BL656" i="3"/>
  <c r="AP656" i="3"/>
  <c r="U656" i="3"/>
  <c r="BC655" i="3"/>
  <c r="AH655" i="3"/>
  <c r="M655" i="3"/>
  <c r="AZ654" i="3"/>
  <c r="AE654" i="3"/>
  <c r="J654" i="3"/>
  <c r="AS653" i="3"/>
  <c r="X653" i="3"/>
  <c r="BL652" i="3"/>
  <c r="AP652" i="3"/>
  <c r="U652" i="3"/>
  <c r="BC651" i="3"/>
  <c r="AH651" i="3"/>
  <c r="M651" i="3"/>
  <c r="AZ650" i="3"/>
  <c r="AE650" i="3"/>
  <c r="J650" i="3"/>
  <c r="AT649" i="3"/>
  <c r="AD649" i="3"/>
  <c r="N649" i="3"/>
  <c r="BC648" i="3"/>
  <c r="AM648" i="3"/>
  <c r="W648" i="3"/>
  <c r="G648" i="3"/>
  <c r="AZ647" i="3"/>
  <c r="AJ647" i="3"/>
  <c r="T647" i="3"/>
  <c r="BM646" i="3"/>
  <c r="AW646" i="3"/>
  <c r="AG646" i="3"/>
  <c r="Q646" i="3"/>
  <c r="BF645" i="3"/>
  <c r="AP645" i="3"/>
  <c r="Z645" i="3"/>
  <c r="J645" i="3"/>
  <c r="AY644" i="3"/>
  <c r="AI644" i="3"/>
  <c r="S644" i="3"/>
  <c r="BL643" i="3"/>
  <c r="AV643" i="3"/>
  <c r="AF643" i="3"/>
  <c r="P643" i="3"/>
  <c r="BI642" i="3"/>
  <c r="AS642" i="3"/>
  <c r="AC642" i="3"/>
  <c r="M642" i="3"/>
  <c r="BB641" i="3"/>
  <c r="AL641" i="3"/>
  <c r="V641" i="3"/>
  <c r="BK640" i="3"/>
  <c r="AU640" i="3"/>
  <c r="AE640" i="3"/>
  <c r="O640" i="3"/>
  <c r="BH639" i="3"/>
  <c r="AR639" i="3"/>
  <c r="AB639" i="3"/>
  <c r="L639" i="3"/>
  <c r="BE638" i="3"/>
  <c r="AO638" i="3"/>
  <c r="Y638" i="3"/>
  <c r="I638" i="3"/>
  <c r="AX637" i="3"/>
  <c r="AH637" i="3"/>
  <c r="R637" i="3"/>
  <c r="BG636" i="3"/>
  <c r="AQ636" i="3"/>
  <c r="AA636" i="3"/>
  <c r="K636" i="3"/>
  <c r="N655" i="3"/>
  <c r="BK653" i="3"/>
  <c r="AR652" i="3"/>
  <c r="AV650" i="3"/>
  <c r="S649" i="3"/>
  <c r="BA647" i="3"/>
  <c r="AH646" i="3"/>
  <c r="AQ645" i="3"/>
  <c r="K645" i="3"/>
  <c r="AW644" i="3"/>
  <c r="AB644" i="3"/>
  <c r="BJ643" i="3"/>
  <c r="AO643" i="3"/>
  <c r="S643" i="3"/>
  <c r="BG642" i="3"/>
  <c r="AL642" i="3"/>
  <c r="P642" i="3"/>
  <c r="AZ641" i="3"/>
  <c r="AE641" i="3"/>
  <c r="I641" i="3"/>
  <c r="AW640" i="3"/>
  <c r="AB640" i="3"/>
  <c r="BJ639" i="3"/>
  <c r="AO639" i="3"/>
  <c r="S639" i="3"/>
  <c r="BG638" i="3"/>
  <c r="AL638" i="3"/>
  <c r="P638" i="3"/>
  <c r="AZ637" i="3"/>
  <c r="AE637" i="3"/>
  <c r="I637" i="3"/>
  <c r="AW636" i="3"/>
  <c r="AB636" i="3"/>
  <c r="BK635" i="3"/>
  <c r="AU635" i="3"/>
  <c r="AE635" i="3"/>
  <c r="O635" i="3"/>
  <c r="BH634" i="3"/>
  <c r="AR634" i="3"/>
  <c r="AB634" i="3"/>
  <c r="L634" i="3"/>
  <c r="BE633" i="3"/>
  <c r="AO633" i="3"/>
  <c r="Y633" i="3"/>
  <c r="I633" i="3"/>
  <c r="AX632" i="3"/>
  <c r="AH632" i="3"/>
  <c r="R632" i="3"/>
  <c r="BG631" i="3"/>
  <c r="AQ631" i="3"/>
  <c r="AA631" i="3"/>
  <c r="K631" i="3"/>
  <c r="BD630" i="3"/>
  <c r="AN630" i="3"/>
  <c r="X630" i="3"/>
  <c r="H630" i="3"/>
  <c r="BA629" i="3"/>
  <c r="AK629" i="3"/>
  <c r="U629" i="3"/>
  <c r="BJ628" i="3"/>
  <c r="AT628" i="3"/>
  <c r="AD628" i="3"/>
  <c r="N628" i="3"/>
  <c r="BC627" i="3"/>
  <c r="AM627" i="3"/>
  <c r="W627" i="3"/>
  <c r="G627" i="3"/>
  <c r="AZ626" i="3"/>
  <c r="AJ626" i="3"/>
  <c r="T626" i="3"/>
  <c r="BM625" i="3"/>
  <c r="AW625" i="3"/>
  <c r="AG625" i="3"/>
  <c r="Q625" i="3"/>
  <c r="BF624" i="3"/>
  <c r="AP624" i="3"/>
  <c r="Z624" i="3"/>
  <c r="J624" i="3"/>
  <c r="AY623" i="3"/>
  <c r="AI623" i="3"/>
  <c r="S623" i="3"/>
  <c r="BL622" i="3"/>
  <c r="AV622" i="3"/>
  <c r="AF622" i="3"/>
  <c r="P622" i="3"/>
  <c r="AD655" i="3"/>
  <c r="K654" i="3"/>
  <c r="BH652" i="3"/>
  <c r="AO651" i="3"/>
  <c r="V650" i="3"/>
  <c r="BL648" i="3"/>
  <c r="BM647" i="3"/>
  <c r="BJ646" i="3"/>
  <c r="BM645" i="3"/>
  <c r="AG645" i="3"/>
  <c r="BL644" i="3"/>
  <c r="AP644" i="3"/>
  <c r="U644" i="3"/>
  <c r="BC643" i="3"/>
  <c r="AH643" i="3"/>
  <c r="M643" i="3"/>
  <c r="AZ642" i="3"/>
  <c r="AE642" i="3"/>
  <c r="J642" i="3"/>
  <c r="AS641" i="3"/>
  <c r="X641" i="3"/>
  <c r="BL640" i="3"/>
  <c r="AP640" i="3"/>
  <c r="U640" i="3"/>
  <c r="BC639" i="3"/>
  <c r="AH639" i="3"/>
  <c r="M639" i="3"/>
  <c r="AZ638" i="3"/>
  <c r="AE638" i="3"/>
  <c r="J638" i="3"/>
  <c r="AS637" i="3"/>
  <c r="X637" i="3"/>
  <c r="BL636" i="3"/>
  <c r="AP636" i="3"/>
  <c r="U636" i="3"/>
  <c r="BF635" i="3"/>
  <c r="AP635" i="3"/>
  <c r="Z635" i="3"/>
  <c r="J635" i="3"/>
  <c r="AY634" i="3"/>
  <c r="AI634" i="3"/>
  <c r="S634" i="3"/>
  <c r="BL633" i="3"/>
  <c r="AV633" i="3"/>
  <c r="AF633" i="3"/>
  <c r="P633" i="3"/>
  <c r="BI632" i="3"/>
  <c r="AS632" i="3"/>
  <c r="AC632" i="3"/>
  <c r="M632" i="3"/>
  <c r="BB631" i="3"/>
  <c r="AL631" i="3"/>
  <c r="V631" i="3"/>
  <c r="BK630" i="3"/>
  <c r="AU630" i="3"/>
  <c r="AE630" i="3"/>
  <c r="O630" i="3"/>
  <c r="BH629" i="3"/>
  <c r="AR629" i="3"/>
  <c r="AB629" i="3"/>
  <c r="L629" i="3"/>
  <c r="BE628" i="3"/>
  <c r="AO628" i="3"/>
  <c r="Y628" i="3"/>
  <c r="I628" i="3"/>
  <c r="AX627" i="3"/>
  <c r="AH627" i="3"/>
  <c r="R627" i="3"/>
  <c r="BG626" i="3"/>
  <c r="AQ626" i="3"/>
  <c r="AA626" i="3"/>
  <c r="K626" i="3"/>
  <c r="BD625" i="3"/>
  <c r="AN625" i="3"/>
  <c r="X625" i="3"/>
  <c r="H625" i="3"/>
  <c r="BA624" i="3"/>
  <c r="AK624" i="3"/>
  <c r="U624" i="3"/>
  <c r="BJ623" i="3"/>
  <c r="AT623" i="3"/>
  <c r="AD623" i="3"/>
  <c r="N623" i="3"/>
  <c r="BC622" i="3"/>
  <c r="AT655" i="3"/>
  <c r="AZ653" i="3"/>
  <c r="AG652" i="3"/>
  <c r="N651" i="3"/>
  <c r="BK649" i="3"/>
  <c r="BH648" i="3"/>
  <c r="BI647" i="3"/>
  <c r="BF646" i="3"/>
  <c r="BK645" i="3"/>
  <c r="AE645" i="3"/>
  <c r="BJ644" i="3"/>
  <c r="AO644" i="3"/>
  <c r="T644" i="3"/>
  <c r="BG643" i="3"/>
  <c r="AL643" i="3"/>
  <c r="Q643" i="3"/>
  <c r="AY642" i="3"/>
  <c r="AD642" i="3"/>
  <c r="H642" i="3"/>
  <c r="AW641" i="3"/>
  <c r="AB641" i="3"/>
  <c r="G641" i="3"/>
  <c r="AT640" i="3"/>
  <c r="Y640" i="3"/>
  <c r="BM639" i="3"/>
  <c r="AQ639" i="3"/>
  <c r="V639" i="3"/>
  <c r="BD638" i="3"/>
  <c r="AI638" i="3"/>
  <c r="N638" i="3"/>
  <c r="BC637" i="3"/>
  <c r="AG637" i="3"/>
  <c r="L637" i="3"/>
  <c r="AZ636" i="3"/>
  <c r="AD636" i="3"/>
  <c r="I636" i="3"/>
  <c r="BA635" i="3"/>
  <c r="AK635" i="3"/>
  <c r="U635" i="3"/>
  <c r="BJ634" i="3"/>
  <c r="AT634" i="3"/>
  <c r="AD634" i="3"/>
  <c r="N634" i="3"/>
  <c r="BC633" i="3"/>
  <c r="AM633" i="3"/>
  <c r="W633" i="3"/>
  <c r="G633" i="3"/>
  <c r="AZ632" i="3"/>
  <c r="AJ632" i="3"/>
  <c r="T632" i="3"/>
  <c r="BM631" i="3"/>
  <c r="AW631" i="3"/>
  <c r="AG631" i="3"/>
  <c r="Q631" i="3"/>
  <c r="BF630" i="3"/>
  <c r="AP630" i="3"/>
  <c r="Z630" i="3"/>
  <c r="J630" i="3"/>
  <c r="AY629" i="3"/>
  <c r="AI629" i="3"/>
  <c r="S629" i="3"/>
  <c r="BL628" i="3"/>
  <c r="AV628" i="3"/>
  <c r="AF628" i="3"/>
  <c r="P628" i="3"/>
  <c r="BI627" i="3"/>
  <c r="AS627" i="3"/>
  <c r="AC627" i="3"/>
  <c r="M627" i="3"/>
  <c r="BB626" i="3"/>
  <c r="AL626" i="3"/>
  <c r="V626" i="3"/>
  <c r="BK625" i="3"/>
  <c r="AU625" i="3"/>
  <c r="AE625" i="3"/>
  <c r="O625" i="3"/>
  <c r="BH624" i="3"/>
  <c r="AR624" i="3"/>
  <c r="AB624" i="3"/>
  <c r="L624" i="3"/>
  <c r="BE623" i="3"/>
  <c r="AO623" i="3"/>
  <c r="Y623" i="3"/>
  <c r="I623" i="3"/>
  <c r="AQ654" i="3"/>
  <c r="AW652" i="3"/>
  <c r="I651" i="3"/>
  <c r="BE649" i="3"/>
  <c r="BD648" i="3"/>
  <c r="BE647" i="3"/>
  <c r="BB646" i="3"/>
  <c r="BA645" i="3"/>
  <c r="U645" i="3"/>
  <c r="AX644" i="3"/>
  <c r="AC644" i="3"/>
  <c r="H644" i="3"/>
  <c r="AU643" i="3"/>
  <c r="Z643" i="3"/>
  <c r="BH642" i="3"/>
  <c r="AM642" i="3"/>
  <c r="R642" i="3"/>
  <c r="BG641" i="3"/>
  <c r="AK641" i="3"/>
  <c r="P641" i="3"/>
  <c r="AX640" i="3"/>
  <c r="AC640" i="3"/>
  <c r="H640" i="3"/>
  <c r="AU639" i="3"/>
  <c r="Z639" i="3"/>
  <c r="BH638" i="3"/>
  <c r="AM638" i="3"/>
  <c r="R638" i="3"/>
  <c r="BG637" i="3"/>
  <c r="AK637" i="3"/>
  <c r="P637" i="3"/>
  <c r="AX636" i="3"/>
  <c r="AC636" i="3"/>
  <c r="H636" i="3"/>
  <c r="AZ635" i="3"/>
  <c r="AJ635" i="3"/>
  <c r="T635" i="3"/>
  <c r="BM634" i="3"/>
  <c r="AW634" i="3"/>
  <c r="AG634" i="3"/>
  <c r="Q634" i="3"/>
  <c r="BF633" i="3"/>
  <c r="AP633" i="3"/>
  <c r="Z633" i="3"/>
  <c r="J633" i="3"/>
  <c r="AY632" i="3"/>
  <c r="AI632" i="3"/>
  <c r="S632" i="3"/>
  <c r="BL631" i="3"/>
  <c r="AV631" i="3"/>
  <c r="AF631" i="3"/>
  <c r="P631" i="3"/>
  <c r="BI630" i="3"/>
  <c r="AS630" i="3"/>
  <c r="AC630" i="3"/>
  <c r="M630" i="3"/>
  <c r="BB629" i="3"/>
  <c r="AL629" i="3"/>
  <c r="V629" i="3"/>
  <c r="BK628" i="3"/>
  <c r="AU628" i="3"/>
  <c r="AE628" i="3"/>
  <c r="O628" i="3"/>
  <c r="BH627" i="3"/>
  <c r="AR627" i="3"/>
  <c r="AB627" i="3"/>
  <c r="L627" i="3"/>
  <c r="BE626" i="3"/>
  <c r="AO626" i="3"/>
  <c r="Y626" i="3"/>
  <c r="I626" i="3"/>
  <c r="AX625" i="3"/>
  <c r="AH625" i="3"/>
  <c r="R625" i="3"/>
  <c r="BG624" i="3"/>
  <c r="AQ624" i="3"/>
  <c r="AA624" i="3"/>
  <c r="K624" i="3"/>
  <c r="BD623" i="3"/>
  <c r="AN623" i="3"/>
  <c r="X623" i="3"/>
  <c r="H623" i="3"/>
  <c r="AK622" i="3"/>
  <c r="O622" i="3"/>
  <c r="BE620" i="3"/>
  <c r="AO620" i="3"/>
  <c r="Y620" i="3"/>
  <c r="I620" i="3"/>
  <c r="AX619" i="3"/>
  <c r="AH619" i="3"/>
  <c r="R619" i="3"/>
  <c r="BG618" i="3"/>
  <c r="AQ618" i="3"/>
  <c r="AA618" i="3"/>
  <c r="K618" i="3"/>
  <c r="BD617" i="3"/>
  <c r="AN617" i="3"/>
  <c r="X617" i="3"/>
  <c r="H617" i="3"/>
  <c r="BA616" i="3"/>
  <c r="AK616" i="3"/>
  <c r="U616" i="3"/>
  <c r="BJ615" i="3"/>
  <c r="AT615" i="3"/>
  <c r="AD615" i="3"/>
  <c r="N615" i="3"/>
  <c r="BC614" i="3"/>
  <c r="AM614" i="3"/>
  <c r="W614" i="3"/>
  <c r="G614" i="3"/>
  <c r="AZ613" i="3"/>
  <c r="AJ613" i="3"/>
  <c r="T613" i="3"/>
  <c r="BM612" i="3"/>
  <c r="AW612" i="3"/>
  <c r="AG612" i="3"/>
  <c r="Q612" i="3"/>
  <c r="BF611" i="3"/>
  <c r="AP611" i="3"/>
  <c r="Z611" i="3"/>
  <c r="J611" i="3"/>
  <c r="AY610" i="3"/>
  <c r="AI610" i="3"/>
  <c r="S610" i="3"/>
  <c r="BL609" i="3"/>
  <c r="AV609" i="3"/>
  <c r="AF609" i="3"/>
  <c r="P609" i="3"/>
  <c r="BI608" i="3"/>
  <c r="AS608" i="3"/>
  <c r="AC608" i="3"/>
  <c r="M608" i="3"/>
  <c r="BB607" i="3"/>
  <c r="AL607" i="3"/>
  <c r="V607" i="3"/>
  <c r="BK606" i="3"/>
  <c r="AU606" i="3"/>
  <c r="AE606" i="3"/>
  <c r="O606" i="3"/>
  <c r="BH605" i="3"/>
  <c r="AR605" i="3"/>
  <c r="AB605" i="3"/>
  <c r="L605" i="3"/>
  <c r="BE604" i="3"/>
  <c r="AO604" i="3"/>
  <c r="Y604" i="3"/>
  <c r="I604" i="3"/>
  <c r="AX603" i="3"/>
  <c r="AH603" i="3"/>
  <c r="R603" i="3"/>
  <c r="BG602" i="3"/>
  <c r="AQ602" i="3"/>
  <c r="AA602" i="3"/>
  <c r="K602" i="3"/>
  <c r="BD601" i="3"/>
  <c r="AN601" i="3"/>
  <c r="X601" i="3"/>
  <c r="H601" i="3"/>
  <c r="BA600" i="3"/>
  <c r="AK600" i="3"/>
  <c r="U600" i="3"/>
  <c r="BJ599" i="3"/>
  <c r="AT599" i="3"/>
  <c r="AD599" i="3"/>
  <c r="N599" i="3"/>
  <c r="AW622" i="3"/>
  <c r="Y622" i="3"/>
  <c r="BL620" i="3"/>
  <c r="AV620" i="3"/>
  <c r="AF620" i="3"/>
  <c r="P620" i="3"/>
  <c r="BI619" i="3"/>
  <c r="AS619" i="3"/>
  <c r="AC619" i="3"/>
  <c r="M619" i="3"/>
  <c r="BB618" i="3"/>
  <c r="AL618" i="3"/>
  <c r="V618" i="3"/>
  <c r="BK617" i="3"/>
  <c r="AU617" i="3"/>
  <c r="AE617" i="3"/>
  <c r="O617" i="3"/>
  <c r="BH616" i="3"/>
  <c r="AR616" i="3"/>
  <c r="AB616" i="3"/>
  <c r="L616" i="3"/>
  <c r="BE615" i="3"/>
  <c r="AO615" i="3"/>
  <c r="Y615" i="3"/>
  <c r="I615" i="3"/>
  <c r="AX614" i="3"/>
  <c r="AH614" i="3"/>
  <c r="R614" i="3"/>
  <c r="BG613" i="3"/>
  <c r="AQ613" i="3"/>
  <c r="AA613" i="3"/>
  <c r="K613" i="3"/>
  <c r="BD612" i="3"/>
  <c r="AN612" i="3"/>
  <c r="X612" i="3"/>
  <c r="H612" i="3"/>
  <c r="BA611" i="3"/>
  <c r="AK611" i="3"/>
  <c r="U611" i="3"/>
  <c r="BJ610" i="3"/>
  <c r="AT610" i="3"/>
  <c r="AD610" i="3"/>
  <c r="N610" i="3"/>
  <c r="BC609" i="3"/>
  <c r="AM609" i="3"/>
  <c r="W609" i="3"/>
  <c r="G609" i="3"/>
  <c r="AZ608" i="3"/>
  <c r="AJ608" i="3"/>
  <c r="T608" i="3"/>
  <c r="BM607" i="3"/>
  <c r="AW607" i="3"/>
  <c r="AG607" i="3"/>
  <c r="Q607" i="3"/>
  <c r="BF606" i="3"/>
  <c r="AP606" i="3"/>
  <c r="Z606" i="3"/>
  <c r="J606" i="3"/>
  <c r="AY605" i="3"/>
  <c r="AI605" i="3"/>
  <c r="S605" i="3"/>
  <c r="BL604" i="3"/>
  <c r="AV604" i="3"/>
  <c r="AF604" i="3"/>
  <c r="P604" i="3"/>
  <c r="BI603" i="3"/>
  <c r="AS603" i="3"/>
  <c r="AC603" i="3"/>
  <c r="M603" i="3"/>
  <c r="BB602" i="3"/>
  <c r="AL602" i="3"/>
  <c r="V602" i="3"/>
  <c r="BK601" i="3"/>
  <c r="AU601" i="3"/>
  <c r="AE601" i="3"/>
  <c r="O601" i="3"/>
  <c r="BH600" i="3"/>
  <c r="AR600" i="3"/>
  <c r="AB600" i="3"/>
  <c r="L600" i="3"/>
  <c r="BE599" i="3"/>
  <c r="AO599" i="3"/>
  <c r="BB622" i="3"/>
  <c r="AC622" i="3"/>
  <c r="G622" i="3"/>
  <c r="AY620" i="3"/>
  <c r="AI620" i="3"/>
  <c r="S620" i="3"/>
  <c r="BL619" i="3"/>
  <c r="AV619" i="3"/>
  <c r="AF619" i="3"/>
  <c r="P619" i="3"/>
  <c r="BI618" i="3"/>
  <c r="AS618" i="3"/>
  <c r="AC618" i="3"/>
  <c r="M618" i="3"/>
  <c r="BB617" i="3"/>
  <c r="AL617" i="3"/>
  <c r="V617" i="3"/>
  <c r="BK616" i="3"/>
  <c r="AU616" i="3"/>
  <c r="AE616" i="3"/>
  <c r="O616" i="3"/>
  <c r="BH615" i="3"/>
  <c r="AR615" i="3"/>
  <c r="AB615" i="3"/>
  <c r="L615" i="3"/>
  <c r="BE614" i="3"/>
  <c r="AO614" i="3"/>
  <c r="Y614" i="3"/>
  <c r="I614" i="3"/>
  <c r="AX613" i="3"/>
  <c r="AH613" i="3"/>
  <c r="R613" i="3"/>
  <c r="BG612" i="3"/>
  <c r="AQ612" i="3"/>
  <c r="AA612" i="3"/>
  <c r="K612" i="3"/>
  <c r="BD611" i="3"/>
  <c r="AN611" i="3"/>
  <c r="X611" i="3"/>
  <c r="H611" i="3"/>
  <c r="BA610" i="3"/>
  <c r="AK610" i="3"/>
  <c r="U610" i="3"/>
  <c r="BJ609" i="3"/>
  <c r="AT609" i="3"/>
  <c r="AD609" i="3"/>
  <c r="N609" i="3"/>
  <c r="BC608" i="3"/>
  <c r="AM608" i="3"/>
  <c r="W608" i="3"/>
  <c r="G608" i="3"/>
  <c r="AZ607" i="3"/>
  <c r="AJ607" i="3"/>
  <c r="T607" i="3"/>
  <c r="BM606" i="3"/>
  <c r="AW606" i="3"/>
  <c r="AG606" i="3"/>
  <c r="Q606" i="3"/>
  <c r="BF605" i="3"/>
  <c r="AP605" i="3"/>
  <c r="Z605" i="3"/>
  <c r="J605" i="3"/>
  <c r="AY604" i="3"/>
  <c r="AI604" i="3"/>
  <c r="S604" i="3"/>
  <c r="BL603" i="3"/>
  <c r="AV603" i="3"/>
  <c r="AF603" i="3"/>
  <c r="P603" i="3"/>
  <c r="BI602" i="3"/>
  <c r="AS602" i="3"/>
  <c r="AC602" i="3"/>
  <c r="M602" i="3"/>
  <c r="BB601" i="3"/>
  <c r="AL601" i="3"/>
  <c r="V601" i="3"/>
  <c r="BK600" i="3"/>
  <c r="AU600" i="3"/>
  <c r="AE600" i="3"/>
  <c r="O600" i="3"/>
  <c r="BI622" i="3"/>
  <c r="AG622" i="3"/>
  <c r="K622" i="3"/>
  <c r="AX620" i="3"/>
  <c r="AH620" i="3"/>
  <c r="R620" i="3"/>
  <c r="BG619" i="3"/>
  <c r="AQ619" i="3"/>
  <c r="AA619" i="3"/>
  <c r="K619" i="3"/>
  <c r="BD618" i="3"/>
  <c r="AN618" i="3"/>
  <c r="X618" i="3"/>
  <c r="H618" i="3"/>
  <c r="BA617" i="3"/>
  <c r="AK617" i="3"/>
  <c r="U617" i="3"/>
  <c r="BJ616" i="3"/>
  <c r="AT616" i="3"/>
  <c r="AD616" i="3"/>
  <c r="N616" i="3"/>
  <c r="BC615" i="3"/>
  <c r="AM615" i="3"/>
  <c r="W615" i="3"/>
  <c r="G615" i="3"/>
  <c r="AZ614" i="3"/>
  <c r="AJ614" i="3"/>
  <c r="T614" i="3"/>
  <c r="BM613" i="3"/>
  <c r="AW613" i="3"/>
  <c r="AG613" i="3"/>
  <c r="Q613" i="3"/>
  <c r="BF612" i="3"/>
  <c r="AP612" i="3"/>
  <c r="Z612" i="3"/>
  <c r="J612" i="3"/>
  <c r="AY611" i="3"/>
  <c r="AI611" i="3"/>
  <c r="S611" i="3"/>
  <c r="BL610" i="3"/>
  <c r="AV610" i="3"/>
  <c r="AF610" i="3"/>
  <c r="P610" i="3"/>
  <c r="BI609" i="3"/>
  <c r="AS609" i="3"/>
  <c r="AC609" i="3"/>
  <c r="M609" i="3"/>
  <c r="BB608" i="3"/>
  <c r="AL608" i="3"/>
  <c r="V608" i="3"/>
  <c r="BK607" i="3"/>
  <c r="AU607" i="3"/>
  <c r="AE607" i="3"/>
  <c r="O607" i="3"/>
  <c r="BH606" i="3"/>
  <c r="AR606" i="3"/>
  <c r="AB606" i="3"/>
  <c r="L606" i="3"/>
  <c r="BE605" i="3"/>
  <c r="AO605" i="3"/>
  <c r="Y605" i="3"/>
  <c r="I605" i="3"/>
  <c r="AX604" i="3"/>
  <c r="AH604" i="3"/>
  <c r="R604" i="3"/>
  <c r="BG603" i="3"/>
  <c r="AQ603" i="3"/>
  <c r="AA603" i="3"/>
  <c r="K603" i="3"/>
  <c r="BD602" i="3"/>
  <c r="AN602" i="3"/>
  <c r="X602" i="3"/>
  <c r="H602" i="3"/>
  <c r="BA601" i="3"/>
  <c r="AK601" i="3"/>
  <c r="U601" i="3"/>
  <c r="BJ600" i="3"/>
  <c r="AT600" i="3"/>
  <c r="AD600" i="3"/>
  <c r="N600" i="3"/>
  <c r="BC599" i="3"/>
  <c r="AM599" i="3"/>
  <c r="W599" i="3"/>
  <c r="G599" i="3"/>
  <c r="Q599" i="3"/>
  <c r="BD598" i="3"/>
  <c r="AN598" i="3"/>
  <c r="X598" i="3"/>
  <c r="H598" i="3"/>
  <c r="BA597" i="3"/>
  <c r="AK597" i="3"/>
  <c r="U597" i="3"/>
  <c r="BJ596" i="3"/>
  <c r="AT596" i="3"/>
  <c r="AD596" i="3"/>
  <c r="N596" i="3"/>
  <c r="BC595" i="3"/>
  <c r="AM595" i="3"/>
  <c r="W595" i="3"/>
  <c r="G595" i="3"/>
  <c r="AZ594" i="3"/>
  <c r="AJ594" i="3"/>
  <c r="T594" i="3"/>
  <c r="BM593" i="3"/>
  <c r="AW593" i="3"/>
  <c r="AG593" i="3"/>
  <c r="Q593" i="3"/>
  <c r="BF592" i="3"/>
  <c r="AP592" i="3"/>
  <c r="Z592" i="3"/>
  <c r="J592" i="3"/>
  <c r="AY591" i="3"/>
  <c r="AI591" i="3"/>
  <c r="S591" i="3"/>
  <c r="BL590" i="3"/>
  <c r="AV590" i="3"/>
  <c r="AF590" i="3"/>
  <c r="P590" i="3"/>
  <c r="BI589" i="3"/>
  <c r="AS589" i="3"/>
  <c r="AC589" i="3"/>
  <c r="M589" i="3"/>
  <c r="BB588" i="3"/>
  <c r="AL588" i="3"/>
  <c r="V588" i="3"/>
  <c r="BK587" i="3"/>
  <c r="AU587" i="3"/>
  <c r="AE587" i="3"/>
  <c r="O587" i="3"/>
  <c r="BH586" i="3"/>
  <c r="AR586" i="3"/>
  <c r="AB586" i="3"/>
  <c r="L586" i="3"/>
  <c r="BE585" i="3"/>
  <c r="AO585" i="3"/>
  <c r="Y585" i="3"/>
  <c r="I585" i="3"/>
  <c r="AX584" i="3"/>
  <c r="AH584" i="3"/>
  <c r="R584" i="3"/>
  <c r="BG583" i="3"/>
  <c r="AQ583" i="3"/>
  <c r="AA583" i="3"/>
  <c r="K583" i="3"/>
  <c r="BD582" i="3"/>
  <c r="AN582" i="3"/>
  <c r="X582" i="3"/>
  <c r="H582" i="3"/>
  <c r="BA581" i="3"/>
  <c r="AK581" i="3"/>
  <c r="U581" i="3"/>
  <c r="BM579" i="3"/>
  <c r="AW579" i="3"/>
  <c r="AG579" i="3"/>
  <c r="Q579" i="3"/>
  <c r="BF578" i="3"/>
  <c r="AP578" i="3"/>
  <c r="Z578" i="3"/>
  <c r="J578" i="3"/>
  <c r="AY577" i="3"/>
  <c r="AI577" i="3"/>
  <c r="S577" i="3"/>
  <c r="BL576" i="3"/>
  <c r="AV576" i="3"/>
  <c r="AF576" i="3"/>
  <c r="P576" i="3"/>
  <c r="BI575" i="3"/>
  <c r="AS575" i="3"/>
  <c r="AC575" i="3"/>
  <c r="M575" i="3"/>
  <c r="BB574" i="3"/>
  <c r="AL574" i="3"/>
  <c r="V574" i="3"/>
  <c r="BK573" i="3"/>
  <c r="AU573" i="3"/>
  <c r="AE573" i="3"/>
  <c r="O573" i="3"/>
  <c r="BH572" i="3"/>
  <c r="AR572" i="3"/>
  <c r="AB572" i="3"/>
  <c r="L572" i="3"/>
  <c r="BE571" i="3"/>
  <c r="AO571" i="3"/>
  <c r="Y571" i="3"/>
  <c r="I571" i="3"/>
  <c r="AX570" i="3"/>
  <c r="AH570" i="3"/>
  <c r="R570" i="3"/>
  <c r="BG569" i="3"/>
  <c r="AQ569" i="3"/>
  <c r="AA569" i="3"/>
  <c r="K569" i="3"/>
  <c r="BD568" i="3"/>
  <c r="AN568" i="3"/>
  <c r="X568" i="3"/>
  <c r="H568" i="3"/>
  <c r="BA567" i="3"/>
  <c r="AK567" i="3"/>
  <c r="U567" i="3"/>
  <c r="BJ566" i="3"/>
  <c r="AT566" i="3"/>
  <c r="AD566" i="3"/>
  <c r="N566" i="3"/>
  <c r="BC565" i="3"/>
  <c r="AM565" i="3"/>
  <c r="W565" i="3"/>
  <c r="G565" i="3"/>
  <c r="AZ564" i="3"/>
  <c r="AJ564" i="3"/>
  <c r="T564" i="3"/>
  <c r="BM563" i="3"/>
  <c r="AW563" i="3"/>
  <c r="AG563" i="3"/>
  <c r="Q563" i="3"/>
  <c r="BF562" i="3"/>
  <c r="AP562" i="3"/>
  <c r="Z562" i="3"/>
  <c r="J562" i="3"/>
  <c r="AY561" i="3"/>
  <c r="AI561" i="3"/>
  <c r="S561" i="3"/>
  <c r="BL560" i="3"/>
  <c r="AV560" i="3"/>
  <c r="AF560" i="3"/>
  <c r="P560" i="3"/>
  <c r="BI559" i="3"/>
  <c r="AS559" i="3"/>
  <c r="AC559" i="3"/>
  <c r="M559" i="3"/>
  <c r="BB558" i="3"/>
  <c r="AL558" i="3"/>
  <c r="V558" i="3"/>
  <c r="BK557" i="3"/>
  <c r="AU557" i="3"/>
  <c r="AE557" i="3"/>
  <c r="O557" i="3"/>
  <c r="BH556" i="3"/>
  <c r="AR556" i="3"/>
  <c r="AB556" i="3"/>
  <c r="L556" i="3"/>
  <c r="BE555" i="3"/>
  <c r="AO555" i="3"/>
  <c r="Y555" i="3"/>
  <c r="I555" i="3"/>
  <c r="AX554" i="3"/>
  <c r="AH554" i="3"/>
  <c r="R554" i="3"/>
  <c r="BG553" i="3"/>
  <c r="P599" i="3"/>
  <c r="BC598" i="3"/>
  <c r="AM598" i="3"/>
  <c r="W598" i="3"/>
  <c r="G598" i="3"/>
  <c r="AZ597" i="3"/>
  <c r="AJ597" i="3"/>
  <c r="T597" i="3"/>
  <c r="BM596" i="3"/>
  <c r="AW596" i="3"/>
  <c r="AG596" i="3"/>
  <c r="Q596" i="3"/>
  <c r="BF595" i="3"/>
  <c r="AP595" i="3"/>
  <c r="Z595" i="3"/>
  <c r="J595" i="3"/>
  <c r="AY594" i="3"/>
  <c r="AI594" i="3"/>
  <c r="S594" i="3"/>
  <c r="BL593" i="3"/>
  <c r="AV593" i="3"/>
  <c r="AF593" i="3"/>
  <c r="P593" i="3"/>
  <c r="BI592" i="3"/>
  <c r="AS592" i="3"/>
  <c r="AC592" i="3"/>
  <c r="M592" i="3"/>
  <c r="BB591" i="3"/>
  <c r="AL591" i="3"/>
  <c r="V591" i="3"/>
  <c r="BK590" i="3"/>
  <c r="AU590" i="3"/>
  <c r="AE590" i="3"/>
  <c r="O590" i="3"/>
  <c r="BH589" i="3"/>
  <c r="AR589" i="3"/>
  <c r="AB589" i="3"/>
  <c r="L589" i="3"/>
  <c r="BE588" i="3"/>
  <c r="AO588" i="3"/>
  <c r="Y588" i="3"/>
  <c r="I588" i="3"/>
  <c r="AX587" i="3"/>
  <c r="AH587" i="3"/>
  <c r="R587" i="3"/>
  <c r="BG586" i="3"/>
  <c r="AQ586" i="3"/>
  <c r="AA586" i="3"/>
  <c r="K586" i="3"/>
  <c r="BD585" i="3"/>
  <c r="AN585" i="3"/>
  <c r="X585" i="3"/>
  <c r="H585" i="3"/>
  <c r="BA584" i="3"/>
  <c r="AK584" i="3"/>
  <c r="U584" i="3"/>
  <c r="BJ583" i="3"/>
  <c r="AT583" i="3"/>
  <c r="AD583" i="3"/>
  <c r="N583" i="3"/>
  <c r="BC582" i="3"/>
  <c r="AM582" i="3"/>
  <c r="W582" i="3"/>
  <c r="G582" i="3"/>
  <c r="AZ581" i="3"/>
  <c r="AJ581" i="3"/>
  <c r="T581" i="3"/>
  <c r="BL579" i="3"/>
  <c r="AV579" i="3"/>
  <c r="AF579" i="3"/>
  <c r="P579" i="3"/>
  <c r="BI578" i="3"/>
  <c r="AS578" i="3"/>
  <c r="AC578" i="3"/>
  <c r="M578" i="3"/>
  <c r="BB577" i="3"/>
  <c r="AL577" i="3"/>
  <c r="V577" i="3"/>
  <c r="BK576" i="3"/>
  <c r="AU576" i="3"/>
  <c r="AE576" i="3"/>
  <c r="O576" i="3"/>
  <c r="BH575" i="3"/>
  <c r="AR575" i="3"/>
  <c r="AB575" i="3"/>
  <c r="L575" i="3"/>
  <c r="BE574" i="3"/>
  <c r="AO574" i="3"/>
  <c r="Y574" i="3"/>
  <c r="I574" i="3"/>
  <c r="AX573" i="3"/>
  <c r="AH573" i="3"/>
  <c r="R573" i="3"/>
  <c r="BG572" i="3"/>
  <c r="AQ572" i="3"/>
  <c r="AA572" i="3"/>
  <c r="K572" i="3"/>
  <c r="BD571" i="3"/>
  <c r="AN571" i="3"/>
  <c r="X571" i="3"/>
  <c r="H571" i="3"/>
  <c r="BA570" i="3"/>
  <c r="AK570" i="3"/>
  <c r="U570" i="3"/>
  <c r="BJ569" i="3"/>
  <c r="AT569" i="3"/>
  <c r="AD569" i="3"/>
  <c r="N569" i="3"/>
  <c r="BC568" i="3"/>
  <c r="AM568" i="3"/>
  <c r="W568" i="3"/>
  <c r="G568" i="3"/>
  <c r="AZ567" i="3"/>
  <c r="AJ567" i="3"/>
  <c r="T567" i="3"/>
  <c r="BM566" i="3"/>
  <c r="AW566" i="3"/>
  <c r="AG566" i="3"/>
  <c r="Q566" i="3"/>
  <c r="BF565" i="3"/>
  <c r="AP565" i="3"/>
  <c r="Z565" i="3"/>
  <c r="J565" i="3"/>
  <c r="AY564" i="3"/>
  <c r="AI564" i="3"/>
  <c r="S564" i="3"/>
  <c r="BL563" i="3"/>
  <c r="AV563" i="3"/>
  <c r="AF563" i="3"/>
  <c r="P563" i="3"/>
  <c r="BI562" i="3"/>
  <c r="AS562" i="3"/>
  <c r="AC562" i="3"/>
  <c r="M562" i="3"/>
  <c r="BB561" i="3"/>
  <c r="AL561" i="3"/>
  <c r="V561" i="3"/>
  <c r="BK560" i="3"/>
  <c r="AU560" i="3"/>
  <c r="AE560" i="3"/>
  <c r="O560" i="3"/>
  <c r="BH559" i="3"/>
  <c r="AR559" i="3"/>
  <c r="AB559" i="3"/>
  <c r="L559" i="3"/>
  <c r="BE558" i="3"/>
  <c r="AO558" i="3"/>
  <c r="Y558" i="3"/>
  <c r="I558" i="3"/>
  <c r="AX557" i="3"/>
  <c r="AH557" i="3"/>
  <c r="R557" i="3"/>
  <c r="BG556" i="3"/>
  <c r="AQ556" i="3"/>
  <c r="AA556" i="3"/>
  <c r="K556" i="3"/>
  <c r="BD555" i="3"/>
  <c r="AN555" i="3"/>
  <c r="X555" i="3"/>
  <c r="H555" i="3"/>
  <c r="BA554" i="3"/>
  <c r="AK554" i="3"/>
  <c r="U554" i="3"/>
  <c r="BH599" i="3"/>
  <c r="M599" i="3"/>
  <c r="AX598" i="3"/>
  <c r="AH598" i="3"/>
  <c r="R598" i="3"/>
  <c r="BG597" i="3"/>
  <c r="AQ597" i="3"/>
  <c r="AA597" i="3"/>
  <c r="K597" i="3"/>
  <c r="BD596" i="3"/>
  <c r="AN596" i="3"/>
  <c r="X596" i="3"/>
  <c r="H596" i="3"/>
  <c r="BA595" i="3"/>
  <c r="AK595" i="3"/>
  <c r="U595" i="3"/>
  <c r="BJ594" i="3"/>
  <c r="AT594" i="3"/>
  <c r="AD594" i="3"/>
  <c r="N594" i="3"/>
  <c r="BC593" i="3"/>
  <c r="AM593" i="3"/>
  <c r="W593" i="3"/>
  <c r="G593" i="3"/>
  <c r="AZ592" i="3"/>
  <c r="AJ592" i="3"/>
  <c r="T592" i="3"/>
  <c r="BM591" i="3"/>
  <c r="AW591" i="3"/>
  <c r="AG591" i="3"/>
  <c r="Q591" i="3"/>
  <c r="BF590" i="3"/>
  <c r="AP590" i="3"/>
  <c r="Z590" i="3"/>
  <c r="J590" i="3"/>
  <c r="AY589" i="3"/>
  <c r="AI589" i="3"/>
  <c r="S589" i="3"/>
  <c r="BL588" i="3"/>
  <c r="AV588" i="3"/>
  <c r="AF588" i="3"/>
  <c r="P588" i="3"/>
  <c r="BI587" i="3"/>
  <c r="AS587" i="3"/>
  <c r="AC587" i="3"/>
  <c r="M587" i="3"/>
  <c r="BB586" i="3"/>
  <c r="AL586" i="3"/>
  <c r="V586" i="3"/>
  <c r="BK585" i="3"/>
  <c r="AU585" i="3"/>
  <c r="AE585" i="3"/>
  <c r="O585" i="3"/>
  <c r="BH584" i="3"/>
  <c r="AR584" i="3"/>
  <c r="AB584" i="3"/>
  <c r="L584" i="3"/>
  <c r="BE583" i="3"/>
  <c r="AO583" i="3"/>
  <c r="Y583" i="3"/>
  <c r="I583" i="3"/>
  <c r="AX582" i="3"/>
  <c r="AH582" i="3"/>
  <c r="R582" i="3"/>
  <c r="BG581" i="3"/>
  <c r="AQ581" i="3"/>
  <c r="AA581" i="3"/>
  <c r="K581" i="3"/>
  <c r="BC579" i="3"/>
  <c r="AM579" i="3"/>
  <c r="W579" i="3"/>
  <c r="G579" i="3"/>
  <c r="AZ578" i="3"/>
  <c r="AJ578" i="3"/>
  <c r="T578" i="3"/>
  <c r="BM577" i="3"/>
  <c r="AW577" i="3"/>
  <c r="AG577" i="3"/>
  <c r="Q577" i="3"/>
  <c r="BF576" i="3"/>
  <c r="AP576" i="3"/>
  <c r="Z576" i="3"/>
  <c r="J576" i="3"/>
  <c r="AY575" i="3"/>
  <c r="AI575" i="3"/>
  <c r="S575" i="3"/>
  <c r="BL574" i="3"/>
  <c r="AV574" i="3"/>
  <c r="AF574" i="3"/>
  <c r="P574" i="3"/>
  <c r="BI573" i="3"/>
  <c r="AS573" i="3"/>
  <c r="AC573" i="3"/>
  <c r="M573" i="3"/>
  <c r="BB572" i="3"/>
  <c r="AL572" i="3"/>
  <c r="V572" i="3"/>
  <c r="BK571" i="3"/>
  <c r="AU571" i="3"/>
  <c r="AE571" i="3"/>
  <c r="O571" i="3"/>
  <c r="BH570" i="3"/>
  <c r="AR570" i="3"/>
  <c r="AB570" i="3"/>
  <c r="L570" i="3"/>
  <c r="BE569" i="3"/>
  <c r="AO569" i="3"/>
  <c r="Y569" i="3"/>
  <c r="I569" i="3"/>
  <c r="AX568" i="3"/>
  <c r="AH568" i="3"/>
  <c r="R568" i="3"/>
  <c r="BG567" i="3"/>
  <c r="AQ567" i="3"/>
  <c r="AA567" i="3"/>
  <c r="K567" i="3"/>
  <c r="BD566" i="3"/>
  <c r="AN566" i="3"/>
  <c r="X566" i="3"/>
  <c r="H566" i="3"/>
  <c r="BA565" i="3"/>
  <c r="AK565" i="3"/>
  <c r="U565" i="3"/>
  <c r="BJ564" i="3"/>
  <c r="AT564" i="3"/>
  <c r="AD564" i="3"/>
  <c r="N564" i="3"/>
  <c r="BC563" i="3"/>
  <c r="AM563" i="3"/>
  <c r="W563" i="3"/>
  <c r="G563" i="3"/>
  <c r="AZ562" i="3"/>
  <c r="AJ562" i="3"/>
  <c r="T562" i="3"/>
  <c r="BM561" i="3"/>
  <c r="AW561" i="3"/>
  <c r="AG561" i="3"/>
  <c r="Q561" i="3"/>
  <c r="BF560" i="3"/>
  <c r="AP560" i="3"/>
  <c r="Z560" i="3"/>
  <c r="J560" i="3"/>
  <c r="AY559" i="3"/>
  <c r="AI559" i="3"/>
  <c r="S559" i="3"/>
  <c r="BL558" i="3"/>
  <c r="AV558" i="3"/>
  <c r="AF558" i="3"/>
  <c r="P558" i="3"/>
  <c r="BI557" i="3"/>
  <c r="AS557" i="3"/>
  <c r="AC557" i="3"/>
  <c r="M557" i="3"/>
  <c r="BB556" i="3"/>
  <c r="AL556" i="3"/>
  <c r="V556" i="3"/>
  <c r="BK555" i="3"/>
  <c r="AU555" i="3"/>
  <c r="AE555" i="3"/>
  <c r="O555" i="3"/>
  <c r="AN599" i="3"/>
  <c r="BM598" i="3"/>
  <c r="AW598" i="3"/>
  <c r="AG598" i="3"/>
  <c r="Q598" i="3"/>
  <c r="BF597" i="3"/>
  <c r="AP597" i="3"/>
  <c r="Z597" i="3"/>
  <c r="J597" i="3"/>
  <c r="AY596" i="3"/>
  <c r="AI596" i="3"/>
  <c r="S596" i="3"/>
  <c r="BL595" i="3"/>
  <c r="AV595" i="3"/>
  <c r="AF595" i="3"/>
  <c r="P595" i="3"/>
  <c r="BI594" i="3"/>
  <c r="AS594" i="3"/>
  <c r="AC594" i="3"/>
  <c r="M594" i="3"/>
  <c r="BB593" i="3"/>
  <c r="AL593" i="3"/>
  <c r="V593" i="3"/>
  <c r="BK592" i="3"/>
  <c r="AU592" i="3"/>
  <c r="AE592" i="3"/>
  <c r="O592" i="3"/>
  <c r="BH591" i="3"/>
  <c r="AR591" i="3"/>
  <c r="AB591" i="3"/>
  <c r="L591" i="3"/>
  <c r="BE590" i="3"/>
  <c r="AO590" i="3"/>
  <c r="Y590" i="3"/>
  <c r="I590" i="3"/>
  <c r="AX589" i="3"/>
  <c r="AH589" i="3"/>
  <c r="R589" i="3"/>
  <c r="BG588" i="3"/>
  <c r="AQ588" i="3"/>
  <c r="AA588" i="3"/>
  <c r="K588" i="3"/>
  <c r="BD587" i="3"/>
  <c r="AN587" i="3"/>
  <c r="X587" i="3"/>
  <c r="H587" i="3"/>
  <c r="BA586" i="3"/>
  <c r="AK586" i="3"/>
  <c r="U586" i="3"/>
  <c r="BJ585" i="3"/>
  <c r="AT585" i="3"/>
  <c r="AD585" i="3"/>
  <c r="N585" i="3"/>
  <c r="BC584" i="3"/>
  <c r="AM584" i="3"/>
  <c r="W584" i="3"/>
  <c r="G584" i="3"/>
  <c r="AZ583" i="3"/>
  <c r="AJ583" i="3"/>
  <c r="T583" i="3"/>
  <c r="BM582" i="3"/>
  <c r="AW582" i="3"/>
  <c r="AG582" i="3"/>
  <c r="Q582" i="3"/>
  <c r="BF581" i="3"/>
  <c r="AP581" i="3"/>
  <c r="Z581" i="3"/>
  <c r="J581" i="3"/>
  <c r="AX579" i="3"/>
  <c r="AH579" i="3"/>
  <c r="R579" i="3"/>
  <c r="BG578" i="3"/>
  <c r="AQ578" i="3"/>
  <c r="AA578" i="3"/>
  <c r="K578" i="3"/>
  <c r="BD577" i="3"/>
  <c r="AN577" i="3"/>
  <c r="X577" i="3"/>
  <c r="H577" i="3"/>
  <c r="BA576" i="3"/>
  <c r="AK576" i="3"/>
  <c r="U576" i="3"/>
  <c r="BJ575" i="3"/>
  <c r="AT575" i="3"/>
  <c r="AD575" i="3"/>
  <c r="N575" i="3"/>
  <c r="BC574" i="3"/>
  <c r="AM574" i="3"/>
  <c r="W574" i="3"/>
  <c r="G574" i="3"/>
  <c r="AZ573" i="3"/>
  <c r="AJ573" i="3"/>
  <c r="T573" i="3"/>
  <c r="BM572" i="3"/>
  <c r="AW572" i="3"/>
  <c r="AG572" i="3"/>
  <c r="Q572" i="3"/>
  <c r="BF571" i="3"/>
  <c r="AP571" i="3"/>
  <c r="Z571" i="3"/>
  <c r="J571" i="3"/>
  <c r="AY570" i="3"/>
  <c r="AI570" i="3"/>
  <c r="S570" i="3"/>
  <c r="BL569" i="3"/>
  <c r="AV569" i="3"/>
  <c r="AF569" i="3"/>
  <c r="P569" i="3"/>
  <c r="BI568" i="3"/>
  <c r="AS568" i="3"/>
  <c r="AC568" i="3"/>
  <c r="M568" i="3"/>
  <c r="BB567" i="3"/>
  <c r="AL567" i="3"/>
  <c r="V567" i="3"/>
  <c r="BK566" i="3"/>
  <c r="AU566" i="3"/>
  <c r="AE566" i="3"/>
  <c r="O566" i="3"/>
  <c r="BH565" i="3"/>
  <c r="AR565" i="3"/>
  <c r="AB565" i="3"/>
  <c r="L565" i="3"/>
  <c r="BE564" i="3"/>
  <c r="AO564" i="3"/>
  <c r="Y564" i="3"/>
  <c r="I564" i="3"/>
  <c r="AX563" i="3"/>
  <c r="AH563" i="3"/>
  <c r="R563" i="3"/>
  <c r="BG562" i="3"/>
  <c r="AQ562" i="3"/>
  <c r="AA562" i="3"/>
  <c r="K562" i="3"/>
  <c r="BD561" i="3"/>
  <c r="AN561" i="3"/>
  <c r="X561" i="3"/>
  <c r="H561" i="3"/>
  <c r="BA560" i="3"/>
  <c r="AK560" i="3"/>
  <c r="U560" i="3"/>
  <c r="BJ559" i="3"/>
  <c r="AT559" i="3"/>
  <c r="AD559" i="3"/>
  <c r="N559" i="3"/>
  <c r="BC558" i="3"/>
  <c r="AM558" i="3"/>
  <c r="W558" i="3"/>
  <c r="G558" i="3"/>
  <c r="AZ557" i="3"/>
  <c r="AJ557" i="3"/>
  <c r="T557" i="3"/>
  <c r="BM556" i="3"/>
  <c r="AW556" i="3"/>
  <c r="AG556" i="3"/>
  <c r="Q556" i="3"/>
  <c r="BF555" i="3"/>
  <c r="AP555" i="3"/>
  <c r="Z555" i="3"/>
  <c r="J555" i="3"/>
  <c r="AI554" i="3"/>
  <c r="BM553" i="3"/>
  <c r="AU553" i="3"/>
  <c r="AE553" i="3"/>
  <c r="O553" i="3"/>
  <c r="BH552" i="3"/>
  <c r="AR552" i="3"/>
  <c r="AB552" i="3"/>
  <c r="L552" i="3"/>
  <c r="BE551" i="3"/>
  <c r="AO551" i="3"/>
  <c r="Y551" i="3"/>
  <c r="I551" i="3"/>
  <c r="AX550" i="3"/>
  <c r="AH550" i="3"/>
  <c r="R550" i="3"/>
  <c r="BG549" i="3"/>
  <c r="AQ549" i="3"/>
  <c r="AA549" i="3"/>
  <c r="K549" i="3"/>
  <c r="BD548" i="3"/>
  <c r="AN548" i="3"/>
  <c r="X548" i="3"/>
  <c r="H548" i="3"/>
  <c r="BA547" i="3"/>
  <c r="AK547" i="3"/>
  <c r="U547" i="3"/>
  <c r="BJ546" i="3"/>
  <c r="AT546" i="3"/>
  <c r="AD546" i="3"/>
  <c r="N546" i="3"/>
  <c r="BC545" i="3"/>
  <c r="AM545" i="3"/>
  <c r="W545" i="3"/>
  <c r="G545" i="3"/>
  <c r="AZ544" i="3"/>
  <c r="AJ544" i="3"/>
  <c r="T544" i="3"/>
  <c r="BM543" i="3"/>
  <c r="AW543" i="3"/>
  <c r="AG543" i="3"/>
  <c r="Q543" i="3"/>
  <c r="BF542" i="3"/>
  <c r="AP542" i="3"/>
  <c r="Z542" i="3"/>
  <c r="J542" i="3"/>
  <c r="AY541" i="3"/>
  <c r="AI541" i="3"/>
  <c r="S541" i="3"/>
  <c r="BL540" i="3"/>
  <c r="AV540" i="3"/>
  <c r="AF540" i="3"/>
  <c r="P540" i="3"/>
  <c r="BH538" i="3"/>
  <c r="AR538" i="3"/>
  <c r="AB538" i="3"/>
  <c r="L538" i="3"/>
  <c r="BE537" i="3"/>
  <c r="AO537" i="3"/>
  <c r="Y537" i="3"/>
  <c r="I537" i="3"/>
  <c r="AX536" i="3"/>
  <c r="AH536" i="3"/>
  <c r="R536" i="3"/>
  <c r="BG535" i="3"/>
  <c r="AQ535" i="3"/>
  <c r="AA535" i="3"/>
  <c r="K535" i="3"/>
  <c r="BD534" i="3"/>
  <c r="AN534" i="3"/>
  <c r="X534" i="3"/>
  <c r="H534" i="3"/>
  <c r="BA533" i="3"/>
  <c r="AK533" i="3"/>
  <c r="U533" i="3"/>
  <c r="BJ532" i="3"/>
  <c r="AT532" i="3"/>
  <c r="AD532" i="3"/>
  <c r="N532" i="3"/>
  <c r="BC531" i="3"/>
  <c r="AM531" i="3"/>
  <c r="W531" i="3"/>
  <c r="G531" i="3"/>
  <c r="AZ530" i="3"/>
  <c r="AJ530" i="3"/>
  <c r="T530" i="3"/>
  <c r="BM529" i="3"/>
  <c r="AW529" i="3"/>
  <c r="AG529" i="3"/>
  <c r="Q529" i="3"/>
  <c r="BF528" i="3"/>
  <c r="AP528" i="3"/>
  <c r="Z528" i="3"/>
  <c r="J528" i="3"/>
  <c r="AY527" i="3"/>
  <c r="AI527" i="3"/>
  <c r="S527" i="3"/>
  <c r="BL526" i="3"/>
  <c r="AV526" i="3"/>
  <c r="AF526" i="3"/>
  <c r="P526" i="3"/>
  <c r="BI525" i="3"/>
  <c r="AS525" i="3"/>
  <c r="AC525" i="3"/>
  <c r="M525" i="3"/>
  <c r="BB524" i="3"/>
  <c r="AL524" i="3"/>
  <c r="V524" i="3"/>
  <c r="BK523" i="3"/>
  <c r="AU523" i="3"/>
  <c r="AE523" i="3"/>
  <c r="O523" i="3"/>
  <c r="BH522" i="3"/>
  <c r="AR522" i="3"/>
  <c r="AB522" i="3"/>
  <c r="L522" i="3"/>
  <c r="BE521" i="3"/>
  <c r="AO521" i="3"/>
  <c r="Y521" i="3"/>
  <c r="I521" i="3"/>
  <c r="AX520" i="3"/>
  <c r="AH520" i="3"/>
  <c r="R520" i="3"/>
  <c r="BG519" i="3"/>
  <c r="AQ519" i="3"/>
  <c r="AA519" i="3"/>
  <c r="K519" i="3"/>
  <c r="BD518" i="3"/>
  <c r="AN518" i="3"/>
  <c r="X518" i="3"/>
  <c r="H518" i="3"/>
  <c r="BA517" i="3"/>
  <c r="AK517" i="3"/>
  <c r="U517" i="3"/>
  <c r="BJ516" i="3"/>
  <c r="AT516" i="3"/>
  <c r="AD516" i="3"/>
  <c r="N516" i="3"/>
  <c r="BC515" i="3"/>
  <c r="AM515" i="3"/>
  <c r="W515" i="3"/>
  <c r="G515" i="3"/>
  <c r="AZ514" i="3"/>
  <c r="AJ514" i="3"/>
  <c r="T514" i="3"/>
  <c r="BM513" i="3"/>
  <c r="AW513" i="3"/>
  <c r="AG513" i="3"/>
  <c r="Q513" i="3"/>
  <c r="BF512" i="3"/>
  <c r="AP512" i="3"/>
  <c r="Z512" i="3"/>
  <c r="J512" i="3"/>
  <c r="AY511" i="3"/>
  <c r="AI511" i="3"/>
  <c r="S511" i="3"/>
  <c r="BL510" i="3"/>
  <c r="AV510" i="3"/>
  <c r="AF510" i="3"/>
  <c r="P510" i="3"/>
  <c r="BI509" i="3"/>
  <c r="AS509" i="3"/>
  <c r="AC509" i="3"/>
  <c r="M509" i="3"/>
  <c r="AV554" i="3"/>
  <c r="P554" i="3"/>
  <c r="BB553" i="3"/>
  <c r="AL553" i="3"/>
  <c r="V553" i="3"/>
  <c r="BK552" i="3"/>
  <c r="AU552" i="3"/>
  <c r="AE552" i="3"/>
  <c r="O552" i="3"/>
  <c r="BH551" i="3"/>
  <c r="AR551" i="3"/>
  <c r="AB551" i="3"/>
  <c r="L551" i="3"/>
  <c r="BE550" i="3"/>
  <c r="AO550" i="3"/>
  <c r="Y550" i="3"/>
  <c r="I550" i="3"/>
  <c r="AX549" i="3"/>
  <c r="AH549" i="3"/>
  <c r="R549" i="3"/>
  <c r="BG548" i="3"/>
  <c r="AQ548" i="3"/>
  <c r="AA548" i="3"/>
  <c r="K548" i="3"/>
  <c r="BD547" i="3"/>
  <c r="AN547" i="3"/>
  <c r="X547" i="3"/>
  <c r="H547" i="3"/>
  <c r="BA546" i="3"/>
  <c r="AK546" i="3"/>
  <c r="U546" i="3"/>
  <c r="BJ545" i="3"/>
  <c r="AT545" i="3"/>
  <c r="AD545" i="3"/>
  <c r="N545" i="3"/>
  <c r="BC544" i="3"/>
  <c r="AM544" i="3"/>
  <c r="W544" i="3"/>
  <c r="G544" i="3"/>
  <c r="AZ543" i="3"/>
  <c r="AJ543" i="3"/>
  <c r="T543" i="3"/>
  <c r="BM542" i="3"/>
  <c r="AW542" i="3"/>
  <c r="AG542" i="3"/>
  <c r="Q542" i="3"/>
  <c r="BF541" i="3"/>
  <c r="AP541" i="3"/>
  <c r="Z541" i="3"/>
  <c r="J541" i="3"/>
  <c r="AY540" i="3"/>
  <c r="AI540" i="3"/>
  <c r="S540" i="3"/>
  <c r="BK538" i="3"/>
  <c r="AU538" i="3"/>
  <c r="AE538" i="3"/>
  <c r="O538" i="3"/>
  <c r="BH537" i="3"/>
  <c r="AR537" i="3"/>
  <c r="AB537" i="3"/>
  <c r="L537" i="3"/>
  <c r="BE536" i="3"/>
  <c r="AO536" i="3"/>
  <c r="Y536" i="3"/>
  <c r="I536" i="3"/>
  <c r="AX535" i="3"/>
  <c r="AH535" i="3"/>
  <c r="R535" i="3"/>
  <c r="BG534" i="3"/>
  <c r="AQ534" i="3"/>
  <c r="AA534" i="3"/>
  <c r="K534" i="3"/>
  <c r="BD533" i="3"/>
  <c r="AN533" i="3"/>
  <c r="X533" i="3"/>
  <c r="H533" i="3"/>
  <c r="BA532" i="3"/>
  <c r="AK532" i="3"/>
  <c r="U532" i="3"/>
  <c r="BJ531" i="3"/>
  <c r="AT531" i="3"/>
  <c r="AD531" i="3"/>
  <c r="N531" i="3"/>
  <c r="BC530" i="3"/>
  <c r="AM530" i="3"/>
  <c r="W530" i="3"/>
  <c r="G530" i="3"/>
  <c r="AZ529" i="3"/>
  <c r="AJ529" i="3"/>
  <c r="T529" i="3"/>
  <c r="BM528" i="3"/>
  <c r="AW528" i="3"/>
  <c r="AG528" i="3"/>
  <c r="Q528" i="3"/>
  <c r="BF527" i="3"/>
  <c r="AP527" i="3"/>
  <c r="Z527" i="3"/>
  <c r="J527" i="3"/>
  <c r="AY526" i="3"/>
  <c r="AI526" i="3"/>
  <c r="S526" i="3"/>
  <c r="BL525" i="3"/>
  <c r="AV525" i="3"/>
  <c r="AF525" i="3"/>
  <c r="P525" i="3"/>
  <c r="BI524" i="3"/>
  <c r="AS524" i="3"/>
  <c r="AC524" i="3"/>
  <c r="M524" i="3"/>
  <c r="BB523" i="3"/>
  <c r="AL523" i="3"/>
  <c r="V523" i="3"/>
  <c r="BK522" i="3"/>
  <c r="AU522" i="3"/>
  <c r="AE522" i="3"/>
  <c r="O522" i="3"/>
  <c r="BH521" i="3"/>
  <c r="AR521" i="3"/>
  <c r="AB521" i="3"/>
  <c r="L521" i="3"/>
  <c r="BE520" i="3"/>
  <c r="AO520" i="3"/>
  <c r="Y520" i="3"/>
  <c r="I520" i="3"/>
  <c r="AX519" i="3"/>
  <c r="AH519" i="3"/>
  <c r="R519" i="3"/>
  <c r="BG518" i="3"/>
  <c r="AQ518" i="3"/>
  <c r="AA518" i="3"/>
  <c r="K518" i="3"/>
  <c r="BD517" i="3"/>
  <c r="AN517" i="3"/>
  <c r="X517" i="3"/>
  <c r="H517" i="3"/>
  <c r="BA516" i="3"/>
  <c r="AK516" i="3"/>
  <c r="U516" i="3"/>
  <c r="BJ515" i="3"/>
  <c r="AT515" i="3"/>
  <c r="AD515" i="3"/>
  <c r="N515" i="3"/>
  <c r="BC514" i="3"/>
  <c r="AM514" i="3"/>
  <c r="W514" i="3"/>
  <c r="G514" i="3"/>
  <c r="AZ513" i="3"/>
  <c r="AJ513" i="3"/>
  <c r="T513" i="3"/>
  <c r="BM512" i="3"/>
  <c r="AW512" i="3"/>
  <c r="AG512" i="3"/>
  <c r="Q512" i="3"/>
  <c r="BF511" i="3"/>
  <c r="AP511" i="3"/>
  <c r="Z511" i="3"/>
  <c r="J511" i="3"/>
  <c r="AY510" i="3"/>
  <c r="AI510" i="3"/>
  <c r="S510" i="3"/>
  <c r="BL509" i="3"/>
  <c r="AV509" i="3"/>
  <c r="AF509" i="3"/>
  <c r="P509" i="3"/>
  <c r="AU554" i="3"/>
  <c r="O554" i="3"/>
  <c r="BA553" i="3"/>
  <c r="AK553" i="3"/>
  <c r="U553" i="3"/>
  <c r="BJ552" i="3"/>
  <c r="AT552" i="3"/>
  <c r="AD552" i="3"/>
  <c r="N552" i="3"/>
  <c r="BC551" i="3"/>
  <c r="AM551" i="3"/>
  <c r="W551" i="3"/>
  <c r="G551" i="3"/>
  <c r="AZ550" i="3"/>
  <c r="AJ550" i="3"/>
  <c r="T550" i="3"/>
  <c r="BM549" i="3"/>
  <c r="AW549" i="3"/>
  <c r="AG549" i="3"/>
  <c r="Q549" i="3"/>
  <c r="BF548" i="3"/>
  <c r="AP548" i="3"/>
  <c r="Z548" i="3"/>
  <c r="J548" i="3"/>
  <c r="AY547" i="3"/>
  <c r="AI547" i="3"/>
  <c r="S547" i="3"/>
  <c r="BL546" i="3"/>
  <c r="AV546" i="3"/>
  <c r="AF546" i="3"/>
  <c r="P546" i="3"/>
  <c r="BI545" i="3"/>
  <c r="AS545" i="3"/>
  <c r="AC545" i="3"/>
  <c r="M545" i="3"/>
  <c r="BB544" i="3"/>
  <c r="AL544" i="3"/>
  <c r="V544" i="3"/>
  <c r="BK543" i="3"/>
  <c r="AU543" i="3"/>
  <c r="AE543" i="3"/>
  <c r="O543" i="3"/>
  <c r="BH542" i="3"/>
  <c r="AR542" i="3"/>
  <c r="AB542" i="3"/>
  <c r="L542" i="3"/>
  <c r="BE541" i="3"/>
  <c r="AO541" i="3"/>
  <c r="Y541" i="3"/>
  <c r="I541" i="3"/>
  <c r="AX540" i="3"/>
  <c r="AH540" i="3"/>
  <c r="R540" i="3"/>
  <c r="BF538" i="3"/>
  <c r="AP538" i="3"/>
  <c r="Z538" i="3"/>
  <c r="J538" i="3"/>
  <c r="AY537" i="3"/>
  <c r="AI537" i="3"/>
  <c r="S537" i="3"/>
  <c r="BL536" i="3"/>
  <c r="AV536" i="3"/>
  <c r="AF536" i="3"/>
  <c r="P536" i="3"/>
  <c r="BI535" i="3"/>
  <c r="AS535" i="3"/>
  <c r="AC535" i="3"/>
  <c r="M535" i="3"/>
  <c r="BB534" i="3"/>
  <c r="AL534" i="3"/>
  <c r="V534" i="3"/>
  <c r="BK533" i="3"/>
  <c r="AU533" i="3"/>
  <c r="AE533" i="3"/>
  <c r="O533" i="3"/>
  <c r="BH532" i="3"/>
  <c r="AR532" i="3"/>
  <c r="AB532" i="3"/>
  <c r="L532" i="3"/>
  <c r="BE531" i="3"/>
  <c r="AO531" i="3"/>
  <c r="Y531" i="3"/>
  <c r="I531" i="3"/>
  <c r="AX530" i="3"/>
  <c r="AH530" i="3"/>
  <c r="R530" i="3"/>
  <c r="BG529" i="3"/>
  <c r="AQ529" i="3"/>
  <c r="AA529" i="3"/>
  <c r="K529" i="3"/>
  <c r="BD528" i="3"/>
  <c r="AN528" i="3"/>
  <c r="X528" i="3"/>
  <c r="H528" i="3"/>
  <c r="BA527" i="3"/>
  <c r="AK527" i="3"/>
  <c r="U527" i="3"/>
  <c r="BJ526" i="3"/>
  <c r="AT526" i="3"/>
  <c r="AD526" i="3"/>
  <c r="N526" i="3"/>
  <c r="BC525" i="3"/>
  <c r="AM525" i="3"/>
  <c r="W525" i="3"/>
  <c r="G525" i="3"/>
  <c r="AZ524" i="3"/>
  <c r="AJ524" i="3"/>
  <c r="T524" i="3"/>
  <c r="BM523" i="3"/>
  <c r="AW523" i="3"/>
  <c r="AG523" i="3"/>
  <c r="Q523" i="3"/>
  <c r="BF522" i="3"/>
  <c r="AP522" i="3"/>
  <c r="Z522" i="3"/>
  <c r="J522" i="3"/>
  <c r="AY521" i="3"/>
  <c r="AI521" i="3"/>
  <c r="S521" i="3"/>
  <c r="BL520" i="3"/>
  <c r="AV520" i="3"/>
  <c r="AF520" i="3"/>
  <c r="P520" i="3"/>
  <c r="BI519" i="3"/>
  <c r="AS519" i="3"/>
  <c r="AC519" i="3"/>
  <c r="M519" i="3"/>
  <c r="BB518" i="3"/>
  <c r="AL518" i="3"/>
  <c r="V518" i="3"/>
  <c r="BK517" i="3"/>
  <c r="AU517" i="3"/>
  <c r="AE517" i="3"/>
  <c r="O517" i="3"/>
  <c r="BH516" i="3"/>
  <c r="AR516" i="3"/>
  <c r="AB516" i="3"/>
  <c r="L516" i="3"/>
  <c r="BE515" i="3"/>
  <c r="AO515" i="3"/>
  <c r="Y515" i="3"/>
  <c r="I515" i="3"/>
  <c r="AX514" i="3"/>
  <c r="AH514" i="3"/>
  <c r="R514" i="3"/>
  <c r="BG513" i="3"/>
  <c r="AQ513" i="3"/>
  <c r="AA513" i="3"/>
  <c r="K513" i="3"/>
  <c r="BD512" i="3"/>
  <c r="AN512" i="3"/>
  <c r="X512" i="3"/>
  <c r="H512" i="3"/>
  <c r="BA511" i="3"/>
  <c r="AK511" i="3"/>
  <c r="U511" i="3"/>
  <c r="BJ510" i="3"/>
  <c r="AT510" i="3"/>
  <c r="AD510" i="3"/>
  <c r="N510" i="3"/>
  <c r="AR554" i="3"/>
  <c r="L554" i="3"/>
  <c r="AV553" i="3"/>
  <c r="AF553" i="3"/>
  <c r="P553" i="3"/>
  <c r="BI552" i="3"/>
  <c r="AS552" i="3"/>
  <c r="AC552" i="3"/>
  <c r="M552" i="3"/>
  <c r="BB551" i="3"/>
  <c r="AL551" i="3"/>
  <c r="V551" i="3"/>
  <c r="BK550" i="3"/>
  <c r="AU550" i="3"/>
  <c r="AE550" i="3"/>
  <c r="O550" i="3"/>
  <c r="BH549" i="3"/>
  <c r="AR549" i="3"/>
  <c r="AB549" i="3"/>
  <c r="L549" i="3"/>
  <c r="BE548" i="3"/>
  <c r="AO548" i="3"/>
  <c r="Y548" i="3"/>
  <c r="I548" i="3"/>
  <c r="AX547" i="3"/>
  <c r="AH547" i="3"/>
  <c r="R547" i="3"/>
  <c r="BG546" i="3"/>
  <c r="AQ546" i="3"/>
  <c r="AA546" i="3"/>
  <c r="K546" i="3"/>
  <c r="BD545" i="3"/>
  <c r="AN545" i="3"/>
  <c r="X545" i="3"/>
  <c r="H545" i="3"/>
  <c r="BA544" i="3"/>
  <c r="AK544" i="3"/>
  <c r="U544" i="3"/>
  <c r="BJ543" i="3"/>
  <c r="AT543" i="3"/>
  <c r="AD543" i="3"/>
  <c r="N543" i="3"/>
  <c r="BC542" i="3"/>
  <c r="AM542" i="3"/>
  <c r="W542" i="3"/>
  <c r="G542" i="3"/>
  <c r="AZ541" i="3"/>
  <c r="AJ541" i="3"/>
  <c r="T541" i="3"/>
  <c r="BM540" i="3"/>
  <c r="AW540" i="3"/>
  <c r="AG540" i="3"/>
  <c r="Q540" i="3"/>
  <c r="BI538" i="3"/>
  <c r="AS538" i="3"/>
  <c r="AC538" i="3"/>
  <c r="M538" i="3"/>
  <c r="BB537" i="3"/>
  <c r="AL537" i="3"/>
  <c r="V537" i="3"/>
  <c r="BK536" i="3"/>
  <c r="AU536" i="3"/>
  <c r="AE536" i="3"/>
  <c r="O536" i="3"/>
  <c r="BH535" i="3"/>
  <c r="AR535" i="3"/>
  <c r="AB535" i="3"/>
  <c r="L535" i="3"/>
  <c r="BE534" i="3"/>
  <c r="AO534" i="3"/>
  <c r="Y534" i="3"/>
  <c r="I534" i="3"/>
  <c r="AX533" i="3"/>
  <c r="AH533" i="3"/>
  <c r="R533" i="3"/>
  <c r="BG532" i="3"/>
  <c r="AQ532" i="3"/>
  <c r="AA532" i="3"/>
  <c r="K532" i="3"/>
  <c r="BD531" i="3"/>
  <c r="AN531" i="3"/>
  <c r="X531" i="3"/>
  <c r="H531" i="3"/>
  <c r="BA530" i="3"/>
  <c r="AK530" i="3"/>
  <c r="U530" i="3"/>
  <c r="BJ529" i="3"/>
  <c r="AT529" i="3"/>
  <c r="AD529" i="3"/>
  <c r="N529" i="3"/>
  <c r="BC528" i="3"/>
  <c r="AM528" i="3"/>
  <c r="W528" i="3"/>
  <c r="G528" i="3"/>
  <c r="AZ527" i="3"/>
  <c r="AJ527" i="3"/>
  <c r="T527" i="3"/>
  <c r="BM526" i="3"/>
  <c r="AW526" i="3"/>
  <c r="AG526" i="3"/>
  <c r="Q526" i="3"/>
  <c r="BF525" i="3"/>
  <c r="AP525" i="3"/>
  <c r="Z525" i="3"/>
  <c r="J525" i="3"/>
  <c r="AY524" i="3"/>
  <c r="AI524" i="3"/>
  <c r="S524" i="3"/>
  <c r="BL523" i="3"/>
  <c r="AV523" i="3"/>
  <c r="AF523" i="3"/>
  <c r="P523" i="3"/>
  <c r="BI522" i="3"/>
  <c r="AS522" i="3"/>
  <c r="AC522" i="3"/>
  <c r="M522" i="3"/>
  <c r="BB521" i="3"/>
  <c r="AL521" i="3"/>
  <c r="V521" i="3"/>
  <c r="BK520" i="3"/>
  <c r="AU520" i="3"/>
  <c r="AE520" i="3"/>
  <c r="O520" i="3"/>
  <c r="BH519" i="3"/>
  <c r="AR519" i="3"/>
  <c r="AB519" i="3"/>
  <c r="L519" i="3"/>
  <c r="BE518" i="3"/>
  <c r="AO518" i="3"/>
  <c r="Y518" i="3"/>
  <c r="I518" i="3"/>
  <c r="AX517" i="3"/>
  <c r="AH517" i="3"/>
  <c r="R517" i="3"/>
  <c r="BG516" i="3"/>
  <c r="AQ516" i="3"/>
  <c r="AA516" i="3"/>
  <c r="K516" i="3"/>
  <c r="BD515" i="3"/>
  <c r="AN515" i="3"/>
  <c r="X515" i="3"/>
  <c r="H515" i="3"/>
  <c r="BA514" i="3"/>
  <c r="AK514" i="3"/>
  <c r="U514" i="3"/>
  <c r="BJ513" i="3"/>
  <c r="AT513" i="3"/>
  <c r="AD513" i="3"/>
  <c r="N513" i="3"/>
  <c r="BC512" i="3"/>
  <c r="AM512" i="3"/>
  <c r="W512" i="3"/>
  <c r="G512" i="3"/>
  <c r="AZ511" i="3"/>
  <c r="AJ511" i="3"/>
  <c r="T511" i="3"/>
  <c r="BM510" i="3"/>
  <c r="AW510" i="3"/>
  <c r="AG510" i="3"/>
  <c r="Q510" i="3"/>
  <c r="BC509" i="3"/>
  <c r="W509" i="3"/>
  <c r="BI508" i="3"/>
  <c r="AS508" i="3"/>
  <c r="AC508" i="3"/>
  <c r="M508" i="3"/>
  <c r="BB507" i="3"/>
  <c r="AL507" i="3"/>
  <c r="V507" i="3"/>
  <c r="BK506" i="3"/>
  <c r="AU506" i="3"/>
  <c r="AE506" i="3"/>
  <c r="O506" i="3"/>
  <c r="BH505" i="3"/>
  <c r="AR505" i="3"/>
  <c r="AB505" i="3"/>
  <c r="L505" i="3"/>
  <c r="BE504" i="3"/>
  <c r="AO504" i="3"/>
  <c r="Y504" i="3"/>
  <c r="I504" i="3"/>
  <c r="AX503" i="3"/>
  <c r="AH503" i="3"/>
  <c r="R503" i="3"/>
  <c r="BG502" i="3"/>
  <c r="AQ502" i="3"/>
  <c r="AA502" i="3"/>
  <c r="K502" i="3"/>
  <c r="BD501" i="3"/>
  <c r="AN501" i="3"/>
  <c r="X501" i="3"/>
  <c r="H501" i="3"/>
  <c r="BA500" i="3"/>
  <c r="AK500" i="3"/>
  <c r="U500" i="3"/>
  <c r="BJ499" i="3"/>
  <c r="AT499" i="3"/>
  <c r="AD499" i="3"/>
  <c r="N499" i="3"/>
  <c r="BE496" i="3"/>
  <c r="AO496" i="3"/>
  <c r="Y496" i="3"/>
  <c r="I496" i="3"/>
  <c r="AX495" i="3"/>
  <c r="AH495" i="3"/>
  <c r="R495" i="3"/>
  <c r="BG494" i="3"/>
  <c r="AQ494" i="3"/>
  <c r="AA494" i="3"/>
  <c r="K494" i="3"/>
  <c r="BD493" i="3"/>
  <c r="AN493" i="3"/>
  <c r="X493" i="3"/>
  <c r="H493" i="3"/>
  <c r="BA492" i="3"/>
  <c r="AK492" i="3"/>
  <c r="U492" i="3"/>
  <c r="BJ491" i="3"/>
  <c r="AT491" i="3"/>
  <c r="AD491" i="3"/>
  <c r="N491" i="3"/>
  <c r="BC490" i="3"/>
  <c r="AM490" i="3"/>
  <c r="W490" i="3"/>
  <c r="G490" i="3"/>
  <c r="AZ489" i="3"/>
  <c r="AJ489" i="3"/>
  <c r="T489" i="3"/>
  <c r="BM488" i="3"/>
  <c r="AW488" i="3"/>
  <c r="AG488" i="3"/>
  <c r="Q488" i="3"/>
  <c r="BF487" i="3"/>
  <c r="AP487" i="3"/>
  <c r="Z487" i="3"/>
  <c r="J487" i="3"/>
  <c r="AY486" i="3"/>
  <c r="AI486" i="3"/>
  <c r="S486" i="3"/>
  <c r="BL485" i="3"/>
  <c r="AV485" i="3"/>
  <c r="AF485" i="3"/>
  <c r="P485" i="3"/>
  <c r="BI484" i="3"/>
  <c r="AS484" i="3"/>
  <c r="AC484" i="3"/>
  <c r="M484" i="3"/>
  <c r="BB483" i="3"/>
  <c r="AL483" i="3"/>
  <c r="V483" i="3"/>
  <c r="BK482" i="3"/>
  <c r="AU482" i="3"/>
  <c r="AE482" i="3"/>
  <c r="O482" i="3"/>
  <c r="BH481" i="3"/>
  <c r="AR481" i="3"/>
  <c r="AB481" i="3"/>
  <c r="L481" i="3"/>
  <c r="BE480" i="3"/>
  <c r="AO480" i="3"/>
  <c r="Y480" i="3"/>
  <c r="I480" i="3"/>
  <c r="AX479" i="3"/>
  <c r="AH479" i="3"/>
  <c r="R479" i="3"/>
  <c r="BG478" i="3"/>
  <c r="AQ478" i="3"/>
  <c r="AA478" i="3"/>
  <c r="K478" i="3"/>
  <c r="BD477" i="3"/>
  <c r="AN477" i="3"/>
  <c r="X477" i="3"/>
  <c r="H477" i="3"/>
  <c r="BA476" i="3"/>
  <c r="AK476" i="3"/>
  <c r="U476" i="3"/>
  <c r="BJ475" i="3"/>
  <c r="AT475" i="3"/>
  <c r="AD475" i="3"/>
  <c r="N475" i="3"/>
  <c r="BC474" i="3"/>
  <c r="AM474" i="3"/>
  <c r="W474" i="3"/>
  <c r="G474" i="3"/>
  <c r="AZ473" i="3"/>
  <c r="AJ473" i="3"/>
  <c r="T473" i="3"/>
  <c r="BM472" i="3"/>
  <c r="AW472" i="3"/>
  <c r="AG472" i="3"/>
  <c r="Q472" i="3"/>
  <c r="BF471" i="3"/>
  <c r="AP471" i="3"/>
  <c r="Z471" i="3"/>
  <c r="J471" i="3"/>
  <c r="AY470" i="3"/>
  <c r="AI470" i="3"/>
  <c r="S470" i="3"/>
  <c r="BL469" i="3"/>
  <c r="AV469" i="3"/>
  <c r="AF469" i="3"/>
  <c r="P469" i="3"/>
  <c r="BI468" i="3"/>
  <c r="AS468" i="3"/>
  <c r="AC468" i="3"/>
  <c r="M468" i="3"/>
  <c r="BB467" i="3"/>
  <c r="AL467" i="3"/>
  <c r="V467" i="3"/>
  <c r="BK466" i="3"/>
  <c r="AU466" i="3"/>
  <c r="AE466" i="3"/>
  <c r="O466" i="3"/>
  <c r="BH465" i="3"/>
  <c r="AR465" i="3"/>
  <c r="AB465" i="3"/>
  <c r="L465" i="3"/>
  <c r="BE464" i="3"/>
  <c r="AO464" i="3"/>
  <c r="Y464" i="3"/>
  <c r="I464" i="3"/>
  <c r="AX463" i="3"/>
  <c r="AH463" i="3"/>
  <c r="R463" i="3"/>
  <c r="BG462" i="3"/>
  <c r="AQ462" i="3"/>
  <c r="AA462" i="3"/>
  <c r="K462" i="3"/>
  <c r="AT509" i="3"/>
  <c r="N509" i="3"/>
  <c r="BD508" i="3"/>
  <c r="AN508" i="3"/>
  <c r="X508" i="3"/>
  <c r="H508" i="3"/>
  <c r="BA507" i="3"/>
  <c r="AK507" i="3"/>
  <c r="U507" i="3"/>
  <c r="BJ506" i="3"/>
  <c r="AT506" i="3"/>
  <c r="AD506" i="3"/>
  <c r="N506" i="3"/>
  <c r="BC505" i="3"/>
  <c r="AM505" i="3"/>
  <c r="W505" i="3"/>
  <c r="G505" i="3"/>
  <c r="AZ504" i="3"/>
  <c r="AJ504" i="3"/>
  <c r="T504" i="3"/>
  <c r="BM503" i="3"/>
  <c r="AW503" i="3"/>
  <c r="AG503" i="3"/>
  <c r="Q503" i="3"/>
  <c r="BF502" i="3"/>
  <c r="AP502" i="3"/>
  <c r="Z502" i="3"/>
  <c r="J502" i="3"/>
  <c r="AY501" i="3"/>
  <c r="AI501" i="3"/>
  <c r="S501" i="3"/>
  <c r="BL500" i="3"/>
  <c r="AV500" i="3"/>
  <c r="AF500" i="3"/>
  <c r="P500" i="3"/>
  <c r="BI499" i="3"/>
  <c r="AS499" i="3"/>
  <c r="AC499" i="3"/>
  <c r="M499" i="3"/>
  <c r="BD496" i="3"/>
  <c r="AN496" i="3"/>
  <c r="X496" i="3"/>
  <c r="H496" i="3"/>
  <c r="BA495" i="3"/>
  <c r="AK495" i="3"/>
  <c r="U495" i="3"/>
  <c r="BJ494" i="3"/>
  <c r="AT494" i="3"/>
  <c r="AD494" i="3"/>
  <c r="N494" i="3"/>
  <c r="BC493" i="3"/>
  <c r="AM493" i="3"/>
  <c r="W493" i="3"/>
  <c r="G493" i="3"/>
  <c r="AZ492" i="3"/>
  <c r="AJ492" i="3"/>
  <c r="T492" i="3"/>
  <c r="BM491" i="3"/>
  <c r="AW491" i="3"/>
  <c r="AG491" i="3"/>
  <c r="Q491" i="3"/>
  <c r="BF490" i="3"/>
  <c r="AP490" i="3"/>
  <c r="Z490" i="3"/>
  <c r="J490" i="3"/>
  <c r="AY489" i="3"/>
  <c r="AI489" i="3"/>
  <c r="S489" i="3"/>
  <c r="BL488" i="3"/>
  <c r="AV488" i="3"/>
  <c r="AF488" i="3"/>
  <c r="P488" i="3"/>
  <c r="BI487" i="3"/>
  <c r="AS487" i="3"/>
  <c r="AC487" i="3"/>
  <c r="M487" i="3"/>
  <c r="BB486" i="3"/>
  <c r="AL486" i="3"/>
  <c r="V486" i="3"/>
  <c r="BK485" i="3"/>
  <c r="AU485" i="3"/>
  <c r="AE485" i="3"/>
  <c r="O485" i="3"/>
  <c r="BH484" i="3"/>
  <c r="AR484" i="3"/>
  <c r="AB484" i="3"/>
  <c r="L484" i="3"/>
  <c r="BE483" i="3"/>
  <c r="AO483" i="3"/>
  <c r="Y483" i="3"/>
  <c r="I483" i="3"/>
  <c r="AX482" i="3"/>
  <c r="AH482" i="3"/>
  <c r="R482" i="3"/>
  <c r="BG481" i="3"/>
  <c r="AQ481" i="3"/>
  <c r="AA481" i="3"/>
  <c r="K481" i="3"/>
  <c r="BD480" i="3"/>
  <c r="AN480" i="3"/>
  <c r="X480" i="3"/>
  <c r="H480" i="3"/>
  <c r="BA479" i="3"/>
  <c r="AK479" i="3"/>
  <c r="U479" i="3"/>
  <c r="BJ478" i="3"/>
  <c r="AT478" i="3"/>
  <c r="AD478" i="3"/>
  <c r="N478" i="3"/>
  <c r="BC477" i="3"/>
  <c r="AM477" i="3"/>
  <c r="W477" i="3"/>
  <c r="G477" i="3"/>
  <c r="AZ476" i="3"/>
  <c r="AJ476" i="3"/>
  <c r="T476" i="3"/>
  <c r="BM475" i="3"/>
  <c r="AW475" i="3"/>
  <c r="AG475" i="3"/>
  <c r="Q475" i="3"/>
  <c r="BF474" i="3"/>
  <c r="AP474" i="3"/>
  <c r="Z474" i="3"/>
  <c r="J474" i="3"/>
  <c r="AY473" i="3"/>
  <c r="AI473" i="3"/>
  <c r="S473" i="3"/>
  <c r="BL472" i="3"/>
  <c r="AV472" i="3"/>
  <c r="AF472" i="3"/>
  <c r="P472" i="3"/>
  <c r="BI471" i="3"/>
  <c r="AS471" i="3"/>
  <c r="AC471" i="3"/>
  <c r="M471" i="3"/>
  <c r="BB470" i="3"/>
  <c r="AL470" i="3"/>
  <c r="V470" i="3"/>
  <c r="BK469" i="3"/>
  <c r="AU469" i="3"/>
  <c r="AE469" i="3"/>
  <c r="O469" i="3"/>
  <c r="BH468" i="3"/>
  <c r="AR468" i="3"/>
  <c r="AB468" i="3"/>
  <c r="L468" i="3"/>
  <c r="BE467" i="3"/>
  <c r="AO467" i="3"/>
  <c r="Y467" i="3"/>
  <c r="I467" i="3"/>
  <c r="AX466" i="3"/>
  <c r="AH466" i="3"/>
  <c r="R466" i="3"/>
  <c r="BG465" i="3"/>
  <c r="AQ465" i="3"/>
  <c r="AA465" i="3"/>
  <c r="K465" i="3"/>
  <c r="BD464" i="3"/>
  <c r="AN464" i="3"/>
  <c r="X464" i="3"/>
  <c r="H464" i="3"/>
  <c r="BA463" i="3"/>
  <c r="AK463" i="3"/>
  <c r="U463" i="3"/>
  <c r="BJ462" i="3"/>
  <c r="AT462" i="3"/>
  <c r="AI509" i="3"/>
  <c r="BK508" i="3"/>
  <c r="AU508" i="3"/>
  <c r="AE508" i="3"/>
  <c r="O508" i="3"/>
  <c r="BH507" i="3"/>
  <c r="AR507" i="3"/>
  <c r="AB507" i="3"/>
  <c r="L507" i="3"/>
  <c r="BE506" i="3"/>
  <c r="AO506" i="3"/>
  <c r="Y506" i="3"/>
  <c r="I506" i="3"/>
  <c r="AX505" i="3"/>
  <c r="AH505" i="3"/>
  <c r="R505" i="3"/>
  <c r="BG504" i="3"/>
  <c r="AQ504" i="3"/>
  <c r="AA504" i="3"/>
  <c r="K504" i="3"/>
  <c r="BD503" i="3"/>
  <c r="AN503" i="3"/>
  <c r="X503" i="3"/>
  <c r="H503" i="3"/>
  <c r="BA502" i="3"/>
  <c r="AK502" i="3"/>
  <c r="U502" i="3"/>
  <c r="BJ501" i="3"/>
  <c r="AT501" i="3"/>
  <c r="AD501" i="3"/>
  <c r="N501" i="3"/>
  <c r="BC500" i="3"/>
  <c r="AM500" i="3"/>
  <c r="W500" i="3"/>
  <c r="G500" i="3"/>
  <c r="AZ499" i="3"/>
  <c r="AJ499" i="3"/>
  <c r="T499" i="3"/>
  <c r="BK496" i="3"/>
  <c r="AU496" i="3"/>
  <c r="AE496" i="3"/>
  <c r="O496" i="3"/>
  <c r="BH495" i="3"/>
  <c r="AR495" i="3"/>
  <c r="AB495" i="3"/>
  <c r="L495" i="3"/>
  <c r="BE494" i="3"/>
  <c r="AO494" i="3"/>
  <c r="Y494" i="3"/>
  <c r="I494" i="3"/>
  <c r="AX493" i="3"/>
  <c r="AH493" i="3"/>
  <c r="R493" i="3"/>
  <c r="BG492" i="3"/>
  <c r="AQ492" i="3"/>
  <c r="AA492" i="3"/>
  <c r="K492" i="3"/>
  <c r="BD491" i="3"/>
  <c r="AN491" i="3"/>
  <c r="X491" i="3"/>
  <c r="H491" i="3"/>
  <c r="BA490" i="3"/>
  <c r="AK490" i="3"/>
  <c r="U490" i="3"/>
  <c r="BJ489" i="3"/>
  <c r="AT489" i="3"/>
  <c r="AD489" i="3"/>
  <c r="N489" i="3"/>
  <c r="BC488" i="3"/>
  <c r="AM488" i="3"/>
  <c r="W488" i="3"/>
  <c r="G488" i="3"/>
  <c r="AZ487" i="3"/>
  <c r="AJ487" i="3"/>
  <c r="T487" i="3"/>
  <c r="BM486" i="3"/>
  <c r="AW486" i="3"/>
  <c r="AG486" i="3"/>
  <c r="Q486" i="3"/>
  <c r="BF485" i="3"/>
  <c r="AP485" i="3"/>
  <c r="Z485" i="3"/>
  <c r="J485" i="3"/>
  <c r="AY484" i="3"/>
  <c r="AI484" i="3"/>
  <c r="S484" i="3"/>
  <c r="BL483" i="3"/>
  <c r="AV483" i="3"/>
  <c r="AF483" i="3"/>
  <c r="P483" i="3"/>
  <c r="BI482" i="3"/>
  <c r="AS482" i="3"/>
  <c r="AC482" i="3"/>
  <c r="M482" i="3"/>
  <c r="BB481" i="3"/>
  <c r="AL481" i="3"/>
  <c r="V481" i="3"/>
  <c r="BK480" i="3"/>
  <c r="AU480" i="3"/>
  <c r="AE480" i="3"/>
  <c r="O480" i="3"/>
  <c r="BH479" i="3"/>
  <c r="AR479" i="3"/>
  <c r="AB479" i="3"/>
  <c r="L479" i="3"/>
  <c r="BE478" i="3"/>
  <c r="AO478" i="3"/>
  <c r="Y478" i="3"/>
  <c r="I478" i="3"/>
  <c r="AX477" i="3"/>
  <c r="AH477" i="3"/>
  <c r="R477" i="3"/>
  <c r="BG476" i="3"/>
  <c r="AQ476" i="3"/>
  <c r="AA476" i="3"/>
  <c r="K476" i="3"/>
  <c r="BD475" i="3"/>
  <c r="AN475" i="3"/>
  <c r="X475" i="3"/>
  <c r="H475" i="3"/>
  <c r="BA474" i="3"/>
  <c r="AK474" i="3"/>
  <c r="U474" i="3"/>
  <c r="BJ473" i="3"/>
  <c r="AT473" i="3"/>
  <c r="AD473" i="3"/>
  <c r="N473" i="3"/>
  <c r="BC472" i="3"/>
  <c r="AM472" i="3"/>
  <c r="W472" i="3"/>
  <c r="G472" i="3"/>
  <c r="AZ471" i="3"/>
  <c r="AJ471" i="3"/>
  <c r="T471" i="3"/>
  <c r="BM470" i="3"/>
  <c r="AW470" i="3"/>
  <c r="AG470" i="3"/>
  <c r="Q470" i="3"/>
  <c r="BF469" i="3"/>
  <c r="AP469" i="3"/>
  <c r="Z469" i="3"/>
  <c r="J469" i="3"/>
  <c r="AY468" i="3"/>
  <c r="AI468" i="3"/>
  <c r="S468" i="3"/>
  <c r="BL467" i="3"/>
  <c r="AV467" i="3"/>
  <c r="AF467" i="3"/>
  <c r="P467" i="3"/>
  <c r="BI466" i="3"/>
  <c r="AS466" i="3"/>
  <c r="AC466" i="3"/>
  <c r="M466" i="3"/>
  <c r="BB465" i="3"/>
  <c r="AL465" i="3"/>
  <c r="V465" i="3"/>
  <c r="BK464" i="3"/>
  <c r="AU464" i="3"/>
  <c r="AE464" i="3"/>
  <c r="O464" i="3"/>
  <c r="AX509" i="3"/>
  <c r="R509" i="3"/>
  <c r="BB508" i="3"/>
  <c r="AL508" i="3"/>
  <c r="V508" i="3"/>
  <c r="BK507" i="3"/>
  <c r="AU507" i="3"/>
  <c r="AE507" i="3"/>
  <c r="O507" i="3"/>
  <c r="BH506" i="3"/>
  <c r="AR506" i="3"/>
  <c r="AB506" i="3"/>
  <c r="L506" i="3"/>
  <c r="BE505" i="3"/>
  <c r="AO505" i="3"/>
  <c r="Y505" i="3"/>
  <c r="I505" i="3"/>
  <c r="AX504" i="3"/>
  <c r="AH504" i="3"/>
  <c r="R504" i="3"/>
  <c r="BG503" i="3"/>
  <c r="AQ503" i="3"/>
  <c r="AA503" i="3"/>
  <c r="K503" i="3"/>
  <c r="BD502" i="3"/>
  <c r="AN502" i="3"/>
  <c r="X502" i="3"/>
  <c r="H502" i="3"/>
  <c r="BA501" i="3"/>
  <c r="AK501" i="3"/>
  <c r="U501" i="3"/>
  <c r="BJ500" i="3"/>
  <c r="AT500" i="3"/>
  <c r="AD500" i="3"/>
  <c r="N500" i="3"/>
  <c r="BC499" i="3"/>
  <c r="AM499" i="3"/>
  <c r="W499" i="3"/>
  <c r="G499" i="3"/>
  <c r="AX496" i="3"/>
  <c r="AH496" i="3"/>
  <c r="R496" i="3"/>
  <c r="BG495" i="3"/>
  <c r="AQ495" i="3"/>
  <c r="AA495" i="3"/>
  <c r="K495" i="3"/>
  <c r="BD494" i="3"/>
  <c r="AN494" i="3"/>
  <c r="X494" i="3"/>
  <c r="H494" i="3"/>
  <c r="BA493" i="3"/>
  <c r="AK493" i="3"/>
  <c r="U493" i="3"/>
  <c r="BJ492" i="3"/>
  <c r="AT492" i="3"/>
  <c r="AD492" i="3"/>
  <c r="N492" i="3"/>
  <c r="BC491" i="3"/>
  <c r="AM491" i="3"/>
  <c r="W491" i="3"/>
  <c r="G491" i="3"/>
  <c r="AZ490" i="3"/>
  <c r="AJ490" i="3"/>
  <c r="T490" i="3"/>
  <c r="BM489" i="3"/>
  <c r="AW489" i="3"/>
  <c r="AG489" i="3"/>
  <c r="Q489" i="3"/>
  <c r="BF488" i="3"/>
  <c r="AP488" i="3"/>
  <c r="Z488" i="3"/>
  <c r="J488" i="3"/>
  <c r="AY487" i="3"/>
  <c r="AI487" i="3"/>
  <c r="S487" i="3"/>
  <c r="BL486" i="3"/>
  <c r="AV486" i="3"/>
  <c r="AF486" i="3"/>
  <c r="P486" i="3"/>
  <c r="BI485" i="3"/>
  <c r="AS485" i="3"/>
  <c r="AC485" i="3"/>
  <c r="M485" i="3"/>
  <c r="BB484" i="3"/>
  <c r="AL484" i="3"/>
  <c r="V484" i="3"/>
  <c r="BK483" i="3"/>
  <c r="AU483" i="3"/>
  <c r="AE483" i="3"/>
  <c r="O483" i="3"/>
  <c r="BH482" i="3"/>
  <c r="AR482" i="3"/>
  <c r="AB482" i="3"/>
  <c r="L482" i="3"/>
  <c r="BE481" i="3"/>
  <c r="AO481" i="3"/>
  <c r="Y481" i="3"/>
  <c r="I481" i="3"/>
  <c r="AX480" i="3"/>
  <c r="AH480" i="3"/>
  <c r="R480" i="3"/>
  <c r="BG479" i="3"/>
  <c r="AQ479" i="3"/>
  <c r="AA479" i="3"/>
  <c r="K479" i="3"/>
  <c r="BD478" i="3"/>
  <c r="AN478" i="3"/>
  <c r="X478" i="3"/>
  <c r="H478" i="3"/>
  <c r="BA477" i="3"/>
  <c r="AK477" i="3"/>
  <c r="U477" i="3"/>
  <c r="BJ476" i="3"/>
  <c r="AT476" i="3"/>
  <c r="AD476" i="3"/>
  <c r="N476" i="3"/>
  <c r="BC475" i="3"/>
  <c r="AM475" i="3"/>
  <c r="W475" i="3"/>
  <c r="G475" i="3"/>
  <c r="AZ474" i="3"/>
  <c r="AJ474" i="3"/>
  <c r="T474" i="3"/>
  <c r="BM473" i="3"/>
  <c r="AW473" i="3"/>
  <c r="AG473" i="3"/>
  <c r="Q473" i="3"/>
  <c r="BF472" i="3"/>
  <c r="AP472" i="3"/>
  <c r="Z472" i="3"/>
  <c r="J472" i="3"/>
  <c r="AY471" i="3"/>
  <c r="AI471" i="3"/>
  <c r="S471" i="3"/>
  <c r="BL470" i="3"/>
  <c r="AV470" i="3"/>
  <c r="AF470" i="3"/>
  <c r="P470" i="3"/>
  <c r="BI469" i="3"/>
  <c r="AS469" i="3"/>
  <c r="AC469" i="3"/>
  <c r="M469" i="3"/>
  <c r="BB468" i="3"/>
  <c r="AL468" i="3"/>
  <c r="V468" i="3"/>
  <c r="BK467" i="3"/>
  <c r="AU467" i="3"/>
  <c r="AE467" i="3"/>
  <c r="O467" i="3"/>
  <c r="BH466" i="3"/>
  <c r="AR466" i="3"/>
  <c r="AB466" i="3"/>
  <c r="L466" i="3"/>
  <c r="BE465" i="3"/>
  <c r="AO465" i="3"/>
  <c r="Y465" i="3"/>
  <c r="I465" i="3"/>
  <c r="AX464" i="3"/>
  <c r="AH464" i="3"/>
  <c r="R464" i="3"/>
  <c r="BG463" i="3"/>
  <c r="AQ463" i="3"/>
  <c r="AA463" i="3"/>
  <c r="K463" i="3"/>
  <c r="X463" i="3"/>
  <c r="AS462" i="3"/>
  <c r="X462" i="3"/>
  <c r="BL461" i="3"/>
  <c r="AV461" i="3"/>
  <c r="AF461" i="3"/>
  <c r="P461" i="3"/>
  <c r="BI460" i="3"/>
  <c r="AS460" i="3"/>
  <c r="AC460" i="3"/>
  <c r="M460" i="3"/>
  <c r="BB459" i="3"/>
  <c r="AL459" i="3"/>
  <c r="V459" i="3"/>
  <c r="BK458" i="3"/>
  <c r="AU458" i="3"/>
  <c r="AE458" i="3"/>
  <c r="O458" i="3"/>
  <c r="BH457" i="3"/>
  <c r="AR457" i="3"/>
  <c r="AB457" i="3"/>
  <c r="L457" i="3"/>
  <c r="BD455" i="3"/>
  <c r="AN455" i="3"/>
  <c r="X455" i="3"/>
  <c r="H455" i="3"/>
  <c r="BA454" i="3"/>
  <c r="AK454" i="3"/>
  <c r="U454" i="3"/>
  <c r="BJ453" i="3"/>
  <c r="AT453" i="3"/>
  <c r="AD453" i="3"/>
  <c r="N453" i="3"/>
  <c r="BC452" i="3"/>
  <c r="AM452" i="3"/>
  <c r="W452" i="3"/>
  <c r="G452" i="3"/>
  <c r="AZ451" i="3"/>
  <c r="AJ451" i="3"/>
  <c r="T451" i="3"/>
  <c r="BM450" i="3"/>
  <c r="AW450" i="3"/>
  <c r="AG450" i="3"/>
  <c r="Q450" i="3"/>
  <c r="BF449" i="3"/>
  <c r="AP449" i="3"/>
  <c r="Z449" i="3"/>
  <c r="J449" i="3"/>
  <c r="AY448" i="3"/>
  <c r="AI448" i="3"/>
  <c r="S448" i="3"/>
  <c r="BL447" i="3"/>
  <c r="AV447" i="3"/>
  <c r="AF447" i="3"/>
  <c r="P447" i="3"/>
  <c r="BI446" i="3"/>
  <c r="AS446" i="3"/>
  <c r="AC446" i="3"/>
  <c r="M446" i="3"/>
  <c r="BB445" i="3"/>
  <c r="AL445" i="3"/>
  <c r="V445" i="3"/>
  <c r="BK444" i="3"/>
  <c r="AU444" i="3"/>
  <c r="AE444" i="3"/>
  <c r="O444" i="3"/>
  <c r="BH443" i="3"/>
  <c r="AR443" i="3"/>
  <c r="AB443" i="3"/>
  <c r="L443" i="3"/>
  <c r="BE442" i="3"/>
  <c r="AO442" i="3"/>
  <c r="Y442" i="3"/>
  <c r="I442" i="3"/>
  <c r="AX441" i="3"/>
  <c r="AH441" i="3"/>
  <c r="R441" i="3"/>
  <c r="BG440" i="3"/>
  <c r="AQ440" i="3"/>
  <c r="AA440" i="3"/>
  <c r="K440" i="3"/>
  <c r="BD439" i="3"/>
  <c r="AN439" i="3"/>
  <c r="X439" i="3"/>
  <c r="H439" i="3"/>
  <c r="BA438" i="3"/>
  <c r="AK438" i="3"/>
  <c r="U438" i="3"/>
  <c r="BJ437" i="3"/>
  <c r="AT437" i="3"/>
  <c r="AD437" i="3"/>
  <c r="N437" i="3"/>
  <c r="BC436" i="3"/>
  <c r="AM436" i="3"/>
  <c r="W436" i="3"/>
  <c r="G436" i="3"/>
  <c r="AZ435" i="3"/>
  <c r="AJ435" i="3"/>
  <c r="T435" i="3"/>
  <c r="BM434" i="3"/>
  <c r="AW434" i="3"/>
  <c r="AG434" i="3"/>
  <c r="Q434" i="3"/>
  <c r="BF433" i="3"/>
  <c r="AP433" i="3"/>
  <c r="Z433" i="3"/>
  <c r="J433" i="3"/>
  <c r="AY432" i="3"/>
  <c r="AI432" i="3"/>
  <c r="S432" i="3"/>
  <c r="BL431" i="3"/>
  <c r="AV431" i="3"/>
  <c r="AF431" i="3"/>
  <c r="P431" i="3"/>
  <c r="BI430" i="3"/>
  <c r="AS430" i="3"/>
  <c r="AC430" i="3"/>
  <c r="M430" i="3"/>
  <c r="BB429" i="3"/>
  <c r="AL429" i="3"/>
  <c r="V429" i="3"/>
  <c r="BK428" i="3"/>
  <c r="AU428" i="3"/>
  <c r="AE428" i="3"/>
  <c r="O428" i="3"/>
  <c r="BH427" i="3"/>
  <c r="AR427" i="3"/>
  <c r="AB427" i="3"/>
  <c r="L427" i="3"/>
  <c r="BE426" i="3"/>
  <c r="AO426" i="3"/>
  <c r="Y426" i="3"/>
  <c r="I426" i="3"/>
  <c r="AX425" i="3"/>
  <c r="AH425" i="3"/>
  <c r="R425" i="3"/>
  <c r="BG424" i="3"/>
  <c r="AQ424" i="3"/>
  <c r="AA424" i="3"/>
  <c r="K424" i="3"/>
  <c r="BD423" i="3"/>
  <c r="AN423" i="3"/>
  <c r="X423" i="3"/>
  <c r="H423" i="3"/>
  <c r="BA422" i="3"/>
  <c r="AK422" i="3"/>
  <c r="U422" i="3"/>
  <c r="BJ421" i="3"/>
  <c r="AT421" i="3"/>
  <c r="AD421" i="3"/>
  <c r="N421" i="3"/>
  <c r="BC420" i="3"/>
  <c r="AM420" i="3"/>
  <c r="W420" i="3"/>
  <c r="G420" i="3"/>
  <c r="AZ419" i="3"/>
  <c r="AJ419" i="3"/>
  <c r="T419" i="3"/>
  <c r="BM418" i="3"/>
  <c r="AW418" i="3"/>
  <c r="AG418" i="3"/>
  <c r="Q418" i="3"/>
  <c r="BF417" i="3"/>
  <c r="AP417" i="3"/>
  <c r="Z417" i="3"/>
  <c r="J417" i="3"/>
  <c r="BH462" i="3"/>
  <c r="AG462" i="3"/>
  <c r="L462" i="3"/>
  <c r="AY461" i="3"/>
  <c r="AI461" i="3"/>
  <c r="S461" i="3"/>
  <c r="BL460" i="3"/>
  <c r="AV460" i="3"/>
  <c r="AF460" i="3"/>
  <c r="P460" i="3"/>
  <c r="BI459" i="3"/>
  <c r="AS459" i="3"/>
  <c r="AC459" i="3"/>
  <c r="M459" i="3"/>
  <c r="BB458" i="3"/>
  <c r="AL458" i="3"/>
  <c r="V458" i="3"/>
  <c r="BK457" i="3"/>
  <c r="AU457" i="3"/>
  <c r="AE457" i="3"/>
  <c r="O457" i="3"/>
  <c r="BG455" i="3"/>
  <c r="AQ455" i="3"/>
  <c r="AA455" i="3"/>
  <c r="K455" i="3"/>
  <c r="BD454" i="3"/>
  <c r="AN454" i="3"/>
  <c r="X454" i="3"/>
  <c r="H454" i="3"/>
  <c r="BA453" i="3"/>
  <c r="AK453" i="3"/>
  <c r="U453" i="3"/>
  <c r="BJ452" i="3"/>
  <c r="AT452" i="3"/>
  <c r="AD452" i="3"/>
  <c r="N452" i="3"/>
  <c r="BC451" i="3"/>
  <c r="AM451" i="3"/>
  <c r="W451" i="3"/>
  <c r="G451" i="3"/>
  <c r="AZ450" i="3"/>
  <c r="AJ450" i="3"/>
  <c r="T450" i="3"/>
  <c r="BM449" i="3"/>
  <c r="AW449" i="3"/>
  <c r="AG449" i="3"/>
  <c r="Q449" i="3"/>
  <c r="BF448" i="3"/>
  <c r="AP448" i="3"/>
  <c r="Z448" i="3"/>
  <c r="J448" i="3"/>
  <c r="AY447" i="3"/>
  <c r="AI447" i="3"/>
  <c r="S447" i="3"/>
  <c r="BL446" i="3"/>
  <c r="AV446" i="3"/>
  <c r="AF446" i="3"/>
  <c r="P446" i="3"/>
  <c r="BI445" i="3"/>
  <c r="AS445" i="3"/>
  <c r="AC445" i="3"/>
  <c r="M445" i="3"/>
  <c r="BB444" i="3"/>
  <c r="AL444" i="3"/>
  <c r="V444" i="3"/>
  <c r="BK443" i="3"/>
  <c r="AU443" i="3"/>
  <c r="AE443" i="3"/>
  <c r="O443" i="3"/>
  <c r="BH442" i="3"/>
  <c r="AR442" i="3"/>
  <c r="AB442" i="3"/>
  <c r="L442" i="3"/>
  <c r="BE441" i="3"/>
  <c r="AO441" i="3"/>
  <c r="Y441" i="3"/>
  <c r="I441" i="3"/>
  <c r="AX440" i="3"/>
  <c r="AH440" i="3"/>
  <c r="R440" i="3"/>
  <c r="BG439" i="3"/>
  <c r="AQ439" i="3"/>
  <c r="AA439" i="3"/>
  <c r="K439" i="3"/>
  <c r="BD438" i="3"/>
  <c r="AN438" i="3"/>
  <c r="X438" i="3"/>
  <c r="H438" i="3"/>
  <c r="BA437" i="3"/>
  <c r="AK437" i="3"/>
  <c r="U437" i="3"/>
  <c r="BJ436" i="3"/>
  <c r="AT436" i="3"/>
  <c r="AD436" i="3"/>
  <c r="N436" i="3"/>
  <c r="BC435" i="3"/>
  <c r="AM435" i="3"/>
  <c r="W435" i="3"/>
  <c r="G435" i="3"/>
  <c r="AZ434" i="3"/>
  <c r="AJ434" i="3"/>
  <c r="T434" i="3"/>
  <c r="BM433" i="3"/>
  <c r="AW433" i="3"/>
  <c r="AG433" i="3"/>
  <c r="Q433" i="3"/>
  <c r="BF432" i="3"/>
  <c r="AP432" i="3"/>
  <c r="Z432" i="3"/>
  <c r="J432" i="3"/>
  <c r="AY431" i="3"/>
  <c r="AI431" i="3"/>
  <c r="S431" i="3"/>
  <c r="BL430" i="3"/>
  <c r="AV430" i="3"/>
  <c r="AF430" i="3"/>
  <c r="P430" i="3"/>
  <c r="BI429" i="3"/>
  <c r="AS429" i="3"/>
  <c r="AC429" i="3"/>
  <c r="M429" i="3"/>
  <c r="BB428" i="3"/>
  <c r="AL428" i="3"/>
  <c r="V428" i="3"/>
  <c r="BK427" i="3"/>
  <c r="AU427" i="3"/>
  <c r="AE427" i="3"/>
  <c r="O427" i="3"/>
  <c r="BH426" i="3"/>
  <c r="AR426" i="3"/>
  <c r="AB426" i="3"/>
  <c r="L426" i="3"/>
  <c r="BE425" i="3"/>
  <c r="AO425" i="3"/>
  <c r="Y425" i="3"/>
  <c r="I425" i="3"/>
  <c r="AX424" i="3"/>
  <c r="AH424" i="3"/>
  <c r="R424" i="3"/>
  <c r="BG423" i="3"/>
  <c r="AQ423" i="3"/>
  <c r="AA423" i="3"/>
  <c r="K423" i="3"/>
  <c r="BD422" i="3"/>
  <c r="AN422" i="3"/>
  <c r="X422" i="3"/>
  <c r="H422" i="3"/>
  <c r="BA421" i="3"/>
  <c r="AK421" i="3"/>
  <c r="U421" i="3"/>
  <c r="BJ420" i="3"/>
  <c r="AT420" i="3"/>
  <c r="AD420" i="3"/>
  <c r="N420" i="3"/>
  <c r="BC419" i="3"/>
  <c r="AM419" i="3"/>
  <c r="W419" i="3"/>
  <c r="G419" i="3"/>
  <c r="AZ418" i="3"/>
  <c r="AJ418" i="3"/>
  <c r="T418" i="3"/>
  <c r="BM417" i="3"/>
  <c r="AW417" i="3"/>
  <c r="AG417" i="3"/>
  <c r="Q417" i="3"/>
  <c r="AV463" i="3"/>
  <c r="BE462" i="3"/>
  <c r="AF462" i="3"/>
  <c r="J462" i="3"/>
  <c r="AX461" i="3"/>
  <c r="AH461" i="3"/>
  <c r="R461" i="3"/>
  <c r="BG460" i="3"/>
  <c r="AQ460" i="3"/>
  <c r="AA460" i="3"/>
  <c r="K460" i="3"/>
  <c r="BD459" i="3"/>
  <c r="AN459" i="3"/>
  <c r="X459" i="3"/>
  <c r="H459" i="3"/>
  <c r="BA458" i="3"/>
  <c r="AK458" i="3"/>
  <c r="U458" i="3"/>
  <c r="BJ457" i="3"/>
  <c r="AT457" i="3"/>
  <c r="AD457" i="3"/>
  <c r="N457" i="3"/>
  <c r="BB455" i="3"/>
  <c r="AL455" i="3"/>
  <c r="V455" i="3"/>
  <c r="BK454" i="3"/>
  <c r="AU454" i="3"/>
  <c r="AE454" i="3"/>
  <c r="O454" i="3"/>
  <c r="BH453" i="3"/>
  <c r="AR453" i="3"/>
  <c r="AB453" i="3"/>
  <c r="L453" i="3"/>
  <c r="BE452" i="3"/>
  <c r="AO452" i="3"/>
  <c r="Y452" i="3"/>
  <c r="I452" i="3"/>
  <c r="AX451" i="3"/>
  <c r="AH451" i="3"/>
  <c r="R451" i="3"/>
  <c r="BG450" i="3"/>
  <c r="AQ450" i="3"/>
  <c r="AA450" i="3"/>
  <c r="K450" i="3"/>
  <c r="BD449" i="3"/>
  <c r="AN449" i="3"/>
  <c r="X449" i="3"/>
  <c r="H449" i="3"/>
  <c r="BA448" i="3"/>
  <c r="AK448" i="3"/>
  <c r="U448" i="3"/>
  <c r="BJ447" i="3"/>
  <c r="AT447" i="3"/>
  <c r="AD447" i="3"/>
  <c r="N447" i="3"/>
  <c r="BC446" i="3"/>
  <c r="AM446" i="3"/>
  <c r="W446" i="3"/>
  <c r="G446" i="3"/>
  <c r="AZ445" i="3"/>
  <c r="AJ445" i="3"/>
  <c r="T445" i="3"/>
  <c r="BM444" i="3"/>
  <c r="AW444" i="3"/>
  <c r="AG444" i="3"/>
  <c r="Q444" i="3"/>
  <c r="BF443" i="3"/>
  <c r="AP443" i="3"/>
  <c r="Z443" i="3"/>
  <c r="J443" i="3"/>
  <c r="AY442" i="3"/>
  <c r="AI442" i="3"/>
  <c r="S442" i="3"/>
  <c r="BL441" i="3"/>
  <c r="AV441" i="3"/>
  <c r="AF441" i="3"/>
  <c r="P441" i="3"/>
  <c r="BI440" i="3"/>
  <c r="AS440" i="3"/>
  <c r="AC440" i="3"/>
  <c r="M440" i="3"/>
  <c r="BB439" i="3"/>
  <c r="AL439" i="3"/>
  <c r="V439" i="3"/>
  <c r="BK438" i="3"/>
  <c r="AU438" i="3"/>
  <c r="AE438" i="3"/>
  <c r="O438" i="3"/>
  <c r="BH437" i="3"/>
  <c r="AR437" i="3"/>
  <c r="AB437" i="3"/>
  <c r="L437" i="3"/>
  <c r="BE436" i="3"/>
  <c r="AO436" i="3"/>
  <c r="Y436" i="3"/>
  <c r="I436" i="3"/>
  <c r="AX435" i="3"/>
  <c r="AH435" i="3"/>
  <c r="R435" i="3"/>
  <c r="BG434" i="3"/>
  <c r="AQ434" i="3"/>
  <c r="AA434" i="3"/>
  <c r="K434" i="3"/>
  <c r="BD433" i="3"/>
  <c r="AN433" i="3"/>
  <c r="X433" i="3"/>
  <c r="H433" i="3"/>
  <c r="BA432" i="3"/>
  <c r="AK432" i="3"/>
  <c r="U432" i="3"/>
  <c r="BJ431" i="3"/>
  <c r="AT431" i="3"/>
  <c r="AD431" i="3"/>
  <c r="N431" i="3"/>
  <c r="BC430" i="3"/>
  <c r="AM430" i="3"/>
  <c r="W430" i="3"/>
  <c r="G430" i="3"/>
  <c r="AZ429" i="3"/>
  <c r="AJ429" i="3"/>
  <c r="T429" i="3"/>
  <c r="BM428" i="3"/>
  <c r="AW428" i="3"/>
  <c r="AG428" i="3"/>
  <c r="Q428" i="3"/>
  <c r="BF427" i="3"/>
  <c r="AP427" i="3"/>
  <c r="Z427" i="3"/>
  <c r="J427" i="3"/>
  <c r="AY426" i="3"/>
  <c r="AI426" i="3"/>
  <c r="S426" i="3"/>
  <c r="BL425" i="3"/>
  <c r="AV425" i="3"/>
  <c r="AF425" i="3"/>
  <c r="P425" i="3"/>
  <c r="BI424" i="3"/>
  <c r="AS424" i="3"/>
  <c r="AC424" i="3"/>
  <c r="M424" i="3"/>
  <c r="BB423" i="3"/>
  <c r="AL423" i="3"/>
  <c r="V423" i="3"/>
  <c r="BK422" i="3"/>
  <c r="AU422" i="3"/>
  <c r="AE422" i="3"/>
  <c r="O422" i="3"/>
  <c r="BH421" i="3"/>
  <c r="AR421" i="3"/>
  <c r="AB421" i="3"/>
  <c r="L421" i="3"/>
  <c r="BE420" i="3"/>
  <c r="AO420" i="3"/>
  <c r="Y420" i="3"/>
  <c r="I420" i="3"/>
  <c r="AX419" i="3"/>
  <c r="AH419" i="3"/>
  <c r="R419" i="3"/>
  <c r="BG418" i="3"/>
  <c r="AQ418" i="3"/>
  <c r="AA418" i="3"/>
  <c r="K418" i="3"/>
  <c r="BD417" i="3"/>
  <c r="AN417" i="3"/>
  <c r="AB463" i="3"/>
  <c r="AV462" i="3"/>
  <c r="Y462" i="3"/>
  <c r="BM461" i="3"/>
  <c r="AW461" i="3"/>
  <c r="AG461" i="3"/>
  <c r="Q461" i="3"/>
  <c r="BF460" i="3"/>
  <c r="AP460" i="3"/>
  <c r="Z460" i="3"/>
  <c r="J460" i="3"/>
  <c r="AY459" i="3"/>
  <c r="AI459" i="3"/>
  <c r="S459" i="3"/>
  <c r="BL458" i="3"/>
  <c r="AV458" i="3"/>
  <c r="AF458" i="3"/>
  <c r="P458" i="3"/>
  <c r="BI457" i="3"/>
  <c r="AS457" i="3"/>
  <c r="AC457" i="3"/>
  <c r="M457" i="3"/>
  <c r="BE455" i="3"/>
  <c r="AO455" i="3"/>
  <c r="Y455" i="3"/>
  <c r="I455" i="3"/>
  <c r="AX454" i="3"/>
  <c r="AH454" i="3"/>
  <c r="R454" i="3"/>
  <c r="BG453" i="3"/>
  <c r="AQ453" i="3"/>
  <c r="AA453" i="3"/>
  <c r="K453" i="3"/>
  <c r="BD452" i="3"/>
  <c r="AN452" i="3"/>
  <c r="X452" i="3"/>
  <c r="H452" i="3"/>
  <c r="BA451" i="3"/>
  <c r="AK451" i="3"/>
  <c r="U451" i="3"/>
  <c r="BJ450" i="3"/>
  <c r="AT450" i="3"/>
  <c r="AD450" i="3"/>
  <c r="N450" i="3"/>
  <c r="BC449" i="3"/>
  <c r="AM449" i="3"/>
  <c r="W449" i="3"/>
  <c r="G449" i="3"/>
  <c r="AZ448" i="3"/>
  <c r="AJ448" i="3"/>
  <c r="T448" i="3"/>
  <c r="BM447" i="3"/>
  <c r="AW447" i="3"/>
  <c r="AG447" i="3"/>
  <c r="Q447" i="3"/>
  <c r="BF446" i="3"/>
  <c r="AP446" i="3"/>
  <c r="Z446" i="3"/>
  <c r="J446" i="3"/>
  <c r="AY445" i="3"/>
  <c r="AI445" i="3"/>
  <c r="S445" i="3"/>
  <c r="BL444" i="3"/>
  <c r="AV444" i="3"/>
  <c r="AF444" i="3"/>
  <c r="P444" i="3"/>
  <c r="BI443" i="3"/>
  <c r="AS443" i="3"/>
  <c r="AC443" i="3"/>
  <c r="M443" i="3"/>
  <c r="BB442" i="3"/>
  <c r="AL442" i="3"/>
  <c r="V442" i="3"/>
  <c r="BK441" i="3"/>
  <c r="AU441" i="3"/>
  <c r="AE441" i="3"/>
  <c r="O441" i="3"/>
  <c r="BH440" i="3"/>
  <c r="AR440" i="3"/>
  <c r="AB440" i="3"/>
  <c r="L440" i="3"/>
  <c r="BE439" i="3"/>
  <c r="AO439" i="3"/>
  <c r="Y439" i="3"/>
  <c r="I439" i="3"/>
  <c r="AX438" i="3"/>
  <c r="AH438" i="3"/>
  <c r="R438" i="3"/>
  <c r="BG437" i="3"/>
  <c r="AQ437" i="3"/>
  <c r="AA437" i="3"/>
  <c r="K437" i="3"/>
  <c r="BD436" i="3"/>
  <c r="AN436" i="3"/>
  <c r="X436" i="3"/>
  <c r="H436" i="3"/>
  <c r="BA435" i="3"/>
  <c r="AK435" i="3"/>
  <c r="U435" i="3"/>
  <c r="BJ434" i="3"/>
  <c r="AT434" i="3"/>
  <c r="AD434" i="3"/>
  <c r="N434" i="3"/>
  <c r="BC433" i="3"/>
  <c r="AM433" i="3"/>
  <c r="W433" i="3"/>
  <c r="G433" i="3"/>
  <c r="AZ432" i="3"/>
  <c r="AJ432" i="3"/>
  <c r="T432" i="3"/>
  <c r="BM431" i="3"/>
  <c r="AW431" i="3"/>
  <c r="AG431" i="3"/>
  <c r="Q431" i="3"/>
  <c r="BF430" i="3"/>
  <c r="AP430" i="3"/>
  <c r="Z430" i="3"/>
  <c r="J430" i="3"/>
  <c r="AY429" i="3"/>
  <c r="AI429" i="3"/>
  <c r="S429" i="3"/>
  <c r="BL428" i="3"/>
  <c r="AV428" i="3"/>
  <c r="AF428" i="3"/>
  <c r="P428" i="3"/>
  <c r="BI427" i="3"/>
  <c r="AS427" i="3"/>
  <c r="AC427" i="3"/>
  <c r="M427" i="3"/>
  <c r="BB426" i="3"/>
  <c r="AL426" i="3"/>
  <c r="V426" i="3"/>
  <c r="BK425" i="3"/>
  <c r="AU425" i="3"/>
  <c r="AE425" i="3"/>
  <c r="O425" i="3"/>
  <c r="BH424" i="3"/>
  <c r="AR424" i="3"/>
  <c r="AB424" i="3"/>
  <c r="L424" i="3"/>
  <c r="BE423" i="3"/>
  <c r="AO423" i="3"/>
  <c r="Y423" i="3"/>
  <c r="I423" i="3"/>
  <c r="AX422" i="3"/>
  <c r="AH422" i="3"/>
  <c r="R422" i="3"/>
  <c r="BG421" i="3"/>
  <c r="AQ421" i="3"/>
  <c r="AA421" i="3"/>
  <c r="K421" i="3"/>
  <c r="BD420" i="3"/>
  <c r="AN420" i="3"/>
  <c r="X420" i="3"/>
  <c r="H420" i="3"/>
  <c r="BA419" i="3"/>
  <c r="AK419" i="3"/>
  <c r="U419" i="3"/>
  <c r="BJ418" i="3"/>
  <c r="AT418" i="3"/>
  <c r="AD418" i="3"/>
  <c r="N418" i="3"/>
  <c r="BC417" i="3"/>
  <c r="AM417" i="3"/>
  <c r="W417" i="3"/>
  <c r="G417" i="3"/>
  <c r="BG416" i="3"/>
  <c r="AQ416" i="3"/>
  <c r="AA416" i="3"/>
  <c r="K416" i="3"/>
  <c r="BC414" i="3"/>
  <c r="AM414" i="3"/>
  <c r="W414" i="3"/>
  <c r="G414" i="3"/>
  <c r="AZ413" i="3"/>
  <c r="AJ413" i="3"/>
  <c r="T413" i="3"/>
  <c r="BM412" i="3"/>
  <c r="AW412" i="3"/>
  <c r="AG412" i="3"/>
  <c r="Q412" i="3"/>
  <c r="BF411" i="3"/>
  <c r="AP411" i="3"/>
  <c r="Z411" i="3"/>
  <c r="J411" i="3"/>
  <c r="AY410" i="3"/>
  <c r="AI410" i="3"/>
  <c r="S410" i="3"/>
  <c r="BL409" i="3"/>
  <c r="AV409" i="3"/>
  <c r="AF409" i="3"/>
  <c r="P409" i="3"/>
  <c r="BI408" i="3"/>
  <c r="AS408" i="3"/>
  <c r="AC408" i="3"/>
  <c r="M408" i="3"/>
  <c r="BB407" i="3"/>
  <c r="AL407" i="3"/>
  <c r="V407" i="3"/>
  <c r="BK406" i="3"/>
  <c r="AU406" i="3"/>
  <c r="AE406" i="3"/>
  <c r="O406" i="3"/>
  <c r="BH405" i="3"/>
  <c r="AR405" i="3"/>
  <c r="AB405" i="3"/>
  <c r="L405" i="3"/>
  <c r="BE404" i="3"/>
  <c r="AO404" i="3"/>
  <c r="Y404" i="3"/>
  <c r="I404" i="3"/>
  <c r="AX403" i="3"/>
  <c r="AH403" i="3"/>
  <c r="R403" i="3"/>
  <c r="BG402" i="3"/>
  <c r="AQ402" i="3"/>
  <c r="AA402" i="3"/>
  <c r="K402" i="3"/>
  <c r="BD401" i="3"/>
  <c r="AN401" i="3"/>
  <c r="X401" i="3"/>
  <c r="H401" i="3"/>
  <c r="BA400" i="3"/>
  <c r="AK400" i="3"/>
  <c r="U400" i="3"/>
  <c r="BJ399" i="3"/>
  <c r="AT399" i="3"/>
  <c r="AD399" i="3"/>
  <c r="N399" i="3"/>
  <c r="BC398" i="3"/>
  <c r="AM398" i="3"/>
  <c r="W398" i="3"/>
  <c r="G398" i="3"/>
  <c r="AZ397" i="3"/>
  <c r="AJ397" i="3"/>
  <c r="T397" i="3"/>
  <c r="BM396" i="3"/>
  <c r="AW396" i="3"/>
  <c r="AG396" i="3"/>
  <c r="Q396" i="3"/>
  <c r="BF395" i="3"/>
  <c r="AP395" i="3"/>
  <c r="Z395" i="3"/>
  <c r="J395" i="3"/>
  <c r="AY394" i="3"/>
  <c r="AI394" i="3"/>
  <c r="S394" i="3"/>
  <c r="BL393" i="3"/>
  <c r="AV393" i="3"/>
  <c r="AF393" i="3"/>
  <c r="P393" i="3"/>
  <c r="BI392" i="3"/>
  <c r="AS392" i="3"/>
  <c r="AC392" i="3"/>
  <c r="M392" i="3"/>
  <c r="BB391" i="3"/>
  <c r="AL391" i="3"/>
  <c r="V391" i="3"/>
  <c r="BK390" i="3"/>
  <c r="AU390" i="3"/>
  <c r="AE390" i="3"/>
  <c r="O390" i="3"/>
  <c r="BH389" i="3"/>
  <c r="AR389" i="3"/>
  <c r="AB389" i="3"/>
  <c r="L389" i="3"/>
  <c r="BE388" i="3"/>
  <c r="AO388" i="3"/>
  <c r="Y388" i="3"/>
  <c r="I388" i="3"/>
  <c r="AX387" i="3"/>
  <c r="AH387" i="3"/>
  <c r="R387" i="3"/>
  <c r="BG386" i="3"/>
  <c r="AQ386" i="3"/>
  <c r="AA386" i="3"/>
  <c r="K386" i="3"/>
  <c r="BD385" i="3"/>
  <c r="AN385" i="3"/>
  <c r="X385" i="3"/>
  <c r="H385" i="3"/>
  <c r="BA384" i="3"/>
  <c r="AK384" i="3"/>
  <c r="U384" i="3"/>
  <c r="BJ383" i="3"/>
  <c r="AT383" i="3"/>
  <c r="AD383" i="3"/>
  <c r="N383" i="3"/>
  <c r="BC382" i="3"/>
  <c r="AM382" i="3"/>
  <c r="W382" i="3"/>
  <c r="G382" i="3"/>
  <c r="AZ381" i="3"/>
  <c r="AJ381" i="3"/>
  <c r="T381" i="3"/>
  <c r="BM380" i="3"/>
  <c r="AW380" i="3"/>
  <c r="AG380" i="3"/>
  <c r="Q380" i="3"/>
  <c r="BF379" i="3"/>
  <c r="AP379" i="3"/>
  <c r="Z379" i="3"/>
  <c r="J379" i="3"/>
  <c r="AY378" i="3"/>
  <c r="AI378" i="3"/>
  <c r="S378" i="3"/>
  <c r="BL377" i="3"/>
  <c r="AV377" i="3"/>
  <c r="AF377" i="3"/>
  <c r="P377" i="3"/>
  <c r="BI376" i="3"/>
  <c r="AS376" i="3"/>
  <c r="AC376" i="3"/>
  <c r="M376" i="3"/>
  <c r="BB375" i="3"/>
  <c r="AL375" i="3"/>
  <c r="V375" i="3"/>
  <c r="BJ373" i="3"/>
  <c r="AT373" i="3"/>
  <c r="AD373" i="3"/>
  <c r="N373" i="3"/>
  <c r="BC372" i="3"/>
  <c r="AM372" i="3"/>
  <c r="W372" i="3"/>
  <c r="G372" i="3"/>
  <c r="AZ371" i="3"/>
  <c r="AJ371" i="3"/>
  <c r="T371" i="3"/>
  <c r="BM370" i="3"/>
  <c r="AW370" i="3"/>
  <c r="AG370" i="3"/>
  <c r="Q370" i="3"/>
  <c r="BF369" i="3"/>
  <c r="AP369" i="3"/>
  <c r="Z369" i="3"/>
  <c r="J369" i="3"/>
  <c r="AY368" i="3"/>
  <c r="AI368" i="3"/>
  <c r="S368" i="3"/>
  <c r="BL367" i="3"/>
  <c r="AV367" i="3"/>
  <c r="AF367" i="3"/>
  <c r="P367" i="3"/>
  <c r="BI366" i="3"/>
  <c r="AS366" i="3"/>
  <c r="AC366" i="3"/>
  <c r="M366" i="3"/>
  <c r="BB365" i="3"/>
  <c r="AL365" i="3"/>
  <c r="V365" i="3"/>
  <c r="BK364" i="3"/>
  <c r="AU364" i="3"/>
  <c r="AE364" i="3"/>
  <c r="O364" i="3"/>
  <c r="BH363" i="3"/>
  <c r="AR363" i="3"/>
  <c r="AB363" i="3"/>
  <c r="L363" i="3"/>
  <c r="BE362" i="3"/>
  <c r="AO362" i="3"/>
  <c r="Y362" i="3"/>
  <c r="I362" i="3"/>
  <c r="AX361" i="3"/>
  <c r="AH361" i="3"/>
  <c r="R361" i="3"/>
  <c r="BG360" i="3"/>
  <c r="AQ360" i="3"/>
  <c r="AA360" i="3"/>
  <c r="K360" i="3"/>
  <c r="BD359" i="3"/>
  <c r="AN359" i="3"/>
  <c r="X359" i="3"/>
  <c r="H359" i="3"/>
  <c r="BA358" i="3"/>
  <c r="AK358" i="3"/>
  <c r="U358" i="3"/>
  <c r="BJ357" i="3"/>
  <c r="AT357" i="3"/>
  <c r="AD357" i="3"/>
  <c r="N357" i="3"/>
  <c r="BC356" i="3"/>
  <c r="AM356" i="3"/>
  <c r="W356" i="3"/>
  <c r="G356" i="3"/>
  <c r="AZ355" i="3"/>
  <c r="AJ355" i="3"/>
  <c r="T355" i="3"/>
  <c r="BM354" i="3"/>
  <c r="AW354" i="3"/>
  <c r="AG354" i="3"/>
  <c r="Q354" i="3"/>
  <c r="BF353" i="3"/>
  <c r="AP353" i="3"/>
  <c r="Z353" i="3"/>
  <c r="J353" i="3"/>
  <c r="AY352" i="3"/>
  <c r="AI352" i="3"/>
  <c r="S352" i="3"/>
  <c r="BL351" i="3"/>
  <c r="AV351" i="3"/>
  <c r="AF351" i="3"/>
  <c r="P351" i="3"/>
  <c r="BI350" i="3"/>
  <c r="AS350" i="3"/>
  <c r="AC350" i="3"/>
  <c r="M350" i="3"/>
  <c r="BB349" i="3"/>
  <c r="AL349" i="3"/>
  <c r="V349" i="3"/>
  <c r="BK348" i="3"/>
  <c r="AU348" i="3"/>
  <c r="AE348" i="3"/>
  <c r="O348" i="3"/>
  <c r="BH347" i="3"/>
  <c r="AR347" i="3"/>
  <c r="AB347" i="3"/>
  <c r="L347" i="3"/>
  <c r="BE346" i="3"/>
  <c r="AO346" i="3"/>
  <c r="Y346" i="3"/>
  <c r="I346" i="3"/>
  <c r="AX345" i="3"/>
  <c r="AH345" i="3"/>
  <c r="R345" i="3"/>
  <c r="BG344" i="3"/>
  <c r="AQ344" i="3"/>
  <c r="AA344" i="3"/>
  <c r="K344" i="3"/>
  <c r="BD343" i="3"/>
  <c r="AN343" i="3"/>
  <c r="X343" i="3"/>
  <c r="H343" i="3"/>
  <c r="BA342" i="3"/>
  <c r="AK342" i="3"/>
  <c r="U342" i="3"/>
  <c r="BJ341" i="3"/>
  <c r="AT341" i="3"/>
  <c r="AD341" i="3"/>
  <c r="N341" i="3"/>
  <c r="BC340" i="3"/>
  <c r="AM340" i="3"/>
  <c r="W340" i="3"/>
  <c r="G340" i="3"/>
  <c r="AZ339" i="3"/>
  <c r="AJ339" i="3"/>
  <c r="T339" i="3"/>
  <c r="BM338" i="3"/>
  <c r="AW338" i="3"/>
  <c r="AG338" i="3"/>
  <c r="Q338" i="3"/>
  <c r="BF337" i="3"/>
  <c r="AP337" i="3"/>
  <c r="Z337" i="3"/>
  <c r="J337" i="3"/>
  <c r="AY336" i="3"/>
  <c r="AI336" i="3"/>
  <c r="S336" i="3"/>
  <c r="BL335" i="3"/>
  <c r="AV335" i="3"/>
  <c r="AF335" i="3"/>
  <c r="P335" i="3"/>
  <c r="BI334" i="3"/>
  <c r="AS334" i="3"/>
  <c r="AC334" i="3"/>
  <c r="M334" i="3"/>
  <c r="BE332" i="3"/>
  <c r="AO332" i="3"/>
  <c r="Y332" i="3"/>
  <c r="I332" i="3"/>
  <c r="AX331" i="3"/>
  <c r="AH331" i="3"/>
  <c r="R331" i="3"/>
  <c r="BG330" i="3"/>
  <c r="AQ330" i="3"/>
  <c r="AA330" i="3"/>
  <c r="K330" i="3"/>
  <c r="BD329" i="3"/>
  <c r="AN329" i="3"/>
  <c r="X329" i="3"/>
  <c r="H329" i="3"/>
  <c r="BA328" i="3"/>
  <c r="AK328" i="3"/>
  <c r="U328" i="3"/>
  <c r="BJ327" i="3"/>
  <c r="AT327" i="3"/>
  <c r="AD327" i="3"/>
  <c r="N327" i="3"/>
  <c r="BC326" i="3"/>
  <c r="AM326" i="3"/>
  <c r="W326" i="3"/>
  <c r="BJ416" i="3"/>
  <c r="AT416" i="3"/>
  <c r="AD416" i="3"/>
  <c r="N416" i="3"/>
  <c r="BB414" i="3"/>
  <c r="AL414" i="3"/>
  <c r="V414" i="3"/>
  <c r="BK413" i="3"/>
  <c r="AU413" i="3"/>
  <c r="AE413" i="3"/>
  <c r="O413" i="3"/>
  <c r="BH412" i="3"/>
  <c r="AR412" i="3"/>
  <c r="AB412" i="3"/>
  <c r="L412" i="3"/>
  <c r="BE411" i="3"/>
  <c r="AO411" i="3"/>
  <c r="Y411" i="3"/>
  <c r="I411" i="3"/>
  <c r="AX410" i="3"/>
  <c r="AH410" i="3"/>
  <c r="R410" i="3"/>
  <c r="BG409" i="3"/>
  <c r="AQ409" i="3"/>
  <c r="AA409" i="3"/>
  <c r="K409" i="3"/>
  <c r="BD408" i="3"/>
  <c r="AN408" i="3"/>
  <c r="X408" i="3"/>
  <c r="H408" i="3"/>
  <c r="BA407" i="3"/>
  <c r="AK407" i="3"/>
  <c r="U407" i="3"/>
  <c r="BJ406" i="3"/>
  <c r="AT406" i="3"/>
  <c r="AD406" i="3"/>
  <c r="N406" i="3"/>
  <c r="BC405" i="3"/>
  <c r="AM405" i="3"/>
  <c r="W405" i="3"/>
  <c r="G405" i="3"/>
  <c r="AZ404" i="3"/>
  <c r="AJ404" i="3"/>
  <c r="T404" i="3"/>
  <c r="BM403" i="3"/>
  <c r="AW403" i="3"/>
  <c r="AG403" i="3"/>
  <c r="Q403" i="3"/>
  <c r="BF402" i="3"/>
  <c r="AP402" i="3"/>
  <c r="Z402" i="3"/>
  <c r="J402" i="3"/>
  <c r="AY401" i="3"/>
  <c r="AI401" i="3"/>
  <c r="S401" i="3"/>
  <c r="BL400" i="3"/>
  <c r="AV400" i="3"/>
  <c r="AF400" i="3"/>
  <c r="P400" i="3"/>
  <c r="BI399" i="3"/>
  <c r="AS399" i="3"/>
  <c r="AC399" i="3"/>
  <c r="M399" i="3"/>
  <c r="BB398" i="3"/>
  <c r="AL398" i="3"/>
  <c r="V398" i="3"/>
  <c r="BK397" i="3"/>
  <c r="AU397" i="3"/>
  <c r="AE397" i="3"/>
  <c r="O397" i="3"/>
  <c r="BH396" i="3"/>
  <c r="AR396" i="3"/>
  <c r="AB396" i="3"/>
  <c r="L396" i="3"/>
  <c r="BE395" i="3"/>
  <c r="AO395" i="3"/>
  <c r="Y395" i="3"/>
  <c r="I395" i="3"/>
  <c r="AX394" i="3"/>
  <c r="AH394" i="3"/>
  <c r="R394" i="3"/>
  <c r="BG393" i="3"/>
  <c r="AQ393" i="3"/>
  <c r="AA393" i="3"/>
  <c r="K393" i="3"/>
  <c r="BD392" i="3"/>
  <c r="AN392" i="3"/>
  <c r="X392" i="3"/>
  <c r="H392" i="3"/>
  <c r="BA391" i="3"/>
  <c r="AK391" i="3"/>
  <c r="U391" i="3"/>
  <c r="BJ390" i="3"/>
  <c r="AT390" i="3"/>
  <c r="AD390" i="3"/>
  <c r="N390" i="3"/>
  <c r="BC389" i="3"/>
  <c r="AM389" i="3"/>
  <c r="W389" i="3"/>
  <c r="G389" i="3"/>
  <c r="AZ388" i="3"/>
  <c r="AJ388" i="3"/>
  <c r="T388" i="3"/>
  <c r="BM387" i="3"/>
  <c r="AW387" i="3"/>
  <c r="AG387" i="3"/>
  <c r="Q387" i="3"/>
  <c r="BF386" i="3"/>
  <c r="AP386" i="3"/>
  <c r="Z386" i="3"/>
  <c r="J386" i="3"/>
  <c r="AY385" i="3"/>
  <c r="AI385" i="3"/>
  <c r="S385" i="3"/>
  <c r="BL384" i="3"/>
  <c r="AV384" i="3"/>
  <c r="AF384" i="3"/>
  <c r="P384" i="3"/>
  <c r="BI383" i="3"/>
  <c r="AS383" i="3"/>
  <c r="AC383" i="3"/>
  <c r="M383" i="3"/>
  <c r="BB382" i="3"/>
  <c r="AL382" i="3"/>
  <c r="V382" i="3"/>
  <c r="BK381" i="3"/>
  <c r="AU381" i="3"/>
  <c r="AE381" i="3"/>
  <c r="O381" i="3"/>
  <c r="BH380" i="3"/>
  <c r="AR380" i="3"/>
  <c r="AB380" i="3"/>
  <c r="L380" i="3"/>
  <c r="BE379" i="3"/>
  <c r="AO379" i="3"/>
  <c r="Y379" i="3"/>
  <c r="I379" i="3"/>
  <c r="AX378" i="3"/>
  <c r="AH378" i="3"/>
  <c r="R378" i="3"/>
  <c r="BG377" i="3"/>
  <c r="AQ377" i="3"/>
  <c r="AA377" i="3"/>
  <c r="K377" i="3"/>
  <c r="BD376" i="3"/>
  <c r="AN376" i="3"/>
  <c r="X376" i="3"/>
  <c r="H376" i="3"/>
  <c r="BA375" i="3"/>
  <c r="AK375" i="3"/>
  <c r="U375" i="3"/>
  <c r="BM373" i="3"/>
  <c r="AW373" i="3"/>
  <c r="AG373" i="3"/>
  <c r="Q373" i="3"/>
  <c r="BF372" i="3"/>
  <c r="AP372" i="3"/>
  <c r="Z372" i="3"/>
  <c r="J372" i="3"/>
  <c r="AY371" i="3"/>
  <c r="AI371" i="3"/>
  <c r="S371" i="3"/>
  <c r="BL370" i="3"/>
  <c r="AV370" i="3"/>
  <c r="AF370" i="3"/>
  <c r="P370" i="3"/>
  <c r="BI369" i="3"/>
  <c r="AS369" i="3"/>
  <c r="AC369" i="3"/>
  <c r="M369" i="3"/>
  <c r="BB368" i="3"/>
  <c r="AL368" i="3"/>
  <c r="V368" i="3"/>
  <c r="BK367" i="3"/>
  <c r="AU367" i="3"/>
  <c r="AE367" i="3"/>
  <c r="O367" i="3"/>
  <c r="BH366" i="3"/>
  <c r="AR366" i="3"/>
  <c r="AB366" i="3"/>
  <c r="L366" i="3"/>
  <c r="BE365" i="3"/>
  <c r="AO365" i="3"/>
  <c r="Y365" i="3"/>
  <c r="I365" i="3"/>
  <c r="AX364" i="3"/>
  <c r="AH364" i="3"/>
  <c r="R364" i="3"/>
  <c r="BG363" i="3"/>
  <c r="AQ363" i="3"/>
  <c r="AA363" i="3"/>
  <c r="K363" i="3"/>
  <c r="BD362" i="3"/>
  <c r="AN362" i="3"/>
  <c r="X362" i="3"/>
  <c r="H362" i="3"/>
  <c r="BA361" i="3"/>
  <c r="AK361" i="3"/>
  <c r="U361" i="3"/>
  <c r="BJ360" i="3"/>
  <c r="AT360" i="3"/>
  <c r="AD360" i="3"/>
  <c r="N360" i="3"/>
  <c r="BC359" i="3"/>
  <c r="AM359" i="3"/>
  <c r="W359" i="3"/>
  <c r="G359" i="3"/>
  <c r="AZ358" i="3"/>
  <c r="AJ358" i="3"/>
  <c r="T358" i="3"/>
  <c r="BM357" i="3"/>
  <c r="AW357" i="3"/>
  <c r="AG357" i="3"/>
  <c r="Q357" i="3"/>
  <c r="BF356" i="3"/>
  <c r="AP356" i="3"/>
  <c r="Z356" i="3"/>
  <c r="J356" i="3"/>
  <c r="AY355" i="3"/>
  <c r="AI355" i="3"/>
  <c r="S355" i="3"/>
  <c r="BL354" i="3"/>
  <c r="AV354" i="3"/>
  <c r="AF354" i="3"/>
  <c r="P354" i="3"/>
  <c r="BI353" i="3"/>
  <c r="AS353" i="3"/>
  <c r="AC353" i="3"/>
  <c r="M353" i="3"/>
  <c r="BB352" i="3"/>
  <c r="AL352" i="3"/>
  <c r="V352" i="3"/>
  <c r="BK351" i="3"/>
  <c r="AU351" i="3"/>
  <c r="AE351" i="3"/>
  <c r="O351" i="3"/>
  <c r="BH350" i="3"/>
  <c r="AR350" i="3"/>
  <c r="AB350" i="3"/>
  <c r="L350" i="3"/>
  <c r="BE349" i="3"/>
  <c r="AO349" i="3"/>
  <c r="Y349" i="3"/>
  <c r="I349" i="3"/>
  <c r="AX348" i="3"/>
  <c r="AH348" i="3"/>
  <c r="R348" i="3"/>
  <c r="BG347" i="3"/>
  <c r="AQ347" i="3"/>
  <c r="AA347" i="3"/>
  <c r="K347" i="3"/>
  <c r="BD346" i="3"/>
  <c r="AN346" i="3"/>
  <c r="X346" i="3"/>
  <c r="H346" i="3"/>
  <c r="BA345" i="3"/>
  <c r="AK345" i="3"/>
  <c r="U345" i="3"/>
  <c r="BJ344" i="3"/>
  <c r="AT344" i="3"/>
  <c r="AD344" i="3"/>
  <c r="N344" i="3"/>
  <c r="BC343" i="3"/>
  <c r="AM343" i="3"/>
  <c r="W343" i="3"/>
  <c r="G343" i="3"/>
  <c r="AZ342" i="3"/>
  <c r="AJ342" i="3"/>
  <c r="T342" i="3"/>
  <c r="BM341" i="3"/>
  <c r="AW341" i="3"/>
  <c r="AG341" i="3"/>
  <c r="Q341" i="3"/>
  <c r="BF340" i="3"/>
  <c r="AP340" i="3"/>
  <c r="Z340" i="3"/>
  <c r="J340" i="3"/>
  <c r="AY339" i="3"/>
  <c r="AI339" i="3"/>
  <c r="S339" i="3"/>
  <c r="BL338" i="3"/>
  <c r="AV338" i="3"/>
  <c r="AF338" i="3"/>
  <c r="P338" i="3"/>
  <c r="BI337" i="3"/>
  <c r="AS337" i="3"/>
  <c r="AC337" i="3"/>
  <c r="M337" i="3"/>
  <c r="BB336" i="3"/>
  <c r="AL336" i="3"/>
  <c r="V336" i="3"/>
  <c r="BK335" i="3"/>
  <c r="AU335" i="3"/>
  <c r="AE335" i="3"/>
  <c r="O335" i="3"/>
  <c r="BH334" i="3"/>
  <c r="AR334" i="3"/>
  <c r="AB334" i="3"/>
  <c r="L334" i="3"/>
  <c r="BD332" i="3"/>
  <c r="AN332" i="3"/>
  <c r="X332" i="3"/>
  <c r="H332" i="3"/>
  <c r="BA331" i="3"/>
  <c r="AK331" i="3"/>
  <c r="U331" i="3"/>
  <c r="BJ330" i="3"/>
  <c r="AT330" i="3"/>
  <c r="AD330" i="3"/>
  <c r="N330" i="3"/>
  <c r="BC329" i="3"/>
  <c r="AM329" i="3"/>
  <c r="W329" i="3"/>
  <c r="G329" i="3"/>
  <c r="AZ328" i="3"/>
  <c r="AJ328" i="3"/>
  <c r="T328" i="3"/>
  <c r="BM327" i="3"/>
  <c r="AW327" i="3"/>
  <c r="AG327" i="3"/>
  <c r="Q327" i="3"/>
  <c r="P417" i="3"/>
  <c r="BA416" i="3"/>
  <c r="AK416" i="3"/>
  <c r="U416" i="3"/>
  <c r="BM414" i="3"/>
  <c r="AW414" i="3"/>
  <c r="AG414" i="3"/>
  <c r="Q414" i="3"/>
  <c r="BF413" i="3"/>
  <c r="AP413" i="3"/>
  <c r="Z413" i="3"/>
  <c r="J413" i="3"/>
  <c r="AY412" i="3"/>
  <c r="AI412" i="3"/>
  <c r="S412" i="3"/>
  <c r="BL411" i="3"/>
  <c r="AV411" i="3"/>
  <c r="AF411" i="3"/>
  <c r="P411" i="3"/>
  <c r="BI410" i="3"/>
  <c r="AS410" i="3"/>
  <c r="AC410" i="3"/>
  <c r="M410" i="3"/>
  <c r="BB409" i="3"/>
  <c r="AL409" i="3"/>
  <c r="V409" i="3"/>
  <c r="BK408" i="3"/>
  <c r="AU408" i="3"/>
  <c r="AE408" i="3"/>
  <c r="O408" i="3"/>
  <c r="BH407" i="3"/>
  <c r="AR407" i="3"/>
  <c r="AB407" i="3"/>
  <c r="L407" i="3"/>
  <c r="BE406" i="3"/>
  <c r="AO406" i="3"/>
  <c r="Y406" i="3"/>
  <c r="I406" i="3"/>
  <c r="AX405" i="3"/>
  <c r="AH405" i="3"/>
  <c r="R405" i="3"/>
  <c r="BG404" i="3"/>
  <c r="AQ404" i="3"/>
  <c r="AA404" i="3"/>
  <c r="K404" i="3"/>
  <c r="BD403" i="3"/>
  <c r="AN403" i="3"/>
  <c r="X403" i="3"/>
  <c r="H403" i="3"/>
  <c r="BA402" i="3"/>
  <c r="AK402" i="3"/>
  <c r="U402" i="3"/>
  <c r="BJ401" i="3"/>
  <c r="AT401" i="3"/>
  <c r="AD401" i="3"/>
  <c r="N401" i="3"/>
  <c r="BC400" i="3"/>
  <c r="AM400" i="3"/>
  <c r="W400" i="3"/>
  <c r="G400" i="3"/>
  <c r="AZ399" i="3"/>
  <c r="AJ399" i="3"/>
  <c r="T399" i="3"/>
  <c r="BM398" i="3"/>
  <c r="AW398" i="3"/>
  <c r="AG398" i="3"/>
  <c r="Q398" i="3"/>
  <c r="BF397" i="3"/>
  <c r="AP397" i="3"/>
  <c r="Z397" i="3"/>
  <c r="J397" i="3"/>
  <c r="AY396" i="3"/>
  <c r="AI396" i="3"/>
  <c r="S396" i="3"/>
  <c r="BL395" i="3"/>
  <c r="AV395" i="3"/>
  <c r="AF395" i="3"/>
  <c r="P395" i="3"/>
  <c r="BI394" i="3"/>
  <c r="AS394" i="3"/>
  <c r="AC394" i="3"/>
  <c r="M394" i="3"/>
  <c r="BB393" i="3"/>
  <c r="AL393" i="3"/>
  <c r="V393" i="3"/>
  <c r="BK392" i="3"/>
  <c r="AU392" i="3"/>
  <c r="AE392" i="3"/>
  <c r="O392" i="3"/>
  <c r="BH391" i="3"/>
  <c r="AR391" i="3"/>
  <c r="AB391" i="3"/>
  <c r="L391" i="3"/>
  <c r="BE390" i="3"/>
  <c r="AO390" i="3"/>
  <c r="Y390" i="3"/>
  <c r="I390" i="3"/>
  <c r="AX389" i="3"/>
  <c r="AH389" i="3"/>
  <c r="R389" i="3"/>
  <c r="BG388" i="3"/>
  <c r="AQ388" i="3"/>
  <c r="AA388" i="3"/>
  <c r="K388" i="3"/>
  <c r="BD387" i="3"/>
  <c r="AN387" i="3"/>
  <c r="X387" i="3"/>
  <c r="H387" i="3"/>
  <c r="BA386" i="3"/>
  <c r="AK386" i="3"/>
  <c r="U386" i="3"/>
  <c r="BJ385" i="3"/>
  <c r="AT385" i="3"/>
  <c r="AD385" i="3"/>
  <c r="N385" i="3"/>
  <c r="BC384" i="3"/>
  <c r="AM384" i="3"/>
  <c r="W384" i="3"/>
  <c r="G384" i="3"/>
  <c r="AZ383" i="3"/>
  <c r="AJ383" i="3"/>
  <c r="T383" i="3"/>
  <c r="BM382" i="3"/>
  <c r="AW382" i="3"/>
  <c r="AG382" i="3"/>
  <c r="Q382" i="3"/>
  <c r="BF381" i="3"/>
  <c r="AP381" i="3"/>
  <c r="Z381" i="3"/>
  <c r="J381" i="3"/>
  <c r="AY380" i="3"/>
  <c r="AI380" i="3"/>
  <c r="S380" i="3"/>
  <c r="BL379" i="3"/>
  <c r="AV379" i="3"/>
  <c r="AF379" i="3"/>
  <c r="P379" i="3"/>
  <c r="BI378" i="3"/>
  <c r="AS378" i="3"/>
  <c r="AC378" i="3"/>
  <c r="M378" i="3"/>
  <c r="BB377" i="3"/>
  <c r="AL377" i="3"/>
  <c r="V377" i="3"/>
  <c r="BK376" i="3"/>
  <c r="AU376" i="3"/>
  <c r="AE376" i="3"/>
  <c r="O376" i="3"/>
  <c r="BH375" i="3"/>
  <c r="AR375" i="3"/>
  <c r="AB375" i="3"/>
  <c r="L375" i="3"/>
  <c r="BD373" i="3"/>
  <c r="AN373" i="3"/>
  <c r="X373" i="3"/>
  <c r="H373" i="3"/>
  <c r="BA372" i="3"/>
  <c r="AK372" i="3"/>
  <c r="U372" i="3"/>
  <c r="BJ371" i="3"/>
  <c r="AT371" i="3"/>
  <c r="AD371" i="3"/>
  <c r="N371" i="3"/>
  <c r="BC370" i="3"/>
  <c r="AM370" i="3"/>
  <c r="W370" i="3"/>
  <c r="G370" i="3"/>
  <c r="AZ369" i="3"/>
  <c r="AJ369" i="3"/>
  <c r="T369" i="3"/>
  <c r="BM368" i="3"/>
  <c r="AW368" i="3"/>
  <c r="AG368" i="3"/>
  <c r="Q368" i="3"/>
  <c r="BF367" i="3"/>
  <c r="AP367" i="3"/>
  <c r="Z367" i="3"/>
  <c r="J367" i="3"/>
  <c r="AY366" i="3"/>
  <c r="AI366" i="3"/>
  <c r="S366" i="3"/>
  <c r="BL365" i="3"/>
  <c r="AV365" i="3"/>
  <c r="AF365" i="3"/>
  <c r="P365" i="3"/>
  <c r="BI364" i="3"/>
  <c r="AS364" i="3"/>
  <c r="AC364" i="3"/>
  <c r="M364" i="3"/>
  <c r="BB363" i="3"/>
  <c r="AL363" i="3"/>
  <c r="V363" i="3"/>
  <c r="BK362" i="3"/>
  <c r="AU362" i="3"/>
  <c r="AE362" i="3"/>
  <c r="O362" i="3"/>
  <c r="BH361" i="3"/>
  <c r="AR361" i="3"/>
  <c r="AB361" i="3"/>
  <c r="L361" i="3"/>
  <c r="BE360" i="3"/>
  <c r="AO360" i="3"/>
  <c r="Y360" i="3"/>
  <c r="I360" i="3"/>
  <c r="AX359" i="3"/>
  <c r="AH359" i="3"/>
  <c r="R359" i="3"/>
  <c r="BG358" i="3"/>
  <c r="AQ358" i="3"/>
  <c r="AA358" i="3"/>
  <c r="K358" i="3"/>
  <c r="BD357" i="3"/>
  <c r="AN357" i="3"/>
  <c r="X357" i="3"/>
  <c r="H357" i="3"/>
  <c r="BA356" i="3"/>
  <c r="AK356" i="3"/>
  <c r="U356" i="3"/>
  <c r="BJ355" i="3"/>
  <c r="AT355" i="3"/>
  <c r="AD355" i="3"/>
  <c r="N355" i="3"/>
  <c r="BC354" i="3"/>
  <c r="AM354" i="3"/>
  <c r="W354" i="3"/>
  <c r="G354" i="3"/>
  <c r="AZ353" i="3"/>
  <c r="AJ353" i="3"/>
  <c r="T353" i="3"/>
  <c r="BM352" i="3"/>
  <c r="AW352" i="3"/>
  <c r="AG352" i="3"/>
  <c r="Q352" i="3"/>
  <c r="BF351" i="3"/>
  <c r="AP351" i="3"/>
  <c r="Z351" i="3"/>
  <c r="J351" i="3"/>
  <c r="AY350" i="3"/>
  <c r="AI350" i="3"/>
  <c r="S350" i="3"/>
  <c r="BL349" i="3"/>
  <c r="AV349" i="3"/>
  <c r="AF349" i="3"/>
  <c r="P349" i="3"/>
  <c r="BI348" i="3"/>
  <c r="AS348" i="3"/>
  <c r="AC348" i="3"/>
  <c r="M348" i="3"/>
  <c r="BB347" i="3"/>
  <c r="AL347" i="3"/>
  <c r="V347" i="3"/>
  <c r="BK346" i="3"/>
  <c r="AU346" i="3"/>
  <c r="AE346" i="3"/>
  <c r="O346" i="3"/>
  <c r="BH345" i="3"/>
  <c r="AR345" i="3"/>
  <c r="AB345" i="3"/>
  <c r="L345" i="3"/>
  <c r="BE344" i="3"/>
  <c r="AO344" i="3"/>
  <c r="Y344" i="3"/>
  <c r="I344" i="3"/>
  <c r="AX343" i="3"/>
  <c r="AH343" i="3"/>
  <c r="R343" i="3"/>
  <c r="BG342" i="3"/>
  <c r="AQ342" i="3"/>
  <c r="AA342" i="3"/>
  <c r="K342" i="3"/>
  <c r="BD341" i="3"/>
  <c r="AN341" i="3"/>
  <c r="X341" i="3"/>
  <c r="H341" i="3"/>
  <c r="BA340" i="3"/>
  <c r="AK340" i="3"/>
  <c r="U340" i="3"/>
  <c r="BJ339" i="3"/>
  <c r="AT339" i="3"/>
  <c r="AD339" i="3"/>
  <c r="N339" i="3"/>
  <c r="BC338" i="3"/>
  <c r="AM338" i="3"/>
  <c r="W338" i="3"/>
  <c r="G338" i="3"/>
  <c r="AZ337" i="3"/>
  <c r="AJ337" i="3"/>
  <c r="T337" i="3"/>
  <c r="BM336" i="3"/>
  <c r="AW336" i="3"/>
  <c r="AG336" i="3"/>
  <c r="Q336" i="3"/>
  <c r="BF335" i="3"/>
  <c r="AP335" i="3"/>
  <c r="Z335" i="3"/>
  <c r="J335" i="3"/>
  <c r="AY334" i="3"/>
  <c r="AI334" i="3"/>
  <c r="S334" i="3"/>
  <c r="BK332" i="3"/>
  <c r="AU332" i="3"/>
  <c r="AE332" i="3"/>
  <c r="O332" i="3"/>
  <c r="BH331" i="3"/>
  <c r="AR331" i="3"/>
  <c r="AB331" i="3"/>
  <c r="L331" i="3"/>
  <c r="BE330" i="3"/>
  <c r="AO330" i="3"/>
  <c r="Y330" i="3"/>
  <c r="I330" i="3"/>
  <c r="AX329" i="3"/>
  <c r="AH329" i="3"/>
  <c r="R329" i="3"/>
  <c r="BG328" i="3"/>
  <c r="AQ328" i="3"/>
  <c r="AA328" i="3"/>
  <c r="K328" i="3"/>
  <c r="BL416" i="3"/>
  <c r="AV416" i="3"/>
  <c r="AF416" i="3"/>
  <c r="P416" i="3"/>
  <c r="BH414" i="3"/>
  <c r="AR414" i="3"/>
  <c r="AB414" i="3"/>
  <c r="L414" i="3"/>
  <c r="BE413" i="3"/>
  <c r="AO413" i="3"/>
  <c r="Y413" i="3"/>
  <c r="I413" i="3"/>
  <c r="AX412" i="3"/>
  <c r="AH412" i="3"/>
  <c r="R412" i="3"/>
  <c r="BG411" i="3"/>
  <c r="AQ411" i="3"/>
  <c r="AA411" i="3"/>
  <c r="K411" i="3"/>
  <c r="BD410" i="3"/>
  <c r="AN410" i="3"/>
  <c r="X410" i="3"/>
  <c r="H410" i="3"/>
  <c r="BA409" i="3"/>
  <c r="AK409" i="3"/>
  <c r="U409" i="3"/>
  <c r="BJ408" i="3"/>
  <c r="AT408" i="3"/>
  <c r="AD408" i="3"/>
  <c r="N408" i="3"/>
  <c r="BC407" i="3"/>
  <c r="AM407" i="3"/>
  <c r="W407" i="3"/>
  <c r="G407" i="3"/>
  <c r="AZ406" i="3"/>
  <c r="AJ406" i="3"/>
  <c r="T406" i="3"/>
  <c r="BM405" i="3"/>
  <c r="AW405" i="3"/>
  <c r="AG405" i="3"/>
  <c r="Q405" i="3"/>
  <c r="BF404" i="3"/>
  <c r="AP404" i="3"/>
  <c r="Z404" i="3"/>
  <c r="J404" i="3"/>
  <c r="AY403" i="3"/>
  <c r="AI403" i="3"/>
  <c r="S403" i="3"/>
  <c r="BL402" i="3"/>
  <c r="AV402" i="3"/>
  <c r="AF402" i="3"/>
  <c r="P402" i="3"/>
  <c r="BI401" i="3"/>
  <c r="AS401" i="3"/>
  <c r="AC401" i="3"/>
  <c r="M401" i="3"/>
  <c r="BB400" i="3"/>
  <c r="AL400" i="3"/>
  <c r="V400" i="3"/>
  <c r="BK399" i="3"/>
  <c r="AU399" i="3"/>
  <c r="AE399" i="3"/>
  <c r="O399" i="3"/>
  <c r="BH398" i="3"/>
  <c r="AR398" i="3"/>
  <c r="AB398" i="3"/>
  <c r="L398" i="3"/>
  <c r="BE397" i="3"/>
  <c r="AO397" i="3"/>
  <c r="Y397" i="3"/>
  <c r="I397" i="3"/>
  <c r="AX396" i="3"/>
  <c r="AH396" i="3"/>
  <c r="R396" i="3"/>
  <c r="BG395" i="3"/>
  <c r="AQ395" i="3"/>
  <c r="AA395" i="3"/>
  <c r="K395" i="3"/>
  <c r="BD394" i="3"/>
  <c r="AN394" i="3"/>
  <c r="X394" i="3"/>
  <c r="H394" i="3"/>
  <c r="BA393" i="3"/>
  <c r="AK393" i="3"/>
  <c r="U393" i="3"/>
  <c r="BJ392" i="3"/>
  <c r="AT392" i="3"/>
  <c r="AD392" i="3"/>
  <c r="N392" i="3"/>
  <c r="BC391" i="3"/>
  <c r="AM391" i="3"/>
  <c r="W391" i="3"/>
  <c r="G391" i="3"/>
  <c r="AZ390" i="3"/>
  <c r="AJ390" i="3"/>
  <c r="T390" i="3"/>
  <c r="BM389" i="3"/>
  <c r="AW389" i="3"/>
  <c r="AG389" i="3"/>
  <c r="Q389" i="3"/>
  <c r="BF388" i="3"/>
  <c r="AP388" i="3"/>
  <c r="Z388" i="3"/>
  <c r="J388" i="3"/>
  <c r="AY387" i="3"/>
  <c r="AI387" i="3"/>
  <c r="S387" i="3"/>
  <c r="BL386" i="3"/>
  <c r="AV386" i="3"/>
  <c r="AF386" i="3"/>
  <c r="P386" i="3"/>
  <c r="BI385" i="3"/>
  <c r="AS385" i="3"/>
  <c r="AC385" i="3"/>
  <c r="M385" i="3"/>
  <c r="BB384" i="3"/>
  <c r="AL384" i="3"/>
  <c r="V384" i="3"/>
  <c r="BK383" i="3"/>
  <c r="AU383" i="3"/>
  <c r="AE383" i="3"/>
  <c r="O383" i="3"/>
  <c r="BH382" i="3"/>
  <c r="AR382" i="3"/>
  <c r="AB382" i="3"/>
  <c r="L382" i="3"/>
  <c r="BE381" i="3"/>
  <c r="AO381" i="3"/>
  <c r="Y381" i="3"/>
  <c r="I381" i="3"/>
  <c r="AX380" i="3"/>
  <c r="AH380" i="3"/>
  <c r="R380" i="3"/>
  <c r="BG379" i="3"/>
  <c r="AQ379" i="3"/>
  <c r="AA379" i="3"/>
  <c r="K379" i="3"/>
  <c r="BD378" i="3"/>
  <c r="AN378" i="3"/>
  <c r="X378" i="3"/>
  <c r="H378" i="3"/>
  <c r="BA377" i="3"/>
  <c r="AK377" i="3"/>
  <c r="U377" i="3"/>
  <c r="BJ376" i="3"/>
  <c r="AT376" i="3"/>
  <c r="AD376" i="3"/>
  <c r="N376" i="3"/>
  <c r="BC375" i="3"/>
  <c r="AM375" i="3"/>
  <c r="W375" i="3"/>
  <c r="G375" i="3"/>
  <c r="AY373" i="3"/>
  <c r="AI373" i="3"/>
  <c r="S373" i="3"/>
  <c r="BL372" i="3"/>
  <c r="AV372" i="3"/>
  <c r="AF372" i="3"/>
  <c r="P372" i="3"/>
  <c r="BI371" i="3"/>
  <c r="AS371" i="3"/>
  <c r="AC371" i="3"/>
  <c r="M371" i="3"/>
  <c r="BB370" i="3"/>
  <c r="AL370" i="3"/>
  <c r="V370" i="3"/>
  <c r="BK369" i="3"/>
  <c r="AU369" i="3"/>
  <c r="AE369" i="3"/>
  <c r="O369" i="3"/>
  <c r="BH368" i="3"/>
  <c r="AR368" i="3"/>
  <c r="AB368" i="3"/>
  <c r="L368" i="3"/>
  <c r="BE367" i="3"/>
  <c r="AO367" i="3"/>
  <c r="Y367" i="3"/>
  <c r="I367" i="3"/>
  <c r="AX366" i="3"/>
  <c r="AH366" i="3"/>
  <c r="R366" i="3"/>
  <c r="BG365" i="3"/>
  <c r="AQ365" i="3"/>
  <c r="AA365" i="3"/>
  <c r="K365" i="3"/>
  <c r="BD364" i="3"/>
  <c r="AN364" i="3"/>
  <c r="X364" i="3"/>
  <c r="H364" i="3"/>
  <c r="BA363" i="3"/>
  <c r="AK363" i="3"/>
  <c r="U363" i="3"/>
  <c r="BJ362" i="3"/>
  <c r="AT362" i="3"/>
  <c r="AD362" i="3"/>
  <c r="N362" i="3"/>
  <c r="BC361" i="3"/>
  <c r="AM361" i="3"/>
  <c r="W361" i="3"/>
  <c r="G361" i="3"/>
  <c r="AZ360" i="3"/>
  <c r="AJ360" i="3"/>
  <c r="T360" i="3"/>
  <c r="BM359" i="3"/>
  <c r="AW359" i="3"/>
  <c r="AG359" i="3"/>
  <c r="Q359" i="3"/>
  <c r="BF358" i="3"/>
  <c r="AP358" i="3"/>
  <c r="Z358" i="3"/>
  <c r="J358" i="3"/>
  <c r="AY357" i="3"/>
  <c r="AI357" i="3"/>
  <c r="S357" i="3"/>
  <c r="BL356" i="3"/>
  <c r="AV356" i="3"/>
  <c r="AF356" i="3"/>
  <c r="P356" i="3"/>
  <c r="BI355" i="3"/>
  <c r="AS355" i="3"/>
  <c r="AC355" i="3"/>
  <c r="M355" i="3"/>
  <c r="BB354" i="3"/>
  <c r="AL354" i="3"/>
  <c r="V354" i="3"/>
  <c r="BK353" i="3"/>
  <c r="AU353" i="3"/>
  <c r="AE353" i="3"/>
  <c r="O353" i="3"/>
  <c r="BH352" i="3"/>
  <c r="AR352" i="3"/>
  <c r="AB352" i="3"/>
  <c r="L352" i="3"/>
  <c r="BE351" i="3"/>
  <c r="AO351" i="3"/>
  <c r="Y351" i="3"/>
  <c r="I351" i="3"/>
  <c r="AX350" i="3"/>
  <c r="AH350" i="3"/>
  <c r="R350" i="3"/>
  <c r="BG349" i="3"/>
  <c r="AQ349" i="3"/>
  <c r="AA349" i="3"/>
  <c r="K349" i="3"/>
  <c r="BD348" i="3"/>
  <c r="AN348" i="3"/>
  <c r="X348" i="3"/>
  <c r="H348" i="3"/>
  <c r="BA347" i="3"/>
  <c r="AK347" i="3"/>
  <c r="U347" i="3"/>
  <c r="BJ346" i="3"/>
  <c r="AT346" i="3"/>
  <c r="AD346" i="3"/>
  <c r="N346" i="3"/>
  <c r="BC345" i="3"/>
  <c r="AM345" i="3"/>
  <c r="W345" i="3"/>
  <c r="G345" i="3"/>
  <c r="AZ344" i="3"/>
  <c r="AJ344" i="3"/>
  <c r="T344" i="3"/>
  <c r="BM343" i="3"/>
  <c r="AW343" i="3"/>
  <c r="AG343" i="3"/>
  <c r="Q343" i="3"/>
  <c r="BF342" i="3"/>
  <c r="AP342" i="3"/>
  <c r="Z342" i="3"/>
  <c r="J342" i="3"/>
  <c r="AY341" i="3"/>
  <c r="AI341" i="3"/>
  <c r="S341" i="3"/>
  <c r="BL340" i="3"/>
  <c r="AV340" i="3"/>
  <c r="AF340" i="3"/>
  <c r="P340" i="3"/>
  <c r="BI339" i="3"/>
  <c r="AS339" i="3"/>
  <c r="AC339" i="3"/>
  <c r="M339" i="3"/>
  <c r="BB338" i="3"/>
  <c r="AL338" i="3"/>
  <c r="V338" i="3"/>
  <c r="BK337" i="3"/>
  <c r="AU337" i="3"/>
  <c r="AE337" i="3"/>
  <c r="O337" i="3"/>
  <c r="BH336" i="3"/>
  <c r="AR336" i="3"/>
  <c r="AB336" i="3"/>
  <c r="L336" i="3"/>
  <c r="BE335" i="3"/>
  <c r="AO335" i="3"/>
  <c r="Y335" i="3"/>
  <c r="I335" i="3"/>
  <c r="AX334" i="3"/>
  <c r="AH334" i="3"/>
  <c r="R334" i="3"/>
  <c r="BF332" i="3"/>
  <c r="AP332" i="3"/>
  <c r="Z332" i="3"/>
  <c r="J332" i="3"/>
  <c r="AY331" i="3"/>
  <c r="AI331" i="3"/>
  <c r="S331" i="3"/>
  <c r="BL330" i="3"/>
  <c r="AV330" i="3"/>
  <c r="AF330" i="3"/>
  <c r="P330" i="3"/>
  <c r="BI329" i="3"/>
  <c r="AS329" i="3"/>
  <c r="AC329" i="3"/>
  <c r="M329" i="3"/>
  <c r="BB328" i="3"/>
  <c r="AL328" i="3"/>
  <c r="V328" i="3"/>
  <c r="BH327" i="3"/>
  <c r="AB327" i="3"/>
  <c r="BD326" i="3"/>
  <c r="AH326" i="3"/>
  <c r="M326" i="3"/>
  <c r="BB325" i="3"/>
  <c r="AL325" i="3"/>
  <c r="V325" i="3"/>
  <c r="BK324" i="3"/>
  <c r="AU324" i="3"/>
  <c r="AE324" i="3"/>
  <c r="O324" i="3"/>
  <c r="BH323" i="3"/>
  <c r="AR323" i="3"/>
  <c r="AB323" i="3"/>
  <c r="L323" i="3"/>
  <c r="BE322" i="3"/>
  <c r="AO322" i="3"/>
  <c r="Y322" i="3"/>
  <c r="I322" i="3"/>
  <c r="AX321" i="3"/>
  <c r="AH321" i="3"/>
  <c r="R321" i="3"/>
  <c r="BG320" i="3"/>
  <c r="AQ320" i="3"/>
  <c r="AA320" i="3"/>
  <c r="K320" i="3"/>
  <c r="BD319" i="3"/>
  <c r="AN319" i="3"/>
  <c r="X319" i="3"/>
  <c r="H319" i="3"/>
  <c r="BA318" i="3"/>
  <c r="AK318" i="3"/>
  <c r="U318" i="3"/>
  <c r="BJ317" i="3"/>
  <c r="AT317" i="3"/>
  <c r="AD317" i="3"/>
  <c r="N317" i="3"/>
  <c r="BC316" i="3"/>
  <c r="AM316" i="3"/>
  <c r="W316" i="3"/>
  <c r="G316" i="3"/>
  <c r="AZ315" i="3"/>
  <c r="AJ315" i="3"/>
  <c r="T315" i="3"/>
  <c r="BM314" i="3"/>
  <c r="AW314" i="3"/>
  <c r="AG314" i="3"/>
  <c r="Q314" i="3"/>
  <c r="BF313" i="3"/>
  <c r="AP313" i="3"/>
  <c r="Z313" i="3"/>
  <c r="J313" i="3"/>
  <c r="AY312" i="3"/>
  <c r="AI312" i="3"/>
  <c r="S312" i="3"/>
  <c r="BL311" i="3"/>
  <c r="AV311" i="3"/>
  <c r="AF311" i="3"/>
  <c r="P311" i="3"/>
  <c r="BI310" i="3"/>
  <c r="AS310" i="3"/>
  <c r="AC310" i="3"/>
  <c r="M310" i="3"/>
  <c r="BB309" i="3"/>
  <c r="AL309" i="3"/>
  <c r="V309" i="3"/>
  <c r="BK308" i="3"/>
  <c r="AU308" i="3"/>
  <c r="AE308" i="3"/>
  <c r="O308" i="3"/>
  <c r="BH307" i="3"/>
  <c r="AR307" i="3"/>
  <c r="AB307" i="3"/>
  <c r="L307" i="3"/>
  <c r="BE306" i="3"/>
  <c r="AO306" i="3"/>
  <c r="Y306" i="3"/>
  <c r="I306" i="3"/>
  <c r="AX305" i="3"/>
  <c r="AH305" i="3"/>
  <c r="R305" i="3"/>
  <c r="BG304" i="3"/>
  <c r="AQ304" i="3"/>
  <c r="AA304" i="3"/>
  <c r="K304" i="3"/>
  <c r="BD303" i="3"/>
  <c r="AN303" i="3"/>
  <c r="X303" i="3"/>
  <c r="H303" i="3"/>
  <c r="BA302" i="3"/>
  <c r="AK302" i="3"/>
  <c r="U302" i="3"/>
  <c r="BJ301" i="3"/>
  <c r="AT301" i="3"/>
  <c r="AD301" i="3"/>
  <c r="N301" i="3"/>
  <c r="BC300" i="3"/>
  <c r="AM300" i="3"/>
  <c r="W300" i="3"/>
  <c r="G300" i="3"/>
  <c r="AZ299" i="3"/>
  <c r="AJ299" i="3"/>
  <c r="T299" i="3"/>
  <c r="BM298" i="3"/>
  <c r="AW298" i="3"/>
  <c r="AG298" i="3"/>
  <c r="Q298" i="3"/>
  <c r="BF297" i="3"/>
  <c r="AP297" i="3"/>
  <c r="Z297" i="3"/>
  <c r="J297" i="3"/>
  <c r="AY296" i="3"/>
  <c r="AI296" i="3"/>
  <c r="S296" i="3"/>
  <c r="BL295" i="3"/>
  <c r="AV295" i="3"/>
  <c r="AF295" i="3"/>
  <c r="P295" i="3"/>
  <c r="BI294" i="3"/>
  <c r="AS294" i="3"/>
  <c r="AC294" i="3"/>
  <c r="M294" i="3"/>
  <c r="BB293" i="3"/>
  <c r="AL293" i="3"/>
  <c r="V293" i="3"/>
  <c r="BM290" i="3"/>
  <c r="AW290" i="3"/>
  <c r="AG290" i="3"/>
  <c r="Q290" i="3"/>
  <c r="BF289" i="3"/>
  <c r="AP289" i="3"/>
  <c r="Z289" i="3"/>
  <c r="J289" i="3"/>
  <c r="AY288" i="3"/>
  <c r="AI288" i="3"/>
  <c r="S288" i="3"/>
  <c r="BL287" i="3"/>
  <c r="AV287" i="3"/>
  <c r="AF287" i="3"/>
  <c r="P287" i="3"/>
  <c r="BI286" i="3"/>
  <c r="AS286" i="3"/>
  <c r="AC286" i="3"/>
  <c r="M286" i="3"/>
  <c r="BB285" i="3"/>
  <c r="AL285" i="3"/>
  <c r="V285" i="3"/>
  <c r="BK284" i="3"/>
  <c r="AU284" i="3"/>
  <c r="AE284" i="3"/>
  <c r="O284" i="3"/>
  <c r="BH283" i="3"/>
  <c r="AR283" i="3"/>
  <c r="AB283" i="3"/>
  <c r="L283" i="3"/>
  <c r="BE282" i="3"/>
  <c r="AO282" i="3"/>
  <c r="Y282" i="3"/>
  <c r="I282" i="3"/>
  <c r="AX281" i="3"/>
  <c r="AH281" i="3"/>
  <c r="R281" i="3"/>
  <c r="BG280" i="3"/>
  <c r="AQ280" i="3"/>
  <c r="AA280" i="3"/>
  <c r="K280" i="3"/>
  <c r="BD279" i="3"/>
  <c r="AN279" i="3"/>
  <c r="X279" i="3"/>
  <c r="H279" i="3"/>
  <c r="BA278" i="3"/>
  <c r="AK278" i="3"/>
  <c r="U278" i="3"/>
  <c r="BJ277" i="3"/>
  <c r="AT277" i="3"/>
  <c r="AD277" i="3"/>
  <c r="N277" i="3"/>
  <c r="BC276" i="3"/>
  <c r="AM276" i="3"/>
  <c r="W276" i="3"/>
  <c r="G276" i="3"/>
  <c r="AZ275" i="3"/>
  <c r="AJ275" i="3"/>
  <c r="T275" i="3"/>
  <c r="BM274" i="3"/>
  <c r="AW274" i="3"/>
  <c r="AG274" i="3"/>
  <c r="Q274" i="3"/>
  <c r="BF273" i="3"/>
  <c r="AP273" i="3"/>
  <c r="Z273" i="3"/>
  <c r="J273" i="3"/>
  <c r="AY272" i="3"/>
  <c r="AI272" i="3"/>
  <c r="S272" i="3"/>
  <c r="BL271" i="3"/>
  <c r="AV271" i="3"/>
  <c r="AF271" i="3"/>
  <c r="P271" i="3"/>
  <c r="BI270" i="3"/>
  <c r="AS270" i="3"/>
  <c r="AC270" i="3"/>
  <c r="M270" i="3"/>
  <c r="BB269" i="3"/>
  <c r="AL269" i="3"/>
  <c r="V269" i="3"/>
  <c r="BK268" i="3"/>
  <c r="AU268" i="3"/>
  <c r="AE268" i="3"/>
  <c r="O268" i="3"/>
  <c r="BH267" i="3"/>
  <c r="AR267" i="3"/>
  <c r="AB267" i="3"/>
  <c r="L267" i="3"/>
  <c r="BE266" i="3"/>
  <c r="AO266" i="3"/>
  <c r="Y266" i="3"/>
  <c r="I266" i="3"/>
  <c r="AX265" i="3"/>
  <c r="AH265" i="3"/>
  <c r="R265" i="3"/>
  <c r="BG264" i="3"/>
  <c r="AQ264" i="3"/>
  <c r="AA264" i="3"/>
  <c r="K264" i="3"/>
  <c r="BD263" i="3"/>
  <c r="AN263" i="3"/>
  <c r="X263" i="3"/>
  <c r="H263" i="3"/>
  <c r="BA262" i="3"/>
  <c r="AK262" i="3"/>
  <c r="U262" i="3"/>
  <c r="BJ261" i="3"/>
  <c r="AT261" i="3"/>
  <c r="AD261" i="3"/>
  <c r="N261" i="3"/>
  <c r="BC260" i="3"/>
  <c r="AM260" i="3"/>
  <c r="W260" i="3"/>
  <c r="G260" i="3"/>
  <c r="AZ259" i="3"/>
  <c r="AJ259" i="3"/>
  <c r="T259" i="3"/>
  <c r="BM258" i="3"/>
  <c r="AW258" i="3"/>
  <c r="AG258" i="3"/>
  <c r="Q258" i="3"/>
  <c r="BF257" i="3"/>
  <c r="AP257" i="3"/>
  <c r="Z257" i="3"/>
  <c r="J257" i="3"/>
  <c r="AY256" i="3"/>
  <c r="AI256" i="3"/>
  <c r="S256" i="3"/>
  <c r="BL255" i="3"/>
  <c r="AV255" i="3"/>
  <c r="AF255" i="3"/>
  <c r="P255" i="3"/>
  <c r="BI254" i="3"/>
  <c r="AS254" i="3"/>
  <c r="AC254" i="3"/>
  <c r="M254" i="3"/>
  <c r="BB253" i="3"/>
  <c r="AL253" i="3"/>
  <c r="V253" i="3"/>
  <c r="BK252" i="3"/>
  <c r="AU252" i="3"/>
  <c r="AE252" i="3"/>
  <c r="O252" i="3"/>
  <c r="BH251" i="3"/>
  <c r="AR251" i="3"/>
  <c r="AB251" i="3"/>
  <c r="L251" i="3"/>
  <c r="BD249" i="3"/>
  <c r="AN249" i="3"/>
  <c r="X249" i="3"/>
  <c r="H249" i="3"/>
  <c r="BA248" i="3"/>
  <c r="AK248" i="3"/>
  <c r="U248" i="3"/>
  <c r="BJ247" i="3"/>
  <c r="AT247" i="3"/>
  <c r="AD247" i="3"/>
  <c r="N247" i="3"/>
  <c r="BC246" i="3"/>
  <c r="AM246" i="3"/>
  <c r="W246" i="3"/>
  <c r="G246" i="3"/>
  <c r="AZ245" i="3"/>
  <c r="AJ245" i="3"/>
  <c r="T245" i="3"/>
  <c r="BM244" i="3"/>
  <c r="AW244" i="3"/>
  <c r="AG244" i="3"/>
  <c r="Q244" i="3"/>
  <c r="BF243" i="3"/>
  <c r="AP243" i="3"/>
  <c r="Z243" i="3"/>
  <c r="J243" i="3"/>
  <c r="AY242" i="3"/>
  <c r="AI242" i="3"/>
  <c r="S242" i="3"/>
  <c r="BL241" i="3"/>
  <c r="AV241" i="3"/>
  <c r="AF241" i="3"/>
  <c r="P241" i="3"/>
  <c r="BI240" i="3"/>
  <c r="AS240" i="3"/>
  <c r="AC240" i="3"/>
  <c r="M240" i="3"/>
  <c r="BB239" i="3"/>
  <c r="AL239" i="3"/>
  <c r="V239" i="3"/>
  <c r="BK238" i="3"/>
  <c r="AU238" i="3"/>
  <c r="AE238" i="3"/>
  <c r="O238" i="3"/>
  <c r="BH237" i="3"/>
  <c r="AR237" i="3"/>
  <c r="AB237" i="3"/>
  <c r="L237" i="3"/>
  <c r="BE236" i="3"/>
  <c r="AO236" i="3"/>
  <c r="Y236" i="3"/>
  <c r="I236" i="3"/>
  <c r="AX235" i="3"/>
  <c r="AH235" i="3"/>
  <c r="R235" i="3"/>
  <c r="BG234" i="3"/>
  <c r="AY327" i="3"/>
  <c r="S327" i="3"/>
  <c r="BB326" i="3"/>
  <c r="AG326" i="3"/>
  <c r="L326" i="3"/>
  <c r="BE325" i="3"/>
  <c r="AO325" i="3"/>
  <c r="Y325" i="3"/>
  <c r="I325" i="3"/>
  <c r="AX324" i="3"/>
  <c r="AH324" i="3"/>
  <c r="R324" i="3"/>
  <c r="BG323" i="3"/>
  <c r="AQ323" i="3"/>
  <c r="AA323" i="3"/>
  <c r="K323" i="3"/>
  <c r="BD322" i="3"/>
  <c r="AN322" i="3"/>
  <c r="X322" i="3"/>
  <c r="H322" i="3"/>
  <c r="BA321" i="3"/>
  <c r="AK321" i="3"/>
  <c r="U321" i="3"/>
  <c r="BJ320" i="3"/>
  <c r="AT320" i="3"/>
  <c r="AD320" i="3"/>
  <c r="N320" i="3"/>
  <c r="BC319" i="3"/>
  <c r="AM319" i="3"/>
  <c r="W319" i="3"/>
  <c r="G319" i="3"/>
  <c r="AZ318" i="3"/>
  <c r="AJ318" i="3"/>
  <c r="T318" i="3"/>
  <c r="BM317" i="3"/>
  <c r="AW317" i="3"/>
  <c r="AG317" i="3"/>
  <c r="Q317" i="3"/>
  <c r="BF316" i="3"/>
  <c r="AP316" i="3"/>
  <c r="Z316" i="3"/>
  <c r="J316" i="3"/>
  <c r="AY315" i="3"/>
  <c r="AI315" i="3"/>
  <c r="S315" i="3"/>
  <c r="BL314" i="3"/>
  <c r="AV314" i="3"/>
  <c r="AF314" i="3"/>
  <c r="P314" i="3"/>
  <c r="BI313" i="3"/>
  <c r="AS313" i="3"/>
  <c r="AC313" i="3"/>
  <c r="M313" i="3"/>
  <c r="BB312" i="3"/>
  <c r="AL312" i="3"/>
  <c r="V312" i="3"/>
  <c r="BK311" i="3"/>
  <c r="AU311" i="3"/>
  <c r="AE311" i="3"/>
  <c r="O311" i="3"/>
  <c r="BH310" i="3"/>
  <c r="AR310" i="3"/>
  <c r="AB310" i="3"/>
  <c r="L310" i="3"/>
  <c r="BE309" i="3"/>
  <c r="AO309" i="3"/>
  <c r="Y309" i="3"/>
  <c r="I309" i="3"/>
  <c r="AX308" i="3"/>
  <c r="AH308" i="3"/>
  <c r="R308" i="3"/>
  <c r="BG307" i="3"/>
  <c r="AQ307" i="3"/>
  <c r="AA307" i="3"/>
  <c r="K307" i="3"/>
  <c r="BD306" i="3"/>
  <c r="AN306" i="3"/>
  <c r="X306" i="3"/>
  <c r="H306" i="3"/>
  <c r="BA305" i="3"/>
  <c r="AK305" i="3"/>
  <c r="U305" i="3"/>
  <c r="BJ304" i="3"/>
  <c r="AT304" i="3"/>
  <c r="AD304" i="3"/>
  <c r="N304" i="3"/>
  <c r="BC303" i="3"/>
  <c r="AM303" i="3"/>
  <c r="W303" i="3"/>
  <c r="G303" i="3"/>
  <c r="AZ302" i="3"/>
  <c r="AJ302" i="3"/>
  <c r="T302" i="3"/>
  <c r="BM301" i="3"/>
  <c r="AW301" i="3"/>
  <c r="AG301" i="3"/>
  <c r="Q301" i="3"/>
  <c r="BF300" i="3"/>
  <c r="AP300" i="3"/>
  <c r="Z300" i="3"/>
  <c r="J300" i="3"/>
  <c r="AY299" i="3"/>
  <c r="AI299" i="3"/>
  <c r="S299" i="3"/>
  <c r="BL298" i="3"/>
  <c r="AV298" i="3"/>
  <c r="AF298" i="3"/>
  <c r="P298" i="3"/>
  <c r="BI297" i="3"/>
  <c r="AS297" i="3"/>
  <c r="AC297" i="3"/>
  <c r="M297" i="3"/>
  <c r="BB296" i="3"/>
  <c r="AL296" i="3"/>
  <c r="V296" i="3"/>
  <c r="BK295" i="3"/>
  <c r="AU295" i="3"/>
  <c r="AE295" i="3"/>
  <c r="O295" i="3"/>
  <c r="BH294" i="3"/>
  <c r="AR294" i="3"/>
  <c r="AB294" i="3"/>
  <c r="L294" i="3"/>
  <c r="BE293" i="3"/>
  <c r="AO293" i="3"/>
  <c r="Y293" i="3"/>
  <c r="I293" i="3"/>
  <c r="AZ290" i="3"/>
  <c r="AJ290" i="3"/>
  <c r="T290" i="3"/>
  <c r="BM289" i="3"/>
  <c r="AW289" i="3"/>
  <c r="AG289" i="3"/>
  <c r="Q289" i="3"/>
  <c r="BF288" i="3"/>
  <c r="AP288" i="3"/>
  <c r="Z288" i="3"/>
  <c r="J288" i="3"/>
  <c r="AY287" i="3"/>
  <c r="AI287" i="3"/>
  <c r="S287" i="3"/>
  <c r="BL286" i="3"/>
  <c r="AV286" i="3"/>
  <c r="AF286" i="3"/>
  <c r="P286" i="3"/>
  <c r="BI285" i="3"/>
  <c r="AS285" i="3"/>
  <c r="AC285" i="3"/>
  <c r="M285" i="3"/>
  <c r="BB284" i="3"/>
  <c r="AL284" i="3"/>
  <c r="V284" i="3"/>
  <c r="BK283" i="3"/>
  <c r="AU283" i="3"/>
  <c r="AE283" i="3"/>
  <c r="O283" i="3"/>
  <c r="BH282" i="3"/>
  <c r="AR282" i="3"/>
  <c r="AB282" i="3"/>
  <c r="L282" i="3"/>
  <c r="BE281" i="3"/>
  <c r="AO281" i="3"/>
  <c r="Y281" i="3"/>
  <c r="I281" i="3"/>
  <c r="AX280" i="3"/>
  <c r="AH280" i="3"/>
  <c r="R280" i="3"/>
  <c r="BG279" i="3"/>
  <c r="AQ279" i="3"/>
  <c r="AA279" i="3"/>
  <c r="K279" i="3"/>
  <c r="BD278" i="3"/>
  <c r="AN278" i="3"/>
  <c r="X278" i="3"/>
  <c r="H278" i="3"/>
  <c r="BA277" i="3"/>
  <c r="AK277" i="3"/>
  <c r="U277" i="3"/>
  <c r="BJ276" i="3"/>
  <c r="AT276" i="3"/>
  <c r="AD276" i="3"/>
  <c r="N276" i="3"/>
  <c r="BC275" i="3"/>
  <c r="AM275" i="3"/>
  <c r="W275" i="3"/>
  <c r="G275" i="3"/>
  <c r="AZ274" i="3"/>
  <c r="AJ274" i="3"/>
  <c r="T274" i="3"/>
  <c r="BM273" i="3"/>
  <c r="AW273" i="3"/>
  <c r="AG273" i="3"/>
  <c r="Q273" i="3"/>
  <c r="BF272" i="3"/>
  <c r="AP272" i="3"/>
  <c r="Z272" i="3"/>
  <c r="J272" i="3"/>
  <c r="AY271" i="3"/>
  <c r="AI271" i="3"/>
  <c r="S271" i="3"/>
  <c r="BL270" i="3"/>
  <c r="AV270" i="3"/>
  <c r="AF270" i="3"/>
  <c r="P270" i="3"/>
  <c r="BI269" i="3"/>
  <c r="AS269" i="3"/>
  <c r="AC269" i="3"/>
  <c r="M269" i="3"/>
  <c r="BB268" i="3"/>
  <c r="AL268" i="3"/>
  <c r="V268" i="3"/>
  <c r="BK267" i="3"/>
  <c r="AU267" i="3"/>
  <c r="AE267" i="3"/>
  <c r="O267" i="3"/>
  <c r="BH266" i="3"/>
  <c r="AR266" i="3"/>
  <c r="AB266" i="3"/>
  <c r="L266" i="3"/>
  <c r="BE265" i="3"/>
  <c r="AO265" i="3"/>
  <c r="Y265" i="3"/>
  <c r="I265" i="3"/>
  <c r="AX264" i="3"/>
  <c r="AH264" i="3"/>
  <c r="R264" i="3"/>
  <c r="BG263" i="3"/>
  <c r="AQ263" i="3"/>
  <c r="AA263" i="3"/>
  <c r="K263" i="3"/>
  <c r="BD262" i="3"/>
  <c r="AN262" i="3"/>
  <c r="X262" i="3"/>
  <c r="H262" i="3"/>
  <c r="BA261" i="3"/>
  <c r="AK261" i="3"/>
  <c r="U261" i="3"/>
  <c r="BJ260" i="3"/>
  <c r="AT260" i="3"/>
  <c r="AD260" i="3"/>
  <c r="N260" i="3"/>
  <c r="BC259" i="3"/>
  <c r="AM259" i="3"/>
  <c r="W259" i="3"/>
  <c r="G259" i="3"/>
  <c r="AZ258" i="3"/>
  <c r="AJ258" i="3"/>
  <c r="T258" i="3"/>
  <c r="BM257" i="3"/>
  <c r="AW257" i="3"/>
  <c r="AG257" i="3"/>
  <c r="Q257" i="3"/>
  <c r="BF256" i="3"/>
  <c r="AP256" i="3"/>
  <c r="Z256" i="3"/>
  <c r="J256" i="3"/>
  <c r="AY255" i="3"/>
  <c r="AI255" i="3"/>
  <c r="S255" i="3"/>
  <c r="BL254" i="3"/>
  <c r="AV254" i="3"/>
  <c r="AF254" i="3"/>
  <c r="P254" i="3"/>
  <c r="BI253" i="3"/>
  <c r="AS253" i="3"/>
  <c r="AC253" i="3"/>
  <c r="M253" i="3"/>
  <c r="BB252" i="3"/>
  <c r="AL252" i="3"/>
  <c r="V252" i="3"/>
  <c r="BK251" i="3"/>
  <c r="AU251" i="3"/>
  <c r="AE251" i="3"/>
  <c r="O251" i="3"/>
  <c r="BG249" i="3"/>
  <c r="AQ249" i="3"/>
  <c r="AA249" i="3"/>
  <c r="K249" i="3"/>
  <c r="BD248" i="3"/>
  <c r="AN248" i="3"/>
  <c r="X248" i="3"/>
  <c r="H248" i="3"/>
  <c r="BA247" i="3"/>
  <c r="AK247" i="3"/>
  <c r="U247" i="3"/>
  <c r="BJ246" i="3"/>
  <c r="AT246" i="3"/>
  <c r="AD246" i="3"/>
  <c r="N246" i="3"/>
  <c r="BC245" i="3"/>
  <c r="AM245" i="3"/>
  <c r="W245" i="3"/>
  <c r="G245" i="3"/>
  <c r="AZ244" i="3"/>
  <c r="AJ244" i="3"/>
  <c r="T244" i="3"/>
  <c r="BM243" i="3"/>
  <c r="AW243" i="3"/>
  <c r="AG243" i="3"/>
  <c r="Q243" i="3"/>
  <c r="BF242" i="3"/>
  <c r="AP242" i="3"/>
  <c r="Z242" i="3"/>
  <c r="J242" i="3"/>
  <c r="AY241" i="3"/>
  <c r="AI241" i="3"/>
  <c r="S241" i="3"/>
  <c r="BL240" i="3"/>
  <c r="AV240" i="3"/>
  <c r="AF240" i="3"/>
  <c r="P240" i="3"/>
  <c r="BI239" i="3"/>
  <c r="AS239" i="3"/>
  <c r="AC239" i="3"/>
  <c r="M239" i="3"/>
  <c r="BB238" i="3"/>
  <c r="AL238" i="3"/>
  <c r="V238" i="3"/>
  <c r="BK237" i="3"/>
  <c r="AU237" i="3"/>
  <c r="AE237" i="3"/>
  <c r="O237" i="3"/>
  <c r="BH236" i="3"/>
  <c r="AR236" i="3"/>
  <c r="AB236" i="3"/>
  <c r="L236" i="3"/>
  <c r="BE235" i="3"/>
  <c r="BL327" i="3"/>
  <c r="AF327" i="3"/>
  <c r="BL326" i="3"/>
  <c r="AP326" i="3"/>
  <c r="U326" i="3"/>
  <c r="BL325" i="3"/>
  <c r="AV325" i="3"/>
  <c r="AF325" i="3"/>
  <c r="P325" i="3"/>
  <c r="BI324" i="3"/>
  <c r="AS324" i="3"/>
  <c r="AC324" i="3"/>
  <c r="M324" i="3"/>
  <c r="BB323" i="3"/>
  <c r="AL323" i="3"/>
  <c r="V323" i="3"/>
  <c r="BK322" i="3"/>
  <c r="AU322" i="3"/>
  <c r="AE322" i="3"/>
  <c r="O322" i="3"/>
  <c r="BH321" i="3"/>
  <c r="AR321" i="3"/>
  <c r="AB321" i="3"/>
  <c r="L321" i="3"/>
  <c r="BE320" i="3"/>
  <c r="AO320" i="3"/>
  <c r="Y320" i="3"/>
  <c r="I320" i="3"/>
  <c r="AX319" i="3"/>
  <c r="AH319" i="3"/>
  <c r="R319" i="3"/>
  <c r="BG318" i="3"/>
  <c r="AQ318" i="3"/>
  <c r="AA318" i="3"/>
  <c r="K318" i="3"/>
  <c r="BD317" i="3"/>
  <c r="AN317" i="3"/>
  <c r="X317" i="3"/>
  <c r="H317" i="3"/>
  <c r="BA316" i="3"/>
  <c r="AK316" i="3"/>
  <c r="U316" i="3"/>
  <c r="BJ315" i="3"/>
  <c r="AT315" i="3"/>
  <c r="AD315" i="3"/>
  <c r="N315" i="3"/>
  <c r="BC314" i="3"/>
  <c r="AM314" i="3"/>
  <c r="W314" i="3"/>
  <c r="G314" i="3"/>
  <c r="AZ313" i="3"/>
  <c r="AJ313" i="3"/>
  <c r="T313" i="3"/>
  <c r="BM312" i="3"/>
  <c r="AW312" i="3"/>
  <c r="AG312" i="3"/>
  <c r="Q312" i="3"/>
  <c r="BF311" i="3"/>
  <c r="AP311" i="3"/>
  <c r="Z311" i="3"/>
  <c r="J311" i="3"/>
  <c r="AY310" i="3"/>
  <c r="AI310" i="3"/>
  <c r="S310" i="3"/>
  <c r="BL309" i="3"/>
  <c r="AV309" i="3"/>
  <c r="AF309" i="3"/>
  <c r="P309" i="3"/>
  <c r="BI308" i="3"/>
  <c r="AS308" i="3"/>
  <c r="AC308" i="3"/>
  <c r="M308" i="3"/>
  <c r="BB307" i="3"/>
  <c r="AL307" i="3"/>
  <c r="V307" i="3"/>
  <c r="BK306" i="3"/>
  <c r="AU306" i="3"/>
  <c r="AE306" i="3"/>
  <c r="O306" i="3"/>
  <c r="BH305" i="3"/>
  <c r="AR305" i="3"/>
  <c r="AB305" i="3"/>
  <c r="L305" i="3"/>
  <c r="BE304" i="3"/>
  <c r="AO304" i="3"/>
  <c r="Y304" i="3"/>
  <c r="I304" i="3"/>
  <c r="AX303" i="3"/>
  <c r="AH303" i="3"/>
  <c r="R303" i="3"/>
  <c r="BG302" i="3"/>
  <c r="AQ302" i="3"/>
  <c r="AA302" i="3"/>
  <c r="K302" i="3"/>
  <c r="BD301" i="3"/>
  <c r="AN301" i="3"/>
  <c r="X301" i="3"/>
  <c r="H301" i="3"/>
  <c r="BA300" i="3"/>
  <c r="AK300" i="3"/>
  <c r="U300" i="3"/>
  <c r="BJ299" i="3"/>
  <c r="AT299" i="3"/>
  <c r="AD299" i="3"/>
  <c r="N299" i="3"/>
  <c r="BC298" i="3"/>
  <c r="AM298" i="3"/>
  <c r="W298" i="3"/>
  <c r="G298" i="3"/>
  <c r="AZ297" i="3"/>
  <c r="AJ297" i="3"/>
  <c r="T297" i="3"/>
  <c r="BM296" i="3"/>
  <c r="AW296" i="3"/>
  <c r="AG296" i="3"/>
  <c r="Q296" i="3"/>
  <c r="BF295" i="3"/>
  <c r="AP295" i="3"/>
  <c r="Z295" i="3"/>
  <c r="J295" i="3"/>
  <c r="AY294" i="3"/>
  <c r="AI294" i="3"/>
  <c r="S294" i="3"/>
  <c r="BL293" i="3"/>
  <c r="AV293" i="3"/>
  <c r="AF293" i="3"/>
  <c r="P293" i="3"/>
  <c r="BG290" i="3"/>
  <c r="AQ290" i="3"/>
  <c r="AA290" i="3"/>
  <c r="K290" i="3"/>
  <c r="BD289" i="3"/>
  <c r="AN289" i="3"/>
  <c r="X289" i="3"/>
  <c r="H289" i="3"/>
  <c r="BA288" i="3"/>
  <c r="AK288" i="3"/>
  <c r="U288" i="3"/>
  <c r="BJ287" i="3"/>
  <c r="AT287" i="3"/>
  <c r="AD287" i="3"/>
  <c r="N287" i="3"/>
  <c r="BC286" i="3"/>
  <c r="AM286" i="3"/>
  <c r="W286" i="3"/>
  <c r="G286" i="3"/>
  <c r="AZ285" i="3"/>
  <c r="AJ285" i="3"/>
  <c r="T285" i="3"/>
  <c r="BM284" i="3"/>
  <c r="AW284" i="3"/>
  <c r="AG284" i="3"/>
  <c r="Q284" i="3"/>
  <c r="BF283" i="3"/>
  <c r="AP283" i="3"/>
  <c r="Z283" i="3"/>
  <c r="J283" i="3"/>
  <c r="AY282" i="3"/>
  <c r="AI282" i="3"/>
  <c r="S282" i="3"/>
  <c r="BL281" i="3"/>
  <c r="AV281" i="3"/>
  <c r="AF281" i="3"/>
  <c r="P281" i="3"/>
  <c r="BI280" i="3"/>
  <c r="AS280" i="3"/>
  <c r="AC280" i="3"/>
  <c r="M280" i="3"/>
  <c r="BB279" i="3"/>
  <c r="AL279" i="3"/>
  <c r="V279" i="3"/>
  <c r="BK278" i="3"/>
  <c r="AU278" i="3"/>
  <c r="AE278" i="3"/>
  <c r="O278" i="3"/>
  <c r="BH277" i="3"/>
  <c r="AR277" i="3"/>
  <c r="AB277" i="3"/>
  <c r="L277" i="3"/>
  <c r="BE276" i="3"/>
  <c r="AO276" i="3"/>
  <c r="Y276" i="3"/>
  <c r="I276" i="3"/>
  <c r="AX275" i="3"/>
  <c r="AH275" i="3"/>
  <c r="R275" i="3"/>
  <c r="BG274" i="3"/>
  <c r="AQ274" i="3"/>
  <c r="AA274" i="3"/>
  <c r="K274" i="3"/>
  <c r="BD273" i="3"/>
  <c r="AN273" i="3"/>
  <c r="X273" i="3"/>
  <c r="H273" i="3"/>
  <c r="BA272" i="3"/>
  <c r="AK272" i="3"/>
  <c r="U272" i="3"/>
  <c r="BJ271" i="3"/>
  <c r="AT271" i="3"/>
  <c r="AD271" i="3"/>
  <c r="N271" i="3"/>
  <c r="BC270" i="3"/>
  <c r="AM270" i="3"/>
  <c r="W270" i="3"/>
  <c r="G270" i="3"/>
  <c r="AZ269" i="3"/>
  <c r="AJ269" i="3"/>
  <c r="T269" i="3"/>
  <c r="BM268" i="3"/>
  <c r="AW268" i="3"/>
  <c r="AG268" i="3"/>
  <c r="Q268" i="3"/>
  <c r="BF267" i="3"/>
  <c r="AP267" i="3"/>
  <c r="Z267" i="3"/>
  <c r="J267" i="3"/>
  <c r="AY266" i="3"/>
  <c r="AI266" i="3"/>
  <c r="S266" i="3"/>
  <c r="BL265" i="3"/>
  <c r="AV265" i="3"/>
  <c r="AF265" i="3"/>
  <c r="P265" i="3"/>
  <c r="BI264" i="3"/>
  <c r="AS264" i="3"/>
  <c r="AC264" i="3"/>
  <c r="M264" i="3"/>
  <c r="BB263" i="3"/>
  <c r="AL263" i="3"/>
  <c r="V263" i="3"/>
  <c r="BK262" i="3"/>
  <c r="AU262" i="3"/>
  <c r="AE262" i="3"/>
  <c r="O262" i="3"/>
  <c r="BH261" i="3"/>
  <c r="AR261" i="3"/>
  <c r="AB261" i="3"/>
  <c r="L261" i="3"/>
  <c r="BE260" i="3"/>
  <c r="AO260" i="3"/>
  <c r="Y260" i="3"/>
  <c r="I260" i="3"/>
  <c r="AX259" i="3"/>
  <c r="AH259" i="3"/>
  <c r="R259" i="3"/>
  <c r="BG258" i="3"/>
  <c r="AQ258" i="3"/>
  <c r="AA258" i="3"/>
  <c r="K258" i="3"/>
  <c r="BD257" i="3"/>
  <c r="AN257" i="3"/>
  <c r="X257" i="3"/>
  <c r="H257" i="3"/>
  <c r="BA256" i="3"/>
  <c r="AK256" i="3"/>
  <c r="U256" i="3"/>
  <c r="BJ255" i="3"/>
  <c r="AT255" i="3"/>
  <c r="AD255" i="3"/>
  <c r="N255" i="3"/>
  <c r="BC254" i="3"/>
  <c r="AM254" i="3"/>
  <c r="W254" i="3"/>
  <c r="G254" i="3"/>
  <c r="AZ253" i="3"/>
  <c r="AJ253" i="3"/>
  <c r="T253" i="3"/>
  <c r="BM252" i="3"/>
  <c r="AW252" i="3"/>
  <c r="AG252" i="3"/>
  <c r="Q252" i="3"/>
  <c r="BF251" i="3"/>
  <c r="AP251" i="3"/>
  <c r="Z251" i="3"/>
  <c r="J251" i="3"/>
  <c r="AX249" i="3"/>
  <c r="AH249" i="3"/>
  <c r="R249" i="3"/>
  <c r="BG248" i="3"/>
  <c r="AQ248" i="3"/>
  <c r="AA248" i="3"/>
  <c r="K248" i="3"/>
  <c r="BD247" i="3"/>
  <c r="AN247" i="3"/>
  <c r="X247" i="3"/>
  <c r="H247" i="3"/>
  <c r="BA246" i="3"/>
  <c r="AK246" i="3"/>
  <c r="U246" i="3"/>
  <c r="BJ245" i="3"/>
  <c r="AT245" i="3"/>
  <c r="AD245" i="3"/>
  <c r="N245" i="3"/>
  <c r="BC244" i="3"/>
  <c r="AM244" i="3"/>
  <c r="W244" i="3"/>
  <c r="G244" i="3"/>
  <c r="AZ243" i="3"/>
  <c r="AJ243" i="3"/>
  <c r="T243" i="3"/>
  <c r="BM242" i="3"/>
  <c r="AW242" i="3"/>
  <c r="AG242" i="3"/>
  <c r="Q242" i="3"/>
  <c r="BF241" i="3"/>
  <c r="AP241" i="3"/>
  <c r="Z241" i="3"/>
  <c r="J241" i="3"/>
  <c r="AY240" i="3"/>
  <c r="AI240" i="3"/>
  <c r="S240" i="3"/>
  <c r="BL239" i="3"/>
  <c r="AV239" i="3"/>
  <c r="AF239" i="3"/>
  <c r="P239" i="3"/>
  <c r="BI238" i="3"/>
  <c r="AS238" i="3"/>
  <c r="AC238" i="3"/>
  <c r="M238" i="3"/>
  <c r="BB237" i="3"/>
  <c r="AL237" i="3"/>
  <c r="V237" i="3"/>
  <c r="BK236" i="3"/>
  <c r="AU236" i="3"/>
  <c r="AE236" i="3"/>
  <c r="O236" i="3"/>
  <c r="BC327" i="3"/>
  <c r="W327" i="3"/>
  <c r="BE326" i="3"/>
  <c r="AJ326" i="3"/>
  <c r="N326" i="3"/>
  <c r="BC325" i="3"/>
  <c r="AM325" i="3"/>
  <c r="W325" i="3"/>
  <c r="G325" i="3"/>
  <c r="AZ324" i="3"/>
  <c r="AJ324" i="3"/>
  <c r="T324" i="3"/>
  <c r="BM323" i="3"/>
  <c r="AW323" i="3"/>
  <c r="AG323" i="3"/>
  <c r="Q323" i="3"/>
  <c r="BF322" i="3"/>
  <c r="AP322" i="3"/>
  <c r="Z322" i="3"/>
  <c r="J322" i="3"/>
  <c r="AY321" i="3"/>
  <c r="AI321" i="3"/>
  <c r="S321" i="3"/>
  <c r="BL320" i="3"/>
  <c r="AV320" i="3"/>
  <c r="AF320" i="3"/>
  <c r="P320" i="3"/>
  <c r="BI319" i="3"/>
  <c r="AS319" i="3"/>
  <c r="AC319" i="3"/>
  <c r="M319" i="3"/>
  <c r="BB318" i="3"/>
  <c r="AL318" i="3"/>
  <c r="V318" i="3"/>
  <c r="BK317" i="3"/>
  <c r="AU317" i="3"/>
  <c r="AE317" i="3"/>
  <c r="O317" i="3"/>
  <c r="BH316" i="3"/>
  <c r="AR316" i="3"/>
  <c r="AB316" i="3"/>
  <c r="L316" i="3"/>
  <c r="BE315" i="3"/>
  <c r="AO315" i="3"/>
  <c r="Y315" i="3"/>
  <c r="I315" i="3"/>
  <c r="AX314" i="3"/>
  <c r="AH314" i="3"/>
  <c r="R314" i="3"/>
  <c r="BG313" i="3"/>
  <c r="AQ313" i="3"/>
  <c r="AA313" i="3"/>
  <c r="K313" i="3"/>
  <c r="BD312" i="3"/>
  <c r="AN312" i="3"/>
  <c r="X312" i="3"/>
  <c r="H312" i="3"/>
  <c r="BA311" i="3"/>
  <c r="AK311" i="3"/>
  <c r="U311" i="3"/>
  <c r="BJ310" i="3"/>
  <c r="AT310" i="3"/>
  <c r="AD310" i="3"/>
  <c r="N310" i="3"/>
  <c r="BC309" i="3"/>
  <c r="AM309" i="3"/>
  <c r="W309" i="3"/>
  <c r="G309" i="3"/>
  <c r="AZ308" i="3"/>
  <c r="AJ308" i="3"/>
  <c r="T308" i="3"/>
  <c r="BM307" i="3"/>
  <c r="AW307" i="3"/>
  <c r="AG307" i="3"/>
  <c r="Q307" i="3"/>
  <c r="BF306" i="3"/>
  <c r="AP306" i="3"/>
  <c r="Z306" i="3"/>
  <c r="J306" i="3"/>
  <c r="AY305" i="3"/>
  <c r="AI305" i="3"/>
  <c r="S305" i="3"/>
  <c r="BL304" i="3"/>
  <c r="AV304" i="3"/>
  <c r="AF304" i="3"/>
  <c r="P304" i="3"/>
  <c r="BI303" i="3"/>
  <c r="AS303" i="3"/>
  <c r="AC303" i="3"/>
  <c r="M303" i="3"/>
  <c r="BB302" i="3"/>
  <c r="AL302" i="3"/>
  <c r="V302" i="3"/>
  <c r="BK301" i="3"/>
  <c r="AU301" i="3"/>
  <c r="AE301" i="3"/>
  <c r="O301" i="3"/>
  <c r="BH300" i="3"/>
  <c r="AR300" i="3"/>
  <c r="AB300" i="3"/>
  <c r="L300" i="3"/>
  <c r="BE299" i="3"/>
  <c r="AO299" i="3"/>
  <c r="Y299" i="3"/>
  <c r="I299" i="3"/>
  <c r="AX298" i="3"/>
  <c r="AH298" i="3"/>
  <c r="R298" i="3"/>
  <c r="BG297" i="3"/>
  <c r="AQ297" i="3"/>
  <c r="AA297" i="3"/>
  <c r="K297" i="3"/>
  <c r="BD296" i="3"/>
  <c r="AN296" i="3"/>
  <c r="X296" i="3"/>
  <c r="H296" i="3"/>
  <c r="BA295" i="3"/>
  <c r="AK295" i="3"/>
  <c r="U295" i="3"/>
  <c r="BJ294" i="3"/>
  <c r="AT294" i="3"/>
  <c r="AD294" i="3"/>
  <c r="N294" i="3"/>
  <c r="BC293" i="3"/>
  <c r="AM293" i="3"/>
  <c r="W293" i="3"/>
  <c r="G293" i="3"/>
  <c r="AX290" i="3"/>
  <c r="AH290" i="3"/>
  <c r="R290" i="3"/>
  <c r="BG289" i="3"/>
  <c r="AQ289" i="3"/>
  <c r="AA289" i="3"/>
  <c r="K289" i="3"/>
  <c r="BD288" i="3"/>
  <c r="AN288" i="3"/>
  <c r="X288" i="3"/>
  <c r="H288" i="3"/>
  <c r="BA287" i="3"/>
  <c r="AK287" i="3"/>
  <c r="U287" i="3"/>
  <c r="BJ286" i="3"/>
  <c r="AT286" i="3"/>
  <c r="AD286" i="3"/>
  <c r="N286" i="3"/>
  <c r="BC285" i="3"/>
  <c r="AM285" i="3"/>
  <c r="W285" i="3"/>
  <c r="G285" i="3"/>
  <c r="AZ284" i="3"/>
  <c r="AJ284" i="3"/>
  <c r="T284" i="3"/>
  <c r="BM283" i="3"/>
  <c r="AW283" i="3"/>
  <c r="AG283" i="3"/>
  <c r="Q283" i="3"/>
  <c r="BF282" i="3"/>
  <c r="AP282" i="3"/>
  <c r="Z282" i="3"/>
  <c r="J282" i="3"/>
  <c r="AY281" i="3"/>
  <c r="AI281" i="3"/>
  <c r="S281" i="3"/>
  <c r="BL280" i="3"/>
  <c r="AV280" i="3"/>
  <c r="AF280" i="3"/>
  <c r="P280" i="3"/>
  <c r="BI279" i="3"/>
  <c r="AS279" i="3"/>
  <c r="AC279" i="3"/>
  <c r="M279" i="3"/>
  <c r="BB278" i="3"/>
  <c r="AL278" i="3"/>
  <c r="V278" i="3"/>
  <c r="BK277" i="3"/>
  <c r="AU277" i="3"/>
  <c r="AE277" i="3"/>
  <c r="O277" i="3"/>
  <c r="BH276" i="3"/>
  <c r="AR276" i="3"/>
  <c r="AB276" i="3"/>
  <c r="L276" i="3"/>
  <c r="BE275" i="3"/>
  <c r="AO275" i="3"/>
  <c r="Y275" i="3"/>
  <c r="I275" i="3"/>
  <c r="AX274" i="3"/>
  <c r="AH274" i="3"/>
  <c r="R274" i="3"/>
  <c r="BG273" i="3"/>
  <c r="AQ273" i="3"/>
  <c r="AA273" i="3"/>
  <c r="K273" i="3"/>
  <c r="BD272" i="3"/>
  <c r="AN272" i="3"/>
  <c r="X272" i="3"/>
  <c r="H272" i="3"/>
  <c r="BA271" i="3"/>
  <c r="AK271" i="3"/>
  <c r="U271" i="3"/>
  <c r="BJ270" i="3"/>
  <c r="AT270" i="3"/>
  <c r="AD270" i="3"/>
  <c r="N270" i="3"/>
  <c r="BC269" i="3"/>
  <c r="AM269" i="3"/>
  <c r="W269" i="3"/>
  <c r="G269" i="3"/>
  <c r="AZ268" i="3"/>
  <c r="AJ268" i="3"/>
  <c r="T268" i="3"/>
  <c r="BM267" i="3"/>
  <c r="AW267" i="3"/>
  <c r="AG267" i="3"/>
  <c r="Q267" i="3"/>
  <c r="BF266" i="3"/>
  <c r="AP266" i="3"/>
  <c r="Z266" i="3"/>
  <c r="J266" i="3"/>
  <c r="AY265" i="3"/>
  <c r="AI265" i="3"/>
  <c r="S265" i="3"/>
  <c r="BL264" i="3"/>
  <c r="AV264" i="3"/>
  <c r="AF264" i="3"/>
  <c r="P264" i="3"/>
  <c r="BI263" i="3"/>
  <c r="AS263" i="3"/>
  <c r="AC263" i="3"/>
  <c r="M263" i="3"/>
  <c r="BB262" i="3"/>
  <c r="AL262" i="3"/>
  <c r="V262" i="3"/>
  <c r="BK261" i="3"/>
  <c r="AU261" i="3"/>
  <c r="AE261" i="3"/>
  <c r="O261" i="3"/>
  <c r="BH260" i="3"/>
  <c r="AR260" i="3"/>
  <c r="AB260" i="3"/>
  <c r="L260" i="3"/>
  <c r="BE259" i="3"/>
  <c r="AO259" i="3"/>
  <c r="Y259" i="3"/>
  <c r="I259" i="3"/>
  <c r="AX258" i="3"/>
  <c r="AH258" i="3"/>
  <c r="R258" i="3"/>
  <c r="BG257" i="3"/>
  <c r="AQ257" i="3"/>
  <c r="AA257" i="3"/>
  <c r="K257" i="3"/>
  <c r="BD256" i="3"/>
  <c r="AN256" i="3"/>
  <c r="X256" i="3"/>
  <c r="H256" i="3"/>
  <c r="BA255" i="3"/>
  <c r="AK255" i="3"/>
  <c r="U255" i="3"/>
  <c r="BJ254" i="3"/>
  <c r="AT254" i="3"/>
  <c r="AD254" i="3"/>
  <c r="N254" i="3"/>
  <c r="BC253" i="3"/>
  <c r="AM253" i="3"/>
  <c r="W253" i="3"/>
  <c r="G253" i="3"/>
  <c r="AZ252" i="3"/>
  <c r="AJ252" i="3"/>
  <c r="T252" i="3"/>
  <c r="BM251" i="3"/>
  <c r="AW251" i="3"/>
  <c r="AG251" i="3"/>
  <c r="Q251" i="3"/>
  <c r="BI249" i="3"/>
  <c r="AS249" i="3"/>
  <c r="AC249" i="3"/>
  <c r="M249" i="3"/>
  <c r="BB248" i="3"/>
  <c r="AL248" i="3"/>
  <c r="V248" i="3"/>
  <c r="BK247" i="3"/>
  <c r="AU247" i="3"/>
  <c r="AE247" i="3"/>
  <c r="O247" i="3"/>
  <c r="BH246" i="3"/>
  <c r="AR246" i="3"/>
  <c r="AB246" i="3"/>
  <c r="L246" i="3"/>
  <c r="BE245" i="3"/>
  <c r="AO245" i="3"/>
  <c r="Y245" i="3"/>
  <c r="I245" i="3"/>
  <c r="AX244" i="3"/>
  <c r="AH244" i="3"/>
  <c r="R244" i="3"/>
  <c r="BG243" i="3"/>
  <c r="AQ243" i="3"/>
  <c r="AA243" i="3"/>
  <c r="K243" i="3"/>
  <c r="BD242" i="3"/>
  <c r="AN242" i="3"/>
  <c r="X242" i="3"/>
  <c r="H242" i="3"/>
  <c r="BA241" i="3"/>
  <c r="AK241" i="3"/>
  <c r="U241" i="3"/>
  <c r="BJ240" i="3"/>
  <c r="AT240" i="3"/>
  <c r="AD240" i="3"/>
  <c r="N240" i="3"/>
  <c r="BC239" i="3"/>
  <c r="AM239" i="3"/>
  <c r="W239" i="3"/>
  <c r="G239" i="3"/>
  <c r="AZ238" i="3"/>
  <c r="AJ238" i="3"/>
  <c r="T238" i="3"/>
  <c r="BM237" i="3"/>
  <c r="AW237" i="3"/>
  <c r="AG237" i="3"/>
  <c r="Q237" i="3"/>
  <c r="BF236" i="3"/>
  <c r="AP236" i="3"/>
  <c r="Z236" i="3"/>
  <c r="J236" i="3"/>
  <c r="AY235" i="3"/>
  <c r="AI235" i="3"/>
  <c r="AV235" i="3"/>
  <c r="Q235" i="3"/>
  <c r="BE234" i="3"/>
  <c r="AM234" i="3"/>
  <c r="W234" i="3"/>
  <c r="G234" i="3"/>
  <c r="AZ233" i="3"/>
  <c r="AJ233" i="3"/>
  <c r="T233" i="3"/>
  <c r="BM232" i="3"/>
  <c r="AW232" i="3"/>
  <c r="AG232" i="3"/>
  <c r="Q232" i="3"/>
  <c r="BF231" i="3"/>
  <c r="AP231" i="3"/>
  <c r="Z231" i="3"/>
  <c r="J231" i="3"/>
  <c r="AY230" i="3"/>
  <c r="AI230" i="3"/>
  <c r="S230" i="3"/>
  <c r="BL229" i="3"/>
  <c r="AV229" i="3"/>
  <c r="AF229" i="3"/>
  <c r="P229" i="3"/>
  <c r="BI228" i="3"/>
  <c r="AS228" i="3"/>
  <c r="AC228" i="3"/>
  <c r="M228" i="3"/>
  <c r="BB227" i="3"/>
  <c r="AL227" i="3"/>
  <c r="V227" i="3"/>
  <c r="BK226" i="3"/>
  <c r="AU226" i="3"/>
  <c r="AE226" i="3"/>
  <c r="O226" i="3"/>
  <c r="BH225" i="3"/>
  <c r="AR225" i="3"/>
  <c r="AB225" i="3"/>
  <c r="L225" i="3"/>
  <c r="BE224" i="3"/>
  <c r="AO224" i="3"/>
  <c r="Y224" i="3"/>
  <c r="I224" i="3"/>
  <c r="AX223" i="3"/>
  <c r="AH223" i="3"/>
  <c r="R223" i="3"/>
  <c r="BG222" i="3"/>
  <c r="AQ222" i="3"/>
  <c r="AA222" i="3"/>
  <c r="K222" i="3"/>
  <c r="BD221" i="3"/>
  <c r="AN221" i="3"/>
  <c r="X221" i="3"/>
  <c r="H221" i="3"/>
  <c r="BA220" i="3"/>
  <c r="AK220" i="3"/>
  <c r="U220" i="3"/>
  <c r="BJ219" i="3"/>
  <c r="AT219" i="3"/>
  <c r="AD219" i="3"/>
  <c r="N219" i="3"/>
  <c r="BC218" i="3"/>
  <c r="AM218" i="3"/>
  <c r="W218" i="3"/>
  <c r="G218" i="3"/>
  <c r="AZ217" i="3"/>
  <c r="AJ217" i="3"/>
  <c r="T217" i="3"/>
  <c r="BM216" i="3"/>
  <c r="AW216" i="3"/>
  <c r="AG216" i="3"/>
  <c r="Q216" i="3"/>
  <c r="BF215" i="3"/>
  <c r="AP215" i="3"/>
  <c r="Z215" i="3"/>
  <c r="J215" i="3"/>
  <c r="AY214" i="3"/>
  <c r="AI214" i="3"/>
  <c r="S214" i="3"/>
  <c r="BL213" i="3"/>
  <c r="AV213" i="3"/>
  <c r="AF213" i="3"/>
  <c r="P213" i="3"/>
  <c r="BI212" i="3"/>
  <c r="AS212" i="3"/>
  <c r="AC212" i="3"/>
  <c r="M212" i="3"/>
  <c r="BB211" i="3"/>
  <c r="AL211" i="3"/>
  <c r="V211" i="3"/>
  <c r="BK210" i="3"/>
  <c r="AU210" i="3"/>
  <c r="AE210" i="3"/>
  <c r="O210" i="3"/>
  <c r="BG208" i="3"/>
  <c r="AQ208" i="3"/>
  <c r="AA208" i="3"/>
  <c r="K208" i="3"/>
  <c r="BD207" i="3"/>
  <c r="AN207" i="3"/>
  <c r="X207" i="3"/>
  <c r="H207" i="3"/>
  <c r="BA206" i="3"/>
  <c r="AK206" i="3"/>
  <c r="U206" i="3"/>
  <c r="BJ205" i="3"/>
  <c r="AT205" i="3"/>
  <c r="AD205" i="3"/>
  <c r="N205" i="3"/>
  <c r="BC204" i="3"/>
  <c r="AM204" i="3"/>
  <c r="W204" i="3"/>
  <c r="G204" i="3"/>
  <c r="AZ203" i="3"/>
  <c r="AJ203" i="3"/>
  <c r="T203" i="3"/>
  <c r="BM202" i="3"/>
  <c r="AW202" i="3"/>
  <c r="AG202" i="3"/>
  <c r="Q202" i="3"/>
  <c r="BF201" i="3"/>
  <c r="AP201" i="3"/>
  <c r="Z201" i="3"/>
  <c r="J201" i="3"/>
  <c r="AY200" i="3"/>
  <c r="AI200" i="3"/>
  <c r="S200" i="3"/>
  <c r="BL199" i="3"/>
  <c r="AV199" i="3"/>
  <c r="AF199" i="3"/>
  <c r="P199" i="3"/>
  <c r="BI198" i="3"/>
  <c r="AS198" i="3"/>
  <c r="AC198" i="3"/>
  <c r="M198" i="3"/>
  <c r="BB197" i="3"/>
  <c r="AL197" i="3"/>
  <c r="V197" i="3"/>
  <c r="BK196" i="3"/>
  <c r="AU196" i="3"/>
  <c r="AE196" i="3"/>
  <c r="O196" i="3"/>
  <c r="BH195" i="3"/>
  <c r="AR195" i="3"/>
  <c r="AB195" i="3"/>
  <c r="L195" i="3"/>
  <c r="BE194" i="3"/>
  <c r="AO194" i="3"/>
  <c r="Y194" i="3"/>
  <c r="I194" i="3"/>
  <c r="AX193" i="3"/>
  <c r="AH193" i="3"/>
  <c r="R193" i="3"/>
  <c r="BG192" i="3"/>
  <c r="AQ192" i="3"/>
  <c r="AA192" i="3"/>
  <c r="K192" i="3"/>
  <c r="BD191" i="3"/>
  <c r="AN191" i="3"/>
  <c r="X191" i="3"/>
  <c r="H191" i="3"/>
  <c r="BA190" i="3"/>
  <c r="AK190" i="3"/>
  <c r="U190" i="3"/>
  <c r="BJ189" i="3"/>
  <c r="AT189" i="3"/>
  <c r="AD189" i="3"/>
  <c r="N189" i="3"/>
  <c r="BC188" i="3"/>
  <c r="AM188" i="3"/>
  <c r="W188" i="3"/>
  <c r="G188" i="3"/>
  <c r="AZ187" i="3"/>
  <c r="AJ187" i="3"/>
  <c r="T187" i="3"/>
  <c r="BM186" i="3"/>
  <c r="AW186" i="3"/>
  <c r="AG186" i="3"/>
  <c r="Q186" i="3"/>
  <c r="BF185" i="3"/>
  <c r="AP185" i="3"/>
  <c r="Z185" i="3"/>
  <c r="J185" i="3"/>
  <c r="AY184" i="3"/>
  <c r="AI184" i="3"/>
  <c r="S184" i="3"/>
  <c r="BL183" i="3"/>
  <c r="AV183" i="3"/>
  <c r="AF183" i="3"/>
  <c r="P183" i="3"/>
  <c r="BI182" i="3"/>
  <c r="AS182" i="3"/>
  <c r="AC182" i="3"/>
  <c r="M182" i="3"/>
  <c r="BB181" i="3"/>
  <c r="AL181" i="3"/>
  <c r="V181" i="3"/>
  <c r="BK180" i="3"/>
  <c r="AU180" i="3"/>
  <c r="AE180" i="3"/>
  <c r="O180" i="3"/>
  <c r="BH179" i="3"/>
  <c r="AR179" i="3"/>
  <c r="AB179" i="3"/>
  <c r="L179" i="3"/>
  <c r="BE178" i="3"/>
  <c r="AO178" i="3"/>
  <c r="Y178" i="3"/>
  <c r="I178" i="3"/>
  <c r="AX177" i="3"/>
  <c r="AH177" i="3"/>
  <c r="R177" i="3"/>
  <c r="BG176" i="3"/>
  <c r="AQ176" i="3"/>
  <c r="AA176" i="3"/>
  <c r="K176" i="3"/>
  <c r="BD175" i="3"/>
  <c r="AN175" i="3"/>
  <c r="X175" i="3"/>
  <c r="H175" i="3"/>
  <c r="BA174" i="3"/>
  <c r="AK174" i="3"/>
  <c r="U174" i="3"/>
  <c r="BJ173" i="3"/>
  <c r="AT173" i="3"/>
  <c r="AD173" i="3"/>
  <c r="N173" i="3"/>
  <c r="BC172" i="3"/>
  <c r="AM172" i="3"/>
  <c r="W172" i="3"/>
  <c r="G172" i="3"/>
  <c r="AZ171" i="3"/>
  <c r="AJ171" i="3"/>
  <c r="T171" i="3"/>
  <c r="BM170" i="3"/>
  <c r="AW170" i="3"/>
  <c r="AG170" i="3"/>
  <c r="Q170" i="3"/>
  <c r="BF169" i="3"/>
  <c r="AP169" i="3"/>
  <c r="Z169" i="3"/>
  <c r="J169" i="3"/>
  <c r="AX167" i="3"/>
  <c r="AH167" i="3"/>
  <c r="R167" i="3"/>
  <c r="BG166" i="3"/>
  <c r="AQ166" i="3"/>
  <c r="AA166" i="3"/>
  <c r="K166" i="3"/>
  <c r="BD165" i="3"/>
  <c r="AN165" i="3"/>
  <c r="X165" i="3"/>
  <c r="H165" i="3"/>
  <c r="BA164" i="3"/>
  <c r="AK164" i="3"/>
  <c r="U164" i="3"/>
  <c r="BJ163" i="3"/>
  <c r="AT163" i="3"/>
  <c r="AD163" i="3"/>
  <c r="N163" i="3"/>
  <c r="BC162" i="3"/>
  <c r="AM162" i="3"/>
  <c r="W162" i="3"/>
  <c r="G162" i="3"/>
  <c r="AZ161" i="3"/>
  <c r="AJ161" i="3"/>
  <c r="T161" i="3"/>
  <c r="BM160" i="3"/>
  <c r="AW160" i="3"/>
  <c r="AG160" i="3"/>
  <c r="Q160" i="3"/>
  <c r="BF159" i="3"/>
  <c r="AP159" i="3"/>
  <c r="Z159" i="3"/>
  <c r="J159" i="3"/>
  <c r="AY158" i="3"/>
  <c r="AI158" i="3"/>
  <c r="S158" i="3"/>
  <c r="BL157" i="3"/>
  <c r="AV157" i="3"/>
  <c r="AF157" i="3"/>
  <c r="P157" i="3"/>
  <c r="BI156" i="3"/>
  <c r="AS156" i="3"/>
  <c r="AC156" i="3"/>
  <c r="M156" i="3"/>
  <c r="BB155" i="3"/>
  <c r="AL155" i="3"/>
  <c r="V155" i="3"/>
  <c r="BK154" i="3"/>
  <c r="AU154" i="3"/>
  <c r="AE154" i="3"/>
  <c r="O154" i="3"/>
  <c r="BH153" i="3"/>
  <c r="AR153" i="3"/>
  <c r="AB153" i="3"/>
  <c r="L153" i="3"/>
  <c r="BE152" i="3"/>
  <c r="AO152" i="3"/>
  <c r="Y152" i="3"/>
  <c r="I152" i="3"/>
  <c r="AX151" i="3"/>
  <c r="AH151" i="3"/>
  <c r="R151" i="3"/>
  <c r="BG150" i="3"/>
  <c r="AQ150" i="3"/>
  <c r="AA150" i="3"/>
  <c r="K150" i="3"/>
  <c r="BD149" i="3"/>
  <c r="AN149" i="3"/>
  <c r="X149" i="3"/>
  <c r="H149" i="3"/>
  <c r="BA148" i="3"/>
  <c r="AK148" i="3"/>
  <c r="U148" i="3"/>
  <c r="BJ147" i="3"/>
  <c r="AT147" i="3"/>
  <c r="AD147" i="3"/>
  <c r="N147" i="3"/>
  <c r="BC146" i="3"/>
  <c r="AM146" i="3"/>
  <c r="W146" i="3"/>
  <c r="G146" i="3"/>
  <c r="AZ145" i="3"/>
  <c r="AJ145" i="3"/>
  <c r="T145" i="3"/>
  <c r="BM144" i="3"/>
  <c r="AW144" i="3"/>
  <c r="AG144" i="3"/>
  <c r="Q144" i="3"/>
  <c r="AR235" i="3"/>
  <c r="P235" i="3"/>
  <c r="AX234" i="3"/>
  <c r="AH234" i="3"/>
  <c r="R234" i="3"/>
  <c r="BG233" i="3"/>
  <c r="AQ233" i="3"/>
  <c r="AA233" i="3"/>
  <c r="K233" i="3"/>
  <c r="BD232" i="3"/>
  <c r="AN232" i="3"/>
  <c r="X232" i="3"/>
  <c r="H232" i="3"/>
  <c r="BA231" i="3"/>
  <c r="AK231" i="3"/>
  <c r="U231" i="3"/>
  <c r="BJ230" i="3"/>
  <c r="AT230" i="3"/>
  <c r="AD230" i="3"/>
  <c r="N230" i="3"/>
  <c r="BC229" i="3"/>
  <c r="AM229" i="3"/>
  <c r="W229" i="3"/>
  <c r="G229" i="3"/>
  <c r="AZ228" i="3"/>
  <c r="AJ228" i="3"/>
  <c r="T228" i="3"/>
  <c r="BM227" i="3"/>
  <c r="AW227" i="3"/>
  <c r="AG227" i="3"/>
  <c r="Q227" i="3"/>
  <c r="BF226" i="3"/>
  <c r="AP226" i="3"/>
  <c r="Z226" i="3"/>
  <c r="J226" i="3"/>
  <c r="AY225" i="3"/>
  <c r="AI225" i="3"/>
  <c r="S225" i="3"/>
  <c r="BL224" i="3"/>
  <c r="AV224" i="3"/>
  <c r="AF224" i="3"/>
  <c r="P224" i="3"/>
  <c r="BI223" i="3"/>
  <c r="AS223" i="3"/>
  <c r="AC223" i="3"/>
  <c r="M223" i="3"/>
  <c r="BB222" i="3"/>
  <c r="AL222" i="3"/>
  <c r="V222" i="3"/>
  <c r="BK221" i="3"/>
  <c r="AU221" i="3"/>
  <c r="AE221" i="3"/>
  <c r="O221" i="3"/>
  <c r="BH220" i="3"/>
  <c r="AR220" i="3"/>
  <c r="AB220" i="3"/>
  <c r="L220" i="3"/>
  <c r="BE219" i="3"/>
  <c r="AO219" i="3"/>
  <c r="Y219" i="3"/>
  <c r="I219" i="3"/>
  <c r="AX218" i="3"/>
  <c r="AH218" i="3"/>
  <c r="R218" i="3"/>
  <c r="BG217" i="3"/>
  <c r="AQ217" i="3"/>
  <c r="AA217" i="3"/>
  <c r="K217" i="3"/>
  <c r="BD216" i="3"/>
  <c r="AN216" i="3"/>
  <c r="X216" i="3"/>
  <c r="H216" i="3"/>
  <c r="BA215" i="3"/>
  <c r="AK215" i="3"/>
  <c r="U215" i="3"/>
  <c r="BJ214" i="3"/>
  <c r="AT214" i="3"/>
  <c r="AD214" i="3"/>
  <c r="N214" i="3"/>
  <c r="BC213" i="3"/>
  <c r="AM213" i="3"/>
  <c r="W213" i="3"/>
  <c r="G213" i="3"/>
  <c r="AZ212" i="3"/>
  <c r="AJ212" i="3"/>
  <c r="T212" i="3"/>
  <c r="BM211" i="3"/>
  <c r="AW211" i="3"/>
  <c r="AG211" i="3"/>
  <c r="Q211" i="3"/>
  <c r="BF210" i="3"/>
  <c r="AP210" i="3"/>
  <c r="Z210" i="3"/>
  <c r="J210" i="3"/>
  <c r="AX208" i="3"/>
  <c r="AH208" i="3"/>
  <c r="R208" i="3"/>
  <c r="BG207" i="3"/>
  <c r="AQ207" i="3"/>
  <c r="AA207" i="3"/>
  <c r="K207" i="3"/>
  <c r="BD206" i="3"/>
  <c r="AN206" i="3"/>
  <c r="X206" i="3"/>
  <c r="H206" i="3"/>
  <c r="BA205" i="3"/>
  <c r="AK205" i="3"/>
  <c r="U205" i="3"/>
  <c r="BJ204" i="3"/>
  <c r="AT204" i="3"/>
  <c r="AD204" i="3"/>
  <c r="N204" i="3"/>
  <c r="BC203" i="3"/>
  <c r="AM203" i="3"/>
  <c r="W203" i="3"/>
  <c r="G203" i="3"/>
  <c r="AZ202" i="3"/>
  <c r="AJ202" i="3"/>
  <c r="T202" i="3"/>
  <c r="BM201" i="3"/>
  <c r="AW201" i="3"/>
  <c r="AG201" i="3"/>
  <c r="Q201" i="3"/>
  <c r="BF200" i="3"/>
  <c r="AP200" i="3"/>
  <c r="Z200" i="3"/>
  <c r="J200" i="3"/>
  <c r="AY199" i="3"/>
  <c r="AI199" i="3"/>
  <c r="S199" i="3"/>
  <c r="BL198" i="3"/>
  <c r="AV198" i="3"/>
  <c r="AF198" i="3"/>
  <c r="P198" i="3"/>
  <c r="BI197" i="3"/>
  <c r="AS197" i="3"/>
  <c r="AC197" i="3"/>
  <c r="M197" i="3"/>
  <c r="BB196" i="3"/>
  <c r="AL196" i="3"/>
  <c r="V196" i="3"/>
  <c r="BK195" i="3"/>
  <c r="AU195" i="3"/>
  <c r="AE195" i="3"/>
  <c r="O195" i="3"/>
  <c r="BH194" i="3"/>
  <c r="AR194" i="3"/>
  <c r="AB194" i="3"/>
  <c r="L194" i="3"/>
  <c r="BE193" i="3"/>
  <c r="AO193" i="3"/>
  <c r="Y193" i="3"/>
  <c r="I193" i="3"/>
  <c r="AX192" i="3"/>
  <c r="AH192" i="3"/>
  <c r="R192" i="3"/>
  <c r="BG191" i="3"/>
  <c r="AQ191" i="3"/>
  <c r="AA191" i="3"/>
  <c r="K191" i="3"/>
  <c r="BD190" i="3"/>
  <c r="AN190" i="3"/>
  <c r="X190" i="3"/>
  <c r="H190" i="3"/>
  <c r="BA189" i="3"/>
  <c r="AK189" i="3"/>
  <c r="U189" i="3"/>
  <c r="BJ188" i="3"/>
  <c r="AT188" i="3"/>
  <c r="AD188" i="3"/>
  <c r="N188" i="3"/>
  <c r="BC187" i="3"/>
  <c r="AM187" i="3"/>
  <c r="W187" i="3"/>
  <c r="G187" i="3"/>
  <c r="AZ186" i="3"/>
  <c r="AJ186" i="3"/>
  <c r="T186" i="3"/>
  <c r="BM185" i="3"/>
  <c r="AW185" i="3"/>
  <c r="AG185" i="3"/>
  <c r="Q185" i="3"/>
  <c r="BF184" i="3"/>
  <c r="AP184" i="3"/>
  <c r="Z184" i="3"/>
  <c r="J184" i="3"/>
  <c r="AY183" i="3"/>
  <c r="AI183" i="3"/>
  <c r="S183" i="3"/>
  <c r="BL182" i="3"/>
  <c r="AV182" i="3"/>
  <c r="AF182" i="3"/>
  <c r="P182" i="3"/>
  <c r="BI181" i="3"/>
  <c r="AS181" i="3"/>
  <c r="AC181" i="3"/>
  <c r="M181" i="3"/>
  <c r="BB180" i="3"/>
  <c r="AL180" i="3"/>
  <c r="V180" i="3"/>
  <c r="BK179" i="3"/>
  <c r="AU179" i="3"/>
  <c r="AE179" i="3"/>
  <c r="O179" i="3"/>
  <c r="BH178" i="3"/>
  <c r="AR178" i="3"/>
  <c r="AB178" i="3"/>
  <c r="L178" i="3"/>
  <c r="BE177" i="3"/>
  <c r="AO177" i="3"/>
  <c r="Y177" i="3"/>
  <c r="I177" i="3"/>
  <c r="AX176" i="3"/>
  <c r="AH176" i="3"/>
  <c r="R176" i="3"/>
  <c r="BG175" i="3"/>
  <c r="AQ175" i="3"/>
  <c r="AA175" i="3"/>
  <c r="K175" i="3"/>
  <c r="BD174" i="3"/>
  <c r="AN174" i="3"/>
  <c r="X174" i="3"/>
  <c r="H174" i="3"/>
  <c r="BA173" i="3"/>
  <c r="AK173" i="3"/>
  <c r="U173" i="3"/>
  <c r="BJ172" i="3"/>
  <c r="AT172" i="3"/>
  <c r="AD172" i="3"/>
  <c r="N172" i="3"/>
  <c r="BC171" i="3"/>
  <c r="AM171" i="3"/>
  <c r="W171" i="3"/>
  <c r="G171" i="3"/>
  <c r="AZ170" i="3"/>
  <c r="AJ170" i="3"/>
  <c r="T170" i="3"/>
  <c r="BM169" i="3"/>
  <c r="AW169" i="3"/>
  <c r="AG169" i="3"/>
  <c r="Q169" i="3"/>
  <c r="BI167" i="3"/>
  <c r="AS167" i="3"/>
  <c r="AC167" i="3"/>
  <c r="M167" i="3"/>
  <c r="BB166" i="3"/>
  <c r="AL166" i="3"/>
  <c r="V166" i="3"/>
  <c r="BK165" i="3"/>
  <c r="AU165" i="3"/>
  <c r="AE165" i="3"/>
  <c r="O165" i="3"/>
  <c r="BH164" i="3"/>
  <c r="AR164" i="3"/>
  <c r="AB164" i="3"/>
  <c r="L164" i="3"/>
  <c r="BE163" i="3"/>
  <c r="AO163" i="3"/>
  <c r="Y163" i="3"/>
  <c r="I163" i="3"/>
  <c r="AX162" i="3"/>
  <c r="AH162" i="3"/>
  <c r="R162" i="3"/>
  <c r="BG161" i="3"/>
  <c r="AQ161" i="3"/>
  <c r="AA161" i="3"/>
  <c r="K161" i="3"/>
  <c r="BD160" i="3"/>
  <c r="AN160" i="3"/>
  <c r="X160" i="3"/>
  <c r="H160" i="3"/>
  <c r="BA159" i="3"/>
  <c r="AK159" i="3"/>
  <c r="U159" i="3"/>
  <c r="BJ158" i="3"/>
  <c r="AT158" i="3"/>
  <c r="AD158" i="3"/>
  <c r="N158" i="3"/>
  <c r="BC157" i="3"/>
  <c r="AM157" i="3"/>
  <c r="W157" i="3"/>
  <c r="G157" i="3"/>
  <c r="AZ156" i="3"/>
  <c r="AJ156" i="3"/>
  <c r="T156" i="3"/>
  <c r="BM155" i="3"/>
  <c r="AW155" i="3"/>
  <c r="AG155" i="3"/>
  <c r="Q155" i="3"/>
  <c r="BF154" i="3"/>
  <c r="AP154" i="3"/>
  <c r="Z154" i="3"/>
  <c r="J154" i="3"/>
  <c r="AY153" i="3"/>
  <c r="AI153" i="3"/>
  <c r="S153" i="3"/>
  <c r="BL152" i="3"/>
  <c r="AV152" i="3"/>
  <c r="AF152" i="3"/>
  <c r="P152" i="3"/>
  <c r="BI151" i="3"/>
  <c r="AS151" i="3"/>
  <c r="AC151" i="3"/>
  <c r="M151" i="3"/>
  <c r="BB150" i="3"/>
  <c r="AL150" i="3"/>
  <c r="V150" i="3"/>
  <c r="BK149" i="3"/>
  <c r="AU149" i="3"/>
  <c r="AE149" i="3"/>
  <c r="O149" i="3"/>
  <c r="BH148" i="3"/>
  <c r="AR148" i="3"/>
  <c r="AB148" i="3"/>
  <c r="L148" i="3"/>
  <c r="BE147" i="3"/>
  <c r="AO147" i="3"/>
  <c r="Y147" i="3"/>
  <c r="I147" i="3"/>
  <c r="AX146" i="3"/>
  <c r="AH146" i="3"/>
  <c r="R146" i="3"/>
  <c r="BG145" i="3"/>
  <c r="AQ145" i="3"/>
  <c r="AA145" i="3"/>
  <c r="K145" i="3"/>
  <c r="BD144" i="3"/>
  <c r="AN144" i="3"/>
  <c r="AO235" i="3"/>
  <c r="O235" i="3"/>
  <c r="BB234" i="3"/>
  <c r="AK234" i="3"/>
  <c r="U234" i="3"/>
  <c r="BJ233" i="3"/>
  <c r="AT233" i="3"/>
  <c r="AD233" i="3"/>
  <c r="N233" i="3"/>
  <c r="BC232" i="3"/>
  <c r="AM232" i="3"/>
  <c r="W232" i="3"/>
  <c r="G232" i="3"/>
  <c r="AZ231" i="3"/>
  <c r="AJ231" i="3"/>
  <c r="T231" i="3"/>
  <c r="BM230" i="3"/>
  <c r="AW230" i="3"/>
  <c r="AG230" i="3"/>
  <c r="Q230" i="3"/>
  <c r="BF229" i="3"/>
  <c r="AP229" i="3"/>
  <c r="Z229" i="3"/>
  <c r="J229" i="3"/>
  <c r="AY228" i="3"/>
  <c r="AI228" i="3"/>
  <c r="S228" i="3"/>
  <c r="BL227" i="3"/>
  <c r="AV227" i="3"/>
  <c r="AF227" i="3"/>
  <c r="P227" i="3"/>
  <c r="BI226" i="3"/>
  <c r="AS226" i="3"/>
  <c r="AC226" i="3"/>
  <c r="M226" i="3"/>
  <c r="BB225" i="3"/>
  <c r="AL225" i="3"/>
  <c r="V225" i="3"/>
  <c r="BK224" i="3"/>
  <c r="AU224" i="3"/>
  <c r="AE224" i="3"/>
  <c r="O224" i="3"/>
  <c r="BH223" i="3"/>
  <c r="AR223" i="3"/>
  <c r="AB223" i="3"/>
  <c r="L223" i="3"/>
  <c r="BE222" i="3"/>
  <c r="AO222" i="3"/>
  <c r="Y222" i="3"/>
  <c r="I222" i="3"/>
  <c r="AX221" i="3"/>
  <c r="AH221" i="3"/>
  <c r="R221" i="3"/>
  <c r="BG220" i="3"/>
  <c r="AQ220" i="3"/>
  <c r="AA220" i="3"/>
  <c r="K220" i="3"/>
  <c r="BD219" i="3"/>
  <c r="AN219" i="3"/>
  <c r="X219" i="3"/>
  <c r="H219" i="3"/>
  <c r="BA218" i="3"/>
  <c r="AK218" i="3"/>
  <c r="U218" i="3"/>
  <c r="BJ217" i="3"/>
  <c r="AT217" i="3"/>
  <c r="AD217" i="3"/>
  <c r="N217" i="3"/>
  <c r="BC216" i="3"/>
  <c r="AM216" i="3"/>
  <c r="W216" i="3"/>
  <c r="G216" i="3"/>
  <c r="AZ215" i="3"/>
  <c r="AJ215" i="3"/>
  <c r="T215" i="3"/>
  <c r="BM214" i="3"/>
  <c r="AW214" i="3"/>
  <c r="AG214" i="3"/>
  <c r="Q214" i="3"/>
  <c r="BF213" i="3"/>
  <c r="AP213" i="3"/>
  <c r="Z213" i="3"/>
  <c r="J213" i="3"/>
  <c r="AY212" i="3"/>
  <c r="AI212" i="3"/>
  <c r="S212" i="3"/>
  <c r="BL211" i="3"/>
  <c r="AV211" i="3"/>
  <c r="AF211" i="3"/>
  <c r="P211" i="3"/>
  <c r="BI210" i="3"/>
  <c r="AS210" i="3"/>
  <c r="AC210" i="3"/>
  <c r="M210" i="3"/>
  <c r="BE208" i="3"/>
  <c r="AO208" i="3"/>
  <c r="Y208" i="3"/>
  <c r="I208" i="3"/>
  <c r="AX207" i="3"/>
  <c r="AH207" i="3"/>
  <c r="R207" i="3"/>
  <c r="BG206" i="3"/>
  <c r="AQ206" i="3"/>
  <c r="AA206" i="3"/>
  <c r="K206" i="3"/>
  <c r="BD205" i="3"/>
  <c r="AN205" i="3"/>
  <c r="X205" i="3"/>
  <c r="H205" i="3"/>
  <c r="BA204" i="3"/>
  <c r="AK204" i="3"/>
  <c r="U204" i="3"/>
  <c r="BJ203" i="3"/>
  <c r="AT203" i="3"/>
  <c r="AD203" i="3"/>
  <c r="N203" i="3"/>
  <c r="BC202" i="3"/>
  <c r="AM202" i="3"/>
  <c r="W202" i="3"/>
  <c r="G202" i="3"/>
  <c r="AZ201" i="3"/>
  <c r="AJ201" i="3"/>
  <c r="T201" i="3"/>
  <c r="BM200" i="3"/>
  <c r="AW200" i="3"/>
  <c r="AG200" i="3"/>
  <c r="Q200" i="3"/>
  <c r="BF199" i="3"/>
  <c r="AP199" i="3"/>
  <c r="Z199" i="3"/>
  <c r="J199" i="3"/>
  <c r="AY198" i="3"/>
  <c r="AI198" i="3"/>
  <c r="S198" i="3"/>
  <c r="BL197" i="3"/>
  <c r="AV197" i="3"/>
  <c r="AF197" i="3"/>
  <c r="P197" i="3"/>
  <c r="BI196" i="3"/>
  <c r="AS196" i="3"/>
  <c r="AC196" i="3"/>
  <c r="M196" i="3"/>
  <c r="BB195" i="3"/>
  <c r="AL195" i="3"/>
  <c r="V195" i="3"/>
  <c r="BK194" i="3"/>
  <c r="AU194" i="3"/>
  <c r="AE194" i="3"/>
  <c r="O194" i="3"/>
  <c r="BH193" i="3"/>
  <c r="AR193" i="3"/>
  <c r="AB193" i="3"/>
  <c r="L193" i="3"/>
  <c r="BE192" i="3"/>
  <c r="AO192" i="3"/>
  <c r="Y192" i="3"/>
  <c r="I192" i="3"/>
  <c r="AX191" i="3"/>
  <c r="AH191" i="3"/>
  <c r="R191" i="3"/>
  <c r="BG190" i="3"/>
  <c r="AQ190" i="3"/>
  <c r="AA190" i="3"/>
  <c r="K190" i="3"/>
  <c r="BD189" i="3"/>
  <c r="AN189" i="3"/>
  <c r="X189" i="3"/>
  <c r="H189" i="3"/>
  <c r="BA188" i="3"/>
  <c r="AK188" i="3"/>
  <c r="U188" i="3"/>
  <c r="BJ187" i="3"/>
  <c r="AT187" i="3"/>
  <c r="AD187" i="3"/>
  <c r="N187" i="3"/>
  <c r="BC186" i="3"/>
  <c r="AM186" i="3"/>
  <c r="W186" i="3"/>
  <c r="G186" i="3"/>
  <c r="AZ185" i="3"/>
  <c r="AJ185" i="3"/>
  <c r="T185" i="3"/>
  <c r="BM184" i="3"/>
  <c r="AW184" i="3"/>
  <c r="AG184" i="3"/>
  <c r="Q184" i="3"/>
  <c r="BF183" i="3"/>
  <c r="AP183" i="3"/>
  <c r="Z183" i="3"/>
  <c r="J183" i="3"/>
  <c r="AY182" i="3"/>
  <c r="AI182" i="3"/>
  <c r="S182" i="3"/>
  <c r="BL181" i="3"/>
  <c r="AV181" i="3"/>
  <c r="AF181" i="3"/>
  <c r="P181" i="3"/>
  <c r="BI180" i="3"/>
  <c r="AS180" i="3"/>
  <c r="AC180" i="3"/>
  <c r="M180" i="3"/>
  <c r="BB179" i="3"/>
  <c r="AL179" i="3"/>
  <c r="V179" i="3"/>
  <c r="BK178" i="3"/>
  <c r="AU178" i="3"/>
  <c r="AE178" i="3"/>
  <c r="O178" i="3"/>
  <c r="BH177" i="3"/>
  <c r="AR177" i="3"/>
  <c r="AB177" i="3"/>
  <c r="L177" i="3"/>
  <c r="BE176" i="3"/>
  <c r="AO176" i="3"/>
  <c r="Y176" i="3"/>
  <c r="I176" i="3"/>
  <c r="AX175" i="3"/>
  <c r="AH175" i="3"/>
  <c r="R175" i="3"/>
  <c r="BG174" i="3"/>
  <c r="AQ174" i="3"/>
  <c r="AA174" i="3"/>
  <c r="K174" i="3"/>
  <c r="BD173" i="3"/>
  <c r="AN173" i="3"/>
  <c r="X173" i="3"/>
  <c r="H173" i="3"/>
  <c r="BA172" i="3"/>
  <c r="AK172" i="3"/>
  <c r="U172" i="3"/>
  <c r="BJ171" i="3"/>
  <c r="AT171" i="3"/>
  <c r="AD171" i="3"/>
  <c r="N171" i="3"/>
  <c r="BC170" i="3"/>
  <c r="AM170" i="3"/>
  <c r="W170" i="3"/>
  <c r="G170" i="3"/>
  <c r="AZ169" i="3"/>
  <c r="AJ169" i="3"/>
  <c r="T169" i="3"/>
  <c r="BL167" i="3"/>
  <c r="AV167" i="3"/>
  <c r="AF167" i="3"/>
  <c r="P167" i="3"/>
  <c r="BI166" i="3"/>
  <c r="AS166" i="3"/>
  <c r="AC166" i="3"/>
  <c r="M166" i="3"/>
  <c r="BB165" i="3"/>
  <c r="AL165" i="3"/>
  <c r="V165" i="3"/>
  <c r="BK164" i="3"/>
  <c r="AU164" i="3"/>
  <c r="AE164" i="3"/>
  <c r="O164" i="3"/>
  <c r="BH163" i="3"/>
  <c r="AR163" i="3"/>
  <c r="AB163" i="3"/>
  <c r="L163" i="3"/>
  <c r="BE162" i="3"/>
  <c r="AO162" i="3"/>
  <c r="Y162" i="3"/>
  <c r="I162" i="3"/>
  <c r="AX161" i="3"/>
  <c r="AH161" i="3"/>
  <c r="R161" i="3"/>
  <c r="BG160" i="3"/>
  <c r="AQ160" i="3"/>
  <c r="AA160" i="3"/>
  <c r="K160" i="3"/>
  <c r="BD159" i="3"/>
  <c r="AN159" i="3"/>
  <c r="X159" i="3"/>
  <c r="H159" i="3"/>
  <c r="BA158" i="3"/>
  <c r="AK158" i="3"/>
  <c r="U158" i="3"/>
  <c r="BJ157" i="3"/>
  <c r="AT157" i="3"/>
  <c r="AD157" i="3"/>
  <c r="N157" i="3"/>
  <c r="BC156" i="3"/>
  <c r="AM156" i="3"/>
  <c r="W156" i="3"/>
  <c r="G156" i="3"/>
  <c r="AZ155" i="3"/>
  <c r="AJ155" i="3"/>
  <c r="T155" i="3"/>
  <c r="BM154" i="3"/>
  <c r="AW154" i="3"/>
  <c r="AG154" i="3"/>
  <c r="Q154" i="3"/>
  <c r="BF153" i="3"/>
  <c r="AP153" i="3"/>
  <c r="Z153" i="3"/>
  <c r="J153" i="3"/>
  <c r="AY152" i="3"/>
  <c r="AI152" i="3"/>
  <c r="S152" i="3"/>
  <c r="BL151" i="3"/>
  <c r="AV151" i="3"/>
  <c r="AF151" i="3"/>
  <c r="P151" i="3"/>
  <c r="BI150" i="3"/>
  <c r="AS150" i="3"/>
  <c r="AC150" i="3"/>
  <c r="M150" i="3"/>
  <c r="BB149" i="3"/>
  <c r="AL149" i="3"/>
  <c r="V149" i="3"/>
  <c r="BK148" i="3"/>
  <c r="AU148" i="3"/>
  <c r="AE148" i="3"/>
  <c r="O148" i="3"/>
  <c r="BH147" i="3"/>
  <c r="AR147" i="3"/>
  <c r="AB147" i="3"/>
  <c r="L147" i="3"/>
  <c r="BE146" i="3"/>
  <c r="AO146" i="3"/>
  <c r="Y146" i="3"/>
  <c r="I146" i="3"/>
  <c r="X235" i="3"/>
  <c r="BL234" i="3"/>
  <c r="AR234" i="3"/>
  <c r="AB234" i="3"/>
  <c r="L234" i="3"/>
  <c r="BE233" i="3"/>
  <c r="AO233" i="3"/>
  <c r="Y233" i="3"/>
  <c r="I233" i="3"/>
  <c r="AX232" i="3"/>
  <c r="AH232" i="3"/>
  <c r="R232" i="3"/>
  <c r="BG231" i="3"/>
  <c r="AQ231" i="3"/>
  <c r="AA231" i="3"/>
  <c r="K231" i="3"/>
  <c r="BD230" i="3"/>
  <c r="AN230" i="3"/>
  <c r="X230" i="3"/>
  <c r="H230" i="3"/>
  <c r="BA229" i="3"/>
  <c r="AK229" i="3"/>
  <c r="U229" i="3"/>
  <c r="BJ228" i="3"/>
  <c r="AT228" i="3"/>
  <c r="AD228" i="3"/>
  <c r="N228" i="3"/>
  <c r="BC227" i="3"/>
  <c r="AM227" i="3"/>
  <c r="W227" i="3"/>
  <c r="G227" i="3"/>
  <c r="AZ226" i="3"/>
  <c r="AJ226" i="3"/>
  <c r="T226" i="3"/>
  <c r="BM225" i="3"/>
  <c r="AW225" i="3"/>
  <c r="AG225" i="3"/>
  <c r="Q225" i="3"/>
  <c r="BF224" i="3"/>
  <c r="AP224" i="3"/>
  <c r="Z224" i="3"/>
  <c r="J224" i="3"/>
  <c r="AY223" i="3"/>
  <c r="AI223" i="3"/>
  <c r="S223" i="3"/>
  <c r="BL222" i="3"/>
  <c r="AV222" i="3"/>
  <c r="AF222" i="3"/>
  <c r="P222" i="3"/>
  <c r="BI221" i="3"/>
  <c r="AS221" i="3"/>
  <c r="AC221" i="3"/>
  <c r="M221" i="3"/>
  <c r="BB220" i="3"/>
  <c r="AL220" i="3"/>
  <c r="V220" i="3"/>
  <c r="BK219" i="3"/>
  <c r="AU219" i="3"/>
  <c r="AE219" i="3"/>
  <c r="O219" i="3"/>
  <c r="BH218" i="3"/>
  <c r="AR218" i="3"/>
  <c r="AB218" i="3"/>
  <c r="L218" i="3"/>
  <c r="BE217" i="3"/>
  <c r="AO217" i="3"/>
  <c r="Y217" i="3"/>
  <c r="I217" i="3"/>
  <c r="AX216" i="3"/>
  <c r="AH216" i="3"/>
  <c r="R216" i="3"/>
  <c r="BG215" i="3"/>
  <c r="AQ215" i="3"/>
  <c r="AA215" i="3"/>
  <c r="K215" i="3"/>
  <c r="BD214" i="3"/>
  <c r="AN214" i="3"/>
  <c r="X214" i="3"/>
  <c r="H214" i="3"/>
  <c r="BA213" i="3"/>
  <c r="AK213" i="3"/>
  <c r="U213" i="3"/>
  <c r="BJ212" i="3"/>
  <c r="AT212" i="3"/>
  <c r="AD212" i="3"/>
  <c r="N212" i="3"/>
  <c r="BC211" i="3"/>
  <c r="AM211" i="3"/>
  <c r="W211" i="3"/>
  <c r="G211" i="3"/>
  <c r="AZ210" i="3"/>
  <c r="AJ210" i="3"/>
  <c r="T210" i="3"/>
  <c r="BL208" i="3"/>
  <c r="AV208" i="3"/>
  <c r="AF208" i="3"/>
  <c r="P208" i="3"/>
  <c r="BI207" i="3"/>
  <c r="AS207" i="3"/>
  <c r="AC207" i="3"/>
  <c r="M207" i="3"/>
  <c r="BB206" i="3"/>
  <c r="AL206" i="3"/>
  <c r="V206" i="3"/>
  <c r="BK205" i="3"/>
  <c r="AU205" i="3"/>
  <c r="AE205" i="3"/>
  <c r="O205" i="3"/>
  <c r="BH204" i="3"/>
  <c r="AR204" i="3"/>
  <c r="AB204" i="3"/>
  <c r="L204" i="3"/>
  <c r="BE203" i="3"/>
  <c r="AO203" i="3"/>
  <c r="Y203" i="3"/>
  <c r="I203" i="3"/>
  <c r="AX202" i="3"/>
  <c r="AH202" i="3"/>
  <c r="R202" i="3"/>
  <c r="BG201" i="3"/>
  <c r="AQ201" i="3"/>
  <c r="AA201" i="3"/>
  <c r="K201" i="3"/>
  <c r="BD200" i="3"/>
  <c r="AN200" i="3"/>
  <c r="X200" i="3"/>
  <c r="H200" i="3"/>
  <c r="BA199" i="3"/>
  <c r="AK199" i="3"/>
  <c r="U199" i="3"/>
  <c r="BJ198" i="3"/>
  <c r="AT198" i="3"/>
  <c r="AD198" i="3"/>
  <c r="N198" i="3"/>
  <c r="BC197" i="3"/>
  <c r="AM197" i="3"/>
  <c r="W197" i="3"/>
  <c r="G197" i="3"/>
  <c r="AZ196" i="3"/>
  <c r="AJ196" i="3"/>
  <c r="T196" i="3"/>
  <c r="BM195" i="3"/>
  <c r="AW195" i="3"/>
  <c r="AG195" i="3"/>
  <c r="Q195" i="3"/>
  <c r="BF194" i="3"/>
  <c r="AP194" i="3"/>
  <c r="Z194" i="3"/>
  <c r="J194" i="3"/>
  <c r="AY193" i="3"/>
  <c r="AI193" i="3"/>
  <c r="S193" i="3"/>
  <c r="BL192" i="3"/>
  <c r="AV192" i="3"/>
  <c r="AF192" i="3"/>
  <c r="P192" i="3"/>
  <c r="BI191" i="3"/>
  <c r="AS191" i="3"/>
  <c r="AC191" i="3"/>
  <c r="M191" i="3"/>
  <c r="BB190" i="3"/>
  <c r="AL190" i="3"/>
  <c r="V190" i="3"/>
  <c r="BK189" i="3"/>
  <c r="AU189" i="3"/>
  <c r="AE189" i="3"/>
  <c r="O189" i="3"/>
  <c r="BH188" i="3"/>
  <c r="AR188" i="3"/>
  <c r="AB188" i="3"/>
  <c r="L188" i="3"/>
  <c r="BE187" i="3"/>
  <c r="AO187" i="3"/>
  <c r="Y187" i="3"/>
  <c r="I187" i="3"/>
  <c r="AX186" i="3"/>
  <c r="AH186" i="3"/>
  <c r="R186" i="3"/>
  <c r="BG185" i="3"/>
  <c r="AQ185" i="3"/>
  <c r="AA185" i="3"/>
  <c r="K185" i="3"/>
  <c r="BD184" i="3"/>
  <c r="AN184" i="3"/>
  <c r="X184" i="3"/>
  <c r="H184" i="3"/>
  <c r="BA183" i="3"/>
  <c r="AK183" i="3"/>
  <c r="U183" i="3"/>
  <c r="BJ182" i="3"/>
  <c r="AT182" i="3"/>
  <c r="AD182" i="3"/>
  <c r="N182" i="3"/>
  <c r="BC181" i="3"/>
  <c r="AM181" i="3"/>
  <c r="W181" i="3"/>
  <c r="G181" i="3"/>
  <c r="AZ180" i="3"/>
  <c r="AJ180" i="3"/>
  <c r="T180" i="3"/>
  <c r="BM179" i="3"/>
  <c r="AW179" i="3"/>
  <c r="AG179" i="3"/>
  <c r="Q179" i="3"/>
  <c r="BF178" i="3"/>
  <c r="AP178" i="3"/>
  <c r="Z178" i="3"/>
  <c r="J178" i="3"/>
  <c r="AY177" i="3"/>
  <c r="AI177" i="3"/>
  <c r="S177" i="3"/>
  <c r="BL176" i="3"/>
  <c r="AV176" i="3"/>
  <c r="AF176" i="3"/>
  <c r="P176" i="3"/>
  <c r="BI175" i="3"/>
  <c r="AS175" i="3"/>
  <c r="AC175" i="3"/>
  <c r="M175" i="3"/>
  <c r="BB174" i="3"/>
  <c r="AL174" i="3"/>
  <c r="V174" i="3"/>
  <c r="BK173" i="3"/>
  <c r="AU173" i="3"/>
  <c r="AE173" i="3"/>
  <c r="O173" i="3"/>
  <c r="BH172" i="3"/>
  <c r="AR172" i="3"/>
  <c r="AB172" i="3"/>
  <c r="L172" i="3"/>
  <c r="BE171" i="3"/>
  <c r="AO171" i="3"/>
  <c r="Y171" i="3"/>
  <c r="I171" i="3"/>
  <c r="AX170" i="3"/>
  <c r="AH170" i="3"/>
  <c r="R170" i="3"/>
  <c r="BG169" i="3"/>
  <c r="AQ169" i="3"/>
  <c r="AA169" i="3"/>
  <c r="K169" i="3"/>
  <c r="BC167" i="3"/>
  <c r="AM167" i="3"/>
  <c r="W167" i="3"/>
  <c r="G167" i="3"/>
  <c r="AZ166" i="3"/>
  <c r="AJ166" i="3"/>
  <c r="T166" i="3"/>
  <c r="BM165" i="3"/>
  <c r="AW165" i="3"/>
  <c r="AG165" i="3"/>
  <c r="Q165" i="3"/>
  <c r="BF164" i="3"/>
  <c r="AP164" i="3"/>
  <c r="Z164" i="3"/>
  <c r="J164" i="3"/>
  <c r="AY163" i="3"/>
  <c r="AI163" i="3"/>
  <c r="S163" i="3"/>
  <c r="BL162" i="3"/>
  <c r="AV162" i="3"/>
  <c r="AF162" i="3"/>
  <c r="P162" i="3"/>
  <c r="BI161" i="3"/>
  <c r="AS161" i="3"/>
  <c r="AC161" i="3"/>
  <c r="M161" i="3"/>
  <c r="BB160" i="3"/>
  <c r="AL160" i="3"/>
  <c r="V160" i="3"/>
  <c r="BK159" i="3"/>
  <c r="AU159" i="3"/>
  <c r="AE159" i="3"/>
  <c r="O159" i="3"/>
  <c r="BH158" i="3"/>
  <c r="AR158" i="3"/>
  <c r="AB158" i="3"/>
  <c r="L158" i="3"/>
  <c r="BE157" i="3"/>
  <c r="AO157" i="3"/>
  <c r="Y157" i="3"/>
  <c r="I157" i="3"/>
  <c r="AX156" i="3"/>
  <c r="AH156" i="3"/>
  <c r="R156" i="3"/>
  <c r="BG155" i="3"/>
  <c r="AQ155" i="3"/>
  <c r="AA155" i="3"/>
  <c r="K155" i="3"/>
  <c r="BD154" i="3"/>
  <c r="AN154" i="3"/>
  <c r="X154" i="3"/>
  <c r="H154" i="3"/>
  <c r="BA153" i="3"/>
  <c r="AK153" i="3"/>
  <c r="U153" i="3"/>
  <c r="BJ152" i="3"/>
  <c r="AT152" i="3"/>
  <c r="AD152" i="3"/>
  <c r="N152" i="3"/>
  <c r="BC151" i="3"/>
  <c r="AM151" i="3"/>
  <c r="W151" i="3"/>
  <c r="G151" i="3"/>
  <c r="AZ150" i="3"/>
  <c r="AJ150" i="3"/>
  <c r="T150" i="3"/>
  <c r="BM149" i="3"/>
  <c r="AW149" i="3"/>
  <c r="AG149" i="3"/>
  <c r="Q149" i="3"/>
  <c r="BF148" i="3"/>
  <c r="AP148" i="3"/>
  <c r="Z148" i="3"/>
  <c r="J148" i="3"/>
  <c r="AY147" i="3"/>
  <c r="AI147" i="3"/>
  <c r="S147" i="3"/>
  <c r="BL146" i="3"/>
  <c r="AV146" i="3"/>
  <c r="AF146" i="3"/>
  <c r="P146" i="3"/>
  <c r="BA145" i="3"/>
  <c r="U145" i="3"/>
  <c r="AP144" i="3"/>
  <c r="P144" i="3"/>
  <c r="BC143" i="3"/>
  <c r="AM143" i="3"/>
  <c r="W143" i="3"/>
  <c r="G143" i="3"/>
  <c r="AZ142" i="3"/>
  <c r="AJ142" i="3"/>
  <c r="T142" i="3"/>
  <c r="BM141" i="3"/>
  <c r="AW141" i="3"/>
  <c r="AG141" i="3"/>
  <c r="Q141" i="3"/>
  <c r="BF140" i="3"/>
  <c r="AP140" i="3"/>
  <c r="Z140" i="3"/>
  <c r="J140" i="3"/>
  <c r="AY139" i="3"/>
  <c r="AI139" i="3"/>
  <c r="S139" i="3"/>
  <c r="BL138" i="3"/>
  <c r="AV138" i="3"/>
  <c r="AF138" i="3"/>
  <c r="P138" i="3"/>
  <c r="BI137" i="3"/>
  <c r="AS137" i="3"/>
  <c r="AC137" i="3"/>
  <c r="M137" i="3"/>
  <c r="BB136" i="3"/>
  <c r="AL136" i="3"/>
  <c r="V136" i="3"/>
  <c r="BK135" i="3"/>
  <c r="AU135" i="3"/>
  <c r="AE135" i="3"/>
  <c r="O135" i="3"/>
  <c r="BH134" i="3"/>
  <c r="AR134" i="3"/>
  <c r="AB134" i="3"/>
  <c r="L134" i="3"/>
  <c r="BE133" i="3"/>
  <c r="AO133" i="3"/>
  <c r="Y133" i="3"/>
  <c r="I133" i="3"/>
  <c r="AX132" i="3"/>
  <c r="AH132" i="3"/>
  <c r="R132" i="3"/>
  <c r="BG131" i="3"/>
  <c r="AQ131" i="3"/>
  <c r="AA131" i="3"/>
  <c r="K131" i="3"/>
  <c r="BD130" i="3"/>
  <c r="AN130" i="3"/>
  <c r="X130" i="3"/>
  <c r="H130" i="3"/>
  <c r="BA129" i="3"/>
  <c r="AK129" i="3"/>
  <c r="U129" i="3"/>
  <c r="BJ128" i="3"/>
  <c r="AT128" i="3"/>
  <c r="AD128" i="3"/>
  <c r="N128" i="3"/>
  <c r="BB126" i="3"/>
  <c r="AL126" i="3"/>
  <c r="V126" i="3"/>
  <c r="BK125" i="3"/>
  <c r="AU125" i="3"/>
  <c r="AE125" i="3"/>
  <c r="O125" i="3"/>
  <c r="BH124" i="3"/>
  <c r="AR124" i="3"/>
  <c r="AB124" i="3"/>
  <c r="L124" i="3"/>
  <c r="BE123" i="3"/>
  <c r="AO123" i="3"/>
  <c r="Y123" i="3"/>
  <c r="I123" i="3"/>
  <c r="AX122" i="3"/>
  <c r="AH122" i="3"/>
  <c r="R122" i="3"/>
  <c r="BG121" i="3"/>
  <c r="AQ121" i="3"/>
  <c r="AA121" i="3"/>
  <c r="K121" i="3"/>
  <c r="BD120" i="3"/>
  <c r="AN120" i="3"/>
  <c r="X120" i="3"/>
  <c r="H120" i="3"/>
  <c r="BA119" i="3"/>
  <c r="AK119" i="3"/>
  <c r="U119" i="3"/>
  <c r="BJ118" i="3"/>
  <c r="AT118" i="3"/>
  <c r="AD118" i="3"/>
  <c r="N118" i="3"/>
  <c r="BC117" i="3"/>
  <c r="AM117" i="3"/>
  <c r="W117" i="3"/>
  <c r="G117" i="3"/>
  <c r="AZ116" i="3"/>
  <c r="AJ116" i="3"/>
  <c r="T116" i="3"/>
  <c r="BM115" i="3"/>
  <c r="AW115" i="3"/>
  <c r="AG115" i="3"/>
  <c r="Q115" i="3"/>
  <c r="BF114" i="3"/>
  <c r="AP114" i="3"/>
  <c r="Z114" i="3"/>
  <c r="J114" i="3"/>
  <c r="AY113" i="3"/>
  <c r="AI113" i="3"/>
  <c r="S113" i="3"/>
  <c r="BL112" i="3"/>
  <c r="AV112" i="3"/>
  <c r="AF112" i="3"/>
  <c r="P112" i="3"/>
  <c r="BI111" i="3"/>
  <c r="AS111" i="3"/>
  <c r="AC111" i="3"/>
  <c r="M111" i="3"/>
  <c r="BB110" i="3"/>
  <c r="AL110" i="3"/>
  <c r="V110" i="3"/>
  <c r="BK109" i="3"/>
  <c r="AU109" i="3"/>
  <c r="AE109" i="3"/>
  <c r="O109" i="3"/>
  <c r="BH108" i="3"/>
  <c r="AR108" i="3"/>
  <c r="AB108" i="3"/>
  <c r="L108" i="3"/>
  <c r="BE107" i="3"/>
  <c r="AO107" i="3"/>
  <c r="Y107" i="3"/>
  <c r="I107" i="3"/>
  <c r="AX106" i="3"/>
  <c r="AH106" i="3"/>
  <c r="R106" i="3"/>
  <c r="BG105" i="3"/>
  <c r="AQ105" i="3"/>
  <c r="AA105" i="3"/>
  <c r="K105" i="3"/>
  <c r="BD104" i="3"/>
  <c r="AN104" i="3"/>
  <c r="X104" i="3"/>
  <c r="H104" i="3"/>
  <c r="BA103" i="3"/>
  <c r="AK103" i="3"/>
  <c r="U103" i="3"/>
  <c r="BJ102" i="3"/>
  <c r="AT102" i="3"/>
  <c r="AD102" i="3"/>
  <c r="N102" i="3"/>
  <c r="BC101" i="3"/>
  <c r="AM101" i="3"/>
  <c r="W101" i="3"/>
  <c r="G101" i="3"/>
  <c r="AZ100" i="3"/>
  <c r="AJ100" i="3"/>
  <c r="T100" i="3"/>
  <c r="BM99" i="3"/>
  <c r="AW99" i="3"/>
  <c r="AG99" i="3"/>
  <c r="Q99" i="3"/>
  <c r="BF98" i="3"/>
  <c r="AP98" i="3"/>
  <c r="Z98" i="3"/>
  <c r="J98" i="3"/>
  <c r="AY97" i="3"/>
  <c r="AI97" i="3"/>
  <c r="S97" i="3"/>
  <c r="BL96" i="3"/>
  <c r="AV96" i="3"/>
  <c r="AF96" i="3"/>
  <c r="P96" i="3"/>
  <c r="BI95" i="3"/>
  <c r="AS95" i="3"/>
  <c r="AC95" i="3"/>
  <c r="M95" i="3"/>
  <c r="BB94" i="3"/>
  <c r="AL94" i="3"/>
  <c r="V94" i="3"/>
  <c r="BK93" i="3"/>
  <c r="AU93" i="3"/>
  <c r="AE93" i="3"/>
  <c r="O93" i="3"/>
  <c r="BH92" i="3"/>
  <c r="AR92" i="3"/>
  <c r="AB92" i="3"/>
  <c r="L92" i="3"/>
  <c r="BE91" i="3"/>
  <c r="AO91" i="3"/>
  <c r="Y91" i="3"/>
  <c r="I91" i="3"/>
  <c r="AX90" i="3"/>
  <c r="AH90" i="3"/>
  <c r="R90" i="3"/>
  <c r="BG89" i="3"/>
  <c r="AQ89" i="3"/>
  <c r="AA89" i="3"/>
  <c r="K89" i="3"/>
  <c r="BD88" i="3"/>
  <c r="AN88" i="3"/>
  <c r="X88" i="3"/>
  <c r="H88" i="3"/>
  <c r="BA87" i="3"/>
  <c r="AK87" i="3"/>
  <c r="U87" i="3"/>
  <c r="BM85" i="3"/>
  <c r="AW85" i="3"/>
  <c r="AG85" i="3"/>
  <c r="Q85" i="3"/>
  <c r="BF84" i="3"/>
  <c r="AP84" i="3"/>
  <c r="Z84" i="3"/>
  <c r="J84" i="3"/>
  <c r="AY83" i="3"/>
  <c r="AI83" i="3"/>
  <c r="S83" i="3"/>
  <c r="BL82" i="3"/>
  <c r="AV82" i="3"/>
  <c r="AF82" i="3"/>
  <c r="P82" i="3"/>
  <c r="BI81" i="3"/>
  <c r="AS81" i="3"/>
  <c r="AC81" i="3"/>
  <c r="M81" i="3"/>
  <c r="BB80" i="3"/>
  <c r="AL80" i="3"/>
  <c r="V80" i="3"/>
  <c r="BK79" i="3"/>
  <c r="AU79" i="3"/>
  <c r="AE79" i="3"/>
  <c r="O79" i="3"/>
  <c r="BH78" i="3"/>
  <c r="AR78" i="3"/>
  <c r="AB78" i="3"/>
  <c r="L78" i="3"/>
  <c r="BE77" i="3"/>
  <c r="AO77" i="3"/>
  <c r="Y77" i="3"/>
  <c r="I77" i="3"/>
  <c r="AX76" i="3"/>
  <c r="AH76" i="3"/>
  <c r="R76" i="3"/>
  <c r="BG75" i="3"/>
  <c r="AQ75" i="3"/>
  <c r="AA75" i="3"/>
  <c r="K75" i="3"/>
  <c r="BD74" i="3"/>
  <c r="AN74" i="3"/>
  <c r="X74" i="3"/>
  <c r="H74" i="3"/>
  <c r="BA73" i="3"/>
  <c r="AK73" i="3"/>
  <c r="U73" i="3"/>
  <c r="BJ72" i="3"/>
  <c r="AT72" i="3"/>
  <c r="AD72" i="3"/>
  <c r="N72" i="3"/>
  <c r="BC71" i="3"/>
  <c r="AM71" i="3"/>
  <c r="W71" i="3"/>
  <c r="G71" i="3"/>
  <c r="AZ70" i="3"/>
  <c r="AJ70" i="3"/>
  <c r="T70" i="3"/>
  <c r="BM69" i="3"/>
  <c r="AW69" i="3"/>
  <c r="AG69" i="3"/>
  <c r="Q69" i="3"/>
  <c r="BF68" i="3"/>
  <c r="AP68" i="3"/>
  <c r="Z68" i="3"/>
  <c r="J68" i="3"/>
  <c r="AY67" i="3"/>
  <c r="AI67" i="3"/>
  <c r="S67" i="3"/>
  <c r="BL66" i="3"/>
  <c r="AV66" i="3"/>
  <c r="AF66" i="3"/>
  <c r="P66" i="3"/>
  <c r="BI65" i="3"/>
  <c r="AS65" i="3"/>
  <c r="AC65" i="3"/>
  <c r="M65" i="3"/>
  <c r="BB64" i="3"/>
  <c r="AL64" i="3"/>
  <c r="V64" i="3"/>
  <c r="BK63" i="3"/>
  <c r="AU63" i="3"/>
  <c r="AE63" i="3"/>
  <c r="O63" i="3"/>
  <c r="BH62" i="3"/>
  <c r="AR62" i="3"/>
  <c r="AB62" i="3"/>
  <c r="L62" i="3"/>
  <c r="BE61" i="3"/>
  <c r="AO61" i="3"/>
  <c r="Y61" i="3"/>
  <c r="I61" i="3"/>
  <c r="AX60" i="3"/>
  <c r="AH60" i="3"/>
  <c r="R60" i="3"/>
  <c r="BG59" i="3"/>
  <c r="AQ59" i="3"/>
  <c r="AA59" i="3"/>
  <c r="K59" i="3"/>
  <c r="BD58" i="3"/>
  <c r="AN58" i="3"/>
  <c r="X58" i="3"/>
  <c r="H58" i="3"/>
  <c r="BA57" i="3"/>
  <c r="AK57" i="3"/>
  <c r="U57" i="3"/>
  <c r="BJ56" i="3"/>
  <c r="AT56" i="3"/>
  <c r="AD56" i="3"/>
  <c r="N56" i="3"/>
  <c r="BC55" i="3"/>
  <c r="AM55" i="3"/>
  <c r="W55" i="3"/>
  <c r="G55" i="3"/>
  <c r="AZ54" i="3"/>
  <c r="AJ54" i="3"/>
  <c r="T54" i="3"/>
  <c r="BM53" i="3"/>
  <c r="AW53" i="3"/>
  <c r="AG53" i="3"/>
  <c r="AX145" i="3"/>
  <c r="R145" i="3"/>
  <c r="AU144" i="3"/>
  <c r="T144" i="3"/>
  <c r="BF143" i="3"/>
  <c r="AP143" i="3"/>
  <c r="Z143" i="3"/>
  <c r="J143" i="3"/>
  <c r="AY142" i="3"/>
  <c r="AI142" i="3"/>
  <c r="S142" i="3"/>
  <c r="BL141" i="3"/>
  <c r="AV141" i="3"/>
  <c r="AF141" i="3"/>
  <c r="P141" i="3"/>
  <c r="BI140" i="3"/>
  <c r="AS140" i="3"/>
  <c r="AC140" i="3"/>
  <c r="M140" i="3"/>
  <c r="BB139" i="3"/>
  <c r="AL139" i="3"/>
  <c r="V139" i="3"/>
  <c r="BK138" i="3"/>
  <c r="AU138" i="3"/>
  <c r="AE138" i="3"/>
  <c r="O138" i="3"/>
  <c r="BH137" i="3"/>
  <c r="AR137" i="3"/>
  <c r="AB137" i="3"/>
  <c r="L137" i="3"/>
  <c r="BE136" i="3"/>
  <c r="AO136" i="3"/>
  <c r="Y136" i="3"/>
  <c r="I136" i="3"/>
  <c r="AX135" i="3"/>
  <c r="AH135" i="3"/>
  <c r="R135" i="3"/>
  <c r="BG134" i="3"/>
  <c r="AQ134" i="3"/>
  <c r="AA134" i="3"/>
  <c r="K134" i="3"/>
  <c r="BD133" i="3"/>
  <c r="AN133" i="3"/>
  <c r="X133" i="3"/>
  <c r="H133" i="3"/>
  <c r="BA132" i="3"/>
  <c r="AK132" i="3"/>
  <c r="U132" i="3"/>
  <c r="BJ131" i="3"/>
  <c r="AT131" i="3"/>
  <c r="AD131" i="3"/>
  <c r="N131" i="3"/>
  <c r="BC130" i="3"/>
  <c r="AM130" i="3"/>
  <c r="W130" i="3"/>
  <c r="G130" i="3"/>
  <c r="AZ129" i="3"/>
  <c r="AJ129" i="3"/>
  <c r="T129" i="3"/>
  <c r="BM128" i="3"/>
  <c r="AW128" i="3"/>
  <c r="AG128" i="3"/>
  <c r="Q128" i="3"/>
  <c r="BI126" i="3"/>
  <c r="AS126" i="3"/>
  <c r="AC126" i="3"/>
  <c r="M126" i="3"/>
  <c r="BB125" i="3"/>
  <c r="AL125" i="3"/>
  <c r="V125" i="3"/>
  <c r="BK124" i="3"/>
  <c r="AU124" i="3"/>
  <c r="AE124" i="3"/>
  <c r="O124" i="3"/>
  <c r="BH123" i="3"/>
  <c r="AR123" i="3"/>
  <c r="AB123" i="3"/>
  <c r="L123" i="3"/>
  <c r="BE122" i="3"/>
  <c r="AO122" i="3"/>
  <c r="Y122" i="3"/>
  <c r="I122" i="3"/>
  <c r="AX121" i="3"/>
  <c r="AH121" i="3"/>
  <c r="R121" i="3"/>
  <c r="BG120" i="3"/>
  <c r="AQ120" i="3"/>
  <c r="AA120" i="3"/>
  <c r="K120" i="3"/>
  <c r="BD119" i="3"/>
  <c r="AN119" i="3"/>
  <c r="X119" i="3"/>
  <c r="H119" i="3"/>
  <c r="BA118" i="3"/>
  <c r="AK118" i="3"/>
  <c r="U118" i="3"/>
  <c r="BJ117" i="3"/>
  <c r="AT117" i="3"/>
  <c r="AD117" i="3"/>
  <c r="N117" i="3"/>
  <c r="BC116" i="3"/>
  <c r="AM116" i="3"/>
  <c r="W116" i="3"/>
  <c r="G116" i="3"/>
  <c r="AZ115" i="3"/>
  <c r="AJ115" i="3"/>
  <c r="T115" i="3"/>
  <c r="BM114" i="3"/>
  <c r="AW114" i="3"/>
  <c r="AG114" i="3"/>
  <c r="Q114" i="3"/>
  <c r="BF113" i="3"/>
  <c r="AP113" i="3"/>
  <c r="Z113" i="3"/>
  <c r="J113" i="3"/>
  <c r="AY112" i="3"/>
  <c r="AI112" i="3"/>
  <c r="S112" i="3"/>
  <c r="BL111" i="3"/>
  <c r="AV111" i="3"/>
  <c r="AF111" i="3"/>
  <c r="P111" i="3"/>
  <c r="BI110" i="3"/>
  <c r="AS110" i="3"/>
  <c r="AC110" i="3"/>
  <c r="M110" i="3"/>
  <c r="BB109" i="3"/>
  <c r="AL109" i="3"/>
  <c r="V109" i="3"/>
  <c r="BK108" i="3"/>
  <c r="AU108" i="3"/>
  <c r="AE108" i="3"/>
  <c r="O108" i="3"/>
  <c r="BH107" i="3"/>
  <c r="AR107" i="3"/>
  <c r="AB107" i="3"/>
  <c r="L107" i="3"/>
  <c r="BE106" i="3"/>
  <c r="AO106" i="3"/>
  <c r="Y106" i="3"/>
  <c r="I106" i="3"/>
  <c r="AX105" i="3"/>
  <c r="AH105" i="3"/>
  <c r="R105" i="3"/>
  <c r="BG104" i="3"/>
  <c r="AQ104" i="3"/>
  <c r="AA104" i="3"/>
  <c r="K104" i="3"/>
  <c r="BD103" i="3"/>
  <c r="AN103" i="3"/>
  <c r="X103" i="3"/>
  <c r="H103" i="3"/>
  <c r="BA102" i="3"/>
  <c r="AK102" i="3"/>
  <c r="U102" i="3"/>
  <c r="BJ101" i="3"/>
  <c r="AT101" i="3"/>
  <c r="AD101" i="3"/>
  <c r="N101" i="3"/>
  <c r="BC100" i="3"/>
  <c r="AM100" i="3"/>
  <c r="W100" i="3"/>
  <c r="G100" i="3"/>
  <c r="AZ99" i="3"/>
  <c r="AJ99" i="3"/>
  <c r="T99" i="3"/>
  <c r="BM98" i="3"/>
  <c r="AW98" i="3"/>
  <c r="AG98" i="3"/>
  <c r="Q98" i="3"/>
  <c r="BF97" i="3"/>
  <c r="AP97" i="3"/>
  <c r="Z97" i="3"/>
  <c r="J97" i="3"/>
  <c r="AY96" i="3"/>
  <c r="AI96" i="3"/>
  <c r="S96" i="3"/>
  <c r="BL95" i="3"/>
  <c r="AV95" i="3"/>
  <c r="AF95" i="3"/>
  <c r="P95" i="3"/>
  <c r="BI94" i="3"/>
  <c r="AS94" i="3"/>
  <c r="AC94" i="3"/>
  <c r="M94" i="3"/>
  <c r="BB93" i="3"/>
  <c r="AL93" i="3"/>
  <c r="V93" i="3"/>
  <c r="BK92" i="3"/>
  <c r="AU92" i="3"/>
  <c r="AE92" i="3"/>
  <c r="O92" i="3"/>
  <c r="BH91" i="3"/>
  <c r="AR91" i="3"/>
  <c r="AB91" i="3"/>
  <c r="L91" i="3"/>
  <c r="BE90" i="3"/>
  <c r="AO90" i="3"/>
  <c r="Y90" i="3"/>
  <c r="I90" i="3"/>
  <c r="AX89" i="3"/>
  <c r="AH89" i="3"/>
  <c r="R89" i="3"/>
  <c r="BG88" i="3"/>
  <c r="AQ88" i="3"/>
  <c r="AA88" i="3"/>
  <c r="K88" i="3"/>
  <c r="BD87" i="3"/>
  <c r="AN87" i="3"/>
  <c r="X87" i="3"/>
  <c r="H87" i="3"/>
  <c r="AZ85" i="3"/>
  <c r="AJ85" i="3"/>
  <c r="T85" i="3"/>
  <c r="BM84" i="3"/>
  <c r="AW84" i="3"/>
  <c r="AG84" i="3"/>
  <c r="Q84" i="3"/>
  <c r="BF83" i="3"/>
  <c r="AP83" i="3"/>
  <c r="Z83" i="3"/>
  <c r="J83" i="3"/>
  <c r="AY82" i="3"/>
  <c r="AI82" i="3"/>
  <c r="S82" i="3"/>
  <c r="BL81" i="3"/>
  <c r="AV81" i="3"/>
  <c r="AF81" i="3"/>
  <c r="P81" i="3"/>
  <c r="BI80" i="3"/>
  <c r="AS80" i="3"/>
  <c r="AC80" i="3"/>
  <c r="M80" i="3"/>
  <c r="BB79" i="3"/>
  <c r="AL79" i="3"/>
  <c r="V79" i="3"/>
  <c r="BK78" i="3"/>
  <c r="AU78" i="3"/>
  <c r="AE78" i="3"/>
  <c r="O78" i="3"/>
  <c r="BH77" i="3"/>
  <c r="AR77" i="3"/>
  <c r="AB77" i="3"/>
  <c r="L77" i="3"/>
  <c r="BE76" i="3"/>
  <c r="AO76" i="3"/>
  <c r="Y76" i="3"/>
  <c r="I76" i="3"/>
  <c r="AX75" i="3"/>
  <c r="AH75" i="3"/>
  <c r="R75" i="3"/>
  <c r="BG74" i="3"/>
  <c r="AQ74" i="3"/>
  <c r="AA74" i="3"/>
  <c r="K74" i="3"/>
  <c r="BD73" i="3"/>
  <c r="AN73" i="3"/>
  <c r="X73" i="3"/>
  <c r="H73" i="3"/>
  <c r="BA72" i="3"/>
  <c r="AK72" i="3"/>
  <c r="U72" i="3"/>
  <c r="BJ71" i="3"/>
  <c r="AT71" i="3"/>
  <c r="AD71" i="3"/>
  <c r="N71" i="3"/>
  <c r="BC70" i="3"/>
  <c r="AM70" i="3"/>
  <c r="W70" i="3"/>
  <c r="G70" i="3"/>
  <c r="AZ69" i="3"/>
  <c r="AJ69" i="3"/>
  <c r="T69" i="3"/>
  <c r="BM68" i="3"/>
  <c r="AW68" i="3"/>
  <c r="AG68" i="3"/>
  <c r="Q68" i="3"/>
  <c r="BF67" i="3"/>
  <c r="AP67" i="3"/>
  <c r="Z67" i="3"/>
  <c r="J67" i="3"/>
  <c r="AY66" i="3"/>
  <c r="AI66" i="3"/>
  <c r="S66" i="3"/>
  <c r="BL65" i="3"/>
  <c r="AV65" i="3"/>
  <c r="AF65" i="3"/>
  <c r="P65" i="3"/>
  <c r="BI64" i="3"/>
  <c r="AS64" i="3"/>
  <c r="AC64" i="3"/>
  <c r="M64" i="3"/>
  <c r="BB63" i="3"/>
  <c r="AL63" i="3"/>
  <c r="V63" i="3"/>
  <c r="BK62" i="3"/>
  <c r="AU62" i="3"/>
  <c r="AE62" i="3"/>
  <c r="O62" i="3"/>
  <c r="BH61" i="3"/>
  <c r="AR61" i="3"/>
  <c r="AB61" i="3"/>
  <c r="L61" i="3"/>
  <c r="BE60" i="3"/>
  <c r="AO60" i="3"/>
  <c r="Y60" i="3"/>
  <c r="I60" i="3"/>
  <c r="AX59" i="3"/>
  <c r="AH59" i="3"/>
  <c r="R59" i="3"/>
  <c r="BG58" i="3"/>
  <c r="AQ58" i="3"/>
  <c r="AA58" i="3"/>
  <c r="K58" i="3"/>
  <c r="BD57" i="3"/>
  <c r="AN57" i="3"/>
  <c r="X57" i="3"/>
  <c r="H57" i="3"/>
  <c r="BA56" i="3"/>
  <c r="AK56" i="3"/>
  <c r="U56" i="3"/>
  <c r="BJ55" i="3"/>
  <c r="AT55" i="3"/>
  <c r="AD55" i="3"/>
  <c r="N55" i="3"/>
  <c r="BC54" i="3"/>
  <c r="AM54" i="3"/>
  <c r="W54" i="3"/>
  <c r="G54" i="3"/>
  <c r="AO145" i="3"/>
  <c r="I145" i="3"/>
  <c r="AL144" i="3"/>
  <c r="N144" i="3"/>
  <c r="BE143" i="3"/>
  <c r="AO143" i="3"/>
  <c r="Y143" i="3"/>
  <c r="I143" i="3"/>
  <c r="AX142" i="3"/>
  <c r="AH142" i="3"/>
  <c r="R142" i="3"/>
  <c r="BG141" i="3"/>
  <c r="AQ141" i="3"/>
  <c r="AA141" i="3"/>
  <c r="K141" i="3"/>
  <c r="BD140" i="3"/>
  <c r="AN140" i="3"/>
  <c r="X140" i="3"/>
  <c r="H140" i="3"/>
  <c r="BA139" i="3"/>
  <c r="AK139" i="3"/>
  <c r="U139" i="3"/>
  <c r="BJ138" i="3"/>
  <c r="AT138" i="3"/>
  <c r="AD138" i="3"/>
  <c r="N138" i="3"/>
  <c r="BC137" i="3"/>
  <c r="AM137" i="3"/>
  <c r="W137" i="3"/>
  <c r="G137" i="3"/>
  <c r="AZ136" i="3"/>
  <c r="AJ136" i="3"/>
  <c r="T136" i="3"/>
  <c r="BM135" i="3"/>
  <c r="AW135" i="3"/>
  <c r="AG135" i="3"/>
  <c r="Q135" i="3"/>
  <c r="BF134" i="3"/>
  <c r="AP134" i="3"/>
  <c r="Z134" i="3"/>
  <c r="J134" i="3"/>
  <c r="AY133" i="3"/>
  <c r="AI133" i="3"/>
  <c r="S133" i="3"/>
  <c r="BL132" i="3"/>
  <c r="AV132" i="3"/>
  <c r="AF132" i="3"/>
  <c r="P132" i="3"/>
  <c r="BI131" i="3"/>
  <c r="AS131" i="3"/>
  <c r="AC131" i="3"/>
  <c r="M131" i="3"/>
  <c r="BB130" i="3"/>
  <c r="AL130" i="3"/>
  <c r="V130" i="3"/>
  <c r="BK129" i="3"/>
  <c r="AU129" i="3"/>
  <c r="AE129" i="3"/>
  <c r="O129" i="3"/>
  <c r="BH128" i="3"/>
  <c r="AR128" i="3"/>
  <c r="AB128" i="3"/>
  <c r="L128" i="3"/>
  <c r="BD126" i="3"/>
  <c r="AN126" i="3"/>
  <c r="X126" i="3"/>
  <c r="H126" i="3"/>
  <c r="BA125" i="3"/>
  <c r="AK125" i="3"/>
  <c r="U125" i="3"/>
  <c r="BJ124" i="3"/>
  <c r="AT124" i="3"/>
  <c r="AD124" i="3"/>
  <c r="N124" i="3"/>
  <c r="BC123" i="3"/>
  <c r="AM123" i="3"/>
  <c r="W123" i="3"/>
  <c r="G123" i="3"/>
  <c r="AZ122" i="3"/>
  <c r="AJ122" i="3"/>
  <c r="T122" i="3"/>
  <c r="BM121" i="3"/>
  <c r="AW121" i="3"/>
  <c r="AG121" i="3"/>
  <c r="Q121" i="3"/>
  <c r="BF120" i="3"/>
  <c r="AP120" i="3"/>
  <c r="Z120" i="3"/>
  <c r="J120" i="3"/>
  <c r="AY119" i="3"/>
  <c r="AI119" i="3"/>
  <c r="S119" i="3"/>
  <c r="BL118" i="3"/>
  <c r="AV118" i="3"/>
  <c r="AF118" i="3"/>
  <c r="P118" i="3"/>
  <c r="BI117" i="3"/>
  <c r="AS117" i="3"/>
  <c r="AC117" i="3"/>
  <c r="M117" i="3"/>
  <c r="BB116" i="3"/>
  <c r="AL116" i="3"/>
  <c r="V116" i="3"/>
  <c r="BK115" i="3"/>
  <c r="AU115" i="3"/>
  <c r="AE115" i="3"/>
  <c r="O115" i="3"/>
  <c r="BH114" i="3"/>
  <c r="AR114" i="3"/>
  <c r="AB114" i="3"/>
  <c r="BB661" i="3"/>
  <c r="AL661" i="3"/>
  <c r="V661" i="3"/>
  <c r="BK660" i="3"/>
  <c r="AU660" i="3"/>
  <c r="AE660" i="3"/>
  <c r="O660" i="3"/>
  <c r="BH659" i="3"/>
  <c r="AR659" i="3"/>
  <c r="AB659" i="3"/>
  <c r="L659" i="3"/>
  <c r="BE658" i="3"/>
  <c r="AO658" i="3"/>
  <c r="Y658" i="3"/>
  <c r="I658" i="3"/>
  <c r="AX657" i="3"/>
  <c r="AH657" i="3"/>
  <c r="R657" i="3"/>
  <c r="BG656" i="3"/>
  <c r="AQ656" i="3"/>
  <c r="AA656" i="3"/>
  <c r="K656" i="3"/>
  <c r="BD655" i="3"/>
  <c r="AN655" i="3"/>
  <c r="X655" i="3"/>
  <c r="H655" i="3"/>
  <c r="BA654" i="3"/>
  <c r="AK654" i="3"/>
  <c r="U654" i="3"/>
  <c r="BJ653" i="3"/>
  <c r="AT653" i="3"/>
  <c r="AD653" i="3"/>
  <c r="N653" i="3"/>
  <c r="BC652" i="3"/>
  <c r="AM652" i="3"/>
  <c r="W652" i="3"/>
  <c r="G652" i="3"/>
  <c r="AZ651" i="3"/>
  <c r="AJ651" i="3"/>
  <c r="T651" i="3"/>
  <c r="BM650" i="3"/>
  <c r="AW650" i="3"/>
  <c r="AG650" i="3"/>
  <c r="Q650" i="3"/>
  <c r="BF649" i="3"/>
  <c r="BH661" i="3"/>
  <c r="AM661" i="3"/>
  <c r="Q661" i="3"/>
  <c r="BE660" i="3"/>
  <c r="AJ660" i="3"/>
  <c r="N660" i="3"/>
  <c r="BB659" i="3"/>
  <c r="AG659" i="3"/>
  <c r="K659" i="3"/>
  <c r="AT658" i="3"/>
  <c r="X658" i="3"/>
  <c r="BM657" i="3"/>
  <c r="AR657" i="3"/>
  <c r="W657" i="3"/>
  <c r="BJ656" i="3"/>
  <c r="AO656" i="3"/>
  <c r="T656" i="3"/>
  <c r="BG655" i="3"/>
  <c r="AL655" i="3"/>
  <c r="Q655" i="3"/>
  <c r="AY654" i="3"/>
  <c r="AD654" i="3"/>
  <c r="H654" i="3"/>
  <c r="AW653" i="3"/>
  <c r="AB653" i="3"/>
  <c r="G653" i="3"/>
  <c r="AT652" i="3"/>
  <c r="Y652" i="3"/>
  <c r="BM651" i="3"/>
  <c r="AQ651" i="3"/>
  <c r="V651" i="3"/>
  <c r="BD650" i="3"/>
  <c r="AI650" i="3"/>
  <c r="N650" i="3"/>
  <c r="BC649" i="3"/>
  <c r="AK649" i="3"/>
  <c r="U649" i="3"/>
  <c r="BJ648" i="3"/>
  <c r="AT648" i="3"/>
  <c r="AD648" i="3"/>
  <c r="N648" i="3"/>
  <c r="BC647" i="3"/>
  <c r="AM647" i="3"/>
  <c r="W647" i="3"/>
  <c r="G647" i="3"/>
  <c r="AZ646" i="3"/>
  <c r="AJ646" i="3"/>
  <c r="T646" i="3"/>
  <c r="BL661" i="3"/>
  <c r="AQ661" i="3"/>
  <c r="U661" i="3"/>
  <c r="BD660" i="3"/>
  <c r="AH660" i="3"/>
  <c r="M660" i="3"/>
  <c r="BA659" i="3"/>
  <c r="AE659" i="3"/>
  <c r="J659" i="3"/>
  <c r="AR658" i="3"/>
  <c r="W658" i="3"/>
  <c r="BL657" i="3"/>
  <c r="AQ657" i="3"/>
  <c r="U657" i="3"/>
  <c r="BD656" i="3"/>
  <c r="AH656" i="3"/>
  <c r="M656" i="3"/>
  <c r="BA655" i="3"/>
  <c r="AE655" i="3"/>
  <c r="J655" i="3"/>
  <c r="AR654" i="3"/>
  <c r="W654" i="3"/>
  <c r="BL653" i="3"/>
  <c r="AQ653" i="3"/>
  <c r="U653" i="3"/>
  <c r="BD652" i="3"/>
  <c r="AH652" i="3"/>
  <c r="M652" i="3"/>
  <c r="BA651" i="3"/>
  <c r="AE651" i="3"/>
  <c r="J651" i="3"/>
  <c r="AR650" i="3"/>
  <c r="W650" i="3"/>
  <c r="BL649" i="3"/>
  <c r="AR649" i="3"/>
  <c r="AB649" i="3"/>
  <c r="L649" i="3"/>
  <c r="BE648" i="3"/>
  <c r="AO648" i="3"/>
  <c r="Y648" i="3"/>
  <c r="I648" i="3"/>
  <c r="AX647" i="3"/>
  <c r="AH647" i="3"/>
  <c r="R647" i="3"/>
  <c r="BG646" i="3"/>
  <c r="AQ646" i="3"/>
  <c r="AA646" i="3"/>
  <c r="K646" i="3"/>
  <c r="BD645" i="3"/>
  <c r="AN645" i="3"/>
  <c r="X645" i="3"/>
  <c r="H645" i="3"/>
  <c r="AU661" i="3"/>
  <c r="Y661" i="3"/>
  <c r="BM660" i="3"/>
  <c r="AR660" i="3"/>
  <c r="V660" i="3"/>
  <c r="BE659" i="3"/>
  <c r="AI659" i="3"/>
  <c r="N659" i="3"/>
  <c r="BB658" i="3"/>
  <c r="AF658" i="3"/>
  <c r="K658" i="3"/>
  <c r="AU657" i="3"/>
  <c r="Y657" i="3"/>
  <c r="BM656" i="3"/>
  <c r="AR656" i="3"/>
  <c r="V656" i="3"/>
  <c r="BI661" i="3"/>
  <c r="AN661" i="3"/>
  <c r="S661" i="3"/>
  <c r="BF660" i="3"/>
  <c r="AK660" i="3"/>
  <c r="P660" i="3"/>
  <c r="AX659" i="3"/>
  <c r="AC659" i="3"/>
  <c r="G659" i="3"/>
  <c r="AU658" i="3"/>
  <c r="Z658" i="3"/>
  <c r="BI657" i="3"/>
  <c r="AN657" i="3"/>
  <c r="S657" i="3"/>
  <c r="BF656" i="3"/>
  <c r="AK656" i="3"/>
  <c r="P656" i="3"/>
  <c r="AX655" i="3"/>
  <c r="AC655" i="3"/>
  <c r="G655" i="3"/>
  <c r="AU654" i="3"/>
  <c r="Z654" i="3"/>
  <c r="BI653" i="3"/>
  <c r="AN653" i="3"/>
  <c r="S653" i="3"/>
  <c r="BF652" i="3"/>
  <c r="AK652" i="3"/>
  <c r="P652" i="3"/>
  <c r="AX651" i="3"/>
  <c r="AC651" i="3"/>
  <c r="G651" i="3"/>
  <c r="AU650" i="3"/>
  <c r="Z650" i="3"/>
  <c r="BI649" i="3"/>
  <c r="AP649" i="3"/>
  <c r="Z649" i="3"/>
  <c r="J649" i="3"/>
  <c r="AY648" i="3"/>
  <c r="AI648" i="3"/>
  <c r="S648" i="3"/>
  <c r="BL647" i="3"/>
  <c r="AV647" i="3"/>
  <c r="AF647" i="3"/>
  <c r="P647" i="3"/>
  <c r="BI646" i="3"/>
  <c r="AS646" i="3"/>
  <c r="AC646" i="3"/>
  <c r="M646" i="3"/>
  <c r="BB645" i="3"/>
  <c r="AL645" i="3"/>
  <c r="V645" i="3"/>
  <c r="BK644" i="3"/>
  <c r="AU644" i="3"/>
  <c r="AE644" i="3"/>
  <c r="O644" i="3"/>
  <c r="BH643" i="3"/>
  <c r="AR643" i="3"/>
  <c r="AB643" i="3"/>
  <c r="L643" i="3"/>
  <c r="BE642" i="3"/>
  <c r="AO642" i="3"/>
  <c r="Y642" i="3"/>
  <c r="I642" i="3"/>
  <c r="AX641" i="3"/>
  <c r="AH641" i="3"/>
  <c r="R641" i="3"/>
  <c r="BG640" i="3"/>
  <c r="AQ640" i="3"/>
  <c r="AA640" i="3"/>
  <c r="K640" i="3"/>
  <c r="BD639" i="3"/>
  <c r="AN639" i="3"/>
  <c r="X639" i="3"/>
  <c r="H639" i="3"/>
  <c r="BA638" i="3"/>
  <c r="AK638" i="3"/>
  <c r="U638" i="3"/>
  <c r="BJ637" i="3"/>
  <c r="AT637" i="3"/>
  <c r="AD637" i="3"/>
  <c r="N637" i="3"/>
  <c r="BC636" i="3"/>
  <c r="AM636" i="3"/>
  <c r="W636" i="3"/>
  <c r="G636" i="3"/>
  <c r="BG654" i="3"/>
  <c r="AO653" i="3"/>
  <c r="V652" i="3"/>
  <c r="AA650" i="3"/>
  <c r="AZ648" i="3"/>
  <c r="AK647" i="3"/>
  <c r="R646" i="3"/>
  <c r="AI645" i="3"/>
  <c r="BM644" i="3"/>
  <c r="AR644" i="3"/>
  <c r="V644" i="3"/>
  <c r="BE643" i="3"/>
  <c r="AI643" i="3"/>
  <c r="N643" i="3"/>
  <c r="BB642" i="3"/>
  <c r="AF642" i="3"/>
  <c r="K642" i="3"/>
  <c r="AU641" i="3"/>
  <c r="Y641" i="3"/>
  <c r="BM640" i="3"/>
  <c r="AR640" i="3"/>
  <c r="V640" i="3"/>
  <c r="BE639" i="3"/>
  <c r="AI639" i="3"/>
  <c r="N639" i="3"/>
  <c r="BB638" i="3"/>
  <c r="AF638" i="3"/>
  <c r="K638" i="3"/>
  <c r="AU637" i="3"/>
  <c r="Y637" i="3"/>
  <c r="BM636" i="3"/>
  <c r="AR636" i="3"/>
  <c r="V636" i="3"/>
  <c r="BG635" i="3"/>
  <c r="AQ635" i="3"/>
  <c r="AA635" i="3"/>
  <c r="K635" i="3"/>
  <c r="BD634" i="3"/>
  <c r="AN634" i="3"/>
  <c r="X634" i="3"/>
  <c r="H634" i="3"/>
  <c r="BA633" i="3"/>
  <c r="AK633" i="3"/>
  <c r="U633" i="3"/>
  <c r="BJ632" i="3"/>
  <c r="AT632" i="3"/>
  <c r="AD632" i="3"/>
  <c r="N632" i="3"/>
  <c r="BC631" i="3"/>
  <c r="AM631" i="3"/>
  <c r="W631" i="3"/>
  <c r="G631" i="3"/>
  <c r="AZ630" i="3"/>
  <c r="AJ630" i="3"/>
  <c r="T630" i="3"/>
  <c r="BM629" i="3"/>
  <c r="AW629" i="3"/>
  <c r="AG629" i="3"/>
  <c r="Q629" i="3"/>
  <c r="BF628" i="3"/>
  <c r="AP628" i="3"/>
  <c r="Z628" i="3"/>
  <c r="J628" i="3"/>
  <c r="AY627" i="3"/>
  <c r="AI627" i="3"/>
  <c r="S627" i="3"/>
  <c r="BL626" i="3"/>
  <c r="AV626" i="3"/>
  <c r="AF626" i="3"/>
  <c r="P626" i="3"/>
  <c r="BI625" i="3"/>
  <c r="AS625" i="3"/>
  <c r="AC625" i="3"/>
  <c r="M625" i="3"/>
  <c r="BB624" i="3"/>
  <c r="AL624" i="3"/>
  <c r="V624" i="3"/>
  <c r="BK623" i="3"/>
  <c r="AU623" i="3"/>
  <c r="AE623" i="3"/>
  <c r="O623" i="3"/>
  <c r="BH622" i="3"/>
  <c r="AR622" i="3"/>
  <c r="AB622" i="3"/>
  <c r="L622" i="3"/>
  <c r="I655" i="3"/>
  <c r="BE653" i="3"/>
  <c r="AL652" i="3"/>
  <c r="S651" i="3"/>
  <c r="AU649" i="3"/>
  <c r="AV648" i="3"/>
  <c r="AW647" i="3"/>
  <c r="AT646" i="3"/>
  <c r="BE645" i="3"/>
  <c r="Y645" i="3"/>
  <c r="BF644" i="3"/>
  <c r="AK644" i="3"/>
  <c r="P644" i="3"/>
  <c r="AX643" i="3"/>
  <c r="AC643" i="3"/>
  <c r="G643" i="3"/>
  <c r="AU642" i="3"/>
  <c r="Z642" i="3"/>
  <c r="BI641" i="3"/>
  <c r="AN641" i="3"/>
  <c r="S641" i="3"/>
  <c r="BF640" i="3"/>
  <c r="AK640" i="3"/>
  <c r="P640" i="3"/>
  <c r="AX639" i="3"/>
  <c r="AC639" i="3"/>
  <c r="G639" i="3"/>
  <c r="AU638" i="3"/>
  <c r="Z638" i="3"/>
  <c r="BI637" i="3"/>
  <c r="AN637" i="3"/>
  <c r="S637" i="3"/>
  <c r="BF636" i="3"/>
  <c r="AK636" i="3"/>
  <c r="P636" i="3"/>
  <c r="BB635" i="3"/>
  <c r="AL635" i="3"/>
  <c r="V635" i="3"/>
  <c r="BK634" i="3"/>
  <c r="AU634" i="3"/>
  <c r="AE634" i="3"/>
  <c r="O634" i="3"/>
  <c r="BH633" i="3"/>
  <c r="AR633" i="3"/>
  <c r="AB633" i="3"/>
  <c r="L633" i="3"/>
  <c r="BE632" i="3"/>
  <c r="AO632" i="3"/>
  <c r="Y632" i="3"/>
  <c r="I632" i="3"/>
  <c r="AX631" i="3"/>
  <c r="AH631" i="3"/>
  <c r="R631" i="3"/>
  <c r="BG630" i="3"/>
  <c r="AQ630" i="3"/>
  <c r="AA630" i="3"/>
  <c r="K630" i="3"/>
  <c r="BD629" i="3"/>
  <c r="AN629" i="3"/>
  <c r="X629" i="3"/>
  <c r="H629" i="3"/>
  <c r="BA628" i="3"/>
  <c r="AK628" i="3"/>
  <c r="U628" i="3"/>
  <c r="BJ627" i="3"/>
  <c r="AT627" i="3"/>
  <c r="AD627" i="3"/>
  <c r="N627" i="3"/>
  <c r="BC626" i="3"/>
  <c r="AM626" i="3"/>
  <c r="W626" i="3"/>
  <c r="G626" i="3"/>
  <c r="AZ625" i="3"/>
  <c r="AJ625" i="3"/>
  <c r="T625" i="3"/>
  <c r="BM624" i="3"/>
  <c r="AW624" i="3"/>
  <c r="AG624" i="3"/>
  <c r="Q624" i="3"/>
  <c r="BF623" i="3"/>
  <c r="AP623" i="3"/>
  <c r="Z623" i="3"/>
  <c r="J623" i="3"/>
  <c r="AY622" i="3"/>
  <c r="Y655" i="3"/>
  <c r="AE653" i="3"/>
  <c r="L652" i="3"/>
  <c r="BG650" i="3"/>
  <c r="AQ649" i="3"/>
  <c r="AR648" i="3"/>
  <c r="AS647" i="3"/>
  <c r="AP646" i="3"/>
  <c r="BC645" i="3"/>
  <c r="W645" i="3"/>
  <c r="BE644" i="3"/>
  <c r="AJ644" i="3"/>
  <c r="N644" i="3"/>
  <c r="BB643" i="3"/>
  <c r="AG643" i="3"/>
  <c r="K643" i="3"/>
  <c r="AT642" i="3"/>
  <c r="X642" i="3"/>
  <c r="BM641" i="3"/>
  <c r="AR641" i="3"/>
  <c r="W641" i="3"/>
  <c r="BJ640" i="3"/>
  <c r="AO640" i="3"/>
  <c r="T640" i="3"/>
  <c r="BG639" i="3"/>
  <c r="AL639" i="3"/>
  <c r="Q639" i="3"/>
  <c r="AY638" i="3"/>
  <c r="AD638" i="3"/>
  <c r="H638" i="3"/>
  <c r="AW637" i="3"/>
  <c r="AB637" i="3"/>
  <c r="G637" i="3"/>
  <c r="AT636" i="3"/>
  <c r="Y636" i="3"/>
  <c r="BM635" i="3"/>
  <c r="AW635" i="3"/>
  <c r="AG635" i="3"/>
  <c r="Q635" i="3"/>
  <c r="BF634" i="3"/>
  <c r="AP634" i="3"/>
  <c r="Z634" i="3"/>
  <c r="J634" i="3"/>
  <c r="AY633" i="3"/>
  <c r="AI633" i="3"/>
  <c r="S633" i="3"/>
  <c r="BL632" i="3"/>
  <c r="AV632" i="3"/>
  <c r="AF632" i="3"/>
  <c r="P632" i="3"/>
  <c r="BI631" i="3"/>
  <c r="AS631" i="3"/>
  <c r="AC631" i="3"/>
  <c r="M631" i="3"/>
  <c r="BB630" i="3"/>
  <c r="AL630" i="3"/>
  <c r="V630" i="3"/>
  <c r="BK629" i="3"/>
  <c r="AU629" i="3"/>
  <c r="AE629" i="3"/>
  <c r="O629" i="3"/>
  <c r="BH628" i="3"/>
  <c r="AR628" i="3"/>
  <c r="AB628" i="3"/>
  <c r="L628" i="3"/>
  <c r="BE627" i="3"/>
  <c r="AO627" i="3"/>
  <c r="Y627" i="3"/>
  <c r="I627" i="3"/>
  <c r="AX626" i="3"/>
  <c r="AH626" i="3"/>
  <c r="R626" i="3"/>
  <c r="BG625" i="3"/>
  <c r="AQ625" i="3"/>
  <c r="AA625" i="3"/>
  <c r="K625" i="3"/>
  <c r="BD624" i="3"/>
  <c r="AN624" i="3"/>
  <c r="X624" i="3"/>
  <c r="H624" i="3"/>
  <c r="BA623" i="3"/>
  <c r="AK623" i="3"/>
  <c r="U623" i="3"/>
  <c r="AO655" i="3"/>
  <c r="V654" i="3"/>
  <c r="AB652" i="3"/>
  <c r="BB650" i="3"/>
  <c r="AM649" i="3"/>
  <c r="AN648" i="3"/>
  <c r="AO647" i="3"/>
  <c r="AL646" i="3"/>
  <c r="AS645" i="3"/>
  <c r="M645" i="3"/>
  <c r="AS644" i="3"/>
  <c r="X644" i="3"/>
  <c r="BK643" i="3"/>
  <c r="AP643" i="3"/>
  <c r="U643" i="3"/>
  <c r="BC642" i="3"/>
  <c r="AH642" i="3"/>
  <c r="L642" i="3"/>
  <c r="BA641" i="3"/>
  <c r="AF641" i="3"/>
  <c r="K641" i="3"/>
  <c r="AS640" i="3"/>
  <c r="X640" i="3"/>
  <c r="BK639" i="3"/>
  <c r="AP639" i="3"/>
  <c r="U639" i="3"/>
  <c r="BC638" i="3"/>
  <c r="AH638" i="3"/>
  <c r="L638" i="3"/>
  <c r="BA637" i="3"/>
  <c r="AF637" i="3"/>
  <c r="K637" i="3"/>
  <c r="AS636" i="3"/>
  <c r="X636" i="3"/>
  <c r="BL635" i="3"/>
  <c r="AV635" i="3"/>
  <c r="AF635" i="3"/>
  <c r="P635" i="3"/>
  <c r="BI634" i="3"/>
  <c r="AS634" i="3"/>
  <c r="AC634" i="3"/>
  <c r="M634" i="3"/>
  <c r="BB633" i="3"/>
  <c r="AL633" i="3"/>
  <c r="V633" i="3"/>
  <c r="BK632" i="3"/>
  <c r="AU632" i="3"/>
  <c r="AE632" i="3"/>
  <c r="O632" i="3"/>
  <c r="BH631" i="3"/>
  <c r="AR631" i="3"/>
  <c r="AB631" i="3"/>
  <c r="L631" i="3"/>
  <c r="BE630" i="3"/>
  <c r="AO630" i="3"/>
  <c r="Y630" i="3"/>
  <c r="I630" i="3"/>
  <c r="AX629" i="3"/>
  <c r="AH629" i="3"/>
  <c r="R629" i="3"/>
  <c r="BG628" i="3"/>
  <c r="AQ628" i="3"/>
  <c r="AA628" i="3"/>
  <c r="K628" i="3"/>
  <c r="BD627" i="3"/>
  <c r="AN627" i="3"/>
  <c r="X627" i="3"/>
  <c r="H627" i="3"/>
  <c r="BA626" i="3"/>
  <c r="AK626" i="3"/>
  <c r="U626" i="3"/>
  <c r="BJ625" i="3"/>
  <c r="AT625" i="3"/>
  <c r="AD625" i="3"/>
  <c r="N625" i="3"/>
  <c r="BC624" i="3"/>
  <c r="AM624" i="3"/>
  <c r="W624" i="3"/>
  <c r="G624" i="3"/>
  <c r="AZ623" i="3"/>
  <c r="AJ623" i="3"/>
  <c r="T623" i="3"/>
  <c r="BF622" i="3"/>
  <c r="AE622" i="3"/>
  <c r="J622" i="3"/>
  <c r="BA620" i="3"/>
  <c r="AK620" i="3"/>
  <c r="U620" i="3"/>
  <c r="BJ619" i="3"/>
  <c r="AT619" i="3"/>
  <c r="AD619" i="3"/>
  <c r="N619" i="3"/>
  <c r="BC618" i="3"/>
  <c r="AM618" i="3"/>
  <c r="W618" i="3"/>
  <c r="G618" i="3"/>
  <c r="AZ617" i="3"/>
  <c r="AJ617" i="3"/>
  <c r="T617" i="3"/>
  <c r="BM616" i="3"/>
  <c r="AW616" i="3"/>
  <c r="AG616" i="3"/>
  <c r="Q616" i="3"/>
  <c r="BF615" i="3"/>
  <c r="AP615" i="3"/>
  <c r="Z615" i="3"/>
  <c r="J615" i="3"/>
  <c r="AY614" i="3"/>
  <c r="AI614" i="3"/>
  <c r="S614" i="3"/>
  <c r="BL613" i="3"/>
  <c r="AV613" i="3"/>
  <c r="AF613" i="3"/>
  <c r="P613" i="3"/>
  <c r="BI612" i="3"/>
  <c r="AS612" i="3"/>
  <c r="AC612" i="3"/>
  <c r="M612" i="3"/>
  <c r="BB611" i="3"/>
  <c r="AL611" i="3"/>
  <c r="V611" i="3"/>
  <c r="BK610" i="3"/>
  <c r="AU610" i="3"/>
  <c r="AE610" i="3"/>
  <c r="O610" i="3"/>
  <c r="BH609" i="3"/>
  <c r="AR609" i="3"/>
  <c r="AB609" i="3"/>
  <c r="L609" i="3"/>
  <c r="BE608" i="3"/>
  <c r="AO608" i="3"/>
  <c r="Y608" i="3"/>
  <c r="I608" i="3"/>
  <c r="AX607" i="3"/>
  <c r="AH607" i="3"/>
  <c r="R607" i="3"/>
  <c r="BG606" i="3"/>
  <c r="AQ606" i="3"/>
  <c r="AA606" i="3"/>
  <c r="K606" i="3"/>
  <c r="BD605" i="3"/>
  <c r="AN605" i="3"/>
  <c r="X605" i="3"/>
  <c r="H605" i="3"/>
  <c r="BA604" i="3"/>
  <c r="AK604" i="3"/>
  <c r="U604" i="3"/>
  <c r="BJ603" i="3"/>
  <c r="AT603" i="3"/>
  <c r="AD603" i="3"/>
  <c r="N603" i="3"/>
  <c r="BC602" i="3"/>
  <c r="AM602" i="3"/>
  <c r="W602" i="3"/>
  <c r="G602" i="3"/>
  <c r="AZ601" i="3"/>
  <c r="AJ601" i="3"/>
  <c r="T601" i="3"/>
  <c r="BM600" i="3"/>
  <c r="AW600" i="3"/>
  <c r="AG600" i="3"/>
  <c r="Q600" i="3"/>
  <c r="BF599" i="3"/>
  <c r="AP599" i="3"/>
  <c r="Z599" i="3"/>
  <c r="J599" i="3"/>
  <c r="AO622" i="3"/>
  <c r="S622" i="3"/>
  <c r="BH620" i="3"/>
  <c r="AR620" i="3"/>
  <c r="AB620" i="3"/>
  <c r="L620" i="3"/>
  <c r="BE619" i="3"/>
  <c r="AO619" i="3"/>
  <c r="Y619" i="3"/>
  <c r="I619" i="3"/>
  <c r="AX618" i="3"/>
  <c r="AH618" i="3"/>
  <c r="R618" i="3"/>
  <c r="BG617" i="3"/>
  <c r="AQ617" i="3"/>
  <c r="AA617" i="3"/>
  <c r="K617" i="3"/>
  <c r="BD616" i="3"/>
  <c r="AN616" i="3"/>
  <c r="X616" i="3"/>
  <c r="H616" i="3"/>
  <c r="BA615" i="3"/>
  <c r="AK615" i="3"/>
  <c r="U615" i="3"/>
  <c r="BJ614" i="3"/>
  <c r="AT614" i="3"/>
  <c r="AD614" i="3"/>
  <c r="N614" i="3"/>
  <c r="BC613" i="3"/>
  <c r="AM613" i="3"/>
  <c r="W613" i="3"/>
  <c r="G613" i="3"/>
  <c r="AZ612" i="3"/>
  <c r="AJ612" i="3"/>
  <c r="T612" i="3"/>
  <c r="BM611" i="3"/>
  <c r="AW611" i="3"/>
  <c r="AG611" i="3"/>
  <c r="Q611" i="3"/>
  <c r="BF610" i="3"/>
  <c r="AP610" i="3"/>
  <c r="Z610" i="3"/>
  <c r="J610" i="3"/>
  <c r="AY609" i="3"/>
  <c r="AI609" i="3"/>
  <c r="S609" i="3"/>
  <c r="BL608" i="3"/>
  <c r="AV608" i="3"/>
  <c r="AF608" i="3"/>
  <c r="P608" i="3"/>
  <c r="BI607" i="3"/>
  <c r="AS607" i="3"/>
  <c r="AC607" i="3"/>
  <c r="M607" i="3"/>
  <c r="BB606" i="3"/>
  <c r="AL606" i="3"/>
  <c r="V606" i="3"/>
  <c r="BK605" i="3"/>
  <c r="AU605" i="3"/>
  <c r="AE605" i="3"/>
  <c r="O605" i="3"/>
  <c r="BH604" i="3"/>
  <c r="AR604" i="3"/>
  <c r="AB604" i="3"/>
  <c r="L604" i="3"/>
  <c r="BE603" i="3"/>
  <c r="AO603" i="3"/>
  <c r="Y603" i="3"/>
  <c r="I603" i="3"/>
  <c r="AX602" i="3"/>
  <c r="AH602" i="3"/>
  <c r="R602" i="3"/>
  <c r="BG601" i="3"/>
  <c r="AQ601" i="3"/>
  <c r="AA601" i="3"/>
  <c r="K601" i="3"/>
  <c r="BD600" i="3"/>
  <c r="AN600" i="3"/>
  <c r="X600" i="3"/>
  <c r="H600" i="3"/>
  <c r="BA599" i="3"/>
  <c r="AK599" i="3"/>
  <c r="AT622" i="3"/>
  <c r="W622" i="3"/>
  <c r="BK620" i="3"/>
  <c r="AU620" i="3"/>
  <c r="AE620" i="3"/>
  <c r="O620" i="3"/>
  <c r="BH619" i="3"/>
  <c r="AR619" i="3"/>
  <c r="AB619" i="3"/>
  <c r="L619" i="3"/>
  <c r="BE618" i="3"/>
  <c r="AO618" i="3"/>
  <c r="Y618" i="3"/>
  <c r="I618" i="3"/>
  <c r="AX617" i="3"/>
  <c r="AH617" i="3"/>
  <c r="R617" i="3"/>
  <c r="BG616" i="3"/>
  <c r="AQ616" i="3"/>
  <c r="AA616" i="3"/>
  <c r="K616" i="3"/>
  <c r="BD615" i="3"/>
  <c r="AN615" i="3"/>
  <c r="X615" i="3"/>
  <c r="H615" i="3"/>
  <c r="BA614" i="3"/>
  <c r="AK614" i="3"/>
  <c r="U614" i="3"/>
  <c r="BJ613" i="3"/>
  <c r="AT613" i="3"/>
  <c r="AD613" i="3"/>
  <c r="N613" i="3"/>
  <c r="BC612" i="3"/>
  <c r="AM612" i="3"/>
  <c r="W612" i="3"/>
  <c r="G612" i="3"/>
  <c r="AZ611" i="3"/>
  <c r="AJ611" i="3"/>
  <c r="T611" i="3"/>
  <c r="BM610" i="3"/>
  <c r="AW610" i="3"/>
  <c r="AG610" i="3"/>
  <c r="Q610" i="3"/>
  <c r="BF609" i="3"/>
  <c r="AP609" i="3"/>
  <c r="Z609" i="3"/>
  <c r="J609" i="3"/>
  <c r="AY608" i="3"/>
  <c r="AI608" i="3"/>
  <c r="S608" i="3"/>
  <c r="BL607" i="3"/>
  <c r="AV607" i="3"/>
  <c r="AF607" i="3"/>
  <c r="P607" i="3"/>
  <c r="BI606" i="3"/>
  <c r="AS606" i="3"/>
  <c r="AC606" i="3"/>
  <c r="M606" i="3"/>
  <c r="BB605" i="3"/>
  <c r="AL605" i="3"/>
  <c r="V605" i="3"/>
  <c r="BK604" i="3"/>
  <c r="AU604" i="3"/>
  <c r="AE604" i="3"/>
  <c r="O604" i="3"/>
  <c r="BH603" i="3"/>
  <c r="AR603" i="3"/>
  <c r="AB603" i="3"/>
  <c r="L603" i="3"/>
  <c r="BE602" i="3"/>
  <c r="AO602" i="3"/>
  <c r="Y602" i="3"/>
  <c r="I602" i="3"/>
  <c r="AX601" i="3"/>
  <c r="AH601" i="3"/>
  <c r="R601" i="3"/>
  <c r="BG600" i="3"/>
  <c r="AQ600" i="3"/>
  <c r="AA600" i="3"/>
  <c r="K600" i="3"/>
  <c r="BA622" i="3"/>
  <c r="AA622" i="3"/>
  <c r="BJ620" i="3"/>
  <c r="AT620" i="3"/>
  <c r="AD620" i="3"/>
  <c r="N620" i="3"/>
  <c r="BC619" i="3"/>
  <c r="AM619" i="3"/>
  <c r="W619" i="3"/>
  <c r="G619" i="3"/>
  <c r="AZ618" i="3"/>
  <c r="AJ618" i="3"/>
  <c r="T618" i="3"/>
  <c r="BM617" i="3"/>
  <c r="AW617" i="3"/>
  <c r="AG617" i="3"/>
  <c r="Q617" i="3"/>
  <c r="BF616" i="3"/>
  <c r="AP616" i="3"/>
  <c r="Z616" i="3"/>
  <c r="J616" i="3"/>
  <c r="AY615" i="3"/>
  <c r="AI615" i="3"/>
  <c r="S615" i="3"/>
  <c r="BL614" i="3"/>
  <c r="AV614" i="3"/>
  <c r="AF614" i="3"/>
  <c r="P614" i="3"/>
  <c r="BI613" i="3"/>
  <c r="AS613" i="3"/>
  <c r="AC613" i="3"/>
  <c r="M613" i="3"/>
  <c r="BB612" i="3"/>
  <c r="AL612" i="3"/>
  <c r="V612" i="3"/>
  <c r="BK611" i="3"/>
  <c r="AU611" i="3"/>
  <c r="AE611" i="3"/>
  <c r="O611" i="3"/>
  <c r="BH610" i="3"/>
  <c r="AR610" i="3"/>
  <c r="AB610" i="3"/>
  <c r="L610" i="3"/>
  <c r="BE609" i="3"/>
  <c r="AO609" i="3"/>
  <c r="Y609" i="3"/>
  <c r="I609" i="3"/>
  <c r="AX608" i="3"/>
  <c r="AH608" i="3"/>
  <c r="R608" i="3"/>
  <c r="BG607" i="3"/>
  <c r="AQ607" i="3"/>
  <c r="AA607" i="3"/>
  <c r="K607" i="3"/>
  <c r="BD606" i="3"/>
  <c r="AN606" i="3"/>
  <c r="X606" i="3"/>
  <c r="H606" i="3"/>
  <c r="BA605" i="3"/>
  <c r="AK605" i="3"/>
  <c r="U605" i="3"/>
  <c r="BJ604" i="3"/>
  <c r="AT604" i="3"/>
  <c r="AD604" i="3"/>
  <c r="N604" i="3"/>
  <c r="BC603" i="3"/>
  <c r="AM603" i="3"/>
  <c r="W603" i="3"/>
  <c r="G603" i="3"/>
  <c r="AZ602" i="3"/>
  <c r="AJ602" i="3"/>
  <c r="T602" i="3"/>
  <c r="BM601" i="3"/>
  <c r="AW601" i="3"/>
  <c r="AG601" i="3"/>
  <c r="Q601" i="3"/>
  <c r="BF600" i="3"/>
  <c r="AP600" i="3"/>
  <c r="Z600" i="3"/>
  <c r="J600" i="3"/>
  <c r="AY599" i="3"/>
  <c r="AI599" i="3"/>
  <c r="S599" i="3"/>
  <c r="AZ599" i="3"/>
  <c r="I599" i="3"/>
  <c r="AZ598" i="3"/>
  <c r="AJ598" i="3"/>
  <c r="T598" i="3"/>
  <c r="BM597" i="3"/>
  <c r="AW597" i="3"/>
  <c r="AG597" i="3"/>
  <c r="Q597" i="3"/>
  <c r="BF596" i="3"/>
  <c r="AP596" i="3"/>
  <c r="Z596" i="3"/>
  <c r="J596" i="3"/>
  <c r="AY595" i="3"/>
  <c r="AI595" i="3"/>
  <c r="S595" i="3"/>
  <c r="BL594" i="3"/>
  <c r="AV594" i="3"/>
  <c r="AF594" i="3"/>
  <c r="P594" i="3"/>
  <c r="BI593" i="3"/>
  <c r="AS593" i="3"/>
  <c r="AC593" i="3"/>
  <c r="M593" i="3"/>
  <c r="BB592" i="3"/>
  <c r="AL592" i="3"/>
  <c r="V592" i="3"/>
  <c r="BK591" i="3"/>
  <c r="AU591" i="3"/>
  <c r="AE591" i="3"/>
  <c r="O591" i="3"/>
  <c r="BH590" i="3"/>
  <c r="AR590" i="3"/>
  <c r="AB590" i="3"/>
  <c r="L590" i="3"/>
  <c r="BE589" i="3"/>
  <c r="AO589" i="3"/>
  <c r="Y589" i="3"/>
  <c r="I589" i="3"/>
  <c r="AX588" i="3"/>
  <c r="AH588" i="3"/>
  <c r="R588" i="3"/>
  <c r="BG587" i="3"/>
  <c r="AQ587" i="3"/>
  <c r="AA587" i="3"/>
  <c r="K587" i="3"/>
  <c r="BD586" i="3"/>
  <c r="AN586" i="3"/>
  <c r="X586" i="3"/>
  <c r="H586" i="3"/>
  <c r="BA585" i="3"/>
  <c r="AK585" i="3"/>
  <c r="U585" i="3"/>
  <c r="BJ584" i="3"/>
  <c r="AT584" i="3"/>
  <c r="AD584" i="3"/>
  <c r="N584" i="3"/>
  <c r="BC583" i="3"/>
  <c r="AM583" i="3"/>
  <c r="W583" i="3"/>
  <c r="G583" i="3"/>
  <c r="AZ582" i="3"/>
  <c r="AJ582" i="3"/>
  <c r="T582" i="3"/>
  <c r="BM581" i="3"/>
  <c r="AW581" i="3"/>
  <c r="AG581" i="3"/>
  <c r="Q581" i="3"/>
  <c r="BI579" i="3"/>
  <c r="AS579" i="3"/>
  <c r="AC579" i="3"/>
  <c r="M579" i="3"/>
  <c r="BB578" i="3"/>
  <c r="AL578" i="3"/>
  <c r="V578" i="3"/>
  <c r="BK577" i="3"/>
  <c r="AU577" i="3"/>
  <c r="AE577" i="3"/>
  <c r="O577" i="3"/>
  <c r="BH576" i="3"/>
  <c r="AR576" i="3"/>
  <c r="AB576" i="3"/>
  <c r="L576" i="3"/>
  <c r="BE575" i="3"/>
  <c r="AO575" i="3"/>
  <c r="Y575" i="3"/>
  <c r="I575" i="3"/>
  <c r="AX574" i="3"/>
  <c r="AH574" i="3"/>
  <c r="R574" i="3"/>
  <c r="BG573" i="3"/>
  <c r="AQ573" i="3"/>
  <c r="AA573" i="3"/>
  <c r="K573" i="3"/>
  <c r="BD572" i="3"/>
  <c r="AN572" i="3"/>
  <c r="X572" i="3"/>
  <c r="H572" i="3"/>
  <c r="BA571" i="3"/>
  <c r="AK571" i="3"/>
  <c r="U571" i="3"/>
  <c r="BJ570" i="3"/>
  <c r="AT570" i="3"/>
  <c r="AD570" i="3"/>
  <c r="N570" i="3"/>
  <c r="BC569" i="3"/>
  <c r="AM569" i="3"/>
  <c r="W569" i="3"/>
  <c r="G569" i="3"/>
  <c r="AZ568" i="3"/>
  <c r="AJ568" i="3"/>
  <c r="T568" i="3"/>
  <c r="BM567" i="3"/>
  <c r="AW567" i="3"/>
  <c r="AG567" i="3"/>
  <c r="Q567" i="3"/>
  <c r="BF566" i="3"/>
  <c r="AP566" i="3"/>
  <c r="Z566" i="3"/>
  <c r="J566" i="3"/>
  <c r="AY565" i="3"/>
  <c r="AI565" i="3"/>
  <c r="S565" i="3"/>
  <c r="BL564" i="3"/>
  <c r="AV564" i="3"/>
  <c r="AF564" i="3"/>
  <c r="P564" i="3"/>
  <c r="BI563" i="3"/>
  <c r="AS563" i="3"/>
  <c r="AC563" i="3"/>
  <c r="M563" i="3"/>
  <c r="BB562" i="3"/>
  <c r="AL562" i="3"/>
  <c r="V562" i="3"/>
  <c r="BK561" i="3"/>
  <c r="AU561" i="3"/>
  <c r="AE561" i="3"/>
  <c r="O561" i="3"/>
  <c r="BH560" i="3"/>
  <c r="AR560" i="3"/>
  <c r="AB560" i="3"/>
  <c r="L560" i="3"/>
  <c r="BE559" i="3"/>
  <c r="AO559" i="3"/>
  <c r="Y559" i="3"/>
  <c r="I559" i="3"/>
  <c r="AX558" i="3"/>
  <c r="AH558" i="3"/>
  <c r="R558" i="3"/>
  <c r="BG557" i="3"/>
  <c r="AQ557" i="3"/>
  <c r="AA557" i="3"/>
  <c r="K557" i="3"/>
  <c r="BD556" i="3"/>
  <c r="AN556" i="3"/>
  <c r="X556" i="3"/>
  <c r="H556" i="3"/>
  <c r="BA555" i="3"/>
  <c r="AK555" i="3"/>
  <c r="U555" i="3"/>
  <c r="BJ554" i="3"/>
  <c r="AT554" i="3"/>
  <c r="AD554" i="3"/>
  <c r="N554" i="3"/>
  <c r="AV599" i="3"/>
  <c r="H599" i="3"/>
  <c r="AY598" i="3"/>
  <c r="AI598" i="3"/>
  <c r="S598" i="3"/>
  <c r="BL597" i="3"/>
  <c r="AV597" i="3"/>
  <c r="AF597" i="3"/>
  <c r="P597" i="3"/>
  <c r="BI596" i="3"/>
  <c r="AS596" i="3"/>
  <c r="AC596" i="3"/>
  <c r="M596" i="3"/>
  <c r="BB595" i="3"/>
  <c r="AL595" i="3"/>
  <c r="V595" i="3"/>
  <c r="BK594" i="3"/>
  <c r="AU594" i="3"/>
  <c r="AE594" i="3"/>
  <c r="O594" i="3"/>
  <c r="BH593" i="3"/>
  <c r="AR593" i="3"/>
  <c r="AB593" i="3"/>
  <c r="L593" i="3"/>
  <c r="BE592" i="3"/>
  <c r="AO592" i="3"/>
  <c r="Y592" i="3"/>
  <c r="I592" i="3"/>
  <c r="AX591" i="3"/>
  <c r="AH591" i="3"/>
  <c r="R591" i="3"/>
  <c r="BG590" i="3"/>
  <c r="AQ590" i="3"/>
  <c r="AA590" i="3"/>
  <c r="K590" i="3"/>
  <c r="BD589" i="3"/>
  <c r="AN589" i="3"/>
  <c r="X589" i="3"/>
  <c r="H589" i="3"/>
  <c r="BA588" i="3"/>
  <c r="AK588" i="3"/>
  <c r="U588" i="3"/>
  <c r="BJ587" i="3"/>
  <c r="AT587" i="3"/>
  <c r="AD587" i="3"/>
  <c r="N587" i="3"/>
  <c r="BC586" i="3"/>
  <c r="AM586" i="3"/>
  <c r="W586" i="3"/>
  <c r="G586" i="3"/>
  <c r="AZ585" i="3"/>
  <c r="AJ585" i="3"/>
  <c r="T585" i="3"/>
  <c r="BM584" i="3"/>
  <c r="AW584" i="3"/>
  <c r="AG584" i="3"/>
  <c r="Q584" i="3"/>
  <c r="BF583" i="3"/>
  <c r="AP583" i="3"/>
  <c r="Z583" i="3"/>
  <c r="J583" i="3"/>
  <c r="AY582" i="3"/>
  <c r="AI582" i="3"/>
  <c r="S582" i="3"/>
  <c r="BL581" i="3"/>
  <c r="AV581" i="3"/>
  <c r="AF581" i="3"/>
  <c r="P581" i="3"/>
  <c r="BH579" i="3"/>
  <c r="AR579" i="3"/>
  <c r="AB579" i="3"/>
  <c r="L579" i="3"/>
  <c r="BE578" i="3"/>
  <c r="AO578" i="3"/>
  <c r="Y578" i="3"/>
  <c r="I578" i="3"/>
  <c r="AX577" i="3"/>
  <c r="AH577" i="3"/>
  <c r="R577" i="3"/>
  <c r="BG576" i="3"/>
  <c r="AQ576" i="3"/>
  <c r="AA576" i="3"/>
  <c r="K576" i="3"/>
  <c r="BD575" i="3"/>
  <c r="AN575" i="3"/>
  <c r="X575" i="3"/>
  <c r="H575" i="3"/>
  <c r="BA574" i="3"/>
  <c r="AK574" i="3"/>
  <c r="U574" i="3"/>
  <c r="BJ573" i="3"/>
  <c r="AT573" i="3"/>
  <c r="AD573" i="3"/>
  <c r="N573" i="3"/>
  <c r="BC572" i="3"/>
  <c r="AM572" i="3"/>
  <c r="W572" i="3"/>
  <c r="G572" i="3"/>
  <c r="AZ571" i="3"/>
  <c r="AJ571" i="3"/>
  <c r="T571" i="3"/>
  <c r="BM570" i="3"/>
  <c r="AW570" i="3"/>
  <c r="AG570" i="3"/>
  <c r="Q570" i="3"/>
  <c r="BF569" i="3"/>
  <c r="AP569" i="3"/>
  <c r="Z569" i="3"/>
  <c r="J569" i="3"/>
  <c r="AY568" i="3"/>
  <c r="AI568" i="3"/>
  <c r="S568" i="3"/>
  <c r="BL567" i="3"/>
  <c r="AV567" i="3"/>
  <c r="AF567" i="3"/>
  <c r="P567" i="3"/>
  <c r="BI566" i="3"/>
  <c r="AS566" i="3"/>
  <c r="AC566" i="3"/>
  <c r="M566" i="3"/>
  <c r="BB565" i="3"/>
  <c r="AL565" i="3"/>
  <c r="V565" i="3"/>
  <c r="BK564" i="3"/>
  <c r="AU564" i="3"/>
  <c r="AE564" i="3"/>
  <c r="O564" i="3"/>
  <c r="BH563" i="3"/>
  <c r="AR563" i="3"/>
  <c r="AB563" i="3"/>
  <c r="L563" i="3"/>
  <c r="BE562" i="3"/>
  <c r="AO562" i="3"/>
  <c r="Y562" i="3"/>
  <c r="I562" i="3"/>
  <c r="AX561" i="3"/>
  <c r="AH561" i="3"/>
  <c r="R561" i="3"/>
  <c r="BG560" i="3"/>
  <c r="AQ560" i="3"/>
  <c r="AA560" i="3"/>
  <c r="K560" i="3"/>
  <c r="BD559" i="3"/>
  <c r="AN559" i="3"/>
  <c r="X559" i="3"/>
  <c r="H559" i="3"/>
  <c r="BA558" i="3"/>
  <c r="AK558" i="3"/>
  <c r="U558" i="3"/>
  <c r="BJ557" i="3"/>
  <c r="AT557" i="3"/>
  <c r="AD557" i="3"/>
  <c r="N557" i="3"/>
  <c r="BC556" i="3"/>
  <c r="AM556" i="3"/>
  <c r="W556" i="3"/>
  <c r="G556" i="3"/>
  <c r="AZ555" i="3"/>
  <c r="AJ555" i="3"/>
  <c r="T555" i="3"/>
  <c r="BM554" i="3"/>
  <c r="AW554" i="3"/>
  <c r="AG554" i="3"/>
  <c r="Q554" i="3"/>
  <c r="AR599" i="3"/>
  <c r="BJ598" i="3"/>
  <c r="AT598" i="3"/>
  <c r="AD598" i="3"/>
  <c r="N598" i="3"/>
  <c r="BC597" i="3"/>
  <c r="AM597" i="3"/>
  <c r="W597" i="3"/>
  <c r="G597" i="3"/>
  <c r="AZ596" i="3"/>
  <c r="AJ596" i="3"/>
  <c r="T596" i="3"/>
  <c r="BM595" i="3"/>
  <c r="AW595" i="3"/>
  <c r="AG595" i="3"/>
  <c r="Q595" i="3"/>
  <c r="BF594" i="3"/>
  <c r="AP594" i="3"/>
  <c r="Z594" i="3"/>
  <c r="J594" i="3"/>
  <c r="AY593" i="3"/>
  <c r="AI593" i="3"/>
  <c r="S593" i="3"/>
  <c r="BL592" i="3"/>
  <c r="AV592" i="3"/>
  <c r="AF592" i="3"/>
  <c r="P592" i="3"/>
  <c r="BI591" i="3"/>
  <c r="AS591" i="3"/>
  <c r="AC591" i="3"/>
  <c r="M591" i="3"/>
  <c r="BB590" i="3"/>
  <c r="AL590" i="3"/>
  <c r="V590" i="3"/>
  <c r="BK589" i="3"/>
  <c r="AU589" i="3"/>
  <c r="AE589" i="3"/>
  <c r="O589" i="3"/>
  <c r="BH588" i="3"/>
  <c r="AR588" i="3"/>
  <c r="AB588" i="3"/>
  <c r="L588" i="3"/>
  <c r="BE587" i="3"/>
  <c r="AO587" i="3"/>
  <c r="Y587" i="3"/>
  <c r="I587" i="3"/>
  <c r="AX586" i="3"/>
  <c r="AH586" i="3"/>
  <c r="R586" i="3"/>
  <c r="BG585" i="3"/>
  <c r="AQ585" i="3"/>
  <c r="AA585" i="3"/>
  <c r="K585" i="3"/>
  <c r="BD584" i="3"/>
  <c r="AN584" i="3"/>
  <c r="X584" i="3"/>
  <c r="H584" i="3"/>
  <c r="BA583" i="3"/>
  <c r="AK583" i="3"/>
  <c r="U583" i="3"/>
  <c r="BJ582" i="3"/>
  <c r="AT582" i="3"/>
  <c r="AD582" i="3"/>
  <c r="N582" i="3"/>
  <c r="BC581" i="3"/>
  <c r="AM581" i="3"/>
  <c r="W581" i="3"/>
  <c r="G581" i="3"/>
  <c r="AY579" i="3"/>
  <c r="AI579" i="3"/>
  <c r="S579" i="3"/>
  <c r="BL578" i="3"/>
  <c r="AV578" i="3"/>
  <c r="AF578" i="3"/>
  <c r="P578" i="3"/>
  <c r="BI577" i="3"/>
  <c r="AS577" i="3"/>
  <c r="AC577" i="3"/>
  <c r="M577" i="3"/>
  <c r="BB576" i="3"/>
  <c r="AL576" i="3"/>
  <c r="V576" i="3"/>
  <c r="BK575" i="3"/>
  <c r="AU575" i="3"/>
  <c r="AE575" i="3"/>
  <c r="O575" i="3"/>
  <c r="BH574" i="3"/>
  <c r="AR574" i="3"/>
  <c r="AB574" i="3"/>
  <c r="L574" i="3"/>
  <c r="BE573" i="3"/>
  <c r="AO573" i="3"/>
  <c r="Y573" i="3"/>
  <c r="I573" i="3"/>
  <c r="AX572" i="3"/>
  <c r="AH572" i="3"/>
  <c r="R572" i="3"/>
  <c r="BG571" i="3"/>
  <c r="AQ571" i="3"/>
  <c r="AA571" i="3"/>
  <c r="K571" i="3"/>
  <c r="BD570" i="3"/>
  <c r="AN570" i="3"/>
  <c r="X570" i="3"/>
  <c r="H570" i="3"/>
  <c r="BA569" i="3"/>
  <c r="AK569" i="3"/>
  <c r="U569" i="3"/>
  <c r="BJ568" i="3"/>
  <c r="AT568" i="3"/>
  <c r="AD568" i="3"/>
  <c r="N568" i="3"/>
  <c r="BC567" i="3"/>
  <c r="AM567" i="3"/>
  <c r="W567" i="3"/>
  <c r="G567" i="3"/>
  <c r="AZ566" i="3"/>
  <c r="AJ566" i="3"/>
  <c r="T566" i="3"/>
  <c r="BM565" i="3"/>
  <c r="AW565" i="3"/>
  <c r="AG565" i="3"/>
  <c r="Q565" i="3"/>
  <c r="BF564" i="3"/>
  <c r="AP564" i="3"/>
  <c r="Z564" i="3"/>
  <c r="J564" i="3"/>
  <c r="AY563" i="3"/>
  <c r="AI563" i="3"/>
  <c r="S563" i="3"/>
  <c r="BL562" i="3"/>
  <c r="AV562" i="3"/>
  <c r="AF562" i="3"/>
  <c r="P562" i="3"/>
  <c r="BI561" i="3"/>
  <c r="AS561" i="3"/>
  <c r="AC561" i="3"/>
  <c r="M561" i="3"/>
  <c r="BB560" i="3"/>
  <c r="AL560" i="3"/>
  <c r="V560" i="3"/>
  <c r="BK559" i="3"/>
  <c r="AU559" i="3"/>
  <c r="AE559" i="3"/>
  <c r="O559" i="3"/>
  <c r="BH558" i="3"/>
  <c r="AR558" i="3"/>
  <c r="AB558" i="3"/>
  <c r="L558" i="3"/>
  <c r="BE557" i="3"/>
  <c r="AO557" i="3"/>
  <c r="Y557" i="3"/>
  <c r="I557" i="3"/>
  <c r="AX556" i="3"/>
  <c r="AH556" i="3"/>
  <c r="R556" i="3"/>
  <c r="BG555" i="3"/>
  <c r="AQ555" i="3"/>
  <c r="AA555" i="3"/>
  <c r="K555" i="3"/>
  <c r="AB599" i="3"/>
  <c r="BI598" i="3"/>
  <c r="AS598" i="3"/>
  <c r="AC598" i="3"/>
  <c r="M598" i="3"/>
  <c r="BB597" i="3"/>
  <c r="AL597" i="3"/>
  <c r="V597" i="3"/>
  <c r="BK596" i="3"/>
  <c r="AU596" i="3"/>
  <c r="AE596" i="3"/>
  <c r="O596" i="3"/>
  <c r="BH595" i="3"/>
  <c r="AR595" i="3"/>
  <c r="AB595" i="3"/>
  <c r="L595" i="3"/>
  <c r="BE594" i="3"/>
  <c r="AO594" i="3"/>
  <c r="Y594" i="3"/>
  <c r="I594" i="3"/>
  <c r="AX593" i="3"/>
  <c r="AH593" i="3"/>
  <c r="R593" i="3"/>
  <c r="BG592" i="3"/>
  <c r="AQ592" i="3"/>
  <c r="AA592" i="3"/>
  <c r="K592" i="3"/>
  <c r="BD591" i="3"/>
  <c r="AN591" i="3"/>
  <c r="X591" i="3"/>
  <c r="H591" i="3"/>
  <c r="BA590" i="3"/>
  <c r="AK590" i="3"/>
  <c r="U590" i="3"/>
  <c r="BJ589" i="3"/>
  <c r="AT589" i="3"/>
  <c r="AD589" i="3"/>
  <c r="N589" i="3"/>
  <c r="BC588" i="3"/>
  <c r="AM588" i="3"/>
  <c r="W588" i="3"/>
  <c r="G588" i="3"/>
  <c r="AZ587" i="3"/>
  <c r="AJ587" i="3"/>
  <c r="T587" i="3"/>
  <c r="BM586" i="3"/>
  <c r="AW586" i="3"/>
  <c r="AG586" i="3"/>
  <c r="Q586" i="3"/>
  <c r="BF585" i="3"/>
  <c r="AP585" i="3"/>
  <c r="Z585" i="3"/>
  <c r="J585" i="3"/>
  <c r="AY584" i="3"/>
  <c r="AI584" i="3"/>
  <c r="S584" i="3"/>
  <c r="BL583" i="3"/>
  <c r="AV583" i="3"/>
  <c r="AF583" i="3"/>
  <c r="P583" i="3"/>
  <c r="BI582" i="3"/>
  <c r="AS582" i="3"/>
  <c r="AC582" i="3"/>
  <c r="M582" i="3"/>
  <c r="BB581" i="3"/>
  <c r="AL581" i="3"/>
  <c r="V581" i="3"/>
  <c r="BJ579" i="3"/>
  <c r="AT579" i="3"/>
  <c r="AD579" i="3"/>
  <c r="N579" i="3"/>
  <c r="BC578" i="3"/>
  <c r="AM578" i="3"/>
  <c r="W578" i="3"/>
  <c r="G578" i="3"/>
  <c r="AZ577" i="3"/>
  <c r="AJ577" i="3"/>
  <c r="T577" i="3"/>
  <c r="BM576" i="3"/>
  <c r="AW576" i="3"/>
  <c r="AG576" i="3"/>
  <c r="Q576" i="3"/>
  <c r="BF575" i="3"/>
  <c r="AP575" i="3"/>
  <c r="Z575" i="3"/>
  <c r="J575" i="3"/>
  <c r="AY574" i="3"/>
  <c r="AI574" i="3"/>
  <c r="S574" i="3"/>
  <c r="BL573" i="3"/>
  <c r="AV573" i="3"/>
  <c r="AF573" i="3"/>
  <c r="P573" i="3"/>
  <c r="BI572" i="3"/>
  <c r="AS572" i="3"/>
  <c r="AC572" i="3"/>
  <c r="M572" i="3"/>
  <c r="BB571" i="3"/>
  <c r="AL571" i="3"/>
  <c r="V571" i="3"/>
  <c r="BK570" i="3"/>
  <c r="AU570" i="3"/>
  <c r="AE570" i="3"/>
  <c r="O570" i="3"/>
  <c r="BH569" i="3"/>
  <c r="AR569" i="3"/>
  <c r="AB569" i="3"/>
  <c r="L569" i="3"/>
  <c r="BE568" i="3"/>
  <c r="AO568" i="3"/>
  <c r="Y568" i="3"/>
  <c r="I568" i="3"/>
  <c r="AX567" i="3"/>
  <c r="AH567" i="3"/>
  <c r="R567" i="3"/>
  <c r="BG566" i="3"/>
  <c r="AQ566" i="3"/>
  <c r="AA566" i="3"/>
  <c r="K566" i="3"/>
  <c r="BD565" i="3"/>
  <c r="AN565" i="3"/>
  <c r="X565" i="3"/>
  <c r="H565" i="3"/>
  <c r="BA564" i="3"/>
  <c r="AK564" i="3"/>
  <c r="U564" i="3"/>
  <c r="BJ563" i="3"/>
  <c r="AT563" i="3"/>
  <c r="AD563" i="3"/>
  <c r="N563" i="3"/>
  <c r="BC562" i="3"/>
  <c r="AM562" i="3"/>
  <c r="W562" i="3"/>
  <c r="G562" i="3"/>
  <c r="AZ561" i="3"/>
  <c r="AJ561" i="3"/>
  <c r="T561" i="3"/>
  <c r="BM560" i="3"/>
  <c r="AW560" i="3"/>
  <c r="AG560" i="3"/>
  <c r="Q560" i="3"/>
  <c r="BF559" i="3"/>
  <c r="AP559" i="3"/>
  <c r="Z559" i="3"/>
  <c r="J559" i="3"/>
  <c r="AY558" i="3"/>
  <c r="AI558" i="3"/>
  <c r="S558" i="3"/>
  <c r="BL557" i="3"/>
  <c r="AV557" i="3"/>
  <c r="AF557" i="3"/>
  <c r="P557" i="3"/>
  <c r="BI556" i="3"/>
  <c r="AS556" i="3"/>
  <c r="AC556" i="3"/>
  <c r="M556" i="3"/>
  <c r="BB555" i="3"/>
  <c r="AL555" i="3"/>
  <c r="V555" i="3"/>
  <c r="BG554" i="3"/>
  <c r="AA554" i="3"/>
  <c r="BH553" i="3"/>
  <c r="AQ553" i="3"/>
  <c r="AA553" i="3"/>
  <c r="K553" i="3"/>
  <c r="BD552" i="3"/>
  <c r="AN552" i="3"/>
  <c r="X552" i="3"/>
  <c r="H552" i="3"/>
  <c r="BA551" i="3"/>
  <c r="AK551" i="3"/>
  <c r="U551" i="3"/>
  <c r="BJ550" i="3"/>
  <c r="AT550" i="3"/>
  <c r="AD550" i="3"/>
  <c r="N550" i="3"/>
  <c r="BC549" i="3"/>
  <c r="AM549" i="3"/>
  <c r="W549" i="3"/>
  <c r="G549" i="3"/>
  <c r="AZ548" i="3"/>
  <c r="AJ548" i="3"/>
  <c r="T548" i="3"/>
  <c r="BM547" i="3"/>
  <c r="AW547" i="3"/>
  <c r="AG547" i="3"/>
  <c r="Q547" i="3"/>
  <c r="BF546" i="3"/>
  <c r="AP546" i="3"/>
  <c r="Z546" i="3"/>
  <c r="J546" i="3"/>
  <c r="AY545" i="3"/>
  <c r="AI545" i="3"/>
  <c r="S545" i="3"/>
  <c r="BL544" i="3"/>
  <c r="AV544" i="3"/>
  <c r="AF544" i="3"/>
  <c r="P544" i="3"/>
  <c r="BI543" i="3"/>
  <c r="AS543" i="3"/>
  <c r="AC543" i="3"/>
  <c r="M543" i="3"/>
  <c r="BB542" i="3"/>
  <c r="AL542" i="3"/>
  <c r="V542" i="3"/>
  <c r="BK541" i="3"/>
  <c r="AU541" i="3"/>
  <c r="AE541" i="3"/>
  <c r="O541" i="3"/>
  <c r="BH540" i="3"/>
  <c r="AR540" i="3"/>
  <c r="AB540" i="3"/>
  <c r="L540" i="3"/>
  <c r="BD538" i="3"/>
  <c r="AN538" i="3"/>
  <c r="X538" i="3"/>
  <c r="H538" i="3"/>
  <c r="BA537" i="3"/>
  <c r="AK537" i="3"/>
  <c r="U537" i="3"/>
  <c r="BJ536" i="3"/>
  <c r="AT536" i="3"/>
  <c r="AD536" i="3"/>
  <c r="N536" i="3"/>
  <c r="BC535" i="3"/>
  <c r="AM535" i="3"/>
  <c r="W535" i="3"/>
  <c r="G535" i="3"/>
  <c r="AZ534" i="3"/>
  <c r="AJ534" i="3"/>
  <c r="T534" i="3"/>
  <c r="BM533" i="3"/>
  <c r="AW533" i="3"/>
  <c r="AG533" i="3"/>
  <c r="Q533" i="3"/>
  <c r="BF532" i="3"/>
  <c r="AP532" i="3"/>
  <c r="Z532" i="3"/>
  <c r="J532" i="3"/>
  <c r="AY531" i="3"/>
  <c r="AI531" i="3"/>
  <c r="S531" i="3"/>
  <c r="BL530" i="3"/>
  <c r="AV530" i="3"/>
  <c r="AF530" i="3"/>
  <c r="P530" i="3"/>
  <c r="BI529" i="3"/>
  <c r="AS529" i="3"/>
  <c r="AC529" i="3"/>
  <c r="M529" i="3"/>
  <c r="BB528" i="3"/>
  <c r="AL528" i="3"/>
  <c r="V528" i="3"/>
  <c r="BK527" i="3"/>
  <c r="AU527" i="3"/>
  <c r="AE527" i="3"/>
  <c r="O527" i="3"/>
  <c r="BH526" i="3"/>
  <c r="AR526" i="3"/>
  <c r="AB526" i="3"/>
  <c r="L526" i="3"/>
  <c r="BE525" i="3"/>
  <c r="AO525" i="3"/>
  <c r="Y525" i="3"/>
  <c r="I525" i="3"/>
  <c r="AX524" i="3"/>
  <c r="AH524" i="3"/>
  <c r="R524" i="3"/>
  <c r="BG523" i="3"/>
  <c r="AQ523" i="3"/>
  <c r="AA523" i="3"/>
  <c r="K523" i="3"/>
  <c r="BD522" i="3"/>
  <c r="AN522" i="3"/>
  <c r="X522" i="3"/>
  <c r="H522" i="3"/>
  <c r="BA521" i="3"/>
  <c r="AK521" i="3"/>
  <c r="U521" i="3"/>
  <c r="BJ520" i="3"/>
  <c r="AT520" i="3"/>
  <c r="AD520" i="3"/>
  <c r="N520" i="3"/>
  <c r="BC519" i="3"/>
  <c r="AM519" i="3"/>
  <c r="W519" i="3"/>
  <c r="G519" i="3"/>
  <c r="AZ518" i="3"/>
  <c r="AJ518" i="3"/>
  <c r="T518" i="3"/>
  <c r="BM517" i="3"/>
  <c r="AW517" i="3"/>
  <c r="AG517" i="3"/>
  <c r="Q517" i="3"/>
  <c r="BF516" i="3"/>
  <c r="AP516" i="3"/>
  <c r="Z516" i="3"/>
  <c r="J516" i="3"/>
  <c r="AY515" i="3"/>
  <c r="AI515" i="3"/>
  <c r="S515" i="3"/>
  <c r="BL514" i="3"/>
  <c r="AV514" i="3"/>
  <c r="AF514" i="3"/>
  <c r="P514" i="3"/>
  <c r="BI513" i="3"/>
  <c r="AS513" i="3"/>
  <c r="AC513" i="3"/>
  <c r="M513" i="3"/>
  <c r="BB512" i="3"/>
  <c r="AL512" i="3"/>
  <c r="V512" i="3"/>
  <c r="BK511" i="3"/>
  <c r="AU511" i="3"/>
  <c r="AE511" i="3"/>
  <c r="O511" i="3"/>
  <c r="BH510" i="3"/>
  <c r="AR510" i="3"/>
  <c r="AB510" i="3"/>
  <c r="L510" i="3"/>
  <c r="BE509" i="3"/>
  <c r="AO509" i="3"/>
  <c r="Y509" i="3"/>
  <c r="I509" i="3"/>
  <c r="AN554" i="3"/>
  <c r="H554" i="3"/>
  <c r="AX553" i="3"/>
  <c r="AH553" i="3"/>
  <c r="R553" i="3"/>
  <c r="BG552" i="3"/>
  <c r="AQ552" i="3"/>
  <c r="AA552" i="3"/>
  <c r="K552" i="3"/>
  <c r="BD551" i="3"/>
  <c r="AN551" i="3"/>
  <c r="X551" i="3"/>
  <c r="H551" i="3"/>
  <c r="BA550" i="3"/>
  <c r="AK550" i="3"/>
  <c r="U550" i="3"/>
  <c r="BJ549" i="3"/>
  <c r="AT549" i="3"/>
  <c r="AD549" i="3"/>
  <c r="N549" i="3"/>
  <c r="BC548" i="3"/>
  <c r="AM548" i="3"/>
  <c r="W548" i="3"/>
  <c r="G548" i="3"/>
  <c r="AZ547" i="3"/>
  <c r="AJ547" i="3"/>
  <c r="T547" i="3"/>
  <c r="BM546" i="3"/>
  <c r="AW546" i="3"/>
  <c r="AG546" i="3"/>
  <c r="Q546" i="3"/>
  <c r="BF545" i="3"/>
  <c r="AP545" i="3"/>
  <c r="Z545" i="3"/>
  <c r="J545" i="3"/>
  <c r="AY544" i="3"/>
  <c r="AI544" i="3"/>
  <c r="S544" i="3"/>
  <c r="BL543" i="3"/>
  <c r="AV543" i="3"/>
  <c r="AF543" i="3"/>
  <c r="P543" i="3"/>
  <c r="BI542" i="3"/>
  <c r="AS542" i="3"/>
  <c r="AC542" i="3"/>
  <c r="M542" i="3"/>
  <c r="BB541" i="3"/>
  <c r="AL541" i="3"/>
  <c r="V541" i="3"/>
  <c r="BK540" i="3"/>
  <c r="AU540" i="3"/>
  <c r="AE540" i="3"/>
  <c r="O540" i="3"/>
  <c r="BG538" i="3"/>
  <c r="AQ538" i="3"/>
  <c r="AA538" i="3"/>
  <c r="K538" i="3"/>
  <c r="BD537" i="3"/>
  <c r="AN537" i="3"/>
  <c r="X537" i="3"/>
  <c r="H537" i="3"/>
  <c r="BA536" i="3"/>
  <c r="AK536" i="3"/>
  <c r="U536" i="3"/>
  <c r="BJ535" i="3"/>
  <c r="AT535" i="3"/>
  <c r="AD535" i="3"/>
  <c r="N535" i="3"/>
  <c r="BC534" i="3"/>
  <c r="AM534" i="3"/>
  <c r="W534" i="3"/>
  <c r="G534" i="3"/>
  <c r="AZ533" i="3"/>
  <c r="AJ533" i="3"/>
  <c r="T533" i="3"/>
  <c r="BM532" i="3"/>
  <c r="AW532" i="3"/>
  <c r="AG532" i="3"/>
  <c r="Q532" i="3"/>
  <c r="BF531" i="3"/>
  <c r="AP531" i="3"/>
  <c r="Z531" i="3"/>
  <c r="J531" i="3"/>
  <c r="AY530" i="3"/>
  <c r="AI530" i="3"/>
  <c r="S530" i="3"/>
  <c r="BL529" i="3"/>
  <c r="AV529" i="3"/>
  <c r="AF529" i="3"/>
  <c r="P529" i="3"/>
  <c r="BI528" i="3"/>
  <c r="AS528" i="3"/>
  <c r="AC528" i="3"/>
  <c r="M528" i="3"/>
  <c r="BB527" i="3"/>
  <c r="AL527" i="3"/>
  <c r="V527" i="3"/>
  <c r="BK526" i="3"/>
  <c r="AU526" i="3"/>
  <c r="AE526" i="3"/>
  <c r="O526" i="3"/>
  <c r="BH525" i="3"/>
  <c r="AR525" i="3"/>
  <c r="AB525" i="3"/>
  <c r="L525" i="3"/>
  <c r="BE524" i="3"/>
  <c r="AO524" i="3"/>
  <c r="Y524" i="3"/>
  <c r="I524" i="3"/>
  <c r="AX523" i="3"/>
  <c r="AH523" i="3"/>
  <c r="R523" i="3"/>
  <c r="BG522" i="3"/>
  <c r="AQ522" i="3"/>
  <c r="AA522" i="3"/>
  <c r="K522" i="3"/>
  <c r="BD521" i="3"/>
  <c r="AN521" i="3"/>
  <c r="X521" i="3"/>
  <c r="H521" i="3"/>
  <c r="BA520" i="3"/>
  <c r="AK520" i="3"/>
  <c r="U520" i="3"/>
  <c r="BJ519" i="3"/>
  <c r="AT519" i="3"/>
  <c r="AD519" i="3"/>
  <c r="N519" i="3"/>
  <c r="BC518" i="3"/>
  <c r="AM518" i="3"/>
  <c r="W518" i="3"/>
  <c r="G518" i="3"/>
  <c r="AZ517" i="3"/>
  <c r="AJ517" i="3"/>
  <c r="T517" i="3"/>
  <c r="BM516" i="3"/>
  <c r="AW516" i="3"/>
  <c r="AG516" i="3"/>
  <c r="Q516" i="3"/>
  <c r="BF515" i="3"/>
  <c r="AP515" i="3"/>
  <c r="Z515" i="3"/>
  <c r="J515" i="3"/>
  <c r="AY514" i="3"/>
  <c r="AI514" i="3"/>
  <c r="S514" i="3"/>
  <c r="BL513" i="3"/>
  <c r="AV513" i="3"/>
  <c r="AF513" i="3"/>
  <c r="P513" i="3"/>
  <c r="BI512" i="3"/>
  <c r="AS512" i="3"/>
  <c r="AC512" i="3"/>
  <c r="M512" i="3"/>
  <c r="BB511" i="3"/>
  <c r="AL511" i="3"/>
  <c r="V511" i="3"/>
  <c r="BK510" i="3"/>
  <c r="AU510" i="3"/>
  <c r="AE510" i="3"/>
  <c r="O510" i="3"/>
  <c r="BH509" i="3"/>
  <c r="AR509" i="3"/>
  <c r="AB509" i="3"/>
  <c r="L509" i="3"/>
  <c r="AM554" i="3"/>
  <c r="G554" i="3"/>
  <c r="AW553" i="3"/>
  <c r="AG553" i="3"/>
  <c r="Q553" i="3"/>
  <c r="BF552" i="3"/>
  <c r="AP552" i="3"/>
  <c r="Z552" i="3"/>
  <c r="J552" i="3"/>
  <c r="AY551" i="3"/>
  <c r="AI551" i="3"/>
  <c r="S551" i="3"/>
  <c r="BL550" i="3"/>
  <c r="AV550" i="3"/>
  <c r="AF550" i="3"/>
  <c r="P550" i="3"/>
  <c r="BI549" i="3"/>
  <c r="AS549" i="3"/>
  <c r="AC549" i="3"/>
  <c r="M549" i="3"/>
  <c r="BB548" i="3"/>
  <c r="AL548" i="3"/>
  <c r="V548" i="3"/>
  <c r="BK547" i="3"/>
  <c r="AU547" i="3"/>
  <c r="AE547" i="3"/>
  <c r="O547" i="3"/>
  <c r="BH546" i="3"/>
  <c r="AR546" i="3"/>
  <c r="AB546" i="3"/>
  <c r="L546" i="3"/>
  <c r="BE545" i="3"/>
  <c r="AO545" i="3"/>
  <c r="Y545" i="3"/>
  <c r="I545" i="3"/>
  <c r="AX544" i="3"/>
  <c r="AH544" i="3"/>
  <c r="R544" i="3"/>
  <c r="BG543" i="3"/>
  <c r="AQ543" i="3"/>
  <c r="AA543" i="3"/>
  <c r="K543" i="3"/>
  <c r="BD542" i="3"/>
  <c r="AN542" i="3"/>
  <c r="X542" i="3"/>
  <c r="H542" i="3"/>
  <c r="BA541" i="3"/>
  <c r="AK541" i="3"/>
  <c r="U541" i="3"/>
  <c r="BJ540" i="3"/>
  <c r="AT540" i="3"/>
  <c r="AD540" i="3"/>
  <c r="N540" i="3"/>
  <c r="BB538" i="3"/>
  <c r="AL538" i="3"/>
  <c r="V538" i="3"/>
  <c r="BK537" i="3"/>
  <c r="AU537" i="3"/>
  <c r="AE537" i="3"/>
  <c r="O537" i="3"/>
  <c r="BH536" i="3"/>
  <c r="AR536" i="3"/>
  <c r="AB536" i="3"/>
  <c r="L536" i="3"/>
  <c r="BE535" i="3"/>
  <c r="AO535" i="3"/>
  <c r="Y535" i="3"/>
  <c r="I535" i="3"/>
  <c r="AX534" i="3"/>
  <c r="AH534" i="3"/>
  <c r="R534" i="3"/>
  <c r="BG533" i="3"/>
  <c r="AQ533" i="3"/>
  <c r="AA533" i="3"/>
  <c r="K533" i="3"/>
  <c r="BD532" i="3"/>
  <c r="AN532" i="3"/>
  <c r="X532" i="3"/>
  <c r="H532" i="3"/>
  <c r="BA531" i="3"/>
  <c r="AK531" i="3"/>
  <c r="U531" i="3"/>
  <c r="BJ530" i="3"/>
  <c r="AT530" i="3"/>
  <c r="AD530" i="3"/>
  <c r="N530" i="3"/>
  <c r="BC529" i="3"/>
  <c r="AM529" i="3"/>
  <c r="W529" i="3"/>
  <c r="G529" i="3"/>
  <c r="AZ528" i="3"/>
  <c r="AJ528" i="3"/>
  <c r="T528" i="3"/>
  <c r="BM527" i="3"/>
  <c r="AW527" i="3"/>
  <c r="AG527" i="3"/>
  <c r="Q527" i="3"/>
  <c r="BF526" i="3"/>
  <c r="AP526" i="3"/>
  <c r="Z526" i="3"/>
  <c r="J526" i="3"/>
  <c r="AY525" i="3"/>
  <c r="AI525" i="3"/>
  <c r="S525" i="3"/>
  <c r="BL524" i="3"/>
  <c r="AV524" i="3"/>
  <c r="AF524" i="3"/>
  <c r="P524" i="3"/>
  <c r="BI523" i="3"/>
  <c r="AS523" i="3"/>
  <c r="AC523" i="3"/>
  <c r="M523" i="3"/>
  <c r="BB522" i="3"/>
  <c r="AL522" i="3"/>
  <c r="V522" i="3"/>
  <c r="BK521" i="3"/>
  <c r="AU521" i="3"/>
  <c r="AE521" i="3"/>
  <c r="O521" i="3"/>
  <c r="BH520" i="3"/>
  <c r="AR520" i="3"/>
  <c r="AB520" i="3"/>
  <c r="L520" i="3"/>
  <c r="BE519" i="3"/>
  <c r="AO519" i="3"/>
  <c r="Y519" i="3"/>
  <c r="I519" i="3"/>
  <c r="AX518" i="3"/>
  <c r="AH518" i="3"/>
  <c r="R518" i="3"/>
  <c r="BG517" i="3"/>
  <c r="AQ517" i="3"/>
  <c r="AA517" i="3"/>
  <c r="K517" i="3"/>
  <c r="BD516" i="3"/>
  <c r="AN516" i="3"/>
  <c r="X516" i="3"/>
  <c r="H516" i="3"/>
  <c r="BA515" i="3"/>
  <c r="AK515" i="3"/>
  <c r="U515" i="3"/>
  <c r="BJ514" i="3"/>
  <c r="AT514" i="3"/>
  <c r="AD514" i="3"/>
  <c r="N514" i="3"/>
  <c r="BC513" i="3"/>
  <c r="AM513" i="3"/>
  <c r="W513" i="3"/>
  <c r="G513" i="3"/>
  <c r="AZ512" i="3"/>
  <c r="AJ512" i="3"/>
  <c r="T512" i="3"/>
  <c r="BM511" i="3"/>
  <c r="AW511" i="3"/>
  <c r="AG511" i="3"/>
  <c r="Q511" i="3"/>
  <c r="BF510" i="3"/>
  <c r="AP510" i="3"/>
  <c r="Z510" i="3"/>
  <c r="J510" i="3"/>
  <c r="AJ554" i="3"/>
  <c r="BI553" i="3"/>
  <c r="AR553" i="3"/>
  <c r="AB553" i="3"/>
  <c r="L553" i="3"/>
  <c r="BE552" i="3"/>
  <c r="AO552" i="3"/>
  <c r="Y552" i="3"/>
  <c r="I552" i="3"/>
  <c r="AX551" i="3"/>
  <c r="AH551" i="3"/>
  <c r="R551" i="3"/>
  <c r="BG550" i="3"/>
  <c r="AQ550" i="3"/>
  <c r="AA550" i="3"/>
  <c r="K550" i="3"/>
  <c r="BD549" i="3"/>
  <c r="AN549" i="3"/>
  <c r="X549" i="3"/>
  <c r="H549" i="3"/>
  <c r="BA548" i="3"/>
  <c r="AK548" i="3"/>
  <c r="U548" i="3"/>
  <c r="BJ547" i="3"/>
  <c r="AT547" i="3"/>
  <c r="AD547" i="3"/>
  <c r="N547" i="3"/>
  <c r="BC546" i="3"/>
  <c r="AM546" i="3"/>
  <c r="W546" i="3"/>
  <c r="G546" i="3"/>
  <c r="AZ545" i="3"/>
  <c r="AJ545" i="3"/>
  <c r="T545" i="3"/>
  <c r="BM544" i="3"/>
  <c r="AW544" i="3"/>
  <c r="AG544" i="3"/>
  <c r="Q544" i="3"/>
  <c r="BF543" i="3"/>
  <c r="AP543" i="3"/>
  <c r="Z543" i="3"/>
  <c r="J543" i="3"/>
  <c r="AY542" i="3"/>
  <c r="AI542" i="3"/>
  <c r="S542" i="3"/>
  <c r="BL541" i="3"/>
  <c r="AV541" i="3"/>
  <c r="AF541" i="3"/>
  <c r="P541" i="3"/>
  <c r="BI540" i="3"/>
  <c r="AS540" i="3"/>
  <c r="AC540" i="3"/>
  <c r="M540" i="3"/>
  <c r="BE538" i="3"/>
  <c r="AO538" i="3"/>
  <c r="Y538" i="3"/>
  <c r="I538" i="3"/>
  <c r="AX537" i="3"/>
  <c r="AH537" i="3"/>
  <c r="R537" i="3"/>
  <c r="BG536" i="3"/>
  <c r="AQ536" i="3"/>
  <c r="AA536" i="3"/>
  <c r="K536" i="3"/>
  <c r="BD535" i="3"/>
  <c r="AN535" i="3"/>
  <c r="X535" i="3"/>
  <c r="H535" i="3"/>
  <c r="BA534" i="3"/>
  <c r="AK534" i="3"/>
  <c r="U534" i="3"/>
  <c r="BJ533" i="3"/>
  <c r="AT533" i="3"/>
  <c r="AD533" i="3"/>
  <c r="N533" i="3"/>
  <c r="BC532" i="3"/>
  <c r="AM532" i="3"/>
  <c r="W532" i="3"/>
  <c r="G532" i="3"/>
  <c r="AZ531" i="3"/>
  <c r="AJ531" i="3"/>
  <c r="T531" i="3"/>
  <c r="BM530" i="3"/>
  <c r="AW530" i="3"/>
  <c r="AG530" i="3"/>
  <c r="Q530" i="3"/>
  <c r="BF529" i="3"/>
  <c r="AP529" i="3"/>
  <c r="Z529" i="3"/>
  <c r="J529" i="3"/>
  <c r="AY528" i="3"/>
  <c r="AI528" i="3"/>
  <c r="S528" i="3"/>
  <c r="BL527" i="3"/>
  <c r="AV527" i="3"/>
  <c r="AF527" i="3"/>
  <c r="P527" i="3"/>
  <c r="BI526" i="3"/>
  <c r="AS526" i="3"/>
  <c r="AC526" i="3"/>
  <c r="M526" i="3"/>
  <c r="BB525" i="3"/>
  <c r="AL525" i="3"/>
  <c r="V525" i="3"/>
  <c r="BK524" i="3"/>
  <c r="AU524" i="3"/>
  <c r="AE524" i="3"/>
  <c r="O524" i="3"/>
  <c r="BH523" i="3"/>
  <c r="AR523" i="3"/>
  <c r="AB523" i="3"/>
  <c r="L523" i="3"/>
  <c r="BE522" i="3"/>
  <c r="AO522" i="3"/>
  <c r="Y522" i="3"/>
  <c r="I522" i="3"/>
  <c r="AX521" i="3"/>
  <c r="AH521" i="3"/>
  <c r="R521" i="3"/>
  <c r="BG520" i="3"/>
  <c r="AQ520" i="3"/>
  <c r="AA520" i="3"/>
  <c r="K520" i="3"/>
  <c r="BD519" i="3"/>
  <c r="AN519" i="3"/>
  <c r="X519" i="3"/>
  <c r="H519" i="3"/>
  <c r="BA518" i="3"/>
  <c r="AK518" i="3"/>
  <c r="U518" i="3"/>
  <c r="BJ517" i="3"/>
  <c r="AT517" i="3"/>
  <c r="AD517" i="3"/>
  <c r="N517" i="3"/>
  <c r="BC516" i="3"/>
  <c r="AM516" i="3"/>
  <c r="W516" i="3"/>
  <c r="G516" i="3"/>
  <c r="AZ515" i="3"/>
  <c r="AJ515" i="3"/>
  <c r="T515" i="3"/>
  <c r="BM514" i="3"/>
  <c r="AW514" i="3"/>
  <c r="AG514" i="3"/>
  <c r="Q514" i="3"/>
  <c r="BF513" i="3"/>
  <c r="AP513" i="3"/>
  <c r="Z513" i="3"/>
  <c r="J513" i="3"/>
  <c r="AY512" i="3"/>
  <c r="AI512" i="3"/>
  <c r="S512" i="3"/>
  <c r="BL511" i="3"/>
  <c r="AV511" i="3"/>
  <c r="AF511" i="3"/>
  <c r="P511" i="3"/>
  <c r="BI510" i="3"/>
  <c r="AS510" i="3"/>
  <c r="AC510" i="3"/>
  <c r="M510" i="3"/>
  <c r="AU509" i="3"/>
  <c r="O509" i="3"/>
  <c r="BE508" i="3"/>
  <c r="AO508" i="3"/>
  <c r="Y508" i="3"/>
  <c r="I508" i="3"/>
  <c r="AX507" i="3"/>
  <c r="AH507" i="3"/>
  <c r="R507" i="3"/>
  <c r="BG506" i="3"/>
  <c r="AQ506" i="3"/>
  <c r="AA506" i="3"/>
  <c r="K506" i="3"/>
  <c r="BD505" i="3"/>
  <c r="AN505" i="3"/>
  <c r="X505" i="3"/>
  <c r="H505" i="3"/>
  <c r="BA504" i="3"/>
  <c r="AK504" i="3"/>
  <c r="U504" i="3"/>
  <c r="BJ503" i="3"/>
  <c r="AT503" i="3"/>
  <c r="AD503" i="3"/>
  <c r="N503" i="3"/>
  <c r="BC502" i="3"/>
  <c r="AM502" i="3"/>
  <c r="W502" i="3"/>
  <c r="G502" i="3"/>
  <c r="AZ501" i="3"/>
  <c r="AJ501" i="3"/>
  <c r="T501" i="3"/>
  <c r="BM500" i="3"/>
  <c r="AW500" i="3"/>
  <c r="AG500" i="3"/>
  <c r="Q500" i="3"/>
  <c r="BF499" i="3"/>
  <c r="AP499" i="3"/>
  <c r="Z499" i="3"/>
  <c r="J499" i="3"/>
  <c r="BA496" i="3"/>
  <c r="AK496" i="3"/>
  <c r="U496" i="3"/>
  <c r="BJ495" i="3"/>
  <c r="AT495" i="3"/>
  <c r="AD495" i="3"/>
  <c r="N495" i="3"/>
  <c r="BC494" i="3"/>
  <c r="AM494" i="3"/>
  <c r="W494" i="3"/>
  <c r="G494" i="3"/>
  <c r="AZ493" i="3"/>
  <c r="AJ493" i="3"/>
  <c r="T493" i="3"/>
  <c r="BM492" i="3"/>
  <c r="AW492" i="3"/>
  <c r="AG492" i="3"/>
  <c r="Q492" i="3"/>
  <c r="BF491" i="3"/>
  <c r="AP491" i="3"/>
  <c r="Z491" i="3"/>
  <c r="J491" i="3"/>
  <c r="AY490" i="3"/>
  <c r="AI490" i="3"/>
  <c r="S490" i="3"/>
  <c r="BL489" i="3"/>
  <c r="AV489" i="3"/>
  <c r="AF489" i="3"/>
  <c r="P489" i="3"/>
  <c r="BI488" i="3"/>
  <c r="AS488" i="3"/>
  <c r="AC488" i="3"/>
  <c r="M488" i="3"/>
  <c r="BB487" i="3"/>
  <c r="AL487" i="3"/>
  <c r="V487" i="3"/>
  <c r="BK486" i="3"/>
  <c r="AU486" i="3"/>
  <c r="AE486" i="3"/>
  <c r="O486" i="3"/>
  <c r="BH485" i="3"/>
  <c r="AR485" i="3"/>
  <c r="AB485" i="3"/>
  <c r="L485" i="3"/>
  <c r="BE484" i="3"/>
  <c r="AO484" i="3"/>
  <c r="Y484" i="3"/>
  <c r="I484" i="3"/>
  <c r="AX483" i="3"/>
  <c r="AH483" i="3"/>
  <c r="R483" i="3"/>
  <c r="BG482" i="3"/>
  <c r="AQ482" i="3"/>
  <c r="AA482" i="3"/>
  <c r="K482" i="3"/>
  <c r="BD481" i="3"/>
  <c r="AN481" i="3"/>
  <c r="X481" i="3"/>
  <c r="H481" i="3"/>
  <c r="BA480" i="3"/>
  <c r="AK480" i="3"/>
  <c r="U480" i="3"/>
  <c r="BJ479" i="3"/>
  <c r="AT479" i="3"/>
  <c r="AD479" i="3"/>
  <c r="N479" i="3"/>
  <c r="BC478" i="3"/>
  <c r="AM478" i="3"/>
  <c r="W478" i="3"/>
  <c r="G478" i="3"/>
  <c r="AZ477" i="3"/>
  <c r="AJ477" i="3"/>
  <c r="T477" i="3"/>
  <c r="BM476" i="3"/>
  <c r="AW476" i="3"/>
  <c r="AG476" i="3"/>
  <c r="Q476" i="3"/>
  <c r="BF475" i="3"/>
  <c r="AP475" i="3"/>
  <c r="Z475" i="3"/>
  <c r="J475" i="3"/>
  <c r="AY474" i="3"/>
  <c r="AI474" i="3"/>
  <c r="S474" i="3"/>
  <c r="BL473" i="3"/>
  <c r="AV473" i="3"/>
  <c r="AF473" i="3"/>
  <c r="P473" i="3"/>
  <c r="BI472" i="3"/>
  <c r="AS472" i="3"/>
  <c r="AC472" i="3"/>
  <c r="M472" i="3"/>
  <c r="BB471" i="3"/>
  <c r="AL471" i="3"/>
  <c r="V471" i="3"/>
  <c r="BK470" i="3"/>
  <c r="AU470" i="3"/>
  <c r="AE470" i="3"/>
  <c r="O470" i="3"/>
  <c r="BH469" i="3"/>
  <c r="AR469" i="3"/>
  <c r="AB469" i="3"/>
  <c r="L469" i="3"/>
  <c r="BE468" i="3"/>
  <c r="AO468" i="3"/>
  <c r="Y468" i="3"/>
  <c r="I468" i="3"/>
  <c r="AX467" i="3"/>
  <c r="AH467" i="3"/>
  <c r="R467" i="3"/>
  <c r="BG466" i="3"/>
  <c r="AQ466" i="3"/>
  <c r="AA466" i="3"/>
  <c r="K466" i="3"/>
  <c r="BD465" i="3"/>
  <c r="AN465" i="3"/>
  <c r="X465" i="3"/>
  <c r="H465" i="3"/>
  <c r="BA464" i="3"/>
  <c r="AK464" i="3"/>
  <c r="U464" i="3"/>
  <c r="BJ463" i="3"/>
  <c r="AT463" i="3"/>
  <c r="AD463" i="3"/>
  <c r="N463" i="3"/>
  <c r="BC462" i="3"/>
  <c r="AM462" i="3"/>
  <c r="W462" i="3"/>
  <c r="G462" i="3"/>
  <c r="AL509" i="3"/>
  <c r="G509" i="3"/>
  <c r="AZ508" i="3"/>
  <c r="AJ508" i="3"/>
  <c r="T508" i="3"/>
  <c r="BM507" i="3"/>
  <c r="AW507" i="3"/>
  <c r="AG507" i="3"/>
  <c r="Q507" i="3"/>
  <c r="BF506" i="3"/>
  <c r="AP506" i="3"/>
  <c r="Z506" i="3"/>
  <c r="J506" i="3"/>
  <c r="AY505" i="3"/>
  <c r="AI505" i="3"/>
  <c r="S505" i="3"/>
  <c r="BL504" i="3"/>
  <c r="AV504" i="3"/>
  <c r="AF504" i="3"/>
  <c r="P504" i="3"/>
  <c r="BI503" i="3"/>
  <c r="AS503" i="3"/>
  <c r="AC503" i="3"/>
  <c r="M503" i="3"/>
  <c r="BB502" i="3"/>
  <c r="AL502" i="3"/>
  <c r="V502" i="3"/>
  <c r="BK501" i="3"/>
  <c r="AU501" i="3"/>
  <c r="AE501" i="3"/>
  <c r="O501" i="3"/>
  <c r="BH500" i="3"/>
  <c r="AR500" i="3"/>
  <c r="AB500" i="3"/>
  <c r="L500" i="3"/>
  <c r="BE499" i="3"/>
  <c r="AO499" i="3"/>
  <c r="Y499" i="3"/>
  <c r="I499" i="3"/>
  <c r="AZ496" i="3"/>
  <c r="AJ496" i="3"/>
  <c r="T496" i="3"/>
  <c r="BM495" i="3"/>
  <c r="AW495" i="3"/>
  <c r="AG495" i="3"/>
  <c r="Q495" i="3"/>
  <c r="BF494" i="3"/>
  <c r="AP494" i="3"/>
  <c r="Z494" i="3"/>
  <c r="J494" i="3"/>
  <c r="AY493" i="3"/>
  <c r="AI493" i="3"/>
  <c r="S493" i="3"/>
  <c r="BL492" i="3"/>
  <c r="AV492" i="3"/>
  <c r="AF492" i="3"/>
  <c r="P492" i="3"/>
  <c r="BI491" i="3"/>
  <c r="AS491" i="3"/>
  <c r="AC491" i="3"/>
  <c r="M491" i="3"/>
  <c r="BB490" i="3"/>
  <c r="AL490" i="3"/>
  <c r="V490" i="3"/>
  <c r="BK489" i="3"/>
  <c r="AU489" i="3"/>
  <c r="AE489" i="3"/>
  <c r="O489" i="3"/>
  <c r="BH488" i="3"/>
  <c r="AR488" i="3"/>
  <c r="AB488" i="3"/>
  <c r="L488" i="3"/>
  <c r="BE487" i="3"/>
  <c r="AO487" i="3"/>
  <c r="Y487" i="3"/>
  <c r="I487" i="3"/>
  <c r="AX486" i="3"/>
  <c r="AH486" i="3"/>
  <c r="R486" i="3"/>
  <c r="BG485" i="3"/>
  <c r="AQ485" i="3"/>
  <c r="AA485" i="3"/>
  <c r="K485" i="3"/>
  <c r="BD484" i="3"/>
  <c r="AN484" i="3"/>
  <c r="X484" i="3"/>
  <c r="H484" i="3"/>
  <c r="BA483" i="3"/>
  <c r="AK483" i="3"/>
  <c r="U483" i="3"/>
  <c r="BJ482" i="3"/>
  <c r="AT482" i="3"/>
  <c r="AD482" i="3"/>
  <c r="N482" i="3"/>
  <c r="BC481" i="3"/>
  <c r="AM481" i="3"/>
  <c r="W481" i="3"/>
  <c r="G481" i="3"/>
  <c r="AZ480" i="3"/>
  <c r="AJ480" i="3"/>
  <c r="T480" i="3"/>
  <c r="BM479" i="3"/>
  <c r="AW479" i="3"/>
  <c r="AG479" i="3"/>
  <c r="Q479" i="3"/>
  <c r="BF478" i="3"/>
  <c r="AP478" i="3"/>
  <c r="Z478" i="3"/>
  <c r="J478" i="3"/>
  <c r="AY477" i="3"/>
  <c r="AI477" i="3"/>
  <c r="S477" i="3"/>
  <c r="BL476" i="3"/>
  <c r="AV476" i="3"/>
  <c r="AF476" i="3"/>
  <c r="P476" i="3"/>
  <c r="BI475" i="3"/>
  <c r="AS475" i="3"/>
  <c r="AC475" i="3"/>
  <c r="M475" i="3"/>
  <c r="BB474" i="3"/>
  <c r="AL474" i="3"/>
  <c r="V474" i="3"/>
  <c r="BK473" i="3"/>
  <c r="AU473" i="3"/>
  <c r="AE473" i="3"/>
  <c r="O473" i="3"/>
  <c r="BH472" i="3"/>
  <c r="AR472" i="3"/>
  <c r="AB472" i="3"/>
  <c r="L472" i="3"/>
  <c r="BE471" i="3"/>
  <c r="AO471" i="3"/>
  <c r="Y471" i="3"/>
  <c r="I471" i="3"/>
  <c r="AX470" i="3"/>
  <c r="AH470" i="3"/>
  <c r="R470" i="3"/>
  <c r="BG469" i="3"/>
  <c r="AQ469" i="3"/>
  <c r="AA469" i="3"/>
  <c r="K469" i="3"/>
  <c r="BD468" i="3"/>
  <c r="AN468" i="3"/>
  <c r="X468" i="3"/>
  <c r="H468" i="3"/>
  <c r="BA467" i="3"/>
  <c r="AK467" i="3"/>
  <c r="U467" i="3"/>
  <c r="BJ466" i="3"/>
  <c r="AT466" i="3"/>
  <c r="AD466" i="3"/>
  <c r="N466" i="3"/>
  <c r="BC465" i="3"/>
  <c r="AM465" i="3"/>
  <c r="W465" i="3"/>
  <c r="G465" i="3"/>
  <c r="AZ464" i="3"/>
  <c r="AJ464" i="3"/>
  <c r="T464" i="3"/>
  <c r="BM463" i="3"/>
  <c r="AW463" i="3"/>
  <c r="AG463" i="3"/>
  <c r="Q463" i="3"/>
  <c r="BF462" i="3"/>
  <c r="BG509" i="3"/>
  <c r="AA509" i="3"/>
  <c r="BG508" i="3"/>
  <c r="AQ508" i="3"/>
  <c r="AA508" i="3"/>
  <c r="K508" i="3"/>
  <c r="BD507" i="3"/>
  <c r="AN507" i="3"/>
  <c r="X507" i="3"/>
  <c r="H507" i="3"/>
  <c r="BA506" i="3"/>
  <c r="AK506" i="3"/>
  <c r="U506" i="3"/>
  <c r="BJ505" i="3"/>
  <c r="AT505" i="3"/>
  <c r="AD505" i="3"/>
  <c r="N505" i="3"/>
  <c r="BC504" i="3"/>
  <c r="AM504" i="3"/>
  <c r="W504" i="3"/>
  <c r="G504" i="3"/>
  <c r="AZ503" i="3"/>
  <c r="AJ503" i="3"/>
  <c r="T503" i="3"/>
  <c r="BM502" i="3"/>
  <c r="AW502" i="3"/>
  <c r="AG502" i="3"/>
  <c r="Q502" i="3"/>
  <c r="BF501" i="3"/>
  <c r="AP501" i="3"/>
  <c r="Z501" i="3"/>
  <c r="J501" i="3"/>
  <c r="AY500" i="3"/>
  <c r="AI500" i="3"/>
  <c r="S500" i="3"/>
  <c r="BL499" i="3"/>
  <c r="AV499" i="3"/>
  <c r="AF499" i="3"/>
  <c r="P499" i="3"/>
  <c r="BG496" i="3"/>
  <c r="AQ496" i="3"/>
  <c r="AA496" i="3"/>
  <c r="K496" i="3"/>
  <c r="BD495" i="3"/>
  <c r="AN495" i="3"/>
  <c r="X495" i="3"/>
  <c r="H495" i="3"/>
  <c r="BA494" i="3"/>
  <c r="AK494" i="3"/>
  <c r="U494" i="3"/>
  <c r="BJ493" i="3"/>
  <c r="AT493" i="3"/>
  <c r="AD493" i="3"/>
  <c r="N493" i="3"/>
  <c r="BC492" i="3"/>
  <c r="AM492" i="3"/>
  <c r="W492" i="3"/>
  <c r="G492" i="3"/>
  <c r="AZ491" i="3"/>
  <c r="AJ491" i="3"/>
  <c r="T491" i="3"/>
  <c r="BM490" i="3"/>
  <c r="AW490" i="3"/>
  <c r="AG490" i="3"/>
  <c r="Q490" i="3"/>
  <c r="BF489" i="3"/>
  <c r="AP489" i="3"/>
  <c r="Z489" i="3"/>
  <c r="J489" i="3"/>
  <c r="AY488" i="3"/>
  <c r="AI488" i="3"/>
  <c r="S488" i="3"/>
  <c r="BL487" i="3"/>
  <c r="AV487" i="3"/>
  <c r="AF487" i="3"/>
  <c r="P487" i="3"/>
  <c r="BI486" i="3"/>
  <c r="AS486" i="3"/>
  <c r="AC486" i="3"/>
  <c r="M486" i="3"/>
  <c r="BB485" i="3"/>
  <c r="AL485" i="3"/>
  <c r="V485" i="3"/>
  <c r="BK484" i="3"/>
  <c r="AU484" i="3"/>
  <c r="AE484" i="3"/>
  <c r="O484" i="3"/>
  <c r="BH483" i="3"/>
  <c r="AR483" i="3"/>
  <c r="AB483" i="3"/>
  <c r="L483" i="3"/>
  <c r="BE482" i="3"/>
  <c r="AO482" i="3"/>
  <c r="Y482" i="3"/>
  <c r="I482" i="3"/>
  <c r="AX481" i="3"/>
  <c r="AH481" i="3"/>
  <c r="R481" i="3"/>
  <c r="BG480" i="3"/>
  <c r="AQ480" i="3"/>
  <c r="AA480" i="3"/>
  <c r="K480" i="3"/>
  <c r="BD479" i="3"/>
  <c r="AN479" i="3"/>
  <c r="X479" i="3"/>
  <c r="H479" i="3"/>
  <c r="BA478" i="3"/>
  <c r="AK478" i="3"/>
  <c r="U478" i="3"/>
  <c r="BJ477" i="3"/>
  <c r="AT477" i="3"/>
  <c r="AD477" i="3"/>
  <c r="N477" i="3"/>
  <c r="BC476" i="3"/>
  <c r="AM476" i="3"/>
  <c r="W476" i="3"/>
  <c r="G476" i="3"/>
  <c r="AZ475" i="3"/>
  <c r="AJ475" i="3"/>
  <c r="T475" i="3"/>
  <c r="BM474" i="3"/>
  <c r="AW474" i="3"/>
  <c r="AG474" i="3"/>
  <c r="Q474" i="3"/>
  <c r="BF473" i="3"/>
  <c r="AP473" i="3"/>
  <c r="Z473" i="3"/>
  <c r="J473" i="3"/>
  <c r="AY472" i="3"/>
  <c r="AI472" i="3"/>
  <c r="S472" i="3"/>
  <c r="BL471" i="3"/>
  <c r="AV471" i="3"/>
  <c r="AF471" i="3"/>
  <c r="P471" i="3"/>
  <c r="BI470" i="3"/>
  <c r="AS470" i="3"/>
  <c r="AC470" i="3"/>
  <c r="M470" i="3"/>
  <c r="BB469" i="3"/>
  <c r="AL469" i="3"/>
  <c r="V469" i="3"/>
  <c r="BK468" i="3"/>
  <c r="AU468" i="3"/>
  <c r="AE468" i="3"/>
  <c r="O468" i="3"/>
  <c r="BH467" i="3"/>
  <c r="AR467" i="3"/>
  <c r="AB467" i="3"/>
  <c r="L467" i="3"/>
  <c r="BE466" i="3"/>
  <c r="AO466" i="3"/>
  <c r="Y466" i="3"/>
  <c r="I466" i="3"/>
  <c r="AX465" i="3"/>
  <c r="AH465" i="3"/>
  <c r="R465" i="3"/>
  <c r="BG464" i="3"/>
  <c r="AQ464" i="3"/>
  <c r="AA464" i="3"/>
  <c r="K464" i="3"/>
  <c r="AP509" i="3"/>
  <c r="J509" i="3"/>
  <c r="AX508" i="3"/>
  <c r="AH508" i="3"/>
  <c r="R508" i="3"/>
  <c r="BG507" i="3"/>
  <c r="AQ507" i="3"/>
  <c r="AA507" i="3"/>
  <c r="K507" i="3"/>
  <c r="BD506" i="3"/>
  <c r="AN506" i="3"/>
  <c r="X506" i="3"/>
  <c r="H506" i="3"/>
  <c r="BA505" i="3"/>
  <c r="AK505" i="3"/>
  <c r="U505" i="3"/>
  <c r="BJ504" i="3"/>
  <c r="AT504" i="3"/>
  <c r="AD504" i="3"/>
  <c r="N504" i="3"/>
  <c r="BC503" i="3"/>
  <c r="AM503" i="3"/>
  <c r="W503" i="3"/>
  <c r="G503" i="3"/>
  <c r="AZ502" i="3"/>
  <c r="AJ502" i="3"/>
  <c r="T502" i="3"/>
  <c r="BM501" i="3"/>
  <c r="AW501" i="3"/>
  <c r="AG501" i="3"/>
  <c r="Q501" i="3"/>
  <c r="BF500" i="3"/>
  <c r="AP500" i="3"/>
  <c r="Z500" i="3"/>
  <c r="J500" i="3"/>
  <c r="AY499" i="3"/>
  <c r="AI499" i="3"/>
  <c r="S499" i="3"/>
  <c r="BJ496" i="3"/>
  <c r="AT496" i="3"/>
  <c r="AD496" i="3"/>
  <c r="N496" i="3"/>
  <c r="BC495" i="3"/>
  <c r="AM495" i="3"/>
  <c r="W495" i="3"/>
  <c r="G495" i="3"/>
  <c r="AZ494" i="3"/>
  <c r="AJ494" i="3"/>
  <c r="T494" i="3"/>
  <c r="BM493" i="3"/>
  <c r="AW493" i="3"/>
  <c r="AG493" i="3"/>
  <c r="Q493" i="3"/>
  <c r="BF492" i="3"/>
  <c r="AP492" i="3"/>
  <c r="Z492" i="3"/>
  <c r="J492" i="3"/>
  <c r="AY491" i="3"/>
  <c r="AI491" i="3"/>
  <c r="S491" i="3"/>
  <c r="BL490" i="3"/>
  <c r="AV490" i="3"/>
  <c r="AF490" i="3"/>
  <c r="P490" i="3"/>
  <c r="BI489" i="3"/>
  <c r="AS489" i="3"/>
  <c r="AC489" i="3"/>
  <c r="M489" i="3"/>
  <c r="BB488" i="3"/>
  <c r="AL488" i="3"/>
  <c r="V488" i="3"/>
  <c r="BK487" i="3"/>
  <c r="AU487" i="3"/>
  <c r="AE487" i="3"/>
  <c r="O487" i="3"/>
  <c r="BH486" i="3"/>
  <c r="AR486" i="3"/>
  <c r="AB486" i="3"/>
  <c r="L486" i="3"/>
  <c r="BE485" i="3"/>
  <c r="AO485" i="3"/>
  <c r="Y485" i="3"/>
  <c r="I485" i="3"/>
  <c r="AX484" i="3"/>
  <c r="AH484" i="3"/>
  <c r="R484" i="3"/>
  <c r="BG483" i="3"/>
  <c r="AQ483" i="3"/>
  <c r="AA483" i="3"/>
  <c r="K483" i="3"/>
  <c r="BD482" i="3"/>
  <c r="AN482" i="3"/>
  <c r="X482" i="3"/>
  <c r="H482" i="3"/>
  <c r="BA481" i="3"/>
  <c r="AK481" i="3"/>
  <c r="U481" i="3"/>
  <c r="BJ480" i="3"/>
  <c r="AT480" i="3"/>
  <c r="AD480" i="3"/>
  <c r="N480" i="3"/>
  <c r="BC479" i="3"/>
  <c r="AM479" i="3"/>
  <c r="W479" i="3"/>
  <c r="G479" i="3"/>
  <c r="AZ478" i="3"/>
  <c r="AJ478" i="3"/>
  <c r="T478" i="3"/>
  <c r="BM477" i="3"/>
  <c r="AW477" i="3"/>
  <c r="AG477" i="3"/>
  <c r="Q477" i="3"/>
  <c r="BF476" i="3"/>
  <c r="AP476" i="3"/>
  <c r="Z476" i="3"/>
  <c r="J476" i="3"/>
  <c r="AY475" i="3"/>
  <c r="AI475" i="3"/>
  <c r="S475" i="3"/>
  <c r="BL474" i="3"/>
  <c r="AV474" i="3"/>
  <c r="AF474" i="3"/>
  <c r="P474" i="3"/>
  <c r="BI473" i="3"/>
  <c r="AS473" i="3"/>
  <c r="AC473" i="3"/>
  <c r="M473" i="3"/>
  <c r="BB472" i="3"/>
  <c r="AL472" i="3"/>
  <c r="V472" i="3"/>
  <c r="BK471" i="3"/>
  <c r="AU471" i="3"/>
  <c r="AE471" i="3"/>
  <c r="O471" i="3"/>
  <c r="BH470" i="3"/>
  <c r="AR470" i="3"/>
  <c r="AB470" i="3"/>
  <c r="L470" i="3"/>
  <c r="BE469" i="3"/>
  <c r="AO469" i="3"/>
  <c r="Y469" i="3"/>
  <c r="I469" i="3"/>
  <c r="AX468" i="3"/>
  <c r="AH468" i="3"/>
  <c r="R468" i="3"/>
  <c r="BG467" i="3"/>
  <c r="AQ467" i="3"/>
  <c r="AA467" i="3"/>
  <c r="K467" i="3"/>
  <c r="BD466" i="3"/>
  <c r="AN466" i="3"/>
  <c r="X466" i="3"/>
  <c r="H466" i="3"/>
  <c r="BA465" i="3"/>
  <c r="AK465" i="3"/>
  <c r="U465" i="3"/>
  <c r="BJ464" i="3"/>
  <c r="AT464" i="3"/>
  <c r="AD464" i="3"/>
  <c r="N464" i="3"/>
  <c r="BC463" i="3"/>
  <c r="AM463" i="3"/>
  <c r="W463" i="3"/>
  <c r="G463" i="3"/>
  <c r="H463" i="3"/>
  <c r="AN462" i="3"/>
  <c r="R462" i="3"/>
  <c r="BH461" i="3"/>
  <c r="AR461" i="3"/>
  <c r="AB461" i="3"/>
  <c r="L461" i="3"/>
  <c r="BE460" i="3"/>
  <c r="AO460" i="3"/>
  <c r="Y460" i="3"/>
  <c r="I460" i="3"/>
  <c r="AX459" i="3"/>
  <c r="AH459" i="3"/>
  <c r="R459" i="3"/>
  <c r="BG458" i="3"/>
  <c r="AQ458" i="3"/>
  <c r="AA458" i="3"/>
  <c r="K458" i="3"/>
  <c r="BD457" i="3"/>
  <c r="AN457" i="3"/>
  <c r="X457" i="3"/>
  <c r="H457" i="3"/>
  <c r="AZ455" i="3"/>
  <c r="AJ455" i="3"/>
  <c r="T455" i="3"/>
  <c r="BM454" i="3"/>
  <c r="AW454" i="3"/>
  <c r="AG454" i="3"/>
  <c r="Q454" i="3"/>
  <c r="BF453" i="3"/>
  <c r="AP453" i="3"/>
  <c r="Z453" i="3"/>
  <c r="J453" i="3"/>
  <c r="AY452" i="3"/>
  <c r="AI452" i="3"/>
  <c r="S452" i="3"/>
  <c r="BL451" i="3"/>
  <c r="AV451" i="3"/>
  <c r="AF451" i="3"/>
  <c r="P451" i="3"/>
  <c r="BI450" i="3"/>
  <c r="AS450" i="3"/>
  <c r="AC450" i="3"/>
  <c r="M450" i="3"/>
  <c r="BB449" i="3"/>
  <c r="AL449" i="3"/>
  <c r="V449" i="3"/>
  <c r="BK448" i="3"/>
  <c r="AU448" i="3"/>
  <c r="AE448" i="3"/>
  <c r="O448" i="3"/>
  <c r="BH447" i="3"/>
  <c r="AR447" i="3"/>
  <c r="AB447" i="3"/>
  <c r="L447" i="3"/>
  <c r="BE446" i="3"/>
  <c r="AO446" i="3"/>
  <c r="Y446" i="3"/>
  <c r="I446" i="3"/>
  <c r="AX445" i="3"/>
  <c r="AH445" i="3"/>
  <c r="R445" i="3"/>
  <c r="BG444" i="3"/>
  <c r="AQ444" i="3"/>
  <c r="AA444" i="3"/>
  <c r="K444" i="3"/>
  <c r="BD443" i="3"/>
  <c r="AN443" i="3"/>
  <c r="X443" i="3"/>
  <c r="H443" i="3"/>
  <c r="BA442" i="3"/>
  <c r="AK442" i="3"/>
  <c r="U442" i="3"/>
  <c r="BJ441" i="3"/>
  <c r="AT441" i="3"/>
  <c r="AD441" i="3"/>
  <c r="N441" i="3"/>
  <c r="BC440" i="3"/>
  <c r="AM440" i="3"/>
  <c r="W440" i="3"/>
  <c r="G440" i="3"/>
  <c r="AZ439" i="3"/>
  <c r="AJ439" i="3"/>
  <c r="T439" i="3"/>
  <c r="BM438" i="3"/>
  <c r="AW438" i="3"/>
  <c r="AG438" i="3"/>
  <c r="Q438" i="3"/>
  <c r="BF437" i="3"/>
  <c r="AP437" i="3"/>
  <c r="Z437" i="3"/>
  <c r="J437" i="3"/>
  <c r="AY436" i="3"/>
  <c r="AI436" i="3"/>
  <c r="S436" i="3"/>
  <c r="BL435" i="3"/>
  <c r="AV435" i="3"/>
  <c r="AF435" i="3"/>
  <c r="P435" i="3"/>
  <c r="BI434" i="3"/>
  <c r="AS434" i="3"/>
  <c r="AC434" i="3"/>
  <c r="M434" i="3"/>
  <c r="BB433" i="3"/>
  <c r="AL433" i="3"/>
  <c r="V433" i="3"/>
  <c r="BK432" i="3"/>
  <c r="AU432" i="3"/>
  <c r="AE432" i="3"/>
  <c r="O432" i="3"/>
  <c r="BH431" i="3"/>
  <c r="AR431" i="3"/>
  <c r="AB431" i="3"/>
  <c r="L431" i="3"/>
  <c r="BE430" i="3"/>
  <c r="AO430" i="3"/>
  <c r="Y430" i="3"/>
  <c r="I430" i="3"/>
  <c r="AX429" i="3"/>
  <c r="AH429" i="3"/>
  <c r="R429" i="3"/>
  <c r="BG428" i="3"/>
  <c r="AQ428" i="3"/>
  <c r="AA428" i="3"/>
  <c r="K428" i="3"/>
  <c r="BD427" i="3"/>
  <c r="AN427" i="3"/>
  <c r="X427" i="3"/>
  <c r="H427" i="3"/>
  <c r="BA426" i="3"/>
  <c r="AK426" i="3"/>
  <c r="U426" i="3"/>
  <c r="BJ425" i="3"/>
  <c r="AT425" i="3"/>
  <c r="AD425" i="3"/>
  <c r="N425" i="3"/>
  <c r="BC424" i="3"/>
  <c r="AM424" i="3"/>
  <c r="W424" i="3"/>
  <c r="G424" i="3"/>
  <c r="AZ423" i="3"/>
  <c r="AJ423" i="3"/>
  <c r="T423" i="3"/>
  <c r="BM422" i="3"/>
  <c r="AW422" i="3"/>
  <c r="AG422" i="3"/>
  <c r="Q422" i="3"/>
  <c r="BF421" i="3"/>
  <c r="AP421" i="3"/>
  <c r="Z421" i="3"/>
  <c r="J421" i="3"/>
  <c r="AY420" i="3"/>
  <c r="AI420" i="3"/>
  <c r="S420" i="3"/>
  <c r="BL419" i="3"/>
  <c r="AV419" i="3"/>
  <c r="AF419" i="3"/>
  <c r="P419" i="3"/>
  <c r="BI418" i="3"/>
  <c r="AS418" i="3"/>
  <c r="AC418" i="3"/>
  <c r="M418" i="3"/>
  <c r="BB417" i="3"/>
  <c r="AL417" i="3"/>
  <c r="V417" i="3"/>
  <c r="AZ463" i="3"/>
  <c r="AZ462" i="3"/>
  <c r="AB462" i="3"/>
  <c r="BK461" i="3"/>
  <c r="AU461" i="3"/>
  <c r="AE461" i="3"/>
  <c r="O461" i="3"/>
  <c r="BH460" i="3"/>
  <c r="AR460" i="3"/>
  <c r="AB460" i="3"/>
  <c r="L460" i="3"/>
  <c r="BE459" i="3"/>
  <c r="AO459" i="3"/>
  <c r="Y459" i="3"/>
  <c r="I459" i="3"/>
  <c r="AX458" i="3"/>
  <c r="AH458" i="3"/>
  <c r="R458" i="3"/>
  <c r="BG457" i="3"/>
  <c r="AQ457" i="3"/>
  <c r="AA457" i="3"/>
  <c r="K457" i="3"/>
  <c r="BC455" i="3"/>
  <c r="AM455" i="3"/>
  <c r="W455" i="3"/>
  <c r="G455" i="3"/>
  <c r="AZ454" i="3"/>
  <c r="AJ454" i="3"/>
  <c r="T454" i="3"/>
  <c r="BM453" i="3"/>
  <c r="AW453" i="3"/>
  <c r="AG453" i="3"/>
  <c r="Q453" i="3"/>
  <c r="BF452" i="3"/>
  <c r="AP452" i="3"/>
  <c r="Z452" i="3"/>
  <c r="J452" i="3"/>
  <c r="AY451" i="3"/>
  <c r="AI451" i="3"/>
  <c r="S451" i="3"/>
  <c r="BL450" i="3"/>
  <c r="AV450" i="3"/>
  <c r="AF450" i="3"/>
  <c r="P450" i="3"/>
  <c r="BI449" i="3"/>
  <c r="AS449" i="3"/>
  <c r="AC449" i="3"/>
  <c r="M449" i="3"/>
  <c r="BB448" i="3"/>
  <c r="AL448" i="3"/>
  <c r="V448" i="3"/>
  <c r="BK447" i="3"/>
  <c r="AU447" i="3"/>
  <c r="AE447" i="3"/>
  <c r="O447" i="3"/>
  <c r="BH446" i="3"/>
  <c r="AR446" i="3"/>
  <c r="AB446" i="3"/>
  <c r="L446" i="3"/>
  <c r="BE445" i="3"/>
  <c r="AO445" i="3"/>
  <c r="Y445" i="3"/>
  <c r="I445" i="3"/>
  <c r="AX444" i="3"/>
  <c r="AH444" i="3"/>
  <c r="R444" i="3"/>
  <c r="BG443" i="3"/>
  <c r="AQ443" i="3"/>
  <c r="AA443" i="3"/>
  <c r="K443" i="3"/>
  <c r="BD442" i="3"/>
  <c r="AN442" i="3"/>
  <c r="X442" i="3"/>
  <c r="H442" i="3"/>
  <c r="BA441" i="3"/>
  <c r="AK441" i="3"/>
  <c r="U441" i="3"/>
  <c r="BJ440" i="3"/>
  <c r="AT440" i="3"/>
  <c r="AD440" i="3"/>
  <c r="N440" i="3"/>
  <c r="BC439" i="3"/>
  <c r="AM439" i="3"/>
  <c r="W439" i="3"/>
  <c r="G439" i="3"/>
  <c r="AZ438" i="3"/>
  <c r="AJ438" i="3"/>
  <c r="T438" i="3"/>
  <c r="BM437" i="3"/>
  <c r="AW437" i="3"/>
  <c r="AG437" i="3"/>
  <c r="Q437" i="3"/>
  <c r="BF436" i="3"/>
  <c r="AP436" i="3"/>
  <c r="Z436" i="3"/>
  <c r="J436" i="3"/>
  <c r="AY435" i="3"/>
  <c r="AI435" i="3"/>
  <c r="S435" i="3"/>
  <c r="BL434" i="3"/>
  <c r="AV434" i="3"/>
  <c r="AF434" i="3"/>
  <c r="P434" i="3"/>
  <c r="BI433" i="3"/>
  <c r="AS433" i="3"/>
  <c r="AC433" i="3"/>
  <c r="M433" i="3"/>
  <c r="BB432" i="3"/>
  <c r="AL432" i="3"/>
  <c r="V432" i="3"/>
  <c r="BK431" i="3"/>
  <c r="AU431" i="3"/>
  <c r="AE431" i="3"/>
  <c r="O431" i="3"/>
  <c r="BH430" i="3"/>
  <c r="AR430" i="3"/>
  <c r="AB430" i="3"/>
  <c r="L430" i="3"/>
  <c r="BE429" i="3"/>
  <c r="AO429" i="3"/>
  <c r="Y429" i="3"/>
  <c r="I429" i="3"/>
  <c r="AX428" i="3"/>
  <c r="AH428" i="3"/>
  <c r="R428" i="3"/>
  <c r="BG427" i="3"/>
  <c r="AQ427" i="3"/>
  <c r="AA427" i="3"/>
  <c r="K427" i="3"/>
  <c r="BD426" i="3"/>
  <c r="AN426" i="3"/>
  <c r="X426" i="3"/>
  <c r="H426" i="3"/>
  <c r="BA425" i="3"/>
  <c r="AK425" i="3"/>
  <c r="U425" i="3"/>
  <c r="BJ424" i="3"/>
  <c r="AT424" i="3"/>
  <c r="AD424" i="3"/>
  <c r="N424" i="3"/>
  <c r="BC423" i="3"/>
  <c r="AM423" i="3"/>
  <c r="W423" i="3"/>
  <c r="G423" i="3"/>
  <c r="AZ422" i="3"/>
  <c r="AJ422" i="3"/>
  <c r="T422" i="3"/>
  <c r="BM421" i="3"/>
  <c r="AW421" i="3"/>
  <c r="AG421" i="3"/>
  <c r="Q421" i="3"/>
  <c r="BF420" i="3"/>
  <c r="AP420" i="3"/>
  <c r="Z420" i="3"/>
  <c r="J420" i="3"/>
  <c r="AY419" i="3"/>
  <c r="AI419" i="3"/>
  <c r="S419" i="3"/>
  <c r="BL418" i="3"/>
  <c r="AV418" i="3"/>
  <c r="AF418" i="3"/>
  <c r="P418" i="3"/>
  <c r="BI417" i="3"/>
  <c r="AS417" i="3"/>
  <c r="AC417" i="3"/>
  <c r="M417" i="3"/>
  <c r="AF463" i="3"/>
  <c r="AW462" i="3"/>
  <c r="Z462" i="3"/>
  <c r="BJ461" i="3"/>
  <c r="AT461" i="3"/>
  <c r="AD461" i="3"/>
  <c r="N461" i="3"/>
  <c r="BC460" i="3"/>
  <c r="AM460" i="3"/>
  <c r="W460" i="3"/>
  <c r="G460" i="3"/>
  <c r="AZ459" i="3"/>
  <c r="AJ459" i="3"/>
  <c r="T459" i="3"/>
  <c r="BM458" i="3"/>
  <c r="AW458" i="3"/>
  <c r="AG458" i="3"/>
  <c r="Q458" i="3"/>
  <c r="BF457" i="3"/>
  <c r="AP457" i="3"/>
  <c r="Z457" i="3"/>
  <c r="J457" i="3"/>
  <c r="AX455" i="3"/>
  <c r="AH455" i="3"/>
  <c r="R455" i="3"/>
  <c r="BG454" i="3"/>
  <c r="AQ454" i="3"/>
  <c r="AA454" i="3"/>
  <c r="K454" i="3"/>
  <c r="BD453" i="3"/>
  <c r="AN453" i="3"/>
  <c r="X453" i="3"/>
  <c r="H453" i="3"/>
  <c r="BA452" i="3"/>
  <c r="AK452" i="3"/>
  <c r="U452" i="3"/>
  <c r="BJ451" i="3"/>
  <c r="AT451" i="3"/>
  <c r="AD451" i="3"/>
  <c r="N451" i="3"/>
  <c r="BC450" i="3"/>
  <c r="AM450" i="3"/>
  <c r="W450" i="3"/>
  <c r="G450" i="3"/>
  <c r="AZ449" i="3"/>
  <c r="AJ449" i="3"/>
  <c r="T449" i="3"/>
  <c r="BM448" i="3"/>
  <c r="AW448" i="3"/>
  <c r="AG448" i="3"/>
  <c r="Q448" i="3"/>
  <c r="BF447" i="3"/>
  <c r="AP447" i="3"/>
  <c r="Z447" i="3"/>
  <c r="J447" i="3"/>
  <c r="AY446" i="3"/>
  <c r="AI446" i="3"/>
  <c r="S446" i="3"/>
  <c r="BL445" i="3"/>
  <c r="AV445" i="3"/>
  <c r="AF445" i="3"/>
  <c r="P445" i="3"/>
  <c r="BI444" i="3"/>
  <c r="AS444" i="3"/>
  <c r="AC444" i="3"/>
  <c r="M444" i="3"/>
  <c r="BB443" i="3"/>
  <c r="AL443" i="3"/>
  <c r="V443" i="3"/>
  <c r="BK442" i="3"/>
  <c r="AU442" i="3"/>
  <c r="AE442" i="3"/>
  <c r="O442" i="3"/>
  <c r="BH441" i="3"/>
  <c r="AR441" i="3"/>
  <c r="AB441" i="3"/>
  <c r="L441" i="3"/>
  <c r="BE440" i="3"/>
  <c r="AO440" i="3"/>
  <c r="Y440" i="3"/>
  <c r="I440" i="3"/>
  <c r="AX439" i="3"/>
  <c r="AH439" i="3"/>
  <c r="R439" i="3"/>
  <c r="BG438" i="3"/>
  <c r="AQ438" i="3"/>
  <c r="AA438" i="3"/>
  <c r="K438" i="3"/>
  <c r="BD437" i="3"/>
  <c r="AN437" i="3"/>
  <c r="X437" i="3"/>
  <c r="H437" i="3"/>
  <c r="BA436" i="3"/>
  <c r="AK436" i="3"/>
  <c r="U436" i="3"/>
  <c r="BJ435" i="3"/>
  <c r="AT435" i="3"/>
  <c r="AD435" i="3"/>
  <c r="N435" i="3"/>
  <c r="BC434" i="3"/>
  <c r="AM434" i="3"/>
  <c r="W434" i="3"/>
  <c r="G434" i="3"/>
  <c r="AZ433" i="3"/>
  <c r="AJ433" i="3"/>
  <c r="T433" i="3"/>
  <c r="BM432" i="3"/>
  <c r="AW432" i="3"/>
  <c r="AG432" i="3"/>
  <c r="Q432" i="3"/>
  <c r="BF431" i="3"/>
  <c r="AP431" i="3"/>
  <c r="Z431" i="3"/>
  <c r="J431" i="3"/>
  <c r="AY430" i="3"/>
  <c r="AI430" i="3"/>
  <c r="S430" i="3"/>
  <c r="BL429" i="3"/>
  <c r="AV429" i="3"/>
  <c r="AF429" i="3"/>
  <c r="P429" i="3"/>
  <c r="BI428" i="3"/>
  <c r="AS428" i="3"/>
  <c r="AC428" i="3"/>
  <c r="M428" i="3"/>
  <c r="BB427" i="3"/>
  <c r="AL427" i="3"/>
  <c r="V427" i="3"/>
  <c r="BK426" i="3"/>
  <c r="AU426" i="3"/>
  <c r="AE426" i="3"/>
  <c r="O426" i="3"/>
  <c r="BH425" i="3"/>
  <c r="AR425" i="3"/>
  <c r="AB425" i="3"/>
  <c r="L425" i="3"/>
  <c r="BE424" i="3"/>
  <c r="AO424" i="3"/>
  <c r="Y424" i="3"/>
  <c r="I424" i="3"/>
  <c r="AX423" i="3"/>
  <c r="AH423" i="3"/>
  <c r="R423" i="3"/>
  <c r="BG422" i="3"/>
  <c r="AQ422" i="3"/>
  <c r="AA422" i="3"/>
  <c r="K422" i="3"/>
  <c r="BD421" i="3"/>
  <c r="AN421" i="3"/>
  <c r="X421" i="3"/>
  <c r="H421" i="3"/>
  <c r="BA420" i="3"/>
  <c r="AK420" i="3"/>
  <c r="U420" i="3"/>
  <c r="BJ419" i="3"/>
  <c r="AT419" i="3"/>
  <c r="AD419" i="3"/>
  <c r="N419" i="3"/>
  <c r="BC418" i="3"/>
  <c r="AM418" i="3"/>
  <c r="W418" i="3"/>
  <c r="G418" i="3"/>
  <c r="AZ417" i="3"/>
  <c r="AJ417" i="3"/>
  <c r="L463" i="3"/>
  <c r="AO462" i="3"/>
  <c r="T462" i="3"/>
  <c r="BI461" i="3"/>
  <c r="AS461" i="3"/>
  <c r="AC461" i="3"/>
  <c r="M461" i="3"/>
  <c r="BB460" i="3"/>
  <c r="AL460" i="3"/>
  <c r="V460" i="3"/>
  <c r="BK459" i="3"/>
  <c r="AU459" i="3"/>
  <c r="AE459" i="3"/>
  <c r="O459" i="3"/>
  <c r="BH458" i="3"/>
  <c r="AR458" i="3"/>
  <c r="AB458" i="3"/>
  <c r="L458" i="3"/>
  <c r="BE457" i="3"/>
  <c r="AO457" i="3"/>
  <c r="Y457" i="3"/>
  <c r="I457" i="3"/>
  <c r="BA455" i="3"/>
  <c r="AK455" i="3"/>
  <c r="U455" i="3"/>
  <c r="BJ454" i="3"/>
  <c r="AT454" i="3"/>
  <c r="AD454" i="3"/>
  <c r="N454" i="3"/>
  <c r="BC453" i="3"/>
  <c r="AM453" i="3"/>
  <c r="W453" i="3"/>
  <c r="G453" i="3"/>
  <c r="AZ452" i="3"/>
  <c r="AJ452" i="3"/>
  <c r="T452" i="3"/>
  <c r="BM451" i="3"/>
  <c r="AW451" i="3"/>
  <c r="AG451" i="3"/>
  <c r="Q451" i="3"/>
  <c r="BF450" i="3"/>
  <c r="AP450" i="3"/>
  <c r="Z450" i="3"/>
  <c r="J450" i="3"/>
  <c r="AY449" i="3"/>
  <c r="AI449" i="3"/>
  <c r="S449" i="3"/>
  <c r="BL448" i="3"/>
  <c r="AV448" i="3"/>
  <c r="AF448" i="3"/>
  <c r="P448" i="3"/>
  <c r="BI447" i="3"/>
  <c r="AS447" i="3"/>
  <c r="AC447" i="3"/>
  <c r="M447" i="3"/>
  <c r="BB446" i="3"/>
  <c r="AL446" i="3"/>
  <c r="V446" i="3"/>
  <c r="BK445" i="3"/>
  <c r="AU445" i="3"/>
  <c r="AE445" i="3"/>
  <c r="O445" i="3"/>
  <c r="BH444" i="3"/>
  <c r="AR444" i="3"/>
  <c r="AB444" i="3"/>
  <c r="L444" i="3"/>
  <c r="BE443" i="3"/>
  <c r="AO443" i="3"/>
  <c r="Y443" i="3"/>
  <c r="I443" i="3"/>
  <c r="AX442" i="3"/>
  <c r="AH442" i="3"/>
  <c r="R442" i="3"/>
  <c r="BG441" i="3"/>
  <c r="AQ441" i="3"/>
  <c r="AA441" i="3"/>
  <c r="K441" i="3"/>
  <c r="BD440" i="3"/>
  <c r="AN440" i="3"/>
  <c r="X440" i="3"/>
  <c r="H440" i="3"/>
  <c r="BA439" i="3"/>
  <c r="AK439" i="3"/>
  <c r="U439" i="3"/>
  <c r="BJ438" i="3"/>
  <c r="AT438" i="3"/>
  <c r="AD438" i="3"/>
  <c r="N438" i="3"/>
  <c r="BC437" i="3"/>
  <c r="AM437" i="3"/>
  <c r="W437" i="3"/>
  <c r="G437" i="3"/>
  <c r="AZ436" i="3"/>
  <c r="AJ436" i="3"/>
  <c r="T436" i="3"/>
  <c r="BM435" i="3"/>
  <c r="AW435" i="3"/>
  <c r="AG435" i="3"/>
  <c r="Q435" i="3"/>
  <c r="BF434" i="3"/>
  <c r="AP434" i="3"/>
  <c r="Z434" i="3"/>
  <c r="J434" i="3"/>
  <c r="AY433" i="3"/>
  <c r="AI433" i="3"/>
  <c r="S433" i="3"/>
  <c r="BL432" i="3"/>
  <c r="AV432" i="3"/>
  <c r="AF432" i="3"/>
  <c r="P432" i="3"/>
  <c r="BI431" i="3"/>
  <c r="AS431" i="3"/>
  <c r="AC431" i="3"/>
  <c r="M431" i="3"/>
  <c r="BB430" i="3"/>
  <c r="AL430" i="3"/>
  <c r="V430" i="3"/>
  <c r="BK429" i="3"/>
  <c r="AU429" i="3"/>
  <c r="AE429" i="3"/>
  <c r="O429" i="3"/>
  <c r="BH428" i="3"/>
  <c r="AR428" i="3"/>
  <c r="AB428" i="3"/>
  <c r="L428" i="3"/>
  <c r="BE427" i="3"/>
  <c r="AO427" i="3"/>
  <c r="Y427" i="3"/>
  <c r="I427" i="3"/>
  <c r="AX426" i="3"/>
  <c r="AH426" i="3"/>
  <c r="R426" i="3"/>
  <c r="BG425" i="3"/>
  <c r="AQ425" i="3"/>
  <c r="AA425" i="3"/>
  <c r="K425" i="3"/>
  <c r="BD424" i="3"/>
  <c r="AN424" i="3"/>
  <c r="X424" i="3"/>
  <c r="H424" i="3"/>
  <c r="BA423" i="3"/>
  <c r="AK423" i="3"/>
  <c r="U423" i="3"/>
  <c r="BJ422" i="3"/>
  <c r="AT422" i="3"/>
  <c r="AD422" i="3"/>
  <c r="N422" i="3"/>
  <c r="BC421" i="3"/>
  <c r="AM421" i="3"/>
  <c r="W421" i="3"/>
  <c r="G421" i="3"/>
  <c r="AZ420" i="3"/>
  <c r="AJ420" i="3"/>
  <c r="T420" i="3"/>
  <c r="BM419" i="3"/>
  <c r="AW419" i="3"/>
  <c r="AG419" i="3"/>
  <c r="Q419" i="3"/>
  <c r="BF418" i="3"/>
  <c r="AP418" i="3"/>
  <c r="Z418" i="3"/>
  <c r="J418" i="3"/>
  <c r="AY417" i="3"/>
  <c r="AI417" i="3"/>
  <c r="S417" i="3"/>
  <c r="X417" i="3"/>
  <c r="BC416" i="3"/>
  <c r="AM416" i="3"/>
  <c r="W416" i="3"/>
  <c r="G416" i="3"/>
  <c r="AY414" i="3"/>
  <c r="AI414" i="3"/>
  <c r="S414" i="3"/>
  <c r="BL413" i="3"/>
  <c r="AV413" i="3"/>
  <c r="AF413" i="3"/>
  <c r="P413" i="3"/>
  <c r="BI412" i="3"/>
  <c r="AS412" i="3"/>
  <c r="AC412" i="3"/>
  <c r="M412" i="3"/>
  <c r="BB411" i="3"/>
  <c r="AL411" i="3"/>
  <c r="V411" i="3"/>
  <c r="BK410" i="3"/>
  <c r="AU410" i="3"/>
  <c r="AE410" i="3"/>
  <c r="O410" i="3"/>
  <c r="BH409" i="3"/>
  <c r="AR409" i="3"/>
  <c r="AB409" i="3"/>
  <c r="L409" i="3"/>
  <c r="BE408" i="3"/>
  <c r="AO408" i="3"/>
  <c r="Y408" i="3"/>
  <c r="I408" i="3"/>
  <c r="AX407" i="3"/>
  <c r="AH407" i="3"/>
  <c r="R407" i="3"/>
  <c r="BG406" i="3"/>
  <c r="AQ406" i="3"/>
  <c r="AA406" i="3"/>
  <c r="K406" i="3"/>
  <c r="BD405" i="3"/>
  <c r="AN405" i="3"/>
  <c r="X405" i="3"/>
  <c r="H405" i="3"/>
  <c r="BA404" i="3"/>
  <c r="AK404" i="3"/>
  <c r="U404" i="3"/>
  <c r="BJ403" i="3"/>
  <c r="AT403" i="3"/>
  <c r="AD403" i="3"/>
  <c r="N403" i="3"/>
  <c r="BC402" i="3"/>
  <c r="AM402" i="3"/>
  <c r="W402" i="3"/>
  <c r="G402" i="3"/>
  <c r="AZ401" i="3"/>
  <c r="AJ401" i="3"/>
  <c r="T401" i="3"/>
  <c r="BM400" i="3"/>
  <c r="AW400" i="3"/>
  <c r="AG400" i="3"/>
  <c r="Q400" i="3"/>
  <c r="BF399" i="3"/>
  <c r="AP399" i="3"/>
  <c r="Z399" i="3"/>
  <c r="J399" i="3"/>
  <c r="AY398" i="3"/>
  <c r="AI398" i="3"/>
  <c r="S398" i="3"/>
  <c r="BL397" i="3"/>
  <c r="AV397" i="3"/>
  <c r="AF397" i="3"/>
  <c r="P397" i="3"/>
  <c r="BI396" i="3"/>
  <c r="AS396" i="3"/>
  <c r="AC396" i="3"/>
  <c r="M396" i="3"/>
  <c r="BB395" i="3"/>
  <c r="AL395" i="3"/>
  <c r="V395" i="3"/>
  <c r="BK394" i="3"/>
  <c r="AU394" i="3"/>
  <c r="AE394" i="3"/>
  <c r="O394" i="3"/>
  <c r="BH393" i="3"/>
  <c r="AR393" i="3"/>
  <c r="AB393" i="3"/>
  <c r="L393" i="3"/>
  <c r="BE392" i="3"/>
  <c r="AO392" i="3"/>
  <c r="Y392" i="3"/>
  <c r="I392" i="3"/>
  <c r="AX391" i="3"/>
  <c r="AH391" i="3"/>
  <c r="R391" i="3"/>
  <c r="BG390" i="3"/>
  <c r="AQ390" i="3"/>
  <c r="AA390" i="3"/>
  <c r="K390" i="3"/>
  <c r="BD389" i="3"/>
  <c r="AN389" i="3"/>
  <c r="X389" i="3"/>
  <c r="H389" i="3"/>
  <c r="BA388" i="3"/>
  <c r="AK388" i="3"/>
  <c r="U388" i="3"/>
  <c r="BJ387" i="3"/>
  <c r="AT387" i="3"/>
  <c r="AD387" i="3"/>
  <c r="N387" i="3"/>
  <c r="BC386" i="3"/>
  <c r="AM386" i="3"/>
  <c r="W386" i="3"/>
  <c r="G386" i="3"/>
  <c r="AZ385" i="3"/>
  <c r="AJ385" i="3"/>
  <c r="T385" i="3"/>
  <c r="BM384" i="3"/>
  <c r="AW384" i="3"/>
  <c r="AG384" i="3"/>
  <c r="Q384" i="3"/>
  <c r="BF383" i="3"/>
  <c r="AP383" i="3"/>
  <c r="Z383" i="3"/>
  <c r="J383" i="3"/>
  <c r="AY382" i="3"/>
  <c r="AI382" i="3"/>
  <c r="S382" i="3"/>
  <c r="BL381" i="3"/>
  <c r="AV381" i="3"/>
  <c r="AF381" i="3"/>
  <c r="P381" i="3"/>
  <c r="BI380" i="3"/>
  <c r="AS380" i="3"/>
  <c r="AC380" i="3"/>
  <c r="M380" i="3"/>
  <c r="BB379" i="3"/>
  <c r="AL379" i="3"/>
  <c r="V379" i="3"/>
  <c r="BK378" i="3"/>
  <c r="AU378" i="3"/>
  <c r="AE378" i="3"/>
  <c r="O378" i="3"/>
  <c r="BH377" i="3"/>
  <c r="AR377" i="3"/>
  <c r="AB377" i="3"/>
  <c r="L377" i="3"/>
  <c r="BE376" i="3"/>
  <c r="AO376" i="3"/>
  <c r="Y376" i="3"/>
  <c r="I376" i="3"/>
  <c r="AX375" i="3"/>
  <c r="AH375" i="3"/>
  <c r="R375" i="3"/>
  <c r="BF373" i="3"/>
  <c r="AP373" i="3"/>
  <c r="Z373" i="3"/>
  <c r="J373" i="3"/>
  <c r="AY372" i="3"/>
  <c r="AI372" i="3"/>
  <c r="S372" i="3"/>
  <c r="BL371" i="3"/>
  <c r="AV371" i="3"/>
  <c r="AF371" i="3"/>
  <c r="P371" i="3"/>
  <c r="BI370" i="3"/>
  <c r="AS370" i="3"/>
  <c r="AC370" i="3"/>
  <c r="M370" i="3"/>
  <c r="BB369" i="3"/>
  <c r="AL369" i="3"/>
  <c r="V369" i="3"/>
  <c r="BK368" i="3"/>
  <c r="AU368" i="3"/>
  <c r="AE368" i="3"/>
  <c r="O368" i="3"/>
  <c r="BH367" i="3"/>
  <c r="AR367" i="3"/>
  <c r="AB367" i="3"/>
  <c r="L367" i="3"/>
  <c r="BE366" i="3"/>
  <c r="AO366" i="3"/>
  <c r="Y366" i="3"/>
  <c r="I366" i="3"/>
  <c r="AX365" i="3"/>
  <c r="AH365" i="3"/>
  <c r="R365" i="3"/>
  <c r="BG364" i="3"/>
  <c r="AQ364" i="3"/>
  <c r="AA364" i="3"/>
  <c r="K364" i="3"/>
  <c r="BD363" i="3"/>
  <c r="AN363" i="3"/>
  <c r="X363" i="3"/>
  <c r="H363" i="3"/>
  <c r="BA362" i="3"/>
  <c r="AK362" i="3"/>
  <c r="U362" i="3"/>
  <c r="BJ361" i="3"/>
  <c r="AT361" i="3"/>
  <c r="AD361" i="3"/>
  <c r="N361" i="3"/>
  <c r="BC360" i="3"/>
  <c r="AM360" i="3"/>
  <c r="W360" i="3"/>
  <c r="G360" i="3"/>
  <c r="AZ359" i="3"/>
  <c r="AJ359" i="3"/>
  <c r="T359" i="3"/>
  <c r="BM358" i="3"/>
  <c r="AW358" i="3"/>
  <c r="AG358" i="3"/>
  <c r="Q358" i="3"/>
  <c r="BF357" i="3"/>
  <c r="AP357" i="3"/>
  <c r="Z357" i="3"/>
  <c r="J357" i="3"/>
  <c r="AY356" i="3"/>
  <c r="AI356" i="3"/>
  <c r="S356" i="3"/>
  <c r="BL355" i="3"/>
  <c r="AV355" i="3"/>
  <c r="AF355" i="3"/>
  <c r="P355" i="3"/>
  <c r="BI354" i="3"/>
  <c r="AS354" i="3"/>
  <c r="AC354" i="3"/>
  <c r="M354" i="3"/>
  <c r="BB353" i="3"/>
  <c r="AL353" i="3"/>
  <c r="V353" i="3"/>
  <c r="BK352" i="3"/>
  <c r="AU352" i="3"/>
  <c r="AE352" i="3"/>
  <c r="O352" i="3"/>
  <c r="BH351" i="3"/>
  <c r="AR351" i="3"/>
  <c r="AB351" i="3"/>
  <c r="L351" i="3"/>
  <c r="BE350" i="3"/>
  <c r="AO350" i="3"/>
  <c r="Y350" i="3"/>
  <c r="I350" i="3"/>
  <c r="AX349" i="3"/>
  <c r="AH349" i="3"/>
  <c r="R349" i="3"/>
  <c r="BG348" i="3"/>
  <c r="AQ348" i="3"/>
  <c r="AA348" i="3"/>
  <c r="K348" i="3"/>
  <c r="BD347" i="3"/>
  <c r="AN347" i="3"/>
  <c r="X347" i="3"/>
  <c r="H347" i="3"/>
  <c r="BA346" i="3"/>
  <c r="AK346" i="3"/>
  <c r="U346" i="3"/>
  <c r="BJ345" i="3"/>
  <c r="AT345" i="3"/>
  <c r="AD345" i="3"/>
  <c r="N345" i="3"/>
  <c r="BC344" i="3"/>
  <c r="AM344" i="3"/>
  <c r="W344" i="3"/>
  <c r="G344" i="3"/>
  <c r="AZ343" i="3"/>
  <c r="AJ343" i="3"/>
  <c r="T343" i="3"/>
  <c r="BM342" i="3"/>
  <c r="AW342" i="3"/>
  <c r="AG342" i="3"/>
  <c r="Q342" i="3"/>
  <c r="BF341" i="3"/>
  <c r="AP341" i="3"/>
  <c r="Z341" i="3"/>
  <c r="J341" i="3"/>
  <c r="AY340" i="3"/>
  <c r="AI340" i="3"/>
  <c r="S340" i="3"/>
  <c r="BL339" i="3"/>
  <c r="AV339" i="3"/>
  <c r="AF339" i="3"/>
  <c r="P339" i="3"/>
  <c r="BI338" i="3"/>
  <c r="AS338" i="3"/>
  <c r="AC338" i="3"/>
  <c r="M338" i="3"/>
  <c r="BB337" i="3"/>
  <c r="AL337" i="3"/>
  <c r="V337" i="3"/>
  <c r="BK336" i="3"/>
  <c r="AU336" i="3"/>
  <c r="AE336" i="3"/>
  <c r="O336" i="3"/>
  <c r="BH335" i="3"/>
  <c r="AR335" i="3"/>
  <c r="AB335" i="3"/>
  <c r="L335" i="3"/>
  <c r="BE334" i="3"/>
  <c r="AO334" i="3"/>
  <c r="Y334" i="3"/>
  <c r="I334" i="3"/>
  <c r="BA332" i="3"/>
  <c r="AK332" i="3"/>
  <c r="U332" i="3"/>
  <c r="BJ331" i="3"/>
  <c r="AT331" i="3"/>
  <c r="AD331" i="3"/>
  <c r="N331" i="3"/>
  <c r="BC330" i="3"/>
  <c r="AM330" i="3"/>
  <c r="W330" i="3"/>
  <c r="G330" i="3"/>
  <c r="AZ329" i="3"/>
  <c r="AJ329" i="3"/>
  <c r="T329" i="3"/>
  <c r="BM328" i="3"/>
  <c r="AW328" i="3"/>
  <c r="AG328" i="3"/>
  <c r="Q328" i="3"/>
  <c r="BF327" i="3"/>
  <c r="AP327" i="3"/>
  <c r="Z327" i="3"/>
  <c r="J327" i="3"/>
  <c r="AY326" i="3"/>
  <c r="AI326" i="3"/>
  <c r="S326" i="3"/>
  <c r="BF416" i="3"/>
  <c r="AP416" i="3"/>
  <c r="Z416" i="3"/>
  <c r="J416" i="3"/>
  <c r="AX414" i="3"/>
  <c r="AH414" i="3"/>
  <c r="R414" i="3"/>
  <c r="BG413" i="3"/>
  <c r="AQ413" i="3"/>
  <c r="AA413" i="3"/>
  <c r="K413" i="3"/>
  <c r="BD412" i="3"/>
  <c r="AN412" i="3"/>
  <c r="X412" i="3"/>
  <c r="H412" i="3"/>
  <c r="BA411" i="3"/>
  <c r="AK411" i="3"/>
  <c r="U411" i="3"/>
  <c r="BJ410" i="3"/>
  <c r="AT410" i="3"/>
  <c r="AD410" i="3"/>
  <c r="N410" i="3"/>
  <c r="BC409" i="3"/>
  <c r="AM409" i="3"/>
  <c r="W409" i="3"/>
  <c r="G409" i="3"/>
  <c r="AZ408" i="3"/>
  <c r="AJ408" i="3"/>
  <c r="T408" i="3"/>
  <c r="BM407" i="3"/>
  <c r="AW407" i="3"/>
  <c r="AG407" i="3"/>
  <c r="Q407" i="3"/>
  <c r="BF406" i="3"/>
  <c r="AP406" i="3"/>
  <c r="Z406" i="3"/>
  <c r="J406" i="3"/>
  <c r="AY405" i="3"/>
  <c r="AI405" i="3"/>
  <c r="S405" i="3"/>
  <c r="BL404" i="3"/>
  <c r="AV404" i="3"/>
  <c r="AF404" i="3"/>
  <c r="P404" i="3"/>
  <c r="BI403" i="3"/>
  <c r="AS403" i="3"/>
  <c r="AC403" i="3"/>
  <c r="M403" i="3"/>
  <c r="BB402" i="3"/>
  <c r="AL402" i="3"/>
  <c r="V402" i="3"/>
  <c r="BK401" i="3"/>
  <c r="AU401" i="3"/>
  <c r="AE401" i="3"/>
  <c r="O401" i="3"/>
  <c r="BH400" i="3"/>
  <c r="AR400" i="3"/>
  <c r="AB400" i="3"/>
  <c r="L400" i="3"/>
  <c r="BE399" i="3"/>
  <c r="AO399" i="3"/>
  <c r="Y399" i="3"/>
  <c r="I399" i="3"/>
  <c r="AX398" i="3"/>
  <c r="AH398" i="3"/>
  <c r="R398" i="3"/>
  <c r="BG397" i="3"/>
  <c r="AQ397" i="3"/>
  <c r="AA397" i="3"/>
  <c r="K397" i="3"/>
  <c r="BD396" i="3"/>
  <c r="AN396" i="3"/>
  <c r="X396" i="3"/>
  <c r="H396" i="3"/>
  <c r="BA395" i="3"/>
  <c r="AK395" i="3"/>
  <c r="U395" i="3"/>
  <c r="BJ394" i="3"/>
  <c r="AT394" i="3"/>
  <c r="AD394" i="3"/>
  <c r="N394" i="3"/>
  <c r="BC393" i="3"/>
  <c r="AM393" i="3"/>
  <c r="W393" i="3"/>
  <c r="G393" i="3"/>
  <c r="AZ392" i="3"/>
  <c r="AJ392" i="3"/>
  <c r="T392" i="3"/>
  <c r="BM391" i="3"/>
  <c r="AW391" i="3"/>
  <c r="AG391" i="3"/>
  <c r="Q391" i="3"/>
  <c r="BF390" i="3"/>
  <c r="AP390" i="3"/>
  <c r="Z390" i="3"/>
  <c r="J390" i="3"/>
  <c r="AY389" i="3"/>
  <c r="AI389" i="3"/>
  <c r="S389" i="3"/>
  <c r="BL388" i="3"/>
  <c r="AV388" i="3"/>
  <c r="AF388" i="3"/>
  <c r="P388" i="3"/>
  <c r="BI387" i="3"/>
  <c r="AS387" i="3"/>
  <c r="AC387" i="3"/>
  <c r="M387" i="3"/>
  <c r="BB386" i="3"/>
  <c r="AL386" i="3"/>
  <c r="V386" i="3"/>
  <c r="BK385" i="3"/>
  <c r="AU385" i="3"/>
  <c r="AE385" i="3"/>
  <c r="O385" i="3"/>
  <c r="BH384" i="3"/>
  <c r="AR384" i="3"/>
  <c r="AB384" i="3"/>
  <c r="L384" i="3"/>
  <c r="BE383" i="3"/>
  <c r="AO383" i="3"/>
  <c r="Y383" i="3"/>
  <c r="I383" i="3"/>
  <c r="AX382" i="3"/>
  <c r="AH382" i="3"/>
  <c r="R382" i="3"/>
  <c r="BG381" i="3"/>
  <c r="AQ381" i="3"/>
  <c r="AA381" i="3"/>
  <c r="K381" i="3"/>
  <c r="BD380" i="3"/>
  <c r="AN380" i="3"/>
  <c r="X380" i="3"/>
  <c r="H380" i="3"/>
  <c r="BA379" i="3"/>
  <c r="AK379" i="3"/>
  <c r="U379" i="3"/>
  <c r="BJ378" i="3"/>
  <c r="AT378" i="3"/>
  <c r="AD378" i="3"/>
  <c r="N378" i="3"/>
  <c r="BC377" i="3"/>
  <c r="AM377" i="3"/>
  <c r="W377" i="3"/>
  <c r="G377" i="3"/>
  <c r="AZ376" i="3"/>
  <c r="AJ376" i="3"/>
  <c r="T376" i="3"/>
  <c r="BM375" i="3"/>
  <c r="AW375" i="3"/>
  <c r="AG375" i="3"/>
  <c r="Q375" i="3"/>
  <c r="BI373" i="3"/>
  <c r="AS373" i="3"/>
  <c r="AC373" i="3"/>
  <c r="M373" i="3"/>
  <c r="BB372" i="3"/>
  <c r="AL372" i="3"/>
  <c r="V372" i="3"/>
  <c r="BK371" i="3"/>
  <c r="AU371" i="3"/>
  <c r="AE371" i="3"/>
  <c r="O371" i="3"/>
  <c r="BH370" i="3"/>
  <c r="AR370" i="3"/>
  <c r="AB370" i="3"/>
  <c r="L370" i="3"/>
  <c r="BE369" i="3"/>
  <c r="AO369" i="3"/>
  <c r="Y369" i="3"/>
  <c r="I369" i="3"/>
  <c r="AX368" i="3"/>
  <c r="AH368" i="3"/>
  <c r="R368" i="3"/>
  <c r="BG367" i="3"/>
  <c r="AQ367" i="3"/>
  <c r="AA367" i="3"/>
  <c r="K367" i="3"/>
  <c r="BD366" i="3"/>
  <c r="AN366" i="3"/>
  <c r="X366" i="3"/>
  <c r="H366" i="3"/>
  <c r="BA365" i="3"/>
  <c r="AK365" i="3"/>
  <c r="U365" i="3"/>
  <c r="BJ364" i="3"/>
  <c r="AT364" i="3"/>
  <c r="AD364" i="3"/>
  <c r="N364" i="3"/>
  <c r="BC363" i="3"/>
  <c r="AM363" i="3"/>
  <c r="W363" i="3"/>
  <c r="G363" i="3"/>
  <c r="AZ362" i="3"/>
  <c r="AJ362" i="3"/>
  <c r="T362" i="3"/>
  <c r="BM361" i="3"/>
  <c r="AW361" i="3"/>
  <c r="AG361" i="3"/>
  <c r="Q361" i="3"/>
  <c r="BF360" i="3"/>
  <c r="AP360" i="3"/>
  <c r="Z360" i="3"/>
  <c r="J360" i="3"/>
  <c r="AY359" i="3"/>
  <c r="AI359" i="3"/>
  <c r="S359" i="3"/>
  <c r="BL358" i="3"/>
  <c r="AV358" i="3"/>
  <c r="AF358" i="3"/>
  <c r="P358" i="3"/>
  <c r="BI357" i="3"/>
  <c r="AS357" i="3"/>
  <c r="AC357" i="3"/>
  <c r="M357" i="3"/>
  <c r="BB356" i="3"/>
  <c r="AL356" i="3"/>
  <c r="V356" i="3"/>
  <c r="BK355" i="3"/>
  <c r="AU355" i="3"/>
  <c r="AE355" i="3"/>
  <c r="O355" i="3"/>
  <c r="BH354" i="3"/>
  <c r="AR354" i="3"/>
  <c r="AB354" i="3"/>
  <c r="L354" i="3"/>
  <c r="BE353" i="3"/>
  <c r="AO353" i="3"/>
  <c r="Y353" i="3"/>
  <c r="I353" i="3"/>
  <c r="AX352" i="3"/>
  <c r="AH352" i="3"/>
  <c r="R352" i="3"/>
  <c r="BG351" i="3"/>
  <c r="AQ351" i="3"/>
  <c r="AA351" i="3"/>
  <c r="K351" i="3"/>
  <c r="BD350" i="3"/>
  <c r="AN350" i="3"/>
  <c r="X350" i="3"/>
  <c r="H350" i="3"/>
  <c r="BA349" i="3"/>
  <c r="AK349" i="3"/>
  <c r="U349" i="3"/>
  <c r="BJ348" i="3"/>
  <c r="AT348" i="3"/>
  <c r="AD348" i="3"/>
  <c r="N348" i="3"/>
  <c r="BC347" i="3"/>
  <c r="AM347" i="3"/>
  <c r="W347" i="3"/>
  <c r="G347" i="3"/>
  <c r="AZ346" i="3"/>
  <c r="AJ346" i="3"/>
  <c r="T346" i="3"/>
  <c r="BM345" i="3"/>
  <c r="AW345" i="3"/>
  <c r="AG345" i="3"/>
  <c r="Q345" i="3"/>
  <c r="BF344" i="3"/>
  <c r="AP344" i="3"/>
  <c r="Z344" i="3"/>
  <c r="J344" i="3"/>
  <c r="AY343" i="3"/>
  <c r="AI343" i="3"/>
  <c r="S343" i="3"/>
  <c r="BL342" i="3"/>
  <c r="AV342" i="3"/>
  <c r="AF342" i="3"/>
  <c r="P342" i="3"/>
  <c r="BI341" i="3"/>
  <c r="AS341" i="3"/>
  <c r="AC341" i="3"/>
  <c r="M341" i="3"/>
  <c r="BB340" i="3"/>
  <c r="AL340" i="3"/>
  <c r="V340" i="3"/>
  <c r="BK339" i="3"/>
  <c r="AU339" i="3"/>
  <c r="AE339" i="3"/>
  <c r="O339" i="3"/>
  <c r="BH338" i="3"/>
  <c r="AR338" i="3"/>
  <c r="AB338" i="3"/>
  <c r="L338" i="3"/>
  <c r="BE337" i="3"/>
  <c r="AO337" i="3"/>
  <c r="Y337" i="3"/>
  <c r="I337" i="3"/>
  <c r="AX336" i="3"/>
  <c r="AH336" i="3"/>
  <c r="R336" i="3"/>
  <c r="BG335" i="3"/>
  <c r="AQ335" i="3"/>
  <c r="AA335" i="3"/>
  <c r="K335" i="3"/>
  <c r="BD334" i="3"/>
  <c r="AN334" i="3"/>
  <c r="X334" i="3"/>
  <c r="H334" i="3"/>
  <c r="AZ332" i="3"/>
  <c r="AJ332" i="3"/>
  <c r="T332" i="3"/>
  <c r="BM331" i="3"/>
  <c r="AW331" i="3"/>
  <c r="AG331" i="3"/>
  <c r="Q331" i="3"/>
  <c r="BF330" i="3"/>
  <c r="AP330" i="3"/>
  <c r="Z330" i="3"/>
  <c r="J330" i="3"/>
  <c r="AY329" i="3"/>
  <c r="AI329" i="3"/>
  <c r="S329" i="3"/>
  <c r="BL328" i="3"/>
  <c r="AV328" i="3"/>
  <c r="AF328" i="3"/>
  <c r="P328" i="3"/>
  <c r="BI327" i="3"/>
  <c r="AS327" i="3"/>
  <c r="AC327" i="3"/>
  <c r="M327" i="3"/>
  <c r="BM416" i="3"/>
  <c r="AW416" i="3"/>
  <c r="AG416" i="3"/>
  <c r="Q416" i="3"/>
  <c r="BI414" i="3"/>
  <c r="AS414" i="3"/>
  <c r="AC414" i="3"/>
  <c r="M414" i="3"/>
  <c r="BB413" i="3"/>
  <c r="AL413" i="3"/>
  <c r="V413" i="3"/>
  <c r="BK412" i="3"/>
  <c r="AU412" i="3"/>
  <c r="AE412" i="3"/>
  <c r="O412" i="3"/>
  <c r="BH411" i="3"/>
  <c r="AR411" i="3"/>
  <c r="AB411" i="3"/>
  <c r="L411" i="3"/>
  <c r="BE410" i="3"/>
  <c r="AO410" i="3"/>
  <c r="Y410" i="3"/>
  <c r="I410" i="3"/>
  <c r="AX409" i="3"/>
  <c r="AH409" i="3"/>
  <c r="R409" i="3"/>
  <c r="BG408" i="3"/>
  <c r="AQ408" i="3"/>
  <c r="AA408" i="3"/>
  <c r="K408" i="3"/>
  <c r="BD407" i="3"/>
  <c r="AN407" i="3"/>
  <c r="X407" i="3"/>
  <c r="H407" i="3"/>
  <c r="BA406" i="3"/>
  <c r="AK406" i="3"/>
  <c r="U406" i="3"/>
  <c r="BJ405" i="3"/>
  <c r="AT405" i="3"/>
  <c r="AD405" i="3"/>
  <c r="N405" i="3"/>
  <c r="BC404" i="3"/>
  <c r="AM404" i="3"/>
  <c r="W404" i="3"/>
  <c r="G404" i="3"/>
  <c r="AZ403" i="3"/>
  <c r="AJ403" i="3"/>
  <c r="T403" i="3"/>
  <c r="BM402" i="3"/>
  <c r="AW402" i="3"/>
  <c r="AG402" i="3"/>
  <c r="Q402" i="3"/>
  <c r="BF401" i="3"/>
  <c r="AP401" i="3"/>
  <c r="Z401" i="3"/>
  <c r="J401" i="3"/>
  <c r="AY400" i="3"/>
  <c r="AI400" i="3"/>
  <c r="S400" i="3"/>
  <c r="BL399" i="3"/>
  <c r="AV399" i="3"/>
  <c r="AF399" i="3"/>
  <c r="P399" i="3"/>
  <c r="BI398" i="3"/>
  <c r="AS398" i="3"/>
  <c r="AC398" i="3"/>
  <c r="M398" i="3"/>
  <c r="BB397" i="3"/>
  <c r="AL397" i="3"/>
  <c r="V397" i="3"/>
  <c r="BK396" i="3"/>
  <c r="AU396" i="3"/>
  <c r="AE396" i="3"/>
  <c r="O396" i="3"/>
  <c r="BH395" i="3"/>
  <c r="AR395" i="3"/>
  <c r="AB395" i="3"/>
  <c r="L395" i="3"/>
  <c r="BE394" i="3"/>
  <c r="AO394" i="3"/>
  <c r="Y394" i="3"/>
  <c r="I394" i="3"/>
  <c r="AX393" i="3"/>
  <c r="AH393" i="3"/>
  <c r="R393" i="3"/>
  <c r="BG392" i="3"/>
  <c r="AQ392" i="3"/>
  <c r="AA392" i="3"/>
  <c r="K392" i="3"/>
  <c r="BD391" i="3"/>
  <c r="AN391" i="3"/>
  <c r="X391" i="3"/>
  <c r="H391" i="3"/>
  <c r="BA390" i="3"/>
  <c r="AK390" i="3"/>
  <c r="U390" i="3"/>
  <c r="BJ389" i="3"/>
  <c r="AT389" i="3"/>
  <c r="AD389" i="3"/>
  <c r="N389" i="3"/>
  <c r="BC388" i="3"/>
  <c r="AM388" i="3"/>
  <c r="W388" i="3"/>
  <c r="G388" i="3"/>
  <c r="AZ387" i="3"/>
  <c r="AJ387" i="3"/>
  <c r="T387" i="3"/>
  <c r="BM386" i="3"/>
  <c r="AW386" i="3"/>
  <c r="AG386" i="3"/>
  <c r="Q386" i="3"/>
  <c r="BF385" i="3"/>
  <c r="AP385" i="3"/>
  <c r="Z385" i="3"/>
  <c r="J385" i="3"/>
  <c r="AY384" i="3"/>
  <c r="AI384" i="3"/>
  <c r="S384" i="3"/>
  <c r="BL383" i="3"/>
  <c r="AV383" i="3"/>
  <c r="AF383" i="3"/>
  <c r="P383" i="3"/>
  <c r="BI382" i="3"/>
  <c r="AS382" i="3"/>
  <c r="AC382" i="3"/>
  <c r="M382" i="3"/>
  <c r="BB381" i="3"/>
  <c r="AL381" i="3"/>
  <c r="V381" i="3"/>
  <c r="BK380" i="3"/>
  <c r="AU380" i="3"/>
  <c r="AE380" i="3"/>
  <c r="O380" i="3"/>
  <c r="BH379" i="3"/>
  <c r="AR379" i="3"/>
  <c r="AB379" i="3"/>
  <c r="L379" i="3"/>
  <c r="BE378" i="3"/>
  <c r="AO378" i="3"/>
  <c r="Y378" i="3"/>
  <c r="I378" i="3"/>
  <c r="AX377" i="3"/>
  <c r="AH377" i="3"/>
  <c r="R377" i="3"/>
  <c r="BG376" i="3"/>
  <c r="AQ376" i="3"/>
  <c r="AA376" i="3"/>
  <c r="K376" i="3"/>
  <c r="BD375" i="3"/>
  <c r="AN375" i="3"/>
  <c r="X375" i="3"/>
  <c r="H375" i="3"/>
  <c r="AZ373" i="3"/>
  <c r="AJ373" i="3"/>
  <c r="T373" i="3"/>
  <c r="BM372" i="3"/>
  <c r="AW372" i="3"/>
  <c r="AG372" i="3"/>
  <c r="Q372" i="3"/>
  <c r="BF371" i="3"/>
  <c r="AP371" i="3"/>
  <c r="Z371" i="3"/>
  <c r="J371" i="3"/>
  <c r="AY370" i="3"/>
  <c r="AI370" i="3"/>
  <c r="S370" i="3"/>
  <c r="BL369" i="3"/>
  <c r="AV369" i="3"/>
  <c r="AF369" i="3"/>
  <c r="P369" i="3"/>
  <c r="BI368" i="3"/>
  <c r="AS368" i="3"/>
  <c r="AC368" i="3"/>
  <c r="M368" i="3"/>
  <c r="BB367" i="3"/>
  <c r="AL367" i="3"/>
  <c r="V367" i="3"/>
  <c r="BK366" i="3"/>
  <c r="AU366" i="3"/>
  <c r="AE366" i="3"/>
  <c r="O366" i="3"/>
  <c r="BH365" i="3"/>
  <c r="AR365" i="3"/>
  <c r="AB365" i="3"/>
  <c r="L365" i="3"/>
  <c r="BE364" i="3"/>
  <c r="AO364" i="3"/>
  <c r="Y364" i="3"/>
  <c r="I364" i="3"/>
  <c r="AX363" i="3"/>
  <c r="AH363" i="3"/>
  <c r="R363" i="3"/>
  <c r="BG362" i="3"/>
  <c r="AQ362" i="3"/>
  <c r="AA362" i="3"/>
  <c r="K362" i="3"/>
  <c r="BD361" i="3"/>
  <c r="AN361" i="3"/>
  <c r="X361" i="3"/>
  <c r="H361" i="3"/>
  <c r="BA360" i="3"/>
  <c r="AK360" i="3"/>
  <c r="U360" i="3"/>
  <c r="BJ359" i="3"/>
  <c r="AT359" i="3"/>
  <c r="AD359" i="3"/>
  <c r="N359" i="3"/>
  <c r="BC358" i="3"/>
  <c r="AM358" i="3"/>
  <c r="W358" i="3"/>
  <c r="G358" i="3"/>
  <c r="AZ357" i="3"/>
  <c r="AJ357" i="3"/>
  <c r="T357" i="3"/>
  <c r="BM356" i="3"/>
  <c r="AW356" i="3"/>
  <c r="AG356" i="3"/>
  <c r="Q356" i="3"/>
  <c r="BF355" i="3"/>
  <c r="AP355" i="3"/>
  <c r="Z355" i="3"/>
  <c r="J355" i="3"/>
  <c r="AY354" i="3"/>
  <c r="AI354" i="3"/>
  <c r="S354" i="3"/>
  <c r="BL353" i="3"/>
  <c r="AV353" i="3"/>
  <c r="AF353" i="3"/>
  <c r="P353" i="3"/>
  <c r="BI352" i="3"/>
  <c r="AS352" i="3"/>
  <c r="AC352" i="3"/>
  <c r="M352" i="3"/>
  <c r="BB351" i="3"/>
  <c r="AL351" i="3"/>
  <c r="V351" i="3"/>
  <c r="BK350" i="3"/>
  <c r="AU350" i="3"/>
  <c r="AE350" i="3"/>
  <c r="O350" i="3"/>
  <c r="BH349" i="3"/>
  <c r="AR349" i="3"/>
  <c r="AB349" i="3"/>
  <c r="L349" i="3"/>
  <c r="BE348" i="3"/>
  <c r="AO348" i="3"/>
  <c r="Y348" i="3"/>
  <c r="I348" i="3"/>
  <c r="AX347" i="3"/>
  <c r="AH347" i="3"/>
  <c r="R347" i="3"/>
  <c r="BG346" i="3"/>
  <c r="AQ346" i="3"/>
  <c r="AA346" i="3"/>
  <c r="K346" i="3"/>
  <c r="BD345" i="3"/>
  <c r="AN345" i="3"/>
  <c r="X345" i="3"/>
  <c r="H345" i="3"/>
  <c r="BA344" i="3"/>
  <c r="AK344" i="3"/>
  <c r="U344" i="3"/>
  <c r="BJ343" i="3"/>
  <c r="AT343" i="3"/>
  <c r="AD343" i="3"/>
  <c r="N343" i="3"/>
  <c r="BC342" i="3"/>
  <c r="AM342" i="3"/>
  <c r="W342" i="3"/>
  <c r="G342" i="3"/>
  <c r="AZ341" i="3"/>
  <c r="AJ341" i="3"/>
  <c r="T341" i="3"/>
  <c r="BM340" i="3"/>
  <c r="AW340" i="3"/>
  <c r="AG340" i="3"/>
  <c r="Q340" i="3"/>
  <c r="BF339" i="3"/>
  <c r="AP339" i="3"/>
  <c r="Z339" i="3"/>
  <c r="J339" i="3"/>
  <c r="AY338" i="3"/>
  <c r="AI338" i="3"/>
  <c r="S338" i="3"/>
  <c r="BL337" i="3"/>
  <c r="AV337" i="3"/>
  <c r="AF337" i="3"/>
  <c r="P337" i="3"/>
  <c r="BI336" i="3"/>
  <c r="AS336" i="3"/>
  <c r="AC336" i="3"/>
  <c r="M336" i="3"/>
  <c r="BB335" i="3"/>
  <c r="AL335" i="3"/>
  <c r="V335" i="3"/>
  <c r="BK334" i="3"/>
  <c r="AU334" i="3"/>
  <c r="AE334" i="3"/>
  <c r="O334" i="3"/>
  <c r="BG332" i="3"/>
  <c r="AQ332" i="3"/>
  <c r="AA332" i="3"/>
  <c r="K332" i="3"/>
  <c r="BD331" i="3"/>
  <c r="AN331" i="3"/>
  <c r="X331" i="3"/>
  <c r="H331" i="3"/>
  <c r="BA330" i="3"/>
  <c r="AK330" i="3"/>
  <c r="U330" i="3"/>
  <c r="BJ329" i="3"/>
  <c r="AT329" i="3"/>
  <c r="AD329" i="3"/>
  <c r="N329" i="3"/>
  <c r="BC328" i="3"/>
  <c r="AM328" i="3"/>
  <c r="W328" i="3"/>
  <c r="G328" i="3"/>
  <c r="BH416" i="3"/>
  <c r="AR416" i="3"/>
  <c r="AB416" i="3"/>
  <c r="L416" i="3"/>
  <c r="BD414" i="3"/>
  <c r="AN414" i="3"/>
  <c r="X414" i="3"/>
  <c r="H414" i="3"/>
  <c r="BA413" i="3"/>
  <c r="AK413" i="3"/>
  <c r="U413" i="3"/>
  <c r="BJ412" i="3"/>
  <c r="AT412" i="3"/>
  <c r="AD412" i="3"/>
  <c r="N412" i="3"/>
  <c r="BC411" i="3"/>
  <c r="AM411" i="3"/>
  <c r="W411" i="3"/>
  <c r="G411" i="3"/>
  <c r="AZ410" i="3"/>
  <c r="AJ410" i="3"/>
  <c r="T410" i="3"/>
  <c r="BM409" i="3"/>
  <c r="AW409" i="3"/>
  <c r="AG409" i="3"/>
  <c r="Q409" i="3"/>
  <c r="BF408" i="3"/>
  <c r="AP408" i="3"/>
  <c r="Z408" i="3"/>
  <c r="J408" i="3"/>
  <c r="AY407" i="3"/>
  <c r="AI407" i="3"/>
  <c r="S407" i="3"/>
  <c r="BL406" i="3"/>
  <c r="AV406" i="3"/>
  <c r="AF406" i="3"/>
  <c r="P406" i="3"/>
  <c r="BI405" i="3"/>
  <c r="AS405" i="3"/>
  <c r="AC405" i="3"/>
  <c r="M405" i="3"/>
  <c r="BB404" i="3"/>
  <c r="AL404" i="3"/>
  <c r="V404" i="3"/>
  <c r="BK403" i="3"/>
  <c r="AU403" i="3"/>
  <c r="AE403" i="3"/>
  <c r="O403" i="3"/>
  <c r="BH402" i="3"/>
  <c r="AR402" i="3"/>
  <c r="AB402" i="3"/>
  <c r="L402" i="3"/>
  <c r="BE401" i="3"/>
  <c r="AO401" i="3"/>
  <c r="Y401" i="3"/>
  <c r="I401" i="3"/>
  <c r="AX400" i="3"/>
  <c r="AH400" i="3"/>
  <c r="R400" i="3"/>
  <c r="BG399" i="3"/>
  <c r="AQ399" i="3"/>
  <c r="AA399" i="3"/>
  <c r="K399" i="3"/>
  <c r="BD398" i="3"/>
  <c r="AN398" i="3"/>
  <c r="X398" i="3"/>
  <c r="H398" i="3"/>
  <c r="BA397" i="3"/>
  <c r="AK397" i="3"/>
  <c r="U397" i="3"/>
  <c r="BJ396" i="3"/>
  <c r="AT396" i="3"/>
  <c r="AD396" i="3"/>
  <c r="N396" i="3"/>
  <c r="BC395" i="3"/>
  <c r="AM395" i="3"/>
  <c r="W395" i="3"/>
  <c r="G395" i="3"/>
  <c r="AZ394" i="3"/>
  <c r="AJ394" i="3"/>
  <c r="T394" i="3"/>
  <c r="BM393" i="3"/>
  <c r="AW393" i="3"/>
  <c r="AG393" i="3"/>
  <c r="Q393" i="3"/>
  <c r="BF392" i="3"/>
  <c r="AP392" i="3"/>
  <c r="Z392" i="3"/>
  <c r="J392" i="3"/>
  <c r="AY391" i="3"/>
  <c r="AI391" i="3"/>
  <c r="S391" i="3"/>
  <c r="BL390" i="3"/>
  <c r="AV390" i="3"/>
  <c r="AF390" i="3"/>
  <c r="P390" i="3"/>
  <c r="BI389" i="3"/>
  <c r="AS389" i="3"/>
  <c r="AC389" i="3"/>
  <c r="M389" i="3"/>
  <c r="BB388" i="3"/>
  <c r="AL388" i="3"/>
  <c r="V388" i="3"/>
  <c r="BK387" i="3"/>
  <c r="AU387" i="3"/>
  <c r="AE387" i="3"/>
  <c r="O387" i="3"/>
  <c r="BH386" i="3"/>
  <c r="AR386" i="3"/>
  <c r="AB386" i="3"/>
  <c r="L386" i="3"/>
  <c r="BE385" i="3"/>
  <c r="AO385" i="3"/>
  <c r="Y385" i="3"/>
  <c r="I385" i="3"/>
  <c r="AX384" i="3"/>
  <c r="AH384" i="3"/>
  <c r="R384" i="3"/>
  <c r="BG383" i="3"/>
  <c r="AQ383" i="3"/>
  <c r="AA383" i="3"/>
  <c r="K383" i="3"/>
  <c r="BD382" i="3"/>
  <c r="AN382" i="3"/>
  <c r="X382" i="3"/>
  <c r="H382" i="3"/>
  <c r="BA381" i="3"/>
  <c r="AK381" i="3"/>
  <c r="U381" i="3"/>
  <c r="BJ380" i="3"/>
  <c r="AT380" i="3"/>
  <c r="AD380" i="3"/>
  <c r="N380" i="3"/>
  <c r="BC379" i="3"/>
  <c r="AM379" i="3"/>
  <c r="W379" i="3"/>
  <c r="G379" i="3"/>
  <c r="AZ378" i="3"/>
  <c r="AJ378" i="3"/>
  <c r="T378" i="3"/>
  <c r="BM377" i="3"/>
  <c r="AW377" i="3"/>
  <c r="AG377" i="3"/>
  <c r="Q377" i="3"/>
  <c r="BF376" i="3"/>
  <c r="AP376" i="3"/>
  <c r="Z376" i="3"/>
  <c r="J376" i="3"/>
  <c r="AY375" i="3"/>
  <c r="AI375" i="3"/>
  <c r="S375" i="3"/>
  <c r="BK373" i="3"/>
  <c r="AU373" i="3"/>
  <c r="AE373" i="3"/>
  <c r="O373" i="3"/>
  <c r="BH372" i="3"/>
  <c r="AR372" i="3"/>
  <c r="AB372" i="3"/>
  <c r="L372" i="3"/>
  <c r="BE371" i="3"/>
  <c r="AO371" i="3"/>
  <c r="Y371" i="3"/>
  <c r="I371" i="3"/>
  <c r="AX370" i="3"/>
  <c r="AH370" i="3"/>
  <c r="R370" i="3"/>
  <c r="BG369" i="3"/>
  <c r="AQ369" i="3"/>
  <c r="AA369" i="3"/>
  <c r="K369" i="3"/>
  <c r="BD368" i="3"/>
  <c r="AN368" i="3"/>
  <c r="X368" i="3"/>
  <c r="H368" i="3"/>
  <c r="BA367" i="3"/>
  <c r="AK367" i="3"/>
  <c r="U367" i="3"/>
  <c r="BJ366" i="3"/>
  <c r="AT366" i="3"/>
  <c r="AD366" i="3"/>
  <c r="N366" i="3"/>
  <c r="BC365" i="3"/>
  <c r="AM365" i="3"/>
  <c r="W365" i="3"/>
  <c r="G365" i="3"/>
  <c r="AZ364" i="3"/>
  <c r="AJ364" i="3"/>
  <c r="T364" i="3"/>
  <c r="BM363" i="3"/>
  <c r="AW363" i="3"/>
  <c r="AG363" i="3"/>
  <c r="Q363" i="3"/>
  <c r="BF362" i="3"/>
  <c r="AP362" i="3"/>
  <c r="Z362" i="3"/>
  <c r="J362" i="3"/>
  <c r="AY361" i="3"/>
  <c r="AI361" i="3"/>
  <c r="S361" i="3"/>
  <c r="BL360" i="3"/>
  <c r="AV360" i="3"/>
  <c r="AF360" i="3"/>
  <c r="P360" i="3"/>
  <c r="BI359" i="3"/>
  <c r="AS359" i="3"/>
  <c r="AC359" i="3"/>
  <c r="M359" i="3"/>
  <c r="BB358" i="3"/>
  <c r="AL358" i="3"/>
  <c r="V358" i="3"/>
  <c r="BK357" i="3"/>
  <c r="AU357" i="3"/>
  <c r="AE357" i="3"/>
  <c r="O357" i="3"/>
  <c r="BH356" i="3"/>
  <c r="AR356" i="3"/>
  <c r="AB356" i="3"/>
  <c r="L356" i="3"/>
  <c r="BE355" i="3"/>
  <c r="AO355" i="3"/>
  <c r="Y355" i="3"/>
  <c r="I355" i="3"/>
  <c r="AX354" i="3"/>
  <c r="AH354" i="3"/>
  <c r="R354" i="3"/>
  <c r="BG353" i="3"/>
  <c r="AQ353" i="3"/>
  <c r="AA353" i="3"/>
  <c r="K353" i="3"/>
  <c r="BD352" i="3"/>
  <c r="AN352" i="3"/>
  <c r="X352" i="3"/>
  <c r="H352" i="3"/>
  <c r="BA351" i="3"/>
  <c r="AK351" i="3"/>
  <c r="U351" i="3"/>
  <c r="BJ350" i="3"/>
  <c r="AT350" i="3"/>
  <c r="AD350" i="3"/>
  <c r="N350" i="3"/>
  <c r="BC349" i="3"/>
  <c r="AM349" i="3"/>
  <c r="W349" i="3"/>
  <c r="G349" i="3"/>
  <c r="AZ348" i="3"/>
  <c r="AJ348" i="3"/>
  <c r="T348" i="3"/>
  <c r="BM347" i="3"/>
  <c r="AW347" i="3"/>
  <c r="AG347" i="3"/>
  <c r="Q347" i="3"/>
  <c r="BF346" i="3"/>
  <c r="AP346" i="3"/>
  <c r="Z346" i="3"/>
  <c r="J346" i="3"/>
  <c r="AY345" i="3"/>
  <c r="AI345" i="3"/>
  <c r="S345" i="3"/>
  <c r="BL344" i="3"/>
  <c r="AV344" i="3"/>
  <c r="AF344" i="3"/>
  <c r="P344" i="3"/>
  <c r="BI343" i="3"/>
  <c r="AS343" i="3"/>
  <c r="AC343" i="3"/>
  <c r="M343" i="3"/>
  <c r="BB342" i="3"/>
  <c r="AL342" i="3"/>
  <c r="V342" i="3"/>
  <c r="BK341" i="3"/>
  <c r="AU341" i="3"/>
  <c r="AE341" i="3"/>
  <c r="O341" i="3"/>
  <c r="BH340" i="3"/>
  <c r="AR340" i="3"/>
  <c r="AB340" i="3"/>
  <c r="L340" i="3"/>
  <c r="BE339" i="3"/>
  <c r="AO339" i="3"/>
  <c r="Y339" i="3"/>
  <c r="I339" i="3"/>
  <c r="AX338" i="3"/>
  <c r="AH338" i="3"/>
  <c r="R338" i="3"/>
  <c r="BG337" i="3"/>
  <c r="AQ337" i="3"/>
  <c r="AA337" i="3"/>
  <c r="K337" i="3"/>
  <c r="BD336" i="3"/>
  <c r="AN336" i="3"/>
  <c r="X336" i="3"/>
  <c r="H336" i="3"/>
  <c r="BA335" i="3"/>
  <c r="AK335" i="3"/>
  <c r="U335" i="3"/>
  <c r="BJ334" i="3"/>
  <c r="AT334" i="3"/>
  <c r="AD334" i="3"/>
  <c r="N334" i="3"/>
  <c r="BB332" i="3"/>
  <c r="AL332" i="3"/>
  <c r="V332" i="3"/>
  <c r="BK331" i="3"/>
  <c r="AU331" i="3"/>
  <c r="AE331" i="3"/>
  <c r="O331" i="3"/>
  <c r="BH330" i="3"/>
  <c r="AR330" i="3"/>
  <c r="AB330" i="3"/>
  <c r="L330" i="3"/>
  <c r="BE329" i="3"/>
  <c r="AO329" i="3"/>
  <c r="Y329" i="3"/>
  <c r="I329" i="3"/>
  <c r="AX328" i="3"/>
  <c r="AH328" i="3"/>
  <c r="R328" i="3"/>
  <c r="AZ327" i="3"/>
  <c r="T327" i="3"/>
  <c r="AX326" i="3"/>
  <c r="AC326" i="3"/>
  <c r="I326" i="3"/>
  <c r="AX325" i="3"/>
  <c r="AH325" i="3"/>
  <c r="R325" i="3"/>
  <c r="BG324" i="3"/>
  <c r="AQ324" i="3"/>
  <c r="AA324" i="3"/>
  <c r="K324" i="3"/>
  <c r="BD323" i="3"/>
  <c r="AN323" i="3"/>
  <c r="X323" i="3"/>
  <c r="H323" i="3"/>
  <c r="BA322" i="3"/>
  <c r="AK322" i="3"/>
  <c r="U322" i="3"/>
  <c r="BJ321" i="3"/>
  <c r="AT321" i="3"/>
  <c r="AD321" i="3"/>
  <c r="N321" i="3"/>
  <c r="BC320" i="3"/>
  <c r="AM320" i="3"/>
  <c r="W320" i="3"/>
  <c r="G320" i="3"/>
  <c r="AZ319" i="3"/>
  <c r="AJ319" i="3"/>
  <c r="T319" i="3"/>
  <c r="BM318" i="3"/>
  <c r="AW318" i="3"/>
  <c r="AG318" i="3"/>
  <c r="Q318" i="3"/>
  <c r="BF317" i="3"/>
  <c r="AP317" i="3"/>
  <c r="Z317" i="3"/>
  <c r="J317" i="3"/>
  <c r="AY316" i="3"/>
  <c r="AI316" i="3"/>
  <c r="S316" i="3"/>
  <c r="BL315" i="3"/>
  <c r="AV315" i="3"/>
  <c r="AF315" i="3"/>
  <c r="P315" i="3"/>
  <c r="BI314" i="3"/>
  <c r="AS314" i="3"/>
  <c r="AC314" i="3"/>
  <c r="M314" i="3"/>
  <c r="BB313" i="3"/>
  <c r="AL313" i="3"/>
  <c r="V313" i="3"/>
  <c r="BK312" i="3"/>
  <c r="AU312" i="3"/>
  <c r="AE312" i="3"/>
  <c r="O312" i="3"/>
  <c r="BH311" i="3"/>
  <c r="AR311" i="3"/>
  <c r="AB311" i="3"/>
  <c r="L311" i="3"/>
  <c r="BE310" i="3"/>
  <c r="AO310" i="3"/>
  <c r="Y310" i="3"/>
  <c r="I310" i="3"/>
  <c r="AX309" i="3"/>
  <c r="AH309" i="3"/>
  <c r="R309" i="3"/>
  <c r="BG308" i="3"/>
  <c r="AQ308" i="3"/>
  <c r="AA308" i="3"/>
  <c r="K308" i="3"/>
  <c r="BD307" i="3"/>
  <c r="AN307" i="3"/>
  <c r="X307" i="3"/>
  <c r="H307" i="3"/>
  <c r="BA306" i="3"/>
  <c r="AK306" i="3"/>
  <c r="U306" i="3"/>
  <c r="BJ305" i="3"/>
  <c r="AT305" i="3"/>
  <c r="AD305" i="3"/>
  <c r="N305" i="3"/>
  <c r="BC304" i="3"/>
  <c r="AM304" i="3"/>
  <c r="W304" i="3"/>
  <c r="G304" i="3"/>
  <c r="AZ303" i="3"/>
  <c r="AJ303" i="3"/>
  <c r="T303" i="3"/>
  <c r="BM302" i="3"/>
  <c r="AW302" i="3"/>
  <c r="AG302" i="3"/>
  <c r="Q302" i="3"/>
  <c r="BF301" i="3"/>
  <c r="AP301" i="3"/>
  <c r="Z301" i="3"/>
  <c r="J301" i="3"/>
  <c r="AY300" i="3"/>
  <c r="AI300" i="3"/>
  <c r="S300" i="3"/>
  <c r="BL299" i="3"/>
  <c r="AV299" i="3"/>
  <c r="AF299" i="3"/>
  <c r="P299" i="3"/>
  <c r="BI298" i="3"/>
  <c r="AS298" i="3"/>
  <c r="AC298" i="3"/>
  <c r="M298" i="3"/>
  <c r="BB297" i="3"/>
  <c r="AL297" i="3"/>
  <c r="V297" i="3"/>
  <c r="BK296" i="3"/>
  <c r="AU296" i="3"/>
  <c r="AE296" i="3"/>
  <c r="O296" i="3"/>
  <c r="BH295" i="3"/>
  <c r="AR295" i="3"/>
  <c r="AB295" i="3"/>
  <c r="L295" i="3"/>
  <c r="BE294" i="3"/>
  <c r="AO294" i="3"/>
  <c r="Y294" i="3"/>
  <c r="I294" i="3"/>
  <c r="AX293" i="3"/>
  <c r="AH293" i="3"/>
  <c r="R293" i="3"/>
  <c r="BI290" i="3"/>
  <c r="AS290" i="3"/>
  <c r="AC290" i="3"/>
  <c r="M290" i="3"/>
  <c r="BB289" i="3"/>
  <c r="AL289" i="3"/>
  <c r="V289" i="3"/>
  <c r="BK288" i="3"/>
  <c r="AU288" i="3"/>
  <c r="AE288" i="3"/>
  <c r="O288" i="3"/>
  <c r="BH287" i="3"/>
  <c r="AR287" i="3"/>
  <c r="AB287" i="3"/>
  <c r="L287" i="3"/>
  <c r="BE286" i="3"/>
  <c r="AO286" i="3"/>
  <c r="Y286" i="3"/>
  <c r="I286" i="3"/>
  <c r="AX285" i="3"/>
  <c r="AH285" i="3"/>
  <c r="R285" i="3"/>
  <c r="BG284" i="3"/>
  <c r="AQ284" i="3"/>
  <c r="AA284" i="3"/>
  <c r="K284" i="3"/>
  <c r="BD283" i="3"/>
  <c r="AN283" i="3"/>
  <c r="X283" i="3"/>
  <c r="H283" i="3"/>
  <c r="BA282" i="3"/>
  <c r="AK282" i="3"/>
  <c r="U282" i="3"/>
  <c r="BJ281" i="3"/>
  <c r="AT281" i="3"/>
  <c r="AD281" i="3"/>
  <c r="N281" i="3"/>
  <c r="BC280" i="3"/>
  <c r="AM280" i="3"/>
  <c r="W280" i="3"/>
  <c r="G280" i="3"/>
  <c r="AZ279" i="3"/>
  <c r="AJ279" i="3"/>
  <c r="T279" i="3"/>
  <c r="BM278" i="3"/>
  <c r="AW278" i="3"/>
  <c r="AG278" i="3"/>
  <c r="Q278" i="3"/>
  <c r="BF277" i="3"/>
  <c r="AP277" i="3"/>
  <c r="Z277" i="3"/>
  <c r="J277" i="3"/>
  <c r="AY276" i="3"/>
  <c r="AI276" i="3"/>
  <c r="S276" i="3"/>
  <c r="BL275" i="3"/>
  <c r="AV275" i="3"/>
  <c r="AF275" i="3"/>
  <c r="P275" i="3"/>
  <c r="BI274" i="3"/>
  <c r="AS274" i="3"/>
  <c r="AC274" i="3"/>
  <c r="M274" i="3"/>
  <c r="BB273" i="3"/>
  <c r="AL273" i="3"/>
  <c r="V273" i="3"/>
  <c r="BK272" i="3"/>
  <c r="AU272" i="3"/>
  <c r="AE272" i="3"/>
  <c r="O272" i="3"/>
  <c r="BH271" i="3"/>
  <c r="AR271" i="3"/>
  <c r="AB271" i="3"/>
  <c r="L271" i="3"/>
  <c r="BE270" i="3"/>
  <c r="AO270" i="3"/>
  <c r="Y270" i="3"/>
  <c r="I270" i="3"/>
  <c r="AX269" i="3"/>
  <c r="AH269" i="3"/>
  <c r="R269" i="3"/>
  <c r="BG268" i="3"/>
  <c r="AQ268" i="3"/>
  <c r="AA268" i="3"/>
  <c r="K268" i="3"/>
  <c r="BD267" i="3"/>
  <c r="AN267" i="3"/>
  <c r="X267" i="3"/>
  <c r="H267" i="3"/>
  <c r="BA266" i="3"/>
  <c r="AK266" i="3"/>
  <c r="U266" i="3"/>
  <c r="BJ265" i="3"/>
  <c r="AT265" i="3"/>
  <c r="AD265" i="3"/>
  <c r="N265" i="3"/>
  <c r="BC264" i="3"/>
  <c r="AM264" i="3"/>
  <c r="W264" i="3"/>
  <c r="G264" i="3"/>
  <c r="AZ263" i="3"/>
  <c r="AJ263" i="3"/>
  <c r="T263" i="3"/>
  <c r="BM262" i="3"/>
  <c r="AW262" i="3"/>
  <c r="AG262" i="3"/>
  <c r="Q262" i="3"/>
  <c r="BF261" i="3"/>
  <c r="AP261" i="3"/>
  <c r="Z261" i="3"/>
  <c r="J261" i="3"/>
  <c r="AY260" i="3"/>
  <c r="AI260" i="3"/>
  <c r="S260" i="3"/>
  <c r="BL259" i="3"/>
  <c r="AV259" i="3"/>
  <c r="AF259" i="3"/>
  <c r="P259" i="3"/>
  <c r="BI258" i="3"/>
  <c r="AS258" i="3"/>
  <c r="AC258" i="3"/>
  <c r="M258" i="3"/>
  <c r="BB257" i="3"/>
  <c r="AL257" i="3"/>
  <c r="V257" i="3"/>
  <c r="BK256" i="3"/>
  <c r="AU256" i="3"/>
  <c r="AE256" i="3"/>
  <c r="O256" i="3"/>
  <c r="BH255" i="3"/>
  <c r="AR255" i="3"/>
  <c r="AB255" i="3"/>
  <c r="L255" i="3"/>
  <c r="BE254" i="3"/>
  <c r="AO254" i="3"/>
  <c r="Y254" i="3"/>
  <c r="I254" i="3"/>
  <c r="AX253" i="3"/>
  <c r="AH253" i="3"/>
  <c r="R253" i="3"/>
  <c r="BG252" i="3"/>
  <c r="AQ252" i="3"/>
  <c r="AA252" i="3"/>
  <c r="K252" i="3"/>
  <c r="BD251" i="3"/>
  <c r="AN251" i="3"/>
  <c r="X251" i="3"/>
  <c r="H251" i="3"/>
  <c r="AZ249" i="3"/>
  <c r="AJ249" i="3"/>
  <c r="T249" i="3"/>
  <c r="BM248" i="3"/>
  <c r="AW248" i="3"/>
  <c r="AG248" i="3"/>
  <c r="Q248" i="3"/>
  <c r="BF247" i="3"/>
  <c r="AP247" i="3"/>
  <c r="Z247" i="3"/>
  <c r="J247" i="3"/>
  <c r="AY246" i="3"/>
  <c r="AI246" i="3"/>
  <c r="S246" i="3"/>
  <c r="BL245" i="3"/>
  <c r="AV245" i="3"/>
  <c r="AF245" i="3"/>
  <c r="P245" i="3"/>
  <c r="BI244" i="3"/>
  <c r="AS244" i="3"/>
  <c r="AC244" i="3"/>
  <c r="M244" i="3"/>
  <c r="BB243" i="3"/>
  <c r="AL243" i="3"/>
  <c r="V243" i="3"/>
  <c r="BK242" i="3"/>
  <c r="AU242" i="3"/>
  <c r="AE242" i="3"/>
  <c r="O242" i="3"/>
  <c r="BH241" i="3"/>
  <c r="AR241" i="3"/>
  <c r="AB241" i="3"/>
  <c r="L241" i="3"/>
  <c r="BE240" i="3"/>
  <c r="AO240" i="3"/>
  <c r="Y240" i="3"/>
  <c r="I240" i="3"/>
  <c r="AX239" i="3"/>
  <c r="AH239" i="3"/>
  <c r="R239" i="3"/>
  <c r="BG238" i="3"/>
  <c r="AQ238" i="3"/>
  <c r="AA238" i="3"/>
  <c r="K238" i="3"/>
  <c r="BD237" i="3"/>
  <c r="AN237" i="3"/>
  <c r="X237" i="3"/>
  <c r="H237" i="3"/>
  <c r="BA236" i="3"/>
  <c r="AK236" i="3"/>
  <c r="U236" i="3"/>
  <c r="BJ235" i="3"/>
  <c r="AT235" i="3"/>
  <c r="AD235" i="3"/>
  <c r="N235" i="3"/>
  <c r="BC234" i="3"/>
  <c r="AQ327" i="3"/>
  <c r="K327" i="3"/>
  <c r="AW326" i="3"/>
  <c r="AB326" i="3"/>
  <c r="H326" i="3"/>
  <c r="BA325" i="3"/>
  <c r="AK325" i="3"/>
  <c r="U325" i="3"/>
  <c r="BJ324" i="3"/>
  <c r="AT324" i="3"/>
  <c r="AD324" i="3"/>
  <c r="N324" i="3"/>
  <c r="BC323" i="3"/>
  <c r="AM323" i="3"/>
  <c r="W323" i="3"/>
  <c r="G323" i="3"/>
  <c r="AZ322" i="3"/>
  <c r="AJ322" i="3"/>
  <c r="T322" i="3"/>
  <c r="BM321" i="3"/>
  <c r="AW321" i="3"/>
  <c r="AG321" i="3"/>
  <c r="Q321" i="3"/>
  <c r="BF320" i="3"/>
  <c r="AP320" i="3"/>
  <c r="Z320" i="3"/>
  <c r="J320" i="3"/>
  <c r="AY319" i="3"/>
  <c r="AI319" i="3"/>
  <c r="S319" i="3"/>
  <c r="BL318" i="3"/>
  <c r="AV318" i="3"/>
  <c r="AF318" i="3"/>
  <c r="P318" i="3"/>
  <c r="BI317" i="3"/>
  <c r="AS317" i="3"/>
  <c r="AC317" i="3"/>
  <c r="M317" i="3"/>
  <c r="BB316" i="3"/>
  <c r="AL316" i="3"/>
  <c r="V316" i="3"/>
  <c r="BK315" i="3"/>
  <c r="AU315" i="3"/>
  <c r="AE315" i="3"/>
  <c r="O315" i="3"/>
  <c r="BH314" i="3"/>
  <c r="AR314" i="3"/>
  <c r="AB314" i="3"/>
  <c r="L314" i="3"/>
  <c r="BE313" i="3"/>
  <c r="AO313" i="3"/>
  <c r="Y313" i="3"/>
  <c r="I313" i="3"/>
  <c r="AX312" i="3"/>
  <c r="AH312" i="3"/>
  <c r="R312" i="3"/>
  <c r="BG311" i="3"/>
  <c r="AQ311" i="3"/>
  <c r="AA311" i="3"/>
  <c r="K311" i="3"/>
  <c r="BD310" i="3"/>
  <c r="AN310" i="3"/>
  <c r="X310" i="3"/>
  <c r="H310" i="3"/>
  <c r="BA309" i="3"/>
  <c r="AK309" i="3"/>
  <c r="U309" i="3"/>
  <c r="BJ308" i="3"/>
  <c r="AT308" i="3"/>
  <c r="AD308" i="3"/>
  <c r="N308" i="3"/>
  <c r="BC307" i="3"/>
  <c r="AM307" i="3"/>
  <c r="W307" i="3"/>
  <c r="G307" i="3"/>
  <c r="AZ306" i="3"/>
  <c r="AJ306" i="3"/>
  <c r="T306" i="3"/>
  <c r="BM305" i="3"/>
  <c r="AW305" i="3"/>
  <c r="AG305" i="3"/>
  <c r="Q305" i="3"/>
  <c r="BF304" i="3"/>
  <c r="AP304" i="3"/>
  <c r="Z304" i="3"/>
  <c r="J304" i="3"/>
  <c r="AY303" i="3"/>
  <c r="AI303" i="3"/>
  <c r="S303" i="3"/>
  <c r="BL302" i="3"/>
  <c r="AV302" i="3"/>
  <c r="AF302" i="3"/>
  <c r="P302" i="3"/>
  <c r="BI301" i="3"/>
  <c r="AS301" i="3"/>
  <c r="AC301" i="3"/>
  <c r="M301" i="3"/>
  <c r="BB300" i="3"/>
  <c r="AL300" i="3"/>
  <c r="V300" i="3"/>
  <c r="BK299" i="3"/>
  <c r="AU299" i="3"/>
  <c r="AE299" i="3"/>
  <c r="O299" i="3"/>
  <c r="BH298" i="3"/>
  <c r="AR298" i="3"/>
  <c r="AB298" i="3"/>
  <c r="L298" i="3"/>
  <c r="BE297" i="3"/>
  <c r="AO297" i="3"/>
  <c r="Y297" i="3"/>
  <c r="I297" i="3"/>
  <c r="AX296" i="3"/>
  <c r="AH296" i="3"/>
  <c r="R296" i="3"/>
  <c r="BG295" i="3"/>
  <c r="AQ295" i="3"/>
  <c r="AA295" i="3"/>
  <c r="K295" i="3"/>
  <c r="BD294" i="3"/>
  <c r="AN294" i="3"/>
  <c r="X294" i="3"/>
  <c r="H294" i="3"/>
  <c r="BA293" i="3"/>
  <c r="AK293" i="3"/>
  <c r="U293" i="3"/>
  <c r="BL290" i="3"/>
  <c r="AV290" i="3"/>
  <c r="AF290" i="3"/>
  <c r="P290" i="3"/>
  <c r="BI289" i="3"/>
  <c r="AS289" i="3"/>
  <c r="AC289" i="3"/>
  <c r="M289" i="3"/>
  <c r="BB288" i="3"/>
  <c r="AL288" i="3"/>
  <c r="V288" i="3"/>
  <c r="BK287" i="3"/>
  <c r="AU287" i="3"/>
  <c r="AE287" i="3"/>
  <c r="O287" i="3"/>
  <c r="BH286" i="3"/>
  <c r="AR286" i="3"/>
  <c r="AB286" i="3"/>
  <c r="L286" i="3"/>
  <c r="BE285" i="3"/>
  <c r="AO285" i="3"/>
  <c r="Y285" i="3"/>
  <c r="I285" i="3"/>
  <c r="AX284" i="3"/>
  <c r="AH284" i="3"/>
  <c r="R284" i="3"/>
  <c r="BG283" i="3"/>
  <c r="AQ283" i="3"/>
  <c r="AA283" i="3"/>
  <c r="K283" i="3"/>
  <c r="BD282" i="3"/>
  <c r="AN282" i="3"/>
  <c r="X282" i="3"/>
  <c r="H282" i="3"/>
  <c r="BA281" i="3"/>
  <c r="AK281" i="3"/>
  <c r="U281" i="3"/>
  <c r="BJ280" i="3"/>
  <c r="AT280" i="3"/>
  <c r="AD280" i="3"/>
  <c r="N280" i="3"/>
  <c r="BC279" i="3"/>
  <c r="AM279" i="3"/>
  <c r="W279" i="3"/>
  <c r="G279" i="3"/>
  <c r="AZ278" i="3"/>
  <c r="AJ278" i="3"/>
  <c r="T278" i="3"/>
  <c r="BM277" i="3"/>
  <c r="AW277" i="3"/>
  <c r="AG277" i="3"/>
  <c r="Q277" i="3"/>
  <c r="BF276" i="3"/>
  <c r="AP276" i="3"/>
  <c r="Z276" i="3"/>
  <c r="J276" i="3"/>
  <c r="AY275" i="3"/>
  <c r="AI275" i="3"/>
  <c r="S275" i="3"/>
  <c r="BL274" i="3"/>
  <c r="AV274" i="3"/>
  <c r="AF274" i="3"/>
  <c r="P274" i="3"/>
  <c r="BI273" i="3"/>
  <c r="AS273" i="3"/>
  <c r="AC273" i="3"/>
  <c r="M273" i="3"/>
  <c r="BB272" i="3"/>
  <c r="AL272" i="3"/>
  <c r="V272" i="3"/>
  <c r="BK271" i="3"/>
  <c r="AU271" i="3"/>
  <c r="AE271" i="3"/>
  <c r="O271" i="3"/>
  <c r="BH270" i="3"/>
  <c r="AR270" i="3"/>
  <c r="AB270" i="3"/>
  <c r="L270" i="3"/>
  <c r="BE269" i="3"/>
  <c r="AO269" i="3"/>
  <c r="Y269" i="3"/>
  <c r="I269" i="3"/>
  <c r="AX268" i="3"/>
  <c r="AH268" i="3"/>
  <c r="R268" i="3"/>
  <c r="BG267" i="3"/>
  <c r="AQ267" i="3"/>
  <c r="AA267" i="3"/>
  <c r="K267" i="3"/>
  <c r="BD266" i="3"/>
  <c r="AN266" i="3"/>
  <c r="X266" i="3"/>
  <c r="H266" i="3"/>
  <c r="BA265" i="3"/>
  <c r="AK265" i="3"/>
  <c r="U265" i="3"/>
  <c r="BJ264" i="3"/>
  <c r="AT264" i="3"/>
  <c r="AD264" i="3"/>
  <c r="N264" i="3"/>
  <c r="BC263" i="3"/>
  <c r="AM263" i="3"/>
  <c r="W263" i="3"/>
  <c r="G263" i="3"/>
  <c r="AZ262" i="3"/>
  <c r="AJ262" i="3"/>
  <c r="T262" i="3"/>
  <c r="BM261" i="3"/>
  <c r="AW261" i="3"/>
  <c r="AG261" i="3"/>
  <c r="Q261" i="3"/>
  <c r="BF260" i="3"/>
  <c r="AP260" i="3"/>
  <c r="Z260" i="3"/>
  <c r="J260" i="3"/>
  <c r="AY259" i="3"/>
  <c r="AI259" i="3"/>
  <c r="S259" i="3"/>
  <c r="BL258" i="3"/>
  <c r="AV258" i="3"/>
  <c r="AF258" i="3"/>
  <c r="P258" i="3"/>
  <c r="BI257" i="3"/>
  <c r="AS257" i="3"/>
  <c r="AC257" i="3"/>
  <c r="M257" i="3"/>
  <c r="BB256" i="3"/>
  <c r="AL256" i="3"/>
  <c r="V256" i="3"/>
  <c r="BK255" i="3"/>
  <c r="AU255" i="3"/>
  <c r="AE255" i="3"/>
  <c r="O255" i="3"/>
  <c r="BH254" i="3"/>
  <c r="AR254" i="3"/>
  <c r="AB254" i="3"/>
  <c r="L254" i="3"/>
  <c r="BE253" i="3"/>
  <c r="AO253" i="3"/>
  <c r="Y253" i="3"/>
  <c r="I253" i="3"/>
  <c r="AX252" i="3"/>
  <c r="AH252" i="3"/>
  <c r="R252" i="3"/>
  <c r="BG251" i="3"/>
  <c r="AQ251" i="3"/>
  <c r="AA251" i="3"/>
  <c r="K251" i="3"/>
  <c r="BC249" i="3"/>
  <c r="AM249" i="3"/>
  <c r="W249" i="3"/>
  <c r="G249" i="3"/>
  <c r="AZ248" i="3"/>
  <c r="AJ248" i="3"/>
  <c r="T248" i="3"/>
  <c r="BM247" i="3"/>
  <c r="AW247" i="3"/>
  <c r="AG247" i="3"/>
  <c r="Q247" i="3"/>
  <c r="BF246" i="3"/>
  <c r="AP246" i="3"/>
  <c r="Z246" i="3"/>
  <c r="J246" i="3"/>
  <c r="AY245" i="3"/>
  <c r="AI245" i="3"/>
  <c r="S245" i="3"/>
  <c r="BL244" i="3"/>
  <c r="AV244" i="3"/>
  <c r="AF244" i="3"/>
  <c r="P244" i="3"/>
  <c r="BI243" i="3"/>
  <c r="AS243" i="3"/>
  <c r="AC243" i="3"/>
  <c r="M243" i="3"/>
  <c r="BB242" i="3"/>
  <c r="AL242" i="3"/>
  <c r="V242" i="3"/>
  <c r="BK241" i="3"/>
  <c r="AU241" i="3"/>
  <c r="AE241" i="3"/>
  <c r="O241" i="3"/>
  <c r="BH240" i="3"/>
  <c r="AR240" i="3"/>
  <c r="AB240" i="3"/>
  <c r="L240" i="3"/>
  <c r="BE239" i="3"/>
  <c r="AO239" i="3"/>
  <c r="Y239" i="3"/>
  <c r="I239" i="3"/>
  <c r="AX238" i="3"/>
  <c r="AH238" i="3"/>
  <c r="R238" i="3"/>
  <c r="BG237" i="3"/>
  <c r="AQ237" i="3"/>
  <c r="AA237" i="3"/>
  <c r="K237" i="3"/>
  <c r="BD236" i="3"/>
  <c r="AN236" i="3"/>
  <c r="X236" i="3"/>
  <c r="H236" i="3"/>
  <c r="BA235" i="3"/>
  <c r="BD327" i="3"/>
  <c r="X327" i="3"/>
  <c r="BF326" i="3"/>
  <c r="AK326" i="3"/>
  <c r="P326" i="3"/>
  <c r="BH325" i="3"/>
  <c r="AR325" i="3"/>
  <c r="AB325" i="3"/>
  <c r="L325" i="3"/>
  <c r="BE324" i="3"/>
  <c r="AO324" i="3"/>
  <c r="Y324" i="3"/>
  <c r="I324" i="3"/>
  <c r="AX323" i="3"/>
  <c r="AH323" i="3"/>
  <c r="R323" i="3"/>
  <c r="BG322" i="3"/>
  <c r="AQ322" i="3"/>
  <c r="AA322" i="3"/>
  <c r="K322" i="3"/>
  <c r="BD321" i="3"/>
  <c r="AN321" i="3"/>
  <c r="X321" i="3"/>
  <c r="H321" i="3"/>
  <c r="BA320" i="3"/>
  <c r="AK320" i="3"/>
  <c r="U320" i="3"/>
  <c r="BJ319" i="3"/>
  <c r="AT319" i="3"/>
  <c r="AD319" i="3"/>
  <c r="N319" i="3"/>
  <c r="BC318" i="3"/>
  <c r="AM318" i="3"/>
  <c r="W318" i="3"/>
  <c r="G318" i="3"/>
  <c r="AZ317" i="3"/>
  <c r="AJ317" i="3"/>
  <c r="T317" i="3"/>
  <c r="BM316" i="3"/>
  <c r="AW316" i="3"/>
  <c r="AG316" i="3"/>
  <c r="Q316" i="3"/>
  <c r="BF315" i="3"/>
  <c r="AP315" i="3"/>
  <c r="Z315" i="3"/>
  <c r="J315" i="3"/>
  <c r="AY314" i="3"/>
  <c r="AI314" i="3"/>
  <c r="S314" i="3"/>
  <c r="BL313" i="3"/>
  <c r="AV313" i="3"/>
  <c r="AF313" i="3"/>
  <c r="P313" i="3"/>
  <c r="BI312" i="3"/>
  <c r="AS312" i="3"/>
  <c r="AC312" i="3"/>
  <c r="M312" i="3"/>
  <c r="BB311" i="3"/>
  <c r="AL311" i="3"/>
  <c r="V311" i="3"/>
  <c r="BK310" i="3"/>
  <c r="AU310" i="3"/>
  <c r="AE310" i="3"/>
  <c r="O310" i="3"/>
  <c r="BH309" i="3"/>
  <c r="AR309" i="3"/>
  <c r="AB309" i="3"/>
  <c r="L309" i="3"/>
  <c r="BE308" i="3"/>
  <c r="AO308" i="3"/>
  <c r="Y308" i="3"/>
  <c r="I308" i="3"/>
  <c r="AX307" i="3"/>
  <c r="AH307" i="3"/>
  <c r="R307" i="3"/>
  <c r="BG306" i="3"/>
  <c r="AQ306" i="3"/>
  <c r="AA306" i="3"/>
  <c r="K306" i="3"/>
  <c r="BD305" i="3"/>
  <c r="AN305" i="3"/>
  <c r="X305" i="3"/>
  <c r="H305" i="3"/>
  <c r="BA304" i="3"/>
  <c r="AK304" i="3"/>
  <c r="U304" i="3"/>
  <c r="BJ303" i="3"/>
  <c r="AT303" i="3"/>
  <c r="AD303" i="3"/>
  <c r="N303" i="3"/>
  <c r="BC302" i="3"/>
  <c r="AM302" i="3"/>
  <c r="W302" i="3"/>
  <c r="G302" i="3"/>
  <c r="AZ301" i="3"/>
  <c r="AJ301" i="3"/>
  <c r="T301" i="3"/>
  <c r="BM300" i="3"/>
  <c r="AW300" i="3"/>
  <c r="AG300" i="3"/>
  <c r="Q300" i="3"/>
  <c r="BF299" i="3"/>
  <c r="AP299" i="3"/>
  <c r="Z299" i="3"/>
  <c r="J299" i="3"/>
  <c r="AY298" i="3"/>
  <c r="AI298" i="3"/>
  <c r="S298" i="3"/>
  <c r="BL297" i="3"/>
  <c r="AV297" i="3"/>
  <c r="AF297" i="3"/>
  <c r="P297" i="3"/>
  <c r="BI296" i="3"/>
  <c r="AS296" i="3"/>
  <c r="AC296" i="3"/>
  <c r="M296" i="3"/>
  <c r="BB295" i="3"/>
  <c r="AL295" i="3"/>
  <c r="V295" i="3"/>
  <c r="BK294" i="3"/>
  <c r="AU294" i="3"/>
  <c r="AE294" i="3"/>
  <c r="O294" i="3"/>
  <c r="BH293" i="3"/>
  <c r="AR293" i="3"/>
  <c r="AB293" i="3"/>
  <c r="L293" i="3"/>
  <c r="BC290" i="3"/>
  <c r="AM290" i="3"/>
  <c r="W290" i="3"/>
  <c r="G290" i="3"/>
  <c r="AZ289" i="3"/>
  <c r="AJ289" i="3"/>
  <c r="T289" i="3"/>
  <c r="BM288" i="3"/>
  <c r="AW288" i="3"/>
  <c r="AG288" i="3"/>
  <c r="Q288" i="3"/>
  <c r="BF287" i="3"/>
  <c r="AP287" i="3"/>
  <c r="Z287" i="3"/>
  <c r="J287" i="3"/>
  <c r="AY286" i="3"/>
  <c r="AI286" i="3"/>
  <c r="S286" i="3"/>
  <c r="BL285" i="3"/>
  <c r="AV285" i="3"/>
  <c r="AF285" i="3"/>
  <c r="P285" i="3"/>
  <c r="BI284" i="3"/>
  <c r="AS284" i="3"/>
  <c r="AC284" i="3"/>
  <c r="M284" i="3"/>
  <c r="BB283" i="3"/>
  <c r="AL283" i="3"/>
  <c r="V283" i="3"/>
  <c r="BK282" i="3"/>
  <c r="AU282" i="3"/>
  <c r="AE282" i="3"/>
  <c r="O282" i="3"/>
  <c r="BH281" i="3"/>
  <c r="AR281" i="3"/>
  <c r="AB281" i="3"/>
  <c r="L281" i="3"/>
  <c r="BE280" i="3"/>
  <c r="AO280" i="3"/>
  <c r="Y280" i="3"/>
  <c r="I280" i="3"/>
  <c r="AX279" i="3"/>
  <c r="AH279" i="3"/>
  <c r="R279" i="3"/>
  <c r="BG278" i="3"/>
  <c r="AQ278" i="3"/>
  <c r="AA278" i="3"/>
  <c r="K278" i="3"/>
  <c r="BD277" i="3"/>
  <c r="AN277" i="3"/>
  <c r="X277" i="3"/>
  <c r="H277" i="3"/>
  <c r="BA276" i="3"/>
  <c r="AK276" i="3"/>
  <c r="U276" i="3"/>
  <c r="BJ275" i="3"/>
  <c r="AT275" i="3"/>
  <c r="AD275" i="3"/>
  <c r="N275" i="3"/>
  <c r="BC274" i="3"/>
  <c r="AM274" i="3"/>
  <c r="W274" i="3"/>
  <c r="G274" i="3"/>
  <c r="AZ273" i="3"/>
  <c r="AJ273" i="3"/>
  <c r="T273" i="3"/>
  <c r="BM272" i="3"/>
  <c r="AW272" i="3"/>
  <c r="AG272" i="3"/>
  <c r="Q272" i="3"/>
  <c r="BF271" i="3"/>
  <c r="AP271" i="3"/>
  <c r="Z271" i="3"/>
  <c r="J271" i="3"/>
  <c r="AY270" i="3"/>
  <c r="AI270" i="3"/>
  <c r="S270" i="3"/>
  <c r="BL269" i="3"/>
  <c r="AV269" i="3"/>
  <c r="AF269" i="3"/>
  <c r="P269" i="3"/>
  <c r="BI268" i="3"/>
  <c r="AS268" i="3"/>
  <c r="AC268" i="3"/>
  <c r="M268" i="3"/>
  <c r="BB267" i="3"/>
  <c r="AL267" i="3"/>
  <c r="V267" i="3"/>
  <c r="BK266" i="3"/>
  <c r="AU266" i="3"/>
  <c r="AE266" i="3"/>
  <c r="O266" i="3"/>
  <c r="BH265" i="3"/>
  <c r="AR265" i="3"/>
  <c r="AB265" i="3"/>
  <c r="L265" i="3"/>
  <c r="BE264" i="3"/>
  <c r="AO264" i="3"/>
  <c r="Y264" i="3"/>
  <c r="I264" i="3"/>
  <c r="AX263" i="3"/>
  <c r="AH263" i="3"/>
  <c r="R263" i="3"/>
  <c r="BG262" i="3"/>
  <c r="AQ262" i="3"/>
  <c r="AA262" i="3"/>
  <c r="K262" i="3"/>
  <c r="BD261" i="3"/>
  <c r="AN261" i="3"/>
  <c r="X261" i="3"/>
  <c r="H261" i="3"/>
  <c r="BA260" i="3"/>
  <c r="AK260" i="3"/>
  <c r="U260" i="3"/>
  <c r="BJ259" i="3"/>
  <c r="AT259" i="3"/>
  <c r="AD259" i="3"/>
  <c r="N259" i="3"/>
  <c r="BC258" i="3"/>
  <c r="AM258" i="3"/>
  <c r="W258" i="3"/>
  <c r="G258" i="3"/>
  <c r="AZ257" i="3"/>
  <c r="AJ257" i="3"/>
  <c r="T257" i="3"/>
  <c r="BM256" i="3"/>
  <c r="AW256" i="3"/>
  <c r="AG256" i="3"/>
  <c r="Q256" i="3"/>
  <c r="BF255" i="3"/>
  <c r="AP255" i="3"/>
  <c r="Z255" i="3"/>
  <c r="J255" i="3"/>
  <c r="AY254" i="3"/>
  <c r="AI254" i="3"/>
  <c r="S254" i="3"/>
  <c r="BL253" i="3"/>
  <c r="AV253" i="3"/>
  <c r="AF253" i="3"/>
  <c r="P253" i="3"/>
  <c r="BI252" i="3"/>
  <c r="AS252" i="3"/>
  <c r="AC252" i="3"/>
  <c r="M252" i="3"/>
  <c r="BB251" i="3"/>
  <c r="AL251" i="3"/>
  <c r="V251" i="3"/>
  <c r="BJ249" i="3"/>
  <c r="AT249" i="3"/>
  <c r="AD249" i="3"/>
  <c r="N249" i="3"/>
  <c r="BC248" i="3"/>
  <c r="AM248" i="3"/>
  <c r="W248" i="3"/>
  <c r="G248" i="3"/>
  <c r="AZ247" i="3"/>
  <c r="AJ247" i="3"/>
  <c r="T247" i="3"/>
  <c r="BM246" i="3"/>
  <c r="AW246" i="3"/>
  <c r="AG246" i="3"/>
  <c r="Q246" i="3"/>
  <c r="BF245" i="3"/>
  <c r="AP245" i="3"/>
  <c r="Z245" i="3"/>
  <c r="J245" i="3"/>
  <c r="AY244" i="3"/>
  <c r="AI244" i="3"/>
  <c r="S244" i="3"/>
  <c r="BL243" i="3"/>
  <c r="AV243" i="3"/>
  <c r="AF243" i="3"/>
  <c r="P243" i="3"/>
  <c r="BI242" i="3"/>
  <c r="AS242" i="3"/>
  <c r="AC242" i="3"/>
  <c r="M242" i="3"/>
  <c r="BB241" i="3"/>
  <c r="AL241" i="3"/>
  <c r="V241" i="3"/>
  <c r="BK240" i="3"/>
  <c r="AU240" i="3"/>
  <c r="AE240" i="3"/>
  <c r="O240" i="3"/>
  <c r="BH239" i="3"/>
  <c r="AR239" i="3"/>
  <c r="AB239" i="3"/>
  <c r="L239" i="3"/>
  <c r="BE238" i="3"/>
  <c r="AO238" i="3"/>
  <c r="Y238" i="3"/>
  <c r="I238" i="3"/>
  <c r="AX237" i="3"/>
  <c r="AH237" i="3"/>
  <c r="R237" i="3"/>
  <c r="BG236" i="3"/>
  <c r="AQ236" i="3"/>
  <c r="AA236" i="3"/>
  <c r="K236" i="3"/>
  <c r="AU327" i="3"/>
  <c r="O327" i="3"/>
  <c r="AZ326" i="3"/>
  <c r="AD326" i="3"/>
  <c r="J326" i="3"/>
  <c r="AY325" i="3"/>
  <c r="AI325" i="3"/>
  <c r="S325" i="3"/>
  <c r="BL324" i="3"/>
  <c r="AV324" i="3"/>
  <c r="AF324" i="3"/>
  <c r="P324" i="3"/>
  <c r="BI323" i="3"/>
  <c r="AS323" i="3"/>
  <c r="AC323" i="3"/>
  <c r="M323" i="3"/>
  <c r="BB322" i="3"/>
  <c r="AL322" i="3"/>
  <c r="V322" i="3"/>
  <c r="BK321" i="3"/>
  <c r="AU321" i="3"/>
  <c r="AE321" i="3"/>
  <c r="O321" i="3"/>
  <c r="BH320" i="3"/>
  <c r="AR320" i="3"/>
  <c r="AB320" i="3"/>
  <c r="L320" i="3"/>
  <c r="BE319" i="3"/>
  <c r="AO319" i="3"/>
  <c r="Y319" i="3"/>
  <c r="I319" i="3"/>
  <c r="AX318" i="3"/>
  <c r="AH318" i="3"/>
  <c r="R318" i="3"/>
  <c r="BG317" i="3"/>
  <c r="AQ317" i="3"/>
  <c r="AA317" i="3"/>
  <c r="K317" i="3"/>
  <c r="BD316" i="3"/>
  <c r="AN316" i="3"/>
  <c r="X316" i="3"/>
  <c r="H316" i="3"/>
  <c r="BA315" i="3"/>
  <c r="AK315" i="3"/>
  <c r="U315" i="3"/>
  <c r="BJ314" i="3"/>
  <c r="AT314" i="3"/>
  <c r="AD314" i="3"/>
  <c r="N314" i="3"/>
  <c r="BC313" i="3"/>
  <c r="AM313" i="3"/>
  <c r="W313" i="3"/>
  <c r="G313" i="3"/>
  <c r="AZ312" i="3"/>
  <c r="AJ312" i="3"/>
  <c r="T312" i="3"/>
  <c r="BM311" i="3"/>
  <c r="AW311" i="3"/>
  <c r="AG311" i="3"/>
  <c r="Q311" i="3"/>
  <c r="BF310" i="3"/>
  <c r="AP310" i="3"/>
  <c r="Z310" i="3"/>
  <c r="J310" i="3"/>
  <c r="AY309" i="3"/>
  <c r="AI309" i="3"/>
  <c r="S309" i="3"/>
  <c r="BL308" i="3"/>
  <c r="AV308" i="3"/>
  <c r="AF308" i="3"/>
  <c r="P308" i="3"/>
  <c r="BI307" i="3"/>
  <c r="AS307" i="3"/>
  <c r="AC307" i="3"/>
  <c r="M307" i="3"/>
  <c r="BB306" i="3"/>
  <c r="AL306" i="3"/>
  <c r="V306" i="3"/>
  <c r="BK305" i="3"/>
  <c r="AU305" i="3"/>
  <c r="AE305" i="3"/>
  <c r="O305" i="3"/>
  <c r="BH304" i="3"/>
  <c r="AR304" i="3"/>
  <c r="AB304" i="3"/>
  <c r="L304" i="3"/>
  <c r="BE303" i="3"/>
  <c r="AO303" i="3"/>
  <c r="Y303" i="3"/>
  <c r="I303" i="3"/>
  <c r="AX302" i="3"/>
  <c r="AH302" i="3"/>
  <c r="R302" i="3"/>
  <c r="BG301" i="3"/>
  <c r="AQ301" i="3"/>
  <c r="AA301" i="3"/>
  <c r="K301" i="3"/>
  <c r="BD300" i="3"/>
  <c r="AN300" i="3"/>
  <c r="X300" i="3"/>
  <c r="H300" i="3"/>
  <c r="BA299" i="3"/>
  <c r="AK299" i="3"/>
  <c r="U299" i="3"/>
  <c r="BJ298" i="3"/>
  <c r="AT298" i="3"/>
  <c r="AD298" i="3"/>
  <c r="N298" i="3"/>
  <c r="BC297" i="3"/>
  <c r="AM297" i="3"/>
  <c r="W297" i="3"/>
  <c r="G297" i="3"/>
  <c r="AZ296" i="3"/>
  <c r="AJ296" i="3"/>
  <c r="T296" i="3"/>
  <c r="BM295" i="3"/>
  <c r="AW295" i="3"/>
  <c r="AG295" i="3"/>
  <c r="Q295" i="3"/>
  <c r="BF294" i="3"/>
  <c r="AP294" i="3"/>
  <c r="Z294" i="3"/>
  <c r="J294" i="3"/>
  <c r="AY293" i="3"/>
  <c r="AI293" i="3"/>
  <c r="S293" i="3"/>
  <c r="BJ290" i="3"/>
  <c r="AT290" i="3"/>
  <c r="AD290" i="3"/>
  <c r="N290" i="3"/>
  <c r="BC289" i="3"/>
  <c r="AM289" i="3"/>
  <c r="W289" i="3"/>
  <c r="G289" i="3"/>
  <c r="AZ288" i="3"/>
  <c r="AJ288" i="3"/>
  <c r="T288" i="3"/>
  <c r="BM287" i="3"/>
  <c r="AW287" i="3"/>
  <c r="AG287" i="3"/>
  <c r="Q287" i="3"/>
  <c r="BF286" i="3"/>
  <c r="AP286" i="3"/>
  <c r="Z286" i="3"/>
  <c r="J286" i="3"/>
  <c r="AY285" i="3"/>
  <c r="AI285" i="3"/>
  <c r="S285" i="3"/>
  <c r="BL284" i="3"/>
  <c r="AV284" i="3"/>
  <c r="AF284" i="3"/>
  <c r="P284" i="3"/>
  <c r="BI283" i="3"/>
  <c r="AS283" i="3"/>
  <c r="AC283" i="3"/>
  <c r="M283" i="3"/>
  <c r="BB282" i="3"/>
  <c r="AL282" i="3"/>
  <c r="V282" i="3"/>
  <c r="BK281" i="3"/>
  <c r="AU281" i="3"/>
  <c r="AE281" i="3"/>
  <c r="O281" i="3"/>
  <c r="BH280" i="3"/>
  <c r="AR280" i="3"/>
  <c r="AB280" i="3"/>
  <c r="L280" i="3"/>
  <c r="BE279" i="3"/>
  <c r="AO279" i="3"/>
  <c r="Y279" i="3"/>
  <c r="I279" i="3"/>
  <c r="AX278" i="3"/>
  <c r="AH278" i="3"/>
  <c r="R278" i="3"/>
  <c r="BG277" i="3"/>
  <c r="AQ277" i="3"/>
  <c r="AA277" i="3"/>
  <c r="K277" i="3"/>
  <c r="BD276" i="3"/>
  <c r="AN276" i="3"/>
  <c r="X276" i="3"/>
  <c r="H276" i="3"/>
  <c r="BA275" i="3"/>
  <c r="AK275" i="3"/>
  <c r="U275" i="3"/>
  <c r="BJ274" i="3"/>
  <c r="AT274" i="3"/>
  <c r="AD274" i="3"/>
  <c r="N274" i="3"/>
  <c r="BC273" i="3"/>
  <c r="AM273" i="3"/>
  <c r="W273" i="3"/>
  <c r="G273" i="3"/>
  <c r="AZ272" i="3"/>
  <c r="AJ272" i="3"/>
  <c r="T272" i="3"/>
  <c r="BM271" i="3"/>
  <c r="AW271" i="3"/>
  <c r="AG271" i="3"/>
  <c r="Q271" i="3"/>
  <c r="BF270" i="3"/>
  <c r="AP270" i="3"/>
  <c r="Z270" i="3"/>
  <c r="J270" i="3"/>
  <c r="AY269" i="3"/>
  <c r="AI269" i="3"/>
  <c r="S269" i="3"/>
  <c r="BL268" i="3"/>
  <c r="AV268" i="3"/>
  <c r="AF268" i="3"/>
  <c r="P268" i="3"/>
  <c r="BI267" i="3"/>
  <c r="AS267" i="3"/>
  <c r="AC267" i="3"/>
  <c r="M267" i="3"/>
  <c r="BB266" i="3"/>
  <c r="AL266" i="3"/>
  <c r="V266" i="3"/>
  <c r="BK265" i="3"/>
  <c r="AU265" i="3"/>
  <c r="AE265" i="3"/>
  <c r="O265" i="3"/>
  <c r="BH264" i="3"/>
  <c r="AR264" i="3"/>
  <c r="AB264" i="3"/>
  <c r="L264" i="3"/>
  <c r="BE263" i="3"/>
  <c r="AO263" i="3"/>
  <c r="Y263" i="3"/>
  <c r="I263" i="3"/>
  <c r="AX262" i="3"/>
  <c r="AH262" i="3"/>
  <c r="R262" i="3"/>
  <c r="BG261" i="3"/>
  <c r="AQ261" i="3"/>
  <c r="AA261" i="3"/>
  <c r="K261" i="3"/>
  <c r="BD260" i="3"/>
  <c r="AN260" i="3"/>
  <c r="X260" i="3"/>
  <c r="H260" i="3"/>
  <c r="BA259" i="3"/>
  <c r="AK259" i="3"/>
  <c r="U259" i="3"/>
  <c r="BJ258" i="3"/>
  <c r="AT258" i="3"/>
  <c r="AD258" i="3"/>
  <c r="N258" i="3"/>
  <c r="BC257" i="3"/>
  <c r="AM257" i="3"/>
  <c r="W257" i="3"/>
  <c r="G257" i="3"/>
  <c r="AZ256" i="3"/>
  <c r="AJ256" i="3"/>
  <c r="T256" i="3"/>
  <c r="BM255" i="3"/>
  <c r="AW255" i="3"/>
  <c r="AG255" i="3"/>
  <c r="Q255" i="3"/>
  <c r="BF254" i="3"/>
  <c r="AP254" i="3"/>
  <c r="Z254" i="3"/>
  <c r="J254" i="3"/>
  <c r="AY253" i="3"/>
  <c r="AI253" i="3"/>
  <c r="S253" i="3"/>
  <c r="BL252" i="3"/>
  <c r="AV252" i="3"/>
  <c r="AF252" i="3"/>
  <c r="P252" i="3"/>
  <c r="BI251" i="3"/>
  <c r="AS251" i="3"/>
  <c r="AC251" i="3"/>
  <c r="M251" i="3"/>
  <c r="BE249" i="3"/>
  <c r="AO249" i="3"/>
  <c r="Y249" i="3"/>
  <c r="I249" i="3"/>
  <c r="AX248" i="3"/>
  <c r="AH248" i="3"/>
  <c r="R248" i="3"/>
  <c r="BG247" i="3"/>
  <c r="AQ247" i="3"/>
  <c r="AA247" i="3"/>
  <c r="K247" i="3"/>
  <c r="BD246" i="3"/>
  <c r="AN246" i="3"/>
  <c r="X246" i="3"/>
  <c r="H246" i="3"/>
  <c r="BA245" i="3"/>
  <c r="AK245" i="3"/>
  <c r="U245" i="3"/>
  <c r="BJ244" i="3"/>
  <c r="AT244" i="3"/>
  <c r="AD244" i="3"/>
  <c r="N244" i="3"/>
  <c r="BC243" i="3"/>
  <c r="AM243" i="3"/>
  <c r="W243" i="3"/>
  <c r="G243" i="3"/>
  <c r="AZ242" i="3"/>
  <c r="AJ242" i="3"/>
  <c r="T242" i="3"/>
  <c r="BM241" i="3"/>
  <c r="AW241" i="3"/>
  <c r="AG241" i="3"/>
  <c r="Q241" i="3"/>
  <c r="BF240" i="3"/>
  <c r="AP240" i="3"/>
  <c r="Z240" i="3"/>
  <c r="J240" i="3"/>
  <c r="AY239" i="3"/>
  <c r="AI239" i="3"/>
  <c r="S239" i="3"/>
  <c r="BL238" i="3"/>
  <c r="AV238" i="3"/>
  <c r="AF238" i="3"/>
  <c r="P238" i="3"/>
  <c r="BI237" i="3"/>
  <c r="AS237" i="3"/>
  <c r="AC237" i="3"/>
  <c r="M237" i="3"/>
  <c r="BB236" i="3"/>
  <c r="AL236" i="3"/>
  <c r="V236" i="3"/>
  <c r="BK235" i="3"/>
  <c r="AU235" i="3"/>
  <c r="AE235" i="3"/>
  <c r="AK235" i="3"/>
  <c r="L235" i="3"/>
  <c r="AZ234" i="3"/>
  <c r="AI234" i="3"/>
  <c r="S234" i="3"/>
  <c r="BL233" i="3"/>
  <c r="AV233" i="3"/>
  <c r="AF233" i="3"/>
  <c r="P233" i="3"/>
  <c r="BI232" i="3"/>
  <c r="AS232" i="3"/>
  <c r="AC232" i="3"/>
  <c r="M232" i="3"/>
  <c r="BB231" i="3"/>
  <c r="AL231" i="3"/>
  <c r="V231" i="3"/>
  <c r="BK230" i="3"/>
  <c r="AU230" i="3"/>
  <c r="AE230" i="3"/>
  <c r="O230" i="3"/>
  <c r="BH229" i="3"/>
  <c r="AR229" i="3"/>
  <c r="AB229" i="3"/>
  <c r="L229" i="3"/>
  <c r="BE228" i="3"/>
  <c r="AO228" i="3"/>
  <c r="Y228" i="3"/>
  <c r="I228" i="3"/>
  <c r="AX227" i="3"/>
  <c r="AH227" i="3"/>
  <c r="R227" i="3"/>
  <c r="BG226" i="3"/>
  <c r="AQ226" i="3"/>
  <c r="AA226" i="3"/>
  <c r="K226" i="3"/>
  <c r="BD225" i="3"/>
  <c r="AN225" i="3"/>
  <c r="X225" i="3"/>
  <c r="H225" i="3"/>
  <c r="BA224" i="3"/>
  <c r="AK224" i="3"/>
  <c r="U224" i="3"/>
  <c r="BJ223" i="3"/>
  <c r="AT223" i="3"/>
  <c r="AD223" i="3"/>
  <c r="N223" i="3"/>
  <c r="BC222" i="3"/>
  <c r="AM222" i="3"/>
  <c r="W222" i="3"/>
  <c r="G222" i="3"/>
  <c r="AZ221" i="3"/>
  <c r="AJ221" i="3"/>
  <c r="T221" i="3"/>
  <c r="BM220" i="3"/>
  <c r="AW220" i="3"/>
  <c r="AG220" i="3"/>
  <c r="Q220" i="3"/>
  <c r="BF219" i="3"/>
  <c r="AP219" i="3"/>
  <c r="Z219" i="3"/>
  <c r="J219" i="3"/>
  <c r="AY218" i="3"/>
  <c r="AI218" i="3"/>
  <c r="S218" i="3"/>
  <c r="BL217" i="3"/>
  <c r="AV217" i="3"/>
  <c r="AF217" i="3"/>
  <c r="P217" i="3"/>
  <c r="BI216" i="3"/>
  <c r="AS216" i="3"/>
  <c r="AC216" i="3"/>
  <c r="M216" i="3"/>
  <c r="BB215" i="3"/>
  <c r="AL215" i="3"/>
  <c r="V215" i="3"/>
  <c r="BK214" i="3"/>
  <c r="AU214" i="3"/>
  <c r="AE214" i="3"/>
  <c r="O214" i="3"/>
  <c r="BH213" i="3"/>
  <c r="AR213" i="3"/>
  <c r="AB213" i="3"/>
  <c r="L213" i="3"/>
  <c r="BE212" i="3"/>
  <c r="AO212" i="3"/>
  <c r="Y212" i="3"/>
  <c r="I212" i="3"/>
  <c r="AX211" i="3"/>
  <c r="AH211" i="3"/>
  <c r="R211" i="3"/>
  <c r="BG210" i="3"/>
  <c r="AQ210" i="3"/>
  <c r="AA210" i="3"/>
  <c r="K210" i="3"/>
  <c r="BC208" i="3"/>
  <c r="AM208" i="3"/>
  <c r="W208" i="3"/>
  <c r="G208" i="3"/>
  <c r="AZ207" i="3"/>
  <c r="AJ207" i="3"/>
  <c r="T207" i="3"/>
  <c r="BM206" i="3"/>
  <c r="AW206" i="3"/>
  <c r="AG206" i="3"/>
  <c r="Q206" i="3"/>
  <c r="BF205" i="3"/>
  <c r="AP205" i="3"/>
  <c r="Z205" i="3"/>
  <c r="J205" i="3"/>
  <c r="AY204" i="3"/>
  <c r="AI204" i="3"/>
  <c r="S204" i="3"/>
  <c r="BL203" i="3"/>
  <c r="AV203" i="3"/>
  <c r="AF203" i="3"/>
  <c r="P203" i="3"/>
  <c r="BI202" i="3"/>
  <c r="AS202" i="3"/>
  <c r="AC202" i="3"/>
  <c r="M202" i="3"/>
  <c r="BB201" i="3"/>
  <c r="AL201" i="3"/>
  <c r="V201" i="3"/>
  <c r="BK200" i="3"/>
  <c r="AU200" i="3"/>
  <c r="AE200" i="3"/>
  <c r="O200" i="3"/>
  <c r="BH199" i="3"/>
  <c r="AR199" i="3"/>
  <c r="AB199" i="3"/>
  <c r="L199" i="3"/>
  <c r="BE198" i="3"/>
  <c r="AO198" i="3"/>
  <c r="Y198" i="3"/>
  <c r="I198" i="3"/>
  <c r="AX197" i="3"/>
  <c r="AH197" i="3"/>
  <c r="R197" i="3"/>
  <c r="BG196" i="3"/>
  <c r="AQ196" i="3"/>
  <c r="AA196" i="3"/>
  <c r="K196" i="3"/>
  <c r="BD195" i="3"/>
  <c r="AN195" i="3"/>
  <c r="X195" i="3"/>
  <c r="H195" i="3"/>
  <c r="BA194" i="3"/>
  <c r="AK194" i="3"/>
  <c r="U194" i="3"/>
  <c r="BJ193" i="3"/>
  <c r="AT193" i="3"/>
  <c r="AD193" i="3"/>
  <c r="N193" i="3"/>
  <c r="BC192" i="3"/>
  <c r="AM192" i="3"/>
  <c r="W192" i="3"/>
  <c r="G192" i="3"/>
  <c r="AZ191" i="3"/>
  <c r="AJ191" i="3"/>
  <c r="T191" i="3"/>
  <c r="BM190" i="3"/>
  <c r="AW190" i="3"/>
  <c r="AG190" i="3"/>
  <c r="Q190" i="3"/>
  <c r="BF189" i="3"/>
  <c r="AP189" i="3"/>
  <c r="Z189" i="3"/>
  <c r="J189" i="3"/>
  <c r="AY188" i="3"/>
  <c r="AI188" i="3"/>
  <c r="S188" i="3"/>
  <c r="BL187" i="3"/>
  <c r="AV187" i="3"/>
  <c r="AF187" i="3"/>
  <c r="P187" i="3"/>
  <c r="BI186" i="3"/>
  <c r="AS186" i="3"/>
  <c r="AC186" i="3"/>
  <c r="M186" i="3"/>
  <c r="BB185" i="3"/>
  <c r="AL185" i="3"/>
  <c r="V185" i="3"/>
  <c r="BK184" i="3"/>
  <c r="AU184" i="3"/>
  <c r="AE184" i="3"/>
  <c r="O184" i="3"/>
  <c r="BH183" i="3"/>
  <c r="AR183" i="3"/>
  <c r="AB183" i="3"/>
  <c r="L183" i="3"/>
  <c r="BE182" i="3"/>
  <c r="AO182" i="3"/>
  <c r="Y182" i="3"/>
  <c r="I182" i="3"/>
  <c r="AX181" i="3"/>
  <c r="AH181" i="3"/>
  <c r="R181" i="3"/>
  <c r="BG180" i="3"/>
  <c r="AQ180" i="3"/>
  <c r="AA180" i="3"/>
  <c r="K180" i="3"/>
  <c r="BD179" i="3"/>
  <c r="AN179" i="3"/>
  <c r="X179" i="3"/>
  <c r="H179" i="3"/>
  <c r="BA178" i="3"/>
  <c r="AK178" i="3"/>
  <c r="U178" i="3"/>
  <c r="BJ177" i="3"/>
  <c r="AT177" i="3"/>
  <c r="AD177" i="3"/>
  <c r="N177" i="3"/>
  <c r="BC176" i="3"/>
  <c r="AM176" i="3"/>
  <c r="W176" i="3"/>
  <c r="G176" i="3"/>
  <c r="AZ175" i="3"/>
  <c r="AJ175" i="3"/>
  <c r="T175" i="3"/>
  <c r="BM174" i="3"/>
  <c r="AW174" i="3"/>
  <c r="AG174" i="3"/>
  <c r="Q174" i="3"/>
  <c r="BF173" i="3"/>
  <c r="AP173" i="3"/>
  <c r="Z173" i="3"/>
  <c r="J173" i="3"/>
  <c r="AY172" i="3"/>
  <c r="AI172" i="3"/>
  <c r="S172" i="3"/>
  <c r="BL171" i="3"/>
  <c r="AV171" i="3"/>
  <c r="AF171" i="3"/>
  <c r="P171" i="3"/>
  <c r="BI170" i="3"/>
  <c r="AS170" i="3"/>
  <c r="AC170" i="3"/>
  <c r="M170" i="3"/>
  <c r="BB169" i="3"/>
  <c r="AL169" i="3"/>
  <c r="V169" i="3"/>
  <c r="BJ167" i="3"/>
  <c r="AT167" i="3"/>
  <c r="AD167" i="3"/>
  <c r="N167" i="3"/>
  <c r="BC166" i="3"/>
  <c r="AM166" i="3"/>
  <c r="W166" i="3"/>
  <c r="G166" i="3"/>
  <c r="AZ165" i="3"/>
  <c r="AJ165" i="3"/>
  <c r="T165" i="3"/>
  <c r="BM164" i="3"/>
  <c r="AW164" i="3"/>
  <c r="AG164" i="3"/>
  <c r="Q164" i="3"/>
  <c r="BF163" i="3"/>
  <c r="AP163" i="3"/>
  <c r="Z163" i="3"/>
  <c r="J163" i="3"/>
  <c r="AY162" i="3"/>
  <c r="AI162" i="3"/>
  <c r="S162" i="3"/>
  <c r="BL161" i="3"/>
  <c r="AV161" i="3"/>
  <c r="AF161" i="3"/>
  <c r="P161" i="3"/>
  <c r="BI160" i="3"/>
  <c r="AS160" i="3"/>
  <c r="AC160" i="3"/>
  <c r="M160" i="3"/>
  <c r="BB159" i="3"/>
  <c r="AL159" i="3"/>
  <c r="V159" i="3"/>
  <c r="BK158" i="3"/>
  <c r="AU158" i="3"/>
  <c r="AE158" i="3"/>
  <c r="O158" i="3"/>
  <c r="BH157" i="3"/>
  <c r="AR157" i="3"/>
  <c r="AB157" i="3"/>
  <c r="L157" i="3"/>
  <c r="BE156" i="3"/>
  <c r="AO156" i="3"/>
  <c r="Y156" i="3"/>
  <c r="I156" i="3"/>
  <c r="AX155" i="3"/>
  <c r="AH155" i="3"/>
  <c r="R155" i="3"/>
  <c r="BG154" i="3"/>
  <c r="AQ154" i="3"/>
  <c r="AA154" i="3"/>
  <c r="K154" i="3"/>
  <c r="BD153" i="3"/>
  <c r="AN153" i="3"/>
  <c r="X153" i="3"/>
  <c r="H153" i="3"/>
  <c r="BA152" i="3"/>
  <c r="AK152" i="3"/>
  <c r="U152" i="3"/>
  <c r="BJ151" i="3"/>
  <c r="AT151" i="3"/>
  <c r="AD151" i="3"/>
  <c r="N151" i="3"/>
  <c r="BC150" i="3"/>
  <c r="AM150" i="3"/>
  <c r="W150" i="3"/>
  <c r="G150" i="3"/>
  <c r="AZ149" i="3"/>
  <c r="AJ149" i="3"/>
  <c r="T149" i="3"/>
  <c r="BM148" i="3"/>
  <c r="AW148" i="3"/>
  <c r="AG148" i="3"/>
  <c r="Q148" i="3"/>
  <c r="BF147" i="3"/>
  <c r="AP147" i="3"/>
  <c r="Z147" i="3"/>
  <c r="J147" i="3"/>
  <c r="AY146" i="3"/>
  <c r="AI146" i="3"/>
  <c r="S146" i="3"/>
  <c r="BL145" i="3"/>
  <c r="AV145" i="3"/>
  <c r="AF145" i="3"/>
  <c r="P145" i="3"/>
  <c r="BI144" i="3"/>
  <c r="AS144" i="3"/>
  <c r="AC144" i="3"/>
  <c r="M144" i="3"/>
  <c r="AJ235" i="3"/>
  <c r="K235" i="3"/>
  <c r="AT234" i="3"/>
  <c r="AD234" i="3"/>
  <c r="N234" i="3"/>
  <c r="BC233" i="3"/>
  <c r="AM233" i="3"/>
  <c r="W233" i="3"/>
  <c r="G233" i="3"/>
  <c r="AZ232" i="3"/>
  <c r="AJ232" i="3"/>
  <c r="T232" i="3"/>
  <c r="BM231" i="3"/>
  <c r="AW231" i="3"/>
  <c r="AG231" i="3"/>
  <c r="Q231" i="3"/>
  <c r="BF230" i="3"/>
  <c r="AP230" i="3"/>
  <c r="Z230" i="3"/>
  <c r="J230" i="3"/>
  <c r="AY229" i="3"/>
  <c r="AI229" i="3"/>
  <c r="S229" i="3"/>
  <c r="BL228" i="3"/>
  <c r="AV228" i="3"/>
  <c r="AF228" i="3"/>
  <c r="P228" i="3"/>
  <c r="BI227" i="3"/>
  <c r="AS227" i="3"/>
  <c r="AC227" i="3"/>
  <c r="M227" i="3"/>
  <c r="BB226" i="3"/>
  <c r="AL226" i="3"/>
  <c r="V226" i="3"/>
  <c r="BK225" i="3"/>
  <c r="AU225" i="3"/>
  <c r="AE225" i="3"/>
  <c r="O225" i="3"/>
  <c r="BH224" i="3"/>
  <c r="AR224" i="3"/>
  <c r="AB224" i="3"/>
  <c r="L224" i="3"/>
  <c r="BE223" i="3"/>
  <c r="AO223" i="3"/>
  <c r="Y223" i="3"/>
  <c r="I223" i="3"/>
  <c r="AX222" i="3"/>
  <c r="AH222" i="3"/>
  <c r="R222" i="3"/>
  <c r="BG221" i="3"/>
  <c r="AQ221" i="3"/>
  <c r="AA221" i="3"/>
  <c r="K221" i="3"/>
  <c r="BD220" i="3"/>
  <c r="AN220" i="3"/>
  <c r="X220" i="3"/>
  <c r="H220" i="3"/>
  <c r="BA219" i="3"/>
  <c r="AK219" i="3"/>
  <c r="U219" i="3"/>
  <c r="BJ218" i="3"/>
  <c r="AT218" i="3"/>
  <c r="AD218" i="3"/>
  <c r="N218" i="3"/>
  <c r="BC217" i="3"/>
  <c r="AM217" i="3"/>
  <c r="W217" i="3"/>
  <c r="G217" i="3"/>
  <c r="AZ216" i="3"/>
  <c r="AJ216" i="3"/>
  <c r="T216" i="3"/>
  <c r="BM215" i="3"/>
  <c r="AW215" i="3"/>
  <c r="AG215" i="3"/>
  <c r="Q215" i="3"/>
  <c r="BF214" i="3"/>
  <c r="AP214" i="3"/>
  <c r="Z214" i="3"/>
  <c r="J214" i="3"/>
  <c r="AY213" i="3"/>
  <c r="AI213" i="3"/>
  <c r="S213" i="3"/>
  <c r="BL212" i="3"/>
  <c r="AV212" i="3"/>
  <c r="AF212" i="3"/>
  <c r="P212" i="3"/>
  <c r="BI211" i="3"/>
  <c r="AS211" i="3"/>
  <c r="AC211" i="3"/>
  <c r="M211" i="3"/>
  <c r="BB210" i="3"/>
  <c r="AL210" i="3"/>
  <c r="V210" i="3"/>
  <c r="BJ208" i="3"/>
  <c r="AT208" i="3"/>
  <c r="AD208" i="3"/>
  <c r="N208" i="3"/>
  <c r="BC207" i="3"/>
  <c r="AM207" i="3"/>
  <c r="W207" i="3"/>
  <c r="G207" i="3"/>
  <c r="AZ206" i="3"/>
  <c r="AJ206" i="3"/>
  <c r="T206" i="3"/>
  <c r="BM205" i="3"/>
  <c r="AW205" i="3"/>
  <c r="AG205" i="3"/>
  <c r="Q205" i="3"/>
  <c r="BF204" i="3"/>
  <c r="AP204" i="3"/>
  <c r="Z204" i="3"/>
  <c r="J204" i="3"/>
  <c r="AY203" i="3"/>
  <c r="AI203" i="3"/>
  <c r="S203" i="3"/>
  <c r="BL202" i="3"/>
  <c r="AV202" i="3"/>
  <c r="AF202" i="3"/>
  <c r="P202" i="3"/>
  <c r="BI201" i="3"/>
  <c r="AS201" i="3"/>
  <c r="AC201" i="3"/>
  <c r="M201" i="3"/>
  <c r="BB200" i="3"/>
  <c r="AL200" i="3"/>
  <c r="V200" i="3"/>
  <c r="BK199" i="3"/>
  <c r="AU199" i="3"/>
  <c r="AE199" i="3"/>
  <c r="O199" i="3"/>
  <c r="BH198" i="3"/>
  <c r="AR198" i="3"/>
  <c r="AB198" i="3"/>
  <c r="L198" i="3"/>
  <c r="BE197" i="3"/>
  <c r="AO197" i="3"/>
  <c r="Y197" i="3"/>
  <c r="I197" i="3"/>
  <c r="AX196" i="3"/>
  <c r="AH196" i="3"/>
  <c r="R196" i="3"/>
  <c r="BG195" i="3"/>
  <c r="AQ195" i="3"/>
  <c r="AA195" i="3"/>
  <c r="K195" i="3"/>
  <c r="BD194" i="3"/>
  <c r="AN194" i="3"/>
  <c r="X194" i="3"/>
  <c r="H194" i="3"/>
  <c r="BA193" i="3"/>
  <c r="AK193" i="3"/>
  <c r="U193" i="3"/>
  <c r="BJ192" i="3"/>
  <c r="AT192" i="3"/>
  <c r="AD192" i="3"/>
  <c r="N192" i="3"/>
  <c r="BC191" i="3"/>
  <c r="AM191" i="3"/>
  <c r="W191" i="3"/>
  <c r="G191" i="3"/>
  <c r="AZ190" i="3"/>
  <c r="AJ190" i="3"/>
  <c r="T190" i="3"/>
  <c r="BM189" i="3"/>
  <c r="AW189" i="3"/>
  <c r="AG189" i="3"/>
  <c r="Q189" i="3"/>
  <c r="BF188" i="3"/>
  <c r="AP188" i="3"/>
  <c r="Z188" i="3"/>
  <c r="J188" i="3"/>
  <c r="AY187" i="3"/>
  <c r="AI187" i="3"/>
  <c r="S187" i="3"/>
  <c r="BL186" i="3"/>
  <c r="AV186" i="3"/>
  <c r="AF186" i="3"/>
  <c r="P186" i="3"/>
  <c r="BI185" i="3"/>
  <c r="AS185" i="3"/>
  <c r="AC185" i="3"/>
  <c r="M185" i="3"/>
  <c r="BB184" i="3"/>
  <c r="AL184" i="3"/>
  <c r="V184" i="3"/>
  <c r="BK183" i="3"/>
  <c r="AU183" i="3"/>
  <c r="AE183" i="3"/>
  <c r="O183" i="3"/>
  <c r="BH182" i="3"/>
  <c r="AR182" i="3"/>
  <c r="AB182" i="3"/>
  <c r="L182" i="3"/>
  <c r="BE181" i="3"/>
  <c r="AO181" i="3"/>
  <c r="Y181" i="3"/>
  <c r="I181" i="3"/>
  <c r="AX180" i="3"/>
  <c r="AH180" i="3"/>
  <c r="R180" i="3"/>
  <c r="BG179" i="3"/>
  <c r="AQ179" i="3"/>
  <c r="AA179" i="3"/>
  <c r="K179" i="3"/>
  <c r="BD178" i="3"/>
  <c r="AN178" i="3"/>
  <c r="X178" i="3"/>
  <c r="H178" i="3"/>
  <c r="BA177" i="3"/>
  <c r="AK177" i="3"/>
  <c r="U177" i="3"/>
  <c r="BJ176" i="3"/>
  <c r="AT176" i="3"/>
  <c r="AD176" i="3"/>
  <c r="N176" i="3"/>
  <c r="BC175" i="3"/>
  <c r="AM175" i="3"/>
  <c r="W175" i="3"/>
  <c r="G175" i="3"/>
  <c r="AZ174" i="3"/>
  <c r="AJ174" i="3"/>
  <c r="T174" i="3"/>
  <c r="BM173" i="3"/>
  <c r="AW173" i="3"/>
  <c r="AG173" i="3"/>
  <c r="Q173" i="3"/>
  <c r="BF172" i="3"/>
  <c r="AP172" i="3"/>
  <c r="Z172" i="3"/>
  <c r="J172" i="3"/>
  <c r="AY171" i="3"/>
  <c r="AI171" i="3"/>
  <c r="S171" i="3"/>
  <c r="BL170" i="3"/>
  <c r="AV170" i="3"/>
  <c r="AF170" i="3"/>
  <c r="P170" i="3"/>
  <c r="BI169" i="3"/>
  <c r="AS169" i="3"/>
  <c r="AC169" i="3"/>
  <c r="M169" i="3"/>
  <c r="BE167" i="3"/>
  <c r="AO167" i="3"/>
  <c r="Y167" i="3"/>
  <c r="I167" i="3"/>
  <c r="AX166" i="3"/>
  <c r="AH166" i="3"/>
  <c r="R166" i="3"/>
  <c r="BG165" i="3"/>
  <c r="AQ165" i="3"/>
  <c r="AA165" i="3"/>
  <c r="K165" i="3"/>
  <c r="BD164" i="3"/>
  <c r="AN164" i="3"/>
  <c r="X164" i="3"/>
  <c r="H164" i="3"/>
  <c r="BA163" i="3"/>
  <c r="AK163" i="3"/>
  <c r="U163" i="3"/>
  <c r="BJ162" i="3"/>
  <c r="AT162" i="3"/>
  <c r="AD162" i="3"/>
  <c r="N162" i="3"/>
  <c r="BC161" i="3"/>
  <c r="AM161" i="3"/>
  <c r="W161" i="3"/>
  <c r="G161" i="3"/>
  <c r="AZ160" i="3"/>
  <c r="AJ160" i="3"/>
  <c r="T160" i="3"/>
  <c r="BM159" i="3"/>
  <c r="AW159" i="3"/>
  <c r="AG159" i="3"/>
  <c r="Q159" i="3"/>
  <c r="BF158" i="3"/>
  <c r="AP158" i="3"/>
  <c r="Z158" i="3"/>
  <c r="J158" i="3"/>
  <c r="AY157" i="3"/>
  <c r="AI157" i="3"/>
  <c r="S157" i="3"/>
  <c r="BL156" i="3"/>
  <c r="AV156" i="3"/>
  <c r="AF156" i="3"/>
  <c r="P156" i="3"/>
  <c r="BI155" i="3"/>
  <c r="AS155" i="3"/>
  <c r="AC155" i="3"/>
  <c r="M155" i="3"/>
  <c r="BB154" i="3"/>
  <c r="AL154" i="3"/>
  <c r="V154" i="3"/>
  <c r="BK153" i="3"/>
  <c r="AU153" i="3"/>
  <c r="AE153" i="3"/>
  <c r="O153" i="3"/>
  <c r="BH152" i="3"/>
  <c r="AR152" i="3"/>
  <c r="AB152" i="3"/>
  <c r="L152" i="3"/>
  <c r="BE151" i="3"/>
  <c r="AO151" i="3"/>
  <c r="Y151" i="3"/>
  <c r="I151" i="3"/>
  <c r="AX150" i="3"/>
  <c r="AH150" i="3"/>
  <c r="R150" i="3"/>
  <c r="BG149" i="3"/>
  <c r="AQ149" i="3"/>
  <c r="AA149" i="3"/>
  <c r="K149" i="3"/>
  <c r="BD148" i="3"/>
  <c r="AN148" i="3"/>
  <c r="X148" i="3"/>
  <c r="H148" i="3"/>
  <c r="BA147" i="3"/>
  <c r="AK147" i="3"/>
  <c r="U147" i="3"/>
  <c r="BJ146" i="3"/>
  <c r="AT146" i="3"/>
  <c r="AD146" i="3"/>
  <c r="N146" i="3"/>
  <c r="BC145" i="3"/>
  <c r="AM145" i="3"/>
  <c r="W145" i="3"/>
  <c r="G145" i="3"/>
  <c r="AZ144" i="3"/>
  <c r="AJ144" i="3"/>
  <c r="AG235" i="3"/>
  <c r="I235" i="3"/>
  <c r="AW234" i="3"/>
  <c r="AG234" i="3"/>
  <c r="Q234" i="3"/>
  <c r="BF233" i="3"/>
  <c r="AP233" i="3"/>
  <c r="Z233" i="3"/>
  <c r="J233" i="3"/>
  <c r="AY232" i="3"/>
  <c r="AI232" i="3"/>
  <c r="S232" i="3"/>
  <c r="BL231" i="3"/>
  <c r="AV231" i="3"/>
  <c r="AF231" i="3"/>
  <c r="P231" i="3"/>
  <c r="BI230" i="3"/>
  <c r="AS230" i="3"/>
  <c r="AC230" i="3"/>
  <c r="M230" i="3"/>
  <c r="BB229" i="3"/>
  <c r="AL229" i="3"/>
  <c r="V229" i="3"/>
  <c r="BK228" i="3"/>
  <c r="AU228" i="3"/>
  <c r="AE228" i="3"/>
  <c r="O228" i="3"/>
  <c r="BH227" i="3"/>
  <c r="AR227" i="3"/>
  <c r="AB227" i="3"/>
  <c r="L227" i="3"/>
  <c r="BE226" i="3"/>
  <c r="AO226" i="3"/>
  <c r="Y226" i="3"/>
  <c r="I226" i="3"/>
  <c r="AX225" i="3"/>
  <c r="AH225" i="3"/>
  <c r="R225" i="3"/>
  <c r="BG224" i="3"/>
  <c r="AQ224" i="3"/>
  <c r="AA224" i="3"/>
  <c r="K224" i="3"/>
  <c r="BD223" i="3"/>
  <c r="AN223" i="3"/>
  <c r="X223" i="3"/>
  <c r="H223" i="3"/>
  <c r="BA222" i="3"/>
  <c r="AK222" i="3"/>
  <c r="U222" i="3"/>
  <c r="BJ221" i="3"/>
  <c r="AT221" i="3"/>
  <c r="AD221" i="3"/>
  <c r="N221" i="3"/>
  <c r="BC220" i="3"/>
  <c r="AM220" i="3"/>
  <c r="W220" i="3"/>
  <c r="G220" i="3"/>
  <c r="AZ219" i="3"/>
  <c r="AJ219" i="3"/>
  <c r="T219" i="3"/>
  <c r="BM218" i="3"/>
  <c r="AW218" i="3"/>
  <c r="AG218" i="3"/>
  <c r="Q218" i="3"/>
  <c r="BF217" i="3"/>
  <c r="AP217" i="3"/>
  <c r="Z217" i="3"/>
  <c r="J217" i="3"/>
  <c r="AY216" i="3"/>
  <c r="AI216" i="3"/>
  <c r="S216" i="3"/>
  <c r="BL215" i="3"/>
  <c r="AV215" i="3"/>
  <c r="AF215" i="3"/>
  <c r="P215" i="3"/>
  <c r="BI214" i="3"/>
  <c r="AS214" i="3"/>
  <c r="AC214" i="3"/>
  <c r="M214" i="3"/>
  <c r="BB213" i="3"/>
  <c r="AL213" i="3"/>
  <c r="V213" i="3"/>
  <c r="BK212" i="3"/>
  <c r="AU212" i="3"/>
  <c r="AE212" i="3"/>
  <c r="O212" i="3"/>
  <c r="BH211" i="3"/>
  <c r="AR211" i="3"/>
  <c r="AB211" i="3"/>
  <c r="L211" i="3"/>
  <c r="BE210" i="3"/>
  <c r="AO210" i="3"/>
  <c r="Y210" i="3"/>
  <c r="I210" i="3"/>
  <c r="BA208" i="3"/>
  <c r="AK208" i="3"/>
  <c r="U208" i="3"/>
  <c r="BJ207" i="3"/>
  <c r="AT207" i="3"/>
  <c r="AD207" i="3"/>
  <c r="N207" i="3"/>
  <c r="BC206" i="3"/>
  <c r="AM206" i="3"/>
  <c r="W206" i="3"/>
  <c r="G206" i="3"/>
  <c r="AZ205" i="3"/>
  <c r="AJ205" i="3"/>
  <c r="T205" i="3"/>
  <c r="BM204" i="3"/>
  <c r="AW204" i="3"/>
  <c r="AG204" i="3"/>
  <c r="Q204" i="3"/>
  <c r="BF203" i="3"/>
  <c r="AP203" i="3"/>
  <c r="Z203" i="3"/>
  <c r="J203" i="3"/>
  <c r="AY202" i="3"/>
  <c r="AI202" i="3"/>
  <c r="S202" i="3"/>
  <c r="BL201" i="3"/>
  <c r="AV201" i="3"/>
  <c r="AF201" i="3"/>
  <c r="P201" i="3"/>
  <c r="BI200" i="3"/>
  <c r="AS200" i="3"/>
  <c r="AC200" i="3"/>
  <c r="M200" i="3"/>
  <c r="BB199" i="3"/>
  <c r="AL199" i="3"/>
  <c r="V199" i="3"/>
  <c r="BK198" i="3"/>
  <c r="AU198" i="3"/>
  <c r="AE198" i="3"/>
  <c r="O198" i="3"/>
  <c r="BH197" i="3"/>
  <c r="AR197" i="3"/>
  <c r="AB197" i="3"/>
  <c r="L197" i="3"/>
  <c r="BE196" i="3"/>
  <c r="AO196" i="3"/>
  <c r="Y196" i="3"/>
  <c r="I196" i="3"/>
  <c r="AX195" i="3"/>
  <c r="AH195" i="3"/>
  <c r="R195" i="3"/>
  <c r="BG194" i="3"/>
  <c r="AQ194" i="3"/>
  <c r="AA194" i="3"/>
  <c r="K194" i="3"/>
  <c r="BD193" i="3"/>
  <c r="AN193" i="3"/>
  <c r="X193" i="3"/>
  <c r="H193" i="3"/>
  <c r="BA192" i="3"/>
  <c r="AK192" i="3"/>
  <c r="U192" i="3"/>
  <c r="BJ191" i="3"/>
  <c r="AT191" i="3"/>
  <c r="AD191" i="3"/>
  <c r="N191" i="3"/>
  <c r="BC190" i="3"/>
  <c r="AM190" i="3"/>
  <c r="W190" i="3"/>
  <c r="G190" i="3"/>
  <c r="AZ189" i="3"/>
  <c r="AJ189" i="3"/>
  <c r="T189" i="3"/>
  <c r="BM188" i="3"/>
  <c r="AW188" i="3"/>
  <c r="AG188" i="3"/>
  <c r="Q188" i="3"/>
  <c r="BF187" i="3"/>
  <c r="AP187" i="3"/>
  <c r="Z187" i="3"/>
  <c r="J187" i="3"/>
  <c r="AY186" i="3"/>
  <c r="AI186" i="3"/>
  <c r="S186" i="3"/>
  <c r="BL185" i="3"/>
  <c r="AV185" i="3"/>
  <c r="AF185" i="3"/>
  <c r="P185" i="3"/>
  <c r="BI184" i="3"/>
  <c r="AS184" i="3"/>
  <c r="AC184" i="3"/>
  <c r="M184" i="3"/>
  <c r="BB183" i="3"/>
  <c r="AL183" i="3"/>
  <c r="V183" i="3"/>
  <c r="BK182" i="3"/>
  <c r="AU182" i="3"/>
  <c r="AE182" i="3"/>
  <c r="O182" i="3"/>
  <c r="BH181" i="3"/>
  <c r="AR181" i="3"/>
  <c r="AB181" i="3"/>
  <c r="L181" i="3"/>
  <c r="BE180" i="3"/>
  <c r="AO180" i="3"/>
  <c r="Y180" i="3"/>
  <c r="I180" i="3"/>
  <c r="AX179" i="3"/>
  <c r="AH179" i="3"/>
  <c r="R179" i="3"/>
  <c r="BG178" i="3"/>
  <c r="AQ178" i="3"/>
  <c r="AA178" i="3"/>
  <c r="K178" i="3"/>
  <c r="BD177" i="3"/>
  <c r="AN177" i="3"/>
  <c r="X177" i="3"/>
  <c r="H177" i="3"/>
  <c r="BA176" i="3"/>
  <c r="AK176" i="3"/>
  <c r="U176" i="3"/>
  <c r="BJ175" i="3"/>
  <c r="AT175" i="3"/>
  <c r="AD175" i="3"/>
  <c r="N175" i="3"/>
  <c r="BC174" i="3"/>
  <c r="AM174" i="3"/>
  <c r="W174" i="3"/>
  <c r="G174" i="3"/>
  <c r="AZ173" i="3"/>
  <c r="AJ173" i="3"/>
  <c r="T173" i="3"/>
  <c r="BM172" i="3"/>
  <c r="AW172" i="3"/>
  <c r="AG172" i="3"/>
  <c r="Q172" i="3"/>
  <c r="BF171" i="3"/>
  <c r="AP171" i="3"/>
  <c r="Z171" i="3"/>
  <c r="J171" i="3"/>
  <c r="AY170" i="3"/>
  <c r="AI170" i="3"/>
  <c r="S170" i="3"/>
  <c r="BL169" i="3"/>
  <c r="AV169" i="3"/>
  <c r="AF169" i="3"/>
  <c r="P169" i="3"/>
  <c r="BH167" i="3"/>
  <c r="AR167" i="3"/>
  <c r="AB167" i="3"/>
  <c r="L167" i="3"/>
  <c r="BE166" i="3"/>
  <c r="AO166" i="3"/>
  <c r="Y166" i="3"/>
  <c r="I166" i="3"/>
  <c r="AX165" i="3"/>
  <c r="AH165" i="3"/>
  <c r="R165" i="3"/>
  <c r="BG164" i="3"/>
  <c r="AQ164" i="3"/>
  <c r="AA164" i="3"/>
  <c r="K164" i="3"/>
  <c r="BD163" i="3"/>
  <c r="AN163" i="3"/>
  <c r="X163" i="3"/>
  <c r="H163" i="3"/>
  <c r="BA162" i="3"/>
  <c r="AK162" i="3"/>
  <c r="U162" i="3"/>
  <c r="BJ161" i="3"/>
  <c r="AT161" i="3"/>
  <c r="AD161" i="3"/>
  <c r="N161" i="3"/>
  <c r="BC160" i="3"/>
  <c r="AM160" i="3"/>
  <c r="W160" i="3"/>
  <c r="G160" i="3"/>
  <c r="AZ159" i="3"/>
  <c r="AJ159" i="3"/>
  <c r="T159" i="3"/>
  <c r="BM158" i="3"/>
  <c r="AW158" i="3"/>
  <c r="AG158" i="3"/>
  <c r="Q158" i="3"/>
  <c r="BF157" i="3"/>
  <c r="AP157" i="3"/>
  <c r="Z157" i="3"/>
  <c r="J157" i="3"/>
  <c r="AY156" i="3"/>
  <c r="AI156" i="3"/>
  <c r="S156" i="3"/>
  <c r="BL155" i="3"/>
  <c r="AV155" i="3"/>
  <c r="AF155" i="3"/>
  <c r="P155" i="3"/>
  <c r="BI154" i="3"/>
  <c r="AS154" i="3"/>
  <c r="AC154" i="3"/>
  <c r="M154" i="3"/>
  <c r="BB153" i="3"/>
  <c r="AL153" i="3"/>
  <c r="V153" i="3"/>
  <c r="BK152" i="3"/>
  <c r="AU152" i="3"/>
  <c r="AE152" i="3"/>
  <c r="O152" i="3"/>
  <c r="BH151" i="3"/>
  <c r="AR151" i="3"/>
  <c r="AB151" i="3"/>
  <c r="L151" i="3"/>
  <c r="BE150" i="3"/>
  <c r="AO150" i="3"/>
  <c r="Y150" i="3"/>
  <c r="I150" i="3"/>
  <c r="AX149" i="3"/>
  <c r="AH149" i="3"/>
  <c r="R149" i="3"/>
  <c r="BG148" i="3"/>
  <c r="AQ148" i="3"/>
  <c r="AA148" i="3"/>
  <c r="K148" i="3"/>
  <c r="BD147" i="3"/>
  <c r="AN147" i="3"/>
  <c r="X147" i="3"/>
  <c r="H147" i="3"/>
  <c r="BA146" i="3"/>
  <c r="AK146" i="3"/>
  <c r="U146" i="3"/>
  <c r="AZ235" i="3"/>
  <c r="S235" i="3"/>
  <c r="BF234" i="3"/>
  <c r="AN234" i="3"/>
  <c r="X234" i="3"/>
  <c r="H234" i="3"/>
  <c r="BA233" i="3"/>
  <c r="AK233" i="3"/>
  <c r="U233" i="3"/>
  <c r="BJ232" i="3"/>
  <c r="AT232" i="3"/>
  <c r="AD232" i="3"/>
  <c r="N232" i="3"/>
  <c r="BC231" i="3"/>
  <c r="AM231" i="3"/>
  <c r="W231" i="3"/>
  <c r="G231" i="3"/>
  <c r="AZ230" i="3"/>
  <c r="AJ230" i="3"/>
  <c r="T230" i="3"/>
  <c r="BM229" i="3"/>
  <c r="AW229" i="3"/>
  <c r="AG229" i="3"/>
  <c r="Q229" i="3"/>
  <c r="BF228" i="3"/>
  <c r="AP228" i="3"/>
  <c r="Z228" i="3"/>
  <c r="J228" i="3"/>
  <c r="AY227" i="3"/>
  <c r="AI227" i="3"/>
  <c r="S227" i="3"/>
  <c r="BL226" i="3"/>
  <c r="AV226" i="3"/>
  <c r="AF226" i="3"/>
  <c r="P226" i="3"/>
  <c r="BI225" i="3"/>
  <c r="AS225" i="3"/>
  <c r="AC225" i="3"/>
  <c r="M225" i="3"/>
  <c r="BB224" i="3"/>
  <c r="AL224" i="3"/>
  <c r="V224" i="3"/>
  <c r="BK223" i="3"/>
  <c r="AU223" i="3"/>
  <c r="AE223" i="3"/>
  <c r="O223" i="3"/>
  <c r="BH222" i="3"/>
  <c r="AR222" i="3"/>
  <c r="AB222" i="3"/>
  <c r="L222" i="3"/>
  <c r="BE221" i="3"/>
  <c r="AO221" i="3"/>
  <c r="Y221" i="3"/>
  <c r="I221" i="3"/>
  <c r="AX220" i="3"/>
  <c r="AH220" i="3"/>
  <c r="R220" i="3"/>
  <c r="BG219" i="3"/>
  <c r="AQ219" i="3"/>
  <c r="AA219" i="3"/>
  <c r="K219" i="3"/>
  <c r="BD218" i="3"/>
  <c r="AN218" i="3"/>
  <c r="X218" i="3"/>
  <c r="H218" i="3"/>
  <c r="BA217" i="3"/>
  <c r="AK217" i="3"/>
  <c r="U217" i="3"/>
  <c r="BJ216" i="3"/>
  <c r="AT216" i="3"/>
  <c r="AD216" i="3"/>
  <c r="N216" i="3"/>
  <c r="BC215" i="3"/>
  <c r="AM215" i="3"/>
  <c r="W215" i="3"/>
  <c r="G215" i="3"/>
  <c r="AZ214" i="3"/>
  <c r="AJ214" i="3"/>
  <c r="T214" i="3"/>
  <c r="BM213" i="3"/>
  <c r="AW213" i="3"/>
  <c r="AG213" i="3"/>
  <c r="Q213" i="3"/>
  <c r="BF212" i="3"/>
  <c r="AP212" i="3"/>
  <c r="Z212" i="3"/>
  <c r="J212" i="3"/>
  <c r="AY211" i="3"/>
  <c r="AI211" i="3"/>
  <c r="S211" i="3"/>
  <c r="BL210" i="3"/>
  <c r="AV210" i="3"/>
  <c r="AF210" i="3"/>
  <c r="P210" i="3"/>
  <c r="BH208" i="3"/>
  <c r="AR208" i="3"/>
  <c r="AB208" i="3"/>
  <c r="L208" i="3"/>
  <c r="BE207" i="3"/>
  <c r="AO207" i="3"/>
  <c r="Y207" i="3"/>
  <c r="I207" i="3"/>
  <c r="AX206" i="3"/>
  <c r="AH206" i="3"/>
  <c r="R206" i="3"/>
  <c r="BG205" i="3"/>
  <c r="AQ205" i="3"/>
  <c r="AA205" i="3"/>
  <c r="K205" i="3"/>
  <c r="BD204" i="3"/>
  <c r="AN204" i="3"/>
  <c r="X204" i="3"/>
  <c r="H204" i="3"/>
  <c r="BA203" i="3"/>
  <c r="AK203" i="3"/>
  <c r="U203" i="3"/>
  <c r="BJ202" i="3"/>
  <c r="AT202" i="3"/>
  <c r="AD202" i="3"/>
  <c r="N202" i="3"/>
  <c r="BC201" i="3"/>
  <c r="AM201" i="3"/>
  <c r="W201" i="3"/>
  <c r="G201" i="3"/>
  <c r="AZ200" i="3"/>
  <c r="AJ200" i="3"/>
  <c r="T200" i="3"/>
  <c r="BM199" i="3"/>
  <c r="AW199" i="3"/>
  <c r="AG199" i="3"/>
  <c r="Q199" i="3"/>
  <c r="BF198" i="3"/>
  <c r="AP198" i="3"/>
  <c r="Z198" i="3"/>
  <c r="J198" i="3"/>
  <c r="AY197" i="3"/>
  <c r="AI197" i="3"/>
  <c r="S197" i="3"/>
  <c r="BL196" i="3"/>
  <c r="AV196" i="3"/>
  <c r="AF196" i="3"/>
  <c r="P196" i="3"/>
  <c r="BI195" i="3"/>
  <c r="AS195" i="3"/>
  <c r="AC195" i="3"/>
  <c r="M195" i="3"/>
  <c r="BB194" i="3"/>
  <c r="AL194" i="3"/>
  <c r="V194" i="3"/>
  <c r="BK193" i="3"/>
  <c r="AU193" i="3"/>
  <c r="AE193" i="3"/>
  <c r="O193" i="3"/>
  <c r="BH192" i="3"/>
  <c r="AR192" i="3"/>
  <c r="AB192" i="3"/>
  <c r="L192" i="3"/>
  <c r="BE191" i="3"/>
  <c r="AO191" i="3"/>
  <c r="Y191" i="3"/>
  <c r="I191" i="3"/>
  <c r="AX190" i="3"/>
  <c r="AH190" i="3"/>
  <c r="R190" i="3"/>
  <c r="BG189" i="3"/>
  <c r="AQ189" i="3"/>
  <c r="AA189" i="3"/>
  <c r="K189" i="3"/>
  <c r="BD188" i="3"/>
  <c r="AN188" i="3"/>
  <c r="X188" i="3"/>
  <c r="H188" i="3"/>
  <c r="BA187" i="3"/>
  <c r="AK187" i="3"/>
  <c r="U187" i="3"/>
  <c r="BJ186" i="3"/>
  <c r="AT186" i="3"/>
  <c r="AD186" i="3"/>
  <c r="N186" i="3"/>
  <c r="BC185" i="3"/>
  <c r="AM185" i="3"/>
  <c r="W185" i="3"/>
  <c r="G185" i="3"/>
  <c r="AZ184" i="3"/>
  <c r="AJ184" i="3"/>
  <c r="T184" i="3"/>
  <c r="BM183" i="3"/>
  <c r="AW183" i="3"/>
  <c r="AG183" i="3"/>
  <c r="Q183" i="3"/>
  <c r="BF182" i="3"/>
  <c r="AP182" i="3"/>
  <c r="Z182" i="3"/>
  <c r="J182" i="3"/>
  <c r="AY181" i="3"/>
  <c r="AI181" i="3"/>
  <c r="S181" i="3"/>
  <c r="BL180" i="3"/>
  <c r="AV180" i="3"/>
  <c r="AF180" i="3"/>
  <c r="P180" i="3"/>
  <c r="BI179" i="3"/>
  <c r="AS179" i="3"/>
  <c r="AC179" i="3"/>
  <c r="M179" i="3"/>
  <c r="BB178" i="3"/>
  <c r="AL178" i="3"/>
  <c r="V178" i="3"/>
  <c r="BK177" i="3"/>
  <c r="AU177" i="3"/>
  <c r="AE177" i="3"/>
  <c r="O177" i="3"/>
  <c r="BH176" i="3"/>
  <c r="AR176" i="3"/>
  <c r="AB176" i="3"/>
  <c r="L176" i="3"/>
  <c r="BE175" i="3"/>
  <c r="AO175" i="3"/>
  <c r="Y175" i="3"/>
  <c r="I175" i="3"/>
  <c r="AX174" i="3"/>
  <c r="AH174" i="3"/>
  <c r="R174" i="3"/>
  <c r="BG173" i="3"/>
  <c r="AQ173" i="3"/>
  <c r="AA173" i="3"/>
  <c r="K173" i="3"/>
  <c r="BD172" i="3"/>
  <c r="AN172" i="3"/>
  <c r="X172" i="3"/>
  <c r="H172" i="3"/>
  <c r="BA171" i="3"/>
  <c r="AK171" i="3"/>
  <c r="U171" i="3"/>
  <c r="BJ170" i="3"/>
  <c r="AT170" i="3"/>
  <c r="AD170" i="3"/>
  <c r="N170" i="3"/>
  <c r="BC169" i="3"/>
  <c r="AM169" i="3"/>
  <c r="W169" i="3"/>
  <c r="G169" i="3"/>
  <c r="AY167" i="3"/>
  <c r="AI167" i="3"/>
  <c r="S167" i="3"/>
  <c r="BL166" i="3"/>
  <c r="AV166" i="3"/>
  <c r="AF166" i="3"/>
  <c r="P166" i="3"/>
  <c r="BI165" i="3"/>
  <c r="AS165" i="3"/>
  <c r="AC165" i="3"/>
  <c r="M165" i="3"/>
  <c r="BB164" i="3"/>
  <c r="AL164" i="3"/>
  <c r="V164" i="3"/>
  <c r="BK163" i="3"/>
  <c r="AU163" i="3"/>
  <c r="AE163" i="3"/>
  <c r="O163" i="3"/>
  <c r="BH162" i="3"/>
  <c r="AR162" i="3"/>
  <c r="AB162" i="3"/>
  <c r="L162" i="3"/>
  <c r="BE161" i="3"/>
  <c r="AO161" i="3"/>
  <c r="Y161" i="3"/>
  <c r="I161" i="3"/>
  <c r="AX160" i="3"/>
  <c r="AH160" i="3"/>
  <c r="R160" i="3"/>
  <c r="BG159" i="3"/>
  <c r="AQ159" i="3"/>
  <c r="AA159" i="3"/>
  <c r="K159" i="3"/>
  <c r="BD158" i="3"/>
  <c r="AN158" i="3"/>
  <c r="X158" i="3"/>
  <c r="H158" i="3"/>
  <c r="BA157" i="3"/>
  <c r="AK157" i="3"/>
  <c r="U157" i="3"/>
  <c r="BJ156" i="3"/>
  <c r="AT156" i="3"/>
  <c r="AD156" i="3"/>
  <c r="N156" i="3"/>
  <c r="BC155" i="3"/>
  <c r="AM155" i="3"/>
  <c r="W155" i="3"/>
  <c r="G155" i="3"/>
  <c r="AZ154" i="3"/>
  <c r="AJ154" i="3"/>
  <c r="T154" i="3"/>
  <c r="BM153" i="3"/>
  <c r="AW153" i="3"/>
  <c r="AG153" i="3"/>
  <c r="Q153" i="3"/>
  <c r="BF152" i="3"/>
  <c r="AP152" i="3"/>
  <c r="Z152" i="3"/>
  <c r="J152" i="3"/>
  <c r="AY151" i="3"/>
  <c r="AI151" i="3"/>
  <c r="S151" i="3"/>
  <c r="BL150" i="3"/>
  <c r="AV150" i="3"/>
  <c r="AF150" i="3"/>
  <c r="P150" i="3"/>
  <c r="BI149" i="3"/>
  <c r="AS149" i="3"/>
  <c r="AC149" i="3"/>
  <c r="M149" i="3"/>
  <c r="BB148" i="3"/>
  <c r="AL148" i="3"/>
  <c r="V148" i="3"/>
  <c r="BK147" i="3"/>
  <c r="AU147" i="3"/>
  <c r="AE147" i="3"/>
  <c r="O147" i="3"/>
  <c r="BH146" i="3"/>
  <c r="AR146" i="3"/>
  <c r="AB146" i="3"/>
  <c r="L146" i="3"/>
  <c r="AS145" i="3"/>
  <c r="M145" i="3"/>
  <c r="AH144" i="3"/>
  <c r="K144" i="3"/>
  <c r="AY143" i="3"/>
  <c r="AI143" i="3"/>
  <c r="S143" i="3"/>
  <c r="BL142" i="3"/>
  <c r="AV142" i="3"/>
  <c r="AF142" i="3"/>
  <c r="P142" i="3"/>
  <c r="BI141" i="3"/>
  <c r="AS141" i="3"/>
  <c r="AC141" i="3"/>
  <c r="M141" i="3"/>
  <c r="BB140" i="3"/>
  <c r="AL140" i="3"/>
  <c r="V140" i="3"/>
  <c r="BK139" i="3"/>
  <c r="AU139" i="3"/>
  <c r="AE139" i="3"/>
  <c r="O139" i="3"/>
  <c r="BH138" i="3"/>
  <c r="AR138" i="3"/>
  <c r="AB138" i="3"/>
  <c r="L138" i="3"/>
  <c r="BE137" i="3"/>
  <c r="AO137" i="3"/>
  <c r="Y137" i="3"/>
  <c r="I137" i="3"/>
  <c r="AX136" i="3"/>
  <c r="AH136" i="3"/>
  <c r="R136" i="3"/>
  <c r="BG135" i="3"/>
  <c r="AQ135" i="3"/>
  <c r="AA135" i="3"/>
  <c r="K135" i="3"/>
  <c r="BD134" i="3"/>
  <c r="AN134" i="3"/>
  <c r="X134" i="3"/>
  <c r="H134" i="3"/>
  <c r="BA133" i="3"/>
  <c r="AK133" i="3"/>
  <c r="U133" i="3"/>
  <c r="BJ132" i="3"/>
  <c r="AT132" i="3"/>
  <c r="AD132" i="3"/>
  <c r="N132" i="3"/>
  <c r="BC131" i="3"/>
  <c r="AM131" i="3"/>
  <c r="W131" i="3"/>
  <c r="G131" i="3"/>
  <c r="AZ130" i="3"/>
  <c r="AJ130" i="3"/>
  <c r="T130" i="3"/>
  <c r="BM129" i="3"/>
  <c r="AW129" i="3"/>
  <c r="AG129" i="3"/>
  <c r="Q129" i="3"/>
  <c r="BF128" i="3"/>
  <c r="AP128" i="3"/>
  <c r="Z128" i="3"/>
  <c r="J128" i="3"/>
  <c r="AX126" i="3"/>
  <c r="AH126" i="3"/>
  <c r="R126" i="3"/>
  <c r="BG125" i="3"/>
  <c r="AQ125" i="3"/>
  <c r="AA125" i="3"/>
  <c r="K125" i="3"/>
  <c r="BD124" i="3"/>
  <c r="AN124" i="3"/>
  <c r="X124" i="3"/>
  <c r="H124" i="3"/>
  <c r="BA123" i="3"/>
  <c r="AK123" i="3"/>
  <c r="U123" i="3"/>
  <c r="BJ122" i="3"/>
  <c r="AT122" i="3"/>
  <c r="AD122" i="3"/>
  <c r="N122" i="3"/>
  <c r="BC121" i="3"/>
  <c r="AM121" i="3"/>
  <c r="W121" i="3"/>
  <c r="G121" i="3"/>
  <c r="AZ120" i="3"/>
  <c r="AJ120" i="3"/>
  <c r="T120" i="3"/>
  <c r="BM119" i="3"/>
  <c r="AW119" i="3"/>
  <c r="AG119" i="3"/>
  <c r="Q119" i="3"/>
  <c r="BF118" i="3"/>
  <c r="AP118" i="3"/>
  <c r="Z118" i="3"/>
  <c r="J118" i="3"/>
  <c r="AY117" i="3"/>
  <c r="AI117" i="3"/>
  <c r="S117" i="3"/>
  <c r="BL116" i="3"/>
  <c r="AV116" i="3"/>
  <c r="AF116" i="3"/>
  <c r="P116" i="3"/>
  <c r="BI115" i="3"/>
  <c r="AS115" i="3"/>
  <c r="AC115" i="3"/>
  <c r="M115" i="3"/>
  <c r="BB114" i="3"/>
  <c r="AL114" i="3"/>
  <c r="V114" i="3"/>
  <c r="BK113" i="3"/>
  <c r="AU113" i="3"/>
  <c r="AE113" i="3"/>
  <c r="O113" i="3"/>
  <c r="BH112" i="3"/>
  <c r="AR112" i="3"/>
  <c r="AB112" i="3"/>
  <c r="L112" i="3"/>
  <c r="BE111" i="3"/>
  <c r="AO111" i="3"/>
  <c r="Y111" i="3"/>
  <c r="I111" i="3"/>
  <c r="AX110" i="3"/>
  <c r="AH110" i="3"/>
  <c r="R110" i="3"/>
  <c r="BG109" i="3"/>
  <c r="AQ109" i="3"/>
  <c r="AA109" i="3"/>
  <c r="K109" i="3"/>
  <c r="BD108" i="3"/>
  <c r="AN108" i="3"/>
  <c r="X108" i="3"/>
  <c r="H108" i="3"/>
  <c r="BA107" i="3"/>
  <c r="AK107" i="3"/>
  <c r="U107" i="3"/>
  <c r="BJ106" i="3"/>
  <c r="AT106" i="3"/>
  <c r="AD106" i="3"/>
  <c r="N106" i="3"/>
  <c r="BC105" i="3"/>
  <c r="AM105" i="3"/>
  <c r="W105" i="3"/>
  <c r="G105" i="3"/>
  <c r="AZ104" i="3"/>
  <c r="AJ104" i="3"/>
  <c r="T104" i="3"/>
  <c r="BM103" i="3"/>
  <c r="AW103" i="3"/>
  <c r="AG103" i="3"/>
  <c r="Q103" i="3"/>
  <c r="BF102" i="3"/>
  <c r="AP102" i="3"/>
  <c r="Z102" i="3"/>
  <c r="J102" i="3"/>
  <c r="AY101" i="3"/>
  <c r="AI101" i="3"/>
  <c r="S101" i="3"/>
  <c r="BL100" i="3"/>
  <c r="AV100" i="3"/>
  <c r="AF100" i="3"/>
  <c r="P100" i="3"/>
  <c r="BI99" i="3"/>
  <c r="AS99" i="3"/>
  <c r="AC99" i="3"/>
  <c r="M99" i="3"/>
  <c r="BB98" i="3"/>
  <c r="AL98" i="3"/>
  <c r="V98" i="3"/>
  <c r="BK97" i="3"/>
  <c r="AU97" i="3"/>
  <c r="AE97" i="3"/>
  <c r="O97" i="3"/>
  <c r="BH96" i="3"/>
  <c r="AR96" i="3"/>
  <c r="AB96" i="3"/>
  <c r="L96" i="3"/>
  <c r="BE95" i="3"/>
  <c r="AO95" i="3"/>
  <c r="Y95" i="3"/>
  <c r="I95" i="3"/>
  <c r="AX94" i="3"/>
  <c r="AH94" i="3"/>
  <c r="R94" i="3"/>
  <c r="BG93" i="3"/>
  <c r="AQ93" i="3"/>
  <c r="AA93" i="3"/>
  <c r="K93" i="3"/>
  <c r="BD92" i="3"/>
  <c r="AN92" i="3"/>
  <c r="X92" i="3"/>
  <c r="H92" i="3"/>
  <c r="BA91" i="3"/>
  <c r="AK91" i="3"/>
  <c r="U91" i="3"/>
  <c r="BJ90" i="3"/>
  <c r="AT90" i="3"/>
  <c r="AD90" i="3"/>
  <c r="N90" i="3"/>
  <c r="BC89" i="3"/>
  <c r="AM89" i="3"/>
  <c r="W89" i="3"/>
  <c r="G89" i="3"/>
  <c r="AZ88" i="3"/>
  <c r="AJ88" i="3"/>
  <c r="T88" i="3"/>
  <c r="BM87" i="3"/>
  <c r="AW87" i="3"/>
  <c r="AG87" i="3"/>
  <c r="Q87" i="3"/>
  <c r="BI85" i="3"/>
  <c r="AS85" i="3"/>
  <c r="AC85" i="3"/>
  <c r="M85" i="3"/>
  <c r="BB84" i="3"/>
  <c r="AL84" i="3"/>
  <c r="V84" i="3"/>
  <c r="BK83" i="3"/>
  <c r="AU83" i="3"/>
  <c r="AE83" i="3"/>
  <c r="O83" i="3"/>
  <c r="BH82" i="3"/>
  <c r="AR82" i="3"/>
  <c r="AB82" i="3"/>
  <c r="L82" i="3"/>
  <c r="BE81" i="3"/>
  <c r="AO81" i="3"/>
  <c r="Y81" i="3"/>
  <c r="I81" i="3"/>
  <c r="AX80" i="3"/>
  <c r="AH80" i="3"/>
  <c r="R80" i="3"/>
  <c r="BG79" i="3"/>
  <c r="AQ79" i="3"/>
  <c r="AA79" i="3"/>
  <c r="K79" i="3"/>
  <c r="BD78" i="3"/>
  <c r="AN78" i="3"/>
  <c r="X78" i="3"/>
  <c r="H78" i="3"/>
  <c r="BA77" i="3"/>
  <c r="AK77" i="3"/>
  <c r="U77" i="3"/>
  <c r="BJ76" i="3"/>
  <c r="AT76" i="3"/>
  <c r="AD76" i="3"/>
  <c r="N76" i="3"/>
  <c r="BC75" i="3"/>
  <c r="AM75" i="3"/>
  <c r="W75" i="3"/>
  <c r="G75" i="3"/>
  <c r="AZ74" i="3"/>
  <c r="AJ74" i="3"/>
  <c r="T74" i="3"/>
  <c r="BM73" i="3"/>
  <c r="AW73" i="3"/>
  <c r="AG73" i="3"/>
  <c r="Q73" i="3"/>
  <c r="BF72" i="3"/>
  <c r="AP72" i="3"/>
  <c r="Z72" i="3"/>
  <c r="J72" i="3"/>
  <c r="AY71" i="3"/>
  <c r="AI71" i="3"/>
  <c r="S71" i="3"/>
  <c r="BL70" i="3"/>
  <c r="AV70" i="3"/>
  <c r="AF70" i="3"/>
  <c r="P70" i="3"/>
  <c r="BI69" i="3"/>
  <c r="AS69" i="3"/>
  <c r="AC69" i="3"/>
  <c r="M69" i="3"/>
  <c r="BB68" i="3"/>
  <c r="AL68" i="3"/>
  <c r="V68" i="3"/>
  <c r="BK67" i="3"/>
  <c r="AU67" i="3"/>
  <c r="AE67" i="3"/>
  <c r="O67" i="3"/>
  <c r="BH66" i="3"/>
  <c r="AR66" i="3"/>
  <c r="AB66" i="3"/>
  <c r="L66" i="3"/>
  <c r="BE65" i="3"/>
  <c r="AO65" i="3"/>
  <c r="Y65" i="3"/>
  <c r="I65" i="3"/>
  <c r="AX64" i="3"/>
  <c r="AH64" i="3"/>
  <c r="R64" i="3"/>
  <c r="BG63" i="3"/>
  <c r="AQ63" i="3"/>
  <c r="AA63" i="3"/>
  <c r="K63" i="3"/>
  <c r="BD62" i="3"/>
  <c r="AN62" i="3"/>
  <c r="X62" i="3"/>
  <c r="H62" i="3"/>
  <c r="BA61" i="3"/>
  <c r="AK61" i="3"/>
  <c r="U61" i="3"/>
  <c r="BJ60" i="3"/>
  <c r="AT60" i="3"/>
  <c r="AD60" i="3"/>
  <c r="N60" i="3"/>
  <c r="BC59" i="3"/>
  <c r="AM59" i="3"/>
  <c r="W59" i="3"/>
  <c r="G59" i="3"/>
  <c r="AZ58" i="3"/>
  <c r="AJ58" i="3"/>
  <c r="T58" i="3"/>
  <c r="BM57" i="3"/>
  <c r="AW57" i="3"/>
  <c r="AG57" i="3"/>
  <c r="Q57" i="3"/>
  <c r="BF56" i="3"/>
  <c r="AP56" i="3"/>
  <c r="Z56" i="3"/>
  <c r="J56" i="3"/>
  <c r="AY55" i="3"/>
  <c r="AI55" i="3"/>
  <c r="S55" i="3"/>
  <c r="BL54" i="3"/>
  <c r="AV54" i="3"/>
  <c r="AF54" i="3"/>
  <c r="P54" i="3"/>
  <c r="BI53" i="3"/>
  <c r="AS53" i="3"/>
  <c r="AC53" i="3"/>
  <c r="AP145" i="3"/>
  <c r="J145" i="3"/>
  <c r="AM144" i="3"/>
  <c r="O144" i="3"/>
  <c r="BB143" i="3"/>
  <c r="AL143" i="3"/>
  <c r="V143" i="3"/>
  <c r="BK142" i="3"/>
  <c r="AU142" i="3"/>
  <c r="AE142" i="3"/>
  <c r="O142" i="3"/>
  <c r="BH141" i="3"/>
  <c r="AR141" i="3"/>
  <c r="AB141" i="3"/>
  <c r="L141" i="3"/>
  <c r="BE140" i="3"/>
  <c r="AO140" i="3"/>
  <c r="Y140" i="3"/>
  <c r="I140" i="3"/>
  <c r="AX139" i="3"/>
  <c r="AH139" i="3"/>
  <c r="R139" i="3"/>
  <c r="BG138" i="3"/>
  <c r="AQ138" i="3"/>
  <c r="AA138" i="3"/>
  <c r="K138" i="3"/>
  <c r="BD137" i="3"/>
  <c r="AN137" i="3"/>
  <c r="X137" i="3"/>
  <c r="H137" i="3"/>
  <c r="BA136" i="3"/>
  <c r="AK136" i="3"/>
  <c r="U136" i="3"/>
  <c r="BJ135" i="3"/>
  <c r="AT135" i="3"/>
  <c r="AD135" i="3"/>
  <c r="N135" i="3"/>
  <c r="BC134" i="3"/>
  <c r="AM134" i="3"/>
  <c r="W134" i="3"/>
  <c r="G134" i="3"/>
  <c r="AZ133" i="3"/>
  <c r="AJ133" i="3"/>
  <c r="T133" i="3"/>
  <c r="BM132" i="3"/>
  <c r="AW132" i="3"/>
  <c r="AG132" i="3"/>
  <c r="Q132" i="3"/>
  <c r="BF131" i="3"/>
  <c r="AP131" i="3"/>
  <c r="Z131" i="3"/>
  <c r="J131" i="3"/>
  <c r="AY130" i="3"/>
  <c r="AI130" i="3"/>
  <c r="S130" i="3"/>
  <c r="BL129" i="3"/>
  <c r="AV129" i="3"/>
  <c r="AF129" i="3"/>
  <c r="P129" i="3"/>
  <c r="BI128" i="3"/>
  <c r="AS128" i="3"/>
  <c r="AC128" i="3"/>
  <c r="M128" i="3"/>
  <c r="BE126" i="3"/>
  <c r="AO126" i="3"/>
  <c r="Y126" i="3"/>
  <c r="I126" i="3"/>
  <c r="AX125" i="3"/>
  <c r="AH125" i="3"/>
  <c r="R125" i="3"/>
  <c r="BG124" i="3"/>
  <c r="AQ124" i="3"/>
  <c r="AA124" i="3"/>
  <c r="K124" i="3"/>
  <c r="BD123" i="3"/>
  <c r="AN123" i="3"/>
  <c r="X123" i="3"/>
  <c r="H123" i="3"/>
  <c r="BA122" i="3"/>
  <c r="AK122" i="3"/>
  <c r="U122" i="3"/>
  <c r="BJ121" i="3"/>
  <c r="AT121" i="3"/>
  <c r="AD121" i="3"/>
  <c r="N121" i="3"/>
  <c r="BC120" i="3"/>
  <c r="AM120" i="3"/>
  <c r="W120" i="3"/>
  <c r="G120" i="3"/>
  <c r="AZ119" i="3"/>
  <c r="AJ119" i="3"/>
  <c r="T119" i="3"/>
  <c r="BM118" i="3"/>
  <c r="AW118" i="3"/>
  <c r="AG118" i="3"/>
  <c r="Q118" i="3"/>
  <c r="BF117" i="3"/>
  <c r="AP117" i="3"/>
  <c r="Z117" i="3"/>
  <c r="J117" i="3"/>
  <c r="AY116" i="3"/>
  <c r="AI116" i="3"/>
  <c r="S116" i="3"/>
  <c r="BL115" i="3"/>
  <c r="AV115" i="3"/>
  <c r="AF115" i="3"/>
  <c r="P115" i="3"/>
  <c r="BI114" i="3"/>
  <c r="AS114" i="3"/>
  <c r="AC114" i="3"/>
  <c r="M114" i="3"/>
  <c r="BB113" i="3"/>
  <c r="AL113" i="3"/>
  <c r="V113" i="3"/>
  <c r="BK112" i="3"/>
  <c r="AU112" i="3"/>
  <c r="AE112" i="3"/>
  <c r="O112" i="3"/>
  <c r="BH111" i="3"/>
  <c r="AR111" i="3"/>
  <c r="AB111" i="3"/>
  <c r="L111" i="3"/>
  <c r="BE110" i="3"/>
  <c r="AO110" i="3"/>
  <c r="Y110" i="3"/>
  <c r="I110" i="3"/>
  <c r="AX109" i="3"/>
  <c r="AH109" i="3"/>
  <c r="R109" i="3"/>
  <c r="BG108" i="3"/>
  <c r="AQ108" i="3"/>
  <c r="AA108" i="3"/>
  <c r="K108" i="3"/>
  <c r="BD107" i="3"/>
  <c r="AN107" i="3"/>
  <c r="X107" i="3"/>
  <c r="H107" i="3"/>
  <c r="BA106" i="3"/>
  <c r="AK106" i="3"/>
  <c r="U106" i="3"/>
  <c r="BJ105" i="3"/>
  <c r="AT105" i="3"/>
  <c r="AD105" i="3"/>
  <c r="N105" i="3"/>
  <c r="BC104" i="3"/>
  <c r="AM104" i="3"/>
  <c r="W104" i="3"/>
  <c r="G104" i="3"/>
  <c r="AZ103" i="3"/>
  <c r="AJ103" i="3"/>
  <c r="T103" i="3"/>
  <c r="BM102" i="3"/>
  <c r="AW102" i="3"/>
  <c r="AG102" i="3"/>
  <c r="Q102" i="3"/>
  <c r="BF101" i="3"/>
  <c r="AP101" i="3"/>
  <c r="Z101" i="3"/>
  <c r="J101" i="3"/>
  <c r="AY100" i="3"/>
  <c r="AI100" i="3"/>
  <c r="S100" i="3"/>
  <c r="BL99" i="3"/>
  <c r="AV99" i="3"/>
  <c r="AF99" i="3"/>
  <c r="P99" i="3"/>
  <c r="BI98" i="3"/>
  <c r="AS98" i="3"/>
  <c r="AC98" i="3"/>
  <c r="M98" i="3"/>
  <c r="BB97" i="3"/>
  <c r="AL97" i="3"/>
  <c r="V97" i="3"/>
  <c r="BK96" i="3"/>
  <c r="AU96" i="3"/>
  <c r="AE96" i="3"/>
  <c r="O96" i="3"/>
  <c r="BH95" i="3"/>
  <c r="AR95" i="3"/>
  <c r="AB95" i="3"/>
  <c r="L95" i="3"/>
  <c r="BE94" i="3"/>
  <c r="AO94" i="3"/>
  <c r="Y94" i="3"/>
  <c r="I94" i="3"/>
  <c r="AX93" i="3"/>
  <c r="AH93" i="3"/>
  <c r="R93" i="3"/>
  <c r="BG92" i="3"/>
  <c r="AQ92" i="3"/>
  <c r="AA92" i="3"/>
  <c r="K92" i="3"/>
  <c r="BD91" i="3"/>
  <c r="AN91" i="3"/>
  <c r="X91" i="3"/>
  <c r="H91" i="3"/>
  <c r="BA90" i="3"/>
  <c r="AK90" i="3"/>
  <c r="U90" i="3"/>
  <c r="BJ89" i="3"/>
  <c r="AT89" i="3"/>
  <c r="AD89" i="3"/>
  <c r="N89" i="3"/>
  <c r="BC88" i="3"/>
  <c r="AM88" i="3"/>
  <c r="W88" i="3"/>
  <c r="G88" i="3"/>
  <c r="AZ87" i="3"/>
  <c r="AJ87" i="3"/>
  <c r="T87" i="3"/>
  <c r="BL85" i="3"/>
  <c r="AV85" i="3"/>
  <c r="AF85" i="3"/>
  <c r="P85" i="3"/>
  <c r="BI84" i="3"/>
  <c r="AS84" i="3"/>
  <c r="AC84" i="3"/>
  <c r="M84" i="3"/>
  <c r="BB83" i="3"/>
  <c r="AL83" i="3"/>
  <c r="V83" i="3"/>
  <c r="BK82" i="3"/>
  <c r="AU82" i="3"/>
  <c r="AE82" i="3"/>
  <c r="O82" i="3"/>
  <c r="BH81" i="3"/>
  <c r="AR81" i="3"/>
  <c r="AB81" i="3"/>
  <c r="L81" i="3"/>
  <c r="BE80" i="3"/>
  <c r="AO80" i="3"/>
  <c r="Y80" i="3"/>
  <c r="I80" i="3"/>
  <c r="AX79" i="3"/>
  <c r="AH79" i="3"/>
  <c r="R79" i="3"/>
  <c r="BG78" i="3"/>
  <c r="AQ78" i="3"/>
  <c r="AA78" i="3"/>
  <c r="K78" i="3"/>
  <c r="BD77" i="3"/>
  <c r="AN77" i="3"/>
  <c r="X77" i="3"/>
  <c r="H77" i="3"/>
  <c r="BA76" i="3"/>
  <c r="AK76" i="3"/>
  <c r="U76" i="3"/>
  <c r="BJ75" i="3"/>
  <c r="AT75" i="3"/>
  <c r="AD75" i="3"/>
  <c r="N75" i="3"/>
  <c r="BC74" i="3"/>
  <c r="AM74" i="3"/>
  <c r="W74" i="3"/>
  <c r="G74" i="3"/>
  <c r="AZ73" i="3"/>
  <c r="AJ73" i="3"/>
  <c r="T73" i="3"/>
  <c r="BM72" i="3"/>
  <c r="AW72" i="3"/>
  <c r="AG72" i="3"/>
  <c r="Q72" i="3"/>
  <c r="BF71" i="3"/>
  <c r="AP71" i="3"/>
  <c r="Z71" i="3"/>
  <c r="J71" i="3"/>
  <c r="AY70" i="3"/>
  <c r="AI70" i="3"/>
  <c r="S70" i="3"/>
  <c r="BL69" i="3"/>
  <c r="AV69" i="3"/>
  <c r="AF69" i="3"/>
  <c r="P69" i="3"/>
  <c r="BI68" i="3"/>
  <c r="AS68" i="3"/>
  <c r="AC68" i="3"/>
  <c r="M68" i="3"/>
  <c r="BB67" i="3"/>
  <c r="AL67" i="3"/>
  <c r="V67" i="3"/>
  <c r="BK66" i="3"/>
  <c r="AU66" i="3"/>
  <c r="AE66" i="3"/>
  <c r="O66" i="3"/>
  <c r="BH65" i="3"/>
  <c r="AR65" i="3"/>
  <c r="AB65" i="3"/>
  <c r="L65" i="3"/>
  <c r="BE64" i="3"/>
  <c r="AO64" i="3"/>
  <c r="Y64" i="3"/>
  <c r="I64" i="3"/>
  <c r="AX63" i="3"/>
  <c r="AH63" i="3"/>
  <c r="R63" i="3"/>
  <c r="BG62" i="3"/>
  <c r="AQ62" i="3"/>
  <c r="AA62" i="3"/>
  <c r="K62" i="3"/>
  <c r="BD61" i="3"/>
  <c r="AN61" i="3"/>
  <c r="X61" i="3"/>
  <c r="H61" i="3"/>
  <c r="BA60" i="3"/>
  <c r="AK60" i="3"/>
  <c r="U60" i="3"/>
  <c r="BJ59" i="3"/>
  <c r="AT59" i="3"/>
  <c r="AD59" i="3"/>
  <c r="N59" i="3"/>
  <c r="BC58" i="3"/>
  <c r="AM58" i="3"/>
  <c r="W58" i="3"/>
  <c r="G58" i="3"/>
  <c r="AZ57" i="3"/>
  <c r="AJ57" i="3"/>
  <c r="T57" i="3"/>
  <c r="BM56" i="3"/>
  <c r="AW56" i="3"/>
  <c r="AG56" i="3"/>
  <c r="Q56" i="3"/>
  <c r="BF55" i="3"/>
  <c r="AP55" i="3"/>
  <c r="Z55" i="3"/>
  <c r="J55" i="3"/>
  <c r="AY54" i="3"/>
  <c r="AI54" i="3"/>
  <c r="S54" i="3"/>
  <c r="BM145" i="3"/>
  <c r="AG145" i="3"/>
  <c r="BJ144" i="3"/>
  <c r="AD144" i="3"/>
  <c r="H144" i="3"/>
  <c r="BA143" i="3"/>
  <c r="AK143" i="3"/>
  <c r="U143" i="3"/>
  <c r="BJ142" i="3"/>
  <c r="AT142" i="3"/>
  <c r="AD142" i="3"/>
  <c r="N142" i="3"/>
  <c r="BC141" i="3"/>
  <c r="AM141" i="3"/>
  <c r="W141" i="3"/>
  <c r="G141" i="3"/>
  <c r="AZ140" i="3"/>
  <c r="AJ140" i="3"/>
  <c r="T140" i="3"/>
  <c r="BM139" i="3"/>
  <c r="AW139" i="3"/>
  <c r="AG139" i="3"/>
  <c r="Q139" i="3"/>
  <c r="BF138" i="3"/>
  <c r="AP138" i="3"/>
  <c r="Z138" i="3"/>
  <c r="J138" i="3"/>
  <c r="AY137" i="3"/>
  <c r="AI137" i="3"/>
  <c r="S137" i="3"/>
  <c r="BL136" i="3"/>
  <c r="AV136" i="3"/>
  <c r="AF136" i="3"/>
  <c r="P136" i="3"/>
  <c r="BI135" i="3"/>
  <c r="AS135" i="3"/>
  <c r="AC135" i="3"/>
  <c r="M135" i="3"/>
  <c r="BB134" i="3"/>
  <c r="AL134" i="3"/>
  <c r="V134" i="3"/>
  <c r="BK133" i="3"/>
  <c r="AU133" i="3"/>
  <c r="AE133" i="3"/>
  <c r="O133" i="3"/>
  <c r="BH132" i="3"/>
  <c r="AR132" i="3"/>
  <c r="AB132" i="3"/>
  <c r="L132" i="3"/>
  <c r="BE131" i="3"/>
  <c r="AO131" i="3"/>
  <c r="Y131" i="3"/>
  <c r="I131" i="3"/>
  <c r="AX130" i="3"/>
  <c r="AH130" i="3"/>
  <c r="R130" i="3"/>
  <c r="BG129" i="3"/>
  <c r="AQ129" i="3"/>
  <c r="AA129" i="3"/>
  <c r="K129" i="3"/>
  <c r="BD128" i="3"/>
  <c r="AN128" i="3"/>
  <c r="X128" i="3"/>
  <c r="H128" i="3"/>
  <c r="AZ126" i="3"/>
  <c r="AJ126" i="3"/>
  <c r="T126" i="3"/>
  <c r="BM125" i="3"/>
  <c r="AW125" i="3"/>
  <c r="AG125" i="3"/>
  <c r="Q125" i="3"/>
  <c r="BF124" i="3"/>
  <c r="AP124" i="3"/>
  <c r="Z124" i="3"/>
  <c r="J124" i="3"/>
  <c r="AY123" i="3"/>
  <c r="AI123" i="3"/>
  <c r="S123" i="3"/>
  <c r="BL122" i="3"/>
  <c r="AV122" i="3"/>
  <c r="AF122" i="3"/>
  <c r="P122" i="3"/>
  <c r="BI121" i="3"/>
  <c r="AS121" i="3"/>
  <c r="AC121" i="3"/>
  <c r="M121" i="3"/>
  <c r="BB120" i="3"/>
  <c r="AL120" i="3"/>
  <c r="V120" i="3"/>
  <c r="BK119" i="3"/>
  <c r="AU119" i="3"/>
  <c r="AE119" i="3"/>
  <c r="O119" i="3"/>
  <c r="BH118" i="3"/>
  <c r="AR118" i="3"/>
  <c r="AB118" i="3"/>
  <c r="L118" i="3"/>
  <c r="BE117" i="3"/>
  <c r="AO117" i="3"/>
  <c r="Y117" i="3"/>
  <c r="I117" i="3"/>
  <c r="AX116" i="3"/>
  <c r="AH116" i="3"/>
  <c r="R116" i="3"/>
  <c r="BG115" i="3"/>
  <c r="AQ115" i="3"/>
  <c r="AA115" i="3"/>
  <c r="K115" i="3"/>
  <c r="BD114" i="3"/>
  <c r="AN114" i="3"/>
  <c r="X114" i="3"/>
  <c r="H114" i="3"/>
  <c r="AX661" i="3"/>
  <c r="AH661" i="3"/>
  <c r="R661" i="3"/>
  <c r="BG660" i="3"/>
  <c r="AQ660" i="3"/>
  <c r="AA660" i="3"/>
  <c r="K660" i="3"/>
  <c r="BD659" i="3"/>
  <c r="AN659" i="3"/>
  <c r="X659" i="3"/>
  <c r="H659" i="3"/>
  <c r="BA658" i="3"/>
  <c r="AK658" i="3"/>
  <c r="U658" i="3"/>
  <c r="BJ657" i="3"/>
  <c r="AT657" i="3"/>
  <c r="AD657" i="3"/>
  <c r="N657" i="3"/>
  <c r="BC656" i="3"/>
  <c r="AM656" i="3"/>
  <c r="W656" i="3"/>
  <c r="G656" i="3"/>
  <c r="AZ655" i="3"/>
  <c r="AJ655" i="3"/>
  <c r="T655" i="3"/>
  <c r="BM654" i="3"/>
  <c r="AW654" i="3"/>
  <c r="AG654" i="3"/>
  <c r="Q654" i="3"/>
  <c r="BF653" i="3"/>
  <c r="AP653" i="3"/>
  <c r="Z653" i="3"/>
  <c r="J653" i="3"/>
  <c r="AY652" i="3"/>
  <c r="AI652" i="3"/>
  <c r="S652" i="3"/>
  <c r="BL651" i="3"/>
  <c r="AV651" i="3"/>
  <c r="AF651" i="3"/>
  <c r="P651" i="3"/>
  <c r="BI650" i="3"/>
  <c r="AS650" i="3"/>
  <c r="AC650" i="3"/>
  <c r="M650" i="3"/>
  <c r="BB649" i="3"/>
  <c r="BC661" i="3"/>
  <c r="AG661" i="3"/>
  <c r="L661" i="3"/>
  <c r="AZ660" i="3"/>
  <c r="AD660" i="3"/>
  <c r="I660" i="3"/>
  <c r="AW659" i="3"/>
  <c r="AA659" i="3"/>
  <c r="BJ658" i="3"/>
  <c r="AN658" i="3"/>
  <c r="S658" i="3"/>
  <c r="BH657" i="3"/>
  <c r="AM657" i="3"/>
  <c r="Q657" i="3"/>
  <c r="BE656" i="3"/>
  <c r="AJ656" i="3"/>
  <c r="N656" i="3"/>
  <c r="BB655" i="3"/>
  <c r="AG655" i="3"/>
  <c r="K655" i="3"/>
  <c r="AT654" i="3"/>
  <c r="X654" i="3"/>
  <c r="BM653" i="3"/>
  <c r="AR653" i="3"/>
  <c r="W653" i="3"/>
  <c r="BJ652" i="3"/>
  <c r="AO652" i="3"/>
  <c r="T652" i="3"/>
  <c r="BG651" i="3"/>
  <c r="AL651" i="3"/>
  <c r="Q651" i="3"/>
  <c r="AY650" i="3"/>
  <c r="AD650" i="3"/>
  <c r="H650" i="3"/>
  <c r="AW649" i="3"/>
  <c r="AG649" i="3"/>
  <c r="Q649" i="3"/>
  <c r="BF648" i="3"/>
  <c r="AP648" i="3"/>
  <c r="Z648" i="3"/>
  <c r="J648" i="3"/>
  <c r="AY647" i="3"/>
  <c r="AI647" i="3"/>
  <c r="S647" i="3"/>
  <c r="BL646" i="3"/>
  <c r="AV646" i="3"/>
  <c r="AF646" i="3"/>
  <c r="P646" i="3"/>
  <c r="BG661" i="3"/>
  <c r="AK661" i="3"/>
  <c r="P661" i="3"/>
  <c r="AX660" i="3"/>
  <c r="AC660" i="3"/>
  <c r="H660" i="3"/>
  <c r="AU659" i="3"/>
  <c r="Z659" i="3"/>
  <c r="BH658" i="3"/>
  <c r="AM658" i="3"/>
  <c r="R658" i="3"/>
  <c r="BG657" i="3"/>
  <c r="AK657" i="3"/>
  <c r="P657" i="3"/>
  <c r="AX656" i="3"/>
  <c r="AC656" i="3"/>
  <c r="H656" i="3"/>
  <c r="AU655" i="3"/>
  <c r="Z655" i="3"/>
  <c r="BH654" i="3"/>
  <c r="AM654" i="3"/>
  <c r="R654" i="3"/>
  <c r="BG653" i="3"/>
  <c r="AK653" i="3"/>
  <c r="P653" i="3"/>
  <c r="AX652" i="3"/>
  <c r="AC652" i="3"/>
  <c r="H652" i="3"/>
  <c r="AU651" i="3"/>
  <c r="Z651" i="3"/>
  <c r="BH650" i="3"/>
  <c r="AM650" i="3"/>
  <c r="R650" i="3"/>
  <c r="BG649" i="3"/>
  <c r="AN649" i="3"/>
  <c r="X649" i="3"/>
  <c r="H649" i="3"/>
  <c r="BA648" i="3"/>
  <c r="AK648" i="3"/>
  <c r="U648" i="3"/>
  <c r="BJ647" i="3"/>
  <c r="AT647" i="3"/>
  <c r="AD647" i="3"/>
  <c r="N647" i="3"/>
  <c r="BC646" i="3"/>
  <c r="AM646" i="3"/>
  <c r="W646" i="3"/>
  <c r="G646" i="3"/>
  <c r="AZ645" i="3"/>
  <c r="AJ645" i="3"/>
  <c r="T645" i="3"/>
  <c r="BK661" i="3"/>
  <c r="AO661" i="3"/>
  <c r="T661" i="3"/>
  <c r="BH660" i="3"/>
  <c r="AL660" i="3"/>
  <c r="Q660" i="3"/>
  <c r="AY659" i="3"/>
  <c r="AD659" i="3"/>
  <c r="I659" i="3"/>
  <c r="AV658" i="3"/>
  <c r="AA658" i="3"/>
  <c r="BK657" i="3"/>
  <c r="AO657" i="3"/>
  <c r="T657" i="3"/>
  <c r="BH656" i="3"/>
  <c r="AL656" i="3"/>
  <c r="Q656" i="3"/>
  <c r="BD661" i="3"/>
  <c r="AI661" i="3"/>
  <c r="M661" i="3"/>
  <c r="BA660" i="3"/>
  <c r="AF660" i="3"/>
  <c r="J660" i="3"/>
  <c r="AS659" i="3"/>
  <c r="W659" i="3"/>
  <c r="BK658" i="3"/>
  <c r="AP658" i="3"/>
  <c r="T658" i="3"/>
  <c r="BD657" i="3"/>
  <c r="AI657" i="3"/>
  <c r="M657" i="3"/>
  <c r="BA656" i="3"/>
  <c r="AF656" i="3"/>
  <c r="J656" i="3"/>
  <c r="AS655" i="3"/>
  <c r="W655" i="3"/>
  <c r="BK654" i="3"/>
  <c r="AP654" i="3"/>
  <c r="T654" i="3"/>
  <c r="BD653" i="3"/>
  <c r="AI653" i="3"/>
  <c r="M653" i="3"/>
  <c r="BA652" i="3"/>
  <c r="AF652" i="3"/>
  <c r="J652" i="3"/>
  <c r="AS651" i="3"/>
  <c r="W651" i="3"/>
  <c r="BK650" i="3"/>
  <c r="AP650" i="3"/>
  <c r="T650" i="3"/>
  <c r="BD649" i="3"/>
  <c r="AL649" i="3"/>
  <c r="V649" i="3"/>
  <c r="BK648" i="3"/>
  <c r="AU648" i="3"/>
  <c r="AE648" i="3"/>
  <c r="O648" i="3"/>
  <c r="BH647" i="3"/>
  <c r="AR647" i="3"/>
  <c r="AB647" i="3"/>
  <c r="L647" i="3"/>
  <c r="BE646" i="3"/>
  <c r="AO646" i="3"/>
  <c r="Y646" i="3"/>
  <c r="I646" i="3"/>
  <c r="AX645" i="3"/>
  <c r="AH645" i="3"/>
  <c r="R645" i="3"/>
  <c r="BG644" i="3"/>
  <c r="AQ644" i="3"/>
  <c r="AA644" i="3"/>
  <c r="K644" i="3"/>
  <c r="BD643" i="3"/>
  <c r="AN643" i="3"/>
  <c r="X643" i="3"/>
  <c r="H643" i="3"/>
  <c r="BA642" i="3"/>
  <c r="AK642" i="3"/>
  <c r="U642" i="3"/>
  <c r="BJ641" i="3"/>
  <c r="AT641" i="3"/>
  <c r="AD641" i="3"/>
  <c r="N641" i="3"/>
  <c r="BC640" i="3"/>
  <c r="AM640" i="3"/>
  <c r="W640" i="3"/>
  <c r="G640" i="3"/>
  <c r="AZ639" i="3"/>
  <c r="AJ639" i="3"/>
  <c r="T639" i="3"/>
  <c r="BM638" i="3"/>
  <c r="AW638" i="3"/>
  <c r="AG638" i="3"/>
  <c r="Q638" i="3"/>
  <c r="BF637" i="3"/>
  <c r="AP637" i="3"/>
  <c r="Z637" i="3"/>
  <c r="J637" i="3"/>
  <c r="AY636" i="3"/>
  <c r="AI636" i="3"/>
  <c r="S636" i="3"/>
  <c r="BE655" i="3"/>
  <c r="AL654" i="3"/>
  <c r="T653" i="3"/>
  <c r="AT651" i="3"/>
  <c r="AZ649" i="3"/>
  <c r="AJ648" i="3"/>
  <c r="U647" i="3"/>
  <c r="BG645" i="3"/>
  <c r="AA645" i="3"/>
  <c r="BH644" i="3"/>
  <c r="AL644" i="3"/>
  <c r="Q644" i="3"/>
  <c r="AY643" i="3"/>
  <c r="AD643" i="3"/>
  <c r="I643" i="3"/>
  <c r="AV642" i="3"/>
  <c r="AA642" i="3"/>
  <c r="BK641" i="3"/>
  <c r="AO641" i="3"/>
  <c r="T641" i="3"/>
  <c r="BH640" i="3"/>
  <c r="AL640" i="3"/>
  <c r="Q640" i="3"/>
  <c r="AY639" i="3"/>
  <c r="AD639" i="3"/>
  <c r="I639" i="3"/>
  <c r="AV638" i="3"/>
  <c r="AA638" i="3"/>
  <c r="BK637" i="3"/>
  <c r="AO637" i="3"/>
  <c r="T637" i="3"/>
  <c r="BH636" i="3"/>
  <c r="AL636" i="3"/>
  <c r="Q636" i="3"/>
  <c r="BC635" i="3"/>
  <c r="AM635" i="3"/>
  <c r="W635" i="3"/>
  <c r="G635" i="3"/>
  <c r="AZ634" i="3"/>
  <c r="AJ634" i="3"/>
  <c r="T634" i="3"/>
  <c r="BM633" i="3"/>
  <c r="AW633" i="3"/>
  <c r="AG633" i="3"/>
  <c r="Q633" i="3"/>
  <c r="BF632" i="3"/>
  <c r="AP632" i="3"/>
  <c r="Z632" i="3"/>
  <c r="J632" i="3"/>
  <c r="AY631" i="3"/>
  <c r="AI631" i="3"/>
  <c r="S631" i="3"/>
  <c r="BL630" i="3"/>
  <c r="AV630" i="3"/>
  <c r="AF630" i="3"/>
  <c r="P630" i="3"/>
  <c r="BI629" i="3"/>
  <c r="AS629" i="3"/>
  <c r="AC629" i="3"/>
  <c r="M629" i="3"/>
  <c r="BB628" i="3"/>
  <c r="AL628" i="3"/>
  <c r="V628" i="3"/>
  <c r="BK627" i="3"/>
  <c r="AU627" i="3"/>
  <c r="AE627" i="3"/>
  <c r="O627" i="3"/>
  <c r="BH626" i="3"/>
  <c r="AR626" i="3"/>
  <c r="AB626" i="3"/>
  <c r="L626" i="3"/>
  <c r="BE625" i="3"/>
  <c r="AO625" i="3"/>
  <c r="Y625" i="3"/>
  <c r="I625" i="3"/>
  <c r="AX624" i="3"/>
  <c r="AH624" i="3"/>
  <c r="R624" i="3"/>
  <c r="BG623" i="3"/>
  <c r="AQ623" i="3"/>
  <c r="AA623" i="3"/>
  <c r="K623" i="3"/>
  <c r="BD622" i="3"/>
  <c r="AN622" i="3"/>
  <c r="X622" i="3"/>
  <c r="H622" i="3"/>
  <c r="BB654" i="3"/>
  <c r="AJ653" i="3"/>
  <c r="Q652" i="3"/>
  <c r="BL650" i="3"/>
  <c r="AE649" i="3"/>
  <c r="AF648" i="3"/>
  <c r="AG647" i="3"/>
  <c r="AD646" i="3"/>
  <c r="AW645" i="3"/>
  <c r="Q645" i="3"/>
  <c r="BA644" i="3"/>
  <c r="AF644" i="3"/>
  <c r="J644" i="3"/>
  <c r="AS643" i="3"/>
  <c r="W643" i="3"/>
  <c r="BK642" i="3"/>
  <c r="AP642" i="3"/>
  <c r="T642" i="3"/>
  <c r="BD641" i="3"/>
  <c r="AI641" i="3"/>
  <c r="M641" i="3"/>
  <c r="BA640" i="3"/>
  <c r="AF640" i="3"/>
  <c r="J640" i="3"/>
  <c r="AS639" i="3"/>
  <c r="W639" i="3"/>
  <c r="BK638" i="3"/>
  <c r="AP638" i="3"/>
  <c r="T638" i="3"/>
  <c r="BD637" i="3"/>
  <c r="AI637" i="3"/>
  <c r="M637" i="3"/>
  <c r="BA636" i="3"/>
  <c r="AF636" i="3"/>
  <c r="J636" i="3"/>
  <c r="AX635" i="3"/>
  <c r="AH635" i="3"/>
  <c r="R635" i="3"/>
  <c r="BG634" i="3"/>
  <c r="AQ634" i="3"/>
  <c r="AA634" i="3"/>
  <c r="K634" i="3"/>
  <c r="BD633" i="3"/>
  <c r="AN633" i="3"/>
  <c r="X633" i="3"/>
  <c r="H633" i="3"/>
  <c r="BA632" i="3"/>
  <c r="AK632" i="3"/>
  <c r="U632" i="3"/>
  <c r="BJ631" i="3"/>
  <c r="AT631" i="3"/>
  <c r="AD631" i="3"/>
  <c r="N631" i="3"/>
  <c r="BC630" i="3"/>
  <c r="AM630" i="3"/>
  <c r="W630" i="3"/>
  <c r="G630" i="3"/>
  <c r="AZ629" i="3"/>
  <c r="AJ629" i="3"/>
  <c r="T629" i="3"/>
  <c r="BM628" i="3"/>
  <c r="AW628" i="3"/>
  <c r="AG628" i="3"/>
  <c r="Q628" i="3"/>
  <c r="BF627" i="3"/>
  <c r="AP627" i="3"/>
  <c r="Z627" i="3"/>
  <c r="J627" i="3"/>
  <c r="AY626" i="3"/>
  <c r="AI626" i="3"/>
  <c r="S626" i="3"/>
  <c r="BL625" i="3"/>
  <c r="AV625" i="3"/>
  <c r="AF625" i="3"/>
  <c r="P625" i="3"/>
  <c r="BI624" i="3"/>
  <c r="AS624" i="3"/>
  <c r="AC624" i="3"/>
  <c r="M624" i="3"/>
  <c r="BB623" i="3"/>
  <c r="AL623" i="3"/>
  <c r="V623" i="3"/>
  <c r="BK622" i="3"/>
  <c r="AU622" i="3"/>
  <c r="AV654" i="3"/>
  <c r="I653" i="3"/>
  <c r="BE651" i="3"/>
  <c r="AL650" i="3"/>
  <c r="AA649" i="3"/>
  <c r="AB648" i="3"/>
  <c r="AC647" i="3"/>
  <c r="Z646" i="3"/>
  <c r="AU645" i="3"/>
  <c r="O645" i="3"/>
  <c r="AZ644" i="3"/>
  <c r="AD644" i="3"/>
  <c r="I644" i="3"/>
  <c r="AW643" i="3"/>
  <c r="AA643" i="3"/>
  <c r="BJ642" i="3"/>
  <c r="AN642" i="3"/>
  <c r="S642" i="3"/>
  <c r="BH641" i="3"/>
  <c r="AM641" i="3"/>
  <c r="Q641" i="3"/>
  <c r="BE640" i="3"/>
  <c r="AJ640" i="3"/>
  <c r="N640" i="3"/>
  <c r="BB639" i="3"/>
  <c r="AG639" i="3"/>
  <c r="K639" i="3"/>
  <c r="AT638" i="3"/>
  <c r="X638" i="3"/>
  <c r="BM637" i="3"/>
  <c r="AR637" i="3"/>
  <c r="W637" i="3"/>
  <c r="BJ636" i="3"/>
  <c r="AO636" i="3"/>
  <c r="T636" i="3"/>
  <c r="BI635" i="3"/>
  <c r="AS635" i="3"/>
  <c r="AC635" i="3"/>
  <c r="M635" i="3"/>
  <c r="BB634" i="3"/>
  <c r="AL634" i="3"/>
  <c r="V634" i="3"/>
  <c r="BK633" i="3"/>
  <c r="AU633" i="3"/>
  <c r="AE633" i="3"/>
  <c r="O633" i="3"/>
  <c r="BH632" i="3"/>
  <c r="AR632" i="3"/>
  <c r="AB632" i="3"/>
  <c r="L632" i="3"/>
  <c r="BE631" i="3"/>
  <c r="AO631" i="3"/>
  <c r="Y631" i="3"/>
  <c r="I631" i="3"/>
  <c r="AX630" i="3"/>
  <c r="AH630" i="3"/>
  <c r="R630" i="3"/>
  <c r="BG629" i="3"/>
  <c r="AQ629" i="3"/>
  <c r="AA629" i="3"/>
  <c r="K629" i="3"/>
  <c r="BD628" i="3"/>
  <c r="AN628" i="3"/>
  <c r="X628" i="3"/>
  <c r="H628" i="3"/>
  <c r="BA627" i="3"/>
  <c r="AK627" i="3"/>
  <c r="U627" i="3"/>
  <c r="BJ626" i="3"/>
  <c r="AT626" i="3"/>
  <c r="AD626" i="3"/>
  <c r="N626" i="3"/>
  <c r="BC625" i="3"/>
  <c r="AM625" i="3"/>
  <c r="W625" i="3"/>
  <c r="G625" i="3"/>
  <c r="AZ624" i="3"/>
  <c r="AJ624" i="3"/>
  <c r="T624" i="3"/>
  <c r="BM623" i="3"/>
  <c r="AW623" i="3"/>
  <c r="AG623" i="3"/>
  <c r="Q623" i="3"/>
  <c r="S655" i="3"/>
  <c r="AU653" i="3"/>
  <c r="AY651" i="3"/>
  <c r="AF650" i="3"/>
  <c r="W649" i="3"/>
  <c r="X648" i="3"/>
  <c r="Y647" i="3"/>
  <c r="V646" i="3"/>
  <c r="AK645" i="3"/>
  <c r="BI644" i="3"/>
  <c r="AN644" i="3"/>
  <c r="R644" i="3"/>
  <c r="BF643" i="3"/>
  <c r="AK643" i="3"/>
  <c r="O643" i="3"/>
  <c r="AX642" i="3"/>
  <c r="AB642" i="3"/>
  <c r="G642" i="3"/>
  <c r="AV641" i="3"/>
  <c r="AA641" i="3"/>
  <c r="BI640" i="3"/>
  <c r="AN640" i="3"/>
  <c r="R640" i="3"/>
  <c r="BF639" i="3"/>
  <c r="AK639" i="3"/>
  <c r="O639" i="3"/>
  <c r="AX638" i="3"/>
  <c r="AB638" i="3"/>
  <c r="G638" i="3"/>
  <c r="AV637" i="3"/>
  <c r="AA637" i="3"/>
  <c r="BI636" i="3"/>
  <c r="AN636" i="3"/>
  <c r="R636" i="3"/>
  <c r="BH635" i="3"/>
  <c r="AR635" i="3"/>
  <c r="AB635" i="3"/>
  <c r="L635" i="3"/>
  <c r="BE634" i="3"/>
  <c r="AO634" i="3"/>
  <c r="Y634" i="3"/>
  <c r="I634" i="3"/>
  <c r="AX633" i="3"/>
  <c r="AH633" i="3"/>
  <c r="R633" i="3"/>
  <c r="BG632" i="3"/>
  <c r="AQ632" i="3"/>
  <c r="AA632" i="3"/>
  <c r="K632" i="3"/>
  <c r="BD631" i="3"/>
  <c r="AN631" i="3"/>
  <c r="X631" i="3"/>
  <c r="H631" i="3"/>
  <c r="BA630" i="3"/>
  <c r="AK630" i="3"/>
  <c r="U630" i="3"/>
  <c r="BJ629" i="3"/>
  <c r="AT629" i="3"/>
  <c r="AD629" i="3"/>
  <c r="N629" i="3"/>
  <c r="BC628" i="3"/>
  <c r="AM628" i="3"/>
  <c r="W628" i="3"/>
  <c r="G628" i="3"/>
  <c r="AZ627" i="3"/>
  <c r="AJ627" i="3"/>
  <c r="T627" i="3"/>
  <c r="BM626" i="3"/>
  <c r="AW626" i="3"/>
  <c r="AG626" i="3"/>
  <c r="Q626" i="3"/>
  <c r="BF625" i="3"/>
  <c r="AP625" i="3"/>
  <c r="Z625" i="3"/>
  <c r="J625" i="3"/>
  <c r="AY624" i="3"/>
  <c r="AI624" i="3"/>
  <c r="S624" i="3"/>
  <c r="BL623" i="3"/>
  <c r="AV623" i="3"/>
  <c r="AF623" i="3"/>
  <c r="P623" i="3"/>
  <c r="AX622" i="3"/>
  <c r="Z622" i="3"/>
  <c r="BM620" i="3"/>
  <c r="AW620" i="3"/>
  <c r="AG620" i="3"/>
  <c r="Q620" i="3"/>
  <c r="BF619" i="3"/>
  <c r="AP619" i="3"/>
  <c r="Z619" i="3"/>
  <c r="J619" i="3"/>
  <c r="AY618" i="3"/>
  <c r="AI618" i="3"/>
  <c r="S618" i="3"/>
  <c r="BL617" i="3"/>
  <c r="AV617" i="3"/>
  <c r="AF617" i="3"/>
  <c r="P617" i="3"/>
  <c r="BI616" i="3"/>
  <c r="AS616" i="3"/>
  <c r="AC616" i="3"/>
  <c r="M616" i="3"/>
  <c r="BB615" i="3"/>
  <c r="AL615" i="3"/>
  <c r="V615" i="3"/>
  <c r="BK614" i="3"/>
  <c r="AU614" i="3"/>
  <c r="AE614" i="3"/>
  <c r="O614" i="3"/>
  <c r="BH613" i="3"/>
  <c r="AR613" i="3"/>
  <c r="AB613" i="3"/>
  <c r="L613" i="3"/>
  <c r="BE612" i="3"/>
  <c r="AO612" i="3"/>
  <c r="Y612" i="3"/>
  <c r="I612" i="3"/>
  <c r="AX611" i="3"/>
  <c r="AH611" i="3"/>
  <c r="R611" i="3"/>
  <c r="BG610" i="3"/>
  <c r="AQ610" i="3"/>
  <c r="AA610" i="3"/>
  <c r="K610" i="3"/>
  <c r="BD609" i="3"/>
  <c r="AN609" i="3"/>
  <c r="X609" i="3"/>
  <c r="H609" i="3"/>
  <c r="BA608" i="3"/>
  <c r="AK608" i="3"/>
  <c r="U608" i="3"/>
  <c r="BJ607" i="3"/>
  <c r="AT607" i="3"/>
  <c r="AD607" i="3"/>
  <c r="N607" i="3"/>
  <c r="BC606" i="3"/>
  <c r="AM606" i="3"/>
  <c r="W606" i="3"/>
  <c r="G606" i="3"/>
  <c r="AZ605" i="3"/>
  <c r="AJ605" i="3"/>
  <c r="T605" i="3"/>
  <c r="BM604" i="3"/>
  <c r="AW604" i="3"/>
  <c r="AG604" i="3"/>
  <c r="Q604" i="3"/>
  <c r="BF603" i="3"/>
  <c r="AP603" i="3"/>
  <c r="Z603" i="3"/>
  <c r="J603" i="3"/>
  <c r="AY602" i="3"/>
  <c r="AI602" i="3"/>
  <c r="S602" i="3"/>
  <c r="BL601" i="3"/>
  <c r="AV601" i="3"/>
  <c r="AF601" i="3"/>
  <c r="P601" i="3"/>
  <c r="BI600" i="3"/>
  <c r="AS600" i="3"/>
  <c r="AC600" i="3"/>
  <c r="M600" i="3"/>
  <c r="BB599" i="3"/>
  <c r="AL599" i="3"/>
  <c r="V599" i="3"/>
  <c r="BM622" i="3"/>
  <c r="AI622" i="3"/>
  <c r="N622" i="3"/>
  <c r="BD620" i="3"/>
  <c r="AN620" i="3"/>
  <c r="X620" i="3"/>
  <c r="H620" i="3"/>
  <c r="BA619" i="3"/>
  <c r="AK619" i="3"/>
  <c r="U619" i="3"/>
  <c r="BJ618" i="3"/>
  <c r="AT618" i="3"/>
  <c r="AD618" i="3"/>
  <c r="N618" i="3"/>
  <c r="BC617" i="3"/>
  <c r="AM617" i="3"/>
  <c r="W617" i="3"/>
  <c r="G617" i="3"/>
  <c r="AZ616" i="3"/>
  <c r="AJ616" i="3"/>
  <c r="T616" i="3"/>
  <c r="BM615" i="3"/>
  <c r="AW615" i="3"/>
  <c r="AG615" i="3"/>
  <c r="Q615" i="3"/>
  <c r="BF614" i="3"/>
  <c r="AP614" i="3"/>
  <c r="Z614" i="3"/>
  <c r="J614" i="3"/>
  <c r="AY613" i="3"/>
  <c r="AI613" i="3"/>
  <c r="S613" i="3"/>
  <c r="BL612" i="3"/>
  <c r="AV612" i="3"/>
  <c r="AF612" i="3"/>
  <c r="P612" i="3"/>
  <c r="BI611" i="3"/>
  <c r="AS611" i="3"/>
  <c r="AC611" i="3"/>
  <c r="M611" i="3"/>
  <c r="BB610" i="3"/>
  <c r="AL610" i="3"/>
  <c r="V610" i="3"/>
  <c r="BK609" i="3"/>
  <c r="AU609" i="3"/>
  <c r="AE609" i="3"/>
  <c r="O609" i="3"/>
  <c r="BH608" i="3"/>
  <c r="AR608" i="3"/>
  <c r="AB608" i="3"/>
  <c r="L608" i="3"/>
  <c r="BE607" i="3"/>
  <c r="AO607" i="3"/>
  <c r="Y607" i="3"/>
  <c r="I607" i="3"/>
  <c r="AX606" i="3"/>
  <c r="AH606" i="3"/>
  <c r="R606" i="3"/>
  <c r="BG605" i="3"/>
  <c r="AQ605" i="3"/>
  <c r="AA605" i="3"/>
  <c r="K605" i="3"/>
  <c r="BD604" i="3"/>
  <c r="AN604" i="3"/>
  <c r="X604" i="3"/>
  <c r="H604" i="3"/>
  <c r="BA603" i="3"/>
  <c r="AK603" i="3"/>
  <c r="U603" i="3"/>
  <c r="BJ602" i="3"/>
  <c r="AT602" i="3"/>
  <c r="AD602" i="3"/>
  <c r="N602" i="3"/>
  <c r="BC601" i="3"/>
  <c r="AM601" i="3"/>
  <c r="W601" i="3"/>
  <c r="G601" i="3"/>
  <c r="AZ600" i="3"/>
  <c r="AJ600" i="3"/>
  <c r="T600" i="3"/>
  <c r="BM599" i="3"/>
  <c r="AW599" i="3"/>
  <c r="AG599" i="3"/>
  <c r="AM622" i="3"/>
  <c r="R622" i="3"/>
  <c r="BG620" i="3"/>
  <c r="AQ620" i="3"/>
  <c r="AA620" i="3"/>
  <c r="K620" i="3"/>
  <c r="BD619" i="3"/>
  <c r="AN619" i="3"/>
  <c r="X619" i="3"/>
  <c r="H619" i="3"/>
  <c r="BA618" i="3"/>
  <c r="AK618" i="3"/>
  <c r="U618" i="3"/>
  <c r="BJ617" i="3"/>
  <c r="AT617" i="3"/>
  <c r="AD617" i="3"/>
  <c r="N617" i="3"/>
  <c r="BC616" i="3"/>
  <c r="AM616" i="3"/>
  <c r="W616" i="3"/>
  <c r="G616" i="3"/>
  <c r="AZ615" i="3"/>
  <c r="AJ615" i="3"/>
  <c r="T615" i="3"/>
  <c r="BM614" i="3"/>
  <c r="AW614" i="3"/>
  <c r="AG614" i="3"/>
  <c r="Q614" i="3"/>
  <c r="BF613" i="3"/>
  <c r="AP613" i="3"/>
  <c r="Z613" i="3"/>
  <c r="J613" i="3"/>
  <c r="AY612" i="3"/>
  <c r="AI612" i="3"/>
  <c r="S612" i="3"/>
  <c r="BL611" i="3"/>
  <c r="AV611" i="3"/>
  <c r="AF611" i="3"/>
  <c r="P611" i="3"/>
  <c r="BI610" i="3"/>
  <c r="AS610" i="3"/>
  <c r="AC610" i="3"/>
  <c r="M610" i="3"/>
  <c r="BB609" i="3"/>
  <c r="AL609" i="3"/>
  <c r="V609" i="3"/>
  <c r="BK608" i="3"/>
  <c r="AU608" i="3"/>
  <c r="AE608" i="3"/>
  <c r="O608" i="3"/>
  <c r="BH607" i="3"/>
  <c r="AR607" i="3"/>
  <c r="AB607" i="3"/>
  <c r="L607" i="3"/>
  <c r="BE606" i="3"/>
  <c r="AO606" i="3"/>
  <c r="Y606" i="3"/>
  <c r="I606" i="3"/>
  <c r="AX605" i="3"/>
  <c r="AH605" i="3"/>
  <c r="R605" i="3"/>
  <c r="BG604" i="3"/>
  <c r="AQ604" i="3"/>
  <c r="AA604" i="3"/>
  <c r="K604" i="3"/>
  <c r="BD603" i="3"/>
  <c r="AN603" i="3"/>
  <c r="X603" i="3"/>
  <c r="H603" i="3"/>
  <c r="BA602" i="3"/>
  <c r="AK602" i="3"/>
  <c r="U602" i="3"/>
  <c r="BJ601" i="3"/>
  <c r="AT601" i="3"/>
  <c r="AD601" i="3"/>
  <c r="N601" i="3"/>
  <c r="BC600" i="3"/>
  <c r="AM600" i="3"/>
  <c r="W600" i="3"/>
  <c r="G600" i="3"/>
  <c r="AS622" i="3"/>
  <c r="V622" i="3"/>
  <c r="BF620" i="3"/>
  <c r="AP620" i="3"/>
  <c r="Z620" i="3"/>
  <c r="J620" i="3"/>
  <c r="AY619" i="3"/>
  <c r="AI619" i="3"/>
  <c r="S619" i="3"/>
  <c r="BL618" i="3"/>
  <c r="AV618" i="3"/>
  <c r="AF618" i="3"/>
  <c r="P618" i="3"/>
  <c r="BI617" i="3"/>
  <c r="AS617" i="3"/>
  <c r="AC617" i="3"/>
  <c r="M617" i="3"/>
  <c r="BB616" i="3"/>
  <c r="AL616" i="3"/>
  <c r="V616" i="3"/>
  <c r="BK615" i="3"/>
  <c r="AU615" i="3"/>
  <c r="AE615" i="3"/>
  <c r="O615" i="3"/>
  <c r="BH614" i="3"/>
  <c r="AR614" i="3"/>
  <c r="AB614" i="3"/>
  <c r="L614" i="3"/>
  <c r="BE613" i="3"/>
  <c r="AO613" i="3"/>
  <c r="Y613" i="3"/>
  <c r="I613" i="3"/>
  <c r="AX612" i="3"/>
  <c r="AH612" i="3"/>
  <c r="R612" i="3"/>
  <c r="BG611" i="3"/>
  <c r="AQ611" i="3"/>
  <c r="AA611" i="3"/>
  <c r="K611" i="3"/>
  <c r="BD610" i="3"/>
  <c r="AN610" i="3"/>
  <c r="X610" i="3"/>
  <c r="H610" i="3"/>
  <c r="BA609" i="3"/>
  <c r="AK609" i="3"/>
  <c r="U609" i="3"/>
  <c r="BJ608" i="3"/>
  <c r="AT608" i="3"/>
  <c r="AD608" i="3"/>
  <c r="N608" i="3"/>
  <c r="BC607" i="3"/>
  <c r="AM607" i="3"/>
  <c r="W607" i="3"/>
  <c r="G607" i="3"/>
  <c r="AZ606" i="3"/>
  <c r="AJ606" i="3"/>
  <c r="T606" i="3"/>
  <c r="BM605" i="3"/>
  <c r="AW605" i="3"/>
  <c r="AG605" i="3"/>
  <c r="Q605" i="3"/>
  <c r="BF604" i="3"/>
  <c r="AP604" i="3"/>
  <c r="Z604" i="3"/>
  <c r="J604" i="3"/>
  <c r="AY603" i="3"/>
  <c r="AI603" i="3"/>
  <c r="S603" i="3"/>
  <c r="BL602" i="3"/>
  <c r="AV602" i="3"/>
  <c r="AF602" i="3"/>
  <c r="P602" i="3"/>
  <c r="BI601" i="3"/>
  <c r="AS601" i="3"/>
  <c r="AC601" i="3"/>
  <c r="M601" i="3"/>
  <c r="BB600" i="3"/>
  <c r="AL600" i="3"/>
  <c r="V600" i="3"/>
  <c r="BK599" i="3"/>
  <c r="AU599" i="3"/>
  <c r="AE599" i="3"/>
  <c r="O599" i="3"/>
  <c r="AJ599" i="3"/>
  <c r="BL598" i="3"/>
  <c r="AV598" i="3"/>
  <c r="AF598" i="3"/>
  <c r="P598" i="3"/>
  <c r="BI597" i="3"/>
  <c r="AS597" i="3"/>
  <c r="AC597" i="3"/>
  <c r="M597" i="3"/>
  <c r="BB596" i="3"/>
  <c r="AL596" i="3"/>
  <c r="V596" i="3"/>
  <c r="BK595" i="3"/>
  <c r="AU595" i="3"/>
  <c r="AE595" i="3"/>
  <c r="O595" i="3"/>
  <c r="BH594" i="3"/>
  <c r="AR594" i="3"/>
  <c r="AB594" i="3"/>
  <c r="L594" i="3"/>
  <c r="BE593" i="3"/>
  <c r="AO593" i="3"/>
  <c r="Y593" i="3"/>
  <c r="I593" i="3"/>
  <c r="AX592" i="3"/>
  <c r="AH592" i="3"/>
  <c r="R592" i="3"/>
  <c r="BG591" i="3"/>
  <c r="AQ591" i="3"/>
  <c r="AA591" i="3"/>
  <c r="K591" i="3"/>
  <c r="BD590" i="3"/>
  <c r="AN590" i="3"/>
  <c r="X590" i="3"/>
  <c r="H590" i="3"/>
  <c r="BA589" i="3"/>
  <c r="AK589" i="3"/>
  <c r="U589" i="3"/>
  <c r="BJ588" i="3"/>
  <c r="AT588" i="3"/>
  <c r="AD588" i="3"/>
  <c r="N588" i="3"/>
  <c r="BC587" i="3"/>
  <c r="AM587" i="3"/>
  <c r="W587" i="3"/>
  <c r="G587" i="3"/>
  <c r="AZ586" i="3"/>
  <c r="AJ586" i="3"/>
  <c r="T586" i="3"/>
  <c r="BM585" i="3"/>
  <c r="AW585" i="3"/>
  <c r="AG585" i="3"/>
  <c r="Q585" i="3"/>
  <c r="BF584" i="3"/>
  <c r="AP584" i="3"/>
  <c r="Z584" i="3"/>
  <c r="J584" i="3"/>
  <c r="AY583" i="3"/>
  <c r="AI583" i="3"/>
  <c r="S583" i="3"/>
  <c r="BL582" i="3"/>
  <c r="AV582" i="3"/>
  <c r="AF582" i="3"/>
  <c r="P582" i="3"/>
  <c r="BI581" i="3"/>
  <c r="AS581" i="3"/>
  <c r="AC581" i="3"/>
  <c r="M581" i="3"/>
  <c r="BE579" i="3"/>
  <c r="AO579" i="3"/>
  <c r="Y579" i="3"/>
  <c r="I579" i="3"/>
  <c r="AX578" i="3"/>
  <c r="AH578" i="3"/>
  <c r="R578" i="3"/>
  <c r="BG577" i="3"/>
  <c r="AQ577" i="3"/>
  <c r="AA577" i="3"/>
  <c r="K577" i="3"/>
  <c r="BD576" i="3"/>
  <c r="AN576" i="3"/>
  <c r="X576" i="3"/>
  <c r="H576" i="3"/>
  <c r="BA575" i="3"/>
  <c r="AK575" i="3"/>
  <c r="U575" i="3"/>
  <c r="BJ574" i="3"/>
  <c r="AT574" i="3"/>
  <c r="AD574" i="3"/>
  <c r="N574" i="3"/>
  <c r="BC573" i="3"/>
  <c r="AM573" i="3"/>
  <c r="W573" i="3"/>
  <c r="G573" i="3"/>
  <c r="AZ572" i="3"/>
  <c r="AJ572" i="3"/>
  <c r="T572" i="3"/>
  <c r="BM571" i="3"/>
  <c r="AW571" i="3"/>
  <c r="AG571" i="3"/>
  <c r="Q571" i="3"/>
  <c r="BF570" i="3"/>
  <c r="AP570" i="3"/>
  <c r="Z570" i="3"/>
  <c r="J570" i="3"/>
  <c r="AY569" i="3"/>
  <c r="AI569" i="3"/>
  <c r="S569" i="3"/>
  <c r="BL568" i="3"/>
  <c r="AV568" i="3"/>
  <c r="AF568" i="3"/>
  <c r="P568" i="3"/>
  <c r="BI567" i="3"/>
  <c r="AS567" i="3"/>
  <c r="AC567" i="3"/>
  <c r="M567" i="3"/>
  <c r="BB566" i="3"/>
  <c r="AL566" i="3"/>
  <c r="V566" i="3"/>
  <c r="BK565" i="3"/>
  <c r="AU565" i="3"/>
  <c r="AE565" i="3"/>
  <c r="O565" i="3"/>
  <c r="BH564" i="3"/>
  <c r="AR564" i="3"/>
  <c r="AB564" i="3"/>
  <c r="L564" i="3"/>
  <c r="BE563" i="3"/>
  <c r="AO563" i="3"/>
  <c r="Y563" i="3"/>
  <c r="I563" i="3"/>
  <c r="AX562" i="3"/>
  <c r="AH562" i="3"/>
  <c r="R562" i="3"/>
  <c r="BG561" i="3"/>
  <c r="AQ561" i="3"/>
  <c r="AA561" i="3"/>
  <c r="K561" i="3"/>
  <c r="BD560" i="3"/>
  <c r="AN560" i="3"/>
  <c r="X560" i="3"/>
  <c r="H560" i="3"/>
  <c r="BA559" i="3"/>
  <c r="AK559" i="3"/>
  <c r="U559" i="3"/>
  <c r="BJ558" i="3"/>
  <c r="AT558" i="3"/>
  <c r="AD558" i="3"/>
  <c r="N558" i="3"/>
  <c r="BC557" i="3"/>
  <c r="AM557" i="3"/>
  <c r="W557" i="3"/>
  <c r="G557" i="3"/>
  <c r="AZ556" i="3"/>
  <c r="AJ556" i="3"/>
  <c r="T556" i="3"/>
  <c r="BM555" i="3"/>
  <c r="AW555" i="3"/>
  <c r="AG555" i="3"/>
  <c r="Q555" i="3"/>
  <c r="BF554" i="3"/>
  <c r="AP554" i="3"/>
  <c r="Z554" i="3"/>
  <c r="J554" i="3"/>
  <c r="AF599" i="3"/>
  <c r="BK598" i="3"/>
  <c r="AU598" i="3"/>
  <c r="AE598" i="3"/>
  <c r="O598" i="3"/>
  <c r="BH597" i="3"/>
  <c r="AR597" i="3"/>
  <c r="AB597" i="3"/>
  <c r="L597" i="3"/>
  <c r="BE596" i="3"/>
  <c r="AO596" i="3"/>
  <c r="Y596" i="3"/>
  <c r="I596" i="3"/>
  <c r="AX595" i="3"/>
  <c r="AH595" i="3"/>
  <c r="R595" i="3"/>
  <c r="BG594" i="3"/>
  <c r="AQ594" i="3"/>
  <c r="AA594" i="3"/>
  <c r="K594" i="3"/>
  <c r="BD593" i="3"/>
  <c r="AN593" i="3"/>
  <c r="X593" i="3"/>
  <c r="H593" i="3"/>
  <c r="BA592" i="3"/>
  <c r="AK592" i="3"/>
  <c r="U592" i="3"/>
  <c r="BJ591" i="3"/>
  <c r="AT591" i="3"/>
  <c r="AD591" i="3"/>
  <c r="N591" i="3"/>
  <c r="BC590" i="3"/>
  <c r="AM590" i="3"/>
  <c r="W590" i="3"/>
  <c r="G590" i="3"/>
  <c r="AZ589" i="3"/>
  <c r="AJ589" i="3"/>
  <c r="T589" i="3"/>
  <c r="BM588" i="3"/>
  <c r="AW588" i="3"/>
  <c r="AG588" i="3"/>
  <c r="Q588" i="3"/>
  <c r="BF587" i="3"/>
  <c r="AP587" i="3"/>
  <c r="Z587" i="3"/>
  <c r="J587" i="3"/>
  <c r="AY586" i="3"/>
  <c r="AI586" i="3"/>
  <c r="S586" i="3"/>
  <c r="BL585" i="3"/>
  <c r="AV585" i="3"/>
  <c r="AF585" i="3"/>
  <c r="P585" i="3"/>
  <c r="BI584" i="3"/>
  <c r="AS584" i="3"/>
  <c r="AC584" i="3"/>
  <c r="M584" i="3"/>
  <c r="BB583" i="3"/>
  <c r="AL583" i="3"/>
  <c r="V583" i="3"/>
  <c r="BK582" i="3"/>
  <c r="AU582" i="3"/>
  <c r="AE582" i="3"/>
  <c r="O582" i="3"/>
  <c r="BH581" i="3"/>
  <c r="AR581" i="3"/>
  <c r="AB581" i="3"/>
  <c r="L581" i="3"/>
  <c r="BD579" i="3"/>
  <c r="AN579" i="3"/>
  <c r="X579" i="3"/>
  <c r="H579" i="3"/>
  <c r="BA578" i="3"/>
  <c r="AK578" i="3"/>
  <c r="U578" i="3"/>
  <c r="BJ577" i="3"/>
  <c r="AT577" i="3"/>
  <c r="AD577" i="3"/>
  <c r="N577" i="3"/>
  <c r="BC576" i="3"/>
  <c r="AM576" i="3"/>
  <c r="W576" i="3"/>
  <c r="G576" i="3"/>
  <c r="AZ575" i="3"/>
  <c r="AJ575" i="3"/>
  <c r="T575" i="3"/>
  <c r="BM574" i="3"/>
  <c r="AW574" i="3"/>
  <c r="AG574" i="3"/>
  <c r="Q574" i="3"/>
  <c r="BF573" i="3"/>
  <c r="AP573" i="3"/>
  <c r="Z573" i="3"/>
  <c r="J573" i="3"/>
  <c r="AY572" i="3"/>
  <c r="AI572" i="3"/>
  <c r="S572" i="3"/>
  <c r="BL571" i="3"/>
  <c r="AV571" i="3"/>
  <c r="AF571" i="3"/>
  <c r="P571" i="3"/>
  <c r="BI570" i="3"/>
  <c r="AS570" i="3"/>
  <c r="AC570" i="3"/>
  <c r="M570" i="3"/>
  <c r="BB569" i="3"/>
  <c r="AL569" i="3"/>
  <c r="V569" i="3"/>
  <c r="BK568" i="3"/>
  <c r="AU568" i="3"/>
  <c r="AE568" i="3"/>
  <c r="O568" i="3"/>
  <c r="BH567" i="3"/>
  <c r="AR567" i="3"/>
  <c r="AB567" i="3"/>
  <c r="L567" i="3"/>
  <c r="BE566" i="3"/>
  <c r="AO566" i="3"/>
  <c r="Y566" i="3"/>
  <c r="I566" i="3"/>
  <c r="AX565" i="3"/>
  <c r="AH565" i="3"/>
  <c r="R565" i="3"/>
  <c r="BG564" i="3"/>
  <c r="AQ564" i="3"/>
  <c r="AA564" i="3"/>
  <c r="K564" i="3"/>
  <c r="BD563" i="3"/>
  <c r="AN563" i="3"/>
  <c r="X563" i="3"/>
  <c r="H563" i="3"/>
  <c r="BA562" i="3"/>
  <c r="AK562" i="3"/>
  <c r="U562" i="3"/>
  <c r="BJ561" i="3"/>
  <c r="AT561" i="3"/>
  <c r="AD561" i="3"/>
  <c r="N561" i="3"/>
  <c r="BC560" i="3"/>
  <c r="AM560" i="3"/>
  <c r="W560" i="3"/>
  <c r="G560" i="3"/>
  <c r="AZ559" i="3"/>
  <c r="AJ559" i="3"/>
  <c r="T559" i="3"/>
  <c r="BM558" i="3"/>
  <c r="AW558" i="3"/>
  <c r="AG558" i="3"/>
  <c r="Q558" i="3"/>
  <c r="BF557" i="3"/>
  <c r="AP557" i="3"/>
  <c r="Z557" i="3"/>
  <c r="J557" i="3"/>
  <c r="AY556" i="3"/>
  <c r="AI556" i="3"/>
  <c r="S556" i="3"/>
  <c r="BL555" i="3"/>
  <c r="AV555" i="3"/>
  <c r="AF555" i="3"/>
  <c r="P555" i="3"/>
  <c r="BI554" i="3"/>
  <c r="AS554" i="3"/>
  <c r="AC554" i="3"/>
  <c r="M554" i="3"/>
  <c r="AC599" i="3"/>
  <c r="BF598" i="3"/>
  <c r="AP598" i="3"/>
  <c r="Z598" i="3"/>
  <c r="J598" i="3"/>
  <c r="AY597" i="3"/>
  <c r="AI597" i="3"/>
  <c r="S597" i="3"/>
  <c r="BL596" i="3"/>
  <c r="AV596" i="3"/>
  <c r="AF596" i="3"/>
  <c r="P596" i="3"/>
  <c r="BI595" i="3"/>
  <c r="AS595" i="3"/>
  <c r="AC595" i="3"/>
  <c r="M595" i="3"/>
  <c r="BB594" i="3"/>
  <c r="AL594" i="3"/>
  <c r="V594" i="3"/>
  <c r="BK593" i="3"/>
  <c r="AU593" i="3"/>
  <c r="AE593" i="3"/>
  <c r="O593" i="3"/>
  <c r="BH592" i="3"/>
  <c r="AR592" i="3"/>
  <c r="AB592" i="3"/>
  <c r="L592" i="3"/>
  <c r="BE591" i="3"/>
  <c r="AO591" i="3"/>
  <c r="Y591" i="3"/>
  <c r="I591" i="3"/>
  <c r="AX590" i="3"/>
  <c r="AH590" i="3"/>
  <c r="R590" i="3"/>
  <c r="BG589" i="3"/>
  <c r="AQ589" i="3"/>
  <c r="AA589" i="3"/>
  <c r="K589" i="3"/>
  <c r="BD588" i="3"/>
  <c r="AN588" i="3"/>
  <c r="X588" i="3"/>
  <c r="H588" i="3"/>
  <c r="BA587" i="3"/>
  <c r="AK587" i="3"/>
  <c r="U587" i="3"/>
  <c r="BJ586" i="3"/>
  <c r="AT586" i="3"/>
  <c r="AD586" i="3"/>
  <c r="N586" i="3"/>
  <c r="BC585" i="3"/>
  <c r="AM585" i="3"/>
  <c r="W585" i="3"/>
  <c r="G585" i="3"/>
  <c r="AZ584" i="3"/>
  <c r="AJ584" i="3"/>
  <c r="T584" i="3"/>
  <c r="BM583" i="3"/>
  <c r="AW583" i="3"/>
  <c r="AG583" i="3"/>
  <c r="Q583" i="3"/>
  <c r="BF582" i="3"/>
  <c r="AP582" i="3"/>
  <c r="Z582" i="3"/>
  <c r="J582" i="3"/>
  <c r="AY581" i="3"/>
  <c r="AI581" i="3"/>
  <c r="S581" i="3"/>
  <c r="BK579" i="3"/>
  <c r="AU579" i="3"/>
  <c r="AE579" i="3"/>
  <c r="O579" i="3"/>
  <c r="BH578" i="3"/>
  <c r="AR578" i="3"/>
  <c r="AB578" i="3"/>
  <c r="L578" i="3"/>
  <c r="BE577" i="3"/>
  <c r="AO577" i="3"/>
  <c r="Y577" i="3"/>
  <c r="I577" i="3"/>
  <c r="AX576" i="3"/>
  <c r="AH576" i="3"/>
  <c r="R576" i="3"/>
  <c r="BG575" i="3"/>
  <c r="AQ575" i="3"/>
  <c r="AA575" i="3"/>
  <c r="K575" i="3"/>
  <c r="BD574" i="3"/>
  <c r="AN574" i="3"/>
  <c r="X574" i="3"/>
  <c r="H574" i="3"/>
  <c r="BA573" i="3"/>
  <c r="AK573" i="3"/>
  <c r="U573" i="3"/>
  <c r="BJ572" i="3"/>
  <c r="AT572" i="3"/>
  <c r="AD572" i="3"/>
  <c r="N572" i="3"/>
  <c r="BC571" i="3"/>
  <c r="AM571" i="3"/>
  <c r="W571" i="3"/>
  <c r="G571" i="3"/>
  <c r="AZ570" i="3"/>
  <c r="AJ570" i="3"/>
  <c r="T570" i="3"/>
  <c r="BM569" i="3"/>
  <c r="AW569" i="3"/>
  <c r="AG569" i="3"/>
  <c r="Q569" i="3"/>
  <c r="BF568" i="3"/>
  <c r="AP568" i="3"/>
  <c r="Z568" i="3"/>
  <c r="J568" i="3"/>
  <c r="AY567" i="3"/>
  <c r="AI567" i="3"/>
  <c r="S567" i="3"/>
  <c r="BL566" i="3"/>
  <c r="AV566" i="3"/>
  <c r="AF566" i="3"/>
  <c r="P566" i="3"/>
  <c r="BI565" i="3"/>
  <c r="AS565" i="3"/>
  <c r="AC565" i="3"/>
  <c r="M565" i="3"/>
  <c r="BB564" i="3"/>
  <c r="AL564" i="3"/>
  <c r="V564" i="3"/>
  <c r="BK563" i="3"/>
  <c r="AU563" i="3"/>
  <c r="AE563" i="3"/>
  <c r="O563" i="3"/>
  <c r="BH562" i="3"/>
  <c r="AR562" i="3"/>
  <c r="AB562" i="3"/>
  <c r="L562" i="3"/>
  <c r="BE561" i="3"/>
  <c r="AO561" i="3"/>
  <c r="Y561" i="3"/>
  <c r="I561" i="3"/>
  <c r="AX560" i="3"/>
  <c r="AH560" i="3"/>
  <c r="R560" i="3"/>
  <c r="BG559" i="3"/>
  <c r="AQ559" i="3"/>
  <c r="AA559" i="3"/>
  <c r="K559" i="3"/>
  <c r="BD558" i="3"/>
  <c r="AN558" i="3"/>
  <c r="X558" i="3"/>
  <c r="H558" i="3"/>
  <c r="BA557" i="3"/>
  <c r="AK557" i="3"/>
  <c r="U557" i="3"/>
  <c r="BJ556" i="3"/>
  <c r="AT556" i="3"/>
  <c r="AD556" i="3"/>
  <c r="N556" i="3"/>
  <c r="BC555" i="3"/>
  <c r="AM555" i="3"/>
  <c r="W555" i="3"/>
  <c r="G555" i="3"/>
  <c r="T599" i="3"/>
  <c r="BE598" i="3"/>
  <c r="AO598" i="3"/>
  <c r="Y598" i="3"/>
  <c r="I598" i="3"/>
  <c r="AX597" i="3"/>
  <c r="AH597" i="3"/>
  <c r="R597" i="3"/>
  <c r="BG596" i="3"/>
  <c r="AQ596" i="3"/>
  <c r="AA596" i="3"/>
  <c r="K596" i="3"/>
  <c r="BD595" i="3"/>
  <c r="AN595" i="3"/>
  <c r="X595" i="3"/>
  <c r="H595" i="3"/>
  <c r="BA594" i="3"/>
  <c r="AK594" i="3"/>
  <c r="U594" i="3"/>
  <c r="BJ593" i="3"/>
  <c r="AT593" i="3"/>
  <c r="AD593" i="3"/>
  <c r="N593" i="3"/>
  <c r="BC592" i="3"/>
  <c r="AM592" i="3"/>
  <c r="W592" i="3"/>
  <c r="G592" i="3"/>
  <c r="AZ591" i="3"/>
  <c r="AJ591" i="3"/>
  <c r="T591" i="3"/>
  <c r="BM590" i="3"/>
  <c r="AW590" i="3"/>
  <c r="AG590" i="3"/>
  <c r="Q590" i="3"/>
  <c r="BF589" i="3"/>
  <c r="AP589" i="3"/>
  <c r="Z589" i="3"/>
  <c r="J589" i="3"/>
  <c r="AY588" i="3"/>
  <c r="AI588" i="3"/>
  <c r="S588" i="3"/>
  <c r="BL587" i="3"/>
  <c r="AV587" i="3"/>
  <c r="AF587" i="3"/>
  <c r="P587" i="3"/>
  <c r="BI586" i="3"/>
  <c r="AS586" i="3"/>
  <c r="AC586" i="3"/>
  <c r="M586" i="3"/>
  <c r="BB585" i="3"/>
  <c r="AL585" i="3"/>
  <c r="V585" i="3"/>
  <c r="BK584" i="3"/>
  <c r="AU584" i="3"/>
  <c r="AE584" i="3"/>
  <c r="O584" i="3"/>
  <c r="BH583" i="3"/>
  <c r="AR583" i="3"/>
  <c r="AB583" i="3"/>
  <c r="L583" i="3"/>
  <c r="BE582" i="3"/>
  <c r="AO582" i="3"/>
  <c r="Y582" i="3"/>
  <c r="I582" i="3"/>
  <c r="AX581" i="3"/>
  <c r="AH581" i="3"/>
  <c r="R581" i="3"/>
  <c r="BF579" i="3"/>
  <c r="AP579" i="3"/>
  <c r="Z579" i="3"/>
  <c r="J579" i="3"/>
  <c r="AY578" i="3"/>
  <c r="AI578" i="3"/>
  <c r="S578" i="3"/>
  <c r="BL577" i="3"/>
  <c r="AV577" i="3"/>
  <c r="AF577" i="3"/>
  <c r="P577" i="3"/>
  <c r="BI576" i="3"/>
  <c r="AS576" i="3"/>
  <c r="AC576" i="3"/>
  <c r="M576" i="3"/>
  <c r="BB575" i="3"/>
  <c r="AL575" i="3"/>
  <c r="V575" i="3"/>
  <c r="BK574" i="3"/>
  <c r="AU574" i="3"/>
  <c r="AE574" i="3"/>
  <c r="O574" i="3"/>
  <c r="BH573" i="3"/>
  <c r="AR573" i="3"/>
  <c r="AB573" i="3"/>
  <c r="L573" i="3"/>
  <c r="BE572" i="3"/>
  <c r="AO572" i="3"/>
  <c r="Y572" i="3"/>
  <c r="I572" i="3"/>
  <c r="AX571" i="3"/>
  <c r="AH571" i="3"/>
  <c r="R571" i="3"/>
  <c r="BG570" i="3"/>
  <c r="AQ570" i="3"/>
  <c r="AA570" i="3"/>
  <c r="K570" i="3"/>
  <c r="BD569" i="3"/>
  <c r="AN569" i="3"/>
  <c r="X569" i="3"/>
  <c r="H569" i="3"/>
  <c r="BA568" i="3"/>
  <c r="AK568" i="3"/>
  <c r="U568" i="3"/>
  <c r="BJ567" i="3"/>
  <c r="AT567" i="3"/>
  <c r="AD567" i="3"/>
  <c r="N567" i="3"/>
  <c r="BC566" i="3"/>
  <c r="AM566" i="3"/>
  <c r="W566" i="3"/>
  <c r="G566" i="3"/>
  <c r="AZ565" i="3"/>
  <c r="AJ565" i="3"/>
  <c r="T565" i="3"/>
  <c r="BM564" i="3"/>
  <c r="AW564" i="3"/>
  <c r="AG564" i="3"/>
  <c r="Q564" i="3"/>
  <c r="BF563" i="3"/>
  <c r="AP563" i="3"/>
  <c r="Z563" i="3"/>
  <c r="J563" i="3"/>
  <c r="AY562" i="3"/>
  <c r="AI562" i="3"/>
  <c r="S562" i="3"/>
  <c r="BL561" i="3"/>
  <c r="AV561" i="3"/>
  <c r="AF561" i="3"/>
  <c r="P561" i="3"/>
  <c r="BI560" i="3"/>
  <c r="AS560" i="3"/>
  <c r="AC560" i="3"/>
  <c r="M560" i="3"/>
  <c r="BB559" i="3"/>
  <c r="AL559" i="3"/>
  <c r="V559" i="3"/>
  <c r="BK558" i="3"/>
  <c r="AU558" i="3"/>
  <c r="AE558" i="3"/>
  <c r="O558" i="3"/>
  <c r="BH557" i="3"/>
  <c r="AR557" i="3"/>
  <c r="AB557" i="3"/>
  <c r="L557" i="3"/>
  <c r="BE556" i="3"/>
  <c r="AO556" i="3"/>
  <c r="Y556" i="3"/>
  <c r="I556" i="3"/>
  <c r="AX555" i="3"/>
  <c r="AH555" i="3"/>
  <c r="R555" i="3"/>
  <c r="AY554" i="3"/>
  <c r="S554" i="3"/>
  <c r="BC553" i="3"/>
  <c r="AM553" i="3"/>
  <c r="W553" i="3"/>
  <c r="G553" i="3"/>
  <c r="AZ552" i="3"/>
  <c r="AJ552" i="3"/>
  <c r="T552" i="3"/>
  <c r="BM551" i="3"/>
  <c r="AW551" i="3"/>
  <c r="AG551" i="3"/>
  <c r="Q551" i="3"/>
  <c r="BF550" i="3"/>
  <c r="AP550" i="3"/>
  <c r="Z550" i="3"/>
  <c r="J550" i="3"/>
  <c r="AY549" i="3"/>
  <c r="AI549" i="3"/>
  <c r="S549" i="3"/>
  <c r="BL548" i="3"/>
  <c r="AV548" i="3"/>
  <c r="AF548" i="3"/>
  <c r="P548" i="3"/>
  <c r="BI547" i="3"/>
  <c r="AS547" i="3"/>
  <c r="AC547" i="3"/>
  <c r="M547" i="3"/>
  <c r="BB546" i="3"/>
  <c r="AL546" i="3"/>
  <c r="V546" i="3"/>
  <c r="BK545" i="3"/>
  <c r="AU545" i="3"/>
  <c r="AE545" i="3"/>
  <c r="O545" i="3"/>
  <c r="BH544" i="3"/>
  <c r="AR544" i="3"/>
  <c r="AB544" i="3"/>
  <c r="L544" i="3"/>
  <c r="BE543" i="3"/>
  <c r="AO543" i="3"/>
  <c r="Y543" i="3"/>
  <c r="I543" i="3"/>
  <c r="AX542" i="3"/>
  <c r="AH542" i="3"/>
  <c r="R542" i="3"/>
  <c r="BG541" i="3"/>
  <c r="AQ541" i="3"/>
  <c r="AA541" i="3"/>
  <c r="K541" i="3"/>
  <c r="BD540" i="3"/>
  <c r="AN540" i="3"/>
  <c r="X540" i="3"/>
  <c r="H540" i="3"/>
  <c r="AZ538" i="3"/>
  <c r="AJ538" i="3"/>
  <c r="T538" i="3"/>
  <c r="BM537" i="3"/>
  <c r="AW537" i="3"/>
  <c r="AG537" i="3"/>
  <c r="Q537" i="3"/>
  <c r="BF536" i="3"/>
  <c r="AP536" i="3"/>
  <c r="Z536" i="3"/>
  <c r="J536" i="3"/>
  <c r="AY535" i="3"/>
  <c r="AI535" i="3"/>
  <c r="S535" i="3"/>
  <c r="BL534" i="3"/>
  <c r="AV534" i="3"/>
  <c r="AF534" i="3"/>
  <c r="P534" i="3"/>
  <c r="BI533" i="3"/>
  <c r="AS533" i="3"/>
  <c r="AC533" i="3"/>
  <c r="M533" i="3"/>
  <c r="BB532" i="3"/>
  <c r="AL532" i="3"/>
  <c r="V532" i="3"/>
  <c r="BK531" i="3"/>
  <c r="AU531" i="3"/>
  <c r="AE531" i="3"/>
  <c r="O531" i="3"/>
  <c r="BH530" i="3"/>
  <c r="AR530" i="3"/>
  <c r="AB530" i="3"/>
  <c r="L530" i="3"/>
  <c r="BE529" i="3"/>
  <c r="AO529" i="3"/>
  <c r="Y529" i="3"/>
  <c r="I529" i="3"/>
  <c r="AX528" i="3"/>
  <c r="AH528" i="3"/>
  <c r="R528" i="3"/>
  <c r="BG527" i="3"/>
  <c r="AQ527" i="3"/>
  <c r="AA527" i="3"/>
  <c r="K527" i="3"/>
  <c r="BD526" i="3"/>
  <c r="AN526" i="3"/>
  <c r="X526" i="3"/>
  <c r="H526" i="3"/>
  <c r="BA525" i="3"/>
  <c r="AK525" i="3"/>
  <c r="U525" i="3"/>
  <c r="BJ524" i="3"/>
  <c r="AT524" i="3"/>
  <c r="AD524" i="3"/>
  <c r="N524" i="3"/>
  <c r="BC523" i="3"/>
  <c r="AM523" i="3"/>
  <c r="W523" i="3"/>
  <c r="G523" i="3"/>
  <c r="AZ522" i="3"/>
  <c r="AJ522" i="3"/>
  <c r="T522" i="3"/>
  <c r="BM521" i="3"/>
  <c r="AW521" i="3"/>
  <c r="AG521" i="3"/>
  <c r="Q521" i="3"/>
  <c r="BF520" i="3"/>
  <c r="AP520" i="3"/>
  <c r="Z520" i="3"/>
  <c r="J520" i="3"/>
  <c r="AY519" i="3"/>
  <c r="AI519" i="3"/>
  <c r="S519" i="3"/>
  <c r="BL518" i="3"/>
  <c r="AV518" i="3"/>
  <c r="AF518" i="3"/>
  <c r="P518" i="3"/>
  <c r="BI517" i="3"/>
  <c r="AS517" i="3"/>
  <c r="AC517" i="3"/>
  <c r="M517" i="3"/>
  <c r="BB516" i="3"/>
  <c r="AL516" i="3"/>
  <c r="V516" i="3"/>
  <c r="BK515" i="3"/>
  <c r="AU515" i="3"/>
  <c r="AE515" i="3"/>
  <c r="O515" i="3"/>
  <c r="BH514" i="3"/>
  <c r="AR514" i="3"/>
  <c r="AB514" i="3"/>
  <c r="L514" i="3"/>
  <c r="BE513" i="3"/>
  <c r="AO513" i="3"/>
  <c r="Y513" i="3"/>
  <c r="I513" i="3"/>
  <c r="AX512" i="3"/>
  <c r="AH512" i="3"/>
  <c r="R512" i="3"/>
  <c r="BG511" i="3"/>
  <c r="AQ511" i="3"/>
  <c r="AA511" i="3"/>
  <c r="K511" i="3"/>
  <c r="BD510" i="3"/>
  <c r="AN510" i="3"/>
  <c r="X510" i="3"/>
  <c r="H510" i="3"/>
  <c r="BA509" i="3"/>
  <c r="AK509" i="3"/>
  <c r="U509" i="3"/>
  <c r="BL554" i="3"/>
  <c r="AF554" i="3"/>
  <c r="BL553" i="3"/>
  <c r="AT553" i="3"/>
  <c r="AD553" i="3"/>
  <c r="N553" i="3"/>
  <c r="BC552" i="3"/>
  <c r="AM552" i="3"/>
  <c r="W552" i="3"/>
  <c r="G552" i="3"/>
  <c r="AZ551" i="3"/>
  <c r="AJ551" i="3"/>
  <c r="T551" i="3"/>
  <c r="BM550" i="3"/>
  <c r="AW550" i="3"/>
  <c r="AG550" i="3"/>
  <c r="Q550" i="3"/>
  <c r="BF549" i="3"/>
  <c r="AP549" i="3"/>
  <c r="Z549" i="3"/>
  <c r="J549" i="3"/>
  <c r="AY548" i="3"/>
  <c r="AI548" i="3"/>
  <c r="S548" i="3"/>
  <c r="BL547" i="3"/>
  <c r="AV547" i="3"/>
  <c r="AF547" i="3"/>
  <c r="P547" i="3"/>
  <c r="BI546" i="3"/>
  <c r="AS546" i="3"/>
  <c r="AC546" i="3"/>
  <c r="M546" i="3"/>
  <c r="BB545" i="3"/>
  <c r="AL545" i="3"/>
  <c r="V545" i="3"/>
  <c r="BK544" i="3"/>
  <c r="AU544" i="3"/>
  <c r="AE544" i="3"/>
  <c r="O544" i="3"/>
  <c r="BH543" i="3"/>
  <c r="AR543" i="3"/>
  <c r="AB543" i="3"/>
  <c r="L543" i="3"/>
  <c r="BE542" i="3"/>
  <c r="AO542" i="3"/>
  <c r="Y542" i="3"/>
  <c r="I542" i="3"/>
  <c r="AX541" i="3"/>
  <c r="AH541" i="3"/>
  <c r="R541" i="3"/>
  <c r="BG540" i="3"/>
  <c r="AQ540" i="3"/>
  <c r="AA540" i="3"/>
  <c r="K540" i="3"/>
  <c r="BC538" i="3"/>
  <c r="AM538" i="3"/>
  <c r="W538" i="3"/>
  <c r="G538" i="3"/>
  <c r="AZ537" i="3"/>
  <c r="AJ537" i="3"/>
  <c r="T537" i="3"/>
  <c r="BM536" i="3"/>
  <c r="AW536" i="3"/>
  <c r="AG536" i="3"/>
  <c r="Q536" i="3"/>
  <c r="BF535" i="3"/>
  <c r="AP535" i="3"/>
  <c r="Z535" i="3"/>
  <c r="J535" i="3"/>
  <c r="AY534" i="3"/>
  <c r="AI534" i="3"/>
  <c r="S534" i="3"/>
  <c r="BL533" i="3"/>
  <c r="AV533" i="3"/>
  <c r="AF533" i="3"/>
  <c r="P533" i="3"/>
  <c r="BI532" i="3"/>
  <c r="AS532" i="3"/>
  <c r="AC532" i="3"/>
  <c r="M532" i="3"/>
  <c r="BB531" i="3"/>
  <c r="AL531" i="3"/>
  <c r="V531" i="3"/>
  <c r="BK530" i="3"/>
  <c r="AU530" i="3"/>
  <c r="AE530" i="3"/>
  <c r="O530" i="3"/>
  <c r="BH529" i="3"/>
  <c r="AR529" i="3"/>
  <c r="AB529" i="3"/>
  <c r="L529" i="3"/>
  <c r="BE528" i="3"/>
  <c r="AO528" i="3"/>
  <c r="Y528" i="3"/>
  <c r="I528" i="3"/>
  <c r="AX527" i="3"/>
  <c r="AH527" i="3"/>
  <c r="R527" i="3"/>
  <c r="BG526" i="3"/>
  <c r="AQ526" i="3"/>
  <c r="AA526" i="3"/>
  <c r="K526" i="3"/>
  <c r="BD525" i="3"/>
  <c r="AN525" i="3"/>
  <c r="X525" i="3"/>
  <c r="H525" i="3"/>
  <c r="BA524" i="3"/>
  <c r="AK524" i="3"/>
  <c r="U524" i="3"/>
  <c r="BJ523" i="3"/>
  <c r="AT523" i="3"/>
  <c r="AD523" i="3"/>
  <c r="N523" i="3"/>
  <c r="BC522" i="3"/>
  <c r="AM522" i="3"/>
  <c r="W522" i="3"/>
  <c r="G522" i="3"/>
  <c r="AZ521" i="3"/>
  <c r="AJ521" i="3"/>
  <c r="T521" i="3"/>
  <c r="BM520" i="3"/>
  <c r="AW520" i="3"/>
  <c r="AG520" i="3"/>
  <c r="Q520" i="3"/>
  <c r="BF519" i="3"/>
  <c r="AP519" i="3"/>
  <c r="Z519" i="3"/>
  <c r="J519" i="3"/>
  <c r="AY518" i="3"/>
  <c r="AI518" i="3"/>
  <c r="S518" i="3"/>
  <c r="BL517" i="3"/>
  <c r="AV517" i="3"/>
  <c r="AF517" i="3"/>
  <c r="P517" i="3"/>
  <c r="BI516" i="3"/>
  <c r="AS516" i="3"/>
  <c r="AC516" i="3"/>
  <c r="M516" i="3"/>
  <c r="BB515" i="3"/>
  <c r="AL515" i="3"/>
  <c r="V515" i="3"/>
  <c r="BK514" i="3"/>
  <c r="AU514" i="3"/>
  <c r="AE514" i="3"/>
  <c r="O514" i="3"/>
  <c r="BH513" i="3"/>
  <c r="AR513" i="3"/>
  <c r="AB513" i="3"/>
  <c r="L513" i="3"/>
  <c r="BE512" i="3"/>
  <c r="AO512" i="3"/>
  <c r="Y512" i="3"/>
  <c r="I512" i="3"/>
  <c r="AX511" i="3"/>
  <c r="AH511" i="3"/>
  <c r="R511" i="3"/>
  <c r="BG510" i="3"/>
  <c r="AQ510" i="3"/>
  <c r="AA510" i="3"/>
  <c r="K510" i="3"/>
  <c r="BD509" i="3"/>
  <c r="AN509" i="3"/>
  <c r="X509" i="3"/>
  <c r="BK554" i="3"/>
  <c r="AE554" i="3"/>
  <c r="BJ553" i="3"/>
  <c r="AS553" i="3"/>
  <c r="AC553" i="3"/>
  <c r="M553" i="3"/>
  <c r="BB552" i="3"/>
  <c r="AL552" i="3"/>
  <c r="V552" i="3"/>
  <c r="BK551" i="3"/>
  <c r="AU551" i="3"/>
  <c r="AE551" i="3"/>
  <c r="O551" i="3"/>
  <c r="BH550" i="3"/>
  <c r="AR550" i="3"/>
  <c r="AB550" i="3"/>
  <c r="L550" i="3"/>
  <c r="BE549" i="3"/>
  <c r="AO549" i="3"/>
  <c r="Y549" i="3"/>
  <c r="I549" i="3"/>
  <c r="AX548" i="3"/>
  <c r="AH548" i="3"/>
  <c r="R548" i="3"/>
  <c r="BG547" i="3"/>
  <c r="AQ547" i="3"/>
  <c r="AA547" i="3"/>
  <c r="K547" i="3"/>
  <c r="BD546" i="3"/>
  <c r="AN546" i="3"/>
  <c r="X546" i="3"/>
  <c r="H546" i="3"/>
  <c r="BA545" i="3"/>
  <c r="AK545" i="3"/>
  <c r="U545" i="3"/>
  <c r="BJ544" i="3"/>
  <c r="AT544" i="3"/>
  <c r="AD544" i="3"/>
  <c r="N544" i="3"/>
  <c r="BC543" i="3"/>
  <c r="AM543" i="3"/>
  <c r="W543" i="3"/>
  <c r="G543" i="3"/>
  <c r="AZ542" i="3"/>
  <c r="AJ542" i="3"/>
  <c r="T542" i="3"/>
  <c r="BM541" i="3"/>
  <c r="AW541" i="3"/>
  <c r="AG541" i="3"/>
  <c r="Q541" i="3"/>
  <c r="BF540" i="3"/>
  <c r="AP540" i="3"/>
  <c r="Z540" i="3"/>
  <c r="J540" i="3"/>
  <c r="AX538" i="3"/>
  <c r="AH538" i="3"/>
  <c r="R538" i="3"/>
  <c r="BG537" i="3"/>
  <c r="AQ537" i="3"/>
  <c r="AA537" i="3"/>
  <c r="K537" i="3"/>
  <c r="BD536" i="3"/>
  <c r="AN536" i="3"/>
  <c r="X536" i="3"/>
  <c r="H536" i="3"/>
  <c r="BA535" i="3"/>
  <c r="AK535" i="3"/>
  <c r="U535" i="3"/>
  <c r="BJ534" i="3"/>
  <c r="AT534" i="3"/>
  <c r="AD534" i="3"/>
  <c r="N534" i="3"/>
  <c r="BC533" i="3"/>
  <c r="AM533" i="3"/>
  <c r="W533" i="3"/>
  <c r="G533" i="3"/>
  <c r="AZ532" i="3"/>
  <c r="AJ532" i="3"/>
  <c r="T532" i="3"/>
  <c r="BM531" i="3"/>
  <c r="AW531" i="3"/>
  <c r="AG531" i="3"/>
  <c r="Q531" i="3"/>
  <c r="BF530" i="3"/>
  <c r="AP530" i="3"/>
  <c r="Z530" i="3"/>
  <c r="J530" i="3"/>
  <c r="AY529" i="3"/>
  <c r="AI529" i="3"/>
  <c r="S529" i="3"/>
  <c r="BL528" i="3"/>
  <c r="AV528" i="3"/>
  <c r="AF528" i="3"/>
  <c r="P528" i="3"/>
  <c r="BI527" i="3"/>
  <c r="AS527" i="3"/>
  <c r="AC527" i="3"/>
  <c r="M527" i="3"/>
  <c r="BB526" i="3"/>
  <c r="AL526" i="3"/>
  <c r="V526" i="3"/>
  <c r="BK525" i="3"/>
  <c r="AU525" i="3"/>
  <c r="AE525" i="3"/>
  <c r="O525" i="3"/>
  <c r="BH524" i="3"/>
  <c r="AR524" i="3"/>
  <c r="AB524" i="3"/>
  <c r="L524" i="3"/>
  <c r="BE523" i="3"/>
  <c r="AO523" i="3"/>
  <c r="Y523" i="3"/>
  <c r="I523" i="3"/>
  <c r="AX522" i="3"/>
  <c r="AH522" i="3"/>
  <c r="R522" i="3"/>
  <c r="BG521" i="3"/>
  <c r="AQ521" i="3"/>
  <c r="AA521" i="3"/>
  <c r="K521" i="3"/>
  <c r="BD520" i="3"/>
  <c r="AN520" i="3"/>
  <c r="X520" i="3"/>
  <c r="H520" i="3"/>
  <c r="BA519" i="3"/>
  <c r="AK519" i="3"/>
  <c r="U519" i="3"/>
  <c r="BJ518" i="3"/>
  <c r="AT518" i="3"/>
  <c r="AD518" i="3"/>
  <c r="N518" i="3"/>
  <c r="BC517" i="3"/>
  <c r="AM517" i="3"/>
  <c r="W517" i="3"/>
  <c r="G517" i="3"/>
  <c r="AZ516" i="3"/>
  <c r="AJ516" i="3"/>
  <c r="T516" i="3"/>
  <c r="BM515" i="3"/>
  <c r="AW515" i="3"/>
  <c r="AG515" i="3"/>
  <c r="Q515" i="3"/>
  <c r="BF514" i="3"/>
  <c r="AP514" i="3"/>
  <c r="Z514" i="3"/>
  <c r="J514" i="3"/>
  <c r="AY513" i="3"/>
  <c r="AI513" i="3"/>
  <c r="S513" i="3"/>
  <c r="BL512" i="3"/>
  <c r="AV512" i="3"/>
  <c r="AF512" i="3"/>
  <c r="P512" i="3"/>
  <c r="BI511" i="3"/>
  <c r="AS511" i="3"/>
  <c r="AC511" i="3"/>
  <c r="M511" i="3"/>
  <c r="BB510" i="3"/>
  <c r="AL510" i="3"/>
  <c r="V510" i="3"/>
  <c r="BH554" i="3"/>
  <c r="AB554" i="3"/>
  <c r="BD553" i="3"/>
  <c r="AN553" i="3"/>
  <c r="X553" i="3"/>
  <c r="H553" i="3"/>
  <c r="BA552" i="3"/>
  <c r="AK552" i="3"/>
  <c r="U552" i="3"/>
  <c r="BJ551" i="3"/>
  <c r="AT551" i="3"/>
  <c r="AD551" i="3"/>
  <c r="N551" i="3"/>
  <c r="BC550" i="3"/>
  <c r="AM550" i="3"/>
  <c r="W550" i="3"/>
  <c r="G550" i="3"/>
  <c r="AZ549" i="3"/>
  <c r="AJ549" i="3"/>
  <c r="T549" i="3"/>
  <c r="BM548" i="3"/>
  <c r="AW548" i="3"/>
  <c r="AG548" i="3"/>
  <c r="Q548" i="3"/>
  <c r="BF547" i="3"/>
  <c r="AP547" i="3"/>
  <c r="Z547" i="3"/>
  <c r="J547" i="3"/>
  <c r="AY546" i="3"/>
  <c r="AI546" i="3"/>
  <c r="S546" i="3"/>
  <c r="BL545" i="3"/>
  <c r="AV545" i="3"/>
  <c r="AF545" i="3"/>
  <c r="P545" i="3"/>
  <c r="BI544" i="3"/>
  <c r="AS544" i="3"/>
  <c r="AC544" i="3"/>
  <c r="M544" i="3"/>
  <c r="BB543" i="3"/>
  <c r="AL543" i="3"/>
  <c r="V543" i="3"/>
  <c r="BK542" i="3"/>
  <c r="AU542" i="3"/>
  <c r="AE542" i="3"/>
  <c r="O542" i="3"/>
  <c r="BH541" i="3"/>
  <c r="AR541" i="3"/>
  <c r="AB541" i="3"/>
  <c r="L541" i="3"/>
  <c r="BE540" i="3"/>
  <c r="AO540" i="3"/>
  <c r="Y540" i="3"/>
  <c r="I540" i="3"/>
  <c r="BA538" i="3"/>
  <c r="AK538" i="3"/>
  <c r="U538" i="3"/>
  <c r="BJ537" i="3"/>
  <c r="AT537" i="3"/>
  <c r="AD537" i="3"/>
  <c r="N537" i="3"/>
  <c r="BC536" i="3"/>
  <c r="AM536" i="3"/>
  <c r="W536" i="3"/>
  <c r="G536" i="3"/>
  <c r="AZ535" i="3"/>
  <c r="AJ535" i="3"/>
  <c r="T535" i="3"/>
  <c r="BM534" i="3"/>
  <c r="AW534" i="3"/>
  <c r="AG534" i="3"/>
  <c r="Q534" i="3"/>
  <c r="BF533" i="3"/>
  <c r="AP533" i="3"/>
  <c r="Z533" i="3"/>
  <c r="J533" i="3"/>
  <c r="AY532" i="3"/>
  <c r="AI532" i="3"/>
  <c r="S532" i="3"/>
  <c r="BL531" i="3"/>
  <c r="AV531" i="3"/>
  <c r="AF531" i="3"/>
  <c r="P531" i="3"/>
  <c r="BI530" i="3"/>
  <c r="AS530" i="3"/>
  <c r="AC530" i="3"/>
  <c r="M530" i="3"/>
  <c r="BB529" i="3"/>
  <c r="AL529" i="3"/>
  <c r="V529" i="3"/>
  <c r="BK528" i="3"/>
  <c r="AU528" i="3"/>
  <c r="AE528" i="3"/>
  <c r="O528" i="3"/>
  <c r="BH527" i="3"/>
  <c r="AR527" i="3"/>
  <c r="AB527" i="3"/>
  <c r="L527" i="3"/>
  <c r="BE526" i="3"/>
  <c r="AO526" i="3"/>
  <c r="Y526" i="3"/>
  <c r="I526" i="3"/>
  <c r="AX525" i="3"/>
  <c r="AH525" i="3"/>
  <c r="R525" i="3"/>
  <c r="BG524" i="3"/>
  <c r="AQ524" i="3"/>
  <c r="AA524" i="3"/>
  <c r="K524" i="3"/>
  <c r="BD523" i="3"/>
  <c r="AN523" i="3"/>
  <c r="X523" i="3"/>
  <c r="H523" i="3"/>
  <c r="BA522" i="3"/>
  <c r="AK522" i="3"/>
  <c r="U522" i="3"/>
  <c r="BJ521" i="3"/>
  <c r="AT521" i="3"/>
  <c r="AD521" i="3"/>
  <c r="N521" i="3"/>
  <c r="BC520" i="3"/>
  <c r="AM520" i="3"/>
  <c r="W520" i="3"/>
  <c r="G520" i="3"/>
  <c r="AZ519" i="3"/>
  <c r="AJ519" i="3"/>
  <c r="T519" i="3"/>
  <c r="BM518" i="3"/>
  <c r="AW518" i="3"/>
  <c r="AG518" i="3"/>
  <c r="Q518" i="3"/>
  <c r="BF517" i="3"/>
  <c r="AP517" i="3"/>
  <c r="Z517" i="3"/>
  <c r="J517" i="3"/>
  <c r="AY516" i="3"/>
  <c r="AI516" i="3"/>
  <c r="S516" i="3"/>
  <c r="BL515" i="3"/>
  <c r="AV515" i="3"/>
  <c r="AF515" i="3"/>
  <c r="P515" i="3"/>
  <c r="BI514" i="3"/>
  <c r="AS514" i="3"/>
  <c r="AC514" i="3"/>
  <c r="M514" i="3"/>
  <c r="BB513" i="3"/>
  <c r="AL513" i="3"/>
  <c r="V513" i="3"/>
  <c r="BK512" i="3"/>
  <c r="AU512" i="3"/>
  <c r="AE512" i="3"/>
  <c r="O512" i="3"/>
  <c r="BH511" i="3"/>
  <c r="AR511" i="3"/>
  <c r="AB511" i="3"/>
  <c r="L511" i="3"/>
  <c r="BE510" i="3"/>
  <c r="AO510" i="3"/>
  <c r="Y510" i="3"/>
  <c r="I510" i="3"/>
  <c r="AM509" i="3"/>
  <c r="H509" i="3"/>
  <c r="BA508" i="3"/>
  <c r="AK508" i="3"/>
  <c r="U508" i="3"/>
  <c r="BJ507" i="3"/>
  <c r="AT507" i="3"/>
  <c r="AD507" i="3"/>
  <c r="N507" i="3"/>
  <c r="BC506" i="3"/>
  <c r="AM506" i="3"/>
  <c r="W506" i="3"/>
  <c r="G506" i="3"/>
  <c r="AZ505" i="3"/>
  <c r="AJ505" i="3"/>
  <c r="T505" i="3"/>
  <c r="BM504" i="3"/>
  <c r="AW504" i="3"/>
  <c r="AG504" i="3"/>
  <c r="Q504" i="3"/>
  <c r="BF503" i="3"/>
  <c r="AP503" i="3"/>
  <c r="Z503" i="3"/>
  <c r="J503" i="3"/>
  <c r="AY502" i="3"/>
  <c r="AI502" i="3"/>
  <c r="S502" i="3"/>
  <c r="BL501" i="3"/>
  <c r="AV501" i="3"/>
  <c r="AF501" i="3"/>
  <c r="P501" i="3"/>
  <c r="BI500" i="3"/>
  <c r="AS500" i="3"/>
  <c r="AC500" i="3"/>
  <c r="M500" i="3"/>
  <c r="BB499" i="3"/>
  <c r="AL499" i="3"/>
  <c r="V499" i="3"/>
  <c r="BM496" i="3"/>
  <c r="AW496" i="3"/>
  <c r="AG496" i="3"/>
  <c r="Q496" i="3"/>
  <c r="BF495" i="3"/>
  <c r="AP495" i="3"/>
  <c r="Z495" i="3"/>
  <c r="J495" i="3"/>
  <c r="AY494" i="3"/>
  <c r="AI494" i="3"/>
  <c r="S494" i="3"/>
  <c r="BL493" i="3"/>
  <c r="AV493" i="3"/>
  <c r="AF493" i="3"/>
  <c r="P493" i="3"/>
  <c r="BI492" i="3"/>
  <c r="AS492" i="3"/>
  <c r="AC492" i="3"/>
  <c r="M492" i="3"/>
  <c r="BB491" i="3"/>
  <c r="AL491" i="3"/>
  <c r="V491" i="3"/>
  <c r="BK490" i="3"/>
  <c r="AU490" i="3"/>
  <c r="AE490" i="3"/>
  <c r="O490" i="3"/>
  <c r="BH489" i="3"/>
  <c r="AR489" i="3"/>
  <c r="AB489" i="3"/>
  <c r="L489" i="3"/>
  <c r="BE488" i="3"/>
  <c r="AO488" i="3"/>
  <c r="Y488" i="3"/>
  <c r="I488" i="3"/>
  <c r="AX487" i="3"/>
  <c r="AH487" i="3"/>
  <c r="R487" i="3"/>
  <c r="BG486" i="3"/>
  <c r="AQ486" i="3"/>
  <c r="AA486" i="3"/>
  <c r="K486" i="3"/>
  <c r="BD485" i="3"/>
  <c r="AN485" i="3"/>
  <c r="X485" i="3"/>
  <c r="H485" i="3"/>
  <c r="BA484" i="3"/>
  <c r="AK484" i="3"/>
  <c r="U484" i="3"/>
  <c r="BJ483" i="3"/>
  <c r="AT483" i="3"/>
  <c r="AD483" i="3"/>
  <c r="N483" i="3"/>
  <c r="BC482" i="3"/>
  <c r="AM482" i="3"/>
  <c r="W482" i="3"/>
  <c r="G482" i="3"/>
  <c r="AZ481" i="3"/>
  <c r="AJ481" i="3"/>
  <c r="T481" i="3"/>
  <c r="BM480" i="3"/>
  <c r="AW480" i="3"/>
  <c r="AG480" i="3"/>
  <c r="Q480" i="3"/>
  <c r="BF479" i="3"/>
  <c r="AP479" i="3"/>
  <c r="Z479" i="3"/>
  <c r="J479" i="3"/>
  <c r="AY478" i="3"/>
  <c r="AI478" i="3"/>
  <c r="S478" i="3"/>
  <c r="BL477" i="3"/>
  <c r="AV477" i="3"/>
  <c r="AF477" i="3"/>
  <c r="P477" i="3"/>
  <c r="BI476" i="3"/>
  <c r="AS476" i="3"/>
  <c r="AC476" i="3"/>
  <c r="M476" i="3"/>
  <c r="BB475" i="3"/>
  <c r="AL475" i="3"/>
  <c r="V475" i="3"/>
  <c r="BK474" i="3"/>
  <c r="AU474" i="3"/>
  <c r="AE474" i="3"/>
  <c r="O474" i="3"/>
  <c r="BH473" i="3"/>
  <c r="AR473" i="3"/>
  <c r="AB473" i="3"/>
  <c r="L473" i="3"/>
  <c r="BE472" i="3"/>
  <c r="AO472" i="3"/>
  <c r="Y472" i="3"/>
  <c r="I472" i="3"/>
  <c r="AX471" i="3"/>
  <c r="AH471" i="3"/>
  <c r="R471" i="3"/>
  <c r="BG470" i="3"/>
  <c r="AQ470" i="3"/>
  <c r="AA470" i="3"/>
  <c r="K470" i="3"/>
  <c r="BD469" i="3"/>
  <c r="AN469" i="3"/>
  <c r="X469" i="3"/>
  <c r="H469" i="3"/>
  <c r="BA468" i="3"/>
  <c r="AK468" i="3"/>
  <c r="U468" i="3"/>
  <c r="BJ467" i="3"/>
  <c r="AT467" i="3"/>
  <c r="AD467" i="3"/>
  <c r="N467" i="3"/>
  <c r="BC466" i="3"/>
  <c r="AM466" i="3"/>
  <c r="W466" i="3"/>
  <c r="G466" i="3"/>
  <c r="AZ465" i="3"/>
  <c r="AJ465" i="3"/>
  <c r="T465" i="3"/>
  <c r="BM464" i="3"/>
  <c r="AW464" i="3"/>
  <c r="AG464" i="3"/>
  <c r="Q464" i="3"/>
  <c r="BF463" i="3"/>
  <c r="AP463" i="3"/>
  <c r="Z463" i="3"/>
  <c r="J463" i="3"/>
  <c r="AY462" i="3"/>
  <c r="AI462" i="3"/>
  <c r="S462" i="3"/>
  <c r="BJ509" i="3"/>
  <c r="AD509" i="3"/>
  <c r="BL508" i="3"/>
  <c r="AV508" i="3"/>
  <c r="AF508" i="3"/>
  <c r="P508" i="3"/>
  <c r="BI507" i="3"/>
  <c r="AS507" i="3"/>
  <c r="AC507" i="3"/>
  <c r="M507" i="3"/>
  <c r="BB506" i="3"/>
  <c r="AL506" i="3"/>
  <c r="V506" i="3"/>
  <c r="BK505" i="3"/>
  <c r="AU505" i="3"/>
  <c r="AE505" i="3"/>
  <c r="O505" i="3"/>
  <c r="BH504" i="3"/>
  <c r="AR504" i="3"/>
  <c r="AB504" i="3"/>
  <c r="L504" i="3"/>
  <c r="BE503" i="3"/>
  <c r="AO503" i="3"/>
  <c r="Y503" i="3"/>
  <c r="I503" i="3"/>
  <c r="AX502" i="3"/>
  <c r="AH502" i="3"/>
  <c r="R502" i="3"/>
  <c r="BG501" i="3"/>
  <c r="AQ501" i="3"/>
  <c r="AA501" i="3"/>
  <c r="K501" i="3"/>
  <c r="BD500" i="3"/>
  <c r="AN500" i="3"/>
  <c r="X500" i="3"/>
  <c r="H500" i="3"/>
  <c r="BA499" i="3"/>
  <c r="AK499" i="3"/>
  <c r="U499" i="3"/>
  <c r="BL496" i="3"/>
  <c r="AV496" i="3"/>
  <c r="AF496" i="3"/>
  <c r="P496" i="3"/>
  <c r="BI495" i="3"/>
  <c r="AS495" i="3"/>
  <c r="AC495" i="3"/>
  <c r="M495" i="3"/>
  <c r="BB494" i="3"/>
  <c r="AL494" i="3"/>
  <c r="V494" i="3"/>
  <c r="BK493" i="3"/>
  <c r="AU493" i="3"/>
  <c r="AE493" i="3"/>
  <c r="O493" i="3"/>
  <c r="BH492" i="3"/>
  <c r="AR492" i="3"/>
  <c r="AB492" i="3"/>
  <c r="L492" i="3"/>
  <c r="BE491" i="3"/>
  <c r="AO491" i="3"/>
  <c r="Y491" i="3"/>
  <c r="I491" i="3"/>
  <c r="AX490" i="3"/>
  <c r="AH490" i="3"/>
  <c r="R490" i="3"/>
  <c r="BG489" i="3"/>
  <c r="AQ489" i="3"/>
  <c r="AA489" i="3"/>
  <c r="K489" i="3"/>
  <c r="BD488" i="3"/>
  <c r="AN488" i="3"/>
  <c r="X488" i="3"/>
  <c r="H488" i="3"/>
  <c r="BA487" i="3"/>
  <c r="AK487" i="3"/>
  <c r="U487" i="3"/>
  <c r="BJ486" i="3"/>
  <c r="AT486" i="3"/>
  <c r="AD486" i="3"/>
  <c r="N486" i="3"/>
  <c r="BC485" i="3"/>
  <c r="AM485" i="3"/>
  <c r="W485" i="3"/>
  <c r="G485" i="3"/>
  <c r="AZ484" i="3"/>
  <c r="AJ484" i="3"/>
  <c r="T484" i="3"/>
  <c r="BM483" i="3"/>
  <c r="AW483" i="3"/>
  <c r="AG483" i="3"/>
  <c r="Q483" i="3"/>
  <c r="BF482" i="3"/>
  <c r="AP482" i="3"/>
  <c r="Z482" i="3"/>
  <c r="J482" i="3"/>
  <c r="AY481" i="3"/>
  <c r="AI481" i="3"/>
  <c r="S481" i="3"/>
  <c r="BL480" i="3"/>
  <c r="AV480" i="3"/>
  <c r="AF480" i="3"/>
  <c r="P480" i="3"/>
  <c r="BI479" i="3"/>
  <c r="AS479" i="3"/>
  <c r="AC479" i="3"/>
  <c r="M479" i="3"/>
  <c r="BB478" i="3"/>
  <c r="AL478" i="3"/>
  <c r="V478" i="3"/>
  <c r="BK477" i="3"/>
  <c r="AU477" i="3"/>
  <c r="AE477" i="3"/>
  <c r="O477" i="3"/>
  <c r="BH476" i="3"/>
  <c r="AR476" i="3"/>
  <c r="AB476" i="3"/>
  <c r="L476" i="3"/>
  <c r="BE475" i="3"/>
  <c r="AO475" i="3"/>
  <c r="Y475" i="3"/>
  <c r="I475" i="3"/>
  <c r="AX474" i="3"/>
  <c r="AH474" i="3"/>
  <c r="R474" i="3"/>
  <c r="BG473" i="3"/>
  <c r="AQ473" i="3"/>
  <c r="AA473" i="3"/>
  <c r="K473" i="3"/>
  <c r="BD472" i="3"/>
  <c r="AN472" i="3"/>
  <c r="X472" i="3"/>
  <c r="H472" i="3"/>
  <c r="BA471" i="3"/>
  <c r="AK471" i="3"/>
  <c r="U471" i="3"/>
  <c r="BJ470" i="3"/>
  <c r="AT470" i="3"/>
  <c r="AD470" i="3"/>
  <c r="N470" i="3"/>
  <c r="BC469" i="3"/>
  <c r="AM469" i="3"/>
  <c r="W469" i="3"/>
  <c r="G469" i="3"/>
  <c r="AZ468" i="3"/>
  <c r="AJ468" i="3"/>
  <c r="T468" i="3"/>
  <c r="BM467" i="3"/>
  <c r="AW467" i="3"/>
  <c r="AG467" i="3"/>
  <c r="Q467" i="3"/>
  <c r="BF466" i="3"/>
  <c r="AP466" i="3"/>
  <c r="Z466" i="3"/>
  <c r="J466" i="3"/>
  <c r="AY465" i="3"/>
  <c r="AI465" i="3"/>
  <c r="S465" i="3"/>
  <c r="BL464" i="3"/>
  <c r="AV464" i="3"/>
  <c r="AF464" i="3"/>
  <c r="P464" i="3"/>
  <c r="BI463" i="3"/>
  <c r="AS463" i="3"/>
  <c r="AC463" i="3"/>
  <c r="M463" i="3"/>
  <c r="BB462" i="3"/>
  <c r="AY509" i="3"/>
  <c r="S509" i="3"/>
  <c r="BC508" i="3"/>
  <c r="AM508" i="3"/>
  <c r="W508" i="3"/>
  <c r="G508" i="3"/>
  <c r="AZ507" i="3"/>
  <c r="AJ507" i="3"/>
  <c r="T507" i="3"/>
  <c r="BM506" i="3"/>
  <c r="AW506" i="3"/>
  <c r="AG506" i="3"/>
  <c r="Q506" i="3"/>
  <c r="BF505" i="3"/>
  <c r="AP505" i="3"/>
  <c r="Z505" i="3"/>
  <c r="J505" i="3"/>
  <c r="AY504" i="3"/>
  <c r="AI504" i="3"/>
  <c r="S504" i="3"/>
  <c r="BL503" i="3"/>
  <c r="AV503" i="3"/>
  <c r="AF503" i="3"/>
  <c r="P503" i="3"/>
  <c r="BI502" i="3"/>
  <c r="AS502" i="3"/>
  <c r="AC502" i="3"/>
  <c r="M502" i="3"/>
  <c r="BB501" i="3"/>
  <c r="AL501" i="3"/>
  <c r="V501" i="3"/>
  <c r="BK500" i="3"/>
  <c r="AU500" i="3"/>
  <c r="AE500" i="3"/>
  <c r="O500" i="3"/>
  <c r="BH499" i="3"/>
  <c r="AR499" i="3"/>
  <c r="AB499" i="3"/>
  <c r="L499" i="3"/>
  <c r="BC496" i="3"/>
  <c r="AM496" i="3"/>
  <c r="W496" i="3"/>
  <c r="G496" i="3"/>
  <c r="AZ495" i="3"/>
  <c r="AJ495" i="3"/>
  <c r="T495" i="3"/>
  <c r="BM494" i="3"/>
  <c r="AW494" i="3"/>
  <c r="AG494" i="3"/>
  <c r="Q494" i="3"/>
  <c r="BF493" i="3"/>
  <c r="AP493" i="3"/>
  <c r="Z493" i="3"/>
  <c r="J493" i="3"/>
  <c r="AY492" i="3"/>
  <c r="AI492" i="3"/>
  <c r="S492" i="3"/>
  <c r="BL491" i="3"/>
  <c r="AV491" i="3"/>
  <c r="AF491" i="3"/>
  <c r="P491" i="3"/>
  <c r="BI490" i="3"/>
  <c r="AS490" i="3"/>
  <c r="AC490" i="3"/>
  <c r="M490" i="3"/>
  <c r="BB489" i="3"/>
  <c r="AL489" i="3"/>
  <c r="V489" i="3"/>
  <c r="BK488" i="3"/>
  <c r="AU488" i="3"/>
  <c r="AE488" i="3"/>
  <c r="O488" i="3"/>
  <c r="BH487" i="3"/>
  <c r="AR487" i="3"/>
  <c r="AB487" i="3"/>
  <c r="L487" i="3"/>
  <c r="BE486" i="3"/>
  <c r="AO486" i="3"/>
  <c r="Y486" i="3"/>
  <c r="I486" i="3"/>
  <c r="AX485" i="3"/>
  <c r="AH485" i="3"/>
  <c r="R485" i="3"/>
  <c r="BG484" i="3"/>
  <c r="AQ484" i="3"/>
  <c r="AA484" i="3"/>
  <c r="K484" i="3"/>
  <c r="BD483" i="3"/>
  <c r="AN483" i="3"/>
  <c r="X483" i="3"/>
  <c r="H483" i="3"/>
  <c r="BA482" i="3"/>
  <c r="AK482" i="3"/>
  <c r="U482" i="3"/>
  <c r="BJ481" i="3"/>
  <c r="AT481" i="3"/>
  <c r="AD481" i="3"/>
  <c r="N481" i="3"/>
  <c r="BC480" i="3"/>
  <c r="AM480" i="3"/>
  <c r="W480" i="3"/>
  <c r="G480" i="3"/>
  <c r="AZ479" i="3"/>
  <c r="AJ479" i="3"/>
  <c r="T479" i="3"/>
  <c r="BM478" i="3"/>
  <c r="AW478" i="3"/>
  <c r="AG478" i="3"/>
  <c r="Q478" i="3"/>
  <c r="BF477" i="3"/>
  <c r="AP477" i="3"/>
  <c r="Z477" i="3"/>
  <c r="J477" i="3"/>
  <c r="AY476" i="3"/>
  <c r="AI476" i="3"/>
  <c r="S476" i="3"/>
  <c r="BL475" i="3"/>
  <c r="AV475" i="3"/>
  <c r="AF475" i="3"/>
  <c r="P475" i="3"/>
  <c r="BI474" i="3"/>
  <c r="AS474" i="3"/>
  <c r="AC474" i="3"/>
  <c r="M474" i="3"/>
  <c r="BB473" i="3"/>
  <c r="AL473" i="3"/>
  <c r="V473" i="3"/>
  <c r="BK472" i="3"/>
  <c r="AU472" i="3"/>
  <c r="AE472" i="3"/>
  <c r="O472" i="3"/>
  <c r="BH471" i="3"/>
  <c r="AR471" i="3"/>
  <c r="AB471" i="3"/>
  <c r="L471" i="3"/>
  <c r="BE470" i="3"/>
  <c r="AO470" i="3"/>
  <c r="Y470" i="3"/>
  <c r="I470" i="3"/>
  <c r="AX469" i="3"/>
  <c r="AH469" i="3"/>
  <c r="R469" i="3"/>
  <c r="BG468" i="3"/>
  <c r="AQ468" i="3"/>
  <c r="AA468" i="3"/>
  <c r="K468" i="3"/>
  <c r="BD467" i="3"/>
  <c r="AN467" i="3"/>
  <c r="X467" i="3"/>
  <c r="H467" i="3"/>
  <c r="BA466" i="3"/>
  <c r="AK466" i="3"/>
  <c r="U466" i="3"/>
  <c r="BJ465" i="3"/>
  <c r="AT465" i="3"/>
  <c r="AD465" i="3"/>
  <c r="N465" i="3"/>
  <c r="BC464" i="3"/>
  <c r="AM464" i="3"/>
  <c r="W464" i="3"/>
  <c r="G464" i="3"/>
  <c r="AH509" i="3"/>
  <c r="BJ508" i="3"/>
  <c r="AT508" i="3"/>
  <c r="AD508" i="3"/>
  <c r="N508" i="3"/>
  <c r="BC507" i="3"/>
  <c r="AM507" i="3"/>
  <c r="W507" i="3"/>
  <c r="G507" i="3"/>
  <c r="AZ506" i="3"/>
  <c r="AJ506" i="3"/>
  <c r="T506" i="3"/>
  <c r="BM505" i="3"/>
  <c r="AW505" i="3"/>
  <c r="AG505" i="3"/>
  <c r="Q505" i="3"/>
  <c r="BF504" i="3"/>
  <c r="AP504" i="3"/>
  <c r="Z504" i="3"/>
  <c r="J504" i="3"/>
  <c r="AY503" i="3"/>
  <c r="AI503" i="3"/>
  <c r="S503" i="3"/>
  <c r="BL502" i="3"/>
  <c r="AV502" i="3"/>
  <c r="AF502" i="3"/>
  <c r="P502" i="3"/>
  <c r="BI501" i="3"/>
  <c r="AS501" i="3"/>
  <c r="AC501" i="3"/>
  <c r="M501" i="3"/>
  <c r="BB500" i="3"/>
  <c r="AL500" i="3"/>
  <c r="V500" i="3"/>
  <c r="BK499" i="3"/>
  <c r="AU499" i="3"/>
  <c r="AE499" i="3"/>
  <c r="O499" i="3"/>
  <c r="BF496" i="3"/>
  <c r="AP496" i="3"/>
  <c r="Z496" i="3"/>
  <c r="J496" i="3"/>
  <c r="AY495" i="3"/>
  <c r="AI495" i="3"/>
  <c r="S495" i="3"/>
  <c r="BL494" i="3"/>
  <c r="AV494" i="3"/>
  <c r="AF494" i="3"/>
  <c r="P494" i="3"/>
  <c r="BI493" i="3"/>
  <c r="AS493" i="3"/>
  <c r="AC493" i="3"/>
  <c r="M493" i="3"/>
  <c r="BB492" i="3"/>
  <c r="AL492" i="3"/>
  <c r="V492" i="3"/>
  <c r="BK491" i="3"/>
  <c r="AU491" i="3"/>
  <c r="AE491" i="3"/>
  <c r="O491" i="3"/>
  <c r="BH490" i="3"/>
  <c r="AR490" i="3"/>
  <c r="AB490" i="3"/>
  <c r="L490" i="3"/>
  <c r="BE489" i="3"/>
  <c r="AO489" i="3"/>
  <c r="Y489" i="3"/>
  <c r="I489" i="3"/>
  <c r="AX488" i="3"/>
  <c r="AH488" i="3"/>
  <c r="R488" i="3"/>
  <c r="BG487" i="3"/>
  <c r="AQ487" i="3"/>
  <c r="AA487" i="3"/>
  <c r="K487" i="3"/>
  <c r="BD486" i="3"/>
  <c r="AN486" i="3"/>
  <c r="X486" i="3"/>
  <c r="H486" i="3"/>
  <c r="BA485" i="3"/>
  <c r="AK485" i="3"/>
  <c r="U485" i="3"/>
  <c r="BJ484" i="3"/>
  <c r="AT484" i="3"/>
  <c r="AD484" i="3"/>
  <c r="N484" i="3"/>
  <c r="BC483" i="3"/>
  <c r="AM483" i="3"/>
  <c r="W483" i="3"/>
  <c r="G483" i="3"/>
  <c r="AZ482" i="3"/>
  <c r="AJ482" i="3"/>
  <c r="T482" i="3"/>
  <c r="BM481" i="3"/>
  <c r="AW481" i="3"/>
  <c r="AG481" i="3"/>
  <c r="Q481" i="3"/>
  <c r="BF480" i="3"/>
  <c r="AP480" i="3"/>
  <c r="Z480" i="3"/>
  <c r="J480" i="3"/>
  <c r="AY479" i="3"/>
  <c r="AI479" i="3"/>
  <c r="S479" i="3"/>
  <c r="BL478" i="3"/>
  <c r="AV478" i="3"/>
  <c r="AF478" i="3"/>
  <c r="P478" i="3"/>
  <c r="BI477" i="3"/>
  <c r="AS477" i="3"/>
  <c r="AC477" i="3"/>
  <c r="M477" i="3"/>
  <c r="BB476" i="3"/>
  <c r="AL476" i="3"/>
  <c r="V476" i="3"/>
  <c r="BK475" i="3"/>
  <c r="AU475" i="3"/>
  <c r="AE475" i="3"/>
  <c r="O475" i="3"/>
  <c r="BH474" i="3"/>
  <c r="AR474" i="3"/>
  <c r="AB474" i="3"/>
  <c r="L474" i="3"/>
  <c r="BE473" i="3"/>
  <c r="AO473" i="3"/>
  <c r="Y473" i="3"/>
  <c r="I473" i="3"/>
  <c r="AX472" i="3"/>
  <c r="AH472" i="3"/>
  <c r="R472" i="3"/>
  <c r="BG471" i="3"/>
  <c r="AQ471" i="3"/>
  <c r="AA471" i="3"/>
  <c r="K471" i="3"/>
  <c r="BD470" i="3"/>
  <c r="AN470" i="3"/>
  <c r="X470" i="3"/>
  <c r="H470" i="3"/>
  <c r="BA469" i="3"/>
  <c r="AK469" i="3"/>
  <c r="U469" i="3"/>
  <c r="BJ468" i="3"/>
  <c r="AT468" i="3"/>
  <c r="AD468" i="3"/>
  <c r="N468" i="3"/>
  <c r="BC467" i="3"/>
  <c r="AM467" i="3"/>
  <c r="W467" i="3"/>
  <c r="G467" i="3"/>
  <c r="AZ466" i="3"/>
  <c r="AJ466" i="3"/>
  <c r="T466" i="3"/>
  <c r="BM465" i="3"/>
  <c r="AW465" i="3"/>
  <c r="AG465" i="3"/>
  <c r="Q465" i="3"/>
  <c r="BF464" i="3"/>
  <c r="AP464" i="3"/>
  <c r="Z464" i="3"/>
  <c r="J464" i="3"/>
  <c r="AY463" i="3"/>
  <c r="AI463" i="3"/>
  <c r="S463" i="3"/>
  <c r="BD463" i="3"/>
  <c r="BI462" i="3"/>
  <c r="AH462" i="3"/>
  <c r="M462" i="3"/>
  <c r="BD461" i="3"/>
  <c r="AN461" i="3"/>
  <c r="X461" i="3"/>
  <c r="H461" i="3"/>
  <c r="BA460" i="3"/>
  <c r="AK460" i="3"/>
  <c r="U460" i="3"/>
  <c r="BJ459" i="3"/>
  <c r="AT459" i="3"/>
  <c r="AD459" i="3"/>
  <c r="N459" i="3"/>
  <c r="BC458" i="3"/>
  <c r="AM458" i="3"/>
  <c r="W458" i="3"/>
  <c r="G458" i="3"/>
  <c r="AZ457" i="3"/>
  <c r="AJ457" i="3"/>
  <c r="T457" i="3"/>
  <c r="BL455" i="3"/>
  <c r="AV455" i="3"/>
  <c r="AF455" i="3"/>
  <c r="P455" i="3"/>
  <c r="BI454" i="3"/>
  <c r="AS454" i="3"/>
  <c r="AC454" i="3"/>
  <c r="M454" i="3"/>
  <c r="BB453" i="3"/>
  <c r="AL453" i="3"/>
  <c r="V453" i="3"/>
  <c r="BK452" i="3"/>
  <c r="AU452" i="3"/>
  <c r="AE452" i="3"/>
  <c r="O452" i="3"/>
  <c r="BH451" i="3"/>
  <c r="AR451" i="3"/>
  <c r="AB451" i="3"/>
  <c r="L451" i="3"/>
  <c r="BE450" i="3"/>
  <c r="AO450" i="3"/>
  <c r="Y450" i="3"/>
  <c r="I450" i="3"/>
  <c r="AX449" i="3"/>
  <c r="AH449" i="3"/>
  <c r="R449" i="3"/>
  <c r="BG448" i="3"/>
  <c r="AQ448" i="3"/>
  <c r="AA448" i="3"/>
  <c r="K448" i="3"/>
  <c r="BD447" i="3"/>
  <c r="AN447" i="3"/>
  <c r="X447" i="3"/>
  <c r="H447" i="3"/>
  <c r="BA446" i="3"/>
  <c r="AK446" i="3"/>
  <c r="U446" i="3"/>
  <c r="BJ445" i="3"/>
  <c r="AT445" i="3"/>
  <c r="AD445" i="3"/>
  <c r="N445" i="3"/>
  <c r="BC444" i="3"/>
  <c r="AM444" i="3"/>
  <c r="W444" i="3"/>
  <c r="G444" i="3"/>
  <c r="AZ443" i="3"/>
  <c r="AJ443" i="3"/>
  <c r="T443" i="3"/>
  <c r="BM442" i="3"/>
  <c r="AW442" i="3"/>
  <c r="AG442" i="3"/>
  <c r="Q442" i="3"/>
  <c r="BF441" i="3"/>
  <c r="AP441" i="3"/>
  <c r="Z441" i="3"/>
  <c r="J441" i="3"/>
  <c r="AY440" i="3"/>
  <c r="AI440" i="3"/>
  <c r="S440" i="3"/>
  <c r="BL439" i="3"/>
  <c r="AV439" i="3"/>
  <c r="AF439" i="3"/>
  <c r="P439" i="3"/>
  <c r="BI438" i="3"/>
  <c r="AS438" i="3"/>
  <c r="AC438" i="3"/>
  <c r="M438" i="3"/>
  <c r="BB437" i="3"/>
  <c r="AL437" i="3"/>
  <c r="V437" i="3"/>
  <c r="BK436" i="3"/>
  <c r="AU436" i="3"/>
  <c r="AE436" i="3"/>
  <c r="O436" i="3"/>
  <c r="BH435" i="3"/>
  <c r="AR435" i="3"/>
  <c r="AB435" i="3"/>
  <c r="L435" i="3"/>
  <c r="BE434" i="3"/>
  <c r="AO434" i="3"/>
  <c r="Y434" i="3"/>
  <c r="I434" i="3"/>
  <c r="AX433" i="3"/>
  <c r="AH433" i="3"/>
  <c r="R433" i="3"/>
  <c r="BG432" i="3"/>
  <c r="AQ432" i="3"/>
  <c r="AA432" i="3"/>
  <c r="K432" i="3"/>
  <c r="BD431" i="3"/>
  <c r="AN431" i="3"/>
  <c r="X431" i="3"/>
  <c r="H431" i="3"/>
  <c r="BA430" i="3"/>
  <c r="AK430" i="3"/>
  <c r="U430" i="3"/>
  <c r="BJ429" i="3"/>
  <c r="AT429" i="3"/>
  <c r="AD429" i="3"/>
  <c r="N429" i="3"/>
  <c r="BC428" i="3"/>
  <c r="AM428" i="3"/>
  <c r="W428" i="3"/>
  <c r="G428" i="3"/>
  <c r="AZ427" i="3"/>
  <c r="AJ427" i="3"/>
  <c r="T427" i="3"/>
  <c r="BM426" i="3"/>
  <c r="AW426" i="3"/>
  <c r="AG426" i="3"/>
  <c r="Q426" i="3"/>
  <c r="BF425" i="3"/>
  <c r="AP425" i="3"/>
  <c r="Z425" i="3"/>
  <c r="J425" i="3"/>
  <c r="AY424" i="3"/>
  <c r="AI424" i="3"/>
  <c r="S424" i="3"/>
  <c r="BL423" i="3"/>
  <c r="AV423" i="3"/>
  <c r="AF423" i="3"/>
  <c r="P423" i="3"/>
  <c r="BI422" i="3"/>
  <c r="AS422" i="3"/>
  <c r="AC422" i="3"/>
  <c r="M422" i="3"/>
  <c r="BB421" i="3"/>
  <c r="AL421" i="3"/>
  <c r="V421" i="3"/>
  <c r="BK420" i="3"/>
  <c r="AU420" i="3"/>
  <c r="AE420" i="3"/>
  <c r="O420" i="3"/>
  <c r="BH419" i="3"/>
  <c r="AR419" i="3"/>
  <c r="AB419" i="3"/>
  <c r="L419" i="3"/>
  <c r="BE418" i="3"/>
  <c r="AO418" i="3"/>
  <c r="Y418" i="3"/>
  <c r="I418" i="3"/>
  <c r="AX417" i="3"/>
  <c r="AH417" i="3"/>
  <c r="R417" i="3"/>
  <c r="AJ463" i="3"/>
  <c r="AR462" i="3"/>
  <c r="V462" i="3"/>
  <c r="BG461" i="3"/>
  <c r="AQ461" i="3"/>
  <c r="AA461" i="3"/>
  <c r="K461" i="3"/>
  <c r="BD460" i="3"/>
  <c r="AN460" i="3"/>
  <c r="X460" i="3"/>
  <c r="H460" i="3"/>
  <c r="BA459" i="3"/>
  <c r="AK459" i="3"/>
  <c r="U459" i="3"/>
  <c r="BJ458" i="3"/>
  <c r="AT458" i="3"/>
  <c r="AD458" i="3"/>
  <c r="N458" i="3"/>
  <c r="BC457" i="3"/>
  <c r="AM457" i="3"/>
  <c r="W457" i="3"/>
  <c r="G457" i="3"/>
  <c r="AY455" i="3"/>
  <c r="AI455" i="3"/>
  <c r="S455" i="3"/>
  <c r="BL454" i="3"/>
  <c r="AV454" i="3"/>
  <c r="AF454" i="3"/>
  <c r="P454" i="3"/>
  <c r="BI453" i="3"/>
  <c r="AS453" i="3"/>
  <c r="AC453" i="3"/>
  <c r="M453" i="3"/>
  <c r="BB452" i="3"/>
  <c r="AL452" i="3"/>
  <c r="V452" i="3"/>
  <c r="BK451" i="3"/>
  <c r="AU451" i="3"/>
  <c r="AE451" i="3"/>
  <c r="O451" i="3"/>
  <c r="BH450" i="3"/>
  <c r="AR450" i="3"/>
  <c r="AB450" i="3"/>
  <c r="L450" i="3"/>
  <c r="BE449" i="3"/>
  <c r="AO449" i="3"/>
  <c r="Y449" i="3"/>
  <c r="I449" i="3"/>
  <c r="AX448" i="3"/>
  <c r="AH448" i="3"/>
  <c r="R448" i="3"/>
  <c r="BG447" i="3"/>
  <c r="AQ447" i="3"/>
  <c r="AA447" i="3"/>
  <c r="K447" i="3"/>
  <c r="BD446" i="3"/>
  <c r="AN446" i="3"/>
  <c r="X446" i="3"/>
  <c r="H446" i="3"/>
  <c r="BA445" i="3"/>
  <c r="AK445" i="3"/>
  <c r="U445" i="3"/>
  <c r="BJ444" i="3"/>
  <c r="AT444" i="3"/>
  <c r="AD444" i="3"/>
  <c r="N444" i="3"/>
  <c r="BC443" i="3"/>
  <c r="AM443" i="3"/>
  <c r="W443" i="3"/>
  <c r="G443" i="3"/>
  <c r="AZ442" i="3"/>
  <c r="AJ442" i="3"/>
  <c r="T442" i="3"/>
  <c r="BM441" i="3"/>
  <c r="AW441" i="3"/>
  <c r="AG441" i="3"/>
  <c r="Q441" i="3"/>
  <c r="BF440" i="3"/>
  <c r="AP440" i="3"/>
  <c r="Z440" i="3"/>
  <c r="J440" i="3"/>
  <c r="AY439" i="3"/>
  <c r="AI439" i="3"/>
  <c r="S439" i="3"/>
  <c r="BL438" i="3"/>
  <c r="AV438" i="3"/>
  <c r="AF438" i="3"/>
  <c r="P438" i="3"/>
  <c r="BI437" i="3"/>
  <c r="AS437" i="3"/>
  <c r="AC437" i="3"/>
  <c r="M437" i="3"/>
  <c r="BB436" i="3"/>
  <c r="AL436" i="3"/>
  <c r="V436" i="3"/>
  <c r="BK435" i="3"/>
  <c r="AU435" i="3"/>
  <c r="AE435" i="3"/>
  <c r="O435" i="3"/>
  <c r="BH434" i="3"/>
  <c r="AR434" i="3"/>
  <c r="AB434" i="3"/>
  <c r="L434" i="3"/>
  <c r="BE433" i="3"/>
  <c r="AO433" i="3"/>
  <c r="Y433" i="3"/>
  <c r="I433" i="3"/>
  <c r="AX432" i="3"/>
  <c r="AH432" i="3"/>
  <c r="R432" i="3"/>
  <c r="BG431" i="3"/>
  <c r="AQ431" i="3"/>
  <c r="AA431" i="3"/>
  <c r="K431" i="3"/>
  <c r="BD430" i="3"/>
  <c r="AN430" i="3"/>
  <c r="X430" i="3"/>
  <c r="H430" i="3"/>
  <c r="BA429" i="3"/>
  <c r="AK429" i="3"/>
  <c r="U429" i="3"/>
  <c r="BJ428" i="3"/>
  <c r="AT428" i="3"/>
  <c r="AD428" i="3"/>
  <c r="N428" i="3"/>
  <c r="BC427" i="3"/>
  <c r="AM427" i="3"/>
  <c r="W427" i="3"/>
  <c r="G427" i="3"/>
  <c r="AZ426" i="3"/>
  <c r="AJ426" i="3"/>
  <c r="T426" i="3"/>
  <c r="BM425" i="3"/>
  <c r="AW425" i="3"/>
  <c r="AG425" i="3"/>
  <c r="Q425" i="3"/>
  <c r="BF424" i="3"/>
  <c r="AP424" i="3"/>
  <c r="Z424" i="3"/>
  <c r="J424" i="3"/>
  <c r="AY423" i="3"/>
  <c r="AI423" i="3"/>
  <c r="S423" i="3"/>
  <c r="BL422" i="3"/>
  <c r="AV422" i="3"/>
  <c r="AF422" i="3"/>
  <c r="P422" i="3"/>
  <c r="BI421" i="3"/>
  <c r="AS421" i="3"/>
  <c r="AC421" i="3"/>
  <c r="M421" i="3"/>
  <c r="BB420" i="3"/>
  <c r="AL420" i="3"/>
  <c r="V420" i="3"/>
  <c r="BK419" i="3"/>
  <c r="AU419" i="3"/>
  <c r="AE419" i="3"/>
  <c r="O419" i="3"/>
  <c r="BH418" i="3"/>
  <c r="AR418" i="3"/>
  <c r="AB418" i="3"/>
  <c r="L418" i="3"/>
  <c r="BE417" i="3"/>
  <c r="AO417" i="3"/>
  <c r="Y417" i="3"/>
  <c r="I417" i="3"/>
  <c r="P463" i="3"/>
  <c r="AP462" i="3"/>
  <c r="U462" i="3"/>
  <c r="BF461" i="3"/>
  <c r="AP461" i="3"/>
  <c r="Z461" i="3"/>
  <c r="J461" i="3"/>
  <c r="AY460" i="3"/>
  <c r="AI460" i="3"/>
  <c r="S460" i="3"/>
  <c r="BL459" i="3"/>
  <c r="AV459" i="3"/>
  <c r="AF459" i="3"/>
  <c r="P459" i="3"/>
  <c r="BI458" i="3"/>
  <c r="AS458" i="3"/>
  <c r="AC458" i="3"/>
  <c r="M458" i="3"/>
  <c r="BB457" i="3"/>
  <c r="AL457" i="3"/>
  <c r="V457" i="3"/>
  <c r="BJ455" i="3"/>
  <c r="AT455" i="3"/>
  <c r="AD455" i="3"/>
  <c r="N455" i="3"/>
  <c r="BC454" i="3"/>
  <c r="AM454" i="3"/>
  <c r="W454" i="3"/>
  <c r="G454" i="3"/>
  <c r="AZ453" i="3"/>
  <c r="AJ453" i="3"/>
  <c r="T453" i="3"/>
  <c r="BM452" i="3"/>
  <c r="AW452" i="3"/>
  <c r="AG452" i="3"/>
  <c r="Q452" i="3"/>
  <c r="BF451" i="3"/>
  <c r="AP451" i="3"/>
  <c r="Z451" i="3"/>
  <c r="J451" i="3"/>
  <c r="AY450" i="3"/>
  <c r="AI450" i="3"/>
  <c r="S450" i="3"/>
  <c r="BL449" i="3"/>
  <c r="AV449" i="3"/>
  <c r="AF449" i="3"/>
  <c r="P449" i="3"/>
  <c r="BI448" i="3"/>
  <c r="AS448" i="3"/>
  <c r="AC448" i="3"/>
  <c r="M448" i="3"/>
  <c r="BB447" i="3"/>
  <c r="AL447" i="3"/>
  <c r="V447" i="3"/>
  <c r="BK446" i="3"/>
  <c r="AU446" i="3"/>
  <c r="AE446" i="3"/>
  <c r="O446" i="3"/>
  <c r="BH445" i="3"/>
  <c r="AR445" i="3"/>
  <c r="AB445" i="3"/>
  <c r="L445" i="3"/>
  <c r="BE444" i="3"/>
  <c r="AO444" i="3"/>
  <c r="Y444" i="3"/>
  <c r="I444" i="3"/>
  <c r="AX443" i="3"/>
  <c r="AH443" i="3"/>
  <c r="R443" i="3"/>
  <c r="BG442" i="3"/>
  <c r="AQ442" i="3"/>
  <c r="AA442" i="3"/>
  <c r="K442" i="3"/>
  <c r="BD441" i="3"/>
  <c r="AN441" i="3"/>
  <c r="X441" i="3"/>
  <c r="H441" i="3"/>
  <c r="BA440" i="3"/>
  <c r="AK440" i="3"/>
  <c r="U440" i="3"/>
  <c r="BJ439" i="3"/>
  <c r="AT439" i="3"/>
  <c r="AD439" i="3"/>
  <c r="N439" i="3"/>
  <c r="BC438" i="3"/>
  <c r="AM438" i="3"/>
  <c r="W438" i="3"/>
  <c r="G438" i="3"/>
  <c r="AZ437" i="3"/>
  <c r="AJ437" i="3"/>
  <c r="T437" i="3"/>
  <c r="BM436" i="3"/>
  <c r="AW436" i="3"/>
  <c r="AG436" i="3"/>
  <c r="Q436" i="3"/>
  <c r="BF435" i="3"/>
  <c r="AP435" i="3"/>
  <c r="Z435" i="3"/>
  <c r="J435" i="3"/>
  <c r="AY434" i="3"/>
  <c r="AI434" i="3"/>
  <c r="S434" i="3"/>
  <c r="BL433" i="3"/>
  <c r="AV433" i="3"/>
  <c r="AF433" i="3"/>
  <c r="P433" i="3"/>
  <c r="BI432" i="3"/>
  <c r="AS432" i="3"/>
  <c r="AC432" i="3"/>
  <c r="M432" i="3"/>
  <c r="BB431" i="3"/>
  <c r="AL431" i="3"/>
  <c r="V431" i="3"/>
  <c r="BK430" i="3"/>
  <c r="AU430" i="3"/>
  <c r="AE430" i="3"/>
  <c r="O430" i="3"/>
  <c r="BH429" i="3"/>
  <c r="AR429" i="3"/>
  <c r="AB429" i="3"/>
  <c r="L429" i="3"/>
  <c r="BE428" i="3"/>
  <c r="AO428" i="3"/>
  <c r="Y428" i="3"/>
  <c r="I428" i="3"/>
  <c r="AX427" i="3"/>
  <c r="AH427" i="3"/>
  <c r="R427" i="3"/>
  <c r="BG426" i="3"/>
  <c r="AQ426" i="3"/>
  <c r="AA426" i="3"/>
  <c r="K426" i="3"/>
  <c r="BD425" i="3"/>
  <c r="AN425" i="3"/>
  <c r="X425" i="3"/>
  <c r="H425" i="3"/>
  <c r="BA424" i="3"/>
  <c r="AK424" i="3"/>
  <c r="U424" i="3"/>
  <c r="BJ423" i="3"/>
  <c r="AT423" i="3"/>
  <c r="AD423" i="3"/>
  <c r="N423" i="3"/>
  <c r="BC422" i="3"/>
  <c r="AM422" i="3"/>
  <c r="W422" i="3"/>
  <c r="G422" i="3"/>
  <c r="AZ421" i="3"/>
  <c r="AJ421" i="3"/>
  <c r="T421" i="3"/>
  <c r="BM420" i="3"/>
  <c r="AW420" i="3"/>
  <c r="AG420" i="3"/>
  <c r="Q420" i="3"/>
  <c r="BF419" i="3"/>
  <c r="AP419" i="3"/>
  <c r="Z419" i="3"/>
  <c r="J419" i="3"/>
  <c r="AY418" i="3"/>
  <c r="AI418" i="3"/>
  <c r="S418" i="3"/>
  <c r="BL417" i="3"/>
  <c r="AV417" i="3"/>
  <c r="BH463" i="3"/>
  <c r="BL462" i="3"/>
  <c r="AJ462" i="3"/>
  <c r="N462" i="3"/>
  <c r="BE461" i="3"/>
  <c r="AO461" i="3"/>
  <c r="Y461" i="3"/>
  <c r="I461" i="3"/>
  <c r="AX460" i="3"/>
  <c r="AH460" i="3"/>
  <c r="R460" i="3"/>
  <c r="BG459" i="3"/>
  <c r="AQ459" i="3"/>
  <c r="AA459" i="3"/>
  <c r="K459" i="3"/>
  <c r="BD458" i="3"/>
  <c r="AN458" i="3"/>
  <c r="X458" i="3"/>
  <c r="H458" i="3"/>
  <c r="BA457" i="3"/>
  <c r="AK457" i="3"/>
  <c r="U457" i="3"/>
  <c r="BM455" i="3"/>
  <c r="AW455" i="3"/>
  <c r="AG455" i="3"/>
  <c r="Q455" i="3"/>
  <c r="BF454" i="3"/>
  <c r="AP454" i="3"/>
  <c r="Z454" i="3"/>
  <c r="J454" i="3"/>
  <c r="AY453" i="3"/>
  <c r="AI453" i="3"/>
  <c r="S453" i="3"/>
  <c r="BL452" i="3"/>
  <c r="AV452" i="3"/>
  <c r="AF452" i="3"/>
  <c r="P452" i="3"/>
  <c r="BI451" i="3"/>
  <c r="AS451" i="3"/>
  <c r="AC451" i="3"/>
  <c r="M451" i="3"/>
  <c r="BB450" i="3"/>
  <c r="AL450" i="3"/>
  <c r="V450" i="3"/>
  <c r="BK449" i="3"/>
  <c r="AU449" i="3"/>
  <c r="AE449" i="3"/>
  <c r="O449" i="3"/>
  <c r="BH448" i="3"/>
  <c r="AR448" i="3"/>
  <c r="AB448" i="3"/>
  <c r="L448" i="3"/>
  <c r="BE447" i="3"/>
  <c r="AO447" i="3"/>
  <c r="Y447" i="3"/>
  <c r="I447" i="3"/>
  <c r="AX446" i="3"/>
  <c r="AH446" i="3"/>
  <c r="R446" i="3"/>
  <c r="BG445" i="3"/>
  <c r="AQ445" i="3"/>
  <c r="AA445" i="3"/>
  <c r="K445" i="3"/>
  <c r="BD444" i="3"/>
  <c r="AN444" i="3"/>
  <c r="X444" i="3"/>
  <c r="H444" i="3"/>
  <c r="BA443" i="3"/>
  <c r="AK443" i="3"/>
  <c r="U443" i="3"/>
  <c r="BJ442" i="3"/>
  <c r="AT442" i="3"/>
  <c r="AD442" i="3"/>
  <c r="N442" i="3"/>
  <c r="BC441" i="3"/>
  <c r="AM441" i="3"/>
  <c r="W441" i="3"/>
  <c r="G441" i="3"/>
  <c r="AZ440" i="3"/>
  <c r="AJ440" i="3"/>
  <c r="T440" i="3"/>
  <c r="BM439" i="3"/>
  <c r="AW439" i="3"/>
  <c r="AG439" i="3"/>
  <c r="Q439" i="3"/>
  <c r="BF438" i="3"/>
  <c r="AP438" i="3"/>
  <c r="Z438" i="3"/>
  <c r="J438" i="3"/>
  <c r="AY437" i="3"/>
  <c r="AI437" i="3"/>
  <c r="S437" i="3"/>
  <c r="BL436" i="3"/>
  <c r="AV436" i="3"/>
  <c r="AF436" i="3"/>
  <c r="P436" i="3"/>
  <c r="BI435" i="3"/>
  <c r="AS435" i="3"/>
  <c r="AC435" i="3"/>
  <c r="M435" i="3"/>
  <c r="BB434" i="3"/>
  <c r="AL434" i="3"/>
  <c r="V434" i="3"/>
  <c r="BK433" i="3"/>
  <c r="AU433" i="3"/>
  <c r="AE433" i="3"/>
  <c r="O433" i="3"/>
  <c r="BH432" i="3"/>
  <c r="AR432" i="3"/>
  <c r="AB432" i="3"/>
  <c r="L432" i="3"/>
  <c r="BE431" i="3"/>
  <c r="AO431" i="3"/>
  <c r="Y431" i="3"/>
  <c r="I431" i="3"/>
  <c r="AX430" i="3"/>
  <c r="AH430" i="3"/>
  <c r="R430" i="3"/>
  <c r="BG429" i="3"/>
  <c r="AQ429" i="3"/>
  <c r="AA429" i="3"/>
  <c r="K429" i="3"/>
  <c r="BD428" i="3"/>
  <c r="AN428" i="3"/>
  <c r="X428" i="3"/>
  <c r="H428" i="3"/>
  <c r="BA427" i="3"/>
  <c r="AK427" i="3"/>
  <c r="U427" i="3"/>
  <c r="BJ426" i="3"/>
  <c r="AT426" i="3"/>
  <c r="AD426" i="3"/>
  <c r="N426" i="3"/>
  <c r="BC425" i="3"/>
  <c r="AM425" i="3"/>
  <c r="W425" i="3"/>
  <c r="G425" i="3"/>
  <c r="AZ424" i="3"/>
  <c r="AJ424" i="3"/>
  <c r="T424" i="3"/>
  <c r="BM423" i="3"/>
  <c r="AW423" i="3"/>
  <c r="AG423" i="3"/>
  <c r="Q423" i="3"/>
  <c r="BF422" i="3"/>
  <c r="AP422" i="3"/>
  <c r="Z422" i="3"/>
  <c r="J422" i="3"/>
  <c r="AY421" i="3"/>
  <c r="AI421" i="3"/>
  <c r="S421" i="3"/>
  <c r="BL420" i="3"/>
  <c r="AV420" i="3"/>
  <c r="AF420" i="3"/>
  <c r="P420" i="3"/>
  <c r="BI419" i="3"/>
  <c r="AS419" i="3"/>
  <c r="AC419" i="3"/>
  <c r="M419" i="3"/>
  <c r="BB418" i="3"/>
  <c r="AL418" i="3"/>
  <c r="V418" i="3"/>
  <c r="BK417" i="3"/>
  <c r="AU417" i="3"/>
  <c r="AE417" i="3"/>
  <c r="O417" i="3"/>
  <c r="H417" i="3"/>
  <c r="AY416" i="3"/>
  <c r="AI416" i="3"/>
  <c r="S416" i="3"/>
  <c r="BK414" i="3"/>
  <c r="AU414" i="3"/>
  <c r="AE414" i="3"/>
  <c r="O414" i="3"/>
  <c r="BH413" i="3"/>
  <c r="AR413" i="3"/>
  <c r="AB413" i="3"/>
  <c r="L413" i="3"/>
  <c r="BE412" i="3"/>
  <c r="AO412" i="3"/>
  <c r="Y412" i="3"/>
  <c r="I412" i="3"/>
  <c r="AX411" i="3"/>
  <c r="AH411" i="3"/>
  <c r="R411" i="3"/>
  <c r="BG410" i="3"/>
  <c r="AQ410" i="3"/>
  <c r="AA410" i="3"/>
  <c r="K410" i="3"/>
  <c r="BD409" i="3"/>
  <c r="AN409" i="3"/>
  <c r="X409" i="3"/>
  <c r="H409" i="3"/>
  <c r="BA408" i="3"/>
  <c r="AK408" i="3"/>
  <c r="U408" i="3"/>
  <c r="BJ407" i="3"/>
  <c r="AT407" i="3"/>
  <c r="AD407" i="3"/>
  <c r="N407" i="3"/>
  <c r="BC406" i="3"/>
  <c r="AM406" i="3"/>
  <c r="W406" i="3"/>
  <c r="G406" i="3"/>
  <c r="AZ405" i="3"/>
  <c r="AJ405" i="3"/>
  <c r="T405" i="3"/>
  <c r="BM404" i="3"/>
  <c r="AW404" i="3"/>
  <c r="AG404" i="3"/>
  <c r="Q404" i="3"/>
  <c r="BF403" i="3"/>
  <c r="AP403" i="3"/>
  <c r="Z403" i="3"/>
  <c r="J403" i="3"/>
  <c r="AY402" i="3"/>
  <c r="AI402" i="3"/>
  <c r="S402" i="3"/>
  <c r="BL401" i="3"/>
  <c r="AV401" i="3"/>
  <c r="AF401" i="3"/>
  <c r="P401" i="3"/>
  <c r="BI400" i="3"/>
  <c r="AS400" i="3"/>
  <c r="AC400" i="3"/>
  <c r="M400" i="3"/>
  <c r="BB399" i="3"/>
  <c r="AL399" i="3"/>
  <c r="V399" i="3"/>
  <c r="BK398" i="3"/>
  <c r="AU398" i="3"/>
  <c r="AE398" i="3"/>
  <c r="O398" i="3"/>
  <c r="BH397" i="3"/>
  <c r="AR397" i="3"/>
  <c r="AB397" i="3"/>
  <c r="L397" i="3"/>
  <c r="BE396" i="3"/>
  <c r="AO396" i="3"/>
  <c r="Y396" i="3"/>
  <c r="I396" i="3"/>
  <c r="AX395" i="3"/>
  <c r="AH395" i="3"/>
  <c r="R395" i="3"/>
  <c r="BG394" i="3"/>
  <c r="AQ394" i="3"/>
  <c r="AA394" i="3"/>
  <c r="K394" i="3"/>
  <c r="BD393" i="3"/>
  <c r="AN393" i="3"/>
  <c r="X393" i="3"/>
  <c r="H393" i="3"/>
  <c r="BA392" i="3"/>
  <c r="AK392" i="3"/>
  <c r="U392" i="3"/>
  <c r="BJ391" i="3"/>
  <c r="AT391" i="3"/>
  <c r="AD391" i="3"/>
  <c r="N391" i="3"/>
  <c r="BC390" i="3"/>
  <c r="AM390" i="3"/>
  <c r="W390" i="3"/>
  <c r="G390" i="3"/>
  <c r="AZ389" i="3"/>
  <c r="AJ389" i="3"/>
  <c r="T389" i="3"/>
  <c r="BM388" i="3"/>
  <c r="AW388" i="3"/>
  <c r="AG388" i="3"/>
  <c r="Q388" i="3"/>
  <c r="BF387" i="3"/>
  <c r="AP387" i="3"/>
  <c r="Z387" i="3"/>
  <c r="J387" i="3"/>
  <c r="AY386" i="3"/>
  <c r="AI386" i="3"/>
  <c r="S386" i="3"/>
  <c r="BL385" i="3"/>
  <c r="AV385" i="3"/>
  <c r="AF385" i="3"/>
  <c r="P385" i="3"/>
  <c r="BI384" i="3"/>
  <c r="AS384" i="3"/>
  <c r="AC384" i="3"/>
  <c r="M384" i="3"/>
  <c r="BB383" i="3"/>
  <c r="AL383" i="3"/>
  <c r="V383" i="3"/>
  <c r="BK382" i="3"/>
  <c r="AU382" i="3"/>
  <c r="AE382" i="3"/>
  <c r="O382" i="3"/>
  <c r="BH381" i="3"/>
  <c r="AR381" i="3"/>
  <c r="AB381" i="3"/>
  <c r="L381" i="3"/>
  <c r="BE380" i="3"/>
  <c r="AO380" i="3"/>
  <c r="Y380" i="3"/>
  <c r="I380" i="3"/>
  <c r="AX379" i="3"/>
  <c r="AH379" i="3"/>
  <c r="R379" i="3"/>
  <c r="BG378" i="3"/>
  <c r="AQ378" i="3"/>
  <c r="AA378" i="3"/>
  <c r="K378" i="3"/>
  <c r="BD377" i="3"/>
  <c r="AN377" i="3"/>
  <c r="X377" i="3"/>
  <c r="H377" i="3"/>
  <c r="BA376" i="3"/>
  <c r="AK376" i="3"/>
  <c r="U376" i="3"/>
  <c r="BJ375" i="3"/>
  <c r="AT375" i="3"/>
  <c r="AD375" i="3"/>
  <c r="N375" i="3"/>
  <c r="BB373" i="3"/>
  <c r="AL373" i="3"/>
  <c r="V373" i="3"/>
  <c r="BK372" i="3"/>
  <c r="AU372" i="3"/>
  <c r="AE372" i="3"/>
  <c r="O372" i="3"/>
  <c r="BH371" i="3"/>
  <c r="AR371" i="3"/>
  <c r="AB371" i="3"/>
  <c r="L371" i="3"/>
  <c r="BE370" i="3"/>
  <c r="AO370" i="3"/>
  <c r="Y370" i="3"/>
  <c r="I370" i="3"/>
  <c r="AX369" i="3"/>
  <c r="AH369" i="3"/>
  <c r="R369" i="3"/>
  <c r="BG368" i="3"/>
  <c r="AQ368" i="3"/>
  <c r="AA368" i="3"/>
  <c r="K368" i="3"/>
  <c r="BD367" i="3"/>
  <c r="AN367" i="3"/>
  <c r="X367" i="3"/>
  <c r="H367" i="3"/>
  <c r="BA366" i="3"/>
  <c r="AK366" i="3"/>
  <c r="U366" i="3"/>
  <c r="BJ365" i="3"/>
  <c r="AT365" i="3"/>
  <c r="AD365" i="3"/>
  <c r="N365" i="3"/>
  <c r="BC364" i="3"/>
  <c r="AM364" i="3"/>
  <c r="W364" i="3"/>
  <c r="G364" i="3"/>
  <c r="AZ363" i="3"/>
  <c r="AJ363" i="3"/>
  <c r="T363" i="3"/>
  <c r="BM362" i="3"/>
  <c r="AW362" i="3"/>
  <c r="AG362" i="3"/>
  <c r="Q362" i="3"/>
  <c r="BF361" i="3"/>
  <c r="AP361" i="3"/>
  <c r="Z361" i="3"/>
  <c r="J361" i="3"/>
  <c r="AY360" i="3"/>
  <c r="AI360" i="3"/>
  <c r="S360" i="3"/>
  <c r="BL359" i="3"/>
  <c r="AV359" i="3"/>
  <c r="AF359" i="3"/>
  <c r="P359" i="3"/>
  <c r="BI358" i="3"/>
  <c r="AS358" i="3"/>
  <c r="AC358" i="3"/>
  <c r="M358" i="3"/>
  <c r="BB357" i="3"/>
  <c r="AL357" i="3"/>
  <c r="V357" i="3"/>
  <c r="BK356" i="3"/>
  <c r="AU356" i="3"/>
  <c r="AE356" i="3"/>
  <c r="O356" i="3"/>
  <c r="BH355" i="3"/>
  <c r="AR355" i="3"/>
  <c r="AB355" i="3"/>
  <c r="L355" i="3"/>
  <c r="BE354" i="3"/>
  <c r="AO354" i="3"/>
  <c r="Y354" i="3"/>
  <c r="I354" i="3"/>
  <c r="AX353" i="3"/>
  <c r="AH353" i="3"/>
  <c r="R353" i="3"/>
  <c r="BG352" i="3"/>
  <c r="AQ352" i="3"/>
  <c r="AA352" i="3"/>
  <c r="K352" i="3"/>
  <c r="BD351" i="3"/>
  <c r="AN351" i="3"/>
  <c r="X351" i="3"/>
  <c r="H351" i="3"/>
  <c r="BA350" i="3"/>
  <c r="AK350" i="3"/>
  <c r="U350" i="3"/>
  <c r="BJ349" i="3"/>
  <c r="AT349" i="3"/>
  <c r="AD349" i="3"/>
  <c r="N349" i="3"/>
  <c r="BC348" i="3"/>
  <c r="AM348" i="3"/>
  <c r="W348" i="3"/>
  <c r="G348" i="3"/>
  <c r="AZ347" i="3"/>
  <c r="AJ347" i="3"/>
  <c r="T347" i="3"/>
  <c r="BM346" i="3"/>
  <c r="AW346" i="3"/>
  <c r="AG346" i="3"/>
  <c r="Q346" i="3"/>
  <c r="BF345" i="3"/>
  <c r="AP345" i="3"/>
  <c r="Z345" i="3"/>
  <c r="J345" i="3"/>
  <c r="AY344" i="3"/>
  <c r="AI344" i="3"/>
  <c r="S344" i="3"/>
  <c r="BL343" i="3"/>
  <c r="AV343" i="3"/>
  <c r="AF343" i="3"/>
  <c r="P343" i="3"/>
  <c r="BI342" i="3"/>
  <c r="AS342" i="3"/>
  <c r="AC342" i="3"/>
  <c r="M342" i="3"/>
  <c r="BB341" i="3"/>
  <c r="AL341" i="3"/>
  <c r="V341" i="3"/>
  <c r="BK340" i="3"/>
  <c r="AU340" i="3"/>
  <c r="AE340" i="3"/>
  <c r="O340" i="3"/>
  <c r="BH339" i="3"/>
  <c r="AR339" i="3"/>
  <c r="AB339" i="3"/>
  <c r="L339" i="3"/>
  <c r="BE338" i="3"/>
  <c r="AO338" i="3"/>
  <c r="Y338" i="3"/>
  <c r="I338" i="3"/>
  <c r="AX337" i="3"/>
  <c r="AH337" i="3"/>
  <c r="R337" i="3"/>
  <c r="BG336" i="3"/>
  <c r="AQ336" i="3"/>
  <c r="AA336" i="3"/>
  <c r="K336" i="3"/>
  <c r="BD335" i="3"/>
  <c r="AN335" i="3"/>
  <c r="X335" i="3"/>
  <c r="H335" i="3"/>
  <c r="BA334" i="3"/>
  <c r="AK334" i="3"/>
  <c r="U334" i="3"/>
  <c r="BM332" i="3"/>
  <c r="AW332" i="3"/>
  <c r="AG332" i="3"/>
  <c r="Q332" i="3"/>
  <c r="BF331" i="3"/>
  <c r="AP331" i="3"/>
  <c r="Z331" i="3"/>
  <c r="J331" i="3"/>
  <c r="AY330" i="3"/>
  <c r="AI330" i="3"/>
  <c r="S330" i="3"/>
  <c r="BL329" i="3"/>
  <c r="AV329" i="3"/>
  <c r="AF329" i="3"/>
  <c r="P329" i="3"/>
  <c r="BI328" i="3"/>
  <c r="AS328" i="3"/>
  <c r="AC328" i="3"/>
  <c r="M328" i="3"/>
  <c r="BB327" i="3"/>
  <c r="AL327" i="3"/>
  <c r="V327" i="3"/>
  <c r="BK326" i="3"/>
  <c r="AU326" i="3"/>
  <c r="AE326" i="3"/>
  <c r="O326" i="3"/>
  <c r="BB416" i="3"/>
  <c r="AL416" i="3"/>
  <c r="V416" i="3"/>
  <c r="BJ414" i="3"/>
  <c r="AT414" i="3"/>
  <c r="AD414" i="3"/>
  <c r="N414" i="3"/>
  <c r="BC413" i="3"/>
  <c r="AM413" i="3"/>
  <c r="W413" i="3"/>
  <c r="G413" i="3"/>
  <c r="AZ412" i="3"/>
  <c r="AJ412" i="3"/>
  <c r="T412" i="3"/>
  <c r="BM411" i="3"/>
  <c r="AW411" i="3"/>
  <c r="AG411" i="3"/>
  <c r="Q411" i="3"/>
  <c r="BF410" i="3"/>
  <c r="AP410" i="3"/>
  <c r="Z410" i="3"/>
  <c r="J410" i="3"/>
  <c r="AY409" i="3"/>
  <c r="AI409" i="3"/>
  <c r="S409" i="3"/>
  <c r="BL408" i="3"/>
  <c r="AV408" i="3"/>
  <c r="AF408" i="3"/>
  <c r="P408" i="3"/>
  <c r="BI407" i="3"/>
  <c r="AS407" i="3"/>
  <c r="AC407" i="3"/>
  <c r="M407" i="3"/>
  <c r="BB406" i="3"/>
  <c r="AL406" i="3"/>
  <c r="V406" i="3"/>
  <c r="BK405" i="3"/>
  <c r="AU405" i="3"/>
  <c r="AE405" i="3"/>
  <c r="O405" i="3"/>
  <c r="BH404" i="3"/>
  <c r="AR404" i="3"/>
  <c r="AB404" i="3"/>
  <c r="L404" i="3"/>
  <c r="BE403" i="3"/>
  <c r="AO403" i="3"/>
  <c r="Y403" i="3"/>
  <c r="I403" i="3"/>
  <c r="AX402" i="3"/>
  <c r="AH402" i="3"/>
  <c r="R402" i="3"/>
  <c r="BG401" i="3"/>
  <c r="AQ401" i="3"/>
  <c r="AA401" i="3"/>
  <c r="K401" i="3"/>
  <c r="BD400" i="3"/>
  <c r="AN400" i="3"/>
  <c r="X400" i="3"/>
  <c r="H400" i="3"/>
  <c r="BA399" i="3"/>
  <c r="AK399" i="3"/>
  <c r="U399" i="3"/>
  <c r="BJ398" i="3"/>
  <c r="AT398" i="3"/>
  <c r="AD398" i="3"/>
  <c r="N398" i="3"/>
  <c r="BC397" i="3"/>
  <c r="AM397" i="3"/>
  <c r="W397" i="3"/>
  <c r="G397" i="3"/>
  <c r="AZ396" i="3"/>
  <c r="AJ396" i="3"/>
  <c r="T396" i="3"/>
  <c r="BM395" i="3"/>
  <c r="AW395" i="3"/>
  <c r="AG395" i="3"/>
  <c r="Q395" i="3"/>
  <c r="BF394" i="3"/>
  <c r="AP394" i="3"/>
  <c r="Z394" i="3"/>
  <c r="J394" i="3"/>
  <c r="AY393" i="3"/>
  <c r="AI393" i="3"/>
  <c r="S393" i="3"/>
  <c r="BL392" i="3"/>
  <c r="AV392" i="3"/>
  <c r="AF392" i="3"/>
  <c r="P392" i="3"/>
  <c r="BI391" i="3"/>
  <c r="AS391" i="3"/>
  <c r="AC391" i="3"/>
  <c r="M391" i="3"/>
  <c r="BB390" i="3"/>
  <c r="AL390" i="3"/>
  <c r="V390" i="3"/>
  <c r="BK389" i="3"/>
  <c r="AU389" i="3"/>
  <c r="AE389" i="3"/>
  <c r="O389" i="3"/>
  <c r="BH388" i="3"/>
  <c r="AR388" i="3"/>
  <c r="AB388" i="3"/>
  <c r="L388" i="3"/>
  <c r="BE387" i="3"/>
  <c r="AO387" i="3"/>
  <c r="Y387" i="3"/>
  <c r="I387" i="3"/>
  <c r="AX386" i="3"/>
  <c r="AH386" i="3"/>
  <c r="R386" i="3"/>
  <c r="BG385" i="3"/>
  <c r="AQ385" i="3"/>
  <c r="AA385" i="3"/>
  <c r="K385" i="3"/>
  <c r="BD384" i="3"/>
  <c r="AN384" i="3"/>
  <c r="X384" i="3"/>
  <c r="H384" i="3"/>
  <c r="BA383" i="3"/>
  <c r="AK383" i="3"/>
  <c r="U383" i="3"/>
  <c r="BJ382" i="3"/>
  <c r="AT382" i="3"/>
  <c r="AD382" i="3"/>
  <c r="N382" i="3"/>
  <c r="BC381" i="3"/>
  <c r="AM381" i="3"/>
  <c r="W381" i="3"/>
  <c r="G381" i="3"/>
  <c r="AZ380" i="3"/>
  <c r="AJ380" i="3"/>
  <c r="T380" i="3"/>
  <c r="BM379" i="3"/>
  <c r="AW379" i="3"/>
  <c r="AG379" i="3"/>
  <c r="Q379" i="3"/>
  <c r="BF378" i="3"/>
  <c r="AP378" i="3"/>
  <c r="Z378" i="3"/>
  <c r="J378" i="3"/>
  <c r="AY377" i="3"/>
  <c r="AI377" i="3"/>
  <c r="S377" i="3"/>
  <c r="BL376" i="3"/>
  <c r="AV376" i="3"/>
  <c r="AF376" i="3"/>
  <c r="P376" i="3"/>
  <c r="BI375" i="3"/>
  <c r="AS375" i="3"/>
  <c r="AC375" i="3"/>
  <c r="M375" i="3"/>
  <c r="BE373" i="3"/>
  <c r="AO373" i="3"/>
  <c r="Y373" i="3"/>
  <c r="I373" i="3"/>
  <c r="AX372" i="3"/>
  <c r="AH372" i="3"/>
  <c r="R372" i="3"/>
  <c r="BG371" i="3"/>
  <c r="AQ371" i="3"/>
  <c r="AA371" i="3"/>
  <c r="K371" i="3"/>
  <c r="BD370" i="3"/>
  <c r="AN370" i="3"/>
  <c r="X370" i="3"/>
  <c r="H370" i="3"/>
  <c r="BA369" i="3"/>
  <c r="AK369" i="3"/>
  <c r="U369" i="3"/>
  <c r="BJ368" i="3"/>
  <c r="AT368" i="3"/>
  <c r="AD368" i="3"/>
  <c r="N368" i="3"/>
  <c r="BC367" i="3"/>
  <c r="AM367" i="3"/>
  <c r="W367" i="3"/>
  <c r="G367" i="3"/>
  <c r="AZ366" i="3"/>
  <c r="AJ366" i="3"/>
  <c r="T366" i="3"/>
  <c r="BM365" i="3"/>
  <c r="AW365" i="3"/>
  <c r="AG365" i="3"/>
  <c r="Q365" i="3"/>
  <c r="BF364" i="3"/>
  <c r="AP364" i="3"/>
  <c r="Z364" i="3"/>
  <c r="J364" i="3"/>
  <c r="AY363" i="3"/>
  <c r="AI363" i="3"/>
  <c r="S363" i="3"/>
  <c r="BL362" i="3"/>
  <c r="AV362" i="3"/>
  <c r="AF362" i="3"/>
  <c r="P362" i="3"/>
  <c r="BI361" i="3"/>
  <c r="AS361" i="3"/>
  <c r="AC361" i="3"/>
  <c r="M361" i="3"/>
  <c r="BB360" i="3"/>
  <c r="AL360" i="3"/>
  <c r="V360" i="3"/>
  <c r="BK359" i="3"/>
  <c r="AU359" i="3"/>
  <c r="AE359" i="3"/>
  <c r="O359" i="3"/>
  <c r="BH358" i="3"/>
  <c r="AR358" i="3"/>
  <c r="AB358" i="3"/>
  <c r="L358" i="3"/>
  <c r="BE357" i="3"/>
  <c r="AO357" i="3"/>
  <c r="Y357" i="3"/>
  <c r="I357" i="3"/>
  <c r="AX356" i="3"/>
  <c r="AH356" i="3"/>
  <c r="R356" i="3"/>
  <c r="BG355" i="3"/>
  <c r="AQ355" i="3"/>
  <c r="AA355" i="3"/>
  <c r="K355" i="3"/>
  <c r="BD354" i="3"/>
  <c r="AN354" i="3"/>
  <c r="X354" i="3"/>
  <c r="H354" i="3"/>
  <c r="BA353" i="3"/>
  <c r="AK353" i="3"/>
  <c r="U353" i="3"/>
  <c r="BJ352" i="3"/>
  <c r="AT352" i="3"/>
  <c r="AD352" i="3"/>
  <c r="N352" i="3"/>
  <c r="BC351" i="3"/>
  <c r="AM351" i="3"/>
  <c r="W351" i="3"/>
  <c r="G351" i="3"/>
  <c r="AZ350" i="3"/>
  <c r="AJ350" i="3"/>
  <c r="T350" i="3"/>
  <c r="BM349" i="3"/>
  <c r="AW349" i="3"/>
  <c r="AG349" i="3"/>
  <c r="Q349" i="3"/>
  <c r="BF348" i="3"/>
  <c r="AP348" i="3"/>
  <c r="Z348" i="3"/>
  <c r="J348" i="3"/>
  <c r="AY347" i="3"/>
  <c r="AI347" i="3"/>
  <c r="S347" i="3"/>
  <c r="BL346" i="3"/>
  <c r="AV346" i="3"/>
  <c r="AF346" i="3"/>
  <c r="P346" i="3"/>
  <c r="BI345" i="3"/>
  <c r="AS345" i="3"/>
  <c r="AC345" i="3"/>
  <c r="M345" i="3"/>
  <c r="BB344" i="3"/>
  <c r="AL344" i="3"/>
  <c r="V344" i="3"/>
  <c r="BK343" i="3"/>
  <c r="AU343" i="3"/>
  <c r="AE343" i="3"/>
  <c r="O343" i="3"/>
  <c r="BH342" i="3"/>
  <c r="AR342" i="3"/>
  <c r="AB342" i="3"/>
  <c r="L342" i="3"/>
  <c r="BE341" i="3"/>
  <c r="AO341" i="3"/>
  <c r="Y341" i="3"/>
  <c r="I341" i="3"/>
  <c r="AX340" i="3"/>
  <c r="AH340" i="3"/>
  <c r="R340" i="3"/>
  <c r="BG339" i="3"/>
  <c r="AQ339" i="3"/>
  <c r="AA339" i="3"/>
  <c r="K339" i="3"/>
  <c r="BD338" i="3"/>
  <c r="AN338" i="3"/>
  <c r="X338" i="3"/>
  <c r="H338" i="3"/>
  <c r="BA337" i="3"/>
  <c r="AK337" i="3"/>
  <c r="U337" i="3"/>
  <c r="BJ336" i="3"/>
  <c r="AT336" i="3"/>
  <c r="AD336" i="3"/>
  <c r="N336" i="3"/>
  <c r="BC335" i="3"/>
  <c r="AM335" i="3"/>
  <c r="W335" i="3"/>
  <c r="G335" i="3"/>
  <c r="AZ334" i="3"/>
  <c r="AJ334" i="3"/>
  <c r="T334" i="3"/>
  <c r="BL332" i="3"/>
  <c r="AV332" i="3"/>
  <c r="AF332" i="3"/>
  <c r="P332" i="3"/>
  <c r="BI331" i="3"/>
  <c r="AS331" i="3"/>
  <c r="AC331" i="3"/>
  <c r="M331" i="3"/>
  <c r="BB330" i="3"/>
  <c r="AL330" i="3"/>
  <c r="V330" i="3"/>
  <c r="BK329" i="3"/>
  <c r="AU329" i="3"/>
  <c r="AE329" i="3"/>
  <c r="O329" i="3"/>
  <c r="BH328" i="3"/>
  <c r="AR328" i="3"/>
  <c r="AB328" i="3"/>
  <c r="L328" i="3"/>
  <c r="BE327" i="3"/>
  <c r="AO327" i="3"/>
  <c r="Y327" i="3"/>
  <c r="I327" i="3"/>
  <c r="BI416" i="3"/>
  <c r="AS416" i="3"/>
  <c r="AC416" i="3"/>
  <c r="M416" i="3"/>
  <c r="BE414" i="3"/>
  <c r="AO414" i="3"/>
  <c r="Y414" i="3"/>
  <c r="I414" i="3"/>
  <c r="AX413" i="3"/>
  <c r="AH413" i="3"/>
  <c r="R413" i="3"/>
  <c r="BG412" i="3"/>
  <c r="AQ412" i="3"/>
  <c r="AA412" i="3"/>
  <c r="K412" i="3"/>
  <c r="BD411" i="3"/>
  <c r="AN411" i="3"/>
  <c r="X411" i="3"/>
  <c r="H411" i="3"/>
  <c r="BA410" i="3"/>
  <c r="AK410" i="3"/>
  <c r="U410" i="3"/>
  <c r="BJ409" i="3"/>
  <c r="AT409" i="3"/>
  <c r="AD409" i="3"/>
  <c r="N409" i="3"/>
  <c r="BC408" i="3"/>
  <c r="AM408" i="3"/>
  <c r="W408" i="3"/>
  <c r="G408" i="3"/>
  <c r="AZ407" i="3"/>
  <c r="AJ407" i="3"/>
  <c r="T407" i="3"/>
  <c r="BM406" i="3"/>
  <c r="AW406" i="3"/>
  <c r="AG406" i="3"/>
  <c r="Q406" i="3"/>
  <c r="BF405" i="3"/>
  <c r="AP405" i="3"/>
  <c r="Z405" i="3"/>
  <c r="J405" i="3"/>
  <c r="AY404" i="3"/>
  <c r="AI404" i="3"/>
  <c r="S404" i="3"/>
  <c r="BL403" i="3"/>
  <c r="AV403" i="3"/>
  <c r="AF403" i="3"/>
  <c r="P403" i="3"/>
  <c r="BI402" i="3"/>
  <c r="AS402" i="3"/>
  <c r="AC402" i="3"/>
  <c r="M402" i="3"/>
  <c r="BB401" i="3"/>
  <c r="AL401" i="3"/>
  <c r="V401" i="3"/>
  <c r="BK400" i="3"/>
  <c r="AU400" i="3"/>
  <c r="AE400" i="3"/>
  <c r="O400" i="3"/>
  <c r="BH399" i="3"/>
  <c r="AR399" i="3"/>
  <c r="AB399" i="3"/>
  <c r="L399" i="3"/>
  <c r="BE398" i="3"/>
  <c r="AO398" i="3"/>
  <c r="Y398" i="3"/>
  <c r="I398" i="3"/>
  <c r="AX397" i="3"/>
  <c r="AH397" i="3"/>
  <c r="R397" i="3"/>
  <c r="BG396" i="3"/>
  <c r="AQ396" i="3"/>
  <c r="AA396" i="3"/>
  <c r="K396" i="3"/>
  <c r="BD395" i="3"/>
  <c r="AN395" i="3"/>
  <c r="X395" i="3"/>
  <c r="H395" i="3"/>
  <c r="BA394" i="3"/>
  <c r="AK394" i="3"/>
  <c r="U394" i="3"/>
  <c r="BJ393" i="3"/>
  <c r="AT393" i="3"/>
  <c r="AD393" i="3"/>
  <c r="N393" i="3"/>
  <c r="BC392" i="3"/>
  <c r="AM392" i="3"/>
  <c r="W392" i="3"/>
  <c r="G392" i="3"/>
  <c r="AZ391" i="3"/>
  <c r="AJ391" i="3"/>
  <c r="T391" i="3"/>
  <c r="BM390" i="3"/>
  <c r="AW390" i="3"/>
  <c r="AG390" i="3"/>
  <c r="Q390" i="3"/>
  <c r="BF389" i="3"/>
  <c r="AP389" i="3"/>
  <c r="Z389" i="3"/>
  <c r="J389" i="3"/>
  <c r="AY388" i="3"/>
  <c r="AI388" i="3"/>
  <c r="S388" i="3"/>
  <c r="BL387" i="3"/>
  <c r="AV387" i="3"/>
  <c r="AF387" i="3"/>
  <c r="P387" i="3"/>
  <c r="BI386" i="3"/>
  <c r="AS386" i="3"/>
  <c r="AC386" i="3"/>
  <c r="M386" i="3"/>
  <c r="BB385" i="3"/>
  <c r="AL385" i="3"/>
  <c r="V385" i="3"/>
  <c r="BK384" i="3"/>
  <c r="AU384" i="3"/>
  <c r="AE384" i="3"/>
  <c r="O384" i="3"/>
  <c r="BH383" i="3"/>
  <c r="AR383" i="3"/>
  <c r="AB383" i="3"/>
  <c r="L383" i="3"/>
  <c r="BE382" i="3"/>
  <c r="AO382" i="3"/>
  <c r="Y382" i="3"/>
  <c r="I382" i="3"/>
  <c r="AX381" i="3"/>
  <c r="AH381" i="3"/>
  <c r="R381" i="3"/>
  <c r="BG380" i="3"/>
  <c r="AQ380" i="3"/>
  <c r="AA380" i="3"/>
  <c r="K380" i="3"/>
  <c r="BD379" i="3"/>
  <c r="AN379" i="3"/>
  <c r="X379" i="3"/>
  <c r="H379" i="3"/>
  <c r="BA378" i="3"/>
  <c r="AK378" i="3"/>
  <c r="U378" i="3"/>
  <c r="BJ377" i="3"/>
  <c r="AT377" i="3"/>
  <c r="AD377" i="3"/>
  <c r="N377" i="3"/>
  <c r="BC376" i="3"/>
  <c r="AM376" i="3"/>
  <c r="W376" i="3"/>
  <c r="G376" i="3"/>
  <c r="AZ375" i="3"/>
  <c r="AJ375" i="3"/>
  <c r="T375" i="3"/>
  <c r="BL373" i="3"/>
  <c r="AV373" i="3"/>
  <c r="AF373" i="3"/>
  <c r="P373" i="3"/>
  <c r="BI372" i="3"/>
  <c r="AS372" i="3"/>
  <c r="AC372" i="3"/>
  <c r="M372" i="3"/>
  <c r="BB371" i="3"/>
  <c r="AL371" i="3"/>
  <c r="V371" i="3"/>
  <c r="BK370" i="3"/>
  <c r="AU370" i="3"/>
  <c r="AE370" i="3"/>
  <c r="O370" i="3"/>
  <c r="BH369" i="3"/>
  <c r="AR369" i="3"/>
  <c r="AB369" i="3"/>
  <c r="L369" i="3"/>
  <c r="BE368" i="3"/>
  <c r="AO368" i="3"/>
  <c r="Y368" i="3"/>
  <c r="I368" i="3"/>
  <c r="AX367" i="3"/>
  <c r="AH367" i="3"/>
  <c r="R367" i="3"/>
  <c r="BG366" i="3"/>
  <c r="AQ366" i="3"/>
  <c r="AA366" i="3"/>
  <c r="K366" i="3"/>
  <c r="BD365" i="3"/>
  <c r="AN365" i="3"/>
  <c r="X365" i="3"/>
  <c r="H365" i="3"/>
  <c r="BA364" i="3"/>
  <c r="AK364" i="3"/>
  <c r="U364" i="3"/>
  <c r="BJ363" i="3"/>
  <c r="AT363" i="3"/>
  <c r="AD363" i="3"/>
  <c r="N363" i="3"/>
  <c r="BC362" i="3"/>
  <c r="AM362" i="3"/>
  <c r="W362" i="3"/>
  <c r="G362" i="3"/>
  <c r="AZ361" i="3"/>
  <c r="AJ361" i="3"/>
  <c r="T361" i="3"/>
  <c r="BM360" i="3"/>
  <c r="AW360" i="3"/>
  <c r="AG360" i="3"/>
  <c r="Q360" i="3"/>
  <c r="BF359" i="3"/>
  <c r="AP359" i="3"/>
  <c r="Z359" i="3"/>
  <c r="J359" i="3"/>
  <c r="AY358" i="3"/>
  <c r="AI358" i="3"/>
  <c r="S358" i="3"/>
  <c r="BL357" i="3"/>
  <c r="AV357" i="3"/>
  <c r="AF357" i="3"/>
  <c r="P357" i="3"/>
  <c r="BI356" i="3"/>
  <c r="AS356" i="3"/>
  <c r="AC356" i="3"/>
  <c r="M356" i="3"/>
  <c r="BB355" i="3"/>
  <c r="AL355" i="3"/>
  <c r="V355" i="3"/>
  <c r="BK354" i="3"/>
  <c r="AU354" i="3"/>
  <c r="AE354" i="3"/>
  <c r="O354" i="3"/>
  <c r="BH353" i="3"/>
  <c r="AR353" i="3"/>
  <c r="AB353" i="3"/>
  <c r="L353" i="3"/>
  <c r="BE352" i="3"/>
  <c r="AO352" i="3"/>
  <c r="Y352" i="3"/>
  <c r="I352" i="3"/>
  <c r="AX351" i="3"/>
  <c r="AH351" i="3"/>
  <c r="R351" i="3"/>
  <c r="BG350" i="3"/>
  <c r="AQ350" i="3"/>
  <c r="AA350" i="3"/>
  <c r="K350" i="3"/>
  <c r="BD349" i="3"/>
  <c r="AN349" i="3"/>
  <c r="X349" i="3"/>
  <c r="H349" i="3"/>
  <c r="BA348" i="3"/>
  <c r="AK348" i="3"/>
  <c r="U348" i="3"/>
  <c r="BJ347" i="3"/>
  <c r="AT347" i="3"/>
  <c r="AD347" i="3"/>
  <c r="N347" i="3"/>
  <c r="BC346" i="3"/>
  <c r="AM346" i="3"/>
  <c r="W346" i="3"/>
  <c r="G346" i="3"/>
  <c r="AZ345" i="3"/>
  <c r="AJ345" i="3"/>
  <c r="T345" i="3"/>
  <c r="BM344" i="3"/>
  <c r="AW344" i="3"/>
  <c r="AG344" i="3"/>
  <c r="Q344" i="3"/>
  <c r="BF343" i="3"/>
  <c r="AP343" i="3"/>
  <c r="Z343" i="3"/>
  <c r="J343" i="3"/>
  <c r="AY342" i="3"/>
  <c r="AI342" i="3"/>
  <c r="S342" i="3"/>
  <c r="BL341" i="3"/>
  <c r="AV341" i="3"/>
  <c r="AF341" i="3"/>
  <c r="P341" i="3"/>
  <c r="BI340" i="3"/>
  <c r="AS340" i="3"/>
  <c r="AC340" i="3"/>
  <c r="M340" i="3"/>
  <c r="BB339" i="3"/>
  <c r="AL339" i="3"/>
  <c r="V339" i="3"/>
  <c r="BK338" i="3"/>
  <c r="AU338" i="3"/>
  <c r="AE338" i="3"/>
  <c r="O338" i="3"/>
  <c r="BH337" i="3"/>
  <c r="AR337" i="3"/>
  <c r="AB337" i="3"/>
  <c r="L337" i="3"/>
  <c r="BE336" i="3"/>
  <c r="AO336" i="3"/>
  <c r="Y336" i="3"/>
  <c r="I336" i="3"/>
  <c r="AX335" i="3"/>
  <c r="AH335" i="3"/>
  <c r="R335" i="3"/>
  <c r="BG334" i="3"/>
  <c r="AQ334" i="3"/>
  <c r="AA334" i="3"/>
  <c r="K334" i="3"/>
  <c r="BC332" i="3"/>
  <c r="AM332" i="3"/>
  <c r="W332" i="3"/>
  <c r="G332" i="3"/>
  <c r="AZ331" i="3"/>
  <c r="AJ331" i="3"/>
  <c r="T331" i="3"/>
  <c r="BM330" i="3"/>
  <c r="AW330" i="3"/>
  <c r="AG330" i="3"/>
  <c r="Q330" i="3"/>
  <c r="BF329" i="3"/>
  <c r="AP329" i="3"/>
  <c r="Z329" i="3"/>
  <c r="J329" i="3"/>
  <c r="AY328" i="3"/>
  <c r="AI328" i="3"/>
  <c r="S328" i="3"/>
  <c r="AB417" i="3"/>
  <c r="BD416" i="3"/>
  <c r="AN416" i="3"/>
  <c r="X416" i="3"/>
  <c r="H416" i="3"/>
  <c r="AZ414" i="3"/>
  <c r="AJ414" i="3"/>
  <c r="T414" i="3"/>
  <c r="BM413" i="3"/>
  <c r="AW413" i="3"/>
  <c r="AG413" i="3"/>
  <c r="Q413" i="3"/>
  <c r="BF412" i="3"/>
  <c r="AP412" i="3"/>
  <c r="Z412" i="3"/>
  <c r="J412" i="3"/>
  <c r="AY411" i="3"/>
  <c r="AI411" i="3"/>
  <c r="S411" i="3"/>
  <c r="BL410" i="3"/>
  <c r="AV410" i="3"/>
  <c r="AF410" i="3"/>
  <c r="P410" i="3"/>
  <c r="BI409" i="3"/>
  <c r="AS409" i="3"/>
  <c r="AC409" i="3"/>
  <c r="M409" i="3"/>
  <c r="BB408" i="3"/>
  <c r="AL408" i="3"/>
  <c r="V408" i="3"/>
  <c r="BK407" i="3"/>
  <c r="AU407" i="3"/>
  <c r="AE407" i="3"/>
  <c r="O407" i="3"/>
  <c r="BH406" i="3"/>
  <c r="AR406" i="3"/>
  <c r="AB406" i="3"/>
  <c r="L406" i="3"/>
  <c r="BE405" i="3"/>
  <c r="AO405" i="3"/>
  <c r="Y405" i="3"/>
  <c r="I405" i="3"/>
  <c r="AX404" i="3"/>
  <c r="AH404" i="3"/>
  <c r="R404" i="3"/>
  <c r="BG403" i="3"/>
  <c r="AQ403" i="3"/>
  <c r="AA403" i="3"/>
  <c r="K403" i="3"/>
  <c r="BD402" i="3"/>
  <c r="AN402" i="3"/>
  <c r="X402" i="3"/>
  <c r="H402" i="3"/>
  <c r="BA401" i="3"/>
  <c r="AK401" i="3"/>
  <c r="U401" i="3"/>
  <c r="BJ400" i="3"/>
  <c r="AT400" i="3"/>
  <c r="AD400" i="3"/>
  <c r="N400" i="3"/>
  <c r="BC399" i="3"/>
  <c r="AM399" i="3"/>
  <c r="W399" i="3"/>
  <c r="G399" i="3"/>
  <c r="AZ398" i="3"/>
  <c r="AJ398" i="3"/>
  <c r="T398" i="3"/>
  <c r="BM397" i="3"/>
  <c r="AW397" i="3"/>
  <c r="AG397" i="3"/>
  <c r="Q397" i="3"/>
  <c r="BF396" i="3"/>
  <c r="AP396" i="3"/>
  <c r="Z396" i="3"/>
  <c r="J396" i="3"/>
  <c r="AY395" i="3"/>
  <c r="AI395" i="3"/>
  <c r="S395" i="3"/>
  <c r="BL394" i="3"/>
  <c r="AV394" i="3"/>
  <c r="AF394" i="3"/>
  <c r="P394" i="3"/>
  <c r="BI393" i="3"/>
  <c r="AS393" i="3"/>
  <c r="AC393" i="3"/>
  <c r="M393" i="3"/>
  <c r="BB392" i="3"/>
  <c r="AL392" i="3"/>
  <c r="V392" i="3"/>
  <c r="BK391" i="3"/>
  <c r="AU391" i="3"/>
  <c r="AE391" i="3"/>
  <c r="O391" i="3"/>
  <c r="BH390" i="3"/>
  <c r="AR390" i="3"/>
  <c r="AB390" i="3"/>
  <c r="L390" i="3"/>
  <c r="BE389" i="3"/>
  <c r="AO389" i="3"/>
  <c r="Y389" i="3"/>
  <c r="I389" i="3"/>
  <c r="AX388" i="3"/>
  <c r="AH388" i="3"/>
  <c r="R388" i="3"/>
  <c r="BG387" i="3"/>
  <c r="AQ387" i="3"/>
  <c r="AA387" i="3"/>
  <c r="K387" i="3"/>
  <c r="BD386" i="3"/>
  <c r="AN386" i="3"/>
  <c r="X386" i="3"/>
  <c r="H386" i="3"/>
  <c r="BA385" i="3"/>
  <c r="AK385" i="3"/>
  <c r="U385" i="3"/>
  <c r="BJ384" i="3"/>
  <c r="AT384" i="3"/>
  <c r="AD384" i="3"/>
  <c r="N384" i="3"/>
  <c r="BC383" i="3"/>
  <c r="AM383" i="3"/>
  <c r="W383" i="3"/>
  <c r="G383" i="3"/>
  <c r="AZ382" i="3"/>
  <c r="AJ382" i="3"/>
  <c r="T382" i="3"/>
  <c r="BM381" i="3"/>
  <c r="AW381" i="3"/>
  <c r="AG381" i="3"/>
  <c r="Q381" i="3"/>
  <c r="BF380" i="3"/>
  <c r="AP380" i="3"/>
  <c r="Z380" i="3"/>
  <c r="J380" i="3"/>
  <c r="AY379" i="3"/>
  <c r="AI379" i="3"/>
  <c r="S379" i="3"/>
  <c r="BL378" i="3"/>
  <c r="AV378" i="3"/>
  <c r="AF378" i="3"/>
  <c r="P378" i="3"/>
  <c r="BI377" i="3"/>
  <c r="AS377" i="3"/>
  <c r="AC377" i="3"/>
  <c r="M377" i="3"/>
  <c r="BB376" i="3"/>
  <c r="AL376" i="3"/>
  <c r="V376" i="3"/>
  <c r="BK375" i="3"/>
  <c r="AU375" i="3"/>
  <c r="AE375" i="3"/>
  <c r="O375" i="3"/>
  <c r="BG373" i="3"/>
  <c r="AQ373" i="3"/>
  <c r="AA373" i="3"/>
  <c r="K373" i="3"/>
  <c r="BD372" i="3"/>
  <c r="AN372" i="3"/>
  <c r="X372" i="3"/>
  <c r="H372" i="3"/>
  <c r="BA371" i="3"/>
  <c r="AK371" i="3"/>
  <c r="U371" i="3"/>
  <c r="BJ370" i="3"/>
  <c r="AT370" i="3"/>
  <c r="AD370" i="3"/>
  <c r="N370" i="3"/>
  <c r="BC369" i="3"/>
  <c r="AM369" i="3"/>
  <c r="W369" i="3"/>
  <c r="G369" i="3"/>
  <c r="AZ368" i="3"/>
  <c r="AJ368" i="3"/>
  <c r="T368" i="3"/>
  <c r="BM367" i="3"/>
  <c r="AW367" i="3"/>
  <c r="AG367" i="3"/>
  <c r="Q367" i="3"/>
  <c r="BF366" i="3"/>
  <c r="AP366" i="3"/>
  <c r="Z366" i="3"/>
  <c r="J366" i="3"/>
  <c r="AY365" i="3"/>
  <c r="AI365" i="3"/>
  <c r="S365" i="3"/>
  <c r="BL364" i="3"/>
  <c r="AV364" i="3"/>
  <c r="AF364" i="3"/>
  <c r="P364" i="3"/>
  <c r="BI363" i="3"/>
  <c r="AS363" i="3"/>
  <c r="AC363" i="3"/>
  <c r="M363" i="3"/>
  <c r="BB362" i="3"/>
  <c r="AL362" i="3"/>
  <c r="V362" i="3"/>
  <c r="BK361" i="3"/>
  <c r="AU361" i="3"/>
  <c r="AE361" i="3"/>
  <c r="O361" i="3"/>
  <c r="BH360" i="3"/>
  <c r="AR360" i="3"/>
  <c r="AB360" i="3"/>
  <c r="L360" i="3"/>
  <c r="BE359" i="3"/>
  <c r="AO359" i="3"/>
  <c r="Y359" i="3"/>
  <c r="I359" i="3"/>
  <c r="AX358" i="3"/>
  <c r="AH358" i="3"/>
  <c r="R358" i="3"/>
  <c r="BG357" i="3"/>
  <c r="AQ357" i="3"/>
  <c r="AA357" i="3"/>
  <c r="K357" i="3"/>
  <c r="BD356" i="3"/>
  <c r="AN356" i="3"/>
  <c r="X356" i="3"/>
  <c r="H356" i="3"/>
  <c r="BA355" i="3"/>
  <c r="AK355" i="3"/>
  <c r="U355" i="3"/>
  <c r="BJ354" i="3"/>
  <c r="AT354" i="3"/>
  <c r="AD354" i="3"/>
  <c r="N354" i="3"/>
  <c r="BC353" i="3"/>
  <c r="AM353" i="3"/>
  <c r="W353" i="3"/>
  <c r="G353" i="3"/>
  <c r="AZ352" i="3"/>
  <c r="AJ352" i="3"/>
  <c r="T352" i="3"/>
  <c r="BM351" i="3"/>
  <c r="AW351" i="3"/>
  <c r="AG351" i="3"/>
  <c r="Q351" i="3"/>
  <c r="BF350" i="3"/>
  <c r="AP350" i="3"/>
  <c r="Z350" i="3"/>
  <c r="J350" i="3"/>
  <c r="AY349" i="3"/>
  <c r="AI349" i="3"/>
  <c r="S349" i="3"/>
  <c r="BL348" i="3"/>
  <c r="AV348" i="3"/>
  <c r="AF348" i="3"/>
  <c r="P348" i="3"/>
  <c r="BI347" i="3"/>
  <c r="AS347" i="3"/>
  <c r="AC347" i="3"/>
  <c r="M347" i="3"/>
  <c r="BB346" i="3"/>
  <c r="AL346" i="3"/>
  <c r="V346" i="3"/>
  <c r="BK345" i="3"/>
  <c r="AU345" i="3"/>
  <c r="AE345" i="3"/>
  <c r="O345" i="3"/>
  <c r="BH344" i="3"/>
  <c r="AR344" i="3"/>
  <c r="AB344" i="3"/>
  <c r="L344" i="3"/>
  <c r="BE343" i="3"/>
  <c r="AO343" i="3"/>
  <c r="Y343" i="3"/>
  <c r="I343" i="3"/>
  <c r="AX342" i="3"/>
  <c r="AH342" i="3"/>
  <c r="R342" i="3"/>
  <c r="BG341" i="3"/>
  <c r="AQ341" i="3"/>
  <c r="AA341" i="3"/>
  <c r="K341" i="3"/>
  <c r="BD340" i="3"/>
  <c r="AN340" i="3"/>
  <c r="X340" i="3"/>
  <c r="H340" i="3"/>
  <c r="BA339" i="3"/>
  <c r="AK339" i="3"/>
  <c r="U339" i="3"/>
  <c r="BJ338" i="3"/>
  <c r="AT338" i="3"/>
  <c r="AD338" i="3"/>
  <c r="N338" i="3"/>
  <c r="BC337" i="3"/>
  <c r="AM337" i="3"/>
  <c r="W337" i="3"/>
  <c r="G337" i="3"/>
  <c r="AZ336" i="3"/>
  <c r="AJ336" i="3"/>
  <c r="T336" i="3"/>
  <c r="BM335" i="3"/>
  <c r="AW335" i="3"/>
  <c r="AG335" i="3"/>
  <c r="Q335" i="3"/>
  <c r="BF334" i="3"/>
  <c r="AP334" i="3"/>
  <c r="Z334" i="3"/>
  <c r="J334" i="3"/>
  <c r="AX332" i="3"/>
  <c r="AH332" i="3"/>
  <c r="R332" i="3"/>
  <c r="BG331" i="3"/>
  <c r="AQ331" i="3"/>
  <c r="AA331" i="3"/>
  <c r="K331" i="3"/>
  <c r="BD330" i="3"/>
  <c r="AN330" i="3"/>
  <c r="X330" i="3"/>
  <c r="H330" i="3"/>
  <c r="BA329" i="3"/>
  <c r="AK329" i="3"/>
  <c r="U329" i="3"/>
  <c r="BJ328" i="3"/>
  <c r="AT328" i="3"/>
  <c r="AD328" i="3"/>
  <c r="N328" i="3"/>
  <c r="AR327" i="3"/>
  <c r="L327" i="3"/>
  <c r="AS326" i="3"/>
  <c r="X326" i="3"/>
  <c r="BJ325" i="3"/>
  <c r="AT325" i="3"/>
  <c r="AD325" i="3"/>
  <c r="N325" i="3"/>
  <c r="BC324" i="3"/>
  <c r="AM324" i="3"/>
  <c r="W324" i="3"/>
  <c r="G324" i="3"/>
  <c r="AZ323" i="3"/>
  <c r="AJ323" i="3"/>
  <c r="T323" i="3"/>
  <c r="BM322" i="3"/>
  <c r="AW322" i="3"/>
  <c r="AG322" i="3"/>
  <c r="Q322" i="3"/>
  <c r="BF321" i="3"/>
  <c r="AP321" i="3"/>
  <c r="Z321" i="3"/>
  <c r="J321" i="3"/>
  <c r="AY320" i="3"/>
  <c r="AI320" i="3"/>
  <c r="S320" i="3"/>
  <c r="BL319" i="3"/>
  <c r="AV319" i="3"/>
  <c r="AF319" i="3"/>
  <c r="P319" i="3"/>
  <c r="BI318" i="3"/>
  <c r="AS318" i="3"/>
  <c r="AC318" i="3"/>
  <c r="M318" i="3"/>
  <c r="BB317" i="3"/>
  <c r="AL317" i="3"/>
  <c r="V317" i="3"/>
  <c r="BK316" i="3"/>
  <c r="AU316" i="3"/>
  <c r="AE316" i="3"/>
  <c r="O316" i="3"/>
  <c r="BH315" i="3"/>
  <c r="AR315" i="3"/>
  <c r="AB315" i="3"/>
  <c r="L315" i="3"/>
  <c r="BE314" i="3"/>
  <c r="AO314" i="3"/>
  <c r="Y314" i="3"/>
  <c r="I314" i="3"/>
  <c r="AX313" i="3"/>
  <c r="AH313" i="3"/>
  <c r="R313" i="3"/>
  <c r="BG312" i="3"/>
  <c r="AQ312" i="3"/>
  <c r="AA312" i="3"/>
  <c r="K312" i="3"/>
  <c r="BD311" i="3"/>
  <c r="AN311" i="3"/>
  <c r="X311" i="3"/>
  <c r="H311" i="3"/>
  <c r="BA310" i="3"/>
  <c r="AK310" i="3"/>
  <c r="U310" i="3"/>
  <c r="BJ309" i="3"/>
  <c r="AT309" i="3"/>
  <c r="AD309" i="3"/>
  <c r="N309" i="3"/>
  <c r="BC308" i="3"/>
  <c r="AM308" i="3"/>
  <c r="W308" i="3"/>
  <c r="G308" i="3"/>
  <c r="AZ307" i="3"/>
  <c r="AJ307" i="3"/>
  <c r="T307" i="3"/>
  <c r="BM306" i="3"/>
  <c r="AW306" i="3"/>
  <c r="AG306" i="3"/>
  <c r="Q306" i="3"/>
  <c r="BF305" i="3"/>
  <c r="AP305" i="3"/>
  <c r="Z305" i="3"/>
  <c r="J305" i="3"/>
  <c r="AY304" i="3"/>
  <c r="AI304" i="3"/>
  <c r="S304" i="3"/>
  <c r="BL303" i="3"/>
  <c r="AV303" i="3"/>
  <c r="AF303" i="3"/>
  <c r="P303" i="3"/>
  <c r="BI302" i="3"/>
  <c r="AS302" i="3"/>
  <c r="AC302" i="3"/>
  <c r="M302" i="3"/>
  <c r="BB301" i="3"/>
  <c r="AL301" i="3"/>
  <c r="V301" i="3"/>
  <c r="BK300" i="3"/>
  <c r="AU300" i="3"/>
  <c r="AE300" i="3"/>
  <c r="O300" i="3"/>
  <c r="BH299" i="3"/>
  <c r="AR299" i="3"/>
  <c r="AB299" i="3"/>
  <c r="L299" i="3"/>
  <c r="BE298" i="3"/>
  <c r="AO298" i="3"/>
  <c r="Y298" i="3"/>
  <c r="I298" i="3"/>
  <c r="AX297" i="3"/>
  <c r="AH297" i="3"/>
  <c r="R297" i="3"/>
  <c r="BG296" i="3"/>
  <c r="AQ296" i="3"/>
  <c r="AA296" i="3"/>
  <c r="K296" i="3"/>
  <c r="BD295" i="3"/>
  <c r="AN295" i="3"/>
  <c r="X295" i="3"/>
  <c r="H295" i="3"/>
  <c r="BA294" i="3"/>
  <c r="AK294" i="3"/>
  <c r="U294" i="3"/>
  <c r="BJ293" i="3"/>
  <c r="AT293" i="3"/>
  <c r="AD293" i="3"/>
  <c r="N293" i="3"/>
  <c r="BE290" i="3"/>
  <c r="AO290" i="3"/>
  <c r="Y290" i="3"/>
  <c r="I290" i="3"/>
  <c r="AX289" i="3"/>
  <c r="AH289" i="3"/>
  <c r="R289" i="3"/>
  <c r="BG288" i="3"/>
  <c r="AQ288" i="3"/>
  <c r="AA288" i="3"/>
  <c r="K288" i="3"/>
  <c r="BD287" i="3"/>
  <c r="AN287" i="3"/>
  <c r="X287" i="3"/>
  <c r="H287" i="3"/>
  <c r="BA286" i="3"/>
  <c r="AK286" i="3"/>
  <c r="U286" i="3"/>
  <c r="BJ285" i="3"/>
  <c r="AT285" i="3"/>
  <c r="AD285" i="3"/>
  <c r="N285" i="3"/>
  <c r="BC284" i="3"/>
  <c r="AM284" i="3"/>
  <c r="W284" i="3"/>
  <c r="G284" i="3"/>
  <c r="AZ283" i="3"/>
  <c r="AJ283" i="3"/>
  <c r="T283" i="3"/>
  <c r="BM282" i="3"/>
  <c r="AW282" i="3"/>
  <c r="AG282" i="3"/>
  <c r="Q282" i="3"/>
  <c r="BF281" i="3"/>
  <c r="AP281" i="3"/>
  <c r="Z281" i="3"/>
  <c r="J281" i="3"/>
  <c r="AY280" i="3"/>
  <c r="AI280" i="3"/>
  <c r="S280" i="3"/>
  <c r="BL279" i="3"/>
  <c r="AV279" i="3"/>
  <c r="AF279" i="3"/>
  <c r="P279" i="3"/>
  <c r="BI278" i="3"/>
  <c r="AS278" i="3"/>
  <c r="AC278" i="3"/>
  <c r="M278" i="3"/>
  <c r="BB277" i="3"/>
  <c r="AL277" i="3"/>
  <c r="V277" i="3"/>
  <c r="BK276" i="3"/>
  <c r="AU276" i="3"/>
  <c r="AE276" i="3"/>
  <c r="O276" i="3"/>
  <c r="BH275" i="3"/>
  <c r="AR275" i="3"/>
  <c r="AB275" i="3"/>
  <c r="L275" i="3"/>
  <c r="BE274" i="3"/>
  <c r="AO274" i="3"/>
  <c r="Y274" i="3"/>
  <c r="I274" i="3"/>
  <c r="AX273" i="3"/>
  <c r="AH273" i="3"/>
  <c r="R273" i="3"/>
  <c r="BG272" i="3"/>
  <c r="AQ272" i="3"/>
  <c r="AA272" i="3"/>
  <c r="K272" i="3"/>
  <c r="BD271" i="3"/>
  <c r="AN271" i="3"/>
  <c r="X271" i="3"/>
  <c r="H271" i="3"/>
  <c r="BA270" i="3"/>
  <c r="AK270" i="3"/>
  <c r="U270" i="3"/>
  <c r="BJ269" i="3"/>
  <c r="AT269" i="3"/>
  <c r="AD269" i="3"/>
  <c r="N269" i="3"/>
  <c r="BC268" i="3"/>
  <c r="AM268" i="3"/>
  <c r="W268" i="3"/>
  <c r="G268" i="3"/>
  <c r="AZ267" i="3"/>
  <c r="AJ267" i="3"/>
  <c r="T267" i="3"/>
  <c r="BM266" i="3"/>
  <c r="AW266" i="3"/>
  <c r="AG266" i="3"/>
  <c r="Q266" i="3"/>
  <c r="BF265" i="3"/>
  <c r="AP265" i="3"/>
  <c r="Z265" i="3"/>
  <c r="J265" i="3"/>
  <c r="AY264" i="3"/>
  <c r="AI264" i="3"/>
  <c r="S264" i="3"/>
  <c r="BL263" i="3"/>
  <c r="AV263" i="3"/>
  <c r="AF263" i="3"/>
  <c r="P263" i="3"/>
  <c r="BI262" i="3"/>
  <c r="AS262" i="3"/>
  <c r="AC262" i="3"/>
  <c r="M262" i="3"/>
  <c r="BB261" i="3"/>
  <c r="AL261" i="3"/>
  <c r="V261" i="3"/>
  <c r="BK260" i="3"/>
  <c r="AU260" i="3"/>
  <c r="AE260" i="3"/>
  <c r="O260" i="3"/>
  <c r="BH259" i="3"/>
  <c r="AR259" i="3"/>
  <c r="AB259" i="3"/>
  <c r="L259" i="3"/>
  <c r="BE258" i="3"/>
  <c r="AO258" i="3"/>
  <c r="Y258" i="3"/>
  <c r="I258" i="3"/>
  <c r="AX257" i="3"/>
  <c r="AH257" i="3"/>
  <c r="R257" i="3"/>
  <c r="BG256" i="3"/>
  <c r="AQ256" i="3"/>
  <c r="AA256" i="3"/>
  <c r="K256" i="3"/>
  <c r="BD255" i="3"/>
  <c r="AN255" i="3"/>
  <c r="X255" i="3"/>
  <c r="H255" i="3"/>
  <c r="BA254" i="3"/>
  <c r="AK254" i="3"/>
  <c r="U254" i="3"/>
  <c r="BJ253" i="3"/>
  <c r="AT253" i="3"/>
  <c r="AD253" i="3"/>
  <c r="N253" i="3"/>
  <c r="BC252" i="3"/>
  <c r="AM252" i="3"/>
  <c r="W252" i="3"/>
  <c r="G252" i="3"/>
  <c r="AZ251" i="3"/>
  <c r="AJ251" i="3"/>
  <c r="T251" i="3"/>
  <c r="BL249" i="3"/>
  <c r="AV249" i="3"/>
  <c r="AF249" i="3"/>
  <c r="P249" i="3"/>
  <c r="BI248" i="3"/>
  <c r="AS248" i="3"/>
  <c r="AC248" i="3"/>
  <c r="M248" i="3"/>
  <c r="BB247" i="3"/>
  <c r="AL247" i="3"/>
  <c r="V247" i="3"/>
  <c r="BK246" i="3"/>
  <c r="AU246" i="3"/>
  <c r="AE246" i="3"/>
  <c r="O246" i="3"/>
  <c r="BH245" i="3"/>
  <c r="AR245" i="3"/>
  <c r="AB245" i="3"/>
  <c r="L245" i="3"/>
  <c r="BE244" i="3"/>
  <c r="AO244" i="3"/>
  <c r="Y244" i="3"/>
  <c r="I244" i="3"/>
  <c r="AX243" i="3"/>
  <c r="AH243" i="3"/>
  <c r="R243" i="3"/>
  <c r="BG242" i="3"/>
  <c r="AQ242" i="3"/>
  <c r="AA242" i="3"/>
  <c r="K242" i="3"/>
  <c r="BD241" i="3"/>
  <c r="AN241" i="3"/>
  <c r="X241" i="3"/>
  <c r="H241" i="3"/>
  <c r="BA240" i="3"/>
  <c r="AK240" i="3"/>
  <c r="U240" i="3"/>
  <c r="BJ239" i="3"/>
  <c r="AT239" i="3"/>
  <c r="AD239" i="3"/>
  <c r="N239" i="3"/>
  <c r="BC238" i="3"/>
  <c r="AM238" i="3"/>
  <c r="W238" i="3"/>
  <c r="G238" i="3"/>
  <c r="AZ237" i="3"/>
  <c r="AJ237" i="3"/>
  <c r="T237" i="3"/>
  <c r="BM236" i="3"/>
  <c r="AW236" i="3"/>
  <c r="AG236" i="3"/>
  <c r="Q236" i="3"/>
  <c r="BF235" i="3"/>
  <c r="AP235" i="3"/>
  <c r="Z235" i="3"/>
  <c r="J235" i="3"/>
  <c r="AY234" i="3"/>
  <c r="AI327" i="3"/>
  <c r="BM326" i="3"/>
  <c r="AR326" i="3"/>
  <c r="V326" i="3"/>
  <c r="BM325" i="3"/>
  <c r="AW325" i="3"/>
  <c r="AG325" i="3"/>
  <c r="Q325" i="3"/>
  <c r="BF324" i="3"/>
  <c r="AP324" i="3"/>
  <c r="Z324" i="3"/>
  <c r="J324" i="3"/>
  <c r="AY323" i="3"/>
  <c r="AI323" i="3"/>
  <c r="S323" i="3"/>
  <c r="BL322" i="3"/>
  <c r="AV322" i="3"/>
  <c r="AF322" i="3"/>
  <c r="P322" i="3"/>
  <c r="BI321" i="3"/>
  <c r="AS321" i="3"/>
  <c r="AC321" i="3"/>
  <c r="M321" i="3"/>
  <c r="BB320" i="3"/>
  <c r="AL320" i="3"/>
  <c r="V320" i="3"/>
  <c r="BK319" i="3"/>
  <c r="AU319" i="3"/>
  <c r="AE319" i="3"/>
  <c r="O319" i="3"/>
  <c r="BH318" i="3"/>
  <c r="AR318" i="3"/>
  <c r="AB318" i="3"/>
  <c r="L318" i="3"/>
  <c r="BE317" i="3"/>
  <c r="AO317" i="3"/>
  <c r="Y317" i="3"/>
  <c r="I317" i="3"/>
  <c r="AX316" i="3"/>
  <c r="AH316" i="3"/>
  <c r="R316" i="3"/>
  <c r="BG315" i="3"/>
  <c r="AQ315" i="3"/>
  <c r="AA315" i="3"/>
  <c r="K315" i="3"/>
  <c r="BD314" i="3"/>
  <c r="AN314" i="3"/>
  <c r="X314" i="3"/>
  <c r="H314" i="3"/>
  <c r="BA313" i="3"/>
  <c r="AK313" i="3"/>
  <c r="U313" i="3"/>
  <c r="BJ312" i="3"/>
  <c r="AT312" i="3"/>
  <c r="AD312" i="3"/>
  <c r="N312" i="3"/>
  <c r="BC311" i="3"/>
  <c r="AM311" i="3"/>
  <c r="W311" i="3"/>
  <c r="G311" i="3"/>
  <c r="AZ310" i="3"/>
  <c r="AJ310" i="3"/>
  <c r="T310" i="3"/>
  <c r="BM309" i="3"/>
  <c r="AW309" i="3"/>
  <c r="AG309" i="3"/>
  <c r="Q309" i="3"/>
  <c r="BF308" i="3"/>
  <c r="AP308" i="3"/>
  <c r="Z308" i="3"/>
  <c r="J308" i="3"/>
  <c r="AY307" i="3"/>
  <c r="AI307" i="3"/>
  <c r="S307" i="3"/>
  <c r="BL306" i="3"/>
  <c r="AV306" i="3"/>
  <c r="AF306" i="3"/>
  <c r="P306" i="3"/>
  <c r="BI305" i="3"/>
  <c r="AS305" i="3"/>
  <c r="AC305" i="3"/>
  <c r="M305" i="3"/>
  <c r="BB304" i="3"/>
  <c r="AL304" i="3"/>
  <c r="V304" i="3"/>
  <c r="BK303" i="3"/>
  <c r="AU303" i="3"/>
  <c r="AE303" i="3"/>
  <c r="O303" i="3"/>
  <c r="BH302" i="3"/>
  <c r="AR302" i="3"/>
  <c r="AB302" i="3"/>
  <c r="L302" i="3"/>
  <c r="BE301" i="3"/>
  <c r="AO301" i="3"/>
  <c r="Y301" i="3"/>
  <c r="I301" i="3"/>
  <c r="AX300" i="3"/>
  <c r="AH300" i="3"/>
  <c r="R300" i="3"/>
  <c r="BG299" i="3"/>
  <c r="AQ299" i="3"/>
  <c r="AA299" i="3"/>
  <c r="K299" i="3"/>
  <c r="BD298" i="3"/>
  <c r="AN298" i="3"/>
  <c r="X298" i="3"/>
  <c r="H298" i="3"/>
  <c r="BA297" i="3"/>
  <c r="AK297" i="3"/>
  <c r="U297" i="3"/>
  <c r="BJ296" i="3"/>
  <c r="AT296" i="3"/>
  <c r="AD296" i="3"/>
  <c r="N296" i="3"/>
  <c r="BC295" i="3"/>
  <c r="AM295" i="3"/>
  <c r="W295" i="3"/>
  <c r="G295" i="3"/>
  <c r="AZ294" i="3"/>
  <c r="AJ294" i="3"/>
  <c r="T294" i="3"/>
  <c r="BM293" i="3"/>
  <c r="AW293" i="3"/>
  <c r="AG293" i="3"/>
  <c r="Q293" i="3"/>
  <c r="BH290" i="3"/>
  <c r="AR290" i="3"/>
  <c r="AB290" i="3"/>
  <c r="L290" i="3"/>
  <c r="BE289" i="3"/>
  <c r="AO289" i="3"/>
  <c r="Y289" i="3"/>
  <c r="I289" i="3"/>
  <c r="AX288" i="3"/>
  <c r="AH288" i="3"/>
  <c r="R288" i="3"/>
  <c r="BG287" i="3"/>
  <c r="AQ287" i="3"/>
  <c r="AA287" i="3"/>
  <c r="K287" i="3"/>
  <c r="BD286" i="3"/>
  <c r="AN286" i="3"/>
  <c r="X286" i="3"/>
  <c r="H286" i="3"/>
  <c r="BA285" i="3"/>
  <c r="AK285" i="3"/>
  <c r="U285" i="3"/>
  <c r="BJ284" i="3"/>
  <c r="AT284" i="3"/>
  <c r="AD284" i="3"/>
  <c r="N284" i="3"/>
  <c r="BC283" i="3"/>
  <c r="AM283" i="3"/>
  <c r="W283" i="3"/>
  <c r="G283" i="3"/>
  <c r="AZ282" i="3"/>
  <c r="AJ282" i="3"/>
  <c r="T282" i="3"/>
  <c r="BM281" i="3"/>
  <c r="AW281" i="3"/>
  <c r="AG281" i="3"/>
  <c r="Q281" i="3"/>
  <c r="BF280" i="3"/>
  <c r="AP280" i="3"/>
  <c r="Z280" i="3"/>
  <c r="J280" i="3"/>
  <c r="AY279" i="3"/>
  <c r="AI279" i="3"/>
  <c r="S279" i="3"/>
  <c r="BL278" i="3"/>
  <c r="AV278" i="3"/>
  <c r="AF278" i="3"/>
  <c r="P278" i="3"/>
  <c r="BI277" i="3"/>
  <c r="AS277" i="3"/>
  <c r="AC277" i="3"/>
  <c r="M277" i="3"/>
  <c r="BB276" i="3"/>
  <c r="AL276" i="3"/>
  <c r="V276" i="3"/>
  <c r="BK275" i="3"/>
  <c r="AU275" i="3"/>
  <c r="AE275" i="3"/>
  <c r="O275" i="3"/>
  <c r="BH274" i="3"/>
  <c r="AR274" i="3"/>
  <c r="AB274" i="3"/>
  <c r="L274" i="3"/>
  <c r="BE273" i="3"/>
  <c r="AO273" i="3"/>
  <c r="Y273" i="3"/>
  <c r="I273" i="3"/>
  <c r="AX272" i="3"/>
  <c r="AH272" i="3"/>
  <c r="R272" i="3"/>
  <c r="BG271" i="3"/>
  <c r="AQ271" i="3"/>
  <c r="AA271" i="3"/>
  <c r="K271" i="3"/>
  <c r="BD270" i="3"/>
  <c r="AN270" i="3"/>
  <c r="X270" i="3"/>
  <c r="H270" i="3"/>
  <c r="BA269" i="3"/>
  <c r="AK269" i="3"/>
  <c r="U269" i="3"/>
  <c r="BJ268" i="3"/>
  <c r="AT268" i="3"/>
  <c r="AD268" i="3"/>
  <c r="N268" i="3"/>
  <c r="BC267" i="3"/>
  <c r="AM267" i="3"/>
  <c r="W267" i="3"/>
  <c r="G267" i="3"/>
  <c r="AZ266" i="3"/>
  <c r="AJ266" i="3"/>
  <c r="T266" i="3"/>
  <c r="BM265" i="3"/>
  <c r="AW265" i="3"/>
  <c r="AG265" i="3"/>
  <c r="Q265" i="3"/>
  <c r="BF264" i="3"/>
  <c r="AP264" i="3"/>
  <c r="Z264" i="3"/>
  <c r="J264" i="3"/>
  <c r="AY263" i="3"/>
  <c r="AI263" i="3"/>
  <c r="S263" i="3"/>
  <c r="BL262" i="3"/>
  <c r="AV262" i="3"/>
  <c r="AF262" i="3"/>
  <c r="P262" i="3"/>
  <c r="BI261" i="3"/>
  <c r="AS261" i="3"/>
  <c r="AC261" i="3"/>
  <c r="M261" i="3"/>
  <c r="BB260" i="3"/>
  <c r="AL260" i="3"/>
  <c r="V260" i="3"/>
  <c r="BK259" i="3"/>
  <c r="AU259" i="3"/>
  <c r="AE259" i="3"/>
  <c r="O259" i="3"/>
  <c r="BH258" i="3"/>
  <c r="AR258" i="3"/>
  <c r="AB258" i="3"/>
  <c r="L258" i="3"/>
  <c r="BE257" i="3"/>
  <c r="AO257" i="3"/>
  <c r="Y257" i="3"/>
  <c r="I257" i="3"/>
  <c r="AX256" i="3"/>
  <c r="AH256" i="3"/>
  <c r="R256" i="3"/>
  <c r="BG255" i="3"/>
  <c r="AQ255" i="3"/>
  <c r="AA255" i="3"/>
  <c r="K255" i="3"/>
  <c r="BD254" i="3"/>
  <c r="AN254" i="3"/>
  <c r="X254" i="3"/>
  <c r="H254" i="3"/>
  <c r="BA253" i="3"/>
  <c r="AK253" i="3"/>
  <c r="U253" i="3"/>
  <c r="BJ252" i="3"/>
  <c r="AT252" i="3"/>
  <c r="AD252" i="3"/>
  <c r="N252" i="3"/>
  <c r="BC251" i="3"/>
  <c r="AM251" i="3"/>
  <c r="W251" i="3"/>
  <c r="G251" i="3"/>
  <c r="AY249" i="3"/>
  <c r="AI249" i="3"/>
  <c r="S249" i="3"/>
  <c r="BL248" i="3"/>
  <c r="AV248" i="3"/>
  <c r="AF248" i="3"/>
  <c r="P248" i="3"/>
  <c r="BI247" i="3"/>
  <c r="AS247" i="3"/>
  <c r="AC247" i="3"/>
  <c r="M247" i="3"/>
  <c r="BB246" i="3"/>
  <c r="AL246" i="3"/>
  <c r="V246" i="3"/>
  <c r="BK245" i="3"/>
  <c r="AU245" i="3"/>
  <c r="AE245" i="3"/>
  <c r="O245" i="3"/>
  <c r="BH244" i="3"/>
  <c r="AR244" i="3"/>
  <c r="AB244" i="3"/>
  <c r="L244" i="3"/>
  <c r="BE243" i="3"/>
  <c r="AO243" i="3"/>
  <c r="Y243" i="3"/>
  <c r="I243" i="3"/>
  <c r="AX242" i="3"/>
  <c r="AH242" i="3"/>
  <c r="R242" i="3"/>
  <c r="BG241" i="3"/>
  <c r="AQ241" i="3"/>
  <c r="AA241" i="3"/>
  <c r="K241" i="3"/>
  <c r="BD240" i="3"/>
  <c r="AN240" i="3"/>
  <c r="X240" i="3"/>
  <c r="H240" i="3"/>
  <c r="BA239" i="3"/>
  <c r="AK239" i="3"/>
  <c r="U239" i="3"/>
  <c r="BJ238" i="3"/>
  <c r="AT238" i="3"/>
  <c r="AD238" i="3"/>
  <c r="N238" i="3"/>
  <c r="BC237" i="3"/>
  <c r="AM237" i="3"/>
  <c r="W237" i="3"/>
  <c r="G237" i="3"/>
  <c r="AZ236" i="3"/>
  <c r="AJ236" i="3"/>
  <c r="T236" i="3"/>
  <c r="BM235" i="3"/>
  <c r="AW235" i="3"/>
  <c r="AV327" i="3"/>
  <c r="P327" i="3"/>
  <c r="BA326" i="3"/>
  <c r="AF326" i="3"/>
  <c r="K326" i="3"/>
  <c r="BD325" i="3"/>
  <c r="AN325" i="3"/>
  <c r="X325" i="3"/>
  <c r="H325" i="3"/>
  <c r="BA324" i="3"/>
  <c r="AK324" i="3"/>
  <c r="U324" i="3"/>
  <c r="BJ323" i="3"/>
  <c r="AT323" i="3"/>
  <c r="AD323" i="3"/>
  <c r="N323" i="3"/>
  <c r="BC322" i="3"/>
  <c r="AM322" i="3"/>
  <c r="W322" i="3"/>
  <c r="G322" i="3"/>
  <c r="AZ321" i="3"/>
  <c r="AJ321" i="3"/>
  <c r="T321" i="3"/>
  <c r="BM320" i="3"/>
  <c r="AW320" i="3"/>
  <c r="AG320" i="3"/>
  <c r="Q320" i="3"/>
  <c r="BF319" i="3"/>
  <c r="AP319" i="3"/>
  <c r="Z319" i="3"/>
  <c r="J319" i="3"/>
  <c r="AY318" i="3"/>
  <c r="AI318" i="3"/>
  <c r="S318" i="3"/>
  <c r="BL317" i="3"/>
  <c r="AV317" i="3"/>
  <c r="AF317" i="3"/>
  <c r="P317" i="3"/>
  <c r="BI316" i="3"/>
  <c r="AS316" i="3"/>
  <c r="AC316" i="3"/>
  <c r="M316" i="3"/>
  <c r="BB315" i="3"/>
  <c r="AL315" i="3"/>
  <c r="V315" i="3"/>
  <c r="BK314" i="3"/>
  <c r="AU314" i="3"/>
  <c r="AE314" i="3"/>
  <c r="O314" i="3"/>
  <c r="BH313" i="3"/>
  <c r="AR313" i="3"/>
  <c r="AB313" i="3"/>
  <c r="L313" i="3"/>
  <c r="BE312" i="3"/>
  <c r="AO312" i="3"/>
  <c r="Y312" i="3"/>
  <c r="I312" i="3"/>
  <c r="AX311" i="3"/>
  <c r="AH311" i="3"/>
  <c r="R311" i="3"/>
  <c r="BG310" i="3"/>
  <c r="AQ310" i="3"/>
  <c r="AA310" i="3"/>
  <c r="K310" i="3"/>
  <c r="BD309" i="3"/>
  <c r="AN309" i="3"/>
  <c r="X309" i="3"/>
  <c r="H309" i="3"/>
  <c r="BA308" i="3"/>
  <c r="AK308" i="3"/>
  <c r="U308" i="3"/>
  <c r="BJ307" i="3"/>
  <c r="AT307" i="3"/>
  <c r="AD307" i="3"/>
  <c r="N307" i="3"/>
  <c r="BC306" i="3"/>
  <c r="AM306" i="3"/>
  <c r="W306" i="3"/>
  <c r="G306" i="3"/>
  <c r="AZ305" i="3"/>
  <c r="AJ305" i="3"/>
  <c r="T305" i="3"/>
  <c r="BM304" i="3"/>
  <c r="AW304" i="3"/>
  <c r="AG304" i="3"/>
  <c r="Q304" i="3"/>
  <c r="BF303" i="3"/>
  <c r="AP303" i="3"/>
  <c r="Z303" i="3"/>
  <c r="J303" i="3"/>
  <c r="AY302" i="3"/>
  <c r="AI302" i="3"/>
  <c r="S302" i="3"/>
  <c r="BL301" i="3"/>
  <c r="AV301" i="3"/>
  <c r="AF301" i="3"/>
  <c r="P301" i="3"/>
  <c r="BI300" i="3"/>
  <c r="AS300" i="3"/>
  <c r="AC300" i="3"/>
  <c r="M300" i="3"/>
  <c r="BB299" i="3"/>
  <c r="AL299" i="3"/>
  <c r="V299" i="3"/>
  <c r="BK298" i="3"/>
  <c r="AU298" i="3"/>
  <c r="AE298" i="3"/>
  <c r="O298" i="3"/>
  <c r="BH297" i="3"/>
  <c r="AR297" i="3"/>
  <c r="AB297" i="3"/>
  <c r="L297" i="3"/>
  <c r="BE296" i="3"/>
  <c r="AO296" i="3"/>
  <c r="Y296" i="3"/>
  <c r="I296" i="3"/>
  <c r="AX295" i="3"/>
  <c r="AH295" i="3"/>
  <c r="R295" i="3"/>
  <c r="BG294" i="3"/>
  <c r="AQ294" i="3"/>
  <c r="AA294" i="3"/>
  <c r="K294" i="3"/>
  <c r="BD293" i="3"/>
  <c r="AN293" i="3"/>
  <c r="X293" i="3"/>
  <c r="H293" i="3"/>
  <c r="AY290" i="3"/>
  <c r="AI290" i="3"/>
  <c r="S290" i="3"/>
  <c r="BL289" i="3"/>
  <c r="AV289" i="3"/>
  <c r="AF289" i="3"/>
  <c r="P289" i="3"/>
  <c r="BI288" i="3"/>
  <c r="AS288" i="3"/>
  <c r="AC288" i="3"/>
  <c r="M288" i="3"/>
  <c r="BB287" i="3"/>
  <c r="AL287" i="3"/>
  <c r="V287" i="3"/>
  <c r="BK286" i="3"/>
  <c r="AU286" i="3"/>
  <c r="AE286" i="3"/>
  <c r="O286" i="3"/>
  <c r="BH285" i="3"/>
  <c r="AR285" i="3"/>
  <c r="AB285" i="3"/>
  <c r="L285" i="3"/>
  <c r="BE284" i="3"/>
  <c r="AO284" i="3"/>
  <c r="Y284" i="3"/>
  <c r="I284" i="3"/>
  <c r="AX283" i="3"/>
  <c r="AH283" i="3"/>
  <c r="R283" i="3"/>
  <c r="BG282" i="3"/>
  <c r="AQ282" i="3"/>
  <c r="AA282" i="3"/>
  <c r="K282" i="3"/>
  <c r="BD281" i="3"/>
  <c r="AN281" i="3"/>
  <c r="X281" i="3"/>
  <c r="H281" i="3"/>
  <c r="BA280" i="3"/>
  <c r="AK280" i="3"/>
  <c r="U280" i="3"/>
  <c r="BJ279" i="3"/>
  <c r="AT279" i="3"/>
  <c r="AD279" i="3"/>
  <c r="N279" i="3"/>
  <c r="BC278" i="3"/>
  <c r="AM278" i="3"/>
  <c r="W278" i="3"/>
  <c r="G278" i="3"/>
  <c r="AZ277" i="3"/>
  <c r="AJ277" i="3"/>
  <c r="T277" i="3"/>
  <c r="BM276" i="3"/>
  <c r="AW276" i="3"/>
  <c r="AG276" i="3"/>
  <c r="Q276" i="3"/>
  <c r="BF275" i="3"/>
  <c r="AP275" i="3"/>
  <c r="Z275" i="3"/>
  <c r="J275" i="3"/>
  <c r="AY274" i="3"/>
  <c r="AI274" i="3"/>
  <c r="S274" i="3"/>
  <c r="BL273" i="3"/>
  <c r="AV273" i="3"/>
  <c r="AF273" i="3"/>
  <c r="P273" i="3"/>
  <c r="BI272" i="3"/>
  <c r="AS272" i="3"/>
  <c r="AC272" i="3"/>
  <c r="M272" i="3"/>
  <c r="BB271" i="3"/>
  <c r="AL271" i="3"/>
  <c r="V271" i="3"/>
  <c r="BK270" i="3"/>
  <c r="AU270" i="3"/>
  <c r="AE270" i="3"/>
  <c r="O270" i="3"/>
  <c r="BH269" i="3"/>
  <c r="AR269" i="3"/>
  <c r="AB269" i="3"/>
  <c r="L269" i="3"/>
  <c r="BE268" i="3"/>
  <c r="AO268" i="3"/>
  <c r="Y268" i="3"/>
  <c r="I268" i="3"/>
  <c r="AX267" i="3"/>
  <c r="AH267" i="3"/>
  <c r="R267" i="3"/>
  <c r="BG266" i="3"/>
  <c r="AQ266" i="3"/>
  <c r="AA266" i="3"/>
  <c r="K266" i="3"/>
  <c r="BD265" i="3"/>
  <c r="AN265" i="3"/>
  <c r="X265" i="3"/>
  <c r="H265" i="3"/>
  <c r="BA264" i="3"/>
  <c r="AK264" i="3"/>
  <c r="U264" i="3"/>
  <c r="BJ263" i="3"/>
  <c r="AT263" i="3"/>
  <c r="AD263" i="3"/>
  <c r="N263" i="3"/>
  <c r="BC262" i="3"/>
  <c r="AM262" i="3"/>
  <c r="W262" i="3"/>
  <c r="G262" i="3"/>
  <c r="AZ261" i="3"/>
  <c r="AJ261" i="3"/>
  <c r="T261" i="3"/>
  <c r="BM260" i="3"/>
  <c r="AW260" i="3"/>
  <c r="AG260" i="3"/>
  <c r="Q260" i="3"/>
  <c r="BF259" i="3"/>
  <c r="AP259" i="3"/>
  <c r="Z259" i="3"/>
  <c r="J259" i="3"/>
  <c r="AY258" i="3"/>
  <c r="AI258" i="3"/>
  <c r="S258" i="3"/>
  <c r="BL257" i="3"/>
  <c r="AV257" i="3"/>
  <c r="AF257" i="3"/>
  <c r="P257" i="3"/>
  <c r="BI256" i="3"/>
  <c r="AS256" i="3"/>
  <c r="AC256" i="3"/>
  <c r="M256" i="3"/>
  <c r="BB255" i="3"/>
  <c r="AL255" i="3"/>
  <c r="V255" i="3"/>
  <c r="BK254" i="3"/>
  <c r="AU254" i="3"/>
  <c r="AE254" i="3"/>
  <c r="O254" i="3"/>
  <c r="BH253" i="3"/>
  <c r="AR253" i="3"/>
  <c r="AB253" i="3"/>
  <c r="L253" i="3"/>
  <c r="BE252" i="3"/>
  <c r="AO252" i="3"/>
  <c r="Y252" i="3"/>
  <c r="I252" i="3"/>
  <c r="AX251" i="3"/>
  <c r="AH251" i="3"/>
  <c r="R251" i="3"/>
  <c r="BF249" i="3"/>
  <c r="AP249" i="3"/>
  <c r="Z249" i="3"/>
  <c r="J249" i="3"/>
  <c r="AY248" i="3"/>
  <c r="AI248" i="3"/>
  <c r="S248" i="3"/>
  <c r="BL247" i="3"/>
  <c r="AV247" i="3"/>
  <c r="AF247" i="3"/>
  <c r="P247" i="3"/>
  <c r="BI246" i="3"/>
  <c r="AS246" i="3"/>
  <c r="AC246" i="3"/>
  <c r="M246" i="3"/>
  <c r="BB245" i="3"/>
  <c r="AL245" i="3"/>
  <c r="V245" i="3"/>
  <c r="BK244" i="3"/>
  <c r="AU244" i="3"/>
  <c r="AE244" i="3"/>
  <c r="O244" i="3"/>
  <c r="BH243" i="3"/>
  <c r="AR243" i="3"/>
  <c r="AB243" i="3"/>
  <c r="L243" i="3"/>
  <c r="BE242" i="3"/>
  <c r="AO242" i="3"/>
  <c r="Y242" i="3"/>
  <c r="I242" i="3"/>
  <c r="AX241" i="3"/>
  <c r="AH241" i="3"/>
  <c r="R241" i="3"/>
  <c r="BG240" i="3"/>
  <c r="AQ240" i="3"/>
  <c r="AA240" i="3"/>
  <c r="K240" i="3"/>
  <c r="BD239" i="3"/>
  <c r="AN239" i="3"/>
  <c r="X239" i="3"/>
  <c r="H239" i="3"/>
  <c r="BA238" i="3"/>
  <c r="AK238" i="3"/>
  <c r="U238" i="3"/>
  <c r="BJ237" i="3"/>
  <c r="AT237" i="3"/>
  <c r="AD237" i="3"/>
  <c r="N237" i="3"/>
  <c r="BC236" i="3"/>
  <c r="AM236" i="3"/>
  <c r="W236" i="3"/>
  <c r="G236" i="3"/>
  <c r="AM327" i="3"/>
  <c r="G327" i="3"/>
  <c r="AT326" i="3"/>
  <c r="Y326" i="3"/>
  <c r="BK325" i="3"/>
  <c r="AU325" i="3"/>
  <c r="AE325" i="3"/>
  <c r="O325" i="3"/>
  <c r="BH324" i="3"/>
  <c r="AR324" i="3"/>
  <c r="AB324" i="3"/>
  <c r="L324" i="3"/>
  <c r="BE323" i="3"/>
  <c r="AO323" i="3"/>
  <c r="Y323" i="3"/>
  <c r="I323" i="3"/>
  <c r="AX322" i="3"/>
  <c r="AH322" i="3"/>
  <c r="R322" i="3"/>
  <c r="BG321" i="3"/>
  <c r="AQ321" i="3"/>
  <c r="AA321" i="3"/>
  <c r="K321" i="3"/>
  <c r="BD320" i="3"/>
  <c r="AN320" i="3"/>
  <c r="X320" i="3"/>
  <c r="H320" i="3"/>
  <c r="BA319" i="3"/>
  <c r="AK319" i="3"/>
  <c r="U319" i="3"/>
  <c r="BJ318" i="3"/>
  <c r="AT318" i="3"/>
  <c r="AD318" i="3"/>
  <c r="N318" i="3"/>
  <c r="BC317" i="3"/>
  <c r="AM317" i="3"/>
  <c r="W317" i="3"/>
  <c r="G317" i="3"/>
  <c r="AZ316" i="3"/>
  <c r="AJ316" i="3"/>
  <c r="T316" i="3"/>
  <c r="BM315" i="3"/>
  <c r="AW315" i="3"/>
  <c r="AG315" i="3"/>
  <c r="Q315" i="3"/>
  <c r="BF314" i="3"/>
  <c r="AP314" i="3"/>
  <c r="Z314" i="3"/>
  <c r="J314" i="3"/>
  <c r="AY313" i="3"/>
  <c r="AI313" i="3"/>
  <c r="S313" i="3"/>
  <c r="BL312" i="3"/>
  <c r="AV312" i="3"/>
  <c r="AF312" i="3"/>
  <c r="P312" i="3"/>
  <c r="BI311" i="3"/>
  <c r="AS311" i="3"/>
  <c r="AC311" i="3"/>
  <c r="M311" i="3"/>
  <c r="BB310" i="3"/>
  <c r="AL310" i="3"/>
  <c r="V310" i="3"/>
  <c r="BK309" i="3"/>
  <c r="AU309" i="3"/>
  <c r="AE309" i="3"/>
  <c r="O309" i="3"/>
  <c r="BH308" i="3"/>
  <c r="AR308" i="3"/>
  <c r="AB308" i="3"/>
  <c r="L308" i="3"/>
  <c r="BE307" i="3"/>
  <c r="AO307" i="3"/>
  <c r="Y307" i="3"/>
  <c r="I307" i="3"/>
  <c r="AX306" i="3"/>
  <c r="AH306" i="3"/>
  <c r="R306" i="3"/>
  <c r="BG305" i="3"/>
  <c r="AQ305" i="3"/>
  <c r="AA305" i="3"/>
  <c r="K305" i="3"/>
  <c r="BD304" i="3"/>
  <c r="AN304" i="3"/>
  <c r="X304" i="3"/>
  <c r="H304" i="3"/>
  <c r="BA303" i="3"/>
  <c r="AK303" i="3"/>
  <c r="U303" i="3"/>
  <c r="BJ302" i="3"/>
  <c r="AT302" i="3"/>
  <c r="AD302" i="3"/>
  <c r="N302" i="3"/>
  <c r="BC301" i="3"/>
  <c r="AM301" i="3"/>
  <c r="W301" i="3"/>
  <c r="G301" i="3"/>
  <c r="AZ300" i="3"/>
  <c r="AJ300" i="3"/>
  <c r="T300" i="3"/>
  <c r="BM299" i="3"/>
  <c r="AW299" i="3"/>
  <c r="AG299" i="3"/>
  <c r="Q299" i="3"/>
  <c r="BF298" i="3"/>
  <c r="AP298" i="3"/>
  <c r="Z298" i="3"/>
  <c r="J298" i="3"/>
  <c r="AY297" i="3"/>
  <c r="AI297" i="3"/>
  <c r="S297" i="3"/>
  <c r="BL296" i="3"/>
  <c r="AV296" i="3"/>
  <c r="AF296" i="3"/>
  <c r="P296" i="3"/>
  <c r="BI295" i="3"/>
  <c r="AS295" i="3"/>
  <c r="AC295" i="3"/>
  <c r="M295" i="3"/>
  <c r="BB294" i="3"/>
  <c r="AL294" i="3"/>
  <c r="V294" i="3"/>
  <c r="BK293" i="3"/>
  <c r="AU293" i="3"/>
  <c r="AE293" i="3"/>
  <c r="O293" i="3"/>
  <c r="BF290" i="3"/>
  <c r="AP290" i="3"/>
  <c r="Z290" i="3"/>
  <c r="J290" i="3"/>
  <c r="AY289" i="3"/>
  <c r="AI289" i="3"/>
  <c r="S289" i="3"/>
  <c r="BL288" i="3"/>
  <c r="AV288" i="3"/>
  <c r="AF288" i="3"/>
  <c r="P288" i="3"/>
  <c r="BI287" i="3"/>
  <c r="AS287" i="3"/>
  <c r="AC287" i="3"/>
  <c r="M287" i="3"/>
  <c r="BB286" i="3"/>
  <c r="AL286" i="3"/>
  <c r="V286" i="3"/>
  <c r="BK285" i="3"/>
  <c r="AU285" i="3"/>
  <c r="AE285" i="3"/>
  <c r="O285" i="3"/>
  <c r="BH284" i="3"/>
  <c r="AR284" i="3"/>
  <c r="AB284" i="3"/>
  <c r="L284" i="3"/>
  <c r="BE283" i="3"/>
  <c r="AO283" i="3"/>
  <c r="Y283" i="3"/>
  <c r="I283" i="3"/>
  <c r="AX282" i="3"/>
  <c r="AH282" i="3"/>
  <c r="R282" i="3"/>
  <c r="BG281" i="3"/>
  <c r="AQ281" i="3"/>
  <c r="AA281" i="3"/>
  <c r="K281" i="3"/>
  <c r="BD280" i="3"/>
  <c r="AN280" i="3"/>
  <c r="X280" i="3"/>
  <c r="H280" i="3"/>
  <c r="BA279" i="3"/>
  <c r="AK279" i="3"/>
  <c r="U279" i="3"/>
  <c r="BJ278" i="3"/>
  <c r="AT278" i="3"/>
  <c r="AD278" i="3"/>
  <c r="N278" i="3"/>
  <c r="BC277" i="3"/>
  <c r="AM277" i="3"/>
  <c r="W277" i="3"/>
  <c r="G277" i="3"/>
  <c r="AZ276" i="3"/>
  <c r="AJ276" i="3"/>
  <c r="T276" i="3"/>
  <c r="BM275" i="3"/>
  <c r="AW275" i="3"/>
  <c r="AG275" i="3"/>
  <c r="Q275" i="3"/>
  <c r="BF274" i="3"/>
  <c r="AP274" i="3"/>
  <c r="Z274" i="3"/>
  <c r="J274" i="3"/>
  <c r="AY273" i="3"/>
  <c r="AI273" i="3"/>
  <c r="S273" i="3"/>
  <c r="BL272" i="3"/>
  <c r="AV272" i="3"/>
  <c r="AF272" i="3"/>
  <c r="P272" i="3"/>
  <c r="BI271" i="3"/>
  <c r="AS271" i="3"/>
  <c r="AC271" i="3"/>
  <c r="M271" i="3"/>
  <c r="BB270" i="3"/>
  <c r="AL270" i="3"/>
  <c r="V270" i="3"/>
  <c r="BK269" i="3"/>
  <c r="AU269" i="3"/>
  <c r="AE269" i="3"/>
  <c r="O269" i="3"/>
  <c r="BH268" i="3"/>
  <c r="AR268" i="3"/>
  <c r="AB268" i="3"/>
  <c r="L268" i="3"/>
  <c r="BE267" i="3"/>
  <c r="AO267" i="3"/>
  <c r="Y267" i="3"/>
  <c r="I267" i="3"/>
  <c r="AX266" i="3"/>
  <c r="AH266" i="3"/>
  <c r="R266" i="3"/>
  <c r="BG265" i="3"/>
  <c r="AQ265" i="3"/>
  <c r="AA265" i="3"/>
  <c r="K265" i="3"/>
  <c r="BD264" i="3"/>
  <c r="AN264" i="3"/>
  <c r="X264" i="3"/>
  <c r="H264" i="3"/>
  <c r="BA263" i="3"/>
  <c r="AK263" i="3"/>
  <c r="U263" i="3"/>
  <c r="BJ262" i="3"/>
  <c r="AT262" i="3"/>
  <c r="AD262" i="3"/>
  <c r="N262" i="3"/>
  <c r="BC261" i="3"/>
  <c r="AM261" i="3"/>
  <c r="W261" i="3"/>
  <c r="G261" i="3"/>
  <c r="AZ260" i="3"/>
  <c r="AJ260" i="3"/>
  <c r="T260" i="3"/>
  <c r="BM259" i="3"/>
  <c r="AW259" i="3"/>
  <c r="AG259" i="3"/>
  <c r="Q259" i="3"/>
  <c r="BF258" i="3"/>
  <c r="AP258" i="3"/>
  <c r="Z258" i="3"/>
  <c r="J258" i="3"/>
  <c r="AY257" i="3"/>
  <c r="AI257" i="3"/>
  <c r="S257" i="3"/>
  <c r="BL256" i="3"/>
  <c r="AV256" i="3"/>
  <c r="AF256" i="3"/>
  <c r="P256" i="3"/>
  <c r="BI255" i="3"/>
  <c r="AS255" i="3"/>
  <c r="AC255" i="3"/>
  <c r="M255" i="3"/>
  <c r="BB254" i="3"/>
  <c r="AL254" i="3"/>
  <c r="V254" i="3"/>
  <c r="BK253" i="3"/>
  <c r="AU253" i="3"/>
  <c r="AE253" i="3"/>
  <c r="O253" i="3"/>
  <c r="BH252" i="3"/>
  <c r="AR252" i="3"/>
  <c r="AB252" i="3"/>
  <c r="L252" i="3"/>
  <c r="BE251" i="3"/>
  <c r="AO251" i="3"/>
  <c r="Y251" i="3"/>
  <c r="I251" i="3"/>
  <c r="BA249" i="3"/>
  <c r="AK249" i="3"/>
  <c r="U249" i="3"/>
  <c r="BJ248" i="3"/>
  <c r="AT248" i="3"/>
  <c r="AD248" i="3"/>
  <c r="N248" i="3"/>
  <c r="BC247" i="3"/>
  <c r="AM247" i="3"/>
  <c r="W247" i="3"/>
  <c r="G247" i="3"/>
  <c r="AZ246" i="3"/>
  <c r="AJ246" i="3"/>
  <c r="T246" i="3"/>
  <c r="BM245" i="3"/>
  <c r="AW245" i="3"/>
  <c r="AG245" i="3"/>
  <c r="Q245" i="3"/>
  <c r="BF244" i="3"/>
  <c r="AP244" i="3"/>
  <c r="Z244" i="3"/>
  <c r="J244" i="3"/>
  <c r="AY243" i="3"/>
  <c r="AI243" i="3"/>
  <c r="S243" i="3"/>
  <c r="BL242" i="3"/>
  <c r="AV242" i="3"/>
  <c r="AF242" i="3"/>
  <c r="P242" i="3"/>
  <c r="BI241" i="3"/>
  <c r="AS241" i="3"/>
  <c r="AC241" i="3"/>
  <c r="M241" i="3"/>
  <c r="BB240" i="3"/>
  <c r="AL240" i="3"/>
  <c r="V240" i="3"/>
  <c r="BK239" i="3"/>
  <c r="AU239" i="3"/>
  <c r="AE239" i="3"/>
  <c r="O239" i="3"/>
  <c r="BH238" i="3"/>
  <c r="AR238" i="3"/>
  <c r="AB238" i="3"/>
  <c r="L238" i="3"/>
  <c r="BE237" i="3"/>
  <c r="AO237" i="3"/>
  <c r="Y237" i="3"/>
  <c r="I237" i="3"/>
  <c r="AX236" i="3"/>
  <c r="AH236" i="3"/>
  <c r="R236" i="3"/>
  <c r="BG235" i="3"/>
  <c r="AQ235" i="3"/>
  <c r="AA235" i="3"/>
  <c r="AC235" i="3"/>
  <c r="G235" i="3"/>
  <c r="AU234" i="3"/>
  <c r="AE234" i="3"/>
  <c r="O234" i="3"/>
  <c r="BH233" i="3"/>
  <c r="AR233" i="3"/>
  <c r="AB233" i="3"/>
  <c r="L233" i="3"/>
  <c r="BE232" i="3"/>
  <c r="AO232" i="3"/>
  <c r="Y232" i="3"/>
  <c r="I232" i="3"/>
  <c r="AX231" i="3"/>
  <c r="AH231" i="3"/>
  <c r="R231" i="3"/>
  <c r="BG230" i="3"/>
  <c r="AQ230" i="3"/>
  <c r="AA230" i="3"/>
  <c r="K230" i="3"/>
  <c r="BD229" i="3"/>
  <c r="AN229" i="3"/>
  <c r="X229" i="3"/>
  <c r="H229" i="3"/>
  <c r="BA228" i="3"/>
  <c r="AK228" i="3"/>
  <c r="U228" i="3"/>
  <c r="BJ227" i="3"/>
  <c r="AT227" i="3"/>
  <c r="AD227" i="3"/>
  <c r="N227" i="3"/>
  <c r="BC226" i="3"/>
  <c r="AM226" i="3"/>
  <c r="W226" i="3"/>
  <c r="G226" i="3"/>
  <c r="AZ225" i="3"/>
  <c r="AJ225" i="3"/>
  <c r="T225" i="3"/>
  <c r="BM224" i="3"/>
  <c r="AW224" i="3"/>
  <c r="AG224" i="3"/>
  <c r="Q224" i="3"/>
  <c r="BF223" i="3"/>
  <c r="AP223" i="3"/>
  <c r="Z223" i="3"/>
  <c r="J223" i="3"/>
  <c r="AY222" i="3"/>
  <c r="AI222" i="3"/>
  <c r="S222" i="3"/>
  <c r="BL221" i="3"/>
  <c r="AV221" i="3"/>
  <c r="AF221" i="3"/>
  <c r="P221" i="3"/>
  <c r="BI220" i="3"/>
  <c r="AS220" i="3"/>
  <c r="AC220" i="3"/>
  <c r="M220" i="3"/>
  <c r="BB219" i="3"/>
  <c r="AL219" i="3"/>
  <c r="V219" i="3"/>
  <c r="BK218" i="3"/>
  <c r="AU218" i="3"/>
  <c r="AE218" i="3"/>
  <c r="O218" i="3"/>
  <c r="BH217" i="3"/>
  <c r="AR217" i="3"/>
  <c r="AB217" i="3"/>
  <c r="L217" i="3"/>
  <c r="BE216" i="3"/>
  <c r="AO216" i="3"/>
  <c r="Y216" i="3"/>
  <c r="I216" i="3"/>
  <c r="AX215" i="3"/>
  <c r="AH215" i="3"/>
  <c r="R215" i="3"/>
  <c r="BG214" i="3"/>
  <c r="AQ214" i="3"/>
  <c r="AA214" i="3"/>
  <c r="K214" i="3"/>
  <c r="BD213" i="3"/>
  <c r="AN213" i="3"/>
  <c r="X213" i="3"/>
  <c r="H213" i="3"/>
  <c r="BA212" i="3"/>
  <c r="AK212" i="3"/>
  <c r="U212" i="3"/>
  <c r="BJ211" i="3"/>
  <c r="AT211" i="3"/>
  <c r="AD211" i="3"/>
  <c r="N211" i="3"/>
  <c r="BC210" i="3"/>
  <c r="AM210" i="3"/>
  <c r="W210" i="3"/>
  <c r="G210" i="3"/>
  <c r="AY208" i="3"/>
  <c r="AI208" i="3"/>
  <c r="S208" i="3"/>
  <c r="BL207" i="3"/>
  <c r="AV207" i="3"/>
  <c r="AF207" i="3"/>
  <c r="P207" i="3"/>
  <c r="BI206" i="3"/>
  <c r="AS206" i="3"/>
  <c r="AC206" i="3"/>
  <c r="M206" i="3"/>
  <c r="BB205" i="3"/>
  <c r="AL205" i="3"/>
  <c r="V205" i="3"/>
  <c r="BK204" i="3"/>
  <c r="AU204" i="3"/>
  <c r="AE204" i="3"/>
  <c r="O204" i="3"/>
  <c r="BH203" i="3"/>
  <c r="AR203" i="3"/>
  <c r="AB203" i="3"/>
  <c r="L203" i="3"/>
  <c r="BE202" i="3"/>
  <c r="AO202" i="3"/>
  <c r="Y202" i="3"/>
  <c r="I202" i="3"/>
  <c r="AX201" i="3"/>
  <c r="AH201" i="3"/>
  <c r="R201" i="3"/>
  <c r="BG200" i="3"/>
  <c r="AQ200" i="3"/>
  <c r="AA200" i="3"/>
  <c r="K200" i="3"/>
  <c r="BD199" i="3"/>
  <c r="AN199" i="3"/>
  <c r="X199" i="3"/>
  <c r="H199" i="3"/>
  <c r="BA198" i="3"/>
  <c r="AK198" i="3"/>
  <c r="U198" i="3"/>
  <c r="BJ197" i="3"/>
  <c r="AT197" i="3"/>
  <c r="AD197" i="3"/>
  <c r="N197" i="3"/>
  <c r="BC196" i="3"/>
  <c r="AM196" i="3"/>
  <c r="W196" i="3"/>
  <c r="G196" i="3"/>
  <c r="AZ195" i="3"/>
  <c r="AJ195" i="3"/>
  <c r="T195" i="3"/>
  <c r="BM194" i="3"/>
  <c r="AW194" i="3"/>
  <c r="AG194" i="3"/>
  <c r="Q194" i="3"/>
  <c r="BF193" i="3"/>
  <c r="AP193" i="3"/>
  <c r="Z193" i="3"/>
  <c r="J193" i="3"/>
  <c r="AY192" i="3"/>
  <c r="AI192" i="3"/>
  <c r="S192" i="3"/>
  <c r="BL191" i="3"/>
  <c r="AV191" i="3"/>
  <c r="AF191" i="3"/>
  <c r="P191" i="3"/>
  <c r="BI190" i="3"/>
  <c r="AS190" i="3"/>
  <c r="AC190" i="3"/>
  <c r="M190" i="3"/>
  <c r="BB189" i="3"/>
  <c r="AL189" i="3"/>
  <c r="V189" i="3"/>
  <c r="BK188" i="3"/>
  <c r="AU188" i="3"/>
  <c r="AE188" i="3"/>
  <c r="O188" i="3"/>
  <c r="BH187" i="3"/>
  <c r="AR187" i="3"/>
  <c r="AB187" i="3"/>
  <c r="L187" i="3"/>
  <c r="BE186" i="3"/>
  <c r="AO186" i="3"/>
  <c r="Y186" i="3"/>
  <c r="I186" i="3"/>
  <c r="AX185" i="3"/>
  <c r="AH185" i="3"/>
  <c r="R185" i="3"/>
  <c r="BG184" i="3"/>
  <c r="AQ184" i="3"/>
  <c r="AA184" i="3"/>
  <c r="K184" i="3"/>
  <c r="BD183" i="3"/>
  <c r="AN183" i="3"/>
  <c r="X183" i="3"/>
  <c r="H183" i="3"/>
  <c r="BA182" i="3"/>
  <c r="AK182" i="3"/>
  <c r="U182" i="3"/>
  <c r="BJ181" i="3"/>
  <c r="AT181" i="3"/>
  <c r="AD181" i="3"/>
  <c r="N181" i="3"/>
  <c r="BC180" i="3"/>
  <c r="AM180" i="3"/>
  <c r="W180" i="3"/>
  <c r="G180" i="3"/>
  <c r="AZ179" i="3"/>
  <c r="AJ179" i="3"/>
  <c r="T179" i="3"/>
  <c r="BM178" i="3"/>
  <c r="AW178" i="3"/>
  <c r="AG178" i="3"/>
  <c r="Q178" i="3"/>
  <c r="BF177" i="3"/>
  <c r="AP177" i="3"/>
  <c r="Z177" i="3"/>
  <c r="J177" i="3"/>
  <c r="AY176" i="3"/>
  <c r="AI176" i="3"/>
  <c r="S176" i="3"/>
  <c r="BL175" i="3"/>
  <c r="AV175" i="3"/>
  <c r="AF175" i="3"/>
  <c r="P175" i="3"/>
  <c r="BI174" i="3"/>
  <c r="AS174" i="3"/>
  <c r="AC174" i="3"/>
  <c r="M174" i="3"/>
  <c r="BB173" i="3"/>
  <c r="AL173" i="3"/>
  <c r="V173" i="3"/>
  <c r="BK172" i="3"/>
  <c r="AU172" i="3"/>
  <c r="AE172" i="3"/>
  <c r="O172" i="3"/>
  <c r="BH171" i="3"/>
  <c r="AR171" i="3"/>
  <c r="AB171" i="3"/>
  <c r="L171" i="3"/>
  <c r="BE170" i="3"/>
  <c r="AO170" i="3"/>
  <c r="Y170" i="3"/>
  <c r="I170" i="3"/>
  <c r="AX169" i="3"/>
  <c r="AH169" i="3"/>
  <c r="R169" i="3"/>
  <c r="BF167" i="3"/>
  <c r="AP167" i="3"/>
  <c r="Z167" i="3"/>
  <c r="J167" i="3"/>
  <c r="AY166" i="3"/>
  <c r="AI166" i="3"/>
  <c r="S166" i="3"/>
  <c r="BL165" i="3"/>
  <c r="AV165" i="3"/>
  <c r="AF165" i="3"/>
  <c r="P165" i="3"/>
  <c r="BI164" i="3"/>
  <c r="AS164" i="3"/>
  <c r="AC164" i="3"/>
  <c r="M164" i="3"/>
  <c r="BB163" i="3"/>
  <c r="AL163" i="3"/>
  <c r="V163" i="3"/>
  <c r="BK162" i="3"/>
  <c r="AU162" i="3"/>
  <c r="AE162" i="3"/>
  <c r="O162" i="3"/>
  <c r="BH161" i="3"/>
  <c r="AR161" i="3"/>
  <c r="AB161" i="3"/>
  <c r="L161" i="3"/>
  <c r="BE160" i="3"/>
  <c r="AO160" i="3"/>
  <c r="Y160" i="3"/>
  <c r="I160" i="3"/>
  <c r="AX159" i="3"/>
  <c r="AH159" i="3"/>
  <c r="R159" i="3"/>
  <c r="BG158" i="3"/>
  <c r="AQ158" i="3"/>
  <c r="AA158" i="3"/>
  <c r="K158" i="3"/>
  <c r="BD157" i="3"/>
  <c r="AN157" i="3"/>
  <c r="X157" i="3"/>
  <c r="H157" i="3"/>
  <c r="BA156" i="3"/>
  <c r="AK156" i="3"/>
  <c r="U156" i="3"/>
  <c r="BJ155" i="3"/>
  <c r="AT155" i="3"/>
  <c r="AD155" i="3"/>
  <c r="N155" i="3"/>
  <c r="BC154" i="3"/>
  <c r="AM154" i="3"/>
  <c r="W154" i="3"/>
  <c r="G154" i="3"/>
  <c r="AZ153" i="3"/>
  <c r="AJ153" i="3"/>
  <c r="T153" i="3"/>
  <c r="BM152" i="3"/>
  <c r="AW152" i="3"/>
  <c r="AG152" i="3"/>
  <c r="Q152" i="3"/>
  <c r="BF151" i="3"/>
  <c r="AP151" i="3"/>
  <c r="Z151" i="3"/>
  <c r="J151" i="3"/>
  <c r="AY150" i="3"/>
  <c r="AI150" i="3"/>
  <c r="S150" i="3"/>
  <c r="BL149" i="3"/>
  <c r="AV149" i="3"/>
  <c r="AF149" i="3"/>
  <c r="P149" i="3"/>
  <c r="BI148" i="3"/>
  <c r="AS148" i="3"/>
  <c r="AC148" i="3"/>
  <c r="M148" i="3"/>
  <c r="BB147" i="3"/>
  <c r="AL147" i="3"/>
  <c r="V147" i="3"/>
  <c r="BK146" i="3"/>
  <c r="AU146" i="3"/>
  <c r="AE146" i="3"/>
  <c r="O146" i="3"/>
  <c r="BH145" i="3"/>
  <c r="AR145" i="3"/>
  <c r="AB145" i="3"/>
  <c r="L145" i="3"/>
  <c r="BE144" i="3"/>
  <c r="AO144" i="3"/>
  <c r="Y144" i="3"/>
  <c r="I144" i="3"/>
  <c r="AB235" i="3"/>
  <c r="BI234" i="3"/>
  <c r="AP234" i="3"/>
  <c r="Z234" i="3"/>
  <c r="J234" i="3"/>
  <c r="AY233" i="3"/>
  <c r="AI233" i="3"/>
  <c r="S233" i="3"/>
  <c r="BL232" i="3"/>
  <c r="AV232" i="3"/>
  <c r="AF232" i="3"/>
  <c r="P232" i="3"/>
  <c r="BI231" i="3"/>
  <c r="AS231" i="3"/>
  <c r="AC231" i="3"/>
  <c r="M231" i="3"/>
  <c r="BB230" i="3"/>
  <c r="AL230" i="3"/>
  <c r="V230" i="3"/>
  <c r="BK229" i="3"/>
  <c r="AU229" i="3"/>
  <c r="AE229" i="3"/>
  <c r="O229" i="3"/>
  <c r="BH228" i="3"/>
  <c r="AR228" i="3"/>
  <c r="AB228" i="3"/>
  <c r="L228" i="3"/>
  <c r="BE227" i="3"/>
  <c r="AO227" i="3"/>
  <c r="Y227" i="3"/>
  <c r="I227" i="3"/>
  <c r="AX226" i="3"/>
  <c r="AH226" i="3"/>
  <c r="R226" i="3"/>
  <c r="BG225" i="3"/>
  <c r="AQ225" i="3"/>
  <c r="AA225" i="3"/>
  <c r="K225" i="3"/>
  <c r="BD224" i="3"/>
  <c r="AN224" i="3"/>
  <c r="X224" i="3"/>
  <c r="H224" i="3"/>
  <c r="BA223" i="3"/>
  <c r="AK223" i="3"/>
  <c r="U223" i="3"/>
  <c r="BJ222" i="3"/>
  <c r="AT222" i="3"/>
  <c r="AD222" i="3"/>
  <c r="N222" i="3"/>
  <c r="BC221" i="3"/>
  <c r="AM221" i="3"/>
  <c r="W221" i="3"/>
  <c r="G221" i="3"/>
  <c r="AZ220" i="3"/>
  <c r="AJ220" i="3"/>
  <c r="T220" i="3"/>
  <c r="BM219" i="3"/>
  <c r="AW219" i="3"/>
  <c r="AG219" i="3"/>
  <c r="Q219" i="3"/>
  <c r="BF218" i="3"/>
  <c r="AP218" i="3"/>
  <c r="Z218" i="3"/>
  <c r="J218" i="3"/>
  <c r="AY217" i="3"/>
  <c r="AI217" i="3"/>
  <c r="S217" i="3"/>
  <c r="BL216" i="3"/>
  <c r="AV216" i="3"/>
  <c r="AF216" i="3"/>
  <c r="P216" i="3"/>
  <c r="BI215" i="3"/>
  <c r="AS215" i="3"/>
  <c r="AC215" i="3"/>
  <c r="M215" i="3"/>
  <c r="BB214" i="3"/>
  <c r="AL214" i="3"/>
  <c r="V214" i="3"/>
  <c r="BK213" i="3"/>
  <c r="AU213" i="3"/>
  <c r="AE213" i="3"/>
  <c r="O213" i="3"/>
  <c r="BH212" i="3"/>
  <c r="AR212" i="3"/>
  <c r="AB212" i="3"/>
  <c r="L212" i="3"/>
  <c r="BE211" i="3"/>
  <c r="AO211" i="3"/>
  <c r="Y211" i="3"/>
  <c r="I211" i="3"/>
  <c r="AX210" i="3"/>
  <c r="AH210" i="3"/>
  <c r="R210" i="3"/>
  <c r="BF208" i="3"/>
  <c r="AP208" i="3"/>
  <c r="Z208" i="3"/>
  <c r="J208" i="3"/>
  <c r="AY207" i="3"/>
  <c r="AI207" i="3"/>
  <c r="S207" i="3"/>
  <c r="BL206" i="3"/>
  <c r="AV206" i="3"/>
  <c r="AF206" i="3"/>
  <c r="P206" i="3"/>
  <c r="BI205" i="3"/>
  <c r="AS205" i="3"/>
  <c r="AC205" i="3"/>
  <c r="M205" i="3"/>
  <c r="BB204" i="3"/>
  <c r="AL204" i="3"/>
  <c r="V204" i="3"/>
  <c r="BK203" i="3"/>
  <c r="AU203" i="3"/>
  <c r="AE203" i="3"/>
  <c r="O203" i="3"/>
  <c r="BH202" i="3"/>
  <c r="AR202" i="3"/>
  <c r="AB202" i="3"/>
  <c r="L202" i="3"/>
  <c r="BE201" i="3"/>
  <c r="AO201" i="3"/>
  <c r="Y201" i="3"/>
  <c r="I201" i="3"/>
  <c r="AX200" i="3"/>
  <c r="AH200" i="3"/>
  <c r="R200" i="3"/>
  <c r="BG199" i="3"/>
  <c r="AQ199" i="3"/>
  <c r="AA199" i="3"/>
  <c r="K199" i="3"/>
  <c r="BD198" i="3"/>
  <c r="AN198" i="3"/>
  <c r="X198" i="3"/>
  <c r="H198" i="3"/>
  <c r="BA197" i="3"/>
  <c r="AK197" i="3"/>
  <c r="U197" i="3"/>
  <c r="BJ196" i="3"/>
  <c r="AT196" i="3"/>
  <c r="AD196" i="3"/>
  <c r="N196" i="3"/>
  <c r="BC195" i="3"/>
  <c r="AM195" i="3"/>
  <c r="W195" i="3"/>
  <c r="G195" i="3"/>
  <c r="AZ194" i="3"/>
  <c r="AJ194" i="3"/>
  <c r="T194" i="3"/>
  <c r="BM193" i="3"/>
  <c r="AW193" i="3"/>
  <c r="AG193" i="3"/>
  <c r="Q193" i="3"/>
  <c r="BF192" i="3"/>
  <c r="AP192" i="3"/>
  <c r="Z192" i="3"/>
  <c r="J192" i="3"/>
  <c r="AY191" i="3"/>
  <c r="AI191" i="3"/>
  <c r="S191" i="3"/>
  <c r="BL190" i="3"/>
  <c r="AV190" i="3"/>
  <c r="AF190" i="3"/>
  <c r="P190" i="3"/>
  <c r="BI189" i="3"/>
  <c r="AS189" i="3"/>
  <c r="AC189" i="3"/>
  <c r="M189" i="3"/>
  <c r="BB188" i="3"/>
  <c r="AL188" i="3"/>
  <c r="V188" i="3"/>
  <c r="BK187" i="3"/>
  <c r="AU187" i="3"/>
  <c r="AE187" i="3"/>
  <c r="O187" i="3"/>
  <c r="BH186" i="3"/>
  <c r="AR186" i="3"/>
  <c r="AB186" i="3"/>
  <c r="L186" i="3"/>
  <c r="BE185" i="3"/>
  <c r="AO185" i="3"/>
  <c r="Y185" i="3"/>
  <c r="I185" i="3"/>
  <c r="AX184" i="3"/>
  <c r="AH184" i="3"/>
  <c r="R184" i="3"/>
  <c r="BG183" i="3"/>
  <c r="AQ183" i="3"/>
  <c r="AA183" i="3"/>
  <c r="K183" i="3"/>
  <c r="BD182" i="3"/>
  <c r="AN182" i="3"/>
  <c r="X182" i="3"/>
  <c r="H182" i="3"/>
  <c r="BA181" i="3"/>
  <c r="AK181" i="3"/>
  <c r="U181" i="3"/>
  <c r="BJ180" i="3"/>
  <c r="AT180" i="3"/>
  <c r="AD180" i="3"/>
  <c r="N180" i="3"/>
  <c r="BC179" i="3"/>
  <c r="AM179" i="3"/>
  <c r="W179" i="3"/>
  <c r="G179" i="3"/>
  <c r="AZ178" i="3"/>
  <c r="AJ178" i="3"/>
  <c r="T178" i="3"/>
  <c r="BM177" i="3"/>
  <c r="AW177" i="3"/>
  <c r="AG177" i="3"/>
  <c r="Q177" i="3"/>
  <c r="BF176" i="3"/>
  <c r="AP176" i="3"/>
  <c r="Z176" i="3"/>
  <c r="J176" i="3"/>
  <c r="AY175" i="3"/>
  <c r="AI175" i="3"/>
  <c r="S175" i="3"/>
  <c r="BL174" i="3"/>
  <c r="AV174" i="3"/>
  <c r="AF174" i="3"/>
  <c r="P174" i="3"/>
  <c r="BI173" i="3"/>
  <c r="AS173" i="3"/>
  <c r="AC173" i="3"/>
  <c r="M173" i="3"/>
  <c r="BB172" i="3"/>
  <c r="AL172" i="3"/>
  <c r="V172" i="3"/>
  <c r="BK171" i="3"/>
  <c r="AU171" i="3"/>
  <c r="AE171" i="3"/>
  <c r="O171" i="3"/>
  <c r="BH170" i="3"/>
  <c r="AR170" i="3"/>
  <c r="AB170" i="3"/>
  <c r="L170" i="3"/>
  <c r="BE169" i="3"/>
  <c r="AO169" i="3"/>
  <c r="Y169" i="3"/>
  <c r="I169" i="3"/>
  <c r="BA167" i="3"/>
  <c r="AK167" i="3"/>
  <c r="U167" i="3"/>
  <c r="BJ166" i="3"/>
  <c r="AT166" i="3"/>
  <c r="AD166" i="3"/>
  <c r="N166" i="3"/>
  <c r="BC165" i="3"/>
  <c r="AM165" i="3"/>
  <c r="W165" i="3"/>
  <c r="G165" i="3"/>
  <c r="AZ164" i="3"/>
  <c r="AJ164" i="3"/>
  <c r="T164" i="3"/>
  <c r="BM163" i="3"/>
  <c r="AW163" i="3"/>
  <c r="AG163" i="3"/>
  <c r="Q163" i="3"/>
  <c r="BF162" i="3"/>
  <c r="AP162" i="3"/>
  <c r="Z162" i="3"/>
  <c r="J162" i="3"/>
  <c r="AY161" i="3"/>
  <c r="AI161" i="3"/>
  <c r="S161" i="3"/>
  <c r="BL160" i="3"/>
  <c r="AV160" i="3"/>
  <c r="AF160" i="3"/>
  <c r="P160" i="3"/>
  <c r="BI159" i="3"/>
  <c r="AS159" i="3"/>
  <c r="AC159" i="3"/>
  <c r="M159" i="3"/>
  <c r="BB158" i="3"/>
  <c r="AL158" i="3"/>
  <c r="V158" i="3"/>
  <c r="BK157" i="3"/>
  <c r="AU157" i="3"/>
  <c r="AE157" i="3"/>
  <c r="O157" i="3"/>
  <c r="BH156" i="3"/>
  <c r="AR156" i="3"/>
  <c r="AB156" i="3"/>
  <c r="L156" i="3"/>
  <c r="BE155" i="3"/>
  <c r="AO155" i="3"/>
  <c r="Y155" i="3"/>
  <c r="I155" i="3"/>
  <c r="AX154" i="3"/>
  <c r="AH154" i="3"/>
  <c r="R154" i="3"/>
  <c r="BG153" i="3"/>
  <c r="AQ153" i="3"/>
  <c r="AA153" i="3"/>
  <c r="K153" i="3"/>
  <c r="BD152" i="3"/>
  <c r="AN152" i="3"/>
  <c r="X152" i="3"/>
  <c r="H152" i="3"/>
  <c r="BA151" i="3"/>
  <c r="AK151" i="3"/>
  <c r="U151" i="3"/>
  <c r="BJ150" i="3"/>
  <c r="AT150" i="3"/>
  <c r="AD150" i="3"/>
  <c r="N150" i="3"/>
  <c r="BC149" i="3"/>
  <c r="AM149" i="3"/>
  <c r="W149" i="3"/>
  <c r="G149" i="3"/>
  <c r="AZ148" i="3"/>
  <c r="AJ148" i="3"/>
  <c r="T148" i="3"/>
  <c r="BM147" i="3"/>
  <c r="AW147" i="3"/>
  <c r="AG147" i="3"/>
  <c r="Q147" i="3"/>
  <c r="BF146" i="3"/>
  <c r="AP146" i="3"/>
  <c r="Z146" i="3"/>
  <c r="J146" i="3"/>
  <c r="AY145" i="3"/>
  <c r="AI145" i="3"/>
  <c r="S145" i="3"/>
  <c r="BL144" i="3"/>
  <c r="AV144" i="3"/>
  <c r="AF144" i="3"/>
  <c r="Y235" i="3"/>
  <c r="BM234" i="3"/>
  <c r="AS234" i="3"/>
  <c r="AC234" i="3"/>
  <c r="M234" i="3"/>
  <c r="BB233" i="3"/>
  <c r="AL233" i="3"/>
  <c r="V233" i="3"/>
  <c r="BK232" i="3"/>
  <c r="AU232" i="3"/>
  <c r="AE232" i="3"/>
  <c r="O232" i="3"/>
  <c r="BH231" i="3"/>
  <c r="AR231" i="3"/>
  <c r="AB231" i="3"/>
  <c r="L231" i="3"/>
  <c r="BE230" i="3"/>
  <c r="AO230" i="3"/>
  <c r="Y230" i="3"/>
  <c r="I230" i="3"/>
  <c r="AX229" i="3"/>
  <c r="AH229" i="3"/>
  <c r="R229" i="3"/>
  <c r="BG228" i="3"/>
  <c r="AQ228" i="3"/>
  <c r="AA228" i="3"/>
  <c r="K228" i="3"/>
  <c r="BD227" i="3"/>
  <c r="AN227" i="3"/>
  <c r="X227" i="3"/>
  <c r="H227" i="3"/>
  <c r="BA226" i="3"/>
  <c r="AK226" i="3"/>
  <c r="U226" i="3"/>
  <c r="BJ225" i="3"/>
  <c r="AT225" i="3"/>
  <c r="AD225" i="3"/>
  <c r="N225" i="3"/>
  <c r="BC224" i="3"/>
  <c r="AM224" i="3"/>
  <c r="W224" i="3"/>
  <c r="G224" i="3"/>
  <c r="AZ223" i="3"/>
  <c r="AJ223" i="3"/>
  <c r="T223" i="3"/>
  <c r="BM222" i="3"/>
  <c r="AW222" i="3"/>
  <c r="AG222" i="3"/>
  <c r="Q222" i="3"/>
  <c r="BF221" i="3"/>
  <c r="AP221" i="3"/>
  <c r="Z221" i="3"/>
  <c r="J221" i="3"/>
  <c r="AY220" i="3"/>
  <c r="AI220" i="3"/>
  <c r="S220" i="3"/>
  <c r="BL219" i="3"/>
  <c r="AV219" i="3"/>
  <c r="AF219" i="3"/>
  <c r="P219" i="3"/>
  <c r="BI218" i="3"/>
  <c r="AS218" i="3"/>
  <c r="AC218" i="3"/>
  <c r="M218" i="3"/>
  <c r="BB217" i="3"/>
  <c r="AL217" i="3"/>
  <c r="V217" i="3"/>
  <c r="BK216" i="3"/>
  <c r="AU216" i="3"/>
  <c r="AE216" i="3"/>
  <c r="O216" i="3"/>
  <c r="BH215" i="3"/>
  <c r="AR215" i="3"/>
  <c r="AB215" i="3"/>
  <c r="L215" i="3"/>
  <c r="BE214" i="3"/>
  <c r="AO214" i="3"/>
  <c r="Y214" i="3"/>
  <c r="I214" i="3"/>
  <c r="AX213" i="3"/>
  <c r="AH213" i="3"/>
  <c r="R213" i="3"/>
  <c r="BG212" i="3"/>
  <c r="AQ212" i="3"/>
  <c r="AA212" i="3"/>
  <c r="K212" i="3"/>
  <c r="BD211" i="3"/>
  <c r="AN211" i="3"/>
  <c r="X211" i="3"/>
  <c r="H211" i="3"/>
  <c r="BA210" i="3"/>
  <c r="AK210" i="3"/>
  <c r="U210" i="3"/>
  <c r="BM208" i="3"/>
  <c r="AW208" i="3"/>
  <c r="AG208" i="3"/>
  <c r="Q208" i="3"/>
  <c r="BF207" i="3"/>
  <c r="AP207" i="3"/>
  <c r="Z207" i="3"/>
  <c r="J207" i="3"/>
  <c r="AY206" i="3"/>
  <c r="AI206" i="3"/>
  <c r="S206" i="3"/>
  <c r="BL205" i="3"/>
  <c r="AV205" i="3"/>
  <c r="AF205" i="3"/>
  <c r="P205" i="3"/>
  <c r="BI204" i="3"/>
  <c r="AS204" i="3"/>
  <c r="AC204" i="3"/>
  <c r="M204" i="3"/>
  <c r="BB203" i="3"/>
  <c r="AL203" i="3"/>
  <c r="V203" i="3"/>
  <c r="BK202" i="3"/>
  <c r="AU202" i="3"/>
  <c r="AE202" i="3"/>
  <c r="O202" i="3"/>
  <c r="BH201" i="3"/>
  <c r="AR201" i="3"/>
  <c r="AB201" i="3"/>
  <c r="L201" i="3"/>
  <c r="BE200" i="3"/>
  <c r="AO200" i="3"/>
  <c r="Y200" i="3"/>
  <c r="I200" i="3"/>
  <c r="AX199" i="3"/>
  <c r="AH199" i="3"/>
  <c r="R199" i="3"/>
  <c r="BG198" i="3"/>
  <c r="AQ198" i="3"/>
  <c r="AA198" i="3"/>
  <c r="K198" i="3"/>
  <c r="BD197" i="3"/>
  <c r="AN197" i="3"/>
  <c r="X197" i="3"/>
  <c r="H197" i="3"/>
  <c r="BA196" i="3"/>
  <c r="AK196" i="3"/>
  <c r="U196" i="3"/>
  <c r="BJ195" i="3"/>
  <c r="AT195" i="3"/>
  <c r="AD195" i="3"/>
  <c r="N195" i="3"/>
  <c r="BC194" i="3"/>
  <c r="AM194" i="3"/>
  <c r="W194" i="3"/>
  <c r="G194" i="3"/>
  <c r="AZ193" i="3"/>
  <c r="AJ193" i="3"/>
  <c r="T193" i="3"/>
  <c r="BM192" i="3"/>
  <c r="AW192" i="3"/>
  <c r="AG192" i="3"/>
  <c r="Q192" i="3"/>
  <c r="BF191" i="3"/>
  <c r="AP191" i="3"/>
  <c r="Z191" i="3"/>
  <c r="J191" i="3"/>
  <c r="AY190" i="3"/>
  <c r="AI190" i="3"/>
  <c r="S190" i="3"/>
  <c r="BL189" i="3"/>
  <c r="AV189" i="3"/>
  <c r="AF189" i="3"/>
  <c r="P189" i="3"/>
  <c r="BI188" i="3"/>
  <c r="AS188" i="3"/>
  <c r="AC188" i="3"/>
  <c r="M188" i="3"/>
  <c r="BB187" i="3"/>
  <c r="AL187" i="3"/>
  <c r="V187" i="3"/>
  <c r="BK186" i="3"/>
  <c r="AU186" i="3"/>
  <c r="AE186" i="3"/>
  <c r="O186" i="3"/>
  <c r="BH185" i="3"/>
  <c r="AR185" i="3"/>
  <c r="AB185" i="3"/>
  <c r="L185" i="3"/>
  <c r="BE184" i="3"/>
  <c r="AO184" i="3"/>
  <c r="Y184" i="3"/>
  <c r="I184" i="3"/>
  <c r="AX183" i="3"/>
  <c r="AH183" i="3"/>
  <c r="R183" i="3"/>
  <c r="BG182" i="3"/>
  <c r="AQ182" i="3"/>
  <c r="AA182" i="3"/>
  <c r="K182" i="3"/>
  <c r="BD181" i="3"/>
  <c r="AN181" i="3"/>
  <c r="X181" i="3"/>
  <c r="H181" i="3"/>
  <c r="BA180" i="3"/>
  <c r="AK180" i="3"/>
  <c r="U180" i="3"/>
  <c r="BJ179" i="3"/>
  <c r="AT179" i="3"/>
  <c r="AD179" i="3"/>
  <c r="N179" i="3"/>
  <c r="BC178" i="3"/>
  <c r="AM178" i="3"/>
  <c r="W178" i="3"/>
  <c r="G178" i="3"/>
  <c r="AZ177" i="3"/>
  <c r="AJ177" i="3"/>
  <c r="T177" i="3"/>
  <c r="BM176" i="3"/>
  <c r="AW176" i="3"/>
  <c r="AG176" i="3"/>
  <c r="Q176" i="3"/>
  <c r="BF175" i="3"/>
  <c r="AP175" i="3"/>
  <c r="Z175" i="3"/>
  <c r="J175" i="3"/>
  <c r="AY174" i="3"/>
  <c r="AI174" i="3"/>
  <c r="S174" i="3"/>
  <c r="BL173" i="3"/>
  <c r="AV173" i="3"/>
  <c r="AF173" i="3"/>
  <c r="P173" i="3"/>
  <c r="BI172" i="3"/>
  <c r="AS172" i="3"/>
  <c r="AC172" i="3"/>
  <c r="M172" i="3"/>
  <c r="BB171" i="3"/>
  <c r="AL171" i="3"/>
  <c r="V171" i="3"/>
  <c r="BK170" i="3"/>
  <c r="AU170" i="3"/>
  <c r="AE170" i="3"/>
  <c r="O170" i="3"/>
  <c r="BH169" i="3"/>
  <c r="AR169" i="3"/>
  <c r="AB169" i="3"/>
  <c r="L169" i="3"/>
  <c r="BD167" i="3"/>
  <c r="AN167" i="3"/>
  <c r="X167" i="3"/>
  <c r="H167" i="3"/>
  <c r="BA166" i="3"/>
  <c r="AK166" i="3"/>
  <c r="U166" i="3"/>
  <c r="BJ165" i="3"/>
  <c r="AT165" i="3"/>
  <c r="AD165" i="3"/>
  <c r="N165" i="3"/>
  <c r="BC164" i="3"/>
  <c r="AM164" i="3"/>
  <c r="W164" i="3"/>
  <c r="G164" i="3"/>
  <c r="AZ163" i="3"/>
  <c r="AJ163" i="3"/>
  <c r="T163" i="3"/>
  <c r="BM162" i="3"/>
  <c r="AW162" i="3"/>
  <c r="AG162" i="3"/>
  <c r="Q162" i="3"/>
  <c r="BF161" i="3"/>
  <c r="AP161" i="3"/>
  <c r="Z161" i="3"/>
  <c r="J161" i="3"/>
  <c r="AY160" i="3"/>
  <c r="AI160" i="3"/>
  <c r="S160" i="3"/>
  <c r="BL159" i="3"/>
  <c r="AV159" i="3"/>
  <c r="AF159" i="3"/>
  <c r="P159" i="3"/>
  <c r="BI158" i="3"/>
  <c r="AS158" i="3"/>
  <c r="AC158" i="3"/>
  <c r="M158" i="3"/>
  <c r="BB157" i="3"/>
  <c r="AL157" i="3"/>
  <c r="V157" i="3"/>
  <c r="BK156" i="3"/>
  <c r="AU156" i="3"/>
  <c r="AE156" i="3"/>
  <c r="O156" i="3"/>
  <c r="BH155" i="3"/>
  <c r="AR155" i="3"/>
  <c r="AB155" i="3"/>
  <c r="L155" i="3"/>
  <c r="BE154" i="3"/>
  <c r="AO154" i="3"/>
  <c r="Y154" i="3"/>
  <c r="I154" i="3"/>
  <c r="AX153" i="3"/>
  <c r="AH153" i="3"/>
  <c r="R153" i="3"/>
  <c r="BG152" i="3"/>
  <c r="AQ152" i="3"/>
  <c r="AA152" i="3"/>
  <c r="K152" i="3"/>
  <c r="BD151" i="3"/>
  <c r="AN151" i="3"/>
  <c r="X151" i="3"/>
  <c r="H151" i="3"/>
  <c r="BA150" i="3"/>
  <c r="AK150" i="3"/>
  <c r="U150" i="3"/>
  <c r="BJ149" i="3"/>
  <c r="AT149" i="3"/>
  <c r="AD149" i="3"/>
  <c r="N149" i="3"/>
  <c r="BC148" i="3"/>
  <c r="AM148" i="3"/>
  <c r="W148" i="3"/>
  <c r="G148" i="3"/>
  <c r="AZ147" i="3"/>
  <c r="AJ147" i="3"/>
  <c r="T147" i="3"/>
  <c r="BM146" i="3"/>
  <c r="AW146" i="3"/>
  <c r="AG146" i="3"/>
  <c r="Q146" i="3"/>
  <c r="AN235" i="3"/>
  <c r="M235" i="3"/>
  <c r="BA234" i="3"/>
  <c r="AJ234" i="3"/>
  <c r="T234" i="3"/>
  <c r="BM233" i="3"/>
  <c r="AW233" i="3"/>
  <c r="AG233" i="3"/>
  <c r="Q233" i="3"/>
  <c r="BF232" i="3"/>
  <c r="AP232" i="3"/>
  <c r="Z232" i="3"/>
  <c r="J232" i="3"/>
  <c r="AY231" i="3"/>
  <c r="AI231" i="3"/>
  <c r="S231" i="3"/>
  <c r="BL230" i="3"/>
  <c r="AV230" i="3"/>
  <c r="AF230" i="3"/>
  <c r="P230" i="3"/>
  <c r="BI229" i="3"/>
  <c r="AS229" i="3"/>
  <c r="AC229" i="3"/>
  <c r="M229" i="3"/>
  <c r="BB228" i="3"/>
  <c r="AL228" i="3"/>
  <c r="V228" i="3"/>
  <c r="BK227" i="3"/>
  <c r="AU227" i="3"/>
  <c r="AE227" i="3"/>
  <c r="O227" i="3"/>
  <c r="BH226" i="3"/>
  <c r="AR226" i="3"/>
  <c r="AB226" i="3"/>
  <c r="L226" i="3"/>
  <c r="BE225" i="3"/>
  <c r="AO225" i="3"/>
  <c r="Y225" i="3"/>
  <c r="I225" i="3"/>
  <c r="AX224" i="3"/>
  <c r="AH224" i="3"/>
  <c r="R224" i="3"/>
  <c r="BG223" i="3"/>
  <c r="AQ223" i="3"/>
  <c r="AA223" i="3"/>
  <c r="K223" i="3"/>
  <c r="BD222" i="3"/>
  <c r="AN222" i="3"/>
  <c r="X222" i="3"/>
  <c r="H222" i="3"/>
  <c r="BA221" i="3"/>
  <c r="AK221" i="3"/>
  <c r="U221" i="3"/>
  <c r="BJ220" i="3"/>
  <c r="AT220" i="3"/>
  <c r="AD220" i="3"/>
  <c r="N220" i="3"/>
  <c r="BC219" i="3"/>
  <c r="AM219" i="3"/>
  <c r="W219" i="3"/>
  <c r="G219" i="3"/>
  <c r="AZ218" i="3"/>
  <c r="AJ218" i="3"/>
  <c r="T218" i="3"/>
  <c r="BM217" i="3"/>
  <c r="AW217" i="3"/>
  <c r="AG217" i="3"/>
  <c r="Q217" i="3"/>
  <c r="BF216" i="3"/>
  <c r="AP216" i="3"/>
  <c r="Z216" i="3"/>
  <c r="J216" i="3"/>
  <c r="AY215" i="3"/>
  <c r="AI215" i="3"/>
  <c r="S215" i="3"/>
  <c r="BL214" i="3"/>
  <c r="AV214" i="3"/>
  <c r="AF214" i="3"/>
  <c r="P214" i="3"/>
  <c r="BI213" i="3"/>
  <c r="AS213" i="3"/>
  <c r="AC213" i="3"/>
  <c r="M213" i="3"/>
  <c r="BB212" i="3"/>
  <c r="AL212" i="3"/>
  <c r="V212" i="3"/>
  <c r="BK211" i="3"/>
  <c r="AU211" i="3"/>
  <c r="AE211" i="3"/>
  <c r="O211" i="3"/>
  <c r="BH210" i="3"/>
  <c r="AR210" i="3"/>
  <c r="AB210" i="3"/>
  <c r="L210" i="3"/>
  <c r="BD208" i="3"/>
  <c r="AN208" i="3"/>
  <c r="X208" i="3"/>
  <c r="H208" i="3"/>
  <c r="BA207" i="3"/>
  <c r="AK207" i="3"/>
  <c r="U207" i="3"/>
  <c r="BJ206" i="3"/>
  <c r="AT206" i="3"/>
  <c r="AD206" i="3"/>
  <c r="N206" i="3"/>
  <c r="BC205" i="3"/>
  <c r="AM205" i="3"/>
  <c r="W205" i="3"/>
  <c r="G205" i="3"/>
  <c r="AZ204" i="3"/>
  <c r="AJ204" i="3"/>
  <c r="T204" i="3"/>
  <c r="BM203" i="3"/>
  <c r="AW203" i="3"/>
  <c r="AG203" i="3"/>
  <c r="Q203" i="3"/>
  <c r="BF202" i="3"/>
  <c r="AP202" i="3"/>
  <c r="Z202" i="3"/>
  <c r="J202" i="3"/>
  <c r="AY201" i="3"/>
  <c r="AI201" i="3"/>
  <c r="S201" i="3"/>
  <c r="BL200" i="3"/>
  <c r="AV200" i="3"/>
  <c r="AF200" i="3"/>
  <c r="P200" i="3"/>
  <c r="BI199" i="3"/>
  <c r="AS199" i="3"/>
  <c r="AC199" i="3"/>
  <c r="M199" i="3"/>
  <c r="BB198" i="3"/>
  <c r="AL198" i="3"/>
  <c r="V198" i="3"/>
  <c r="BK197" i="3"/>
  <c r="AU197" i="3"/>
  <c r="AE197" i="3"/>
  <c r="O197" i="3"/>
  <c r="BH196" i="3"/>
  <c r="AR196" i="3"/>
  <c r="AB196" i="3"/>
  <c r="L196" i="3"/>
  <c r="BE195" i="3"/>
  <c r="AO195" i="3"/>
  <c r="Y195" i="3"/>
  <c r="I195" i="3"/>
  <c r="AX194" i="3"/>
  <c r="AH194" i="3"/>
  <c r="R194" i="3"/>
  <c r="BG193" i="3"/>
  <c r="AQ193" i="3"/>
  <c r="AA193" i="3"/>
  <c r="K193" i="3"/>
  <c r="BD192" i="3"/>
  <c r="AN192" i="3"/>
  <c r="X192" i="3"/>
  <c r="H192" i="3"/>
  <c r="BA191" i="3"/>
  <c r="AK191" i="3"/>
  <c r="U191" i="3"/>
  <c r="BJ190" i="3"/>
  <c r="AT190" i="3"/>
  <c r="AD190" i="3"/>
  <c r="N190" i="3"/>
  <c r="BC189" i="3"/>
  <c r="AM189" i="3"/>
  <c r="W189" i="3"/>
  <c r="G189" i="3"/>
  <c r="AZ188" i="3"/>
  <c r="AJ188" i="3"/>
  <c r="T188" i="3"/>
  <c r="BM187" i="3"/>
  <c r="AW187" i="3"/>
  <c r="AG187" i="3"/>
  <c r="Q187" i="3"/>
  <c r="BF186" i="3"/>
  <c r="AP186" i="3"/>
  <c r="Z186" i="3"/>
  <c r="J186" i="3"/>
  <c r="AY185" i="3"/>
  <c r="AI185" i="3"/>
  <c r="S185" i="3"/>
  <c r="BL184" i="3"/>
  <c r="AV184" i="3"/>
  <c r="AF184" i="3"/>
  <c r="P184" i="3"/>
  <c r="BI183" i="3"/>
  <c r="AS183" i="3"/>
  <c r="AC183" i="3"/>
  <c r="M183" i="3"/>
  <c r="BB182" i="3"/>
  <c r="AL182" i="3"/>
  <c r="V182" i="3"/>
  <c r="BK181" i="3"/>
  <c r="AU181" i="3"/>
  <c r="AE181" i="3"/>
  <c r="O181" i="3"/>
  <c r="BH180" i="3"/>
  <c r="AR180" i="3"/>
  <c r="AB180" i="3"/>
  <c r="L180" i="3"/>
  <c r="BE179" i="3"/>
  <c r="AO179" i="3"/>
  <c r="Y179" i="3"/>
  <c r="I179" i="3"/>
  <c r="AX178" i="3"/>
  <c r="AH178" i="3"/>
  <c r="R178" i="3"/>
  <c r="BG177" i="3"/>
  <c r="AQ177" i="3"/>
  <c r="AA177" i="3"/>
  <c r="K177" i="3"/>
  <c r="BD176" i="3"/>
  <c r="AN176" i="3"/>
  <c r="X176" i="3"/>
  <c r="H176" i="3"/>
  <c r="BA175" i="3"/>
  <c r="AK175" i="3"/>
  <c r="U175" i="3"/>
  <c r="BJ174" i="3"/>
  <c r="AT174" i="3"/>
  <c r="AD174" i="3"/>
  <c r="N174" i="3"/>
  <c r="BC173" i="3"/>
  <c r="AM173" i="3"/>
  <c r="W173" i="3"/>
  <c r="G173" i="3"/>
  <c r="AZ172" i="3"/>
  <c r="AJ172" i="3"/>
  <c r="T172" i="3"/>
  <c r="BM171" i="3"/>
  <c r="AW171" i="3"/>
  <c r="AG171" i="3"/>
  <c r="Q171" i="3"/>
  <c r="BF170" i="3"/>
  <c r="AP170" i="3"/>
  <c r="Z170" i="3"/>
  <c r="J170" i="3"/>
  <c r="AY169" i="3"/>
  <c r="AI169" i="3"/>
  <c r="S169" i="3"/>
  <c r="BK167" i="3"/>
  <c r="AU167" i="3"/>
  <c r="AE167" i="3"/>
  <c r="O167" i="3"/>
  <c r="BH166" i="3"/>
  <c r="AR166" i="3"/>
  <c r="AB166" i="3"/>
  <c r="L166" i="3"/>
  <c r="BE165" i="3"/>
  <c r="AO165" i="3"/>
  <c r="Y165" i="3"/>
  <c r="I165" i="3"/>
  <c r="AX164" i="3"/>
  <c r="AH164" i="3"/>
  <c r="R164" i="3"/>
  <c r="BG163" i="3"/>
  <c r="AQ163" i="3"/>
  <c r="AA163" i="3"/>
  <c r="K163" i="3"/>
  <c r="BD162" i="3"/>
  <c r="AN162" i="3"/>
  <c r="X162" i="3"/>
  <c r="H162" i="3"/>
  <c r="BA161" i="3"/>
  <c r="AK161" i="3"/>
  <c r="U161" i="3"/>
  <c r="BJ160" i="3"/>
  <c r="AT160" i="3"/>
  <c r="AD160" i="3"/>
  <c r="N160" i="3"/>
  <c r="BC159" i="3"/>
  <c r="AM159" i="3"/>
  <c r="W159" i="3"/>
  <c r="G159" i="3"/>
  <c r="AZ158" i="3"/>
  <c r="AJ158" i="3"/>
  <c r="T158" i="3"/>
  <c r="BM157" i="3"/>
  <c r="AW157" i="3"/>
  <c r="AG157" i="3"/>
  <c r="Q157" i="3"/>
  <c r="BF156" i="3"/>
  <c r="AP156" i="3"/>
  <c r="Z156" i="3"/>
  <c r="J156" i="3"/>
  <c r="AY155" i="3"/>
  <c r="AI155" i="3"/>
  <c r="S155" i="3"/>
  <c r="BL154" i="3"/>
  <c r="AV154" i="3"/>
  <c r="AF154" i="3"/>
  <c r="P154" i="3"/>
  <c r="BI153" i="3"/>
  <c r="AS153" i="3"/>
  <c r="AC153" i="3"/>
  <c r="M153" i="3"/>
  <c r="BB152" i="3"/>
  <c r="AL152" i="3"/>
  <c r="V152" i="3"/>
  <c r="BK151" i="3"/>
  <c r="AU151" i="3"/>
  <c r="AE151" i="3"/>
  <c r="O151" i="3"/>
  <c r="BH150" i="3"/>
  <c r="AR150" i="3"/>
  <c r="AB150" i="3"/>
  <c r="L150" i="3"/>
  <c r="BE149" i="3"/>
  <c r="AO149" i="3"/>
  <c r="Y149" i="3"/>
  <c r="I149" i="3"/>
  <c r="AX148" i="3"/>
  <c r="AH148" i="3"/>
  <c r="R148" i="3"/>
  <c r="BG147" i="3"/>
  <c r="AQ147" i="3"/>
  <c r="AA147" i="3"/>
  <c r="K147" i="3"/>
  <c r="BD146" i="3"/>
  <c r="AN146" i="3"/>
  <c r="X146" i="3"/>
  <c r="H146" i="3"/>
  <c r="AK145" i="3"/>
  <c r="BF144" i="3"/>
  <c r="AA144" i="3"/>
  <c r="BK143" i="3"/>
  <c r="AU143" i="3"/>
  <c r="AE143" i="3"/>
  <c r="O143" i="3"/>
  <c r="BH142" i="3"/>
  <c r="AR142" i="3"/>
  <c r="AB142" i="3"/>
  <c r="L142" i="3"/>
  <c r="BE141" i="3"/>
  <c r="AO141" i="3"/>
  <c r="Y141" i="3"/>
  <c r="I141" i="3"/>
  <c r="AX140" i="3"/>
  <c r="AH140" i="3"/>
  <c r="R140" i="3"/>
  <c r="BG139" i="3"/>
  <c r="AQ139" i="3"/>
  <c r="AA139" i="3"/>
  <c r="K139" i="3"/>
  <c r="BD138" i="3"/>
  <c r="AN138" i="3"/>
  <c r="X138" i="3"/>
  <c r="H138" i="3"/>
  <c r="BA137" i="3"/>
  <c r="AK137" i="3"/>
  <c r="U137" i="3"/>
  <c r="BJ136" i="3"/>
  <c r="AT136" i="3"/>
  <c r="AD136" i="3"/>
  <c r="N136" i="3"/>
  <c r="BC135" i="3"/>
  <c r="AM135" i="3"/>
  <c r="W135" i="3"/>
  <c r="G135" i="3"/>
  <c r="AZ134" i="3"/>
  <c r="AJ134" i="3"/>
  <c r="T134" i="3"/>
  <c r="BM133" i="3"/>
  <c r="AW133" i="3"/>
  <c r="AG133" i="3"/>
  <c r="Q133" i="3"/>
  <c r="BF132" i="3"/>
  <c r="AP132" i="3"/>
  <c r="Z132" i="3"/>
  <c r="J132" i="3"/>
  <c r="AY131" i="3"/>
  <c r="AI131" i="3"/>
  <c r="S131" i="3"/>
  <c r="BL130" i="3"/>
  <c r="AV130" i="3"/>
  <c r="AF130" i="3"/>
  <c r="P130" i="3"/>
  <c r="BI129" i="3"/>
  <c r="AS129" i="3"/>
  <c r="AC129" i="3"/>
  <c r="M129" i="3"/>
  <c r="BB128" i="3"/>
  <c r="AL128" i="3"/>
  <c r="V128" i="3"/>
  <c r="BJ126" i="3"/>
  <c r="AT126" i="3"/>
  <c r="AD126" i="3"/>
  <c r="N126" i="3"/>
  <c r="BC125" i="3"/>
  <c r="AM125" i="3"/>
  <c r="W125" i="3"/>
  <c r="G125" i="3"/>
  <c r="AZ124" i="3"/>
  <c r="AJ124" i="3"/>
  <c r="T124" i="3"/>
  <c r="BM123" i="3"/>
  <c r="AW123" i="3"/>
  <c r="AG123" i="3"/>
  <c r="Q123" i="3"/>
  <c r="BF122" i="3"/>
  <c r="AP122" i="3"/>
  <c r="Z122" i="3"/>
  <c r="J122" i="3"/>
  <c r="AY121" i="3"/>
  <c r="AI121" i="3"/>
  <c r="S121" i="3"/>
  <c r="BL120" i="3"/>
  <c r="AV120" i="3"/>
  <c r="AF120" i="3"/>
  <c r="P120" i="3"/>
  <c r="BI119" i="3"/>
  <c r="AS119" i="3"/>
  <c r="AC119" i="3"/>
  <c r="M119" i="3"/>
  <c r="BB118" i="3"/>
  <c r="AL118" i="3"/>
  <c r="V118" i="3"/>
  <c r="BK117" i="3"/>
  <c r="AU117" i="3"/>
  <c r="AE117" i="3"/>
  <c r="O117" i="3"/>
  <c r="BH116" i="3"/>
  <c r="AR116" i="3"/>
  <c r="AB116" i="3"/>
  <c r="L116" i="3"/>
  <c r="BE115" i="3"/>
  <c r="AO115" i="3"/>
  <c r="Y115" i="3"/>
  <c r="I115" i="3"/>
  <c r="AX114" i="3"/>
  <c r="AH114" i="3"/>
  <c r="R114" i="3"/>
  <c r="BG113" i="3"/>
  <c r="AQ113" i="3"/>
  <c r="AA113" i="3"/>
  <c r="K113" i="3"/>
  <c r="BD112" i="3"/>
  <c r="AN112" i="3"/>
  <c r="X112" i="3"/>
  <c r="H112" i="3"/>
  <c r="BA111" i="3"/>
  <c r="AK111" i="3"/>
  <c r="U111" i="3"/>
  <c r="BJ110" i="3"/>
  <c r="AT110" i="3"/>
  <c r="AD110" i="3"/>
  <c r="N110" i="3"/>
  <c r="BC109" i="3"/>
  <c r="AM109" i="3"/>
  <c r="W109" i="3"/>
  <c r="G109" i="3"/>
  <c r="AZ108" i="3"/>
  <c r="AJ108" i="3"/>
  <c r="T108" i="3"/>
  <c r="BM107" i="3"/>
  <c r="AW107" i="3"/>
  <c r="AG107" i="3"/>
  <c r="Q107" i="3"/>
  <c r="BF106" i="3"/>
  <c r="AP106" i="3"/>
  <c r="Z106" i="3"/>
  <c r="J106" i="3"/>
  <c r="AY105" i="3"/>
  <c r="AI105" i="3"/>
  <c r="S105" i="3"/>
  <c r="BL104" i="3"/>
  <c r="AV104" i="3"/>
  <c r="AF104" i="3"/>
  <c r="P104" i="3"/>
  <c r="BI103" i="3"/>
  <c r="AS103" i="3"/>
  <c r="AC103" i="3"/>
  <c r="M103" i="3"/>
  <c r="BB102" i="3"/>
  <c r="AL102" i="3"/>
  <c r="V102" i="3"/>
  <c r="BK101" i="3"/>
  <c r="AU101" i="3"/>
  <c r="AE101" i="3"/>
  <c r="O101" i="3"/>
  <c r="BH100" i="3"/>
  <c r="AR100" i="3"/>
  <c r="AB100" i="3"/>
  <c r="L100" i="3"/>
  <c r="BE99" i="3"/>
  <c r="AO99" i="3"/>
  <c r="Y99" i="3"/>
  <c r="I99" i="3"/>
  <c r="AX98" i="3"/>
  <c r="AH98" i="3"/>
  <c r="R98" i="3"/>
  <c r="BG97" i="3"/>
  <c r="AQ97" i="3"/>
  <c r="AA97" i="3"/>
  <c r="K97" i="3"/>
  <c r="BD96" i="3"/>
  <c r="AN96" i="3"/>
  <c r="X96" i="3"/>
  <c r="H96" i="3"/>
  <c r="BA95" i="3"/>
  <c r="AK95" i="3"/>
  <c r="U95" i="3"/>
  <c r="BJ94" i="3"/>
  <c r="AT94" i="3"/>
  <c r="AD94" i="3"/>
  <c r="N94" i="3"/>
  <c r="BC93" i="3"/>
  <c r="AM93" i="3"/>
  <c r="W93" i="3"/>
  <c r="G93" i="3"/>
  <c r="AZ92" i="3"/>
  <c r="AJ92" i="3"/>
  <c r="T92" i="3"/>
  <c r="BM91" i="3"/>
  <c r="AW91" i="3"/>
  <c r="AG91" i="3"/>
  <c r="Q91" i="3"/>
  <c r="BF90" i="3"/>
  <c r="AP90" i="3"/>
  <c r="Z90" i="3"/>
  <c r="J90" i="3"/>
  <c r="AY89" i="3"/>
  <c r="AI89" i="3"/>
  <c r="S89" i="3"/>
  <c r="BL88" i="3"/>
  <c r="AV88" i="3"/>
  <c r="AF88" i="3"/>
  <c r="P88" i="3"/>
  <c r="BI87" i="3"/>
  <c r="AS87" i="3"/>
  <c r="AC87" i="3"/>
  <c r="M87" i="3"/>
  <c r="BE85" i="3"/>
  <c r="AO85" i="3"/>
  <c r="Y85" i="3"/>
  <c r="I85" i="3"/>
  <c r="AX84" i="3"/>
  <c r="AH84" i="3"/>
  <c r="R84" i="3"/>
  <c r="BG83" i="3"/>
  <c r="AQ83" i="3"/>
  <c r="AA83" i="3"/>
  <c r="K83" i="3"/>
  <c r="BD82" i="3"/>
  <c r="AN82" i="3"/>
  <c r="X82" i="3"/>
  <c r="H82" i="3"/>
  <c r="BA81" i="3"/>
  <c r="AK81" i="3"/>
  <c r="U81" i="3"/>
  <c r="BJ80" i="3"/>
  <c r="AT80" i="3"/>
  <c r="AD80" i="3"/>
  <c r="N80" i="3"/>
  <c r="BC79" i="3"/>
  <c r="AM79" i="3"/>
  <c r="W79" i="3"/>
  <c r="G79" i="3"/>
  <c r="AZ78" i="3"/>
  <c r="AJ78" i="3"/>
  <c r="T78" i="3"/>
  <c r="BM77" i="3"/>
  <c r="AW77" i="3"/>
  <c r="AG77" i="3"/>
  <c r="Q77" i="3"/>
  <c r="BF76" i="3"/>
  <c r="AP76" i="3"/>
  <c r="Z76" i="3"/>
  <c r="J76" i="3"/>
  <c r="AY75" i="3"/>
  <c r="AI75" i="3"/>
  <c r="S75" i="3"/>
  <c r="BL74" i="3"/>
  <c r="AV74" i="3"/>
  <c r="AF74" i="3"/>
  <c r="P74" i="3"/>
  <c r="BI73" i="3"/>
  <c r="AS73" i="3"/>
  <c r="AC73" i="3"/>
  <c r="M73" i="3"/>
  <c r="BB72" i="3"/>
  <c r="AL72" i="3"/>
  <c r="V72" i="3"/>
  <c r="BK71" i="3"/>
  <c r="AU71" i="3"/>
  <c r="AE71" i="3"/>
  <c r="O71" i="3"/>
  <c r="BH70" i="3"/>
  <c r="AR70" i="3"/>
  <c r="AB70" i="3"/>
  <c r="L70" i="3"/>
  <c r="BE69" i="3"/>
  <c r="AO69" i="3"/>
  <c r="Y69" i="3"/>
  <c r="I69" i="3"/>
  <c r="AX68" i="3"/>
  <c r="AH68" i="3"/>
  <c r="R68" i="3"/>
  <c r="BG67" i="3"/>
  <c r="AQ67" i="3"/>
  <c r="AA67" i="3"/>
  <c r="K67" i="3"/>
  <c r="BD66" i="3"/>
  <c r="AN66" i="3"/>
  <c r="X66" i="3"/>
  <c r="H66" i="3"/>
  <c r="BA65" i="3"/>
  <c r="AK65" i="3"/>
  <c r="U65" i="3"/>
  <c r="BJ64" i="3"/>
  <c r="AT64" i="3"/>
  <c r="AD64" i="3"/>
  <c r="N64" i="3"/>
  <c r="BC63" i="3"/>
  <c r="AM63" i="3"/>
  <c r="W63" i="3"/>
  <c r="G63" i="3"/>
  <c r="AZ62" i="3"/>
  <c r="AJ62" i="3"/>
  <c r="T62" i="3"/>
  <c r="BM61" i="3"/>
  <c r="AW61" i="3"/>
  <c r="AG61" i="3"/>
  <c r="Q61" i="3"/>
  <c r="BF60" i="3"/>
  <c r="AP60" i="3"/>
  <c r="Z60" i="3"/>
  <c r="J60" i="3"/>
  <c r="AY59" i="3"/>
  <c r="AI59" i="3"/>
  <c r="S59" i="3"/>
  <c r="BL58" i="3"/>
  <c r="AV58" i="3"/>
  <c r="AF58" i="3"/>
  <c r="P58" i="3"/>
  <c r="BI57" i="3"/>
  <c r="AS57" i="3"/>
  <c r="AC57" i="3"/>
  <c r="M57" i="3"/>
  <c r="BB56" i="3"/>
  <c r="AL56" i="3"/>
  <c r="V56" i="3"/>
  <c r="BK55" i="3"/>
  <c r="AU55" i="3"/>
  <c r="AE55" i="3"/>
  <c r="O55" i="3"/>
  <c r="BH54" i="3"/>
  <c r="AR54" i="3"/>
  <c r="AB54" i="3"/>
  <c r="L54" i="3"/>
  <c r="BE53" i="3"/>
  <c r="AO53" i="3"/>
  <c r="Y53" i="3"/>
  <c r="AH145" i="3"/>
  <c r="BK144" i="3"/>
  <c r="AE144" i="3"/>
  <c r="J144" i="3"/>
  <c r="AX143" i="3"/>
  <c r="AH143" i="3"/>
  <c r="R143" i="3"/>
  <c r="BG142" i="3"/>
  <c r="AQ142" i="3"/>
  <c r="AA142" i="3"/>
  <c r="K142" i="3"/>
  <c r="BD141" i="3"/>
  <c r="AN141" i="3"/>
  <c r="X141" i="3"/>
  <c r="H141" i="3"/>
  <c r="BA140" i="3"/>
  <c r="AK140" i="3"/>
  <c r="U140" i="3"/>
  <c r="BJ139" i="3"/>
  <c r="AT139" i="3"/>
  <c r="AD139" i="3"/>
  <c r="N139" i="3"/>
  <c r="BC138" i="3"/>
  <c r="AM138" i="3"/>
  <c r="W138" i="3"/>
  <c r="G138" i="3"/>
  <c r="AZ137" i="3"/>
  <c r="AJ137" i="3"/>
  <c r="T137" i="3"/>
  <c r="BM136" i="3"/>
  <c r="AW136" i="3"/>
  <c r="AG136" i="3"/>
  <c r="Q136" i="3"/>
  <c r="BF135" i="3"/>
  <c r="AP135" i="3"/>
  <c r="Z135" i="3"/>
  <c r="J135" i="3"/>
  <c r="AY134" i="3"/>
  <c r="AI134" i="3"/>
  <c r="S134" i="3"/>
  <c r="BL133" i="3"/>
  <c r="AV133" i="3"/>
  <c r="AF133" i="3"/>
  <c r="P133" i="3"/>
  <c r="BI132" i="3"/>
  <c r="AS132" i="3"/>
  <c r="AC132" i="3"/>
  <c r="M132" i="3"/>
  <c r="BB131" i="3"/>
  <c r="AL131" i="3"/>
  <c r="V131" i="3"/>
  <c r="BK130" i="3"/>
  <c r="AU130" i="3"/>
  <c r="AE130" i="3"/>
  <c r="O130" i="3"/>
  <c r="BH129" i="3"/>
  <c r="AR129" i="3"/>
  <c r="AB129" i="3"/>
  <c r="L129" i="3"/>
  <c r="BE128" i="3"/>
  <c r="AO128" i="3"/>
  <c r="Y128" i="3"/>
  <c r="I128" i="3"/>
  <c r="BA126" i="3"/>
  <c r="AK126" i="3"/>
  <c r="U126" i="3"/>
  <c r="BJ125" i="3"/>
  <c r="AT125" i="3"/>
  <c r="AD125" i="3"/>
  <c r="N125" i="3"/>
  <c r="BC124" i="3"/>
  <c r="AM124" i="3"/>
  <c r="W124" i="3"/>
  <c r="G124" i="3"/>
  <c r="AZ123" i="3"/>
  <c r="AJ123" i="3"/>
  <c r="T123" i="3"/>
  <c r="BM122" i="3"/>
  <c r="AW122" i="3"/>
  <c r="AG122" i="3"/>
  <c r="Q122" i="3"/>
  <c r="BF121" i="3"/>
  <c r="AP121" i="3"/>
  <c r="Z121" i="3"/>
  <c r="J121" i="3"/>
  <c r="AY120" i="3"/>
  <c r="AI120" i="3"/>
  <c r="S120" i="3"/>
  <c r="BL119" i="3"/>
  <c r="AV119" i="3"/>
  <c r="AF119" i="3"/>
  <c r="P119" i="3"/>
  <c r="BI118" i="3"/>
  <c r="AS118" i="3"/>
  <c r="AC118" i="3"/>
  <c r="M118" i="3"/>
  <c r="BB117" i="3"/>
  <c r="AL117" i="3"/>
  <c r="V117" i="3"/>
  <c r="BK116" i="3"/>
  <c r="AU116" i="3"/>
  <c r="AE116" i="3"/>
  <c r="O116" i="3"/>
  <c r="BH115" i="3"/>
  <c r="AR115" i="3"/>
  <c r="AB115" i="3"/>
  <c r="L115" i="3"/>
  <c r="BE114" i="3"/>
  <c r="AO114" i="3"/>
  <c r="Y114" i="3"/>
  <c r="I114" i="3"/>
  <c r="AX113" i="3"/>
  <c r="AH113" i="3"/>
  <c r="R113" i="3"/>
  <c r="BG112" i="3"/>
  <c r="AQ112" i="3"/>
  <c r="AA112" i="3"/>
  <c r="K112" i="3"/>
  <c r="BD111" i="3"/>
  <c r="AN111" i="3"/>
  <c r="X111" i="3"/>
  <c r="H111" i="3"/>
  <c r="BA110" i="3"/>
  <c r="AK110" i="3"/>
  <c r="U110" i="3"/>
  <c r="BJ109" i="3"/>
  <c r="AT109" i="3"/>
  <c r="AD109" i="3"/>
  <c r="N109" i="3"/>
  <c r="BC108" i="3"/>
  <c r="AM108" i="3"/>
  <c r="W108" i="3"/>
  <c r="G108" i="3"/>
  <c r="AZ107" i="3"/>
  <c r="AJ107" i="3"/>
  <c r="T107" i="3"/>
  <c r="BM106" i="3"/>
  <c r="AW106" i="3"/>
  <c r="AG106" i="3"/>
  <c r="Q106" i="3"/>
  <c r="BF105" i="3"/>
  <c r="AP105" i="3"/>
  <c r="Z105" i="3"/>
  <c r="J105" i="3"/>
  <c r="AY104" i="3"/>
  <c r="AI104" i="3"/>
  <c r="S104" i="3"/>
  <c r="BL103" i="3"/>
  <c r="AV103" i="3"/>
  <c r="AF103" i="3"/>
  <c r="P103" i="3"/>
  <c r="BI102" i="3"/>
  <c r="AS102" i="3"/>
  <c r="AC102" i="3"/>
  <c r="M102" i="3"/>
  <c r="BB101" i="3"/>
  <c r="AL101" i="3"/>
  <c r="V101" i="3"/>
  <c r="BK100" i="3"/>
  <c r="AU100" i="3"/>
  <c r="AE100" i="3"/>
  <c r="O100" i="3"/>
  <c r="BH99" i="3"/>
  <c r="AR99" i="3"/>
  <c r="AB99" i="3"/>
  <c r="L99" i="3"/>
  <c r="BE98" i="3"/>
  <c r="AO98" i="3"/>
  <c r="Y98" i="3"/>
  <c r="I98" i="3"/>
  <c r="AX97" i="3"/>
  <c r="AH97" i="3"/>
  <c r="R97" i="3"/>
  <c r="BG96" i="3"/>
  <c r="AQ96" i="3"/>
  <c r="AA96" i="3"/>
  <c r="K96" i="3"/>
  <c r="BD95" i="3"/>
  <c r="AN95" i="3"/>
  <c r="X95" i="3"/>
  <c r="H95" i="3"/>
  <c r="BA94" i="3"/>
  <c r="AK94" i="3"/>
  <c r="U94" i="3"/>
  <c r="BJ93" i="3"/>
  <c r="AT93" i="3"/>
  <c r="AD93" i="3"/>
  <c r="N93" i="3"/>
  <c r="BC92" i="3"/>
  <c r="AM92" i="3"/>
  <c r="W92" i="3"/>
  <c r="G92" i="3"/>
  <c r="AZ91" i="3"/>
  <c r="AJ91" i="3"/>
  <c r="T91" i="3"/>
  <c r="BM90" i="3"/>
  <c r="AW90" i="3"/>
  <c r="AG90" i="3"/>
  <c r="Q90" i="3"/>
  <c r="BF89" i="3"/>
  <c r="AP89" i="3"/>
  <c r="Z89" i="3"/>
  <c r="J89" i="3"/>
  <c r="AY88" i="3"/>
  <c r="AI88" i="3"/>
  <c r="S88" i="3"/>
  <c r="BL87" i="3"/>
  <c r="AV87" i="3"/>
  <c r="AF87" i="3"/>
  <c r="P87" i="3"/>
  <c r="BH85" i="3"/>
  <c r="AR85" i="3"/>
  <c r="AB85" i="3"/>
  <c r="L85" i="3"/>
  <c r="BE84" i="3"/>
  <c r="AO84" i="3"/>
  <c r="Y84" i="3"/>
  <c r="I84" i="3"/>
  <c r="AX83" i="3"/>
  <c r="AH83" i="3"/>
  <c r="R83" i="3"/>
  <c r="BG82" i="3"/>
  <c r="AQ82" i="3"/>
  <c r="AA82" i="3"/>
  <c r="K82" i="3"/>
  <c r="BD81" i="3"/>
  <c r="AN81" i="3"/>
  <c r="X81" i="3"/>
  <c r="H81" i="3"/>
  <c r="BA80" i="3"/>
  <c r="AK80" i="3"/>
  <c r="U80" i="3"/>
  <c r="BJ79" i="3"/>
  <c r="AT79" i="3"/>
  <c r="AD79" i="3"/>
  <c r="N79" i="3"/>
  <c r="BC78" i="3"/>
  <c r="AM78" i="3"/>
  <c r="W78" i="3"/>
  <c r="G78" i="3"/>
  <c r="AZ77" i="3"/>
  <c r="AJ77" i="3"/>
  <c r="T77" i="3"/>
  <c r="BM76" i="3"/>
  <c r="AW76" i="3"/>
  <c r="AG76" i="3"/>
  <c r="Q76" i="3"/>
  <c r="BF75" i="3"/>
  <c r="AP75" i="3"/>
  <c r="Z75" i="3"/>
  <c r="J75" i="3"/>
  <c r="AY74" i="3"/>
  <c r="AI74" i="3"/>
  <c r="S74" i="3"/>
  <c r="BL73" i="3"/>
  <c r="AV73" i="3"/>
  <c r="AF73" i="3"/>
  <c r="P73" i="3"/>
  <c r="BI72" i="3"/>
  <c r="AS72" i="3"/>
  <c r="AC72" i="3"/>
  <c r="M72" i="3"/>
  <c r="BB71" i="3"/>
  <c r="AL71" i="3"/>
  <c r="V71" i="3"/>
  <c r="BK70" i="3"/>
  <c r="AU70" i="3"/>
  <c r="AE70" i="3"/>
  <c r="O70" i="3"/>
  <c r="BH69" i="3"/>
  <c r="AR69" i="3"/>
  <c r="AB69" i="3"/>
  <c r="L69" i="3"/>
  <c r="BE68" i="3"/>
  <c r="AO68" i="3"/>
  <c r="Y68" i="3"/>
  <c r="I68" i="3"/>
  <c r="AX67" i="3"/>
  <c r="AH67" i="3"/>
  <c r="R67" i="3"/>
  <c r="BG66" i="3"/>
  <c r="AQ66" i="3"/>
  <c r="AA66" i="3"/>
  <c r="K66" i="3"/>
  <c r="BD65" i="3"/>
  <c r="AN65" i="3"/>
  <c r="X65" i="3"/>
  <c r="H65" i="3"/>
  <c r="BA64" i="3"/>
  <c r="AK64" i="3"/>
  <c r="U64" i="3"/>
  <c r="BJ63" i="3"/>
  <c r="AT63" i="3"/>
  <c r="AD63" i="3"/>
  <c r="N63" i="3"/>
  <c r="BC62" i="3"/>
  <c r="AM62" i="3"/>
  <c r="W62" i="3"/>
  <c r="G62" i="3"/>
  <c r="AZ61" i="3"/>
  <c r="AJ61" i="3"/>
  <c r="T61" i="3"/>
  <c r="BM60" i="3"/>
  <c r="AW60" i="3"/>
  <c r="AG60" i="3"/>
  <c r="Q60" i="3"/>
  <c r="BF59" i="3"/>
  <c r="AP59" i="3"/>
  <c r="Z59" i="3"/>
  <c r="J59" i="3"/>
  <c r="AY58" i="3"/>
  <c r="AI58" i="3"/>
  <c r="S58" i="3"/>
  <c r="BL57" i="3"/>
  <c r="AV57" i="3"/>
  <c r="AF57" i="3"/>
  <c r="P57" i="3"/>
  <c r="BI56" i="3"/>
  <c r="AS56" i="3"/>
  <c r="AC56" i="3"/>
  <c r="M56" i="3"/>
  <c r="BB55" i="3"/>
  <c r="AL55" i="3"/>
  <c r="V55" i="3"/>
  <c r="BK54" i="3"/>
  <c r="AU54" i="3"/>
  <c r="AE54" i="3"/>
  <c r="O54" i="3"/>
  <c r="BE145" i="3"/>
  <c r="Y145" i="3"/>
  <c r="BB144" i="3"/>
  <c r="X144" i="3"/>
  <c r="BM143" i="3"/>
  <c r="AW143" i="3"/>
  <c r="AG143" i="3"/>
  <c r="Q143" i="3"/>
  <c r="BF142" i="3"/>
  <c r="AP142" i="3"/>
  <c r="Z142" i="3"/>
  <c r="J142" i="3"/>
  <c r="AY141" i="3"/>
  <c r="AI141" i="3"/>
  <c r="S141" i="3"/>
  <c r="BL140" i="3"/>
  <c r="AV140" i="3"/>
  <c r="AF140" i="3"/>
  <c r="P140" i="3"/>
  <c r="BI139" i="3"/>
  <c r="AS139" i="3"/>
  <c r="AC139" i="3"/>
  <c r="M139" i="3"/>
  <c r="BB138" i="3"/>
  <c r="AL138" i="3"/>
  <c r="V138" i="3"/>
  <c r="BK137" i="3"/>
  <c r="AU137" i="3"/>
  <c r="AE137" i="3"/>
  <c r="O137" i="3"/>
  <c r="BH136" i="3"/>
  <c r="AR136" i="3"/>
  <c r="AB136" i="3"/>
  <c r="L136" i="3"/>
  <c r="BE135" i="3"/>
  <c r="AO135" i="3"/>
  <c r="Y135" i="3"/>
  <c r="I135" i="3"/>
  <c r="AX134" i="3"/>
  <c r="AH134" i="3"/>
  <c r="R134" i="3"/>
  <c r="BG133" i="3"/>
  <c r="AQ133" i="3"/>
  <c r="AA133" i="3"/>
  <c r="K133" i="3"/>
  <c r="BD132" i="3"/>
  <c r="AN132" i="3"/>
  <c r="X132" i="3"/>
  <c r="H132" i="3"/>
  <c r="BA131" i="3"/>
  <c r="AK131" i="3"/>
  <c r="U131" i="3"/>
  <c r="BJ130" i="3"/>
  <c r="AT130" i="3"/>
  <c r="AD130" i="3"/>
  <c r="N130" i="3"/>
  <c r="BC129" i="3"/>
  <c r="AM129" i="3"/>
  <c r="W129" i="3"/>
  <c r="G129" i="3"/>
  <c r="AZ128" i="3"/>
  <c r="AJ128" i="3"/>
  <c r="T128" i="3"/>
  <c r="BL126" i="3"/>
  <c r="AV126" i="3"/>
  <c r="AF126" i="3"/>
  <c r="P126" i="3"/>
  <c r="BI125" i="3"/>
  <c r="AS125" i="3"/>
  <c r="AC125" i="3"/>
  <c r="M125" i="3"/>
  <c r="BB124" i="3"/>
  <c r="AL124" i="3"/>
  <c r="V124" i="3"/>
  <c r="BK123" i="3"/>
  <c r="AU123" i="3"/>
  <c r="AE123" i="3"/>
  <c r="O123" i="3"/>
  <c r="BH122" i="3"/>
  <c r="AR122" i="3"/>
  <c r="AB122" i="3"/>
  <c r="L122" i="3"/>
  <c r="BE121" i="3"/>
  <c r="AO121" i="3"/>
  <c r="Y121" i="3"/>
  <c r="I121" i="3"/>
  <c r="AX120" i="3"/>
  <c r="AH120" i="3"/>
  <c r="R120" i="3"/>
  <c r="BG119" i="3"/>
  <c r="AQ119" i="3"/>
  <c r="AA119" i="3"/>
  <c r="K119" i="3"/>
  <c r="BD118" i="3"/>
  <c r="AN118" i="3"/>
  <c r="X118" i="3"/>
  <c r="H118" i="3"/>
  <c r="BA117" i="3"/>
  <c r="AK117" i="3"/>
  <c r="U117" i="3"/>
  <c r="BJ116" i="3"/>
  <c r="AT116" i="3"/>
  <c r="AD116" i="3"/>
  <c r="N116" i="3"/>
  <c r="BC115" i="3"/>
  <c r="AM115" i="3"/>
  <c r="W115" i="3"/>
  <c r="G115" i="3"/>
  <c r="AZ114" i="3"/>
  <c r="AJ114" i="3"/>
  <c r="T114" i="3"/>
  <c r="BM113" i="3"/>
  <c r="AW113" i="3"/>
  <c r="AG113" i="3"/>
  <c r="BE158" i="3"/>
  <c r="AX157" i="3"/>
  <c r="AQ156" i="3"/>
  <c r="AN155" i="3"/>
  <c r="AK154" i="3"/>
  <c r="AD153" i="3"/>
  <c r="W152" i="3"/>
  <c r="T151" i="3"/>
  <c r="Q150" i="3"/>
  <c r="J149" i="3"/>
  <c r="BL147" i="3"/>
  <c r="BI146" i="3"/>
  <c r="AF235" i="3"/>
  <c r="P234" i="3"/>
  <c r="M233" i="3"/>
  <c r="BK231" i="3"/>
  <c r="BH230" i="3"/>
  <c r="BE229" i="3"/>
  <c r="AX228" i="3"/>
  <c r="AQ227" i="3"/>
  <c r="AN226" i="3"/>
  <c r="AK225" i="3"/>
  <c r="AD224" i="3"/>
  <c r="W223" i="3"/>
  <c r="T222" i="3"/>
  <c r="Q221" i="3"/>
  <c r="J220" i="3"/>
  <c r="BL218" i="3"/>
  <c r="BI217" i="3"/>
  <c r="BB216" i="3"/>
  <c r="AU215" i="3"/>
  <c r="AR214" i="3"/>
  <c r="AO213" i="3"/>
  <c r="AH212" i="3"/>
  <c r="AA211" i="3"/>
  <c r="X210" i="3"/>
  <c r="T208" i="3"/>
  <c r="Q207" i="3"/>
  <c r="J206" i="3"/>
  <c r="BL204" i="3"/>
  <c r="BI203" i="3"/>
  <c r="BB202" i="3"/>
  <c r="AU201" i="3"/>
  <c r="AR200" i="3"/>
  <c r="AO199" i="3"/>
  <c r="AH198" i="3"/>
  <c r="AA197" i="3"/>
  <c r="X196" i="3"/>
  <c r="U195" i="3"/>
  <c r="N194" i="3"/>
  <c r="G193" i="3"/>
  <c r="BM191" i="3"/>
  <c r="BF190" i="3"/>
  <c r="AY189" i="3"/>
  <c r="AV188" i="3"/>
  <c r="AS187" i="3"/>
  <c r="AL186" i="3"/>
  <c r="AE185" i="3"/>
  <c r="AB184" i="3"/>
  <c r="Y183" i="3"/>
  <c r="R182" i="3"/>
  <c r="K181" i="3"/>
  <c r="H180" i="3"/>
  <c r="BJ178" i="3"/>
  <c r="BC177" i="3"/>
  <c r="AZ176" i="3"/>
  <c r="AW175" i="3"/>
  <c r="AP174" i="3"/>
  <c r="AI173" i="3"/>
  <c r="AF172" i="3"/>
  <c r="AC171" i="3"/>
  <c r="V170" i="3"/>
  <c r="O169" i="3"/>
  <c r="K167" i="3"/>
  <c r="H166" i="3"/>
  <c r="BJ164" i="3"/>
  <c r="BC163" i="3"/>
  <c r="AZ162" i="3"/>
  <c r="AW161" i="3"/>
  <c r="AP160" i="3"/>
  <c r="AI159" i="3"/>
  <c r="AF158" i="3"/>
  <c r="AC157" i="3"/>
  <c r="V156" i="3"/>
  <c r="O155" i="3"/>
  <c r="L154" i="3"/>
  <c r="I153" i="3"/>
  <c r="BG151" i="3"/>
  <c r="BD150" i="3"/>
  <c r="BA149" i="3"/>
  <c r="AT148" i="3"/>
  <c r="AM147" i="3"/>
  <c r="AJ146" i="3"/>
  <c r="AX144" i="3"/>
  <c r="AA143" i="3"/>
  <c r="X142" i="3"/>
  <c r="U141" i="3"/>
  <c r="N140" i="3"/>
  <c r="G139" i="3"/>
  <c r="BM137" i="3"/>
  <c r="BF136" i="3"/>
  <c r="AY135" i="3"/>
  <c r="AV134" i="3"/>
  <c r="AS133" i="3"/>
  <c r="AL132" i="3"/>
  <c r="AE131" i="3"/>
  <c r="AB130" i="3"/>
  <c r="Y129" i="3"/>
  <c r="R128" i="3"/>
  <c r="J126" i="3"/>
  <c r="BL124" i="3"/>
  <c r="BI123" i="3"/>
  <c r="BB122" i="3"/>
  <c r="AU121" i="3"/>
  <c r="AR120" i="3"/>
  <c r="AO119" i="3"/>
  <c r="AH118" i="3"/>
  <c r="AA117" i="3"/>
  <c r="X116" i="3"/>
  <c r="U115" i="3"/>
  <c r="N114" i="3"/>
  <c r="G113" i="3"/>
  <c r="BM111" i="3"/>
  <c r="BF110" i="3"/>
  <c r="AY109" i="3"/>
  <c r="AV108" i="3"/>
  <c r="AS107" i="3"/>
  <c r="AL106" i="3"/>
  <c r="AE105" i="3"/>
  <c r="AB104" i="3"/>
  <c r="Y103" i="3"/>
  <c r="R102" i="3"/>
  <c r="K101" i="3"/>
  <c r="H100" i="3"/>
  <c r="BJ98" i="3"/>
  <c r="BC97" i="3"/>
  <c r="AZ96" i="3"/>
  <c r="AW95" i="3"/>
  <c r="AP94" i="3"/>
  <c r="AI93" i="3"/>
  <c r="AF92" i="3"/>
  <c r="AC91" i="3"/>
  <c r="V90" i="3"/>
  <c r="O89" i="3"/>
  <c r="L88" i="3"/>
  <c r="I87" i="3"/>
  <c r="BJ84" i="3"/>
  <c r="BC83" i="3"/>
  <c r="AZ82" i="3"/>
  <c r="AW81" i="3"/>
  <c r="AP80" i="3"/>
  <c r="AI79" i="3"/>
  <c r="AF78" i="3"/>
  <c r="AC77" i="3"/>
  <c r="V76" i="3"/>
  <c r="O75" i="3"/>
  <c r="L74" i="3"/>
  <c r="I73" i="3"/>
  <c r="BG71" i="3"/>
  <c r="BD70" i="3"/>
  <c r="BA69" i="3"/>
  <c r="AT68" i="3"/>
  <c r="AM67" i="3"/>
  <c r="AJ66" i="3"/>
  <c r="AG65" i="3"/>
  <c r="Z64" i="3"/>
  <c r="S63" i="3"/>
  <c r="P62" i="3"/>
  <c r="M61" i="3"/>
  <c r="BK59" i="3"/>
  <c r="BH58" i="3"/>
  <c r="BE57" i="3"/>
  <c r="AX56" i="3"/>
  <c r="AQ55" i="3"/>
  <c r="AN54" i="3"/>
  <c r="AK53" i="3"/>
  <c r="Z144" i="3"/>
  <c r="N143" i="3"/>
  <c r="G142" i="3"/>
  <c r="BM140" i="3"/>
  <c r="BF139" i="3"/>
  <c r="AY138" i="3"/>
  <c r="AV137" i="3"/>
  <c r="AS136" i="3"/>
  <c r="AL135" i="3"/>
  <c r="AE134" i="3"/>
  <c r="AB133" i="3"/>
  <c r="Y132" i="3"/>
  <c r="R131" i="3"/>
  <c r="K130" i="3"/>
  <c r="H129" i="3"/>
  <c r="BM126" i="3"/>
  <c r="BF125" i="3"/>
  <c r="AY124" i="3"/>
  <c r="AV123" i="3"/>
  <c r="AS122" i="3"/>
  <c r="AL121" i="3"/>
  <c r="AE120" i="3"/>
  <c r="AB119" i="3"/>
  <c r="Y118" i="3"/>
  <c r="R117" i="3"/>
  <c r="K116" i="3"/>
  <c r="H115" i="3"/>
  <c r="BJ113" i="3"/>
  <c r="BC112" i="3"/>
  <c r="AZ111" i="3"/>
  <c r="AW110" i="3"/>
  <c r="AP109" i="3"/>
  <c r="AI108" i="3"/>
  <c r="AF107" i="3"/>
  <c r="AC106" i="3"/>
  <c r="V105" i="3"/>
  <c r="O104" i="3"/>
  <c r="L103" i="3"/>
  <c r="I102" i="3"/>
  <c r="BG100" i="3"/>
  <c r="BD99" i="3"/>
  <c r="BA98" i="3"/>
  <c r="AT97" i="3"/>
  <c r="AM96" i="3"/>
  <c r="AJ95" i="3"/>
  <c r="AG94" i="3"/>
  <c r="Z93" i="3"/>
  <c r="S92" i="3"/>
  <c r="P91" i="3"/>
  <c r="M90" i="3"/>
  <c r="BK88" i="3"/>
  <c r="BH87" i="3"/>
  <c r="BD85" i="3"/>
  <c r="BA84" i="3"/>
  <c r="AT83" i="3"/>
  <c r="AM82" i="3"/>
  <c r="AJ81" i="3"/>
  <c r="AG80" i="3"/>
  <c r="Z79" i="3"/>
  <c r="S78" i="3"/>
  <c r="P77" i="3"/>
  <c r="M76" i="3"/>
  <c r="BK74" i="3"/>
  <c r="BH73" i="3"/>
  <c r="BE72" i="3"/>
  <c r="AX71" i="3"/>
  <c r="AQ70" i="3"/>
  <c r="AN69" i="3"/>
  <c r="AK68" i="3"/>
  <c r="AD67" i="3"/>
  <c r="W66" i="3"/>
  <c r="T65" i="3"/>
  <c r="Q64" i="3"/>
  <c r="J63" i="3"/>
  <c r="BL61" i="3"/>
  <c r="BI60" i="3"/>
  <c r="BB59" i="3"/>
  <c r="AU58" i="3"/>
  <c r="AR57" i="3"/>
  <c r="AO56" i="3"/>
  <c r="AH55" i="3"/>
  <c r="AA54" i="3"/>
  <c r="AT144" i="3"/>
  <c r="AC143" i="3"/>
  <c r="V142" i="3"/>
  <c r="O141" i="3"/>
  <c r="L140" i="3"/>
  <c r="I139" i="3"/>
  <c r="BG137" i="3"/>
  <c r="BD136" i="3"/>
  <c r="BA135" i="3"/>
  <c r="AT134" i="3"/>
  <c r="AM133" i="3"/>
  <c r="AJ132" i="3"/>
  <c r="AG131" i="3"/>
  <c r="Z130" i="3"/>
  <c r="S129" i="3"/>
  <c r="P128" i="3"/>
  <c r="L126" i="3"/>
  <c r="I125" i="3"/>
  <c r="BG123" i="3"/>
  <c r="BD122" i="3"/>
  <c r="BA121" i="3"/>
  <c r="AT120" i="3"/>
  <c r="AM119" i="3"/>
  <c r="AJ118" i="3"/>
  <c r="AG117" i="3"/>
  <c r="Z116" i="3"/>
  <c r="S115" i="3"/>
  <c r="P114" i="3"/>
  <c r="BA113" i="3"/>
  <c r="AC113" i="3"/>
  <c r="M113" i="3"/>
  <c r="BB112" i="3"/>
  <c r="AL112" i="3"/>
  <c r="V112" i="3"/>
  <c r="BK111" i="3"/>
  <c r="AU111" i="3"/>
  <c r="AE111" i="3"/>
  <c r="O111" i="3"/>
  <c r="BH110" i="3"/>
  <c r="AR110" i="3"/>
  <c r="AB110" i="3"/>
  <c r="L110" i="3"/>
  <c r="BE109" i="3"/>
  <c r="AO109" i="3"/>
  <c r="Y109" i="3"/>
  <c r="I109" i="3"/>
  <c r="AX108" i="3"/>
  <c r="AH108" i="3"/>
  <c r="R108" i="3"/>
  <c r="BG107" i="3"/>
  <c r="AQ107" i="3"/>
  <c r="AA107" i="3"/>
  <c r="K107" i="3"/>
  <c r="BD106" i="3"/>
  <c r="AN106" i="3"/>
  <c r="X106" i="3"/>
  <c r="H106" i="3"/>
  <c r="BA105" i="3"/>
  <c r="AK105" i="3"/>
  <c r="U105" i="3"/>
  <c r="BJ104" i="3"/>
  <c r="AT104" i="3"/>
  <c r="AD104" i="3"/>
  <c r="N104" i="3"/>
  <c r="BC103" i="3"/>
  <c r="AM103" i="3"/>
  <c r="W103" i="3"/>
  <c r="G103" i="3"/>
  <c r="AZ102" i="3"/>
  <c r="AJ102" i="3"/>
  <c r="T102" i="3"/>
  <c r="BM101" i="3"/>
  <c r="AW101" i="3"/>
  <c r="AG101" i="3"/>
  <c r="Q101" i="3"/>
  <c r="BF100" i="3"/>
  <c r="AP100" i="3"/>
  <c r="Z100" i="3"/>
  <c r="J100" i="3"/>
  <c r="AY99" i="3"/>
  <c r="AI99" i="3"/>
  <c r="S99" i="3"/>
  <c r="BL98" i="3"/>
  <c r="AV98" i="3"/>
  <c r="AF98" i="3"/>
  <c r="P98" i="3"/>
  <c r="BI97" i="3"/>
  <c r="AS97" i="3"/>
  <c r="AC97" i="3"/>
  <c r="M97" i="3"/>
  <c r="BB96" i="3"/>
  <c r="AL96" i="3"/>
  <c r="V96" i="3"/>
  <c r="BK95" i="3"/>
  <c r="AU95" i="3"/>
  <c r="AE95" i="3"/>
  <c r="O95" i="3"/>
  <c r="BH94" i="3"/>
  <c r="AR94" i="3"/>
  <c r="AB94" i="3"/>
  <c r="L94" i="3"/>
  <c r="BE93" i="3"/>
  <c r="AO93" i="3"/>
  <c r="Y93" i="3"/>
  <c r="I93" i="3"/>
  <c r="AX92" i="3"/>
  <c r="AH92" i="3"/>
  <c r="R92" i="3"/>
  <c r="BG91" i="3"/>
  <c r="AQ91" i="3"/>
  <c r="AA91" i="3"/>
  <c r="K91" i="3"/>
  <c r="BD90" i="3"/>
  <c r="AN90" i="3"/>
  <c r="X90" i="3"/>
  <c r="H90" i="3"/>
  <c r="BA89" i="3"/>
  <c r="AK89" i="3"/>
  <c r="U89" i="3"/>
  <c r="BJ88" i="3"/>
  <c r="AT88" i="3"/>
  <c r="AD88" i="3"/>
  <c r="N88" i="3"/>
  <c r="BC87" i="3"/>
  <c r="AM87" i="3"/>
  <c r="W87" i="3"/>
  <c r="G87" i="3"/>
  <c r="AY85" i="3"/>
  <c r="AI85" i="3"/>
  <c r="S85" i="3"/>
  <c r="BL84" i="3"/>
  <c r="AV84" i="3"/>
  <c r="AF84" i="3"/>
  <c r="P84" i="3"/>
  <c r="BI83" i="3"/>
  <c r="AS83" i="3"/>
  <c r="AC83" i="3"/>
  <c r="M83" i="3"/>
  <c r="BB82" i="3"/>
  <c r="AL82" i="3"/>
  <c r="V82" i="3"/>
  <c r="BK81" i="3"/>
  <c r="AU81" i="3"/>
  <c r="AE81" i="3"/>
  <c r="O81" i="3"/>
  <c r="BH80" i="3"/>
  <c r="AR80" i="3"/>
  <c r="AB80" i="3"/>
  <c r="L80" i="3"/>
  <c r="BE79" i="3"/>
  <c r="AO79" i="3"/>
  <c r="Y79" i="3"/>
  <c r="I79" i="3"/>
  <c r="AX78" i="3"/>
  <c r="AH78" i="3"/>
  <c r="R78" i="3"/>
  <c r="BG77" i="3"/>
  <c r="AQ77" i="3"/>
  <c r="AA77" i="3"/>
  <c r="K77" i="3"/>
  <c r="BD76" i="3"/>
  <c r="AN76" i="3"/>
  <c r="X76" i="3"/>
  <c r="H76" i="3"/>
  <c r="BA75" i="3"/>
  <c r="AK75" i="3"/>
  <c r="U75" i="3"/>
  <c r="BJ74" i="3"/>
  <c r="AT74" i="3"/>
  <c r="AD74" i="3"/>
  <c r="N74" i="3"/>
  <c r="BC73" i="3"/>
  <c r="AM73" i="3"/>
  <c r="W73" i="3"/>
  <c r="G73" i="3"/>
  <c r="AZ72" i="3"/>
  <c r="AJ72" i="3"/>
  <c r="T72" i="3"/>
  <c r="BM71" i="3"/>
  <c r="AW71" i="3"/>
  <c r="AG71" i="3"/>
  <c r="Q71" i="3"/>
  <c r="BF70" i="3"/>
  <c r="AP70" i="3"/>
  <c r="Z70" i="3"/>
  <c r="J70" i="3"/>
  <c r="AY69" i="3"/>
  <c r="AI69" i="3"/>
  <c r="S69" i="3"/>
  <c r="BL68" i="3"/>
  <c r="AV68" i="3"/>
  <c r="AF68" i="3"/>
  <c r="P68" i="3"/>
  <c r="BI67" i="3"/>
  <c r="AS67" i="3"/>
  <c r="AC67" i="3"/>
  <c r="M67" i="3"/>
  <c r="BB66" i="3"/>
  <c r="AL66" i="3"/>
  <c r="V66" i="3"/>
  <c r="BK65" i="3"/>
  <c r="AU65" i="3"/>
  <c r="AE65" i="3"/>
  <c r="O65" i="3"/>
  <c r="BH64" i="3"/>
  <c r="AR64" i="3"/>
  <c r="AB64" i="3"/>
  <c r="L64" i="3"/>
  <c r="BE63" i="3"/>
  <c r="AO63" i="3"/>
  <c r="Y63" i="3"/>
  <c r="I63" i="3"/>
  <c r="AX62" i="3"/>
  <c r="AH62" i="3"/>
  <c r="R62" i="3"/>
  <c r="BG61" i="3"/>
  <c r="AQ61" i="3"/>
  <c r="AA61" i="3"/>
  <c r="K61" i="3"/>
  <c r="BD60" i="3"/>
  <c r="AN60" i="3"/>
  <c r="X60" i="3"/>
  <c r="H60" i="3"/>
  <c r="BA59" i="3"/>
  <c r="AK59" i="3"/>
  <c r="U59" i="3"/>
  <c r="BJ58" i="3"/>
  <c r="AT58" i="3"/>
  <c r="AD58" i="3"/>
  <c r="N58" i="3"/>
  <c r="BC57" i="3"/>
  <c r="AM57" i="3"/>
  <c r="W57" i="3"/>
  <c r="G57" i="3"/>
  <c r="AZ56" i="3"/>
  <c r="AJ56" i="3"/>
  <c r="T56" i="3"/>
  <c r="BM55" i="3"/>
  <c r="AW55" i="3"/>
  <c r="AG55" i="3"/>
  <c r="Q55" i="3"/>
  <c r="BF54" i="3"/>
  <c r="AP54" i="3"/>
  <c r="Z54" i="3"/>
  <c r="BJ145" i="3"/>
  <c r="AD145" i="3"/>
  <c r="AY144" i="3"/>
  <c r="W144" i="3"/>
  <c r="BL143" i="3"/>
  <c r="AV143" i="3"/>
  <c r="AF143" i="3"/>
  <c r="P143" i="3"/>
  <c r="BI142" i="3"/>
  <c r="AS142" i="3"/>
  <c r="AC142" i="3"/>
  <c r="M142" i="3"/>
  <c r="BB141" i="3"/>
  <c r="AL141" i="3"/>
  <c r="V141" i="3"/>
  <c r="BK140" i="3"/>
  <c r="AU140" i="3"/>
  <c r="AE140" i="3"/>
  <c r="O140" i="3"/>
  <c r="BH139" i="3"/>
  <c r="AR139" i="3"/>
  <c r="AB139" i="3"/>
  <c r="L139" i="3"/>
  <c r="BE138" i="3"/>
  <c r="AO138" i="3"/>
  <c r="Y138" i="3"/>
  <c r="I138" i="3"/>
  <c r="AX137" i="3"/>
  <c r="AH137" i="3"/>
  <c r="R137" i="3"/>
  <c r="BG136" i="3"/>
  <c r="AQ136" i="3"/>
  <c r="AA136" i="3"/>
  <c r="K136" i="3"/>
  <c r="BD135" i="3"/>
  <c r="AN135" i="3"/>
  <c r="X135" i="3"/>
  <c r="H135" i="3"/>
  <c r="BA134" i="3"/>
  <c r="AK134" i="3"/>
  <c r="U134" i="3"/>
  <c r="BJ133" i="3"/>
  <c r="AT133" i="3"/>
  <c r="AD133" i="3"/>
  <c r="N133" i="3"/>
  <c r="BC132" i="3"/>
  <c r="AM132" i="3"/>
  <c r="W132" i="3"/>
  <c r="G132" i="3"/>
  <c r="AZ131" i="3"/>
  <c r="AJ131" i="3"/>
  <c r="T131" i="3"/>
  <c r="BM130" i="3"/>
  <c r="AW130" i="3"/>
  <c r="AG130" i="3"/>
  <c r="Q130" i="3"/>
  <c r="BF129" i="3"/>
  <c r="AP129" i="3"/>
  <c r="Z129" i="3"/>
  <c r="J129" i="3"/>
  <c r="AY128" i="3"/>
  <c r="AI128" i="3"/>
  <c r="S128" i="3"/>
  <c r="BK126" i="3"/>
  <c r="AU126" i="3"/>
  <c r="AE126" i="3"/>
  <c r="O126" i="3"/>
  <c r="BH125" i="3"/>
  <c r="AR125" i="3"/>
  <c r="AB125" i="3"/>
  <c r="L125" i="3"/>
  <c r="BE124" i="3"/>
  <c r="AO124" i="3"/>
  <c r="Y124" i="3"/>
  <c r="I124" i="3"/>
  <c r="AX123" i="3"/>
  <c r="AH123" i="3"/>
  <c r="R123" i="3"/>
  <c r="BG122" i="3"/>
  <c r="AQ122" i="3"/>
  <c r="AA122" i="3"/>
  <c r="K122" i="3"/>
  <c r="BD121" i="3"/>
  <c r="AN121" i="3"/>
  <c r="X121" i="3"/>
  <c r="H121" i="3"/>
  <c r="BA120" i="3"/>
  <c r="AK120" i="3"/>
  <c r="U120" i="3"/>
  <c r="BJ119" i="3"/>
  <c r="AT119" i="3"/>
  <c r="AD119" i="3"/>
  <c r="N119" i="3"/>
  <c r="BC118" i="3"/>
  <c r="AM118" i="3"/>
  <c r="W118" i="3"/>
  <c r="G118" i="3"/>
  <c r="AZ117" i="3"/>
  <c r="AJ117" i="3"/>
  <c r="T117" i="3"/>
  <c r="BM116" i="3"/>
  <c r="AW116" i="3"/>
  <c r="AG116" i="3"/>
  <c r="Q116" i="3"/>
  <c r="BF115" i="3"/>
  <c r="AP115" i="3"/>
  <c r="Z115" i="3"/>
  <c r="J115" i="3"/>
  <c r="AY114" i="3"/>
  <c r="AI114" i="3"/>
  <c r="S114" i="3"/>
  <c r="BL113" i="3"/>
  <c r="AV113" i="3"/>
  <c r="AF113" i="3"/>
  <c r="P113" i="3"/>
  <c r="BI112" i="3"/>
  <c r="AS112" i="3"/>
  <c r="AC112" i="3"/>
  <c r="M112" i="3"/>
  <c r="BB111" i="3"/>
  <c r="AL111" i="3"/>
  <c r="V111" i="3"/>
  <c r="BK110" i="3"/>
  <c r="AU110" i="3"/>
  <c r="AE110" i="3"/>
  <c r="O110" i="3"/>
  <c r="BH109" i="3"/>
  <c r="AR109" i="3"/>
  <c r="AB109" i="3"/>
  <c r="L109" i="3"/>
  <c r="BE108" i="3"/>
  <c r="AO108" i="3"/>
  <c r="Y108" i="3"/>
  <c r="I108" i="3"/>
  <c r="AX107" i="3"/>
  <c r="AH107" i="3"/>
  <c r="R107" i="3"/>
  <c r="BG106" i="3"/>
  <c r="AQ106" i="3"/>
  <c r="AA106" i="3"/>
  <c r="K106" i="3"/>
  <c r="BD105" i="3"/>
  <c r="AN105" i="3"/>
  <c r="X105" i="3"/>
  <c r="H105" i="3"/>
  <c r="BA104" i="3"/>
  <c r="AK104" i="3"/>
  <c r="U104" i="3"/>
  <c r="BJ103" i="3"/>
  <c r="AT103" i="3"/>
  <c r="AD103" i="3"/>
  <c r="N103" i="3"/>
  <c r="BC102" i="3"/>
  <c r="AM102" i="3"/>
  <c r="W102" i="3"/>
  <c r="G102" i="3"/>
  <c r="AZ101" i="3"/>
  <c r="AJ101" i="3"/>
  <c r="T101" i="3"/>
  <c r="BM100" i="3"/>
  <c r="AW100" i="3"/>
  <c r="AG100" i="3"/>
  <c r="Q100" i="3"/>
  <c r="BF99" i="3"/>
  <c r="AP99" i="3"/>
  <c r="Z99" i="3"/>
  <c r="J99" i="3"/>
  <c r="AY98" i="3"/>
  <c r="AI98" i="3"/>
  <c r="S98" i="3"/>
  <c r="BL97" i="3"/>
  <c r="AV97" i="3"/>
  <c r="AF97" i="3"/>
  <c r="P97" i="3"/>
  <c r="BI96" i="3"/>
  <c r="AS96" i="3"/>
  <c r="AC96" i="3"/>
  <c r="M96" i="3"/>
  <c r="BB95" i="3"/>
  <c r="AL95" i="3"/>
  <c r="V95" i="3"/>
  <c r="BK94" i="3"/>
  <c r="AU94" i="3"/>
  <c r="AE94" i="3"/>
  <c r="O94" i="3"/>
  <c r="BH93" i="3"/>
  <c r="AR93" i="3"/>
  <c r="AB93" i="3"/>
  <c r="L93" i="3"/>
  <c r="BE92" i="3"/>
  <c r="AO92" i="3"/>
  <c r="Y92" i="3"/>
  <c r="I92" i="3"/>
  <c r="AX91" i="3"/>
  <c r="AH91" i="3"/>
  <c r="R91" i="3"/>
  <c r="BG90" i="3"/>
  <c r="AQ90" i="3"/>
  <c r="AA90" i="3"/>
  <c r="K90" i="3"/>
  <c r="BD89" i="3"/>
  <c r="AN89" i="3"/>
  <c r="X89" i="3"/>
  <c r="H89" i="3"/>
  <c r="BA88" i="3"/>
  <c r="AK88" i="3"/>
  <c r="U88" i="3"/>
  <c r="BJ87" i="3"/>
  <c r="AT87" i="3"/>
  <c r="AD87" i="3"/>
  <c r="N87" i="3"/>
  <c r="BB85" i="3"/>
  <c r="AL85" i="3"/>
  <c r="V85" i="3"/>
  <c r="BK84" i="3"/>
  <c r="AU84" i="3"/>
  <c r="AE84" i="3"/>
  <c r="O84" i="3"/>
  <c r="BH83" i="3"/>
  <c r="AR83" i="3"/>
  <c r="AB83" i="3"/>
  <c r="L83" i="3"/>
  <c r="BE82" i="3"/>
  <c r="AO82" i="3"/>
  <c r="Y82" i="3"/>
  <c r="I82" i="3"/>
  <c r="AX81" i="3"/>
  <c r="AH81" i="3"/>
  <c r="R81" i="3"/>
  <c r="BG80" i="3"/>
  <c r="AQ80" i="3"/>
  <c r="AA80" i="3"/>
  <c r="K80" i="3"/>
  <c r="BD79" i="3"/>
  <c r="AN79" i="3"/>
  <c r="X79" i="3"/>
  <c r="H79" i="3"/>
  <c r="BA78" i="3"/>
  <c r="AK78" i="3"/>
  <c r="U78" i="3"/>
  <c r="BJ77" i="3"/>
  <c r="AT77" i="3"/>
  <c r="AD77" i="3"/>
  <c r="N77" i="3"/>
  <c r="BC76" i="3"/>
  <c r="AM76" i="3"/>
  <c r="W76" i="3"/>
  <c r="G76" i="3"/>
  <c r="AZ75" i="3"/>
  <c r="AJ75" i="3"/>
  <c r="T75" i="3"/>
  <c r="BM74" i="3"/>
  <c r="AW74" i="3"/>
  <c r="AG74" i="3"/>
  <c r="Q74" i="3"/>
  <c r="BF73" i="3"/>
  <c r="AP73" i="3"/>
  <c r="Z73" i="3"/>
  <c r="J73" i="3"/>
  <c r="AY72" i="3"/>
  <c r="AI72" i="3"/>
  <c r="S72" i="3"/>
  <c r="BL71" i="3"/>
  <c r="AV71" i="3"/>
  <c r="AF71" i="3"/>
  <c r="P71" i="3"/>
  <c r="BI70" i="3"/>
  <c r="AS70" i="3"/>
  <c r="AC70" i="3"/>
  <c r="M70" i="3"/>
  <c r="BB69" i="3"/>
  <c r="AL69" i="3"/>
  <c r="V69" i="3"/>
  <c r="BK68" i="3"/>
  <c r="AU68" i="3"/>
  <c r="AE68" i="3"/>
  <c r="O68" i="3"/>
  <c r="BH67" i="3"/>
  <c r="AR67" i="3"/>
  <c r="AB67" i="3"/>
  <c r="L67" i="3"/>
  <c r="BE66" i="3"/>
  <c r="AO66" i="3"/>
  <c r="Y66" i="3"/>
  <c r="I66" i="3"/>
  <c r="AX65" i="3"/>
  <c r="AH65" i="3"/>
  <c r="R65" i="3"/>
  <c r="BG64" i="3"/>
  <c r="AQ64" i="3"/>
  <c r="AA64" i="3"/>
  <c r="K64" i="3"/>
  <c r="BD63" i="3"/>
  <c r="AN63" i="3"/>
  <c r="X63" i="3"/>
  <c r="H63" i="3"/>
  <c r="BA62" i="3"/>
  <c r="AK62" i="3"/>
  <c r="U62" i="3"/>
  <c r="BJ61" i="3"/>
  <c r="AT61" i="3"/>
  <c r="AD61" i="3"/>
  <c r="N61" i="3"/>
  <c r="BC60" i="3"/>
  <c r="AM60" i="3"/>
  <c r="W60" i="3"/>
  <c r="G60" i="3"/>
  <c r="AZ59" i="3"/>
  <c r="AJ59" i="3"/>
  <c r="T59" i="3"/>
  <c r="BM58" i="3"/>
  <c r="AW58" i="3"/>
  <c r="AG58" i="3"/>
  <c r="Q58" i="3"/>
  <c r="BF57" i="3"/>
  <c r="AP57" i="3"/>
  <c r="Z57" i="3"/>
  <c r="J57" i="3"/>
  <c r="AY56" i="3"/>
  <c r="AI56" i="3"/>
  <c r="S56" i="3"/>
  <c r="BL55" i="3"/>
  <c r="AV55" i="3"/>
  <c r="AF55" i="3"/>
  <c r="P55" i="3"/>
  <c r="BI54" i="3"/>
  <c r="AS54" i="3"/>
  <c r="AC54" i="3"/>
  <c r="M54" i="3"/>
  <c r="BB53" i="3"/>
  <c r="AF53" i="3"/>
  <c r="N53" i="3"/>
  <c r="BC52" i="3"/>
  <c r="AM52" i="3"/>
  <c r="W52" i="3"/>
  <c r="G52" i="3"/>
  <c r="AZ51" i="3"/>
  <c r="AJ51" i="3"/>
  <c r="T51" i="3"/>
  <c r="BM50" i="3"/>
  <c r="AW50" i="3"/>
  <c r="AG50" i="3"/>
  <c r="Q50" i="3"/>
  <c r="BF49" i="3"/>
  <c r="AP49" i="3"/>
  <c r="Z49" i="3"/>
  <c r="J49" i="3"/>
  <c r="AY48" i="3"/>
  <c r="AI48" i="3"/>
  <c r="S48" i="3"/>
  <c r="BL47" i="3"/>
  <c r="AV47" i="3"/>
  <c r="AF47" i="3"/>
  <c r="P47" i="3"/>
  <c r="BI46" i="3"/>
  <c r="AS46" i="3"/>
  <c r="AC46" i="3"/>
  <c r="M46" i="3"/>
  <c r="BE44" i="3"/>
  <c r="AO44" i="3"/>
  <c r="Y44" i="3"/>
  <c r="I44" i="3"/>
  <c r="AX43" i="3"/>
  <c r="AH43" i="3"/>
  <c r="R43" i="3"/>
  <c r="BG42" i="3"/>
  <c r="AQ42" i="3"/>
  <c r="AA42" i="3"/>
  <c r="K42" i="3"/>
  <c r="BD41" i="3"/>
  <c r="AN41" i="3"/>
  <c r="X41" i="3"/>
  <c r="H41" i="3"/>
  <c r="BA40" i="3"/>
  <c r="AK40" i="3"/>
  <c r="U40" i="3"/>
  <c r="BJ39" i="3"/>
  <c r="AT39" i="3"/>
  <c r="AD39" i="3"/>
  <c r="N39" i="3"/>
  <c r="BC38" i="3"/>
  <c r="AM38" i="3"/>
  <c r="W38" i="3"/>
  <c r="G38" i="3"/>
  <c r="AZ37" i="3"/>
  <c r="AJ37" i="3"/>
  <c r="T37" i="3"/>
  <c r="BM36" i="3"/>
  <c r="AW36" i="3"/>
  <c r="AG36" i="3"/>
  <c r="Q36" i="3"/>
  <c r="BF35" i="3"/>
  <c r="AP35" i="3"/>
  <c r="Z35" i="3"/>
  <c r="J35" i="3"/>
  <c r="AY34" i="3"/>
  <c r="AI34" i="3"/>
  <c r="S34" i="3"/>
  <c r="BL33" i="3"/>
  <c r="AV33" i="3"/>
  <c r="AF33" i="3"/>
  <c r="P33" i="3"/>
  <c r="BI32" i="3"/>
  <c r="AS32" i="3"/>
  <c r="AC32" i="3"/>
  <c r="M32" i="3"/>
  <c r="BB31" i="3"/>
  <c r="AL31" i="3"/>
  <c r="V31" i="3"/>
  <c r="BK30" i="3"/>
  <c r="AU30" i="3"/>
  <c r="AE30" i="3"/>
  <c r="O30" i="3"/>
  <c r="BH29" i="3"/>
  <c r="AR29" i="3"/>
  <c r="AB29" i="3"/>
  <c r="L29" i="3"/>
  <c r="BE28" i="3"/>
  <c r="AO28" i="3"/>
  <c r="Y28" i="3"/>
  <c r="I28" i="3"/>
  <c r="AX27" i="3"/>
  <c r="AH27" i="3"/>
  <c r="R27" i="3"/>
  <c r="BG26" i="3"/>
  <c r="AQ26" i="3"/>
  <c r="AA26" i="3"/>
  <c r="K26" i="3"/>
  <c r="BD25" i="3"/>
  <c r="AN25" i="3"/>
  <c r="X25" i="3"/>
  <c r="H25" i="3"/>
  <c r="BA24" i="3"/>
  <c r="AK24" i="3"/>
  <c r="U24" i="3"/>
  <c r="BJ23" i="3"/>
  <c r="AT23" i="3"/>
  <c r="AD23" i="3"/>
  <c r="N23" i="3"/>
  <c r="BC22" i="3"/>
  <c r="AM22" i="3"/>
  <c r="W22" i="3"/>
  <c r="G22" i="3"/>
  <c r="AZ21" i="3"/>
  <c r="AJ21" i="3"/>
  <c r="T21" i="3"/>
  <c r="BM20" i="3"/>
  <c r="AW20" i="3"/>
  <c r="AG20" i="3"/>
  <c r="Q20" i="3"/>
  <c r="BF19" i="3"/>
  <c r="AP19" i="3"/>
  <c r="Z19" i="3"/>
  <c r="J19" i="3"/>
  <c r="AY18" i="3"/>
  <c r="AI18" i="3"/>
  <c r="S18" i="3"/>
  <c r="BL17" i="3"/>
  <c r="AV17" i="3"/>
  <c r="AF17" i="3"/>
  <c r="P17" i="3"/>
  <c r="BI16" i="3"/>
  <c r="AS16" i="3"/>
  <c r="AC16" i="3"/>
  <c r="M16" i="3"/>
  <c r="BB15" i="3"/>
  <c r="AL15" i="3"/>
  <c r="V15" i="3"/>
  <c r="BK14" i="3"/>
  <c r="AU14" i="3"/>
  <c r="AE14" i="3"/>
  <c r="O14" i="3"/>
  <c r="BH13" i="3"/>
  <c r="AR13" i="3"/>
  <c r="AB13" i="3"/>
  <c r="L13" i="3"/>
  <c r="BE12" i="3"/>
  <c r="AO12" i="3"/>
  <c r="Y12" i="3"/>
  <c r="I12" i="3"/>
  <c r="AX11" i="3"/>
  <c r="AH11" i="3"/>
  <c r="R11" i="3"/>
  <c r="BG10" i="3"/>
  <c r="AQ10" i="3"/>
  <c r="AA10" i="3"/>
  <c r="K10" i="3"/>
  <c r="BD9" i="3"/>
  <c r="AN9" i="3"/>
  <c r="X9" i="3"/>
  <c r="H9" i="3"/>
  <c r="BA8" i="3"/>
  <c r="AK8" i="3"/>
  <c r="U8" i="3"/>
  <c r="BJ7" i="3"/>
  <c r="AT7" i="3"/>
  <c r="AD7" i="3"/>
  <c r="N7" i="3"/>
  <c r="BC6" i="3"/>
  <c r="AM6" i="3"/>
  <c r="W6" i="3"/>
  <c r="G6" i="3"/>
  <c r="AZ5" i="3"/>
  <c r="AJ5" i="3"/>
  <c r="T5" i="3"/>
  <c r="J54" i="3"/>
  <c r="AU53" i="3"/>
  <c r="Z53" i="3"/>
  <c r="I53" i="3"/>
  <c r="AX52" i="3"/>
  <c r="AH52" i="3"/>
  <c r="R52" i="3"/>
  <c r="BG51" i="3"/>
  <c r="AQ51" i="3"/>
  <c r="AA51" i="3"/>
  <c r="K51" i="3"/>
  <c r="BD50" i="3"/>
  <c r="AN50" i="3"/>
  <c r="X50" i="3"/>
  <c r="H50" i="3"/>
  <c r="BA49" i="3"/>
  <c r="AK49" i="3"/>
  <c r="U49" i="3"/>
  <c r="BJ48" i="3"/>
  <c r="AT48" i="3"/>
  <c r="AD48" i="3"/>
  <c r="N48" i="3"/>
  <c r="BC47" i="3"/>
  <c r="AM47" i="3"/>
  <c r="W47" i="3"/>
  <c r="G47" i="3"/>
  <c r="AZ46" i="3"/>
  <c r="AJ46" i="3"/>
  <c r="T46" i="3"/>
  <c r="BL44" i="3"/>
  <c r="AV44" i="3"/>
  <c r="AF44" i="3"/>
  <c r="P44" i="3"/>
  <c r="BI43" i="3"/>
  <c r="AS43" i="3"/>
  <c r="AC43" i="3"/>
  <c r="M43" i="3"/>
  <c r="BB42" i="3"/>
  <c r="AL42" i="3"/>
  <c r="V42" i="3"/>
  <c r="BK41" i="3"/>
  <c r="AU41" i="3"/>
  <c r="AE41" i="3"/>
  <c r="O41" i="3"/>
  <c r="BH40" i="3"/>
  <c r="AR40" i="3"/>
  <c r="AB40" i="3"/>
  <c r="L40" i="3"/>
  <c r="BE39" i="3"/>
  <c r="AO39" i="3"/>
  <c r="Y39" i="3"/>
  <c r="I39" i="3"/>
  <c r="AX38" i="3"/>
  <c r="AH38" i="3"/>
  <c r="R38" i="3"/>
  <c r="BG37" i="3"/>
  <c r="AQ37" i="3"/>
  <c r="AA37" i="3"/>
  <c r="K37" i="3"/>
  <c r="BD36" i="3"/>
  <c r="AN36" i="3"/>
  <c r="X36" i="3"/>
  <c r="H36" i="3"/>
  <c r="BA35" i="3"/>
  <c r="AK35" i="3"/>
  <c r="U35" i="3"/>
  <c r="BJ34" i="3"/>
  <c r="AT34" i="3"/>
  <c r="AD34" i="3"/>
  <c r="N34" i="3"/>
  <c r="BC33" i="3"/>
  <c r="AM33" i="3"/>
  <c r="W33" i="3"/>
  <c r="G33" i="3"/>
  <c r="AZ32" i="3"/>
  <c r="AJ32" i="3"/>
  <c r="T32" i="3"/>
  <c r="BM31" i="3"/>
  <c r="AW31" i="3"/>
  <c r="AG31" i="3"/>
  <c r="Q31" i="3"/>
  <c r="BF30" i="3"/>
  <c r="AP30" i="3"/>
  <c r="Z30" i="3"/>
  <c r="J30" i="3"/>
  <c r="AY29" i="3"/>
  <c r="AI29" i="3"/>
  <c r="S29" i="3"/>
  <c r="BL28" i="3"/>
  <c r="AV28" i="3"/>
  <c r="AF28" i="3"/>
  <c r="P28" i="3"/>
  <c r="BI27" i="3"/>
  <c r="AS27" i="3"/>
  <c r="AC27" i="3"/>
  <c r="M27" i="3"/>
  <c r="BB26" i="3"/>
  <c r="AL26" i="3"/>
  <c r="V26" i="3"/>
  <c r="BK25" i="3"/>
  <c r="AU25" i="3"/>
  <c r="AE25" i="3"/>
  <c r="O25" i="3"/>
  <c r="BH24" i="3"/>
  <c r="AR24" i="3"/>
  <c r="AB24" i="3"/>
  <c r="L24" i="3"/>
  <c r="BE23" i="3"/>
  <c r="AO23" i="3"/>
  <c r="Y23" i="3"/>
  <c r="I23" i="3"/>
  <c r="AX22" i="3"/>
  <c r="AH22" i="3"/>
  <c r="R22" i="3"/>
  <c r="BG21" i="3"/>
  <c r="AQ21" i="3"/>
  <c r="AA21" i="3"/>
  <c r="K21" i="3"/>
  <c r="BD20" i="3"/>
  <c r="AN20" i="3"/>
  <c r="X20" i="3"/>
  <c r="H20" i="3"/>
  <c r="BA19" i="3"/>
  <c r="AK19" i="3"/>
  <c r="U19" i="3"/>
  <c r="BJ18" i="3"/>
  <c r="AT18" i="3"/>
  <c r="AD18" i="3"/>
  <c r="N18" i="3"/>
  <c r="BC17" i="3"/>
  <c r="AM17" i="3"/>
  <c r="W17" i="3"/>
  <c r="G17" i="3"/>
  <c r="AZ16" i="3"/>
  <c r="AJ16" i="3"/>
  <c r="T16" i="3"/>
  <c r="BM15" i="3"/>
  <c r="AW15" i="3"/>
  <c r="AG15" i="3"/>
  <c r="Q15" i="3"/>
  <c r="BF14" i="3"/>
  <c r="AP14" i="3"/>
  <c r="Z14" i="3"/>
  <c r="J14" i="3"/>
  <c r="AY13" i="3"/>
  <c r="AI13" i="3"/>
  <c r="S13" i="3"/>
  <c r="BL12" i="3"/>
  <c r="AV12" i="3"/>
  <c r="AF12" i="3"/>
  <c r="P12" i="3"/>
  <c r="BI11" i="3"/>
  <c r="AS11" i="3"/>
  <c r="AC11" i="3"/>
  <c r="M11" i="3"/>
  <c r="BB10" i="3"/>
  <c r="AL10" i="3"/>
  <c r="V10" i="3"/>
  <c r="BK9" i="3"/>
  <c r="AU9" i="3"/>
  <c r="AE9" i="3"/>
  <c r="O9" i="3"/>
  <c r="BH8" i="3"/>
  <c r="AR8" i="3"/>
  <c r="AB8" i="3"/>
  <c r="L8" i="3"/>
  <c r="BE7" i="3"/>
  <c r="AO7" i="3"/>
  <c r="Y7" i="3"/>
  <c r="I7" i="3"/>
  <c r="AX6" i="3"/>
  <c r="AH6" i="3"/>
  <c r="R6" i="3"/>
  <c r="BG5" i="3"/>
  <c r="AQ5" i="3"/>
  <c r="AA5" i="3"/>
  <c r="K5" i="3"/>
  <c r="AY53" i="3"/>
  <c r="AD53" i="3"/>
  <c r="L53" i="3"/>
  <c r="BE52" i="3"/>
  <c r="AO52" i="3"/>
  <c r="Y52" i="3"/>
  <c r="I52" i="3"/>
  <c r="AX51" i="3"/>
  <c r="AH51" i="3"/>
  <c r="R51" i="3"/>
  <c r="BG50" i="3"/>
  <c r="AQ50" i="3"/>
  <c r="AA50" i="3"/>
  <c r="K50" i="3"/>
  <c r="BD49" i="3"/>
  <c r="AN49" i="3"/>
  <c r="X49" i="3"/>
  <c r="H49" i="3"/>
  <c r="BA48" i="3"/>
  <c r="AK48" i="3"/>
  <c r="U48" i="3"/>
  <c r="BJ47" i="3"/>
  <c r="AT47" i="3"/>
  <c r="AD47" i="3"/>
  <c r="N47" i="3"/>
  <c r="BC46" i="3"/>
  <c r="AM46" i="3"/>
  <c r="W46" i="3"/>
  <c r="G46" i="3"/>
  <c r="AY44" i="3"/>
  <c r="AI44" i="3"/>
  <c r="S44" i="3"/>
  <c r="BL43" i="3"/>
  <c r="AV43" i="3"/>
  <c r="AF43" i="3"/>
  <c r="P43" i="3"/>
  <c r="BI42" i="3"/>
  <c r="AS42" i="3"/>
  <c r="AC42" i="3"/>
  <c r="M42" i="3"/>
  <c r="BB41" i="3"/>
  <c r="AL41" i="3"/>
  <c r="V41" i="3"/>
  <c r="BK40" i="3"/>
  <c r="AU40" i="3"/>
  <c r="AE40" i="3"/>
  <c r="O40" i="3"/>
  <c r="BH39" i="3"/>
  <c r="AR39" i="3"/>
  <c r="AB39" i="3"/>
  <c r="L39" i="3"/>
  <c r="BE38" i="3"/>
  <c r="AO38" i="3"/>
  <c r="Y38" i="3"/>
  <c r="I38" i="3"/>
  <c r="AX37" i="3"/>
  <c r="AH37" i="3"/>
  <c r="R37" i="3"/>
  <c r="BG36" i="3"/>
  <c r="AQ36" i="3"/>
  <c r="AA36" i="3"/>
  <c r="K36" i="3"/>
  <c r="BD35" i="3"/>
  <c r="AN35" i="3"/>
  <c r="X35" i="3"/>
  <c r="H35" i="3"/>
  <c r="BA34" i="3"/>
  <c r="AK34" i="3"/>
  <c r="U34" i="3"/>
  <c r="BJ33" i="3"/>
  <c r="AT33" i="3"/>
  <c r="AD33" i="3"/>
  <c r="N33" i="3"/>
  <c r="BC32" i="3"/>
  <c r="AM32" i="3"/>
  <c r="W32" i="3"/>
  <c r="G32" i="3"/>
  <c r="AZ31" i="3"/>
  <c r="AJ31" i="3"/>
  <c r="T31" i="3"/>
  <c r="BM30" i="3"/>
  <c r="AW30" i="3"/>
  <c r="AG30" i="3"/>
  <c r="Q30" i="3"/>
  <c r="BF29" i="3"/>
  <c r="AP29" i="3"/>
  <c r="Z29" i="3"/>
  <c r="J29" i="3"/>
  <c r="AY28" i="3"/>
  <c r="AI28" i="3"/>
  <c r="S28" i="3"/>
  <c r="BL27" i="3"/>
  <c r="AV27" i="3"/>
  <c r="AF27" i="3"/>
  <c r="P27" i="3"/>
  <c r="BI26" i="3"/>
  <c r="AS26" i="3"/>
  <c r="AC26" i="3"/>
  <c r="M26" i="3"/>
  <c r="BB25" i="3"/>
  <c r="AL25" i="3"/>
  <c r="V25" i="3"/>
  <c r="BK24" i="3"/>
  <c r="AU24" i="3"/>
  <c r="AE24" i="3"/>
  <c r="O24" i="3"/>
  <c r="BH23" i="3"/>
  <c r="AR23" i="3"/>
  <c r="AB23" i="3"/>
  <c r="L23" i="3"/>
  <c r="BE22" i="3"/>
  <c r="AO22" i="3"/>
  <c r="Y22" i="3"/>
  <c r="I22" i="3"/>
  <c r="AX21" i="3"/>
  <c r="AH21" i="3"/>
  <c r="R21" i="3"/>
  <c r="BG20" i="3"/>
  <c r="AQ20" i="3"/>
  <c r="AA20" i="3"/>
  <c r="K20" i="3"/>
  <c r="BD19" i="3"/>
  <c r="AN19" i="3"/>
  <c r="X19" i="3"/>
  <c r="H19" i="3"/>
  <c r="BA18" i="3"/>
  <c r="AK18" i="3"/>
  <c r="U18" i="3"/>
  <c r="BJ17" i="3"/>
  <c r="AT17" i="3"/>
  <c r="AD17" i="3"/>
  <c r="N17" i="3"/>
  <c r="BC16" i="3"/>
  <c r="AM16" i="3"/>
  <c r="W16" i="3"/>
  <c r="G16" i="3"/>
  <c r="AZ15" i="3"/>
  <c r="AJ15" i="3"/>
  <c r="T15" i="3"/>
  <c r="BM14" i="3"/>
  <c r="AW14" i="3"/>
  <c r="AG14" i="3"/>
  <c r="Q14" i="3"/>
  <c r="BF13" i="3"/>
  <c r="AP13" i="3"/>
  <c r="Z13" i="3"/>
  <c r="J13" i="3"/>
  <c r="AY12" i="3"/>
  <c r="AI12" i="3"/>
  <c r="S12" i="3"/>
  <c r="BL11" i="3"/>
  <c r="AV11" i="3"/>
  <c r="AF11" i="3"/>
  <c r="P11" i="3"/>
  <c r="BI10" i="3"/>
  <c r="AS10" i="3"/>
  <c r="AC10" i="3"/>
  <c r="M10" i="3"/>
  <c r="BB9" i="3"/>
  <c r="AL9" i="3"/>
  <c r="V9" i="3"/>
  <c r="BK8" i="3"/>
  <c r="AU8" i="3"/>
  <c r="AE8" i="3"/>
  <c r="O8" i="3"/>
  <c r="BH7" i="3"/>
  <c r="AR7" i="3"/>
  <c r="AB7" i="3"/>
  <c r="L7" i="3"/>
  <c r="BE6" i="3"/>
  <c r="AO6" i="3"/>
  <c r="Y6" i="3"/>
  <c r="I6" i="3"/>
  <c r="AX5" i="3"/>
  <c r="AH5" i="3"/>
  <c r="R5" i="3"/>
  <c r="BC53" i="3"/>
  <c r="AH53" i="3"/>
  <c r="O53" i="3"/>
  <c r="BH52" i="3"/>
  <c r="AR52" i="3"/>
  <c r="AB52" i="3"/>
  <c r="L52" i="3"/>
  <c r="BE51" i="3"/>
  <c r="AO51" i="3"/>
  <c r="Y51" i="3"/>
  <c r="I51" i="3"/>
  <c r="AX50" i="3"/>
  <c r="AH50" i="3"/>
  <c r="R50" i="3"/>
  <c r="BG49" i="3"/>
  <c r="AQ49" i="3"/>
  <c r="AA49" i="3"/>
  <c r="K49" i="3"/>
  <c r="BD48" i="3"/>
  <c r="AN48" i="3"/>
  <c r="X48" i="3"/>
  <c r="H48" i="3"/>
  <c r="BA47" i="3"/>
  <c r="AK47" i="3"/>
  <c r="U47" i="3"/>
  <c r="BJ46" i="3"/>
  <c r="AT46" i="3"/>
  <c r="AD46" i="3"/>
  <c r="N46" i="3"/>
  <c r="BB44" i="3"/>
  <c r="AL44" i="3"/>
  <c r="V44" i="3"/>
  <c r="BK43" i="3"/>
  <c r="AU43" i="3"/>
  <c r="AE43" i="3"/>
  <c r="O43" i="3"/>
  <c r="BH42" i="3"/>
  <c r="AR42" i="3"/>
  <c r="AB42" i="3"/>
  <c r="L42" i="3"/>
  <c r="BE41" i="3"/>
  <c r="AO41" i="3"/>
  <c r="Y41" i="3"/>
  <c r="I41" i="3"/>
  <c r="AX40" i="3"/>
  <c r="AH40" i="3"/>
  <c r="R40" i="3"/>
  <c r="BG39" i="3"/>
  <c r="AQ39" i="3"/>
  <c r="AA39" i="3"/>
  <c r="K39" i="3"/>
  <c r="BD38" i="3"/>
  <c r="AN38" i="3"/>
  <c r="X38" i="3"/>
  <c r="H38" i="3"/>
  <c r="BA37" i="3"/>
  <c r="AK37" i="3"/>
  <c r="U37" i="3"/>
  <c r="BJ36" i="3"/>
  <c r="AT36" i="3"/>
  <c r="AD36" i="3"/>
  <c r="N36" i="3"/>
  <c r="BC35" i="3"/>
  <c r="AM35" i="3"/>
  <c r="W35" i="3"/>
  <c r="G35" i="3"/>
  <c r="AZ34" i="3"/>
  <c r="AJ34" i="3"/>
  <c r="T34" i="3"/>
  <c r="BM33" i="3"/>
  <c r="AW33" i="3"/>
  <c r="AG33" i="3"/>
  <c r="Q33" i="3"/>
  <c r="BF32" i="3"/>
  <c r="AP32" i="3"/>
  <c r="Z32" i="3"/>
  <c r="J32" i="3"/>
  <c r="AY31" i="3"/>
  <c r="AI31" i="3"/>
  <c r="S31" i="3"/>
  <c r="BL30" i="3"/>
  <c r="AV30" i="3"/>
  <c r="AF30" i="3"/>
  <c r="P30" i="3"/>
  <c r="BI29" i="3"/>
  <c r="AS29" i="3"/>
  <c r="AC29" i="3"/>
  <c r="M29" i="3"/>
  <c r="BB28" i="3"/>
  <c r="AL28" i="3"/>
  <c r="V28" i="3"/>
  <c r="BK27" i="3"/>
  <c r="AU27" i="3"/>
  <c r="AE27" i="3"/>
  <c r="O27" i="3"/>
  <c r="BH26" i="3"/>
  <c r="AR26" i="3"/>
  <c r="AB26" i="3"/>
  <c r="L26" i="3"/>
  <c r="BE25" i="3"/>
  <c r="AO25" i="3"/>
  <c r="Y25" i="3"/>
  <c r="I25" i="3"/>
  <c r="AX24" i="3"/>
  <c r="AH24" i="3"/>
  <c r="R24" i="3"/>
  <c r="BG23" i="3"/>
  <c r="AQ23" i="3"/>
  <c r="AA23" i="3"/>
  <c r="K23" i="3"/>
  <c r="BD22" i="3"/>
  <c r="AN22" i="3"/>
  <c r="X22" i="3"/>
  <c r="H22" i="3"/>
  <c r="BA21" i="3"/>
  <c r="AK21" i="3"/>
  <c r="U21" i="3"/>
  <c r="BJ20" i="3"/>
  <c r="AT20" i="3"/>
  <c r="AD20" i="3"/>
  <c r="N20" i="3"/>
  <c r="BC19" i="3"/>
  <c r="AM19" i="3"/>
  <c r="W19" i="3"/>
  <c r="G19" i="3"/>
  <c r="AZ18" i="3"/>
  <c r="AJ18" i="3"/>
  <c r="T18" i="3"/>
  <c r="BM17" i="3"/>
  <c r="AW17" i="3"/>
  <c r="AG17" i="3"/>
  <c r="Q17" i="3"/>
  <c r="BF16" i="3"/>
  <c r="AP16" i="3"/>
  <c r="Z16" i="3"/>
  <c r="J16" i="3"/>
  <c r="AY15" i="3"/>
  <c r="AI15" i="3"/>
  <c r="S15" i="3"/>
  <c r="BL14" i="3"/>
  <c r="AV14" i="3"/>
  <c r="AF14" i="3"/>
  <c r="P14" i="3"/>
  <c r="BI13" i="3"/>
  <c r="AS13" i="3"/>
  <c r="AC13" i="3"/>
  <c r="M13" i="3"/>
  <c r="BB12" i="3"/>
  <c r="AL12" i="3"/>
  <c r="V12" i="3"/>
  <c r="BK11" i="3"/>
  <c r="AU11" i="3"/>
  <c r="AE11" i="3"/>
  <c r="O11" i="3"/>
  <c r="BH10" i="3"/>
  <c r="AR10" i="3"/>
  <c r="AB10" i="3"/>
  <c r="L10" i="3"/>
  <c r="BE9" i="3"/>
  <c r="AO9" i="3"/>
  <c r="Y9" i="3"/>
  <c r="I9" i="3"/>
  <c r="AX8" i="3"/>
  <c r="AH8" i="3"/>
  <c r="R8" i="3"/>
  <c r="BG7" i="3"/>
  <c r="AQ7" i="3"/>
  <c r="AA7" i="3"/>
  <c r="K7" i="3"/>
  <c r="BD6" i="3"/>
  <c r="AN6" i="3"/>
  <c r="X6" i="3"/>
  <c r="H6" i="3"/>
  <c r="BA5" i="3"/>
  <c r="AK5" i="3"/>
  <c r="U5" i="3"/>
  <c r="F91" i="3"/>
  <c r="F44" i="3"/>
  <c r="F175" i="3"/>
  <c r="F182" i="3"/>
  <c r="F335" i="3"/>
  <c r="F327" i="3"/>
  <c r="F345" i="3"/>
  <c r="F479" i="3"/>
  <c r="F512" i="3"/>
  <c r="F582" i="3"/>
  <c r="F5" i="3"/>
  <c r="F47" i="3"/>
  <c r="F177" i="3"/>
  <c r="F184" i="3"/>
  <c r="F339" i="3"/>
  <c r="F329" i="3"/>
  <c r="F347" i="3"/>
  <c r="F481" i="3"/>
  <c r="F514" i="3"/>
  <c r="F584" i="3"/>
  <c r="F7" i="3"/>
  <c r="F49" i="3"/>
  <c r="F179" i="3"/>
  <c r="F186" i="3"/>
  <c r="F324" i="3"/>
  <c r="F331" i="3"/>
  <c r="F349" i="3"/>
  <c r="F483" i="3"/>
  <c r="F516" i="3"/>
  <c r="F586" i="3"/>
  <c r="F25" i="3"/>
  <c r="F67" i="3"/>
  <c r="F197" i="3"/>
  <c r="F210" i="3"/>
  <c r="F225" i="3"/>
  <c r="F350" i="3"/>
  <c r="F367" i="3"/>
  <c r="F503" i="3"/>
  <c r="F543" i="3"/>
  <c r="F613" i="3"/>
  <c r="F11" i="3"/>
  <c r="F53" i="3"/>
  <c r="F183" i="3"/>
  <c r="F190" i="3"/>
  <c r="F211" i="3"/>
  <c r="F336" i="3"/>
  <c r="F353" i="3"/>
  <c r="F487" i="3"/>
  <c r="F520" i="3"/>
  <c r="F590" i="3"/>
  <c r="F13" i="3"/>
  <c r="F55" i="3"/>
  <c r="F185" i="3"/>
  <c r="F192" i="3"/>
  <c r="F213" i="3"/>
  <c r="F338" i="3"/>
  <c r="F355" i="3"/>
  <c r="F489" i="3"/>
  <c r="F522" i="3"/>
  <c r="F592" i="3"/>
  <c r="F15" i="3"/>
  <c r="F57" i="3"/>
  <c r="F187" i="3"/>
  <c r="F194" i="3"/>
  <c r="F215" i="3"/>
  <c r="F340" i="3"/>
  <c r="F357" i="3"/>
  <c r="F491" i="3"/>
  <c r="F524" i="3"/>
  <c r="F594" i="3"/>
  <c r="F33" i="3"/>
  <c r="F75" i="3"/>
  <c r="F212" i="3"/>
  <c r="F328" i="3"/>
  <c r="F233" i="3"/>
  <c r="F358" i="3"/>
  <c r="F376" i="3"/>
  <c r="F511" i="3"/>
  <c r="F533" i="3"/>
  <c r="F622" i="3"/>
  <c r="F19" i="3"/>
  <c r="F61" i="3"/>
  <c r="F191" i="3"/>
  <c r="F198" i="3"/>
  <c r="F219" i="3"/>
  <c r="F344" i="3"/>
  <c r="F361" i="3"/>
  <c r="F495" i="3"/>
  <c r="F528" i="3"/>
  <c r="F598" i="3"/>
  <c r="F21" i="3"/>
  <c r="F63" i="3"/>
  <c r="F193" i="3"/>
  <c r="F202" i="3"/>
  <c r="F221" i="3"/>
  <c r="F346" i="3"/>
  <c r="F363" i="3"/>
  <c r="F499" i="3"/>
  <c r="F530" i="3"/>
  <c r="F600" i="3"/>
  <c r="F23" i="3"/>
  <c r="F65" i="3"/>
  <c r="F195" i="3"/>
  <c r="F203" i="3"/>
  <c r="F223" i="3"/>
  <c r="F348" i="3"/>
  <c r="F365" i="3"/>
  <c r="F501" i="3"/>
  <c r="F534" i="3"/>
  <c r="F605" i="3"/>
  <c r="F9" i="3"/>
  <c r="F51" i="3"/>
  <c r="F181" i="3"/>
  <c r="F188" i="3"/>
  <c r="F208" i="3"/>
  <c r="F334" i="3"/>
  <c r="F351" i="3"/>
  <c r="F485" i="3"/>
  <c r="F518" i="3"/>
  <c r="F588" i="3"/>
  <c r="F27" i="3"/>
  <c r="F69" i="3"/>
  <c r="F199" i="3"/>
  <c r="F214" i="3"/>
  <c r="F227" i="3"/>
  <c r="F352" i="3"/>
  <c r="F369" i="3"/>
  <c r="F505" i="3"/>
  <c r="F551" i="3"/>
  <c r="F607" i="3"/>
  <c r="F29" i="3"/>
  <c r="F71" i="3"/>
  <c r="F206" i="3"/>
  <c r="F218" i="3"/>
  <c r="F229" i="3"/>
  <c r="F354" i="3"/>
  <c r="F371" i="3"/>
  <c r="F507" i="3"/>
  <c r="F553" i="3"/>
  <c r="F615" i="3"/>
  <c r="F31" i="3"/>
  <c r="F73" i="3"/>
  <c r="F207" i="3"/>
  <c r="F320" i="3"/>
  <c r="F231" i="3"/>
  <c r="F356" i="3"/>
  <c r="F373" i="3"/>
  <c r="F509" i="3"/>
  <c r="F557" i="3"/>
  <c r="F617" i="3"/>
  <c r="F17" i="3"/>
  <c r="F59" i="3"/>
  <c r="F189" i="3"/>
  <c r="F196" i="3"/>
  <c r="F217" i="3"/>
  <c r="F342" i="3"/>
  <c r="F359" i="3"/>
  <c r="F493" i="3"/>
  <c r="F526" i="3"/>
  <c r="F596" i="3"/>
  <c r="F50" i="3"/>
  <c r="F98" i="3"/>
  <c r="F238" i="3"/>
  <c r="F375" i="3"/>
  <c r="F527" i="3"/>
  <c r="F614" i="3"/>
  <c r="F407" i="3"/>
  <c r="F583" i="3"/>
  <c r="AO158" i="3"/>
  <c r="AH157" i="3"/>
  <c r="AA156" i="3"/>
  <c r="X155" i="3"/>
  <c r="U154" i="3"/>
  <c r="N153" i="3"/>
  <c r="G152" i="3"/>
  <c r="BM150" i="3"/>
  <c r="BF149" i="3"/>
  <c r="AY148" i="3"/>
  <c r="AV147" i="3"/>
  <c r="AS146" i="3"/>
  <c r="H235" i="3"/>
  <c r="BI233" i="3"/>
  <c r="BB232" i="3"/>
  <c r="AU231" i="3"/>
  <c r="AR230" i="3"/>
  <c r="AO229" i="3"/>
  <c r="AH228" i="3"/>
  <c r="AA227" i="3"/>
  <c r="X226" i="3"/>
  <c r="U225" i="3"/>
  <c r="N224" i="3"/>
  <c r="G223" i="3"/>
  <c r="BM221" i="3"/>
  <c r="BF220" i="3"/>
  <c r="AY219" i="3"/>
  <c r="AV218" i="3"/>
  <c r="AS217" i="3"/>
  <c r="AL216" i="3"/>
  <c r="AE215" i="3"/>
  <c r="AB214" i="3"/>
  <c r="Y213" i="3"/>
  <c r="R212" i="3"/>
  <c r="K211" i="3"/>
  <c r="H210" i="3"/>
  <c r="BM207" i="3"/>
  <c r="BF206" i="3"/>
  <c r="AY205" i="3"/>
  <c r="AV204" i="3"/>
  <c r="AS203" i="3"/>
  <c r="AL202" i="3"/>
  <c r="AE201" i="3"/>
  <c r="AB200" i="3"/>
  <c r="Y199" i="3"/>
  <c r="R198" i="3"/>
  <c r="K197" i="3"/>
  <c r="H196" i="3"/>
  <c r="BJ194" i="3"/>
  <c r="BC193" i="3"/>
  <c r="AZ192" i="3"/>
  <c r="AW191" i="3"/>
  <c r="AP190" i="3"/>
  <c r="AI189" i="3"/>
  <c r="AF188" i="3"/>
  <c r="AC187" i="3"/>
  <c r="V186" i="3"/>
  <c r="O185" i="3"/>
  <c r="L184" i="3"/>
  <c r="I183" i="3"/>
  <c r="BG181" i="3"/>
  <c r="BD180" i="3"/>
  <c r="BA179" i="3"/>
  <c r="AT178" i="3"/>
  <c r="AM177" i="3"/>
  <c r="AJ176" i="3"/>
  <c r="AG175" i="3"/>
  <c r="Z174" i="3"/>
  <c r="S173" i="3"/>
  <c r="P172" i="3"/>
  <c r="M171" i="3"/>
  <c r="BK169" i="3"/>
  <c r="BG167" i="3"/>
  <c r="BD166" i="3"/>
  <c r="BA165" i="3"/>
  <c r="AT164" i="3"/>
  <c r="AM163" i="3"/>
  <c r="AJ162" i="3"/>
  <c r="AG161" i="3"/>
  <c r="Z160" i="3"/>
  <c r="S159" i="3"/>
  <c r="P158" i="3"/>
  <c r="M157" i="3"/>
  <c r="BK155" i="3"/>
  <c r="BH154" i="3"/>
  <c r="BE153" i="3"/>
  <c r="AX152" i="3"/>
  <c r="AQ151" i="3"/>
  <c r="AN150" i="3"/>
  <c r="AK149" i="3"/>
  <c r="AD148" i="3"/>
  <c r="W147" i="3"/>
  <c r="T146" i="3"/>
  <c r="V144" i="3"/>
  <c r="K143" i="3"/>
  <c r="H142" i="3"/>
  <c r="BJ140" i="3"/>
  <c r="BC139" i="3"/>
  <c r="AZ138" i="3"/>
  <c r="AW137" i="3"/>
  <c r="AP136" i="3"/>
  <c r="AI135" i="3"/>
  <c r="AF134" i="3"/>
  <c r="AC133" i="3"/>
  <c r="V132" i="3"/>
  <c r="O131" i="3"/>
  <c r="L130" i="3"/>
  <c r="I129" i="3"/>
  <c r="BF126" i="3"/>
  <c r="AY125" i="3"/>
  <c r="AV124" i="3"/>
  <c r="AS123" i="3"/>
  <c r="AL122" i="3"/>
  <c r="AE121" i="3"/>
  <c r="AB120" i="3"/>
  <c r="Y119" i="3"/>
  <c r="R118" i="3"/>
  <c r="K117" i="3"/>
  <c r="H116" i="3"/>
  <c r="BJ114" i="3"/>
  <c r="BC113" i="3"/>
  <c r="AZ112" i="3"/>
  <c r="AW111" i="3"/>
  <c r="AP110" i="3"/>
  <c r="AI109" i="3"/>
  <c r="AF108" i="3"/>
  <c r="AC107" i="3"/>
  <c r="V106" i="3"/>
  <c r="O105" i="3"/>
  <c r="L104" i="3"/>
  <c r="I103" i="3"/>
  <c r="BG101" i="3"/>
  <c r="BD100" i="3"/>
  <c r="BA99" i="3"/>
  <c r="AT98" i="3"/>
  <c r="AM97" i="3"/>
  <c r="AJ96" i="3"/>
  <c r="AG95" i="3"/>
  <c r="Z94" i="3"/>
  <c r="S93" i="3"/>
  <c r="P92" i="3"/>
  <c r="M91" i="3"/>
  <c r="BK89" i="3"/>
  <c r="BH88" i="3"/>
  <c r="BE87" i="3"/>
  <c r="BA85" i="3"/>
  <c r="AT84" i="3"/>
  <c r="AM83" i="3"/>
  <c r="AJ82" i="3"/>
  <c r="AG81" i="3"/>
  <c r="Z80" i="3"/>
  <c r="S79" i="3"/>
  <c r="P78" i="3"/>
  <c r="M77" i="3"/>
  <c r="BK75" i="3"/>
  <c r="BH74" i="3"/>
  <c r="BE73" i="3"/>
  <c r="AX72" i="3"/>
  <c r="AQ71" i="3"/>
  <c r="AN70" i="3"/>
  <c r="AK69" i="3"/>
  <c r="AD68" i="3"/>
  <c r="W67" i="3"/>
  <c r="T66" i="3"/>
  <c r="Q65" i="3"/>
  <c r="J64" i="3"/>
  <c r="BL62" i="3"/>
  <c r="BI61" i="3"/>
  <c r="BB60" i="3"/>
  <c r="AU59" i="3"/>
  <c r="AR58" i="3"/>
  <c r="AO57" i="3"/>
  <c r="AH56" i="3"/>
  <c r="AA55" i="3"/>
  <c r="X54" i="3"/>
  <c r="BF145" i="3"/>
  <c r="BJ143" i="3"/>
  <c r="BC142" i="3"/>
  <c r="AZ141" i="3"/>
  <c r="AW140" i="3"/>
  <c r="AP139" i="3"/>
  <c r="AI138" i="3"/>
  <c r="AF137" i="3"/>
  <c r="AC136" i="3"/>
  <c r="V135" i="3"/>
  <c r="O134" i="3"/>
  <c r="L133" i="3"/>
  <c r="I132" i="3"/>
  <c r="BG130" i="3"/>
  <c r="BD129" i="3"/>
  <c r="BA128" i="3"/>
  <c r="AW126" i="3"/>
  <c r="AP125" i="3"/>
  <c r="AI124" i="3"/>
  <c r="AF123" i="3"/>
  <c r="AC122" i="3"/>
  <c r="V121" i="3"/>
  <c r="O120" i="3"/>
  <c r="L119" i="3"/>
  <c r="I118" i="3"/>
  <c r="BG116" i="3"/>
  <c r="BD115" i="3"/>
  <c r="BA114" i="3"/>
  <c r="AT113" i="3"/>
  <c r="AM112" i="3"/>
  <c r="AJ111" i="3"/>
  <c r="AG110" i="3"/>
  <c r="Z109" i="3"/>
  <c r="S108" i="3"/>
  <c r="P107" i="3"/>
  <c r="M106" i="3"/>
  <c r="BK104" i="3"/>
  <c r="BH103" i="3"/>
  <c r="BE102" i="3"/>
  <c r="AX101" i="3"/>
  <c r="AQ100" i="3"/>
  <c r="AN99" i="3"/>
  <c r="AK98" i="3"/>
  <c r="AD97" i="3"/>
  <c r="W96" i="3"/>
  <c r="T95" i="3"/>
  <c r="Q94" i="3"/>
  <c r="J93" i="3"/>
  <c r="BL91" i="3"/>
  <c r="BI90" i="3"/>
  <c r="BB89" i="3"/>
  <c r="AU88" i="3"/>
  <c r="AR87" i="3"/>
  <c r="AN85" i="3"/>
  <c r="AK84" i="3"/>
  <c r="AD83" i="3"/>
  <c r="W82" i="3"/>
  <c r="T81" i="3"/>
  <c r="Q80" i="3"/>
  <c r="J79" i="3"/>
  <c r="BL77" i="3"/>
  <c r="BI76" i="3"/>
  <c r="BB75" i="3"/>
  <c r="AU74" i="3"/>
  <c r="AR73" i="3"/>
  <c r="AO72" i="3"/>
  <c r="AH71" i="3"/>
  <c r="AA70" i="3"/>
  <c r="X69" i="3"/>
  <c r="U68" i="3"/>
  <c r="N67" i="3"/>
  <c r="G66" i="3"/>
  <c r="BM64" i="3"/>
  <c r="BF63" i="3"/>
  <c r="AY62" i="3"/>
  <c r="AV61" i="3"/>
  <c r="AS60" i="3"/>
  <c r="AL59" i="3"/>
  <c r="AE58" i="3"/>
  <c r="AB57" i="3"/>
  <c r="Y56" i="3"/>
  <c r="R55" i="3"/>
  <c r="K54" i="3"/>
  <c r="S144" i="3"/>
  <c r="M143" i="3"/>
  <c r="BK141" i="3"/>
  <c r="BH140" i="3"/>
  <c r="BE139" i="3"/>
  <c r="AX138" i="3"/>
  <c r="AQ137" i="3"/>
  <c r="AN136" i="3"/>
  <c r="AK135" i="3"/>
  <c r="AD134" i="3"/>
  <c r="W133" i="3"/>
  <c r="T132" i="3"/>
  <c r="Q131" i="3"/>
  <c r="J130" i="3"/>
  <c r="BL128" i="3"/>
  <c r="BH126" i="3"/>
  <c r="BE125" i="3"/>
  <c r="AX124" i="3"/>
  <c r="AQ123" i="3"/>
  <c r="AN122" i="3"/>
  <c r="AK121" i="3"/>
  <c r="AD120" i="3"/>
  <c r="W119" i="3"/>
  <c r="T118" i="3"/>
  <c r="Q117" i="3"/>
  <c r="J116" i="3"/>
  <c r="BL114" i="3"/>
  <c r="L114" i="3"/>
  <c r="AS113" i="3"/>
  <c r="Y113" i="3"/>
  <c r="I113" i="3"/>
  <c r="AX112" i="3"/>
  <c r="AH112" i="3"/>
  <c r="R112" i="3"/>
  <c r="BG111" i="3"/>
  <c r="AQ111" i="3"/>
  <c r="AA111" i="3"/>
  <c r="K111" i="3"/>
  <c r="BD110" i="3"/>
  <c r="AN110" i="3"/>
  <c r="X110" i="3"/>
  <c r="H110" i="3"/>
  <c r="BA109" i="3"/>
  <c r="AK109" i="3"/>
  <c r="U109" i="3"/>
  <c r="BJ108" i="3"/>
  <c r="AT108" i="3"/>
  <c r="AD108" i="3"/>
  <c r="N108" i="3"/>
  <c r="BC107" i="3"/>
  <c r="AM107" i="3"/>
  <c r="W107" i="3"/>
  <c r="G107" i="3"/>
  <c r="AZ106" i="3"/>
  <c r="AJ106" i="3"/>
  <c r="T106" i="3"/>
  <c r="BM105" i="3"/>
  <c r="AW105" i="3"/>
  <c r="AG105" i="3"/>
  <c r="Q105" i="3"/>
  <c r="BF104" i="3"/>
  <c r="AP104" i="3"/>
  <c r="Z104" i="3"/>
  <c r="J104" i="3"/>
  <c r="AY103" i="3"/>
  <c r="AI103" i="3"/>
  <c r="S103" i="3"/>
  <c r="BL102" i="3"/>
  <c r="AV102" i="3"/>
  <c r="AF102" i="3"/>
  <c r="P102" i="3"/>
  <c r="BI101" i="3"/>
  <c r="AS101" i="3"/>
  <c r="AC101" i="3"/>
  <c r="M101" i="3"/>
  <c r="BB100" i="3"/>
  <c r="AL100" i="3"/>
  <c r="V100" i="3"/>
  <c r="BK99" i="3"/>
  <c r="AU99" i="3"/>
  <c r="AE99" i="3"/>
  <c r="O99" i="3"/>
  <c r="BH98" i="3"/>
  <c r="AR98" i="3"/>
  <c r="AB98" i="3"/>
  <c r="L98" i="3"/>
  <c r="BE97" i="3"/>
  <c r="AO97" i="3"/>
  <c r="Y97" i="3"/>
  <c r="I97" i="3"/>
  <c r="AX96" i="3"/>
  <c r="AH96" i="3"/>
  <c r="R96" i="3"/>
  <c r="BG95" i="3"/>
  <c r="AQ95" i="3"/>
  <c r="AA95" i="3"/>
  <c r="K95" i="3"/>
  <c r="BD94" i="3"/>
  <c r="AN94" i="3"/>
  <c r="X94" i="3"/>
  <c r="H94" i="3"/>
  <c r="BA93" i="3"/>
  <c r="AK93" i="3"/>
  <c r="U93" i="3"/>
  <c r="BJ92" i="3"/>
  <c r="AT92" i="3"/>
  <c r="AD92" i="3"/>
  <c r="N92" i="3"/>
  <c r="BC91" i="3"/>
  <c r="AM91" i="3"/>
  <c r="W91" i="3"/>
  <c r="G91" i="3"/>
  <c r="AZ90" i="3"/>
  <c r="AJ90" i="3"/>
  <c r="T90" i="3"/>
  <c r="BM89" i="3"/>
  <c r="AW89" i="3"/>
  <c r="AG89" i="3"/>
  <c r="Q89" i="3"/>
  <c r="BF88" i="3"/>
  <c r="AP88" i="3"/>
  <c r="Z88" i="3"/>
  <c r="J88" i="3"/>
  <c r="AY87" i="3"/>
  <c r="AI87" i="3"/>
  <c r="S87" i="3"/>
  <c r="BK85" i="3"/>
  <c r="AU85" i="3"/>
  <c r="AE85" i="3"/>
  <c r="O85" i="3"/>
  <c r="BH84" i="3"/>
  <c r="AR84" i="3"/>
  <c r="AB84" i="3"/>
  <c r="L84" i="3"/>
  <c r="BE83" i="3"/>
  <c r="AO83" i="3"/>
  <c r="Y83" i="3"/>
  <c r="I83" i="3"/>
  <c r="AX82" i="3"/>
  <c r="AH82" i="3"/>
  <c r="R82" i="3"/>
  <c r="BG81" i="3"/>
  <c r="AQ81" i="3"/>
  <c r="AA81" i="3"/>
  <c r="K81" i="3"/>
  <c r="BD80" i="3"/>
  <c r="AN80" i="3"/>
  <c r="X80" i="3"/>
  <c r="H80" i="3"/>
  <c r="BA79" i="3"/>
  <c r="AK79" i="3"/>
  <c r="U79" i="3"/>
  <c r="BJ78" i="3"/>
  <c r="AT78" i="3"/>
  <c r="AD78" i="3"/>
  <c r="N78" i="3"/>
  <c r="BC77" i="3"/>
  <c r="AM77" i="3"/>
  <c r="W77" i="3"/>
  <c r="G77" i="3"/>
  <c r="AZ76" i="3"/>
  <c r="AJ76" i="3"/>
  <c r="T76" i="3"/>
  <c r="BM75" i="3"/>
  <c r="AW75" i="3"/>
  <c r="AG75" i="3"/>
  <c r="Q75" i="3"/>
  <c r="BF74" i="3"/>
  <c r="AP74" i="3"/>
  <c r="Z74" i="3"/>
  <c r="J74" i="3"/>
  <c r="AY73" i="3"/>
  <c r="AI73" i="3"/>
  <c r="S73" i="3"/>
  <c r="BL72" i="3"/>
  <c r="AV72" i="3"/>
  <c r="AF72" i="3"/>
  <c r="P72" i="3"/>
  <c r="BI71" i="3"/>
  <c r="AS71" i="3"/>
  <c r="AC71" i="3"/>
  <c r="M71" i="3"/>
  <c r="BB70" i="3"/>
  <c r="AL70" i="3"/>
  <c r="V70" i="3"/>
  <c r="BK69" i="3"/>
  <c r="AU69" i="3"/>
  <c r="AE69" i="3"/>
  <c r="O69" i="3"/>
  <c r="BH68" i="3"/>
  <c r="AR68" i="3"/>
  <c r="AB68" i="3"/>
  <c r="L68" i="3"/>
  <c r="BE67" i="3"/>
  <c r="AO67" i="3"/>
  <c r="Y67" i="3"/>
  <c r="I67" i="3"/>
  <c r="AX66" i="3"/>
  <c r="AH66" i="3"/>
  <c r="R66" i="3"/>
  <c r="BG65" i="3"/>
  <c r="AQ65" i="3"/>
  <c r="AA65" i="3"/>
  <c r="K65" i="3"/>
  <c r="BD64" i="3"/>
  <c r="AN64" i="3"/>
  <c r="X64" i="3"/>
  <c r="H64" i="3"/>
  <c r="BA63" i="3"/>
  <c r="AK63" i="3"/>
  <c r="U63" i="3"/>
  <c r="BJ62" i="3"/>
  <c r="AT62" i="3"/>
  <c r="AD62" i="3"/>
  <c r="N62" i="3"/>
  <c r="BC61" i="3"/>
  <c r="AM61" i="3"/>
  <c r="W61" i="3"/>
  <c r="G61" i="3"/>
  <c r="AZ60" i="3"/>
  <c r="AJ60" i="3"/>
  <c r="T60" i="3"/>
  <c r="BM59" i="3"/>
  <c r="AW59" i="3"/>
  <c r="AG59" i="3"/>
  <c r="Q59" i="3"/>
  <c r="BF58" i="3"/>
  <c r="AP58" i="3"/>
  <c r="Z58" i="3"/>
  <c r="J58" i="3"/>
  <c r="AY57" i="3"/>
  <c r="AI57" i="3"/>
  <c r="S57" i="3"/>
  <c r="BL56" i="3"/>
  <c r="AV56" i="3"/>
  <c r="AF56" i="3"/>
  <c r="P56" i="3"/>
  <c r="BI55" i="3"/>
  <c r="AS55" i="3"/>
  <c r="AC55" i="3"/>
  <c r="M55" i="3"/>
  <c r="BB54" i="3"/>
  <c r="AL54" i="3"/>
  <c r="V54" i="3"/>
  <c r="BB145" i="3"/>
  <c r="V145" i="3"/>
  <c r="AQ144" i="3"/>
  <c r="R144" i="3"/>
  <c r="BH143" i="3"/>
  <c r="AR143" i="3"/>
  <c r="AB143" i="3"/>
  <c r="L143" i="3"/>
  <c r="BE142" i="3"/>
  <c r="AO142" i="3"/>
  <c r="Y142" i="3"/>
  <c r="I142" i="3"/>
  <c r="AX141" i="3"/>
  <c r="AH141" i="3"/>
  <c r="R141" i="3"/>
  <c r="BG140" i="3"/>
  <c r="AQ140" i="3"/>
  <c r="AA140" i="3"/>
  <c r="K140" i="3"/>
  <c r="BD139" i="3"/>
  <c r="AN139" i="3"/>
  <c r="X139" i="3"/>
  <c r="H139" i="3"/>
  <c r="BA138" i="3"/>
  <c r="AK138" i="3"/>
  <c r="U138" i="3"/>
  <c r="BJ137" i="3"/>
  <c r="AT137" i="3"/>
  <c r="AD137" i="3"/>
  <c r="N137" i="3"/>
  <c r="BC136" i="3"/>
  <c r="AM136" i="3"/>
  <c r="W136" i="3"/>
  <c r="G136" i="3"/>
  <c r="AZ135" i="3"/>
  <c r="AJ135" i="3"/>
  <c r="T135" i="3"/>
  <c r="BM134" i="3"/>
  <c r="AW134" i="3"/>
  <c r="AG134" i="3"/>
  <c r="Q134" i="3"/>
  <c r="BF133" i="3"/>
  <c r="AP133" i="3"/>
  <c r="Z133" i="3"/>
  <c r="J133" i="3"/>
  <c r="AY132" i="3"/>
  <c r="AI132" i="3"/>
  <c r="S132" i="3"/>
  <c r="BL131" i="3"/>
  <c r="AV131" i="3"/>
  <c r="AF131" i="3"/>
  <c r="P131" i="3"/>
  <c r="BI130" i="3"/>
  <c r="AS130" i="3"/>
  <c r="AC130" i="3"/>
  <c r="M130" i="3"/>
  <c r="BB129" i="3"/>
  <c r="AL129" i="3"/>
  <c r="V129" i="3"/>
  <c r="BK128" i="3"/>
  <c r="AU128" i="3"/>
  <c r="AE128" i="3"/>
  <c r="O128" i="3"/>
  <c r="BG126" i="3"/>
  <c r="AQ126" i="3"/>
  <c r="AA126" i="3"/>
  <c r="K126" i="3"/>
  <c r="BD125" i="3"/>
  <c r="AN125" i="3"/>
  <c r="X125" i="3"/>
  <c r="H125" i="3"/>
  <c r="BA124" i="3"/>
  <c r="AK124" i="3"/>
  <c r="U124" i="3"/>
  <c r="BJ123" i="3"/>
  <c r="AT123" i="3"/>
  <c r="AD123" i="3"/>
  <c r="N123" i="3"/>
  <c r="BC122" i="3"/>
  <c r="AM122" i="3"/>
  <c r="W122" i="3"/>
  <c r="G122" i="3"/>
  <c r="AZ121" i="3"/>
  <c r="AJ121" i="3"/>
  <c r="T121" i="3"/>
  <c r="BM120" i="3"/>
  <c r="AW120" i="3"/>
  <c r="AG120" i="3"/>
  <c r="Q120" i="3"/>
  <c r="BF119" i="3"/>
  <c r="AP119" i="3"/>
  <c r="Z119" i="3"/>
  <c r="J119" i="3"/>
  <c r="AY118" i="3"/>
  <c r="AI118" i="3"/>
  <c r="S118" i="3"/>
  <c r="BL117" i="3"/>
  <c r="AV117" i="3"/>
  <c r="AF117" i="3"/>
  <c r="P117" i="3"/>
  <c r="BI116" i="3"/>
  <c r="AS116" i="3"/>
  <c r="AC116" i="3"/>
  <c r="M116" i="3"/>
  <c r="BB115" i="3"/>
  <c r="AL115" i="3"/>
  <c r="V115" i="3"/>
  <c r="BK114" i="3"/>
  <c r="AU114" i="3"/>
  <c r="AE114" i="3"/>
  <c r="O114" i="3"/>
  <c r="BH113" i="3"/>
  <c r="AR113" i="3"/>
  <c r="AB113" i="3"/>
  <c r="L113" i="3"/>
  <c r="BE112" i="3"/>
  <c r="AO112" i="3"/>
  <c r="Y112" i="3"/>
  <c r="I112" i="3"/>
  <c r="AX111" i="3"/>
  <c r="AH111" i="3"/>
  <c r="R111" i="3"/>
  <c r="BG110" i="3"/>
  <c r="AQ110" i="3"/>
  <c r="AA110" i="3"/>
  <c r="K110" i="3"/>
  <c r="BD109" i="3"/>
  <c r="AN109" i="3"/>
  <c r="X109" i="3"/>
  <c r="H109" i="3"/>
  <c r="BA108" i="3"/>
  <c r="AK108" i="3"/>
  <c r="U108" i="3"/>
  <c r="BJ107" i="3"/>
  <c r="AT107" i="3"/>
  <c r="AD107" i="3"/>
  <c r="N107" i="3"/>
  <c r="BC106" i="3"/>
  <c r="AM106" i="3"/>
  <c r="W106" i="3"/>
  <c r="G106" i="3"/>
  <c r="AZ105" i="3"/>
  <c r="AJ105" i="3"/>
  <c r="T105" i="3"/>
  <c r="BM104" i="3"/>
  <c r="AW104" i="3"/>
  <c r="AG104" i="3"/>
  <c r="Q104" i="3"/>
  <c r="BF103" i="3"/>
  <c r="AP103" i="3"/>
  <c r="Z103" i="3"/>
  <c r="J103" i="3"/>
  <c r="AY102" i="3"/>
  <c r="AI102" i="3"/>
  <c r="S102" i="3"/>
  <c r="BL101" i="3"/>
  <c r="AV101" i="3"/>
  <c r="AF101" i="3"/>
  <c r="P101" i="3"/>
  <c r="BI100" i="3"/>
  <c r="AS100" i="3"/>
  <c r="AC100" i="3"/>
  <c r="M100" i="3"/>
  <c r="BB99" i="3"/>
  <c r="AL99" i="3"/>
  <c r="V99" i="3"/>
  <c r="BK98" i="3"/>
  <c r="AU98" i="3"/>
  <c r="AE98" i="3"/>
  <c r="O98" i="3"/>
  <c r="BH97" i="3"/>
  <c r="AR97" i="3"/>
  <c r="AB97" i="3"/>
  <c r="L97" i="3"/>
  <c r="BE96" i="3"/>
  <c r="AO96" i="3"/>
  <c r="Y96" i="3"/>
  <c r="I96" i="3"/>
  <c r="AX95" i="3"/>
  <c r="AH95" i="3"/>
  <c r="R95" i="3"/>
  <c r="BG94" i="3"/>
  <c r="AQ94" i="3"/>
  <c r="AA94" i="3"/>
  <c r="K94" i="3"/>
  <c r="BD93" i="3"/>
  <c r="AN93" i="3"/>
  <c r="X93" i="3"/>
  <c r="H93" i="3"/>
  <c r="BA92" i="3"/>
  <c r="AK92" i="3"/>
  <c r="U92" i="3"/>
  <c r="BJ91" i="3"/>
  <c r="AT91" i="3"/>
  <c r="AD91" i="3"/>
  <c r="N91" i="3"/>
  <c r="BC90" i="3"/>
  <c r="AM90" i="3"/>
  <c r="W90" i="3"/>
  <c r="G90" i="3"/>
  <c r="AZ89" i="3"/>
  <c r="AJ89" i="3"/>
  <c r="T89" i="3"/>
  <c r="BM88" i="3"/>
  <c r="AW88" i="3"/>
  <c r="AG88" i="3"/>
  <c r="Q88" i="3"/>
  <c r="BF87" i="3"/>
  <c r="AP87" i="3"/>
  <c r="Z87" i="3"/>
  <c r="J87" i="3"/>
  <c r="AX85" i="3"/>
  <c r="AH85" i="3"/>
  <c r="R85" i="3"/>
  <c r="BG84" i="3"/>
  <c r="AQ84" i="3"/>
  <c r="AA84" i="3"/>
  <c r="K84" i="3"/>
  <c r="BD83" i="3"/>
  <c r="AN83" i="3"/>
  <c r="X83" i="3"/>
  <c r="H83" i="3"/>
  <c r="BA82" i="3"/>
  <c r="AK82" i="3"/>
  <c r="U82" i="3"/>
  <c r="BJ81" i="3"/>
  <c r="AT81" i="3"/>
  <c r="AD81" i="3"/>
  <c r="N81" i="3"/>
  <c r="BC80" i="3"/>
  <c r="AM80" i="3"/>
  <c r="W80" i="3"/>
  <c r="G80" i="3"/>
  <c r="AZ79" i="3"/>
  <c r="AJ79" i="3"/>
  <c r="T79" i="3"/>
  <c r="BM78" i="3"/>
  <c r="AW78" i="3"/>
  <c r="AG78" i="3"/>
  <c r="Q78" i="3"/>
  <c r="BF77" i="3"/>
  <c r="AP77" i="3"/>
  <c r="Z77" i="3"/>
  <c r="J77" i="3"/>
  <c r="AY76" i="3"/>
  <c r="AI76" i="3"/>
  <c r="S76" i="3"/>
  <c r="BL75" i="3"/>
  <c r="AV75" i="3"/>
  <c r="AF75" i="3"/>
  <c r="P75" i="3"/>
  <c r="BI74" i="3"/>
  <c r="AS74" i="3"/>
  <c r="AC74" i="3"/>
  <c r="M74" i="3"/>
  <c r="BB73" i="3"/>
  <c r="AL73" i="3"/>
  <c r="V73" i="3"/>
  <c r="BK72" i="3"/>
  <c r="AU72" i="3"/>
  <c r="AE72" i="3"/>
  <c r="O72" i="3"/>
  <c r="BH71" i="3"/>
  <c r="AR71" i="3"/>
  <c r="AB71" i="3"/>
  <c r="L71" i="3"/>
  <c r="BE70" i="3"/>
  <c r="AO70" i="3"/>
  <c r="Y70" i="3"/>
  <c r="I70" i="3"/>
  <c r="AX69" i="3"/>
  <c r="AH69" i="3"/>
  <c r="R69" i="3"/>
  <c r="BG68" i="3"/>
  <c r="AQ68" i="3"/>
  <c r="AA68" i="3"/>
  <c r="K68" i="3"/>
  <c r="BD67" i="3"/>
  <c r="AN67" i="3"/>
  <c r="X67" i="3"/>
  <c r="H67" i="3"/>
  <c r="BA66" i="3"/>
  <c r="AK66" i="3"/>
  <c r="U66" i="3"/>
  <c r="BJ65" i="3"/>
  <c r="AT65" i="3"/>
  <c r="AD65" i="3"/>
  <c r="N65" i="3"/>
  <c r="BC64" i="3"/>
  <c r="AM64" i="3"/>
  <c r="W64" i="3"/>
  <c r="G64" i="3"/>
  <c r="AZ63" i="3"/>
  <c r="AJ63" i="3"/>
  <c r="T63" i="3"/>
  <c r="BM62" i="3"/>
  <c r="AW62" i="3"/>
  <c r="AG62" i="3"/>
  <c r="Q62" i="3"/>
  <c r="BF61" i="3"/>
  <c r="AP61" i="3"/>
  <c r="Z61" i="3"/>
  <c r="J61" i="3"/>
  <c r="AY60" i="3"/>
  <c r="AI60" i="3"/>
  <c r="S60" i="3"/>
  <c r="BL59" i="3"/>
  <c r="AV59" i="3"/>
  <c r="AF59" i="3"/>
  <c r="P59" i="3"/>
  <c r="BI58" i="3"/>
  <c r="AS58" i="3"/>
  <c r="AC58" i="3"/>
  <c r="M58" i="3"/>
  <c r="BB57" i="3"/>
  <c r="AL57" i="3"/>
  <c r="V57" i="3"/>
  <c r="BK56" i="3"/>
  <c r="AU56" i="3"/>
  <c r="AE56" i="3"/>
  <c r="O56" i="3"/>
  <c r="BH55" i="3"/>
  <c r="AR55" i="3"/>
  <c r="AB55" i="3"/>
  <c r="L55" i="3"/>
  <c r="BE54" i="3"/>
  <c r="AO54" i="3"/>
  <c r="Y54" i="3"/>
  <c r="I54" i="3"/>
  <c r="AV53" i="3"/>
  <c r="AA53" i="3"/>
  <c r="J53" i="3"/>
  <c r="AY52" i="3"/>
  <c r="AI52" i="3"/>
  <c r="S52" i="3"/>
  <c r="BL51" i="3"/>
  <c r="AV51" i="3"/>
  <c r="AF51" i="3"/>
  <c r="P51" i="3"/>
  <c r="BI50" i="3"/>
  <c r="AS50" i="3"/>
  <c r="AC50" i="3"/>
  <c r="M50" i="3"/>
  <c r="BB49" i="3"/>
  <c r="AL49" i="3"/>
  <c r="V49" i="3"/>
  <c r="BK48" i="3"/>
  <c r="AU48" i="3"/>
  <c r="AE48" i="3"/>
  <c r="O48" i="3"/>
  <c r="BH47" i="3"/>
  <c r="AR47" i="3"/>
  <c r="AB47" i="3"/>
  <c r="L47" i="3"/>
  <c r="BE46" i="3"/>
  <c r="AO46" i="3"/>
  <c r="Y46" i="3"/>
  <c r="I46" i="3"/>
  <c r="BA44" i="3"/>
  <c r="AK44" i="3"/>
  <c r="U44" i="3"/>
  <c r="BJ43" i="3"/>
  <c r="AT43" i="3"/>
  <c r="AD43" i="3"/>
  <c r="N43" i="3"/>
  <c r="BC42" i="3"/>
  <c r="AM42" i="3"/>
  <c r="W42" i="3"/>
  <c r="G42" i="3"/>
  <c r="AZ41" i="3"/>
  <c r="AJ41" i="3"/>
  <c r="T41" i="3"/>
  <c r="BM40" i="3"/>
  <c r="AW40" i="3"/>
  <c r="AG40" i="3"/>
  <c r="Q40" i="3"/>
  <c r="BF39" i="3"/>
  <c r="AP39" i="3"/>
  <c r="Z39" i="3"/>
  <c r="J39" i="3"/>
  <c r="AY38" i="3"/>
  <c r="AI38" i="3"/>
  <c r="S38" i="3"/>
  <c r="BL37" i="3"/>
  <c r="AV37" i="3"/>
  <c r="AF37" i="3"/>
  <c r="P37" i="3"/>
  <c r="BI36" i="3"/>
  <c r="AS36" i="3"/>
  <c r="AC36" i="3"/>
  <c r="M36" i="3"/>
  <c r="BB35" i="3"/>
  <c r="AL35" i="3"/>
  <c r="V35" i="3"/>
  <c r="BK34" i="3"/>
  <c r="AU34" i="3"/>
  <c r="AE34" i="3"/>
  <c r="O34" i="3"/>
  <c r="BH33" i="3"/>
  <c r="AR33" i="3"/>
  <c r="AB33" i="3"/>
  <c r="L33" i="3"/>
  <c r="BE32" i="3"/>
  <c r="AO32" i="3"/>
  <c r="Y32" i="3"/>
  <c r="I32" i="3"/>
  <c r="AX31" i="3"/>
  <c r="AH31" i="3"/>
  <c r="R31" i="3"/>
  <c r="BG30" i="3"/>
  <c r="AQ30" i="3"/>
  <c r="AA30" i="3"/>
  <c r="K30" i="3"/>
  <c r="BD29" i="3"/>
  <c r="AN29" i="3"/>
  <c r="X29" i="3"/>
  <c r="H29" i="3"/>
  <c r="BA28" i="3"/>
  <c r="AK28" i="3"/>
  <c r="U28" i="3"/>
  <c r="BJ27" i="3"/>
  <c r="AT27" i="3"/>
  <c r="AD27" i="3"/>
  <c r="N27" i="3"/>
  <c r="BC26" i="3"/>
  <c r="AM26" i="3"/>
  <c r="W26" i="3"/>
  <c r="G26" i="3"/>
  <c r="AZ25" i="3"/>
  <c r="AJ25" i="3"/>
  <c r="T25" i="3"/>
  <c r="BM24" i="3"/>
  <c r="AW24" i="3"/>
  <c r="AG24" i="3"/>
  <c r="Q24" i="3"/>
  <c r="BF23" i="3"/>
  <c r="AP23" i="3"/>
  <c r="Z23" i="3"/>
  <c r="J23" i="3"/>
  <c r="AY22" i="3"/>
  <c r="AI22" i="3"/>
  <c r="S22" i="3"/>
  <c r="BL21" i="3"/>
  <c r="AV21" i="3"/>
  <c r="AF21" i="3"/>
  <c r="P21" i="3"/>
  <c r="BI20" i="3"/>
  <c r="AS20" i="3"/>
  <c r="AC20" i="3"/>
  <c r="M20" i="3"/>
  <c r="BB19" i="3"/>
  <c r="AL19" i="3"/>
  <c r="V19" i="3"/>
  <c r="BK18" i="3"/>
  <c r="AU18" i="3"/>
  <c r="AE18" i="3"/>
  <c r="O18" i="3"/>
  <c r="BH17" i="3"/>
  <c r="AR17" i="3"/>
  <c r="AB17" i="3"/>
  <c r="L17" i="3"/>
  <c r="BE16" i="3"/>
  <c r="AO16" i="3"/>
  <c r="Y16" i="3"/>
  <c r="I16" i="3"/>
  <c r="AX15" i="3"/>
  <c r="AH15" i="3"/>
  <c r="R15" i="3"/>
  <c r="BG14" i="3"/>
  <c r="AQ14" i="3"/>
  <c r="AA14" i="3"/>
  <c r="K14" i="3"/>
  <c r="BD13" i="3"/>
  <c r="AN13" i="3"/>
  <c r="X13" i="3"/>
  <c r="H13" i="3"/>
  <c r="BA12" i="3"/>
  <c r="AK12" i="3"/>
  <c r="U12" i="3"/>
  <c r="BJ11" i="3"/>
  <c r="AT11" i="3"/>
  <c r="AD11" i="3"/>
  <c r="N11" i="3"/>
  <c r="BC10" i="3"/>
  <c r="AM10" i="3"/>
  <c r="W10" i="3"/>
  <c r="G10" i="3"/>
  <c r="AZ9" i="3"/>
  <c r="AJ9" i="3"/>
  <c r="T9" i="3"/>
  <c r="BM8" i="3"/>
  <c r="AW8" i="3"/>
  <c r="AG8" i="3"/>
  <c r="Q8" i="3"/>
  <c r="BF7" i="3"/>
  <c r="AP7" i="3"/>
  <c r="Z7" i="3"/>
  <c r="J7" i="3"/>
  <c r="AY6" i="3"/>
  <c r="AI6" i="3"/>
  <c r="S6" i="3"/>
  <c r="BL5" i="3"/>
  <c r="AV5" i="3"/>
  <c r="AF5" i="3"/>
  <c r="P5" i="3"/>
  <c r="BK53" i="3"/>
  <c r="AP53" i="3"/>
  <c r="U53" i="3"/>
  <c r="BJ52" i="3"/>
  <c r="AT52" i="3"/>
  <c r="AD52" i="3"/>
  <c r="N52" i="3"/>
  <c r="BC51" i="3"/>
  <c r="AM51" i="3"/>
  <c r="W51" i="3"/>
  <c r="G51" i="3"/>
  <c r="AZ50" i="3"/>
  <c r="AJ50" i="3"/>
  <c r="T50" i="3"/>
  <c r="BM49" i="3"/>
  <c r="AW49" i="3"/>
  <c r="AG49" i="3"/>
  <c r="Q49" i="3"/>
  <c r="BF48" i="3"/>
  <c r="AP48" i="3"/>
  <c r="Z48" i="3"/>
  <c r="J48" i="3"/>
  <c r="AY47" i="3"/>
  <c r="AI47" i="3"/>
  <c r="S47" i="3"/>
  <c r="BL46" i="3"/>
  <c r="AV46" i="3"/>
  <c r="AF46" i="3"/>
  <c r="P46" i="3"/>
  <c r="BH44" i="3"/>
  <c r="AR44" i="3"/>
  <c r="AB44" i="3"/>
  <c r="L44" i="3"/>
  <c r="BE43" i="3"/>
  <c r="AO43" i="3"/>
  <c r="Y43" i="3"/>
  <c r="I43" i="3"/>
  <c r="AX42" i="3"/>
  <c r="AH42" i="3"/>
  <c r="R42" i="3"/>
  <c r="BG41" i="3"/>
  <c r="AQ41" i="3"/>
  <c r="AA41" i="3"/>
  <c r="K41" i="3"/>
  <c r="BD40" i="3"/>
  <c r="AN40" i="3"/>
  <c r="X40" i="3"/>
  <c r="H40" i="3"/>
  <c r="BA39" i="3"/>
  <c r="AK39" i="3"/>
  <c r="U39" i="3"/>
  <c r="BJ38" i="3"/>
  <c r="AT38" i="3"/>
  <c r="AD38" i="3"/>
  <c r="N38" i="3"/>
  <c r="BC37" i="3"/>
  <c r="AM37" i="3"/>
  <c r="W37" i="3"/>
  <c r="G37" i="3"/>
  <c r="AZ36" i="3"/>
  <c r="AJ36" i="3"/>
  <c r="T36" i="3"/>
  <c r="BM35" i="3"/>
  <c r="AW35" i="3"/>
  <c r="AG35" i="3"/>
  <c r="Q35" i="3"/>
  <c r="BF34" i="3"/>
  <c r="AP34" i="3"/>
  <c r="Z34" i="3"/>
  <c r="J34" i="3"/>
  <c r="AY33" i="3"/>
  <c r="AI33" i="3"/>
  <c r="S33" i="3"/>
  <c r="BL32" i="3"/>
  <c r="AV32" i="3"/>
  <c r="AF32" i="3"/>
  <c r="P32" i="3"/>
  <c r="BI31" i="3"/>
  <c r="AS31" i="3"/>
  <c r="AC31" i="3"/>
  <c r="M31" i="3"/>
  <c r="BB30" i="3"/>
  <c r="AL30" i="3"/>
  <c r="V30" i="3"/>
  <c r="BK29" i="3"/>
  <c r="AU29" i="3"/>
  <c r="AE29" i="3"/>
  <c r="O29" i="3"/>
  <c r="BH28" i="3"/>
  <c r="AR28" i="3"/>
  <c r="AB28" i="3"/>
  <c r="L28" i="3"/>
  <c r="BE27" i="3"/>
  <c r="AO27" i="3"/>
  <c r="Y27" i="3"/>
  <c r="I27" i="3"/>
  <c r="AX26" i="3"/>
  <c r="AH26" i="3"/>
  <c r="R26" i="3"/>
  <c r="BG25" i="3"/>
  <c r="AQ25" i="3"/>
  <c r="AA25" i="3"/>
  <c r="K25" i="3"/>
  <c r="BD24" i="3"/>
  <c r="AN24" i="3"/>
  <c r="X24" i="3"/>
  <c r="H24" i="3"/>
  <c r="BA23" i="3"/>
  <c r="AK23" i="3"/>
  <c r="U23" i="3"/>
  <c r="BJ22" i="3"/>
  <c r="AT22" i="3"/>
  <c r="AD22" i="3"/>
  <c r="N22" i="3"/>
  <c r="BC21" i="3"/>
  <c r="AM21" i="3"/>
  <c r="W21" i="3"/>
  <c r="G21" i="3"/>
  <c r="AZ20" i="3"/>
  <c r="AJ20" i="3"/>
  <c r="T20" i="3"/>
  <c r="BM19" i="3"/>
  <c r="AW19" i="3"/>
  <c r="AG19" i="3"/>
  <c r="Q19" i="3"/>
  <c r="BF18" i="3"/>
  <c r="AP18" i="3"/>
  <c r="Z18" i="3"/>
  <c r="J18" i="3"/>
  <c r="AY17" i="3"/>
  <c r="AI17" i="3"/>
  <c r="S17" i="3"/>
  <c r="BL16" i="3"/>
  <c r="AV16" i="3"/>
  <c r="AF16" i="3"/>
  <c r="P16" i="3"/>
  <c r="BI15" i="3"/>
  <c r="AS15" i="3"/>
  <c r="AC15" i="3"/>
  <c r="M15" i="3"/>
  <c r="BB14" i="3"/>
  <c r="AL14" i="3"/>
  <c r="V14" i="3"/>
  <c r="BK13" i="3"/>
  <c r="AU13" i="3"/>
  <c r="AE13" i="3"/>
  <c r="O13" i="3"/>
  <c r="BH12" i="3"/>
  <c r="AR12" i="3"/>
  <c r="AB12" i="3"/>
  <c r="L12" i="3"/>
  <c r="BE11" i="3"/>
  <c r="AO11" i="3"/>
  <c r="Y11" i="3"/>
  <c r="I11" i="3"/>
  <c r="AX10" i="3"/>
  <c r="AH10" i="3"/>
  <c r="R10" i="3"/>
  <c r="BG9" i="3"/>
  <c r="AQ9" i="3"/>
  <c r="AA9" i="3"/>
  <c r="K9" i="3"/>
  <c r="BD8" i="3"/>
  <c r="AN8" i="3"/>
  <c r="X8" i="3"/>
  <c r="H8" i="3"/>
  <c r="BA7" i="3"/>
  <c r="AK7" i="3"/>
  <c r="U7" i="3"/>
  <c r="BJ6" i="3"/>
  <c r="AT6" i="3"/>
  <c r="AD6" i="3"/>
  <c r="N6" i="3"/>
  <c r="BC5" i="3"/>
  <c r="AM5" i="3"/>
  <c r="W5" i="3"/>
  <c r="G5" i="3"/>
  <c r="AT53" i="3"/>
  <c r="X53" i="3"/>
  <c r="H53" i="3"/>
  <c r="BA52" i="3"/>
  <c r="AK52" i="3"/>
  <c r="U52" i="3"/>
  <c r="BJ51" i="3"/>
  <c r="AT51" i="3"/>
  <c r="AD51" i="3"/>
  <c r="N51" i="3"/>
  <c r="BC50" i="3"/>
  <c r="AM50" i="3"/>
  <c r="W50" i="3"/>
  <c r="G50" i="3"/>
  <c r="AZ49" i="3"/>
  <c r="AJ49" i="3"/>
  <c r="T49" i="3"/>
  <c r="BM48" i="3"/>
  <c r="AW48" i="3"/>
  <c r="AG48" i="3"/>
  <c r="Q48" i="3"/>
  <c r="BF47" i="3"/>
  <c r="AP47" i="3"/>
  <c r="Z47" i="3"/>
  <c r="J47" i="3"/>
  <c r="AY46" i="3"/>
  <c r="AI46" i="3"/>
  <c r="S46" i="3"/>
  <c r="BK44" i="3"/>
  <c r="AU44" i="3"/>
  <c r="AE44" i="3"/>
  <c r="O44" i="3"/>
  <c r="BH43" i="3"/>
  <c r="AR43" i="3"/>
  <c r="AB43" i="3"/>
  <c r="L43" i="3"/>
  <c r="BE42" i="3"/>
  <c r="AO42" i="3"/>
  <c r="Y42" i="3"/>
  <c r="I42" i="3"/>
  <c r="AX41" i="3"/>
  <c r="AH41" i="3"/>
  <c r="R41" i="3"/>
  <c r="BG40" i="3"/>
  <c r="AQ40" i="3"/>
  <c r="AA40" i="3"/>
  <c r="K40" i="3"/>
  <c r="BD39" i="3"/>
  <c r="AN39" i="3"/>
  <c r="X39" i="3"/>
  <c r="H39" i="3"/>
  <c r="BA38" i="3"/>
  <c r="AK38" i="3"/>
  <c r="U38" i="3"/>
  <c r="BJ37" i="3"/>
  <c r="AT37" i="3"/>
  <c r="AD37" i="3"/>
  <c r="N37" i="3"/>
  <c r="BC36" i="3"/>
  <c r="AM36" i="3"/>
  <c r="W36" i="3"/>
  <c r="G36" i="3"/>
  <c r="AZ35" i="3"/>
  <c r="AJ35" i="3"/>
  <c r="T35" i="3"/>
  <c r="BM34" i="3"/>
  <c r="AW34" i="3"/>
  <c r="AG34" i="3"/>
  <c r="Q34" i="3"/>
  <c r="BF33" i="3"/>
  <c r="AP33" i="3"/>
  <c r="Z33" i="3"/>
  <c r="J33" i="3"/>
  <c r="AY32" i="3"/>
  <c r="AI32" i="3"/>
  <c r="S32" i="3"/>
  <c r="BL31" i="3"/>
  <c r="AV31" i="3"/>
  <c r="AF31" i="3"/>
  <c r="P31" i="3"/>
  <c r="BI30" i="3"/>
  <c r="AS30" i="3"/>
  <c r="AC30" i="3"/>
  <c r="M30" i="3"/>
  <c r="BB29" i="3"/>
  <c r="AL29" i="3"/>
  <c r="V29" i="3"/>
  <c r="BK28" i="3"/>
  <c r="AU28" i="3"/>
  <c r="AE28" i="3"/>
  <c r="O28" i="3"/>
  <c r="BH27" i="3"/>
  <c r="AR27" i="3"/>
  <c r="AB27" i="3"/>
  <c r="L27" i="3"/>
  <c r="BE26" i="3"/>
  <c r="AO26" i="3"/>
  <c r="Y26" i="3"/>
  <c r="I26" i="3"/>
  <c r="AX25" i="3"/>
  <c r="AH25" i="3"/>
  <c r="R25" i="3"/>
  <c r="BG24" i="3"/>
  <c r="AQ24" i="3"/>
  <c r="AA24" i="3"/>
  <c r="K24" i="3"/>
  <c r="BD23" i="3"/>
  <c r="AN23" i="3"/>
  <c r="X23" i="3"/>
  <c r="H23" i="3"/>
  <c r="BA22" i="3"/>
  <c r="AK22" i="3"/>
  <c r="U22" i="3"/>
  <c r="BJ21" i="3"/>
  <c r="AT21" i="3"/>
  <c r="AD21" i="3"/>
  <c r="N21" i="3"/>
  <c r="BC20" i="3"/>
  <c r="AM20" i="3"/>
  <c r="W20" i="3"/>
  <c r="G20" i="3"/>
  <c r="AZ19" i="3"/>
  <c r="AJ19" i="3"/>
  <c r="T19" i="3"/>
  <c r="BM18" i="3"/>
  <c r="AW18" i="3"/>
  <c r="AG18" i="3"/>
  <c r="Q18" i="3"/>
  <c r="BF17" i="3"/>
  <c r="AP17" i="3"/>
  <c r="Z17" i="3"/>
  <c r="J17" i="3"/>
  <c r="AY16" i="3"/>
  <c r="AI16" i="3"/>
  <c r="S16" i="3"/>
  <c r="BL15" i="3"/>
  <c r="AV15" i="3"/>
  <c r="AF15" i="3"/>
  <c r="P15" i="3"/>
  <c r="BI14" i="3"/>
  <c r="AS14" i="3"/>
  <c r="AC14" i="3"/>
  <c r="M14" i="3"/>
  <c r="BB13" i="3"/>
  <c r="AL13" i="3"/>
  <c r="V13" i="3"/>
  <c r="BK12" i="3"/>
  <c r="AU12" i="3"/>
  <c r="AE12" i="3"/>
  <c r="O12" i="3"/>
  <c r="BH11" i="3"/>
  <c r="AR11" i="3"/>
  <c r="AB11" i="3"/>
  <c r="L11" i="3"/>
  <c r="BE10" i="3"/>
  <c r="AO10" i="3"/>
  <c r="Y10" i="3"/>
  <c r="I10" i="3"/>
  <c r="AX9" i="3"/>
  <c r="AH9" i="3"/>
  <c r="R9" i="3"/>
  <c r="BG8" i="3"/>
  <c r="AQ8" i="3"/>
  <c r="AA8" i="3"/>
  <c r="K8" i="3"/>
  <c r="BD7" i="3"/>
  <c r="AN7" i="3"/>
  <c r="X7" i="3"/>
  <c r="H7" i="3"/>
  <c r="BA6" i="3"/>
  <c r="AK6" i="3"/>
  <c r="U6" i="3"/>
  <c r="BJ5" i="3"/>
  <c r="AT5" i="3"/>
  <c r="AD5" i="3"/>
  <c r="N5" i="3"/>
  <c r="AX53" i="3"/>
  <c r="AB53" i="3"/>
  <c r="K53" i="3"/>
  <c r="BD52" i="3"/>
  <c r="AN52" i="3"/>
  <c r="X52" i="3"/>
  <c r="H52" i="3"/>
  <c r="BA51" i="3"/>
  <c r="AK51" i="3"/>
  <c r="U51" i="3"/>
  <c r="BJ50" i="3"/>
  <c r="AT50" i="3"/>
  <c r="AD50" i="3"/>
  <c r="N50" i="3"/>
  <c r="BC49" i="3"/>
  <c r="AM49" i="3"/>
  <c r="W49" i="3"/>
  <c r="G49" i="3"/>
  <c r="AZ48" i="3"/>
  <c r="AJ48" i="3"/>
  <c r="T48" i="3"/>
  <c r="BM47" i="3"/>
  <c r="AW47" i="3"/>
  <c r="AG47" i="3"/>
  <c r="Q47" i="3"/>
  <c r="BF46" i="3"/>
  <c r="AP46" i="3"/>
  <c r="Z46" i="3"/>
  <c r="J46" i="3"/>
  <c r="AX44" i="3"/>
  <c r="AH44" i="3"/>
  <c r="R44" i="3"/>
  <c r="BG43" i="3"/>
  <c r="AQ43" i="3"/>
  <c r="AA43" i="3"/>
  <c r="K43" i="3"/>
  <c r="BD42" i="3"/>
  <c r="AN42" i="3"/>
  <c r="X42" i="3"/>
  <c r="H42" i="3"/>
  <c r="BA41" i="3"/>
  <c r="AK41" i="3"/>
  <c r="U41" i="3"/>
  <c r="BJ40" i="3"/>
  <c r="AT40" i="3"/>
  <c r="AD40" i="3"/>
  <c r="N40" i="3"/>
  <c r="BC39" i="3"/>
  <c r="AM39" i="3"/>
  <c r="W39" i="3"/>
  <c r="G39" i="3"/>
  <c r="AZ38" i="3"/>
  <c r="AJ38" i="3"/>
  <c r="T38" i="3"/>
  <c r="BM37" i="3"/>
  <c r="AW37" i="3"/>
  <c r="AG37" i="3"/>
  <c r="Q37" i="3"/>
  <c r="BF36" i="3"/>
  <c r="AP36" i="3"/>
  <c r="Z36" i="3"/>
  <c r="J36" i="3"/>
  <c r="AY35" i="3"/>
  <c r="AI35" i="3"/>
  <c r="S35" i="3"/>
  <c r="BL34" i="3"/>
  <c r="AV34" i="3"/>
  <c r="AF34" i="3"/>
  <c r="P34" i="3"/>
  <c r="BI33" i="3"/>
  <c r="AS33" i="3"/>
  <c r="AC33" i="3"/>
  <c r="M33" i="3"/>
  <c r="BB32" i="3"/>
  <c r="AL32" i="3"/>
  <c r="V32" i="3"/>
  <c r="BK31" i="3"/>
  <c r="AU31" i="3"/>
  <c r="AE31" i="3"/>
  <c r="O31" i="3"/>
  <c r="BH30" i="3"/>
  <c r="AR30" i="3"/>
  <c r="AB30" i="3"/>
  <c r="L30" i="3"/>
  <c r="BE29" i="3"/>
  <c r="AO29" i="3"/>
  <c r="Y29" i="3"/>
  <c r="I29" i="3"/>
  <c r="AX28" i="3"/>
  <c r="AH28" i="3"/>
  <c r="R28" i="3"/>
  <c r="BG27" i="3"/>
  <c r="AQ27" i="3"/>
  <c r="AA27" i="3"/>
  <c r="K27" i="3"/>
  <c r="BD26" i="3"/>
  <c r="AN26" i="3"/>
  <c r="X26" i="3"/>
  <c r="H26" i="3"/>
  <c r="BA25" i="3"/>
  <c r="AK25" i="3"/>
  <c r="U25" i="3"/>
  <c r="BJ24" i="3"/>
  <c r="AT24" i="3"/>
  <c r="AD24" i="3"/>
  <c r="N24" i="3"/>
  <c r="BC23" i="3"/>
  <c r="AM23" i="3"/>
  <c r="W23" i="3"/>
  <c r="G23" i="3"/>
  <c r="AZ22" i="3"/>
  <c r="AJ22" i="3"/>
  <c r="T22" i="3"/>
  <c r="BM21" i="3"/>
  <c r="AW21" i="3"/>
  <c r="AG21" i="3"/>
  <c r="Q21" i="3"/>
  <c r="BF20" i="3"/>
  <c r="AP20" i="3"/>
  <c r="Z20" i="3"/>
  <c r="J20" i="3"/>
  <c r="AY19" i="3"/>
  <c r="AI19" i="3"/>
  <c r="S19" i="3"/>
  <c r="BL18" i="3"/>
  <c r="AV18" i="3"/>
  <c r="AF18" i="3"/>
  <c r="P18" i="3"/>
  <c r="BI17" i="3"/>
  <c r="AS17" i="3"/>
  <c r="AC17" i="3"/>
  <c r="M17" i="3"/>
  <c r="BB16" i="3"/>
  <c r="AL16" i="3"/>
  <c r="V16" i="3"/>
  <c r="BK15" i="3"/>
  <c r="AU15" i="3"/>
  <c r="AE15" i="3"/>
  <c r="O15" i="3"/>
  <c r="BH14" i="3"/>
  <c r="AR14" i="3"/>
  <c r="AB14" i="3"/>
  <c r="L14" i="3"/>
  <c r="BE13" i="3"/>
  <c r="AO13" i="3"/>
  <c r="Y13" i="3"/>
  <c r="I13" i="3"/>
  <c r="AX12" i="3"/>
  <c r="AH12" i="3"/>
  <c r="R12" i="3"/>
  <c r="BG11" i="3"/>
  <c r="AQ11" i="3"/>
  <c r="AA11" i="3"/>
  <c r="K11" i="3"/>
  <c r="BD10" i="3"/>
  <c r="AN10" i="3"/>
  <c r="X10" i="3"/>
  <c r="H10" i="3"/>
  <c r="BA9" i="3"/>
  <c r="AK9" i="3"/>
  <c r="U9" i="3"/>
  <c r="BJ8" i="3"/>
  <c r="AT8" i="3"/>
  <c r="AD8" i="3"/>
  <c r="N8" i="3"/>
  <c r="BC7" i="3"/>
  <c r="AM7" i="3"/>
  <c r="W7" i="3"/>
  <c r="G7" i="3"/>
  <c r="AZ6" i="3"/>
  <c r="AJ6" i="3"/>
  <c r="T6" i="3"/>
  <c r="BM5" i="3"/>
  <c r="AW5" i="3"/>
  <c r="AG5" i="3"/>
  <c r="Q5" i="3"/>
  <c r="F35" i="3"/>
  <c r="F77" i="3"/>
  <c r="F222" i="3"/>
  <c r="F224" i="3"/>
  <c r="F235" i="3"/>
  <c r="F360" i="3"/>
  <c r="F378" i="3"/>
  <c r="F513" i="3"/>
  <c r="F535" i="3"/>
  <c r="F626" i="3"/>
  <c r="F37" i="3"/>
  <c r="F79" i="3"/>
  <c r="F200" i="3"/>
  <c r="F226" i="3"/>
  <c r="F237" i="3"/>
  <c r="F362" i="3"/>
  <c r="F380" i="3"/>
  <c r="F515" i="3"/>
  <c r="F537" i="3"/>
  <c r="F602" i="3"/>
  <c r="F39" i="3"/>
  <c r="F81" i="3"/>
  <c r="F201" i="3"/>
  <c r="F228" i="3"/>
  <c r="F239" i="3"/>
  <c r="F364" i="3"/>
  <c r="F382" i="3"/>
  <c r="F517" i="3"/>
  <c r="F540" i="3"/>
  <c r="F604" i="3"/>
  <c r="F58" i="3"/>
  <c r="F99" i="3"/>
  <c r="F106" i="3"/>
  <c r="F246" i="3"/>
  <c r="F258" i="3"/>
  <c r="F383" i="3"/>
  <c r="F400" i="3"/>
  <c r="F547" i="3"/>
  <c r="F558" i="3"/>
  <c r="F623" i="3"/>
  <c r="F43" i="3"/>
  <c r="F85" i="3"/>
  <c r="F92" i="3"/>
  <c r="F232" i="3"/>
  <c r="F243" i="3"/>
  <c r="F368" i="3"/>
  <c r="F386" i="3"/>
  <c r="F521" i="3"/>
  <c r="F544" i="3"/>
  <c r="F608" i="3"/>
  <c r="F46" i="3"/>
  <c r="F88" i="3"/>
  <c r="F94" i="3"/>
  <c r="F234" i="3"/>
  <c r="F245" i="3"/>
  <c r="F370" i="3"/>
  <c r="F388" i="3"/>
  <c r="F523" i="3"/>
  <c r="F546" i="3"/>
  <c r="F610" i="3"/>
  <c r="F48" i="3"/>
  <c r="F90" i="3"/>
  <c r="F96" i="3"/>
  <c r="F236" i="3"/>
  <c r="F247" i="3"/>
  <c r="F372" i="3"/>
  <c r="F390" i="3"/>
  <c r="F525" i="3"/>
  <c r="F548" i="3"/>
  <c r="F612" i="3"/>
  <c r="F66" i="3"/>
  <c r="F107" i="3"/>
  <c r="F114" i="3"/>
  <c r="F255" i="3"/>
  <c r="F266" i="3"/>
  <c r="F391" i="3"/>
  <c r="F408" i="3"/>
  <c r="F541" i="3"/>
  <c r="F566" i="3"/>
  <c r="F631" i="3"/>
  <c r="F52" i="3"/>
  <c r="F205" i="3"/>
  <c r="F100" i="3"/>
  <c r="F240" i="3"/>
  <c r="F252" i="3"/>
  <c r="F377" i="3"/>
  <c r="F394" i="3"/>
  <c r="F529" i="3"/>
  <c r="F552" i="3"/>
  <c r="F616" i="3"/>
  <c r="F54" i="3"/>
  <c r="F216" i="3"/>
  <c r="F102" i="3"/>
  <c r="F242" i="3"/>
  <c r="F254" i="3"/>
  <c r="F379" i="3"/>
  <c r="F396" i="3"/>
  <c r="F531" i="3"/>
  <c r="F554" i="3"/>
  <c r="F618" i="3"/>
  <c r="F56" i="3"/>
  <c r="F97" i="3"/>
  <c r="F104" i="3"/>
  <c r="F244" i="3"/>
  <c r="F256" i="3"/>
  <c r="F381" i="3"/>
  <c r="F398" i="3"/>
  <c r="F538" i="3"/>
  <c r="F556" i="3"/>
  <c r="F620" i="3"/>
  <c r="F41" i="3"/>
  <c r="F83" i="3"/>
  <c r="F220" i="3"/>
  <c r="F230" i="3"/>
  <c r="F241" i="3"/>
  <c r="F366" i="3"/>
  <c r="F384" i="3"/>
  <c r="F519" i="3"/>
  <c r="F542" i="3"/>
  <c r="F606" i="3"/>
  <c r="F60" i="3"/>
  <c r="F101" i="3"/>
  <c r="F108" i="3"/>
  <c r="F248" i="3"/>
  <c r="F260" i="3"/>
  <c r="F385" i="3"/>
  <c r="F402" i="3"/>
  <c r="F555" i="3"/>
  <c r="F560" i="3"/>
  <c r="F625" i="3"/>
  <c r="F62" i="3"/>
  <c r="F103" i="3"/>
  <c r="F110" i="3"/>
  <c r="F251" i="3"/>
  <c r="F262" i="3"/>
  <c r="F387" i="3"/>
  <c r="F404" i="3"/>
  <c r="F559" i="3"/>
  <c r="F562" i="3"/>
  <c r="F627" i="3"/>
  <c r="F64" i="3"/>
  <c r="F105" i="3"/>
  <c r="F112" i="3"/>
  <c r="F253" i="3"/>
  <c r="F264" i="3"/>
  <c r="F389" i="3"/>
  <c r="F406" i="3"/>
  <c r="F532" i="3"/>
  <c r="F564" i="3"/>
  <c r="F629" i="3"/>
  <c r="F204" i="3"/>
  <c r="F249" i="3"/>
  <c r="F392" i="3"/>
  <c r="F550" i="3"/>
  <c r="F425" i="3"/>
  <c r="F647" i="3"/>
  <c r="Y158" i="3"/>
  <c r="R157" i="3"/>
  <c r="K156" i="3"/>
  <c r="H155" i="3"/>
  <c r="BJ153" i="3"/>
  <c r="BC152" i="3"/>
  <c r="AZ151" i="3"/>
  <c r="AW150" i="3"/>
  <c r="AP149" i="3"/>
  <c r="AI148" i="3"/>
  <c r="AF147" i="3"/>
  <c r="AC146" i="3"/>
  <c r="AV234" i="3"/>
  <c r="AS233" i="3"/>
  <c r="AL232" i="3"/>
  <c r="AE231" i="3"/>
  <c r="AB230" i="3"/>
  <c r="Y229" i="3"/>
  <c r="R228" i="3"/>
  <c r="K227" i="3"/>
  <c r="H226" i="3"/>
  <c r="BJ224" i="3"/>
  <c r="BC223" i="3"/>
  <c r="AZ222" i="3"/>
  <c r="AW221" i="3"/>
  <c r="AP220" i="3"/>
  <c r="AI219" i="3"/>
  <c r="AF218" i="3"/>
  <c r="AC217" i="3"/>
  <c r="V216" i="3"/>
  <c r="O215" i="3"/>
  <c r="L214" i="3"/>
  <c r="I213" i="3"/>
  <c r="BG211" i="3"/>
  <c r="BD210" i="3"/>
  <c r="AZ208" i="3"/>
  <c r="AW207" i="3"/>
  <c r="AP206" i="3"/>
  <c r="AI205" i="3"/>
  <c r="AF204" i="3"/>
  <c r="AC203" i="3"/>
  <c r="V202" i="3"/>
  <c r="O201" i="3"/>
  <c r="L200" i="3"/>
  <c r="I199" i="3"/>
  <c r="BG197" i="3"/>
  <c r="BD196" i="3"/>
  <c r="BA195" i="3"/>
  <c r="AT194" i="3"/>
  <c r="AM193" i="3"/>
  <c r="AJ192" i="3"/>
  <c r="AG191" i="3"/>
  <c r="Z190" i="3"/>
  <c r="S189" i="3"/>
  <c r="P188" i="3"/>
  <c r="M187" i="3"/>
  <c r="BK185" i="3"/>
  <c r="BH184" i="3"/>
  <c r="BE183" i="3"/>
  <c r="AX182" i="3"/>
  <c r="AQ181" i="3"/>
  <c r="AN180" i="3"/>
  <c r="AK179" i="3"/>
  <c r="AD178" i="3"/>
  <c r="W177" i="3"/>
  <c r="T176" i="3"/>
  <c r="Q175" i="3"/>
  <c r="J174" i="3"/>
  <c r="BL172" i="3"/>
  <c r="BI171" i="3"/>
  <c r="BB170" i="3"/>
  <c r="AU169" i="3"/>
  <c r="AQ167" i="3"/>
  <c r="AN166" i="3"/>
  <c r="AK165" i="3"/>
  <c r="AD164" i="3"/>
  <c r="W163" i="3"/>
  <c r="T162" i="3"/>
  <c r="Q161" i="3"/>
  <c r="J160" i="3"/>
  <c r="BL158" i="3"/>
  <c r="BI157" i="3"/>
  <c r="BB156" i="3"/>
  <c r="AU155" i="3"/>
  <c r="AR154" i="3"/>
  <c r="AO153" i="3"/>
  <c r="AH152" i="3"/>
  <c r="AA151" i="3"/>
  <c r="X150" i="3"/>
  <c r="U149" i="3"/>
  <c r="N148" i="3"/>
  <c r="G147" i="3"/>
  <c r="BI145" i="3"/>
  <c r="BG143" i="3"/>
  <c r="BD142" i="3"/>
  <c r="BA141" i="3"/>
  <c r="AT140" i="3"/>
  <c r="AM139" i="3"/>
  <c r="AJ138" i="3"/>
  <c r="AG137" i="3"/>
  <c r="Z136" i="3"/>
  <c r="S135" i="3"/>
  <c r="P134" i="3"/>
  <c r="M133" i="3"/>
  <c r="BK131" i="3"/>
  <c r="BH130" i="3"/>
  <c r="BE129" i="3"/>
  <c r="AX128" i="3"/>
  <c r="AP126" i="3"/>
  <c r="AI125" i="3"/>
  <c r="AF124" i="3"/>
  <c r="AC123" i="3"/>
  <c r="V122" i="3"/>
  <c r="O121" i="3"/>
  <c r="L120" i="3"/>
  <c r="I119" i="3"/>
  <c r="BG117" i="3"/>
  <c r="BD116" i="3"/>
  <c r="BA115" i="3"/>
  <c r="AT114" i="3"/>
  <c r="AM113" i="3"/>
  <c r="AJ112" i="3"/>
  <c r="AG111" i="3"/>
  <c r="Z110" i="3"/>
  <c r="S109" i="3"/>
  <c r="P108" i="3"/>
  <c r="M107" i="3"/>
  <c r="BK105" i="3"/>
  <c r="BH104" i="3"/>
  <c r="BE103" i="3"/>
  <c r="AX102" i="3"/>
  <c r="AQ101" i="3"/>
  <c r="AN100" i="3"/>
  <c r="AK99" i="3"/>
  <c r="AD98" i="3"/>
  <c r="W97" i="3"/>
  <c r="T96" i="3"/>
  <c r="Q95" i="3"/>
  <c r="J94" i="3"/>
  <c r="BL92" i="3"/>
  <c r="BI91" i="3"/>
  <c r="BB90" i="3"/>
  <c r="AU89" i="3"/>
  <c r="AR88" i="3"/>
  <c r="AO87" i="3"/>
  <c r="AK85" i="3"/>
  <c r="AD84" i="3"/>
  <c r="W83" i="3"/>
  <c r="T82" i="3"/>
  <c r="Q81" i="3"/>
  <c r="J80" i="3"/>
  <c r="BL78" i="3"/>
  <c r="BI77" i="3"/>
  <c r="BB76" i="3"/>
  <c r="AU75" i="3"/>
  <c r="AR74" i="3"/>
  <c r="AO73" i="3"/>
  <c r="AH72" i="3"/>
  <c r="AA71" i="3"/>
  <c r="X70" i="3"/>
  <c r="U69" i="3"/>
  <c r="N68" i="3"/>
  <c r="G67" i="3"/>
  <c r="BM65" i="3"/>
  <c r="BF64" i="3"/>
  <c r="AY63" i="3"/>
  <c r="AV62" i="3"/>
  <c r="AS61" i="3"/>
  <c r="AL60" i="3"/>
  <c r="AE59" i="3"/>
  <c r="AB58" i="3"/>
  <c r="Y57" i="3"/>
  <c r="R56" i="3"/>
  <c r="K55" i="3"/>
  <c r="H54" i="3"/>
  <c r="Z145" i="3"/>
  <c r="AT143" i="3"/>
  <c r="AM142" i="3"/>
  <c r="AJ141" i="3"/>
  <c r="AG140" i="3"/>
  <c r="Z139" i="3"/>
  <c r="S138" i="3"/>
  <c r="P137" i="3"/>
  <c r="M136" i="3"/>
  <c r="BK134" i="3"/>
  <c r="BH133" i="3"/>
  <c r="BE132" i="3"/>
  <c r="AX131" i="3"/>
  <c r="AQ130" i="3"/>
  <c r="AN129" i="3"/>
  <c r="AK128" i="3"/>
  <c r="AG126" i="3"/>
  <c r="Z125" i="3"/>
  <c r="S124" i="3"/>
  <c r="P123" i="3"/>
  <c r="M122" i="3"/>
  <c r="BK120" i="3"/>
  <c r="BH119" i="3"/>
  <c r="BE118" i="3"/>
  <c r="AX117" i="3"/>
  <c r="AQ116" i="3"/>
  <c r="AN115" i="3"/>
  <c r="AK114" i="3"/>
  <c r="AD113" i="3"/>
  <c r="W112" i="3"/>
  <c r="T111" i="3"/>
  <c r="Q110" i="3"/>
  <c r="J109" i="3"/>
  <c r="BL107" i="3"/>
  <c r="BI106" i="3"/>
  <c r="BB105" i="3"/>
  <c r="AU104" i="3"/>
  <c r="AR103" i="3"/>
  <c r="AO102" i="3"/>
  <c r="AH101" i="3"/>
  <c r="AA100" i="3"/>
  <c r="X99" i="3"/>
  <c r="U98" i="3"/>
  <c r="N97" i="3"/>
  <c r="G96" i="3"/>
  <c r="BM94" i="3"/>
  <c r="BF93" i="3"/>
  <c r="AY92" i="3"/>
  <c r="AV91" i="3"/>
  <c r="AS90" i="3"/>
  <c r="AL89" i="3"/>
  <c r="AE88" i="3"/>
  <c r="AB87" i="3"/>
  <c r="X85" i="3"/>
  <c r="U84" i="3"/>
  <c r="N83" i="3"/>
  <c r="G82" i="3"/>
  <c r="BM80" i="3"/>
  <c r="BF79" i="3"/>
  <c r="AY78" i="3"/>
  <c r="AV77" i="3"/>
  <c r="AS76" i="3"/>
  <c r="AL75" i="3"/>
  <c r="AE74" i="3"/>
  <c r="AB73" i="3"/>
  <c r="Y72" i="3"/>
  <c r="R71" i="3"/>
  <c r="K70" i="3"/>
  <c r="H69" i="3"/>
  <c r="BJ67" i="3"/>
  <c r="BC66" i="3"/>
  <c r="AZ65" i="3"/>
  <c r="AW64" i="3"/>
  <c r="AP63" i="3"/>
  <c r="AI62" i="3"/>
  <c r="AF61" i="3"/>
  <c r="AC60" i="3"/>
  <c r="V59" i="3"/>
  <c r="O58" i="3"/>
  <c r="L57" i="3"/>
  <c r="I56" i="3"/>
  <c r="BG54" i="3"/>
  <c r="AW145" i="3"/>
  <c r="BI143" i="3"/>
  <c r="BB142" i="3"/>
  <c r="AU141" i="3"/>
  <c r="AR140" i="3"/>
  <c r="AO139" i="3"/>
  <c r="AH138" i="3"/>
  <c r="AA137" i="3"/>
  <c r="X136" i="3"/>
  <c r="U135" i="3"/>
  <c r="N134" i="3"/>
  <c r="G133" i="3"/>
  <c r="BM131" i="3"/>
  <c r="BF130" i="3"/>
  <c r="AY129" i="3"/>
  <c r="AV128" i="3"/>
  <c r="AR126" i="3"/>
  <c r="AO125" i="3"/>
  <c r="AH124" i="3"/>
  <c r="AA123" i="3"/>
  <c r="X122" i="3"/>
  <c r="U121" i="3"/>
  <c r="N120" i="3"/>
  <c r="G119" i="3"/>
  <c r="BM117" i="3"/>
  <c r="BF116" i="3"/>
  <c r="AY115" i="3"/>
  <c r="AV114" i="3"/>
  <c r="BI113" i="3"/>
  <c r="AO113" i="3"/>
  <c r="U113" i="3"/>
  <c r="BJ112" i="3"/>
  <c r="AT112" i="3"/>
  <c r="AD112" i="3"/>
  <c r="N112" i="3"/>
  <c r="BC111" i="3"/>
  <c r="AM111" i="3"/>
  <c r="W111" i="3"/>
  <c r="G111" i="3"/>
  <c r="AZ110" i="3"/>
  <c r="AJ110" i="3"/>
  <c r="T110" i="3"/>
  <c r="BM109" i="3"/>
  <c r="AW109" i="3"/>
  <c r="AG109" i="3"/>
  <c r="Q109" i="3"/>
  <c r="BF108" i="3"/>
  <c r="AP108" i="3"/>
  <c r="Z108" i="3"/>
  <c r="J108" i="3"/>
  <c r="AY107" i="3"/>
  <c r="AI107" i="3"/>
  <c r="S107" i="3"/>
  <c r="BL106" i="3"/>
  <c r="AV106" i="3"/>
  <c r="AF106" i="3"/>
  <c r="P106" i="3"/>
  <c r="BI105" i="3"/>
  <c r="AS105" i="3"/>
  <c r="AC105" i="3"/>
  <c r="M105" i="3"/>
  <c r="BB104" i="3"/>
  <c r="AL104" i="3"/>
  <c r="V104" i="3"/>
  <c r="BK103" i="3"/>
  <c r="AU103" i="3"/>
  <c r="AE103" i="3"/>
  <c r="O103" i="3"/>
  <c r="BH102" i="3"/>
  <c r="AR102" i="3"/>
  <c r="AB102" i="3"/>
  <c r="L102" i="3"/>
  <c r="BE101" i="3"/>
  <c r="AO101" i="3"/>
  <c r="Y101" i="3"/>
  <c r="I101" i="3"/>
  <c r="AX100" i="3"/>
  <c r="AH100" i="3"/>
  <c r="R100" i="3"/>
  <c r="BG99" i="3"/>
  <c r="AQ99" i="3"/>
  <c r="AA99" i="3"/>
  <c r="K99" i="3"/>
  <c r="BD98" i="3"/>
  <c r="AN98" i="3"/>
  <c r="X98" i="3"/>
  <c r="H98" i="3"/>
  <c r="BA97" i="3"/>
  <c r="AK97" i="3"/>
  <c r="U97" i="3"/>
  <c r="BJ96" i="3"/>
  <c r="AT96" i="3"/>
  <c r="AD96" i="3"/>
  <c r="N96" i="3"/>
  <c r="BC95" i="3"/>
  <c r="AM95" i="3"/>
  <c r="W95" i="3"/>
  <c r="G95" i="3"/>
  <c r="AZ94" i="3"/>
  <c r="AJ94" i="3"/>
  <c r="T94" i="3"/>
  <c r="BM93" i="3"/>
  <c r="AW93" i="3"/>
  <c r="AG93" i="3"/>
  <c r="Q93" i="3"/>
  <c r="BF92" i="3"/>
  <c r="AP92" i="3"/>
  <c r="Z92" i="3"/>
  <c r="J92" i="3"/>
  <c r="AY91" i="3"/>
  <c r="AI91" i="3"/>
  <c r="S91" i="3"/>
  <c r="BL90" i="3"/>
  <c r="AV90" i="3"/>
  <c r="AF90" i="3"/>
  <c r="P90" i="3"/>
  <c r="BI89" i="3"/>
  <c r="AS89" i="3"/>
  <c r="AC89" i="3"/>
  <c r="M89" i="3"/>
  <c r="BB88" i="3"/>
  <c r="AL88" i="3"/>
  <c r="V88" i="3"/>
  <c r="BK87" i="3"/>
  <c r="AU87" i="3"/>
  <c r="AE87" i="3"/>
  <c r="O87" i="3"/>
  <c r="BG85" i="3"/>
  <c r="AQ85" i="3"/>
  <c r="AA85" i="3"/>
  <c r="K85" i="3"/>
  <c r="BD84" i="3"/>
  <c r="AN84" i="3"/>
  <c r="X84" i="3"/>
  <c r="H84" i="3"/>
  <c r="BA83" i="3"/>
  <c r="AK83" i="3"/>
  <c r="U83" i="3"/>
  <c r="BJ82" i="3"/>
  <c r="AT82" i="3"/>
  <c r="AD82" i="3"/>
  <c r="N82" i="3"/>
  <c r="BC81" i="3"/>
  <c r="AM81" i="3"/>
  <c r="W81" i="3"/>
  <c r="G81" i="3"/>
  <c r="AZ80" i="3"/>
  <c r="AJ80" i="3"/>
  <c r="T80" i="3"/>
  <c r="BM79" i="3"/>
  <c r="AW79" i="3"/>
  <c r="AG79" i="3"/>
  <c r="Q79" i="3"/>
  <c r="BF78" i="3"/>
  <c r="AP78" i="3"/>
  <c r="Z78" i="3"/>
  <c r="J78" i="3"/>
  <c r="AY77" i="3"/>
  <c r="AI77" i="3"/>
  <c r="S77" i="3"/>
  <c r="BL76" i="3"/>
  <c r="AV76" i="3"/>
  <c r="AF76" i="3"/>
  <c r="P76" i="3"/>
  <c r="BI75" i="3"/>
  <c r="AS75" i="3"/>
  <c r="AC75" i="3"/>
  <c r="M75" i="3"/>
  <c r="BB74" i="3"/>
  <c r="AL74" i="3"/>
  <c r="V74" i="3"/>
  <c r="BK73" i="3"/>
  <c r="AU73" i="3"/>
  <c r="AE73" i="3"/>
  <c r="O73" i="3"/>
  <c r="BH72" i="3"/>
  <c r="AR72" i="3"/>
  <c r="AB72" i="3"/>
  <c r="L72" i="3"/>
  <c r="BE71" i="3"/>
  <c r="AO71" i="3"/>
  <c r="Y71" i="3"/>
  <c r="I71" i="3"/>
  <c r="AX70" i="3"/>
  <c r="AH70" i="3"/>
  <c r="R70" i="3"/>
  <c r="BG69" i="3"/>
  <c r="AQ69" i="3"/>
  <c r="AA69" i="3"/>
  <c r="K69" i="3"/>
  <c r="BD68" i="3"/>
  <c r="AN68" i="3"/>
  <c r="X68" i="3"/>
  <c r="H68" i="3"/>
  <c r="BA67" i="3"/>
  <c r="AK67" i="3"/>
  <c r="U67" i="3"/>
  <c r="BJ66" i="3"/>
  <c r="AT66" i="3"/>
  <c r="AD66" i="3"/>
  <c r="N66" i="3"/>
  <c r="BC65" i="3"/>
  <c r="AM65" i="3"/>
  <c r="W65" i="3"/>
  <c r="G65" i="3"/>
  <c r="AZ64" i="3"/>
  <c r="AJ64" i="3"/>
  <c r="T64" i="3"/>
  <c r="BM63" i="3"/>
  <c r="AW63" i="3"/>
  <c r="AG63" i="3"/>
  <c r="Q63" i="3"/>
  <c r="BF62" i="3"/>
  <c r="AP62" i="3"/>
  <c r="Z62" i="3"/>
  <c r="J62" i="3"/>
  <c r="AY61" i="3"/>
  <c r="AI61" i="3"/>
  <c r="S61" i="3"/>
  <c r="BL60" i="3"/>
  <c r="AV60" i="3"/>
  <c r="AF60" i="3"/>
  <c r="P60" i="3"/>
  <c r="BI59" i="3"/>
  <c r="AS59" i="3"/>
  <c r="AC59" i="3"/>
  <c r="M59" i="3"/>
  <c r="BB58" i="3"/>
  <c r="AL58" i="3"/>
  <c r="V58" i="3"/>
  <c r="BK57" i="3"/>
  <c r="AU57" i="3"/>
  <c r="AE57" i="3"/>
  <c r="O57" i="3"/>
  <c r="BH56" i="3"/>
  <c r="AR56" i="3"/>
  <c r="AB56" i="3"/>
  <c r="L56" i="3"/>
  <c r="BE55" i="3"/>
  <c r="AO55" i="3"/>
  <c r="Y55" i="3"/>
  <c r="I55" i="3"/>
  <c r="AX54" i="3"/>
  <c r="AH54" i="3"/>
  <c r="R54" i="3"/>
  <c r="AT145" i="3"/>
  <c r="N145" i="3"/>
  <c r="AI144" i="3"/>
  <c r="L144" i="3"/>
  <c r="BD143" i="3"/>
  <c r="AN143" i="3"/>
  <c r="X143" i="3"/>
  <c r="H143" i="3"/>
  <c r="BA142" i="3"/>
  <c r="AK142" i="3"/>
  <c r="U142" i="3"/>
  <c r="BJ141" i="3"/>
  <c r="AT141" i="3"/>
  <c r="AD141" i="3"/>
  <c r="N141" i="3"/>
  <c r="BC140" i="3"/>
  <c r="AM140" i="3"/>
  <c r="W140" i="3"/>
  <c r="G140" i="3"/>
  <c r="AZ139" i="3"/>
  <c r="AJ139" i="3"/>
  <c r="T139" i="3"/>
  <c r="BM138" i="3"/>
  <c r="AW138" i="3"/>
  <c r="AG138" i="3"/>
  <c r="Q138" i="3"/>
  <c r="BF137" i="3"/>
  <c r="AP137" i="3"/>
  <c r="Z137" i="3"/>
  <c r="J137" i="3"/>
  <c r="AY136" i="3"/>
  <c r="AI136" i="3"/>
  <c r="S136" i="3"/>
  <c r="BL135" i="3"/>
  <c r="AV135" i="3"/>
  <c r="AF135" i="3"/>
  <c r="P135" i="3"/>
  <c r="BI134" i="3"/>
  <c r="AS134" i="3"/>
  <c r="AC134" i="3"/>
  <c r="M134" i="3"/>
  <c r="BB133" i="3"/>
  <c r="AL133" i="3"/>
  <c r="V133" i="3"/>
  <c r="BK132" i="3"/>
  <c r="AU132" i="3"/>
  <c r="AE132" i="3"/>
  <c r="O132" i="3"/>
  <c r="BH131" i="3"/>
  <c r="AR131" i="3"/>
  <c r="AB131" i="3"/>
  <c r="L131" i="3"/>
  <c r="BE130" i="3"/>
  <c r="AO130" i="3"/>
  <c r="Y130" i="3"/>
  <c r="I130" i="3"/>
  <c r="AX129" i="3"/>
  <c r="AH129" i="3"/>
  <c r="R129" i="3"/>
  <c r="BG128" i="3"/>
  <c r="AQ128" i="3"/>
  <c r="AA128" i="3"/>
  <c r="K128" i="3"/>
  <c r="BC126" i="3"/>
  <c r="AM126" i="3"/>
  <c r="W126" i="3"/>
  <c r="G126" i="3"/>
  <c r="AZ125" i="3"/>
  <c r="AJ125" i="3"/>
  <c r="T125" i="3"/>
  <c r="BM124" i="3"/>
  <c r="AW124" i="3"/>
  <c r="AG124" i="3"/>
  <c r="Q124" i="3"/>
  <c r="BF123" i="3"/>
  <c r="AP123" i="3"/>
  <c r="Z123" i="3"/>
  <c r="J123" i="3"/>
  <c r="AY122" i="3"/>
  <c r="AI122" i="3"/>
  <c r="S122" i="3"/>
  <c r="BL121" i="3"/>
  <c r="AV121" i="3"/>
  <c r="AF121" i="3"/>
  <c r="P121" i="3"/>
  <c r="BI120" i="3"/>
  <c r="AS120" i="3"/>
  <c r="AC120" i="3"/>
  <c r="M120" i="3"/>
  <c r="BB119" i="3"/>
  <c r="AL119" i="3"/>
  <c r="V119" i="3"/>
  <c r="BK118" i="3"/>
  <c r="AU118" i="3"/>
  <c r="AE118" i="3"/>
  <c r="O118" i="3"/>
  <c r="BH117" i="3"/>
  <c r="AR117" i="3"/>
  <c r="AB117" i="3"/>
  <c r="L117" i="3"/>
  <c r="BE116" i="3"/>
  <c r="AO116" i="3"/>
  <c r="Y116" i="3"/>
  <c r="I116" i="3"/>
  <c r="AX115" i="3"/>
  <c r="AH115" i="3"/>
  <c r="R115" i="3"/>
  <c r="BG114" i="3"/>
  <c r="AQ114" i="3"/>
  <c r="AA114" i="3"/>
  <c r="K114" i="3"/>
  <c r="BD113" i="3"/>
  <c r="AN113" i="3"/>
  <c r="X113" i="3"/>
  <c r="H113" i="3"/>
  <c r="BA112" i="3"/>
  <c r="AK112" i="3"/>
  <c r="U112" i="3"/>
  <c r="BJ111" i="3"/>
  <c r="AT111" i="3"/>
  <c r="AD111" i="3"/>
  <c r="N111" i="3"/>
  <c r="BC110" i="3"/>
  <c r="AM110" i="3"/>
  <c r="W110" i="3"/>
  <c r="G110" i="3"/>
  <c r="AZ109" i="3"/>
  <c r="AJ109" i="3"/>
  <c r="T109" i="3"/>
  <c r="BM108" i="3"/>
  <c r="AW108" i="3"/>
  <c r="AG108" i="3"/>
  <c r="Q108" i="3"/>
  <c r="BF107" i="3"/>
  <c r="AP107" i="3"/>
  <c r="Z107" i="3"/>
  <c r="J107" i="3"/>
  <c r="AY106" i="3"/>
  <c r="AI106" i="3"/>
  <c r="S106" i="3"/>
  <c r="BL105" i="3"/>
  <c r="AV105" i="3"/>
  <c r="AF105" i="3"/>
  <c r="P105" i="3"/>
  <c r="BI104" i="3"/>
  <c r="AS104" i="3"/>
  <c r="AC104" i="3"/>
  <c r="M104" i="3"/>
  <c r="BB103" i="3"/>
  <c r="AL103" i="3"/>
  <c r="V103" i="3"/>
  <c r="BK102" i="3"/>
  <c r="AU102" i="3"/>
  <c r="AE102" i="3"/>
  <c r="O102" i="3"/>
  <c r="BH101" i="3"/>
  <c r="AR101" i="3"/>
  <c r="AB101" i="3"/>
  <c r="L101" i="3"/>
  <c r="BE100" i="3"/>
  <c r="AO100" i="3"/>
  <c r="Y100" i="3"/>
  <c r="I100" i="3"/>
  <c r="AX99" i="3"/>
  <c r="AH99" i="3"/>
  <c r="R99" i="3"/>
  <c r="BG98" i="3"/>
  <c r="AQ98" i="3"/>
  <c r="AA98" i="3"/>
  <c r="K98" i="3"/>
  <c r="BD97" i="3"/>
  <c r="AN97" i="3"/>
  <c r="X97" i="3"/>
  <c r="H97" i="3"/>
  <c r="BA96" i="3"/>
  <c r="AK96" i="3"/>
  <c r="U96" i="3"/>
  <c r="BJ95" i="3"/>
  <c r="AT95" i="3"/>
  <c r="AD95" i="3"/>
  <c r="N95" i="3"/>
  <c r="BC94" i="3"/>
  <c r="AM94" i="3"/>
  <c r="W94" i="3"/>
  <c r="G94" i="3"/>
  <c r="AZ93" i="3"/>
  <c r="AJ93" i="3"/>
  <c r="T93" i="3"/>
  <c r="BM92" i="3"/>
  <c r="AW92" i="3"/>
  <c r="AG92" i="3"/>
  <c r="Q92" i="3"/>
  <c r="BF91" i="3"/>
  <c r="AP91" i="3"/>
  <c r="Z91" i="3"/>
  <c r="J91" i="3"/>
  <c r="AY90" i="3"/>
  <c r="AI90" i="3"/>
  <c r="S90" i="3"/>
  <c r="BL89" i="3"/>
  <c r="AV89" i="3"/>
  <c r="AF89" i="3"/>
  <c r="P89" i="3"/>
  <c r="BI88" i="3"/>
  <c r="AS88" i="3"/>
  <c r="AC88" i="3"/>
  <c r="M88" i="3"/>
  <c r="BB87" i="3"/>
  <c r="AL87" i="3"/>
  <c r="V87" i="3"/>
  <c r="BJ85" i="3"/>
  <c r="AT85" i="3"/>
  <c r="AD85" i="3"/>
  <c r="N85" i="3"/>
  <c r="BC84" i="3"/>
  <c r="AM84" i="3"/>
  <c r="W84" i="3"/>
  <c r="G84" i="3"/>
  <c r="AZ83" i="3"/>
  <c r="AJ83" i="3"/>
  <c r="T83" i="3"/>
  <c r="BM82" i="3"/>
  <c r="AW82" i="3"/>
  <c r="AG82" i="3"/>
  <c r="Q82" i="3"/>
  <c r="BF81" i="3"/>
  <c r="AP81" i="3"/>
  <c r="Z81" i="3"/>
  <c r="J81" i="3"/>
  <c r="AY80" i="3"/>
  <c r="AI80" i="3"/>
  <c r="S80" i="3"/>
  <c r="BL79" i="3"/>
  <c r="AV79" i="3"/>
  <c r="AF79" i="3"/>
  <c r="P79" i="3"/>
  <c r="BI78" i="3"/>
  <c r="AS78" i="3"/>
  <c r="AC78" i="3"/>
  <c r="M78" i="3"/>
  <c r="BB77" i="3"/>
  <c r="AL77" i="3"/>
  <c r="V77" i="3"/>
  <c r="BK76" i="3"/>
  <c r="AU76" i="3"/>
  <c r="AE76" i="3"/>
  <c r="O76" i="3"/>
  <c r="BH75" i="3"/>
  <c r="AR75" i="3"/>
  <c r="AB75" i="3"/>
  <c r="L75" i="3"/>
  <c r="BE74" i="3"/>
  <c r="AO74" i="3"/>
  <c r="Y74" i="3"/>
  <c r="I74" i="3"/>
  <c r="AX73" i="3"/>
  <c r="AH73" i="3"/>
  <c r="R73" i="3"/>
  <c r="BG72" i="3"/>
  <c r="AQ72" i="3"/>
  <c r="AA72" i="3"/>
  <c r="K72" i="3"/>
  <c r="BD71" i="3"/>
  <c r="AN71" i="3"/>
  <c r="X71" i="3"/>
  <c r="H71" i="3"/>
  <c r="BA70" i="3"/>
  <c r="AK70" i="3"/>
  <c r="U70" i="3"/>
  <c r="BJ69" i="3"/>
  <c r="AT69" i="3"/>
  <c r="AD69" i="3"/>
  <c r="N69" i="3"/>
  <c r="BC68" i="3"/>
  <c r="AM68" i="3"/>
  <c r="W68" i="3"/>
  <c r="G68" i="3"/>
  <c r="AZ67" i="3"/>
  <c r="AJ67" i="3"/>
  <c r="T67" i="3"/>
  <c r="BM66" i="3"/>
  <c r="AW66" i="3"/>
  <c r="AG66" i="3"/>
  <c r="Q66" i="3"/>
  <c r="BF65" i="3"/>
  <c r="AP65" i="3"/>
  <c r="Z65" i="3"/>
  <c r="J65" i="3"/>
  <c r="AY64" i="3"/>
  <c r="AI64" i="3"/>
  <c r="S64" i="3"/>
  <c r="BL63" i="3"/>
  <c r="AV63" i="3"/>
  <c r="AF63" i="3"/>
  <c r="P63" i="3"/>
  <c r="BI62" i="3"/>
  <c r="AS62" i="3"/>
  <c r="AC62" i="3"/>
  <c r="M62" i="3"/>
  <c r="BB61" i="3"/>
  <c r="AL61" i="3"/>
  <c r="V61" i="3"/>
  <c r="BK60" i="3"/>
  <c r="AU60" i="3"/>
  <c r="AE60" i="3"/>
  <c r="O60" i="3"/>
  <c r="BH59" i="3"/>
  <c r="AR59" i="3"/>
  <c r="AB59" i="3"/>
  <c r="L59" i="3"/>
  <c r="BE58" i="3"/>
  <c r="AO58" i="3"/>
  <c r="Y58" i="3"/>
  <c r="I58" i="3"/>
  <c r="AX57" i="3"/>
  <c r="AH57" i="3"/>
  <c r="R57" i="3"/>
  <c r="BG56" i="3"/>
  <c r="AQ56" i="3"/>
  <c r="AA56" i="3"/>
  <c r="K56" i="3"/>
  <c r="BD55" i="3"/>
  <c r="AN55" i="3"/>
  <c r="X55" i="3"/>
  <c r="H55" i="3"/>
  <c r="BA54" i="3"/>
  <c r="AK54" i="3"/>
  <c r="U54" i="3"/>
  <c r="BL53" i="3"/>
  <c r="AQ53" i="3"/>
  <c r="V53" i="3"/>
  <c r="BK52" i="3"/>
  <c r="AU52" i="3"/>
  <c r="AE52" i="3"/>
  <c r="O52" i="3"/>
  <c r="BH51" i="3"/>
  <c r="AR51" i="3"/>
  <c r="AB51" i="3"/>
  <c r="L51" i="3"/>
  <c r="BE50" i="3"/>
  <c r="AO50" i="3"/>
  <c r="Y50" i="3"/>
  <c r="I50" i="3"/>
  <c r="AX49" i="3"/>
  <c r="AH49" i="3"/>
  <c r="R49" i="3"/>
  <c r="BG48" i="3"/>
  <c r="AQ48" i="3"/>
  <c r="AA48" i="3"/>
  <c r="K48" i="3"/>
  <c r="BD47" i="3"/>
  <c r="AN47" i="3"/>
  <c r="X47" i="3"/>
  <c r="H47" i="3"/>
  <c r="BA46" i="3"/>
  <c r="AK46" i="3"/>
  <c r="U46" i="3"/>
  <c r="BM44" i="3"/>
  <c r="AW44" i="3"/>
  <c r="AG44" i="3"/>
  <c r="Q44" i="3"/>
  <c r="BF43" i="3"/>
  <c r="AP43" i="3"/>
  <c r="Z43" i="3"/>
  <c r="J43" i="3"/>
  <c r="AY42" i="3"/>
  <c r="AI42" i="3"/>
  <c r="S42" i="3"/>
  <c r="BL41" i="3"/>
  <c r="AV41" i="3"/>
  <c r="AF41" i="3"/>
  <c r="P41" i="3"/>
  <c r="BI40" i="3"/>
  <c r="AS40" i="3"/>
  <c r="AC40" i="3"/>
  <c r="M40" i="3"/>
  <c r="BB39" i="3"/>
  <c r="AL39" i="3"/>
  <c r="V39" i="3"/>
  <c r="BK38" i="3"/>
  <c r="AU38" i="3"/>
  <c r="AE38" i="3"/>
  <c r="O38" i="3"/>
  <c r="BH37" i="3"/>
  <c r="AR37" i="3"/>
  <c r="AB37" i="3"/>
  <c r="L37" i="3"/>
  <c r="BE36" i="3"/>
  <c r="AO36" i="3"/>
  <c r="Y36" i="3"/>
  <c r="I36" i="3"/>
  <c r="AX35" i="3"/>
  <c r="AH35" i="3"/>
  <c r="R35" i="3"/>
  <c r="BG34" i="3"/>
  <c r="AQ34" i="3"/>
  <c r="AA34" i="3"/>
  <c r="K34" i="3"/>
  <c r="BD33" i="3"/>
  <c r="AN33" i="3"/>
  <c r="X33" i="3"/>
  <c r="H33" i="3"/>
  <c r="BA32" i="3"/>
  <c r="AK32" i="3"/>
  <c r="U32" i="3"/>
  <c r="BJ31" i="3"/>
  <c r="AT31" i="3"/>
  <c r="AD31" i="3"/>
  <c r="N31" i="3"/>
  <c r="BC30" i="3"/>
  <c r="AM30" i="3"/>
  <c r="W30" i="3"/>
  <c r="G30" i="3"/>
  <c r="AZ29" i="3"/>
  <c r="AJ29" i="3"/>
  <c r="T29" i="3"/>
  <c r="BM28" i="3"/>
  <c r="AW28" i="3"/>
  <c r="AG28" i="3"/>
  <c r="Q28" i="3"/>
  <c r="BF27" i="3"/>
  <c r="AP27" i="3"/>
  <c r="Z27" i="3"/>
  <c r="J27" i="3"/>
  <c r="AY26" i="3"/>
  <c r="AI26" i="3"/>
  <c r="S26" i="3"/>
  <c r="BL25" i="3"/>
  <c r="AV25" i="3"/>
  <c r="AF25" i="3"/>
  <c r="P25" i="3"/>
  <c r="BI24" i="3"/>
  <c r="AS24" i="3"/>
  <c r="AC24" i="3"/>
  <c r="M24" i="3"/>
  <c r="BB23" i="3"/>
  <c r="AL23" i="3"/>
  <c r="V23" i="3"/>
  <c r="BK22" i="3"/>
  <c r="AU22" i="3"/>
  <c r="AE22" i="3"/>
  <c r="O22" i="3"/>
  <c r="BH21" i="3"/>
  <c r="AR21" i="3"/>
  <c r="AB21" i="3"/>
  <c r="L21" i="3"/>
  <c r="BE20" i="3"/>
  <c r="AO20" i="3"/>
  <c r="Y20" i="3"/>
  <c r="I20" i="3"/>
  <c r="AX19" i="3"/>
  <c r="AH19" i="3"/>
  <c r="R19" i="3"/>
  <c r="BG18" i="3"/>
  <c r="AQ18" i="3"/>
  <c r="AA18" i="3"/>
  <c r="K18" i="3"/>
  <c r="BD17" i="3"/>
  <c r="AN17" i="3"/>
  <c r="X17" i="3"/>
  <c r="H17" i="3"/>
  <c r="BA16" i="3"/>
  <c r="AK16" i="3"/>
  <c r="U16" i="3"/>
  <c r="BJ15" i="3"/>
  <c r="AT15" i="3"/>
  <c r="AD15" i="3"/>
  <c r="N15" i="3"/>
  <c r="BC14" i="3"/>
  <c r="AM14" i="3"/>
  <c r="W14" i="3"/>
  <c r="G14" i="3"/>
  <c r="AZ13" i="3"/>
  <c r="AJ13" i="3"/>
  <c r="T13" i="3"/>
  <c r="BM12" i="3"/>
  <c r="AW12" i="3"/>
  <c r="AG12" i="3"/>
  <c r="Q12" i="3"/>
  <c r="BF11" i="3"/>
  <c r="AP11" i="3"/>
  <c r="Z11" i="3"/>
  <c r="J11" i="3"/>
  <c r="AY10" i="3"/>
  <c r="AI10" i="3"/>
  <c r="S10" i="3"/>
  <c r="BL9" i="3"/>
  <c r="AV9" i="3"/>
  <c r="AF9" i="3"/>
  <c r="P9" i="3"/>
  <c r="BI8" i="3"/>
  <c r="AS8" i="3"/>
  <c r="AC8" i="3"/>
  <c r="M8" i="3"/>
  <c r="BB7" i="3"/>
  <c r="AL7" i="3"/>
  <c r="V7" i="3"/>
  <c r="BK6" i="3"/>
  <c r="AU6" i="3"/>
  <c r="AE6" i="3"/>
  <c r="O6" i="3"/>
  <c r="BH5" i="3"/>
  <c r="AR5" i="3"/>
  <c r="AB5" i="3"/>
  <c r="L5" i="3"/>
  <c r="BF53" i="3"/>
  <c r="AJ53" i="3"/>
  <c r="Q53" i="3"/>
  <c r="BF52" i="3"/>
  <c r="AP52" i="3"/>
  <c r="Z52" i="3"/>
  <c r="J52" i="3"/>
  <c r="AY51" i="3"/>
  <c r="AI51" i="3"/>
  <c r="S51" i="3"/>
  <c r="BL50" i="3"/>
  <c r="AV50" i="3"/>
  <c r="AF50" i="3"/>
  <c r="P50" i="3"/>
  <c r="BI49" i="3"/>
  <c r="AS49" i="3"/>
  <c r="AC49" i="3"/>
  <c r="M49" i="3"/>
  <c r="BB48" i="3"/>
  <c r="AL48" i="3"/>
  <c r="V48" i="3"/>
  <c r="BK47" i="3"/>
  <c r="AU47" i="3"/>
  <c r="AE47" i="3"/>
  <c r="O47" i="3"/>
  <c r="BH46" i="3"/>
  <c r="AR46" i="3"/>
  <c r="AB46" i="3"/>
  <c r="L46" i="3"/>
  <c r="BD44" i="3"/>
  <c r="AN44" i="3"/>
  <c r="X44" i="3"/>
  <c r="H44" i="3"/>
  <c r="BA43" i="3"/>
  <c r="AK43" i="3"/>
  <c r="U43" i="3"/>
  <c r="BJ42" i="3"/>
  <c r="AT42" i="3"/>
  <c r="AD42" i="3"/>
  <c r="N42" i="3"/>
  <c r="BC41" i="3"/>
  <c r="AM41" i="3"/>
  <c r="W41" i="3"/>
  <c r="G41" i="3"/>
  <c r="AZ40" i="3"/>
  <c r="AJ40" i="3"/>
  <c r="T40" i="3"/>
  <c r="BM39" i="3"/>
  <c r="AW39" i="3"/>
  <c r="AG39" i="3"/>
  <c r="Q39" i="3"/>
  <c r="BF38" i="3"/>
  <c r="AP38" i="3"/>
  <c r="Z38" i="3"/>
  <c r="J38" i="3"/>
  <c r="AY37" i="3"/>
  <c r="AI37" i="3"/>
  <c r="S37" i="3"/>
  <c r="BL36" i="3"/>
  <c r="AV36" i="3"/>
  <c r="AF36" i="3"/>
  <c r="P36" i="3"/>
  <c r="BI35" i="3"/>
  <c r="AS35" i="3"/>
  <c r="AC35" i="3"/>
  <c r="M35" i="3"/>
  <c r="BB34" i="3"/>
  <c r="AL34" i="3"/>
  <c r="V34" i="3"/>
  <c r="BK33" i="3"/>
  <c r="AU33" i="3"/>
  <c r="AE33" i="3"/>
  <c r="O33" i="3"/>
  <c r="BH32" i="3"/>
  <c r="AR32" i="3"/>
  <c r="AB32" i="3"/>
  <c r="L32" i="3"/>
  <c r="BE31" i="3"/>
  <c r="AO31" i="3"/>
  <c r="Y31" i="3"/>
  <c r="I31" i="3"/>
  <c r="AX30" i="3"/>
  <c r="AH30" i="3"/>
  <c r="R30" i="3"/>
  <c r="BG29" i="3"/>
  <c r="AQ29" i="3"/>
  <c r="AA29" i="3"/>
  <c r="K29" i="3"/>
  <c r="BD28" i="3"/>
  <c r="AN28" i="3"/>
  <c r="X28" i="3"/>
  <c r="H28" i="3"/>
  <c r="BA27" i="3"/>
  <c r="AK27" i="3"/>
  <c r="U27" i="3"/>
  <c r="BJ26" i="3"/>
  <c r="AT26" i="3"/>
  <c r="AD26" i="3"/>
  <c r="N26" i="3"/>
  <c r="BC25" i="3"/>
  <c r="AM25" i="3"/>
  <c r="W25" i="3"/>
  <c r="G25" i="3"/>
  <c r="AZ24" i="3"/>
  <c r="AJ24" i="3"/>
  <c r="T24" i="3"/>
  <c r="BM23" i="3"/>
  <c r="AW23" i="3"/>
  <c r="AG23" i="3"/>
  <c r="Q23" i="3"/>
  <c r="BF22" i="3"/>
  <c r="AP22" i="3"/>
  <c r="Z22" i="3"/>
  <c r="J22" i="3"/>
  <c r="AY21" i="3"/>
  <c r="AI21" i="3"/>
  <c r="S21" i="3"/>
  <c r="BL20" i="3"/>
  <c r="AV20" i="3"/>
  <c r="AF20" i="3"/>
  <c r="P20" i="3"/>
  <c r="BI19" i="3"/>
  <c r="AS19" i="3"/>
  <c r="AC19" i="3"/>
  <c r="M19" i="3"/>
  <c r="BB18" i="3"/>
  <c r="AL18" i="3"/>
  <c r="V18" i="3"/>
  <c r="BK17" i="3"/>
  <c r="AU17" i="3"/>
  <c r="AE17" i="3"/>
  <c r="O17" i="3"/>
  <c r="BH16" i="3"/>
  <c r="AR16" i="3"/>
  <c r="AB16" i="3"/>
  <c r="L16" i="3"/>
  <c r="BE15" i="3"/>
  <c r="AO15" i="3"/>
  <c r="Y15" i="3"/>
  <c r="I15" i="3"/>
  <c r="AX14" i="3"/>
  <c r="AH14" i="3"/>
  <c r="R14" i="3"/>
  <c r="BG13" i="3"/>
  <c r="AQ13" i="3"/>
  <c r="AA13" i="3"/>
  <c r="K13" i="3"/>
  <c r="BD12" i="3"/>
  <c r="AN12" i="3"/>
  <c r="X12" i="3"/>
  <c r="H12" i="3"/>
  <c r="BA11" i="3"/>
  <c r="AK11" i="3"/>
  <c r="U11" i="3"/>
  <c r="BJ10" i="3"/>
  <c r="AT10" i="3"/>
  <c r="AD10" i="3"/>
  <c r="N10" i="3"/>
  <c r="BC9" i="3"/>
  <c r="AM9" i="3"/>
  <c r="W9" i="3"/>
  <c r="G9" i="3"/>
  <c r="AZ8" i="3"/>
  <c r="AJ8" i="3"/>
  <c r="T8" i="3"/>
  <c r="BM7" i="3"/>
  <c r="AW7" i="3"/>
  <c r="AG7" i="3"/>
  <c r="Q7" i="3"/>
  <c r="BF6" i="3"/>
  <c r="AP6" i="3"/>
  <c r="Z6" i="3"/>
  <c r="J6" i="3"/>
  <c r="AY5" i="3"/>
  <c r="AI5" i="3"/>
  <c r="S5" i="3"/>
  <c r="BJ53" i="3"/>
  <c r="AN53" i="3"/>
  <c r="T53" i="3"/>
  <c r="BM52" i="3"/>
  <c r="AW52" i="3"/>
  <c r="AG52" i="3"/>
  <c r="Q52" i="3"/>
  <c r="BF51" i="3"/>
  <c r="AP51" i="3"/>
  <c r="Z51" i="3"/>
  <c r="J51" i="3"/>
  <c r="AY50" i="3"/>
  <c r="AI50" i="3"/>
  <c r="S50" i="3"/>
  <c r="BL49" i="3"/>
  <c r="AV49" i="3"/>
  <c r="AF49" i="3"/>
  <c r="P49" i="3"/>
  <c r="BI48" i="3"/>
  <c r="AS48" i="3"/>
  <c r="AC48" i="3"/>
  <c r="M48" i="3"/>
  <c r="BB47" i="3"/>
  <c r="AL47" i="3"/>
  <c r="V47" i="3"/>
  <c r="BK46" i="3"/>
  <c r="AU46" i="3"/>
  <c r="AE46" i="3"/>
  <c r="O46" i="3"/>
  <c r="BG44" i="3"/>
  <c r="AQ44" i="3"/>
  <c r="AA44" i="3"/>
  <c r="K44" i="3"/>
  <c r="BD43" i="3"/>
  <c r="AN43" i="3"/>
  <c r="X43" i="3"/>
  <c r="H43" i="3"/>
  <c r="BA42" i="3"/>
  <c r="AK42" i="3"/>
  <c r="U42" i="3"/>
  <c r="BJ41" i="3"/>
  <c r="AT41" i="3"/>
  <c r="AD41" i="3"/>
  <c r="N41" i="3"/>
  <c r="BC40" i="3"/>
  <c r="AM40" i="3"/>
  <c r="W40" i="3"/>
  <c r="G40" i="3"/>
  <c r="AZ39" i="3"/>
  <c r="AJ39" i="3"/>
  <c r="T39" i="3"/>
  <c r="BM38" i="3"/>
  <c r="AW38" i="3"/>
  <c r="AG38" i="3"/>
  <c r="Q38" i="3"/>
  <c r="BF37" i="3"/>
  <c r="AP37" i="3"/>
  <c r="Z37" i="3"/>
  <c r="J37" i="3"/>
  <c r="AY36" i="3"/>
  <c r="AI36" i="3"/>
  <c r="S36" i="3"/>
  <c r="BL35" i="3"/>
  <c r="AV35" i="3"/>
  <c r="AF35" i="3"/>
  <c r="P35" i="3"/>
  <c r="BI34" i="3"/>
  <c r="AS34" i="3"/>
  <c r="AC34" i="3"/>
  <c r="M34" i="3"/>
  <c r="BB33" i="3"/>
  <c r="AL33" i="3"/>
  <c r="V33" i="3"/>
  <c r="BK32" i="3"/>
  <c r="AU32" i="3"/>
  <c r="AE32" i="3"/>
  <c r="O32" i="3"/>
  <c r="BH31" i="3"/>
  <c r="AR31" i="3"/>
  <c r="AB31" i="3"/>
  <c r="L31" i="3"/>
  <c r="BE30" i="3"/>
  <c r="AO30" i="3"/>
  <c r="Y30" i="3"/>
  <c r="I30" i="3"/>
  <c r="AX29" i="3"/>
  <c r="AH29" i="3"/>
  <c r="R29" i="3"/>
  <c r="BG28" i="3"/>
  <c r="AQ28" i="3"/>
  <c r="AA28" i="3"/>
  <c r="K28" i="3"/>
  <c r="BD27" i="3"/>
  <c r="AN27" i="3"/>
  <c r="X27" i="3"/>
  <c r="H27" i="3"/>
  <c r="BA26" i="3"/>
  <c r="AK26" i="3"/>
  <c r="U26" i="3"/>
  <c r="BJ25" i="3"/>
  <c r="AT25" i="3"/>
  <c r="AD25" i="3"/>
  <c r="N25" i="3"/>
  <c r="BC24" i="3"/>
  <c r="AM24" i="3"/>
  <c r="W24" i="3"/>
  <c r="G24" i="3"/>
  <c r="AZ23" i="3"/>
  <c r="AJ23" i="3"/>
  <c r="T23" i="3"/>
  <c r="BM22" i="3"/>
  <c r="AW22" i="3"/>
  <c r="AG22" i="3"/>
  <c r="Q22" i="3"/>
  <c r="BF21" i="3"/>
  <c r="AP21" i="3"/>
  <c r="Z21" i="3"/>
  <c r="J21" i="3"/>
  <c r="AY20" i="3"/>
  <c r="AI20" i="3"/>
  <c r="S20" i="3"/>
  <c r="BL19" i="3"/>
  <c r="AV19" i="3"/>
  <c r="AF19" i="3"/>
  <c r="P19" i="3"/>
  <c r="BI18" i="3"/>
  <c r="AS18" i="3"/>
  <c r="AC18" i="3"/>
  <c r="M18" i="3"/>
  <c r="BB17" i="3"/>
  <c r="AL17" i="3"/>
  <c r="V17" i="3"/>
  <c r="BK16" i="3"/>
  <c r="AU16" i="3"/>
  <c r="AE16" i="3"/>
  <c r="O16" i="3"/>
  <c r="BH15" i="3"/>
  <c r="AR15" i="3"/>
  <c r="AB15" i="3"/>
  <c r="L15" i="3"/>
  <c r="BE14" i="3"/>
  <c r="AO14" i="3"/>
  <c r="Y14" i="3"/>
  <c r="I14" i="3"/>
  <c r="AX13" i="3"/>
  <c r="AH13" i="3"/>
  <c r="R13" i="3"/>
  <c r="BG12" i="3"/>
  <c r="AQ12" i="3"/>
  <c r="AA12" i="3"/>
  <c r="K12" i="3"/>
  <c r="BD11" i="3"/>
  <c r="AN11" i="3"/>
  <c r="X11" i="3"/>
  <c r="H11" i="3"/>
  <c r="BA10" i="3"/>
  <c r="AK10" i="3"/>
  <c r="U10" i="3"/>
  <c r="BJ9" i="3"/>
  <c r="AT9" i="3"/>
  <c r="AD9" i="3"/>
  <c r="N9" i="3"/>
  <c r="BC8" i="3"/>
  <c r="AM8" i="3"/>
  <c r="W8" i="3"/>
  <c r="G8" i="3"/>
  <c r="AZ7" i="3"/>
  <c r="AJ7" i="3"/>
  <c r="T7" i="3"/>
  <c r="BM6" i="3"/>
  <c r="AW6" i="3"/>
  <c r="AG6" i="3"/>
  <c r="Q6" i="3"/>
  <c r="BF5" i="3"/>
  <c r="AP5" i="3"/>
  <c r="Z5" i="3"/>
  <c r="J5" i="3"/>
  <c r="AR53" i="3"/>
  <c r="W53" i="3"/>
  <c r="G53" i="3"/>
  <c r="AZ52" i="3"/>
  <c r="AJ52" i="3"/>
  <c r="T52" i="3"/>
  <c r="BM51" i="3"/>
  <c r="AW51" i="3"/>
  <c r="AG51" i="3"/>
  <c r="Q51" i="3"/>
  <c r="BF50" i="3"/>
  <c r="AP50" i="3"/>
  <c r="Z50" i="3"/>
  <c r="J50" i="3"/>
  <c r="AY49" i="3"/>
  <c r="AI49" i="3"/>
  <c r="S49" i="3"/>
  <c r="BL48" i="3"/>
  <c r="AV48" i="3"/>
  <c r="AF48" i="3"/>
  <c r="P48" i="3"/>
  <c r="BI47" i="3"/>
  <c r="AS47" i="3"/>
  <c r="AC47" i="3"/>
  <c r="M47" i="3"/>
  <c r="BB46" i="3"/>
  <c r="AL46" i="3"/>
  <c r="V46" i="3"/>
  <c r="BJ44" i="3"/>
  <c r="AT44" i="3"/>
  <c r="AD44" i="3"/>
  <c r="N44" i="3"/>
  <c r="BC43" i="3"/>
  <c r="AM43" i="3"/>
  <c r="W43" i="3"/>
  <c r="G43" i="3"/>
  <c r="AZ42" i="3"/>
  <c r="AJ42" i="3"/>
  <c r="T42" i="3"/>
  <c r="BM41" i="3"/>
  <c r="AW41" i="3"/>
  <c r="AG41" i="3"/>
  <c r="Q41" i="3"/>
  <c r="BF40" i="3"/>
  <c r="AP40" i="3"/>
  <c r="Z40" i="3"/>
  <c r="J40" i="3"/>
  <c r="AY39" i="3"/>
  <c r="AI39" i="3"/>
  <c r="S39" i="3"/>
  <c r="BL38" i="3"/>
  <c r="AV38" i="3"/>
  <c r="AF38" i="3"/>
  <c r="P38" i="3"/>
  <c r="BI37" i="3"/>
  <c r="AS37" i="3"/>
  <c r="AC37" i="3"/>
  <c r="M37" i="3"/>
  <c r="BB36" i="3"/>
  <c r="AL36" i="3"/>
  <c r="V36" i="3"/>
  <c r="BK35" i="3"/>
  <c r="AU35" i="3"/>
  <c r="AE35" i="3"/>
  <c r="O35" i="3"/>
  <c r="BH34" i="3"/>
  <c r="AR34" i="3"/>
  <c r="AB34" i="3"/>
  <c r="L34" i="3"/>
  <c r="BE33" i="3"/>
  <c r="AO33" i="3"/>
  <c r="Y33" i="3"/>
  <c r="I33" i="3"/>
  <c r="AX32" i="3"/>
  <c r="AH32" i="3"/>
  <c r="R32" i="3"/>
  <c r="BG31" i="3"/>
  <c r="AQ31" i="3"/>
  <c r="AA31" i="3"/>
  <c r="K31" i="3"/>
  <c r="BD30" i="3"/>
  <c r="AN30" i="3"/>
  <c r="X30" i="3"/>
  <c r="H30" i="3"/>
  <c r="BA29" i="3"/>
  <c r="AK29" i="3"/>
  <c r="U29" i="3"/>
  <c r="BJ28" i="3"/>
  <c r="AT28" i="3"/>
  <c r="AD28" i="3"/>
  <c r="N28" i="3"/>
  <c r="BC27" i="3"/>
  <c r="AM27" i="3"/>
  <c r="W27" i="3"/>
  <c r="G27" i="3"/>
  <c r="AZ26" i="3"/>
  <c r="AJ26" i="3"/>
  <c r="T26" i="3"/>
  <c r="BM25" i="3"/>
  <c r="AW25" i="3"/>
  <c r="AG25" i="3"/>
  <c r="Q25" i="3"/>
  <c r="BF24" i="3"/>
  <c r="AP24" i="3"/>
  <c r="Z24" i="3"/>
  <c r="J24" i="3"/>
  <c r="AY23" i="3"/>
  <c r="AI23" i="3"/>
  <c r="S23" i="3"/>
  <c r="BL22" i="3"/>
  <c r="AV22" i="3"/>
  <c r="AF22" i="3"/>
  <c r="P22" i="3"/>
  <c r="BI21" i="3"/>
  <c r="AS21" i="3"/>
  <c r="AC21" i="3"/>
  <c r="M21" i="3"/>
  <c r="BB20" i="3"/>
  <c r="AL20" i="3"/>
  <c r="V20" i="3"/>
  <c r="BK19" i="3"/>
  <c r="AU19" i="3"/>
  <c r="AE19" i="3"/>
  <c r="O19" i="3"/>
  <c r="BH18" i="3"/>
  <c r="AR18" i="3"/>
  <c r="AB18" i="3"/>
  <c r="L18" i="3"/>
  <c r="BE17" i="3"/>
  <c r="AO17" i="3"/>
  <c r="Y17" i="3"/>
  <c r="I17" i="3"/>
  <c r="AX16" i="3"/>
  <c r="AH16" i="3"/>
  <c r="R16" i="3"/>
  <c r="BG15" i="3"/>
  <c r="AQ15" i="3"/>
  <c r="AA15" i="3"/>
  <c r="K15" i="3"/>
  <c r="BD14" i="3"/>
  <c r="AN14" i="3"/>
  <c r="X14" i="3"/>
  <c r="H14" i="3"/>
  <c r="BA13" i="3"/>
  <c r="AK13" i="3"/>
  <c r="U13" i="3"/>
  <c r="BJ12" i="3"/>
  <c r="AT12" i="3"/>
  <c r="AD12" i="3"/>
  <c r="N12" i="3"/>
  <c r="BC11" i="3"/>
  <c r="AM11" i="3"/>
  <c r="W11" i="3"/>
  <c r="G11" i="3"/>
  <c r="AZ10" i="3"/>
  <c r="AJ10" i="3"/>
  <c r="T10" i="3"/>
  <c r="BM9" i="3"/>
  <c r="AW9" i="3"/>
  <c r="AG9" i="3"/>
  <c r="Q9" i="3"/>
  <c r="BF8" i="3"/>
  <c r="AP8" i="3"/>
  <c r="Z8" i="3"/>
  <c r="J8" i="3"/>
  <c r="AY7" i="3"/>
  <c r="AI7" i="3"/>
  <c r="S7" i="3"/>
  <c r="BL6" i="3"/>
  <c r="AV6" i="3"/>
  <c r="AF6" i="3"/>
  <c r="P6" i="3"/>
  <c r="BI5" i="3"/>
  <c r="AS5" i="3"/>
  <c r="AC5" i="3"/>
  <c r="M5" i="3"/>
  <c r="F68" i="3"/>
  <c r="F109" i="3"/>
  <c r="F116" i="3"/>
  <c r="F257" i="3"/>
  <c r="F268" i="3"/>
  <c r="F393" i="3"/>
  <c r="F410" i="3"/>
  <c r="F549" i="3"/>
  <c r="F568" i="3"/>
  <c r="F633" i="3"/>
  <c r="F70" i="3"/>
  <c r="F111" i="3"/>
  <c r="F118" i="3"/>
  <c r="F259" i="3"/>
  <c r="F270" i="3"/>
  <c r="F395" i="3"/>
  <c r="F412" i="3"/>
  <c r="F447" i="3"/>
  <c r="F570" i="3"/>
  <c r="F635" i="3"/>
  <c r="F72" i="3"/>
  <c r="F113" i="3"/>
  <c r="F120" i="3"/>
  <c r="F261" i="3"/>
  <c r="F272" i="3"/>
  <c r="F397" i="3"/>
  <c r="F414" i="3"/>
  <c r="F449" i="3"/>
  <c r="F572" i="3"/>
  <c r="F637" i="3"/>
  <c r="F93" i="3"/>
  <c r="F132" i="3"/>
  <c r="F139" i="3"/>
  <c r="F279" i="3"/>
  <c r="F290" i="3"/>
  <c r="F416" i="3"/>
  <c r="F433" i="3"/>
  <c r="F468" i="3"/>
  <c r="F591" i="3"/>
  <c r="F634" i="3"/>
  <c r="F76" i="3"/>
  <c r="F117" i="3"/>
  <c r="F124" i="3"/>
  <c r="F265" i="3"/>
  <c r="F276" i="3"/>
  <c r="F401" i="3"/>
  <c r="F419" i="3"/>
  <c r="F453" i="3"/>
  <c r="F576" i="3"/>
  <c r="F641" i="3"/>
  <c r="F78" i="3"/>
  <c r="F119" i="3"/>
  <c r="F126" i="3"/>
  <c r="F267" i="3"/>
  <c r="F278" i="3"/>
  <c r="F403" i="3"/>
  <c r="F421" i="3"/>
  <c r="F455" i="3"/>
  <c r="F578" i="3"/>
  <c r="F643" i="3"/>
  <c r="F80" i="3"/>
  <c r="F121" i="3"/>
  <c r="F129" i="3"/>
  <c r="F269" i="3"/>
  <c r="F280" i="3"/>
  <c r="F405" i="3"/>
  <c r="F423" i="3"/>
  <c r="F458" i="3"/>
  <c r="F581" i="3"/>
  <c r="F645" i="3"/>
  <c r="F10" i="3"/>
  <c r="F140" i="3"/>
  <c r="F147" i="3"/>
  <c r="F287" i="3"/>
  <c r="F300" i="3"/>
  <c r="F424" i="3"/>
  <c r="F450" i="3"/>
  <c r="F476" i="3"/>
  <c r="F599" i="3"/>
  <c r="F642" i="3"/>
  <c r="F84" i="3"/>
  <c r="F125" i="3"/>
  <c r="F133" i="3"/>
  <c r="F273" i="3"/>
  <c r="F284" i="3"/>
  <c r="F409" i="3"/>
  <c r="F427" i="3"/>
  <c r="F462" i="3"/>
  <c r="F585" i="3"/>
  <c r="F628" i="3"/>
  <c r="F87" i="3"/>
  <c r="F128" i="3"/>
  <c r="F135" i="3"/>
  <c r="F275" i="3"/>
  <c r="F286" i="3"/>
  <c r="F411" i="3"/>
  <c r="F429" i="3"/>
  <c r="F464" i="3"/>
  <c r="F587" i="3"/>
  <c r="F630" i="3"/>
  <c r="F89" i="3"/>
  <c r="F130" i="3"/>
  <c r="F137" i="3"/>
  <c r="F277" i="3"/>
  <c r="F288" i="3"/>
  <c r="F413" i="3"/>
  <c r="F431" i="3"/>
  <c r="F466" i="3"/>
  <c r="F589" i="3"/>
  <c r="F632" i="3"/>
  <c r="F74" i="3"/>
  <c r="F115" i="3"/>
  <c r="F122" i="3"/>
  <c r="F263" i="3"/>
  <c r="F274" i="3"/>
  <c r="F399" i="3"/>
  <c r="F417" i="3"/>
  <c r="F451" i="3"/>
  <c r="F574" i="3"/>
  <c r="F639" i="3"/>
  <c r="F95" i="3"/>
  <c r="F134" i="3"/>
  <c r="F141" i="3"/>
  <c r="F281" i="3"/>
  <c r="F294" i="3"/>
  <c r="F418" i="3"/>
  <c r="F437" i="3"/>
  <c r="F470" i="3"/>
  <c r="F593" i="3"/>
  <c r="F636" i="3"/>
  <c r="F6" i="3"/>
  <c r="F136" i="3"/>
  <c r="F143" i="3"/>
  <c r="F283" i="3"/>
  <c r="F296" i="3"/>
  <c r="F420" i="3"/>
  <c r="F438" i="3"/>
  <c r="F472" i="3"/>
  <c r="F595" i="3"/>
  <c r="F638" i="3"/>
  <c r="F8" i="3"/>
  <c r="F138" i="3"/>
  <c r="F145" i="3"/>
  <c r="F285" i="3"/>
  <c r="F298" i="3"/>
  <c r="F422" i="3"/>
  <c r="F445" i="3"/>
  <c r="F474" i="3"/>
  <c r="F597" i="3"/>
  <c r="F640" i="3"/>
  <c r="F82" i="3"/>
  <c r="F123" i="3"/>
  <c r="F131" i="3"/>
  <c r="F271" i="3"/>
  <c r="F282" i="3"/>
  <c r="F460" i="3"/>
  <c r="F661" i="3"/>
  <c r="I158" i="3"/>
  <c r="BG156" i="3"/>
  <c r="BD155" i="3"/>
  <c r="BA154" i="3"/>
  <c r="AT153" i="3"/>
  <c r="AM152" i="3"/>
  <c r="AJ151" i="3"/>
  <c r="AG150" i="3"/>
  <c r="Z149" i="3"/>
  <c r="S148" i="3"/>
  <c r="P147" i="3"/>
  <c r="M146" i="3"/>
  <c r="AF234" i="3"/>
  <c r="AC233" i="3"/>
  <c r="V232" i="3"/>
  <c r="O231" i="3"/>
  <c r="L230" i="3"/>
  <c r="I229" i="3"/>
  <c r="BG227" i="3"/>
  <c r="BD226" i="3"/>
  <c r="BA225" i="3"/>
  <c r="AT224" i="3"/>
  <c r="AM223" i="3"/>
  <c r="AJ222" i="3"/>
  <c r="AG221" i="3"/>
  <c r="Z220" i="3"/>
  <c r="S219" i="3"/>
  <c r="P218" i="3"/>
  <c r="M217" i="3"/>
  <c r="BK215" i="3"/>
  <c r="BH214" i="3"/>
  <c r="BE213" i="3"/>
  <c r="AX212" i="3"/>
  <c r="AQ211" i="3"/>
  <c r="AN210" i="3"/>
  <c r="AJ208" i="3"/>
  <c r="AG207" i="3"/>
  <c r="Z206" i="3"/>
  <c r="S205" i="3"/>
  <c r="P204" i="3"/>
  <c r="M203" i="3"/>
  <c r="BK201" i="3"/>
  <c r="BH200" i="3"/>
  <c r="BE199" i="3"/>
  <c r="AX198" i="3"/>
  <c r="AQ197" i="3"/>
  <c r="AN196" i="3"/>
  <c r="AK195" i="3"/>
  <c r="AD194" i="3"/>
  <c r="W193" i="3"/>
  <c r="T192" i="3"/>
  <c r="Q191" i="3"/>
  <c r="J190" i="3"/>
  <c r="BL188" i="3"/>
  <c r="BI187" i="3"/>
  <c r="BB186" i="3"/>
  <c r="AU185" i="3"/>
  <c r="AR184" i="3"/>
  <c r="AO183" i="3"/>
  <c r="AH182" i="3"/>
  <c r="AA181" i="3"/>
  <c r="X180" i="3"/>
  <c r="U179" i="3"/>
  <c r="N178" i="3"/>
  <c r="G177" i="3"/>
  <c r="BM175" i="3"/>
  <c r="BF174" i="3"/>
  <c r="AY173" i="3"/>
  <c r="AV172" i="3"/>
  <c r="AS171" i="3"/>
  <c r="AL170" i="3"/>
  <c r="AE169" i="3"/>
  <c r="AA167" i="3"/>
  <c r="X166" i="3"/>
  <c r="U165" i="3"/>
  <c r="N164" i="3"/>
  <c r="G163" i="3"/>
  <c r="BM161" i="3"/>
  <c r="BF160" i="3"/>
  <c r="AY159" i="3"/>
  <c r="AV158" i="3"/>
  <c r="AS157" i="3"/>
  <c r="AL156" i="3"/>
  <c r="AE155" i="3"/>
  <c r="AB154" i="3"/>
  <c r="Y153" i="3"/>
  <c r="R152" i="3"/>
  <c r="K151" i="3"/>
  <c r="H150" i="3"/>
  <c r="BJ148" i="3"/>
  <c r="BC147" i="3"/>
  <c r="AZ146" i="3"/>
  <c r="AC145" i="3"/>
  <c r="AQ143" i="3"/>
  <c r="AN142" i="3"/>
  <c r="AK141" i="3"/>
  <c r="AD140" i="3"/>
  <c r="W139" i="3"/>
  <c r="T138" i="3"/>
  <c r="Q137" i="3"/>
  <c r="J136" i="3"/>
  <c r="BL134" i="3"/>
  <c r="BI133" i="3"/>
  <c r="BB132" i="3"/>
  <c r="AU131" i="3"/>
  <c r="AR130" i="3"/>
  <c r="AO129" i="3"/>
  <c r="AH128" i="3"/>
  <c r="Z126" i="3"/>
  <c r="S125" i="3"/>
  <c r="P124" i="3"/>
  <c r="M123" i="3"/>
  <c r="BK121" i="3"/>
  <c r="BH120" i="3"/>
  <c r="BE119" i="3"/>
  <c r="AX118" i="3"/>
  <c r="AQ117" i="3"/>
  <c r="AN116" i="3"/>
  <c r="AK115" i="3"/>
  <c r="AD114" i="3"/>
  <c r="W113" i="3"/>
  <c r="T112" i="3"/>
  <c r="Q111" i="3"/>
  <c r="J110" i="3"/>
  <c r="BL108" i="3"/>
  <c r="BI107" i="3"/>
  <c r="BB106" i="3"/>
  <c r="AU105" i="3"/>
  <c r="AR104" i="3"/>
  <c r="AO103" i="3"/>
  <c r="AH102" i="3"/>
  <c r="AA101" i="3"/>
  <c r="X100" i="3"/>
  <c r="U99" i="3"/>
  <c r="N98" i="3"/>
  <c r="G97" i="3"/>
  <c r="BM95" i="3"/>
  <c r="BF94" i="3"/>
  <c r="AY93" i="3"/>
  <c r="AV92" i="3"/>
  <c r="AS91" i="3"/>
  <c r="AL90" i="3"/>
  <c r="AE89" i="3"/>
  <c r="AB88" i="3"/>
  <c r="Y87" i="3"/>
  <c r="U85" i="3"/>
  <c r="N84" i="3"/>
  <c r="G83" i="3"/>
  <c r="BM81" i="3"/>
  <c r="BF80" i="3"/>
  <c r="AY79" i="3"/>
  <c r="AV78" i="3"/>
  <c r="AS77" i="3"/>
  <c r="AL76" i="3"/>
  <c r="AE75" i="3"/>
  <c r="AB74" i="3"/>
  <c r="Y73" i="3"/>
  <c r="R72" i="3"/>
  <c r="K71" i="3"/>
  <c r="H70" i="3"/>
  <c r="BJ68" i="3"/>
  <c r="BC67" i="3"/>
  <c r="AZ66" i="3"/>
  <c r="AW65" i="3"/>
  <c r="AP64" i="3"/>
  <c r="AI63" i="3"/>
  <c r="AF62" i="3"/>
  <c r="AC61" i="3"/>
  <c r="V60" i="3"/>
  <c r="O59" i="3"/>
  <c r="L58" i="3"/>
  <c r="I57" i="3"/>
  <c r="BG55" i="3"/>
  <c r="BD54" i="3"/>
  <c r="BA53" i="3"/>
  <c r="BC144" i="3"/>
  <c r="AD143" i="3"/>
  <c r="W142" i="3"/>
  <c r="T141" i="3"/>
  <c r="Q140" i="3"/>
  <c r="J139" i="3"/>
  <c r="BL137" i="3"/>
  <c r="BI136" i="3"/>
  <c r="BB135" i="3"/>
  <c r="AU134" i="3"/>
  <c r="AR133" i="3"/>
  <c r="AO132" i="3"/>
  <c r="AH131" i="3"/>
  <c r="AA130" i="3"/>
  <c r="X129" i="3"/>
  <c r="U128" i="3"/>
  <c r="Q126" i="3"/>
  <c r="J125" i="3"/>
  <c r="BL123" i="3"/>
  <c r="BI122" i="3"/>
  <c r="BB121" i="3"/>
  <c r="AU120" i="3"/>
  <c r="AR119" i="3"/>
  <c r="AO118" i="3"/>
  <c r="AH117" i="3"/>
  <c r="AA116" i="3"/>
  <c r="X115" i="3"/>
  <c r="U114" i="3"/>
  <c r="N113" i="3"/>
  <c r="G112" i="3"/>
  <c r="BM110" i="3"/>
  <c r="BF109" i="3"/>
  <c r="AY108" i="3"/>
  <c r="AV107" i="3"/>
  <c r="AS106" i="3"/>
  <c r="AL105" i="3"/>
  <c r="AE104" i="3"/>
  <c r="AB103" i="3"/>
  <c r="Y102" i="3"/>
  <c r="R101" i="3"/>
  <c r="K100" i="3"/>
  <c r="H99" i="3"/>
  <c r="BJ97" i="3"/>
  <c r="BC96" i="3"/>
  <c r="AZ95" i="3"/>
  <c r="AW94" i="3"/>
  <c r="AP93" i="3"/>
  <c r="AI92" i="3"/>
  <c r="AF91" i="3"/>
  <c r="AC90" i="3"/>
  <c r="V89" i="3"/>
  <c r="O88" i="3"/>
  <c r="L87" i="3"/>
  <c r="H85" i="3"/>
  <c r="BJ83" i="3"/>
  <c r="BC82" i="3"/>
  <c r="AZ81" i="3"/>
  <c r="AW80" i="3"/>
  <c r="AP79" i="3"/>
  <c r="AI78" i="3"/>
  <c r="AF77" i="3"/>
  <c r="AC76" i="3"/>
  <c r="V75" i="3"/>
  <c r="O74" i="3"/>
  <c r="L73" i="3"/>
  <c r="I72" i="3"/>
  <c r="BG70" i="3"/>
  <c r="BD69" i="3"/>
  <c r="BA68" i="3"/>
  <c r="AT67" i="3"/>
  <c r="AM66" i="3"/>
  <c r="AJ65" i="3"/>
  <c r="AG64" i="3"/>
  <c r="Z63" i="3"/>
  <c r="S62" i="3"/>
  <c r="P61" i="3"/>
  <c r="M60" i="3"/>
  <c r="BK58" i="3"/>
  <c r="BH57" i="3"/>
  <c r="BE56" i="3"/>
  <c r="AX55" i="3"/>
  <c r="AQ54" i="3"/>
  <c r="Q145" i="3"/>
  <c r="AS143" i="3"/>
  <c r="AL142" i="3"/>
  <c r="AE141" i="3"/>
  <c r="AB140" i="3"/>
  <c r="Y139" i="3"/>
  <c r="R138" i="3"/>
  <c r="K137" i="3"/>
  <c r="H136" i="3"/>
  <c r="BJ134" i="3"/>
  <c r="BC133" i="3"/>
  <c r="AZ132" i="3"/>
  <c r="AW131" i="3"/>
  <c r="AP130" i="3"/>
  <c r="AI129" i="3"/>
  <c r="AF128" i="3"/>
  <c r="AB126" i="3"/>
  <c r="Y125" i="3"/>
  <c r="R124" i="3"/>
  <c r="K123" i="3"/>
  <c r="H122" i="3"/>
  <c r="BJ120" i="3"/>
  <c r="BC119" i="3"/>
  <c r="AZ118" i="3"/>
  <c r="AW117" i="3"/>
  <c r="AP116" i="3"/>
  <c r="AI115" i="3"/>
  <c r="AF114" i="3"/>
  <c r="BE113" i="3"/>
  <c r="AK113" i="3"/>
  <c r="Q113" i="3"/>
  <c r="BF112" i="3"/>
  <c r="AP112" i="3"/>
  <c r="Z112" i="3"/>
  <c r="J112" i="3"/>
  <c r="AY111" i="3"/>
  <c r="AI111" i="3"/>
  <c r="S111" i="3"/>
  <c r="BL110" i="3"/>
  <c r="AV110" i="3"/>
  <c r="AF110" i="3"/>
  <c r="P110" i="3"/>
  <c r="BI109" i="3"/>
  <c r="AS109" i="3"/>
  <c r="AC109" i="3"/>
  <c r="M109" i="3"/>
  <c r="BB108" i="3"/>
  <c r="AL108" i="3"/>
  <c r="V108" i="3"/>
  <c r="BK107" i="3"/>
  <c r="AU107" i="3"/>
  <c r="AE107" i="3"/>
  <c r="O107" i="3"/>
  <c r="BH106" i="3"/>
  <c r="AR106" i="3"/>
  <c r="AB106" i="3"/>
  <c r="L106" i="3"/>
  <c r="BE105" i="3"/>
  <c r="AO105" i="3"/>
  <c r="Y105" i="3"/>
  <c r="I105" i="3"/>
  <c r="AX104" i="3"/>
  <c r="AH104" i="3"/>
  <c r="R104" i="3"/>
  <c r="BG103" i="3"/>
  <c r="AQ103" i="3"/>
  <c r="AA103" i="3"/>
  <c r="K103" i="3"/>
  <c r="BD102" i="3"/>
  <c r="AN102" i="3"/>
  <c r="X102" i="3"/>
  <c r="H102" i="3"/>
  <c r="BA101" i="3"/>
  <c r="AK101" i="3"/>
  <c r="U101" i="3"/>
  <c r="BJ100" i="3"/>
  <c r="AT100" i="3"/>
  <c r="AD100" i="3"/>
  <c r="N100" i="3"/>
  <c r="BC99" i="3"/>
  <c r="AM99" i="3"/>
  <c r="W99" i="3"/>
  <c r="G99" i="3"/>
  <c r="AZ98" i="3"/>
  <c r="AJ98" i="3"/>
  <c r="T98" i="3"/>
  <c r="BM97" i="3"/>
  <c r="AW97" i="3"/>
  <c r="AG97" i="3"/>
  <c r="Q97" i="3"/>
  <c r="BF96" i="3"/>
  <c r="AP96" i="3"/>
  <c r="Z96" i="3"/>
  <c r="J96" i="3"/>
  <c r="AY95" i="3"/>
  <c r="AI95" i="3"/>
  <c r="S95" i="3"/>
  <c r="BL94" i="3"/>
  <c r="AV94" i="3"/>
  <c r="AF94" i="3"/>
  <c r="P94" i="3"/>
  <c r="BI93" i="3"/>
  <c r="AS93" i="3"/>
  <c r="AC93" i="3"/>
  <c r="M93" i="3"/>
  <c r="BB92" i="3"/>
  <c r="AL92" i="3"/>
  <c r="V92" i="3"/>
  <c r="BK91" i="3"/>
  <c r="AU91" i="3"/>
  <c r="AE91" i="3"/>
  <c r="O91" i="3"/>
  <c r="BH90" i="3"/>
  <c r="AR90" i="3"/>
  <c r="AB90" i="3"/>
  <c r="L90" i="3"/>
  <c r="BE89" i="3"/>
  <c r="AO89" i="3"/>
  <c r="Y89" i="3"/>
  <c r="I89" i="3"/>
  <c r="AX88" i="3"/>
  <c r="AH88" i="3"/>
  <c r="R88" i="3"/>
  <c r="BG87" i="3"/>
  <c r="AQ87" i="3"/>
  <c r="AA87" i="3"/>
  <c r="K87" i="3"/>
  <c r="BC85" i="3"/>
  <c r="AM85" i="3"/>
  <c r="W85" i="3"/>
  <c r="G85" i="3"/>
  <c r="AZ84" i="3"/>
  <c r="AJ84" i="3"/>
  <c r="T84" i="3"/>
  <c r="BM83" i="3"/>
  <c r="AW83" i="3"/>
  <c r="AG83" i="3"/>
  <c r="Q83" i="3"/>
  <c r="BF82" i="3"/>
  <c r="AP82" i="3"/>
  <c r="Z82" i="3"/>
  <c r="J82" i="3"/>
  <c r="AY81" i="3"/>
  <c r="AI81" i="3"/>
  <c r="S81" i="3"/>
  <c r="BL80" i="3"/>
  <c r="AV80" i="3"/>
  <c r="AF80" i="3"/>
  <c r="P80" i="3"/>
  <c r="BI79" i="3"/>
  <c r="AS79" i="3"/>
  <c r="AC79" i="3"/>
  <c r="M79" i="3"/>
  <c r="BB78" i="3"/>
  <c r="AL78" i="3"/>
  <c r="V78" i="3"/>
  <c r="BK77" i="3"/>
  <c r="AU77" i="3"/>
  <c r="AE77" i="3"/>
  <c r="O77" i="3"/>
  <c r="BH76" i="3"/>
  <c r="AR76" i="3"/>
  <c r="AB76" i="3"/>
  <c r="L76" i="3"/>
  <c r="BE75" i="3"/>
  <c r="AO75" i="3"/>
  <c r="Y75" i="3"/>
  <c r="I75" i="3"/>
  <c r="AX74" i="3"/>
  <c r="AH74" i="3"/>
  <c r="R74" i="3"/>
  <c r="BG73" i="3"/>
  <c r="AQ73" i="3"/>
  <c r="AA73" i="3"/>
  <c r="K73" i="3"/>
  <c r="BD72" i="3"/>
  <c r="AN72" i="3"/>
  <c r="X72" i="3"/>
  <c r="H72" i="3"/>
  <c r="BA71" i="3"/>
  <c r="AK71" i="3"/>
  <c r="U71" i="3"/>
  <c r="BJ70" i="3"/>
  <c r="AT70" i="3"/>
  <c r="AD70" i="3"/>
  <c r="N70" i="3"/>
  <c r="BC69" i="3"/>
  <c r="AM69" i="3"/>
  <c r="W69" i="3"/>
  <c r="G69" i="3"/>
  <c r="AZ68" i="3"/>
  <c r="AJ68" i="3"/>
  <c r="T68" i="3"/>
  <c r="BM67" i="3"/>
  <c r="AW67" i="3"/>
  <c r="AG67" i="3"/>
  <c r="Q67" i="3"/>
  <c r="BF66" i="3"/>
  <c r="AP66" i="3"/>
  <c r="Z66" i="3"/>
  <c r="J66" i="3"/>
  <c r="AY65" i="3"/>
  <c r="AI65" i="3"/>
  <c r="S65" i="3"/>
  <c r="BL64" i="3"/>
  <c r="AV64" i="3"/>
  <c r="AF64" i="3"/>
  <c r="P64" i="3"/>
  <c r="BI63" i="3"/>
  <c r="AS63" i="3"/>
  <c r="AC63" i="3"/>
  <c r="M63" i="3"/>
  <c r="BB62" i="3"/>
  <c r="AL62" i="3"/>
  <c r="V62" i="3"/>
  <c r="BK61" i="3"/>
  <c r="AU61" i="3"/>
  <c r="AE61" i="3"/>
  <c r="O61" i="3"/>
  <c r="BH60" i="3"/>
  <c r="AR60" i="3"/>
  <c r="AB60" i="3"/>
  <c r="L60" i="3"/>
  <c r="BE59" i="3"/>
  <c r="AO59" i="3"/>
  <c r="Y59" i="3"/>
  <c r="I59" i="3"/>
  <c r="AX58" i="3"/>
  <c r="AH58" i="3"/>
  <c r="R58" i="3"/>
  <c r="BG57" i="3"/>
  <c r="AQ57" i="3"/>
  <c r="AA57" i="3"/>
  <c r="K57" i="3"/>
  <c r="BD56" i="3"/>
  <c r="AN56" i="3"/>
  <c r="X56" i="3"/>
  <c r="H56" i="3"/>
  <c r="BA55" i="3"/>
  <c r="AK55" i="3"/>
  <c r="U55" i="3"/>
  <c r="BJ54" i="3"/>
  <c r="AT54" i="3"/>
  <c r="AD54" i="3"/>
  <c r="N54" i="3"/>
  <c r="AL145" i="3"/>
  <c r="BG144" i="3"/>
  <c r="AB144" i="3"/>
  <c r="G144" i="3"/>
  <c r="AZ143" i="3"/>
  <c r="AJ143" i="3"/>
  <c r="T143" i="3"/>
  <c r="BM142" i="3"/>
  <c r="AW142" i="3"/>
  <c r="AG142" i="3"/>
  <c r="Q142" i="3"/>
  <c r="BF141" i="3"/>
  <c r="AP141" i="3"/>
  <c r="Z141" i="3"/>
  <c r="J141" i="3"/>
  <c r="AY140" i="3"/>
  <c r="AI140" i="3"/>
  <c r="S140" i="3"/>
  <c r="BL139" i="3"/>
  <c r="AV139" i="3"/>
  <c r="AF139" i="3"/>
  <c r="P139" i="3"/>
  <c r="BI138" i="3"/>
  <c r="AS138" i="3"/>
  <c r="AC138" i="3"/>
  <c r="M138" i="3"/>
  <c r="BB137" i="3"/>
  <c r="AL137" i="3"/>
  <c r="V137" i="3"/>
  <c r="BK136" i="3"/>
  <c r="AU136" i="3"/>
  <c r="AE136" i="3"/>
  <c r="O136" i="3"/>
  <c r="BH135" i="3"/>
  <c r="AR135" i="3"/>
  <c r="AB135" i="3"/>
  <c r="L135" i="3"/>
  <c r="BE134" i="3"/>
  <c r="AO134" i="3"/>
  <c r="Y134" i="3"/>
  <c r="I134" i="3"/>
  <c r="AX133" i="3"/>
  <c r="AH133" i="3"/>
  <c r="R133" i="3"/>
  <c r="BG132" i="3"/>
  <c r="AQ132" i="3"/>
  <c r="AA132" i="3"/>
  <c r="K132" i="3"/>
  <c r="BD131" i="3"/>
  <c r="AN131" i="3"/>
  <c r="X131" i="3"/>
  <c r="H131" i="3"/>
  <c r="BA130" i="3"/>
  <c r="AK130" i="3"/>
  <c r="U130" i="3"/>
  <c r="BJ129" i="3"/>
  <c r="AT129" i="3"/>
  <c r="AD129" i="3"/>
  <c r="N129" i="3"/>
  <c r="BC128" i="3"/>
  <c r="AM128" i="3"/>
  <c r="W128" i="3"/>
  <c r="G128" i="3"/>
  <c r="AY126" i="3"/>
  <c r="AI126" i="3"/>
  <c r="S126" i="3"/>
  <c r="BL125" i="3"/>
  <c r="AV125" i="3"/>
  <c r="AF125" i="3"/>
  <c r="P125" i="3"/>
  <c r="BI124" i="3"/>
  <c r="AS124" i="3"/>
  <c r="AC124" i="3"/>
  <c r="M124" i="3"/>
  <c r="BB123" i="3"/>
  <c r="AL123" i="3"/>
  <c r="V123" i="3"/>
  <c r="BK122" i="3"/>
  <c r="AU122" i="3"/>
  <c r="AE122" i="3"/>
  <c r="O122" i="3"/>
  <c r="BH121" i="3"/>
  <c r="AR121" i="3"/>
  <c r="AB121" i="3"/>
  <c r="L121" i="3"/>
  <c r="BE120" i="3"/>
  <c r="AO120" i="3"/>
  <c r="Y120" i="3"/>
  <c r="I120" i="3"/>
  <c r="AX119" i="3"/>
  <c r="AH119" i="3"/>
  <c r="R119" i="3"/>
  <c r="BG118" i="3"/>
  <c r="AQ118" i="3"/>
  <c r="AA118" i="3"/>
  <c r="K118" i="3"/>
  <c r="BD117" i="3"/>
  <c r="AN117" i="3"/>
  <c r="X117" i="3"/>
  <c r="H117" i="3"/>
  <c r="BA116" i="3"/>
  <c r="AK116" i="3"/>
  <c r="U116" i="3"/>
  <c r="BJ115" i="3"/>
  <c r="AT115" i="3"/>
  <c r="AD115" i="3"/>
  <c r="N115" i="3"/>
  <c r="BC114" i="3"/>
  <c r="AM114" i="3"/>
  <c r="W114" i="3"/>
  <c r="G114" i="3"/>
  <c r="AZ113" i="3"/>
  <c r="AJ113" i="3"/>
  <c r="T113" i="3"/>
  <c r="BM112" i="3"/>
  <c r="AW112" i="3"/>
  <c r="AG112" i="3"/>
  <c r="Q112" i="3"/>
  <c r="BF111" i="3"/>
  <c r="AP111" i="3"/>
  <c r="Z111" i="3"/>
  <c r="J111" i="3"/>
  <c r="AY110" i="3"/>
  <c r="AI110" i="3"/>
  <c r="S110" i="3"/>
  <c r="BL109" i="3"/>
  <c r="AV109" i="3"/>
  <c r="AF109" i="3"/>
  <c r="P109" i="3"/>
  <c r="BI108" i="3"/>
  <c r="AS108" i="3"/>
  <c r="AC108" i="3"/>
  <c r="M108" i="3"/>
  <c r="BB107" i="3"/>
  <c r="AL107" i="3"/>
  <c r="V107" i="3"/>
  <c r="BK106" i="3"/>
  <c r="AU106" i="3"/>
  <c r="AE106" i="3"/>
  <c r="O106" i="3"/>
  <c r="BH105" i="3"/>
  <c r="AR105" i="3"/>
  <c r="AB105" i="3"/>
  <c r="L105" i="3"/>
  <c r="BE104" i="3"/>
  <c r="AO104" i="3"/>
  <c r="Y104" i="3"/>
  <c r="I104" i="3"/>
  <c r="AX103" i="3"/>
  <c r="AH103" i="3"/>
  <c r="R103" i="3"/>
  <c r="BG102" i="3"/>
  <c r="AQ102" i="3"/>
  <c r="AA102" i="3"/>
  <c r="K102" i="3"/>
  <c r="BD101" i="3"/>
  <c r="AN101" i="3"/>
  <c r="X101" i="3"/>
  <c r="H101" i="3"/>
  <c r="BA100" i="3"/>
  <c r="AK100" i="3"/>
  <c r="U100" i="3"/>
  <c r="BJ99" i="3"/>
  <c r="AT99" i="3"/>
  <c r="AD99" i="3"/>
  <c r="N99" i="3"/>
  <c r="BC98" i="3"/>
  <c r="AM98" i="3"/>
  <c r="W98" i="3"/>
  <c r="G98" i="3"/>
  <c r="AZ97" i="3"/>
  <c r="AJ97" i="3"/>
  <c r="T97" i="3"/>
  <c r="BM96" i="3"/>
  <c r="AW96" i="3"/>
  <c r="AG96" i="3"/>
  <c r="Q96" i="3"/>
  <c r="BF95" i="3"/>
  <c r="AP95" i="3"/>
  <c r="Z95" i="3"/>
  <c r="J95" i="3"/>
  <c r="AY94" i="3"/>
  <c r="AI94" i="3"/>
  <c r="S94" i="3"/>
  <c r="BL93" i="3"/>
  <c r="AV93" i="3"/>
  <c r="AF93" i="3"/>
  <c r="P93" i="3"/>
  <c r="BI92" i="3"/>
  <c r="AS92" i="3"/>
  <c r="AC92" i="3"/>
  <c r="M92" i="3"/>
  <c r="BB91" i="3"/>
  <c r="AL91" i="3"/>
  <c r="V91" i="3"/>
  <c r="BK90" i="3"/>
  <c r="AU90" i="3"/>
  <c r="AE90" i="3"/>
  <c r="O90" i="3"/>
  <c r="BH89" i="3"/>
  <c r="AR89" i="3"/>
  <c r="AB89" i="3"/>
  <c r="L89" i="3"/>
  <c r="BE88" i="3"/>
  <c r="AO88" i="3"/>
  <c r="Y88" i="3"/>
  <c r="I88" i="3"/>
  <c r="AX87" i="3"/>
  <c r="AH87" i="3"/>
  <c r="R87" i="3"/>
  <c r="BF85" i="3"/>
  <c r="AP85" i="3"/>
  <c r="Z85" i="3"/>
  <c r="J85" i="3"/>
  <c r="AY84" i="3"/>
  <c r="AI84" i="3"/>
  <c r="S84" i="3"/>
  <c r="BL83" i="3"/>
  <c r="AV83" i="3"/>
  <c r="AF83" i="3"/>
  <c r="P83" i="3"/>
  <c r="BI82" i="3"/>
  <c r="AS82" i="3"/>
  <c r="AC82" i="3"/>
  <c r="M82" i="3"/>
  <c r="BB81" i="3"/>
  <c r="AL81" i="3"/>
  <c r="V81" i="3"/>
  <c r="BK80" i="3"/>
  <c r="AU80" i="3"/>
  <c r="AE80" i="3"/>
  <c r="O80" i="3"/>
  <c r="BH79" i="3"/>
  <c r="AR79" i="3"/>
  <c r="AB79" i="3"/>
  <c r="L79" i="3"/>
  <c r="BE78" i="3"/>
  <c r="AO78" i="3"/>
  <c r="Y78" i="3"/>
  <c r="I78" i="3"/>
  <c r="AX77" i="3"/>
  <c r="AH77" i="3"/>
  <c r="R77" i="3"/>
  <c r="BG76" i="3"/>
  <c r="AQ76" i="3"/>
  <c r="AA76" i="3"/>
  <c r="K76" i="3"/>
  <c r="BD75" i="3"/>
  <c r="AN75" i="3"/>
  <c r="X75" i="3"/>
  <c r="H75" i="3"/>
  <c r="BA74" i="3"/>
  <c r="AK74" i="3"/>
  <c r="U74" i="3"/>
  <c r="BJ73" i="3"/>
  <c r="AT73" i="3"/>
  <c r="AD73" i="3"/>
  <c r="N73" i="3"/>
  <c r="BC72" i="3"/>
  <c r="AM72" i="3"/>
  <c r="W72" i="3"/>
  <c r="G72" i="3"/>
  <c r="AZ71" i="3"/>
  <c r="AJ71" i="3"/>
  <c r="T71" i="3"/>
  <c r="BM70" i="3"/>
  <c r="AW70" i="3"/>
  <c r="AG70" i="3"/>
  <c r="Q70" i="3"/>
  <c r="BF69" i="3"/>
  <c r="AP69" i="3"/>
  <c r="Z69" i="3"/>
  <c r="J69" i="3"/>
  <c r="AY68" i="3"/>
  <c r="AI68" i="3"/>
  <c r="S68" i="3"/>
  <c r="BL67" i="3"/>
  <c r="AV67" i="3"/>
  <c r="AF67" i="3"/>
  <c r="P67" i="3"/>
  <c r="BI66" i="3"/>
  <c r="AS66" i="3"/>
  <c r="AC66" i="3"/>
  <c r="M66" i="3"/>
  <c r="BB65" i="3"/>
  <c r="AL65" i="3"/>
  <c r="V65" i="3"/>
  <c r="BK64" i="3"/>
  <c r="AU64" i="3"/>
  <c r="AE64" i="3"/>
  <c r="O64" i="3"/>
  <c r="BH63" i="3"/>
  <c r="AR63" i="3"/>
  <c r="AB63" i="3"/>
  <c r="L63" i="3"/>
  <c r="BE62" i="3"/>
  <c r="AO62" i="3"/>
  <c r="Y62" i="3"/>
  <c r="I62" i="3"/>
  <c r="AX61" i="3"/>
  <c r="AH61" i="3"/>
  <c r="R61" i="3"/>
  <c r="BG60" i="3"/>
  <c r="AQ60" i="3"/>
  <c r="AA60" i="3"/>
  <c r="K60" i="3"/>
  <c r="BD59" i="3"/>
  <c r="AN59" i="3"/>
  <c r="X59" i="3"/>
  <c r="H59" i="3"/>
  <c r="BA58" i="3"/>
  <c r="AK58" i="3"/>
  <c r="U58" i="3"/>
  <c r="BJ57" i="3"/>
  <c r="AT57" i="3"/>
  <c r="AD57" i="3"/>
  <c r="N57" i="3"/>
  <c r="BC56" i="3"/>
  <c r="AM56" i="3"/>
  <c r="W56" i="3"/>
  <c r="G56" i="3"/>
  <c r="AZ55" i="3"/>
  <c r="AJ55" i="3"/>
  <c r="T55" i="3"/>
  <c r="BM54" i="3"/>
  <c r="AW54" i="3"/>
  <c r="AG54" i="3"/>
  <c r="Q54" i="3"/>
  <c r="BG53" i="3"/>
  <c r="AL53" i="3"/>
  <c r="R53" i="3"/>
  <c r="BG52" i="3"/>
  <c r="AQ52" i="3"/>
  <c r="AA52" i="3"/>
  <c r="K52" i="3"/>
  <c r="BD51" i="3"/>
  <c r="AN51" i="3"/>
  <c r="X51" i="3"/>
  <c r="H51" i="3"/>
  <c r="BA50" i="3"/>
  <c r="AK50" i="3"/>
  <c r="U50" i="3"/>
  <c r="BJ49" i="3"/>
  <c r="AT49" i="3"/>
  <c r="AD49" i="3"/>
  <c r="N49" i="3"/>
  <c r="BC48" i="3"/>
  <c r="AM48" i="3"/>
  <c r="W48" i="3"/>
  <c r="G48" i="3"/>
  <c r="AZ47" i="3"/>
  <c r="AJ47" i="3"/>
  <c r="T47" i="3"/>
  <c r="BM46" i="3"/>
  <c r="AW46" i="3"/>
  <c r="AG46" i="3"/>
  <c r="Q46" i="3"/>
  <c r="BI44" i="3"/>
  <c r="AS44" i="3"/>
  <c r="AC44" i="3"/>
  <c r="M44" i="3"/>
  <c r="BB43" i="3"/>
  <c r="AL43" i="3"/>
  <c r="V43" i="3"/>
  <c r="BK42" i="3"/>
  <c r="AU42" i="3"/>
  <c r="AE42" i="3"/>
  <c r="O42" i="3"/>
  <c r="BH41" i="3"/>
  <c r="AR41" i="3"/>
  <c r="AB41" i="3"/>
  <c r="L41" i="3"/>
  <c r="BE40" i="3"/>
  <c r="AO40" i="3"/>
  <c r="Y40" i="3"/>
  <c r="I40" i="3"/>
  <c r="AX39" i="3"/>
  <c r="AH39" i="3"/>
  <c r="R39" i="3"/>
  <c r="BG38" i="3"/>
  <c r="AQ38" i="3"/>
  <c r="AA38" i="3"/>
  <c r="K38" i="3"/>
  <c r="BD37" i="3"/>
  <c r="AN37" i="3"/>
  <c r="X37" i="3"/>
  <c r="H37" i="3"/>
  <c r="BA36" i="3"/>
  <c r="AK36" i="3"/>
  <c r="U36" i="3"/>
  <c r="BJ35" i="3"/>
  <c r="AT35" i="3"/>
  <c r="AD35" i="3"/>
  <c r="N35" i="3"/>
  <c r="BC34" i="3"/>
  <c r="AM34" i="3"/>
  <c r="W34" i="3"/>
  <c r="G34" i="3"/>
  <c r="AZ33" i="3"/>
  <c r="AJ33" i="3"/>
  <c r="T33" i="3"/>
  <c r="BM32" i="3"/>
  <c r="AW32" i="3"/>
  <c r="AG32" i="3"/>
  <c r="Q32" i="3"/>
  <c r="BF31" i="3"/>
  <c r="AP31" i="3"/>
  <c r="Z31" i="3"/>
  <c r="J31" i="3"/>
  <c r="AY30" i="3"/>
  <c r="AI30" i="3"/>
  <c r="S30" i="3"/>
  <c r="BL29" i="3"/>
  <c r="AV29" i="3"/>
  <c r="AF29" i="3"/>
  <c r="P29" i="3"/>
  <c r="BI28" i="3"/>
  <c r="AS28" i="3"/>
  <c r="AC28" i="3"/>
  <c r="M28" i="3"/>
  <c r="BB27" i="3"/>
  <c r="AL27" i="3"/>
  <c r="V27" i="3"/>
  <c r="BK26" i="3"/>
  <c r="AU26" i="3"/>
  <c r="AE26" i="3"/>
  <c r="O26" i="3"/>
  <c r="BH25" i="3"/>
  <c r="AR25" i="3"/>
  <c r="AB25" i="3"/>
  <c r="L25" i="3"/>
  <c r="BE24" i="3"/>
  <c r="AO24" i="3"/>
  <c r="Y24" i="3"/>
  <c r="I24" i="3"/>
  <c r="AX23" i="3"/>
  <c r="AH23" i="3"/>
  <c r="R23" i="3"/>
  <c r="BG22" i="3"/>
  <c r="AQ22" i="3"/>
  <c r="AA22" i="3"/>
  <c r="K22" i="3"/>
  <c r="BD21" i="3"/>
  <c r="AN21" i="3"/>
  <c r="X21" i="3"/>
  <c r="H21" i="3"/>
  <c r="BA20" i="3"/>
  <c r="AK20" i="3"/>
  <c r="U20" i="3"/>
  <c r="BJ19" i="3"/>
  <c r="AT19" i="3"/>
  <c r="AD19" i="3"/>
  <c r="N19" i="3"/>
  <c r="BC18" i="3"/>
  <c r="AM18" i="3"/>
  <c r="W18" i="3"/>
  <c r="G18" i="3"/>
  <c r="AZ17" i="3"/>
  <c r="AJ17" i="3"/>
  <c r="T17" i="3"/>
  <c r="BM16" i="3"/>
  <c r="AW16" i="3"/>
  <c r="AG16" i="3"/>
  <c r="Q16" i="3"/>
  <c r="BF15" i="3"/>
  <c r="AP15" i="3"/>
  <c r="Z15" i="3"/>
  <c r="J15" i="3"/>
  <c r="AY14" i="3"/>
  <c r="AI14" i="3"/>
  <c r="S14" i="3"/>
  <c r="BL13" i="3"/>
  <c r="AV13" i="3"/>
  <c r="AF13" i="3"/>
  <c r="P13" i="3"/>
  <c r="BI12" i="3"/>
  <c r="AS12" i="3"/>
  <c r="AC12" i="3"/>
  <c r="M12" i="3"/>
  <c r="BB11" i="3"/>
  <c r="AL11" i="3"/>
  <c r="V11" i="3"/>
  <c r="BK10" i="3"/>
  <c r="AU10" i="3"/>
  <c r="AE10" i="3"/>
  <c r="O10" i="3"/>
  <c r="BH9" i="3"/>
  <c r="AR9" i="3"/>
  <c r="AB9" i="3"/>
  <c r="L9" i="3"/>
  <c r="BE8" i="3"/>
  <c r="AO8" i="3"/>
  <c r="Y8" i="3"/>
  <c r="I8" i="3"/>
  <c r="AX7" i="3"/>
  <c r="AH7" i="3"/>
  <c r="R7" i="3"/>
  <c r="BG6" i="3"/>
  <c r="AQ6" i="3"/>
  <c r="AA6" i="3"/>
  <c r="K6" i="3"/>
  <c r="BD5" i="3"/>
  <c r="AN5" i="3"/>
  <c r="X5" i="3"/>
  <c r="H5" i="3"/>
  <c r="AZ53" i="3"/>
  <c r="AE53" i="3"/>
  <c r="M53" i="3"/>
  <c r="BB52" i="3"/>
  <c r="AL52" i="3"/>
  <c r="V52" i="3"/>
  <c r="BK51" i="3"/>
  <c r="AU51" i="3"/>
  <c r="AE51" i="3"/>
  <c r="O51" i="3"/>
  <c r="BH50" i="3"/>
  <c r="AR50" i="3"/>
  <c r="AB50" i="3"/>
  <c r="L50" i="3"/>
  <c r="BE49" i="3"/>
  <c r="AO49" i="3"/>
  <c r="Y49" i="3"/>
  <c r="I49" i="3"/>
  <c r="AX48" i="3"/>
  <c r="AH48" i="3"/>
  <c r="R48" i="3"/>
  <c r="BG47" i="3"/>
  <c r="AQ47" i="3"/>
  <c r="AA47" i="3"/>
  <c r="K47" i="3"/>
  <c r="BD46" i="3"/>
  <c r="AN46" i="3"/>
  <c r="X46" i="3"/>
  <c r="H46" i="3"/>
  <c r="AZ44" i="3"/>
  <c r="AJ44" i="3"/>
  <c r="T44" i="3"/>
  <c r="BM43" i="3"/>
  <c r="AW43" i="3"/>
  <c r="AG43" i="3"/>
  <c r="Q43" i="3"/>
  <c r="BF42" i="3"/>
  <c r="AP42" i="3"/>
  <c r="Z42" i="3"/>
  <c r="J42" i="3"/>
  <c r="AY41" i="3"/>
  <c r="AI41" i="3"/>
  <c r="S41" i="3"/>
  <c r="BL40" i="3"/>
  <c r="AV40" i="3"/>
  <c r="AF40" i="3"/>
  <c r="P40" i="3"/>
  <c r="BI39" i="3"/>
  <c r="AS39" i="3"/>
  <c r="AC39" i="3"/>
  <c r="M39" i="3"/>
  <c r="BB38" i="3"/>
  <c r="AL38" i="3"/>
  <c r="V38" i="3"/>
  <c r="BK37" i="3"/>
  <c r="AU37" i="3"/>
  <c r="AE37" i="3"/>
  <c r="O37" i="3"/>
  <c r="BH36" i="3"/>
  <c r="AR36" i="3"/>
  <c r="AB36" i="3"/>
  <c r="L36" i="3"/>
  <c r="BE35" i="3"/>
  <c r="AO35" i="3"/>
  <c r="Y35" i="3"/>
  <c r="I35" i="3"/>
  <c r="AX34" i="3"/>
  <c r="AH34" i="3"/>
  <c r="R34" i="3"/>
  <c r="BG33" i="3"/>
  <c r="AQ33" i="3"/>
  <c r="AA33" i="3"/>
  <c r="K33" i="3"/>
  <c r="BD32" i="3"/>
  <c r="AN32" i="3"/>
  <c r="X32" i="3"/>
  <c r="H32" i="3"/>
  <c r="BA31" i="3"/>
  <c r="AK31" i="3"/>
  <c r="U31" i="3"/>
  <c r="BJ30" i="3"/>
  <c r="AT30" i="3"/>
  <c r="AD30" i="3"/>
  <c r="N30" i="3"/>
  <c r="BC29" i="3"/>
  <c r="AM29" i="3"/>
  <c r="W29" i="3"/>
  <c r="G29" i="3"/>
  <c r="AZ28" i="3"/>
  <c r="AJ28" i="3"/>
  <c r="T28" i="3"/>
  <c r="BM27" i="3"/>
  <c r="AW27" i="3"/>
  <c r="AG27" i="3"/>
  <c r="Q27" i="3"/>
  <c r="BF26" i="3"/>
  <c r="AP26" i="3"/>
  <c r="Z26" i="3"/>
  <c r="J26" i="3"/>
  <c r="AY25" i="3"/>
  <c r="AI25" i="3"/>
  <c r="S25" i="3"/>
  <c r="BL24" i="3"/>
  <c r="AV24" i="3"/>
  <c r="AF24" i="3"/>
  <c r="P24" i="3"/>
  <c r="BI23" i="3"/>
  <c r="AS23" i="3"/>
  <c r="AC23" i="3"/>
  <c r="M23" i="3"/>
  <c r="BB22" i="3"/>
  <c r="AL22" i="3"/>
  <c r="V22" i="3"/>
  <c r="BK21" i="3"/>
  <c r="AU21" i="3"/>
  <c r="AE21" i="3"/>
  <c r="O21" i="3"/>
  <c r="BH20" i="3"/>
  <c r="AR20" i="3"/>
  <c r="AB20" i="3"/>
  <c r="L20" i="3"/>
  <c r="BE19" i="3"/>
  <c r="AO19" i="3"/>
  <c r="Y19" i="3"/>
  <c r="I19" i="3"/>
  <c r="AX18" i="3"/>
  <c r="AH18" i="3"/>
  <c r="R18" i="3"/>
  <c r="BG17" i="3"/>
  <c r="AQ17" i="3"/>
  <c r="AA17" i="3"/>
  <c r="K17" i="3"/>
  <c r="BD16" i="3"/>
  <c r="AN16" i="3"/>
  <c r="X16" i="3"/>
  <c r="H16" i="3"/>
  <c r="BA15" i="3"/>
  <c r="AK15" i="3"/>
  <c r="U15" i="3"/>
  <c r="BJ14" i="3"/>
  <c r="AT14" i="3"/>
  <c r="AD14" i="3"/>
  <c r="N14" i="3"/>
  <c r="BC13" i="3"/>
  <c r="AM13" i="3"/>
  <c r="W13" i="3"/>
  <c r="G13" i="3"/>
  <c r="AZ12" i="3"/>
  <c r="AJ12" i="3"/>
  <c r="T12" i="3"/>
  <c r="BM11" i="3"/>
  <c r="AW11" i="3"/>
  <c r="AG11" i="3"/>
  <c r="Q11" i="3"/>
  <c r="BF10" i="3"/>
  <c r="AP10" i="3"/>
  <c r="Z10" i="3"/>
  <c r="J10" i="3"/>
  <c r="AY9" i="3"/>
  <c r="AI9" i="3"/>
  <c r="S9" i="3"/>
  <c r="BL8" i="3"/>
  <c r="AV8" i="3"/>
  <c r="AF8" i="3"/>
  <c r="P8" i="3"/>
  <c r="BI7" i="3"/>
  <c r="AS7" i="3"/>
  <c r="AC7" i="3"/>
  <c r="M7" i="3"/>
  <c r="BB6" i="3"/>
  <c r="AL6" i="3"/>
  <c r="V6" i="3"/>
  <c r="BK5" i="3"/>
  <c r="AU5" i="3"/>
  <c r="AE5" i="3"/>
  <c r="O5" i="3"/>
  <c r="BD53" i="3"/>
  <c r="AI53" i="3"/>
  <c r="P53" i="3"/>
  <c r="BI52" i="3"/>
  <c r="AS52" i="3"/>
  <c r="AC52" i="3"/>
  <c r="M52" i="3"/>
  <c r="BB51" i="3"/>
  <c r="AL51" i="3"/>
  <c r="V51" i="3"/>
  <c r="BK50" i="3"/>
  <c r="AU50" i="3"/>
  <c r="AE50" i="3"/>
  <c r="O50" i="3"/>
  <c r="BH49" i="3"/>
  <c r="AR49" i="3"/>
  <c r="AB49" i="3"/>
  <c r="L49" i="3"/>
  <c r="BE48" i="3"/>
  <c r="AO48" i="3"/>
  <c r="Y48" i="3"/>
  <c r="I48" i="3"/>
  <c r="AX47" i="3"/>
  <c r="AH47" i="3"/>
  <c r="R47" i="3"/>
  <c r="BG46" i="3"/>
  <c r="AQ46" i="3"/>
  <c r="AA46" i="3"/>
  <c r="K46" i="3"/>
  <c r="BC44" i="3"/>
  <c r="AM44" i="3"/>
  <c r="W44" i="3"/>
  <c r="G44" i="3"/>
  <c r="AZ43" i="3"/>
  <c r="AJ43" i="3"/>
  <c r="T43" i="3"/>
  <c r="BM42" i="3"/>
  <c r="AW42" i="3"/>
  <c r="AG42" i="3"/>
  <c r="Q42" i="3"/>
  <c r="BF41" i="3"/>
  <c r="AP41" i="3"/>
  <c r="Z41" i="3"/>
  <c r="J41" i="3"/>
  <c r="AY40" i="3"/>
  <c r="AI40" i="3"/>
  <c r="S40" i="3"/>
  <c r="BL39" i="3"/>
  <c r="AV39" i="3"/>
  <c r="AF39" i="3"/>
  <c r="P39" i="3"/>
  <c r="BI38" i="3"/>
  <c r="AS38" i="3"/>
  <c r="AC38" i="3"/>
  <c r="M38" i="3"/>
  <c r="BB37" i="3"/>
  <c r="AL37" i="3"/>
  <c r="V37" i="3"/>
  <c r="BK36" i="3"/>
  <c r="AU36" i="3"/>
  <c r="AE36" i="3"/>
  <c r="O36" i="3"/>
  <c r="BH35" i="3"/>
  <c r="AR35" i="3"/>
  <c r="AB35" i="3"/>
  <c r="L35" i="3"/>
  <c r="BE34" i="3"/>
  <c r="AO34" i="3"/>
  <c r="Y34" i="3"/>
  <c r="I34" i="3"/>
  <c r="AX33" i="3"/>
  <c r="AH33" i="3"/>
  <c r="R33" i="3"/>
  <c r="BG32" i="3"/>
  <c r="AQ32" i="3"/>
  <c r="AA32" i="3"/>
  <c r="K32" i="3"/>
  <c r="BD31" i="3"/>
  <c r="AN31" i="3"/>
  <c r="X31" i="3"/>
  <c r="H31" i="3"/>
  <c r="BA30" i="3"/>
  <c r="AK30" i="3"/>
  <c r="U30" i="3"/>
  <c r="BJ29" i="3"/>
  <c r="AT29" i="3"/>
  <c r="AD29" i="3"/>
  <c r="N29" i="3"/>
  <c r="BC28" i="3"/>
  <c r="AM28" i="3"/>
  <c r="W28" i="3"/>
  <c r="G28" i="3"/>
  <c r="AZ27" i="3"/>
  <c r="AJ27" i="3"/>
  <c r="T27" i="3"/>
  <c r="BM26" i="3"/>
  <c r="AW26" i="3"/>
  <c r="AG26" i="3"/>
  <c r="Q26" i="3"/>
  <c r="BF25" i="3"/>
  <c r="AP25" i="3"/>
  <c r="Z25" i="3"/>
  <c r="J25" i="3"/>
  <c r="AY24" i="3"/>
  <c r="AI24" i="3"/>
  <c r="S24" i="3"/>
  <c r="BL23" i="3"/>
  <c r="AV23" i="3"/>
  <c r="AF23" i="3"/>
  <c r="P23" i="3"/>
  <c r="BI22" i="3"/>
  <c r="AS22" i="3"/>
  <c r="AC22" i="3"/>
  <c r="M22" i="3"/>
  <c r="BB21" i="3"/>
  <c r="AL21" i="3"/>
  <c r="V21" i="3"/>
  <c r="BK20" i="3"/>
  <c r="AU20" i="3"/>
  <c r="AE20" i="3"/>
  <c r="O20" i="3"/>
  <c r="BH19" i="3"/>
  <c r="AR19" i="3"/>
  <c r="AB19" i="3"/>
  <c r="L19" i="3"/>
  <c r="BE18" i="3"/>
  <c r="AO18" i="3"/>
  <c r="Y18" i="3"/>
  <c r="I18" i="3"/>
  <c r="AX17" i="3"/>
  <c r="AH17" i="3"/>
  <c r="R17" i="3"/>
  <c r="BG16" i="3"/>
  <c r="AQ16" i="3"/>
  <c r="AA16" i="3"/>
  <c r="K16" i="3"/>
  <c r="BD15" i="3"/>
  <c r="AN15" i="3"/>
  <c r="X15" i="3"/>
  <c r="H15" i="3"/>
  <c r="BA14" i="3"/>
  <c r="AK14" i="3"/>
  <c r="U14" i="3"/>
  <c r="BJ13" i="3"/>
  <c r="AT13" i="3"/>
  <c r="AD13" i="3"/>
  <c r="N13" i="3"/>
  <c r="BC12" i="3"/>
  <c r="AM12" i="3"/>
  <c r="W12" i="3"/>
  <c r="G12" i="3"/>
  <c r="AZ11" i="3"/>
  <c r="AJ11" i="3"/>
  <c r="T11" i="3"/>
  <c r="BM10" i="3"/>
  <c r="AW10" i="3"/>
  <c r="AG10" i="3"/>
  <c r="Q10" i="3"/>
  <c r="BF9" i="3"/>
  <c r="AP9" i="3"/>
  <c r="Z9" i="3"/>
  <c r="J9" i="3"/>
  <c r="AY8" i="3"/>
  <c r="AI8" i="3"/>
  <c r="S8" i="3"/>
  <c r="BL7" i="3"/>
  <c r="AV7" i="3"/>
  <c r="AF7" i="3"/>
  <c r="P7" i="3"/>
  <c r="BI6" i="3"/>
  <c r="AS6" i="3"/>
  <c r="AC6" i="3"/>
  <c r="M6" i="3"/>
  <c r="BB5" i="3"/>
  <c r="AL5" i="3"/>
  <c r="V5" i="3"/>
  <c r="BH53" i="3"/>
  <c r="AM53" i="3"/>
  <c r="S53" i="3"/>
  <c r="BL52" i="3"/>
  <c r="AV52" i="3"/>
  <c r="AF52" i="3"/>
  <c r="P52" i="3"/>
  <c r="BI51" i="3"/>
  <c r="AS51" i="3"/>
  <c r="AC51" i="3"/>
  <c r="M51" i="3"/>
  <c r="BB50" i="3"/>
  <c r="AL50" i="3"/>
  <c r="V50" i="3"/>
  <c r="BK49" i="3"/>
  <c r="AU49" i="3"/>
  <c r="AE49" i="3"/>
  <c r="O49" i="3"/>
  <c r="BH48" i="3"/>
  <c r="AR48" i="3"/>
  <c r="AB48" i="3"/>
  <c r="L48" i="3"/>
  <c r="BE47" i="3"/>
  <c r="AO47" i="3"/>
  <c r="Y47" i="3"/>
  <c r="I47" i="3"/>
  <c r="AX46" i="3"/>
  <c r="AH46" i="3"/>
  <c r="R46" i="3"/>
  <c r="BF44" i="3"/>
  <c r="AP44" i="3"/>
  <c r="Z44" i="3"/>
  <c r="J44" i="3"/>
  <c r="AY43" i="3"/>
  <c r="AI43" i="3"/>
  <c r="S43" i="3"/>
  <c r="BL42" i="3"/>
  <c r="AV42" i="3"/>
  <c r="AF42" i="3"/>
  <c r="P42" i="3"/>
  <c r="BI41" i="3"/>
  <c r="AS41" i="3"/>
  <c r="AC41" i="3"/>
  <c r="M41" i="3"/>
  <c r="BB40" i="3"/>
  <c r="AL40" i="3"/>
  <c r="V40" i="3"/>
  <c r="BK39" i="3"/>
  <c r="AU39" i="3"/>
  <c r="AE39" i="3"/>
  <c r="O39" i="3"/>
  <c r="BH38" i="3"/>
  <c r="AR38" i="3"/>
  <c r="AB38" i="3"/>
  <c r="L38" i="3"/>
  <c r="BE37" i="3"/>
  <c r="AO37" i="3"/>
  <c r="Y37" i="3"/>
  <c r="I37" i="3"/>
  <c r="AX36" i="3"/>
  <c r="AH36" i="3"/>
  <c r="R36" i="3"/>
  <c r="BG35" i="3"/>
  <c r="AQ35" i="3"/>
  <c r="AA35" i="3"/>
  <c r="K35" i="3"/>
  <c r="BD34" i="3"/>
  <c r="AN34" i="3"/>
  <c r="X34" i="3"/>
  <c r="H34" i="3"/>
  <c r="BA33" i="3"/>
  <c r="AK33" i="3"/>
  <c r="U33" i="3"/>
  <c r="BJ32" i="3"/>
  <c r="AT32" i="3"/>
  <c r="AD32" i="3"/>
  <c r="N32" i="3"/>
  <c r="BC31" i="3"/>
  <c r="AM31" i="3"/>
  <c r="W31" i="3"/>
  <c r="G31" i="3"/>
  <c r="AZ30" i="3"/>
  <c r="AJ30" i="3"/>
  <c r="T30" i="3"/>
  <c r="BM29" i="3"/>
  <c r="AW29" i="3"/>
  <c r="AG29" i="3"/>
  <c r="Q29" i="3"/>
  <c r="BF28" i="3"/>
  <c r="AP28" i="3"/>
  <c r="Z28" i="3"/>
  <c r="J28" i="3"/>
  <c r="AY27" i="3"/>
  <c r="AI27" i="3"/>
  <c r="S27" i="3"/>
  <c r="BL26" i="3"/>
  <c r="AV26" i="3"/>
  <c r="AF26" i="3"/>
  <c r="P26" i="3"/>
  <c r="BI25" i="3"/>
  <c r="AS25" i="3"/>
  <c r="AC25" i="3"/>
  <c r="M25" i="3"/>
  <c r="BB24" i="3"/>
  <c r="AL24" i="3"/>
  <c r="V24" i="3"/>
  <c r="BK23" i="3"/>
  <c r="AU23" i="3"/>
  <c r="AE23" i="3"/>
  <c r="O23" i="3"/>
  <c r="BH22" i="3"/>
  <c r="AR22" i="3"/>
  <c r="AB22" i="3"/>
  <c r="L22" i="3"/>
  <c r="BE21" i="3"/>
  <c r="AO21" i="3"/>
  <c r="Y21" i="3"/>
  <c r="I21" i="3"/>
  <c r="AX20" i="3"/>
  <c r="AH20" i="3"/>
  <c r="R20" i="3"/>
  <c r="BG19" i="3"/>
  <c r="AQ19" i="3"/>
  <c r="AA19" i="3"/>
  <c r="K19" i="3"/>
  <c r="BD18" i="3"/>
  <c r="AN18" i="3"/>
  <c r="X18" i="3"/>
  <c r="H18" i="3"/>
  <c r="BA17" i="3"/>
  <c r="AK17" i="3"/>
  <c r="U17" i="3"/>
  <c r="BJ16" i="3"/>
  <c r="AT16" i="3"/>
  <c r="AD16" i="3"/>
  <c r="N16" i="3"/>
  <c r="BC15" i="3"/>
  <c r="AM15" i="3"/>
  <c r="W15" i="3"/>
  <c r="G15" i="3"/>
  <c r="AZ14" i="3"/>
  <c r="AJ14" i="3"/>
  <c r="T14" i="3"/>
  <c r="BM13" i="3"/>
  <c r="AW13" i="3"/>
  <c r="AG13" i="3"/>
  <c r="Q13" i="3"/>
  <c r="BF12" i="3"/>
  <c r="AP12" i="3"/>
  <c r="Z12" i="3"/>
  <c r="J12" i="3"/>
  <c r="AY11" i="3"/>
  <c r="AI11" i="3"/>
  <c r="S11" i="3"/>
  <c r="BL10" i="3"/>
  <c r="AV10" i="3"/>
  <c r="AF10" i="3"/>
  <c r="P10" i="3"/>
  <c r="BI9" i="3"/>
  <c r="AS9" i="3"/>
  <c r="AC9" i="3"/>
  <c r="M9" i="3"/>
  <c r="BB8" i="3"/>
  <c r="AL8" i="3"/>
  <c r="V8" i="3"/>
  <c r="BK7" i="3"/>
  <c r="AU7" i="3"/>
  <c r="AE7" i="3"/>
  <c r="O7" i="3"/>
  <c r="BH6" i="3"/>
  <c r="AR6" i="3"/>
  <c r="AB6" i="3"/>
  <c r="L6" i="3"/>
  <c r="BE5" i="3"/>
  <c r="AO5" i="3"/>
  <c r="Y5" i="3"/>
  <c r="I5" i="3"/>
  <c r="F12" i="3"/>
  <c r="F142" i="3"/>
  <c r="F149" i="3"/>
  <c r="F289" i="3"/>
  <c r="F302" i="3"/>
  <c r="F426" i="3"/>
  <c r="F459" i="3"/>
  <c r="F478" i="3"/>
  <c r="F601" i="3"/>
  <c r="F644" i="3"/>
  <c r="F14" i="3"/>
  <c r="F144" i="3"/>
  <c r="F151" i="3"/>
  <c r="F293" i="3"/>
  <c r="F304" i="3"/>
  <c r="F428" i="3"/>
  <c r="F439" i="3"/>
  <c r="F480" i="3"/>
  <c r="F609" i="3"/>
  <c r="F649" i="3"/>
  <c r="F16" i="3"/>
  <c r="F146" i="3"/>
  <c r="F153" i="3"/>
  <c r="F295" i="3"/>
  <c r="F306" i="3"/>
  <c r="F430" i="3"/>
  <c r="F440" i="3"/>
  <c r="F482" i="3"/>
  <c r="F603" i="3"/>
  <c r="F651" i="3"/>
  <c r="F34" i="3"/>
  <c r="F164" i="3"/>
  <c r="F172" i="3"/>
  <c r="F313" i="3"/>
  <c r="F337" i="3"/>
  <c r="F444" i="3"/>
  <c r="F469" i="3"/>
  <c r="F502" i="3"/>
  <c r="F571" i="3"/>
  <c r="F652" i="3"/>
  <c r="F20" i="3"/>
  <c r="F150" i="3"/>
  <c r="F157" i="3"/>
  <c r="F299" i="3"/>
  <c r="F310" i="3"/>
  <c r="F434" i="3"/>
  <c r="F457" i="3"/>
  <c r="F486" i="3"/>
  <c r="F619" i="3"/>
  <c r="F655" i="3"/>
  <c r="F22" i="3"/>
  <c r="F152" i="3"/>
  <c r="F159" i="3"/>
  <c r="F301" i="3"/>
  <c r="F312" i="3"/>
  <c r="F441" i="3"/>
  <c r="F536" i="3"/>
  <c r="F488" i="3"/>
  <c r="F624" i="3"/>
  <c r="F657" i="3"/>
  <c r="F24" i="3"/>
  <c r="F154" i="3"/>
  <c r="F161" i="3"/>
  <c r="F303" i="3"/>
  <c r="F314" i="3"/>
  <c r="F442" i="3"/>
  <c r="F545" i="3"/>
  <c r="F490" i="3"/>
  <c r="F561" i="3"/>
  <c r="F659" i="3"/>
  <c r="F42" i="3"/>
  <c r="F173" i="3"/>
  <c r="F180" i="3"/>
  <c r="F330" i="3"/>
  <c r="F325" i="3"/>
  <c r="F343" i="3"/>
  <c r="F477" i="3"/>
  <c r="F510" i="3"/>
  <c r="F579" i="3"/>
  <c r="F660" i="3"/>
  <c r="F28" i="3"/>
  <c r="F158" i="3"/>
  <c r="F165" i="3"/>
  <c r="F307" i="3"/>
  <c r="F318" i="3"/>
  <c r="F435" i="3"/>
  <c r="F463" i="3"/>
  <c r="F494" i="3"/>
  <c r="F565" i="3"/>
  <c r="F646" i="3"/>
  <c r="F30" i="3"/>
  <c r="F160" i="3"/>
  <c r="F167" i="3"/>
  <c r="F309" i="3"/>
  <c r="F326" i="3"/>
  <c r="F436" i="3"/>
  <c r="F465" i="3"/>
  <c r="F496" i="3"/>
  <c r="F567" i="3"/>
  <c r="F648" i="3"/>
  <c r="F32" i="3"/>
  <c r="F162" i="3"/>
  <c r="F170" i="3"/>
  <c r="F311" i="3"/>
  <c r="F332" i="3"/>
  <c r="F443" i="3"/>
  <c r="F467" i="3"/>
  <c r="F500" i="3"/>
  <c r="F569" i="3"/>
  <c r="F650" i="3"/>
  <c r="F18" i="3"/>
  <c r="F148" i="3"/>
  <c r="F155" i="3"/>
  <c r="F297" i="3"/>
  <c r="F308" i="3"/>
  <c r="F432" i="3"/>
  <c r="F448" i="3"/>
  <c r="F484" i="3"/>
  <c r="F611" i="3"/>
  <c r="F653" i="3"/>
  <c r="F36" i="3"/>
  <c r="F166" i="3"/>
  <c r="F174" i="3"/>
  <c r="F315" i="3"/>
  <c r="F319" i="3"/>
  <c r="F446" i="3"/>
  <c r="F471" i="3"/>
  <c r="F504" i="3"/>
  <c r="F573" i="3"/>
  <c r="F654" i="3"/>
  <c r="F38" i="3"/>
  <c r="F169" i="3"/>
  <c r="F176" i="3"/>
  <c r="F317" i="3"/>
  <c r="F321" i="3"/>
  <c r="F452" i="3"/>
  <c r="F473" i="3"/>
  <c r="F506" i="3"/>
  <c r="F575" i="3"/>
  <c r="F656" i="3"/>
  <c r="F40" i="3"/>
  <c r="F171" i="3"/>
  <c r="F178" i="3"/>
  <c r="F322" i="3"/>
  <c r="F323" i="3"/>
  <c r="F341" i="3"/>
  <c r="F475" i="3"/>
  <c r="F508" i="3"/>
  <c r="F577" i="3"/>
  <c r="F658" i="3"/>
  <c r="F26" i="3"/>
  <c r="F156" i="3"/>
  <c r="F163" i="3"/>
  <c r="F305" i="3"/>
  <c r="F316" i="3"/>
  <c r="F454" i="3"/>
  <c r="F461" i="3"/>
  <c r="F492" i="3"/>
  <c r="F563" i="3"/>
  <c r="F563" i="2" l="1"/>
  <c r="F492" i="2"/>
  <c r="F461" i="2"/>
  <c r="F454" i="2"/>
  <c r="F316" i="2"/>
  <c r="F305" i="2"/>
  <c r="F163" i="2"/>
  <c r="F156" i="2"/>
  <c r="F26" i="2"/>
  <c r="F658" i="2"/>
  <c r="F577" i="2"/>
  <c r="F508" i="2"/>
  <c r="F475" i="2"/>
  <c r="F341" i="2"/>
  <c r="F323" i="2"/>
  <c r="F322" i="2"/>
  <c r="F178" i="2"/>
  <c r="F171" i="2"/>
  <c r="F40" i="2"/>
  <c r="F656" i="2"/>
  <c r="F575" i="2"/>
  <c r="F506" i="2"/>
  <c r="F473" i="2"/>
  <c r="F452" i="2"/>
  <c r="F321" i="2"/>
  <c r="F317" i="2"/>
  <c r="F176" i="2"/>
  <c r="F168" i="3"/>
  <c r="F168" i="2" s="1"/>
  <c r="F169" i="2"/>
  <c r="F38" i="2"/>
  <c r="F654" i="2"/>
  <c r="F573" i="2"/>
  <c r="F504" i="2"/>
  <c r="F471" i="2"/>
  <c r="F446" i="2"/>
  <c r="F319" i="2"/>
  <c r="F315" i="2"/>
  <c r="F174" i="2"/>
  <c r="F166" i="2"/>
  <c r="F36" i="2"/>
  <c r="F653" i="2"/>
  <c r="F611" i="2"/>
  <c r="F484" i="2"/>
  <c r="F448" i="2"/>
  <c r="F432" i="2"/>
  <c r="F308" i="2"/>
  <c r="F297" i="2"/>
  <c r="F155" i="2"/>
  <c r="F148" i="2"/>
  <c r="F18" i="2"/>
  <c r="F650" i="2"/>
  <c r="F569" i="2"/>
  <c r="F500" i="2"/>
  <c r="F467" i="2"/>
  <c r="F443" i="2"/>
  <c r="F332" i="2"/>
  <c r="F311" i="2"/>
  <c r="F170" i="2"/>
  <c r="F162" i="2"/>
  <c r="F32" i="2"/>
  <c r="F648" i="2"/>
  <c r="F567" i="2"/>
  <c r="F496" i="2"/>
  <c r="F465" i="2"/>
  <c r="F436" i="2"/>
  <c r="F326" i="2"/>
  <c r="F309" i="2"/>
  <c r="F167" i="2"/>
  <c r="F160" i="2"/>
  <c r="F30" i="2"/>
  <c r="F646" i="2"/>
  <c r="F565" i="2"/>
  <c r="F494" i="2"/>
  <c r="F463" i="2"/>
  <c r="F435" i="2"/>
  <c r="F318" i="2"/>
  <c r="F307" i="2"/>
  <c r="F165" i="2"/>
  <c r="F158" i="2"/>
  <c r="F28" i="2"/>
  <c r="F660" i="2"/>
  <c r="F579" i="2"/>
  <c r="F510" i="2"/>
  <c r="F477" i="2"/>
  <c r="F343" i="2"/>
  <c r="F325" i="2"/>
  <c r="F330" i="2"/>
  <c r="F180" i="2"/>
  <c r="F173" i="2"/>
  <c r="F42" i="2"/>
  <c r="F659" i="2"/>
  <c r="F561" i="2"/>
  <c r="F490" i="2"/>
  <c r="F545" i="2"/>
  <c r="F442" i="2"/>
  <c r="F314" i="2"/>
  <c r="F303" i="2"/>
  <c r="F161" i="2"/>
  <c r="F154" i="2"/>
  <c r="F24" i="2"/>
  <c r="F657" i="2"/>
  <c r="F624" i="2"/>
  <c r="F488" i="2"/>
  <c r="F536" i="2"/>
  <c r="F441" i="2"/>
  <c r="F312" i="2"/>
  <c r="F301" i="2"/>
  <c r="F159" i="2"/>
  <c r="F152" i="2"/>
  <c r="F22" i="2"/>
  <c r="F655" i="2"/>
  <c r="F619" i="2"/>
  <c r="F486" i="2"/>
  <c r="F456" i="3"/>
  <c r="F456" i="2" s="1"/>
  <c r="F457" i="2"/>
  <c r="F434" i="2"/>
  <c r="F310" i="2"/>
  <c r="F299" i="2"/>
  <c r="F157" i="2"/>
  <c r="F150" i="2"/>
  <c r="F20" i="2"/>
  <c r="F652" i="2"/>
  <c r="F571" i="2"/>
  <c r="F502" i="2"/>
  <c r="F469" i="2"/>
  <c r="F444" i="2"/>
  <c r="F337" i="2"/>
  <c r="F313" i="2"/>
  <c r="F172" i="2"/>
  <c r="F164" i="2"/>
  <c r="F34" i="2"/>
  <c r="F651" i="2"/>
  <c r="F603" i="2"/>
  <c r="F482" i="2"/>
  <c r="F440" i="2"/>
  <c r="F430" i="2"/>
  <c r="F306" i="2"/>
  <c r="F295" i="2"/>
  <c r="F153" i="2"/>
  <c r="F146" i="2"/>
  <c r="F16" i="2"/>
  <c r="F649" i="2"/>
  <c r="F609" i="2"/>
  <c r="F480" i="2"/>
  <c r="F439" i="2"/>
  <c r="F428" i="2"/>
  <c r="F304" i="2"/>
  <c r="F292" i="3"/>
  <c r="F292" i="2" s="1"/>
  <c r="F293" i="2"/>
  <c r="F151" i="2"/>
  <c r="F144" i="2"/>
  <c r="F14" i="2"/>
  <c r="F644" i="2"/>
  <c r="F601" i="2"/>
  <c r="F478" i="2"/>
  <c r="F459" i="2"/>
  <c r="F426" i="2"/>
  <c r="F302" i="2"/>
  <c r="F289" i="2"/>
  <c r="F149" i="2"/>
  <c r="F142" i="2"/>
  <c r="F12" i="2"/>
  <c r="I4" i="3"/>
  <c r="I4" i="2" s="1"/>
  <c r="I5" i="2"/>
  <c r="Y4" i="3"/>
  <c r="Y4" i="2" s="1"/>
  <c r="Y5" i="2"/>
  <c r="AO4" i="3"/>
  <c r="AO4" i="2" s="1"/>
  <c r="AO5" i="2"/>
  <c r="BE4" i="3"/>
  <c r="BE4" i="2" s="1"/>
  <c r="BE5" i="2"/>
  <c r="L6" i="2"/>
  <c r="AB6" i="2"/>
  <c r="AR6" i="2"/>
  <c r="BH6" i="2"/>
  <c r="O7" i="2"/>
  <c r="AE7" i="2"/>
  <c r="AU7" i="2"/>
  <c r="BK7" i="2"/>
  <c r="V8" i="2"/>
  <c r="AL8" i="2"/>
  <c r="BB8" i="2"/>
  <c r="M9" i="2"/>
  <c r="AC9" i="2"/>
  <c r="AS9" i="2"/>
  <c r="BI9" i="2"/>
  <c r="P10" i="2"/>
  <c r="AF10" i="2"/>
  <c r="AV10" i="2"/>
  <c r="BL10" i="2"/>
  <c r="S11" i="2"/>
  <c r="AI11" i="2"/>
  <c r="AY11" i="2"/>
  <c r="J12" i="2"/>
  <c r="Z12" i="2"/>
  <c r="AP12" i="2"/>
  <c r="BF12" i="2"/>
  <c r="Q13" i="2"/>
  <c r="AG13" i="2"/>
  <c r="AW13" i="2"/>
  <c r="BM13" i="2"/>
  <c r="T14" i="2"/>
  <c r="AJ14" i="2"/>
  <c r="AZ14" i="2"/>
  <c r="G15" i="2"/>
  <c r="W15" i="2"/>
  <c r="AM15" i="2"/>
  <c r="BC15" i="2"/>
  <c r="N16" i="2"/>
  <c r="AD16" i="2"/>
  <c r="AT16" i="2"/>
  <c r="BJ16" i="2"/>
  <c r="U17" i="2"/>
  <c r="AK17" i="2"/>
  <c r="BA17" i="2"/>
  <c r="H18" i="2"/>
  <c r="X18" i="2"/>
  <c r="AN18" i="2"/>
  <c r="BD18" i="2"/>
  <c r="K19" i="2"/>
  <c r="AA19" i="2"/>
  <c r="AQ19" i="2"/>
  <c r="BG19" i="2"/>
  <c r="R20" i="2"/>
  <c r="AH20" i="2"/>
  <c r="AX20" i="2"/>
  <c r="I21" i="2"/>
  <c r="Y21" i="2"/>
  <c r="AO21" i="2"/>
  <c r="BE21" i="2"/>
  <c r="L22" i="2"/>
  <c r="AB22" i="2"/>
  <c r="AR22" i="2"/>
  <c r="BH22" i="2"/>
  <c r="O23" i="2"/>
  <c r="AE23" i="2"/>
  <c r="AU23" i="2"/>
  <c r="BK23" i="2"/>
  <c r="V24" i="2"/>
  <c r="AL24" i="2"/>
  <c r="BB24" i="2"/>
  <c r="M25" i="2"/>
  <c r="AC25" i="2"/>
  <c r="AS25" i="2"/>
  <c r="BI25" i="2"/>
  <c r="P26" i="2"/>
  <c r="AF26" i="2"/>
  <c r="AV26" i="2"/>
  <c r="BL26" i="2"/>
  <c r="S27" i="2"/>
  <c r="AI27" i="2"/>
  <c r="AY27" i="2"/>
  <c r="J28" i="2"/>
  <c r="Z28" i="2"/>
  <c r="AP28" i="2"/>
  <c r="BF28" i="2"/>
  <c r="Q29" i="2"/>
  <c r="AG29" i="2"/>
  <c r="AW29" i="2"/>
  <c r="BM29" i="2"/>
  <c r="T30" i="2"/>
  <c r="AJ30" i="2"/>
  <c r="AZ30" i="2"/>
  <c r="G31" i="2"/>
  <c r="W31" i="2"/>
  <c r="AM31" i="2"/>
  <c r="BC31" i="2"/>
  <c r="N32" i="2"/>
  <c r="AD32" i="2"/>
  <c r="AT32" i="2"/>
  <c r="BJ32" i="2"/>
  <c r="U33" i="2"/>
  <c r="AK33" i="2"/>
  <c r="BA33" i="2"/>
  <c r="H34" i="2"/>
  <c r="X34" i="2"/>
  <c r="AN34" i="2"/>
  <c r="BD34" i="2"/>
  <c r="K35" i="2"/>
  <c r="AA35" i="2"/>
  <c r="AQ35" i="2"/>
  <c r="BG35" i="2"/>
  <c r="R36" i="2"/>
  <c r="AH36" i="2"/>
  <c r="AX36" i="2"/>
  <c r="I37" i="2"/>
  <c r="Y37" i="2"/>
  <c r="AO37" i="2"/>
  <c r="BE37" i="2"/>
  <c r="L38" i="2"/>
  <c r="AB38" i="2"/>
  <c r="AR38" i="2"/>
  <c r="BH38" i="2"/>
  <c r="O39" i="2"/>
  <c r="AE39" i="2"/>
  <c r="AU39" i="2"/>
  <c r="BK39" i="2"/>
  <c r="V40" i="2"/>
  <c r="AL40" i="2"/>
  <c r="BB40" i="2"/>
  <c r="M41" i="2"/>
  <c r="AC41" i="2"/>
  <c r="AS41" i="2"/>
  <c r="BI41" i="2"/>
  <c r="P42" i="2"/>
  <c r="AF42" i="2"/>
  <c r="AV42" i="2"/>
  <c r="BL42" i="2"/>
  <c r="S43" i="2"/>
  <c r="AI43" i="2"/>
  <c r="AY43" i="2"/>
  <c r="J44" i="2"/>
  <c r="Z44" i="2"/>
  <c r="AP44" i="2"/>
  <c r="BF44" i="2"/>
  <c r="R45" i="3"/>
  <c r="R45" i="2" s="1"/>
  <c r="R46" i="2"/>
  <c r="AH45" i="3"/>
  <c r="AH45" i="2" s="1"/>
  <c r="AH46" i="2"/>
  <c r="AX45" i="3"/>
  <c r="AX45" i="2" s="1"/>
  <c r="AX46" i="2"/>
  <c r="I47" i="2"/>
  <c r="Y47" i="2"/>
  <c r="AO47" i="2"/>
  <c r="BE47" i="2"/>
  <c r="L48" i="2"/>
  <c r="AB48" i="2"/>
  <c r="AR48" i="2"/>
  <c r="BH48" i="2"/>
  <c r="O49" i="2"/>
  <c r="AE49" i="2"/>
  <c r="AU49" i="2"/>
  <c r="BK49" i="2"/>
  <c r="V50" i="2"/>
  <c r="AL50" i="2"/>
  <c r="BB50" i="2"/>
  <c r="M51" i="2"/>
  <c r="AC51" i="2"/>
  <c r="AS51" i="2"/>
  <c r="BI51" i="2"/>
  <c r="P52" i="2"/>
  <c r="AF52" i="2"/>
  <c r="AV52" i="2"/>
  <c r="BL52" i="2"/>
  <c r="S53" i="2"/>
  <c r="AM53" i="2"/>
  <c r="BH53" i="2"/>
  <c r="V4" i="3"/>
  <c r="V4" i="2" s="1"/>
  <c r="V5" i="2"/>
  <c r="AL4" i="3"/>
  <c r="AL4" i="2" s="1"/>
  <c r="AL5" i="2"/>
  <c r="BB4" i="3"/>
  <c r="BB4" i="2" s="1"/>
  <c r="BB5" i="2"/>
  <c r="M6" i="2"/>
  <c r="AC6" i="2"/>
  <c r="AS6" i="2"/>
  <c r="BI6" i="2"/>
  <c r="P7" i="2"/>
  <c r="AF7" i="2"/>
  <c r="AV7" i="2"/>
  <c r="BL7" i="2"/>
  <c r="S8" i="2"/>
  <c r="AI8" i="2"/>
  <c r="AY8" i="2"/>
  <c r="J9" i="2"/>
  <c r="Z9" i="2"/>
  <c r="AP9" i="2"/>
  <c r="BF9" i="2"/>
  <c r="Q10" i="2"/>
  <c r="AG10" i="2"/>
  <c r="AW10" i="2"/>
  <c r="BM10" i="2"/>
  <c r="T11" i="2"/>
  <c r="AJ11" i="2"/>
  <c r="AZ11" i="2"/>
  <c r="G12" i="2"/>
  <c r="W12" i="2"/>
  <c r="AM12" i="2"/>
  <c r="BC12" i="2"/>
  <c r="N13" i="2"/>
  <c r="AD13" i="2"/>
  <c r="AT13" i="2"/>
  <c r="BJ13" i="2"/>
  <c r="U14" i="2"/>
  <c r="AK14" i="2"/>
  <c r="BA14" i="2"/>
  <c r="H15" i="2"/>
  <c r="X15" i="2"/>
  <c r="AN15" i="2"/>
  <c r="BD15" i="2"/>
  <c r="K16" i="2"/>
  <c r="AA16" i="2"/>
  <c r="AQ16" i="2"/>
  <c r="BG16" i="2"/>
  <c r="R17" i="2"/>
  <c r="AH17" i="2"/>
  <c r="AX17" i="2"/>
  <c r="I18" i="2"/>
  <c r="Y18" i="2"/>
  <c r="AO18" i="2"/>
  <c r="BE18" i="2"/>
  <c r="L19" i="2"/>
  <c r="AB19" i="2"/>
  <c r="AR19" i="2"/>
  <c r="BH19" i="2"/>
  <c r="O20" i="2"/>
  <c r="AE20" i="2"/>
  <c r="AU20" i="2"/>
  <c r="BK20" i="2"/>
  <c r="V21" i="2"/>
  <c r="AL21" i="2"/>
  <c r="BB21" i="2"/>
  <c r="M22" i="2"/>
  <c r="AC22" i="2"/>
  <c r="AS22" i="2"/>
  <c r="BI22" i="2"/>
  <c r="P23" i="2"/>
  <c r="AF23" i="2"/>
  <c r="AV23" i="2"/>
  <c r="BL23" i="2"/>
  <c r="S24" i="2"/>
  <c r="AI24" i="2"/>
  <c r="AY24" i="2"/>
  <c r="J25" i="2"/>
  <c r="Z25" i="2"/>
  <c r="AP25" i="2"/>
  <c r="BF25" i="2"/>
  <c r="Q26" i="2"/>
  <c r="AG26" i="2"/>
  <c r="AW26" i="2"/>
  <c r="BM26" i="2"/>
  <c r="T27" i="2"/>
  <c r="AJ27" i="2"/>
  <c r="AZ27" i="2"/>
  <c r="G28" i="2"/>
  <c r="W28" i="2"/>
  <c r="AM28" i="2"/>
  <c r="BC28" i="2"/>
  <c r="N29" i="2"/>
  <c r="AD29" i="2"/>
  <c r="AT29" i="2"/>
  <c r="BJ29" i="2"/>
  <c r="U30" i="2"/>
  <c r="AK30" i="2"/>
  <c r="BA30" i="2"/>
  <c r="H31" i="2"/>
  <c r="X31" i="2"/>
  <c r="AN31" i="2"/>
  <c r="BD31" i="2"/>
  <c r="K32" i="2"/>
  <c r="AA32" i="2"/>
  <c r="AQ32" i="2"/>
  <c r="BG32" i="2"/>
  <c r="R33" i="2"/>
  <c r="AH33" i="2"/>
  <c r="AX33" i="2"/>
  <c r="I34" i="2"/>
  <c r="Y34" i="2"/>
  <c r="AO34" i="2"/>
  <c r="BE34" i="2"/>
  <c r="L35" i="2"/>
  <c r="AB35" i="2"/>
  <c r="AR35" i="2"/>
  <c r="BH35" i="2"/>
  <c r="O36" i="2"/>
  <c r="AE36" i="2"/>
  <c r="AU36" i="2"/>
  <c r="BK36" i="2"/>
  <c r="V37" i="2"/>
  <c r="AL37" i="2"/>
  <c r="BB37" i="2"/>
  <c r="M38" i="2"/>
  <c r="AC38" i="2"/>
  <c r="AS38" i="2"/>
  <c r="BI38" i="2"/>
  <c r="P39" i="2"/>
  <c r="AF39" i="2"/>
  <c r="AV39" i="2"/>
  <c r="BL39" i="2"/>
  <c r="S40" i="2"/>
  <c r="AI40" i="2"/>
  <c r="AY40" i="2"/>
  <c r="J41" i="2"/>
  <c r="Z41" i="2"/>
  <c r="AP41" i="2"/>
  <c r="BF41" i="2"/>
  <c r="Q42" i="2"/>
  <c r="AG42" i="2"/>
  <c r="AW42" i="2"/>
  <c r="BM42" i="2"/>
  <c r="T43" i="2"/>
  <c r="AJ43" i="2"/>
  <c r="AZ43" i="2"/>
  <c r="G44" i="2"/>
  <c r="W44" i="2"/>
  <c r="AM44" i="2"/>
  <c r="BC44" i="2"/>
  <c r="K45" i="3"/>
  <c r="K45" i="2" s="1"/>
  <c r="K46" i="2"/>
  <c r="AA45" i="3"/>
  <c r="AA45" i="2" s="1"/>
  <c r="AA46" i="2"/>
  <c r="AQ45" i="3"/>
  <c r="AQ45" i="2" s="1"/>
  <c r="AQ46" i="2"/>
  <c r="BG45" i="3"/>
  <c r="BG45" i="2" s="1"/>
  <c r="BG46" i="2"/>
  <c r="R47" i="2"/>
  <c r="AH47" i="2"/>
  <c r="AX47" i="2"/>
  <c r="I48" i="2"/>
  <c r="Y48" i="2"/>
  <c r="AO48" i="2"/>
  <c r="BE48" i="2"/>
  <c r="L49" i="2"/>
  <c r="AB49" i="2"/>
  <c r="AR49" i="2"/>
  <c r="BH49" i="2"/>
  <c r="O50" i="2"/>
  <c r="AE50" i="2"/>
  <c r="AU50" i="2"/>
  <c r="BK50" i="2"/>
  <c r="V51" i="2"/>
  <c r="AL51" i="2"/>
  <c r="BB51" i="2"/>
  <c r="M52" i="2"/>
  <c r="AC52" i="2"/>
  <c r="AS52" i="2"/>
  <c r="BI52" i="2"/>
  <c r="P53" i="2"/>
  <c r="AI53" i="2"/>
  <c r="BD53" i="2"/>
  <c r="O4" i="3"/>
  <c r="O4" i="2" s="1"/>
  <c r="O5" i="2"/>
  <c r="AE4" i="3"/>
  <c r="AE4" i="2" s="1"/>
  <c r="AE5" i="2"/>
  <c r="AU4" i="3"/>
  <c r="AU4" i="2" s="1"/>
  <c r="AU5" i="2"/>
  <c r="BK4" i="3"/>
  <c r="BK4" i="2" s="1"/>
  <c r="BK5" i="2"/>
  <c r="V6" i="2"/>
  <c r="AL6" i="2"/>
  <c r="BB6" i="2"/>
  <c r="M7" i="2"/>
  <c r="AC7" i="2"/>
  <c r="AS7" i="2"/>
  <c r="BI7" i="2"/>
  <c r="P8" i="2"/>
  <c r="AF8" i="2"/>
  <c r="AV8" i="2"/>
  <c r="BL8" i="2"/>
  <c r="S9" i="2"/>
  <c r="AI9" i="2"/>
  <c r="AY9" i="2"/>
  <c r="J10" i="2"/>
  <c r="Z10" i="2"/>
  <c r="AP10" i="2"/>
  <c r="BF10" i="2"/>
  <c r="Q11" i="2"/>
  <c r="AG11" i="2"/>
  <c r="AW11" i="2"/>
  <c r="BM11" i="2"/>
  <c r="T12" i="2"/>
  <c r="AJ12" i="2"/>
  <c r="AZ12" i="2"/>
  <c r="G13" i="2"/>
  <c r="W13" i="2"/>
  <c r="AM13" i="2"/>
  <c r="BC13" i="2"/>
  <c r="N14" i="2"/>
  <c r="AD14" i="2"/>
  <c r="AT14" i="2"/>
  <c r="BJ14" i="2"/>
  <c r="U15" i="2"/>
  <c r="AK15" i="2"/>
  <c r="BA15" i="2"/>
  <c r="H16" i="2"/>
  <c r="X16" i="2"/>
  <c r="AN16" i="2"/>
  <c r="BD16" i="2"/>
  <c r="K17" i="2"/>
  <c r="AA17" i="2"/>
  <c r="AQ17" i="2"/>
  <c r="BG17" i="2"/>
  <c r="R18" i="2"/>
  <c r="AH18" i="2"/>
  <c r="AX18" i="2"/>
  <c r="I19" i="2"/>
  <c r="Y19" i="2"/>
  <c r="AO19" i="2"/>
  <c r="BE19" i="2"/>
  <c r="L20" i="2"/>
  <c r="AB20" i="2"/>
  <c r="AR20" i="2"/>
  <c r="BH20" i="2"/>
  <c r="O21" i="2"/>
  <c r="AE21" i="2"/>
  <c r="AU21" i="2"/>
  <c r="BK21" i="2"/>
  <c r="V22" i="2"/>
  <c r="AL22" i="2"/>
  <c r="BB22" i="2"/>
  <c r="M23" i="2"/>
  <c r="AC23" i="2"/>
  <c r="AS23" i="2"/>
  <c r="BI23" i="2"/>
  <c r="P24" i="2"/>
  <c r="AF24" i="2"/>
  <c r="AV24" i="2"/>
  <c r="BL24" i="2"/>
  <c r="S25" i="2"/>
  <c r="AI25" i="2"/>
  <c r="AY25" i="2"/>
  <c r="J26" i="2"/>
  <c r="Z26" i="2"/>
  <c r="AP26" i="2"/>
  <c r="BF26" i="2"/>
  <c r="Q27" i="2"/>
  <c r="AG27" i="2"/>
  <c r="AW27" i="2"/>
  <c r="BM27" i="2"/>
  <c r="T28" i="2"/>
  <c r="AJ28" i="2"/>
  <c r="AZ28" i="2"/>
  <c r="G29" i="2"/>
  <c r="W29" i="2"/>
  <c r="AM29" i="2"/>
  <c r="BC29" i="2"/>
  <c r="N30" i="2"/>
  <c r="AD30" i="2"/>
  <c r="AT30" i="2"/>
  <c r="BJ30" i="2"/>
  <c r="U31" i="2"/>
  <c r="AK31" i="2"/>
  <c r="BA31" i="2"/>
  <c r="H32" i="2"/>
  <c r="X32" i="2"/>
  <c r="AN32" i="2"/>
  <c r="BD32" i="2"/>
  <c r="K33" i="2"/>
  <c r="AA33" i="2"/>
  <c r="AQ33" i="2"/>
  <c r="BG33" i="2"/>
  <c r="R34" i="2"/>
  <c r="AH34" i="2"/>
  <c r="AX34" i="2"/>
  <c r="I35" i="2"/>
  <c r="Y35" i="2"/>
  <c r="AO35" i="2"/>
  <c r="BE35" i="2"/>
  <c r="L36" i="2"/>
  <c r="AB36" i="2"/>
  <c r="AR36" i="2"/>
  <c r="BH36" i="2"/>
  <c r="O37" i="2"/>
  <c r="AE37" i="2"/>
  <c r="AU37" i="2"/>
  <c r="BK37" i="2"/>
  <c r="V38" i="2"/>
  <c r="AL38" i="2"/>
  <c r="BB38" i="2"/>
  <c r="M39" i="2"/>
  <c r="AC39" i="2"/>
  <c r="AS39" i="2"/>
  <c r="BI39" i="2"/>
  <c r="P40" i="2"/>
  <c r="AF40" i="2"/>
  <c r="AV40" i="2"/>
  <c r="BL40" i="2"/>
  <c r="S41" i="2"/>
  <c r="AI41" i="2"/>
  <c r="AY41" i="2"/>
  <c r="J42" i="2"/>
  <c r="Z42" i="2"/>
  <c r="AP42" i="2"/>
  <c r="BF42" i="2"/>
  <c r="Q43" i="2"/>
  <c r="AG43" i="2"/>
  <c r="AW43" i="2"/>
  <c r="BM43" i="2"/>
  <c r="T44" i="2"/>
  <c r="AJ44" i="2"/>
  <c r="AZ44" i="2"/>
  <c r="H45" i="3"/>
  <c r="H45" i="2" s="1"/>
  <c r="H46" i="2"/>
  <c r="X45" i="3"/>
  <c r="X45" i="2" s="1"/>
  <c r="X46" i="2"/>
  <c r="AN45" i="3"/>
  <c r="AN45" i="2" s="1"/>
  <c r="AN46" i="2"/>
  <c r="BD45" i="3"/>
  <c r="BD45" i="2" s="1"/>
  <c r="BD46" i="2"/>
  <c r="K47" i="2"/>
  <c r="AA47" i="2"/>
  <c r="AQ47" i="2"/>
  <c r="BG47" i="2"/>
  <c r="R48" i="2"/>
  <c r="AH48" i="2"/>
  <c r="AX48" i="2"/>
  <c r="I49" i="2"/>
  <c r="Y49" i="2"/>
  <c r="AO49" i="2"/>
  <c r="BE49" i="2"/>
  <c r="L50" i="2"/>
  <c r="AB50" i="2"/>
  <c r="AR50" i="2"/>
  <c r="BH50" i="2"/>
  <c r="O51" i="2"/>
  <c r="AE51" i="2"/>
  <c r="AU51" i="2"/>
  <c r="BK51" i="2"/>
  <c r="V52" i="2"/>
  <c r="AL52" i="2"/>
  <c r="BB52" i="2"/>
  <c r="M53" i="2"/>
  <c r="AE53" i="2"/>
  <c r="AZ53" i="2"/>
  <c r="H4" i="3"/>
  <c r="H4" i="2" s="1"/>
  <c r="H5" i="2"/>
  <c r="X4" i="3"/>
  <c r="X4" i="2" s="1"/>
  <c r="X5" i="2"/>
  <c r="AN4" i="3"/>
  <c r="AN4" i="2" s="1"/>
  <c r="AN5" i="2"/>
  <c r="BD4" i="3"/>
  <c r="BD4" i="2" s="1"/>
  <c r="BD5" i="2"/>
  <c r="K6" i="2"/>
  <c r="AA6" i="2"/>
  <c r="AQ6" i="2"/>
  <c r="BG6" i="2"/>
  <c r="R7" i="2"/>
  <c r="AH7" i="2"/>
  <c r="AX7" i="2"/>
  <c r="I8" i="2"/>
  <c r="Y8" i="2"/>
  <c r="AO8" i="2"/>
  <c r="BE8" i="2"/>
  <c r="L9" i="2"/>
  <c r="AB9" i="2"/>
  <c r="AR9" i="2"/>
  <c r="BH9" i="2"/>
  <c r="O10" i="2"/>
  <c r="AE10" i="2"/>
  <c r="AU10" i="2"/>
  <c r="BK10" i="2"/>
  <c r="V11" i="2"/>
  <c r="AL11" i="2"/>
  <c r="BB11" i="2"/>
  <c r="M12" i="2"/>
  <c r="AC12" i="2"/>
  <c r="AS12" i="2"/>
  <c r="BI12" i="2"/>
  <c r="P13" i="2"/>
  <c r="AF13" i="2"/>
  <c r="AV13" i="2"/>
  <c r="BL13" i="2"/>
  <c r="S14" i="2"/>
  <c r="AI14" i="2"/>
  <c r="AY14" i="2"/>
  <c r="J15" i="2"/>
  <c r="Z15" i="2"/>
  <c r="AP15" i="2"/>
  <c r="BF15" i="2"/>
  <c r="Q16" i="2"/>
  <c r="AG16" i="2"/>
  <c r="AW16" i="2"/>
  <c r="BM16" i="2"/>
  <c r="T17" i="2"/>
  <c r="AJ17" i="2"/>
  <c r="AZ17" i="2"/>
  <c r="G18" i="2"/>
  <c r="W18" i="2"/>
  <c r="AM18" i="2"/>
  <c r="BC18" i="2"/>
  <c r="N19" i="2"/>
  <c r="AD19" i="2"/>
  <c r="AT19" i="2"/>
  <c r="BJ19" i="2"/>
  <c r="U20" i="2"/>
  <c r="AK20" i="2"/>
  <c r="BA20" i="2"/>
  <c r="H21" i="2"/>
  <c r="X21" i="2"/>
  <c r="AN21" i="2"/>
  <c r="BD21" i="2"/>
  <c r="K22" i="2"/>
  <c r="AA22" i="2"/>
  <c r="AQ22" i="2"/>
  <c r="BG22" i="2"/>
  <c r="R23" i="2"/>
  <c r="AH23" i="2"/>
  <c r="AX23" i="2"/>
  <c r="I24" i="2"/>
  <c r="Y24" i="2"/>
  <c r="AO24" i="2"/>
  <c r="BE24" i="2"/>
  <c r="L25" i="2"/>
  <c r="AB25" i="2"/>
  <c r="AR25" i="2"/>
  <c r="BH25" i="2"/>
  <c r="O26" i="2"/>
  <c r="AE26" i="2"/>
  <c r="AU26" i="2"/>
  <c r="BK26" i="2"/>
  <c r="V27" i="2"/>
  <c r="AL27" i="2"/>
  <c r="BB27" i="2"/>
  <c r="M28" i="2"/>
  <c r="AC28" i="2"/>
  <c r="AS28" i="2"/>
  <c r="BI28" i="2"/>
  <c r="P29" i="2"/>
  <c r="AF29" i="2"/>
  <c r="AV29" i="2"/>
  <c r="BL29" i="2"/>
  <c r="S30" i="2"/>
  <c r="AI30" i="2"/>
  <c r="AY30" i="2"/>
  <c r="J31" i="2"/>
  <c r="Z31" i="2"/>
  <c r="AP31" i="2"/>
  <c r="BF31" i="2"/>
  <c r="Q32" i="2"/>
  <c r="AG32" i="2"/>
  <c r="AW32" i="2"/>
  <c r="BM32" i="2"/>
  <c r="T33" i="2"/>
  <c r="AJ33" i="2"/>
  <c r="AZ33" i="2"/>
  <c r="G34" i="2"/>
  <c r="W34" i="2"/>
  <c r="AM34" i="2"/>
  <c r="BC34" i="2"/>
  <c r="N35" i="2"/>
  <c r="AD35" i="2"/>
  <c r="AT35" i="2"/>
  <c r="BJ35" i="2"/>
  <c r="U36" i="2"/>
  <c r="AK36" i="2"/>
  <c r="BA36" i="2"/>
  <c r="H37" i="2"/>
  <c r="X37" i="2"/>
  <c r="AN37" i="2"/>
  <c r="BD37" i="2"/>
  <c r="K38" i="2"/>
  <c r="AA38" i="2"/>
  <c r="AQ38" i="2"/>
  <c r="BG38" i="2"/>
  <c r="R39" i="2"/>
  <c r="AH39" i="2"/>
  <c r="AX39" i="2"/>
  <c r="I40" i="2"/>
  <c r="Y40" i="2"/>
  <c r="AO40" i="2"/>
  <c r="BE40" i="2"/>
  <c r="L41" i="2"/>
  <c r="AB41" i="2"/>
  <c r="AR41" i="2"/>
  <c r="BH41" i="2"/>
  <c r="O42" i="2"/>
  <c r="AE42" i="2"/>
  <c r="AU42" i="2"/>
  <c r="BK42" i="2"/>
  <c r="V43" i="2"/>
  <c r="AL43" i="2"/>
  <c r="BB43" i="2"/>
  <c r="M44" i="2"/>
  <c r="AC44" i="2"/>
  <c r="AS44" i="2"/>
  <c r="BI44" i="2"/>
  <c r="Q45" i="3"/>
  <c r="Q45" i="2" s="1"/>
  <c r="Q46" i="2"/>
  <c r="AG45" i="3"/>
  <c r="AG45" i="2" s="1"/>
  <c r="AG46" i="2"/>
  <c r="AW45" i="3"/>
  <c r="AW45" i="2" s="1"/>
  <c r="AW46" i="2"/>
  <c r="BM45" i="3"/>
  <c r="BM45" i="2" s="1"/>
  <c r="BM46" i="2"/>
  <c r="T47" i="2"/>
  <c r="AJ47" i="2"/>
  <c r="AZ47" i="2"/>
  <c r="G48" i="2"/>
  <c r="W48" i="2"/>
  <c r="AM48" i="2"/>
  <c r="BC48" i="2"/>
  <c r="N49" i="2"/>
  <c r="AD49" i="2"/>
  <c r="AT49" i="2"/>
  <c r="BJ49" i="2"/>
  <c r="U50" i="2"/>
  <c r="AK50" i="2"/>
  <c r="BA50" i="2"/>
  <c r="H51" i="2"/>
  <c r="X51" i="2"/>
  <c r="AN51" i="2"/>
  <c r="BD51" i="2"/>
  <c r="K52" i="2"/>
  <c r="AA52" i="2"/>
  <c r="AQ52" i="2"/>
  <c r="BG52" i="2"/>
  <c r="R53" i="2"/>
  <c r="AL53" i="2"/>
  <c r="BG53" i="2"/>
  <c r="Q54" i="2"/>
  <c r="AG54" i="2"/>
  <c r="AW54" i="2"/>
  <c r="BM54" i="2"/>
  <c r="T55" i="2"/>
  <c r="AJ55" i="2"/>
  <c r="AZ55" i="2"/>
  <c r="G56" i="2"/>
  <c r="W56" i="2"/>
  <c r="AM56" i="2"/>
  <c r="BC56" i="2"/>
  <c r="N57" i="2"/>
  <c r="AD57" i="2"/>
  <c r="AT57" i="2"/>
  <c r="BJ57" i="2"/>
  <c r="U58" i="2"/>
  <c r="AK58" i="2"/>
  <c r="BA58" i="2"/>
  <c r="H59" i="2"/>
  <c r="X59" i="2"/>
  <c r="AN59" i="2"/>
  <c r="BD59" i="2"/>
  <c r="K60" i="2"/>
  <c r="AA60" i="2"/>
  <c r="AQ60" i="2"/>
  <c r="BG60" i="2"/>
  <c r="R61" i="2"/>
  <c r="AH61" i="2"/>
  <c r="AX61" i="2"/>
  <c r="I62" i="2"/>
  <c r="Y62" i="2"/>
  <c r="AO62" i="2"/>
  <c r="BE62" i="2"/>
  <c r="L63" i="2"/>
  <c r="AB63" i="2"/>
  <c r="AR63" i="2"/>
  <c r="BH63" i="2"/>
  <c r="O64" i="2"/>
  <c r="AE64" i="2"/>
  <c r="AU64" i="2"/>
  <c r="BK64" i="2"/>
  <c r="V65" i="2"/>
  <c r="AL65" i="2"/>
  <c r="BB65" i="2"/>
  <c r="M66" i="2"/>
  <c r="AC66" i="2"/>
  <c r="AS66" i="2"/>
  <c r="BI66" i="2"/>
  <c r="P67" i="2"/>
  <c r="AF67" i="2"/>
  <c r="AV67" i="2"/>
  <c r="BL67" i="2"/>
  <c r="S68" i="2"/>
  <c r="AI68" i="2"/>
  <c r="AY68" i="2"/>
  <c r="J69" i="2"/>
  <c r="Z69" i="2"/>
  <c r="AP69" i="2"/>
  <c r="BF69" i="2"/>
  <c r="Q70" i="2"/>
  <c r="AG70" i="2"/>
  <c r="AW70" i="2"/>
  <c r="BM70" i="2"/>
  <c r="T71" i="2"/>
  <c r="AJ71" i="2"/>
  <c r="AZ71" i="2"/>
  <c r="G72" i="2"/>
  <c r="W72" i="2"/>
  <c r="AM72" i="2"/>
  <c r="BC72" i="2"/>
  <c r="N73" i="2"/>
  <c r="AD73" i="2"/>
  <c r="AT73" i="2"/>
  <c r="BJ73" i="2"/>
  <c r="U74" i="2"/>
  <c r="AK74" i="2"/>
  <c r="BA74" i="2"/>
  <c r="H75" i="2"/>
  <c r="X75" i="2"/>
  <c r="AN75" i="2"/>
  <c r="BD75" i="2"/>
  <c r="K76" i="2"/>
  <c r="AA76" i="2"/>
  <c r="AQ76" i="2"/>
  <c r="BG76" i="2"/>
  <c r="R77" i="2"/>
  <c r="AH77" i="2"/>
  <c r="AX77" i="2"/>
  <c r="I78" i="2"/>
  <c r="Y78" i="2"/>
  <c r="AO78" i="2"/>
  <c r="BE78" i="2"/>
  <c r="L79" i="2"/>
  <c r="AB79" i="2"/>
  <c r="AR79" i="2"/>
  <c r="BH79" i="2"/>
  <c r="O80" i="2"/>
  <c r="AE80" i="2"/>
  <c r="AU80" i="2"/>
  <c r="BK80" i="2"/>
  <c r="V81" i="2"/>
  <c r="AL81" i="2"/>
  <c r="BB81" i="2"/>
  <c r="M82" i="2"/>
  <c r="AC82" i="2"/>
  <c r="AS82" i="2"/>
  <c r="BI82" i="2"/>
  <c r="P83" i="2"/>
  <c r="AF83" i="2"/>
  <c r="AV83" i="2"/>
  <c r="BL83" i="2"/>
  <c r="S84" i="2"/>
  <c r="AI84" i="2"/>
  <c r="AY84" i="2"/>
  <c r="J85" i="2"/>
  <c r="Z85" i="2"/>
  <c r="AP85" i="2"/>
  <c r="BF85" i="2"/>
  <c r="R86" i="3"/>
  <c r="R86" i="2" s="1"/>
  <c r="R87" i="2"/>
  <c r="AH86" i="3"/>
  <c r="AH86" i="2" s="1"/>
  <c r="AH87" i="2"/>
  <c r="AX86" i="3"/>
  <c r="AX86" i="2" s="1"/>
  <c r="AX87" i="2"/>
  <c r="I88" i="2"/>
  <c r="Y88" i="2"/>
  <c r="AO88" i="2"/>
  <c r="BE88" i="2"/>
  <c r="L89" i="2"/>
  <c r="AB89" i="2"/>
  <c r="AR89" i="2"/>
  <c r="BH89" i="2"/>
  <c r="O90" i="2"/>
  <c r="AE90" i="2"/>
  <c r="AU90" i="2"/>
  <c r="BK90" i="2"/>
  <c r="V91" i="2"/>
  <c r="AL91" i="2"/>
  <c r="BB91" i="2"/>
  <c r="M92" i="2"/>
  <c r="AC92" i="2"/>
  <c r="AS92" i="2"/>
  <c r="BI92" i="2"/>
  <c r="P93" i="2"/>
  <c r="AF93" i="2"/>
  <c r="AV93" i="2"/>
  <c r="BL93" i="2"/>
  <c r="S94" i="2"/>
  <c r="AI94" i="2"/>
  <c r="AY94" i="2"/>
  <c r="J95" i="2"/>
  <c r="Z95" i="2"/>
  <c r="AP95" i="2"/>
  <c r="BF95" i="2"/>
  <c r="Q96" i="2"/>
  <c r="AG96" i="2"/>
  <c r="AW96" i="2"/>
  <c r="BM96" i="2"/>
  <c r="T97" i="2"/>
  <c r="AJ97" i="2"/>
  <c r="AZ97" i="2"/>
  <c r="G98" i="2"/>
  <c r="W98" i="2"/>
  <c r="AM98" i="2"/>
  <c r="BC98" i="2"/>
  <c r="N99" i="2"/>
  <c r="AD99" i="2"/>
  <c r="AT99" i="2"/>
  <c r="BJ99" i="2"/>
  <c r="U100" i="2"/>
  <c r="AK100" i="2"/>
  <c r="BA100" i="2"/>
  <c r="H101" i="2"/>
  <c r="X101" i="2"/>
  <c r="AN101" i="2"/>
  <c r="BD101" i="2"/>
  <c r="K102" i="2"/>
  <c r="AA102" i="2"/>
  <c r="AQ102" i="2"/>
  <c r="BG102" i="2"/>
  <c r="R103" i="2"/>
  <c r="AH103" i="2"/>
  <c r="AX103" i="2"/>
  <c r="I104" i="2"/>
  <c r="Y104" i="2"/>
  <c r="AO104" i="2"/>
  <c r="BE104" i="2"/>
  <c r="L105" i="2"/>
  <c r="AB105" i="2"/>
  <c r="AR105" i="2"/>
  <c r="BH105" i="2"/>
  <c r="O106" i="2"/>
  <c r="AE106" i="2"/>
  <c r="AU106" i="2"/>
  <c r="BK106" i="2"/>
  <c r="V107" i="2"/>
  <c r="AL107" i="2"/>
  <c r="BB107" i="2"/>
  <c r="M108" i="2"/>
  <c r="AC108" i="2"/>
  <c r="AS108" i="2"/>
  <c r="BI108" i="2"/>
  <c r="P109" i="2"/>
  <c r="AF109" i="2"/>
  <c r="AV109" i="2"/>
  <c r="BL109" i="2"/>
  <c r="S110" i="2"/>
  <c r="AI110" i="2"/>
  <c r="AY110" i="2"/>
  <c r="J111" i="2"/>
  <c r="Z111" i="2"/>
  <c r="AP111" i="2"/>
  <c r="BF111" i="2"/>
  <c r="Q112" i="2"/>
  <c r="AG112" i="2"/>
  <c r="AW112" i="2"/>
  <c r="BM112" i="2"/>
  <c r="T113" i="2"/>
  <c r="AJ113" i="2"/>
  <c r="AZ113" i="2"/>
  <c r="G114" i="2"/>
  <c r="W114" i="2"/>
  <c r="AM114" i="2"/>
  <c r="BC114" i="2"/>
  <c r="N115" i="2"/>
  <c r="AD115" i="2"/>
  <c r="AT115" i="2"/>
  <c r="BJ115" i="2"/>
  <c r="U116" i="2"/>
  <c r="AK116" i="2"/>
  <c r="BA116" i="2"/>
  <c r="H117" i="2"/>
  <c r="X117" i="2"/>
  <c r="AN117" i="2"/>
  <c r="BD117" i="2"/>
  <c r="K118" i="2"/>
  <c r="AA118" i="2"/>
  <c r="AQ118" i="2"/>
  <c r="BG118" i="2"/>
  <c r="R119" i="2"/>
  <c r="AH119" i="2"/>
  <c r="AX119" i="2"/>
  <c r="I120" i="2"/>
  <c r="Y120" i="2"/>
  <c r="AO120" i="2"/>
  <c r="BE120" i="2"/>
  <c r="L121" i="2"/>
  <c r="AB121" i="2"/>
  <c r="AR121" i="2"/>
  <c r="BH121" i="2"/>
  <c r="O122" i="2"/>
  <c r="AE122" i="2"/>
  <c r="AU122" i="2"/>
  <c r="BK122" i="2"/>
  <c r="V123" i="2"/>
  <c r="AL123" i="2"/>
  <c r="BB123" i="2"/>
  <c r="M124" i="2"/>
  <c r="AC124" i="2"/>
  <c r="AS124" i="2"/>
  <c r="BI124" i="2"/>
  <c r="P125" i="2"/>
  <c r="AF125" i="2"/>
  <c r="AV125" i="2"/>
  <c r="BL125" i="2"/>
  <c r="S126" i="2"/>
  <c r="AI126" i="2"/>
  <c r="AY126" i="2"/>
  <c r="G127" i="3"/>
  <c r="G127" i="2" s="1"/>
  <c r="G128" i="2"/>
  <c r="W127" i="3"/>
  <c r="W127" i="2" s="1"/>
  <c r="W128" i="2"/>
  <c r="AM127" i="3"/>
  <c r="AM127" i="2" s="1"/>
  <c r="AM128" i="2"/>
  <c r="BC127" i="3"/>
  <c r="BC127" i="2" s="1"/>
  <c r="BC128" i="2"/>
  <c r="N129" i="2"/>
  <c r="AD129" i="2"/>
  <c r="AT129" i="2"/>
  <c r="BJ129" i="2"/>
  <c r="U130" i="2"/>
  <c r="AK130" i="2"/>
  <c r="BA130" i="2"/>
  <c r="H131" i="2"/>
  <c r="X131" i="2"/>
  <c r="AN131" i="2"/>
  <c r="BD131" i="2"/>
  <c r="K132" i="2"/>
  <c r="AA132" i="2"/>
  <c r="AQ132" i="2"/>
  <c r="BG132" i="2"/>
  <c r="R133" i="2"/>
  <c r="AH133" i="2"/>
  <c r="AX133" i="2"/>
  <c r="I134" i="2"/>
  <c r="Y134" i="2"/>
  <c r="AO134" i="2"/>
  <c r="BE134" i="2"/>
  <c r="L135" i="2"/>
  <c r="AB135" i="2"/>
  <c r="AR135" i="2"/>
  <c r="BH135" i="2"/>
  <c r="O136" i="2"/>
  <c r="AE136" i="2"/>
  <c r="AU136" i="2"/>
  <c r="BK136" i="2"/>
  <c r="V137" i="2"/>
  <c r="AL137" i="2"/>
  <c r="BB137" i="2"/>
  <c r="M138" i="2"/>
  <c r="AC138" i="2"/>
  <c r="AS138" i="2"/>
  <c r="BI138" i="2"/>
  <c r="P139" i="2"/>
  <c r="AF139" i="2"/>
  <c r="AV139" i="2"/>
  <c r="BL139" i="2"/>
  <c r="S140" i="2"/>
  <c r="AI140" i="2"/>
  <c r="AY140" i="2"/>
  <c r="J141" i="2"/>
  <c r="Z141" i="2"/>
  <c r="AP141" i="2"/>
  <c r="BF141" i="2"/>
  <c r="Q142" i="2"/>
  <c r="AG142" i="2"/>
  <c r="AW142" i="2"/>
  <c r="BM142" i="2"/>
  <c r="T143" i="2"/>
  <c r="AJ143" i="2"/>
  <c r="AZ143" i="2"/>
  <c r="G144" i="2"/>
  <c r="AB144" i="2"/>
  <c r="BG144" i="2"/>
  <c r="AL145" i="2"/>
  <c r="N54" i="2"/>
  <c r="AD54" i="2"/>
  <c r="AT54" i="2"/>
  <c r="BJ54" i="2"/>
  <c r="U55" i="2"/>
  <c r="AK55" i="2"/>
  <c r="BA55" i="2"/>
  <c r="H56" i="2"/>
  <c r="X56" i="2"/>
  <c r="AN56" i="2"/>
  <c r="BD56" i="2"/>
  <c r="K57" i="2"/>
  <c r="AA57" i="2"/>
  <c r="AQ57" i="2"/>
  <c r="BG57" i="2"/>
  <c r="R58" i="2"/>
  <c r="AH58" i="2"/>
  <c r="AX58" i="2"/>
  <c r="I59" i="2"/>
  <c r="Y59" i="2"/>
  <c r="AO59" i="2"/>
  <c r="BE59" i="2"/>
  <c r="L60" i="2"/>
  <c r="AB60" i="2"/>
  <c r="AR60" i="2"/>
  <c r="BH60" i="2"/>
  <c r="O61" i="2"/>
  <c r="AE61" i="2"/>
  <c r="AU61" i="2"/>
  <c r="BK61" i="2"/>
  <c r="V62" i="2"/>
  <c r="AL62" i="2"/>
  <c r="BB62" i="2"/>
  <c r="M63" i="2"/>
  <c r="AC63" i="2"/>
  <c r="AS63" i="2"/>
  <c r="BI63" i="2"/>
  <c r="P64" i="2"/>
  <c r="AF64" i="2"/>
  <c r="AV64" i="2"/>
  <c r="BL64" i="2"/>
  <c r="S65" i="2"/>
  <c r="AI65" i="2"/>
  <c r="AY65" i="2"/>
  <c r="J66" i="2"/>
  <c r="Z66" i="2"/>
  <c r="AP66" i="2"/>
  <c r="BF66" i="2"/>
  <c r="Q67" i="2"/>
  <c r="AG67" i="2"/>
  <c r="AW67" i="2"/>
  <c r="BM67" i="2"/>
  <c r="T68" i="2"/>
  <c r="AJ68" i="2"/>
  <c r="AZ68" i="2"/>
  <c r="G69" i="2"/>
  <c r="W69" i="2"/>
  <c r="AM69" i="2"/>
  <c r="BC69" i="2"/>
  <c r="N70" i="2"/>
  <c r="AD70" i="2"/>
  <c r="AT70" i="2"/>
  <c r="BJ70" i="2"/>
  <c r="U71" i="2"/>
  <c r="AK71" i="2"/>
  <c r="BA71" i="2"/>
  <c r="H72" i="2"/>
  <c r="X72" i="2"/>
  <c r="AN72" i="2"/>
  <c r="BD72" i="2"/>
  <c r="K73" i="2"/>
  <c r="AA73" i="2"/>
  <c r="AQ73" i="2"/>
  <c r="BG73" i="2"/>
  <c r="R74" i="2"/>
  <c r="AH74" i="2"/>
  <c r="AX74" i="2"/>
  <c r="I75" i="2"/>
  <c r="Y75" i="2"/>
  <c r="AO75" i="2"/>
  <c r="BE75" i="2"/>
  <c r="L76" i="2"/>
  <c r="AB76" i="2"/>
  <c r="AR76" i="2"/>
  <c r="BH76" i="2"/>
  <c r="O77" i="2"/>
  <c r="AE77" i="2"/>
  <c r="AU77" i="2"/>
  <c r="BK77" i="2"/>
  <c r="V78" i="2"/>
  <c r="AL78" i="2"/>
  <c r="BB78" i="2"/>
  <c r="M79" i="2"/>
  <c r="AC79" i="2"/>
  <c r="AS79" i="2"/>
  <c r="BI79" i="2"/>
  <c r="P80" i="2"/>
  <c r="AF80" i="2"/>
  <c r="AV80" i="2"/>
  <c r="BL80" i="2"/>
  <c r="S81" i="2"/>
  <c r="AI81" i="2"/>
  <c r="AY81" i="2"/>
  <c r="J82" i="2"/>
  <c r="Z82" i="2"/>
  <c r="AP82" i="2"/>
  <c r="BF82" i="2"/>
  <c r="Q83" i="2"/>
  <c r="AG83" i="2"/>
  <c r="AW83" i="2"/>
  <c r="BM83" i="2"/>
  <c r="T84" i="2"/>
  <c r="AJ84" i="2"/>
  <c r="AZ84" i="2"/>
  <c r="G85" i="2"/>
  <c r="W85" i="2"/>
  <c r="AM85" i="2"/>
  <c r="BC85" i="2"/>
  <c r="K86" i="3"/>
  <c r="K86" i="2" s="1"/>
  <c r="K87" i="2"/>
  <c r="AA86" i="3"/>
  <c r="AA86" i="2" s="1"/>
  <c r="AA87" i="2"/>
  <c r="AQ86" i="3"/>
  <c r="AQ86" i="2" s="1"/>
  <c r="AQ87" i="2"/>
  <c r="BG86" i="3"/>
  <c r="BG86" i="2" s="1"/>
  <c r="BG87" i="2"/>
  <c r="R88" i="2"/>
  <c r="AH88" i="2"/>
  <c r="AX88" i="2"/>
  <c r="I89" i="2"/>
  <c r="Y89" i="2"/>
  <c r="AO89" i="2"/>
  <c r="BE89" i="2"/>
  <c r="L90" i="2"/>
  <c r="AB90" i="2"/>
  <c r="AR90" i="2"/>
  <c r="BH90" i="2"/>
  <c r="O91" i="2"/>
  <c r="AE91" i="2"/>
  <c r="AU91" i="2"/>
  <c r="BK91" i="2"/>
  <c r="V92" i="2"/>
  <c r="AL92" i="2"/>
  <c r="BB92" i="2"/>
  <c r="M93" i="2"/>
  <c r="AC93" i="2"/>
  <c r="AS93" i="2"/>
  <c r="BI93" i="2"/>
  <c r="P94" i="2"/>
  <c r="AF94" i="2"/>
  <c r="AV94" i="2"/>
  <c r="BL94" i="2"/>
  <c r="S95" i="2"/>
  <c r="AI95" i="2"/>
  <c r="AY95" i="2"/>
  <c r="J96" i="2"/>
  <c r="Z96" i="2"/>
  <c r="AP96" i="2"/>
  <c r="BF96" i="2"/>
  <c r="Q97" i="2"/>
  <c r="AG97" i="2"/>
  <c r="AW97" i="2"/>
  <c r="BM97" i="2"/>
  <c r="T98" i="2"/>
  <c r="AJ98" i="2"/>
  <c r="AZ98" i="2"/>
  <c r="G99" i="2"/>
  <c r="W99" i="2"/>
  <c r="AM99" i="2"/>
  <c r="BC99" i="2"/>
  <c r="N100" i="2"/>
  <c r="AD100" i="2"/>
  <c r="AT100" i="2"/>
  <c r="BJ100" i="2"/>
  <c r="U101" i="2"/>
  <c r="AK101" i="2"/>
  <c r="BA101" i="2"/>
  <c r="H102" i="2"/>
  <c r="X102" i="2"/>
  <c r="AN102" i="2"/>
  <c r="BD102" i="2"/>
  <c r="K103" i="2"/>
  <c r="AA103" i="2"/>
  <c r="AQ103" i="2"/>
  <c r="BG103" i="2"/>
  <c r="R104" i="2"/>
  <c r="AH104" i="2"/>
  <c r="AX104" i="2"/>
  <c r="I105" i="2"/>
  <c r="Y105" i="2"/>
  <c r="AO105" i="2"/>
  <c r="BE105" i="2"/>
  <c r="L106" i="2"/>
  <c r="AB106" i="2"/>
  <c r="AR106" i="2"/>
  <c r="BH106" i="2"/>
  <c r="O107" i="2"/>
  <c r="AE107" i="2"/>
  <c r="AU107" i="2"/>
  <c r="BK107" i="2"/>
  <c r="V108" i="2"/>
  <c r="AL108" i="2"/>
  <c r="BB108" i="2"/>
  <c r="M109" i="2"/>
  <c r="AC109" i="2"/>
  <c r="AS109" i="2"/>
  <c r="BI109" i="2"/>
  <c r="P110" i="2"/>
  <c r="AF110" i="2"/>
  <c r="AV110" i="2"/>
  <c r="BL110" i="2"/>
  <c r="S111" i="2"/>
  <c r="AI111" i="2"/>
  <c r="AY111" i="2"/>
  <c r="J112" i="2"/>
  <c r="Z112" i="2"/>
  <c r="AP112" i="2"/>
  <c r="BF112" i="2"/>
  <c r="Q113" i="2"/>
  <c r="AK113" i="2"/>
  <c r="BE113" i="2"/>
  <c r="AF114" i="2"/>
  <c r="AI115" i="2"/>
  <c r="AP116" i="2"/>
  <c r="AW117" i="2"/>
  <c r="AZ118" i="2"/>
  <c r="BC119" i="2"/>
  <c r="BJ120" i="2"/>
  <c r="H122" i="2"/>
  <c r="K123" i="2"/>
  <c r="R124" i="2"/>
  <c r="Y125" i="2"/>
  <c r="AB126" i="2"/>
  <c r="AF127" i="3"/>
  <c r="AF127" i="2" s="1"/>
  <c r="AF128" i="2"/>
  <c r="AI129" i="2"/>
  <c r="AP130" i="2"/>
  <c r="AW131" i="2"/>
  <c r="AZ132" i="2"/>
  <c r="BC133" i="2"/>
  <c r="BJ134" i="2"/>
  <c r="H136" i="2"/>
  <c r="K137" i="2"/>
  <c r="R138" i="2"/>
  <c r="Y139" i="2"/>
  <c r="AB140" i="2"/>
  <c r="AE141" i="2"/>
  <c r="AL142" i="2"/>
  <c r="AS143" i="2"/>
  <c r="Q145" i="2"/>
  <c r="AQ54" i="2"/>
  <c r="AX55" i="2"/>
  <c r="BE56" i="2"/>
  <c r="BH57" i="2"/>
  <c r="BK58" i="2"/>
  <c r="M60" i="2"/>
  <c r="P61" i="2"/>
  <c r="S62" i="2"/>
  <c r="Z63" i="2"/>
  <c r="AG64" i="2"/>
  <c r="AJ65" i="2"/>
  <c r="AM66" i="2"/>
  <c r="AT67" i="2"/>
  <c r="BA68" i="2"/>
  <c r="BD69" i="2"/>
  <c r="BG70" i="2"/>
  <c r="I72" i="2"/>
  <c r="L73" i="2"/>
  <c r="O74" i="2"/>
  <c r="V75" i="2"/>
  <c r="AC76" i="2"/>
  <c r="AF77" i="2"/>
  <c r="AI78" i="2"/>
  <c r="AP79" i="2"/>
  <c r="AW80" i="2"/>
  <c r="AZ81" i="2"/>
  <c r="BC82" i="2"/>
  <c r="BJ83" i="2"/>
  <c r="H85" i="2"/>
  <c r="L86" i="3"/>
  <c r="L86" i="2" s="1"/>
  <c r="L87" i="2"/>
  <c r="O88" i="2"/>
  <c r="V89" i="2"/>
  <c r="AC90" i="2"/>
  <c r="AF91" i="2"/>
  <c r="AI92" i="2"/>
  <c r="AP93" i="2"/>
  <c r="AW94" i="2"/>
  <c r="AZ95" i="2"/>
  <c r="BC96" i="2"/>
  <c r="BJ97" i="2"/>
  <c r="H99" i="2"/>
  <c r="K100" i="2"/>
  <c r="R101" i="2"/>
  <c r="Y102" i="2"/>
  <c r="AB103" i="2"/>
  <c r="AE104" i="2"/>
  <c r="AL105" i="2"/>
  <c r="AS106" i="2"/>
  <c r="AV107" i="2"/>
  <c r="AY108" i="2"/>
  <c r="BF109" i="2"/>
  <c r="BM110" i="2"/>
  <c r="G112" i="2"/>
  <c r="N113" i="2"/>
  <c r="U114" i="2"/>
  <c r="X115" i="2"/>
  <c r="AA116" i="2"/>
  <c r="AH117" i="2"/>
  <c r="AO118" i="2"/>
  <c r="AR119" i="2"/>
  <c r="AU120" i="2"/>
  <c r="BB121" i="2"/>
  <c r="BI122" i="2"/>
  <c r="BL123" i="2"/>
  <c r="J125" i="2"/>
  <c r="Q126" i="2"/>
  <c r="U127" i="3"/>
  <c r="U127" i="2" s="1"/>
  <c r="U128" i="2"/>
  <c r="X129" i="2"/>
  <c r="AA130" i="2"/>
  <c r="AH131" i="2"/>
  <c r="AO132" i="2"/>
  <c r="AR133" i="2"/>
  <c r="AU134" i="2"/>
  <c r="BB135" i="2"/>
  <c r="BI136" i="2"/>
  <c r="BL137" i="2"/>
  <c r="J139" i="2"/>
  <c r="Q140" i="2"/>
  <c r="T141" i="2"/>
  <c r="W142" i="2"/>
  <c r="AD143" i="2"/>
  <c r="BC144" i="2"/>
  <c r="BA53" i="2"/>
  <c r="BD54" i="2"/>
  <c r="BG55" i="2"/>
  <c r="I57" i="2"/>
  <c r="L58" i="2"/>
  <c r="O59" i="2"/>
  <c r="V60" i="2"/>
  <c r="AC61" i="2"/>
  <c r="AF62" i="2"/>
  <c r="AI63" i="2"/>
  <c r="AP64" i="2"/>
  <c r="AW65" i="2"/>
  <c r="AZ66" i="2"/>
  <c r="BC67" i="2"/>
  <c r="BJ68" i="2"/>
  <c r="H70" i="2"/>
  <c r="K71" i="2"/>
  <c r="R72" i="2"/>
  <c r="Y73" i="2"/>
  <c r="AB74" i="2"/>
  <c r="AE75" i="2"/>
  <c r="AL76" i="2"/>
  <c r="AS77" i="2"/>
  <c r="AV78" i="2"/>
  <c r="AY79" i="2"/>
  <c r="BF80" i="2"/>
  <c r="BM81" i="2"/>
  <c r="G83" i="2"/>
  <c r="N84" i="2"/>
  <c r="U85" i="2"/>
  <c r="Y86" i="3"/>
  <c r="Y86" i="2" s="1"/>
  <c r="Y87" i="2"/>
  <c r="AB88" i="2"/>
  <c r="AE89" i="2"/>
  <c r="AL90" i="2"/>
  <c r="AS91" i="2"/>
  <c r="AV92" i="2"/>
  <c r="AY93" i="2"/>
  <c r="BF94" i="2"/>
  <c r="BM95" i="2"/>
  <c r="G97" i="2"/>
  <c r="N98" i="2"/>
  <c r="U99" i="2"/>
  <c r="X100" i="2"/>
  <c r="AA101" i="2"/>
  <c r="AH102" i="2"/>
  <c r="AO103" i="2"/>
  <c r="AR104" i="2"/>
  <c r="AU105" i="2"/>
  <c r="BB106" i="2"/>
  <c r="BI107" i="2"/>
  <c r="BL108" i="2"/>
  <c r="J110" i="2"/>
  <c r="Q111" i="2"/>
  <c r="T112" i="2"/>
  <c r="W113" i="2"/>
  <c r="AD114" i="2"/>
  <c r="AK115" i="2"/>
  <c r="AN116" i="2"/>
  <c r="AQ117" i="2"/>
  <c r="AX118" i="2"/>
  <c r="BE119" i="2"/>
  <c r="BH120" i="2"/>
  <c r="BK121" i="2"/>
  <c r="M123" i="2"/>
  <c r="P124" i="2"/>
  <c r="S125" i="2"/>
  <c r="Z126" i="2"/>
  <c r="AH127" i="3"/>
  <c r="AH127" i="2" s="1"/>
  <c r="AH128" i="2"/>
  <c r="AO129" i="2"/>
  <c r="AR130" i="2"/>
  <c r="AU131" i="2"/>
  <c r="BB132" i="2"/>
  <c r="BI133" i="2"/>
  <c r="BL134" i="2"/>
  <c r="J136" i="2"/>
  <c r="Q137" i="2"/>
  <c r="T138" i="2"/>
  <c r="W139" i="2"/>
  <c r="AD140" i="2"/>
  <c r="AK141" i="2"/>
  <c r="AN142" i="2"/>
  <c r="AQ143" i="2"/>
  <c r="AC145" i="2"/>
  <c r="AZ146" i="2"/>
  <c r="BC147" i="2"/>
  <c r="BJ148" i="2"/>
  <c r="H150" i="2"/>
  <c r="K151" i="2"/>
  <c r="R152" i="2"/>
  <c r="Y153" i="2"/>
  <c r="AB154" i="2"/>
  <c r="AE155" i="2"/>
  <c r="AL156" i="2"/>
  <c r="AS157" i="2"/>
  <c r="AV158" i="2"/>
  <c r="AY159" i="2"/>
  <c r="BF160" i="2"/>
  <c r="BM161" i="2"/>
  <c r="G163" i="2"/>
  <c r="N164" i="2"/>
  <c r="U165" i="2"/>
  <c r="X166" i="2"/>
  <c r="AA167" i="2"/>
  <c r="AE168" i="3"/>
  <c r="AE168" i="2" s="1"/>
  <c r="AE169" i="2"/>
  <c r="AL170" i="2"/>
  <c r="AS171" i="2"/>
  <c r="AV172" i="2"/>
  <c r="AY173" i="2"/>
  <c r="BF174" i="2"/>
  <c r="BM175" i="2"/>
  <c r="G177" i="2"/>
  <c r="N178" i="2"/>
  <c r="U179" i="2"/>
  <c r="X180" i="2"/>
  <c r="AA181" i="2"/>
  <c r="AH182" i="2"/>
  <c r="AO183" i="2"/>
  <c r="AR184" i="2"/>
  <c r="AU185" i="2"/>
  <c r="BB186" i="2"/>
  <c r="BI187" i="2"/>
  <c r="BL188" i="2"/>
  <c r="J190" i="2"/>
  <c r="Q191" i="2"/>
  <c r="T192" i="2"/>
  <c r="W193" i="2"/>
  <c r="AD194" i="2"/>
  <c r="AK195" i="2"/>
  <c r="AN196" i="2"/>
  <c r="AQ197" i="2"/>
  <c r="AX198" i="2"/>
  <c r="BE199" i="2"/>
  <c r="BH200" i="2"/>
  <c r="BK201" i="2"/>
  <c r="M203" i="2"/>
  <c r="P204" i="2"/>
  <c r="S205" i="2"/>
  <c r="Z206" i="2"/>
  <c r="AG207" i="2"/>
  <c r="AJ208" i="2"/>
  <c r="AN209" i="3"/>
  <c r="AN209" i="2" s="1"/>
  <c r="AN210" i="2"/>
  <c r="AQ211" i="2"/>
  <c r="AX212" i="2"/>
  <c r="BE213" i="2"/>
  <c r="BH214" i="2"/>
  <c r="BK215" i="2"/>
  <c r="M217" i="2"/>
  <c r="P218" i="2"/>
  <c r="S219" i="2"/>
  <c r="Z220" i="2"/>
  <c r="AG221" i="2"/>
  <c r="AJ222" i="2"/>
  <c r="AM223" i="2"/>
  <c r="AT224" i="2"/>
  <c r="BA225" i="2"/>
  <c r="BD226" i="2"/>
  <c r="BG227" i="2"/>
  <c r="I229" i="2"/>
  <c r="L230" i="2"/>
  <c r="O231" i="2"/>
  <c r="V232" i="2"/>
  <c r="AC233" i="2"/>
  <c r="AF234" i="2"/>
  <c r="M146" i="2"/>
  <c r="P147" i="2"/>
  <c r="S148" i="2"/>
  <c r="Z149" i="2"/>
  <c r="AG150" i="2"/>
  <c r="AJ151" i="2"/>
  <c r="AM152" i="2"/>
  <c r="AT153" i="2"/>
  <c r="BA154" i="2"/>
  <c r="BD155" i="2"/>
  <c r="BG156" i="2"/>
  <c r="I158" i="2"/>
  <c r="F661" i="2"/>
  <c r="F460" i="2"/>
  <c r="F282" i="2"/>
  <c r="F271" i="2"/>
  <c r="F131" i="2"/>
  <c r="F123" i="2"/>
  <c r="F82" i="2"/>
  <c r="F640" i="2"/>
  <c r="F597" i="2"/>
  <c r="F474" i="2"/>
  <c r="F445" i="2"/>
  <c r="F422" i="2"/>
  <c r="F298" i="2"/>
  <c r="F285" i="2"/>
  <c r="F145" i="2"/>
  <c r="F138" i="2"/>
  <c r="F8" i="2"/>
  <c r="F638" i="2"/>
  <c r="F595" i="2"/>
  <c r="F472" i="2"/>
  <c r="F438" i="2"/>
  <c r="F420" i="2"/>
  <c r="F296" i="2"/>
  <c r="F283" i="2"/>
  <c r="F143" i="2"/>
  <c r="F136" i="2"/>
  <c r="F6" i="2"/>
  <c r="F636" i="2"/>
  <c r="F593" i="2"/>
  <c r="F470" i="2"/>
  <c r="F437" i="2"/>
  <c r="F418" i="2"/>
  <c r="F294" i="2"/>
  <c r="F281" i="2"/>
  <c r="F141" i="2"/>
  <c r="F134" i="2"/>
  <c r="F95" i="2"/>
  <c r="F639" i="2"/>
  <c r="F574" i="2"/>
  <c r="F451" i="2"/>
  <c r="F417" i="2"/>
  <c r="F399" i="2"/>
  <c r="F274" i="2"/>
  <c r="F263" i="2"/>
  <c r="F122" i="2"/>
  <c r="F115" i="2"/>
  <c r="F74" i="2"/>
  <c r="F632" i="2"/>
  <c r="F589" i="2"/>
  <c r="F466" i="2"/>
  <c r="F431" i="2"/>
  <c r="F413" i="2"/>
  <c r="F288" i="2"/>
  <c r="F277" i="2"/>
  <c r="F137" i="2"/>
  <c r="F130" i="2"/>
  <c r="F89" i="2"/>
  <c r="F630" i="2"/>
  <c r="F587" i="2"/>
  <c r="F464" i="2"/>
  <c r="F429" i="2"/>
  <c r="F411" i="2"/>
  <c r="F286" i="2"/>
  <c r="F275" i="2"/>
  <c r="F135" i="2"/>
  <c r="F127" i="3"/>
  <c r="F127" i="2" s="1"/>
  <c r="F128" i="2"/>
  <c r="F86" i="3"/>
  <c r="F86" i="2" s="1"/>
  <c r="F87" i="2"/>
  <c r="F628" i="2"/>
  <c r="F585" i="2"/>
  <c r="F462" i="2"/>
  <c r="F427" i="2"/>
  <c r="F409" i="2"/>
  <c r="F284" i="2"/>
  <c r="F273" i="2"/>
  <c r="F133" i="2"/>
  <c r="F125" i="2"/>
  <c r="F84" i="2"/>
  <c r="F642" i="2"/>
  <c r="F599" i="2"/>
  <c r="F476" i="2"/>
  <c r="F450" i="2"/>
  <c r="F424" i="2"/>
  <c r="F300" i="2"/>
  <c r="F287" i="2"/>
  <c r="F147" i="2"/>
  <c r="F140" i="2"/>
  <c r="F10" i="2"/>
  <c r="F645" i="2"/>
  <c r="F580" i="3"/>
  <c r="F580" i="2" s="1"/>
  <c r="F581" i="2"/>
  <c r="F458" i="2"/>
  <c r="F423" i="2"/>
  <c r="F405" i="2"/>
  <c r="F280" i="2"/>
  <c r="F269" i="2"/>
  <c r="F129" i="2"/>
  <c r="F121" i="2"/>
  <c r="F80" i="2"/>
  <c r="F643" i="2"/>
  <c r="F578" i="2"/>
  <c r="F455" i="2"/>
  <c r="F421" i="2"/>
  <c r="F403" i="2"/>
  <c r="F278" i="2"/>
  <c r="F267" i="2"/>
  <c r="F126" i="2"/>
  <c r="F119" i="2"/>
  <c r="F78" i="2"/>
  <c r="F641" i="2"/>
  <c r="F576" i="2"/>
  <c r="F453" i="2"/>
  <c r="F419" i="2"/>
  <c r="F401" i="2"/>
  <c r="F276" i="2"/>
  <c r="F265" i="2"/>
  <c r="F124" i="2"/>
  <c r="F117" i="2"/>
  <c r="F76" i="2"/>
  <c r="F634" i="2"/>
  <c r="F591" i="2"/>
  <c r="F468" i="2"/>
  <c r="F433" i="2"/>
  <c r="F415" i="3"/>
  <c r="F415" i="2" s="1"/>
  <c r="F416" i="2"/>
  <c r="F290" i="2"/>
  <c r="F279" i="2"/>
  <c r="F139" i="2"/>
  <c r="F132" i="2"/>
  <c r="F93" i="2"/>
  <c r="F637" i="2"/>
  <c r="F572" i="2"/>
  <c r="F449" i="2"/>
  <c r="F414" i="2"/>
  <c r="F397" i="2"/>
  <c r="F272" i="2"/>
  <c r="F261" i="2"/>
  <c r="F120" i="2"/>
  <c r="F113" i="2"/>
  <c r="F72" i="2"/>
  <c r="F635" i="2"/>
  <c r="F570" i="2"/>
  <c r="F447" i="2"/>
  <c r="F412" i="2"/>
  <c r="F395" i="2"/>
  <c r="F270" i="2"/>
  <c r="F259" i="2"/>
  <c r="F118" i="2"/>
  <c r="F111" i="2"/>
  <c r="F70" i="2"/>
  <c r="F633" i="2"/>
  <c r="F568" i="2"/>
  <c r="F549" i="2"/>
  <c r="F410" i="2"/>
  <c r="F393" i="2"/>
  <c r="F268" i="2"/>
  <c r="F257" i="2"/>
  <c r="F116" i="2"/>
  <c r="F109" i="2"/>
  <c r="F68" i="2"/>
  <c r="M4" i="3"/>
  <c r="M4" i="2" s="1"/>
  <c r="M5" i="2"/>
  <c r="AC4" i="3"/>
  <c r="AC4" i="2" s="1"/>
  <c r="AC5" i="2"/>
  <c r="AS4" i="3"/>
  <c r="AS4" i="2" s="1"/>
  <c r="AS5" i="2"/>
  <c r="BI4" i="3"/>
  <c r="BI4" i="2" s="1"/>
  <c r="BI5" i="2"/>
  <c r="P6" i="2"/>
  <c r="AF6" i="2"/>
  <c r="AV6" i="2"/>
  <c r="BL6" i="2"/>
  <c r="S7" i="2"/>
  <c r="AI7" i="2"/>
  <c r="AY7" i="2"/>
  <c r="J8" i="2"/>
  <c r="Z8" i="2"/>
  <c r="AP8" i="2"/>
  <c r="BF8" i="2"/>
  <c r="Q9" i="2"/>
  <c r="AG9" i="2"/>
  <c r="AW9" i="2"/>
  <c r="BM9" i="2"/>
  <c r="T10" i="2"/>
  <c r="AJ10" i="2"/>
  <c r="AZ10" i="2"/>
  <c r="G11" i="2"/>
  <c r="W11" i="2"/>
  <c r="AM11" i="2"/>
  <c r="BC11" i="2"/>
  <c r="N12" i="2"/>
  <c r="AD12" i="2"/>
  <c r="AT12" i="2"/>
  <c r="BJ12" i="2"/>
  <c r="U13" i="2"/>
  <c r="AK13" i="2"/>
  <c r="BA13" i="2"/>
  <c r="H14" i="2"/>
  <c r="X14" i="2"/>
  <c r="AN14" i="2"/>
  <c r="BD14" i="2"/>
  <c r="K15" i="2"/>
  <c r="AA15" i="2"/>
  <c r="AQ15" i="2"/>
  <c r="BG15" i="2"/>
  <c r="R16" i="2"/>
  <c r="AH16" i="2"/>
  <c r="AX16" i="2"/>
  <c r="I17" i="2"/>
  <c r="Y17" i="2"/>
  <c r="AO17" i="2"/>
  <c r="BE17" i="2"/>
  <c r="L18" i="2"/>
  <c r="AB18" i="2"/>
  <c r="AR18" i="2"/>
  <c r="BH18" i="2"/>
  <c r="O19" i="2"/>
  <c r="AE19" i="2"/>
  <c r="AU19" i="2"/>
  <c r="BK19" i="2"/>
  <c r="V20" i="2"/>
  <c r="AL20" i="2"/>
  <c r="BB20" i="2"/>
  <c r="M21" i="2"/>
  <c r="AC21" i="2"/>
  <c r="AS21" i="2"/>
  <c r="BI21" i="2"/>
  <c r="P22" i="2"/>
  <c r="AF22" i="2"/>
  <c r="AV22" i="2"/>
  <c r="BL22" i="2"/>
  <c r="S23" i="2"/>
  <c r="AI23" i="2"/>
  <c r="AY23" i="2"/>
  <c r="J24" i="2"/>
  <c r="Z24" i="2"/>
  <c r="AP24" i="2"/>
  <c r="BF24" i="2"/>
  <c r="Q25" i="2"/>
  <c r="AG25" i="2"/>
  <c r="AW25" i="2"/>
  <c r="BM25" i="2"/>
  <c r="T26" i="2"/>
  <c r="AJ26" i="2"/>
  <c r="AZ26" i="2"/>
  <c r="G27" i="2"/>
  <c r="W27" i="2"/>
  <c r="AM27" i="2"/>
  <c r="BC27" i="2"/>
  <c r="N28" i="2"/>
  <c r="AD28" i="2"/>
  <c r="AT28" i="2"/>
  <c r="BJ28" i="2"/>
  <c r="U29" i="2"/>
  <c r="AK29" i="2"/>
  <c r="BA29" i="2"/>
  <c r="H30" i="2"/>
  <c r="X30" i="2"/>
  <c r="AN30" i="2"/>
  <c r="BD30" i="2"/>
  <c r="K31" i="2"/>
  <c r="AA31" i="2"/>
  <c r="AQ31" i="2"/>
  <c r="BG31" i="2"/>
  <c r="R32" i="2"/>
  <c r="AH32" i="2"/>
  <c r="AX32" i="2"/>
  <c r="I33" i="2"/>
  <c r="Y33" i="2"/>
  <c r="AO33" i="2"/>
  <c r="BE33" i="2"/>
  <c r="L34" i="2"/>
  <c r="AB34" i="2"/>
  <c r="AR34" i="2"/>
  <c r="BH34" i="2"/>
  <c r="O35" i="2"/>
  <c r="AE35" i="2"/>
  <c r="AU35" i="2"/>
  <c r="BK35" i="2"/>
  <c r="V36" i="2"/>
  <c r="AL36" i="2"/>
  <c r="BB36" i="2"/>
  <c r="M37" i="2"/>
  <c r="AC37" i="2"/>
  <c r="AS37" i="2"/>
  <c r="BI37" i="2"/>
  <c r="P38" i="2"/>
  <c r="AF38" i="2"/>
  <c r="AV38" i="2"/>
  <c r="BL38" i="2"/>
  <c r="S39" i="2"/>
  <c r="AI39" i="2"/>
  <c r="AY39" i="2"/>
  <c r="J40" i="2"/>
  <c r="Z40" i="2"/>
  <c r="AP40" i="2"/>
  <c r="BF40" i="2"/>
  <c r="Q41" i="2"/>
  <c r="AG41" i="2"/>
  <c r="AW41" i="2"/>
  <c r="BM41" i="2"/>
  <c r="T42" i="2"/>
  <c r="AJ42" i="2"/>
  <c r="AZ42" i="2"/>
  <c r="G43" i="2"/>
  <c r="W43" i="2"/>
  <c r="AM43" i="2"/>
  <c r="BC43" i="2"/>
  <c r="N44" i="2"/>
  <c r="AD44" i="2"/>
  <c r="AT44" i="2"/>
  <c r="BJ44" i="2"/>
  <c r="V45" i="3"/>
  <c r="V45" i="2" s="1"/>
  <c r="V46" i="2"/>
  <c r="AL45" i="3"/>
  <c r="AL45" i="2" s="1"/>
  <c r="AL46" i="2"/>
  <c r="BB45" i="3"/>
  <c r="BB45" i="2" s="1"/>
  <c r="BB46" i="2"/>
  <c r="M47" i="2"/>
  <c r="AC47" i="2"/>
  <c r="AS47" i="2"/>
  <c r="BI47" i="2"/>
  <c r="P48" i="2"/>
  <c r="AF48" i="2"/>
  <c r="AV48" i="2"/>
  <c r="BL48" i="2"/>
  <c r="S49" i="2"/>
  <c r="AI49" i="2"/>
  <c r="AY49" i="2"/>
  <c r="J50" i="2"/>
  <c r="Z50" i="2"/>
  <c r="AP50" i="2"/>
  <c r="BF50" i="2"/>
  <c r="Q51" i="2"/>
  <c r="AG51" i="2"/>
  <c r="AW51" i="2"/>
  <c r="BM51" i="2"/>
  <c r="T52" i="2"/>
  <c r="AJ52" i="2"/>
  <c r="AZ52" i="2"/>
  <c r="G53" i="2"/>
  <c r="W53" i="2"/>
  <c r="AR53" i="2"/>
  <c r="J4" i="3"/>
  <c r="J4" i="2" s="1"/>
  <c r="J5" i="2"/>
  <c r="Z4" i="3"/>
  <c r="Z4" i="2" s="1"/>
  <c r="Z5" i="2"/>
  <c r="AP4" i="3"/>
  <c r="AP4" i="2" s="1"/>
  <c r="AP5" i="2"/>
  <c r="BF4" i="3"/>
  <c r="BF4" i="2" s="1"/>
  <c r="BF5" i="2"/>
  <c r="Q6" i="2"/>
  <c r="AG6" i="2"/>
  <c r="AW6" i="2"/>
  <c r="BM6" i="2"/>
  <c r="T7" i="2"/>
  <c r="AJ7" i="2"/>
  <c r="AZ7" i="2"/>
  <c r="G8" i="2"/>
  <c r="W8" i="2"/>
  <c r="AM8" i="2"/>
  <c r="BC8" i="2"/>
  <c r="N9" i="2"/>
  <c r="AD9" i="2"/>
  <c r="AT9" i="2"/>
  <c r="BJ9" i="2"/>
  <c r="U10" i="2"/>
  <c r="AK10" i="2"/>
  <c r="BA10" i="2"/>
  <c r="H11" i="2"/>
  <c r="X11" i="2"/>
  <c r="AN11" i="2"/>
  <c r="BD11" i="2"/>
  <c r="K12" i="2"/>
  <c r="AA12" i="2"/>
  <c r="AQ12" i="2"/>
  <c r="BG12" i="2"/>
  <c r="R13" i="2"/>
  <c r="AH13" i="2"/>
  <c r="AX13" i="2"/>
  <c r="I14" i="2"/>
  <c r="Y14" i="2"/>
  <c r="AO14" i="2"/>
  <c r="BE14" i="2"/>
  <c r="L15" i="2"/>
  <c r="AB15" i="2"/>
  <c r="AR15" i="2"/>
  <c r="BH15" i="2"/>
  <c r="O16" i="2"/>
  <c r="AE16" i="2"/>
  <c r="AU16" i="2"/>
  <c r="BK16" i="2"/>
  <c r="V17" i="2"/>
  <c r="AL17" i="2"/>
  <c r="BB17" i="2"/>
  <c r="M18" i="2"/>
  <c r="AC18" i="2"/>
  <c r="AS18" i="2"/>
  <c r="BI18" i="2"/>
  <c r="P19" i="2"/>
  <c r="AF19" i="2"/>
  <c r="AV19" i="2"/>
  <c r="BL19" i="2"/>
  <c r="S20" i="2"/>
  <c r="AI20" i="2"/>
  <c r="AY20" i="2"/>
  <c r="J21" i="2"/>
  <c r="Z21" i="2"/>
  <c r="AP21" i="2"/>
  <c r="BF21" i="2"/>
  <c r="Q22" i="2"/>
  <c r="AG22" i="2"/>
  <c r="AW22" i="2"/>
  <c r="BM22" i="2"/>
  <c r="T23" i="2"/>
  <c r="AJ23" i="2"/>
  <c r="AZ23" i="2"/>
  <c r="G24" i="2"/>
  <c r="W24" i="2"/>
  <c r="AM24" i="2"/>
  <c r="BC24" i="2"/>
  <c r="N25" i="2"/>
  <c r="AD25" i="2"/>
  <c r="AT25" i="2"/>
  <c r="BJ25" i="2"/>
  <c r="U26" i="2"/>
  <c r="AK26" i="2"/>
  <c r="BA26" i="2"/>
  <c r="H27" i="2"/>
  <c r="X27" i="2"/>
  <c r="AN27" i="2"/>
  <c r="BD27" i="2"/>
  <c r="K28" i="2"/>
  <c r="AA28" i="2"/>
  <c r="AQ28" i="2"/>
  <c r="BG28" i="2"/>
  <c r="R29" i="2"/>
  <c r="AH29" i="2"/>
  <c r="AX29" i="2"/>
  <c r="I30" i="2"/>
  <c r="Y30" i="2"/>
  <c r="AO30" i="2"/>
  <c r="BE30" i="2"/>
  <c r="L31" i="2"/>
  <c r="AB31" i="2"/>
  <c r="AR31" i="2"/>
  <c r="BH31" i="2"/>
  <c r="O32" i="2"/>
  <c r="AE32" i="2"/>
  <c r="AU32" i="2"/>
  <c r="BK32" i="2"/>
  <c r="V33" i="2"/>
  <c r="AL33" i="2"/>
  <c r="BB33" i="2"/>
  <c r="M34" i="2"/>
  <c r="AC34" i="2"/>
  <c r="AS34" i="2"/>
  <c r="BI34" i="2"/>
  <c r="P35" i="2"/>
  <c r="AF35" i="2"/>
  <c r="AV35" i="2"/>
  <c r="BL35" i="2"/>
  <c r="S36" i="2"/>
  <c r="AI36" i="2"/>
  <c r="AY36" i="2"/>
  <c r="J37" i="2"/>
  <c r="Z37" i="2"/>
  <c r="AP37" i="2"/>
  <c r="BF37" i="2"/>
  <c r="Q38" i="2"/>
  <c r="AG38" i="2"/>
  <c r="AW38" i="2"/>
  <c r="BM38" i="2"/>
  <c r="T39" i="2"/>
  <c r="AJ39" i="2"/>
  <c r="AZ39" i="2"/>
  <c r="G40" i="2"/>
  <c r="W40" i="2"/>
  <c r="AM40" i="2"/>
  <c r="BC40" i="2"/>
  <c r="N41" i="2"/>
  <c r="AD41" i="2"/>
  <c r="AT41" i="2"/>
  <c r="BJ41" i="2"/>
  <c r="U42" i="2"/>
  <c r="AK42" i="2"/>
  <c r="BA42" i="2"/>
  <c r="H43" i="2"/>
  <c r="X43" i="2"/>
  <c r="AN43" i="2"/>
  <c r="BD43" i="2"/>
  <c r="K44" i="2"/>
  <c r="AA44" i="2"/>
  <c r="AQ44" i="2"/>
  <c r="BG44" i="2"/>
  <c r="O45" i="3"/>
  <c r="O45" i="2" s="1"/>
  <c r="O46" i="2"/>
  <c r="AE45" i="3"/>
  <c r="AE45" i="2" s="1"/>
  <c r="AE46" i="2"/>
  <c r="AU45" i="3"/>
  <c r="AU45" i="2" s="1"/>
  <c r="AU46" i="2"/>
  <c r="BK45" i="3"/>
  <c r="BK45" i="2" s="1"/>
  <c r="BK46" i="2"/>
  <c r="V47" i="2"/>
  <c r="AL47" i="2"/>
  <c r="BB47" i="2"/>
  <c r="M48" i="2"/>
  <c r="AC48" i="2"/>
  <c r="AS48" i="2"/>
  <c r="BI48" i="2"/>
  <c r="P49" i="2"/>
  <c r="AF49" i="2"/>
  <c r="AV49" i="2"/>
  <c r="BL49" i="2"/>
  <c r="S50" i="2"/>
  <c r="AI50" i="2"/>
  <c r="AY50" i="2"/>
  <c r="J51" i="2"/>
  <c r="Z51" i="2"/>
  <c r="AP51" i="2"/>
  <c r="BF51" i="2"/>
  <c r="Q52" i="2"/>
  <c r="AG52" i="2"/>
  <c r="AW52" i="2"/>
  <c r="BM52" i="2"/>
  <c r="T53" i="2"/>
  <c r="AN53" i="2"/>
  <c r="BJ53" i="2"/>
  <c r="S4" i="3"/>
  <c r="S4" i="2" s="1"/>
  <c r="S5" i="2"/>
  <c r="AI4" i="3"/>
  <c r="AI4" i="2" s="1"/>
  <c r="AI5" i="2"/>
  <c r="AY4" i="3"/>
  <c r="AY4" i="2" s="1"/>
  <c r="AY5" i="2"/>
  <c r="J6" i="2"/>
  <c r="Z6" i="2"/>
  <c r="AP6" i="2"/>
  <c r="BF6" i="2"/>
  <c r="Q7" i="2"/>
  <c r="AG7" i="2"/>
  <c r="AW7" i="2"/>
  <c r="BM7" i="2"/>
  <c r="T8" i="2"/>
  <c r="AJ8" i="2"/>
  <c r="AZ8" i="2"/>
  <c r="G9" i="2"/>
  <c r="W9" i="2"/>
  <c r="AM9" i="2"/>
  <c r="BC9" i="2"/>
  <c r="N10" i="2"/>
  <c r="AD10" i="2"/>
  <c r="AT10" i="2"/>
  <c r="BJ10" i="2"/>
  <c r="U11" i="2"/>
  <c r="AK11" i="2"/>
  <c r="BA11" i="2"/>
  <c r="H12" i="2"/>
  <c r="X12" i="2"/>
  <c r="AN12" i="2"/>
  <c r="BD12" i="2"/>
  <c r="K13" i="2"/>
  <c r="AA13" i="2"/>
  <c r="AQ13" i="2"/>
  <c r="BG13" i="2"/>
  <c r="R14" i="2"/>
  <c r="AH14" i="2"/>
  <c r="AX14" i="2"/>
  <c r="I15" i="2"/>
  <c r="Y15" i="2"/>
  <c r="AO15" i="2"/>
  <c r="BE15" i="2"/>
  <c r="L16" i="2"/>
  <c r="AB16" i="2"/>
  <c r="AR16" i="2"/>
  <c r="BH16" i="2"/>
  <c r="O17" i="2"/>
  <c r="AE17" i="2"/>
  <c r="AU17" i="2"/>
  <c r="BK17" i="2"/>
  <c r="V18" i="2"/>
  <c r="AL18" i="2"/>
  <c r="BB18" i="2"/>
  <c r="M19" i="2"/>
  <c r="AC19" i="2"/>
  <c r="AS19" i="2"/>
  <c r="BI19" i="2"/>
  <c r="P20" i="2"/>
  <c r="AF20" i="2"/>
  <c r="AV20" i="2"/>
  <c r="BL20" i="2"/>
  <c r="S21" i="2"/>
  <c r="AI21" i="2"/>
  <c r="AY21" i="2"/>
  <c r="J22" i="2"/>
  <c r="Z22" i="2"/>
  <c r="AP22" i="2"/>
  <c r="BF22" i="2"/>
  <c r="Q23" i="2"/>
  <c r="AG23" i="2"/>
  <c r="AW23" i="2"/>
  <c r="BM23" i="2"/>
  <c r="T24" i="2"/>
  <c r="AJ24" i="2"/>
  <c r="AZ24" i="2"/>
  <c r="G25" i="2"/>
  <c r="W25" i="2"/>
  <c r="AM25" i="2"/>
  <c r="BC25" i="2"/>
  <c r="N26" i="2"/>
  <c r="AD26" i="2"/>
  <c r="AT26" i="2"/>
  <c r="BJ26" i="2"/>
  <c r="U27" i="2"/>
  <c r="AK27" i="2"/>
  <c r="BA27" i="2"/>
  <c r="H28" i="2"/>
  <c r="X28" i="2"/>
  <c r="AN28" i="2"/>
  <c r="BD28" i="2"/>
  <c r="K29" i="2"/>
  <c r="AA29" i="2"/>
  <c r="AQ29" i="2"/>
  <c r="BG29" i="2"/>
  <c r="R30" i="2"/>
  <c r="AH30" i="2"/>
  <c r="AX30" i="2"/>
  <c r="I31" i="2"/>
  <c r="Y31" i="2"/>
  <c r="AO31" i="2"/>
  <c r="BE31" i="2"/>
  <c r="L32" i="2"/>
  <c r="AB32" i="2"/>
  <c r="AR32" i="2"/>
  <c r="BH32" i="2"/>
  <c r="O33" i="2"/>
  <c r="AE33" i="2"/>
  <c r="AU33" i="2"/>
  <c r="BK33" i="2"/>
  <c r="V34" i="2"/>
  <c r="AL34" i="2"/>
  <c r="BB34" i="2"/>
  <c r="M35" i="2"/>
  <c r="AC35" i="2"/>
  <c r="AS35" i="2"/>
  <c r="BI35" i="2"/>
  <c r="P36" i="2"/>
  <c r="AF36" i="2"/>
  <c r="AV36" i="2"/>
  <c r="BL36" i="2"/>
  <c r="S37" i="2"/>
  <c r="AI37" i="2"/>
  <c r="AY37" i="2"/>
  <c r="J38" i="2"/>
  <c r="Z38" i="2"/>
  <c r="AP38" i="2"/>
  <c r="BF38" i="2"/>
  <c r="Q39" i="2"/>
  <c r="AG39" i="2"/>
  <c r="AW39" i="2"/>
  <c r="BM39" i="2"/>
  <c r="T40" i="2"/>
  <c r="AJ40" i="2"/>
  <c r="AZ40" i="2"/>
  <c r="G41" i="2"/>
  <c r="W41" i="2"/>
  <c r="AM41" i="2"/>
  <c r="BC41" i="2"/>
  <c r="N42" i="2"/>
  <c r="AD42" i="2"/>
  <c r="AT42" i="2"/>
  <c r="BJ42" i="2"/>
  <c r="U43" i="2"/>
  <c r="AK43" i="2"/>
  <c r="BA43" i="2"/>
  <c r="H44" i="2"/>
  <c r="X44" i="2"/>
  <c r="AN44" i="2"/>
  <c r="BD44" i="2"/>
  <c r="L45" i="3"/>
  <c r="L45" i="2" s="1"/>
  <c r="L46" i="2"/>
  <c r="AB45" i="3"/>
  <c r="AB45" i="2" s="1"/>
  <c r="AB46" i="2"/>
  <c r="AR45" i="3"/>
  <c r="AR45" i="2" s="1"/>
  <c r="AR46" i="2"/>
  <c r="BH45" i="3"/>
  <c r="BH45" i="2" s="1"/>
  <c r="BH46" i="2"/>
  <c r="O47" i="2"/>
  <c r="AE47" i="2"/>
  <c r="AU47" i="2"/>
  <c r="BK47" i="2"/>
  <c r="V48" i="2"/>
  <c r="AL48" i="2"/>
  <c r="BB48" i="2"/>
  <c r="M49" i="2"/>
  <c r="AC49" i="2"/>
  <c r="AS49" i="2"/>
  <c r="BI49" i="2"/>
  <c r="P50" i="2"/>
  <c r="AF50" i="2"/>
  <c r="AV50" i="2"/>
  <c r="BL50" i="2"/>
  <c r="S51" i="2"/>
  <c r="AI51" i="2"/>
  <c r="AY51" i="2"/>
  <c r="J52" i="2"/>
  <c r="Z52" i="2"/>
  <c r="AP52" i="2"/>
  <c r="BF52" i="2"/>
  <c r="Q53" i="2"/>
  <c r="AJ53" i="2"/>
  <c r="BF53" i="2"/>
  <c r="L4" i="3"/>
  <c r="L4" i="2" s="1"/>
  <c r="L5" i="2"/>
  <c r="AB4" i="3"/>
  <c r="AB4" i="2" s="1"/>
  <c r="AB5" i="2"/>
  <c r="AR4" i="3"/>
  <c r="AR4" i="2" s="1"/>
  <c r="AR5" i="2"/>
  <c r="BH4" i="3"/>
  <c r="BH4" i="2" s="1"/>
  <c r="BH5" i="2"/>
  <c r="O6" i="2"/>
  <c r="AE6" i="2"/>
  <c r="AU6" i="2"/>
  <c r="BK6" i="2"/>
  <c r="V7" i="2"/>
  <c r="AL7" i="2"/>
  <c r="BB7" i="2"/>
  <c r="M8" i="2"/>
  <c r="AC8" i="2"/>
  <c r="AS8" i="2"/>
  <c r="BI8" i="2"/>
  <c r="P9" i="2"/>
  <c r="AF9" i="2"/>
  <c r="AV9" i="2"/>
  <c r="BL9" i="2"/>
  <c r="S10" i="2"/>
  <c r="AI10" i="2"/>
  <c r="AY10" i="2"/>
  <c r="J11" i="2"/>
  <c r="Z11" i="2"/>
  <c r="AP11" i="2"/>
  <c r="BF11" i="2"/>
  <c r="Q12" i="2"/>
  <c r="AG12" i="2"/>
  <c r="AW12" i="2"/>
  <c r="BM12" i="2"/>
  <c r="T13" i="2"/>
  <c r="AJ13" i="2"/>
  <c r="AZ13" i="2"/>
  <c r="G14" i="2"/>
  <c r="W14" i="2"/>
  <c r="AM14" i="2"/>
  <c r="BC14" i="2"/>
  <c r="N15" i="2"/>
  <c r="AD15" i="2"/>
  <c r="AT15" i="2"/>
  <c r="BJ15" i="2"/>
  <c r="U16" i="2"/>
  <c r="AK16" i="2"/>
  <c r="BA16" i="2"/>
  <c r="H17" i="2"/>
  <c r="X17" i="2"/>
  <c r="AN17" i="2"/>
  <c r="BD17" i="2"/>
  <c r="K18" i="2"/>
  <c r="AA18" i="2"/>
  <c r="AQ18" i="2"/>
  <c r="BG18" i="2"/>
  <c r="R19" i="2"/>
  <c r="AH19" i="2"/>
  <c r="AX19" i="2"/>
  <c r="I20" i="2"/>
  <c r="Y20" i="2"/>
  <c r="AO20" i="2"/>
  <c r="BE20" i="2"/>
  <c r="L21" i="2"/>
  <c r="AB21" i="2"/>
  <c r="AR21" i="2"/>
  <c r="BH21" i="2"/>
  <c r="O22" i="2"/>
  <c r="AE22" i="2"/>
  <c r="AU22" i="2"/>
  <c r="BK22" i="2"/>
  <c r="V23" i="2"/>
  <c r="AL23" i="2"/>
  <c r="BB23" i="2"/>
  <c r="M24" i="2"/>
  <c r="AC24" i="2"/>
  <c r="AS24" i="2"/>
  <c r="BI24" i="2"/>
  <c r="P25" i="2"/>
  <c r="AF25" i="2"/>
  <c r="AV25" i="2"/>
  <c r="BL25" i="2"/>
  <c r="S26" i="2"/>
  <c r="AI26" i="2"/>
  <c r="AY26" i="2"/>
  <c r="J27" i="2"/>
  <c r="Z27" i="2"/>
  <c r="AP27" i="2"/>
  <c r="BF27" i="2"/>
  <c r="Q28" i="2"/>
  <c r="AG28" i="2"/>
  <c r="AW28" i="2"/>
  <c r="BM28" i="2"/>
  <c r="T29" i="2"/>
  <c r="AJ29" i="2"/>
  <c r="AZ29" i="2"/>
  <c r="G30" i="2"/>
  <c r="W30" i="2"/>
  <c r="AM30" i="2"/>
  <c r="BC30" i="2"/>
  <c r="N31" i="2"/>
  <c r="AD31" i="2"/>
  <c r="AT31" i="2"/>
  <c r="BJ31" i="2"/>
  <c r="U32" i="2"/>
  <c r="AK32" i="2"/>
  <c r="BA32" i="2"/>
  <c r="H33" i="2"/>
  <c r="X33" i="2"/>
  <c r="AN33" i="2"/>
  <c r="BD33" i="2"/>
  <c r="K34" i="2"/>
  <c r="AA34" i="2"/>
  <c r="AQ34" i="2"/>
  <c r="BG34" i="2"/>
  <c r="R35" i="2"/>
  <c r="AH35" i="2"/>
  <c r="AX35" i="2"/>
  <c r="I36" i="2"/>
  <c r="Y36" i="2"/>
  <c r="AO36" i="2"/>
  <c r="BE36" i="2"/>
  <c r="L37" i="2"/>
  <c r="AB37" i="2"/>
  <c r="AR37" i="2"/>
  <c r="BH37" i="2"/>
  <c r="O38" i="2"/>
  <c r="AE38" i="2"/>
  <c r="AU38" i="2"/>
  <c r="BK38" i="2"/>
  <c r="V39" i="2"/>
  <c r="AL39" i="2"/>
  <c r="BB39" i="2"/>
  <c r="M40" i="2"/>
  <c r="AC40" i="2"/>
  <c r="AS40" i="2"/>
  <c r="BI40" i="2"/>
  <c r="P41" i="2"/>
  <c r="AF41" i="2"/>
  <c r="AV41" i="2"/>
  <c r="BL41" i="2"/>
  <c r="S42" i="2"/>
  <c r="AI42" i="2"/>
  <c r="AY42" i="2"/>
  <c r="J43" i="2"/>
  <c r="Z43" i="2"/>
  <c r="AP43" i="2"/>
  <c r="BF43" i="2"/>
  <c r="Q44" i="2"/>
  <c r="AG44" i="2"/>
  <c r="AW44" i="2"/>
  <c r="BM44" i="2"/>
  <c r="U45" i="3"/>
  <c r="U45" i="2" s="1"/>
  <c r="U46" i="2"/>
  <c r="AK45" i="3"/>
  <c r="AK45" i="2" s="1"/>
  <c r="AK46" i="2"/>
  <c r="BA45" i="3"/>
  <c r="BA45" i="2" s="1"/>
  <c r="BA46" i="2"/>
  <c r="H47" i="2"/>
  <c r="X47" i="2"/>
  <c r="AN47" i="2"/>
  <c r="BD47" i="2"/>
  <c r="K48" i="2"/>
  <c r="AA48" i="2"/>
  <c r="AQ48" i="2"/>
  <c r="BG48" i="2"/>
  <c r="R49" i="2"/>
  <c r="AH49" i="2"/>
  <c r="AX49" i="2"/>
  <c r="I50" i="2"/>
  <c r="Y50" i="2"/>
  <c r="AO50" i="2"/>
  <c r="BE50" i="2"/>
  <c r="L51" i="2"/>
  <c r="AB51" i="2"/>
  <c r="AR51" i="2"/>
  <c r="BH51" i="2"/>
  <c r="O52" i="2"/>
  <c r="AE52" i="2"/>
  <c r="AU52" i="2"/>
  <c r="BK52" i="2"/>
  <c r="V53" i="2"/>
  <c r="AQ53" i="2"/>
  <c r="BL53" i="2"/>
  <c r="U54" i="2"/>
  <c r="AK54" i="2"/>
  <c r="BA54" i="2"/>
  <c r="H55" i="2"/>
  <c r="X55" i="2"/>
  <c r="AN55" i="2"/>
  <c r="BD55" i="2"/>
  <c r="K56" i="2"/>
  <c r="AA56" i="2"/>
  <c r="AQ56" i="2"/>
  <c r="BG56" i="2"/>
  <c r="R57" i="2"/>
  <c r="AH57" i="2"/>
  <c r="AX57" i="2"/>
  <c r="I58" i="2"/>
  <c r="Y58" i="2"/>
  <c r="AO58" i="2"/>
  <c r="BE58" i="2"/>
  <c r="L59" i="2"/>
  <c r="AB59" i="2"/>
  <c r="AR59" i="2"/>
  <c r="BH59" i="2"/>
  <c r="O60" i="2"/>
  <c r="AE60" i="2"/>
  <c r="AU60" i="2"/>
  <c r="BK60" i="2"/>
  <c r="V61" i="2"/>
  <c r="AL61" i="2"/>
  <c r="BB61" i="2"/>
  <c r="M62" i="2"/>
  <c r="AC62" i="2"/>
  <c r="AS62" i="2"/>
  <c r="BI62" i="2"/>
  <c r="P63" i="2"/>
  <c r="AF63" i="2"/>
  <c r="AV63" i="2"/>
  <c r="BL63" i="2"/>
  <c r="S64" i="2"/>
  <c r="AI64" i="2"/>
  <c r="AY64" i="2"/>
  <c r="J65" i="2"/>
  <c r="Z65" i="2"/>
  <c r="AP65" i="2"/>
  <c r="BF65" i="2"/>
  <c r="Q66" i="2"/>
  <c r="AG66" i="2"/>
  <c r="AW66" i="2"/>
  <c r="BM66" i="2"/>
  <c r="T67" i="2"/>
  <c r="AJ67" i="2"/>
  <c r="AZ67" i="2"/>
  <c r="G68" i="2"/>
  <c r="W68" i="2"/>
  <c r="AM68" i="2"/>
  <c r="BC68" i="2"/>
  <c r="N69" i="2"/>
  <c r="AD69" i="2"/>
  <c r="AT69" i="2"/>
  <c r="BJ69" i="2"/>
  <c r="U70" i="2"/>
  <c r="AK70" i="2"/>
  <c r="BA70" i="2"/>
  <c r="H71" i="2"/>
  <c r="X71" i="2"/>
  <c r="AN71" i="2"/>
  <c r="BD71" i="2"/>
  <c r="K72" i="2"/>
  <c r="AA72" i="2"/>
  <c r="AQ72" i="2"/>
  <c r="BG72" i="2"/>
  <c r="R73" i="2"/>
  <c r="AH73" i="2"/>
  <c r="AX73" i="2"/>
  <c r="I74" i="2"/>
  <c r="Y74" i="2"/>
  <c r="AO74" i="2"/>
  <c r="BE74" i="2"/>
  <c r="L75" i="2"/>
  <c r="AB75" i="2"/>
  <c r="AR75" i="2"/>
  <c r="BH75" i="2"/>
  <c r="O76" i="2"/>
  <c r="AE76" i="2"/>
  <c r="AU76" i="2"/>
  <c r="BK76" i="2"/>
  <c r="V77" i="2"/>
  <c r="AL77" i="2"/>
  <c r="BB77" i="2"/>
  <c r="M78" i="2"/>
  <c r="AC78" i="2"/>
  <c r="AS78" i="2"/>
  <c r="BI78" i="2"/>
  <c r="P79" i="2"/>
  <c r="AF79" i="2"/>
  <c r="AV79" i="2"/>
  <c r="BL79" i="2"/>
  <c r="S80" i="2"/>
  <c r="AI80" i="2"/>
  <c r="AY80" i="2"/>
  <c r="J81" i="2"/>
  <c r="Z81" i="2"/>
  <c r="AP81" i="2"/>
  <c r="BF81" i="2"/>
  <c r="Q82" i="2"/>
  <c r="AG82" i="2"/>
  <c r="AW82" i="2"/>
  <c r="BM82" i="2"/>
  <c r="T83" i="2"/>
  <c r="AJ83" i="2"/>
  <c r="AZ83" i="2"/>
  <c r="G84" i="2"/>
  <c r="W84" i="2"/>
  <c r="AM84" i="2"/>
  <c r="BC84" i="2"/>
  <c r="N85" i="2"/>
  <c r="AD85" i="2"/>
  <c r="AT85" i="2"/>
  <c r="BJ85" i="2"/>
  <c r="V86" i="3"/>
  <c r="V86" i="2" s="1"/>
  <c r="V87" i="2"/>
  <c r="AL86" i="3"/>
  <c r="AL86" i="2" s="1"/>
  <c r="AL87" i="2"/>
  <c r="BB86" i="3"/>
  <c r="BB86" i="2" s="1"/>
  <c r="BB87" i="2"/>
  <c r="M88" i="2"/>
  <c r="AC88" i="2"/>
  <c r="AS88" i="2"/>
  <c r="BI88" i="2"/>
  <c r="P89" i="2"/>
  <c r="AF89" i="2"/>
  <c r="AV89" i="2"/>
  <c r="BL89" i="2"/>
  <c r="S90" i="2"/>
  <c r="AI90" i="2"/>
  <c r="AY90" i="2"/>
  <c r="J91" i="2"/>
  <c r="Z91" i="2"/>
  <c r="AP91" i="2"/>
  <c r="BF91" i="2"/>
  <c r="Q92" i="2"/>
  <c r="AG92" i="2"/>
  <c r="AW92" i="2"/>
  <c r="BM92" i="2"/>
  <c r="T93" i="2"/>
  <c r="AJ93" i="2"/>
  <c r="AZ93" i="2"/>
  <c r="G94" i="2"/>
  <c r="W94" i="2"/>
  <c r="AM94" i="2"/>
  <c r="BC94" i="2"/>
  <c r="N95" i="2"/>
  <c r="AD95" i="2"/>
  <c r="AT95" i="2"/>
  <c r="BJ95" i="2"/>
  <c r="U96" i="2"/>
  <c r="AK96" i="2"/>
  <c r="BA96" i="2"/>
  <c r="H97" i="2"/>
  <c r="X97" i="2"/>
  <c r="AN97" i="2"/>
  <c r="BD97" i="2"/>
  <c r="K98" i="2"/>
  <c r="AA98" i="2"/>
  <c r="AQ98" i="2"/>
  <c r="BG98" i="2"/>
  <c r="R99" i="2"/>
  <c r="AH99" i="2"/>
  <c r="AX99" i="2"/>
  <c r="I100" i="2"/>
  <c r="Y100" i="2"/>
  <c r="AO100" i="2"/>
  <c r="BE100" i="2"/>
  <c r="L101" i="2"/>
  <c r="AB101" i="2"/>
  <c r="AR101" i="2"/>
  <c r="BH101" i="2"/>
  <c r="O102" i="2"/>
  <c r="AE102" i="2"/>
  <c r="AU102" i="2"/>
  <c r="BK102" i="2"/>
  <c r="V103" i="2"/>
  <c r="AL103" i="2"/>
  <c r="BB103" i="2"/>
  <c r="M104" i="2"/>
  <c r="AC104" i="2"/>
  <c r="AS104" i="2"/>
  <c r="BI104" i="2"/>
  <c r="P105" i="2"/>
  <c r="AF105" i="2"/>
  <c r="AV105" i="2"/>
  <c r="BL105" i="2"/>
  <c r="S106" i="2"/>
  <c r="AI106" i="2"/>
  <c r="AY106" i="2"/>
  <c r="J107" i="2"/>
  <c r="Z107" i="2"/>
  <c r="AP107" i="2"/>
  <c r="BF107" i="2"/>
  <c r="Q108" i="2"/>
  <c r="AG108" i="2"/>
  <c r="AW108" i="2"/>
  <c r="BM108" i="2"/>
  <c r="T109" i="2"/>
  <c r="AJ109" i="2"/>
  <c r="AZ109" i="2"/>
  <c r="G110" i="2"/>
  <c r="W110" i="2"/>
  <c r="AM110" i="2"/>
  <c r="BC110" i="2"/>
  <c r="N111" i="2"/>
  <c r="AD111" i="2"/>
  <c r="AT111" i="2"/>
  <c r="BJ111" i="2"/>
  <c r="U112" i="2"/>
  <c r="AK112" i="2"/>
  <c r="BA112" i="2"/>
  <c r="H113" i="2"/>
  <c r="X113" i="2"/>
  <c r="AN113" i="2"/>
  <c r="BD113" i="2"/>
  <c r="K114" i="2"/>
  <c r="AA114" i="2"/>
  <c r="AQ114" i="2"/>
  <c r="BG114" i="2"/>
  <c r="R115" i="2"/>
  <c r="AH115" i="2"/>
  <c r="AX115" i="2"/>
  <c r="I116" i="2"/>
  <c r="Y116" i="2"/>
  <c r="AO116" i="2"/>
  <c r="BE116" i="2"/>
  <c r="L117" i="2"/>
  <c r="AB117" i="2"/>
  <c r="AR117" i="2"/>
  <c r="BH117" i="2"/>
  <c r="O118" i="2"/>
  <c r="AE118" i="2"/>
  <c r="AU118" i="2"/>
  <c r="BK118" i="2"/>
  <c r="V119" i="2"/>
  <c r="AL119" i="2"/>
  <c r="BB119" i="2"/>
  <c r="M120" i="2"/>
  <c r="AC120" i="2"/>
  <c r="AS120" i="2"/>
  <c r="BI120" i="2"/>
  <c r="P121" i="2"/>
  <c r="AF121" i="2"/>
  <c r="AV121" i="2"/>
  <c r="BL121" i="2"/>
  <c r="S122" i="2"/>
  <c r="AI122" i="2"/>
  <c r="AY122" i="2"/>
  <c r="J123" i="2"/>
  <c r="Z123" i="2"/>
  <c r="AP123" i="2"/>
  <c r="BF123" i="2"/>
  <c r="Q124" i="2"/>
  <c r="AG124" i="2"/>
  <c r="AW124" i="2"/>
  <c r="BM124" i="2"/>
  <c r="T125" i="2"/>
  <c r="AJ125" i="2"/>
  <c r="AZ125" i="2"/>
  <c r="G126" i="2"/>
  <c r="W126" i="2"/>
  <c r="AM126" i="2"/>
  <c r="BC126" i="2"/>
  <c r="K127" i="3"/>
  <c r="K127" i="2" s="1"/>
  <c r="K128" i="2"/>
  <c r="AA127" i="3"/>
  <c r="AA127" i="2" s="1"/>
  <c r="AA128" i="2"/>
  <c r="AQ127" i="3"/>
  <c r="AQ127" i="2" s="1"/>
  <c r="AQ128" i="2"/>
  <c r="BG127" i="3"/>
  <c r="BG127" i="2" s="1"/>
  <c r="BG128" i="2"/>
  <c r="R129" i="2"/>
  <c r="AH129" i="2"/>
  <c r="AX129" i="2"/>
  <c r="I130" i="2"/>
  <c r="Y130" i="2"/>
  <c r="AO130" i="2"/>
  <c r="BE130" i="2"/>
  <c r="L131" i="2"/>
  <c r="AB131" i="2"/>
  <c r="AR131" i="2"/>
  <c r="BH131" i="2"/>
  <c r="O132" i="2"/>
  <c r="AE132" i="2"/>
  <c r="AU132" i="2"/>
  <c r="BK132" i="2"/>
  <c r="V133" i="2"/>
  <c r="AL133" i="2"/>
  <c r="BB133" i="2"/>
  <c r="M134" i="2"/>
  <c r="AC134" i="2"/>
  <c r="AS134" i="2"/>
  <c r="BI134" i="2"/>
  <c r="P135" i="2"/>
  <c r="AF135" i="2"/>
  <c r="AV135" i="2"/>
  <c r="BL135" i="2"/>
  <c r="S136" i="2"/>
  <c r="AI136" i="2"/>
  <c r="AY136" i="2"/>
  <c r="J137" i="2"/>
  <c r="Z137" i="2"/>
  <c r="AP137" i="2"/>
  <c r="BF137" i="2"/>
  <c r="Q138" i="2"/>
  <c r="AG138" i="2"/>
  <c r="AW138" i="2"/>
  <c r="BM138" i="2"/>
  <c r="T139" i="2"/>
  <c r="AJ139" i="2"/>
  <c r="AZ139" i="2"/>
  <c r="G140" i="2"/>
  <c r="W140" i="2"/>
  <c r="AM140" i="2"/>
  <c r="BC140" i="2"/>
  <c r="N141" i="2"/>
  <c r="AD141" i="2"/>
  <c r="AT141" i="2"/>
  <c r="BJ141" i="2"/>
  <c r="U142" i="2"/>
  <c r="AK142" i="2"/>
  <c r="BA142" i="2"/>
  <c r="H143" i="2"/>
  <c r="X143" i="2"/>
  <c r="AN143" i="2"/>
  <c r="BD143" i="2"/>
  <c r="L144" i="2"/>
  <c r="AI144" i="2"/>
  <c r="N145" i="2"/>
  <c r="AT145" i="2"/>
  <c r="R54" i="2"/>
  <c r="AH54" i="2"/>
  <c r="AX54" i="2"/>
  <c r="I55" i="2"/>
  <c r="Y55" i="2"/>
  <c r="AO55" i="2"/>
  <c r="BE55" i="2"/>
  <c r="L56" i="2"/>
  <c r="AB56" i="2"/>
  <c r="AR56" i="2"/>
  <c r="BH56" i="2"/>
  <c r="O57" i="2"/>
  <c r="AE57" i="2"/>
  <c r="AU57" i="2"/>
  <c r="BK57" i="2"/>
  <c r="V58" i="2"/>
  <c r="AL58" i="2"/>
  <c r="BB58" i="2"/>
  <c r="M59" i="2"/>
  <c r="AC59" i="2"/>
  <c r="AS59" i="2"/>
  <c r="BI59" i="2"/>
  <c r="P60" i="2"/>
  <c r="AF60" i="2"/>
  <c r="AV60" i="2"/>
  <c r="BL60" i="2"/>
  <c r="S61" i="2"/>
  <c r="AI61" i="2"/>
  <c r="AY61" i="2"/>
  <c r="J62" i="2"/>
  <c r="Z62" i="2"/>
  <c r="AP62" i="2"/>
  <c r="BF62" i="2"/>
  <c r="Q63" i="2"/>
  <c r="AG63" i="2"/>
  <c r="AW63" i="2"/>
  <c r="BM63" i="2"/>
  <c r="T64" i="2"/>
  <c r="AJ64" i="2"/>
  <c r="AZ64" i="2"/>
  <c r="G65" i="2"/>
  <c r="W65" i="2"/>
  <c r="AM65" i="2"/>
  <c r="BC65" i="2"/>
  <c r="N66" i="2"/>
  <c r="AD66" i="2"/>
  <c r="AT66" i="2"/>
  <c r="BJ66" i="2"/>
  <c r="U67" i="2"/>
  <c r="AK67" i="2"/>
  <c r="BA67" i="2"/>
  <c r="H68" i="2"/>
  <c r="X68" i="2"/>
  <c r="AN68" i="2"/>
  <c r="BD68" i="2"/>
  <c r="K69" i="2"/>
  <c r="AA69" i="2"/>
  <c r="AQ69" i="2"/>
  <c r="BG69" i="2"/>
  <c r="R70" i="2"/>
  <c r="AH70" i="2"/>
  <c r="AX70" i="2"/>
  <c r="I71" i="2"/>
  <c r="Y71" i="2"/>
  <c r="AO71" i="2"/>
  <c r="BE71" i="2"/>
  <c r="L72" i="2"/>
  <c r="AB72" i="2"/>
  <c r="AR72" i="2"/>
  <c r="BH72" i="2"/>
  <c r="O73" i="2"/>
  <c r="AE73" i="2"/>
  <c r="AU73" i="2"/>
  <c r="BK73" i="2"/>
  <c r="V74" i="2"/>
  <c r="AL74" i="2"/>
  <c r="BB74" i="2"/>
  <c r="M75" i="2"/>
  <c r="AC75" i="2"/>
  <c r="AS75" i="2"/>
  <c r="BI75" i="2"/>
  <c r="P76" i="2"/>
  <c r="AF76" i="2"/>
  <c r="AV76" i="2"/>
  <c r="BL76" i="2"/>
  <c r="S77" i="2"/>
  <c r="AI77" i="2"/>
  <c r="AY77" i="2"/>
  <c r="J78" i="2"/>
  <c r="Z78" i="2"/>
  <c r="AP78" i="2"/>
  <c r="BF78" i="2"/>
  <c r="Q79" i="2"/>
  <c r="AG79" i="2"/>
  <c r="AW79" i="2"/>
  <c r="BM79" i="2"/>
  <c r="T80" i="2"/>
  <c r="AJ80" i="2"/>
  <c r="AZ80" i="2"/>
  <c r="G81" i="2"/>
  <c r="W81" i="2"/>
  <c r="AM81" i="2"/>
  <c r="BC81" i="2"/>
  <c r="N82" i="2"/>
  <c r="AD82" i="2"/>
  <c r="AT82" i="2"/>
  <c r="BJ82" i="2"/>
  <c r="U83" i="2"/>
  <c r="AK83" i="2"/>
  <c r="BA83" i="2"/>
  <c r="H84" i="2"/>
  <c r="X84" i="2"/>
  <c r="AN84" i="2"/>
  <c r="BD84" i="2"/>
  <c r="K85" i="2"/>
  <c r="AA85" i="2"/>
  <c r="AQ85" i="2"/>
  <c r="BG85" i="2"/>
  <c r="O86" i="3"/>
  <c r="O86" i="2" s="1"/>
  <c r="O87" i="2"/>
  <c r="AE86" i="3"/>
  <c r="AE86" i="2" s="1"/>
  <c r="AE87" i="2"/>
  <c r="AU86" i="3"/>
  <c r="AU86" i="2" s="1"/>
  <c r="AU87" i="2"/>
  <c r="BK86" i="3"/>
  <c r="BK86" i="2" s="1"/>
  <c r="BK87" i="2"/>
  <c r="V88" i="2"/>
  <c r="AL88" i="2"/>
  <c r="BB88" i="2"/>
  <c r="M89" i="2"/>
  <c r="AC89" i="2"/>
  <c r="AS89" i="2"/>
  <c r="BI89" i="2"/>
  <c r="P90" i="2"/>
  <c r="AF90" i="2"/>
  <c r="AV90" i="2"/>
  <c r="BL90" i="2"/>
  <c r="S91" i="2"/>
  <c r="AI91" i="2"/>
  <c r="AY91" i="2"/>
  <c r="J92" i="2"/>
  <c r="Z92" i="2"/>
  <c r="AP92" i="2"/>
  <c r="BF92" i="2"/>
  <c r="Q93" i="2"/>
  <c r="AG93" i="2"/>
  <c r="AW93" i="2"/>
  <c r="BM93" i="2"/>
  <c r="T94" i="2"/>
  <c r="AJ94" i="2"/>
  <c r="AZ94" i="2"/>
  <c r="G95" i="2"/>
  <c r="W95" i="2"/>
  <c r="AM95" i="2"/>
  <c r="BC95" i="2"/>
  <c r="N96" i="2"/>
  <c r="AD96" i="2"/>
  <c r="AT96" i="2"/>
  <c r="BJ96" i="2"/>
  <c r="U97" i="2"/>
  <c r="AK97" i="2"/>
  <c r="BA97" i="2"/>
  <c r="H98" i="2"/>
  <c r="X98" i="2"/>
  <c r="AN98" i="2"/>
  <c r="BD98" i="2"/>
  <c r="K99" i="2"/>
  <c r="AA99" i="2"/>
  <c r="AQ99" i="2"/>
  <c r="BG99" i="2"/>
  <c r="R100" i="2"/>
  <c r="AH100" i="2"/>
  <c r="AX100" i="2"/>
  <c r="I101" i="2"/>
  <c r="Y101" i="2"/>
  <c r="AO101" i="2"/>
  <c r="BE101" i="2"/>
  <c r="L102" i="2"/>
  <c r="AB102" i="2"/>
  <c r="AR102" i="2"/>
  <c r="BH102" i="2"/>
  <c r="O103" i="2"/>
  <c r="AE103" i="2"/>
  <c r="AU103" i="2"/>
  <c r="BK103" i="2"/>
  <c r="V104" i="2"/>
  <c r="AL104" i="2"/>
  <c r="BB104" i="2"/>
  <c r="M105" i="2"/>
  <c r="AC105" i="2"/>
  <c r="AS105" i="2"/>
  <c r="BI105" i="2"/>
  <c r="P106" i="2"/>
  <c r="AF106" i="2"/>
  <c r="AV106" i="2"/>
  <c r="BL106" i="2"/>
  <c r="S107" i="2"/>
  <c r="AI107" i="2"/>
  <c r="AY107" i="2"/>
  <c r="J108" i="2"/>
  <c r="Z108" i="2"/>
  <c r="AP108" i="2"/>
  <c r="BF108" i="2"/>
  <c r="Q109" i="2"/>
  <c r="AG109" i="2"/>
  <c r="AW109" i="2"/>
  <c r="BM109" i="2"/>
  <c r="T110" i="2"/>
  <c r="AJ110" i="2"/>
  <c r="AZ110" i="2"/>
  <c r="G111" i="2"/>
  <c r="W111" i="2"/>
  <c r="AM111" i="2"/>
  <c r="BC111" i="2"/>
  <c r="N112" i="2"/>
  <c r="AD112" i="2"/>
  <c r="AT112" i="2"/>
  <c r="BJ112" i="2"/>
  <c r="U113" i="2"/>
  <c r="AO113" i="2"/>
  <c r="BI113" i="2"/>
  <c r="AV114" i="2"/>
  <c r="AY115" i="2"/>
  <c r="BF116" i="2"/>
  <c r="BM117" i="2"/>
  <c r="G119" i="2"/>
  <c r="N120" i="2"/>
  <c r="U121" i="2"/>
  <c r="X122" i="2"/>
  <c r="AA123" i="2"/>
  <c r="AH124" i="2"/>
  <c r="AO125" i="2"/>
  <c r="AR126" i="2"/>
  <c r="AV127" i="3"/>
  <c r="AV127" i="2" s="1"/>
  <c r="AV128" i="2"/>
  <c r="AY129" i="2"/>
  <c r="BF130" i="2"/>
  <c r="BM131" i="2"/>
  <c r="G133" i="2"/>
  <c r="N134" i="2"/>
  <c r="U135" i="2"/>
  <c r="X136" i="2"/>
  <c r="AA137" i="2"/>
  <c r="AH138" i="2"/>
  <c r="AO139" i="2"/>
  <c r="AR140" i="2"/>
  <c r="AU141" i="2"/>
  <c r="BB142" i="2"/>
  <c r="BI143" i="2"/>
  <c r="AW145" i="2"/>
  <c r="BG54" i="2"/>
  <c r="I56" i="2"/>
  <c r="L57" i="2"/>
  <c r="O58" i="2"/>
  <c r="V59" i="2"/>
  <c r="AC60" i="2"/>
  <c r="AF61" i="2"/>
  <c r="AI62" i="2"/>
  <c r="AP63" i="2"/>
  <c r="AW64" i="2"/>
  <c r="AZ65" i="2"/>
  <c r="BC66" i="2"/>
  <c r="BJ67" i="2"/>
  <c r="H69" i="2"/>
  <c r="K70" i="2"/>
  <c r="R71" i="2"/>
  <c r="Y72" i="2"/>
  <c r="AB73" i="2"/>
  <c r="AE74" i="2"/>
  <c r="AL75" i="2"/>
  <c r="AS76" i="2"/>
  <c r="AV77" i="2"/>
  <c r="AY78" i="2"/>
  <c r="BF79" i="2"/>
  <c r="BM80" i="2"/>
  <c r="G82" i="2"/>
  <c r="N83" i="2"/>
  <c r="U84" i="2"/>
  <c r="X85" i="2"/>
  <c r="AB86" i="3"/>
  <c r="AB86" i="2" s="1"/>
  <c r="AB87" i="2"/>
  <c r="AE88" i="2"/>
  <c r="AL89" i="2"/>
  <c r="AS90" i="2"/>
  <c r="AV91" i="2"/>
  <c r="AY92" i="2"/>
  <c r="BF93" i="2"/>
  <c r="BM94" i="2"/>
  <c r="G96" i="2"/>
  <c r="N97" i="2"/>
  <c r="U98" i="2"/>
  <c r="X99" i="2"/>
  <c r="AA100" i="2"/>
  <c r="AH101" i="2"/>
  <c r="AO102" i="2"/>
  <c r="AR103" i="2"/>
  <c r="AU104" i="2"/>
  <c r="BB105" i="2"/>
  <c r="BI106" i="2"/>
  <c r="BL107" i="2"/>
  <c r="J109" i="2"/>
  <c r="Q110" i="2"/>
  <c r="T111" i="2"/>
  <c r="W112" i="2"/>
  <c r="AD113" i="2"/>
  <c r="AK114" i="2"/>
  <c r="AN115" i="2"/>
  <c r="AQ116" i="2"/>
  <c r="AX117" i="2"/>
  <c r="BE118" i="2"/>
  <c r="BH119" i="2"/>
  <c r="BK120" i="2"/>
  <c r="M122" i="2"/>
  <c r="P123" i="2"/>
  <c r="S124" i="2"/>
  <c r="Z125" i="2"/>
  <c r="AG126" i="2"/>
  <c r="AK127" i="3"/>
  <c r="AK127" i="2" s="1"/>
  <c r="AK128" i="2"/>
  <c r="AN129" i="2"/>
  <c r="AQ130" i="2"/>
  <c r="AX131" i="2"/>
  <c r="BE132" i="2"/>
  <c r="BH133" i="2"/>
  <c r="BK134" i="2"/>
  <c r="M136" i="2"/>
  <c r="P137" i="2"/>
  <c r="S138" i="2"/>
  <c r="Z139" i="2"/>
  <c r="AG140" i="2"/>
  <c r="AJ141" i="2"/>
  <c r="AM142" i="2"/>
  <c r="AT143" i="2"/>
  <c r="Z145" i="2"/>
  <c r="H54" i="2"/>
  <c r="K55" i="2"/>
  <c r="R56" i="2"/>
  <c r="Y57" i="2"/>
  <c r="AB58" i="2"/>
  <c r="AE59" i="2"/>
  <c r="AL60" i="2"/>
  <c r="AS61" i="2"/>
  <c r="AV62" i="2"/>
  <c r="AY63" i="2"/>
  <c r="BF64" i="2"/>
  <c r="BM65" i="2"/>
  <c r="G67" i="2"/>
  <c r="N68" i="2"/>
  <c r="U69" i="2"/>
  <c r="X70" i="2"/>
  <c r="AA71" i="2"/>
  <c r="AH72" i="2"/>
  <c r="AO73" i="2"/>
  <c r="AR74" i="2"/>
  <c r="AU75" i="2"/>
  <c r="BB76" i="2"/>
  <c r="BI77" i="2"/>
  <c r="BL78" i="2"/>
  <c r="J80" i="2"/>
  <c r="Q81" i="2"/>
  <c r="T82" i="2"/>
  <c r="W83" i="2"/>
  <c r="AD84" i="2"/>
  <c r="AK85" i="2"/>
  <c r="AO86" i="3"/>
  <c r="AO86" i="2" s="1"/>
  <c r="AO87" i="2"/>
  <c r="AR88" i="2"/>
  <c r="AU89" i="2"/>
  <c r="BB90" i="2"/>
  <c r="BI91" i="2"/>
  <c r="BL92" i="2"/>
  <c r="J94" i="2"/>
  <c r="Q95" i="2"/>
  <c r="T96" i="2"/>
  <c r="W97" i="2"/>
  <c r="AD98" i="2"/>
  <c r="AK99" i="2"/>
  <c r="AN100" i="2"/>
  <c r="AQ101" i="2"/>
  <c r="AX102" i="2"/>
  <c r="BE103" i="2"/>
  <c r="BH104" i="2"/>
  <c r="BK105" i="2"/>
  <c r="M107" i="2"/>
  <c r="P108" i="2"/>
  <c r="S109" i="2"/>
  <c r="Z110" i="2"/>
  <c r="AG111" i="2"/>
  <c r="AJ112" i="2"/>
  <c r="AM113" i="2"/>
  <c r="AT114" i="2"/>
  <c r="BA115" i="2"/>
  <c r="BD116" i="2"/>
  <c r="BG117" i="2"/>
  <c r="I119" i="2"/>
  <c r="L120" i="2"/>
  <c r="O121" i="2"/>
  <c r="V122" i="2"/>
  <c r="AC123" i="2"/>
  <c r="AF124" i="2"/>
  <c r="AI125" i="2"/>
  <c r="AP126" i="2"/>
  <c r="AX127" i="3"/>
  <c r="AX127" i="2" s="1"/>
  <c r="AX128" i="2"/>
  <c r="BE129" i="2"/>
  <c r="BH130" i="2"/>
  <c r="BK131" i="2"/>
  <c r="M133" i="2"/>
  <c r="P134" i="2"/>
  <c r="S135" i="2"/>
  <c r="Z136" i="2"/>
  <c r="AG137" i="2"/>
  <c r="AJ138" i="2"/>
  <c r="AM139" i="2"/>
  <c r="AT140" i="2"/>
  <c r="BA141" i="2"/>
  <c r="BD142" i="2"/>
  <c r="BG143" i="2"/>
  <c r="BI145" i="2"/>
  <c r="G147" i="2"/>
  <c r="N148" i="2"/>
  <c r="U149" i="2"/>
  <c r="X150" i="2"/>
  <c r="AA151" i="2"/>
  <c r="AH152" i="2"/>
  <c r="AO153" i="2"/>
  <c r="AR154" i="2"/>
  <c r="AU155" i="2"/>
  <c r="BB156" i="2"/>
  <c r="BI157" i="2"/>
  <c r="BL158" i="2"/>
  <c r="J160" i="2"/>
  <c r="Q161" i="2"/>
  <c r="T162" i="2"/>
  <c r="W163" i="2"/>
  <c r="AD164" i="2"/>
  <c r="AK165" i="2"/>
  <c r="AN166" i="2"/>
  <c r="AQ167" i="2"/>
  <c r="AU168" i="3"/>
  <c r="AU168" i="2" s="1"/>
  <c r="AU169" i="2"/>
  <c r="BB170" i="2"/>
  <c r="BI171" i="2"/>
  <c r="BL172" i="2"/>
  <c r="J174" i="2"/>
  <c r="Q175" i="2"/>
  <c r="T176" i="2"/>
  <c r="W177" i="2"/>
  <c r="AD178" i="2"/>
  <c r="AK179" i="2"/>
  <c r="AN180" i="2"/>
  <c r="AQ181" i="2"/>
  <c r="AX182" i="2"/>
  <c r="BE183" i="2"/>
  <c r="BH184" i="2"/>
  <c r="BK185" i="2"/>
  <c r="M187" i="2"/>
  <c r="P188" i="2"/>
  <c r="S189" i="2"/>
  <c r="Z190" i="2"/>
  <c r="AG191" i="2"/>
  <c r="AJ192" i="2"/>
  <c r="AM193" i="2"/>
  <c r="AT194" i="2"/>
  <c r="BA195" i="2"/>
  <c r="BD196" i="2"/>
  <c r="BG197" i="2"/>
  <c r="I199" i="2"/>
  <c r="L200" i="2"/>
  <c r="O201" i="2"/>
  <c r="V202" i="2"/>
  <c r="AC203" i="2"/>
  <c r="AF204" i="2"/>
  <c r="AI205" i="2"/>
  <c r="AP206" i="2"/>
  <c r="AW207" i="2"/>
  <c r="AZ208" i="2"/>
  <c r="BD209" i="3"/>
  <c r="BD209" i="2" s="1"/>
  <c r="BD210" i="2"/>
  <c r="BG211" i="2"/>
  <c r="I213" i="2"/>
  <c r="L214" i="2"/>
  <c r="O215" i="2"/>
  <c r="V216" i="2"/>
  <c r="AC217" i="2"/>
  <c r="AF218" i="2"/>
  <c r="AI219" i="2"/>
  <c r="AP220" i="2"/>
  <c r="AW221" i="2"/>
  <c r="AZ222" i="2"/>
  <c r="BC223" i="2"/>
  <c r="BJ224" i="2"/>
  <c r="H226" i="2"/>
  <c r="K227" i="2"/>
  <c r="R228" i="2"/>
  <c r="Y229" i="2"/>
  <c r="AB230" i="2"/>
  <c r="AE231" i="2"/>
  <c r="AL232" i="2"/>
  <c r="AS233" i="2"/>
  <c r="AV234" i="2"/>
  <c r="AC146" i="2"/>
  <c r="AF147" i="2"/>
  <c r="AI148" i="2"/>
  <c r="AP149" i="2"/>
  <c r="AW150" i="2"/>
  <c r="AZ151" i="2"/>
  <c r="BC152" i="2"/>
  <c r="BJ153" i="2"/>
  <c r="H155" i="2"/>
  <c r="K156" i="2"/>
  <c r="R157" i="2"/>
  <c r="Y158" i="2"/>
  <c r="F647" i="2"/>
  <c r="F425" i="2"/>
  <c r="F550" i="2"/>
  <c r="F392" i="2"/>
  <c r="F249" i="2"/>
  <c r="F204" i="2"/>
  <c r="F629" i="2"/>
  <c r="F564" i="2"/>
  <c r="F532" i="2"/>
  <c r="F406" i="2"/>
  <c r="F389" i="2"/>
  <c r="F264" i="2"/>
  <c r="F253" i="2"/>
  <c r="F112" i="2"/>
  <c r="F105" i="2"/>
  <c r="F64" i="2"/>
  <c r="F627" i="2"/>
  <c r="F562" i="2"/>
  <c r="F559" i="2"/>
  <c r="F404" i="2"/>
  <c r="F387" i="2"/>
  <c r="F262" i="2"/>
  <c r="F250" i="3"/>
  <c r="F250" i="2" s="1"/>
  <c r="F251" i="2"/>
  <c r="F110" i="2"/>
  <c r="F103" i="2"/>
  <c r="F62" i="2"/>
  <c r="F625" i="2"/>
  <c r="F560" i="2"/>
  <c r="F555" i="2"/>
  <c r="F402" i="2"/>
  <c r="F385" i="2"/>
  <c r="F260" i="2"/>
  <c r="F248" i="2"/>
  <c r="F108" i="2"/>
  <c r="F101" i="2"/>
  <c r="F60" i="2"/>
  <c r="F606" i="2"/>
  <c r="F542" i="2"/>
  <c r="F519" i="2"/>
  <c r="F384" i="2"/>
  <c r="F366" i="2"/>
  <c r="F241" i="2"/>
  <c r="F230" i="2"/>
  <c r="F220" i="2"/>
  <c r="F83" i="2"/>
  <c r="F41" i="2"/>
  <c r="F620" i="2"/>
  <c r="F556" i="2"/>
  <c r="F538" i="2"/>
  <c r="F398" i="2"/>
  <c r="F381" i="2"/>
  <c r="F256" i="2"/>
  <c r="F244" i="2"/>
  <c r="F104" i="2"/>
  <c r="F97" i="2"/>
  <c r="F56" i="2"/>
  <c r="F618" i="2"/>
  <c r="F554" i="2"/>
  <c r="F531" i="2"/>
  <c r="F396" i="2"/>
  <c r="F379" i="2"/>
  <c r="F254" i="2"/>
  <c r="F242" i="2"/>
  <c r="F102" i="2"/>
  <c r="F216" i="2"/>
  <c r="F54" i="2"/>
  <c r="F616" i="2"/>
  <c r="F552" i="2"/>
  <c r="F529" i="2"/>
  <c r="F394" i="2"/>
  <c r="F377" i="2"/>
  <c r="F252" i="2"/>
  <c r="F240" i="2"/>
  <c r="F100" i="2"/>
  <c r="F205" i="2"/>
  <c r="F52" i="2"/>
  <c r="F631" i="2"/>
  <c r="F566" i="2"/>
  <c r="F541" i="2"/>
  <c r="F408" i="2"/>
  <c r="F391" i="2"/>
  <c r="F266" i="2"/>
  <c r="F255" i="2"/>
  <c r="F114" i="2"/>
  <c r="F107" i="2"/>
  <c r="F66" i="2"/>
  <c r="F612" i="2"/>
  <c r="F548" i="2"/>
  <c r="F525" i="2"/>
  <c r="F390" i="2"/>
  <c r="F372" i="2"/>
  <c r="F247" i="2"/>
  <c r="F236" i="2"/>
  <c r="F96" i="2"/>
  <c r="F90" i="2"/>
  <c r="F48" i="2"/>
  <c r="F610" i="2"/>
  <c r="F546" i="2"/>
  <c r="F523" i="2"/>
  <c r="F388" i="2"/>
  <c r="F370" i="2"/>
  <c r="F245" i="2"/>
  <c r="F234" i="2"/>
  <c r="F94" i="2"/>
  <c r="F88" i="2"/>
  <c r="F45" i="3"/>
  <c r="F45" i="2" s="1"/>
  <c r="F46" i="2"/>
  <c r="F608" i="2"/>
  <c r="F544" i="2"/>
  <c r="F521" i="2"/>
  <c r="F386" i="2"/>
  <c r="F368" i="2"/>
  <c r="F243" i="2"/>
  <c r="F232" i="2"/>
  <c r="F92" i="2"/>
  <c r="F85" i="2"/>
  <c r="F43" i="2"/>
  <c r="F623" i="2"/>
  <c r="F558" i="2"/>
  <c r="F547" i="2"/>
  <c r="F400" i="2"/>
  <c r="F383" i="2"/>
  <c r="F258" i="2"/>
  <c r="F246" i="2"/>
  <c r="F106" i="2"/>
  <c r="F99" i="2"/>
  <c r="F58" i="2"/>
  <c r="F604" i="2"/>
  <c r="F539" i="3"/>
  <c r="F539" i="2" s="1"/>
  <c r="F540" i="2"/>
  <c r="F517" i="2"/>
  <c r="F382" i="2"/>
  <c r="F364" i="2"/>
  <c r="F239" i="2"/>
  <c r="F228" i="2"/>
  <c r="F201" i="2"/>
  <c r="F81" i="2"/>
  <c r="F39" i="2"/>
  <c r="F602" i="2"/>
  <c r="F537" i="2"/>
  <c r="F515" i="2"/>
  <c r="F380" i="2"/>
  <c r="F362" i="2"/>
  <c r="F237" i="2"/>
  <c r="F226" i="2"/>
  <c r="F200" i="2"/>
  <c r="F79" i="2"/>
  <c r="F37" i="2"/>
  <c r="F626" i="2"/>
  <c r="F535" i="2"/>
  <c r="F513" i="2"/>
  <c r="F378" i="2"/>
  <c r="F360" i="2"/>
  <c r="F235" i="2"/>
  <c r="F224" i="2"/>
  <c r="F222" i="2"/>
  <c r="F77" i="2"/>
  <c r="F35" i="2"/>
  <c r="Q4" i="3"/>
  <c r="Q4" i="2" s="1"/>
  <c r="Q5" i="2"/>
  <c r="AG4" i="3"/>
  <c r="AG4" i="2" s="1"/>
  <c r="AG5" i="2"/>
  <c r="AW4" i="3"/>
  <c r="AW4" i="2" s="1"/>
  <c r="AW5" i="2"/>
  <c r="BM4" i="3"/>
  <c r="BM4" i="2" s="1"/>
  <c r="BM5" i="2"/>
  <c r="T6" i="2"/>
  <c r="AJ6" i="2"/>
  <c r="AZ6" i="2"/>
  <c r="G7" i="2"/>
  <c r="W7" i="2"/>
  <c r="AM7" i="2"/>
  <c r="BC7" i="2"/>
  <c r="N8" i="2"/>
  <c r="AD8" i="2"/>
  <c r="AT8" i="2"/>
  <c r="BJ8" i="2"/>
  <c r="U9" i="2"/>
  <c r="AK9" i="2"/>
  <c r="BA9" i="2"/>
  <c r="H10" i="2"/>
  <c r="X10" i="2"/>
  <c r="AN10" i="2"/>
  <c r="BD10" i="2"/>
  <c r="K11" i="2"/>
  <c r="AA11" i="2"/>
  <c r="AQ11" i="2"/>
  <c r="BG11" i="2"/>
  <c r="R12" i="2"/>
  <c r="AH12" i="2"/>
  <c r="AX12" i="2"/>
  <c r="I13" i="2"/>
  <c r="Y13" i="2"/>
  <c r="AO13" i="2"/>
  <c r="BE13" i="2"/>
  <c r="L14" i="2"/>
  <c r="AB14" i="2"/>
  <c r="AR14" i="2"/>
  <c r="BH14" i="2"/>
  <c r="O15" i="2"/>
  <c r="AE15" i="2"/>
  <c r="AU15" i="2"/>
  <c r="BK15" i="2"/>
  <c r="V16" i="2"/>
  <c r="AL16" i="2"/>
  <c r="BB16" i="2"/>
  <c r="M17" i="2"/>
  <c r="AC17" i="2"/>
  <c r="AS17" i="2"/>
  <c r="BI17" i="2"/>
  <c r="P18" i="2"/>
  <c r="AF18" i="2"/>
  <c r="AV18" i="2"/>
  <c r="BL18" i="2"/>
  <c r="S19" i="2"/>
  <c r="AI19" i="2"/>
  <c r="AY19" i="2"/>
  <c r="J20" i="2"/>
  <c r="Z20" i="2"/>
  <c r="AP20" i="2"/>
  <c r="BF20" i="2"/>
  <c r="Q21" i="2"/>
  <c r="AG21" i="2"/>
  <c r="AW21" i="2"/>
  <c r="BM21" i="2"/>
  <c r="T22" i="2"/>
  <c r="AJ22" i="2"/>
  <c r="AZ22" i="2"/>
  <c r="G23" i="2"/>
  <c r="W23" i="2"/>
  <c r="AM23" i="2"/>
  <c r="BC23" i="2"/>
  <c r="N24" i="2"/>
  <c r="AD24" i="2"/>
  <c r="AT24" i="2"/>
  <c r="BJ24" i="2"/>
  <c r="U25" i="2"/>
  <c r="AK25" i="2"/>
  <c r="BA25" i="2"/>
  <c r="H26" i="2"/>
  <c r="X26" i="2"/>
  <c r="AN26" i="2"/>
  <c r="BD26" i="2"/>
  <c r="K27" i="2"/>
  <c r="AA27" i="2"/>
  <c r="AQ27" i="2"/>
  <c r="BG27" i="2"/>
  <c r="R28" i="2"/>
  <c r="AH28" i="2"/>
  <c r="AX28" i="2"/>
  <c r="I29" i="2"/>
  <c r="Y29" i="2"/>
  <c r="AO29" i="2"/>
  <c r="BE29" i="2"/>
  <c r="L30" i="2"/>
  <c r="AB30" i="2"/>
  <c r="AR30" i="2"/>
  <c r="BH30" i="2"/>
  <c r="O31" i="2"/>
  <c r="AE31" i="2"/>
  <c r="AU31" i="2"/>
  <c r="BK31" i="2"/>
  <c r="V32" i="2"/>
  <c r="AL32" i="2"/>
  <c r="BB32" i="2"/>
  <c r="M33" i="2"/>
  <c r="AC33" i="2"/>
  <c r="AS33" i="2"/>
  <c r="BI33" i="2"/>
  <c r="P34" i="2"/>
  <c r="AF34" i="2"/>
  <c r="AV34" i="2"/>
  <c r="BL34" i="2"/>
  <c r="S35" i="2"/>
  <c r="AI35" i="2"/>
  <c r="AY35" i="2"/>
  <c r="J36" i="2"/>
  <c r="Z36" i="2"/>
  <c r="AP36" i="2"/>
  <c r="BF36" i="2"/>
  <c r="Q37" i="2"/>
  <c r="AG37" i="2"/>
  <c r="AW37" i="2"/>
  <c r="BM37" i="2"/>
  <c r="T38" i="2"/>
  <c r="AJ38" i="2"/>
  <c r="AZ38" i="2"/>
  <c r="G39" i="2"/>
  <c r="W39" i="2"/>
  <c r="AM39" i="2"/>
  <c r="BC39" i="2"/>
  <c r="N40" i="2"/>
  <c r="AD40" i="2"/>
  <c r="AT40" i="2"/>
  <c r="BJ40" i="2"/>
  <c r="U41" i="2"/>
  <c r="AK41" i="2"/>
  <c r="BA41" i="2"/>
  <c r="H42" i="2"/>
  <c r="X42" i="2"/>
  <c r="AN42" i="2"/>
  <c r="BD42" i="2"/>
  <c r="K43" i="2"/>
  <c r="AA43" i="2"/>
  <c r="AQ43" i="2"/>
  <c r="BG43" i="2"/>
  <c r="R44" i="2"/>
  <c r="AH44" i="2"/>
  <c r="AX44" i="2"/>
  <c r="J45" i="3"/>
  <c r="J45" i="2" s="1"/>
  <c r="J46" i="2"/>
  <c r="Z45" i="3"/>
  <c r="Z45" i="2" s="1"/>
  <c r="Z46" i="2"/>
  <c r="AP45" i="3"/>
  <c r="AP45" i="2" s="1"/>
  <c r="AP46" i="2"/>
  <c r="BF45" i="3"/>
  <c r="BF45" i="2" s="1"/>
  <c r="BF46" i="2"/>
  <c r="Q47" i="2"/>
  <c r="AG47" i="2"/>
  <c r="AW47" i="2"/>
  <c r="BM47" i="2"/>
  <c r="T48" i="2"/>
  <c r="AJ48" i="2"/>
  <c r="AZ48" i="2"/>
  <c r="G49" i="2"/>
  <c r="W49" i="2"/>
  <c r="AM49" i="2"/>
  <c r="BC49" i="2"/>
  <c r="N50" i="2"/>
  <c r="AD50" i="2"/>
  <c r="AT50" i="2"/>
  <c r="BJ50" i="2"/>
  <c r="U51" i="2"/>
  <c r="AK51" i="2"/>
  <c r="BA51" i="2"/>
  <c r="H52" i="2"/>
  <c r="X52" i="2"/>
  <c r="AN52" i="2"/>
  <c r="BD52" i="2"/>
  <c r="K53" i="2"/>
  <c r="AB53" i="2"/>
  <c r="AX53" i="2"/>
  <c r="N4" i="3"/>
  <c r="N4" i="2" s="1"/>
  <c r="N5" i="2"/>
  <c r="AD4" i="3"/>
  <c r="AD4" i="2" s="1"/>
  <c r="AD5" i="2"/>
  <c r="AT4" i="3"/>
  <c r="AT4" i="2" s="1"/>
  <c r="AT5" i="2"/>
  <c r="BJ4" i="3"/>
  <c r="BJ4" i="2" s="1"/>
  <c r="BJ5" i="2"/>
  <c r="U6" i="2"/>
  <c r="AK6" i="2"/>
  <c r="BA6" i="2"/>
  <c r="H7" i="2"/>
  <c r="X7" i="2"/>
  <c r="AN7" i="2"/>
  <c r="BD7" i="2"/>
  <c r="K8" i="2"/>
  <c r="AA8" i="2"/>
  <c r="AQ8" i="2"/>
  <c r="BG8" i="2"/>
  <c r="R9" i="2"/>
  <c r="AH9" i="2"/>
  <c r="AX9" i="2"/>
  <c r="I10" i="2"/>
  <c r="Y10" i="2"/>
  <c r="AO10" i="2"/>
  <c r="BE10" i="2"/>
  <c r="L11" i="2"/>
  <c r="AB11" i="2"/>
  <c r="AR11" i="2"/>
  <c r="BH11" i="2"/>
  <c r="O12" i="2"/>
  <c r="AE12" i="2"/>
  <c r="AU12" i="2"/>
  <c r="BK12" i="2"/>
  <c r="V13" i="2"/>
  <c r="AL13" i="2"/>
  <c r="BB13" i="2"/>
  <c r="M14" i="2"/>
  <c r="AC14" i="2"/>
  <c r="AS14" i="2"/>
  <c r="BI14" i="2"/>
  <c r="P15" i="2"/>
  <c r="AF15" i="2"/>
  <c r="AV15" i="2"/>
  <c r="BL15" i="2"/>
  <c r="S16" i="2"/>
  <c r="AI16" i="2"/>
  <c r="AY16" i="2"/>
  <c r="J17" i="2"/>
  <c r="Z17" i="2"/>
  <c r="AP17" i="2"/>
  <c r="BF17" i="2"/>
  <c r="Q18" i="2"/>
  <c r="AG18" i="2"/>
  <c r="AW18" i="2"/>
  <c r="BM18" i="2"/>
  <c r="T19" i="2"/>
  <c r="AJ19" i="2"/>
  <c r="AZ19" i="2"/>
  <c r="G20" i="2"/>
  <c r="W20" i="2"/>
  <c r="AM20" i="2"/>
  <c r="BC20" i="2"/>
  <c r="N21" i="2"/>
  <c r="AD21" i="2"/>
  <c r="AT21" i="2"/>
  <c r="BJ21" i="2"/>
  <c r="U22" i="2"/>
  <c r="AK22" i="2"/>
  <c r="BA22" i="2"/>
  <c r="H23" i="2"/>
  <c r="X23" i="2"/>
  <c r="AN23" i="2"/>
  <c r="BD23" i="2"/>
  <c r="K24" i="2"/>
  <c r="AA24" i="2"/>
  <c r="AQ24" i="2"/>
  <c r="BG24" i="2"/>
  <c r="R25" i="2"/>
  <c r="AH25" i="2"/>
  <c r="AX25" i="2"/>
  <c r="I26" i="2"/>
  <c r="Y26" i="2"/>
  <c r="AO26" i="2"/>
  <c r="BE26" i="2"/>
  <c r="L27" i="2"/>
  <c r="AB27" i="2"/>
  <c r="AR27" i="2"/>
  <c r="BH27" i="2"/>
  <c r="O28" i="2"/>
  <c r="AE28" i="2"/>
  <c r="AU28" i="2"/>
  <c r="BK28" i="2"/>
  <c r="V29" i="2"/>
  <c r="AL29" i="2"/>
  <c r="BB29" i="2"/>
  <c r="M30" i="2"/>
  <c r="AC30" i="2"/>
  <c r="AS30" i="2"/>
  <c r="BI30" i="2"/>
  <c r="P31" i="2"/>
  <c r="AF31" i="2"/>
  <c r="AV31" i="2"/>
  <c r="BL31" i="2"/>
  <c r="S32" i="2"/>
  <c r="AI32" i="2"/>
  <c r="AY32" i="2"/>
  <c r="J33" i="2"/>
  <c r="Z33" i="2"/>
  <c r="AP33" i="2"/>
  <c r="BF33" i="2"/>
  <c r="Q34" i="2"/>
  <c r="AG34" i="2"/>
  <c r="AW34" i="2"/>
  <c r="BM34" i="2"/>
  <c r="T35" i="2"/>
  <c r="AJ35" i="2"/>
  <c r="AZ35" i="2"/>
  <c r="G36" i="2"/>
  <c r="W36" i="2"/>
  <c r="AM36" i="2"/>
  <c r="BC36" i="2"/>
  <c r="N37" i="2"/>
  <c r="AD37" i="2"/>
  <c r="AT37" i="2"/>
  <c r="BJ37" i="2"/>
  <c r="U38" i="2"/>
  <c r="AK38" i="2"/>
  <c r="BA38" i="2"/>
  <c r="H39" i="2"/>
  <c r="X39" i="2"/>
  <c r="AN39" i="2"/>
  <c r="BD39" i="2"/>
  <c r="K40" i="2"/>
  <c r="AA40" i="2"/>
  <c r="AQ40" i="2"/>
  <c r="BG40" i="2"/>
  <c r="R41" i="2"/>
  <c r="AH41" i="2"/>
  <c r="AX41" i="2"/>
  <c r="I42" i="2"/>
  <c r="Y42" i="2"/>
  <c r="AO42" i="2"/>
  <c r="BE42" i="2"/>
  <c r="L43" i="2"/>
  <c r="AB43" i="2"/>
  <c r="AR43" i="2"/>
  <c r="BH43" i="2"/>
  <c r="O44" i="2"/>
  <c r="AE44" i="2"/>
  <c r="AU44" i="2"/>
  <c r="BK44" i="2"/>
  <c r="S45" i="3"/>
  <c r="S45" i="2" s="1"/>
  <c r="S46" i="2"/>
  <c r="AI45" i="3"/>
  <c r="AI45" i="2" s="1"/>
  <c r="AI46" i="2"/>
  <c r="AY45" i="3"/>
  <c r="AY45" i="2" s="1"/>
  <c r="AY46" i="2"/>
  <c r="J47" i="2"/>
  <c r="Z47" i="2"/>
  <c r="AP47" i="2"/>
  <c r="BF47" i="2"/>
  <c r="Q48" i="2"/>
  <c r="AG48" i="2"/>
  <c r="AW48" i="2"/>
  <c r="BM48" i="2"/>
  <c r="T49" i="2"/>
  <c r="AJ49" i="2"/>
  <c r="AZ49" i="2"/>
  <c r="G50" i="2"/>
  <c r="W50" i="2"/>
  <c r="AM50" i="2"/>
  <c r="BC50" i="2"/>
  <c r="N51" i="2"/>
  <c r="AD51" i="2"/>
  <c r="AT51" i="2"/>
  <c r="BJ51" i="2"/>
  <c r="U52" i="2"/>
  <c r="AK52" i="2"/>
  <c r="BA52" i="2"/>
  <c r="H53" i="2"/>
  <c r="X53" i="2"/>
  <c r="AT53" i="2"/>
  <c r="G4" i="3"/>
  <c r="G4" i="2" s="1"/>
  <c r="G5" i="2"/>
  <c r="W4" i="3"/>
  <c r="W4" i="2" s="1"/>
  <c r="W5" i="2"/>
  <c r="AM4" i="3"/>
  <c r="AM4" i="2" s="1"/>
  <c r="AM5" i="2"/>
  <c r="BC4" i="3"/>
  <c r="BC4" i="2" s="1"/>
  <c r="BC5" i="2"/>
  <c r="N6" i="2"/>
  <c r="AD6" i="2"/>
  <c r="AT6" i="2"/>
  <c r="BJ6" i="2"/>
  <c r="U7" i="2"/>
  <c r="AK7" i="2"/>
  <c r="BA7" i="2"/>
  <c r="H8" i="2"/>
  <c r="X8" i="2"/>
  <c r="AN8" i="2"/>
  <c r="BD8" i="2"/>
  <c r="K9" i="2"/>
  <c r="AA9" i="2"/>
  <c r="AQ9" i="2"/>
  <c r="BG9" i="2"/>
  <c r="R10" i="2"/>
  <c r="AH10" i="2"/>
  <c r="AX10" i="2"/>
  <c r="I11" i="2"/>
  <c r="Y11" i="2"/>
  <c r="AO11" i="2"/>
  <c r="BE11" i="2"/>
  <c r="L12" i="2"/>
  <c r="AB12" i="2"/>
  <c r="AR12" i="2"/>
  <c r="BH12" i="2"/>
  <c r="O13" i="2"/>
  <c r="AE13" i="2"/>
  <c r="AU13" i="2"/>
  <c r="BK13" i="2"/>
  <c r="V14" i="2"/>
  <c r="AL14" i="2"/>
  <c r="BB14" i="2"/>
  <c r="M15" i="2"/>
  <c r="AC15" i="2"/>
  <c r="AS15" i="2"/>
  <c r="BI15" i="2"/>
  <c r="P16" i="2"/>
  <c r="AF16" i="2"/>
  <c r="AV16" i="2"/>
  <c r="BL16" i="2"/>
  <c r="S17" i="2"/>
  <c r="AI17" i="2"/>
  <c r="AY17" i="2"/>
  <c r="J18" i="2"/>
  <c r="Z18" i="2"/>
  <c r="AP18" i="2"/>
  <c r="BF18" i="2"/>
  <c r="Q19" i="2"/>
  <c r="AG19" i="2"/>
  <c r="AW19" i="2"/>
  <c r="BM19" i="2"/>
  <c r="T20" i="2"/>
  <c r="AJ20" i="2"/>
  <c r="AZ20" i="2"/>
  <c r="G21" i="2"/>
  <c r="W21" i="2"/>
  <c r="AM21" i="2"/>
  <c r="BC21" i="2"/>
  <c r="N22" i="2"/>
  <c r="AD22" i="2"/>
  <c r="AT22" i="2"/>
  <c r="BJ22" i="2"/>
  <c r="U23" i="2"/>
  <c r="AK23" i="2"/>
  <c r="BA23" i="2"/>
  <c r="H24" i="2"/>
  <c r="X24" i="2"/>
  <c r="AN24" i="2"/>
  <c r="BD24" i="2"/>
  <c r="K25" i="2"/>
  <c r="AA25" i="2"/>
  <c r="AQ25" i="2"/>
  <c r="BG25" i="2"/>
  <c r="R26" i="2"/>
  <c r="AH26" i="2"/>
  <c r="AX26" i="2"/>
  <c r="I27" i="2"/>
  <c r="Y27" i="2"/>
  <c r="AO27" i="2"/>
  <c r="BE27" i="2"/>
  <c r="L28" i="2"/>
  <c r="AB28" i="2"/>
  <c r="AR28" i="2"/>
  <c r="BH28" i="2"/>
  <c r="O29" i="2"/>
  <c r="AE29" i="2"/>
  <c r="AU29" i="2"/>
  <c r="BK29" i="2"/>
  <c r="V30" i="2"/>
  <c r="AL30" i="2"/>
  <c r="BB30" i="2"/>
  <c r="M31" i="2"/>
  <c r="AC31" i="2"/>
  <c r="AS31" i="2"/>
  <c r="BI31" i="2"/>
  <c r="P32" i="2"/>
  <c r="AF32" i="2"/>
  <c r="AV32" i="2"/>
  <c r="BL32" i="2"/>
  <c r="S33" i="2"/>
  <c r="AI33" i="2"/>
  <c r="AY33" i="2"/>
  <c r="J34" i="2"/>
  <c r="Z34" i="2"/>
  <c r="AP34" i="2"/>
  <c r="BF34" i="2"/>
  <c r="Q35" i="2"/>
  <c r="AG35" i="2"/>
  <c r="AW35" i="2"/>
  <c r="BM35" i="2"/>
  <c r="T36" i="2"/>
  <c r="AJ36" i="2"/>
  <c r="AZ36" i="2"/>
  <c r="G37" i="2"/>
  <c r="W37" i="2"/>
  <c r="AM37" i="2"/>
  <c r="BC37" i="2"/>
  <c r="N38" i="2"/>
  <c r="AD38" i="2"/>
  <c r="AT38" i="2"/>
  <c r="BJ38" i="2"/>
  <c r="U39" i="2"/>
  <c r="AK39" i="2"/>
  <c r="BA39" i="2"/>
  <c r="H40" i="2"/>
  <c r="X40" i="2"/>
  <c r="AN40" i="2"/>
  <c r="BD40" i="2"/>
  <c r="K41" i="2"/>
  <c r="AA41" i="2"/>
  <c r="AQ41" i="2"/>
  <c r="BG41" i="2"/>
  <c r="R42" i="2"/>
  <c r="AH42" i="2"/>
  <c r="AX42" i="2"/>
  <c r="I43" i="2"/>
  <c r="Y43" i="2"/>
  <c r="AO43" i="2"/>
  <c r="BE43" i="2"/>
  <c r="L44" i="2"/>
  <c r="AB44" i="2"/>
  <c r="AR44" i="2"/>
  <c r="BH44" i="2"/>
  <c r="P45" i="3"/>
  <c r="P45" i="2" s="1"/>
  <c r="P46" i="2"/>
  <c r="AF45" i="3"/>
  <c r="AF45" i="2" s="1"/>
  <c r="AF46" i="2"/>
  <c r="AV45" i="3"/>
  <c r="AV45" i="2" s="1"/>
  <c r="AV46" i="2"/>
  <c r="BL45" i="3"/>
  <c r="BL45" i="2" s="1"/>
  <c r="BL46" i="2"/>
  <c r="S47" i="2"/>
  <c r="AI47" i="2"/>
  <c r="AY47" i="2"/>
  <c r="J48" i="2"/>
  <c r="Z48" i="2"/>
  <c r="AP48" i="2"/>
  <c r="BF48" i="2"/>
  <c r="Q49" i="2"/>
  <c r="AG49" i="2"/>
  <c r="AW49" i="2"/>
  <c r="BM49" i="2"/>
  <c r="T50" i="2"/>
  <c r="AJ50" i="2"/>
  <c r="AZ50" i="2"/>
  <c r="G51" i="2"/>
  <c r="W51" i="2"/>
  <c r="AM51" i="2"/>
  <c r="BC51" i="2"/>
  <c r="N52" i="2"/>
  <c r="AD52" i="2"/>
  <c r="AT52" i="2"/>
  <c r="BJ52" i="2"/>
  <c r="U53" i="2"/>
  <c r="AP53" i="2"/>
  <c r="BK53" i="2"/>
  <c r="P4" i="3"/>
  <c r="P4" i="2" s="1"/>
  <c r="P5" i="2"/>
  <c r="AF4" i="3"/>
  <c r="AF4" i="2" s="1"/>
  <c r="AF5" i="2"/>
  <c r="AV4" i="3"/>
  <c r="AV4" i="2" s="1"/>
  <c r="AV5" i="2"/>
  <c r="BL4" i="3"/>
  <c r="BL4" i="2" s="1"/>
  <c r="BL5" i="2"/>
  <c r="S6" i="2"/>
  <c r="AI6" i="2"/>
  <c r="AY6" i="2"/>
  <c r="J7" i="2"/>
  <c r="Z7" i="2"/>
  <c r="AP7" i="2"/>
  <c r="BF7" i="2"/>
  <c r="Q8" i="2"/>
  <c r="AG8" i="2"/>
  <c r="AW8" i="2"/>
  <c r="BM8" i="2"/>
  <c r="T9" i="2"/>
  <c r="AJ9" i="2"/>
  <c r="AZ9" i="2"/>
  <c r="G10" i="2"/>
  <c r="W10" i="2"/>
  <c r="AM10" i="2"/>
  <c r="BC10" i="2"/>
  <c r="N11" i="2"/>
  <c r="AD11" i="2"/>
  <c r="AT11" i="2"/>
  <c r="BJ11" i="2"/>
  <c r="U12" i="2"/>
  <c r="AK12" i="2"/>
  <c r="BA12" i="2"/>
  <c r="H13" i="2"/>
  <c r="X13" i="2"/>
  <c r="AN13" i="2"/>
  <c r="BD13" i="2"/>
  <c r="K14" i="2"/>
  <c r="AA14" i="2"/>
  <c r="AQ14" i="2"/>
  <c r="BG14" i="2"/>
  <c r="R15" i="2"/>
  <c r="AH15" i="2"/>
  <c r="AX15" i="2"/>
  <c r="I16" i="2"/>
  <c r="Y16" i="2"/>
  <c r="AO16" i="2"/>
  <c r="BE16" i="2"/>
  <c r="L17" i="2"/>
  <c r="AB17" i="2"/>
  <c r="AR17" i="2"/>
  <c r="BH17" i="2"/>
  <c r="O18" i="2"/>
  <c r="AE18" i="2"/>
  <c r="AU18" i="2"/>
  <c r="BK18" i="2"/>
  <c r="V19" i="2"/>
  <c r="AL19" i="2"/>
  <c r="BB19" i="2"/>
  <c r="M20" i="2"/>
  <c r="AC20" i="2"/>
  <c r="AS20" i="2"/>
  <c r="BI20" i="2"/>
  <c r="P21" i="2"/>
  <c r="AF21" i="2"/>
  <c r="AV21" i="2"/>
  <c r="BL21" i="2"/>
  <c r="S22" i="2"/>
  <c r="AI22" i="2"/>
  <c r="AY22" i="2"/>
  <c r="J23" i="2"/>
  <c r="Z23" i="2"/>
  <c r="AP23" i="2"/>
  <c r="BF23" i="2"/>
  <c r="Q24" i="2"/>
  <c r="AG24" i="2"/>
  <c r="AW24" i="2"/>
  <c r="BM24" i="2"/>
  <c r="T25" i="2"/>
  <c r="AJ25" i="2"/>
  <c r="AZ25" i="2"/>
  <c r="G26" i="2"/>
  <c r="W26" i="2"/>
  <c r="AM26" i="2"/>
  <c r="BC26" i="2"/>
  <c r="N27" i="2"/>
  <c r="AD27" i="2"/>
  <c r="AT27" i="2"/>
  <c r="BJ27" i="2"/>
  <c r="U28" i="2"/>
  <c r="AK28" i="2"/>
  <c r="BA28" i="2"/>
  <c r="H29" i="2"/>
  <c r="X29" i="2"/>
  <c r="AN29" i="2"/>
  <c r="BD29" i="2"/>
  <c r="K30" i="2"/>
  <c r="AA30" i="2"/>
  <c r="AQ30" i="2"/>
  <c r="BG30" i="2"/>
  <c r="R31" i="2"/>
  <c r="AH31" i="2"/>
  <c r="AX31" i="2"/>
  <c r="I32" i="2"/>
  <c r="Y32" i="2"/>
  <c r="AO32" i="2"/>
  <c r="BE32" i="2"/>
  <c r="L33" i="2"/>
  <c r="AB33" i="2"/>
  <c r="AR33" i="2"/>
  <c r="BH33" i="2"/>
  <c r="O34" i="2"/>
  <c r="AE34" i="2"/>
  <c r="AU34" i="2"/>
  <c r="BK34" i="2"/>
  <c r="V35" i="2"/>
  <c r="AL35" i="2"/>
  <c r="BB35" i="2"/>
  <c r="M36" i="2"/>
  <c r="AC36" i="2"/>
  <c r="AS36" i="2"/>
  <c r="BI36" i="2"/>
  <c r="P37" i="2"/>
  <c r="AF37" i="2"/>
  <c r="AV37" i="2"/>
  <c r="BL37" i="2"/>
  <c r="S38" i="2"/>
  <c r="AI38" i="2"/>
  <c r="AY38" i="2"/>
  <c r="J39" i="2"/>
  <c r="Z39" i="2"/>
  <c r="AP39" i="2"/>
  <c r="BF39" i="2"/>
  <c r="Q40" i="2"/>
  <c r="AG40" i="2"/>
  <c r="AW40" i="2"/>
  <c r="BM40" i="2"/>
  <c r="T41" i="2"/>
  <c r="AJ41" i="2"/>
  <c r="AZ41" i="2"/>
  <c r="G42" i="2"/>
  <c r="W42" i="2"/>
  <c r="AM42" i="2"/>
  <c r="BC42" i="2"/>
  <c r="N43" i="2"/>
  <c r="AD43" i="2"/>
  <c r="AT43" i="2"/>
  <c r="BJ43" i="2"/>
  <c r="U44" i="2"/>
  <c r="AK44" i="2"/>
  <c r="BA44" i="2"/>
  <c r="I45" i="3"/>
  <c r="I45" i="2" s="1"/>
  <c r="I46" i="2"/>
  <c r="Y45" i="3"/>
  <c r="Y45" i="2" s="1"/>
  <c r="Y46" i="2"/>
  <c r="AO45" i="3"/>
  <c r="AO45" i="2" s="1"/>
  <c r="AO46" i="2"/>
  <c r="BE45" i="3"/>
  <c r="BE45" i="2" s="1"/>
  <c r="BE46" i="2"/>
  <c r="L47" i="2"/>
  <c r="AB47" i="2"/>
  <c r="AR47" i="2"/>
  <c r="BH47" i="2"/>
  <c r="O48" i="2"/>
  <c r="AE48" i="2"/>
  <c r="AU48" i="2"/>
  <c r="BK48" i="2"/>
  <c r="V49" i="2"/>
  <c r="AL49" i="2"/>
  <c r="BB49" i="2"/>
  <c r="M50" i="2"/>
  <c r="AC50" i="2"/>
  <c r="AS50" i="2"/>
  <c r="BI50" i="2"/>
  <c r="P51" i="2"/>
  <c r="AF51" i="2"/>
  <c r="AV51" i="2"/>
  <c r="BL51" i="2"/>
  <c r="S52" i="2"/>
  <c r="AI52" i="2"/>
  <c r="AY52" i="2"/>
  <c r="J53" i="2"/>
  <c r="AA53" i="2"/>
  <c r="AV53" i="2"/>
  <c r="I54" i="2"/>
  <c r="Y54" i="2"/>
  <c r="AO54" i="2"/>
  <c r="BE54" i="2"/>
  <c r="L55" i="2"/>
  <c r="AB55" i="2"/>
  <c r="AR55" i="2"/>
  <c r="BH55" i="2"/>
  <c r="O56" i="2"/>
  <c r="AE56" i="2"/>
  <c r="AU56" i="2"/>
  <c r="BK56" i="2"/>
  <c r="V57" i="2"/>
  <c r="AL57" i="2"/>
  <c r="BB57" i="2"/>
  <c r="M58" i="2"/>
  <c r="AC58" i="2"/>
  <c r="AS58" i="2"/>
  <c r="BI58" i="2"/>
  <c r="P59" i="2"/>
  <c r="AF59" i="2"/>
  <c r="AV59" i="2"/>
  <c r="BL59" i="2"/>
  <c r="S60" i="2"/>
  <c r="AI60" i="2"/>
  <c r="AY60" i="2"/>
  <c r="J61" i="2"/>
  <c r="Z61" i="2"/>
  <c r="AP61" i="2"/>
  <c r="BF61" i="2"/>
  <c r="Q62" i="2"/>
  <c r="AG62" i="2"/>
  <c r="AW62" i="2"/>
  <c r="BM62" i="2"/>
  <c r="T63" i="2"/>
  <c r="AJ63" i="2"/>
  <c r="AZ63" i="2"/>
  <c r="G64" i="2"/>
  <c r="W64" i="2"/>
  <c r="AM64" i="2"/>
  <c r="BC64" i="2"/>
  <c r="N65" i="2"/>
  <c r="AD65" i="2"/>
  <c r="AT65" i="2"/>
  <c r="BJ65" i="2"/>
  <c r="U66" i="2"/>
  <c r="AK66" i="2"/>
  <c r="BA66" i="2"/>
  <c r="H67" i="2"/>
  <c r="X67" i="2"/>
  <c r="AN67" i="2"/>
  <c r="BD67" i="2"/>
  <c r="K68" i="2"/>
  <c r="AA68" i="2"/>
  <c r="AQ68" i="2"/>
  <c r="BG68" i="2"/>
  <c r="R69" i="2"/>
  <c r="AH69" i="2"/>
  <c r="AX69" i="2"/>
  <c r="I70" i="2"/>
  <c r="Y70" i="2"/>
  <c r="AO70" i="2"/>
  <c r="BE70" i="2"/>
  <c r="L71" i="2"/>
  <c r="AB71" i="2"/>
  <c r="AR71" i="2"/>
  <c r="BH71" i="2"/>
  <c r="O72" i="2"/>
  <c r="AE72" i="2"/>
  <c r="AU72" i="2"/>
  <c r="BK72" i="2"/>
  <c r="V73" i="2"/>
  <c r="AL73" i="2"/>
  <c r="BB73" i="2"/>
  <c r="M74" i="2"/>
  <c r="AC74" i="2"/>
  <c r="AS74" i="2"/>
  <c r="BI74" i="2"/>
  <c r="P75" i="2"/>
  <c r="AF75" i="2"/>
  <c r="AV75" i="2"/>
  <c r="BL75" i="2"/>
  <c r="S76" i="2"/>
  <c r="AI76" i="2"/>
  <c r="AY76" i="2"/>
  <c r="J77" i="2"/>
  <c r="Z77" i="2"/>
  <c r="AP77" i="2"/>
  <c r="BF77" i="2"/>
  <c r="Q78" i="2"/>
  <c r="AG78" i="2"/>
  <c r="AW78" i="2"/>
  <c r="BM78" i="2"/>
  <c r="T79" i="2"/>
  <c r="AJ79" i="2"/>
  <c r="AZ79" i="2"/>
  <c r="G80" i="2"/>
  <c r="W80" i="2"/>
  <c r="AM80" i="2"/>
  <c r="BC80" i="2"/>
  <c r="N81" i="2"/>
  <c r="AD81" i="2"/>
  <c r="AT81" i="2"/>
  <c r="BJ81" i="2"/>
  <c r="U82" i="2"/>
  <c r="AK82" i="2"/>
  <c r="BA82" i="2"/>
  <c r="H83" i="2"/>
  <c r="X83" i="2"/>
  <c r="AN83" i="2"/>
  <c r="BD83" i="2"/>
  <c r="K84" i="2"/>
  <c r="AA84" i="2"/>
  <c r="AQ84" i="2"/>
  <c r="BG84" i="2"/>
  <c r="R85" i="2"/>
  <c r="AH85" i="2"/>
  <c r="AX85" i="2"/>
  <c r="J86" i="3"/>
  <c r="J86" i="2" s="1"/>
  <c r="J87" i="2"/>
  <c r="Z86" i="3"/>
  <c r="Z86" i="2" s="1"/>
  <c r="Z87" i="2"/>
  <c r="AP86" i="3"/>
  <c r="AP86" i="2" s="1"/>
  <c r="AP87" i="2"/>
  <c r="BF86" i="3"/>
  <c r="BF86" i="2" s="1"/>
  <c r="BF87" i="2"/>
  <c r="Q88" i="2"/>
  <c r="AG88" i="2"/>
  <c r="AW88" i="2"/>
  <c r="BM88" i="2"/>
  <c r="T89" i="2"/>
  <c r="AJ89" i="2"/>
  <c r="AZ89" i="2"/>
  <c r="G90" i="2"/>
  <c r="W90" i="2"/>
  <c r="AM90" i="2"/>
  <c r="BC90" i="2"/>
  <c r="N91" i="2"/>
  <c r="AD91" i="2"/>
  <c r="AT91" i="2"/>
  <c r="BJ91" i="2"/>
  <c r="U92" i="2"/>
  <c r="AK92" i="2"/>
  <c r="BA92" i="2"/>
  <c r="H93" i="2"/>
  <c r="X93" i="2"/>
  <c r="AN93" i="2"/>
  <c r="BD93" i="2"/>
  <c r="K94" i="2"/>
  <c r="AA94" i="2"/>
  <c r="AQ94" i="2"/>
  <c r="BG94" i="2"/>
  <c r="R95" i="2"/>
  <c r="AH95" i="2"/>
  <c r="AX95" i="2"/>
  <c r="I96" i="2"/>
  <c r="Y96" i="2"/>
  <c r="AO96" i="2"/>
  <c r="BE96" i="2"/>
  <c r="L97" i="2"/>
  <c r="AB97" i="2"/>
  <c r="AR97" i="2"/>
  <c r="BH97" i="2"/>
  <c r="O98" i="2"/>
  <c r="AE98" i="2"/>
  <c r="AU98" i="2"/>
  <c r="BK98" i="2"/>
  <c r="V99" i="2"/>
  <c r="AL99" i="2"/>
  <c r="BB99" i="2"/>
  <c r="M100" i="2"/>
  <c r="AC100" i="2"/>
  <c r="AS100" i="2"/>
  <c r="BI100" i="2"/>
  <c r="P101" i="2"/>
  <c r="AF101" i="2"/>
  <c r="AV101" i="2"/>
  <c r="BL101" i="2"/>
  <c r="S102" i="2"/>
  <c r="AI102" i="2"/>
  <c r="AY102" i="2"/>
  <c r="J103" i="2"/>
  <c r="Z103" i="2"/>
  <c r="AP103" i="2"/>
  <c r="BF103" i="2"/>
  <c r="Q104" i="2"/>
  <c r="AG104" i="2"/>
  <c r="AW104" i="2"/>
  <c r="BM104" i="2"/>
  <c r="T105" i="2"/>
  <c r="AJ105" i="2"/>
  <c r="AZ105" i="2"/>
  <c r="G106" i="2"/>
  <c r="W106" i="2"/>
  <c r="AM106" i="2"/>
  <c r="BC106" i="2"/>
  <c r="N107" i="2"/>
  <c r="AD107" i="2"/>
  <c r="AT107" i="2"/>
  <c r="BJ107" i="2"/>
  <c r="U108" i="2"/>
  <c r="AK108" i="2"/>
  <c r="BA108" i="2"/>
  <c r="H109" i="2"/>
  <c r="X109" i="2"/>
  <c r="AN109" i="2"/>
  <c r="BD109" i="2"/>
  <c r="K110" i="2"/>
  <c r="AA110" i="2"/>
  <c r="AQ110" i="2"/>
  <c r="BG110" i="2"/>
  <c r="R111" i="2"/>
  <c r="AH111" i="2"/>
  <c r="AX111" i="2"/>
  <c r="I112" i="2"/>
  <c r="Y112" i="2"/>
  <c r="AO112" i="2"/>
  <c r="BE112" i="2"/>
  <c r="L113" i="2"/>
  <c r="AB113" i="2"/>
  <c r="AR113" i="2"/>
  <c r="BH113" i="2"/>
  <c r="O114" i="2"/>
  <c r="AE114" i="2"/>
  <c r="AU114" i="2"/>
  <c r="BK114" i="2"/>
  <c r="V115" i="2"/>
  <c r="AL115" i="2"/>
  <c r="BB115" i="2"/>
  <c r="M116" i="2"/>
  <c r="AC116" i="2"/>
  <c r="AS116" i="2"/>
  <c r="BI116" i="2"/>
  <c r="P117" i="2"/>
  <c r="AF117" i="2"/>
  <c r="AV117" i="2"/>
  <c r="BL117" i="2"/>
  <c r="S118" i="2"/>
  <c r="AI118" i="2"/>
  <c r="AY118" i="2"/>
  <c r="J119" i="2"/>
  <c r="Z119" i="2"/>
  <c r="AP119" i="2"/>
  <c r="BF119" i="2"/>
  <c r="Q120" i="2"/>
  <c r="AG120" i="2"/>
  <c r="AW120" i="2"/>
  <c r="BM120" i="2"/>
  <c r="T121" i="2"/>
  <c r="AJ121" i="2"/>
  <c r="AZ121" i="2"/>
  <c r="G122" i="2"/>
  <c r="W122" i="2"/>
  <c r="AM122" i="2"/>
  <c r="BC122" i="2"/>
  <c r="N123" i="2"/>
  <c r="AD123" i="2"/>
  <c r="AT123" i="2"/>
  <c r="BJ123" i="2"/>
  <c r="U124" i="2"/>
  <c r="AK124" i="2"/>
  <c r="BA124" i="2"/>
  <c r="H125" i="2"/>
  <c r="X125" i="2"/>
  <c r="AN125" i="2"/>
  <c r="BD125" i="2"/>
  <c r="K126" i="2"/>
  <c r="AA126" i="2"/>
  <c r="AQ126" i="2"/>
  <c r="BG126" i="2"/>
  <c r="O127" i="3"/>
  <c r="O127" i="2" s="1"/>
  <c r="O128" i="2"/>
  <c r="AE127" i="3"/>
  <c r="AE127" i="2" s="1"/>
  <c r="AE128" i="2"/>
  <c r="AU127" i="3"/>
  <c r="AU127" i="2" s="1"/>
  <c r="AU128" i="2"/>
  <c r="BK127" i="3"/>
  <c r="BK127" i="2" s="1"/>
  <c r="BK128" i="2"/>
  <c r="V129" i="2"/>
  <c r="AL129" i="2"/>
  <c r="BB129" i="2"/>
  <c r="M130" i="2"/>
  <c r="AC130" i="2"/>
  <c r="AS130" i="2"/>
  <c r="BI130" i="2"/>
  <c r="P131" i="2"/>
  <c r="AF131" i="2"/>
  <c r="AV131" i="2"/>
  <c r="BL131" i="2"/>
  <c r="S132" i="2"/>
  <c r="AI132" i="2"/>
  <c r="AY132" i="2"/>
  <c r="J133" i="2"/>
  <c r="Z133" i="2"/>
  <c r="AP133" i="2"/>
  <c r="BF133" i="2"/>
  <c r="Q134" i="2"/>
  <c r="AG134" i="2"/>
  <c r="AW134" i="2"/>
  <c r="BM134" i="2"/>
  <c r="T135" i="2"/>
  <c r="AJ135" i="2"/>
  <c r="AZ135" i="2"/>
  <c r="G136" i="2"/>
  <c r="W136" i="2"/>
  <c r="AM136" i="2"/>
  <c r="BC136" i="2"/>
  <c r="N137" i="2"/>
  <c r="AD137" i="2"/>
  <c r="AT137" i="2"/>
  <c r="BJ137" i="2"/>
  <c r="U138" i="2"/>
  <c r="AK138" i="2"/>
  <c r="BA138" i="2"/>
  <c r="H139" i="2"/>
  <c r="X139" i="2"/>
  <c r="AN139" i="2"/>
  <c r="BD139" i="2"/>
  <c r="K140" i="2"/>
  <c r="AA140" i="2"/>
  <c r="AQ140" i="2"/>
  <c r="BG140" i="2"/>
  <c r="R141" i="2"/>
  <c r="AH141" i="2"/>
  <c r="AX141" i="2"/>
  <c r="I142" i="2"/>
  <c r="Y142" i="2"/>
  <c r="AO142" i="2"/>
  <c r="BE142" i="2"/>
  <c r="L143" i="2"/>
  <c r="AB143" i="2"/>
  <c r="AR143" i="2"/>
  <c r="BH143" i="2"/>
  <c r="R144" i="2"/>
  <c r="AQ144" i="2"/>
  <c r="V145" i="2"/>
  <c r="BB145" i="2"/>
  <c r="V54" i="2"/>
  <c r="AL54" i="2"/>
  <c r="BB54" i="2"/>
  <c r="M55" i="2"/>
  <c r="AC55" i="2"/>
  <c r="AS55" i="2"/>
  <c r="BI55" i="2"/>
  <c r="P56" i="2"/>
  <c r="AF56" i="2"/>
  <c r="AV56" i="2"/>
  <c r="BL56" i="2"/>
  <c r="S57" i="2"/>
  <c r="AI57" i="2"/>
  <c r="AY57" i="2"/>
  <c r="J58" i="2"/>
  <c r="Z58" i="2"/>
  <c r="AP58" i="2"/>
  <c r="BF58" i="2"/>
  <c r="Q59" i="2"/>
  <c r="AG59" i="2"/>
  <c r="AW59" i="2"/>
  <c r="BM59" i="2"/>
  <c r="T60" i="2"/>
  <c r="AJ60" i="2"/>
  <c r="AZ60" i="2"/>
  <c r="G61" i="2"/>
  <c r="W61" i="2"/>
  <c r="AM61" i="2"/>
  <c r="BC61" i="2"/>
  <c r="N62" i="2"/>
  <c r="AD62" i="2"/>
  <c r="AT62" i="2"/>
  <c r="BJ62" i="2"/>
  <c r="U63" i="2"/>
  <c r="AK63" i="2"/>
  <c r="BA63" i="2"/>
  <c r="H64" i="2"/>
  <c r="X64" i="2"/>
  <c r="AN64" i="2"/>
  <c r="BD64" i="2"/>
  <c r="K65" i="2"/>
  <c r="AA65" i="2"/>
  <c r="AQ65" i="2"/>
  <c r="BG65" i="2"/>
  <c r="R66" i="2"/>
  <c r="AH66" i="2"/>
  <c r="AX66" i="2"/>
  <c r="I67" i="2"/>
  <c r="Y67" i="2"/>
  <c r="AO67" i="2"/>
  <c r="BE67" i="2"/>
  <c r="L68" i="2"/>
  <c r="AB68" i="2"/>
  <c r="AR68" i="2"/>
  <c r="BH68" i="2"/>
  <c r="O69" i="2"/>
  <c r="AE69" i="2"/>
  <c r="AU69" i="2"/>
  <c r="BK69" i="2"/>
  <c r="V70" i="2"/>
  <c r="AL70" i="2"/>
  <c r="BB70" i="2"/>
  <c r="M71" i="2"/>
  <c r="AC71" i="2"/>
  <c r="AS71" i="2"/>
  <c r="BI71" i="2"/>
  <c r="P72" i="2"/>
  <c r="AF72" i="2"/>
  <c r="AV72" i="2"/>
  <c r="BL72" i="2"/>
  <c r="S73" i="2"/>
  <c r="AI73" i="2"/>
  <c r="AY73" i="2"/>
  <c r="J74" i="2"/>
  <c r="Z74" i="2"/>
  <c r="AP74" i="2"/>
  <c r="BF74" i="2"/>
  <c r="Q75" i="2"/>
  <c r="AG75" i="2"/>
  <c r="AW75" i="2"/>
  <c r="BM75" i="2"/>
  <c r="T76" i="2"/>
  <c r="AJ76" i="2"/>
  <c r="AZ76" i="2"/>
  <c r="G77" i="2"/>
  <c r="W77" i="2"/>
  <c r="AM77" i="2"/>
  <c r="BC77" i="2"/>
  <c r="N78" i="2"/>
  <c r="AD78" i="2"/>
  <c r="AT78" i="2"/>
  <c r="BJ78" i="2"/>
  <c r="U79" i="2"/>
  <c r="AK79" i="2"/>
  <c r="BA79" i="2"/>
  <c r="H80" i="2"/>
  <c r="X80" i="2"/>
  <c r="AN80" i="2"/>
  <c r="BD80" i="2"/>
  <c r="K81" i="2"/>
  <c r="AA81" i="2"/>
  <c r="AQ81" i="2"/>
  <c r="BG81" i="2"/>
  <c r="R82" i="2"/>
  <c r="AH82" i="2"/>
  <c r="AX82" i="2"/>
  <c r="I83" i="2"/>
  <c r="Y83" i="2"/>
  <c r="AO83" i="2"/>
  <c r="BE83" i="2"/>
  <c r="L84" i="2"/>
  <c r="AB84" i="2"/>
  <c r="AR84" i="2"/>
  <c r="BH84" i="2"/>
  <c r="O85" i="2"/>
  <c r="AE85" i="2"/>
  <c r="AU85" i="2"/>
  <c r="BK85" i="2"/>
  <c r="S86" i="3"/>
  <c r="S86" i="2" s="1"/>
  <c r="S87" i="2"/>
  <c r="AI86" i="3"/>
  <c r="AI86" i="2" s="1"/>
  <c r="AI87" i="2"/>
  <c r="AY86" i="3"/>
  <c r="AY86" i="2" s="1"/>
  <c r="AY87" i="2"/>
  <c r="J88" i="2"/>
  <c r="Z88" i="2"/>
  <c r="AP88" i="2"/>
  <c r="BF88" i="2"/>
  <c r="Q89" i="2"/>
  <c r="AG89" i="2"/>
  <c r="AW89" i="2"/>
  <c r="BM89" i="2"/>
  <c r="T90" i="2"/>
  <c r="AJ90" i="2"/>
  <c r="AZ90" i="2"/>
  <c r="G91" i="2"/>
  <c r="W91" i="2"/>
  <c r="AM91" i="2"/>
  <c r="BC91" i="2"/>
  <c r="N92" i="2"/>
  <c r="AD92" i="2"/>
  <c r="AT92" i="2"/>
  <c r="BJ92" i="2"/>
  <c r="U93" i="2"/>
  <c r="AK93" i="2"/>
  <c r="BA93" i="2"/>
  <c r="H94" i="2"/>
  <c r="X94" i="2"/>
  <c r="AN94" i="2"/>
  <c r="BD94" i="2"/>
  <c r="K95" i="2"/>
  <c r="AA95" i="2"/>
  <c r="AQ95" i="2"/>
  <c r="BG95" i="2"/>
  <c r="R96" i="2"/>
  <c r="AH96" i="2"/>
  <c r="AX96" i="2"/>
  <c r="I97" i="2"/>
  <c r="Y97" i="2"/>
  <c r="AO97" i="2"/>
  <c r="BE97" i="2"/>
  <c r="L98" i="2"/>
  <c r="AB98" i="2"/>
  <c r="AR98" i="2"/>
  <c r="BH98" i="2"/>
  <c r="O99" i="2"/>
  <c r="AE99" i="2"/>
  <c r="AU99" i="2"/>
  <c r="BK99" i="2"/>
  <c r="V100" i="2"/>
  <c r="AL100" i="2"/>
  <c r="BB100" i="2"/>
  <c r="M101" i="2"/>
  <c r="AC101" i="2"/>
  <c r="AS101" i="2"/>
  <c r="BI101" i="2"/>
  <c r="P102" i="2"/>
  <c r="AF102" i="2"/>
  <c r="AV102" i="2"/>
  <c r="BL102" i="2"/>
  <c r="S103" i="2"/>
  <c r="AI103" i="2"/>
  <c r="AY103" i="2"/>
  <c r="J104" i="2"/>
  <c r="Z104" i="2"/>
  <c r="AP104" i="2"/>
  <c r="BF104" i="2"/>
  <c r="Q105" i="2"/>
  <c r="AG105" i="2"/>
  <c r="AW105" i="2"/>
  <c r="BM105" i="2"/>
  <c r="T106" i="2"/>
  <c r="AJ106" i="2"/>
  <c r="AZ106" i="2"/>
  <c r="G107" i="2"/>
  <c r="W107" i="2"/>
  <c r="AM107" i="2"/>
  <c r="BC107" i="2"/>
  <c r="N108" i="2"/>
  <c r="AD108" i="2"/>
  <c r="AT108" i="2"/>
  <c r="BJ108" i="2"/>
  <c r="U109" i="2"/>
  <c r="AK109" i="2"/>
  <c r="BA109" i="2"/>
  <c r="H110" i="2"/>
  <c r="X110" i="2"/>
  <c r="AN110" i="2"/>
  <c r="BD110" i="2"/>
  <c r="K111" i="2"/>
  <c r="AA111" i="2"/>
  <c r="AQ111" i="2"/>
  <c r="BG111" i="2"/>
  <c r="R112" i="2"/>
  <c r="AH112" i="2"/>
  <c r="AX112" i="2"/>
  <c r="I113" i="2"/>
  <c r="Y113" i="2"/>
  <c r="AS113" i="2"/>
  <c r="L114" i="2"/>
  <c r="BL114" i="2"/>
  <c r="J116" i="2"/>
  <c r="Q117" i="2"/>
  <c r="T118" i="2"/>
  <c r="W119" i="2"/>
  <c r="AD120" i="2"/>
  <c r="AK121" i="2"/>
  <c r="AN122" i="2"/>
  <c r="AQ123" i="2"/>
  <c r="AX124" i="2"/>
  <c r="BE125" i="2"/>
  <c r="BH126" i="2"/>
  <c r="BL127" i="3"/>
  <c r="BL127" i="2" s="1"/>
  <c r="BL128" i="2"/>
  <c r="J130" i="2"/>
  <c r="Q131" i="2"/>
  <c r="T132" i="2"/>
  <c r="W133" i="2"/>
  <c r="AD134" i="2"/>
  <c r="AK135" i="2"/>
  <c r="AN136" i="2"/>
  <c r="AQ137" i="2"/>
  <c r="AX138" i="2"/>
  <c r="BE139" i="2"/>
  <c r="BH140" i="2"/>
  <c r="BK141" i="2"/>
  <c r="M143" i="2"/>
  <c r="S144" i="2"/>
  <c r="K54" i="2"/>
  <c r="R55" i="2"/>
  <c r="Y56" i="2"/>
  <c r="AB57" i="2"/>
  <c r="AE58" i="2"/>
  <c r="AL59" i="2"/>
  <c r="AS60" i="2"/>
  <c r="AV61" i="2"/>
  <c r="AY62" i="2"/>
  <c r="BF63" i="2"/>
  <c r="BM64" i="2"/>
  <c r="G66" i="2"/>
  <c r="N67" i="2"/>
  <c r="U68" i="2"/>
  <c r="X69" i="2"/>
  <c r="AA70" i="2"/>
  <c r="AH71" i="2"/>
  <c r="AO72" i="2"/>
  <c r="AR73" i="2"/>
  <c r="AU74" i="2"/>
  <c r="BB75" i="2"/>
  <c r="BI76" i="2"/>
  <c r="BL77" i="2"/>
  <c r="J79" i="2"/>
  <c r="Q80" i="2"/>
  <c r="T81" i="2"/>
  <c r="W82" i="2"/>
  <c r="AD83" i="2"/>
  <c r="AK84" i="2"/>
  <c r="AN85" i="2"/>
  <c r="AR86" i="3"/>
  <c r="AR86" i="2" s="1"/>
  <c r="AR87" i="2"/>
  <c r="AU88" i="2"/>
  <c r="BB89" i="2"/>
  <c r="BI90" i="2"/>
  <c r="BL91" i="2"/>
  <c r="J93" i="2"/>
  <c r="Q94" i="2"/>
  <c r="T95" i="2"/>
  <c r="W96" i="2"/>
  <c r="AD97" i="2"/>
  <c r="AK98" i="2"/>
  <c r="AN99" i="2"/>
  <c r="AQ100" i="2"/>
  <c r="AX101" i="2"/>
  <c r="BE102" i="2"/>
  <c r="BH103" i="2"/>
  <c r="BK104" i="2"/>
  <c r="M106" i="2"/>
  <c r="P107" i="2"/>
  <c r="S108" i="2"/>
  <c r="Z109" i="2"/>
  <c r="AG110" i="2"/>
  <c r="AJ111" i="2"/>
  <c r="AM112" i="2"/>
  <c r="AT113" i="2"/>
  <c r="BA114" i="2"/>
  <c r="BD115" i="2"/>
  <c r="BG116" i="2"/>
  <c r="I118" i="2"/>
  <c r="L119" i="2"/>
  <c r="O120" i="2"/>
  <c r="V121" i="2"/>
  <c r="AC122" i="2"/>
  <c r="AF123" i="2"/>
  <c r="AI124" i="2"/>
  <c r="AP125" i="2"/>
  <c r="AW126" i="2"/>
  <c r="BA127" i="3"/>
  <c r="BA127" i="2" s="1"/>
  <c r="BA128" i="2"/>
  <c r="BD129" i="2"/>
  <c r="BG130" i="2"/>
  <c r="I132" i="2"/>
  <c r="L133" i="2"/>
  <c r="O134" i="2"/>
  <c r="V135" i="2"/>
  <c r="AC136" i="2"/>
  <c r="AF137" i="2"/>
  <c r="AI138" i="2"/>
  <c r="AP139" i="2"/>
  <c r="AW140" i="2"/>
  <c r="AZ141" i="2"/>
  <c r="BC142" i="2"/>
  <c r="BJ143" i="2"/>
  <c r="BF145" i="2"/>
  <c r="X54" i="2"/>
  <c r="AA55" i="2"/>
  <c r="AH56" i="2"/>
  <c r="AO57" i="2"/>
  <c r="AR58" i="2"/>
  <c r="AU59" i="2"/>
  <c r="BB60" i="2"/>
  <c r="BI61" i="2"/>
  <c r="BL62" i="2"/>
  <c r="J64" i="2"/>
  <c r="Q65" i="2"/>
  <c r="T66" i="2"/>
  <c r="W67" i="2"/>
  <c r="AD68" i="2"/>
  <c r="AK69" i="2"/>
  <c r="AN70" i="2"/>
  <c r="AQ71" i="2"/>
  <c r="AX72" i="2"/>
  <c r="BE73" i="2"/>
  <c r="BH74" i="2"/>
  <c r="BK75" i="2"/>
  <c r="M77" i="2"/>
  <c r="P78" i="2"/>
  <c r="S79" i="2"/>
  <c r="Z80" i="2"/>
  <c r="AG81" i="2"/>
  <c r="AJ82" i="2"/>
  <c r="AM83" i="2"/>
  <c r="AT84" i="2"/>
  <c r="BA85" i="2"/>
  <c r="BE86" i="3"/>
  <c r="BE86" i="2" s="1"/>
  <c r="BE87" i="2"/>
  <c r="BH88" i="2"/>
  <c r="BK89" i="2"/>
  <c r="M91" i="2"/>
  <c r="P92" i="2"/>
  <c r="S93" i="2"/>
  <c r="Z94" i="2"/>
  <c r="AG95" i="2"/>
  <c r="AJ96" i="2"/>
  <c r="AM97" i="2"/>
  <c r="AT98" i="2"/>
  <c r="BA99" i="2"/>
  <c r="BD100" i="2"/>
  <c r="BG101" i="2"/>
  <c r="I103" i="2"/>
  <c r="L104" i="2"/>
  <c r="O105" i="2"/>
  <c r="V106" i="2"/>
  <c r="AC107" i="2"/>
  <c r="AF108" i="2"/>
  <c r="AI109" i="2"/>
  <c r="AP110" i="2"/>
  <c r="AW111" i="2"/>
  <c r="AZ112" i="2"/>
  <c r="BC113" i="2"/>
  <c r="BJ114" i="2"/>
  <c r="H116" i="2"/>
  <c r="K117" i="2"/>
  <c r="R118" i="2"/>
  <c r="Y119" i="2"/>
  <c r="AB120" i="2"/>
  <c r="AE121" i="2"/>
  <c r="AL122" i="2"/>
  <c r="AS123" i="2"/>
  <c r="AV124" i="2"/>
  <c r="AY125" i="2"/>
  <c r="BF126" i="2"/>
  <c r="I129" i="2"/>
  <c r="L130" i="2"/>
  <c r="O131" i="2"/>
  <c r="V132" i="2"/>
  <c r="AC133" i="2"/>
  <c r="AF134" i="2"/>
  <c r="AI135" i="2"/>
  <c r="AP136" i="2"/>
  <c r="AW137" i="2"/>
  <c r="AZ138" i="2"/>
  <c r="BC139" i="2"/>
  <c r="BJ140" i="2"/>
  <c r="H142" i="2"/>
  <c r="K143" i="2"/>
  <c r="V144" i="2"/>
  <c r="T146" i="2"/>
  <c r="W147" i="2"/>
  <c r="AD148" i="2"/>
  <c r="AK149" i="2"/>
  <c r="AN150" i="2"/>
  <c r="AQ151" i="2"/>
  <c r="AX152" i="2"/>
  <c r="BE153" i="2"/>
  <c r="BH154" i="2"/>
  <c r="BK155" i="2"/>
  <c r="M157" i="2"/>
  <c r="P158" i="2"/>
  <c r="S159" i="2"/>
  <c r="Z160" i="2"/>
  <c r="AG161" i="2"/>
  <c r="AJ162" i="2"/>
  <c r="AM163" i="2"/>
  <c r="AT164" i="2"/>
  <c r="BA165" i="2"/>
  <c r="BD166" i="2"/>
  <c r="BG167" i="2"/>
  <c r="BK168" i="3"/>
  <c r="BK168" i="2" s="1"/>
  <c r="BK169" i="2"/>
  <c r="M171" i="2"/>
  <c r="P172" i="2"/>
  <c r="S173" i="2"/>
  <c r="Z174" i="2"/>
  <c r="AG175" i="2"/>
  <c r="AJ176" i="2"/>
  <c r="AM177" i="2"/>
  <c r="AT178" i="2"/>
  <c r="BA179" i="2"/>
  <c r="BD180" i="2"/>
  <c r="BG181" i="2"/>
  <c r="I183" i="2"/>
  <c r="L184" i="2"/>
  <c r="O185" i="2"/>
  <c r="V186" i="2"/>
  <c r="AC187" i="2"/>
  <c r="AF188" i="2"/>
  <c r="AI189" i="2"/>
  <c r="AP190" i="2"/>
  <c r="AW191" i="2"/>
  <c r="AZ192" i="2"/>
  <c r="BC193" i="2"/>
  <c r="BJ194" i="2"/>
  <c r="H196" i="2"/>
  <c r="K197" i="2"/>
  <c r="R198" i="2"/>
  <c r="Y199" i="2"/>
  <c r="AB200" i="2"/>
  <c r="AE201" i="2"/>
  <c r="AL202" i="2"/>
  <c r="AS203" i="2"/>
  <c r="AV204" i="2"/>
  <c r="AY205" i="2"/>
  <c r="BF206" i="2"/>
  <c r="BM207" i="2"/>
  <c r="H209" i="3"/>
  <c r="H209" i="2" s="1"/>
  <c r="H210" i="2"/>
  <c r="K211" i="2"/>
  <c r="R212" i="2"/>
  <c r="Y213" i="2"/>
  <c r="AB214" i="2"/>
  <c r="AE215" i="2"/>
  <c r="AL216" i="2"/>
  <c r="AS217" i="2"/>
  <c r="AV218" i="2"/>
  <c r="AY219" i="2"/>
  <c r="BF220" i="2"/>
  <c r="BM221" i="2"/>
  <c r="G223" i="2"/>
  <c r="N224" i="2"/>
  <c r="U225" i="2"/>
  <c r="X226" i="2"/>
  <c r="AA227" i="2"/>
  <c r="AH228" i="2"/>
  <c r="AO229" i="2"/>
  <c r="AR230" i="2"/>
  <c r="AU231" i="2"/>
  <c r="BB232" i="2"/>
  <c r="BI233" i="2"/>
  <c r="H235" i="2"/>
  <c r="AS146" i="2"/>
  <c r="AV147" i="2"/>
  <c r="AY148" i="2"/>
  <c r="BF149" i="2"/>
  <c r="BM150" i="2"/>
  <c r="G152" i="2"/>
  <c r="N153" i="2"/>
  <c r="U154" i="2"/>
  <c r="X155" i="2"/>
  <c r="AA156" i="2"/>
  <c r="AH157" i="2"/>
  <c r="AO158" i="2"/>
  <c r="F583" i="2"/>
  <c r="F407" i="2"/>
  <c r="F614" i="2"/>
  <c r="F527" i="2"/>
  <c r="F374" i="3"/>
  <c r="F374" i="2" s="1"/>
  <c r="F375" i="2"/>
  <c r="F238" i="2"/>
  <c r="F98" i="2"/>
  <c r="F50" i="2"/>
  <c r="F596" i="2"/>
  <c r="F526" i="2"/>
  <c r="F493" i="2"/>
  <c r="F359" i="2"/>
  <c r="F342" i="2"/>
  <c r="F217" i="2"/>
  <c r="F196" i="2"/>
  <c r="F189" i="2"/>
  <c r="F59" i="2"/>
  <c r="F17" i="2"/>
  <c r="F617" i="2"/>
  <c r="F557" i="2"/>
  <c r="F509" i="2"/>
  <c r="F373" i="2"/>
  <c r="F356" i="2"/>
  <c r="F231" i="2"/>
  <c r="F320" i="2"/>
  <c r="F207" i="2"/>
  <c r="F73" i="2"/>
  <c r="F31" i="2"/>
  <c r="F615" i="2"/>
  <c r="F553" i="2"/>
  <c r="F507" i="2"/>
  <c r="F371" i="2"/>
  <c r="F354" i="2"/>
  <c r="F229" i="2"/>
  <c r="F218" i="2"/>
  <c r="F206" i="2"/>
  <c r="F71" i="2"/>
  <c r="F29" i="2"/>
  <c r="F607" i="2"/>
  <c r="F551" i="2"/>
  <c r="F505" i="2"/>
  <c r="F369" i="2"/>
  <c r="F352" i="2"/>
  <c r="F227" i="2"/>
  <c r="F214" i="2"/>
  <c r="F199" i="2"/>
  <c r="F69" i="2"/>
  <c r="F27" i="2"/>
  <c r="F588" i="2"/>
  <c r="F518" i="2"/>
  <c r="F485" i="2"/>
  <c r="F351" i="2"/>
  <c r="F333" i="3"/>
  <c r="F333" i="2" s="1"/>
  <c r="F334" i="2"/>
  <c r="F208" i="2"/>
  <c r="F188" i="2"/>
  <c r="F181" i="2"/>
  <c r="F51" i="2"/>
  <c r="F9" i="2"/>
  <c r="F605" i="2"/>
  <c r="F534" i="2"/>
  <c r="F501" i="2"/>
  <c r="F365" i="2"/>
  <c r="F348" i="2"/>
  <c r="F223" i="2"/>
  <c r="F203" i="2"/>
  <c r="F195" i="2"/>
  <c r="F65" i="2"/>
  <c r="F23" i="2"/>
  <c r="F600" i="2"/>
  <c r="F530" i="2"/>
  <c r="F498" i="3"/>
  <c r="F498" i="2" s="1"/>
  <c r="F499" i="2"/>
  <c r="F363" i="2"/>
  <c r="F346" i="2"/>
  <c r="F221" i="2"/>
  <c r="F202" i="2"/>
  <c r="F193" i="2"/>
  <c r="F63" i="2"/>
  <c r="F21" i="2"/>
  <c r="F598" i="2"/>
  <c r="F528" i="2"/>
  <c r="F495" i="2"/>
  <c r="F361" i="2"/>
  <c r="F344" i="2"/>
  <c r="F219" i="2"/>
  <c r="F198" i="2"/>
  <c r="F191" i="2"/>
  <c r="F61" i="2"/>
  <c r="F19" i="2"/>
  <c r="F621" i="3"/>
  <c r="F621" i="2" s="1"/>
  <c r="F622" i="2"/>
  <c r="F533" i="2"/>
  <c r="F511" i="2"/>
  <c r="F376" i="2"/>
  <c r="F358" i="2"/>
  <c r="F233" i="2"/>
  <c r="F328" i="2"/>
  <c r="F212" i="2"/>
  <c r="F75" i="2"/>
  <c r="F33" i="2"/>
  <c r="F594" i="2"/>
  <c r="F524" i="2"/>
  <c r="F491" i="2"/>
  <c r="F357" i="2"/>
  <c r="F340" i="2"/>
  <c r="F215" i="2"/>
  <c r="F194" i="2"/>
  <c r="F187" i="2"/>
  <c r="F57" i="2"/>
  <c r="F15" i="2"/>
  <c r="F592" i="2"/>
  <c r="F522" i="2"/>
  <c r="F489" i="2"/>
  <c r="F355" i="2"/>
  <c r="F338" i="2"/>
  <c r="F213" i="2"/>
  <c r="F192" i="2"/>
  <c r="F185" i="2"/>
  <c r="F55" i="2"/>
  <c r="F13" i="2"/>
  <c r="F590" i="2"/>
  <c r="F520" i="2"/>
  <c r="F487" i="2"/>
  <c r="F353" i="2"/>
  <c r="F336" i="2"/>
  <c r="F211" i="2"/>
  <c r="F190" i="2"/>
  <c r="F183" i="2"/>
  <c r="F53" i="2"/>
  <c r="F11" i="2"/>
  <c r="F613" i="2"/>
  <c r="F543" i="2"/>
  <c r="F503" i="2"/>
  <c r="F367" i="2"/>
  <c r="F350" i="2"/>
  <c r="F225" i="2"/>
  <c r="F209" i="3"/>
  <c r="F209" i="2" s="1"/>
  <c r="F210" i="2"/>
  <c r="F197" i="2"/>
  <c r="F67" i="2"/>
  <c r="F25" i="2"/>
  <c r="F586" i="2"/>
  <c r="F516" i="2"/>
  <c r="F483" i="2"/>
  <c r="F349" i="2"/>
  <c r="F331" i="2"/>
  <c r="F324" i="2"/>
  <c r="F186" i="2"/>
  <c r="F179" i="2"/>
  <c r="F49" i="2"/>
  <c r="F7" i="2"/>
  <c r="F584" i="2"/>
  <c r="F514" i="2"/>
  <c r="F481" i="2"/>
  <c r="F347" i="2"/>
  <c r="F329" i="2"/>
  <c r="F339" i="2"/>
  <c r="F184" i="2"/>
  <c r="F177" i="2"/>
  <c r="F47" i="2"/>
  <c r="F4" i="3"/>
  <c r="F4" i="2" s="1"/>
  <c r="F5" i="2"/>
  <c r="F582" i="2"/>
  <c r="F512" i="2"/>
  <c r="F479" i="2"/>
  <c r="F345" i="2"/>
  <c r="F327" i="2"/>
  <c r="F335" i="2"/>
  <c r="F182" i="2"/>
  <c r="F175" i="2"/>
  <c r="F44" i="2"/>
  <c r="F91" i="2"/>
  <c r="U4" i="3"/>
  <c r="U4" i="2" s="1"/>
  <c r="U5" i="2"/>
  <c r="AK4" i="3"/>
  <c r="AK4" i="2" s="1"/>
  <c r="AK5" i="2"/>
  <c r="BA4" i="3"/>
  <c r="BA4" i="2" s="1"/>
  <c r="BA5" i="2"/>
  <c r="H6" i="2"/>
  <c r="X6" i="2"/>
  <c r="AN6" i="2"/>
  <c r="BD6" i="2"/>
  <c r="K7" i="2"/>
  <c r="AA7" i="2"/>
  <c r="AQ7" i="2"/>
  <c r="BG7" i="2"/>
  <c r="R8" i="2"/>
  <c r="AH8" i="2"/>
  <c r="AX8" i="2"/>
  <c r="I9" i="2"/>
  <c r="Y9" i="2"/>
  <c r="AO9" i="2"/>
  <c r="BE9" i="2"/>
  <c r="L10" i="2"/>
  <c r="AB10" i="2"/>
  <c r="AR10" i="2"/>
  <c r="BH10" i="2"/>
  <c r="O11" i="2"/>
  <c r="AE11" i="2"/>
  <c r="AU11" i="2"/>
  <c r="BK11" i="2"/>
  <c r="V12" i="2"/>
  <c r="AL12" i="2"/>
  <c r="BB12" i="2"/>
  <c r="M13" i="2"/>
  <c r="AC13" i="2"/>
  <c r="AS13" i="2"/>
  <c r="BI13" i="2"/>
  <c r="P14" i="2"/>
  <c r="AF14" i="2"/>
  <c r="AV14" i="2"/>
  <c r="BL14" i="2"/>
  <c r="S15" i="2"/>
  <c r="AI15" i="2"/>
  <c r="AY15" i="2"/>
  <c r="J16" i="2"/>
  <c r="Z16" i="2"/>
  <c r="AP16" i="2"/>
  <c r="BF16" i="2"/>
  <c r="Q17" i="2"/>
  <c r="AG17" i="2"/>
  <c r="AW17" i="2"/>
  <c r="BM17" i="2"/>
  <c r="T18" i="2"/>
  <c r="AJ18" i="2"/>
  <c r="AZ18" i="2"/>
  <c r="G19" i="2"/>
  <c r="W19" i="2"/>
  <c r="AM19" i="2"/>
  <c r="BC19" i="2"/>
  <c r="N20" i="2"/>
  <c r="AD20" i="2"/>
  <c r="AT20" i="2"/>
  <c r="BJ20" i="2"/>
  <c r="U21" i="2"/>
  <c r="AK21" i="2"/>
  <c r="BA21" i="2"/>
  <c r="H22" i="2"/>
  <c r="X22" i="2"/>
  <c r="AN22" i="2"/>
  <c r="BD22" i="2"/>
  <c r="K23" i="2"/>
  <c r="AA23" i="2"/>
  <c r="AQ23" i="2"/>
  <c r="BG23" i="2"/>
  <c r="R24" i="2"/>
  <c r="AH24" i="2"/>
  <c r="AX24" i="2"/>
  <c r="I25" i="2"/>
  <c r="Y25" i="2"/>
  <c r="AO25" i="2"/>
  <c r="BE25" i="2"/>
  <c r="L26" i="2"/>
  <c r="AB26" i="2"/>
  <c r="AR26" i="2"/>
  <c r="BH26" i="2"/>
  <c r="O27" i="2"/>
  <c r="AE27" i="2"/>
  <c r="AU27" i="2"/>
  <c r="BK27" i="2"/>
  <c r="V28" i="2"/>
  <c r="AL28" i="2"/>
  <c r="BB28" i="2"/>
  <c r="M29" i="2"/>
  <c r="AC29" i="2"/>
  <c r="AS29" i="2"/>
  <c r="BI29" i="2"/>
  <c r="P30" i="2"/>
  <c r="AF30" i="2"/>
  <c r="AV30" i="2"/>
  <c r="BL30" i="2"/>
  <c r="S31" i="2"/>
  <c r="AI31" i="2"/>
  <c r="AY31" i="2"/>
  <c r="J32" i="2"/>
  <c r="Z32" i="2"/>
  <c r="AP32" i="2"/>
  <c r="BF32" i="2"/>
  <c r="Q33" i="2"/>
  <c r="AG33" i="2"/>
  <c r="AW33" i="2"/>
  <c r="BM33" i="2"/>
  <c r="T34" i="2"/>
  <c r="AJ34" i="2"/>
  <c r="AZ34" i="2"/>
  <c r="G35" i="2"/>
  <c r="W35" i="2"/>
  <c r="AM35" i="2"/>
  <c r="BC35" i="2"/>
  <c r="N36" i="2"/>
  <c r="AD36" i="2"/>
  <c r="AT36" i="2"/>
  <c r="BJ36" i="2"/>
  <c r="U37" i="2"/>
  <c r="AK37" i="2"/>
  <c r="BA37" i="2"/>
  <c r="H38" i="2"/>
  <c r="X38" i="2"/>
  <c r="AN38" i="2"/>
  <c r="BD38" i="2"/>
  <c r="K39" i="2"/>
  <c r="AA39" i="2"/>
  <c r="AQ39" i="2"/>
  <c r="BG39" i="2"/>
  <c r="R40" i="2"/>
  <c r="AH40" i="2"/>
  <c r="AX40" i="2"/>
  <c r="I41" i="2"/>
  <c r="Y41" i="2"/>
  <c r="AO41" i="2"/>
  <c r="BE41" i="2"/>
  <c r="L42" i="2"/>
  <c r="AB42" i="2"/>
  <c r="AR42" i="2"/>
  <c r="BH42" i="2"/>
  <c r="O43" i="2"/>
  <c r="AE43" i="2"/>
  <c r="AU43" i="2"/>
  <c r="BK43" i="2"/>
  <c r="V44" i="2"/>
  <c r="AL44" i="2"/>
  <c r="BB44" i="2"/>
  <c r="N45" i="3"/>
  <c r="N45" i="2" s="1"/>
  <c r="N46" i="2"/>
  <c r="AD45" i="3"/>
  <c r="AD45" i="2" s="1"/>
  <c r="AD46" i="2"/>
  <c r="AT45" i="3"/>
  <c r="AT45" i="2" s="1"/>
  <c r="AT46" i="2"/>
  <c r="BJ45" i="3"/>
  <c r="BJ45" i="2" s="1"/>
  <c r="BJ46" i="2"/>
  <c r="U47" i="2"/>
  <c r="AK47" i="2"/>
  <c r="BA47" i="2"/>
  <c r="H48" i="2"/>
  <c r="X48" i="2"/>
  <c r="AN48" i="2"/>
  <c r="BD48" i="2"/>
  <c r="K49" i="2"/>
  <c r="AA49" i="2"/>
  <c r="AQ49" i="2"/>
  <c r="BG49" i="2"/>
  <c r="R50" i="2"/>
  <c r="AH50" i="2"/>
  <c r="AX50" i="2"/>
  <c r="I51" i="2"/>
  <c r="Y51" i="2"/>
  <c r="AO51" i="2"/>
  <c r="BE51" i="2"/>
  <c r="L52" i="2"/>
  <c r="AB52" i="2"/>
  <c r="AR52" i="2"/>
  <c r="BH52" i="2"/>
  <c r="O53" i="2"/>
  <c r="AH53" i="2"/>
  <c r="BC53" i="2"/>
  <c r="R4" i="3"/>
  <c r="R4" i="2" s="1"/>
  <c r="R5" i="2"/>
  <c r="AH4" i="3"/>
  <c r="AH4" i="2" s="1"/>
  <c r="AH5" i="2"/>
  <c r="AX4" i="3"/>
  <c r="AX4" i="2" s="1"/>
  <c r="AX5" i="2"/>
  <c r="I6" i="2"/>
  <c r="Y6" i="2"/>
  <c r="AO6" i="2"/>
  <c r="BE6" i="2"/>
  <c r="L7" i="2"/>
  <c r="AB7" i="2"/>
  <c r="AR7" i="2"/>
  <c r="BH7" i="2"/>
  <c r="O8" i="2"/>
  <c r="AE8" i="2"/>
  <c r="AU8" i="2"/>
  <c r="BK8" i="2"/>
  <c r="V9" i="2"/>
  <c r="AL9" i="2"/>
  <c r="BB9" i="2"/>
  <c r="M10" i="2"/>
  <c r="AC10" i="2"/>
  <c r="AS10" i="2"/>
  <c r="BI10" i="2"/>
  <c r="P11" i="2"/>
  <c r="AF11" i="2"/>
  <c r="AV11" i="2"/>
  <c r="BL11" i="2"/>
  <c r="S12" i="2"/>
  <c r="AI12" i="2"/>
  <c r="AY12" i="2"/>
  <c r="J13" i="2"/>
  <c r="Z13" i="2"/>
  <c r="AP13" i="2"/>
  <c r="BF13" i="2"/>
  <c r="Q14" i="2"/>
  <c r="AG14" i="2"/>
  <c r="AW14" i="2"/>
  <c r="BM14" i="2"/>
  <c r="T15" i="2"/>
  <c r="AJ15" i="2"/>
  <c r="AZ15" i="2"/>
  <c r="G16" i="2"/>
  <c r="W16" i="2"/>
  <c r="AM16" i="2"/>
  <c r="BC16" i="2"/>
  <c r="N17" i="2"/>
  <c r="AD17" i="2"/>
  <c r="AT17" i="2"/>
  <c r="BJ17" i="2"/>
  <c r="U18" i="2"/>
  <c r="AK18" i="2"/>
  <c r="BA18" i="2"/>
  <c r="H19" i="2"/>
  <c r="X19" i="2"/>
  <c r="AN19" i="2"/>
  <c r="BD19" i="2"/>
  <c r="K20" i="2"/>
  <c r="AA20" i="2"/>
  <c r="AQ20" i="2"/>
  <c r="BG20" i="2"/>
  <c r="R21" i="2"/>
  <c r="AH21" i="2"/>
  <c r="AX21" i="2"/>
  <c r="I22" i="2"/>
  <c r="Y22" i="2"/>
  <c r="AO22" i="2"/>
  <c r="BE22" i="2"/>
  <c r="L23" i="2"/>
  <c r="AB23" i="2"/>
  <c r="AR23" i="2"/>
  <c r="BH23" i="2"/>
  <c r="O24" i="2"/>
  <c r="AE24" i="2"/>
  <c r="AU24" i="2"/>
  <c r="BK24" i="2"/>
  <c r="V25" i="2"/>
  <c r="AL25" i="2"/>
  <c r="BB25" i="2"/>
  <c r="M26" i="2"/>
  <c r="AC26" i="2"/>
  <c r="AS26" i="2"/>
  <c r="BI26" i="2"/>
  <c r="P27" i="2"/>
  <c r="AF27" i="2"/>
  <c r="AV27" i="2"/>
  <c r="BL27" i="2"/>
  <c r="S28" i="2"/>
  <c r="AI28" i="2"/>
  <c r="AY28" i="2"/>
  <c r="J29" i="2"/>
  <c r="Z29" i="2"/>
  <c r="AP29" i="2"/>
  <c r="BF29" i="2"/>
  <c r="Q30" i="2"/>
  <c r="AG30" i="2"/>
  <c r="AW30" i="2"/>
  <c r="BM30" i="2"/>
  <c r="T31" i="2"/>
  <c r="AJ31" i="2"/>
  <c r="AZ31" i="2"/>
  <c r="G32" i="2"/>
  <c r="W32" i="2"/>
  <c r="AM32" i="2"/>
  <c r="BC32" i="2"/>
  <c r="N33" i="2"/>
  <c r="AD33" i="2"/>
  <c r="AT33" i="2"/>
  <c r="BJ33" i="2"/>
  <c r="U34" i="2"/>
  <c r="AK34" i="2"/>
  <c r="BA34" i="2"/>
  <c r="H35" i="2"/>
  <c r="X35" i="2"/>
  <c r="AN35" i="2"/>
  <c r="BD35" i="2"/>
  <c r="K36" i="2"/>
  <c r="AA36" i="2"/>
  <c r="AQ36" i="2"/>
  <c r="BG36" i="2"/>
  <c r="R37" i="2"/>
  <c r="AH37" i="2"/>
  <c r="AX37" i="2"/>
  <c r="I38" i="2"/>
  <c r="Y38" i="2"/>
  <c r="AO38" i="2"/>
  <c r="BE38" i="2"/>
  <c r="L39" i="2"/>
  <c r="AB39" i="2"/>
  <c r="AR39" i="2"/>
  <c r="BH39" i="2"/>
  <c r="O40" i="2"/>
  <c r="AE40" i="2"/>
  <c r="AU40" i="2"/>
  <c r="BK40" i="2"/>
  <c r="V41" i="2"/>
  <c r="AL41" i="2"/>
  <c r="BB41" i="2"/>
  <c r="M42" i="2"/>
  <c r="AC42" i="2"/>
  <c r="AS42" i="2"/>
  <c r="BI42" i="2"/>
  <c r="P43" i="2"/>
  <c r="AF43" i="2"/>
  <c r="AV43" i="2"/>
  <c r="BL43" i="2"/>
  <c r="S44" i="2"/>
  <c r="AI44" i="2"/>
  <c r="AY44" i="2"/>
  <c r="G45" i="3"/>
  <c r="G45" i="2" s="1"/>
  <c r="G46" i="2"/>
  <c r="W45" i="3"/>
  <c r="W45" i="2" s="1"/>
  <c r="W46" i="2"/>
  <c r="AM45" i="3"/>
  <c r="AM45" i="2" s="1"/>
  <c r="AM46" i="2"/>
  <c r="BC45" i="3"/>
  <c r="BC45" i="2" s="1"/>
  <c r="BC46" i="2"/>
  <c r="N47" i="2"/>
  <c r="AD47" i="2"/>
  <c r="AT47" i="2"/>
  <c r="BJ47" i="2"/>
  <c r="U48" i="2"/>
  <c r="AK48" i="2"/>
  <c r="BA48" i="2"/>
  <c r="H49" i="2"/>
  <c r="X49" i="2"/>
  <c r="AN49" i="2"/>
  <c r="BD49" i="2"/>
  <c r="K50" i="2"/>
  <c r="AA50" i="2"/>
  <c r="AQ50" i="2"/>
  <c r="BG50" i="2"/>
  <c r="R51" i="2"/>
  <c r="AH51" i="2"/>
  <c r="AX51" i="2"/>
  <c r="I52" i="2"/>
  <c r="Y52" i="2"/>
  <c r="AO52" i="2"/>
  <c r="BE52" i="2"/>
  <c r="L53" i="2"/>
  <c r="AD53" i="2"/>
  <c r="AY53" i="2"/>
  <c r="K4" i="3"/>
  <c r="K4" i="2" s="1"/>
  <c r="K5" i="2"/>
  <c r="AA4" i="3"/>
  <c r="AA4" i="2" s="1"/>
  <c r="AA5" i="2"/>
  <c r="AQ4" i="3"/>
  <c r="AQ4" i="2" s="1"/>
  <c r="AQ5" i="2"/>
  <c r="BG4" i="3"/>
  <c r="BG4" i="2" s="1"/>
  <c r="BG5" i="2"/>
  <c r="R6" i="2"/>
  <c r="AH6" i="2"/>
  <c r="AX6" i="2"/>
  <c r="I7" i="2"/>
  <c r="Y7" i="2"/>
  <c r="AO7" i="2"/>
  <c r="BE7" i="2"/>
  <c r="L8" i="2"/>
  <c r="AB8" i="2"/>
  <c r="AR8" i="2"/>
  <c r="BH8" i="2"/>
  <c r="O9" i="2"/>
  <c r="AE9" i="2"/>
  <c r="AU9" i="2"/>
  <c r="BK9" i="2"/>
  <c r="V10" i="2"/>
  <c r="AL10" i="2"/>
  <c r="BB10" i="2"/>
  <c r="M11" i="2"/>
  <c r="AC11" i="2"/>
  <c r="AS11" i="2"/>
  <c r="BI11" i="2"/>
  <c r="P12" i="2"/>
  <c r="AF12" i="2"/>
  <c r="AV12" i="2"/>
  <c r="BL12" i="2"/>
  <c r="S13" i="2"/>
  <c r="AI13" i="2"/>
  <c r="AY13" i="2"/>
  <c r="J14" i="2"/>
  <c r="Z14" i="2"/>
  <c r="AP14" i="2"/>
  <c r="BF14" i="2"/>
  <c r="Q15" i="2"/>
  <c r="AG15" i="2"/>
  <c r="AW15" i="2"/>
  <c r="BM15" i="2"/>
  <c r="T16" i="2"/>
  <c r="AJ16" i="2"/>
  <c r="AZ16" i="2"/>
  <c r="G17" i="2"/>
  <c r="W17" i="2"/>
  <c r="AM17" i="2"/>
  <c r="BC17" i="2"/>
  <c r="N18" i="2"/>
  <c r="AD18" i="2"/>
  <c r="AT18" i="2"/>
  <c r="BJ18" i="2"/>
  <c r="U19" i="2"/>
  <c r="AK19" i="2"/>
  <c r="BA19" i="2"/>
  <c r="H20" i="2"/>
  <c r="X20" i="2"/>
  <c r="AN20" i="2"/>
  <c r="BD20" i="2"/>
  <c r="K21" i="2"/>
  <c r="AA21" i="2"/>
  <c r="AQ21" i="2"/>
  <c r="BG21" i="2"/>
  <c r="R22" i="2"/>
  <c r="AH22" i="2"/>
  <c r="AX22" i="2"/>
  <c r="I23" i="2"/>
  <c r="Y23" i="2"/>
  <c r="AO23" i="2"/>
  <c r="BE23" i="2"/>
  <c r="L24" i="2"/>
  <c r="AB24" i="2"/>
  <c r="AR24" i="2"/>
  <c r="BH24" i="2"/>
  <c r="O25" i="2"/>
  <c r="AE25" i="2"/>
  <c r="AU25" i="2"/>
  <c r="BK25" i="2"/>
  <c r="V26" i="2"/>
  <c r="AL26" i="2"/>
  <c r="BB26" i="2"/>
  <c r="M27" i="2"/>
  <c r="AC27" i="2"/>
  <c r="AS27" i="2"/>
  <c r="BI27" i="2"/>
  <c r="P28" i="2"/>
  <c r="AF28" i="2"/>
  <c r="AV28" i="2"/>
  <c r="BL28" i="2"/>
  <c r="S29" i="2"/>
  <c r="AI29" i="2"/>
  <c r="AY29" i="2"/>
  <c r="J30" i="2"/>
  <c r="Z30" i="2"/>
  <c r="AP30" i="2"/>
  <c r="BF30" i="2"/>
  <c r="Q31" i="2"/>
  <c r="AG31" i="2"/>
  <c r="AW31" i="2"/>
  <c r="BM31" i="2"/>
  <c r="T32" i="2"/>
  <c r="AJ32" i="2"/>
  <c r="AZ32" i="2"/>
  <c r="G33" i="2"/>
  <c r="W33" i="2"/>
  <c r="AM33" i="2"/>
  <c r="BC33" i="2"/>
  <c r="N34" i="2"/>
  <c r="AD34" i="2"/>
  <c r="AT34" i="2"/>
  <c r="BJ34" i="2"/>
  <c r="U35" i="2"/>
  <c r="AK35" i="2"/>
  <c r="BA35" i="2"/>
  <c r="H36" i="2"/>
  <c r="X36" i="2"/>
  <c r="AN36" i="2"/>
  <c r="BD36" i="2"/>
  <c r="K37" i="2"/>
  <c r="AA37" i="2"/>
  <c r="AQ37" i="2"/>
  <c r="BG37" i="2"/>
  <c r="R38" i="2"/>
  <c r="AH38" i="2"/>
  <c r="AX38" i="2"/>
  <c r="I39" i="2"/>
  <c r="Y39" i="2"/>
  <c r="AO39" i="2"/>
  <c r="BE39" i="2"/>
  <c r="L40" i="2"/>
  <c r="AB40" i="2"/>
  <c r="AR40" i="2"/>
  <c r="BH40" i="2"/>
  <c r="O41" i="2"/>
  <c r="AE41" i="2"/>
  <c r="AU41" i="2"/>
  <c r="BK41" i="2"/>
  <c r="V42" i="2"/>
  <c r="AL42" i="2"/>
  <c r="BB42" i="2"/>
  <c r="M43" i="2"/>
  <c r="AC43" i="2"/>
  <c r="AS43" i="2"/>
  <c r="BI43" i="2"/>
  <c r="P44" i="2"/>
  <c r="AF44" i="2"/>
  <c r="AV44" i="2"/>
  <c r="BL44" i="2"/>
  <c r="T45" i="3"/>
  <c r="T45" i="2" s="1"/>
  <c r="T46" i="2"/>
  <c r="AJ45" i="3"/>
  <c r="AJ45" i="2" s="1"/>
  <c r="AJ46" i="2"/>
  <c r="AZ45" i="3"/>
  <c r="AZ45" i="2" s="1"/>
  <c r="AZ46" i="2"/>
  <c r="G47" i="2"/>
  <c r="W47" i="2"/>
  <c r="AM47" i="2"/>
  <c r="BC47" i="2"/>
  <c r="N48" i="2"/>
  <c r="AD48" i="2"/>
  <c r="AT48" i="2"/>
  <c r="BJ48" i="2"/>
  <c r="U49" i="2"/>
  <c r="AK49" i="2"/>
  <c r="BA49" i="2"/>
  <c r="H50" i="2"/>
  <c r="X50" i="2"/>
  <c r="AN50" i="2"/>
  <c r="BD50" i="2"/>
  <c r="K51" i="2"/>
  <c r="AA51" i="2"/>
  <c r="AQ51" i="2"/>
  <c r="BG51" i="2"/>
  <c r="R52" i="2"/>
  <c r="AH52" i="2"/>
  <c r="AX52" i="2"/>
  <c r="I53" i="2"/>
  <c r="Z53" i="2"/>
  <c r="AU53" i="2"/>
  <c r="J54" i="2"/>
  <c r="T4" i="3"/>
  <c r="T4" i="2" s="1"/>
  <c r="T5" i="2"/>
  <c r="AJ4" i="3"/>
  <c r="AJ4" i="2" s="1"/>
  <c r="AJ5" i="2"/>
  <c r="AZ4" i="3"/>
  <c r="AZ4" i="2" s="1"/>
  <c r="AZ5" i="2"/>
  <c r="G6" i="2"/>
  <c r="W6" i="2"/>
  <c r="AM6" i="2"/>
  <c r="BC6" i="2"/>
  <c r="N7" i="2"/>
  <c r="AD7" i="2"/>
  <c r="AT7" i="2"/>
  <c r="BJ7" i="2"/>
  <c r="U8" i="2"/>
  <c r="AK8" i="2"/>
  <c r="BA8" i="2"/>
  <c r="H9" i="2"/>
  <c r="X9" i="2"/>
  <c r="AN9" i="2"/>
  <c r="BD9" i="2"/>
  <c r="K10" i="2"/>
  <c r="AA10" i="2"/>
  <c r="AQ10" i="2"/>
  <c r="BG10" i="2"/>
  <c r="R11" i="2"/>
  <c r="AH11" i="2"/>
  <c r="AX11" i="2"/>
  <c r="I12" i="2"/>
  <c r="Y12" i="2"/>
  <c r="AO12" i="2"/>
  <c r="BE12" i="2"/>
  <c r="L13" i="2"/>
  <c r="AB13" i="2"/>
  <c r="AR13" i="2"/>
  <c r="BH13" i="2"/>
  <c r="O14" i="2"/>
  <c r="AE14" i="2"/>
  <c r="AU14" i="2"/>
  <c r="BK14" i="2"/>
  <c r="V15" i="2"/>
  <c r="AL15" i="2"/>
  <c r="BB15" i="2"/>
  <c r="M16" i="2"/>
  <c r="AC16" i="2"/>
  <c r="AS16" i="2"/>
  <c r="BI16" i="2"/>
  <c r="P17" i="2"/>
  <c r="AF17" i="2"/>
  <c r="AV17" i="2"/>
  <c r="BL17" i="2"/>
  <c r="S18" i="2"/>
  <c r="AI18" i="2"/>
  <c r="AY18" i="2"/>
  <c r="J19" i="2"/>
  <c r="Z19" i="2"/>
  <c r="AP19" i="2"/>
  <c r="BF19" i="2"/>
  <c r="Q20" i="2"/>
  <c r="AG20" i="2"/>
  <c r="AW20" i="2"/>
  <c r="BM20" i="2"/>
  <c r="T21" i="2"/>
  <c r="AJ21" i="2"/>
  <c r="AZ21" i="2"/>
  <c r="G22" i="2"/>
  <c r="W22" i="2"/>
  <c r="AM22" i="2"/>
  <c r="BC22" i="2"/>
  <c r="N23" i="2"/>
  <c r="AD23" i="2"/>
  <c r="AT23" i="2"/>
  <c r="BJ23" i="2"/>
  <c r="U24" i="2"/>
  <c r="AK24" i="2"/>
  <c r="BA24" i="2"/>
  <c r="H25" i="2"/>
  <c r="X25" i="2"/>
  <c r="AN25" i="2"/>
  <c r="BD25" i="2"/>
  <c r="K26" i="2"/>
  <c r="AA26" i="2"/>
  <c r="AQ26" i="2"/>
  <c r="BG26" i="2"/>
  <c r="R27" i="2"/>
  <c r="AH27" i="2"/>
  <c r="AX27" i="2"/>
  <c r="I28" i="2"/>
  <c r="Y28" i="2"/>
  <c r="AO28" i="2"/>
  <c r="BE28" i="2"/>
  <c r="L29" i="2"/>
  <c r="AB29" i="2"/>
  <c r="AR29" i="2"/>
  <c r="BH29" i="2"/>
  <c r="O30" i="2"/>
  <c r="AE30" i="2"/>
  <c r="AU30" i="2"/>
  <c r="BK30" i="2"/>
  <c r="V31" i="2"/>
  <c r="AL31" i="2"/>
  <c r="BB31" i="2"/>
  <c r="M32" i="2"/>
  <c r="AC32" i="2"/>
  <c r="AS32" i="2"/>
  <c r="BI32" i="2"/>
  <c r="P33" i="2"/>
  <c r="AF33" i="2"/>
  <c r="AV33" i="2"/>
  <c r="BL33" i="2"/>
  <c r="S34" i="2"/>
  <c r="AI34" i="2"/>
  <c r="AY34" i="2"/>
  <c r="J35" i="2"/>
  <c r="Z35" i="2"/>
  <c r="AP35" i="2"/>
  <c r="BF35" i="2"/>
  <c r="Q36" i="2"/>
  <c r="AG36" i="2"/>
  <c r="AW36" i="2"/>
  <c r="BM36" i="2"/>
  <c r="T37" i="2"/>
  <c r="AJ37" i="2"/>
  <c r="AZ37" i="2"/>
  <c r="G38" i="2"/>
  <c r="W38" i="2"/>
  <c r="AM38" i="2"/>
  <c r="BC38" i="2"/>
  <c r="N39" i="2"/>
  <c r="AD39" i="2"/>
  <c r="AT39" i="2"/>
  <c r="BJ39" i="2"/>
  <c r="U40" i="2"/>
  <c r="AK40" i="2"/>
  <c r="BA40" i="2"/>
  <c r="H41" i="2"/>
  <c r="X41" i="2"/>
  <c r="AN41" i="2"/>
  <c r="BD41" i="2"/>
  <c r="K42" i="2"/>
  <c r="AA42" i="2"/>
  <c r="AQ42" i="2"/>
  <c r="BG42" i="2"/>
  <c r="R43" i="2"/>
  <c r="AH43" i="2"/>
  <c r="AX43" i="2"/>
  <c r="I44" i="2"/>
  <c r="Y44" i="2"/>
  <c r="AO44" i="2"/>
  <c r="BE44" i="2"/>
  <c r="M45" i="3"/>
  <c r="M45" i="2" s="1"/>
  <c r="M46" i="2"/>
  <c r="AC45" i="3"/>
  <c r="AC45" i="2" s="1"/>
  <c r="AC46" i="2"/>
  <c r="AS45" i="3"/>
  <c r="AS45" i="2" s="1"/>
  <c r="AS46" i="2"/>
  <c r="BI45" i="3"/>
  <c r="BI45" i="2" s="1"/>
  <c r="BI46" i="2"/>
  <c r="P47" i="2"/>
  <c r="AF47" i="2"/>
  <c r="AV47" i="2"/>
  <c r="BL47" i="2"/>
  <c r="S48" i="2"/>
  <c r="AI48" i="2"/>
  <c r="AY48" i="2"/>
  <c r="J49" i="2"/>
  <c r="Z49" i="2"/>
  <c r="AP49" i="2"/>
  <c r="BF49" i="2"/>
  <c r="Q50" i="2"/>
  <c r="AG50" i="2"/>
  <c r="AW50" i="2"/>
  <c r="BM50" i="2"/>
  <c r="T51" i="2"/>
  <c r="AJ51" i="2"/>
  <c r="AZ51" i="2"/>
  <c r="G52" i="2"/>
  <c r="W52" i="2"/>
  <c r="AM52" i="2"/>
  <c r="BC52" i="2"/>
  <c r="N53" i="2"/>
  <c r="AF53" i="2"/>
  <c r="BB53" i="2"/>
  <c r="M54" i="2"/>
  <c r="AC54" i="2"/>
  <c r="AS54" i="2"/>
  <c r="BI54" i="2"/>
  <c r="P55" i="2"/>
  <c r="AF55" i="2"/>
  <c r="AV55" i="2"/>
  <c r="BL55" i="2"/>
  <c r="S56" i="2"/>
  <c r="AI56" i="2"/>
  <c r="AY56" i="2"/>
  <c r="J57" i="2"/>
  <c r="Z57" i="2"/>
  <c r="AP57" i="2"/>
  <c r="BF57" i="2"/>
  <c r="Q58" i="2"/>
  <c r="AG58" i="2"/>
  <c r="AW58" i="2"/>
  <c r="BM58" i="2"/>
  <c r="T59" i="2"/>
  <c r="AJ59" i="2"/>
  <c r="AZ59" i="2"/>
  <c r="G60" i="2"/>
  <c r="W60" i="2"/>
  <c r="AM60" i="2"/>
  <c r="BC60" i="2"/>
  <c r="N61" i="2"/>
  <c r="AD61" i="2"/>
  <c r="AT61" i="2"/>
  <c r="BJ61" i="2"/>
  <c r="U62" i="2"/>
  <c r="AK62" i="2"/>
  <c r="BA62" i="2"/>
  <c r="H63" i="2"/>
  <c r="X63" i="2"/>
  <c r="AN63" i="2"/>
  <c r="BD63" i="2"/>
  <c r="K64" i="2"/>
  <c r="AA64" i="2"/>
  <c r="AQ64" i="2"/>
  <c r="BG64" i="2"/>
  <c r="R65" i="2"/>
  <c r="AH65" i="2"/>
  <c r="AX65" i="2"/>
  <c r="I66" i="2"/>
  <c r="Y66" i="2"/>
  <c r="AO66" i="2"/>
  <c r="BE66" i="2"/>
  <c r="L67" i="2"/>
  <c r="AB67" i="2"/>
  <c r="AR67" i="2"/>
  <c r="BH67" i="2"/>
  <c r="O68" i="2"/>
  <c r="AE68" i="2"/>
  <c r="AU68" i="2"/>
  <c r="BK68" i="2"/>
  <c r="V69" i="2"/>
  <c r="AL69" i="2"/>
  <c r="BB69" i="2"/>
  <c r="M70" i="2"/>
  <c r="AC70" i="2"/>
  <c r="AS70" i="2"/>
  <c r="BI70" i="2"/>
  <c r="P71" i="2"/>
  <c r="AF71" i="2"/>
  <c r="AV71" i="2"/>
  <c r="BL71" i="2"/>
  <c r="S72" i="2"/>
  <c r="AI72" i="2"/>
  <c r="AY72" i="2"/>
  <c r="J73" i="2"/>
  <c r="Z73" i="2"/>
  <c r="AP73" i="2"/>
  <c r="BF73" i="2"/>
  <c r="Q74" i="2"/>
  <c r="AG74" i="2"/>
  <c r="AW74" i="2"/>
  <c r="BM74" i="2"/>
  <c r="T75" i="2"/>
  <c r="AJ75" i="2"/>
  <c r="AZ75" i="2"/>
  <c r="G76" i="2"/>
  <c r="W76" i="2"/>
  <c r="AM76" i="2"/>
  <c r="BC76" i="2"/>
  <c r="N77" i="2"/>
  <c r="AD77" i="2"/>
  <c r="AT77" i="2"/>
  <c r="BJ77" i="2"/>
  <c r="U78" i="2"/>
  <c r="AK78" i="2"/>
  <c r="BA78" i="2"/>
  <c r="H79" i="2"/>
  <c r="X79" i="2"/>
  <c r="AN79" i="2"/>
  <c r="BD79" i="2"/>
  <c r="K80" i="2"/>
  <c r="AA80" i="2"/>
  <c r="AQ80" i="2"/>
  <c r="BG80" i="2"/>
  <c r="R81" i="2"/>
  <c r="AH81" i="2"/>
  <c r="AX81" i="2"/>
  <c r="I82" i="2"/>
  <c r="Y82" i="2"/>
  <c r="AO82" i="2"/>
  <c r="BE82" i="2"/>
  <c r="L83" i="2"/>
  <c r="AB83" i="2"/>
  <c r="AR83" i="2"/>
  <c r="BH83" i="2"/>
  <c r="O84" i="2"/>
  <c r="AE84" i="2"/>
  <c r="AU84" i="2"/>
  <c r="BK84" i="2"/>
  <c r="V85" i="2"/>
  <c r="AL85" i="2"/>
  <c r="BB85" i="2"/>
  <c r="N86" i="3"/>
  <c r="N86" i="2" s="1"/>
  <c r="N87" i="2"/>
  <c r="AD86" i="3"/>
  <c r="AD86" i="2" s="1"/>
  <c r="AD87" i="2"/>
  <c r="AT86" i="3"/>
  <c r="AT86" i="2" s="1"/>
  <c r="AT87" i="2"/>
  <c r="BJ86" i="3"/>
  <c r="BJ86" i="2" s="1"/>
  <c r="BJ87" i="2"/>
  <c r="U88" i="2"/>
  <c r="AK88" i="2"/>
  <c r="BA88" i="2"/>
  <c r="H89" i="2"/>
  <c r="X89" i="2"/>
  <c r="AN89" i="2"/>
  <c r="BD89" i="2"/>
  <c r="K90" i="2"/>
  <c r="AA90" i="2"/>
  <c r="AQ90" i="2"/>
  <c r="BG90" i="2"/>
  <c r="R91" i="2"/>
  <c r="AH91" i="2"/>
  <c r="AX91" i="2"/>
  <c r="I92" i="2"/>
  <c r="Y92" i="2"/>
  <c r="AO92" i="2"/>
  <c r="BE92" i="2"/>
  <c r="L93" i="2"/>
  <c r="AB93" i="2"/>
  <c r="AR93" i="2"/>
  <c r="BH93" i="2"/>
  <c r="O94" i="2"/>
  <c r="AE94" i="2"/>
  <c r="AU94" i="2"/>
  <c r="BK94" i="2"/>
  <c r="V95" i="2"/>
  <c r="AL95" i="2"/>
  <c r="BB95" i="2"/>
  <c r="M96" i="2"/>
  <c r="AC96" i="2"/>
  <c r="AS96" i="2"/>
  <c r="BI96" i="2"/>
  <c r="P97" i="2"/>
  <c r="AF97" i="2"/>
  <c r="AV97" i="2"/>
  <c r="BL97" i="2"/>
  <c r="S98" i="2"/>
  <c r="AI98" i="2"/>
  <c r="AY98" i="2"/>
  <c r="J99" i="2"/>
  <c r="Z99" i="2"/>
  <c r="AP99" i="2"/>
  <c r="BF99" i="2"/>
  <c r="Q100" i="2"/>
  <c r="AG100" i="2"/>
  <c r="AW100" i="2"/>
  <c r="BM100" i="2"/>
  <c r="T101" i="2"/>
  <c r="AJ101" i="2"/>
  <c r="AZ101" i="2"/>
  <c r="G102" i="2"/>
  <c r="W102" i="2"/>
  <c r="AM102" i="2"/>
  <c r="BC102" i="2"/>
  <c r="N103" i="2"/>
  <c r="AD103" i="2"/>
  <c r="AT103" i="2"/>
  <c r="BJ103" i="2"/>
  <c r="U104" i="2"/>
  <c r="AK104" i="2"/>
  <c r="BA104" i="2"/>
  <c r="H105" i="2"/>
  <c r="X105" i="2"/>
  <c r="AN105" i="2"/>
  <c r="BD105" i="2"/>
  <c r="K106" i="2"/>
  <c r="AA106" i="2"/>
  <c r="AQ106" i="2"/>
  <c r="BG106" i="2"/>
  <c r="R107" i="2"/>
  <c r="AH107" i="2"/>
  <c r="AX107" i="2"/>
  <c r="I108" i="2"/>
  <c r="Y108" i="2"/>
  <c r="AO108" i="2"/>
  <c r="BE108" i="2"/>
  <c r="L109" i="2"/>
  <c r="AB109" i="2"/>
  <c r="AR109" i="2"/>
  <c r="BH109" i="2"/>
  <c r="O110" i="2"/>
  <c r="AE110" i="2"/>
  <c r="AU110" i="2"/>
  <c r="BK110" i="2"/>
  <c r="V111" i="2"/>
  <c r="AL111" i="2"/>
  <c r="BB111" i="2"/>
  <c r="M112" i="2"/>
  <c r="AC112" i="2"/>
  <c r="AS112" i="2"/>
  <c r="BI112" i="2"/>
  <c r="P113" i="2"/>
  <c r="AF113" i="2"/>
  <c r="AV113" i="2"/>
  <c r="BL113" i="2"/>
  <c r="S114" i="2"/>
  <c r="AI114" i="2"/>
  <c r="AY114" i="2"/>
  <c r="J115" i="2"/>
  <c r="Z115" i="2"/>
  <c r="AP115" i="2"/>
  <c r="BF115" i="2"/>
  <c r="Q116" i="2"/>
  <c r="AG116" i="2"/>
  <c r="AW116" i="2"/>
  <c r="BM116" i="2"/>
  <c r="T117" i="2"/>
  <c r="AJ117" i="2"/>
  <c r="AZ117" i="2"/>
  <c r="G118" i="2"/>
  <c r="W118" i="2"/>
  <c r="AM118" i="2"/>
  <c r="BC118" i="2"/>
  <c r="N119" i="2"/>
  <c r="AD119" i="2"/>
  <c r="AT119" i="2"/>
  <c r="BJ119" i="2"/>
  <c r="U120" i="2"/>
  <c r="AK120" i="2"/>
  <c r="BA120" i="2"/>
  <c r="H121" i="2"/>
  <c r="X121" i="2"/>
  <c r="AN121" i="2"/>
  <c r="BD121" i="2"/>
  <c r="K122" i="2"/>
  <c r="AA122" i="2"/>
  <c r="AQ122" i="2"/>
  <c r="BG122" i="2"/>
  <c r="R123" i="2"/>
  <c r="AH123" i="2"/>
  <c r="AX123" i="2"/>
  <c r="I124" i="2"/>
  <c r="Y124" i="2"/>
  <c r="AO124" i="2"/>
  <c r="BE124" i="2"/>
  <c r="L125" i="2"/>
  <c r="AB125" i="2"/>
  <c r="AR125" i="2"/>
  <c r="BH125" i="2"/>
  <c r="O126" i="2"/>
  <c r="AE126" i="2"/>
  <c r="AU126" i="2"/>
  <c r="BK126" i="2"/>
  <c r="S127" i="3"/>
  <c r="S127" i="2" s="1"/>
  <c r="S128" i="2"/>
  <c r="AI127" i="3"/>
  <c r="AI127" i="2" s="1"/>
  <c r="AI128" i="2"/>
  <c r="AY127" i="3"/>
  <c r="AY127" i="2" s="1"/>
  <c r="AY128" i="2"/>
  <c r="J129" i="2"/>
  <c r="Z129" i="2"/>
  <c r="AP129" i="2"/>
  <c r="BF129" i="2"/>
  <c r="Q130" i="2"/>
  <c r="AG130" i="2"/>
  <c r="AW130" i="2"/>
  <c r="BM130" i="2"/>
  <c r="T131" i="2"/>
  <c r="AJ131" i="2"/>
  <c r="AZ131" i="2"/>
  <c r="G132" i="2"/>
  <c r="W132" i="2"/>
  <c r="AM132" i="2"/>
  <c r="BC132" i="2"/>
  <c r="N133" i="2"/>
  <c r="AD133" i="2"/>
  <c r="AT133" i="2"/>
  <c r="BJ133" i="2"/>
  <c r="U134" i="2"/>
  <c r="AK134" i="2"/>
  <c r="BA134" i="2"/>
  <c r="H135" i="2"/>
  <c r="X135" i="2"/>
  <c r="AN135" i="2"/>
  <c r="BD135" i="2"/>
  <c r="K136" i="2"/>
  <c r="AA136" i="2"/>
  <c r="AQ136" i="2"/>
  <c r="BG136" i="2"/>
  <c r="R137" i="2"/>
  <c r="AH137" i="2"/>
  <c r="AX137" i="2"/>
  <c r="I138" i="2"/>
  <c r="Y138" i="2"/>
  <c r="AO138" i="2"/>
  <c r="BE138" i="2"/>
  <c r="L139" i="2"/>
  <c r="AB139" i="2"/>
  <c r="AR139" i="2"/>
  <c r="BH139" i="2"/>
  <c r="O140" i="2"/>
  <c r="AE140" i="2"/>
  <c r="AU140" i="2"/>
  <c r="BK140" i="2"/>
  <c r="V141" i="2"/>
  <c r="AL141" i="2"/>
  <c r="BB141" i="2"/>
  <c r="M142" i="2"/>
  <c r="AC142" i="2"/>
  <c r="AS142" i="2"/>
  <c r="BI142" i="2"/>
  <c r="P143" i="2"/>
  <c r="AF143" i="2"/>
  <c r="AV143" i="2"/>
  <c r="BL143" i="2"/>
  <c r="W144" i="2"/>
  <c r="AY144" i="2"/>
  <c r="AD145" i="2"/>
  <c r="BJ145" i="2"/>
  <c r="Z54" i="2"/>
  <c r="AP54" i="2"/>
  <c r="BF54" i="2"/>
  <c r="Q55" i="2"/>
  <c r="AG55" i="2"/>
  <c r="AW55" i="2"/>
  <c r="BM55" i="2"/>
  <c r="T56" i="2"/>
  <c r="AJ56" i="2"/>
  <c r="AZ56" i="2"/>
  <c r="G57" i="2"/>
  <c r="W57" i="2"/>
  <c r="AM57" i="2"/>
  <c r="BC57" i="2"/>
  <c r="N58" i="2"/>
  <c r="AD58" i="2"/>
  <c r="AT58" i="2"/>
  <c r="BJ58" i="2"/>
  <c r="U59" i="2"/>
  <c r="AK59" i="2"/>
  <c r="BA59" i="2"/>
  <c r="H60" i="2"/>
  <c r="X60" i="2"/>
  <c r="AN60" i="2"/>
  <c r="BD60" i="2"/>
  <c r="K61" i="2"/>
  <c r="AA61" i="2"/>
  <c r="AQ61" i="2"/>
  <c r="BG61" i="2"/>
  <c r="R62" i="2"/>
  <c r="AH62" i="2"/>
  <c r="AX62" i="2"/>
  <c r="I63" i="2"/>
  <c r="Y63" i="2"/>
  <c r="AO63" i="2"/>
  <c r="BE63" i="2"/>
  <c r="L64" i="2"/>
  <c r="AB64" i="2"/>
  <c r="AR64" i="2"/>
  <c r="BH64" i="2"/>
  <c r="O65" i="2"/>
  <c r="AE65" i="2"/>
  <c r="AU65" i="2"/>
  <c r="BK65" i="2"/>
  <c r="V66" i="2"/>
  <c r="AL66" i="2"/>
  <c r="BB66" i="2"/>
  <c r="M67" i="2"/>
  <c r="AC67" i="2"/>
  <c r="AS67" i="2"/>
  <c r="BI67" i="2"/>
  <c r="P68" i="2"/>
  <c r="AF68" i="2"/>
  <c r="AV68" i="2"/>
  <c r="BL68" i="2"/>
  <c r="S69" i="2"/>
  <c r="AI69" i="2"/>
  <c r="AY69" i="2"/>
  <c r="J70" i="2"/>
  <c r="Z70" i="2"/>
  <c r="AP70" i="2"/>
  <c r="BF70" i="2"/>
  <c r="Q71" i="2"/>
  <c r="AG71" i="2"/>
  <c r="AW71" i="2"/>
  <c r="BM71" i="2"/>
  <c r="T72" i="2"/>
  <c r="AJ72" i="2"/>
  <c r="AZ72" i="2"/>
  <c r="G73" i="2"/>
  <c r="W73" i="2"/>
  <c r="AM73" i="2"/>
  <c r="BC73" i="2"/>
  <c r="N74" i="2"/>
  <c r="AD74" i="2"/>
  <c r="AT74" i="2"/>
  <c r="BJ74" i="2"/>
  <c r="U75" i="2"/>
  <c r="AK75" i="2"/>
  <c r="BA75" i="2"/>
  <c r="H76" i="2"/>
  <c r="X76" i="2"/>
  <c r="AN76" i="2"/>
  <c r="BD76" i="2"/>
  <c r="K77" i="2"/>
  <c r="AA77" i="2"/>
  <c r="AQ77" i="2"/>
  <c r="BG77" i="2"/>
  <c r="R78" i="2"/>
  <c r="AH78" i="2"/>
  <c r="AX78" i="2"/>
  <c r="I79" i="2"/>
  <c r="Y79" i="2"/>
  <c r="AO79" i="2"/>
  <c r="BE79" i="2"/>
  <c r="L80" i="2"/>
  <c r="AB80" i="2"/>
  <c r="AR80" i="2"/>
  <c r="BH80" i="2"/>
  <c r="O81" i="2"/>
  <c r="AE81" i="2"/>
  <c r="AU81" i="2"/>
  <c r="BK81" i="2"/>
  <c r="V82" i="2"/>
  <c r="AL82" i="2"/>
  <c r="BB82" i="2"/>
  <c r="M83" i="2"/>
  <c r="AC83" i="2"/>
  <c r="AS83" i="2"/>
  <c r="BI83" i="2"/>
  <c r="P84" i="2"/>
  <c r="AF84" i="2"/>
  <c r="AV84" i="2"/>
  <c r="BL84" i="2"/>
  <c r="S85" i="2"/>
  <c r="AI85" i="2"/>
  <c r="AY85" i="2"/>
  <c r="G86" i="3"/>
  <c r="G86" i="2" s="1"/>
  <c r="G87" i="2"/>
  <c r="W86" i="3"/>
  <c r="W86" i="2" s="1"/>
  <c r="W87" i="2"/>
  <c r="AM86" i="3"/>
  <c r="AM86" i="2" s="1"/>
  <c r="AM87" i="2"/>
  <c r="BC86" i="3"/>
  <c r="BC86" i="2" s="1"/>
  <c r="BC87" i="2"/>
  <c r="N88" i="2"/>
  <c r="AD88" i="2"/>
  <c r="AT88" i="2"/>
  <c r="BJ88" i="2"/>
  <c r="U89" i="2"/>
  <c r="AK89" i="2"/>
  <c r="BA89" i="2"/>
  <c r="H90" i="2"/>
  <c r="X90" i="2"/>
  <c r="AN90" i="2"/>
  <c r="BD90" i="2"/>
  <c r="K91" i="2"/>
  <c r="AA91" i="2"/>
  <c r="AQ91" i="2"/>
  <c r="BG91" i="2"/>
  <c r="R92" i="2"/>
  <c r="AH92" i="2"/>
  <c r="AX92" i="2"/>
  <c r="I93" i="2"/>
  <c r="Y93" i="2"/>
  <c r="AO93" i="2"/>
  <c r="BE93" i="2"/>
  <c r="L94" i="2"/>
  <c r="AB94" i="2"/>
  <c r="AR94" i="2"/>
  <c r="BH94" i="2"/>
  <c r="O95" i="2"/>
  <c r="AE95" i="2"/>
  <c r="AU95" i="2"/>
  <c r="BK95" i="2"/>
  <c r="V96" i="2"/>
  <c r="AL96" i="2"/>
  <c r="BB96" i="2"/>
  <c r="M97" i="2"/>
  <c r="AC97" i="2"/>
  <c r="AS97" i="2"/>
  <c r="BI97" i="2"/>
  <c r="P98" i="2"/>
  <c r="AF98" i="2"/>
  <c r="AV98" i="2"/>
  <c r="BL98" i="2"/>
  <c r="S99" i="2"/>
  <c r="AI99" i="2"/>
  <c r="AY99" i="2"/>
  <c r="J100" i="2"/>
  <c r="Z100" i="2"/>
  <c r="AP100" i="2"/>
  <c r="BF100" i="2"/>
  <c r="Q101" i="2"/>
  <c r="AG101" i="2"/>
  <c r="AW101" i="2"/>
  <c r="BM101" i="2"/>
  <c r="T102" i="2"/>
  <c r="AJ102" i="2"/>
  <c r="AZ102" i="2"/>
  <c r="G103" i="2"/>
  <c r="W103" i="2"/>
  <c r="AM103" i="2"/>
  <c r="BC103" i="2"/>
  <c r="N104" i="2"/>
  <c r="AD104" i="2"/>
  <c r="AT104" i="2"/>
  <c r="BJ104" i="2"/>
  <c r="U105" i="2"/>
  <c r="AK105" i="2"/>
  <c r="BA105" i="2"/>
  <c r="H106" i="2"/>
  <c r="X106" i="2"/>
  <c r="AN106" i="2"/>
  <c r="BD106" i="2"/>
  <c r="K107" i="2"/>
  <c r="AA107" i="2"/>
  <c r="AQ107" i="2"/>
  <c r="BG107" i="2"/>
  <c r="R108" i="2"/>
  <c r="AH108" i="2"/>
  <c r="AX108" i="2"/>
  <c r="I109" i="2"/>
  <c r="Y109" i="2"/>
  <c r="AO109" i="2"/>
  <c r="BE109" i="2"/>
  <c r="L110" i="2"/>
  <c r="AB110" i="2"/>
  <c r="AR110" i="2"/>
  <c r="BH110" i="2"/>
  <c r="O111" i="2"/>
  <c r="AE111" i="2"/>
  <c r="AU111" i="2"/>
  <c r="BK111" i="2"/>
  <c r="V112" i="2"/>
  <c r="AL112" i="2"/>
  <c r="BB112" i="2"/>
  <c r="M113" i="2"/>
  <c r="AC113" i="2"/>
  <c r="BA113" i="2"/>
  <c r="P114" i="2"/>
  <c r="S115" i="2"/>
  <c r="Z116" i="2"/>
  <c r="AG117" i="2"/>
  <c r="AJ118" i="2"/>
  <c r="AM119" i="2"/>
  <c r="AT120" i="2"/>
  <c r="BA121" i="2"/>
  <c r="BD122" i="2"/>
  <c r="BG123" i="2"/>
  <c r="I125" i="2"/>
  <c r="L126" i="2"/>
  <c r="P127" i="3"/>
  <c r="P127" i="2" s="1"/>
  <c r="P128" i="2"/>
  <c r="S129" i="2"/>
  <c r="Z130" i="2"/>
  <c r="AG131" i="2"/>
  <c r="AJ132" i="2"/>
  <c r="AM133" i="2"/>
  <c r="AT134" i="2"/>
  <c r="BA135" i="2"/>
  <c r="BD136" i="2"/>
  <c r="BG137" i="2"/>
  <c r="I139" i="2"/>
  <c r="L140" i="2"/>
  <c r="O141" i="2"/>
  <c r="V142" i="2"/>
  <c r="AC143" i="2"/>
  <c r="AT144" i="2"/>
  <c r="AA54" i="2"/>
  <c r="AH55" i="2"/>
  <c r="AO56" i="2"/>
  <c r="AR57" i="2"/>
  <c r="AU58" i="2"/>
  <c r="BB59" i="2"/>
  <c r="BI60" i="2"/>
  <c r="BL61" i="2"/>
  <c r="J63" i="2"/>
  <c r="Q64" i="2"/>
  <c r="T65" i="2"/>
  <c r="W66" i="2"/>
  <c r="AD67" i="2"/>
  <c r="AK68" i="2"/>
  <c r="AN69" i="2"/>
  <c r="AQ70" i="2"/>
  <c r="AX71" i="2"/>
  <c r="BE72" i="2"/>
  <c r="BH73" i="2"/>
  <c r="BK74" i="2"/>
  <c r="M76" i="2"/>
  <c r="P77" i="2"/>
  <c r="S78" i="2"/>
  <c r="Z79" i="2"/>
  <c r="AG80" i="2"/>
  <c r="AJ81" i="2"/>
  <c r="AM82" i="2"/>
  <c r="AT83" i="2"/>
  <c r="BA84" i="2"/>
  <c r="BD85" i="2"/>
  <c r="BH86" i="3"/>
  <c r="BH86" i="2" s="1"/>
  <c r="BH87" i="2"/>
  <c r="BK88" i="2"/>
  <c r="M90" i="2"/>
  <c r="P91" i="2"/>
  <c r="S92" i="2"/>
  <c r="Z93" i="2"/>
  <c r="AG94" i="2"/>
  <c r="AJ95" i="2"/>
  <c r="AM96" i="2"/>
  <c r="AT97" i="2"/>
  <c r="BA98" i="2"/>
  <c r="BD99" i="2"/>
  <c r="BG100" i="2"/>
  <c r="I102" i="2"/>
  <c r="L103" i="2"/>
  <c r="O104" i="2"/>
  <c r="V105" i="2"/>
  <c r="AC106" i="2"/>
  <c r="AF107" i="2"/>
  <c r="AI108" i="2"/>
  <c r="AP109" i="2"/>
  <c r="AW110" i="2"/>
  <c r="AZ111" i="2"/>
  <c r="BC112" i="2"/>
  <c r="BJ113" i="2"/>
  <c r="H115" i="2"/>
  <c r="K116" i="2"/>
  <c r="R117" i="2"/>
  <c r="Y118" i="2"/>
  <c r="AB119" i="2"/>
  <c r="AE120" i="2"/>
  <c r="AL121" i="2"/>
  <c r="AS122" i="2"/>
  <c r="AV123" i="2"/>
  <c r="AY124" i="2"/>
  <c r="BF125" i="2"/>
  <c r="BM126" i="2"/>
  <c r="H129" i="2"/>
  <c r="K130" i="2"/>
  <c r="R131" i="2"/>
  <c r="Y132" i="2"/>
  <c r="AB133" i="2"/>
  <c r="AE134" i="2"/>
  <c r="AL135" i="2"/>
  <c r="AS136" i="2"/>
  <c r="AV137" i="2"/>
  <c r="AY138" i="2"/>
  <c r="BF139" i="2"/>
  <c r="BM140" i="2"/>
  <c r="G142" i="2"/>
  <c r="N143" i="2"/>
  <c r="Z144" i="2"/>
  <c r="AK53" i="2"/>
  <c r="AN54" i="2"/>
  <c r="AQ55" i="2"/>
  <c r="AX56" i="2"/>
  <c r="BE57" i="2"/>
  <c r="BH58" i="2"/>
  <c r="BK59" i="2"/>
  <c r="M61" i="2"/>
  <c r="P62" i="2"/>
  <c r="S63" i="2"/>
  <c r="Z64" i="2"/>
  <c r="AG65" i="2"/>
  <c r="AJ66" i="2"/>
  <c r="AM67" i="2"/>
  <c r="AT68" i="2"/>
  <c r="BA69" i="2"/>
  <c r="BD70" i="2"/>
  <c r="BG71" i="2"/>
  <c r="I73" i="2"/>
  <c r="L74" i="2"/>
  <c r="O75" i="2"/>
  <c r="V76" i="2"/>
  <c r="AC77" i="2"/>
  <c r="AF78" i="2"/>
  <c r="AI79" i="2"/>
  <c r="AP80" i="2"/>
  <c r="AW81" i="2"/>
  <c r="AZ82" i="2"/>
  <c r="BC83" i="2"/>
  <c r="BJ84" i="2"/>
  <c r="I86" i="3"/>
  <c r="I86" i="2" s="1"/>
  <c r="I87" i="2"/>
  <c r="L88" i="2"/>
  <c r="O89" i="2"/>
  <c r="V90" i="2"/>
  <c r="AC91" i="2"/>
  <c r="AF92" i="2"/>
  <c r="AI93" i="2"/>
  <c r="AP94" i="2"/>
  <c r="AW95" i="2"/>
  <c r="AZ96" i="2"/>
  <c r="BC97" i="2"/>
  <c r="BJ98" i="2"/>
  <c r="H100" i="2"/>
  <c r="K101" i="2"/>
  <c r="R102" i="2"/>
  <c r="Y103" i="2"/>
  <c r="AB104" i="2"/>
  <c r="AE105" i="2"/>
  <c r="AL106" i="2"/>
  <c r="AS107" i="2"/>
  <c r="AV108" i="2"/>
  <c r="AY109" i="2"/>
  <c r="BF110" i="2"/>
  <c r="BM111" i="2"/>
  <c r="G113" i="2"/>
  <c r="N114" i="2"/>
  <c r="U115" i="2"/>
  <c r="X116" i="2"/>
  <c r="AA117" i="2"/>
  <c r="AH118" i="2"/>
  <c r="AO119" i="2"/>
  <c r="AR120" i="2"/>
  <c r="AU121" i="2"/>
  <c r="BB122" i="2"/>
  <c r="BI123" i="2"/>
  <c r="BL124" i="2"/>
  <c r="J126" i="2"/>
  <c r="R127" i="3"/>
  <c r="R127" i="2" s="1"/>
  <c r="R128" i="2"/>
  <c r="Y129" i="2"/>
  <c r="AB130" i="2"/>
  <c r="AE131" i="2"/>
  <c r="AL132" i="2"/>
  <c r="AS133" i="2"/>
  <c r="AV134" i="2"/>
  <c r="AY135" i="2"/>
  <c r="BF136" i="2"/>
  <c r="BM137" i="2"/>
  <c r="G139" i="2"/>
  <c r="N140" i="2"/>
  <c r="U141" i="2"/>
  <c r="X142" i="2"/>
  <c r="AA143" i="2"/>
  <c r="AX144" i="2"/>
  <c r="AJ146" i="2"/>
  <c r="AM147" i="2"/>
  <c r="AT148" i="2"/>
  <c r="BA149" i="2"/>
  <c r="BD150" i="2"/>
  <c r="BG151" i="2"/>
  <c r="I153" i="2"/>
  <c r="L154" i="2"/>
  <c r="O155" i="2"/>
  <c r="V156" i="2"/>
  <c r="AC157" i="2"/>
  <c r="AF158" i="2"/>
  <c r="AI159" i="2"/>
  <c r="AP160" i="2"/>
  <c r="AW161" i="2"/>
  <c r="AZ162" i="2"/>
  <c r="BC163" i="2"/>
  <c r="BJ164" i="2"/>
  <c r="H166" i="2"/>
  <c r="K167" i="2"/>
  <c r="O168" i="3"/>
  <c r="O168" i="2" s="1"/>
  <c r="O169" i="2"/>
  <c r="V170" i="2"/>
  <c r="AC171" i="2"/>
  <c r="AF172" i="2"/>
  <c r="AI173" i="2"/>
  <c r="AP174" i="2"/>
  <c r="AW175" i="2"/>
  <c r="AZ176" i="2"/>
  <c r="BC177" i="2"/>
  <c r="BJ178" i="2"/>
  <c r="H180" i="2"/>
  <c r="K181" i="2"/>
  <c r="R182" i="2"/>
  <c r="Y183" i="2"/>
  <c r="AB184" i="2"/>
  <c r="AE185" i="2"/>
  <c r="AL186" i="2"/>
  <c r="AS187" i="2"/>
  <c r="AV188" i="2"/>
  <c r="AY189" i="2"/>
  <c r="BF190" i="2"/>
  <c r="BM191" i="2"/>
  <c r="G193" i="2"/>
  <c r="N194" i="2"/>
  <c r="U195" i="2"/>
  <c r="X196" i="2"/>
  <c r="AA197" i="2"/>
  <c r="AH198" i="2"/>
  <c r="AO199" i="2"/>
  <c r="AR200" i="2"/>
  <c r="AU201" i="2"/>
  <c r="BB202" i="2"/>
  <c r="BI203" i="2"/>
  <c r="BL204" i="2"/>
  <c r="J206" i="2"/>
  <c r="Q207" i="2"/>
  <c r="T208" i="2"/>
  <c r="X209" i="3"/>
  <c r="X209" i="2" s="1"/>
  <c r="X210" i="2"/>
  <c r="AA211" i="2"/>
  <c r="AH212" i="2"/>
  <c r="AO213" i="2"/>
  <c r="AR214" i="2"/>
  <c r="AU215" i="2"/>
  <c r="BB216" i="2"/>
  <c r="BI217" i="2"/>
  <c r="BL218" i="2"/>
  <c r="J220" i="2"/>
  <c r="Q221" i="2"/>
  <c r="T222" i="2"/>
  <c r="W223" i="2"/>
  <c r="AD224" i="2"/>
  <c r="AK225" i="2"/>
  <c r="AN226" i="2"/>
  <c r="AQ227" i="2"/>
  <c r="AX228" i="2"/>
  <c r="BE229" i="2"/>
  <c r="BH230" i="2"/>
  <c r="BK231" i="2"/>
  <c r="M233" i="2"/>
  <c r="P234" i="2"/>
  <c r="AF235" i="2"/>
  <c r="BI146" i="2"/>
  <c r="BL147" i="2"/>
  <c r="J149" i="2"/>
  <c r="Q150" i="2"/>
  <c r="T151" i="2"/>
  <c r="W152" i="2"/>
  <c r="AD153" i="2"/>
  <c r="AK154" i="2"/>
  <c r="AN155" i="2"/>
  <c r="AQ156" i="2"/>
  <c r="AX157" i="2"/>
  <c r="BE158" i="2"/>
  <c r="AG113" i="2"/>
  <c r="AW113" i="2"/>
  <c r="BM113" i="2"/>
  <c r="T114" i="2"/>
  <c r="AJ114" i="2"/>
  <c r="AZ114" i="2"/>
  <c r="G115" i="2"/>
  <c r="W115" i="2"/>
  <c r="AM115" i="2"/>
  <c r="BC115" i="2"/>
  <c r="N116" i="2"/>
  <c r="AD116" i="2"/>
  <c r="AT116" i="2"/>
  <c r="BJ116" i="2"/>
  <c r="U117" i="2"/>
  <c r="AK117" i="2"/>
  <c r="BA117" i="2"/>
  <c r="H118" i="2"/>
  <c r="X118" i="2"/>
  <c r="AN118" i="2"/>
  <c r="BD118" i="2"/>
  <c r="K119" i="2"/>
  <c r="AA119" i="2"/>
  <c r="AQ119" i="2"/>
  <c r="BG119" i="2"/>
  <c r="R120" i="2"/>
  <c r="AH120" i="2"/>
  <c r="AX120" i="2"/>
  <c r="I121" i="2"/>
  <c r="Y121" i="2"/>
  <c r="AO121" i="2"/>
  <c r="BE121" i="2"/>
  <c r="L122" i="2"/>
  <c r="AB122" i="2"/>
  <c r="AR122" i="2"/>
  <c r="BH122" i="2"/>
  <c r="O123" i="2"/>
  <c r="AE123" i="2"/>
  <c r="AU123" i="2"/>
  <c r="BK123" i="2"/>
  <c r="V124" i="2"/>
  <c r="AL124" i="2"/>
  <c r="BB124" i="2"/>
  <c r="M125" i="2"/>
  <c r="AC125" i="2"/>
  <c r="AS125" i="2"/>
  <c r="BI125" i="2"/>
  <c r="P126" i="2"/>
  <c r="AF126" i="2"/>
  <c r="AV126" i="2"/>
  <c r="BL126" i="2"/>
  <c r="T127" i="3"/>
  <c r="T127" i="2" s="1"/>
  <c r="T128" i="2"/>
  <c r="AJ127" i="3"/>
  <c r="AJ127" i="2" s="1"/>
  <c r="AJ128" i="2"/>
  <c r="AZ127" i="3"/>
  <c r="AZ127" i="2" s="1"/>
  <c r="AZ128" i="2"/>
  <c r="G129" i="2"/>
  <c r="W129" i="2"/>
  <c r="AM129" i="2"/>
  <c r="BC129" i="2"/>
  <c r="N130" i="2"/>
  <c r="AD130" i="2"/>
  <c r="AT130" i="2"/>
  <c r="BJ130" i="2"/>
  <c r="U131" i="2"/>
  <c r="AK131" i="2"/>
  <c r="BA131" i="2"/>
  <c r="H132" i="2"/>
  <c r="X132" i="2"/>
  <c r="AN132" i="2"/>
  <c r="BD132" i="2"/>
  <c r="K133" i="2"/>
  <c r="AA133" i="2"/>
  <c r="AQ133" i="2"/>
  <c r="BG133" i="2"/>
  <c r="R134" i="2"/>
  <c r="AH134" i="2"/>
  <c r="AX134" i="2"/>
  <c r="I135" i="2"/>
  <c r="Y135" i="2"/>
  <c r="AO135" i="2"/>
  <c r="BE135" i="2"/>
  <c r="L136" i="2"/>
  <c r="AB136" i="2"/>
  <c r="AR136" i="2"/>
  <c r="BH136" i="2"/>
  <c r="O137" i="2"/>
  <c r="AE137" i="2"/>
  <c r="AU137" i="2"/>
  <c r="BK137" i="2"/>
  <c r="V138" i="2"/>
  <c r="AL138" i="2"/>
  <c r="BB138" i="2"/>
  <c r="M139" i="2"/>
  <c r="AC139" i="2"/>
  <c r="AS139" i="2"/>
  <c r="BI139" i="2"/>
  <c r="P140" i="2"/>
  <c r="AF140" i="2"/>
  <c r="AV140" i="2"/>
  <c r="BL140" i="2"/>
  <c r="S141" i="2"/>
  <c r="AI141" i="2"/>
  <c r="AY141" i="2"/>
  <c r="J142" i="2"/>
  <c r="Z142" i="2"/>
  <c r="AP142" i="2"/>
  <c r="BF142" i="2"/>
  <c r="Q143" i="2"/>
  <c r="AG143" i="2"/>
  <c r="AW143" i="2"/>
  <c r="BM143" i="2"/>
  <c r="X144" i="2"/>
  <c r="BB144" i="2"/>
  <c r="Y145" i="2"/>
  <c r="BE145" i="2"/>
  <c r="O54" i="2"/>
  <c r="AE54" i="2"/>
  <c r="AU54" i="2"/>
  <c r="BK54" i="2"/>
  <c r="V55" i="2"/>
  <c r="AL55" i="2"/>
  <c r="BB55" i="2"/>
  <c r="M56" i="2"/>
  <c r="AC56" i="2"/>
  <c r="AS56" i="2"/>
  <c r="BI56" i="2"/>
  <c r="P57" i="2"/>
  <c r="AF57" i="2"/>
  <c r="AV57" i="2"/>
  <c r="BL57" i="2"/>
  <c r="S58" i="2"/>
  <c r="AI58" i="2"/>
  <c r="AY58" i="2"/>
  <c r="J59" i="2"/>
  <c r="Z59" i="2"/>
  <c r="AP59" i="2"/>
  <c r="BF59" i="2"/>
  <c r="Q60" i="2"/>
  <c r="AG60" i="2"/>
  <c r="AW60" i="2"/>
  <c r="BM60" i="2"/>
  <c r="T61" i="2"/>
  <c r="AJ61" i="2"/>
  <c r="AZ61" i="2"/>
  <c r="G62" i="2"/>
  <c r="W62" i="2"/>
  <c r="AM62" i="2"/>
  <c r="BC62" i="2"/>
  <c r="N63" i="2"/>
  <c r="AD63" i="2"/>
  <c r="AT63" i="2"/>
  <c r="BJ63" i="2"/>
  <c r="U64" i="2"/>
  <c r="AK64" i="2"/>
  <c r="BA64" i="2"/>
  <c r="H65" i="2"/>
  <c r="X65" i="2"/>
  <c r="AN65" i="2"/>
  <c r="BD65" i="2"/>
  <c r="K66" i="2"/>
  <c r="AA66" i="2"/>
  <c r="AQ66" i="2"/>
  <c r="BG66" i="2"/>
  <c r="R67" i="2"/>
  <c r="AH67" i="2"/>
  <c r="AX67" i="2"/>
  <c r="I68" i="2"/>
  <c r="Y68" i="2"/>
  <c r="AO68" i="2"/>
  <c r="BE68" i="2"/>
  <c r="L69" i="2"/>
  <c r="AB69" i="2"/>
  <c r="AR69" i="2"/>
  <c r="BH69" i="2"/>
  <c r="O70" i="2"/>
  <c r="AE70" i="2"/>
  <c r="AU70" i="2"/>
  <c r="BK70" i="2"/>
  <c r="V71" i="2"/>
  <c r="AL71" i="2"/>
  <c r="BB71" i="2"/>
  <c r="M72" i="2"/>
  <c r="AC72" i="2"/>
  <c r="AS72" i="2"/>
  <c r="BI72" i="2"/>
  <c r="P73" i="2"/>
  <c r="AF73" i="2"/>
  <c r="AV73" i="2"/>
  <c r="BL73" i="2"/>
  <c r="S74" i="2"/>
  <c r="AI74" i="2"/>
  <c r="AY74" i="2"/>
  <c r="J75" i="2"/>
  <c r="Z75" i="2"/>
  <c r="AP75" i="2"/>
  <c r="BF75" i="2"/>
  <c r="Q76" i="2"/>
  <c r="AG76" i="2"/>
  <c r="AW76" i="2"/>
  <c r="BM76" i="2"/>
  <c r="T77" i="2"/>
  <c r="AJ77" i="2"/>
  <c r="AZ77" i="2"/>
  <c r="G78" i="2"/>
  <c r="W78" i="2"/>
  <c r="AM78" i="2"/>
  <c r="BC78" i="2"/>
  <c r="N79" i="2"/>
  <c r="AD79" i="2"/>
  <c r="AT79" i="2"/>
  <c r="BJ79" i="2"/>
  <c r="U80" i="2"/>
  <c r="AK80" i="2"/>
  <c r="BA80" i="2"/>
  <c r="H81" i="2"/>
  <c r="X81" i="2"/>
  <c r="AN81" i="2"/>
  <c r="BD81" i="2"/>
  <c r="K82" i="2"/>
  <c r="AA82" i="2"/>
  <c r="AQ82" i="2"/>
  <c r="BG82" i="2"/>
  <c r="R83" i="2"/>
  <c r="AH83" i="2"/>
  <c r="AX83" i="2"/>
  <c r="I84" i="2"/>
  <c r="Y84" i="2"/>
  <c r="AO84" i="2"/>
  <c r="BE84" i="2"/>
  <c r="L85" i="2"/>
  <c r="AB85" i="2"/>
  <c r="AR85" i="2"/>
  <c r="BH85" i="2"/>
  <c r="P86" i="3"/>
  <c r="P86" i="2" s="1"/>
  <c r="P87" i="2"/>
  <c r="AF86" i="3"/>
  <c r="AF86" i="2" s="1"/>
  <c r="AF87" i="2"/>
  <c r="AV86" i="3"/>
  <c r="AV86" i="2" s="1"/>
  <c r="AV87" i="2"/>
  <c r="BL86" i="3"/>
  <c r="BL86" i="2" s="1"/>
  <c r="BL87" i="2"/>
  <c r="S88" i="2"/>
  <c r="AI88" i="2"/>
  <c r="AY88" i="2"/>
  <c r="J89" i="2"/>
  <c r="Z89" i="2"/>
  <c r="AP89" i="2"/>
  <c r="BF89" i="2"/>
  <c r="Q90" i="2"/>
  <c r="AG90" i="2"/>
  <c r="AW90" i="2"/>
  <c r="BM90" i="2"/>
  <c r="T91" i="2"/>
  <c r="AJ91" i="2"/>
  <c r="AZ91" i="2"/>
  <c r="G92" i="2"/>
  <c r="W92" i="2"/>
  <c r="AM92" i="2"/>
  <c r="BC92" i="2"/>
  <c r="N93" i="2"/>
  <c r="AD93" i="2"/>
  <c r="AT93" i="2"/>
  <c r="BJ93" i="2"/>
  <c r="U94" i="2"/>
  <c r="AK94" i="2"/>
  <c r="BA94" i="2"/>
  <c r="H95" i="2"/>
  <c r="X95" i="2"/>
  <c r="AN95" i="2"/>
  <c r="BD95" i="2"/>
  <c r="K96" i="2"/>
  <c r="AA96" i="2"/>
  <c r="AQ96" i="2"/>
  <c r="BG96" i="2"/>
  <c r="R97" i="2"/>
  <c r="AH97" i="2"/>
  <c r="AX97" i="2"/>
  <c r="I98" i="2"/>
  <c r="Y98" i="2"/>
  <c r="AO98" i="2"/>
  <c r="BE98" i="2"/>
  <c r="L99" i="2"/>
  <c r="AB99" i="2"/>
  <c r="AR99" i="2"/>
  <c r="BH99" i="2"/>
  <c r="O100" i="2"/>
  <c r="AE100" i="2"/>
  <c r="AU100" i="2"/>
  <c r="BK100" i="2"/>
  <c r="V101" i="2"/>
  <c r="AL101" i="2"/>
  <c r="BB101" i="2"/>
  <c r="M102" i="2"/>
  <c r="AC102" i="2"/>
  <c r="AS102" i="2"/>
  <c r="BI102" i="2"/>
  <c r="P103" i="2"/>
  <c r="AF103" i="2"/>
  <c r="AV103" i="2"/>
  <c r="BL103" i="2"/>
  <c r="S104" i="2"/>
  <c r="AI104" i="2"/>
  <c r="AY104" i="2"/>
  <c r="J105" i="2"/>
  <c r="Z105" i="2"/>
  <c r="AP105" i="2"/>
  <c r="BF105" i="2"/>
  <c r="Q106" i="2"/>
  <c r="AG106" i="2"/>
  <c r="AW106" i="2"/>
  <c r="BM106" i="2"/>
  <c r="T107" i="2"/>
  <c r="AJ107" i="2"/>
  <c r="AZ107" i="2"/>
  <c r="G108" i="2"/>
  <c r="W108" i="2"/>
  <c r="AM108" i="2"/>
  <c r="BC108" i="2"/>
  <c r="N109" i="2"/>
  <c r="AD109" i="2"/>
  <c r="AT109" i="2"/>
  <c r="BJ109" i="2"/>
  <c r="U110" i="2"/>
  <c r="AK110" i="2"/>
  <c r="BA110" i="2"/>
  <c r="H111" i="2"/>
  <c r="X111" i="2"/>
  <c r="AN111" i="2"/>
  <c r="BD111" i="2"/>
  <c r="K112" i="2"/>
  <c r="AA112" i="2"/>
  <c r="AQ112" i="2"/>
  <c r="BG112" i="2"/>
  <c r="R113" i="2"/>
  <c r="AH113" i="2"/>
  <c r="AX113" i="2"/>
  <c r="I114" i="2"/>
  <c r="Y114" i="2"/>
  <c r="AO114" i="2"/>
  <c r="BE114" i="2"/>
  <c r="L115" i="2"/>
  <c r="AB115" i="2"/>
  <c r="AR115" i="2"/>
  <c r="BH115" i="2"/>
  <c r="O116" i="2"/>
  <c r="AE116" i="2"/>
  <c r="AU116" i="2"/>
  <c r="BK116" i="2"/>
  <c r="V117" i="2"/>
  <c r="AL117" i="2"/>
  <c r="BB117" i="2"/>
  <c r="M118" i="2"/>
  <c r="AC118" i="2"/>
  <c r="AS118" i="2"/>
  <c r="BI118" i="2"/>
  <c r="P119" i="2"/>
  <c r="AF119" i="2"/>
  <c r="AV119" i="2"/>
  <c r="BL119" i="2"/>
  <c r="S120" i="2"/>
  <c r="AI120" i="2"/>
  <c r="AY120" i="2"/>
  <c r="J121" i="2"/>
  <c r="Z121" i="2"/>
  <c r="AP121" i="2"/>
  <c r="BF121" i="2"/>
  <c r="Q122" i="2"/>
  <c r="AG122" i="2"/>
  <c r="AW122" i="2"/>
  <c r="BM122" i="2"/>
  <c r="T123" i="2"/>
  <c r="AJ123" i="2"/>
  <c r="AZ123" i="2"/>
  <c r="G124" i="2"/>
  <c r="W124" i="2"/>
  <c r="AM124" i="2"/>
  <c r="BC124" i="2"/>
  <c r="N125" i="2"/>
  <c r="AD125" i="2"/>
  <c r="AT125" i="2"/>
  <c r="BJ125" i="2"/>
  <c r="U126" i="2"/>
  <c r="AK126" i="2"/>
  <c r="BA126" i="2"/>
  <c r="I127" i="3"/>
  <c r="I127" i="2" s="1"/>
  <c r="I128" i="2"/>
  <c r="Y127" i="3"/>
  <c r="Y127" i="2" s="1"/>
  <c r="Y128" i="2"/>
  <c r="AO127" i="3"/>
  <c r="AO127" i="2" s="1"/>
  <c r="AO128" i="2"/>
  <c r="BE127" i="3"/>
  <c r="BE127" i="2" s="1"/>
  <c r="BE128" i="2"/>
  <c r="L129" i="2"/>
  <c r="AB129" i="2"/>
  <c r="AR129" i="2"/>
  <c r="BH129" i="2"/>
  <c r="O130" i="2"/>
  <c r="AE130" i="2"/>
  <c r="AU130" i="2"/>
  <c r="BK130" i="2"/>
  <c r="V131" i="2"/>
  <c r="AL131" i="2"/>
  <c r="BB131" i="2"/>
  <c r="M132" i="2"/>
  <c r="AC132" i="2"/>
  <c r="AS132" i="2"/>
  <c r="BI132" i="2"/>
  <c r="P133" i="2"/>
  <c r="AF133" i="2"/>
  <c r="AV133" i="2"/>
  <c r="BL133" i="2"/>
  <c r="S134" i="2"/>
  <c r="AI134" i="2"/>
  <c r="AY134" i="2"/>
  <c r="J135" i="2"/>
  <c r="Z135" i="2"/>
  <c r="AP135" i="2"/>
  <c r="BF135" i="2"/>
  <c r="Q136" i="2"/>
  <c r="AG136" i="2"/>
  <c r="AW136" i="2"/>
  <c r="BM136" i="2"/>
  <c r="T137" i="2"/>
  <c r="AJ137" i="2"/>
  <c r="AZ137" i="2"/>
  <c r="G138" i="2"/>
  <c r="W138" i="2"/>
  <c r="AM138" i="2"/>
  <c r="BC138" i="2"/>
  <c r="N139" i="2"/>
  <c r="AD139" i="2"/>
  <c r="AT139" i="2"/>
  <c r="BJ139" i="2"/>
  <c r="U140" i="2"/>
  <c r="AK140" i="2"/>
  <c r="BA140" i="2"/>
  <c r="H141" i="2"/>
  <c r="X141" i="2"/>
  <c r="AN141" i="2"/>
  <c r="BD141" i="2"/>
  <c r="K142" i="2"/>
  <c r="AA142" i="2"/>
  <c r="AQ142" i="2"/>
  <c r="BG142" i="2"/>
  <c r="R143" i="2"/>
  <c r="AH143" i="2"/>
  <c r="AX143" i="2"/>
  <c r="J144" i="2"/>
  <c r="AE144" i="2"/>
  <c r="BK144" i="2"/>
  <c r="AH145" i="2"/>
  <c r="Y53" i="2"/>
  <c r="AO53" i="2"/>
  <c r="BE53" i="2"/>
  <c r="L54" i="2"/>
  <c r="AB54" i="2"/>
  <c r="AR54" i="2"/>
  <c r="BH54" i="2"/>
  <c r="O55" i="2"/>
  <c r="AE55" i="2"/>
  <c r="AU55" i="2"/>
  <c r="BK55" i="2"/>
  <c r="V56" i="2"/>
  <c r="AL56" i="2"/>
  <c r="BB56" i="2"/>
  <c r="M57" i="2"/>
  <c r="AC57" i="2"/>
  <c r="AS57" i="2"/>
  <c r="BI57" i="2"/>
  <c r="P58" i="2"/>
  <c r="AF58" i="2"/>
  <c r="AV58" i="2"/>
  <c r="BL58" i="2"/>
  <c r="S59" i="2"/>
  <c r="AI59" i="2"/>
  <c r="AY59" i="2"/>
  <c r="J60" i="2"/>
  <c r="Z60" i="2"/>
  <c r="AP60" i="2"/>
  <c r="BF60" i="2"/>
  <c r="Q61" i="2"/>
  <c r="AG61" i="2"/>
  <c r="AW61" i="2"/>
  <c r="BM61" i="2"/>
  <c r="T62" i="2"/>
  <c r="AJ62" i="2"/>
  <c r="AZ62" i="2"/>
  <c r="G63" i="2"/>
  <c r="W63" i="2"/>
  <c r="AM63" i="2"/>
  <c r="BC63" i="2"/>
  <c r="N64" i="2"/>
  <c r="AD64" i="2"/>
  <c r="AT64" i="2"/>
  <c r="BJ64" i="2"/>
  <c r="U65" i="2"/>
  <c r="AK65" i="2"/>
  <c r="BA65" i="2"/>
  <c r="H66" i="2"/>
  <c r="X66" i="2"/>
  <c r="AN66" i="2"/>
  <c r="BD66" i="2"/>
  <c r="K67" i="2"/>
  <c r="AA67" i="2"/>
  <c r="AQ67" i="2"/>
  <c r="BG67" i="2"/>
  <c r="R68" i="2"/>
  <c r="AH68" i="2"/>
  <c r="AX68" i="2"/>
  <c r="I69" i="2"/>
  <c r="Y69" i="2"/>
  <c r="AO69" i="2"/>
  <c r="BE69" i="2"/>
  <c r="L70" i="2"/>
  <c r="AB70" i="2"/>
  <c r="AR70" i="2"/>
  <c r="BH70" i="2"/>
  <c r="O71" i="2"/>
  <c r="AE71" i="2"/>
  <c r="AU71" i="2"/>
  <c r="BK71" i="2"/>
  <c r="V72" i="2"/>
  <c r="AL72" i="2"/>
  <c r="BB72" i="2"/>
  <c r="M73" i="2"/>
  <c r="AC73" i="2"/>
  <c r="AS73" i="2"/>
  <c r="BI73" i="2"/>
  <c r="P74" i="2"/>
  <c r="AF74" i="2"/>
  <c r="AV74" i="2"/>
  <c r="BL74" i="2"/>
  <c r="S75" i="2"/>
  <c r="AI75" i="2"/>
  <c r="AY75" i="2"/>
  <c r="J76" i="2"/>
  <c r="Z76" i="2"/>
  <c r="AP76" i="2"/>
  <c r="BF76" i="2"/>
  <c r="Q77" i="2"/>
  <c r="AG77" i="2"/>
  <c r="AW77" i="2"/>
  <c r="BM77" i="2"/>
  <c r="T78" i="2"/>
  <c r="AJ78" i="2"/>
  <c r="AZ78" i="2"/>
  <c r="G79" i="2"/>
  <c r="W79" i="2"/>
  <c r="AM79" i="2"/>
  <c r="BC79" i="2"/>
  <c r="N80" i="2"/>
  <c r="AD80" i="2"/>
  <c r="AT80" i="2"/>
  <c r="BJ80" i="2"/>
  <c r="U81" i="2"/>
  <c r="AK81" i="2"/>
  <c r="BA81" i="2"/>
  <c r="H82" i="2"/>
  <c r="X82" i="2"/>
  <c r="AN82" i="2"/>
  <c r="BD82" i="2"/>
  <c r="K83" i="2"/>
  <c r="AA83" i="2"/>
  <c r="AQ83" i="2"/>
  <c r="BG83" i="2"/>
  <c r="R84" i="2"/>
  <c r="AH84" i="2"/>
  <c r="AX84" i="2"/>
  <c r="I85" i="2"/>
  <c r="Y85" i="2"/>
  <c r="AO85" i="2"/>
  <c r="BE85" i="2"/>
  <c r="M86" i="3"/>
  <c r="M86" i="2" s="1"/>
  <c r="M87" i="2"/>
  <c r="AC86" i="3"/>
  <c r="AC86" i="2" s="1"/>
  <c r="AC87" i="2"/>
  <c r="AS86" i="3"/>
  <c r="AS86" i="2" s="1"/>
  <c r="AS87" i="2"/>
  <c r="BI86" i="3"/>
  <c r="BI86" i="2" s="1"/>
  <c r="BI87" i="2"/>
  <c r="P88" i="2"/>
  <c r="AF88" i="2"/>
  <c r="AV88" i="2"/>
  <c r="BL88" i="2"/>
  <c r="S89" i="2"/>
  <c r="AI89" i="2"/>
  <c r="AY89" i="2"/>
  <c r="J90" i="2"/>
  <c r="Z90" i="2"/>
  <c r="AP90" i="2"/>
  <c r="BF90" i="2"/>
  <c r="Q91" i="2"/>
  <c r="AG91" i="2"/>
  <c r="AW91" i="2"/>
  <c r="BM91" i="2"/>
  <c r="T92" i="2"/>
  <c r="AJ92" i="2"/>
  <c r="AZ92" i="2"/>
  <c r="G93" i="2"/>
  <c r="W93" i="2"/>
  <c r="AM93" i="2"/>
  <c r="BC93" i="2"/>
  <c r="N94" i="2"/>
  <c r="AD94" i="2"/>
  <c r="AT94" i="2"/>
  <c r="BJ94" i="2"/>
  <c r="U95" i="2"/>
  <c r="AK95" i="2"/>
  <c r="BA95" i="2"/>
  <c r="H96" i="2"/>
  <c r="X96" i="2"/>
  <c r="AN96" i="2"/>
  <c r="BD96" i="2"/>
  <c r="K97" i="2"/>
  <c r="AA97" i="2"/>
  <c r="AQ97" i="2"/>
  <c r="BG97" i="2"/>
  <c r="R98" i="2"/>
  <c r="AH98" i="2"/>
  <c r="AX98" i="2"/>
  <c r="I99" i="2"/>
  <c r="Y99" i="2"/>
  <c r="AO99" i="2"/>
  <c r="BE99" i="2"/>
  <c r="L100" i="2"/>
  <c r="AB100" i="2"/>
  <c r="AR100" i="2"/>
  <c r="BH100" i="2"/>
  <c r="O101" i="2"/>
  <c r="AE101" i="2"/>
  <c r="AU101" i="2"/>
  <c r="BK101" i="2"/>
  <c r="V102" i="2"/>
  <c r="AL102" i="2"/>
  <c r="BB102" i="2"/>
  <c r="M103" i="2"/>
  <c r="AC103" i="2"/>
  <c r="AS103" i="2"/>
  <c r="BI103" i="2"/>
  <c r="P104" i="2"/>
  <c r="AF104" i="2"/>
  <c r="AV104" i="2"/>
  <c r="BL104" i="2"/>
  <c r="S105" i="2"/>
  <c r="AI105" i="2"/>
  <c r="AY105" i="2"/>
  <c r="J106" i="2"/>
  <c r="Z106" i="2"/>
  <c r="AP106" i="2"/>
  <c r="BF106" i="2"/>
  <c r="Q107" i="2"/>
  <c r="AG107" i="2"/>
  <c r="AW107" i="2"/>
  <c r="BM107" i="2"/>
  <c r="T108" i="2"/>
  <c r="AJ108" i="2"/>
  <c r="AZ108" i="2"/>
  <c r="G109" i="2"/>
  <c r="W109" i="2"/>
  <c r="AM109" i="2"/>
  <c r="BC109" i="2"/>
  <c r="N110" i="2"/>
  <c r="AD110" i="2"/>
  <c r="AT110" i="2"/>
  <c r="BJ110" i="2"/>
  <c r="U111" i="2"/>
  <c r="AK111" i="2"/>
  <c r="BA111" i="2"/>
  <c r="H112" i="2"/>
  <c r="X112" i="2"/>
  <c r="AN112" i="2"/>
  <c r="BD112" i="2"/>
  <c r="K113" i="2"/>
  <c r="AA113" i="2"/>
  <c r="AQ113" i="2"/>
  <c r="BG113" i="2"/>
  <c r="R114" i="2"/>
  <c r="AH114" i="2"/>
  <c r="AX114" i="2"/>
  <c r="I115" i="2"/>
  <c r="Y115" i="2"/>
  <c r="AO115" i="2"/>
  <c r="BE115" i="2"/>
  <c r="L116" i="2"/>
  <c r="AB116" i="2"/>
  <c r="AR116" i="2"/>
  <c r="BH116" i="2"/>
  <c r="O117" i="2"/>
  <c r="AE117" i="2"/>
  <c r="AU117" i="2"/>
  <c r="BK117" i="2"/>
  <c r="V118" i="2"/>
  <c r="AL118" i="2"/>
  <c r="BB118" i="2"/>
  <c r="M119" i="2"/>
  <c r="AC119" i="2"/>
  <c r="AS119" i="2"/>
  <c r="BI119" i="2"/>
  <c r="P120" i="2"/>
  <c r="AF120" i="2"/>
  <c r="AV120" i="2"/>
  <c r="BL120" i="2"/>
  <c r="S121" i="2"/>
  <c r="AI121" i="2"/>
  <c r="AY121" i="2"/>
  <c r="J122" i="2"/>
  <c r="Z122" i="2"/>
  <c r="AP122" i="2"/>
  <c r="BF122" i="2"/>
  <c r="Q123" i="2"/>
  <c r="AG123" i="2"/>
  <c r="AW123" i="2"/>
  <c r="BM123" i="2"/>
  <c r="T124" i="2"/>
  <c r="AJ124" i="2"/>
  <c r="AZ124" i="2"/>
  <c r="G125" i="2"/>
  <c r="W125" i="2"/>
  <c r="AM125" i="2"/>
  <c r="BC125" i="2"/>
  <c r="N126" i="2"/>
  <c r="AD126" i="2"/>
  <c r="AT126" i="2"/>
  <c r="BJ126" i="2"/>
  <c r="V127" i="3"/>
  <c r="V127" i="2" s="1"/>
  <c r="V128" i="2"/>
  <c r="AL127" i="3"/>
  <c r="AL127" i="2" s="1"/>
  <c r="AL128" i="2"/>
  <c r="BB127" i="3"/>
  <c r="BB127" i="2" s="1"/>
  <c r="BB128" i="2"/>
  <c r="M129" i="2"/>
  <c r="AC129" i="2"/>
  <c r="AS129" i="2"/>
  <c r="BI129" i="2"/>
  <c r="P130" i="2"/>
  <c r="AF130" i="2"/>
  <c r="AV130" i="2"/>
  <c r="BL130" i="2"/>
  <c r="S131" i="2"/>
  <c r="AI131" i="2"/>
  <c r="AY131" i="2"/>
  <c r="J132" i="2"/>
  <c r="Z132" i="2"/>
  <c r="AP132" i="2"/>
  <c r="BF132" i="2"/>
  <c r="Q133" i="2"/>
  <c r="AG133" i="2"/>
  <c r="AW133" i="2"/>
  <c r="BM133" i="2"/>
  <c r="T134" i="2"/>
  <c r="AJ134" i="2"/>
  <c r="AZ134" i="2"/>
  <c r="G135" i="2"/>
  <c r="W135" i="2"/>
  <c r="AM135" i="2"/>
  <c r="BC135" i="2"/>
  <c r="N136" i="2"/>
  <c r="AD136" i="2"/>
  <c r="AT136" i="2"/>
  <c r="BJ136" i="2"/>
  <c r="U137" i="2"/>
  <c r="AK137" i="2"/>
  <c r="BA137" i="2"/>
  <c r="H138" i="2"/>
  <c r="X138" i="2"/>
  <c r="AN138" i="2"/>
  <c r="BD138" i="2"/>
  <c r="K139" i="2"/>
  <c r="AA139" i="2"/>
  <c r="AQ139" i="2"/>
  <c r="BG139" i="2"/>
  <c r="R140" i="2"/>
  <c r="AH140" i="2"/>
  <c r="AX140" i="2"/>
  <c r="I141" i="2"/>
  <c r="Y141" i="2"/>
  <c r="AO141" i="2"/>
  <c r="BE141" i="2"/>
  <c r="L142" i="2"/>
  <c r="AB142" i="2"/>
  <c r="AR142" i="2"/>
  <c r="BH142" i="2"/>
  <c r="O143" i="2"/>
  <c r="AE143" i="2"/>
  <c r="AU143" i="2"/>
  <c r="BK143" i="2"/>
  <c r="AA144" i="2"/>
  <c r="BF144" i="2"/>
  <c r="AK145" i="2"/>
  <c r="H146" i="2"/>
  <c r="X146" i="2"/>
  <c r="AN146" i="2"/>
  <c r="BD146" i="2"/>
  <c r="K147" i="2"/>
  <c r="AA147" i="2"/>
  <c r="AQ147" i="2"/>
  <c r="BG147" i="2"/>
  <c r="R148" i="2"/>
  <c r="AH148" i="2"/>
  <c r="AX148" i="2"/>
  <c r="I149" i="2"/>
  <c r="Y149" i="2"/>
  <c r="AO149" i="2"/>
  <c r="BE149" i="2"/>
  <c r="L150" i="2"/>
  <c r="AB150" i="2"/>
  <c r="AR150" i="2"/>
  <c r="BH150" i="2"/>
  <c r="O151" i="2"/>
  <c r="AE151" i="2"/>
  <c r="AU151" i="2"/>
  <c r="BK151" i="2"/>
  <c r="V152" i="2"/>
  <c r="AL152" i="2"/>
  <c r="BB152" i="2"/>
  <c r="M153" i="2"/>
  <c r="AC153" i="2"/>
  <c r="AS153" i="2"/>
  <c r="BI153" i="2"/>
  <c r="P154" i="2"/>
  <c r="AF154" i="2"/>
  <c r="AV154" i="2"/>
  <c r="BL154" i="2"/>
  <c r="S155" i="2"/>
  <c r="AI155" i="2"/>
  <c r="AY155" i="2"/>
  <c r="J156" i="2"/>
  <c r="Z156" i="2"/>
  <c r="AP156" i="2"/>
  <c r="BF156" i="2"/>
  <c r="Q157" i="2"/>
  <c r="AG157" i="2"/>
  <c r="AW157" i="2"/>
  <c r="BM157" i="2"/>
  <c r="T158" i="2"/>
  <c r="AJ158" i="2"/>
  <c r="AZ158" i="2"/>
  <c r="G159" i="2"/>
  <c r="W159" i="2"/>
  <c r="AM159" i="2"/>
  <c r="BC159" i="2"/>
  <c r="N160" i="2"/>
  <c r="AD160" i="2"/>
  <c r="AT160" i="2"/>
  <c r="BJ160" i="2"/>
  <c r="U161" i="2"/>
  <c r="AK161" i="2"/>
  <c r="BA161" i="2"/>
  <c r="H162" i="2"/>
  <c r="X162" i="2"/>
  <c r="AN162" i="2"/>
  <c r="BD162" i="2"/>
  <c r="K163" i="2"/>
  <c r="AA163" i="2"/>
  <c r="AQ163" i="2"/>
  <c r="BG163" i="2"/>
  <c r="R164" i="2"/>
  <c r="AH164" i="2"/>
  <c r="AX164" i="2"/>
  <c r="I165" i="2"/>
  <c r="Y165" i="2"/>
  <c r="AO165" i="2"/>
  <c r="BE165" i="2"/>
  <c r="L166" i="2"/>
  <c r="AB166" i="2"/>
  <c r="AR166" i="2"/>
  <c r="BH166" i="2"/>
  <c r="O167" i="2"/>
  <c r="AE167" i="2"/>
  <c r="AU167" i="2"/>
  <c r="BK167" i="2"/>
  <c r="S168" i="3"/>
  <c r="S168" i="2" s="1"/>
  <c r="S169" i="2"/>
  <c r="AI168" i="3"/>
  <c r="AI168" i="2" s="1"/>
  <c r="AI169" i="2"/>
  <c r="AY168" i="3"/>
  <c r="AY168" i="2" s="1"/>
  <c r="AY169" i="2"/>
  <c r="J170" i="2"/>
  <c r="Z170" i="2"/>
  <c r="AP170" i="2"/>
  <c r="BF170" i="2"/>
  <c r="Q171" i="2"/>
  <c r="AG171" i="2"/>
  <c r="AW171" i="2"/>
  <c r="BM171" i="2"/>
  <c r="T172" i="2"/>
  <c r="AJ172" i="2"/>
  <c r="AZ172" i="2"/>
  <c r="G173" i="2"/>
  <c r="W173" i="2"/>
  <c r="AM173" i="2"/>
  <c r="BC173" i="2"/>
  <c r="N174" i="2"/>
  <c r="AD174" i="2"/>
  <c r="AT174" i="2"/>
  <c r="BJ174" i="2"/>
  <c r="U175" i="2"/>
  <c r="AK175" i="2"/>
  <c r="BA175" i="2"/>
  <c r="H176" i="2"/>
  <c r="X176" i="2"/>
  <c r="AN176" i="2"/>
  <c r="BD176" i="2"/>
  <c r="K177" i="2"/>
  <c r="AA177" i="2"/>
  <c r="AQ177" i="2"/>
  <c r="BG177" i="2"/>
  <c r="R178" i="2"/>
  <c r="AH178" i="2"/>
  <c r="AX178" i="2"/>
  <c r="I179" i="2"/>
  <c r="Y179" i="2"/>
  <c r="AO179" i="2"/>
  <c r="BE179" i="2"/>
  <c r="L180" i="2"/>
  <c r="AB180" i="2"/>
  <c r="AR180" i="2"/>
  <c r="BH180" i="2"/>
  <c r="O181" i="2"/>
  <c r="AE181" i="2"/>
  <c r="AU181" i="2"/>
  <c r="BK181" i="2"/>
  <c r="V182" i="2"/>
  <c r="AL182" i="2"/>
  <c r="BB182" i="2"/>
  <c r="M183" i="2"/>
  <c r="AC183" i="2"/>
  <c r="AS183" i="2"/>
  <c r="BI183" i="2"/>
  <c r="P184" i="2"/>
  <c r="AF184" i="2"/>
  <c r="AV184" i="2"/>
  <c r="BL184" i="2"/>
  <c r="S185" i="2"/>
  <c r="AI185" i="2"/>
  <c r="AY185" i="2"/>
  <c r="J186" i="2"/>
  <c r="Z186" i="2"/>
  <c r="AP186" i="2"/>
  <c r="BF186" i="2"/>
  <c r="Q187" i="2"/>
  <c r="AG187" i="2"/>
  <c r="AW187" i="2"/>
  <c r="BM187" i="2"/>
  <c r="T188" i="2"/>
  <c r="AJ188" i="2"/>
  <c r="AZ188" i="2"/>
  <c r="G189" i="2"/>
  <c r="W189" i="2"/>
  <c r="AM189" i="2"/>
  <c r="BC189" i="2"/>
  <c r="N190" i="2"/>
  <c r="AD190" i="2"/>
  <c r="AT190" i="2"/>
  <c r="BJ190" i="2"/>
  <c r="U191" i="2"/>
  <c r="AK191" i="2"/>
  <c r="BA191" i="2"/>
  <c r="H192" i="2"/>
  <c r="X192" i="2"/>
  <c r="AN192" i="2"/>
  <c r="BD192" i="2"/>
  <c r="K193" i="2"/>
  <c r="AA193" i="2"/>
  <c r="AQ193" i="2"/>
  <c r="BG193" i="2"/>
  <c r="R194" i="2"/>
  <c r="AH194" i="2"/>
  <c r="AX194" i="2"/>
  <c r="I195" i="2"/>
  <c r="Y195" i="2"/>
  <c r="AO195" i="2"/>
  <c r="BE195" i="2"/>
  <c r="L196" i="2"/>
  <c r="AB196" i="2"/>
  <c r="AR196" i="2"/>
  <c r="BH196" i="2"/>
  <c r="O197" i="2"/>
  <c r="AE197" i="2"/>
  <c r="AU197" i="2"/>
  <c r="BK197" i="2"/>
  <c r="V198" i="2"/>
  <c r="AL198" i="2"/>
  <c r="BB198" i="2"/>
  <c r="M199" i="2"/>
  <c r="AC199" i="2"/>
  <c r="AS199" i="2"/>
  <c r="BI199" i="2"/>
  <c r="P200" i="2"/>
  <c r="AF200" i="2"/>
  <c r="AV200" i="2"/>
  <c r="BL200" i="2"/>
  <c r="S201" i="2"/>
  <c r="AI201" i="2"/>
  <c r="AY201" i="2"/>
  <c r="J202" i="2"/>
  <c r="Z202" i="2"/>
  <c r="AP202" i="2"/>
  <c r="BF202" i="2"/>
  <c r="Q203" i="2"/>
  <c r="AG203" i="2"/>
  <c r="AW203" i="2"/>
  <c r="BM203" i="2"/>
  <c r="T204" i="2"/>
  <c r="AJ204" i="2"/>
  <c r="AZ204" i="2"/>
  <c r="G205" i="2"/>
  <c r="W205" i="2"/>
  <c r="AM205" i="2"/>
  <c r="BC205" i="2"/>
  <c r="N206" i="2"/>
  <c r="AD206" i="2"/>
  <c r="AT206" i="2"/>
  <c r="BJ206" i="2"/>
  <c r="U207" i="2"/>
  <c r="AK207" i="2"/>
  <c r="BA207" i="2"/>
  <c r="H208" i="2"/>
  <c r="X208" i="2"/>
  <c r="AN208" i="2"/>
  <c r="BD208" i="2"/>
  <c r="L209" i="3"/>
  <c r="L209" i="2" s="1"/>
  <c r="L210" i="2"/>
  <c r="AB209" i="3"/>
  <c r="AB209" i="2" s="1"/>
  <c r="AB210" i="2"/>
  <c r="AR209" i="3"/>
  <c r="AR209" i="2" s="1"/>
  <c r="AR210" i="2"/>
  <c r="BH209" i="3"/>
  <c r="BH209" i="2" s="1"/>
  <c r="BH210" i="2"/>
  <c r="O211" i="2"/>
  <c r="AE211" i="2"/>
  <c r="AU211" i="2"/>
  <c r="BK211" i="2"/>
  <c r="V212" i="2"/>
  <c r="AL212" i="2"/>
  <c r="BB212" i="2"/>
  <c r="M213" i="2"/>
  <c r="AC213" i="2"/>
  <c r="AS213" i="2"/>
  <c r="BI213" i="2"/>
  <c r="P214" i="2"/>
  <c r="AF214" i="2"/>
  <c r="AV214" i="2"/>
  <c r="BL214" i="2"/>
  <c r="S215" i="2"/>
  <c r="AI215" i="2"/>
  <c r="AY215" i="2"/>
  <c r="J216" i="2"/>
  <c r="Z216" i="2"/>
  <c r="AP216" i="2"/>
  <c r="BF216" i="2"/>
  <c r="Q217" i="2"/>
  <c r="AG217" i="2"/>
  <c r="AW217" i="2"/>
  <c r="BM217" i="2"/>
  <c r="T218" i="2"/>
  <c r="AJ218" i="2"/>
  <c r="AZ218" i="2"/>
  <c r="G219" i="2"/>
  <c r="W219" i="2"/>
  <c r="AM219" i="2"/>
  <c r="BC219" i="2"/>
  <c r="N220" i="2"/>
  <c r="AD220" i="2"/>
  <c r="AT220" i="2"/>
  <c r="BJ220" i="2"/>
  <c r="U221" i="2"/>
  <c r="AK221" i="2"/>
  <c r="BA221" i="2"/>
  <c r="H222" i="2"/>
  <c r="X222" i="2"/>
  <c r="AN222" i="2"/>
  <c r="BD222" i="2"/>
  <c r="K223" i="2"/>
  <c r="AA223" i="2"/>
  <c r="AQ223" i="2"/>
  <c r="BG223" i="2"/>
  <c r="R224" i="2"/>
  <c r="AH224" i="2"/>
  <c r="AX224" i="2"/>
  <c r="I225" i="2"/>
  <c r="Y225" i="2"/>
  <c r="AO225" i="2"/>
  <c r="BE225" i="2"/>
  <c r="L226" i="2"/>
  <c r="AB226" i="2"/>
  <c r="AR226" i="2"/>
  <c r="BH226" i="2"/>
  <c r="O227" i="2"/>
  <c r="AE227" i="2"/>
  <c r="AU227" i="2"/>
  <c r="BK227" i="2"/>
  <c r="V228" i="2"/>
  <c r="AL228" i="2"/>
  <c r="BB228" i="2"/>
  <c r="M229" i="2"/>
  <c r="AC229" i="2"/>
  <c r="AS229" i="2"/>
  <c r="BI229" i="2"/>
  <c r="P230" i="2"/>
  <c r="AF230" i="2"/>
  <c r="AV230" i="2"/>
  <c r="BL230" i="2"/>
  <c r="S231" i="2"/>
  <c r="AI231" i="2"/>
  <c r="AY231" i="2"/>
  <c r="J232" i="2"/>
  <c r="Z232" i="2"/>
  <c r="AP232" i="2"/>
  <c r="BF232" i="2"/>
  <c r="Q233" i="2"/>
  <c r="AG233" i="2"/>
  <c r="AW233" i="2"/>
  <c r="BM233" i="2"/>
  <c r="T234" i="2"/>
  <c r="AJ234" i="2"/>
  <c r="BA234" i="2"/>
  <c r="M235" i="2"/>
  <c r="AN235" i="2"/>
  <c r="Q146" i="2"/>
  <c r="AG146" i="2"/>
  <c r="AW146" i="2"/>
  <c r="BM146" i="2"/>
  <c r="T147" i="2"/>
  <c r="AJ147" i="2"/>
  <c r="AZ147" i="2"/>
  <c r="G148" i="2"/>
  <c r="W148" i="2"/>
  <c r="AM148" i="2"/>
  <c r="BC148" i="2"/>
  <c r="N149" i="2"/>
  <c r="AD149" i="2"/>
  <c r="AT149" i="2"/>
  <c r="BJ149" i="2"/>
  <c r="U150" i="2"/>
  <c r="AK150" i="2"/>
  <c r="BA150" i="2"/>
  <c r="H151" i="2"/>
  <c r="X151" i="2"/>
  <c r="AN151" i="2"/>
  <c r="BD151" i="2"/>
  <c r="K152" i="2"/>
  <c r="AA152" i="2"/>
  <c r="AQ152" i="2"/>
  <c r="BG152" i="2"/>
  <c r="R153" i="2"/>
  <c r="AH153" i="2"/>
  <c r="AX153" i="2"/>
  <c r="I154" i="2"/>
  <c r="Y154" i="2"/>
  <c r="AO154" i="2"/>
  <c r="BE154" i="2"/>
  <c r="L155" i="2"/>
  <c r="AB155" i="2"/>
  <c r="AR155" i="2"/>
  <c r="BH155" i="2"/>
  <c r="O156" i="2"/>
  <c r="AE156" i="2"/>
  <c r="AU156" i="2"/>
  <c r="BK156" i="2"/>
  <c r="V157" i="2"/>
  <c r="AL157" i="2"/>
  <c r="BB157" i="2"/>
  <c r="M158" i="2"/>
  <c r="AC158" i="2"/>
  <c r="AS158" i="2"/>
  <c r="BI158" i="2"/>
  <c r="P159" i="2"/>
  <c r="AF159" i="2"/>
  <c r="AV159" i="2"/>
  <c r="BL159" i="2"/>
  <c r="S160" i="2"/>
  <c r="AI160" i="2"/>
  <c r="AY160" i="2"/>
  <c r="J161" i="2"/>
  <c r="Z161" i="2"/>
  <c r="AP161" i="2"/>
  <c r="BF161" i="2"/>
  <c r="Q162" i="2"/>
  <c r="AG162" i="2"/>
  <c r="AW162" i="2"/>
  <c r="BM162" i="2"/>
  <c r="T163" i="2"/>
  <c r="AJ163" i="2"/>
  <c r="AZ163" i="2"/>
  <c r="G164" i="2"/>
  <c r="W164" i="2"/>
  <c r="AM164" i="2"/>
  <c r="BC164" i="2"/>
  <c r="N165" i="2"/>
  <c r="AD165" i="2"/>
  <c r="AT165" i="2"/>
  <c r="BJ165" i="2"/>
  <c r="U166" i="2"/>
  <c r="AK166" i="2"/>
  <c r="BA166" i="2"/>
  <c r="H167" i="2"/>
  <c r="X167" i="2"/>
  <c r="AN167" i="2"/>
  <c r="BD167" i="2"/>
  <c r="L168" i="3"/>
  <c r="L168" i="2" s="1"/>
  <c r="L169" i="2"/>
  <c r="AB168" i="3"/>
  <c r="AB168" i="2" s="1"/>
  <c r="AB169" i="2"/>
  <c r="AR168" i="3"/>
  <c r="AR168" i="2" s="1"/>
  <c r="AR169" i="2"/>
  <c r="BH168" i="3"/>
  <c r="BH168" i="2" s="1"/>
  <c r="BH169" i="2"/>
  <c r="O170" i="2"/>
  <c r="AE170" i="2"/>
  <c r="AU170" i="2"/>
  <c r="BK170" i="2"/>
  <c r="V171" i="2"/>
  <c r="AL171" i="2"/>
  <c r="BB171" i="2"/>
  <c r="M172" i="2"/>
  <c r="AC172" i="2"/>
  <c r="AS172" i="2"/>
  <c r="BI172" i="2"/>
  <c r="P173" i="2"/>
  <c r="AF173" i="2"/>
  <c r="AV173" i="2"/>
  <c r="BL173" i="2"/>
  <c r="S174" i="2"/>
  <c r="AI174" i="2"/>
  <c r="AY174" i="2"/>
  <c r="J175" i="2"/>
  <c r="Z175" i="2"/>
  <c r="AP175" i="2"/>
  <c r="BF175" i="2"/>
  <c r="Q176" i="2"/>
  <c r="AG176" i="2"/>
  <c r="AW176" i="2"/>
  <c r="BM176" i="2"/>
  <c r="T177" i="2"/>
  <c r="AJ177" i="2"/>
  <c r="AZ177" i="2"/>
  <c r="G178" i="2"/>
  <c r="W178" i="2"/>
  <c r="AM178" i="2"/>
  <c r="BC178" i="2"/>
  <c r="N179" i="2"/>
  <c r="AD179" i="2"/>
  <c r="AT179" i="2"/>
  <c r="BJ179" i="2"/>
  <c r="U180" i="2"/>
  <c r="AK180" i="2"/>
  <c r="BA180" i="2"/>
  <c r="H181" i="2"/>
  <c r="X181" i="2"/>
  <c r="AN181" i="2"/>
  <c r="BD181" i="2"/>
  <c r="K182" i="2"/>
  <c r="AA182" i="2"/>
  <c r="AQ182" i="2"/>
  <c r="BG182" i="2"/>
  <c r="R183" i="2"/>
  <c r="AH183" i="2"/>
  <c r="AX183" i="2"/>
  <c r="I184" i="2"/>
  <c r="Y184" i="2"/>
  <c r="AO184" i="2"/>
  <c r="BE184" i="2"/>
  <c r="L185" i="2"/>
  <c r="AB185" i="2"/>
  <c r="AR185" i="2"/>
  <c r="BH185" i="2"/>
  <c r="O186" i="2"/>
  <c r="AE186" i="2"/>
  <c r="AU186" i="2"/>
  <c r="BK186" i="2"/>
  <c r="V187" i="2"/>
  <c r="AL187" i="2"/>
  <c r="BB187" i="2"/>
  <c r="M188" i="2"/>
  <c r="AC188" i="2"/>
  <c r="AS188" i="2"/>
  <c r="BI188" i="2"/>
  <c r="P189" i="2"/>
  <c r="AF189" i="2"/>
  <c r="AV189" i="2"/>
  <c r="BL189" i="2"/>
  <c r="S190" i="2"/>
  <c r="AI190" i="2"/>
  <c r="AY190" i="2"/>
  <c r="J191" i="2"/>
  <c r="Z191" i="2"/>
  <c r="AP191" i="2"/>
  <c r="BF191" i="2"/>
  <c r="Q192" i="2"/>
  <c r="AG192" i="2"/>
  <c r="AW192" i="2"/>
  <c r="BM192" i="2"/>
  <c r="T193" i="2"/>
  <c r="AJ193" i="2"/>
  <c r="AZ193" i="2"/>
  <c r="G194" i="2"/>
  <c r="W194" i="2"/>
  <c r="AM194" i="2"/>
  <c r="BC194" i="2"/>
  <c r="N195" i="2"/>
  <c r="AD195" i="2"/>
  <c r="AT195" i="2"/>
  <c r="BJ195" i="2"/>
  <c r="U196" i="2"/>
  <c r="AK196" i="2"/>
  <c r="BA196" i="2"/>
  <c r="H197" i="2"/>
  <c r="X197" i="2"/>
  <c r="AN197" i="2"/>
  <c r="BD197" i="2"/>
  <c r="K198" i="2"/>
  <c r="AA198" i="2"/>
  <c r="AQ198" i="2"/>
  <c r="BG198" i="2"/>
  <c r="R199" i="2"/>
  <c r="AH199" i="2"/>
  <c r="AX199" i="2"/>
  <c r="I200" i="2"/>
  <c r="Y200" i="2"/>
  <c r="AO200" i="2"/>
  <c r="BE200" i="2"/>
  <c r="L201" i="2"/>
  <c r="AB201" i="2"/>
  <c r="AR201" i="2"/>
  <c r="BH201" i="2"/>
  <c r="O202" i="2"/>
  <c r="AE202" i="2"/>
  <c r="AU202" i="2"/>
  <c r="BK202" i="2"/>
  <c r="V203" i="2"/>
  <c r="AL203" i="2"/>
  <c r="BB203" i="2"/>
  <c r="M204" i="2"/>
  <c r="AC204" i="2"/>
  <c r="AS204" i="2"/>
  <c r="BI204" i="2"/>
  <c r="P205" i="2"/>
  <c r="AF205" i="2"/>
  <c r="AV205" i="2"/>
  <c r="BL205" i="2"/>
  <c r="S206" i="2"/>
  <c r="AI206" i="2"/>
  <c r="AY206" i="2"/>
  <c r="J207" i="2"/>
  <c r="Z207" i="2"/>
  <c r="AP207" i="2"/>
  <c r="BF207" i="2"/>
  <c r="Q208" i="2"/>
  <c r="AG208" i="2"/>
  <c r="AW208" i="2"/>
  <c r="BM208" i="2"/>
  <c r="U209" i="3"/>
  <c r="U209" i="2" s="1"/>
  <c r="U210" i="2"/>
  <c r="AK209" i="3"/>
  <c r="AK209" i="2" s="1"/>
  <c r="AK210" i="2"/>
  <c r="BA209" i="3"/>
  <c r="BA209" i="2" s="1"/>
  <c r="BA210" i="2"/>
  <c r="H211" i="2"/>
  <c r="X211" i="2"/>
  <c r="AN211" i="2"/>
  <c r="BD211" i="2"/>
  <c r="K212" i="2"/>
  <c r="AA212" i="2"/>
  <c r="AQ212" i="2"/>
  <c r="BG212" i="2"/>
  <c r="R213" i="2"/>
  <c r="AH213" i="2"/>
  <c r="AX213" i="2"/>
  <c r="I214" i="2"/>
  <c r="Y214" i="2"/>
  <c r="AO214" i="2"/>
  <c r="BE214" i="2"/>
  <c r="L215" i="2"/>
  <c r="AB215" i="2"/>
  <c r="AR215" i="2"/>
  <c r="BH215" i="2"/>
  <c r="O216" i="2"/>
  <c r="AE216" i="2"/>
  <c r="AU216" i="2"/>
  <c r="BK216" i="2"/>
  <c r="V217" i="2"/>
  <c r="AL217" i="2"/>
  <c r="BB217" i="2"/>
  <c r="M218" i="2"/>
  <c r="AC218" i="2"/>
  <c r="AS218" i="2"/>
  <c r="BI218" i="2"/>
  <c r="P219" i="2"/>
  <c r="AF219" i="2"/>
  <c r="AV219" i="2"/>
  <c r="BL219" i="2"/>
  <c r="S220" i="2"/>
  <c r="AI220" i="2"/>
  <c r="AY220" i="2"/>
  <c r="J221" i="2"/>
  <c r="Z221" i="2"/>
  <c r="AP221" i="2"/>
  <c r="BF221" i="2"/>
  <c r="Q222" i="2"/>
  <c r="AG222" i="2"/>
  <c r="AW222" i="2"/>
  <c r="BM222" i="2"/>
  <c r="T223" i="2"/>
  <c r="AJ223" i="2"/>
  <c r="AZ223" i="2"/>
  <c r="G224" i="2"/>
  <c r="W224" i="2"/>
  <c r="AM224" i="2"/>
  <c r="BC224" i="2"/>
  <c r="N225" i="2"/>
  <c r="AD225" i="2"/>
  <c r="AT225" i="2"/>
  <c r="BJ225" i="2"/>
  <c r="U226" i="2"/>
  <c r="AK226" i="2"/>
  <c r="BA226" i="2"/>
  <c r="H227" i="2"/>
  <c r="X227" i="2"/>
  <c r="AN227" i="2"/>
  <c r="BD227" i="2"/>
  <c r="K228" i="2"/>
  <c r="AA228" i="2"/>
  <c r="AQ228" i="2"/>
  <c r="BG228" i="2"/>
  <c r="R229" i="2"/>
  <c r="AH229" i="2"/>
  <c r="AX229" i="2"/>
  <c r="I230" i="2"/>
  <c r="Y230" i="2"/>
  <c r="AO230" i="2"/>
  <c r="BE230" i="2"/>
  <c r="L231" i="2"/>
  <c r="AB231" i="2"/>
  <c r="AR231" i="2"/>
  <c r="BH231" i="2"/>
  <c r="O232" i="2"/>
  <c r="AE232" i="2"/>
  <c r="AU232" i="2"/>
  <c r="BK232" i="2"/>
  <c r="V233" i="2"/>
  <c r="AL233" i="2"/>
  <c r="BB233" i="2"/>
  <c r="M234" i="2"/>
  <c r="AC234" i="2"/>
  <c r="AS234" i="2"/>
  <c r="BM234" i="2"/>
  <c r="Y235" i="2"/>
  <c r="AF144" i="2"/>
  <c r="AV144" i="2"/>
  <c r="BL144" i="2"/>
  <c r="S145" i="2"/>
  <c r="AI145" i="2"/>
  <c r="AY145" i="2"/>
  <c r="J146" i="2"/>
  <c r="Z146" i="2"/>
  <c r="AP146" i="2"/>
  <c r="BF146" i="2"/>
  <c r="Q147" i="2"/>
  <c r="AG147" i="2"/>
  <c r="AW147" i="2"/>
  <c r="BM147" i="2"/>
  <c r="T148" i="2"/>
  <c r="AJ148" i="2"/>
  <c r="AZ148" i="2"/>
  <c r="G149" i="2"/>
  <c r="W149" i="2"/>
  <c r="AM149" i="2"/>
  <c r="BC149" i="2"/>
  <c r="N150" i="2"/>
  <c r="AD150" i="2"/>
  <c r="AT150" i="2"/>
  <c r="BJ150" i="2"/>
  <c r="U151" i="2"/>
  <c r="AK151" i="2"/>
  <c r="BA151" i="2"/>
  <c r="H152" i="2"/>
  <c r="X152" i="2"/>
  <c r="AN152" i="2"/>
  <c r="BD152" i="2"/>
  <c r="K153" i="2"/>
  <c r="AA153" i="2"/>
  <c r="AQ153" i="2"/>
  <c r="BG153" i="2"/>
  <c r="R154" i="2"/>
  <c r="AH154" i="2"/>
  <c r="AX154" i="2"/>
  <c r="I155" i="2"/>
  <c r="Y155" i="2"/>
  <c r="AO155" i="2"/>
  <c r="BE155" i="2"/>
  <c r="L156" i="2"/>
  <c r="AB156" i="2"/>
  <c r="AR156" i="2"/>
  <c r="BH156" i="2"/>
  <c r="O157" i="2"/>
  <c r="AE157" i="2"/>
  <c r="AU157" i="2"/>
  <c r="BK157" i="2"/>
  <c r="V158" i="2"/>
  <c r="AL158" i="2"/>
  <c r="BB158" i="2"/>
  <c r="M159" i="2"/>
  <c r="AC159" i="2"/>
  <c r="AS159" i="2"/>
  <c r="BI159" i="2"/>
  <c r="P160" i="2"/>
  <c r="AF160" i="2"/>
  <c r="AV160" i="2"/>
  <c r="BL160" i="2"/>
  <c r="S161" i="2"/>
  <c r="AI161" i="2"/>
  <c r="AY161" i="2"/>
  <c r="J162" i="2"/>
  <c r="Z162" i="2"/>
  <c r="AP162" i="2"/>
  <c r="BF162" i="2"/>
  <c r="Q163" i="2"/>
  <c r="AG163" i="2"/>
  <c r="AW163" i="2"/>
  <c r="BM163" i="2"/>
  <c r="T164" i="2"/>
  <c r="AJ164" i="2"/>
  <c r="AZ164" i="2"/>
  <c r="G165" i="2"/>
  <c r="W165" i="2"/>
  <c r="AM165" i="2"/>
  <c r="BC165" i="2"/>
  <c r="N166" i="2"/>
  <c r="AD166" i="2"/>
  <c r="AT166" i="2"/>
  <c r="BJ166" i="2"/>
  <c r="U167" i="2"/>
  <c r="AK167" i="2"/>
  <c r="BA167" i="2"/>
  <c r="I168" i="3"/>
  <c r="I168" i="2" s="1"/>
  <c r="I169" i="2"/>
  <c r="Y168" i="3"/>
  <c r="Y168" i="2" s="1"/>
  <c r="Y169" i="2"/>
  <c r="AO168" i="3"/>
  <c r="AO168" i="2" s="1"/>
  <c r="AO169" i="2"/>
  <c r="BE168" i="3"/>
  <c r="BE168" i="2" s="1"/>
  <c r="BE169" i="2"/>
  <c r="L170" i="2"/>
  <c r="AB170" i="2"/>
  <c r="AR170" i="2"/>
  <c r="BH170" i="2"/>
  <c r="O171" i="2"/>
  <c r="AE171" i="2"/>
  <c r="AU171" i="2"/>
  <c r="BK171" i="2"/>
  <c r="V172" i="2"/>
  <c r="AL172" i="2"/>
  <c r="BB172" i="2"/>
  <c r="M173" i="2"/>
  <c r="AC173" i="2"/>
  <c r="AS173" i="2"/>
  <c r="BI173" i="2"/>
  <c r="P174" i="2"/>
  <c r="AF174" i="2"/>
  <c r="AV174" i="2"/>
  <c r="BL174" i="2"/>
  <c r="S175" i="2"/>
  <c r="AI175" i="2"/>
  <c r="AY175" i="2"/>
  <c r="J176" i="2"/>
  <c r="Z176" i="2"/>
  <c r="AP176" i="2"/>
  <c r="BF176" i="2"/>
  <c r="Q177" i="2"/>
  <c r="AG177" i="2"/>
  <c r="AW177" i="2"/>
  <c r="BM177" i="2"/>
  <c r="T178" i="2"/>
  <c r="AJ178" i="2"/>
  <c r="AZ178" i="2"/>
  <c r="G179" i="2"/>
  <c r="W179" i="2"/>
  <c r="AM179" i="2"/>
  <c r="BC179" i="2"/>
  <c r="N180" i="2"/>
  <c r="AD180" i="2"/>
  <c r="AT180" i="2"/>
  <c r="BJ180" i="2"/>
  <c r="U181" i="2"/>
  <c r="AK181" i="2"/>
  <c r="BA181" i="2"/>
  <c r="H182" i="2"/>
  <c r="X182" i="2"/>
  <c r="AN182" i="2"/>
  <c r="BD182" i="2"/>
  <c r="K183" i="2"/>
  <c r="AA183" i="2"/>
  <c r="AQ183" i="2"/>
  <c r="BG183" i="2"/>
  <c r="R184" i="2"/>
  <c r="AH184" i="2"/>
  <c r="AX184" i="2"/>
  <c r="I185" i="2"/>
  <c r="Y185" i="2"/>
  <c r="AO185" i="2"/>
  <c r="BE185" i="2"/>
  <c r="L186" i="2"/>
  <c r="AB186" i="2"/>
  <c r="AR186" i="2"/>
  <c r="BH186" i="2"/>
  <c r="O187" i="2"/>
  <c r="AE187" i="2"/>
  <c r="AU187" i="2"/>
  <c r="BK187" i="2"/>
  <c r="V188" i="2"/>
  <c r="AL188" i="2"/>
  <c r="BB188" i="2"/>
  <c r="M189" i="2"/>
  <c r="AC189" i="2"/>
  <c r="AS189" i="2"/>
  <c r="BI189" i="2"/>
  <c r="P190" i="2"/>
  <c r="AF190" i="2"/>
  <c r="AV190" i="2"/>
  <c r="BL190" i="2"/>
  <c r="S191" i="2"/>
  <c r="AI191" i="2"/>
  <c r="AY191" i="2"/>
  <c r="J192" i="2"/>
  <c r="Z192" i="2"/>
  <c r="AP192" i="2"/>
  <c r="BF192" i="2"/>
  <c r="Q193" i="2"/>
  <c r="AG193" i="2"/>
  <c r="AW193" i="2"/>
  <c r="BM193" i="2"/>
  <c r="T194" i="2"/>
  <c r="AJ194" i="2"/>
  <c r="AZ194" i="2"/>
  <c r="G195" i="2"/>
  <c r="W195" i="2"/>
  <c r="AM195" i="2"/>
  <c r="BC195" i="2"/>
  <c r="N196" i="2"/>
  <c r="AD196" i="2"/>
  <c r="AT196" i="2"/>
  <c r="BJ196" i="2"/>
  <c r="U197" i="2"/>
  <c r="AK197" i="2"/>
  <c r="BA197" i="2"/>
  <c r="H198" i="2"/>
  <c r="X198" i="2"/>
  <c r="AN198" i="2"/>
  <c r="BD198" i="2"/>
  <c r="K199" i="2"/>
  <c r="AA199" i="2"/>
  <c r="AQ199" i="2"/>
  <c r="BG199" i="2"/>
  <c r="R200" i="2"/>
  <c r="AH200" i="2"/>
  <c r="AX200" i="2"/>
  <c r="I201" i="2"/>
  <c r="Y201" i="2"/>
  <c r="AO201" i="2"/>
  <c r="BE201" i="2"/>
  <c r="L202" i="2"/>
  <c r="AB202" i="2"/>
  <c r="AR202" i="2"/>
  <c r="BH202" i="2"/>
  <c r="O203" i="2"/>
  <c r="AE203" i="2"/>
  <c r="AU203" i="2"/>
  <c r="BK203" i="2"/>
  <c r="V204" i="2"/>
  <c r="AL204" i="2"/>
  <c r="BB204" i="2"/>
  <c r="M205" i="2"/>
  <c r="AC205" i="2"/>
  <c r="AS205" i="2"/>
  <c r="BI205" i="2"/>
  <c r="P206" i="2"/>
  <c r="AF206" i="2"/>
  <c r="AV206" i="2"/>
  <c r="BL206" i="2"/>
  <c r="S207" i="2"/>
  <c r="AI207" i="2"/>
  <c r="AY207" i="2"/>
  <c r="J208" i="2"/>
  <c r="Z208" i="2"/>
  <c r="AP208" i="2"/>
  <c r="BF208" i="2"/>
  <c r="R209" i="3"/>
  <c r="R209" i="2" s="1"/>
  <c r="R210" i="2"/>
  <c r="AH209" i="3"/>
  <c r="AH209" i="2" s="1"/>
  <c r="AH210" i="2"/>
  <c r="AX209" i="3"/>
  <c r="AX209" i="2" s="1"/>
  <c r="AX210" i="2"/>
  <c r="I211" i="2"/>
  <c r="Y211" i="2"/>
  <c r="AO211" i="2"/>
  <c r="BE211" i="2"/>
  <c r="L212" i="2"/>
  <c r="AB212" i="2"/>
  <c r="AR212" i="2"/>
  <c r="BH212" i="2"/>
  <c r="O213" i="2"/>
  <c r="AE213" i="2"/>
  <c r="AU213" i="2"/>
  <c r="BK213" i="2"/>
  <c r="V214" i="2"/>
  <c r="AL214" i="2"/>
  <c r="BB214" i="2"/>
  <c r="M215" i="2"/>
  <c r="AC215" i="2"/>
  <c r="AS215" i="2"/>
  <c r="BI215" i="2"/>
  <c r="P216" i="2"/>
  <c r="AF216" i="2"/>
  <c r="AV216" i="2"/>
  <c r="BL216" i="2"/>
  <c r="S217" i="2"/>
  <c r="AI217" i="2"/>
  <c r="AY217" i="2"/>
  <c r="J218" i="2"/>
  <c r="Z218" i="2"/>
  <c r="AP218" i="2"/>
  <c r="BF218" i="2"/>
  <c r="Q219" i="2"/>
  <c r="AG219" i="2"/>
  <c r="AW219" i="2"/>
  <c r="BM219" i="2"/>
  <c r="T220" i="2"/>
  <c r="AJ220" i="2"/>
  <c r="AZ220" i="2"/>
  <c r="G221" i="2"/>
  <c r="W221" i="2"/>
  <c r="AM221" i="2"/>
  <c r="BC221" i="2"/>
  <c r="N222" i="2"/>
  <c r="AD222" i="2"/>
  <c r="AT222" i="2"/>
  <c r="BJ222" i="2"/>
  <c r="U223" i="2"/>
  <c r="AK223" i="2"/>
  <c r="BA223" i="2"/>
  <c r="H224" i="2"/>
  <c r="X224" i="2"/>
  <c r="AN224" i="2"/>
  <c r="BD224" i="2"/>
  <c r="K225" i="2"/>
  <c r="AA225" i="2"/>
  <c r="AQ225" i="2"/>
  <c r="BG225" i="2"/>
  <c r="R226" i="2"/>
  <c r="AH226" i="2"/>
  <c r="AX226" i="2"/>
  <c r="I227" i="2"/>
  <c r="Y227" i="2"/>
  <c r="AO227" i="2"/>
  <c r="BE227" i="2"/>
  <c r="L228" i="2"/>
  <c r="AB228" i="2"/>
  <c r="AR228" i="2"/>
  <c r="BH228" i="2"/>
  <c r="O229" i="2"/>
  <c r="AE229" i="2"/>
  <c r="AU229" i="2"/>
  <c r="BK229" i="2"/>
  <c r="V230" i="2"/>
  <c r="AL230" i="2"/>
  <c r="BB230" i="2"/>
  <c r="M231" i="2"/>
  <c r="AC231" i="2"/>
  <c r="AS231" i="2"/>
  <c r="BI231" i="2"/>
  <c r="P232" i="2"/>
  <c r="AF232" i="2"/>
  <c r="AV232" i="2"/>
  <c r="BL232" i="2"/>
  <c r="S233" i="2"/>
  <c r="AI233" i="2"/>
  <c r="AY233" i="2"/>
  <c r="J234" i="2"/>
  <c r="Z234" i="2"/>
  <c r="AP234" i="2"/>
  <c r="BI234" i="2"/>
  <c r="AB235" i="2"/>
  <c r="I144" i="2"/>
  <c r="Y144" i="2"/>
  <c r="AO144" i="2"/>
  <c r="BE144" i="2"/>
  <c r="L145" i="2"/>
  <c r="AB145" i="2"/>
  <c r="AR145" i="2"/>
  <c r="BH145" i="2"/>
  <c r="O146" i="2"/>
  <c r="AE146" i="2"/>
  <c r="AU146" i="2"/>
  <c r="BK146" i="2"/>
  <c r="V147" i="2"/>
  <c r="AL147" i="2"/>
  <c r="BB147" i="2"/>
  <c r="M148" i="2"/>
  <c r="AC148" i="2"/>
  <c r="AS148" i="2"/>
  <c r="BI148" i="2"/>
  <c r="P149" i="2"/>
  <c r="AF149" i="2"/>
  <c r="AV149" i="2"/>
  <c r="BL149" i="2"/>
  <c r="S150" i="2"/>
  <c r="AI150" i="2"/>
  <c r="AY150" i="2"/>
  <c r="J151" i="2"/>
  <c r="Z151" i="2"/>
  <c r="AP151" i="2"/>
  <c r="BF151" i="2"/>
  <c r="Q152" i="2"/>
  <c r="AG152" i="2"/>
  <c r="AW152" i="2"/>
  <c r="BM152" i="2"/>
  <c r="T153" i="2"/>
  <c r="AJ153" i="2"/>
  <c r="AZ153" i="2"/>
  <c r="G154" i="2"/>
  <c r="W154" i="2"/>
  <c r="AM154" i="2"/>
  <c r="BC154" i="2"/>
  <c r="N155" i="2"/>
  <c r="AD155" i="2"/>
  <c r="AT155" i="2"/>
  <c r="BJ155" i="2"/>
  <c r="U156" i="2"/>
  <c r="AK156" i="2"/>
  <c r="BA156" i="2"/>
  <c r="H157" i="2"/>
  <c r="X157" i="2"/>
  <c r="AN157" i="2"/>
  <c r="BD157" i="2"/>
  <c r="K158" i="2"/>
  <c r="AA158" i="2"/>
  <c r="AQ158" i="2"/>
  <c r="BG158" i="2"/>
  <c r="R159" i="2"/>
  <c r="AH159" i="2"/>
  <c r="AX159" i="2"/>
  <c r="I160" i="2"/>
  <c r="Y160" i="2"/>
  <c r="AO160" i="2"/>
  <c r="BE160" i="2"/>
  <c r="L161" i="2"/>
  <c r="AB161" i="2"/>
  <c r="AR161" i="2"/>
  <c r="BH161" i="2"/>
  <c r="O162" i="2"/>
  <c r="AE162" i="2"/>
  <c r="AU162" i="2"/>
  <c r="BK162" i="2"/>
  <c r="V163" i="2"/>
  <c r="AL163" i="2"/>
  <c r="BB163" i="2"/>
  <c r="M164" i="2"/>
  <c r="AC164" i="2"/>
  <c r="AS164" i="2"/>
  <c r="BI164" i="2"/>
  <c r="P165" i="2"/>
  <c r="AF165" i="2"/>
  <c r="AV165" i="2"/>
  <c r="BL165" i="2"/>
  <c r="S166" i="2"/>
  <c r="AI166" i="2"/>
  <c r="AY166" i="2"/>
  <c r="J167" i="2"/>
  <c r="Z167" i="2"/>
  <c r="AP167" i="2"/>
  <c r="BF167" i="2"/>
  <c r="R168" i="3"/>
  <c r="R168" i="2" s="1"/>
  <c r="R169" i="2"/>
  <c r="AH168" i="3"/>
  <c r="AH168" i="2" s="1"/>
  <c r="AH169" i="2"/>
  <c r="AX168" i="3"/>
  <c r="AX168" i="2" s="1"/>
  <c r="AX169" i="2"/>
  <c r="I170" i="2"/>
  <c r="Y170" i="2"/>
  <c r="AO170" i="2"/>
  <c r="BE170" i="2"/>
  <c r="L171" i="2"/>
  <c r="AB171" i="2"/>
  <c r="AR171" i="2"/>
  <c r="BH171" i="2"/>
  <c r="O172" i="2"/>
  <c r="AE172" i="2"/>
  <c r="AU172" i="2"/>
  <c r="BK172" i="2"/>
  <c r="V173" i="2"/>
  <c r="AL173" i="2"/>
  <c r="BB173" i="2"/>
  <c r="M174" i="2"/>
  <c r="AC174" i="2"/>
  <c r="AS174" i="2"/>
  <c r="BI174" i="2"/>
  <c r="P175" i="2"/>
  <c r="AF175" i="2"/>
  <c r="AV175" i="2"/>
  <c r="BL175" i="2"/>
  <c r="S176" i="2"/>
  <c r="AI176" i="2"/>
  <c r="AY176" i="2"/>
  <c r="J177" i="2"/>
  <c r="Z177" i="2"/>
  <c r="AP177" i="2"/>
  <c r="BF177" i="2"/>
  <c r="Q178" i="2"/>
  <c r="AG178" i="2"/>
  <c r="AW178" i="2"/>
  <c r="BM178" i="2"/>
  <c r="T179" i="2"/>
  <c r="AJ179" i="2"/>
  <c r="AZ179" i="2"/>
  <c r="G180" i="2"/>
  <c r="W180" i="2"/>
  <c r="AM180" i="2"/>
  <c r="BC180" i="2"/>
  <c r="N181" i="2"/>
  <c r="AD181" i="2"/>
  <c r="AT181" i="2"/>
  <c r="BJ181" i="2"/>
  <c r="U182" i="2"/>
  <c r="AK182" i="2"/>
  <c r="BA182" i="2"/>
  <c r="H183" i="2"/>
  <c r="X183" i="2"/>
  <c r="AN183" i="2"/>
  <c r="BD183" i="2"/>
  <c r="K184" i="2"/>
  <c r="AA184" i="2"/>
  <c r="AQ184" i="2"/>
  <c r="BG184" i="2"/>
  <c r="R185" i="2"/>
  <c r="AH185" i="2"/>
  <c r="AX185" i="2"/>
  <c r="I186" i="2"/>
  <c r="Y186" i="2"/>
  <c r="AO186" i="2"/>
  <c r="BE186" i="2"/>
  <c r="L187" i="2"/>
  <c r="AB187" i="2"/>
  <c r="AR187" i="2"/>
  <c r="BH187" i="2"/>
  <c r="O188" i="2"/>
  <c r="AE188" i="2"/>
  <c r="AU188" i="2"/>
  <c r="BK188" i="2"/>
  <c r="V189" i="2"/>
  <c r="AL189" i="2"/>
  <c r="BB189" i="2"/>
  <c r="M190" i="2"/>
  <c r="AC190" i="2"/>
  <c r="AS190" i="2"/>
  <c r="BI190" i="2"/>
  <c r="P191" i="2"/>
  <c r="AF191" i="2"/>
  <c r="AV191" i="2"/>
  <c r="BL191" i="2"/>
  <c r="S192" i="2"/>
  <c r="AI192" i="2"/>
  <c r="AY192" i="2"/>
  <c r="J193" i="2"/>
  <c r="Z193" i="2"/>
  <c r="AP193" i="2"/>
  <c r="BF193" i="2"/>
  <c r="Q194" i="2"/>
  <c r="AG194" i="2"/>
  <c r="AW194" i="2"/>
  <c r="BM194" i="2"/>
  <c r="T195" i="2"/>
  <c r="AJ195" i="2"/>
  <c r="AZ195" i="2"/>
  <c r="G196" i="2"/>
  <c r="W196" i="2"/>
  <c r="AM196" i="2"/>
  <c r="BC196" i="2"/>
  <c r="N197" i="2"/>
  <c r="AD197" i="2"/>
  <c r="AT197" i="2"/>
  <c r="BJ197" i="2"/>
  <c r="U198" i="2"/>
  <c r="AK198" i="2"/>
  <c r="BA198" i="2"/>
  <c r="H199" i="2"/>
  <c r="X199" i="2"/>
  <c r="AN199" i="2"/>
  <c r="BD199" i="2"/>
  <c r="K200" i="2"/>
  <c r="AA200" i="2"/>
  <c r="AQ200" i="2"/>
  <c r="BG200" i="2"/>
  <c r="R201" i="2"/>
  <c r="AH201" i="2"/>
  <c r="AX201" i="2"/>
  <c r="I202" i="2"/>
  <c r="Y202" i="2"/>
  <c r="AO202" i="2"/>
  <c r="BE202" i="2"/>
  <c r="L203" i="2"/>
  <c r="AB203" i="2"/>
  <c r="AR203" i="2"/>
  <c r="BH203" i="2"/>
  <c r="O204" i="2"/>
  <c r="AE204" i="2"/>
  <c r="AU204" i="2"/>
  <c r="BK204" i="2"/>
  <c r="V205" i="2"/>
  <c r="AL205" i="2"/>
  <c r="BB205" i="2"/>
  <c r="M206" i="2"/>
  <c r="AC206" i="2"/>
  <c r="AS206" i="2"/>
  <c r="BI206" i="2"/>
  <c r="P207" i="2"/>
  <c r="AF207" i="2"/>
  <c r="AV207" i="2"/>
  <c r="BL207" i="2"/>
  <c r="S208" i="2"/>
  <c r="AI208" i="2"/>
  <c r="AY208" i="2"/>
  <c r="G209" i="3"/>
  <c r="G209" i="2" s="1"/>
  <c r="G210" i="2"/>
  <c r="W209" i="3"/>
  <c r="W209" i="2" s="1"/>
  <c r="W210" i="2"/>
  <c r="AM209" i="3"/>
  <c r="AM209" i="2" s="1"/>
  <c r="AM210" i="2"/>
  <c r="BC209" i="3"/>
  <c r="BC209" i="2" s="1"/>
  <c r="BC210" i="2"/>
  <c r="N211" i="2"/>
  <c r="AD211" i="2"/>
  <c r="AT211" i="2"/>
  <c r="BJ211" i="2"/>
  <c r="U212" i="2"/>
  <c r="AK212" i="2"/>
  <c r="BA212" i="2"/>
  <c r="H213" i="2"/>
  <c r="X213" i="2"/>
  <c r="AN213" i="2"/>
  <c r="BD213" i="2"/>
  <c r="K214" i="2"/>
  <c r="AA214" i="2"/>
  <c r="AQ214" i="2"/>
  <c r="BG214" i="2"/>
  <c r="R215" i="2"/>
  <c r="AH215" i="2"/>
  <c r="AX215" i="2"/>
  <c r="I216" i="2"/>
  <c r="Y216" i="2"/>
  <c r="AO216" i="2"/>
  <c r="BE216" i="2"/>
  <c r="L217" i="2"/>
  <c r="AB217" i="2"/>
  <c r="AR217" i="2"/>
  <c r="BH217" i="2"/>
  <c r="O218" i="2"/>
  <c r="AE218" i="2"/>
  <c r="AU218" i="2"/>
  <c r="BK218" i="2"/>
  <c r="V219" i="2"/>
  <c r="AL219" i="2"/>
  <c r="BB219" i="2"/>
  <c r="M220" i="2"/>
  <c r="AC220" i="2"/>
  <c r="AS220" i="2"/>
  <c r="BI220" i="2"/>
  <c r="P221" i="2"/>
  <c r="AF221" i="2"/>
  <c r="AV221" i="2"/>
  <c r="BL221" i="2"/>
  <c r="S222" i="2"/>
  <c r="AI222" i="2"/>
  <c r="AY222" i="2"/>
  <c r="J223" i="2"/>
  <c r="Z223" i="2"/>
  <c r="AP223" i="2"/>
  <c r="BF223" i="2"/>
  <c r="Q224" i="2"/>
  <c r="AG224" i="2"/>
  <c r="AW224" i="2"/>
  <c r="BM224" i="2"/>
  <c r="T225" i="2"/>
  <c r="AJ225" i="2"/>
  <c r="AZ225" i="2"/>
  <c r="G226" i="2"/>
  <c r="W226" i="2"/>
  <c r="AM226" i="2"/>
  <c r="BC226" i="2"/>
  <c r="N227" i="2"/>
  <c r="AD227" i="2"/>
  <c r="AT227" i="2"/>
  <c r="BJ227" i="2"/>
  <c r="U228" i="2"/>
  <c r="AK228" i="2"/>
  <c r="BA228" i="2"/>
  <c r="H229" i="2"/>
  <c r="X229" i="2"/>
  <c r="AN229" i="2"/>
  <c r="BD229" i="2"/>
  <c r="K230" i="2"/>
  <c r="AA230" i="2"/>
  <c r="AQ230" i="2"/>
  <c r="BG230" i="2"/>
  <c r="R231" i="2"/>
  <c r="AH231" i="2"/>
  <c r="AX231" i="2"/>
  <c r="I232" i="2"/>
  <c r="Y232" i="2"/>
  <c r="AO232" i="2"/>
  <c r="BE232" i="2"/>
  <c r="L233" i="2"/>
  <c r="AB233" i="2"/>
  <c r="AR233" i="2"/>
  <c r="BH233" i="2"/>
  <c r="O234" i="2"/>
  <c r="AE234" i="2"/>
  <c r="AU234" i="2"/>
  <c r="G235" i="2"/>
  <c r="AC235" i="2"/>
  <c r="AA235" i="2"/>
  <c r="AQ235" i="2"/>
  <c r="BG235" i="2"/>
  <c r="R236" i="2"/>
  <c r="AH236" i="2"/>
  <c r="AX236" i="2"/>
  <c r="I237" i="2"/>
  <c r="Y237" i="2"/>
  <c r="AO237" i="2"/>
  <c r="BE237" i="2"/>
  <c r="L238" i="2"/>
  <c r="AB238" i="2"/>
  <c r="AR238" i="2"/>
  <c r="BH238" i="2"/>
  <c r="O239" i="2"/>
  <c r="AE239" i="2"/>
  <c r="AU239" i="2"/>
  <c r="BK239" i="2"/>
  <c r="V240" i="2"/>
  <c r="AL240" i="2"/>
  <c r="BB240" i="2"/>
  <c r="M241" i="2"/>
  <c r="AC241" i="2"/>
  <c r="AS241" i="2"/>
  <c r="BI241" i="2"/>
  <c r="P242" i="2"/>
  <c r="AF242" i="2"/>
  <c r="AV242" i="2"/>
  <c r="BL242" i="2"/>
  <c r="S243" i="2"/>
  <c r="AI243" i="2"/>
  <c r="AY243" i="2"/>
  <c r="J244" i="2"/>
  <c r="Z244" i="2"/>
  <c r="AP244" i="2"/>
  <c r="BF244" i="2"/>
  <c r="Q245" i="2"/>
  <c r="AG245" i="2"/>
  <c r="AW245" i="2"/>
  <c r="BM245" i="2"/>
  <c r="T246" i="2"/>
  <c r="AJ246" i="2"/>
  <c r="AZ246" i="2"/>
  <c r="G247" i="2"/>
  <c r="W247" i="2"/>
  <c r="AM247" i="2"/>
  <c r="BC247" i="2"/>
  <c r="N248" i="2"/>
  <c r="AD248" i="2"/>
  <c r="AT248" i="2"/>
  <c r="BJ248" i="2"/>
  <c r="U249" i="2"/>
  <c r="AK249" i="2"/>
  <c r="BA249" i="2"/>
  <c r="I250" i="3"/>
  <c r="I250" i="2" s="1"/>
  <c r="I251" i="2"/>
  <c r="Y250" i="3"/>
  <c r="Y250" i="2" s="1"/>
  <c r="Y251" i="2"/>
  <c r="AO250" i="3"/>
  <c r="AO250" i="2" s="1"/>
  <c r="AO251" i="2"/>
  <c r="BE250" i="3"/>
  <c r="BE250" i="2" s="1"/>
  <c r="BE251" i="2"/>
  <c r="L252" i="2"/>
  <c r="AB252" i="2"/>
  <c r="AR252" i="2"/>
  <c r="BH252" i="2"/>
  <c r="O253" i="2"/>
  <c r="AE253" i="2"/>
  <c r="AU253" i="2"/>
  <c r="BK253" i="2"/>
  <c r="V254" i="2"/>
  <c r="AL254" i="2"/>
  <c r="BB254" i="2"/>
  <c r="M255" i="2"/>
  <c r="AC255" i="2"/>
  <c r="AS255" i="2"/>
  <c r="BI255" i="2"/>
  <c r="P256" i="2"/>
  <c r="AF256" i="2"/>
  <c r="AV256" i="2"/>
  <c r="BL256" i="2"/>
  <c r="S257" i="2"/>
  <c r="AI257" i="2"/>
  <c r="AY257" i="2"/>
  <c r="J258" i="2"/>
  <c r="Z258" i="2"/>
  <c r="AP258" i="2"/>
  <c r="BF258" i="2"/>
  <c r="Q259" i="2"/>
  <c r="AG259" i="2"/>
  <c r="AW259" i="2"/>
  <c r="BM259" i="2"/>
  <c r="T260" i="2"/>
  <c r="AJ260" i="2"/>
  <c r="AZ260" i="2"/>
  <c r="G261" i="2"/>
  <c r="W261" i="2"/>
  <c r="AM261" i="2"/>
  <c r="BC261" i="2"/>
  <c r="N262" i="2"/>
  <c r="AD262" i="2"/>
  <c r="AT262" i="2"/>
  <c r="BJ262" i="2"/>
  <c r="U263" i="2"/>
  <c r="AK263" i="2"/>
  <c r="BA263" i="2"/>
  <c r="H264" i="2"/>
  <c r="X264" i="2"/>
  <c r="AN264" i="2"/>
  <c r="BD264" i="2"/>
  <c r="K265" i="2"/>
  <c r="AA265" i="2"/>
  <c r="AQ265" i="2"/>
  <c r="BG265" i="2"/>
  <c r="R266" i="2"/>
  <c r="AH266" i="2"/>
  <c r="AX266" i="2"/>
  <c r="I267" i="2"/>
  <c r="Y267" i="2"/>
  <c r="AO267" i="2"/>
  <c r="BE267" i="2"/>
  <c r="L268" i="2"/>
  <c r="AB268" i="2"/>
  <c r="AR268" i="2"/>
  <c r="BH268" i="2"/>
  <c r="O269" i="2"/>
  <c r="AE269" i="2"/>
  <c r="AU269" i="2"/>
  <c r="BK269" i="2"/>
  <c r="V270" i="2"/>
  <c r="AL270" i="2"/>
  <c r="BB270" i="2"/>
  <c r="M271" i="2"/>
  <c r="AC271" i="2"/>
  <c r="AS271" i="2"/>
  <c r="BI271" i="2"/>
  <c r="P272" i="2"/>
  <c r="AF272" i="2"/>
  <c r="AV272" i="2"/>
  <c r="BL272" i="2"/>
  <c r="S273" i="2"/>
  <c r="AI273" i="2"/>
  <c r="AY273" i="2"/>
  <c r="J274" i="2"/>
  <c r="Z274" i="2"/>
  <c r="AP274" i="2"/>
  <c r="BF274" i="2"/>
  <c r="Q275" i="2"/>
  <c r="AG275" i="2"/>
  <c r="AW275" i="2"/>
  <c r="BM275" i="2"/>
  <c r="T276" i="2"/>
  <c r="AJ276" i="2"/>
  <c r="AZ276" i="2"/>
  <c r="G277" i="2"/>
  <c r="W277" i="2"/>
  <c r="AM277" i="2"/>
  <c r="BC277" i="2"/>
  <c r="N278" i="2"/>
  <c r="AD278" i="2"/>
  <c r="AT278" i="2"/>
  <c r="BJ278" i="2"/>
  <c r="U279" i="2"/>
  <c r="AK279" i="2"/>
  <c r="BA279" i="2"/>
  <c r="H280" i="2"/>
  <c r="X280" i="2"/>
  <c r="AN280" i="2"/>
  <c r="BD280" i="2"/>
  <c r="K281" i="2"/>
  <c r="AA281" i="2"/>
  <c r="AQ281" i="2"/>
  <c r="BG281" i="2"/>
  <c r="R282" i="2"/>
  <c r="AH282" i="2"/>
  <c r="AX282" i="2"/>
  <c r="I283" i="2"/>
  <c r="Y283" i="2"/>
  <c r="AO283" i="2"/>
  <c r="BE283" i="2"/>
  <c r="L284" i="2"/>
  <c r="AB284" i="2"/>
  <c r="AR284" i="2"/>
  <c r="BH284" i="2"/>
  <c r="O285" i="2"/>
  <c r="AE285" i="2"/>
  <c r="AU285" i="2"/>
  <c r="BK285" i="2"/>
  <c r="V286" i="2"/>
  <c r="AL286" i="2"/>
  <c r="BB286" i="2"/>
  <c r="M287" i="2"/>
  <c r="AC287" i="2"/>
  <c r="AS287" i="2"/>
  <c r="BI287" i="2"/>
  <c r="P288" i="2"/>
  <c r="AF288" i="2"/>
  <c r="AV288" i="2"/>
  <c r="BL288" i="2"/>
  <c r="S289" i="2"/>
  <c r="AI289" i="2"/>
  <c r="AY289" i="2"/>
  <c r="J290" i="2"/>
  <c r="Z290" i="2"/>
  <c r="AP290" i="2"/>
  <c r="BF290" i="2"/>
  <c r="O292" i="3"/>
  <c r="O292" i="2" s="1"/>
  <c r="O293" i="2"/>
  <c r="AE292" i="3"/>
  <c r="AE292" i="2" s="1"/>
  <c r="AE293" i="2"/>
  <c r="AU292" i="3"/>
  <c r="AU292" i="2" s="1"/>
  <c r="AU293" i="2"/>
  <c r="BK292" i="3"/>
  <c r="BK292" i="2" s="1"/>
  <c r="BK293" i="2"/>
  <c r="V294" i="2"/>
  <c r="AL294" i="2"/>
  <c r="BB294" i="2"/>
  <c r="M295" i="2"/>
  <c r="AC295" i="2"/>
  <c r="AS295" i="2"/>
  <c r="BI295" i="2"/>
  <c r="P296" i="2"/>
  <c r="AF296" i="2"/>
  <c r="AV296" i="2"/>
  <c r="BL296" i="2"/>
  <c r="S297" i="2"/>
  <c r="AI297" i="2"/>
  <c r="AY297" i="2"/>
  <c r="J298" i="2"/>
  <c r="Z298" i="2"/>
  <c r="AP298" i="2"/>
  <c r="BF298" i="2"/>
  <c r="Q299" i="2"/>
  <c r="AG299" i="2"/>
  <c r="AW299" i="2"/>
  <c r="BM299" i="2"/>
  <c r="T300" i="2"/>
  <c r="AJ300" i="2"/>
  <c r="AZ300" i="2"/>
  <c r="G301" i="2"/>
  <c r="W301" i="2"/>
  <c r="AM301" i="2"/>
  <c r="BC301" i="2"/>
  <c r="N302" i="2"/>
  <c r="AD302" i="2"/>
  <c r="AT302" i="2"/>
  <c r="BJ302" i="2"/>
  <c r="U303" i="2"/>
  <c r="AK303" i="2"/>
  <c r="BA303" i="2"/>
  <c r="H304" i="2"/>
  <c r="X304" i="2"/>
  <c r="AN304" i="2"/>
  <c r="BD304" i="2"/>
  <c r="K305" i="2"/>
  <c r="AA305" i="2"/>
  <c r="AQ305" i="2"/>
  <c r="BG305" i="2"/>
  <c r="R306" i="2"/>
  <c r="AH306" i="2"/>
  <c r="AX306" i="2"/>
  <c r="I307" i="2"/>
  <c r="Y307" i="2"/>
  <c r="AO307" i="2"/>
  <c r="BE307" i="2"/>
  <c r="L308" i="2"/>
  <c r="AB308" i="2"/>
  <c r="AR308" i="2"/>
  <c r="BH308" i="2"/>
  <c r="O309" i="2"/>
  <c r="AE309" i="2"/>
  <c r="AU309" i="2"/>
  <c r="BK309" i="2"/>
  <c r="V310" i="2"/>
  <c r="AL310" i="2"/>
  <c r="BB310" i="2"/>
  <c r="M311" i="2"/>
  <c r="AC311" i="2"/>
  <c r="AS311" i="2"/>
  <c r="BI311" i="2"/>
  <c r="P312" i="2"/>
  <c r="AF312" i="2"/>
  <c r="AV312" i="2"/>
  <c r="BL312" i="2"/>
  <c r="S313" i="2"/>
  <c r="AI313" i="2"/>
  <c r="AY313" i="2"/>
  <c r="J314" i="2"/>
  <c r="Z314" i="2"/>
  <c r="AP314" i="2"/>
  <c r="BF314" i="2"/>
  <c r="Q315" i="2"/>
  <c r="AG315" i="2"/>
  <c r="AW315" i="2"/>
  <c r="BM315" i="2"/>
  <c r="T316" i="2"/>
  <c r="AJ316" i="2"/>
  <c r="AZ316" i="2"/>
  <c r="G317" i="2"/>
  <c r="W317" i="2"/>
  <c r="AM317" i="2"/>
  <c r="BC317" i="2"/>
  <c r="N318" i="2"/>
  <c r="AD318" i="2"/>
  <c r="AT318" i="2"/>
  <c r="BJ318" i="2"/>
  <c r="U319" i="2"/>
  <c r="AK319" i="2"/>
  <c r="BA319" i="2"/>
  <c r="H320" i="2"/>
  <c r="X320" i="2"/>
  <c r="AN320" i="2"/>
  <c r="BD320" i="2"/>
  <c r="K321" i="2"/>
  <c r="AA321" i="2"/>
  <c r="AQ321" i="2"/>
  <c r="BG321" i="2"/>
  <c r="R322" i="2"/>
  <c r="AH322" i="2"/>
  <c r="AX322" i="2"/>
  <c r="I323" i="2"/>
  <c r="Y323" i="2"/>
  <c r="AO323" i="2"/>
  <c r="BE323" i="2"/>
  <c r="L324" i="2"/>
  <c r="AB324" i="2"/>
  <c r="AR324" i="2"/>
  <c r="BH324" i="2"/>
  <c r="O325" i="2"/>
  <c r="AE325" i="2"/>
  <c r="AU325" i="2"/>
  <c r="BK325" i="2"/>
  <c r="Y326" i="2"/>
  <c r="AT326" i="2"/>
  <c r="G327" i="2"/>
  <c r="AM327" i="2"/>
  <c r="G236" i="2"/>
  <c r="W236" i="2"/>
  <c r="AM236" i="2"/>
  <c r="BC236" i="2"/>
  <c r="N237" i="2"/>
  <c r="AD237" i="2"/>
  <c r="AT237" i="2"/>
  <c r="BJ237" i="2"/>
  <c r="U238" i="2"/>
  <c r="AK238" i="2"/>
  <c r="BA238" i="2"/>
  <c r="H239" i="2"/>
  <c r="X239" i="2"/>
  <c r="AN239" i="2"/>
  <c r="BD239" i="2"/>
  <c r="K240" i="2"/>
  <c r="AA240" i="2"/>
  <c r="AQ240" i="2"/>
  <c r="BG240" i="2"/>
  <c r="R241" i="2"/>
  <c r="AH241" i="2"/>
  <c r="AX241" i="2"/>
  <c r="I242" i="2"/>
  <c r="Y242" i="2"/>
  <c r="AO242" i="2"/>
  <c r="BE242" i="2"/>
  <c r="L243" i="2"/>
  <c r="AB243" i="2"/>
  <c r="AR243" i="2"/>
  <c r="BH243" i="2"/>
  <c r="O244" i="2"/>
  <c r="AE244" i="2"/>
  <c r="AU244" i="2"/>
  <c r="BK244" i="2"/>
  <c r="V245" i="2"/>
  <c r="AL245" i="2"/>
  <c r="BB245" i="2"/>
  <c r="M246" i="2"/>
  <c r="AC246" i="2"/>
  <c r="AS246" i="2"/>
  <c r="BI246" i="2"/>
  <c r="P247" i="2"/>
  <c r="AF247" i="2"/>
  <c r="AV247" i="2"/>
  <c r="BL247" i="2"/>
  <c r="S248" i="2"/>
  <c r="AI248" i="2"/>
  <c r="AY248" i="2"/>
  <c r="J249" i="2"/>
  <c r="Z249" i="2"/>
  <c r="AP249" i="2"/>
  <c r="BF249" i="2"/>
  <c r="R250" i="3"/>
  <c r="R250" i="2" s="1"/>
  <c r="R251" i="2"/>
  <c r="AH250" i="3"/>
  <c r="AH250" i="2" s="1"/>
  <c r="AH251" i="2"/>
  <c r="AX250" i="3"/>
  <c r="AX250" i="2" s="1"/>
  <c r="AX251" i="2"/>
  <c r="I252" i="2"/>
  <c r="Y252" i="2"/>
  <c r="AO252" i="2"/>
  <c r="BE252" i="2"/>
  <c r="L253" i="2"/>
  <c r="AB253" i="2"/>
  <c r="AR253" i="2"/>
  <c r="BH253" i="2"/>
  <c r="O254" i="2"/>
  <c r="AE254" i="2"/>
  <c r="AU254" i="2"/>
  <c r="BK254" i="2"/>
  <c r="V255" i="2"/>
  <c r="AL255" i="2"/>
  <c r="BB255" i="2"/>
  <c r="M256" i="2"/>
  <c r="AC256" i="2"/>
  <c r="AS256" i="2"/>
  <c r="BI256" i="2"/>
  <c r="P257" i="2"/>
  <c r="AF257" i="2"/>
  <c r="AV257" i="2"/>
  <c r="BL257" i="2"/>
  <c r="S258" i="2"/>
  <c r="AI258" i="2"/>
  <c r="AY258" i="2"/>
  <c r="J259" i="2"/>
  <c r="Z259" i="2"/>
  <c r="AP259" i="2"/>
  <c r="BF259" i="2"/>
  <c r="Q260" i="2"/>
  <c r="AG260" i="2"/>
  <c r="AW260" i="2"/>
  <c r="BM260" i="2"/>
  <c r="T261" i="2"/>
  <c r="AJ261" i="2"/>
  <c r="AZ261" i="2"/>
  <c r="G262" i="2"/>
  <c r="W262" i="2"/>
  <c r="AM262" i="2"/>
  <c r="BC262" i="2"/>
  <c r="N263" i="2"/>
  <c r="AD263" i="2"/>
  <c r="AT263" i="2"/>
  <c r="BJ263" i="2"/>
  <c r="U264" i="2"/>
  <c r="AK264" i="2"/>
  <c r="BA264" i="2"/>
  <c r="H265" i="2"/>
  <c r="X265" i="2"/>
  <c r="AN265" i="2"/>
  <c r="BD265" i="2"/>
  <c r="K266" i="2"/>
  <c r="AA266" i="2"/>
  <c r="AQ266" i="2"/>
  <c r="BG266" i="2"/>
  <c r="R267" i="2"/>
  <c r="AH267" i="2"/>
  <c r="AX267" i="2"/>
  <c r="I268" i="2"/>
  <c r="Y268" i="2"/>
  <c r="AO268" i="2"/>
  <c r="BE268" i="2"/>
  <c r="L269" i="2"/>
  <c r="AB269" i="2"/>
  <c r="AR269" i="2"/>
  <c r="BH269" i="2"/>
  <c r="O270" i="2"/>
  <c r="AE270" i="2"/>
  <c r="AU270" i="2"/>
  <c r="BK270" i="2"/>
  <c r="V271" i="2"/>
  <c r="AL271" i="2"/>
  <c r="BB271" i="2"/>
  <c r="M272" i="2"/>
  <c r="AC272" i="2"/>
  <c r="AS272" i="2"/>
  <c r="BI272" i="2"/>
  <c r="P273" i="2"/>
  <c r="AF273" i="2"/>
  <c r="AV273" i="2"/>
  <c r="BL273" i="2"/>
  <c r="S274" i="2"/>
  <c r="AI274" i="2"/>
  <c r="AY274" i="2"/>
  <c r="J275" i="2"/>
  <c r="Z275" i="2"/>
  <c r="AP275" i="2"/>
  <c r="BF275" i="2"/>
  <c r="Q276" i="2"/>
  <c r="AG276" i="2"/>
  <c r="AW276" i="2"/>
  <c r="BM276" i="2"/>
  <c r="T277" i="2"/>
  <c r="AJ277" i="2"/>
  <c r="AZ277" i="2"/>
  <c r="G278" i="2"/>
  <c r="W278" i="2"/>
  <c r="AM278" i="2"/>
  <c r="BC278" i="2"/>
  <c r="N279" i="2"/>
  <c r="AD279" i="2"/>
  <c r="AT279" i="2"/>
  <c r="BJ279" i="2"/>
  <c r="U280" i="2"/>
  <c r="AK280" i="2"/>
  <c r="BA280" i="2"/>
  <c r="H281" i="2"/>
  <c r="X281" i="2"/>
  <c r="AN281" i="2"/>
  <c r="BD281" i="2"/>
  <c r="K282" i="2"/>
  <c r="AA282" i="2"/>
  <c r="AQ282" i="2"/>
  <c r="BG282" i="2"/>
  <c r="R283" i="2"/>
  <c r="AH283" i="2"/>
  <c r="AX283" i="2"/>
  <c r="I284" i="2"/>
  <c r="Y284" i="2"/>
  <c r="AO284" i="2"/>
  <c r="BE284" i="2"/>
  <c r="L285" i="2"/>
  <c r="AB285" i="2"/>
  <c r="AR285" i="2"/>
  <c r="BH285" i="2"/>
  <c r="O286" i="2"/>
  <c r="AE286" i="2"/>
  <c r="AU286" i="2"/>
  <c r="BK286" i="2"/>
  <c r="V287" i="2"/>
  <c r="AL287" i="2"/>
  <c r="BB287" i="2"/>
  <c r="M288" i="2"/>
  <c r="AC288" i="2"/>
  <c r="AS288" i="2"/>
  <c r="BI288" i="2"/>
  <c r="P289" i="2"/>
  <c r="AF289" i="2"/>
  <c r="AV289" i="2"/>
  <c r="BL289" i="2"/>
  <c r="S290" i="2"/>
  <c r="AI290" i="2"/>
  <c r="AY290" i="2"/>
  <c r="H292" i="3"/>
  <c r="H292" i="2" s="1"/>
  <c r="H293" i="2"/>
  <c r="X292" i="3"/>
  <c r="X292" i="2" s="1"/>
  <c r="X293" i="2"/>
  <c r="AN292" i="3"/>
  <c r="AN292" i="2" s="1"/>
  <c r="AN293" i="2"/>
  <c r="BD292" i="3"/>
  <c r="BD292" i="2" s="1"/>
  <c r="BD293" i="2"/>
  <c r="K294" i="2"/>
  <c r="AA294" i="2"/>
  <c r="AQ294" i="2"/>
  <c r="BG294" i="2"/>
  <c r="R295" i="2"/>
  <c r="AH295" i="2"/>
  <c r="AX295" i="2"/>
  <c r="I296" i="2"/>
  <c r="Y296" i="2"/>
  <c r="AO296" i="2"/>
  <c r="BE296" i="2"/>
  <c r="L297" i="2"/>
  <c r="AB297" i="2"/>
  <c r="AR297" i="2"/>
  <c r="BH297" i="2"/>
  <c r="O298" i="2"/>
  <c r="AE298" i="2"/>
  <c r="AU298" i="2"/>
  <c r="BK298" i="2"/>
  <c r="V299" i="2"/>
  <c r="AL299" i="2"/>
  <c r="BB299" i="2"/>
  <c r="M300" i="2"/>
  <c r="AC300" i="2"/>
  <c r="AS300" i="2"/>
  <c r="BI300" i="2"/>
  <c r="P301" i="2"/>
  <c r="AF301" i="2"/>
  <c r="AV301" i="2"/>
  <c r="BL301" i="2"/>
  <c r="S302" i="2"/>
  <c r="AI302" i="2"/>
  <c r="AY302" i="2"/>
  <c r="J303" i="2"/>
  <c r="Z303" i="2"/>
  <c r="AP303" i="2"/>
  <c r="BF303" i="2"/>
  <c r="Q304" i="2"/>
  <c r="AG304" i="2"/>
  <c r="AW304" i="2"/>
  <c r="BM304" i="2"/>
  <c r="T305" i="2"/>
  <c r="AJ305" i="2"/>
  <c r="AZ305" i="2"/>
  <c r="G306" i="2"/>
  <c r="W306" i="2"/>
  <c r="AM306" i="2"/>
  <c r="BC306" i="2"/>
  <c r="N307" i="2"/>
  <c r="AD307" i="2"/>
  <c r="AT307" i="2"/>
  <c r="BJ307" i="2"/>
  <c r="U308" i="2"/>
  <c r="AK308" i="2"/>
  <c r="BA308" i="2"/>
  <c r="H309" i="2"/>
  <c r="X309" i="2"/>
  <c r="AN309" i="2"/>
  <c r="BD309" i="2"/>
  <c r="K310" i="2"/>
  <c r="AA310" i="2"/>
  <c r="AQ310" i="2"/>
  <c r="BG310" i="2"/>
  <c r="R311" i="2"/>
  <c r="AH311" i="2"/>
  <c r="AX311" i="2"/>
  <c r="I312" i="2"/>
  <c r="Y312" i="2"/>
  <c r="AO312" i="2"/>
  <c r="BE312" i="2"/>
  <c r="L313" i="2"/>
  <c r="AB313" i="2"/>
  <c r="AR313" i="2"/>
  <c r="BH313" i="2"/>
  <c r="O314" i="2"/>
  <c r="AE314" i="2"/>
  <c r="AU314" i="2"/>
  <c r="BK314" i="2"/>
  <c r="V315" i="2"/>
  <c r="AL315" i="2"/>
  <c r="BB315" i="2"/>
  <c r="M316" i="2"/>
  <c r="AC316" i="2"/>
  <c r="AS316" i="2"/>
  <c r="BI316" i="2"/>
  <c r="P317" i="2"/>
  <c r="AF317" i="2"/>
  <c r="AV317" i="2"/>
  <c r="BL317" i="2"/>
  <c r="S318" i="2"/>
  <c r="AI318" i="2"/>
  <c r="AY318" i="2"/>
  <c r="J319" i="2"/>
  <c r="Z319" i="2"/>
  <c r="AP319" i="2"/>
  <c r="BF319" i="2"/>
  <c r="Q320" i="2"/>
  <c r="AG320" i="2"/>
  <c r="AW320" i="2"/>
  <c r="BM320" i="2"/>
  <c r="T321" i="2"/>
  <c r="AJ321" i="2"/>
  <c r="AZ321" i="2"/>
  <c r="G322" i="2"/>
  <c r="W322" i="2"/>
  <c r="AM322" i="2"/>
  <c r="BC322" i="2"/>
  <c r="N323" i="2"/>
  <c r="AD323" i="2"/>
  <c r="AT323" i="2"/>
  <c r="BJ323" i="2"/>
  <c r="U324" i="2"/>
  <c r="AK324" i="2"/>
  <c r="BA324" i="2"/>
  <c r="H325" i="2"/>
  <c r="X325" i="2"/>
  <c r="AN325" i="2"/>
  <c r="BD325" i="2"/>
  <c r="K326" i="2"/>
  <c r="AF326" i="2"/>
  <c r="BA326" i="2"/>
  <c r="P327" i="2"/>
  <c r="AV327" i="2"/>
  <c r="AW235" i="2"/>
  <c r="BM235" i="2"/>
  <c r="T236" i="2"/>
  <c r="AJ236" i="2"/>
  <c r="AZ236" i="2"/>
  <c r="G237" i="2"/>
  <c r="W237" i="2"/>
  <c r="AM237" i="2"/>
  <c r="BC237" i="2"/>
  <c r="N238" i="2"/>
  <c r="AD238" i="2"/>
  <c r="AT238" i="2"/>
  <c r="BJ238" i="2"/>
  <c r="U239" i="2"/>
  <c r="AK239" i="2"/>
  <c r="BA239" i="2"/>
  <c r="H240" i="2"/>
  <c r="X240" i="2"/>
  <c r="AN240" i="2"/>
  <c r="BD240" i="2"/>
  <c r="K241" i="2"/>
  <c r="AA241" i="2"/>
  <c r="AQ241" i="2"/>
  <c r="BG241" i="2"/>
  <c r="R242" i="2"/>
  <c r="AH242" i="2"/>
  <c r="AX242" i="2"/>
  <c r="I243" i="2"/>
  <c r="Y243" i="2"/>
  <c r="AO243" i="2"/>
  <c r="BE243" i="2"/>
  <c r="L244" i="2"/>
  <c r="AB244" i="2"/>
  <c r="AR244" i="2"/>
  <c r="BH244" i="2"/>
  <c r="O245" i="2"/>
  <c r="AE245" i="2"/>
  <c r="AU245" i="2"/>
  <c r="BK245" i="2"/>
  <c r="V246" i="2"/>
  <c r="AL246" i="2"/>
  <c r="BB246" i="2"/>
  <c r="M247" i="2"/>
  <c r="AC247" i="2"/>
  <c r="AS247" i="2"/>
  <c r="BI247" i="2"/>
  <c r="P248" i="2"/>
  <c r="AF248" i="2"/>
  <c r="AV248" i="2"/>
  <c r="BL248" i="2"/>
  <c r="S249" i="2"/>
  <c r="AI249" i="2"/>
  <c r="AY249" i="2"/>
  <c r="G250" i="3"/>
  <c r="G250" i="2" s="1"/>
  <c r="G251" i="2"/>
  <c r="W250" i="3"/>
  <c r="W250" i="2" s="1"/>
  <c r="W251" i="2"/>
  <c r="AM250" i="3"/>
  <c r="AM250" i="2" s="1"/>
  <c r="AM251" i="2"/>
  <c r="BC250" i="3"/>
  <c r="BC250" i="2" s="1"/>
  <c r="BC251" i="2"/>
  <c r="N252" i="2"/>
  <c r="AD252" i="2"/>
  <c r="AT252" i="2"/>
  <c r="BJ252" i="2"/>
  <c r="U253" i="2"/>
  <c r="AK253" i="2"/>
  <c r="BA253" i="2"/>
  <c r="H254" i="2"/>
  <c r="X254" i="2"/>
  <c r="AN254" i="2"/>
  <c r="BD254" i="2"/>
  <c r="K255" i="2"/>
  <c r="AA255" i="2"/>
  <c r="AQ255" i="2"/>
  <c r="BG255" i="2"/>
  <c r="R256" i="2"/>
  <c r="AH256" i="2"/>
  <c r="AX256" i="2"/>
  <c r="I257" i="2"/>
  <c r="Y257" i="2"/>
  <c r="AO257" i="2"/>
  <c r="BE257" i="2"/>
  <c r="L258" i="2"/>
  <c r="AB258" i="2"/>
  <c r="AR258" i="2"/>
  <c r="BH258" i="2"/>
  <c r="O259" i="2"/>
  <c r="AE259" i="2"/>
  <c r="AU259" i="2"/>
  <c r="BK259" i="2"/>
  <c r="V260" i="2"/>
  <c r="AL260" i="2"/>
  <c r="BB260" i="2"/>
  <c r="M261" i="2"/>
  <c r="AC261" i="2"/>
  <c r="AS261" i="2"/>
  <c r="BI261" i="2"/>
  <c r="P262" i="2"/>
  <c r="AF262" i="2"/>
  <c r="AV262" i="2"/>
  <c r="BL262" i="2"/>
  <c r="S263" i="2"/>
  <c r="AI263" i="2"/>
  <c r="AY263" i="2"/>
  <c r="J264" i="2"/>
  <c r="Z264" i="2"/>
  <c r="AP264" i="2"/>
  <c r="BF264" i="2"/>
  <c r="Q265" i="2"/>
  <c r="AG265" i="2"/>
  <c r="AW265" i="2"/>
  <c r="BM265" i="2"/>
  <c r="T266" i="2"/>
  <c r="AJ266" i="2"/>
  <c r="AZ266" i="2"/>
  <c r="G267" i="2"/>
  <c r="W267" i="2"/>
  <c r="AM267" i="2"/>
  <c r="BC267" i="2"/>
  <c r="N268" i="2"/>
  <c r="AD268" i="2"/>
  <c r="AT268" i="2"/>
  <c r="BJ268" i="2"/>
  <c r="U269" i="2"/>
  <c r="AK269" i="2"/>
  <c r="BA269" i="2"/>
  <c r="H270" i="2"/>
  <c r="X270" i="2"/>
  <c r="AN270" i="2"/>
  <c r="BD270" i="2"/>
  <c r="K271" i="2"/>
  <c r="AA271" i="2"/>
  <c r="AQ271" i="2"/>
  <c r="BG271" i="2"/>
  <c r="R272" i="2"/>
  <c r="AH272" i="2"/>
  <c r="AX272" i="2"/>
  <c r="I273" i="2"/>
  <c r="Y273" i="2"/>
  <c r="AO273" i="2"/>
  <c r="BE273" i="2"/>
  <c r="L274" i="2"/>
  <c r="AB274" i="2"/>
  <c r="AR274" i="2"/>
  <c r="BH274" i="2"/>
  <c r="O275" i="2"/>
  <c r="AE275" i="2"/>
  <c r="AU275" i="2"/>
  <c r="BK275" i="2"/>
  <c r="V276" i="2"/>
  <c r="AL276" i="2"/>
  <c r="BB276" i="2"/>
  <c r="M277" i="2"/>
  <c r="AC277" i="2"/>
  <c r="AS277" i="2"/>
  <c r="BI277" i="2"/>
  <c r="P278" i="2"/>
  <c r="AF278" i="2"/>
  <c r="AV278" i="2"/>
  <c r="BL278" i="2"/>
  <c r="S279" i="2"/>
  <c r="AI279" i="2"/>
  <c r="AY279" i="2"/>
  <c r="J280" i="2"/>
  <c r="Z280" i="2"/>
  <c r="AP280" i="2"/>
  <c r="BF280" i="2"/>
  <c r="Q281" i="2"/>
  <c r="AG281" i="2"/>
  <c r="AW281" i="2"/>
  <c r="BM281" i="2"/>
  <c r="T282" i="2"/>
  <c r="AJ282" i="2"/>
  <c r="AZ282" i="2"/>
  <c r="G283" i="2"/>
  <c r="W283" i="2"/>
  <c r="AM283" i="2"/>
  <c r="BC283" i="2"/>
  <c r="N284" i="2"/>
  <c r="AD284" i="2"/>
  <c r="AT284" i="2"/>
  <c r="BJ284" i="2"/>
  <c r="U285" i="2"/>
  <c r="AK285" i="2"/>
  <c r="BA285" i="2"/>
  <c r="H286" i="2"/>
  <c r="X286" i="2"/>
  <c r="AN286" i="2"/>
  <c r="BD286" i="2"/>
  <c r="K287" i="2"/>
  <c r="AA287" i="2"/>
  <c r="AQ287" i="2"/>
  <c r="BG287" i="2"/>
  <c r="R288" i="2"/>
  <c r="AH288" i="2"/>
  <c r="AX288" i="2"/>
  <c r="I289" i="2"/>
  <c r="Y289" i="2"/>
  <c r="AO289" i="2"/>
  <c r="BE289" i="2"/>
  <c r="L290" i="2"/>
  <c r="AB290" i="2"/>
  <c r="AR290" i="2"/>
  <c r="BH290" i="2"/>
  <c r="Q292" i="3"/>
  <c r="Q292" i="2" s="1"/>
  <c r="Q293" i="2"/>
  <c r="AG292" i="3"/>
  <c r="AG292" i="2" s="1"/>
  <c r="AG293" i="2"/>
  <c r="AW292" i="3"/>
  <c r="AW292" i="2" s="1"/>
  <c r="AW293" i="2"/>
  <c r="BM292" i="3"/>
  <c r="BM292" i="2" s="1"/>
  <c r="BM293" i="2"/>
  <c r="T294" i="2"/>
  <c r="AJ294" i="2"/>
  <c r="AZ294" i="2"/>
  <c r="G295" i="2"/>
  <c r="W295" i="2"/>
  <c r="AM295" i="2"/>
  <c r="BC295" i="2"/>
  <c r="N296" i="2"/>
  <c r="AD296" i="2"/>
  <c r="AT296" i="2"/>
  <c r="BJ296" i="2"/>
  <c r="U297" i="2"/>
  <c r="AK297" i="2"/>
  <c r="BA297" i="2"/>
  <c r="H298" i="2"/>
  <c r="X298" i="2"/>
  <c r="AN298" i="2"/>
  <c r="BD298" i="2"/>
  <c r="K299" i="2"/>
  <c r="AA299" i="2"/>
  <c r="AQ299" i="2"/>
  <c r="BG299" i="2"/>
  <c r="R300" i="2"/>
  <c r="AH300" i="2"/>
  <c r="AX300" i="2"/>
  <c r="I301" i="2"/>
  <c r="Y301" i="2"/>
  <c r="AO301" i="2"/>
  <c r="BE301" i="2"/>
  <c r="L302" i="2"/>
  <c r="AB302" i="2"/>
  <c r="AR302" i="2"/>
  <c r="BH302" i="2"/>
  <c r="O303" i="2"/>
  <c r="AE303" i="2"/>
  <c r="AU303" i="2"/>
  <c r="BK303" i="2"/>
  <c r="V304" i="2"/>
  <c r="AL304" i="2"/>
  <c r="BB304" i="2"/>
  <c r="M305" i="2"/>
  <c r="AC305" i="2"/>
  <c r="AS305" i="2"/>
  <c r="BI305" i="2"/>
  <c r="P306" i="2"/>
  <c r="AF306" i="2"/>
  <c r="AV306" i="2"/>
  <c r="BL306" i="2"/>
  <c r="S307" i="2"/>
  <c r="AI307" i="2"/>
  <c r="AY307" i="2"/>
  <c r="J308" i="2"/>
  <c r="Z308" i="2"/>
  <c r="AP308" i="2"/>
  <c r="BF308" i="2"/>
  <c r="Q309" i="2"/>
  <c r="AG309" i="2"/>
  <c r="AW309" i="2"/>
  <c r="BM309" i="2"/>
  <c r="T310" i="2"/>
  <c r="AJ310" i="2"/>
  <c r="AZ310" i="2"/>
  <c r="G311" i="2"/>
  <c r="W311" i="2"/>
  <c r="AM311" i="2"/>
  <c r="BC311" i="2"/>
  <c r="N312" i="2"/>
  <c r="AD312" i="2"/>
  <c r="AT312" i="2"/>
  <c r="BJ312" i="2"/>
  <c r="U313" i="2"/>
  <c r="AK313" i="2"/>
  <c r="BA313" i="2"/>
  <c r="H314" i="2"/>
  <c r="X314" i="2"/>
  <c r="AN314" i="2"/>
  <c r="BD314" i="2"/>
  <c r="K315" i="2"/>
  <c r="AA315" i="2"/>
  <c r="AQ315" i="2"/>
  <c r="BG315" i="2"/>
  <c r="R316" i="2"/>
  <c r="AH316" i="2"/>
  <c r="AX316" i="2"/>
  <c r="I317" i="2"/>
  <c r="Y317" i="2"/>
  <c r="AO317" i="2"/>
  <c r="BE317" i="2"/>
  <c r="L318" i="2"/>
  <c r="AB318" i="2"/>
  <c r="AR318" i="2"/>
  <c r="BH318" i="2"/>
  <c r="O319" i="2"/>
  <c r="AE319" i="2"/>
  <c r="AU319" i="2"/>
  <c r="BK319" i="2"/>
  <c r="V320" i="2"/>
  <c r="AL320" i="2"/>
  <c r="BB320" i="2"/>
  <c r="M321" i="2"/>
  <c r="AC321" i="2"/>
  <c r="AS321" i="2"/>
  <c r="BI321" i="2"/>
  <c r="P322" i="2"/>
  <c r="AF322" i="2"/>
  <c r="AV322" i="2"/>
  <c r="BL322" i="2"/>
  <c r="S323" i="2"/>
  <c r="AI323" i="2"/>
  <c r="AY323" i="2"/>
  <c r="J324" i="2"/>
  <c r="Z324" i="2"/>
  <c r="AP324" i="2"/>
  <c r="BF324" i="2"/>
  <c r="Q325" i="2"/>
  <c r="AG325" i="2"/>
  <c r="AW325" i="2"/>
  <c r="BM325" i="2"/>
  <c r="V326" i="2"/>
  <c r="AR326" i="2"/>
  <c r="BM326" i="2"/>
  <c r="AI327" i="2"/>
  <c r="AY234" i="2"/>
  <c r="J235" i="2"/>
  <c r="Z235" i="2"/>
  <c r="AP235" i="2"/>
  <c r="BF235" i="2"/>
  <c r="Q236" i="2"/>
  <c r="AG236" i="2"/>
  <c r="AW236" i="2"/>
  <c r="BM236" i="2"/>
  <c r="T237" i="2"/>
  <c r="AJ237" i="2"/>
  <c r="AZ237" i="2"/>
  <c r="G238" i="2"/>
  <c r="W238" i="2"/>
  <c r="AM238" i="2"/>
  <c r="BC238" i="2"/>
  <c r="N239" i="2"/>
  <c r="AD239" i="2"/>
  <c r="AT239" i="2"/>
  <c r="BJ239" i="2"/>
  <c r="U240" i="2"/>
  <c r="AK240" i="2"/>
  <c r="BA240" i="2"/>
  <c r="H241" i="2"/>
  <c r="X241" i="2"/>
  <c r="AN241" i="2"/>
  <c r="BD241" i="2"/>
  <c r="K242" i="2"/>
  <c r="AA242" i="2"/>
  <c r="AQ242" i="2"/>
  <c r="BG242" i="2"/>
  <c r="R243" i="2"/>
  <c r="AH243" i="2"/>
  <c r="AX243" i="2"/>
  <c r="I244" i="2"/>
  <c r="Y244" i="2"/>
  <c r="AO244" i="2"/>
  <c r="BE244" i="2"/>
  <c r="L245" i="2"/>
  <c r="AB245" i="2"/>
  <c r="AR245" i="2"/>
  <c r="BH245" i="2"/>
  <c r="O246" i="2"/>
  <c r="AE246" i="2"/>
  <c r="AU246" i="2"/>
  <c r="BK246" i="2"/>
  <c r="V247" i="2"/>
  <c r="AL247" i="2"/>
  <c r="BB247" i="2"/>
  <c r="M248" i="2"/>
  <c r="AC248" i="2"/>
  <c r="AS248" i="2"/>
  <c r="BI248" i="2"/>
  <c r="P249" i="2"/>
  <c r="AF249" i="2"/>
  <c r="AV249" i="2"/>
  <c r="BL249" i="2"/>
  <c r="T250" i="3"/>
  <c r="T250" i="2" s="1"/>
  <c r="T251" i="2"/>
  <c r="AJ250" i="3"/>
  <c r="AJ250" i="2" s="1"/>
  <c r="AJ251" i="2"/>
  <c r="AZ250" i="3"/>
  <c r="AZ250" i="2" s="1"/>
  <c r="AZ251" i="2"/>
  <c r="G252" i="2"/>
  <c r="W252" i="2"/>
  <c r="AM252" i="2"/>
  <c r="BC252" i="2"/>
  <c r="N253" i="2"/>
  <c r="AD253" i="2"/>
  <c r="AT253" i="2"/>
  <c r="BJ253" i="2"/>
  <c r="U254" i="2"/>
  <c r="AK254" i="2"/>
  <c r="BA254" i="2"/>
  <c r="H255" i="2"/>
  <c r="X255" i="2"/>
  <c r="AN255" i="2"/>
  <c r="BD255" i="2"/>
  <c r="K256" i="2"/>
  <c r="AA256" i="2"/>
  <c r="AQ256" i="2"/>
  <c r="BG256" i="2"/>
  <c r="R257" i="2"/>
  <c r="AH257" i="2"/>
  <c r="AX257" i="2"/>
  <c r="I258" i="2"/>
  <c r="Y258" i="2"/>
  <c r="AO258" i="2"/>
  <c r="BE258" i="2"/>
  <c r="L259" i="2"/>
  <c r="AB259" i="2"/>
  <c r="AR259" i="2"/>
  <c r="BH259" i="2"/>
  <c r="O260" i="2"/>
  <c r="AE260" i="2"/>
  <c r="AU260" i="2"/>
  <c r="BK260" i="2"/>
  <c r="V261" i="2"/>
  <c r="AL261" i="2"/>
  <c r="BB261" i="2"/>
  <c r="M262" i="2"/>
  <c r="AC262" i="2"/>
  <c r="AS262" i="2"/>
  <c r="BI262" i="2"/>
  <c r="P263" i="2"/>
  <c r="AF263" i="2"/>
  <c r="AV263" i="2"/>
  <c r="BL263" i="2"/>
  <c r="S264" i="2"/>
  <c r="AI264" i="2"/>
  <c r="AY264" i="2"/>
  <c r="J265" i="2"/>
  <c r="Z265" i="2"/>
  <c r="AP265" i="2"/>
  <c r="BF265" i="2"/>
  <c r="Q266" i="2"/>
  <c r="AG266" i="2"/>
  <c r="AW266" i="2"/>
  <c r="BM266" i="2"/>
  <c r="T267" i="2"/>
  <c r="AJ267" i="2"/>
  <c r="AZ267" i="2"/>
  <c r="G268" i="2"/>
  <c r="W268" i="2"/>
  <c r="AM268" i="2"/>
  <c r="BC268" i="2"/>
  <c r="N269" i="2"/>
  <c r="AD269" i="2"/>
  <c r="AT269" i="2"/>
  <c r="BJ269" i="2"/>
  <c r="U270" i="2"/>
  <c r="AK270" i="2"/>
  <c r="BA270" i="2"/>
  <c r="H271" i="2"/>
  <c r="X271" i="2"/>
  <c r="AN271" i="2"/>
  <c r="BD271" i="2"/>
  <c r="K272" i="2"/>
  <c r="AA272" i="2"/>
  <c r="AQ272" i="2"/>
  <c r="BG272" i="2"/>
  <c r="R273" i="2"/>
  <c r="AH273" i="2"/>
  <c r="AX273" i="2"/>
  <c r="I274" i="2"/>
  <c r="Y274" i="2"/>
  <c r="AO274" i="2"/>
  <c r="BE274" i="2"/>
  <c r="L275" i="2"/>
  <c r="AB275" i="2"/>
  <c r="AR275" i="2"/>
  <c r="BH275" i="2"/>
  <c r="O276" i="2"/>
  <c r="AE276" i="2"/>
  <c r="AU276" i="2"/>
  <c r="BK276" i="2"/>
  <c r="V277" i="2"/>
  <c r="AL277" i="2"/>
  <c r="BB277" i="2"/>
  <c r="M278" i="2"/>
  <c r="AC278" i="2"/>
  <c r="AS278" i="2"/>
  <c r="BI278" i="2"/>
  <c r="P279" i="2"/>
  <c r="AF279" i="2"/>
  <c r="AV279" i="2"/>
  <c r="BL279" i="2"/>
  <c r="S280" i="2"/>
  <c r="AI280" i="2"/>
  <c r="AY280" i="2"/>
  <c r="J281" i="2"/>
  <c r="Z281" i="2"/>
  <c r="AP281" i="2"/>
  <c r="BF281" i="2"/>
  <c r="Q282" i="2"/>
  <c r="AG282" i="2"/>
  <c r="AW282" i="2"/>
  <c r="BM282" i="2"/>
  <c r="T283" i="2"/>
  <c r="AJ283" i="2"/>
  <c r="AZ283" i="2"/>
  <c r="G284" i="2"/>
  <c r="W284" i="2"/>
  <c r="AM284" i="2"/>
  <c r="BC284" i="2"/>
  <c r="N285" i="2"/>
  <c r="AD285" i="2"/>
  <c r="AT285" i="2"/>
  <c r="BJ285" i="2"/>
  <c r="U286" i="2"/>
  <c r="AK286" i="2"/>
  <c r="BA286" i="2"/>
  <c r="H287" i="2"/>
  <c r="X287" i="2"/>
  <c r="AN287" i="2"/>
  <c r="BD287" i="2"/>
  <c r="K288" i="2"/>
  <c r="AA288" i="2"/>
  <c r="AQ288" i="2"/>
  <c r="BG288" i="2"/>
  <c r="R289" i="2"/>
  <c r="AH289" i="2"/>
  <c r="AX289" i="2"/>
  <c r="I290" i="2"/>
  <c r="Y290" i="2"/>
  <c r="AO290" i="2"/>
  <c r="BE290" i="2"/>
  <c r="N292" i="3"/>
  <c r="N292" i="2" s="1"/>
  <c r="N293" i="2"/>
  <c r="AD292" i="3"/>
  <c r="AD292" i="2" s="1"/>
  <c r="AD293" i="2"/>
  <c r="AT292" i="3"/>
  <c r="AT292" i="2" s="1"/>
  <c r="AT293" i="2"/>
  <c r="BJ292" i="3"/>
  <c r="BJ292" i="2" s="1"/>
  <c r="BJ293" i="2"/>
  <c r="U294" i="2"/>
  <c r="AK294" i="2"/>
  <c r="BA294" i="2"/>
  <c r="H295" i="2"/>
  <c r="X295" i="2"/>
  <c r="AN295" i="2"/>
  <c r="BD295" i="2"/>
  <c r="K296" i="2"/>
  <c r="AA296" i="2"/>
  <c r="AQ296" i="2"/>
  <c r="BG296" i="2"/>
  <c r="R297" i="2"/>
  <c r="AH297" i="2"/>
  <c r="AX297" i="2"/>
  <c r="I298" i="2"/>
  <c r="Y298" i="2"/>
  <c r="AO298" i="2"/>
  <c r="BE298" i="2"/>
  <c r="L299" i="2"/>
  <c r="AB299" i="2"/>
  <c r="AR299" i="2"/>
  <c r="BH299" i="2"/>
  <c r="O300" i="2"/>
  <c r="AE300" i="2"/>
  <c r="AU300" i="2"/>
  <c r="BK300" i="2"/>
  <c r="V301" i="2"/>
  <c r="AL301" i="2"/>
  <c r="BB301" i="2"/>
  <c r="M302" i="2"/>
  <c r="AC302" i="2"/>
  <c r="AS302" i="2"/>
  <c r="BI302" i="2"/>
  <c r="P303" i="2"/>
  <c r="AF303" i="2"/>
  <c r="AV303" i="2"/>
  <c r="BL303" i="2"/>
  <c r="S304" i="2"/>
  <c r="AI304" i="2"/>
  <c r="AY304" i="2"/>
  <c r="J305" i="2"/>
  <c r="Z305" i="2"/>
  <c r="AP305" i="2"/>
  <c r="BF305" i="2"/>
  <c r="Q306" i="2"/>
  <c r="AG306" i="2"/>
  <c r="AW306" i="2"/>
  <c r="BM306" i="2"/>
  <c r="T307" i="2"/>
  <c r="AJ307" i="2"/>
  <c r="AZ307" i="2"/>
  <c r="G308" i="2"/>
  <c r="W308" i="2"/>
  <c r="AM308" i="2"/>
  <c r="BC308" i="2"/>
  <c r="N309" i="2"/>
  <c r="AD309" i="2"/>
  <c r="AT309" i="2"/>
  <c r="BJ309" i="2"/>
  <c r="U310" i="2"/>
  <c r="AK310" i="2"/>
  <c r="BA310" i="2"/>
  <c r="H311" i="2"/>
  <c r="X311" i="2"/>
  <c r="AN311" i="2"/>
  <c r="BD311" i="2"/>
  <c r="K312" i="2"/>
  <c r="AA312" i="2"/>
  <c r="AQ312" i="2"/>
  <c r="BG312" i="2"/>
  <c r="R313" i="2"/>
  <c r="AH313" i="2"/>
  <c r="AX313" i="2"/>
  <c r="I314" i="2"/>
  <c r="Y314" i="2"/>
  <c r="AO314" i="2"/>
  <c r="BE314" i="2"/>
  <c r="L315" i="2"/>
  <c r="AB315" i="2"/>
  <c r="AR315" i="2"/>
  <c r="BH315" i="2"/>
  <c r="O316" i="2"/>
  <c r="AE316" i="2"/>
  <c r="AU316" i="2"/>
  <c r="BK316" i="2"/>
  <c r="V317" i="2"/>
  <c r="AL317" i="2"/>
  <c r="BB317" i="2"/>
  <c r="M318" i="2"/>
  <c r="AC318" i="2"/>
  <c r="AS318" i="2"/>
  <c r="BI318" i="2"/>
  <c r="P319" i="2"/>
  <c r="AF319" i="2"/>
  <c r="AV319" i="2"/>
  <c r="BL319" i="2"/>
  <c r="S320" i="2"/>
  <c r="AI320" i="2"/>
  <c r="AY320" i="2"/>
  <c r="J321" i="2"/>
  <c r="Z321" i="2"/>
  <c r="AP321" i="2"/>
  <c r="BF321" i="2"/>
  <c r="Q322" i="2"/>
  <c r="AG322" i="2"/>
  <c r="AW322" i="2"/>
  <c r="BM322" i="2"/>
  <c r="T323" i="2"/>
  <c r="AJ323" i="2"/>
  <c r="AZ323" i="2"/>
  <c r="G324" i="2"/>
  <c r="W324" i="2"/>
  <c r="AM324" i="2"/>
  <c r="BC324" i="2"/>
  <c r="N325" i="2"/>
  <c r="AD325" i="2"/>
  <c r="AT325" i="2"/>
  <c r="BJ325" i="2"/>
  <c r="X326" i="2"/>
  <c r="AS326" i="2"/>
  <c r="L327" i="2"/>
  <c r="AR327" i="2"/>
  <c r="N328" i="2"/>
  <c r="AD328" i="2"/>
  <c r="AT328" i="2"/>
  <c r="BJ328" i="2"/>
  <c r="U329" i="2"/>
  <c r="AK329" i="2"/>
  <c r="BA329" i="2"/>
  <c r="H330" i="2"/>
  <c r="X330" i="2"/>
  <c r="AN330" i="2"/>
  <c r="BD330" i="2"/>
  <c r="K331" i="2"/>
  <c r="AA331" i="2"/>
  <c r="AQ331" i="2"/>
  <c r="BG331" i="2"/>
  <c r="R332" i="2"/>
  <c r="AH332" i="2"/>
  <c r="AX332" i="2"/>
  <c r="J333" i="3"/>
  <c r="J333" i="2" s="1"/>
  <c r="J334" i="2"/>
  <c r="Z333" i="3"/>
  <c r="Z333" i="2" s="1"/>
  <c r="Z334" i="2"/>
  <c r="AP333" i="3"/>
  <c r="AP333" i="2" s="1"/>
  <c r="AP334" i="2"/>
  <c r="BF333" i="3"/>
  <c r="BF333" i="2" s="1"/>
  <c r="BF334" i="2"/>
  <c r="Q335" i="2"/>
  <c r="AG335" i="2"/>
  <c r="AW335" i="2"/>
  <c r="BM335" i="2"/>
  <c r="T336" i="2"/>
  <c r="AJ336" i="2"/>
  <c r="AZ336" i="2"/>
  <c r="G337" i="2"/>
  <c r="W337" i="2"/>
  <c r="AM337" i="2"/>
  <c r="BC337" i="2"/>
  <c r="N338" i="2"/>
  <c r="AD338" i="2"/>
  <c r="AT338" i="2"/>
  <c r="BJ338" i="2"/>
  <c r="U339" i="2"/>
  <c r="AK339" i="2"/>
  <c r="BA339" i="2"/>
  <c r="H340" i="2"/>
  <c r="X340" i="2"/>
  <c r="AN340" i="2"/>
  <c r="BD340" i="2"/>
  <c r="K341" i="2"/>
  <c r="AA341" i="2"/>
  <c r="AQ341" i="2"/>
  <c r="BG341" i="2"/>
  <c r="R342" i="2"/>
  <c r="AH342" i="2"/>
  <c r="AX342" i="2"/>
  <c r="I343" i="2"/>
  <c r="Y343" i="2"/>
  <c r="AO343" i="2"/>
  <c r="BE343" i="2"/>
  <c r="L344" i="2"/>
  <c r="AB344" i="2"/>
  <c r="AR344" i="2"/>
  <c r="BH344" i="2"/>
  <c r="O345" i="2"/>
  <c r="AE345" i="2"/>
  <c r="AU345" i="2"/>
  <c r="BK345" i="2"/>
  <c r="V346" i="2"/>
  <c r="AL346" i="2"/>
  <c r="BB346" i="2"/>
  <c r="M347" i="2"/>
  <c r="AC347" i="2"/>
  <c r="AS347" i="2"/>
  <c r="BI347" i="2"/>
  <c r="P348" i="2"/>
  <c r="AF348" i="2"/>
  <c r="AV348" i="2"/>
  <c r="BL348" i="2"/>
  <c r="S349" i="2"/>
  <c r="AI349" i="2"/>
  <c r="AY349" i="2"/>
  <c r="J350" i="2"/>
  <c r="Z350" i="2"/>
  <c r="AP350" i="2"/>
  <c r="BF350" i="2"/>
  <c r="Q351" i="2"/>
  <c r="AG351" i="2"/>
  <c r="AW351" i="2"/>
  <c r="BM351" i="2"/>
  <c r="T352" i="2"/>
  <c r="AJ352" i="2"/>
  <c r="AZ352" i="2"/>
  <c r="G353" i="2"/>
  <c r="W353" i="2"/>
  <c r="AM353" i="2"/>
  <c r="BC353" i="2"/>
  <c r="N354" i="2"/>
  <c r="AD354" i="2"/>
  <c r="AT354" i="2"/>
  <c r="BJ354" i="2"/>
  <c r="U355" i="2"/>
  <c r="AK355" i="2"/>
  <c r="BA355" i="2"/>
  <c r="H356" i="2"/>
  <c r="X356" i="2"/>
  <c r="AN356" i="2"/>
  <c r="BD356" i="2"/>
  <c r="K357" i="2"/>
  <c r="AA357" i="2"/>
  <c r="AQ357" i="2"/>
  <c r="BG357" i="2"/>
  <c r="R358" i="2"/>
  <c r="AH358" i="2"/>
  <c r="AX358" i="2"/>
  <c r="I359" i="2"/>
  <c r="Y359" i="2"/>
  <c r="AO359" i="2"/>
  <c r="BE359" i="2"/>
  <c r="L360" i="2"/>
  <c r="AB360" i="2"/>
  <c r="AR360" i="2"/>
  <c r="BH360" i="2"/>
  <c r="O361" i="2"/>
  <c r="AE361" i="2"/>
  <c r="AU361" i="2"/>
  <c r="BK361" i="2"/>
  <c r="V362" i="2"/>
  <c r="AL362" i="2"/>
  <c r="BB362" i="2"/>
  <c r="M363" i="2"/>
  <c r="AC363" i="2"/>
  <c r="AS363" i="2"/>
  <c r="BI363" i="2"/>
  <c r="P364" i="2"/>
  <c r="AF364" i="2"/>
  <c r="AV364" i="2"/>
  <c r="BL364" i="2"/>
  <c r="S365" i="2"/>
  <c r="AI365" i="2"/>
  <c r="AY365" i="2"/>
  <c r="J366" i="2"/>
  <c r="Z366" i="2"/>
  <c r="AP366" i="2"/>
  <c r="BF366" i="2"/>
  <c r="Q367" i="2"/>
  <c r="AG367" i="2"/>
  <c r="AW367" i="2"/>
  <c r="BM367" i="2"/>
  <c r="T368" i="2"/>
  <c r="AJ368" i="2"/>
  <c r="AZ368" i="2"/>
  <c r="G369" i="2"/>
  <c r="W369" i="2"/>
  <c r="AM369" i="2"/>
  <c r="BC369" i="2"/>
  <c r="N370" i="2"/>
  <c r="AD370" i="2"/>
  <c r="AT370" i="2"/>
  <c r="BJ370" i="2"/>
  <c r="U371" i="2"/>
  <c r="AK371" i="2"/>
  <c r="BA371" i="2"/>
  <c r="H372" i="2"/>
  <c r="X372" i="2"/>
  <c r="AN372" i="2"/>
  <c r="BD372" i="2"/>
  <c r="K373" i="2"/>
  <c r="AA373" i="2"/>
  <c r="AQ373" i="2"/>
  <c r="BG373" i="2"/>
  <c r="O374" i="3"/>
  <c r="O374" i="2" s="1"/>
  <c r="O375" i="2"/>
  <c r="AE374" i="3"/>
  <c r="AE374" i="2" s="1"/>
  <c r="AE375" i="2"/>
  <c r="AU374" i="3"/>
  <c r="AU374" i="2" s="1"/>
  <c r="AU375" i="2"/>
  <c r="BK374" i="3"/>
  <c r="BK374" i="2" s="1"/>
  <c r="BK375" i="2"/>
  <c r="V376" i="2"/>
  <c r="AL376" i="2"/>
  <c r="BB376" i="2"/>
  <c r="M377" i="2"/>
  <c r="AC377" i="2"/>
  <c r="AS377" i="2"/>
  <c r="BI377" i="2"/>
  <c r="P378" i="2"/>
  <c r="AF378" i="2"/>
  <c r="AV378" i="2"/>
  <c r="BL378" i="2"/>
  <c r="S379" i="2"/>
  <c r="AI379" i="2"/>
  <c r="AY379" i="2"/>
  <c r="J380" i="2"/>
  <c r="Z380" i="2"/>
  <c r="AP380" i="2"/>
  <c r="BF380" i="2"/>
  <c r="Q381" i="2"/>
  <c r="AG381" i="2"/>
  <c r="AW381" i="2"/>
  <c r="BM381" i="2"/>
  <c r="T382" i="2"/>
  <c r="AJ382" i="2"/>
  <c r="AZ382" i="2"/>
  <c r="G383" i="2"/>
  <c r="W383" i="2"/>
  <c r="AM383" i="2"/>
  <c r="BC383" i="2"/>
  <c r="N384" i="2"/>
  <c r="AD384" i="2"/>
  <c r="AT384" i="2"/>
  <c r="BJ384" i="2"/>
  <c r="U385" i="2"/>
  <c r="AK385" i="2"/>
  <c r="BA385" i="2"/>
  <c r="H386" i="2"/>
  <c r="X386" i="2"/>
  <c r="AN386" i="2"/>
  <c r="BD386" i="2"/>
  <c r="K387" i="2"/>
  <c r="AA387" i="2"/>
  <c r="AQ387" i="2"/>
  <c r="BG387" i="2"/>
  <c r="R388" i="2"/>
  <c r="AH388" i="2"/>
  <c r="AX388" i="2"/>
  <c r="I389" i="2"/>
  <c r="Y389" i="2"/>
  <c r="AO389" i="2"/>
  <c r="BE389" i="2"/>
  <c r="L390" i="2"/>
  <c r="AB390" i="2"/>
  <c r="AR390" i="2"/>
  <c r="BH390" i="2"/>
  <c r="O391" i="2"/>
  <c r="AE391" i="2"/>
  <c r="AU391" i="2"/>
  <c r="BK391" i="2"/>
  <c r="V392" i="2"/>
  <c r="AL392" i="2"/>
  <c r="BB392" i="2"/>
  <c r="M393" i="2"/>
  <c r="AC393" i="2"/>
  <c r="AS393" i="2"/>
  <c r="BI393" i="2"/>
  <c r="P394" i="2"/>
  <c r="AF394" i="2"/>
  <c r="AV394" i="2"/>
  <c r="BL394" i="2"/>
  <c r="S395" i="2"/>
  <c r="AI395" i="2"/>
  <c r="AY395" i="2"/>
  <c r="J396" i="2"/>
  <c r="Z396" i="2"/>
  <c r="AP396" i="2"/>
  <c r="BF396" i="2"/>
  <c r="Q397" i="2"/>
  <c r="AG397" i="2"/>
  <c r="AW397" i="2"/>
  <c r="BM397" i="2"/>
  <c r="T398" i="2"/>
  <c r="AJ398" i="2"/>
  <c r="AZ398" i="2"/>
  <c r="G399" i="2"/>
  <c r="W399" i="2"/>
  <c r="AM399" i="2"/>
  <c r="BC399" i="2"/>
  <c r="N400" i="2"/>
  <c r="AD400" i="2"/>
  <c r="AT400" i="2"/>
  <c r="BJ400" i="2"/>
  <c r="U401" i="2"/>
  <c r="AK401" i="2"/>
  <c r="BA401" i="2"/>
  <c r="H402" i="2"/>
  <c r="X402" i="2"/>
  <c r="AN402" i="2"/>
  <c r="BD402" i="2"/>
  <c r="K403" i="2"/>
  <c r="AA403" i="2"/>
  <c r="AQ403" i="2"/>
  <c r="BG403" i="2"/>
  <c r="R404" i="2"/>
  <c r="AH404" i="2"/>
  <c r="AX404" i="2"/>
  <c r="I405" i="2"/>
  <c r="Y405" i="2"/>
  <c r="AO405" i="2"/>
  <c r="BE405" i="2"/>
  <c r="L406" i="2"/>
  <c r="AB406" i="2"/>
  <c r="AR406" i="2"/>
  <c r="BH406" i="2"/>
  <c r="O407" i="2"/>
  <c r="AE407" i="2"/>
  <c r="AU407" i="2"/>
  <c r="BK407" i="2"/>
  <c r="V408" i="2"/>
  <c r="AL408" i="2"/>
  <c r="BB408" i="2"/>
  <c r="M409" i="2"/>
  <c r="AC409" i="2"/>
  <c r="AS409" i="2"/>
  <c r="BI409" i="2"/>
  <c r="P410" i="2"/>
  <c r="AF410" i="2"/>
  <c r="AV410" i="2"/>
  <c r="BL410" i="2"/>
  <c r="S411" i="2"/>
  <c r="AI411" i="2"/>
  <c r="AY411" i="2"/>
  <c r="J412" i="2"/>
  <c r="Z412" i="2"/>
  <c r="AP412" i="2"/>
  <c r="BF412" i="2"/>
  <c r="Q413" i="2"/>
  <c r="AG413" i="2"/>
  <c r="AW413" i="2"/>
  <c r="BM413" i="2"/>
  <c r="T414" i="2"/>
  <c r="AJ414" i="2"/>
  <c r="AZ414" i="2"/>
  <c r="H415" i="3"/>
  <c r="H415" i="2" s="1"/>
  <c r="H416" i="2"/>
  <c r="X415" i="3"/>
  <c r="X415" i="2" s="1"/>
  <c r="X416" i="2"/>
  <c r="AN415" i="3"/>
  <c r="AN415" i="2" s="1"/>
  <c r="AN416" i="2"/>
  <c r="BD415" i="3"/>
  <c r="BD415" i="2" s="1"/>
  <c r="BD416" i="2"/>
  <c r="AB417" i="2"/>
  <c r="S328" i="2"/>
  <c r="AI328" i="2"/>
  <c r="AY328" i="2"/>
  <c r="J329" i="2"/>
  <c r="Z329" i="2"/>
  <c r="AP329" i="2"/>
  <c r="BF329" i="2"/>
  <c r="Q330" i="2"/>
  <c r="AG330" i="2"/>
  <c r="AW330" i="2"/>
  <c r="BM330" i="2"/>
  <c r="T331" i="2"/>
  <c r="AJ331" i="2"/>
  <c r="AZ331" i="2"/>
  <c r="G332" i="2"/>
  <c r="W332" i="2"/>
  <c r="AM332" i="2"/>
  <c r="BC332" i="2"/>
  <c r="K333" i="3"/>
  <c r="K333" i="2" s="1"/>
  <c r="K334" i="2"/>
  <c r="AA333" i="3"/>
  <c r="AA333" i="2" s="1"/>
  <c r="AA334" i="2"/>
  <c r="AQ333" i="3"/>
  <c r="AQ333" i="2" s="1"/>
  <c r="AQ334" i="2"/>
  <c r="BG333" i="3"/>
  <c r="BG333" i="2" s="1"/>
  <c r="BG334" i="2"/>
  <c r="R335" i="2"/>
  <c r="AH335" i="2"/>
  <c r="AX335" i="2"/>
  <c r="I336" i="2"/>
  <c r="Y336" i="2"/>
  <c r="AO336" i="2"/>
  <c r="BE336" i="2"/>
  <c r="L337" i="2"/>
  <c r="AB337" i="2"/>
  <c r="AR337" i="2"/>
  <c r="BH337" i="2"/>
  <c r="O338" i="2"/>
  <c r="AE338" i="2"/>
  <c r="AU338" i="2"/>
  <c r="BK338" i="2"/>
  <c r="V339" i="2"/>
  <c r="AL339" i="2"/>
  <c r="BB339" i="2"/>
  <c r="M340" i="2"/>
  <c r="AC340" i="2"/>
  <c r="AS340" i="2"/>
  <c r="BI340" i="2"/>
  <c r="P341" i="2"/>
  <c r="AF341" i="2"/>
  <c r="AV341" i="2"/>
  <c r="BL341" i="2"/>
  <c r="S342" i="2"/>
  <c r="AI342" i="2"/>
  <c r="AY342" i="2"/>
  <c r="J343" i="2"/>
  <c r="Z343" i="2"/>
  <c r="AP343" i="2"/>
  <c r="BF343" i="2"/>
  <c r="Q344" i="2"/>
  <c r="AG344" i="2"/>
  <c r="AW344" i="2"/>
  <c r="BM344" i="2"/>
  <c r="T345" i="2"/>
  <c r="AJ345" i="2"/>
  <c r="AZ345" i="2"/>
  <c r="G346" i="2"/>
  <c r="W346" i="2"/>
  <c r="AM346" i="2"/>
  <c r="BC346" i="2"/>
  <c r="N347" i="2"/>
  <c r="AD347" i="2"/>
  <c r="AT347" i="2"/>
  <c r="BJ347" i="2"/>
  <c r="U348" i="2"/>
  <c r="AK348" i="2"/>
  <c r="BA348" i="2"/>
  <c r="H349" i="2"/>
  <c r="X349" i="2"/>
  <c r="AN349" i="2"/>
  <c r="BD349" i="2"/>
  <c r="K350" i="2"/>
  <c r="AA350" i="2"/>
  <c r="AQ350" i="2"/>
  <c r="BG350" i="2"/>
  <c r="R351" i="2"/>
  <c r="AH351" i="2"/>
  <c r="AX351" i="2"/>
  <c r="I352" i="2"/>
  <c r="Y352" i="2"/>
  <c r="AO352" i="2"/>
  <c r="BE352" i="2"/>
  <c r="L353" i="2"/>
  <c r="AB353" i="2"/>
  <c r="AR353" i="2"/>
  <c r="BH353" i="2"/>
  <c r="O354" i="2"/>
  <c r="AE354" i="2"/>
  <c r="AU354" i="2"/>
  <c r="BK354" i="2"/>
  <c r="V355" i="2"/>
  <c r="AL355" i="2"/>
  <c r="BB355" i="2"/>
  <c r="M356" i="2"/>
  <c r="AC356" i="2"/>
  <c r="AS356" i="2"/>
  <c r="BI356" i="2"/>
  <c r="P357" i="2"/>
  <c r="AF357" i="2"/>
  <c r="AV357" i="2"/>
  <c r="BL357" i="2"/>
  <c r="S358" i="2"/>
  <c r="AI358" i="2"/>
  <c r="AY358" i="2"/>
  <c r="J359" i="2"/>
  <c r="Z359" i="2"/>
  <c r="AP359" i="2"/>
  <c r="BF359" i="2"/>
  <c r="Q360" i="2"/>
  <c r="AG360" i="2"/>
  <c r="AW360" i="2"/>
  <c r="BM360" i="2"/>
  <c r="T361" i="2"/>
  <c r="AJ361" i="2"/>
  <c r="AZ361" i="2"/>
  <c r="G362" i="2"/>
  <c r="W362" i="2"/>
  <c r="AM362" i="2"/>
  <c r="BC362" i="2"/>
  <c r="N363" i="2"/>
  <c r="AD363" i="2"/>
  <c r="AT363" i="2"/>
  <c r="BJ363" i="2"/>
  <c r="U364" i="2"/>
  <c r="AK364" i="2"/>
  <c r="BA364" i="2"/>
  <c r="H365" i="2"/>
  <c r="X365" i="2"/>
  <c r="AN365" i="2"/>
  <c r="BD365" i="2"/>
  <c r="K366" i="2"/>
  <c r="AA366" i="2"/>
  <c r="AQ366" i="2"/>
  <c r="BG366" i="2"/>
  <c r="R367" i="2"/>
  <c r="AH367" i="2"/>
  <c r="AX367" i="2"/>
  <c r="I368" i="2"/>
  <c r="Y368" i="2"/>
  <c r="AO368" i="2"/>
  <c r="BE368" i="2"/>
  <c r="L369" i="2"/>
  <c r="AB369" i="2"/>
  <c r="AR369" i="2"/>
  <c r="BH369" i="2"/>
  <c r="O370" i="2"/>
  <c r="AE370" i="2"/>
  <c r="AU370" i="2"/>
  <c r="BK370" i="2"/>
  <c r="V371" i="2"/>
  <c r="AL371" i="2"/>
  <c r="BB371" i="2"/>
  <c r="M372" i="2"/>
  <c r="AC372" i="2"/>
  <c r="AS372" i="2"/>
  <c r="BI372" i="2"/>
  <c r="P373" i="2"/>
  <c r="AF373" i="2"/>
  <c r="AV373" i="2"/>
  <c r="BL373" i="2"/>
  <c r="T374" i="3"/>
  <c r="T374" i="2" s="1"/>
  <c r="T375" i="2"/>
  <c r="AJ374" i="3"/>
  <c r="AJ374" i="2" s="1"/>
  <c r="AJ375" i="2"/>
  <c r="AZ374" i="3"/>
  <c r="AZ374" i="2" s="1"/>
  <c r="AZ375" i="2"/>
  <c r="G376" i="2"/>
  <c r="W376" i="2"/>
  <c r="AM376" i="2"/>
  <c r="BC376" i="2"/>
  <c r="N377" i="2"/>
  <c r="AD377" i="2"/>
  <c r="AT377" i="2"/>
  <c r="BJ377" i="2"/>
  <c r="U378" i="2"/>
  <c r="AK378" i="2"/>
  <c r="BA378" i="2"/>
  <c r="H379" i="2"/>
  <c r="X379" i="2"/>
  <c r="AN379" i="2"/>
  <c r="BD379" i="2"/>
  <c r="K380" i="2"/>
  <c r="AA380" i="2"/>
  <c r="AQ380" i="2"/>
  <c r="BG380" i="2"/>
  <c r="R381" i="2"/>
  <c r="AH381" i="2"/>
  <c r="AX381" i="2"/>
  <c r="I382" i="2"/>
  <c r="Y382" i="2"/>
  <c r="AO382" i="2"/>
  <c r="BE382" i="2"/>
  <c r="L383" i="2"/>
  <c r="AB383" i="2"/>
  <c r="AR383" i="2"/>
  <c r="BH383" i="2"/>
  <c r="O384" i="2"/>
  <c r="AE384" i="2"/>
  <c r="AU384" i="2"/>
  <c r="BK384" i="2"/>
  <c r="V385" i="2"/>
  <c r="AL385" i="2"/>
  <c r="BB385" i="2"/>
  <c r="M386" i="2"/>
  <c r="AC386" i="2"/>
  <c r="AS386" i="2"/>
  <c r="BI386" i="2"/>
  <c r="P387" i="2"/>
  <c r="AF387" i="2"/>
  <c r="AV387" i="2"/>
  <c r="BL387" i="2"/>
  <c r="S388" i="2"/>
  <c r="AI388" i="2"/>
  <c r="AY388" i="2"/>
  <c r="J389" i="2"/>
  <c r="Z389" i="2"/>
  <c r="AP389" i="2"/>
  <c r="BF389" i="2"/>
  <c r="Q390" i="2"/>
  <c r="AG390" i="2"/>
  <c r="AW390" i="2"/>
  <c r="BM390" i="2"/>
  <c r="T391" i="2"/>
  <c r="AJ391" i="2"/>
  <c r="AZ391" i="2"/>
  <c r="G392" i="2"/>
  <c r="W392" i="2"/>
  <c r="AM392" i="2"/>
  <c r="BC392" i="2"/>
  <c r="N393" i="2"/>
  <c r="AD393" i="2"/>
  <c r="AT393" i="2"/>
  <c r="BJ393" i="2"/>
  <c r="U394" i="2"/>
  <c r="AK394" i="2"/>
  <c r="BA394" i="2"/>
  <c r="H395" i="2"/>
  <c r="X395" i="2"/>
  <c r="AN395" i="2"/>
  <c r="BD395" i="2"/>
  <c r="K396" i="2"/>
  <c r="AA396" i="2"/>
  <c r="AQ396" i="2"/>
  <c r="BG396" i="2"/>
  <c r="R397" i="2"/>
  <c r="AH397" i="2"/>
  <c r="AX397" i="2"/>
  <c r="I398" i="2"/>
  <c r="Y398" i="2"/>
  <c r="AO398" i="2"/>
  <c r="BE398" i="2"/>
  <c r="L399" i="2"/>
  <c r="AB399" i="2"/>
  <c r="AR399" i="2"/>
  <c r="BH399" i="2"/>
  <c r="O400" i="2"/>
  <c r="AE400" i="2"/>
  <c r="AU400" i="2"/>
  <c r="BK400" i="2"/>
  <c r="V401" i="2"/>
  <c r="AL401" i="2"/>
  <c r="BB401" i="2"/>
  <c r="M402" i="2"/>
  <c r="AC402" i="2"/>
  <c r="AS402" i="2"/>
  <c r="BI402" i="2"/>
  <c r="P403" i="2"/>
  <c r="AF403" i="2"/>
  <c r="AV403" i="2"/>
  <c r="BL403" i="2"/>
  <c r="S404" i="2"/>
  <c r="AI404" i="2"/>
  <c r="AY404" i="2"/>
  <c r="J405" i="2"/>
  <c r="Z405" i="2"/>
  <c r="AP405" i="2"/>
  <c r="BF405" i="2"/>
  <c r="Q406" i="2"/>
  <c r="AG406" i="2"/>
  <c r="AW406" i="2"/>
  <c r="BM406" i="2"/>
  <c r="T407" i="2"/>
  <c r="AJ407" i="2"/>
  <c r="AZ407" i="2"/>
  <c r="G408" i="2"/>
  <c r="W408" i="2"/>
  <c r="AM408" i="2"/>
  <c r="BC408" i="2"/>
  <c r="N409" i="2"/>
  <c r="AD409" i="2"/>
  <c r="AT409" i="2"/>
  <c r="BJ409" i="2"/>
  <c r="U410" i="2"/>
  <c r="AK410" i="2"/>
  <c r="BA410" i="2"/>
  <c r="H411" i="2"/>
  <c r="X411" i="2"/>
  <c r="AN411" i="2"/>
  <c r="BD411" i="2"/>
  <c r="K412" i="2"/>
  <c r="AA412" i="2"/>
  <c r="AQ412" i="2"/>
  <c r="BG412" i="2"/>
  <c r="R413" i="2"/>
  <c r="AH413" i="2"/>
  <c r="AX413" i="2"/>
  <c r="I414" i="2"/>
  <c r="Y414" i="2"/>
  <c r="AO414" i="2"/>
  <c r="BE414" i="2"/>
  <c r="M415" i="3"/>
  <c r="M415" i="2" s="1"/>
  <c r="M416" i="2"/>
  <c r="AC415" i="3"/>
  <c r="AC415" i="2" s="1"/>
  <c r="AC416" i="2"/>
  <c r="AS415" i="3"/>
  <c r="AS415" i="2" s="1"/>
  <c r="AS416" i="2"/>
  <c r="BI415" i="3"/>
  <c r="BI415" i="2" s="1"/>
  <c r="BI416" i="2"/>
  <c r="I327" i="2"/>
  <c r="Y327" i="2"/>
  <c r="AO327" i="2"/>
  <c r="BE327" i="2"/>
  <c r="L328" i="2"/>
  <c r="AB328" i="2"/>
  <c r="AR328" i="2"/>
  <c r="BH328" i="2"/>
  <c r="O329" i="2"/>
  <c r="AE329" i="2"/>
  <c r="AU329" i="2"/>
  <c r="BK329" i="2"/>
  <c r="V330" i="2"/>
  <c r="AL330" i="2"/>
  <c r="BB330" i="2"/>
  <c r="M331" i="2"/>
  <c r="AC331" i="2"/>
  <c r="AS331" i="2"/>
  <c r="BI331" i="2"/>
  <c r="P332" i="2"/>
  <c r="AF332" i="2"/>
  <c r="AV332" i="2"/>
  <c r="BL332" i="2"/>
  <c r="T333" i="3"/>
  <c r="T333" i="2" s="1"/>
  <c r="T334" i="2"/>
  <c r="AJ333" i="3"/>
  <c r="AJ333" i="2" s="1"/>
  <c r="AJ334" i="2"/>
  <c r="AZ333" i="3"/>
  <c r="AZ333" i="2" s="1"/>
  <c r="AZ334" i="2"/>
  <c r="G335" i="2"/>
  <c r="W335" i="2"/>
  <c r="AM335" i="2"/>
  <c r="BC335" i="2"/>
  <c r="N336" i="2"/>
  <c r="AD336" i="2"/>
  <c r="AT336" i="2"/>
  <c r="BJ336" i="2"/>
  <c r="U337" i="2"/>
  <c r="AK337" i="2"/>
  <c r="BA337" i="2"/>
  <c r="H338" i="2"/>
  <c r="X338" i="2"/>
  <c r="AN338" i="2"/>
  <c r="BD338" i="2"/>
  <c r="K339" i="2"/>
  <c r="AA339" i="2"/>
  <c r="AQ339" i="2"/>
  <c r="BG339" i="2"/>
  <c r="R340" i="2"/>
  <c r="AH340" i="2"/>
  <c r="AX340" i="2"/>
  <c r="I341" i="2"/>
  <c r="Y341" i="2"/>
  <c r="AO341" i="2"/>
  <c r="BE341" i="2"/>
  <c r="L342" i="2"/>
  <c r="AB342" i="2"/>
  <c r="AR342" i="2"/>
  <c r="BH342" i="2"/>
  <c r="O343" i="2"/>
  <c r="AE343" i="2"/>
  <c r="AU343" i="2"/>
  <c r="BK343" i="2"/>
  <c r="V344" i="2"/>
  <c r="AL344" i="2"/>
  <c r="BB344" i="2"/>
  <c r="M345" i="2"/>
  <c r="AC345" i="2"/>
  <c r="AS345" i="2"/>
  <c r="BI345" i="2"/>
  <c r="P346" i="2"/>
  <c r="AF346" i="2"/>
  <c r="AV346" i="2"/>
  <c r="BL346" i="2"/>
  <c r="S347" i="2"/>
  <c r="AI347" i="2"/>
  <c r="AY347" i="2"/>
  <c r="J348" i="2"/>
  <c r="Z348" i="2"/>
  <c r="AP348" i="2"/>
  <c r="BF348" i="2"/>
  <c r="Q349" i="2"/>
  <c r="AG349" i="2"/>
  <c r="AW349" i="2"/>
  <c r="BM349" i="2"/>
  <c r="T350" i="2"/>
  <c r="AJ350" i="2"/>
  <c r="AZ350" i="2"/>
  <c r="G351" i="2"/>
  <c r="W351" i="2"/>
  <c r="AM351" i="2"/>
  <c r="BC351" i="2"/>
  <c r="N352" i="2"/>
  <c r="AD352" i="2"/>
  <c r="AT352" i="2"/>
  <c r="BJ352" i="2"/>
  <c r="U353" i="2"/>
  <c r="AK353" i="2"/>
  <c r="BA353" i="2"/>
  <c r="H354" i="2"/>
  <c r="X354" i="2"/>
  <c r="AN354" i="2"/>
  <c r="BD354" i="2"/>
  <c r="K355" i="2"/>
  <c r="AA355" i="2"/>
  <c r="AQ355" i="2"/>
  <c r="BG355" i="2"/>
  <c r="R356" i="2"/>
  <c r="AH356" i="2"/>
  <c r="AX356" i="2"/>
  <c r="I357" i="2"/>
  <c r="Y357" i="2"/>
  <c r="AO357" i="2"/>
  <c r="BE357" i="2"/>
  <c r="L358" i="2"/>
  <c r="AB358" i="2"/>
  <c r="AR358" i="2"/>
  <c r="BH358" i="2"/>
  <c r="O359" i="2"/>
  <c r="AE359" i="2"/>
  <c r="AU359" i="2"/>
  <c r="BK359" i="2"/>
  <c r="V360" i="2"/>
  <c r="AL360" i="2"/>
  <c r="BB360" i="2"/>
  <c r="M361" i="2"/>
  <c r="AC361" i="2"/>
  <c r="AS361" i="2"/>
  <c r="BI361" i="2"/>
  <c r="P362" i="2"/>
  <c r="AF362" i="2"/>
  <c r="AV362" i="2"/>
  <c r="BL362" i="2"/>
  <c r="S363" i="2"/>
  <c r="AI363" i="2"/>
  <c r="AY363" i="2"/>
  <c r="J364" i="2"/>
  <c r="Z364" i="2"/>
  <c r="AP364" i="2"/>
  <c r="BF364" i="2"/>
  <c r="Q365" i="2"/>
  <c r="AG365" i="2"/>
  <c r="AW365" i="2"/>
  <c r="BM365" i="2"/>
  <c r="T366" i="2"/>
  <c r="AJ366" i="2"/>
  <c r="AZ366" i="2"/>
  <c r="G367" i="2"/>
  <c r="W367" i="2"/>
  <c r="AM367" i="2"/>
  <c r="BC367" i="2"/>
  <c r="N368" i="2"/>
  <c r="AD368" i="2"/>
  <c r="AT368" i="2"/>
  <c r="BJ368" i="2"/>
  <c r="U369" i="2"/>
  <c r="AK369" i="2"/>
  <c r="BA369" i="2"/>
  <c r="H370" i="2"/>
  <c r="X370" i="2"/>
  <c r="AN370" i="2"/>
  <c r="BD370" i="2"/>
  <c r="K371" i="2"/>
  <c r="AA371" i="2"/>
  <c r="AQ371" i="2"/>
  <c r="BG371" i="2"/>
  <c r="R372" i="2"/>
  <c r="AH372" i="2"/>
  <c r="AX372" i="2"/>
  <c r="I373" i="2"/>
  <c r="Y373" i="2"/>
  <c r="AO373" i="2"/>
  <c r="BE373" i="2"/>
  <c r="M374" i="3"/>
  <c r="M374" i="2" s="1"/>
  <c r="M375" i="2"/>
  <c r="AC374" i="3"/>
  <c r="AC374" i="2" s="1"/>
  <c r="AC375" i="2"/>
  <c r="AS374" i="3"/>
  <c r="AS374" i="2" s="1"/>
  <c r="AS375" i="2"/>
  <c r="BI374" i="3"/>
  <c r="BI374" i="2" s="1"/>
  <c r="BI375" i="2"/>
  <c r="P376" i="2"/>
  <c r="AF376" i="2"/>
  <c r="AV376" i="2"/>
  <c r="BL376" i="2"/>
  <c r="S377" i="2"/>
  <c r="AI377" i="2"/>
  <c r="AY377" i="2"/>
  <c r="J378" i="2"/>
  <c r="Z378" i="2"/>
  <c r="AP378" i="2"/>
  <c r="BF378" i="2"/>
  <c r="Q379" i="2"/>
  <c r="AG379" i="2"/>
  <c r="AW379" i="2"/>
  <c r="BM379" i="2"/>
  <c r="T380" i="2"/>
  <c r="AJ380" i="2"/>
  <c r="AZ380" i="2"/>
  <c r="G381" i="2"/>
  <c r="W381" i="2"/>
  <c r="AM381" i="2"/>
  <c r="BC381" i="2"/>
  <c r="N382" i="2"/>
  <c r="AD382" i="2"/>
  <c r="AT382" i="2"/>
  <c r="BJ382" i="2"/>
  <c r="U383" i="2"/>
  <c r="AK383" i="2"/>
  <c r="BA383" i="2"/>
  <c r="H384" i="2"/>
  <c r="X384" i="2"/>
  <c r="AN384" i="2"/>
  <c r="BD384" i="2"/>
  <c r="K385" i="2"/>
  <c r="AA385" i="2"/>
  <c r="AQ385" i="2"/>
  <c r="BG385" i="2"/>
  <c r="R386" i="2"/>
  <c r="AH386" i="2"/>
  <c r="AX386" i="2"/>
  <c r="I387" i="2"/>
  <c r="Y387" i="2"/>
  <c r="AO387" i="2"/>
  <c r="BE387" i="2"/>
  <c r="L388" i="2"/>
  <c r="AB388" i="2"/>
  <c r="AR388" i="2"/>
  <c r="BH388" i="2"/>
  <c r="O389" i="2"/>
  <c r="AE389" i="2"/>
  <c r="AU389" i="2"/>
  <c r="BK389" i="2"/>
  <c r="V390" i="2"/>
  <c r="AL390" i="2"/>
  <c r="BB390" i="2"/>
  <c r="M391" i="2"/>
  <c r="AC391" i="2"/>
  <c r="AS391" i="2"/>
  <c r="BI391" i="2"/>
  <c r="P392" i="2"/>
  <c r="AF392" i="2"/>
  <c r="AV392" i="2"/>
  <c r="BL392" i="2"/>
  <c r="S393" i="2"/>
  <c r="AI393" i="2"/>
  <c r="AY393" i="2"/>
  <c r="J394" i="2"/>
  <c r="Z394" i="2"/>
  <c r="AP394" i="2"/>
  <c r="BF394" i="2"/>
  <c r="Q395" i="2"/>
  <c r="AG395" i="2"/>
  <c r="AW395" i="2"/>
  <c r="BM395" i="2"/>
  <c r="T396" i="2"/>
  <c r="AJ396" i="2"/>
  <c r="AZ396" i="2"/>
  <c r="G397" i="2"/>
  <c r="W397" i="2"/>
  <c r="AM397" i="2"/>
  <c r="BC397" i="2"/>
  <c r="N398" i="2"/>
  <c r="AD398" i="2"/>
  <c r="AT398" i="2"/>
  <c r="BJ398" i="2"/>
  <c r="U399" i="2"/>
  <c r="AK399" i="2"/>
  <c r="BA399" i="2"/>
  <c r="H400" i="2"/>
  <c r="X400" i="2"/>
  <c r="AN400" i="2"/>
  <c r="BD400" i="2"/>
  <c r="K401" i="2"/>
  <c r="AA401" i="2"/>
  <c r="AQ401" i="2"/>
  <c r="BG401" i="2"/>
  <c r="R402" i="2"/>
  <c r="AH402" i="2"/>
  <c r="AX402" i="2"/>
  <c r="I403" i="2"/>
  <c r="Y403" i="2"/>
  <c r="AO403" i="2"/>
  <c r="BE403" i="2"/>
  <c r="L404" i="2"/>
  <c r="AB404" i="2"/>
  <c r="AR404" i="2"/>
  <c r="BH404" i="2"/>
  <c r="O405" i="2"/>
  <c r="AE405" i="2"/>
  <c r="AU405" i="2"/>
  <c r="BK405" i="2"/>
  <c r="V406" i="2"/>
  <c r="AL406" i="2"/>
  <c r="BB406" i="2"/>
  <c r="M407" i="2"/>
  <c r="AC407" i="2"/>
  <c r="AS407" i="2"/>
  <c r="BI407" i="2"/>
  <c r="P408" i="2"/>
  <c r="AF408" i="2"/>
  <c r="AV408" i="2"/>
  <c r="BL408" i="2"/>
  <c r="S409" i="2"/>
  <c r="AI409" i="2"/>
  <c r="AY409" i="2"/>
  <c r="J410" i="2"/>
  <c r="Z410" i="2"/>
  <c r="AP410" i="2"/>
  <c r="BF410" i="2"/>
  <c r="Q411" i="2"/>
  <c r="AG411" i="2"/>
  <c r="AW411" i="2"/>
  <c r="BM411" i="2"/>
  <c r="T412" i="2"/>
  <c r="AJ412" i="2"/>
  <c r="AZ412" i="2"/>
  <c r="G413" i="2"/>
  <c r="W413" i="2"/>
  <c r="AM413" i="2"/>
  <c r="BC413" i="2"/>
  <c r="N414" i="2"/>
  <c r="AD414" i="2"/>
  <c r="AT414" i="2"/>
  <c r="BJ414" i="2"/>
  <c r="V415" i="3"/>
  <c r="V415" i="2" s="1"/>
  <c r="V416" i="2"/>
  <c r="AL415" i="3"/>
  <c r="AL415" i="2" s="1"/>
  <c r="AL416" i="2"/>
  <c r="BB415" i="3"/>
  <c r="BB415" i="2" s="1"/>
  <c r="BB416" i="2"/>
  <c r="O326" i="2"/>
  <c r="AE326" i="2"/>
  <c r="AU326" i="2"/>
  <c r="BK326" i="2"/>
  <c r="V327" i="2"/>
  <c r="AL327" i="2"/>
  <c r="BB327" i="2"/>
  <c r="M328" i="2"/>
  <c r="AC328" i="2"/>
  <c r="AS328" i="2"/>
  <c r="BI328" i="2"/>
  <c r="P329" i="2"/>
  <c r="AF329" i="2"/>
  <c r="AV329" i="2"/>
  <c r="BL329" i="2"/>
  <c r="S330" i="2"/>
  <c r="AI330" i="2"/>
  <c r="AY330" i="2"/>
  <c r="J331" i="2"/>
  <c r="Z331" i="2"/>
  <c r="AP331" i="2"/>
  <c r="BF331" i="2"/>
  <c r="Q332" i="2"/>
  <c r="AG332" i="2"/>
  <c r="AW332" i="2"/>
  <c r="BM332" i="2"/>
  <c r="U333" i="3"/>
  <c r="U333" i="2" s="1"/>
  <c r="U334" i="2"/>
  <c r="AK333" i="3"/>
  <c r="AK333" i="2" s="1"/>
  <c r="AK334" i="2"/>
  <c r="BA333" i="3"/>
  <c r="BA333" i="2" s="1"/>
  <c r="BA334" i="2"/>
  <c r="H335" i="2"/>
  <c r="X335" i="2"/>
  <c r="AN335" i="2"/>
  <c r="BD335" i="2"/>
  <c r="K336" i="2"/>
  <c r="AA336" i="2"/>
  <c r="AQ336" i="2"/>
  <c r="BG336" i="2"/>
  <c r="R337" i="2"/>
  <c r="AH337" i="2"/>
  <c r="AX337" i="2"/>
  <c r="I338" i="2"/>
  <c r="Y338" i="2"/>
  <c r="AO338" i="2"/>
  <c r="BE338" i="2"/>
  <c r="L339" i="2"/>
  <c r="AB339" i="2"/>
  <c r="AR339" i="2"/>
  <c r="BH339" i="2"/>
  <c r="O340" i="2"/>
  <c r="AE340" i="2"/>
  <c r="AU340" i="2"/>
  <c r="BK340" i="2"/>
  <c r="V341" i="2"/>
  <c r="AL341" i="2"/>
  <c r="BB341" i="2"/>
  <c r="M342" i="2"/>
  <c r="AC342" i="2"/>
  <c r="AS342" i="2"/>
  <c r="BI342" i="2"/>
  <c r="P343" i="2"/>
  <c r="AF343" i="2"/>
  <c r="AV343" i="2"/>
  <c r="BL343" i="2"/>
  <c r="S344" i="2"/>
  <c r="AI344" i="2"/>
  <c r="AY344" i="2"/>
  <c r="J345" i="2"/>
  <c r="Z345" i="2"/>
  <c r="AP345" i="2"/>
  <c r="BF345" i="2"/>
  <c r="Q346" i="2"/>
  <c r="AG346" i="2"/>
  <c r="AW346" i="2"/>
  <c r="BM346" i="2"/>
  <c r="T347" i="2"/>
  <c r="AJ347" i="2"/>
  <c r="AZ347" i="2"/>
  <c r="G348" i="2"/>
  <c r="W348" i="2"/>
  <c r="AM348" i="2"/>
  <c r="BC348" i="2"/>
  <c r="N349" i="2"/>
  <c r="AD349" i="2"/>
  <c r="AT349" i="2"/>
  <c r="BJ349" i="2"/>
  <c r="U350" i="2"/>
  <c r="AK350" i="2"/>
  <c r="BA350" i="2"/>
  <c r="H351" i="2"/>
  <c r="X351" i="2"/>
  <c r="AN351" i="2"/>
  <c r="BD351" i="2"/>
  <c r="K352" i="2"/>
  <c r="AA352" i="2"/>
  <c r="AQ352" i="2"/>
  <c r="BG352" i="2"/>
  <c r="R353" i="2"/>
  <c r="AH353" i="2"/>
  <c r="AX353" i="2"/>
  <c r="I354" i="2"/>
  <c r="Y354" i="2"/>
  <c r="AO354" i="2"/>
  <c r="BE354" i="2"/>
  <c r="L355" i="2"/>
  <c r="AB355" i="2"/>
  <c r="AR355" i="2"/>
  <c r="BH355" i="2"/>
  <c r="O356" i="2"/>
  <c r="AE356" i="2"/>
  <c r="AU356" i="2"/>
  <c r="BK356" i="2"/>
  <c r="V357" i="2"/>
  <c r="AL357" i="2"/>
  <c r="BB357" i="2"/>
  <c r="M358" i="2"/>
  <c r="AC358" i="2"/>
  <c r="AS358" i="2"/>
  <c r="BI358" i="2"/>
  <c r="P359" i="2"/>
  <c r="AF359" i="2"/>
  <c r="AV359" i="2"/>
  <c r="BL359" i="2"/>
  <c r="S360" i="2"/>
  <c r="AI360" i="2"/>
  <c r="AY360" i="2"/>
  <c r="J361" i="2"/>
  <c r="Z361" i="2"/>
  <c r="AP361" i="2"/>
  <c r="BF361" i="2"/>
  <c r="Q362" i="2"/>
  <c r="AG362" i="2"/>
  <c r="AW362" i="2"/>
  <c r="BM362" i="2"/>
  <c r="T363" i="2"/>
  <c r="AJ363" i="2"/>
  <c r="AZ363" i="2"/>
  <c r="G364" i="2"/>
  <c r="W364" i="2"/>
  <c r="AM364" i="2"/>
  <c r="BC364" i="2"/>
  <c r="N365" i="2"/>
  <c r="AD365" i="2"/>
  <c r="AT365" i="2"/>
  <c r="BJ365" i="2"/>
  <c r="U366" i="2"/>
  <c r="AK366" i="2"/>
  <c r="BA366" i="2"/>
  <c r="H367" i="2"/>
  <c r="X367" i="2"/>
  <c r="AN367" i="2"/>
  <c r="BD367" i="2"/>
  <c r="K368" i="2"/>
  <c r="AA368" i="2"/>
  <c r="AQ368" i="2"/>
  <c r="BG368" i="2"/>
  <c r="R369" i="2"/>
  <c r="AH369" i="2"/>
  <c r="AX369" i="2"/>
  <c r="I370" i="2"/>
  <c r="Y370" i="2"/>
  <c r="AO370" i="2"/>
  <c r="BE370" i="2"/>
  <c r="L371" i="2"/>
  <c r="AB371" i="2"/>
  <c r="AR371" i="2"/>
  <c r="BH371" i="2"/>
  <c r="O372" i="2"/>
  <c r="AE372" i="2"/>
  <c r="AU372" i="2"/>
  <c r="BK372" i="2"/>
  <c r="V373" i="2"/>
  <c r="AL373" i="2"/>
  <c r="BB373" i="2"/>
  <c r="N374" i="3"/>
  <c r="N374" i="2" s="1"/>
  <c r="N375" i="2"/>
  <c r="AD374" i="3"/>
  <c r="AD374" i="2" s="1"/>
  <c r="AD375" i="2"/>
  <c r="AT374" i="3"/>
  <c r="AT374" i="2" s="1"/>
  <c r="AT375" i="2"/>
  <c r="BJ374" i="3"/>
  <c r="BJ374" i="2" s="1"/>
  <c r="BJ375" i="2"/>
  <c r="U376" i="2"/>
  <c r="AK376" i="2"/>
  <c r="BA376" i="2"/>
  <c r="H377" i="2"/>
  <c r="X377" i="2"/>
  <c r="AN377" i="2"/>
  <c r="BD377" i="2"/>
  <c r="K378" i="2"/>
  <c r="AA378" i="2"/>
  <c r="AQ378" i="2"/>
  <c r="BG378" i="2"/>
  <c r="R379" i="2"/>
  <c r="AH379" i="2"/>
  <c r="AX379" i="2"/>
  <c r="I380" i="2"/>
  <c r="Y380" i="2"/>
  <c r="AO380" i="2"/>
  <c r="BE380" i="2"/>
  <c r="L381" i="2"/>
  <c r="AB381" i="2"/>
  <c r="AR381" i="2"/>
  <c r="BH381" i="2"/>
  <c r="O382" i="2"/>
  <c r="AE382" i="2"/>
  <c r="AU382" i="2"/>
  <c r="BK382" i="2"/>
  <c r="V383" i="2"/>
  <c r="AL383" i="2"/>
  <c r="BB383" i="2"/>
  <c r="M384" i="2"/>
  <c r="AC384" i="2"/>
  <c r="AS384" i="2"/>
  <c r="BI384" i="2"/>
  <c r="P385" i="2"/>
  <c r="AF385" i="2"/>
  <c r="AV385" i="2"/>
  <c r="BL385" i="2"/>
  <c r="S386" i="2"/>
  <c r="AI386" i="2"/>
  <c r="AY386" i="2"/>
  <c r="J387" i="2"/>
  <c r="Z387" i="2"/>
  <c r="AP387" i="2"/>
  <c r="BF387" i="2"/>
  <c r="Q388" i="2"/>
  <c r="AG388" i="2"/>
  <c r="AW388" i="2"/>
  <c r="BM388" i="2"/>
  <c r="T389" i="2"/>
  <c r="AJ389" i="2"/>
  <c r="AZ389" i="2"/>
  <c r="G390" i="2"/>
  <c r="W390" i="2"/>
  <c r="AM390" i="2"/>
  <c r="BC390" i="2"/>
  <c r="N391" i="2"/>
  <c r="AD391" i="2"/>
  <c r="AT391" i="2"/>
  <c r="BJ391" i="2"/>
  <c r="U392" i="2"/>
  <c r="AK392" i="2"/>
  <c r="BA392" i="2"/>
  <c r="H393" i="2"/>
  <c r="X393" i="2"/>
  <c r="AN393" i="2"/>
  <c r="BD393" i="2"/>
  <c r="K394" i="2"/>
  <c r="AA394" i="2"/>
  <c r="AQ394" i="2"/>
  <c r="BG394" i="2"/>
  <c r="R395" i="2"/>
  <c r="AH395" i="2"/>
  <c r="AX395" i="2"/>
  <c r="I396" i="2"/>
  <c r="Y396" i="2"/>
  <c r="AO396" i="2"/>
  <c r="BE396" i="2"/>
  <c r="L397" i="2"/>
  <c r="AB397" i="2"/>
  <c r="AR397" i="2"/>
  <c r="BH397" i="2"/>
  <c r="O398" i="2"/>
  <c r="AE398" i="2"/>
  <c r="AU398" i="2"/>
  <c r="BK398" i="2"/>
  <c r="V399" i="2"/>
  <c r="AL399" i="2"/>
  <c r="BB399" i="2"/>
  <c r="M400" i="2"/>
  <c r="AC400" i="2"/>
  <c r="AS400" i="2"/>
  <c r="BI400" i="2"/>
  <c r="P401" i="2"/>
  <c r="AF401" i="2"/>
  <c r="AV401" i="2"/>
  <c r="BL401" i="2"/>
  <c r="S402" i="2"/>
  <c r="AI402" i="2"/>
  <c r="AY402" i="2"/>
  <c r="J403" i="2"/>
  <c r="Z403" i="2"/>
  <c r="AP403" i="2"/>
  <c r="BF403" i="2"/>
  <c r="Q404" i="2"/>
  <c r="AG404" i="2"/>
  <c r="AW404" i="2"/>
  <c r="BM404" i="2"/>
  <c r="T405" i="2"/>
  <c r="AJ405" i="2"/>
  <c r="AZ405" i="2"/>
  <c r="G406" i="2"/>
  <c r="W406" i="2"/>
  <c r="AM406" i="2"/>
  <c r="BC406" i="2"/>
  <c r="N407" i="2"/>
  <c r="AD407" i="2"/>
  <c r="AT407" i="2"/>
  <c r="BJ407" i="2"/>
  <c r="U408" i="2"/>
  <c r="AK408" i="2"/>
  <c r="BA408" i="2"/>
  <c r="H409" i="2"/>
  <c r="X409" i="2"/>
  <c r="AN409" i="2"/>
  <c r="BD409" i="2"/>
  <c r="K410" i="2"/>
  <c r="AA410" i="2"/>
  <c r="AQ410" i="2"/>
  <c r="BG410" i="2"/>
  <c r="R411" i="2"/>
  <c r="AH411" i="2"/>
  <c r="AX411" i="2"/>
  <c r="I412" i="2"/>
  <c r="Y412" i="2"/>
  <c r="AO412" i="2"/>
  <c r="BE412" i="2"/>
  <c r="L413" i="2"/>
  <c r="AB413" i="2"/>
  <c r="AR413" i="2"/>
  <c r="BH413" i="2"/>
  <c r="O414" i="2"/>
  <c r="AE414" i="2"/>
  <c r="AU414" i="2"/>
  <c r="BK414" i="2"/>
  <c r="S415" i="3"/>
  <c r="S415" i="2" s="1"/>
  <c r="S416" i="2"/>
  <c r="AI415" i="3"/>
  <c r="AI415" i="2" s="1"/>
  <c r="AI416" i="2"/>
  <c r="AY415" i="3"/>
  <c r="AY415" i="2" s="1"/>
  <c r="AY416" i="2"/>
  <c r="H417" i="2"/>
  <c r="O417" i="2"/>
  <c r="AE417" i="2"/>
  <c r="AU417" i="2"/>
  <c r="BK417" i="2"/>
  <c r="V418" i="2"/>
  <c r="AL418" i="2"/>
  <c r="BB418" i="2"/>
  <c r="M419" i="2"/>
  <c r="AC419" i="2"/>
  <c r="AS419" i="2"/>
  <c r="BI419" i="2"/>
  <c r="P420" i="2"/>
  <c r="AF420" i="2"/>
  <c r="AV420" i="2"/>
  <c r="BL420" i="2"/>
  <c r="S421" i="2"/>
  <c r="AI421" i="2"/>
  <c r="AY421" i="2"/>
  <c r="J422" i="2"/>
  <c r="Z422" i="2"/>
  <c r="AP422" i="2"/>
  <c r="BF422" i="2"/>
  <c r="Q423" i="2"/>
  <c r="AG423" i="2"/>
  <c r="AW423" i="2"/>
  <c r="BM423" i="2"/>
  <c r="T424" i="2"/>
  <c r="AJ424" i="2"/>
  <c r="AZ424" i="2"/>
  <c r="G425" i="2"/>
  <c r="W425" i="2"/>
  <c r="AM425" i="2"/>
  <c r="BC425" i="2"/>
  <c r="N426" i="2"/>
  <c r="AD426" i="2"/>
  <c r="AT426" i="2"/>
  <c r="BJ426" i="2"/>
  <c r="U427" i="2"/>
  <c r="AK427" i="2"/>
  <c r="BA427" i="2"/>
  <c r="H428" i="2"/>
  <c r="X428" i="2"/>
  <c r="AN428" i="2"/>
  <c r="BD428" i="2"/>
  <c r="K429" i="2"/>
  <c r="AA429" i="2"/>
  <c r="AQ429" i="2"/>
  <c r="BG429" i="2"/>
  <c r="R430" i="2"/>
  <c r="AH430" i="2"/>
  <c r="AX430" i="2"/>
  <c r="I431" i="2"/>
  <c r="Y431" i="2"/>
  <c r="AO431" i="2"/>
  <c r="BE431" i="2"/>
  <c r="L432" i="2"/>
  <c r="AB432" i="2"/>
  <c r="AR432" i="2"/>
  <c r="BH432" i="2"/>
  <c r="O433" i="2"/>
  <c r="AE433" i="2"/>
  <c r="AU433" i="2"/>
  <c r="BK433" i="2"/>
  <c r="V434" i="2"/>
  <c r="AL434" i="2"/>
  <c r="BB434" i="2"/>
  <c r="M435" i="2"/>
  <c r="AC435" i="2"/>
  <c r="AS435" i="2"/>
  <c r="BI435" i="2"/>
  <c r="P436" i="2"/>
  <c r="AF436" i="2"/>
  <c r="AV436" i="2"/>
  <c r="BL436" i="2"/>
  <c r="S437" i="2"/>
  <c r="AI437" i="2"/>
  <c r="AY437" i="2"/>
  <c r="J438" i="2"/>
  <c r="Z438" i="2"/>
  <c r="AP438" i="2"/>
  <c r="BF438" i="2"/>
  <c r="Q439" i="2"/>
  <c r="AG439" i="2"/>
  <c r="AW439" i="2"/>
  <c r="BM439" i="2"/>
  <c r="T440" i="2"/>
  <c r="AJ440" i="2"/>
  <c r="AZ440" i="2"/>
  <c r="G441" i="2"/>
  <c r="W441" i="2"/>
  <c r="AM441" i="2"/>
  <c r="BC441" i="2"/>
  <c r="N442" i="2"/>
  <c r="AD442" i="2"/>
  <c r="AT442" i="2"/>
  <c r="BJ442" i="2"/>
  <c r="U443" i="2"/>
  <c r="AK443" i="2"/>
  <c r="BA443" i="2"/>
  <c r="H444" i="2"/>
  <c r="X444" i="2"/>
  <c r="AN444" i="2"/>
  <c r="BD444" i="2"/>
  <c r="K445" i="2"/>
  <c r="AA445" i="2"/>
  <c r="AQ445" i="2"/>
  <c r="BG445" i="2"/>
  <c r="R446" i="2"/>
  <c r="AH446" i="2"/>
  <c r="AX446" i="2"/>
  <c r="I447" i="2"/>
  <c r="Y447" i="2"/>
  <c r="AO447" i="2"/>
  <c r="BE447" i="2"/>
  <c r="L448" i="2"/>
  <c r="AB448" i="2"/>
  <c r="AR448" i="2"/>
  <c r="BH448" i="2"/>
  <c r="O449" i="2"/>
  <c r="AE449" i="2"/>
  <c r="AU449" i="2"/>
  <c r="BK449" i="2"/>
  <c r="V450" i="2"/>
  <c r="AL450" i="2"/>
  <c r="BB450" i="2"/>
  <c r="M451" i="2"/>
  <c r="AC451" i="2"/>
  <c r="AS451" i="2"/>
  <c r="BI451" i="2"/>
  <c r="P452" i="2"/>
  <c r="AF452" i="2"/>
  <c r="AV452" i="2"/>
  <c r="BL452" i="2"/>
  <c r="S453" i="2"/>
  <c r="AI453" i="2"/>
  <c r="AY453" i="2"/>
  <c r="J454" i="2"/>
  <c r="Z454" i="2"/>
  <c r="AP454" i="2"/>
  <c r="BF454" i="2"/>
  <c r="Q455" i="2"/>
  <c r="AG455" i="2"/>
  <c r="AW455" i="2"/>
  <c r="BM455" i="2"/>
  <c r="U456" i="3"/>
  <c r="U456" i="2" s="1"/>
  <c r="U457" i="2"/>
  <c r="AK456" i="3"/>
  <c r="AK456" i="2" s="1"/>
  <c r="AK457" i="2"/>
  <c r="BA456" i="3"/>
  <c r="BA456" i="2" s="1"/>
  <c r="BA457" i="2"/>
  <c r="H458" i="2"/>
  <c r="X458" i="2"/>
  <c r="AN458" i="2"/>
  <c r="BD458" i="2"/>
  <c r="K459" i="2"/>
  <c r="AA459" i="2"/>
  <c r="AQ459" i="2"/>
  <c r="BG459" i="2"/>
  <c r="R460" i="2"/>
  <c r="AH460" i="2"/>
  <c r="AX460" i="2"/>
  <c r="I461" i="2"/>
  <c r="Y461" i="2"/>
  <c r="AO461" i="2"/>
  <c r="BE461" i="2"/>
  <c r="N462" i="2"/>
  <c r="AJ462" i="2"/>
  <c r="BL462" i="2"/>
  <c r="BH463" i="2"/>
  <c r="AV417" i="2"/>
  <c r="BL417" i="2"/>
  <c r="S418" i="2"/>
  <c r="AI418" i="2"/>
  <c r="AY418" i="2"/>
  <c r="J419" i="2"/>
  <c r="Z419" i="2"/>
  <c r="AP419" i="2"/>
  <c r="BF419" i="2"/>
  <c r="Q420" i="2"/>
  <c r="AG420" i="2"/>
  <c r="AW420" i="2"/>
  <c r="BM420" i="2"/>
  <c r="T421" i="2"/>
  <c r="AJ421" i="2"/>
  <c r="AZ421" i="2"/>
  <c r="G422" i="2"/>
  <c r="W422" i="2"/>
  <c r="AM422" i="2"/>
  <c r="BC422" i="2"/>
  <c r="N423" i="2"/>
  <c r="AD423" i="2"/>
  <c r="AT423" i="2"/>
  <c r="BJ423" i="2"/>
  <c r="U424" i="2"/>
  <c r="AK424" i="2"/>
  <c r="BA424" i="2"/>
  <c r="H425" i="2"/>
  <c r="X425" i="2"/>
  <c r="AN425" i="2"/>
  <c r="BD425" i="2"/>
  <c r="K426" i="2"/>
  <c r="AA426" i="2"/>
  <c r="AQ426" i="2"/>
  <c r="BG426" i="2"/>
  <c r="R427" i="2"/>
  <c r="AH427" i="2"/>
  <c r="AX427" i="2"/>
  <c r="I428" i="2"/>
  <c r="Y428" i="2"/>
  <c r="AO428" i="2"/>
  <c r="BE428" i="2"/>
  <c r="L429" i="2"/>
  <c r="AB429" i="2"/>
  <c r="AR429" i="2"/>
  <c r="BH429" i="2"/>
  <c r="O430" i="2"/>
  <c r="AE430" i="2"/>
  <c r="AU430" i="2"/>
  <c r="BK430" i="2"/>
  <c r="V431" i="2"/>
  <c r="AL431" i="2"/>
  <c r="BB431" i="2"/>
  <c r="M432" i="2"/>
  <c r="AC432" i="2"/>
  <c r="AS432" i="2"/>
  <c r="BI432" i="2"/>
  <c r="P433" i="2"/>
  <c r="AF433" i="2"/>
  <c r="AV433" i="2"/>
  <c r="BL433" i="2"/>
  <c r="S434" i="2"/>
  <c r="AI434" i="2"/>
  <c r="AY434" i="2"/>
  <c r="J435" i="2"/>
  <c r="Z435" i="2"/>
  <c r="AP435" i="2"/>
  <c r="BF435" i="2"/>
  <c r="Q436" i="2"/>
  <c r="AG436" i="2"/>
  <c r="AW436" i="2"/>
  <c r="BM436" i="2"/>
  <c r="T437" i="2"/>
  <c r="AJ437" i="2"/>
  <c r="AZ437" i="2"/>
  <c r="G438" i="2"/>
  <c r="W438" i="2"/>
  <c r="AM438" i="2"/>
  <c r="BC438" i="2"/>
  <c r="N439" i="2"/>
  <c r="AD439" i="2"/>
  <c r="AT439" i="2"/>
  <c r="BJ439" i="2"/>
  <c r="U440" i="2"/>
  <c r="AK440" i="2"/>
  <c r="BA440" i="2"/>
  <c r="H441" i="2"/>
  <c r="X441" i="2"/>
  <c r="AN441" i="2"/>
  <c r="BD441" i="2"/>
  <c r="K442" i="2"/>
  <c r="AA442" i="2"/>
  <c r="AQ442" i="2"/>
  <c r="BG442" i="2"/>
  <c r="R443" i="2"/>
  <c r="AH443" i="2"/>
  <c r="AX443" i="2"/>
  <c r="I444" i="2"/>
  <c r="Y444" i="2"/>
  <c r="AO444" i="2"/>
  <c r="BE444" i="2"/>
  <c r="L445" i="2"/>
  <c r="AB445" i="2"/>
  <c r="AR445" i="2"/>
  <c r="BH445" i="2"/>
  <c r="O446" i="2"/>
  <c r="AE446" i="2"/>
  <c r="AU446" i="2"/>
  <c r="BK446" i="2"/>
  <c r="V447" i="2"/>
  <c r="AL447" i="2"/>
  <c r="BB447" i="2"/>
  <c r="M448" i="2"/>
  <c r="AC448" i="2"/>
  <c r="AS448" i="2"/>
  <c r="BI448" i="2"/>
  <c r="P449" i="2"/>
  <c r="AF449" i="2"/>
  <c r="AV449" i="2"/>
  <c r="BL449" i="2"/>
  <c r="S450" i="2"/>
  <c r="AI450" i="2"/>
  <c r="AY450" i="2"/>
  <c r="J451" i="2"/>
  <c r="Z451" i="2"/>
  <c r="AP451" i="2"/>
  <c r="BF451" i="2"/>
  <c r="Q452" i="2"/>
  <c r="AG452" i="2"/>
  <c r="AW452" i="2"/>
  <c r="BM452" i="2"/>
  <c r="T453" i="2"/>
  <c r="AJ453" i="2"/>
  <c r="AZ453" i="2"/>
  <c r="G454" i="2"/>
  <c r="W454" i="2"/>
  <c r="AM454" i="2"/>
  <c r="BC454" i="2"/>
  <c r="N455" i="2"/>
  <c r="AD455" i="2"/>
  <c r="AT455" i="2"/>
  <c r="BJ455" i="2"/>
  <c r="V456" i="3"/>
  <c r="V456" i="2" s="1"/>
  <c r="V457" i="2"/>
  <c r="AL456" i="3"/>
  <c r="AL456" i="2" s="1"/>
  <c r="AL457" i="2"/>
  <c r="BB456" i="3"/>
  <c r="BB456" i="2" s="1"/>
  <c r="BB457" i="2"/>
  <c r="M458" i="2"/>
  <c r="AC458" i="2"/>
  <c r="AS458" i="2"/>
  <c r="BI458" i="2"/>
  <c r="P459" i="2"/>
  <c r="AF459" i="2"/>
  <c r="AV459" i="2"/>
  <c r="BL459" i="2"/>
  <c r="S460" i="2"/>
  <c r="AI460" i="2"/>
  <c r="AY460" i="2"/>
  <c r="J461" i="2"/>
  <c r="Z461" i="2"/>
  <c r="AP461" i="2"/>
  <c r="BF461" i="2"/>
  <c r="U462" i="2"/>
  <c r="AP462" i="2"/>
  <c r="P463" i="2"/>
  <c r="I417" i="2"/>
  <c r="Y417" i="2"/>
  <c r="AO417" i="2"/>
  <c r="BE417" i="2"/>
  <c r="L418" i="2"/>
  <c r="AB418" i="2"/>
  <c r="AR418" i="2"/>
  <c r="BH418" i="2"/>
  <c r="O419" i="2"/>
  <c r="AE419" i="2"/>
  <c r="AU419" i="2"/>
  <c r="BK419" i="2"/>
  <c r="V420" i="2"/>
  <c r="AL420" i="2"/>
  <c r="BB420" i="2"/>
  <c r="M421" i="2"/>
  <c r="AC421" i="2"/>
  <c r="AS421" i="2"/>
  <c r="BI421" i="2"/>
  <c r="P422" i="2"/>
  <c r="AF422" i="2"/>
  <c r="AV422" i="2"/>
  <c r="BL422" i="2"/>
  <c r="S423" i="2"/>
  <c r="AI423" i="2"/>
  <c r="AY423" i="2"/>
  <c r="J424" i="2"/>
  <c r="Z424" i="2"/>
  <c r="AP424" i="2"/>
  <c r="BF424" i="2"/>
  <c r="Q425" i="2"/>
  <c r="AG425" i="2"/>
  <c r="AW425" i="2"/>
  <c r="BM425" i="2"/>
  <c r="T426" i="2"/>
  <c r="AJ426" i="2"/>
  <c r="AZ426" i="2"/>
  <c r="G427" i="2"/>
  <c r="W427" i="2"/>
  <c r="AM427" i="2"/>
  <c r="BC427" i="2"/>
  <c r="N428" i="2"/>
  <c r="AD428" i="2"/>
  <c r="AT428" i="2"/>
  <c r="BJ428" i="2"/>
  <c r="U429" i="2"/>
  <c r="AK429" i="2"/>
  <c r="BA429" i="2"/>
  <c r="H430" i="2"/>
  <c r="X430" i="2"/>
  <c r="AN430" i="2"/>
  <c r="BD430" i="2"/>
  <c r="K431" i="2"/>
  <c r="AA431" i="2"/>
  <c r="AQ431" i="2"/>
  <c r="BG431" i="2"/>
  <c r="R432" i="2"/>
  <c r="AH432" i="2"/>
  <c r="AX432" i="2"/>
  <c r="I433" i="2"/>
  <c r="Y433" i="2"/>
  <c r="AO433" i="2"/>
  <c r="BE433" i="2"/>
  <c r="L434" i="2"/>
  <c r="AB434" i="2"/>
  <c r="AR434" i="2"/>
  <c r="BH434" i="2"/>
  <c r="O435" i="2"/>
  <c r="AE435" i="2"/>
  <c r="AU435" i="2"/>
  <c r="BK435" i="2"/>
  <c r="V436" i="2"/>
  <c r="AL436" i="2"/>
  <c r="BB436" i="2"/>
  <c r="M437" i="2"/>
  <c r="AC437" i="2"/>
  <c r="AS437" i="2"/>
  <c r="BI437" i="2"/>
  <c r="P438" i="2"/>
  <c r="AF438" i="2"/>
  <c r="AV438" i="2"/>
  <c r="BL438" i="2"/>
  <c r="S439" i="2"/>
  <c r="AI439" i="2"/>
  <c r="AY439" i="2"/>
  <c r="J440" i="2"/>
  <c r="Z440" i="2"/>
  <c r="AP440" i="2"/>
  <c r="BF440" i="2"/>
  <c r="Q441" i="2"/>
  <c r="AG441" i="2"/>
  <c r="AW441" i="2"/>
  <c r="BM441" i="2"/>
  <c r="T442" i="2"/>
  <c r="AJ442" i="2"/>
  <c r="AZ442" i="2"/>
  <c r="G443" i="2"/>
  <c r="W443" i="2"/>
  <c r="AM443" i="2"/>
  <c r="BC443" i="2"/>
  <c r="N444" i="2"/>
  <c r="AD444" i="2"/>
  <c r="AT444" i="2"/>
  <c r="BJ444" i="2"/>
  <c r="U445" i="2"/>
  <c r="AK445" i="2"/>
  <c r="BA445" i="2"/>
  <c r="H446" i="2"/>
  <c r="X446" i="2"/>
  <c r="AN446" i="2"/>
  <c r="BD446" i="2"/>
  <c r="K447" i="2"/>
  <c r="AA447" i="2"/>
  <c r="AQ447" i="2"/>
  <c r="BG447" i="2"/>
  <c r="R448" i="2"/>
  <c r="AH448" i="2"/>
  <c r="AX448" i="2"/>
  <c r="I449" i="2"/>
  <c r="Y449" i="2"/>
  <c r="AO449" i="2"/>
  <c r="BE449" i="2"/>
  <c r="L450" i="2"/>
  <c r="AB450" i="2"/>
  <c r="AR450" i="2"/>
  <c r="BH450" i="2"/>
  <c r="O451" i="2"/>
  <c r="AE451" i="2"/>
  <c r="AU451" i="2"/>
  <c r="BK451" i="2"/>
  <c r="V452" i="2"/>
  <c r="AL452" i="2"/>
  <c r="BB452" i="2"/>
  <c r="M453" i="2"/>
  <c r="AC453" i="2"/>
  <c r="AS453" i="2"/>
  <c r="BI453" i="2"/>
  <c r="P454" i="2"/>
  <c r="AF454" i="2"/>
  <c r="AV454" i="2"/>
  <c r="BL454" i="2"/>
  <c r="S455" i="2"/>
  <c r="AI455" i="2"/>
  <c r="AY455" i="2"/>
  <c r="G456" i="3"/>
  <c r="G456" i="2" s="1"/>
  <c r="G457" i="2"/>
  <c r="W456" i="3"/>
  <c r="W456" i="2" s="1"/>
  <c r="W457" i="2"/>
  <c r="AM456" i="3"/>
  <c r="AM456" i="2" s="1"/>
  <c r="AM457" i="2"/>
  <c r="BC456" i="3"/>
  <c r="BC456" i="2" s="1"/>
  <c r="BC457" i="2"/>
  <c r="N458" i="2"/>
  <c r="AD458" i="2"/>
  <c r="AT458" i="2"/>
  <c r="BJ458" i="2"/>
  <c r="U459" i="2"/>
  <c r="AK459" i="2"/>
  <c r="BA459" i="2"/>
  <c r="H460" i="2"/>
  <c r="X460" i="2"/>
  <c r="AN460" i="2"/>
  <c r="BD460" i="2"/>
  <c r="K461" i="2"/>
  <c r="AA461" i="2"/>
  <c r="AQ461" i="2"/>
  <c r="BG461" i="2"/>
  <c r="V462" i="2"/>
  <c r="AR462" i="2"/>
  <c r="AJ463" i="2"/>
  <c r="R417" i="2"/>
  <c r="AH417" i="2"/>
  <c r="AX417" i="2"/>
  <c r="I418" i="2"/>
  <c r="Y418" i="2"/>
  <c r="AO418" i="2"/>
  <c r="BE418" i="2"/>
  <c r="L419" i="2"/>
  <c r="AB419" i="2"/>
  <c r="AR419" i="2"/>
  <c r="BH419" i="2"/>
  <c r="O420" i="2"/>
  <c r="AE420" i="2"/>
  <c r="AU420" i="2"/>
  <c r="BK420" i="2"/>
  <c r="V421" i="2"/>
  <c r="AL421" i="2"/>
  <c r="BB421" i="2"/>
  <c r="M422" i="2"/>
  <c r="AC422" i="2"/>
  <c r="AS422" i="2"/>
  <c r="BI422" i="2"/>
  <c r="P423" i="2"/>
  <c r="AF423" i="2"/>
  <c r="AV423" i="2"/>
  <c r="BL423" i="2"/>
  <c r="S424" i="2"/>
  <c r="AI424" i="2"/>
  <c r="AY424" i="2"/>
  <c r="J425" i="2"/>
  <c r="Z425" i="2"/>
  <c r="AP425" i="2"/>
  <c r="BF425" i="2"/>
  <c r="Q426" i="2"/>
  <c r="AG426" i="2"/>
  <c r="AW426" i="2"/>
  <c r="BM426" i="2"/>
  <c r="T427" i="2"/>
  <c r="AJ427" i="2"/>
  <c r="AZ427" i="2"/>
  <c r="G428" i="2"/>
  <c r="W428" i="2"/>
  <c r="AM428" i="2"/>
  <c r="BC428" i="2"/>
  <c r="N429" i="2"/>
  <c r="AD429" i="2"/>
  <c r="AT429" i="2"/>
  <c r="BJ429" i="2"/>
  <c r="U430" i="2"/>
  <c r="AK430" i="2"/>
  <c r="BA430" i="2"/>
  <c r="H431" i="2"/>
  <c r="X431" i="2"/>
  <c r="AN431" i="2"/>
  <c r="BD431" i="2"/>
  <c r="K432" i="2"/>
  <c r="AA432" i="2"/>
  <c r="AQ432" i="2"/>
  <c r="BG432" i="2"/>
  <c r="R433" i="2"/>
  <c r="AH433" i="2"/>
  <c r="AX433" i="2"/>
  <c r="I434" i="2"/>
  <c r="Y434" i="2"/>
  <c r="AO434" i="2"/>
  <c r="BE434" i="2"/>
  <c r="L435" i="2"/>
  <c r="AB435" i="2"/>
  <c r="AR435" i="2"/>
  <c r="BH435" i="2"/>
  <c r="O436" i="2"/>
  <c r="AE436" i="2"/>
  <c r="AU436" i="2"/>
  <c r="BK436" i="2"/>
  <c r="V437" i="2"/>
  <c r="AL437" i="2"/>
  <c r="BB437" i="2"/>
  <c r="M438" i="2"/>
  <c r="AC438" i="2"/>
  <c r="AS438" i="2"/>
  <c r="BI438" i="2"/>
  <c r="P439" i="2"/>
  <c r="AF439" i="2"/>
  <c r="AV439" i="2"/>
  <c r="BL439" i="2"/>
  <c r="S440" i="2"/>
  <c r="AI440" i="2"/>
  <c r="AY440" i="2"/>
  <c r="J441" i="2"/>
  <c r="Z441" i="2"/>
  <c r="AP441" i="2"/>
  <c r="BF441" i="2"/>
  <c r="Q442" i="2"/>
  <c r="AG442" i="2"/>
  <c r="AW442" i="2"/>
  <c r="BM442" i="2"/>
  <c r="T443" i="2"/>
  <c r="AJ443" i="2"/>
  <c r="AZ443" i="2"/>
  <c r="G444" i="2"/>
  <c r="W444" i="2"/>
  <c r="AM444" i="2"/>
  <c r="BC444" i="2"/>
  <c r="N445" i="2"/>
  <c r="AD445" i="2"/>
  <c r="AT445" i="2"/>
  <c r="BJ445" i="2"/>
  <c r="U446" i="2"/>
  <c r="AK446" i="2"/>
  <c r="BA446" i="2"/>
  <c r="H447" i="2"/>
  <c r="X447" i="2"/>
  <c r="AN447" i="2"/>
  <c r="BD447" i="2"/>
  <c r="K448" i="2"/>
  <c r="AA448" i="2"/>
  <c r="AQ448" i="2"/>
  <c r="BG448" i="2"/>
  <c r="R449" i="2"/>
  <c r="AH449" i="2"/>
  <c r="AX449" i="2"/>
  <c r="I450" i="2"/>
  <c r="Y450" i="2"/>
  <c r="AO450" i="2"/>
  <c r="BE450" i="2"/>
  <c r="L451" i="2"/>
  <c r="AB451" i="2"/>
  <c r="AR451" i="2"/>
  <c r="BH451" i="2"/>
  <c r="O452" i="2"/>
  <c r="AE452" i="2"/>
  <c r="AU452" i="2"/>
  <c r="BK452" i="2"/>
  <c r="V453" i="2"/>
  <c r="AL453" i="2"/>
  <c r="BB453" i="2"/>
  <c r="M454" i="2"/>
  <c r="AC454" i="2"/>
  <c r="AS454" i="2"/>
  <c r="BI454" i="2"/>
  <c r="P455" i="2"/>
  <c r="AF455" i="2"/>
  <c r="AV455" i="2"/>
  <c r="BL455" i="2"/>
  <c r="T456" i="3"/>
  <c r="T456" i="2" s="1"/>
  <c r="T457" i="2"/>
  <c r="AJ456" i="3"/>
  <c r="AJ456" i="2" s="1"/>
  <c r="AJ457" i="2"/>
  <c r="AZ456" i="3"/>
  <c r="AZ456" i="2" s="1"/>
  <c r="AZ457" i="2"/>
  <c r="G458" i="2"/>
  <c r="W458" i="2"/>
  <c r="AM458" i="2"/>
  <c r="BC458" i="2"/>
  <c r="N459" i="2"/>
  <c r="AD459" i="2"/>
  <c r="AT459" i="2"/>
  <c r="BJ459" i="2"/>
  <c r="U460" i="2"/>
  <c r="AK460" i="2"/>
  <c r="BA460" i="2"/>
  <c r="H461" i="2"/>
  <c r="X461" i="2"/>
  <c r="AN461" i="2"/>
  <c r="BD461" i="2"/>
  <c r="M462" i="2"/>
  <c r="AH462" i="2"/>
  <c r="BI462" i="2"/>
  <c r="BD463" i="2"/>
  <c r="S463" i="2"/>
  <c r="AI463" i="2"/>
  <c r="AY463" i="2"/>
  <c r="J464" i="2"/>
  <c r="Z464" i="2"/>
  <c r="AP464" i="2"/>
  <c r="BF464" i="2"/>
  <c r="Q465" i="2"/>
  <c r="AG465" i="2"/>
  <c r="AW465" i="2"/>
  <c r="BM465" i="2"/>
  <c r="T466" i="2"/>
  <c r="AJ466" i="2"/>
  <c r="AZ466" i="2"/>
  <c r="G467" i="2"/>
  <c r="W467" i="2"/>
  <c r="AM467" i="2"/>
  <c r="BC467" i="2"/>
  <c r="N468" i="2"/>
  <c r="AD468" i="2"/>
  <c r="AT468" i="2"/>
  <c r="BJ468" i="2"/>
  <c r="U469" i="2"/>
  <c r="AK469" i="2"/>
  <c r="BA469" i="2"/>
  <c r="H470" i="2"/>
  <c r="X470" i="2"/>
  <c r="AN470" i="2"/>
  <c r="BD470" i="2"/>
  <c r="K471" i="2"/>
  <c r="AA471" i="2"/>
  <c r="AQ471" i="2"/>
  <c r="BG471" i="2"/>
  <c r="R472" i="2"/>
  <c r="AH472" i="2"/>
  <c r="AX472" i="2"/>
  <c r="I473" i="2"/>
  <c r="Y473" i="2"/>
  <c r="AO473" i="2"/>
  <c r="BE473" i="2"/>
  <c r="L474" i="2"/>
  <c r="AB474" i="2"/>
  <c r="AR474" i="2"/>
  <c r="BH474" i="2"/>
  <c r="O475" i="2"/>
  <c r="AE475" i="2"/>
  <c r="AU475" i="2"/>
  <c r="BK475" i="2"/>
  <c r="V476" i="2"/>
  <c r="AL476" i="2"/>
  <c r="BB476" i="2"/>
  <c r="M477" i="2"/>
  <c r="AC477" i="2"/>
  <c r="AS477" i="2"/>
  <c r="BI477" i="2"/>
  <c r="P478" i="2"/>
  <c r="AF478" i="2"/>
  <c r="AV478" i="2"/>
  <c r="BL478" i="2"/>
  <c r="S479" i="2"/>
  <c r="AI479" i="2"/>
  <c r="AY479" i="2"/>
  <c r="J480" i="2"/>
  <c r="Z480" i="2"/>
  <c r="AP480" i="2"/>
  <c r="BF480" i="2"/>
  <c r="Q481" i="2"/>
  <c r="AG481" i="2"/>
  <c r="AW481" i="2"/>
  <c r="BM481" i="2"/>
  <c r="T482" i="2"/>
  <c r="AJ482" i="2"/>
  <c r="AZ482" i="2"/>
  <c r="G483" i="2"/>
  <c r="W483" i="2"/>
  <c r="AM483" i="2"/>
  <c r="BC483" i="2"/>
  <c r="N484" i="2"/>
  <c r="AD484" i="2"/>
  <c r="AT484" i="2"/>
  <c r="BJ484" i="2"/>
  <c r="U485" i="2"/>
  <c r="AK485" i="2"/>
  <c r="BA485" i="2"/>
  <c r="H486" i="2"/>
  <c r="X486" i="2"/>
  <c r="AN486" i="2"/>
  <c r="BD486" i="2"/>
  <c r="K487" i="2"/>
  <c r="AA487" i="2"/>
  <c r="AQ487" i="2"/>
  <c r="BG487" i="2"/>
  <c r="R488" i="2"/>
  <c r="AH488" i="2"/>
  <c r="AX488" i="2"/>
  <c r="I489" i="2"/>
  <c r="Y489" i="2"/>
  <c r="AO489" i="2"/>
  <c r="BE489" i="2"/>
  <c r="L490" i="2"/>
  <c r="AB490" i="2"/>
  <c r="AR490" i="2"/>
  <c r="BH490" i="2"/>
  <c r="O491" i="2"/>
  <c r="AE491" i="2"/>
  <c r="AU491" i="2"/>
  <c r="BK491" i="2"/>
  <c r="V492" i="2"/>
  <c r="AL492" i="2"/>
  <c r="BB492" i="2"/>
  <c r="M493" i="2"/>
  <c r="AC493" i="2"/>
  <c r="AS493" i="2"/>
  <c r="BI493" i="2"/>
  <c r="P494" i="2"/>
  <c r="AF494" i="2"/>
  <c r="AV494" i="2"/>
  <c r="BL494" i="2"/>
  <c r="S495" i="2"/>
  <c r="AI495" i="2"/>
  <c r="AY495" i="2"/>
  <c r="J496" i="2"/>
  <c r="Z496" i="2"/>
  <c r="AP496" i="2"/>
  <c r="BF496" i="2"/>
  <c r="O498" i="3"/>
  <c r="O498" i="2" s="1"/>
  <c r="O499" i="2"/>
  <c r="AE498" i="3"/>
  <c r="AE498" i="2" s="1"/>
  <c r="AE499" i="2"/>
  <c r="AU498" i="3"/>
  <c r="AU498" i="2" s="1"/>
  <c r="AU499" i="2"/>
  <c r="BK498" i="3"/>
  <c r="BK498" i="2" s="1"/>
  <c r="BK499" i="2"/>
  <c r="V500" i="2"/>
  <c r="AL500" i="2"/>
  <c r="BB500" i="2"/>
  <c r="M501" i="2"/>
  <c r="AC501" i="2"/>
  <c r="AS501" i="2"/>
  <c r="BI501" i="2"/>
  <c r="P502" i="2"/>
  <c r="AF502" i="2"/>
  <c r="AV502" i="2"/>
  <c r="BL502" i="2"/>
  <c r="S503" i="2"/>
  <c r="AI503" i="2"/>
  <c r="AY503" i="2"/>
  <c r="J504" i="2"/>
  <c r="Z504" i="2"/>
  <c r="AP504" i="2"/>
  <c r="BF504" i="2"/>
  <c r="Q505" i="2"/>
  <c r="AG505" i="2"/>
  <c r="AW505" i="2"/>
  <c r="BM505" i="2"/>
  <c r="T506" i="2"/>
  <c r="AJ506" i="2"/>
  <c r="AZ506" i="2"/>
  <c r="G507" i="2"/>
  <c r="W507" i="2"/>
  <c r="AM507" i="2"/>
  <c r="BC507" i="2"/>
  <c r="N508" i="2"/>
  <c r="AD508" i="2"/>
  <c r="AT508" i="2"/>
  <c r="BJ508" i="2"/>
  <c r="AH509" i="2"/>
  <c r="G464" i="2"/>
  <c r="W464" i="2"/>
  <c r="AM464" i="2"/>
  <c r="BC464" i="2"/>
  <c r="N465" i="2"/>
  <c r="AD465" i="2"/>
  <c r="AT465" i="2"/>
  <c r="BJ465" i="2"/>
  <c r="U466" i="2"/>
  <c r="AK466" i="2"/>
  <c r="BA466" i="2"/>
  <c r="H467" i="2"/>
  <c r="X467" i="2"/>
  <c r="AN467" i="2"/>
  <c r="BD467" i="2"/>
  <c r="K468" i="2"/>
  <c r="AA468" i="2"/>
  <c r="AQ468" i="2"/>
  <c r="BG468" i="2"/>
  <c r="R469" i="2"/>
  <c r="AH469" i="2"/>
  <c r="AX469" i="2"/>
  <c r="I470" i="2"/>
  <c r="Y470" i="2"/>
  <c r="AO470" i="2"/>
  <c r="BE470" i="2"/>
  <c r="L471" i="2"/>
  <c r="AB471" i="2"/>
  <c r="AR471" i="2"/>
  <c r="BH471" i="2"/>
  <c r="O472" i="2"/>
  <c r="AE472" i="2"/>
  <c r="AU472" i="2"/>
  <c r="BK472" i="2"/>
  <c r="V473" i="2"/>
  <c r="AL473" i="2"/>
  <c r="BB473" i="2"/>
  <c r="M474" i="2"/>
  <c r="AC474" i="2"/>
  <c r="AS474" i="2"/>
  <c r="BI474" i="2"/>
  <c r="P475" i="2"/>
  <c r="AF475" i="2"/>
  <c r="AV475" i="2"/>
  <c r="BL475" i="2"/>
  <c r="S476" i="2"/>
  <c r="AI476" i="2"/>
  <c r="AY476" i="2"/>
  <c r="J477" i="2"/>
  <c r="Z477" i="2"/>
  <c r="AP477" i="2"/>
  <c r="BF477" i="2"/>
  <c r="Q478" i="2"/>
  <c r="AG478" i="2"/>
  <c r="AW478" i="2"/>
  <c r="BM478" i="2"/>
  <c r="T479" i="2"/>
  <c r="AJ479" i="2"/>
  <c r="AZ479" i="2"/>
  <c r="G480" i="2"/>
  <c r="W480" i="2"/>
  <c r="AM480" i="2"/>
  <c r="BC480" i="2"/>
  <c r="N481" i="2"/>
  <c r="AD481" i="2"/>
  <c r="AT481" i="2"/>
  <c r="BJ481" i="2"/>
  <c r="U482" i="2"/>
  <c r="AK482" i="2"/>
  <c r="BA482" i="2"/>
  <c r="H483" i="2"/>
  <c r="X483" i="2"/>
  <c r="AN483" i="2"/>
  <c r="BD483" i="2"/>
  <c r="K484" i="2"/>
  <c r="AA484" i="2"/>
  <c r="AQ484" i="2"/>
  <c r="BG484" i="2"/>
  <c r="R485" i="2"/>
  <c r="AH485" i="2"/>
  <c r="AX485" i="2"/>
  <c r="I486" i="2"/>
  <c r="Y486" i="2"/>
  <c r="AO486" i="2"/>
  <c r="BE486" i="2"/>
  <c r="L487" i="2"/>
  <c r="AB487" i="2"/>
  <c r="AR487" i="2"/>
  <c r="BH487" i="2"/>
  <c r="O488" i="2"/>
  <c r="AE488" i="2"/>
  <c r="AU488" i="2"/>
  <c r="BK488" i="2"/>
  <c r="V489" i="2"/>
  <c r="AL489" i="2"/>
  <c r="BB489" i="2"/>
  <c r="M490" i="2"/>
  <c r="AC490" i="2"/>
  <c r="AS490" i="2"/>
  <c r="BI490" i="2"/>
  <c r="P491" i="2"/>
  <c r="AF491" i="2"/>
  <c r="AV491" i="2"/>
  <c r="BL491" i="2"/>
  <c r="S492" i="2"/>
  <c r="AI492" i="2"/>
  <c r="AY492" i="2"/>
  <c r="J493" i="2"/>
  <c r="Z493" i="2"/>
  <c r="AP493" i="2"/>
  <c r="BF493" i="2"/>
  <c r="Q494" i="2"/>
  <c r="AG494" i="2"/>
  <c r="AW494" i="2"/>
  <c r="BM494" i="2"/>
  <c r="T495" i="2"/>
  <c r="AJ495" i="2"/>
  <c r="AZ495" i="2"/>
  <c r="G496" i="2"/>
  <c r="W496" i="2"/>
  <c r="AM496" i="2"/>
  <c r="BC496" i="2"/>
  <c r="L498" i="3"/>
  <c r="L498" i="2" s="1"/>
  <c r="L499" i="2"/>
  <c r="AB498" i="3"/>
  <c r="AB498" i="2" s="1"/>
  <c r="AB499" i="2"/>
  <c r="AR498" i="3"/>
  <c r="AR498" i="2" s="1"/>
  <c r="AR499" i="2"/>
  <c r="BH498" i="3"/>
  <c r="BH498" i="2" s="1"/>
  <c r="BH499" i="2"/>
  <c r="O500" i="2"/>
  <c r="AE500" i="2"/>
  <c r="AU500" i="2"/>
  <c r="BK500" i="2"/>
  <c r="V501" i="2"/>
  <c r="AL501" i="2"/>
  <c r="BB501" i="2"/>
  <c r="M502" i="2"/>
  <c r="AC502" i="2"/>
  <c r="AS502" i="2"/>
  <c r="BI502" i="2"/>
  <c r="P503" i="2"/>
  <c r="AF503" i="2"/>
  <c r="AV503" i="2"/>
  <c r="BL503" i="2"/>
  <c r="S504" i="2"/>
  <c r="AI504" i="2"/>
  <c r="AY504" i="2"/>
  <c r="J505" i="2"/>
  <c r="Z505" i="2"/>
  <c r="AP505" i="2"/>
  <c r="BF505" i="2"/>
  <c r="Q506" i="2"/>
  <c r="AG506" i="2"/>
  <c r="AW506" i="2"/>
  <c r="BM506" i="2"/>
  <c r="T507" i="2"/>
  <c r="AJ507" i="2"/>
  <c r="AZ507" i="2"/>
  <c r="G508" i="2"/>
  <c r="W508" i="2"/>
  <c r="AM508" i="2"/>
  <c r="BC508" i="2"/>
  <c r="S509" i="2"/>
  <c r="AY509" i="2"/>
  <c r="BB462" i="2"/>
  <c r="M463" i="2"/>
  <c r="AC463" i="2"/>
  <c r="AS463" i="2"/>
  <c r="BI463" i="2"/>
  <c r="P464" i="2"/>
  <c r="AF464" i="2"/>
  <c r="AV464" i="2"/>
  <c r="BL464" i="2"/>
  <c r="S465" i="2"/>
  <c r="AI465" i="2"/>
  <c r="AY465" i="2"/>
  <c r="J466" i="2"/>
  <c r="Z466" i="2"/>
  <c r="AP466" i="2"/>
  <c r="BF466" i="2"/>
  <c r="Q467" i="2"/>
  <c r="AG467" i="2"/>
  <c r="AW467" i="2"/>
  <c r="BM467" i="2"/>
  <c r="T468" i="2"/>
  <c r="AJ468" i="2"/>
  <c r="AZ468" i="2"/>
  <c r="G469" i="2"/>
  <c r="W469" i="2"/>
  <c r="AM469" i="2"/>
  <c r="BC469" i="2"/>
  <c r="N470" i="2"/>
  <c r="AD470" i="2"/>
  <c r="AT470" i="2"/>
  <c r="BJ470" i="2"/>
  <c r="U471" i="2"/>
  <c r="AK471" i="2"/>
  <c r="BA471" i="2"/>
  <c r="H472" i="2"/>
  <c r="X472" i="2"/>
  <c r="AN472" i="2"/>
  <c r="BD472" i="2"/>
  <c r="K473" i="2"/>
  <c r="AA473" i="2"/>
  <c r="AQ473" i="2"/>
  <c r="BG473" i="2"/>
  <c r="R474" i="2"/>
  <c r="AH474" i="2"/>
  <c r="AX474" i="2"/>
  <c r="I475" i="2"/>
  <c r="Y475" i="2"/>
  <c r="AO475" i="2"/>
  <c r="BE475" i="2"/>
  <c r="L476" i="2"/>
  <c r="AB476" i="2"/>
  <c r="AR476" i="2"/>
  <c r="BH476" i="2"/>
  <c r="O477" i="2"/>
  <c r="AE477" i="2"/>
  <c r="AU477" i="2"/>
  <c r="BK477" i="2"/>
  <c r="V478" i="2"/>
  <c r="AL478" i="2"/>
  <c r="BB478" i="2"/>
  <c r="M479" i="2"/>
  <c r="AC479" i="2"/>
  <c r="AS479" i="2"/>
  <c r="BI479" i="2"/>
  <c r="P480" i="2"/>
  <c r="AF480" i="2"/>
  <c r="AV480" i="2"/>
  <c r="BL480" i="2"/>
  <c r="S481" i="2"/>
  <c r="AI481" i="2"/>
  <c r="AY481" i="2"/>
  <c r="J482" i="2"/>
  <c r="Z482" i="2"/>
  <c r="AP482" i="2"/>
  <c r="BF482" i="2"/>
  <c r="Q483" i="2"/>
  <c r="AG483" i="2"/>
  <c r="AW483" i="2"/>
  <c r="BM483" i="2"/>
  <c r="T484" i="2"/>
  <c r="AJ484" i="2"/>
  <c r="AZ484" i="2"/>
  <c r="G485" i="2"/>
  <c r="W485" i="2"/>
  <c r="AM485" i="2"/>
  <c r="BC485" i="2"/>
  <c r="N486" i="2"/>
  <c r="AD486" i="2"/>
  <c r="AT486" i="2"/>
  <c r="BJ486" i="2"/>
  <c r="U487" i="2"/>
  <c r="AK487" i="2"/>
  <c r="BA487" i="2"/>
  <c r="H488" i="2"/>
  <c r="X488" i="2"/>
  <c r="AN488" i="2"/>
  <c r="BD488" i="2"/>
  <c r="K489" i="2"/>
  <c r="AA489" i="2"/>
  <c r="AQ489" i="2"/>
  <c r="BG489" i="2"/>
  <c r="R490" i="2"/>
  <c r="AH490" i="2"/>
  <c r="AX490" i="2"/>
  <c r="I491" i="2"/>
  <c r="Y491" i="2"/>
  <c r="AO491" i="2"/>
  <c r="BE491" i="2"/>
  <c r="L492" i="2"/>
  <c r="AB492" i="2"/>
  <c r="AR492" i="2"/>
  <c r="BH492" i="2"/>
  <c r="O493" i="2"/>
  <c r="AE493" i="2"/>
  <c r="AU493" i="2"/>
  <c r="BK493" i="2"/>
  <c r="V494" i="2"/>
  <c r="AL494" i="2"/>
  <c r="BB494" i="2"/>
  <c r="M495" i="2"/>
  <c r="AC495" i="2"/>
  <c r="AS495" i="2"/>
  <c r="BI495" i="2"/>
  <c r="P496" i="2"/>
  <c r="AF496" i="2"/>
  <c r="AV496" i="2"/>
  <c r="BL496" i="2"/>
  <c r="U498" i="3"/>
  <c r="U498" i="2" s="1"/>
  <c r="U499" i="2"/>
  <c r="AK498" i="3"/>
  <c r="AK498" i="2" s="1"/>
  <c r="AK499" i="2"/>
  <c r="BA498" i="3"/>
  <c r="BA498" i="2" s="1"/>
  <c r="BA499" i="2"/>
  <c r="H500" i="2"/>
  <c r="X500" i="2"/>
  <c r="AN500" i="2"/>
  <c r="BD500" i="2"/>
  <c r="K501" i="2"/>
  <c r="AA501" i="2"/>
  <c r="AQ501" i="2"/>
  <c r="BG501" i="2"/>
  <c r="R502" i="2"/>
  <c r="AH502" i="2"/>
  <c r="AX502" i="2"/>
  <c r="I503" i="2"/>
  <c r="Y503" i="2"/>
  <c r="AO503" i="2"/>
  <c r="BE503" i="2"/>
  <c r="L504" i="2"/>
  <c r="AB504" i="2"/>
  <c r="AR504" i="2"/>
  <c r="BH504" i="2"/>
  <c r="O505" i="2"/>
  <c r="AE505" i="2"/>
  <c r="AU505" i="2"/>
  <c r="BK505" i="2"/>
  <c r="V506" i="2"/>
  <c r="AL506" i="2"/>
  <c r="BB506" i="2"/>
  <c r="M507" i="2"/>
  <c r="AC507" i="2"/>
  <c r="AS507" i="2"/>
  <c r="BI507" i="2"/>
  <c r="P508" i="2"/>
  <c r="AF508" i="2"/>
  <c r="AV508" i="2"/>
  <c r="BL508" i="2"/>
  <c r="AD509" i="2"/>
  <c r="BJ509" i="2"/>
  <c r="S462" i="2"/>
  <c r="AI462" i="2"/>
  <c r="AY462" i="2"/>
  <c r="J463" i="2"/>
  <c r="Z463" i="2"/>
  <c r="AP463" i="2"/>
  <c r="BF463" i="2"/>
  <c r="Q464" i="2"/>
  <c r="AG464" i="2"/>
  <c r="AW464" i="2"/>
  <c r="BM464" i="2"/>
  <c r="T465" i="2"/>
  <c r="AJ465" i="2"/>
  <c r="AZ465" i="2"/>
  <c r="G466" i="2"/>
  <c r="W466" i="2"/>
  <c r="AM466" i="2"/>
  <c r="BC466" i="2"/>
  <c r="N467" i="2"/>
  <c r="AD467" i="2"/>
  <c r="AT467" i="2"/>
  <c r="BJ467" i="2"/>
  <c r="U468" i="2"/>
  <c r="AK468" i="2"/>
  <c r="BA468" i="2"/>
  <c r="H469" i="2"/>
  <c r="X469" i="2"/>
  <c r="AN469" i="2"/>
  <c r="BD469" i="2"/>
  <c r="K470" i="2"/>
  <c r="AA470" i="2"/>
  <c r="AQ470" i="2"/>
  <c r="BG470" i="2"/>
  <c r="R471" i="2"/>
  <c r="AH471" i="2"/>
  <c r="AX471" i="2"/>
  <c r="I472" i="2"/>
  <c r="Y472" i="2"/>
  <c r="AO472" i="2"/>
  <c r="BE472" i="2"/>
  <c r="L473" i="2"/>
  <c r="AB473" i="2"/>
  <c r="AR473" i="2"/>
  <c r="BH473" i="2"/>
  <c r="O474" i="2"/>
  <c r="AE474" i="2"/>
  <c r="AU474" i="2"/>
  <c r="BK474" i="2"/>
  <c r="V475" i="2"/>
  <c r="AL475" i="2"/>
  <c r="BB475" i="2"/>
  <c r="M476" i="2"/>
  <c r="AC476" i="2"/>
  <c r="AS476" i="2"/>
  <c r="BI476" i="2"/>
  <c r="P477" i="2"/>
  <c r="AF477" i="2"/>
  <c r="AV477" i="2"/>
  <c r="BL477" i="2"/>
  <c r="S478" i="2"/>
  <c r="AI478" i="2"/>
  <c r="AY478" i="2"/>
  <c r="J479" i="2"/>
  <c r="Z479" i="2"/>
  <c r="AP479" i="2"/>
  <c r="BF479" i="2"/>
  <c r="Q480" i="2"/>
  <c r="AG480" i="2"/>
  <c r="AW480" i="2"/>
  <c r="BM480" i="2"/>
  <c r="T481" i="2"/>
  <c r="AJ481" i="2"/>
  <c r="AZ481" i="2"/>
  <c r="G482" i="2"/>
  <c r="W482" i="2"/>
  <c r="AM482" i="2"/>
  <c r="BC482" i="2"/>
  <c r="N483" i="2"/>
  <c r="AD483" i="2"/>
  <c r="AT483" i="2"/>
  <c r="BJ483" i="2"/>
  <c r="U484" i="2"/>
  <c r="AK484" i="2"/>
  <c r="BA484" i="2"/>
  <c r="H485" i="2"/>
  <c r="X485" i="2"/>
  <c r="AN485" i="2"/>
  <c r="BD485" i="2"/>
  <c r="K486" i="2"/>
  <c r="AA486" i="2"/>
  <c r="AQ486" i="2"/>
  <c r="BG486" i="2"/>
  <c r="R487" i="2"/>
  <c r="AH487" i="2"/>
  <c r="AX487" i="2"/>
  <c r="I488" i="2"/>
  <c r="Y488" i="2"/>
  <c r="AO488" i="2"/>
  <c r="BE488" i="2"/>
  <c r="L489" i="2"/>
  <c r="AB489" i="2"/>
  <c r="AR489" i="2"/>
  <c r="BH489" i="2"/>
  <c r="O490" i="2"/>
  <c r="AE490" i="2"/>
  <c r="AU490" i="2"/>
  <c r="BK490" i="2"/>
  <c r="V491" i="2"/>
  <c r="AL491" i="2"/>
  <c r="BB491" i="2"/>
  <c r="M492" i="2"/>
  <c r="AC492" i="2"/>
  <c r="AS492" i="2"/>
  <c r="BI492" i="2"/>
  <c r="P493" i="2"/>
  <c r="AF493" i="2"/>
  <c r="AV493" i="2"/>
  <c r="BL493" i="2"/>
  <c r="S494" i="2"/>
  <c r="AI494" i="2"/>
  <c r="AY494" i="2"/>
  <c r="J495" i="2"/>
  <c r="Z495" i="2"/>
  <c r="AP495" i="2"/>
  <c r="BF495" i="2"/>
  <c r="Q496" i="2"/>
  <c r="AG496" i="2"/>
  <c r="AW496" i="2"/>
  <c r="BM496" i="2"/>
  <c r="V498" i="3"/>
  <c r="V498" i="2" s="1"/>
  <c r="V499" i="2"/>
  <c r="AL498" i="3"/>
  <c r="AL498" i="2" s="1"/>
  <c r="AL499" i="2"/>
  <c r="BB498" i="3"/>
  <c r="BB498" i="2" s="1"/>
  <c r="BB499" i="2"/>
  <c r="M500" i="2"/>
  <c r="AC500" i="2"/>
  <c r="AS500" i="2"/>
  <c r="BI500" i="2"/>
  <c r="P501" i="2"/>
  <c r="AF501" i="2"/>
  <c r="AV501" i="2"/>
  <c r="BL501" i="2"/>
  <c r="S502" i="2"/>
  <c r="AI502" i="2"/>
  <c r="AY502" i="2"/>
  <c r="J503" i="2"/>
  <c r="Z503" i="2"/>
  <c r="AP503" i="2"/>
  <c r="BF503" i="2"/>
  <c r="Q504" i="2"/>
  <c r="AG504" i="2"/>
  <c r="AW504" i="2"/>
  <c r="BM504" i="2"/>
  <c r="T505" i="2"/>
  <c r="AJ505" i="2"/>
  <c r="AZ505" i="2"/>
  <c r="G506" i="2"/>
  <c r="W506" i="2"/>
  <c r="AM506" i="2"/>
  <c r="BC506" i="2"/>
  <c r="N507" i="2"/>
  <c r="AD507" i="2"/>
  <c r="AT507" i="2"/>
  <c r="BJ507" i="2"/>
  <c r="U508" i="2"/>
  <c r="AK508" i="2"/>
  <c r="BA508" i="2"/>
  <c r="H509" i="2"/>
  <c r="AM509" i="2"/>
  <c r="I510" i="2"/>
  <c r="Y510" i="2"/>
  <c r="AO510" i="2"/>
  <c r="BE510" i="2"/>
  <c r="L511" i="2"/>
  <c r="AB511" i="2"/>
  <c r="AR511" i="2"/>
  <c r="BH511" i="2"/>
  <c r="O512" i="2"/>
  <c r="AE512" i="2"/>
  <c r="AU512" i="2"/>
  <c r="BK512" i="2"/>
  <c r="V513" i="2"/>
  <c r="AL513" i="2"/>
  <c r="BB513" i="2"/>
  <c r="M514" i="2"/>
  <c r="AC514" i="2"/>
  <c r="AS514" i="2"/>
  <c r="BI514" i="2"/>
  <c r="P515" i="2"/>
  <c r="AF515" i="2"/>
  <c r="AV515" i="2"/>
  <c r="BL515" i="2"/>
  <c r="S516" i="2"/>
  <c r="AI516" i="2"/>
  <c r="AY516" i="2"/>
  <c r="J517" i="2"/>
  <c r="Z517" i="2"/>
  <c r="AP517" i="2"/>
  <c r="BF517" i="2"/>
  <c r="Q518" i="2"/>
  <c r="AG518" i="2"/>
  <c r="AW518" i="2"/>
  <c r="BM518" i="2"/>
  <c r="T519" i="2"/>
  <c r="AJ519" i="2"/>
  <c r="AZ519" i="2"/>
  <c r="G520" i="2"/>
  <c r="W520" i="2"/>
  <c r="AM520" i="2"/>
  <c r="BC520" i="2"/>
  <c r="N521" i="2"/>
  <c r="AD521" i="2"/>
  <c r="AT521" i="2"/>
  <c r="BJ521" i="2"/>
  <c r="U522" i="2"/>
  <c r="AK522" i="2"/>
  <c r="BA522" i="2"/>
  <c r="H523" i="2"/>
  <c r="X523" i="2"/>
  <c r="AN523" i="2"/>
  <c r="BD523" i="2"/>
  <c r="K524" i="2"/>
  <c r="AA524" i="2"/>
  <c r="AQ524" i="2"/>
  <c r="BG524" i="2"/>
  <c r="R525" i="2"/>
  <c r="AH525" i="2"/>
  <c r="AX525" i="2"/>
  <c r="I526" i="2"/>
  <c r="Y526" i="2"/>
  <c r="AO526" i="2"/>
  <c r="BE526" i="2"/>
  <c r="L527" i="2"/>
  <c r="AB527" i="2"/>
  <c r="AR527" i="2"/>
  <c r="BH527" i="2"/>
  <c r="O528" i="2"/>
  <c r="AE528" i="2"/>
  <c r="AU528" i="2"/>
  <c r="BK528" i="2"/>
  <c r="V529" i="2"/>
  <c r="AL529" i="2"/>
  <c r="BB529" i="2"/>
  <c r="M530" i="2"/>
  <c r="AC530" i="2"/>
  <c r="AS530" i="2"/>
  <c r="BI530" i="2"/>
  <c r="P531" i="2"/>
  <c r="AF531" i="2"/>
  <c r="AV531" i="2"/>
  <c r="BL531" i="2"/>
  <c r="S532" i="2"/>
  <c r="AI532" i="2"/>
  <c r="AY532" i="2"/>
  <c r="J533" i="2"/>
  <c r="Z533" i="2"/>
  <c r="AP533" i="2"/>
  <c r="BF533" i="2"/>
  <c r="Q534" i="2"/>
  <c r="AG534" i="2"/>
  <c r="AW534" i="2"/>
  <c r="BM534" i="2"/>
  <c r="T535" i="2"/>
  <c r="AJ535" i="2"/>
  <c r="AZ535" i="2"/>
  <c r="G536" i="2"/>
  <c r="W536" i="2"/>
  <c r="AM536" i="2"/>
  <c r="BC536" i="2"/>
  <c r="N537" i="2"/>
  <c r="AD537" i="2"/>
  <c r="AT537" i="2"/>
  <c r="BJ537" i="2"/>
  <c r="U538" i="2"/>
  <c r="AK538" i="2"/>
  <c r="BA538" i="2"/>
  <c r="I539" i="3"/>
  <c r="I539" i="2" s="1"/>
  <c r="I540" i="2"/>
  <c r="Y539" i="3"/>
  <c r="Y539" i="2" s="1"/>
  <c r="Y540" i="2"/>
  <c r="AO539" i="3"/>
  <c r="AO539" i="2" s="1"/>
  <c r="AO540" i="2"/>
  <c r="BE539" i="3"/>
  <c r="BE539" i="2" s="1"/>
  <c r="BE540" i="2"/>
  <c r="L541" i="2"/>
  <c r="AB541" i="2"/>
  <c r="AR541" i="2"/>
  <c r="BH541" i="2"/>
  <c r="O542" i="2"/>
  <c r="AE542" i="2"/>
  <c r="AU542" i="2"/>
  <c r="BK542" i="2"/>
  <c r="V543" i="2"/>
  <c r="AL543" i="2"/>
  <c r="BB543" i="2"/>
  <c r="M544" i="2"/>
  <c r="AC544" i="2"/>
  <c r="AS544" i="2"/>
  <c r="BI544" i="2"/>
  <c r="P545" i="2"/>
  <c r="AF545" i="2"/>
  <c r="AV545" i="2"/>
  <c r="BL545" i="2"/>
  <c r="S546" i="2"/>
  <c r="AI546" i="2"/>
  <c r="AY546" i="2"/>
  <c r="J547" i="2"/>
  <c r="Z547" i="2"/>
  <c r="AP547" i="2"/>
  <c r="BF547" i="2"/>
  <c r="Q548" i="2"/>
  <c r="AG548" i="2"/>
  <c r="AW548" i="2"/>
  <c r="BM548" i="2"/>
  <c r="T549" i="2"/>
  <c r="AJ549" i="2"/>
  <c r="AZ549" i="2"/>
  <c r="G550" i="2"/>
  <c r="W550" i="2"/>
  <c r="AM550" i="2"/>
  <c r="BC550" i="2"/>
  <c r="N551" i="2"/>
  <c r="AD551" i="2"/>
  <c r="AT551" i="2"/>
  <c r="BJ551" i="2"/>
  <c r="U552" i="2"/>
  <c r="AK552" i="2"/>
  <c r="BA552" i="2"/>
  <c r="H553" i="2"/>
  <c r="X553" i="2"/>
  <c r="AN553" i="2"/>
  <c r="BD553" i="2"/>
  <c r="AB554" i="2"/>
  <c r="BH554" i="2"/>
  <c r="V510" i="2"/>
  <c r="AL510" i="2"/>
  <c r="BB510" i="2"/>
  <c r="M511" i="2"/>
  <c r="AC511" i="2"/>
  <c r="AS511" i="2"/>
  <c r="BI511" i="2"/>
  <c r="P512" i="2"/>
  <c r="AF512" i="2"/>
  <c r="AV512" i="2"/>
  <c r="BL512" i="2"/>
  <c r="S513" i="2"/>
  <c r="AI513" i="2"/>
  <c r="AY513" i="2"/>
  <c r="J514" i="2"/>
  <c r="Z514" i="2"/>
  <c r="AP514" i="2"/>
  <c r="BF514" i="2"/>
  <c r="Q515" i="2"/>
  <c r="AG515" i="2"/>
  <c r="AW515" i="2"/>
  <c r="BM515" i="2"/>
  <c r="T516" i="2"/>
  <c r="AJ516" i="2"/>
  <c r="AZ516" i="2"/>
  <c r="G517" i="2"/>
  <c r="W517" i="2"/>
  <c r="AM517" i="2"/>
  <c r="BC517" i="2"/>
  <c r="N518" i="2"/>
  <c r="AD518" i="2"/>
  <c r="AT518" i="2"/>
  <c r="BJ518" i="2"/>
  <c r="U519" i="2"/>
  <c r="AK519" i="2"/>
  <c r="BA519" i="2"/>
  <c r="H520" i="2"/>
  <c r="X520" i="2"/>
  <c r="AN520" i="2"/>
  <c r="BD520" i="2"/>
  <c r="K521" i="2"/>
  <c r="AA521" i="2"/>
  <c r="AQ521" i="2"/>
  <c r="BG521" i="2"/>
  <c r="R522" i="2"/>
  <c r="AH522" i="2"/>
  <c r="AX522" i="2"/>
  <c r="I523" i="2"/>
  <c r="Y523" i="2"/>
  <c r="AO523" i="2"/>
  <c r="BE523" i="2"/>
  <c r="L524" i="2"/>
  <c r="AB524" i="2"/>
  <c r="AR524" i="2"/>
  <c r="BH524" i="2"/>
  <c r="O525" i="2"/>
  <c r="AE525" i="2"/>
  <c r="AU525" i="2"/>
  <c r="BK525" i="2"/>
  <c r="V526" i="2"/>
  <c r="AL526" i="2"/>
  <c r="BB526" i="2"/>
  <c r="M527" i="2"/>
  <c r="AC527" i="2"/>
  <c r="AS527" i="2"/>
  <c r="BI527" i="2"/>
  <c r="P528" i="2"/>
  <c r="AF528" i="2"/>
  <c r="AV528" i="2"/>
  <c r="BL528" i="2"/>
  <c r="S529" i="2"/>
  <c r="AI529" i="2"/>
  <c r="AY529" i="2"/>
  <c r="J530" i="2"/>
  <c r="Z530" i="2"/>
  <c r="AP530" i="2"/>
  <c r="BF530" i="2"/>
  <c r="Q531" i="2"/>
  <c r="AG531" i="2"/>
  <c r="AW531" i="2"/>
  <c r="BM531" i="2"/>
  <c r="T532" i="2"/>
  <c r="AJ532" i="2"/>
  <c r="AZ532" i="2"/>
  <c r="G533" i="2"/>
  <c r="W533" i="2"/>
  <c r="AM533" i="2"/>
  <c r="BC533" i="2"/>
  <c r="N534" i="2"/>
  <c r="AD534" i="2"/>
  <c r="AT534" i="2"/>
  <c r="BJ534" i="2"/>
  <c r="U535" i="2"/>
  <c r="AK535" i="2"/>
  <c r="BA535" i="2"/>
  <c r="H536" i="2"/>
  <c r="X536" i="2"/>
  <c r="AN536" i="2"/>
  <c r="BD536" i="2"/>
  <c r="K537" i="2"/>
  <c r="AA537" i="2"/>
  <c r="AQ537" i="2"/>
  <c r="BG537" i="2"/>
  <c r="R538" i="2"/>
  <c r="AH538" i="2"/>
  <c r="AX538" i="2"/>
  <c r="J539" i="3"/>
  <c r="J539" i="2" s="1"/>
  <c r="J540" i="2"/>
  <c r="Z539" i="3"/>
  <c r="Z539" i="2" s="1"/>
  <c r="Z540" i="2"/>
  <c r="AP539" i="3"/>
  <c r="AP539" i="2" s="1"/>
  <c r="AP540" i="2"/>
  <c r="BF539" i="3"/>
  <c r="BF539" i="2" s="1"/>
  <c r="BF540" i="2"/>
  <c r="Q541" i="2"/>
  <c r="AG541" i="2"/>
  <c r="AW541" i="2"/>
  <c r="BM541" i="2"/>
  <c r="T542" i="2"/>
  <c r="AJ542" i="2"/>
  <c r="AZ542" i="2"/>
  <c r="G543" i="2"/>
  <c r="W543" i="2"/>
  <c r="AM543" i="2"/>
  <c r="BC543" i="2"/>
  <c r="N544" i="2"/>
  <c r="AD544" i="2"/>
  <c r="AT544" i="2"/>
  <c r="BJ544" i="2"/>
  <c r="U545" i="2"/>
  <c r="AK545" i="2"/>
  <c r="BA545" i="2"/>
  <c r="H546" i="2"/>
  <c r="X546" i="2"/>
  <c r="AN546" i="2"/>
  <c r="BD546" i="2"/>
  <c r="K547" i="2"/>
  <c r="AA547" i="2"/>
  <c r="AQ547" i="2"/>
  <c r="BG547" i="2"/>
  <c r="R548" i="2"/>
  <c r="AH548" i="2"/>
  <c r="AX548" i="2"/>
  <c r="I549" i="2"/>
  <c r="Y549" i="2"/>
  <c r="AO549" i="2"/>
  <c r="BE549" i="2"/>
  <c r="L550" i="2"/>
  <c r="AB550" i="2"/>
  <c r="AR550" i="2"/>
  <c r="BH550" i="2"/>
  <c r="O551" i="2"/>
  <c r="AE551" i="2"/>
  <c r="AU551" i="2"/>
  <c r="BK551" i="2"/>
  <c r="V552" i="2"/>
  <c r="AL552" i="2"/>
  <c r="BB552" i="2"/>
  <c r="M553" i="2"/>
  <c r="AC553" i="2"/>
  <c r="AS553" i="2"/>
  <c r="BJ553" i="2"/>
  <c r="AE554" i="2"/>
  <c r="BK554" i="2"/>
  <c r="X509" i="2"/>
  <c r="AN509" i="2"/>
  <c r="BD509" i="2"/>
  <c r="K510" i="2"/>
  <c r="AA510" i="2"/>
  <c r="AQ510" i="2"/>
  <c r="BG510" i="2"/>
  <c r="R511" i="2"/>
  <c r="AH511" i="2"/>
  <c r="AX511" i="2"/>
  <c r="I512" i="2"/>
  <c r="Y512" i="2"/>
  <c r="AO512" i="2"/>
  <c r="BE512" i="2"/>
  <c r="L513" i="2"/>
  <c r="AB513" i="2"/>
  <c r="AR513" i="2"/>
  <c r="BH513" i="2"/>
  <c r="O514" i="2"/>
  <c r="AE514" i="2"/>
  <c r="AU514" i="2"/>
  <c r="BK514" i="2"/>
  <c r="V515" i="2"/>
  <c r="AL515" i="2"/>
  <c r="BB515" i="2"/>
  <c r="M516" i="2"/>
  <c r="AC516" i="2"/>
  <c r="AS516" i="2"/>
  <c r="BI516" i="2"/>
  <c r="P517" i="2"/>
  <c r="AF517" i="2"/>
  <c r="AV517" i="2"/>
  <c r="BL517" i="2"/>
  <c r="S518" i="2"/>
  <c r="AI518" i="2"/>
  <c r="AY518" i="2"/>
  <c r="J519" i="2"/>
  <c r="Z519" i="2"/>
  <c r="AP519" i="2"/>
  <c r="BF519" i="2"/>
  <c r="Q520" i="2"/>
  <c r="AG520" i="2"/>
  <c r="AW520" i="2"/>
  <c r="BM520" i="2"/>
  <c r="T521" i="2"/>
  <c r="AJ521" i="2"/>
  <c r="AZ521" i="2"/>
  <c r="G522" i="2"/>
  <c r="W522" i="2"/>
  <c r="AM522" i="2"/>
  <c r="BC522" i="2"/>
  <c r="N523" i="2"/>
  <c r="AD523" i="2"/>
  <c r="AT523" i="2"/>
  <c r="BJ523" i="2"/>
  <c r="U524" i="2"/>
  <c r="AK524" i="2"/>
  <c r="BA524" i="2"/>
  <c r="H525" i="2"/>
  <c r="X525" i="2"/>
  <c r="AN525" i="2"/>
  <c r="BD525" i="2"/>
  <c r="K526" i="2"/>
  <c r="AA526" i="2"/>
  <c r="AQ526" i="2"/>
  <c r="BG526" i="2"/>
  <c r="R527" i="2"/>
  <c r="AH527" i="2"/>
  <c r="AX527" i="2"/>
  <c r="I528" i="2"/>
  <c r="Y528" i="2"/>
  <c r="AO528" i="2"/>
  <c r="BE528" i="2"/>
  <c r="L529" i="2"/>
  <c r="AB529" i="2"/>
  <c r="AR529" i="2"/>
  <c r="BH529" i="2"/>
  <c r="O530" i="2"/>
  <c r="AE530" i="2"/>
  <c r="AU530" i="2"/>
  <c r="BK530" i="2"/>
  <c r="V531" i="2"/>
  <c r="AL531" i="2"/>
  <c r="BB531" i="2"/>
  <c r="M532" i="2"/>
  <c r="AC532" i="2"/>
  <c r="AS532" i="2"/>
  <c r="BI532" i="2"/>
  <c r="P533" i="2"/>
  <c r="AF533" i="2"/>
  <c r="AV533" i="2"/>
  <c r="BL533" i="2"/>
  <c r="S534" i="2"/>
  <c r="AI534" i="2"/>
  <c r="AY534" i="2"/>
  <c r="J535" i="2"/>
  <c r="Z535" i="2"/>
  <c r="AP535" i="2"/>
  <c r="BF535" i="2"/>
  <c r="Q536" i="2"/>
  <c r="AG536" i="2"/>
  <c r="AW536" i="2"/>
  <c r="BM536" i="2"/>
  <c r="T537" i="2"/>
  <c r="AJ537" i="2"/>
  <c r="AZ537" i="2"/>
  <c r="G538" i="2"/>
  <c r="W538" i="2"/>
  <c r="AM538" i="2"/>
  <c r="BC538" i="2"/>
  <c r="K539" i="3"/>
  <c r="K539" i="2" s="1"/>
  <c r="K540" i="2"/>
  <c r="AA539" i="3"/>
  <c r="AA539" i="2" s="1"/>
  <c r="AA540" i="2"/>
  <c r="AQ539" i="3"/>
  <c r="AQ539" i="2" s="1"/>
  <c r="AQ540" i="2"/>
  <c r="BG539" i="3"/>
  <c r="BG539" i="2" s="1"/>
  <c r="BG540" i="2"/>
  <c r="R541" i="2"/>
  <c r="AH541" i="2"/>
  <c r="AX541" i="2"/>
  <c r="I542" i="2"/>
  <c r="Y542" i="2"/>
  <c r="AO542" i="2"/>
  <c r="BE542" i="2"/>
  <c r="L543" i="2"/>
  <c r="AB543" i="2"/>
  <c r="AR543" i="2"/>
  <c r="BH543" i="2"/>
  <c r="O544" i="2"/>
  <c r="AE544" i="2"/>
  <c r="AU544" i="2"/>
  <c r="BK544" i="2"/>
  <c r="V545" i="2"/>
  <c r="AL545" i="2"/>
  <c r="BB545" i="2"/>
  <c r="M546" i="2"/>
  <c r="AC546" i="2"/>
  <c r="AS546" i="2"/>
  <c r="BI546" i="2"/>
  <c r="P547" i="2"/>
  <c r="AF547" i="2"/>
  <c r="AV547" i="2"/>
  <c r="BL547" i="2"/>
  <c r="S548" i="2"/>
  <c r="AI548" i="2"/>
  <c r="AY548" i="2"/>
  <c r="J549" i="2"/>
  <c r="Z549" i="2"/>
  <c r="AP549" i="2"/>
  <c r="BF549" i="2"/>
  <c r="Q550" i="2"/>
  <c r="AG550" i="2"/>
  <c r="AW550" i="2"/>
  <c r="BM550" i="2"/>
  <c r="T551" i="2"/>
  <c r="AJ551" i="2"/>
  <c r="AZ551" i="2"/>
  <c r="G552" i="2"/>
  <c r="W552" i="2"/>
  <c r="AM552" i="2"/>
  <c r="BC552" i="2"/>
  <c r="N553" i="2"/>
  <c r="AD553" i="2"/>
  <c r="AT553" i="2"/>
  <c r="BL553" i="2"/>
  <c r="AF554" i="2"/>
  <c r="BL554" i="2"/>
  <c r="U509" i="2"/>
  <c r="AK509" i="2"/>
  <c r="BA509" i="2"/>
  <c r="H510" i="2"/>
  <c r="X510" i="2"/>
  <c r="AN510" i="2"/>
  <c r="BD510" i="2"/>
  <c r="K511" i="2"/>
  <c r="AA511" i="2"/>
  <c r="AQ511" i="2"/>
  <c r="BG511" i="2"/>
  <c r="R512" i="2"/>
  <c r="AH512" i="2"/>
  <c r="AX512" i="2"/>
  <c r="I513" i="2"/>
  <c r="Y513" i="2"/>
  <c r="AO513" i="2"/>
  <c r="BE513" i="2"/>
  <c r="L514" i="2"/>
  <c r="AB514" i="2"/>
  <c r="AR514" i="2"/>
  <c r="BH514" i="2"/>
  <c r="O515" i="2"/>
  <c r="AE515" i="2"/>
  <c r="AU515" i="2"/>
  <c r="BK515" i="2"/>
  <c r="V516" i="2"/>
  <c r="AL516" i="2"/>
  <c r="BB516" i="2"/>
  <c r="M517" i="2"/>
  <c r="AC517" i="2"/>
  <c r="AS517" i="2"/>
  <c r="BI517" i="2"/>
  <c r="P518" i="2"/>
  <c r="AF518" i="2"/>
  <c r="AV518" i="2"/>
  <c r="BL518" i="2"/>
  <c r="S519" i="2"/>
  <c r="AI519" i="2"/>
  <c r="AY519" i="2"/>
  <c r="J520" i="2"/>
  <c r="Z520" i="2"/>
  <c r="AP520" i="2"/>
  <c r="BF520" i="2"/>
  <c r="Q521" i="2"/>
  <c r="AG521" i="2"/>
  <c r="AW521" i="2"/>
  <c r="BM521" i="2"/>
  <c r="T522" i="2"/>
  <c r="AJ522" i="2"/>
  <c r="AZ522" i="2"/>
  <c r="G523" i="2"/>
  <c r="W523" i="2"/>
  <c r="AM523" i="2"/>
  <c r="BC523" i="2"/>
  <c r="N524" i="2"/>
  <c r="AD524" i="2"/>
  <c r="AT524" i="2"/>
  <c r="BJ524" i="2"/>
  <c r="U525" i="2"/>
  <c r="AK525" i="2"/>
  <c r="BA525" i="2"/>
  <c r="H526" i="2"/>
  <c r="X526" i="2"/>
  <c r="AN526" i="2"/>
  <c r="BD526" i="2"/>
  <c r="K527" i="2"/>
  <c r="AA527" i="2"/>
  <c r="AQ527" i="2"/>
  <c r="BG527" i="2"/>
  <c r="R528" i="2"/>
  <c r="AH528" i="2"/>
  <c r="AX528" i="2"/>
  <c r="I529" i="2"/>
  <c r="Y529" i="2"/>
  <c r="AO529" i="2"/>
  <c r="BE529" i="2"/>
  <c r="L530" i="2"/>
  <c r="AB530" i="2"/>
  <c r="AR530" i="2"/>
  <c r="BH530" i="2"/>
  <c r="O531" i="2"/>
  <c r="AE531" i="2"/>
  <c r="AU531" i="2"/>
  <c r="BK531" i="2"/>
  <c r="V532" i="2"/>
  <c r="AL532" i="2"/>
  <c r="BB532" i="2"/>
  <c r="M533" i="2"/>
  <c r="AC533" i="2"/>
  <c r="AS533" i="2"/>
  <c r="BI533" i="2"/>
  <c r="P534" i="2"/>
  <c r="AF534" i="2"/>
  <c r="AV534" i="2"/>
  <c r="BL534" i="2"/>
  <c r="S535" i="2"/>
  <c r="AI535" i="2"/>
  <c r="AY535" i="2"/>
  <c r="J536" i="2"/>
  <c r="Z536" i="2"/>
  <c r="AP536" i="2"/>
  <c r="BF536" i="2"/>
  <c r="Q537" i="2"/>
  <c r="AG537" i="2"/>
  <c r="AW537" i="2"/>
  <c r="BM537" i="2"/>
  <c r="T538" i="2"/>
  <c r="AJ538" i="2"/>
  <c r="AZ538" i="2"/>
  <c r="H539" i="3"/>
  <c r="H539" i="2" s="1"/>
  <c r="H540" i="2"/>
  <c r="X539" i="3"/>
  <c r="X539" i="2" s="1"/>
  <c r="X540" i="2"/>
  <c r="AN539" i="3"/>
  <c r="AN539" i="2" s="1"/>
  <c r="AN540" i="2"/>
  <c r="BD539" i="3"/>
  <c r="BD539" i="2" s="1"/>
  <c r="BD540" i="2"/>
  <c r="K541" i="2"/>
  <c r="AA541" i="2"/>
  <c r="AQ541" i="2"/>
  <c r="BG541" i="2"/>
  <c r="R542" i="2"/>
  <c r="AH542" i="2"/>
  <c r="AX542" i="2"/>
  <c r="I543" i="2"/>
  <c r="Y543" i="2"/>
  <c r="AO543" i="2"/>
  <c r="BE543" i="2"/>
  <c r="L544" i="2"/>
  <c r="AB544" i="2"/>
  <c r="AR544" i="2"/>
  <c r="BH544" i="2"/>
  <c r="O545" i="2"/>
  <c r="AE545" i="2"/>
  <c r="AU545" i="2"/>
  <c r="BK545" i="2"/>
  <c r="V546" i="2"/>
  <c r="AL546" i="2"/>
  <c r="BB546" i="2"/>
  <c r="M547" i="2"/>
  <c r="AC547" i="2"/>
  <c r="AS547" i="2"/>
  <c r="BI547" i="2"/>
  <c r="P548" i="2"/>
  <c r="AF548" i="2"/>
  <c r="AV548" i="2"/>
  <c r="BL548" i="2"/>
  <c r="S549" i="2"/>
  <c r="AI549" i="2"/>
  <c r="AY549" i="2"/>
  <c r="J550" i="2"/>
  <c r="Z550" i="2"/>
  <c r="AP550" i="2"/>
  <c r="BF550" i="2"/>
  <c r="Q551" i="2"/>
  <c r="AG551" i="2"/>
  <c r="AW551" i="2"/>
  <c r="BM551" i="2"/>
  <c r="T552" i="2"/>
  <c r="AJ552" i="2"/>
  <c r="AZ552" i="2"/>
  <c r="G553" i="2"/>
  <c r="W553" i="2"/>
  <c r="AM553" i="2"/>
  <c r="BC553" i="2"/>
  <c r="S554" i="2"/>
  <c r="AY554" i="2"/>
  <c r="R555" i="2"/>
  <c r="AH555" i="2"/>
  <c r="AX555" i="2"/>
  <c r="I556" i="2"/>
  <c r="Y556" i="2"/>
  <c r="AO556" i="2"/>
  <c r="BE556" i="2"/>
  <c r="L557" i="2"/>
  <c r="AB557" i="2"/>
  <c r="AR557" i="2"/>
  <c r="BH557" i="2"/>
  <c r="O558" i="2"/>
  <c r="AE558" i="2"/>
  <c r="AU558" i="2"/>
  <c r="BK558" i="2"/>
  <c r="V559" i="2"/>
  <c r="AL559" i="2"/>
  <c r="BB559" i="2"/>
  <c r="M560" i="2"/>
  <c r="AC560" i="2"/>
  <c r="AS560" i="2"/>
  <c r="BI560" i="2"/>
  <c r="P561" i="2"/>
  <c r="AF561" i="2"/>
  <c r="AV561" i="2"/>
  <c r="BL561" i="2"/>
  <c r="S562" i="2"/>
  <c r="AI562" i="2"/>
  <c r="AY562" i="2"/>
  <c r="J563" i="2"/>
  <c r="Z563" i="2"/>
  <c r="AP563" i="2"/>
  <c r="BF563" i="2"/>
  <c r="Q564" i="2"/>
  <c r="AG564" i="2"/>
  <c r="AW564" i="2"/>
  <c r="BM564" i="2"/>
  <c r="T565" i="2"/>
  <c r="AJ565" i="2"/>
  <c r="AZ565" i="2"/>
  <c r="G566" i="2"/>
  <c r="W566" i="2"/>
  <c r="AM566" i="2"/>
  <c r="BC566" i="2"/>
  <c r="N567" i="2"/>
  <c r="AD567" i="2"/>
  <c r="AT567" i="2"/>
  <c r="BJ567" i="2"/>
  <c r="U568" i="2"/>
  <c r="AK568" i="2"/>
  <c r="BA568" i="2"/>
  <c r="H569" i="2"/>
  <c r="X569" i="2"/>
  <c r="AN569" i="2"/>
  <c r="BD569" i="2"/>
  <c r="K570" i="2"/>
  <c r="AA570" i="2"/>
  <c r="AQ570" i="2"/>
  <c r="BG570" i="2"/>
  <c r="R571" i="2"/>
  <c r="AH571" i="2"/>
  <c r="AX571" i="2"/>
  <c r="I572" i="2"/>
  <c r="Y572" i="2"/>
  <c r="AO572" i="2"/>
  <c r="BE572" i="2"/>
  <c r="L573" i="2"/>
  <c r="AB573" i="2"/>
  <c r="AR573" i="2"/>
  <c r="BH573" i="2"/>
  <c r="O574" i="2"/>
  <c r="AE574" i="2"/>
  <c r="AU574" i="2"/>
  <c r="BK574" i="2"/>
  <c r="V575" i="2"/>
  <c r="AL575" i="2"/>
  <c r="BB575" i="2"/>
  <c r="M576" i="2"/>
  <c r="AC576" i="2"/>
  <c r="AS576" i="2"/>
  <c r="BI576" i="2"/>
  <c r="P577" i="2"/>
  <c r="AF577" i="2"/>
  <c r="AV577" i="2"/>
  <c r="BL577" i="2"/>
  <c r="S578" i="2"/>
  <c r="AI578" i="2"/>
  <c r="AY578" i="2"/>
  <c r="J579" i="2"/>
  <c r="Z579" i="2"/>
  <c r="AP579" i="2"/>
  <c r="BF579" i="2"/>
  <c r="R580" i="3"/>
  <c r="R580" i="2" s="1"/>
  <c r="R581" i="2"/>
  <c r="AH580" i="3"/>
  <c r="AH580" i="2" s="1"/>
  <c r="AH581" i="2"/>
  <c r="AX580" i="3"/>
  <c r="AX580" i="2" s="1"/>
  <c r="AX581" i="2"/>
  <c r="I582" i="2"/>
  <c r="Y582" i="2"/>
  <c r="AO582" i="2"/>
  <c r="BE582" i="2"/>
  <c r="L583" i="2"/>
  <c r="AB583" i="2"/>
  <c r="AR583" i="2"/>
  <c r="BH583" i="2"/>
  <c r="O584" i="2"/>
  <c r="AE584" i="2"/>
  <c r="AU584" i="2"/>
  <c r="BK584" i="2"/>
  <c r="V585" i="2"/>
  <c r="AL585" i="2"/>
  <c r="BB585" i="2"/>
  <c r="M586" i="2"/>
  <c r="AC586" i="2"/>
  <c r="AS586" i="2"/>
  <c r="BI586" i="2"/>
  <c r="P587" i="2"/>
  <c r="AF587" i="2"/>
  <c r="AV587" i="2"/>
  <c r="BL587" i="2"/>
  <c r="S588" i="2"/>
  <c r="AI588" i="2"/>
  <c r="AY588" i="2"/>
  <c r="J589" i="2"/>
  <c r="Z589" i="2"/>
  <c r="AP589" i="2"/>
  <c r="BF589" i="2"/>
  <c r="Q590" i="2"/>
  <c r="AG590" i="2"/>
  <c r="AW590" i="2"/>
  <c r="BM590" i="2"/>
  <c r="T591" i="2"/>
  <c r="AJ591" i="2"/>
  <c r="AZ591" i="2"/>
  <c r="G592" i="2"/>
  <c r="W592" i="2"/>
  <c r="AM592" i="2"/>
  <c r="BC592" i="2"/>
  <c r="N593" i="2"/>
  <c r="AD593" i="2"/>
  <c r="AT593" i="2"/>
  <c r="BJ593" i="2"/>
  <c r="U594" i="2"/>
  <c r="AK594" i="2"/>
  <c r="BA594" i="2"/>
  <c r="H595" i="2"/>
  <c r="X595" i="2"/>
  <c r="AN595" i="2"/>
  <c r="BD595" i="2"/>
  <c r="K596" i="2"/>
  <c r="AA596" i="2"/>
  <c r="AQ596" i="2"/>
  <c r="BG596" i="2"/>
  <c r="R597" i="2"/>
  <c r="AH597" i="2"/>
  <c r="AX597" i="2"/>
  <c r="I598" i="2"/>
  <c r="Y598" i="2"/>
  <c r="AO598" i="2"/>
  <c r="BE598" i="2"/>
  <c r="T599" i="2"/>
  <c r="G555" i="2"/>
  <c r="W555" i="2"/>
  <c r="AM555" i="2"/>
  <c r="BC555" i="2"/>
  <c r="N556" i="2"/>
  <c r="AD556" i="2"/>
  <c r="AT556" i="2"/>
  <c r="BJ556" i="2"/>
  <c r="U557" i="2"/>
  <c r="AK557" i="2"/>
  <c r="BA557" i="2"/>
  <c r="H558" i="2"/>
  <c r="X558" i="2"/>
  <c r="AN558" i="2"/>
  <c r="BD558" i="2"/>
  <c r="K559" i="2"/>
  <c r="AA559" i="2"/>
  <c r="AQ559" i="2"/>
  <c r="BG559" i="2"/>
  <c r="R560" i="2"/>
  <c r="AH560" i="2"/>
  <c r="AX560" i="2"/>
  <c r="I561" i="2"/>
  <c r="Y561" i="2"/>
  <c r="AO561" i="2"/>
  <c r="BE561" i="2"/>
  <c r="L562" i="2"/>
  <c r="AB562" i="2"/>
  <c r="AR562" i="2"/>
  <c r="BH562" i="2"/>
  <c r="O563" i="2"/>
  <c r="AE563" i="2"/>
  <c r="AU563" i="2"/>
  <c r="BK563" i="2"/>
  <c r="V564" i="2"/>
  <c r="AL564" i="2"/>
  <c r="BB564" i="2"/>
  <c r="M565" i="2"/>
  <c r="AC565" i="2"/>
  <c r="AS565" i="2"/>
  <c r="BI565" i="2"/>
  <c r="P566" i="2"/>
  <c r="AF566" i="2"/>
  <c r="AV566" i="2"/>
  <c r="BL566" i="2"/>
  <c r="S567" i="2"/>
  <c r="AI567" i="2"/>
  <c r="AY567" i="2"/>
  <c r="J568" i="2"/>
  <c r="Z568" i="2"/>
  <c r="AP568" i="2"/>
  <c r="BF568" i="2"/>
  <c r="Q569" i="2"/>
  <c r="AG569" i="2"/>
  <c r="AW569" i="2"/>
  <c r="BM569" i="2"/>
  <c r="T570" i="2"/>
  <c r="AJ570" i="2"/>
  <c r="AZ570" i="2"/>
  <c r="G571" i="2"/>
  <c r="W571" i="2"/>
  <c r="AM571" i="2"/>
  <c r="BC571" i="2"/>
  <c r="N572" i="2"/>
  <c r="AD572" i="2"/>
  <c r="AT572" i="2"/>
  <c r="BJ572" i="2"/>
  <c r="U573" i="2"/>
  <c r="AK573" i="2"/>
  <c r="BA573" i="2"/>
  <c r="H574" i="2"/>
  <c r="X574" i="2"/>
  <c r="AN574" i="2"/>
  <c r="BD574" i="2"/>
  <c r="K575" i="2"/>
  <c r="AA575" i="2"/>
  <c r="AQ575" i="2"/>
  <c r="BG575" i="2"/>
  <c r="R576" i="2"/>
  <c r="AH576" i="2"/>
  <c r="AX576" i="2"/>
  <c r="I577" i="2"/>
  <c r="Y577" i="2"/>
  <c r="AO577" i="2"/>
  <c r="BE577" i="2"/>
  <c r="L578" i="2"/>
  <c r="AB578" i="2"/>
  <c r="AR578" i="2"/>
  <c r="BH578" i="2"/>
  <c r="O579" i="2"/>
  <c r="AE579" i="2"/>
  <c r="AU579" i="2"/>
  <c r="BK579" i="2"/>
  <c r="S580" i="3"/>
  <c r="S580" i="2" s="1"/>
  <c r="S581" i="2"/>
  <c r="AI580" i="3"/>
  <c r="AI580" i="2" s="1"/>
  <c r="AI581" i="2"/>
  <c r="AY580" i="3"/>
  <c r="AY580" i="2" s="1"/>
  <c r="AY581" i="2"/>
  <c r="J582" i="2"/>
  <c r="Z582" i="2"/>
  <c r="AP582" i="2"/>
  <c r="BF582" i="2"/>
  <c r="Q583" i="2"/>
  <c r="AG583" i="2"/>
  <c r="AW583" i="2"/>
  <c r="BM583" i="2"/>
  <c r="T584" i="2"/>
  <c r="AJ584" i="2"/>
  <c r="AZ584" i="2"/>
  <c r="G585" i="2"/>
  <c r="W585" i="2"/>
  <c r="AM585" i="2"/>
  <c r="BC585" i="2"/>
  <c r="N586" i="2"/>
  <c r="AD586" i="2"/>
  <c r="AT586" i="2"/>
  <c r="BJ586" i="2"/>
  <c r="U587" i="2"/>
  <c r="AK587" i="2"/>
  <c r="BA587" i="2"/>
  <c r="H588" i="2"/>
  <c r="X588" i="2"/>
  <c r="AN588" i="2"/>
  <c r="BD588" i="2"/>
  <c r="K589" i="2"/>
  <c r="AA589" i="2"/>
  <c r="AQ589" i="2"/>
  <c r="BG589" i="2"/>
  <c r="R590" i="2"/>
  <c r="AH590" i="2"/>
  <c r="AX590" i="2"/>
  <c r="I591" i="2"/>
  <c r="Y591" i="2"/>
  <c r="AO591" i="2"/>
  <c r="BE591" i="2"/>
  <c r="L592" i="2"/>
  <c r="AB592" i="2"/>
  <c r="AR592" i="2"/>
  <c r="BH592" i="2"/>
  <c r="O593" i="2"/>
  <c r="AE593" i="2"/>
  <c r="AU593" i="2"/>
  <c r="BK593" i="2"/>
  <c r="V594" i="2"/>
  <c r="AL594" i="2"/>
  <c r="BB594" i="2"/>
  <c r="M595" i="2"/>
  <c r="AC595" i="2"/>
  <c r="AS595" i="2"/>
  <c r="BI595" i="2"/>
  <c r="P596" i="2"/>
  <c r="AF596" i="2"/>
  <c r="AV596" i="2"/>
  <c r="BL596" i="2"/>
  <c r="S597" i="2"/>
  <c r="AI597" i="2"/>
  <c r="AY597" i="2"/>
  <c r="J598" i="2"/>
  <c r="Z598" i="2"/>
  <c r="AP598" i="2"/>
  <c r="BF598" i="2"/>
  <c r="AC599" i="2"/>
  <c r="M554" i="2"/>
  <c r="AC554" i="2"/>
  <c r="AS554" i="2"/>
  <c r="BI554" i="2"/>
  <c r="P555" i="2"/>
  <c r="AF555" i="2"/>
  <c r="AV555" i="2"/>
  <c r="BL555" i="2"/>
  <c r="S556" i="2"/>
  <c r="AI556" i="2"/>
  <c r="AY556" i="2"/>
  <c r="J557" i="2"/>
  <c r="Z557" i="2"/>
  <c r="AP557" i="2"/>
  <c r="BF557" i="2"/>
  <c r="Q558" i="2"/>
  <c r="AG558" i="2"/>
  <c r="AW558" i="2"/>
  <c r="BM558" i="2"/>
  <c r="T559" i="2"/>
  <c r="AJ559" i="2"/>
  <c r="AZ559" i="2"/>
  <c r="G560" i="2"/>
  <c r="W560" i="2"/>
  <c r="AM560" i="2"/>
  <c r="BC560" i="2"/>
  <c r="N561" i="2"/>
  <c r="AD561" i="2"/>
  <c r="AT561" i="2"/>
  <c r="BJ561" i="2"/>
  <c r="U562" i="2"/>
  <c r="AK562" i="2"/>
  <c r="BA562" i="2"/>
  <c r="H563" i="2"/>
  <c r="X563" i="2"/>
  <c r="AN563" i="2"/>
  <c r="BD563" i="2"/>
  <c r="K564" i="2"/>
  <c r="AA564" i="2"/>
  <c r="AQ564" i="2"/>
  <c r="BG564" i="2"/>
  <c r="R565" i="2"/>
  <c r="AH565" i="2"/>
  <c r="AX565" i="2"/>
  <c r="I566" i="2"/>
  <c r="Y566" i="2"/>
  <c r="AO566" i="2"/>
  <c r="BE566" i="2"/>
  <c r="L567" i="2"/>
  <c r="AB567" i="2"/>
  <c r="AR567" i="2"/>
  <c r="BH567" i="2"/>
  <c r="O568" i="2"/>
  <c r="AE568" i="2"/>
  <c r="AU568" i="2"/>
  <c r="BK568" i="2"/>
  <c r="V569" i="2"/>
  <c r="AL569" i="2"/>
  <c r="BB569" i="2"/>
  <c r="M570" i="2"/>
  <c r="AC570" i="2"/>
  <c r="AS570" i="2"/>
  <c r="BI570" i="2"/>
  <c r="P571" i="2"/>
  <c r="AF571" i="2"/>
  <c r="AV571" i="2"/>
  <c r="BL571" i="2"/>
  <c r="S572" i="2"/>
  <c r="AI572" i="2"/>
  <c r="AY572" i="2"/>
  <c r="J573" i="2"/>
  <c r="Z573" i="2"/>
  <c r="AP573" i="2"/>
  <c r="BF573" i="2"/>
  <c r="Q574" i="2"/>
  <c r="AG574" i="2"/>
  <c r="AW574" i="2"/>
  <c r="BM574" i="2"/>
  <c r="T575" i="2"/>
  <c r="AJ575" i="2"/>
  <c r="AZ575" i="2"/>
  <c r="G576" i="2"/>
  <c r="W576" i="2"/>
  <c r="AM576" i="2"/>
  <c r="BC576" i="2"/>
  <c r="N577" i="2"/>
  <c r="AD577" i="2"/>
  <c r="AT577" i="2"/>
  <c r="BJ577" i="2"/>
  <c r="U578" i="2"/>
  <c r="AK578" i="2"/>
  <c r="BA578" i="2"/>
  <c r="H579" i="2"/>
  <c r="X579" i="2"/>
  <c r="AN579" i="2"/>
  <c r="BD579" i="2"/>
  <c r="L580" i="3"/>
  <c r="L580" i="2" s="1"/>
  <c r="L581" i="2"/>
  <c r="AB580" i="3"/>
  <c r="AB580" i="2" s="1"/>
  <c r="AB581" i="2"/>
  <c r="AR580" i="3"/>
  <c r="AR580" i="2" s="1"/>
  <c r="AR581" i="2"/>
  <c r="BH580" i="3"/>
  <c r="BH580" i="2" s="1"/>
  <c r="BH581" i="2"/>
  <c r="O582" i="2"/>
  <c r="AE582" i="2"/>
  <c r="AU582" i="2"/>
  <c r="BK582" i="2"/>
  <c r="V583" i="2"/>
  <c r="AL583" i="2"/>
  <c r="BB583" i="2"/>
  <c r="M584" i="2"/>
  <c r="AC584" i="2"/>
  <c r="AS584" i="2"/>
  <c r="BI584" i="2"/>
  <c r="P585" i="2"/>
  <c r="AF585" i="2"/>
  <c r="AV585" i="2"/>
  <c r="BL585" i="2"/>
  <c r="S586" i="2"/>
  <c r="AI586" i="2"/>
  <c r="AY586" i="2"/>
  <c r="J587" i="2"/>
  <c r="Z587" i="2"/>
  <c r="AP587" i="2"/>
  <c r="BF587" i="2"/>
  <c r="Q588" i="2"/>
  <c r="AG588" i="2"/>
  <c r="AW588" i="2"/>
  <c r="BM588" i="2"/>
  <c r="T589" i="2"/>
  <c r="AJ589" i="2"/>
  <c r="AZ589" i="2"/>
  <c r="G590" i="2"/>
  <c r="W590" i="2"/>
  <c r="AM590" i="2"/>
  <c r="BC590" i="2"/>
  <c r="N591" i="2"/>
  <c r="AD591" i="2"/>
  <c r="AT591" i="2"/>
  <c r="BJ591" i="2"/>
  <c r="U592" i="2"/>
  <c r="AK592" i="2"/>
  <c r="BA592" i="2"/>
  <c r="H593" i="2"/>
  <c r="X593" i="2"/>
  <c r="AN593" i="2"/>
  <c r="BD593" i="2"/>
  <c r="K594" i="2"/>
  <c r="AA594" i="2"/>
  <c r="AQ594" i="2"/>
  <c r="BG594" i="2"/>
  <c r="R595" i="2"/>
  <c r="AH595" i="2"/>
  <c r="AX595" i="2"/>
  <c r="I596" i="2"/>
  <c r="Y596" i="2"/>
  <c r="AO596" i="2"/>
  <c r="BE596" i="2"/>
  <c r="L597" i="2"/>
  <c r="AB597" i="2"/>
  <c r="AR597" i="2"/>
  <c r="BH597" i="2"/>
  <c r="O598" i="2"/>
  <c r="AE598" i="2"/>
  <c r="AU598" i="2"/>
  <c r="BK598" i="2"/>
  <c r="AF599" i="2"/>
  <c r="J554" i="2"/>
  <c r="Z554" i="2"/>
  <c r="AP554" i="2"/>
  <c r="BF554" i="2"/>
  <c r="Q555" i="2"/>
  <c r="AG555" i="2"/>
  <c r="AW555" i="2"/>
  <c r="BM555" i="2"/>
  <c r="T556" i="2"/>
  <c r="AJ556" i="2"/>
  <c r="AZ556" i="2"/>
  <c r="G557" i="2"/>
  <c r="W557" i="2"/>
  <c r="AM557" i="2"/>
  <c r="BC557" i="2"/>
  <c r="N558" i="2"/>
  <c r="AD558" i="2"/>
  <c r="AT558" i="2"/>
  <c r="BJ558" i="2"/>
  <c r="U559" i="2"/>
  <c r="AK559" i="2"/>
  <c r="BA559" i="2"/>
  <c r="H560" i="2"/>
  <c r="X560" i="2"/>
  <c r="AN560" i="2"/>
  <c r="BD560" i="2"/>
  <c r="K561" i="2"/>
  <c r="AA561" i="2"/>
  <c r="AQ561" i="2"/>
  <c r="BG561" i="2"/>
  <c r="R562" i="2"/>
  <c r="AH562" i="2"/>
  <c r="AX562" i="2"/>
  <c r="I563" i="2"/>
  <c r="Y563" i="2"/>
  <c r="AO563" i="2"/>
  <c r="BE563" i="2"/>
  <c r="L564" i="2"/>
  <c r="AB564" i="2"/>
  <c r="AR564" i="2"/>
  <c r="BH564" i="2"/>
  <c r="O565" i="2"/>
  <c r="AE565" i="2"/>
  <c r="AU565" i="2"/>
  <c r="BK565" i="2"/>
  <c r="V566" i="2"/>
  <c r="AL566" i="2"/>
  <c r="BB566" i="2"/>
  <c r="M567" i="2"/>
  <c r="AC567" i="2"/>
  <c r="AS567" i="2"/>
  <c r="BI567" i="2"/>
  <c r="P568" i="2"/>
  <c r="AF568" i="2"/>
  <c r="AV568" i="2"/>
  <c r="BL568" i="2"/>
  <c r="S569" i="2"/>
  <c r="AI569" i="2"/>
  <c r="AY569" i="2"/>
  <c r="J570" i="2"/>
  <c r="Z570" i="2"/>
  <c r="AP570" i="2"/>
  <c r="BF570" i="2"/>
  <c r="Q571" i="2"/>
  <c r="AG571" i="2"/>
  <c r="AW571" i="2"/>
  <c r="BM571" i="2"/>
  <c r="T572" i="2"/>
  <c r="AJ572" i="2"/>
  <c r="AZ572" i="2"/>
  <c r="G573" i="2"/>
  <c r="W573" i="2"/>
  <c r="AM573" i="2"/>
  <c r="BC573" i="2"/>
  <c r="N574" i="2"/>
  <c r="AD574" i="2"/>
  <c r="AT574" i="2"/>
  <c r="BJ574" i="2"/>
  <c r="U575" i="2"/>
  <c r="AK575" i="2"/>
  <c r="BA575" i="2"/>
  <c r="H576" i="2"/>
  <c r="X576" i="2"/>
  <c r="AN576" i="2"/>
  <c r="BD576" i="2"/>
  <c r="K577" i="2"/>
  <c r="AA577" i="2"/>
  <c r="AQ577" i="2"/>
  <c r="BG577" i="2"/>
  <c r="R578" i="2"/>
  <c r="AH578" i="2"/>
  <c r="AX578" i="2"/>
  <c r="I579" i="2"/>
  <c r="Y579" i="2"/>
  <c r="AO579" i="2"/>
  <c r="BE579" i="2"/>
  <c r="M580" i="3"/>
  <c r="M580" i="2" s="1"/>
  <c r="M581" i="2"/>
  <c r="AC580" i="3"/>
  <c r="AC580" i="2" s="1"/>
  <c r="AC581" i="2"/>
  <c r="AS580" i="3"/>
  <c r="AS580" i="2" s="1"/>
  <c r="AS581" i="2"/>
  <c r="BI580" i="3"/>
  <c r="BI580" i="2" s="1"/>
  <c r="BI581" i="2"/>
  <c r="P582" i="2"/>
  <c r="AF582" i="2"/>
  <c r="AV582" i="2"/>
  <c r="BL582" i="2"/>
  <c r="S583" i="2"/>
  <c r="AI583" i="2"/>
  <c r="AY583" i="2"/>
  <c r="J584" i="2"/>
  <c r="Z584" i="2"/>
  <c r="AP584" i="2"/>
  <c r="BF584" i="2"/>
  <c r="Q585" i="2"/>
  <c r="AG585" i="2"/>
  <c r="AW585" i="2"/>
  <c r="BM585" i="2"/>
  <c r="T586" i="2"/>
  <c r="AJ586" i="2"/>
  <c r="AZ586" i="2"/>
  <c r="G587" i="2"/>
  <c r="W587" i="2"/>
  <c r="AM587" i="2"/>
  <c r="BC587" i="2"/>
  <c r="N588" i="2"/>
  <c r="AD588" i="2"/>
  <c r="AT588" i="2"/>
  <c r="BJ588" i="2"/>
  <c r="U589" i="2"/>
  <c r="AK589" i="2"/>
  <c r="BA589" i="2"/>
  <c r="H590" i="2"/>
  <c r="X590" i="2"/>
  <c r="AN590" i="2"/>
  <c r="BD590" i="2"/>
  <c r="K591" i="2"/>
  <c r="AA591" i="2"/>
  <c r="AQ591" i="2"/>
  <c r="BG591" i="2"/>
  <c r="R592" i="2"/>
  <c r="AH592" i="2"/>
  <c r="AX592" i="2"/>
  <c r="I593" i="2"/>
  <c r="Y593" i="2"/>
  <c r="AO593" i="2"/>
  <c r="BE593" i="2"/>
  <c r="L594" i="2"/>
  <c r="AB594" i="2"/>
  <c r="AR594" i="2"/>
  <c r="BH594" i="2"/>
  <c r="O595" i="2"/>
  <c r="AE595" i="2"/>
  <c r="AU595" i="2"/>
  <c r="BK595" i="2"/>
  <c r="V596" i="2"/>
  <c r="AL596" i="2"/>
  <c r="BB596" i="2"/>
  <c r="M597" i="2"/>
  <c r="AC597" i="2"/>
  <c r="AS597" i="2"/>
  <c r="BI597" i="2"/>
  <c r="P598" i="2"/>
  <c r="AF598" i="2"/>
  <c r="AV598" i="2"/>
  <c r="BL598" i="2"/>
  <c r="AJ599" i="2"/>
  <c r="O599" i="2"/>
  <c r="AE599" i="2"/>
  <c r="AU599" i="2"/>
  <c r="BK599" i="2"/>
  <c r="V600" i="2"/>
  <c r="AL600" i="2"/>
  <c r="BB600" i="2"/>
  <c r="M601" i="2"/>
  <c r="AC601" i="2"/>
  <c r="AS601" i="2"/>
  <c r="BI601" i="2"/>
  <c r="P602" i="2"/>
  <c r="AF602" i="2"/>
  <c r="AV602" i="2"/>
  <c r="BL602" i="2"/>
  <c r="S603" i="2"/>
  <c r="AI603" i="2"/>
  <c r="AY603" i="2"/>
  <c r="J604" i="2"/>
  <c r="Z604" i="2"/>
  <c r="AP604" i="2"/>
  <c r="BF604" i="2"/>
  <c r="Q605" i="2"/>
  <c r="AG605" i="2"/>
  <c r="AW605" i="2"/>
  <c r="BM605" i="2"/>
  <c r="T606" i="2"/>
  <c r="AJ606" i="2"/>
  <c r="AZ606" i="2"/>
  <c r="G607" i="2"/>
  <c r="W607" i="2"/>
  <c r="AM607" i="2"/>
  <c r="BC607" i="2"/>
  <c r="N608" i="2"/>
  <c r="AD608" i="2"/>
  <c r="AT608" i="2"/>
  <c r="BJ608" i="2"/>
  <c r="U609" i="2"/>
  <c r="AK609" i="2"/>
  <c r="BA609" i="2"/>
  <c r="H610" i="2"/>
  <c r="X610" i="2"/>
  <c r="AN610" i="2"/>
  <c r="BD610" i="2"/>
  <c r="K611" i="2"/>
  <c r="AA611" i="2"/>
  <c r="AQ611" i="2"/>
  <c r="BG611" i="2"/>
  <c r="R612" i="2"/>
  <c r="AH612" i="2"/>
  <c r="AX612" i="2"/>
  <c r="I613" i="2"/>
  <c r="Y613" i="2"/>
  <c r="AO613" i="2"/>
  <c r="BE613" i="2"/>
  <c r="L614" i="2"/>
  <c r="AB614" i="2"/>
  <c r="AR614" i="2"/>
  <c r="BH614" i="2"/>
  <c r="O615" i="2"/>
  <c r="AE615" i="2"/>
  <c r="AU615" i="2"/>
  <c r="BK615" i="2"/>
  <c r="V616" i="2"/>
  <c r="AL616" i="2"/>
  <c r="BB616" i="2"/>
  <c r="M617" i="2"/>
  <c r="AC617" i="2"/>
  <c r="AS617" i="2"/>
  <c r="BI617" i="2"/>
  <c r="P618" i="2"/>
  <c r="AF618" i="2"/>
  <c r="AV618" i="2"/>
  <c r="BL618" i="2"/>
  <c r="S619" i="2"/>
  <c r="AI619" i="2"/>
  <c r="AY619" i="2"/>
  <c r="J620" i="2"/>
  <c r="Z620" i="2"/>
  <c r="AP620" i="2"/>
  <c r="BF620" i="2"/>
  <c r="V621" i="3"/>
  <c r="V621" i="2" s="1"/>
  <c r="V622" i="2"/>
  <c r="AS621" i="3"/>
  <c r="AS621" i="2" s="1"/>
  <c r="AS622" i="2"/>
  <c r="G600" i="2"/>
  <c r="W600" i="2"/>
  <c r="AM600" i="2"/>
  <c r="BC600" i="2"/>
  <c r="N601" i="2"/>
  <c r="AD601" i="2"/>
  <c r="AT601" i="2"/>
  <c r="BJ601" i="2"/>
  <c r="U602" i="2"/>
  <c r="AK602" i="2"/>
  <c r="BA602" i="2"/>
  <c r="H603" i="2"/>
  <c r="X603" i="2"/>
  <c r="AN603" i="2"/>
  <c r="BD603" i="2"/>
  <c r="K604" i="2"/>
  <c r="AA604" i="2"/>
  <c r="AQ604" i="2"/>
  <c r="BG604" i="2"/>
  <c r="R605" i="2"/>
  <c r="AH605" i="2"/>
  <c r="AX605" i="2"/>
  <c r="I606" i="2"/>
  <c r="Y606" i="2"/>
  <c r="AO606" i="2"/>
  <c r="BE606" i="2"/>
  <c r="L607" i="2"/>
  <c r="AB607" i="2"/>
  <c r="AR607" i="2"/>
  <c r="BH607" i="2"/>
  <c r="O608" i="2"/>
  <c r="AE608" i="2"/>
  <c r="AU608" i="2"/>
  <c r="BK608" i="2"/>
  <c r="V609" i="2"/>
  <c r="AL609" i="2"/>
  <c r="BB609" i="2"/>
  <c r="M610" i="2"/>
  <c r="AC610" i="2"/>
  <c r="AS610" i="2"/>
  <c r="BI610" i="2"/>
  <c r="P611" i="2"/>
  <c r="AF611" i="2"/>
  <c r="AV611" i="2"/>
  <c r="BL611" i="2"/>
  <c r="S612" i="2"/>
  <c r="AI612" i="2"/>
  <c r="AY612" i="2"/>
  <c r="J613" i="2"/>
  <c r="Z613" i="2"/>
  <c r="AP613" i="2"/>
  <c r="BF613" i="2"/>
  <c r="Q614" i="2"/>
  <c r="AG614" i="2"/>
  <c r="AW614" i="2"/>
  <c r="BM614" i="2"/>
  <c r="T615" i="2"/>
  <c r="AJ615" i="2"/>
  <c r="AZ615" i="2"/>
  <c r="G616" i="2"/>
  <c r="W616" i="2"/>
  <c r="AM616" i="2"/>
  <c r="BC616" i="2"/>
  <c r="N617" i="2"/>
  <c r="AD617" i="2"/>
  <c r="AT617" i="2"/>
  <c r="BJ617" i="2"/>
  <c r="U618" i="2"/>
  <c r="AK618" i="2"/>
  <c r="BA618" i="2"/>
  <c r="H619" i="2"/>
  <c r="X619" i="2"/>
  <c r="AN619" i="2"/>
  <c r="BD619" i="2"/>
  <c r="K620" i="2"/>
  <c r="AA620" i="2"/>
  <c r="AQ620" i="2"/>
  <c r="BG620" i="2"/>
  <c r="R621" i="3"/>
  <c r="R621" i="2" s="1"/>
  <c r="R622" i="2"/>
  <c r="AM621" i="3"/>
  <c r="AM621" i="2" s="1"/>
  <c r="AM622" i="2"/>
  <c r="AG599" i="2"/>
  <c r="AW599" i="2"/>
  <c r="BM599" i="2"/>
  <c r="T600" i="2"/>
  <c r="AJ600" i="2"/>
  <c r="AZ600" i="2"/>
  <c r="G601" i="2"/>
  <c r="W601" i="2"/>
  <c r="AM601" i="2"/>
  <c r="BC601" i="2"/>
  <c r="N602" i="2"/>
  <c r="AD602" i="2"/>
  <c r="AT602" i="2"/>
  <c r="BJ602" i="2"/>
  <c r="U603" i="2"/>
  <c r="AK603" i="2"/>
  <c r="BA603" i="2"/>
  <c r="H604" i="2"/>
  <c r="X604" i="2"/>
  <c r="AN604" i="2"/>
  <c r="BD604" i="2"/>
  <c r="K605" i="2"/>
  <c r="AA605" i="2"/>
  <c r="AQ605" i="2"/>
  <c r="BG605" i="2"/>
  <c r="R606" i="2"/>
  <c r="AH606" i="2"/>
  <c r="AX606" i="2"/>
  <c r="I607" i="2"/>
  <c r="Y607" i="2"/>
  <c r="AO607" i="2"/>
  <c r="BE607" i="2"/>
  <c r="L608" i="2"/>
  <c r="AB608" i="2"/>
  <c r="AR608" i="2"/>
  <c r="BH608" i="2"/>
  <c r="O609" i="2"/>
  <c r="AE609" i="2"/>
  <c r="AU609" i="2"/>
  <c r="BK609" i="2"/>
  <c r="V610" i="2"/>
  <c r="AL610" i="2"/>
  <c r="BB610" i="2"/>
  <c r="M611" i="2"/>
  <c r="AC611" i="2"/>
  <c r="AS611" i="2"/>
  <c r="BI611" i="2"/>
  <c r="P612" i="2"/>
  <c r="AF612" i="2"/>
  <c r="AV612" i="2"/>
  <c r="BL612" i="2"/>
  <c r="S613" i="2"/>
  <c r="AI613" i="2"/>
  <c r="AY613" i="2"/>
  <c r="J614" i="2"/>
  <c r="Z614" i="2"/>
  <c r="AP614" i="2"/>
  <c r="BF614" i="2"/>
  <c r="Q615" i="2"/>
  <c r="AG615" i="2"/>
  <c r="AW615" i="2"/>
  <c r="BM615" i="2"/>
  <c r="T616" i="2"/>
  <c r="AJ616" i="2"/>
  <c r="AZ616" i="2"/>
  <c r="G617" i="2"/>
  <c r="W617" i="2"/>
  <c r="AM617" i="2"/>
  <c r="BC617" i="2"/>
  <c r="N618" i="2"/>
  <c r="AD618" i="2"/>
  <c r="AT618" i="2"/>
  <c r="BJ618" i="2"/>
  <c r="U619" i="2"/>
  <c r="AK619" i="2"/>
  <c r="BA619" i="2"/>
  <c r="H620" i="2"/>
  <c r="X620" i="2"/>
  <c r="AN620" i="2"/>
  <c r="BD620" i="2"/>
  <c r="N621" i="3"/>
  <c r="N621" i="2" s="1"/>
  <c r="N622" i="2"/>
  <c r="AI621" i="3"/>
  <c r="AI621" i="2" s="1"/>
  <c r="AI622" i="2"/>
  <c r="BM621" i="3"/>
  <c r="BM621" i="2" s="1"/>
  <c r="BM622" i="2"/>
  <c r="V599" i="2"/>
  <c r="AL599" i="2"/>
  <c r="BB599" i="2"/>
  <c r="M600" i="2"/>
  <c r="AC600" i="2"/>
  <c r="AS600" i="2"/>
  <c r="BI600" i="2"/>
  <c r="P601" i="2"/>
  <c r="AF601" i="2"/>
  <c r="AV601" i="2"/>
  <c r="BL601" i="2"/>
  <c r="S602" i="2"/>
  <c r="AI602" i="2"/>
  <c r="AY602" i="2"/>
  <c r="J603" i="2"/>
  <c r="Z603" i="2"/>
  <c r="AP603" i="2"/>
  <c r="BF603" i="2"/>
  <c r="Q604" i="2"/>
  <c r="AG604" i="2"/>
  <c r="AW604" i="2"/>
  <c r="BM604" i="2"/>
  <c r="T605" i="2"/>
  <c r="AJ605" i="2"/>
  <c r="AZ605" i="2"/>
  <c r="G606" i="2"/>
  <c r="W606" i="2"/>
  <c r="AM606" i="2"/>
  <c r="BC606" i="2"/>
  <c r="N607" i="2"/>
  <c r="AD607" i="2"/>
  <c r="AT607" i="2"/>
  <c r="BJ607" i="2"/>
  <c r="U608" i="2"/>
  <c r="AK608" i="2"/>
  <c r="BA608" i="2"/>
  <c r="H609" i="2"/>
  <c r="X609" i="2"/>
  <c r="AN609" i="2"/>
  <c r="BD609" i="2"/>
  <c r="K610" i="2"/>
  <c r="AA610" i="2"/>
  <c r="AQ610" i="2"/>
  <c r="BG610" i="2"/>
  <c r="R611" i="2"/>
  <c r="AH611" i="2"/>
  <c r="AX611" i="2"/>
  <c r="I612" i="2"/>
  <c r="Y612" i="2"/>
  <c r="AO612" i="2"/>
  <c r="BE612" i="2"/>
  <c r="L613" i="2"/>
  <c r="AB613" i="2"/>
  <c r="AR613" i="2"/>
  <c r="BH613" i="2"/>
  <c r="O614" i="2"/>
  <c r="AE614" i="2"/>
  <c r="AU614" i="2"/>
  <c r="BK614" i="2"/>
  <c r="V615" i="2"/>
  <c r="AL615" i="2"/>
  <c r="BB615" i="2"/>
  <c r="M616" i="2"/>
  <c r="AC616" i="2"/>
  <c r="AS616" i="2"/>
  <c r="BI616" i="2"/>
  <c r="P617" i="2"/>
  <c r="AF617" i="2"/>
  <c r="AV617" i="2"/>
  <c r="BL617" i="2"/>
  <c r="S618" i="2"/>
  <c r="AI618" i="2"/>
  <c r="AY618" i="2"/>
  <c r="J619" i="2"/>
  <c r="Z619" i="2"/>
  <c r="AP619" i="2"/>
  <c r="BF619" i="2"/>
  <c r="Q620" i="2"/>
  <c r="AG620" i="2"/>
  <c r="AW620" i="2"/>
  <c r="BM620" i="2"/>
  <c r="Z621" i="3"/>
  <c r="Z621" i="2" s="1"/>
  <c r="Z622" i="2"/>
  <c r="AX621" i="3"/>
  <c r="AX621" i="2" s="1"/>
  <c r="AX622" i="2"/>
  <c r="P623" i="2"/>
  <c r="AF623" i="2"/>
  <c r="AV623" i="2"/>
  <c r="BL623" i="2"/>
  <c r="S624" i="2"/>
  <c r="AI624" i="2"/>
  <c r="AY624" i="2"/>
  <c r="J625" i="2"/>
  <c r="Z625" i="2"/>
  <c r="AP625" i="2"/>
  <c r="BF625" i="2"/>
  <c r="Q626" i="2"/>
  <c r="AG626" i="2"/>
  <c r="AW626" i="2"/>
  <c r="BM626" i="2"/>
  <c r="T627" i="2"/>
  <c r="AJ627" i="2"/>
  <c r="AZ627" i="2"/>
  <c r="G628" i="2"/>
  <c r="W628" i="2"/>
  <c r="AM628" i="2"/>
  <c r="BC628" i="2"/>
  <c r="N629" i="2"/>
  <c r="AD629" i="2"/>
  <c r="AT629" i="2"/>
  <c r="BJ629" i="2"/>
  <c r="U630" i="2"/>
  <c r="AK630" i="2"/>
  <c r="BA630" i="2"/>
  <c r="H631" i="2"/>
  <c r="X631" i="2"/>
  <c r="AN631" i="2"/>
  <c r="BD631" i="2"/>
  <c r="K632" i="2"/>
  <c r="AA632" i="2"/>
  <c r="AQ632" i="2"/>
  <c r="BG632" i="2"/>
  <c r="R633" i="2"/>
  <c r="AH633" i="2"/>
  <c r="AX633" i="2"/>
  <c r="I634" i="2"/>
  <c r="Y634" i="2"/>
  <c r="AO634" i="2"/>
  <c r="BE634" i="2"/>
  <c r="L635" i="2"/>
  <c r="AB635" i="2"/>
  <c r="AR635" i="2"/>
  <c r="BH635" i="2"/>
  <c r="R636" i="2"/>
  <c r="AN636" i="2"/>
  <c r="BI636" i="2"/>
  <c r="AA637" i="2"/>
  <c r="AV637" i="2"/>
  <c r="G638" i="2"/>
  <c r="AB638" i="2"/>
  <c r="AX638" i="2"/>
  <c r="O639" i="2"/>
  <c r="AK639" i="2"/>
  <c r="BF639" i="2"/>
  <c r="R640" i="2"/>
  <c r="AN640" i="2"/>
  <c r="BI640" i="2"/>
  <c r="AA641" i="2"/>
  <c r="AV641" i="2"/>
  <c r="G642" i="2"/>
  <c r="AB642" i="2"/>
  <c r="AX642" i="2"/>
  <c r="O643" i="2"/>
  <c r="AK643" i="2"/>
  <c r="BF643" i="2"/>
  <c r="R644" i="2"/>
  <c r="AN644" i="2"/>
  <c r="BI644" i="2"/>
  <c r="AK645" i="2"/>
  <c r="V646" i="2"/>
  <c r="Y647" i="2"/>
  <c r="X648" i="2"/>
  <c r="W649" i="2"/>
  <c r="AF650" i="2"/>
  <c r="AY651" i="2"/>
  <c r="AU653" i="2"/>
  <c r="S655" i="2"/>
  <c r="Q623" i="2"/>
  <c r="AG623" i="2"/>
  <c r="AW623" i="2"/>
  <c r="BM623" i="2"/>
  <c r="T624" i="2"/>
  <c r="AJ624" i="2"/>
  <c r="AZ624" i="2"/>
  <c r="G625" i="2"/>
  <c r="W625" i="2"/>
  <c r="AM625" i="2"/>
  <c r="BC625" i="2"/>
  <c r="N626" i="2"/>
  <c r="AD626" i="2"/>
  <c r="AT626" i="2"/>
  <c r="BJ626" i="2"/>
  <c r="U627" i="2"/>
  <c r="AK627" i="2"/>
  <c r="BA627" i="2"/>
  <c r="H628" i="2"/>
  <c r="X628" i="2"/>
  <c r="AN628" i="2"/>
  <c r="BD628" i="2"/>
  <c r="K629" i="2"/>
  <c r="AA629" i="2"/>
  <c r="AQ629" i="2"/>
  <c r="BG629" i="2"/>
  <c r="R630" i="2"/>
  <c r="AH630" i="2"/>
  <c r="AX630" i="2"/>
  <c r="I631" i="2"/>
  <c r="Y631" i="2"/>
  <c r="AO631" i="2"/>
  <c r="BE631" i="2"/>
  <c r="L632" i="2"/>
  <c r="AB632" i="2"/>
  <c r="AR632" i="2"/>
  <c r="BH632" i="2"/>
  <c r="O633" i="2"/>
  <c r="AE633" i="2"/>
  <c r="AU633" i="2"/>
  <c r="BK633" i="2"/>
  <c r="V634" i="2"/>
  <c r="AL634" i="2"/>
  <c r="BB634" i="2"/>
  <c r="M635" i="2"/>
  <c r="AC635" i="2"/>
  <c r="AS635" i="2"/>
  <c r="BI635" i="2"/>
  <c r="T636" i="2"/>
  <c r="AO636" i="2"/>
  <c r="BJ636" i="2"/>
  <c r="W637" i="2"/>
  <c r="AR637" i="2"/>
  <c r="BM637" i="2"/>
  <c r="X638" i="2"/>
  <c r="AT638" i="2"/>
  <c r="K639" i="2"/>
  <c r="AG639" i="2"/>
  <c r="BB639" i="2"/>
  <c r="N640" i="2"/>
  <c r="AJ640" i="2"/>
  <c r="BE640" i="2"/>
  <c r="Q641" i="2"/>
  <c r="AM641" i="2"/>
  <c r="BH641" i="2"/>
  <c r="S642" i="2"/>
  <c r="AN642" i="2"/>
  <c r="BJ642" i="2"/>
  <c r="AA643" i="2"/>
  <c r="AW643" i="2"/>
  <c r="I644" i="2"/>
  <c r="AD644" i="2"/>
  <c r="AZ644" i="2"/>
  <c r="O645" i="2"/>
  <c r="AU645" i="2"/>
  <c r="Z646" i="2"/>
  <c r="AC647" i="2"/>
  <c r="AB648" i="2"/>
  <c r="AA649" i="2"/>
  <c r="AL650" i="2"/>
  <c r="BE651" i="2"/>
  <c r="I653" i="2"/>
  <c r="AV654" i="2"/>
  <c r="AU621" i="3"/>
  <c r="AU621" i="2" s="1"/>
  <c r="AU622" i="2"/>
  <c r="BK621" i="3"/>
  <c r="BK621" i="2" s="1"/>
  <c r="BK622" i="2"/>
  <c r="V623" i="2"/>
  <c r="AL623" i="2"/>
  <c r="BB623" i="2"/>
  <c r="M624" i="2"/>
  <c r="AC624" i="2"/>
  <c r="AS624" i="2"/>
  <c r="BI624" i="2"/>
  <c r="P625" i="2"/>
  <c r="AF625" i="2"/>
  <c r="AV625" i="2"/>
  <c r="BL625" i="2"/>
  <c r="S626" i="2"/>
  <c r="AI626" i="2"/>
  <c r="AY626" i="2"/>
  <c r="J627" i="2"/>
  <c r="Z627" i="2"/>
  <c r="AP627" i="2"/>
  <c r="BF627" i="2"/>
  <c r="Q628" i="2"/>
  <c r="AG628" i="2"/>
  <c r="AW628" i="2"/>
  <c r="BM628" i="2"/>
  <c r="T629" i="2"/>
  <c r="AJ629" i="2"/>
  <c r="AZ629" i="2"/>
  <c r="G630" i="2"/>
  <c r="W630" i="2"/>
  <c r="AM630" i="2"/>
  <c r="BC630" i="2"/>
  <c r="N631" i="2"/>
  <c r="AD631" i="2"/>
  <c r="AT631" i="2"/>
  <c r="BJ631" i="2"/>
  <c r="U632" i="2"/>
  <c r="AK632" i="2"/>
  <c r="BA632" i="2"/>
  <c r="H633" i="2"/>
  <c r="X633" i="2"/>
  <c r="AN633" i="2"/>
  <c r="BD633" i="2"/>
  <c r="K634" i="2"/>
  <c r="AA634" i="2"/>
  <c r="AQ634" i="2"/>
  <c r="BG634" i="2"/>
  <c r="R635" i="2"/>
  <c r="AH635" i="2"/>
  <c r="AX635" i="2"/>
  <c r="J636" i="2"/>
  <c r="AF636" i="2"/>
  <c r="BA636" i="2"/>
  <c r="M637" i="2"/>
  <c r="AI637" i="2"/>
  <c r="BD637" i="2"/>
  <c r="T638" i="2"/>
  <c r="AP638" i="2"/>
  <c r="BK638" i="2"/>
  <c r="W639" i="2"/>
  <c r="AS639" i="2"/>
  <c r="J640" i="2"/>
  <c r="AF640" i="2"/>
  <c r="BA640" i="2"/>
  <c r="M641" i="2"/>
  <c r="AI641" i="2"/>
  <c r="BD641" i="2"/>
  <c r="T642" i="2"/>
  <c r="AP642" i="2"/>
  <c r="BK642" i="2"/>
  <c r="W643" i="2"/>
  <c r="AS643" i="2"/>
  <c r="J644" i="2"/>
  <c r="AF644" i="2"/>
  <c r="BA644" i="2"/>
  <c r="Q645" i="2"/>
  <c r="AW645" i="2"/>
  <c r="AD646" i="2"/>
  <c r="AG647" i="2"/>
  <c r="AF648" i="2"/>
  <c r="AE649" i="2"/>
  <c r="BL650" i="2"/>
  <c r="Q652" i="2"/>
  <c r="AJ653" i="2"/>
  <c r="BB654" i="2"/>
  <c r="H621" i="3"/>
  <c r="H621" i="2" s="1"/>
  <c r="H622" i="2"/>
  <c r="X621" i="3"/>
  <c r="X621" i="2" s="1"/>
  <c r="X622" i="2"/>
  <c r="AN621" i="3"/>
  <c r="AN621" i="2" s="1"/>
  <c r="AN622" i="2"/>
  <c r="BD621" i="3"/>
  <c r="BD621" i="2" s="1"/>
  <c r="BD622" i="2"/>
  <c r="K623" i="2"/>
  <c r="AA623" i="2"/>
  <c r="AQ623" i="2"/>
  <c r="BG623" i="2"/>
  <c r="R624" i="2"/>
  <c r="AH624" i="2"/>
  <c r="AX624" i="2"/>
  <c r="I625" i="2"/>
  <c r="Y625" i="2"/>
  <c r="AO625" i="2"/>
  <c r="BE625" i="2"/>
  <c r="L626" i="2"/>
  <c r="AB626" i="2"/>
  <c r="AR626" i="2"/>
  <c r="BH626" i="2"/>
  <c r="O627" i="2"/>
  <c r="AE627" i="2"/>
  <c r="AU627" i="2"/>
  <c r="BK627" i="2"/>
  <c r="V628" i="2"/>
  <c r="AL628" i="2"/>
  <c r="BB628" i="2"/>
  <c r="M629" i="2"/>
  <c r="AC629" i="2"/>
  <c r="AS629" i="2"/>
  <c r="BI629" i="2"/>
  <c r="P630" i="2"/>
  <c r="AF630" i="2"/>
  <c r="AV630" i="2"/>
  <c r="BL630" i="2"/>
  <c r="S631" i="2"/>
  <c r="AI631" i="2"/>
  <c r="AY631" i="2"/>
  <c r="J632" i="2"/>
  <c r="Z632" i="2"/>
  <c r="AP632" i="2"/>
  <c r="BF632" i="2"/>
  <c r="Q633" i="2"/>
  <c r="AG633" i="2"/>
  <c r="AW633" i="2"/>
  <c r="BM633" i="2"/>
  <c r="T634" i="2"/>
  <c r="AJ634" i="2"/>
  <c r="AZ634" i="2"/>
  <c r="G635" i="2"/>
  <c r="W635" i="2"/>
  <c r="AM635" i="2"/>
  <c r="BC635" i="2"/>
  <c r="Q636" i="2"/>
  <c r="AL636" i="2"/>
  <c r="BH636" i="2"/>
  <c r="T637" i="2"/>
  <c r="AO637" i="2"/>
  <c r="BK637" i="2"/>
  <c r="AA638" i="2"/>
  <c r="AV638" i="2"/>
  <c r="I639" i="2"/>
  <c r="AD639" i="2"/>
  <c r="AY639" i="2"/>
  <c r="Q640" i="2"/>
  <c r="AL640" i="2"/>
  <c r="BH640" i="2"/>
  <c r="T641" i="2"/>
  <c r="AO641" i="2"/>
  <c r="BK641" i="2"/>
  <c r="AA642" i="2"/>
  <c r="AV642" i="2"/>
  <c r="I643" i="2"/>
  <c r="AD643" i="2"/>
  <c r="AY643" i="2"/>
  <c r="Q644" i="2"/>
  <c r="AL644" i="2"/>
  <c r="BH644" i="2"/>
  <c r="AA645" i="2"/>
  <c r="BG645" i="2"/>
  <c r="U647" i="2"/>
  <c r="AJ648" i="2"/>
  <c r="AZ649" i="2"/>
  <c r="AT651" i="2"/>
  <c r="T653" i="2"/>
  <c r="AL654" i="2"/>
  <c r="BE655" i="2"/>
  <c r="S636" i="2"/>
  <c r="AI636" i="2"/>
  <c r="AY636" i="2"/>
  <c r="J637" i="2"/>
  <c r="Z637" i="2"/>
  <c r="AP637" i="2"/>
  <c r="BF637" i="2"/>
  <c r="Q638" i="2"/>
  <c r="AG638" i="2"/>
  <c r="AW638" i="2"/>
  <c r="BM638" i="2"/>
  <c r="T639" i="2"/>
  <c r="AJ639" i="2"/>
  <c r="AZ639" i="2"/>
  <c r="G640" i="2"/>
  <c r="W640" i="2"/>
  <c r="AM640" i="2"/>
  <c r="BC640" i="2"/>
  <c r="N641" i="2"/>
  <c r="AD641" i="2"/>
  <c r="AT641" i="2"/>
  <c r="BJ641" i="2"/>
  <c r="U642" i="2"/>
  <c r="AK642" i="2"/>
  <c r="BA642" i="2"/>
  <c r="H643" i="2"/>
  <c r="X643" i="2"/>
  <c r="AN643" i="2"/>
  <c r="BD643" i="2"/>
  <c r="K644" i="2"/>
  <c r="AA644" i="2"/>
  <c r="AQ644" i="2"/>
  <c r="BG644" i="2"/>
  <c r="R645" i="2"/>
  <c r="AH645" i="2"/>
  <c r="AX645" i="2"/>
  <c r="I646" i="2"/>
  <c r="Y646" i="2"/>
  <c r="AO646" i="2"/>
  <c r="BE646" i="2"/>
  <c r="L647" i="2"/>
  <c r="AB647" i="2"/>
  <c r="AR647" i="2"/>
  <c r="BH647" i="2"/>
  <c r="O648" i="2"/>
  <c r="AE648" i="2"/>
  <c r="AU648" i="2"/>
  <c r="BK648" i="2"/>
  <c r="V649" i="2"/>
  <c r="AL649" i="2"/>
  <c r="BD649" i="2"/>
  <c r="T650" i="2"/>
  <c r="AP650" i="2"/>
  <c r="BK650" i="2"/>
  <c r="W651" i="2"/>
  <c r="AS651" i="2"/>
  <c r="J652" i="2"/>
  <c r="AF652" i="2"/>
  <c r="BA652" i="2"/>
  <c r="M653" i="2"/>
  <c r="AI653" i="2"/>
  <c r="BD653" i="2"/>
  <c r="T654" i="2"/>
  <c r="AP654" i="2"/>
  <c r="BK654" i="2"/>
  <c r="W655" i="2"/>
  <c r="AS655" i="2"/>
  <c r="J656" i="2"/>
  <c r="AF656" i="2"/>
  <c r="BA656" i="2"/>
  <c r="M657" i="2"/>
  <c r="AI657" i="2"/>
  <c r="BD657" i="2"/>
  <c r="T658" i="2"/>
  <c r="AP658" i="2"/>
  <c r="BK658" i="2"/>
  <c r="W659" i="2"/>
  <c r="AS659" i="2"/>
  <c r="J660" i="2"/>
  <c r="AF660" i="2"/>
  <c r="BA660" i="2"/>
  <c r="M661" i="2"/>
  <c r="AI661" i="2"/>
  <c r="BD661" i="2"/>
  <c r="Q656" i="2"/>
  <c r="AL656" i="2"/>
  <c r="BH656" i="2"/>
  <c r="T657" i="2"/>
  <c r="AO657" i="2"/>
  <c r="BK657" i="2"/>
  <c r="AA658" i="2"/>
  <c r="AV658" i="2"/>
  <c r="I659" i="2"/>
  <c r="AD659" i="2"/>
  <c r="AY659" i="2"/>
  <c r="Q660" i="2"/>
  <c r="AL660" i="2"/>
  <c r="BH660" i="2"/>
  <c r="T661" i="2"/>
  <c r="AO661" i="2"/>
  <c r="BK661" i="2"/>
  <c r="T645" i="2"/>
  <c r="AJ645" i="2"/>
  <c r="AZ645" i="2"/>
  <c r="G646" i="2"/>
  <c r="W646" i="2"/>
  <c r="AM646" i="2"/>
  <c r="BC646" i="2"/>
  <c r="N647" i="2"/>
  <c r="AD647" i="2"/>
  <c r="AT647" i="2"/>
  <c r="BJ647" i="2"/>
  <c r="U648" i="2"/>
  <c r="AK648" i="2"/>
  <c r="BA648" i="2"/>
  <c r="H649" i="2"/>
  <c r="X649" i="2"/>
  <c r="AN649" i="2"/>
  <c r="BG649" i="2"/>
  <c r="R650" i="2"/>
  <c r="AM650" i="2"/>
  <c r="BH650" i="2"/>
  <c r="Z651" i="2"/>
  <c r="AU651" i="2"/>
  <c r="H652" i="2"/>
  <c r="AC652" i="2"/>
  <c r="AX652" i="2"/>
  <c r="P653" i="2"/>
  <c r="AK653" i="2"/>
  <c r="BG653" i="2"/>
  <c r="R654" i="2"/>
  <c r="AM654" i="2"/>
  <c r="BH654" i="2"/>
  <c r="Z655" i="2"/>
  <c r="AU655" i="2"/>
  <c r="H656" i="2"/>
  <c r="AC656" i="2"/>
  <c r="AX656" i="2"/>
  <c r="P657" i="2"/>
  <c r="AK657" i="2"/>
  <c r="BG657" i="2"/>
  <c r="R658" i="2"/>
  <c r="AM658" i="2"/>
  <c r="BH658" i="2"/>
  <c r="Z659" i="2"/>
  <c r="AU659" i="2"/>
  <c r="H660" i="2"/>
  <c r="AC660" i="2"/>
  <c r="AX660" i="2"/>
  <c r="P661" i="2"/>
  <c r="AK661" i="2"/>
  <c r="BG661" i="2"/>
  <c r="P646" i="2"/>
  <c r="AF646" i="2"/>
  <c r="AV646" i="2"/>
  <c r="BL646" i="2"/>
  <c r="S647" i="2"/>
  <c r="AI647" i="2"/>
  <c r="AY647" i="2"/>
  <c r="J648" i="2"/>
  <c r="Z648" i="2"/>
  <c r="AP648" i="2"/>
  <c r="BF648" i="2"/>
  <c r="Q649" i="2"/>
  <c r="AG649" i="2"/>
  <c r="AW649" i="2"/>
  <c r="H650" i="2"/>
  <c r="AD650" i="2"/>
  <c r="AY650" i="2"/>
  <c r="Q651" i="2"/>
  <c r="AL651" i="2"/>
  <c r="BG651" i="2"/>
  <c r="T652" i="2"/>
  <c r="AO652" i="2"/>
  <c r="BJ652" i="2"/>
  <c r="W653" i="2"/>
  <c r="AR653" i="2"/>
  <c r="BM653" i="2"/>
  <c r="X654" i="2"/>
  <c r="AT654" i="2"/>
  <c r="K655" i="2"/>
  <c r="AG655" i="2"/>
  <c r="BB655" i="2"/>
  <c r="N656" i="2"/>
  <c r="AJ656" i="2"/>
  <c r="BE656" i="2"/>
  <c r="Q657" i="2"/>
  <c r="AM657" i="2"/>
  <c r="BH657" i="2"/>
  <c r="S658" i="2"/>
  <c r="AN658" i="2"/>
  <c r="BJ658" i="2"/>
  <c r="AA659" i="2"/>
  <c r="AW659" i="2"/>
  <c r="I660" i="2"/>
  <c r="AD660" i="2"/>
  <c r="AZ660" i="2"/>
  <c r="L661" i="2"/>
  <c r="AG661" i="2"/>
  <c r="BC661" i="2"/>
  <c r="BB649" i="2"/>
  <c r="M650" i="2"/>
  <c r="AC650" i="2"/>
  <c r="AS650" i="2"/>
  <c r="BI650" i="2"/>
  <c r="P651" i="2"/>
  <c r="AF651" i="2"/>
  <c r="AV651" i="2"/>
  <c r="BL651" i="2"/>
  <c r="S652" i="2"/>
  <c r="AI652" i="2"/>
  <c r="AY652" i="2"/>
  <c r="J653" i="2"/>
  <c r="Z653" i="2"/>
  <c r="AP653" i="2"/>
  <c r="BF653" i="2"/>
  <c r="Q654" i="2"/>
  <c r="AG654" i="2"/>
  <c r="AW654" i="2"/>
  <c r="BM654" i="2"/>
  <c r="T655" i="2"/>
  <c r="AJ655" i="2"/>
  <c r="AZ655" i="2"/>
  <c r="G656" i="2"/>
  <c r="W656" i="2"/>
  <c r="AM656" i="2"/>
  <c r="BC656" i="2"/>
  <c r="N657" i="2"/>
  <c r="AD657" i="2"/>
  <c r="AT657" i="2"/>
  <c r="BJ657" i="2"/>
  <c r="U658" i="2"/>
  <c r="AK658" i="2"/>
  <c r="BA658" i="2"/>
  <c r="H659" i="2"/>
  <c r="X659" i="2"/>
  <c r="AN659" i="2"/>
  <c r="BD659" i="2"/>
  <c r="K660" i="2"/>
  <c r="AA660" i="2"/>
  <c r="AQ660" i="2"/>
  <c r="BG660" i="2"/>
  <c r="R661" i="2"/>
  <c r="AH661" i="2"/>
  <c r="AX661" i="2"/>
  <c r="H114" i="2"/>
  <c r="X114" i="2"/>
  <c r="AN114" i="2"/>
  <c r="BD114" i="2"/>
  <c r="K115" i="2"/>
  <c r="AA115" i="2"/>
  <c r="AQ115" i="2"/>
  <c r="BG115" i="2"/>
  <c r="R116" i="2"/>
  <c r="AH116" i="2"/>
  <c r="AX116" i="2"/>
  <c r="I117" i="2"/>
  <c r="Y117" i="2"/>
  <c r="AO117" i="2"/>
  <c r="BE117" i="2"/>
  <c r="L118" i="2"/>
  <c r="AB118" i="2"/>
  <c r="AR118" i="2"/>
  <c r="BH118" i="2"/>
  <c r="O119" i="2"/>
  <c r="AE119" i="2"/>
  <c r="AU119" i="2"/>
  <c r="BK119" i="2"/>
  <c r="V120" i="2"/>
  <c r="AL120" i="2"/>
  <c r="BB120" i="2"/>
  <c r="M121" i="2"/>
  <c r="AC121" i="2"/>
  <c r="AS121" i="2"/>
  <c r="BI121" i="2"/>
  <c r="P122" i="2"/>
  <c r="AF122" i="2"/>
  <c r="AV122" i="2"/>
  <c r="BL122" i="2"/>
  <c r="S123" i="2"/>
  <c r="AI123" i="2"/>
  <c r="AY123" i="2"/>
  <c r="J124" i="2"/>
  <c r="Z124" i="2"/>
  <c r="AP124" i="2"/>
  <c r="BF124" i="2"/>
  <c r="Q125" i="2"/>
  <c r="AG125" i="2"/>
  <c r="AW125" i="2"/>
  <c r="BM125" i="2"/>
  <c r="T126" i="2"/>
  <c r="AJ126" i="2"/>
  <c r="AZ126" i="2"/>
  <c r="H127" i="3"/>
  <c r="H127" i="2" s="1"/>
  <c r="H128" i="2"/>
  <c r="X127" i="3"/>
  <c r="X127" i="2" s="1"/>
  <c r="X128" i="2"/>
  <c r="AN127" i="3"/>
  <c r="AN127" i="2" s="1"/>
  <c r="AN128" i="2"/>
  <c r="BD127" i="3"/>
  <c r="BD127" i="2" s="1"/>
  <c r="BD128" i="2"/>
  <c r="K129" i="2"/>
  <c r="AA129" i="2"/>
  <c r="AQ129" i="2"/>
  <c r="BG129" i="2"/>
  <c r="R130" i="2"/>
  <c r="AH130" i="2"/>
  <c r="AX130" i="2"/>
  <c r="I131" i="2"/>
  <c r="Y131" i="2"/>
  <c r="AO131" i="2"/>
  <c r="BE131" i="2"/>
  <c r="L132" i="2"/>
  <c r="AB132" i="2"/>
  <c r="AR132" i="2"/>
  <c r="BH132" i="2"/>
  <c r="O133" i="2"/>
  <c r="AE133" i="2"/>
  <c r="AU133" i="2"/>
  <c r="BK133" i="2"/>
  <c r="V134" i="2"/>
  <c r="AL134" i="2"/>
  <c r="BB134" i="2"/>
  <c r="M135" i="2"/>
  <c r="AC135" i="2"/>
  <c r="AS135" i="2"/>
  <c r="BI135" i="2"/>
  <c r="P136" i="2"/>
  <c r="AF136" i="2"/>
  <c r="AV136" i="2"/>
  <c r="BL136" i="2"/>
  <c r="S137" i="2"/>
  <c r="AI137" i="2"/>
  <c r="AY137" i="2"/>
  <c r="J138" i="2"/>
  <c r="Z138" i="2"/>
  <c r="AP138" i="2"/>
  <c r="BF138" i="2"/>
  <c r="Q139" i="2"/>
  <c r="AG139" i="2"/>
  <c r="AW139" i="2"/>
  <c r="BM139" i="2"/>
  <c r="T140" i="2"/>
  <c r="AJ140" i="2"/>
  <c r="AZ140" i="2"/>
  <c r="G141" i="2"/>
  <c r="W141" i="2"/>
  <c r="AM141" i="2"/>
  <c r="BC141" i="2"/>
  <c r="N142" i="2"/>
  <c r="AD142" i="2"/>
  <c r="AT142" i="2"/>
  <c r="BJ142" i="2"/>
  <c r="U143" i="2"/>
  <c r="AK143" i="2"/>
  <c r="BA143" i="2"/>
  <c r="H144" i="2"/>
  <c r="AD144" i="2"/>
  <c r="BJ144" i="2"/>
  <c r="AG145" i="2"/>
  <c r="BM145" i="2"/>
  <c r="S54" i="2"/>
  <c r="AI54" i="2"/>
  <c r="AY54" i="2"/>
  <c r="J55" i="2"/>
  <c r="Z55" i="2"/>
  <c r="AP55" i="2"/>
  <c r="BF55" i="2"/>
  <c r="Q56" i="2"/>
  <c r="AG56" i="2"/>
  <c r="AW56" i="2"/>
  <c r="BM56" i="2"/>
  <c r="T57" i="2"/>
  <c r="AJ57" i="2"/>
  <c r="AZ57" i="2"/>
  <c r="G58" i="2"/>
  <c r="W58" i="2"/>
  <c r="AM58" i="2"/>
  <c r="BC58" i="2"/>
  <c r="N59" i="2"/>
  <c r="AD59" i="2"/>
  <c r="AT59" i="2"/>
  <c r="BJ59" i="2"/>
  <c r="U60" i="2"/>
  <c r="AK60" i="2"/>
  <c r="BA60" i="2"/>
  <c r="H61" i="2"/>
  <c r="X61" i="2"/>
  <c r="AN61" i="2"/>
  <c r="BD61" i="2"/>
  <c r="K62" i="2"/>
  <c r="AA62" i="2"/>
  <c r="AQ62" i="2"/>
  <c r="BG62" i="2"/>
  <c r="R63" i="2"/>
  <c r="AH63" i="2"/>
  <c r="AX63" i="2"/>
  <c r="I64" i="2"/>
  <c r="Y64" i="2"/>
  <c r="AO64" i="2"/>
  <c r="BE64" i="2"/>
  <c r="L65" i="2"/>
  <c r="AB65" i="2"/>
  <c r="AR65" i="2"/>
  <c r="BH65" i="2"/>
  <c r="O66" i="2"/>
  <c r="AE66" i="2"/>
  <c r="AU66" i="2"/>
  <c r="BK66" i="2"/>
  <c r="V67" i="2"/>
  <c r="AL67" i="2"/>
  <c r="BB67" i="2"/>
  <c r="M68" i="2"/>
  <c r="AC68" i="2"/>
  <c r="AS68" i="2"/>
  <c r="BI68" i="2"/>
  <c r="P69" i="2"/>
  <c r="AF69" i="2"/>
  <c r="AV69" i="2"/>
  <c r="BL69" i="2"/>
  <c r="S70" i="2"/>
  <c r="AI70" i="2"/>
  <c r="AY70" i="2"/>
  <c r="J71" i="2"/>
  <c r="Z71" i="2"/>
  <c r="AP71" i="2"/>
  <c r="BF71" i="2"/>
  <c r="Q72" i="2"/>
  <c r="AG72" i="2"/>
  <c r="AW72" i="2"/>
  <c r="BM72" i="2"/>
  <c r="T73" i="2"/>
  <c r="AJ73" i="2"/>
  <c r="AZ73" i="2"/>
  <c r="G74" i="2"/>
  <c r="W74" i="2"/>
  <c r="AM74" i="2"/>
  <c r="BC74" i="2"/>
  <c r="N75" i="2"/>
  <c r="AD75" i="2"/>
  <c r="AT75" i="2"/>
  <c r="BJ75" i="2"/>
  <c r="U76" i="2"/>
  <c r="AK76" i="2"/>
  <c r="BA76" i="2"/>
  <c r="H77" i="2"/>
  <c r="X77" i="2"/>
  <c r="AN77" i="2"/>
  <c r="BD77" i="2"/>
  <c r="K78" i="2"/>
  <c r="AA78" i="2"/>
  <c r="AQ78" i="2"/>
  <c r="BG78" i="2"/>
  <c r="R79" i="2"/>
  <c r="AH79" i="2"/>
  <c r="AX79" i="2"/>
  <c r="I80" i="2"/>
  <c r="Y80" i="2"/>
  <c r="AO80" i="2"/>
  <c r="BE80" i="2"/>
  <c r="L81" i="2"/>
  <c r="AB81" i="2"/>
  <c r="AR81" i="2"/>
  <c r="BH81" i="2"/>
  <c r="O82" i="2"/>
  <c r="AE82" i="2"/>
  <c r="AU82" i="2"/>
  <c r="BK82" i="2"/>
  <c r="V83" i="2"/>
  <c r="AL83" i="2"/>
  <c r="BB83" i="2"/>
  <c r="M84" i="2"/>
  <c r="AC84" i="2"/>
  <c r="AS84" i="2"/>
  <c r="BI84" i="2"/>
  <c r="P85" i="2"/>
  <c r="AF85" i="2"/>
  <c r="AV85" i="2"/>
  <c r="BL85" i="2"/>
  <c r="T86" i="3"/>
  <c r="T86" i="2" s="1"/>
  <c r="T87" i="2"/>
  <c r="AJ86" i="3"/>
  <c r="AJ86" i="2" s="1"/>
  <c r="AJ87" i="2"/>
  <c r="AZ86" i="3"/>
  <c r="AZ86" i="2" s="1"/>
  <c r="AZ87" i="2"/>
  <c r="G88" i="2"/>
  <c r="W88" i="2"/>
  <c r="AM88" i="2"/>
  <c r="BC88" i="2"/>
  <c r="N89" i="2"/>
  <c r="AD89" i="2"/>
  <c r="AT89" i="2"/>
  <c r="BJ89" i="2"/>
  <c r="U90" i="2"/>
  <c r="AK90" i="2"/>
  <c r="BA90" i="2"/>
  <c r="H91" i="2"/>
  <c r="X91" i="2"/>
  <c r="AN91" i="2"/>
  <c r="BD91" i="2"/>
  <c r="K92" i="2"/>
  <c r="AA92" i="2"/>
  <c r="AQ92" i="2"/>
  <c r="BG92" i="2"/>
  <c r="R93" i="2"/>
  <c r="AH93" i="2"/>
  <c r="AX93" i="2"/>
  <c r="I94" i="2"/>
  <c r="Y94" i="2"/>
  <c r="AO94" i="2"/>
  <c r="BE94" i="2"/>
  <c r="L95" i="2"/>
  <c r="AB95" i="2"/>
  <c r="AR95" i="2"/>
  <c r="BH95" i="2"/>
  <c r="O96" i="2"/>
  <c r="AE96" i="2"/>
  <c r="AU96" i="2"/>
  <c r="BK96" i="2"/>
  <c r="V97" i="2"/>
  <c r="AL97" i="2"/>
  <c r="BB97" i="2"/>
  <c r="M98" i="2"/>
  <c r="AC98" i="2"/>
  <c r="AS98" i="2"/>
  <c r="BI98" i="2"/>
  <c r="P99" i="2"/>
  <c r="AF99" i="2"/>
  <c r="AV99" i="2"/>
  <c r="BL99" i="2"/>
  <c r="S100" i="2"/>
  <c r="AI100" i="2"/>
  <c r="AY100" i="2"/>
  <c r="J101" i="2"/>
  <c r="Z101" i="2"/>
  <c r="AP101" i="2"/>
  <c r="BF101" i="2"/>
  <c r="Q102" i="2"/>
  <c r="AG102" i="2"/>
  <c r="AW102" i="2"/>
  <c r="BM102" i="2"/>
  <c r="T103" i="2"/>
  <c r="AJ103" i="2"/>
  <c r="AZ103" i="2"/>
  <c r="G104" i="2"/>
  <c r="W104" i="2"/>
  <c r="AM104" i="2"/>
  <c r="BC104" i="2"/>
  <c r="N105" i="2"/>
  <c r="AD105" i="2"/>
  <c r="AT105" i="2"/>
  <c r="BJ105" i="2"/>
  <c r="U106" i="2"/>
  <c r="AK106" i="2"/>
  <c r="BA106" i="2"/>
  <c r="H107" i="2"/>
  <c r="X107" i="2"/>
  <c r="AN107" i="2"/>
  <c r="BD107" i="2"/>
  <c r="K108" i="2"/>
  <c r="AA108" i="2"/>
  <c r="AQ108" i="2"/>
  <c r="BG108" i="2"/>
  <c r="R109" i="2"/>
  <c r="AH109" i="2"/>
  <c r="AX109" i="2"/>
  <c r="I110" i="2"/>
  <c r="Y110" i="2"/>
  <c r="AO110" i="2"/>
  <c r="BE110" i="2"/>
  <c r="L111" i="2"/>
  <c r="AB111" i="2"/>
  <c r="AR111" i="2"/>
  <c r="BH111" i="2"/>
  <c r="O112" i="2"/>
  <c r="AE112" i="2"/>
  <c r="AU112" i="2"/>
  <c r="BK112" i="2"/>
  <c r="V113" i="2"/>
  <c r="AL113" i="2"/>
  <c r="BB113" i="2"/>
  <c r="M114" i="2"/>
  <c r="AC114" i="2"/>
  <c r="AS114" i="2"/>
  <c r="BI114" i="2"/>
  <c r="P115" i="2"/>
  <c r="AF115" i="2"/>
  <c r="AV115" i="2"/>
  <c r="BL115" i="2"/>
  <c r="S116" i="2"/>
  <c r="AI116" i="2"/>
  <c r="AY116" i="2"/>
  <c r="J117" i="2"/>
  <c r="Z117" i="2"/>
  <c r="AP117" i="2"/>
  <c r="BF117" i="2"/>
  <c r="Q118" i="2"/>
  <c r="AG118" i="2"/>
  <c r="AW118" i="2"/>
  <c r="BM118" i="2"/>
  <c r="T119" i="2"/>
  <c r="AJ119" i="2"/>
  <c r="AZ119" i="2"/>
  <c r="G120" i="2"/>
  <c r="W120" i="2"/>
  <c r="AM120" i="2"/>
  <c r="BC120" i="2"/>
  <c r="N121" i="2"/>
  <c r="AD121" i="2"/>
  <c r="AT121" i="2"/>
  <c r="BJ121" i="2"/>
  <c r="U122" i="2"/>
  <c r="AK122" i="2"/>
  <c r="BA122" i="2"/>
  <c r="H123" i="2"/>
  <c r="X123" i="2"/>
  <c r="AN123" i="2"/>
  <c r="BD123" i="2"/>
  <c r="K124" i="2"/>
  <c r="AA124" i="2"/>
  <c r="AQ124" i="2"/>
  <c r="BG124" i="2"/>
  <c r="R125" i="2"/>
  <c r="AH125" i="2"/>
  <c r="AX125" i="2"/>
  <c r="I126" i="2"/>
  <c r="Y126" i="2"/>
  <c r="AO126" i="2"/>
  <c r="BE126" i="2"/>
  <c r="M127" i="3"/>
  <c r="M127" i="2" s="1"/>
  <c r="M128" i="2"/>
  <c r="AC127" i="3"/>
  <c r="AC127" i="2" s="1"/>
  <c r="AC128" i="2"/>
  <c r="AS127" i="3"/>
  <c r="AS127" i="2" s="1"/>
  <c r="AS128" i="2"/>
  <c r="BI127" i="3"/>
  <c r="BI127" i="2" s="1"/>
  <c r="BI128" i="2"/>
  <c r="P129" i="2"/>
  <c r="AF129" i="2"/>
  <c r="AV129" i="2"/>
  <c r="BL129" i="2"/>
  <c r="S130" i="2"/>
  <c r="AI130" i="2"/>
  <c r="AY130" i="2"/>
  <c r="J131" i="2"/>
  <c r="Z131" i="2"/>
  <c r="AP131" i="2"/>
  <c r="BF131" i="2"/>
  <c r="Q132" i="2"/>
  <c r="AG132" i="2"/>
  <c r="AW132" i="2"/>
  <c r="BM132" i="2"/>
  <c r="T133" i="2"/>
  <c r="AJ133" i="2"/>
  <c r="AZ133" i="2"/>
  <c r="G134" i="2"/>
  <c r="W134" i="2"/>
  <c r="AM134" i="2"/>
  <c r="BC134" i="2"/>
  <c r="N135" i="2"/>
  <c r="AD135" i="2"/>
  <c r="AT135" i="2"/>
  <c r="BJ135" i="2"/>
  <c r="U136" i="2"/>
  <c r="AK136" i="2"/>
  <c r="BA136" i="2"/>
  <c r="H137" i="2"/>
  <c r="X137" i="2"/>
  <c r="AN137" i="2"/>
  <c r="BD137" i="2"/>
  <c r="K138" i="2"/>
  <c r="AA138" i="2"/>
  <c r="AQ138" i="2"/>
  <c r="BG138" i="2"/>
  <c r="R139" i="2"/>
  <c r="AH139" i="2"/>
  <c r="AX139" i="2"/>
  <c r="I140" i="2"/>
  <c r="Y140" i="2"/>
  <c r="AO140" i="2"/>
  <c r="BE140" i="2"/>
  <c r="L141" i="2"/>
  <c r="AB141" i="2"/>
  <c r="AR141" i="2"/>
  <c r="BH141" i="2"/>
  <c r="O142" i="2"/>
  <c r="AE142" i="2"/>
  <c r="AU142" i="2"/>
  <c r="BK142" i="2"/>
  <c r="V143" i="2"/>
  <c r="AL143" i="2"/>
  <c r="BB143" i="2"/>
  <c r="O144" i="2"/>
  <c r="AM144" i="2"/>
  <c r="J145" i="2"/>
  <c r="AP145" i="2"/>
  <c r="AC53" i="2"/>
  <c r="AS53" i="2"/>
  <c r="BI53" i="2"/>
  <c r="P54" i="2"/>
  <c r="AF54" i="2"/>
  <c r="AV54" i="2"/>
  <c r="BL54" i="2"/>
  <c r="S55" i="2"/>
  <c r="AI55" i="2"/>
  <c r="AY55" i="2"/>
  <c r="J56" i="2"/>
  <c r="Z56" i="2"/>
  <c r="AP56" i="2"/>
  <c r="BF56" i="2"/>
  <c r="Q57" i="2"/>
  <c r="AG57" i="2"/>
  <c r="AW57" i="2"/>
  <c r="BM57" i="2"/>
  <c r="T58" i="2"/>
  <c r="AJ58" i="2"/>
  <c r="AZ58" i="2"/>
  <c r="G59" i="2"/>
  <c r="W59" i="2"/>
  <c r="AM59" i="2"/>
  <c r="BC59" i="2"/>
  <c r="N60" i="2"/>
  <c r="AD60" i="2"/>
  <c r="AT60" i="2"/>
  <c r="BJ60" i="2"/>
  <c r="U61" i="2"/>
  <c r="AK61" i="2"/>
  <c r="BA61" i="2"/>
  <c r="H62" i="2"/>
  <c r="X62" i="2"/>
  <c r="AN62" i="2"/>
  <c r="BD62" i="2"/>
  <c r="K63" i="2"/>
  <c r="AA63" i="2"/>
  <c r="AQ63" i="2"/>
  <c r="BG63" i="2"/>
  <c r="R64" i="2"/>
  <c r="AH64" i="2"/>
  <c r="AX64" i="2"/>
  <c r="I65" i="2"/>
  <c r="Y65" i="2"/>
  <c r="AO65" i="2"/>
  <c r="BE65" i="2"/>
  <c r="L66" i="2"/>
  <c r="AB66" i="2"/>
  <c r="AR66" i="2"/>
  <c r="BH66" i="2"/>
  <c r="O67" i="2"/>
  <c r="AE67" i="2"/>
  <c r="AU67" i="2"/>
  <c r="BK67" i="2"/>
  <c r="V68" i="2"/>
  <c r="AL68" i="2"/>
  <c r="BB68" i="2"/>
  <c r="M69" i="2"/>
  <c r="AC69" i="2"/>
  <c r="AS69" i="2"/>
  <c r="BI69" i="2"/>
  <c r="P70" i="2"/>
  <c r="AF70" i="2"/>
  <c r="AV70" i="2"/>
  <c r="BL70" i="2"/>
  <c r="S71" i="2"/>
  <c r="AI71" i="2"/>
  <c r="AY71" i="2"/>
  <c r="J72" i="2"/>
  <c r="Z72" i="2"/>
  <c r="AP72" i="2"/>
  <c r="BF72" i="2"/>
  <c r="Q73" i="2"/>
  <c r="AG73" i="2"/>
  <c r="AW73" i="2"/>
  <c r="BM73" i="2"/>
  <c r="T74" i="2"/>
  <c r="AJ74" i="2"/>
  <c r="AZ74" i="2"/>
  <c r="G75" i="2"/>
  <c r="W75" i="2"/>
  <c r="AM75" i="2"/>
  <c r="BC75" i="2"/>
  <c r="N76" i="2"/>
  <c r="AD76" i="2"/>
  <c r="AT76" i="2"/>
  <c r="BJ76" i="2"/>
  <c r="U77" i="2"/>
  <c r="AK77" i="2"/>
  <c r="BA77" i="2"/>
  <c r="H78" i="2"/>
  <c r="X78" i="2"/>
  <c r="AN78" i="2"/>
  <c r="BD78" i="2"/>
  <c r="K79" i="2"/>
  <c r="AA79" i="2"/>
  <c r="AQ79" i="2"/>
  <c r="BG79" i="2"/>
  <c r="R80" i="2"/>
  <c r="AH80" i="2"/>
  <c r="AX80" i="2"/>
  <c r="I81" i="2"/>
  <c r="Y81" i="2"/>
  <c r="AO81" i="2"/>
  <c r="BE81" i="2"/>
  <c r="L82" i="2"/>
  <c r="AB82" i="2"/>
  <c r="AR82" i="2"/>
  <c r="BH82" i="2"/>
  <c r="O83" i="2"/>
  <c r="AE83" i="2"/>
  <c r="AU83" i="2"/>
  <c r="BK83" i="2"/>
  <c r="V84" i="2"/>
  <c r="AL84" i="2"/>
  <c r="BB84" i="2"/>
  <c r="M85" i="2"/>
  <c r="AC85" i="2"/>
  <c r="AS85" i="2"/>
  <c r="BI85" i="2"/>
  <c r="Q86" i="3"/>
  <c r="Q86" i="2" s="1"/>
  <c r="Q87" i="2"/>
  <c r="AG86" i="3"/>
  <c r="AG86" i="2" s="1"/>
  <c r="AG87" i="2"/>
  <c r="AW86" i="3"/>
  <c r="AW86" i="2" s="1"/>
  <c r="AW87" i="2"/>
  <c r="BM86" i="3"/>
  <c r="BM86" i="2" s="1"/>
  <c r="BM87" i="2"/>
  <c r="T88" i="2"/>
  <c r="AJ88" i="2"/>
  <c r="AZ88" i="2"/>
  <c r="G89" i="2"/>
  <c r="W89" i="2"/>
  <c r="AM89" i="2"/>
  <c r="BC89" i="2"/>
  <c r="N90" i="2"/>
  <c r="AD90" i="2"/>
  <c r="AT90" i="2"/>
  <c r="BJ90" i="2"/>
  <c r="U91" i="2"/>
  <c r="AK91" i="2"/>
  <c r="BA91" i="2"/>
  <c r="H92" i="2"/>
  <c r="X92" i="2"/>
  <c r="AN92" i="2"/>
  <c r="BD92" i="2"/>
  <c r="K93" i="2"/>
  <c r="AA93" i="2"/>
  <c r="AQ93" i="2"/>
  <c r="BG93" i="2"/>
  <c r="R94" i="2"/>
  <c r="AH94" i="2"/>
  <c r="AX94" i="2"/>
  <c r="I95" i="2"/>
  <c r="Y95" i="2"/>
  <c r="AO95" i="2"/>
  <c r="BE95" i="2"/>
  <c r="L96" i="2"/>
  <c r="AB96" i="2"/>
  <c r="AR96" i="2"/>
  <c r="BH96" i="2"/>
  <c r="O97" i="2"/>
  <c r="AE97" i="2"/>
  <c r="AU97" i="2"/>
  <c r="BK97" i="2"/>
  <c r="V98" i="2"/>
  <c r="AL98" i="2"/>
  <c r="BB98" i="2"/>
  <c r="M99" i="2"/>
  <c r="AC99" i="2"/>
  <c r="AS99" i="2"/>
  <c r="BI99" i="2"/>
  <c r="P100" i="2"/>
  <c r="AF100" i="2"/>
  <c r="AV100" i="2"/>
  <c r="BL100" i="2"/>
  <c r="S101" i="2"/>
  <c r="AI101" i="2"/>
  <c r="AY101" i="2"/>
  <c r="J102" i="2"/>
  <c r="Z102" i="2"/>
  <c r="AP102" i="2"/>
  <c r="BF102" i="2"/>
  <c r="Q103" i="2"/>
  <c r="AG103" i="2"/>
  <c r="AW103" i="2"/>
  <c r="BM103" i="2"/>
  <c r="T104" i="2"/>
  <c r="AJ104" i="2"/>
  <c r="AZ104" i="2"/>
  <c r="G105" i="2"/>
  <c r="W105" i="2"/>
  <c r="AM105" i="2"/>
  <c r="BC105" i="2"/>
  <c r="N106" i="2"/>
  <c r="AD106" i="2"/>
  <c r="AT106" i="2"/>
  <c r="BJ106" i="2"/>
  <c r="U107" i="2"/>
  <c r="AK107" i="2"/>
  <c r="BA107" i="2"/>
  <c r="H108" i="2"/>
  <c r="X108" i="2"/>
  <c r="AN108" i="2"/>
  <c r="BD108" i="2"/>
  <c r="K109" i="2"/>
  <c r="AA109" i="2"/>
  <c r="AQ109" i="2"/>
  <c r="BG109" i="2"/>
  <c r="R110" i="2"/>
  <c r="AH110" i="2"/>
  <c r="AX110" i="2"/>
  <c r="I111" i="2"/>
  <c r="Y111" i="2"/>
  <c r="AO111" i="2"/>
  <c r="BE111" i="2"/>
  <c r="L112" i="2"/>
  <c r="AB112" i="2"/>
  <c r="AR112" i="2"/>
  <c r="BH112" i="2"/>
  <c r="O113" i="2"/>
  <c r="AE113" i="2"/>
  <c r="AU113" i="2"/>
  <c r="BK113" i="2"/>
  <c r="V114" i="2"/>
  <c r="AL114" i="2"/>
  <c r="BB114" i="2"/>
  <c r="M115" i="2"/>
  <c r="AC115" i="2"/>
  <c r="AS115" i="2"/>
  <c r="BI115" i="2"/>
  <c r="P116" i="2"/>
  <c r="AF116" i="2"/>
  <c r="AV116" i="2"/>
  <c r="BL116" i="2"/>
  <c r="S117" i="2"/>
  <c r="AI117" i="2"/>
  <c r="AY117" i="2"/>
  <c r="J118" i="2"/>
  <c r="Z118" i="2"/>
  <c r="AP118" i="2"/>
  <c r="BF118" i="2"/>
  <c r="Q119" i="2"/>
  <c r="AG119" i="2"/>
  <c r="AW119" i="2"/>
  <c r="BM119" i="2"/>
  <c r="T120" i="2"/>
  <c r="AJ120" i="2"/>
  <c r="AZ120" i="2"/>
  <c r="G121" i="2"/>
  <c r="W121" i="2"/>
  <c r="AM121" i="2"/>
  <c r="BC121" i="2"/>
  <c r="N122" i="2"/>
  <c r="AD122" i="2"/>
  <c r="AT122" i="2"/>
  <c r="BJ122" i="2"/>
  <c r="U123" i="2"/>
  <c r="AK123" i="2"/>
  <c r="BA123" i="2"/>
  <c r="H124" i="2"/>
  <c r="X124" i="2"/>
  <c r="AN124" i="2"/>
  <c r="BD124" i="2"/>
  <c r="K125" i="2"/>
  <c r="AA125" i="2"/>
  <c r="AQ125" i="2"/>
  <c r="BG125" i="2"/>
  <c r="R126" i="2"/>
  <c r="AH126" i="2"/>
  <c r="AX126" i="2"/>
  <c r="J127" i="3"/>
  <c r="J127" i="2" s="1"/>
  <c r="J128" i="2"/>
  <c r="Z127" i="3"/>
  <c r="Z127" i="2" s="1"/>
  <c r="Z128" i="2"/>
  <c r="AP127" i="3"/>
  <c r="AP127" i="2" s="1"/>
  <c r="AP128" i="2"/>
  <c r="BF127" i="3"/>
  <c r="BF127" i="2" s="1"/>
  <c r="BF128" i="2"/>
  <c r="Q129" i="2"/>
  <c r="AG129" i="2"/>
  <c r="AW129" i="2"/>
  <c r="BM129" i="2"/>
  <c r="T130" i="2"/>
  <c r="AJ130" i="2"/>
  <c r="AZ130" i="2"/>
  <c r="G131" i="2"/>
  <c r="W131" i="2"/>
  <c r="AM131" i="2"/>
  <c r="BC131" i="2"/>
  <c r="N132" i="2"/>
  <c r="AD132" i="2"/>
  <c r="AT132" i="2"/>
  <c r="BJ132" i="2"/>
  <c r="U133" i="2"/>
  <c r="AK133" i="2"/>
  <c r="BA133" i="2"/>
  <c r="H134" i="2"/>
  <c r="X134" i="2"/>
  <c r="AN134" i="2"/>
  <c r="BD134" i="2"/>
  <c r="K135" i="2"/>
  <c r="AA135" i="2"/>
  <c r="AQ135" i="2"/>
  <c r="BG135" i="2"/>
  <c r="R136" i="2"/>
  <c r="AH136" i="2"/>
  <c r="AX136" i="2"/>
  <c r="I137" i="2"/>
  <c r="Y137" i="2"/>
  <c r="AO137" i="2"/>
  <c r="BE137" i="2"/>
  <c r="L138" i="2"/>
  <c r="AB138" i="2"/>
  <c r="AR138" i="2"/>
  <c r="BH138" i="2"/>
  <c r="O139" i="2"/>
  <c r="AE139" i="2"/>
  <c r="AU139" i="2"/>
  <c r="BK139" i="2"/>
  <c r="V140" i="2"/>
  <c r="AL140" i="2"/>
  <c r="BB140" i="2"/>
  <c r="M141" i="2"/>
  <c r="AC141" i="2"/>
  <c r="AS141" i="2"/>
  <c r="BI141" i="2"/>
  <c r="P142" i="2"/>
  <c r="AF142" i="2"/>
  <c r="AV142" i="2"/>
  <c r="BL142" i="2"/>
  <c r="S143" i="2"/>
  <c r="AI143" i="2"/>
  <c r="AY143" i="2"/>
  <c r="K144" i="2"/>
  <c r="AH144" i="2"/>
  <c r="M145" i="2"/>
  <c r="AS145" i="2"/>
  <c r="L146" i="2"/>
  <c r="AB146" i="2"/>
  <c r="AR146" i="2"/>
  <c r="BH146" i="2"/>
  <c r="O147" i="2"/>
  <c r="AE147" i="2"/>
  <c r="AU147" i="2"/>
  <c r="BK147" i="2"/>
  <c r="V148" i="2"/>
  <c r="AL148" i="2"/>
  <c r="BB148" i="2"/>
  <c r="M149" i="2"/>
  <c r="AC149" i="2"/>
  <c r="AS149" i="2"/>
  <c r="BI149" i="2"/>
  <c r="P150" i="2"/>
  <c r="AF150" i="2"/>
  <c r="AV150" i="2"/>
  <c r="BL150" i="2"/>
  <c r="S151" i="2"/>
  <c r="AI151" i="2"/>
  <c r="AY151" i="2"/>
  <c r="J152" i="2"/>
  <c r="Z152" i="2"/>
  <c r="AP152" i="2"/>
  <c r="BF152" i="2"/>
  <c r="Q153" i="2"/>
  <c r="AG153" i="2"/>
  <c r="AW153" i="2"/>
  <c r="BM153" i="2"/>
  <c r="T154" i="2"/>
  <c r="AJ154" i="2"/>
  <c r="AZ154" i="2"/>
  <c r="G155" i="2"/>
  <c r="W155" i="2"/>
  <c r="AM155" i="2"/>
  <c r="BC155" i="2"/>
  <c r="N156" i="2"/>
  <c r="AD156" i="2"/>
  <c r="AT156" i="2"/>
  <c r="BJ156" i="2"/>
  <c r="U157" i="2"/>
  <c r="AK157" i="2"/>
  <c r="BA157" i="2"/>
  <c r="H158" i="2"/>
  <c r="X158" i="2"/>
  <c r="AN158" i="2"/>
  <c r="BD158" i="2"/>
  <c r="K159" i="2"/>
  <c r="AA159" i="2"/>
  <c r="AQ159" i="2"/>
  <c r="BG159" i="2"/>
  <c r="R160" i="2"/>
  <c r="AH160" i="2"/>
  <c r="AX160" i="2"/>
  <c r="I161" i="2"/>
  <c r="Y161" i="2"/>
  <c r="AO161" i="2"/>
  <c r="BE161" i="2"/>
  <c r="L162" i="2"/>
  <c r="AB162" i="2"/>
  <c r="AR162" i="2"/>
  <c r="BH162" i="2"/>
  <c r="O163" i="2"/>
  <c r="AE163" i="2"/>
  <c r="AU163" i="2"/>
  <c r="BK163" i="2"/>
  <c r="V164" i="2"/>
  <c r="AL164" i="2"/>
  <c r="BB164" i="2"/>
  <c r="M165" i="2"/>
  <c r="AC165" i="2"/>
  <c r="AS165" i="2"/>
  <c r="BI165" i="2"/>
  <c r="P166" i="2"/>
  <c r="AF166" i="2"/>
  <c r="AV166" i="2"/>
  <c r="BL166" i="2"/>
  <c r="S167" i="2"/>
  <c r="AI167" i="2"/>
  <c r="AY167" i="2"/>
  <c r="G168" i="3"/>
  <c r="G168" i="2" s="1"/>
  <c r="G169" i="2"/>
  <c r="W168" i="3"/>
  <c r="W168" i="2" s="1"/>
  <c r="W169" i="2"/>
  <c r="AM168" i="3"/>
  <c r="AM168" i="2" s="1"/>
  <c r="AM169" i="2"/>
  <c r="BC168" i="3"/>
  <c r="BC168" i="2" s="1"/>
  <c r="BC169" i="2"/>
  <c r="N170" i="2"/>
  <c r="AD170" i="2"/>
  <c r="AT170" i="2"/>
  <c r="BJ170" i="2"/>
  <c r="U171" i="2"/>
  <c r="AK171" i="2"/>
  <c r="BA171" i="2"/>
  <c r="H172" i="2"/>
  <c r="X172" i="2"/>
  <c r="AN172" i="2"/>
  <c r="BD172" i="2"/>
  <c r="K173" i="2"/>
  <c r="AA173" i="2"/>
  <c r="AQ173" i="2"/>
  <c r="BG173" i="2"/>
  <c r="R174" i="2"/>
  <c r="AH174" i="2"/>
  <c r="AX174" i="2"/>
  <c r="I175" i="2"/>
  <c r="Y175" i="2"/>
  <c r="AO175" i="2"/>
  <c r="BE175" i="2"/>
  <c r="L176" i="2"/>
  <c r="AB176" i="2"/>
  <c r="AR176" i="2"/>
  <c r="BH176" i="2"/>
  <c r="O177" i="2"/>
  <c r="AE177" i="2"/>
  <c r="AU177" i="2"/>
  <c r="BK177" i="2"/>
  <c r="V178" i="2"/>
  <c r="AL178" i="2"/>
  <c r="BB178" i="2"/>
  <c r="M179" i="2"/>
  <c r="AC179" i="2"/>
  <c r="AS179" i="2"/>
  <c r="BI179" i="2"/>
  <c r="P180" i="2"/>
  <c r="AF180" i="2"/>
  <c r="AV180" i="2"/>
  <c r="BL180" i="2"/>
  <c r="S181" i="2"/>
  <c r="AI181" i="2"/>
  <c r="AY181" i="2"/>
  <c r="J182" i="2"/>
  <c r="Z182" i="2"/>
  <c r="AP182" i="2"/>
  <c r="BF182" i="2"/>
  <c r="Q183" i="2"/>
  <c r="AG183" i="2"/>
  <c r="AW183" i="2"/>
  <c r="BM183" i="2"/>
  <c r="T184" i="2"/>
  <c r="AJ184" i="2"/>
  <c r="AZ184" i="2"/>
  <c r="G185" i="2"/>
  <c r="W185" i="2"/>
  <c r="AM185" i="2"/>
  <c r="BC185" i="2"/>
  <c r="N186" i="2"/>
  <c r="AD186" i="2"/>
  <c r="AT186" i="2"/>
  <c r="BJ186" i="2"/>
  <c r="U187" i="2"/>
  <c r="AK187" i="2"/>
  <c r="BA187" i="2"/>
  <c r="H188" i="2"/>
  <c r="X188" i="2"/>
  <c r="AN188" i="2"/>
  <c r="BD188" i="2"/>
  <c r="K189" i="2"/>
  <c r="AA189" i="2"/>
  <c r="AQ189" i="2"/>
  <c r="BG189" i="2"/>
  <c r="R190" i="2"/>
  <c r="AH190" i="2"/>
  <c r="AX190" i="2"/>
  <c r="I191" i="2"/>
  <c r="Y191" i="2"/>
  <c r="AO191" i="2"/>
  <c r="BE191" i="2"/>
  <c r="L192" i="2"/>
  <c r="AB192" i="2"/>
  <c r="AR192" i="2"/>
  <c r="BH192" i="2"/>
  <c r="O193" i="2"/>
  <c r="AE193" i="2"/>
  <c r="AU193" i="2"/>
  <c r="BK193" i="2"/>
  <c r="V194" i="2"/>
  <c r="AL194" i="2"/>
  <c r="BB194" i="2"/>
  <c r="M195" i="2"/>
  <c r="AC195" i="2"/>
  <c r="AS195" i="2"/>
  <c r="BI195" i="2"/>
  <c r="P196" i="2"/>
  <c r="AF196" i="2"/>
  <c r="AV196" i="2"/>
  <c r="BL196" i="2"/>
  <c r="S197" i="2"/>
  <c r="AI197" i="2"/>
  <c r="AY197" i="2"/>
  <c r="J198" i="2"/>
  <c r="Z198" i="2"/>
  <c r="AP198" i="2"/>
  <c r="BF198" i="2"/>
  <c r="Q199" i="2"/>
  <c r="AG199" i="2"/>
  <c r="AW199" i="2"/>
  <c r="BM199" i="2"/>
  <c r="T200" i="2"/>
  <c r="AJ200" i="2"/>
  <c r="AZ200" i="2"/>
  <c r="G201" i="2"/>
  <c r="W201" i="2"/>
  <c r="AM201" i="2"/>
  <c r="BC201" i="2"/>
  <c r="N202" i="2"/>
  <c r="AD202" i="2"/>
  <c r="AT202" i="2"/>
  <c r="BJ202" i="2"/>
  <c r="U203" i="2"/>
  <c r="AK203" i="2"/>
  <c r="BA203" i="2"/>
  <c r="H204" i="2"/>
  <c r="X204" i="2"/>
  <c r="AN204" i="2"/>
  <c r="BD204" i="2"/>
  <c r="K205" i="2"/>
  <c r="AA205" i="2"/>
  <c r="AQ205" i="2"/>
  <c r="BG205" i="2"/>
  <c r="R206" i="2"/>
  <c r="AH206" i="2"/>
  <c r="AX206" i="2"/>
  <c r="I207" i="2"/>
  <c r="Y207" i="2"/>
  <c r="AO207" i="2"/>
  <c r="BE207" i="2"/>
  <c r="L208" i="2"/>
  <c r="AB208" i="2"/>
  <c r="AR208" i="2"/>
  <c r="BH208" i="2"/>
  <c r="P209" i="3"/>
  <c r="P209" i="2" s="1"/>
  <c r="P210" i="2"/>
  <c r="AF209" i="3"/>
  <c r="AF209" i="2" s="1"/>
  <c r="AF210" i="2"/>
  <c r="AV209" i="3"/>
  <c r="AV209" i="2" s="1"/>
  <c r="AV210" i="2"/>
  <c r="BL209" i="3"/>
  <c r="BL209" i="2" s="1"/>
  <c r="BL210" i="2"/>
  <c r="S211" i="2"/>
  <c r="AI211" i="2"/>
  <c r="AY211" i="2"/>
  <c r="J212" i="2"/>
  <c r="Z212" i="2"/>
  <c r="AP212" i="2"/>
  <c r="BF212" i="2"/>
  <c r="Q213" i="2"/>
  <c r="AG213" i="2"/>
  <c r="AW213" i="2"/>
  <c r="BM213" i="2"/>
  <c r="T214" i="2"/>
  <c r="AJ214" i="2"/>
  <c r="AZ214" i="2"/>
  <c r="G215" i="2"/>
  <c r="W215" i="2"/>
  <c r="AM215" i="2"/>
  <c r="BC215" i="2"/>
  <c r="N216" i="2"/>
  <c r="AD216" i="2"/>
  <c r="AT216" i="2"/>
  <c r="BJ216" i="2"/>
  <c r="U217" i="2"/>
  <c r="AK217" i="2"/>
  <c r="BA217" i="2"/>
  <c r="H218" i="2"/>
  <c r="X218" i="2"/>
  <c r="AN218" i="2"/>
  <c r="BD218" i="2"/>
  <c r="K219" i="2"/>
  <c r="AA219" i="2"/>
  <c r="AQ219" i="2"/>
  <c r="BG219" i="2"/>
  <c r="R220" i="2"/>
  <c r="AH220" i="2"/>
  <c r="AX220" i="2"/>
  <c r="I221" i="2"/>
  <c r="Y221" i="2"/>
  <c r="AO221" i="2"/>
  <c r="BE221" i="2"/>
  <c r="L222" i="2"/>
  <c r="AB222" i="2"/>
  <c r="AR222" i="2"/>
  <c r="BH222" i="2"/>
  <c r="O223" i="2"/>
  <c r="AE223" i="2"/>
  <c r="AU223" i="2"/>
  <c r="BK223" i="2"/>
  <c r="V224" i="2"/>
  <c r="AL224" i="2"/>
  <c r="BB224" i="2"/>
  <c r="M225" i="2"/>
  <c r="AC225" i="2"/>
  <c r="AS225" i="2"/>
  <c r="BI225" i="2"/>
  <c r="P226" i="2"/>
  <c r="AF226" i="2"/>
  <c r="AV226" i="2"/>
  <c r="BL226" i="2"/>
  <c r="S227" i="2"/>
  <c r="AI227" i="2"/>
  <c r="AY227" i="2"/>
  <c r="J228" i="2"/>
  <c r="Z228" i="2"/>
  <c r="AP228" i="2"/>
  <c r="BF228" i="2"/>
  <c r="Q229" i="2"/>
  <c r="AG229" i="2"/>
  <c r="AW229" i="2"/>
  <c r="BM229" i="2"/>
  <c r="T230" i="2"/>
  <c r="AJ230" i="2"/>
  <c r="AZ230" i="2"/>
  <c r="G231" i="2"/>
  <c r="W231" i="2"/>
  <c r="AM231" i="2"/>
  <c r="BC231" i="2"/>
  <c r="N232" i="2"/>
  <c r="AD232" i="2"/>
  <c r="AT232" i="2"/>
  <c r="BJ232" i="2"/>
  <c r="U233" i="2"/>
  <c r="AK233" i="2"/>
  <c r="BA233" i="2"/>
  <c r="H234" i="2"/>
  <c r="X234" i="2"/>
  <c r="AN234" i="2"/>
  <c r="BF234" i="2"/>
  <c r="S235" i="2"/>
  <c r="AZ235" i="2"/>
  <c r="U146" i="2"/>
  <c r="AK146" i="2"/>
  <c r="BA146" i="2"/>
  <c r="H147" i="2"/>
  <c r="X147" i="2"/>
  <c r="AN147" i="2"/>
  <c r="BD147" i="2"/>
  <c r="K148" i="2"/>
  <c r="AA148" i="2"/>
  <c r="AQ148" i="2"/>
  <c r="BG148" i="2"/>
  <c r="R149" i="2"/>
  <c r="AH149" i="2"/>
  <c r="AX149" i="2"/>
  <c r="I150" i="2"/>
  <c r="Y150" i="2"/>
  <c r="AO150" i="2"/>
  <c r="BE150" i="2"/>
  <c r="L151" i="2"/>
  <c r="AB151" i="2"/>
  <c r="AR151" i="2"/>
  <c r="BH151" i="2"/>
  <c r="O152" i="2"/>
  <c r="AE152" i="2"/>
  <c r="AU152" i="2"/>
  <c r="BK152" i="2"/>
  <c r="V153" i="2"/>
  <c r="AL153" i="2"/>
  <c r="BB153" i="2"/>
  <c r="M154" i="2"/>
  <c r="AC154" i="2"/>
  <c r="AS154" i="2"/>
  <c r="BI154" i="2"/>
  <c r="P155" i="2"/>
  <c r="AF155" i="2"/>
  <c r="AV155" i="2"/>
  <c r="BL155" i="2"/>
  <c r="S156" i="2"/>
  <c r="AI156" i="2"/>
  <c r="AY156" i="2"/>
  <c r="J157" i="2"/>
  <c r="Z157" i="2"/>
  <c r="AP157" i="2"/>
  <c r="BF157" i="2"/>
  <c r="Q158" i="2"/>
  <c r="AG158" i="2"/>
  <c r="AW158" i="2"/>
  <c r="BM158" i="2"/>
  <c r="T159" i="2"/>
  <c r="AJ159" i="2"/>
  <c r="AZ159" i="2"/>
  <c r="G160" i="2"/>
  <c r="W160" i="2"/>
  <c r="AM160" i="2"/>
  <c r="BC160" i="2"/>
  <c r="N161" i="2"/>
  <c r="AD161" i="2"/>
  <c r="AT161" i="2"/>
  <c r="BJ161" i="2"/>
  <c r="U162" i="2"/>
  <c r="AK162" i="2"/>
  <c r="BA162" i="2"/>
  <c r="H163" i="2"/>
  <c r="X163" i="2"/>
  <c r="AN163" i="2"/>
  <c r="BD163" i="2"/>
  <c r="K164" i="2"/>
  <c r="AA164" i="2"/>
  <c r="AQ164" i="2"/>
  <c r="BG164" i="2"/>
  <c r="R165" i="2"/>
  <c r="AH165" i="2"/>
  <c r="AX165" i="2"/>
  <c r="I166" i="2"/>
  <c r="Y166" i="2"/>
  <c r="AO166" i="2"/>
  <c r="BE166" i="2"/>
  <c r="L167" i="2"/>
  <c r="AB167" i="2"/>
  <c r="AR167" i="2"/>
  <c r="BH167" i="2"/>
  <c r="P168" i="3"/>
  <c r="P168" i="2" s="1"/>
  <c r="P169" i="2"/>
  <c r="AF168" i="3"/>
  <c r="AF168" i="2" s="1"/>
  <c r="AF169" i="2"/>
  <c r="AV168" i="3"/>
  <c r="AV168" i="2" s="1"/>
  <c r="AV169" i="2"/>
  <c r="BL168" i="3"/>
  <c r="BL168" i="2" s="1"/>
  <c r="BL169" i="2"/>
  <c r="S170" i="2"/>
  <c r="AI170" i="2"/>
  <c r="AY170" i="2"/>
  <c r="J171" i="2"/>
  <c r="Z171" i="2"/>
  <c r="AP171" i="2"/>
  <c r="BF171" i="2"/>
  <c r="Q172" i="2"/>
  <c r="AG172" i="2"/>
  <c r="AW172" i="2"/>
  <c r="BM172" i="2"/>
  <c r="T173" i="2"/>
  <c r="AJ173" i="2"/>
  <c r="AZ173" i="2"/>
  <c r="G174" i="2"/>
  <c r="W174" i="2"/>
  <c r="AM174" i="2"/>
  <c r="BC174" i="2"/>
  <c r="N175" i="2"/>
  <c r="AD175" i="2"/>
  <c r="AT175" i="2"/>
  <c r="BJ175" i="2"/>
  <c r="U176" i="2"/>
  <c r="AK176" i="2"/>
  <c r="BA176" i="2"/>
  <c r="H177" i="2"/>
  <c r="X177" i="2"/>
  <c r="AN177" i="2"/>
  <c r="BD177" i="2"/>
  <c r="K178" i="2"/>
  <c r="AA178" i="2"/>
  <c r="AQ178" i="2"/>
  <c r="BG178" i="2"/>
  <c r="R179" i="2"/>
  <c r="AH179" i="2"/>
  <c r="AX179" i="2"/>
  <c r="I180" i="2"/>
  <c r="Y180" i="2"/>
  <c r="AO180" i="2"/>
  <c r="BE180" i="2"/>
  <c r="L181" i="2"/>
  <c r="AB181" i="2"/>
  <c r="AR181" i="2"/>
  <c r="BH181" i="2"/>
  <c r="O182" i="2"/>
  <c r="AE182" i="2"/>
  <c r="AU182" i="2"/>
  <c r="BK182" i="2"/>
  <c r="V183" i="2"/>
  <c r="AL183" i="2"/>
  <c r="BB183" i="2"/>
  <c r="M184" i="2"/>
  <c r="AC184" i="2"/>
  <c r="AS184" i="2"/>
  <c r="BI184" i="2"/>
  <c r="P185" i="2"/>
  <c r="AF185" i="2"/>
  <c r="AV185" i="2"/>
  <c r="BL185" i="2"/>
  <c r="S186" i="2"/>
  <c r="AI186" i="2"/>
  <c r="AY186" i="2"/>
  <c r="J187" i="2"/>
  <c r="Z187" i="2"/>
  <c r="AP187" i="2"/>
  <c r="BF187" i="2"/>
  <c r="Q188" i="2"/>
  <c r="AG188" i="2"/>
  <c r="AW188" i="2"/>
  <c r="BM188" i="2"/>
  <c r="T189" i="2"/>
  <c r="AJ189" i="2"/>
  <c r="AZ189" i="2"/>
  <c r="G190" i="2"/>
  <c r="W190" i="2"/>
  <c r="AM190" i="2"/>
  <c r="BC190" i="2"/>
  <c r="N191" i="2"/>
  <c r="AD191" i="2"/>
  <c r="AT191" i="2"/>
  <c r="BJ191" i="2"/>
  <c r="U192" i="2"/>
  <c r="AK192" i="2"/>
  <c r="BA192" i="2"/>
  <c r="H193" i="2"/>
  <c r="X193" i="2"/>
  <c r="AN193" i="2"/>
  <c r="BD193" i="2"/>
  <c r="K194" i="2"/>
  <c r="AA194" i="2"/>
  <c r="AQ194" i="2"/>
  <c r="BG194" i="2"/>
  <c r="R195" i="2"/>
  <c r="AH195" i="2"/>
  <c r="AX195" i="2"/>
  <c r="I196" i="2"/>
  <c r="Y196" i="2"/>
  <c r="AO196" i="2"/>
  <c r="BE196" i="2"/>
  <c r="L197" i="2"/>
  <c r="AB197" i="2"/>
  <c r="AR197" i="2"/>
  <c r="BH197" i="2"/>
  <c r="O198" i="2"/>
  <c r="AE198" i="2"/>
  <c r="AU198" i="2"/>
  <c r="BK198" i="2"/>
  <c r="V199" i="2"/>
  <c r="AL199" i="2"/>
  <c r="BB199" i="2"/>
  <c r="M200" i="2"/>
  <c r="AC200" i="2"/>
  <c r="AS200" i="2"/>
  <c r="BI200" i="2"/>
  <c r="P201" i="2"/>
  <c r="AF201" i="2"/>
  <c r="AV201" i="2"/>
  <c r="BL201" i="2"/>
  <c r="S202" i="2"/>
  <c r="AI202" i="2"/>
  <c r="AY202" i="2"/>
  <c r="J203" i="2"/>
  <c r="Z203" i="2"/>
  <c r="AP203" i="2"/>
  <c r="BF203" i="2"/>
  <c r="Q204" i="2"/>
  <c r="AG204" i="2"/>
  <c r="AW204" i="2"/>
  <c r="BM204" i="2"/>
  <c r="T205" i="2"/>
  <c r="AJ205" i="2"/>
  <c r="AZ205" i="2"/>
  <c r="G206" i="2"/>
  <c r="W206" i="2"/>
  <c r="AM206" i="2"/>
  <c r="BC206" i="2"/>
  <c r="N207" i="2"/>
  <c r="AD207" i="2"/>
  <c r="AT207" i="2"/>
  <c r="BJ207" i="2"/>
  <c r="U208" i="2"/>
  <c r="AK208" i="2"/>
  <c r="BA208" i="2"/>
  <c r="I209" i="3"/>
  <c r="I209" i="2" s="1"/>
  <c r="I210" i="2"/>
  <c r="Y209" i="3"/>
  <c r="Y209" i="2" s="1"/>
  <c r="Y210" i="2"/>
  <c r="AO209" i="3"/>
  <c r="AO209" i="2" s="1"/>
  <c r="AO210" i="2"/>
  <c r="BE209" i="3"/>
  <c r="BE209" i="2" s="1"/>
  <c r="BE210" i="2"/>
  <c r="L211" i="2"/>
  <c r="AB211" i="2"/>
  <c r="AR211" i="2"/>
  <c r="BH211" i="2"/>
  <c r="O212" i="2"/>
  <c r="AE212" i="2"/>
  <c r="AU212" i="2"/>
  <c r="BK212" i="2"/>
  <c r="V213" i="2"/>
  <c r="AL213" i="2"/>
  <c r="BB213" i="2"/>
  <c r="M214" i="2"/>
  <c r="AC214" i="2"/>
  <c r="AS214" i="2"/>
  <c r="BI214" i="2"/>
  <c r="P215" i="2"/>
  <c r="AF215" i="2"/>
  <c r="AV215" i="2"/>
  <c r="BL215" i="2"/>
  <c r="S216" i="2"/>
  <c r="AI216" i="2"/>
  <c r="AY216" i="2"/>
  <c r="J217" i="2"/>
  <c r="Z217" i="2"/>
  <c r="AP217" i="2"/>
  <c r="BF217" i="2"/>
  <c r="Q218" i="2"/>
  <c r="AG218" i="2"/>
  <c r="AW218" i="2"/>
  <c r="BM218" i="2"/>
  <c r="T219" i="2"/>
  <c r="AJ219" i="2"/>
  <c r="AZ219" i="2"/>
  <c r="G220" i="2"/>
  <c r="W220" i="2"/>
  <c r="AM220" i="2"/>
  <c r="BC220" i="2"/>
  <c r="N221" i="2"/>
  <c r="AD221" i="2"/>
  <c r="AT221" i="2"/>
  <c r="BJ221" i="2"/>
  <c r="U222" i="2"/>
  <c r="AK222" i="2"/>
  <c r="BA222" i="2"/>
  <c r="H223" i="2"/>
  <c r="X223" i="2"/>
  <c r="AN223" i="2"/>
  <c r="BD223" i="2"/>
  <c r="K224" i="2"/>
  <c r="AA224" i="2"/>
  <c r="AQ224" i="2"/>
  <c r="BG224" i="2"/>
  <c r="R225" i="2"/>
  <c r="AH225" i="2"/>
  <c r="AX225" i="2"/>
  <c r="I226" i="2"/>
  <c r="Y226" i="2"/>
  <c r="AO226" i="2"/>
  <c r="BE226" i="2"/>
  <c r="L227" i="2"/>
  <c r="AB227" i="2"/>
  <c r="AR227" i="2"/>
  <c r="BH227" i="2"/>
  <c r="O228" i="2"/>
  <c r="AE228" i="2"/>
  <c r="AU228" i="2"/>
  <c r="BK228" i="2"/>
  <c r="V229" i="2"/>
  <c r="AL229" i="2"/>
  <c r="BB229" i="2"/>
  <c r="M230" i="2"/>
  <c r="AC230" i="2"/>
  <c r="AS230" i="2"/>
  <c r="BI230" i="2"/>
  <c r="P231" i="2"/>
  <c r="AF231" i="2"/>
  <c r="AV231" i="2"/>
  <c r="BL231" i="2"/>
  <c r="S232" i="2"/>
  <c r="AI232" i="2"/>
  <c r="AY232" i="2"/>
  <c r="J233" i="2"/>
  <c r="Z233" i="2"/>
  <c r="AP233" i="2"/>
  <c r="BF233" i="2"/>
  <c r="Q234" i="2"/>
  <c r="AG234" i="2"/>
  <c r="AW234" i="2"/>
  <c r="I235" i="2"/>
  <c r="AG235" i="2"/>
  <c r="AJ144" i="2"/>
  <c r="AZ144" i="2"/>
  <c r="G145" i="2"/>
  <c r="W145" i="2"/>
  <c r="AM145" i="2"/>
  <c r="BC145" i="2"/>
  <c r="N146" i="2"/>
  <c r="AD146" i="2"/>
  <c r="AT146" i="2"/>
  <c r="BJ146" i="2"/>
  <c r="U147" i="2"/>
  <c r="AK147" i="2"/>
  <c r="BA147" i="2"/>
  <c r="H148" i="2"/>
  <c r="X148" i="2"/>
  <c r="AN148" i="2"/>
  <c r="BD148" i="2"/>
  <c r="K149" i="2"/>
  <c r="AA149" i="2"/>
  <c r="AQ149" i="2"/>
  <c r="BG149" i="2"/>
  <c r="R150" i="2"/>
  <c r="AH150" i="2"/>
  <c r="AX150" i="2"/>
  <c r="I151" i="2"/>
  <c r="Y151" i="2"/>
  <c r="AO151" i="2"/>
  <c r="BE151" i="2"/>
  <c r="L152" i="2"/>
  <c r="AB152" i="2"/>
  <c r="AR152" i="2"/>
  <c r="BH152" i="2"/>
  <c r="O153" i="2"/>
  <c r="AE153" i="2"/>
  <c r="AU153" i="2"/>
  <c r="BK153" i="2"/>
  <c r="V154" i="2"/>
  <c r="AL154" i="2"/>
  <c r="BB154" i="2"/>
  <c r="M155" i="2"/>
  <c r="AC155" i="2"/>
  <c r="AS155" i="2"/>
  <c r="BI155" i="2"/>
  <c r="P156" i="2"/>
  <c r="AF156" i="2"/>
  <c r="AV156" i="2"/>
  <c r="BL156" i="2"/>
  <c r="S157" i="2"/>
  <c r="AI157" i="2"/>
  <c r="AY157" i="2"/>
  <c r="J158" i="2"/>
  <c r="Z158" i="2"/>
  <c r="AP158" i="2"/>
  <c r="BF158" i="2"/>
  <c r="Q159" i="2"/>
  <c r="AG159" i="2"/>
  <c r="AW159" i="2"/>
  <c r="BM159" i="2"/>
  <c r="T160" i="2"/>
  <c r="AJ160" i="2"/>
  <c r="AZ160" i="2"/>
  <c r="G161" i="2"/>
  <c r="W161" i="2"/>
  <c r="AM161" i="2"/>
  <c r="BC161" i="2"/>
  <c r="N162" i="2"/>
  <c r="AD162" i="2"/>
  <c r="AT162" i="2"/>
  <c r="BJ162" i="2"/>
  <c r="U163" i="2"/>
  <c r="AK163" i="2"/>
  <c r="BA163" i="2"/>
  <c r="H164" i="2"/>
  <c r="X164" i="2"/>
  <c r="AN164" i="2"/>
  <c r="BD164" i="2"/>
  <c r="K165" i="2"/>
  <c r="AA165" i="2"/>
  <c r="AQ165" i="2"/>
  <c r="BG165" i="2"/>
  <c r="R166" i="2"/>
  <c r="AH166" i="2"/>
  <c r="AX166" i="2"/>
  <c r="I167" i="2"/>
  <c r="Y167" i="2"/>
  <c r="AO167" i="2"/>
  <c r="BE167" i="2"/>
  <c r="M168" i="3"/>
  <c r="M168" i="2" s="1"/>
  <c r="M169" i="2"/>
  <c r="AC168" i="3"/>
  <c r="AC168" i="2" s="1"/>
  <c r="AC169" i="2"/>
  <c r="AS168" i="3"/>
  <c r="AS168" i="2" s="1"/>
  <c r="AS169" i="2"/>
  <c r="BI168" i="3"/>
  <c r="BI168" i="2" s="1"/>
  <c r="BI169" i="2"/>
  <c r="P170" i="2"/>
  <c r="AF170" i="2"/>
  <c r="AV170" i="2"/>
  <c r="BL170" i="2"/>
  <c r="S171" i="2"/>
  <c r="AI171" i="2"/>
  <c r="AY171" i="2"/>
  <c r="J172" i="2"/>
  <c r="Z172" i="2"/>
  <c r="AP172" i="2"/>
  <c r="BF172" i="2"/>
  <c r="Q173" i="2"/>
  <c r="AG173" i="2"/>
  <c r="AW173" i="2"/>
  <c r="BM173" i="2"/>
  <c r="T174" i="2"/>
  <c r="AJ174" i="2"/>
  <c r="AZ174" i="2"/>
  <c r="G175" i="2"/>
  <c r="W175" i="2"/>
  <c r="AM175" i="2"/>
  <c r="BC175" i="2"/>
  <c r="N176" i="2"/>
  <c r="AD176" i="2"/>
  <c r="AT176" i="2"/>
  <c r="BJ176" i="2"/>
  <c r="U177" i="2"/>
  <c r="AK177" i="2"/>
  <c r="BA177" i="2"/>
  <c r="H178" i="2"/>
  <c r="X178" i="2"/>
  <c r="AN178" i="2"/>
  <c r="BD178" i="2"/>
  <c r="K179" i="2"/>
  <c r="AA179" i="2"/>
  <c r="AQ179" i="2"/>
  <c r="BG179" i="2"/>
  <c r="R180" i="2"/>
  <c r="AH180" i="2"/>
  <c r="AX180" i="2"/>
  <c r="I181" i="2"/>
  <c r="Y181" i="2"/>
  <c r="AO181" i="2"/>
  <c r="BE181" i="2"/>
  <c r="L182" i="2"/>
  <c r="AB182" i="2"/>
  <c r="AR182" i="2"/>
  <c r="BH182" i="2"/>
  <c r="O183" i="2"/>
  <c r="AE183" i="2"/>
  <c r="AU183" i="2"/>
  <c r="BK183" i="2"/>
  <c r="V184" i="2"/>
  <c r="AL184" i="2"/>
  <c r="BB184" i="2"/>
  <c r="M185" i="2"/>
  <c r="AC185" i="2"/>
  <c r="AS185" i="2"/>
  <c r="BI185" i="2"/>
  <c r="P186" i="2"/>
  <c r="AF186" i="2"/>
  <c r="AV186" i="2"/>
  <c r="BL186" i="2"/>
  <c r="S187" i="2"/>
  <c r="AI187" i="2"/>
  <c r="AY187" i="2"/>
  <c r="J188" i="2"/>
  <c r="Z188" i="2"/>
  <c r="AP188" i="2"/>
  <c r="BF188" i="2"/>
  <c r="Q189" i="2"/>
  <c r="AG189" i="2"/>
  <c r="AW189" i="2"/>
  <c r="BM189" i="2"/>
  <c r="T190" i="2"/>
  <c r="AJ190" i="2"/>
  <c r="AZ190" i="2"/>
  <c r="G191" i="2"/>
  <c r="W191" i="2"/>
  <c r="AM191" i="2"/>
  <c r="BC191" i="2"/>
  <c r="N192" i="2"/>
  <c r="AD192" i="2"/>
  <c r="AT192" i="2"/>
  <c r="BJ192" i="2"/>
  <c r="U193" i="2"/>
  <c r="AK193" i="2"/>
  <c r="BA193" i="2"/>
  <c r="H194" i="2"/>
  <c r="X194" i="2"/>
  <c r="AN194" i="2"/>
  <c r="BD194" i="2"/>
  <c r="K195" i="2"/>
  <c r="AA195" i="2"/>
  <c r="AQ195" i="2"/>
  <c r="BG195" i="2"/>
  <c r="R196" i="2"/>
  <c r="AH196" i="2"/>
  <c r="AX196" i="2"/>
  <c r="I197" i="2"/>
  <c r="Y197" i="2"/>
  <c r="AO197" i="2"/>
  <c r="BE197" i="2"/>
  <c r="L198" i="2"/>
  <c r="AB198" i="2"/>
  <c r="AR198" i="2"/>
  <c r="BH198" i="2"/>
  <c r="O199" i="2"/>
  <c r="AE199" i="2"/>
  <c r="AU199" i="2"/>
  <c r="BK199" i="2"/>
  <c r="V200" i="2"/>
  <c r="AL200" i="2"/>
  <c r="BB200" i="2"/>
  <c r="M201" i="2"/>
  <c r="AC201" i="2"/>
  <c r="AS201" i="2"/>
  <c r="BI201" i="2"/>
  <c r="P202" i="2"/>
  <c r="AF202" i="2"/>
  <c r="AV202" i="2"/>
  <c r="BL202" i="2"/>
  <c r="S203" i="2"/>
  <c r="AI203" i="2"/>
  <c r="AY203" i="2"/>
  <c r="J204" i="2"/>
  <c r="Z204" i="2"/>
  <c r="AP204" i="2"/>
  <c r="BF204" i="2"/>
  <c r="Q205" i="2"/>
  <c r="AG205" i="2"/>
  <c r="AW205" i="2"/>
  <c r="BM205" i="2"/>
  <c r="T206" i="2"/>
  <c r="AJ206" i="2"/>
  <c r="AZ206" i="2"/>
  <c r="G207" i="2"/>
  <c r="W207" i="2"/>
  <c r="AM207" i="2"/>
  <c r="BC207" i="2"/>
  <c r="N208" i="2"/>
  <c r="AD208" i="2"/>
  <c r="AT208" i="2"/>
  <c r="BJ208" i="2"/>
  <c r="V209" i="3"/>
  <c r="V209" i="2" s="1"/>
  <c r="V210" i="2"/>
  <c r="AL209" i="3"/>
  <c r="AL209" i="2" s="1"/>
  <c r="AL210" i="2"/>
  <c r="BB209" i="3"/>
  <c r="BB209" i="2" s="1"/>
  <c r="BB210" i="2"/>
  <c r="M211" i="2"/>
  <c r="AC211" i="2"/>
  <c r="AS211" i="2"/>
  <c r="BI211" i="2"/>
  <c r="P212" i="2"/>
  <c r="AF212" i="2"/>
  <c r="AV212" i="2"/>
  <c r="BL212" i="2"/>
  <c r="S213" i="2"/>
  <c r="AI213" i="2"/>
  <c r="AY213" i="2"/>
  <c r="J214" i="2"/>
  <c r="Z214" i="2"/>
  <c r="AP214" i="2"/>
  <c r="BF214" i="2"/>
  <c r="Q215" i="2"/>
  <c r="AG215" i="2"/>
  <c r="AW215" i="2"/>
  <c r="BM215" i="2"/>
  <c r="T216" i="2"/>
  <c r="AJ216" i="2"/>
  <c r="AZ216" i="2"/>
  <c r="G217" i="2"/>
  <c r="W217" i="2"/>
  <c r="AM217" i="2"/>
  <c r="BC217" i="2"/>
  <c r="N218" i="2"/>
  <c r="AD218" i="2"/>
  <c r="AT218" i="2"/>
  <c r="BJ218" i="2"/>
  <c r="U219" i="2"/>
  <c r="AK219" i="2"/>
  <c r="BA219" i="2"/>
  <c r="H220" i="2"/>
  <c r="X220" i="2"/>
  <c r="AN220" i="2"/>
  <c r="BD220" i="2"/>
  <c r="K221" i="2"/>
  <c r="AA221" i="2"/>
  <c r="AQ221" i="2"/>
  <c r="BG221" i="2"/>
  <c r="R222" i="2"/>
  <c r="AH222" i="2"/>
  <c r="AX222" i="2"/>
  <c r="I223" i="2"/>
  <c r="Y223" i="2"/>
  <c r="AO223" i="2"/>
  <c r="BE223" i="2"/>
  <c r="L224" i="2"/>
  <c r="AB224" i="2"/>
  <c r="AR224" i="2"/>
  <c r="BH224" i="2"/>
  <c r="O225" i="2"/>
  <c r="AE225" i="2"/>
  <c r="AU225" i="2"/>
  <c r="BK225" i="2"/>
  <c r="V226" i="2"/>
  <c r="AL226" i="2"/>
  <c r="BB226" i="2"/>
  <c r="M227" i="2"/>
  <c r="AC227" i="2"/>
  <c r="AS227" i="2"/>
  <c r="BI227" i="2"/>
  <c r="P228" i="2"/>
  <c r="AF228" i="2"/>
  <c r="AV228" i="2"/>
  <c r="BL228" i="2"/>
  <c r="S229" i="2"/>
  <c r="AI229" i="2"/>
  <c r="AY229" i="2"/>
  <c r="J230" i="2"/>
  <c r="Z230" i="2"/>
  <c r="AP230" i="2"/>
  <c r="BF230" i="2"/>
  <c r="Q231" i="2"/>
  <c r="AG231" i="2"/>
  <c r="AW231" i="2"/>
  <c r="BM231" i="2"/>
  <c r="T232" i="2"/>
  <c r="AJ232" i="2"/>
  <c r="AZ232" i="2"/>
  <c r="G233" i="2"/>
  <c r="W233" i="2"/>
  <c r="AM233" i="2"/>
  <c r="BC233" i="2"/>
  <c r="N234" i="2"/>
  <c r="AD234" i="2"/>
  <c r="AT234" i="2"/>
  <c r="K235" i="2"/>
  <c r="AJ235" i="2"/>
  <c r="M144" i="2"/>
  <c r="AC144" i="2"/>
  <c r="AS144" i="2"/>
  <c r="BI144" i="2"/>
  <c r="P145" i="2"/>
  <c r="AF145" i="2"/>
  <c r="AV145" i="2"/>
  <c r="BL145" i="2"/>
  <c r="S146" i="2"/>
  <c r="AI146" i="2"/>
  <c r="AY146" i="2"/>
  <c r="J147" i="2"/>
  <c r="Z147" i="2"/>
  <c r="AP147" i="2"/>
  <c r="BF147" i="2"/>
  <c r="Q148" i="2"/>
  <c r="AG148" i="2"/>
  <c r="AW148" i="2"/>
  <c r="BM148" i="2"/>
  <c r="T149" i="2"/>
  <c r="AJ149" i="2"/>
  <c r="AZ149" i="2"/>
  <c r="G150" i="2"/>
  <c r="W150" i="2"/>
  <c r="AM150" i="2"/>
  <c r="BC150" i="2"/>
  <c r="N151" i="2"/>
  <c r="AD151" i="2"/>
  <c r="AT151" i="2"/>
  <c r="BJ151" i="2"/>
  <c r="U152" i="2"/>
  <c r="AK152" i="2"/>
  <c r="BA152" i="2"/>
  <c r="H153" i="2"/>
  <c r="X153" i="2"/>
  <c r="AN153" i="2"/>
  <c r="BD153" i="2"/>
  <c r="K154" i="2"/>
  <c r="AA154" i="2"/>
  <c r="AQ154" i="2"/>
  <c r="BG154" i="2"/>
  <c r="R155" i="2"/>
  <c r="AH155" i="2"/>
  <c r="AX155" i="2"/>
  <c r="I156" i="2"/>
  <c r="Y156" i="2"/>
  <c r="AO156" i="2"/>
  <c r="BE156" i="2"/>
  <c r="L157" i="2"/>
  <c r="AB157" i="2"/>
  <c r="AR157" i="2"/>
  <c r="BH157" i="2"/>
  <c r="O158" i="2"/>
  <c r="AE158" i="2"/>
  <c r="AU158" i="2"/>
  <c r="BK158" i="2"/>
  <c r="V159" i="2"/>
  <c r="AL159" i="2"/>
  <c r="BB159" i="2"/>
  <c r="M160" i="2"/>
  <c r="AC160" i="2"/>
  <c r="AS160" i="2"/>
  <c r="BI160" i="2"/>
  <c r="P161" i="2"/>
  <c r="AF161" i="2"/>
  <c r="AV161" i="2"/>
  <c r="BL161" i="2"/>
  <c r="S162" i="2"/>
  <c r="AI162" i="2"/>
  <c r="AY162" i="2"/>
  <c r="J163" i="2"/>
  <c r="Z163" i="2"/>
  <c r="AP163" i="2"/>
  <c r="BF163" i="2"/>
  <c r="Q164" i="2"/>
  <c r="AG164" i="2"/>
  <c r="AW164" i="2"/>
  <c r="BM164" i="2"/>
  <c r="T165" i="2"/>
  <c r="AJ165" i="2"/>
  <c r="AZ165" i="2"/>
  <c r="G166" i="2"/>
  <c r="W166" i="2"/>
  <c r="AM166" i="2"/>
  <c r="BC166" i="2"/>
  <c r="N167" i="2"/>
  <c r="AD167" i="2"/>
  <c r="AT167" i="2"/>
  <c r="BJ167" i="2"/>
  <c r="V168" i="3"/>
  <c r="V168" i="2" s="1"/>
  <c r="V169" i="2"/>
  <c r="AL168" i="3"/>
  <c r="AL168" i="2" s="1"/>
  <c r="AL169" i="2"/>
  <c r="BB168" i="3"/>
  <c r="BB168" i="2" s="1"/>
  <c r="BB169" i="2"/>
  <c r="M170" i="2"/>
  <c r="AC170" i="2"/>
  <c r="AS170" i="2"/>
  <c r="BI170" i="2"/>
  <c r="P171" i="2"/>
  <c r="AF171" i="2"/>
  <c r="AV171" i="2"/>
  <c r="BL171" i="2"/>
  <c r="S172" i="2"/>
  <c r="AI172" i="2"/>
  <c r="AY172" i="2"/>
  <c r="J173" i="2"/>
  <c r="Z173" i="2"/>
  <c r="AP173" i="2"/>
  <c r="BF173" i="2"/>
  <c r="Q174" i="2"/>
  <c r="AG174" i="2"/>
  <c r="AW174" i="2"/>
  <c r="BM174" i="2"/>
  <c r="T175" i="2"/>
  <c r="AJ175" i="2"/>
  <c r="AZ175" i="2"/>
  <c r="G176" i="2"/>
  <c r="W176" i="2"/>
  <c r="AM176" i="2"/>
  <c r="BC176" i="2"/>
  <c r="N177" i="2"/>
  <c r="AD177" i="2"/>
  <c r="AT177" i="2"/>
  <c r="BJ177" i="2"/>
  <c r="U178" i="2"/>
  <c r="AK178" i="2"/>
  <c r="BA178" i="2"/>
  <c r="H179" i="2"/>
  <c r="X179" i="2"/>
  <c r="AN179" i="2"/>
  <c r="BD179" i="2"/>
  <c r="K180" i="2"/>
  <c r="AA180" i="2"/>
  <c r="AQ180" i="2"/>
  <c r="BG180" i="2"/>
  <c r="R181" i="2"/>
  <c r="AH181" i="2"/>
  <c r="AX181" i="2"/>
  <c r="I182" i="2"/>
  <c r="Y182" i="2"/>
  <c r="AO182" i="2"/>
  <c r="BE182" i="2"/>
  <c r="L183" i="2"/>
  <c r="AB183" i="2"/>
  <c r="AR183" i="2"/>
  <c r="BH183" i="2"/>
  <c r="O184" i="2"/>
  <c r="AE184" i="2"/>
  <c r="AU184" i="2"/>
  <c r="BK184" i="2"/>
  <c r="V185" i="2"/>
  <c r="AL185" i="2"/>
  <c r="BB185" i="2"/>
  <c r="M186" i="2"/>
  <c r="AC186" i="2"/>
  <c r="AS186" i="2"/>
  <c r="BI186" i="2"/>
  <c r="P187" i="2"/>
  <c r="AF187" i="2"/>
  <c r="AV187" i="2"/>
  <c r="BL187" i="2"/>
  <c r="S188" i="2"/>
  <c r="AI188" i="2"/>
  <c r="AY188" i="2"/>
  <c r="J189" i="2"/>
  <c r="Z189" i="2"/>
  <c r="AP189" i="2"/>
  <c r="BF189" i="2"/>
  <c r="Q190" i="2"/>
  <c r="AG190" i="2"/>
  <c r="AW190" i="2"/>
  <c r="BM190" i="2"/>
  <c r="T191" i="2"/>
  <c r="AJ191" i="2"/>
  <c r="AZ191" i="2"/>
  <c r="G192" i="2"/>
  <c r="W192" i="2"/>
  <c r="AM192" i="2"/>
  <c r="BC192" i="2"/>
  <c r="N193" i="2"/>
  <c r="AD193" i="2"/>
  <c r="AT193" i="2"/>
  <c r="BJ193" i="2"/>
  <c r="U194" i="2"/>
  <c r="AK194" i="2"/>
  <c r="BA194" i="2"/>
  <c r="H195" i="2"/>
  <c r="X195" i="2"/>
  <c r="AN195" i="2"/>
  <c r="BD195" i="2"/>
  <c r="K196" i="2"/>
  <c r="AA196" i="2"/>
  <c r="AQ196" i="2"/>
  <c r="BG196" i="2"/>
  <c r="R197" i="2"/>
  <c r="AH197" i="2"/>
  <c r="AX197" i="2"/>
  <c r="I198" i="2"/>
  <c r="Y198" i="2"/>
  <c r="AO198" i="2"/>
  <c r="BE198" i="2"/>
  <c r="L199" i="2"/>
  <c r="AB199" i="2"/>
  <c r="AR199" i="2"/>
  <c r="BH199" i="2"/>
  <c r="O200" i="2"/>
  <c r="AE200" i="2"/>
  <c r="AU200" i="2"/>
  <c r="BK200" i="2"/>
  <c r="V201" i="2"/>
  <c r="AL201" i="2"/>
  <c r="BB201" i="2"/>
  <c r="M202" i="2"/>
  <c r="AC202" i="2"/>
  <c r="AS202" i="2"/>
  <c r="BI202" i="2"/>
  <c r="P203" i="2"/>
  <c r="AF203" i="2"/>
  <c r="AV203" i="2"/>
  <c r="BL203" i="2"/>
  <c r="S204" i="2"/>
  <c r="AI204" i="2"/>
  <c r="AY204" i="2"/>
  <c r="J205" i="2"/>
  <c r="Z205" i="2"/>
  <c r="AP205" i="2"/>
  <c r="BF205" i="2"/>
  <c r="Q206" i="2"/>
  <c r="AG206" i="2"/>
  <c r="AW206" i="2"/>
  <c r="BM206" i="2"/>
  <c r="T207" i="2"/>
  <c r="AJ207" i="2"/>
  <c r="AZ207" i="2"/>
  <c r="G208" i="2"/>
  <c r="W208" i="2"/>
  <c r="AM208" i="2"/>
  <c r="BC208" i="2"/>
  <c r="K209" i="3"/>
  <c r="K209" i="2" s="1"/>
  <c r="K210" i="2"/>
  <c r="AA209" i="3"/>
  <c r="AA209" i="2" s="1"/>
  <c r="AA210" i="2"/>
  <c r="AQ209" i="3"/>
  <c r="AQ209" i="2" s="1"/>
  <c r="AQ210" i="2"/>
  <c r="BG209" i="3"/>
  <c r="BG209" i="2" s="1"/>
  <c r="BG210" i="2"/>
  <c r="R211" i="2"/>
  <c r="AH211" i="2"/>
  <c r="AX211" i="2"/>
  <c r="I212" i="2"/>
  <c r="Y212" i="2"/>
  <c r="AO212" i="2"/>
  <c r="BE212" i="2"/>
  <c r="L213" i="2"/>
  <c r="AB213" i="2"/>
  <c r="AR213" i="2"/>
  <c r="BH213" i="2"/>
  <c r="O214" i="2"/>
  <c r="AE214" i="2"/>
  <c r="AU214" i="2"/>
  <c r="BK214" i="2"/>
  <c r="V215" i="2"/>
  <c r="AL215" i="2"/>
  <c r="BB215" i="2"/>
  <c r="M216" i="2"/>
  <c r="AC216" i="2"/>
  <c r="AS216" i="2"/>
  <c r="BI216" i="2"/>
  <c r="P217" i="2"/>
  <c r="AF217" i="2"/>
  <c r="AV217" i="2"/>
  <c r="BL217" i="2"/>
  <c r="S218" i="2"/>
  <c r="AI218" i="2"/>
  <c r="AY218" i="2"/>
  <c r="J219" i="2"/>
  <c r="Z219" i="2"/>
  <c r="AP219" i="2"/>
  <c r="BF219" i="2"/>
  <c r="Q220" i="2"/>
  <c r="AG220" i="2"/>
  <c r="AW220" i="2"/>
  <c r="BM220" i="2"/>
  <c r="T221" i="2"/>
  <c r="AJ221" i="2"/>
  <c r="AZ221" i="2"/>
  <c r="G222" i="2"/>
  <c r="W222" i="2"/>
  <c r="AM222" i="2"/>
  <c r="BC222" i="2"/>
  <c r="N223" i="2"/>
  <c r="AD223" i="2"/>
  <c r="AT223" i="2"/>
  <c r="BJ223" i="2"/>
  <c r="U224" i="2"/>
  <c r="AK224" i="2"/>
  <c r="BA224" i="2"/>
  <c r="H225" i="2"/>
  <c r="X225" i="2"/>
  <c r="AN225" i="2"/>
  <c r="BD225" i="2"/>
  <c r="K226" i="2"/>
  <c r="AA226" i="2"/>
  <c r="AQ226" i="2"/>
  <c r="BG226" i="2"/>
  <c r="R227" i="2"/>
  <c r="AH227" i="2"/>
  <c r="AX227" i="2"/>
  <c r="I228" i="2"/>
  <c r="Y228" i="2"/>
  <c r="AO228" i="2"/>
  <c r="BE228" i="2"/>
  <c r="L229" i="2"/>
  <c r="AB229" i="2"/>
  <c r="AR229" i="2"/>
  <c r="BH229" i="2"/>
  <c r="O230" i="2"/>
  <c r="AE230" i="2"/>
  <c r="AU230" i="2"/>
  <c r="BK230" i="2"/>
  <c r="V231" i="2"/>
  <c r="AL231" i="2"/>
  <c r="BB231" i="2"/>
  <c r="M232" i="2"/>
  <c r="AC232" i="2"/>
  <c r="AS232" i="2"/>
  <c r="BI232" i="2"/>
  <c r="P233" i="2"/>
  <c r="AF233" i="2"/>
  <c r="AV233" i="2"/>
  <c r="BL233" i="2"/>
  <c r="S234" i="2"/>
  <c r="AI234" i="2"/>
  <c r="AZ234" i="2"/>
  <c r="L235" i="2"/>
  <c r="AK235" i="2"/>
  <c r="AE235" i="2"/>
  <c r="AU235" i="2"/>
  <c r="BK235" i="2"/>
  <c r="V236" i="2"/>
  <c r="AL236" i="2"/>
  <c r="BB236" i="2"/>
  <c r="M237" i="2"/>
  <c r="AC237" i="2"/>
  <c r="AS237" i="2"/>
  <c r="BI237" i="2"/>
  <c r="P238" i="2"/>
  <c r="AF238" i="2"/>
  <c r="AV238" i="2"/>
  <c r="BL238" i="2"/>
  <c r="S239" i="2"/>
  <c r="AI239" i="2"/>
  <c r="AY239" i="2"/>
  <c r="J240" i="2"/>
  <c r="Z240" i="2"/>
  <c r="AP240" i="2"/>
  <c r="BF240" i="2"/>
  <c r="Q241" i="2"/>
  <c r="AG241" i="2"/>
  <c r="AW241" i="2"/>
  <c r="BM241" i="2"/>
  <c r="T242" i="2"/>
  <c r="AJ242" i="2"/>
  <c r="AZ242" i="2"/>
  <c r="G243" i="2"/>
  <c r="W243" i="2"/>
  <c r="AM243" i="2"/>
  <c r="BC243" i="2"/>
  <c r="N244" i="2"/>
  <c r="AD244" i="2"/>
  <c r="AT244" i="2"/>
  <c r="BJ244" i="2"/>
  <c r="U245" i="2"/>
  <c r="AK245" i="2"/>
  <c r="BA245" i="2"/>
  <c r="H246" i="2"/>
  <c r="X246" i="2"/>
  <c r="AN246" i="2"/>
  <c r="BD246" i="2"/>
  <c r="K247" i="2"/>
  <c r="AA247" i="2"/>
  <c r="AQ247" i="2"/>
  <c r="BG247" i="2"/>
  <c r="R248" i="2"/>
  <c r="AH248" i="2"/>
  <c r="AX248" i="2"/>
  <c r="I249" i="2"/>
  <c r="Y249" i="2"/>
  <c r="AO249" i="2"/>
  <c r="BE249" i="2"/>
  <c r="M250" i="3"/>
  <c r="M250" i="2" s="1"/>
  <c r="M251" i="2"/>
  <c r="AC250" i="3"/>
  <c r="AC250" i="2" s="1"/>
  <c r="AC251" i="2"/>
  <c r="AS250" i="3"/>
  <c r="AS250" i="2" s="1"/>
  <c r="AS251" i="2"/>
  <c r="BI250" i="3"/>
  <c r="BI250" i="2" s="1"/>
  <c r="BI251" i="2"/>
  <c r="P252" i="2"/>
  <c r="AF252" i="2"/>
  <c r="AV252" i="2"/>
  <c r="BL252" i="2"/>
  <c r="S253" i="2"/>
  <c r="AI253" i="2"/>
  <c r="AY253" i="2"/>
  <c r="J254" i="2"/>
  <c r="Z254" i="2"/>
  <c r="AP254" i="2"/>
  <c r="BF254" i="2"/>
  <c r="Q255" i="2"/>
  <c r="AG255" i="2"/>
  <c r="AW255" i="2"/>
  <c r="BM255" i="2"/>
  <c r="T256" i="2"/>
  <c r="AJ256" i="2"/>
  <c r="AZ256" i="2"/>
  <c r="G257" i="2"/>
  <c r="W257" i="2"/>
  <c r="AM257" i="2"/>
  <c r="BC257" i="2"/>
  <c r="N258" i="2"/>
  <c r="AD258" i="2"/>
  <c r="AT258" i="2"/>
  <c r="BJ258" i="2"/>
  <c r="U259" i="2"/>
  <c r="AK259" i="2"/>
  <c r="BA259" i="2"/>
  <c r="H260" i="2"/>
  <c r="X260" i="2"/>
  <c r="AN260" i="2"/>
  <c r="BD260" i="2"/>
  <c r="K261" i="2"/>
  <c r="AA261" i="2"/>
  <c r="AQ261" i="2"/>
  <c r="BG261" i="2"/>
  <c r="R262" i="2"/>
  <c r="AH262" i="2"/>
  <c r="AX262" i="2"/>
  <c r="I263" i="2"/>
  <c r="Y263" i="2"/>
  <c r="AO263" i="2"/>
  <c r="BE263" i="2"/>
  <c r="L264" i="2"/>
  <c r="AB264" i="2"/>
  <c r="AR264" i="2"/>
  <c r="BH264" i="2"/>
  <c r="O265" i="2"/>
  <c r="AE265" i="2"/>
  <c r="AU265" i="2"/>
  <c r="BK265" i="2"/>
  <c r="V266" i="2"/>
  <c r="AL266" i="2"/>
  <c r="BB266" i="2"/>
  <c r="M267" i="2"/>
  <c r="AC267" i="2"/>
  <c r="AS267" i="2"/>
  <c r="BI267" i="2"/>
  <c r="P268" i="2"/>
  <c r="AF268" i="2"/>
  <c r="AV268" i="2"/>
  <c r="BL268" i="2"/>
  <c r="S269" i="2"/>
  <c r="AI269" i="2"/>
  <c r="AY269" i="2"/>
  <c r="J270" i="2"/>
  <c r="Z270" i="2"/>
  <c r="AP270" i="2"/>
  <c r="BF270" i="2"/>
  <c r="Q271" i="2"/>
  <c r="AG271" i="2"/>
  <c r="AW271" i="2"/>
  <c r="BM271" i="2"/>
  <c r="T272" i="2"/>
  <c r="AJ272" i="2"/>
  <c r="AZ272" i="2"/>
  <c r="G273" i="2"/>
  <c r="W273" i="2"/>
  <c r="AM273" i="2"/>
  <c r="BC273" i="2"/>
  <c r="N274" i="2"/>
  <c r="AD274" i="2"/>
  <c r="AT274" i="2"/>
  <c r="BJ274" i="2"/>
  <c r="U275" i="2"/>
  <c r="AK275" i="2"/>
  <c r="BA275" i="2"/>
  <c r="H276" i="2"/>
  <c r="X276" i="2"/>
  <c r="AN276" i="2"/>
  <c r="BD276" i="2"/>
  <c r="K277" i="2"/>
  <c r="AA277" i="2"/>
  <c r="AQ277" i="2"/>
  <c r="BG277" i="2"/>
  <c r="R278" i="2"/>
  <c r="AH278" i="2"/>
  <c r="AX278" i="2"/>
  <c r="I279" i="2"/>
  <c r="Y279" i="2"/>
  <c r="AO279" i="2"/>
  <c r="BE279" i="2"/>
  <c r="L280" i="2"/>
  <c r="AB280" i="2"/>
  <c r="AR280" i="2"/>
  <c r="BH280" i="2"/>
  <c r="O281" i="2"/>
  <c r="AE281" i="2"/>
  <c r="AU281" i="2"/>
  <c r="BK281" i="2"/>
  <c r="V282" i="2"/>
  <c r="AL282" i="2"/>
  <c r="BB282" i="2"/>
  <c r="M283" i="2"/>
  <c r="AC283" i="2"/>
  <c r="AS283" i="2"/>
  <c r="BI283" i="2"/>
  <c r="P284" i="2"/>
  <c r="AF284" i="2"/>
  <c r="AV284" i="2"/>
  <c r="BL284" i="2"/>
  <c r="S285" i="2"/>
  <c r="AI285" i="2"/>
  <c r="AY285" i="2"/>
  <c r="J286" i="2"/>
  <c r="Z286" i="2"/>
  <c r="AP286" i="2"/>
  <c r="BF286" i="2"/>
  <c r="Q287" i="2"/>
  <c r="AG287" i="2"/>
  <c r="AW287" i="2"/>
  <c r="BM287" i="2"/>
  <c r="T288" i="2"/>
  <c r="AJ288" i="2"/>
  <c r="AZ288" i="2"/>
  <c r="G289" i="2"/>
  <c r="W289" i="2"/>
  <c r="AM289" i="2"/>
  <c r="BC289" i="2"/>
  <c r="N290" i="2"/>
  <c r="AD290" i="2"/>
  <c r="AT290" i="2"/>
  <c r="BJ290" i="2"/>
  <c r="S292" i="3"/>
  <c r="S292" i="2" s="1"/>
  <c r="S293" i="2"/>
  <c r="AI292" i="3"/>
  <c r="AI292" i="2" s="1"/>
  <c r="AI293" i="2"/>
  <c r="AY292" i="3"/>
  <c r="AY292" i="2" s="1"/>
  <c r="AY293" i="2"/>
  <c r="J294" i="2"/>
  <c r="Z294" i="2"/>
  <c r="AP294" i="2"/>
  <c r="BF294" i="2"/>
  <c r="Q295" i="2"/>
  <c r="AG295" i="2"/>
  <c r="AW295" i="2"/>
  <c r="BM295" i="2"/>
  <c r="T296" i="2"/>
  <c r="AJ296" i="2"/>
  <c r="AZ296" i="2"/>
  <c r="G297" i="2"/>
  <c r="W297" i="2"/>
  <c r="AM297" i="2"/>
  <c r="BC297" i="2"/>
  <c r="N298" i="2"/>
  <c r="AD298" i="2"/>
  <c r="AT298" i="2"/>
  <c r="BJ298" i="2"/>
  <c r="U299" i="2"/>
  <c r="AK299" i="2"/>
  <c r="BA299" i="2"/>
  <c r="H300" i="2"/>
  <c r="X300" i="2"/>
  <c r="AN300" i="2"/>
  <c r="BD300" i="2"/>
  <c r="K301" i="2"/>
  <c r="AA301" i="2"/>
  <c r="AQ301" i="2"/>
  <c r="BG301" i="2"/>
  <c r="R302" i="2"/>
  <c r="AH302" i="2"/>
  <c r="AX302" i="2"/>
  <c r="I303" i="2"/>
  <c r="Y303" i="2"/>
  <c r="AO303" i="2"/>
  <c r="BE303" i="2"/>
  <c r="L304" i="2"/>
  <c r="AB304" i="2"/>
  <c r="AR304" i="2"/>
  <c r="BH304" i="2"/>
  <c r="O305" i="2"/>
  <c r="AE305" i="2"/>
  <c r="AU305" i="2"/>
  <c r="BK305" i="2"/>
  <c r="V306" i="2"/>
  <c r="AL306" i="2"/>
  <c r="BB306" i="2"/>
  <c r="M307" i="2"/>
  <c r="AC307" i="2"/>
  <c r="AS307" i="2"/>
  <c r="BI307" i="2"/>
  <c r="P308" i="2"/>
  <c r="AF308" i="2"/>
  <c r="AV308" i="2"/>
  <c r="BL308" i="2"/>
  <c r="S309" i="2"/>
  <c r="AI309" i="2"/>
  <c r="AY309" i="2"/>
  <c r="J310" i="2"/>
  <c r="Z310" i="2"/>
  <c r="AP310" i="2"/>
  <c r="BF310" i="2"/>
  <c r="Q311" i="2"/>
  <c r="AG311" i="2"/>
  <c r="AW311" i="2"/>
  <c r="BM311" i="2"/>
  <c r="T312" i="2"/>
  <c r="AJ312" i="2"/>
  <c r="AZ312" i="2"/>
  <c r="G313" i="2"/>
  <c r="W313" i="2"/>
  <c r="AM313" i="2"/>
  <c r="BC313" i="2"/>
  <c r="N314" i="2"/>
  <c r="AD314" i="2"/>
  <c r="AT314" i="2"/>
  <c r="BJ314" i="2"/>
  <c r="U315" i="2"/>
  <c r="AK315" i="2"/>
  <c r="BA315" i="2"/>
  <c r="H316" i="2"/>
  <c r="X316" i="2"/>
  <c r="AN316" i="2"/>
  <c r="BD316" i="2"/>
  <c r="K317" i="2"/>
  <c r="AA317" i="2"/>
  <c r="AQ317" i="2"/>
  <c r="BG317" i="2"/>
  <c r="R318" i="2"/>
  <c r="AH318" i="2"/>
  <c r="AX318" i="2"/>
  <c r="I319" i="2"/>
  <c r="Y319" i="2"/>
  <c r="AO319" i="2"/>
  <c r="BE319" i="2"/>
  <c r="L320" i="2"/>
  <c r="AB320" i="2"/>
  <c r="AR320" i="2"/>
  <c r="BH320" i="2"/>
  <c r="O321" i="2"/>
  <c r="AE321" i="2"/>
  <c r="AU321" i="2"/>
  <c r="BK321" i="2"/>
  <c r="V322" i="2"/>
  <c r="AL322" i="2"/>
  <c r="BB322" i="2"/>
  <c r="M323" i="2"/>
  <c r="AC323" i="2"/>
  <c r="AS323" i="2"/>
  <c r="BI323" i="2"/>
  <c r="P324" i="2"/>
  <c r="AF324" i="2"/>
  <c r="AV324" i="2"/>
  <c r="BL324" i="2"/>
  <c r="S325" i="2"/>
  <c r="AI325" i="2"/>
  <c r="AY325" i="2"/>
  <c r="J326" i="2"/>
  <c r="AD326" i="2"/>
  <c r="AZ326" i="2"/>
  <c r="O327" i="2"/>
  <c r="AU327" i="2"/>
  <c r="K236" i="2"/>
  <c r="AA236" i="2"/>
  <c r="AQ236" i="2"/>
  <c r="BG236" i="2"/>
  <c r="R237" i="2"/>
  <c r="AH237" i="2"/>
  <c r="AX237" i="2"/>
  <c r="I238" i="2"/>
  <c r="Y238" i="2"/>
  <c r="AO238" i="2"/>
  <c r="BE238" i="2"/>
  <c r="L239" i="2"/>
  <c r="AB239" i="2"/>
  <c r="AR239" i="2"/>
  <c r="BH239" i="2"/>
  <c r="O240" i="2"/>
  <c r="AE240" i="2"/>
  <c r="AU240" i="2"/>
  <c r="BK240" i="2"/>
  <c r="V241" i="2"/>
  <c r="AL241" i="2"/>
  <c r="BB241" i="2"/>
  <c r="M242" i="2"/>
  <c r="AC242" i="2"/>
  <c r="AS242" i="2"/>
  <c r="BI242" i="2"/>
  <c r="P243" i="2"/>
  <c r="AF243" i="2"/>
  <c r="AV243" i="2"/>
  <c r="BL243" i="2"/>
  <c r="S244" i="2"/>
  <c r="AI244" i="2"/>
  <c r="AY244" i="2"/>
  <c r="J245" i="2"/>
  <c r="Z245" i="2"/>
  <c r="AP245" i="2"/>
  <c r="BF245" i="2"/>
  <c r="Q246" i="2"/>
  <c r="AG246" i="2"/>
  <c r="AW246" i="2"/>
  <c r="BM246" i="2"/>
  <c r="T247" i="2"/>
  <c r="AJ247" i="2"/>
  <c r="AZ247" i="2"/>
  <c r="G248" i="2"/>
  <c r="W248" i="2"/>
  <c r="AM248" i="2"/>
  <c r="BC248" i="2"/>
  <c r="N249" i="2"/>
  <c r="AD249" i="2"/>
  <c r="AT249" i="2"/>
  <c r="BJ249" i="2"/>
  <c r="V250" i="3"/>
  <c r="V250" i="2" s="1"/>
  <c r="V251" i="2"/>
  <c r="AL250" i="3"/>
  <c r="AL250" i="2" s="1"/>
  <c r="AL251" i="2"/>
  <c r="BB250" i="3"/>
  <c r="BB250" i="2" s="1"/>
  <c r="BB251" i="2"/>
  <c r="M252" i="2"/>
  <c r="AC252" i="2"/>
  <c r="AS252" i="2"/>
  <c r="BI252" i="2"/>
  <c r="P253" i="2"/>
  <c r="AF253" i="2"/>
  <c r="AV253" i="2"/>
  <c r="BL253" i="2"/>
  <c r="S254" i="2"/>
  <c r="AI254" i="2"/>
  <c r="AY254" i="2"/>
  <c r="J255" i="2"/>
  <c r="Z255" i="2"/>
  <c r="AP255" i="2"/>
  <c r="BF255" i="2"/>
  <c r="Q256" i="2"/>
  <c r="AG256" i="2"/>
  <c r="AW256" i="2"/>
  <c r="BM256" i="2"/>
  <c r="T257" i="2"/>
  <c r="AJ257" i="2"/>
  <c r="AZ257" i="2"/>
  <c r="G258" i="2"/>
  <c r="W258" i="2"/>
  <c r="AM258" i="2"/>
  <c r="BC258" i="2"/>
  <c r="N259" i="2"/>
  <c r="AD259" i="2"/>
  <c r="AT259" i="2"/>
  <c r="BJ259" i="2"/>
  <c r="U260" i="2"/>
  <c r="AK260" i="2"/>
  <c r="BA260" i="2"/>
  <c r="H261" i="2"/>
  <c r="X261" i="2"/>
  <c r="AN261" i="2"/>
  <c r="BD261" i="2"/>
  <c r="K262" i="2"/>
  <c r="AA262" i="2"/>
  <c r="AQ262" i="2"/>
  <c r="BG262" i="2"/>
  <c r="R263" i="2"/>
  <c r="AH263" i="2"/>
  <c r="AX263" i="2"/>
  <c r="I264" i="2"/>
  <c r="Y264" i="2"/>
  <c r="AO264" i="2"/>
  <c r="BE264" i="2"/>
  <c r="L265" i="2"/>
  <c r="AB265" i="2"/>
  <c r="AR265" i="2"/>
  <c r="BH265" i="2"/>
  <c r="O266" i="2"/>
  <c r="AE266" i="2"/>
  <c r="AU266" i="2"/>
  <c r="BK266" i="2"/>
  <c r="V267" i="2"/>
  <c r="AL267" i="2"/>
  <c r="BB267" i="2"/>
  <c r="M268" i="2"/>
  <c r="AC268" i="2"/>
  <c r="AS268" i="2"/>
  <c r="BI268" i="2"/>
  <c r="P269" i="2"/>
  <c r="AF269" i="2"/>
  <c r="AV269" i="2"/>
  <c r="BL269" i="2"/>
  <c r="S270" i="2"/>
  <c r="AI270" i="2"/>
  <c r="AY270" i="2"/>
  <c r="J271" i="2"/>
  <c r="Z271" i="2"/>
  <c r="AP271" i="2"/>
  <c r="BF271" i="2"/>
  <c r="Q272" i="2"/>
  <c r="AG272" i="2"/>
  <c r="AW272" i="2"/>
  <c r="BM272" i="2"/>
  <c r="T273" i="2"/>
  <c r="AJ273" i="2"/>
  <c r="AZ273" i="2"/>
  <c r="G274" i="2"/>
  <c r="W274" i="2"/>
  <c r="AM274" i="2"/>
  <c r="BC274" i="2"/>
  <c r="N275" i="2"/>
  <c r="AD275" i="2"/>
  <c r="AT275" i="2"/>
  <c r="BJ275" i="2"/>
  <c r="U276" i="2"/>
  <c r="AK276" i="2"/>
  <c r="BA276" i="2"/>
  <c r="H277" i="2"/>
  <c r="X277" i="2"/>
  <c r="AN277" i="2"/>
  <c r="BD277" i="2"/>
  <c r="K278" i="2"/>
  <c r="AA278" i="2"/>
  <c r="AQ278" i="2"/>
  <c r="BG278" i="2"/>
  <c r="R279" i="2"/>
  <c r="AH279" i="2"/>
  <c r="AX279" i="2"/>
  <c r="I280" i="2"/>
  <c r="Y280" i="2"/>
  <c r="AO280" i="2"/>
  <c r="BE280" i="2"/>
  <c r="L281" i="2"/>
  <c r="AB281" i="2"/>
  <c r="AR281" i="2"/>
  <c r="BH281" i="2"/>
  <c r="O282" i="2"/>
  <c r="AE282" i="2"/>
  <c r="AU282" i="2"/>
  <c r="BK282" i="2"/>
  <c r="V283" i="2"/>
  <c r="AL283" i="2"/>
  <c r="BB283" i="2"/>
  <c r="M284" i="2"/>
  <c r="AC284" i="2"/>
  <c r="AS284" i="2"/>
  <c r="BI284" i="2"/>
  <c r="P285" i="2"/>
  <c r="AF285" i="2"/>
  <c r="AV285" i="2"/>
  <c r="BL285" i="2"/>
  <c r="S286" i="2"/>
  <c r="AI286" i="2"/>
  <c r="AY286" i="2"/>
  <c r="J287" i="2"/>
  <c r="Z287" i="2"/>
  <c r="AP287" i="2"/>
  <c r="BF287" i="2"/>
  <c r="Q288" i="2"/>
  <c r="AG288" i="2"/>
  <c r="AW288" i="2"/>
  <c r="BM288" i="2"/>
  <c r="T289" i="2"/>
  <c r="AJ289" i="2"/>
  <c r="AZ289" i="2"/>
  <c r="G290" i="2"/>
  <c r="W290" i="2"/>
  <c r="AM290" i="2"/>
  <c r="BC290" i="2"/>
  <c r="L292" i="3"/>
  <c r="L292" i="2" s="1"/>
  <c r="L293" i="2"/>
  <c r="AB292" i="3"/>
  <c r="AB292" i="2" s="1"/>
  <c r="AB293" i="2"/>
  <c r="AR292" i="3"/>
  <c r="AR292" i="2" s="1"/>
  <c r="AR293" i="2"/>
  <c r="BH292" i="3"/>
  <c r="BH292" i="2" s="1"/>
  <c r="BH293" i="2"/>
  <c r="O294" i="2"/>
  <c r="AE294" i="2"/>
  <c r="AU294" i="2"/>
  <c r="BK294" i="2"/>
  <c r="V295" i="2"/>
  <c r="AL295" i="2"/>
  <c r="BB295" i="2"/>
  <c r="M296" i="2"/>
  <c r="AC296" i="2"/>
  <c r="AS296" i="2"/>
  <c r="BI296" i="2"/>
  <c r="P297" i="2"/>
  <c r="AF297" i="2"/>
  <c r="AV297" i="2"/>
  <c r="BL297" i="2"/>
  <c r="S298" i="2"/>
  <c r="AI298" i="2"/>
  <c r="AY298" i="2"/>
  <c r="J299" i="2"/>
  <c r="Z299" i="2"/>
  <c r="AP299" i="2"/>
  <c r="BF299" i="2"/>
  <c r="Q300" i="2"/>
  <c r="AG300" i="2"/>
  <c r="AW300" i="2"/>
  <c r="BM300" i="2"/>
  <c r="T301" i="2"/>
  <c r="AJ301" i="2"/>
  <c r="AZ301" i="2"/>
  <c r="G302" i="2"/>
  <c r="W302" i="2"/>
  <c r="AM302" i="2"/>
  <c r="BC302" i="2"/>
  <c r="N303" i="2"/>
  <c r="AD303" i="2"/>
  <c r="AT303" i="2"/>
  <c r="BJ303" i="2"/>
  <c r="U304" i="2"/>
  <c r="AK304" i="2"/>
  <c r="BA304" i="2"/>
  <c r="H305" i="2"/>
  <c r="X305" i="2"/>
  <c r="AN305" i="2"/>
  <c r="BD305" i="2"/>
  <c r="K306" i="2"/>
  <c r="AA306" i="2"/>
  <c r="AQ306" i="2"/>
  <c r="BG306" i="2"/>
  <c r="R307" i="2"/>
  <c r="AH307" i="2"/>
  <c r="AX307" i="2"/>
  <c r="I308" i="2"/>
  <c r="Y308" i="2"/>
  <c r="AO308" i="2"/>
  <c r="BE308" i="2"/>
  <c r="L309" i="2"/>
  <c r="AB309" i="2"/>
  <c r="AR309" i="2"/>
  <c r="BH309" i="2"/>
  <c r="O310" i="2"/>
  <c r="AE310" i="2"/>
  <c r="AU310" i="2"/>
  <c r="BK310" i="2"/>
  <c r="V311" i="2"/>
  <c r="AL311" i="2"/>
  <c r="BB311" i="2"/>
  <c r="M312" i="2"/>
  <c r="AC312" i="2"/>
  <c r="AS312" i="2"/>
  <c r="BI312" i="2"/>
  <c r="P313" i="2"/>
  <c r="AF313" i="2"/>
  <c r="AV313" i="2"/>
  <c r="BL313" i="2"/>
  <c r="S314" i="2"/>
  <c r="AI314" i="2"/>
  <c r="AY314" i="2"/>
  <c r="J315" i="2"/>
  <c r="Z315" i="2"/>
  <c r="AP315" i="2"/>
  <c r="BF315" i="2"/>
  <c r="Q316" i="2"/>
  <c r="AG316" i="2"/>
  <c r="AW316" i="2"/>
  <c r="BM316" i="2"/>
  <c r="T317" i="2"/>
  <c r="AJ317" i="2"/>
  <c r="AZ317" i="2"/>
  <c r="G318" i="2"/>
  <c r="W318" i="2"/>
  <c r="AM318" i="2"/>
  <c r="BC318" i="2"/>
  <c r="N319" i="2"/>
  <c r="AD319" i="2"/>
  <c r="AT319" i="2"/>
  <c r="BJ319" i="2"/>
  <c r="U320" i="2"/>
  <c r="AK320" i="2"/>
  <c r="BA320" i="2"/>
  <c r="H321" i="2"/>
  <c r="X321" i="2"/>
  <c r="AN321" i="2"/>
  <c r="BD321" i="2"/>
  <c r="K322" i="2"/>
  <c r="AA322" i="2"/>
  <c r="AQ322" i="2"/>
  <c r="BG322" i="2"/>
  <c r="R323" i="2"/>
  <c r="AH323" i="2"/>
  <c r="AX323" i="2"/>
  <c r="I324" i="2"/>
  <c r="Y324" i="2"/>
  <c r="AO324" i="2"/>
  <c r="BE324" i="2"/>
  <c r="L325" i="2"/>
  <c r="AB325" i="2"/>
  <c r="AR325" i="2"/>
  <c r="BH325" i="2"/>
  <c r="P326" i="2"/>
  <c r="AK326" i="2"/>
  <c r="BF326" i="2"/>
  <c r="X327" i="2"/>
  <c r="BD327" i="2"/>
  <c r="BA235" i="2"/>
  <c r="H236" i="2"/>
  <c r="X236" i="2"/>
  <c r="AN236" i="2"/>
  <c r="BD236" i="2"/>
  <c r="K237" i="2"/>
  <c r="AA237" i="2"/>
  <c r="AQ237" i="2"/>
  <c r="BG237" i="2"/>
  <c r="R238" i="2"/>
  <c r="AH238" i="2"/>
  <c r="AX238" i="2"/>
  <c r="I239" i="2"/>
  <c r="Y239" i="2"/>
  <c r="AO239" i="2"/>
  <c r="BE239" i="2"/>
  <c r="L240" i="2"/>
  <c r="AB240" i="2"/>
  <c r="AR240" i="2"/>
  <c r="BH240" i="2"/>
  <c r="O241" i="2"/>
  <c r="AE241" i="2"/>
  <c r="AU241" i="2"/>
  <c r="BK241" i="2"/>
  <c r="V242" i="2"/>
  <c r="AL242" i="2"/>
  <c r="BB242" i="2"/>
  <c r="M243" i="2"/>
  <c r="AC243" i="2"/>
  <c r="AS243" i="2"/>
  <c r="BI243" i="2"/>
  <c r="P244" i="2"/>
  <c r="AF244" i="2"/>
  <c r="AV244" i="2"/>
  <c r="BL244" i="2"/>
  <c r="S245" i="2"/>
  <c r="AI245" i="2"/>
  <c r="AY245" i="2"/>
  <c r="J246" i="2"/>
  <c r="Z246" i="2"/>
  <c r="AP246" i="2"/>
  <c r="BF246" i="2"/>
  <c r="Q247" i="2"/>
  <c r="AG247" i="2"/>
  <c r="AW247" i="2"/>
  <c r="BM247" i="2"/>
  <c r="T248" i="2"/>
  <c r="AJ248" i="2"/>
  <c r="AZ248" i="2"/>
  <c r="G249" i="2"/>
  <c r="W249" i="2"/>
  <c r="AM249" i="2"/>
  <c r="BC249" i="2"/>
  <c r="K250" i="3"/>
  <c r="K250" i="2" s="1"/>
  <c r="K251" i="2"/>
  <c r="AA250" i="3"/>
  <c r="AA250" i="2" s="1"/>
  <c r="AA251" i="2"/>
  <c r="AQ250" i="3"/>
  <c r="AQ250" i="2" s="1"/>
  <c r="AQ251" i="2"/>
  <c r="BG250" i="3"/>
  <c r="BG250" i="2" s="1"/>
  <c r="BG251" i="2"/>
  <c r="R252" i="2"/>
  <c r="AH252" i="2"/>
  <c r="AX252" i="2"/>
  <c r="I253" i="2"/>
  <c r="Y253" i="2"/>
  <c r="AO253" i="2"/>
  <c r="BE253" i="2"/>
  <c r="L254" i="2"/>
  <c r="AB254" i="2"/>
  <c r="AR254" i="2"/>
  <c r="BH254" i="2"/>
  <c r="O255" i="2"/>
  <c r="AE255" i="2"/>
  <c r="AU255" i="2"/>
  <c r="BK255" i="2"/>
  <c r="V256" i="2"/>
  <c r="AL256" i="2"/>
  <c r="BB256" i="2"/>
  <c r="M257" i="2"/>
  <c r="AC257" i="2"/>
  <c r="AS257" i="2"/>
  <c r="BI257" i="2"/>
  <c r="P258" i="2"/>
  <c r="AF258" i="2"/>
  <c r="AV258" i="2"/>
  <c r="BL258" i="2"/>
  <c r="S259" i="2"/>
  <c r="AI259" i="2"/>
  <c r="AY259" i="2"/>
  <c r="J260" i="2"/>
  <c r="Z260" i="2"/>
  <c r="AP260" i="2"/>
  <c r="BF260" i="2"/>
  <c r="Q261" i="2"/>
  <c r="AG261" i="2"/>
  <c r="AW261" i="2"/>
  <c r="BM261" i="2"/>
  <c r="T262" i="2"/>
  <c r="AJ262" i="2"/>
  <c r="AZ262" i="2"/>
  <c r="G263" i="2"/>
  <c r="W263" i="2"/>
  <c r="AM263" i="2"/>
  <c r="BC263" i="2"/>
  <c r="N264" i="2"/>
  <c r="AD264" i="2"/>
  <c r="AT264" i="2"/>
  <c r="BJ264" i="2"/>
  <c r="U265" i="2"/>
  <c r="AK265" i="2"/>
  <c r="BA265" i="2"/>
  <c r="H266" i="2"/>
  <c r="X266" i="2"/>
  <c r="AN266" i="2"/>
  <c r="BD266" i="2"/>
  <c r="K267" i="2"/>
  <c r="AA267" i="2"/>
  <c r="AQ267" i="2"/>
  <c r="BG267" i="2"/>
  <c r="R268" i="2"/>
  <c r="AH268" i="2"/>
  <c r="AX268" i="2"/>
  <c r="I269" i="2"/>
  <c r="Y269" i="2"/>
  <c r="AO269" i="2"/>
  <c r="BE269" i="2"/>
  <c r="L270" i="2"/>
  <c r="AB270" i="2"/>
  <c r="AR270" i="2"/>
  <c r="BH270" i="2"/>
  <c r="O271" i="2"/>
  <c r="AE271" i="2"/>
  <c r="AU271" i="2"/>
  <c r="BK271" i="2"/>
  <c r="V272" i="2"/>
  <c r="AL272" i="2"/>
  <c r="BB272" i="2"/>
  <c r="M273" i="2"/>
  <c r="AC273" i="2"/>
  <c r="AS273" i="2"/>
  <c r="BI273" i="2"/>
  <c r="P274" i="2"/>
  <c r="AF274" i="2"/>
  <c r="AV274" i="2"/>
  <c r="BL274" i="2"/>
  <c r="S275" i="2"/>
  <c r="AI275" i="2"/>
  <c r="AY275" i="2"/>
  <c r="J276" i="2"/>
  <c r="Z276" i="2"/>
  <c r="AP276" i="2"/>
  <c r="BF276" i="2"/>
  <c r="Q277" i="2"/>
  <c r="AG277" i="2"/>
  <c r="AW277" i="2"/>
  <c r="BM277" i="2"/>
  <c r="T278" i="2"/>
  <c r="AJ278" i="2"/>
  <c r="AZ278" i="2"/>
  <c r="G279" i="2"/>
  <c r="W279" i="2"/>
  <c r="AM279" i="2"/>
  <c r="BC279" i="2"/>
  <c r="N280" i="2"/>
  <c r="AD280" i="2"/>
  <c r="AT280" i="2"/>
  <c r="BJ280" i="2"/>
  <c r="U281" i="2"/>
  <c r="AK281" i="2"/>
  <c r="BA281" i="2"/>
  <c r="H282" i="2"/>
  <c r="X282" i="2"/>
  <c r="AN282" i="2"/>
  <c r="BD282" i="2"/>
  <c r="K283" i="2"/>
  <c r="AA283" i="2"/>
  <c r="AQ283" i="2"/>
  <c r="BG283" i="2"/>
  <c r="R284" i="2"/>
  <c r="AH284" i="2"/>
  <c r="AX284" i="2"/>
  <c r="I285" i="2"/>
  <c r="Y285" i="2"/>
  <c r="AO285" i="2"/>
  <c r="BE285" i="2"/>
  <c r="L286" i="2"/>
  <c r="AB286" i="2"/>
  <c r="AR286" i="2"/>
  <c r="BH286" i="2"/>
  <c r="O287" i="2"/>
  <c r="AE287" i="2"/>
  <c r="AU287" i="2"/>
  <c r="BK287" i="2"/>
  <c r="V288" i="2"/>
  <c r="AL288" i="2"/>
  <c r="BB288" i="2"/>
  <c r="M289" i="2"/>
  <c r="AC289" i="2"/>
  <c r="AS289" i="2"/>
  <c r="BI289" i="2"/>
  <c r="P290" i="2"/>
  <c r="AF290" i="2"/>
  <c r="AV290" i="2"/>
  <c r="BL290" i="2"/>
  <c r="U292" i="3"/>
  <c r="U292" i="2" s="1"/>
  <c r="U293" i="2"/>
  <c r="AK292" i="3"/>
  <c r="AK292" i="2" s="1"/>
  <c r="AK293" i="2"/>
  <c r="BA292" i="3"/>
  <c r="BA292" i="2" s="1"/>
  <c r="BA293" i="2"/>
  <c r="H294" i="2"/>
  <c r="X294" i="2"/>
  <c r="AN294" i="2"/>
  <c r="BD294" i="2"/>
  <c r="K295" i="2"/>
  <c r="AA295" i="2"/>
  <c r="AQ295" i="2"/>
  <c r="BG295" i="2"/>
  <c r="R296" i="2"/>
  <c r="AH296" i="2"/>
  <c r="AX296" i="2"/>
  <c r="I297" i="2"/>
  <c r="Y297" i="2"/>
  <c r="AO297" i="2"/>
  <c r="BE297" i="2"/>
  <c r="L298" i="2"/>
  <c r="AB298" i="2"/>
  <c r="AR298" i="2"/>
  <c r="BH298" i="2"/>
  <c r="O299" i="2"/>
  <c r="AE299" i="2"/>
  <c r="AU299" i="2"/>
  <c r="BK299" i="2"/>
  <c r="V300" i="2"/>
  <c r="AL300" i="2"/>
  <c r="BB300" i="2"/>
  <c r="M301" i="2"/>
  <c r="AC301" i="2"/>
  <c r="AS301" i="2"/>
  <c r="BI301" i="2"/>
  <c r="P302" i="2"/>
  <c r="AF302" i="2"/>
  <c r="AV302" i="2"/>
  <c r="BL302" i="2"/>
  <c r="S303" i="2"/>
  <c r="AI303" i="2"/>
  <c r="AY303" i="2"/>
  <c r="J304" i="2"/>
  <c r="Z304" i="2"/>
  <c r="AP304" i="2"/>
  <c r="BF304" i="2"/>
  <c r="Q305" i="2"/>
  <c r="AG305" i="2"/>
  <c r="AW305" i="2"/>
  <c r="BM305" i="2"/>
  <c r="T306" i="2"/>
  <c r="AJ306" i="2"/>
  <c r="AZ306" i="2"/>
  <c r="G307" i="2"/>
  <c r="W307" i="2"/>
  <c r="AM307" i="2"/>
  <c r="BC307" i="2"/>
  <c r="N308" i="2"/>
  <c r="AD308" i="2"/>
  <c r="AT308" i="2"/>
  <c r="BJ308" i="2"/>
  <c r="U309" i="2"/>
  <c r="AK309" i="2"/>
  <c r="BA309" i="2"/>
  <c r="H310" i="2"/>
  <c r="X310" i="2"/>
  <c r="AN310" i="2"/>
  <c r="BD310" i="2"/>
  <c r="K311" i="2"/>
  <c r="AA311" i="2"/>
  <c r="AQ311" i="2"/>
  <c r="BG311" i="2"/>
  <c r="R312" i="2"/>
  <c r="AH312" i="2"/>
  <c r="AX312" i="2"/>
  <c r="I313" i="2"/>
  <c r="Y313" i="2"/>
  <c r="AO313" i="2"/>
  <c r="BE313" i="2"/>
  <c r="L314" i="2"/>
  <c r="AB314" i="2"/>
  <c r="AR314" i="2"/>
  <c r="BH314" i="2"/>
  <c r="O315" i="2"/>
  <c r="AE315" i="2"/>
  <c r="AU315" i="2"/>
  <c r="BK315" i="2"/>
  <c r="V316" i="2"/>
  <c r="AL316" i="2"/>
  <c r="BB316" i="2"/>
  <c r="M317" i="2"/>
  <c r="AC317" i="2"/>
  <c r="AS317" i="2"/>
  <c r="BI317" i="2"/>
  <c r="P318" i="2"/>
  <c r="AF318" i="2"/>
  <c r="AV318" i="2"/>
  <c r="BL318" i="2"/>
  <c r="S319" i="2"/>
  <c r="AI319" i="2"/>
  <c r="AY319" i="2"/>
  <c r="J320" i="2"/>
  <c r="Z320" i="2"/>
  <c r="AP320" i="2"/>
  <c r="BF320" i="2"/>
  <c r="Q321" i="2"/>
  <c r="AG321" i="2"/>
  <c r="AW321" i="2"/>
  <c r="BM321" i="2"/>
  <c r="T322" i="2"/>
  <c r="AJ322" i="2"/>
  <c r="AZ322" i="2"/>
  <c r="G323" i="2"/>
  <c r="W323" i="2"/>
  <c r="AM323" i="2"/>
  <c r="BC323" i="2"/>
  <c r="N324" i="2"/>
  <c r="AD324" i="2"/>
  <c r="AT324" i="2"/>
  <c r="BJ324" i="2"/>
  <c r="U325" i="2"/>
  <c r="AK325" i="2"/>
  <c r="BA325" i="2"/>
  <c r="H326" i="2"/>
  <c r="AB326" i="2"/>
  <c r="AW326" i="2"/>
  <c r="K327" i="2"/>
  <c r="AQ327" i="2"/>
  <c r="BC234" i="2"/>
  <c r="N235" i="2"/>
  <c r="AD235" i="2"/>
  <c r="AT235" i="2"/>
  <c r="BJ235" i="2"/>
  <c r="U236" i="2"/>
  <c r="AK236" i="2"/>
  <c r="BA236" i="2"/>
  <c r="H237" i="2"/>
  <c r="X237" i="2"/>
  <c r="AN237" i="2"/>
  <c r="BD237" i="2"/>
  <c r="K238" i="2"/>
  <c r="AA238" i="2"/>
  <c r="AQ238" i="2"/>
  <c r="BG238" i="2"/>
  <c r="R239" i="2"/>
  <c r="AH239" i="2"/>
  <c r="AX239" i="2"/>
  <c r="I240" i="2"/>
  <c r="Y240" i="2"/>
  <c r="AO240" i="2"/>
  <c r="BE240" i="2"/>
  <c r="L241" i="2"/>
  <c r="AB241" i="2"/>
  <c r="AR241" i="2"/>
  <c r="BH241" i="2"/>
  <c r="O242" i="2"/>
  <c r="AE242" i="2"/>
  <c r="AU242" i="2"/>
  <c r="BK242" i="2"/>
  <c r="V243" i="2"/>
  <c r="AL243" i="2"/>
  <c r="BB243" i="2"/>
  <c r="M244" i="2"/>
  <c r="AC244" i="2"/>
  <c r="AS244" i="2"/>
  <c r="BI244" i="2"/>
  <c r="P245" i="2"/>
  <c r="AF245" i="2"/>
  <c r="AV245" i="2"/>
  <c r="BL245" i="2"/>
  <c r="S246" i="2"/>
  <c r="AI246" i="2"/>
  <c r="AY246" i="2"/>
  <c r="J247" i="2"/>
  <c r="Z247" i="2"/>
  <c r="AP247" i="2"/>
  <c r="BF247" i="2"/>
  <c r="Q248" i="2"/>
  <c r="AG248" i="2"/>
  <c r="AW248" i="2"/>
  <c r="BM248" i="2"/>
  <c r="T249" i="2"/>
  <c r="AJ249" i="2"/>
  <c r="AZ249" i="2"/>
  <c r="H250" i="3"/>
  <c r="H250" i="2" s="1"/>
  <c r="H251" i="2"/>
  <c r="X250" i="3"/>
  <c r="X250" i="2" s="1"/>
  <c r="X251" i="2"/>
  <c r="AN250" i="3"/>
  <c r="AN250" i="2" s="1"/>
  <c r="AN251" i="2"/>
  <c r="BD250" i="3"/>
  <c r="BD250" i="2" s="1"/>
  <c r="BD251" i="2"/>
  <c r="K252" i="2"/>
  <c r="AA252" i="2"/>
  <c r="AQ252" i="2"/>
  <c r="BG252" i="2"/>
  <c r="R253" i="2"/>
  <c r="AH253" i="2"/>
  <c r="AX253" i="2"/>
  <c r="I254" i="2"/>
  <c r="Y254" i="2"/>
  <c r="AO254" i="2"/>
  <c r="BE254" i="2"/>
  <c r="L255" i="2"/>
  <c r="AB255" i="2"/>
  <c r="AR255" i="2"/>
  <c r="BH255" i="2"/>
  <c r="O256" i="2"/>
  <c r="AE256" i="2"/>
  <c r="AU256" i="2"/>
  <c r="BK256" i="2"/>
  <c r="V257" i="2"/>
  <c r="AL257" i="2"/>
  <c r="BB257" i="2"/>
  <c r="M258" i="2"/>
  <c r="AC258" i="2"/>
  <c r="AS258" i="2"/>
  <c r="BI258" i="2"/>
  <c r="P259" i="2"/>
  <c r="AF259" i="2"/>
  <c r="AV259" i="2"/>
  <c r="BL259" i="2"/>
  <c r="S260" i="2"/>
  <c r="AI260" i="2"/>
  <c r="AY260" i="2"/>
  <c r="J261" i="2"/>
  <c r="Z261" i="2"/>
  <c r="AP261" i="2"/>
  <c r="BF261" i="2"/>
  <c r="Q262" i="2"/>
  <c r="AG262" i="2"/>
  <c r="AW262" i="2"/>
  <c r="BM262" i="2"/>
  <c r="T263" i="2"/>
  <c r="AJ263" i="2"/>
  <c r="AZ263" i="2"/>
  <c r="G264" i="2"/>
  <c r="W264" i="2"/>
  <c r="AM264" i="2"/>
  <c r="BC264" i="2"/>
  <c r="N265" i="2"/>
  <c r="AD265" i="2"/>
  <c r="AT265" i="2"/>
  <c r="BJ265" i="2"/>
  <c r="U266" i="2"/>
  <c r="AK266" i="2"/>
  <c r="BA266" i="2"/>
  <c r="H267" i="2"/>
  <c r="X267" i="2"/>
  <c r="AN267" i="2"/>
  <c r="BD267" i="2"/>
  <c r="K268" i="2"/>
  <c r="AA268" i="2"/>
  <c r="AQ268" i="2"/>
  <c r="BG268" i="2"/>
  <c r="R269" i="2"/>
  <c r="AH269" i="2"/>
  <c r="AX269" i="2"/>
  <c r="I270" i="2"/>
  <c r="Y270" i="2"/>
  <c r="AO270" i="2"/>
  <c r="BE270" i="2"/>
  <c r="L271" i="2"/>
  <c r="AB271" i="2"/>
  <c r="AR271" i="2"/>
  <c r="BH271" i="2"/>
  <c r="O272" i="2"/>
  <c r="AE272" i="2"/>
  <c r="AU272" i="2"/>
  <c r="BK272" i="2"/>
  <c r="V273" i="2"/>
  <c r="AL273" i="2"/>
  <c r="BB273" i="2"/>
  <c r="M274" i="2"/>
  <c r="AC274" i="2"/>
  <c r="AS274" i="2"/>
  <c r="BI274" i="2"/>
  <c r="P275" i="2"/>
  <c r="AF275" i="2"/>
  <c r="AV275" i="2"/>
  <c r="BL275" i="2"/>
  <c r="S276" i="2"/>
  <c r="AI276" i="2"/>
  <c r="AY276" i="2"/>
  <c r="J277" i="2"/>
  <c r="Z277" i="2"/>
  <c r="AP277" i="2"/>
  <c r="BF277" i="2"/>
  <c r="Q278" i="2"/>
  <c r="AG278" i="2"/>
  <c r="AW278" i="2"/>
  <c r="BM278" i="2"/>
  <c r="T279" i="2"/>
  <c r="AJ279" i="2"/>
  <c r="AZ279" i="2"/>
  <c r="G280" i="2"/>
  <c r="W280" i="2"/>
  <c r="AM280" i="2"/>
  <c r="BC280" i="2"/>
  <c r="N281" i="2"/>
  <c r="AD281" i="2"/>
  <c r="AT281" i="2"/>
  <c r="BJ281" i="2"/>
  <c r="U282" i="2"/>
  <c r="AK282" i="2"/>
  <c r="BA282" i="2"/>
  <c r="H283" i="2"/>
  <c r="X283" i="2"/>
  <c r="AN283" i="2"/>
  <c r="BD283" i="2"/>
  <c r="K284" i="2"/>
  <c r="AA284" i="2"/>
  <c r="AQ284" i="2"/>
  <c r="BG284" i="2"/>
  <c r="R285" i="2"/>
  <c r="AH285" i="2"/>
  <c r="AX285" i="2"/>
  <c r="I286" i="2"/>
  <c r="Y286" i="2"/>
  <c r="AO286" i="2"/>
  <c r="BE286" i="2"/>
  <c r="L287" i="2"/>
  <c r="AB287" i="2"/>
  <c r="AR287" i="2"/>
  <c r="BH287" i="2"/>
  <c r="O288" i="2"/>
  <c r="AE288" i="2"/>
  <c r="AU288" i="2"/>
  <c r="BK288" i="2"/>
  <c r="V289" i="2"/>
  <c r="AL289" i="2"/>
  <c r="BB289" i="2"/>
  <c r="M290" i="2"/>
  <c r="AC290" i="2"/>
  <c r="AS290" i="2"/>
  <c r="BI290" i="2"/>
  <c r="R292" i="3"/>
  <c r="R292" i="2" s="1"/>
  <c r="R293" i="2"/>
  <c r="AH292" i="3"/>
  <c r="AH292" i="2" s="1"/>
  <c r="AH293" i="2"/>
  <c r="AX292" i="3"/>
  <c r="AX292" i="2" s="1"/>
  <c r="AX293" i="2"/>
  <c r="I294" i="2"/>
  <c r="Y294" i="2"/>
  <c r="AO294" i="2"/>
  <c r="BE294" i="2"/>
  <c r="L295" i="2"/>
  <c r="AB295" i="2"/>
  <c r="AR295" i="2"/>
  <c r="BH295" i="2"/>
  <c r="O296" i="2"/>
  <c r="AE296" i="2"/>
  <c r="AU296" i="2"/>
  <c r="BK296" i="2"/>
  <c r="V297" i="2"/>
  <c r="AL297" i="2"/>
  <c r="BB297" i="2"/>
  <c r="M298" i="2"/>
  <c r="AC298" i="2"/>
  <c r="AS298" i="2"/>
  <c r="BI298" i="2"/>
  <c r="P299" i="2"/>
  <c r="AF299" i="2"/>
  <c r="AV299" i="2"/>
  <c r="BL299" i="2"/>
  <c r="S300" i="2"/>
  <c r="AI300" i="2"/>
  <c r="AY300" i="2"/>
  <c r="J301" i="2"/>
  <c r="Z301" i="2"/>
  <c r="AP301" i="2"/>
  <c r="BF301" i="2"/>
  <c r="Q302" i="2"/>
  <c r="AG302" i="2"/>
  <c r="AW302" i="2"/>
  <c r="BM302" i="2"/>
  <c r="T303" i="2"/>
  <c r="AJ303" i="2"/>
  <c r="AZ303" i="2"/>
  <c r="G304" i="2"/>
  <c r="W304" i="2"/>
  <c r="AM304" i="2"/>
  <c r="BC304" i="2"/>
  <c r="N305" i="2"/>
  <c r="AD305" i="2"/>
  <c r="AT305" i="2"/>
  <c r="BJ305" i="2"/>
  <c r="U306" i="2"/>
  <c r="AK306" i="2"/>
  <c r="BA306" i="2"/>
  <c r="H307" i="2"/>
  <c r="X307" i="2"/>
  <c r="AN307" i="2"/>
  <c r="BD307" i="2"/>
  <c r="K308" i="2"/>
  <c r="AA308" i="2"/>
  <c r="AQ308" i="2"/>
  <c r="BG308" i="2"/>
  <c r="R309" i="2"/>
  <c r="AH309" i="2"/>
  <c r="AX309" i="2"/>
  <c r="I310" i="2"/>
  <c r="Y310" i="2"/>
  <c r="AO310" i="2"/>
  <c r="BE310" i="2"/>
  <c r="L311" i="2"/>
  <c r="AB311" i="2"/>
  <c r="AR311" i="2"/>
  <c r="BH311" i="2"/>
  <c r="O312" i="2"/>
  <c r="AE312" i="2"/>
  <c r="AU312" i="2"/>
  <c r="BK312" i="2"/>
  <c r="V313" i="2"/>
  <c r="AL313" i="2"/>
  <c r="BB313" i="2"/>
  <c r="M314" i="2"/>
  <c r="AC314" i="2"/>
  <c r="AS314" i="2"/>
  <c r="BI314" i="2"/>
  <c r="P315" i="2"/>
  <c r="AF315" i="2"/>
  <c r="AV315" i="2"/>
  <c r="BL315" i="2"/>
  <c r="S316" i="2"/>
  <c r="AI316" i="2"/>
  <c r="AY316" i="2"/>
  <c r="J317" i="2"/>
  <c r="Z317" i="2"/>
  <c r="AP317" i="2"/>
  <c r="BF317" i="2"/>
  <c r="Q318" i="2"/>
  <c r="AG318" i="2"/>
  <c r="AW318" i="2"/>
  <c r="BM318" i="2"/>
  <c r="T319" i="2"/>
  <c r="AJ319" i="2"/>
  <c r="AZ319" i="2"/>
  <c r="G320" i="2"/>
  <c r="W320" i="2"/>
  <c r="AM320" i="2"/>
  <c r="BC320" i="2"/>
  <c r="N321" i="2"/>
  <c r="AD321" i="2"/>
  <c r="AT321" i="2"/>
  <c r="BJ321" i="2"/>
  <c r="U322" i="2"/>
  <c r="AK322" i="2"/>
  <c r="BA322" i="2"/>
  <c r="H323" i="2"/>
  <c r="X323" i="2"/>
  <c r="AN323" i="2"/>
  <c r="BD323" i="2"/>
  <c r="K324" i="2"/>
  <c r="AA324" i="2"/>
  <c r="AQ324" i="2"/>
  <c r="BG324" i="2"/>
  <c r="R325" i="2"/>
  <c r="AH325" i="2"/>
  <c r="AX325" i="2"/>
  <c r="I326" i="2"/>
  <c r="AC326" i="2"/>
  <c r="AX326" i="2"/>
  <c r="T327" i="2"/>
  <c r="AZ327" i="2"/>
  <c r="R328" i="2"/>
  <c r="AH328" i="2"/>
  <c r="AX328" i="2"/>
  <c r="I329" i="2"/>
  <c r="Y329" i="2"/>
  <c r="AO329" i="2"/>
  <c r="BE329" i="2"/>
  <c r="L330" i="2"/>
  <c r="AB330" i="2"/>
  <c r="AR330" i="2"/>
  <c r="BH330" i="2"/>
  <c r="O331" i="2"/>
  <c r="AE331" i="2"/>
  <c r="AU331" i="2"/>
  <c r="BK331" i="2"/>
  <c r="V332" i="2"/>
  <c r="AL332" i="2"/>
  <c r="BB332" i="2"/>
  <c r="N333" i="3"/>
  <c r="N333" i="2" s="1"/>
  <c r="N334" i="2"/>
  <c r="AD333" i="3"/>
  <c r="AD333" i="2" s="1"/>
  <c r="AD334" i="2"/>
  <c r="AT333" i="3"/>
  <c r="AT333" i="2" s="1"/>
  <c r="AT334" i="2"/>
  <c r="BJ333" i="3"/>
  <c r="BJ333" i="2" s="1"/>
  <c r="BJ334" i="2"/>
  <c r="U335" i="2"/>
  <c r="AK335" i="2"/>
  <c r="BA335" i="2"/>
  <c r="H336" i="2"/>
  <c r="X336" i="2"/>
  <c r="AN336" i="2"/>
  <c r="BD336" i="2"/>
  <c r="K337" i="2"/>
  <c r="AA337" i="2"/>
  <c r="AQ337" i="2"/>
  <c r="BG337" i="2"/>
  <c r="R338" i="2"/>
  <c r="AH338" i="2"/>
  <c r="AX338" i="2"/>
  <c r="I339" i="2"/>
  <c r="Y339" i="2"/>
  <c r="AO339" i="2"/>
  <c r="BE339" i="2"/>
  <c r="L340" i="2"/>
  <c r="AB340" i="2"/>
  <c r="AR340" i="2"/>
  <c r="BH340" i="2"/>
  <c r="O341" i="2"/>
  <c r="AE341" i="2"/>
  <c r="AU341" i="2"/>
  <c r="BK341" i="2"/>
  <c r="V342" i="2"/>
  <c r="AL342" i="2"/>
  <c r="BB342" i="2"/>
  <c r="M343" i="2"/>
  <c r="AC343" i="2"/>
  <c r="AS343" i="2"/>
  <c r="BI343" i="2"/>
  <c r="P344" i="2"/>
  <c r="AF344" i="2"/>
  <c r="AV344" i="2"/>
  <c r="BL344" i="2"/>
  <c r="S345" i="2"/>
  <c r="AI345" i="2"/>
  <c r="AY345" i="2"/>
  <c r="J346" i="2"/>
  <c r="Z346" i="2"/>
  <c r="AP346" i="2"/>
  <c r="BF346" i="2"/>
  <c r="Q347" i="2"/>
  <c r="AG347" i="2"/>
  <c r="AW347" i="2"/>
  <c r="BM347" i="2"/>
  <c r="T348" i="2"/>
  <c r="AJ348" i="2"/>
  <c r="AZ348" i="2"/>
  <c r="G349" i="2"/>
  <c r="W349" i="2"/>
  <c r="AM349" i="2"/>
  <c r="BC349" i="2"/>
  <c r="N350" i="2"/>
  <c r="AD350" i="2"/>
  <c r="AT350" i="2"/>
  <c r="BJ350" i="2"/>
  <c r="U351" i="2"/>
  <c r="AK351" i="2"/>
  <c r="BA351" i="2"/>
  <c r="H352" i="2"/>
  <c r="X352" i="2"/>
  <c r="AN352" i="2"/>
  <c r="BD352" i="2"/>
  <c r="K353" i="2"/>
  <c r="AA353" i="2"/>
  <c r="AQ353" i="2"/>
  <c r="BG353" i="2"/>
  <c r="R354" i="2"/>
  <c r="AH354" i="2"/>
  <c r="AX354" i="2"/>
  <c r="I355" i="2"/>
  <c r="Y355" i="2"/>
  <c r="AO355" i="2"/>
  <c r="BE355" i="2"/>
  <c r="L356" i="2"/>
  <c r="AB356" i="2"/>
  <c r="AR356" i="2"/>
  <c r="BH356" i="2"/>
  <c r="O357" i="2"/>
  <c r="AE357" i="2"/>
  <c r="AU357" i="2"/>
  <c r="BK357" i="2"/>
  <c r="V358" i="2"/>
  <c r="AL358" i="2"/>
  <c r="BB358" i="2"/>
  <c r="M359" i="2"/>
  <c r="AC359" i="2"/>
  <c r="AS359" i="2"/>
  <c r="BI359" i="2"/>
  <c r="P360" i="2"/>
  <c r="AF360" i="2"/>
  <c r="AV360" i="2"/>
  <c r="BL360" i="2"/>
  <c r="S361" i="2"/>
  <c r="AI361" i="2"/>
  <c r="AY361" i="2"/>
  <c r="J362" i="2"/>
  <c r="Z362" i="2"/>
  <c r="AP362" i="2"/>
  <c r="BF362" i="2"/>
  <c r="Q363" i="2"/>
  <c r="AG363" i="2"/>
  <c r="AW363" i="2"/>
  <c r="BM363" i="2"/>
  <c r="T364" i="2"/>
  <c r="AJ364" i="2"/>
  <c r="AZ364" i="2"/>
  <c r="G365" i="2"/>
  <c r="W365" i="2"/>
  <c r="AM365" i="2"/>
  <c r="BC365" i="2"/>
  <c r="N366" i="2"/>
  <c r="AD366" i="2"/>
  <c r="AT366" i="2"/>
  <c r="BJ366" i="2"/>
  <c r="U367" i="2"/>
  <c r="AK367" i="2"/>
  <c r="BA367" i="2"/>
  <c r="H368" i="2"/>
  <c r="X368" i="2"/>
  <c r="AN368" i="2"/>
  <c r="BD368" i="2"/>
  <c r="K369" i="2"/>
  <c r="AA369" i="2"/>
  <c r="AQ369" i="2"/>
  <c r="BG369" i="2"/>
  <c r="R370" i="2"/>
  <c r="AH370" i="2"/>
  <c r="AX370" i="2"/>
  <c r="I371" i="2"/>
  <c r="Y371" i="2"/>
  <c r="AO371" i="2"/>
  <c r="BE371" i="2"/>
  <c r="L372" i="2"/>
  <c r="AB372" i="2"/>
  <c r="AR372" i="2"/>
  <c r="BH372" i="2"/>
  <c r="O373" i="2"/>
  <c r="AE373" i="2"/>
  <c r="AU373" i="2"/>
  <c r="BK373" i="2"/>
  <c r="S374" i="3"/>
  <c r="S374" i="2" s="1"/>
  <c r="S375" i="2"/>
  <c r="AI374" i="3"/>
  <c r="AI374" i="2" s="1"/>
  <c r="AI375" i="2"/>
  <c r="AY374" i="3"/>
  <c r="AY374" i="2" s="1"/>
  <c r="AY375" i="2"/>
  <c r="J376" i="2"/>
  <c r="Z376" i="2"/>
  <c r="AP376" i="2"/>
  <c r="BF376" i="2"/>
  <c r="Q377" i="2"/>
  <c r="AG377" i="2"/>
  <c r="AW377" i="2"/>
  <c r="BM377" i="2"/>
  <c r="T378" i="2"/>
  <c r="AJ378" i="2"/>
  <c r="AZ378" i="2"/>
  <c r="G379" i="2"/>
  <c r="W379" i="2"/>
  <c r="AM379" i="2"/>
  <c r="BC379" i="2"/>
  <c r="N380" i="2"/>
  <c r="AD380" i="2"/>
  <c r="AT380" i="2"/>
  <c r="BJ380" i="2"/>
  <c r="U381" i="2"/>
  <c r="AK381" i="2"/>
  <c r="BA381" i="2"/>
  <c r="H382" i="2"/>
  <c r="X382" i="2"/>
  <c r="AN382" i="2"/>
  <c r="BD382" i="2"/>
  <c r="K383" i="2"/>
  <c r="AA383" i="2"/>
  <c r="AQ383" i="2"/>
  <c r="BG383" i="2"/>
  <c r="R384" i="2"/>
  <c r="AH384" i="2"/>
  <c r="AX384" i="2"/>
  <c r="I385" i="2"/>
  <c r="Y385" i="2"/>
  <c r="AO385" i="2"/>
  <c r="BE385" i="2"/>
  <c r="L386" i="2"/>
  <c r="AB386" i="2"/>
  <c r="AR386" i="2"/>
  <c r="BH386" i="2"/>
  <c r="O387" i="2"/>
  <c r="AE387" i="2"/>
  <c r="AU387" i="2"/>
  <c r="BK387" i="2"/>
  <c r="V388" i="2"/>
  <c r="AL388" i="2"/>
  <c r="BB388" i="2"/>
  <c r="M389" i="2"/>
  <c r="AC389" i="2"/>
  <c r="AS389" i="2"/>
  <c r="BI389" i="2"/>
  <c r="P390" i="2"/>
  <c r="AF390" i="2"/>
  <c r="AV390" i="2"/>
  <c r="BL390" i="2"/>
  <c r="S391" i="2"/>
  <c r="AI391" i="2"/>
  <c r="AY391" i="2"/>
  <c r="J392" i="2"/>
  <c r="Z392" i="2"/>
  <c r="AP392" i="2"/>
  <c r="BF392" i="2"/>
  <c r="Q393" i="2"/>
  <c r="AG393" i="2"/>
  <c r="AW393" i="2"/>
  <c r="BM393" i="2"/>
  <c r="T394" i="2"/>
  <c r="AJ394" i="2"/>
  <c r="AZ394" i="2"/>
  <c r="G395" i="2"/>
  <c r="W395" i="2"/>
  <c r="AM395" i="2"/>
  <c r="BC395" i="2"/>
  <c r="N396" i="2"/>
  <c r="AD396" i="2"/>
  <c r="AT396" i="2"/>
  <c r="BJ396" i="2"/>
  <c r="U397" i="2"/>
  <c r="AK397" i="2"/>
  <c r="BA397" i="2"/>
  <c r="H398" i="2"/>
  <c r="X398" i="2"/>
  <c r="AN398" i="2"/>
  <c r="BD398" i="2"/>
  <c r="K399" i="2"/>
  <c r="AA399" i="2"/>
  <c r="AQ399" i="2"/>
  <c r="BG399" i="2"/>
  <c r="R400" i="2"/>
  <c r="AH400" i="2"/>
  <c r="AX400" i="2"/>
  <c r="I401" i="2"/>
  <c r="Y401" i="2"/>
  <c r="AO401" i="2"/>
  <c r="BE401" i="2"/>
  <c r="L402" i="2"/>
  <c r="AB402" i="2"/>
  <c r="AR402" i="2"/>
  <c r="BH402" i="2"/>
  <c r="O403" i="2"/>
  <c r="AE403" i="2"/>
  <c r="AU403" i="2"/>
  <c r="BK403" i="2"/>
  <c r="V404" i="2"/>
  <c r="AL404" i="2"/>
  <c r="BB404" i="2"/>
  <c r="M405" i="2"/>
  <c r="AC405" i="2"/>
  <c r="AS405" i="2"/>
  <c r="BI405" i="2"/>
  <c r="P406" i="2"/>
  <c r="AF406" i="2"/>
  <c r="AV406" i="2"/>
  <c r="BL406" i="2"/>
  <c r="S407" i="2"/>
  <c r="AI407" i="2"/>
  <c r="AY407" i="2"/>
  <c r="J408" i="2"/>
  <c r="Z408" i="2"/>
  <c r="AP408" i="2"/>
  <c r="BF408" i="2"/>
  <c r="Q409" i="2"/>
  <c r="AG409" i="2"/>
  <c r="AW409" i="2"/>
  <c r="BM409" i="2"/>
  <c r="T410" i="2"/>
  <c r="AJ410" i="2"/>
  <c r="AZ410" i="2"/>
  <c r="G411" i="2"/>
  <c r="W411" i="2"/>
  <c r="AM411" i="2"/>
  <c r="BC411" i="2"/>
  <c r="N412" i="2"/>
  <c r="AD412" i="2"/>
  <c r="AT412" i="2"/>
  <c r="BJ412" i="2"/>
  <c r="U413" i="2"/>
  <c r="AK413" i="2"/>
  <c r="BA413" i="2"/>
  <c r="H414" i="2"/>
  <c r="X414" i="2"/>
  <c r="AN414" i="2"/>
  <c r="BD414" i="2"/>
  <c r="L415" i="3"/>
  <c r="L415" i="2" s="1"/>
  <c r="L416" i="2"/>
  <c r="AB415" i="3"/>
  <c r="AB415" i="2" s="1"/>
  <c r="AB416" i="2"/>
  <c r="AR415" i="3"/>
  <c r="AR415" i="2" s="1"/>
  <c r="AR416" i="2"/>
  <c r="BH415" i="3"/>
  <c r="BH415" i="2" s="1"/>
  <c r="BH416" i="2"/>
  <c r="G328" i="2"/>
  <c r="W328" i="2"/>
  <c r="AM328" i="2"/>
  <c r="BC328" i="2"/>
  <c r="N329" i="2"/>
  <c r="AD329" i="2"/>
  <c r="AT329" i="2"/>
  <c r="BJ329" i="2"/>
  <c r="U330" i="2"/>
  <c r="AK330" i="2"/>
  <c r="BA330" i="2"/>
  <c r="H331" i="2"/>
  <c r="X331" i="2"/>
  <c r="AN331" i="2"/>
  <c r="BD331" i="2"/>
  <c r="K332" i="2"/>
  <c r="AA332" i="2"/>
  <c r="AQ332" i="2"/>
  <c r="BG332" i="2"/>
  <c r="O333" i="3"/>
  <c r="O333" i="2" s="1"/>
  <c r="O334" i="2"/>
  <c r="AE333" i="3"/>
  <c r="AE333" i="2" s="1"/>
  <c r="AE334" i="2"/>
  <c r="AU333" i="3"/>
  <c r="AU333" i="2" s="1"/>
  <c r="AU334" i="2"/>
  <c r="BK333" i="3"/>
  <c r="BK333" i="2" s="1"/>
  <c r="BK334" i="2"/>
  <c r="V335" i="2"/>
  <c r="AL335" i="2"/>
  <c r="BB335" i="2"/>
  <c r="M336" i="2"/>
  <c r="AC336" i="2"/>
  <c r="AS336" i="2"/>
  <c r="BI336" i="2"/>
  <c r="P337" i="2"/>
  <c r="AF337" i="2"/>
  <c r="AV337" i="2"/>
  <c r="BL337" i="2"/>
  <c r="S338" i="2"/>
  <c r="AI338" i="2"/>
  <c r="AY338" i="2"/>
  <c r="J339" i="2"/>
  <c r="Z339" i="2"/>
  <c r="AP339" i="2"/>
  <c r="BF339" i="2"/>
  <c r="Q340" i="2"/>
  <c r="AG340" i="2"/>
  <c r="AW340" i="2"/>
  <c r="BM340" i="2"/>
  <c r="T341" i="2"/>
  <c r="AJ341" i="2"/>
  <c r="AZ341" i="2"/>
  <c r="G342" i="2"/>
  <c r="W342" i="2"/>
  <c r="AM342" i="2"/>
  <c r="BC342" i="2"/>
  <c r="N343" i="2"/>
  <c r="AD343" i="2"/>
  <c r="AT343" i="2"/>
  <c r="BJ343" i="2"/>
  <c r="U344" i="2"/>
  <c r="AK344" i="2"/>
  <c r="BA344" i="2"/>
  <c r="H345" i="2"/>
  <c r="X345" i="2"/>
  <c r="AN345" i="2"/>
  <c r="BD345" i="2"/>
  <c r="K346" i="2"/>
  <c r="AA346" i="2"/>
  <c r="AQ346" i="2"/>
  <c r="BG346" i="2"/>
  <c r="R347" i="2"/>
  <c r="AH347" i="2"/>
  <c r="AX347" i="2"/>
  <c r="I348" i="2"/>
  <c r="Y348" i="2"/>
  <c r="AO348" i="2"/>
  <c r="BE348" i="2"/>
  <c r="L349" i="2"/>
  <c r="AB349" i="2"/>
  <c r="AR349" i="2"/>
  <c r="BH349" i="2"/>
  <c r="O350" i="2"/>
  <c r="AE350" i="2"/>
  <c r="AU350" i="2"/>
  <c r="BK350" i="2"/>
  <c r="V351" i="2"/>
  <c r="AL351" i="2"/>
  <c r="BB351" i="2"/>
  <c r="M352" i="2"/>
  <c r="AC352" i="2"/>
  <c r="AS352" i="2"/>
  <c r="BI352" i="2"/>
  <c r="P353" i="2"/>
  <c r="AF353" i="2"/>
  <c r="AV353" i="2"/>
  <c r="BL353" i="2"/>
  <c r="S354" i="2"/>
  <c r="AI354" i="2"/>
  <c r="AY354" i="2"/>
  <c r="J355" i="2"/>
  <c r="Z355" i="2"/>
  <c r="AP355" i="2"/>
  <c r="BF355" i="2"/>
  <c r="Q356" i="2"/>
  <c r="AG356" i="2"/>
  <c r="AW356" i="2"/>
  <c r="BM356" i="2"/>
  <c r="T357" i="2"/>
  <c r="AJ357" i="2"/>
  <c r="AZ357" i="2"/>
  <c r="G358" i="2"/>
  <c r="W358" i="2"/>
  <c r="AM358" i="2"/>
  <c r="BC358" i="2"/>
  <c r="N359" i="2"/>
  <c r="AD359" i="2"/>
  <c r="AT359" i="2"/>
  <c r="BJ359" i="2"/>
  <c r="U360" i="2"/>
  <c r="AK360" i="2"/>
  <c r="BA360" i="2"/>
  <c r="H361" i="2"/>
  <c r="X361" i="2"/>
  <c r="AN361" i="2"/>
  <c r="BD361" i="2"/>
  <c r="K362" i="2"/>
  <c r="AA362" i="2"/>
  <c r="AQ362" i="2"/>
  <c r="BG362" i="2"/>
  <c r="R363" i="2"/>
  <c r="AH363" i="2"/>
  <c r="AX363" i="2"/>
  <c r="I364" i="2"/>
  <c r="Y364" i="2"/>
  <c r="AO364" i="2"/>
  <c r="BE364" i="2"/>
  <c r="L365" i="2"/>
  <c r="AB365" i="2"/>
  <c r="AR365" i="2"/>
  <c r="BH365" i="2"/>
  <c r="O366" i="2"/>
  <c r="AE366" i="2"/>
  <c r="AU366" i="2"/>
  <c r="BK366" i="2"/>
  <c r="V367" i="2"/>
  <c r="AL367" i="2"/>
  <c r="BB367" i="2"/>
  <c r="M368" i="2"/>
  <c r="AC368" i="2"/>
  <c r="AS368" i="2"/>
  <c r="BI368" i="2"/>
  <c r="P369" i="2"/>
  <c r="AF369" i="2"/>
  <c r="AV369" i="2"/>
  <c r="BL369" i="2"/>
  <c r="S370" i="2"/>
  <c r="AI370" i="2"/>
  <c r="AY370" i="2"/>
  <c r="J371" i="2"/>
  <c r="Z371" i="2"/>
  <c r="AP371" i="2"/>
  <c r="BF371" i="2"/>
  <c r="Q372" i="2"/>
  <c r="AG372" i="2"/>
  <c r="AW372" i="2"/>
  <c r="BM372" i="2"/>
  <c r="T373" i="2"/>
  <c r="AJ373" i="2"/>
  <c r="AZ373" i="2"/>
  <c r="H374" i="3"/>
  <c r="H374" i="2" s="1"/>
  <c r="H375" i="2"/>
  <c r="X374" i="3"/>
  <c r="X374" i="2" s="1"/>
  <c r="X375" i="2"/>
  <c r="AN374" i="3"/>
  <c r="AN374" i="2" s="1"/>
  <c r="AN375" i="2"/>
  <c r="BD374" i="3"/>
  <c r="BD374" i="2" s="1"/>
  <c r="BD375" i="2"/>
  <c r="K376" i="2"/>
  <c r="AA376" i="2"/>
  <c r="AQ376" i="2"/>
  <c r="BG376" i="2"/>
  <c r="R377" i="2"/>
  <c r="AH377" i="2"/>
  <c r="AX377" i="2"/>
  <c r="I378" i="2"/>
  <c r="Y378" i="2"/>
  <c r="AO378" i="2"/>
  <c r="BE378" i="2"/>
  <c r="L379" i="2"/>
  <c r="AB379" i="2"/>
  <c r="AR379" i="2"/>
  <c r="BH379" i="2"/>
  <c r="O380" i="2"/>
  <c r="AE380" i="2"/>
  <c r="AU380" i="2"/>
  <c r="BK380" i="2"/>
  <c r="V381" i="2"/>
  <c r="AL381" i="2"/>
  <c r="BB381" i="2"/>
  <c r="M382" i="2"/>
  <c r="AC382" i="2"/>
  <c r="AS382" i="2"/>
  <c r="BI382" i="2"/>
  <c r="P383" i="2"/>
  <c r="AF383" i="2"/>
  <c r="AV383" i="2"/>
  <c r="BL383" i="2"/>
  <c r="S384" i="2"/>
  <c r="AI384" i="2"/>
  <c r="AY384" i="2"/>
  <c r="J385" i="2"/>
  <c r="Z385" i="2"/>
  <c r="AP385" i="2"/>
  <c r="BF385" i="2"/>
  <c r="Q386" i="2"/>
  <c r="AG386" i="2"/>
  <c r="AW386" i="2"/>
  <c r="BM386" i="2"/>
  <c r="T387" i="2"/>
  <c r="AJ387" i="2"/>
  <c r="AZ387" i="2"/>
  <c r="G388" i="2"/>
  <c r="W388" i="2"/>
  <c r="AM388" i="2"/>
  <c r="BC388" i="2"/>
  <c r="N389" i="2"/>
  <c r="AD389" i="2"/>
  <c r="AT389" i="2"/>
  <c r="BJ389" i="2"/>
  <c r="U390" i="2"/>
  <c r="AK390" i="2"/>
  <c r="BA390" i="2"/>
  <c r="H391" i="2"/>
  <c r="X391" i="2"/>
  <c r="AN391" i="2"/>
  <c r="BD391" i="2"/>
  <c r="K392" i="2"/>
  <c r="AA392" i="2"/>
  <c r="AQ392" i="2"/>
  <c r="BG392" i="2"/>
  <c r="R393" i="2"/>
  <c r="AH393" i="2"/>
  <c r="AX393" i="2"/>
  <c r="I394" i="2"/>
  <c r="Y394" i="2"/>
  <c r="AO394" i="2"/>
  <c r="BE394" i="2"/>
  <c r="L395" i="2"/>
  <c r="AB395" i="2"/>
  <c r="AR395" i="2"/>
  <c r="BH395" i="2"/>
  <c r="O396" i="2"/>
  <c r="AE396" i="2"/>
  <c r="AU396" i="2"/>
  <c r="BK396" i="2"/>
  <c r="V397" i="2"/>
  <c r="AL397" i="2"/>
  <c r="BB397" i="2"/>
  <c r="M398" i="2"/>
  <c r="AC398" i="2"/>
  <c r="AS398" i="2"/>
  <c r="BI398" i="2"/>
  <c r="P399" i="2"/>
  <c r="AF399" i="2"/>
  <c r="AV399" i="2"/>
  <c r="BL399" i="2"/>
  <c r="S400" i="2"/>
  <c r="AI400" i="2"/>
  <c r="AY400" i="2"/>
  <c r="J401" i="2"/>
  <c r="Z401" i="2"/>
  <c r="AP401" i="2"/>
  <c r="BF401" i="2"/>
  <c r="Q402" i="2"/>
  <c r="AG402" i="2"/>
  <c r="AW402" i="2"/>
  <c r="BM402" i="2"/>
  <c r="T403" i="2"/>
  <c r="AJ403" i="2"/>
  <c r="AZ403" i="2"/>
  <c r="G404" i="2"/>
  <c r="W404" i="2"/>
  <c r="AM404" i="2"/>
  <c r="BC404" i="2"/>
  <c r="N405" i="2"/>
  <c r="AD405" i="2"/>
  <c r="AT405" i="2"/>
  <c r="BJ405" i="2"/>
  <c r="U406" i="2"/>
  <c r="AK406" i="2"/>
  <c r="BA406" i="2"/>
  <c r="H407" i="2"/>
  <c r="X407" i="2"/>
  <c r="AN407" i="2"/>
  <c r="BD407" i="2"/>
  <c r="K408" i="2"/>
  <c r="AA408" i="2"/>
  <c r="AQ408" i="2"/>
  <c r="BG408" i="2"/>
  <c r="R409" i="2"/>
  <c r="AH409" i="2"/>
  <c r="AX409" i="2"/>
  <c r="I410" i="2"/>
  <c r="Y410" i="2"/>
  <c r="AO410" i="2"/>
  <c r="BE410" i="2"/>
  <c r="L411" i="2"/>
  <c r="AB411" i="2"/>
  <c r="AR411" i="2"/>
  <c r="BH411" i="2"/>
  <c r="O412" i="2"/>
  <c r="AE412" i="2"/>
  <c r="AU412" i="2"/>
  <c r="BK412" i="2"/>
  <c r="V413" i="2"/>
  <c r="AL413" i="2"/>
  <c r="BB413" i="2"/>
  <c r="M414" i="2"/>
  <c r="AC414" i="2"/>
  <c r="AS414" i="2"/>
  <c r="BI414" i="2"/>
  <c r="Q415" i="3"/>
  <c r="Q415" i="2" s="1"/>
  <c r="Q416" i="2"/>
  <c r="AG415" i="3"/>
  <c r="AG415" i="2" s="1"/>
  <c r="AG416" i="2"/>
  <c r="AW415" i="3"/>
  <c r="AW415" i="2" s="1"/>
  <c r="AW416" i="2"/>
  <c r="BM415" i="3"/>
  <c r="BM415" i="2" s="1"/>
  <c r="BM416" i="2"/>
  <c r="M327" i="2"/>
  <c r="AC327" i="2"/>
  <c r="AS327" i="2"/>
  <c r="BI327" i="2"/>
  <c r="P328" i="2"/>
  <c r="AF328" i="2"/>
  <c r="AV328" i="2"/>
  <c r="BL328" i="2"/>
  <c r="S329" i="2"/>
  <c r="AI329" i="2"/>
  <c r="AY329" i="2"/>
  <c r="J330" i="2"/>
  <c r="Z330" i="2"/>
  <c r="AP330" i="2"/>
  <c r="BF330" i="2"/>
  <c r="Q331" i="2"/>
  <c r="AG331" i="2"/>
  <c r="AW331" i="2"/>
  <c r="BM331" i="2"/>
  <c r="T332" i="2"/>
  <c r="AJ332" i="2"/>
  <c r="AZ332" i="2"/>
  <c r="H333" i="3"/>
  <c r="H333" i="2" s="1"/>
  <c r="H334" i="2"/>
  <c r="X333" i="3"/>
  <c r="X333" i="2" s="1"/>
  <c r="X334" i="2"/>
  <c r="AN333" i="3"/>
  <c r="AN333" i="2" s="1"/>
  <c r="AN334" i="2"/>
  <c r="BD333" i="3"/>
  <c r="BD333" i="2" s="1"/>
  <c r="BD334" i="2"/>
  <c r="K335" i="2"/>
  <c r="AA335" i="2"/>
  <c r="AQ335" i="2"/>
  <c r="BG335" i="2"/>
  <c r="R336" i="2"/>
  <c r="AH336" i="2"/>
  <c r="AX336" i="2"/>
  <c r="I337" i="2"/>
  <c r="Y337" i="2"/>
  <c r="AO337" i="2"/>
  <c r="BE337" i="2"/>
  <c r="L338" i="2"/>
  <c r="AB338" i="2"/>
  <c r="AR338" i="2"/>
  <c r="BH338" i="2"/>
  <c r="O339" i="2"/>
  <c r="AE339" i="2"/>
  <c r="AU339" i="2"/>
  <c r="BK339" i="2"/>
  <c r="V340" i="2"/>
  <c r="AL340" i="2"/>
  <c r="BB340" i="2"/>
  <c r="M341" i="2"/>
  <c r="AC341" i="2"/>
  <c r="AS341" i="2"/>
  <c r="BI341" i="2"/>
  <c r="P342" i="2"/>
  <c r="AF342" i="2"/>
  <c r="AV342" i="2"/>
  <c r="BL342" i="2"/>
  <c r="S343" i="2"/>
  <c r="AI343" i="2"/>
  <c r="AY343" i="2"/>
  <c r="J344" i="2"/>
  <c r="Z344" i="2"/>
  <c r="AP344" i="2"/>
  <c r="BF344" i="2"/>
  <c r="Q345" i="2"/>
  <c r="AG345" i="2"/>
  <c r="AW345" i="2"/>
  <c r="BM345" i="2"/>
  <c r="T346" i="2"/>
  <c r="AJ346" i="2"/>
  <c r="AZ346" i="2"/>
  <c r="G347" i="2"/>
  <c r="W347" i="2"/>
  <c r="AM347" i="2"/>
  <c r="BC347" i="2"/>
  <c r="N348" i="2"/>
  <c r="AD348" i="2"/>
  <c r="AT348" i="2"/>
  <c r="BJ348" i="2"/>
  <c r="U349" i="2"/>
  <c r="AK349" i="2"/>
  <c r="BA349" i="2"/>
  <c r="H350" i="2"/>
  <c r="X350" i="2"/>
  <c r="AN350" i="2"/>
  <c r="BD350" i="2"/>
  <c r="K351" i="2"/>
  <c r="AA351" i="2"/>
  <c r="AQ351" i="2"/>
  <c r="BG351" i="2"/>
  <c r="R352" i="2"/>
  <c r="AH352" i="2"/>
  <c r="AX352" i="2"/>
  <c r="I353" i="2"/>
  <c r="Y353" i="2"/>
  <c r="AO353" i="2"/>
  <c r="BE353" i="2"/>
  <c r="L354" i="2"/>
  <c r="AB354" i="2"/>
  <c r="AR354" i="2"/>
  <c r="BH354" i="2"/>
  <c r="O355" i="2"/>
  <c r="AE355" i="2"/>
  <c r="AU355" i="2"/>
  <c r="BK355" i="2"/>
  <c r="V356" i="2"/>
  <c r="AL356" i="2"/>
  <c r="BB356" i="2"/>
  <c r="M357" i="2"/>
  <c r="AC357" i="2"/>
  <c r="AS357" i="2"/>
  <c r="BI357" i="2"/>
  <c r="P358" i="2"/>
  <c r="AF358" i="2"/>
  <c r="AV358" i="2"/>
  <c r="BL358" i="2"/>
  <c r="S359" i="2"/>
  <c r="AI359" i="2"/>
  <c r="AY359" i="2"/>
  <c r="J360" i="2"/>
  <c r="Z360" i="2"/>
  <c r="AP360" i="2"/>
  <c r="BF360" i="2"/>
  <c r="Q361" i="2"/>
  <c r="AG361" i="2"/>
  <c r="AW361" i="2"/>
  <c r="BM361" i="2"/>
  <c r="T362" i="2"/>
  <c r="AJ362" i="2"/>
  <c r="AZ362" i="2"/>
  <c r="G363" i="2"/>
  <c r="W363" i="2"/>
  <c r="AM363" i="2"/>
  <c r="BC363" i="2"/>
  <c r="N364" i="2"/>
  <c r="AD364" i="2"/>
  <c r="AT364" i="2"/>
  <c r="BJ364" i="2"/>
  <c r="U365" i="2"/>
  <c r="AK365" i="2"/>
  <c r="BA365" i="2"/>
  <c r="H366" i="2"/>
  <c r="X366" i="2"/>
  <c r="AN366" i="2"/>
  <c r="BD366" i="2"/>
  <c r="K367" i="2"/>
  <c r="AA367" i="2"/>
  <c r="AQ367" i="2"/>
  <c r="BG367" i="2"/>
  <c r="R368" i="2"/>
  <c r="AH368" i="2"/>
  <c r="AX368" i="2"/>
  <c r="I369" i="2"/>
  <c r="Y369" i="2"/>
  <c r="AO369" i="2"/>
  <c r="BE369" i="2"/>
  <c r="L370" i="2"/>
  <c r="AB370" i="2"/>
  <c r="AR370" i="2"/>
  <c r="BH370" i="2"/>
  <c r="O371" i="2"/>
  <c r="AE371" i="2"/>
  <c r="AU371" i="2"/>
  <c r="BK371" i="2"/>
  <c r="V372" i="2"/>
  <c r="AL372" i="2"/>
  <c r="BB372" i="2"/>
  <c r="M373" i="2"/>
  <c r="AC373" i="2"/>
  <c r="AS373" i="2"/>
  <c r="BI373" i="2"/>
  <c r="Q374" i="3"/>
  <c r="Q374" i="2" s="1"/>
  <c r="Q375" i="2"/>
  <c r="AG374" i="3"/>
  <c r="AG374" i="2" s="1"/>
  <c r="AG375" i="2"/>
  <c r="AW374" i="3"/>
  <c r="AW374" i="2" s="1"/>
  <c r="AW375" i="2"/>
  <c r="BM374" i="3"/>
  <c r="BM374" i="2" s="1"/>
  <c r="BM375" i="2"/>
  <c r="T376" i="2"/>
  <c r="AJ376" i="2"/>
  <c r="AZ376" i="2"/>
  <c r="G377" i="2"/>
  <c r="W377" i="2"/>
  <c r="AM377" i="2"/>
  <c r="BC377" i="2"/>
  <c r="N378" i="2"/>
  <c r="AD378" i="2"/>
  <c r="AT378" i="2"/>
  <c r="BJ378" i="2"/>
  <c r="U379" i="2"/>
  <c r="AK379" i="2"/>
  <c r="BA379" i="2"/>
  <c r="H380" i="2"/>
  <c r="X380" i="2"/>
  <c r="AN380" i="2"/>
  <c r="BD380" i="2"/>
  <c r="K381" i="2"/>
  <c r="AA381" i="2"/>
  <c r="AQ381" i="2"/>
  <c r="BG381" i="2"/>
  <c r="R382" i="2"/>
  <c r="AH382" i="2"/>
  <c r="AX382" i="2"/>
  <c r="I383" i="2"/>
  <c r="Y383" i="2"/>
  <c r="AO383" i="2"/>
  <c r="BE383" i="2"/>
  <c r="L384" i="2"/>
  <c r="AB384" i="2"/>
  <c r="AR384" i="2"/>
  <c r="BH384" i="2"/>
  <c r="O385" i="2"/>
  <c r="AE385" i="2"/>
  <c r="AU385" i="2"/>
  <c r="BK385" i="2"/>
  <c r="V386" i="2"/>
  <c r="AL386" i="2"/>
  <c r="BB386" i="2"/>
  <c r="M387" i="2"/>
  <c r="AC387" i="2"/>
  <c r="AS387" i="2"/>
  <c r="BI387" i="2"/>
  <c r="P388" i="2"/>
  <c r="AF388" i="2"/>
  <c r="AV388" i="2"/>
  <c r="BL388" i="2"/>
  <c r="S389" i="2"/>
  <c r="AI389" i="2"/>
  <c r="AY389" i="2"/>
  <c r="J390" i="2"/>
  <c r="Z390" i="2"/>
  <c r="AP390" i="2"/>
  <c r="BF390" i="2"/>
  <c r="Q391" i="2"/>
  <c r="AG391" i="2"/>
  <c r="AW391" i="2"/>
  <c r="BM391" i="2"/>
  <c r="T392" i="2"/>
  <c r="AJ392" i="2"/>
  <c r="AZ392" i="2"/>
  <c r="G393" i="2"/>
  <c r="W393" i="2"/>
  <c r="AM393" i="2"/>
  <c r="BC393" i="2"/>
  <c r="N394" i="2"/>
  <c r="AD394" i="2"/>
  <c r="AT394" i="2"/>
  <c r="BJ394" i="2"/>
  <c r="U395" i="2"/>
  <c r="AK395" i="2"/>
  <c r="BA395" i="2"/>
  <c r="H396" i="2"/>
  <c r="X396" i="2"/>
  <c r="AN396" i="2"/>
  <c r="BD396" i="2"/>
  <c r="K397" i="2"/>
  <c r="AA397" i="2"/>
  <c r="AQ397" i="2"/>
  <c r="BG397" i="2"/>
  <c r="R398" i="2"/>
  <c r="AH398" i="2"/>
  <c r="AX398" i="2"/>
  <c r="I399" i="2"/>
  <c r="Y399" i="2"/>
  <c r="AO399" i="2"/>
  <c r="BE399" i="2"/>
  <c r="L400" i="2"/>
  <c r="AB400" i="2"/>
  <c r="AR400" i="2"/>
  <c r="BH400" i="2"/>
  <c r="O401" i="2"/>
  <c r="AE401" i="2"/>
  <c r="AU401" i="2"/>
  <c r="BK401" i="2"/>
  <c r="V402" i="2"/>
  <c r="AL402" i="2"/>
  <c r="BB402" i="2"/>
  <c r="M403" i="2"/>
  <c r="AC403" i="2"/>
  <c r="AS403" i="2"/>
  <c r="BI403" i="2"/>
  <c r="P404" i="2"/>
  <c r="AF404" i="2"/>
  <c r="AV404" i="2"/>
  <c r="BL404" i="2"/>
  <c r="S405" i="2"/>
  <c r="AI405" i="2"/>
  <c r="AY405" i="2"/>
  <c r="J406" i="2"/>
  <c r="Z406" i="2"/>
  <c r="AP406" i="2"/>
  <c r="BF406" i="2"/>
  <c r="Q407" i="2"/>
  <c r="AG407" i="2"/>
  <c r="AW407" i="2"/>
  <c r="BM407" i="2"/>
  <c r="T408" i="2"/>
  <c r="AJ408" i="2"/>
  <c r="AZ408" i="2"/>
  <c r="G409" i="2"/>
  <c r="W409" i="2"/>
  <c r="AM409" i="2"/>
  <c r="BC409" i="2"/>
  <c r="N410" i="2"/>
  <c r="AD410" i="2"/>
  <c r="AT410" i="2"/>
  <c r="BJ410" i="2"/>
  <c r="U411" i="2"/>
  <c r="AK411" i="2"/>
  <c r="BA411" i="2"/>
  <c r="H412" i="2"/>
  <c r="X412" i="2"/>
  <c r="AN412" i="2"/>
  <c r="BD412" i="2"/>
  <c r="K413" i="2"/>
  <c r="AA413" i="2"/>
  <c r="AQ413" i="2"/>
  <c r="BG413" i="2"/>
  <c r="R414" i="2"/>
  <c r="AH414" i="2"/>
  <c r="AX414" i="2"/>
  <c r="J415" i="3"/>
  <c r="J415" i="2" s="1"/>
  <c r="J416" i="2"/>
  <c r="Z415" i="3"/>
  <c r="Z415" i="2" s="1"/>
  <c r="Z416" i="2"/>
  <c r="AP415" i="3"/>
  <c r="AP415" i="2" s="1"/>
  <c r="AP416" i="2"/>
  <c r="BF415" i="3"/>
  <c r="BF415" i="2" s="1"/>
  <c r="BF416" i="2"/>
  <c r="S326" i="2"/>
  <c r="AI326" i="2"/>
  <c r="AY326" i="2"/>
  <c r="J327" i="2"/>
  <c r="Z327" i="2"/>
  <c r="AP327" i="2"/>
  <c r="BF327" i="2"/>
  <c r="Q328" i="2"/>
  <c r="AG328" i="2"/>
  <c r="AW328" i="2"/>
  <c r="BM328" i="2"/>
  <c r="T329" i="2"/>
  <c r="AJ329" i="2"/>
  <c r="AZ329" i="2"/>
  <c r="G330" i="2"/>
  <c r="W330" i="2"/>
  <c r="AM330" i="2"/>
  <c r="BC330" i="2"/>
  <c r="N331" i="2"/>
  <c r="AD331" i="2"/>
  <c r="AT331" i="2"/>
  <c r="BJ331" i="2"/>
  <c r="U332" i="2"/>
  <c r="AK332" i="2"/>
  <c r="BA332" i="2"/>
  <c r="I333" i="3"/>
  <c r="I333" i="2" s="1"/>
  <c r="I334" i="2"/>
  <c r="Y333" i="3"/>
  <c r="Y333" i="2" s="1"/>
  <c r="Y334" i="2"/>
  <c r="AO333" i="3"/>
  <c r="AO333" i="2" s="1"/>
  <c r="AO334" i="2"/>
  <c r="BE333" i="3"/>
  <c r="BE333" i="2" s="1"/>
  <c r="BE334" i="2"/>
  <c r="L335" i="2"/>
  <c r="AB335" i="2"/>
  <c r="AR335" i="2"/>
  <c r="BH335" i="2"/>
  <c r="O336" i="2"/>
  <c r="AE336" i="2"/>
  <c r="AU336" i="2"/>
  <c r="BK336" i="2"/>
  <c r="V337" i="2"/>
  <c r="AL337" i="2"/>
  <c r="BB337" i="2"/>
  <c r="M338" i="2"/>
  <c r="AC338" i="2"/>
  <c r="AS338" i="2"/>
  <c r="BI338" i="2"/>
  <c r="P339" i="2"/>
  <c r="AF339" i="2"/>
  <c r="AV339" i="2"/>
  <c r="BL339" i="2"/>
  <c r="S340" i="2"/>
  <c r="AI340" i="2"/>
  <c r="AY340" i="2"/>
  <c r="J341" i="2"/>
  <c r="Z341" i="2"/>
  <c r="AP341" i="2"/>
  <c r="BF341" i="2"/>
  <c r="Q342" i="2"/>
  <c r="AG342" i="2"/>
  <c r="AW342" i="2"/>
  <c r="BM342" i="2"/>
  <c r="T343" i="2"/>
  <c r="AJ343" i="2"/>
  <c r="AZ343" i="2"/>
  <c r="G344" i="2"/>
  <c r="W344" i="2"/>
  <c r="AM344" i="2"/>
  <c r="BC344" i="2"/>
  <c r="N345" i="2"/>
  <c r="AD345" i="2"/>
  <c r="AT345" i="2"/>
  <c r="BJ345" i="2"/>
  <c r="U346" i="2"/>
  <c r="AK346" i="2"/>
  <c r="BA346" i="2"/>
  <c r="H347" i="2"/>
  <c r="X347" i="2"/>
  <c r="AN347" i="2"/>
  <c r="BD347" i="2"/>
  <c r="K348" i="2"/>
  <c r="AA348" i="2"/>
  <c r="AQ348" i="2"/>
  <c r="BG348" i="2"/>
  <c r="R349" i="2"/>
  <c r="AH349" i="2"/>
  <c r="AX349" i="2"/>
  <c r="I350" i="2"/>
  <c r="Y350" i="2"/>
  <c r="AO350" i="2"/>
  <c r="BE350" i="2"/>
  <c r="L351" i="2"/>
  <c r="AB351" i="2"/>
  <c r="AR351" i="2"/>
  <c r="BH351" i="2"/>
  <c r="O352" i="2"/>
  <c r="AE352" i="2"/>
  <c r="AU352" i="2"/>
  <c r="BK352" i="2"/>
  <c r="V353" i="2"/>
  <c r="AL353" i="2"/>
  <c r="BB353" i="2"/>
  <c r="M354" i="2"/>
  <c r="AC354" i="2"/>
  <c r="AS354" i="2"/>
  <c r="BI354" i="2"/>
  <c r="P355" i="2"/>
  <c r="AF355" i="2"/>
  <c r="AV355" i="2"/>
  <c r="BL355" i="2"/>
  <c r="S356" i="2"/>
  <c r="AI356" i="2"/>
  <c r="AY356" i="2"/>
  <c r="J357" i="2"/>
  <c r="Z357" i="2"/>
  <c r="AP357" i="2"/>
  <c r="BF357" i="2"/>
  <c r="Q358" i="2"/>
  <c r="AG358" i="2"/>
  <c r="AW358" i="2"/>
  <c r="BM358" i="2"/>
  <c r="T359" i="2"/>
  <c r="AJ359" i="2"/>
  <c r="AZ359" i="2"/>
  <c r="G360" i="2"/>
  <c r="W360" i="2"/>
  <c r="AM360" i="2"/>
  <c r="BC360" i="2"/>
  <c r="N361" i="2"/>
  <c r="AD361" i="2"/>
  <c r="AT361" i="2"/>
  <c r="BJ361" i="2"/>
  <c r="U362" i="2"/>
  <c r="AK362" i="2"/>
  <c r="BA362" i="2"/>
  <c r="H363" i="2"/>
  <c r="X363" i="2"/>
  <c r="AN363" i="2"/>
  <c r="BD363" i="2"/>
  <c r="K364" i="2"/>
  <c r="AA364" i="2"/>
  <c r="AQ364" i="2"/>
  <c r="BG364" i="2"/>
  <c r="R365" i="2"/>
  <c r="AH365" i="2"/>
  <c r="AX365" i="2"/>
  <c r="I366" i="2"/>
  <c r="Y366" i="2"/>
  <c r="AO366" i="2"/>
  <c r="BE366" i="2"/>
  <c r="L367" i="2"/>
  <c r="AB367" i="2"/>
  <c r="AR367" i="2"/>
  <c r="BH367" i="2"/>
  <c r="O368" i="2"/>
  <c r="AE368" i="2"/>
  <c r="AU368" i="2"/>
  <c r="BK368" i="2"/>
  <c r="V369" i="2"/>
  <c r="AL369" i="2"/>
  <c r="BB369" i="2"/>
  <c r="M370" i="2"/>
  <c r="AC370" i="2"/>
  <c r="AS370" i="2"/>
  <c r="BI370" i="2"/>
  <c r="P371" i="2"/>
  <c r="AF371" i="2"/>
  <c r="AV371" i="2"/>
  <c r="BL371" i="2"/>
  <c r="S372" i="2"/>
  <c r="AI372" i="2"/>
  <c r="AY372" i="2"/>
  <c r="J373" i="2"/>
  <c r="Z373" i="2"/>
  <c r="AP373" i="2"/>
  <c r="BF373" i="2"/>
  <c r="R374" i="3"/>
  <c r="R374" i="2" s="1"/>
  <c r="R375" i="2"/>
  <c r="AH374" i="3"/>
  <c r="AH374" i="2" s="1"/>
  <c r="AH375" i="2"/>
  <c r="AX374" i="3"/>
  <c r="AX374" i="2" s="1"/>
  <c r="AX375" i="2"/>
  <c r="I376" i="2"/>
  <c r="Y376" i="2"/>
  <c r="AO376" i="2"/>
  <c r="BE376" i="2"/>
  <c r="L377" i="2"/>
  <c r="AB377" i="2"/>
  <c r="AR377" i="2"/>
  <c r="BH377" i="2"/>
  <c r="O378" i="2"/>
  <c r="AE378" i="2"/>
  <c r="AU378" i="2"/>
  <c r="BK378" i="2"/>
  <c r="V379" i="2"/>
  <c r="AL379" i="2"/>
  <c r="BB379" i="2"/>
  <c r="M380" i="2"/>
  <c r="AC380" i="2"/>
  <c r="AS380" i="2"/>
  <c r="BI380" i="2"/>
  <c r="P381" i="2"/>
  <c r="AF381" i="2"/>
  <c r="AV381" i="2"/>
  <c r="BL381" i="2"/>
  <c r="S382" i="2"/>
  <c r="AI382" i="2"/>
  <c r="AY382" i="2"/>
  <c r="J383" i="2"/>
  <c r="Z383" i="2"/>
  <c r="AP383" i="2"/>
  <c r="BF383" i="2"/>
  <c r="Q384" i="2"/>
  <c r="AG384" i="2"/>
  <c r="AW384" i="2"/>
  <c r="BM384" i="2"/>
  <c r="T385" i="2"/>
  <c r="AJ385" i="2"/>
  <c r="AZ385" i="2"/>
  <c r="G386" i="2"/>
  <c r="W386" i="2"/>
  <c r="AM386" i="2"/>
  <c r="BC386" i="2"/>
  <c r="N387" i="2"/>
  <c r="AD387" i="2"/>
  <c r="AT387" i="2"/>
  <c r="BJ387" i="2"/>
  <c r="U388" i="2"/>
  <c r="AK388" i="2"/>
  <c r="BA388" i="2"/>
  <c r="H389" i="2"/>
  <c r="X389" i="2"/>
  <c r="AN389" i="2"/>
  <c r="BD389" i="2"/>
  <c r="K390" i="2"/>
  <c r="AA390" i="2"/>
  <c r="AQ390" i="2"/>
  <c r="BG390" i="2"/>
  <c r="R391" i="2"/>
  <c r="AH391" i="2"/>
  <c r="AX391" i="2"/>
  <c r="I392" i="2"/>
  <c r="Y392" i="2"/>
  <c r="AO392" i="2"/>
  <c r="BE392" i="2"/>
  <c r="L393" i="2"/>
  <c r="AB393" i="2"/>
  <c r="AR393" i="2"/>
  <c r="BH393" i="2"/>
  <c r="O394" i="2"/>
  <c r="AE394" i="2"/>
  <c r="AU394" i="2"/>
  <c r="BK394" i="2"/>
  <c r="V395" i="2"/>
  <c r="AL395" i="2"/>
  <c r="BB395" i="2"/>
  <c r="M396" i="2"/>
  <c r="AC396" i="2"/>
  <c r="AS396" i="2"/>
  <c r="BI396" i="2"/>
  <c r="P397" i="2"/>
  <c r="AF397" i="2"/>
  <c r="AV397" i="2"/>
  <c r="BL397" i="2"/>
  <c r="S398" i="2"/>
  <c r="AI398" i="2"/>
  <c r="AY398" i="2"/>
  <c r="J399" i="2"/>
  <c r="Z399" i="2"/>
  <c r="AP399" i="2"/>
  <c r="BF399" i="2"/>
  <c r="Q400" i="2"/>
  <c r="AG400" i="2"/>
  <c r="AW400" i="2"/>
  <c r="BM400" i="2"/>
  <c r="T401" i="2"/>
  <c r="AJ401" i="2"/>
  <c r="AZ401" i="2"/>
  <c r="G402" i="2"/>
  <c r="W402" i="2"/>
  <c r="AM402" i="2"/>
  <c r="BC402" i="2"/>
  <c r="N403" i="2"/>
  <c r="AD403" i="2"/>
  <c r="AT403" i="2"/>
  <c r="BJ403" i="2"/>
  <c r="U404" i="2"/>
  <c r="AK404" i="2"/>
  <c r="BA404" i="2"/>
  <c r="H405" i="2"/>
  <c r="X405" i="2"/>
  <c r="AN405" i="2"/>
  <c r="BD405" i="2"/>
  <c r="K406" i="2"/>
  <c r="AA406" i="2"/>
  <c r="AQ406" i="2"/>
  <c r="BG406" i="2"/>
  <c r="R407" i="2"/>
  <c r="AH407" i="2"/>
  <c r="AX407" i="2"/>
  <c r="I408" i="2"/>
  <c r="Y408" i="2"/>
  <c r="AO408" i="2"/>
  <c r="BE408" i="2"/>
  <c r="L409" i="2"/>
  <c r="AB409" i="2"/>
  <c r="AR409" i="2"/>
  <c r="BH409" i="2"/>
  <c r="O410" i="2"/>
  <c r="AE410" i="2"/>
  <c r="AU410" i="2"/>
  <c r="BK410" i="2"/>
  <c r="V411" i="2"/>
  <c r="AL411" i="2"/>
  <c r="BB411" i="2"/>
  <c r="M412" i="2"/>
  <c r="AC412" i="2"/>
  <c r="AS412" i="2"/>
  <c r="BI412" i="2"/>
  <c r="P413" i="2"/>
  <c r="AF413" i="2"/>
  <c r="AV413" i="2"/>
  <c r="BL413" i="2"/>
  <c r="S414" i="2"/>
  <c r="AI414" i="2"/>
  <c r="AY414" i="2"/>
  <c r="G415" i="3"/>
  <c r="G415" i="2" s="1"/>
  <c r="G416" i="2"/>
  <c r="W415" i="3"/>
  <c r="W415" i="2" s="1"/>
  <c r="W416" i="2"/>
  <c r="AM415" i="3"/>
  <c r="AM415" i="2" s="1"/>
  <c r="AM416" i="2"/>
  <c r="BC415" i="3"/>
  <c r="BC415" i="2" s="1"/>
  <c r="BC416" i="2"/>
  <c r="X417" i="2"/>
  <c r="S417" i="2"/>
  <c r="AI417" i="2"/>
  <c r="AY417" i="2"/>
  <c r="J418" i="2"/>
  <c r="Z418" i="2"/>
  <c r="AP418" i="2"/>
  <c r="BF418" i="2"/>
  <c r="Q419" i="2"/>
  <c r="AG419" i="2"/>
  <c r="AW419" i="2"/>
  <c r="BM419" i="2"/>
  <c r="T420" i="2"/>
  <c r="AJ420" i="2"/>
  <c r="AZ420" i="2"/>
  <c r="G421" i="2"/>
  <c r="W421" i="2"/>
  <c r="AM421" i="2"/>
  <c r="BC421" i="2"/>
  <c r="N422" i="2"/>
  <c r="AD422" i="2"/>
  <c r="AT422" i="2"/>
  <c r="BJ422" i="2"/>
  <c r="U423" i="2"/>
  <c r="AK423" i="2"/>
  <c r="BA423" i="2"/>
  <c r="H424" i="2"/>
  <c r="X424" i="2"/>
  <c r="AN424" i="2"/>
  <c r="BD424" i="2"/>
  <c r="K425" i="2"/>
  <c r="AA425" i="2"/>
  <c r="AQ425" i="2"/>
  <c r="BG425" i="2"/>
  <c r="R426" i="2"/>
  <c r="AH426" i="2"/>
  <c r="AX426" i="2"/>
  <c r="I427" i="2"/>
  <c r="Y427" i="2"/>
  <c r="AO427" i="2"/>
  <c r="BE427" i="2"/>
  <c r="L428" i="2"/>
  <c r="AB428" i="2"/>
  <c r="AR428" i="2"/>
  <c r="BH428" i="2"/>
  <c r="O429" i="2"/>
  <c r="AE429" i="2"/>
  <c r="AU429" i="2"/>
  <c r="BK429" i="2"/>
  <c r="V430" i="2"/>
  <c r="AL430" i="2"/>
  <c r="BB430" i="2"/>
  <c r="M431" i="2"/>
  <c r="AC431" i="2"/>
  <c r="AS431" i="2"/>
  <c r="BI431" i="2"/>
  <c r="P432" i="2"/>
  <c r="AF432" i="2"/>
  <c r="AV432" i="2"/>
  <c r="BL432" i="2"/>
  <c r="S433" i="2"/>
  <c r="AI433" i="2"/>
  <c r="AY433" i="2"/>
  <c r="J434" i="2"/>
  <c r="Z434" i="2"/>
  <c r="AP434" i="2"/>
  <c r="BF434" i="2"/>
  <c r="Q435" i="2"/>
  <c r="AG435" i="2"/>
  <c r="AW435" i="2"/>
  <c r="BM435" i="2"/>
  <c r="T436" i="2"/>
  <c r="AJ436" i="2"/>
  <c r="AZ436" i="2"/>
  <c r="G437" i="2"/>
  <c r="W437" i="2"/>
  <c r="AM437" i="2"/>
  <c r="BC437" i="2"/>
  <c r="N438" i="2"/>
  <c r="AD438" i="2"/>
  <c r="AT438" i="2"/>
  <c r="BJ438" i="2"/>
  <c r="U439" i="2"/>
  <c r="AK439" i="2"/>
  <c r="BA439" i="2"/>
  <c r="H440" i="2"/>
  <c r="X440" i="2"/>
  <c r="AN440" i="2"/>
  <c r="BD440" i="2"/>
  <c r="K441" i="2"/>
  <c r="AA441" i="2"/>
  <c r="AQ441" i="2"/>
  <c r="BG441" i="2"/>
  <c r="R442" i="2"/>
  <c r="AH442" i="2"/>
  <c r="AX442" i="2"/>
  <c r="I443" i="2"/>
  <c r="Y443" i="2"/>
  <c r="AO443" i="2"/>
  <c r="BE443" i="2"/>
  <c r="L444" i="2"/>
  <c r="AB444" i="2"/>
  <c r="AR444" i="2"/>
  <c r="BH444" i="2"/>
  <c r="O445" i="2"/>
  <c r="AE445" i="2"/>
  <c r="AU445" i="2"/>
  <c r="BK445" i="2"/>
  <c r="V446" i="2"/>
  <c r="AL446" i="2"/>
  <c r="BB446" i="2"/>
  <c r="M447" i="2"/>
  <c r="AC447" i="2"/>
  <c r="AS447" i="2"/>
  <c r="BI447" i="2"/>
  <c r="P448" i="2"/>
  <c r="AF448" i="2"/>
  <c r="AV448" i="2"/>
  <c r="BL448" i="2"/>
  <c r="S449" i="2"/>
  <c r="AI449" i="2"/>
  <c r="AY449" i="2"/>
  <c r="J450" i="2"/>
  <c r="Z450" i="2"/>
  <c r="AP450" i="2"/>
  <c r="BF450" i="2"/>
  <c r="Q451" i="2"/>
  <c r="AG451" i="2"/>
  <c r="AW451" i="2"/>
  <c r="BM451" i="2"/>
  <c r="T452" i="2"/>
  <c r="AJ452" i="2"/>
  <c r="AZ452" i="2"/>
  <c r="G453" i="2"/>
  <c r="W453" i="2"/>
  <c r="AM453" i="2"/>
  <c r="BC453" i="2"/>
  <c r="N454" i="2"/>
  <c r="AD454" i="2"/>
  <c r="AT454" i="2"/>
  <c r="BJ454" i="2"/>
  <c r="U455" i="2"/>
  <c r="AK455" i="2"/>
  <c r="BA455" i="2"/>
  <c r="I456" i="3"/>
  <c r="I456" i="2" s="1"/>
  <c r="I457" i="2"/>
  <c r="Y456" i="3"/>
  <c r="Y456" i="2" s="1"/>
  <c r="Y457" i="2"/>
  <c r="AO456" i="3"/>
  <c r="AO456" i="2" s="1"/>
  <c r="AO457" i="2"/>
  <c r="BE456" i="3"/>
  <c r="BE456" i="2" s="1"/>
  <c r="BE457" i="2"/>
  <c r="L458" i="2"/>
  <c r="AB458" i="2"/>
  <c r="AR458" i="2"/>
  <c r="BH458" i="2"/>
  <c r="O459" i="2"/>
  <c r="AE459" i="2"/>
  <c r="AU459" i="2"/>
  <c r="BK459" i="2"/>
  <c r="V460" i="2"/>
  <c r="AL460" i="2"/>
  <c r="BB460" i="2"/>
  <c r="M461" i="2"/>
  <c r="AC461" i="2"/>
  <c r="AS461" i="2"/>
  <c r="BI461" i="2"/>
  <c r="T462" i="2"/>
  <c r="AO462" i="2"/>
  <c r="L463" i="2"/>
  <c r="AJ417" i="2"/>
  <c r="AZ417" i="2"/>
  <c r="G418" i="2"/>
  <c r="W418" i="2"/>
  <c r="AM418" i="2"/>
  <c r="BC418" i="2"/>
  <c r="N419" i="2"/>
  <c r="AD419" i="2"/>
  <c r="AT419" i="2"/>
  <c r="BJ419" i="2"/>
  <c r="U420" i="2"/>
  <c r="AK420" i="2"/>
  <c r="BA420" i="2"/>
  <c r="H421" i="2"/>
  <c r="X421" i="2"/>
  <c r="AN421" i="2"/>
  <c r="BD421" i="2"/>
  <c r="K422" i="2"/>
  <c r="AA422" i="2"/>
  <c r="AQ422" i="2"/>
  <c r="BG422" i="2"/>
  <c r="R423" i="2"/>
  <c r="AH423" i="2"/>
  <c r="AX423" i="2"/>
  <c r="I424" i="2"/>
  <c r="Y424" i="2"/>
  <c r="AO424" i="2"/>
  <c r="BE424" i="2"/>
  <c r="L425" i="2"/>
  <c r="AB425" i="2"/>
  <c r="AR425" i="2"/>
  <c r="BH425" i="2"/>
  <c r="O426" i="2"/>
  <c r="AE426" i="2"/>
  <c r="AU426" i="2"/>
  <c r="BK426" i="2"/>
  <c r="V427" i="2"/>
  <c r="AL427" i="2"/>
  <c r="BB427" i="2"/>
  <c r="M428" i="2"/>
  <c r="AC428" i="2"/>
  <c r="AS428" i="2"/>
  <c r="BI428" i="2"/>
  <c r="P429" i="2"/>
  <c r="AF429" i="2"/>
  <c r="AV429" i="2"/>
  <c r="BL429" i="2"/>
  <c r="S430" i="2"/>
  <c r="AI430" i="2"/>
  <c r="AY430" i="2"/>
  <c r="J431" i="2"/>
  <c r="Z431" i="2"/>
  <c r="AP431" i="2"/>
  <c r="BF431" i="2"/>
  <c r="Q432" i="2"/>
  <c r="AG432" i="2"/>
  <c r="AW432" i="2"/>
  <c r="BM432" i="2"/>
  <c r="T433" i="2"/>
  <c r="AJ433" i="2"/>
  <c r="AZ433" i="2"/>
  <c r="G434" i="2"/>
  <c r="W434" i="2"/>
  <c r="AM434" i="2"/>
  <c r="BC434" i="2"/>
  <c r="N435" i="2"/>
  <c r="AD435" i="2"/>
  <c r="AT435" i="2"/>
  <c r="BJ435" i="2"/>
  <c r="U436" i="2"/>
  <c r="AK436" i="2"/>
  <c r="BA436" i="2"/>
  <c r="H437" i="2"/>
  <c r="X437" i="2"/>
  <c r="AN437" i="2"/>
  <c r="BD437" i="2"/>
  <c r="K438" i="2"/>
  <c r="AA438" i="2"/>
  <c r="AQ438" i="2"/>
  <c r="BG438" i="2"/>
  <c r="R439" i="2"/>
  <c r="AH439" i="2"/>
  <c r="AX439" i="2"/>
  <c r="I440" i="2"/>
  <c r="Y440" i="2"/>
  <c r="AO440" i="2"/>
  <c r="BE440" i="2"/>
  <c r="L441" i="2"/>
  <c r="AB441" i="2"/>
  <c r="AR441" i="2"/>
  <c r="BH441" i="2"/>
  <c r="O442" i="2"/>
  <c r="AE442" i="2"/>
  <c r="AU442" i="2"/>
  <c r="BK442" i="2"/>
  <c r="V443" i="2"/>
  <c r="AL443" i="2"/>
  <c r="BB443" i="2"/>
  <c r="M444" i="2"/>
  <c r="AC444" i="2"/>
  <c r="AS444" i="2"/>
  <c r="BI444" i="2"/>
  <c r="P445" i="2"/>
  <c r="AF445" i="2"/>
  <c r="AV445" i="2"/>
  <c r="BL445" i="2"/>
  <c r="S446" i="2"/>
  <c r="AI446" i="2"/>
  <c r="AY446" i="2"/>
  <c r="J447" i="2"/>
  <c r="Z447" i="2"/>
  <c r="AP447" i="2"/>
  <c r="BF447" i="2"/>
  <c r="Q448" i="2"/>
  <c r="AG448" i="2"/>
  <c r="AW448" i="2"/>
  <c r="BM448" i="2"/>
  <c r="T449" i="2"/>
  <c r="AJ449" i="2"/>
  <c r="AZ449" i="2"/>
  <c r="G450" i="2"/>
  <c r="W450" i="2"/>
  <c r="AM450" i="2"/>
  <c r="BC450" i="2"/>
  <c r="N451" i="2"/>
  <c r="AD451" i="2"/>
  <c r="AT451" i="2"/>
  <c r="BJ451" i="2"/>
  <c r="U452" i="2"/>
  <c r="AK452" i="2"/>
  <c r="BA452" i="2"/>
  <c r="H453" i="2"/>
  <c r="X453" i="2"/>
  <c r="AN453" i="2"/>
  <c r="BD453" i="2"/>
  <c r="K454" i="2"/>
  <c r="AA454" i="2"/>
  <c r="AQ454" i="2"/>
  <c r="BG454" i="2"/>
  <c r="R455" i="2"/>
  <c r="AH455" i="2"/>
  <c r="AX455" i="2"/>
  <c r="J456" i="3"/>
  <c r="J456" i="2" s="1"/>
  <c r="J457" i="2"/>
  <c r="Z456" i="3"/>
  <c r="Z456" i="2" s="1"/>
  <c r="Z457" i="2"/>
  <c r="AP456" i="3"/>
  <c r="AP456" i="2" s="1"/>
  <c r="AP457" i="2"/>
  <c r="BF456" i="3"/>
  <c r="BF456" i="2" s="1"/>
  <c r="BF457" i="2"/>
  <c r="Q458" i="2"/>
  <c r="AG458" i="2"/>
  <c r="AW458" i="2"/>
  <c r="BM458" i="2"/>
  <c r="T459" i="2"/>
  <c r="AJ459" i="2"/>
  <c r="AZ459" i="2"/>
  <c r="G460" i="2"/>
  <c r="W460" i="2"/>
  <c r="AM460" i="2"/>
  <c r="BC460" i="2"/>
  <c r="N461" i="2"/>
  <c r="AD461" i="2"/>
  <c r="AT461" i="2"/>
  <c r="BJ461" i="2"/>
  <c r="Z462" i="2"/>
  <c r="AW462" i="2"/>
  <c r="AF463" i="2"/>
  <c r="M417" i="2"/>
  <c r="AC417" i="2"/>
  <c r="AS417" i="2"/>
  <c r="BI417" i="2"/>
  <c r="P418" i="2"/>
  <c r="AF418" i="2"/>
  <c r="AV418" i="2"/>
  <c r="BL418" i="2"/>
  <c r="S419" i="2"/>
  <c r="AI419" i="2"/>
  <c r="AY419" i="2"/>
  <c r="J420" i="2"/>
  <c r="Z420" i="2"/>
  <c r="AP420" i="2"/>
  <c r="BF420" i="2"/>
  <c r="Q421" i="2"/>
  <c r="AG421" i="2"/>
  <c r="AW421" i="2"/>
  <c r="BM421" i="2"/>
  <c r="T422" i="2"/>
  <c r="AJ422" i="2"/>
  <c r="AZ422" i="2"/>
  <c r="G423" i="2"/>
  <c r="W423" i="2"/>
  <c r="AM423" i="2"/>
  <c r="BC423" i="2"/>
  <c r="N424" i="2"/>
  <c r="AD424" i="2"/>
  <c r="AT424" i="2"/>
  <c r="BJ424" i="2"/>
  <c r="U425" i="2"/>
  <c r="AK425" i="2"/>
  <c r="BA425" i="2"/>
  <c r="H426" i="2"/>
  <c r="X426" i="2"/>
  <c r="AN426" i="2"/>
  <c r="BD426" i="2"/>
  <c r="K427" i="2"/>
  <c r="AA427" i="2"/>
  <c r="AQ427" i="2"/>
  <c r="BG427" i="2"/>
  <c r="R428" i="2"/>
  <c r="AH428" i="2"/>
  <c r="AX428" i="2"/>
  <c r="I429" i="2"/>
  <c r="Y429" i="2"/>
  <c r="AO429" i="2"/>
  <c r="BE429" i="2"/>
  <c r="L430" i="2"/>
  <c r="AB430" i="2"/>
  <c r="AR430" i="2"/>
  <c r="BH430" i="2"/>
  <c r="O431" i="2"/>
  <c r="AE431" i="2"/>
  <c r="AU431" i="2"/>
  <c r="BK431" i="2"/>
  <c r="V432" i="2"/>
  <c r="AL432" i="2"/>
  <c r="BB432" i="2"/>
  <c r="M433" i="2"/>
  <c r="AC433" i="2"/>
  <c r="AS433" i="2"/>
  <c r="BI433" i="2"/>
  <c r="P434" i="2"/>
  <c r="AF434" i="2"/>
  <c r="AV434" i="2"/>
  <c r="BL434" i="2"/>
  <c r="S435" i="2"/>
  <c r="AI435" i="2"/>
  <c r="AY435" i="2"/>
  <c r="J436" i="2"/>
  <c r="Z436" i="2"/>
  <c r="AP436" i="2"/>
  <c r="BF436" i="2"/>
  <c r="Q437" i="2"/>
  <c r="AG437" i="2"/>
  <c r="AW437" i="2"/>
  <c r="BM437" i="2"/>
  <c r="T438" i="2"/>
  <c r="AJ438" i="2"/>
  <c r="AZ438" i="2"/>
  <c r="G439" i="2"/>
  <c r="W439" i="2"/>
  <c r="AM439" i="2"/>
  <c r="BC439" i="2"/>
  <c r="N440" i="2"/>
  <c r="AD440" i="2"/>
  <c r="AT440" i="2"/>
  <c r="BJ440" i="2"/>
  <c r="U441" i="2"/>
  <c r="AK441" i="2"/>
  <c r="BA441" i="2"/>
  <c r="H442" i="2"/>
  <c r="X442" i="2"/>
  <c r="AN442" i="2"/>
  <c r="BD442" i="2"/>
  <c r="K443" i="2"/>
  <c r="AA443" i="2"/>
  <c r="AQ443" i="2"/>
  <c r="BG443" i="2"/>
  <c r="R444" i="2"/>
  <c r="AH444" i="2"/>
  <c r="AX444" i="2"/>
  <c r="I445" i="2"/>
  <c r="Y445" i="2"/>
  <c r="AO445" i="2"/>
  <c r="BE445" i="2"/>
  <c r="L446" i="2"/>
  <c r="AB446" i="2"/>
  <c r="AR446" i="2"/>
  <c r="BH446" i="2"/>
  <c r="O447" i="2"/>
  <c r="AE447" i="2"/>
  <c r="AU447" i="2"/>
  <c r="BK447" i="2"/>
  <c r="V448" i="2"/>
  <c r="AL448" i="2"/>
  <c r="BB448" i="2"/>
  <c r="M449" i="2"/>
  <c r="AC449" i="2"/>
  <c r="AS449" i="2"/>
  <c r="BI449" i="2"/>
  <c r="P450" i="2"/>
  <c r="AF450" i="2"/>
  <c r="AV450" i="2"/>
  <c r="BL450" i="2"/>
  <c r="S451" i="2"/>
  <c r="AI451" i="2"/>
  <c r="AY451" i="2"/>
  <c r="J452" i="2"/>
  <c r="Z452" i="2"/>
  <c r="AP452" i="2"/>
  <c r="BF452" i="2"/>
  <c r="Q453" i="2"/>
  <c r="AG453" i="2"/>
  <c r="AW453" i="2"/>
  <c r="BM453" i="2"/>
  <c r="T454" i="2"/>
  <c r="AJ454" i="2"/>
  <c r="AZ454" i="2"/>
  <c r="G455" i="2"/>
  <c r="W455" i="2"/>
  <c r="AM455" i="2"/>
  <c r="BC455" i="2"/>
  <c r="K456" i="3"/>
  <c r="K456" i="2" s="1"/>
  <c r="K457" i="2"/>
  <c r="AA456" i="3"/>
  <c r="AA456" i="2" s="1"/>
  <c r="AA457" i="2"/>
  <c r="AQ456" i="3"/>
  <c r="AQ456" i="2" s="1"/>
  <c r="AQ457" i="2"/>
  <c r="BG456" i="3"/>
  <c r="BG456" i="2" s="1"/>
  <c r="BG457" i="2"/>
  <c r="R458" i="2"/>
  <c r="AH458" i="2"/>
  <c r="AX458" i="2"/>
  <c r="I459" i="2"/>
  <c r="Y459" i="2"/>
  <c r="AO459" i="2"/>
  <c r="BE459" i="2"/>
  <c r="L460" i="2"/>
  <c r="AB460" i="2"/>
  <c r="AR460" i="2"/>
  <c r="BH460" i="2"/>
  <c r="O461" i="2"/>
  <c r="AE461" i="2"/>
  <c r="AU461" i="2"/>
  <c r="BK461" i="2"/>
  <c r="AB462" i="2"/>
  <c r="AZ462" i="2"/>
  <c r="AZ463" i="2"/>
  <c r="V417" i="2"/>
  <c r="AL417" i="2"/>
  <c r="BB417" i="2"/>
  <c r="M418" i="2"/>
  <c r="AC418" i="2"/>
  <c r="AS418" i="2"/>
  <c r="BI418" i="2"/>
  <c r="P419" i="2"/>
  <c r="AF419" i="2"/>
  <c r="AV419" i="2"/>
  <c r="BL419" i="2"/>
  <c r="S420" i="2"/>
  <c r="AI420" i="2"/>
  <c r="AY420" i="2"/>
  <c r="J421" i="2"/>
  <c r="Z421" i="2"/>
  <c r="AP421" i="2"/>
  <c r="BF421" i="2"/>
  <c r="Q422" i="2"/>
  <c r="AG422" i="2"/>
  <c r="AW422" i="2"/>
  <c r="BM422" i="2"/>
  <c r="T423" i="2"/>
  <c r="AJ423" i="2"/>
  <c r="AZ423" i="2"/>
  <c r="G424" i="2"/>
  <c r="W424" i="2"/>
  <c r="AM424" i="2"/>
  <c r="BC424" i="2"/>
  <c r="N425" i="2"/>
  <c r="AD425" i="2"/>
  <c r="AT425" i="2"/>
  <c r="BJ425" i="2"/>
  <c r="U426" i="2"/>
  <c r="AK426" i="2"/>
  <c r="BA426" i="2"/>
  <c r="H427" i="2"/>
  <c r="X427" i="2"/>
  <c r="AN427" i="2"/>
  <c r="BD427" i="2"/>
  <c r="K428" i="2"/>
  <c r="AA428" i="2"/>
  <c r="AQ428" i="2"/>
  <c r="BG428" i="2"/>
  <c r="R429" i="2"/>
  <c r="AH429" i="2"/>
  <c r="AX429" i="2"/>
  <c r="I430" i="2"/>
  <c r="Y430" i="2"/>
  <c r="AO430" i="2"/>
  <c r="BE430" i="2"/>
  <c r="L431" i="2"/>
  <c r="AB431" i="2"/>
  <c r="AR431" i="2"/>
  <c r="BH431" i="2"/>
  <c r="O432" i="2"/>
  <c r="AE432" i="2"/>
  <c r="AU432" i="2"/>
  <c r="BK432" i="2"/>
  <c r="V433" i="2"/>
  <c r="AL433" i="2"/>
  <c r="BB433" i="2"/>
  <c r="M434" i="2"/>
  <c r="AC434" i="2"/>
  <c r="AS434" i="2"/>
  <c r="BI434" i="2"/>
  <c r="P435" i="2"/>
  <c r="AF435" i="2"/>
  <c r="AV435" i="2"/>
  <c r="BL435" i="2"/>
  <c r="S436" i="2"/>
  <c r="AI436" i="2"/>
  <c r="AY436" i="2"/>
  <c r="J437" i="2"/>
  <c r="Z437" i="2"/>
  <c r="AP437" i="2"/>
  <c r="BF437" i="2"/>
  <c r="Q438" i="2"/>
  <c r="AG438" i="2"/>
  <c r="AW438" i="2"/>
  <c r="BM438" i="2"/>
  <c r="T439" i="2"/>
  <c r="AJ439" i="2"/>
  <c r="AZ439" i="2"/>
  <c r="G440" i="2"/>
  <c r="W440" i="2"/>
  <c r="AM440" i="2"/>
  <c r="BC440" i="2"/>
  <c r="N441" i="2"/>
  <c r="AD441" i="2"/>
  <c r="AT441" i="2"/>
  <c r="BJ441" i="2"/>
  <c r="U442" i="2"/>
  <c r="AK442" i="2"/>
  <c r="BA442" i="2"/>
  <c r="H443" i="2"/>
  <c r="X443" i="2"/>
  <c r="AN443" i="2"/>
  <c r="BD443" i="2"/>
  <c r="K444" i="2"/>
  <c r="AA444" i="2"/>
  <c r="AQ444" i="2"/>
  <c r="BG444" i="2"/>
  <c r="R445" i="2"/>
  <c r="AH445" i="2"/>
  <c r="AX445" i="2"/>
  <c r="I446" i="2"/>
  <c r="Y446" i="2"/>
  <c r="AO446" i="2"/>
  <c r="BE446" i="2"/>
  <c r="L447" i="2"/>
  <c r="AB447" i="2"/>
  <c r="AR447" i="2"/>
  <c r="BH447" i="2"/>
  <c r="O448" i="2"/>
  <c r="AE448" i="2"/>
  <c r="AU448" i="2"/>
  <c r="BK448" i="2"/>
  <c r="V449" i="2"/>
  <c r="AL449" i="2"/>
  <c r="BB449" i="2"/>
  <c r="M450" i="2"/>
  <c r="AC450" i="2"/>
  <c r="AS450" i="2"/>
  <c r="BI450" i="2"/>
  <c r="P451" i="2"/>
  <c r="AF451" i="2"/>
  <c r="AV451" i="2"/>
  <c r="BL451" i="2"/>
  <c r="S452" i="2"/>
  <c r="AI452" i="2"/>
  <c r="AY452" i="2"/>
  <c r="J453" i="2"/>
  <c r="Z453" i="2"/>
  <c r="AP453" i="2"/>
  <c r="BF453" i="2"/>
  <c r="Q454" i="2"/>
  <c r="AG454" i="2"/>
  <c r="AW454" i="2"/>
  <c r="BM454" i="2"/>
  <c r="T455" i="2"/>
  <c r="AJ455" i="2"/>
  <c r="AZ455" i="2"/>
  <c r="H456" i="3"/>
  <c r="H456" i="2" s="1"/>
  <c r="H457" i="2"/>
  <c r="X456" i="3"/>
  <c r="X456" i="2" s="1"/>
  <c r="X457" i="2"/>
  <c r="AN456" i="3"/>
  <c r="AN456" i="2" s="1"/>
  <c r="AN457" i="2"/>
  <c r="BD456" i="3"/>
  <c r="BD456" i="2" s="1"/>
  <c r="BD457" i="2"/>
  <c r="K458" i="2"/>
  <c r="AA458" i="2"/>
  <c r="AQ458" i="2"/>
  <c r="BG458" i="2"/>
  <c r="R459" i="2"/>
  <c r="AH459" i="2"/>
  <c r="AX459" i="2"/>
  <c r="I460" i="2"/>
  <c r="Y460" i="2"/>
  <c r="AO460" i="2"/>
  <c r="BE460" i="2"/>
  <c r="L461" i="2"/>
  <c r="AB461" i="2"/>
  <c r="AR461" i="2"/>
  <c r="BH461" i="2"/>
  <c r="R462" i="2"/>
  <c r="AN462" i="2"/>
  <c r="H463" i="2"/>
  <c r="G463" i="2"/>
  <c r="W463" i="2"/>
  <c r="AM463" i="2"/>
  <c r="BC463" i="2"/>
  <c r="N464" i="2"/>
  <c r="AD464" i="2"/>
  <c r="AT464" i="2"/>
  <c r="BJ464" i="2"/>
  <c r="U465" i="2"/>
  <c r="AK465" i="2"/>
  <c r="BA465" i="2"/>
  <c r="H466" i="2"/>
  <c r="X466" i="2"/>
  <c r="AN466" i="2"/>
  <c r="BD466" i="2"/>
  <c r="K467" i="2"/>
  <c r="AA467" i="2"/>
  <c r="AQ467" i="2"/>
  <c r="BG467" i="2"/>
  <c r="R468" i="2"/>
  <c r="AH468" i="2"/>
  <c r="AX468" i="2"/>
  <c r="I469" i="2"/>
  <c r="Y469" i="2"/>
  <c r="AO469" i="2"/>
  <c r="BE469" i="2"/>
  <c r="L470" i="2"/>
  <c r="AB470" i="2"/>
  <c r="AR470" i="2"/>
  <c r="BH470" i="2"/>
  <c r="O471" i="2"/>
  <c r="AE471" i="2"/>
  <c r="AU471" i="2"/>
  <c r="BK471" i="2"/>
  <c r="V472" i="2"/>
  <c r="AL472" i="2"/>
  <c r="BB472" i="2"/>
  <c r="M473" i="2"/>
  <c r="AC473" i="2"/>
  <c r="AS473" i="2"/>
  <c r="BI473" i="2"/>
  <c r="P474" i="2"/>
  <c r="AF474" i="2"/>
  <c r="AV474" i="2"/>
  <c r="BL474" i="2"/>
  <c r="S475" i="2"/>
  <c r="AI475" i="2"/>
  <c r="AY475" i="2"/>
  <c r="J476" i="2"/>
  <c r="Z476" i="2"/>
  <c r="AP476" i="2"/>
  <c r="BF476" i="2"/>
  <c r="Q477" i="2"/>
  <c r="AG477" i="2"/>
  <c r="AW477" i="2"/>
  <c r="BM477" i="2"/>
  <c r="T478" i="2"/>
  <c r="AJ478" i="2"/>
  <c r="AZ478" i="2"/>
  <c r="G479" i="2"/>
  <c r="W479" i="2"/>
  <c r="AM479" i="2"/>
  <c r="BC479" i="2"/>
  <c r="N480" i="2"/>
  <c r="AD480" i="2"/>
  <c r="AT480" i="2"/>
  <c r="BJ480" i="2"/>
  <c r="U481" i="2"/>
  <c r="AK481" i="2"/>
  <c r="BA481" i="2"/>
  <c r="H482" i="2"/>
  <c r="X482" i="2"/>
  <c r="AN482" i="2"/>
  <c r="BD482" i="2"/>
  <c r="K483" i="2"/>
  <c r="AA483" i="2"/>
  <c r="AQ483" i="2"/>
  <c r="BG483" i="2"/>
  <c r="R484" i="2"/>
  <c r="AH484" i="2"/>
  <c r="AX484" i="2"/>
  <c r="I485" i="2"/>
  <c r="Y485" i="2"/>
  <c r="AO485" i="2"/>
  <c r="BE485" i="2"/>
  <c r="L486" i="2"/>
  <c r="AB486" i="2"/>
  <c r="AR486" i="2"/>
  <c r="BH486" i="2"/>
  <c r="O487" i="2"/>
  <c r="AE487" i="2"/>
  <c r="AU487" i="2"/>
  <c r="BK487" i="2"/>
  <c r="V488" i="2"/>
  <c r="AL488" i="2"/>
  <c r="BB488" i="2"/>
  <c r="M489" i="2"/>
  <c r="AC489" i="2"/>
  <c r="AS489" i="2"/>
  <c r="BI489" i="2"/>
  <c r="P490" i="2"/>
  <c r="AF490" i="2"/>
  <c r="AV490" i="2"/>
  <c r="BL490" i="2"/>
  <c r="S491" i="2"/>
  <c r="AI491" i="2"/>
  <c r="AY491" i="2"/>
  <c r="J492" i="2"/>
  <c r="Z492" i="2"/>
  <c r="AP492" i="2"/>
  <c r="BF492" i="2"/>
  <c r="Q493" i="2"/>
  <c r="AG493" i="2"/>
  <c r="AW493" i="2"/>
  <c r="BM493" i="2"/>
  <c r="T494" i="2"/>
  <c r="AJ494" i="2"/>
  <c r="AZ494" i="2"/>
  <c r="G495" i="2"/>
  <c r="W495" i="2"/>
  <c r="AM495" i="2"/>
  <c r="BC495" i="2"/>
  <c r="N496" i="2"/>
  <c r="AD496" i="2"/>
  <c r="AT496" i="2"/>
  <c r="BJ496" i="2"/>
  <c r="S498" i="3"/>
  <c r="S498" i="2" s="1"/>
  <c r="S499" i="2"/>
  <c r="AI498" i="3"/>
  <c r="AI498" i="2" s="1"/>
  <c r="AI499" i="2"/>
  <c r="AY498" i="3"/>
  <c r="AY498" i="2" s="1"/>
  <c r="AY499" i="2"/>
  <c r="J500" i="2"/>
  <c r="Z500" i="2"/>
  <c r="AP500" i="2"/>
  <c r="BF500" i="2"/>
  <c r="Q501" i="2"/>
  <c r="AG501" i="2"/>
  <c r="AW501" i="2"/>
  <c r="BM501" i="2"/>
  <c r="T502" i="2"/>
  <c r="AJ502" i="2"/>
  <c r="AZ502" i="2"/>
  <c r="G503" i="2"/>
  <c r="W503" i="2"/>
  <c r="AM503" i="2"/>
  <c r="BC503" i="2"/>
  <c r="N504" i="2"/>
  <c r="AD504" i="2"/>
  <c r="AT504" i="2"/>
  <c r="BJ504" i="2"/>
  <c r="U505" i="2"/>
  <c r="AK505" i="2"/>
  <c r="BA505" i="2"/>
  <c r="H506" i="2"/>
  <c r="X506" i="2"/>
  <c r="AN506" i="2"/>
  <c r="BD506" i="2"/>
  <c r="K507" i="2"/>
  <c r="AA507" i="2"/>
  <c r="AQ507" i="2"/>
  <c r="BG507" i="2"/>
  <c r="R508" i="2"/>
  <c r="AH508" i="2"/>
  <c r="AX508" i="2"/>
  <c r="J509" i="2"/>
  <c r="AP509" i="2"/>
  <c r="K464" i="2"/>
  <c r="AA464" i="2"/>
  <c r="AQ464" i="2"/>
  <c r="BG464" i="2"/>
  <c r="R465" i="2"/>
  <c r="AH465" i="2"/>
  <c r="AX465" i="2"/>
  <c r="I466" i="2"/>
  <c r="Y466" i="2"/>
  <c r="AO466" i="2"/>
  <c r="BE466" i="2"/>
  <c r="L467" i="2"/>
  <c r="AB467" i="2"/>
  <c r="AR467" i="2"/>
  <c r="BH467" i="2"/>
  <c r="O468" i="2"/>
  <c r="AE468" i="2"/>
  <c r="AU468" i="2"/>
  <c r="BK468" i="2"/>
  <c r="V469" i="2"/>
  <c r="AL469" i="2"/>
  <c r="BB469" i="2"/>
  <c r="M470" i="2"/>
  <c r="AC470" i="2"/>
  <c r="AS470" i="2"/>
  <c r="BI470" i="2"/>
  <c r="P471" i="2"/>
  <c r="AF471" i="2"/>
  <c r="AV471" i="2"/>
  <c r="BL471" i="2"/>
  <c r="S472" i="2"/>
  <c r="AI472" i="2"/>
  <c r="AY472" i="2"/>
  <c r="J473" i="2"/>
  <c r="Z473" i="2"/>
  <c r="AP473" i="2"/>
  <c r="BF473" i="2"/>
  <c r="Q474" i="2"/>
  <c r="AG474" i="2"/>
  <c r="AW474" i="2"/>
  <c r="BM474" i="2"/>
  <c r="T475" i="2"/>
  <c r="AJ475" i="2"/>
  <c r="AZ475" i="2"/>
  <c r="G476" i="2"/>
  <c r="W476" i="2"/>
  <c r="AM476" i="2"/>
  <c r="BC476" i="2"/>
  <c r="N477" i="2"/>
  <c r="AD477" i="2"/>
  <c r="AT477" i="2"/>
  <c r="BJ477" i="2"/>
  <c r="U478" i="2"/>
  <c r="AK478" i="2"/>
  <c r="BA478" i="2"/>
  <c r="H479" i="2"/>
  <c r="X479" i="2"/>
  <c r="AN479" i="2"/>
  <c r="BD479" i="2"/>
  <c r="K480" i="2"/>
  <c r="AA480" i="2"/>
  <c r="AQ480" i="2"/>
  <c r="BG480" i="2"/>
  <c r="R481" i="2"/>
  <c r="AH481" i="2"/>
  <c r="AX481" i="2"/>
  <c r="I482" i="2"/>
  <c r="Y482" i="2"/>
  <c r="AO482" i="2"/>
  <c r="BE482" i="2"/>
  <c r="L483" i="2"/>
  <c r="AB483" i="2"/>
  <c r="AR483" i="2"/>
  <c r="BH483" i="2"/>
  <c r="O484" i="2"/>
  <c r="AE484" i="2"/>
  <c r="AU484" i="2"/>
  <c r="BK484" i="2"/>
  <c r="V485" i="2"/>
  <c r="AL485" i="2"/>
  <c r="BB485" i="2"/>
  <c r="M486" i="2"/>
  <c r="AC486" i="2"/>
  <c r="AS486" i="2"/>
  <c r="BI486" i="2"/>
  <c r="P487" i="2"/>
  <c r="AF487" i="2"/>
  <c r="AV487" i="2"/>
  <c r="BL487" i="2"/>
  <c r="S488" i="2"/>
  <c r="AI488" i="2"/>
  <c r="AY488" i="2"/>
  <c r="J489" i="2"/>
  <c r="Z489" i="2"/>
  <c r="AP489" i="2"/>
  <c r="BF489" i="2"/>
  <c r="Q490" i="2"/>
  <c r="AG490" i="2"/>
  <c r="AW490" i="2"/>
  <c r="BM490" i="2"/>
  <c r="T491" i="2"/>
  <c r="AJ491" i="2"/>
  <c r="AZ491" i="2"/>
  <c r="G492" i="2"/>
  <c r="W492" i="2"/>
  <c r="AM492" i="2"/>
  <c r="BC492" i="2"/>
  <c r="N493" i="2"/>
  <c r="AD493" i="2"/>
  <c r="AT493" i="2"/>
  <c r="BJ493" i="2"/>
  <c r="U494" i="2"/>
  <c r="AK494" i="2"/>
  <c r="BA494" i="2"/>
  <c r="H495" i="2"/>
  <c r="X495" i="2"/>
  <c r="AN495" i="2"/>
  <c r="BD495" i="2"/>
  <c r="K496" i="2"/>
  <c r="AA496" i="2"/>
  <c r="AQ496" i="2"/>
  <c r="BG496" i="2"/>
  <c r="P498" i="3"/>
  <c r="P498" i="2" s="1"/>
  <c r="P499" i="2"/>
  <c r="AF498" i="3"/>
  <c r="AF498" i="2" s="1"/>
  <c r="AF499" i="2"/>
  <c r="AV498" i="3"/>
  <c r="AV498" i="2" s="1"/>
  <c r="AV499" i="2"/>
  <c r="BL498" i="3"/>
  <c r="BL498" i="2" s="1"/>
  <c r="BL499" i="2"/>
  <c r="S500" i="2"/>
  <c r="AI500" i="2"/>
  <c r="AY500" i="2"/>
  <c r="J501" i="2"/>
  <c r="Z501" i="2"/>
  <c r="AP501" i="2"/>
  <c r="BF501" i="2"/>
  <c r="Q502" i="2"/>
  <c r="AG502" i="2"/>
  <c r="AW502" i="2"/>
  <c r="BM502" i="2"/>
  <c r="T503" i="2"/>
  <c r="AJ503" i="2"/>
  <c r="AZ503" i="2"/>
  <c r="G504" i="2"/>
  <c r="W504" i="2"/>
  <c r="AM504" i="2"/>
  <c r="BC504" i="2"/>
  <c r="N505" i="2"/>
  <c r="AD505" i="2"/>
  <c r="AT505" i="2"/>
  <c r="BJ505" i="2"/>
  <c r="U506" i="2"/>
  <c r="AK506" i="2"/>
  <c r="BA506" i="2"/>
  <c r="H507" i="2"/>
  <c r="X507" i="2"/>
  <c r="AN507" i="2"/>
  <c r="BD507" i="2"/>
  <c r="K508" i="2"/>
  <c r="AA508" i="2"/>
  <c r="AQ508" i="2"/>
  <c r="BG508" i="2"/>
  <c r="AA509" i="2"/>
  <c r="BG509" i="2"/>
  <c r="BF462" i="2"/>
  <c r="Q463" i="2"/>
  <c r="AG463" i="2"/>
  <c r="AW463" i="2"/>
  <c r="BM463" i="2"/>
  <c r="T464" i="2"/>
  <c r="AJ464" i="2"/>
  <c r="AZ464" i="2"/>
  <c r="G465" i="2"/>
  <c r="W465" i="2"/>
  <c r="AM465" i="2"/>
  <c r="BC465" i="2"/>
  <c r="N466" i="2"/>
  <c r="AD466" i="2"/>
  <c r="AT466" i="2"/>
  <c r="BJ466" i="2"/>
  <c r="U467" i="2"/>
  <c r="AK467" i="2"/>
  <c r="BA467" i="2"/>
  <c r="H468" i="2"/>
  <c r="X468" i="2"/>
  <c r="AN468" i="2"/>
  <c r="BD468" i="2"/>
  <c r="K469" i="2"/>
  <c r="AA469" i="2"/>
  <c r="AQ469" i="2"/>
  <c r="BG469" i="2"/>
  <c r="R470" i="2"/>
  <c r="AH470" i="2"/>
  <c r="AX470" i="2"/>
  <c r="I471" i="2"/>
  <c r="Y471" i="2"/>
  <c r="AO471" i="2"/>
  <c r="BE471" i="2"/>
  <c r="L472" i="2"/>
  <c r="AB472" i="2"/>
  <c r="AR472" i="2"/>
  <c r="BH472" i="2"/>
  <c r="O473" i="2"/>
  <c r="AE473" i="2"/>
  <c r="AU473" i="2"/>
  <c r="BK473" i="2"/>
  <c r="V474" i="2"/>
  <c r="AL474" i="2"/>
  <c r="BB474" i="2"/>
  <c r="M475" i="2"/>
  <c r="AC475" i="2"/>
  <c r="AS475" i="2"/>
  <c r="BI475" i="2"/>
  <c r="P476" i="2"/>
  <c r="AF476" i="2"/>
  <c r="AV476" i="2"/>
  <c r="BL476" i="2"/>
  <c r="S477" i="2"/>
  <c r="AI477" i="2"/>
  <c r="AY477" i="2"/>
  <c r="J478" i="2"/>
  <c r="Z478" i="2"/>
  <c r="AP478" i="2"/>
  <c r="BF478" i="2"/>
  <c r="Q479" i="2"/>
  <c r="AG479" i="2"/>
  <c r="AW479" i="2"/>
  <c r="BM479" i="2"/>
  <c r="T480" i="2"/>
  <c r="AJ480" i="2"/>
  <c r="AZ480" i="2"/>
  <c r="G481" i="2"/>
  <c r="W481" i="2"/>
  <c r="AM481" i="2"/>
  <c r="BC481" i="2"/>
  <c r="N482" i="2"/>
  <c r="AD482" i="2"/>
  <c r="AT482" i="2"/>
  <c r="BJ482" i="2"/>
  <c r="U483" i="2"/>
  <c r="AK483" i="2"/>
  <c r="BA483" i="2"/>
  <c r="H484" i="2"/>
  <c r="X484" i="2"/>
  <c r="AN484" i="2"/>
  <c r="BD484" i="2"/>
  <c r="K485" i="2"/>
  <c r="AA485" i="2"/>
  <c r="AQ485" i="2"/>
  <c r="BG485" i="2"/>
  <c r="R486" i="2"/>
  <c r="AH486" i="2"/>
  <c r="AX486" i="2"/>
  <c r="I487" i="2"/>
  <c r="Y487" i="2"/>
  <c r="AO487" i="2"/>
  <c r="BE487" i="2"/>
  <c r="L488" i="2"/>
  <c r="AB488" i="2"/>
  <c r="AR488" i="2"/>
  <c r="BH488" i="2"/>
  <c r="O489" i="2"/>
  <c r="AE489" i="2"/>
  <c r="AU489" i="2"/>
  <c r="BK489" i="2"/>
  <c r="V490" i="2"/>
  <c r="AL490" i="2"/>
  <c r="BB490" i="2"/>
  <c r="M491" i="2"/>
  <c r="AC491" i="2"/>
  <c r="AS491" i="2"/>
  <c r="BI491" i="2"/>
  <c r="P492" i="2"/>
  <c r="AF492" i="2"/>
  <c r="AV492" i="2"/>
  <c r="BL492" i="2"/>
  <c r="S493" i="2"/>
  <c r="AI493" i="2"/>
  <c r="AY493" i="2"/>
  <c r="J494" i="2"/>
  <c r="Z494" i="2"/>
  <c r="AP494" i="2"/>
  <c r="BF494" i="2"/>
  <c r="Q495" i="2"/>
  <c r="AG495" i="2"/>
  <c r="AW495" i="2"/>
  <c r="BM495" i="2"/>
  <c r="T496" i="2"/>
  <c r="AJ496" i="2"/>
  <c r="AZ496" i="2"/>
  <c r="I498" i="3"/>
  <c r="I498" i="2" s="1"/>
  <c r="I499" i="2"/>
  <c r="Y498" i="3"/>
  <c r="Y498" i="2" s="1"/>
  <c r="Y499" i="2"/>
  <c r="AO498" i="3"/>
  <c r="AO498" i="2" s="1"/>
  <c r="AO499" i="2"/>
  <c r="BE498" i="3"/>
  <c r="BE498" i="2" s="1"/>
  <c r="BE499" i="2"/>
  <c r="L500" i="2"/>
  <c r="AB500" i="2"/>
  <c r="AR500" i="2"/>
  <c r="BH500" i="2"/>
  <c r="O501" i="2"/>
  <c r="AE501" i="2"/>
  <c r="AU501" i="2"/>
  <c r="BK501" i="2"/>
  <c r="V502" i="2"/>
  <c r="AL502" i="2"/>
  <c r="BB502" i="2"/>
  <c r="M503" i="2"/>
  <c r="AC503" i="2"/>
  <c r="AS503" i="2"/>
  <c r="BI503" i="2"/>
  <c r="P504" i="2"/>
  <c r="AF504" i="2"/>
  <c r="AV504" i="2"/>
  <c r="BL504" i="2"/>
  <c r="S505" i="2"/>
  <c r="AI505" i="2"/>
  <c r="AY505" i="2"/>
  <c r="J506" i="2"/>
  <c r="Z506" i="2"/>
  <c r="AP506" i="2"/>
  <c r="BF506" i="2"/>
  <c r="Q507" i="2"/>
  <c r="AG507" i="2"/>
  <c r="AW507" i="2"/>
  <c r="BM507" i="2"/>
  <c r="T508" i="2"/>
  <c r="AJ508" i="2"/>
  <c r="AZ508" i="2"/>
  <c r="G509" i="2"/>
  <c r="AL509" i="2"/>
  <c r="G462" i="2"/>
  <c r="W462" i="2"/>
  <c r="AM462" i="2"/>
  <c r="BC462" i="2"/>
  <c r="N463" i="2"/>
  <c r="AD463" i="2"/>
  <c r="AT463" i="2"/>
  <c r="BJ463" i="2"/>
  <c r="U464" i="2"/>
  <c r="AK464" i="2"/>
  <c r="BA464" i="2"/>
  <c r="H465" i="2"/>
  <c r="X465" i="2"/>
  <c r="AN465" i="2"/>
  <c r="BD465" i="2"/>
  <c r="K466" i="2"/>
  <c r="AA466" i="2"/>
  <c r="AQ466" i="2"/>
  <c r="BG466" i="2"/>
  <c r="R467" i="2"/>
  <c r="AH467" i="2"/>
  <c r="AX467" i="2"/>
  <c r="I468" i="2"/>
  <c r="Y468" i="2"/>
  <c r="AO468" i="2"/>
  <c r="BE468" i="2"/>
  <c r="L469" i="2"/>
  <c r="AB469" i="2"/>
  <c r="AR469" i="2"/>
  <c r="BH469" i="2"/>
  <c r="O470" i="2"/>
  <c r="AE470" i="2"/>
  <c r="AU470" i="2"/>
  <c r="BK470" i="2"/>
  <c r="V471" i="2"/>
  <c r="AL471" i="2"/>
  <c r="BB471" i="2"/>
  <c r="M472" i="2"/>
  <c r="AC472" i="2"/>
  <c r="AS472" i="2"/>
  <c r="BI472" i="2"/>
  <c r="P473" i="2"/>
  <c r="AF473" i="2"/>
  <c r="AV473" i="2"/>
  <c r="BL473" i="2"/>
  <c r="S474" i="2"/>
  <c r="AI474" i="2"/>
  <c r="AY474" i="2"/>
  <c r="J475" i="2"/>
  <c r="Z475" i="2"/>
  <c r="AP475" i="2"/>
  <c r="BF475" i="2"/>
  <c r="Q476" i="2"/>
  <c r="AG476" i="2"/>
  <c r="AW476" i="2"/>
  <c r="BM476" i="2"/>
  <c r="T477" i="2"/>
  <c r="AJ477" i="2"/>
  <c r="AZ477" i="2"/>
  <c r="G478" i="2"/>
  <c r="W478" i="2"/>
  <c r="AM478" i="2"/>
  <c r="BC478" i="2"/>
  <c r="N479" i="2"/>
  <c r="AD479" i="2"/>
  <c r="AT479" i="2"/>
  <c r="BJ479" i="2"/>
  <c r="U480" i="2"/>
  <c r="AK480" i="2"/>
  <c r="BA480" i="2"/>
  <c r="H481" i="2"/>
  <c r="X481" i="2"/>
  <c r="AN481" i="2"/>
  <c r="BD481" i="2"/>
  <c r="K482" i="2"/>
  <c r="AA482" i="2"/>
  <c r="AQ482" i="2"/>
  <c r="BG482" i="2"/>
  <c r="R483" i="2"/>
  <c r="AH483" i="2"/>
  <c r="AX483" i="2"/>
  <c r="I484" i="2"/>
  <c r="Y484" i="2"/>
  <c r="AO484" i="2"/>
  <c r="BE484" i="2"/>
  <c r="L485" i="2"/>
  <c r="AB485" i="2"/>
  <c r="AR485" i="2"/>
  <c r="BH485" i="2"/>
  <c r="O486" i="2"/>
  <c r="AE486" i="2"/>
  <c r="AU486" i="2"/>
  <c r="BK486" i="2"/>
  <c r="V487" i="2"/>
  <c r="AL487" i="2"/>
  <c r="BB487" i="2"/>
  <c r="M488" i="2"/>
  <c r="AC488" i="2"/>
  <c r="AS488" i="2"/>
  <c r="BI488" i="2"/>
  <c r="P489" i="2"/>
  <c r="AF489" i="2"/>
  <c r="AV489" i="2"/>
  <c r="BL489" i="2"/>
  <c r="S490" i="2"/>
  <c r="AI490" i="2"/>
  <c r="AY490" i="2"/>
  <c r="J491" i="2"/>
  <c r="Z491" i="2"/>
  <c r="AP491" i="2"/>
  <c r="BF491" i="2"/>
  <c r="Q492" i="2"/>
  <c r="AG492" i="2"/>
  <c r="AW492" i="2"/>
  <c r="BM492" i="2"/>
  <c r="T493" i="2"/>
  <c r="AJ493" i="2"/>
  <c r="AZ493" i="2"/>
  <c r="G494" i="2"/>
  <c r="W494" i="2"/>
  <c r="AM494" i="2"/>
  <c r="BC494" i="2"/>
  <c r="N495" i="2"/>
  <c r="AD495" i="2"/>
  <c r="AT495" i="2"/>
  <c r="BJ495" i="2"/>
  <c r="U496" i="2"/>
  <c r="AK496" i="2"/>
  <c r="BA496" i="2"/>
  <c r="J498" i="3"/>
  <c r="J498" i="2" s="1"/>
  <c r="J499" i="2"/>
  <c r="Z498" i="3"/>
  <c r="Z498" i="2" s="1"/>
  <c r="Z499" i="2"/>
  <c r="AP498" i="3"/>
  <c r="AP498" i="2" s="1"/>
  <c r="AP499" i="2"/>
  <c r="BF498" i="3"/>
  <c r="BF498" i="2" s="1"/>
  <c r="BF499" i="2"/>
  <c r="Q500" i="2"/>
  <c r="AG500" i="2"/>
  <c r="AW500" i="2"/>
  <c r="BM500" i="2"/>
  <c r="T501" i="2"/>
  <c r="AJ501" i="2"/>
  <c r="AZ501" i="2"/>
  <c r="G502" i="2"/>
  <c r="W502" i="2"/>
  <c r="AM502" i="2"/>
  <c r="BC502" i="2"/>
  <c r="N503" i="2"/>
  <c r="AD503" i="2"/>
  <c r="AT503" i="2"/>
  <c r="BJ503" i="2"/>
  <c r="U504" i="2"/>
  <c r="AK504" i="2"/>
  <c r="BA504" i="2"/>
  <c r="H505" i="2"/>
  <c r="X505" i="2"/>
  <c r="AN505" i="2"/>
  <c r="BD505" i="2"/>
  <c r="K506" i="2"/>
  <c r="AA506" i="2"/>
  <c r="AQ506" i="2"/>
  <c r="BG506" i="2"/>
  <c r="R507" i="2"/>
  <c r="AH507" i="2"/>
  <c r="AX507" i="2"/>
  <c r="I508" i="2"/>
  <c r="Y508" i="2"/>
  <c r="AO508" i="2"/>
  <c r="BE508" i="2"/>
  <c r="O509" i="2"/>
  <c r="AU509" i="2"/>
  <c r="M510" i="2"/>
  <c r="AC510" i="2"/>
  <c r="AS510" i="2"/>
  <c r="BI510" i="2"/>
  <c r="P511" i="2"/>
  <c r="AF511" i="2"/>
  <c r="AV511" i="2"/>
  <c r="BL511" i="2"/>
  <c r="S512" i="2"/>
  <c r="AI512" i="2"/>
  <c r="AY512" i="2"/>
  <c r="J513" i="2"/>
  <c r="Z513" i="2"/>
  <c r="AP513" i="2"/>
  <c r="BF513" i="2"/>
  <c r="Q514" i="2"/>
  <c r="AG514" i="2"/>
  <c r="AW514" i="2"/>
  <c r="BM514" i="2"/>
  <c r="T515" i="2"/>
  <c r="AJ515" i="2"/>
  <c r="AZ515" i="2"/>
  <c r="G516" i="2"/>
  <c r="W516" i="2"/>
  <c r="AM516" i="2"/>
  <c r="BC516" i="2"/>
  <c r="N517" i="2"/>
  <c r="AD517" i="2"/>
  <c r="AT517" i="2"/>
  <c r="BJ517" i="2"/>
  <c r="U518" i="2"/>
  <c r="AK518" i="2"/>
  <c r="BA518" i="2"/>
  <c r="H519" i="2"/>
  <c r="X519" i="2"/>
  <c r="AN519" i="2"/>
  <c r="BD519" i="2"/>
  <c r="K520" i="2"/>
  <c r="AA520" i="2"/>
  <c r="AQ520" i="2"/>
  <c r="BG520" i="2"/>
  <c r="R521" i="2"/>
  <c r="AH521" i="2"/>
  <c r="AX521" i="2"/>
  <c r="I522" i="2"/>
  <c r="Y522" i="2"/>
  <c r="AO522" i="2"/>
  <c r="BE522" i="2"/>
  <c r="L523" i="2"/>
  <c r="AB523" i="2"/>
  <c r="AR523" i="2"/>
  <c r="BH523" i="2"/>
  <c r="O524" i="2"/>
  <c r="AE524" i="2"/>
  <c r="AU524" i="2"/>
  <c r="BK524" i="2"/>
  <c r="V525" i="2"/>
  <c r="AL525" i="2"/>
  <c r="BB525" i="2"/>
  <c r="M526" i="2"/>
  <c r="AC526" i="2"/>
  <c r="AS526" i="2"/>
  <c r="BI526" i="2"/>
  <c r="P527" i="2"/>
  <c r="AF527" i="2"/>
  <c r="AV527" i="2"/>
  <c r="BL527" i="2"/>
  <c r="S528" i="2"/>
  <c r="AI528" i="2"/>
  <c r="AY528" i="2"/>
  <c r="J529" i="2"/>
  <c r="Z529" i="2"/>
  <c r="AP529" i="2"/>
  <c r="BF529" i="2"/>
  <c r="Q530" i="2"/>
  <c r="AG530" i="2"/>
  <c r="AW530" i="2"/>
  <c r="BM530" i="2"/>
  <c r="T531" i="2"/>
  <c r="AJ531" i="2"/>
  <c r="AZ531" i="2"/>
  <c r="G532" i="2"/>
  <c r="W532" i="2"/>
  <c r="AM532" i="2"/>
  <c r="BC532" i="2"/>
  <c r="N533" i="2"/>
  <c r="AD533" i="2"/>
  <c r="AT533" i="2"/>
  <c r="BJ533" i="2"/>
  <c r="U534" i="2"/>
  <c r="AK534" i="2"/>
  <c r="BA534" i="2"/>
  <c r="H535" i="2"/>
  <c r="X535" i="2"/>
  <c r="AN535" i="2"/>
  <c r="BD535" i="2"/>
  <c r="K536" i="2"/>
  <c r="AA536" i="2"/>
  <c r="AQ536" i="2"/>
  <c r="BG536" i="2"/>
  <c r="R537" i="2"/>
  <c r="AH537" i="2"/>
  <c r="AX537" i="2"/>
  <c r="I538" i="2"/>
  <c r="Y538" i="2"/>
  <c r="AO538" i="2"/>
  <c r="BE538" i="2"/>
  <c r="M539" i="3"/>
  <c r="M539" i="2" s="1"/>
  <c r="M540" i="2"/>
  <c r="AC539" i="3"/>
  <c r="AC539" i="2" s="1"/>
  <c r="AC540" i="2"/>
  <c r="AS539" i="3"/>
  <c r="AS539" i="2" s="1"/>
  <c r="AS540" i="2"/>
  <c r="BI539" i="3"/>
  <c r="BI539" i="2" s="1"/>
  <c r="BI540" i="2"/>
  <c r="P541" i="2"/>
  <c r="AF541" i="2"/>
  <c r="AV541" i="2"/>
  <c r="BL541" i="2"/>
  <c r="S542" i="2"/>
  <c r="AI542" i="2"/>
  <c r="AY542" i="2"/>
  <c r="J543" i="2"/>
  <c r="Z543" i="2"/>
  <c r="AP543" i="2"/>
  <c r="BF543" i="2"/>
  <c r="Q544" i="2"/>
  <c r="AG544" i="2"/>
  <c r="AW544" i="2"/>
  <c r="BM544" i="2"/>
  <c r="T545" i="2"/>
  <c r="AJ545" i="2"/>
  <c r="AZ545" i="2"/>
  <c r="G546" i="2"/>
  <c r="W546" i="2"/>
  <c r="AM546" i="2"/>
  <c r="BC546" i="2"/>
  <c r="N547" i="2"/>
  <c r="AD547" i="2"/>
  <c r="AT547" i="2"/>
  <c r="BJ547" i="2"/>
  <c r="U548" i="2"/>
  <c r="AK548" i="2"/>
  <c r="BA548" i="2"/>
  <c r="H549" i="2"/>
  <c r="X549" i="2"/>
  <c r="AN549" i="2"/>
  <c r="BD549" i="2"/>
  <c r="K550" i="2"/>
  <c r="AA550" i="2"/>
  <c r="AQ550" i="2"/>
  <c r="BG550" i="2"/>
  <c r="R551" i="2"/>
  <c r="AH551" i="2"/>
  <c r="AX551" i="2"/>
  <c r="I552" i="2"/>
  <c r="Y552" i="2"/>
  <c r="AO552" i="2"/>
  <c r="BE552" i="2"/>
  <c r="L553" i="2"/>
  <c r="AB553" i="2"/>
  <c r="AR553" i="2"/>
  <c r="BI553" i="2"/>
  <c r="AJ554" i="2"/>
  <c r="J510" i="2"/>
  <c r="Z510" i="2"/>
  <c r="AP510" i="2"/>
  <c r="BF510" i="2"/>
  <c r="Q511" i="2"/>
  <c r="AG511" i="2"/>
  <c r="AW511" i="2"/>
  <c r="BM511" i="2"/>
  <c r="T512" i="2"/>
  <c r="AJ512" i="2"/>
  <c r="AZ512" i="2"/>
  <c r="G513" i="2"/>
  <c r="W513" i="2"/>
  <c r="AM513" i="2"/>
  <c r="BC513" i="2"/>
  <c r="N514" i="2"/>
  <c r="AD514" i="2"/>
  <c r="AT514" i="2"/>
  <c r="BJ514" i="2"/>
  <c r="U515" i="2"/>
  <c r="AK515" i="2"/>
  <c r="BA515" i="2"/>
  <c r="H516" i="2"/>
  <c r="X516" i="2"/>
  <c r="AN516" i="2"/>
  <c r="BD516" i="2"/>
  <c r="K517" i="2"/>
  <c r="AA517" i="2"/>
  <c r="AQ517" i="2"/>
  <c r="BG517" i="2"/>
  <c r="R518" i="2"/>
  <c r="AH518" i="2"/>
  <c r="AX518" i="2"/>
  <c r="I519" i="2"/>
  <c r="Y519" i="2"/>
  <c r="AO519" i="2"/>
  <c r="BE519" i="2"/>
  <c r="L520" i="2"/>
  <c r="AB520" i="2"/>
  <c r="AR520" i="2"/>
  <c r="BH520" i="2"/>
  <c r="O521" i="2"/>
  <c r="AE521" i="2"/>
  <c r="AU521" i="2"/>
  <c r="BK521" i="2"/>
  <c r="V522" i="2"/>
  <c r="AL522" i="2"/>
  <c r="BB522" i="2"/>
  <c r="M523" i="2"/>
  <c r="AC523" i="2"/>
  <c r="AS523" i="2"/>
  <c r="BI523" i="2"/>
  <c r="P524" i="2"/>
  <c r="AF524" i="2"/>
  <c r="AV524" i="2"/>
  <c r="BL524" i="2"/>
  <c r="S525" i="2"/>
  <c r="AI525" i="2"/>
  <c r="AY525" i="2"/>
  <c r="J526" i="2"/>
  <c r="Z526" i="2"/>
  <c r="AP526" i="2"/>
  <c r="BF526" i="2"/>
  <c r="Q527" i="2"/>
  <c r="AG527" i="2"/>
  <c r="AW527" i="2"/>
  <c r="BM527" i="2"/>
  <c r="T528" i="2"/>
  <c r="AJ528" i="2"/>
  <c r="AZ528" i="2"/>
  <c r="G529" i="2"/>
  <c r="W529" i="2"/>
  <c r="AM529" i="2"/>
  <c r="BC529" i="2"/>
  <c r="N530" i="2"/>
  <c r="AD530" i="2"/>
  <c r="AT530" i="2"/>
  <c r="BJ530" i="2"/>
  <c r="U531" i="2"/>
  <c r="AK531" i="2"/>
  <c r="BA531" i="2"/>
  <c r="H532" i="2"/>
  <c r="X532" i="2"/>
  <c r="AN532" i="2"/>
  <c r="BD532" i="2"/>
  <c r="K533" i="2"/>
  <c r="AA533" i="2"/>
  <c r="AQ533" i="2"/>
  <c r="BG533" i="2"/>
  <c r="R534" i="2"/>
  <c r="AH534" i="2"/>
  <c r="AX534" i="2"/>
  <c r="I535" i="2"/>
  <c r="Y535" i="2"/>
  <c r="AO535" i="2"/>
  <c r="BE535" i="2"/>
  <c r="L536" i="2"/>
  <c r="AB536" i="2"/>
  <c r="AR536" i="2"/>
  <c r="BH536" i="2"/>
  <c r="O537" i="2"/>
  <c r="AE537" i="2"/>
  <c r="AU537" i="2"/>
  <c r="BK537" i="2"/>
  <c r="V538" i="2"/>
  <c r="AL538" i="2"/>
  <c r="BB538" i="2"/>
  <c r="N539" i="3"/>
  <c r="N539" i="2" s="1"/>
  <c r="N540" i="2"/>
  <c r="AD539" i="3"/>
  <c r="AD539" i="2" s="1"/>
  <c r="AD540" i="2"/>
  <c r="AT539" i="3"/>
  <c r="AT539" i="2" s="1"/>
  <c r="AT540" i="2"/>
  <c r="BJ539" i="3"/>
  <c r="BJ539" i="2" s="1"/>
  <c r="BJ540" i="2"/>
  <c r="U541" i="2"/>
  <c r="AK541" i="2"/>
  <c r="BA541" i="2"/>
  <c r="H542" i="2"/>
  <c r="X542" i="2"/>
  <c r="AN542" i="2"/>
  <c r="BD542" i="2"/>
  <c r="K543" i="2"/>
  <c r="AA543" i="2"/>
  <c r="AQ543" i="2"/>
  <c r="BG543" i="2"/>
  <c r="R544" i="2"/>
  <c r="AH544" i="2"/>
  <c r="AX544" i="2"/>
  <c r="I545" i="2"/>
  <c r="Y545" i="2"/>
  <c r="AO545" i="2"/>
  <c r="BE545" i="2"/>
  <c r="L546" i="2"/>
  <c r="AB546" i="2"/>
  <c r="AR546" i="2"/>
  <c r="BH546" i="2"/>
  <c r="O547" i="2"/>
  <c r="AE547" i="2"/>
  <c r="AU547" i="2"/>
  <c r="BK547" i="2"/>
  <c r="V548" i="2"/>
  <c r="AL548" i="2"/>
  <c r="BB548" i="2"/>
  <c r="M549" i="2"/>
  <c r="AC549" i="2"/>
  <c r="AS549" i="2"/>
  <c r="BI549" i="2"/>
  <c r="P550" i="2"/>
  <c r="AF550" i="2"/>
  <c r="AV550" i="2"/>
  <c r="BL550" i="2"/>
  <c r="S551" i="2"/>
  <c r="AI551" i="2"/>
  <c r="AY551" i="2"/>
  <c r="J552" i="2"/>
  <c r="Z552" i="2"/>
  <c r="AP552" i="2"/>
  <c r="BF552" i="2"/>
  <c r="Q553" i="2"/>
  <c r="AG553" i="2"/>
  <c r="AW553" i="2"/>
  <c r="G554" i="2"/>
  <c r="AM554" i="2"/>
  <c r="L509" i="2"/>
  <c r="AB509" i="2"/>
  <c r="AR509" i="2"/>
  <c r="BH509" i="2"/>
  <c r="O510" i="2"/>
  <c r="AE510" i="2"/>
  <c r="AU510" i="2"/>
  <c r="BK510" i="2"/>
  <c r="V511" i="2"/>
  <c r="AL511" i="2"/>
  <c r="BB511" i="2"/>
  <c r="M512" i="2"/>
  <c r="AC512" i="2"/>
  <c r="AS512" i="2"/>
  <c r="BI512" i="2"/>
  <c r="P513" i="2"/>
  <c r="AF513" i="2"/>
  <c r="AV513" i="2"/>
  <c r="BL513" i="2"/>
  <c r="S514" i="2"/>
  <c r="AI514" i="2"/>
  <c r="AY514" i="2"/>
  <c r="J515" i="2"/>
  <c r="Z515" i="2"/>
  <c r="AP515" i="2"/>
  <c r="BF515" i="2"/>
  <c r="Q516" i="2"/>
  <c r="AG516" i="2"/>
  <c r="AW516" i="2"/>
  <c r="BM516" i="2"/>
  <c r="T517" i="2"/>
  <c r="AJ517" i="2"/>
  <c r="AZ517" i="2"/>
  <c r="G518" i="2"/>
  <c r="W518" i="2"/>
  <c r="AM518" i="2"/>
  <c r="BC518" i="2"/>
  <c r="N519" i="2"/>
  <c r="AD519" i="2"/>
  <c r="AT519" i="2"/>
  <c r="BJ519" i="2"/>
  <c r="U520" i="2"/>
  <c r="AK520" i="2"/>
  <c r="BA520" i="2"/>
  <c r="H521" i="2"/>
  <c r="X521" i="2"/>
  <c r="AN521" i="2"/>
  <c r="BD521" i="2"/>
  <c r="K522" i="2"/>
  <c r="AA522" i="2"/>
  <c r="AQ522" i="2"/>
  <c r="BG522" i="2"/>
  <c r="R523" i="2"/>
  <c r="AH523" i="2"/>
  <c r="AX523" i="2"/>
  <c r="I524" i="2"/>
  <c r="Y524" i="2"/>
  <c r="AO524" i="2"/>
  <c r="BE524" i="2"/>
  <c r="L525" i="2"/>
  <c r="AB525" i="2"/>
  <c r="AR525" i="2"/>
  <c r="BH525" i="2"/>
  <c r="O526" i="2"/>
  <c r="AE526" i="2"/>
  <c r="AU526" i="2"/>
  <c r="BK526" i="2"/>
  <c r="V527" i="2"/>
  <c r="AL527" i="2"/>
  <c r="BB527" i="2"/>
  <c r="M528" i="2"/>
  <c r="AC528" i="2"/>
  <c r="AS528" i="2"/>
  <c r="BI528" i="2"/>
  <c r="P529" i="2"/>
  <c r="AF529" i="2"/>
  <c r="AV529" i="2"/>
  <c r="BL529" i="2"/>
  <c r="S530" i="2"/>
  <c r="AI530" i="2"/>
  <c r="AY530" i="2"/>
  <c r="J531" i="2"/>
  <c r="Z531" i="2"/>
  <c r="AP531" i="2"/>
  <c r="BF531" i="2"/>
  <c r="Q532" i="2"/>
  <c r="AG532" i="2"/>
  <c r="AW532" i="2"/>
  <c r="BM532" i="2"/>
  <c r="T533" i="2"/>
  <c r="AJ533" i="2"/>
  <c r="AZ533" i="2"/>
  <c r="G534" i="2"/>
  <c r="W534" i="2"/>
  <c r="AM534" i="2"/>
  <c r="BC534" i="2"/>
  <c r="N535" i="2"/>
  <c r="AD535" i="2"/>
  <c r="AT535" i="2"/>
  <c r="BJ535" i="2"/>
  <c r="U536" i="2"/>
  <c r="AK536" i="2"/>
  <c r="BA536" i="2"/>
  <c r="H537" i="2"/>
  <c r="X537" i="2"/>
  <c r="AN537" i="2"/>
  <c r="BD537" i="2"/>
  <c r="K538" i="2"/>
  <c r="AA538" i="2"/>
  <c r="AQ538" i="2"/>
  <c r="BG538" i="2"/>
  <c r="O539" i="3"/>
  <c r="O539" i="2" s="1"/>
  <c r="O540" i="2"/>
  <c r="AE539" i="3"/>
  <c r="AE539" i="2" s="1"/>
  <c r="AE540" i="2"/>
  <c r="AU539" i="3"/>
  <c r="AU539" i="2" s="1"/>
  <c r="AU540" i="2"/>
  <c r="BK539" i="3"/>
  <c r="BK539" i="2" s="1"/>
  <c r="BK540" i="2"/>
  <c r="V541" i="2"/>
  <c r="AL541" i="2"/>
  <c r="BB541" i="2"/>
  <c r="M542" i="2"/>
  <c r="AC542" i="2"/>
  <c r="AS542" i="2"/>
  <c r="BI542" i="2"/>
  <c r="P543" i="2"/>
  <c r="AF543" i="2"/>
  <c r="AV543" i="2"/>
  <c r="BL543" i="2"/>
  <c r="S544" i="2"/>
  <c r="AI544" i="2"/>
  <c r="AY544" i="2"/>
  <c r="J545" i="2"/>
  <c r="Z545" i="2"/>
  <c r="AP545" i="2"/>
  <c r="BF545" i="2"/>
  <c r="Q546" i="2"/>
  <c r="AG546" i="2"/>
  <c r="AW546" i="2"/>
  <c r="BM546" i="2"/>
  <c r="T547" i="2"/>
  <c r="AJ547" i="2"/>
  <c r="AZ547" i="2"/>
  <c r="G548" i="2"/>
  <c r="W548" i="2"/>
  <c r="AM548" i="2"/>
  <c r="BC548" i="2"/>
  <c r="N549" i="2"/>
  <c r="AD549" i="2"/>
  <c r="AT549" i="2"/>
  <c r="BJ549" i="2"/>
  <c r="U550" i="2"/>
  <c r="AK550" i="2"/>
  <c r="BA550" i="2"/>
  <c r="H551" i="2"/>
  <c r="X551" i="2"/>
  <c r="AN551" i="2"/>
  <c r="BD551" i="2"/>
  <c r="K552" i="2"/>
  <c r="AA552" i="2"/>
  <c r="AQ552" i="2"/>
  <c r="BG552" i="2"/>
  <c r="R553" i="2"/>
  <c r="AH553" i="2"/>
  <c r="AX553" i="2"/>
  <c r="H554" i="2"/>
  <c r="AN554" i="2"/>
  <c r="I509" i="2"/>
  <c r="Y509" i="2"/>
  <c r="AO509" i="2"/>
  <c r="BE509" i="2"/>
  <c r="L510" i="2"/>
  <c r="AB510" i="2"/>
  <c r="AR510" i="2"/>
  <c r="BH510" i="2"/>
  <c r="O511" i="2"/>
  <c r="AE511" i="2"/>
  <c r="AU511" i="2"/>
  <c r="BK511" i="2"/>
  <c r="V512" i="2"/>
  <c r="AL512" i="2"/>
  <c r="BB512" i="2"/>
  <c r="M513" i="2"/>
  <c r="AC513" i="2"/>
  <c r="AS513" i="2"/>
  <c r="BI513" i="2"/>
  <c r="P514" i="2"/>
  <c r="AF514" i="2"/>
  <c r="AV514" i="2"/>
  <c r="BL514" i="2"/>
  <c r="S515" i="2"/>
  <c r="AI515" i="2"/>
  <c r="AY515" i="2"/>
  <c r="J516" i="2"/>
  <c r="Z516" i="2"/>
  <c r="AP516" i="2"/>
  <c r="BF516" i="2"/>
  <c r="Q517" i="2"/>
  <c r="AG517" i="2"/>
  <c r="AW517" i="2"/>
  <c r="BM517" i="2"/>
  <c r="T518" i="2"/>
  <c r="AJ518" i="2"/>
  <c r="AZ518" i="2"/>
  <c r="G519" i="2"/>
  <c r="W519" i="2"/>
  <c r="AM519" i="2"/>
  <c r="BC519" i="2"/>
  <c r="N520" i="2"/>
  <c r="AD520" i="2"/>
  <c r="AT520" i="2"/>
  <c r="BJ520" i="2"/>
  <c r="U521" i="2"/>
  <c r="AK521" i="2"/>
  <c r="BA521" i="2"/>
  <c r="H522" i="2"/>
  <c r="X522" i="2"/>
  <c r="AN522" i="2"/>
  <c r="BD522" i="2"/>
  <c r="K523" i="2"/>
  <c r="AA523" i="2"/>
  <c r="AQ523" i="2"/>
  <c r="BG523" i="2"/>
  <c r="R524" i="2"/>
  <c r="AH524" i="2"/>
  <c r="AX524" i="2"/>
  <c r="I525" i="2"/>
  <c r="Y525" i="2"/>
  <c r="AO525" i="2"/>
  <c r="BE525" i="2"/>
  <c r="L526" i="2"/>
  <c r="AB526" i="2"/>
  <c r="AR526" i="2"/>
  <c r="BH526" i="2"/>
  <c r="O527" i="2"/>
  <c r="AE527" i="2"/>
  <c r="AU527" i="2"/>
  <c r="BK527" i="2"/>
  <c r="V528" i="2"/>
  <c r="AL528" i="2"/>
  <c r="BB528" i="2"/>
  <c r="M529" i="2"/>
  <c r="AC529" i="2"/>
  <c r="AS529" i="2"/>
  <c r="BI529" i="2"/>
  <c r="P530" i="2"/>
  <c r="AF530" i="2"/>
  <c r="AV530" i="2"/>
  <c r="BL530" i="2"/>
  <c r="S531" i="2"/>
  <c r="AI531" i="2"/>
  <c r="AY531" i="2"/>
  <c r="J532" i="2"/>
  <c r="Z532" i="2"/>
  <c r="AP532" i="2"/>
  <c r="BF532" i="2"/>
  <c r="Q533" i="2"/>
  <c r="AG533" i="2"/>
  <c r="AW533" i="2"/>
  <c r="BM533" i="2"/>
  <c r="T534" i="2"/>
  <c r="AJ534" i="2"/>
  <c r="AZ534" i="2"/>
  <c r="G535" i="2"/>
  <c r="W535" i="2"/>
  <c r="AM535" i="2"/>
  <c r="BC535" i="2"/>
  <c r="N536" i="2"/>
  <c r="AD536" i="2"/>
  <c r="AT536" i="2"/>
  <c r="BJ536" i="2"/>
  <c r="U537" i="2"/>
  <c r="AK537" i="2"/>
  <c r="BA537" i="2"/>
  <c r="H538" i="2"/>
  <c r="X538" i="2"/>
  <c r="AN538" i="2"/>
  <c r="BD538" i="2"/>
  <c r="L539" i="3"/>
  <c r="L539" i="2" s="1"/>
  <c r="L540" i="2"/>
  <c r="AB539" i="3"/>
  <c r="AB539" i="2" s="1"/>
  <c r="AB540" i="2"/>
  <c r="AR539" i="3"/>
  <c r="AR539" i="2" s="1"/>
  <c r="AR540" i="2"/>
  <c r="BH539" i="3"/>
  <c r="BH539" i="2" s="1"/>
  <c r="BH540" i="2"/>
  <c r="O541" i="2"/>
  <c r="AE541" i="2"/>
  <c r="AU541" i="2"/>
  <c r="BK541" i="2"/>
  <c r="V542" i="2"/>
  <c r="AL542" i="2"/>
  <c r="BB542" i="2"/>
  <c r="M543" i="2"/>
  <c r="AC543" i="2"/>
  <c r="AS543" i="2"/>
  <c r="BI543" i="2"/>
  <c r="P544" i="2"/>
  <c r="AF544" i="2"/>
  <c r="AV544" i="2"/>
  <c r="BL544" i="2"/>
  <c r="S545" i="2"/>
  <c r="AI545" i="2"/>
  <c r="AY545" i="2"/>
  <c r="J546" i="2"/>
  <c r="Z546" i="2"/>
  <c r="AP546" i="2"/>
  <c r="BF546" i="2"/>
  <c r="Q547" i="2"/>
  <c r="AG547" i="2"/>
  <c r="AW547" i="2"/>
  <c r="BM547" i="2"/>
  <c r="T548" i="2"/>
  <c r="AJ548" i="2"/>
  <c r="AZ548" i="2"/>
  <c r="G549" i="2"/>
  <c r="W549" i="2"/>
  <c r="AM549" i="2"/>
  <c r="BC549" i="2"/>
  <c r="N550" i="2"/>
  <c r="AD550" i="2"/>
  <c r="AT550" i="2"/>
  <c r="BJ550" i="2"/>
  <c r="U551" i="2"/>
  <c r="AK551" i="2"/>
  <c r="BA551" i="2"/>
  <c r="H552" i="2"/>
  <c r="X552" i="2"/>
  <c r="AN552" i="2"/>
  <c r="BD552" i="2"/>
  <c r="K553" i="2"/>
  <c r="AA553" i="2"/>
  <c r="AQ553" i="2"/>
  <c r="BH553" i="2"/>
  <c r="AA554" i="2"/>
  <c r="BG554" i="2"/>
  <c r="V555" i="2"/>
  <c r="AL555" i="2"/>
  <c r="BB555" i="2"/>
  <c r="M556" i="2"/>
  <c r="AC556" i="2"/>
  <c r="AS556" i="2"/>
  <c r="BI556" i="2"/>
  <c r="P557" i="2"/>
  <c r="AF557" i="2"/>
  <c r="AV557" i="2"/>
  <c r="BL557" i="2"/>
  <c r="S558" i="2"/>
  <c r="AI558" i="2"/>
  <c r="AY558" i="2"/>
  <c r="J559" i="2"/>
  <c r="Z559" i="2"/>
  <c r="AP559" i="2"/>
  <c r="BF559" i="2"/>
  <c r="Q560" i="2"/>
  <c r="AG560" i="2"/>
  <c r="AW560" i="2"/>
  <c r="BM560" i="2"/>
  <c r="T561" i="2"/>
  <c r="AJ561" i="2"/>
  <c r="AZ561" i="2"/>
  <c r="G562" i="2"/>
  <c r="W562" i="2"/>
  <c r="AM562" i="2"/>
  <c r="BC562" i="2"/>
  <c r="N563" i="2"/>
  <c r="AD563" i="2"/>
  <c r="AT563" i="2"/>
  <c r="BJ563" i="2"/>
  <c r="U564" i="2"/>
  <c r="AK564" i="2"/>
  <c r="BA564" i="2"/>
  <c r="H565" i="2"/>
  <c r="X565" i="2"/>
  <c r="AN565" i="2"/>
  <c r="BD565" i="2"/>
  <c r="K566" i="2"/>
  <c r="AA566" i="2"/>
  <c r="AQ566" i="2"/>
  <c r="BG566" i="2"/>
  <c r="R567" i="2"/>
  <c r="AH567" i="2"/>
  <c r="AX567" i="2"/>
  <c r="I568" i="2"/>
  <c r="Y568" i="2"/>
  <c r="AO568" i="2"/>
  <c r="BE568" i="2"/>
  <c r="L569" i="2"/>
  <c r="AB569" i="2"/>
  <c r="AR569" i="2"/>
  <c r="BH569" i="2"/>
  <c r="O570" i="2"/>
  <c r="AE570" i="2"/>
  <c r="AU570" i="2"/>
  <c r="BK570" i="2"/>
  <c r="V571" i="2"/>
  <c r="AL571" i="2"/>
  <c r="BB571" i="2"/>
  <c r="M572" i="2"/>
  <c r="AC572" i="2"/>
  <c r="AS572" i="2"/>
  <c r="BI572" i="2"/>
  <c r="P573" i="2"/>
  <c r="AF573" i="2"/>
  <c r="AV573" i="2"/>
  <c r="BL573" i="2"/>
  <c r="S574" i="2"/>
  <c r="AI574" i="2"/>
  <c r="AY574" i="2"/>
  <c r="J575" i="2"/>
  <c r="Z575" i="2"/>
  <c r="AP575" i="2"/>
  <c r="BF575" i="2"/>
  <c r="Q576" i="2"/>
  <c r="AG576" i="2"/>
  <c r="AW576" i="2"/>
  <c r="BM576" i="2"/>
  <c r="T577" i="2"/>
  <c r="AJ577" i="2"/>
  <c r="AZ577" i="2"/>
  <c r="G578" i="2"/>
  <c r="W578" i="2"/>
  <c r="AM578" i="2"/>
  <c r="BC578" i="2"/>
  <c r="N579" i="2"/>
  <c r="AD579" i="2"/>
  <c r="AT579" i="2"/>
  <c r="BJ579" i="2"/>
  <c r="V580" i="3"/>
  <c r="V580" i="2" s="1"/>
  <c r="V581" i="2"/>
  <c r="AL580" i="3"/>
  <c r="AL580" i="2" s="1"/>
  <c r="AL581" i="2"/>
  <c r="BB580" i="3"/>
  <c r="BB580" i="2" s="1"/>
  <c r="BB581" i="2"/>
  <c r="M582" i="2"/>
  <c r="AC582" i="2"/>
  <c r="AS582" i="2"/>
  <c r="BI582" i="2"/>
  <c r="P583" i="2"/>
  <c r="AF583" i="2"/>
  <c r="AV583" i="2"/>
  <c r="BL583" i="2"/>
  <c r="S584" i="2"/>
  <c r="AI584" i="2"/>
  <c r="AY584" i="2"/>
  <c r="J585" i="2"/>
  <c r="Z585" i="2"/>
  <c r="AP585" i="2"/>
  <c r="BF585" i="2"/>
  <c r="Q586" i="2"/>
  <c r="AG586" i="2"/>
  <c r="AW586" i="2"/>
  <c r="BM586" i="2"/>
  <c r="T587" i="2"/>
  <c r="AJ587" i="2"/>
  <c r="AZ587" i="2"/>
  <c r="G588" i="2"/>
  <c r="W588" i="2"/>
  <c r="AM588" i="2"/>
  <c r="BC588" i="2"/>
  <c r="N589" i="2"/>
  <c r="AD589" i="2"/>
  <c r="AT589" i="2"/>
  <c r="BJ589" i="2"/>
  <c r="U590" i="2"/>
  <c r="AK590" i="2"/>
  <c r="BA590" i="2"/>
  <c r="H591" i="2"/>
  <c r="X591" i="2"/>
  <c r="AN591" i="2"/>
  <c r="BD591" i="2"/>
  <c r="K592" i="2"/>
  <c r="AA592" i="2"/>
  <c r="AQ592" i="2"/>
  <c r="BG592" i="2"/>
  <c r="R593" i="2"/>
  <c r="AH593" i="2"/>
  <c r="AX593" i="2"/>
  <c r="I594" i="2"/>
  <c r="Y594" i="2"/>
  <c r="AO594" i="2"/>
  <c r="BE594" i="2"/>
  <c r="L595" i="2"/>
  <c r="AB595" i="2"/>
  <c r="AR595" i="2"/>
  <c r="BH595" i="2"/>
  <c r="O596" i="2"/>
  <c r="AE596" i="2"/>
  <c r="AU596" i="2"/>
  <c r="BK596" i="2"/>
  <c r="V597" i="2"/>
  <c r="AL597" i="2"/>
  <c r="BB597" i="2"/>
  <c r="M598" i="2"/>
  <c r="AC598" i="2"/>
  <c r="AS598" i="2"/>
  <c r="BI598" i="2"/>
  <c r="AB599" i="2"/>
  <c r="K555" i="2"/>
  <c r="AA555" i="2"/>
  <c r="AQ555" i="2"/>
  <c r="BG555" i="2"/>
  <c r="R556" i="2"/>
  <c r="AH556" i="2"/>
  <c r="AX556" i="2"/>
  <c r="I557" i="2"/>
  <c r="Y557" i="2"/>
  <c r="AO557" i="2"/>
  <c r="BE557" i="2"/>
  <c r="L558" i="2"/>
  <c r="AB558" i="2"/>
  <c r="AR558" i="2"/>
  <c r="BH558" i="2"/>
  <c r="O559" i="2"/>
  <c r="AE559" i="2"/>
  <c r="AU559" i="2"/>
  <c r="BK559" i="2"/>
  <c r="V560" i="2"/>
  <c r="AL560" i="2"/>
  <c r="BB560" i="2"/>
  <c r="M561" i="2"/>
  <c r="AC561" i="2"/>
  <c r="AS561" i="2"/>
  <c r="BI561" i="2"/>
  <c r="P562" i="2"/>
  <c r="AF562" i="2"/>
  <c r="AV562" i="2"/>
  <c r="BL562" i="2"/>
  <c r="S563" i="2"/>
  <c r="AI563" i="2"/>
  <c r="AY563" i="2"/>
  <c r="J564" i="2"/>
  <c r="Z564" i="2"/>
  <c r="AP564" i="2"/>
  <c r="BF564" i="2"/>
  <c r="Q565" i="2"/>
  <c r="AG565" i="2"/>
  <c r="AW565" i="2"/>
  <c r="BM565" i="2"/>
  <c r="T566" i="2"/>
  <c r="AJ566" i="2"/>
  <c r="AZ566" i="2"/>
  <c r="G567" i="2"/>
  <c r="W567" i="2"/>
  <c r="AM567" i="2"/>
  <c r="BC567" i="2"/>
  <c r="N568" i="2"/>
  <c r="AD568" i="2"/>
  <c r="AT568" i="2"/>
  <c r="BJ568" i="2"/>
  <c r="U569" i="2"/>
  <c r="AK569" i="2"/>
  <c r="BA569" i="2"/>
  <c r="H570" i="2"/>
  <c r="X570" i="2"/>
  <c r="AN570" i="2"/>
  <c r="BD570" i="2"/>
  <c r="K571" i="2"/>
  <c r="AA571" i="2"/>
  <c r="AQ571" i="2"/>
  <c r="BG571" i="2"/>
  <c r="R572" i="2"/>
  <c r="AH572" i="2"/>
  <c r="AX572" i="2"/>
  <c r="I573" i="2"/>
  <c r="Y573" i="2"/>
  <c r="AO573" i="2"/>
  <c r="BE573" i="2"/>
  <c r="L574" i="2"/>
  <c r="AB574" i="2"/>
  <c r="AR574" i="2"/>
  <c r="BH574" i="2"/>
  <c r="O575" i="2"/>
  <c r="AE575" i="2"/>
  <c r="AU575" i="2"/>
  <c r="BK575" i="2"/>
  <c r="V576" i="2"/>
  <c r="AL576" i="2"/>
  <c r="BB576" i="2"/>
  <c r="M577" i="2"/>
  <c r="AC577" i="2"/>
  <c r="AS577" i="2"/>
  <c r="BI577" i="2"/>
  <c r="P578" i="2"/>
  <c r="AF578" i="2"/>
  <c r="AV578" i="2"/>
  <c r="BL578" i="2"/>
  <c r="S579" i="2"/>
  <c r="AI579" i="2"/>
  <c r="AY579" i="2"/>
  <c r="G580" i="3"/>
  <c r="G580" i="2" s="1"/>
  <c r="G581" i="2"/>
  <c r="W580" i="3"/>
  <c r="W580" i="2" s="1"/>
  <c r="W581" i="2"/>
  <c r="AM580" i="3"/>
  <c r="AM580" i="2" s="1"/>
  <c r="AM581" i="2"/>
  <c r="BC580" i="3"/>
  <c r="BC580" i="2" s="1"/>
  <c r="BC581" i="2"/>
  <c r="N582" i="2"/>
  <c r="AD582" i="2"/>
  <c r="AT582" i="2"/>
  <c r="BJ582" i="2"/>
  <c r="U583" i="2"/>
  <c r="AK583" i="2"/>
  <c r="BA583" i="2"/>
  <c r="H584" i="2"/>
  <c r="X584" i="2"/>
  <c r="AN584" i="2"/>
  <c r="BD584" i="2"/>
  <c r="K585" i="2"/>
  <c r="AA585" i="2"/>
  <c r="AQ585" i="2"/>
  <c r="BG585" i="2"/>
  <c r="R586" i="2"/>
  <c r="AH586" i="2"/>
  <c r="AX586" i="2"/>
  <c r="I587" i="2"/>
  <c r="Y587" i="2"/>
  <c r="AO587" i="2"/>
  <c r="BE587" i="2"/>
  <c r="L588" i="2"/>
  <c r="AB588" i="2"/>
  <c r="AR588" i="2"/>
  <c r="BH588" i="2"/>
  <c r="O589" i="2"/>
  <c r="AE589" i="2"/>
  <c r="AU589" i="2"/>
  <c r="BK589" i="2"/>
  <c r="V590" i="2"/>
  <c r="AL590" i="2"/>
  <c r="BB590" i="2"/>
  <c r="M591" i="2"/>
  <c r="AC591" i="2"/>
  <c r="AS591" i="2"/>
  <c r="BI591" i="2"/>
  <c r="P592" i="2"/>
  <c r="AF592" i="2"/>
  <c r="AV592" i="2"/>
  <c r="BL592" i="2"/>
  <c r="S593" i="2"/>
  <c r="AI593" i="2"/>
  <c r="AY593" i="2"/>
  <c r="J594" i="2"/>
  <c r="Z594" i="2"/>
  <c r="AP594" i="2"/>
  <c r="BF594" i="2"/>
  <c r="Q595" i="2"/>
  <c r="AG595" i="2"/>
  <c r="AW595" i="2"/>
  <c r="BM595" i="2"/>
  <c r="T596" i="2"/>
  <c r="AJ596" i="2"/>
  <c r="AZ596" i="2"/>
  <c r="G597" i="2"/>
  <c r="W597" i="2"/>
  <c r="AM597" i="2"/>
  <c r="BC597" i="2"/>
  <c r="N598" i="2"/>
  <c r="AD598" i="2"/>
  <c r="AT598" i="2"/>
  <c r="BJ598" i="2"/>
  <c r="AR599" i="2"/>
  <c r="Q554" i="2"/>
  <c r="AG554" i="2"/>
  <c r="AW554" i="2"/>
  <c r="BM554" i="2"/>
  <c r="T555" i="2"/>
  <c r="AJ555" i="2"/>
  <c r="AZ555" i="2"/>
  <c r="G556" i="2"/>
  <c r="W556" i="2"/>
  <c r="AM556" i="2"/>
  <c r="BC556" i="2"/>
  <c r="N557" i="2"/>
  <c r="AD557" i="2"/>
  <c r="AT557" i="2"/>
  <c r="BJ557" i="2"/>
  <c r="U558" i="2"/>
  <c r="AK558" i="2"/>
  <c r="BA558" i="2"/>
  <c r="H559" i="2"/>
  <c r="X559" i="2"/>
  <c r="AN559" i="2"/>
  <c r="BD559" i="2"/>
  <c r="K560" i="2"/>
  <c r="AA560" i="2"/>
  <c r="AQ560" i="2"/>
  <c r="BG560" i="2"/>
  <c r="R561" i="2"/>
  <c r="AH561" i="2"/>
  <c r="AX561" i="2"/>
  <c r="I562" i="2"/>
  <c r="Y562" i="2"/>
  <c r="AO562" i="2"/>
  <c r="BE562" i="2"/>
  <c r="L563" i="2"/>
  <c r="AB563" i="2"/>
  <c r="AR563" i="2"/>
  <c r="BH563" i="2"/>
  <c r="O564" i="2"/>
  <c r="AE564" i="2"/>
  <c r="AU564" i="2"/>
  <c r="BK564" i="2"/>
  <c r="V565" i="2"/>
  <c r="AL565" i="2"/>
  <c r="BB565" i="2"/>
  <c r="M566" i="2"/>
  <c r="AC566" i="2"/>
  <c r="AS566" i="2"/>
  <c r="BI566" i="2"/>
  <c r="P567" i="2"/>
  <c r="AF567" i="2"/>
  <c r="AV567" i="2"/>
  <c r="BL567" i="2"/>
  <c r="S568" i="2"/>
  <c r="AI568" i="2"/>
  <c r="AY568" i="2"/>
  <c r="J569" i="2"/>
  <c r="Z569" i="2"/>
  <c r="AP569" i="2"/>
  <c r="BF569" i="2"/>
  <c r="Q570" i="2"/>
  <c r="AG570" i="2"/>
  <c r="AW570" i="2"/>
  <c r="BM570" i="2"/>
  <c r="T571" i="2"/>
  <c r="AJ571" i="2"/>
  <c r="AZ571" i="2"/>
  <c r="G572" i="2"/>
  <c r="W572" i="2"/>
  <c r="AM572" i="2"/>
  <c r="BC572" i="2"/>
  <c r="N573" i="2"/>
  <c r="AD573" i="2"/>
  <c r="AT573" i="2"/>
  <c r="BJ573" i="2"/>
  <c r="U574" i="2"/>
  <c r="AK574" i="2"/>
  <c r="BA574" i="2"/>
  <c r="H575" i="2"/>
  <c r="X575" i="2"/>
  <c r="AN575" i="2"/>
  <c r="BD575" i="2"/>
  <c r="K576" i="2"/>
  <c r="AA576" i="2"/>
  <c r="AQ576" i="2"/>
  <c r="BG576" i="2"/>
  <c r="R577" i="2"/>
  <c r="AH577" i="2"/>
  <c r="AX577" i="2"/>
  <c r="I578" i="2"/>
  <c r="Y578" i="2"/>
  <c r="AO578" i="2"/>
  <c r="BE578" i="2"/>
  <c r="L579" i="2"/>
  <c r="AB579" i="2"/>
  <c r="AR579" i="2"/>
  <c r="BH579" i="2"/>
  <c r="P580" i="3"/>
  <c r="P580" i="2" s="1"/>
  <c r="P581" i="2"/>
  <c r="AF580" i="3"/>
  <c r="AF580" i="2" s="1"/>
  <c r="AF581" i="2"/>
  <c r="AV580" i="3"/>
  <c r="AV580" i="2" s="1"/>
  <c r="AV581" i="2"/>
  <c r="BL580" i="3"/>
  <c r="BL580" i="2" s="1"/>
  <c r="BL581" i="2"/>
  <c r="S582" i="2"/>
  <c r="AI582" i="2"/>
  <c r="AY582" i="2"/>
  <c r="J583" i="2"/>
  <c r="Z583" i="2"/>
  <c r="AP583" i="2"/>
  <c r="BF583" i="2"/>
  <c r="Q584" i="2"/>
  <c r="AG584" i="2"/>
  <c r="AW584" i="2"/>
  <c r="BM584" i="2"/>
  <c r="T585" i="2"/>
  <c r="AJ585" i="2"/>
  <c r="AZ585" i="2"/>
  <c r="G586" i="2"/>
  <c r="W586" i="2"/>
  <c r="AM586" i="2"/>
  <c r="BC586" i="2"/>
  <c r="N587" i="2"/>
  <c r="AD587" i="2"/>
  <c r="AT587" i="2"/>
  <c r="BJ587" i="2"/>
  <c r="U588" i="2"/>
  <c r="AK588" i="2"/>
  <c r="BA588" i="2"/>
  <c r="H589" i="2"/>
  <c r="X589" i="2"/>
  <c r="AN589" i="2"/>
  <c r="BD589" i="2"/>
  <c r="K590" i="2"/>
  <c r="AA590" i="2"/>
  <c r="AQ590" i="2"/>
  <c r="BG590" i="2"/>
  <c r="R591" i="2"/>
  <c r="AH591" i="2"/>
  <c r="AX591" i="2"/>
  <c r="I592" i="2"/>
  <c r="Y592" i="2"/>
  <c r="AO592" i="2"/>
  <c r="BE592" i="2"/>
  <c r="L593" i="2"/>
  <c r="AB593" i="2"/>
  <c r="AR593" i="2"/>
  <c r="BH593" i="2"/>
  <c r="O594" i="2"/>
  <c r="AE594" i="2"/>
  <c r="AU594" i="2"/>
  <c r="BK594" i="2"/>
  <c r="V595" i="2"/>
  <c r="AL595" i="2"/>
  <c r="BB595" i="2"/>
  <c r="M596" i="2"/>
  <c r="AC596" i="2"/>
  <c r="AS596" i="2"/>
  <c r="BI596" i="2"/>
  <c r="P597" i="2"/>
  <c r="AF597" i="2"/>
  <c r="AV597" i="2"/>
  <c r="BL597" i="2"/>
  <c r="S598" i="2"/>
  <c r="AI598" i="2"/>
  <c r="AY598" i="2"/>
  <c r="H599" i="2"/>
  <c r="AV599" i="2"/>
  <c r="N554" i="2"/>
  <c r="AD554" i="2"/>
  <c r="AT554" i="2"/>
  <c r="BJ554" i="2"/>
  <c r="U555" i="2"/>
  <c r="AK555" i="2"/>
  <c r="BA555" i="2"/>
  <c r="H556" i="2"/>
  <c r="X556" i="2"/>
  <c r="AN556" i="2"/>
  <c r="BD556" i="2"/>
  <c r="K557" i="2"/>
  <c r="AA557" i="2"/>
  <c r="AQ557" i="2"/>
  <c r="BG557" i="2"/>
  <c r="R558" i="2"/>
  <c r="AH558" i="2"/>
  <c r="AX558" i="2"/>
  <c r="I559" i="2"/>
  <c r="Y559" i="2"/>
  <c r="AO559" i="2"/>
  <c r="BE559" i="2"/>
  <c r="L560" i="2"/>
  <c r="AB560" i="2"/>
  <c r="AR560" i="2"/>
  <c r="BH560" i="2"/>
  <c r="O561" i="2"/>
  <c r="AE561" i="2"/>
  <c r="AU561" i="2"/>
  <c r="BK561" i="2"/>
  <c r="V562" i="2"/>
  <c r="AL562" i="2"/>
  <c r="BB562" i="2"/>
  <c r="M563" i="2"/>
  <c r="AC563" i="2"/>
  <c r="AS563" i="2"/>
  <c r="BI563" i="2"/>
  <c r="P564" i="2"/>
  <c r="AF564" i="2"/>
  <c r="AV564" i="2"/>
  <c r="BL564" i="2"/>
  <c r="S565" i="2"/>
  <c r="AI565" i="2"/>
  <c r="AY565" i="2"/>
  <c r="J566" i="2"/>
  <c r="Z566" i="2"/>
  <c r="AP566" i="2"/>
  <c r="BF566" i="2"/>
  <c r="Q567" i="2"/>
  <c r="AG567" i="2"/>
  <c r="AW567" i="2"/>
  <c r="BM567" i="2"/>
  <c r="T568" i="2"/>
  <c r="AJ568" i="2"/>
  <c r="AZ568" i="2"/>
  <c r="G569" i="2"/>
  <c r="W569" i="2"/>
  <c r="AM569" i="2"/>
  <c r="BC569" i="2"/>
  <c r="N570" i="2"/>
  <c r="AD570" i="2"/>
  <c r="AT570" i="2"/>
  <c r="BJ570" i="2"/>
  <c r="U571" i="2"/>
  <c r="AK571" i="2"/>
  <c r="BA571" i="2"/>
  <c r="H572" i="2"/>
  <c r="X572" i="2"/>
  <c r="AN572" i="2"/>
  <c r="BD572" i="2"/>
  <c r="K573" i="2"/>
  <c r="AA573" i="2"/>
  <c r="AQ573" i="2"/>
  <c r="BG573" i="2"/>
  <c r="R574" i="2"/>
  <c r="AH574" i="2"/>
  <c r="AX574" i="2"/>
  <c r="I575" i="2"/>
  <c r="Y575" i="2"/>
  <c r="AO575" i="2"/>
  <c r="BE575" i="2"/>
  <c r="L576" i="2"/>
  <c r="AB576" i="2"/>
  <c r="AR576" i="2"/>
  <c r="BH576" i="2"/>
  <c r="O577" i="2"/>
  <c r="AE577" i="2"/>
  <c r="AU577" i="2"/>
  <c r="BK577" i="2"/>
  <c r="V578" i="2"/>
  <c r="AL578" i="2"/>
  <c r="BB578" i="2"/>
  <c r="M579" i="2"/>
  <c r="AC579" i="2"/>
  <c r="AS579" i="2"/>
  <c r="BI579" i="2"/>
  <c r="Q580" i="3"/>
  <c r="Q580" i="2" s="1"/>
  <c r="Q581" i="2"/>
  <c r="AG580" i="3"/>
  <c r="AG580" i="2" s="1"/>
  <c r="AG581" i="2"/>
  <c r="AW580" i="3"/>
  <c r="AW580" i="2" s="1"/>
  <c r="AW581" i="2"/>
  <c r="BM580" i="3"/>
  <c r="BM580" i="2" s="1"/>
  <c r="BM581" i="2"/>
  <c r="T582" i="2"/>
  <c r="AJ582" i="2"/>
  <c r="AZ582" i="2"/>
  <c r="G583" i="2"/>
  <c r="W583" i="2"/>
  <c r="AM583" i="2"/>
  <c r="BC583" i="2"/>
  <c r="N584" i="2"/>
  <c r="AD584" i="2"/>
  <c r="AT584" i="2"/>
  <c r="BJ584" i="2"/>
  <c r="U585" i="2"/>
  <c r="AK585" i="2"/>
  <c r="BA585" i="2"/>
  <c r="H586" i="2"/>
  <c r="X586" i="2"/>
  <c r="AN586" i="2"/>
  <c r="BD586" i="2"/>
  <c r="K587" i="2"/>
  <c r="AA587" i="2"/>
  <c r="AQ587" i="2"/>
  <c r="BG587" i="2"/>
  <c r="R588" i="2"/>
  <c r="AH588" i="2"/>
  <c r="AX588" i="2"/>
  <c r="I589" i="2"/>
  <c r="Y589" i="2"/>
  <c r="AO589" i="2"/>
  <c r="BE589" i="2"/>
  <c r="L590" i="2"/>
  <c r="AB590" i="2"/>
  <c r="AR590" i="2"/>
  <c r="BH590" i="2"/>
  <c r="O591" i="2"/>
  <c r="AE591" i="2"/>
  <c r="AU591" i="2"/>
  <c r="BK591" i="2"/>
  <c r="V592" i="2"/>
  <c r="AL592" i="2"/>
  <c r="BB592" i="2"/>
  <c r="M593" i="2"/>
  <c r="AC593" i="2"/>
  <c r="AS593" i="2"/>
  <c r="BI593" i="2"/>
  <c r="P594" i="2"/>
  <c r="AF594" i="2"/>
  <c r="AV594" i="2"/>
  <c r="BL594" i="2"/>
  <c r="S595" i="2"/>
  <c r="AI595" i="2"/>
  <c r="AY595" i="2"/>
  <c r="J596" i="2"/>
  <c r="Z596" i="2"/>
  <c r="AP596" i="2"/>
  <c r="BF596" i="2"/>
  <c r="Q597" i="2"/>
  <c r="AG597" i="2"/>
  <c r="AW597" i="2"/>
  <c r="BM597" i="2"/>
  <c r="T598" i="2"/>
  <c r="AJ598" i="2"/>
  <c r="AZ598" i="2"/>
  <c r="I599" i="2"/>
  <c r="AZ599" i="2"/>
  <c r="S599" i="2"/>
  <c r="AI599" i="2"/>
  <c r="AY599" i="2"/>
  <c r="J600" i="2"/>
  <c r="Z600" i="2"/>
  <c r="AP600" i="2"/>
  <c r="BF600" i="2"/>
  <c r="Q601" i="2"/>
  <c r="AG601" i="2"/>
  <c r="AW601" i="2"/>
  <c r="BM601" i="2"/>
  <c r="T602" i="2"/>
  <c r="AJ602" i="2"/>
  <c r="AZ602" i="2"/>
  <c r="G603" i="2"/>
  <c r="W603" i="2"/>
  <c r="AM603" i="2"/>
  <c r="BC603" i="2"/>
  <c r="N604" i="2"/>
  <c r="AD604" i="2"/>
  <c r="AT604" i="2"/>
  <c r="BJ604" i="2"/>
  <c r="U605" i="2"/>
  <c r="AK605" i="2"/>
  <c r="BA605" i="2"/>
  <c r="H606" i="2"/>
  <c r="X606" i="2"/>
  <c r="AN606" i="2"/>
  <c r="BD606" i="2"/>
  <c r="K607" i="2"/>
  <c r="AA607" i="2"/>
  <c r="AQ607" i="2"/>
  <c r="BG607" i="2"/>
  <c r="R608" i="2"/>
  <c r="AH608" i="2"/>
  <c r="AX608" i="2"/>
  <c r="I609" i="2"/>
  <c r="Y609" i="2"/>
  <c r="AO609" i="2"/>
  <c r="BE609" i="2"/>
  <c r="L610" i="2"/>
  <c r="AB610" i="2"/>
  <c r="AR610" i="2"/>
  <c r="BH610" i="2"/>
  <c r="O611" i="2"/>
  <c r="AE611" i="2"/>
  <c r="AU611" i="2"/>
  <c r="BK611" i="2"/>
  <c r="V612" i="2"/>
  <c r="AL612" i="2"/>
  <c r="BB612" i="2"/>
  <c r="M613" i="2"/>
  <c r="AC613" i="2"/>
  <c r="AS613" i="2"/>
  <c r="BI613" i="2"/>
  <c r="P614" i="2"/>
  <c r="AF614" i="2"/>
  <c r="AV614" i="2"/>
  <c r="BL614" i="2"/>
  <c r="S615" i="2"/>
  <c r="AI615" i="2"/>
  <c r="AY615" i="2"/>
  <c r="J616" i="2"/>
  <c r="Z616" i="2"/>
  <c r="AP616" i="2"/>
  <c r="BF616" i="2"/>
  <c r="Q617" i="2"/>
  <c r="AG617" i="2"/>
  <c r="AW617" i="2"/>
  <c r="BM617" i="2"/>
  <c r="T618" i="2"/>
  <c r="AJ618" i="2"/>
  <c r="AZ618" i="2"/>
  <c r="G619" i="2"/>
  <c r="W619" i="2"/>
  <c r="AM619" i="2"/>
  <c r="BC619" i="2"/>
  <c r="N620" i="2"/>
  <c r="AD620" i="2"/>
  <c r="AT620" i="2"/>
  <c r="BJ620" i="2"/>
  <c r="AA621" i="3"/>
  <c r="AA621" i="2" s="1"/>
  <c r="AA622" i="2"/>
  <c r="BA621" i="3"/>
  <c r="BA621" i="2" s="1"/>
  <c r="BA622" i="2"/>
  <c r="K600" i="2"/>
  <c r="AA600" i="2"/>
  <c r="AQ600" i="2"/>
  <c r="BG600" i="2"/>
  <c r="R601" i="2"/>
  <c r="AH601" i="2"/>
  <c r="AX601" i="2"/>
  <c r="I602" i="2"/>
  <c r="Y602" i="2"/>
  <c r="AO602" i="2"/>
  <c r="BE602" i="2"/>
  <c r="L603" i="2"/>
  <c r="AB603" i="2"/>
  <c r="AR603" i="2"/>
  <c r="BH603" i="2"/>
  <c r="O604" i="2"/>
  <c r="AE604" i="2"/>
  <c r="AU604" i="2"/>
  <c r="BK604" i="2"/>
  <c r="V605" i="2"/>
  <c r="AL605" i="2"/>
  <c r="BB605" i="2"/>
  <c r="M606" i="2"/>
  <c r="AC606" i="2"/>
  <c r="AS606" i="2"/>
  <c r="BI606" i="2"/>
  <c r="P607" i="2"/>
  <c r="AF607" i="2"/>
  <c r="AV607" i="2"/>
  <c r="BL607" i="2"/>
  <c r="S608" i="2"/>
  <c r="AI608" i="2"/>
  <c r="AY608" i="2"/>
  <c r="J609" i="2"/>
  <c r="Z609" i="2"/>
  <c r="AP609" i="2"/>
  <c r="BF609" i="2"/>
  <c r="Q610" i="2"/>
  <c r="AG610" i="2"/>
  <c r="AW610" i="2"/>
  <c r="BM610" i="2"/>
  <c r="T611" i="2"/>
  <c r="AJ611" i="2"/>
  <c r="AZ611" i="2"/>
  <c r="G612" i="2"/>
  <c r="W612" i="2"/>
  <c r="AM612" i="2"/>
  <c r="BC612" i="2"/>
  <c r="N613" i="2"/>
  <c r="AD613" i="2"/>
  <c r="AT613" i="2"/>
  <c r="BJ613" i="2"/>
  <c r="U614" i="2"/>
  <c r="AK614" i="2"/>
  <c r="BA614" i="2"/>
  <c r="H615" i="2"/>
  <c r="X615" i="2"/>
  <c r="AN615" i="2"/>
  <c r="BD615" i="2"/>
  <c r="K616" i="2"/>
  <c r="AA616" i="2"/>
  <c r="AQ616" i="2"/>
  <c r="BG616" i="2"/>
  <c r="R617" i="2"/>
  <c r="AH617" i="2"/>
  <c r="AX617" i="2"/>
  <c r="I618" i="2"/>
  <c r="Y618" i="2"/>
  <c r="AO618" i="2"/>
  <c r="BE618" i="2"/>
  <c r="L619" i="2"/>
  <c r="AB619" i="2"/>
  <c r="AR619" i="2"/>
  <c r="BH619" i="2"/>
  <c r="O620" i="2"/>
  <c r="AE620" i="2"/>
  <c r="AU620" i="2"/>
  <c r="BK620" i="2"/>
  <c r="W621" i="3"/>
  <c r="W621" i="2" s="1"/>
  <c r="W622" i="2"/>
  <c r="AT621" i="3"/>
  <c r="AT621" i="2" s="1"/>
  <c r="AT622" i="2"/>
  <c r="AK599" i="2"/>
  <c r="BA599" i="2"/>
  <c r="H600" i="2"/>
  <c r="X600" i="2"/>
  <c r="AN600" i="2"/>
  <c r="BD600" i="2"/>
  <c r="K601" i="2"/>
  <c r="AA601" i="2"/>
  <c r="AQ601" i="2"/>
  <c r="BG601" i="2"/>
  <c r="R602" i="2"/>
  <c r="AH602" i="2"/>
  <c r="AX602" i="2"/>
  <c r="I603" i="2"/>
  <c r="Y603" i="2"/>
  <c r="AO603" i="2"/>
  <c r="BE603" i="2"/>
  <c r="L604" i="2"/>
  <c r="AB604" i="2"/>
  <c r="AR604" i="2"/>
  <c r="BH604" i="2"/>
  <c r="O605" i="2"/>
  <c r="AE605" i="2"/>
  <c r="AU605" i="2"/>
  <c r="BK605" i="2"/>
  <c r="V606" i="2"/>
  <c r="AL606" i="2"/>
  <c r="BB606" i="2"/>
  <c r="M607" i="2"/>
  <c r="AC607" i="2"/>
  <c r="AS607" i="2"/>
  <c r="BI607" i="2"/>
  <c r="P608" i="2"/>
  <c r="AF608" i="2"/>
  <c r="AV608" i="2"/>
  <c r="BL608" i="2"/>
  <c r="S609" i="2"/>
  <c r="AI609" i="2"/>
  <c r="AY609" i="2"/>
  <c r="J610" i="2"/>
  <c r="Z610" i="2"/>
  <c r="AP610" i="2"/>
  <c r="BF610" i="2"/>
  <c r="Q611" i="2"/>
  <c r="AG611" i="2"/>
  <c r="AW611" i="2"/>
  <c r="BM611" i="2"/>
  <c r="T612" i="2"/>
  <c r="AJ612" i="2"/>
  <c r="AZ612" i="2"/>
  <c r="G613" i="2"/>
  <c r="W613" i="2"/>
  <c r="AM613" i="2"/>
  <c r="BC613" i="2"/>
  <c r="N614" i="2"/>
  <c r="AD614" i="2"/>
  <c r="AT614" i="2"/>
  <c r="BJ614" i="2"/>
  <c r="U615" i="2"/>
  <c r="AK615" i="2"/>
  <c r="BA615" i="2"/>
  <c r="H616" i="2"/>
  <c r="X616" i="2"/>
  <c r="AN616" i="2"/>
  <c r="BD616" i="2"/>
  <c r="K617" i="2"/>
  <c r="AA617" i="2"/>
  <c r="AQ617" i="2"/>
  <c r="BG617" i="2"/>
  <c r="R618" i="2"/>
  <c r="AH618" i="2"/>
  <c r="AX618" i="2"/>
  <c r="I619" i="2"/>
  <c r="Y619" i="2"/>
  <c r="AO619" i="2"/>
  <c r="BE619" i="2"/>
  <c r="L620" i="2"/>
  <c r="AB620" i="2"/>
  <c r="AR620" i="2"/>
  <c r="BH620" i="2"/>
  <c r="S621" i="3"/>
  <c r="S621" i="2" s="1"/>
  <c r="S622" i="2"/>
  <c r="AO621" i="3"/>
  <c r="AO621" i="2" s="1"/>
  <c r="AO622" i="2"/>
  <c r="J599" i="2"/>
  <c r="Z599" i="2"/>
  <c r="AP599" i="2"/>
  <c r="BF599" i="2"/>
  <c r="Q600" i="2"/>
  <c r="AG600" i="2"/>
  <c r="AW600" i="2"/>
  <c r="BM600" i="2"/>
  <c r="T601" i="2"/>
  <c r="AJ601" i="2"/>
  <c r="AZ601" i="2"/>
  <c r="G602" i="2"/>
  <c r="W602" i="2"/>
  <c r="AM602" i="2"/>
  <c r="BC602" i="2"/>
  <c r="N603" i="2"/>
  <c r="AD603" i="2"/>
  <c r="AT603" i="2"/>
  <c r="BJ603" i="2"/>
  <c r="U604" i="2"/>
  <c r="AK604" i="2"/>
  <c r="BA604" i="2"/>
  <c r="H605" i="2"/>
  <c r="X605" i="2"/>
  <c r="AN605" i="2"/>
  <c r="BD605" i="2"/>
  <c r="K606" i="2"/>
  <c r="AA606" i="2"/>
  <c r="AQ606" i="2"/>
  <c r="BG606" i="2"/>
  <c r="R607" i="2"/>
  <c r="AH607" i="2"/>
  <c r="AX607" i="2"/>
  <c r="I608" i="2"/>
  <c r="Y608" i="2"/>
  <c r="AO608" i="2"/>
  <c r="BE608" i="2"/>
  <c r="L609" i="2"/>
  <c r="AB609" i="2"/>
  <c r="AR609" i="2"/>
  <c r="BH609" i="2"/>
  <c r="O610" i="2"/>
  <c r="AE610" i="2"/>
  <c r="AU610" i="2"/>
  <c r="BK610" i="2"/>
  <c r="V611" i="2"/>
  <c r="AL611" i="2"/>
  <c r="BB611" i="2"/>
  <c r="M612" i="2"/>
  <c r="AC612" i="2"/>
  <c r="AS612" i="2"/>
  <c r="BI612" i="2"/>
  <c r="P613" i="2"/>
  <c r="AF613" i="2"/>
  <c r="AV613" i="2"/>
  <c r="BL613" i="2"/>
  <c r="S614" i="2"/>
  <c r="AI614" i="2"/>
  <c r="AY614" i="2"/>
  <c r="J615" i="2"/>
  <c r="Z615" i="2"/>
  <c r="AP615" i="2"/>
  <c r="BF615" i="2"/>
  <c r="Q616" i="2"/>
  <c r="AG616" i="2"/>
  <c r="AW616" i="2"/>
  <c r="BM616" i="2"/>
  <c r="T617" i="2"/>
  <c r="AJ617" i="2"/>
  <c r="AZ617" i="2"/>
  <c r="G618" i="2"/>
  <c r="W618" i="2"/>
  <c r="AM618" i="2"/>
  <c r="BC618" i="2"/>
  <c r="N619" i="2"/>
  <c r="AD619" i="2"/>
  <c r="AT619" i="2"/>
  <c r="BJ619" i="2"/>
  <c r="U620" i="2"/>
  <c r="AK620" i="2"/>
  <c r="BA620" i="2"/>
  <c r="J621" i="3"/>
  <c r="J621" i="2" s="1"/>
  <c r="J622" i="2"/>
  <c r="AE621" i="3"/>
  <c r="AE621" i="2" s="1"/>
  <c r="AE622" i="2"/>
  <c r="BF621" i="3"/>
  <c r="BF621" i="2" s="1"/>
  <c r="BF622" i="2"/>
  <c r="T623" i="2"/>
  <c r="AJ623" i="2"/>
  <c r="AZ623" i="2"/>
  <c r="G624" i="2"/>
  <c r="W624" i="2"/>
  <c r="AM624" i="2"/>
  <c r="BC624" i="2"/>
  <c r="N625" i="2"/>
  <c r="AD625" i="2"/>
  <c r="AT625" i="2"/>
  <c r="BJ625" i="2"/>
  <c r="U626" i="2"/>
  <c r="AK626" i="2"/>
  <c r="BA626" i="2"/>
  <c r="H627" i="2"/>
  <c r="X627" i="2"/>
  <c r="AN627" i="2"/>
  <c r="BD627" i="2"/>
  <c r="K628" i="2"/>
  <c r="AA628" i="2"/>
  <c r="AQ628" i="2"/>
  <c r="BG628" i="2"/>
  <c r="R629" i="2"/>
  <c r="AH629" i="2"/>
  <c r="AX629" i="2"/>
  <c r="I630" i="2"/>
  <c r="Y630" i="2"/>
  <c r="AO630" i="2"/>
  <c r="BE630" i="2"/>
  <c r="L631" i="2"/>
  <c r="AB631" i="2"/>
  <c r="AR631" i="2"/>
  <c r="BH631" i="2"/>
  <c r="O632" i="2"/>
  <c r="AE632" i="2"/>
  <c r="AU632" i="2"/>
  <c r="BK632" i="2"/>
  <c r="V633" i="2"/>
  <c r="AL633" i="2"/>
  <c r="BB633" i="2"/>
  <c r="M634" i="2"/>
  <c r="AC634" i="2"/>
  <c r="AS634" i="2"/>
  <c r="BI634" i="2"/>
  <c r="P635" i="2"/>
  <c r="AF635" i="2"/>
  <c r="AV635" i="2"/>
  <c r="BL635" i="2"/>
  <c r="X636" i="2"/>
  <c r="AS636" i="2"/>
  <c r="K637" i="2"/>
  <c r="AF637" i="2"/>
  <c r="BA637" i="2"/>
  <c r="L638" i="2"/>
  <c r="AH638" i="2"/>
  <c r="BC638" i="2"/>
  <c r="U639" i="2"/>
  <c r="AP639" i="2"/>
  <c r="BK639" i="2"/>
  <c r="X640" i="2"/>
  <c r="AS640" i="2"/>
  <c r="K641" i="2"/>
  <c r="AF641" i="2"/>
  <c r="BA641" i="2"/>
  <c r="L642" i="2"/>
  <c r="AH642" i="2"/>
  <c r="BC642" i="2"/>
  <c r="U643" i="2"/>
  <c r="AP643" i="2"/>
  <c r="BK643" i="2"/>
  <c r="X644" i="2"/>
  <c r="AS644" i="2"/>
  <c r="M645" i="2"/>
  <c r="AS645" i="2"/>
  <c r="AL646" i="2"/>
  <c r="AO647" i="2"/>
  <c r="AN648" i="2"/>
  <c r="AM649" i="2"/>
  <c r="BB650" i="2"/>
  <c r="AB652" i="2"/>
  <c r="V654" i="2"/>
  <c r="AO655" i="2"/>
  <c r="U623" i="2"/>
  <c r="AK623" i="2"/>
  <c r="BA623" i="2"/>
  <c r="H624" i="2"/>
  <c r="X624" i="2"/>
  <c r="AN624" i="2"/>
  <c r="BD624" i="2"/>
  <c r="K625" i="2"/>
  <c r="AA625" i="2"/>
  <c r="AQ625" i="2"/>
  <c r="BG625" i="2"/>
  <c r="R626" i="2"/>
  <c r="AH626" i="2"/>
  <c r="AX626" i="2"/>
  <c r="I627" i="2"/>
  <c r="Y627" i="2"/>
  <c r="AO627" i="2"/>
  <c r="BE627" i="2"/>
  <c r="L628" i="2"/>
  <c r="AB628" i="2"/>
  <c r="AR628" i="2"/>
  <c r="BH628" i="2"/>
  <c r="O629" i="2"/>
  <c r="AE629" i="2"/>
  <c r="AU629" i="2"/>
  <c r="BK629" i="2"/>
  <c r="V630" i="2"/>
  <c r="AL630" i="2"/>
  <c r="BB630" i="2"/>
  <c r="M631" i="2"/>
  <c r="AC631" i="2"/>
  <c r="AS631" i="2"/>
  <c r="BI631" i="2"/>
  <c r="P632" i="2"/>
  <c r="AF632" i="2"/>
  <c r="AV632" i="2"/>
  <c r="BL632" i="2"/>
  <c r="S633" i="2"/>
  <c r="AI633" i="2"/>
  <c r="AY633" i="2"/>
  <c r="J634" i="2"/>
  <c r="Z634" i="2"/>
  <c r="AP634" i="2"/>
  <c r="BF634" i="2"/>
  <c r="Q635" i="2"/>
  <c r="AG635" i="2"/>
  <c r="AW635" i="2"/>
  <c r="BM635" i="2"/>
  <c r="Y636" i="2"/>
  <c r="AT636" i="2"/>
  <c r="G637" i="2"/>
  <c r="AB637" i="2"/>
  <c r="AW637" i="2"/>
  <c r="H638" i="2"/>
  <c r="AD638" i="2"/>
  <c r="AY638" i="2"/>
  <c r="Q639" i="2"/>
  <c r="AL639" i="2"/>
  <c r="BG639" i="2"/>
  <c r="T640" i="2"/>
  <c r="AO640" i="2"/>
  <c r="BJ640" i="2"/>
  <c r="W641" i="2"/>
  <c r="AR641" i="2"/>
  <c r="BM641" i="2"/>
  <c r="X642" i="2"/>
  <c r="AT642" i="2"/>
  <c r="K643" i="2"/>
  <c r="AG643" i="2"/>
  <c r="BB643" i="2"/>
  <c r="N644" i="2"/>
  <c r="AJ644" i="2"/>
  <c r="BE644" i="2"/>
  <c r="W645" i="2"/>
  <c r="BC645" i="2"/>
  <c r="AP646" i="2"/>
  <c r="AS647" i="2"/>
  <c r="AR648" i="2"/>
  <c r="AQ649" i="2"/>
  <c r="BG650" i="2"/>
  <c r="L652" i="2"/>
  <c r="AE653" i="2"/>
  <c r="Y655" i="2"/>
  <c r="AY621" i="3"/>
  <c r="AY621" i="2" s="1"/>
  <c r="AY622" i="2"/>
  <c r="J623" i="2"/>
  <c r="Z623" i="2"/>
  <c r="AP623" i="2"/>
  <c r="BF623" i="2"/>
  <c r="Q624" i="2"/>
  <c r="AG624" i="2"/>
  <c r="AW624" i="2"/>
  <c r="BM624" i="2"/>
  <c r="T625" i="2"/>
  <c r="AJ625" i="2"/>
  <c r="AZ625" i="2"/>
  <c r="G626" i="2"/>
  <c r="W626" i="2"/>
  <c r="AM626" i="2"/>
  <c r="BC626" i="2"/>
  <c r="N627" i="2"/>
  <c r="AD627" i="2"/>
  <c r="AT627" i="2"/>
  <c r="BJ627" i="2"/>
  <c r="U628" i="2"/>
  <c r="AK628" i="2"/>
  <c r="BA628" i="2"/>
  <c r="H629" i="2"/>
  <c r="X629" i="2"/>
  <c r="AN629" i="2"/>
  <c r="BD629" i="2"/>
  <c r="K630" i="2"/>
  <c r="AA630" i="2"/>
  <c r="AQ630" i="2"/>
  <c r="BG630" i="2"/>
  <c r="R631" i="2"/>
  <c r="AH631" i="2"/>
  <c r="AX631" i="2"/>
  <c r="I632" i="2"/>
  <c r="Y632" i="2"/>
  <c r="AO632" i="2"/>
  <c r="BE632" i="2"/>
  <c r="L633" i="2"/>
  <c r="AB633" i="2"/>
  <c r="AR633" i="2"/>
  <c r="BH633" i="2"/>
  <c r="O634" i="2"/>
  <c r="AE634" i="2"/>
  <c r="AU634" i="2"/>
  <c r="BK634" i="2"/>
  <c r="V635" i="2"/>
  <c r="AL635" i="2"/>
  <c r="BB635" i="2"/>
  <c r="P636" i="2"/>
  <c r="AK636" i="2"/>
  <c r="BF636" i="2"/>
  <c r="S637" i="2"/>
  <c r="AN637" i="2"/>
  <c r="BI637" i="2"/>
  <c r="Z638" i="2"/>
  <c r="AU638" i="2"/>
  <c r="G639" i="2"/>
  <c r="AC639" i="2"/>
  <c r="AX639" i="2"/>
  <c r="P640" i="2"/>
  <c r="AK640" i="2"/>
  <c r="BF640" i="2"/>
  <c r="S641" i="2"/>
  <c r="AN641" i="2"/>
  <c r="BI641" i="2"/>
  <c r="Z642" i="2"/>
  <c r="AU642" i="2"/>
  <c r="G643" i="2"/>
  <c r="AC643" i="2"/>
  <c r="AX643" i="2"/>
  <c r="P644" i="2"/>
  <c r="AK644" i="2"/>
  <c r="BF644" i="2"/>
  <c r="Y645" i="2"/>
  <c r="BE645" i="2"/>
  <c r="AT646" i="2"/>
  <c r="AW647" i="2"/>
  <c r="AV648" i="2"/>
  <c r="AU649" i="2"/>
  <c r="S651" i="2"/>
  <c r="AL652" i="2"/>
  <c r="BE653" i="2"/>
  <c r="I655" i="2"/>
  <c r="L621" i="3"/>
  <c r="L621" i="2" s="1"/>
  <c r="L622" i="2"/>
  <c r="AB621" i="3"/>
  <c r="AB621" i="2" s="1"/>
  <c r="AB622" i="2"/>
  <c r="AR621" i="3"/>
  <c r="AR621" i="2" s="1"/>
  <c r="AR622" i="2"/>
  <c r="BH621" i="3"/>
  <c r="BH621" i="2" s="1"/>
  <c r="BH622" i="2"/>
  <c r="O623" i="2"/>
  <c r="AE623" i="2"/>
  <c r="AU623" i="2"/>
  <c r="BK623" i="2"/>
  <c r="V624" i="2"/>
  <c r="AL624" i="2"/>
  <c r="BB624" i="2"/>
  <c r="M625" i="2"/>
  <c r="AC625" i="2"/>
  <c r="AS625" i="2"/>
  <c r="BI625" i="2"/>
  <c r="P626" i="2"/>
  <c r="AF626" i="2"/>
  <c r="AV626" i="2"/>
  <c r="BL626" i="2"/>
  <c r="S627" i="2"/>
  <c r="AI627" i="2"/>
  <c r="AY627" i="2"/>
  <c r="J628" i="2"/>
  <c r="Z628" i="2"/>
  <c r="AP628" i="2"/>
  <c r="BF628" i="2"/>
  <c r="Q629" i="2"/>
  <c r="AG629" i="2"/>
  <c r="AW629" i="2"/>
  <c r="BM629" i="2"/>
  <c r="T630" i="2"/>
  <c r="AJ630" i="2"/>
  <c r="AZ630" i="2"/>
  <c r="G631" i="2"/>
  <c r="W631" i="2"/>
  <c r="AM631" i="2"/>
  <c r="BC631" i="2"/>
  <c r="N632" i="2"/>
  <c r="AD632" i="2"/>
  <c r="AT632" i="2"/>
  <c r="BJ632" i="2"/>
  <c r="U633" i="2"/>
  <c r="AK633" i="2"/>
  <c r="BA633" i="2"/>
  <c r="H634" i="2"/>
  <c r="X634" i="2"/>
  <c r="AN634" i="2"/>
  <c r="BD634" i="2"/>
  <c r="K635" i="2"/>
  <c r="AA635" i="2"/>
  <c r="AQ635" i="2"/>
  <c r="BG635" i="2"/>
  <c r="V636" i="2"/>
  <c r="AR636" i="2"/>
  <c r="BM636" i="2"/>
  <c r="Y637" i="2"/>
  <c r="AU637" i="2"/>
  <c r="K638" i="2"/>
  <c r="AF638" i="2"/>
  <c r="BB638" i="2"/>
  <c r="N639" i="2"/>
  <c r="AI639" i="2"/>
  <c r="BE639" i="2"/>
  <c r="V640" i="2"/>
  <c r="AR640" i="2"/>
  <c r="BM640" i="2"/>
  <c r="Y641" i="2"/>
  <c r="AU641" i="2"/>
  <c r="K642" i="2"/>
  <c r="AF642" i="2"/>
  <c r="BB642" i="2"/>
  <c r="N643" i="2"/>
  <c r="AI643" i="2"/>
  <c r="BE643" i="2"/>
  <c r="V644" i="2"/>
  <c r="AR644" i="2"/>
  <c r="BM644" i="2"/>
  <c r="AI645" i="2"/>
  <c r="R646" i="2"/>
  <c r="AK647" i="2"/>
  <c r="AZ648" i="2"/>
  <c r="AA650" i="2"/>
  <c r="V652" i="2"/>
  <c r="AO653" i="2"/>
  <c r="BG654" i="2"/>
  <c r="G636" i="2"/>
  <c r="W636" i="2"/>
  <c r="AM636" i="2"/>
  <c r="BC636" i="2"/>
  <c r="N637" i="2"/>
  <c r="AD637" i="2"/>
  <c r="AT637" i="2"/>
  <c r="BJ637" i="2"/>
  <c r="U638" i="2"/>
  <c r="AK638" i="2"/>
  <c r="BA638" i="2"/>
  <c r="H639" i="2"/>
  <c r="X639" i="2"/>
  <c r="AN639" i="2"/>
  <c r="BD639" i="2"/>
  <c r="K640" i="2"/>
  <c r="AA640" i="2"/>
  <c r="AQ640" i="2"/>
  <c r="BG640" i="2"/>
  <c r="R641" i="2"/>
  <c r="AH641" i="2"/>
  <c r="AX641" i="2"/>
  <c r="I642" i="2"/>
  <c r="Y642" i="2"/>
  <c r="AO642" i="2"/>
  <c r="BE642" i="2"/>
  <c r="L643" i="2"/>
  <c r="AB643" i="2"/>
  <c r="AR643" i="2"/>
  <c r="BH643" i="2"/>
  <c r="O644" i="2"/>
  <c r="AE644" i="2"/>
  <c r="AU644" i="2"/>
  <c r="BK644" i="2"/>
  <c r="V645" i="2"/>
  <c r="AL645" i="2"/>
  <c r="BB645" i="2"/>
  <c r="M646" i="2"/>
  <c r="AC646" i="2"/>
  <c r="AS646" i="2"/>
  <c r="BI646" i="2"/>
  <c r="P647" i="2"/>
  <c r="AF647" i="2"/>
  <c r="AV647" i="2"/>
  <c r="BL647" i="2"/>
  <c r="S648" i="2"/>
  <c r="AI648" i="2"/>
  <c r="AY648" i="2"/>
  <c r="J649" i="2"/>
  <c r="Z649" i="2"/>
  <c r="AP649" i="2"/>
  <c r="BI649" i="2"/>
  <c r="Z650" i="2"/>
  <c r="AU650" i="2"/>
  <c r="G651" i="2"/>
  <c r="AC651" i="2"/>
  <c r="AX651" i="2"/>
  <c r="P652" i="2"/>
  <c r="AK652" i="2"/>
  <c r="BF652" i="2"/>
  <c r="S653" i="2"/>
  <c r="AN653" i="2"/>
  <c r="BI653" i="2"/>
  <c r="Z654" i="2"/>
  <c r="AU654" i="2"/>
  <c r="G655" i="2"/>
  <c r="AC655" i="2"/>
  <c r="AX655" i="2"/>
  <c r="P656" i="2"/>
  <c r="AK656" i="2"/>
  <c r="BF656" i="2"/>
  <c r="S657" i="2"/>
  <c r="AN657" i="2"/>
  <c r="BI657" i="2"/>
  <c r="Z658" i="2"/>
  <c r="AU658" i="2"/>
  <c r="G659" i="2"/>
  <c r="AC659" i="2"/>
  <c r="AX659" i="2"/>
  <c r="P660" i="2"/>
  <c r="AK660" i="2"/>
  <c r="BF660" i="2"/>
  <c r="S661" i="2"/>
  <c r="AN661" i="2"/>
  <c r="BI661" i="2"/>
  <c r="V656" i="2"/>
  <c r="AR656" i="2"/>
  <c r="BM656" i="2"/>
  <c r="Y657" i="2"/>
  <c r="AU657" i="2"/>
  <c r="K658" i="2"/>
  <c r="AF658" i="2"/>
  <c r="BB658" i="2"/>
  <c r="N659" i="2"/>
  <c r="AI659" i="2"/>
  <c r="BE659" i="2"/>
  <c r="V660" i="2"/>
  <c r="AR660" i="2"/>
  <c r="BM660" i="2"/>
  <c r="Y661" i="2"/>
  <c r="AU661" i="2"/>
  <c r="H645" i="2"/>
  <c r="X645" i="2"/>
  <c r="AN645" i="2"/>
  <c r="BD645" i="2"/>
  <c r="K646" i="2"/>
  <c r="AA646" i="2"/>
  <c r="AQ646" i="2"/>
  <c r="BG646" i="2"/>
  <c r="R647" i="2"/>
  <c r="AH647" i="2"/>
  <c r="AX647" i="2"/>
  <c r="I648" i="2"/>
  <c r="Y648" i="2"/>
  <c r="AO648" i="2"/>
  <c r="BE648" i="2"/>
  <c r="L649" i="2"/>
  <c r="AB649" i="2"/>
  <c r="AR649" i="2"/>
  <c r="BL649" i="2"/>
  <c r="W650" i="2"/>
  <c r="AR650" i="2"/>
  <c r="J651" i="2"/>
  <c r="AE651" i="2"/>
  <c r="BA651" i="2"/>
  <c r="M652" i="2"/>
  <c r="AH652" i="2"/>
  <c r="BD652" i="2"/>
  <c r="U653" i="2"/>
  <c r="AQ653" i="2"/>
  <c r="BL653" i="2"/>
  <c r="W654" i="2"/>
  <c r="AR654" i="2"/>
  <c r="J655" i="2"/>
  <c r="AE655" i="2"/>
  <c r="BA655" i="2"/>
  <c r="M656" i="2"/>
  <c r="AH656" i="2"/>
  <c r="BD656" i="2"/>
  <c r="U657" i="2"/>
  <c r="AQ657" i="2"/>
  <c r="BL657" i="2"/>
  <c r="W658" i="2"/>
  <c r="AR658" i="2"/>
  <c r="J659" i="2"/>
  <c r="AE659" i="2"/>
  <c r="BA659" i="2"/>
  <c r="M660" i="2"/>
  <c r="AH660" i="2"/>
  <c r="BD660" i="2"/>
  <c r="U661" i="2"/>
  <c r="AQ661" i="2"/>
  <c r="BL661" i="2"/>
  <c r="T646" i="2"/>
  <c r="AJ646" i="2"/>
  <c r="AZ646" i="2"/>
  <c r="G647" i="2"/>
  <c r="W647" i="2"/>
  <c r="AM647" i="2"/>
  <c r="BC647" i="2"/>
  <c r="N648" i="2"/>
  <c r="AD648" i="2"/>
  <c r="AT648" i="2"/>
  <c r="BJ648" i="2"/>
  <c r="U649" i="2"/>
  <c r="AK649" i="2"/>
  <c r="BC649" i="2"/>
  <c r="N650" i="2"/>
  <c r="AI650" i="2"/>
  <c r="BD650" i="2"/>
  <c r="V651" i="2"/>
  <c r="AQ651" i="2"/>
  <c r="BM651" i="2"/>
  <c r="Y652" i="2"/>
  <c r="AT652" i="2"/>
  <c r="G653" i="2"/>
  <c r="AB653" i="2"/>
  <c r="AW653" i="2"/>
  <c r="H654" i="2"/>
  <c r="AD654" i="2"/>
  <c r="AY654" i="2"/>
  <c r="Q655" i="2"/>
  <c r="AL655" i="2"/>
  <c r="BG655" i="2"/>
  <c r="T656" i="2"/>
  <c r="AO656" i="2"/>
  <c r="BJ656" i="2"/>
  <c r="W657" i="2"/>
  <c r="AR657" i="2"/>
  <c r="BM657" i="2"/>
  <c r="X658" i="2"/>
  <c r="AT658" i="2"/>
  <c r="K659" i="2"/>
  <c r="AG659" i="2"/>
  <c r="BB659" i="2"/>
  <c r="N660" i="2"/>
  <c r="AJ660" i="2"/>
  <c r="BE660" i="2"/>
  <c r="Q661" i="2"/>
  <c r="AM661" i="2"/>
  <c r="BH661" i="2"/>
  <c r="BF649" i="2"/>
  <c r="Q650" i="2"/>
  <c r="AG650" i="2"/>
  <c r="AW650" i="2"/>
  <c r="BM650" i="2"/>
  <c r="T651" i="2"/>
  <c r="AJ651" i="2"/>
  <c r="AZ651" i="2"/>
  <c r="G652" i="2"/>
  <c r="W652" i="2"/>
  <c r="AM652" i="2"/>
  <c r="BC652" i="2"/>
  <c r="N653" i="2"/>
  <c r="AD653" i="2"/>
  <c r="AT653" i="2"/>
  <c r="BJ653" i="2"/>
  <c r="U654" i="2"/>
  <c r="AK654" i="2"/>
  <c r="BA654" i="2"/>
  <c r="H655" i="2"/>
  <c r="X655" i="2"/>
  <c r="AN655" i="2"/>
  <c r="BD655" i="2"/>
  <c r="K656" i="2"/>
  <c r="AA656" i="2"/>
  <c r="AQ656" i="2"/>
  <c r="BG656" i="2"/>
  <c r="R657" i="2"/>
  <c r="AH657" i="2"/>
  <c r="AX657" i="2"/>
  <c r="I658" i="2"/>
  <c r="Y658" i="2"/>
  <c r="AO658" i="2"/>
  <c r="BE658" i="2"/>
  <c r="L659" i="2"/>
  <c r="AB659" i="2"/>
  <c r="AR659" i="2"/>
  <c r="BH659" i="2"/>
  <c r="O660" i="2"/>
  <c r="AE660" i="2"/>
  <c r="AU660" i="2"/>
  <c r="BK660" i="2"/>
  <c r="V661" i="2"/>
  <c r="AL661" i="2"/>
  <c r="BB661" i="2"/>
  <c r="AB114" i="2"/>
  <c r="AR114" i="2"/>
  <c r="BH114" i="2"/>
  <c r="O115" i="2"/>
  <c r="AE115" i="2"/>
  <c r="AU115" i="2"/>
  <c r="BK115" i="2"/>
  <c r="V116" i="2"/>
  <c r="AL116" i="2"/>
  <c r="BB116" i="2"/>
  <c r="M117" i="2"/>
  <c r="AC117" i="2"/>
  <c r="AS117" i="2"/>
  <c r="BI117" i="2"/>
  <c r="P118" i="2"/>
  <c r="AF118" i="2"/>
  <c r="AV118" i="2"/>
  <c r="BL118" i="2"/>
  <c r="S119" i="2"/>
  <c r="AI119" i="2"/>
  <c r="AY119" i="2"/>
  <c r="J120" i="2"/>
  <c r="Z120" i="2"/>
  <c r="AP120" i="2"/>
  <c r="BF120" i="2"/>
  <c r="Q121" i="2"/>
  <c r="AG121" i="2"/>
  <c r="AW121" i="2"/>
  <c r="BM121" i="2"/>
  <c r="T122" i="2"/>
  <c r="AJ122" i="2"/>
  <c r="AZ122" i="2"/>
  <c r="G123" i="2"/>
  <c r="W123" i="2"/>
  <c r="AM123" i="2"/>
  <c r="BC123" i="2"/>
  <c r="N124" i="2"/>
  <c r="AD124" i="2"/>
  <c r="AT124" i="2"/>
  <c r="BJ124" i="2"/>
  <c r="U125" i="2"/>
  <c r="AK125" i="2"/>
  <c r="BA125" i="2"/>
  <c r="H126" i="2"/>
  <c r="X126" i="2"/>
  <c r="AN126" i="2"/>
  <c r="BD126" i="2"/>
  <c r="L127" i="3"/>
  <c r="L127" i="2" s="1"/>
  <c r="L128" i="2"/>
  <c r="AB127" i="3"/>
  <c r="AB127" i="2" s="1"/>
  <c r="AB128" i="2"/>
  <c r="AR127" i="3"/>
  <c r="AR127" i="2" s="1"/>
  <c r="AR128" i="2"/>
  <c r="BH127" i="3"/>
  <c r="BH127" i="2" s="1"/>
  <c r="BH128" i="2"/>
  <c r="O129" i="2"/>
  <c r="AE129" i="2"/>
  <c r="AU129" i="2"/>
  <c r="BK129" i="2"/>
  <c r="V130" i="2"/>
  <c r="AL130" i="2"/>
  <c r="BB130" i="2"/>
  <c r="M131" i="2"/>
  <c r="AC131" i="2"/>
  <c r="AS131" i="2"/>
  <c r="BI131" i="2"/>
  <c r="P132" i="2"/>
  <c r="AF132" i="2"/>
  <c r="AV132" i="2"/>
  <c r="BL132" i="2"/>
  <c r="S133" i="2"/>
  <c r="AI133" i="2"/>
  <c r="AY133" i="2"/>
  <c r="J134" i="2"/>
  <c r="Z134" i="2"/>
  <c r="AP134" i="2"/>
  <c r="BF134" i="2"/>
  <c r="Q135" i="2"/>
  <c r="AG135" i="2"/>
  <c r="AW135" i="2"/>
  <c r="BM135" i="2"/>
  <c r="T136" i="2"/>
  <c r="AJ136" i="2"/>
  <c r="AZ136" i="2"/>
  <c r="G137" i="2"/>
  <c r="W137" i="2"/>
  <c r="AM137" i="2"/>
  <c r="BC137" i="2"/>
  <c r="N138" i="2"/>
  <c r="AD138" i="2"/>
  <c r="AT138" i="2"/>
  <c r="BJ138" i="2"/>
  <c r="U139" i="2"/>
  <c r="AK139" i="2"/>
  <c r="BA139" i="2"/>
  <c r="H140" i="2"/>
  <c r="X140" i="2"/>
  <c r="AN140" i="2"/>
  <c r="BD140" i="2"/>
  <c r="K141" i="2"/>
  <c r="AA141" i="2"/>
  <c r="AQ141" i="2"/>
  <c r="BG141" i="2"/>
  <c r="R142" i="2"/>
  <c r="AH142" i="2"/>
  <c r="AX142" i="2"/>
  <c r="I143" i="2"/>
  <c r="Y143" i="2"/>
  <c r="AO143" i="2"/>
  <c r="BE143" i="2"/>
  <c r="N144" i="2"/>
  <c r="AL144" i="2"/>
  <c r="I145" i="2"/>
  <c r="AO145" i="2"/>
  <c r="G54" i="2"/>
  <c r="W54" i="2"/>
  <c r="AM54" i="2"/>
  <c r="BC54" i="2"/>
  <c r="N55" i="2"/>
  <c r="AD55" i="2"/>
  <c r="AT55" i="2"/>
  <c r="BJ55" i="2"/>
  <c r="U56" i="2"/>
  <c r="AK56" i="2"/>
  <c r="BA56" i="2"/>
  <c r="H57" i="2"/>
  <c r="X57" i="2"/>
  <c r="AN57" i="2"/>
  <c r="BD57" i="2"/>
  <c r="K58" i="2"/>
  <c r="AA58" i="2"/>
  <c r="AQ58" i="2"/>
  <c r="BG58" i="2"/>
  <c r="R59" i="2"/>
  <c r="AH59" i="2"/>
  <c r="AX59" i="2"/>
  <c r="I60" i="2"/>
  <c r="Y60" i="2"/>
  <c r="AO60" i="2"/>
  <c r="BE60" i="2"/>
  <c r="L61" i="2"/>
  <c r="AB61" i="2"/>
  <c r="AR61" i="2"/>
  <c r="BH61" i="2"/>
  <c r="O62" i="2"/>
  <c r="AE62" i="2"/>
  <c r="AU62" i="2"/>
  <c r="BK62" i="2"/>
  <c r="V63" i="2"/>
  <c r="AL63" i="2"/>
  <c r="BB63" i="2"/>
  <c r="M64" i="2"/>
  <c r="AC64" i="2"/>
  <c r="AS64" i="2"/>
  <c r="BI64" i="2"/>
  <c r="P65" i="2"/>
  <c r="AF65" i="2"/>
  <c r="AV65" i="2"/>
  <c r="BL65" i="2"/>
  <c r="S66" i="2"/>
  <c r="AI66" i="2"/>
  <c r="AY66" i="2"/>
  <c r="J67" i="2"/>
  <c r="Z67" i="2"/>
  <c r="AP67" i="2"/>
  <c r="BF67" i="2"/>
  <c r="Q68" i="2"/>
  <c r="AG68" i="2"/>
  <c r="AW68" i="2"/>
  <c r="BM68" i="2"/>
  <c r="T69" i="2"/>
  <c r="AJ69" i="2"/>
  <c r="AZ69" i="2"/>
  <c r="G70" i="2"/>
  <c r="W70" i="2"/>
  <c r="AM70" i="2"/>
  <c r="BC70" i="2"/>
  <c r="N71" i="2"/>
  <c r="AD71" i="2"/>
  <c r="AT71" i="2"/>
  <c r="BJ71" i="2"/>
  <c r="U72" i="2"/>
  <c r="AK72" i="2"/>
  <c r="BA72" i="2"/>
  <c r="H73" i="2"/>
  <c r="X73" i="2"/>
  <c r="AN73" i="2"/>
  <c r="BD73" i="2"/>
  <c r="K74" i="2"/>
  <c r="AA74" i="2"/>
  <c r="AQ74" i="2"/>
  <c r="BG74" i="2"/>
  <c r="R75" i="2"/>
  <c r="AH75" i="2"/>
  <c r="AX75" i="2"/>
  <c r="I76" i="2"/>
  <c r="Y76" i="2"/>
  <c r="AO76" i="2"/>
  <c r="BE76" i="2"/>
  <c r="L77" i="2"/>
  <c r="AB77" i="2"/>
  <c r="AR77" i="2"/>
  <c r="BH77" i="2"/>
  <c r="O78" i="2"/>
  <c r="AE78" i="2"/>
  <c r="AU78" i="2"/>
  <c r="BK78" i="2"/>
  <c r="V79" i="2"/>
  <c r="AL79" i="2"/>
  <c r="BB79" i="2"/>
  <c r="M80" i="2"/>
  <c r="AC80" i="2"/>
  <c r="AS80" i="2"/>
  <c r="BI80" i="2"/>
  <c r="P81" i="2"/>
  <c r="AF81" i="2"/>
  <c r="AV81" i="2"/>
  <c r="BL81" i="2"/>
  <c r="S82" i="2"/>
  <c r="AI82" i="2"/>
  <c r="AY82" i="2"/>
  <c r="J83" i="2"/>
  <c r="Z83" i="2"/>
  <c r="AP83" i="2"/>
  <c r="BF83" i="2"/>
  <c r="Q84" i="2"/>
  <c r="AG84" i="2"/>
  <c r="AW84" i="2"/>
  <c r="BM84" i="2"/>
  <c r="T85" i="2"/>
  <c r="AJ85" i="2"/>
  <c r="AZ85" i="2"/>
  <c r="H86" i="3"/>
  <c r="H86" i="2" s="1"/>
  <c r="H87" i="2"/>
  <c r="X86" i="3"/>
  <c r="X86" i="2" s="1"/>
  <c r="X87" i="2"/>
  <c r="AN86" i="3"/>
  <c r="AN86" i="2" s="1"/>
  <c r="AN87" i="2"/>
  <c r="BD86" i="3"/>
  <c r="BD86" i="2" s="1"/>
  <c r="BD87" i="2"/>
  <c r="K88" i="2"/>
  <c r="AA88" i="2"/>
  <c r="AQ88" i="2"/>
  <c r="BG88" i="2"/>
  <c r="R89" i="2"/>
  <c r="AH89" i="2"/>
  <c r="AX89" i="2"/>
  <c r="I90" i="2"/>
  <c r="Y90" i="2"/>
  <c r="AO90" i="2"/>
  <c r="BE90" i="2"/>
  <c r="L91" i="2"/>
  <c r="AB91" i="2"/>
  <c r="AR91" i="2"/>
  <c r="BH91" i="2"/>
  <c r="O92" i="2"/>
  <c r="AE92" i="2"/>
  <c r="AU92" i="2"/>
  <c r="BK92" i="2"/>
  <c r="V93" i="2"/>
  <c r="AL93" i="2"/>
  <c r="BB93" i="2"/>
  <c r="M94" i="2"/>
  <c r="AC94" i="2"/>
  <c r="AS94" i="2"/>
  <c r="BI94" i="2"/>
  <c r="P95" i="2"/>
  <c r="AF95" i="2"/>
  <c r="AV95" i="2"/>
  <c r="BL95" i="2"/>
  <c r="S96" i="2"/>
  <c r="AI96" i="2"/>
  <c r="AY96" i="2"/>
  <c r="J97" i="2"/>
  <c r="Z97" i="2"/>
  <c r="AP97" i="2"/>
  <c r="BF97" i="2"/>
  <c r="Q98" i="2"/>
  <c r="AG98" i="2"/>
  <c r="AW98" i="2"/>
  <c r="BM98" i="2"/>
  <c r="T99" i="2"/>
  <c r="AJ99" i="2"/>
  <c r="AZ99" i="2"/>
  <c r="G100" i="2"/>
  <c r="W100" i="2"/>
  <c r="AM100" i="2"/>
  <c r="BC100" i="2"/>
  <c r="N101" i="2"/>
  <c r="AD101" i="2"/>
  <c r="AT101" i="2"/>
  <c r="BJ101" i="2"/>
  <c r="U102" i="2"/>
  <c r="AK102" i="2"/>
  <c r="BA102" i="2"/>
  <c r="H103" i="2"/>
  <c r="X103" i="2"/>
  <c r="AN103" i="2"/>
  <c r="BD103" i="2"/>
  <c r="K104" i="2"/>
  <c r="AA104" i="2"/>
  <c r="AQ104" i="2"/>
  <c r="BG104" i="2"/>
  <c r="R105" i="2"/>
  <c r="AH105" i="2"/>
  <c r="AX105" i="2"/>
  <c r="I106" i="2"/>
  <c r="Y106" i="2"/>
  <c r="AO106" i="2"/>
  <c r="BE106" i="2"/>
  <c r="L107" i="2"/>
  <c r="AB107" i="2"/>
  <c r="AR107" i="2"/>
  <c r="BH107" i="2"/>
  <c r="O108" i="2"/>
  <c r="AE108" i="2"/>
  <c r="AU108" i="2"/>
  <c r="BK108" i="2"/>
  <c r="V109" i="2"/>
  <c r="AL109" i="2"/>
  <c r="BB109" i="2"/>
  <c r="M110" i="2"/>
  <c r="AC110" i="2"/>
  <c r="AS110" i="2"/>
  <c r="BI110" i="2"/>
  <c r="P111" i="2"/>
  <c r="AF111" i="2"/>
  <c r="AV111" i="2"/>
  <c r="BL111" i="2"/>
  <c r="S112" i="2"/>
  <c r="AI112" i="2"/>
  <c r="AY112" i="2"/>
  <c r="J113" i="2"/>
  <c r="Z113" i="2"/>
  <c r="AP113" i="2"/>
  <c r="BF113" i="2"/>
  <c r="Q114" i="2"/>
  <c r="AG114" i="2"/>
  <c r="AW114" i="2"/>
  <c r="BM114" i="2"/>
  <c r="T115" i="2"/>
  <c r="AJ115" i="2"/>
  <c r="AZ115" i="2"/>
  <c r="G116" i="2"/>
  <c r="W116" i="2"/>
  <c r="AM116" i="2"/>
  <c r="BC116" i="2"/>
  <c r="N117" i="2"/>
  <c r="AD117" i="2"/>
  <c r="AT117" i="2"/>
  <c r="BJ117" i="2"/>
  <c r="U118" i="2"/>
  <c r="AK118" i="2"/>
  <c r="BA118" i="2"/>
  <c r="H119" i="2"/>
  <c r="X119" i="2"/>
  <c r="AN119" i="2"/>
  <c r="BD119" i="2"/>
  <c r="K120" i="2"/>
  <c r="AA120" i="2"/>
  <c r="AQ120" i="2"/>
  <c r="BG120" i="2"/>
  <c r="R121" i="2"/>
  <c r="AH121" i="2"/>
  <c r="AX121" i="2"/>
  <c r="I122" i="2"/>
  <c r="Y122" i="2"/>
  <c r="AO122" i="2"/>
  <c r="BE122" i="2"/>
  <c r="L123" i="2"/>
  <c r="AB123" i="2"/>
  <c r="AR123" i="2"/>
  <c r="BH123" i="2"/>
  <c r="O124" i="2"/>
  <c r="AE124" i="2"/>
  <c r="AU124" i="2"/>
  <c r="BK124" i="2"/>
  <c r="V125" i="2"/>
  <c r="AL125" i="2"/>
  <c r="BB125" i="2"/>
  <c r="M126" i="2"/>
  <c r="AC126" i="2"/>
  <c r="AS126" i="2"/>
  <c r="BI126" i="2"/>
  <c r="Q127" i="3"/>
  <c r="Q127" i="2" s="1"/>
  <c r="Q128" i="2"/>
  <c r="AG127" i="3"/>
  <c r="AG127" i="2" s="1"/>
  <c r="AG128" i="2"/>
  <c r="AW127" i="3"/>
  <c r="AW127" i="2" s="1"/>
  <c r="AW128" i="2"/>
  <c r="BM127" i="3"/>
  <c r="BM127" i="2" s="1"/>
  <c r="BM128" i="2"/>
  <c r="T129" i="2"/>
  <c r="AJ129" i="2"/>
  <c r="AZ129" i="2"/>
  <c r="G130" i="2"/>
  <c r="W130" i="2"/>
  <c r="AM130" i="2"/>
  <c r="BC130" i="2"/>
  <c r="N131" i="2"/>
  <c r="AD131" i="2"/>
  <c r="AT131" i="2"/>
  <c r="BJ131" i="2"/>
  <c r="U132" i="2"/>
  <c r="AK132" i="2"/>
  <c r="BA132" i="2"/>
  <c r="H133" i="2"/>
  <c r="X133" i="2"/>
  <c r="AN133" i="2"/>
  <c r="BD133" i="2"/>
  <c r="K134" i="2"/>
  <c r="AA134" i="2"/>
  <c r="AQ134" i="2"/>
  <c r="BG134" i="2"/>
  <c r="R135" i="2"/>
  <c r="AH135" i="2"/>
  <c r="AX135" i="2"/>
  <c r="I136" i="2"/>
  <c r="Y136" i="2"/>
  <c r="AO136" i="2"/>
  <c r="BE136" i="2"/>
  <c r="L137" i="2"/>
  <c r="AB137" i="2"/>
  <c r="AR137" i="2"/>
  <c r="BH137" i="2"/>
  <c r="O138" i="2"/>
  <c r="AE138" i="2"/>
  <c r="AU138" i="2"/>
  <c r="BK138" i="2"/>
  <c r="V139" i="2"/>
  <c r="AL139" i="2"/>
  <c r="BB139" i="2"/>
  <c r="M140" i="2"/>
  <c r="AC140" i="2"/>
  <c r="AS140" i="2"/>
  <c r="BI140" i="2"/>
  <c r="P141" i="2"/>
  <c r="AF141" i="2"/>
  <c r="AV141" i="2"/>
  <c r="BL141" i="2"/>
  <c r="S142" i="2"/>
  <c r="AI142" i="2"/>
  <c r="AY142" i="2"/>
  <c r="J143" i="2"/>
  <c r="Z143" i="2"/>
  <c r="AP143" i="2"/>
  <c r="BF143" i="2"/>
  <c r="T144" i="2"/>
  <c r="AU144" i="2"/>
  <c r="R145" i="2"/>
  <c r="AX145" i="2"/>
  <c r="AG53" i="2"/>
  <c r="AW53" i="2"/>
  <c r="BM53" i="2"/>
  <c r="T54" i="2"/>
  <c r="AJ54" i="2"/>
  <c r="AZ54" i="2"/>
  <c r="G55" i="2"/>
  <c r="W55" i="2"/>
  <c r="AM55" i="2"/>
  <c r="BC55" i="2"/>
  <c r="N56" i="2"/>
  <c r="AD56" i="2"/>
  <c r="AT56" i="2"/>
  <c r="BJ56" i="2"/>
  <c r="U57" i="2"/>
  <c r="AK57" i="2"/>
  <c r="BA57" i="2"/>
  <c r="H58" i="2"/>
  <c r="X58" i="2"/>
  <c r="AN58" i="2"/>
  <c r="BD58" i="2"/>
  <c r="K59" i="2"/>
  <c r="AA59" i="2"/>
  <c r="AQ59" i="2"/>
  <c r="BG59" i="2"/>
  <c r="R60" i="2"/>
  <c r="AH60" i="2"/>
  <c r="AX60" i="2"/>
  <c r="I61" i="2"/>
  <c r="Y61" i="2"/>
  <c r="AO61" i="2"/>
  <c r="BE61" i="2"/>
  <c r="L62" i="2"/>
  <c r="AB62" i="2"/>
  <c r="AR62" i="2"/>
  <c r="BH62" i="2"/>
  <c r="O63" i="2"/>
  <c r="AE63" i="2"/>
  <c r="AU63" i="2"/>
  <c r="BK63" i="2"/>
  <c r="V64" i="2"/>
  <c r="AL64" i="2"/>
  <c r="BB64" i="2"/>
  <c r="M65" i="2"/>
  <c r="AC65" i="2"/>
  <c r="AS65" i="2"/>
  <c r="BI65" i="2"/>
  <c r="P66" i="2"/>
  <c r="AF66" i="2"/>
  <c r="AV66" i="2"/>
  <c r="BL66" i="2"/>
  <c r="S67" i="2"/>
  <c r="AI67" i="2"/>
  <c r="AY67" i="2"/>
  <c r="J68" i="2"/>
  <c r="Z68" i="2"/>
  <c r="AP68" i="2"/>
  <c r="BF68" i="2"/>
  <c r="Q69" i="2"/>
  <c r="AG69" i="2"/>
  <c r="AW69" i="2"/>
  <c r="BM69" i="2"/>
  <c r="T70" i="2"/>
  <c r="AJ70" i="2"/>
  <c r="AZ70" i="2"/>
  <c r="G71" i="2"/>
  <c r="W71" i="2"/>
  <c r="AM71" i="2"/>
  <c r="BC71" i="2"/>
  <c r="N72" i="2"/>
  <c r="AD72" i="2"/>
  <c r="AT72" i="2"/>
  <c r="BJ72" i="2"/>
  <c r="U73" i="2"/>
  <c r="AK73" i="2"/>
  <c r="BA73" i="2"/>
  <c r="H74" i="2"/>
  <c r="X74" i="2"/>
  <c r="AN74" i="2"/>
  <c r="BD74" i="2"/>
  <c r="K75" i="2"/>
  <c r="AA75" i="2"/>
  <c r="AQ75" i="2"/>
  <c r="BG75" i="2"/>
  <c r="R76" i="2"/>
  <c r="AH76" i="2"/>
  <c r="AX76" i="2"/>
  <c r="I77" i="2"/>
  <c r="Y77" i="2"/>
  <c r="AO77" i="2"/>
  <c r="BE77" i="2"/>
  <c r="L78" i="2"/>
  <c r="AB78" i="2"/>
  <c r="AR78" i="2"/>
  <c r="BH78" i="2"/>
  <c r="O79" i="2"/>
  <c r="AE79" i="2"/>
  <c r="AU79" i="2"/>
  <c r="BK79" i="2"/>
  <c r="V80" i="2"/>
  <c r="AL80" i="2"/>
  <c r="BB80" i="2"/>
  <c r="M81" i="2"/>
  <c r="AC81" i="2"/>
  <c r="AS81" i="2"/>
  <c r="BI81" i="2"/>
  <c r="P82" i="2"/>
  <c r="AF82" i="2"/>
  <c r="AV82" i="2"/>
  <c r="BL82" i="2"/>
  <c r="S83" i="2"/>
  <c r="AI83" i="2"/>
  <c r="AY83" i="2"/>
  <c r="J84" i="2"/>
  <c r="Z84" i="2"/>
  <c r="AP84" i="2"/>
  <c r="BF84" i="2"/>
  <c r="Q85" i="2"/>
  <c r="AG85" i="2"/>
  <c r="AW85" i="2"/>
  <c r="BM85" i="2"/>
  <c r="U86" i="3"/>
  <c r="U86" i="2" s="1"/>
  <c r="U87" i="2"/>
  <c r="AK86" i="3"/>
  <c r="AK86" i="2" s="1"/>
  <c r="AK87" i="2"/>
  <c r="BA86" i="3"/>
  <c r="BA86" i="2" s="1"/>
  <c r="BA87" i="2"/>
  <c r="H88" i="2"/>
  <c r="X88" i="2"/>
  <c r="AN88" i="2"/>
  <c r="BD88" i="2"/>
  <c r="K89" i="2"/>
  <c r="AA89" i="2"/>
  <c r="AQ89" i="2"/>
  <c r="BG89" i="2"/>
  <c r="R90" i="2"/>
  <c r="AH90" i="2"/>
  <c r="AX90" i="2"/>
  <c r="I91" i="2"/>
  <c r="Y91" i="2"/>
  <c r="AO91" i="2"/>
  <c r="BE91" i="2"/>
  <c r="L92" i="2"/>
  <c r="AB92" i="2"/>
  <c r="AR92" i="2"/>
  <c r="BH92" i="2"/>
  <c r="O93" i="2"/>
  <c r="AE93" i="2"/>
  <c r="AU93" i="2"/>
  <c r="BK93" i="2"/>
  <c r="V94" i="2"/>
  <c r="AL94" i="2"/>
  <c r="BB94" i="2"/>
  <c r="M95" i="2"/>
  <c r="AC95" i="2"/>
  <c r="AS95" i="2"/>
  <c r="BI95" i="2"/>
  <c r="P96" i="2"/>
  <c r="AF96" i="2"/>
  <c r="AV96" i="2"/>
  <c r="BL96" i="2"/>
  <c r="S97" i="2"/>
  <c r="AI97" i="2"/>
  <c r="AY97" i="2"/>
  <c r="J98" i="2"/>
  <c r="Z98" i="2"/>
  <c r="AP98" i="2"/>
  <c r="BF98" i="2"/>
  <c r="Q99" i="2"/>
  <c r="AG99" i="2"/>
  <c r="AW99" i="2"/>
  <c r="BM99" i="2"/>
  <c r="T100" i="2"/>
  <c r="AJ100" i="2"/>
  <c r="AZ100" i="2"/>
  <c r="G101" i="2"/>
  <c r="W101" i="2"/>
  <c r="AM101" i="2"/>
  <c r="BC101" i="2"/>
  <c r="N102" i="2"/>
  <c r="AD102" i="2"/>
  <c r="AT102" i="2"/>
  <c r="BJ102" i="2"/>
  <c r="U103" i="2"/>
  <c r="AK103" i="2"/>
  <c r="BA103" i="2"/>
  <c r="H104" i="2"/>
  <c r="X104" i="2"/>
  <c r="AN104" i="2"/>
  <c r="BD104" i="2"/>
  <c r="K105" i="2"/>
  <c r="AA105" i="2"/>
  <c r="AQ105" i="2"/>
  <c r="BG105" i="2"/>
  <c r="R106" i="2"/>
  <c r="AH106" i="2"/>
  <c r="AX106" i="2"/>
  <c r="I107" i="2"/>
  <c r="Y107" i="2"/>
  <c r="AO107" i="2"/>
  <c r="BE107" i="2"/>
  <c r="L108" i="2"/>
  <c r="AB108" i="2"/>
  <c r="AR108" i="2"/>
  <c r="BH108" i="2"/>
  <c r="O109" i="2"/>
  <c r="AE109" i="2"/>
  <c r="AU109" i="2"/>
  <c r="BK109" i="2"/>
  <c r="V110" i="2"/>
  <c r="AL110" i="2"/>
  <c r="BB110" i="2"/>
  <c r="M111" i="2"/>
  <c r="AC111" i="2"/>
  <c r="AS111" i="2"/>
  <c r="BI111" i="2"/>
  <c r="P112" i="2"/>
  <c r="AF112" i="2"/>
  <c r="AV112" i="2"/>
  <c r="BL112" i="2"/>
  <c r="S113" i="2"/>
  <c r="AI113" i="2"/>
  <c r="AY113" i="2"/>
  <c r="J114" i="2"/>
  <c r="Z114" i="2"/>
  <c r="AP114" i="2"/>
  <c r="BF114" i="2"/>
  <c r="Q115" i="2"/>
  <c r="AG115" i="2"/>
  <c r="AW115" i="2"/>
  <c r="BM115" i="2"/>
  <c r="T116" i="2"/>
  <c r="AJ116" i="2"/>
  <c r="AZ116" i="2"/>
  <c r="G117" i="2"/>
  <c r="W117" i="2"/>
  <c r="AM117" i="2"/>
  <c r="BC117" i="2"/>
  <c r="N118" i="2"/>
  <c r="AD118" i="2"/>
  <c r="AT118" i="2"/>
  <c r="BJ118" i="2"/>
  <c r="U119" i="2"/>
  <c r="AK119" i="2"/>
  <c r="BA119" i="2"/>
  <c r="H120" i="2"/>
  <c r="X120" i="2"/>
  <c r="AN120" i="2"/>
  <c r="BD120" i="2"/>
  <c r="K121" i="2"/>
  <c r="AA121" i="2"/>
  <c r="AQ121" i="2"/>
  <c r="BG121" i="2"/>
  <c r="R122" i="2"/>
  <c r="AH122" i="2"/>
  <c r="AX122" i="2"/>
  <c r="I123" i="2"/>
  <c r="Y123" i="2"/>
  <c r="AO123" i="2"/>
  <c r="BE123" i="2"/>
  <c r="L124" i="2"/>
  <c r="AB124" i="2"/>
  <c r="AR124" i="2"/>
  <c r="BH124" i="2"/>
  <c r="O125" i="2"/>
  <c r="AE125" i="2"/>
  <c r="AU125" i="2"/>
  <c r="BK125" i="2"/>
  <c r="V126" i="2"/>
  <c r="AL126" i="2"/>
  <c r="BB126" i="2"/>
  <c r="N127" i="3"/>
  <c r="N127" i="2" s="1"/>
  <c r="N128" i="2"/>
  <c r="AD127" i="3"/>
  <c r="AD127" i="2" s="1"/>
  <c r="AD128" i="2"/>
  <c r="AT127" i="3"/>
  <c r="AT127" i="2" s="1"/>
  <c r="AT128" i="2"/>
  <c r="BJ127" i="3"/>
  <c r="BJ127" i="2" s="1"/>
  <c r="BJ128" i="2"/>
  <c r="U129" i="2"/>
  <c r="AK129" i="2"/>
  <c r="BA129" i="2"/>
  <c r="H130" i="2"/>
  <c r="X130" i="2"/>
  <c r="AN130" i="2"/>
  <c r="BD130" i="2"/>
  <c r="K131" i="2"/>
  <c r="AA131" i="2"/>
  <c r="AQ131" i="2"/>
  <c r="BG131" i="2"/>
  <c r="R132" i="2"/>
  <c r="AH132" i="2"/>
  <c r="AX132" i="2"/>
  <c r="I133" i="2"/>
  <c r="Y133" i="2"/>
  <c r="AO133" i="2"/>
  <c r="BE133" i="2"/>
  <c r="L134" i="2"/>
  <c r="AB134" i="2"/>
  <c r="AR134" i="2"/>
  <c r="BH134" i="2"/>
  <c r="O135" i="2"/>
  <c r="AE135" i="2"/>
  <c r="AU135" i="2"/>
  <c r="BK135" i="2"/>
  <c r="V136" i="2"/>
  <c r="AL136" i="2"/>
  <c r="BB136" i="2"/>
  <c r="M137" i="2"/>
  <c r="AC137" i="2"/>
  <c r="AS137" i="2"/>
  <c r="BI137" i="2"/>
  <c r="P138" i="2"/>
  <c r="AF138" i="2"/>
  <c r="AV138" i="2"/>
  <c r="BL138" i="2"/>
  <c r="S139" i="2"/>
  <c r="AI139" i="2"/>
  <c r="AY139" i="2"/>
  <c r="J140" i="2"/>
  <c r="Z140" i="2"/>
  <c r="AP140" i="2"/>
  <c r="BF140" i="2"/>
  <c r="Q141" i="2"/>
  <c r="AG141" i="2"/>
  <c r="AW141" i="2"/>
  <c r="BM141" i="2"/>
  <c r="T142" i="2"/>
  <c r="AJ142" i="2"/>
  <c r="AZ142" i="2"/>
  <c r="G143" i="2"/>
  <c r="W143" i="2"/>
  <c r="AM143" i="2"/>
  <c r="BC143" i="2"/>
  <c r="P144" i="2"/>
  <c r="AP144" i="2"/>
  <c r="U145" i="2"/>
  <c r="BA145" i="2"/>
  <c r="P146" i="2"/>
  <c r="AF146" i="2"/>
  <c r="AV146" i="2"/>
  <c r="BL146" i="2"/>
  <c r="S147" i="2"/>
  <c r="AI147" i="2"/>
  <c r="AY147" i="2"/>
  <c r="J148" i="2"/>
  <c r="Z148" i="2"/>
  <c r="AP148" i="2"/>
  <c r="BF148" i="2"/>
  <c r="Q149" i="2"/>
  <c r="AG149" i="2"/>
  <c r="AW149" i="2"/>
  <c r="BM149" i="2"/>
  <c r="T150" i="2"/>
  <c r="AJ150" i="2"/>
  <c r="AZ150" i="2"/>
  <c r="G151" i="2"/>
  <c r="W151" i="2"/>
  <c r="AM151" i="2"/>
  <c r="BC151" i="2"/>
  <c r="N152" i="2"/>
  <c r="AD152" i="2"/>
  <c r="AT152" i="2"/>
  <c r="BJ152" i="2"/>
  <c r="U153" i="2"/>
  <c r="AK153" i="2"/>
  <c r="BA153" i="2"/>
  <c r="H154" i="2"/>
  <c r="X154" i="2"/>
  <c r="AN154" i="2"/>
  <c r="BD154" i="2"/>
  <c r="K155" i="2"/>
  <c r="AA155" i="2"/>
  <c r="AQ155" i="2"/>
  <c r="BG155" i="2"/>
  <c r="R156" i="2"/>
  <c r="AH156" i="2"/>
  <c r="AX156" i="2"/>
  <c r="I157" i="2"/>
  <c r="Y157" i="2"/>
  <c r="AO157" i="2"/>
  <c r="BE157" i="2"/>
  <c r="L158" i="2"/>
  <c r="AB158" i="2"/>
  <c r="AR158" i="2"/>
  <c r="BH158" i="2"/>
  <c r="O159" i="2"/>
  <c r="AE159" i="2"/>
  <c r="AU159" i="2"/>
  <c r="BK159" i="2"/>
  <c r="V160" i="2"/>
  <c r="AL160" i="2"/>
  <c r="BB160" i="2"/>
  <c r="M161" i="2"/>
  <c r="AC161" i="2"/>
  <c r="AS161" i="2"/>
  <c r="BI161" i="2"/>
  <c r="P162" i="2"/>
  <c r="AF162" i="2"/>
  <c r="AV162" i="2"/>
  <c r="BL162" i="2"/>
  <c r="S163" i="2"/>
  <c r="AI163" i="2"/>
  <c r="AY163" i="2"/>
  <c r="J164" i="2"/>
  <c r="Z164" i="2"/>
  <c r="AP164" i="2"/>
  <c r="BF164" i="2"/>
  <c r="Q165" i="2"/>
  <c r="AG165" i="2"/>
  <c r="AW165" i="2"/>
  <c r="BM165" i="2"/>
  <c r="T166" i="2"/>
  <c r="AJ166" i="2"/>
  <c r="AZ166" i="2"/>
  <c r="G167" i="2"/>
  <c r="W167" i="2"/>
  <c r="AM167" i="2"/>
  <c r="BC167" i="2"/>
  <c r="K168" i="3"/>
  <c r="K168" i="2" s="1"/>
  <c r="K169" i="2"/>
  <c r="AA168" i="3"/>
  <c r="AA168" i="2" s="1"/>
  <c r="AA169" i="2"/>
  <c r="AQ168" i="3"/>
  <c r="AQ168" i="2" s="1"/>
  <c r="AQ169" i="2"/>
  <c r="BG168" i="3"/>
  <c r="BG168" i="2" s="1"/>
  <c r="BG169" i="2"/>
  <c r="R170" i="2"/>
  <c r="AH170" i="2"/>
  <c r="AX170" i="2"/>
  <c r="I171" i="2"/>
  <c r="Y171" i="2"/>
  <c r="AO171" i="2"/>
  <c r="BE171" i="2"/>
  <c r="L172" i="2"/>
  <c r="AB172" i="2"/>
  <c r="AR172" i="2"/>
  <c r="BH172" i="2"/>
  <c r="O173" i="2"/>
  <c r="AE173" i="2"/>
  <c r="AU173" i="2"/>
  <c r="BK173" i="2"/>
  <c r="V174" i="2"/>
  <c r="AL174" i="2"/>
  <c r="BB174" i="2"/>
  <c r="M175" i="2"/>
  <c r="AC175" i="2"/>
  <c r="AS175" i="2"/>
  <c r="BI175" i="2"/>
  <c r="P176" i="2"/>
  <c r="AF176" i="2"/>
  <c r="AV176" i="2"/>
  <c r="BL176" i="2"/>
  <c r="S177" i="2"/>
  <c r="AI177" i="2"/>
  <c r="AY177" i="2"/>
  <c r="J178" i="2"/>
  <c r="Z178" i="2"/>
  <c r="AP178" i="2"/>
  <c r="BF178" i="2"/>
  <c r="Q179" i="2"/>
  <c r="AG179" i="2"/>
  <c r="AW179" i="2"/>
  <c r="BM179" i="2"/>
  <c r="T180" i="2"/>
  <c r="AJ180" i="2"/>
  <c r="AZ180" i="2"/>
  <c r="G181" i="2"/>
  <c r="W181" i="2"/>
  <c r="AM181" i="2"/>
  <c r="BC181" i="2"/>
  <c r="N182" i="2"/>
  <c r="AD182" i="2"/>
  <c r="AT182" i="2"/>
  <c r="BJ182" i="2"/>
  <c r="U183" i="2"/>
  <c r="AK183" i="2"/>
  <c r="BA183" i="2"/>
  <c r="H184" i="2"/>
  <c r="X184" i="2"/>
  <c r="AN184" i="2"/>
  <c r="BD184" i="2"/>
  <c r="K185" i="2"/>
  <c r="AA185" i="2"/>
  <c r="AQ185" i="2"/>
  <c r="BG185" i="2"/>
  <c r="R186" i="2"/>
  <c r="AH186" i="2"/>
  <c r="AX186" i="2"/>
  <c r="I187" i="2"/>
  <c r="Y187" i="2"/>
  <c r="AO187" i="2"/>
  <c r="BE187" i="2"/>
  <c r="L188" i="2"/>
  <c r="AB188" i="2"/>
  <c r="AR188" i="2"/>
  <c r="BH188" i="2"/>
  <c r="O189" i="2"/>
  <c r="AE189" i="2"/>
  <c r="AU189" i="2"/>
  <c r="BK189" i="2"/>
  <c r="V190" i="2"/>
  <c r="AL190" i="2"/>
  <c r="BB190" i="2"/>
  <c r="M191" i="2"/>
  <c r="AC191" i="2"/>
  <c r="AS191" i="2"/>
  <c r="BI191" i="2"/>
  <c r="P192" i="2"/>
  <c r="AF192" i="2"/>
  <c r="AV192" i="2"/>
  <c r="BL192" i="2"/>
  <c r="S193" i="2"/>
  <c r="AI193" i="2"/>
  <c r="AY193" i="2"/>
  <c r="J194" i="2"/>
  <c r="Z194" i="2"/>
  <c r="AP194" i="2"/>
  <c r="BF194" i="2"/>
  <c r="Q195" i="2"/>
  <c r="AG195" i="2"/>
  <c r="AW195" i="2"/>
  <c r="BM195" i="2"/>
  <c r="T196" i="2"/>
  <c r="AJ196" i="2"/>
  <c r="AZ196" i="2"/>
  <c r="G197" i="2"/>
  <c r="W197" i="2"/>
  <c r="AM197" i="2"/>
  <c r="BC197" i="2"/>
  <c r="N198" i="2"/>
  <c r="AD198" i="2"/>
  <c r="AT198" i="2"/>
  <c r="BJ198" i="2"/>
  <c r="U199" i="2"/>
  <c r="AK199" i="2"/>
  <c r="BA199" i="2"/>
  <c r="H200" i="2"/>
  <c r="X200" i="2"/>
  <c r="AN200" i="2"/>
  <c r="BD200" i="2"/>
  <c r="K201" i="2"/>
  <c r="AA201" i="2"/>
  <c r="AQ201" i="2"/>
  <c r="BG201" i="2"/>
  <c r="R202" i="2"/>
  <c r="AH202" i="2"/>
  <c r="AX202" i="2"/>
  <c r="I203" i="2"/>
  <c r="Y203" i="2"/>
  <c r="AO203" i="2"/>
  <c r="BE203" i="2"/>
  <c r="L204" i="2"/>
  <c r="AB204" i="2"/>
  <c r="AR204" i="2"/>
  <c r="BH204" i="2"/>
  <c r="O205" i="2"/>
  <c r="AE205" i="2"/>
  <c r="AU205" i="2"/>
  <c r="BK205" i="2"/>
  <c r="V206" i="2"/>
  <c r="AL206" i="2"/>
  <c r="BB206" i="2"/>
  <c r="M207" i="2"/>
  <c r="AC207" i="2"/>
  <c r="AS207" i="2"/>
  <c r="BI207" i="2"/>
  <c r="P208" i="2"/>
  <c r="AF208" i="2"/>
  <c r="AV208" i="2"/>
  <c r="BL208" i="2"/>
  <c r="T209" i="3"/>
  <c r="T209" i="2" s="1"/>
  <c r="T210" i="2"/>
  <c r="AJ209" i="3"/>
  <c r="AJ209" i="2" s="1"/>
  <c r="AJ210" i="2"/>
  <c r="AZ209" i="3"/>
  <c r="AZ209" i="2" s="1"/>
  <c r="AZ210" i="2"/>
  <c r="G211" i="2"/>
  <c r="W211" i="2"/>
  <c r="AM211" i="2"/>
  <c r="BC211" i="2"/>
  <c r="N212" i="2"/>
  <c r="AD212" i="2"/>
  <c r="AT212" i="2"/>
  <c r="BJ212" i="2"/>
  <c r="U213" i="2"/>
  <c r="AK213" i="2"/>
  <c r="BA213" i="2"/>
  <c r="H214" i="2"/>
  <c r="X214" i="2"/>
  <c r="AN214" i="2"/>
  <c r="BD214" i="2"/>
  <c r="K215" i="2"/>
  <c r="AA215" i="2"/>
  <c r="AQ215" i="2"/>
  <c r="BG215" i="2"/>
  <c r="R216" i="2"/>
  <c r="AH216" i="2"/>
  <c r="AX216" i="2"/>
  <c r="I217" i="2"/>
  <c r="Y217" i="2"/>
  <c r="AO217" i="2"/>
  <c r="BE217" i="2"/>
  <c r="L218" i="2"/>
  <c r="AB218" i="2"/>
  <c r="AR218" i="2"/>
  <c r="BH218" i="2"/>
  <c r="O219" i="2"/>
  <c r="AE219" i="2"/>
  <c r="AU219" i="2"/>
  <c r="BK219" i="2"/>
  <c r="V220" i="2"/>
  <c r="AL220" i="2"/>
  <c r="BB220" i="2"/>
  <c r="M221" i="2"/>
  <c r="AC221" i="2"/>
  <c r="AS221" i="2"/>
  <c r="BI221" i="2"/>
  <c r="P222" i="2"/>
  <c r="AF222" i="2"/>
  <c r="AV222" i="2"/>
  <c r="BL222" i="2"/>
  <c r="S223" i="2"/>
  <c r="AI223" i="2"/>
  <c r="AY223" i="2"/>
  <c r="J224" i="2"/>
  <c r="Z224" i="2"/>
  <c r="AP224" i="2"/>
  <c r="BF224" i="2"/>
  <c r="Q225" i="2"/>
  <c r="AG225" i="2"/>
  <c r="AW225" i="2"/>
  <c r="BM225" i="2"/>
  <c r="T226" i="2"/>
  <c r="AJ226" i="2"/>
  <c r="AZ226" i="2"/>
  <c r="G227" i="2"/>
  <c r="W227" i="2"/>
  <c r="AM227" i="2"/>
  <c r="BC227" i="2"/>
  <c r="N228" i="2"/>
  <c r="AD228" i="2"/>
  <c r="AT228" i="2"/>
  <c r="BJ228" i="2"/>
  <c r="U229" i="2"/>
  <c r="AK229" i="2"/>
  <c r="BA229" i="2"/>
  <c r="H230" i="2"/>
  <c r="X230" i="2"/>
  <c r="AN230" i="2"/>
  <c r="BD230" i="2"/>
  <c r="K231" i="2"/>
  <c r="AA231" i="2"/>
  <c r="AQ231" i="2"/>
  <c r="BG231" i="2"/>
  <c r="R232" i="2"/>
  <c r="AH232" i="2"/>
  <c r="AX232" i="2"/>
  <c r="I233" i="2"/>
  <c r="Y233" i="2"/>
  <c r="AO233" i="2"/>
  <c r="BE233" i="2"/>
  <c r="L234" i="2"/>
  <c r="AB234" i="2"/>
  <c r="AR234" i="2"/>
  <c r="BL234" i="2"/>
  <c r="X235" i="2"/>
  <c r="I146" i="2"/>
  <c r="Y146" i="2"/>
  <c r="AO146" i="2"/>
  <c r="BE146" i="2"/>
  <c r="L147" i="2"/>
  <c r="AB147" i="2"/>
  <c r="AR147" i="2"/>
  <c r="BH147" i="2"/>
  <c r="O148" i="2"/>
  <c r="AE148" i="2"/>
  <c r="AU148" i="2"/>
  <c r="BK148" i="2"/>
  <c r="V149" i="2"/>
  <c r="AL149" i="2"/>
  <c r="BB149" i="2"/>
  <c r="M150" i="2"/>
  <c r="AC150" i="2"/>
  <c r="AS150" i="2"/>
  <c r="BI150" i="2"/>
  <c r="P151" i="2"/>
  <c r="AF151" i="2"/>
  <c r="AV151" i="2"/>
  <c r="BL151" i="2"/>
  <c r="S152" i="2"/>
  <c r="AI152" i="2"/>
  <c r="AY152" i="2"/>
  <c r="J153" i="2"/>
  <c r="Z153" i="2"/>
  <c r="AP153" i="2"/>
  <c r="BF153" i="2"/>
  <c r="Q154" i="2"/>
  <c r="AG154" i="2"/>
  <c r="AW154" i="2"/>
  <c r="BM154" i="2"/>
  <c r="T155" i="2"/>
  <c r="AJ155" i="2"/>
  <c r="AZ155" i="2"/>
  <c r="G156" i="2"/>
  <c r="W156" i="2"/>
  <c r="AM156" i="2"/>
  <c r="BC156" i="2"/>
  <c r="N157" i="2"/>
  <c r="AD157" i="2"/>
  <c r="AT157" i="2"/>
  <c r="BJ157" i="2"/>
  <c r="U158" i="2"/>
  <c r="AK158" i="2"/>
  <c r="BA158" i="2"/>
  <c r="H159" i="2"/>
  <c r="X159" i="2"/>
  <c r="AN159" i="2"/>
  <c r="BD159" i="2"/>
  <c r="K160" i="2"/>
  <c r="AA160" i="2"/>
  <c r="AQ160" i="2"/>
  <c r="BG160" i="2"/>
  <c r="R161" i="2"/>
  <c r="AH161" i="2"/>
  <c r="AX161" i="2"/>
  <c r="I162" i="2"/>
  <c r="Y162" i="2"/>
  <c r="AO162" i="2"/>
  <c r="BE162" i="2"/>
  <c r="L163" i="2"/>
  <c r="AB163" i="2"/>
  <c r="AR163" i="2"/>
  <c r="BH163" i="2"/>
  <c r="O164" i="2"/>
  <c r="AE164" i="2"/>
  <c r="AU164" i="2"/>
  <c r="BK164" i="2"/>
  <c r="V165" i="2"/>
  <c r="AL165" i="2"/>
  <c r="BB165" i="2"/>
  <c r="M166" i="2"/>
  <c r="AC166" i="2"/>
  <c r="AS166" i="2"/>
  <c r="BI166" i="2"/>
  <c r="P167" i="2"/>
  <c r="AF167" i="2"/>
  <c r="AV167" i="2"/>
  <c r="BL167" i="2"/>
  <c r="T168" i="3"/>
  <c r="T168" i="2" s="1"/>
  <c r="T169" i="2"/>
  <c r="AJ168" i="3"/>
  <c r="AJ168" i="2" s="1"/>
  <c r="AJ169" i="2"/>
  <c r="AZ168" i="3"/>
  <c r="AZ168" i="2" s="1"/>
  <c r="AZ169" i="2"/>
  <c r="G170" i="2"/>
  <c r="W170" i="2"/>
  <c r="AM170" i="2"/>
  <c r="BC170" i="2"/>
  <c r="N171" i="2"/>
  <c r="AD171" i="2"/>
  <c r="AT171" i="2"/>
  <c r="BJ171" i="2"/>
  <c r="U172" i="2"/>
  <c r="AK172" i="2"/>
  <c r="BA172" i="2"/>
  <c r="H173" i="2"/>
  <c r="X173" i="2"/>
  <c r="AN173" i="2"/>
  <c r="BD173" i="2"/>
  <c r="K174" i="2"/>
  <c r="AA174" i="2"/>
  <c r="AQ174" i="2"/>
  <c r="BG174" i="2"/>
  <c r="R175" i="2"/>
  <c r="AH175" i="2"/>
  <c r="AX175" i="2"/>
  <c r="I176" i="2"/>
  <c r="Y176" i="2"/>
  <c r="AO176" i="2"/>
  <c r="BE176" i="2"/>
  <c r="L177" i="2"/>
  <c r="AB177" i="2"/>
  <c r="AR177" i="2"/>
  <c r="BH177" i="2"/>
  <c r="O178" i="2"/>
  <c r="AE178" i="2"/>
  <c r="AU178" i="2"/>
  <c r="BK178" i="2"/>
  <c r="V179" i="2"/>
  <c r="AL179" i="2"/>
  <c r="BB179" i="2"/>
  <c r="M180" i="2"/>
  <c r="AC180" i="2"/>
  <c r="AS180" i="2"/>
  <c r="BI180" i="2"/>
  <c r="P181" i="2"/>
  <c r="AF181" i="2"/>
  <c r="AV181" i="2"/>
  <c r="BL181" i="2"/>
  <c r="S182" i="2"/>
  <c r="AI182" i="2"/>
  <c r="AY182" i="2"/>
  <c r="J183" i="2"/>
  <c r="Z183" i="2"/>
  <c r="AP183" i="2"/>
  <c r="BF183" i="2"/>
  <c r="Q184" i="2"/>
  <c r="AG184" i="2"/>
  <c r="AW184" i="2"/>
  <c r="BM184" i="2"/>
  <c r="T185" i="2"/>
  <c r="AJ185" i="2"/>
  <c r="AZ185" i="2"/>
  <c r="G186" i="2"/>
  <c r="W186" i="2"/>
  <c r="AM186" i="2"/>
  <c r="BC186" i="2"/>
  <c r="N187" i="2"/>
  <c r="AD187" i="2"/>
  <c r="AT187" i="2"/>
  <c r="BJ187" i="2"/>
  <c r="U188" i="2"/>
  <c r="AK188" i="2"/>
  <c r="BA188" i="2"/>
  <c r="H189" i="2"/>
  <c r="X189" i="2"/>
  <c r="AN189" i="2"/>
  <c r="BD189" i="2"/>
  <c r="K190" i="2"/>
  <c r="AA190" i="2"/>
  <c r="AQ190" i="2"/>
  <c r="BG190" i="2"/>
  <c r="R191" i="2"/>
  <c r="AH191" i="2"/>
  <c r="AX191" i="2"/>
  <c r="I192" i="2"/>
  <c r="Y192" i="2"/>
  <c r="AO192" i="2"/>
  <c r="BE192" i="2"/>
  <c r="L193" i="2"/>
  <c r="AB193" i="2"/>
  <c r="AR193" i="2"/>
  <c r="BH193" i="2"/>
  <c r="O194" i="2"/>
  <c r="AE194" i="2"/>
  <c r="AU194" i="2"/>
  <c r="BK194" i="2"/>
  <c r="V195" i="2"/>
  <c r="AL195" i="2"/>
  <c r="BB195" i="2"/>
  <c r="M196" i="2"/>
  <c r="AC196" i="2"/>
  <c r="AS196" i="2"/>
  <c r="BI196" i="2"/>
  <c r="P197" i="2"/>
  <c r="AF197" i="2"/>
  <c r="AV197" i="2"/>
  <c r="BL197" i="2"/>
  <c r="S198" i="2"/>
  <c r="AI198" i="2"/>
  <c r="AY198" i="2"/>
  <c r="J199" i="2"/>
  <c r="Z199" i="2"/>
  <c r="AP199" i="2"/>
  <c r="BF199" i="2"/>
  <c r="Q200" i="2"/>
  <c r="AG200" i="2"/>
  <c r="AW200" i="2"/>
  <c r="BM200" i="2"/>
  <c r="T201" i="2"/>
  <c r="AJ201" i="2"/>
  <c r="AZ201" i="2"/>
  <c r="G202" i="2"/>
  <c r="W202" i="2"/>
  <c r="AM202" i="2"/>
  <c r="BC202" i="2"/>
  <c r="N203" i="2"/>
  <c r="AD203" i="2"/>
  <c r="AT203" i="2"/>
  <c r="BJ203" i="2"/>
  <c r="U204" i="2"/>
  <c r="AK204" i="2"/>
  <c r="BA204" i="2"/>
  <c r="H205" i="2"/>
  <c r="X205" i="2"/>
  <c r="AN205" i="2"/>
  <c r="BD205" i="2"/>
  <c r="K206" i="2"/>
  <c r="AA206" i="2"/>
  <c r="AQ206" i="2"/>
  <c r="BG206" i="2"/>
  <c r="R207" i="2"/>
  <c r="AH207" i="2"/>
  <c r="AX207" i="2"/>
  <c r="I208" i="2"/>
  <c r="Y208" i="2"/>
  <c r="AO208" i="2"/>
  <c r="BE208" i="2"/>
  <c r="M209" i="3"/>
  <c r="M209" i="2" s="1"/>
  <c r="M210" i="2"/>
  <c r="AC209" i="3"/>
  <c r="AC209" i="2" s="1"/>
  <c r="AC210" i="2"/>
  <c r="AS209" i="3"/>
  <c r="AS209" i="2" s="1"/>
  <c r="AS210" i="2"/>
  <c r="BI209" i="3"/>
  <c r="BI209" i="2" s="1"/>
  <c r="BI210" i="2"/>
  <c r="P211" i="2"/>
  <c r="AF211" i="2"/>
  <c r="AV211" i="2"/>
  <c r="BL211" i="2"/>
  <c r="S212" i="2"/>
  <c r="AI212" i="2"/>
  <c r="AY212" i="2"/>
  <c r="J213" i="2"/>
  <c r="Z213" i="2"/>
  <c r="AP213" i="2"/>
  <c r="BF213" i="2"/>
  <c r="Q214" i="2"/>
  <c r="AG214" i="2"/>
  <c r="AW214" i="2"/>
  <c r="BM214" i="2"/>
  <c r="T215" i="2"/>
  <c r="AJ215" i="2"/>
  <c r="AZ215" i="2"/>
  <c r="G216" i="2"/>
  <c r="W216" i="2"/>
  <c r="AM216" i="2"/>
  <c r="BC216" i="2"/>
  <c r="N217" i="2"/>
  <c r="AD217" i="2"/>
  <c r="AT217" i="2"/>
  <c r="BJ217" i="2"/>
  <c r="U218" i="2"/>
  <c r="AK218" i="2"/>
  <c r="BA218" i="2"/>
  <c r="H219" i="2"/>
  <c r="X219" i="2"/>
  <c r="AN219" i="2"/>
  <c r="BD219" i="2"/>
  <c r="K220" i="2"/>
  <c r="AA220" i="2"/>
  <c r="AQ220" i="2"/>
  <c r="BG220" i="2"/>
  <c r="R221" i="2"/>
  <c r="AH221" i="2"/>
  <c r="AX221" i="2"/>
  <c r="I222" i="2"/>
  <c r="Y222" i="2"/>
  <c r="AO222" i="2"/>
  <c r="BE222" i="2"/>
  <c r="L223" i="2"/>
  <c r="AB223" i="2"/>
  <c r="AR223" i="2"/>
  <c r="BH223" i="2"/>
  <c r="O224" i="2"/>
  <c r="AE224" i="2"/>
  <c r="AU224" i="2"/>
  <c r="BK224" i="2"/>
  <c r="V225" i="2"/>
  <c r="AL225" i="2"/>
  <c r="BB225" i="2"/>
  <c r="M226" i="2"/>
  <c r="AC226" i="2"/>
  <c r="AS226" i="2"/>
  <c r="BI226" i="2"/>
  <c r="P227" i="2"/>
  <c r="AF227" i="2"/>
  <c r="AV227" i="2"/>
  <c r="BL227" i="2"/>
  <c r="S228" i="2"/>
  <c r="AI228" i="2"/>
  <c r="AY228" i="2"/>
  <c r="J229" i="2"/>
  <c r="Z229" i="2"/>
  <c r="AP229" i="2"/>
  <c r="BF229" i="2"/>
  <c r="Q230" i="2"/>
  <c r="AG230" i="2"/>
  <c r="AW230" i="2"/>
  <c r="BM230" i="2"/>
  <c r="T231" i="2"/>
  <c r="AJ231" i="2"/>
  <c r="AZ231" i="2"/>
  <c r="G232" i="2"/>
  <c r="W232" i="2"/>
  <c r="AM232" i="2"/>
  <c r="BC232" i="2"/>
  <c r="N233" i="2"/>
  <c r="AD233" i="2"/>
  <c r="AT233" i="2"/>
  <c r="BJ233" i="2"/>
  <c r="U234" i="2"/>
  <c r="AK234" i="2"/>
  <c r="BB234" i="2"/>
  <c r="O235" i="2"/>
  <c r="AO235" i="2"/>
  <c r="AN144" i="2"/>
  <c r="BD144" i="2"/>
  <c r="K145" i="2"/>
  <c r="AA145" i="2"/>
  <c r="AQ145" i="2"/>
  <c r="BG145" i="2"/>
  <c r="R146" i="2"/>
  <c r="AH146" i="2"/>
  <c r="AX146" i="2"/>
  <c r="I147" i="2"/>
  <c r="Y147" i="2"/>
  <c r="AO147" i="2"/>
  <c r="BE147" i="2"/>
  <c r="L148" i="2"/>
  <c r="AB148" i="2"/>
  <c r="AR148" i="2"/>
  <c r="BH148" i="2"/>
  <c r="O149" i="2"/>
  <c r="AE149" i="2"/>
  <c r="AU149" i="2"/>
  <c r="BK149" i="2"/>
  <c r="V150" i="2"/>
  <c r="AL150" i="2"/>
  <c r="BB150" i="2"/>
  <c r="M151" i="2"/>
  <c r="AC151" i="2"/>
  <c r="AS151" i="2"/>
  <c r="BI151" i="2"/>
  <c r="P152" i="2"/>
  <c r="AF152" i="2"/>
  <c r="AV152" i="2"/>
  <c r="BL152" i="2"/>
  <c r="S153" i="2"/>
  <c r="AI153" i="2"/>
  <c r="AY153" i="2"/>
  <c r="J154" i="2"/>
  <c r="Z154" i="2"/>
  <c r="AP154" i="2"/>
  <c r="BF154" i="2"/>
  <c r="Q155" i="2"/>
  <c r="AG155" i="2"/>
  <c r="AW155" i="2"/>
  <c r="BM155" i="2"/>
  <c r="T156" i="2"/>
  <c r="AJ156" i="2"/>
  <c r="AZ156" i="2"/>
  <c r="G157" i="2"/>
  <c r="W157" i="2"/>
  <c r="AM157" i="2"/>
  <c r="BC157" i="2"/>
  <c r="N158" i="2"/>
  <c r="AD158" i="2"/>
  <c r="AT158" i="2"/>
  <c r="BJ158" i="2"/>
  <c r="U159" i="2"/>
  <c r="AK159" i="2"/>
  <c r="BA159" i="2"/>
  <c r="H160" i="2"/>
  <c r="X160" i="2"/>
  <c r="AN160" i="2"/>
  <c r="BD160" i="2"/>
  <c r="K161" i="2"/>
  <c r="AA161" i="2"/>
  <c r="AQ161" i="2"/>
  <c r="BG161" i="2"/>
  <c r="R162" i="2"/>
  <c r="AH162" i="2"/>
  <c r="AX162" i="2"/>
  <c r="I163" i="2"/>
  <c r="Y163" i="2"/>
  <c r="AO163" i="2"/>
  <c r="BE163" i="2"/>
  <c r="L164" i="2"/>
  <c r="AB164" i="2"/>
  <c r="AR164" i="2"/>
  <c r="BH164" i="2"/>
  <c r="O165" i="2"/>
  <c r="AE165" i="2"/>
  <c r="AU165" i="2"/>
  <c r="BK165" i="2"/>
  <c r="V166" i="2"/>
  <c r="AL166" i="2"/>
  <c r="BB166" i="2"/>
  <c r="M167" i="2"/>
  <c r="AC167" i="2"/>
  <c r="AS167" i="2"/>
  <c r="BI167" i="2"/>
  <c r="Q168" i="3"/>
  <c r="Q168" i="2" s="1"/>
  <c r="Q169" i="2"/>
  <c r="AG168" i="3"/>
  <c r="AG168" i="2" s="1"/>
  <c r="AG169" i="2"/>
  <c r="AW168" i="3"/>
  <c r="AW168" i="2" s="1"/>
  <c r="AW169" i="2"/>
  <c r="BM168" i="3"/>
  <c r="BM168" i="2" s="1"/>
  <c r="BM169" i="2"/>
  <c r="T170" i="2"/>
  <c r="AJ170" i="2"/>
  <c r="AZ170" i="2"/>
  <c r="G171" i="2"/>
  <c r="W171" i="2"/>
  <c r="AM171" i="2"/>
  <c r="BC171" i="2"/>
  <c r="N172" i="2"/>
  <c r="AD172" i="2"/>
  <c r="AT172" i="2"/>
  <c r="BJ172" i="2"/>
  <c r="U173" i="2"/>
  <c r="AK173" i="2"/>
  <c r="BA173" i="2"/>
  <c r="H174" i="2"/>
  <c r="X174" i="2"/>
  <c r="AN174" i="2"/>
  <c r="BD174" i="2"/>
  <c r="K175" i="2"/>
  <c r="AA175" i="2"/>
  <c r="AQ175" i="2"/>
  <c r="BG175" i="2"/>
  <c r="R176" i="2"/>
  <c r="AH176" i="2"/>
  <c r="AX176" i="2"/>
  <c r="I177" i="2"/>
  <c r="Y177" i="2"/>
  <c r="AO177" i="2"/>
  <c r="BE177" i="2"/>
  <c r="L178" i="2"/>
  <c r="AB178" i="2"/>
  <c r="AR178" i="2"/>
  <c r="BH178" i="2"/>
  <c r="O179" i="2"/>
  <c r="AE179" i="2"/>
  <c r="AU179" i="2"/>
  <c r="BK179" i="2"/>
  <c r="V180" i="2"/>
  <c r="AL180" i="2"/>
  <c r="BB180" i="2"/>
  <c r="M181" i="2"/>
  <c r="AC181" i="2"/>
  <c r="AS181" i="2"/>
  <c r="BI181" i="2"/>
  <c r="P182" i="2"/>
  <c r="AF182" i="2"/>
  <c r="AV182" i="2"/>
  <c r="BL182" i="2"/>
  <c r="S183" i="2"/>
  <c r="AI183" i="2"/>
  <c r="AY183" i="2"/>
  <c r="J184" i="2"/>
  <c r="Z184" i="2"/>
  <c r="AP184" i="2"/>
  <c r="BF184" i="2"/>
  <c r="Q185" i="2"/>
  <c r="AG185" i="2"/>
  <c r="AW185" i="2"/>
  <c r="BM185" i="2"/>
  <c r="T186" i="2"/>
  <c r="AJ186" i="2"/>
  <c r="AZ186" i="2"/>
  <c r="G187" i="2"/>
  <c r="W187" i="2"/>
  <c r="AM187" i="2"/>
  <c r="BC187" i="2"/>
  <c r="N188" i="2"/>
  <c r="AD188" i="2"/>
  <c r="AT188" i="2"/>
  <c r="BJ188" i="2"/>
  <c r="U189" i="2"/>
  <c r="AK189" i="2"/>
  <c r="BA189" i="2"/>
  <c r="H190" i="2"/>
  <c r="X190" i="2"/>
  <c r="AN190" i="2"/>
  <c r="BD190" i="2"/>
  <c r="K191" i="2"/>
  <c r="AA191" i="2"/>
  <c r="AQ191" i="2"/>
  <c r="BG191" i="2"/>
  <c r="R192" i="2"/>
  <c r="AH192" i="2"/>
  <c r="AX192" i="2"/>
  <c r="I193" i="2"/>
  <c r="Y193" i="2"/>
  <c r="AO193" i="2"/>
  <c r="BE193" i="2"/>
  <c r="L194" i="2"/>
  <c r="AB194" i="2"/>
  <c r="AR194" i="2"/>
  <c r="BH194" i="2"/>
  <c r="O195" i="2"/>
  <c r="AE195" i="2"/>
  <c r="AU195" i="2"/>
  <c r="BK195" i="2"/>
  <c r="V196" i="2"/>
  <c r="AL196" i="2"/>
  <c r="BB196" i="2"/>
  <c r="M197" i="2"/>
  <c r="AC197" i="2"/>
  <c r="AS197" i="2"/>
  <c r="BI197" i="2"/>
  <c r="P198" i="2"/>
  <c r="AF198" i="2"/>
  <c r="AV198" i="2"/>
  <c r="BL198" i="2"/>
  <c r="S199" i="2"/>
  <c r="AI199" i="2"/>
  <c r="AY199" i="2"/>
  <c r="J200" i="2"/>
  <c r="Z200" i="2"/>
  <c r="AP200" i="2"/>
  <c r="BF200" i="2"/>
  <c r="Q201" i="2"/>
  <c r="AG201" i="2"/>
  <c r="AW201" i="2"/>
  <c r="BM201" i="2"/>
  <c r="T202" i="2"/>
  <c r="AJ202" i="2"/>
  <c r="AZ202" i="2"/>
  <c r="G203" i="2"/>
  <c r="W203" i="2"/>
  <c r="AM203" i="2"/>
  <c r="BC203" i="2"/>
  <c r="N204" i="2"/>
  <c r="AD204" i="2"/>
  <c r="AT204" i="2"/>
  <c r="BJ204" i="2"/>
  <c r="U205" i="2"/>
  <c r="AK205" i="2"/>
  <c r="BA205" i="2"/>
  <c r="H206" i="2"/>
  <c r="X206" i="2"/>
  <c r="AN206" i="2"/>
  <c r="BD206" i="2"/>
  <c r="K207" i="2"/>
  <c r="AA207" i="2"/>
  <c r="AQ207" i="2"/>
  <c r="BG207" i="2"/>
  <c r="R208" i="2"/>
  <c r="AH208" i="2"/>
  <c r="AX208" i="2"/>
  <c r="J209" i="3"/>
  <c r="J209" i="2" s="1"/>
  <c r="J210" i="2"/>
  <c r="Z209" i="3"/>
  <c r="Z209" i="2" s="1"/>
  <c r="Z210" i="2"/>
  <c r="AP209" i="3"/>
  <c r="AP209" i="2" s="1"/>
  <c r="AP210" i="2"/>
  <c r="BF209" i="3"/>
  <c r="BF209" i="2" s="1"/>
  <c r="BF210" i="2"/>
  <c r="Q211" i="2"/>
  <c r="AG211" i="2"/>
  <c r="AW211" i="2"/>
  <c r="BM211" i="2"/>
  <c r="T212" i="2"/>
  <c r="AJ212" i="2"/>
  <c r="AZ212" i="2"/>
  <c r="G213" i="2"/>
  <c r="W213" i="2"/>
  <c r="AM213" i="2"/>
  <c r="BC213" i="2"/>
  <c r="N214" i="2"/>
  <c r="AD214" i="2"/>
  <c r="AT214" i="2"/>
  <c r="BJ214" i="2"/>
  <c r="U215" i="2"/>
  <c r="AK215" i="2"/>
  <c r="BA215" i="2"/>
  <c r="H216" i="2"/>
  <c r="X216" i="2"/>
  <c r="AN216" i="2"/>
  <c r="BD216" i="2"/>
  <c r="K217" i="2"/>
  <c r="AA217" i="2"/>
  <c r="AQ217" i="2"/>
  <c r="BG217" i="2"/>
  <c r="R218" i="2"/>
  <c r="AH218" i="2"/>
  <c r="AX218" i="2"/>
  <c r="I219" i="2"/>
  <c r="Y219" i="2"/>
  <c r="AO219" i="2"/>
  <c r="BE219" i="2"/>
  <c r="L220" i="2"/>
  <c r="AB220" i="2"/>
  <c r="AR220" i="2"/>
  <c r="BH220" i="2"/>
  <c r="O221" i="2"/>
  <c r="AE221" i="2"/>
  <c r="AU221" i="2"/>
  <c r="BK221" i="2"/>
  <c r="V222" i="2"/>
  <c r="AL222" i="2"/>
  <c r="BB222" i="2"/>
  <c r="M223" i="2"/>
  <c r="AC223" i="2"/>
  <c r="AS223" i="2"/>
  <c r="BI223" i="2"/>
  <c r="P224" i="2"/>
  <c r="AF224" i="2"/>
  <c r="AV224" i="2"/>
  <c r="BL224" i="2"/>
  <c r="S225" i="2"/>
  <c r="AI225" i="2"/>
  <c r="AY225" i="2"/>
  <c r="J226" i="2"/>
  <c r="Z226" i="2"/>
  <c r="AP226" i="2"/>
  <c r="BF226" i="2"/>
  <c r="Q227" i="2"/>
  <c r="AG227" i="2"/>
  <c r="AW227" i="2"/>
  <c r="BM227" i="2"/>
  <c r="T228" i="2"/>
  <c r="AJ228" i="2"/>
  <c r="AZ228" i="2"/>
  <c r="G229" i="2"/>
  <c r="W229" i="2"/>
  <c r="AM229" i="2"/>
  <c r="BC229" i="2"/>
  <c r="N230" i="2"/>
  <c r="AD230" i="2"/>
  <c r="AT230" i="2"/>
  <c r="BJ230" i="2"/>
  <c r="U231" i="2"/>
  <c r="AK231" i="2"/>
  <c r="BA231" i="2"/>
  <c r="H232" i="2"/>
  <c r="X232" i="2"/>
  <c r="AN232" i="2"/>
  <c r="BD232" i="2"/>
  <c r="K233" i="2"/>
  <c r="AA233" i="2"/>
  <c r="AQ233" i="2"/>
  <c r="BG233" i="2"/>
  <c r="R234" i="2"/>
  <c r="AH234" i="2"/>
  <c r="AX234" i="2"/>
  <c r="P235" i="2"/>
  <c r="AR235" i="2"/>
  <c r="Q144" i="2"/>
  <c r="AG144" i="2"/>
  <c r="AW144" i="2"/>
  <c r="BM144" i="2"/>
  <c r="T145" i="2"/>
  <c r="AJ145" i="2"/>
  <c r="AZ145" i="2"/>
  <c r="G146" i="2"/>
  <c r="W146" i="2"/>
  <c r="AM146" i="2"/>
  <c r="BC146" i="2"/>
  <c r="N147" i="2"/>
  <c r="AD147" i="2"/>
  <c r="AT147" i="2"/>
  <c r="BJ147" i="2"/>
  <c r="U148" i="2"/>
  <c r="AK148" i="2"/>
  <c r="BA148" i="2"/>
  <c r="H149" i="2"/>
  <c r="X149" i="2"/>
  <c r="AN149" i="2"/>
  <c r="BD149" i="2"/>
  <c r="K150" i="2"/>
  <c r="AA150" i="2"/>
  <c r="AQ150" i="2"/>
  <c r="BG150" i="2"/>
  <c r="R151" i="2"/>
  <c r="AH151" i="2"/>
  <c r="AX151" i="2"/>
  <c r="I152" i="2"/>
  <c r="Y152" i="2"/>
  <c r="AO152" i="2"/>
  <c r="BE152" i="2"/>
  <c r="L153" i="2"/>
  <c r="AB153" i="2"/>
  <c r="AR153" i="2"/>
  <c r="BH153" i="2"/>
  <c r="O154" i="2"/>
  <c r="AE154" i="2"/>
  <c r="AU154" i="2"/>
  <c r="BK154" i="2"/>
  <c r="V155" i="2"/>
  <c r="AL155" i="2"/>
  <c r="BB155" i="2"/>
  <c r="M156" i="2"/>
  <c r="AC156" i="2"/>
  <c r="AS156" i="2"/>
  <c r="BI156" i="2"/>
  <c r="P157" i="2"/>
  <c r="AF157" i="2"/>
  <c r="AV157" i="2"/>
  <c r="BL157" i="2"/>
  <c r="S158" i="2"/>
  <c r="AI158" i="2"/>
  <c r="AY158" i="2"/>
  <c r="J159" i="2"/>
  <c r="Z159" i="2"/>
  <c r="AP159" i="2"/>
  <c r="BF159" i="2"/>
  <c r="Q160" i="2"/>
  <c r="AG160" i="2"/>
  <c r="AW160" i="2"/>
  <c r="BM160" i="2"/>
  <c r="T161" i="2"/>
  <c r="AJ161" i="2"/>
  <c r="AZ161" i="2"/>
  <c r="G162" i="2"/>
  <c r="W162" i="2"/>
  <c r="AM162" i="2"/>
  <c r="BC162" i="2"/>
  <c r="N163" i="2"/>
  <c r="AD163" i="2"/>
  <c r="AT163" i="2"/>
  <c r="BJ163" i="2"/>
  <c r="U164" i="2"/>
  <c r="AK164" i="2"/>
  <c r="BA164" i="2"/>
  <c r="H165" i="2"/>
  <c r="X165" i="2"/>
  <c r="AN165" i="2"/>
  <c r="BD165" i="2"/>
  <c r="K166" i="2"/>
  <c r="AA166" i="2"/>
  <c r="AQ166" i="2"/>
  <c r="BG166" i="2"/>
  <c r="R167" i="2"/>
  <c r="AH167" i="2"/>
  <c r="AX167" i="2"/>
  <c r="J168" i="3"/>
  <c r="J168" i="2" s="1"/>
  <c r="J169" i="2"/>
  <c r="Z168" i="3"/>
  <c r="Z168" i="2" s="1"/>
  <c r="Z169" i="2"/>
  <c r="AP168" i="3"/>
  <c r="AP168" i="2" s="1"/>
  <c r="AP169" i="2"/>
  <c r="BF168" i="3"/>
  <c r="BF168" i="2" s="1"/>
  <c r="BF169" i="2"/>
  <c r="Q170" i="2"/>
  <c r="AG170" i="2"/>
  <c r="AW170" i="2"/>
  <c r="BM170" i="2"/>
  <c r="T171" i="2"/>
  <c r="AJ171" i="2"/>
  <c r="AZ171" i="2"/>
  <c r="G172" i="2"/>
  <c r="W172" i="2"/>
  <c r="AM172" i="2"/>
  <c r="BC172" i="2"/>
  <c r="N173" i="2"/>
  <c r="AD173" i="2"/>
  <c r="AT173" i="2"/>
  <c r="BJ173" i="2"/>
  <c r="U174" i="2"/>
  <c r="AK174" i="2"/>
  <c r="BA174" i="2"/>
  <c r="H175" i="2"/>
  <c r="X175" i="2"/>
  <c r="AN175" i="2"/>
  <c r="BD175" i="2"/>
  <c r="K176" i="2"/>
  <c r="AA176" i="2"/>
  <c r="AQ176" i="2"/>
  <c r="BG176" i="2"/>
  <c r="R177" i="2"/>
  <c r="AH177" i="2"/>
  <c r="AX177" i="2"/>
  <c r="I178" i="2"/>
  <c r="Y178" i="2"/>
  <c r="AO178" i="2"/>
  <c r="BE178" i="2"/>
  <c r="L179" i="2"/>
  <c r="AB179" i="2"/>
  <c r="AR179" i="2"/>
  <c r="BH179" i="2"/>
  <c r="O180" i="2"/>
  <c r="AE180" i="2"/>
  <c r="AU180" i="2"/>
  <c r="BK180" i="2"/>
  <c r="V181" i="2"/>
  <c r="AL181" i="2"/>
  <c r="BB181" i="2"/>
  <c r="M182" i="2"/>
  <c r="AC182" i="2"/>
  <c r="AS182" i="2"/>
  <c r="BI182" i="2"/>
  <c r="P183" i="2"/>
  <c r="AF183" i="2"/>
  <c r="AV183" i="2"/>
  <c r="BL183" i="2"/>
  <c r="S184" i="2"/>
  <c r="AI184" i="2"/>
  <c r="AY184" i="2"/>
  <c r="J185" i="2"/>
  <c r="Z185" i="2"/>
  <c r="AP185" i="2"/>
  <c r="BF185" i="2"/>
  <c r="Q186" i="2"/>
  <c r="AG186" i="2"/>
  <c r="AW186" i="2"/>
  <c r="BM186" i="2"/>
  <c r="T187" i="2"/>
  <c r="AJ187" i="2"/>
  <c r="AZ187" i="2"/>
  <c r="G188" i="2"/>
  <c r="W188" i="2"/>
  <c r="AM188" i="2"/>
  <c r="BC188" i="2"/>
  <c r="N189" i="2"/>
  <c r="AD189" i="2"/>
  <c r="AT189" i="2"/>
  <c r="BJ189" i="2"/>
  <c r="U190" i="2"/>
  <c r="AK190" i="2"/>
  <c r="BA190" i="2"/>
  <c r="H191" i="2"/>
  <c r="X191" i="2"/>
  <c r="AN191" i="2"/>
  <c r="BD191" i="2"/>
  <c r="K192" i="2"/>
  <c r="AA192" i="2"/>
  <c r="AQ192" i="2"/>
  <c r="BG192" i="2"/>
  <c r="R193" i="2"/>
  <c r="AH193" i="2"/>
  <c r="AX193" i="2"/>
  <c r="I194" i="2"/>
  <c r="Y194" i="2"/>
  <c r="AO194" i="2"/>
  <c r="BE194" i="2"/>
  <c r="L195" i="2"/>
  <c r="AB195" i="2"/>
  <c r="AR195" i="2"/>
  <c r="BH195" i="2"/>
  <c r="O196" i="2"/>
  <c r="AE196" i="2"/>
  <c r="AU196" i="2"/>
  <c r="BK196" i="2"/>
  <c r="V197" i="2"/>
  <c r="AL197" i="2"/>
  <c r="BB197" i="2"/>
  <c r="M198" i="2"/>
  <c r="AC198" i="2"/>
  <c r="AS198" i="2"/>
  <c r="BI198" i="2"/>
  <c r="P199" i="2"/>
  <c r="AF199" i="2"/>
  <c r="AV199" i="2"/>
  <c r="BL199" i="2"/>
  <c r="S200" i="2"/>
  <c r="AI200" i="2"/>
  <c r="AY200" i="2"/>
  <c r="J201" i="2"/>
  <c r="Z201" i="2"/>
  <c r="AP201" i="2"/>
  <c r="BF201" i="2"/>
  <c r="Q202" i="2"/>
  <c r="AG202" i="2"/>
  <c r="AW202" i="2"/>
  <c r="BM202" i="2"/>
  <c r="T203" i="2"/>
  <c r="AJ203" i="2"/>
  <c r="AZ203" i="2"/>
  <c r="G204" i="2"/>
  <c r="W204" i="2"/>
  <c r="AM204" i="2"/>
  <c r="BC204" i="2"/>
  <c r="N205" i="2"/>
  <c r="AD205" i="2"/>
  <c r="AT205" i="2"/>
  <c r="BJ205" i="2"/>
  <c r="U206" i="2"/>
  <c r="AK206" i="2"/>
  <c r="BA206" i="2"/>
  <c r="H207" i="2"/>
  <c r="X207" i="2"/>
  <c r="AN207" i="2"/>
  <c r="BD207" i="2"/>
  <c r="K208" i="2"/>
  <c r="AA208" i="2"/>
  <c r="AQ208" i="2"/>
  <c r="BG208" i="2"/>
  <c r="O209" i="3"/>
  <c r="O209" i="2" s="1"/>
  <c r="O210" i="2"/>
  <c r="AE209" i="3"/>
  <c r="AE209" i="2" s="1"/>
  <c r="AE210" i="2"/>
  <c r="AU209" i="3"/>
  <c r="AU209" i="2" s="1"/>
  <c r="AU210" i="2"/>
  <c r="BK209" i="3"/>
  <c r="BK209" i="2" s="1"/>
  <c r="BK210" i="2"/>
  <c r="V211" i="2"/>
  <c r="AL211" i="2"/>
  <c r="BB211" i="2"/>
  <c r="M212" i="2"/>
  <c r="AC212" i="2"/>
  <c r="AS212" i="2"/>
  <c r="BI212" i="2"/>
  <c r="P213" i="2"/>
  <c r="AF213" i="2"/>
  <c r="AV213" i="2"/>
  <c r="BL213" i="2"/>
  <c r="S214" i="2"/>
  <c r="AI214" i="2"/>
  <c r="AY214" i="2"/>
  <c r="J215" i="2"/>
  <c r="Z215" i="2"/>
  <c r="AP215" i="2"/>
  <c r="BF215" i="2"/>
  <c r="Q216" i="2"/>
  <c r="AG216" i="2"/>
  <c r="AW216" i="2"/>
  <c r="BM216" i="2"/>
  <c r="T217" i="2"/>
  <c r="AJ217" i="2"/>
  <c r="AZ217" i="2"/>
  <c r="G218" i="2"/>
  <c r="W218" i="2"/>
  <c r="AM218" i="2"/>
  <c r="BC218" i="2"/>
  <c r="N219" i="2"/>
  <c r="AD219" i="2"/>
  <c r="AT219" i="2"/>
  <c r="BJ219" i="2"/>
  <c r="U220" i="2"/>
  <c r="AK220" i="2"/>
  <c r="BA220" i="2"/>
  <c r="H221" i="2"/>
  <c r="X221" i="2"/>
  <c r="AN221" i="2"/>
  <c r="BD221" i="2"/>
  <c r="K222" i="2"/>
  <c r="AA222" i="2"/>
  <c r="AQ222" i="2"/>
  <c r="BG222" i="2"/>
  <c r="R223" i="2"/>
  <c r="AH223" i="2"/>
  <c r="AX223" i="2"/>
  <c r="I224" i="2"/>
  <c r="Y224" i="2"/>
  <c r="AO224" i="2"/>
  <c r="BE224" i="2"/>
  <c r="L225" i="2"/>
  <c r="AB225" i="2"/>
  <c r="AR225" i="2"/>
  <c r="BH225" i="2"/>
  <c r="O226" i="2"/>
  <c r="AE226" i="2"/>
  <c r="AU226" i="2"/>
  <c r="BK226" i="2"/>
  <c r="V227" i="2"/>
  <c r="AL227" i="2"/>
  <c r="BB227" i="2"/>
  <c r="M228" i="2"/>
  <c r="AC228" i="2"/>
  <c r="AS228" i="2"/>
  <c r="BI228" i="2"/>
  <c r="P229" i="2"/>
  <c r="AF229" i="2"/>
  <c r="AV229" i="2"/>
  <c r="BL229" i="2"/>
  <c r="S230" i="2"/>
  <c r="AI230" i="2"/>
  <c r="AY230" i="2"/>
  <c r="J231" i="2"/>
  <c r="Z231" i="2"/>
  <c r="AP231" i="2"/>
  <c r="BF231" i="2"/>
  <c r="Q232" i="2"/>
  <c r="AG232" i="2"/>
  <c r="AW232" i="2"/>
  <c r="BM232" i="2"/>
  <c r="T233" i="2"/>
  <c r="AJ233" i="2"/>
  <c r="AZ233" i="2"/>
  <c r="G234" i="2"/>
  <c r="W234" i="2"/>
  <c r="AM234" i="2"/>
  <c r="BE234" i="2"/>
  <c r="Q235" i="2"/>
  <c r="AV235" i="2"/>
  <c r="AI235" i="2"/>
  <c r="AY235" i="2"/>
  <c r="J236" i="2"/>
  <c r="Z236" i="2"/>
  <c r="AP236" i="2"/>
  <c r="BF236" i="2"/>
  <c r="Q237" i="2"/>
  <c r="AG237" i="2"/>
  <c r="AW237" i="2"/>
  <c r="BM237" i="2"/>
  <c r="T238" i="2"/>
  <c r="AJ238" i="2"/>
  <c r="AZ238" i="2"/>
  <c r="G239" i="2"/>
  <c r="W239" i="2"/>
  <c r="AM239" i="2"/>
  <c r="BC239" i="2"/>
  <c r="N240" i="2"/>
  <c r="AD240" i="2"/>
  <c r="AT240" i="2"/>
  <c r="BJ240" i="2"/>
  <c r="U241" i="2"/>
  <c r="AK241" i="2"/>
  <c r="BA241" i="2"/>
  <c r="H242" i="2"/>
  <c r="X242" i="2"/>
  <c r="AN242" i="2"/>
  <c r="BD242" i="2"/>
  <c r="K243" i="2"/>
  <c r="AA243" i="2"/>
  <c r="AQ243" i="2"/>
  <c r="BG243" i="2"/>
  <c r="R244" i="2"/>
  <c r="AH244" i="2"/>
  <c r="AX244" i="2"/>
  <c r="I245" i="2"/>
  <c r="Y245" i="2"/>
  <c r="AO245" i="2"/>
  <c r="BE245" i="2"/>
  <c r="L246" i="2"/>
  <c r="AB246" i="2"/>
  <c r="AR246" i="2"/>
  <c r="BH246" i="2"/>
  <c r="O247" i="2"/>
  <c r="AE247" i="2"/>
  <c r="AU247" i="2"/>
  <c r="BK247" i="2"/>
  <c r="V248" i="2"/>
  <c r="AL248" i="2"/>
  <c r="BB248" i="2"/>
  <c r="M249" i="2"/>
  <c r="AC249" i="2"/>
  <c r="AS249" i="2"/>
  <c r="BI249" i="2"/>
  <c r="Q250" i="3"/>
  <c r="Q250" i="2" s="1"/>
  <c r="Q251" i="2"/>
  <c r="AG250" i="3"/>
  <c r="AG250" i="2" s="1"/>
  <c r="AG251" i="2"/>
  <c r="AW250" i="3"/>
  <c r="AW250" i="2" s="1"/>
  <c r="AW251" i="2"/>
  <c r="BM250" i="3"/>
  <c r="BM250" i="2" s="1"/>
  <c r="BM251" i="2"/>
  <c r="T252" i="2"/>
  <c r="AJ252" i="2"/>
  <c r="AZ252" i="2"/>
  <c r="G253" i="2"/>
  <c r="W253" i="2"/>
  <c r="AM253" i="2"/>
  <c r="BC253" i="2"/>
  <c r="N254" i="2"/>
  <c r="AD254" i="2"/>
  <c r="AT254" i="2"/>
  <c r="BJ254" i="2"/>
  <c r="U255" i="2"/>
  <c r="AK255" i="2"/>
  <c r="BA255" i="2"/>
  <c r="H256" i="2"/>
  <c r="X256" i="2"/>
  <c r="AN256" i="2"/>
  <c r="BD256" i="2"/>
  <c r="K257" i="2"/>
  <c r="AA257" i="2"/>
  <c r="AQ257" i="2"/>
  <c r="BG257" i="2"/>
  <c r="R258" i="2"/>
  <c r="AH258" i="2"/>
  <c r="AX258" i="2"/>
  <c r="I259" i="2"/>
  <c r="Y259" i="2"/>
  <c r="AO259" i="2"/>
  <c r="BE259" i="2"/>
  <c r="L260" i="2"/>
  <c r="AB260" i="2"/>
  <c r="AR260" i="2"/>
  <c r="BH260" i="2"/>
  <c r="O261" i="2"/>
  <c r="AE261" i="2"/>
  <c r="AU261" i="2"/>
  <c r="BK261" i="2"/>
  <c r="V262" i="2"/>
  <c r="AL262" i="2"/>
  <c r="BB262" i="2"/>
  <c r="M263" i="2"/>
  <c r="AC263" i="2"/>
  <c r="AS263" i="2"/>
  <c r="BI263" i="2"/>
  <c r="P264" i="2"/>
  <c r="AF264" i="2"/>
  <c r="AV264" i="2"/>
  <c r="BL264" i="2"/>
  <c r="S265" i="2"/>
  <c r="AI265" i="2"/>
  <c r="AY265" i="2"/>
  <c r="J266" i="2"/>
  <c r="Z266" i="2"/>
  <c r="AP266" i="2"/>
  <c r="BF266" i="2"/>
  <c r="Q267" i="2"/>
  <c r="AG267" i="2"/>
  <c r="AW267" i="2"/>
  <c r="BM267" i="2"/>
  <c r="T268" i="2"/>
  <c r="AJ268" i="2"/>
  <c r="AZ268" i="2"/>
  <c r="G269" i="2"/>
  <c r="W269" i="2"/>
  <c r="AM269" i="2"/>
  <c r="BC269" i="2"/>
  <c r="N270" i="2"/>
  <c r="AD270" i="2"/>
  <c r="AT270" i="2"/>
  <c r="BJ270" i="2"/>
  <c r="U271" i="2"/>
  <c r="AK271" i="2"/>
  <c r="BA271" i="2"/>
  <c r="H272" i="2"/>
  <c r="X272" i="2"/>
  <c r="AN272" i="2"/>
  <c r="BD272" i="2"/>
  <c r="K273" i="2"/>
  <c r="AA273" i="2"/>
  <c r="AQ273" i="2"/>
  <c r="BG273" i="2"/>
  <c r="R274" i="2"/>
  <c r="AH274" i="2"/>
  <c r="AX274" i="2"/>
  <c r="I275" i="2"/>
  <c r="Y275" i="2"/>
  <c r="AO275" i="2"/>
  <c r="BE275" i="2"/>
  <c r="L276" i="2"/>
  <c r="AB276" i="2"/>
  <c r="AR276" i="2"/>
  <c r="BH276" i="2"/>
  <c r="O277" i="2"/>
  <c r="AE277" i="2"/>
  <c r="AU277" i="2"/>
  <c r="BK277" i="2"/>
  <c r="V278" i="2"/>
  <c r="AL278" i="2"/>
  <c r="BB278" i="2"/>
  <c r="M279" i="2"/>
  <c r="AC279" i="2"/>
  <c r="AS279" i="2"/>
  <c r="BI279" i="2"/>
  <c r="P280" i="2"/>
  <c r="AF280" i="2"/>
  <c r="AV280" i="2"/>
  <c r="BL280" i="2"/>
  <c r="S281" i="2"/>
  <c r="AI281" i="2"/>
  <c r="AY281" i="2"/>
  <c r="J282" i="2"/>
  <c r="Z282" i="2"/>
  <c r="AP282" i="2"/>
  <c r="BF282" i="2"/>
  <c r="Q283" i="2"/>
  <c r="AG283" i="2"/>
  <c r="AW283" i="2"/>
  <c r="BM283" i="2"/>
  <c r="T284" i="2"/>
  <c r="AJ284" i="2"/>
  <c r="AZ284" i="2"/>
  <c r="G285" i="2"/>
  <c r="W285" i="2"/>
  <c r="AM285" i="2"/>
  <c r="BC285" i="2"/>
  <c r="N286" i="2"/>
  <c r="AD286" i="2"/>
  <c r="AT286" i="2"/>
  <c r="BJ286" i="2"/>
  <c r="U287" i="2"/>
  <c r="AK287" i="2"/>
  <c r="BA287" i="2"/>
  <c r="H288" i="2"/>
  <c r="X288" i="2"/>
  <c r="AN288" i="2"/>
  <c r="BD288" i="2"/>
  <c r="K289" i="2"/>
  <c r="AA289" i="2"/>
  <c r="AQ289" i="2"/>
  <c r="BG289" i="2"/>
  <c r="R290" i="2"/>
  <c r="AH290" i="2"/>
  <c r="AX290" i="2"/>
  <c r="G292" i="3"/>
  <c r="G292" i="2" s="1"/>
  <c r="G293" i="2"/>
  <c r="W292" i="3"/>
  <c r="W292" i="2" s="1"/>
  <c r="W293" i="2"/>
  <c r="AM292" i="3"/>
  <c r="AM292" i="2" s="1"/>
  <c r="AM293" i="2"/>
  <c r="BC292" i="3"/>
  <c r="BC292" i="2" s="1"/>
  <c r="BC293" i="2"/>
  <c r="N294" i="2"/>
  <c r="AD294" i="2"/>
  <c r="AT294" i="2"/>
  <c r="BJ294" i="2"/>
  <c r="U295" i="2"/>
  <c r="AK295" i="2"/>
  <c r="BA295" i="2"/>
  <c r="H296" i="2"/>
  <c r="X296" i="2"/>
  <c r="AN296" i="2"/>
  <c r="BD296" i="2"/>
  <c r="K297" i="2"/>
  <c r="AA297" i="2"/>
  <c r="AQ297" i="2"/>
  <c r="BG297" i="2"/>
  <c r="R298" i="2"/>
  <c r="AH298" i="2"/>
  <c r="AX298" i="2"/>
  <c r="I299" i="2"/>
  <c r="Y299" i="2"/>
  <c r="AO299" i="2"/>
  <c r="BE299" i="2"/>
  <c r="L300" i="2"/>
  <c r="AB300" i="2"/>
  <c r="AR300" i="2"/>
  <c r="BH300" i="2"/>
  <c r="O301" i="2"/>
  <c r="AE301" i="2"/>
  <c r="AU301" i="2"/>
  <c r="BK301" i="2"/>
  <c r="V302" i="2"/>
  <c r="AL302" i="2"/>
  <c r="BB302" i="2"/>
  <c r="M303" i="2"/>
  <c r="AC303" i="2"/>
  <c r="AS303" i="2"/>
  <c r="BI303" i="2"/>
  <c r="P304" i="2"/>
  <c r="AF304" i="2"/>
  <c r="AV304" i="2"/>
  <c r="BL304" i="2"/>
  <c r="S305" i="2"/>
  <c r="AI305" i="2"/>
  <c r="AY305" i="2"/>
  <c r="J306" i="2"/>
  <c r="Z306" i="2"/>
  <c r="AP306" i="2"/>
  <c r="BF306" i="2"/>
  <c r="Q307" i="2"/>
  <c r="AG307" i="2"/>
  <c r="AW307" i="2"/>
  <c r="BM307" i="2"/>
  <c r="T308" i="2"/>
  <c r="AJ308" i="2"/>
  <c r="AZ308" i="2"/>
  <c r="G309" i="2"/>
  <c r="W309" i="2"/>
  <c r="AM309" i="2"/>
  <c r="BC309" i="2"/>
  <c r="N310" i="2"/>
  <c r="AD310" i="2"/>
  <c r="AT310" i="2"/>
  <c r="BJ310" i="2"/>
  <c r="U311" i="2"/>
  <c r="AK311" i="2"/>
  <c r="BA311" i="2"/>
  <c r="H312" i="2"/>
  <c r="X312" i="2"/>
  <c r="AN312" i="2"/>
  <c r="BD312" i="2"/>
  <c r="K313" i="2"/>
  <c r="AA313" i="2"/>
  <c r="AQ313" i="2"/>
  <c r="BG313" i="2"/>
  <c r="R314" i="2"/>
  <c r="AH314" i="2"/>
  <c r="AX314" i="2"/>
  <c r="I315" i="2"/>
  <c r="Y315" i="2"/>
  <c r="AO315" i="2"/>
  <c r="BE315" i="2"/>
  <c r="L316" i="2"/>
  <c r="AB316" i="2"/>
  <c r="AR316" i="2"/>
  <c r="BH316" i="2"/>
  <c r="O317" i="2"/>
  <c r="AE317" i="2"/>
  <c r="AU317" i="2"/>
  <c r="BK317" i="2"/>
  <c r="V318" i="2"/>
  <c r="AL318" i="2"/>
  <c r="BB318" i="2"/>
  <c r="M319" i="2"/>
  <c r="AC319" i="2"/>
  <c r="AS319" i="2"/>
  <c r="BI319" i="2"/>
  <c r="P320" i="2"/>
  <c r="AF320" i="2"/>
  <c r="AV320" i="2"/>
  <c r="BL320" i="2"/>
  <c r="S321" i="2"/>
  <c r="AI321" i="2"/>
  <c r="AY321" i="2"/>
  <c r="J322" i="2"/>
  <c r="Z322" i="2"/>
  <c r="AP322" i="2"/>
  <c r="BF322" i="2"/>
  <c r="Q323" i="2"/>
  <c r="AG323" i="2"/>
  <c r="AW323" i="2"/>
  <c r="BM323" i="2"/>
  <c r="T324" i="2"/>
  <c r="AJ324" i="2"/>
  <c r="AZ324" i="2"/>
  <c r="G325" i="2"/>
  <c r="W325" i="2"/>
  <c r="AM325" i="2"/>
  <c r="BC325" i="2"/>
  <c r="N326" i="2"/>
  <c r="AJ326" i="2"/>
  <c r="BE326" i="2"/>
  <c r="W327" i="2"/>
  <c r="BC327" i="2"/>
  <c r="O236" i="2"/>
  <c r="AE236" i="2"/>
  <c r="AU236" i="2"/>
  <c r="BK236" i="2"/>
  <c r="V237" i="2"/>
  <c r="AL237" i="2"/>
  <c r="BB237" i="2"/>
  <c r="M238" i="2"/>
  <c r="AC238" i="2"/>
  <c r="AS238" i="2"/>
  <c r="BI238" i="2"/>
  <c r="P239" i="2"/>
  <c r="AF239" i="2"/>
  <c r="AV239" i="2"/>
  <c r="BL239" i="2"/>
  <c r="S240" i="2"/>
  <c r="AI240" i="2"/>
  <c r="AY240" i="2"/>
  <c r="J241" i="2"/>
  <c r="Z241" i="2"/>
  <c r="AP241" i="2"/>
  <c r="BF241" i="2"/>
  <c r="Q242" i="2"/>
  <c r="AG242" i="2"/>
  <c r="AW242" i="2"/>
  <c r="BM242" i="2"/>
  <c r="T243" i="2"/>
  <c r="AJ243" i="2"/>
  <c r="AZ243" i="2"/>
  <c r="G244" i="2"/>
  <c r="W244" i="2"/>
  <c r="AM244" i="2"/>
  <c r="BC244" i="2"/>
  <c r="N245" i="2"/>
  <c r="AD245" i="2"/>
  <c r="AT245" i="2"/>
  <c r="BJ245" i="2"/>
  <c r="U246" i="2"/>
  <c r="AK246" i="2"/>
  <c r="BA246" i="2"/>
  <c r="H247" i="2"/>
  <c r="X247" i="2"/>
  <c r="AN247" i="2"/>
  <c r="BD247" i="2"/>
  <c r="K248" i="2"/>
  <c r="AA248" i="2"/>
  <c r="AQ248" i="2"/>
  <c r="BG248" i="2"/>
  <c r="R249" i="2"/>
  <c r="AH249" i="2"/>
  <c r="AX249" i="2"/>
  <c r="J250" i="3"/>
  <c r="J250" i="2" s="1"/>
  <c r="J251" i="2"/>
  <c r="Z250" i="3"/>
  <c r="Z250" i="2" s="1"/>
  <c r="Z251" i="2"/>
  <c r="AP250" i="3"/>
  <c r="AP250" i="2" s="1"/>
  <c r="AP251" i="2"/>
  <c r="BF250" i="3"/>
  <c r="BF250" i="2" s="1"/>
  <c r="BF251" i="2"/>
  <c r="Q252" i="2"/>
  <c r="AG252" i="2"/>
  <c r="AW252" i="2"/>
  <c r="BM252" i="2"/>
  <c r="T253" i="2"/>
  <c r="AJ253" i="2"/>
  <c r="AZ253" i="2"/>
  <c r="G254" i="2"/>
  <c r="W254" i="2"/>
  <c r="AM254" i="2"/>
  <c r="BC254" i="2"/>
  <c r="N255" i="2"/>
  <c r="AD255" i="2"/>
  <c r="AT255" i="2"/>
  <c r="BJ255" i="2"/>
  <c r="U256" i="2"/>
  <c r="AK256" i="2"/>
  <c r="BA256" i="2"/>
  <c r="H257" i="2"/>
  <c r="X257" i="2"/>
  <c r="AN257" i="2"/>
  <c r="BD257" i="2"/>
  <c r="K258" i="2"/>
  <c r="AA258" i="2"/>
  <c r="AQ258" i="2"/>
  <c r="BG258" i="2"/>
  <c r="R259" i="2"/>
  <c r="AH259" i="2"/>
  <c r="AX259" i="2"/>
  <c r="I260" i="2"/>
  <c r="Y260" i="2"/>
  <c r="AO260" i="2"/>
  <c r="BE260" i="2"/>
  <c r="L261" i="2"/>
  <c r="AB261" i="2"/>
  <c r="AR261" i="2"/>
  <c r="BH261" i="2"/>
  <c r="O262" i="2"/>
  <c r="AE262" i="2"/>
  <c r="AU262" i="2"/>
  <c r="BK262" i="2"/>
  <c r="V263" i="2"/>
  <c r="AL263" i="2"/>
  <c r="BB263" i="2"/>
  <c r="M264" i="2"/>
  <c r="AC264" i="2"/>
  <c r="AS264" i="2"/>
  <c r="BI264" i="2"/>
  <c r="P265" i="2"/>
  <c r="AF265" i="2"/>
  <c r="AV265" i="2"/>
  <c r="BL265" i="2"/>
  <c r="S266" i="2"/>
  <c r="AI266" i="2"/>
  <c r="AY266" i="2"/>
  <c r="J267" i="2"/>
  <c r="Z267" i="2"/>
  <c r="AP267" i="2"/>
  <c r="BF267" i="2"/>
  <c r="Q268" i="2"/>
  <c r="AG268" i="2"/>
  <c r="AW268" i="2"/>
  <c r="BM268" i="2"/>
  <c r="T269" i="2"/>
  <c r="AJ269" i="2"/>
  <c r="AZ269" i="2"/>
  <c r="G270" i="2"/>
  <c r="W270" i="2"/>
  <c r="AM270" i="2"/>
  <c r="BC270" i="2"/>
  <c r="N271" i="2"/>
  <c r="AD271" i="2"/>
  <c r="AT271" i="2"/>
  <c r="BJ271" i="2"/>
  <c r="U272" i="2"/>
  <c r="AK272" i="2"/>
  <c r="BA272" i="2"/>
  <c r="H273" i="2"/>
  <c r="X273" i="2"/>
  <c r="AN273" i="2"/>
  <c r="BD273" i="2"/>
  <c r="K274" i="2"/>
  <c r="AA274" i="2"/>
  <c r="AQ274" i="2"/>
  <c r="BG274" i="2"/>
  <c r="R275" i="2"/>
  <c r="AH275" i="2"/>
  <c r="AX275" i="2"/>
  <c r="I276" i="2"/>
  <c r="Y276" i="2"/>
  <c r="AO276" i="2"/>
  <c r="BE276" i="2"/>
  <c r="L277" i="2"/>
  <c r="AB277" i="2"/>
  <c r="AR277" i="2"/>
  <c r="BH277" i="2"/>
  <c r="O278" i="2"/>
  <c r="AE278" i="2"/>
  <c r="AU278" i="2"/>
  <c r="BK278" i="2"/>
  <c r="V279" i="2"/>
  <c r="AL279" i="2"/>
  <c r="BB279" i="2"/>
  <c r="M280" i="2"/>
  <c r="AC280" i="2"/>
  <c r="AS280" i="2"/>
  <c r="BI280" i="2"/>
  <c r="P281" i="2"/>
  <c r="AF281" i="2"/>
  <c r="AV281" i="2"/>
  <c r="BL281" i="2"/>
  <c r="S282" i="2"/>
  <c r="AI282" i="2"/>
  <c r="AY282" i="2"/>
  <c r="J283" i="2"/>
  <c r="Z283" i="2"/>
  <c r="AP283" i="2"/>
  <c r="BF283" i="2"/>
  <c r="Q284" i="2"/>
  <c r="AG284" i="2"/>
  <c r="AW284" i="2"/>
  <c r="BM284" i="2"/>
  <c r="T285" i="2"/>
  <c r="AJ285" i="2"/>
  <c r="AZ285" i="2"/>
  <c r="G286" i="2"/>
  <c r="W286" i="2"/>
  <c r="AM286" i="2"/>
  <c r="BC286" i="2"/>
  <c r="N287" i="2"/>
  <c r="AD287" i="2"/>
  <c r="AT287" i="2"/>
  <c r="BJ287" i="2"/>
  <c r="U288" i="2"/>
  <c r="AK288" i="2"/>
  <c r="BA288" i="2"/>
  <c r="H289" i="2"/>
  <c r="X289" i="2"/>
  <c r="AN289" i="2"/>
  <c r="BD289" i="2"/>
  <c r="K290" i="2"/>
  <c r="AA290" i="2"/>
  <c r="AQ290" i="2"/>
  <c r="BG290" i="2"/>
  <c r="P292" i="3"/>
  <c r="P292" i="2" s="1"/>
  <c r="P293" i="2"/>
  <c r="AF292" i="3"/>
  <c r="AF292" i="2" s="1"/>
  <c r="AF293" i="2"/>
  <c r="AV292" i="3"/>
  <c r="AV292" i="2" s="1"/>
  <c r="AV293" i="2"/>
  <c r="BL292" i="3"/>
  <c r="BL292" i="2" s="1"/>
  <c r="BL293" i="2"/>
  <c r="S294" i="2"/>
  <c r="AI294" i="2"/>
  <c r="AY294" i="2"/>
  <c r="J295" i="2"/>
  <c r="Z295" i="2"/>
  <c r="AP295" i="2"/>
  <c r="BF295" i="2"/>
  <c r="Q296" i="2"/>
  <c r="AG296" i="2"/>
  <c r="AW296" i="2"/>
  <c r="BM296" i="2"/>
  <c r="T297" i="2"/>
  <c r="AJ297" i="2"/>
  <c r="AZ297" i="2"/>
  <c r="G298" i="2"/>
  <c r="W298" i="2"/>
  <c r="AM298" i="2"/>
  <c r="BC298" i="2"/>
  <c r="N299" i="2"/>
  <c r="AD299" i="2"/>
  <c r="AT299" i="2"/>
  <c r="BJ299" i="2"/>
  <c r="U300" i="2"/>
  <c r="AK300" i="2"/>
  <c r="BA300" i="2"/>
  <c r="H301" i="2"/>
  <c r="X301" i="2"/>
  <c r="AN301" i="2"/>
  <c r="BD301" i="2"/>
  <c r="K302" i="2"/>
  <c r="AA302" i="2"/>
  <c r="AQ302" i="2"/>
  <c r="BG302" i="2"/>
  <c r="R303" i="2"/>
  <c r="AH303" i="2"/>
  <c r="AX303" i="2"/>
  <c r="I304" i="2"/>
  <c r="Y304" i="2"/>
  <c r="AO304" i="2"/>
  <c r="BE304" i="2"/>
  <c r="L305" i="2"/>
  <c r="AB305" i="2"/>
  <c r="AR305" i="2"/>
  <c r="BH305" i="2"/>
  <c r="O306" i="2"/>
  <c r="AE306" i="2"/>
  <c r="AU306" i="2"/>
  <c r="BK306" i="2"/>
  <c r="V307" i="2"/>
  <c r="AL307" i="2"/>
  <c r="BB307" i="2"/>
  <c r="M308" i="2"/>
  <c r="AC308" i="2"/>
  <c r="AS308" i="2"/>
  <c r="BI308" i="2"/>
  <c r="P309" i="2"/>
  <c r="AF309" i="2"/>
  <c r="AV309" i="2"/>
  <c r="BL309" i="2"/>
  <c r="S310" i="2"/>
  <c r="AI310" i="2"/>
  <c r="AY310" i="2"/>
  <c r="J311" i="2"/>
  <c r="Z311" i="2"/>
  <c r="AP311" i="2"/>
  <c r="BF311" i="2"/>
  <c r="Q312" i="2"/>
  <c r="AG312" i="2"/>
  <c r="AW312" i="2"/>
  <c r="BM312" i="2"/>
  <c r="T313" i="2"/>
  <c r="AJ313" i="2"/>
  <c r="AZ313" i="2"/>
  <c r="G314" i="2"/>
  <c r="W314" i="2"/>
  <c r="AM314" i="2"/>
  <c r="BC314" i="2"/>
  <c r="N315" i="2"/>
  <c r="AD315" i="2"/>
  <c r="AT315" i="2"/>
  <c r="BJ315" i="2"/>
  <c r="U316" i="2"/>
  <c r="AK316" i="2"/>
  <c r="BA316" i="2"/>
  <c r="H317" i="2"/>
  <c r="X317" i="2"/>
  <c r="AN317" i="2"/>
  <c r="BD317" i="2"/>
  <c r="K318" i="2"/>
  <c r="AA318" i="2"/>
  <c r="AQ318" i="2"/>
  <c r="BG318" i="2"/>
  <c r="R319" i="2"/>
  <c r="AH319" i="2"/>
  <c r="AX319" i="2"/>
  <c r="I320" i="2"/>
  <c r="Y320" i="2"/>
  <c r="AO320" i="2"/>
  <c r="BE320" i="2"/>
  <c r="L321" i="2"/>
  <c r="AB321" i="2"/>
  <c r="AR321" i="2"/>
  <c r="BH321" i="2"/>
  <c r="O322" i="2"/>
  <c r="AE322" i="2"/>
  <c r="AU322" i="2"/>
  <c r="BK322" i="2"/>
  <c r="V323" i="2"/>
  <c r="AL323" i="2"/>
  <c r="BB323" i="2"/>
  <c r="M324" i="2"/>
  <c r="AC324" i="2"/>
  <c r="AS324" i="2"/>
  <c r="BI324" i="2"/>
  <c r="P325" i="2"/>
  <c r="AF325" i="2"/>
  <c r="AV325" i="2"/>
  <c r="BL325" i="2"/>
  <c r="U326" i="2"/>
  <c r="AP326" i="2"/>
  <c r="BL326" i="2"/>
  <c r="AF327" i="2"/>
  <c r="BL327" i="2"/>
  <c r="BE235" i="2"/>
  <c r="L236" i="2"/>
  <c r="AB236" i="2"/>
  <c r="AR236" i="2"/>
  <c r="BH236" i="2"/>
  <c r="O237" i="2"/>
  <c r="AE237" i="2"/>
  <c r="AU237" i="2"/>
  <c r="BK237" i="2"/>
  <c r="V238" i="2"/>
  <c r="AL238" i="2"/>
  <c r="BB238" i="2"/>
  <c r="M239" i="2"/>
  <c r="AC239" i="2"/>
  <c r="AS239" i="2"/>
  <c r="BI239" i="2"/>
  <c r="P240" i="2"/>
  <c r="AF240" i="2"/>
  <c r="AV240" i="2"/>
  <c r="BL240" i="2"/>
  <c r="S241" i="2"/>
  <c r="AI241" i="2"/>
  <c r="AY241" i="2"/>
  <c r="J242" i="2"/>
  <c r="Z242" i="2"/>
  <c r="AP242" i="2"/>
  <c r="BF242" i="2"/>
  <c r="Q243" i="2"/>
  <c r="AG243" i="2"/>
  <c r="AW243" i="2"/>
  <c r="BM243" i="2"/>
  <c r="T244" i="2"/>
  <c r="AJ244" i="2"/>
  <c r="AZ244" i="2"/>
  <c r="G245" i="2"/>
  <c r="W245" i="2"/>
  <c r="AM245" i="2"/>
  <c r="BC245" i="2"/>
  <c r="N246" i="2"/>
  <c r="AD246" i="2"/>
  <c r="AT246" i="2"/>
  <c r="BJ246" i="2"/>
  <c r="U247" i="2"/>
  <c r="AK247" i="2"/>
  <c r="BA247" i="2"/>
  <c r="H248" i="2"/>
  <c r="X248" i="2"/>
  <c r="AN248" i="2"/>
  <c r="BD248" i="2"/>
  <c r="K249" i="2"/>
  <c r="AA249" i="2"/>
  <c r="AQ249" i="2"/>
  <c r="BG249" i="2"/>
  <c r="O250" i="3"/>
  <c r="O250" i="2" s="1"/>
  <c r="O251" i="2"/>
  <c r="AE250" i="3"/>
  <c r="AE250" i="2" s="1"/>
  <c r="AE251" i="2"/>
  <c r="AU250" i="3"/>
  <c r="AU250" i="2" s="1"/>
  <c r="AU251" i="2"/>
  <c r="BK250" i="3"/>
  <c r="BK250" i="2" s="1"/>
  <c r="BK251" i="2"/>
  <c r="V252" i="2"/>
  <c r="AL252" i="2"/>
  <c r="BB252" i="2"/>
  <c r="M253" i="2"/>
  <c r="AC253" i="2"/>
  <c r="AS253" i="2"/>
  <c r="BI253" i="2"/>
  <c r="P254" i="2"/>
  <c r="AF254" i="2"/>
  <c r="AV254" i="2"/>
  <c r="BL254" i="2"/>
  <c r="S255" i="2"/>
  <c r="AI255" i="2"/>
  <c r="AY255" i="2"/>
  <c r="J256" i="2"/>
  <c r="Z256" i="2"/>
  <c r="AP256" i="2"/>
  <c r="BF256" i="2"/>
  <c r="Q257" i="2"/>
  <c r="AG257" i="2"/>
  <c r="AW257" i="2"/>
  <c r="BM257" i="2"/>
  <c r="T258" i="2"/>
  <c r="AJ258" i="2"/>
  <c r="AZ258" i="2"/>
  <c r="G259" i="2"/>
  <c r="W259" i="2"/>
  <c r="AM259" i="2"/>
  <c r="BC259" i="2"/>
  <c r="N260" i="2"/>
  <c r="AD260" i="2"/>
  <c r="AT260" i="2"/>
  <c r="BJ260" i="2"/>
  <c r="U261" i="2"/>
  <c r="AK261" i="2"/>
  <c r="BA261" i="2"/>
  <c r="H262" i="2"/>
  <c r="X262" i="2"/>
  <c r="AN262" i="2"/>
  <c r="BD262" i="2"/>
  <c r="K263" i="2"/>
  <c r="AA263" i="2"/>
  <c r="AQ263" i="2"/>
  <c r="BG263" i="2"/>
  <c r="R264" i="2"/>
  <c r="AH264" i="2"/>
  <c r="AX264" i="2"/>
  <c r="I265" i="2"/>
  <c r="Y265" i="2"/>
  <c r="AO265" i="2"/>
  <c r="BE265" i="2"/>
  <c r="L266" i="2"/>
  <c r="AB266" i="2"/>
  <c r="AR266" i="2"/>
  <c r="BH266" i="2"/>
  <c r="O267" i="2"/>
  <c r="AE267" i="2"/>
  <c r="AU267" i="2"/>
  <c r="BK267" i="2"/>
  <c r="V268" i="2"/>
  <c r="AL268" i="2"/>
  <c r="BB268" i="2"/>
  <c r="M269" i="2"/>
  <c r="AC269" i="2"/>
  <c r="AS269" i="2"/>
  <c r="BI269" i="2"/>
  <c r="P270" i="2"/>
  <c r="AF270" i="2"/>
  <c r="AV270" i="2"/>
  <c r="BL270" i="2"/>
  <c r="S271" i="2"/>
  <c r="AI271" i="2"/>
  <c r="AY271" i="2"/>
  <c r="J272" i="2"/>
  <c r="Z272" i="2"/>
  <c r="AP272" i="2"/>
  <c r="BF272" i="2"/>
  <c r="Q273" i="2"/>
  <c r="AG273" i="2"/>
  <c r="AW273" i="2"/>
  <c r="BM273" i="2"/>
  <c r="T274" i="2"/>
  <c r="AJ274" i="2"/>
  <c r="AZ274" i="2"/>
  <c r="G275" i="2"/>
  <c r="W275" i="2"/>
  <c r="AM275" i="2"/>
  <c r="BC275" i="2"/>
  <c r="N276" i="2"/>
  <c r="AD276" i="2"/>
  <c r="AT276" i="2"/>
  <c r="BJ276" i="2"/>
  <c r="U277" i="2"/>
  <c r="AK277" i="2"/>
  <c r="BA277" i="2"/>
  <c r="H278" i="2"/>
  <c r="X278" i="2"/>
  <c r="AN278" i="2"/>
  <c r="BD278" i="2"/>
  <c r="K279" i="2"/>
  <c r="AA279" i="2"/>
  <c r="AQ279" i="2"/>
  <c r="BG279" i="2"/>
  <c r="R280" i="2"/>
  <c r="AH280" i="2"/>
  <c r="AX280" i="2"/>
  <c r="I281" i="2"/>
  <c r="Y281" i="2"/>
  <c r="AO281" i="2"/>
  <c r="BE281" i="2"/>
  <c r="L282" i="2"/>
  <c r="AB282" i="2"/>
  <c r="AR282" i="2"/>
  <c r="BH282" i="2"/>
  <c r="O283" i="2"/>
  <c r="AE283" i="2"/>
  <c r="AU283" i="2"/>
  <c r="BK283" i="2"/>
  <c r="V284" i="2"/>
  <c r="AL284" i="2"/>
  <c r="BB284" i="2"/>
  <c r="M285" i="2"/>
  <c r="AC285" i="2"/>
  <c r="AS285" i="2"/>
  <c r="BI285" i="2"/>
  <c r="P286" i="2"/>
  <c r="AF286" i="2"/>
  <c r="AV286" i="2"/>
  <c r="BL286" i="2"/>
  <c r="S287" i="2"/>
  <c r="AI287" i="2"/>
  <c r="AY287" i="2"/>
  <c r="J288" i="2"/>
  <c r="Z288" i="2"/>
  <c r="AP288" i="2"/>
  <c r="BF288" i="2"/>
  <c r="Q289" i="2"/>
  <c r="AG289" i="2"/>
  <c r="AW289" i="2"/>
  <c r="BM289" i="2"/>
  <c r="T290" i="2"/>
  <c r="AJ290" i="2"/>
  <c r="AZ290" i="2"/>
  <c r="I292" i="3"/>
  <c r="I292" i="2" s="1"/>
  <c r="I293" i="2"/>
  <c r="Y292" i="3"/>
  <c r="Y292" i="2" s="1"/>
  <c r="Y293" i="2"/>
  <c r="AO292" i="3"/>
  <c r="AO292" i="2" s="1"/>
  <c r="AO293" i="2"/>
  <c r="BE292" i="3"/>
  <c r="BE292" i="2" s="1"/>
  <c r="BE293" i="2"/>
  <c r="L294" i="2"/>
  <c r="AB294" i="2"/>
  <c r="AR294" i="2"/>
  <c r="BH294" i="2"/>
  <c r="O295" i="2"/>
  <c r="AE295" i="2"/>
  <c r="AU295" i="2"/>
  <c r="BK295" i="2"/>
  <c r="V296" i="2"/>
  <c r="AL296" i="2"/>
  <c r="BB296" i="2"/>
  <c r="M297" i="2"/>
  <c r="AC297" i="2"/>
  <c r="AS297" i="2"/>
  <c r="BI297" i="2"/>
  <c r="P298" i="2"/>
  <c r="AF298" i="2"/>
  <c r="AV298" i="2"/>
  <c r="BL298" i="2"/>
  <c r="S299" i="2"/>
  <c r="AI299" i="2"/>
  <c r="AY299" i="2"/>
  <c r="J300" i="2"/>
  <c r="Z300" i="2"/>
  <c r="AP300" i="2"/>
  <c r="BF300" i="2"/>
  <c r="Q301" i="2"/>
  <c r="AG301" i="2"/>
  <c r="AW301" i="2"/>
  <c r="BM301" i="2"/>
  <c r="T302" i="2"/>
  <c r="AJ302" i="2"/>
  <c r="AZ302" i="2"/>
  <c r="G303" i="2"/>
  <c r="W303" i="2"/>
  <c r="AM303" i="2"/>
  <c r="BC303" i="2"/>
  <c r="N304" i="2"/>
  <c r="AD304" i="2"/>
  <c r="AT304" i="2"/>
  <c r="BJ304" i="2"/>
  <c r="U305" i="2"/>
  <c r="AK305" i="2"/>
  <c r="BA305" i="2"/>
  <c r="H306" i="2"/>
  <c r="X306" i="2"/>
  <c r="AN306" i="2"/>
  <c r="BD306" i="2"/>
  <c r="K307" i="2"/>
  <c r="AA307" i="2"/>
  <c r="AQ307" i="2"/>
  <c r="BG307" i="2"/>
  <c r="R308" i="2"/>
  <c r="AH308" i="2"/>
  <c r="AX308" i="2"/>
  <c r="I309" i="2"/>
  <c r="Y309" i="2"/>
  <c r="AO309" i="2"/>
  <c r="BE309" i="2"/>
  <c r="L310" i="2"/>
  <c r="AB310" i="2"/>
  <c r="AR310" i="2"/>
  <c r="BH310" i="2"/>
  <c r="O311" i="2"/>
  <c r="AE311" i="2"/>
  <c r="AU311" i="2"/>
  <c r="BK311" i="2"/>
  <c r="V312" i="2"/>
  <c r="AL312" i="2"/>
  <c r="BB312" i="2"/>
  <c r="M313" i="2"/>
  <c r="AC313" i="2"/>
  <c r="AS313" i="2"/>
  <c r="BI313" i="2"/>
  <c r="P314" i="2"/>
  <c r="AF314" i="2"/>
  <c r="AV314" i="2"/>
  <c r="BL314" i="2"/>
  <c r="S315" i="2"/>
  <c r="AI315" i="2"/>
  <c r="AY315" i="2"/>
  <c r="J316" i="2"/>
  <c r="Z316" i="2"/>
  <c r="AP316" i="2"/>
  <c r="BF316" i="2"/>
  <c r="Q317" i="2"/>
  <c r="AG317" i="2"/>
  <c r="AW317" i="2"/>
  <c r="BM317" i="2"/>
  <c r="T318" i="2"/>
  <c r="AJ318" i="2"/>
  <c r="AZ318" i="2"/>
  <c r="G319" i="2"/>
  <c r="W319" i="2"/>
  <c r="AM319" i="2"/>
  <c r="BC319" i="2"/>
  <c r="N320" i="2"/>
  <c r="AD320" i="2"/>
  <c r="AT320" i="2"/>
  <c r="BJ320" i="2"/>
  <c r="U321" i="2"/>
  <c r="AK321" i="2"/>
  <c r="BA321" i="2"/>
  <c r="H322" i="2"/>
  <c r="X322" i="2"/>
  <c r="AN322" i="2"/>
  <c r="BD322" i="2"/>
  <c r="K323" i="2"/>
  <c r="AA323" i="2"/>
  <c r="AQ323" i="2"/>
  <c r="BG323" i="2"/>
  <c r="R324" i="2"/>
  <c r="AH324" i="2"/>
  <c r="AX324" i="2"/>
  <c r="I325" i="2"/>
  <c r="Y325" i="2"/>
  <c r="AO325" i="2"/>
  <c r="BE325" i="2"/>
  <c r="L326" i="2"/>
  <c r="AG326" i="2"/>
  <c r="BB326" i="2"/>
  <c r="S327" i="2"/>
  <c r="AY327" i="2"/>
  <c r="BG234" i="2"/>
  <c r="R235" i="2"/>
  <c r="AH235" i="2"/>
  <c r="AX235" i="2"/>
  <c r="I236" i="2"/>
  <c r="Y236" i="2"/>
  <c r="AO236" i="2"/>
  <c r="BE236" i="2"/>
  <c r="L237" i="2"/>
  <c r="AB237" i="2"/>
  <c r="AR237" i="2"/>
  <c r="BH237" i="2"/>
  <c r="O238" i="2"/>
  <c r="AE238" i="2"/>
  <c r="AU238" i="2"/>
  <c r="BK238" i="2"/>
  <c r="V239" i="2"/>
  <c r="AL239" i="2"/>
  <c r="BB239" i="2"/>
  <c r="M240" i="2"/>
  <c r="AC240" i="2"/>
  <c r="AS240" i="2"/>
  <c r="BI240" i="2"/>
  <c r="P241" i="2"/>
  <c r="AF241" i="2"/>
  <c r="AV241" i="2"/>
  <c r="BL241" i="2"/>
  <c r="S242" i="2"/>
  <c r="AI242" i="2"/>
  <c r="AY242" i="2"/>
  <c r="J243" i="2"/>
  <c r="Z243" i="2"/>
  <c r="AP243" i="2"/>
  <c r="BF243" i="2"/>
  <c r="Q244" i="2"/>
  <c r="AG244" i="2"/>
  <c r="AW244" i="2"/>
  <c r="BM244" i="2"/>
  <c r="T245" i="2"/>
  <c r="AJ245" i="2"/>
  <c r="AZ245" i="2"/>
  <c r="G246" i="2"/>
  <c r="W246" i="2"/>
  <c r="AM246" i="2"/>
  <c r="BC246" i="2"/>
  <c r="N247" i="2"/>
  <c r="AD247" i="2"/>
  <c r="AT247" i="2"/>
  <c r="BJ247" i="2"/>
  <c r="U248" i="2"/>
  <c r="AK248" i="2"/>
  <c r="BA248" i="2"/>
  <c r="H249" i="2"/>
  <c r="X249" i="2"/>
  <c r="AN249" i="2"/>
  <c r="BD249" i="2"/>
  <c r="L250" i="3"/>
  <c r="L250" i="2" s="1"/>
  <c r="L251" i="2"/>
  <c r="AB250" i="3"/>
  <c r="AB250" i="2" s="1"/>
  <c r="AB251" i="2"/>
  <c r="AR250" i="3"/>
  <c r="AR250" i="2" s="1"/>
  <c r="AR251" i="2"/>
  <c r="BH250" i="3"/>
  <c r="BH250" i="2" s="1"/>
  <c r="BH251" i="2"/>
  <c r="O252" i="2"/>
  <c r="AE252" i="2"/>
  <c r="AU252" i="2"/>
  <c r="BK252" i="2"/>
  <c r="V253" i="2"/>
  <c r="AL253" i="2"/>
  <c r="BB253" i="2"/>
  <c r="M254" i="2"/>
  <c r="AC254" i="2"/>
  <c r="AS254" i="2"/>
  <c r="BI254" i="2"/>
  <c r="P255" i="2"/>
  <c r="AF255" i="2"/>
  <c r="AV255" i="2"/>
  <c r="BL255" i="2"/>
  <c r="S256" i="2"/>
  <c r="AI256" i="2"/>
  <c r="AY256" i="2"/>
  <c r="J257" i="2"/>
  <c r="Z257" i="2"/>
  <c r="AP257" i="2"/>
  <c r="BF257" i="2"/>
  <c r="Q258" i="2"/>
  <c r="AG258" i="2"/>
  <c r="AW258" i="2"/>
  <c r="BM258" i="2"/>
  <c r="T259" i="2"/>
  <c r="AJ259" i="2"/>
  <c r="AZ259" i="2"/>
  <c r="G260" i="2"/>
  <c r="W260" i="2"/>
  <c r="AM260" i="2"/>
  <c r="BC260" i="2"/>
  <c r="N261" i="2"/>
  <c r="AD261" i="2"/>
  <c r="AT261" i="2"/>
  <c r="BJ261" i="2"/>
  <c r="U262" i="2"/>
  <c r="AK262" i="2"/>
  <c r="BA262" i="2"/>
  <c r="H263" i="2"/>
  <c r="X263" i="2"/>
  <c r="AN263" i="2"/>
  <c r="BD263" i="2"/>
  <c r="K264" i="2"/>
  <c r="AA264" i="2"/>
  <c r="AQ264" i="2"/>
  <c r="BG264" i="2"/>
  <c r="R265" i="2"/>
  <c r="AH265" i="2"/>
  <c r="AX265" i="2"/>
  <c r="I266" i="2"/>
  <c r="Y266" i="2"/>
  <c r="AO266" i="2"/>
  <c r="BE266" i="2"/>
  <c r="L267" i="2"/>
  <c r="AB267" i="2"/>
  <c r="AR267" i="2"/>
  <c r="BH267" i="2"/>
  <c r="O268" i="2"/>
  <c r="AE268" i="2"/>
  <c r="AU268" i="2"/>
  <c r="BK268" i="2"/>
  <c r="V269" i="2"/>
  <c r="AL269" i="2"/>
  <c r="BB269" i="2"/>
  <c r="M270" i="2"/>
  <c r="AC270" i="2"/>
  <c r="AS270" i="2"/>
  <c r="BI270" i="2"/>
  <c r="P271" i="2"/>
  <c r="AF271" i="2"/>
  <c r="AV271" i="2"/>
  <c r="BL271" i="2"/>
  <c r="S272" i="2"/>
  <c r="AI272" i="2"/>
  <c r="AY272" i="2"/>
  <c r="J273" i="2"/>
  <c r="Z273" i="2"/>
  <c r="AP273" i="2"/>
  <c r="BF273" i="2"/>
  <c r="Q274" i="2"/>
  <c r="AG274" i="2"/>
  <c r="AW274" i="2"/>
  <c r="BM274" i="2"/>
  <c r="T275" i="2"/>
  <c r="AJ275" i="2"/>
  <c r="AZ275" i="2"/>
  <c r="G276" i="2"/>
  <c r="W276" i="2"/>
  <c r="AM276" i="2"/>
  <c r="BC276" i="2"/>
  <c r="N277" i="2"/>
  <c r="AD277" i="2"/>
  <c r="AT277" i="2"/>
  <c r="BJ277" i="2"/>
  <c r="U278" i="2"/>
  <c r="AK278" i="2"/>
  <c r="BA278" i="2"/>
  <c r="H279" i="2"/>
  <c r="X279" i="2"/>
  <c r="AN279" i="2"/>
  <c r="BD279" i="2"/>
  <c r="K280" i="2"/>
  <c r="AA280" i="2"/>
  <c r="AQ280" i="2"/>
  <c r="BG280" i="2"/>
  <c r="R281" i="2"/>
  <c r="AH281" i="2"/>
  <c r="AX281" i="2"/>
  <c r="I282" i="2"/>
  <c r="Y282" i="2"/>
  <c r="AO282" i="2"/>
  <c r="BE282" i="2"/>
  <c r="L283" i="2"/>
  <c r="AB283" i="2"/>
  <c r="AR283" i="2"/>
  <c r="BH283" i="2"/>
  <c r="O284" i="2"/>
  <c r="AE284" i="2"/>
  <c r="AU284" i="2"/>
  <c r="BK284" i="2"/>
  <c r="V285" i="2"/>
  <c r="AL285" i="2"/>
  <c r="BB285" i="2"/>
  <c r="M286" i="2"/>
  <c r="AC286" i="2"/>
  <c r="AS286" i="2"/>
  <c r="BI286" i="2"/>
  <c r="P287" i="2"/>
  <c r="AF287" i="2"/>
  <c r="AV287" i="2"/>
  <c r="BL287" i="2"/>
  <c r="S288" i="2"/>
  <c r="AI288" i="2"/>
  <c r="AY288" i="2"/>
  <c r="J289" i="2"/>
  <c r="Z289" i="2"/>
  <c r="AP289" i="2"/>
  <c r="BF289" i="2"/>
  <c r="Q290" i="2"/>
  <c r="AG290" i="2"/>
  <c r="AW290" i="2"/>
  <c r="BM290" i="2"/>
  <c r="V292" i="3"/>
  <c r="V292" i="2" s="1"/>
  <c r="V293" i="2"/>
  <c r="AL292" i="3"/>
  <c r="AL292" i="2" s="1"/>
  <c r="AL293" i="2"/>
  <c r="BB292" i="3"/>
  <c r="BB292" i="2" s="1"/>
  <c r="BB293" i="2"/>
  <c r="M294" i="2"/>
  <c r="AC294" i="2"/>
  <c r="AS294" i="2"/>
  <c r="BI294" i="2"/>
  <c r="P295" i="2"/>
  <c r="AF295" i="2"/>
  <c r="AV295" i="2"/>
  <c r="BL295" i="2"/>
  <c r="S296" i="2"/>
  <c r="AI296" i="2"/>
  <c r="AY296" i="2"/>
  <c r="J297" i="2"/>
  <c r="Z297" i="2"/>
  <c r="AP297" i="2"/>
  <c r="BF297" i="2"/>
  <c r="Q298" i="2"/>
  <c r="AG298" i="2"/>
  <c r="AW298" i="2"/>
  <c r="BM298" i="2"/>
  <c r="T299" i="2"/>
  <c r="AJ299" i="2"/>
  <c r="AZ299" i="2"/>
  <c r="G300" i="2"/>
  <c r="W300" i="2"/>
  <c r="AM300" i="2"/>
  <c r="BC300" i="2"/>
  <c r="N301" i="2"/>
  <c r="AD301" i="2"/>
  <c r="AT301" i="2"/>
  <c r="BJ301" i="2"/>
  <c r="U302" i="2"/>
  <c r="AK302" i="2"/>
  <c r="BA302" i="2"/>
  <c r="H303" i="2"/>
  <c r="X303" i="2"/>
  <c r="AN303" i="2"/>
  <c r="BD303" i="2"/>
  <c r="K304" i="2"/>
  <c r="AA304" i="2"/>
  <c r="AQ304" i="2"/>
  <c r="BG304" i="2"/>
  <c r="R305" i="2"/>
  <c r="AH305" i="2"/>
  <c r="AX305" i="2"/>
  <c r="I306" i="2"/>
  <c r="Y306" i="2"/>
  <c r="AO306" i="2"/>
  <c r="BE306" i="2"/>
  <c r="L307" i="2"/>
  <c r="AB307" i="2"/>
  <c r="AR307" i="2"/>
  <c r="BH307" i="2"/>
  <c r="O308" i="2"/>
  <c r="AE308" i="2"/>
  <c r="AU308" i="2"/>
  <c r="BK308" i="2"/>
  <c r="V309" i="2"/>
  <c r="AL309" i="2"/>
  <c r="BB309" i="2"/>
  <c r="M310" i="2"/>
  <c r="AC310" i="2"/>
  <c r="AS310" i="2"/>
  <c r="BI310" i="2"/>
  <c r="P311" i="2"/>
  <c r="AF311" i="2"/>
  <c r="AV311" i="2"/>
  <c r="BL311" i="2"/>
  <c r="S312" i="2"/>
  <c r="AI312" i="2"/>
  <c r="AY312" i="2"/>
  <c r="J313" i="2"/>
  <c r="Z313" i="2"/>
  <c r="AP313" i="2"/>
  <c r="BF313" i="2"/>
  <c r="Q314" i="2"/>
  <c r="AG314" i="2"/>
  <c r="AW314" i="2"/>
  <c r="BM314" i="2"/>
  <c r="T315" i="2"/>
  <c r="AJ315" i="2"/>
  <c r="AZ315" i="2"/>
  <c r="G316" i="2"/>
  <c r="W316" i="2"/>
  <c r="AM316" i="2"/>
  <c r="BC316" i="2"/>
  <c r="N317" i="2"/>
  <c r="AD317" i="2"/>
  <c r="AT317" i="2"/>
  <c r="BJ317" i="2"/>
  <c r="U318" i="2"/>
  <c r="AK318" i="2"/>
  <c r="BA318" i="2"/>
  <c r="H319" i="2"/>
  <c r="X319" i="2"/>
  <c r="AN319" i="2"/>
  <c r="BD319" i="2"/>
  <c r="K320" i="2"/>
  <c r="AA320" i="2"/>
  <c r="AQ320" i="2"/>
  <c r="BG320" i="2"/>
  <c r="R321" i="2"/>
  <c r="AH321" i="2"/>
  <c r="AX321" i="2"/>
  <c r="I322" i="2"/>
  <c r="Y322" i="2"/>
  <c r="AO322" i="2"/>
  <c r="BE322" i="2"/>
  <c r="L323" i="2"/>
  <c r="AB323" i="2"/>
  <c r="AR323" i="2"/>
  <c r="BH323" i="2"/>
  <c r="O324" i="2"/>
  <c r="AE324" i="2"/>
  <c r="AU324" i="2"/>
  <c r="BK324" i="2"/>
  <c r="V325" i="2"/>
  <c r="AL325" i="2"/>
  <c r="BB325" i="2"/>
  <c r="M326" i="2"/>
  <c r="AH326" i="2"/>
  <c r="BD326" i="2"/>
  <c r="AB327" i="2"/>
  <c r="BH327" i="2"/>
  <c r="V328" i="2"/>
  <c r="AL328" i="2"/>
  <c r="BB328" i="2"/>
  <c r="M329" i="2"/>
  <c r="AC329" i="2"/>
  <c r="AS329" i="2"/>
  <c r="BI329" i="2"/>
  <c r="P330" i="2"/>
  <c r="AF330" i="2"/>
  <c r="AV330" i="2"/>
  <c r="BL330" i="2"/>
  <c r="S331" i="2"/>
  <c r="AI331" i="2"/>
  <c r="AY331" i="2"/>
  <c r="J332" i="2"/>
  <c r="Z332" i="2"/>
  <c r="AP332" i="2"/>
  <c r="BF332" i="2"/>
  <c r="R333" i="3"/>
  <c r="R333" i="2" s="1"/>
  <c r="R334" i="2"/>
  <c r="AH333" i="3"/>
  <c r="AH333" i="2" s="1"/>
  <c r="AH334" i="2"/>
  <c r="AX333" i="3"/>
  <c r="AX333" i="2" s="1"/>
  <c r="AX334" i="2"/>
  <c r="I335" i="2"/>
  <c r="Y335" i="2"/>
  <c r="AO335" i="2"/>
  <c r="BE335" i="2"/>
  <c r="L336" i="2"/>
  <c r="AB336" i="2"/>
  <c r="AR336" i="2"/>
  <c r="BH336" i="2"/>
  <c r="O337" i="2"/>
  <c r="AE337" i="2"/>
  <c r="AU337" i="2"/>
  <c r="BK337" i="2"/>
  <c r="V338" i="2"/>
  <c r="AL338" i="2"/>
  <c r="BB338" i="2"/>
  <c r="M339" i="2"/>
  <c r="AC339" i="2"/>
  <c r="AS339" i="2"/>
  <c r="BI339" i="2"/>
  <c r="P340" i="2"/>
  <c r="AF340" i="2"/>
  <c r="AV340" i="2"/>
  <c r="BL340" i="2"/>
  <c r="S341" i="2"/>
  <c r="AI341" i="2"/>
  <c r="AY341" i="2"/>
  <c r="J342" i="2"/>
  <c r="Z342" i="2"/>
  <c r="AP342" i="2"/>
  <c r="BF342" i="2"/>
  <c r="Q343" i="2"/>
  <c r="AG343" i="2"/>
  <c r="AW343" i="2"/>
  <c r="BM343" i="2"/>
  <c r="T344" i="2"/>
  <c r="AJ344" i="2"/>
  <c r="AZ344" i="2"/>
  <c r="G345" i="2"/>
  <c r="W345" i="2"/>
  <c r="AM345" i="2"/>
  <c r="BC345" i="2"/>
  <c r="N346" i="2"/>
  <c r="AD346" i="2"/>
  <c r="AT346" i="2"/>
  <c r="BJ346" i="2"/>
  <c r="U347" i="2"/>
  <c r="AK347" i="2"/>
  <c r="BA347" i="2"/>
  <c r="H348" i="2"/>
  <c r="X348" i="2"/>
  <c r="AN348" i="2"/>
  <c r="BD348" i="2"/>
  <c r="K349" i="2"/>
  <c r="AA349" i="2"/>
  <c r="AQ349" i="2"/>
  <c r="BG349" i="2"/>
  <c r="R350" i="2"/>
  <c r="AH350" i="2"/>
  <c r="AX350" i="2"/>
  <c r="I351" i="2"/>
  <c r="Y351" i="2"/>
  <c r="AO351" i="2"/>
  <c r="BE351" i="2"/>
  <c r="L352" i="2"/>
  <c r="AB352" i="2"/>
  <c r="AR352" i="2"/>
  <c r="BH352" i="2"/>
  <c r="O353" i="2"/>
  <c r="AE353" i="2"/>
  <c r="AU353" i="2"/>
  <c r="BK353" i="2"/>
  <c r="V354" i="2"/>
  <c r="AL354" i="2"/>
  <c r="BB354" i="2"/>
  <c r="M355" i="2"/>
  <c r="AC355" i="2"/>
  <c r="AS355" i="2"/>
  <c r="BI355" i="2"/>
  <c r="P356" i="2"/>
  <c r="AF356" i="2"/>
  <c r="AV356" i="2"/>
  <c r="BL356" i="2"/>
  <c r="S357" i="2"/>
  <c r="AI357" i="2"/>
  <c r="AY357" i="2"/>
  <c r="J358" i="2"/>
  <c r="Z358" i="2"/>
  <c r="AP358" i="2"/>
  <c r="BF358" i="2"/>
  <c r="Q359" i="2"/>
  <c r="AG359" i="2"/>
  <c r="AW359" i="2"/>
  <c r="BM359" i="2"/>
  <c r="T360" i="2"/>
  <c r="AJ360" i="2"/>
  <c r="AZ360" i="2"/>
  <c r="G361" i="2"/>
  <c r="W361" i="2"/>
  <c r="AM361" i="2"/>
  <c r="BC361" i="2"/>
  <c r="N362" i="2"/>
  <c r="AD362" i="2"/>
  <c r="AT362" i="2"/>
  <c r="BJ362" i="2"/>
  <c r="U363" i="2"/>
  <c r="AK363" i="2"/>
  <c r="BA363" i="2"/>
  <c r="H364" i="2"/>
  <c r="X364" i="2"/>
  <c r="AN364" i="2"/>
  <c r="BD364" i="2"/>
  <c r="K365" i="2"/>
  <c r="AA365" i="2"/>
  <c r="AQ365" i="2"/>
  <c r="BG365" i="2"/>
  <c r="R366" i="2"/>
  <c r="AH366" i="2"/>
  <c r="AX366" i="2"/>
  <c r="I367" i="2"/>
  <c r="Y367" i="2"/>
  <c r="AO367" i="2"/>
  <c r="BE367" i="2"/>
  <c r="L368" i="2"/>
  <c r="AB368" i="2"/>
  <c r="AR368" i="2"/>
  <c r="BH368" i="2"/>
  <c r="O369" i="2"/>
  <c r="AE369" i="2"/>
  <c r="AU369" i="2"/>
  <c r="BK369" i="2"/>
  <c r="V370" i="2"/>
  <c r="AL370" i="2"/>
  <c r="BB370" i="2"/>
  <c r="M371" i="2"/>
  <c r="AC371" i="2"/>
  <c r="AS371" i="2"/>
  <c r="BI371" i="2"/>
  <c r="P372" i="2"/>
  <c r="AF372" i="2"/>
  <c r="AV372" i="2"/>
  <c r="BL372" i="2"/>
  <c r="S373" i="2"/>
  <c r="AI373" i="2"/>
  <c r="AY373" i="2"/>
  <c r="G374" i="3"/>
  <c r="G374" i="2" s="1"/>
  <c r="G375" i="2"/>
  <c r="W374" i="3"/>
  <c r="W374" i="2" s="1"/>
  <c r="W375" i="2"/>
  <c r="AM374" i="3"/>
  <c r="AM374" i="2" s="1"/>
  <c r="AM375" i="2"/>
  <c r="BC374" i="3"/>
  <c r="BC374" i="2" s="1"/>
  <c r="BC375" i="2"/>
  <c r="N376" i="2"/>
  <c r="AD376" i="2"/>
  <c r="AT376" i="2"/>
  <c r="BJ376" i="2"/>
  <c r="U377" i="2"/>
  <c r="AK377" i="2"/>
  <c r="BA377" i="2"/>
  <c r="H378" i="2"/>
  <c r="X378" i="2"/>
  <c r="AN378" i="2"/>
  <c r="BD378" i="2"/>
  <c r="K379" i="2"/>
  <c r="AA379" i="2"/>
  <c r="AQ379" i="2"/>
  <c r="BG379" i="2"/>
  <c r="R380" i="2"/>
  <c r="AH380" i="2"/>
  <c r="AX380" i="2"/>
  <c r="I381" i="2"/>
  <c r="Y381" i="2"/>
  <c r="AO381" i="2"/>
  <c r="BE381" i="2"/>
  <c r="L382" i="2"/>
  <c r="AB382" i="2"/>
  <c r="AR382" i="2"/>
  <c r="BH382" i="2"/>
  <c r="O383" i="2"/>
  <c r="AE383" i="2"/>
  <c r="AU383" i="2"/>
  <c r="BK383" i="2"/>
  <c r="V384" i="2"/>
  <c r="AL384" i="2"/>
  <c r="BB384" i="2"/>
  <c r="M385" i="2"/>
  <c r="AC385" i="2"/>
  <c r="AS385" i="2"/>
  <c r="BI385" i="2"/>
  <c r="P386" i="2"/>
  <c r="AF386" i="2"/>
  <c r="AV386" i="2"/>
  <c r="BL386" i="2"/>
  <c r="S387" i="2"/>
  <c r="AI387" i="2"/>
  <c r="AY387" i="2"/>
  <c r="J388" i="2"/>
  <c r="Z388" i="2"/>
  <c r="AP388" i="2"/>
  <c r="BF388" i="2"/>
  <c r="Q389" i="2"/>
  <c r="AG389" i="2"/>
  <c r="AW389" i="2"/>
  <c r="BM389" i="2"/>
  <c r="T390" i="2"/>
  <c r="AJ390" i="2"/>
  <c r="AZ390" i="2"/>
  <c r="G391" i="2"/>
  <c r="W391" i="2"/>
  <c r="AM391" i="2"/>
  <c r="BC391" i="2"/>
  <c r="N392" i="2"/>
  <c r="AD392" i="2"/>
  <c r="AT392" i="2"/>
  <c r="BJ392" i="2"/>
  <c r="U393" i="2"/>
  <c r="AK393" i="2"/>
  <c r="BA393" i="2"/>
  <c r="H394" i="2"/>
  <c r="X394" i="2"/>
  <c r="AN394" i="2"/>
  <c r="BD394" i="2"/>
  <c r="K395" i="2"/>
  <c r="AA395" i="2"/>
  <c r="AQ395" i="2"/>
  <c r="BG395" i="2"/>
  <c r="R396" i="2"/>
  <c r="AH396" i="2"/>
  <c r="AX396" i="2"/>
  <c r="I397" i="2"/>
  <c r="Y397" i="2"/>
  <c r="AO397" i="2"/>
  <c r="BE397" i="2"/>
  <c r="L398" i="2"/>
  <c r="AB398" i="2"/>
  <c r="AR398" i="2"/>
  <c r="BH398" i="2"/>
  <c r="O399" i="2"/>
  <c r="AE399" i="2"/>
  <c r="AU399" i="2"/>
  <c r="BK399" i="2"/>
  <c r="V400" i="2"/>
  <c r="AL400" i="2"/>
  <c r="BB400" i="2"/>
  <c r="M401" i="2"/>
  <c r="AC401" i="2"/>
  <c r="AS401" i="2"/>
  <c r="BI401" i="2"/>
  <c r="P402" i="2"/>
  <c r="AF402" i="2"/>
  <c r="AV402" i="2"/>
  <c r="BL402" i="2"/>
  <c r="S403" i="2"/>
  <c r="AI403" i="2"/>
  <c r="AY403" i="2"/>
  <c r="J404" i="2"/>
  <c r="Z404" i="2"/>
  <c r="AP404" i="2"/>
  <c r="BF404" i="2"/>
  <c r="Q405" i="2"/>
  <c r="AG405" i="2"/>
  <c r="AW405" i="2"/>
  <c r="BM405" i="2"/>
  <c r="T406" i="2"/>
  <c r="AJ406" i="2"/>
  <c r="AZ406" i="2"/>
  <c r="G407" i="2"/>
  <c r="W407" i="2"/>
  <c r="AM407" i="2"/>
  <c r="BC407" i="2"/>
  <c r="N408" i="2"/>
  <c r="AD408" i="2"/>
  <c r="AT408" i="2"/>
  <c r="BJ408" i="2"/>
  <c r="U409" i="2"/>
  <c r="AK409" i="2"/>
  <c r="BA409" i="2"/>
  <c r="H410" i="2"/>
  <c r="X410" i="2"/>
  <c r="AN410" i="2"/>
  <c r="BD410" i="2"/>
  <c r="K411" i="2"/>
  <c r="AA411" i="2"/>
  <c r="AQ411" i="2"/>
  <c r="BG411" i="2"/>
  <c r="R412" i="2"/>
  <c r="AH412" i="2"/>
  <c r="AX412" i="2"/>
  <c r="I413" i="2"/>
  <c r="Y413" i="2"/>
  <c r="AO413" i="2"/>
  <c r="BE413" i="2"/>
  <c r="L414" i="2"/>
  <c r="AB414" i="2"/>
  <c r="AR414" i="2"/>
  <c r="BH414" i="2"/>
  <c r="P415" i="3"/>
  <c r="P415" i="2" s="1"/>
  <c r="P416" i="2"/>
  <c r="AF415" i="3"/>
  <c r="AF415" i="2" s="1"/>
  <c r="AF416" i="2"/>
  <c r="AV415" i="3"/>
  <c r="AV415" i="2" s="1"/>
  <c r="AV416" i="2"/>
  <c r="BL415" i="3"/>
  <c r="BL415" i="2" s="1"/>
  <c r="BL416" i="2"/>
  <c r="K328" i="2"/>
  <c r="AA328" i="2"/>
  <c r="AQ328" i="2"/>
  <c r="BG328" i="2"/>
  <c r="R329" i="2"/>
  <c r="AH329" i="2"/>
  <c r="AX329" i="2"/>
  <c r="I330" i="2"/>
  <c r="Y330" i="2"/>
  <c r="AO330" i="2"/>
  <c r="BE330" i="2"/>
  <c r="L331" i="2"/>
  <c r="AB331" i="2"/>
  <c r="AR331" i="2"/>
  <c r="BH331" i="2"/>
  <c r="O332" i="2"/>
  <c r="AE332" i="2"/>
  <c r="AU332" i="2"/>
  <c r="BK332" i="2"/>
  <c r="S333" i="3"/>
  <c r="S333" i="2" s="1"/>
  <c r="S334" i="2"/>
  <c r="AI333" i="3"/>
  <c r="AI333" i="2" s="1"/>
  <c r="AI334" i="2"/>
  <c r="AY333" i="3"/>
  <c r="AY333" i="2" s="1"/>
  <c r="AY334" i="2"/>
  <c r="J335" i="2"/>
  <c r="Z335" i="2"/>
  <c r="AP335" i="2"/>
  <c r="BF335" i="2"/>
  <c r="Q336" i="2"/>
  <c r="AG336" i="2"/>
  <c r="AW336" i="2"/>
  <c r="BM336" i="2"/>
  <c r="T337" i="2"/>
  <c r="AJ337" i="2"/>
  <c r="AZ337" i="2"/>
  <c r="G338" i="2"/>
  <c r="W338" i="2"/>
  <c r="AM338" i="2"/>
  <c r="BC338" i="2"/>
  <c r="N339" i="2"/>
  <c r="AD339" i="2"/>
  <c r="AT339" i="2"/>
  <c r="BJ339" i="2"/>
  <c r="U340" i="2"/>
  <c r="AK340" i="2"/>
  <c r="BA340" i="2"/>
  <c r="H341" i="2"/>
  <c r="X341" i="2"/>
  <c r="AN341" i="2"/>
  <c r="BD341" i="2"/>
  <c r="K342" i="2"/>
  <c r="AA342" i="2"/>
  <c r="AQ342" i="2"/>
  <c r="BG342" i="2"/>
  <c r="R343" i="2"/>
  <c r="AH343" i="2"/>
  <c r="AX343" i="2"/>
  <c r="I344" i="2"/>
  <c r="Y344" i="2"/>
  <c r="AO344" i="2"/>
  <c r="BE344" i="2"/>
  <c r="L345" i="2"/>
  <c r="AB345" i="2"/>
  <c r="AR345" i="2"/>
  <c r="BH345" i="2"/>
  <c r="O346" i="2"/>
  <c r="AE346" i="2"/>
  <c r="AU346" i="2"/>
  <c r="BK346" i="2"/>
  <c r="V347" i="2"/>
  <c r="AL347" i="2"/>
  <c r="BB347" i="2"/>
  <c r="M348" i="2"/>
  <c r="AC348" i="2"/>
  <c r="AS348" i="2"/>
  <c r="BI348" i="2"/>
  <c r="P349" i="2"/>
  <c r="AF349" i="2"/>
  <c r="AV349" i="2"/>
  <c r="BL349" i="2"/>
  <c r="S350" i="2"/>
  <c r="AI350" i="2"/>
  <c r="AY350" i="2"/>
  <c r="J351" i="2"/>
  <c r="Z351" i="2"/>
  <c r="AP351" i="2"/>
  <c r="BF351" i="2"/>
  <c r="Q352" i="2"/>
  <c r="AG352" i="2"/>
  <c r="AW352" i="2"/>
  <c r="BM352" i="2"/>
  <c r="T353" i="2"/>
  <c r="AJ353" i="2"/>
  <c r="AZ353" i="2"/>
  <c r="G354" i="2"/>
  <c r="W354" i="2"/>
  <c r="AM354" i="2"/>
  <c r="BC354" i="2"/>
  <c r="N355" i="2"/>
  <c r="AD355" i="2"/>
  <c r="AT355" i="2"/>
  <c r="BJ355" i="2"/>
  <c r="U356" i="2"/>
  <c r="AK356" i="2"/>
  <c r="BA356" i="2"/>
  <c r="H357" i="2"/>
  <c r="X357" i="2"/>
  <c r="AN357" i="2"/>
  <c r="BD357" i="2"/>
  <c r="K358" i="2"/>
  <c r="AA358" i="2"/>
  <c r="AQ358" i="2"/>
  <c r="BG358" i="2"/>
  <c r="R359" i="2"/>
  <c r="AH359" i="2"/>
  <c r="AX359" i="2"/>
  <c r="I360" i="2"/>
  <c r="Y360" i="2"/>
  <c r="AO360" i="2"/>
  <c r="BE360" i="2"/>
  <c r="L361" i="2"/>
  <c r="AB361" i="2"/>
  <c r="AR361" i="2"/>
  <c r="BH361" i="2"/>
  <c r="O362" i="2"/>
  <c r="AE362" i="2"/>
  <c r="AU362" i="2"/>
  <c r="BK362" i="2"/>
  <c r="V363" i="2"/>
  <c r="AL363" i="2"/>
  <c r="BB363" i="2"/>
  <c r="M364" i="2"/>
  <c r="AC364" i="2"/>
  <c r="AS364" i="2"/>
  <c r="BI364" i="2"/>
  <c r="P365" i="2"/>
  <c r="AF365" i="2"/>
  <c r="AV365" i="2"/>
  <c r="BL365" i="2"/>
  <c r="S366" i="2"/>
  <c r="AI366" i="2"/>
  <c r="AY366" i="2"/>
  <c r="J367" i="2"/>
  <c r="Z367" i="2"/>
  <c r="AP367" i="2"/>
  <c r="BF367" i="2"/>
  <c r="Q368" i="2"/>
  <c r="AG368" i="2"/>
  <c r="AW368" i="2"/>
  <c r="BM368" i="2"/>
  <c r="T369" i="2"/>
  <c r="AJ369" i="2"/>
  <c r="AZ369" i="2"/>
  <c r="G370" i="2"/>
  <c r="W370" i="2"/>
  <c r="AM370" i="2"/>
  <c r="BC370" i="2"/>
  <c r="N371" i="2"/>
  <c r="AD371" i="2"/>
  <c r="AT371" i="2"/>
  <c r="BJ371" i="2"/>
  <c r="U372" i="2"/>
  <c r="AK372" i="2"/>
  <c r="BA372" i="2"/>
  <c r="H373" i="2"/>
  <c r="X373" i="2"/>
  <c r="AN373" i="2"/>
  <c r="BD373" i="2"/>
  <c r="L374" i="3"/>
  <c r="L374" i="2" s="1"/>
  <c r="L375" i="2"/>
  <c r="AB374" i="3"/>
  <c r="AB374" i="2" s="1"/>
  <c r="AB375" i="2"/>
  <c r="AR374" i="3"/>
  <c r="AR374" i="2" s="1"/>
  <c r="AR375" i="2"/>
  <c r="BH374" i="3"/>
  <c r="BH374" i="2" s="1"/>
  <c r="BH375" i="2"/>
  <c r="O376" i="2"/>
  <c r="AE376" i="2"/>
  <c r="AU376" i="2"/>
  <c r="BK376" i="2"/>
  <c r="V377" i="2"/>
  <c r="AL377" i="2"/>
  <c r="BB377" i="2"/>
  <c r="M378" i="2"/>
  <c r="AC378" i="2"/>
  <c r="AS378" i="2"/>
  <c r="BI378" i="2"/>
  <c r="P379" i="2"/>
  <c r="AF379" i="2"/>
  <c r="AV379" i="2"/>
  <c r="BL379" i="2"/>
  <c r="S380" i="2"/>
  <c r="AI380" i="2"/>
  <c r="AY380" i="2"/>
  <c r="J381" i="2"/>
  <c r="Z381" i="2"/>
  <c r="AP381" i="2"/>
  <c r="BF381" i="2"/>
  <c r="Q382" i="2"/>
  <c r="AG382" i="2"/>
  <c r="AW382" i="2"/>
  <c r="BM382" i="2"/>
  <c r="T383" i="2"/>
  <c r="AJ383" i="2"/>
  <c r="AZ383" i="2"/>
  <c r="G384" i="2"/>
  <c r="W384" i="2"/>
  <c r="AM384" i="2"/>
  <c r="BC384" i="2"/>
  <c r="N385" i="2"/>
  <c r="AD385" i="2"/>
  <c r="AT385" i="2"/>
  <c r="BJ385" i="2"/>
  <c r="U386" i="2"/>
  <c r="AK386" i="2"/>
  <c r="BA386" i="2"/>
  <c r="H387" i="2"/>
  <c r="X387" i="2"/>
  <c r="AN387" i="2"/>
  <c r="BD387" i="2"/>
  <c r="K388" i="2"/>
  <c r="AA388" i="2"/>
  <c r="AQ388" i="2"/>
  <c r="BG388" i="2"/>
  <c r="R389" i="2"/>
  <c r="AH389" i="2"/>
  <c r="AX389" i="2"/>
  <c r="I390" i="2"/>
  <c r="Y390" i="2"/>
  <c r="AO390" i="2"/>
  <c r="BE390" i="2"/>
  <c r="L391" i="2"/>
  <c r="AB391" i="2"/>
  <c r="AR391" i="2"/>
  <c r="BH391" i="2"/>
  <c r="O392" i="2"/>
  <c r="AE392" i="2"/>
  <c r="AU392" i="2"/>
  <c r="BK392" i="2"/>
  <c r="V393" i="2"/>
  <c r="AL393" i="2"/>
  <c r="BB393" i="2"/>
  <c r="M394" i="2"/>
  <c r="AC394" i="2"/>
  <c r="AS394" i="2"/>
  <c r="BI394" i="2"/>
  <c r="P395" i="2"/>
  <c r="AF395" i="2"/>
  <c r="AV395" i="2"/>
  <c r="BL395" i="2"/>
  <c r="S396" i="2"/>
  <c r="AI396" i="2"/>
  <c r="AY396" i="2"/>
  <c r="J397" i="2"/>
  <c r="Z397" i="2"/>
  <c r="AP397" i="2"/>
  <c r="BF397" i="2"/>
  <c r="Q398" i="2"/>
  <c r="AG398" i="2"/>
  <c r="AW398" i="2"/>
  <c r="BM398" i="2"/>
  <c r="T399" i="2"/>
  <c r="AJ399" i="2"/>
  <c r="AZ399" i="2"/>
  <c r="G400" i="2"/>
  <c r="W400" i="2"/>
  <c r="AM400" i="2"/>
  <c r="BC400" i="2"/>
  <c r="N401" i="2"/>
  <c r="AD401" i="2"/>
  <c r="AT401" i="2"/>
  <c r="BJ401" i="2"/>
  <c r="U402" i="2"/>
  <c r="AK402" i="2"/>
  <c r="BA402" i="2"/>
  <c r="H403" i="2"/>
  <c r="X403" i="2"/>
  <c r="AN403" i="2"/>
  <c r="BD403" i="2"/>
  <c r="K404" i="2"/>
  <c r="AA404" i="2"/>
  <c r="AQ404" i="2"/>
  <c r="BG404" i="2"/>
  <c r="R405" i="2"/>
  <c r="AH405" i="2"/>
  <c r="AX405" i="2"/>
  <c r="I406" i="2"/>
  <c r="Y406" i="2"/>
  <c r="AO406" i="2"/>
  <c r="BE406" i="2"/>
  <c r="L407" i="2"/>
  <c r="AB407" i="2"/>
  <c r="AR407" i="2"/>
  <c r="BH407" i="2"/>
  <c r="O408" i="2"/>
  <c r="AE408" i="2"/>
  <c r="AU408" i="2"/>
  <c r="BK408" i="2"/>
  <c r="V409" i="2"/>
  <c r="AL409" i="2"/>
  <c r="BB409" i="2"/>
  <c r="M410" i="2"/>
  <c r="AC410" i="2"/>
  <c r="AS410" i="2"/>
  <c r="BI410" i="2"/>
  <c r="P411" i="2"/>
  <c r="AF411" i="2"/>
  <c r="AV411" i="2"/>
  <c r="BL411" i="2"/>
  <c r="S412" i="2"/>
  <c r="AI412" i="2"/>
  <c r="AY412" i="2"/>
  <c r="J413" i="2"/>
  <c r="Z413" i="2"/>
  <c r="AP413" i="2"/>
  <c r="BF413" i="2"/>
  <c r="Q414" i="2"/>
  <c r="AG414" i="2"/>
  <c r="AW414" i="2"/>
  <c r="BM414" i="2"/>
  <c r="U415" i="3"/>
  <c r="U415" i="2" s="1"/>
  <c r="U416" i="2"/>
  <c r="AK415" i="3"/>
  <c r="AK415" i="2" s="1"/>
  <c r="AK416" i="2"/>
  <c r="BA415" i="3"/>
  <c r="BA415" i="2" s="1"/>
  <c r="BA416" i="2"/>
  <c r="P417" i="2"/>
  <c r="Q327" i="2"/>
  <c r="AG327" i="2"/>
  <c r="AW327" i="2"/>
  <c r="BM327" i="2"/>
  <c r="T328" i="2"/>
  <c r="AJ328" i="2"/>
  <c r="AZ328" i="2"/>
  <c r="G329" i="2"/>
  <c r="W329" i="2"/>
  <c r="AM329" i="2"/>
  <c r="BC329" i="2"/>
  <c r="N330" i="2"/>
  <c r="AD330" i="2"/>
  <c r="AT330" i="2"/>
  <c r="BJ330" i="2"/>
  <c r="U331" i="2"/>
  <c r="AK331" i="2"/>
  <c r="BA331" i="2"/>
  <c r="H332" i="2"/>
  <c r="X332" i="2"/>
  <c r="AN332" i="2"/>
  <c r="BD332" i="2"/>
  <c r="L333" i="3"/>
  <c r="L333" i="2" s="1"/>
  <c r="L334" i="2"/>
  <c r="AB333" i="3"/>
  <c r="AB333" i="2" s="1"/>
  <c r="AB334" i="2"/>
  <c r="AR333" i="3"/>
  <c r="AR333" i="2" s="1"/>
  <c r="AR334" i="2"/>
  <c r="BH333" i="3"/>
  <c r="BH333" i="2" s="1"/>
  <c r="BH334" i="2"/>
  <c r="O335" i="2"/>
  <c r="AE335" i="2"/>
  <c r="AU335" i="2"/>
  <c r="BK335" i="2"/>
  <c r="V336" i="2"/>
  <c r="AL336" i="2"/>
  <c r="BB336" i="2"/>
  <c r="M337" i="2"/>
  <c r="AC337" i="2"/>
  <c r="AS337" i="2"/>
  <c r="BI337" i="2"/>
  <c r="P338" i="2"/>
  <c r="AF338" i="2"/>
  <c r="AV338" i="2"/>
  <c r="BL338" i="2"/>
  <c r="S339" i="2"/>
  <c r="AI339" i="2"/>
  <c r="AY339" i="2"/>
  <c r="J340" i="2"/>
  <c r="Z340" i="2"/>
  <c r="AP340" i="2"/>
  <c r="BF340" i="2"/>
  <c r="Q341" i="2"/>
  <c r="AG341" i="2"/>
  <c r="AW341" i="2"/>
  <c r="BM341" i="2"/>
  <c r="T342" i="2"/>
  <c r="AJ342" i="2"/>
  <c r="AZ342" i="2"/>
  <c r="G343" i="2"/>
  <c r="W343" i="2"/>
  <c r="AM343" i="2"/>
  <c r="BC343" i="2"/>
  <c r="N344" i="2"/>
  <c r="AD344" i="2"/>
  <c r="AT344" i="2"/>
  <c r="BJ344" i="2"/>
  <c r="U345" i="2"/>
  <c r="AK345" i="2"/>
  <c r="BA345" i="2"/>
  <c r="H346" i="2"/>
  <c r="X346" i="2"/>
  <c r="AN346" i="2"/>
  <c r="BD346" i="2"/>
  <c r="K347" i="2"/>
  <c r="AA347" i="2"/>
  <c r="AQ347" i="2"/>
  <c r="BG347" i="2"/>
  <c r="R348" i="2"/>
  <c r="AH348" i="2"/>
  <c r="AX348" i="2"/>
  <c r="I349" i="2"/>
  <c r="Y349" i="2"/>
  <c r="AO349" i="2"/>
  <c r="BE349" i="2"/>
  <c r="L350" i="2"/>
  <c r="AB350" i="2"/>
  <c r="AR350" i="2"/>
  <c r="BH350" i="2"/>
  <c r="O351" i="2"/>
  <c r="AE351" i="2"/>
  <c r="AU351" i="2"/>
  <c r="BK351" i="2"/>
  <c r="V352" i="2"/>
  <c r="AL352" i="2"/>
  <c r="BB352" i="2"/>
  <c r="M353" i="2"/>
  <c r="AC353" i="2"/>
  <c r="AS353" i="2"/>
  <c r="BI353" i="2"/>
  <c r="P354" i="2"/>
  <c r="AF354" i="2"/>
  <c r="AV354" i="2"/>
  <c r="BL354" i="2"/>
  <c r="S355" i="2"/>
  <c r="AI355" i="2"/>
  <c r="AY355" i="2"/>
  <c r="J356" i="2"/>
  <c r="Z356" i="2"/>
  <c r="AP356" i="2"/>
  <c r="BF356" i="2"/>
  <c r="Q357" i="2"/>
  <c r="AG357" i="2"/>
  <c r="AW357" i="2"/>
  <c r="BM357" i="2"/>
  <c r="T358" i="2"/>
  <c r="AJ358" i="2"/>
  <c r="AZ358" i="2"/>
  <c r="G359" i="2"/>
  <c r="W359" i="2"/>
  <c r="AM359" i="2"/>
  <c r="BC359" i="2"/>
  <c r="N360" i="2"/>
  <c r="AD360" i="2"/>
  <c r="AT360" i="2"/>
  <c r="BJ360" i="2"/>
  <c r="U361" i="2"/>
  <c r="AK361" i="2"/>
  <c r="BA361" i="2"/>
  <c r="H362" i="2"/>
  <c r="X362" i="2"/>
  <c r="AN362" i="2"/>
  <c r="BD362" i="2"/>
  <c r="K363" i="2"/>
  <c r="AA363" i="2"/>
  <c r="AQ363" i="2"/>
  <c r="BG363" i="2"/>
  <c r="R364" i="2"/>
  <c r="AH364" i="2"/>
  <c r="AX364" i="2"/>
  <c r="I365" i="2"/>
  <c r="Y365" i="2"/>
  <c r="AO365" i="2"/>
  <c r="BE365" i="2"/>
  <c r="L366" i="2"/>
  <c r="AB366" i="2"/>
  <c r="AR366" i="2"/>
  <c r="BH366" i="2"/>
  <c r="O367" i="2"/>
  <c r="AE367" i="2"/>
  <c r="AU367" i="2"/>
  <c r="BK367" i="2"/>
  <c r="V368" i="2"/>
  <c r="AL368" i="2"/>
  <c r="BB368" i="2"/>
  <c r="M369" i="2"/>
  <c r="AC369" i="2"/>
  <c r="AS369" i="2"/>
  <c r="BI369" i="2"/>
  <c r="P370" i="2"/>
  <c r="AF370" i="2"/>
  <c r="AV370" i="2"/>
  <c r="BL370" i="2"/>
  <c r="S371" i="2"/>
  <c r="AI371" i="2"/>
  <c r="AY371" i="2"/>
  <c r="J372" i="2"/>
  <c r="Z372" i="2"/>
  <c r="AP372" i="2"/>
  <c r="BF372" i="2"/>
  <c r="Q373" i="2"/>
  <c r="AG373" i="2"/>
  <c r="AW373" i="2"/>
  <c r="BM373" i="2"/>
  <c r="U374" i="3"/>
  <c r="U374" i="2" s="1"/>
  <c r="U375" i="2"/>
  <c r="AK374" i="3"/>
  <c r="AK374" i="2" s="1"/>
  <c r="AK375" i="2"/>
  <c r="BA374" i="3"/>
  <c r="BA374" i="2" s="1"/>
  <c r="BA375" i="2"/>
  <c r="H376" i="2"/>
  <c r="X376" i="2"/>
  <c r="AN376" i="2"/>
  <c r="BD376" i="2"/>
  <c r="K377" i="2"/>
  <c r="AA377" i="2"/>
  <c r="AQ377" i="2"/>
  <c r="BG377" i="2"/>
  <c r="R378" i="2"/>
  <c r="AH378" i="2"/>
  <c r="AX378" i="2"/>
  <c r="I379" i="2"/>
  <c r="Y379" i="2"/>
  <c r="AO379" i="2"/>
  <c r="BE379" i="2"/>
  <c r="L380" i="2"/>
  <c r="AB380" i="2"/>
  <c r="AR380" i="2"/>
  <c r="BH380" i="2"/>
  <c r="O381" i="2"/>
  <c r="AE381" i="2"/>
  <c r="AU381" i="2"/>
  <c r="BK381" i="2"/>
  <c r="V382" i="2"/>
  <c r="AL382" i="2"/>
  <c r="BB382" i="2"/>
  <c r="M383" i="2"/>
  <c r="AC383" i="2"/>
  <c r="AS383" i="2"/>
  <c r="BI383" i="2"/>
  <c r="P384" i="2"/>
  <c r="AF384" i="2"/>
  <c r="AV384" i="2"/>
  <c r="BL384" i="2"/>
  <c r="S385" i="2"/>
  <c r="AI385" i="2"/>
  <c r="AY385" i="2"/>
  <c r="J386" i="2"/>
  <c r="Z386" i="2"/>
  <c r="AP386" i="2"/>
  <c r="BF386" i="2"/>
  <c r="Q387" i="2"/>
  <c r="AG387" i="2"/>
  <c r="AW387" i="2"/>
  <c r="BM387" i="2"/>
  <c r="T388" i="2"/>
  <c r="AJ388" i="2"/>
  <c r="AZ388" i="2"/>
  <c r="G389" i="2"/>
  <c r="W389" i="2"/>
  <c r="AM389" i="2"/>
  <c r="BC389" i="2"/>
  <c r="N390" i="2"/>
  <c r="AD390" i="2"/>
  <c r="AT390" i="2"/>
  <c r="BJ390" i="2"/>
  <c r="U391" i="2"/>
  <c r="AK391" i="2"/>
  <c r="BA391" i="2"/>
  <c r="H392" i="2"/>
  <c r="X392" i="2"/>
  <c r="AN392" i="2"/>
  <c r="BD392" i="2"/>
  <c r="K393" i="2"/>
  <c r="AA393" i="2"/>
  <c r="AQ393" i="2"/>
  <c r="BG393" i="2"/>
  <c r="R394" i="2"/>
  <c r="AH394" i="2"/>
  <c r="AX394" i="2"/>
  <c r="I395" i="2"/>
  <c r="Y395" i="2"/>
  <c r="AO395" i="2"/>
  <c r="BE395" i="2"/>
  <c r="L396" i="2"/>
  <c r="AB396" i="2"/>
  <c r="AR396" i="2"/>
  <c r="BH396" i="2"/>
  <c r="O397" i="2"/>
  <c r="AE397" i="2"/>
  <c r="AU397" i="2"/>
  <c r="BK397" i="2"/>
  <c r="V398" i="2"/>
  <c r="AL398" i="2"/>
  <c r="BB398" i="2"/>
  <c r="M399" i="2"/>
  <c r="AC399" i="2"/>
  <c r="AS399" i="2"/>
  <c r="BI399" i="2"/>
  <c r="P400" i="2"/>
  <c r="AF400" i="2"/>
  <c r="AV400" i="2"/>
  <c r="BL400" i="2"/>
  <c r="S401" i="2"/>
  <c r="AI401" i="2"/>
  <c r="AY401" i="2"/>
  <c r="J402" i="2"/>
  <c r="Z402" i="2"/>
  <c r="AP402" i="2"/>
  <c r="BF402" i="2"/>
  <c r="Q403" i="2"/>
  <c r="AG403" i="2"/>
  <c r="AW403" i="2"/>
  <c r="BM403" i="2"/>
  <c r="T404" i="2"/>
  <c r="AJ404" i="2"/>
  <c r="AZ404" i="2"/>
  <c r="G405" i="2"/>
  <c r="W405" i="2"/>
  <c r="AM405" i="2"/>
  <c r="BC405" i="2"/>
  <c r="N406" i="2"/>
  <c r="AD406" i="2"/>
  <c r="AT406" i="2"/>
  <c r="BJ406" i="2"/>
  <c r="U407" i="2"/>
  <c r="AK407" i="2"/>
  <c r="BA407" i="2"/>
  <c r="H408" i="2"/>
  <c r="X408" i="2"/>
  <c r="AN408" i="2"/>
  <c r="BD408" i="2"/>
  <c r="K409" i="2"/>
  <c r="AA409" i="2"/>
  <c r="AQ409" i="2"/>
  <c r="BG409" i="2"/>
  <c r="R410" i="2"/>
  <c r="AH410" i="2"/>
  <c r="AX410" i="2"/>
  <c r="I411" i="2"/>
  <c r="Y411" i="2"/>
  <c r="AO411" i="2"/>
  <c r="BE411" i="2"/>
  <c r="L412" i="2"/>
  <c r="AB412" i="2"/>
  <c r="AR412" i="2"/>
  <c r="BH412" i="2"/>
  <c r="O413" i="2"/>
  <c r="AE413" i="2"/>
  <c r="AU413" i="2"/>
  <c r="BK413" i="2"/>
  <c r="V414" i="2"/>
  <c r="AL414" i="2"/>
  <c r="BB414" i="2"/>
  <c r="N415" i="3"/>
  <c r="N415" i="2" s="1"/>
  <c r="N416" i="2"/>
  <c r="AD415" i="3"/>
  <c r="AD415" i="2" s="1"/>
  <c r="AD416" i="2"/>
  <c r="AT415" i="3"/>
  <c r="AT415" i="2" s="1"/>
  <c r="AT416" i="2"/>
  <c r="BJ415" i="3"/>
  <c r="BJ415" i="2" s="1"/>
  <c r="BJ416" i="2"/>
  <c r="W326" i="2"/>
  <c r="AM326" i="2"/>
  <c r="BC326" i="2"/>
  <c r="N327" i="2"/>
  <c r="AD327" i="2"/>
  <c r="AT327" i="2"/>
  <c r="BJ327" i="2"/>
  <c r="U328" i="2"/>
  <c r="AK328" i="2"/>
  <c r="BA328" i="2"/>
  <c r="H329" i="2"/>
  <c r="X329" i="2"/>
  <c r="AN329" i="2"/>
  <c r="BD329" i="2"/>
  <c r="K330" i="2"/>
  <c r="AA330" i="2"/>
  <c r="AQ330" i="2"/>
  <c r="BG330" i="2"/>
  <c r="R331" i="2"/>
  <c r="AH331" i="2"/>
  <c r="AX331" i="2"/>
  <c r="I332" i="2"/>
  <c r="Y332" i="2"/>
  <c r="AO332" i="2"/>
  <c r="BE332" i="2"/>
  <c r="M333" i="3"/>
  <c r="M333" i="2" s="1"/>
  <c r="M334" i="2"/>
  <c r="AC333" i="3"/>
  <c r="AC333" i="2" s="1"/>
  <c r="AC334" i="2"/>
  <c r="AS333" i="3"/>
  <c r="AS333" i="2" s="1"/>
  <c r="AS334" i="2"/>
  <c r="BI333" i="3"/>
  <c r="BI333" i="2" s="1"/>
  <c r="BI334" i="2"/>
  <c r="P335" i="2"/>
  <c r="AF335" i="2"/>
  <c r="AV335" i="2"/>
  <c r="BL335" i="2"/>
  <c r="S336" i="2"/>
  <c r="AI336" i="2"/>
  <c r="AY336" i="2"/>
  <c r="J337" i="2"/>
  <c r="Z337" i="2"/>
  <c r="AP337" i="2"/>
  <c r="BF337" i="2"/>
  <c r="Q338" i="2"/>
  <c r="AG338" i="2"/>
  <c r="AW338" i="2"/>
  <c r="BM338" i="2"/>
  <c r="T339" i="2"/>
  <c r="AJ339" i="2"/>
  <c r="AZ339" i="2"/>
  <c r="G340" i="2"/>
  <c r="W340" i="2"/>
  <c r="AM340" i="2"/>
  <c r="BC340" i="2"/>
  <c r="N341" i="2"/>
  <c r="AD341" i="2"/>
  <c r="AT341" i="2"/>
  <c r="BJ341" i="2"/>
  <c r="U342" i="2"/>
  <c r="AK342" i="2"/>
  <c r="BA342" i="2"/>
  <c r="H343" i="2"/>
  <c r="X343" i="2"/>
  <c r="AN343" i="2"/>
  <c r="BD343" i="2"/>
  <c r="K344" i="2"/>
  <c r="AA344" i="2"/>
  <c r="AQ344" i="2"/>
  <c r="BG344" i="2"/>
  <c r="R345" i="2"/>
  <c r="AH345" i="2"/>
  <c r="AX345" i="2"/>
  <c r="I346" i="2"/>
  <c r="Y346" i="2"/>
  <c r="AO346" i="2"/>
  <c r="BE346" i="2"/>
  <c r="L347" i="2"/>
  <c r="AB347" i="2"/>
  <c r="AR347" i="2"/>
  <c r="BH347" i="2"/>
  <c r="O348" i="2"/>
  <c r="AE348" i="2"/>
  <c r="AU348" i="2"/>
  <c r="BK348" i="2"/>
  <c r="V349" i="2"/>
  <c r="AL349" i="2"/>
  <c r="BB349" i="2"/>
  <c r="M350" i="2"/>
  <c r="AC350" i="2"/>
  <c r="AS350" i="2"/>
  <c r="BI350" i="2"/>
  <c r="P351" i="2"/>
  <c r="AF351" i="2"/>
  <c r="AV351" i="2"/>
  <c r="BL351" i="2"/>
  <c r="S352" i="2"/>
  <c r="AI352" i="2"/>
  <c r="AY352" i="2"/>
  <c r="J353" i="2"/>
  <c r="Z353" i="2"/>
  <c r="AP353" i="2"/>
  <c r="BF353" i="2"/>
  <c r="Q354" i="2"/>
  <c r="AG354" i="2"/>
  <c r="AW354" i="2"/>
  <c r="BM354" i="2"/>
  <c r="T355" i="2"/>
  <c r="AJ355" i="2"/>
  <c r="AZ355" i="2"/>
  <c r="G356" i="2"/>
  <c r="W356" i="2"/>
  <c r="AM356" i="2"/>
  <c r="BC356" i="2"/>
  <c r="N357" i="2"/>
  <c r="AD357" i="2"/>
  <c r="AT357" i="2"/>
  <c r="BJ357" i="2"/>
  <c r="U358" i="2"/>
  <c r="AK358" i="2"/>
  <c r="BA358" i="2"/>
  <c r="H359" i="2"/>
  <c r="X359" i="2"/>
  <c r="AN359" i="2"/>
  <c r="BD359" i="2"/>
  <c r="K360" i="2"/>
  <c r="AA360" i="2"/>
  <c r="AQ360" i="2"/>
  <c r="BG360" i="2"/>
  <c r="R361" i="2"/>
  <c r="AH361" i="2"/>
  <c r="AX361" i="2"/>
  <c r="I362" i="2"/>
  <c r="Y362" i="2"/>
  <c r="AO362" i="2"/>
  <c r="BE362" i="2"/>
  <c r="L363" i="2"/>
  <c r="AB363" i="2"/>
  <c r="AR363" i="2"/>
  <c r="BH363" i="2"/>
  <c r="O364" i="2"/>
  <c r="AE364" i="2"/>
  <c r="AU364" i="2"/>
  <c r="BK364" i="2"/>
  <c r="V365" i="2"/>
  <c r="AL365" i="2"/>
  <c r="BB365" i="2"/>
  <c r="M366" i="2"/>
  <c r="AC366" i="2"/>
  <c r="AS366" i="2"/>
  <c r="BI366" i="2"/>
  <c r="P367" i="2"/>
  <c r="AF367" i="2"/>
  <c r="AV367" i="2"/>
  <c r="BL367" i="2"/>
  <c r="S368" i="2"/>
  <c r="AI368" i="2"/>
  <c r="AY368" i="2"/>
  <c r="J369" i="2"/>
  <c r="Z369" i="2"/>
  <c r="AP369" i="2"/>
  <c r="BF369" i="2"/>
  <c r="Q370" i="2"/>
  <c r="AG370" i="2"/>
  <c r="AW370" i="2"/>
  <c r="BM370" i="2"/>
  <c r="T371" i="2"/>
  <c r="AJ371" i="2"/>
  <c r="AZ371" i="2"/>
  <c r="G372" i="2"/>
  <c r="W372" i="2"/>
  <c r="AM372" i="2"/>
  <c r="BC372" i="2"/>
  <c r="N373" i="2"/>
  <c r="AD373" i="2"/>
  <c r="AT373" i="2"/>
  <c r="BJ373" i="2"/>
  <c r="V374" i="3"/>
  <c r="V374" i="2" s="1"/>
  <c r="V375" i="2"/>
  <c r="AL374" i="3"/>
  <c r="AL374" i="2" s="1"/>
  <c r="AL375" i="2"/>
  <c r="BB374" i="3"/>
  <c r="BB374" i="2" s="1"/>
  <c r="BB375" i="2"/>
  <c r="M376" i="2"/>
  <c r="AC376" i="2"/>
  <c r="AS376" i="2"/>
  <c r="BI376" i="2"/>
  <c r="P377" i="2"/>
  <c r="AF377" i="2"/>
  <c r="AV377" i="2"/>
  <c r="BL377" i="2"/>
  <c r="S378" i="2"/>
  <c r="AI378" i="2"/>
  <c r="AY378" i="2"/>
  <c r="J379" i="2"/>
  <c r="Z379" i="2"/>
  <c r="AP379" i="2"/>
  <c r="BF379" i="2"/>
  <c r="Q380" i="2"/>
  <c r="AG380" i="2"/>
  <c r="AW380" i="2"/>
  <c r="BM380" i="2"/>
  <c r="T381" i="2"/>
  <c r="AJ381" i="2"/>
  <c r="AZ381" i="2"/>
  <c r="G382" i="2"/>
  <c r="W382" i="2"/>
  <c r="AM382" i="2"/>
  <c r="BC382" i="2"/>
  <c r="N383" i="2"/>
  <c r="AD383" i="2"/>
  <c r="AT383" i="2"/>
  <c r="BJ383" i="2"/>
  <c r="U384" i="2"/>
  <c r="AK384" i="2"/>
  <c r="BA384" i="2"/>
  <c r="H385" i="2"/>
  <c r="X385" i="2"/>
  <c r="AN385" i="2"/>
  <c r="BD385" i="2"/>
  <c r="K386" i="2"/>
  <c r="AA386" i="2"/>
  <c r="AQ386" i="2"/>
  <c r="BG386" i="2"/>
  <c r="R387" i="2"/>
  <c r="AH387" i="2"/>
  <c r="AX387" i="2"/>
  <c r="I388" i="2"/>
  <c r="Y388" i="2"/>
  <c r="AO388" i="2"/>
  <c r="BE388" i="2"/>
  <c r="L389" i="2"/>
  <c r="AB389" i="2"/>
  <c r="AR389" i="2"/>
  <c r="BH389" i="2"/>
  <c r="O390" i="2"/>
  <c r="AE390" i="2"/>
  <c r="AU390" i="2"/>
  <c r="BK390" i="2"/>
  <c r="V391" i="2"/>
  <c r="AL391" i="2"/>
  <c r="BB391" i="2"/>
  <c r="M392" i="2"/>
  <c r="AC392" i="2"/>
  <c r="AS392" i="2"/>
  <c r="BI392" i="2"/>
  <c r="P393" i="2"/>
  <c r="AF393" i="2"/>
  <c r="AV393" i="2"/>
  <c r="BL393" i="2"/>
  <c r="S394" i="2"/>
  <c r="AI394" i="2"/>
  <c r="AY394" i="2"/>
  <c r="J395" i="2"/>
  <c r="Z395" i="2"/>
  <c r="AP395" i="2"/>
  <c r="BF395" i="2"/>
  <c r="Q396" i="2"/>
  <c r="AG396" i="2"/>
  <c r="AW396" i="2"/>
  <c r="BM396" i="2"/>
  <c r="T397" i="2"/>
  <c r="AJ397" i="2"/>
  <c r="AZ397" i="2"/>
  <c r="G398" i="2"/>
  <c r="W398" i="2"/>
  <c r="AM398" i="2"/>
  <c r="BC398" i="2"/>
  <c r="N399" i="2"/>
  <c r="AD399" i="2"/>
  <c r="AT399" i="2"/>
  <c r="BJ399" i="2"/>
  <c r="U400" i="2"/>
  <c r="AK400" i="2"/>
  <c r="BA400" i="2"/>
  <c r="H401" i="2"/>
  <c r="X401" i="2"/>
  <c r="AN401" i="2"/>
  <c r="BD401" i="2"/>
  <c r="K402" i="2"/>
  <c r="AA402" i="2"/>
  <c r="AQ402" i="2"/>
  <c r="BG402" i="2"/>
  <c r="R403" i="2"/>
  <c r="AH403" i="2"/>
  <c r="AX403" i="2"/>
  <c r="I404" i="2"/>
  <c r="Y404" i="2"/>
  <c r="AO404" i="2"/>
  <c r="BE404" i="2"/>
  <c r="L405" i="2"/>
  <c r="AB405" i="2"/>
  <c r="AR405" i="2"/>
  <c r="BH405" i="2"/>
  <c r="O406" i="2"/>
  <c r="AE406" i="2"/>
  <c r="AU406" i="2"/>
  <c r="BK406" i="2"/>
  <c r="V407" i="2"/>
  <c r="AL407" i="2"/>
  <c r="BB407" i="2"/>
  <c r="M408" i="2"/>
  <c r="AC408" i="2"/>
  <c r="AS408" i="2"/>
  <c r="BI408" i="2"/>
  <c r="P409" i="2"/>
  <c r="AF409" i="2"/>
  <c r="AV409" i="2"/>
  <c r="BL409" i="2"/>
  <c r="S410" i="2"/>
  <c r="AI410" i="2"/>
  <c r="AY410" i="2"/>
  <c r="J411" i="2"/>
  <c r="Z411" i="2"/>
  <c r="AP411" i="2"/>
  <c r="BF411" i="2"/>
  <c r="Q412" i="2"/>
  <c r="AG412" i="2"/>
  <c r="AW412" i="2"/>
  <c r="BM412" i="2"/>
  <c r="T413" i="2"/>
  <c r="AJ413" i="2"/>
  <c r="AZ413" i="2"/>
  <c r="G414" i="2"/>
  <c r="W414" i="2"/>
  <c r="AM414" i="2"/>
  <c r="BC414" i="2"/>
  <c r="K415" i="3"/>
  <c r="K415" i="2" s="1"/>
  <c r="K416" i="2"/>
  <c r="AA415" i="3"/>
  <c r="AA415" i="2" s="1"/>
  <c r="AA416" i="2"/>
  <c r="AQ415" i="3"/>
  <c r="AQ415" i="2" s="1"/>
  <c r="AQ416" i="2"/>
  <c r="BG415" i="3"/>
  <c r="BG415" i="2" s="1"/>
  <c r="BG416" i="2"/>
  <c r="G417" i="2"/>
  <c r="W417" i="2"/>
  <c r="AM417" i="2"/>
  <c r="BC417" i="2"/>
  <c r="N418" i="2"/>
  <c r="AD418" i="2"/>
  <c r="AT418" i="2"/>
  <c r="BJ418" i="2"/>
  <c r="U419" i="2"/>
  <c r="AK419" i="2"/>
  <c r="BA419" i="2"/>
  <c r="H420" i="2"/>
  <c r="X420" i="2"/>
  <c r="AN420" i="2"/>
  <c r="BD420" i="2"/>
  <c r="K421" i="2"/>
  <c r="AA421" i="2"/>
  <c r="AQ421" i="2"/>
  <c r="BG421" i="2"/>
  <c r="R422" i="2"/>
  <c r="AH422" i="2"/>
  <c r="AX422" i="2"/>
  <c r="I423" i="2"/>
  <c r="Y423" i="2"/>
  <c r="AO423" i="2"/>
  <c r="BE423" i="2"/>
  <c r="L424" i="2"/>
  <c r="AB424" i="2"/>
  <c r="AR424" i="2"/>
  <c r="BH424" i="2"/>
  <c r="O425" i="2"/>
  <c r="AE425" i="2"/>
  <c r="AU425" i="2"/>
  <c r="BK425" i="2"/>
  <c r="V426" i="2"/>
  <c r="AL426" i="2"/>
  <c r="BB426" i="2"/>
  <c r="M427" i="2"/>
  <c r="AC427" i="2"/>
  <c r="AS427" i="2"/>
  <c r="BI427" i="2"/>
  <c r="P428" i="2"/>
  <c r="AF428" i="2"/>
  <c r="AV428" i="2"/>
  <c r="BL428" i="2"/>
  <c r="S429" i="2"/>
  <c r="AI429" i="2"/>
  <c r="AY429" i="2"/>
  <c r="J430" i="2"/>
  <c r="Z430" i="2"/>
  <c r="AP430" i="2"/>
  <c r="BF430" i="2"/>
  <c r="Q431" i="2"/>
  <c r="AG431" i="2"/>
  <c r="AW431" i="2"/>
  <c r="BM431" i="2"/>
  <c r="T432" i="2"/>
  <c r="AJ432" i="2"/>
  <c r="AZ432" i="2"/>
  <c r="G433" i="2"/>
  <c r="W433" i="2"/>
  <c r="AM433" i="2"/>
  <c r="BC433" i="2"/>
  <c r="N434" i="2"/>
  <c r="AD434" i="2"/>
  <c r="AT434" i="2"/>
  <c r="BJ434" i="2"/>
  <c r="U435" i="2"/>
  <c r="AK435" i="2"/>
  <c r="BA435" i="2"/>
  <c r="H436" i="2"/>
  <c r="X436" i="2"/>
  <c r="AN436" i="2"/>
  <c r="BD436" i="2"/>
  <c r="K437" i="2"/>
  <c r="AA437" i="2"/>
  <c r="AQ437" i="2"/>
  <c r="BG437" i="2"/>
  <c r="R438" i="2"/>
  <c r="AH438" i="2"/>
  <c r="AX438" i="2"/>
  <c r="I439" i="2"/>
  <c r="Y439" i="2"/>
  <c r="AO439" i="2"/>
  <c r="BE439" i="2"/>
  <c r="L440" i="2"/>
  <c r="AB440" i="2"/>
  <c r="AR440" i="2"/>
  <c r="BH440" i="2"/>
  <c r="O441" i="2"/>
  <c r="AE441" i="2"/>
  <c r="AU441" i="2"/>
  <c r="BK441" i="2"/>
  <c r="V442" i="2"/>
  <c r="AL442" i="2"/>
  <c r="BB442" i="2"/>
  <c r="M443" i="2"/>
  <c r="AC443" i="2"/>
  <c r="AS443" i="2"/>
  <c r="BI443" i="2"/>
  <c r="P444" i="2"/>
  <c r="AF444" i="2"/>
  <c r="AV444" i="2"/>
  <c r="BL444" i="2"/>
  <c r="S445" i="2"/>
  <c r="AI445" i="2"/>
  <c r="AY445" i="2"/>
  <c r="J446" i="2"/>
  <c r="Z446" i="2"/>
  <c r="AP446" i="2"/>
  <c r="BF446" i="2"/>
  <c r="Q447" i="2"/>
  <c r="AG447" i="2"/>
  <c r="AW447" i="2"/>
  <c r="BM447" i="2"/>
  <c r="T448" i="2"/>
  <c r="AJ448" i="2"/>
  <c r="AZ448" i="2"/>
  <c r="G449" i="2"/>
  <c r="W449" i="2"/>
  <c r="AM449" i="2"/>
  <c r="BC449" i="2"/>
  <c r="N450" i="2"/>
  <c r="AD450" i="2"/>
  <c r="AT450" i="2"/>
  <c r="BJ450" i="2"/>
  <c r="U451" i="2"/>
  <c r="AK451" i="2"/>
  <c r="BA451" i="2"/>
  <c r="H452" i="2"/>
  <c r="X452" i="2"/>
  <c r="AN452" i="2"/>
  <c r="BD452" i="2"/>
  <c r="K453" i="2"/>
  <c r="AA453" i="2"/>
  <c r="AQ453" i="2"/>
  <c r="BG453" i="2"/>
  <c r="R454" i="2"/>
  <c r="AH454" i="2"/>
  <c r="AX454" i="2"/>
  <c r="I455" i="2"/>
  <c r="Y455" i="2"/>
  <c r="AO455" i="2"/>
  <c r="BE455" i="2"/>
  <c r="M456" i="3"/>
  <c r="M456" i="2" s="1"/>
  <c r="M457" i="2"/>
  <c r="AC456" i="3"/>
  <c r="AC456" i="2" s="1"/>
  <c r="AC457" i="2"/>
  <c r="AS456" i="3"/>
  <c r="AS456" i="2" s="1"/>
  <c r="AS457" i="2"/>
  <c r="BI456" i="3"/>
  <c r="BI456" i="2" s="1"/>
  <c r="BI457" i="2"/>
  <c r="P458" i="2"/>
  <c r="AF458" i="2"/>
  <c r="AV458" i="2"/>
  <c r="BL458" i="2"/>
  <c r="S459" i="2"/>
  <c r="AI459" i="2"/>
  <c r="AY459" i="2"/>
  <c r="J460" i="2"/>
  <c r="Z460" i="2"/>
  <c r="AP460" i="2"/>
  <c r="BF460" i="2"/>
  <c r="Q461" i="2"/>
  <c r="AG461" i="2"/>
  <c r="AW461" i="2"/>
  <c r="BM461" i="2"/>
  <c r="Y462" i="2"/>
  <c r="AV462" i="2"/>
  <c r="AB463" i="2"/>
  <c r="AN417" i="2"/>
  <c r="BD417" i="2"/>
  <c r="K418" i="2"/>
  <c r="AA418" i="2"/>
  <c r="AQ418" i="2"/>
  <c r="BG418" i="2"/>
  <c r="R419" i="2"/>
  <c r="AH419" i="2"/>
  <c r="AX419" i="2"/>
  <c r="I420" i="2"/>
  <c r="Y420" i="2"/>
  <c r="AO420" i="2"/>
  <c r="BE420" i="2"/>
  <c r="L421" i="2"/>
  <c r="AB421" i="2"/>
  <c r="AR421" i="2"/>
  <c r="BH421" i="2"/>
  <c r="O422" i="2"/>
  <c r="AE422" i="2"/>
  <c r="AU422" i="2"/>
  <c r="BK422" i="2"/>
  <c r="V423" i="2"/>
  <c r="AL423" i="2"/>
  <c r="BB423" i="2"/>
  <c r="M424" i="2"/>
  <c r="AC424" i="2"/>
  <c r="AS424" i="2"/>
  <c r="BI424" i="2"/>
  <c r="P425" i="2"/>
  <c r="AF425" i="2"/>
  <c r="AV425" i="2"/>
  <c r="BL425" i="2"/>
  <c r="S426" i="2"/>
  <c r="AI426" i="2"/>
  <c r="AY426" i="2"/>
  <c r="J427" i="2"/>
  <c r="Z427" i="2"/>
  <c r="AP427" i="2"/>
  <c r="BF427" i="2"/>
  <c r="Q428" i="2"/>
  <c r="AG428" i="2"/>
  <c r="AW428" i="2"/>
  <c r="BM428" i="2"/>
  <c r="T429" i="2"/>
  <c r="AJ429" i="2"/>
  <c r="AZ429" i="2"/>
  <c r="G430" i="2"/>
  <c r="W430" i="2"/>
  <c r="AM430" i="2"/>
  <c r="BC430" i="2"/>
  <c r="N431" i="2"/>
  <c r="AD431" i="2"/>
  <c r="AT431" i="2"/>
  <c r="BJ431" i="2"/>
  <c r="U432" i="2"/>
  <c r="AK432" i="2"/>
  <c r="BA432" i="2"/>
  <c r="H433" i="2"/>
  <c r="X433" i="2"/>
  <c r="AN433" i="2"/>
  <c r="BD433" i="2"/>
  <c r="K434" i="2"/>
  <c r="AA434" i="2"/>
  <c r="AQ434" i="2"/>
  <c r="BG434" i="2"/>
  <c r="R435" i="2"/>
  <c r="AH435" i="2"/>
  <c r="AX435" i="2"/>
  <c r="I436" i="2"/>
  <c r="Y436" i="2"/>
  <c r="AO436" i="2"/>
  <c r="BE436" i="2"/>
  <c r="L437" i="2"/>
  <c r="AB437" i="2"/>
  <c r="AR437" i="2"/>
  <c r="BH437" i="2"/>
  <c r="O438" i="2"/>
  <c r="AE438" i="2"/>
  <c r="AU438" i="2"/>
  <c r="BK438" i="2"/>
  <c r="V439" i="2"/>
  <c r="AL439" i="2"/>
  <c r="BB439" i="2"/>
  <c r="M440" i="2"/>
  <c r="AC440" i="2"/>
  <c r="AS440" i="2"/>
  <c r="BI440" i="2"/>
  <c r="P441" i="2"/>
  <c r="AF441" i="2"/>
  <c r="AV441" i="2"/>
  <c r="BL441" i="2"/>
  <c r="S442" i="2"/>
  <c r="AI442" i="2"/>
  <c r="AY442" i="2"/>
  <c r="J443" i="2"/>
  <c r="Z443" i="2"/>
  <c r="AP443" i="2"/>
  <c r="BF443" i="2"/>
  <c r="Q444" i="2"/>
  <c r="AG444" i="2"/>
  <c r="AW444" i="2"/>
  <c r="BM444" i="2"/>
  <c r="T445" i="2"/>
  <c r="AJ445" i="2"/>
  <c r="AZ445" i="2"/>
  <c r="G446" i="2"/>
  <c r="W446" i="2"/>
  <c r="AM446" i="2"/>
  <c r="BC446" i="2"/>
  <c r="N447" i="2"/>
  <c r="AD447" i="2"/>
  <c r="AT447" i="2"/>
  <c r="BJ447" i="2"/>
  <c r="U448" i="2"/>
  <c r="AK448" i="2"/>
  <c r="BA448" i="2"/>
  <c r="H449" i="2"/>
  <c r="X449" i="2"/>
  <c r="AN449" i="2"/>
  <c r="BD449" i="2"/>
  <c r="K450" i="2"/>
  <c r="AA450" i="2"/>
  <c r="AQ450" i="2"/>
  <c r="BG450" i="2"/>
  <c r="R451" i="2"/>
  <c r="AH451" i="2"/>
  <c r="AX451" i="2"/>
  <c r="I452" i="2"/>
  <c r="Y452" i="2"/>
  <c r="AO452" i="2"/>
  <c r="BE452" i="2"/>
  <c r="L453" i="2"/>
  <c r="AB453" i="2"/>
  <c r="AR453" i="2"/>
  <c r="BH453" i="2"/>
  <c r="O454" i="2"/>
  <c r="AE454" i="2"/>
  <c r="AU454" i="2"/>
  <c r="BK454" i="2"/>
  <c r="V455" i="2"/>
  <c r="AL455" i="2"/>
  <c r="BB455" i="2"/>
  <c r="N456" i="3"/>
  <c r="N456" i="2" s="1"/>
  <c r="N457" i="2"/>
  <c r="AD456" i="3"/>
  <c r="AD456" i="2" s="1"/>
  <c r="AD457" i="2"/>
  <c r="AT456" i="3"/>
  <c r="AT456" i="2" s="1"/>
  <c r="AT457" i="2"/>
  <c r="BJ456" i="3"/>
  <c r="BJ456" i="2" s="1"/>
  <c r="BJ457" i="2"/>
  <c r="U458" i="2"/>
  <c r="AK458" i="2"/>
  <c r="BA458" i="2"/>
  <c r="H459" i="2"/>
  <c r="X459" i="2"/>
  <c r="AN459" i="2"/>
  <c r="BD459" i="2"/>
  <c r="K460" i="2"/>
  <c r="AA460" i="2"/>
  <c r="AQ460" i="2"/>
  <c r="BG460" i="2"/>
  <c r="R461" i="2"/>
  <c r="AH461" i="2"/>
  <c r="AX461" i="2"/>
  <c r="J462" i="2"/>
  <c r="AF462" i="2"/>
  <c r="BE462" i="2"/>
  <c r="AV463" i="2"/>
  <c r="Q417" i="2"/>
  <c r="AG417" i="2"/>
  <c r="AW417" i="2"/>
  <c r="BM417" i="2"/>
  <c r="T418" i="2"/>
  <c r="AJ418" i="2"/>
  <c r="AZ418" i="2"/>
  <c r="G419" i="2"/>
  <c r="W419" i="2"/>
  <c r="AM419" i="2"/>
  <c r="BC419" i="2"/>
  <c r="N420" i="2"/>
  <c r="AD420" i="2"/>
  <c r="AT420" i="2"/>
  <c r="BJ420" i="2"/>
  <c r="U421" i="2"/>
  <c r="AK421" i="2"/>
  <c r="BA421" i="2"/>
  <c r="H422" i="2"/>
  <c r="X422" i="2"/>
  <c r="AN422" i="2"/>
  <c r="BD422" i="2"/>
  <c r="K423" i="2"/>
  <c r="AA423" i="2"/>
  <c r="AQ423" i="2"/>
  <c r="BG423" i="2"/>
  <c r="R424" i="2"/>
  <c r="AH424" i="2"/>
  <c r="AX424" i="2"/>
  <c r="I425" i="2"/>
  <c r="Y425" i="2"/>
  <c r="AO425" i="2"/>
  <c r="BE425" i="2"/>
  <c r="L426" i="2"/>
  <c r="AB426" i="2"/>
  <c r="AR426" i="2"/>
  <c r="BH426" i="2"/>
  <c r="O427" i="2"/>
  <c r="AE427" i="2"/>
  <c r="AU427" i="2"/>
  <c r="BK427" i="2"/>
  <c r="V428" i="2"/>
  <c r="AL428" i="2"/>
  <c r="BB428" i="2"/>
  <c r="M429" i="2"/>
  <c r="AC429" i="2"/>
  <c r="AS429" i="2"/>
  <c r="BI429" i="2"/>
  <c r="P430" i="2"/>
  <c r="AF430" i="2"/>
  <c r="AV430" i="2"/>
  <c r="BL430" i="2"/>
  <c r="S431" i="2"/>
  <c r="AI431" i="2"/>
  <c r="AY431" i="2"/>
  <c r="J432" i="2"/>
  <c r="Z432" i="2"/>
  <c r="AP432" i="2"/>
  <c r="BF432" i="2"/>
  <c r="Q433" i="2"/>
  <c r="AG433" i="2"/>
  <c r="AW433" i="2"/>
  <c r="BM433" i="2"/>
  <c r="T434" i="2"/>
  <c r="AJ434" i="2"/>
  <c r="AZ434" i="2"/>
  <c r="G435" i="2"/>
  <c r="W435" i="2"/>
  <c r="AM435" i="2"/>
  <c r="BC435" i="2"/>
  <c r="N436" i="2"/>
  <c r="AD436" i="2"/>
  <c r="AT436" i="2"/>
  <c r="BJ436" i="2"/>
  <c r="U437" i="2"/>
  <c r="AK437" i="2"/>
  <c r="BA437" i="2"/>
  <c r="H438" i="2"/>
  <c r="X438" i="2"/>
  <c r="AN438" i="2"/>
  <c r="BD438" i="2"/>
  <c r="K439" i="2"/>
  <c r="AA439" i="2"/>
  <c r="AQ439" i="2"/>
  <c r="BG439" i="2"/>
  <c r="R440" i="2"/>
  <c r="AH440" i="2"/>
  <c r="AX440" i="2"/>
  <c r="I441" i="2"/>
  <c r="Y441" i="2"/>
  <c r="AO441" i="2"/>
  <c r="BE441" i="2"/>
  <c r="L442" i="2"/>
  <c r="AB442" i="2"/>
  <c r="AR442" i="2"/>
  <c r="BH442" i="2"/>
  <c r="O443" i="2"/>
  <c r="AE443" i="2"/>
  <c r="AU443" i="2"/>
  <c r="BK443" i="2"/>
  <c r="V444" i="2"/>
  <c r="AL444" i="2"/>
  <c r="BB444" i="2"/>
  <c r="M445" i="2"/>
  <c r="AC445" i="2"/>
  <c r="AS445" i="2"/>
  <c r="BI445" i="2"/>
  <c r="P446" i="2"/>
  <c r="AF446" i="2"/>
  <c r="AV446" i="2"/>
  <c r="BL446" i="2"/>
  <c r="S447" i="2"/>
  <c r="AI447" i="2"/>
  <c r="AY447" i="2"/>
  <c r="J448" i="2"/>
  <c r="Z448" i="2"/>
  <c r="AP448" i="2"/>
  <c r="BF448" i="2"/>
  <c r="Q449" i="2"/>
  <c r="AG449" i="2"/>
  <c r="AW449" i="2"/>
  <c r="BM449" i="2"/>
  <c r="T450" i="2"/>
  <c r="AJ450" i="2"/>
  <c r="AZ450" i="2"/>
  <c r="G451" i="2"/>
  <c r="W451" i="2"/>
  <c r="AM451" i="2"/>
  <c r="BC451" i="2"/>
  <c r="N452" i="2"/>
  <c r="AD452" i="2"/>
  <c r="AT452" i="2"/>
  <c r="BJ452" i="2"/>
  <c r="U453" i="2"/>
  <c r="AK453" i="2"/>
  <c r="BA453" i="2"/>
  <c r="H454" i="2"/>
  <c r="X454" i="2"/>
  <c r="AN454" i="2"/>
  <c r="BD454" i="2"/>
  <c r="K455" i="2"/>
  <c r="AA455" i="2"/>
  <c r="AQ455" i="2"/>
  <c r="BG455" i="2"/>
  <c r="O456" i="3"/>
  <c r="O456" i="2" s="1"/>
  <c r="O457" i="2"/>
  <c r="AE456" i="3"/>
  <c r="AE456" i="2" s="1"/>
  <c r="AE457" i="2"/>
  <c r="AU456" i="3"/>
  <c r="AU456" i="2" s="1"/>
  <c r="AU457" i="2"/>
  <c r="BK456" i="3"/>
  <c r="BK456" i="2" s="1"/>
  <c r="BK457" i="2"/>
  <c r="V458" i="2"/>
  <c r="AL458" i="2"/>
  <c r="BB458" i="2"/>
  <c r="M459" i="2"/>
  <c r="AC459" i="2"/>
  <c r="AS459" i="2"/>
  <c r="BI459" i="2"/>
  <c r="P460" i="2"/>
  <c r="AF460" i="2"/>
  <c r="AV460" i="2"/>
  <c r="BL460" i="2"/>
  <c r="S461" i="2"/>
  <c r="AI461" i="2"/>
  <c r="AY461" i="2"/>
  <c r="L462" i="2"/>
  <c r="AG462" i="2"/>
  <c r="BH462" i="2"/>
  <c r="J417" i="2"/>
  <c r="Z417" i="2"/>
  <c r="AP417" i="2"/>
  <c r="BF417" i="2"/>
  <c r="Q418" i="2"/>
  <c r="AG418" i="2"/>
  <c r="AW418" i="2"/>
  <c r="BM418" i="2"/>
  <c r="T419" i="2"/>
  <c r="AJ419" i="2"/>
  <c r="AZ419" i="2"/>
  <c r="G420" i="2"/>
  <c r="W420" i="2"/>
  <c r="AM420" i="2"/>
  <c r="BC420" i="2"/>
  <c r="N421" i="2"/>
  <c r="AD421" i="2"/>
  <c r="AT421" i="2"/>
  <c r="BJ421" i="2"/>
  <c r="U422" i="2"/>
  <c r="AK422" i="2"/>
  <c r="BA422" i="2"/>
  <c r="H423" i="2"/>
  <c r="X423" i="2"/>
  <c r="AN423" i="2"/>
  <c r="BD423" i="2"/>
  <c r="K424" i="2"/>
  <c r="AA424" i="2"/>
  <c r="AQ424" i="2"/>
  <c r="BG424" i="2"/>
  <c r="R425" i="2"/>
  <c r="AH425" i="2"/>
  <c r="AX425" i="2"/>
  <c r="I426" i="2"/>
  <c r="Y426" i="2"/>
  <c r="AO426" i="2"/>
  <c r="BE426" i="2"/>
  <c r="L427" i="2"/>
  <c r="AB427" i="2"/>
  <c r="AR427" i="2"/>
  <c r="BH427" i="2"/>
  <c r="O428" i="2"/>
  <c r="AE428" i="2"/>
  <c r="AU428" i="2"/>
  <c r="BK428" i="2"/>
  <c r="V429" i="2"/>
  <c r="AL429" i="2"/>
  <c r="BB429" i="2"/>
  <c r="M430" i="2"/>
  <c r="AC430" i="2"/>
  <c r="AS430" i="2"/>
  <c r="BI430" i="2"/>
  <c r="P431" i="2"/>
  <c r="AF431" i="2"/>
  <c r="AV431" i="2"/>
  <c r="BL431" i="2"/>
  <c r="S432" i="2"/>
  <c r="AI432" i="2"/>
  <c r="AY432" i="2"/>
  <c r="J433" i="2"/>
  <c r="Z433" i="2"/>
  <c r="AP433" i="2"/>
  <c r="BF433" i="2"/>
  <c r="Q434" i="2"/>
  <c r="AG434" i="2"/>
  <c r="AW434" i="2"/>
  <c r="BM434" i="2"/>
  <c r="T435" i="2"/>
  <c r="AJ435" i="2"/>
  <c r="AZ435" i="2"/>
  <c r="G436" i="2"/>
  <c r="W436" i="2"/>
  <c r="AM436" i="2"/>
  <c r="BC436" i="2"/>
  <c r="N437" i="2"/>
  <c r="AD437" i="2"/>
  <c r="AT437" i="2"/>
  <c r="BJ437" i="2"/>
  <c r="U438" i="2"/>
  <c r="AK438" i="2"/>
  <c r="BA438" i="2"/>
  <c r="H439" i="2"/>
  <c r="X439" i="2"/>
  <c r="AN439" i="2"/>
  <c r="BD439" i="2"/>
  <c r="K440" i="2"/>
  <c r="AA440" i="2"/>
  <c r="AQ440" i="2"/>
  <c r="BG440" i="2"/>
  <c r="R441" i="2"/>
  <c r="AH441" i="2"/>
  <c r="AX441" i="2"/>
  <c r="I442" i="2"/>
  <c r="Y442" i="2"/>
  <c r="AO442" i="2"/>
  <c r="BE442" i="2"/>
  <c r="L443" i="2"/>
  <c r="AB443" i="2"/>
  <c r="AR443" i="2"/>
  <c r="BH443" i="2"/>
  <c r="O444" i="2"/>
  <c r="AE444" i="2"/>
  <c r="AU444" i="2"/>
  <c r="BK444" i="2"/>
  <c r="V445" i="2"/>
  <c r="AL445" i="2"/>
  <c r="BB445" i="2"/>
  <c r="M446" i="2"/>
  <c r="AC446" i="2"/>
  <c r="AS446" i="2"/>
  <c r="BI446" i="2"/>
  <c r="P447" i="2"/>
  <c r="AF447" i="2"/>
  <c r="AV447" i="2"/>
  <c r="BL447" i="2"/>
  <c r="S448" i="2"/>
  <c r="AI448" i="2"/>
  <c r="AY448" i="2"/>
  <c r="J449" i="2"/>
  <c r="Z449" i="2"/>
  <c r="AP449" i="2"/>
  <c r="BF449" i="2"/>
  <c r="Q450" i="2"/>
  <c r="AG450" i="2"/>
  <c r="AW450" i="2"/>
  <c r="BM450" i="2"/>
  <c r="T451" i="2"/>
  <c r="AJ451" i="2"/>
  <c r="AZ451" i="2"/>
  <c r="G452" i="2"/>
  <c r="W452" i="2"/>
  <c r="AM452" i="2"/>
  <c r="BC452" i="2"/>
  <c r="N453" i="2"/>
  <c r="AD453" i="2"/>
  <c r="AT453" i="2"/>
  <c r="BJ453" i="2"/>
  <c r="U454" i="2"/>
  <c r="AK454" i="2"/>
  <c r="BA454" i="2"/>
  <c r="H455" i="2"/>
  <c r="X455" i="2"/>
  <c r="AN455" i="2"/>
  <c r="BD455" i="2"/>
  <c r="L456" i="3"/>
  <c r="L456" i="2" s="1"/>
  <c r="L457" i="2"/>
  <c r="AB456" i="3"/>
  <c r="AB456" i="2" s="1"/>
  <c r="AB457" i="2"/>
  <c r="AR456" i="3"/>
  <c r="AR456" i="2" s="1"/>
  <c r="AR457" i="2"/>
  <c r="BH456" i="3"/>
  <c r="BH456" i="2" s="1"/>
  <c r="BH457" i="2"/>
  <c r="O458" i="2"/>
  <c r="AE458" i="2"/>
  <c r="AU458" i="2"/>
  <c r="BK458" i="2"/>
  <c r="V459" i="2"/>
  <c r="AL459" i="2"/>
  <c r="BB459" i="2"/>
  <c r="M460" i="2"/>
  <c r="AC460" i="2"/>
  <c r="AS460" i="2"/>
  <c r="BI460" i="2"/>
  <c r="P461" i="2"/>
  <c r="AF461" i="2"/>
  <c r="AV461" i="2"/>
  <c r="BL461" i="2"/>
  <c r="X462" i="2"/>
  <c r="AS462" i="2"/>
  <c r="X463" i="2"/>
  <c r="K463" i="2"/>
  <c r="AA463" i="2"/>
  <c r="AQ463" i="2"/>
  <c r="BG463" i="2"/>
  <c r="R464" i="2"/>
  <c r="AH464" i="2"/>
  <c r="AX464" i="2"/>
  <c r="I465" i="2"/>
  <c r="Y465" i="2"/>
  <c r="AO465" i="2"/>
  <c r="BE465" i="2"/>
  <c r="L466" i="2"/>
  <c r="AB466" i="2"/>
  <c r="AR466" i="2"/>
  <c r="BH466" i="2"/>
  <c r="O467" i="2"/>
  <c r="AE467" i="2"/>
  <c r="AU467" i="2"/>
  <c r="BK467" i="2"/>
  <c r="V468" i="2"/>
  <c r="AL468" i="2"/>
  <c r="BB468" i="2"/>
  <c r="M469" i="2"/>
  <c r="AC469" i="2"/>
  <c r="AS469" i="2"/>
  <c r="BI469" i="2"/>
  <c r="P470" i="2"/>
  <c r="AF470" i="2"/>
  <c r="AV470" i="2"/>
  <c r="BL470" i="2"/>
  <c r="S471" i="2"/>
  <c r="AI471" i="2"/>
  <c r="AY471" i="2"/>
  <c r="J472" i="2"/>
  <c r="Z472" i="2"/>
  <c r="AP472" i="2"/>
  <c r="BF472" i="2"/>
  <c r="Q473" i="2"/>
  <c r="AG473" i="2"/>
  <c r="AW473" i="2"/>
  <c r="BM473" i="2"/>
  <c r="T474" i="2"/>
  <c r="AJ474" i="2"/>
  <c r="AZ474" i="2"/>
  <c r="G475" i="2"/>
  <c r="W475" i="2"/>
  <c r="AM475" i="2"/>
  <c r="BC475" i="2"/>
  <c r="N476" i="2"/>
  <c r="AD476" i="2"/>
  <c r="AT476" i="2"/>
  <c r="BJ476" i="2"/>
  <c r="U477" i="2"/>
  <c r="AK477" i="2"/>
  <c r="BA477" i="2"/>
  <c r="H478" i="2"/>
  <c r="X478" i="2"/>
  <c r="AN478" i="2"/>
  <c r="BD478" i="2"/>
  <c r="K479" i="2"/>
  <c r="AA479" i="2"/>
  <c r="AQ479" i="2"/>
  <c r="BG479" i="2"/>
  <c r="R480" i="2"/>
  <c r="AH480" i="2"/>
  <c r="AX480" i="2"/>
  <c r="I481" i="2"/>
  <c r="Y481" i="2"/>
  <c r="AO481" i="2"/>
  <c r="BE481" i="2"/>
  <c r="L482" i="2"/>
  <c r="AB482" i="2"/>
  <c r="AR482" i="2"/>
  <c r="BH482" i="2"/>
  <c r="O483" i="2"/>
  <c r="AE483" i="2"/>
  <c r="AU483" i="2"/>
  <c r="BK483" i="2"/>
  <c r="V484" i="2"/>
  <c r="AL484" i="2"/>
  <c r="BB484" i="2"/>
  <c r="M485" i="2"/>
  <c r="AC485" i="2"/>
  <c r="AS485" i="2"/>
  <c r="BI485" i="2"/>
  <c r="P486" i="2"/>
  <c r="AF486" i="2"/>
  <c r="AV486" i="2"/>
  <c r="BL486" i="2"/>
  <c r="S487" i="2"/>
  <c r="AI487" i="2"/>
  <c r="AY487" i="2"/>
  <c r="J488" i="2"/>
  <c r="Z488" i="2"/>
  <c r="AP488" i="2"/>
  <c r="BF488" i="2"/>
  <c r="Q489" i="2"/>
  <c r="AG489" i="2"/>
  <c r="AW489" i="2"/>
  <c r="BM489" i="2"/>
  <c r="T490" i="2"/>
  <c r="AJ490" i="2"/>
  <c r="AZ490" i="2"/>
  <c r="G491" i="2"/>
  <c r="W491" i="2"/>
  <c r="AM491" i="2"/>
  <c r="BC491" i="2"/>
  <c r="N492" i="2"/>
  <c r="AD492" i="2"/>
  <c r="AT492" i="2"/>
  <c r="BJ492" i="2"/>
  <c r="U493" i="2"/>
  <c r="AK493" i="2"/>
  <c r="BA493" i="2"/>
  <c r="H494" i="2"/>
  <c r="X494" i="2"/>
  <c r="AN494" i="2"/>
  <c r="BD494" i="2"/>
  <c r="K495" i="2"/>
  <c r="AA495" i="2"/>
  <c r="AQ495" i="2"/>
  <c r="BG495" i="2"/>
  <c r="R496" i="2"/>
  <c r="AH496" i="2"/>
  <c r="AX496" i="2"/>
  <c r="G498" i="3"/>
  <c r="G498" i="2" s="1"/>
  <c r="G499" i="2"/>
  <c r="W498" i="3"/>
  <c r="W498" i="2" s="1"/>
  <c r="W499" i="2"/>
  <c r="AM498" i="3"/>
  <c r="AM498" i="2" s="1"/>
  <c r="AM499" i="2"/>
  <c r="BC498" i="3"/>
  <c r="BC498" i="2" s="1"/>
  <c r="BC499" i="2"/>
  <c r="N500" i="2"/>
  <c r="AD500" i="2"/>
  <c r="AT500" i="2"/>
  <c r="BJ500" i="2"/>
  <c r="U501" i="2"/>
  <c r="AK501" i="2"/>
  <c r="BA501" i="2"/>
  <c r="H502" i="2"/>
  <c r="X502" i="2"/>
  <c r="AN502" i="2"/>
  <c r="BD502" i="2"/>
  <c r="K503" i="2"/>
  <c r="AA503" i="2"/>
  <c r="AQ503" i="2"/>
  <c r="BG503" i="2"/>
  <c r="R504" i="2"/>
  <c r="AH504" i="2"/>
  <c r="AX504" i="2"/>
  <c r="I505" i="2"/>
  <c r="Y505" i="2"/>
  <c r="AO505" i="2"/>
  <c r="BE505" i="2"/>
  <c r="L506" i="2"/>
  <c r="AB506" i="2"/>
  <c r="AR506" i="2"/>
  <c r="BH506" i="2"/>
  <c r="O507" i="2"/>
  <c r="AE507" i="2"/>
  <c r="AU507" i="2"/>
  <c r="BK507" i="2"/>
  <c r="V508" i="2"/>
  <c r="AL508" i="2"/>
  <c r="BB508" i="2"/>
  <c r="R509" i="2"/>
  <c r="AX509" i="2"/>
  <c r="O464" i="2"/>
  <c r="AE464" i="2"/>
  <c r="AU464" i="2"/>
  <c r="BK464" i="2"/>
  <c r="V465" i="2"/>
  <c r="AL465" i="2"/>
  <c r="BB465" i="2"/>
  <c r="M466" i="2"/>
  <c r="AC466" i="2"/>
  <c r="AS466" i="2"/>
  <c r="BI466" i="2"/>
  <c r="P467" i="2"/>
  <c r="AF467" i="2"/>
  <c r="AV467" i="2"/>
  <c r="BL467" i="2"/>
  <c r="S468" i="2"/>
  <c r="AI468" i="2"/>
  <c r="AY468" i="2"/>
  <c r="J469" i="2"/>
  <c r="Z469" i="2"/>
  <c r="AP469" i="2"/>
  <c r="BF469" i="2"/>
  <c r="Q470" i="2"/>
  <c r="AG470" i="2"/>
  <c r="AW470" i="2"/>
  <c r="BM470" i="2"/>
  <c r="T471" i="2"/>
  <c r="AJ471" i="2"/>
  <c r="AZ471" i="2"/>
  <c r="G472" i="2"/>
  <c r="W472" i="2"/>
  <c r="AM472" i="2"/>
  <c r="BC472" i="2"/>
  <c r="N473" i="2"/>
  <c r="AD473" i="2"/>
  <c r="AT473" i="2"/>
  <c r="BJ473" i="2"/>
  <c r="U474" i="2"/>
  <c r="AK474" i="2"/>
  <c r="BA474" i="2"/>
  <c r="H475" i="2"/>
  <c r="X475" i="2"/>
  <c r="AN475" i="2"/>
  <c r="BD475" i="2"/>
  <c r="K476" i="2"/>
  <c r="AA476" i="2"/>
  <c r="AQ476" i="2"/>
  <c r="BG476" i="2"/>
  <c r="R477" i="2"/>
  <c r="AH477" i="2"/>
  <c r="AX477" i="2"/>
  <c r="I478" i="2"/>
  <c r="Y478" i="2"/>
  <c r="AO478" i="2"/>
  <c r="BE478" i="2"/>
  <c r="L479" i="2"/>
  <c r="AB479" i="2"/>
  <c r="AR479" i="2"/>
  <c r="BH479" i="2"/>
  <c r="O480" i="2"/>
  <c r="AE480" i="2"/>
  <c r="AU480" i="2"/>
  <c r="BK480" i="2"/>
  <c r="V481" i="2"/>
  <c r="AL481" i="2"/>
  <c r="BB481" i="2"/>
  <c r="M482" i="2"/>
  <c r="AC482" i="2"/>
  <c r="AS482" i="2"/>
  <c r="BI482" i="2"/>
  <c r="P483" i="2"/>
  <c r="AF483" i="2"/>
  <c r="AV483" i="2"/>
  <c r="BL483" i="2"/>
  <c r="S484" i="2"/>
  <c r="AI484" i="2"/>
  <c r="AY484" i="2"/>
  <c r="J485" i="2"/>
  <c r="Z485" i="2"/>
  <c r="AP485" i="2"/>
  <c r="BF485" i="2"/>
  <c r="Q486" i="2"/>
  <c r="AG486" i="2"/>
  <c r="AW486" i="2"/>
  <c r="BM486" i="2"/>
  <c r="T487" i="2"/>
  <c r="AJ487" i="2"/>
  <c r="AZ487" i="2"/>
  <c r="G488" i="2"/>
  <c r="W488" i="2"/>
  <c r="AM488" i="2"/>
  <c r="BC488" i="2"/>
  <c r="N489" i="2"/>
  <c r="AD489" i="2"/>
  <c r="AT489" i="2"/>
  <c r="BJ489" i="2"/>
  <c r="U490" i="2"/>
  <c r="AK490" i="2"/>
  <c r="BA490" i="2"/>
  <c r="H491" i="2"/>
  <c r="X491" i="2"/>
  <c r="AN491" i="2"/>
  <c r="BD491" i="2"/>
  <c r="K492" i="2"/>
  <c r="AA492" i="2"/>
  <c r="AQ492" i="2"/>
  <c r="BG492" i="2"/>
  <c r="R493" i="2"/>
  <c r="AH493" i="2"/>
  <c r="AX493" i="2"/>
  <c r="I494" i="2"/>
  <c r="Y494" i="2"/>
  <c r="AO494" i="2"/>
  <c r="BE494" i="2"/>
  <c r="L495" i="2"/>
  <c r="AB495" i="2"/>
  <c r="AR495" i="2"/>
  <c r="BH495" i="2"/>
  <c r="O496" i="2"/>
  <c r="AE496" i="2"/>
  <c r="AU496" i="2"/>
  <c r="BK496" i="2"/>
  <c r="T498" i="3"/>
  <c r="T498" i="2" s="1"/>
  <c r="T499" i="2"/>
  <c r="AJ498" i="3"/>
  <c r="AJ498" i="2" s="1"/>
  <c r="AJ499" i="2"/>
  <c r="AZ498" i="3"/>
  <c r="AZ498" i="2" s="1"/>
  <c r="AZ499" i="2"/>
  <c r="G500" i="2"/>
  <c r="W500" i="2"/>
  <c r="AM500" i="2"/>
  <c r="BC500" i="2"/>
  <c r="N501" i="2"/>
  <c r="AD501" i="2"/>
  <c r="AT501" i="2"/>
  <c r="BJ501" i="2"/>
  <c r="U502" i="2"/>
  <c r="AK502" i="2"/>
  <c r="BA502" i="2"/>
  <c r="H503" i="2"/>
  <c r="X503" i="2"/>
  <c r="AN503" i="2"/>
  <c r="BD503" i="2"/>
  <c r="K504" i="2"/>
  <c r="AA504" i="2"/>
  <c r="AQ504" i="2"/>
  <c r="BG504" i="2"/>
  <c r="R505" i="2"/>
  <c r="AH505" i="2"/>
  <c r="AX505" i="2"/>
  <c r="I506" i="2"/>
  <c r="Y506" i="2"/>
  <c r="AO506" i="2"/>
  <c r="BE506" i="2"/>
  <c r="L507" i="2"/>
  <c r="AB507" i="2"/>
  <c r="AR507" i="2"/>
  <c r="BH507" i="2"/>
  <c r="O508" i="2"/>
  <c r="AE508" i="2"/>
  <c r="AU508" i="2"/>
  <c r="BK508" i="2"/>
  <c r="AI509" i="2"/>
  <c r="AT462" i="2"/>
  <c r="BJ462" i="2"/>
  <c r="U463" i="2"/>
  <c r="AK463" i="2"/>
  <c r="BA463" i="2"/>
  <c r="H464" i="2"/>
  <c r="X464" i="2"/>
  <c r="AN464" i="2"/>
  <c r="BD464" i="2"/>
  <c r="K465" i="2"/>
  <c r="AA465" i="2"/>
  <c r="AQ465" i="2"/>
  <c r="BG465" i="2"/>
  <c r="R466" i="2"/>
  <c r="AH466" i="2"/>
  <c r="AX466" i="2"/>
  <c r="I467" i="2"/>
  <c r="Y467" i="2"/>
  <c r="AO467" i="2"/>
  <c r="BE467" i="2"/>
  <c r="L468" i="2"/>
  <c r="AB468" i="2"/>
  <c r="AR468" i="2"/>
  <c r="BH468" i="2"/>
  <c r="O469" i="2"/>
  <c r="AE469" i="2"/>
  <c r="AU469" i="2"/>
  <c r="BK469" i="2"/>
  <c r="V470" i="2"/>
  <c r="AL470" i="2"/>
  <c r="BB470" i="2"/>
  <c r="M471" i="2"/>
  <c r="AC471" i="2"/>
  <c r="AS471" i="2"/>
  <c r="BI471" i="2"/>
  <c r="P472" i="2"/>
  <c r="AF472" i="2"/>
  <c r="AV472" i="2"/>
  <c r="BL472" i="2"/>
  <c r="S473" i="2"/>
  <c r="AI473" i="2"/>
  <c r="AY473" i="2"/>
  <c r="J474" i="2"/>
  <c r="Z474" i="2"/>
  <c r="AP474" i="2"/>
  <c r="BF474" i="2"/>
  <c r="Q475" i="2"/>
  <c r="AG475" i="2"/>
  <c r="AW475" i="2"/>
  <c r="BM475" i="2"/>
  <c r="T476" i="2"/>
  <c r="AJ476" i="2"/>
  <c r="AZ476" i="2"/>
  <c r="G477" i="2"/>
  <c r="W477" i="2"/>
  <c r="AM477" i="2"/>
  <c r="BC477" i="2"/>
  <c r="N478" i="2"/>
  <c r="AD478" i="2"/>
  <c r="AT478" i="2"/>
  <c r="BJ478" i="2"/>
  <c r="U479" i="2"/>
  <c r="AK479" i="2"/>
  <c r="BA479" i="2"/>
  <c r="H480" i="2"/>
  <c r="X480" i="2"/>
  <c r="AN480" i="2"/>
  <c r="BD480" i="2"/>
  <c r="K481" i="2"/>
  <c r="AA481" i="2"/>
  <c r="AQ481" i="2"/>
  <c r="BG481" i="2"/>
  <c r="R482" i="2"/>
  <c r="AH482" i="2"/>
  <c r="AX482" i="2"/>
  <c r="I483" i="2"/>
  <c r="Y483" i="2"/>
  <c r="AO483" i="2"/>
  <c r="BE483" i="2"/>
  <c r="L484" i="2"/>
  <c r="AB484" i="2"/>
  <c r="AR484" i="2"/>
  <c r="BH484" i="2"/>
  <c r="O485" i="2"/>
  <c r="AE485" i="2"/>
  <c r="AU485" i="2"/>
  <c r="BK485" i="2"/>
  <c r="V486" i="2"/>
  <c r="AL486" i="2"/>
  <c r="BB486" i="2"/>
  <c r="M487" i="2"/>
  <c r="AC487" i="2"/>
  <c r="AS487" i="2"/>
  <c r="BI487" i="2"/>
  <c r="P488" i="2"/>
  <c r="AF488" i="2"/>
  <c r="AV488" i="2"/>
  <c r="BL488" i="2"/>
  <c r="S489" i="2"/>
  <c r="AI489" i="2"/>
  <c r="AY489" i="2"/>
  <c r="J490" i="2"/>
  <c r="Z490" i="2"/>
  <c r="AP490" i="2"/>
  <c r="BF490" i="2"/>
  <c r="Q491" i="2"/>
  <c r="AG491" i="2"/>
  <c r="AW491" i="2"/>
  <c r="BM491" i="2"/>
  <c r="T492" i="2"/>
  <c r="AJ492" i="2"/>
  <c r="AZ492" i="2"/>
  <c r="G493" i="2"/>
  <c r="W493" i="2"/>
  <c r="AM493" i="2"/>
  <c r="BC493" i="2"/>
  <c r="N494" i="2"/>
  <c r="AD494" i="2"/>
  <c r="AT494" i="2"/>
  <c r="BJ494" i="2"/>
  <c r="U495" i="2"/>
  <c r="AK495" i="2"/>
  <c r="BA495" i="2"/>
  <c r="H496" i="2"/>
  <c r="X496" i="2"/>
  <c r="AN496" i="2"/>
  <c r="BD496" i="2"/>
  <c r="M498" i="3"/>
  <c r="M498" i="2" s="1"/>
  <c r="M499" i="2"/>
  <c r="AC498" i="3"/>
  <c r="AC498" i="2" s="1"/>
  <c r="AC499" i="2"/>
  <c r="AS498" i="3"/>
  <c r="AS498" i="2" s="1"/>
  <c r="AS499" i="2"/>
  <c r="BI498" i="3"/>
  <c r="BI498" i="2" s="1"/>
  <c r="BI499" i="2"/>
  <c r="P500" i="2"/>
  <c r="AF500" i="2"/>
  <c r="AV500" i="2"/>
  <c r="BL500" i="2"/>
  <c r="S501" i="2"/>
  <c r="AI501" i="2"/>
  <c r="AY501" i="2"/>
  <c r="J502" i="2"/>
  <c r="Z502" i="2"/>
  <c r="AP502" i="2"/>
  <c r="BF502" i="2"/>
  <c r="Q503" i="2"/>
  <c r="AG503" i="2"/>
  <c r="AW503" i="2"/>
  <c r="BM503" i="2"/>
  <c r="T504" i="2"/>
  <c r="AJ504" i="2"/>
  <c r="AZ504" i="2"/>
  <c r="G505" i="2"/>
  <c r="W505" i="2"/>
  <c r="AM505" i="2"/>
  <c r="BC505" i="2"/>
  <c r="N506" i="2"/>
  <c r="AD506" i="2"/>
  <c r="AT506" i="2"/>
  <c r="BJ506" i="2"/>
  <c r="U507" i="2"/>
  <c r="AK507" i="2"/>
  <c r="BA507" i="2"/>
  <c r="H508" i="2"/>
  <c r="X508" i="2"/>
  <c r="AN508" i="2"/>
  <c r="BD508" i="2"/>
  <c r="N509" i="2"/>
  <c r="AT509" i="2"/>
  <c r="K462" i="2"/>
  <c r="AA462" i="2"/>
  <c r="AQ462" i="2"/>
  <c r="BG462" i="2"/>
  <c r="R463" i="2"/>
  <c r="AH463" i="2"/>
  <c r="AX463" i="2"/>
  <c r="I464" i="2"/>
  <c r="Y464" i="2"/>
  <c r="AO464" i="2"/>
  <c r="BE464" i="2"/>
  <c r="L465" i="2"/>
  <c r="AB465" i="2"/>
  <c r="AR465" i="2"/>
  <c r="BH465" i="2"/>
  <c r="O466" i="2"/>
  <c r="AE466" i="2"/>
  <c r="AU466" i="2"/>
  <c r="BK466" i="2"/>
  <c r="V467" i="2"/>
  <c r="AL467" i="2"/>
  <c r="BB467" i="2"/>
  <c r="M468" i="2"/>
  <c r="AC468" i="2"/>
  <c r="AS468" i="2"/>
  <c r="BI468" i="2"/>
  <c r="P469" i="2"/>
  <c r="AF469" i="2"/>
  <c r="AV469" i="2"/>
  <c r="BL469" i="2"/>
  <c r="S470" i="2"/>
  <c r="AI470" i="2"/>
  <c r="AY470" i="2"/>
  <c r="J471" i="2"/>
  <c r="Z471" i="2"/>
  <c r="AP471" i="2"/>
  <c r="BF471" i="2"/>
  <c r="Q472" i="2"/>
  <c r="AG472" i="2"/>
  <c r="AW472" i="2"/>
  <c r="BM472" i="2"/>
  <c r="T473" i="2"/>
  <c r="AJ473" i="2"/>
  <c r="AZ473" i="2"/>
  <c r="G474" i="2"/>
  <c r="W474" i="2"/>
  <c r="AM474" i="2"/>
  <c r="BC474" i="2"/>
  <c r="N475" i="2"/>
  <c r="AD475" i="2"/>
  <c r="AT475" i="2"/>
  <c r="BJ475" i="2"/>
  <c r="U476" i="2"/>
  <c r="AK476" i="2"/>
  <c r="BA476" i="2"/>
  <c r="H477" i="2"/>
  <c r="X477" i="2"/>
  <c r="AN477" i="2"/>
  <c r="BD477" i="2"/>
  <c r="K478" i="2"/>
  <c r="AA478" i="2"/>
  <c r="AQ478" i="2"/>
  <c r="BG478" i="2"/>
  <c r="R479" i="2"/>
  <c r="AH479" i="2"/>
  <c r="AX479" i="2"/>
  <c r="I480" i="2"/>
  <c r="Y480" i="2"/>
  <c r="AO480" i="2"/>
  <c r="BE480" i="2"/>
  <c r="L481" i="2"/>
  <c r="AB481" i="2"/>
  <c r="AR481" i="2"/>
  <c r="BH481" i="2"/>
  <c r="O482" i="2"/>
  <c r="AE482" i="2"/>
  <c r="AU482" i="2"/>
  <c r="BK482" i="2"/>
  <c r="V483" i="2"/>
  <c r="AL483" i="2"/>
  <c r="BB483" i="2"/>
  <c r="M484" i="2"/>
  <c r="AC484" i="2"/>
  <c r="AS484" i="2"/>
  <c r="BI484" i="2"/>
  <c r="P485" i="2"/>
  <c r="AF485" i="2"/>
  <c r="AV485" i="2"/>
  <c r="BL485" i="2"/>
  <c r="S486" i="2"/>
  <c r="AI486" i="2"/>
  <c r="AY486" i="2"/>
  <c r="J487" i="2"/>
  <c r="Z487" i="2"/>
  <c r="AP487" i="2"/>
  <c r="BF487" i="2"/>
  <c r="Q488" i="2"/>
  <c r="AG488" i="2"/>
  <c r="AW488" i="2"/>
  <c r="BM488" i="2"/>
  <c r="T489" i="2"/>
  <c r="AJ489" i="2"/>
  <c r="AZ489" i="2"/>
  <c r="G490" i="2"/>
  <c r="W490" i="2"/>
  <c r="AM490" i="2"/>
  <c r="BC490" i="2"/>
  <c r="N491" i="2"/>
  <c r="AD491" i="2"/>
  <c r="AT491" i="2"/>
  <c r="BJ491" i="2"/>
  <c r="U492" i="2"/>
  <c r="AK492" i="2"/>
  <c r="BA492" i="2"/>
  <c r="H493" i="2"/>
  <c r="X493" i="2"/>
  <c r="AN493" i="2"/>
  <c r="BD493" i="2"/>
  <c r="K494" i="2"/>
  <c r="AA494" i="2"/>
  <c r="AQ494" i="2"/>
  <c r="BG494" i="2"/>
  <c r="R495" i="2"/>
  <c r="AH495" i="2"/>
  <c r="AX495" i="2"/>
  <c r="I496" i="2"/>
  <c r="Y496" i="2"/>
  <c r="AO496" i="2"/>
  <c r="BE496" i="2"/>
  <c r="N498" i="3"/>
  <c r="N498" i="2" s="1"/>
  <c r="N499" i="2"/>
  <c r="AD498" i="3"/>
  <c r="AD498" i="2" s="1"/>
  <c r="AD499" i="2"/>
  <c r="AT498" i="3"/>
  <c r="AT498" i="2" s="1"/>
  <c r="AT499" i="2"/>
  <c r="BJ498" i="3"/>
  <c r="BJ498" i="2" s="1"/>
  <c r="BJ499" i="2"/>
  <c r="U500" i="2"/>
  <c r="AK500" i="2"/>
  <c r="BA500" i="2"/>
  <c r="H501" i="2"/>
  <c r="X501" i="2"/>
  <c r="AN501" i="2"/>
  <c r="BD501" i="2"/>
  <c r="K502" i="2"/>
  <c r="AA502" i="2"/>
  <c r="AQ502" i="2"/>
  <c r="BG502" i="2"/>
  <c r="R503" i="2"/>
  <c r="AH503" i="2"/>
  <c r="AX503" i="2"/>
  <c r="I504" i="2"/>
  <c r="Y504" i="2"/>
  <c r="AO504" i="2"/>
  <c r="BE504" i="2"/>
  <c r="L505" i="2"/>
  <c r="AB505" i="2"/>
  <c r="AR505" i="2"/>
  <c r="BH505" i="2"/>
  <c r="O506" i="2"/>
  <c r="AE506" i="2"/>
  <c r="AU506" i="2"/>
  <c r="BK506" i="2"/>
  <c r="V507" i="2"/>
  <c r="AL507" i="2"/>
  <c r="BB507" i="2"/>
  <c r="M508" i="2"/>
  <c r="AC508" i="2"/>
  <c r="AS508" i="2"/>
  <c r="BI508" i="2"/>
  <c r="W509" i="2"/>
  <c r="BC509" i="2"/>
  <c r="Q510" i="2"/>
  <c r="AG510" i="2"/>
  <c r="AW510" i="2"/>
  <c r="BM510" i="2"/>
  <c r="T511" i="2"/>
  <c r="AJ511" i="2"/>
  <c r="AZ511" i="2"/>
  <c r="G512" i="2"/>
  <c r="W512" i="2"/>
  <c r="AM512" i="2"/>
  <c r="BC512" i="2"/>
  <c r="N513" i="2"/>
  <c r="AD513" i="2"/>
  <c r="AT513" i="2"/>
  <c r="BJ513" i="2"/>
  <c r="U514" i="2"/>
  <c r="AK514" i="2"/>
  <c r="BA514" i="2"/>
  <c r="H515" i="2"/>
  <c r="X515" i="2"/>
  <c r="AN515" i="2"/>
  <c r="BD515" i="2"/>
  <c r="K516" i="2"/>
  <c r="AA516" i="2"/>
  <c r="AQ516" i="2"/>
  <c r="BG516" i="2"/>
  <c r="R517" i="2"/>
  <c r="AH517" i="2"/>
  <c r="AX517" i="2"/>
  <c r="I518" i="2"/>
  <c r="Y518" i="2"/>
  <c r="AO518" i="2"/>
  <c r="BE518" i="2"/>
  <c r="L519" i="2"/>
  <c r="AB519" i="2"/>
  <c r="AR519" i="2"/>
  <c r="BH519" i="2"/>
  <c r="O520" i="2"/>
  <c r="AE520" i="2"/>
  <c r="AU520" i="2"/>
  <c r="BK520" i="2"/>
  <c r="V521" i="2"/>
  <c r="AL521" i="2"/>
  <c r="BB521" i="2"/>
  <c r="M522" i="2"/>
  <c r="AC522" i="2"/>
  <c r="AS522" i="2"/>
  <c r="BI522" i="2"/>
  <c r="P523" i="2"/>
  <c r="AF523" i="2"/>
  <c r="AV523" i="2"/>
  <c r="BL523" i="2"/>
  <c r="S524" i="2"/>
  <c r="AI524" i="2"/>
  <c r="AY524" i="2"/>
  <c r="J525" i="2"/>
  <c r="Z525" i="2"/>
  <c r="AP525" i="2"/>
  <c r="BF525" i="2"/>
  <c r="Q526" i="2"/>
  <c r="AG526" i="2"/>
  <c r="AW526" i="2"/>
  <c r="BM526" i="2"/>
  <c r="T527" i="2"/>
  <c r="AJ527" i="2"/>
  <c r="AZ527" i="2"/>
  <c r="G528" i="2"/>
  <c r="W528" i="2"/>
  <c r="AM528" i="2"/>
  <c r="BC528" i="2"/>
  <c r="N529" i="2"/>
  <c r="AD529" i="2"/>
  <c r="AT529" i="2"/>
  <c r="BJ529" i="2"/>
  <c r="U530" i="2"/>
  <c r="AK530" i="2"/>
  <c r="BA530" i="2"/>
  <c r="H531" i="2"/>
  <c r="X531" i="2"/>
  <c r="AN531" i="2"/>
  <c r="BD531" i="2"/>
  <c r="K532" i="2"/>
  <c r="AA532" i="2"/>
  <c r="AQ532" i="2"/>
  <c r="BG532" i="2"/>
  <c r="R533" i="2"/>
  <c r="AH533" i="2"/>
  <c r="AX533" i="2"/>
  <c r="I534" i="2"/>
  <c r="Y534" i="2"/>
  <c r="AO534" i="2"/>
  <c r="BE534" i="2"/>
  <c r="L535" i="2"/>
  <c r="AB535" i="2"/>
  <c r="AR535" i="2"/>
  <c r="BH535" i="2"/>
  <c r="O536" i="2"/>
  <c r="AE536" i="2"/>
  <c r="AU536" i="2"/>
  <c r="BK536" i="2"/>
  <c r="V537" i="2"/>
  <c r="AL537" i="2"/>
  <c r="BB537" i="2"/>
  <c r="M538" i="2"/>
  <c r="AC538" i="2"/>
  <c r="AS538" i="2"/>
  <c r="BI538" i="2"/>
  <c r="Q539" i="3"/>
  <c r="Q539" i="2" s="1"/>
  <c r="Q540" i="2"/>
  <c r="AG539" i="3"/>
  <c r="AG539" i="2" s="1"/>
  <c r="AG540" i="2"/>
  <c r="AW539" i="3"/>
  <c r="AW539" i="2" s="1"/>
  <c r="AW540" i="2"/>
  <c r="BM539" i="3"/>
  <c r="BM539" i="2" s="1"/>
  <c r="BM540" i="2"/>
  <c r="T541" i="2"/>
  <c r="AJ541" i="2"/>
  <c r="AZ541" i="2"/>
  <c r="G542" i="2"/>
  <c r="W542" i="2"/>
  <c r="AM542" i="2"/>
  <c r="BC542" i="2"/>
  <c r="N543" i="2"/>
  <c r="AD543" i="2"/>
  <c r="AT543" i="2"/>
  <c r="BJ543" i="2"/>
  <c r="U544" i="2"/>
  <c r="AK544" i="2"/>
  <c r="BA544" i="2"/>
  <c r="H545" i="2"/>
  <c r="X545" i="2"/>
  <c r="AN545" i="2"/>
  <c r="BD545" i="2"/>
  <c r="K546" i="2"/>
  <c r="AA546" i="2"/>
  <c r="AQ546" i="2"/>
  <c r="BG546" i="2"/>
  <c r="R547" i="2"/>
  <c r="AH547" i="2"/>
  <c r="AX547" i="2"/>
  <c r="I548" i="2"/>
  <c r="Y548" i="2"/>
  <c r="AO548" i="2"/>
  <c r="BE548" i="2"/>
  <c r="L549" i="2"/>
  <c r="AB549" i="2"/>
  <c r="AR549" i="2"/>
  <c r="BH549" i="2"/>
  <c r="O550" i="2"/>
  <c r="AE550" i="2"/>
  <c r="AU550" i="2"/>
  <c r="BK550" i="2"/>
  <c r="V551" i="2"/>
  <c r="AL551" i="2"/>
  <c r="BB551" i="2"/>
  <c r="M552" i="2"/>
  <c r="AC552" i="2"/>
  <c r="AS552" i="2"/>
  <c r="BI552" i="2"/>
  <c r="P553" i="2"/>
  <c r="AF553" i="2"/>
  <c r="AV553" i="2"/>
  <c r="L554" i="2"/>
  <c r="AR554" i="2"/>
  <c r="N510" i="2"/>
  <c r="AD510" i="2"/>
  <c r="AT510" i="2"/>
  <c r="BJ510" i="2"/>
  <c r="U511" i="2"/>
  <c r="AK511" i="2"/>
  <c r="BA511" i="2"/>
  <c r="H512" i="2"/>
  <c r="X512" i="2"/>
  <c r="AN512" i="2"/>
  <c r="BD512" i="2"/>
  <c r="K513" i="2"/>
  <c r="AA513" i="2"/>
  <c r="AQ513" i="2"/>
  <c r="BG513" i="2"/>
  <c r="R514" i="2"/>
  <c r="AH514" i="2"/>
  <c r="AX514" i="2"/>
  <c r="I515" i="2"/>
  <c r="Y515" i="2"/>
  <c r="AO515" i="2"/>
  <c r="BE515" i="2"/>
  <c r="L516" i="2"/>
  <c r="AB516" i="2"/>
  <c r="AR516" i="2"/>
  <c r="BH516" i="2"/>
  <c r="O517" i="2"/>
  <c r="AE517" i="2"/>
  <c r="AU517" i="2"/>
  <c r="BK517" i="2"/>
  <c r="V518" i="2"/>
  <c r="AL518" i="2"/>
  <c r="BB518" i="2"/>
  <c r="M519" i="2"/>
  <c r="AC519" i="2"/>
  <c r="AS519" i="2"/>
  <c r="BI519" i="2"/>
  <c r="P520" i="2"/>
  <c r="AF520" i="2"/>
  <c r="AV520" i="2"/>
  <c r="BL520" i="2"/>
  <c r="S521" i="2"/>
  <c r="AI521" i="2"/>
  <c r="AY521" i="2"/>
  <c r="J522" i="2"/>
  <c r="Z522" i="2"/>
  <c r="AP522" i="2"/>
  <c r="BF522" i="2"/>
  <c r="Q523" i="2"/>
  <c r="AG523" i="2"/>
  <c r="AW523" i="2"/>
  <c r="BM523" i="2"/>
  <c r="T524" i="2"/>
  <c r="AJ524" i="2"/>
  <c r="AZ524" i="2"/>
  <c r="G525" i="2"/>
  <c r="W525" i="2"/>
  <c r="AM525" i="2"/>
  <c r="BC525" i="2"/>
  <c r="N526" i="2"/>
  <c r="AD526" i="2"/>
  <c r="AT526" i="2"/>
  <c r="BJ526" i="2"/>
  <c r="U527" i="2"/>
  <c r="AK527" i="2"/>
  <c r="BA527" i="2"/>
  <c r="H528" i="2"/>
  <c r="X528" i="2"/>
  <c r="AN528" i="2"/>
  <c r="BD528" i="2"/>
  <c r="K529" i="2"/>
  <c r="AA529" i="2"/>
  <c r="AQ529" i="2"/>
  <c r="BG529" i="2"/>
  <c r="R530" i="2"/>
  <c r="AH530" i="2"/>
  <c r="AX530" i="2"/>
  <c r="I531" i="2"/>
  <c r="Y531" i="2"/>
  <c r="AO531" i="2"/>
  <c r="BE531" i="2"/>
  <c r="L532" i="2"/>
  <c r="AB532" i="2"/>
  <c r="AR532" i="2"/>
  <c r="BH532" i="2"/>
  <c r="O533" i="2"/>
  <c r="AE533" i="2"/>
  <c r="AU533" i="2"/>
  <c r="BK533" i="2"/>
  <c r="V534" i="2"/>
  <c r="AL534" i="2"/>
  <c r="BB534" i="2"/>
  <c r="M535" i="2"/>
  <c r="AC535" i="2"/>
  <c r="AS535" i="2"/>
  <c r="BI535" i="2"/>
  <c r="P536" i="2"/>
  <c r="AF536" i="2"/>
  <c r="AV536" i="2"/>
  <c r="BL536" i="2"/>
  <c r="S537" i="2"/>
  <c r="AI537" i="2"/>
  <c r="AY537" i="2"/>
  <c r="J538" i="2"/>
  <c r="Z538" i="2"/>
  <c r="AP538" i="2"/>
  <c r="BF538" i="2"/>
  <c r="R539" i="3"/>
  <c r="R539" i="2" s="1"/>
  <c r="R540" i="2"/>
  <c r="AH539" i="3"/>
  <c r="AH539" i="2" s="1"/>
  <c r="AH540" i="2"/>
  <c r="AX539" i="3"/>
  <c r="AX539" i="2" s="1"/>
  <c r="AX540" i="2"/>
  <c r="I541" i="2"/>
  <c r="Y541" i="2"/>
  <c r="AO541" i="2"/>
  <c r="BE541" i="2"/>
  <c r="L542" i="2"/>
  <c r="AB542" i="2"/>
  <c r="AR542" i="2"/>
  <c r="BH542" i="2"/>
  <c r="O543" i="2"/>
  <c r="AE543" i="2"/>
  <c r="AU543" i="2"/>
  <c r="BK543" i="2"/>
  <c r="V544" i="2"/>
  <c r="AL544" i="2"/>
  <c r="BB544" i="2"/>
  <c r="M545" i="2"/>
  <c r="AC545" i="2"/>
  <c r="AS545" i="2"/>
  <c r="BI545" i="2"/>
  <c r="P546" i="2"/>
  <c r="AF546" i="2"/>
  <c r="AV546" i="2"/>
  <c r="BL546" i="2"/>
  <c r="S547" i="2"/>
  <c r="AI547" i="2"/>
  <c r="AY547" i="2"/>
  <c r="J548" i="2"/>
  <c r="Z548" i="2"/>
  <c r="AP548" i="2"/>
  <c r="BF548" i="2"/>
  <c r="Q549" i="2"/>
  <c r="AG549" i="2"/>
  <c r="AW549" i="2"/>
  <c r="BM549" i="2"/>
  <c r="T550" i="2"/>
  <c r="AJ550" i="2"/>
  <c r="AZ550" i="2"/>
  <c r="G551" i="2"/>
  <c r="W551" i="2"/>
  <c r="AM551" i="2"/>
  <c r="BC551" i="2"/>
  <c r="N552" i="2"/>
  <c r="AD552" i="2"/>
  <c r="AT552" i="2"/>
  <c r="BJ552" i="2"/>
  <c r="U553" i="2"/>
  <c r="AK553" i="2"/>
  <c r="BA553" i="2"/>
  <c r="O554" i="2"/>
  <c r="AU554" i="2"/>
  <c r="P509" i="2"/>
  <c r="AF509" i="2"/>
  <c r="AV509" i="2"/>
  <c r="BL509" i="2"/>
  <c r="S510" i="2"/>
  <c r="AI510" i="2"/>
  <c r="AY510" i="2"/>
  <c r="J511" i="2"/>
  <c r="Z511" i="2"/>
  <c r="AP511" i="2"/>
  <c r="BF511" i="2"/>
  <c r="Q512" i="2"/>
  <c r="AG512" i="2"/>
  <c r="AW512" i="2"/>
  <c r="BM512" i="2"/>
  <c r="T513" i="2"/>
  <c r="AJ513" i="2"/>
  <c r="AZ513" i="2"/>
  <c r="G514" i="2"/>
  <c r="W514" i="2"/>
  <c r="AM514" i="2"/>
  <c r="BC514" i="2"/>
  <c r="N515" i="2"/>
  <c r="AD515" i="2"/>
  <c r="AT515" i="2"/>
  <c r="BJ515" i="2"/>
  <c r="U516" i="2"/>
  <c r="AK516" i="2"/>
  <c r="BA516" i="2"/>
  <c r="H517" i="2"/>
  <c r="X517" i="2"/>
  <c r="AN517" i="2"/>
  <c r="BD517" i="2"/>
  <c r="K518" i="2"/>
  <c r="AA518" i="2"/>
  <c r="AQ518" i="2"/>
  <c r="BG518" i="2"/>
  <c r="R519" i="2"/>
  <c r="AH519" i="2"/>
  <c r="AX519" i="2"/>
  <c r="I520" i="2"/>
  <c r="Y520" i="2"/>
  <c r="AO520" i="2"/>
  <c r="BE520" i="2"/>
  <c r="L521" i="2"/>
  <c r="AB521" i="2"/>
  <c r="AR521" i="2"/>
  <c r="BH521" i="2"/>
  <c r="O522" i="2"/>
  <c r="AE522" i="2"/>
  <c r="AU522" i="2"/>
  <c r="BK522" i="2"/>
  <c r="V523" i="2"/>
  <c r="AL523" i="2"/>
  <c r="BB523" i="2"/>
  <c r="M524" i="2"/>
  <c r="AC524" i="2"/>
  <c r="AS524" i="2"/>
  <c r="BI524" i="2"/>
  <c r="P525" i="2"/>
  <c r="AF525" i="2"/>
  <c r="AV525" i="2"/>
  <c r="BL525" i="2"/>
  <c r="S526" i="2"/>
  <c r="AI526" i="2"/>
  <c r="AY526" i="2"/>
  <c r="J527" i="2"/>
  <c r="Z527" i="2"/>
  <c r="AP527" i="2"/>
  <c r="BF527" i="2"/>
  <c r="Q528" i="2"/>
  <c r="AG528" i="2"/>
  <c r="AW528" i="2"/>
  <c r="BM528" i="2"/>
  <c r="T529" i="2"/>
  <c r="AJ529" i="2"/>
  <c r="AZ529" i="2"/>
  <c r="G530" i="2"/>
  <c r="W530" i="2"/>
  <c r="AM530" i="2"/>
  <c r="BC530" i="2"/>
  <c r="N531" i="2"/>
  <c r="AD531" i="2"/>
  <c r="AT531" i="2"/>
  <c r="BJ531" i="2"/>
  <c r="U532" i="2"/>
  <c r="AK532" i="2"/>
  <c r="BA532" i="2"/>
  <c r="H533" i="2"/>
  <c r="X533" i="2"/>
  <c r="AN533" i="2"/>
  <c r="BD533" i="2"/>
  <c r="K534" i="2"/>
  <c r="AA534" i="2"/>
  <c r="AQ534" i="2"/>
  <c r="BG534" i="2"/>
  <c r="R535" i="2"/>
  <c r="AH535" i="2"/>
  <c r="AX535" i="2"/>
  <c r="I536" i="2"/>
  <c r="Y536" i="2"/>
  <c r="AO536" i="2"/>
  <c r="BE536" i="2"/>
  <c r="L537" i="2"/>
  <c r="AB537" i="2"/>
  <c r="AR537" i="2"/>
  <c r="BH537" i="2"/>
  <c r="O538" i="2"/>
  <c r="AE538" i="2"/>
  <c r="AU538" i="2"/>
  <c r="BK538" i="2"/>
  <c r="S539" i="3"/>
  <c r="S539" i="2" s="1"/>
  <c r="S540" i="2"/>
  <c r="AI539" i="3"/>
  <c r="AI539" i="2" s="1"/>
  <c r="AI540" i="2"/>
  <c r="AY539" i="3"/>
  <c r="AY539" i="2" s="1"/>
  <c r="AY540" i="2"/>
  <c r="J541" i="2"/>
  <c r="Z541" i="2"/>
  <c r="AP541" i="2"/>
  <c r="BF541" i="2"/>
  <c r="Q542" i="2"/>
  <c r="AG542" i="2"/>
  <c r="AW542" i="2"/>
  <c r="BM542" i="2"/>
  <c r="T543" i="2"/>
  <c r="AJ543" i="2"/>
  <c r="AZ543" i="2"/>
  <c r="G544" i="2"/>
  <c r="W544" i="2"/>
  <c r="AM544" i="2"/>
  <c r="BC544" i="2"/>
  <c r="N545" i="2"/>
  <c r="AD545" i="2"/>
  <c r="AT545" i="2"/>
  <c r="BJ545" i="2"/>
  <c r="U546" i="2"/>
  <c r="AK546" i="2"/>
  <c r="BA546" i="2"/>
  <c r="H547" i="2"/>
  <c r="X547" i="2"/>
  <c r="AN547" i="2"/>
  <c r="BD547" i="2"/>
  <c r="K548" i="2"/>
  <c r="AA548" i="2"/>
  <c r="AQ548" i="2"/>
  <c r="BG548" i="2"/>
  <c r="R549" i="2"/>
  <c r="AH549" i="2"/>
  <c r="AX549" i="2"/>
  <c r="I550" i="2"/>
  <c r="Y550" i="2"/>
  <c r="AO550" i="2"/>
  <c r="BE550" i="2"/>
  <c r="L551" i="2"/>
  <c r="AB551" i="2"/>
  <c r="AR551" i="2"/>
  <c r="BH551" i="2"/>
  <c r="O552" i="2"/>
  <c r="AE552" i="2"/>
  <c r="AU552" i="2"/>
  <c r="BK552" i="2"/>
  <c r="V553" i="2"/>
  <c r="AL553" i="2"/>
  <c r="BB553" i="2"/>
  <c r="P554" i="2"/>
  <c r="AV554" i="2"/>
  <c r="M509" i="2"/>
  <c r="AC509" i="2"/>
  <c r="AS509" i="2"/>
  <c r="BI509" i="2"/>
  <c r="P510" i="2"/>
  <c r="AF510" i="2"/>
  <c r="AV510" i="2"/>
  <c r="BL510" i="2"/>
  <c r="S511" i="2"/>
  <c r="AI511" i="2"/>
  <c r="AY511" i="2"/>
  <c r="J512" i="2"/>
  <c r="Z512" i="2"/>
  <c r="AP512" i="2"/>
  <c r="BF512" i="2"/>
  <c r="Q513" i="2"/>
  <c r="AG513" i="2"/>
  <c r="AW513" i="2"/>
  <c r="BM513" i="2"/>
  <c r="T514" i="2"/>
  <c r="AJ514" i="2"/>
  <c r="AZ514" i="2"/>
  <c r="G515" i="2"/>
  <c r="W515" i="2"/>
  <c r="AM515" i="2"/>
  <c r="BC515" i="2"/>
  <c r="N516" i="2"/>
  <c r="AD516" i="2"/>
  <c r="AT516" i="2"/>
  <c r="BJ516" i="2"/>
  <c r="U517" i="2"/>
  <c r="AK517" i="2"/>
  <c r="BA517" i="2"/>
  <c r="H518" i="2"/>
  <c r="X518" i="2"/>
  <c r="AN518" i="2"/>
  <c r="BD518" i="2"/>
  <c r="K519" i="2"/>
  <c r="AA519" i="2"/>
  <c r="AQ519" i="2"/>
  <c r="BG519" i="2"/>
  <c r="R520" i="2"/>
  <c r="AH520" i="2"/>
  <c r="AX520" i="2"/>
  <c r="I521" i="2"/>
  <c r="Y521" i="2"/>
  <c r="AO521" i="2"/>
  <c r="BE521" i="2"/>
  <c r="L522" i="2"/>
  <c r="AB522" i="2"/>
  <c r="AR522" i="2"/>
  <c r="BH522" i="2"/>
  <c r="O523" i="2"/>
  <c r="AE523" i="2"/>
  <c r="AU523" i="2"/>
  <c r="BK523" i="2"/>
  <c r="V524" i="2"/>
  <c r="AL524" i="2"/>
  <c r="BB524" i="2"/>
  <c r="M525" i="2"/>
  <c r="AC525" i="2"/>
  <c r="AS525" i="2"/>
  <c r="BI525" i="2"/>
  <c r="P526" i="2"/>
  <c r="AF526" i="2"/>
  <c r="AV526" i="2"/>
  <c r="BL526" i="2"/>
  <c r="S527" i="2"/>
  <c r="AI527" i="2"/>
  <c r="AY527" i="2"/>
  <c r="J528" i="2"/>
  <c r="Z528" i="2"/>
  <c r="AP528" i="2"/>
  <c r="BF528" i="2"/>
  <c r="Q529" i="2"/>
  <c r="AG529" i="2"/>
  <c r="AW529" i="2"/>
  <c r="BM529" i="2"/>
  <c r="T530" i="2"/>
  <c r="AJ530" i="2"/>
  <c r="AZ530" i="2"/>
  <c r="G531" i="2"/>
  <c r="W531" i="2"/>
  <c r="AM531" i="2"/>
  <c r="BC531" i="2"/>
  <c r="N532" i="2"/>
  <c r="AD532" i="2"/>
  <c r="AT532" i="2"/>
  <c r="BJ532" i="2"/>
  <c r="U533" i="2"/>
  <c r="AK533" i="2"/>
  <c r="BA533" i="2"/>
  <c r="H534" i="2"/>
  <c r="X534" i="2"/>
  <c r="AN534" i="2"/>
  <c r="BD534" i="2"/>
  <c r="K535" i="2"/>
  <c r="AA535" i="2"/>
  <c r="AQ535" i="2"/>
  <c r="BG535" i="2"/>
  <c r="R536" i="2"/>
  <c r="AH536" i="2"/>
  <c r="AX536" i="2"/>
  <c r="I537" i="2"/>
  <c r="Y537" i="2"/>
  <c r="AO537" i="2"/>
  <c r="BE537" i="2"/>
  <c r="L538" i="2"/>
  <c r="AB538" i="2"/>
  <c r="AR538" i="2"/>
  <c r="BH538" i="2"/>
  <c r="P539" i="3"/>
  <c r="P539" i="2" s="1"/>
  <c r="P540" i="2"/>
  <c r="AF539" i="3"/>
  <c r="AF539" i="2" s="1"/>
  <c r="AF540" i="2"/>
  <c r="AV539" i="3"/>
  <c r="AV539" i="2" s="1"/>
  <c r="AV540" i="2"/>
  <c r="BL539" i="3"/>
  <c r="BL539" i="2" s="1"/>
  <c r="BL540" i="2"/>
  <c r="S541" i="2"/>
  <c r="AI541" i="2"/>
  <c r="AY541" i="2"/>
  <c r="J542" i="2"/>
  <c r="Z542" i="2"/>
  <c r="AP542" i="2"/>
  <c r="BF542" i="2"/>
  <c r="Q543" i="2"/>
  <c r="AG543" i="2"/>
  <c r="AW543" i="2"/>
  <c r="BM543" i="2"/>
  <c r="T544" i="2"/>
  <c r="AJ544" i="2"/>
  <c r="AZ544" i="2"/>
  <c r="G545" i="2"/>
  <c r="W545" i="2"/>
  <c r="AM545" i="2"/>
  <c r="BC545" i="2"/>
  <c r="N546" i="2"/>
  <c r="AD546" i="2"/>
  <c r="AT546" i="2"/>
  <c r="BJ546" i="2"/>
  <c r="U547" i="2"/>
  <c r="AK547" i="2"/>
  <c r="BA547" i="2"/>
  <c r="H548" i="2"/>
  <c r="X548" i="2"/>
  <c r="AN548" i="2"/>
  <c r="BD548" i="2"/>
  <c r="K549" i="2"/>
  <c r="AA549" i="2"/>
  <c r="AQ549" i="2"/>
  <c r="BG549" i="2"/>
  <c r="R550" i="2"/>
  <c r="AH550" i="2"/>
  <c r="AX550" i="2"/>
  <c r="I551" i="2"/>
  <c r="Y551" i="2"/>
  <c r="AO551" i="2"/>
  <c r="BE551" i="2"/>
  <c r="L552" i="2"/>
  <c r="AB552" i="2"/>
  <c r="AR552" i="2"/>
  <c r="BH552" i="2"/>
  <c r="O553" i="2"/>
  <c r="AE553" i="2"/>
  <c r="AU553" i="2"/>
  <c r="BM553" i="2"/>
  <c r="AI554" i="2"/>
  <c r="J555" i="2"/>
  <c r="Z555" i="2"/>
  <c r="AP555" i="2"/>
  <c r="BF555" i="2"/>
  <c r="Q556" i="2"/>
  <c r="AG556" i="2"/>
  <c r="AW556" i="2"/>
  <c r="BM556" i="2"/>
  <c r="T557" i="2"/>
  <c r="AJ557" i="2"/>
  <c r="AZ557" i="2"/>
  <c r="G558" i="2"/>
  <c r="W558" i="2"/>
  <c r="AM558" i="2"/>
  <c r="BC558" i="2"/>
  <c r="N559" i="2"/>
  <c r="AD559" i="2"/>
  <c r="AT559" i="2"/>
  <c r="BJ559" i="2"/>
  <c r="U560" i="2"/>
  <c r="AK560" i="2"/>
  <c r="BA560" i="2"/>
  <c r="H561" i="2"/>
  <c r="X561" i="2"/>
  <c r="AN561" i="2"/>
  <c r="BD561" i="2"/>
  <c r="K562" i="2"/>
  <c r="AA562" i="2"/>
  <c r="AQ562" i="2"/>
  <c r="BG562" i="2"/>
  <c r="R563" i="2"/>
  <c r="AH563" i="2"/>
  <c r="AX563" i="2"/>
  <c r="I564" i="2"/>
  <c r="Y564" i="2"/>
  <c r="AO564" i="2"/>
  <c r="BE564" i="2"/>
  <c r="L565" i="2"/>
  <c r="AB565" i="2"/>
  <c r="AR565" i="2"/>
  <c r="BH565" i="2"/>
  <c r="O566" i="2"/>
  <c r="AE566" i="2"/>
  <c r="AU566" i="2"/>
  <c r="BK566" i="2"/>
  <c r="V567" i="2"/>
  <c r="AL567" i="2"/>
  <c r="BB567" i="2"/>
  <c r="M568" i="2"/>
  <c r="AC568" i="2"/>
  <c r="AS568" i="2"/>
  <c r="BI568" i="2"/>
  <c r="P569" i="2"/>
  <c r="AF569" i="2"/>
  <c r="AV569" i="2"/>
  <c r="BL569" i="2"/>
  <c r="S570" i="2"/>
  <c r="AI570" i="2"/>
  <c r="AY570" i="2"/>
  <c r="J571" i="2"/>
  <c r="Z571" i="2"/>
  <c r="AP571" i="2"/>
  <c r="BF571" i="2"/>
  <c r="Q572" i="2"/>
  <c r="AG572" i="2"/>
  <c r="AW572" i="2"/>
  <c r="BM572" i="2"/>
  <c r="T573" i="2"/>
  <c r="AJ573" i="2"/>
  <c r="AZ573" i="2"/>
  <c r="G574" i="2"/>
  <c r="W574" i="2"/>
  <c r="AM574" i="2"/>
  <c r="BC574" i="2"/>
  <c r="N575" i="2"/>
  <c r="AD575" i="2"/>
  <c r="AT575" i="2"/>
  <c r="BJ575" i="2"/>
  <c r="U576" i="2"/>
  <c r="AK576" i="2"/>
  <c r="BA576" i="2"/>
  <c r="H577" i="2"/>
  <c r="X577" i="2"/>
  <c r="AN577" i="2"/>
  <c r="BD577" i="2"/>
  <c r="K578" i="2"/>
  <c r="AA578" i="2"/>
  <c r="AQ578" i="2"/>
  <c r="BG578" i="2"/>
  <c r="R579" i="2"/>
  <c r="AH579" i="2"/>
  <c r="AX579" i="2"/>
  <c r="J580" i="3"/>
  <c r="J580" i="2" s="1"/>
  <c r="J581" i="2"/>
  <c r="Z580" i="3"/>
  <c r="Z580" i="2" s="1"/>
  <c r="Z581" i="2"/>
  <c r="AP580" i="3"/>
  <c r="AP580" i="2" s="1"/>
  <c r="AP581" i="2"/>
  <c r="BF580" i="3"/>
  <c r="BF580" i="2" s="1"/>
  <c r="BF581" i="2"/>
  <c r="Q582" i="2"/>
  <c r="AG582" i="2"/>
  <c r="AW582" i="2"/>
  <c r="BM582" i="2"/>
  <c r="T583" i="2"/>
  <c r="AJ583" i="2"/>
  <c r="AZ583" i="2"/>
  <c r="G584" i="2"/>
  <c r="W584" i="2"/>
  <c r="AM584" i="2"/>
  <c r="BC584" i="2"/>
  <c r="N585" i="2"/>
  <c r="AD585" i="2"/>
  <c r="AT585" i="2"/>
  <c r="BJ585" i="2"/>
  <c r="U586" i="2"/>
  <c r="AK586" i="2"/>
  <c r="BA586" i="2"/>
  <c r="H587" i="2"/>
  <c r="X587" i="2"/>
  <c r="AN587" i="2"/>
  <c r="BD587" i="2"/>
  <c r="K588" i="2"/>
  <c r="AA588" i="2"/>
  <c r="AQ588" i="2"/>
  <c r="BG588" i="2"/>
  <c r="R589" i="2"/>
  <c r="AH589" i="2"/>
  <c r="AX589" i="2"/>
  <c r="I590" i="2"/>
  <c r="Y590" i="2"/>
  <c r="AO590" i="2"/>
  <c r="BE590" i="2"/>
  <c r="L591" i="2"/>
  <c r="AB591" i="2"/>
  <c r="AR591" i="2"/>
  <c r="BH591" i="2"/>
  <c r="O592" i="2"/>
  <c r="AE592" i="2"/>
  <c r="AU592" i="2"/>
  <c r="BK592" i="2"/>
  <c r="V593" i="2"/>
  <c r="AL593" i="2"/>
  <c r="BB593" i="2"/>
  <c r="M594" i="2"/>
  <c r="AC594" i="2"/>
  <c r="AS594" i="2"/>
  <c r="BI594" i="2"/>
  <c r="P595" i="2"/>
  <c r="AF595" i="2"/>
  <c r="AV595" i="2"/>
  <c r="BL595" i="2"/>
  <c r="S596" i="2"/>
  <c r="AI596" i="2"/>
  <c r="AY596" i="2"/>
  <c r="J597" i="2"/>
  <c r="Z597" i="2"/>
  <c r="AP597" i="2"/>
  <c r="BF597" i="2"/>
  <c r="Q598" i="2"/>
  <c r="AG598" i="2"/>
  <c r="AW598" i="2"/>
  <c r="BM598" i="2"/>
  <c r="AN599" i="2"/>
  <c r="O555" i="2"/>
  <c r="AE555" i="2"/>
  <c r="AU555" i="2"/>
  <c r="BK555" i="2"/>
  <c r="V556" i="2"/>
  <c r="AL556" i="2"/>
  <c r="BB556" i="2"/>
  <c r="M557" i="2"/>
  <c r="AC557" i="2"/>
  <c r="AS557" i="2"/>
  <c r="BI557" i="2"/>
  <c r="P558" i="2"/>
  <c r="AF558" i="2"/>
  <c r="AV558" i="2"/>
  <c r="BL558" i="2"/>
  <c r="S559" i="2"/>
  <c r="AI559" i="2"/>
  <c r="AY559" i="2"/>
  <c r="J560" i="2"/>
  <c r="Z560" i="2"/>
  <c r="AP560" i="2"/>
  <c r="BF560" i="2"/>
  <c r="Q561" i="2"/>
  <c r="AG561" i="2"/>
  <c r="AW561" i="2"/>
  <c r="BM561" i="2"/>
  <c r="T562" i="2"/>
  <c r="AJ562" i="2"/>
  <c r="AZ562" i="2"/>
  <c r="G563" i="2"/>
  <c r="W563" i="2"/>
  <c r="AM563" i="2"/>
  <c r="BC563" i="2"/>
  <c r="N564" i="2"/>
  <c r="AD564" i="2"/>
  <c r="AT564" i="2"/>
  <c r="BJ564" i="2"/>
  <c r="U565" i="2"/>
  <c r="AK565" i="2"/>
  <c r="BA565" i="2"/>
  <c r="H566" i="2"/>
  <c r="X566" i="2"/>
  <c r="AN566" i="2"/>
  <c r="BD566" i="2"/>
  <c r="K567" i="2"/>
  <c r="AA567" i="2"/>
  <c r="AQ567" i="2"/>
  <c r="BG567" i="2"/>
  <c r="R568" i="2"/>
  <c r="AH568" i="2"/>
  <c r="AX568" i="2"/>
  <c r="I569" i="2"/>
  <c r="Y569" i="2"/>
  <c r="AO569" i="2"/>
  <c r="BE569" i="2"/>
  <c r="L570" i="2"/>
  <c r="AB570" i="2"/>
  <c r="AR570" i="2"/>
  <c r="BH570" i="2"/>
  <c r="O571" i="2"/>
  <c r="AE571" i="2"/>
  <c r="AU571" i="2"/>
  <c r="BK571" i="2"/>
  <c r="V572" i="2"/>
  <c r="AL572" i="2"/>
  <c r="BB572" i="2"/>
  <c r="M573" i="2"/>
  <c r="AC573" i="2"/>
  <c r="AS573" i="2"/>
  <c r="BI573" i="2"/>
  <c r="P574" i="2"/>
  <c r="AF574" i="2"/>
  <c r="AV574" i="2"/>
  <c r="BL574" i="2"/>
  <c r="S575" i="2"/>
  <c r="AI575" i="2"/>
  <c r="AY575" i="2"/>
  <c r="J576" i="2"/>
  <c r="Z576" i="2"/>
  <c r="AP576" i="2"/>
  <c r="BF576" i="2"/>
  <c r="Q577" i="2"/>
  <c r="AG577" i="2"/>
  <c r="AW577" i="2"/>
  <c r="BM577" i="2"/>
  <c r="T578" i="2"/>
  <c r="AJ578" i="2"/>
  <c r="AZ578" i="2"/>
  <c r="G579" i="2"/>
  <c r="W579" i="2"/>
  <c r="AM579" i="2"/>
  <c r="BC579" i="2"/>
  <c r="K580" i="3"/>
  <c r="K580" i="2" s="1"/>
  <c r="K581" i="2"/>
  <c r="AA580" i="3"/>
  <c r="AA580" i="2" s="1"/>
  <c r="AA581" i="2"/>
  <c r="AQ580" i="3"/>
  <c r="AQ580" i="2" s="1"/>
  <c r="AQ581" i="2"/>
  <c r="BG580" i="3"/>
  <c r="BG580" i="2" s="1"/>
  <c r="BG581" i="2"/>
  <c r="R582" i="2"/>
  <c r="AH582" i="2"/>
  <c r="AX582" i="2"/>
  <c r="I583" i="2"/>
  <c r="Y583" i="2"/>
  <c r="AO583" i="2"/>
  <c r="BE583" i="2"/>
  <c r="L584" i="2"/>
  <c r="AB584" i="2"/>
  <c r="AR584" i="2"/>
  <c r="BH584" i="2"/>
  <c r="O585" i="2"/>
  <c r="AE585" i="2"/>
  <c r="AU585" i="2"/>
  <c r="BK585" i="2"/>
  <c r="V586" i="2"/>
  <c r="AL586" i="2"/>
  <c r="BB586" i="2"/>
  <c r="M587" i="2"/>
  <c r="AC587" i="2"/>
  <c r="AS587" i="2"/>
  <c r="BI587" i="2"/>
  <c r="P588" i="2"/>
  <c r="AF588" i="2"/>
  <c r="AV588" i="2"/>
  <c r="BL588" i="2"/>
  <c r="S589" i="2"/>
  <c r="AI589" i="2"/>
  <c r="AY589" i="2"/>
  <c r="J590" i="2"/>
  <c r="Z590" i="2"/>
  <c r="AP590" i="2"/>
  <c r="BF590" i="2"/>
  <c r="Q591" i="2"/>
  <c r="AG591" i="2"/>
  <c r="AW591" i="2"/>
  <c r="BM591" i="2"/>
  <c r="T592" i="2"/>
  <c r="AJ592" i="2"/>
  <c r="AZ592" i="2"/>
  <c r="G593" i="2"/>
  <c r="W593" i="2"/>
  <c r="AM593" i="2"/>
  <c r="BC593" i="2"/>
  <c r="N594" i="2"/>
  <c r="AD594" i="2"/>
  <c r="AT594" i="2"/>
  <c r="BJ594" i="2"/>
  <c r="U595" i="2"/>
  <c r="AK595" i="2"/>
  <c r="BA595" i="2"/>
  <c r="H596" i="2"/>
  <c r="X596" i="2"/>
  <c r="AN596" i="2"/>
  <c r="BD596" i="2"/>
  <c r="K597" i="2"/>
  <c r="AA597" i="2"/>
  <c r="AQ597" i="2"/>
  <c r="BG597" i="2"/>
  <c r="R598" i="2"/>
  <c r="AH598" i="2"/>
  <c r="AX598" i="2"/>
  <c r="M599" i="2"/>
  <c r="BH599" i="2"/>
  <c r="U554" i="2"/>
  <c r="AK554" i="2"/>
  <c r="BA554" i="2"/>
  <c r="H555" i="2"/>
  <c r="X555" i="2"/>
  <c r="AN555" i="2"/>
  <c r="BD555" i="2"/>
  <c r="K556" i="2"/>
  <c r="AA556" i="2"/>
  <c r="AQ556" i="2"/>
  <c r="BG556" i="2"/>
  <c r="R557" i="2"/>
  <c r="AH557" i="2"/>
  <c r="AX557" i="2"/>
  <c r="I558" i="2"/>
  <c r="Y558" i="2"/>
  <c r="AO558" i="2"/>
  <c r="BE558" i="2"/>
  <c r="L559" i="2"/>
  <c r="AB559" i="2"/>
  <c r="AR559" i="2"/>
  <c r="BH559" i="2"/>
  <c r="O560" i="2"/>
  <c r="AE560" i="2"/>
  <c r="AU560" i="2"/>
  <c r="BK560" i="2"/>
  <c r="V561" i="2"/>
  <c r="AL561" i="2"/>
  <c r="BB561" i="2"/>
  <c r="M562" i="2"/>
  <c r="AC562" i="2"/>
  <c r="AS562" i="2"/>
  <c r="BI562" i="2"/>
  <c r="P563" i="2"/>
  <c r="AF563" i="2"/>
  <c r="AV563" i="2"/>
  <c r="BL563" i="2"/>
  <c r="S564" i="2"/>
  <c r="AI564" i="2"/>
  <c r="AY564" i="2"/>
  <c r="J565" i="2"/>
  <c r="Z565" i="2"/>
  <c r="AP565" i="2"/>
  <c r="BF565" i="2"/>
  <c r="Q566" i="2"/>
  <c r="AG566" i="2"/>
  <c r="AW566" i="2"/>
  <c r="BM566" i="2"/>
  <c r="T567" i="2"/>
  <c r="AJ567" i="2"/>
  <c r="AZ567" i="2"/>
  <c r="G568" i="2"/>
  <c r="W568" i="2"/>
  <c r="AM568" i="2"/>
  <c r="BC568" i="2"/>
  <c r="N569" i="2"/>
  <c r="AD569" i="2"/>
  <c r="AT569" i="2"/>
  <c r="BJ569" i="2"/>
  <c r="U570" i="2"/>
  <c r="AK570" i="2"/>
  <c r="BA570" i="2"/>
  <c r="H571" i="2"/>
  <c r="X571" i="2"/>
  <c r="AN571" i="2"/>
  <c r="BD571" i="2"/>
  <c r="K572" i="2"/>
  <c r="AA572" i="2"/>
  <c r="AQ572" i="2"/>
  <c r="BG572" i="2"/>
  <c r="R573" i="2"/>
  <c r="AH573" i="2"/>
  <c r="AX573" i="2"/>
  <c r="I574" i="2"/>
  <c r="Y574" i="2"/>
  <c r="AO574" i="2"/>
  <c r="BE574" i="2"/>
  <c r="L575" i="2"/>
  <c r="AB575" i="2"/>
  <c r="AR575" i="2"/>
  <c r="BH575" i="2"/>
  <c r="O576" i="2"/>
  <c r="AE576" i="2"/>
  <c r="AU576" i="2"/>
  <c r="BK576" i="2"/>
  <c r="V577" i="2"/>
  <c r="AL577" i="2"/>
  <c r="BB577" i="2"/>
  <c r="M578" i="2"/>
  <c r="AC578" i="2"/>
  <c r="AS578" i="2"/>
  <c r="BI578" i="2"/>
  <c r="P579" i="2"/>
  <c r="AF579" i="2"/>
  <c r="AV579" i="2"/>
  <c r="BL579" i="2"/>
  <c r="T580" i="3"/>
  <c r="T580" i="2" s="1"/>
  <c r="T581" i="2"/>
  <c r="AJ580" i="3"/>
  <c r="AJ580" i="2" s="1"/>
  <c r="AJ581" i="2"/>
  <c r="AZ580" i="3"/>
  <c r="AZ580" i="2" s="1"/>
  <c r="AZ581" i="2"/>
  <c r="G582" i="2"/>
  <c r="W582" i="2"/>
  <c r="AM582" i="2"/>
  <c r="BC582" i="2"/>
  <c r="N583" i="2"/>
  <c r="AD583" i="2"/>
  <c r="AT583" i="2"/>
  <c r="BJ583" i="2"/>
  <c r="U584" i="2"/>
  <c r="AK584" i="2"/>
  <c r="BA584" i="2"/>
  <c r="H585" i="2"/>
  <c r="X585" i="2"/>
  <c r="AN585" i="2"/>
  <c r="BD585" i="2"/>
  <c r="K586" i="2"/>
  <c r="AA586" i="2"/>
  <c r="AQ586" i="2"/>
  <c r="BG586" i="2"/>
  <c r="R587" i="2"/>
  <c r="AH587" i="2"/>
  <c r="AX587" i="2"/>
  <c r="I588" i="2"/>
  <c r="Y588" i="2"/>
  <c r="AO588" i="2"/>
  <c r="BE588" i="2"/>
  <c r="L589" i="2"/>
  <c r="AB589" i="2"/>
  <c r="AR589" i="2"/>
  <c r="BH589" i="2"/>
  <c r="O590" i="2"/>
  <c r="AE590" i="2"/>
  <c r="AU590" i="2"/>
  <c r="BK590" i="2"/>
  <c r="V591" i="2"/>
  <c r="AL591" i="2"/>
  <c r="BB591" i="2"/>
  <c r="M592" i="2"/>
  <c r="AC592" i="2"/>
  <c r="AS592" i="2"/>
  <c r="BI592" i="2"/>
  <c r="P593" i="2"/>
  <c r="AF593" i="2"/>
  <c r="AV593" i="2"/>
  <c r="BL593" i="2"/>
  <c r="S594" i="2"/>
  <c r="AI594" i="2"/>
  <c r="AY594" i="2"/>
  <c r="J595" i="2"/>
  <c r="Z595" i="2"/>
  <c r="AP595" i="2"/>
  <c r="BF595" i="2"/>
  <c r="Q596" i="2"/>
  <c r="AG596" i="2"/>
  <c r="AW596" i="2"/>
  <c r="BM596" i="2"/>
  <c r="T597" i="2"/>
  <c r="AJ597" i="2"/>
  <c r="AZ597" i="2"/>
  <c r="G598" i="2"/>
  <c r="W598" i="2"/>
  <c r="AM598" i="2"/>
  <c r="BC598" i="2"/>
  <c r="P599" i="2"/>
  <c r="BG553" i="2"/>
  <c r="R554" i="2"/>
  <c r="AH554" i="2"/>
  <c r="AX554" i="2"/>
  <c r="I555" i="2"/>
  <c r="Y555" i="2"/>
  <c r="AO555" i="2"/>
  <c r="BE555" i="2"/>
  <c r="L556" i="2"/>
  <c r="AB556" i="2"/>
  <c r="AR556" i="2"/>
  <c r="BH556" i="2"/>
  <c r="O557" i="2"/>
  <c r="AE557" i="2"/>
  <c r="AU557" i="2"/>
  <c r="BK557" i="2"/>
  <c r="V558" i="2"/>
  <c r="AL558" i="2"/>
  <c r="BB558" i="2"/>
  <c r="M559" i="2"/>
  <c r="AC559" i="2"/>
  <c r="AS559" i="2"/>
  <c r="BI559" i="2"/>
  <c r="P560" i="2"/>
  <c r="AF560" i="2"/>
  <c r="AV560" i="2"/>
  <c r="BL560" i="2"/>
  <c r="S561" i="2"/>
  <c r="AI561" i="2"/>
  <c r="AY561" i="2"/>
  <c r="J562" i="2"/>
  <c r="Z562" i="2"/>
  <c r="AP562" i="2"/>
  <c r="BF562" i="2"/>
  <c r="Q563" i="2"/>
  <c r="AG563" i="2"/>
  <c r="AW563" i="2"/>
  <c r="BM563" i="2"/>
  <c r="T564" i="2"/>
  <c r="AJ564" i="2"/>
  <c r="AZ564" i="2"/>
  <c r="G565" i="2"/>
  <c r="W565" i="2"/>
  <c r="AM565" i="2"/>
  <c r="BC565" i="2"/>
  <c r="N566" i="2"/>
  <c r="AD566" i="2"/>
  <c r="AT566" i="2"/>
  <c r="BJ566" i="2"/>
  <c r="U567" i="2"/>
  <c r="AK567" i="2"/>
  <c r="BA567" i="2"/>
  <c r="H568" i="2"/>
  <c r="X568" i="2"/>
  <c r="AN568" i="2"/>
  <c r="BD568" i="2"/>
  <c r="K569" i="2"/>
  <c r="AA569" i="2"/>
  <c r="AQ569" i="2"/>
  <c r="BG569" i="2"/>
  <c r="R570" i="2"/>
  <c r="AH570" i="2"/>
  <c r="AX570" i="2"/>
  <c r="I571" i="2"/>
  <c r="Y571" i="2"/>
  <c r="AO571" i="2"/>
  <c r="BE571" i="2"/>
  <c r="L572" i="2"/>
  <c r="AB572" i="2"/>
  <c r="AR572" i="2"/>
  <c r="BH572" i="2"/>
  <c r="O573" i="2"/>
  <c r="AE573" i="2"/>
  <c r="AU573" i="2"/>
  <c r="BK573" i="2"/>
  <c r="V574" i="2"/>
  <c r="AL574" i="2"/>
  <c r="BB574" i="2"/>
  <c r="M575" i="2"/>
  <c r="AC575" i="2"/>
  <c r="AS575" i="2"/>
  <c r="BI575" i="2"/>
  <c r="P576" i="2"/>
  <c r="AF576" i="2"/>
  <c r="AV576" i="2"/>
  <c r="BL576" i="2"/>
  <c r="S577" i="2"/>
  <c r="AI577" i="2"/>
  <c r="AY577" i="2"/>
  <c r="J578" i="2"/>
  <c r="Z578" i="2"/>
  <c r="AP578" i="2"/>
  <c r="BF578" i="2"/>
  <c r="Q579" i="2"/>
  <c r="AG579" i="2"/>
  <c r="AW579" i="2"/>
  <c r="BM579" i="2"/>
  <c r="U580" i="3"/>
  <c r="U580" i="2" s="1"/>
  <c r="U581" i="2"/>
  <c r="AK580" i="3"/>
  <c r="AK580" i="2" s="1"/>
  <c r="AK581" i="2"/>
  <c r="BA580" i="3"/>
  <c r="BA580" i="2" s="1"/>
  <c r="BA581" i="2"/>
  <c r="H582" i="2"/>
  <c r="X582" i="2"/>
  <c r="AN582" i="2"/>
  <c r="BD582" i="2"/>
  <c r="K583" i="2"/>
  <c r="AA583" i="2"/>
  <c r="AQ583" i="2"/>
  <c r="BG583" i="2"/>
  <c r="R584" i="2"/>
  <c r="AH584" i="2"/>
  <c r="AX584" i="2"/>
  <c r="I585" i="2"/>
  <c r="Y585" i="2"/>
  <c r="AO585" i="2"/>
  <c r="BE585" i="2"/>
  <c r="L586" i="2"/>
  <c r="AB586" i="2"/>
  <c r="AR586" i="2"/>
  <c r="BH586" i="2"/>
  <c r="O587" i="2"/>
  <c r="AE587" i="2"/>
  <c r="AU587" i="2"/>
  <c r="BK587" i="2"/>
  <c r="V588" i="2"/>
  <c r="AL588" i="2"/>
  <c r="BB588" i="2"/>
  <c r="M589" i="2"/>
  <c r="AC589" i="2"/>
  <c r="AS589" i="2"/>
  <c r="BI589" i="2"/>
  <c r="P590" i="2"/>
  <c r="AF590" i="2"/>
  <c r="AV590" i="2"/>
  <c r="BL590" i="2"/>
  <c r="S591" i="2"/>
  <c r="AI591" i="2"/>
  <c r="AY591" i="2"/>
  <c r="J592" i="2"/>
  <c r="Z592" i="2"/>
  <c r="AP592" i="2"/>
  <c r="BF592" i="2"/>
  <c r="Q593" i="2"/>
  <c r="AG593" i="2"/>
  <c r="AW593" i="2"/>
  <c r="BM593" i="2"/>
  <c r="T594" i="2"/>
  <c r="AJ594" i="2"/>
  <c r="AZ594" i="2"/>
  <c r="G595" i="2"/>
  <c r="W595" i="2"/>
  <c r="AM595" i="2"/>
  <c r="BC595" i="2"/>
  <c r="N596" i="2"/>
  <c r="AD596" i="2"/>
  <c r="AT596" i="2"/>
  <c r="BJ596" i="2"/>
  <c r="U597" i="2"/>
  <c r="AK597" i="2"/>
  <c r="BA597" i="2"/>
  <c r="H598" i="2"/>
  <c r="X598" i="2"/>
  <c r="AN598" i="2"/>
  <c r="BD598" i="2"/>
  <c r="Q599" i="2"/>
  <c r="G599" i="2"/>
  <c r="W599" i="2"/>
  <c r="AM599" i="2"/>
  <c r="BC599" i="2"/>
  <c r="N600" i="2"/>
  <c r="AD600" i="2"/>
  <c r="AT600" i="2"/>
  <c r="BJ600" i="2"/>
  <c r="U601" i="2"/>
  <c r="AK601" i="2"/>
  <c r="BA601" i="2"/>
  <c r="H602" i="2"/>
  <c r="X602" i="2"/>
  <c r="AN602" i="2"/>
  <c r="BD602" i="2"/>
  <c r="K603" i="2"/>
  <c r="AA603" i="2"/>
  <c r="AQ603" i="2"/>
  <c r="BG603" i="2"/>
  <c r="R604" i="2"/>
  <c r="AH604" i="2"/>
  <c r="AX604" i="2"/>
  <c r="I605" i="2"/>
  <c r="Y605" i="2"/>
  <c r="AO605" i="2"/>
  <c r="BE605" i="2"/>
  <c r="L606" i="2"/>
  <c r="AB606" i="2"/>
  <c r="AR606" i="2"/>
  <c r="BH606" i="2"/>
  <c r="O607" i="2"/>
  <c r="AE607" i="2"/>
  <c r="AU607" i="2"/>
  <c r="BK607" i="2"/>
  <c r="V608" i="2"/>
  <c r="AL608" i="2"/>
  <c r="BB608" i="2"/>
  <c r="M609" i="2"/>
  <c r="AC609" i="2"/>
  <c r="AS609" i="2"/>
  <c r="BI609" i="2"/>
  <c r="P610" i="2"/>
  <c r="AF610" i="2"/>
  <c r="AV610" i="2"/>
  <c r="BL610" i="2"/>
  <c r="S611" i="2"/>
  <c r="AI611" i="2"/>
  <c r="AY611" i="2"/>
  <c r="J612" i="2"/>
  <c r="Z612" i="2"/>
  <c r="AP612" i="2"/>
  <c r="BF612" i="2"/>
  <c r="Q613" i="2"/>
  <c r="AG613" i="2"/>
  <c r="AW613" i="2"/>
  <c r="BM613" i="2"/>
  <c r="T614" i="2"/>
  <c r="AJ614" i="2"/>
  <c r="AZ614" i="2"/>
  <c r="G615" i="2"/>
  <c r="W615" i="2"/>
  <c r="AM615" i="2"/>
  <c r="BC615" i="2"/>
  <c r="N616" i="2"/>
  <c r="AD616" i="2"/>
  <c r="AT616" i="2"/>
  <c r="BJ616" i="2"/>
  <c r="U617" i="2"/>
  <c r="AK617" i="2"/>
  <c r="BA617" i="2"/>
  <c r="H618" i="2"/>
  <c r="X618" i="2"/>
  <c r="AN618" i="2"/>
  <c r="BD618" i="2"/>
  <c r="K619" i="2"/>
  <c r="AA619" i="2"/>
  <c r="AQ619" i="2"/>
  <c r="BG619" i="2"/>
  <c r="R620" i="2"/>
  <c r="AH620" i="2"/>
  <c r="AX620" i="2"/>
  <c r="K621" i="3"/>
  <c r="K621" i="2" s="1"/>
  <c r="K622" i="2"/>
  <c r="AG621" i="3"/>
  <c r="AG621" i="2" s="1"/>
  <c r="AG622" i="2"/>
  <c r="BI621" i="3"/>
  <c r="BI621" i="2" s="1"/>
  <c r="BI622" i="2"/>
  <c r="O600" i="2"/>
  <c r="AE600" i="2"/>
  <c r="AU600" i="2"/>
  <c r="BK600" i="2"/>
  <c r="V601" i="2"/>
  <c r="AL601" i="2"/>
  <c r="BB601" i="2"/>
  <c r="M602" i="2"/>
  <c r="AC602" i="2"/>
  <c r="AS602" i="2"/>
  <c r="BI602" i="2"/>
  <c r="P603" i="2"/>
  <c r="AF603" i="2"/>
  <c r="AV603" i="2"/>
  <c r="BL603" i="2"/>
  <c r="S604" i="2"/>
  <c r="AI604" i="2"/>
  <c r="AY604" i="2"/>
  <c r="J605" i="2"/>
  <c r="Z605" i="2"/>
  <c r="AP605" i="2"/>
  <c r="BF605" i="2"/>
  <c r="Q606" i="2"/>
  <c r="AG606" i="2"/>
  <c r="AW606" i="2"/>
  <c r="BM606" i="2"/>
  <c r="T607" i="2"/>
  <c r="AJ607" i="2"/>
  <c r="AZ607" i="2"/>
  <c r="G608" i="2"/>
  <c r="W608" i="2"/>
  <c r="AM608" i="2"/>
  <c r="BC608" i="2"/>
  <c r="N609" i="2"/>
  <c r="AD609" i="2"/>
  <c r="AT609" i="2"/>
  <c r="BJ609" i="2"/>
  <c r="U610" i="2"/>
  <c r="AK610" i="2"/>
  <c r="BA610" i="2"/>
  <c r="H611" i="2"/>
  <c r="X611" i="2"/>
  <c r="AN611" i="2"/>
  <c r="BD611" i="2"/>
  <c r="K612" i="2"/>
  <c r="AA612" i="2"/>
  <c r="AQ612" i="2"/>
  <c r="BG612" i="2"/>
  <c r="R613" i="2"/>
  <c r="AH613" i="2"/>
  <c r="AX613" i="2"/>
  <c r="I614" i="2"/>
  <c r="Y614" i="2"/>
  <c r="AO614" i="2"/>
  <c r="BE614" i="2"/>
  <c r="L615" i="2"/>
  <c r="AB615" i="2"/>
  <c r="AR615" i="2"/>
  <c r="BH615" i="2"/>
  <c r="O616" i="2"/>
  <c r="AE616" i="2"/>
  <c r="AU616" i="2"/>
  <c r="BK616" i="2"/>
  <c r="V617" i="2"/>
  <c r="AL617" i="2"/>
  <c r="BB617" i="2"/>
  <c r="M618" i="2"/>
  <c r="AC618" i="2"/>
  <c r="AS618" i="2"/>
  <c r="BI618" i="2"/>
  <c r="P619" i="2"/>
  <c r="AF619" i="2"/>
  <c r="AV619" i="2"/>
  <c r="BL619" i="2"/>
  <c r="S620" i="2"/>
  <c r="AI620" i="2"/>
  <c r="AY620" i="2"/>
  <c r="G621" i="3"/>
  <c r="G621" i="2" s="1"/>
  <c r="G622" i="2"/>
  <c r="AC621" i="3"/>
  <c r="AC621" i="2" s="1"/>
  <c r="AC622" i="2"/>
  <c r="BB621" i="3"/>
  <c r="BB621" i="2" s="1"/>
  <c r="BB622" i="2"/>
  <c r="AO599" i="2"/>
  <c r="BE599" i="2"/>
  <c r="L600" i="2"/>
  <c r="AB600" i="2"/>
  <c r="AR600" i="2"/>
  <c r="BH600" i="2"/>
  <c r="O601" i="2"/>
  <c r="AE601" i="2"/>
  <c r="AU601" i="2"/>
  <c r="BK601" i="2"/>
  <c r="V602" i="2"/>
  <c r="AL602" i="2"/>
  <c r="BB602" i="2"/>
  <c r="M603" i="2"/>
  <c r="AC603" i="2"/>
  <c r="AS603" i="2"/>
  <c r="BI603" i="2"/>
  <c r="P604" i="2"/>
  <c r="AF604" i="2"/>
  <c r="AV604" i="2"/>
  <c r="BL604" i="2"/>
  <c r="S605" i="2"/>
  <c r="AI605" i="2"/>
  <c r="AY605" i="2"/>
  <c r="J606" i="2"/>
  <c r="Z606" i="2"/>
  <c r="AP606" i="2"/>
  <c r="BF606" i="2"/>
  <c r="Q607" i="2"/>
  <c r="AG607" i="2"/>
  <c r="AW607" i="2"/>
  <c r="BM607" i="2"/>
  <c r="T608" i="2"/>
  <c r="AJ608" i="2"/>
  <c r="AZ608" i="2"/>
  <c r="G609" i="2"/>
  <c r="W609" i="2"/>
  <c r="AM609" i="2"/>
  <c r="BC609" i="2"/>
  <c r="N610" i="2"/>
  <c r="AD610" i="2"/>
  <c r="AT610" i="2"/>
  <c r="BJ610" i="2"/>
  <c r="U611" i="2"/>
  <c r="AK611" i="2"/>
  <c r="BA611" i="2"/>
  <c r="H612" i="2"/>
  <c r="X612" i="2"/>
  <c r="AN612" i="2"/>
  <c r="BD612" i="2"/>
  <c r="K613" i="2"/>
  <c r="AA613" i="2"/>
  <c r="AQ613" i="2"/>
  <c r="BG613" i="2"/>
  <c r="R614" i="2"/>
  <c r="AH614" i="2"/>
  <c r="AX614" i="2"/>
  <c r="I615" i="2"/>
  <c r="Y615" i="2"/>
  <c r="AO615" i="2"/>
  <c r="BE615" i="2"/>
  <c r="L616" i="2"/>
  <c r="AB616" i="2"/>
  <c r="AR616" i="2"/>
  <c r="BH616" i="2"/>
  <c r="O617" i="2"/>
  <c r="AE617" i="2"/>
  <c r="AU617" i="2"/>
  <c r="BK617" i="2"/>
  <c r="V618" i="2"/>
  <c r="AL618" i="2"/>
  <c r="BB618" i="2"/>
  <c r="M619" i="2"/>
  <c r="AC619" i="2"/>
  <c r="AS619" i="2"/>
  <c r="BI619" i="2"/>
  <c r="P620" i="2"/>
  <c r="AF620" i="2"/>
  <c r="AV620" i="2"/>
  <c r="BL620" i="2"/>
  <c r="Y621" i="3"/>
  <c r="Y621" i="2" s="1"/>
  <c r="Y622" i="2"/>
  <c r="AW621" i="3"/>
  <c r="AW621" i="2" s="1"/>
  <c r="AW622" i="2"/>
  <c r="N599" i="2"/>
  <c r="AD599" i="2"/>
  <c r="AT599" i="2"/>
  <c r="BJ599" i="2"/>
  <c r="U600" i="2"/>
  <c r="AK600" i="2"/>
  <c r="BA600" i="2"/>
  <c r="H601" i="2"/>
  <c r="X601" i="2"/>
  <c r="AN601" i="2"/>
  <c r="BD601" i="2"/>
  <c r="K602" i="2"/>
  <c r="AA602" i="2"/>
  <c r="AQ602" i="2"/>
  <c r="BG602" i="2"/>
  <c r="R603" i="2"/>
  <c r="AH603" i="2"/>
  <c r="AX603" i="2"/>
  <c r="I604" i="2"/>
  <c r="Y604" i="2"/>
  <c r="AO604" i="2"/>
  <c r="BE604" i="2"/>
  <c r="L605" i="2"/>
  <c r="AB605" i="2"/>
  <c r="AR605" i="2"/>
  <c r="BH605" i="2"/>
  <c r="O606" i="2"/>
  <c r="AE606" i="2"/>
  <c r="AU606" i="2"/>
  <c r="BK606" i="2"/>
  <c r="V607" i="2"/>
  <c r="AL607" i="2"/>
  <c r="BB607" i="2"/>
  <c r="M608" i="2"/>
  <c r="AC608" i="2"/>
  <c r="AS608" i="2"/>
  <c r="BI608" i="2"/>
  <c r="P609" i="2"/>
  <c r="AF609" i="2"/>
  <c r="AV609" i="2"/>
  <c r="BL609" i="2"/>
  <c r="S610" i="2"/>
  <c r="AI610" i="2"/>
  <c r="AY610" i="2"/>
  <c r="J611" i="2"/>
  <c r="Z611" i="2"/>
  <c r="AP611" i="2"/>
  <c r="BF611" i="2"/>
  <c r="Q612" i="2"/>
  <c r="AG612" i="2"/>
  <c r="AW612" i="2"/>
  <c r="BM612" i="2"/>
  <c r="T613" i="2"/>
  <c r="AJ613" i="2"/>
  <c r="AZ613" i="2"/>
  <c r="G614" i="2"/>
  <c r="W614" i="2"/>
  <c r="AM614" i="2"/>
  <c r="BC614" i="2"/>
  <c r="N615" i="2"/>
  <c r="AD615" i="2"/>
  <c r="AT615" i="2"/>
  <c r="BJ615" i="2"/>
  <c r="U616" i="2"/>
  <c r="AK616" i="2"/>
  <c r="BA616" i="2"/>
  <c r="H617" i="2"/>
  <c r="X617" i="2"/>
  <c r="AN617" i="2"/>
  <c r="BD617" i="2"/>
  <c r="K618" i="2"/>
  <c r="AA618" i="2"/>
  <c r="AQ618" i="2"/>
  <c r="BG618" i="2"/>
  <c r="R619" i="2"/>
  <c r="AH619" i="2"/>
  <c r="AX619" i="2"/>
  <c r="I620" i="2"/>
  <c r="Y620" i="2"/>
  <c r="AO620" i="2"/>
  <c r="BE620" i="2"/>
  <c r="O621" i="3"/>
  <c r="O621" i="2" s="1"/>
  <c r="O622" i="2"/>
  <c r="AK621" i="3"/>
  <c r="AK621" i="2" s="1"/>
  <c r="AK622" i="2"/>
  <c r="H623" i="2"/>
  <c r="X623" i="2"/>
  <c r="AN623" i="2"/>
  <c r="BD623" i="2"/>
  <c r="K624" i="2"/>
  <c r="AA624" i="2"/>
  <c r="AQ624" i="2"/>
  <c r="BG624" i="2"/>
  <c r="R625" i="2"/>
  <c r="AH625" i="2"/>
  <c r="AX625" i="2"/>
  <c r="I626" i="2"/>
  <c r="Y626" i="2"/>
  <c r="AO626" i="2"/>
  <c r="BE626" i="2"/>
  <c r="L627" i="2"/>
  <c r="AB627" i="2"/>
  <c r="AR627" i="2"/>
  <c r="BH627" i="2"/>
  <c r="O628" i="2"/>
  <c r="AE628" i="2"/>
  <c r="AU628" i="2"/>
  <c r="BK628" i="2"/>
  <c r="V629" i="2"/>
  <c r="AL629" i="2"/>
  <c r="BB629" i="2"/>
  <c r="M630" i="2"/>
  <c r="AC630" i="2"/>
  <c r="AS630" i="2"/>
  <c r="BI630" i="2"/>
  <c r="P631" i="2"/>
  <c r="AF631" i="2"/>
  <c r="AV631" i="2"/>
  <c r="BL631" i="2"/>
  <c r="S632" i="2"/>
  <c r="AI632" i="2"/>
  <c r="AY632" i="2"/>
  <c r="J633" i="2"/>
  <c r="Z633" i="2"/>
  <c r="AP633" i="2"/>
  <c r="BF633" i="2"/>
  <c r="Q634" i="2"/>
  <c r="AG634" i="2"/>
  <c r="AW634" i="2"/>
  <c r="BM634" i="2"/>
  <c r="T635" i="2"/>
  <c r="AJ635" i="2"/>
  <c r="AZ635" i="2"/>
  <c r="H636" i="2"/>
  <c r="AC636" i="2"/>
  <c r="AX636" i="2"/>
  <c r="P637" i="2"/>
  <c r="AK637" i="2"/>
  <c r="BG637" i="2"/>
  <c r="R638" i="2"/>
  <c r="AM638" i="2"/>
  <c r="BH638" i="2"/>
  <c r="Z639" i="2"/>
  <c r="AU639" i="2"/>
  <c r="H640" i="2"/>
  <c r="AC640" i="2"/>
  <c r="AX640" i="2"/>
  <c r="P641" i="2"/>
  <c r="AK641" i="2"/>
  <c r="BG641" i="2"/>
  <c r="R642" i="2"/>
  <c r="AM642" i="2"/>
  <c r="BH642" i="2"/>
  <c r="Z643" i="2"/>
  <c r="AU643" i="2"/>
  <c r="H644" i="2"/>
  <c r="AC644" i="2"/>
  <c r="AX644" i="2"/>
  <c r="U645" i="2"/>
  <c r="BA645" i="2"/>
  <c r="BB646" i="2"/>
  <c r="BE647" i="2"/>
  <c r="BD648" i="2"/>
  <c r="BE649" i="2"/>
  <c r="I651" i="2"/>
  <c r="AW652" i="2"/>
  <c r="AQ654" i="2"/>
  <c r="I623" i="2"/>
  <c r="Y623" i="2"/>
  <c r="AO623" i="2"/>
  <c r="BE623" i="2"/>
  <c r="L624" i="2"/>
  <c r="AB624" i="2"/>
  <c r="AR624" i="2"/>
  <c r="BH624" i="2"/>
  <c r="O625" i="2"/>
  <c r="AE625" i="2"/>
  <c r="AU625" i="2"/>
  <c r="BK625" i="2"/>
  <c r="V626" i="2"/>
  <c r="AL626" i="2"/>
  <c r="BB626" i="2"/>
  <c r="M627" i="2"/>
  <c r="AC627" i="2"/>
  <c r="AS627" i="2"/>
  <c r="BI627" i="2"/>
  <c r="P628" i="2"/>
  <c r="AF628" i="2"/>
  <c r="AV628" i="2"/>
  <c r="BL628" i="2"/>
  <c r="S629" i="2"/>
  <c r="AI629" i="2"/>
  <c r="AY629" i="2"/>
  <c r="J630" i="2"/>
  <c r="Z630" i="2"/>
  <c r="AP630" i="2"/>
  <c r="BF630" i="2"/>
  <c r="Q631" i="2"/>
  <c r="AG631" i="2"/>
  <c r="AW631" i="2"/>
  <c r="BM631" i="2"/>
  <c r="T632" i="2"/>
  <c r="AJ632" i="2"/>
  <c r="AZ632" i="2"/>
  <c r="G633" i="2"/>
  <c r="W633" i="2"/>
  <c r="AM633" i="2"/>
  <c r="BC633" i="2"/>
  <c r="N634" i="2"/>
  <c r="AD634" i="2"/>
  <c r="AT634" i="2"/>
  <c r="BJ634" i="2"/>
  <c r="U635" i="2"/>
  <c r="AK635" i="2"/>
  <c r="BA635" i="2"/>
  <c r="I636" i="2"/>
  <c r="AD636" i="2"/>
  <c r="AZ636" i="2"/>
  <c r="L637" i="2"/>
  <c r="AG637" i="2"/>
  <c r="BC637" i="2"/>
  <c r="N638" i="2"/>
  <c r="AI638" i="2"/>
  <c r="BD638" i="2"/>
  <c r="V639" i="2"/>
  <c r="AQ639" i="2"/>
  <c r="BM639" i="2"/>
  <c r="Y640" i="2"/>
  <c r="AT640" i="2"/>
  <c r="G641" i="2"/>
  <c r="AB641" i="2"/>
  <c r="AW641" i="2"/>
  <c r="H642" i="2"/>
  <c r="AD642" i="2"/>
  <c r="AY642" i="2"/>
  <c r="Q643" i="2"/>
  <c r="AL643" i="2"/>
  <c r="BG643" i="2"/>
  <c r="T644" i="2"/>
  <c r="AO644" i="2"/>
  <c r="BJ644" i="2"/>
  <c r="AE645" i="2"/>
  <c r="BK645" i="2"/>
  <c r="BF646" i="2"/>
  <c r="BI647" i="2"/>
  <c r="BH648" i="2"/>
  <c r="BK649" i="2"/>
  <c r="N651" i="2"/>
  <c r="AG652" i="2"/>
  <c r="AZ653" i="2"/>
  <c r="AT655" i="2"/>
  <c r="BC621" i="3"/>
  <c r="BC621" i="2" s="1"/>
  <c r="BC622" i="2"/>
  <c r="N623" i="2"/>
  <c r="AD623" i="2"/>
  <c r="AT623" i="2"/>
  <c r="BJ623" i="2"/>
  <c r="U624" i="2"/>
  <c r="AK624" i="2"/>
  <c r="BA624" i="2"/>
  <c r="H625" i="2"/>
  <c r="X625" i="2"/>
  <c r="AN625" i="2"/>
  <c r="BD625" i="2"/>
  <c r="K626" i="2"/>
  <c r="AA626" i="2"/>
  <c r="AQ626" i="2"/>
  <c r="BG626" i="2"/>
  <c r="R627" i="2"/>
  <c r="AH627" i="2"/>
  <c r="AX627" i="2"/>
  <c r="I628" i="2"/>
  <c r="Y628" i="2"/>
  <c r="AO628" i="2"/>
  <c r="BE628" i="2"/>
  <c r="L629" i="2"/>
  <c r="AB629" i="2"/>
  <c r="AR629" i="2"/>
  <c r="BH629" i="2"/>
  <c r="O630" i="2"/>
  <c r="AE630" i="2"/>
  <c r="AU630" i="2"/>
  <c r="BK630" i="2"/>
  <c r="V631" i="2"/>
  <c r="AL631" i="2"/>
  <c r="BB631" i="2"/>
  <c r="M632" i="2"/>
  <c r="AC632" i="2"/>
  <c r="AS632" i="2"/>
  <c r="BI632" i="2"/>
  <c r="P633" i="2"/>
  <c r="AF633" i="2"/>
  <c r="AV633" i="2"/>
  <c r="BL633" i="2"/>
  <c r="S634" i="2"/>
  <c r="AI634" i="2"/>
  <c r="AY634" i="2"/>
  <c r="J635" i="2"/>
  <c r="Z635" i="2"/>
  <c r="AP635" i="2"/>
  <c r="BF635" i="2"/>
  <c r="U636" i="2"/>
  <c r="AP636" i="2"/>
  <c r="BL636" i="2"/>
  <c r="X637" i="2"/>
  <c r="AS637" i="2"/>
  <c r="J638" i="2"/>
  <c r="AE638" i="2"/>
  <c r="AZ638" i="2"/>
  <c r="M639" i="2"/>
  <c r="AH639" i="2"/>
  <c r="BC639" i="2"/>
  <c r="U640" i="2"/>
  <c r="AP640" i="2"/>
  <c r="BL640" i="2"/>
  <c r="X641" i="2"/>
  <c r="AS641" i="2"/>
  <c r="J642" i="2"/>
  <c r="AE642" i="2"/>
  <c r="AZ642" i="2"/>
  <c r="M643" i="2"/>
  <c r="AH643" i="2"/>
  <c r="BC643" i="2"/>
  <c r="U644" i="2"/>
  <c r="AP644" i="2"/>
  <c r="BL644" i="2"/>
  <c r="AG645" i="2"/>
  <c r="BM645" i="2"/>
  <c r="BJ646" i="2"/>
  <c r="BM647" i="2"/>
  <c r="BL648" i="2"/>
  <c r="V650" i="2"/>
  <c r="AO651" i="2"/>
  <c r="BH652" i="2"/>
  <c r="K654" i="2"/>
  <c r="AD655" i="2"/>
  <c r="P621" i="3"/>
  <c r="P621" i="2" s="1"/>
  <c r="P622" i="2"/>
  <c r="AF621" i="3"/>
  <c r="AF621" i="2" s="1"/>
  <c r="AF622" i="2"/>
  <c r="AV621" i="3"/>
  <c r="AV621" i="2" s="1"/>
  <c r="AV622" i="2"/>
  <c r="BL621" i="3"/>
  <c r="BL621" i="2" s="1"/>
  <c r="BL622" i="2"/>
  <c r="S623" i="2"/>
  <c r="AI623" i="2"/>
  <c r="AY623" i="2"/>
  <c r="J624" i="2"/>
  <c r="Z624" i="2"/>
  <c r="AP624" i="2"/>
  <c r="BF624" i="2"/>
  <c r="Q625" i="2"/>
  <c r="AG625" i="2"/>
  <c r="AW625" i="2"/>
  <c r="BM625" i="2"/>
  <c r="T626" i="2"/>
  <c r="AJ626" i="2"/>
  <c r="AZ626" i="2"/>
  <c r="G627" i="2"/>
  <c r="W627" i="2"/>
  <c r="AM627" i="2"/>
  <c r="BC627" i="2"/>
  <c r="N628" i="2"/>
  <c r="AD628" i="2"/>
  <c r="AT628" i="2"/>
  <c r="BJ628" i="2"/>
  <c r="U629" i="2"/>
  <c r="AK629" i="2"/>
  <c r="BA629" i="2"/>
  <c r="H630" i="2"/>
  <c r="X630" i="2"/>
  <c r="AN630" i="2"/>
  <c r="BD630" i="2"/>
  <c r="K631" i="2"/>
  <c r="AA631" i="2"/>
  <c r="AQ631" i="2"/>
  <c r="BG631" i="2"/>
  <c r="R632" i="2"/>
  <c r="AH632" i="2"/>
  <c r="AX632" i="2"/>
  <c r="I633" i="2"/>
  <c r="Y633" i="2"/>
  <c r="AO633" i="2"/>
  <c r="BE633" i="2"/>
  <c r="L634" i="2"/>
  <c r="AB634" i="2"/>
  <c r="AR634" i="2"/>
  <c r="BH634" i="2"/>
  <c r="O635" i="2"/>
  <c r="AE635" i="2"/>
  <c r="AU635" i="2"/>
  <c r="BK635" i="2"/>
  <c r="AB636" i="2"/>
  <c r="AW636" i="2"/>
  <c r="I637" i="2"/>
  <c r="AE637" i="2"/>
  <c r="AZ637" i="2"/>
  <c r="P638" i="2"/>
  <c r="AL638" i="2"/>
  <c r="BG638" i="2"/>
  <c r="S639" i="2"/>
  <c r="AO639" i="2"/>
  <c r="BJ639" i="2"/>
  <c r="AB640" i="2"/>
  <c r="AW640" i="2"/>
  <c r="I641" i="2"/>
  <c r="AE641" i="2"/>
  <c r="AZ641" i="2"/>
  <c r="P642" i="2"/>
  <c r="AL642" i="2"/>
  <c r="BG642" i="2"/>
  <c r="S643" i="2"/>
  <c r="AO643" i="2"/>
  <c r="BJ643" i="2"/>
  <c r="AB644" i="2"/>
  <c r="AW644" i="2"/>
  <c r="K645" i="2"/>
  <c r="AQ645" i="2"/>
  <c r="AH646" i="2"/>
  <c r="BA647" i="2"/>
  <c r="S649" i="2"/>
  <c r="AV650" i="2"/>
  <c r="AR652" i="2"/>
  <c r="BK653" i="2"/>
  <c r="N655" i="2"/>
  <c r="K636" i="2"/>
  <c r="AA636" i="2"/>
  <c r="AQ636" i="2"/>
  <c r="BG636" i="2"/>
  <c r="R637" i="2"/>
  <c r="AH637" i="2"/>
  <c r="AX637" i="2"/>
  <c r="I638" i="2"/>
  <c r="Y638" i="2"/>
  <c r="AO638" i="2"/>
  <c r="BE638" i="2"/>
  <c r="L639" i="2"/>
  <c r="AB639" i="2"/>
  <c r="AR639" i="2"/>
  <c r="BH639" i="2"/>
  <c r="O640" i="2"/>
  <c r="AE640" i="2"/>
  <c r="AU640" i="2"/>
  <c r="BK640" i="2"/>
  <c r="V641" i="2"/>
  <c r="AL641" i="2"/>
  <c r="BB641" i="2"/>
  <c r="M642" i="2"/>
  <c r="AC642" i="2"/>
  <c r="AS642" i="2"/>
  <c r="BI642" i="2"/>
  <c r="P643" i="2"/>
  <c r="AF643" i="2"/>
  <c r="AV643" i="2"/>
  <c r="BL643" i="2"/>
  <c r="S644" i="2"/>
  <c r="AI644" i="2"/>
  <c r="AY644" i="2"/>
  <c r="J645" i="2"/>
  <c r="Z645" i="2"/>
  <c r="AP645" i="2"/>
  <c r="BF645" i="2"/>
  <c r="Q646" i="2"/>
  <c r="AG646" i="2"/>
  <c r="AW646" i="2"/>
  <c r="BM646" i="2"/>
  <c r="T647" i="2"/>
  <c r="AJ647" i="2"/>
  <c r="AZ647" i="2"/>
  <c r="G648" i="2"/>
  <c r="W648" i="2"/>
  <c r="AM648" i="2"/>
  <c r="BC648" i="2"/>
  <c r="N649" i="2"/>
  <c r="AD649" i="2"/>
  <c r="AT649" i="2"/>
  <c r="J650" i="2"/>
  <c r="AE650" i="2"/>
  <c r="AZ650" i="2"/>
  <c r="M651" i="2"/>
  <c r="AH651" i="2"/>
  <c r="BC651" i="2"/>
  <c r="U652" i="2"/>
  <c r="AP652" i="2"/>
  <c r="BL652" i="2"/>
  <c r="X653" i="2"/>
  <c r="AS653" i="2"/>
  <c r="J654" i="2"/>
  <c r="AE654" i="2"/>
  <c r="AZ654" i="2"/>
  <c r="M655" i="2"/>
  <c r="AH655" i="2"/>
  <c r="BC655" i="2"/>
  <c r="U656" i="2"/>
  <c r="AP656" i="2"/>
  <c r="BL656" i="2"/>
  <c r="X657" i="2"/>
  <c r="AS657" i="2"/>
  <c r="J658" i="2"/>
  <c r="AE658" i="2"/>
  <c r="AZ658" i="2"/>
  <c r="M659" i="2"/>
  <c r="AH659" i="2"/>
  <c r="BC659" i="2"/>
  <c r="U660" i="2"/>
  <c r="AP660" i="2"/>
  <c r="BL660" i="2"/>
  <c r="X661" i="2"/>
  <c r="AS661" i="2"/>
  <c r="BJ655" i="2"/>
  <c r="AB656" i="2"/>
  <c r="AW656" i="2"/>
  <c r="I657" i="2"/>
  <c r="AE657" i="2"/>
  <c r="AZ657" i="2"/>
  <c r="P658" i="2"/>
  <c r="AL658" i="2"/>
  <c r="BG658" i="2"/>
  <c r="S659" i="2"/>
  <c r="AO659" i="2"/>
  <c r="BJ659" i="2"/>
  <c r="AB660" i="2"/>
  <c r="AW660" i="2"/>
  <c r="I661" i="2"/>
  <c r="AE661" i="2"/>
  <c r="AZ661" i="2"/>
  <c r="L645" i="2"/>
  <c r="AB645" i="2"/>
  <c r="AR645" i="2"/>
  <c r="BH645" i="2"/>
  <c r="O646" i="2"/>
  <c r="AE646" i="2"/>
  <c r="AU646" i="2"/>
  <c r="BK646" i="2"/>
  <c r="V647" i="2"/>
  <c r="AL647" i="2"/>
  <c r="BB647" i="2"/>
  <c r="M648" i="2"/>
  <c r="AC648" i="2"/>
  <c r="AS648" i="2"/>
  <c r="BI648" i="2"/>
  <c r="P649" i="2"/>
  <c r="AF649" i="2"/>
  <c r="AV649" i="2"/>
  <c r="G650" i="2"/>
  <c r="AB650" i="2"/>
  <c r="AX650" i="2"/>
  <c r="O651" i="2"/>
  <c r="AK651" i="2"/>
  <c r="BF651" i="2"/>
  <c r="R652" i="2"/>
  <c r="AN652" i="2"/>
  <c r="BI652" i="2"/>
  <c r="AA653" i="2"/>
  <c r="AV653" i="2"/>
  <c r="G654" i="2"/>
  <c r="AB654" i="2"/>
  <c r="AX654" i="2"/>
  <c r="O655" i="2"/>
  <c r="AK655" i="2"/>
  <c r="BF655" i="2"/>
  <c r="R656" i="2"/>
  <c r="AN656" i="2"/>
  <c r="BI656" i="2"/>
  <c r="AA657" i="2"/>
  <c r="AV657" i="2"/>
  <c r="G658" i="2"/>
  <c r="AB658" i="2"/>
  <c r="AX658" i="2"/>
  <c r="O659" i="2"/>
  <c r="AK659" i="2"/>
  <c r="BF659" i="2"/>
  <c r="R660" i="2"/>
  <c r="AN660" i="2"/>
  <c r="BI660" i="2"/>
  <c r="AA661" i="2"/>
  <c r="AV661" i="2"/>
  <c r="H646" i="2"/>
  <c r="X646" i="2"/>
  <c r="AN646" i="2"/>
  <c r="BD646" i="2"/>
  <c r="K647" i="2"/>
  <c r="AA647" i="2"/>
  <c r="AQ647" i="2"/>
  <c r="BG647" i="2"/>
  <c r="R648" i="2"/>
  <c r="AH648" i="2"/>
  <c r="AX648" i="2"/>
  <c r="I649" i="2"/>
  <c r="Y649" i="2"/>
  <c r="AO649" i="2"/>
  <c r="BH649" i="2"/>
  <c r="S650" i="2"/>
  <c r="AN650" i="2"/>
  <c r="BJ650" i="2"/>
  <c r="AA651" i="2"/>
  <c r="AW651" i="2"/>
  <c r="I652" i="2"/>
  <c r="AD652" i="2"/>
  <c r="AZ652" i="2"/>
  <c r="L653" i="2"/>
  <c r="AG653" i="2"/>
  <c r="BC653" i="2"/>
  <c r="N654" i="2"/>
  <c r="AI654" i="2"/>
  <c r="BD654" i="2"/>
  <c r="V655" i="2"/>
  <c r="AQ655" i="2"/>
  <c r="BM655" i="2"/>
  <c r="Y656" i="2"/>
  <c r="AT656" i="2"/>
  <c r="G657" i="2"/>
  <c r="AB657" i="2"/>
  <c r="AW657" i="2"/>
  <c r="H658" i="2"/>
  <c r="AD658" i="2"/>
  <c r="AY658" i="2"/>
  <c r="Q659" i="2"/>
  <c r="AL659" i="2"/>
  <c r="BG659" i="2"/>
  <c r="T660" i="2"/>
  <c r="AO660" i="2"/>
  <c r="BJ660" i="2"/>
  <c r="W661" i="2"/>
  <c r="AR661" i="2"/>
  <c r="BM661" i="2"/>
  <c r="BJ649" i="2"/>
  <c r="U650" i="2"/>
  <c r="AK650" i="2"/>
  <c r="BA650" i="2"/>
  <c r="H651" i="2"/>
  <c r="X651" i="2"/>
  <c r="AN651" i="2"/>
  <c r="BD651" i="2"/>
  <c r="K652" i="2"/>
  <c r="AA652" i="2"/>
  <c r="AQ652" i="2"/>
  <c r="BG652" i="2"/>
  <c r="R653" i="2"/>
  <c r="AH653" i="2"/>
  <c r="AX653" i="2"/>
  <c r="I654" i="2"/>
  <c r="Y654" i="2"/>
  <c r="AO654" i="2"/>
  <c r="BE654" i="2"/>
  <c r="L655" i="2"/>
  <c r="AB655" i="2"/>
  <c r="AR655" i="2"/>
  <c r="BH655" i="2"/>
  <c r="O656" i="2"/>
  <c r="AE656" i="2"/>
  <c r="AU656" i="2"/>
  <c r="BK656" i="2"/>
  <c r="V657" i="2"/>
  <c r="AL657" i="2"/>
  <c r="BB657" i="2"/>
  <c r="M658" i="2"/>
  <c r="AC658" i="2"/>
  <c r="AS658" i="2"/>
  <c r="BI658" i="2"/>
  <c r="P659" i="2"/>
  <c r="AF659" i="2"/>
  <c r="AV659" i="2"/>
  <c r="BL659" i="2"/>
  <c r="S660" i="2"/>
  <c r="AI660" i="2"/>
  <c r="AY660" i="2"/>
  <c r="J661" i="2"/>
  <c r="Z661" i="2"/>
  <c r="AP661" i="2"/>
  <c r="BF661" i="2"/>
  <c r="L159" i="2"/>
  <c r="AB159" i="2"/>
  <c r="AR159" i="2"/>
  <c r="BH159" i="2"/>
  <c r="O160" i="2"/>
  <c r="AE160" i="2"/>
  <c r="AU160" i="2"/>
  <c r="BK160" i="2"/>
  <c r="V161" i="2"/>
  <c r="AL161" i="2"/>
  <c r="BB161" i="2"/>
  <c r="M162" i="2"/>
  <c r="AC162" i="2"/>
  <c r="AS162" i="2"/>
  <c r="BI162" i="2"/>
  <c r="P163" i="2"/>
  <c r="AF163" i="2"/>
  <c r="AV163" i="2"/>
  <c r="BL163" i="2"/>
  <c r="S164" i="2"/>
  <c r="AI164" i="2"/>
  <c r="AY164" i="2"/>
  <c r="J165" i="2"/>
  <c r="Z165" i="2"/>
  <c r="AP165" i="2"/>
  <c r="BF165" i="2"/>
  <c r="Q166" i="2"/>
  <c r="AG166" i="2"/>
  <c r="AW166" i="2"/>
  <c r="BM166" i="2"/>
  <c r="T167" i="2"/>
  <c r="AJ167" i="2"/>
  <c r="AZ167" i="2"/>
  <c r="H168" i="3"/>
  <c r="H168" i="2" s="1"/>
  <c r="H169" i="2"/>
  <c r="X168" i="3"/>
  <c r="X168" i="2" s="1"/>
  <c r="X169" i="2"/>
  <c r="AN168" i="3"/>
  <c r="AN168" i="2" s="1"/>
  <c r="AN169" i="2"/>
  <c r="BD168" i="3"/>
  <c r="BD168" i="2" s="1"/>
  <c r="BD169" i="2"/>
  <c r="K170" i="2"/>
  <c r="AA170" i="2"/>
  <c r="AQ170" i="2"/>
  <c r="BG170" i="2"/>
  <c r="R171" i="2"/>
  <c r="AH171" i="2"/>
  <c r="AX171" i="2"/>
  <c r="I172" i="2"/>
  <c r="Y172" i="2"/>
  <c r="AO172" i="2"/>
  <c r="BE172" i="2"/>
  <c r="L173" i="2"/>
  <c r="AB173" i="2"/>
  <c r="AR173" i="2"/>
  <c r="BH173" i="2"/>
  <c r="O174" i="2"/>
  <c r="AE174" i="2"/>
  <c r="AU174" i="2"/>
  <c r="BK174" i="2"/>
  <c r="V175" i="2"/>
  <c r="AL175" i="2"/>
  <c r="BB175" i="2"/>
  <c r="M176" i="2"/>
  <c r="AC176" i="2"/>
  <c r="AS176" i="2"/>
  <c r="BI176" i="2"/>
  <c r="P177" i="2"/>
  <c r="AF177" i="2"/>
  <c r="AV177" i="2"/>
  <c r="BL177" i="2"/>
  <c r="S178" i="2"/>
  <c r="AI178" i="2"/>
  <c r="AY178" i="2"/>
  <c r="J179" i="2"/>
  <c r="Z179" i="2"/>
  <c r="AP179" i="2"/>
  <c r="BF179" i="2"/>
  <c r="Q180" i="2"/>
  <c r="AG180" i="2"/>
  <c r="AW180" i="2"/>
  <c r="BM180" i="2"/>
  <c r="T181" i="2"/>
  <c r="AJ181" i="2"/>
  <c r="AZ181" i="2"/>
  <c r="G182" i="2"/>
  <c r="W182" i="2"/>
  <c r="AM182" i="2"/>
  <c r="BC182" i="2"/>
  <c r="N183" i="2"/>
  <c r="AD183" i="2"/>
  <c r="AT183" i="2"/>
  <c r="BJ183" i="2"/>
  <c r="U184" i="2"/>
  <c r="AK184" i="2"/>
  <c r="BA184" i="2"/>
  <c r="H185" i="2"/>
  <c r="X185" i="2"/>
  <c r="AN185" i="2"/>
  <c r="BD185" i="2"/>
  <c r="K186" i="2"/>
  <c r="AA186" i="2"/>
  <c r="AQ186" i="2"/>
  <c r="BG186" i="2"/>
  <c r="R187" i="2"/>
  <c r="AH187" i="2"/>
  <c r="AX187" i="2"/>
  <c r="I188" i="2"/>
  <c r="Y188" i="2"/>
  <c r="AO188" i="2"/>
  <c r="BE188" i="2"/>
  <c r="L189" i="2"/>
  <c r="AB189" i="2"/>
  <c r="AR189" i="2"/>
  <c r="BH189" i="2"/>
  <c r="O190" i="2"/>
  <c r="AE190" i="2"/>
  <c r="AU190" i="2"/>
  <c r="BK190" i="2"/>
  <c r="V191" i="2"/>
  <c r="AL191" i="2"/>
  <c r="BB191" i="2"/>
  <c r="M192" i="2"/>
  <c r="AC192" i="2"/>
  <c r="AS192" i="2"/>
  <c r="BI192" i="2"/>
  <c r="P193" i="2"/>
  <c r="AF193" i="2"/>
  <c r="AV193" i="2"/>
  <c r="BL193" i="2"/>
  <c r="S194" i="2"/>
  <c r="AI194" i="2"/>
  <c r="AY194" i="2"/>
  <c r="J195" i="2"/>
  <c r="Z195" i="2"/>
  <c r="AP195" i="2"/>
  <c r="BF195" i="2"/>
  <c r="Q196" i="2"/>
  <c r="AG196" i="2"/>
  <c r="AW196" i="2"/>
  <c r="BM196" i="2"/>
  <c r="T197" i="2"/>
  <c r="AJ197" i="2"/>
  <c r="AZ197" i="2"/>
  <c r="G198" i="2"/>
  <c r="W198" i="2"/>
  <c r="AM198" i="2"/>
  <c r="BC198" i="2"/>
  <c r="N199" i="2"/>
  <c r="AD199" i="2"/>
  <c r="AT199" i="2"/>
  <c r="BJ199" i="2"/>
  <c r="U200" i="2"/>
  <c r="AK200" i="2"/>
  <c r="BA200" i="2"/>
  <c r="H201" i="2"/>
  <c r="X201" i="2"/>
  <c r="AN201" i="2"/>
  <c r="BD201" i="2"/>
  <c r="K202" i="2"/>
  <c r="AA202" i="2"/>
  <c r="AQ202" i="2"/>
  <c r="BG202" i="2"/>
  <c r="R203" i="2"/>
  <c r="AH203" i="2"/>
  <c r="AX203" i="2"/>
  <c r="I204" i="2"/>
  <c r="Y204" i="2"/>
  <c r="AO204" i="2"/>
  <c r="BE204" i="2"/>
  <c r="L205" i="2"/>
  <c r="AB205" i="2"/>
  <c r="AR205" i="2"/>
  <c r="BH205" i="2"/>
  <c r="O206" i="2"/>
  <c r="AE206" i="2"/>
  <c r="AU206" i="2"/>
  <c r="BK206" i="2"/>
  <c r="V207" i="2"/>
  <c r="AL207" i="2"/>
  <c r="BB207" i="2"/>
  <c r="M208" i="2"/>
  <c r="AC208" i="2"/>
  <c r="AS208" i="2"/>
  <c r="BI208" i="2"/>
  <c r="Q209" i="3"/>
  <c r="Q209" i="2" s="1"/>
  <c r="Q210" i="2"/>
  <c r="AG209" i="3"/>
  <c r="AG209" i="2" s="1"/>
  <c r="AG210" i="2"/>
  <c r="AW209" i="3"/>
  <c r="AW209" i="2" s="1"/>
  <c r="AW210" i="2"/>
  <c r="BM209" i="3"/>
  <c r="BM209" i="2" s="1"/>
  <c r="BM210" i="2"/>
  <c r="T211" i="2"/>
  <c r="AJ211" i="2"/>
  <c r="AZ211" i="2"/>
  <c r="G212" i="2"/>
  <c r="W212" i="2"/>
  <c r="AM212" i="2"/>
  <c r="BC212" i="2"/>
  <c r="N213" i="2"/>
  <c r="AD213" i="2"/>
  <c r="AT213" i="2"/>
  <c r="BJ213" i="2"/>
  <c r="U214" i="2"/>
  <c r="AK214" i="2"/>
  <c r="BA214" i="2"/>
  <c r="H215" i="2"/>
  <c r="X215" i="2"/>
  <c r="AN215" i="2"/>
  <c r="BD215" i="2"/>
  <c r="K216" i="2"/>
  <c r="AA216" i="2"/>
  <c r="AQ216" i="2"/>
  <c r="BG216" i="2"/>
  <c r="R217" i="2"/>
  <c r="AH217" i="2"/>
  <c r="AX217" i="2"/>
  <c r="I218" i="2"/>
  <c r="Y218" i="2"/>
  <c r="AO218" i="2"/>
  <c r="BE218" i="2"/>
  <c r="L219" i="2"/>
  <c r="AB219" i="2"/>
  <c r="AR219" i="2"/>
  <c r="BH219" i="2"/>
  <c r="O220" i="2"/>
  <c r="AE220" i="2"/>
  <c r="AU220" i="2"/>
  <c r="BK220" i="2"/>
  <c r="V221" i="2"/>
  <c r="AL221" i="2"/>
  <c r="BB221" i="2"/>
  <c r="M222" i="2"/>
  <c r="AC222" i="2"/>
  <c r="AS222" i="2"/>
  <c r="BI222" i="2"/>
  <c r="P223" i="2"/>
  <c r="AF223" i="2"/>
  <c r="AV223" i="2"/>
  <c r="BL223" i="2"/>
  <c r="S224" i="2"/>
  <c r="AI224" i="2"/>
  <c r="AY224" i="2"/>
  <c r="J225" i="2"/>
  <c r="Z225" i="2"/>
  <c r="AP225" i="2"/>
  <c r="BF225" i="2"/>
  <c r="Q226" i="2"/>
  <c r="AG226" i="2"/>
  <c r="AW226" i="2"/>
  <c r="BM226" i="2"/>
  <c r="T227" i="2"/>
  <c r="AJ227" i="2"/>
  <c r="AZ227" i="2"/>
  <c r="G228" i="2"/>
  <c r="W228" i="2"/>
  <c r="AM228" i="2"/>
  <c r="BC228" i="2"/>
  <c r="N229" i="2"/>
  <c r="AD229" i="2"/>
  <c r="AT229" i="2"/>
  <c r="BJ229" i="2"/>
  <c r="U230" i="2"/>
  <c r="AK230" i="2"/>
  <c r="BA230" i="2"/>
  <c r="H231" i="2"/>
  <c r="X231" i="2"/>
  <c r="AN231" i="2"/>
  <c r="BD231" i="2"/>
  <c r="K232" i="2"/>
  <c r="AA232" i="2"/>
  <c r="AQ232" i="2"/>
  <c r="BG232" i="2"/>
  <c r="R233" i="2"/>
  <c r="AH233" i="2"/>
  <c r="AX233" i="2"/>
  <c r="I234" i="2"/>
  <c r="Y234" i="2"/>
  <c r="AO234" i="2"/>
  <c r="BH234" i="2"/>
  <c r="T235" i="2"/>
  <c r="BD235" i="2"/>
  <c r="AR144" i="2"/>
  <c r="BH144" i="2"/>
  <c r="O145" i="2"/>
  <c r="AE145" i="2"/>
  <c r="AU145" i="2"/>
  <c r="BK145" i="2"/>
  <c r="V146" i="2"/>
  <c r="AL146" i="2"/>
  <c r="BB146" i="2"/>
  <c r="M147" i="2"/>
  <c r="AC147" i="2"/>
  <c r="AS147" i="2"/>
  <c r="BI147" i="2"/>
  <c r="P148" i="2"/>
  <c r="AF148" i="2"/>
  <c r="AV148" i="2"/>
  <c r="BL148" i="2"/>
  <c r="S149" i="2"/>
  <c r="AI149" i="2"/>
  <c r="AY149" i="2"/>
  <c r="J150" i="2"/>
  <c r="Z150" i="2"/>
  <c r="AP150" i="2"/>
  <c r="BF150" i="2"/>
  <c r="Q151" i="2"/>
  <c r="AG151" i="2"/>
  <c r="AW151" i="2"/>
  <c r="BM151" i="2"/>
  <c r="T152" i="2"/>
  <c r="AJ152" i="2"/>
  <c r="AZ152" i="2"/>
  <c r="G153" i="2"/>
  <c r="W153" i="2"/>
  <c r="AM153" i="2"/>
  <c r="BC153" i="2"/>
  <c r="N154" i="2"/>
  <c r="AD154" i="2"/>
  <c r="AT154" i="2"/>
  <c r="BJ154" i="2"/>
  <c r="U155" i="2"/>
  <c r="AK155" i="2"/>
  <c r="BA155" i="2"/>
  <c r="H156" i="2"/>
  <c r="X156" i="2"/>
  <c r="AN156" i="2"/>
  <c r="BD156" i="2"/>
  <c r="K157" i="2"/>
  <c r="AA157" i="2"/>
  <c r="AQ157" i="2"/>
  <c r="BG157" i="2"/>
  <c r="R158" i="2"/>
  <c r="AH158" i="2"/>
  <c r="AX158" i="2"/>
  <c r="I159" i="2"/>
  <c r="Y159" i="2"/>
  <c r="AO159" i="2"/>
  <c r="BE159" i="2"/>
  <c r="L160" i="2"/>
  <c r="AB160" i="2"/>
  <c r="AR160" i="2"/>
  <c r="BH160" i="2"/>
  <c r="O161" i="2"/>
  <c r="AE161" i="2"/>
  <c r="AU161" i="2"/>
  <c r="BK161" i="2"/>
  <c r="V162" i="2"/>
  <c r="AL162" i="2"/>
  <c r="BB162" i="2"/>
  <c r="M163" i="2"/>
  <c r="AC163" i="2"/>
  <c r="AS163" i="2"/>
  <c r="BI163" i="2"/>
  <c r="P164" i="2"/>
  <c r="AF164" i="2"/>
  <c r="AV164" i="2"/>
  <c r="BL164" i="2"/>
  <c r="S165" i="2"/>
  <c r="AI165" i="2"/>
  <c r="AY165" i="2"/>
  <c r="J166" i="2"/>
  <c r="Z166" i="2"/>
  <c r="AP166" i="2"/>
  <c r="BF166" i="2"/>
  <c r="Q167" i="2"/>
  <c r="AG167" i="2"/>
  <c r="AW167" i="2"/>
  <c r="BM167" i="2"/>
  <c r="U168" i="3"/>
  <c r="U168" i="2" s="1"/>
  <c r="U169" i="2"/>
  <c r="AK168" i="3"/>
  <c r="AK168" i="2" s="1"/>
  <c r="AK169" i="2"/>
  <c r="BA168" i="3"/>
  <c r="BA168" i="2" s="1"/>
  <c r="BA169" i="2"/>
  <c r="H170" i="2"/>
  <c r="X170" i="2"/>
  <c r="AN170" i="2"/>
  <c r="BD170" i="2"/>
  <c r="K171" i="2"/>
  <c r="AA171" i="2"/>
  <c r="AQ171" i="2"/>
  <c r="BG171" i="2"/>
  <c r="R172" i="2"/>
  <c r="AH172" i="2"/>
  <c r="AX172" i="2"/>
  <c r="I173" i="2"/>
  <c r="Y173" i="2"/>
  <c r="AO173" i="2"/>
  <c r="BE173" i="2"/>
  <c r="L174" i="2"/>
  <c r="AB174" i="2"/>
  <c r="AR174" i="2"/>
  <c r="BH174" i="2"/>
  <c r="O175" i="2"/>
  <c r="AE175" i="2"/>
  <c r="AU175" i="2"/>
  <c r="BK175" i="2"/>
  <c r="V176" i="2"/>
  <c r="AL176" i="2"/>
  <c r="BB176" i="2"/>
  <c r="M177" i="2"/>
  <c r="AC177" i="2"/>
  <c r="AS177" i="2"/>
  <c r="BI177" i="2"/>
  <c r="P178" i="2"/>
  <c r="AF178" i="2"/>
  <c r="AV178" i="2"/>
  <c r="BL178" i="2"/>
  <c r="S179" i="2"/>
  <c r="AI179" i="2"/>
  <c r="AY179" i="2"/>
  <c r="J180" i="2"/>
  <c r="Z180" i="2"/>
  <c r="AP180" i="2"/>
  <c r="BF180" i="2"/>
  <c r="Q181" i="2"/>
  <c r="AG181" i="2"/>
  <c r="AW181" i="2"/>
  <c r="BM181" i="2"/>
  <c r="T182" i="2"/>
  <c r="AJ182" i="2"/>
  <c r="AZ182" i="2"/>
  <c r="G183" i="2"/>
  <c r="W183" i="2"/>
  <c r="AM183" i="2"/>
  <c r="BC183" i="2"/>
  <c r="N184" i="2"/>
  <c r="AD184" i="2"/>
  <c r="AT184" i="2"/>
  <c r="BJ184" i="2"/>
  <c r="U185" i="2"/>
  <c r="AK185" i="2"/>
  <c r="BA185" i="2"/>
  <c r="H186" i="2"/>
  <c r="X186" i="2"/>
  <c r="AN186" i="2"/>
  <c r="BD186" i="2"/>
  <c r="K187" i="2"/>
  <c r="AA187" i="2"/>
  <c r="AQ187" i="2"/>
  <c r="BG187" i="2"/>
  <c r="R188" i="2"/>
  <c r="AH188" i="2"/>
  <c r="AX188" i="2"/>
  <c r="I189" i="2"/>
  <c r="Y189" i="2"/>
  <c r="AO189" i="2"/>
  <c r="BE189" i="2"/>
  <c r="L190" i="2"/>
  <c r="AB190" i="2"/>
  <c r="AR190" i="2"/>
  <c r="BH190" i="2"/>
  <c r="O191" i="2"/>
  <c r="AE191" i="2"/>
  <c r="AU191" i="2"/>
  <c r="BK191" i="2"/>
  <c r="V192" i="2"/>
  <c r="AL192" i="2"/>
  <c r="BB192" i="2"/>
  <c r="M193" i="2"/>
  <c r="AC193" i="2"/>
  <c r="AS193" i="2"/>
  <c r="BI193" i="2"/>
  <c r="P194" i="2"/>
  <c r="AF194" i="2"/>
  <c r="AV194" i="2"/>
  <c r="BL194" i="2"/>
  <c r="S195" i="2"/>
  <c r="AI195" i="2"/>
  <c r="AY195" i="2"/>
  <c r="J196" i="2"/>
  <c r="Z196" i="2"/>
  <c r="AP196" i="2"/>
  <c r="BF196" i="2"/>
  <c r="Q197" i="2"/>
  <c r="AG197" i="2"/>
  <c r="AW197" i="2"/>
  <c r="BM197" i="2"/>
  <c r="T198" i="2"/>
  <c r="AJ198" i="2"/>
  <c r="AZ198" i="2"/>
  <c r="G199" i="2"/>
  <c r="W199" i="2"/>
  <c r="AM199" i="2"/>
  <c r="BC199" i="2"/>
  <c r="N200" i="2"/>
  <c r="AD200" i="2"/>
  <c r="AT200" i="2"/>
  <c r="BJ200" i="2"/>
  <c r="U201" i="2"/>
  <c r="AK201" i="2"/>
  <c r="BA201" i="2"/>
  <c r="H202" i="2"/>
  <c r="X202" i="2"/>
  <c r="AN202" i="2"/>
  <c r="BD202" i="2"/>
  <c r="K203" i="2"/>
  <c r="AA203" i="2"/>
  <c r="AQ203" i="2"/>
  <c r="BG203" i="2"/>
  <c r="R204" i="2"/>
  <c r="AH204" i="2"/>
  <c r="AX204" i="2"/>
  <c r="I205" i="2"/>
  <c r="Y205" i="2"/>
  <c r="AO205" i="2"/>
  <c r="BE205" i="2"/>
  <c r="L206" i="2"/>
  <c r="AB206" i="2"/>
  <c r="AR206" i="2"/>
  <c r="BH206" i="2"/>
  <c r="O207" i="2"/>
  <c r="AE207" i="2"/>
  <c r="AU207" i="2"/>
  <c r="BK207" i="2"/>
  <c r="V208" i="2"/>
  <c r="AL208" i="2"/>
  <c r="BB208" i="2"/>
  <c r="N209" i="3"/>
  <c r="N209" i="2" s="1"/>
  <c r="N210" i="2"/>
  <c r="AD209" i="3"/>
  <c r="AD209" i="2" s="1"/>
  <c r="AD210" i="2"/>
  <c r="AT209" i="3"/>
  <c r="AT209" i="2" s="1"/>
  <c r="AT210" i="2"/>
  <c r="BJ209" i="3"/>
  <c r="BJ209" i="2" s="1"/>
  <c r="BJ210" i="2"/>
  <c r="U211" i="2"/>
  <c r="AK211" i="2"/>
  <c r="BA211" i="2"/>
  <c r="H212" i="2"/>
  <c r="X212" i="2"/>
  <c r="AN212" i="2"/>
  <c r="BD212" i="2"/>
  <c r="K213" i="2"/>
  <c r="AA213" i="2"/>
  <c r="AQ213" i="2"/>
  <c r="BG213" i="2"/>
  <c r="R214" i="2"/>
  <c r="AH214" i="2"/>
  <c r="AX214" i="2"/>
  <c r="I215" i="2"/>
  <c r="Y215" i="2"/>
  <c r="AO215" i="2"/>
  <c r="BE215" i="2"/>
  <c r="L216" i="2"/>
  <c r="AB216" i="2"/>
  <c r="AR216" i="2"/>
  <c r="BH216" i="2"/>
  <c r="O217" i="2"/>
  <c r="AE217" i="2"/>
  <c r="AU217" i="2"/>
  <c r="BK217" i="2"/>
  <c r="V218" i="2"/>
  <c r="AL218" i="2"/>
  <c r="BB218" i="2"/>
  <c r="M219" i="2"/>
  <c r="AC219" i="2"/>
  <c r="AS219" i="2"/>
  <c r="BI219" i="2"/>
  <c r="P220" i="2"/>
  <c r="AF220" i="2"/>
  <c r="AV220" i="2"/>
  <c r="BL220" i="2"/>
  <c r="S221" i="2"/>
  <c r="AI221" i="2"/>
  <c r="AY221" i="2"/>
  <c r="J222" i="2"/>
  <c r="Z222" i="2"/>
  <c r="AP222" i="2"/>
  <c r="BF222" i="2"/>
  <c r="Q223" i="2"/>
  <c r="AG223" i="2"/>
  <c r="AW223" i="2"/>
  <c r="BM223" i="2"/>
  <c r="T224" i="2"/>
  <c r="AJ224" i="2"/>
  <c r="AZ224" i="2"/>
  <c r="G225" i="2"/>
  <c r="W225" i="2"/>
  <c r="AM225" i="2"/>
  <c r="BC225" i="2"/>
  <c r="N226" i="2"/>
  <c r="AD226" i="2"/>
  <c r="AT226" i="2"/>
  <c r="BJ226" i="2"/>
  <c r="U227" i="2"/>
  <c r="AK227" i="2"/>
  <c r="BA227" i="2"/>
  <c r="H228" i="2"/>
  <c r="X228" i="2"/>
  <c r="AN228" i="2"/>
  <c r="BD228" i="2"/>
  <c r="K229" i="2"/>
  <c r="AA229" i="2"/>
  <c r="AQ229" i="2"/>
  <c r="BG229" i="2"/>
  <c r="R230" i="2"/>
  <c r="AH230" i="2"/>
  <c r="AX230" i="2"/>
  <c r="I231" i="2"/>
  <c r="Y231" i="2"/>
  <c r="AO231" i="2"/>
  <c r="BE231" i="2"/>
  <c r="L232" i="2"/>
  <c r="AB232" i="2"/>
  <c r="AR232" i="2"/>
  <c r="BH232" i="2"/>
  <c r="O233" i="2"/>
  <c r="AE233" i="2"/>
  <c r="AU233" i="2"/>
  <c r="BK233" i="2"/>
  <c r="V234" i="2"/>
  <c r="AL234" i="2"/>
  <c r="BD234" i="2"/>
  <c r="U235" i="2"/>
  <c r="BH235" i="2"/>
  <c r="U144" i="2"/>
  <c r="AK144" i="2"/>
  <c r="BA144" i="2"/>
  <c r="H145" i="2"/>
  <c r="X145" i="2"/>
  <c r="AN145" i="2"/>
  <c r="BD145" i="2"/>
  <c r="K146" i="2"/>
  <c r="AA146" i="2"/>
  <c r="AQ146" i="2"/>
  <c r="BG146" i="2"/>
  <c r="R147" i="2"/>
  <c r="AH147" i="2"/>
  <c r="AX147" i="2"/>
  <c r="I148" i="2"/>
  <c r="Y148" i="2"/>
  <c r="AO148" i="2"/>
  <c r="BE148" i="2"/>
  <c r="L149" i="2"/>
  <c r="AB149" i="2"/>
  <c r="AR149" i="2"/>
  <c r="BH149" i="2"/>
  <c r="O150" i="2"/>
  <c r="AE150" i="2"/>
  <c r="AU150" i="2"/>
  <c r="BK150" i="2"/>
  <c r="V151" i="2"/>
  <c r="AL151" i="2"/>
  <c r="BB151" i="2"/>
  <c r="M152" i="2"/>
  <c r="AC152" i="2"/>
  <c r="AS152" i="2"/>
  <c r="BI152" i="2"/>
  <c r="P153" i="2"/>
  <c r="AF153" i="2"/>
  <c r="AV153" i="2"/>
  <c r="BL153" i="2"/>
  <c r="S154" i="2"/>
  <c r="AI154" i="2"/>
  <c r="AY154" i="2"/>
  <c r="J155" i="2"/>
  <c r="Z155" i="2"/>
  <c r="AP155" i="2"/>
  <c r="BF155" i="2"/>
  <c r="Q156" i="2"/>
  <c r="AG156" i="2"/>
  <c r="AW156" i="2"/>
  <c r="BM156" i="2"/>
  <c r="T157" i="2"/>
  <c r="AJ157" i="2"/>
  <c r="AZ157" i="2"/>
  <c r="G158" i="2"/>
  <c r="W158" i="2"/>
  <c r="AM158" i="2"/>
  <c r="BC158" i="2"/>
  <c r="N159" i="2"/>
  <c r="AD159" i="2"/>
  <c r="AT159" i="2"/>
  <c r="BJ159" i="2"/>
  <c r="U160" i="2"/>
  <c r="AK160" i="2"/>
  <c r="BA160" i="2"/>
  <c r="H161" i="2"/>
  <c r="X161" i="2"/>
  <c r="AN161" i="2"/>
  <c r="BD161" i="2"/>
  <c r="K162" i="2"/>
  <c r="AA162" i="2"/>
  <c r="AQ162" i="2"/>
  <c r="BG162" i="2"/>
  <c r="R163" i="2"/>
  <c r="AH163" i="2"/>
  <c r="AX163" i="2"/>
  <c r="I164" i="2"/>
  <c r="Y164" i="2"/>
  <c r="AO164" i="2"/>
  <c r="BE164" i="2"/>
  <c r="L165" i="2"/>
  <c r="AB165" i="2"/>
  <c r="AR165" i="2"/>
  <c r="BH165" i="2"/>
  <c r="O166" i="2"/>
  <c r="AE166" i="2"/>
  <c r="AU166" i="2"/>
  <c r="BK166" i="2"/>
  <c r="V167" i="2"/>
  <c r="AL167" i="2"/>
  <c r="BB167" i="2"/>
  <c r="N168" i="3"/>
  <c r="N168" i="2" s="1"/>
  <c r="N169" i="2"/>
  <c r="AD168" i="3"/>
  <c r="AD168" i="2" s="1"/>
  <c r="AD169" i="2"/>
  <c r="AT168" i="3"/>
  <c r="AT168" i="2" s="1"/>
  <c r="AT169" i="2"/>
  <c r="BJ168" i="3"/>
  <c r="BJ168" i="2" s="1"/>
  <c r="BJ169" i="2"/>
  <c r="U170" i="2"/>
  <c r="AK170" i="2"/>
  <c r="BA170" i="2"/>
  <c r="H171" i="2"/>
  <c r="X171" i="2"/>
  <c r="AN171" i="2"/>
  <c r="BD171" i="2"/>
  <c r="K172" i="2"/>
  <c r="AA172" i="2"/>
  <c r="AQ172" i="2"/>
  <c r="BG172" i="2"/>
  <c r="R173" i="2"/>
  <c r="AH173" i="2"/>
  <c r="AX173" i="2"/>
  <c r="I174" i="2"/>
  <c r="Y174" i="2"/>
  <c r="AO174" i="2"/>
  <c r="BE174" i="2"/>
  <c r="L175" i="2"/>
  <c r="AB175" i="2"/>
  <c r="AR175" i="2"/>
  <c r="BH175" i="2"/>
  <c r="O176" i="2"/>
  <c r="AE176" i="2"/>
  <c r="AU176" i="2"/>
  <c r="BK176" i="2"/>
  <c r="V177" i="2"/>
  <c r="AL177" i="2"/>
  <c r="BB177" i="2"/>
  <c r="M178" i="2"/>
  <c r="AC178" i="2"/>
  <c r="AS178" i="2"/>
  <c r="BI178" i="2"/>
  <c r="P179" i="2"/>
  <c r="AF179" i="2"/>
  <c r="AV179" i="2"/>
  <c r="BL179" i="2"/>
  <c r="S180" i="2"/>
  <c r="AI180" i="2"/>
  <c r="AY180" i="2"/>
  <c r="J181" i="2"/>
  <c r="Z181" i="2"/>
  <c r="AP181" i="2"/>
  <c r="BF181" i="2"/>
  <c r="Q182" i="2"/>
  <c r="AG182" i="2"/>
  <c r="AW182" i="2"/>
  <c r="BM182" i="2"/>
  <c r="T183" i="2"/>
  <c r="AJ183" i="2"/>
  <c r="AZ183" i="2"/>
  <c r="G184" i="2"/>
  <c r="W184" i="2"/>
  <c r="AM184" i="2"/>
  <c r="BC184" i="2"/>
  <c r="N185" i="2"/>
  <c r="AD185" i="2"/>
  <c r="AT185" i="2"/>
  <c r="BJ185" i="2"/>
  <c r="U186" i="2"/>
  <c r="AK186" i="2"/>
  <c r="BA186" i="2"/>
  <c r="H187" i="2"/>
  <c r="X187" i="2"/>
  <c r="AN187" i="2"/>
  <c r="BD187" i="2"/>
  <c r="K188" i="2"/>
  <c r="AA188" i="2"/>
  <c r="AQ188" i="2"/>
  <c r="BG188" i="2"/>
  <c r="R189" i="2"/>
  <c r="AH189" i="2"/>
  <c r="AX189" i="2"/>
  <c r="I190" i="2"/>
  <c r="Y190" i="2"/>
  <c r="AO190" i="2"/>
  <c r="BE190" i="2"/>
  <c r="L191" i="2"/>
  <c r="AB191" i="2"/>
  <c r="AR191" i="2"/>
  <c r="BH191" i="2"/>
  <c r="O192" i="2"/>
  <c r="AE192" i="2"/>
  <c r="AU192" i="2"/>
  <c r="BK192" i="2"/>
  <c r="V193" i="2"/>
  <c r="AL193" i="2"/>
  <c r="BB193" i="2"/>
  <c r="M194" i="2"/>
  <c r="AC194" i="2"/>
  <c r="AS194" i="2"/>
  <c r="BI194" i="2"/>
  <c r="P195" i="2"/>
  <c r="AF195" i="2"/>
  <c r="AV195" i="2"/>
  <c r="BL195" i="2"/>
  <c r="S196" i="2"/>
  <c r="AI196" i="2"/>
  <c r="AY196" i="2"/>
  <c r="J197" i="2"/>
  <c r="Z197" i="2"/>
  <c r="AP197" i="2"/>
  <c r="BF197" i="2"/>
  <c r="Q198" i="2"/>
  <c r="AG198" i="2"/>
  <c r="AW198" i="2"/>
  <c r="BM198" i="2"/>
  <c r="T199" i="2"/>
  <c r="AJ199" i="2"/>
  <c r="AZ199" i="2"/>
  <c r="G200" i="2"/>
  <c r="W200" i="2"/>
  <c r="AM200" i="2"/>
  <c r="BC200" i="2"/>
  <c r="N201" i="2"/>
  <c r="AD201" i="2"/>
  <c r="AT201" i="2"/>
  <c r="BJ201" i="2"/>
  <c r="U202" i="2"/>
  <c r="AK202" i="2"/>
  <c r="BA202" i="2"/>
  <c r="H203" i="2"/>
  <c r="X203" i="2"/>
  <c r="AN203" i="2"/>
  <c r="BD203" i="2"/>
  <c r="K204" i="2"/>
  <c r="AA204" i="2"/>
  <c r="AQ204" i="2"/>
  <c r="BG204" i="2"/>
  <c r="R205" i="2"/>
  <c r="AH205" i="2"/>
  <c r="AX205" i="2"/>
  <c r="I206" i="2"/>
  <c r="Y206" i="2"/>
  <c r="AO206" i="2"/>
  <c r="BE206" i="2"/>
  <c r="L207" i="2"/>
  <c r="AB207" i="2"/>
  <c r="AR207" i="2"/>
  <c r="BH207" i="2"/>
  <c r="O208" i="2"/>
  <c r="AE208" i="2"/>
  <c r="AU208" i="2"/>
  <c r="BK208" i="2"/>
  <c r="S209" i="3"/>
  <c r="S209" i="2" s="1"/>
  <c r="S210" i="2"/>
  <c r="AI209" i="3"/>
  <c r="AI209" i="2" s="1"/>
  <c r="AI210" i="2"/>
  <c r="AY209" i="3"/>
  <c r="AY209" i="2" s="1"/>
  <c r="AY210" i="2"/>
  <c r="J211" i="2"/>
  <c r="Z211" i="2"/>
  <c r="AP211" i="2"/>
  <c r="BF211" i="2"/>
  <c r="Q212" i="2"/>
  <c r="AG212" i="2"/>
  <c r="AW212" i="2"/>
  <c r="BM212" i="2"/>
  <c r="T213" i="2"/>
  <c r="AJ213" i="2"/>
  <c r="AZ213" i="2"/>
  <c r="G214" i="2"/>
  <c r="W214" i="2"/>
  <c r="AM214" i="2"/>
  <c r="BC214" i="2"/>
  <c r="N215" i="2"/>
  <c r="AD215" i="2"/>
  <c r="AT215" i="2"/>
  <c r="BJ215" i="2"/>
  <c r="U216" i="2"/>
  <c r="AK216" i="2"/>
  <c r="BA216" i="2"/>
  <c r="H217" i="2"/>
  <c r="X217" i="2"/>
  <c r="AN217" i="2"/>
  <c r="BD217" i="2"/>
  <c r="K218" i="2"/>
  <c r="AA218" i="2"/>
  <c r="AQ218" i="2"/>
  <c r="BG218" i="2"/>
  <c r="R219" i="2"/>
  <c r="AH219" i="2"/>
  <c r="AX219" i="2"/>
  <c r="I220" i="2"/>
  <c r="Y220" i="2"/>
  <c r="AO220" i="2"/>
  <c r="BE220" i="2"/>
  <c r="L221" i="2"/>
  <c r="AB221" i="2"/>
  <c r="AR221" i="2"/>
  <c r="BH221" i="2"/>
  <c r="O222" i="2"/>
  <c r="AE222" i="2"/>
  <c r="AU222" i="2"/>
  <c r="BK222" i="2"/>
  <c r="V223" i="2"/>
  <c r="AL223" i="2"/>
  <c r="BB223" i="2"/>
  <c r="M224" i="2"/>
  <c r="AC224" i="2"/>
  <c r="AS224" i="2"/>
  <c r="BI224" i="2"/>
  <c r="P225" i="2"/>
  <c r="AF225" i="2"/>
  <c r="AV225" i="2"/>
  <c r="BL225" i="2"/>
  <c r="S226" i="2"/>
  <c r="AI226" i="2"/>
  <c r="AY226" i="2"/>
  <c r="J227" i="2"/>
  <c r="Z227" i="2"/>
  <c r="AP227" i="2"/>
  <c r="BF227" i="2"/>
  <c r="Q228" i="2"/>
  <c r="AG228" i="2"/>
  <c r="AW228" i="2"/>
  <c r="BM228" i="2"/>
  <c r="T229" i="2"/>
  <c r="AJ229" i="2"/>
  <c r="AZ229" i="2"/>
  <c r="G230" i="2"/>
  <c r="W230" i="2"/>
  <c r="AM230" i="2"/>
  <c r="BC230" i="2"/>
  <c r="N231" i="2"/>
  <c r="AD231" i="2"/>
  <c r="AT231" i="2"/>
  <c r="BJ231" i="2"/>
  <c r="U232" i="2"/>
  <c r="AK232" i="2"/>
  <c r="BA232" i="2"/>
  <c r="H233" i="2"/>
  <c r="X233" i="2"/>
  <c r="AN233" i="2"/>
  <c r="BD233" i="2"/>
  <c r="K234" i="2"/>
  <c r="AA234" i="2"/>
  <c r="AQ234" i="2"/>
  <c r="BJ234" i="2"/>
  <c r="W235" i="2"/>
  <c r="BL235" i="2"/>
  <c r="AM235" i="2"/>
  <c r="BC235" i="2"/>
  <c r="N236" i="2"/>
  <c r="AD236" i="2"/>
  <c r="AT236" i="2"/>
  <c r="BJ236" i="2"/>
  <c r="U237" i="2"/>
  <c r="AK237" i="2"/>
  <c r="BA237" i="2"/>
  <c r="H238" i="2"/>
  <c r="X238" i="2"/>
  <c r="AN238" i="2"/>
  <c r="BD238" i="2"/>
  <c r="K239" i="2"/>
  <c r="AA239" i="2"/>
  <c r="AQ239" i="2"/>
  <c r="BG239" i="2"/>
  <c r="R240" i="2"/>
  <c r="AH240" i="2"/>
  <c r="AX240" i="2"/>
  <c r="I241" i="2"/>
  <c r="Y241" i="2"/>
  <c r="AO241" i="2"/>
  <c r="BE241" i="2"/>
  <c r="L242" i="2"/>
  <c r="AB242" i="2"/>
  <c r="AR242" i="2"/>
  <c r="BH242" i="2"/>
  <c r="O243" i="2"/>
  <c r="AE243" i="2"/>
  <c r="AU243" i="2"/>
  <c r="BK243" i="2"/>
  <c r="V244" i="2"/>
  <c r="AL244" i="2"/>
  <c r="BB244" i="2"/>
  <c r="M245" i="2"/>
  <c r="AC245" i="2"/>
  <c r="AS245" i="2"/>
  <c r="BI245" i="2"/>
  <c r="P246" i="2"/>
  <c r="AF246" i="2"/>
  <c r="AV246" i="2"/>
  <c r="BL246" i="2"/>
  <c r="S247" i="2"/>
  <c r="AI247" i="2"/>
  <c r="AY247" i="2"/>
  <c r="J248" i="2"/>
  <c r="Z248" i="2"/>
  <c r="AP248" i="2"/>
  <c r="BF248" i="2"/>
  <c r="Q249" i="2"/>
  <c r="AG249" i="2"/>
  <c r="AW249" i="2"/>
  <c r="BM249" i="2"/>
  <c r="U250" i="3"/>
  <c r="U250" i="2" s="1"/>
  <c r="U251" i="2"/>
  <c r="AK250" i="3"/>
  <c r="AK250" i="2" s="1"/>
  <c r="AK251" i="2"/>
  <c r="BA250" i="3"/>
  <c r="BA250" i="2" s="1"/>
  <c r="BA251" i="2"/>
  <c r="H252" i="2"/>
  <c r="X252" i="2"/>
  <c r="AN252" i="2"/>
  <c r="BD252" i="2"/>
  <c r="K253" i="2"/>
  <c r="AA253" i="2"/>
  <c r="AQ253" i="2"/>
  <c r="BG253" i="2"/>
  <c r="R254" i="2"/>
  <c r="AH254" i="2"/>
  <c r="AX254" i="2"/>
  <c r="I255" i="2"/>
  <c r="Y255" i="2"/>
  <c r="AO255" i="2"/>
  <c r="BE255" i="2"/>
  <c r="L256" i="2"/>
  <c r="AB256" i="2"/>
  <c r="AR256" i="2"/>
  <c r="BH256" i="2"/>
  <c r="O257" i="2"/>
  <c r="AE257" i="2"/>
  <c r="AU257" i="2"/>
  <c r="BK257" i="2"/>
  <c r="V258" i="2"/>
  <c r="AL258" i="2"/>
  <c r="BB258" i="2"/>
  <c r="M259" i="2"/>
  <c r="AC259" i="2"/>
  <c r="AS259" i="2"/>
  <c r="BI259" i="2"/>
  <c r="P260" i="2"/>
  <c r="AF260" i="2"/>
  <c r="AV260" i="2"/>
  <c r="BL260" i="2"/>
  <c r="S261" i="2"/>
  <c r="AI261" i="2"/>
  <c r="AY261" i="2"/>
  <c r="J262" i="2"/>
  <c r="Z262" i="2"/>
  <c r="AP262" i="2"/>
  <c r="BF262" i="2"/>
  <c r="Q263" i="2"/>
  <c r="AG263" i="2"/>
  <c r="AW263" i="2"/>
  <c r="BM263" i="2"/>
  <c r="T264" i="2"/>
  <c r="AJ264" i="2"/>
  <c r="AZ264" i="2"/>
  <c r="G265" i="2"/>
  <c r="W265" i="2"/>
  <c r="AM265" i="2"/>
  <c r="BC265" i="2"/>
  <c r="N266" i="2"/>
  <c r="AD266" i="2"/>
  <c r="AT266" i="2"/>
  <c r="BJ266" i="2"/>
  <c r="U267" i="2"/>
  <c r="AK267" i="2"/>
  <c r="BA267" i="2"/>
  <c r="H268" i="2"/>
  <c r="X268" i="2"/>
  <c r="AN268" i="2"/>
  <c r="BD268" i="2"/>
  <c r="K269" i="2"/>
  <c r="AA269" i="2"/>
  <c r="AQ269" i="2"/>
  <c r="BG269" i="2"/>
  <c r="R270" i="2"/>
  <c r="AH270" i="2"/>
  <c r="AX270" i="2"/>
  <c r="I271" i="2"/>
  <c r="Y271" i="2"/>
  <c r="AO271" i="2"/>
  <c r="BE271" i="2"/>
  <c r="L272" i="2"/>
  <c r="AB272" i="2"/>
  <c r="AR272" i="2"/>
  <c r="BH272" i="2"/>
  <c r="O273" i="2"/>
  <c r="AE273" i="2"/>
  <c r="AU273" i="2"/>
  <c r="BK273" i="2"/>
  <c r="V274" i="2"/>
  <c r="AL274" i="2"/>
  <c r="BB274" i="2"/>
  <c r="M275" i="2"/>
  <c r="AC275" i="2"/>
  <c r="AS275" i="2"/>
  <c r="BI275" i="2"/>
  <c r="P276" i="2"/>
  <c r="AF276" i="2"/>
  <c r="AV276" i="2"/>
  <c r="BL276" i="2"/>
  <c r="S277" i="2"/>
  <c r="AI277" i="2"/>
  <c r="AY277" i="2"/>
  <c r="J278" i="2"/>
  <c r="Z278" i="2"/>
  <c r="AP278" i="2"/>
  <c r="BF278" i="2"/>
  <c r="Q279" i="2"/>
  <c r="AG279" i="2"/>
  <c r="AW279" i="2"/>
  <c r="BM279" i="2"/>
  <c r="T280" i="2"/>
  <c r="AJ280" i="2"/>
  <c r="AZ280" i="2"/>
  <c r="G281" i="2"/>
  <c r="W281" i="2"/>
  <c r="AM281" i="2"/>
  <c r="BC281" i="2"/>
  <c r="N282" i="2"/>
  <c r="AD282" i="2"/>
  <c r="AT282" i="2"/>
  <c r="BJ282" i="2"/>
  <c r="U283" i="2"/>
  <c r="AK283" i="2"/>
  <c r="BA283" i="2"/>
  <c r="H284" i="2"/>
  <c r="X284" i="2"/>
  <c r="AN284" i="2"/>
  <c r="BD284" i="2"/>
  <c r="K285" i="2"/>
  <c r="AA285" i="2"/>
  <c r="AQ285" i="2"/>
  <c r="BG285" i="2"/>
  <c r="R286" i="2"/>
  <c r="AH286" i="2"/>
  <c r="AX286" i="2"/>
  <c r="I287" i="2"/>
  <c r="Y287" i="2"/>
  <c r="AO287" i="2"/>
  <c r="BE287" i="2"/>
  <c r="L288" i="2"/>
  <c r="AB288" i="2"/>
  <c r="AR288" i="2"/>
  <c r="BH288" i="2"/>
  <c r="O289" i="2"/>
  <c r="AE289" i="2"/>
  <c r="AU289" i="2"/>
  <c r="BK289" i="2"/>
  <c r="V290" i="2"/>
  <c r="AL290" i="2"/>
  <c r="BB290" i="2"/>
  <c r="K292" i="3"/>
  <c r="K292" i="2" s="1"/>
  <c r="K293" i="2"/>
  <c r="AA292" i="3"/>
  <c r="AA292" i="2" s="1"/>
  <c r="AA293" i="2"/>
  <c r="AQ292" i="3"/>
  <c r="AQ292" i="2" s="1"/>
  <c r="AQ293" i="2"/>
  <c r="BG292" i="3"/>
  <c r="BG292" i="2" s="1"/>
  <c r="BG293" i="2"/>
  <c r="R294" i="2"/>
  <c r="AH294" i="2"/>
  <c r="AX294" i="2"/>
  <c r="I295" i="2"/>
  <c r="Y295" i="2"/>
  <c r="AO295" i="2"/>
  <c r="BE295" i="2"/>
  <c r="L296" i="2"/>
  <c r="AB296" i="2"/>
  <c r="AR296" i="2"/>
  <c r="BH296" i="2"/>
  <c r="O297" i="2"/>
  <c r="AE297" i="2"/>
  <c r="AU297" i="2"/>
  <c r="BK297" i="2"/>
  <c r="V298" i="2"/>
  <c r="AL298" i="2"/>
  <c r="BB298" i="2"/>
  <c r="M299" i="2"/>
  <c r="AC299" i="2"/>
  <c r="AS299" i="2"/>
  <c r="BI299" i="2"/>
  <c r="P300" i="2"/>
  <c r="AF300" i="2"/>
  <c r="AV300" i="2"/>
  <c r="BL300" i="2"/>
  <c r="S301" i="2"/>
  <c r="AI301" i="2"/>
  <c r="AY301" i="2"/>
  <c r="J302" i="2"/>
  <c r="Z302" i="2"/>
  <c r="AP302" i="2"/>
  <c r="BF302" i="2"/>
  <c r="Q303" i="2"/>
  <c r="AG303" i="2"/>
  <c r="AW303" i="2"/>
  <c r="BM303" i="2"/>
  <c r="T304" i="2"/>
  <c r="AJ304" i="2"/>
  <c r="AZ304" i="2"/>
  <c r="G305" i="2"/>
  <c r="W305" i="2"/>
  <c r="AM305" i="2"/>
  <c r="BC305" i="2"/>
  <c r="N306" i="2"/>
  <c r="AD306" i="2"/>
  <c r="AT306" i="2"/>
  <c r="BJ306" i="2"/>
  <c r="U307" i="2"/>
  <c r="AK307" i="2"/>
  <c r="BA307" i="2"/>
  <c r="H308" i="2"/>
  <c r="X308" i="2"/>
  <c r="AN308" i="2"/>
  <c r="BD308" i="2"/>
  <c r="K309" i="2"/>
  <c r="AA309" i="2"/>
  <c r="AQ309" i="2"/>
  <c r="BG309" i="2"/>
  <c r="R310" i="2"/>
  <c r="AH310" i="2"/>
  <c r="AX310" i="2"/>
  <c r="I311" i="2"/>
  <c r="Y311" i="2"/>
  <c r="AO311" i="2"/>
  <c r="BE311" i="2"/>
  <c r="L312" i="2"/>
  <c r="AB312" i="2"/>
  <c r="AR312" i="2"/>
  <c r="BH312" i="2"/>
  <c r="O313" i="2"/>
  <c r="AE313" i="2"/>
  <c r="AU313" i="2"/>
  <c r="BK313" i="2"/>
  <c r="V314" i="2"/>
  <c r="AL314" i="2"/>
  <c r="BB314" i="2"/>
  <c r="M315" i="2"/>
  <c r="AC315" i="2"/>
  <c r="AS315" i="2"/>
  <c r="BI315" i="2"/>
  <c r="P316" i="2"/>
  <c r="AF316" i="2"/>
  <c r="AV316" i="2"/>
  <c r="BL316" i="2"/>
  <c r="S317" i="2"/>
  <c r="AI317" i="2"/>
  <c r="AY317" i="2"/>
  <c r="J318" i="2"/>
  <c r="Z318" i="2"/>
  <c r="AP318" i="2"/>
  <c r="BF318" i="2"/>
  <c r="Q319" i="2"/>
  <c r="AG319" i="2"/>
  <c r="AW319" i="2"/>
  <c r="BM319" i="2"/>
  <c r="T320" i="2"/>
  <c r="AJ320" i="2"/>
  <c r="AZ320" i="2"/>
  <c r="G321" i="2"/>
  <c r="W321" i="2"/>
  <c r="AM321" i="2"/>
  <c r="BC321" i="2"/>
  <c r="N322" i="2"/>
  <c r="AD322" i="2"/>
  <c r="AT322" i="2"/>
  <c r="BJ322" i="2"/>
  <c r="U323" i="2"/>
  <c r="AK323" i="2"/>
  <c r="BA323" i="2"/>
  <c r="H324" i="2"/>
  <c r="X324" i="2"/>
  <c r="AN324" i="2"/>
  <c r="BD324" i="2"/>
  <c r="K325" i="2"/>
  <c r="AA325" i="2"/>
  <c r="AQ325" i="2"/>
  <c r="BG325" i="2"/>
  <c r="T326" i="2"/>
  <c r="AO326" i="2"/>
  <c r="BJ326" i="2"/>
  <c r="AE327" i="2"/>
  <c r="BK327" i="2"/>
  <c r="S236" i="2"/>
  <c r="AI236" i="2"/>
  <c r="AY236" i="2"/>
  <c r="J237" i="2"/>
  <c r="Z237" i="2"/>
  <c r="AP237" i="2"/>
  <c r="BF237" i="2"/>
  <c r="Q238" i="2"/>
  <c r="AG238" i="2"/>
  <c r="AW238" i="2"/>
  <c r="BM238" i="2"/>
  <c r="T239" i="2"/>
  <c r="AJ239" i="2"/>
  <c r="AZ239" i="2"/>
  <c r="G240" i="2"/>
  <c r="W240" i="2"/>
  <c r="AM240" i="2"/>
  <c r="BC240" i="2"/>
  <c r="N241" i="2"/>
  <c r="AD241" i="2"/>
  <c r="AT241" i="2"/>
  <c r="BJ241" i="2"/>
  <c r="U242" i="2"/>
  <c r="AK242" i="2"/>
  <c r="BA242" i="2"/>
  <c r="H243" i="2"/>
  <c r="X243" i="2"/>
  <c r="AN243" i="2"/>
  <c r="BD243" i="2"/>
  <c r="K244" i="2"/>
  <c r="AA244" i="2"/>
  <c r="AQ244" i="2"/>
  <c r="BG244" i="2"/>
  <c r="R245" i="2"/>
  <c r="AH245" i="2"/>
  <c r="AX245" i="2"/>
  <c r="I246" i="2"/>
  <c r="Y246" i="2"/>
  <c r="AO246" i="2"/>
  <c r="BE246" i="2"/>
  <c r="L247" i="2"/>
  <c r="AB247" i="2"/>
  <c r="AR247" i="2"/>
  <c r="BH247" i="2"/>
  <c r="O248" i="2"/>
  <c r="AE248" i="2"/>
  <c r="AU248" i="2"/>
  <c r="BK248" i="2"/>
  <c r="V249" i="2"/>
  <c r="AL249" i="2"/>
  <c r="BB249" i="2"/>
  <c r="N250" i="3"/>
  <c r="N250" i="2" s="1"/>
  <c r="N251" i="2"/>
  <c r="AD250" i="3"/>
  <c r="AD250" i="2" s="1"/>
  <c r="AD251" i="2"/>
  <c r="AT250" i="3"/>
  <c r="AT250" i="2" s="1"/>
  <c r="AT251" i="2"/>
  <c r="BJ250" i="3"/>
  <c r="BJ250" i="2" s="1"/>
  <c r="BJ251" i="2"/>
  <c r="U252" i="2"/>
  <c r="AK252" i="2"/>
  <c r="BA252" i="2"/>
  <c r="H253" i="2"/>
  <c r="X253" i="2"/>
  <c r="AN253" i="2"/>
  <c r="BD253" i="2"/>
  <c r="K254" i="2"/>
  <c r="AA254" i="2"/>
  <c r="AQ254" i="2"/>
  <c r="BG254" i="2"/>
  <c r="R255" i="2"/>
  <c r="AH255" i="2"/>
  <c r="AX255" i="2"/>
  <c r="I256" i="2"/>
  <c r="Y256" i="2"/>
  <c r="AO256" i="2"/>
  <c r="BE256" i="2"/>
  <c r="L257" i="2"/>
  <c r="AB257" i="2"/>
  <c r="AR257" i="2"/>
  <c r="BH257" i="2"/>
  <c r="O258" i="2"/>
  <c r="AE258" i="2"/>
  <c r="AU258" i="2"/>
  <c r="BK258" i="2"/>
  <c r="V259" i="2"/>
  <c r="AL259" i="2"/>
  <c r="BB259" i="2"/>
  <c r="M260" i="2"/>
  <c r="AC260" i="2"/>
  <c r="AS260" i="2"/>
  <c r="BI260" i="2"/>
  <c r="P261" i="2"/>
  <c r="AF261" i="2"/>
  <c r="AV261" i="2"/>
  <c r="BL261" i="2"/>
  <c r="S262" i="2"/>
  <c r="AI262" i="2"/>
  <c r="AY262" i="2"/>
  <c r="J263" i="2"/>
  <c r="Z263" i="2"/>
  <c r="AP263" i="2"/>
  <c r="BF263" i="2"/>
  <c r="Q264" i="2"/>
  <c r="AG264" i="2"/>
  <c r="AW264" i="2"/>
  <c r="BM264" i="2"/>
  <c r="T265" i="2"/>
  <c r="AJ265" i="2"/>
  <c r="AZ265" i="2"/>
  <c r="G266" i="2"/>
  <c r="W266" i="2"/>
  <c r="AM266" i="2"/>
  <c r="BC266" i="2"/>
  <c r="N267" i="2"/>
  <c r="AD267" i="2"/>
  <c r="AT267" i="2"/>
  <c r="BJ267" i="2"/>
  <c r="U268" i="2"/>
  <c r="AK268" i="2"/>
  <c r="BA268" i="2"/>
  <c r="H269" i="2"/>
  <c r="X269" i="2"/>
  <c r="AN269" i="2"/>
  <c r="BD269" i="2"/>
  <c r="K270" i="2"/>
  <c r="AA270" i="2"/>
  <c r="AQ270" i="2"/>
  <c r="BG270" i="2"/>
  <c r="R271" i="2"/>
  <c r="AH271" i="2"/>
  <c r="AX271" i="2"/>
  <c r="I272" i="2"/>
  <c r="Y272" i="2"/>
  <c r="AO272" i="2"/>
  <c r="BE272" i="2"/>
  <c r="L273" i="2"/>
  <c r="AB273" i="2"/>
  <c r="AR273" i="2"/>
  <c r="BH273" i="2"/>
  <c r="O274" i="2"/>
  <c r="AE274" i="2"/>
  <c r="AU274" i="2"/>
  <c r="BK274" i="2"/>
  <c r="V275" i="2"/>
  <c r="AL275" i="2"/>
  <c r="BB275" i="2"/>
  <c r="M276" i="2"/>
  <c r="AC276" i="2"/>
  <c r="AS276" i="2"/>
  <c r="BI276" i="2"/>
  <c r="P277" i="2"/>
  <c r="AF277" i="2"/>
  <c r="AV277" i="2"/>
  <c r="BL277" i="2"/>
  <c r="S278" i="2"/>
  <c r="AI278" i="2"/>
  <c r="AY278" i="2"/>
  <c r="J279" i="2"/>
  <c r="Z279" i="2"/>
  <c r="AP279" i="2"/>
  <c r="BF279" i="2"/>
  <c r="Q280" i="2"/>
  <c r="AG280" i="2"/>
  <c r="AW280" i="2"/>
  <c r="BM280" i="2"/>
  <c r="T281" i="2"/>
  <c r="AJ281" i="2"/>
  <c r="AZ281" i="2"/>
  <c r="G282" i="2"/>
  <c r="W282" i="2"/>
  <c r="AM282" i="2"/>
  <c r="BC282" i="2"/>
  <c r="N283" i="2"/>
  <c r="AD283" i="2"/>
  <c r="AT283" i="2"/>
  <c r="BJ283" i="2"/>
  <c r="U284" i="2"/>
  <c r="AK284" i="2"/>
  <c r="BA284" i="2"/>
  <c r="H285" i="2"/>
  <c r="X285" i="2"/>
  <c r="AN285" i="2"/>
  <c r="BD285" i="2"/>
  <c r="K286" i="2"/>
  <c r="AA286" i="2"/>
  <c r="AQ286" i="2"/>
  <c r="BG286" i="2"/>
  <c r="R287" i="2"/>
  <c r="AH287" i="2"/>
  <c r="AX287" i="2"/>
  <c r="I288" i="2"/>
  <c r="Y288" i="2"/>
  <c r="AO288" i="2"/>
  <c r="BE288" i="2"/>
  <c r="L289" i="2"/>
  <c r="AB289" i="2"/>
  <c r="AR289" i="2"/>
  <c r="BH289" i="2"/>
  <c r="O290" i="2"/>
  <c r="AE290" i="2"/>
  <c r="AU290" i="2"/>
  <c r="BK290" i="2"/>
  <c r="T292" i="3"/>
  <c r="T292" i="2" s="1"/>
  <c r="T293" i="2"/>
  <c r="AJ292" i="3"/>
  <c r="AJ292" i="2" s="1"/>
  <c r="AJ293" i="2"/>
  <c r="AZ292" i="3"/>
  <c r="AZ292" i="2" s="1"/>
  <c r="AZ293" i="2"/>
  <c r="G294" i="2"/>
  <c r="W294" i="2"/>
  <c r="AM294" i="2"/>
  <c r="BC294" i="2"/>
  <c r="N295" i="2"/>
  <c r="AD295" i="2"/>
  <c r="AT295" i="2"/>
  <c r="BJ295" i="2"/>
  <c r="U296" i="2"/>
  <c r="AK296" i="2"/>
  <c r="BA296" i="2"/>
  <c r="H297" i="2"/>
  <c r="X297" i="2"/>
  <c r="AN297" i="2"/>
  <c r="BD297" i="2"/>
  <c r="K298" i="2"/>
  <c r="AA298" i="2"/>
  <c r="AQ298" i="2"/>
  <c r="BG298" i="2"/>
  <c r="R299" i="2"/>
  <c r="AH299" i="2"/>
  <c r="AX299" i="2"/>
  <c r="I300" i="2"/>
  <c r="Y300" i="2"/>
  <c r="AO300" i="2"/>
  <c r="BE300" i="2"/>
  <c r="L301" i="2"/>
  <c r="AB301" i="2"/>
  <c r="AR301" i="2"/>
  <c r="BH301" i="2"/>
  <c r="O302" i="2"/>
  <c r="AE302" i="2"/>
  <c r="AU302" i="2"/>
  <c r="BK302" i="2"/>
  <c r="V303" i="2"/>
  <c r="AL303" i="2"/>
  <c r="BB303" i="2"/>
  <c r="M304" i="2"/>
  <c r="AC304" i="2"/>
  <c r="AS304" i="2"/>
  <c r="BI304" i="2"/>
  <c r="P305" i="2"/>
  <c r="AF305" i="2"/>
  <c r="AV305" i="2"/>
  <c r="BL305" i="2"/>
  <c r="S306" i="2"/>
  <c r="AI306" i="2"/>
  <c r="AY306" i="2"/>
  <c r="J307" i="2"/>
  <c r="Z307" i="2"/>
  <c r="AP307" i="2"/>
  <c r="BF307" i="2"/>
  <c r="Q308" i="2"/>
  <c r="AG308" i="2"/>
  <c r="AW308" i="2"/>
  <c r="BM308" i="2"/>
  <c r="T309" i="2"/>
  <c r="AJ309" i="2"/>
  <c r="AZ309" i="2"/>
  <c r="G310" i="2"/>
  <c r="W310" i="2"/>
  <c r="AM310" i="2"/>
  <c r="BC310" i="2"/>
  <c r="N311" i="2"/>
  <c r="AD311" i="2"/>
  <c r="AT311" i="2"/>
  <c r="BJ311" i="2"/>
  <c r="U312" i="2"/>
  <c r="AK312" i="2"/>
  <c r="BA312" i="2"/>
  <c r="H313" i="2"/>
  <c r="X313" i="2"/>
  <c r="AN313" i="2"/>
  <c r="BD313" i="2"/>
  <c r="K314" i="2"/>
  <c r="AA314" i="2"/>
  <c r="AQ314" i="2"/>
  <c r="BG314" i="2"/>
  <c r="R315" i="2"/>
  <c r="AH315" i="2"/>
  <c r="AX315" i="2"/>
  <c r="I316" i="2"/>
  <c r="Y316" i="2"/>
  <c r="AO316" i="2"/>
  <c r="BE316" i="2"/>
  <c r="L317" i="2"/>
  <c r="AB317" i="2"/>
  <c r="AR317" i="2"/>
  <c r="BH317" i="2"/>
  <c r="O318" i="2"/>
  <c r="AE318" i="2"/>
  <c r="AU318" i="2"/>
  <c r="BK318" i="2"/>
  <c r="V319" i="2"/>
  <c r="AL319" i="2"/>
  <c r="BB319" i="2"/>
  <c r="M320" i="2"/>
  <c r="AC320" i="2"/>
  <c r="AS320" i="2"/>
  <c r="BI320" i="2"/>
  <c r="P321" i="2"/>
  <c r="AF321" i="2"/>
  <c r="AV321" i="2"/>
  <c r="BL321" i="2"/>
  <c r="S322" i="2"/>
  <c r="AI322" i="2"/>
  <c r="AY322" i="2"/>
  <c r="J323" i="2"/>
  <c r="Z323" i="2"/>
  <c r="AP323" i="2"/>
  <c r="BF323" i="2"/>
  <c r="Q324" i="2"/>
  <c r="AG324" i="2"/>
  <c r="AW324" i="2"/>
  <c r="BM324" i="2"/>
  <c r="T325" i="2"/>
  <c r="AJ325" i="2"/>
  <c r="AZ325" i="2"/>
  <c r="G326" i="2"/>
  <c r="Z326" i="2"/>
  <c r="AV326" i="2"/>
  <c r="H327" i="2"/>
  <c r="AN327" i="2"/>
  <c r="AS235" i="2"/>
  <c r="BI235" i="2"/>
  <c r="P236" i="2"/>
  <c r="AF236" i="2"/>
  <c r="AV236" i="2"/>
  <c r="BL236" i="2"/>
  <c r="S237" i="2"/>
  <c r="AI237" i="2"/>
  <c r="AY237" i="2"/>
  <c r="J238" i="2"/>
  <c r="Z238" i="2"/>
  <c r="AP238" i="2"/>
  <c r="BF238" i="2"/>
  <c r="Q239" i="2"/>
  <c r="AG239" i="2"/>
  <c r="AW239" i="2"/>
  <c r="BM239" i="2"/>
  <c r="T240" i="2"/>
  <c r="AJ240" i="2"/>
  <c r="AZ240" i="2"/>
  <c r="G241" i="2"/>
  <c r="W241" i="2"/>
  <c r="AM241" i="2"/>
  <c r="BC241" i="2"/>
  <c r="N242" i="2"/>
  <c r="AD242" i="2"/>
  <c r="AT242" i="2"/>
  <c r="BJ242" i="2"/>
  <c r="U243" i="2"/>
  <c r="AK243" i="2"/>
  <c r="BA243" i="2"/>
  <c r="H244" i="2"/>
  <c r="X244" i="2"/>
  <c r="AN244" i="2"/>
  <c r="BD244" i="2"/>
  <c r="K245" i="2"/>
  <c r="AA245" i="2"/>
  <c r="AQ245" i="2"/>
  <c r="BG245" i="2"/>
  <c r="R246" i="2"/>
  <c r="AH246" i="2"/>
  <c r="AX246" i="2"/>
  <c r="I247" i="2"/>
  <c r="Y247" i="2"/>
  <c r="AO247" i="2"/>
  <c r="BE247" i="2"/>
  <c r="L248" i="2"/>
  <c r="AB248" i="2"/>
  <c r="AR248" i="2"/>
  <c r="BH248" i="2"/>
  <c r="O249" i="2"/>
  <c r="AE249" i="2"/>
  <c r="AU249" i="2"/>
  <c r="BK249" i="2"/>
  <c r="S250" i="3"/>
  <c r="S250" i="2" s="1"/>
  <c r="S251" i="2"/>
  <c r="AI250" i="3"/>
  <c r="AI250" i="2" s="1"/>
  <c r="AI251" i="2"/>
  <c r="AY250" i="3"/>
  <c r="AY250" i="2" s="1"/>
  <c r="AY251" i="2"/>
  <c r="J252" i="2"/>
  <c r="Z252" i="2"/>
  <c r="AP252" i="2"/>
  <c r="BF252" i="2"/>
  <c r="Q253" i="2"/>
  <c r="AG253" i="2"/>
  <c r="AW253" i="2"/>
  <c r="BM253" i="2"/>
  <c r="T254" i="2"/>
  <c r="AJ254" i="2"/>
  <c r="AZ254" i="2"/>
  <c r="G255" i="2"/>
  <c r="W255" i="2"/>
  <c r="AM255" i="2"/>
  <c r="BC255" i="2"/>
  <c r="N256" i="2"/>
  <c r="AD256" i="2"/>
  <c r="AT256" i="2"/>
  <c r="BJ256" i="2"/>
  <c r="U257" i="2"/>
  <c r="AK257" i="2"/>
  <c r="BA257" i="2"/>
  <c r="H258" i="2"/>
  <c r="X258" i="2"/>
  <c r="AN258" i="2"/>
  <c r="BD258" i="2"/>
  <c r="K259" i="2"/>
  <c r="AA259" i="2"/>
  <c r="AQ259" i="2"/>
  <c r="BG259" i="2"/>
  <c r="R260" i="2"/>
  <c r="AH260" i="2"/>
  <c r="AX260" i="2"/>
  <c r="I261" i="2"/>
  <c r="Y261" i="2"/>
  <c r="AO261" i="2"/>
  <c r="BE261" i="2"/>
  <c r="L262" i="2"/>
  <c r="AB262" i="2"/>
  <c r="AR262" i="2"/>
  <c r="BH262" i="2"/>
  <c r="O263" i="2"/>
  <c r="AE263" i="2"/>
  <c r="AU263" i="2"/>
  <c r="BK263" i="2"/>
  <c r="V264" i="2"/>
  <c r="AL264" i="2"/>
  <c r="BB264" i="2"/>
  <c r="M265" i="2"/>
  <c r="AC265" i="2"/>
  <c r="AS265" i="2"/>
  <c r="BI265" i="2"/>
  <c r="P266" i="2"/>
  <c r="AF266" i="2"/>
  <c r="AV266" i="2"/>
  <c r="BL266" i="2"/>
  <c r="S267" i="2"/>
  <c r="AI267" i="2"/>
  <c r="AY267" i="2"/>
  <c r="J268" i="2"/>
  <c r="Z268" i="2"/>
  <c r="AP268" i="2"/>
  <c r="BF268" i="2"/>
  <c r="Q269" i="2"/>
  <c r="AG269" i="2"/>
  <c r="AW269" i="2"/>
  <c r="BM269" i="2"/>
  <c r="T270" i="2"/>
  <c r="AJ270" i="2"/>
  <c r="AZ270" i="2"/>
  <c r="G271" i="2"/>
  <c r="W271" i="2"/>
  <c r="AM271" i="2"/>
  <c r="BC271" i="2"/>
  <c r="N272" i="2"/>
  <c r="AD272" i="2"/>
  <c r="AT272" i="2"/>
  <c r="BJ272" i="2"/>
  <c r="U273" i="2"/>
  <c r="AK273" i="2"/>
  <c r="BA273" i="2"/>
  <c r="H274" i="2"/>
  <c r="X274" i="2"/>
  <c r="AN274" i="2"/>
  <c r="BD274" i="2"/>
  <c r="K275" i="2"/>
  <c r="AA275" i="2"/>
  <c r="AQ275" i="2"/>
  <c r="BG275" i="2"/>
  <c r="R276" i="2"/>
  <c r="AH276" i="2"/>
  <c r="AX276" i="2"/>
  <c r="I277" i="2"/>
  <c r="Y277" i="2"/>
  <c r="AO277" i="2"/>
  <c r="BE277" i="2"/>
  <c r="L278" i="2"/>
  <c r="AB278" i="2"/>
  <c r="AR278" i="2"/>
  <c r="BH278" i="2"/>
  <c r="O279" i="2"/>
  <c r="AE279" i="2"/>
  <c r="AU279" i="2"/>
  <c r="BK279" i="2"/>
  <c r="V280" i="2"/>
  <c r="AL280" i="2"/>
  <c r="BB280" i="2"/>
  <c r="M281" i="2"/>
  <c r="AC281" i="2"/>
  <c r="AS281" i="2"/>
  <c r="BI281" i="2"/>
  <c r="P282" i="2"/>
  <c r="AF282" i="2"/>
  <c r="AV282" i="2"/>
  <c r="BL282" i="2"/>
  <c r="S283" i="2"/>
  <c r="AI283" i="2"/>
  <c r="AY283" i="2"/>
  <c r="J284" i="2"/>
  <c r="Z284" i="2"/>
  <c r="AP284" i="2"/>
  <c r="BF284" i="2"/>
  <c r="Q285" i="2"/>
  <c r="AG285" i="2"/>
  <c r="AW285" i="2"/>
  <c r="BM285" i="2"/>
  <c r="T286" i="2"/>
  <c r="AJ286" i="2"/>
  <c r="AZ286" i="2"/>
  <c r="G287" i="2"/>
  <c r="W287" i="2"/>
  <c r="AM287" i="2"/>
  <c r="BC287" i="2"/>
  <c r="N288" i="2"/>
  <c r="AD288" i="2"/>
  <c r="AT288" i="2"/>
  <c r="BJ288" i="2"/>
  <c r="U289" i="2"/>
  <c r="AK289" i="2"/>
  <c r="BA289" i="2"/>
  <c r="H290" i="2"/>
  <c r="X290" i="2"/>
  <c r="AN290" i="2"/>
  <c r="BD290" i="2"/>
  <c r="M292" i="3"/>
  <c r="M292" i="2" s="1"/>
  <c r="M293" i="2"/>
  <c r="AC292" i="3"/>
  <c r="AC292" i="2" s="1"/>
  <c r="AC293" i="2"/>
  <c r="AS292" i="3"/>
  <c r="AS292" i="2" s="1"/>
  <c r="AS293" i="2"/>
  <c r="BI292" i="3"/>
  <c r="BI292" i="2" s="1"/>
  <c r="BI293" i="2"/>
  <c r="P294" i="2"/>
  <c r="AF294" i="2"/>
  <c r="AV294" i="2"/>
  <c r="BL294" i="2"/>
  <c r="S295" i="2"/>
  <c r="AI295" i="2"/>
  <c r="AY295" i="2"/>
  <c r="J296" i="2"/>
  <c r="Z296" i="2"/>
  <c r="AP296" i="2"/>
  <c r="BF296" i="2"/>
  <c r="Q297" i="2"/>
  <c r="AG297" i="2"/>
  <c r="AW297" i="2"/>
  <c r="BM297" i="2"/>
  <c r="T298" i="2"/>
  <c r="AJ298" i="2"/>
  <c r="AZ298" i="2"/>
  <c r="G299" i="2"/>
  <c r="W299" i="2"/>
  <c r="AM299" i="2"/>
  <c r="BC299" i="2"/>
  <c r="N300" i="2"/>
  <c r="AD300" i="2"/>
  <c r="AT300" i="2"/>
  <c r="BJ300" i="2"/>
  <c r="U301" i="2"/>
  <c r="AK301" i="2"/>
  <c r="BA301" i="2"/>
  <c r="H302" i="2"/>
  <c r="X302" i="2"/>
  <c r="AN302" i="2"/>
  <c r="BD302" i="2"/>
  <c r="K303" i="2"/>
  <c r="AA303" i="2"/>
  <c r="AQ303" i="2"/>
  <c r="BG303" i="2"/>
  <c r="R304" i="2"/>
  <c r="AH304" i="2"/>
  <c r="AX304" i="2"/>
  <c r="I305" i="2"/>
  <c r="Y305" i="2"/>
  <c r="AO305" i="2"/>
  <c r="BE305" i="2"/>
  <c r="L306" i="2"/>
  <c r="AB306" i="2"/>
  <c r="AR306" i="2"/>
  <c r="BH306" i="2"/>
  <c r="O307" i="2"/>
  <c r="AE307" i="2"/>
  <c r="AU307" i="2"/>
  <c r="BK307" i="2"/>
  <c r="V308" i="2"/>
  <c r="AL308" i="2"/>
  <c r="BB308" i="2"/>
  <c r="M309" i="2"/>
  <c r="AC309" i="2"/>
  <c r="AS309" i="2"/>
  <c r="BI309" i="2"/>
  <c r="P310" i="2"/>
  <c r="AF310" i="2"/>
  <c r="AV310" i="2"/>
  <c r="BL310" i="2"/>
  <c r="S311" i="2"/>
  <c r="AI311" i="2"/>
  <c r="AY311" i="2"/>
  <c r="J312" i="2"/>
  <c r="Z312" i="2"/>
  <c r="AP312" i="2"/>
  <c r="BF312" i="2"/>
  <c r="Q313" i="2"/>
  <c r="AG313" i="2"/>
  <c r="AW313" i="2"/>
  <c r="BM313" i="2"/>
  <c r="T314" i="2"/>
  <c r="AJ314" i="2"/>
  <c r="AZ314" i="2"/>
  <c r="G315" i="2"/>
  <c r="W315" i="2"/>
  <c r="AM315" i="2"/>
  <c r="BC315" i="2"/>
  <c r="N316" i="2"/>
  <c r="AD316" i="2"/>
  <c r="AT316" i="2"/>
  <c r="BJ316" i="2"/>
  <c r="U317" i="2"/>
  <c r="AK317" i="2"/>
  <c r="BA317" i="2"/>
  <c r="H318" i="2"/>
  <c r="X318" i="2"/>
  <c r="AN318" i="2"/>
  <c r="BD318" i="2"/>
  <c r="K319" i="2"/>
  <c r="AA319" i="2"/>
  <c r="AQ319" i="2"/>
  <c r="BG319" i="2"/>
  <c r="R320" i="2"/>
  <c r="AH320" i="2"/>
  <c r="AX320" i="2"/>
  <c r="I321" i="2"/>
  <c r="Y321" i="2"/>
  <c r="AO321" i="2"/>
  <c r="BE321" i="2"/>
  <c r="L322" i="2"/>
  <c r="AB322" i="2"/>
  <c r="AR322" i="2"/>
  <c r="BH322" i="2"/>
  <c r="O323" i="2"/>
  <c r="AE323" i="2"/>
  <c r="AU323" i="2"/>
  <c r="BK323" i="2"/>
  <c r="V324" i="2"/>
  <c r="AL324" i="2"/>
  <c r="BB324" i="2"/>
  <c r="M325" i="2"/>
  <c r="AC325" i="2"/>
  <c r="AS325" i="2"/>
  <c r="BI325" i="2"/>
  <c r="Q326" i="2"/>
  <c r="AL326" i="2"/>
  <c r="BH326" i="2"/>
  <c r="AA327" i="2"/>
  <c r="BG327" i="2"/>
  <c r="BK234" i="2"/>
  <c r="V235" i="2"/>
  <c r="AL235" i="2"/>
  <c r="BB235" i="2"/>
  <c r="M236" i="2"/>
  <c r="AC236" i="2"/>
  <c r="AS236" i="2"/>
  <c r="BI236" i="2"/>
  <c r="P237" i="2"/>
  <c r="AF237" i="2"/>
  <c r="AV237" i="2"/>
  <c r="BL237" i="2"/>
  <c r="S238" i="2"/>
  <c r="AI238" i="2"/>
  <c r="AY238" i="2"/>
  <c r="J239" i="2"/>
  <c r="Z239" i="2"/>
  <c r="AP239" i="2"/>
  <c r="BF239" i="2"/>
  <c r="Q240" i="2"/>
  <c r="AG240" i="2"/>
  <c r="AW240" i="2"/>
  <c r="BM240" i="2"/>
  <c r="T241" i="2"/>
  <c r="AJ241" i="2"/>
  <c r="AZ241" i="2"/>
  <c r="G242" i="2"/>
  <c r="W242" i="2"/>
  <c r="AM242" i="2"/>
  <c r="BC242" i="2"/>
  <c r="N243" i="2"/>
  <c r="AD243" i="2"/>
  <c r="AT243" i="2"/>
  <c r="BJ243" i="2"/>
  <c r="U244" i="2"/>
  <c r="AK244" i="2"/>
  <c r="BA244" i="2"/>
  <c r="H245" i="2"/>
  <c r="X245" i="2"/>
  <c r="AN245" i="2"/>
  <c r="BD245" i="2"/>
  <c r="K246" i="2"/>
  <c r="AA246" i="2"/>
  <c r="AQ246" i="2"/>
  <c r="BG246" i="2"/>
  <c r="R247" i="2"/>
  <c r="AH247" i="2"/>
  <c r="AX247" i="2"/>
  <c r="I248" i="2"/>
  <c r="Y248" i="2"/>
  <c r="AO248" i="2"/>
  <c r="BE248" i="2"/>
  <c r="L249" i="2"/>
  <c r="AB249" i="2"/>
  <c r="AR249" i="2"/>
  <c r="BH249" i="2"/>
  <c r="P250" i="3"/>
  <c r="P250" i="2" s="1"/>
  <c r="P251" i="2"/>
  <c r="AF250" i="3"/>
  <c r="AF250" i="2" s="1"/>
  <c r="AF251" i="2"/>
  <c r="AV250" i="3"/>
  <c r="AV250" i="2" s="1"/>
  <c r="AV251" i="2"/>
  <c r="BL250" i="3"/>
  <c r="BL250" i="2" s="1"/>
  <c r="BL251" i="2"/>
  <c r="S252" i="2"/>
  <c r="AI252" i="2"/>
  <c r="AY252" i="2"/>
  <c r="J253" i="2"/>
  <c r="Z253" i="2"/>
  <c r="AP253" i="2"/>
  <c r="BF253" i="2"/>
  <c r="Q254" i="2"/>
  <c r="AG254" i="2"/>
  <c r="AW254" i="2"/>
  <c r="BM254" i="2"/>
  <c r="T255" i="2"/>
  <c r="AJ255" i="2"/>
  <c r="AZ255" i="2"/>
  <c r="G256" i="2"/>
  <c r="W256" i="2"/>
  <c r="AM256" i="2"/>
  <c r="BC256" i="2"/>
  <c r="N257" i="2"/>
  <c r="AD257" i="2"/>
  <c r="AT257" i="2"/>
  <c r="BJ257" i="2"/>
  <c r="U258" i="2"/>
  <c r="AK258" i="2"/>
  <c r="BA258" i="2"/>
  <c r="H259" i="2"/>
  <c r="X259" i="2"/>
  <c r="AN259" i="2"/>
  <c r="BD259" i="2"/>
  <c r="K260" i="2"/>
  <c r="AA260" i="2"/>
  <c r="AQ260" i="2"/>
  <c r="BG260" i="2"/>
  <c r="R261" i="2"/>
  <c r="AH261" i="2"/>
  <c r="AX261" i="2"/>
  <c r="I262" i="2"/>
  <c r="Y262" i="2"/>
  <c r="AO262" i="2"/>
  <c r="BE262" i="2"/>
  <c r="L263" i="2"/>
  <c r="AB263" i="2"/>
  <c r="AR263" i="2"/>
  <c r="BH263" i="2"/>
  <c r="O264" i="2"/>
  <c r="AE264" i="2"/>
  <c r="AU264" i="2"/>
  <c r="BK264" i="2"/>
  <c r="V265" i="2"/>
  <c r="AL265" i="2"/>
  <c r="BB265" i="2"/>
  <c r="M266" i="2"/>
  <c r="AC266" i="2"/>
  <c r="AS266" i="2"/>
  <c r="BI266" i="2"/>
  <c r="P267" i="2"/>
  <c r="AF267" i="2"/>
  <c r="AV267" i="2"/>
  <c r="BL267" i="2"/>
  <c r="S268" i="2"/>
  <c r="AI268" i="2"/>
  <c r="AY268" i="2"/>
  <c r="J269" i="2"/>
  <c r="Z269" i="2"/>
  <c r="AP269" i="2"/>
  <c r="BF269" i="2"/>
  <c r="Q270" i="2"/>
  <c r="AG270" i="2"/>
  <c r="AW270" i="2"/>
  <c r="BM270" i="2"/>
  <c r="T271" i="2"/>
  <c r="AJ271" i="2"/>
  <c r="AZ271" i="2"/>
  <c r="G272" i="2"/>
  <c r="W272" i="2"/>
  <c r="AM272" i="2"/>
  <c r="BC272" i="2"/>
  <c r="N273" i="2"/>
  <c r="AD273" i="2"/>
  <c r="AT273" i="2"/>
  <c r="BJ273" i="2"/>
  <c r="U274" i="2"/>
  <c r="AK274" i="2"/>
  <c r="BA274" i="2"/>
  <c r="H275" i="2"/>
  <c r="X275" i="2"/>
  <c r="AN275" i="2"/>
  <c r="BD275" i="2"/>
  <c r="K276" i="2"/>
  <c r="AA276" i="2"/>
  <c r="AQ276" i="2"/>
  <c r="BG276" i="2"/>
  <c r="R277" i="2"/>
  <c r="AH277" i="2"/>
  <c r="AX277" i="2"/>
  <c r="I278" i="2"/>
  <c r="Y278" i="2"/>
  <c r="AO278" i="2"/>
  <c r="BE278" i="2"/>
  <c r="L279" i="2"/>
  <c r="AB279" i="2"/>
  <c r="AR279" i="2"/>
  <c r="BH279" i="2"/>
  <c r="O280" i="2"/>
  <c r="AE280" i="2"/>
  <c r="AU280" i="2"/>
  <c r="BK280" i="2"/>
  <c r="V281" i="2"/>
  <c r="AL281" i="2"/>
  <c r="BB281" i="2"/>
  <c r="M282" i="2"/>
  <c r="AC282" i="2"/>
  <c r="AS282" i="2"/>
  <c r="BI282" i="2"/>
  <c r="P283" i="2"/>
  <c r="AF283" i="2"/>
  <c r="AV283" i="2"/>
  <c r="BL283" i="2"/>
  <c r="S284" i="2"/>
  <c r="AI284" i="2"/>
  <c r="AY284" i="2"/>
  <c r="J285" i="2"/>
  <c r="Z285" i="2"/>
  <c r="AP285" i="2"/>
  <c r="BF285" i="2"/>
  <c r="Q286" i="2"/>
  <c r="AG286" i="2"/>
  <c r="AW286" i="2"/>
  <c r="BM286" i="2"/>
  <c r="T287" i="2"/>
  <c r="AJ287" i="2"/>
  <c r="AZ287" i="2"/>
  <c r="G288" i="2"/>
  <c r="W288" i="2"/>
  <c r="AM288" i="2"/>
  <c r="BC288" i="2"/>
  <c r="N289" i="2"/>
  <c r="AD289" i="2"/>
  <c r="AT289" i="2"/>
  <c r="BJ289" i="2"/>
  <c r="U290" i="2"/>
  <c r="AK290" i="2"/>
  <c r="BA290" i="2"/>
  <c r="J292" i="3"/>
  <c r="J292" i="2" s="1"/>
  <c r="J293" i="2"/>
  <c r="Z292" i="3"/>
  <c r="Z292" i="2" s="1"/>
  <c r="Z293" i="2"/>
  <c r="AP292" i="3"/>
  <c r="AP292" i="2" s="1"/>
  <c r="AP293" i="2"/>
  <c r="BF292" i="3"/>
  <c r="BF292" i="2" s="1"/>
  <c r="BF293" i="2"/>
  <c r="Q294" i="2"/>
  <c r="AG294" i="2"/>
  <c r="AW294" i="2"/>
  <c r="BM294" i="2"/>
  <c r="T295" i="2"/>
  <c r="AJ295" i="2"/>
  <c r="AZ295" i="2"/>
  <c r="G296" i="2"/>
  <c r="W296" i="2"/>
  <c r="AM296" i="2"/>
  <c r="BC296" i="2"/>
  <c r="N297" i="2"/>
  <c r="AD297" i="2"/>
  <c r="AT297" i="2"/>
  <c r="BJ297" i="2"/>
  <c r="U298" i="2"/>
  <c r="AK298" i="2"/>
  <c r="BA298" i="2"/>
  <c r="H299" i="2"/>
  <c r="X299" i="2"/>
  <c r="AN299" i="2"/>
  <c r="BD299" i="2"/>
  <c r="K300" i="2"/>
  <c r="AA300" i="2"/>
  <c r="AQ300" i="2"/>
  <c r="BG300" i="2"/>
  <c r="R301" i="2"/>
  <c r="AH301" i="2"/>
  <c r="AX301" i="2"/>
  <c r="I302" i="2"/>
  <c r="Y302" i="2"/>
  <c r="AO302" i="2"/>
  <c r="BE302" i="2"/>
  <c r="L303" i="2"/>
  <c r="AB303" i="2"/>
  <c r="AR303" i="2"/>
  <c r="BH303" i="2"/>
  <c r="O304" i="2"/>
  <c r="AE304" i="2"/>
  <c r="AU304" i="2"/>
  <c r="BK304" i="2"/>
  <c r="V305" i="2"/>
  <c r="AL305" i="2"/>
  <c r="BB305" i="2"/>
  <c r="M306" i="2"/>
  <c r="AC306" i="2"/>
  <c r="AS306" i="2"/>
  <c r="BI306" i="2"/>
  <c r="P307" i="2"/>
  <c r="AF307" i="2"/>
  <c r="AV307" i="2"/>
  <c r="BL307" i="2"/>
  <c r="S308" i="2"/>
  <c r="AI308" i="2"/>
  <c r="AY308" i="2"/>
  <c r="J309" i="2"/>
  <c r="Z309" i="2"/>
  <c r="AP309" i="2"/>
  <c r="BF309" i="2"/>
  <c r="Q310" i="2"/>
  <c r="AG310" i="2"/>
  <c r="AW310" i="2"/>
  <c r="BM310" i="2"/>
  <c r="T311" i="2"/>
  <c r="AJ311" i="2"/>
  <c r="AZ311" i="2"/>
  <c r="G312" i="2"/>
  <c r="W312" i="2"/>
  <c r="AM312" i="2"/>
  <c r="BC312" i="2"/>
  <c r="N313" i="2"/>
  <c r="AD313" i="2"/>
  <c r="AT313" i="2"/>
  <c r="BJ313" i="2"/>
  <c r="U314" i="2"/>
  <c r="AK314" i="2"/>
  <c r="BA314" i="2"/>
  <c r="H315" i="2"/>
  <c r="X315" i="2"/>
  <c r="AN315" i="2"/>
  <c r="BD315" i="2"/>
  <c r="K316" i="2"/>
  <c r="AA316" i="2"/>
  <c r="AQ316" i="2"/>
  <c r="BG316" i="2"/>
  <c r="R317" i="2"/>
  <c r="AH317" i="2"/>
  <c r="AX317" i="2"/>
  <c r="I318" i="2"/>
  <c r="Y318" i="2"/>
  <c r="AO318" i="2"/>
  <c r="BE318" i="2"/>
  <c r="L319" i="2"/>
  <c r="AB319" i="2"/>
  <c r="AR319" i="2"/>
  <c r="BH319" i="2"/>
  <c r="O320" i="2"/>
  <c r="AE320" i="2"/>
  <c r="AU320" i="2"/>
  <c r="BK320" i="2"/>
  <c r="V321" i="2"/>
  <c r="AL321" i="2"/>
  <c r="BB321" i="2"/>
  <c r="M322" i="2"/>
  <c r="AC322" i="2"/>
  <c r="AS322" i="2"/>
  <c r="BI322" i="2"/>
  <c r="P323" i="2"/>
  <c r="AF323" i="2"/>
  <c r="AV323" i="2"/>
  <c r="BL323" i="2"/>
  <c r="S324" i="2"/>
  <c r="AI324" i="2"/>
  <c r="AY324" i="2"/>
  <c r="J325" i="2"/>
  <c r="Z325" i="2"/>
  <c r="AP325" i="2"/>
  <c r="BF325" i="2"/>
  <c r="R326" i="2"/>
  <c r="AN326" i="2"/>
  <c r="BI326" i="2"/>
  <c r="AJ327" i="2"/>
  <c r="J328" i="2"/>
  <c r="Z328" i="2"/>
  <c r="AP328" i="2"/>
  <c r="BF328" i="2"/>
  <c r="Q329" i="2"/>
  <c r="AG329" i="2"/>
  <c r="AW329" i="2"/>
  <c r="BM329" i="2"/>
  <c r="T330" i="2"/>
  <c r="AJ330" i="2"/>
  <c r="AZ330" i="2"/>
  <c r="G331" i="2"/>
  <c r="W331" i="2"/>
  <c r="AM331" i="2"/>
  <c r="BC331" i="2"/>
  <c r="N332" i="2"/>
  <c r="AD332" i="2"/>
  <c r="AT332" i="2"/>
  <c r="BJ332" i="2"/>
  <c r="V333" i="3"/>
  <c r="V333" i="2" s="1"/>
  <c r="V334" i="2"/>
  <c r="AL333" i="3"/>
  <c r="AL333" i="2" s="1"/>
  <c r="AL334" i="2"/>
  <c r="BB333" i="3"/>
  <c r="BB333" i="2" s="1"/>
  <c r="BB334" i="2"/>
  <c r="M335" i="2"/>
  <c r="AC335" i="2"/>
  <c r="AS335" i="2"/>
  <c r="BI335" i="2"/>
  <c r="P336" i="2"/>
  <c r="AF336" i="2"/>
  <c r="AV336" i="2"/>
  <c r="BL336" i="2"/>
  <c r="S337" i="2"/>
  <c r="AI337" i="2"/>
  <c r="AY337" i="2"/>
  <c r="J338" i="2"/>
  <c r="Z338" i="2"/>
  <c r="AP338" i="2"/>
  <c r="BF338" i="2"/>
  <c r="Q339" i="2"/>
  <c r="AG339" i="2"/>
  <c r="AW339" i="2"/>
  <c r="BM339" i="2"/>
  <c r="T340" i="2"/>
  <c r="AJ340" i="2"/>
  <c r="AZ340" i="2"/>
  <c r="G341" i="2"/>
  <c r="W341" i="2"/>
  <c r="AM341" i="2"/>
  <c r="BC341" i="2"/>
  <c r="N342" i="2"/>
  <c r="AD342" i="2"/>
  <c r="AT342" i="2"/>
  <c r="BJ342" i="2"/>
  <c r="U343" i="2"/>
  <c r="AK343" i="2"/>
  <c r="BA343" i="2"/>
  <c r="H344" i="2"/>
  <c r="X344" i="2"/>
  <c r="AN344" i="2"/>
  <c r="BD344" i="2"/>
  <c r="K345" i="2"/>
  <c r="AA345" i="2"/>
  <c r="AQ345" i="2"/>
  <c r="BG345" i="2"/>
  <c r="R346" i="2"/>
  <c r="AH346" i="2"/>
  <c r="AX346" i="2"/>
  <c r="I347" i="2"/>
  <c r="Y347" i="2"/>
  <c r="AO347" i="2"/>
  <c r="BE347" i="2"/>
  <c r="L348" i="2"/>
  <c r="AB348" i="2"/>
  <c r="AR348" i="2"/>
  <c r="BH348" i="2"/>
  <c r="O349" i="2"/>
  <c r="AE349" i="2"/>
  <c r="AU349" i="2"/>
  <c r="BK349" i="2"/>
  <c r="V350" i="2"/>
  <c r="AL350" i="2"/>
  <c r="BB350" i="2"/>
  <c r="M351" i="2"/>
  <c r="AC351" i="2"/>
  <c r="AS351" i="2"/>
  <c r="BI351" i="2"/>
  <c r="P352" i="2"/>
  <c r="AF352" i="2"/>
  <c r="AV352" i="2"/>
  <c r="BL352" i="2"/>
  <c r="S353" i="2"/>
  <c r="AI353" i="2"/>
  <c r="AY353" i="2"/>
  <c r="J354" i="2"/>
  <c r="Z354" i="2"/>
  <c r="AP354" i="2"/>
  <c r="BF354" i="2"/>
  <c r="Q355" i="2"/>
  <c r="AG355" i="2"/>
  <c r="AW355" i="2"/>
  <c r="BM355" i="2"/>
  <c r="T356" i="2"/>
  <c r="AJ356" i="2"/>
  <c r="AZ356" i="2"/>
  <c r="G357" i="2"/>
  <c r="W357" i="2"/>
  <c r="AM357" i="2"/>
  <c r="BC357" i="2"/>
  <c r="N358" i="2"/>
  <c r="AD358" i="2"/>
  <c r="AT358" i="2"/>
  <c r="BJ358" i="2"/>
  <c r="U359" i="2"/>
  <c r="AK359" i="2"/>
  <c r="BA359" i="2"/>
  <c r="H360" i="2"/>
  <c r="X360" i="2"/>
  <c r="AN360" i="2"/>
  <c r="BD360" i="2"/>
  <c r="K361" i="2"/>
  <c r="AA361" i="2"/>
  <c r="AQ361" i="2"/>
  <c r="BG361" i="2"/>
  <c r="R362" i="2"/>
  <c r="AH362" i="2"/>
  <c r="AX362" i="2"/>
  <c r="I363" i="2"/>
  <c r="Y363" i="2"/>
  <c r="AO363" i="2"/>
  <c r="BE363" i="2"/>
  <c r="L364" i="2"/>
  <c r="AB364" i="2"/>
  <c r="AR364" i="2"/>
  <c r="BH364" i="2"/>
  <c r="O365" i="2"/>
  <c r="AE365" i="2"/>
  <c r="AU365" i="2"/>
  <c r="BK365" i="2"/>
  <c r="V366" i="2"/>
  <c r="AL366" i="2"/>
  <c r="BB366" i="2"/>
  <c r="M367" i="2"/>
  <c r="AC367" i="2"/>
  <c r="AS367" i="2"/>
  <c r="BI367" i="2"/>
  <c r="P368" i="2"/>
  <c r="AF368" i="2"/>
  <c r="AV368" i="2"/>
  <c r="BL368" i="2"/>
  <c r="S369" i="2"/>
  <c r="AI369" i="2"/>
  <c r="AY369" i="2"/>
  <c r="J370" i="2"/>
  <c r="Z370" i="2"/>
  <c r="AP370" i="2"/>
  <c r="BF370" i="2"/>
  <c r="Q371" i="2"/>
  <c r="AG371" i="2"/>
  <c r="AW371" i="2"/>
  <c r="BM371" i="2"/>
  <c r="T372" i="2"/>
  <c r="AJ372" i="2"/>
  <c r="AZ372" i="2"/>
  <c r="G373" i="2"/>
  <c r="W373" i="2"/>
  <c r="AM373" i="2"/>
  <c r="BC373" i="2"/>
  <c r="K374" i="3"/>
  <c r="K374" i="2" s="1"/>
  <c r="K375" i="2"/>
  <c r="AA374" i="3"/>
  <c r="AA374" i="2" s="1"/>
  <c r="AA375" i="2"/>
  <c r="AQ374" i="3"/>
  <c r="AQ374" i="2" s="1"/>
  <c r="AQ375" i="2"/>
  <c r="BG374" i="3"/>
  <c r="BG374" i="2" s="1"/>
  <c r="BG375" i="2"/>
  <c r="R376" i="2"/>
  <c r="AH376" i="2"/>
  <c r="AX376" i="2"/>
  <c r="I377" i="2"/>
  <c r="Y377" i="2"/>
  <c r="AO377" i="2"/>
  <c r="BE377" i="2"/>
  <c r="L378" i="2"/>
  <c r="AB378" i="2"/>
  <c r="AR378" i="2"/>
  <c r="BH378" i="2"/>
  <c r="O379" i="2"/>
  <c r="AE379" i="2"/>
  <c r="AU379" i="2"/>
  <c r="BK379" i="2"/>
  <c r="V380" i="2"/>
  <c r="AL380" i="2"/>
  <c r="BB380" i="2"/>
  <c r="M381" i="2"/>
  <c r="AC381" i="2"/>
  <c r="AS381" i="2"/>
  <c r="BI381" i="2"/>
  <c r="P382" i="2"/>
  <c r="AF382" i="2"/>
  <c r="AV382" i="2"/>
  <c r="BL382" i="2"/>
  <c r="S383" i="2"/>
  <c r="AI383" i="2"/>
  <c r="AY383" i="2"/>
  <c r="J384" i="2"/>
  <c r="Z384" i="2"/>
  <c r="AP384" i="2"/>
  <c r="BF384" i="2"/>
  <c r="Q385" i="2"/>
  <c r="AG385" i="2"/>
  <c r="AW385" i="2"/>
  <c r="BM385" i="2"/>
  <c r="T386" i="2"/>
  <c r="AJ386" i="2"/>
  <c r="AZ386" i="2"/>
  <c r="G387" i="2"/>
  <c r="W387" i="2"/>
  <c r="AM387" i="2"/>
  <c r="BC387" i="2"/>
  <c r="N388" i="2"/>
  <c r="AD388" i="2"/>
  <c r="AT388" i="2"/>
  <c r="BJ388" i="2"/>
  <c r="U389" i="2"/>
  <c r="AK389" i="2"/>
  <c r="BA389" i="2"/>
  <c r="H390" i="2"/>
  <c r="X390" i="2"/>
  <c r="AN390" i="2"/>
  <c r="BD390" i="2"/>
  <c r="K391" i="2"/>
  <c r="AA391" i="2"/>
  <c r="AQ391" i="2"/>
  <c r="BG391" i="2"/>
  <c r="R392" i="2"/>
  <c r="AH392" i="2"/>
  <c r="AX392" i="2"/>
  <c r="I393" i="2"/>
  <c r="Y393" i="2"/>
  <c r="AO393" i="2"/>
  <c r="BE393" i="2"/>
  <c r="L394" i="2"/>
  <c r="AB394" i="2"/>
  <c r="AR394" i="2"/>
  <c r="BH394" i="2"/>
  <c r="O395" i="2"/>
  <c r="AE395" i="2"/>
  <c r="AU395" i="2"/>
  <c r="BK395" i="2"/>
  <c r="V396" i="2"/>
  <c r="AL396" i="2"/>
  <c r="BB396" i="2"/>
  <c r="M397" i="2"/>
  <c r="AC397" i="2"/>
  <c r="AS397" i="2"/>
  <c r="BI397" i="2"/>
  <c r="P398" i="2"/>
  <c r="AF398" i="2"/>
  <c r="AV398" i="2"/>
  <c r="BL398" i="2"/>
  <c r="S399" i="2"/>
  <c r="AI399" i="2"/>
  <c r="AY399" i="2"/>
  <c r="J400" i="2"/>
  <c r="Z400" i="2"/>
  <c r="AP400" i="2"/>
  <c r="BF400" i="2"/>
  <c r="Q401" i="2"/>
  <c r="AG401" i="2"/>
  <c r="AW401" i="2"/>
  <c r="BM401" i="2"/>
  <c r="T402" i="2"/>
  <c r="AJ402" i="2"/>
  <c r="AZ402" i="2"/>
  <c r="G403" i="2"/>
  <c r="W403" i="2"/>
  <c r="AM403" i="2"/>
  <c r="BC403" i="2"/>
  <c r="N404" i="2"/>
  <c r="AD404" i="2"/>
  <c r="AT404" i="2"/>
  <c r="BJ404" i="2"/>
  <c r="U405" i="2"/>
  <c r="AK405" i="2"/>
  <c r="BA405" i="2"/>
  <c r="H406" i="2"/>
  <c r="X406" i="2"/>
  <c r="AN406" i="2"/>
  <c r="BD406" i="2"/>
  <c r="K407" i="2"/>
  <c r="AA407" i="2"/>
  <c r="AQ407" i="2"/>
  <c r="BG407" i="2"/>
  <c r="R408" i="2"/>
  <c r="AH408" i="2"/>
  <c r="AX408" i="2"/>
  <c r="I409" i="2"/>
  <c r="Y409" i="2"/>
  <c r="AO409" i="2"/>
  <c r="BE409" i="2"/>
  <c r="L410" i="2"/>
  <c r="AB410" i="2"/>
  <c r="AR410" i="2"/>
  <c r="BH410" i="2"/>
  <c r="O411" i="2"/>
  <c r="AE411" i="2"/>
  <c r="AU411" i="2"/>
  <c r="BK411" i="2"/>
  <c r="V412" i="2"/>
  <c r="AL412" i="2"/>
  <c r="BB412" i="2"/>
  <c r="M413" i="2"/>
  <c r="AC413" i="2"/>
  <c r="AS413" i="2"/>
  <c r="BI413" i="2"/>
  <c r="P414" i="2"/>
  <c r="AF414" i="2"/>
  <c r="AV414" i="2"/>
  <c r="BL414" i="2"/>
  <c r="T415" i="3"/>
  <c r="T415" i="2" s="1"/>
  <c r="T416" i="2"/>
  <c r="AJ415" i="3"/>
  <c r="AJ415" i="2" s="1"/>
  <c r="AJ416" i="2"/>
  <c r="AZ415" i="3"/>
  <c r="AZ415" i="2" s="1"/>
  <c r="AZ416" i="2"/>
  <c r="L417" i="2"/>
  <c r="O328" i="2"/>
  <c r="AE328" i="2"/>
  <c r="AU328" i="2"/>
  <c r="BK328" i="2"/>
  <c r="V329" i="2"/>
  <c r="AL329" i="2"/>
  <c r="BB329" i="2"/>
  <c r="M330" i="2"/>
  <c r="AC330" i="2"/>
  <c r="AS330" i="2"/>
  <c r="BI330" i="2"/>
  <c r="P331" i="2"/>
  <c r="AF331" i="2"/>
  <c r="AV331" i="2"/>
  <c r="BL331" i="2"/>
  <c r="S332" i="2"/>
  <c r="AI332" i="2"/>
  <c r="AY332" i="2"/>
  <c r="G333" i="3"/>
  <c r="G333" i="2" s="1"/>
  <c r="G334" i="2"/>
  <c r="W333" i="3"/>
  <c r="W333" i="2" s="1"/>
  <c r="W334" i="2"/>
  <c r="AM333" i="3"/>
  <c r="AM333" i="2" s="1"/>
  <c r="AM334" i="2"/>
  <c r="BC333" i="3"/>
  <c r="BC333" i="2" s="1"/>
  <c r="BC334" i="2"/>
  <c r="N335" i="2"/>
  <c r="AD335" i="2"/>
  <c r="AT335" i="2"/>
  <c r="BJ335" i="2"/>
  <c r="U336" i="2"/>
  <c r="AK336" i="2"/>
  <c r="BA336" i="2"/>
  <c r="H337" i="2"/>
  <c r="X337" i="2"/>
  <c r="AN337" i="2"/>
  <c r="BD337" i="2"/>
  <c r="K338" i="2"/>
  <c r="AA338" i="2"/>
  <c r="AQ338" i="2"/>
  <c r="BG338" i="2"/>
  <c r="R339" i="2"/>
  <c r="AH339" i="2"/>
  <c r="AX339" i="2"/>
  <c r="I340" i="2"/>
  <c r="Y340" i="2"/>
  <c r="AO340" i="2"/>
  <c r="BE340" i="2"/>
  <c r="L341" i="2"/>
  <c r="AB341" i="2"/>
  <c r="AR341" i="2"/>
  <c r="BH341" i="2"/>
  <c r="O342" i="2"/>
  <c r="AE342" i="2"/>
  <c r="AU342" i="2"/>
  <c r="BK342" i="2"/>
  <c r="V343" i="2"/>
  <c r="AL343" i="2"/>
  <c r="BB343" i="2"/>
  <c r="M344" i="2"/>
  <c r="AC344" i="2"/>
  <c r="AS344" i="2"/>
  <c r="BI344" i="2"/>
  <c r="P345" i="2"/>
  <c r="AF345" i="2"/>
  <c r="AV345" i="2"/>
  <c r="BL345" i="2"/>
  <c r="S346" i="2"/>
  <c r="AI346" i="2"/>
  <c r="AY346" i="2"/>
  <c r="J347" i="2"/>
  <c r="Z347" i="2"/>
  <c r="AP347" i="2"/>
  <c r="BF347" i="2"/>
  <c r="Q348" i="2"/>
  <c r="AG348" i="2"/>
  <c r="AW348" i="2"/>
  <c r="BM348" i="2"/>
  <c r="T349" i="2"/>
  <c r="AJ349" i="2"/>
  <c r="AZ349" i="2"/>
  <c r="G350" i="2"/>
  <c r="W350" i="2"/>
  <c r="AM350" i="2"/>
  <c r="BC350" i="2"/>
  <c r="N351" i="2"/>
  <c r="AD351" i="2"/>
  <c r="AT351" i="2"/>
  <c r="BJ351" i="2"/>
  <c r="U352" i="2"/>
  <c r="AK352" i="2"/>
  <c r="BA352" i="2"/>
  <c r="H353" i="2"/>
  <c r="X353" i="2"/>
  <c r="AN353" i="2"/>
  <c r="BD353" i="2"/>
  <c r="K354" i="2"/>
  <c r="AA354" i="2"/>
  <c r="AQ354" i="2"/>
  <c r="BG354" i="2"/>
  <c r="R355" i="2"/>
  <c r="AH355" i="2"/>
  <c r="AX355" i="2"/>
  <c r="I356" i="2"/>
  <c r="Y356" i="2"/>
  <c r="AO356" i="2"/>
  <c r="BE356" i="2"/>
  <c r="L357" i="2"/>
  <c r="AB357" i="2"/>
  <c r="AR357" i="2"/>
  <c r="BH357" i="2"/>
  <c r="O358" i="2"/>
  <c r="AE358" i="2"/>
  <c r="AU358" i="2"/>
  <c r="BK358" i="2"/>
  <c r="V359" i="2"/>
  <c r="AL359" i="2"/>
  <c r="BB359" i="2"/>
  <c r="M360" i="2"/>
  <c r="AC360" i="2"/>
  <c r="AS360" i="2"/>
  <c r="BI360" i="2"/>
  <c r="P361" i="2"/>
  <c r="AF361" i="2"/>
  <c r="AV361" i="2"/>
  <c r="BL361" i="2"/>
  <c r="S362" i="2"/>
  <c r="AI362" i="2"/>
  <c r="AY362" i="2"/>
  <c r="J363" i="2"/>
  <c r="Z363" i="2"/>
  <c r="AP363" i="2"/>
  <c r="BF363" i="2"/>
  <c r="Q364" i="2"/>
  <c r="AG364" i="2"/>
  <c r="AW364" i="2"/>
  <c r="BM364" i="2"/>
  <c r="T365" i="2"/>
  <c r="AJ365" i="2"/>
  <c r="AZ365" i="2"/>
  <c r="G366" i="2"/>
  <c r="W366" i="2"/>
  <c r="AM366" i="2"/>
  <c r="BC366" i="2"/>
  <c r="N367" i="2"/>
  <c r="AD367" i="2"/>
  <c r="AT367" i="2"/>
  <c r="BJ367" i="2"/>
  <c r="U368" i="2"/>
  <c r="AK368" i="2"/>
  <c r="BA368" i="2"/>
  <c r="H369" i="2"/>
  <c r="X369" i="2"/>
  <c r="AN369" i="2"/>
  <c r="BD369" i="2"/>
  <c r="K370" i="2"/>
  <c r="AA370" i="2"/>
  <c r="AQ370" i="2"/>
  <c r="BG370" i="2"/>
  <c r="R371" i="2"/>
  <c r="AH371" i="2"/>
  <c r="AX371" i="2"/>
  <c r="I372" i="2"/>
  <c r="Y372" i="2"/>
  <c r="AO372" i="2"/>
  <c r="BE372" i="2"/>
  <c r="L373" i="2"/>
  <c r="AB373" i="2"/>
  <c r="AR373" i="2"/>
  <c r="BH373" i="2"/>
  <c r="P374" i="3"/>
  <c r="P374" i="2" s="1"/>
  <c r="P375" i="2"/>
  <c r="AF374" i="3"/>
  <c r="AF374" i="2" s="1"/>
  <c r="AF375" i="2"/>
  <c r="AV374" i="3"/>
  <c r="AV374" i="2" s="1"/>
  <c r="AV375" i="2"/>
  <c r="BL374" i="3"/>
  <c r="BL374" i="2" s="1"/>
  <c r="BL375" i="2"/>
  <c r="S376" i="2"/>
  <c r="AI376" i="2"/>
  <c r="AY376" i="2"/>
  <c r="J377" i="2"/>
  <c r="Z377" i="2"/>
  <c r="AP377" i="2"/>
  <c r="BF377" i="2"/>
  <c r="Q378" i="2"/>
  <c r="AG378" i="2"/>
  <c r="AW378" i="2"/>
  <c r="BM378" i="2"/>
  <c r="T379" i="2"/>
  <c r="AJ379" i="2"/>
  <c r="AZ379" i="2"/>
  <c r="G380" i="2"/>
  <c r="W380" i="2"/>
  <c r="AM380" i="2"/>
  <c r="BC380" i="2"/>
  <c r="N381" i="2"/>
  <c r="AD381" i="2"/>
  <c r="AT381" i="2"/>
  <c r="BJ381" i="2"/>
  <c r="U382" i="2"/>
  <c r="AK382" i="2"/>
  <c r="BA382" i="2"/>
  <c r="H383" i="2"/>
  <c r="X383" i="2"/>
  <c r="AN383" i="2"/>
  <c r="BD383" i="2"/>
  <c r="K384" i="2"/>
  <c r="AA384" i="2"/>
  <c r="AQ384" i="2"/>
  <c r="BG384" i="2"/>
  <c r="R385" i="2"/>
  <c r="AH385" i="2"/>
  <c r="AX385" i="2"/>
  <c r="I386" i="2"/>
  <c r="Y386" i="2"/>
  <c r="AO386" i="2"/>
  <c r="BE386" i="2"/>
  <c r="L387" i="2"/>
  <c r="AB387" i="2"/>
  <c r="AR387" i="2"/>
  <c r="BH387" i="2"/>
  <c r="O388" i="2"/>
  <c r="AE388" i="2"/>
  <c r="AU388" i="2"/>
  <c r="BK388" i="2"/>
  <c r="V389" i="2"/>
  <c r="AL389" i="2"/>
  <c r="BB389" i="2"/>
  <c r="M390" i="2"/>
  <c r="AC390" i="2"/>
  <c r="AS390" i="2"/>
  <c r="BI390" i="2"/>
  <c r="P391" i="2"/>
  <c r="AF391" i="2"/>
  <c r="AV391" i="2"/>
  <c r="BL391" i="2"/>
  <c r="S392" i="2"/>
  <c r="AI392" i="2"/>
  <c r="AY392" i="2"/>
  <c r="J393" i="2"/>
  <c r="Z393" i="2"/>
  <c r="AP393" i="2"/>
  <c r="BF393" i="2"/>
  <c r="Q394" i="2"/>
  <c r="AG394" i="2"/>
  <c r="AW394" i="2"/>
  <c r="BM394" i="2"/>
  <c r="T395" i="2"/>
  <c r="AJ395" i="2"/>
  <c r="AZ395" i="2"/>
  <c r="G396" i="2"/>
  <c r="W396" i="2"/>
  <c r="AM396" i="2"/>
  <c r="BC396" i="2"/>
  <c r="N397" i="2"/>
  <c r="AD397" i="2"/>
  <c r="AT397" i="2"/>
  <c r="BJ397" i="2"/>
  <c r="U398" i="2"/>
  <c r="AK398" i="2"/>
  <c r="BA398" i="2"/>
  <c r="H399" i="2"/>
  <c r="X399" i="2"/>
  <c r="AN399" i="2"/>
  <c r="BD399" i="2"/>
  <c r="K400" i="2"/>
  <c r="AA400" i="2"/>
  <c r="AQ400" i="2"/>
  <c r="BG400" i="2"/>
  <c r="R401" i="2"/>
  <c r="AH401" i="2"/>
  <c r="AX401" i="2"/>
  <c r="I402" i="2"/>
  <c r="Y402" i="2"/>
  <c r="AO402" i="2"/>
  <c r="BE402" i="2"/>
  <c r="L403" i="2"/>
  <c r="AB403" i="2"/>
  <c r="AR403" i="2"/>
  <c r="BH403" i="2"/>
  <c r="O404" i="2"/>
  <c r="AE404" i="2"/>
  <c r="AU404" i="2"/>
  <c r="BK404" i="2"/>
  <c r="V405" i="2"/>
  <c r="AL405" i="2"/>
  <c r="BB405" i="2"/>
  <c r="M406" i="2"/>
  <c r="AC406" i="2"/>
  <c r="AS406" i="2"/>
  <c r="BI406" i="2"/>
  <c r="P407" i="2"/>
  <c r="AF407" i="2"/>
  <c r="AV407" i="2"/>
  <c r="BL407" i="2"/>
  <c r="S408" i="2"/>
  <c r="AI408" i="2"/>
  <c r="AY408" i="2"/>
  <c r="J409" i="2"/>
  <c r="Z409" i="2"/>
  <c r="AP409" i="2"/>
  <c r="BF409" i="2"/>
  <c r="Q410" i="2"/>
  <c r="AG410" i="2"/>
  <c r="AW410" i="2"/>
  <c r="BM410" i="2"/>
  <c r="T411" i="2"/>
  <c r="AJ411" i="2"/>
  <c r="AZ411" i="2"/>
  <c r="G412" i="2"/>
  <c r="W412" i="2"/>
  <c r="AM412" i="2"/>
  <c r="BC412" i="2"/>
  <c r="N413" i="2"/>
  <c r="AD413" i="2"/>
  <c r="AT413" i="2"/>
  <c r="BJ413" i="2"/>
  <c r="U414" i="2"/>
  <c r="AK414" i="2"/>
  <c r="BA414" i="2"/>
  <c r="I415" i="3"/>
  <c r="I415" i="2" s="1"/>
  <c r="I416" i="2"/>
  <c r="Y415" i="3"/>
  <c r="Y415" i="2" s="1"/>
  <c r="Y416" i="2"/>
  <c r="AO415" i="3"/>
  <c r="AO415" i="2" s="1"/>
  <c r="AO416" i="2"/>
  <c r="BE415" i="3"/>
  <c r="BE415" i="2" s="1"/>
  <c r="BE416" i="2"/>
  <c r="AF417" i="2"/>
  <c r="U327" i="2"/>
  <c r="AK327" i="2"/>
  <c r="BA327" i="2"/>
  <c r="H328" i="2"/>
  <c r="X328" i="2"/>
  <c r="AN328" i="2"/>
  <c r="BD328" i="2"/>
  <c r="K329" i="2"/>
  <c r="AA329" i="2"/>
  <c r="AQ329" i="2"/>
  <c r="BG329" i="2"/>
  <c r="R330" i="2"/>
  <c r="AH330" i="2"/>
  <c r="AX330" i="2"/>
  <c r="I331" i="2"/>
  <c r="Y331" i="2"/>
  <c r="AO331" i="2"/>
  <c r="BE331" i="2"/>
  <c r="L332" i="2"/>
  <c r="AB332" i="2"/>
  <c r="AR332" i="2"/>
  <c r="BH332" i="2"/>
  <c r="P333" i="3"/>
  <c r="P333" i="2" s="1"/>
  <c r="P334" i="2"/>
  <c r="AF333" i="3"/>
  <c r="AF333" i="2" s="1"/>
  <c r="AF334" i="2"/>
  <c r="AV333" i="3"/>
  <c r="AV333" i="2" s="1"/>
  <c r="AV334" i="2"/>
  <c r="BL333" i="3"/>
  <c r="BL333" i="2" s="1"/>
  <c r="BL334" i="2"/>
  <c r="S335" i="2"/>
  <c r="AI335" i="2"/>
  <c r="AY335" i="2"/>
  <c r="J336" i="2"/>
  <c r="Z336" i="2"/>
  <c r="AP336" i="2"/>
  <c r="BF336" i="2"/>
  <c r="Q337" i="2"/>
  <c r="AG337" i="2"/>
  <c r="AW337" i="2"/>
  <c r="BM337" i="2"/>
  <c r="T338" i="2"/>
  <c r="AJ338" i="2"/>
  <c r="AZ338" i="2"/>
  <c r="G339" i="2"/>
  <c r="W339" i="2"/>
  <c r="AM339" i="2"/>
  <c r="BC339" i="2"/>
  <c r="N340" i="2"/>
  <c r="AD340" i="2"/>
  <c r="AT340" i="2"/>
  <c r="BJ340" i="2"/>
  <c r="U341" i="2"/>
  <c r="AK341" i="2"/>
  <c r="BA341" i="2"/>
  <c r="H342" i="2"/>
  <c r="X342" i="2"/>
  <c r="AN342" i="2"/>
  <c r="BD342" i="2"/>
  <c r="K343" i="2"/>
  <c r="AA343" i="2"/>
  <c r="AQ343" i="2"/>
  <c r="BG343" i="2"/>
  <c r="R344" i="2"/>
  <c r="AH344" i="2"/>
  <c r="AX344" i="2"/>
  <c r="I345" i="2"/>
  <c r="Y345" i="2"/>
  <c r="AO345" i="2"/>
  <c r="BE345" i="2"/>
  <c r="L346" i="2"/>
  <c r="AB346" i="2"/>
  <c r="AR346" i="2"/>
  <c r="BH346" i="2"/>
  <c r="O347" i="2"/>
  <c r="AE347" i="2"/>
  <c r="AU347" i="2"/>
  <c r="BK347" i="2"/>
  <c r="V348" i="2"/>
  <c r="AL348" i="2"/>
  <c r="BB348" i="2"/>
  <c r="M349" i="2"/>
  <c r="AC349" i="2"/>
  <c r="AS349" i="2"/>
  <c r="BI349" i="2"/>
  <c r="P350" i="2"/>
  <c r="AF350" i="2"/>
  <c r="AV350" i="2"/>
  <c r="BL350" i="2"/>
  <c r="S351" i="2"/>
  <c r="AI351" i="2"/>
  <c r="AY351" i="2"/>
  <c r="J352" i="2"/>
  <c r="Z352" i="2"/>
  <c r="AP352" i="2"/>
  <c r="BF352" i="2"/>
  <c r="Q353" i="2"/>
  <c r="AG353" i="2"/>
  <c r="AW353" i="2"/>
  <c r="BM353" i="2"/>
  <c r="T354" i="2"/>
  <c r="AJ354" i="2"/>
  <c r="AZ354" i="2"/>
  <c r="G355" i="2"/>
  <c r="W355" i="2"/>
  <c r="AM355" i="2"/>
  <c r="BC355" i="2"/>
  <c r="N356" i="2"/>
  <c r="AD356" i="2"/>
  <c r="AT356" i="2"/>
  <c r="BJ356" i="2"/>
  <c r="U357" i="2"/>
  <c r="AK357" i="2"/>
  <c r="BA357" i="2"/>
  <c r="H358" i="2"/>
  <c r="X358" i="2"/>
  <c r="AN358" i="2"/>
  <c r="BD358" i="2"/>
  <c r="K359" i="2"/>
  <c r="AA359" i="2"/>
  <c r="AQ359" i="2"/>
  <c r="BG359" i="2"/>
  <c r="R360" i="2"/>
  <c r="AH360" i="2"/>
  <c r="AX360" i="2"/>
  <c r="I361" i="2"/>
  <c r="Y361" i="2"/>
  <c r="AO361" i="2"/>
  <c r="BE361" i="2"/>
  <c r="L362" i="2"/>
  <c r="AB362" i="2"/>
  <c r="AR362" i="2"/>
  <c r="BH362" i="2"/>
  <c r="O363" i="2"/>
  <c r="AE363" i="2"/>
  <c r="AU363" i="2"/>
  <c r="BK363" i="2"/>
  <c r="V364" i="2"/>
  <c r="AL364" i="2"/>
  <c r="BB364" i="2"/>
  <c r="M365" i="2"/>
  <c r="AC365" i="2"/>
  <c r="AS365" i="2"/>
  <c r="BI365" i="2"/>
  <c r="P366" i="2"/>
  <c r="AF366" i="2"/>
  <c r="AV366" i="2"/>
  <c r="BL366" i="2"/>
  <c r="S367" i="2"/>
  <c r="AI367" i="2"/>
  <c r="AY367" i="2"/>
  <c r="J368" i="2"/>
  <c r="Z368" i="2"/>
  <c r="AP368" i="2"/>
  <c r="BF368" i="2"/>
  <c r="Q369" i="2"/>
  <c r="AG369" i="2"/>
  <c r="AW369" i="2"/>
  <c r="BM369" i="2"/>
  <c r="T370" i="2"/>
  <c r="AJ370" i="2"/>
  <c r="AZ370" i="2"/>
  <c r="G371" i="2"/>
  <c r="W371" i="2"/>
  <c r="AM371" i="2"/>
  <c r="BC371" i="2"/>
  <c r="N372" i="2"/>
  <c r="AD372" i="2"/>
  <c r="AT372" i="2"/>
  <c r="BJ372" i="2"/>
  <c r="U373" i="2"/>
  <c r="AK373" i="2"/>
  <c r="BA373" i="2"/>
  <c r="I374" i="3"/>
  <c r="I374" i="2" s="1"/>
  <c r="I375" i="2"/>
  <c r="Y374" i="3"/>
  <c r="Y374" i="2" s="1"/>
  <c r="Y375" i="2"/>
  <c r="AO374" i="3"/>
  <c r="AO374" i="2" s="1"/>
  <c r="AO375" i="2"/>
  <c r="BE374" i="3"/>
  <c r="BE374" i="2" s="1"/>
  <c r="BE375" i="2"/>
  <c r="L376" i="2"/>
  <c r="AB376" i="2"/>
  <c r="AR376" i="2"/>
  <c r="BH376" i="2"/>
  <c r="O377" i="2"/>
  <c r="AE377" i="2"/>
  <c r="AU377" i="2"/>
  <c r="BK377" i="2"/>
  <c r="V378" i="2"/>
  <c r="AL378" i="2"/>
  <c r="BB378" i="2"/>
  <c r="M379" i="2"/>
  <c r="AC379" i="2"/>
  <c r="AS379" i="2"/>
  <c r="BI379" i="2"/>
  <c r="P380" i="2"/>
  <c r="AF380" i="2"/>
  <c r="AV380" i="2"/>
  <c r="BL380" i="2"/>
  <c r="S381" i="2"/>
  <c r="AI381" i="2"/>
  <c r="AY381" i="2"/>
  <c r="J382" i="2"/>
  <c r="Z382" i="2"/>
  <c r="AP382" i="2"/>
  <c r="BF382" i="2"/>
  <c r="Q383" i="2"/>
  <c r="AG383" i="2"/>
  <c r="AW383" i="2"/>
  <c r="BM383" i="2"/>
  <c r="T384" i="2"/>
  <c r="AJ384" i="2"/>
  <c r="AZ384" i="2"/>
  <c r="G385" i="2"/>
  <c r="W385" i="2"/>
  <c r="AM385" i="2"/>
  <c r="BC385" i="2"/>
  <c r="N386" i="2"/>
  <c r="AD386" i="2"/>
  <c r="AT386" i="2"/>
  <c r="BJ386" i="2"/>
  <c r="U387" i="2"/>
  <c r="AK387" i="2"/>
  <c r="BA387" i="2"/>
  <c r="H388" i="2"/>
  <c r="X388" i="2"/>
  <c r="AN388" i="2"/>
  <c r="BD388" i="2"/>
  <c r="K389" i="2"/>
  <c r="AA389" i="2"/>
  <c r="AQ389" i="2"/>
  <c r="BG389" i="2"/>
  <c r="R390" i="2"/>
  <c r="AH390" i="2"/>
  <c r="AX390" i="2"/>
  <c r="I391" i="2"/>
  <c r="Y391" i="2"/>
  <c r="AO391" i="2"/>
  <c r="BE391" i="2"/>
  <c r="L392" i="2"/>
  <c r="AB392" i="2"/>
  <c r="AR392" i="2"/>
  <c r="BH392" i="2"/>
  <c r="O393" i="2"/>
  <c r="AE393" i="2"/>
  <c r="AU393" i="2"/>
  <c r="BK393" i="2"/>
  <c r="V394" i="2"/>
  <c r="AL394" i="2"/>
  <c r="BB394" i="2"/>
  <c r="M395" i="2"/>
  <c r="AC395" i="2"/>
  <c r="AS395" i="2"/>
  <c r="BI395" i="2"/>
  <c r="P396" i="2"/>
  <c r="AF396" i="2"/>
  <c r="AV396" i="2"/>
  <c r="BL396" i="2"/>
  <c r="S397" i="2"/>
  <c r="AI397" i="2"/>
  <c r="AY397" i="2"/>
  <c r="J398" i="2"/>
  <c r="Z398" i="2"/>
  <c r="AP398" i="2"/>
  <c r="BF398" i="2"/>
  <c r="Q399" i="2"/>
  <c r="AG399" i="2"/>
  <c r="AW399" i="2"/>
  <c r="BM399" i="2"/>
  <c r="T400" i="2"/>
  <c r="AJ400" i="2"/>
  <c r="AZ400" i="2"/>
  <c r="G401" i="2"/>
  <c r="W401" i="2"/>
  <c r="AM401" i="2"/>
  <c r="BC401" i="2"/>
  <c r="N402" i="2"/>
  <c r="AD402" i="2"/>
  <c r="AT402" i="2"/>
  <c r="BJ402" i="2"/>
  <c r="U403" i="2"/>
  <c r="AK403" i="2"/>
  <c r="BA403" i="2"/>
  <c r="H404" i="2"/>
  <c r="X404" i="2"/>
  <c r="AN404" i="2"/>
  <c r="BD404" i="2"/>
  <c r="K405" i="2"/>
  <c r="AA405" i="2"/>
  <c r="AQ405" i="2"/>
  <c r="BG405" i="2"/>
  <c r="R406" i="2"/>
  <c r="AH406" i="2"/>
  <c r="AX406" i="2"/>
  <c r="I407" i="2"/>
  <c r="Y407" i="2"/>
  <c r="AO407" i="2"/>
  <c r="BE407" i="2"/>
  <c r="L408" i="2"/>
  <c r="AB408" i="2"/>
  <c r="AR408" i="2"/>
  <c r="BH408" i="2"/>
  <c r="O409" i="2"/>
  <c r="AE409" i="2"/>
  <c r="AU409" i="2"/>
  <c r="BK409" i="2"/>
  <c r="V410" i="2"/>
  <c r="AL410" i="2"/>
  <c r="BB410" i="2"/>
  <c r="M411" i="2"/>
  <c r="AC411" i="2"/>
  <c r="AS411" i="2"/>
  <c r="BI411" i="2"/>
  <c r="P412" i="2"/>
  <c r="AF412" i="2"/>
  <c r="AV412" i="2"/>
  <c r="BL412" i="2"/>
  <c r="S413" i="2"/>
  <c r="AI413" i="2"/>
  <c r="AY413" i="2"/>
  <c r="J414" i="2"/>
  <c r="Z414" i="2"/>
  <c r="AP414" i="2"/>
  <c r="BF414" i="2"/>
  <c r="R415" i="3"/>
  <c r="R415" i="2" s="1"/>
  <c r="R416" i="2"/>
  <c r="AH415" i="3"/>
  <c r="AH415" i="2" s="1"/>
  <c r="AH416" i="2"/>
  <c r="AX415" i="3"/>
  <c r="AX415" i="2" s="1"/>
  <c r="AX416" i="2"/>
  <c r="T417" i="2"/>
  <c r="AA326" i="2"/>
  <c r="AQ326" i="2"/>
  <c r="BG326" i="2"/>
  <c r="R327" i="2"/>
  <c r="AH327" i="2"/>
  <c r="AX327" i="2"/>
  <c r="I328" i="2"/>
  <c r="Y328" i="2"/>
  <c r="AO328" i="2"/>
  <c r="BE328" i="2"/>
  <c r="L329" i="2"/>
  <c r="AB329" i="2"/>
  <c r="AR329" i="2"/>
  <c r="BH329" i="2"/>
  <c r="O330" i="2"/>
  <c r="AE330" i="2"/>
  <c r="AU330" i="2"/>
  <c r="BK330" i="2"/>
  <c r="V331" i="2"/>
  <c r="AL331" i="2"/>
  <c r="BB331" i="2"/>
  <c r="M332" i="2"/>
  <c r="AC332" i="2"/>
  <c r="AS332" i="2"/>
  <c r="BI332" i="2"/>
  <c r="Q333" i="3"/>
  <c r="Q333" i="2" s="1"/>
  <c r="Q334" i="2"/>
  <c r="AG333" i="3"/>
  <c r="AG333" i="2" s="1"/>
  <c r="AG334" i="2"/>
  <c r="AW333" i="3"/>
  <c r="AW333" i="2" s="1"/>
  <c r="AW334" i="2"/>
  <c r="BM333" i="3"/>
  <c r="BM333" i="2" s="1"/>
  <c r="BM334" i="2"/>
  <c r="T335" i="2"/>
  <c r="AJ335" i="2"/>
  <c r="AZ335" i="2"/>
  <c r="G336" i="2"/>
  <c r="W336" i="2"/>
  <c r="AM336" i="2"/>
  <c r="BC336" i="2"/>
  <c r="N337" i="2"/>
  <c r="AD337" i="2"/>
  <c r="AT337" i="2"/>
  <c r="BJ337" i="2"/>
  <c r="U338" i="2"/>
  <c r="AK338" i="2"/>
  <c r="BA338" i="2"/>
  <c r="H339" i="2"/>
  <c r="X339" i="2"/>
  <c r="AN339" i="2"/>
  <c r="BD339" i="2"/>
  <c r="K340" i="2"/>
  <c r="AA340" i="2"/>
  <c r="AQ340" i="2"/>
  <c r="BG340" i="2"/>
  <c r="R341" i="2"/>
  <c r="AH341" i="2"/>
  <c r="AX341" i="2"/>
  <c r="I342" i="2"/>
  <c r="Y342" i="2"/>
  <c r="AO342" i="2"/>
  <c r="BE342" i="2"/>
  <c r="L343" i="2"/>
  <c r="AB343" i="2"/>
  <c r="AR343" i="2"/>
  <c r="BH343" i="2"/>
  <c r="O344" i="2"/>
  <c r="AE344" i="2"/>
  <c r="AU344" i="2"/>
  <c r="BK344" i="2"/>
  <c r="V345" i="2"/>
  <c r="AL345" i="2"/>
  <c r="BB345" i="2"/>
  <c r="M346" i="2"/>
  <c r="AC346" i="2"/>
  <c r="AS346" i="2"/>
  <c r="BI346" i="2"/>
  <c r="P347" i="2"/>
  <c r="AF347" i="2"/>
  <c r="AV347" i="2"/>
  <c r="BL347" i="2"/>
  <c r="S348" i="2"/>
  <c r="AI348" i="2"/>
  <c r="AY348" i="2"/>
  <c r="J349" i="2"/>
  <c r="Z349" i="2"/>
  <c r="AP349" i="2"/>
  <c r="BF349" i="2"/>
  <c r="Q350" i="2"/>
  <c r="AG350" i="2"/>
  <c r="AW350" i="2"/>
  <c r="BM350" i="2"/>
  <c r="T351" i="2"/>
  <c r="AJ351" i="2"/>
  <c r="AZ351" i="2"/>
  <c r="G352" i="2"/>
  <c r="W352" i="2"/>
  <c r="AM352" i="2"/>
  <c r="BC352" i="2"/>
  <c r="N353" i="2"/>
  <c r="AD353" i="2"/>
  <c r="AT353" i="2"/>
  <c r="BJ353" i="2"/>
  <c r="U354" i="2"/>
  <c r="AK354" i="2"/>
  <c r="BA354" i="2"/>
  <c r="H355" i="2"/>
  <c r="X355" i="2"/>
  <c r="AN355" i="2"/>
  <c r="BD355" i="2"/>
  <c r="K356" i="2"/>
  <c r="AA356" i="2"/>
  <c r="AQ356" i="2"/>
  <c r="BG356" i="2"/>
  <c r="R357" i="2"/>
  <c r="AH357" i="2"/>
  <c r="AX357" i="2"/>
  <c r="I358" i="2"/>
  <c r="Y358" i="2"/>
  <c r="AO358" i="2"/>
  <c r="BE358" i="2"/>
  <c r="L359" i="2"/>
  <c r="AB359" i="2"/>
  <c r="AR359" i="2"/>
  <c r="BH359" i="2"/>
  <c r="O360" i="2"/>
  <c r="AE360" i="2"/>
  <c r="AU360" i="2"/>
  <c r="BK360" i="2"/>
  <c r="V361" i="2"/>
  <c r="AL361" i="2"/>
  <c r="BB361" i="2"/>
  <c r="M362" i="2"/>
  <c r="AC362" i="2"/>
  <c r="AS362" i="2"/>
  <c r="BI362" i="2"/>
  <c r="P363" i="2"/>
  <c r="AF363" i="2"/>
  <c r="AV363" i="2"/>
  <c r="BL363" i="2"/>
  <c r="S364" i="2"/>
  <c r="AI364" i="2"/>
  <c r="AY364" i="2"/>
  <c r="J365" i="2"/>
  <c r="Z365" i="2"/>
  <c r="AP365" i="2"/>
  <c r="BF365" i="2"/>
  <c r="Q366" i="2"/>
  <c r="AG366" i="2"/>
  <c r="AW366" i="2"/>
  <c r="BM366" i="2"/>
  <c r="T367" i="2"/>
  <c r="AJ367" i="2"/>
  <c r="AZ367" i="2"/>
  <c r="G368" i="2"/>
  <c r="W368" i="2"/>
  <c r="AM368" i="2"/>
  <c r="BC368" i="2"/>
  <c r="N369" i="2"/>
  <c r="AD369" i="2"/>
  <c r="AT369" i="2"/>
  <c r="BJ369" i="2"/>
  <c r="U370" i="2"/>
  <c r="AK370" i="2"/>
  <c r="BA370" i="2"/>
  <c r="H371" i="2"/>
  <c r="X371" i="2"/>
  <c r="AN371" i="2"/>
  <c r="BD371" i="2"/>
  <c r="K372" i="2"/>
  <c r="AA372" i="2"/>
  <c r="AQ372" i="2"/>
  <c r="BG372" i="2"/>
  <c r="R373" i="2"/>
  <c r="AH373" i="2"/>
  <c r="AX373" i="2"/>
  <c r="J374" i="3"/>
  <c r="J374" i="2" s="1"/>
  <c r="J375" i="2"/>
  <c r="Z374" i="3"/>
  <c r="Z374" i="2" s="1"/>
  <c r="Z375" i="2"/>
  <c r="AP374" i="3"/>
  <c r="AP374" i="2" s="1"/>
  <c r="AP375" i="2"/>
  <c r="BF374" i="3"/>
  <c r="BF374" i="2" s="1"/>
  <c r="BF375" i="2"/>
  <c r="Q376" i="2"/>
  <c r="AG376" i="2"/>
  <c r="AW376" i="2"/>
  <c r="BM376" i="2"/>
  <c r="T377" i="2"/>
  <c r="AJ377" i="2"/>
  <c r="AZ377" i="2"/>
  <c r="G378" i="2"/>
  <c r="W378" i="2"/>
  <c r="AM378" i="2"/>
  <c r="BC378" i="2"/>
  <c r="N379" i="2"/>
  <c r="AD379" i="2"/>
  <c r="AT379" i="2"/>
  <c r="BJ379" i="2"/>
  <c r="U380" i="2"/>
  <c r="AK380" i="2"/>
  <c r="BA380" i="2"/>
  <c r="H381" i="2"/>
  <c r="X381" i="2"/>
  <c r="AN381" i="2"/>
  <c r="BD381" i="2"/>
  <c r="K382" i="2"/>
  <c r="AA382" i="2"/>
  <c r="AQ382" i="2"/>
  <c r="BG382" i="2"/>
  <c r="R383" i="2"/>
  <c r="AH383" i="2"/>
  <c r="AX383" i="2"/>
  <c r="I384" i="2"/>
  <c r="Y384" i="2"/>
  <c r="AO384" i="2"/>
  <c r="BE384" i="2"/>
  <c r="L385" i="2"/>
  <c r="AB385" i="2"/>
  <c r="AR385" i="2"/>
  <c r="BH385" i="2"/>
  <c r="O386" i="2"/>
  <c r="AE386" i="2"/>
  <c r="AU386" i="2"/>
  <c r="BK386" i="2"/>
  <c r="V387" i="2"/>
  <c r="AL387" i="2"/>
  <c r="BB387" i="2"/>
  <c r="M388" i="2"/>
  <c r="AC388" i="2"/>
  <c r="AS388" i="2"/>
  <c r="BI388" i="2"/>
  <c r="P389" i="2"/>
  <c r="AF389" i="2"/>
  <c r="AV389" i="2"/>
  <c r="BL389" i="2"/>
  <c r="S390" i="2"/>
  <c r="AI390" i="2"/>
  <c r="AY390" i="2"/>
  <c r="J391" i="2"/>
  <c r="Z391" i="2"/>
  <c r="AP391" i="2"/>
  <c r="BF391" i="2"/>
  <c r="Q392" i="2"/>
  <c r="AG392" i="2"/>
  <c r="AW392" i="2"/>
  <c r="BM392" i="2"/>
  <c r="T393" i="2"/>
  <c r="AJ393" i="2"/>
  <c r="AZ393" i="2"/>
  <c r="G394" i="2"/>
  <c r="W394" i="2"/>
  <c r="AM394" i="2"/>
  <c r="BC394" i="2"/>
  <c r="N395" i="2"/>
  <c r="AD395" i="2"/>
  <c r="AT395" i="2"/>
  <c r="BJ395" i="2"/>
  <c r="U396" i="2"/>
  <c r="AK396" i="2"/>
  <c r="BA396" i="2"/>
  <c r="H397" i="2"/>
  <c r="X397" i="2"/>
  <c r="AN397" i="2"/>
  <c r="BD397" i="2"/>
  <c r="K398" i="2"/>
  <c r="AA398" i="2"/>
  <c r="AQ398" i="2"/>
  <c r="BG398" i="2"/>
  <c r="R399" i="2"/>
  <c r="AH399" i="2"/>
  <c r="AX399" i="2"/>
  <c r="I400" i="2"/>
  <c r="Y400" i="2"/>
  <c r="AO400" i="2"/>
  <c r="BE400" i="2"/>
  <c r="L401" i="2"/>
  <c r="AB401" i="2"/>
  <c r="AR401" i="2"/>
  <c r="BH401" i="2"/>
  <c r="O402" i="2"/>
  <c r="AE402" i="2"/>
  <c r="AU402" i="2"/>
  <c r="BK402" i="2"/>
  <c r="V403" i="2"/>
  <c r="AL403" i="2"/>
  <c r="BB403" i="2"/>
  <c r="M404" i="2"/>
  <c r="AC404" i="2"/>
  <c r="AS404" i="2"/>
  <c r="BI404" i="2"/>
  <c r="P405" i="2"/>
  <c r="AF405" i="2"/>
  <c r="AV405" i="2"/>
  <c r="BL405" i="2"/>
  <c r="S406" i="2"/>
  <c r="AI406" i="2"/>
  <c r="AY406" i="2"/>
  <c r="J407" i="2"/>
  <c r="Z407" i="2"/>
  <c r="AP407" i="2"/>
  <c r="BF407" i="2"/>
  <c r="Q408" i="2"/>
  <c r="AG408" i="2"/>
  <c r="AW408" i="2"/>
  <c r="BM408" i="2"/>
  <c r="T409" i="2"/>
  <c r="AJ409" i="2"/>
  <c r="AZ409" i="2"/>
  <c r="G410" i="2"/>
  <c r="W410" i="2"/>
  <c r="AM410" i="2"/>
  <c r="BC410" i="2"/>
  <c r="N411" i="2"/>
  <c r="AD411" i="2"/>
  <c r="AT411" i="2"/>
  <c r="BJ411" i="2"/>
  <c r="U412" i="2"/>
  <c r="AK412" i="2"/>
  <c r="BA412" i="2"/>
  <c r="H413" i="2"/>
  <c r="X413" i="2"/>
  <c r="AN413" i="2"/>
  <c r="BD413" i="2"/>
  <c r="K414" i="2"/>
  <c r="AA414" i="2"/>
  <c r="AQ414" i="2"/>
  <c r="BG414" i="2"/>
  <c r="O415" i="3"/>
  <c r="O415" i="2" s="1"/>
  <c r="O416" i="2"/>
  <c r="AE415" i="3"/>
  <c r="AE415" i="2" s="1"/>
  <c r="AE416" i="2"/>
  <c r="AU415" i="3"/>
  <c r="AU415" i="2" s="1"/>
  <c r="AU416" i="2"/>
  <c r="BK415" i="3"/>
  <c r="BK415" i="2" s="1"/>
  <c r="BK416" i="2"/>
  <c r="K417" i="2"/>
  <c r="AA417" i="2"/>
  <c r="AQ417" i="2"/>
  <c r="BG417" i="2"/>
  <c r="R418" i="2"/>
  <c r="AH418" i="2"/>
  <c r="AX418" i="2"/>
  <c r="I419" i="2"/>
  <c r="Y419" i="2"/>
  <c r="AO419" i="2"/>
  <c r="BE419" i="2"/>
  <c r="L420" i="2"/>
  <c r="AB420" i="2"/>
  <c r="AR420" i="2"/>
  <c r="BH420" i="2"/>
  <c r="O421" i="2"/>
  <c r="AE421" i="2"/>
  <c r="AU421" i="2"/>
  <c r="BK421" i="2"/>
  <c r="V422" i="2"/>
  <c r="AL422" i="2"/>
  <c r="BB422" i="2"/>
  <c r="M423" i="2"/>
  <c r="AC423" i="2"/>
  <c r="AS423" i="2"/>
  <c r="BI423" i="2"/>
  <c r="P424" i="2"/>
  <c r="AF424" i="2"/>
  <c r="AV424" i="2"/>
  <c r="BL424" i="2"/>
  <c r="S425" i="2"/>
  <c r="AI425" i="2"/>
  <c r="AY425" i="2"/>
  <c r="J426" i="2"/>
  <c r="Z426" i="2"/>
  <c r="AP426" i="2"/>
  <c r="BF426" i="2"/>
  <c r="Q427" i="2"/>
  <c r="AG427" i="2"/>
  <c r="AW427" i="2"/>
  <c r="BM427" i="2"/>
  <c r="T428" i="2"/>
  <c r="AJ428" i="2"/>
  <c r="AZ428" i="2"/>
  <c r="G429" i="2"/>
  <c r="W429" i="2"/>
  <c r="AM429" i="2"/>
  <c r="BC429" i="2"/>
  <c r="N430" i="2"/>
  <c r="AD430" i="2"/>
  <c r="AT430" i="2"/>
  <c r="BJ430" i="2"/>
  <c r="U431" i="2"/>
  <c r="AK431" i="2"/>
  <c r="BA431" i="2"/>
  <c r="H432" i="2"/>
  <c r="X432" i="2"/>
  <c r="AN432" i="2"/>
  <c r="BD432" i="2"/>
  <c r="K433" i="2"/>
  <c r="AA433" i="2"/>
  <c r="AQ433" i="2"/>
  <c r="BG433" i="2"/>
  <c r="R434" i="2"/>
  <c r="AH434" i="2"/>
  <c r="AX434" i="2"/>
  <c r="I435" i="2"/>
  <c r="Y435" i="2"/>
  <c r="AO435" i="2"/>
  <c r="BE435" i="2"/>
  <c r="L436" i="2"/>
  <c r="AB436" i="2"/>
  <c r="AR436" i="2"/>
  <c r="BH436" i="2"/>
  <c r="O437" i="2"/>
  <c r="AE437" i="2"/>
  <c r="AU437" i="2"/>
  <c r="BK437" i="2"/>
  <c r="V438" i="2"/>
  <c r="AL438" i="2"/>
  <c r="BB438" i="2"/>
  <c r="M439" i="2"/>
  <c r="AC439" i="2"/>
  <c r="AS439" i="2"/>
  <c r="BI439" i="2"/>
  <c r="P440" i="2"/>
  <c r="AF440" i="2"/>
  <c r="AV440" i="2"/>
  <c r="BL440" i="2"/>
  <c r="S441" i="2"/>
  <c r="AI441" i="2"/>
  <c r="AY441" i="2"/>
  <c r="J442" i="2"/>
  <c r="Z442" i="2"/>
  <c r="AP442" i="2"/>
  <c r="BF442" i="2"/>
  <c r="Q443" i="2"/>
  <c r="AG443" i="2"/>
  <c r="AW443" i="2"/>
  <c r="BM443" i="2"/>
  <c r="T444" i="2"/>
  <c r="AJ444" i="2"/>
  <c r="AZ444" i="2"/>
  <c r="G445" i="2"/>
  <c r="W445" i="2"/>
  <c r="AM445" i="2"/>
  <c r="BC445" i="2"/>
  <c r="N446" i="2"/>
  <c r="AD446" i="2"/>
  <c r="AT446" i="2"/>
  <c r="BJ446" i="2"/>
  <c r="U447" i="2"/>
  <c r="AK447" i="2"/>
  <c r="BA447" i="2"/>
  <c r="H448" i="2"/>
  <c r="X448" i="2"/>
  <c r="AN448" i="2"/>
  <c r="BD448" i="2"/>
  <c r="K449" i="2"/>
  <c r="AA449" i="2"/>
  <c r="AQ449" i="2"/>
  <c r="BG449" i="2"/>
  <c r="R450" i="2"/>
  <c r="AH450" i="2"/>
  <c r="AX450" i="2"/>
  <c r="I451" i="2"/>
  <c r="Y451" i="2"/>
  <c r="AO451" i="2"/>
  <c r="BE451" i="2"/>
  <c r="L452" i="2"/>
  <c r="AB452" i="2"/>
  <c r="AR452" i="2"/>
  <c r="BH452" i="2"/>
  <c r="O453" i="2"/>
  <c r="AE453" i="2"/>
  <c r="AU453" i="2"/>
  <c r="BK453" i="2"/>
  <c r="V454" i="2"/>
  <c r="AL454" i="2"/>
  <c r="BB454" i="2"/>
  <c r="M455" i="2"/>
  <c r="AC455" i="2"/>
  <c r="AS455" i="2"/>
  <c r="BI455" i="2"/>
  <c r="Q456" i="3"/>
  <c r="Q456" i="2" s="1"/>
  <c r="Q457" i="2"/>
  <c r="AG456" i="3"/>
  <c r="AG456" i="2" s="1"/>
  <c r="AG457" i="2"/>
  <c r="AW456" i="3"/>
  <c r="AW456" i="2" s="1"/>
  <c r="AW457" i="2"/>
  <c r="BM456" i="3"/>
  <c r="BM456" i="2" s="1"/>
  <c r="BM457" i="2"/>
  <c r="T458" i="2"/>
  <c r="AJ458" i="2"/>
  <c r="AZ458" i="2"/>
  <c r="G459" i="2"/>
  <c r="W459" i="2"/>
  <c r="AM459" i="2"/>
  <c r="BC459" i="2"/>
  <c r="N460" i="2"/>
  <c r="AD460" i="2"/>
  <c r="AT460" i="2"/>
  <c r="BJ460" i="2"/>
  <c r="U461" i="2"/>
  <c r="AK461" i="2"/>
  <c r="BA461" i="2"/>
  <c r="I462" i="2"/>
  <c r="AD462" i="2"/>
  <c r="BD462" i="2"/>
  <c r="AR463" i="2"/>
  <c r="AR417" i="2"/>
  <c r="BH417" i="2"/>
  <c r="O418" i="2"/>
  <c r="AE418" i="2"/>
  <c r="AU418" i="2"/>
  <c r="BK418" i="2"/>
  <c r="V419" i="2"/>
  <c r="AL419" i="2"/>
  <c r="BB419" i="2"/>
  <c r="M420" i="2"/>
  <c r="AC420" i="2"/>
  <c r="AS420" i="2"/>
  <c r="BI420" i="2"/>
  <c r="P421" i="2"/>
  <c r="AF421" i="2"/>
  <c r="AV421" i="2"/>
  <c r="BL421" i="2"/>
  <c r="S422" i="2"/>
  <c r="AI422" i="2"/>
  <c r="AY422" i="2"/>
  <c r="J423" i="2"/>
  <c r="Z423" i="2"/>
  <c r="AP423" i="2"/>
  <c r="BF423" i="2"/>
  <c r="Q424" i="2"/>
  <c r="AG424" i="2"/>
  <c r="AW424" i="2"/>
  <c r="BM424" i="2"/>
  <c r="T425" i="2"/>
  <c r="AJ425" i="2"/>
  <c r="AZ425" i="2"/>
  <c r="G426" i="2"/>
  <c r="W426" i="2"/>
  <c r="AM426" i="2"/>
  <c r="BC426" i="2"/>
  <c r="N427" i="2"/>
  <c r="AD427" i="2"/>
  <c r="AT427" i="2"/>
  <c r="BJ427" i="2"/>
  <c r="U428" i="2"/>
  <c r="AK428" i="2"/>
  <c r="BA428" i="2"/>
  <c r="H429" i="2"/>
  <c r="X429" i="2"/>
  <c r="AN429" i="2"/>
  <c r="BD429" i="2"/>
  <c r="K430" i="2"/>
  <c r="AA430" i="2"/>
  <c r="AQ430" i="2"/>
  <c r="BG430" i="2"/>
  <c r="R431" i="2"/>
  <c r="AH431" i="2"/>
  <c r="AX431" i="2"/>
  <c r="I432" i="2"/>
  <c r="Y432" i="2"/>
  <c r="AO432" i="2"/>
  <c r="BE432" i="2"/>
  <c r="L433" i="2"/>
  <c r="AB433" i="2"/>
  <c r="AR433" i="2"/>
  <c r="BH433" i="2"/>
  <c r="O434" i="2"/>
  <c r="AE434" i="2"/>
  <c r="AU434" i="2"/>
  <c r="BK434" i="2"/>
  <c r="V435" i="2"/>
  <c r="AL435" i="2"/>
  <c r="BB435" i="2"/>
  <c r="M436" i="2"/>
  <c r="AC436" i="2"/>
  <c r="AS436" i="2"/>
  <c r="BI436" i="2"/>
  <c r="P437" i="2"/>
  <c r="AF437" i="2"/>
  <c r="AV437" i="2"/>
  <c r="BL437" i="2"/>
  <c r="S438" i="2"/>
  <c r="AI438" i="2"/>
  <c r="AY438" i="2"/>
  <c r="J439" i="2"/>
  <c r="Z439" i="2"/>
  <c r="AP439" i="2"/>
  <c r="BF439" i="2"/>
  <c r="Q440" i="2"/>
  <c r="AG440" i="2"/>
  <c r="AW440" i="2"/>
  <c r="BM440" i="2"/>
  <c r="T441" i="2"/>
  <c r="AJ441" i="2"/>
  <c r="AZ441" i="2"/>
  <c r="G442" i="2"/>
  <c r="W442" i="2"/>
  <c r="AM442" i="2"/>
  <c r="BC442" i="2"/>
  <c r="N443" i="2"/>
  <c r="AD443" i="2"/>
  <c r="AT443" i="2"/>
  <c r="BJ443" i="2"/>
  <c r="U444" i="2"/>
  <c r="AK444" i="2"/>
  <c r="BA444" i="2"/>
  <c r="H445" i="2"/>
  <c r="X445" i="2"/>
  <c r="AN445" i="2"/>
  <c r="BD445" i="2"/>
  <c r="K446" i="2"/>
  <c r="AA446" i="2"/>
  <c r="AQ446" i="2"/>
  <c r="BG446" i="2"/>
  <c r="R447" i="2"/>
  <c r="AH447" i="2"/>
  <c r="AX447" i="2"/>
  <c r="I448" i="2"/>
  <c r="Y448" i="2"/>
  <c r="AO448" i="2"/>
  <c r="BE448" i="2"/>
  <c r="L449" i="2"/>
  <c r="AB449" i="2"/>
  <c r="AR449" i="2"/>
  <c r="BH449" i="2"/>
  <c r="O450" i="2"/>
  <c r="AE450" i="2"/>
  <c r="AU450" i="2"/>
  <c r="BK450" i="2"/>
  <c r="V451" i="2"/>
  <c r="AL451" i="2"/>
  <c r="BB451" i="2"/>
  <c r="M452" i="2"/>
  <c r="AC452" i="2"/>
  <c r="AS452" i="2"/>
  <c r="BI452" i="2"/>
  <c r="P453" i="2"/>
  <c r="AF453" i="2"/>
  <c r="AV453" i="2"/>
  <c r="BL453" i="2"/>
  <c r="S454" i="2"/>
  <c r="AI454" i="2"/>
  <c r="AY454" i="2"/>
  <c r="J455" i="2"/>
  <c r="Z455" i="2"/>
  <c r="AP455" i="2"/>
  <c r="BF455" i="2"/>
  <c r="R456" i="3"/>
  <c r="R456" i="2" s="1"/>
  <c r="R457" i="2"/>
  <c r="AH456" i="3"/>
  <c r="AH456" i="2" s="1"/>
  <c r="AH457" i="2"/>
  <c r="AX456" i="3"/>
  <c r="AX456" i="2" s="1"/>
  <c r="AX457" i="2"/>
  <c r="I458" i="2"/>
  <c r="Y458" i="2"/>
  <c r="AO458" i="2"/>
  <c r="BE458" i="2"/>
  <c r="L459" i="2"/>
  <c r="AB459" i="2"/>
  <c r="AR459" i="2"/>
  <c r="BH459" i="2"/>
  <c r="O460" i="2"/>
  <c r="AE460" i="2"/>
  <c r="AU460" i="2"/>
  <c r="BK460" i="2"/>
  <c r="V461" i="2"/>
  <c r="AL461" i="2"/>
  <c r="BB461" i="2"/>
  <c r="P462" i="2"/>
  <c r="AK462" i="2"/>
  <c r="BM462" i="2"/>
  <c r="BL463" i="2"/>
  <c r="U417" i="2"/>
  <c r="AK417" i="2"/>
  <c r="BA417" i="2"/>
  <c r="H418" i="2"/>
  <c r="X418" i="2"/>
  <c r="AN418" i="2"/>
  <c r="BD418" i="2"/>
  <c r="K419" i="2"/>
  <c r="AA419" i="2"/>
  <c r="AQ419" i="2"/>
  <c r="BG419" i="2"/>
  <c r="R420" i="2"/>
  <c r="AH420" i="2"/>
  <c r="AX420" i="2"/>
  <c r="I421" i="2"/>
  <c r="Y421" i="2"/>
  <c r="AO421" i="2"/>
  <c r="BE421" i="2"/>
  <c r="L422" i="2"/>
  <c r="AB422" i="2"/>
  <c r="AR422" i="2"/>
  <c r="BH422" i="2"/>
  <c r="O423" i="2"/>
  <c r="AE423" i="2"/>
  <c r="AU423" i="2"/>
  <c r="BK423" i="2"/>
  <c r="V424" i="2"/>
  <c r="AL424" i="2"/>
  <c r="BB424" i="2"/>
  <c r="M425" i="2"/>
  <c r="AC425" i="2"/>
  <c r="AS425" i="2"/>
  <c r="BI425" i="2"/>
  <c r="P426" i="2"/>
  <c r="AF426" i="2"/>
  <c r="AV426" i="2"/>
  <c r="BL426" i="2"/>
  <c r="S427" i="2"/>
  <c r="AI427" i="2"/>
  <c r="AY427" i="2"/>
  <c r="J428" i="2"/>
  <c r="Z428" i="2"/>
  <c r="AP428" i="2"/>
  <c r="BF428" i="2"/>
  <c r="Q429" i="2"/>
  <c r="AG429" i="2"/>
  <c r="AW429" i="2"/>
  <c r="BM429" i="2"/>
  <c r="T430" i="2"/>
  <c r="AJ430" i="2"/>
  <c r="AZ430" i="2"/>
  <c r="G431" i="2"/>
  <c r="W431" i="2"/>
  <c r="AM431" i="2"/>
  <c r="BC431" i="2"/>
  <c r="N432" i="2"/>
  <c r="AD432" i="2"/>
  <c r="AT432" i="2"/>
  <c r="BJ432" i="2"/>
  <c r="U433" i="2"/>
  <c r="AK433" i="2"/>
  <c r="BA433" i="2"/>
  <c r="H434" i="2"/>
  <c r="X434" i="2"/>
  <c r="AN434" i="2"/>
  <c r="BD434" i="2"/>
  <c r="K435" i="2"/>
  <c r="AA435" i="2"/>
  <c r="AQ435" i="2"/>
  <c r="BG435" i="2"/>
  <c r="R436" i="2"/>
  <c r="AH436" i="2"/>
  <c r="AX436" i="2"/>
  <c r="I437" i="2"/>
  <c r="Y437" i="2"/>
  <c r="AO437" i="2"/>
  <c r="BE437" i="2"/>
  <c r="L438" i="2"/>
  <c r="AB438" i="2"/>
  <c r="AR438" i="2"/>
  <c r="BH438" i="2"/>
  <c r="O439" i="2"/>
  <c r="AE439" i="2"/>
  <c r="AU439" i="2"/>
  <c r="BK439" i="2"/>
  <c r="V440" i="2"/>
  <c r="AL440" i="2"/>
  <c r="BB440" i="2"/>
  <c r="M441" i="2"/>
  <c r="AC441" i="2"/>
  <c r="AS441" i="2"/>
  <c r="BI441" i="2"/>
  <c r="P442" i="2"/>
  <c r="AF442" i="2"/>
  <c r="AV442" i="2"/>
  <c r="BL442" i="2"/>
  <c r="S443" i="2"/>
  <c r="AI443" i="2"/>
  <c r="AY443" i="2"/>
  <c r="J444" i="2"/>
  <c r="Z444" i="2"/>
  <c r="AP444" i="2"/>
  <c r="BF444" i="2"/>
  <c r="Q445" i="2"/>
  <c r="AG445" i="2"/>
  <c r="AW445" i="2"/>
  <c r="BM445" i="2"/>
  <c r="T446" i="2"/>
  <c r="AJ446" i="2"/>
  <c r="AZ446" i="2"/>
  <c r="G447" i="2"/>
  <c r="W447" i="2"/>
  <c r="AM447" i="2"/>
  <c r="BC447" i="2"/>
  <c r="N448" i="2"/>
  <c r="AD448" i="2"/>
  <c r="AT448" i="2"/>
  <c r="BJ448" i="2"/>
  <c r="U449" i="2"/>
  <c r="AK449" i="2"/>
  <c r="BA449" i="2"/>
  <c r="H450" i="2"/>
  <c r="X450" i="2"/>
  <c r="AN450" i="2"/>
  <c r="BD450" i="2"/>
  <c r="K451" i="2"/>
  <c r="AA451" i="2"/>
  <c r="AQ451" i="2"/>
  <c r="BG451" i="2"/>
  <c r="R452" i="2"/>
  <c r="AH452" i="2"/>
  <c r="AX452" i="2"/>
  <c r="I453" i="2"/>
  <c r="Y453" i="2"/>
  <c r="AO453" i="2"/>
  <c r="BE453" i="2"/>
  <c r="L454" i="2"/>
  <c r="AB454" i="2"/>
  <c r="AR454" i="2"/>
  <c r="BH454" i="2"/>
  <c r="O455" i="2"/>
  <c r="AE455" i="2"/>
  <c r="AU455" i="2"/>
  <c r="BK455" i="2"/>
  <c r="S456" i="3"/>
  <c r="S456" i="2" s="1"/>
  <c r="S457" i="2"/>
  <c r="AI456" i="3"/>
  <c r="AI456" i="2" s="1"/>
  <c r="AI457" i="2"/>
  <c r="AY456" i="3"/>
  <c r="AY456" i="2" s="1"/>
  <c r="AY457" i="2"/>
  <c r="J458" i="2"/>
  <c r="Z458" i="2"/>
  <c r="AP458" i="2"/>
  <c r="BF458" i="2"/>
  <c r="Q459" i="2"/>
  <c r="AG459" i="2"/>
  <c r="AW459" i="2"/>
  <c r="BM459" i="2"/>
  <c r="T460" i="2"/>
  <c r="AJ460" i="2"/>
  <c r="AZ460" i="2"/>
  <c r="G461" i="2"/>
  <c r="W461" i="2"/>
  <c r="AM461" i="2"/>
  <c r="BC461" i="2"/>
  <c r="Q462" i="2"/>
  <c r="AL462" i="2"/>
  <c r="T463" i="2"/>
  <c r="N417" i="2"/>
  <c r="AD417" i="2"/>
  <c r="AT417" i="2"/>
  <c r="BJ417" i="2"/>
  <c r="U418" i="2"/>
  <c r="AK418" i="2"/>
  <c r="BA418" i="2"/>
  <c r="H419" i="2"/>
  <c r="X419" i="2"/>
  <c r="AN419" i="2"/>
  <c r="BD419" i="2"/>
  <c r="K420" i="2"/>
  <c r="AA420" i="2"/>
  <c r="AQ420" i="2"/>
  <c r="BG420" i="2"/>
  <c r="R421" i="2"/>
  <c r="AH421" i="2"/>
  <c r="AX421" i="2"/>
  <c r="I422" i="2"/>
  <c r="Y422" i="2"/>
  <c r="AO422" i="2"/>
  <c r="BE422" i="2"/>
  <c r="L423" i="2"/>
  <c r="AB423" i="2"/>
  <c r="AR423" i="2"/>
  <c r="BH423" i="2"/>
  <c r="O424" i="2"/>
  <c r="AE424" i="2"/>
  <c r="AU424" i="2"/>
  <c r="BK424" i="2"/>
  <c r="V425" i="2"/>
  <c r="AL425" i="2"/>
  <c r="BB425" i="2"/>
  <c r="M426" i="2"/>
  <c r="AC426" i="2"/>
  <c r="AS426" i="2"/>
  <c r="BI426" i="2"/>
  <c r="P427" i="2"/>
  <c r="AF427" i="2"/>
  <c r="AV427" i="2"/>
  <c r="BL427" i="2"/>
  <c r="S428" i="2"/>
  <c r="AI428" i="2"/>
  <c r="AY428" i="2"/>
  <c r="J429" i="2"/>
  <c r="Z429" i="2"/>
  <c r="AP429" i="2"/>
  <c r="BF429" i="2"/>
  <c r="Q430" i="2"/>
  <c r="AG430" i="2"/>
  <c r="AW430" i="2"/>
  <c r="BM430" i="2"/>
  <c r="T431" i="2"/>
  <c r="AJ431" i="2"/>
  <c r="AZ431" i="2"/>
  <c r="G432" i="2"/>
  <c r="W432" i="2"/>
  <c r="AM432" i="2"/>
  <c r="BC432" i="2"/>
  <c r="N433" i="2"/>
  <c r="AD433" i="2"/>
  <c r="AT433" i="2"/>
  <c r="BJ433" i="2"/>
  <c r="U434" i="2"/>
  <c r="AK434" i="2"/>
  <c r="BA434" i="2"/>
  <c r="H435" i="2"/>
  <c r="X435" i="2"/>
  <c r="AN435" i="2"/>
  <c r="BD435" i="2"/>
  <c r="K436" i="2"/>
  <c r="AA436" i="2"/>
  <c r="AQ436" i="2"/>
  <c r="BG436" i="2"/>
  <c r="R437" i="2"/>
  <c r="AH437" i="2"/>
  <c r="AX437" i="2"/>
  <c r="I438" i="2"/>
  <c r="Y438" i="2"/>
  <c r="AO438" i="2"/>
  <c r="BE438" i="2"/>
  <c r="L439" i="2"/>
  <c r="AB439" i="2"/>
  <c r="AR439" i="2"/>
  <c r="BH439" i="2"/>
  <c r="O440" i="2"/>
  <c r="AE440" i="2"/>
  <c r="AU440" i="2"/>
  <c r="BK440" i="2"/>
  <c r="V441" i="2"/>
  <c r="AL441" i="2"/>
  <c r="BB441" i="2"/>
  <c r="M442" i="2"/>
  <c r="AC442" i="2"/>
  <c r="AS442" i="2"/>
  <c r="BI442" i="2"/>
  <c r="P443" i="2"/>
  <c r="AF443" i="2"/>
  <c r="AV443" i="2"/>
  <c r="BL443" i="2"/>
  <c r="S444" i="2"/>
  <c r="AI444" i="2"/>
  <c r="AY444" i="2"/>
  <c r="J445" i="2"/>
  <c r="Z445" i="2"/>
  <c r="AP445" i="2"/>
  <c r="BF445" i="2"/>
  <c r="Q446" i="2"/>
  <c r="AG446" i="2"/>
  <c r="AW446" i="2"/>
  <c r="BM446" i="2"/>
  <c r="T447" i="2"/>
  <c r="AJ447" i="2"/>
  <c r="AZ447" i="2"/>
  <c r="G448" i="2"/>
  <c r="W448" i="2"/>
  <c r="AM448" i="2"/>
  <c r="BC448" i="2"/>
  <c r="N449" i="2"/>
  <c r="AD449" i="2"/>
  <c r="AT449" i="2"/>
  <c r="BJ449" i="2"/>
  <c r="U450" i="2"/>
  <c r="AK450" i="2"/>
  <c r="BA450" i="2"/>
  <c r="H451" i="2"/>
  <c r="X451" i="2"/>
  <c r="AN451" i="2"/>
  <c r="BD451" i="2"/>
  <c r="K452" i="2"/>
  <c r="AA452" i="2"/>
  <c r="AQ452" i="2"/>
  <c r="BG452" i="2"/>
  <c r="R453" i="2"/>
  <c r="AH453" i="2"/>
  <c r="AX453" i="2"/>
  <c r="I454" i="2"/>
  <c r="Y454" i="2"/>
  <c r="AO454" i="2"/>
  <c r="BE454" i="2"/>
  <c r="L455" i="2"/>
  <c r="AB455" i="2"/>
  <c r="AR455" i="2"/>
  <c r="BH455" i="2"/>
  <c r="P456" i="3"/>
  <c r="P456" i="2" s="1"/>
  <c r="P457" i="2"/>
  <c r="AF456" i="3"/>
  <c r="AF456" i="2" s="1"/>
  <c r="AF457" i="2"/>
  <c r="AV456" i="3"/>
  <c r="AV456" i="2" s="1"/>
  <c r="AV457" i="2"/>
  <c r="BL456" i="3"/>
  <c r="BL456" i="2" s="1"/>
  <c r="BL457" i="2"/>
  <c r="S458" i="2"/>
  <c r="AI458" i="2"/>
  <c r="AY458" i="2"/>
  <c r="J459" i="2"/>
  <c r="Z459" i="2"/>
  <c r="AP459" i="2"/>
  <c r="BF459" i="2"/>
  <c r="Q460" i="2"/>
  <c r="AG460" i="2"/>
  <c r="AW460" i="2"/>
  <c r="BM460" i="2"/>
  <c r="T461" i="2"/>
  <c r="AJ461" i="2"/>
  <c r="AZ461" i="2"/>
  <c r="H462" i="2"/>
  <c r="AC462" i="2"/>
  <c r="BA462" i="2"/>
  <c r="AN463" i="2"/>
  <c r="O463" i="2"/>
  <c r="AE463" i="2"/>
  <c r="AU463" i="2"/>
  <c r="BK463" i="2"/>
  <c r="V464" i="2"/>
  <c r="AL464" i="2"/>
  <c r="BB464" i="2"/>
  <c r="M465" i="2"/>
  <c r="AC465" i="2"/>
  <c r="AS465" i="2"/>
  <c r="BI465" i="2"/>
  <c r="P466" i="2"/>
  <c r="AF466" i="2"/>
  <c r="AV466" i="2"/>
  <c r="BL466" i="2"/>
  <c r="S467" i="2"/>
  <c r="AI467" i="2"/>
  <c r="AY467" i="2"/>
  <c r="J468" i="2"/>
  <c r="Z468" i="2"/>
  <c r="AP468" i="2"/>
  <c r="BF468" i="2"/>
  <c r="Q469" i="2"/>
  <c r="AG469" i="2"/>
  <c r="AW469" i="2"/>
  <c r="BM469" i="2"/>
  <c r="T470" i="2"/>
  <c r="AJ470" i="2"/>
  <c r="AZ470" i="2"/>
  <c r="G471" i="2"/>
  <c r="W471" i="2"/>
  <c r="AM471" i="2"/>
  <c r="BC471" i="2"/>
  <c r="N472" i="2"/>
  <c r="AD472" i="2"/>
  <c r="AT472" i="2"/>
  <c r="BJ472" i="2"/>
  <c r="U473" i="2"/>
  <c r="AK473" i="2"/>
  <c r="BA473" i="2"/>
  <c r="H474" i="2"/>
  <c r="X474" i="2"/>
  <c r="AN474" i="2"/>
  <c r="BD474" i="2"/>
  <c r="K475" i="2"/>
  <c r="AA475" i="2"/>
  <c r="AQ475" i="2"/>
  <c r="BG475" i="2"/>
  <c r="R476" i="2"/>
  <c r="AH476" i="2"/>
  <c r="AX476" i="2"/>
  <c r="I477" i="2"/>
  <c r="Y477" i="2"/>
  <c r="AO477" i="2"/>
  <c r="BE477" i="2"/>
  <c r="L478" i="2"/>
  <c r="AB478" i="2"/>
  <c r="AR478" i="2"/>
  <c r="BH478" i="2"/>
  <c r="O479" i="2"/>
  <c r="AE479" i="2"/>
  <c r="AU479" i="2"/>
  <c r="BK479" i="2"/>
  <c r="V480" i="2"/>
  <c r="AL480" i="2"/>
  <c r="BB480" i="2"/>
  <c r="M481" i="2"/>
  <c r="AC481" i="2"/>
  <c r="AS481" i="2"/>
  <c r="BI481" i="2"/>
  <c r="P482" i="2"/>
  <c r="AF482" i="2"/>
  <c r="AV482" i="2"/>
  <c r="BL482" i="2"/>
  <c r="S483" i="2"/>
  <c r="AI483" i="2"/>
  <c r="AY483" i="2"/>
  <c r="J484" i="2"/>
  <c r="Z484" i="2"/>
  <c r="AP484" i="2"/>
  <c r="BF484" i="2"/>
  <c r="Q485" i="2"/>
  <c r="AG485" i="2"/>
  <c r="AW485" i="2"/>
  <c r="BM485" i="2"/>
  <c r="T486" i="2"/>
  <c r="AJ486" i="2"/>
  <c r="AZ486" i="2"/>
  <c r="G487" i="2"/>
  <c r="W487" i="2"/>
  <c r="AM487" i="2"/>
  <c r="BC487" i="2"/>
  <c r="N488" i="2"/>
  <c r="AD488" i="2"/>
  <c r="AT488" i="2"/>
  <c r="BJ488" i="2"/>
  <c r="U489" i="2"/>
  <c r="AK489" i="2"/>
  <c r="BA489" i="2"/>
  <c r="H490" i="2"/>
  <c r="X490" i="2"/>
  <c r="AN490" i="2"/>
  <c r="BD490" i="2"/>
  <c r="K491" i="2"/>
  <c r="AA491" i="2"/>
  <c r="AQ491" i="2"/>
  <c r="BG491" i="2"/>
  <c r="R492" i="2"/>
  <c r="AH492" i="2"/>
  <c r="AX492" i="2"/>
  <c r="I493" i="2"/>
  <c r="Y493" i="2"/>
  <c r="AO493" i="2"/>
  <c r="BE493" i="2"/>
  <c r="L494" i="2"/>
  <c r="AB494" i="2"/>
  <c r="AR494" i="2"/>
  <c r="BH494" i="2"/>
  <c r="O495" i="2"/>
  <c r="AE495" i="2"/>
  <c r="AU495" i="2"/>
  <c r="BK495" i="2"/>
  <c r="V496" i="2"/>
  <c r="AL496" i="2"/>
  <c r="BB496" i="2"/>
  <c r="K498" i="3"/>
  <c r="K498" i="2" s="1"/>
  <c r="K499" i="2"/>
  <c r="AA498" i="3"/>
  <c r="AA498" i="2" s="1"/>
  <c r="AA499" i="2"/>
  <c r="AQ498" i="3"/>
  <c r="AQ498" i="2" s="1"/>
  <c r="AQ499" i="2"/>
  <c r="BG498" i="3"/>
  <c r="BG498" i="2" s="1"/>
  <c r="BG499" i="2"/>
  <c r="R500" i="2"/>
  <c r="AH500" i="2"/>
  <c r="AX500" i="2"/>
  <c r="I501" i="2"/>
  <c r="Y501" i="2"/>
  <c r="AO501" i="2"/>
  <c r="BE501" i="2"/>
  <c r="L502" i="2"/>
  <c r="AB502" i="2"/>
  <c r="AR502" i="2"/>
  <c r="BH502" i="2"/>
  <c r="O503" i="2"/>
  <c r="AE503" i="2"/>
  <c r="AU503" i="2"/>
  <c r="BK503" i="2"/>
  <c r="V504" i="2"/>
  <c r="AL504" i="2"/>
  <c r="BB504" i="2"/>
  <c r="M505" i="2"/>
  <c r="AC505" i="2"/>
  <c r="AS505" i="2"/>
  <c r="BI505" i="2"/>
  <c r="P506" i="2"/>
  <c r="AF506" i="2"/>
  <c r="AV506" i="2"/>
  <c r="BL506" i="2"/>
  <c r="S507" i="2"/>
  <c r="AI507" i="2"/>
  <c r="AY507" i="2"/>
  <c r="J508" i="2"/>
  <c r="Z508" i="2"/>
  <c r="AP508" i="2"/>
  <c r="BF508" i="2"/>
  <c r="Z509" i="2"/>
  <c r="BF509" i="2"/>
  <c r="S464" i="2"/>
  <c r="AI464" i="2"/>
  <c r="AY464" i="2"/>
  <c r="J465" i="2"/>
  <c r="Z465" i="2"/>
  <c r="AP465" i="2"/>
  <c r="BF465" i="2"/>
  <c r="Q466" i="2"/>
  <c r="AG466" i="2"/>
  <c r="AW466" i="2"/>
  <c r="BM466" i="2"/>
  <c r="T467" i="2"/>
  <c r="AJ467" i="2"/>
  <c r="AZ467" i="2"/>
  <c r="G468" i="2"/>
  <c r="W468" i="2"/>
  <c r="AM468" i="2"/>
  <c r="BC468" i="2"/>
  <c r="N469" i="2"/>
  <c r="AD469" i="2"/>
  <c r="AT469" i="2"/>
  <c r="BJ469" i="2"/>
  <c r="U470" i="2"/>
  <c r="AK470" i="2"/>
  <c r="BA470" i="2"/>
  <c r="H471" i="2"/>
  <c r="X471" i="2"/>
  <c r="AN471" i="2"/>
  <c r="BD471" i="2"/>
  <c r="K472" i="2"/>
  <c r="AA472" i="2"/>
  <c r="AQ472" i="2"/>
  <c r="BG472" i="2"/>
  <c r="R473" i="2"/>
  <c r="AH473" i="2"/>
  <c r="AX473" i="2"/>
  <c r="I474" i="2"/>
  <c r="Y474" i="2"/>
  <c r="AO474" i="2"/>
  <c r="BE474" i="2"/>
  <c r="L475" i="2"/>
  <c r="AB475" i="2"/>
  <c r="AR475" i="2"/>
  <c r="BH475" i="2"/>
  <c r="O476" i="2"/>
  <c r="AE476" i="2"/>
  <c r="AU476" i="2"/>
  <c r="BK476" i="2"/>
  <c r="V477" i="2"/>
  <c r="AL477" i="2"/>
  <c r="BB477" i="2"/>
  <c r="M478" i="2"/>
  <c r="AC478" i="2"/>
  <c r="AS478" i="2"/>
  <c r="BI478" i="2"/>
  <c r="P479" i="2"/>
  <c r="AF479" i="2"/>
  <c r="AV479" i="2"/>
  <c r="BL479" i="2"/>
  <c r="S480" i="2"/>
  <c r="AI480" i="2"/>
  <c r="AY480" i="2"/>
  <c r="J481" i="2"/>
  <c r="Z481" i="2"/>
  <c r="AP481" i="2"/>
  <c r="BF481" i="2"/>
  <c r="Q482" i="2"/>
  <c r="AG482" i="2"/>
  <c r="AW482" i="2"/>
  <c r="BM482" i="2"/>
  <c r="T483" i="2"/>
  <c r="AJ483" i="2"/>
  <c r="AZ483" i="2"/>
  <c r="G484" i="2"/>
  <c r="W484" i="2"/>
  <c r="AM484" i="2"/>
  <c r="BC484" i="2"/>
  <c r="N485" i="2"/>
  <c r="AD485" i="2"/>
  <c r="AT485" i="2"/>
  <c r="BJ485" i="2"/>
  <c r="U486" i="2"/>
  <c r="AK486" i="2"/>
  <c r="BA486" i="2"/>
  <c r="H487" i="2"/>
  <c r="X487" i="2"/>
  <c r="AN487" i="2"/>
  <c r="BD487" i="2"/>
  <c r="K488" i="2"/>
  <c r="AA488" i="2"/>
  <c r="AQ488" i="2"/>
  <c r="BG488" i="2"/>
  <c r="R489" i="2"/>
  <c r="AH489" i="2"/>
  <c r="AX489" i="2"/>
  <c r="I490" i="2"/>
  <c r="Y490" i="2"/>
  <c r="AO490" i="2"/>
  <c r="BE490" i="2"/>
  <c r="L491" i="2"/>
  <c r="AB491" i="2"/>
  <c r="AR491" i="2"/>
  <c r="BH491" i="2"/>
  <c r="O492" i="2"/>
  <c r="AE492" i="2"/>
  <c r="AU492" i="2"/>
  <c r="BK492" i="2"/>
  <c r="V493" i="2"/>
  <c r="AL493" i="2"/>
  <c r="BB493" i="2"/>
  <c r="M494" i="2"/>
  <c r="AC494" i="2"/>
  <c r="AS494" i="2"/>
  <c r="BI494" i="2"/>
  <c r="P495" i="2"/>
  <c r="AF495" i="2"/>
  <c r="AV495" i="2"/>
  <c r="BL495" i="2"/>
  <c r="S496" i="2"/>
  <c r="AI496" i="2"/>
  <c r="AY496" i="2"/>
  <c r="H498" i="3"/>
  <c r="H498" i="2" s="1"/>
  <c r="H499" i="2"/>
  <c r="X498" i="3"/>
  <c r="X498" i="2" s="1"/>
  <c r="X499" i="2"/>
  <c r="AN498" i="3"/>
  <c r="AN498" i="2" s="1"/>
  <c r="AN499" i="2"/>
  <c r="BD498" i="3"/>
  <c r="BD498" i="2" s="1"/>
  <c r="BD499" i="2"/>
  <c r="K500" i="2"/>
  <c r="AA500" i="2"/>
  <c r="AQ500" i="2"/>
  <c r="BG500" i="2"/>
  <c r="R501" i="2"/>
  <c r="AH501" i="2"/>
  <c r="AX501" i="2"/>
  <c r="I502" i="2"/>
  <c r="Y502" i="2"/>
  <c r="AO502" i="2"/>
  <c r="BE502" i="2"/>
  <c r="L503" i="2"/>
  <c r="AB503" i="2"/>
  <c r="AR503" i="2"/>
  <c r="BH503" i="2"/>
  <c r="O504" i="2"/>
  <c r="AE504" i="2"/>
  <c r="AU504" i="2"/>
  <c r="BK504" i="2"/>
  <c r="V505" i="2"/>
  <c r="AL505" i="2"/>
  <c r="BB505" i="2"/>
  <c r="M506" i="2"/>
  <c r="AC506" i="2"/>
  <c r="AS506" i="2"/>
  <c r="BI506" i="2"/>
  <c r="P507" i="2"/>
  <c r="AF507" i="2"/>
  <c r="AV507" i="2"/>
  <c r="BL507" i="2"/>
  <c r="S508" i="2"/>
  <c r="AI508" i="2"/>
  <c r="AY508" i="2"/>
  <c r="K509" i="2"/>
  <c r="AQ509" i="2"/>
  <c r="AX462" i="2"/>
  <c r="I463" i="2"/>
  <c r="Y463" i="2"/>
  <c r="AO463" i="2"/>
  <c r="BE463" i="2"/>
  <c r="L464" i="2"/>
  <c r="AB464" i="2"/>
  <c r="AR464" i="2"/>
  <c r="BH464" i="2"/>
  <c r="O465" i="2"/>
  <c r="AE465" i="2"/>
  <c r="AU465" i="2"/>
  <c r="BK465" i="2"/>
  <c r="V466" i="2"/>
  <c r="AL466" i="2"/>
  <c r="BB466" i="2"/>
  <c r="M467" i="2"/>
  <c r="AC467" i="2"/>
  <c r="AS467" i="2"/>
  <c r="BI467" i="2"/>
  <c r="P468" i="2"/>
  <c r="AF468" i="2"/>
  <c r="AV468" i="2"/>
  <c r="BL468" i="2"/>
  <c r="S469" i="2"/>
  <c r="AI469" i="2"/>
  <c r="AY469" i="2"/>
  <c r="J470" i="2"/>
  <c r="Z470" i="2"/>
  <c r="AP470" i="2"/>
  <c r="BF470" i="2"/>
  <c r="Q471" i="2"/>
  <c r="AG471" i="2"/>
  <c r="AW471" i="2"/>
  <c r="BM471" i="2"/>
  <c r="T472" i="2"/>
  <c r="AJ472" i="2"/>
  <c r="AZ472" i="2"/>
  <c r="G473" i="2"/>
  <c r="W473" i="2"/>
  <c r="AM473" i="2"/>
  <c r="BC473" i="2"/>
  <c r="N474" i="2"/>
  <c r="AD474" i="2"/>
  <c r="AT474" i="2"/>
  <c r="BJ474" i="2"/>
  <c r="U475" i="2"/>
  <c r="AK475" i="2"/>
  <c r="BA475" i="2"/>
  <c r="H476" i="2"/>
  <c r="X476" i="2"/>
  <c r="AN476" i="2"/>
  <c r="BD476" i="2"/>
  <c r="K477" i="2"/>
  <c r="AA477" i="2"/>
  <c r="AQ477" i="2"/>
  <c r="BG477" i="2"/>
  <c r="R478" i="2"/>
  <c r="AH478" i="2"/>
  <c r="AX478" i="2"/>
  <c r="I479" i="2"/>
  <c r="Y479" i="2"/>
  <c r="AO479" i="2"/>
  <c r="BE479" i="2"/>
  <c r="L480" i="2"/>
  <c r="AB480" i="2"/>
  <c r="AR480" i="2"/>
  <c r="BH480" i="2"/>
  <c r="O481" i="2"/>
  <c r="AE481" i="2"/>
  <c r="AU481" i="2"/>
  <c r="BK481" i="2"/>
  <c r="V482" i="2"/>
  <c r="AL482" i="2"/>
  <c r="BB482" i="2"/>
  <c r="M483" i="2"/>
  <c r="AC483" i="2"/>
  <c r="AS483" i="2"/>
  <c r="BI483" i="2"/>
  <c r="P484" i="2"/>
  <c r="AF484" i="2"/>
  <c r="AV484" i="2"/>
  <c r="BL484" i="2"/>
  <c r="S485" i="2"/>
  <c r="AI485" i="2"/>
  <c r="AY485" i="2"/>
  <c r="J486" i="2"/>
  <c r="Z486" i="2"/>
  <c r="AP486" i="2"/>
  <c r="BF486" i="2"/>
  <c r="Q487" i="2"/>
  <c r="AG487" i="2"/>
  <c r="AW487" i="2"/>
  <c r="BM487" i="2"/>
  <c r="T488" i="2"/>
  <c r="AJ488" i="2"/>
  <c r="AZ488" i="2"/>
  <c r="G489" i="2"/>
  <c r="W489" i="2"/>
  <c r="AM489" i="2"/>
  <c r="BC489" i="2"/>
  <c r="N490" i="2"/>
  <c r="AD490" i="2"/>
  <c r="AT490" i="2"/>
  <c r="BJ490" i="2"/>
  <c r="U491" i="2"/>
  <c r="AK491" i="2"/>
  <c r="BA491" i="2"/>
  <c r="H492" i="2"/>
  <c r="X492" i="2"/>
  <c r="AN492" i="2"/>
  <c r="BD492" i="2"/>
  <c r="K493" i="2"/>
  <c r="AA493" i="2"/>
  <c r="AQ493" i="2"/>
  <c r="BG493" i="2"/>
  <c r="R494" i="2"/>
  <c r="AH494" i="2"/>
  <c r="AX494" i="2"/>
  <c r="I495" i="2"/>
  <c r="Y495" i="2"/>
  <c r="AO495" i="2"/>
  <c r="BE495" i="2"/>
  <c r="L496" i="2"/>
  <c r="AB496" i="2"/>
  <c r="AR496" i="2"/>
  <c r="BH496" i="2"/>
  <c r="Q498" i="3"/>
  <c r="Q498" i="2" s="1"/>
  <c r="Q499" i="2"/>
  <c r="AG498" i="3"/>
  <c r="AG498" i="2" s="1"/>
  <c r="AG499" i="2"/>
  <c r="AW498" i="3"/>
  <c r="AW498" i="2" s="1"/>
  <c r="AW499" i="2"/>
  <c r="BM498" i="3"/>
  <c r="BM498" i="2" s="1"/>
  <c r="BM499" i="2"/>
  <c r="T500" i="2"/>
  <c r="AJ500" i="2"/>
  <c r="AZ500" i="2"/>
  <c r="G501" i="2"/>
  <c r="W501" i="2"/>
  <c r="AM501" i="2"/>
  <c r="BC501" i="2"/>
  <c r="N502" i="2"/>
  <c r="AD502" i="2"/>
  <c r="AT502" i="2"/>
  <c r="BJ502" i="2"/>
  <c r="U503" i="2"/>
  <c r="AK503" i="2"/>
  <c r="BA503" i="2"/>
  <c r="H504" i="2"/>
  <c r="X504" i="2"/>
  <c r="AN504" i="2"/>
  <c r="BD504" i="2"/>
  <c r="K505" i="2"/>
  <c r="AA505" i="2"/>
  <c r="AQ505" i="2"/>
  <c r="BG505" i="2"/>
  <c r="R506" i="2"/>
  <c r="AH506" i="2"/>
  <c r="AX506" i="2"/>
  <c r="I507" i="2"/>
  <c r="Y507" i="2"/>
  <c r="AO507" i="2"/>
  <c r="BE507" i="2"/>
  <c r="L508" i="2"/>
  <c r="AB508" i="2"/>
  <c r="AR508" i="2"/>
  <c r="BH508" i="2"/>
  <c r="V509" i="2"/>
  <c r="BB509" i="2"/>
  <c r="O462" i="2"/>
  <c r="AE462" i="2"/>
  <c r="AU462" i="2"/>
  <c r="BK462" i="2"/>
  <c r="V463" i="2"/>
  <c r="AL463" i="2"/>
  <c r="BB463" i="2"/>
  <c r="M464" i="2"/>
  <c r="AC464" i="2"/>
  <c r="AS464" i="2"/>
  <c r="BI464" i="2"/>
  <c r="P465" i="2"/>
  <c r="AF465" i="2"/>
  <c r="AV465" i="2"/>
  <c r="BL465" i="2"/>
  <c r="S466" i="2"/>
  <c r="AI466" i="2"/>
  <c r="AY466" i="2"/>
  <c r="J467" i="2"/>
  <c r="Z467" i="2"/>
  <c r="AP467" i="2"/>
  <c r="BF467" i="2"/>
  <c r="Q468" i="2"/>
  <c r="AG468" i="2"/>
  <c r="AW468" i="2"/>
  <c r="BM468" i="2"/>
  <c r="T469" i="2"/>
  <c r="AJ469" i="2"/>
  <c r="AZ469" i="2"/>
  <c r="G470" i="2"/>
  <c r="W470" i="2"/>
  <c r="AM470" i="2"/>
  <c r="BC470" i="2"/>
  <c r="N471" i="2"/>
  <c r="AD471" i="2"/>
  <c r="AT471" i="2"/>
  <c r="BJ471" i="2"/>
  <c r="U472" i="2"/>
  <c r="AK472" i="2"/>
  <c r="BA472" i="2"/>
  <c r="H473" i="2"/>
  <c r="X473" i="2"/>
  <c r="AN473" i="2"/>
  <c r="BD473" i="2"/>
  <c r="K474" i="2"/>
  <c r="AA474" i="2"/>
  <c r="AQ474" i="2"/>
  <c r="BG474" i="2"/>
  <c r="R475" i="2"/>
  <c r="AH475" i="2"/>
  <c r="AX475" i="2"/>
  <c r="I476" i="2"/>
  <c r="Y476" i="2"/>
  <c r="AO476" i="2"/>
  <c r="BE476" i="2"/>
  <c r="L477" i="2"/>
  <c r="AB477" i="2"/>
  <c r="AR477" i="2"/>
  <c r="BH477" i="2"/>
  <c r="O478" i="2"/>
  <c r="AE478" i="2"/>
  <c r="AU478" i="2"/>
  <c r="BK478" i="2"/>
  <c r="V479" i="2"/>
  <c r="AL479" i="2"/>
  <c r="BB479" i="2"/>
  <c r="M480" i="2"/>
  <c r="AC480" i="2"/>
  <c r="AS480" i="2"/>
  <c r="BI480" i="2"/>
  <c r="P481" i="2"/>
  <c r="AF481" i="2"/>
  <c r="AV481" i="2"/>
  <c r="BL481" i="2"/>
  <c r="S482" i="2"/>
  <c r="AI482" i="2"/>
  <c r="AY482" i="2"/>
  <c r="J483" i="2"/>
  <c r="Z483" i="2"/>
  <c r="AP483" i="2"/>
  <c r="BF483" i="2"/>
  <c r="Q484" i="2"/>
  <c r="AG484" i="2"/>
  <c r="AW484" i="2"/>
  <c r="BM484" i="2"/>
  <c r="T485" i="2"/>
  <c r="AJ485" i="2"/>
  <c r="AZ485" i="2"/>
  <c r="G486" i="2"/>
  <c r="W486" i="2"/>
  <c r="AM486" i="2"/>
  <c r="BC486" i="2"/>
  <c r="N487" i="2"/>
  <c r="AD487" i="2"/>
  <c r="AT487" i="2"/>
  <c r="BJ487" i="2"/>
  <c r="U488" i="2"/>
  <c r="AK488" i="2"/>
  <c r="BA488" i="2"/>
  <c r="H489" i="2"/>
  <c r="X489" i="2"/>
  <c r="AN489" i="2"/>
  <c r="BD489" i="2"/>
  <c r="K490" i="2"/>
  <c r="AA490" i="2"/>
  <c r="AQ490" i="2"/>
  <c r="BG490" i="2"/>
  <c r="R491" i="2"/>
  <c r="AH491" i="2"/>
  <c r="AX491" i="2"/>
  <c r="I492" i="2"/>
  <c r="Y492" i="2"/>
  <c r="AO492" i="2"/>
  <c r="BE492" i="2"/>
  <c r="L493" i="2"/>
  <c r="AB493" i="2"/>
  <c r="AR493" i="2"/>
  <c r="BH493" i="2"/>
  <c r="O494" i="2"/>
  <c r="AE494" i="2"/>
  <c r="AU494" i="2"/>
  <c r="BK494" i="2"/>
  <c r="V495" i="2"/>
  <c r="AL495" i="2"/>
  <c r="BB495" i="2"/>
  <c r="M496" i="2"/>
  <c r="AC496" i="2"/>
  <c r="AS496" i="2"/>
  <c r="BI496" i="2"/>
  <c r="R498" i="3"/>
  <c r="R498" i="2" s="1"/>
  <c r="R499" i="2"/>
  <c r="AH498" i="3"/>
  <c r="AH498" i="2" s="1"/>
  <c r="AH499" i="2"/>
  <c r="AX498" i="3"/>
  <c r="AX498" i="2" s="1"/>
  <c r="AX499" i="2"/>
  <c r="I500" i="2"/>
  <c r="Y500" i="2"/>
  <c r="AO500" i="2"/>
  <c r="BE500" i="2"/>
  <c r="L501" i="2"/>
  <c r="AB501" i="2"/>
  <c r="AR501" i="2"/>
  <c r="BH501" i="2"/>
  <c r="O502" i="2"/>
  <c r="AE502" i="2"/>
  <c r="AU502" i="2"/>
  <c r="BK502" i="2"/>
  <c r="V503" i="2"/>
  <c r="AL503" i="2"/>
  <c r="BB503" i="2"/>
  <c r="M504" i="2"/>
  <c r="AC504" i="2"/>
  <c r="AS504" i="2"/>
  <c r="BI504" i="2"/>
  <c r="P505" i="2"/>
  <c r="AF505" i="2"/>
  <c r="AV505" i="2"/>
  <c r="BL505" i="2"/>
  <c r="S506" i="2"/>
  <c r="AI506" i="2"/>
  <c r="AY506" i="2"/>
  <c r="J507" i="2"/>
  <c r="Z507" i="2"/>
  <c r="AP507" i="2"/>
  <c r="BF507" i="2"/>
  <c r="Q508" i="2"/>
  <c r="AG508" i="2"/>
  <c r="AW508" i="2"/>
  <c r="BM508" i="2"/>
  <c r="AE509" i="2"/>
  <c r="BK509" i="2"/>
  <c r="U510" i="2"/>
  <c r="AK510" i="2"/>
  <c r="BA510" i="2"/>
  <c r="H511" i="2"/>
  <c r="X511" i="2"/>
  <c r="AN511" i="2"/>
  <c r="BD511" i="2"/>
  <c r="K512" i="2"/>
  <c r="AA512" i="2"/>
  <c r="AQ512" i="2"/>
  <c r="BG512" i="2"/>
  <c r="R513" i="2"/>
  <c r="AH513" i="2"/>
  <c r="AX513" i="2"/>
  <c r="I514" i="2"/>
  <c r="Y514" i="2"/>
  <c r="AO514" i="2"/>
  <c r="BE514" i="2"/>
  <c r="L515" i="2"/>
  <c r="AB515" i="2"/>
  <c r="AR515" i="2"/>
  <c r="BH515" i="2"/>
  <c r="O516" i="2"/>
  <c r="AE516" i="2"/>
  <c r="AU516" i="2"/>
  <c r="BK516" i="2"/>
  <c r="V517" i="2"/>
  <c r="AL517" i="2"/>
  <c r="BB517" i="2"/>
  <c r="M518" i="2"/>
  <c r="AC518" i="2"/>
  <c r="AS518" i="2"/>
  <c r="BI518" i="2"/>
  <c r="P519" i="2"/>
  <c r="AF519" i="2"/>
  <c r="AV519" i="2"/>
  <c r="BL519" i="2"/>
  <c r="S520" i="2"/>
  <c r="AI520" i="2"/>
  <c r="AY520" i="2"/>
  <c r="J521" i="2"/>
  <c r="Z521" i="2"/>
  <c r="AP521" i="2"/>
  <c r="BF521" i="2"/>
  <c r="Q522" i="2"/>
  <c r="AG522" i="2"/>
  <c r="AW522" i="2"/>
  <c r="BM522" i="2"/>
  <c r="T523" i="2"/>
  <c r="AJ523" i="2"/>
  <c r="AZ523" i="2"/>
  <c r="G524" i="2"/>
  <c r="W524" i="2"/>
  <c r="AM524" i="2"/>
  <c r="BC524" i="2"/>
  <c r="N525" i="2"/>
  <c r="AD525" i="2"/>
  <c r="AT525" i="2"/>
  <c r="BJ525" i="2"/>
  <c r="U526" i="2"/>
  <c r="AK526" i="2"/>
  <c r="BA526" i="2"/>
  <c r="H527" i="2"/>
  <c r="X527" i="2"/>
  <c r="AN527" i="2"/>
  <c r="BD527" i="2"/>
  <c r="K528" i="2"/>
  <c r="AA528" i="2"/>
  <c r="AQ528" i="2"/>
  <c r="BG528" i="2"/>
  <c r="R529" i="2"/>
  <c r="AH529" i="2"/>
  <c r="AX529" i="2"/>
  <c r="I530" i="2"/>
  <c r="Y530" i="2"/>
  <c r="AO530" i="2"/>
  <c r="BE530" i="2"/>
  <c r="L531" i="2"/>
  <c r="AB531" i="2"/>
  <c r="AR531" i="2"/>
  <c r="BH531" i="2"/>
  <c r="O532" i="2"/>
  <c r="AE532" i="2"/>
  <c r="AU532" i="2"/>
  <c r="BK532" i="2"/>
  <c r="V533" i="2"/>
  <c r="AL533" i="2"/>
  <c r="BB533" i="2"/>
  <c r="M534" i="2"/>
  <c r="AC534" i="2"/>
  <c r="AS534" i="2"/>
  <c r="BI534" i="2"/>
  <c r="P535" i="2"/>
  <c r="AF535" i="2"/>
  <c r="AV535" i="2"/>
  <c r="BL535" i="2"/>
  <c r="S536" i="2"/>
  <c r="AI536" i="2"/>
  <c r="AY536" i="2"/>
  <c r="J537" i="2"/>
  <c r="Z537" i="2"/>
  <c r="AP537" i="2"/>
  <c r="BF537" i="2"/>
  <c r="Q538" i="2"/>
  <c r="AG538" i="2"/>
  <c r="AW538" i="2"/>
  <c r="BM538" i="2"/>
  <c r="U539" i="3"/>
  <c r="U539" i="2" s="1"/>
  <c r="U540" i="2"/>
  <c r="AK539" i="3"/>
  <c r="AK539" i="2" s="1"/>
  <c r="AK540" i="2"/>
  <c r="BA539" i="3"/>
  <c r="BA539" i="2" s="1"/>
  <c r="BA540" i="2"/>
  <c r="H541" i="2"/>
  <c r="X541" i="2"/>
  <c r="AN541" i="2"/>
  <c r="BD541" i="2"/>
  <c r="K542" i="2"/>
  <c r="AA542" i="2"/>
  <c r="AQ542" i="2"/>
  <c r="BG542" i="2"/>
  <c r="R543" i="2"/>
  <c r="AH543" i="2"/>
  <c r="AX543" i="2"/>
  <c r="I544" i="2"/>
  <c r="Y544" i="2"/>
  <c r="AO544" i="2"/>
  <c r="BE544" i="2"/>
  <c r="L545" i="2"/>
  <c r="AB545" i="2"/>
  <c r="AR545" i="2"/>
  <c r="BH545" i="2"/>
  <c r="O546" i="2"/>
  <c r="AE546" i="2"/>
  <c r="AU546" i="2"/>
  <c r="BK546" i="2"/>
  <c r="V547" i="2"/>
  <c r="AL547" i="2"/>
  <c r="BB547" i="2"/>
  <c r="M548" i="2"/>
  <c r="AC548" i="2"/>
  <c r="AS548" i="2"/>
  <c r="BI548" i="2"/>
  <c r="P549" i="2"/>
  <c r="AF549" i="2"/>
  <c r="AV549" i="2"/>
  <c r="BL549" i="2"/>
  <c r="S550" i="2"/>
  <c r="AI550" i="2"/>
  <c r="AY550" i="2"/>
  <c r="J551" i="2"/>
  <c r="Z551" i="2"/>
  <c r="AP551" i="2"/>
  <c r="BF551" i="2"/>
  <c r="Q552" i="2"/>
  <c r="AG552" i="2"/>
  <c r="AW552" i="2"/>
  <c r="BM552" i="2"/>
  <c r="T553" i="2"/>
  <c r="AJ553" i="2"/>
  <c r="AZ553" i="2"/>
  <c r="T554" i="2"/>
  <c r="AZ554" i="2"/>
  <c r="R510" i="2"/>
  <c r="AH510" i="2"/>
  <c r="AX510" i="2"/>
  <c r="I511" i="2"/>
  <c r="Y511" i="2"/>
  <c r="AO511" i="2"/>
  <c r="BE511" i="2"/>
  <c r="L512" i="2"/>
  <c r="AB512" i="2"/>
  <c r="AR512" i="2"/>
  <c r="BH512" i="2"/>
  <c r="O513" i="2"/>
  <c r="AE513" i="2"/>
  <c r="AU513" i="2"/>
  <c r="BK513" i="2"/>
  <c r="V514" i="2"/>
  <c r="AL514" i="2"/>
  <c r="BB514" i="2"/>
  <c r="M515" i="2"/>
  <c r="AC515" i="2"/>
  <c r="AS515" i="2"/>
  <c r="BI515" i="2"/>
  <c r="P516" i="2"/>
  <c r="AF516" i="2"/>
  <c r="AV516" i="2"/>
  <c r="BL516" i="2"/>
  <c r="S517" i="2"/>
  <c r="AI517" i="2"/>
  <c r="AY517" i="2"/>
  <c r="J518" i="2"/>
  <c r="Z518" i="2"/>
  <c r="AP518" i="2"/>
  <c r="BF518" i="2"/>
  <c r="Q519" i="2"/>
  <c r="AG519" i="2"/>
  <c r="AW519" i="2"/>
  <c r="BM519" i="2"/>
  <c r="T520" i="2"/>
  <c r="AJ520" i="2"/>
  <c r="AZ520" i="2"/>
  <c r="G521" i="2"/>
  <c r="W521" i="2"/>
  <c r="AM521" i="2"/>
  <c r="BC521" i="2"/>
  <c r="N522" i="2"/>
  <c r="AD522" i="2"/>
  <c r="AT522" i="2"/>
  <c r="BJ522" i="2"/>
  <c r="U523" i="2"/>
  <c r="AK523" i="2"/>
  <c r="BA523" i="2"/>
  <c r="H524" i="2"/>
  <c r="X524" i="2"/>
  <c r="AN524" i="2"/>
  <c r="BD524" i="2"/>
  <c r="K525" i="2"/>
  <c r="AA525" i="2"/>
  <c r="AQ525" i="2"/>
  <c r="BG525" i="2"/>
  <c r="R526" i="2"/>
  <c r="AH526" i="2"/>
  <c r="AX526" i="2"/>
  <c r="I527" i="2"/>
  <c r="Y527" i="2"/>
  <c r="AO527" i="2"/>
  <c r="BE527" i="2"/>
  <c r="L528" i="2"/>
  <c r="AB528" i="2"/>
  <c r="AR528" i="2"/>
  <c r="BH528" i="2"/>
  <c r="O529" i="2"/>
  <c r="AE529" i="2"/>
  <c r="AU529" i="2"/>
  <c r="BK529" i="2"/>
  <c r="V530" i="2"/>
  <c r="AL530" i="2"/>
  <c r="BB530" i="2"/>
  <c r="M531" i="2"/>
  <c r="AC531" i="2"/>
  <c r="AS531" i="2"/>
  <c r="BI531" i="2"/>
  <c r="P532" i="2"/>
  <c r="AF532" i="2"/>
  <c r="AV532" i="2"/>
  <c r="BL532" i="2"/>
  <c r="S533" i="2"/>
  <c r="AI533" i="2"/>
  <c r="AY533" i="2"/>
  <c r="J534" i="2"/>
  <c r="Z534" i="2"/>
  <c r="AP534" i="2"/>
  <c r="BF534" i="2"/>
  <c r="Q535" i="2"/>
  <c r="AG535" i="2"/>
  <c r="AW535" i="2"/>
  <c r="BM535" i="2"/>
  <c r="T536" i="2"/>
  <c r="AJ536" i="2"/>
  <c r="AZ536" i="2"/>
  <c r="G537" i="2"/>
  <c r="W537" i="2"/>
  <c r="AM537" i="2"/>
  <c r="BC537" i="2"/>
  <c r="N538" i="2"/>
  <c r="AD538" i="2"/>
  <c r="AT538" i="2"/>
  <c r="BJ538" i="2"/>
  <c r="V539" i="3"/>
  <c r="V539" i="2" s="1"/>
  <c r="V540" i="2"/>
  <c r="AL539" i="3"/>
  <c r="AL539" i="2" s="1"/>
  <c r="AL540" i="2"/>
  <c r="BB539" i="3"/>
  <c r="BB539" i="2" s="1"/>
  <c r="BB540" i="2"/>
  <c r="M541" i="2"/>
  <c r="AC541" i="2"/>
  <c r="AS541" i="2"/>
  <c r="BI541" i="2"/>
  <c r="P542" i="2"/>
  <c r="AF542" i="2"/>
  <c r="AV542" i="2"/>
  <c r="BL542" i="2"/>
  <c r="S543" i="2"/>
  <c r="AI543" i="2"/>
  <c r="AY543" i="2"/>
  <c r="J544" i="2"/>
  <c r="Z544" i="2"/>
  <c r="AP544" i="2"/>
  <c r="BF544" i="2"/>
  <c r="Q545" i="2"/>
  <c r="AG545" i="2"/>
  <c r="AW545" i="2"/>
  <c r="BM545" i="2"/>
  <c r="T546" i="2"/>
  <c r="AJ546" i="2"/>
  <c r="AZ546" i="2"/>
  <c r="G547" i="2"/>
  <c r="W547" i="2"/>
  <c r="AM547" i="2"/>
  <c r="BC547" i="2"/>
  <c r="N548" i="2"/>
  <c r="AD548" i="2"/>
  <c r="AT548" i="2"/>
  <c r="BJ548" i="2"/>
  <c r="U549" i="2"/>
  <c r="AK549" i="2"/>
  <c r="BA549" i="2"/>
  <c r="H550" i="2"/>
  <c r="X550" i="2"/>
  <c r="AN550" i="2"/>
  <c r="BD550" i="2"/>
  <c r="K551" i="2"/>
  <c r="AA551" i="2"/>
  <c r="AQ551" i="2"/>
  <c r="BG551" i="2"/>
  <c r="R552" i="2"/>
  <c r="AH552" i="2"/>
  <c r="AX552" i="2"/>
  <c r="I553" i="2"/>
  <c r="Y553" i="2"/>
  <c r="AO553" i="2"/>
  <c r="BE553" i="2"/>
  <c r="W554" i="2"/>
  <c r="BC554" i="2"/>
  <c r="T509" i="2"/>
  <c r="AJ509" i="2"/>
  <c r="AZ509" i="2"/>
  <c r="G510" i="2"/>
  <c r="W510" i="2"/>
  <c r="AM510" i="2"/>
  <c r="BC510" i="2"/>
  <c r="N511" i="2"/>
  <c r="AD511" i="2"/>
  <c r="AT511" i="2"/>
  <c r="BJ511" i="2"/>
  <c r="U512" i="2"/>
  <c r="AK512" i="2"/>
  <c r="BA512" i="2"/>
  <c r="H513" i="2"/>
  <c r="X513" i="2"/>
  <c r="AN513" i="2"/>
  <c r="BD513" i="2"/>
  <c r="K514" i="2"/>
  <c r="AA514" i="2"/>
  <c r="AQ514" i="2"/>
  <c r="BG514" i="2"/>
  <c r="R515" i="2"/>
  <c r="AH515" i="2"/>
  <c r="AX515" i="2"/>
  <c r="I516" i="2"/>
  <c r="Y516" i="2"/>
  <c r="AO516" i="2"/>
  <c r="BE516" i="2"/>
  <c r="L517" i="2"/>
  <c r="AB517" i="2"/>
  <c r="AR517" i="2"/>
  <c r="BH517" i="2"/>
  <c r="O518" i="2"/>
  <c r="AE518" i="2"/>
  <c r="AU518" i="2"/>
  <c r="BK518" i="2"/>
  <c r="V519" i="2"/>
  <c r="AL519" i="2"/>
  <c r="BB519" i="2"/>
  <c r="M520" i="2"/>
  <c r="AC520" i="2"/>
  <c r="AS520" i="2"/>
  <c r="BI520" i="2"/>
  <c r="P521" i="2"/>
  <c r="AF521" i="2"/>
  <c r="AV521" i="2"/>
  <c r="BL521" i="2"/>
  <c r="S522" i="2"/>
  <c r="AI522" i="2"/>
  <c r="AY522" i="2"/>
  <c r="J523" i="2"/>
  <c r="Z523" i="2"/>
  <c r="AP523" i="2"/>
  <c r="BF523" i="2"/>
  <c r="Q524" i="2"/>
  <c r="AG524" i="2"/>
  <c r="AW524" i="2"/>
  <c r="BM524" i="2"/>
  <c r="T525" i="2"/>
  <c r="AJ525" i="2"/>
  <c r="AZ525" i="2"/>
  <c r="G526" i="2"/>
  <c r="W526" i="2"/>
  <c r="AM526" i="2"/>
  <c r="BC526" i="2"/>
  <c r="N527" i="2"/>
  <c r="AD527" i="2"/>
  <c r="AT527" i="2"/>
  <c r="BJ527" i="2"/>
  <c r="U528" i="2"/>
  <c r="AK528" i="2"/>
  <c r="BA528" i="2"/>
  <c r="H529" i="2"/>
  <c r="X529" i="2"/>
  <c r="AN529" i="2"/>
  <c r="BD529" i="2"/>
  <c r="K530" i="2"/>
  <c r="AA530" i="2"/>
  <c r="AQ530" i="2"/>
  <c r="BG530" i="2"/>
  <c r="R531" i="2"/>
  <c r="AH531" i="2"/>
  <c r="AX531" i="2"/>
  <c r="I532" i="2"/>
  <c r="Y532" i="2"/>
  <c r="AO532" i="2"/>
  <c r="BE532" i="2"/>
  <c r="L533" i="2"/>
  <c r="AB533" i="2"/>
  <c r="AR533" i="2"/>
  <c r="BH533" i="2"/>
  <c r="O534" i="2"/>
  <c r="AE534" i="2"/>
  <c r="AU534" i="2"/>
  <c r="BK534" i="2"/>
  <c r="V535" i="2"/>
  <c r="AL535" i="2"/>
  <c r="BB535" i="2"/>
  <c r="M536" i="2"/>
  <c r="AC536" i="2"/>
  <c r="AS536" i="2"/>
  <c r="BI536" i="2"/>
  <c r="P537" i="2"/>
  <c r="AF537" i="2"/>
  <c r="AV537" i="2"/>
  <c r="BL537" i="2"/>
  <c r="S538" i="2"/>
  <c r="AI538" i="2"/>
  <c r="AY538" i="2"/>
  <c r="G539" i="3"/>
  <c r="G539" i="2" s="1"/>
  <c r="G540" i="2"/>
  <c r="W539" i="3"/>
  <c r="W539" i="2" s="1"/>
  <c r="W540" i="2"/>
  <c r="AM539" i="3"/>
  <c r="AM539" i="2" s="1"/>
  <c r="AM540" i="2"/>
  <c r="BC539" i="3"/>
  <c r="BC539" i="2" s="1"/>
  <c r="BC540" i="2"/>
  <c r="N541" i="2"/>
  <c r="AD541" i="2"/>
  <c r="AT541" i="2"/>
  <c r="BJ541" i="2"/>
  <c r="U542" i="2"/>
  <c r="AK542" i="2"/>
  <c r="BA542" i="2"/>
  <c r="H543" i="2"/>
  <c r="X543" i="2"/>
  <c r="AN543" i="2"/>
  <c r="BD543" i="2"/>
  <c r="K544" i="2"/>
  <c r="AA544" i="2"/>
  <c r="AQ544" i="2"/>
  <c r="BG544" i="2"/>
  <c r="R545" i="2"/>
  <c r="AH545" i="2"/>
  <c r="AX545" i="2"/>
  <c r="I546" i="2"/>
  <c r="Y546" i="2"/>
  <c r="AO546" i="2"/>
  <c r="BE546" i="2"/>
  <c r="L547" i="2"/>
  <c r="AB547" i="2"/>
  <c r="AR547" i="2"/>
  <c r="BH547" i="2"/>
  <c r="O548" i="2"/>
  <c r="AE548" i="2"/>
  <c r="AU548" i="2"/>
  <c r="BK548" i="2"/>
  <c r="V549" i="2"/>
  <c r="AL549" i="2"/>
  <c r="BB549" i="2"/>
  <c r="M550" i="2"/>
  <c r="AC550" i="2"/>
  <c r="AS550" i="2"/>
  <c r="BI550" i="2"/>
  <c r="P551" i="2"/>
  <c r="AF551" i="2"/>
  <c r="AV551" i="2"/>
  <c r="BL551" i="2"/>
  <c r="S552" i="2"/>
  <c r="AI552" i="2"/>
  <c r="AY552" i="2"/>
  <c r="J553" i="2"/>
  <c r="Z553" i="2"/>
  <c r="AP553" i="2"/>
  <c r="BF553" i="2"/>
  <c r="X554" i="2"/>
  <c r="BD554" i="2"/>
  <c r="Q509" i="2"/>
  <c r="AG509" i="2"/>
  <c r="AW509" i="2"/>
  <c r="BM509" i="2"/>
  <c r="T510" i="2"/>
  <c r="AJ510" i="2"/>
  <c r="AZ510" i="2"/>
  <c r="G511" i="2"/>
  <c r="W511" i="2"/>
  <c r="AM511" i="2"/>
  <c r="BC511" i="2"/>
  <c r="N512" i="2"/>
  <c r="AD512" i="2"/>
  <c r="AT512" i="2"/>
  <c r="BJ512" i="2"/>
  <c r="U513" i="2"/>
  <c r="AK513" i="2"/>
  <c r="BA513" i="2"/>
  <c r="H514" i="2"/>
  <c r="X514" i="2"/>
  <c r="AN514" i="2"/>
  <c r="BD514" i="2"/>
  <c r="K515" i="2"/>
  <c r="AA515" i="2"/>
  <c r="AQ515" i="2"/>
  <c r="BG515" i="2"/>
  <c r="R516" i="2"/>
  <c r="AH516" i="2"/>
  <c r="AX516" i="2"/>
  <c r="I517" i="2"/>
  <c r="Y517" i="2"/>
  <c r="AO517" i="2"/>
  <c r="BE517" i="2"/>
  <c r="L518" i="2"/>
  <c r="AB518" i="2"/>
  <c r="AR518" i="2"/>
  <c r="BH518" i="2"/>
  <c r="O519" i="2"/>
  <c r="AE519" i="2"/>
  <c r="AU519" i="2"/>
  <c r="BK519" i="2"/>
  <c r="V520" i="2"/>
  <c r="AL520" i="2"/>
  <c r="BB520" i="2"/>
  <c r="M521" i="2"/>
  <c r="AC521" i="2"/>
  <c r="AS521" i="2"/>
  <c r="BI521" i="2"/>
  <c r="P522" i="2"/>
  <c r="AF522" i="2"/>
  <c r="AV522" i="2"/>
  <c r="BL522" i="2"/>
  <c r="S523" i="2"/>
  <c r="AI523" i="2"/>
  <c r="AY523" i="2"/>
  <c r="J524" i="2"/>
  <c r="Z524" i="2"/>
  <c r="AP524" i="2"/>
  <c r="BF524" i="2"/>
  <c r="Q525" i="2"/>
  <c r="AG525" i="2"/>
  <c r="AW525" i="2"/>
  <c r="BM525" i="2"/>
  <c r="T526" i="2"/>
  <c r="AJ526" i="2"/>
  <c r="AZ526" i="2"/>
  <c r="G527" i="2"/>
  <c r="W527" i="2"/>
  <c r="AM527" i="2"/>
  <c r="BC527" i="2"/>
  <c r="N528" i="2"/>
  <c r="AD528" i="2"/>
  <c r="AT528" i="2"/>
  <c r="BJ528" i="2"/>
  <c r="U529" i="2"/>
  <c r="AK529" i="2"/>
  <c r="BA529" i="2"/>
  <c r="H530" i="2"/>
  <c r="X530" i="2"/>
  <c r="AN530" i="2"/>
  <c r="BD530" i="2"/>
  <c r="K531" i="2"/>
  <c r="AA531" i="2"/>
  <c r="AQ531" i="2"/>
  <c r="BG531" i="2"/>
  <c r="R532" i="2"/>
  <c r="AH532" i="2"/>
  <c r="AX532" i="2"/>
  <c r="I533" i="2"/>
  <c r="Y533" i="2"/>
  <c r="AO533" i="2"/>
  <c r="BE533" i="2"/>
  <c r="L534" i="2"/>
  <c r="AB534" i="2"/>
  <c r="AR534" i="2"/>
  <c r="BH534" i="2"/>
  <c r="O535" i="2"/>
  <c r="AE535" i="2"/>
  <c r="AU535" i="2"/>
  <c r="BK535" i="2"/>
  <c r="V536" i="2"/>
  <c r="AL536" i="2"/>
  <c r="BB536" i="2"/>
  <c r="M537" i="2"/>
  <c r="AC537" i="2"/>
  <c r="AS537" i="2"/>
  <c r="BI537" i="2"/>
  <c r="P538" i="2"/>
  <c r="AF538" i="2"/>
  <c r="AV538" i="2"/>
  <c r="BL538" i="2"/>
  <c r="T539" i="3"/>
  <c r="T539" i="2" s="1"/>
  <c r="T540" i="2"/>
  <c r="AJ539" i="3"/>
  <c r="AJ539" i="2" s="1"/>
  <c r="AJ540" i="2"/>
  <c r="AZ539" i="3"/>
  <c r="AZ539" i="2" s="1"/>
  <c r="AZ540" i="2"/>
  <c r="G541" i="2"/>
  <c r="W541" i="2"/>
  <c r="AM541" i="2"/>
  <c r="BC541" i="2"/>
  <c r="N542" i="2"/>
  <c r="AD542" i="2"/>
  <c r="AT542" i="2"/>
  <c r="BJ542" i="2"/>
  <c r="U543" i="2"/>
  <c r="AK543" i="2"/>
  <c r="BA543" i="2"/>
  <c r="H544" i="2"/>
  <c r="X544" i="2"/>
  <c r="AN544" i="2"/>
  <c r="BD544" i="2"/>
  <c r="K545" i="2"/>
  <c r="AA545" i="2"/>
  <c r="AQ545" i="2"/>
  <c r="BG545" i="2"/>
  <c r="R546" i="2"/>
  <c r="AH546" i="2"/>
  <c r="AX546" i="2"/>
  <c r="I547" i="2"/>
  <c r="Y547" i="2"/>
  <c r="AO547" i="2"/>
  <c r="BE547" i="2"/>
  <c r="L548" i="2"/>
  <c r="AB548" i="2"/>
  <c r="AR548" i="2"/>
  <c r="BH548" i="2"/>
  <c r="O549" i="2"/>
  <c r="AE549" i="2"/>
  <c r="AU549" i="2"/>
  <c r="BK549" i="2"/>
  <c r="V550" i="2"/>
  <c r="AL550" i="2"/>
  <c r="BB550" i="2"/>
  <c r="M551" i="2"/>
  <c r="AC551" i="2"/>
  <c r="AS551" i="2"/>
  <c r="BI551" i="2"/>
  <c r="P552" i="2"/>
  <c r="AF552" i="2"/>
  <c r="AV552" i="2"/>
  <c r="BL552" i="2"/>
  <c r="S553" i="2"/>
  <c r="AI553" i="2"/>
  <c r="AY553" i="2"/>
  <c r="K554" i="2"/>
  <c r="AQ554" i="2"/>
  <c r="N555" i="2"/>
  <c r="AD555" i="2"/>
  <c r="AT555" i="2"/>
  <c r="BJ555" i="2"/>
  <c r="U556" i="2"/>
  <c r="AK556" i="2"/>
  <c r="BA556" i="2"/>
  <c r="H557" i="2"/>
  <c r="X557" i="2"/>
  <c r="AN557" i="2"/>
  <c r="BD557" i="2"/>
  <c r="K558" i="2"/>
  <c r="AA558" i="2"/>
  <c r="AQ558" i="2"/>
  <c r="BG558" i="2"/>
  <c r="R559" i="2"/>
  <c r="AH559" i="2"/>
  <c r="AX559" i="2"/>
  <c r="I560" i="2"/>
  <c r="Y560" i="2"/>
  <c r="AO560" i="2"/>
  <c r="BE560" i="2"/>
  <c r="L561" i="2"/>
  <c r="AB561" i="2"/>
  <c r="AR561" i="2"/>
  <c r="BH561" i="2"/>
  <c r="O562" i="2"/>
  <c r="AE562" i="2"/>
  <c r="AU562" i="2"/>
  <c r="BK562" i="2"/>
  <c r="V563" i="2"/>
  <c r="AL563" i="2"/>
  <c r="BB563" i="2"/>
  <c r="M564" i="2"/>
  <c r="AC564" i="2"/>
  <c r="AS564" i="2"/>
  <c r="BI564" i="2"/>
  <c r="P565" i="2"/>
  <c r="AF565" i="2"/>
  <c r="AV565" i="2"/>
  <c r="BL565" i="2"/>
  <c r="S566" i="2"/>
  <c r="AI566" i="2"/>
  <c r="AY566" i="2"/>
  <c r="J567" i="2"/>
  <c r="Z567" i="2"/>
  <c r="AP567" i="2"/>
  <c r="BF567" i="2"/>
  <c r="Q568" i="2"/>
  <c r="AG568" i="2"/>
  <c r="AW568" i="2"/>
  <c r="BM568" i="2"/>
  <c r="T569" i="2"/>
  <c r="AJ569" i="2"/>
  <c r="AZ569" i="2"/>
  <c r="G570" i="2"/>
  <c r="W570" i="2"/>
  <c r="AM570" i="2"/>
  <c r="BC570" i="2"/>
  <c r="N571" i="2"/>
  <c r="AD571" i="2"/>
  <c r="AT571" i="2"/>
  <c r="BJ571" i="2"/>
  <c r="U572" i="2"/>
  <c r="AK572" i="2"/>
  <c r="BA572" i="2"/>
  <c r="H573" i="2"/>
  <c r="X573" i="2"/>
  <c r="AN573" i="2"/>
  <c r="BD573" i="2"/>
  <c r="K574" i="2"/>
  <c r="AA574" i="2"/>
  <c r="AQ574" i="2"/>
  <c r="BG574" i="2"/>
  <c r="R575" i="2"/>
  <c r="AH575" i="2"/>
  <c r="AX575" i="2"/>
  <c r="I576" i="2"/>
  <c r="Y576" i="2"/>
  <c r="AO576" i="2"/>
  <c r="BE576" i="2"/>
  <c r="L577" i="2"/>
  <c r="AB577" i="2"/>
  <c r="AR577" i="2"/>
  <c r="BH577" i="2"/>
  <c r="O578" i="2"/>
  <c r="AE578" i="2"/>
  <c r="AU578" i="2"/>
  <c r="BK578" i="2"/>
  <c r="V579" i="2"/>
  <c r="AL579" i="2"/>
  <c r="BB579" i="2"/>
  <c r="N580" i="3"/>
  <c r="N580" i="2" s="1"/>
  <c r="N581" i="2"/>
  <c r="AD580" i="3"/>
  <c r="AD580" i="2" s="1"/>
  <c r="AD581" i="2"/>
  <c r="AT580" i="3"/>
  <c r="AT580" i="2" s="1"/>
  <c r="AT581" i="2"/>
  <c r="BJ580" i="3"/>
  <c r="BJ580" i="2" s="1"/>
  <c r="BJ581" i="2"/>
  <c r="U582" i="2"/>
  <c r="AK582" i="2"/>
  <c r="BA582" i="2"/>
  <c r="H583" i="2"/>
  <c r="X583" i="2"/>
  <c r="AN583" i="2"/>
  <c r="BD583" i="2"/>
  <c r="K584" i="2"/>
  <c r="AA584" i="2"/>
  <c r="AQ584" i="2"/>
  <c r="BG584" i="2"/>
  <c r="R585" i="2"/>
  <c r="AH585" i="2"/>
  <c r="AX585" i="2"/>
  <c r="I586" i="2"/>
  <c r="Y586" i="2"/>
  <c r="AO586" i="2"/>
  <c r="BE586" i="2"/>
  <c r="L587" i="2"/>
  <c r="AB587" i="2"/>
  <c r="AR587" i="2"/>
  <c r="BH587" i="2"/>
  <c r="O588" i="2"/>
  <c r="AE588" i="2"/>
  <c r="AU588" i="2"/>
  <c r="BK588" i="2"/>
  <c r="V589" i="2"/>
  <c r="AL589" i="2"/>
  <c r="BB589" i="2"/>
  <c r="M590" i="2"/>
  <c r="AC590" i="2"/>
  <c r="AS590" i="2"/>
  <c r="BI590" i="2"/>
  <c r="P591" i="2"/>
  <c r="AF591" i="2"/>
  <c r="AV591" i="2"/>
  <c r="BL591" i="2"/>
  <c r="S592" i="2"/>
  <c r="AI592" i="2"/>
  <c r="AY592" i="2"/>
  <c r="J593" i="2"/>
  <c r="Z593" i="2"/>
  <c r="AP593" i="2"/>
  <c r="BF593" i="2"/>
  <c r="Q594" i="2"/>
  <c r="AG594" i="2"/>
  <c r="AW594" i="2"/>
  <c r="BM594" i="2"/>
  <c r="T595" i="2"/>
  <c r="AJ595" i="2"/>
  <c r="AZ595" i="2"/>
  <c r="G596" i="2"/>
  <c r="W596" i="2"/>
  <c r="AM596" i="2"/>
  <c r="BC596" i="2"/>
  <c r="N597" i="2"/>
  <c r="AD597" i="2"/>
  <c r="AT597" i="2"/>
  <c r="BJ597" i="2"/>
  <c r="U598" i="2"/>
  <c r="AK598" i="2"/>
  <c r="BA598" i="2"/>
  <c r="L599" i="2"/>
  <c r="BD599" i="2"/>
  <c r="S555" i="2"/>
  <c r="AI555" i="2"/>
  <c r="AY555" i="2"/>
  <c r="J556" i="2"/>
  <c r="Z556" i="2"/>
  <c r="AP556" i="2"/>
  <c r="BF556" i="2"/>
  <c r="Q557" i="2"/>
  <c r="AG557" i="2"/>
  <c r="AW557" i="2"/>
  <c r="BM557" i="2"/>
  <c r="T558" i="2"/>
  <c r="AJ558" i="2"/>
  <c r="AZ558" i="2"/>
  <c r="G559" i="2"/>
  <c r="W559" i="2"/>
  <c r="AM559" i="2"/>
  <c r="BC559" i="2"/>
  <c r="N560" i="2"/>
  <c r="AD560" i="2"/>
  <c r="AT560" i="2"/>
  <c r="BJ560" i="2"/>
  <c r="U561" i="2"/>
  <c r="AK561" i="2"/>
  <c r="BA561" i="2"/>
  <c r="H562" i="2"/>
  <c r="X562" i="2"/>
  <c r="AN562" i="2"/>
  <c r="BD562" i="2"/>
  <c r="K563" i="2"/>
  <c r="AA563" i="2"/>
  <c r="AQ563" i="2"/>
  <c r="BG563" i="2"/>
  <c r="R564" i="2"/>
  <c r="AH564" i="2"/>
  <c r="AX564" i="2"/>
  <c r="I565" i="2"/>
  <c r="Y565" i="2"/>
  <c r="AO565" i="2"/>
  <c r="BE565" i="2"/>
  <c r="L566" i="2"/>
  <c r="AB566" i="2"/>
  <c r="AR566" i="2"/>
  <c r="BH566" i="2"/>
  <c r="O567" i="2"/>
  <c r="AE567" i="2"/>
  <c r="AU567" i="2"/>
  <c r="BK567" i="2"/>
  <c r="V568" i="2"/>
  <c r="AL568" i="2"/>
  <c r="BB568" i="2"/>
  <c r="M569" i="2"/>
  <c r="AC569" i="2"/>
  <c r="AS569" i="2"/>
  <c r="BI569" i="2"/>
  <c r="P570" i="2"/>
  <c r="AF570" i="2"/>
  <c r="AV570" i="2"/>
  <c r="BL570" i="2"/>
  <c r="S571" i="2"/>
  <c r="AI571" i="2"/>
  <c r="AY571" i="2"/>
  <c r="J572" i="2"/>
  <c r="Z572" i="2"/>
  <c r="AP572" i="2"/>
  <c r="BF572" i="2"/>
  <c r="Q573" i="2"/>
  <c r="AG573" i="2"/>
  <c r="AW573" i="2"/>
  <c r="BM573" i="2"/>
  <c r="T574" i="2"/>
  <c r="AJ574" i="2"/>
  <c r="AZ574" i="2"/>
  <c r="G575" i="2"/>
  <c r="W575" i="2"/>
  <c r="AM575" i="2"/>
  <c r="BC575" i="2"/>
  <c r="N576" i="2"/>
  <c r="AD576" i="2"/>
  <c r="AT576" i="2"/>
  <c r="BJ576" i="2"/>
  <c r="U577" i="2"/>
  <c r="AK577" i="2"/>
  <c r="BA577" i="2"/>
  <c r="H578" i="2"/>
  <c r="X578" i="2"/>
  <c r="AN578" i="2"/>
  <c r="BD578" i="2"/>
  <c r="K579" i="2"/>
  <c r="AA579" i="2"/>
  <c r="AQ579" i="2"/>
  <c r="BG579" i="2"/>
  <c r="O580" i="3"/>
  <c r="O580" i="2" s="1"/>
  <c r="O581" i="2"/>
  <c r="AE580" i="3"/>
  <c r="AE580" i="2" s="1"/>
  <c r="AE581" i="2"/>
  <c r="AU580" i="3"/>
  <c r="AU580" i="2" s="1"/>
  <c r="AU581" i="2"/>
  <c r="BK580" i="3"/>
  <c r="BK580" i="2" s="1"/>
  <c r="BK581" i="2"/>
  <c r="V582" i="2"/>
  <c r="AL582" i="2"/>
  <c r="BB582" i="2"/>
  <c r="M583" i="2"/>
  <c r="AC583" i="2"/>
  <c r="AS583" i="2"/>
  <c r="BI583" i="2"/>
  <c r="P584" i="2"/>
  <c r="AF584" i="2"/>
  <c r="AV584" i="2"/>
  <c r="BL584" i="2"/>
  <c r="S585" i="2"/>
  <c r="AI585" i="2"/>
  <c r="AY585" i="2"/>
  <c r="J586" i="2"/>
  <c r="Z586" i="2"/>
  <c r="AP586" i="2"/>
  <c r="BF586" i="2"/>
  <c r="Q587" i="2"/>
  <c r="AG587" i="2"/>
  <c r="AW587" i="2"/>
  <c r="BM587" i="2"/>
  <c r="T588" i="2"/>
  <c r="AJ588" i="2"/>
  <c r="AZ588" i="2"/>
  <c r="G589" i="2"/>
  <c r="W589" i="2"/>
  <c r="AM589" i="2"/>
  <c r="BC589" i="2"/>
  <c r="N590" i="2"/>
  <c r="AD590" i="2"/>
  <c r="AT590" i="2"/>
  <c r="BJ590" i="2"/>
  <c r="U591" i="2"/>
  <c r="AK591" i="2"/>
  <c r="BA591" i="2"/>
  <c r="H592" i="2"/>
  <c r="X592" i="2"/>
  <c r="AN592" i="2"/>
  <c r="BD592" i="2"/>
  <c r="K593" i="2"/>
  <c r="AA593" i="2"/>
  <c r="AQ593" i="2"/>
  <c r="BG593" i="2"/>
  <c r="R594" i="2"/>
  <c r="AH594" i="2"/>
  <c r="AX594" i="2"/>
  <c r="I595" i="2"/>
  <c r="Y595" i="2"/>
  <c r="AO595" i="2"/>
  <c r="BE595" i="2"/>
  <c r="L596" i="2"/>
  <c r="AB596" i="2"/>
  <c r="AR596" i="2"/>
  <c r="BH596" i="2"/>
  <c r="O597" i="2"/>
  <c r="AE597" i="2"/>
  <c r="AU597" i="2"/>
  <c r="BK597" i="2"/>
  <c r="V598" i="2"/>
  <c r="AL598" i="2"/>
  <c r="BB598" i="2"/>
  <c r="U599" i="2"/>
  <c r="I554" i="2"/>
  <c r="Y554" i="2"/>
  <c r="AO554" i="2"/>
  <c r="BE554" i="2"/>
  <c r="L555" i="2"/>
  <c r="AB555" i="2"/>
  <c r="AR555" i="2"/>
  <c r="BH555" i="2"/>
  <c r="O556" i="2"/>
  <c r="AE556" i="2"/>
  <c r="AU556" i="2"/>
  <c r="BK556" i="2"/>
  <c r="V557" i="2"/>
  <c r="AL557" i="2"/>
  <c r="BB557" i="2"/>
  <c r="M558" i="2"/>
  <c r="AC558" i="2"/>
  <c r="AS558" i="2"/>
  <c r="BI558" i="2"/>
  <c r="P559" i="2"/>
  <c r="AF559" i="2"/>
  <c r="AV559" i="2"/>
  <c r="BL559" i="2"/>
  <c r="S560" i="2"/>
  <c r="AI560" i="2"/>
  <c r="AY560" i="2"/>
  <c r="J561" i="2"/>
  <c r="Z561" i="2"/>
  <c r="AP561" i="2"/>
  <c r="BF561" i="2"/>
  <c r="Q562" i="2"/>
  <c r="AG562" i="2"/>
  <c r="AW562" i="2"/>
  <c r="BM562" i="2"/>
  <c r="T563" i="2"/>
  <c r="AJ563" i="2"/>
  <c r="AZ563" i="2"/>
  <c r="G564" i="2"/>
  <c r="W564" i="2"/>
  <c r="AM564" i="2"/>
  <c r="BC564" i="2"/>
  <c r="N565" i="2"/>
  <c r="AD565" i="2"/>
  <c r="AT565" i="2"/>
  <c r="BJ565" i="2"/>
  <c r="U566" i="2"/>
  <c r="AK566" i="2"/>
  <c r="BA566" i="2"/>
  <c r="H567" i="2"/>
  <c r="X567" i="2"/>
  <c r="AN567" i="2"/>
  <c r="BD567" i="2"/>
  <c r="K568" i="2"/>
  <c r="AA568" i="2"/>
  <c r="AQ568" i="2"/>
  <c r="BG568" i="2"/>
  <c r="R569" i="2"/>
  <c r="AH569" i="2"/>
  <c r="AX569" i="2"/>
  <c r="I570" i="2"/>
  <c r="Y570" i="2"/>
  <c r="AO570" i="2"/>
  <c r="BE570" i="2"/>
  <c r="L571" i="2"/>
  <c r="AB571" i="2"/>
  <c r="AR571" i="2"/>
  <c r="BH571" i="2"/>
  <c r="O572" i="2"/>
  <c r="AE572" i="2"/>
  <c r="AU572" i="2"/>
  <c r="BK572" i="2"/>
  <c r="V573" i="2"/>
  <c r="AL573" i="2"/>
  <c r="BB573" i="2"/>
  <c r="M574" i="2"/>
  <c r="AC574" i="2"/>
  <c r="AS574" i="2"/>
  <c r="BI574" i="2"/>
  <c r="P575" i="2"/>
  <c r="AF575" i="2"/>
  <c r="AV575" i="2"/>
  <c r="BL575" i="2"/>
  <c r="S576" i="2"/>
  <c r="AI576" i="2"/>
  <c r="AY576" i="2"/>
  <c r="J577" i="2"/>
  <c r="Z577" i="2"/>
  <c r="AP577" i="2"/>
  <c r="BF577" i="2"/>
  <c r="Q578" i="2"/>
  <c r="AG578" i="2"/>
  <c r="AW578" i="2"/>
  <c r="BM578" i="2"/>
  <c r="T579" i="2"/>
  <c r="AJ579" i="2"/>
  <c r="AZ579" i="2"/>
  <c r="H580" i="3"/>
  <c r="H580" i="2" s="1"/>
  <c r="H581" i="2"/>
  <c r="X580" i="3"/>
  <c r="X580" i="2" s="1"/>
  <c r="X581" i="2"/>
  <c r="AN580" i="3"/>
  <c r="AN580" i="2" s="1"/>
  <c r="AN581" i="2"/>
  <c r="BD580" i="3"/>
  <c r="BD580" i="2" s="1"/>
  <c r="BD581" i="2"/>
  <c r="K582" i="2"/>
  <c r="AA582" i="2"/>
  <c r="AQ582" i="2"/>
  <c r="BG582" i="2"/>
  <c r="R583" i="2"/>
  <c r="AH583" i="2"/>
  <c r="AX583" i="2"/>
  <c r="I584" i="2"/>
  <c r="Y584" i="2"/>
  <c r="AO584" i="2"/>
  <c r="BE584" i="2"/>
  <c r="L585" i="2"/>
  <c r="AB585" i="2"/>
  <c r="AR585" i="2"/>
  <c r="BH585" i="2"/>
  <c r="O586" i="2"/>
  <c r="AE586" i="2"/>
  <c r="AU586" i="2"/>
  <c r="BK586" i="2"/>
  <c r="V587" i="2"/>
  <c r="AL587" i="2"/>
  <c r="BB587" i="2"/>
  <c r="M588" i="2"/>
  <c r="AC588" i="2"/>
  <c r="AS588" i="2"/>
  <c r="BI588" i="2"/>
  <c r="P589" i="2"/>
  <c r="AF589" i="2"/>
  <c r="AV589" i="2"/>
  <c r="BL589" i="2"/>
  <c r="S590" i="2"/>
  <c r="AI590" i="2"/>
  <c r="AY590" i="2"/>
  <c r="J591" i="2"/>
  <c r="Z591" i="2"/>
  <c r="AP591" i="2"/>
  <c r="BF591" i="2"/>
  <c r="Q592" i="2"/>
  <c r="AG592" i="2"/>
  <c r="AW592" i="2"/>
  <c r="BM592" i="2"/>
  <c r="T593" i="2"/>
  <c r="AJ593" i="2"/>
  <c r="AZ593" i="2"/>
  <c r="G594" i="2"/>
  <c r="W594" i="2"/>
  <c r="AM594" i="2"/>
  <c r="BC594" i="2"/>
  <c r="N595" i="2"/>
  <c r="AD595" i="2"/>
  <c r="AT595" i="2"/>
  <c r="BJ595" i="2"/>
  <c r="U596" i="2"/>
  <c r="AK596" i="2"/>
  <c r="BA596" i="2"/>
  <c r="H597" i="2"/>
  <c r="X597" i="2"/>
  <c r="AN597" i="2"/>
  <c r="BD597" i="2"/>
  <c r="K598" i="2"/>
  <c r="AA598" i="2"/>
  <c r="AQ598" i="2"/>
  <c r="BG598" i="2"/>
  <c r="X599" i="2"/>
  <c r="BK553" i="2"/>
  <c r="V554" i="2"/>
  <c r="AL554" i="2"/>
  <c r="BB554" i="2"/>
  <c r="M555" i="2"/>
  <c r="AC555" i="2"/>
  <c r="AS555" i="2"/>
  <c r="BI555" i="2"/>
  <c r="P556" i="2"/>
  <c r="AF556" i="2"/>
  <c r="AV556" i="2"/>
  <c r="BL556" i="2"/>
  <c r="S557" i="2"/>
  <c r="AI557" i="2"/>
  <c r="AY557" i="2"/>
  <c r="J558" i="2"/>
  <c r="Z558" i="2"/>
  <c r="AP558" i="2"/>
  <c r="BF558" i="2"/>
  <c r="Q559" i="2"/>
  <c r="AG559" i="2"/>
  <c r="AW559" i="2"/>
  <c r="BM559" i="2"/>
  <c r="T560" i="2"/>
  <c r="AJ560" i="2"/>
  <c r="AZ560" i="2"/>
  <c r="G561" i="2"/>
  <c r="W561" i="2"/>
  <c r="AM561" i="2"/>
  <c r="BC561" i="2"/>
  <c r="N562" i="2"/>
  <c r="AD562" i="2"/>
  <c r="AT562" i="2"/>
  <c r="BJ562" i="2"/>
  <c r="U563" i="2"/>
  <c r="AK563" i="2"/>
  <c r="BA563" i="2"/>
  <c r="H564" i="2"/>
  <c r="X564" i="2"/>
  <c r="AN564" i="2"/>
  <c r="BD564" i="2"/>
  <c r="K565" i="2"/>
  <c r="AA565" i="2"/>
  <c r="AQ565" i="2"/>
  <c r="BG565" i="2"/>
  <c r="R566" i="2"/>
  <c r="AH566" i="2"/>
  <c r="AX566" i="2"/>
  <c r="I567" i="2"/>
  <c r="Y567" i="2"/>
  <c r="AO567" i="2"/>
  <c r="BE567" i="2"/>
  <c r="L568" i="2"/>
  <c r="AB568" i="2"/>
  <c r="AR568" i="2"/>
  <c r="BH568" i="2"/>
  <c r="O569" i="2"/>
  <c r="AE569" i="2"/>
  <c r="AU569" i="2"/>
  <c r="BK569" i="2"/>
  <c r="V570" i="2"/>
  <c r="AL570" i="2"/>
  <c r="BB570" i="2"/>
  <c r="M571" i="2"/>
  <c r="AC571" i="2"/>
  <c r="AS571" i="2"/>
  <c r="BI571" i="2"/>
  <c r="P572" i="2"/>
  <c r="AF572" i="2"/>
  <c r="AV572" i="2"/>
  <c r="BL572" i="2"/>
  <c r="S573" i="2"/>
  <c r="AI573" i="2"/>
  <c r="AY573" i="2"/>
  <c r="J574" i="2"/>
  <c r="Z574" i="2"/>
  <c r="AP574" i="2"/>
  <c r="BF574" i="2"/>
  <c r="Q575" i="2"/>
  <c r="AG575" i="2"/>
  <c r="AW575" i="2"/>
  <c r="BM575" i="2"/>
  <c r="T576" i="2"/>
  <c r="AJ576" i="2"/>
  <c r="AZ576" i="2"/>
  <c r="G577" i="2"/>
  <c r="W577" i="2"/>
  <c r="AM577" i="2"/>
  <c r="BC577" i="2"/>
  <c r="N578" i="2"/>
  <c r="AD578" i="2"/>
  <c r="AT578" i="2"/>
  <c r="BJ578" i="2"/>
  <c r="U579" i="2"/>
  <c r="AK579" i="2"/>
  <c r="BA579" i="2"/>
  <c r="I580" i="3"/>
  <c r="I580" i="2" s="1"/>
  <c r="I581" i="2"/>
  <c r="Y580" i="3"/>
  <c r="Y580" i="2" s="1"/>
  <c r="Y581" i="2"/>
  <c r="AO580" i="3"/>
  <c r="AO580" i="2" s="1"/>
  <c r="AO581" i="2"/>
  <c r="BE580" i="3"/>
  <c r="BE580" i="2" s="1"/>
  <c r="BE581" i="2"/>
  <c r="L582" i="2"/>
  <c r="AB582" i="2"/>
  <c r="AR582" i="2"/>
  <c r="BH582" i="2"/>
  <c r="O583" i="2"/>
  <c r="AE583" i="2"/>
  <c r="AU583" i="2"/>
  <c r="BK583" i="2"/>
  <c r="V584" i="2"/>
  <c r="AL584" i="2"/>
  <c r="BB584" i="2"/>
  <c r="M585" i="2"/>
  <c r="AC585" i="2"/>
  <c r="AS585" i="2"/>
  <c r="BI585" i="2"/>
  <c r="P586" i="2"/>
  <c r="AF586" i="2"/>
  <c r="AV586" i="2"/>
  <c r="BL586" i="2"/>
  <c r="S587" i="2"/>
  <c r="AI587" i="2"/>
  <c r="AY587" i="2"/>
  <c r="J588" i="2"/>
  <c r="Z588" i="2"/>
  <c r="AP588" i="2"/>
  <c r="BF588" i="2"/>
  <c r="Q589" i="2"/>
  <c r="AG589" i="2"/>
  <c r="AW589" i="2"/>
  <c r="BM589" i="2"/>
  <c r="T590" i="2"/>
  <c r="AJ590" i="2"/>
  <c r="AZ590" i="2"/>
  <c r="G591" i="2"/>
  <c r="W591" i="2"/>
  <c r="AM591" i="2"/>
  <c r="BC591" i="2"/>
  <c r="N592" i="2"/>
  <c r="AD592" i="2"/>
  <c r="AT592" i="2"/>
  <c r="BJ592" i="2"/>
  <c r="U593" i="2"/>
  <c r="AK593" i="2"/>
  <c r="BA593" i="2"/>
  <c r="H594" i="2"/>
  <c r="X594" i="2"/>
  <c r="AN594" i="2"/>
  <c r="BD594" i="2"/>
  <c r="K595" i="2"/>
  <c r="AA595" i="2"/>
  <c r="AQ595" i="2"/>
  <c r="BG595" i="2"/>
  <c r="R596" i="2"/>
  <c r="AH596" i="2"/>
  <c r="AX596" i="2"/>
  <c r="I597" i="2"/>
  <c r="Y597" i="2"/>
  <c r="AO597" i="2"/>
  <c r="BE597" i="2"/>
  <c r="L598" i="2"/>
  <c r="AB598" i="2"/>
  <c r="AR598" i="2"/>
  <c r="BH598" i="2"/>
  <c r="Y599" i="2"/>
  <c r="K599" i="2"/>
  <c r="AA599" i="2"/>
  <c r="AQ599" i="2"/>
  <c r="BG599" i="2"/>
  <c r="R600" i="2"/>
  <c r="AH600" i="2"/>
  <c r="AX600" i="2"/>
  <c r="I601" i="2"/>
  <c r="Y601" i="2"/>
  <c r="AO601" i="2"/>
  <c r="BE601" i="2"/>
  <c r="L602" i="2"/>
  <c r="AB602" i="2"/>
  <c r="AR602" i="2"/>
  <c r="BH602" i="2"/>
  <c r="O603" i="2"/>
  <c r="AE603" i="2"/>
  <c r="AU603" i="2"/>
  <c r="BK603" i="2"/>
  <c r="V604" i="2"/>
  <c r="AL604" i="2"/>
  <c r="BB604" i="2"/>
  <c r="M605" i="2"/>
  <c r="AC605" i="2"/>
  <c r="AS605" i="2"/>
  <c r="BI605" i="2"/>
  <c r="P606" i="2"/>
  <c r="AF606" i="2"/>
  <c r="AV606" i="2"/>
  <c r="BL606" i="2"/>
  <c r="S607" i="2"/>
  <c r="AI607" i="2"/>
  <c r="AY607" i="2"/>
  <c r="J608" i="2"/>
  <c r="Z608" i="2"/>
  <c r="AP608" i="2"/>
  <c r="BF608" i="2"/>
  <c r="Q609" i="2"/>
  <c r="AG609" i="2"/>
  <c r="AW609" i="2"/>
  <c r="BM609" i="2"/>
  <c r="T610" i="2"/>
  <c r="AJ610" i="2"/>
  <c r="AZ610" i="2"/>
  <c r="G611" i="2"/>
  <c r="W611" i="2"/>
  <c r="AM611" i="2"/>
  <c r="BC611" i="2"/>
  <c r="N612" i="2"/>
  <c r="AD612" i="2"/>
  <c r="AT612" i="2"/>
  <c r="BJ612" i="2"/>
  <c r="U613" i="2"/>
  <c r="AK613" i="2"/>
  <c r="BA613" i="2"/>
  <c r="H614" i="2"/>
  <c r="X614" i="2"/>
  <c r="AN614" i="2"/>
  <c r="BD614" i="2"/>
  <c r="K615" i="2"/>
  <c r="AA615" i="2"/>
  <c r="AQ615" i="2"/>
  <c r="BG615" i="2"/>
  <c r="R616" i="2"/>
  <c r="AH616" i="2"/>
  <c r="AX616" i="2"/>
  <c r="I617" i="2"/>
  <c r="Y617" i="2"/>
  <c r="AO617" i="2"/>
  <c r="BE617" i="2"/>
  <c r="L618" i="2"/>
  <c r="AB618" i="2"/>
  <c r="AR618" i="2"/>
  <c r="BH618" i="2"/>
  <c r="O619" i="2"/>
  <c r="AE619" i="2"/>
  <c r="AU619" i="2"/>
  <c r="BK619" i="2"/>
  <c r="V620" i="2"/>
  <c r="AL620" i="2"/>
  <c r="BB620" i="2"/>
  <c r="Q621" i="3"/>
  <c r="Q621" i="2" s="1"/>
  <c r="Q622" i="2"/>
  <c r="AL621" i="3"/>
  <c r="AL621" i="2" s="1"/>
  <c r="AL622" i="2"/>
  <c r="BL599" i="2"/>
  <c r="S600" i="2"/>
  <c r="AI600" i="2"/>
  <c r="AY600" i="2"/>
  <c r="J601" i="2"/>
  <c r="Z601" i="2"/>
  <c r="AP601" i="2"/>
  <c r="BF601" i="2"/>
  <c r="Q602" i="2"/>
  <c r="AG602" i="2"/>
  <c r="AW602" i="2"/>
  <c r="BM602" i="2"/>
  <c r="T603" i="2"/>
  <c r="AJ603" i="2"/>
  <c r="AZ603" i="2"/>
  <c r="G604" i="2"/>
  <c r="W604" i="2"/>
  <c r="AM604" i="2"/>
  <c r="BC604" i="2"/>
  <c r="N605" i="2"/>
  <c r="AD605" i="2"/>
  <c r="AT605" i="2"/>
  <c r="BJ605" i="2"/>
  <c r="U606" i="2"/>
  <c r="AK606" i="2"/>
  <c r="BA606" i="2"/>
  <c r="H607" i="2"/>
  <c r="X607" i="2"/>
  <c r="AN607" i="2"/>
  <c r="BD607" i="2"/>
  <c r="K608" i="2"/>
  <c r="AA608" i="2"/>
  <c r="AQ608" i="2"/>
  <c r="BG608" i="2"/>
  <c r="R609" i="2"/>
  <c r="AH609" i="2"/>
  <c r="AX609" i="2"/>
  <c r="I610" i="2"/>
  <c r="Y610" i="2"/>
  <c r="AO610" i="2"/>
  <c r="BE610" i="2"/>
  <c r="L611" i="2"/>
  <c r="AB611" i="2"/>
  <c r="AR611" i="2"/>
  <c r="BH611" i="2"/>
  <c r="O612" i="2"/>
  <c r="AE612" i="2"/>
  <c r="AU612" i="2"/>
  <c r="BK612" i="2"/>
  <c r="V613" i="2"/>
  <c r="AL613" i="2"/>
  <c r="BB613" i="2"/>
  <c r="M614" i="2"/>
  <c r="AC614" i="2"/>
  <c r="AS614" i="2"/>
  <c r="BI614" i="2"/>
  <c r="P615" i="2"/>
  <c r="AF615" i="2"/>
  <c r="AV615" i="2"/>
  <c r="BL615" i="2"/>
  <c r="S616" i="2"/>
  <c r="AI616" i="2"/>
  <c r="AY616" i="2"/>
  <c r="J617" i="2"/>
  <c r="Z617" i="2"/>
  <c r="AP617" i="2"/>
  <c r="BF617" i="2"/>
  <c r="Q618" i="2"/>
  <c r="AG618" i="2"/>
  <c r="AW618" i="2"/>
  <c r="BM618" i="2"/>
  <c r="T619" i="2"/>
  <c r="AJ619" i="2"/>
  <c r="AZ619" i="2"/>
  <c r="G620" i="2"/>
  <c r="W620" i="2"/>
  <c r="AM620" i="2"/>
  <c r="BC620" i="2"/>
  <c r="M621" i="3"/>
  <c r="M621" i="2" s="1"/>
  <c r="M622" i="2"/>
  <c r="AH621" i="3"/>
  <c r="AH621" i="2" s="1"/>
  <c r="AH622" i="2"/>
  <c r="BJ621" i="3"/>
  <c r="BJ621" i="2" s="1"/>
  <c r="BJ622" i="2"/>
  <c r="AS599" i="2"/>
  <c r="BI599" i="2"/>
  <c r="P600" i="2"/>
  <c r="AF600" i="2"/>
  <c r="AV600" i="2"/>
  <c r="BL600" i="2"/>
  <c r="S601" i="2"/>
  <c r="AI601" i="2"/>
  <c r="AY601" i="2"/>
  <c r="J602" i="2"/>
  <c r="Z602" i="2"/>
  <c r="AP602" i="2"/>
  <c r="BF602" i="2"/>
  <c r="Q603" i="2"/>
  <c r="AG603" i="2"/>
  <c r="AW603" i="2"/>
  <c r="BM603" i="2"/>
  <c r="T604" i="2"/>
  <c r="AJ604" i="2"/>
  <c r="AZ604" i="2"/>
  <c r="G605" i="2"/>
  <c r="W605" i="2"/>
  <c r="AM605" i="2"/>
  <c r="BC605" i="2"/>
  <c r="N606" i="2"/>
  <c r="AD606" i="2"/>
  <c r="AT606" i="2"/>
  <c r="BJ606" i="2"/>
  <c r="U607" i="2"/>
  <c r="AK607" i="2"/>
  <c r="BA607" i="2"/>
  <c r="H608" i="2"/>
  <c r="X608" i="2"/>
  <c r="AN608" i="2"/>
  <c r="BD608" i="2"/>
  <c r="K609" i="2"/>
  <c r="AA609" i="2"/>
  <c r="AQ609" i="2"/>
  <c r="BG609" i="2"/>
  <c r="R610" i="2"/>
  <c r="AH610" i="2"/>
  <c r="AX610" i="2"/>
  <c r="I611" i="2"/>
  <c r="Y611" i="2"/>
  <c r="AO611" i="2"/>
  <c r="BE611" i="2"/>
  <c r="L612" i="2"/>
  <c r="AB612" i="2"/>
  <c r="AR612" i="2"/>
  <c r="BH612" i="2"/>
  <c r="O613" i="2"/>
  <c r="AE613" i="2"/>
  <c r="AU613" i="2"/>
  <c r="BK613" i="2"/>
  <c r="V614" i="2"/>
  <c r="AL614" i="2"/>
  <c r="BB614" i="2"/>
  <c r="M615" i="2"/>
  <c r="AC615" i="2"/>
  <c r="AS615" i="2"/>
  <c r="BI615" i="2"/>
  <c r="P616" i="2"/>
  <c r="AF616" i="2"/>
  <c r="AV616" i="2"/>
  <c r="BL616" i="2"/>
  <c r="S617" i="2"/>
  <c r="AI617" i="2"/>
  <c r="AY617" i="2"/>
  <c r="J618" i="2"/>
  <c r="Z618" i="2"/>
  <c r="AP618" i="2"/>
  <c r="BF618" i="2"/>
  <c r="Q619" i="2"/>
  <c r="AG619" i="2"/>
  <c r="AW619" i="2"/>
  <c r="BM619" i="2"/>
  <c r="T620" i="2"/>
  <c r="AJ620" i="2"/>
  <c r="AZ620" i="2"/>
  <c r="I621" i="3"/>
  <c r="I621" i="2" s="1"/>
  <c r="I622" i="2"/>
  <c r="AD621" i="3"/>
  <c r="AD621" i="2" s="1"/>
  <c r="AD622" i="2"/>
  <c r="BE621" i="3"/>
  <c r="BE621" i="2" s="1"/>
  <c r="BE622" i="2"/>
  <c r="R599" i="2"/>
  <c r="AH599" i="2"/>
  <c r="AX599" i="2"/>
  <c r="I600" i="2"/>
  <c r="Y600" i="2"/>
  <c r="AO600" i="2"/>
  <c r="BE600" i="2"/>
  <c r="L601" i="2"/>
  <c r="AB601" i="2"/>
  <c r="AR601" i="2"/>
  <c r="BH601" i="2"/>
  <c r="O602" i="2"/>
  <c r="AE602" i="2"/>
  <c r="AU602" i="2"/>
  <c r="BK602" i="2"/>
  <c r="V603" i="2"/>
  <c r="AL603" i="2"/>
  <c r="BB603" i="2"/>
  <c r="M604" i="2"/>
  <c r="AC604" i="2"/>
  <c r="AS604" i="2"/>
  <c r="BI604" i="2"/>
  <c r="P605" i="2"/>
  <c r="AF605" i="2"/>
  <c r="AV605" i="2"/>
  <c r="BL605" i="2"/>
  <c r="S606" i="2"/>
  <c r="AI606" i="2"/>
  <c r="AY606" i="2"/>
  <c r="J607" i="2"/>
  <c r="Z607" i="2"/>
  <c r="AP607" i="2"/>
  <c r="BF607" i="2"/>
  <c r="Q608" i="2"/>
  <c r="AG608" i="2"/>
  <c r="AW608" i="2"/>
  <c r="BM608" i="2"/>
  <c r="T609" i="2"/>
  <c r="AJ609" i="2"/>
  <c r="AZ609" i="2"/>
  <c r="G610" i="2"/>
  <c r="W610" i="2"/>
  <c r="AM610" i="2"/>
  <c r="BC610" i="2"/>
  <c r="N611" i="2"/>
  <c r="AD611" i="2"/>
  <c r="AT611" i="2"/>
  <c r="BJ611" i="2"/>
  <c r="U612" i="2"/>
  <c r="AK612" i="2"/>
  <c r="BA612" i="2"/>
  <c r="H613" i="2"/>
  <c r="X613" i="2"/>
  <c r="AN613" i="2"/>
  <c r="BD613" i="2"/>
  <c r="K614" i="2"/>
  <c r="AA614" i="2"/>
  <c r="AQ614" i="2"/>
  <c r="BG614" i="2"/>
  <c r="R615" i="2"/>
  <c r="AH615" i="2"/>
  <c r="AX615" i="2"/>
  <c r="I616" i="2"/>
  <c r="Y616" i="2"/>
  <c r="AO616" i="2"/>
  <c r="BE616" i="2"/>
  <c r="L617" i="2"/>
  <c r="AB617" i="2"/>
  <c r="AR617" i="2"/>
  <c r="BH617" i="2"/>
  <c r="O618" i="2"/>
  <c r="AE618" i="2"/>
  <c r="AU618" i="2"/>
  <c r="BK618" i="2"/>
  <c r="V619" i="2"/>
  <c r="AL619" i="2"/>
  <c r="BB619" i="2"/>
  <c r="M620" i="2"/>
  <c r="AC620" i="2"/>
  <c r="AS620" i="2"/>
  <c r="BI620" i="2"/>
  <c r="U621" i="3"/>
  <c r="U621" i="2" s="1"/>
  <c r="U622" i="2"/>
  <c r="AP621" i="3"/>
  <c r="AP621" i="2" s="1"/>
  <c r="AP622" i="2"/>
  <c r="L623" i="2"/>
  <c r="AB623" i="2"/>
  <c r="AR623" i="2"/>
  <c r="BH623" i="2"/>
  <c r="O624" i="2"/>
  <c r="AE624" i="2"/>
  <c r="AU624" i="2"/>
  <c r="BK624" i="2"/>
  <c r="V625" i="2"/>
  <c r="AL625" i="2"/>
  <c r="BB625" i="2"/>
  <c r="M626" i="2"/>
  <c r="AC626" i="2"/>
  <c r="AS626" i="2"/>
  <c r="BI626" i="2"/>
  <c r="P627" i="2"/>
  <c r="AF627" i="2"/>
  <c r="AV627" i="2"/>
  <c r="BL627" i="2"/>
  <c r="S628" i="2"/>
  <c r="AI628" i="2"/>
  <c r="AY628" i="2"/>
  <c r="J629" i="2"/>
  <c r="Z629" i="2"/>
  <c r="AP629" i="2"/>
  <c r="BF629" i="2"/>
  <c r="Q630" i="2"/>
  <c r="AG630" i="2"/>
  <c r="AW630" i="2"/>
  <c r="BM630" i="2"/>
  <c r="T631" i="2"/>
  <c r="AJ631" i="2"/>
  <c r="AZ631" i="2"/>
  <c r="G632" i="2"/>
  <c r="W632" i="2"/>
  <c r="AM632" i="2"/>
  <c r="BC632" i="2"/>
  <c r="N633" i="2"/>
  <c r="AD633" i="2"/>
  <c r="AT633" i="2"/>
  <c r="BJ633" i="2"/>
  <c r="U634" i="2"/>
  <c r="AK634" i="2"/>
  <c r="BA634" i="2"/>
  <c r="H635" i="2"/>
  <c r="X635" i="2"/>
  <c r="AN635" i="2"/>
  <c r="BD635" i="2"/>
  <c r="M636" i="2"/>
  <c r="AH636" i="2"/>
  <c r="BD636" i="2"/>
  <c r="U637" i="2"/>
  <c r="AQ637" i="2"/>
  <c r="BL637" i="2"/>
  <c r="W638" i="2"/>
  <c r="AR638" i="2"/>
  <c r="J639" i="2"/>
  <c r="AE639" i="2"/>
  <c r="BA639" i="2"/>
  <c r="M640" i="2"/>
  <c r="AH640" i="2"/>
  <c r="BD640" i="2"/>
  <c r="U641" i="2"/>
  <c r="AQ641" i="2"/>
  <c r="BL641" i="2"/>
  <c r="W642" i="2"/>
  <c r="AR642" i="2"/>
  <c r="J643" i="2"/>
  <c r="AE643" i="2"/>
  <c r="BA643" i="2"/>
  <c r="M644" i="2"/>
  <c r="AH644" i="2"/>
  <c r="BD644" i="2"/>
  <c r="AC645" i="2"/>
  <c r="BI645" i="2"/>
  <c r="I647" i="2"/>
  <c r="H648" i="2"/>
  <c r="G649" i="2"/>
  <c r="K650" i="2"/>
  <c r="AD651" i="2"/>
  <c r="Y653" i="2"/>
  <c r="BL654" i="2"/>
  <c r="M623" i="2"/>
  <c r="AC623" i="2"/>
  <c r="AS623" i="2"/>
  <c r="BI623" i="2"/>
  <c r="P624" i="2"/>
  <c r="AF624" i="2"/>
  <c r="AV624" i="2"/>
  <c r="BL624" i="2"/>
  <c r="S625" i="2"/>
  <c r="AI625" i="2"/>
  <c r="AY625" i="2"/>
  <c r="J626" i="2"/>
  <c r="Z626" i="2"/>
  <c r="AP626" i="2"/>
  <c r="BF626" i="2"/>
  <c r="Q627" i="2"/>
  <c r="AG627" i="2"/>
  <c r="AW627" i="2"/>
  <c r="BM627" i="2"/>
  <c r="T628" i="2"/>
  <c r="AJ628" i="2"/>
  <c r="AZ628" i="2"/>
  <c r="G629" i="2"/>
  <c r="W629" i="2"/>
  <c r="AM629" i="2"/>
  <c r="BC629" i="2"/>
  <c r="N630" i="2"/>
  <c r="AD630" i="2"/>
  <c r="AT630" i="2"/>
  <c r="BJ630" i="2"/>
  <c r="U631" i="2"/>
  <c r="AK631" i="2"/>
  <c r="BA631" i="2"/>
  <c r="H632" i="2"/>
  <c r="X632" i="2"/>
  <c r="AN632" i="2"/>
  <c r="BD632" i="2"/>
  <c r="K633" i="2"/>
  <c r="AA633" i="2"/>
  <c r="AQ633" i="2"/>
  <c r="BG633" i="2"/>
  <c r="R634" i="2"/>
  <c r="AH634" i="2"/>
  <c r="AX634" i="2"/>
  <c r="I635" i="2"/>
  <c r="Y635" i="2"/>
  <c r="AO635" i="2"/>
  <c r="BE635" i="2"/>
  <c r="N636" i="2"/>
  <c r="AJ636" i="2"/>
  <c r="BE636" i="2"/>
  <c r="Q637" i="2"/>
  <c r="AM637" i="2"/>
  <c r="BH637" i="2"/>
  <c r="S638" i="2"/>
  <c r="AN638" i="2"/>
  <c r="BJ638" i="2"/>
  <c r="AA639" i="2"/>
  <c r="AW639" i="2"/>
  <c r="I640" i="2"/>
  <c r="AD640" i="2"/>
  <c r="AZ640" i="2"/>
  <c r="L641" i="2"/>
  <c r="AG641" i="2"/>
  <c r="BC641" i="2"/>
  <c r="N642" i="2"/>
  <c r="AI642" i="2"/>
  <c r="BD642" i="2"/>
  <c r="V643" i="2"/>
  <c r="AQ643" i="2"/>
  <c r="BM643" i="2"/>
  <c r="Y644" i="2"/>
  <c r="AT644" i="2"/>
  <c r="G645" i="2"/>
  <c r="AM645" i="2"/>
  <c r="J646" i="2"/>
  <c r="M647" i="2"/>
  <c r="L648" i="2"/>
  <c r="K649" i="2"/>
  <c r="P650" i="2"/>
  <c r="AI651" i="2"/>
  <c r="BB652" i="2"/>
  <c r="AA654" i="2"/>
  <c r="AQ621" i="3"/>
  <c r="AQ621" i="2" s="1"/>
  <c r="AQ622" i="2"/>
  <c r="BG621" i="3"/>
  <c r="BG621" i="2" s="1"/>
  <c r="BG622" i="2"/>
  <c r="R623" i="2"/>
  <c r="AH623" i="2"/>
  <c r="AX623" i="2"/>
  <c r="I624" i="2"/>
  <c r="Y624" i="2"/>
  <c r="AO624" i="2"/>
  <c r="BE624" i="2"/>
  <c r="L625" i="2"/>
  <c r="AB625" i="2"/>
  <c r="AR625" i="2"/>
  <c r="BH625" i="2"/>
  <c r="O626" i="2"/>
  <c r="AE626" i="2"/>
  <c r="AU626" i="2"/>
  <c r="BK626" i="2"/>
  <c r="V627" i="2"/>
  <c r="AL627" i="2"/>
  <c r="BB627" i="2"/>
  <c r="M628" i="2"/>
  <c r="AC628" i="2"/>
  <c r="AS628" i="2"/>
  <c r="BI628" i="2"/>
  <c r="P629" i="2"/>
  <c r="AF629" i="2"/>
  <c r="AV629" i="2"/>
  <c r="BL629" i="2"/>
  <c r="S630" i="2"/>
  <c r="AI630" i="2"/>
  <c r="AY630" i="2"/>
  <c r="J631" i="2"/>
  <c r="Z631" i="2"/>
  <c r="AP631" i="2"/>
  <c r="BF631" i="2"/>
  <c r="Q632" i="2"/>
  <c r="AG632" i="2"/>
  <c r="AW632" i="2"/>
  <c r="BM632" i="2"/>
  <c r="T633" i="2"/>
  <c r="AJ633" i="2"/>
  <c r="AZ633" i="2"/>
  <c r="G634" i="2"/>
  <c r="W634" i="2"/>
  <c r="AM634" i="2"/>
  <c r="BC634" i="2"/>
  <c r="N635" i="2"/>
  <c r="AD635" i="2"/>
  <c r="AT635" i="2"/>
  <c r="BJ635" i="2"/>
  <c r="Z636" i="2"/>
  <c r="AV636" i="2"/>
  <c r="H637" i="2"/>
  <c r="AC637" i="2"/>
  <c r="AY637" i="2"/>
  <c r="O638" i="2"/>
  <c r="AJ638" i="2"/>
  <c r="BF638" i="2"/>
  <c r="R639" i="2"/>
  <c r="AM639" i="2"/>
  <c r="BI639" i="2"/>
  <c r="Z640" i="2"/>
  <c r="AV640" i="2"/>
  <c r="H641" i="2"/>
  <c r="AC641" i="2"/>
  <c r="AY641" i="2"/>
  <c r="O642" i="2"/>
  <c r="AJ642" i="2"/>
  <c r="BF642" i="2"/>
  <c r="R643" i="2"/>
  <c r="AM643" i="2"/>
  <c r="BI643" i="2"/>
  <c r="Z644" i="2"/>
  <c r="AV644" i="2"/>
  <c r="I645" i="2"/>
  <c r="AO645" i="2"/>
  <c r="N646" i="2"/>
  <c r="Q647" i="2"/>
  <c r="P648" i="2"/>
  <c r="O649" i="2"/>
  <c r="AQ650" i="2"/>
  <c r="BJ651" i="2"/>
  <c r="O653" i="2"/>
  <c r="AF654" i="2"/>
  <c r="AY655" i="2"/>
  <c r="T621" i="3"/>
  <c r="T621" i="2" s="1"/>
  <c r="T622" i="2"/>
  <c r="AJ621" i="3"/>
  <c r="AJ621" i="2" s="1"/>
  <c r="AJ622" i="2"/>
  <c r="AZ621" i="3"/>
  <c r="AZ621" i="2" s="1"/>
  <c r="AZ622" i="2"/>
  <c r="G623" i="2"/>
  <c r="W623" i="2"/>
  <c r="AM623" i="2"/>
  <c r="BC623" i="2"/>
  <c r="N624" i="2"/>
  <c r="AD624" i="2"/>
  <c r="AT624" i="2"/>
  <c r="BJ624" i="2"/>
  <c r="U625" i="2"/>
  <c r="AK625" i="2"/>
  <c r="BA625" i="2"/>
  <c r="H626" i="2"/>
  <c r="X626" i="2"/>
  <c r="AN626" i="2"/>
  <c r="BD626" i="2"/>
  <c r="K627" i="2"/>
  <c r="AA627" i="2"/>
  <c r="AQ627" i="2"/>
  <c r="BG627" i="2"/>
  <c r="R628" i="2"/>
  <c r="AH628" i="2"/>
  <c r="AX628" i="2"/>
  <c r="I629" i="2"/>
  <c r="Y629" i="2"/>
  <c r="AO629" i="2"/>
  <c r="BE629" i="2"/>
  <c r="L630" i="2"/>
  <c r="AB630" i="2"/>
  <c r="AR630" i="2"/>
  <c r="BH630" i="2"/>
  <c r="O631" i="2"/>
  <c r="AE631" i="2"/>
  <c r="AU631" i="2"/>
  <c r="BK631" i="2"/>
  <c r="V632" i="2"/>
  <c r="AL632" i="2"/>
  <c r="BB632" i="2"/>
  <c r="M633" i="2"/>
  <c r="AC633" i="2"/>
  <c r="AS633" i="2"/>
  <c r="BI633" i="2"/>
  <c r="P634" i="2"/>
  <c r="AF634" i="2"/>
  <c r="AV634" i="2"/>
  <c r="BL634" i="2"/>
  <c r="S635" i="2"/>
  <c r="AI635" i="2"/>
  <c r="AY635" i="2"/>
  <c r="L636" i="2"/>
  <c r="AG636" i="2"/>
  <c r="BB636" i="2"/>
  <c r="O637" i="2"/>
  <c r="AJ637" i="2"/>
  <c r="BE637" i="2"/>
  <c r="V638" i="2"/>
  <c r="AQ638" i="2"/>
  <c r="BL638" i="2"/>
  <c r="Y639" i="2"/>
  <c r="AT639" i="2"/>
  <c r="L640" i="2"/>
  <c r="AG640" i="2"/>
  <c r="BB640" i="2"/>
  <c r="O641" i="2"/>
  <c r="AJ641" i="2"/>
  <c r="BE641" i="2"/>
  <c r="V642" i="2"/>
  <c r="AQ642" i="2"/>
  <c r="BL642" i="2"/>
  <c r="Y643" i="2"/>
  <c r="AT643" i="2"/>
  <c r="L644" i="2"/>
  <c r="AG644" i="2"/>
  <c r="BB644" i="2"/>
  <c r="S645" i="2"/>
  <c r="AY645" i="2"/>
  <c r="AX646" i="2"/>
  <c r="T648" i="2"/>
  <c r="AI649" i="2"/>
  <c r="Y651" i="2"/>
  <c r="BM652" i="2"/>
  <c r="P654" i="2"/>
  <c r="AI655" i="2"/>
  <c r="O636" i="2"/>
  <c r="AE636" i="2"/>
  <c r="AU636" i="2"/>
  <c r="BK636" i="2"/>
  <c r="V637" i="2"/>
  <c r="AL637" i="2"/>
  <c r="BB637" i="2"/>
  <c r="M638" i="2"/>
  <c r="AC638" i="2"/>
  <c r="AS638" i="2"/>
  <c r="BI638" i="2"/>
  <c r="P639" i="2"/>
  <c r="AF639" i="2"/>
  <c r="AV639" i="2"/>
  <c r="BL639" i="2"/>
  <c r="S640" i="2"/>
  <c r="AI640" i="2"/>
  <c r="AY640" i="2"/>
  <c r="J641" i="2"/>
  <c r="Z641" i="2"/>
  <c r="AP641" i="2"/>
  <c r="BF641" i="2"/>
  <c r="Q642" i="2"/>
  <c r="AG642" i="2"/>
  <c r="AW642" i="2"/>
  <c r="BM642" i="2"/>
  <c r="T643" i="2"/>
  <c r="AJ643" i="2"/>
  <c r="AZ643" i="2"/>
  <c r="G644" i="2"/>
  <c r="W644" i="2"/>
  <c r="AM644" i="2"/>
  <c r="BC644" i="2"/>
  <c r="N645" i="2"/>
  <c r="AD645" i="2"/>
  <c r="AT645" i="2"/>
  <c r="BJ645" i="2"/>
  <c r="U646" i="2"/>
  <c r="AK646" i="2"/>
  <c r="BA646" i="2"/>
  <c r="H647" i="2"/>
  <c r="X647" i="2"/>
  <c r="AN647" i="2"/>
  <c r="BD647" i="2"/>
  <c r="K648" i="2"/>
  <c r="AA648" i="2"/>
  <c r="AQ648" i="2"/>
  <c r="BG648" i="2"/>
  <c r="R649" i="2"/>
  <c r="AH649" i="2"/>
  <c r="AY649" i="2"/>
  <c r="O650" i="2"/>
  <c r="AJ650" i="2"/>
  <c r="BF650" i="2"/>
  <c r="R651" i="2"/>
  <c r="AM651" i="2"/>
  <c r="BI651" i="2"/>
  <c r="Z652" i="2"/>
  <c r="AV652" i="2"/>
  <c r="H653" i="2"/>
  <c r="AC653" i="2"/>
  <c r="AY653" i="2"/>
  <c r="O654" i="2"/>
  <c r="AJ654" i="2"/>
  <c r="BF654" i="2"/>
  <c r="R655" i="2"/>
  <c r="AM655" i="2"/>
  <c r="BI655" i="2"/>
  <c r="Z656" i="2"/>
  <c r="AV656" i="2"/>
  <c r="H657" i="2"/>
  <c r="AC657" i="2"/>
  <c r="AY657" i="2"/>
  <c r="O658" i="2"/>
  <c r="AJ658" i="2"/>
  <c r="BF658" i="2"/>
  <c r="R659" i="2"/>
  <c r="AM659" i="2"/>
  <c r="BI659" i="2"/>
  <c r="Z660" i="2"/>
  <c r="AV660" i="2"/>
  <c r="H661" i="2"/>
  <c r="AC661" i="2"/>
  <c r="AY661" i="2"/>
  <c r="L656" i="2"/>
  <c r="AG656" i="2"/>
  <c r="BB656" i="2"/>
  <c r="O657" i="2"/>
  <c r="AJ657" i="2"/>
  <c r="BE657" i="2"/>
  <c r="V658" i="2"/>
  <c r="AQ658" i="2"/>
  <c r="BL658" i="2"/>
  <c r="Y659" i="2"/>
  <c r="AT659" i="2"/>
  <c r="L660" i="2"/>
  <c r="AG660" i="2"/>
  <c r="BB660" i="2"/>
  <c r="O661" i="2"/>
  <c r="AJ661" i="2"/>
  <c r="BE661" i="2"/>
  <c r="P645" i="2"/>
  <c r="AF645" i="2"/>
  <c r="AV645" i="2"/>
  <c r="BL645" i="2"/>
  <c r="S646" i="2"/>
  <c r="AI646" i="2"/>
  <c r="AY646" i="2"/>
  <c r="J647" i="2"/>
  <c r="Z647" i="2"/>
  <c r="AP647" i="2"/>
  <c r="BF647" i="2"/>
  <c r="Q648" i="2"/>
  <c r="AG648" i="2"/>
  <c r="AW648" i="2"/>
  <c r="BM648" i="2"/>
  <c r="T649" i="2"/>
  <c r="AJ649" i="2"/>
  <c r="BA649" i="2"/>
  <c r="L650" i="2"/>
  <c r="AH650" i="2"/>
  <c r="BC650" i="2"/>
  <c r="U651" i="2"/>
  <c r="AP651" i="2"/>
  <c r="BK651" i="2"/>
  <c r="X652" i="2"/>
  <c r="AS652" i="2"/>
  <c r="K653" i="2"/>
  <c r="AF653" i="2"/>
  <c r="BA653" i="2"/>
  <c r="L654" i="2"/>
  <c r="AH654" i="2"/>
  <c r="BC654" i="2"/>
  <c r="U655" i="2"/>
  <c r="AP655" i="2"/>
  <c r="BK655" i="2"/>
  <c r="X656" i="2"/>
  <c r="AS656" i="2"/>
  <c r="K657" i="2"/>
  <c r="AF657" i="2"/>
  <c r="BA657" i="2"/>
  <c r="L658" i="2"/>
  <c r="AH658" i="2"/>
  <c r="BC658" i="2"/>
  <c r="U659" i="2"/>
  <c r="AP659" i="2"/>
  <c r="BK659" i="2"/>
  <c r="X660" i="2"/>
  <c r="AS660" i="2"/>
  <c r="K661" i="2"/>
  <c r="AF661" i="2"/>
  <c r="BA661" i="2"/>
  <c r="L646" i="2"/>
  <c r="AB646" i="2"/>
  <c r="AR646" i="2"/>
  <c r="BH646" i="2"/>
  <c r="O647" i="2"/>
  <c r="AE647" i="2"/>
  <c r="AU647" i="2"/>
  <c r="BK647" i="2"/>
  <c r="V648" i="2"/>
  <c r="AL648" i="2"/>
  <c r="BB648" i="2"/>
  <c r="M649" i="2"/>
  <c r="AC649" i="2"/>
  <c r="AS649" i="2"/>
  <c r="BM649" i="2"/>
  <c r="X650" i="2"/>
  <c r="AT650" i="2"/>
  <c r="K651" i="2"/>
  <c r="AG651" i="2"/>
  <c r="BB651" i="2"/>
  <c r="N652" i="2"/>
  <c r="AJ652" i="2"/>
  <c r="BE652" i="2"/>
  <c r="Q653" i="2"/>
  <c r="AM653" i="2"/>
  <c r="BH653" i="2"/>
  <c r="S654" i="2"/>
  <c r="AN654" i="2"/>
  <c r="BJ654" i="2"/>
  <c r="AA655" i="2"/>
  <c r="AW655" i="2"/>
  <c r="I656" i="2"/>
  <c r="AD656" i="2"/>
  <c r="AZ656" i="2"/>
  <c r="L657" i="2"/>
  <c r="AG657" i="2"/>
  <c r="BC657" i="2"/>
  <c r="N658" i="2"/>
  <c r="AI658" i="2"/>
  <c r="BD658" i="2"/>
  <c r="V659" i="2"/>
  <c r="AQ659" i="2"/>
  <c r="BM659" i="2"/>
  <c r="Y660" i="2"/>
  <c r="AT660" i="2"/>
  <c r="G661" i="2"/>
  <c r="AB661" i="2"/>
  <c r="AW661" i="2"/>
  <c r="AX649" i="2"/>
  <c r="I650" i="2"/>
  <c r="Y650" i="2"/>
  <c r="AO650" i="2"/>
  <c r="BE650" i="2"/>
  <c r="L651" i="2"/>
  <c r="AB651" i="2"/>
  <c r="AR651" i="2"/>
  <c r="BH651" i="2"/>
  <c r="O652" i="2"/>
  <c r="AE652" i="2"/>
  <c r="AU652" i="2"/>
  <c r="BK652" i="2"/>
  <c r="V653" i="2"/>
  <c r="AL653" i="2"/>
  <c r="BB653" i="2"/>
  <c r="M654" i="2"/>
  <c r="AC654" i="2"/>
  <c r="AS654" i="2"/>
  <c r="BI654" i="2"/>
  <c r="P655" i="2"/>
  <c r="AF655" i="2"/>
  <c r="AV655" i="2"/>
  <c r="BL655" i="2"/>
  <c r="S656" i="2"/>
  <c r="AI656" i="2"/>
  <c r="AY656" i="2"/>
  <c r="J657" i="2"/>
  <c r="Z657" i="2"/>
  <c r="AP657" i="2"/>
  <c r="BF657" i="2"/>
  <c r="Q658" i="2"/>
  <c r="AG658" i="2"/>
  <c r="AW658" i="2"/>
  <c r="BM658" i="2"/>
  <c r="T659" i="2"/>
  <c r="AJ659" i="2"/>
  <c r="AZ659" i="2"/>
  <c r="G660" i="2"/>
  <c r="W660" i="2"/>
  <c r="AM660" i="2"/>
  <c r="BC660" i="2"/>
  <c r="N661" i="2"/>
  <c r="AD661" i="2"/>
  <c r="AT661" i="2"/>
  <c r="BJ661" i="2"/>
</calcChain>
</file>

<file path=xl/sharedStrings.xml><?xml version="1.0" encoding="utf-8"?>
<sst xmlns="http://schemas.openxmlformats.org/spreadsheetml/2006/main" count="29" uniqueCount="28">
  <si>
    <t>**IMPORTANT NOTE**</t>
  </si>
  <si>
    <t>This document, the information contained herein and any derived information created therefrom are for the exclusive use of ANIRUDH BHARDWAJ at COLUMBIA UNIVERSITY.</t>
  </si>
  <si>
    <t>~~~~~~~~~~~~~~~~~~~~~~~~~~~~~~~~~~~~~~~~~~~~~~~~~~~~~~~~~~~~~~~~~~~~~~~~~~~~~~~~~~~~~~~~~~~~~~~~~~~~~~~~~~~~~~~~~~~~~~~~~~~~~~~~~~~~~~~~~~~~~~~~~~~~~~~~~~~~~~~~</t>
  </si>
  <si>
    <t>**REFERENCE**</t>
  </si>
  <si>
    <t xml:space="preserve">     Spreadsheets generated from the BI Excel export can be used as reference tables to fuel various models and other sheets on your desktop.</t>
  </si>
  <si>
    <t xml:space="preserve">     Automated model building or 'drag and drop' from the BI export sheet are not supported at this time, but using the BI export</t>
  </si>
  <si>
    <t xml:space="preserve">     as a reference table for use in other spreadsheets is a powerful and convenient tool to help achieve your goals.</t>
  </si>
  <si>
    <t xml:space="preserve">   --The BI Excel export sheet typically contains two data tabs (certain BI modules like those in the 'Monitor' section on BI will only result in a single 'Sheet 1' data tab):</t>
  </si>
  <si>
    <t xml:space="preserve">     1) 'BIData':  This is the fully curated grid that is meant to be a clean, simple, synchronized match to what is seen on the BI dashboard. </t>
  </si>
  <si>
    <t xml:space="preserve">          The grid on the 'BIData' tab can be used as a reference table for use in your models and other downstream spreadsheets.</t>
  </si>
  <si>
    <t xml:space="preserve">     2) 'ReferenceData':  This is the tab where all the raw data is housed and data preparation is done.  There are typically 2 separate grids here:</t>
  </si>
  <si>
    <t xml:space="preserve">          a top curated grid that includes error handling, expressions, etc., and a bottom raw grid that includes any/all live API information for this export. </t>
  </si>
  <si>
    <t xml:space="preserve">          The bottom grid on the ReferenceData tab is where actual API (BDP/BDH) expressions are constructed, so refer to this section if you</t>
  </si>
  <si>
    <t xml:space="preserve">          are interested in seeing/using the underlying API details.</t>
  </si>
  <si>
    <t xml:space="preserve">          Note: In some cases the bottom grid will not exist (in the event that none of the data selected is coming from live API links).</t>
  </si>
  <si>
    <t xml:space="preserve">   --In any grid on either tab, there are common columns:</t>
  </si>
  <si>
    <t xml:space="preserve">     1) Description:  The row label that matches the row label you'd find on BI</t>
  </si>
  <si>
    <t xml:space="preserve">     2) Ticker:  The company/index ticker corresponding to that row (this is the ticker used in the </t>
  </si>
  <si>
    <t xml:space="preserve">          BDP/BDH formula for that row, if applicable)</t>
  </si>
  <si>
    <t xml:space="preserve">     3) Field ID:  The calcrout ID used to structure the BDP/BDH formula for that row (where applicable).</t>
  </si>
  <si>
    <t xml:space="preserve">     4) Field Mnemonic:  The calcrout mnemonic corresponding to the field ID used to structure the BDP/BDH formula for that row (where applicable).</t>
  </si>
  <si>
    <t xml:space="preserve">     5) Data State:  The state of the data within that particular row, including 'Dynamic', 'Static', 'Sum', 'Average', 'Median' or 'Heading'.  If 'Dynamic'</t>
  </si>
  <si>
    <t xml:space="preserve">          then new data will be expected to come to the sheet when it becomes available in the database with no need for another export.</t>
  </si>
  <si>
    <t xml:space="preserve">          If 'Static' then there are no live links in this row and new data will only be procured by running and exporting from BI again.</t>
  </si>
  <si>
    <t xml:space="preserve">          If it's 'Sum', 'Average', 'Median' or 'Expression', then new data may come to the sheet for some expression components, but</t>
  </si>
  <si>
    <t xml:space="preserve">          to ensure the latest data is present in the sheet, BI should be run and exported again.</t>
  </si>
  <si>
    <t>**HELP**</t>
  </si>
  <si>
    <t xml:space="preserve">     If you experience any issues with the BI Excel export process or results, run the BI&lt;GO&gt; function on your Bloomberg terminal, and then hit the &lt;HELP&gt; key twice.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</si>
</sst>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Connection</v>
        <stp/>
        <stp>##V3_BDHV12</stp>
        <stp>TOASOTRY EO Equity</stp>
        <stp>RR900</stp>
        <stp>-60CQ</stp>
        <stp>3/31/2019</stp>
        <stp>[BI_AUTMG_1_3wwqb2a2.xlsx]ReferenceData!R715C6</stp>
        <stp>Per=CQ</stp>
        <stp>Dts=H</stp>
        <stp>Dir=H</stp>
        <stp>Points=60</stp>
        <stp>Sort=R</stp>
        <stp>Days=A</stp>
        <stp>Fill=B</stp>
        <stp>FX=USD</stp>
        <tr r="F715" s="3"/>
      </tp>
      <tp t="s">
        <v>#N/A Connection</v>
        <stp/>
        <stp>##V3_BDHV12</stp>
        <stp>TOASOTRY EO Equity</stp>
        <stp>RR971</stp>
        <stp>-60CQ</stp>
        <stp>3/31/2019</stp>
        <stp>[BI_AUTMG_1_3wwqb2a2.xlsx]ReferenceData!R915C6</stp>
        <stp>Per=CQ</stp>
        <stp>Dts=H</stp>
        <stp>Dir=H</stp>
        <stp>Points=60</stp>
        <stp>Sort=R</stp>
        <stp>Days=A</stp>
        <stp>Fill=B</stp>
        <stp>FX=USD</stp>
        <tr r="F915" s="3"/>
      </tp>
      <tp t="s">
        <v>#N/A Connection</v>
        <stp/>
        <stp>##V3_BDHV12</stp>
        <stp>TOASOTRY EO Equity</stp>
        <stp>RR903</stp>
        <stp>-60CQ</stp>
        <stp>3/31/2019</stp>
        <stp>[BI_AUTMG_1_3wwqb2a2.xlsx]ReferenceData!R835C6</stp>
        <stp>Per=CQ</stp>
        <stp>Dts=H</stp>
        <stp>Dir=H</stp>
        <stp>Points=60</stp>
        <stp>Sort=R</stp>
        <stp>Days=A</stp>
        <stp>Fill=B</stp>
        <stp>FX=USD</stp>
        <tr r="F835" s="3"/>
      </tp>
      <tp t="s">
        <v>#N/A Connection</v>
        <stp/>
        <stp>##V3_BDHV12</stp>
        <stp>TOASOTRY EO Equity</stp>
        <stp>RR904</stp>
        <stp>-60CQ</stp>
        <stp>3/31/2019</stp>
        <stp>[BI_AUTMG_1_3wwqb2a2.xlsx]ReferenceData!R955C6</stp>
        <stp>Per=CQ</stp>
        <stp>Dts=H</stp>
        <stp>Dir=H</stp>
        <stp>Points=60</stp>
        <stp>Sort=R</stp>
        <stp>Days=A</stp>
        <stp>Fill=B</stp>
        <stp>FX=USD</stp>
        <tr r="F955" s="3"/>
      </tp>
      <tp t="s">
        <v>#N/A Connection</v>
        <stp/>
        <stp>##V3_BDHV12</stp>
        <stp>NSU GR Equity</stp>
        <stp>RR900</stp>
        <stp>-60CQ</stp>
        <stp>3/31/2019</stp>
        <stp>[BI_AUTMG_1_3wwqb2a2.xlsx]ReferenceData!R1339C3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339" s="3"/>
      </tp>
      <tp t="s">
        <v>#N/A Connection</v>
        <stp/>
        <stp>##V3_BDHV12</stp>
        <stp>NSU GR Equity</stp>
        <stp>RR900</stp>
        <stp>-60CQ</stp>
        <stp>3/31/2019</stp>
        <stp>[BI_AUTMG_1_3wwqb2a2.xlsx]ReferenceData!R1331C3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331" s="3"/>
      </tp>
      <tp t="s">
        <v>#N/A Connection</v>
        <stp/>
        <stp>##V3_BDHV12</stp>
        <stp>TOASOTRY EO Equity</stp>
        <stp>EZ010</stp>
        <stp>-60CQ</stp>
        <stp>3/31/2019</stp>
        <stp>[BI_AUTMG_1_3wwqb2a2.xlsx]ReferenceData!R795C6</stp>
        <stp>Per=CQ</stp>
        <stp>Dts=H</stp>
        <stp>Dir=H</stp>
        <stp>Points=60</stp>
        <stp>Sort=R</stp>
        <stp>Days=A</stp>
        <stp>Fill=B</stp>
        <stp>FX=USD</stp>
        <tr r="F795" s="3"/>
      </tp>
      <tp t="s">
        <v>#N/A Connection</v>
        <stp/>
        <stp>##V3_BDHV12</stp>
        <stp>TOASOTRY EO Equity</stp>
        <stp>EZ009</stp>
        <stp>-60CQ</stp>
        <stp>3/31/2019</stp>
        <stp>[BI_AUTMG_1_3wwqb2a2.xlsx]ReferenceData!R755C6</stp>
        <stp>Per=CQ</stp>
        <stp>Dts=H</stp>
        <stp>Dir=H</stp>
        <stp>Points=60</stp>
        <stp>Sort=R</stp>
        <stp>Days=A</stp>
        <stp>Fill=B</stp>
        <stp>FX=USD</stp>
        <tr r="F755" s="3"/>
      </tp>
      <tp t="s">
        <v>#N/A Connection</v>
        <stp/>
        <stp>##V3_BDHV12</stp>
        <stp>TOASOTRY EO Equity</stp>
        <stp>RX077</stp>
        <stp>-60CQ</stp>
        <stp>3/31/2019</stp>
        <stp>[BI_AUTMG_1_3wwqb2a2.xlsx]ReferenceData!R875C6</stp>
        <stp>Per=CQ</stp>
        <stp>Dts=H</stp>
        <stp>Dir=H</stp>
        <stp>Points=60</stp>
        <stp>Sort=R</stp>
        <stp>Days=A</stp>
        <stp>Fill=B</stp>
        <stp>FX=USD</stp>
        <tr r="F875" s="3"/>
      </tp>
      <tp t="s">
        <v>#N/A Connection</v>
        <stp/>
        <stp>##V3_BDHV12</stp>
        <stp>TOASOTRY EO Equity</stp>
        <stp>RR474</stp>
        <stp>-60CQ</stp>
        <stp>3/31/2019</stp>
        <stp>[BI_AUTMG_1_3wwqb2a2.xlsx]ReferenceData!R995C6</stp>
        <stp>Per=CQ</stp>
        <stp>Dts=H</stp>
        <stp>Dir=H</stp>
        <stp>Points=60</stp>
        <stp>Sort=R</stp>
        <stp>Days=A</stp>
        <stp>Fill=B</stp>
        <stp>FX=USD</stp>
        <tr r="F995" s="3"/>
      </tp>
      <tp t="s">
        <v>#N/A Connection</v>
        <stp/>
        <stp>##V3_BDHV12</stp>
        <stp>FROTOTRY EO Equity</stp>
        <stp>RR474</stp>
        <stp>-60CQ</stp>
        <stp>3/31/2019</stp>
        <stp>[BI_AUTMG_1_3wwqb2a2.xlsx]ReferenceData!R972C6</stp>
        <stp>Per=CQ</stp>
        <stp>Dts=H</stp>
        <stp>Dir=H</stp>
        <stp>Points=60</stp>
        <stp>Sort=R</stp>
        <stp>Days=A</stp>
        <stp>Fill=B</stp>
        <stp>FX=USD</stp>
        <tr r="F972" s="3"/>
      </tp>
      <tp t="s">
        <v>#N/A Connection</v>
        <stp/>
        <stp>##V3_BDHV12</stp>
        <stp>175 HK Equity</stp>
        <stp>RR480</stp>
        <stp>-60CQ</stp>
        <stp>3/31/2019</stp>
        <stp>[BI_AUTMG_1_3wwqb2a2.xlsx]ReferenceData!R1054C6</stp>
        <stp>Per=CQ</stp>
        <stp>Dts=H</stp>
        <stp>Dir=H</stp>
        <stp>Points=60</stp>
        <stp>Sort=R</stp>
        <stp>Days=A</stp>
        <stp>Fill=B</stp>
        <stp>FX=USD</stp>
        <tr r="F1054" s="3"/>
      </tp>
      <tp t="s">
        <v>#N/A Connection</v>
        <stp/>
        <stp>##V3_BDHV12</stp>
        <stp>489 HK Equity</stp>
        <stp>RR473</stp>
        <stp>-60CQ</stp>
        <stp>3/31/2019</stp>
        <stp>[BI_AUTMG_1_3wwqb2a2.xlsx]ReferenceData!R1007C6</stp>
        <stp>Per=CQ</stp>
        <stp>Dts=H</stp>
        <stp>Dir=H</stp>
        <stp>Points=60</stp>
        <stp>Sort=R</stp>
        <stp>Days=A</stp>
        <stp>Fill=B</stp>
        <stp>FX=USD</stp>
        <tr r="F1007" s="3"/>
      </tp>
      <tp t="s">
        <v>#N/A Connection</v>
        <stp/>
        <stp>##V3_BDHV12</stp>
        <stp>489 HK Equity</stp>
        <stp>RX072</stp>
        <stp>-60CQ</stp>
        <stp>3/31/2019</stp>
        <stp>[BI_AUTMG_1_3wwqb2a2.xlsx]ReferenceData!R1247C6</stp>
        <stp>Per=CQ</stp>
        <stp>Dts=H</stp>
        <stp>Dir=H</stp>
        <stp>Points=60</stp>
        <stp>Sort=R</stp>
        <stp>Days=A</stp>
        <stp>Fill=B</stp>
        <stp>FX=USD</stp>
        <tr r="F1247" s="3"/>
      </tp>
      <tp t="s">
        <v>#N/A Connection</v>
        <stp/>
        <stp>##V3_BDHV12</stp>
        <stp>489 HK Equity</stp>
        <stp>RR477</stp>
        <stp>-60CQ</stp>
        <stp>3/31/2019</stp>
        <stp>[BI_AUTMG_1_3wwqb2a2.xlsx]ReferenceData!R1087C6</stp>
        <stp>Per=CQ</stp>
        <stp>Dts=H</stp>
        <stp>Dir=H</stp>
        <stp>Points=60</stp>
        <stp>Sort=R</stp>
        <stp>Days=A</stp>
        <stp>Fill=B</stp>
        <stp>FX=USD</stp>
        <tr r="F1087" s="3"/>
      </tp>
      <tp t="s">
        <v>#N/A Connection</v>
        <stp/>
        <stp>##V3_BDHV12</stp>
        <stp>489 HK Equity</stp>
        <stp>RR476</stp>
        <stp>-60CQ</stp>
        <stp>3/31/2019</stp>
        <stp>[BI_AUTMG_1_3wwqb2a2.xlsx]ReferenceData!R1127C6</stp>
        <stp>Per=CQ</stp>
        <stp>Dts=H</stp>
        <stp>Dir=H</stp>
        <stp>Points=60</stp>
        <stp>Sort=R</stp>
        <stp>Days=A</stp>
        <stp>Fill=B</stp>
        <stp>FX=USD</stp>
        <tr r="F1127" s="3"/>
      </tp>
      <tp t="s">
        <v>#N/A Connection</v>
        <stp/>
        <stp>##V3_BDHV12</stp>
        <stp>489 HK Equity</stp>
        <stp>RX076</stp>
        <stp>-60CQ</stp>
        <stp>3/31/2019</stp>
        <stp>[BI_AUTMG_1_3wwqb2a2.xlsx]ReferenceData!R1207C6</stp>
        <stp>Per=CQ</stp>
        <stp>Dts=H</stp>
        <stp>Dir=H</stp>
        <stp>Points=60</stp>
        <stp>Sort=R</stp>
        <stp>Days=A</stp>
        <stp>Fill=B</stp>
        <stp>FX=USD</stp>
        <tr r="F1207" s="3"/>
      </tp>
      <tp t="s">
        <v>#N/A Connection</v>
        <stp/>
        <stp>##V3_BDHV12</stp>
        <stp>FROTOTRY EO Equity</stp>
        <stp>RX077</stp>
        <stp>-60CQ</stp>
        <stp>3/31/2019</stp>
        <stp>[BI_AUTMG_1_3wwqb2a2.xlsx]ReferenceData!R852C6</stp>
        <stp>Per=CQ</stp>
        <stp>Dts=H</stp>
        <stp>Dir=H</stp>
        <stp>Points=60</stp>
        <stp>Sort=R</stp>
        <stp>Days=A</stp>
        <stp>Fill=B</stp>
        <stp>FX=USD</stp>
        <tr r="F852" s="3"/>
      </tp>
      <tp t="s">
        <v>#N/A Connection</v>
        <stp/>
        <stp>##V3_BDHV12</stp>
        <stp>FROTOTRY EO Equity</stp>
        <stp>EZ010</stp>
        <stp>-60CQ</stp>
        <stp>3/31/2019</stp>
        <stp>[BI_AUTMG_1_3wwqb2a2.xlsx]ReferenceData!R772C6</stp>
        <stp>Per=CQ</stp>
        <stp>Dts=H</stp>
        <stp>Dir=H</stp>
        <stp>Points=60</stp>
        <stp>Sort=R</stp>
        <stp>Days=A</stp>
        <stp>Fill=B</stp>
        <stp>FX=USD</stp>
        <tr r="F772" s="3"/>
      </tp>
      <tp t="s">
        <v>#N/A Connection</v>
        <stp/>
        <stp>##V3_BDHV12</stp>
        <stp>FROTOTRY EO Equity</stp>
        <stp>EZ009</stp>
        <stp>-60CQ</stp>
        <stp>3/31/2019</stp>
        <stp>[BI_AUTMG_1_3wwqb2a2.xlsx]ReferenceData!R732C6</stp>
        <stp>Per=CQ</stp>
        <stp>Dts=H</stp>
        <stp>Dir=H</stp>
        <stp>Points=60</stp>
        <stp>Sort=R</stp>
        <stp>Days=A</stp>
        <stp>Fill=B</stp>
        <stp>FX=USD</stp>
        <tr r="F732" s="3"/>
      </tp>
      <tp t="s">
        <v>#N/A Connection</v>
        <stp/>
        <stp>##V3_BDHV12</stp>
        <stp>489 HK Equity</stp>
        <stp>RX539</stp>
        <stp>-60CQ</stp>
        <stp>3/31/2019</stp>
        <stp>[BI_AUTMG_1_3wwqb2a2.xlsx]ReferenceData!R1287C6</stp>
        <stp>Per=CQ</stp>
        <stp>Dts=H</stp>
        <stp>Dir=H</stp>
        <stp>Points=60</stp>
        <stp>Sort=R</stp>
        <stp>Days=A</stp>
        <stp>Fill=B</stp>
        <stp>FX=USD</stp>
        <tr r="F1287" s="3"/>
      </tp>
      <tp t="s">
        <v>#N/A Connection</v>
        <stp/>
        <stp>##V3_BDHV12</stp>
        <stp>489 HK Equity</stp>
        <stp>DV013</stp>
        <stp>-60CQ</stp>
        <stp>3/31/2019</stp>
        <stp>[BI_AUTMG_1_3wwqb2a2.xlsx]ReferenceData!R1167C6</stp>
        <stp>Per=CQ</stp>
        <stp>Dts=H</stp>
        <stp>Dir=H</stp>
        <stp>Points=60</stp>
        <stp>Sort=R</stp>
        <stp>Days=A</stp>
        <stp>Fill=B</stp>
        <stp>FX=USD</stp>
        <tr r="F1167" s="3"/>
      </tp>
      <tp t="s">
        <v>#N/A Connection</v>
        <stp/>
        <stp>##V3_BDHV12</stp>
        <stp>175 HK Equity</stp>
        <stp>DV013</stp>
        <stp>-60CQ</stp>
        <stp>3/31/2019</stp>
        <stp>[BI_AUTMG_1_3wwqb2a2.xlsx]ReferenceData!R1174C6</stp>
        <stp>Per=CQ</stp>
        <stp>Dts=H</stp>
        <stp>Dir=H</stp>
        <stp>Points=60</stp>
        <stp>Sort=R</stp>
        <stp>Days=A</stp>
        <stp>Fill=B</stp>
        <stp>FX=USD</stp>
        <tr r="F1174" s="3"/>
      </tp>
      <tp t="s">
        <v>#N/A Connection</v>
        <stp/>
        <stp>##V3_BDHV12</stp>
        <stp>175 HK Equity</stp>
        <stp>RX539</stp>
        <stp>-60CQ</stp>
        <stp>3/31/2019</stp>
        <stp>[BI_AUTMG_1_3wwqb2a2.xlsx]ReferenceData!R1294C6</stp>
        <stp>Per=CQ</stp>
        <stp>Dts=H</stp>
        <stp>Dir=H</stp>
        <stp>Points=60</stp>
        <stp>Sort=R</stp>
        <stp>Days=A</stp>
        <stp>Fill=B</stp>
        <stp>FX=USD</stp>
        <tr r="F1294" s="3"/>
      </tp>
      <tp t="s">
        <v>#N/A Connection</v>
        <stp/>
        <stp>##V3_BDHV12</stp>
        <stp>FROTOTRY EO Equity</stp>
        <stp>RR903</stp>
        <stp>-60CQ</stp>
        <stp>3/31/2019</stp>
        <stp>[BI_AUTMG_1_3wwqb2a2.xlsx]ReferenceData!R812C6</stp>
        <stp>Per=CQ</stp>
        <stp>Dts=H</stp>
        <stp>Dir=H</stp>
        <stp>Points=60</stp>
        <stp>Sort=R</stp>
        <stp>Days=A</stp>
        <stp>Fill=B</stp>
        <stp>FX=USD</stp>
        <tr r="F812" s="3"/>
      </tp>
      <tp t="s">
        <v>#N/A Connection</v>
        <stp/>
        <stp>##V3_BDHV12</stp>
        <stp>FROTOTRY EO Equity</stp>
        <stp>RR904</stp>
        <stp>-60CQ</stp>
        <stp>3/31/2019</stp>
        <stp>[BI_AUTMG_1_3wwqb2a2.xlsx]ReferenceData!R932C6</stp>
        <stp>Per=CQ</stp>
        <stp>Dts=H</stp>
        <stp>Dir=H</stp>
        <stp>Points=60</stp>
        <stp>Sort=R</stp>
        <stp>Days=A</stp>
        <stp>Fill=B</stp>
        <stp>FX=USD</stp>
        <tr r="F932" s="3"/>
      </tp>
      <tp t="s">
        <v>#N/A Connection</v>
        <stp/>
        <stp>##V3_BDHV12</stp>
        <stp>FROTOTRY EO Equity</stp>
        <stp>RR971</stp>
        <stp>-60CQ</stp>
        <stp>3/31/2019</stp>
        <stp>[BI_AUTMG_1_3wwqb2a2.xlsx]ReferenceData!R892C6</stp>
        <stp>Per=CQ</stp>
        <stp>Dts=H</stp>
        <stp>Dir=H</stp>
        <stp>Points=60</stp>
        <stp>Sort=R</stp>
        <stp>Days=A</stp>
        <stp>Fill=B</stp>
        <stp>FX=USD</stp>
        <tr r="F892" s="3"/>
      </tp>
      <tp t="s">
        <v>#N/A Connection</v>
        <stp/>
        <stp>##V3_BDHV12</stp>
        <stp>FROTOTRY EO Equity</stp>
        <stp>RR900</stp>
        <stp>-60CQ</stp>
        <stp>3/31/2019</stp>
        <stp>[BI_AUTMG_1_3wwqb2a2.xlsx]ReferenceData!R692C6</stp>
        <stp>Per=CQ</stp>
        <stp>Dts=H</stp>
        <stp>Dir=H</stp>
        <stp>Points=60</stp>
        <stp>Sort=R</stp>
        <stp>Days=A</stp>
        <stp>Fill=B</stp>
        <stp>FX=USD</stp>
        <tr r="F692" s="3"/>
      </tp>
      <tp t="s">
        <v>#N/A Connection</v>
        <stp/>
        <stp>##V3_BDHV12</stp>
        <stp>175 HK Equity</stp>
        <stp>RR477</stp>
        <stp>-60CQ</stp>
        <stp>3/31/2019</stp>
        <stp>[BI_AUTMG_1_3wwqb2a2.xlsx]ReferenceData!R1094C6</stp>
        <stp>Per=CQ</stp>
        <stp>Dts=H</stp>
        <stp>Dir=H</stp>
        <stp>Points=60</stp>
        <stp>Sort=R</stp>
        <stp>Days=A</stp>
        <stp>Fill=B</stp>
        <stp>FX=USD</stp>
        <tr r="F1094" s="3"/>
      </tp>
      <tp t="s">
        <v>#N/A Connection</v>
        <stp/>
        <stp>##V3_BDHV12</stp>
        <stp>175 HK Equity</stp>
        <stp>RR476</stp>
        <stp>-60CQ</stp>
        <stp>3/31/2019</stp>
        <stp>[BI_AUTMG_1_3wwqb2a2.xlsx]ReferenceData!R1134C6</stp>
        <stp>Per=CQ</stp>
        <stp>Dts=H</stp>
        <stp>Dir=H</stp>
        <stp>Points=60</stp>
        <stp>Sort=R</stp>
        <stp>Days=A</stp>
        <stp>Fill=B</stp>
        <stp>FX=USD</stp>
        <tr r="F1134" s="3"/>
      </tp>
      <tp t="s">
        <v>#N/A Connection</v>
        <stp/>
        <stp>##V3_BDHV12</stp>
        <stp>175 HK Equity</stp>
        <stp>RX076</stp>
        <stp>-60CQ</stp>
        <stp>3/31/2019</stp>
        <stp>[BI_AUTMG_1_3wwqb2a2.xlsx]ReferenceData!R1214C6</stp>
        <stp>Per=CQ</stp>
        <stp>Dts=H</stp>
        <stp>Dir=H</stp>
        <stp>Points=60</stp>
        <stp>Sort=R</stp>
        <stp>Days=A</stp>
        <stp>Fill=B</stp>
        <stp>FX=USD</stp>
        <tr r="F1214" s="3"/>
      </tp>
      <tp t="s">
        <v>#N/A Connection</v>
        <stp/>
        <stp>##V3_BDHV12</stp>
        <stp>175 HK Equity</stp>
        <stp>RR473</stp>
        <stp>-60CQ</stp>
        <stp>3/31/2019</stp>
        <stp>[BI_AUTMG_1_3wwqb2a2.xlsx]ReferenceData!R1014C6</stp>
        <stp>Per=CQ</stp>
        <stp>Dts=H</stp>
        <stp>Dir=H</stp>
        <stp>Points=60</stp>
        <stp>Sort=R</stp>
        <stp>Days=A</stp>
        <stp>Fill=B</stp>
        <stp>FX=USD</stp>
        <tr r="F1014" s="3"/>
      </tp>
      <tp t="s">
        <v>#N/A Connection</v>
        <stp/>
        <stp>##V3_BDHV12</stp>
        <stp>175 HK Equity</stp>
        <stp>RX072</stp>
        <stp>-60CQ</stp>
        <stp>3/31/2019</stp>
        <stp>[BI_AUTMG_1_3wwqb2a2.xlsx]ReferenceData!R1254C6</stp>
        <stp>Per=CQ</stp>
        <stp>Dts=H</stp>
        <stp>Dir=H</stp>
        <stp>Points=60</stp>
        <stp>Sort=R</stp>
        <stp>Days=A</stp>
        <stp>Fill=B</stp>
        <stp>FX=USD</stp>
        <tr r="F1254" s="3"/>
      </tp>
      <tp t="s">
        <v>#N/A Connection</v>
        <stp/>
        <stp>##V3_BDHV12</stp>
        <stp>489 HK Equity</stp>
        <stp>RR480</stp>
        <stp>-60CQ</stp>
        <stp>3/31/2019</stp>
        <stp>[BI_AUTMG_1_3wwqb2a2.xlsx]ReferenceData!R1047C6</stp>
        <stp>Per=CQ</stp>
        <stp>Dts=H</stp>
        <stp>Dir=H</stp>
        <stp>Points=60</stp>
        <stp>Sort=R</stp>
        <stp>Days=A</stp>
        <stp>Fill=B</stp>
        <stp>FX=USD</stp>
        <tr r="F1047" s="3"/>
      </tp>
      <tp t="s">
        <v>#N/A Connection</v>
        <stp/>
        <stp>##V3_BDHV12</stp>
        <stp>BMW GR Equity</stp>
        <stp>RR900</stp>
        <stp>-60CQ</stp>
        <stp>3/31/2019</stp>
        <stp>[BI_AUTMG_1_3wwqb2a2.xlsx]ReferenceData!R1343C3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343" s="3"/>
      </tp>
      <tp t="s">
        <v>#N/A Connection</v>
        <stp/>
        <stp>##V3_BDHV12</stp>
        <stp>BMW GR Equity</stp>
        <stp>RR900</stp>
        <stp>-60CQ</stp>
        <stp>3/31/2019</stp>
        <stp>[BI_AUTMG_1_3wwqb2a2.xlsx]ReferenceData!R1335C3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335" s="3"/>
      </tp>
    </main>
    <main first="bloomberg.rtd">
      <tp t="s">
        <v>#N/A Connection</v>
        <stp/>
        <stp>##V3_BDHV12</stp>
        <stp>000270 KS Equity</stp>
        <stp>RX539</stp>
        <stp>-60CQ</stp>
        <stp>3/31/2019</stp>
        <stp>[BI_AUTMG_1_3wwqb2a2.xlsx]ReferenceData!R1300C6</stp>
        <stp>Per=CQ</stp>
        <stp>Dts=H</stp>
        <stp>Dir=H</stp>
        <stp>Points=60</stp>
        <stp>Sort=R</stp>
        <stp>Days=A</stp>
        <stp>Fill=B</stp>
        <stp>FX=USD</stp>
        <tr r="F1300" s="3"/>
      </tp>
      <tp t="s">
        <v>#N/A Connection</v>
        <stp/>
        <stp>##V3_BDHV12</stp>
        <stp>TSLA US Equity</stp>
        <stp>RX076</stp>
        <stp>-60CQ</stp>
        <stp>3/31/2019</stp>
        <stp>[BI_AUTMG_1_3wwqb2a2.xlsx]ReferenceData!R1233C6</stp>
        <stp>Per=CQ</stp>
        <stp>Dts=H</stp>
        <stp>Dir=H</stp>
        <stp>Points=60</stp>
        <stp>Sort=R</stp>
        <stp>Days=A</stp>
        <stp>Fill=B</stp>
        <stp>FX=USD</stp>
        <tr r="F1233" s="3"/>
      </tp>
      <tp t="s">
        <v>#N/A Connection</v>
        <stp/>
        <stp>##V3_BDHV12</stp>
        <stp>TSLA US Equity</stp>
        <stp>RR477</stp>
        <stp>-60CQ</stp>
        <stp>3/31/2019</stp>
        <stp>[BI_AUTMG_1_3wwqb2a2.xlsx]ReferenceData!R1113C6</stp>
        <stp>Per=CQ</stp>
        <stp>Dts=H</stp>
        <stp>Dir=H</stp>
        <stp>Points=60</stp>
        <stp>Sort=R</stp>
        <stp>Days=A</stp>
        <stp>Fill=B</stp>
        <stp>FX=USD</stp>
        <tr r="F1113" s="3"/>
      </tp>
      <tp t="s">
        <v>#N/A Connection</v>
        <stp/>
        <stp>##V3_BDHV12</stp>
        <stp>TSLA US Equity</stp>
        <stp>RR476</stp>
        <stp>-60CQ</stp>
        <stp>3/31/2019</stp>
        <stp>[BI_AUTMG_1_3wwqb2a2.xlsx]ReferenceData!R1153C6</stp>
        <stp>Per=CQ</stp>
        <stp>Dts=H</stp>
        <stp>Dir=H</stp>
        <stp>Points=60</stp>
        <stp>Sort=R</stp>
        <stp>Days=A</stp>
        <stp>Fill=B</stp>
        <stp>FX=USD</stp>
        <tr r="F1153" s="3"/>
      </tp>
      <tp t="s">
        <v>#N/A Connection</v>
        <stp/>
        <stp>##V3_BDHV12</stp>
        <stp>TSLA US Equity</stp>
        <stp>RX072</stp>
        <stp>-60CQ</stp>
        <stp>3/31/2019</stp>
        <stp>[BI_AUTMG_1_3wwqb2a2.xlsx]ReferenceData!R1273C6</stp>
        <stp>Per=CQ</stp>
        <stp>Dts=H</stp>
        <stp>Dir=H</stp>
        <stp>Points=60</stp>
        <stp>Sort=R</stp>
        <stp>Days=A</stp>
        <stp>Fill=B</stp>
        <stp>FX=USD</stp>
        <tr r="F1273" s="3"/>
      </tp>
      <tp t="s">
        <v>#N/A Connection</v>
        <stp/>
        <stp>##V3_BDHV12</stp>
        <stp>TSLA US Equity</stp>
        <stp>RR473</stp>
        <stp>-60CQ</stp>
        <stp>3/31/2019</stp>
        <stp>[BI_AUTMG_1_3wwqb2a2.xlsx]ReferenceData!R1033C6</stp>
        <stp>Per=CQ</stp>
        <stp>Dts=H</stp>
        <stp>Dir=H</stp>
        <stp>Points=60</stp>
        <stp>Sort=R</stp>
        <stp>Days=A</stp>
        <stp>Fill=B</stp>
        <stp>FX=USD</stp>
        <tr r="F1033" s="3"/>
      </tp>
      <tp t="s">
        <v>#N/A Connection</v>
        <stp/>
        <stp>##V3_BDHV12</stp>
        <stp>003620 KS Equity</stp>
        <stp>RR476</stp>
        <stp>-60CQ</stp>
        <stp>3/31/2019</stp>
        <stp>[BI_AUTMG_1_3wwqb2a2.xlsx]ReferenceData!R1149C6</stp>
        <stp>Per=CQ</stp>
        <stp>Dts=H</stp>
        <stp>Dir=H</stp>
        <stp>Points=60</stp>
        <stp>Sort=R</stp>
        <stp>Days=A</stp>
        <stp>Fill=B</stp>
        <stp>FX=USD</stp>
        <tr r="F1149" s="3"/>
      </tp>
      <tp t="s">
        <v>#N/A Connection</v>
        <stp/>
        <stp>##V3_BDHV12</stp>
        <stp>003620 KS Equity</stp>
        <stp>RR477</stp>
        <stp>-60CQ</stp>
        <stp>3/31/2019</stp>
        <stp>[BI_AUTMG_1_3wwqb2a2.xlsx]ReferenceData!R1109C6</stp>
        <stp>Per=CQ</stp>
        <stp>Dts=H</stp>
        <stp>Dir=H</stp>
        <stp>Points=60</stp>
        <stp>Sort=R</stp>
        <stp>Days=A</stp>
        <stp>Fill=B</stp>
        <stp>FX=USD</stp>
        <tr r="F1109" s="3"/>
      </tp>
      <tp t="s">
        <v>#N/A Connection</v>
        <stp/>
        <stp>##V3_BDHV12</stp>
        <stp>003620 KS Equity</stp>
        <stp>RX076</stp>
        <stp>-60CQ</stp>
        <stp>3/31/2019</stp>
        <stp>[BI_AUTMG_1_3wwqb2a2.xlsx]ReferenceData!R1229C6</stp>
        <stp>Per=CQ</stp>
        <stp>Dts=H</stp>
        <stp>Dir=H</stp>
        <stp>Points=60</stp>
        <stp>Sort=R</stp>
        <stp>Days=A</stp>
        <stp>Fill=B</stp>
        <stp>FX=USD</stp>
        <tr r="F1229" s="3"/>
      </tp>
      <tp t="s">
        <v>#N/A Connection</v>
        <stp/>
        <stp>##V3_BDHV12</stp>
        <stp>003620 KS Equity</stp>
        <stp>RR473</stp>
        <stp>-60CQ</stp>
        <stp>3/31/2019</stp>
        <stp>[BI_AUTMG_1_3wwqb2a2.xlsx]ReferenceData!R1029C6</stp>
        <stp>Per=CQ</stp>
        <stp>Dts=H</stp>
        <stp>Dir=H</stp>
        <stp>Points=60</stp>
        <stp>Sort=R</stp>
        <stp>Days=A</stp>
        <stp>Fill=B</stp>
        <stp>FX=USD</stp>
        <tr r="F1029" s="3"/>
      </tp>
      <tp t="s">
        <v>#N/A Connection</v>
        <stp/>
        <stp>##V3_BDHV12</stp>
        <stp>003620 KS Equity</stp>
        <stp>RX072</stp>
        <stp>-60CQ</stp>
        <stp>3/31/2019</stp>
        <stp>[BI_AUTMG_1_3wwqb2a2.xlsx]ReferenceData!R1269C6</stp>
        <stp>Per=CQ</stp>
        <stp>Dts=H</stp>
        <stp>Dir=H</stp>
        <stp>Points=60</stp>
        <stp>Sort=R</stp>
        <stp>Days=A</stp>
        <stp>Fill=B</stp>
        <stp>FX=USD</stp>
        <tr r="F1269" s="3"/>
      </tp>
      <tp t="s">
        <v>#N/A Connection</v>
        <stp/>
        <stp>##V3_BDHV12</stp>
        <stp>000270 KS Equity</stp>
        <stp>DV013</stp>
        <stp>-60CQ</stp>
        <stp>3/31/2019</stp>
        <stp>[BI_AUTMG_1_3wwqb2a2.xlsx]ReferenceData!R1180C6</stp>
        <stp>Per=CQ</stp>
        <stp>Dts=H</stp>
        <stp>Dir=H</stp>
        <stp>Points=60</stp>
        <stp>Sort=R</stp>
        <stp>Days=A</stp>
        <stp>Fill=B</stp>
        <stp>FX=USD</stp>
        <tr r="F1180" s="3"/>
      </tp>
      <tp t="s">
        <v>#N/A Connection</v>
        <stp/>
        <stp>##V3_BDHV12</stp>
        <stp>FCAU US Equity</stp>
        <stp>RR480</stp>
        <stp>-60CQ</stp>
        <stp>3/31/2019</stp>
        <stp>[BI_AUTMG_1_3wwqb2a2.xlsx]ReferenceData!R1050C6</stp>
        <stp>Per=CQ</stp>
        <stp>Dts=H</stp>
        <stp>Dir=H</stp>
        <stp>Points=60</stp>
        <stp>Sort=R</stp>
        <stp>Days=A</stp>
        <stp>Fill=B</stp>
        <stp>FX=USD</stp>
        <tr r="F1050" s="3"/>
      </tp>
      <tp t="s">
        <v>#N/A Connection</v>
        <stp/>
        <stp>##V3_BDHV12</stp>
        <stp>2238 HK Equity</stp>
        <stp>RR900</stp>
        <stp>-60CQ</stp>
        <stp>3/31/2019</stp>
        <stp>[BI_AUTMG_1_3wwqb2a2.xlsx]ReferenceData!R697C6</stp>
        <stp>Per=CQ</stp>
        <stp>Dts=H</stp>
        <stp>Dir=H</stp>
        <stp>Points=60</stp>
        <stp>Sort=R</stp>
        <stp>Days=A</stp>
        <stp>Fill=B</stp>
        <stp>FX=USD</stp>
        <tr r="F697" s="3"/>
      </tp>
      <tp t="s">
        <v>#N/A Connection</v>
        <stp/>
        <stp>##V3_BDHV12</stp>
        <stp>1211 HK Equity</stp>
        <stp>RR900</stp>
        <stp>-60CQ</stp>
        <stp>3/31/2019</stp>
        <stp>[BI_AUTMG_1_3wwqb2a2.xlsx]ReferenceData!R683C6</stp>
        <stp>Per=CQ</stp>
        <stp>Dts=H</stp>
        <stp>Dir=H</stp>
        <stp>Points=60</stp>
        <stp>Sort=R</stp>
        <stp>Days=A</stp>
        <stp>Fill=B</stp>
        <stp>FX=USD</stp>
        <tr r="F683" s="3"/>
      </tp>
      <tp t="s">
        <v>#N/A Connection</v>
        <stp/>
        <stp>##V3_BDHV12</stp>
        <stp>1211 HK Equity</stp>
        <stp>RR903</stp>
        <stp>-60CQ</stp>
        <stp>3/31/2019</stp>
        <stp>[BI_AUTMG_1_3wwqb2a2.xlsx]ReferenceData!R803C6</stp>
        <stp>Per=CQ</stp>
        <stp>Dts=H</stp>
        <stp>Dir=H</stp>
        <stp>Points=60</stp>
        <stp>Sort=R</stp>
        <stp>Days=A</stp>
        <stp>Fill=B</stp>
        <stp>FX=USD</stp>
        <tr r="F803" s="3"/>
      </tp>
      <tp t="s">
        <v>#N/A Connection</v>
        <stp/>
        <stp>##V3_BDHV12</stp>
        <stp>1211 HK Equity</stp>
        <stp>RR904</stp>
        <stp>-60CQ</stp>
        <stp>3/31/2019</stp>
        <stp>[BI_AUTMG_1_3wwqb2a2.xlsx]ReferenceData!R923C6</stp>
        <stp>Per=CQ</stp>
        <stp>Dts=H</stp>
        <stp>Dir=H</stp>
        <stp>Points=60</stp>
        <stp>Sort=R</stp>
        <stp>Days=A</stp>
        <stp>Fill=B</stp>
        <stp>FX=USD</stp>
        <tr r="F923" s="3"/>
      </tp>
      <tp t="s">
        <v>#N/A Connection</v>
        <stp/>
        <stp>##V3_BDHV12</stp>
        <stp>2238 HK Equity</stp>
        <stp>RR903</stp>
        <stp>-60CQ</stp>
        <stp>3/31/2019</stp>
        <stp>[BI_AUTMG_1_3wwqb2a2.xlsx]ReferenceData!R817C6</stp>
        <stp>Per=CQ</stp>
        <stp>Dts=H</stp>
        <stp>Dir=H</stp>
        <stp>Points=60</stp>
        <stp>Sort=R</stp>
        <stp>Days=A</stp>
        <stp>Fill=B</stp>
        <stp>FX=USD</stp>
        <tr r="F817" s="3"/>
      </tp>
      <tp t="s">
        <v>#N/A Connection</v>
        <stp/>
        <stp>##V3_BDHV12</stp>
        <stp>2238 HK Equity</stp>
        <stp>RR904</stp>
        <stp>-60CQ</stp>
        <stp>3/31/2019</stp>
        <stp>[BI_AUTMG_1_3wwqb2a2.xlsx]ReferenceData!R937C6</stp>
        <stp>Per=CQ</stp>
        <stp>Dts=H</stp>
        <stp>Dir=H</stp>
        <stp>Points=60</stp>
        <stp>Sort=R</stp>
        <stp>Days=A</stp>
        <stp>Fill=B</stp>
        <stp>FX=USD</stp>
        <tr r="F937" s="3"/>
      </tp>
      <tp t="s">
        <v>#N/A Connection</v>
        <stp/>
        <stp>##V3_BDHV12</stp>
        <stp>2238 HK Equity</stp>
        <stp>RR971</stp>
        <stp>-60CQ</stp>
        <stp>3/31/2019</stp>
        <stp>[BI_AUTMG_1_3wwqb2a2.xlsx]ReferenceData!R897C6</stp>
        <stp>Per=CQ</stp>
        <stp>Dts=H</stp>
        <stp>Dir=H</stp>
        <stp>Points=60</stp>
        <stp>Sort=R</stp>
        <stp>Days=A</stp>
        <stp>Fill=B</stp>
        <stp>FX=USD</stp>
        <tr r="F897" s="3"/>
      </tp>
      <tp t="s">
        <v>#N/A Connection</v>
        <stp/>
        <stp>##V3_BDHV12</stp>
        <stp>1211 HK Equity</stp>
        <stp>RR971</stp>
        <stp>-60CQ</stp>
        <stp>3/31/2019</stp>
        <stp>[BI_AUTMG_1_3wwqb2a2.xlsx]ReferenceData!R883C6</stp>
        <stp>Per=CQ</stp>
        <stp>Dts=H</stp>
        <stp>Dir=H</stp>
        <stp>Points=60</stp>
        <stp>Sort=R</stp>
        <stp>Days=A</stp>
        <stp>Fill=B</stp>
        <stp>FX=USD</stp>
        <tr r="F883" s="3"/>
      </tp>
      <tp t="s">
        <v>#N/A Connection</v>
        <stp/>
        <stp>##V3_BDHV12</stp>
        <stp>000270 KS Equity</stp>
        <stp>RR476</stp>
        <stp>-60CQ</stp>
        <stp>3/31/2019</stp>
        <stp>[BI_AUTMG_1_3wwqb2a2.xlsx]ReferenceData!R1140C6</stp>
        <stp>Per=CQ</stp>
        <stp>Dts=H</stp>
        <stp>Dir=H</stp>
        <stp>Points=60</stp>
        <stp>Sort=R</stp>
        <stp>Days=A</stp>
        <stp>Fill=B</stp>
        <stp>FX=USD</stp>
        <tr r="F1140" s="3"/>
      </tp>
      <tp t="s">
        <v>#N/A Connection</v>
        <stp/>
        <stp>##V3_BDHV12</stp>
        <stp>000270 KS Equity</stp>
        <stp>RR477</stp>
        <stp>-60CQ</stp>
        <stp>3/31/2019</stp>
        <stp>[BI_AUTMG_1_3wwqb2a2.xlsx]ReferenceData!R1100C6</stp>
        <stp>Per=CQ</stp>
        <stp>Dts=H</stp>
        <stp>Dir=H</stp>
        <stp>Points=60</stp>
        <stp>Sort=R</stp>
        <stp>Days=A</stp>
        <stp>Fill=B</stp>
        <stp>FX=USD</stp>
        <tr r="F1100" s="3"/>
      </tp>
      <tp t="s">
        <v>#N/A Connection</v>
        <stp/>
        <stp>##V3_BDHV12</stp>
        <stp>000270 KS Equity</stp>
        <stp>RX076</stp>
        <stp>-60CQ</stp>
        <stp>3/31/2019</stp>
        <stp>[BI_AUTMG_1_3wwqb2a2.xlsx]ReferenceData!R1220C6</stp>
        <stp>Per=CQ</stp>
        <stp>Dts=H</stp>
        <stp>Dir=H</stp>
        <stp>Points=60</stp>
        <stp>Sort=R</stp>
        <stp>Days=A</stp>
        <stp>Fill=B</stp>
        <stp>FX=USD</stp>
        <tr r="F1220" s="3"/>
      </tp>
      <tp t="s">
        <v>#N/A Connection</v>
        <stp/>
        <stp>##V3_BDHV12</stp>
        <stp>000270 KS Equity</stp>
        <stp>RR473</stp>
        <stp>-60CQ</stp>
        <stp>3/31/2019</stp>
        <stp>[BI_AUTMG_1_3wwqb2a2.xlsx]ReferenceData!R1020C6</stp>
        <stp>Per=CQ</stp>
        <stp>Dts=H</stp>
        <stp>Dir=H</stp>
        <stp>Points=60</stp>
        <stp>Sort=R</stp>
        <stp>Days=A</stp>
        <stp>Fill=B</stp>
        <stp>FX=USD</stp>
        <tr r="F1020" s="3"/>
      </tp>
      <tp t="s">
        <v>#N/A Connection</v>
        <stp/>
        <stp>##V3_BDHV12</stp>
        <stp>000270 KS Equity</stp>
        <stp>RX072</stp>
        <stp>-60CQ</stp>
        <stp>3/31/2019</stp>
        <stp>[BI_AUTMG_1_3wwqb2a2.xlsx]ReferenceData!R1260C6</stp>
        <stp>Per=CQ</stp>
        <stp>Dts=H</stp>
        <stp>Dir=H</stp>
        <stp>Points=60</stp>
        <stp>Sort=R</stp>
        <stp>Days=A</stp>
        <stp>Fill=B</stp>
        <stp>FX=USD</stp>
        <tr r="F1260" s="3"/>
      </tp>
      <tp t="s">
        <v>#N/A Connection</v>
        <stp/>
        <stp>##V3_BDHV12</stp>
        <stp>005380 KS Equity</stp>
        <stp>RR480</stp>
        <stp>-60CQ</stp>
        <stp>3/31/2019</stp>
        <stp>[BI_AUTMG_1_3wwqb2a2.xlsx]ReferenceData!R1059C6</stp>
        <stp>Per=CQ</stp>
        <stp>Dts=H</stp>
        <stp>Dir=H</stp>
        <stp>Points=60</stp>
        <stp>Sort=R</stp>
        <stp>Days=A</stp>
        <stp>Fill=B</stp>
        <stp>FX=USD</stp>
        <tr r="F1059" s="3"/>
      </tp>
      <tp t="s">
        <v>#N/A Connection</v>
        <stp/>
        <stp>##V3_BDHV12</stp>
        <stp>2333 HK Equity</stp>
        <stp>RR900</stp>
        <stp>-60CQ</stp>
        <stp>3/31/2019</stp>
        <stp>[BI_AUTMG_1_3wwqb2a2.xlsx]ReferenceData!R696C6</stp>
        <stp>Per=CQ</stp>
        <stp>Dts=H</stp>
        <stp>Dir=H</stp>
        <stp>Points=60</stp>
        <stp>Sort=R</stp>
        <stp>Days=A</stp>
        <stp>Fill=B</stp>
        <stp>FX=USD</stp>
        <tr r="F696" s="3"/>
      </tp>
      <tp t="s">
        <v>#N/A Connection</v>
        <stp/>
        <stp>##V3_BDHV12</stp>
        <stp>2333 HK Equity</stp>
        <stp>RR903</stp>
        <stp>-60CQ</stp>
        <stp>3/31/2019</stp>
        <stp>[BI_AUTMG_1_3wwqb2a2.xlsx]ReferenceData!R816C6</stp>
        <stp>Per=CQ</stp>
        <stp>Dts=H</stp>
        <stp>Dir=H</stp>
        <stp>Points=60</stp>
        <stp>Sort=R</stp>
        <stp>Days=A</stp>
        <stp>Fill=B</stp>
        <stp>FX=USD</stp>
        <tr r="F816" s="3"/>
      </tp>
      <tp t="s">
        <v>#N/A Connection</v>
        <stp/>
        <stp>##V3_BDHV12</stp>
        <stp>2333 HK Equity</stp>
        <stp>RR904</stp>
        <stp>-60CQ</stp>
        <stp>3/31/2019</stp>
        <stp>[BI_AUTMG_1_3wwqb2a2.xlsx]ReferenceData!R936C6</stp>
        <stp>Per=CQ</stp>
        <stp>Dts=H</stp>
        <stp>Dir=H</stp>
        <stp>Points=60</stp>
        <stp>Sort=R</stp>
        <stp>Days=A</stp>
        <stp>Fill=B</stp>
        <stp>FX=USD</stp>
        <tr r="F936" s="3"/>
      </tp>
      <tp t="s">
        <v>#N/A Connection</v>
        <stp/>
        <stp>##V3_BDHV12</stp>
        <stp>2333 HK Equity</stp>
        <stp>RR971</stp>
        <stp>-60CQ</stp>
        <stp>3/31/2019</stp>
        <stp>[BI_AUTMG_1_3wwqb2a2.xlsx]ReferenceData!R896C6</stp>
        <stp>Per=CQ</stp>
        <stp>Dts=H</stp>
        <stp>Dir=H</stp>
        <stp>Points=60</stp>
        <stp>Sort=R</stp>
        <stp>Days=A</stp>
        <stp>Fill=B</stp>
        <stp>FX=USD</stp>
        <tr r="F896" s="3"/>
      </tp>
      <tp t="s">
        <v>#N/A Connection</v>
        <stp/>
        <stp>##V3_BDHV12</stp>
        <stp>TSLA US Equity</stp>
        <stp>RX539</stp>
        <stp>-60CQ</stp>
        <stp>3/31/2019</stp>
        <stp>[BI_AUTMG_1_3wwqb2a2.xlsx]ReferenceData!R1313C6</stp>
        <stp>Per=CQ</stp>
        <stp>Dts=H</stp>
        <stp>Dir=H</stp>
        <stp>Points=60</stp>
        <stp>Sort=R</stp>
        <stp>Days=A</stp>
        <stp>Fill=B</stp>
        <stp>FX=USD</stp>
        <tr r="F1313" s="3"/>
      </tp>
      <tp t="s">
        <v>#N/A Connection</v>
        <stp/>
        <stp>##V3_BDHV12</stp>
        <stp>003620 KS Equity</stp>
        <stp>RX539</stp>
        <stp>-60CQ</stp>
        <stp>3/31/2019</stp>
        <stp>[BI_AUTMG_1_3wwqb2a2.xlsx]ReferenceData!R1309C6</stp>
        <stp>Per=CQ</stp>
        <stp>Dts=H</stp>
        <stp>Dir=H</stp>
        <stp>Points=60</stp>
        <stp>Sort=R</stp>
        <stp>Days=A</stp>
        <stp>Fill=B</stp>
        <stp>FX=USD</stp>
        <tr r="F1309" s="3"/>
      </tp>
      <tp t="s">
        <v>#N/A Connection</v>
        <stp/>
        <stp>##V3_BDHV12</stp>
        <stp>7269 JP Equity</stp>
        <stp>RR971</stp>
        <stp>-60CQ</stp>
        <stp>3/31/2019</stp>
        <stp>[BI_AUTMG_1_3wwqb2a2.xlsx]ReferenceData!R911C6</stp>
        <stp>Per=CQ</stp>
        <stp>Dts=H</stp>
        <stp>Dir=H</stp>
        <stp>Points=60</stp>
        <stp>Sort=R</stp>
        <stp>Days=A</stp>
        <stp>Fill=B</stp>
        <stp>FX=USD</stp>
        <tr r="F911" s="3"/>
      </tp>
      <tp t="s">
        <v>#N/A Connection</v>
        <stp/>
        <stp>##V3_BDHV12</stp>
        <stp>7203 JP Equity</stp>
        <stp>RR903</stp>
        <stp>-60CQ</stp>
        <stp>3/31/2019</stp>
        <stp>[BI_AUTMG_1_3wwqb2a2.xlsx]ReferenceData!R836C6</stp>
        <stp>Per=CQ</stp>
        <stp>Dts=H</stp>
        <stp>Dir=H</stp>
        <stp>Points=60</stp>
        <stp>Sort=R</stp>
        <stp>Days=A</stp>
        <stp>Fill=B</stp>
        <stp>FX=USD</stp>
        <tr r="F836" s="3"/>
      </tp>
      <tp t="s">
        <v>#N/A Connection</v>
        <stp/>
        <stp>##V3_BDHV12</stp>
        <stp>7211 JP Equity</stp>
        <stp>RR904</stp>
        <stp>-60CQ</stp>
        <stp>3/31/2019</stp>
        <stp>[BI_AUTMG_1_3wwqb2a2.xlsx]ReferenceData!R942C6</stp>
        <stp>Per=CQ</stp>
        <stp>Dts=H</stp>
        <stp>Dir=H</stp>
        <stp>Points=60</stp>
        <stp>Sort=R</stp>
        <stp>Days=A</stp>
        <stp>Fill=B</stp>
        <stp>FX=USD</stp>
        <tr r="F942" s="3"/>
      </tp>
      <tp t="s">
        <v>#N/A Connection</v>
        <stp/>
        <stp>##V3_BDHV12</stp>
        <stp>7261 JP Equity</stp>
        <stp>RR971</stp>
        <stp>-60CQ</stp>
        <stp>3/31/2019</stp>
        <stp>[BI_AUTMG_1_3wwqb2a2.xlsx]ReferenceData!R901C6</stp>
        <stp>Per=CQ</stp>
        <stp>Dts=H</stp>
        <stp>Dir=H</stp>
        <stp>Points=60</stp>
        <stp>Sort=R</stp>
        <stp>Days=A</stp>
        <stp>Fill=B</stp>
        <stp>FX=USD</stp>
        <tr r="F901" s="3"/>
      </tp>
      <tp t="s">
        <v>#N/A Connection</v>
        <stp/>
        <stp>##V3_BDHV12</stp>
        <stp>7201 JP Equity</stp>
        <stp>RR903</stp>
        <stp>-60CQ</stp>
        <stp>3/31/2019</stp>
        <stp>[BI_AUTMG_1_3wwqb2a2.xlsx]ReferenceData!R823C6</stp>
        <stp>Per=CQ</stp>
        <stp>Dts=H</stp>
        <stp>Dir=H</stp>
        <stp>Points=60</stp>
        <stp>Sort=R</stp>
        <stp>Days=A</stp>
        <stp>Fill=B</stp>
        <stp>FX=USD</stp>
        <tr r="F823" s="3"/>
      </tp>
      <tp t="s">
        <v>#N/A Connection</v>
        <stp/>
        <stp>##V3_BDHV12</stp>
        <stp>7262 JP Equity</stp>
        <stp>RR971</stp>
        <stp>-60CQ</stp>
        <stp>3/31/2019</stp>
        <stp>[BI_AUTMG_1_3wwqb2a2.xlsx]ReferenceData!R885C6</stp>
        <stp>Per=CQ</stp>
        <stp>Dts=H</stp>
        <stp>Dir=H</stp>
        <stp>Points=60</stp>
        <stp>Sort=R</stp>
        <stp>Days=A</stp>
        <stp>Fill=B</stp>
        <stp>FX=USD</stp>
        <tr r="F885" s="3"/>
      </tp>
      <tp t="s">
        <v>#N/A Connection</v>
        <stp/>
        <stp>##V3_BDHV12</stp>
        <stp>7267 JP Equity</stp>
        <stp>RR971</stp>
        <stp>-60CQ</stp>
        <stp>3/31/2019</stp>
        <stp>[BI_AUTMG_1_3wwqb2a2.xlsx]ReferenceData!R898C6</stp>
        <stp>Per=CQ</stp>
        <stp>Dts=H</stp>
        <stp>Dir=H</stp>
        <stp>Points=60</stp>
        <stp>Sort=R</stp>
        <stp>Days=A</stp>
        <stp>Fill=B</stp>
        <stp>FX=USD</stp>
        <tr r="F898" s="3"/>
      </tp>
      <tp t="s">
        <v>#N/A Connection</v>
        <stp/>
        <stp>##V3_BDHV12</stp>
        <stp>7203 JP Equity</stp>
        <stp>RR904</stp>
        <stp>-60CQ</stp>
        <stp>3/31/2019</stp>
        <stp>[BI_AUTMG_1_3wwqb2a2.xlsx]ReferenceData!R956C6</stp>
        <stp>Per=CQ</stp>
        <stp>Dts=H</stp>
        <stp>Dir=H</stp>
        <stp>Points=60</stp>
        <stp>Sort=R</stp>
        <stp>Days=A</stp>
        <stp>Fill=B</stp>
        <stp>FX=USD</stp>
        <tr r="F956" s="3"/>
      </tp>
      <tp t="s">
        <v>#N/A Connection</v>
        <stp/>
        <stp>##V3_BDHV12</stp>
        <stp>7201 JP Equity</stp>
        <stp>RR904</stp>
        <stp>-60CQ</stp>
        <stp>3/31/2019</stp>
        <stp>[BI_AUTMG_1_3wwqb2a2.xlsx]ReferenceData!R943C6</stp>
        <stp>Per=CQ</stp>
        <stp>Dts=H</stp>
        <stp>Dir=H</stp>
        <stp>Points=60</stp>
        <stp>Sort=R</stp>
        <stp>Days=A</stp>
        <stp>Fill=B</stp>
        <stp>FX=USD</stp>
        <tr r="F943" s="3"/>
      </tp>
      <tp t="s">
        <v>#N/A Connection</v>
        <stp/>
        <stp>##V3_BDHV12</stp>
        <stp>7270 JP Equity</stp>
        <stp>RR971</stp>
        <stp>-60CQ</stp>
        <stp>3/31/2019</stp>
        <stp>[BI_AUTMG_1_3wwqb2a2.xlsx]ReferenceData!R910C6</stp>
        <stp>Per=CQ</stp>
        <stp>Dts=H</stp>
        <stp>Dir=H</stp>
        <stp>Points=60</stp>
        <stp>Sort=R</stp>
        <stp>Days=A</stp>
        <stp>Fill=B</stp>
        <stp>FX=USD</stp>
        <tr r="F910" s="3"/>
      </tp>
      <tp t="s">
        <v>#N/A Connection</v>
        <stp/>
        <stp>##V3_BDHV12</stp>
        <stp>7211 JP Equity</stp>
        <stp>RR903</stp>
        <stp>-60CQ</stp>
        <stp>3/31/2019</stp>
        <stp>[BI_AUTMG_1_3wwqb2a2.xlsx]ReferenceData!R822C6</stp>
        <stp>Per=CQ</stp>
        <stp>Dts=H</stp>
        <stp>Dir=H</stp>
        <stp>Points=60</stp>
        <stp>Sort=R</stp>
        <stp>Days=A</stp>
        <stp>Fill=B</stp>
        <stp>FX=USD</stp>
        <tr r="F822" s="3"/>
      </tp>
      <tp t="s">
        <v>#N/A Connection</v>
        <stp/>
        <stp>##V3_BDHV12</stp>
        <stp>7269 JP Equity</stp>
        <stp>RR903</stp>
        <stp>-60CQ</stp>
        <stp>3/31/2019</stp>
        <stp>[BI_AUTMG_1_3wwqb2a2.xlsx]ReferenceData!R831C6</stp>
        <stp>Per=CQ</stp>
        <stp>Dts=H</stp>
        <stp>Dir=H</stp>
        <stp>Points=60</stp>
        <stp>Sort=R</stp>
        <stp>Days=A</stp>
        <stp>Fill=B</stp>
        <stp>FX=USD</stp>
        <tr r="F831" s="3"/>
      </tp>
      <tp t="s">
        <v>#N/A Connection</v>
        <stp/>
        <stp>##V3_BDHV12</stp>
        <stp>7203 JP Equity</stp>
        <stp>RR971</stp>
        <stp>-60CQ</stp>
        <stp>3/31/2019</stp>
        <stp>[BI_AUTMG_1_3wwqb2a2.xlsx]ReferenceData!R916C6</stp>
        <stp>Per=CQ</stp>
        <stp>Dts=H</stp>
        <stp>Dir=H</stp>
        <stp>Points=60</stp>
        <stp>Sort=R</stp>
        <stp>Days=A</stp>
        <stp>Fill=B</stp>
        <stp>FX=USD</stp>
        <tr r="F916" s="3"/>
      </tp>
      <tp t="s">
        <v>#N/A Connection</v>
        <stp/>
        <stp>##V3_BDHV12</stp>
        <stp>7270 JP Equity</stp>
        <stp>RR904</stp>
        <stp>-60CQ</stp>
        <stp>3/31/2019</stp>
        <stp>[BI_AUTMG_1_3wwqb2a2.xlsx]ReferenceData!R950C6</stp>
        <stp>Per=CQ</stp>
        <stp>Dts=H</stp>
        <stp>Dir=H</stp>
        <stp>Points=60</stp>
        <stp>Sort=R</stp>
        <stp>Days=A</stp>
        <stp>Fill=B</stp>
        <stp>FX=USD</stp>
        <tr r="F950" s="3"/>
      </tp>
      <tp t="s">
        <v>#N/A Connection</v>
        <stp/>
        <stp>##V3_BDHV12</stp>
        <stp>7262 JP Equity</stp>
        <stp>RR903</stp>
        <stp>-60CQ</stp>
        <stp>3/31/2019</stp>
        <stp>[BI_AUTMG_1_3wwqb2a2.xlsx]ReferenceData!R805C6</stp>
        <stp>Per=CQ</stp>
        <stp>Dts=H</stp>
        <stp>Dir=H</stp>
        <stp>Points=60</stp>
        <stp>Sort=R</stp>
        <stp>Days=A</stp>
        <stp>Fill=B</stp>
        <stp>FX=USD</stp>
        <tr r="F805" s="3"/>
      </tp>
      <tp t="s">
        <v>#N/A Connection</v>
        <stp/>
        <stp>##V3_BDHV12</stp>
        <stp>7261 JP Equity</stp>
        <stp>RR903</stp>
        <stp>-60CQ</stp>
        <stp>3/31/2019</stp>
        <stp>[BI_AUTMG_1_3wwqb2a2.xlsx]ReferenceData!R821C6</stp>
        <stp>Per=CQ</stp>
        <stp>Dts=H</stp>
        <stp>Dir=H</stp>
        <stp>Points=60</stp>
        <stp>Sort=R</stp>
        <stp>Days=A</stp>
        <stp>Fill=B</stp>
        <stp>FX=USD</stp>
        <tr r="F821" s="3"/>
      </tp>
      <tp t="s">
        <v>#N/A Connection</v>
        <stp/>
        <stp>##V3_BDHV12</stp>
        <stp>7201 JP Equity</stp>
        <stp>RR971</stp>
        <stp>-60CQ</stp>
        <stp>3/31/2019</stp>
        <stp>[BI_AUTMG_1_3wwqb2a2.xlsx]ReferenceData!R903C6</stp>
        <stp>Per=CQ</stp>
        <stp>Dts=H</stp>
        <stp>Dir=H</stp>
        <stp>Points=60</stp>
        <stp>Sort=R</stp>
        <stp>Days=A</stp>
        <stp>Fill=B</stp>
        <stp>FX=USD</stp>
        <tr r="F903" s="3"/>
      </tp>
      <tp t="s">
        <v>#N/A Connection</v>
        <stp/>
        <stp>##V3_BDHV12</stp>
        <stp>7267 JP Equity</stp>
        <stp>RR903</stp>
        <stp>-60CQ</stp>
        <stp>3/31/2019</stp>
        <stp>[BI_AUTMG_1_3wwqb2a2.xlsx]ReferenceData!R818C6</stp>
        <stp>Per=CQ</stp>
        <stp>Dts=H</stp>
        <stp>Dir=H</stp>
        <stp>Points=60</stp>
        <stp>Sort=R</stp>
        <stp>Days=A</stp>
        <stp>Fill=B</stp>
        <stp>FX=USD</stp>
        <tr r="F818" s="3"/>
      </tp>
      <tp t="s">
        <v>#N/A Connection</v>
        <stp/>
        <stp>##V3_BDHV12</stp>
        <stp>7269 JP Equity</stp>
        <stp>RR904</stp>
        <stp>-60CQ</stp>
        <stp>3/31/2019</stp>
        <stp>[BI_AUTMG_1_3wwqb2a2.xlsx]ReferenceData!R951C6</stp>
        <stp>Per=CQ</stp>
        <stp>Dts=H</stp>
        <stp>Dir=H</stp>
        <stp>Points=60</stp>
        <stp>Sort=R</stp>
        <stp>Days=A</stp>
        <stp>Fill=B</stp>
        <stp>FX=USD</stp>
        <tr r="F951" s="3"/>
      </tp>
      <tp t="s">
        <v>#N/A Connection</v>
        <stp/>
        <stp>##V3_BDHV12</stp>
        <stp>7261 JP Equity</stp>
        <stp>RR904</stp>
        <stp>-60CQ</stp>
        <stp>3/31/2019</stp>
        <stp>[BI_AUTMG_1_3wwqb2a2.xlsx]ReferenceData!R941C6</stp>
        <stp>Per=CQ</stp>
        <stp>Dts=H</stp>
        <stp>Dir=H</stp>
        <stp>Points=60</stp>
        <stp>Sort=R</stp>
        <stp>Days=A</stp>
        <stp>Fill=B</stp>
        <stp>FX=USD</stp>
        <tr r="F941" s="3"/>
      </tp>
      <tp t="s">
        <v>#N/A Connection</v>
        <stp/>
        <stp>##V3_BDHV12</stp>
        <stp>7267 JP Equity</stp>
        <stp>RR904</stp>
        <stp>-60CQ</stp>
        <stp>3/31/2019</stp>
        <stp>[BI_AUTMG_1_3wwqb2a2.xlsx]ReferenceData!R938C6</stp>
        <stp>Per=CQ</stp>
        <stp>Dts=H</stp>
        <stp>Dir=H</stp>
        <stp>Points=60</stp>
        <stp>Sort=R</stp>
        <stp>Days=A</stp>
        <stp>Fill=B</stp>
        <stp>FX=USD</stp>
        <tr r="F938" s="3"/>
      </tp>
      <tp t="s">
        <v>#N/A Connection</v>
        <stp/>
        <stp>##V3_BDHV12</stp>
        <stp>7270 JP Equity</stp>
        <stp>RR903</stp>
        <stp>-60CQ</stp>
        <stp>3/31/2019</stp>
        <stp>[BI_AUTMG_1_3wwqb2a2.xlsx]ReferenceData!R830C6</stp>
        <stp>Per=CQ</stp>
        <stp>Dts=H</stp>
        <stp>Dir=H</stp>
        <stp>Points=60</stp>
        <stp>Sort=R</stp>
        <stp>Days=A</stp>
        <stp>Fill=B</stp>
        <stp>FX=USD</stp>
        <tr r="F830" s="3"/>
      </tp>
      <tp t="s">
        <v>#N/A Connection</v>
        <stp/>
        <stp>##V3_BDHV12</stp>
        <stp>7211 JP Equity</stp>
        <stp>RR971</stp>
        <stp>-60CQ</stp>
        <stp>3/31/2019</stp>
        <stp>[BI_AUTMG_1_3wwqb2a2.xlsx]ReferenceData!R902C6</stp>
        <stp>Per=CQ</stp>
        <stp>Dts=H</stp>
        <stp>Dir=H</stp>
        <stp>Points=60</stp>
        <stp>Sort=R</stp>
        <stp>Days=A</stp>
        <stp>Fill=B</stp>
        <stp>FX=USD</stp>
        <tr r="F902" s="3"/>
      </tp>
      <tp t="s">
        <v>#N/A Connection</v>
        <stp/>
        <stp>##V3_BDHV12</stp>
        <stp>7262 JP Equity</stp>
        <stp>RR904</stp>
        <stp>-60CQ</stp>
        <stp>3/31/2019</stp>
        <stp>[BI_AUTMG_1_3wwqb2a2.xlsx]ReferenceData!R925C6</stp>
        <stp>Per=CQ</stp>
        <stp>Dts=H</stp>
        <stp>Dir=H</stp>
        <stp>Points=60</stp>
        <stp>Sort=R</stp>
        <stp>Days=A</stp>
        <stp>Fill=B</stp>
        <stp>FX=USD</stp>
        <tr r="F925" s="3"/>
      </tp>
      <tp t="s">
        <v>#N/A Connection</v>
        <stp/>
        <stp>##V3_BDHV12</stp>
        <stp>7262 JP Equity</stp>
        <stp>RR900</stp>
        <stp>-60CQ</stp>
        <stp>3/31/2019</stp>
        <stp>[BI_AUTMG_1_3wwqb2a2.xlsx]ReferenceData!R685C6</stp>
        <stp>Per=CQ</stp>
        <stp>Dts=H</stp>
        <stp>Dir=H</stp>
        <stp>Points=60</stp>
        <stp>Sort=R</stp>
        <stp>Days=A</stp>
        <stp>Fill=B</stp>
        <stp>FX=USD</stp>
        <tr r="F685" s="3"/>
      </tp>
      <tp t="s">
        <v>#N/A Connection</v>
        <stp/>
        <stp>##V3_BDHV12</stp>
        <stp>7267 JP Equity</stp>
        <stp>RR900</stp>
        <stp>-60CQ</stp>
        <stp>3/31/2019</stp>
        <stp>[BI_AUTMG_1_3wwqb2a2.xlsx]ReferenceData!R698C6</stp>
        <stp>Per=CQ</stp>
        <stp>Dts=H</stp>
        <stp>Dir=H</stp>
        <stp>Points=60</stp>
        <stp>Sort=R</stp>
        <stp>Days=A</stp>
        <stp>Fill=B</stp>
        <stp>FX=USD</stp>
        <tr r="F698" s="3"/>
      </tp>
      <tp t="s">
        <v>#N/A Connection</v>
        <stp/>
        <stp>##V3_BDHV12</stp>
        <stp>7270 JP Equity</stp>
        <stp>RR900</stp>
        <stp>-60CQ</stp>
        <stp>3/31/2019</stp>
        <stp>[BI_AUTMG_1_3wwqb2a2.xlsx]ReferenceData!R710C6</stp>
        <stp>Per=CQ</stp>
        <stp>Dts=H</stp>
        <stp>Dir=H</stp>
        <stp>Points=60</stp>
        <stp>Sort=R</stp>
        <stp>Days=A</stp>
        <stp>Fill=B</stp>
        <stp>FX=USD</stp>
        <tr r="F710" s="3"/>
      </tp>
      <tp t="s">
        <v>#N/A Connection</v>
        <stp/>
        <stp>##V3_BDHV12</stp>
        <stp>7269 JP Equity</stp>
        <stp>RR900</stp>
        <stp>-60CQ</stp>
        <stp>3/31/2019</stp>
        <stp>[BI_AUTMG_1_3wwqb2a2.xlsx]ReferenceData!R711C6</stp>
        <stp>Per=CQ</stp>
        <stp>Dts=H</stp>
        <stp>Dir=H</stp>
        <stp>Points=60</stp>
        <stp>Sort=R</stp>
        <stp>Days=A</stp>
        <stp>Fill=B</stp>
        <stp>FX=USD</stp>
        <tr r="F711" s="3"/>
      </tp>
      <tp t="s">
        <v>#N/A Connection</v>
        <stp/>
        <stp>##V3_BDHV12</stp>
        <stp>7261 JP Equity</stp>
        <stp>RR900</stp>
        <stp>-60CQ</stp>
        <stp>3/31/2019</stp>
        <stp>[BI_AUTMG_1_3wwqb2a2.xlsx]ReferenceData!R701C6</stp>
        <stp>Per=CQ</stp>
        <stp>Dts=H</stp>
        <stp>Dir=H</stp>
        <stp>Points=60</stp>
        <stp>Sort=R</stp>
        <stp>Days=A</stp>
        <stp>Fill=B</stp>
        <stp>FX=USD</stp>
        <tr r="F701" s="3"/>
      </tp>
      <tp t="s">
        <v>#N/A Connection</v>
        <stp/>
        <stp>##V3_BDHV12</stp>
        <stp>7211 JP Equity</stp>
        <stp>RR900</stp>
        <stp>-60CQ</stp>
        <stp>3/31/2019</stp>
        <stp>[BI_AUTMG_1_3wwqb2a2.xlsx]ReferenceData!R702C6</stp>
        <stp>Per=CQ</stp>
        <stp>Dts=H</stp>
        <stp>Dir=H</stp>
        <stp>Points=60</stp>
        <stp>Sort=R</stp>
        <stp>Days=A</stp>
        <stp>Fill=B</stp>
        <stp>FX=USD</stp>
        <tr r="F702" s="3"/>
      </tp>
      <tp t="s">
        <v>#N/A Connection</v>
        <stp/>
        <stp>##V3_BDHV12</stp>
        <stp>7203 JP Equity</stp>
        <stp>RR900</stp>
        <stp>-60CQ</stp>
        <stp>3/31/2019</stp>
        <stp>[BI_AUTMG_1_3wwqb2a2.xlsx]ReferenceData!R716C6</stp>
        <stp>Per=CQ</stp>
        <stp>Dts=H</stp>
        <stp>Dir=H</stp>
        <stp>Points=60</stp>
        <stp>Sort=R</stp>
        <stp>Days=A</stp>
        <stp>Fill=B</stp>
        <stp>FX=USD</stp>
        <tr r="F716" s="3"/>
      </tp>
      <tp t="s">
        <v>#N/A Connection</v>
        <stp/>
        <stp>##V3_BDHV12</stp>
        <stp>7201 JP Equity</stp>
        <stp>RR900</stp>
        <stp>-60CQ</stp>
        <stp>3/31/2019</stp>
        <stp>[BI_AUTMG_1_3wwqb2a2.xlsx]ReferenceData!R703C6</stp>
        <stp>Per=CQ</stp>
        <stp>Dts=H</stp>
        <stp>Dir=H</stp>
        <stp>Points=60</stp>
        <stp>Sort=R</stp>
        <stp>Days=A</stp>
        <stp>Fill=B</stp>
        <stp>FX=USD</stp>
        <tr r="F703" s="3"/>
      </tp>
      <tp t="s">
        <v>#N/A Connection</v>
        <stp/>
        <stp>##V3_BDHV12</stp>
        <stp>GAZA RM Equity</stp>
        <stp>RR480</stp>
        <stp>-60CQ</stp>
        <stp>3/31/2019</stp>
        <stp>[BI_AUTMG_1_3wwqb2a2.xlsx]ReferenceData!R1053C6</stp>
        <stp>Per=CQ</stp>
        <stp>Dts=H</stp>
        <stp>Dir=H</stp>
        <stp>Points=60</stp>
        <stp>Sort=R</stp>
        <stp>Days=A</stp>
        <stp>Fill=B</stp>
        <stp>FX=USD</stp>
        <tr r="F1053" s="3"/>
      </tp>
      <tp t="s">
        <v>#N/A Connection</v>
        <stp/>
        <stp>##V3_BDHV12</stp>
        <stp>1114 HK Equity</stp>
        <stp>RR900</stp>
        <stp>-60CQ</stp>
        <stp>3/31/2019</stp>
        <stp>[BI_AUTMG_1_3wwqb2a2.xlsx]ReferenceData!R682C6</stp>
        <stp>Per=CQ</stp>
        <stp>Dts=H</stp>
        <stp>Dir=H</stp>
        <stp>Points=60</stp>
        <stp>Sort=R</stp>
        <stp>Days=A</stp>
        <stp>Fill=B</stp>
        <stp>FX=USD</stp>
        <tr r="F682" s="3"/>
      </tp>
      <tp t="s">
        <v>#N/A Connection</v>
        <stp/>
        <stp>##V3_BDHV12</stp>
        <stp>1114 HK Equity</stp>
        <stp>RR903</stp>
        <stp>-60CQ</stp>
        <stp>3/31/2019</stp>
        <stp>[BI_AUTMG_1_3wwqb2a2.xlsx]ReferenceData!R802C6</stp>
        <stp>Per=CQ</stp>
        <stp>Dts=H</stp>
        <stp>Dir=H</stp>
        <stp>Points=60</stp>
        <stp>Sort=R</stp>
        <stp>Days=A</stp>
        <stp>Fill=B</stp>
        <stp>FX=USD</stp>
        <tr r="F802" s="3"/>
      </tp>
      <tp t="s">
        <v>#N/A Connection</v>
        <stp/>
        <stp>##V3_BDHV12</stp>
        <stp>1114 HK Equity</stp>
        <stp>RR904</stp>
        <stp>-60CQ</stp>
        <stp>3/31/2019</stp>
        <stp>[BI_AUTMG_1_3wwqb2a2.xlsx]ReferenceData!R922C6</stp>
        <stp>Per=CQ</stp>
        <stp>Dts=H</stp>
        <stp>Dir=H</stp>
        <stp>Points=60</stp>
        <stp>Sort=R</stp>
        <stp>Days=A</stp>
        <stp>Fill=B</stp>
        <stp>FX=USD</stp>
        <tr r="F922" s="3"/>
      </tp>
      <tp t="s">
        <v>#N/A Connection</v>
        <stp/>
        <stp>##V3_BDHV12</stp>
        <stp>1114 HK Equity</stp>
        <stp>RR971</stp>
        <stp>-60CQ</stp>
        <stp>3/31/2019</stp>
        <stp>[BI_AUTMG_1_3wwqb2a2.xlsx]ReferenceData!R882C6</stp>
        <stp>Per=CQ</stp>
        <stp>Dts=H</stp>
        <stp>Dir=H</stp>
        <stp>Points=60</stp>
        <stp>Sort=R</stp>
        <stp>Days=A</stp>
        <stp>Fill=B</stp>
        <stp>FX=USD</stp>
        <tr r="F882" s="3"/>
      </tp>
      <tp t="s">
        <v>#N/A Connection</v>
        <stp/>
        <stp>##V3_BDHV12</stp>
        <stp>003620 KS Equity</stp>
        <stp>DV013</stp>
        <stp>-60CQ</stp>
        <stp>3/31/2019</stp>
        <stp>[BI_AUTMG_1_3wwqb2a2.xlsx]ReferenceData!R1189C6</stp>
        <stp>Per=CQ</stp>
        <stp>Dts=H</stp>
        <stp>Dir=H</stp>
        <stp>Points=60</stp>
        <stp>Sort=R</stp>
        <stp>Days=A</stp>
        <stp>Fill=B</stp>
        <stp>FX=USD</stp>
        <tr r="F1189" s="3"/>
      </tp>
      <tp t="s">
        <v>#N/A Connection</v>
        <stp/>
        <stp>##V3_BDHV12</stp>
        <stp>TSLA US Equity</stp>
        <stp>DV013</stp>
        <stp>-60CQ</stp>
        <stp>3/31/2019</stp>
        <stp>[BI_AUTMG_1_3wwqb2a2.xlsx]ReferenceData!R1193C6</stp>
        <stp>Per=CQ</stp>
        <stp>Dts=H</stp>
        <stp>Dir=H</stp>
        <stp>Points=60</stp>
        <stp>Sort=R</stp>
        <stp>Days=A</stp>
        <stp>Fill=B</stp>
        <stp>FX=USD</stp>
        <tr r="F1193" s="3"/>
      </tp>
      <tp t="s">
        <v>#N/A Connection</v>
        <stp/>
        <stp>##V3_BDHV12</stp>
        <stp>2333 HK Equity</stp>
        <stp>RR474</stp>
        <stp>-60CQ</stp>
        <stp>3/31/2019</stp>
        <stp>[BI_AUTMG_1_3wwqb2a2.xlsx]ReferenceData!R976C6</stp>
        <stp>Per=CQ</stp>
        <stp>Dts=H</stp>
        <stp>Dir=H</stp>
        <stp>Points=60</stp>
        <stp>Sort=R</stp>
        <stp>Days=A</stp>
        <stp>Fill=B</stp>
        <stp>FX=USD</stp>
        <tr r="F976" s="3"/>
      </tp>
      <tp t="s">
        <v>#N/A Connection</v>
        <stp/>
        <stp>##V3_BDHV12</stp>
        <stp>FCAU US Equity</stp>
        <stp>RX539</stp>
        <stp>-60CQ</stp>
        <stp>3/31/2019</stp>
        <stp>[BI_AUTMG_1_3wwqb2a2.xlsx]ReferenceData!R1290C6</stp>
        <stp>Per=CQ</stp>
        <stp>Dts=H</stp>
        <stp>Dir=H</stp>
        <stp>Points=60</stp>
        <stp>Sort=R</stp>
        <stp>Days=A</stp>
        <stp>Fill=B</stp>
        <stp>FX=USD</stp>
        <tr r="F1290" s="3"/>
      </tp>
      <tp t="s">
        <v>#N/A Connection</v>
        <stp/>
        <stp>##V3_BDHV12</stp>
        <stp>2238 HK Equity</stp>
        <stp>RR474</stp>
        <stp>-60CQ</stp>
        <stp>3/31/2019</stp>
        <stp>[BI_AUTMG_1_3wwqb2a2.xlsx]ReferenceData!R977C6</stp>
        <stp>Per=CQ</stp>
        <stp>Dts=H</stp>
        <stp>Dir=H</stp>
        <stp>Points=60</stp>
        <stp>Sort=R</stp>
        <stp>Days=A</stp>
        <stp>Fill=B</stp>
        <stp>FX=USD</stp>
        <tr r="F977" s="3"/>
      </tp>
      <tp t="s">
        <v>#N/A Connection</v>
        <stp/>
        <stp>##V3_BDHV12</stp>
        <stp>1211 HK Equity</stp>
        <stp>RR474</stp>
        <stp>-60CQ</stp>
        <stp>3/31/2019</stp>
        <stp>[BI_AUTMG_1_3wwqb2a2.xlsx]ReferenceData!R963C6</stp>
        <stp>Per=CQ</stp>
        <stp>Dts=H</stp>
        <stp>Dir=H</stp>
        <stp>Points=60</stp>
        <stp>Sort=R</stp>
        <stp>Days=A</stp>
        <stp>Fill=B</stp>
        <stp>FX=USD</stp>
        <tr r="F963" s="3"/>
      </tp>
      <tp t="s">
        <v>#N/A Connection</v>
        <stp/>
        <stp>##V3_BDHV12</stp>
        <stp>GAZA RM Equity</stp>
        <stp>RX076</stp>
        <stp>-60CQ</stp>
        <stp>3/31/2019</stp>
        <stp>[BI_AUTMG_1_3wwqb2a2.xlsx]ReferenceData!R1213C6</stp>
        <stp>Per=CQ</stp>
        <stp>Dts=H</stp>
        <stp>Dir=H</stp>
        <stp>Points=60</stp>
        <stp>Sort=R</stp>
        <stp>Days=A</stp>
        <stp>Fill=B</stp>
        <stp>FX=USD</stp>
        <tr r="F1213" s="3"/>
      </tp>
      <tp t="s">
        <v>#N/A Connection</v>
        <stp/>
        <stp>##V3_BDHV12</stp>
        <stp>GAZA RM Equity</stp>
        <stp>RR476</stp>
        <stp>-60CQ</stp>
        <stp>3/31/2019</stp>
        <stp>[BI_AUTMG_1_3wwqb2a2.xlsx]ReferenceData!R1133C6</stp>
        <stp>Per=CQ</stp>
        <stp>Dts=H</stp>
        <stp>Dir=H</stp>
        <stp>Points=60</stp>
        <stp>Sort=R</stp>
        <stp>Days=A</stp>
        <stp>Fill=B</stp>
        <stp>FX=USD</stp>
        <tr r="F1133" s="3"/>
      </tp>
      <tp t="s">
        <v>#N/A Connection</v>
        <stp/>
        <stp>##V3_BDHV12</stp>
        <stp>GAZA RM Equity</stp>
        <stp>RR477</stp>
        <stp>-60CQ</stp>
        <stp>3/31/2019</stp>
        <stp>[BI_AUTMG_1_3wwqb2a2.xlsx]ReferenceData!R1093C6</stp>
        <stp>Per=CQ</stp>
        <stp>Dts=H</stp>
        <stp>Dir=H</stp>
        <stp>Points=60</stp>
        <stp>Sort=R</stp>
        <stp>Days=A</stp>
        <stp>Fill=B</stp>
        <stp>FX=USD</stp>
        <tr r="F1093" s="3"/>
      </tp>
      <tp t="s">
        <v>#N/A Connection</v>
        <stp/>
        <stp>##V3_BDHV12</stp>
        <stp>GAZA RM Equity</stp>
        <stp>RX072</stp>
        <stp>-60CQ</stp>
        <stp>3/31/2019</stp>
        <stp>[BI_AUTMG_1_3wwqb2a2.xlsx]ReferenceData!R1253C6</stp>
        <stp>Per=CQ</stp>
        <stp>Dts=H</stp>
        <stp>Dir=H</stp>
        <stp>Points=60</stp>
        <stp>Sort=R</stp>
        <stp>Days=A</stp>
        <stp>Fill=B</stp>
        <stp>FX=USD</stp>
        <tr r="F1253" s="3"/>
      </tp>
      <tp t="s">
        <v>#N/A Connection</v>
        <stp/>
        <stp>##V3_BDHV12</stp>
        <stp>GAZA RM Equity</stp>
        <stp>RR473</stp>
        <stp>-60CQ</stp>
        <stp>3/31/2019</stp>
        <stp>[BI_AUTMG_1_3wwqb2a2.xlsx]ReferenceData!R1013C6</stp>
        <stp>Per=CQ</stp>
        <stp>Dts=H</stp>
        <stp>Dir=H</stp>
        <stp>Points=60</stp>
        <stp>Sort=R</stp>
        <stp>Days=A</stp>
        <stp>Fill=B</stp>
        <stp>FX=USD</stp>
        <tr r="F1013" s="3"/>
      </tp>
      <tp t="s">
        <v>#N/A Connection</v>
        <stp/>
        <stp>##V3_BDHV12</stp>
        <stp>1114 HK Equity</stp>
        <stp>RR474</stp>
        <stp>-60CQ</stp>
        <stp>3/31/2019</stp>
        <stp>[BI_AUTMG_1_3wwqb2a2.xlsx]ReferenceData!R962C6</stp>
        <stp>Per=CQ</stp>
        <stp>Dts=H</stp>
        <stp>Dir=H</stp>
        <stp>Points=60</stp>
        <stp>Sort=R</stp>
        <stp>Days=A</stp>
        <stp>Fill=B</stp>
        <stp>FX=USD</stp>
        <tr r="F962" s="3"/>
      </tp>
      <tp t="s">
        <v>#N/A Connection</v>
        <stp/>
        <stp>##V3_BDHV12</stp>
        <stp>FCAU US Equity</stp>
        <stp>DV013</stp>
        <stp>-60CQ</stp>
        <stp>3/31/2019</stp>
        <stp>[BI_AUTMG_1_3wwqb2a2.xlsx]ReferenceData!R1170C6</stp>
        <stp>Per=CQ</stp>
        <stp>Dts=H</stp>
        <stp>Dir=H</stp>
        <stp>Points=60</stp>
        <stp>Sort=R</stp>
        <stp>Days=A</stp>
        <stp>Fill=B</stp>
        <stp>FX=USD</stp>
        <tr r="F1170" s="3"/>
      </tp>
      <tp t="s">
        <v>#N/A Connection</v>
        <stp/>
        <stp>##V3_BDHV12</stp>
        <stp>7261 JP Equity</stp>
        <stp>RR474</stp>
        <stp>-60CQ</stp>
        <stp>3/31/2019</stp>
        <stp>[BI_AUTMG_1_3wwqb2a2.xlsx]ReferenceData!R981C6</stp>
        <stp>Per=CQ</stp>
        <stp>Dts=H</stp>
        <stp>Dir=H</stp>
        <stp>Points=60</stp>
        <stp>Sort=R</stp>
        <stp>Days=A</stp>
        <stp>Fill=B</stp>
        <stp>FX=USD</stp>
        <tr r="F981" s="3"/>
      </tp>
      <tp t="s">
        <v>#N/A Connection</v>
        <stp/>
        <stp>##V3_BDHV12</stp>
        <stp>7262 JP Equity</stp>
        <stp>RR474</stp>
        <stp>-60CQ</stp>
        <stp>3/31/2019</stp>
        <stp>[BI_AUTMG_1_3wwqb2a2.xlsx]ReferenceData!R965C6</stp>
        <stp>Per=CQ</stp>
        <stp>Dts=H</stp>
        <stp>Dir=H</stp>
        <stp>Points=60</stp>
        <stp>Sort=R</stp>
        <stp>Days=A</stp>
        <stp>Fill=B</stp>
        <stp>FX=USD</stp>
        <tr r="F965" s="3"/>
      </tp>
      <tp t="s">
        <v>#N/A Connection</v>
        <stp/>
        <stp>##V3_BDHV12</stp>
        <stp>7267 JP Equity</stp>
        <stp>RR474</stp>
        <stp>-60CQ</stp>
        <stp>3/31/2019</stp>
        <stp>[BI_AUTMG_1_3wwqb2a2.xlsx]ReferenceData!R978C6</stp>
        <stp>Per=CQ</stp>
        <stp>Dts=H</stp>
        <stp>Dir=H</stp>
        <stp>Points=60</stp>
        <stp>Sort=R</stp>
        <stp>Days=A</stp>
        <stp>Fill=B</stp>
        <stp>FX=USD</stp>
        <tr r="F978" s="3"/>
      </tp>
      <tp t="s">
        <v>#N/A Connection</v>
        <stp/>
        <stp>##V3_BDHV12</stp>
        <stp>7269 JP Equity</stp>
        <stp>RR474</stp>
        <stp>-60CQ</stp>
        <stp>3/31/2019</stp>
        <stp>[BI_AUTMG_1_3wwqb2a2.xlsx]ReferenceData!R991C6</stp>
        <stp>Per=CQ</stp>
        <stp>Dts=H</stp>
        <stp>Dir=H</stp>
        <stp>Points=60</stp>
        <stp>Sort=R</stp>
        <stp>Days=A</stp>
        <stp>Fill=B</stp>
        <stp>FX=USD</stp>
        <tr r="F991" s="3"/>
      </tp>
      <tp t="s">
        <v>#N/A Connection</v>
        <stp/>
        <stp>##V3_BDHV12</stp>
        <stp>7270 JP Equity</stp>
        <stp>RR474</stp>
        <stp>-60CQ</stp>
        <stp>3/31/2019</stp>
        <stp>[BI_AUTMG_1_3wwqb2a2.xlsx]ReferenceData!R990C6</stp>
        <stp>Per=CQ</stp>
        <stp>Dts=H</stp>
        <stp>Dir=H</stp>
        <stp>Points=60</stp>
        <stp>Sort=R</stp>
        <stp>Days=A</stp>
        <stp>Fill=B</stp>
        <stp>FX=USD</stp>
        <tr r="F990" s="3"/>
      </tp>
      <tp t="s">
        <v>#N/A Connection</v>
        <stp/>
        <stp>##V3_BDHV12</stp>
        <stp>7203 JP Equity</stp>
        <stp>RR474</stp>
        <stp>-60CQ</stp>
        <stp>3/31/2019</stp>
        <stp>[BI_AUTMG_1_3wwqb2a2.xlsx]ReferenceData!R996C6</stp>
        <stp>Per=CQ</stp>
        <stp>Dts=H</stp>
        <stp>Dir=H</stp>
        <stp>Points=60</stp>
        <stp>Sort=R</stp>
        <stp>Days=A</stp>
        <stp>Fill=B</stp>
        <stp>FX=USD</stp>
        <tr r="F996" s="3"/>
      </tp>
      <tp t="s">
        <v>#N/A Connection</v>
        <stp/>
        <stp>##V3_BDHV12</stp>
        <stp>7201 JP Equity</stp>
        <stp>RR474</stp>
        <stp>-60CQ</stp>
        <stp>3/31/2019</stp>
        <stp>[BI_AUTMG_1_3wwqb2a2.xlsx]ReferenceData!R983C6</stp>
        <stp>Per=CQ</stp>
        <stp>Dts=H</stp>
        <stp>Dir=H</stp>
        <stp>Points=60</stp>
        <stp>Sort=R</stp>
        <stp>Days=A</stp>
        <stp>Fill=B</stp>
        <stp>FX=USD</stp>
        <tr r="F983" s="3"/>
      </tp>
      <tp t="s">
        <v>#N/A Connection</v>
        <stp/>
        <stp>##V3_BDHV12</stp>
        <stp>7211 JP Equity</stp>
        <stp>RR474</stp>
        <stp>-60CQ</stp>
        <stp>3/31/2019</stp>
        <stp>[BI_AUTMG_1_3wwqb2a2.xlsx]ReferenceData!R982C6</stp>
        <stp>Per=CQ</stp>
        <stp>Dts=H</stp>
        <stp>Dir=H</stp>
        <stp>Points=60</stp>
        <stp>Sort=R</stp>
        <stp>Days=A</stp>
        <stp>Fill=B</stp>
        <stp>FX=USD</stp>
        <tr r="F982" s="3"/>
      </tp>
      <tp t="s">
        <v>#N/A Connection</v>
        <stp/>
        <stp>##V3_BDHV12</stp>
        <stp>005380 KS Equity</stp>
        <stp>RR477</stp>
        <stp>-60CQ</stp>
        <stp>3/31/2019</stp>
        <stp>[BI_AUTMG_1_3wwqb2a2.xlsx]ReferenceData!R1099C6</stp>
        <stp>Per=CQ</stp>
        <stp>Dts=H</stp>
        <stp>Dir=H</stp>
        <stp>Points=60</stp>
        <stp>Sort=R</stp>
        <stp>Days=A</stp>
        <stp>Fill=B</stp>
        <stp>FX=USD</stp>
        <tr r="F1099" s="3"/>
      </tp>
      <tp t="s">
        <v>#N/A Connection</v>
        <stp/>
        <stp>##V3_BDHV12</stp>
        <stp>005380 KS Equity</stp>
        <stp>RR476</stp>
        <stp>-60CQ</stp>
        <stp>3/31/2019</stp>
        <stp>[BI_AUTMG_1_3wwqb2a2.xlsx]ReferenceData!R1139C6</stp>
        <stp>Per=CQ</stp>
        <stp>Dts=H</stp>
        <stp>Dir=H</stp>
        <stp>Points=60</stp>
        <stp>Sort=R</stp>
        <stp>Days=A</stp>
        <stp>Fill=B</stp>
        <stp>FX=USD</stp>
        <tr r="F1139" s="3"/>
      </tp>
      <tp t="s">
        <v>#N/A Connection</v>
        <stp/>
        <stp>##V3_BDHV12</stp>
        <stp>005380 KS Equity</stp>
        <stp>RX076</stp>
        <stp>-60CQ</stp>
        <stp>3/31/2019</stp>
        <stp>[BI_AUTMG_1_3wwqb2a2.xlsx]ReferenceData!R1219C6</stp>
        <stp>Per=CQ</stp>
        <stp>Dts=H</stp>
        <stp>Dir=H</stp>
        <stp>Points=60</stp>
        <stp>Sort=R</stp>
        <stp>Days=A</stp>
        <stp>Fill=B</stp>
        <stp>FX=USD</stp>
        <tr r="F1219" s="3"/>
      </tp>
      <tp t="s">
        <v>#N/A Connection</v>
        <stp/>
        <stp>##V3_BDHV12</stp>
        <stp>005380 KS Equity</stp>
        <stp>RR473</stp>
        <stp>-60CQ</stp>
        <stp>3/31/2019</stp>
        <stp>[BI_AUTMG_1_3wwqb2a2.xlsx]ReferenceData!R1019C6</stp>
        <stp>Per=CQ</stp>
        <stp>Dts=H</stp>
        <stp>Dir=H</stp>
        <stp>Points=60</stp>
        <stp>Sort=R</stp>
        <stp>Days=A</stp>
        <stp>Fill=B</stp>
        <stp>FX=USD</stp>
        <tr r="F1019" s="3"/>
      </tp>
      <tp t="s">
        <v>#N/A Connection</v>
        <stp/>
        <stp>##V3_BDHV12</stp>
        <stp>005380 KS Equity</stp>
        <stp>RX072</stp>
        <stp>-60CQ</stp>
        <stp>3/31/2019</stp>
        <stp>[BI_AUTMG_1_3wwqb2a2.xlsx]ReferenceData!R1259C6</stp>
        <stp>Per=CQ</stp>
        <stp>Dts=H</stp>
        <stp>Dir=H</stp>
        <stp>Points=60</stp>
        <stp>Sort=R</stp>
        <stp>Days=A</stp>
        <stp>Fill=B</stp>
        <stp>FX=USD</stp>
        <tr r="F1259" s="3"/>
      </tp>
      <tp t="s">
        <v>#N/A Connection</v>
        <stp/>
        <stp>##V3_BDHV12</stp>
        <stp>000270 KS Equity</stp>
        <stp>RR480</stp>
        <stp>-60CQ</stp>
        <stp>3/31/2019</stp>
        <stp>[BI_AUTMG_1_3wwqb2a2.xlsx]ReferenceData!R1060C6</stp>
        <stp>Per=CQ</stp>
        <stp>Dts=H</stp>
        <stp>Dir=H</stp>
        <stp>Points=60</stp>
        <stp>Sort=R</stp>
        <stp>Days=A</stp>
        <stp>Fill=B</stp>
        <stp>FX=USD</stp>
        <tr r="F1060" s="3"/>
      </tp>
      <tp t="s">
        <v>#N/A Connection</v>
        <stp/>
        <stp>##V3_BDHV12</stp>
        <stp>2333 HK Equity</stp>
        <stp>EZ010</stp>
        <stp>-60CQ</stp>
        <stp>3/31/2019</stp>
        <stp>[BI_AUTMG_1_3wwqb2a2.xlsx]ReferenceData!R776C6</stp>
        <stp>Per=CQ</stp>
        <stp>Dts=H</stp>
        <stp>Dir=H</stp>
        <stp>Points=60</stp>
        <stp>Sort=R</stp>
        <stp>Days=A</stp>
        <stp>Fill=B</stp>
        <stp>FX=USD</stp>
        <tr r="F776" s="3"/>
      </tp>
      <tp t="s">
        <v>#N/A Connection</v>
        <stp/>
        <stp>##V3_BDHV12</stp>
        <stp>2333 HK Equity</stp>
        <stp>EZ009</stp>
        <stp>-60CQ</stp>
        <stp>3/31/2019</stp>
        <stp>[BI_AUTMG_1_3wwqb2a2.xlsx]ReferenceData!R736C6</stp>
        <stp>Per=CQ</stp>
        <stp>Dts=H</stp>
        <stp>Dir=H</stp>
        <stp>Points=60</stp>
        <stp>Sort=R</stp>
        <stp>Days=A</stp>
        <stp>Fill=B</stp>
        <stp>FX=USD</stp>
        <tr r="F736" s="3"/>
      </tp>
      <tp t="s">
        <v>#N/A Connection</v>
        <stp/>
        <stp>##V3_BDHV12</stp>
        <stp>2333 HK Equity</stp>
        <stp>RX077</stp>
        <stp>-60CQ</stp>
        <stp>3/31/2019</stp>
        <stp>[BI_AUTMG_1_3wwqb2a2.xlsx]ReferenceData!R856C6</stp>
        <stp>Per=CQ</stp>
        <stp>Dts=H</stp>
        <stp>Dir=H</stp>
        <stp>Points=60</stp>
        <stp>Sort=R</stp>
        <stp>Days=A</stp>
        <stp>Fill=B</stp>
        <stp>FX=USD</stp>
        <tr r="F856" s="3"/>
      </tp>
      <tp t="s">
        <v>#N/A Connection</v>
        <stp/>
        <stp>##V3_BDHV12</stp>
        <stp>FCAU US Equity</stp>
        <stp>RX072</stp>
        <stp>-60CQ</stp>
        <stp>3/31/2019</stp>
        <stp>[BI_AUTMG_1_3wwqb2a2.xlsx]ReferenceData!R1250C6</stp>
        <stp>Per=CQ</stp>
        <stp>Dts=H</stp>
        <stp>Dir=H</stp>
        <stp>Points=60</stp>
        <stp>Sort=R</stp>
        <stp>Days=A</stp>
        <stp>Fill=B</stp>
        <stp>FX=USD</stp>
        <tr r="F1250" s="3"/>
      </tp>
      <tp t="s">
        <v>#N/A Connection</v>
        <stp/>
        <stp>##V3_BDHV12</stp>
        <stp>FCAU US Equity</stp>
        <stp>RR473</stp>
        <stp>-60CQ</stp>
        <stp>3/31/2019</stp>
        <stp>[BI_AUTMG_1_3wwqb2a2.xlsx]ReferenceData!R1010C6</stp>
        <stp>Per=CQ</stp>
        <stp>Dts=H</stp>
        <stp>Dir=H</stp>
        <stp>Points=60</stp>
        <stp>Sort=R</stp>
        <stp>Days=A</stp>
        <stp>Fill=B</stp>
        <stp>FX=USD</stp>
        <tr r="F1010" s="3"/>
      </tp>
      <tp t="s">
        <v>#N/A Connection</v>
        <stp/>
        <stp>##V3_BDHV12</stp>
        <stp>FCAU US Equity</stp>
        <stp>RX076</stp>
        <stp>-60CQ</stp>
        <stp>3/31/2019</stp>
        <stp>[BI_AUTMG_1_3wwqb2a2.xlsx]ReferenceData!R1210C6</stp>
        <stp>Per=CQ</stp>
        <stp>Dts=H</stp>
        <stp>Dir=H</stp>
        <stp>Points=60</stp>
        <stp>Sort=R</stp>
        <stp>Days=A</stp>
        <stp>Fill=B</stp>
        <stp>FX=USD</stp>
        <tr r="F1210" s="3"/>
      </tp>
      <tp t="s">
        <v>#N/A Connection</v>
        <stp/>
        <stp>##V3_BDHV12</stp>
        <stp>FCAU US Equity</stp>
        <stp>RR476</stp>
        <stp>-60CQ</stp>
        <stp>3/31/2019</stp>
        <stp>[BI_AUTMG_1_3wwqb2a2.xlsx]ReferenceData!R1130C6</stp>
        <stp>Per=CQ</stp>
        <stp>Dts=H</stp>
        <stp>Dir=H</stp>
        <stp>Points=60</stp>
        <stp>Sort=R</stp>
        <stp>Days=A</stp>
        <stp>Fill=B</stp>
        <stp>FX=USD</stp>
        <tr r="F1130" s="3"/>
      </tp>
      <tp t="s">
        <v>#N/A Connection</v>
        <stp/>
        <stp>##V3_BDHV12</stp>
        <stp>FCAU US Equity</stp>
        <stp>RR477</stp>
        <stp>-60CQ</stp>
        <stp>3/31/2019</stp>
        <stp>[BI_AUTMG_1_3wwqb2a2.xlsx]ReferenceData!R1090C6</stp>
        <stp>Per=CQ</stp>
        <stp>Dts=H</stp>
        <stp>Dir=H</stp>
        <stp>Points=60</stp>
        <stp>Sort=R</stp>
        <stp>Days=A</stp>
        <stp>Fill=B</stp>
        <stp>FX=USD</stp>
        <tr r="F1090" s="3"/>
      </tp>
    </main>
    <main first="bloomberg.ccyreader">
      <tp>
        <v>0</v>
        <stp/>
        <stp>#track</stp>
        <stp>DBG</stp>
        <stp>BIHITX</stp>
        <stp>1.0</stp>
        <stp>RepeatHit</stp>
        <tr r="A671" s="3"/>
      </tp>
    </main>
    <main first="bloomberg.rtd">
      <tp t="s">
        <v>#N/A Connection</v>
        <stp/>
        <stp>##V3_BDHV12</stp>
        <stp>2238 HK Equity</stp>
        <stp>EZ010</stp>
        <stp>-60CQ</stp>
        <stp>3/31/2019</stp>
        <stp>[BI_AUTMG_1_3wwqb2a2.xlsx]ReferenceData!R777C6</stp>
        <stp>Per=CQ</stp>
        <stp>Dts=H</stp>
        <stp>Dir=H</stp>
        <stp>Points=60</stp>
        <stp>Sort=R</stp>
        <stp>Days=A</stp>
        <stp>Fill=B</stp>
        <stp>FX=USD</stp>
        <tr r="F777" s="3"/>
      </tp>
      <tp t="s">
        <v>#N/A Connection</v>
        <stp/>
        <stp>##V3_BDHV12</stp>
        <stp>2238 HK Equity</stp>
        <stp>EZ009</stp>
        <stp>-60CQ</stp>
        <stp>3/31/2019</stp>
        <stp>[BI_AUTMG_1_3wwqb2a2.xlsx]ReferenceData!R737C6</stp>
        <stp>Per=CQ</stp>
        <stp>Dts=H</stp>
        <stp>Dir=H</stp>
        <stp>Points=60</stp>
        <stp>Sort=R</stp>
        <stp>Days=A</stp>
        <stp>Fill=B</stp>
        <stp>FX=USD</stp>
        <tr r="F737" s="3"/>
      </tp>
      <tp t="s">
        <v>#N/A Connection</v>
        <stp/>
        <stp>##V3_BDHV12</stp>
        <stp>1211 HK Equity</stp>
        <stp>EZ010</stp>
        <stp>-60CQ</stp>
        <stp>3/31/2019</stp>
        <stp>[BI_AUTMG_1_3wwqb2a2.xlsx]ReferenceData!R763C6</stp>
        <stp>Per=CQ</stp>
        <stp>Dts=H</stp>
        <stp>Dir=H</stp>
        <stp>Points=60</stp>
        <stp>Sort=R</stp>
        <stp>Days=A</stp>
        <stp>Fill=B</stp>
        <stp>FX=USD</stp>
        <tr r="F763" s="3"/>
      </tp>
      <tp t="s">
        <v>#N/A Connection</v>
        <stp/>
        <stp>##V3_BDHV12</stp>
        <stp>1211 HK Equity</stp>
        <stp>EZ009</stp>
        <stp>-60CQ</stp>
        <stp>3/31/2019</stp>
        <stp>[BI_AUTMG_1_3wwqb2a2.xlsx]ReferenceData!R723C6</stp>
        <stp>Per=CQ</stp>
        <stp>Dts=H</stp>
        <stp>Dir=H</stp>
        <stp>Points=60</stp>
        <stp>Sort=R</stp>
        <stp>Days=A</stp>
        <stp>Fill=B</stp>
        <stp>FX=USD</stp>
        <tr r="F723" s="3"/>
      </tp>
      <tp t="s">
        <v>#N/A Connection</v>
        <stp/>
        <stp>##V3_BDHV12</stp>
        <stp>2238 HK Equity</stp>
        <stp>RX077</stp>
        <stp>-60CQ</stp>
        <stp>3/31/2019</stp>
        <stp>[BI_AUTMG_1_3wwqb2a2.xlsx]ReferenceData!R857C6</stp>
        <stp>Per=CQ</stp>
        <stp>Dts=H</stp>
        <stp>Dir=H</stp>
        <stp>Points=60</stp>
        <stp>Sort=R</stp>
        <stp>Days=A</stp>
        <stp>Fill=B</stp>
        <stp>FX=USD</stp>
        <tr r="F857" s="3"/>
      </tp>
      <tp t="s">
        <v>#N/A Connection</v>
        <stp/>
        <stp>##V3_BDHV12</stp>
        <stp>1211 HK Equity</stp>
        <stp>RX077</stp>
        <stp>-60CQ</stp>
        <stp>3/31/2019</stp>
        <stp>[BI_AUTMG_1_3wwqb2a2.xlsx]ReferenceData!R843C6</stp>
        <stp>Per=CQ</stp>
        <stp>Dts=H</stp>
        <stp>Dir=H</stp>
        <stp>Points=60</stp>
        <stp>Sort=R</stp>
        <stp>Days=A</stp>
        <stp>Fill=B</stp>
        <stp>FX=USD</stp>
        <tr r="F843" s="3"/>
      </tp>
      <tp t="s">
        <v>#N/A Connection</v>
        <stp/>
        <stp>##V3_BDHV12</stp>
        <stp>005380 KS Equity</stp>
        <stp>DV013</stp>
        <stp>-60CQ</stp>
        <stp>3/31/2019</stp>
        <stp>[BI_AUTMG_1_3wwqb2a2.xlsx]ReferenceData!R1179C6</stp>
        <stp>Per=CQ</stp>
        <stp>Dts=H</stp>
        <stp>Dir=H</stp>
        <stp>Points=60</stp>
        <stp>Sort=R</stp>
        <stp>Days=A</stp>
        <stp>Fill=B</stp>
        <stp>FX=USD</stp>
        <tr r="F1179" s="3"/>
      </tp>
      <tp t="s">
        <v>#N/A Connection</v>
        <stp/>
        <stp>##V3_BDHV12</stp>
        <stp>GAZA RM Equity</stp>
        <stp>RX539</stp>
        <stp>-60CQ</stp>
        <stp>3/31/2019</stp>
        <stp>[BI_AUTMG_1_3wwqb2a2.xlsx]ReferenceData!R1293C6</stp>
        <stp>Per=CQ</stp>
        <stp>Dts=H</stp>
        <stp>Dir=H</stp>
        <stp>Points=60</stp>
        <stp>Sort=R</stp>
        <stp>Days=A</stp>
        <stp>Fill=B</stp>
        <stp>FX=USD</stp>
        <tr r="F1293" s="3"/>
      </tp>
      <tp t="s">
        <v>#N/A Connection</v>
        <stp/>
        <stp>##V3_BDHV12</stp>
        <stp>1114 HK Equity</stp>
        <stp>EZ010</stp>
        <stp>-60CQ</stp>
        <stp>3/31/2019</stp>
        <stp>[BI_AUTMG_1_3wwqb2a2.xlsx]ReferenceData!R762C6</stp>
        <stp>Per=CQ</stp>
        <stp>Dts=H</stp>
        <stp>Dir=H</stp>
        <stp>Points=60</stp>
        <stp>Sort=R</stp>
        <stp>Days=A</stp>
        <stp>Fill=B</stp>
        <stp>FX=USD</stp>
        <tr r="F762" s="3"/>
      </tp>
      <tp t="s">
        <v>#N/A Connection</v>
        <stp/>
        <stp>##V3_BDHV12</stp>
        <stp>1114 HK Equity</stp>
        <stp>EZ009</stp>
        <stp>-60CQ</stp>
        <stp>3/31/2019</stp>
        <stp>[BI_AUTMG_1_3wwqb2a2.xlsx]ReferenceData!R722C6</stp>
        <stp>Per=CQ</stp>
        <stp>Dts=H</stp>
        <stp>Dir=H</stp>
        <stp>Points=60</stp>
        <stp>Sort=R</stp>
        <stp>Days=A</stp>
        <stp>Fill=B</stp>
        <stp>FX=USD</stp>
        <tr r="F722" s="3"/>
      </tp>
      <tp t="s">
        <v>#N/A Connection</v>
        <stp/>
        <stp>##V3_BDHV12</stp>
        <stp>1114 HK Equity</stp>
        <stp>RX077</stp>
        <stp>-60CQ</stp>
        <stp>3/31/2019</stp>
        <stp>[BI_AUTMG_1_3wwqb2a2.xlsx]ReferenceData!R842C6</stp>
        <stp>Per=CQ</stp>
        <stp>Dts=H</stp>
        <stp>Dir=H</stp>
        <stp>Points=60</stp>
        <stp>Sort=R</stp>
        <stp>Days=A</stp>
        <stp>Fill=B</stp>
        <stp>FX=USD</stp>
        <tr r="F842" s="3"/>
      </tp>
      <tp t="s">
        <v>#N/A Connection</v>
        <stp/>
        <stp>##V3_BDHV12</stp>
        <stp>TSLA US Equity</stp>
        <stp>RR480</stp>
        <stp>-60CQ</stp>
        <stp>3/31/2019</stp>
        <stp>[BI_AUTMG_1_3wwqb2a2.xlsx]ReferenceData!R1073C6</stp>
        <stp>Per=CQ</stp>
        <stp>Dts=H</stp>
        <stp>Dir=H</stp>
        <stp>Points=60</stp>
        <stp>Sort=R</stp>
        <stp>Days=A</stp>
        <stp>Fill=B</stp>
        <stp>FX=USD</stp>
        <tr r="F1073" s="3"/>
      </tp>
      <tp t="s">
        <v>#N/A Connection</v>
        <stp/>
        <stp>##V3_BDHV12</stp>
        <stp>003620 KS Equity</stp>
        <stp>RR480</stp>
        <stp>-60CQ</stp>
        <stp>3/31/2019</stp>
        <stp>[BI_AUTMG_1_3wwqb2a2.xlsx]ReferenceData!R1069C6</stp>
        <stp>Per=CQ</stp>
        <stp>Dts=H</stp>
        <stp>Dir=H</stp>
        <stp>Points=60</stp>
        <stp>Sort=R</stp>
        <stp>Days=A</stp>
        <stp>Fill=B</stp>
        <stp>FX=USD</stp>
        <tr r="F1069" s="3"/>
      </tp>
      <tp t="s">
        <v>#N/A Connection</v>
        <stp/>
        <stp>##V3_BDHV12</stp>
        <stp>7270 JP Equity</stp>
        <stp>RX077</stp>
        <stp>-60CQ</stp>
        <stp>3/31/2019</stp>
        <stp>[BI_AUTMG_1_3wwqb2a2.xlsx]ReferenceData!R870C6</stp>
        <stp>Per=CQ</stp>
        <stp>Dts=H</stp>
        <stp>Dir=H</stp>
        <stp>Points=60</stp>
        <stp>Sort=R</stp>
        <stp>Days=A</stp>
        <stp>Fill=B</stp>
        <stp>FX=USD</stp>
        <tr r="F870" s="3"/>
      </tp>
      <tp t="s">
        <v>#N/A Connection</v>
        <stp/>
        <stp>##V3_BDHV12</stp>
        <stp>7269 JP Equity</stp>
        <stp>RX077</stp>
        <stp>-60CQ</stp>
        <stp>3/31/2019</stp>
        <stp>[BI_AUTMG_1_3wwqb2a2.xlsx]ReferenceData!R871C6</stp>
        <stp>Per=CQ</stp>
        <stp>Dts=H</stp>
        <stp>Dir=H</stp>
        <stp>Points=60</stp>
        <stp>Sort=R</stp>
        <stp>Days=A</stp>
        <stp>Fill=B</stp>
        <stp>FX=USD</stp>
        <tr r="F871" s="3"/>
      </tp>
      <tp t="s">
        <v>#N/A Connection</v>
        <stp/>
        <stp>##V3_BDHV12</stp>
        <stp>7262 JP Equity</stp>
        <stp>RX077</stp>
        <stp>-60CQ</stp>
        <stp>3/31/2019</stp>
        <stp>[BI_AUTMG_1_3wwqb2a2.xlsx]ReferenceData!R845C6</stp>
        <stp>Per=CQ</stp>
        <stp>Dts=H</stp>
        <stp>Dir=H</stp>
        <stp>Points=60</stp>
        <stp>Sort=R</stp>
        <stp>Days=A</stp>
        <stp>Fill=B</stp>
        <stp>FX=USD</stp>
        <tr r="F845" s="3"/>
      </tp>
      <tp t="s">
        <v>#N/A Connection</v>
        <stp/>
        <stp>##V3_BDHV12</stp>
        <stp>7261 JP Equity</stp>
        <stp>RX077</stp>
        <stp>-60CQ</stp>
        <stp>3/31/2019</stp>
        <stp>[BI_AUTMG_1_3wwqb2a2.xlsx]ReferenceData!R861C6</stp>
        <stp>Per=CQ</stp>
        <stp>Dts=H</stp>
        <stp>Dir=H</stp>
        <stp>Points=60</stp>
        <stp>Sort=R</stp>
        <stp>Days=A</stp>
        <stp>Fill=B</stp>
        <stp>FX=USD</stp>
        <tr r="F861" s="3"/>
      </tp>
      <tp t="s">
        <v>#N/A Connection</v>
        <stp/>
        <stp>##V3_BDHV12</stp>
        <stp>7267 JP Equity</stp>
        <stp>RX077</stp>
        <stp>-60CQ</stp>
        <stp>3/31/2019</stp>
        <stp>[BI_AUTMG_1_3wwqb2a2.xlsx]ReferenceData!R858C6</stp>
        <stp>Per=CQ</stp>
        <stp>Dts=H</stp>
        <stp>Dir=H</stp>
        <stp>Points=60</stp>
        <stp>Sort=R</stp>
        <stp>Days=A</stp>
        <stp>Fill=B</stp>
        <stp>FX=USD</stp>
        <tr r="F858" s="3"/>
      </tp>
      <tp t="s">
        <v>#N/A Connection</v>
        <stp/>
        <stp>##V3_BDHV12</stp>
        <stp>7211 JP Equity</stp>
        <stp>RX077</stp>
        <stp>-60CQ</stp>
        <stp>3/31/2019</stp>
        <stp>[BI_AUTMG_1_3wwqb2a2.xlsx]ReferenceData!R862C6</stp>
        <stp>Per=CQ</stp>
        <stp>Dts=H</stp>
        <stp>Dir=H</stp>
        <stp>Points=60</stp>
        <stp>Sort=R</stp>
        <stp>Days=A</stp>
        <stp>Fill=B</stp>
        <stp>FX=USD</stp>
        <tr r="F862" s="3"/>
      </tp>
      <tp t="s">
        <v>#N/A Connection</v>
        <stp/>
        <stp>##V3_BDHV12</stp>
        <stp>7203 JP Equity</stp>
        <stp>RX077</stp>
        <stp>-60CQ</stp>
        <stp>3/31/2019</stp>
        <stp>[BI_AUTMG_1_3wwqb2a2.xlsx]ReferenceData!R876C6</stp>
        <stp>Per=CQ</stp>
        <stp>Dts=H</stp>
        <stp>Dir=H</stp>
        <stp>Points=60</stp>
        <stp>Sort=R</stp>
        <stp>Days=A</stp>
        <stp>Fill=B</stp>
        <stp>FX=USD</stp>
        <tr r="F876" s="3"/>
      </tp>
      <tp t="s">
        <v>#N/A Connection</v>
        <stp/>
        <stp>##V3_BDHV12</stp>
        <stp>7201 JP Equity</stp>
        <stp>RX077</stp>
        <stp>-60CQ</stp>
        <stp>3/31/2019</stp>
        <stp>[BI_AUTMG_1_3wwqb2a2.xlsx]ReferenceData!R863C6</stp>
        <stp>Per=CQ</stp>
        <stp>Dts=H</stp>
        <stp>Dir=H</stp>
        <stp>Points=60</stp>
        <stp>Sort=R</stp>
        <stp>Days=A</stp>
        <stp>Fill=B</stp>
        <stp>FX=USD</stp>
        <tr r="F863" s="3"/>
      </tp>
      <tp t="s">
        <v>#N/A Connection</v>
        <stp/>
        <stp>##V3_BDHV12</stp>
        <stp>7270 JP Equity</stp>
        <stp>EZ009</stp>
        <stp>-60CQ</stp>
        <stp>3/31/2019</stp>
        <stp>[BI_AUTMG_1_3wwqb2a2.xlsx]ReferenceData!R750C6</stp>
        <stp>Per=CQ</stp>
        <stp>Dts=H</stp>
        <stp>Dir=H</stp>
        <stp>Points=60</stp>
        <stp>Sort=R</stp>
        <stp>Days=A</stp>
        <stp>Fill=B</stp>
        <stp>FX=USD</stp>
        <tr r="F750" s="3"/>
      </tp>
      <tp t="s">
        <v>#N/A Connection</v>
        <stp/>
        <stp>##V3_BDHV12</stp>
        <stp>7261 JP Equity</stp>
        <stp>EZ010</stp>
        <stp>-60CQ</stp>
        <stp>3/31/2019</stp>
        <stp>[BI_AUTMG_1_3wwqb2a2.xlsx]ReferenceData!R781C6</stp>
        <stp>Per=CQ</stp>
        <stp>Dts=H</stp>
        <stp>Dir=H</stp>
        <stp>Points=60</stp>
        <stp>Sort=R</stp>
        <stp>Days=A</stp>
        <stp>Fill=B</stp>
        <stp>FX=USD</stp>
        <tr r="F781" s="3"/>
      </tp>
      <tp t="s">
        <v>#N/A Connection</v>
        <stp/>
        <stp>##V3_BDHV12</stp>
        <stp>7262 JP Equity</stp>
        <stp>EZ010</stp>
        <stp>-60CQ</stp>
        <stp>3/31/2019</stp>
        <stp>[BI_AUTMG_1_3wwqb2a2.xlsx]ReferenceData!R765C6</stp>
        <stp>Per=CQ</stp>
        <stp>Dts=H</stp>
        <stp>Dir=H</stp>
        <stp>Points=60</stp>
        <stp>Sort=R</stp>
        <stp>Days=A</stp>
        <stp>Fill=B</stp>
        <stp>FX=USD</stp>
        <tr r="F765" s="3"/>
      </tp>
      <tp t="s">
        <v>#N/A Connection</v>
        <stp/>
        <stp>##V3_BDHV12</stp>
        <stp>7269 JP Equity</stp>
        <stp>EZ010</stp>
        <stp>-60CQ</stp>
        <stp>3/31/2019</stp>
        <stp>[BI_AUTMG_1_3wwqb2a2.xlsx]ReferenceData!R791C6</stp>
        <stp>Per=CQ</stp>
        <stp>Dts=H</stp>
        <stp>Dir=H</stp>
        <stp>Points=60</stp>
        <stp>Sort=R</stp>
        <stp>Days=A</stp>
        <stp>Fill=B</stp>
        <stp>FX=USD</stp>
        <tr r="F791" s="3"/>
      </tp>
      <tp t="s">
        <v>#N/A Connection</v>
        <stp/>
        <stp>##V3_BDHV12</stp>
        <stp>7267 JP Equity</stp>
        <stp>EZ010</stp>
        <stp>-60CQ</stp>
        <stp>3/31/2019</stp>
        <stp>[BI_AUTMG_1_3wwqb2a2.xlsx]ReferenceData!R778C6</stp>
        <stp>Per=CQ</stp>
        <stp>Dts=H</stp>
        <stp>Dir=H</stp>
        <stp>Points=60</stp>
        <stp>Sort=R</stp>
        <stp>Days=A</stp>
        <stp>Fill=B</stp>
        <stp>FX=USD</stp>
        <tr r="F778" s="3"/>
      </tp>
      <tp t="s">
        <v>#N/A Connection</v>
        <stp/>
        <stp>##V3_BDHV12</stp>
        <stp>7261 JP Equity</stp>
        <stp>EZ009</stp>
        <stp>-60CQ</stp>
        <stp>3/31/2019</stp>
        <stp>[BI_AUTMG_1_3wwqb2a2.xlsx]ReferenceData!R741C6</stp>
        <stp>Per=CQ</stp>
        <stp>Dts=H</stp>
        <stp>Dir=H</stp>
        <stp>Points=60</stp>
        <stp>Sort=R</stp>
        <stp>Days=A</stp>
        <stp>Fill=B</stp>
        <stp>FX=USD</stp>
        <tr r="F741" s="3"/>
      </tp>
      <tp t="s">
        <v>#N/A Connection</v>
        <stp/>
        <stp>##V3_BDHV12</stp>
        <stp>7267 JP Equity</stp>
        <stp>EZ009</stp>
        <stp>-60CQ</stp>
        <stp>3/31/2019</stp>
        <stp>[BI_AUTMG_1_3wwqb2a2.xlsx]ReferenceData!R738C6</stp>
        <stp>Per=CQ</stp>
        <stp>Dts=H</stp>
        <stp>Dir=H</stp>
        <stp>Points=60</stp>
        <stp>Sort=R</stp>
        <stp>Days=A</stp>
        <stp>Fill=B</stp>
        <stp>FX=USD</stp>
        <tr r="F738" s="3"/>
      </tp>
      <tp t="s">
        <v>#N/A Connection</v>
        <stp/>
        <stp>##V3_BDHV12</stp>
        <stp>7270 JP Equity</stp>
        <stp>EZ010</stp>
        <stp>-60CQ</stp>
        <stp>3/31/2019</stp>
        <stp>[BI_AUTMG_1_3wwqb2a2.xlsx]ReferenceData!R790C6</stp>
        <stp>Per=CQ</stp>
        <stp>Dts=H</stp>
        <stp>Dir=H</stp>
        <stp>Points=60</stp>
        <stp>Sort=R</stp>
        <stp>Days=A</stp>
        <stp>Fill=B</stp>
        <stp>FX=USD</stp>
        <tr r="F790" s="3"/>
      </tp>
      <tp t="s">
        <v>#N/A Connection</v>
        <stp/>
        <stp>##V3_BDHV12</stp>
        <stp>7262 JP Equity</stp>
        <stp>EZ009</stp>
        <stp>-60CQ</stp>
        <stp>3/31/2019</stp>
        <stp>[BI_AUTMG_1_3wwqb2a2.xlsx]ReferenceData!R725C6</stp>
        <stp>Per=CQ</stp>
        <stp>Dts=H</stp>
        <stp>Dir=H</stp>
        <stp>Points=60</stp>
        <stp>Sort=R</stp>
        <stp>Days=A</stp>
        <stp>Fill=B</stp>
        <stp>FX=USD</stp>
        <tr r="F725" s="3"/>
      </tp>
      <tp t="s">
        <v>#N/A Connection</v>
        <stp/>
        <stp>##V3_BDHV12</stp>
        <stp>7269 JP Equity</stp>
        <stp>EZ009</stp>
        <stp>-60CQ</stp>
        <stp>3/31/2019</stp>
        <stp>[BI_AUTMG_1_3wwqb2a2.xlsx]ReferenceData!R751C6</stp>
        <stp>Per=CQ</stp>
        <stp>Dts=H</stp>
        <stp>Dir=H</stp>
        <stp>Points=60</stp>
        <stp>Sort=R</stp>
        <stp>Days=A</stp>
        <stp>Fill=B</stp>
        <stp>FX=USD</stp>
        <tr r="F751" s="3"/>
      </tp>
      <tp t="s">
        <v>#N/A Connection</v>
        <stp/>
        <stp>##V3_BDHV12</stp>
        <stp>7211 JP Equity</stp>
        <stp>EZ009</stp>
        <stp>-60CQ</stp>
        <stp>3/31/2019</stp>
        <stp>[BI_AUTMG_1_3wwqb2a2.xlsx]ReferenceData!R742C6</stp>
        <stp>Per=CQ</stp>
        <stp>Dts=H</stp>
        <stp>Dir=H</stp>
        <stp>Points=60</stp>
        <stp>Sort=R</stp>
        <stp>Days=A</stp>
        <stp>Fill=B</stp>
        <stp>FX=USD</stp>
        <tr r="F742" s="3"/>
      </tp>
      <tp t="s">
        <v>#N/A Connection</v>
        <stp/>
        <stp>##V3_BDHV12</stp>
        <stp>7201 JP Equity</stp>
        <stp>EZ010</stp>
        <stp>-60CQ</stp>
        <stp>3/31/2019</stp>
        <stp>[BI_AUTMG_1_3wwqb2a2.xlsx]ReferenceData!R783C6</stp>
        <stp>Per=CQ</stp>
        <stp>Dts=H</stp>
        <stp>Dir=H</stp>
        <stp>Points=60</stp>
        <stp>Sort=R</stp>
        <stp>Days=A</stp>
        <stp>Fill=B</stp>
        <stp>FX=USD</stp>
        <tr r="F783" s="3"/>
      </tp>
      <tp t="s">
        <v>#N/A Connection</v>
        <stp/>
        <stp>##V3_BDHV12</stp>
        <stp>7203 JP Equity</stp>
        <stp>EZ010</stp>
        <stp>-60CQ</stp>
        <stp>3/31/2019</stp>
        <stp>[BI_AUTMG_1_3wwqb2a2.xlsx]ReferenceData!R796C6</stp>
        <stp>Per=CQ</stp>
        <stp>Dts=H</stp>
        <stp>Dir=H</stp>
        <stp>Points=60</stp>
        <stp>Sort=R</stp>
        <stp>Days=A</stp>
        <stp>Fill=B</stp>
        <stp>FX=USD</stp>
        <tr r="F796" s="3"/>
      </tp>
      <tp t="s">
        <v>#N/A Connection</v>
        <stp/>
        <stp>##V3_BDHV12</stp>
        <stp>7201 JP Equity</stp>
        <stp>EZ009</stp>
        <stp>-60CQ</stp>
        <stp>3/31/2019</stp>
        <stp>[BI_AUTMG_1_3wwqb2a2.xlsx]ReferenceData!R743C6</stp>
        <stp>Per=CQ</stp>
        <stp>Dts=H</stp>
        <stp>Dir=H</stp>
        <stp>Points=60</stp>
        <stp>Sort=R</stp>
        <stp>Days=A</stp>
        <stp>Fill=B</stp>
        <stp>FX=USD</stp>
        <tr r="F743" s="3"/>
      </tp>
      <tp t="s">
        <v>#N/A Connection</v>
        <stp/>
        <stp>##V3_BDHV12</stp>
        <stp>7203 JP Equity</stp>
        <stp>EZ009</stp>
        <stp>-60CQ</stp>
        <stp>3/31/2019</stp>
        <stp>[BI_AUTMG_1_3wwqb2a2.xlsx]ReferenceData!R756C6</stp>
        <stp>Per=CQ</stp>
        <stp>Dts=H</stp>
        <stp>Dir=H</stp>
        <stp>Points=60</stp>
        <stp>Sort=R</stp>
        <stp>Days=A</stp>
        <stp>Fill=B</stp>
        <stp>FX=USD</stp>
        <tr r="F756" s="3"/>
      </tp>
      <tp t="s">
        <v>#N/A Connection</v>
        <stp/>
        <stp>##V3_BDHV12</stp>
        <stp>7211 JP Equity</stp>
        <stp>EZ010</stp>
        <stp>-60CQ</stp>
        <stp>3/31/2019</stp>
        <stp>[BI_AUTMG_1_3wwqb2a2.xlsx]ReferenceData!R782C6</stp>
        <stp>Per=CQ</stp>
        <stp>Dts=H</stp>
        <stp>Dir=H</stp>
        <stp>Points=60</stp>
        <stp>Sort=R</stp>
        <stp>Days=A</stp>
        <stp>Fill=B</stp>
        <stp>FX=USD</stp>
        <tr r="F782" s="3"/>
      </tp>
      <tp t="s">
        <v>#N/A Connection</v>
        <stp/>
        <stp>##V3_BDHV12</stp>
        <stp>GAZA RM Equity</stp>
        <stp>DV013</stp>
        <stp>-60CQ</stp>
        <stp>3/31/2019</stp>
        <stp>[BI_AUTMG_1_3wwqb2a2.xlsx]ReferenceData!R1173C6</stp>
        <stp>Per=CQ</stp>
        <stp>Dts=H</stp>
        <stp>Dir=H</stp>
        <stp>Points=60</stp>
        <stp>Sort=R</stp>
        <stp>Days=A</stp>
        <stp>Fill=B</stp>
        <stp>FX=USD</stp>
        <tr r="F1173" s="3"/>
      </tp>
      <tp t="s">
        <v>#N/A Connection</v>
        <stp/>
        <stp>##V3_BDHV12</stp>
        <stp>005380 KS Equity</stp>
        <stp>RX539</stp>
        <stp>-60CQ</stp>
        <stp>3/31/2019</stp>
        <stp>[BI_AUTMG_1_3wwqb2a2.xlsx]ReferenceData!R1299C6</stp>
        <stp>Per=CQ</stp>
        <stp>Dts=H</stp>
        <stp>Dir=H</stp>
        <stp>Points=60</stp>
        <stp>Sort=R</stp>
        <stp>Days=A</stp>
        <stp>Fill=B</stp>
        <stp>FX=USD</stp>
        <tr r="F1299" s="3"/>
      </tp>
      <tp t="s">
        <v>#N/A Connection</v>
        <stp/>
        <stp>##V3_BDHV12</stp>
        <stp>489 HK Equity</stp>
        <stp>RR900</stp>
        <stp>-60CQ</stp>
        <stp>3/31/2019</stp>
        <stp>[BI_AUTMG_1_3wwqb2a2.xlsx]ReferenceData!R687C6</stp>
        <stp>Per=CQ</stp>
        <stp>Dts=H</stp>
        <stp>Dir=H</stp>
        <stp>Points=60</stp>
        <stp>Sort=R</stp>
        <stp>Days=A</stp>
        <stp>Fill=B</stp>
        <stp>FX=USD</stp>
        <tr r="F687" s="3"/>
      </tp>
      <tp t="s">
        <v>#N/A Connection</v>
        <stp/>
        <stp>##V3_BDHV12</stp>
        <stp>489 HK Equity</stp>
        <stp>RR971</stp>
        <stp>-60CQ</stp>
        <stp>3/31/2019</stp>
        <stp>[BI_AUTMG_1_3wwqb2a2.xlsx]ReferenceData!R887C6</stp>
        <stp>Per=CQ</stp>
        <stp>Dts=H</stp>
        <stp>Dir=H</stp>
        <stp>Points=60</stp>
        <stp>Sort=R</stp>
        <stp>Days=A</stp>
        <stp>Fill=B</stp>
        <stp>FX=USD</stp>
        <tr r="F887" s="3"/>
      </tp>
      <tp t="s">
        <v>#N/A Connection</v>
        <stp/>
        <stp>##V3_BDHV12</stp>
        <stp>489 HK Equity</stp>
        <stp>RR904</stp>
        <stp>-60CQ</stp>
        <stp>3/31/2019</stp>
        <stp>[BI_AUTMG_1_3wwqb2a2.xlsx]ReferenceData!R927C6</stp>
        <stp>Per=CQ</stp>
        <stp>Dts=H</stp>
        <stp>Dir=H</stp>
        <stp>Points=60</stp>
        <stp>Sort=R</stp>
        <stp>Days=A</stp>
        <stp>Fill=B</stp>
        <stp>FX=USD</stp>
        <tr r="F927" s="3"/>
      </tp>
      <tp t="s">
        <v>#N/A Connection</v>
        <stp/>
        <stp>##V3_BDHV12</stp>
        <stp>489 HK Equity</stp>
        <stp>RR903</stp>
        <stp>-60CQ</stp>
        <stp>3/31/2019</stp>
        <stp>[BI_AUTMG_1_3wwqb2a2.xlsx]ReferenceData!R807C6</stp>
        <stp>Per=CQ</stp>
        <stp>Dts=H</stp>
        <stp>Dir=H</stp>
        <stp>Points=60</stp>
        <stp>Sort=R</stp>
        <stp>Days=A</stp>
        <stp>Fill=B</stp>
        <stp>FX=USD</stp>
        <tr r="F807" s="3"/>
      </tp>
      <tp t="s">
        <v>#N/A Connection</v>
        <stp/>
        <stp>##V3_BDHV12</stp>
        <stp>2201 TT Equity</stp>
        <stp>RX077</stp>
        <stp>-60CQ</stp>
        <stp>3/31/2019</stp>
        <stp>[BI_AUTMG_1_3wwqb2a2.xlsx]ReferenceData!R878C6</stp>
        <stp>Per=CQ</stp>
        <stp>Dts=H</stp>
        <stp>Dir=H</stp>
        <stp>Points=60</stp>
        <stp>Sort=R</stp>
        <stp>Days=A</stp>
        <stp>Fill=B</stp>
        <stp>FX=USD</stp>
        <tr r="F878" s="3"/>
      </tp>
      <tp t="s">
        <v>#N/A Connection</v>
        <stp/>
        <stp>##V3_BDHV12</stp>
        <stp>2206 TT Equity</stp>
        <stp>RX077</stp>
        <stp>-60CQ</stp>
        <stp>3/31/2019</stp>
        <stp>[BI_AUTMG_1_3wwqb2a2.xlsx]ReferenceData!R867C6</stp>
        <stp>Per=CQ</stp>
        <stp>Dts=H</stp>
        <stp>Dir=H</stp>
        <stp>Points=60</stp>
        <stp>Sort=R</stp>
        <stp>Days=A</stp>
        <stp>Fill=B</stp>
        <stp>FX=USD</stp>
        <tr r="F867" s="3"/>
      </tp>
      <tp t="s">
        <v>#N/A Connection</v>
        <stp/>
        <stp>##V3_BDHV12</stp>
        <stp>2206 TT Equity</stp>
        <stp>EZ010</stp>
        <stp>-60CQ</stp>
        <stp>3/31/2019</stp>
        <stp>[BI_AUTMG_1_3wwqb2a2.xlsx]ReferenceData!R787C6</stp>
        <stp>Per=CQ</stp>
        <stp>Dts=H</stp>
        <stp>Dir=H</stp>
        <stp>Points=60</stp>
        <stp>Sort=R</stp>
        <stp>Days=A</stp>
        <stp>Fill=B</stp>
        <stp>FX=USD</stp>
        <tr r="F787" s="3"/>
      </tp>
      <tp t="s">
        <v>#N/A Connection</v>
        <stp/>
        <stp>##V3_BDHV12</stp>
        <stp>2201 TT Equity</stp>
        <stp>EZ010</stp>
        <stp>-60CQ</stp>
        <stp>3/31/2019</stp>
        <stp>[BI_AUTMG_1_3wwqb2a2.xlsx]ReferenceData!R798C6</stp>
        <stp>Per=CQ</stp>
        <stp>Dts=H</stp>
        <stp>Dir=H</stp>
        <stp>Points=60</stp>
        <stp>Sort=R</stp>
        <stp>Days=A</stp>
        <stp>Fill=B</stp>
        <stp>FX=USD</stp>
        <tr r="F798" s="3"/>
      </tp>
      <tp t="s">
        <v>#N/A Connection</v>
        <stp/>
        <stp>##V3_BDHV12</stp>
        <stp>2201 TT Equity</stp>
        <stp>EZ009</stp>
        <stp>-60CQ</stp>
        <stp>3/31/2019</stp>
        <stp>[BI_AUTMG_1_3wwqb2a2.xlsx]ReferenceData!R758C6</stp>
        <stp>Per=CQ</stp>
        <stp>Dts=H</stp>
        <stp>Dir=H</stp>
        <stp>Points=60</stp>
        <stp>Sort=R</stp>
        <stp>Days=A</stp>
        <stp>Fill=B</stp>
        <stp>FX=USD</stp>
        <tr r="F758" s="3"/>
      </tp>
      <tp t="s">
        <v>#N/A Connection</v>
        <stp/>
        <stp>##V3_BDHV12</stp>
        <stp>2206 TT Equity</stp>
        <stp>EZ009</stp>
        <stp>-60CQ</stp>
        <stp>3/31/2019</stp>
        <stp>[BI_AUTMG_1_3wwqb2a2.xlsx]ReferenceData!R747C6</stp>
        <stp>Per=CQ</stp>
        <stp>Dts=H</stp>
        <stp>Dir=H</stp>
        <stp>Points=60</stp>
        <stp>Sort=R</stp>
        <stp>Days=A</stp>
        <stp>Fill=B</stp>
        <stp>FX=USD</stp>
        <tr r="F747" s="3"/>
      </tp>
      <tp t="s">
        <v>#N/A Connection</v>
        <stp/>
        <stp>##V3_BDHV12</stp>
        <stp>600104 CH Equity</stp>
        <stp>RR480</stp>
        <stp>-60CQ</stp>
        <stp>3/31/2019</stp>
        <stp>[BI_AUTMG_1_3wwqb2a2.xlsx]ReferenceData!R1066C6</stp>
        <stp>Per=CQ</stp>
        <stp>Dts=H</stp>
        <stp>Dir=H</stp>
        <stp>Points=60</stp>
        <stp>Sort=R</stp>
        <stp>Days=A</stp>
        <stp>Fill=B</stp>
        <stp>FX=USD</stp>
        <tr r="F1066" s="3"/>
      </tp>
      <tp t="s">
        <v>#N/A Connection</v>
        <stp/>
        <stp>##V3_BDHV12</stp>
        <stp>SVAV RM Equity</stp>
        <stp>RR473</stp>
        <stp>-60CQ</stp>
        <stp>3/31/2019</stp>
        <stp>[BI_AUTMG_1_3wwqb2a2.xlsx]ReferenceData!R1028C6</stp>
        <stp>Per=CQ</stp>
        <stp>Dts=H</stp>
        <stp>Dir=H</stp>
        <stp>Points=60</stp>
        <stp>Sort=R</stp>
        <stp>Days=A</stp>
        <stp>Fill=B</stp>
        <stp>FX=USD</stp>
        <tr r="F1028" s="3"/>
      </tp>
      <tp t="s">
        <v>#N/A Connection</v>
        <stp/>
        <stp>##V3_BDHV12</stp>
        <stp>TTMT IN Equity</stp>
        <stp>RR480</stp>
        <stp>-60CQ</stp>
        <stp>3/31/2019</stp>
        <stp>[BI_AUTMG_1_3wwqb2a2.xlsx]ReferenceData!R1072C6</stp>
        <stp>Per=CQ</stp>
        <stp>Dts=H</stp>
        <stp>Dir=H</stp>
        <stp>Points=60</stp>
        <stp>Sort=R</stp>
        <stp>Days=A</stp>
        <stp>Fill=B</stp>
        <stp>FX=USD</stp>
        <tr r="F1072" s="3"/>
      </tp>
      <tp t="s">
        <v>#N/A Connection</v>
        <stp/>
        <stp>##V3_BDHV12</stp>
        <stp>SVAV RM Equity</stp>
        <stp>RX072</stp>
        <stp>-60CQ</stp>
        <stp>3/31/2019</stp>
        <stp>[BI_AUTMG_1_3wwqb2a2.xlsx]ReferenceData!R1268C6</stp>
        <stp>Per=CQ</stp>
        <stp>Dts=H</stp>
        <stp>Dir=H</stp>
        <stp>Points=60</stp>
        <stp>Sort=R</stp>
        <stp>Days=A</stp>
        <stp>Fill=B</stp>
        <stp>FX=USD</stp>
        <tr r="F1268" s="3"/>
      </tp>
      <tp t="s">
        <v>#N/A Connection</v>
        <stp/>
        <stp>##V3_BDHV12</stp>
        <stp>SVAV RM Equity</stp>
        <stp>RR476</stp>
        <stp>-60CQ</stp>
        <stp>3/31/2019</stp>
        <stp>[BI_AUTMG_1_3wwqb2a2.xlsx]ReferenceData!R1148C6</stp>
        <stp>Per=CQ</stp>
        <stp>Dts=H</stp>
        <stp>Dir=H</stp>
        <stp>Points=60</stp>
        <stp>Sort=R</stp>
        <stp>Days=A</stp>
        <stp>Fill=B</stp>
        <stp>FX=USD</stp>
        <tr r="F1148" s="3"/>
      </tp>
      <tp t="s">
        <v>#N/A Connection</v>
        <stp/>
        <stp>##V3_BDHV12</stp>
        <stp>SVAV RM Equity</stp>
        <stp>RR477</stp>
        <stp>-60CQ</stp>
        <stp>3/31/2019</stp>
        <stp>[BI_AUTMG_1_3wwqb2a2.xlsx]ReferenceData!R1108C6</stp>
        <stp>Per=CQ</stp>
        <stp>Dts=H</stp>
        <stp>Dir=H</stp>
        <stp>Points=60</stp>
        <stp>Sort=R</stp>
        <stp>Days=A</stp>
        <stp>Fill=B</stp>
        <stp>FX=USD</stp>
        <tr r="F1108" s="3"/>
      </tp>
      <tp t="s">
        <v>#N/A Connection</v>
        <stp/>
        <stp>##V3_BDHV12</stp>
        <stp>SVAV RM Equity</stp>
        <stp>RX076</stp>
        <stp>-60CQ</stp>
        <stp>3/31/2019</stp>
        <stp>[BI_AUTMG_1_3wwqb2a2.xlsx]ReferenceData!R1228C6</stp>
        <stp>Per=CQ</stp>
        <stp>Dts=H</stp>
        <stp>Dir=H</stp>
        <stp>Points=60</stp>
        <stp>Sort=R</stp>
        <stp>Days=A</stp>
        <stp>Fill=B</stp>
        <stp>FX=USD</stp>
        <tr r="F1228" s="3"/>
      </tp>
      <tp t="s">
        <v>#N/A Connection</v>
        <stp/>
        <stp>##V3_BDHV12</stp>
        <stp>AVAZ RM Equity</stp>
        <stp>RR476</stp>
        <stp>-60CQ</stp>
        <stp>3/31/2019</stp>
        <stp>[BI_AUTMG_1_3wwqb2a2.xlsx]ReferenceData!R1120C6</stp>
        <stp>Per=CQ</stp>
        <stp>Dts=H</stp>
        <stp>Dir=H</stp>
        <stp>Points=60</stp>
        <stp>Sort=R</stp>
        <stp>Days=A</stp>
        <stp>Fill=B</stp>
        <stp>FX=USD</stp>
        <tr r="F1120" s="3"/>
      </tp>
      <tp t="s">
        <v>#N/A Connection</v>
        <stp/>
        <stp>##V3_BDHV12</stp>
        <stp>AVAZ RM Equity</stp>
        <stp>RR477</stp>
        <stp>-60CQ</stp>
        <stp>3/31/2019</stp>
        <stp>[BI_AUTMG_1_3wwqb2a2.xlsx]ReferenceData!R1080C6</stp>
        <stp>Per=CQ</stp>
        <stp>Dts=H</stp>
        <stp>Dir=H</stp>
        <stp>Points=60</stp>
        <stp>Sort=R</stp>
        <stp>Days=A</stp>
        <stp>Fill=B</stp>
        <stp>FX=USD</stp>
        <tr r="F1080" s="3"/>
      </tp>
      <tp t="s">
        <v>#N/A Connection</v>
        <stp/>
        <stp>##V3_BDHV12</stp>
        <stp>AVAZ RM Equity</stp>
        <stp>RX076</stp>
        <stp>-60CQ</stp>
        <stp>3/31/2019</stp>
        <stp>[BI_AUTMG_1_3wwqb2a2.xlsx]ReferenceData!R1200C6</stp>
        <stp>Per=CQ</stp>
        <stp>Dts=H</stp>
        <stp>Dir=H</stp>
        <stp>Points=60</stp>
        <stp>Sort=R</stp>
        <stp>Days=A</stp>
        <stp>Fill=B</stp>
        <stp>FX=USD</stp>
        <tr r="F1200" s="3"/>
      </tp>
      <tp t="s">
        <v>#N/A Connection</v>
        <stp/>
        <stp>##V3_BDHV12</stp>
        <stp>AVAZ RM Equity</stp>
        <stp>RR473</stp>
        <stp>-60CQ</stp>
        <stp>3/31/2019</stp>
        <stp>[BI_AUTMG_1_3wwqb2a2.xlsx]ReferenceData!R1000C6</stp>
        <stp>Per=CQ</stp>
        <stp>Dts=H</stp>
        <stp>Dir=H</stp>
        <stp>Points=60</stp>
        <stp>Sort=R</stp>
        <stp>Days=A</stp>
        <stp>Fill=B</stp>
        <stp>FX=USD</stp>
        <tr r="F1000" s="3"/>
      </tp>
      <tp t="s">
        <v>#N/A Connection</v>
        <stp/>
        <stp>##V3_BDHV12</stp>
        <stp>AVAZ RM Equity</stp>
        <stp>RX072</stp>
        <stp>-60CQ</stp>
        <stp>3/31/2019</stp>
        <stp>[BI_AUTMG_1_3wwqb2a2.xlsx]ReferenceData!R1240C6</stp>
        <stp>Per=CQ</stp>
        <stp>Dts=H</stp>
        <stp>Dir=H</stp>
        <stp>Points=60</stp>
        <stp>Sort=R</stp>
        <stp>Days=A</stp>
        <stp>Fill=B</stp>
        <stp>FX=USD</stp>
        <tr r="F1240" s="3"/>
      </tp>
      <tp t="s">
        <v>#N/A Connection</v>
        <stp/>
        <stp>##V3_BDHV12</stp>
        <stp>SVAV RM Equity</stp>
        <stp>DV013</stp>
        <stp>-60CQ</stp>
        <stp>3/31/2019</stp>
        <stp>[BI_AUTMG_1_3wwqb2a2.xlsx]ReferenceData!R1188C6</stp>
        <stp>Per=CQ</stp>
        <stp>Dts=H</stp>
        <stp>Dir=H</stp>
        <stp>Points=60</stp>
        <stp>Sort=R</stp>
        <stp>Days=A</stp>
        <stp>Fill=B</stp>
        <stp>FX=USD</stp>
        <tr r="F1188" s="3"/>
      </tp>
      <tp t="s">
        <v>#N/A Connection</v>
        <stp/>
        <stp>##V3_BDHV12</stp>
        <stp>AVAZ RM Equity</stp>
        <stp>DV013</stp>
        <stp>-60CQ</stp>
        <stp>3/31/2019</stp>
        <stp>[BI_AUTMG_1_3wwqb2a2.xlsx]ReferenceData!R1160C6</stp>
        <stp>Per=CQ</stp>
        <stp>Dts=H</stp>
        <stp>Dir=H</stp>
        <stp>Points=60</stp>
        <stp>Sort=R</stp>
        <stp>Days=A</stp>
        <stp>Fill=B</stp>
        <stp>FX=USD</stp>
        <tr r="F1160" s="3"/>
      </tp>
      <tp t="s">
        <v>#N/A Connection</v>
        <stp/>
        <stp>##V3_BDHV12</stp>
        <stp>2206 TT Equity</stp>
        <stp>RR474</stp>
        <stp>-60CQ</stp>
        <stp>3/31/2019</stp>
        <stp>[BI_AUTMG_1_3wwqb2a2.xlsx]ReferenceData!R987C6</stp>
        <stp>Per=CQ</stp>
        <stp>Dts=H</stp>
        <stp>Dir=H</stp>
        <stp>Points=60</stp>
        <stp>Sort=R</stp>
        <stp>Days=A</stp>
        <stp>Fill=B</stp>
        <stp>FX=USD</stp>
        <tr r="F987" s="3"/>
      </tp>
      <tp t="s">
        <v>#N/A Connection</v>
        <stp/>
        <stp>##V3_BDHV12</stp>
        <stp>2201 TT Equity</stp>
        <stp>RR474</stp>
        <stp>-60CQ</stp>
        <stp>3/31/2019</stp>
        <stp>[BI_AUTMG_1_3wwqb2a2.xlsx]ReferenceData!R998C6</stp>
        <stp>Per=CQ</stp>
        <stp>Dts=H</stp>
        <stp>Dir=H</stp>
        <stp>Points=60</stp>
        <stp>Sort=R</stp>
        <stp>Days=A</stp>
        <stp>Fill=B</stp>
        <stp>FX=USD</stp>
        <tr r="F998" s="3"/>
      </tp>
      <tp t="s">
        <v>#N/A Connection</v>
        <stp/>
        <stp>##V3_BDHV12</stp>
        <stp>175 HK Equity</stp>
        <stp>RR903</stp>
        <stp>-60CQ</stp>
        <stp>3/31/2019</stp>
        <stp>[BI_AUTMG_1_3wwqb2a2.xlsx]ReferenceData!R814C6</stp>
        <stp>Per=CQ</stp>
        <stp>Dts=H</stp>
        <stp>Dir=H</stp>
        <stp>Points=60</stp>
        <stp>Sort=R</stp>
        <stp>Days=A</stp>
        <stp>Fill=B</stp>
        <stp>FX=USD</stp>
        <tr r="F814" s="3"/>
      </tp>
      <tp t="s">
        <v>#N/A Connection</v>
        <stp/>
        <stp>##V3_BDHV12</stp>
        <stp>175 HK Equity</stp>
        <stp>RR904</stp>
        <stp>-60CQ</stp>
        <stp>3/31/2019</stp>
        <stp>[BI_AUTMG_1_3wwqb2a2.xlsx]ReferenceData!R934C6</stp>
        <stp>Per=CQ</stp>
        <stp>Dts=H</stp>
        <stp>Dir=H</stp>
        <stp>Points=60</stp>
        <stp>Sort=R</stp>
        <stp>Days=A</stp>
        <stp>Fill=B</stp>
        <stp>FX=USD</stp>
        <tr r="F934" s="3"/>
      </tp>
      <tp t="s">
        <v>#N/A Connection</v>
        <stp/>
        <stp>##V3_BDHV12</stp>
        <stp>175 HK Equity</stp>
        <stp>RR971</stp>
        <stp>-60CQ</stp>
        <stp>3/31/2019</stp>
        <stp>[BI_AUTMG_1_3wwqb2a2.xlsx]ReferenceData!R894C6</stp>
        <stp>Per=CQ</stp>
        <stp>Dts=H</stp>
        <stp>Dir=H</stp>
        <stp>Points=60</stp>
        <stp>Sort=R</stp>
        <stp>Days=A</stp>
        <stp>Fill=B</stp>
        <stp>FX=USD</stp>
        <tr r="F894" s="3"/>
      </tp>
      <tp t="s">
        <v>#N/A Connection</v>
        <stp/>
        <stp>##V3_BDHV12</stp>
        <stp>175 HK Equity</stp>
        <stp>RR900</stp>
        <stp>-60CQ</stp>
        <stp>3/31/2019</stp>
        <stp>[BI_AUTMG_1_3wwqb2a2.xlsx]ReferenceData!R694C6</stp>
        <stp>Per=CQ</stp>
        <stp>Dts=H</stp>
        <stp>Dir=H</stp>
        <stp>Points=60</stp>
        <stp>Sort=R</stp>
        <stp>Days=A</stp>
        <stp>Fill=B</stp>
        <stp>FX=USD</stp>
        <tr r="F694" s="3"/>
      </tp>
      <tp t="s">
        <v>#N/A Connection</v>
        <stp/>
        <stp>##V3_BDHV12</stp>
        <stp>000927 CH Equity</stp>
        <stp>RR480</stp>
        <stp>-60CQ</stp>
        <stp>3/31/2019</stp>
        <stp>[BI_AUTMG_1_3wwqb2a2.xlsx]ReferenceData!R1074C6</stp>
        <stp>Per=CQ</stp>
        <stp>Dts=H</stp>
        <stp>Dir=H</stp>
        <stp>Points=60</stp>
        <stp>Sort=R</stp>
        <stp>Days=A</stp>
        <stp>Fill=B</stp>
        <stp>FX=USD</stp>
        <tr r="F1074" s="3"/>
      </tp>
      <tp t="s">
        <v>#N/A Connection</v>
        <stp/>
        <stp>##V3_BDHV12</stp>
        <stp>AVAZ RM Equity</stp>
        <stp>RX539</stp>
        <stp>-60CQ</stp>
        <stp>3/31/2019</stp>
        <stp>[BI_AUTMG_1_3wwqb2a2.xlsx]ReferenceData!R1280C6</stp>
        <stp>Per=CQ</stp>
        <stp>Dts=H</stp>
        <stp>Dir=H</stp>
        <stp>Points=60</stp>
        <stp>Sort=R</stp>
        <stp>Days=A</stp>
        <stp>Fill=B</stp>
        <stp>FX=USD</stp>
        <tr r="F1280" s="3"/>
      </tp>
      <tp t="s">
        <v>#N/A Connection</v>
        <stp/>
        <stp>##V3_BDHV12</stp>
        <stp>SVAV RM Equity</stp>
        <stp>RX539</stp>
        <stp>-60CQ</stp>
        <stp>3/31/2019</stp>
        <stp>[BI_AUTMG_1_3wwqb2a2.xlsx]ReferenceData!R1308C6</stp>
        <stp>Per=CQ</stp>
        <stp>Dts=H</stp>
        <stp>Dir=H</stp>
        <stp>Points=60</stp>
        <stp>Sort=R</stp>
        <stp>Days=A</stp>
        <stp>Fill=B</stp>
        <stp>FX=USD</stp>
        <tr r="F1308" s="3"/>
      </tp>
      <tp t="s">
        <v>#N/A Connection</v>
        <stp/>
        <stp>##V3_BDHV12</stp>
        <stp>200625 CH Equity</stp>
        <stp>RR480</stp>
        <stp>-60CQ</stp>
        <stp>3/31/2019</stp>
        <stp>[BI_AUTMG_1_3wwqb2a2.xlsx]ReferenceData!R1044C6</stp>
        <stp>Per=CQ</stp>
        <stp>Dts=H</stp>
        <stp>Dir=H</stp>
        <stp>Points=60</stp>
        <stp>Sort=R</stp>
        <stp>Days=A</stp>
        <stp>Fill=B</stp>
        <stp>FX=USD</stp>
        <tr r="F1044" s="3"/>
      </tp>
      <tp t="s">
        <v>#N/A Connection</v>
        <stp/>
        <stp>##V3_BDHV12</stp>
        <stp>000800 CH Equity</stp>
        <stp>RR480</stp>
        <stp>-60CQ</stp>
        <stp>3/31/2019</stp>
        <stp>[BI_AUTMG_1_3wwqb2a2.xlsx]ReferenceData!R1049C6</stp>
        <stp>Per=CQ</stp>
        <stp>Dts=H</stp>
        <stp>Dir=H</stp>
        <stp>Points=60</stp>
        <stp>Sort=R</stp>
        <stp>Days=A</stp>
        <stp>Fill=B</stp>
        <stp>FX=USD</stp>
        <tr r="F1049" s="3"/>
      </tp>
      <tp t="s">
        <v>#N/A Connection</v>
        <stp/>
        <stp>##V3_BDHV12</stp>
        <stp>2201 TT Equity</stp>
        <stp>RR971</stp>
        <stp>-60CQ</stp>
        <stp>3/31/2019</stp>
        <stp>[BI_AUTMG_1_3wwqb2a2.xlsx]ReferenceData!R918C6</stp>
        <stp>Per=CQ</stp>
        <stp>Dts=H</stp>
        <stp>Dir=H</stp>
        <stp>Points=60</stp>
        <stp>Sort=R</stp>
        <stp>Days=A</stp>
        <stp>Fill=B</stp>
        <stp>FX=USD</stp>
        <tr r="F918" s="3"/>
      </tp>
      <tp t="s">
        <v>#N/A Connection</v>
        <stp/>
        <stp>##V3_BDHV12</stp>
        <stp>2206 TT Equity</stp>
        <stp>RR971</stp>
        <stp>-60CQ</stp>
        <stp>3/31/2019</stp>
        <stp>[BI_AUTMG_1_3wwqb2a2.xlsx]ReferenceData!R907C6</stp>
        <stp>Per=CQ</stp>
        <stp>Dts=H</stp>
        <stp>Dir=H</stp>
        <stp>Points=60</stp>
        <stp>Sort=R</stp>
        <stp>Days=A</stp>
        <stp>Fill=B</stp>
        <stp>FX=USD</stp>
        <tr r="F907" s="3"/>
      </tp>
      <tp t="s">
        <v>#N/A Connection</v>
        <stp/>
        <stp>##V3_BDHV12</stp>
        <stp>2201 TT Equity</stp>
        <stp>RR903</stp>
        <stp>-60CQ</stp>
        <stp>3/31/2019</stp>
        <stp>[BI_AUTMG_1_3wwqb2a2.xlsx]ReferenceData!R838C6</stp>
        <stp>Per=CQ</stp>
        <stp>Dts=H</stp>
        <stp>Dir=H</stp>
        <stp>Points=60</stp>
        <stp>Sort=R</stp>
        <stp>Days=A</stp>
        <stp>Fill=B</stp>
        <stp>FX=USD</stp>
        <tr r="F838" s="3"/>
      </tp>
      <tp t="s">
        <v>#N/A Connection</v>
        <stp/>
        <stp>##V3_BDHV12</stp>
        <stp>2206 TT Equity</stp>
        <stp>RR903</stp>
        <stp>-60CQ</stp>
        <stp>3/31/2019</stp>
        <stp>[BI_AUTMG_1_3wwqb2a2.xlsx]ReferenceData!R827C6</stp>
        <stp>Per=CQ</stp>
        <stp>Dts=H</stp>
        <stp>Dir=H</stp>
        <stp>Points=60</stp>
        <stp>Sort=R</stp>
        <stp>Days=A</stp>
        <stp>Fill=B</stp>
        <stp>FX=USD</stp>
        <tr r="F827" s="3"/>
      </tp>
      <tp t="s">
        <v>#N/A Connection</v>
        <stp/>
        <stp>##V3_BDHV12</stp>
        <stp>2201 TT Equity</stp>
        <stp>RR904</stp>
        <stp>-60CQ</stp>
        <stp>3/31/2019</stp>
        <stp>[BI_AUTMG_1_3wwqb2a2.xlsx]ReferenceData!R958C6</stp>
        <stp>Per=CQ</stp>
        <stp>Dts=H</stp>
        <stp>Dir=H</stp>
        <stp>Points=60</stp>
        <stp>Sort=R</stp>
        <stp>Days=A</stp>
        <stp>Fill=B</stp>
        <stp>FX=USD</stp>
        <tr r="F958" s="3"/>
      </tp>
      <tp t="s">
        <v>#N/A Connection</v>
        <stp/>
        <stp>##V3_BDHV12</stp>
        <stp>2206 TT Equity</stp>
        <stp>RR904</stp>
        <stp>-60CQ</stp>
        <stp>3/31/2019</stp>
        <stp>[BI_AUTMG_1_3wwqb2a2.xlsx]ReferenceData!R947C6</stp>
        <stp>Per=CQ</stp>
        <stp>Dts=H</stp>
        <stp>Dir=H</stp>
        <stp>Points=60</stp>
        <stp>Sort=R</stp>
        <stp>Days=A</stp>
        <stp>Fill=B</stp>
        <stp>FX=USD</stp>
        <tr r="F947" s="3"/>
      </tp>
      <tp t="s">
        <v>#N/A Connection</v>
        <stp/>
        <stp>##V3_BDHV12</stp>
        <stp>2201 TT Equity</stp>
        <stp>RR900</stp>
        <stp>-60CQ</stp>
        <stp>3/31/2019</stp>
        <stp>[BI_AUTMG_1_3wwqb2a2.xlsx]ReferenceData!R718C6</stp>
        <stp>Per=CQ</stp>
        <stp>Dts=H</stp>
        <stp>Dir=H</stp>
        <stp>Points=60</stp>
        <stp>Sort=R</stp>
        <stp>Days=A</stp>
        <stp>Fill=B</stp>
        <stp>FX=USD</stp>
        <tr r="F718" s="3"/>
      </tp>
      <tp t="s">
        <v>#N/A Connection</v>
        <stp/>
        <stp>##V3_BDHV12</stp>
        <stp>2206 TT Equity</stp>
        <stp>RR900</stp>
        <stp>-60CQ</stp>
        <stp>3/31/2019</stp>
        <stp>[BI_AUTMG_1_3wwqb2a2.xlsx]ReferenceData!R707C6</stp>
        <stp>Per=CQ</stp>
        <stp>Dts=H</stp>
        <stp>Dir=H</stp>
        <stp>Points=60</stp>
        <stp>Sort=R</stp>
        <stp>Days=A</stp>
        <stp>Fill=B</stp>
        <stp>FX=USD</stp>
        <tr r="F707" s="3"/>
      </tp>
      <tp t="s">
        <v>#N/A Connection</v>
        <stp/>
        <stp>##V3_BDHV12</stp>
        <stp>175 HK Equity</stp>
        <stp>RR474</stp>
        <stp>-60CQ</stp>
        <stp>3/31/2019</stp>
        <stp>[BI_AUTMG_1_3wwqb2a2.xlsx]ReferenceData!R974C6</stp>
        <stp>Per=CQ</stp>
        <stp>Dts=H</stp>
        <stp>Dir=H</stp>
        <stp>Points=60</stp>
        <stp>Sort=R</stp>
        <stp>Days=A</stp>
        <stp>Fill=B</stp>
        <stp>FX=USD</stp>
        <tr r="F974" s="3"/>
      </tp>
      <tp t="s">
        <v>#N/A Connection</v>
        <stp/>
        <stp>##V3_BDHV12</stp>
        <stp>600104 CH Equity</stp>
        <stp>DV013</stp>
        <stp>-60CQ</stp>
        <stp>3/31/2019</stp>
        <stp>[BI_AUTMG_1_3wwqb2a2.xlsx]ReferenceData!R1186C6</stp>
        <stp>Per=CQ</stp>
        <stp>Dts=H</stp>
        <stp>Dir=H</stp>
        <stp>Points=60</stp>
        <stp>Sort=R</stp>
        <stp>Days=A</stp>
        <stp>Fill=B</stp>
        <stp>FX=USD</stp>
        <tr r="F1186" s="3"/>
      </tp>
      <tp t="s">
        <v>#N/A Connection</v>
        <stp/>
        <stp>##V3_BDHV12</stp>
        <stp>000800 CH Equity</stp>
        <stp>RR477</stp>
        <stp>-60CQ</stp>
        <stp>3/31/2019</stp>
        <stp>[BI_AUTMG_1_3wwqb2a2.xlsx]ReferenceData!R1089C6</stp>
        <stp>Per=CQ</stp>
        <stp>Dts=H</stp>
        <stp>Dir=H</stp>
        <stp>Points=60</stp>
        <stp>Sort=R</stp>
        <stp>Days=A</stp>
        <stp>Fill=B</stp>
        <stp>FX=USD</stp>
        <tr r="F1089" s="3"/>
      </tp>
      <tp t="s">
        <v>#N/A Connection</v>
        <stp/>
        <stp>##V3_BDHV12</stp>
        <stp>000800 CH Equity</stp>
        <stp>RR476</stp>
        <stp>-60CQ</stp>
        <stp>3/31/2019</stp>
        <stp>[BI_AUTMG_1_3wwqb2a2.xlsx]ReferenceData!R1129C6</stp>
        <stp>Per=CQ</stp>
        <stp>Dts=H</stp>
        <stp>Dir=H</stp>
        <stp>Points=60</stp>
        <stp>Sort=R</stp>
        <stp>Days=A</stp>
        <stp>Fill=B</stp>
        <stp>FX=USD</stp>
        <tr r="F1129" s="3"/>
      </tp>
      <tp t="s">
        <v>#N/A Connection</v>
        <stp/>
        <stp>##V3_BDHV12</stp>
        <stp>200625 CH Equity</stp>
        <stp>RR473</stp>
        <stp>-60CQ</stp>
        <stp>3/31/2019</stp>
        <stp>[BI_AUTMG_1_3wwqb2a2.xlsx]ReferenceData!R1004C6</stp>
        <stp>Per=CQ</stp>
        <stp>Dts=H</stp>
        <stp>Dir=H</stp>
        <stp>Points=60</stp>
        <stp>Sort=R</stp>
        <stp>Days=A</stp>
        <stp>Fill=B</stp>
        <stp>FX=USD</stp>
        <tr r="F1004" s="3"/>
      </tp>
      <tp t="s">
        <v>#N/A Connection</v>
        <stp/>
        <stp>##V3_BDHV12</stp>
        <stp>200625 CH Equity</stp>
        <stp>RX072</stp>
        <stp>-60CQ</stp>
        <stp>3/31/2019</stp>
        <stp>[BI_AUTMG_1_3wwqb2a2.xlsx]ReferenceData!R1244C6</stp>
        <stp>Per=CQ</stp>
        <stp>Dts=H</stp>
        <stp>Dir=H</stp>
        <stp>Points=60</stp>
        <stp>Sort=R</stp>
        <stp>Days=A</stp>
        <stp>Fill=B</stp>
        <stp>FX=USD</stp>
        <tr r="F1244" s="3"/>
      </tp>
      <tp t="s">
        <v>#N/A Connection</v>
        <stp/>
        <stp>##V3_BDHV12</stp>
        <stp>000800 CH Equity</stp>
        <stp>RX076</stp>
        <stp>-60CQ</stp>
        <stp>3/31/2019</stp>
        <stp>[BI_AUTMG_1_3wwqb2a2.xlsx]ReferenceData!R1209C6</stp>
        <stp>Per=CQ</stp>
        <stp>Dts=H</stp>
        <stp>Dir=H</stp>
        <stp>Points=60</stp>
        <stp>Sort=R</stp>
        <stp>Days=A</stp>
        <stp>Fill=B</stp>
        <stp>FX=USD</stp>
        <tr r="F1209" s="3"/>
      </tp>
      <tp t="s">
        <v>#N/A Connection</v>
        <stp/>
        <stp>##V3_BDHV12</stp>
        <stp>000800 CH Equity</stp>
        <stp>RR473</stp>
        <stp>-60CQ</stp>
        <stp>3/31/2019</stp>
        <stp>[BI_AUTMG_1_3wwqb2a2.xlsx]ReferenceData!R1009C6</stp>
        <stp>Per=CQ</stp>
        <stp>Dts=H</stp>
        <stp>Dir=H</stp>
        <stp>Points=60</stp>
        <stp>Sort=R</stp>
        <stp>Days=A</stp>
        <stp>Fill=B</stp>
        <stp>FX=USD</stp>
        <tr r="F1009" s="3"/>
      </tp>
      <tp t="s">
        <v>#N/A Connection</v>
        <stp/>
        <stp>##V3_BDHV12</stp>
        <stp>200625 CH Equity</stp>
        <stp>RR477</stp>
        <stp>-60CQ</stp>
        <stp>3/31/2019</stp>
        <stp>[BI_AUTMG_1_3wwqb2a2.xlsx]ReferenceData!R1084C6</stp>
        <stp>Per=CQ</stp>
        <stp>Dts=H</stp>
        <stp>Dir=H</stp>
        <stp>Points=60</stp>
        <stp>Sort=R</stp>
        <stp>Days=A</stp>
        <stp>Fill=B</stp>
        <stp>FX=USD</stp>
        <tr r="F1084" s="3"/>
      </tp>
      <tp t="s">
        <v>#N/A Connection</v>
        <stp/>
        <stp>##V3_BDHV12</stp>
        <stp>200625 CH Equity</stp>
        <stp>RR476</stp>
        <stp>-60CQ</stp>
        <stp>3/31/2019</stp>
        <stp>[BI_AUTMG_1_3wwqb2a2.xlsx]ReferenceData!R1124C6</stp>
        <stp>Per=CQ</stp>
        <stp>Dts=H</stp>
        <stp>Dir=H</stp>
        <stp>Points=60</stp>
        <stp>Sort=R</stp>
        <stp>Days=A</stp>
        <stp>Fill=B</stp>
        <stp>FX=USD</stp>
        <tr r="F1124" s="3"/>
      </tp>
      <tp t="s">
        <v>#N/A Connection</v>
        <stp/>
        <stp>##V3_BDHV12</stp>
        <stp>200625 CH Equity</stp>
        <stp>RX076</stp>
        <stp>-60CQ</stp>
        <stp>3/31/2019</stp>
        <stp>[BI_AUTMG_1_3wwqb2a2.xlsx]ReferenceData!R1204C6</stp>
        <stp>Per=CQ</stp>
        <stp>Dts=H</stp>
        <stp>Dir=H</stp>
        <stp>Points=60</stp>
        <stp>Sort=R</stp>
        <stp>Days=A</stp>
        <stp>Fill=B</stp>
        <stp>FX=USD</stp>
        <tr r="F1204" s="3"/>
      </tp>
      <tp t="s">
        <v>#N/A Connection</v>
        <stp/>
        <stp>##V3_BDHV12</stp>
        <stp>000800 CH Equity</stp>
        <stp>RX072</stp>
        <stp>-60CQ</stp>
        <stp>3/31/2019</stp>
        <stp>[BI_AUTMG_1_3wwqb2a2.xlsx]ReferenceData!R1249C6</stp>
        <stp>Per=CQ</stp>
        <stp>Dts=H</stp>
        <stp>Dir=H</stp>
        <stp>Points=60</stp>
        <stp>Sort=R</stp>
        <stp>Days=A</stp>
        <stp>Fill=B</stp>
        <stp>FX=USD</stp>
        <tr r="F1249" s="3"/>
      </tp>
      <tp t="s">
        <v>#N/A Connection</v>
        <stp/>
        <stp>##V3_BDHV12</stp>
        <stp>489 HK Equity</stp>
        <stp>EZ009</stp>
        <stp>-60CQ</stp>
        <stp>3/31/2019</stp>
        <stp>[BI_AUTMG_1_3wwqb2a2.xlsx]ReferenceData!R727C6</stp>
        <stp>Per=CQ</stp>
        <stp>Dts=H</stp>
        <stp>Dir=H</stp>
        <stp>Points=60</stp>
        <stp>Sort=R</stp>
        <stp>Days=A</stp>
        <stp>Fill=B</stp>
        <stp>FX=USD</stp>
        <tr r="F727" s="3"/>
      </tp>
      <tp t="s">
        <v>#N/A Connection</v>
        <stp/>
        <stp>##V3_BDHV12</stp>
        <stp>489 HK Equity</stp>
        <stp>EZ010</stp>
        <stp>-60CQ</stp>
        <stp>3/31/2019</stp>
        <stp>[BI_AUTMG_1_3wwqb2a2.xlsx]ReferenceData!R767C6</stp>
        <stp>Per=CQ</stp>
        <stp>Dts=H</stp>
        <stp>Dir=H</stp>
        <stp>Points=60</stp>
        <stp>Sort=R</stp>
        <stp>Days=A</stp>
        <stp>Fill=B</stp>
        <stp>FX=USD</stp>
        <tr r="F767" s="3"/>
      </tp>
      <tp t="s">
        <v>#N/A Connection</v>
        <stp/>
        <stp>##V3_BDHV12</stp>
        <stp>489 HK Equity</stp>
        <stp>RX077</stp>
        <stp>-60CQ</stp>
        <stp>3/31/2019</stp>
        <stp>[BI_AUTMG_1_3wwqb2a2.xlsx]ReferenceData!R847C6</stp>
        <stp>Per=CQ</stp>
        <stp>Dts=H</stp>
        <stp>Dir=H</stp>
        <stp>Points=60</stp>
        <stp>Sort=R</stp>
        <stp>Days=A</stp>
        <stp>Fill=B</stp>
        <stp>FX=USD</stp>
        <tr r="F847" s="3"/>
      </tp>
      <tp t="s">
        <v>#N/A Connection</v>
        <stp/>
        <stp>##V3_BDHV12</stp>
        <stp>TTMT IN Equity</stp>
        <stp>RX539</stp>
        <stp>-60CQ</stp>
        <stp>3/31/2019</stp>
        <stp>[BI_AUTMG_1_3wwqb2a2.xlsx]ReferenceData!R1312C6</stp>
        <stp>Per=CQ</stp>
        <stp>Dts=H</stp>
        <stp>Dir=H</stp>
        <stp>Points=60</stp>
        <stp>Sort=R</stp>
        <stp>Days=A</stp>
        <stp>Fill=B</stp>
        <stp>FX=USD</stp>
        <tr r="F1312" s="3"/>
      </tp>
      <tp t="s">
        <v>#N/A Connection</v>
        <stp/>
        <stp>##V3_BDHV12</stp>
        <stp>600104 CH Equity</stp>
        <stp>RX539</stp>
        <stp>-60CQ</stp>
        <stp>3/31/2019</stp>
        <stp>[BI_AUTMG_1_3wwqb2a2.xlsx]ReferenceData!R1306C6</stp>
        <stp>Per=CQ</stp>
        <stp>Dts=H</stp>
        <stp>Dir=H</stp>
        <stp>Points=60</stp>
        <stp>Sort=R</stp>
        <stp>Days=A</stp>
        <stp>Fill=B</stp>
        <stp>FX=USD</stp>
        <tr r="F1306" s="3"/>
      </tp>
      <tp t="s">
        <v>#N/A Connection</v>
        <stp/>
        <stp>##V3_BDHV12</stp>
        <stp>000927 CH Equity</stp>
        <stp>RX072</stp>
        <stp>-60CQ</stp>
        <stp>3/31/2019</stp>
        <stp>[BI_AUTMG_1_3wwqb2a2.xlsx]ReferenceData!R1274C6</stp>
        <stp>Per=CQ</stp>
        <stp>Dts=H</stp>
        <stp>Dir=H</stp>
        <stp>Points=60</stp>
        <stp>Sort=R</stp>
        <stp>Days=A</stp>
        <stp>Fill=B</stp>
        <stp>FX=USD</stp>
        <tr r="F1274" s="3"/>
      </tp>
      <tp t="s">
        <v>#N/A Connection</v>
        <stp/>
        <stp>##V3_BDHV12</stp>
        <stp>000927 CH Equity</stp>
        <stp>RR473</stp>
        <stp>-60CQ</stp>
        <stp>3/31/2019</stp>
        <stp>[BI_AUTMG_1_3wwqb2a2.xlsx]ReferenceData!R1034C6</stp>
        <stp>Per=CQ</stp>
        <stp>Dts=H</stp>
        <stp>Dir=H</stp>
        <stp>Points=60</stp>
        <stp>Sort=R</stp>
        <stp>Days=A</stp>
        <stp>Fill=B</stp>
        <stp>FX=USD</stp>
        <tr r="F1034" s="3"/>
      </tp>
      <tp t="s">
        <v>#N/A Connection</v>
        <stp/>
        <stp>##V3_BDHV12</stp>
        <stp>000927 CH Equity</stp>
        <stp>RX076</stp>
        <stp>-60CQ</stp>
        <stp>3/31/2019</stp>
        <stp>[BI_AUTMG_1_3wwqb2a2.xlsx]ReferenceData!R1234C6</stp>
        <stp>Per=CQ</stp>
        <stp>Dts=H</stp>
        <stp>Dir=H</stp>
        <stp>Points=60</stp>
        <stp>Sort=R</stp>
        <stp>Days=A</stp>
        <stp>Fill=B</stp>
        <stp>FX=USD</stp>
        <tr r="F1234" s="3"/>
      </tp>
      <tp t="s">
        <v>#N/A Connection</v>
        <stp/>
        <stp>##V3_BDHV12</stp>
        <stp>000927 CH Equity</stp>
        <stp>RR477</stp>
        <stp>-60CQ</stp>
        <stp>3/31/2019</stp>
        <stp>[BI_AUTMG_1_3wwqb2a2.xlsx]ReferenceData!R1114C6</stp>
        <stp>Per=CQ</stp>
        <stp>Dts=H</stp>
        <stp>Dir=H</stp>
        <stp>Points=60</stp>
        <stp>Sort=R</stp>
        <stp>Days=A</stp>
        <stp>Fill=B</stp>
        <stp>FX=USD</stp>
        <tr r="F1114" s="3"/>
      </tp>
      <tp t="s">
        <v>#N/A Connection</v>
        <stp/>
        <stp>##V3_BDHV12</stp>
        <stp>000927 CH Equity</stp>
        <stp>RR476</stp>
        <stp>-60CQ</stp>
        <stp>3/31/2019</stp>
        <stp>[BI_AUTMG_1_3wwqb2a2.xlsx]ReferenceData!R1154C6</stp>
        <stp>Per=CQ</stp>
        <stp>Dts=H</stp>
        <stp>Dir=H</stp>
        <stp>Points=60</stp>
        <stp>Sort=R</stp>
        <stp>Days=A</stp>
        <stp>Fill=B</stp>
        <stp>FX=USD</stp>
        <tr r="F1154" s="3"/>
      </tp>
      <tp t="s">
        <v>#N/A Connection</v>
        <stp/>
        <stp>##V3_BDHV12</stp>
        <stp>TTMT IN Equity</stp>
        <stp>DV013</stp>
        <stp>-60CQ</stp>
        <stp>3/31/2019</stp>
        <stp>[BI_AUTMG_1_3wwqb2a2.xlsx]ReferenceData!R1192C6</stp>
        <stp>Per=CQ</stp>
        <stp>Dts=H</stp>
        <stp>Dir=H</stp>
        <stp>Points=60</stp>
        <stp>Sort=R</stp>
        <stp>Days=A</stp>
        <stp>Fill=B</stp>
        <stp>FX=USD</stp>
        <tr r="F1192" s="3"/>
      </tp>
      <tp t="s">
        <v>#N/A Connection</v>
        <stp/>
        <stp>##V3_BDHV12</stp>
        <stp>175 HK Equity</stp>
        <stp>RX077</stp>
        <stp>-60CQ</stp>
        <stp>3/31/2019</stp>
        <stp>[BI_AUTMG_1_3wwqb2a2.xlsx]ReferenceData!R854C6</stp>
        <stp>Per=CQ</stp>
        <stp>Dts=H</stp>
        <stp>Dir=H</stp>
        <stp>Points=60</stp>
        <stp>Sort=R</stp>
        <stp>Days=A</stp>
        <stp>Fill=B</stp>
        <stp>FX=USD</stp>
        <tr r="F854" s="3"/>
      </tp>
      <tp t="s">
        <v>#N/A Connection</v>
        <stp/>
        <stp>##V3_BDHV12</stp>
        <stp>000927 CH Equity</stp>
        <stp>DV013</stp>
        <stp>-60CQ</stp>
        <stp>3/31/2019</stp>
        <stp>[BI_AUTMG_1_3wwqb2a2.xlsx]ReferenceData!R1194C6</stp>
        <stp>Per=CQ</stp>
        <stp>Dts=H</stp>
        <stp>Dir=H</stp>
        <stp>Points=60</stp>
        <stp>Sort=R</stp>
        <stp>Days=A</stp>
        <stp>Fill=B</stp>
        <stp>FX=USD</stp>
        <tr r="F1194" s="3"/>
      </tp>
      <tp t="s">
        <v>#N/A Connection</v>
        <stp/>
        <stp>##V3_BDHV12</stp>
        <stp>175 HK Equity</stp>
        <stp>EZ010</stp>
        <stp>-60CQ</stp>
        <stp>3/31/2019</stp>
        <stp>[BI_AUTMG_1_3wwqb2a2.xlsx]ReferenceData!R774C6</stp>
        <stp>Per=CQ</stp>
        <stp>Dts=H</stp>
        <stp>Dir=H</stp>
        <stp>Points=60</stp>
        <stp>Sort=R</stp>
        <stp>Days=A</stp>
        <stp>Fill=B</stp>
        <stp>FX=USD</stp>
        <tr r="F774" s="3"/>
      </tp>
      <tp t="s">
        <v>#N/A Connection</v>
        <stp/>
        <stp>##V3_BDHV12</stp>
        <stp>175 HK Equity</stp>
        <stp>EZ009</stp>
        <stp>-60CQ</stp>
        <stp>3/31/2019</stp>
        <stp>[BI_AUTMG_1_3wwqb2a2.xlsx]ReferenceData!R734C6</stp>
        <stp>Per=CQ</stp>
        <stp>Dts=H</stp>
        <stp>Dir=H</stp>
        <stp>Points=60</stp>
        <stp>Sort=R</stp>
        <stp>Days=A</stp>
        <stp>Fill=B</stp>
        <stp>FX=USD</stp>
        <tr r="F734" s="3"/>
      </tp>
      <tp t="s">
        <v>#N/A Connection</v>
        <stp/>
        <stp>##V3_BDHV12</stp>
        <stp>200625 CH Equity</stp>
        <stp>RX539</stp>
        <stp>-60CQ</stp>
        <stp>3/31/2019</stp>
        <stp>[BI_AUTMG_1_3wwqb2a2.xlsx]ReferenceData!R1284C6</stp>
        <stp>Per=CQ</stp>
        <stp>Dts=H</stp>
        <stp>Dir=H</stp>
        <stp>Points=60</stp>
        <stp>Sort=R</stp>
        <stp>Days=A</stp>
        <stp>Fill=B</stp>
        <stp>FX=USD</stp>
        <tr r="F1284" s="3"/>
      </tp>
      <tp t="s">
        <v>#N/A Connection</v>
        <stp/>
        <stp>##V3_BDHV12</stp>
        <stp>000800 CH Equity</stp>
        <stp>RX539</stp>
        <stp>-60CQ</stp>
        <stp>3/31/2019</stp>
        <stp>[BI_AUTMG_1_3wwqb2a2.xlsx]ReferenceData!R1289C6</stp>
        <stp>Per=CQ</stp>
        <stp>Dts=H</stp>
        <stp>Dir=H</stp>
        <stp>Points=60</stp>
        <stp>Sort=R</stp>
        <stp>Days=A</stp>
        <stp>Fill=B</stp>
        <stp>FX=USD</stp>
        <tr r="F1289" s="3"/>
      </tp>
      <tp t="s">
        <v>#N/A Connection</v>
        <stp/>
        <stp>##V3_BDHV12</stp>
        <stp>489 HK Equity</stp>
        <stp>RR474</stp>
        <stp>-60CQ</stp>
        <stp>3/31/2019</stp>
        <stp>[BI_AUTMG_1_3wwqb2a2.xlsx]ReferenceData!R967C6</stp>
        <stp>Per=CQ</stp>
        <stp>Dts=H</stp>
        <stp>Dir=H</stp>
        <stp>Points=60</stp>
        <stp>Sort=R</stp>
        <stp>Days=A</stp>
        <stp>Fill=B</stp>
        <stp>FX=USD</stp>
        <tr r="F967" s="3"/>
      </tp>
      <tp t="s">
        <v>#N/A Connection</v>
        <stp/>
        <stp>##V3_BDHV12</stp>
        <stp>TTMT IN Equity</stp>
        <stp>RX072</stp>
        <stp>-60CQ</stp>
        <stp>3/31/2019</stp>
        <stp>[BI_AUTMG_1_3wwqb2a2.xlsx]ReferenceData!R1272C6</stp>
        <stp>Per=CQ</stp>
        <stp>Dts=H</stp>
        <stp>Dir=H</stp>
        <stp>Points=60</stp>
        <stp>Sort=R</stp>
        <stp>Days=A</stp>
        <stp>Fill=B</stp>
        <stp>FX=USD</stp>
        <tr r="F1272" s="3"/>
      </tp>
      <tp t="s">
        <v>#N/A Connection</v>
        <stp/>
        <stp>##V3_BDHV12</stp>
        <stp>TTMT IN Equity</stp>
        <stp>RR473</stp>
        <stp>-60CQ</stp>
        <stp>3/31/2019</stp>
        <stp>[BI_AUTMG_1_3wwqb2a2.xlsx]ReferenceData!R1032C6</stp>
        <stp>Per=CQ</stp>
        <stp>Dts=H</stp>
        <stp>Dir=H</stp>
        <stp>Points=60</stp>
        <stp>Sort=R</stp>
        <stp>Days=A</stp>
        <stp>Fill=B</stp>
        <stp>FX=USD</stp>
        <tr r="F1032" s="3"/>
      </tp>
      <tp t="s">
        <v>#N/A Connection</v>
        <stp/>
        <stp>##V3_BDHV12</stp>
        <stp>SVAV RM Equity</stp>
        <stp>RR480</stp>
        <stp>-60CQ</stp>
        <stp>3/31/2019</stp>
        <stp>[BI_AUTMG_1_3wwqb2a2.xlsx]ReferenceData!R1068C6</stp>
        <stp>Per=CQ</stp>
        <stp>Dts=H</stp>
        <stp>Dir=H</stp>
        <stp>Points=60</stp>
        <stp>Sort=R</stp>
        <stp>Days=A</stp>
        <stp>Fill=B</stp>
        <stp>FX=USD</stp>
        <tr r="F1068" s="3"/>
      </tp>
      <tp t="s">
        <v>#N/A Connection</v>
        <stp/>
        <stp>##V3_BDHV12</stp>
        <stp>TTMT IN Equity</stp>
        <stp>RX076</stp>
        <stp>-60CQ</stp>
        <stp>3/31/2019</stp>
        <stp>[BI_AUTMG_1_3wwqb2a2.xlsx]ReferenceData!R1232C6</stp>
        <stp>Per=CQ</stp>
        <stp>Dts=H</stp>
        <stp>Dir=H</stp>
        <stp>Points=60</stp>
        <stp>Sort=R</stp>
        <stp>Days=A</stp>
        <stp>Fill=B</stp>
        <stp>FX=USD</stp>
        <tr r="F1232" s="3"/>
      </tp>
      <tp t="s">
        <v>#N/A Connection</v>
        <stp/>
        <stp>##V3_BDHV12</stp>
        <stp>TTMT IN Equity</stp>
        <stp>RR476</stp>
        <stp>-60CQ</stp>
        <stp>3/31/2019</stp>
        <stp>[BI_AUTMG_1_3wwqb2a2.xlsx]ReferenceData!R1152C6</stp>
        <stp>Per=CQ</stp>
        <stp>Dts=H</stp>
        <stp>Dir=H</stp>
        <stp>Points=60</stp>
        <stp>Sort=R</stp>
        <stp>Days=A</stp>
        <stp>Fill=B</stp>
        <stp>FX=USD</stp>
        <tr r="F1152" s="3"/>
      </tp>
      <tp t="s">
        <v>#N/A Connection</v>
        <stp/>
        <stp>##V3_BDHV12</stp>
        <stp>TTMT IN Equity</stp>
        <stp>RR477</stp>
        <stp>-60CQ</stp>
        <stp>3/31/2019</stp>
        <stp>[BI_AUTMG_1_3wwqb2a2.xlsx]ReferenceData!R1112C6</stp>
        <stp>Per=CQ</stp>
        <stp>Dts=H</stp>
        <stp>Dir=H</stp>
        <stp>Points=60</stp>
        <stp>Sort=R</stp>
        <stp>Days=A</stp>
        <stp>Fill=B</stp>
        <stp>FX=USD</stp>
        <tr r="F1112" s="3"/>
      </tp>
      <tp t="s">
        <v>#N/A Connection</v>
        <stp/>
        <stp>##V3_BDHV12</stp>
        <stp>AVAZ RM Equity</stp>
        <stp>RR480</stp>
        <stp>-60CQ</stp>
        <stp>3/31/2019</stp>
        <stp>[BI_AUTMG_1_3wwqb2a2.xlsx]ReferenceData!R1040C6</stp>
        <stp>Per=CQ</stp>
        <stp>Dts=H</stp>
        <stp>Dir=H</stp>
        <stp>Points=60</stp>
        <stp>Sort=R</stp>
        <stp>Days=A</stp>
        <stp>Fill=B</stp>
        <stp>FX=USD</stp>
        <tr r="F1040" s="3"/>
      </tp>
      <tp t="s">
        <v>#N/A Connection</v>
        <stp/>
        <stp>##V3_BDHV12</stp>
        <stp>000800 CH Equity</stp>
        <stp>DV013</stp>
        <stp>-60CQ</stp>
        <stp>3/31/2019</stp>
        <stp>[BI_AUTMG_1_3wwqb2a2.xlsx]ReferenceData!R1169C6</stp>
        <stp>Per=CQ</stp>
        <stp>Dts=H</stp>
        <stp>Dir=H</stp>
        <stp>Points=60</stp>
        <stp>Sort=R</stp>
        <stp>Days=A</stp>
        <stp>Fill=B</stp>
        <stp>FX=USD</stp>
        <tr r="F1169" s="3"/>
      </tp>
      <tp t="s">
        <v>#N/A Connection</v>
        <stp/>
        <stp>##V3_BDHV12</stp>
        <stp>200625 CH Equity</stp>
        <stp>DV013</stp>
        <stp>-60CQ</stp>
        <stp>3/31/2019</stp>
        <stp>[BI_AUTMG_1_3wwqb2a2.xlsx]ReferenceData!R1164C6</stp>
        <stp>Per=CQ</stp>
        <stp>Dts=H</stp>
        <stp>Dir=H</stp>
        <stp>Points=60</stp>
        <stp>Sort=R</stp>
        <stp>Days=A</stp>
        <stp>Fill=B</stp>
        <stp>FX=USD</stp>
        <tr r="F1164" s="3"/>
      </tp>
      <tp t="s">
        <v>#N/A Connection</v>
        <stp/>
        <stp>##V3_BDHV12</stp>
        <stp>000927 CH Equity</stp>
        <stp>RX539</stp>
        <stp>-60CQ</stp>
        <stp>3/31/2019</stp>
        <stp>[BI_AUTMG_1_3wwqb2a2.xlsx]ReferenceData!R1314C6</stp>
        <stp>Per=CQ</stp>
        <stp>Dts=H</stp>
        <stp>Dir=H</stp>
        <stp>Points=60</stp>
        <stp>Sort=R</stp>
        <stp>Days=A</stp>
        <stp>Fill=B</stp>
        <stp>FX=USD</stp>
        <tr r="F1314" s="3"/>
      </tp>
      <tp t="s">
        <v>#N/A Connection</v>
        <stp/>
        <stp>##V3_BDHV12</stp>
        <stp>600104 CH Equity</stp>
        <stp>RR473</stp>
        <stp>-60CQ</stp>
        <stp>3/31/2019</stp>
        <stp>[BI_AUTMG_1_3wwqb2a2.xlsx]ReferenceData!R1026C6</stp>
        <stp>Per=CQ</stp>
        <stp>Dts=H</stp>
        <stp>Dir=H</stp>
        <stp>Points=60</stp>
        <stp>Sort=R</stp>
        <stp>Days=A</stp>
        <stp>Fill=B</stp>
        <stp>FX=USD</stp>
        <tr r="F1026" s="3"/>
      </tp>
      <tp t="s">
        <v>#N/A Connection</v>
        <stp/>
        <stp>##V3_BDHV12</stp>
        <stp>600104 CH Equity</stp>
        <stp>RX072</stp>
        <stp>-60CQ</stp>
        <stp>3/31/2019</stp>
        <stp>[BI_AUTMG_1_3wwqb2a2.xlsx]ReferenceData!R1266C6</stp>
        <stp>Per=CQ</stp>
        <stp>Dts=H</stp>
        <stp>Dir=H</stp>
        <stp>Points=60</stp>
        <stp>Sort=R</stp>
        <stp>Days=A</stp>
        <stp>Fill=B</stp>
        <stp>FX=USD</stp>
        <tr r="F1266" s="3"/>
      </tp>
      <tp t="s">
        <v>#N/A Connection</v>
        <stp/>
        <stp>##V3_BDHV12</stp>
        <stp>600104 CH Equity</stp>
        <stp>RR476</stp>
        <stp>-60CQ</stp>
        <stp>3/31/2019</stp>
        <stp>[BI_AUTMG_1_3wwqb2a2.xlsx]ReferenceData!R1146C6</stp>
        <stp>Per=CQ</stp>
        <stp>Dts=H</stp>
        <stp>Dir=H</stp>
        <stp>Points=60</stp>
        <stp>Sort=R</stp>
        <stp>Days=A</stp>
        <stp>Fill=B</stp>
        <stp>FX=USD</stp>
        <tr r="F1146" s="3"/>
      </tp>
      <tp t="s">
        <v>#N/A Connection</v>
        <stp/>
        <stp>##V3_BDHV12</stp>
        <stp>600104 CH Equity</stp>
        <stp>RR477</stp>
        <stp>-60CQ</stp>
        <stp>3/31/2019</stp>
        <stp>[BI_AUTMG_1_3wwqb2a2.xlsx]ReferenceData!R1106C6</stp>
        <stp>Per=CQ</stp>
        <stp>Dts=H</stp>
        <stp>Dir=H</stp>
        <stp>Points=60</stp>
        <stp>Sort=R</stp>
        <stp>Days=A</stp>
        <stp>Fill=B</stp>
        <stp>FX=USD</stp>
        <tr r="F1106" s="3"/>
      </tp>
      <tp t="s">
        <v>#N/A Connection</v>
        <stp/>
        <stp>##V3_BDHV12</stp>
        <stp>600104 CH Equity</stp>
        <stp>RX076</stp>
        <stp>-60CQ</stp>
        <stp>3/31/2019</stp>
        <stp>[BI_AUTMG_1_3wwqb2a2.xlsx]ReferenceData!R1226C6</stp>
        <stp>Per=CQ</stp>
        <stp>Dts=H</stp>
        <stp>Dir=H</stp>
        <stp>Points=60</stp>
        <stp>Sort=R</stp>
        <stp>Days=A</stp>
        <stp>Fill=B</stp>
        <stp>FX=USD</stp>
        <tr r="F1226" s="3"/>
      </tp>
      <tp t="s">
        <v>#N/A Connection</v>
        <stp/>
        <stp>##V3_BDHV12</stp>
        <stp>2333 HK Equity</stp>
        <stp>DV013</stp>
        <stp>-60CQ</stp>
        <stp>3/31/2019</stp>
        <stp>[BI_AUTMG_1_3wwqb2a2.xlsx]ReferenceData!R1176C6</stp>
        <stp>Per=CQ</stp>
        <stp>Dts=H</stp>
        <stp>Dir=H</stp>
        <stp>Points=60</stp>
        <stp>Sort=R</stp>
        <stp>Days=A</stp>
        <stp>Fill=B</stp>
        <stp>FX=USD</stp>
        <tr r="F1176" s="3"/>
      </tp>
      <tp t="s">
        <v>#N/A Connection</v>
        <stp/>
        <stp>##V3_BDHV12</stp>
        <stp>BMW GR Equity</stp>
        <stp>RX077</stp>
        <stp>-60CQ</stp>
        <stp>3/31/2019</stp>
        <stp>[BI_AUTMG_1_3wwqb2a2.xlsx]ReferenceData!R841C6</stp>
        <stp>Per=CQ</stp>
        <stp>Dts=H</stp>
        <stp>Dir=H</stp>
        <stp>Points=60</stp>
        <stp>Sort=R</stp>
        <stp>Days=A</stp>
        <stp>Fill=B</stp>
        <stp>FX=USD</stp>
        <tr r="F841" s="3"/>
      </tp>
      <tp t="s">
        <v>#N/A Connection</v>
        <stp/>
        <stp>##V3_BDHV12</stp>
        <stp>UG FP Equity</stp>
        <stp>RR900</stp>
        <stp>-60CQ</stp>
        <stp>3/31/2019</stp>
        <stp>[BI_AUTMG_1_3wwqb2a2.xlsx]ReferenceData!R704C6</stp>
        <stp>Per=CQ</stp>
        <stp>Dts=H</stp>
        <stp>Dir=H</stp>
        <stp>Points=60</stp>
        <stp>Sort=R</stp>
        <stp>Days=A</stp>
        <stp>Fill=B</stp>
        <stp>FX=USD</stp>
        <tr r="F704" s="3"/>
      </tp>
      <tp t="s">
        <v>#N/A Connection</v>
        <stp/>
        <stp>##V3_BDHV12</stp>
        <stp>UG FP Equity</stp>
        <stp>RR904</stp>
        <stp>-60CQ</stp>
        <stp>3/31/2019</stp>
        <stp>[BI_AUTMG_1_3wwqb2a2.xlsx]ReferenceData!R944C6</stp>
        <stp>Per=CQ</stp>
        <stp>Dts=H</stp>
        <stp>Dir=H</stp>
        <stp>Points=60</stp>
        <stp>Sort=R</stp>
        <stp>Days=A</stp>
        <stp>Fill=B</stp>
        <stp>FX=USD</stp>
        <tr r="F944" s="3"/>
      </tp>
      <tp t="s">
        <v>#N/A Connection</v>
        <stp/>
        <stp>##V3_BDHV12</stp>
        <stp>2238 HK Equity</stp>
        <stp>DV013</stp>
        <stp>-60CQ</stp>
        <stp>3/31/2019</stp>
        <stp>[BI_AUTMG_1_3wwqb2a2.xlsx]ReferenceData!R1177C6</stp>
        <stp>Per=CQ</stp>
        <stp>Dts=H</stp>
        <stp>Dir=H</stp>
        <stp>Points=60</stp>
        <stp>Sort=R</stp>
        <stp>Days=A</stp>
        <stp>Fill=B</stp>
        <stp>FX=USD</stp>
        <tr r="F1177" s="3"/>
      </tp>
      <tp t="s">
        <v>#N/A Connection</v>
        <stp/>
        <stp>##V3_BDHV12</stp>
        <stp>UG FP Equity</stp>
        <stp>RR903</stp>
        <stp>-60CQ</stp>
        <stp>3/31/2019</stp>
        <stp>[BI_AUTMG_1_3wwqb2a2.xlsx]ReferenceData!R824C6</stp>
        <stp>Per=CQ</stp>
        <stp>Dts=H</stp>
        <stp>Dir=H</stp>
        <stp>Points=60</stp>
        <stp>Sort=R</stp>
        <stp>Days=A</stp>
        <stp>Fill=B</stp>
        <stp>FX=USD</stp>
        <tr r="F824" s="3"/>
      </tp>
      <tp t="s">
        <v>#N/A Connection</v>
        <stp/>
        <stp>##V3_BDHV12</stp>
        <stp>BMW GR Equity</stp>
        <stp>EZ009</stp>
        <stp>-60CQ</stp>
        <stp>3/31/2019</stp>
        <stp>[BI_AUTMG_1_3wwqb2a2.xlsx]ReferenceData!R721C6</stp>
        <stp>Per=CQ</stp>
        <stp>Dts=H</stp>
        <stp>Dir=H</stp>
        <stp>Points=60</stp>
        <stp>Sort=R</stp>
        <stp>Days=A</stp>
        <stp>Fill=B</stp>
        <stp>FX=USD</stp>
        <tr r="F721" s="3"/>
      </tp>
      <tp t="s">
        <v>#N/A Connection</v>
        <stp/>
        <stp>##V3_BDHV12</stp>
        <stp>BMW GR Equity</stp>
        <stp>EZ010</stp>
        <stp>-60CQ</stp>
        <stp>3/31/2019</stp>
        <stp>[BI_AUTMG_1_3wwqb2a2.xlsx]ReferenceData!R761C6</stp>
        <stp>Per=CQ</stp>
        <stp>Dts=H</stp>
        <stp>Dir=H</stp>
        <stp>Points=60</stp>
        <stp>Sort=R</stp>
        <stp>Days=A</stp>
        <stp>Fill=B</stp>
        <stp>FX=USD</stp>
        <tr r="F761" s="3"/>
      </tp>
      <tp t="s">
        <v>#N/A Connection</v>
        <stp/>
        <stp>##V3_BDHV12</stp>
        <stp>UG FP Equity</stp>
        <stp>RR971</stp>
        <stp>-60CQ</stp>
        <stp>3/31/2019</stp>
        <stp>[BI_AUTMG_1_3wwqb2a2.xlsx]ReferenceData!R904C6</stp>
        <stp>Per=CQ</stp>
        <stp>Dts=H</stp>
        <stp>Dir=H</stp>
        <stp>Points=60</stp>
        <stp>Sort=R</stp>
        <stp>Days=A</stp>
        <stp>Fill=B</stp>
        <stp>FX=USD</stp>
        <tr r="F904" s="3"/>
      </tp>
      <tp t="s">
        <v>#N/A Connection</v>
        <stp/>
        <stp>##V3_BDHV12</stp>
        <stp>1114 HK Equity</stp>
        <stp>RX539</stp>
        <stp>-60CQ</stp>
        <stp>3/31/2019</stp>
        <stp>[BI_AUTMG_1_3wwqb2a2.xlsx]ReferenceData!R1282C6</stp>
        <stp>Per=CQ</stp>
        <stp>Dts=H</stp>
        <stp>Dir=H</stp>
        <stp>Points=60</stp>
        <stp>Sort=R</stp>
        <stp>Days=A</stp>
        <stp>Fill=B</stp>
        <stp>FX=USD</stp>
        <tr r="F1282" s="3"/>
      </tp>
      <tp t="s">
        <v>#N/A Connection</v>
        <stp/>
        <stp>##V3_BDHV12</stp>
        <stp>1211 HK Equity</stp>
        <stp>RX539</stp>
        <stp>-60CQ</stp>
        <stp>3/31/2019</stp>
        <stp>[BI_AUTMG_1_3wwqb2a2.xlsx]ReferenceData!R1283C6</stp>
        <stp>Per=CQ</stp>
        <stp>Dts=H</stp>
        <stp>Dir=H</stp>
        <stp>Points=60</stp>
        <stp>Sort=R</stp>
        <stp>Days=A</stp>
        <stp>Fill=B</stp>
        <stp>FX=USD</stp>
        <tr r="F1283" s="3"/>
      </tp>
      <tp t="s">
        <v>#N/A Connection</v>
        <stp/>
        <stp>##V3_BDHV12</stp>
        <stp>GAZA RM Equity</stp>
        <stp>RR474</stp>
        <stp>-60CQ</stp>
        <stp>3/31/2019</stp>
        <stp>[BI_AUTMG_1_3wwqb2a2.xlsx]ReferenceData!R973C6</stp>
        <stp>Per=CQ</stp>
        <stp>Dts=H</stp>
        <stp>Dir=H</stp>
        <stp>Points=60</stp>
        <stp>Sort=R</stp>
        <stp>Days=A</stp>
        <stp>Fill=B</stp>
        <stp>FX=USD</stp>
        <tr r="F973" s="3"/>
      </tp>
      <tp t="s">
        <v>#N/A Connection</v>
        <stp/>
        <stp>##V3_BDHV12</stp>
        <stp>FCAU US Equity</stp>
        <stp>RX077</stp>
        <stp>-60CQ</stp>
        <stp>3/31/2019</stp>
        <stp>[BI_AUTMG_1_3wwqb2a2.xlsx]ReferenceData!R850C6</stp>
        <stp>Per=CQ</stp>
        <stp>Dts=H</stp>
        <stp>Dir=H</stp>
        <stp>Points=60</stp>
        <stp>Sort=R</stp>
        <stp>Days=A</stp>
        <stp>Fill=B</stp>
        <stp>FX=USD</stp>
        <tr r="F850" s="3"/>
      </tp>
      <tp t="s">
        <v>#N/A Connection</v>
        <stp/>
        <stp>##V3_BDHV12</stp>
        <stp>FCAU US Equity</stp>
        <stp>EZ010</stp>
        <stp>-60CQ</stp>
        <stp>3/31/2019</stp>
        <stp>[BI_AUTMG_1_3wwqb2a2.xlsx]ReferenceData!R770C6</stp>
        <stp>Per=CQ</stp>
        <stp>Dts=H</stp>
        <stp>Dir=H</stp>
        <stp>Points=60</stp>
        <stp>Sort=R</stp>
        <stp>Days=A</stp>
        <stp>Fill=B</stp>
        <stp>FX=USD</stp>
        <tr r="F770" s="3"/>
      </tp>
      <tp t="s">
        <v>#N/A Connection</v>
        <stp/>
        <stp>##V3_BDHV12</stp>
        <stp>FCAU US Equity</stp>
        <stp>EZ009</stp>
        <stp>-60CQ</stp>
        <stp>3/31/2019</stp>
        <stp>[BI_AUTMG_1_3wwqb2a2.xlsx]ReferenceData!R730C6</stp>
        <stp>Per=CQ</stp>
        <stp>Dts=H</stp>
        <stp>Dir=H</stp>
        <stp>Points=60</stp>
        <stp>Sort=R</stp>
        <stp>Days=A</stp>
        <stp>Fill=B</stp>
        <stp>FX=USD</stp>
        <tr r="F730" s="3"/>
      </tp>
      <tp t="s">
        <v>#N/A Connection</v>
        <stp/>
        <stp>##V3_BDHV12</stp>
        <stp>1211 HK Equity</stp>
        <stp>DV013</stp>
        <stp>-60CQ</stp>
        <stp>3/31/2019</stp>
        <stp>[BI_AUTMG_1_3wwqb2a2.xlsx]ReferenceData!R1163C6</stp>
        <stp>Per=CQ</stp>
        <stp>Dts=H</stp>
        <stp>Dir=H</stp>
        <stp>Points=60</stp>
        <stp>Sort=R</stp>
        <stp>Days=A</stp>
        <stp>Fill=B</stp>
        <stp>FX=USD</stp>
        <tr r="F1163" s="3"/>
      </tp>
      <tp t="s">
        <v>#N/A Connection</v>
        <stp/>
        <stp>##V3_BDHV12</stp>
        <stp>1114 HK Equity</stp>
        <stp>DV013</stp>
        <stp>-60CQ</stp>
        <stp>3/31/2019</stp>
        <stp>[BI_AUTMG_1_3wwqb2a2.xlsx]ReferenceData!R1162C6</stp>
        <stp>Per=CQ</stp>
        <stp>Dts=H</stp>
        <stp>Dir=H</stp>
        <stp>Points=60</stp>
        <stp>Sort=R</stp>
        <stp>Days=A</stp>
        <stp>Fill=B</stp>
        <stp>FX=USD</stp>
        <tr r="F1162" s="3"/>
      </tp>
      <tp t="s">
        <v>#N/A Connection</v>
        <stp/>
        <stp>##V3_BDHV12</stp>
        <stp>DAI GR Equity</stp>
        <stp>RR474</stp>
        <stp>-60CQ</stp>
        <stp>3/31/2019</stp>
        <stp>[BI_AUTMG_1_3wwqb2a2.xlsx]ReferenceData!R966C6</stp>
        <stp>Per=CQ</stp>
        <stp>Dts=H</stp>
        <stp>Dir=H</stp>
        <stp>Points=60</stp>
        <stp>Sort=R</stp>
        <stp>Days=A</stp>
        <stp>Fill=B</stp>
        <stp>FX=USD</stp>
        <tr r="F966" s="3"/>
      </tp>
      <tp t="s">
        <v>#N/A Connection</v>
        <stp/>
        <stp>##V3_BDHV12</stp>
        <stp>2238 HK Equity</stp>
        <stp>RX539</stp>
        <stp>-60CQ</stp>
        <stp>3/31/2019</stp>
        <stp>[BI_AUTMG_1_3wwqb2a2.xlsx]ReferenceData!R1297C6</stp>
        <stp>Per=CQ</stp>
        <stp>Dts=H</stp>
        <stp>Dir=H</stp>
        <stp>Points=60</stp>
        <stp>Sort=R</stp>
        <stp>Days=A</stp>
        <stp>Fill=B</stp>
        <stp>FX=USD</stp>
        <tr r="F1297" s="3"/>
      </tp>
      <tp t="s">
        <v>#N/A Connection</v>
        <stp/>
        <stp>##V3_BDHV12</stp>
        <stp>2333 HK Equity</stp>
        <stp>RX539</stp>
        <stp>-60CQ</stp>
        <stp>3/31/2019</stp>
        <stp>[BI_AUTMG_1_3wwqb2a2.xlsx]ReferenceData!R1296C6</stp>
        <stp>Per=CQ</stp>
        <stp>Dts=H</stp>
        <stp>Dir=H</stp>
        <stp>Points=60</stp>
        <stp>Sort=R</stp>
        <stp>Days=A</stp>
        <stp>Fill=B</stp>
        <stp>FX=USD</stp>
        <tr r="F1296" s="3"/>
      </tp>
      <tp t="s">
        <v>#N/A Connection</v>
        <stp/>
        <stp>##V3_BDHV12</stp>
        <stp>TTMT IN Equity</stp>
        <stp>RR904</stp>
        <stp>-60CQ</stp>
        <stp>3/31/2019</stp>
        <stp>[BI_AUTMG_1_3wwqb2a2.xlsx]ReferenceData!R952C6</stp>
        <stp>Per=CQ</stp>
        <stp>Dts=H</stp>
        <stp>Dir=H</stp>
        <stp>Points=60</stp>
        <stp>Sort=R</stp>
        <stp>Days=A</stp>
        <stp>Fill=B</stp>
        <stp>FX=USD</stp>
        <tr r="F952" s="3"/>
      </tp>
      <tp t="s">
        <v>#N/A Connection</v>
        <stp/>
        <stp>##V3_BDHV12</stp>
        <stp>TTMT IN Equity</stp>
        <stp>RR903</stp>
        <stp>-60CQ</stp>
        <stp>3/31/2019</stp>
        <stp>[BI_AUTMG_1_3wwqb2a2.xlsx]ReferenceData!R832C6</stp>
        <stp>Per=CQ</stp>
        <stp>Dts=H</stp>
        <stp>Dir=H</stp>
        <stp>Points=60</stp>
        <stp>Sort=R</stp>
        <stp>Days=A</stp>
        <stp>Fill=B</stp>
        <stp>FX=USD</stp>
        <tr r="F832" s="3"/>
      </tp>
      <tp t="s">
        <v>#N/A Connection</v>
        <stp/>
        <stp>##V3_BDHV12</stp>
        <stp>TTMT IN Equity</stp>
        <stp>RR971</stp>
        <stp>-60CQ</stp>
        <stp>3/31/2019</stp>
        <stp>[BI_AUTMG_1_3wwqb2a2.xlsx]ReferenceData!R912C6</stp>
        <stp>Per=CQ</stp>
        <stp>Dts=H</stp>
        <stp>Dir=H</stp>
        <stp>Points=60</stp>
        <stp>Sort=R</stp>
        <stp>Days=A</stp>
        <stp>Fill=B</stp>
        <stp>FX=USD</stp>
        <tr r="F912" s="3"/>
      </tp>
      <tp t="s">
        <v>#N/A Connection</v>
        <stp/>
        <stp>##V3_BDHV12</stp>
        <stp>TTMT IN Equity</stp>
        <stp>RR900</stp>
        <stp>-60CQ</stp>
        <stp>3/31/2019</stp>
        <stp>[BI_AUTMG_1_3wwqb2a2.xlsx]ReferenceData!R712C6</stp>
        <stp>Per=CQ</stp>
        <stp>Dts=H</stp>
        <stp>Dir=H</stp>
        <stp>Points=60</stp>
        <stp>Sort=R</stp>
        <stp>Days=A</stp>
        <stp>Fill=B</stp>
        <stp>FX=USD</stp>
        <tr r="F712" s="3"/>
      </tp>
      <tp t="s">
        <v>#N/A Connection</v>
        <stp/>
        <stp>##V3_BDHV12</stp>
        <stp>BMW GR Equity</stp>
        <stp>RR474</stp>
        <stp>-60CQ</stp>
        <stp>3/31/2019</stp>
        <stp>[BI_AUTMG_1_3wwqb2a2.xlsx]ReferenceData!R961C6</stp>
        <stp>Per=CQ</stp>
        <stp>Dts=H</stp>
        <stp>Dir=H</stp>
        <stp>Points=60</stp>
        <stp>Sort=R</stp>
        <stp>Days=A</stp>
        <stp>Fill=B</stp>
        <stp>FX=USD</stp>
        <tr r="F961" s="3"/>
      </tp>
      <tp t="s">
        <v>#N/A Connection</v>
        <stp/>
        <stp>##V3_BDHV12</stp>
        <stp>1211 HK Equity</stp>
        <stp>RX076</stp>
        <stp>-60CQ</stp>
        <stp>3/31/2019</stp>
        <stp>[BI_AUTMG_1_3wwqb2a2.xlsx]ReferenceData!R1203C6</stp>
        <stp>Per=CQ</stp>
        <stp>Dts=H</stp>
        <stp>Dir=H</stp>
        <stp>Points=60</stp>
        <stp>Sort=R</stp>
        <stp>Days=A</stp>
        <stp>Fill=B</stp>
        <stp>FX=USD</stp>
        <tr r="F1203" s="3"/>
      </tp>
      <tp t="s">
        <v>#N/A Connection</v>
        <stp/>
        <stp>##V3_BDHV12</stp>
        <stp>1114 HK Equity</stp>
        <stp>RX072</stp>
        <stp>-60CQ</stp>
        <stp>3/31/2019</stp>
        <stp>[BI_AUTMG_1_3wwqb2a2.xlsx]ReferenceData!R1242C6</stp>
        <stp>Per=CQ</stp>
        <stp>Dts=H</stp>
        <stp>Dir=H</stp>
        <stp>Points=60</stp>
        <stp>Sort=R</stp>
        <stp>Days=A</stp>
        <stp>Fill=B</stp>
        <stp>FX=USD</stp>
        <tr r="F1242" s="3"/>
      </tp>
      <tp t="s">
        <v>#N/A Connection</v>
        <stp/>
        <stp>##V3_BDHV12</stp>
        <stp>1114 HK Equity</stp>
        <stp>RR473</stp>
        <stp>-60CQ</stp>
        <stp>3/31/2019</stp>
        <stp>[BI_AUTMG_1_3wwqb2a2.xlsx]ReferenceData!R1002C6</stp>
        <stp>Per=CQ</stp>
        <stp>Dts=H</stp>
        <stp>Dir=H</stp>
        <stp>Points=60</stp>
        <stp>Sort=R</stp>
        <stp>Days=A</stp>
        <stp>Fill=B</stp>
        <stp>FX=USD</stp>
        <tr r="F1002" s="3"/>
      </tp>
      <tp t="s">
        <v>#N/A Connection</v>
        <stp/>
        <stp>##V3_BDHV12</stp>
        <stp>1211 HK Equity</stp>
        <stp>RR476</stp>
        <stp>-60CQ</stp>
        <stp>3/31/2019</stp>
        <stp>[BI_AUTMG_1_3wwqb2a2.xlsx]ReferenceData!R1123C6</stp>
        <stp>Per=CQ</stp>
        <stp>Dts=H</stp>
        <stp>Dir=H</stp>
        <stp>Points=60</stp>
        <stp>Sort=R</stp>
        <stp>Days=A</stp>
        <stp>Fill=B</stp>
        <stp>FX=USD</stp>
        <tr r="F1123" s="3"/>
      </tp>
      <tp t="s">
        <v>#N/A Connection</v>
        <stp/>
        <stp>##V3_BDHV12</stp>
        <stp>1211 HK Equity</stp>
        <stp>RR477</stp>
        <stp>-60CQ</stp>
        <stp>3/31/2019</stp>
        <stp>[BI_AUTMG_1_3wwqb2a2.xlsx]ReferenceData!R1083C6</stp>
        <stp>Per=CQ</stp>
        <stp>Dts=H</stp>
        <stp>Dir=H</stp>
        <stp>Points=60</stp>
        <stp>Sort=R</stp>
        <stp>Days=A</stp>
        <stp>Fill=B</stp>
        <stp>FX=USD</stp>
        <tr r="F1083" s="3"/>
      </tp>
      <tp t="s">
        <v>#N/A Connection</v>
        <stp/>
        <stp>##V3_BDHV12</stp>
        <stp>1211 HK Equity</stp>
        <stp>RX072</stp>
        <stp>-60CQ</stp>
        <stp>3/31/2019</stp>
        <stp>[BI_AUTMG_1_3wwqb2a2.xlsx]ReferenceData!R1243C6</stp>
        <stp>Per=CQ</stp>
        <stp>Dts=H</stp>
        <stp>Dir=H</stp>
        <stp>Points=60</stp>
        <stp>Sort=R</stp>
        <stp>Days=A</stp>
        <stp>Fill=B</stp>
        <stp>FX=USD</stp>
        <tr r="F1243" s="3"/>
      </tp>
      <tp t="s">
        <v>#N/A Connection</v>
        <stp/>
        <stp>##V3_BDHV12</stp>
        <stp>1114 HK Equity</stp>
        <stp>RX076</stp>
        <stp>-60CQ</stp>
        <stp>3/31/2019</stp>
        <stp>[BI_AUTMG_1_3wwqb2a2.xlsx]ReferenceData!R1202C6</stp>
        <stp>Per=CQ</stp>
        <stp>Dts=H</stp>
        <stp>Dir=H</stp>
        <stp>Points=60</stp>
        <stp>Sort=R</stp>
        <stp>Days=A</stp>
        <stp>Fill=B</stp>
        <stp>FX=USD</stp>
        <tr r="F1202" s="3"/>
      </tp>
      <tp t="s">
        <v>#N/A Connection</v>
        <stp/>
        <stp>##V3_BDHV12</stp>
        <stp>1114 HK Equity</stp>
        <stp>RR476</stp>
        <stp>-60CQ</stp>
        <stp>3/31/2019</stp>
        <stp>[BI_AUTMG_1_3wwqb2a2.xlsx]ReferenceData!R1122C6</stp>
        <stp>Per=CQ</stp>
        <stp>Dts=H</stp>
        <stp>Dir=H</stp>
        <stp>Points=60</stp>
        <stp>Sort=R</stp>
        <stp>Days=A</stp>
        <stp>Fill=B</stp>
        <stp>FX=USD</stp>
        <tr r="F1122" s="3"/>
      </tp>
      <tp t="s">
        <v>#N/A Connection</v>
        <stp/>
        <stp>##V3_BDHV12</stp>
        <stp>1114 HK Equity</stp>
        <stp>RR477</stp>
        <stp>-60CQ</stp>
        <stp>3/31/2019</stp>
        <stp>[BI_AUTMG_1_3wwqb2a2.xlsx]ReferenceData!R1082C6</stp>
        <stp>Per=CQ</stp>
        <stp>Dts=H</stp>
        <stp>Dir=H</stp>
        <stp>Points=60</stp>
        <stp>Sort=R</stp>
        <stp>Days=A</stp>
        <stp>Fill=B</stp>
        <stp>FX=USD</stp>
        <tr r="F1082" s="3"/>
      </tp>
      <tp t="s">
        <v>#N/A Connection</v>
        <stp/>
        <stp>##V3_BDHV12</stp>
        <stp>1211 HK Equity</stp>
        <stp>RR473</stp>
        <stp>-60CQ</stp>
        <stp>3/31/2019</stp>
        <stp>[BI_AUTMG_1_3wwqb2a2.xlsx]ReferenceData!R1003C6</stp>
        <stp>Per=CQ</stp>
        <stp>Dts=H</stp>
        <stp>Dir=H</stp>
        <stp>Points=60</stp>
        <stp>Sort=R</stp>
        <stp>Days=A</stp>
        <stp>Fill=B</stp>
        <stp>FX=USD</stp>
        <tr r="F1003" s="3"/>
      </tp>
      <tp t="s">
        <v>#N/A Connection</v>
        <stp/>
        <stp>##V3_BDHV12</stp>
        <stp>GAZA RM Equity</stp>
        <stp>RX077</stp>
        <stp>-60CQ</stp>
        <stp>3/31/2019</stp>
        <stp>[BI_AUTMG_1_3wwqb2a2.xlsx]ReferenceData!R853C6</stp>
        <stp>Per=CQ</stp>
        <stp>Dts=H</stp>
        <stp>Dir=H</stp>
        <stp>Points=60</stp>
        <stp>Sort=R</stp>
        <stp>Days=A</stp>
        <stp>Fill=B</stp>
        <stp>FX=USD</stp>
        <tr r="F853" s="3"/>
      </tp>
      <tp t="s">
        <v>#N/A Connection</v>
        <stp/>
        <stp>##V3_BDHV12</stp>
        <stp>GAZA RM Equity</stp>
        <stp>EZ009</stp>
        <stp>-60CQ</stp>
        <stp>3/31/2019</stp>
        <stp>[BI_AUTMG_1_3wwqb2a2.xlsx]ReferenceData!R733C6</stp>
        <stp>Per=CQ</stp>
        <stp>Dts=H</stp>
        <stp>Dir=H</stp>
        <stp>Points=60</stp>
        <stp>Sort=R</stp>
        <stp>Days=A</stp>
        <stp>Fill=B</stp>
        <stp>FX=USD</stp>
        <tr r="F733" s="3"/>
      </tp>
      <tp t="s">
        <v>#N/A Connection</v>
        <stp/>
        <stp>##V3_BDHV12</stp>
        <stp>GAZA RM Equity</stp>
        <stp>EZ010</stp>
        <stp>-60CQ</stp>
        <stp>3/31/2019</stp>
        <stp>[BI_AUTMG_1_3wwqb2a2.xlsx]ReferenceData!R773C6</stp>
        <stp>Per=CQ</stp>
        <stp>Dts=H</stp>
        <stp>Dir=H</stp>
        <stp>Points=60</stp>
        <stp>Sort=R</stp>
        <stp>Days=A</stp>
        <stp>Fill=B</stp>
        <stp>FX=USD</stp>
        <tr r="F773" s="3"/>
      </tp>
      <tp t="s">
        <v>#N/A Connection</v>
        <stp/>
        <stp>##V3_BDHV12</stp>
        <stp>DRB MK Equity</stp>
        <stp>RR971</stp>
        <stp>-60CQ</stp>
        <stp>3/31/2019</stp>
        <stp>[BI_AUTMG_1_3wwqb2a2.xlsx]ReferenceData!R888C6</stp>
        <stp>Per=CQ</stp>
        <stp>Dts=H</stp>
        <stp>Dir=H</stp>
        <stp>Points=60</stp>
        <stp>Sort=R</stp>
        <stp>Days=A</stp>
        <stp>Fill=B</stp>
        <stp>FX=USD</stp>
        <tr r="F888" s="3"/>
      </tp>
      <tp t="s">
        <v>#N/A Connection</v>
        <stp/>
        <stp>##V3_BDHV12</stp>
        <stp>DRB MK Equity</stp>
        <stp>RR904</stp>
        <stp>-60CQ</stp>
        <stp>3/31/2019</stp>
        <stp>[BI_AUTMG_1_3wwqb2a2.xlsx]ReferenceData!R928C6</stp>
        <stp>Per=CQ</stp>
        <stp>Dts=H</stp>
        <stp>Dir=H</stp>
        <stp>Points=60</stp>
        <stp>Sort=R</stp>
        <stp>Days=A</stp>
        <stp>Fill=B</stp>
        <stp>FX=USD</stp>
        <tr r="F928" s="3"/>
      </tp>
      <tp t="s">
        <v>#N/A Connection</v>
        <stp/>
        <stp>##V3_BDHV12</stp>
        <stp>DRB MK Equity</stp>
        <stp>RR903</stp>
        <stp>-60CQ</stp>
        <stp>3/31/2019</stp>
        <stp>[BI_AUTMG_1_3wwqb2a2.xlsx]ReferenceData!R808C6</stp>
        <stp>Per=CQ</stp>
        <stp>Dts=H</stp>
        <stp>Dir=H</stp>
        <stp>Points=60</stp>
        <stp>Sort=R</stp>
        <stp>Days=A</stp>
        <stp>Fill=B</stp>
        <stp>FX=USD</stp>
        <tr r="F808" s="3"/>
      </tp>
      <tp t="s">
        <v>#N/A Connection</v>
        <stp/>
        <stp>##V3_BDHV12</stp>
        <stp>DRB MK Equity</stp>
        <stp>RR900</stp>
        <stp>-60CQ</stp>
        <stp>3/31/2019</stp>
        <stp>[BI_AUTMG_1_3wwqb2a2.xlsx]ReferenceData!R688C6</stp>
        <stp>Per=CQ</stp>
        <stp>Dts=H</stp>
        <stp>Dir=H</stp>
        <stp>Points=60</stp>
        <stp>Sort=R</stp>
        <stp>Days=A</stp>
        <stp>Fill=B</stp>
        <stp>FX=USD</stp>
        <tr r="F688" s="3"/>
      </tp>
      <tp t="s">
        <v>#N/A Connection</v>
        <stp/>
        <stp>##V3_BDHV12</stp>
        <stp>NSU GR Equity</stp>
        <stp>RR903</stp>
        <stp>-60CQ</stp>
        <stp>3/31/2019</stp>
        <stp>[BI_AUTMG_1_3wwqb2a2.xlsx]ReferenceData!R799C6</stp>
        <stp>Per=CQ</stp>
        <stp>Dts=H</stp>
        <stp>Dir=H</stp>
        <stp>Points=60</stp>
        <stp>Sort=R</stp>
        <stp>Days=A</stp>
        <stp>Fill=B</stp>
        <stp>FX=USD</stp>
        <tr r="F799" s="3"/>
      </tp>
      <tp t="s">
        <v>#N/A Connection</v>
        <stp/>
        <stp>##V3_BDHV12</stp>
        <stp>NSU GR Equity</stp>
        <stp>RR900</stp>
        <stp>-60CQ</stp>
        <stp>3/31/2019</stp>
        <stp>[BI_AUTMG_1_3wwqb2a2.xlsx]ReferenceData!R679C6</stp>
        <stp>Per=CQ</stp>
        <stp>Dts=H</stp>
        <stp>Dir=H</stp>
        <stp>Points=60</stp>
        <stp>Sort=R</stp>
        <stp>Days=A</stp>
        <stp>Fill=B</stp>
        <stp>FX=USD</stp>
        <tr r="F679" s="3"/>
      </tp>
      <tp t="s">
        <v>#N/A Connection</v>
        <stp/>
        <stp>##V3_BDHV12</stp>
        <stp>NSU GR Equity</stp>
        <stp>RR971</stp>
        <stp>-60CQ</stp>
        <stp>3/31/2019</stp>
        <stp>[BI_AUTMG_1_3wwqb2a2.xlsx]ReferenceData!R879C6</stp>
        <stp>Per=CQ</stp>
        <stp>Dts=H</stp>
        <stp>Dir=H</stp>
        <stp>Points=60</stp>
        <stp>Sort=R</stp>
        <stp>Days=A</stp>
        <stp>Fill=B</stp>
        <stp>FX=USD</stp>
        <tr r="F879" s="3"/>
      </tp>
      <tp t="s">
        <v>#N/A Connection</v>
        <stp/>
        <stp>##V3_BDHV12</stp>
        <stp>NSU GR Equity</stp>
        <stp>RR904</stp>
        <stp>-60CQ</stp>
        <stp>3/31/2019</stp>
        <stp>[BI_AUTMG_1_3wwqb2a2.xlsx]ReferenceData!R919C6</stp>
        <stp>Per=CQ</stp>
        <stp>Dts=H</stp>
        <stp>Dir=H</stp>
        <stp>Points=60</stp>
        <stp>Sort=R</stp>
        <stp>Days=A</stp>
        <stp>Fill=B</stp>
        <stp>FX=USD</stp>
        <tr r="F919" s="3"/>
      </tp>
      <tp t="s">
        <v>#N/A Connection</v>
        <stp/>
        <stp>##V3_BDHV12</stp>
        <stp>FCAU US Equity</stp>
        <stp>RR474</stp>
        <stp>-60CQ</stp>
        <stp>3/31/2019</stp>
        <stp>[BI_AUTMG_1_3wwqb2a2.xlsx]ReferenceData!R970C6</stp>
        <stp>Per=CQ</stp>
        <stp>Dts=H</stp>
        <stp>Dir=H</stp>
        <stp>Points=60</stp>
        <stp>Sort=R</stp>
        <stp>Days=A</stp>
        <stp>Fill=B</stp>
        <stp>FX=USD</stp>
        <tr r="F970" s="3"/>
      </tp>
      <tp t="s">
        <v>#N/A Connection</v>
        <stp/>
        <stp>##V3_BDHV12</stp>
        <stp>DAI GR Equity</stp>
        <stp>EZ009</stp>
        <stp>-60CQ</stp>
        <stp>3/31/2019</stp>
        <stp>[BI_AUTMG_1_3wwqb2a2.xlsx]ReferenceData!R726C6</stp>
        <stp>Per=CQ</stp>
        <stp>Dts=H</stp>
        <stp>Dir=H</stp>
        <stp>Points=60</stp>
        <stp>Sort=R</stp>
        <stp>Days=A</stp>
        <stp>Fill=B</stp>
        <stp>FX=USD</stp>
        <tr r="F726" s="3"/>
      </tp>
      <tp t="s">
        <v>#N/A Connection</v>
        <stp/>
        <stp>##V3_BDHV12</stp>
        <stp>DAI GR Equity</stp>
        <stp>EZ010</stp>
        <stp>-60CQ</stp>
        <stp>3/31/2019</stp>
        <stp>[BI_AUTMG_1_3wwqb2a2.xlsx]ReferenceData!R766C6</stp>
        <stp>Per=CQ</stp>
        <stp>Dts=H</stp>
        <stp>Dir=H</stp>
        <stp>Points=60</stp>
        <stp>Sort=R</stp>
        <stp>Days=A</stp>
        <stp>Fill=B</stp>
        <stp>FX=USD</stp>
        <tr r="F766" s="3"/>
      </tp>
      <tp t="s">
        <v>#N/A Connection</v>
        <stp/>
        <stp>##V3_BDHV12</stp>
        <stp>DAI GR Equity</stp>
        <stp>RX077</stp>
        <stp>-60CQ</stp>
        <stp>3/31/2019</stp>
        <stp>[BI_AUTMG_1_3wwqb2a2.xlsx]ReferenceData!R846C6</stp>
        <stp>Per=CQ</stp>
        <stp>Dts=H</stp>
        <stp>Dir=H</stp>
        <stp>Points=60</stp>
        <stp>Sort=R</stp>
        <stp>Days=A</stp>
        <stp>Fill=B</stp>
        <stp>FX=USD</stp>
        <tr r="F846" s="3"/>
      </tp>
      <tp t="s">
        <v>#N/A Connection</v>
        <stp/>
        <stp>##V3_BDHV12</stp>
        <stp>2333 HK Equity</stp>
        <stp>RR476</stp>
        <stp>-60CQ</stp>
        <stp>3/31/2019</stp>
        <stp>[BI_AUTMG_1_3wwqb2a2.xlsx]ReferenceData!R1136C6</stp>
        <stp>Per=CQ</stp>
        <stp>Dts=H</stp>
        <stp>Dir=H</stp>
        <stp>Points=60</stp>
        <stp>Sort=R</stp>
        <stp>Days=A</stp>
        <stp>Fill=B</stp>
        <stp>FX=USD</stp>
        <tr r="F1136" s="3"/>
      </tp>
      <tp t="s">
        <v>#N/A Connection</v>
        <stp/>
        <stp>##V3_BDHV12</stp>
        <stp>2333 HK Equity</stp>
        <stp>RR477</stp>
        <stp>-60CQ</stp>
        <stp>3/31/2019</stp>
        <stp>[BI_AUTMG_1_3wwqb2a2.xlsx]ReferenceData!R1096C6</stp>
        <stp>Per=CQ</stp>
        <stp>Dts=H</stp>
        <stp>Dir=H</stp>
        <stp>Points=60</stp>
        <stp>Sort=R</stp>
        <stp>Days=A</stp>
        <stp>Fill=B</stp>
        <stp>FX=USD</stp>
        <tr r="F1096" s="3"/>
      </tp>
      <tp t="s">
        <v>#N/A Connection</v>
        <stp/>
        <stp>##V3_BDHV12</stp>
        <stp>2333 HK Equity</stp>
        <stp>RX076</stp>
        <stp>-60CQ</stp>
        <stp>3/31/2019</stp>
        <stp>[BI_AUTMG_1_3wwqb2a2.xlsx]ReferenceData!R1216C6</stp>
        <stp>Per=CQ</stp>
        <stp>Dts=H</stp>
        <stp>Dir=H</stp>
        <stp>Points=60</stp>
        <stp>Sort=R</stp>
        <stp>Days=A</stp>
        <stp>Fill=B</stp>
        <stp>FX=USD</stp>
        <tr r="F1216" s="3"/>
      </tp>
      <tp t="s">
        <v>#N/A Connection</v>
        <stp/>
        <stp>##V3_BDHV12</stp>
        <stp>2333 HK Equity</stp>
        <stp>RR473</stp>
        <stp>-60CQ</stp>
        <stp>3/31/2019</stp>
        <stp>[BI_AUTMG_1_3wwqb2a2.xlsx]ReferenceData!R1016C6</stp>
        <stp>Per=CQ</stp>
        <stp>Dts=H</stp>
        <stp>Dir=H</stp>
        <stp>Points=60</stp>
        <stp>Sort=R</stp>
        <stp>Days=A</stp>
        <stp>Fill=B</stp>
        <stp>FX=USD</stp>
        <tr r="F1016" s="3"/>
      </tp>
      <tp t="s">
        <v>#N/A Connection</v>
        <stp/>
        <stp>##V3_BDHV12</stp>
        <stp>2333 HK Equity</stp>
        <stp>RX072</stp>
        <stp>-60CQ</stp>
        <stp>3/31/2019</stp>
        <stp>[BI_AUTMG_1_3wwqb2a2.xlsx]ReferenceData!R1256C6</stp>
        <stp>Per=CQ</stp>
        <stp>Dts=H</stp>
        <stp>Dir=H</stp>
        <stp>Points=60</stp>
        <stp>Sort=R</stp>
        <stp>Days=A</stp>
        <stp>Fill=B</stp>
        <stp>FX=USD</stp>
        <tr r="F1256" s="3"/>
      </tp>
      <tp t="s">
        <v>#N/A Connection</v>
        <stp/>
        <stp>##V3_BDHV12</stp>
        <stp>2238 HK Equity</stp>
        <stp>RX076</stp>
        <stp>-60CQ</stp>
        <stp>3/31/2019</stp>
        <stp>[BI_AUTMG_1_3wwqb2a2.xlsx]ReferenceData!R1217C6</stp>
        <stp>Per=CQ</stp>
        <stp>Dts=H</stp>
        <stp>Dir=H</stp>
        <stp>Points=60</stp>
        <stp>Sort=R</stp>
        <stp>Days=A</stp>
        <stp>Fill=B</stp>
        <stp>FX=USD</stp>
        <tr r="F1217" s="3"/>
      </tp>
      <tp t="s">
        <v>#N/A Connection</v>
        <stp/>
        <stp>##V3_BDHV12</stp>
        <stp>2238 HK Equity</stp>
        <stp>RR476</stp>
        <stp>-60CQ</stp>
        <stp>3/31/2019</stp>
        <stp>[BI_AUTMG_1_3wwqb2a2.xlsx]ReferenceData!R1137C6</stp>
        <stp>Per=CQ</stp>
        <stp>Dts=H</stp>
        <stp>Dir=H</stp>
        <stp>Points=60</stp>
        <stp>Sort=R</stp>
        <stp>Days=A</stp>
        <stp>Fill=B</stp>
        <stp>FX=USD</stp>
        <tr r="F1137" s="3"/>
      </tp>
      <tp t="s">
        <v>#N/A Connection</v>
        <stp/>
        <stp>##V3_BDHV12</stp>
        <stp>2238 HK Equity</stp>
        <stp>RR477</stp>
        <stp>-60CQ</stp>
        <stp>3/31/2019</stp>
        <stp>[BI_AUTMG_1_3wwqb2a2.xlsx]ReferenceData!R1097C6</stp>
        <stp>Per=CQ</stp>
        <stp>Dts=H</stp>
        <stp>Dir=H</stp>
        <stp>Points=60</stp>
        <stp>Sort=R</stp>
        <stp>Days=A</stp>
        <stp>Fill=B</stp>
        <stp>FX=USD</stp>
        <tr r="F1097" s="3"/>
      </tp>
      <tp t="s">
        <v>#N/A Connection</v>
        <stp/>
        <stp>##V3_BDHV12</stp>
        <stp>2238 HK Equity</stp>
        <stp>RX072</stp>
        <stp>-60CQ</stp>
        <stp>3/31/2019</stp>
        <stp>[BI_AUTMG_1_3wwqb2a2.xlsx]ReferenceData!R1257C6</stp>
        <stp>Per=CQ</stp>
        <stp>Dts=H</stp>
        <stp>Dir=H</stp>
        <stp>Points=60</stp>
        <stp>Sort=R</stp>
        <stp>Days=A</stp>
        <stp>Fill=B</stp>
        <stp>FX=USD</stp>
        <tr r="F1257" s="3"/>
      </tp>
      <tp t="s">
        <v>#N/A Connection</v>
        <stp/>
        <stp>##V3_BDHV12</stp>
        <stp>2238 HK Equity</stp>
        <stp>RR473</stp>
        <stp>-60CQ</stp>
        <stp>3/31/2019</stp>
        <stp>[BI_AUTMG_1_3wwqb2a2.xlsx]ReferenceData!R1017C6</stp>
        <stp>Per=CQ</stp>
        <stp>Dts=H</stp>
        <stp>Dir=H</stp>
        <stp>Points=60</stp>
        <stp>Sort=R</stp>
        <stp>Days=A</stp>
        <stp>Fill=B</stp>
        <stp>FX=USD</stp>
        <tr r="F1017" s="3"/>
      </tp>
      <tp t="s">
        <v>#N/A Connection</v>
        <stp/>
        <stp>##V3_BDHV12</stp>
        <stp>DRB MK Equity</stp>
        <stp>RR474</stp>
        <stp>-60CQ</stp>
        <stp>3/31/2019</stp>
        <stp>[BI_AUTMG_1_3wwqb2a2.xlsx]ReferenceData!R968C6</stp>
        <stp>Per=CQ</stp>
        <stp>Dts=H</stp>
        <stp>Dir=H</stp>
        <stp>Points=60</stp>
        <stp>Sort=R</stp>
        <stp>Days=A</stp>
        <stp>Fill=B</stp>
        <stp>FX=USD</stp>
        <tr r="F968" s="3"/>
      </tp>
      <tp t="s">
        <v>#N/A Connection</v>
        <stp/>
        <stp>##V3_BDHV12</stp>
        <stp>NSU GR Equity</stp>
        <stp>RR473</stp>
        <stp>-60CQ</stp>
        <stp>3/31/2019</stp>
        <stp>[BI_AUTMG_1_3wwqb2a2.xlsx]ReferenceData!R999C6</stp>
        <stp>Per=CQ</stp>
        <stp>Dts=H</stp>
        <stp>Dir=H</stp>
        <stp>Points=60</stp>
        <stp>Sort=R</stp>
        <stp>Days=A</stp>
        <stp>Fill=B</stp>
        <stp>FX=USD</stp>
        <tr r="F999" s="3"/>
      </tp>
      <tp t="s">
        <v>#N/A Connection</v>
        <stp/>
        <stp>##V3_BDHV12</stp>
        <stp>NSU GR Equity</stp>
        <stp>RR474</stp>
        <stp>-60CQ</stp>
        <stp>3/31/2019</stp>
        <stp>[BI_AUTMG_1_3wwqb2a2.xlsx]ReferenceData!R959C6</stp>
        <stp>Per=CQ</stp>
        <stp>Dts=H</stp>
        <stp>Dir=H</stp>
        <stp>Points=60</stp>
        <stp>Sort=R</stp>
        <stp>Days=A</stp>
        <stp>Fill=B</stp>
        <stp>FX=USD</stp>
        <tr r="F959" s="3"/>
      </tp>
      <tp t="s">
        <v>#N/A Connection</v>
        <stp/>
        <stp>##V3_BDHV12</stp>
        <stp>FCAU US Equity</stp>
        <stp>RR903</stp>
        <stp>-60CQ</stp>
        <stp>3/31/2019</stp>
        <stp>[BI_AUTMG_1_3wwqb2a2.xlsx]ReferenceData!R810C6</stp>
        <stp>Per=CQ</stp>
        <stp>Dts=H</stp>
        <stp>Dir=H</stp>
        <stp>Points=60</stp>
        <stp>Sort=R</stp>
        <stp>Days=A</stp>
        <stp>Fill=B</stp>
        <stp>FX=USD</stp>
        <tr r="F810" s="3"/>
      </tp>
      <tp t="s">
        <v>#N/A Connection</v>
        <stp/>
        <stp>##V3_BDHV12</stp>
        <stp>FCAU US Equity</stp>
        <stp>RR904</stp>
        <stp>-60CQ</stp>
        <stp>3/31/2019</stp>
        <stp>[BI_AUTMG_1_3wwqb2a2.xlsx]ReferenceData!R930C6</stp>
        <stp>Per=CQ</stp>
        <stp>Dts=H</stp>
        <stp>Dir=H</stp>
        <stp>Points=60</stp>
        <stp>Sort=R</stp>
        <stp>Days=A</stp>
        <stp>Fill=B</stp>
        <stp>FX=USD</stp>
        <tr r="F930" s="3"/>
      </tp>
      <tp t="s">
        <v>#N/A Connection</v>
        <stp/>
        <stp>##V3_BDHV12</stp>
        <stp>FCAU US Equity</stp>
        <stp>RR971</stp>
        <stp>-60CQ</stp>
        <stp>3/31/2019</stp>
        <stp>[BI_AUTMG_1_3wwqb2a2.xlsx]ReferenceData!R890C6</stp>
        <stp>Per=CQ</stp>
        <stp>Dts=H</stp>
        <stp>Dir=H</stp>
        <stp>Points=60</stp>
        <stp>Sort=R</stp>
        <stp>Days=A</stp>
        <stp>Fill=B</stp>
        <stp>FX=USD</stp>
        <tr r="F890" s="3"/>
      </tp>
      <tp t="s">
        <v>#N/A Connection</v>
        <stp/>
        <stp>##V3_BDHV12</stp>
        <stp>FCAU US Equity</stp>
        <stp>RR900</stp>
        <stp>-60CQ</stp>
        <stp>3/31/2019</stp>
        <stp>[BI_AUTMG_1_3wwqb2a2.xlsx]ReferenceData!R690C6</stp>
        <stp>Per=CQ</stp>
        <stp>Dts=H</stp>
        <stp>Dir=H</stp>
        <stp>Points=60</stp>
        <stp>Sort=R</stp>
        <stp>Days=A</stp>
        <stp>Fill=B</stp>
        <stp>FX=USD</stp>
        <tr r="F690" s="3"/>
      </tp>
      <tp t="s">
        <v>#N/A Connection</v>
        <stp/>
        <stp>##V3_BDHV12</stp>
        <stp>BMW GR Equity</stp>
        <stp>RR904</stp>
        <stp>-60CQ</stp>
        <stp>3/31/2019</stp>
        <stp>[BI_AUTMG_1_3wwqb2a2.xlsx]ReferenceData!R921C6</stp>
        <stp>Per=CQ</stp>
        <stp>Dts=H</stp>
        <stp>Dir=H</stp>
        <stp>Points=60</stp>
        <stp>Sort=R</stp>
        <stp>Days=A</stp>
        <stp>Fill=B</stp>
        <stp>FX=USD</stp>
        <tr r="F921" s="3"/>
      </tp>
      <tp t="s">
        <v>#N/A Connection</v>
        <stp/>
        <stp>##V3_BDHV12</stp>
        <stp>BMW GR Equity</stp>
        <stp>RR903</stp>
        <stp>-60CQ</stp>
        <stp>3/31/2019</stp>
        <stp>[BI_AUTMG_1_3wwqb2a2.xlsx]ReferenceData!R801C6</stp>
        <stp>Per=CQ</stp>
        <stp>Dts=H</stp>
        <stp>Dir=H</stp>
        <stp>Points=60</stp>
        <stp>Sort=R</stp>
        <stp>Days=A</stp>
        <stp>Fill=B</stp>
        <stp>FX=USD</stp>
        <tr r="F801" s="3"/>
      </tp>
      <tp t="s">
        <v>#N/A Connection</v>
        <stp/>
        <stp>##V3_BDHV12</stp>
        <stp>BMW GR Equity</stp>
        <stp>RR971</stp>
        <stp>-60CQ</stp>
        <stp>3/31/2019</stp>
        <stp>[BI_AUTMG_1_3wwqb2a2.xlsx]ReferenceData!R881C6</stp>
        <stp>Per=CQ</stp>
        <stp>Dts=H</stp>
        <stp>Dir=H</stp>
        <stp>Points=60</stp>
        <stp>Sort=R</stp>
        <stp>Days=A</stp>
        <stp>Fill=B</stp>
        <stp>FX=USD</stp>
        <tr r="F881" s="3"/>
      </tp>
      <tp t="s">
        <v>#N/A Connection</v>
        <stp/>
        <stp>##V3_BDHV12</stp>
        <stp>UG FP Equity</stp>
        <stp>EZ009</stp>
        <stp>-60CQ</stp>
        <stp>3/31/2019</stp>
        <stp>[BI_AUTMG_1_3wwqb2a2.xlsx]ReferenceData!R744C6</stp>
        <stp>Per=CQ</stp>
        <stp>Dts=H</stp>
        <stp>Dir=H</stp>
        <stp>Points=60</stp>
        <stp>Sort=R</stp>
        <stp>Days=A</stp>
        <stp>Fill=B</stp>
        <stp>FX=USD</stp>
        <tr r="F744" s="3"/>
      </tp>
      <tp t="s">
        <v>#N/A Connection</v>
        <stp/>
        <stp>##V3_BDHV12</stp>
        <stp>UG FP Equity</stp>
        <stp>EZ010</stp>
        <stp>-60CQ</stp>
        <stp>3/31/2019</stp>
        <stp>[BI_AUTMG_1_3wwqb2a2.xlsx]ReferenceData!R784C6</stp>
        <stp>Per=CQ</stp>
        <stp>Dts=H</stp>
        <stp>Dir=H</stp>
        <stp>Points=60</stp>
        <stp>Sort=R</stp>
        <stp>Days=A</stp>
        <stp>Fill=B</stp>
        <stp>FX=USD</stp>
        <tr r="F784" s="3"/>
      </tp>
      <tp t="s">
        <v>#N/A Connection</v>
        <stp/>
        <stp>##V3_BDHV12</stp>
        <stp>UG FP Equity</stp>
        <stp>RX077</stp>
        <stp>-60CQ</stp>
        <stp>3/31/2019</stp>
        <stp>[BI_AUTMG_1_3wwqb2a2.xlsx]ReferenceData!R864C6</stp>
        <stp>Per=CQ</stp>
        <stp>Dts=H</stp>
        <stp>Dir=H</stp>
        <stp>Points=60</stp>
        <stp>Sort=R</stp>
        <stp>Days=A</stp>
        <stp>Fill=B</stp>
        <stp>FX=USD</stp>
        <tr r="F864" s="3"/>
      </tp>
      <tp t="s">
        <v>#N/A Connection</v>
        <stp/>
        <stp>##V3_BDHV12</stp>
        <stp>BMW GR Equity</stp>
        <stp>RR900</stp>
        <stp>-60CQ</stp>
        <stp>3/31/2019</stp>
        <stp>[BI_AUTMG_1_3wwqb2a2.xlsx]ReferenceData!R681C6</stp>
        <stp>Per=CQ</stp>
        <stp>Dts=H</stp>
        <stp>Dir=H</stp>
        <stp>Points=60</stp>
        <stp>Sort=R</stp>
        <stp>Days=A</stp>
        <stp>Fill=B</stp>
        <stp>FX=USD</stp>
        <tr r="F681" s="3"/>
      </tp>
      <tp t="s">
        <v>#N/A Connection</v>
        <stp/>
        <stp>##V3_BDHV12</stp>
        <stp>2333 HK Equity</stp>
        <stp>RR480</stp>
        <stp>-60CQ</stp>
        <stp>3/31/2019</stp>
        <stp>[BI_AUTMG_1_3wwqb2a2.xlsx]ReferenceData!R1056C6</stp>
        <stp>Per=CQ</stp>
        <stp>Dts=H</stp>
        <stp>Dir=H</stp>
        <stp>Points=60</stp>
        <stp>Sort=R</stp>
        <stp>Days=A</stp>
        <stp>Fill=B</stp>
        <stp>FX=USD</stp>
        <tr r="F1056" s="3"/>
      </tp>
      <tp t="s">
        <v>#N/A Connection</v>
        <stp/>
        <stp>##V3_BDHV12</stp>
        <stp>2238 HK Equity</stp>
        <stp>RR480</stp>
        <stp>-60CQ</stp>
        <stp>3/31/2019</stp>
        <stp>[BI_AUTMG_1_3wwqb2a2.xlsx]ReferenceData!R1057C6</stp>
        <stp>Per=CQ</stp>
        <stp>Dts=H</stp>
        <stp>Dir=H</stp>
        <stp>Points=60</stp>
        <stp>Sort=R</stp>
        <stp>Days=A</stp>
        <stp>Fill=B</stp>
        <stp>FX=USD</stp>
        <tr r="F1057" s="3"/>
      </tp>
      <tp t="s">
        <v>#N/A Connection</v>
        <stp/>
        <stp>##V3_BDHV12</stp>
        <stp>TTMT IN Equity</stp>
        <stp>RX077</stp>
        <stp>-60CQ</stp>
        <stp>3/31/2019</stp>
        <stp>[BI_AUTMG_1_3wwqb2a2.xlsx]ReferenceData!R872C6</stp>
        <stp>Per=CQ</stp>
        <stp>Dts=H</stp>
        <stp>Dir=H</stp>
        <stp>Points=60</stp>
        <stp>Sort=R</stp>
        <stp>Days=A</stp>
        <stp>Fill=B</stp>
        <stp>FX=USD</stp>
        <tr r="F872" s="3"/>
      </tp>
      <tp t="s">
        <v>#N/A Connection</v>
        <stp/>
        <stp>##V3_BDHV12</stp>
        <stp>TTMT IN Equity</stp>
        <stp>EZ009</stp>
        <stp>-60CQ</stp>
        <stp>3/31/2019</stp>
        <stp>[BI_AUTMG_1_3wwqb2a2.xlsx]ReferenceData!R752C6</stp>
        <stp>Per=CQ</stp>
        <stp>Dts=H</stp>
        <stp>Dir=H</stp>
        <stp>Points=60</stp>
        <stp>Sort=R</stp>
        <stp>Days=A</stp>
        <stp>Fill=B</stp>
        <stp>FX=USD</stp>
        <tr r="F752" s="3"/>
      </tp>
      <tp t="s">
        <v>#N/A Connection</v>
        <stp/>
        <stp>##V3_BDHV12</stp>
        <stp>TTMT IN Equity</stp>
        <stp>EZ010</stp>
        <stp>-60CQ</stp>
        <stp>3/31/2019</stp>
        <stp>[BI_AUTMG_1_3wwqb2a2.xlsx]ReferenceData!R792C6</stp>
        <stp>Per=CQ</stp>
        <stp>Dts=H</stp>
        <stp>Dir=H</stp>
        <stp>Points=60</stp>
        <stp>Sort=R</stp>
        <stp>Days=A</stp>
        <stp>Fill=B</stp>
        <stp>FX=USD</stp>
        <tr r="F792" s="3"/>
      </tp>
      <tp t="s">
        <v>#N/A Connection</v>
        <stp/>
        <stp>##V3_BDHV12</stp>
        <stp>1114 HK Equity</stp>
        <stp>RR480</stp>
        <stp>-60CQ</stp>
        <stp>3/31/2019</stp>
        <stp>[BI_AUTMG_1_3wwqb2a2.xlsx]ReferenceData!R1042C6</stp>
        <stp>Per=CQ</stp>
        <stp>Dts=H</stp>
        <stp>Dir=H</stp>
        <stp>Points=60</stp>
        <stp>Sort=R</stp>
        <stp>Days=A</stp>
        <stp>Fill=B</stp>
        <stp>FX=USD</stp>
        <tr r="F1042" s="3"/>
      </tp>
      <tp t="s">
        <v>#N/A Connection</v>
        <stp/>
        <stp>##V3_BDHV12</stp>
        <stp>1211 HK Equity</stp>
        <stp>RR480</stp>
        <stp>-60CQ</stp>
        <stp>3/31/2019</stp>
        <stp>[BI_AUTMG_1_3wwqb2a2.xlsx]ReferenceData!R1043C6</stp>
        <stp>Per=CQ</stp>
        <stp>Dts=H</stp>
        <stp>Dir=H</stp>
        <stp>Points=60</stp>
        <stp>Sort=R</stp>
        <stp>Days=A</stp>
        <stp>Fill=B</stp>
        <stp>FX=USD</stp>
        <tr r="F1043" s="3"/>
      </tp>
      <tp t="s">
        <v>#N/A Connection</v>
        <stp/>
        <stp>##V3_BDHV12</stp>
        <stp>DRB MK Equity</stp>
        <stp>RX077</stp>
        <stp>-60CQ</stp>
        <stp>3/31/2019</stp>
        <stp>[BI_AUTMG_1_3wwqb2a2.xlsx]ReferenceData!R848C6</stp>
        <stp>Per=CQ</stp>
        <stp>Dts=H</stp>
        <stp>Dir=H</stp>
        <stp>Points=60</stp>
        <stp>Sort=R</stp>
        <stp>Days=A</stp>
        <stp>Fill=B</stp>
        <stp>FX=USD</stp>
        <tr r="F848" s="3"/>
      </tp>
      <tp t="s">
        <v>#N/A Connection</v>
        <stp/>
        <stp>##V3_BDHV12</stp>
        <stp>DRB MK Equity</stp>
        <stp>EZ009</stp>
        <stp>-60CQ</stp>
        <stp>3/31/2019</stp>
        <stp>[BI_AUTMG_1_3wwqb2a2.xlsx]ReferenceData!R728C6</stp>
        <stp>Per=CQ</stp>
        <stp>Dts=H</stp>
        <stp>Dir=H</stp>
        <stp>Points=60</stp>
        <stp>Sort=R</stp>
        <stp>Days=A</stp>
        <stp>Fill=B</stp>
        <stp>FX=USD</stp>
        <tr r="F728" s="3"/>
      </tp>
      <tp t="s">
        <v>#N/A Connection</v>
        <stp/>
        <stp>##V3_BDHV12</stp>
        <stp>DRB MK Equity</stp>
        <stp>EZ010</stp>
        <stp>-60CQ</stp>
        <stp>3/31/2019</stp>
        <stp>[BI_AUTMG_1_3wwqb2a2.xlsx]ReferenceData!R768C6</stp>
        <stp>Per=CQ</stp>
        <stp>Dts=H</stp>
        <stp>Dir=H</stp>
        <stp>Points=60</stp>
        <stp>Sort=R</stp>
        <stp>Days=A</stp>
        <stp>Fill=B</stp>
        <stp>FX=USD</stp>
        <tr r="F768" s="3"/>
      </tp>
      <tp t="s">
        <v>#N/A Connection</v>
        <stp/>
        <stp>##V3_BDHV12</stp>
        <stp>NSU GR Equity</stp>
        <stp>EZ009</stp>
        <stp>-60CQ</stp>
        <stp>3/31/2019</stp>
        <stp>[BI_AUTMG_1_3wwqb2a2.xlsx]ReferenceData!R719C6</stp>
        <stp>Per=CQ</stp>
        <stp>Dts=H</stp>
        <stp>Dir=H</stp>
        <stp>Points=60</stp>
        <stp>Sort=R</stp>
        <stp>Days=A</stp>
        <stp>Fill=B</stp>
        <stp>FX=USD</stp>
        <tr r="F719" s="3"/>
      </tp>
      <tp t="s">
        <v>#N/A Connection</v>
        <stp/>
        <stp>##V3_BDHV12</stp>
        <stp>NSU GR Equity</stp>
        <stp>EZ010</stp>
        <stp>-60CQ</stp>
        <stp>3/31/2019</stp>
        <stp>[BI_AUTMG_1_3wwqb2a2.xlsx]ReferenceData!R759C6</stp>
        <stp>Per=CQ</stp>
        <stp>Dts=H</stp>
        <stp>Dir=H</stp>
        <stp>Points=60</stp>
        <stp>Sort=R</stp>
        <stp>Days=A</stp>
        <stp>Fill=B</stp>
        <stp>FX=USD</stp>
        <tr r="F759" s="3"/>
      </tp>
      <tp t="s">
        <v>#N/A Connection</v>
        <stp/>
        <stp>##V3_BDHV12</stp>
        <stp>NSU GR Equity</stp>
        <stp>RX077</stp>
        <stp>-60CQ</stp>
        <stp>3/31/2019</stp>
        <stp>[BI_AUTMG_1_3wwqb2a2.xlsx]ReferenceData!R839C6</stp>
        <stp>Per=CQ</stp>
        <stp>Dts=H</stp>
        <stp>Dir=H</stp>
        <stp>Points=60</stp>
        <stp>Sort=R</stp>
        <stp>Days=A</stp>
        <stp>Fill=B</stp>
        <stp>FX=USD</stp>
        <tr r="F839" s="3"/>
      </tp>
      <tp t="s">
        <v>#N/A Connection</v>
        <stp/>
        <stp>##V3_BDHV12</stp>
        <stp>UG FP Equity</stp>
        <stp>RR474</stp>
        <stp>-60CQ</stp>
        <stp>3/31/2019</stp>
        <stp>[BI_AUTMG_1_3wwqb2a2.xlsx]ReferenceData!R984C6</stp>
        <stp>Per=CQ</stp>
        <stp>Dts=H</stp>
        <stp>Dir=H</stp>
        <stp>Points=60</stp>
        <stp>Sort=R</stp>
        <stp>Days=A</stp>
        <stp>Fill=B</stp>
        <stp>FX=USD</stp>
        <tr r="F984" s="3"/>
      </tp>
      <tp t="s">
        <v>#N/A Connection</v>
        <stp/>
        <stp>##V3_BDHV12</stp>
        <stp>GAZA RM Equity</stp>
        <stp>RR971</stp>
        <stp>-60CQ</stp>
        <stp>3/31/2019</stp>
        <stp>[BI_AUTMG_1_3wwqb2a2.xlsx]ReferenceData!R893C6</stp>
        <stp>Per=CQ</stp>
        <stp>Dts=H</stp>
        <stp>Dir=H</stp>
        <stp>Points=60</stp>
        <stp>Sort=R</stp>
        <stp>Days=A</stp>
        <stp>Fill=B</stp>
        <stp>FX=USD</stp>
        <tr r="F893" s="3"/>
      </tp>
      <tp t="s">
        <v>#N/A Connection</v>
        <stp/>
        <stp>##V3_BDHV12</stp>
        <stp>GAZA RM Equity</stp>
        <stp>RR904</stp>
        <stp>-60CQ</stp>
        <stp>3/31/2019</stp>
        <stp>[BI_AUTMG_1_3wwqb2a2.xlsx]ReferenceData!R933C6</stp>
        <stp>Per=CQ</stp>
        <stp>Dts=H</stp>
        <stp>Dir=H</stp>
        <stp>Points=60</stp>
        <stp>Sort=R</stp>
        <stp>Days=A</stp>
        <stp>Fill=B</stp>
        <stp>FX=USD</stp>
        <tr r="F933" s="3"/>
      </tp>
      <tp t="s">
        <v>#N/A Connection</v>
        <stp/>
        <stp>##V3_BDHV12</stp>
        <stp>GAZA RM Equity</stp>
        <stp>RR903</stp>
        <stp>-60CQ</stp>
        <stp>3/31/2019</stp>
        <stp>[BI_AUTMG_1_3wwqb2a2.xlsx]ReferenceData!R813C6</stp>
        <stp>Per=CQ</stp>
        <stp>Dts=H</stp>
        <stp>Dir=H</stp>
        <stp>Points=60</stp>
        <stp>Sort=R</stp>
        <stp>Days=A</stp>
        <stp>Fill=B</stp>
        <stp>FX=USD</stp>
        <tr r="F813" s="3"/>
      </tp>
      <tp t="s">
        <v>#N/A Connection</v>
        <stp/>
        <stp>##V3_BDHV12</stp>
        <stp>GAZA RM Equity</stp>
        <stp>RR900</stp>
        <stp>-60CQ</stp>
        <stp>3/31/2019</stp>
        <stp>[BI_AUTMG_1_3wwqb2a2.xlsx]ReferenceData!R693C6</stp>
        <stp>Per=CQ</stp>
        <stp>Dts=H</stp>
        <stp>Dir=H</stp>
        <stp>Points=60</stp>
        <stp>Sort=R</stp>
        <stp>Days=A</stp>
        <stp>Fill=B</stp>
        <stp>FX=USD</stp>
        <tr r="F693" s="3"/>
      </tp>
      <tp t="s">
        <v>#N/A Connection</v>
        <stp/>
        <stp>##V3_BDHV12</stp>
        <stp>TTMT IN Equity</stp>
        <stp>RR474</stp>
        <stp>-60CQ</stp>
        <stp>3/31/2019</stp>
        <stp>[BI_AUTMG_1_3wwqb2a2.xlsx]ReferenceData!R992C6</stp>
        <stp>Per=CQ</stp>
        <stp>Dts=H</stp>
        <stp>Dir=H</stp>
        <stp>Points=60</stp>
        <stp>Sort=R</stp>
        <stp>Days=A</stp>
        <stp>Fill=B</stp>
        <stp>FX=USD</stp>
        <tr r="F992" s="3"/>
      </tp>
      <tp t="s">
        <v>#N/A Connection</v>
        <stp/>
        <stp>##V3_BDHV12</stp>
        <stp>DAI GR Equity</stp>
        <stp>RR900</stp>
        <stp>-60CQ</stp>
        <stp>3/31/2019</stp>
        <stp>[BI_AUTMG_1_3wwqb2a2.xlsx]ReferenceData!R686C6</stp>
        <stp>Per=CQ</stp>
        <stp>Dts=H</stp>
        <stp>Dir=H</stp>
        <stp>Points=60</stp>
        <stp>Sort=R</stp>
        <stp>Days=A</stp>
        <stp>Fill=B</stp>
        <stp>FX=USD</stp>
        <tr r="F686" s="3"/>
      </tp>
      <tp t="s">
        <v>#N/A Connection</v>
        <stp/>
        <stp>##V3_BDHV12</stp>
        <stp>DAI GR Equity</stp>
        <stp>RR971</stp>
        <stp>-60CQ</stp>
        <stp>3/31/2019</stp>
        <stp>[BI_AUTMG_1_3wwqb2a2.xlsx]ReferenceData!R886C6</stp>
        <stp>Per=CQ</stp>
        <stp>Dts=H</stp>
        <stp>Dir=H</stp>
        <stp>Points=60</stp>
        <stp>Sort=R</stp>
        <stp>Days=A</stp>
        <stp>Fill=B</stp>
        <stp>FX=USD</stp>
        <tr r="F886" s="3"/>
      </tp>
      <tp t="s">
        <v>#N/A Connection</v>
        <stp/>
        <stp>##V3_BDHV12</stp>
        <stp>DAI GR Equity</stp>
        <stp>RR904</stp>
        <stp>-60CQ</stp>
        <stp>3/31/2019</stp>
        <stp>[BI_AUTMG_1_3wwqb2a2.xlsx]ReferenceData!R926C6</stp>
        <stp>Per=CQ</stp>
        <stp>Dts=H</stp>
        <stp>Dir=H</stp>
        <stp>Points=60</stp>
        <stp>Sort=R</stp>
        <stp>Days=A</stp>
        <stp>Fill=B</stp>
        <stp>FX=USD</stp>
        <tr r="F926" s="3"/>
      </tp>
      <tp t="s">
        <v>#N/A Connection</v>
        <stp/>
        <stp>##V3_BDHV12</stp>
        <stp>DAI GR Equity</stp>
        <stp>RR903</stp>
        <stp>-60CQ</stp>
        <stp>3/31/2019</stp>
        <stp>[BI_AUTMG_1_3wwqb2a2.xlsx]ReferenceData!R806C6</stp>
        <stp>Per=CQ</stp>
        <stp>Dts=H</stp>
        <stp>Dir=H</stp>
        <stp>Points=60</stp>
        <stp>Sort=R</stp>
        <stp>Days=A</stp>
        <stp>Fill=B</stp>
        <stp>FX=USD</stp>
        <tr r="F806" s="3"/>
      </tp>
      <tp t="s">
        <v>#N/A Connection</v>
        <stp/>
        <stp>##V3_BDHV12</stp>
        <stp>VOW GR Equity</stp>
        <stp>RR474</stp>
        <stp>-60CQ</stp>
        <stp>3/31/2019</stp>
        <stp>[BI_AUTMG_1_3wwqb2a2.xlsx]ReferenceData!R997C6</stp>
        <stp>Per=CQ</stp>
        <stp>Dts=H</stp>
        <stp>Dir=H</stp>
        <stp>Points=60</stp>
        <stp>Sort=R</stp>
        <stp>Days=A</stp>
        <stp>Fill=B</stp>
        <stp>FX=USD</stp>
        <tr r="F997" s="3"/>
      </tp>
      <tp t="s">
        <v>#N/A Connection</v>
        <stp/>
        <stp>##V3_BDHV12</stp>
        <stp>7211 JP Equity</stp>
        <stp>RR480</stp>
        <stp>-60CQ</stp>
        <stp>3/31/2019</stp>
        <stp>[BI_AUTMG_1_3wwqb2a2.xlsx]ReferenceData!R1062C6</stp>
        <stp>Per=CQ</stp>
        <stp>Dts=H</stp>
        <stp>Dir=H</stp>
        <stp>Points=60</stp>
        <stp>Sort=R</stp>
        <stp>Days=A</stp>
        <stp>Fill=B</stp>
        <stp>FX=USD</stp>
        <tr r="F1062" s="3"/>
      </tp>
      <tp t="s">
        <v>#N/A Connection</v>
        <stp/>
        <stp>##V3_BDHV12</stp>
        <stp>AVAZ RM Equity</stp>
        <stp>RR900</stp>
        <stp>-60CQ</stp>
        <stp>3/31/2019</stp>
        <stp>[BI_AUTMG_1_3wwqb2a2.xlsx]ReferenceData!R1341C3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341" s="3"/>
      </tp>
      <tp t="s">
        <v>#N/A Connection</v>
        <stp/>
        <stp>##V3_BDHV12</stp>
        <stp>AVAZ RM Equity</stp>
        <stp>RR900</stp>
        <stp>-60CQ</stp>
        <stp>3/31/2019</stp>
        <stp>[BI_AUTMG_1_3wwqb2a2.xlsx]ReferenceData!R1333C3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1333" s="3"/>
      </tp>
      <tp t="s">
        <v>#N/A Connection</v>
        <stp/>
        <stp>##V3_BDHV12</stp>
        <stp>RNO FP Equity</stp>
        <stp>RX077</stp>
        <stp>-60CQ</stp>
        <stp>3/31/2019</stp>
        <stp>[BI_AUTMG_1_3wwqb2a2.xlsx]ReferenceData!R865C6</stp>
        <stp>Per=CQ</stp>
        <stp>Dts=H</stp>
        <stp>Dir=H</stp>
        <stp>Points=60</stp>
        <stp>Sort=R</stp>
        <stp>Days=A</stp>
        <stp>Fill=B</stp>
        <stp>FX=USD</stp>
        <tr r="F865" s="3"/>
      </tp>
      <tp t="s">
        <v>#N/A Connection</v>
        <stp/>
        <stp>##V3_BDHV12</stp>
        <stp>RNO FP Equity</stp>
        <stp>EZ010</stp>
        <stp>-60CQ</stp>
        <stp>3/31/2019</stp>
        <stp>[BI_AUTMG_1_3wwqb2a2.xlsx]ReferenceData!R785C6</stp>
        <stp>Per=CQ</stp>
        <stp>Dts=H</stp>
        <stp>Dir=H</stp>
        <stp>Points=60</stp>
        <stp>Sort=R</stp>
        <stp>Days=A</stp>
        <stp>Fill=B</stp>
        <stp>FX=USD</stp>
        <tr r="F785" s="3"/>
      </tp>
      <tp t="s">
        <v>#N/A Connection</v>
        <stp/>
        <stp>##V3_BDHV12</stp>
        <stp>RNO FP Equity</stp>
        <stp>EZ009</stp>
        <stp>-60CQ</stp>
        <stp>3/31/2019</stp>
        <stp>[BI_AUTMG_1_3wwqb2a2.xlsx]ReferenceData!R745C6</stp>
        <stp>Per=CQ</stp>
        <stp>Dts=H</stp>
        <stp>Dir=H</stp>
        <stp>Points=60</stp>
        <stp>Sort=R</stp>
        <stp>Days=A</stp>
        <stp>Fill=B</stp>
        <stp>FX=USD</stp>
        <tr r="F745" s="3"/>
      </tp>
      <tp t="s">
        <v>#N/A Connection</v>
        <stp/>
        <stp>##V3_BDHV12</stp>
        <stp>7201 JP Equity</stp>
        <stp>RR480</stp>
        <stp>-60CQ</stp>
        <stp>3/31/2019</stp>
        <stp>[BI_AUTMG_1_3wwqb2a2.xlsx]ReferenceData!R1063C6</stp>
        <stp>Per=CQ</stp>
        <stp>Dts=H</stp>
        <stp>Dir=H</stp>
        <stp>Points=60</stp>
        <stp>Sort=R</stp>
        <stp>Days=A</stp>
        <stp>Fill=B</stp>
        <stp>FX=USD</stp>
        <tr r="F1063" s="3"/>
      </tp>
      <tp t="s">
        <v>#N/A Connection</v>
        <stp/>
        <stp>##V3_BDHV12</stp>
        <stp>7203 JP Equity</stp>
        <stp>RR480</stp>
        <stp>-60CQ</stp>
        <stp>3/31/2019</stp>
        <stp>[BI_AUTMG_1_3wwqb2a2.xlsx]ReferenceData!R1076C6</stp>
        <stp>Per=CQ</stp>
        <stp>Dts=H</stp>
        <stp>Dir=H</stp>
        <stp>Points=60</stp>
        <stp>Sort=R</stp>
        <stp>Days=A</stp>
        <stp>Fill=B</stp>
        <stp>FX=USD</stp>
        <tr r="F1076" s="3"/>
      </tp>
      <tp t="s">
        <v>#N/A Connection</v>
        <stp/>
        <stp>##V3_BDHV12</stp>
        <stp>TSLA US Equity</stp>
        <stp>EZ009</stp>
        <stp>-60CQ</stp>
        <stp>3/31/2019</stp>
        <stp>[BI_AUTMG_1_3wwqb2a2.xlsx]ReferenceData!R753C6</stp>
        <stp>Per=CQ</stp>
        <stp>Dts=H</stp>
        <stp>Dir=H</stp>
        <stp>Points=60</stp>
        <stp>Sort=R</stp>
        <stp>Days=A</stp>
        <stp>Fill=B</stp>
        <stp>FX=USD</stp>
        <tr r="F753" s="3"/>
      </tp>
      <tp t="s">
        <v>#N/A Connection</v>
        <stp/>
        <stp>##V3_BDHV12</stp>
        <stp>TSLA US Equity</stp>
        <stp>EZ010</stp>
        <stp>-60CQ</stp>
        <stp>3/31/2019</stp>
        <stp>[BI_AUTMG_1_3wwqb2a2.xlsx]ReferenceData!R793C6</stp>
        <stp>Per=CQ</stp>
        <stp>Dts=H</stp>
        <stp>Dir=H</stp>
        <stp>Points=60</stp>
        <stp>Sort=R</stp>
        <stp>Days=A</stp>
        <stp>Fill=B</stp>
        <stp>FX=USD</stp>
        <tr r="F793" s="3"/>
      </tp>
      <tp t="s">
        <v>#N/A Connection</v>
        <stp/>
        <stp>##V3_BDHV12</stp>
        <stp>TSLA US Equity</stp>
        <stp>RX077</stp>
        <stp>-60CQ</stp>
        <stp>3/31/2019</stp>
        <stp>[BI_AUTMG_1_3wwqb2a2.xlsx]ReferenceData!R873C6</stp>
        <stp>Per=CQ</stp>
        <stp>Dts=H</stp>
        <stp>Dir=H</stp>
        <stp>Points=60</stp>
        <stp>Sort=R</stp>
        <stp>Days=A</stp>
        <stp>Fill=B</stp>
        <stp>FX=USD</stp>
        <tr r="F873" s="3"/>
      </tp>
      <tp t="s">
        <v>#N/A Connection</v>
        <stp/>
        <stp>##V3_BDHV12</stp>
        <stp>GM US Equity</stp>
        <stp>RR900</stp>
        <stp>-60CQ</stp>
        <stp>3/31/2019</stp>
        <stp>[BI_AUTMG_1_3wwqb2a2.xlsx]ReferenceData!R695C6</stp>
        <stp>Per=CQ</stp>
        <stp>Dts=H</stp>
        <stp>Dir=H</stp>
        <stp>Points=60</stp>
        <stp>Sort=R</stp>
        <stp>Days=A</stp>
        <stp>Fill=B</stp>
        <stp>FX=USD</stp>
        <tr r="F695" s="3"/>
      </tp>
      <tp t="s">
        <v>#N/A Connection</v>
        <stp/>
        <stp>##V3_BDHV12</stp>
        <stp>GM US Equity</stp>
        <stp>RR903</stp>
        <stp>-60CQ</stp>
        <stp>3/31/2019</stp>
        <stp>[BI_AUTMG_1_3wwqb2a2.xlsx]ReferenceData!R815C6</stp>
        <stp>Per=CQ</stp>
        <stp>Dts=H</stp>
        <stp>Dir=H</stp>
        <stp>Points=60</stp>
        <stp>Sort=R</stp>
        <stp>Days=A</stp>
        <stp>Fill=B</stp>
        <stp>FX=USD</stp>
        <tr r="F815" s="3"/>
      </tp>
      <tp t="s">
        <v>#N/A Connection</v>
        <stp/>
        <stp>##V3_BDHV12</stp>
        <stp>GM US Equity</stp>
        <stp>RR904</stp>
        <stp>-60CQ</stp>
        <stp>3/31/2019</stp>
        <stp>[BI_AUTMG_1_3wwqb2a2.xlsx]ReferenceData!R935C6</stp>
        <stp>Per=CQ</stp>
        <stp>Dts=H</stp>
        <stp>Dir=H</stp>
        <stp>Points=60</stp>
        <stp>Sort=R</stp>
        <stp>Days=A</stp>
        <stp>Fill=B</stp>
        <stp>FX=USD</stp>
        <tr r="F935" s="3"/>
      </tp>
      <tp t="s">
        <v>#N/A Connection</v>
        <stp/>
        <stp>##V3_BDHV12</stp>
        <stp>GM US Equity</stp>
        <stp>RR971</stp>
        <stp>-60CQ</stp>
        <stp>3/31/2019</stp>
        <stp>[BI_AUTMG_1_3wwqb2a2.xlsx]ReferenceData!R895C6</stp>
        <stp>Per=CQ</stp>
        <stp>Dts=H</stp>
        <stp>Dir=H</stp>
        <stp>Points=60</stp>
        <stp>Sort=R</stp>
        <stp>Days=A</stp>
        <stp>Fill=B</stp>
        <stp>FX=USD</stp>
        <tr r="F895" s="3"/>
      </tp>
      <tp t="s">
        <v>#N/A Connection</v>
        <stp/>
        <stp>##V3_BDHV12</stp>
        <stp>AVAZ RM Equity</stp>
        <stp>EZ010</stp>
        <stp>-60CQ</stp>
        <stp>3/31/2019</stp>
        <stp>[BI_AUTMG_1_3wwqb2a2.xlsx]ReferenceData!R760C6</stp>
        <stp>Per=CQ</stp>
        <stp>Dts=H</stp>
        <stp>Dir=H</stp>
        <stp>Points=60</stp>
        <stp>Sort=R</stp>
        <stp>Days=A</stp>
        <stp>Fill=B</stp>
        <stp>FX=USD</stp>
        <tr r="F760" s="3"/>
      </tp>
      <tp t="s">
        <v>#N/A Connection</v>
        <stp/>
        <stp>##V3_BDHV12</stp>
        <stp>SVAV RM Equity</stp>
        <stp>EZ010</stp>
        <stp>-60CQ</stp>
        <stp>3/31/2019</stp>
        <stp>[BI_AUTMG_1_3wwqb2a2.xlsx]ReferenceData!R788C6</stp>
        <stp>Per=CQ</stp>
        <stp>Dts=H</stp>
        <stp>Dir=H</stp>
        <stp>Points=60</stp>
        <stp>Sort=R</stp>
        <stp>Days=A</stp>
        <stp>Fill=B</stp>
        <stp>FX=USD</stp>
        <tr r="F788" s="3"/>
      </tp>
      <tp t="s">
        <v>#N/A Connection</v>
        <stp/>
        <stp>##V3_BDHV12</stp>
        <stp>SVAV RM Equity</stp>
        <stp>EZ009</stp>
        <stp>-60CQ</stp>
        <stp>3/31/2019</stp>
        <stp>[BI_AUTMG_1_3wwqb2a2.xlsx]ReferenceData!R748C6</stp>
        <stp>Per=CQ</stp>
        <stp>Dts=H</stp>
        <stp>Dir=H</stp>
        <stp>Points=60</stp>
        <stp>Sort=R</stp>
        <stp>Days=A</stp>
        <stp>Fill=B</stp>
        <stp>FX=USD</stp>
        <tr r="F748" s="3"/>
      </tp>
      <tp t="s">
        <v>#N/A Connection</v>
        <stp/>
        <stp>##V3_BDHV12</stp>
        <stp>AVAZ RM Equity</stp>
        <stp>EZ009</stp>
        <stp>-60CQ</stp>
        <stp>3/31/2019</stp>
        <stp>[BI_AUTMG_1_3wwqb2a2.xlsx]ReferenceData!R720C6</stp>
        <stp>Per=CQ</stp>
        <stp>Dts=H</stp>
        <stp>Dir=H</stp>
        <stp>Points=60</stp>
        <stp>Sort=R</stp>
        <stp>Days=A</stp>
        <stp>Fill=B</stp>
        <stp>FX=USD</stp>
        <tr r="F720" s="3"/>
      </tp>
      <tp t="s">
        <v>#N/A Connection</v>
        <stp/>
        <stp>##V3_BDHV12</stp>
        <stp>AVAZ RM Equity</stp>
        <stp>RX077</stp>
        <stp>-60CQ</stp>
        <stp>3/31/2019</stp>
        <stp>[BI_AUTMG_1_3wwqb2a2.xlsx]ReferenceData!R840C6</stp>
        <stp>Per=CQ</stp>
        <stp>Dts=H</stp>
        <stp>Dir=H</stp>
        <stp>Points=60</stp>
        <stp>Sort=R</stp>
        <stp>Days=A</stp>
        <stp>Fill=B</stp>
        <stp>FX=USD</stp>
        <tr r="F840" s="3"/>
      </tp>
      <tp t="s">
        <v>#N/A Connection</v>
        <stp/>
        <stp>##V3_BDHV12</stp>
        <stp>SVAV RM Equity</stp>
        <stp>RX077</stp>
        <stp>-60CQ</stp>
        <stp>3/31/2019</stp>
        <stp>[BI_AUTMG_1_3wwqb2a2.xlsx]ReferenceData!R868C6</stp>
        <stp>Per=CQ</stp>
        <stp>Dts=H</stp>
        <stp>Dir=H</stp>
        <stp>Points=60</stp>
        <stp>Sort=R</stp>
        <stp>Days=A</stp>
        <stp>Fill=B</stp>
        <stp>FX=USD</stp>
        <tr r="F868" s="3"/>
      </tp>
      <tp t="s">
        <v>#N/A Connection</v>
        <stp/>
        <stp>##V3_BDHV12</stp>
        <stp>VOW GR Equity</stp>
        <stp>RX077</stp>
        <stp>-60CQ</stp>
        <stp>3/31/2019</stp>
        <stp>[BI_AUTMG_1_3wwqb2a2.xlsx]ReferenceData!R877C6</stp>
        <stp>Per=CQ</stp>
        <stp>Dts=H</stp>
        <stp>Dir=H</stp>
        <stp>Points=60</stp>
        <stp>Sort=R</stp>
        <stp>Days=A</stp>
        <stp>Fill=B</stp>
        <stp>FX=USD</stp>
        <tr r="F877" s="3"/>
      </tp>
      <tp t="s">
        <v>#N/A Connection</v>
        <stp/>
        <stp>##V3_BDHV12</stp>
        <stp>VOW GR Equity</stp>
        <stp>EZ009</stp>
        <stp>-60CQ</stp>
        <stp>3/31/2019</stp>
        <stp>[BI_AUTMG_1_3wwqb2a2.xlsx]ReferenceData!R757C6</stp>
        <stp>Per=CQ</stp>
        <stp>Dts=H</stp>
        <stp>Dir=H</stp>
        <stp>Points=60</stp>
        <stp>Sort=R</stp>
        <stp>Days=A</stp>
        <stp>Fill=B</stp>
        <stp>FX=USD</stp>
        <tr r="F757" s="3"/>
      </tp>
      <tp t="s">
        <v>#N/A Connection</v>
        <stp/>
        <stp>##V3_BDHV12</stp>
        <stp>VOW GR Equity</stp>
        <stp>EZ010</stp>
        <stp>-60CQ</stp>
        <stp>3/31/2019</stp>
        <stp>[BI_AUTMG_1_3wwqb2a2.xlsx]ReferenceData!R797C6</stp>
        <stp>Per=CQ</stp>
        <stp>Dts=H</stp>
        <stp>Dir=H</stp>
        <stp>Points=60</stp>
        <stp>Sort=R</stp>
        <stp>Days=A</stp>
        <stp>Fill=B</stp>
        <stp>FX=USD</stp>
        <tr r="F797" s="3"/>
      </tp>
      <tp t="s">
        <v>#N/A Connection</v>
        <stp/>
        <stp>##V3_BDHV12</stp>
        <stp>RNO FP Equity</stp>
        <stp>RR474</stp>
        <stp>-60CQ</stp>
        <stp>3/31/2019</stp>
        <stp>[BI_AUTMG_1_3wwqb2a2.xlsx]ReferenceData!R985C6</stp>
        <stp>Per=CQ</stp>
        <stp>Dts=H</stp>
        <stp>Dir=H</stp>
        <stp>Points=60</stp>
        <stp>Sort=R</stp>
        <stp>Days=A</stp>
        <stp>Fill=B</stp>
        <stp>FX=USD</stp>
        <tr r="F985" s="3"/>
      </tp>
      <tp t="s">
        <v>#N/A Connection</v>
        <stp/>
        <stp>##V3_BDHV12</stp>
        <stp>2206 TT Equity</stp>
        <stp>RR480</stp>
        <stp>-60CQ</stp>
        <stp>3/31/2019</stp>
        <stp>[BI_AUTMG_1_3wwqb2a2.xlsx]ReferenceData!R1067C6</stp>
        <stp>Per=CQ</stp>
        <stp>Dts=H</stp>
        <stp>Dir=H</stp>
        <stp>Points=60</stp>
        <stp>Sort=R</stp>
        <stp>Days=A</stp>
        <stp>Fill=B</stp>
        <stp>FX=USD</stp>
        <tr r="F1067" s="3"/>
      </tp>
      <tp t="s">
        <v>#N/A Connection</v>
        <stp/>
        <stp>##V3_BDHV12</stp>
        <stp>2201 TT Equity</stp>
        <stp>RR480</stp>
        <stp>-60CQ</stp>
        <stp>3/31/2019</stp>
        <stp>[BI_AUTMG_1_3wwqb2a2.xlsx]ReferenceData!R1078C6</stp>
        <stp>Per=CQ</stp>
        <stp>Dts=H</stp>
        <stp>Dir=H</stp>
        <stp>Points=60</stp>
        <stp>Sort=R</stp>
        <stp>Days=A</stp>
        <stp>Fill=B</stp>
        <stp>FX=USD</stp>
        <tr r="F1078" s="3"/>
      </tp>
      <tp t="s">
        <v>#N/A Connection</v>
        <stp/>
        <stp>##V3_BDHV12</stp>
        <stp>TSLA US Equity</stp>
        <stp>RR474</stp>
        <stp>-60CQ</stp>
        <stp>3/31/2019</stp>
        <stp>[BI_AUTMG_1_3wwqb2a2.xlsx]ReferenceData!R993C6</stp>
        <stp>Per=CQ</stp>
        <stp>Dts=H</stp>
        <stp>Dir=H</stp>
        <stp>Points=60</stp>
        <stp>Sort=R</stp>
        <stp>Days=A</stp>
        <stp>Fill=B</stp>
        <stp>FX=USD</stp>
        <tr r="F993" s="3"/>
      </tp>
      <tp t="s">
        <v>#N/A Connection</v>
        <stp/>
        <stp>##V3_BDHV12</stp>
        <stp>7270 JP Equity</stp>
        <stp>RR480</stp>
        <stp>-60CQ</stp>
        <stp>3/31/2019</stp>
        <stp>[BI_AUTMG_1_3wwqb2a2.xlsx]ReferenceData!R1070C6</stp>
        <stp>Per=CQ</stp>
        <stp>Dts=H</stp>
        <stp>Dir=H</stp>
        <stp>Points=60</stp>
        <stp>Sort=R</stp>
        <stp>Days=A</stp>
        <stp>Fill=B</stp>
        <stp>FX=USD</stp>
        <tr r="F1070" s="3"/>
      </tp>
      <tp t="s">
        <v>#N/A Connection</v>
        <stp/>
        <stp>##V3_BDHV12</stp>
        <stp>F US Equity</stp>
        <stp>RR903</stp>
        <stp>-60CQ</stp>
        <stp>3/31/2019</stp>
        <stp>[BI_AUTMG_1_3wwqb2a2.xlsx]ReferenceData!R811C6</stp>
        <stp>Per=CQ</stp>
        <stp>Dts=H</stp>
        <stp>Dir=H</stp>
        <stp>Points=60</stp>
        <stp>Sort=R</stp>
        <stp>Days=A</stp>
        <stp>Fill=B</stp>
        <stp>FX=USD</stp>
        <tr r="F811" s="3"/>
      </tp>
      <tp t="s">
        <v>#N/A Connection</v>
        <stp/>
        <stp>##V3_BDHV12</stp>
        <stp>7267 JP Equity</stp>
        <stp>RR480</stp>
        <stp>-60CQ</stp>
        <stp>3/31/2019</stp>
        <stp>[BI_AUTMG_1_3wwqb2a2.xlsx]ReferenceData!R1058C6</stp>
        <stp>Per=CQ</stp>
        <stp>Dts=H</stp>
        <stp>Dir=H</stp>
        <stp>Points=60</stp>
        <stp>Sort=R</stp>
        <stp>Days=A</stp>
        <stp>Fill=B</stp>
        <stp>FX=USD</stp>
        <tr r="F1058" s="3"/>
      </tp>
      <tp t="s">
        <v>#N/A Connection</v>
        <stp/>
        <stp>##V3_BDHV12</stp>
        <stp>F US Equity</stp>
        <stp>RR904</stp>
        <stp>-60CQ</stp>
        <stp>3/31/2019</stp>
        <stp>[BI_AUTMG_1_3wwqb2a2.xlsx]ReferenceData!R931C6</stp>
        <stp>Per=CQ</stp>
        <stp>Dts=H</stp>
        <stp>Dir=H</stp>
        <stp>Points=60</stp>
        <stp>Sort=R</stp>
        <stp>Days=A</stp>
        <stp>Fill=B</stp>
        <stp>FX=USD</stp>
        <tr r="F931" s="3"/>
      </tp>
      <tp t="s">
        <v>#N/A Connection</v>
        <stp/>
        <stp>##V3_BDHV12</stp>
        <stp>7261 JP Equity</stp>
        <stp>RR480</stp>
        <stp>-60CQ</stp>
        <stp>3/31/2019</stp>
        <stp>[BI_AUTMG_1_3wwqb2a2.xlsx]ReferenceData!R1061C6</stp>
        <stp>Per=CQ</stp>
        <stp>Dts=H</stp>
        <stp>Dir=H</stp>
        <stp>Points=60</stp>
        <stp>Sort=R</stp>
        <stp>Days=A</stp>
        <stp>Fill=B</stp>
        <stp>FX=USD</stp>
        <tr r="F1061" s="3"/>
      </tp>
      <tp t="s">
        <v>#N/A Connection</v>
        <stp/>
        <stp>##V3_BDHV12</stp>
        <stp>F US Equity</stp>
        <stp>RR971</stp>
        <stp>-60CQ</stp>
        <stp>3/31/2019</stp>
        <stp>[BI_AUTMG_1_3wwqb2a2.xlsx]ReferenceData!R891C6</stp>
        <stp>Per=CQ</stp>
        <stp>Dts=H</stp>
        <stp>Dir=H</stp>
        <stp>Points=60</stp>
        <stp>Sort=R</stp>
        <stp>Days=A</stp>
        <stp>Fill=B</stp>
        <stp>FX=USD</stp>
        <tr r="F891" s="3"/>
      </tp>
      <tp t="s">
        <v>#N/A Connection</v>
        <stp/>
        <stp>##V3_BDHV12</stp>
        <stp>7262 JP Equity</stp>
        <stp>RR480</stp>
        <stp>-60CQ</stp>
        <stp>3/31/2019</stp>
        <stp>[BI_AUTMG_1_3wwqb2a2.xlsx]ReferenceData!R1045C6</stp>
        <stp>Per=CQ</stp>
        <stp>Dts=H</stp>
        <stp>Dir=H</stp>
        <stp>Points=60</stp>
        <stp>Sort=R</stp>
        <stp>Days=A</stp>
        <stp>Fill=B</stp>
        <stp>FX=USD</stp>
        <tr r="F1045" s="3"/>
      </tp>
      <tp t="s">
        <v>#N/A Connection</v>
        <stp/>
        <stp>##V3_BDHV12</stp>
        <stp>F US Equity</stp>
        <stp>RR900</stp>
        <stp>-60CQ</stp>
        <stp>3/31/2019</stp>
        <stp>[BI_AUTMG_1_3wwqb2a2.xlsx]ReferenceData!R691C6</stp>
        <stp>Per=CQ</stp>
        <stp>Dts=H</stp>
        <stp>Dir=H</stp>
        <stp>Points=60</stp>
        <stp>Sort=R</stp>
        <stp>Days=A</stp>
        <stp>Fill=B</stp>
        <stp>FX=USD</stp>
        <tr r="F691" s="3"/>
      </tp>
      <tp t="s">
        <v>#N/A Connection</v>
        <stp/>
        <stp>##V3_BDHV12</stp>
        <stp>7269 JP Equity</stp>
        <stp>RR480</stp>
        <stp>-60CQ</stp>
        <stp>3/31/2019</stp>
        <stp>[BI_AUTMG_1_3wwqb2a2.xlsx]ReferenceData!R1071C6</stp>
        <stp>Per=CQ</stp>
        <stp>Dts=H</stp>
        <stp>Dir=H</stp>
        <stp>Points=60</stp>
        <stp>Sort=R</stp>
        <stp>Days=A</stp>
        <stp>Fill=B</stp>
        <stp>FX=USD</stp>
        <tr r="F1071" s="3"/>
      </tp>
      <tp t="s">
        <v>#N/A Connection</v>
        <stp/>
        <stp>##V3_BDHV12</stp>
        <stp>SVAV RM Equity</stp>
        <stp>RR474</stp>
        <stp>-60CQ</stp>
        <stp>3/31/2019</stp>
        <stp>[BI_AUTMG_1_3wwqb2a2.xlsx]ReferenceData!R988C6</stp>
        <stp>Per=CQ</stp>
        <stp>Dts=H</stp>
        <stp>Dir=H</stp>
        <stp>Points=60</stp>
        <stp>Sort=R</stp>
        <stp>Days=A</stp>
        <stp>Fill=B</stp>
        <stp>FX=USD</stp>
        <tr r="F988" s="3"/>
      </tp>
      <tp t="s">
        <v>#N/A Connection</v>
        <stp/>
        <stp>##V3_BDHV12</stp>
        <stp>AVAZ RM Equity</stp>
        <stp>RR474</stp>
        <stp>-60CQ</stp>
        <stp>3/31/2019</stp>
        <stp>[BI_AUTMG_1_3wwqb2a2.xlsx]ReferenceData!R960C6</stp>
        <stp>Per=CQ</stp>
        <stp>Dts=H</stp>
        <stp>Dir=H</stp>
        <stp>Points=60</stp>
        <stp>Sort=R</stp>
        <stp>Days=A</stp>
        <stp>Fill=B</stp>
        <stp>FX=USD</stp>
        <tr r="F960" s="3"/>
      </tp>
      <tp t="s">
        <v>#N/A Connection</v>
        <stp/>
        <stp>##V3_BDHV12</stp>
        <stp>RNO FP Equity</stp>
        <stp>RR903</stp>
        <stp>-60CQ</stp>
        <stp>3/31/2019</stp>
        <stp>[BI_AUTMG_1_3wwqb2a2.xlsx]ReferenceData!R825C6</stp>
        <stp>Per=CQ</stp>
        <stp>Dts=H</stp>
        <stp>Dir=H</stp>
        <stp>Points=60</stp>
        <stp>Sort=R</stp>
        <stp>Days=A</stp>
        <stp>Fill=B</stp>
        <stp>FX=USD</stp>
        <tr r="F825" s="3"/>
      </tp>
      <tp t="s">
        <v>#N/A Connection</v>
        <stp/>
        <stp>##V3_BDHV12</stp>
        <stp>7201 JP Equity</stp>
        <stp>DV013</stp>
        <stp>-60CQ</stp>
        <stp>3/31/2019</stp>
        <stp>[BI_AUTMG_1_3wwqb2a2.xlsx]ReferenceData!R1183C6</stp>
        <stp>Per=CQ</stp>
        <stp>Dts=H</stp>
        <stp>Dir=H</stp>
        <stp>Points=60</stp>
        <stp>Sort=R</stp>
        <stp>Days=A</stp>
        <stp>Fill=B</stp>
        <stp>FX=USD</stp>
        <tr r="F1183" s="3"/>
      </tp>
      <tp t="s">
        <v>#N/A Connection</v>
        <stp/>
        <stp>##V3_BDHV12</stp>
        <stp>RNO FP Equity</stp>
        <stp>RR904</stp>
        <stp>-60CQ</stp>
        <stp>3/31/2019</stp>
        <stp>[BI_AUTMG_1_3wwqb2a2.xlsx]ReferenceData!R945C6</stp>
        <stp>Per=CQ</stp>
        <stp>Dts=H</stp>
        <stp>Dir=H</stp>
        <stp>Points=60</stp>
        <stp>Sort=R</stp>
        <stp>Days=A</stp>
        <stp>Fill=B</stp>
        <stp>FX=USD</stp>
        <tr r="F945" s="3"/>
      </tp>
      <tp t="s">
        <v>#N/A Connection</v>
        <stp/>
        <stp>##V3_BDHV12</stp>
        <stp>7203 JP Equity</stp>
        <stp>DV013</stp>
        <stp>-60CQ</stp>
        <stp>3/31/2019</stp>
        <stp>[BI_AUTMG_1_3wwqb2a2.xlsx]ReferenceData!R1196C6</stp>
        <stp>Per=CQ</stp>
        <stp>Dts=H</stp>
        <stp>Dir=H</stp>
        <stp>Points=60</stp>
        <stp>Sort=R</stp>
        <stp>Days=A</stp>
        <stp>Fill=B</stp>
        <stp>FX=USD</stp>
        <tr r="F1196" s="3"/>
      </tp>
      <tp t="s">
        <v>#N/A Connection</v>
        <stp/>
        <stp>##V3_BDHV12</stp>
        <stp>RNO FP Equity</stp>
        <stp>RR971</stp>
        <stp>-60CQ</stp>
        <stp>3/31/2019</stp>
        <stp>[BI_AUTMG_1_3wwqb2a2.xlsx]ReferenceData!R905C6</stp>
        <stp>Per=CQ</stp>
        <stp>Dts=H</stp>
        <stp>Dir=H</stp>
        <stp>Points=60</stp>
        <stp>Sort=R</stp>
        <stp>Days=A</stp>
        <stp>Fill=B</stp>
        <stp>FX=USD</stp>
        <tr r="F905" s="3"/>
      </tp>
      <tp t="s">
        <v>#N/A Connection</v>
        <stp/>
        <stp>##V3_BDHV12</stp>
        <stp>RNO FP Equity</stp>
        <stp>RR900</stp>
        <stp>-60CQ</stp>
        <stp>3/31/2019</stp>
        <stp>[BI_AUTMG_1_3wwqb2a2.xlsx]ReferenceData!R705C6</stp>
        <stp>Per=CQ</stp>
        <stp>Dts=H</stp>
        <stp>Dir=H</stp>
        <stp>Points=60</stp>
        <stp>Sort=R</stp>
        <stp>Days=A</stp>
        <stp>Fill=B</stp>
        <stp>FX=USD</stp>
        <tr r="F705" s="3"/>
      </tp>
      <tp t="s">
        <v>#N/A Connection</v>
        <stp/>
        <stp>##V3_BDHV12</stp>
        <stp>7262 JP Equity</stp>
        <stp>RR476</stp>
        <stp>-60CQ</stp>
        <stp>3/31/2019</stp>
        <stp>[BI_AUTMG_1_3wwqb2a2.xlsx]ReferenceData!R1125C6</stp>
        <stp>Per=CQ</stp>
        <stp>Dts=H</stp>
        <stp>Dir=H</stp>
        <stp>Points=60</stp>
        <stp>Sort=R</stp>
        <stp>Days=A</stp>
        <stp>Fill=B</stp>
        <stp>FX=USD</stp>
        <tr r="F1125" s="3"/>
      </tp>
      <tp t="s">
        <v>#N/A Connection</v>
        <stp/>
        <stp>##V3_BDHV12</stp>
        <stp>7261 JP Equity</stp>
        <stp>RX076</stp>
        <stp>-60CQ</stp>
        <stp>3/31/2019</stp>
        <stp>[BI_AUTMG_1_3wwqb2a2.xlsx]ReferenceData!R1221C6</stp>
        <stp>Per=CQ</stp>
        <stp>Dts=H</stp>
        <stp>Dir=H</stp>
        <stp>Points=60</stp>
        <stp>Sort=R</stp>
        <stp>Days=A</stp>
        <stp>Fill=B</stp>
        <stp>FX=USD</stp>
        <tr r="F1221" s="3"/>
      </tp>
      <tp t="s">
        <v>#N/A Connection</v>
        <stp/>
        <stp>##V3_BDHV12</stp>
        <stp>7262 JP Equity</stp>
        <stp>RR477</stp>
        <stp>-60CQ</stp>
        <stp>3/31/2019</stp>
        <stp>[BI_AUTMG_1_3wwqb2a2.xlsx]ReferenceData!R1085C6</stp>
        <stp>Per=CQ</stp>
        <stp>Dts=H</stp>
        <stp>Dir=H</stp>
        <stp>Points=60</stp>
        <stp>Sort=R</stp>
        <stp>Days=A</stp>
        <stp>Fill=B</stp>
        <stp>FX=USD</stp>
        <tr r="F1085" s="3"/>
      </tp>
      <tp t="s">
        <v>#N/A Connection</v>
        <stp/>
        <stp>##V3_BDHV12</stp>
        <stp>7267 JP Equity</stp>
        <stp>RR473</stp>
        <stp>-60CQ</stp>
        <stp>3/31/2019</stp>
        <stp>[BI_AUTMG_1_3wwqb2a2.xlsx]ReferenceData!R1018C6</stp>
        <stp>Per=CQ</stp>
        <stp>Dts=H</stp>
        <stp>Dir=H</stp>
        <stp>Points=60</stp>
        <stp>Sort=R</stp>
        <stp>Days=A</stp>
        <stp>Fill=B</stp>
        <stp>FX=USD</stp>
        <tr r="F1018" s="3"/>
      </tp>
      <tp t="s">
        <v>#N/A Connection</v>
        <stp/>
        <stp>##V3_BDHV12</stp>
        <stp>7261 JP Equity</stp>
        <stp>RR477</stp>
        <stp>-60CQ</stp>
        <stp>3/31/2019</stp>
        <stp>[BI_AUTMG_1_3wwqb2a2.xlsx]ReferenceData!R1101C6</stp>
        <stp>Per=CQ</stp>
        <stp>Dts=H</stp>
        <stp>Dir=H</stp>
        <stp>Points=60</stp>
        <stp>Sort=R</stp>
        <stp>Days=A</stp>
        <stp>Fill=B</stp>
        <stp>FX=USD</stp>
        <tr r="F1101" s="3"/>
      </tp>
      <tp t="s">
        <v>#N/A Connection</v>
        <stp/>
        <stp>##V3_BDHV12</stp>
        <stp>7267 JP Equity</stp>
        <stp>RX072</stp>
        <stp>-60CQ</stp>
        <stp>3/31/2019</stp>
        <stp>[BI_AUTMG_1_3wwqb2a2.xlsx]ReferenceData!R1258C6</stp>
        <stp>Per=CQ</stp>
        <stp>Dts=H</stp>
        <stp>Dir=H</stp>
        <stp>Points=60</stp>
        <stp>Sort=R</stp>
        <stp>Days=A</stp>
        <stp>Fill=B</stp>
        <stp>FX=USD</stp>
        <tr r="F1258" s="3"/>
      </tp>
      <tp t="s">
        <v>#N/A Connection</v>
        <stp/>
        <stp>##V3_BDHV12</stp>
        <stp>7261 JP Equity</stp>
        <stp>RR476</stp>
        <stp>-60CQ</stp>
        <stp>3/31/2019</stp>
        <stp>[BI_AUTMG_1_3wwqb2a2.xlsx]ReferenceData!R1141C6</stp>
        <stp>Per=CQ</stp>
        <stp>Dts=H</stp>
        <stp>Dir=H</stp>
        <stp>Points=60</stp>
        <stp>Sort=R</stp>
        <stp>Days=A</stp>
        <stp>Fill=B</stp>
        <stp>FX=USD</stp>
        <tr r="F1141" s="3"/>
      </tp>
      <tp t="s">
        <v>#N/A Connection</v>
        <stp/>
        <stp>##V3_BDHV12</stp>
        <stp>7262 JP Equity</stp>
        <stp>RX076</stp>
        <stp>-60CQ</stp>
        <stp>3/31/2019</stp>
        <stp>[BI_AUTMG_1_3wwqb2a2.xlsx]ReferenceData!R1205C6</stp>
        <stp>Per=CQ</stp>
        <stp>Dts=H</stp>
        <stp>Dir=H</stp>
        <stp>Points=60</stp>
        <stp>Sort=R</stp>
        <stp>Days=A</stp>
        <stp>Fill=B</stp>
        <stp>FX=USD</stp>
        <tr r="F1205" s="3"/>
      </tp>
      <tp t="s">
        <v>#N/A Connection</v>
        <stp/>
        <stp>##V3_BDHV12</stp>
        <stp>7262 JP Equity</stp>
        <stp>RR473</stp>
        <stp>-60CQ</stp>
        <stp>3/31/2019</stp>
        <stp>[BI_AUTMG_1_3wwqb2a2.xlsx]ReferenceData!R1005C6</stp>
        <stp>Per=CQ</stp>
        <stp>Dts=H</stp>
        <stp>Dir=H</stp>
        <stp>Points=60</stp>
        <stp>Sort=R</stp>
        <stp>Days=A</stp>
        <stp>Fill=B</stp>
        <stp>FX=USD</stp>
        <tr r="F1005" s="3"/>
      </tp>
      <tp t="s">
        <v>#N/A Connection</v>
        <stp/>
        <stp>##V3_BDHV12</stp>
        <stp>7261 JP Equity</stp>
        <stp>RX072</stp>
        <stp>-60CQ</stp>
        <stp>3/31/2019</stp>
        <stp>[BI_AUTMG_1_3wwqb2a2.xlsx]ReferenceData!R1261C6</stp>
        <stp>Per=CQ</stp>
        <stp>Dts=H</stp>
        <stp>Dir=H</stp>
        <stp>Points=60</stp>
        <stp>Sort=R</stp>
        <stp>Days=A</stp>
        <stp>Fill=B</stp>
        <stp>FX=USD</stp>
        <tr r="F1261" s="3"/>
      </tp>
      <tp t="s">
        <v>#N/A Connection</v>
        <stp/>
        <stp>##V3_BDHV12</stp>
        <stp>7267 JP Equity</stp>
        <stp>RR476</stp>
        <stp>-60CQ</stp>
        <stp>3/31/2019</stp>
        <stp>[BI_AUTMG_1_3wwqb2a2.xlsx]ReferenceData!R1138C6</stp>
        <stp>Per=CQ</stp>
        <stp>Dts=H</stp>
        <stp>Dir=H</stp>
        <stp>Points=60</stp>
        <stp>Sort=R</stp>
        <stp>Days=A</stp>
        <stp>Fill=B</stp>
        <stp>FX=USD</stp>
        <tr r="F1138" s="3"/>
      </tp>
      <tp t="s">
        <v>#N/A Connection</v>
        <stp/>
        <stp>##V3_BDHV12</stp>
        <stp>7267 JP Equity</stp>
        <stp>RR477</stp>
        <stp>-60CQ</stp>
        <stp>3/31/2019</stp>
        <stp>[BI_AUTMG_1_3wwqb2a2.xlsx]ReferenceData!R1098C6</stp>
        <stp>Per=CQ</stp>
        <stp>Dts=H</stp>
        <stp>Dir=H</stp>
        <stp>Points=60</stp>
        <stp>Sort=R</stp>
        <stp>Days=A</stp>
        <stp>Fill=B</stp>
        <stp>FX=USD</stp>
        <tr r="F1098" s="3"/>
      </tp>
      <tp t="s">
        <v>#N/A Connection</v>
        <stp/>
        <stp>##V3_BDHV12</stp>
        <stp>7267 JP Equity</stp>
        <stp>RX076</stp>
        <stp>-60CQ</stp>
        <stp>3/31/2019</stp>
        <stp>[BI_AUTMG_1_3wwqb2a2.xlsx]ReferenceData!R1218C6</stp>
        <stp>Per=CQ</stp>
        <stp>Dts=H</stp>
        <stp>Dir=H</stp>
        <stp>Points=60</stp>
        <stp>Sort=R</stp>
        <stp>Days=A</stp>
        <stp>Fill=B</stp>
        <stp>FX=USD</stp>
        <tr r="F1218" s="3"/>
      </tp>
      <tp t="s">
        <v>#N/A Connection</v>
        <stp/>
        <stp>##V3_BDHV12</stp>
        <stp>7261 JP Equity</stp>
        <stp>RR473</stp>
        <stp>-60CQ</stp>
        <stp>3/31/2019</stp>
        <stp>[BI_AUTMG_1_3wwqb2a2.xlsx]ReferenceData!R1021C6</stp>
        <stp>Per=CQ</stp>
        <stp>Dts=H</stp>
        <stp>Dir=H</stp>
        <stp>Points=60</stp>
        <stp>Sort=R</stp>
        <stp>Days=A</stp>
        <stp>Fill=B</stp>
        <stp>FX=USD</stp>
        <tr r="F1021" s="3"/>
      </tp>
      <tp t="s">
        <v>#N/A Connection</v>
        <stp/>
        <stp>##V3_BDHV12</stp>
        <stp>7262 JP Equity</stp>
        <stp>RX072</stp>
        <stp>-60CQ</stp>
        <stp>3/31/2019</stp>
        <stp>[BI_AUTMG_1_3wwqb2a2.xlsx]ReferenceData!R1245C6</stp>
        <stp>Per=CQ</stp>
        <stp>Dts=H</stp>
        <stp>Dir=H</stp>
        <stp>Points=60</stp>
        <stp>Sort=R</stp>
        <stp>Days=A</stp>
        <stp>Fill=B</stp>
        <stp>FX=USD</stp>
        <tr r="F1245" s="3"/>
      </tp>
      <tp t="s">
        <v>#N/A Connection</v>
        <stp/>
        <stp>##V3_BDHV12</stp>
        <stp>7269 JP Equity</stp>
        <stp>RX076</stp>
        <stp>-60CQ</stp>
        <stp>3/31/2019</stp>
        <stp>[BI_AUTMG_1_3wwqb2a2.xlsx]ReferenceData!R1231C6</stp>
        <stp>Per=CQ</stp>
        <stp>Dts=H</stp>
        <stp>Dir=H</stp>
        <stp>Points=60</stp>
        <stp>Sort=R</stp>
        <stp>Days=A</stp>
        <stp>Fill=B</stp>
        <stp>FX=USD</stp>
        <tr r="F1231" s="3"/>
      </tp>
      <tp t="s">
        <v>#N/A Connection</v>
        <stp/>
        <stp>##V3_BDHV12</stp>
        <stp>7269 JP Equity</stp>
        <stp>RR477</stp>
        <stp>-60CQ</stp>
        <stp>3/31/2019</stp>
        <stp>[BI_AUTMG_1_3wwqb2a2.xlsx]ReferenceData!R1111C6</stp>
        <stp>Per=CQ</stp>
        <stp>Dts=H</stp>
        <stp>Dir=H</stp>
        <stp>Points=60</stp>
        <stp>Sort=R</stp>
        <stp>Days=A</stp>
        <stp>Fill=B</stp>
        <stp>FX=USD</stp>
        <tr r="F1111" s="3"/>
      </tp>
      <tp t="s">
        <v>#N/A Connection</v>
        <stp/>
        <stp>##V3_BDHV12</stp>
        <stp>7269 JP Equity</stp>
        <stp>RR476</stp>
        <stp>-60CQ</stp>
        <stp>3/31/2019</stp>
        <stp>[BI_AUTMG_1_3wwqb2a2.xlsx]ReferenceData!R1151C6</stp>
        <stp>Per=CQ</stp>
        <stp>Dts=H</stp>
        <stp>Dir=H</stp>
        <stp>Points=60</stp>
        <stp>Sort=R</stp>
        <stp>Days=A</stp>
        <stp>Fill=B</stp>
        <stp>FX=USD</stp>
        <tr r="F1151" s="3"/>
      </tp>
      <tp t="s">
        <v>#N/A Connection</v>
        <stp/>
        <stp>##V3_BDHV12</stp>
        <stp>7269 JP Equity</stp>
        <stp>RX072</stp>
        <stp>-60CQ</stp>
        <stp>3/31/2019</stp>
        <stp>[BI_AUTMG_1_3wwqb2a2.xlsx]ReferenceData!R1271C6</stp>
        <stp>Per=CQ</stp>
        <stp>Dts=H</stp>
        <stp>Dir=H</stp>
        <stp>Points=60</stp>
        <stp>Sort=R</stp>
        <stp>Days=A</stp>
        <stp>Fill=B</stp>
        <stp>FX=USD</stp>
        <tr r="F1271" s="3"/>
      </tp>
      <tp t="s">
        <v>#N/A Connection</v>
        <stp/>
        <stp>##V3_BDHV12</stp>
        <stp>7269 JP Equity</stp>
        <stp>RR473</stp>
        <stp>-60CQ</stp>
        <stp>3/31/2019</stp>
        <stp>[BI_AUTMG_1_3wwqb2a2.xlsx]ReferenceData!R1031C6</stp>
        <stp>Per=CQ</stp>
        <stp>Dts=H</stp>
        <stp>Dir=H</stp>
        <stp>Points=60</stp>
        <stp>Sort=R</stp>
        <stp>Days=A</stp>
        <stp>Fill=B</stp>
        <stp>FX=USD</stp>
        <tr r="F1031" s="3"/>
      </tp>
      <tp t="s">
        <v>#N/A Connection</v>
        <stp/>
        <stp>##V3_BDHV12</stp>
        <stp>TSLA US Equity</stp>
        <stp>RR900</stp>
        <stp>-60CQ</stp>
        <stp>3/31/2019</stp>
        <stp>[BI_AUTMG_1_3wwqb2a2.xlsx]ReferenceData!R713C6</stp>
        <stp>Per=CQ</stp>
        <stp>Dts=H</stp>
        <stp>Dir=H</stp>
        <stp>Points=60</stp>
        <stp>Sort=R</stp>
        <stp>Days=A</stp>
        <stp>Fill=B</stp>
        <stp>FX=USD</stp>
        <tr r="F713" s="3"/>
      </tp>
      <tp t="s">
        <v>#N/A Connection</v>
        <stp/>
        <stp>##V3_BDHV12</stp>
        <stp>TSLA US Equity</stp>
        <stp>RR971</stp>
        <stp>-60CQ</stp>
        <stp>3/31/2019</stp>
        <stp>[BI_AUTMG_1_3wwqb2a2.xlsx]ReferenceData!R913C6</stp>
        <stp>Per=CQ</stp>
        <stp>Dts=H</stp>
        <stp>Dir=H</stp>
        <stp>Points=60</stp>
        <stp>Sort=R</stp>
        <stp>Days=A</stp>
        <stp>Fill=B</stp>
        <stp>FX=USD</stp>
        <tr r="F913" s="3"/>
      </tp>
      <tp t="s">
        <v>#N/A Connection</v>
        <stp/>
        <stp>##V3_BDHV12</stp>
        <stp>TSLA US Equity</stp>
        <stp>RR904</stp>
        <stp>-60CQ</stp>
        <stp>3/31/2019</stp>
        <stp>[BI_AUTMG_1_3wwqb2a2.xlsx]ReferenceData!R953C6</stp>
        <stp>Per=CQ</stp>
        <stp>Dts=H</stp>
        <stp>Dir=H</stp>
        <stp>Points=60</stp>
        <stp>Sort=R</stp>
        <stp>Days=A</stp>
        <stp>Fill=B</stp>
        <stp>FX=USD</stp>
        <tr r="F953" s="3"/>
      </tp>
      <tp t="s">
        <v>#N/A Connection</v>
        <stp/>
        <stp>##V3_BDHV12</stp>
        <stp>TSLA US Equity</stp>
        <stp>RR903</stp>
        <stp>-60CQ</stp>
        <stp>3/31/2019</stp>
        <stp>[BI_AUTMG_1_3wwqb2a2.xlsx]ReferenceData!R833C6</stp>
        <stp>Per=CQ</stp>
        <stp>Dts=H</stp>
        <stp>Dir=H</stp>
        <stp>Points=60</stp>
        <stp>Sort=R</stp>
        <stp>Days=A</stp>
        <stp>Fill=B</stp>
        <stp>FX=USD</stp>
        <tr r="F833" s="3"/>
      </tp>
      <tp t="s">
        <v>#N/A Connection</v>
        <stp/>
        <stp>##V3_BDHV12</stp>
        <stp>7211 JP Equity</stp>
        <stp>DV013</stp>
        <stp>-60CQ</stp>
        <stp>3/31/2019</stp>
        <stp>[BI_AUTMG_1_3wwqb2a2.xlsx]ReferenceData!R1182C6</stp>
        <stp>Per=CQ</stp>
        <stp>Dts=H</stp>
        <stp>Dir=H</stp>
        <stp>Points=60</stp>
        <stp>Sort=R</stp>
        <stp>Days=A</stp>
        <stp>Fill=B</stp>
        <stp>FX=USD</stp>
        <tr r="F1182" s="3"/>
      </tp>
      <tp t="s">
        <v>#N/A Connection</v>
        <stp/>
        <stp>##V3_BDHV12</stp>
        <stp>7270 JP Equity</stp>
        <stp>RX076</stp>
        <stp>-60CQ</stp>
        <stp>3/31/2019</stp>
        <stp>[BI_AUTMG_1_3wwqb2a2.xlsx]ReferenceData!R1230C6</stp>
        <stp>Per=CQ</stp>
        <stp>Dts=H</stp>
        <stp>Dir=H</stp>
        <stp>Points=60</stp>
        <stp>Sort=R</stp>
        <stp>Days=A</stp>
        <stp>Fill=B</stp>
        <stp>FX=USD</stp>
        <tr r="F1230" s="3"/>
      </tp>
      <tp t="s">
        <v>#N/A Connection</v>
        <stp/>
        <stp>##V3_BDHV12</stp>
        <stp>7270 JP Equity</stp>
        <stp>RR476</stp>
        <stp>-60CQ</stp>
        <stp>3/31/2019</stp>
        <stp>[BI_AUTMG_1_3wwqb2a2.xlsx]ReferenceData!R1150C6</stp>
        <stp>Per=CQ</stp>
        <stp>Dts=H</stp>
        <stp>Dir=H</stp>
        <stp>Points=60</stp>
        <stp>Sort=R</stp>
        <stp>Days=A</stp>
        <stp>Fill=B</stp>
        <stp>FX=USD</stp>
        <tr r="F1150" s="3"/>
      </tp>
      <tp t="s">
        <v>#N/A Connection</v>
        <stp/>
        <stp>##V3_BDHV12</stp>
        <stp>7270 JP Equity</stp>
        <stp>RR477</stp>
        <stp>-60CQ</stp>
        <stp>3/31/2019</stp>
        <stp>[BI_AUTMG_1_3wwqb2a2.xlsx]ReferenceData!R1110C6</stp>
        <stp>Per=CQ</stp>
        <stp>Dts=H</stp>
        <stp>Dir=H</stp>
        <stp>Points=60</stp>
        <stp>Sort=R</stp>
        <stp>Days=A</stp>
        <stp>Fill=B</stp>
        <stp>FX=USD</stp>
        <tr r="F1110" s="3"/>
      </tp>
      <tp t="s">
        <v>#N/A Connection</v>
        <stp/>
        <stp>##V3_BDHV12</stp>
        <stp>7270 JP Equity</stp>
        <stp>RX072</stp>
        <stp>-60CQ</stp>
        <stp>3/31/2019</stp>
        <stp>[BI_AUTMG_1_3wwqb2a2.xlsx]ReferenceData!R1270C6</stp>
        <stp>Per=CQ</stp>
        <stp>Dts=H</stp>
        <stp>Dir=H</stp>
        <stp>Points=60</stp>
        <stp>Sort=R</stp>
        <stp>Days=A</stp>
        <stp>Fill=B</stp>
        <stp>FX=USD</stp>
        <tr r="F1270" s="3"/>
      </tp>
      <tp t="s">
        <v>#N/A Connection</v>
        <stp/>
        <stp>##V3_BDHV12</stp>
        <stp>7270 JP Equity</stp>
        <stp>RR473</stp>
        <stp>-60CQ</stp>
        <stp>3/31/2019</stp>
        <stp>[BI_AUTMG_1_3wwqb2a2.xlsx]ReferenceData!R1030C6</stp>
        <stp>Per=CQ</stp>
        <stp>Dts=H</stp>
        <stp>Dir=H</stp>
        <stp>Points=60</stp>
        <stp>Sort=R</stp>
        <stp>Days=A</stp>
        <stp>Fill=B</stp>
        <stp>FX=USD</stp>
        <tr r="F1030" s="3"/>
      </tp>
      <tp t="s">
        <v>#N/A Connection</v>
        <stp/>
        <stp>##V3_BDHV12</stp>
        <stp>2206 TT Equity</stp>
        <stp>RR473</stp>
        <stp>-60CQ</stp>
        <stp>3/31/2019</stp>
        <stp>[BI_AUTMG_1_3wwqb2a2.xlsx]ReferenceData!R1027C6</stp>
        <stp>Per=CQ</stp>
        <stp>Dts=H</stp>
        <stp>Dir=H</stp>
        <stp>Points=60</stp>
        <stp>Sort=R</stp>
        <stp>Days=A</stp>
        <stp>Fill=B</stp>
        <stp>FX=USD</stp>
        <tr r="F1027" s="3"/>
      </tp>
      <tp t="s">
        <v>#N/A Connection</v>
        <stp/>
        <stp>##V3_BDHV12</stp>
        <stp>2201 TT Equity</stp>
        <stp>RX076</stp>
        <stp>-60CQ</stp>
        <stp>3/31/2019</stp>
        <stp>[BI_AUTMG_1_3wwqb2a2.xlsx]ReferenceData!R1238C6</stp>
        <stp>Per=CQ</stp>
        <stp>Dts=H</stp>
        <stp>Dir=H</stp>
        <stp>Points=60</stp>
        <stp>Sort=R</stp>
        <stp>Days=A</stp>
        <stp>Fill=B</stp>
        <stp>FX=USD</stp>
        <tr r="F1238" s="3"/>
      </tp>
      <tp t="s">
        <v>#N/A Connection</v>
        <stp/>
        <stp>##V3_BDHV12</stp>
        <stp>2201 TT Equity</stp>
        <stp>RR477</stp>
        <stp>-60CQ</stp>
        <stp>3/31/2019</stp>
        <stp>[BI_AUTMG_1_3wwqb2a2.xlsx]ReferenceData!R1118C6</stp>
        <stp>Per=CQ</stp>
        <stp>Dts=H</stp>
        <stp>Dir=H</stp>
        <stp>Points=60</stp>
        <stp>Sort=R</stp>
        <stp>Days=A</stp>
        <stp>Fill=B</stp>
        <stp>FX=USD</stp>
        <tr r="F1118" s="3"/>
      </tp>
      <tp t="s">
        <v>#N/A Connection</v>
        <stp/>
        <stp>##V3_BDHV12</stp>
        <stp>2201 TT Equity</stp>
        <stp>RR476</stp>
        <stp>-60CQ</stp>
        <stp>3/31/2019</stp>
        <stp>[BI_AUTMG_1_3wwqb2a2.xlsx]ReferenceData!R1158C6</stp>
        <stp>Per=CQ</stp>
        <stp>Dts=H</stp>
        <stp>Dir=H</stp>
        <stp>Points=60</stp>
        <stp>Sort=R</stp>
        <stp>Days=A</stp>
        <stp>Fill=B</stp>
        <stp>FX=USD</stp>
        <tr r="F1158" s="3"/>
      </tp>
      <tp t="s">
        <v>#N/A Connection</v>
        <stp/>
        <stp>##V3_BDHV12</stp>
        <stp>2206 TT Equity</stp>
        <stp>RX072</stp>
        <stp>-60CQ</stp>
        <stp>3/31/2019</stp>
        <stp>[BI_AUTMG_1_3wwqb2a2.xlsx]ReferenceData!R1267C6</stp>
        <stp>Per=CQ</stp>
        <stp>Dts=H</stp>
        <stp>Dir=H</stp>
        <stp>Points=60</stp>
        <stp>Sort=R</stp>
        <stp>Days=A</stp>
        <stp>Fill=B</stp>
        <stp>FX=USD</stp>
        <tr r="F1267" s="3"/>
      </tp>
      <tp t="s">
        <v>#N/A Connection</v>
        <stp/>
        <stp>##V3_BDHV12</stp>
        <stp>F US Equity</stp>
        <stp>RR474</stp>
        <stp>-60CQ</stp>
        <stp>3/31/2019</stp>
        <stp>[BI_AUTMG_1_3wwqb2a2.xlsx]ReferenceData!R971C6</stp>
        <stp>Per=CQ</stp>
        <stp>Dts=H</stp>
        <stp>Dir=H</stp>
        <stp>Points=60</stp>
        <stp>Sort=R</stp>
        <stp>Days=A</stp>
        <stp>Fill=B</stp>
        <stp>FX=USD</stp>
        <tr r="F971" s="3"/>
      </tp>
      <tp t="s">
        <v>#N/A Connection</v>
        <stp/>
        <stp>##V3_BDHV12</stp>
        <stp>2206 TT Equity</stp>
        <stp>RR476</stp>
        <stp>-60CQ</stp>
        <stp>3/31/2019</stp>
        <stp>[BI_AUTMG_1_3wwqb2a2.xlsx]ReferenceData!R1147C6</stp>
        <stp>Per=CQ</stp>
        <stp>Dts=H</stp>
        <stp>Dir=H</stp>
        <stp>Points=60</stp>
        <stp>Sort=R</stp>
        <stp>Days=A</stp>
        <stp>Fill=B</stp>
        <stp>FX=USD</stp>
        <tr r="F1147" s="3"/>
      </tp>
      <tp t="s">
        <v>#N/A Connection</v>
        <stp/>
        <stp>##V3_BDHV12</stp>
        <stp>2201 TT Equity</stp>
        <stp>RX072</stp>
        <stp>-60CQ</stp>
        <stp>3/31/2019</stp>
        <stp>[BI_AUTMG_1_3wwqb2a2.xlsx]ReferenceData!R1278C6</stp>
        <stp>Per=CQ</stp>
        <stp>Dts=H</stp>
        <stp>Dir=H</stp>
        <stp>Points=60</stp>
        <stp>Sort=R</stp>
        <stp>Days=A</stp>
        <stp>Fill=B</stp>
        <stp>FX=USD</stp>
        <tr r="F1278" s="3"/>
      </tp>
      <tp t="s">
        <v>#N/A Connection</v>
        <stp/>
        <stp>##V3_BDHV12</stp>
        <stp>2206 TT Equity</stp>
        <stp>RR477</stp>
        <stp>-60CQ</stp>
        <stp>3/31/2019</stp>
        <stp>[BI_AUTMG_1_3wwqb2a2.xlsx]ReferenceData!R1107C6</stp>
        <stp>Per=CQ</stp>
        <stp>Dts=H</stp>
        <stp>Dir=H</stp>
        <stp>Points=60</stp>
        <stp>Sort=R</stp>
        <stp>Days=A</stp>
        <stp>Fill=B</stp>
        <stp>FX=USD</stp>
        <tr r="F1107" s="3"/>
      </tp>
      <tp t="s">
        <v>#N/A Connection</v>
        <stp/>
        <stp>##V3_BDHV12</stp>
        <stp>GM US Equity</stp>
        <stp>EZ010</stp>
        <stp>-60CQ</stp>
        <stp>3/31/2019</stp>
        <stp>[BI_AUTMG_1_3wwqb2a2.xlsx]ReferenceData!R775C6</stp>
        <stp>Per=CQ</stp>
        <stp>Dts=H</stp>
        <stp>Dir=H</stp>
        <stp>Points=60</stp>
        <stp>Sort=R</stp>
        <stp>Days=A</stp>
        <stp>Fill=B</stp>
        <stp>FX=USD</stp>
        <tr r="F775" s="3"/>
      </tp>
      <tp t="s">
        <v>#N/A Connection</v>
        <stp/>
        <stp>##V3_BDHV12</stp>
        <stp>GM US Equity</stp>
        <stp>EZ009</stp>
        <stp>-60CQ</stp>
        <stp>3/31/2019</stp>
        <stp>[BI_AUTMG_1_3wwqb2a2.xlsx]ReferenceData!R735C6</stp>
        <stp>Per=CQ</stp>
        <stp>Dts=H</stp>
        <stp>Dir=H</stp>
        <stp>Points=60</stp>
        <stp>Sort=R</stp>
        <stp>Days=A</stp>
        <stp>Fill=B</stp>
        <stp>FX=USD</stp>
        <tr r="F735" s="3"/>
      </tp>
      <tp t="s">
        <v>#N/A Connection</v>
        <stp/>
        <stp>##V3_BDHV12</stp>
        <stp>2201 TT Equity</stp>
        <stp>RR473</stp>
        <stp>-60CQ</stp>
        <stp>3/31/2019</stp>
        <stp>[BI_AUTMG_1_3wwqb2a2.xlsx]ReferenceData!R1038C6</stp>
        <stp>Per=CQ</stp>
        <stp>Dts=H</stp>
        <stp>Dir=H</stp>
        <stp>Points=60</stp>
        <stp>Sort=R</stp>
        <stp>Days=A</stp>
        <stp>Fill=B</stp>
        <stp>FX=USD</stp>
        <tr r="F1038" s="3"/>
      </tp>
      <tp t="s">
        <v>#N/A Connection</v>
        <stp/>
        <stp>##V3_BDHV12</stp>
        <stp>2206 TT Equity</stp>
        <stp>RX076</stp>
        <stp>-60CQ</stp>
        <stp>3/31/2019</stp>
        <stp>[BI_AUTMG_1_3wwqb2a2.xlsx]ReferenceData!R1227C6</stp>
        <stp>Per=CQ</stp>
        <stp>Dts=H</stp>
        <stp>Dir=H</stp>
        <stp>Points=60</stp>
        <stp>Sort=R</stp>
        <stp>Days=A</stp>
        <stp>Fill=B</stp>
        <stp>FX=USD</stp>
        <tr r="F1227" s="3"/>
      </tp>
      <tp t="s">
        <v>#N/A Connection</v>
        <stp/>
        <stp>##V3_BDHV12</stp>
        <stp>7203 JP Equity</stp>
        <stp>RX539</stp>
        <stp>-60CQ</stp>
        <stp>3/31/2019</stp>
        <stp>[BI_AUTMG_1_3wwqb2a2.xlsx]ReferenceData!R1316C6</stp>
        <stp>Per=CQ</stp>
        <stp>Dts=H</stp>
        <stp>Dir=H</stp>
        <stp>Points=60</stp>
        <stp>Sort=R</stp>
        <stp>Days=A</stp>
        <stp>Fill=B</stp>
        <stp>FX=USD</stp>
        <tr r="F1316" s="3"/>
      </tp>
      <tp t="s">
        <v>#N/A Connection</v>
        <stp/>
        <stp>##V3_BDHV12</stp>
        <stp>7201 JP Equity</stp>
        <stp>RX539</stp>
        <stp>-60CQ</stp>
        <stp>3/31/2019</stp>
        <stp>[BI_AUTMG_1_3wwqb2a2.xlsx]ReferenceData!R1303C6</stp>
        <stp>Per=CQ</stp>
        <stp>Dts=H</stp>
        <stp>Dir=H</stp>
        <stp>Points=60</stp>
        <stp>Sort=R</stp>
        <stp>Days=A</stp>
        <stp>Fill=B</stp>
        <stp>FX=USD</stp>
        <tr r="F1303" s="3"/>
      </tp>
      <tp t="s">
        <v>#N/A Connection</v>
        <stp/>
        <stp>##V3_BDHV12</stp>
        <stp>GM US Equity</stp>
        <stp>RX077</stp>
        <stp>-60CQ</stp>
        <stp>3/31/2019</stp>
        <stp>[BI_AUTMG_1_3wwqb2a2.xlsx]ReferenceData!R855C6</stp>
        <stp>Per=CQ</stp>
        <stp>Dts=H</stp>
        <stp>Dir=H</stp>
        <stp>Points=60</stp>
        <stp>Sort=R</stp>
        <stp>Days=A</stp>
        <stp>Fill=B</stp>
        <stp>FX=USD</stp>
        <tr r="F855" s="3"/>
      </tp>
      <tp t="s">
        <v>#N/A Connection</v>
        <stp/>
        <stp>##V3_BDHV12</stp>
        <stp>AVAZ RM Equity</stp>
        <stp>RR900</stp>
        <stp>-60CQ</stp>
        <stp>3/31/2019</stp>
        <stp>[BI_AUTMG_1_3wwqb2a2.xlsx]ReferenceData!R680C6</stp>
        <stp>Per=CQ</stp>
        <stp>Dts=H</stp>
        <stp>Dir=H</stp>
        <stp>Points=60</stp>
        <stp>Sort=R</stp>
        <stp>Days=A</stp>
        <stp>Fill=B</stp>
        <stp>FX=USD</stp>
        <tr r="F680" s="3"/>
      </tp>
      <tp t="s">
        <v>#N/A Connection</v>
        <stp/>
        <stp>##V3_BDHV12</stp>
        <stp>SVAV RM Equity</stp>
        <stp>RR900</stp>
        <stp>-60CQ</stp>
        <stp>3/31/2019</stp>
        <stp>[BI_AUTMG_1_3wwqb2a2.xlsx]ReferenceData!R708C6</stp>
        <stp>Per=CQ</stp>
        <stp>Dts=H</stp>
        <stp>Dir=H</stp>
        <stp>Points=60</stp>
        <stp>Sort=R</stp>
        <stp>Days=A</stp>
        <stp>Fill=B</stp>
        <stp>FX=USD</stp>
        <tr r="F708" s="3"/>
      </tp>
      <tp t="s">
        <v>#N/A Connection</v>
        <stp/>
        <stp>##V3_BDHV12</stp>
        <stp>SVAV RM Equity</stp>
        <stp>RR971</stp>
        <stp>-60CQ</stp>
        <stp>3/31/2019</stp>
        <stp>[BI_AUTMG_1_3wwqb2a2.xlsx]ReferenceData!R908C6</stp>
        <stp>Per=CQ</stp>
        <stp>Dts=H</stp>
        <stp>Dir=H</stp>
        <stp>Points=60</stp>
        <stp>Sort=R</stp>
        <stp>Days=A</stp>
        <stp>Fill=B</stp>
        <stp>FX=USD</stp>
        <tr r="F908" s="3"/>
      </tp>
      <tp t="s">
        <v>#N/A Connection</v>
        <stp/>
        <stp>##V3_BDHV12</stp>
        <stp>AVAZ RM Equity</stp>
        <stp>RR971</stp>
        <stp>-60CQ</stp>
        <stp>3/31/2019</stp>
        <stp>[BI_AUTMG_1_3wwqb2a2.xlsx]ReferenceData!R880C6</stp>
        <stp>Per=CQ</stp>
        <stp>Dts=H</stp>
        <stp>Dir=H</stp>
        <stp>Points=60</stp>
        <stp>Sort=R</stp>
        <stp>Days=A</stp>
        <stp>Fill=B</stp>
        <stp>FX=USD</stp>
        <tr r="F880" s="3"/>
      </tp>
      <tp t="s">
        <v>#N/A Connection</v>
        <stp/>
        <stp>##V3_BDHV12</stp>
        <stp>AVAZ RM Equity</stp>
        <stp>RR903</stp>
        <stp>-60CQ</stp>
        <stp>3/31/2019</stp>
        <stp>[BI_AUTMG_1_3wwqb2a2.xlsx]ReferenceData!R800C6</stp>
        <stp>Per=CQ</stp>
        <stp>Dts=H</stp>
        <stp>Dir=H</stp>
        <stp>Points=60</stp>
        <stp>Sort=R</stp>
        <stp>Days=A</stp>
        <stp>Fill=B</stp>
        <stp>FX=USD</stp>
        <tr r="F800" s="3"/>
      </tp>
      <tp t="s">
        <v>#N/A Connection</v>
        <stp/>
        <stp>##V3_BDHV12</stp>
        <stp>SVAV RM Equity</stp>
        <stp>RR903</stp>
        <stp>-60CQ</stp>
        <stp>3/31/2019</stp>
        <stp>[BI_AUTMG_1_3wwqb2a2.xlsx]ReferenceData!R828C6</stp>
        <stp>Per=CQ</stp>
        <stp>Dts=H</stp>
        <stp>Dir=H</stp>
        <stp>Points=60</stp>
        <stp>Sort=R</stp>
        <stp>Days=A</stp>
        <stp>Fill=B</stp>
        <stp>FX=USD</stp>
        <tr r="F828" s="3"/>
      </tp>
      <tp t="s">
        <v>#N/A Connection</v>
        <stp/>
        <stp>##V3_BDHV12</stp>
        <stp>AVAZ RM Equity</stp>
        <stp>RR904</stp>
        <stp>-60CQ</stp>
        <stp>3/31/2019</stp>
        <stp>[BI_AUTMG_1_3wwqb2a2.xlsx]ReferenceData!R920C6</stp>
        <stp>Per=CQ</stp>
        <stp>Dts=H</stp>
        <stp>Dir=H</stp>
        <stp>Points=60</stp>
        <stp>Sort=R</stp>
        <stp>Days=A</stp>
        <stp>Fill=B</stp>
        <stp>FX=USD</stp>
        <tr r="F920" s="3"/>
      </tp>
      <tp t="s">
        <v>#N/A Connection</v>
        <stp/>
        <stp>##V3_BDHV12</stp>
        <stp>SVAV RM Equity</stp>
        <stp>RR904</stp>
        <stp>-60CQ</stp>
        <stp>3/31/2019</stp>
        <stp>[BI_AUTMG_1_3wwqb2a2.xlsx]ReferenceData!R948C6</stp>
        <stp>Per=CQ</stp>
        <stp>Dts=H</stp>
        <stp>Dir=H</stp>
        <stp>Points=60</stp>
        <stp>Sort=R</stp>
        <stp>Days=A</stp>
        <stp>Fill=B</stp>
        <stp>FX=USD</stp>
        <tr r="F948" s="3"/>
      </tp>
      <tp t="s">
        <v>#N/A Connection</v>
        <stp/>
        <stp>##V3_BDHV12</stp>
        <stp>7211 JP Equity</stp>
        <stp>RX539</stp>
        <stp>-60CQ</stp>
        <stp>3/31/2019</stp>
        <stp>[BI_AUTMG_1_3wwqb2a2.xlsx]ReferenceData!R1302C6</stp>
        <stp>Per=CQ</stp>
        <stp>Dts=H</stp>
        <stp>Dir=H</stp>
        <stp>Points=60</stp>
        <stp>Sort=R</stp>
        <stp>Days=A</stp>
        <stp>Fill=B</stp>
        <stp>FX=USD</stp>
        <tr r="F1302" s="3"/>
      </tp>
      <tp t="s">
        <v>#N/A Connection</v>
        <stp/>
        <stp>##V3_BDHV12</stp>
        <stp>2201 TT Equity</stp>
        <stp>DV013</stp>
        <stp>-60CQ</stp>
        <stp>3/31/2019</stp>
        <stp>[BI_AUTMG_1_3wwqb2a2.xlsx]ReferenceData!R1198C6</stp>
        <stp>Per=CQ</stp>
        <stp>Dts=H</stp>
        <stp>Dir=H</stp>
        <stp>Points=60</stp>
        <stp>Sort=R</stp>
        <stp>Days=A</stp>
        <stp>Fill=B</stp>
        <stp>FX=USD</stp>
        <tr r="F1198" s="3"/>
      </tp>
      <tp t="s">
        <v>#N/A Connection</v>
        <stp/>
        <stp>##V3_BDHV12</stp>
        <stp>2206 TT Equity</stp>
        <stp>DV013</stp>
        <stp>-60CQ</stp>
        <stp>3/31/2019</stp>
        <stp>[BI_AUTMG_1_3wwqb2a2.xlsx]ReferenceData!R1187C6</stp>
        <stp>Per=CQ</stp>
        <stp>Dts=H</stp>
        <stp>Dir=H</stp>
        <stp>Points=60</stp>
        <stp>Sort=R</stp>
        <stp>Days=A</stp>
        <stp>Fill=B</stp>
        <stp>FX=USD</stp>
        <tr r="F1187" s="3"/>
      </tp>
      <tp t="s">
        <v>#N/A Connection</v>
        <stp/>
        <stp>##V3_BDHV12</stp>
        <stp>7269 JP Equity</stp>
        <stp>RX539</stp>
        <stp>-60CQ</stp>
        <stp>3/31/2019</stp>
        <stp>[BI_AUTMG_1_3wwqb2a2.xlsx]ReferenceData!R1311C6</stp>
        <stp>Per=CQ</stp>
        <stp>Dts=H</stp>
        <stp>Dir=H</stp>
        <stp>Points=60</stp>
        <stp>Sort=R</stp>
        <stp>Days=A</stp>
        <stp>Fill=B</stp>
        <stp>FX=USD</stp>
        <tr r="F1311" s="3"/>
      </tp>
      <tp t="s">
        <v>#N/A Connection</v>
        <stp/>
        <stp>##V3_BDHV12</stp>
        <stp>7267 JP Equity</stp>
        <stp>RX539</stp>
        <stp>-60CQ</stp>
        <stp>3/31/2019</stp>
        <stp>[BI_AUTMG_1_3wwqb2a2.xlsx]ReferenceData!R1298C6</stp>
        <stp>Per=CQ</stp>
        <stp>Dts=H</stp>
        <stp>Dir=H</stp>
        <stp>Points=60</stp>
        <stp>Sort=R</stp>
        <stp>Days=A</stp>
        <stp>Fill=B</stp>
        <stp>FX=USD</stp>
        <tr r="F1298" s="3"/>
      </tp>
      <tp t="s">
        <v>#N/A Connection</v>
        <stp/>
        <stp>##V3_BDHV12</stp>
        <stp>7262 JP Equity</stp>
        <stp>RX539</stp>
        <stp>-60CQ</stp>
        <stp>3/31/2019</stp>
        <stp>[BI_AUTMG_1_3wwqb2a2.xlsx]ReferenceData!R1285C6</stp>
        <stp>Per=CQ</stp>
        <stp>Dts=H</stp>
        <stp>Dir=H</stp>
        <stp>Points=60</stp>
        <stp>Sort=R</stp>
        <stp>Days=A</stp>
        <stp>Fill=B</stp>
        <stp>FX=USD</stp>
        <tr r="F1285" s="3"/>
      </tp>
      <tp t="s">
        <v>#N/A Connection</v>
        <stp/>
        <stp>##V3_BDHV12</stp>
        <stp>7261 JP Equity</stp>
        <stp>RX539</stp>
        <stp>-60CQ</stp>
        <stp>3/31/2019</stp>
        <stp>[BI_AUTMG_1_3wwqb2a2.xlsx]ReferenceData!R1301C6</stp>
        <stp>Per=CQ</stp>
        <stp>Dts=H</stp>
        <stp>Dir=H</stp>
        <stp>Points=60</stp>
        <stp>Sort=R</stp>
        <stp>Days=A</stp>
        <stp>Fill=B</stp>
        <stp>FX=USD</stp>
        <tr r="F1301" s="3"/>
      </tp>
      <tp t="s">
        <v>#N/A Connection</v>
        <stp/>
        <stp>##V3_BDHV12</stp>
        <stp>VOW GR Equity</stp>
        <stp>RR904</stp>
        <stp>-60CQ</stp>
        <stp>3/31/2019</stp>
        <stp>[BI_AUTMG_1_3wwqb2a2.xlsx]ReferenceData!R957C6</stp>
        <stp>Per=CQ</stp>
        <stp>Dts=H</stp>
        <stp>Dir=H</stp>
        <stp>Points=60</stp>
        <stp>Sort=R</stp>
        <stp>Days=A</stp>
        <stp>Fill=B</stp>
        <stp>FX=USD</stp>
        <tr r="F957" s="3"/>
      </tp>
      <tp t="s">
        <v>#N/A Connection</v>
        <stp/>
        <stp>##V3_BDHV12</stp>
        <stp>VOW GR Equity</stp>
        <stp>RR903</stp>
        <stp>-60CQ</stp>
        <stp>3/31/2019</stp>
        <stp>[BI_AUTMG_1_3wwqb2a2.xlsx]ReferenceData!R837C6</stp>
        <stp>Per=CQ</stp>
        <stp>Dts=H</stp>
        <stp>Dir=H</stp>
        <stp>Points=60</stp>
        <stp>Sort=R</stp>
        <stp>Days=A</stp>
        <stp>Fill=B</stp>
        <stp>FX=USD</stp>
        <tr r="F837" s="3"/>
      </tp>
      <tp t="s">
        <v>#N/A Connection</v>
        <stp/>
        <stp>##V3_BDHV12</stp>
        <stp>VOW GR Equity</stp>
        <stp>RR971</stp>
        <stp>-60CQ</stp>
        <stp>3/31/2019</stp>
        <stp>[BI_AUTMG_1_3wwqb2a2.xlsx]ReferenceData!R917C6</stp>
        <stp>Per=CQ</stp>
        <stp>Dts=H</stp>
        <stp>Dir=H</stp>
        <stp>Points=60</stp>
        <stp>Sort=R</stp>
        <stp>Days=A</stp>
        <stp>Fill=B</stp>
        <stp>FX=USD</stp>
        <tr r="F917" s="3"/>
      </tp>
      <tp t="s">
        <v>#N/A Connection</v>
        <stp/>
        <stp>##V3_BDHV12</stp>
        <stp>VOW GR Equity</stp>
        <stp>RR900</stp>
        <stp>-60CQ</stp>
        <stp>3/31/2019</stp>
        <stp>[BI_AUTMG_1_3wwqb2a2.xlsx]ReferenceData!R717C6</stp>
        <stp>Per=CQ</stp>
        <stp>Dts=H</stp>
        <stp>Dir=H</stp>
        <stp>Points=60</stp>
        <stp>Sort=R</stp>
        <stp>Days=A</stp>
        <stp>Fill=B</stp>
        <stp>FX=USD</stp>
        <tr r="F717" s="3"/>
      </tp>
      <tp t="s">
        <v>#N/A Connection</v>
        <stp/>
        <stp>##V3_BDHV12</stp>
        <stp>7270 JP Equity</stp>
        <stp>RX539</stp>
        <stp>-60CQ</stp>
        <stp>3/31/2019</stp>
        <stp>[BI_AUTMG_1_3wwqb2a2.xlsx]ReferenceData!R1310C6</stp>
        <stp>Per=CQ</stp>
        <stp>Dts=H</stp>
        <stp>Dir=H</stp>
        <stp>Points=60</stp>
        <stp>Sort=R</stp>
        <stp>Days=A</stp>
        <stp>Fill=B</stp>
        <stp>FX=USD</stp>
        <tr r="F1310" s="3"/>
      </tp>
      <tp t="s">
        <v>#N/A Connection</v>
        <stp/>
        <stp>##V3_BDHV12</stp>
        <stp>7261 JP Equity</stp>
        <stp>DV013</stp>
        <stp>-60CQ</stp>
        <stp>3/31/2019</stp>
        <stp>[BI_AUTMG_1_3wwqb2a2.xlsx]ReferenceData!R1181C6</stp>
        <stp>Per=CQ</stp>
        <stp>Dts=H</stp>
        <stp>Dir=H</stp>
        <stp>Points=60</stp>
        <stp>Sort=R</stp>
        <stp>Days=A</stp>
        <stp>Fill=B</stp>
        <stp>FX=USD</stp>
        <tr r="F1181" s="3"/>
      </tp>
      <tp t="s">
        <v>#N/A Connection</v>
        <stp/>
        <stp>##V3_BDHV12</stp>
        <stp>7262 JP Equity</stp>
        <stp>DV013</stp>
        <stp>-60CQ</stp>
        <stp>3/31/2019</stp>
        <stp>[BI_AUTMG_1_3wwqb2a2.xlsx]ReferenceData!R1165C6</stp>
        <stp>Per=CQ</stp>
        <stp>Dts=H</stp>
        <stp>Dir=H</stp>
        <stp>Points=60</stp>
        <stp>Sort=R</stp>
        <stp>Days=A</stp>
        <stp>Fill=B</stp>
        <stp>FX=USD</stp>
        <tr r="F1165" s="3"/>
      </tp>
      <tp t="s">
        <v>#N/A Connection</v>
        <stp/>
        <stp>##V3_BDHV12</stp>
        <stp>7267 JP Equity</stp>
        <stp>DV013</stp>
        <stp>-60CQ</stp>
        <stp>3/31/2019</stp>
        <stp>[BI_AUTMG_1_3wwqb2a2.xlsx]ReferenceData!R1178C6</stp>
        <stp>Per=CQ</stp>
        <stp>Dts=H</stp>
        <stp>Dir=H</stp>
        <stp>Points=60</stp>
        <stp>Sort=R</stp>
        <stp>Days=A</stp>
        <stp>Fill=B</stp>
        <stp>FX=USD</stp>
        <tr r="F1178" s="3"/>
      </tp>
      <tp t="s">
        <v>#N/A Connection</v>
        <stp/>
        <stp>##V3_BDHV12</stp>
        <stp>7269 JP Equity</stp>
        <stp>DV013</stp>
        <stp>-60CQ</stp>
        <stp>3/31/2019</stp>
        <stp>[BI_AUTMG_1_3wwqb2a2.xlsx]ReferenceData!R1191C6</stp>
        <stp>Per=CQ</stp>
        <stp>Dts=H</stp>
        <stp>Dir=H</stp>
        <stp>Points=60</stp>
        <stp>Sort=R</stp>
        <stp>Days=A</stp>
        <stp>Fill=B</stp>
        <stp>FX=USD</stp>
        <tr r="F1191" s="3"/>
      </tp>
      <tp t="s">
        <v>#N/A Connection</v>
        <stp/>
        <stp>##V3_BDHV12</stp>
        <stp>7203 JP Equity</stp>
        <stp>RR477</stp>
        <stp>-60CQ</stp>
        <stp>3/31/2019</stp>
        <stp>[BI_AUTMG_1_3wwqb2a2.xlsx]ReferenceData!R1116C6</stp>
        <stp>Per=CQ</stp>
        <stp>Dts=H</stp>
        <stp>Dir=H</stp>
        <stp>Points=60</stp>
        <stp>Sort=R</stp>
        <stp>Days=A</stp>
        <stp>Fill=B</stp>
        <stp>FX=USD</stp>
        <tr r="F1116" s="3"/>
      </tp>
      <tp t="s">
        <v>#N/A Connection</v>
        <stp/>
        <stp>##V3_BDHV12</stp>
        <stp>7201 JP Equity</stp>
        <stp>RX076</stp>
        <stp>-60CQ</stp>
        <stp>3/31/2019</stp>
        <stp>[BI_AUTMG_1_3wwqb2a2.xlsx]ReferenceData!R1223C6</stp>
        <stp>Per=CQ</stp>
        <stp>Dts=H</stp>
        <stp>Dir=H</stp>
        <stp>Points=60</stp>
        <stp>Sort=R</stp>
        <stp>Days=A</stp>
        <stp>Fill=B</stp>
        <stp>FX=USD</stp>
        <tr r="F1223" s="3"/>
      </tp>
      <tp t="s">
        <v>#N/A Connection</v>
        <stp/>
        <stp>##V3_BDHV12</stp>
        <stp>7203 JP Equity</stp>
        <stp>RR476</stp>
        <stp>-60CQ</stp>
        <stp>3/31/2019</stp>
        <stp>[BI_AUTMG_1_3wwqb2a2.xlsx]ReferenceData!R1156C6</stp>
        <stp>Per=CQ</stp>
        <stp>Dts=H</stp>
        <stp>Dir=H</stp>
        <stp>Points=60</stp>
        <stp>Sort=R</stp>
        <stp>Days=A</stp>
        <stp>Fill=B</stp>
        <stp>FX=USD</stp>
        <tr r="F1156" s="3"/>
      </tp>
      <tp t="s">
        <v>#N/A Connection</v>
        <stp/>
        <stp>##V3_BDHV12</stp>
        <stp>7201 JP Equity</stp>
        <stp>RR477</stp>
        <stp>-60CQ</stp>
        <stp>3/31/2019</stp>
        <stp>[BI_AUTMG_1_3wwqb2a2.xlsx]ReferenceData!R1103C6</stp>
        <stp>Per=CQ</stp>
        <stp>Dts=H</stp>
        <stp>Dir=H</stp>
        <stp>Points=60</stp>
        <stp>Sort=R</stp>
        <stp>Days=A</stp>
        <stp>Fill=B</stp>
        <stp>FX=USD</stp>
        <tr r="F1103" s="3"/>
      </tp>
      <tp t="s">
        <v>#N/A Connection</v>
        <stp/>
        <stp>##V3_BDHV12</stp>
        <stp>7203 JP Equity</stp>
        <stp>RX076</stp>
        <stp>-60CQ</stp>
        <stp>3/31/2019</stp>
        <stp>[BI_AUTMG_1_3wwqb2a2.xlsx]ReferenceData!R1236C6</stp>
        <stp>Per=CQ</stp>
        <stp>Dts=H</stp>
        <stp>Dir=H</stp>
        <stp>Points=60</stp>
        <stp>Sort=R</stp>
        <stp>Days=A</stp>
        <stp>Fill=B</stp>
        <stp>FX=USD</stp>
        <tr r="F1236" s="3"/>
      </tp>
      <tp t="s">
        <v>#N/A Connection</v>
        <stp/>
        <stp>##V3_BDHV12</stp>
        <stp>7201 JP Equity</stp>
        <stp>RR476</stp>
        <stp>-60CQ</stp>
        <stp>3/31/2019</stp>
        <stp>[BI_AUTMG_1_3wwqb2a2.xlsx]ReferenceData!R1143C6</stp>
        <stp>Per=CQ</stp>
        <stp>Dts=H</stp>
        <stp>Dir=H</stp>
        <stp>Points=60</stp>
        <stp>Sort=R</stp>
        <stp>Days=A</stp>
        <stp>Fill=B</stp>
        <stp>FX=USD</stp>
        <tr r="F1143" s="3"/>
      </tp>
      <tp t="s">
        <v>#N/A Connection</v>
        <stp/>
        <stp>##V3_BDHV12</stp>
        <stp>7201 JP Equity</stp>
        <stp>RX072</stp>
        <stp>-60CQ</stp>
        <stp>3/31/2019</stp>
        <stp>[BI_AUTMG_1_3wwqb2a2.xlsx]ReferenceData!R1263C6</stp>
        <stp>Per=CQ</stp>
        <stp>Dts=H</stp>
        <stp>Dir=H</stp>
        <stp>Points=60</stp>
        <stp>Sort=R</stp>
        <stp>Days=A</stp>
        <stp>Fill=B</stp>
        <stp>FX=USD</stp>
        <tr r="F1263" s="3"/>
      </tp>
      <tp t="s">
        <v>#N/A Connection</v>
        <stp/>
        <stp>##V3_BDHV12</stp>
        <stp>F US Equity</stp>
        <stp>RX077</stp>
        <stp>-60CQ</stp>
        <stp>3/31/2019</stp>
        <stp>[BI_AUTMG_1_3wwqb2a2.xlsx]ReferenceData!R851C6</stp>
        <stp>Per=CQ</stp>
        <stp>Dts=H</stp>
        <stp>Dir=H</stp>
        <stp>Points=60</stp>
        <stp>Sort=R</stp>
        <stp>Days=A</stp>
        <stp>Fill=B</stp>
        <stp>FX=USD</stp>
        <tr r="F851" s="3"/>
      </tp>
      <tp t="s">
        <v>#N/A Connection</v>
        <stp/>
        <stp>##V3_BDHV12</stp>
        <stp>7203 JP Equity</stp>
        <stp>RR473</stp>
        <stp>-60CQ</stp>
        <stp>3/31/2019</stp>
        <stp>[BI_AUTMG_1_3wwqb2a2.xlsx]ReferenceData!R1036C6</stp>
        <stp>Per=CQ</stp>
        <stp>Dts=H</stp>
        <stp>Dir=H</stp>
        <stp>Points=60</stp>
        <stp>Sort=R</stp>
        <stp>Days=A</stp>
        <stp>Fill=B</stp>
        <stp>FX=USD</stp>
        <tr r="F1036" s="3"/>
      </tp>
      <tp t="s">
        <v>#N/A Connection</v>
        <stp/>
        <stp>##V3_BDHV12</stp>
        <stp>7203 JP Equity</stp>
        <stp>RX072</stp>
        <stp>-60CQ</stp>
        <stp>3/31/2019</stp>
        <stp>[BI_AUTMG_1_3wwqb2a2.xlsx]ReferenceData!R1276C6</stp>
        <stp>Per=CQ</stp>
        <stp>Dts=H</stp>
        <stp>Dir=H</stp>
        <stp>Points=60</stp>
        <stp>Sort=R</stp>
        <stp>Days=A</stp>
        <stp>Fill=B</stp>
        <stp>FX=USD</stp>
        <tr r="F1276" s="3"/>
      </tp>
      <tp t="s">
        <v>#N/A Connection</v>
        <stp/>
        <stp>##V3_BDHV12</stp>
        <stp>7201 JP Equity</stp>
        <stp>RR473</stp>
        <stp>-60CQ</stp>
        <stp>3/31/2019</stp>
        <stp>[BI_AUTMG_1_3wwqb2a2.xlsx]ReferenceData!R1023C6</stp>
        <stp>Per=CQ</stp>
        <stp>Dts=H</stp>
        <stp>Dir=H</stp>
        <stp>Points=60</stp>
        <stp>Sort=R</stp>
        <stp>Days=A</stp>
        <stp>Fill=B</stp>
        <stp>FX=USD</stp>
        <tr r="F1023" s="3"/>
      </tp>
      <tp t="s">
        <v>#N/A Connection</v>
        <stp/>
        <stp>##V3_BDHV12</stp>
        <stp>2206 TT Equity</stp>
        <stp>RX539</stp>
        <stp>-60CQ</stp>
        <stp>3/31/2019</stp>
        <stp>[BI_AUTMG_1_3wwqb2a2.xlsx]ReferenceData!R1307C6</stp>
        <stp>Per=CQ</stp>
        <stp>Dts=H</stp>
        <stp>Dir=H</stp>
        <stp>Points=60</stp>
        <stp>Sort=R</stp>
        <stp>Days=A</stp>
        <stp>Fill=B</stp>
        <stp>FX=USD</stp>
        <tr r="F1307" s="3"/>
      </tp>
      <tp t="s">
        <v>#N/A Connection</v>
        <stp/>
        <stp>##V3_BDHV12</stp>
        <stp>F US Equity</stp>
        <stp>EZ010</stp>
        <stp>-60CQ</stp>
        <stp>3/31/2019</stp>
        <stp>[BI_AUTMG_1_3wwqb2a2.xlsx]ReferenceData!R771C6</stp>
        <stp>Per=CQ</stp>
        <stp>Dts=H</stp>
        <stp>Dir=H</stp>
        <stp>Points=60</stp>
        <stp>Sort=R</stp>
        <stp>Days=A</stp>
        <stp>Fill=B</stp>
        <stp>FX=USD</stp>
        <tr r="F771" s="3"/>
      </tp>
      <tp t="s">
        <v>#N/A Connection</v>
        <stp/>
        <stp>##V3_BDHV12</stp>
        <stp>F US Equity</stp>
        <stp>EZ009</stp>
        <stp>-60CQ</stp>
        <stp>3/31/2019</stp>
        <stp>[BI_AUTMG_1_3wwqb2a2.xlsx]ReferenceData!R731C6</stp>
        <stp>Per=CQ</stp>
        <stp>Dts=H</stp>
        <stp>Dir=H</stp>
        <stp>Points=60</stp>
        <stp>Sort=R</stp>
        <stp>Days=A</stp>
        <stp>Fill=B</stp>
        <stp>FX=USD</stp>
        <tr r="F731" s="3"/>
      </tp>
      <tp t="s">
        <v>#N/A Connection</v>
        <stp/>
        <stp>##V3_BDHV12</stp>
        <stp>2201 TT Equity</stp>
        <stp>RX539</stp>
        <stp>-60CQ</stp>
        <stp>3/31/2019</stp>
        <stp>[BI_AUTMG_1_3wwqb2a2.xlsx]ReferenceData!R1318C6</stp>
        <stp>Per=CQ</stp>
        <stp>Dts=H</stp>
        <stp>Dir=H</stp>
        <stp>Points=60</stp>
        <stp>Sort=R</stp>
        <stp>Days=A</stp>
        <stp>Fill=B</stp>
        <stp>FX=USD</stp>
        <tr r="F1318" s="3"/>
      </tp>
      <tp t="s">
        <v>#N/A Connection</v>
        <stp/>
        <stp>##V3_BDHV12</stp>
        <stp>GM US Equity</stp>
        <stp>RR474</stp>
        <stp>-60CQ</stp>
        <stp>3/31/2019</stp>
        <stp>[BI_AUTMG_1_3wwqb2a2.xlsx]ReferenceData!R975C6</stp>
        <stp>Per=CQ</stp>
        <stp>Dts=H</stp>
        <stp>Dir=H</stp>
        <stp>Points=60</stp>
        <stp>Sort=R</stp>
        <stp>Days=A</stp>
        <stp>Fill=B</stp>
        <stp>FX=USD</stp>
        <tr r="F975" s="3"/>
      </tp>
      <tp t="s">
        <v>#N/A Connection</v>
        <stp/>
        <stp>##V3_BDHV12</stp>
        <stp>7270 JP Equity</stp>
        <stp>DV013</stp>
        <stp>-60CQ</stp>
        <stp>3/31/2019</stp>
        <stp>[BI_AUTMG_1_3wwqb2a2.xlsx]ReferenceData!R1190C6</stp>
        <stp>Per=CQ</stp>
        <stp>Dts=H</stp>
        <stp>Dir=H</stp>
        <stp>Points=60</stp>
        <stp>Sort=R</stp>
        <stp>Days=A</stp>
        <stp>Fill=B</stp>
        <stp>FX=USD</stp>
        <tr r="F1190" s="3"/>
      </tp>
      <tp t="s">
        <v>#N/A Connection</v>
        <stp/>
        <stp>##V3_BDHV12</stp>
        <stp>7211 JP Equity</stp>
        <stp>RX076</stp>
        <stp>-60CQ</stp>
        <stp>3/31/2019</stp>
        <stp>[BI_AUTMG_1_3wwqb2a2.xlsx]ReferenceData!R1222C6</stp>
        <stp>Per=CQ</stp>
        <stp>Dts=H</stp>
        <stp>Dir=H</stp>
        <stp>Points=60</stp>
        <stp>Sort=R</stp>
        <stp>Days=A</stp>
        <stp>Fill=B</stp>
        <stp>FX=USD</stp>
        <tr r="F1222" s="3"/>
      </tp>
      <tp t="s">
        <v>#N/A Connection</v>
        <stp/>
        <stp>##V3_BDHV12</stp>
        <stp>7211 JP Equity</stp>
        <stp>RR477</stp>
        <stp>-60CQ</stp>
        <stp>3/31/2019</stp>
        <stp>[BI_AUTMG_1_3wwqb2a2.xlsx]ReferenceData!R1102C6</stp>
        <stp>Per=CQ</stp>
        <stp>Dts=H</stp>
        <stp>Dir=H</stp>
        <stp>Points=60</stp>
        <stp>Sort=R</stp>
        <stp>Days=A</stp>
        <stp>Fill=B</stp>
        <stp>FX=USD</stp>
        <tr r="F1102" s="3"/>
      </tp>
      <tp t="s">
        <v>#N/A Connection</v>
        <stp/>
        <stp>##V3_BDHV12</stp>
        <stp>7211 JP Equity</stp>
        <stp>RR476</stp>
        <stp>-60CQ</stp>
        <stp>3/31/2019</stp>
        <stp>[BI_AUTMG_1_3wwqb2a2.xlsx]ReferenceData!R1142C6</stp>
        <stp>Per=CQ</stp>
        <stp>Dts=H</stp>
        <stp>Dir=H</stp>
        <stp>Points=60</stp>
        <stp>Sort=R</stp>
        <stp>Days=A</stp>
        <stp>Fill=B</stp>
        <stp>FX=USD</stp>
        <tr r="F1142" s="3"/>
      </tp>
      <tp t="s">
        <v>#N/A Connection</v>
        <stp/>
        <stp>##V3_BDHV12</stp>
        <stp>7211 JP Equity</stp>
        <stp>RX072</stp>
        <stp>-60CQ</stp>
        <stp>3/31/2019</stp>
        <stp>[BI_AUTMG_1_3wwqb2a2.xlsx]ReferenceData!R1262C6</stp>
        <stp>Per=CQ</stp>
        <stp>Dts=H</stp>
        <stp>Dir=H</stp>
        <stp>Points=60</stp>
        <stp>Sort=R</stp>
        <stp>Days=A</stp>
        <stp>Fill=B</stp>
        <stp>FX=USD</stp>
        <tr r="F1262" s="3"/>
      </tp>
      <tp t="s">
        <v>#N/A Connection</v>
        <stp/>
        <stp>##V3_BDHV12</stp>
        <stp>7211 JP Equity</stp>
        <stp>RR473</stp>
        <stp>-60CQ</stp>
        <stp>3/31/2019</stp>
        <stp>[BI_AUTMG_1_3wwqb2a2.xlsx]ReferenceData!R1022C6</stp>
        <stp>Per=CQ</stp>
        <stp>Dts=H</stp>
        <stp>Dir=H</stp>
        <stp>Points=60</stp>
        <stp>Sort=R</stp>
        <stp>Days=A</stp>
        <stp>Fill=B</stp>
        <stp>FX=USD</stp>
        <tr r="F1022" s="3"/>
      </tp>
      <tp t="s">
        <v>#N/A Connection</v>
        <stp/>
        <stp>##V3_BDHV12</stp>
        <stp>GM US Equity</stp>
        <stp>RX539</stp>
        <stp>-60CQ</stp>
        <stp>3/31/2019</stp>
        <stp>[BI_AUTMG_1_3wwqb2a2.xlsx]ReferenceData!R1295C6</stp>
        <stp>Per=CQ</stp>
        <stp>Dts=H</stp>
        <stp>Dir=H</stp>
        <stp>Points=60</stp>
        <stp>Sort=R</stp>
        <stp>Days=A</stp>
        <stp>Fill=B</stp>
        <stp>FX=USD</stp>
        <tr r="F1295" s="3"/>
      </tp>
      <tp t="s">
        <v>#N/A Connection</v>
        <stp/>
        <stp>##V3_BDHV12</stp>
        <stp>000927 CH Equity</stp>
        <stp>RR971</stp>
        <stp>-60CQ</stp>
        <stp>3/31/2019</stp>
        <stp>[BI_AUTMG_1_3wwqb2a2.xlsx]ReferenceData!R914C6</stp>
        <stp>Per=CQ</stp>
        <stp>Dts=H</stp>
        <stp>Dir=H</stp>
        <stp>Points=60</stp>
        <stp>Sort=R</stp>
        <stp>Days=A</stp>
        <stp>Fill=B</stp>
        <stp>FX=USD</stp>
        <tr r="F914" s="3"/>
      </tp>
      <tp t="s">
        <v>#N/A Connection</v>
        <stp/>
        <stp>##V3_BDHV12</stp>
        <stp>000927 CH Equity</stp>
        <stp>RR903</stp>
        <stp>-60CQ</stp>
        <stp>3/31/2019</stp>
        <stp>[BI_AUTMG_1_3wwqb2a2.xlsx]ReferenceData!R834C6</stp>
        <stp>Per=CQ</stp>
        <stp>Dts=H</stp>
        <stp>Dir=H</stp>
        <stp>Points=60</stp>
        <stp>Sort=R</stp>
        <stp>Days=A</stp>
        <stp>Fill=B</stp>
        <stp>FX=USD</stp>
        <tr r="F834" s="3"/>
      </tp>
      <tp t="s">
        <v>#N/A Connection</v>
        <stp/>
        <stp>##V3_BDHV12</stp>
        <stp>000927 CH Equity</stp>
        <stp>RR904</stp>
        <stp>-60CQ</stp>
        <stp>3/31/2019</stp>
        <stp>[BI_AUTMG_1_3wwqb2a2.xlsx]ReferenceData!R954C6</stp>
        <stp>Per=CQ</stp>
        <stp>Dts=H</stp>
        <stp>Dir=H</stp>
        <stp>Points=60</stp>
        <stp>Sort=R</stp>
        <stp>Days=A</stp>
        <stp>Fill=B</stp>
        <stp>FX=USD</stp>
        <tr r="F954" s="3"/>
      </tp>
      <tp t="s">
        <v>#N/A Connection</v>
        <stp/>
        <stp>##V3_BDHV12</stp>
        <stp>000927 CH Equity</stp>
        <stp>RR900</stp>
        <stp>-60CQ</stp>
        <stp>3/31/2019</stp>
        <stp>[BI_AUTMG_1_3wwqb2a2.xlsx]ReferenceData!R714C6</stp>
        <stp>Per=CQ</stp>
        <stp>Dts=H</stp>
        <stp>Dir=H</stp>
        <stp>Points=60</stp>
        <stp>Sort=R</stp>
        <stp>Days=A</stp>
        <stp>Fill=B</stp>
        <stp>FX=USD</stp>
        <tr r="F714" s="3"/>
      </tp>
      <tp t="s">
        <v>#N/A Connection</v>
        <stp/>
        <stp>##V3_BDHV12</stp>
        <stp>F US Equity</stp>
        <stp>RR480</stp>
        <stp>-60CQ</stp>
        <stp>3/31/2019</stp>
        <stp>[BI_AUTMG_1_3wwqb2a2.xlsx]ReferenceData!R1051C6</stp>
        <stp>Per=CQ</stp>
        <stp>Dts=H</stp>
        <stp>Dir=H</stp>
        <stp>Points=60</stp>
        <stp>Sort=R</stp>
        <stp>Days=A</stp>
        <stp>Fill=B</stp>
        <stp>FX=USD</stp>
        <tr r="F1051" s="3"/>
      </tp>
      <tp t="s">
        <v>#N/A Connection</v>
        <stp/>
        <stp>##V3_BDHV12</stp>
        <stp>000800 CH Equity</stp>
        <stp>RR971</stp>
        <stp>-60CQ</stp>
        <stp>3/31/2019</stp>
        <stp>[BI_AUTMG_1_3wwqb2a2.xlsx]ReferenceData!R889C6</stp>
        <stp>Per=CQ</stp>
        <stp>Dts=H</stp>
        <stp>Dir=H</stp>
        <stp>Points=60</stp>
        <stp>Sort=R</stp>
        <stp>Days=A</stp>
        <stp>Fill=B</stp>
        <stp>FX=USD</stp>
        <tr r="F889" s="3"/>
      </tp>
      <tp t="s">
        <v>#N/A Connection</v>
        <stp/>
        <stp>##V3_BDHV12</stp>
        <stp>000800 CH Equity</stp>
        <stp>RR903</stp>
        <stp>-60CQ</stp>
        <stp>3/31/2019</stp>
        <stp>[BI_AUTMG_1_3wwqb2a2.xlsx]ReferenceData!R809C6</stp>
        <stp>Per=CQ</stp>
        <stp>Dts=H</stp>
        <stp>Dir=H</stp>
        <stp>Points=60</stp>
        <stp>Sort=R</stp>
        <stp>Days=A</stp>
        <stp>Fill=B</stp>
        <stp>FX=USD</stp>
        <tr r="F809" s="3"/>
      </tp>
      <tp t="s">
        <v>#N/A Connection</v>
        <stp/>
        <stp>##V3_BDHV12</stp>
        <stp>600104 CH Equity</stp>
        <stp>RX077</stp>
        <stp>-60CQ</stp>
        <stp>3/31/2019</stp>
        <stp>[BI_AUTMG_1_3wwqb2a2.xlsx]ReferenceData!R866C6</stp>
        <stp>Per=CQ</stp>
        <stp>Dts=H</stp>
        <stp>Dir=H</stp>
        <stp>Points=60</stp>
        <stp>Sort=R</stp>
        <stp>Days=A</stp>
        <stp>Fill=B</stp>
        <stp>FX=USD</stp>
        <tr r="F866" s="3"/>
      </tp>
      <tp t="s">
        <v>#N/A Connection</v>
        <stp/>
        <stp>##V3_BDHV12</stp>
        <stp>000800 CH Equity</stp>
        <stp>RR904</stp>
        <stp>-60CQ</stp>
        <stp>3/31/2019</stp>
        <stp>[BI_AUTMG_1_3wwqb2a2.xlsx]ReferenceData!R929C6</stp>
        <stp>Per=CQ</stp>
        <stp>Dts=H</stp>
        <stp>Dir=H</stp>
        <stp>Points=60</stp>
        <stp>Sort=R</stp>
        <stp>Days=A</stp>
        <stp>Fill=B</stp>
        <stp>FX=USD</stp>
        <tr r="F929" s="3"/>
      </tp>
      <tp t="s">
        <v>#N/A Connection</v>
        <stp/>
        <stp>##V3_BDHV12</stp>
        <stp>000800 CH Equity</stp>
        <stp>RR900</stp>
        <stp>-60CQ</stp>
        <stp>3/31/2019</stp>
        <stp>[BI_AUTMG_1_3wwqb2a2.xlsx]ReferenceData!R689C6</stp>
        <stp>Per=CQ</stp>
        <stp>Dts=H</stp>
        <stp>Dir=H</stp>
        <stp>Points=60</stp>
        <stp>Sort=R</stp>
        <stp>Days=A</stp>
        <stp>Fill=B</stp>
        <stp>FX=USD</stp>
        <tr r="F689" s="3"/>
      </tp>
      <tp t="s">
        <v>#N/A Connection</v>
        <stp/>
        <stp>##V3_BDHV12</stp>
        <stp>600104 CH Equity</stp>
        <stp>EZ010</stp>
        <stp>-60CQ</stp>
        <stp>3/31/2019</stp>
        <stp>[BI_AUTMG_1_3wwqb2a2.xlsx]ReferenceData!R786C6</stp>
        <stp>Per=CQ</stp>
        <stp>Dts=H</stp>
        <stp>Dir=H</stp>
        <stp>Points=60</stp>
        <stp>Sort=R</stp>
        <stp>Days=A</stp>
        <stp>Fill=B</stp>
        <stp>FX=USD</stp>
        <tr r="F786" s="3"/>
      </tp>
      <tp t="s">
        <v>#N/A Connection</v>
        <stp/>
        <stp>##V3_BDHV12</stp>
        <stp>600104 CH Equity</stp>
        <stp>EZ009</stp>
        <stp>-60CQ</stp>
        <stp>3/31/2019</stp>
        <stp>[BI_AUTMG_1_3wwqb2a2.xlsx]ReferenceData!R746C6</stp>
        <stp>Per=CQ</stp>
        <stp>Dts=H</stp>
        <stp>Dir=H</stp>
        <stp>Points=60</stp>
        <stp>Sort=R</stp>
        <stp>Days=A</stp>
        <stp>Fill=B</stp>
        <stp>FX=USD</stp>
        <tr r="F746" s="3"/>
      </tp>
      <tp t="s">
        <v>#N/A Connection</v>
        <stp/>
        <stp>##V3_BDHV12</stp>
        <stp>GM US Equity</stp>
        <stp>DV013</stp>
        <stp>-60CQ</stp>
        <stp>3/31/2019</stp>
        <stp>[BI_AUTMG_1_3wwqb2a2.xlsx]ReferenceData!R1175C6</stp>
        <stp>Per=CQ</stp>
        <stp>Dts=H</stp>
        <stp>Dir=H</stp>
        <stp>Points=60</stp>
        <stp>Sort=R</stp>
        <stp>Days=A</stp>
        <stp>Fill=B</stp>
        <stp>FX=USD</stp>
        <tr r="F1175" s="3"/>
      </tp>
      <tp t="s">
        <v>#N/A Connection</v>
        <stp/>
        <stp>##V3_BDHV12</stp>
        <stp>TOASOTRY EO Equity</stp>
        <stp>RR473</stp>
        <stp>-60CQ</stp>
        <stp>3/31/2019</stp>
        <stp>[BI_AUTMG_1_3wwqb2a2.xlsx]ReferenceData!R1035C6</stp>
        <stp>Per=CQ</stp>
        <stp>Dts=H</stp>
        <stp>Dir=H</stp>
        <stp>Points=60</stp>
        <stp>Sort=R</stp>
        <stp>Days=A</stp>
        <stp>Fill=B</stp>
        <stp>FX=USD</stp>
        <tr r="F1035" s="3"/>
      </tp>
      <tp t="s">
        <v>#N/A Connection</v>
        <stp/>
        <stp>##V3_BDHV12</stp>
        <stp>TOASOTRY EO Equity</stp>
        <stp>RX072</stp>
        <stp>-60CQ</stp>
        <stp>3/31/2019</stp>
        <stp>[BI_AUTMG_1_3wwqb2a2.xlsx]ReferenceData!R1275C6</stp>
        <stp>Per=CQ</stp>
        <stp>Dts=H</stp>
        <stp>Dir=H</stp>
        <stp>Points=60</stp>
        <stp>Sort=R</stp>
        <stp>Days=A</stp>
        <stp>Fill=B</stp>
        <stp>FX=USD</stp>
        <tr r="F1275" s="3"/>
      </tp>
      <tp t="s">
        <v>#N/A Connection</v>
        <stp/>
        <stp>##V3_BDHV12</stp>
        <stp>TOASOTRY EO Equity</stp>
        <stp>RR476</stp>
        <stp>-60CQ</stp>
        <stp>3/31/2019</stp>
        <stp>[BI_AUTMG_1_3wwqb2a2.xlsx]ReferenceData!R1155C6</stp>
        <stp>Per=CQ</stp>
        <stp>Dts=H</stp>
        <stp>Dir=H</stp>
        <stp>Points=60</stp>
        <stp>Sort=R</stp>
        <stp>Days=A</stp>
        <stp>Fill=B</stp>
        <stp>FX=USD</stp>
        <tr r="F1155" s="3"/>
      </tp>
      <tp t="s">
        <v>#N/A Connection</v>
        <stp/>
        <stp>##V3_BDHV12</stp>
        <stp>TOASOTRY EO Equity</stp>
        <stp>RR477</stp>
        <stp>-60CQ</stp>
        <stp>3/31/2019</stp>
        <stp>[BI_AUTMG_1_3wwqb2a2.xlsx]ReferenceData!R1115C6</stp>
        <stp>Per=CQ</stp>
        <stp>Dts=H</stp>
        <stp>Dir=H</stp>
        <stp>Points=60</stp>
        <stp>Sort=R</stp>
        <stp>Days=A</stp>
        <stp>Fill=B</stp>
        <stp>FX=USD</stp>
        <tr r="F1115" s="3"/>
      </tp>
      <tp t="s">
        <v>#N/A Connection</v>
        <stp/>
        <stp>##V3_BDHV12</stp>
        <stp>TOASOTRY EO Equity</stp>
        <stp>RX076</stp>
        <stp>-60CQ</stp>
        <stp>3/31/2019</stp>
        <stp>[BI_AUTMG_1_3wwqb2a2.xlsx]ReferenceData!R1235C6</stp>
        <stp>Per=CQ</stp>
        <stp>Dts=H</stp>
        <stp>Dir=H</stp>
        <stp>Points=60</stp>
        <stp>Sort=R</stp>
        <stp>Days=A</stp>
        <stp>Fill=B</stp>
        <stp>FX=USD</stp>
        <tr r="F1235" s="3"/>
      </tp>
      <tp t="s">
        <v>#N/A Connection</v>
        <stp/>
        <stp>##V3_BDHV12</stp>
        <stp>200625 CH Equity</stp>
        <stp>RR474</stp>
        <stp>-60CQ</stp>
        <stp>3/31/2019</stp>
        <stp>[BI_AUTMG_1_3wwqb2a2.xlsx]ReferenceData!R964C6</stp>
        <stp>Per=CQ</stp>
        <stp>Dts=H</stp>
        <stp>Dir=H</stp>
        <stp>Points=60</stp>
        <stp>Sort=R</stp>
        <stp>Days=A</stp>
        <stp>Fill=B</stp>
        <stp>FX=USD</stp>
        <tr r="F964" s="3"/>
      </tp>
      <tp t="s">
        <v>#N/A Connection</v>
        <stp/>
        <stp>##V3_BDHV12</stp>
        <stp>005380 KS Equity</stp>
        <stp>RR971</stp>
        <stp>-60CQ</stp>
        <stp>3/31/2019</stp>
        <stp>[BI_AUTMG_1_3wwqb2a2.xlsx]ReferenceData!R899C6</stp>
        <stp>Per=CQ</stp>
        <stp>Dts=H</stp>
        <stp>Dir=H</stp>
        <stp>Points=60</stp>
        <stp>Sort=R</stp>
        <stp>Days=A</stp>
        <stp>Fill=B</stp>
        <stp>FX=USD</stp>
        <tr r="F899" s="3"/>
      </tp>
      <tp t="s">
        <v>#N/A Connection</v>
        <stp/>
        <stp>##V3_BDHV12</stp>
        <stp>005380 KS Equity</stp>
        <stp>RR904</stp>
        <stp>-60CQ</stp>
        <stp>3/31/2019</stp>
        <stp>[BI_AUTMG_1_3wwqb2a2.xlsx]ReferenceData!R939C6</stp>
        <stp>Per=CQ</stp>
        <stp>Dts=H</stp>
        <stp>Dir=H</stp>
        <stp>Points=60</stp>
        <stp>Sort=R</stp>
        <stp>Days=A</stp>
        <stp>Fill=B</stp>
        <stp>FX=USD</stp>
        <tr r="F939" s="3"/>
      </tp>
      <tp t="s">
        <v>#N/A Connection</v>
        <stp/>
        <stp>##V3_BDHV12</stp>
        <stp>005380 KS Equity</stp>
        <stp>RR903</stp>
        <stp>-60CQ</stp>
        <stp>3/31/2019</stp>
        <stp>[BI_AUTMG_1_3wwqb2a2.xlsx]ReferenceData!R819C6</stp>
        <stp>Per=CQ</stp>
        <stp>Dts=H</stp>
        <stp>Dir=H</stp>
        <stp>Points=60</stp>
        <stp>Sort=R</stp>
        <stp>Days=A</stp>
        <stp>Fill=B</stp>
        <stp>FX=USD</stp>
        <tr r="F819" s="3"/>
      </tp>
      <tp t="s">
        <v>#N/A Connection</v>
        <stp/>
        <stp>##V3_BDHV12</stp>
        <stp>005380 KS Equity</stp>
        <stp>RR900</stp>
        <stp>-60CQ</stp>
        <stp>3/31/2019</stp>
        <stp>[BI_AUTMG_1_3wwqb2a2.xlsx]ReferenceData!R699C6</stp>
        <stp>Per=CQ</stp>
        <stp>Dts=H</stp>
        <stp>Dir=H</stp>
        <stp>Points=60</stp>
        <stp>Sort=R</stp>
        <stp>Days=A</stp>
        <stp>Fill=B</stp>
        <stp>FX=USD</stp>
        <tr r="F699" s="3"/>
      </tp>
      <tp t="s">
        <v>#N/A Connection</v>
        <stp/>
        <stp>##V3_BDHV12</stp>
        <stp>FROTOTRY EO Equity</stp>
        <stp>RR480</stp>
        <stp>-60CQ</stp>
        <stp>3/31/2019</stp>
        <stp>[BI_AUTMG_1_3wwqb2a2.xlsx]ReferenceData!R1052C6</stp>
        <stp>Per=CQ</stp>
        <stp>Dts=H</stp>
        <stp>Dir=H</stp>
        <stp>Points=60</stp>
        <stp>Sort=R</stp>
        <stp>Days=A</stp>
        <stp>Fill=B</stp>
        <stp>FX=USD</stp>
        <tr r="F1052" s="3"/>
      </tp>
      <tp t="s">
        <v>#N/A Connection</v>
        <stp/>
        <stp>##V3_BDHV12</stp>
        <stp>NSU GR Equity</stp>
        <stp>RX076</stp>
        <stp>-60CQ</stp>
        <stp>3/31/2019</stp>
        <stp>[BI_AUTMG_1_3wwqb2a2.xlsx]ReferenceData!R1199C6</stp>
        <stp>Per=CQ</stp>
        <stp>Dts=H</stp>
        <stp>Dir=H</stp>
        <stp>Points=60</stp>
        <stp>Sort=R</stp>
        <stp>Days=A</stp>
        <stp>Fill=B</stp>
        <stp>FX=USD</stp>
        <tr r="F1199" s="3"/>
      </tp>
      <tp t="s">
        <v>#N/A Connection</v>
        <stp/>
        <stp>##V3_BDHV12</stp>
        <stp>NSU GR Equity</stp>
        <stp>RR476</stp>
        <stp>-60CQ</stp>
        <stp>3/31/2019</stp>
        <stp>[BI_AUTMG_1_3wwqb2a2.xlsx]ReferenceData!R1119C6</stp>
        <stp>Per=CQ</stp>
        <stp>Dts=H</stp>
        <stp>Dir=H</stp>
        <stp>Points=60</stp>
        <stp>Sort=R</stp>
        <stp>Days=A</stp>
        <stp>Fill=B</stp>
        <stp>FX=USD</stp>
        <tr r="F1119" s="3"/>
      </tp>
      <tp t="s">
        <v>#N/A Connection</v>
        <stp/>
        <stp>##V3_BDHV12</stp>
        <stp>NSU GR Equity</stp>
        <stp>RR477</stp>
        <stp>-60CQ</stp>
        <stp>3/31/2019</stp>
        <stp>[BI_AUTMG_1_3wwqb2a2.xlsx]ReferenceData!R1079C6</stp>
        <stp>Per=CQ</stp>
        <stp>Dts=H</stp>
        <stp>Dir=H</stp>
        <stp>Points=60</stp>
        <stp>Sort=R</stp>
        <stp>Days=A</stp>
        <stp>Fill=B</stp>
        <stp>FX=USD</stp>
        <tr r="F1079" s="3"/>
      </tp>
      <tp t="s">
        <v>#N/A Connection</v>
        <stp/>
        <stp>##V3_BDHV12</stp>
        <stp>NSU GR Equity</stp>
        <stp>RX072</stp>
        <stp>-60CQ</stp>
        <stp>3/31/2019</stp>
        <stp>[BI_AUTMG_1_3wwqb2a2.xlsx]ReferenceData!R1239C6</stp>
        <stp>Per=CQ</stp>
        <stp>Dts=H</stp>
        <stp>Dir=H</stp>
        <stp>Points=60</stp>
        <stp>Sort=R</stp>
        <stp>Days=A</stp>
        <stp>Fill=B</stp>
        <stp>FX=USD</stp>
        <tr r="F1239" s="3"/>
      </tp>
      <tp t="s">
        <v>#N/A Connection</v>
        <stp/>
        <stp>##V3_BDHV12</stp>
        <stp>000270 KS Equity</stp>
        <stp>RR900</stp>
        <stp>-60CQ</stp>
        <stp>3/31/2019</stp>
        <stp>[BI_AUTMG_1_3wwqb2a2.xlsx]ReferenceData!R700C6</stp>
        <stp>Per=CQ</stp>
        <stp>Dts=H</stp>
        <stp>Dir=H</stp>
        <stp>Points=60</stp>
        <stp>Sort=R</stp>
        <stp>Days=A</stp>
        <stp>Fill=B</stp>
        <stp>FX=USD</stp>
        <tr r="F700" s="3"/>
      </tp>
      <tp t="s">
        <v>#N/A Connection</v>
        <stp/>
        <stp>##V3_BDHV12</stp>
        <stp>000270 KS Equity</stp>
        <stp>RR903</stp>
        <stp>-60CQ</stp>
        <stp>3/31/2019</stp>
        <stp>[BI_AUTMG_1_3wwqb2a2.xlsx]ReferenceData!R820C6</stp>
        <stp>Per=CQ</stp>
        <stp>Dts=H</stp>
        <stp>Dir=H</stp>
        <stp>Points=60</stp>
        <stp>Sort=R</stp>
        <stp>Days=A</stp>
        <stp>Fill=B</stp>
        <stp>FX=USD</stp>
        <tr r="F820" s="3"/>
      </tp>
      <tp t="s">
        <v>#N/A Connection</v>
        <stp/>
        <stp>##V3_BDHV12</stp>
        <stp>000270 KS Equity</stp>
        <stp>RR904</stp>
        <stp>-60CQ</stp>
        <stp>3/31/2019</stp>
        <stp>[BI_AUTMG_1_3wwqb2a2.xlsx]ReferenceData!R940C6</stp>
        <stp>Per=CQ</stp>
        <stp>Dts=H</stp>
        <stp>Dir=H</stp>
        <stp>Points=60</stp>
        <stp>Sort=R</stp>
        <stp>Days=A</stp>
        <stp>Fill=B</stp>
        <stp>FX=USD</stp>
        <tr r="F940" s="3"/>
      </tp>
      <tp t="s">
        <v>#N/A Connection</v>
        <stp/>
        <stp>##V3_BDHV12</stp>
        <stp>000270 KS Equity</stp>
        <stp>RR971</stp>
        <stp>-60CQ</stp>
        <stp>3/31/2019</stp>
        <stp>[BI_AUTMG_1_3wwqb2a2.xlsx]ReferenceData!R900C6</stp>
        <stp>Per=CQ</stp>
        <stp>Dts=H</stp>
        <stp>Dir=H</stp>
        <stp>Points=60</stp>
        <stp>Sort=R</stp>
        <stp>Days=A</stp>
        <stp>Fill=B</stp>
        <stp>FX=USD</stp>
        <tr r="F900" s="3"/>
      </tp>
      <tp t="s">
        <v>#N/A Connection</v>
        <stp/>
        <stp>##V3_BDHV12</stp>
        <stp>TOASOTRY EO Equity</stp>
        <stp>DV013</stp>
        <stp>-60CQ</stp>
        <stp>3/31/2019</stp>
        <stp>[BI_AUTMG_1_3wwqb2a2.xlsx]ReferenceData!R1195C6</stp>
        <stp>Per=CQ</stp>
        <stp>Dts=H</stp>
        <stp>Dir=H</stp>
        <stp>Points=60</stp>
        <stp>Sort=R</stp>
        <stp>Days=A</stp>
        <stp>Fill=B</stp>
        <stp>FX=USD</stp>
        <tr r="F1195" s="3"/>
      </tp>
      <tp t="s">
        <v>#N/A Connection</v>
        <stp/>
        <stp>##V3_BDHV12</stp>
        <stp>GM US Equity</stp>
        <stp>RR473</stp>
        <stp>-60CQ</stp>
        <stp>3/31/2019</stp>
        <stp>[BI_AUTMG_1_3wwqb2a2.xlsx]ReferenceData!R1015C6</stp>
        <stp>Per=CQ</stp>
        <stp>Dts=H</stp>
        <stp>Dir=H</stp>
        <stp>Points=60</stp>
        <stp>Sort=R</stp>
        <stp>Days=A</stp>
        <stp>Fill=B</stp>
        <stp>FX=USD</stp>
        <tr r="F1015" s="3"/>
      </tp>
      <tp t="s">
        <v>#N/A Connection</v>
        <stp/>
        <stp>##V3_BDHV12</stp>
        <stp>GM US Equity</stp>
        <stp>RX072</stp>
        <stp>-60CQ</stp>
        <stp>3/31/2019</stp>
        <stp>[BI_AUTMG_1_3wwqb2a2.xlsx]ReferenceData!R1255C6</stp>
        <stp>Per=CQ</stp>
        <stp>Dts=H</stp>
        <stp>Dir=H</stp>
        <stp>Points=60</stp>
        <stp>Sort=R</stp>
        <stp>Days=A</stp>
        <stp>Fill=B</stp>
        <stp>FX=USD</stp>
        <tr r="F1255" s="3"/>
      </tp>
      <tp t="s">
        <v>#N/A Connection</v>
        <stp/>
        <stp>##V3_BDHV12</stp>
        <stp>GM US Equity</stp>
        <stp>RR477</stp>
        <stp>-60CQ</stp>
        <stp>3/31/2019</stp>
        <stp>[BI_AUTMG_1_3wwqb2a2.xlsx]ReferenceData!R1095C6</stp>
        <stp>Per=CQ</stp>
        <stp>Dts=H</stp>
        <stp>Dir=H</stp>
        <stp>Points=60</stp>
        <stp>Sort=R</stp>
        <stp>Days=A</stp>
        <stp>Fill=B</stp>
        <stp>FX=USD</stp>
        <tr r="F1095" s="3"/>
      </tp>
      <tp t="s">
        <v>#N/A Connection</v>
        <stp/>
        <stp>##V3_BDHV12</stp>
        <stp>GM US Equity</stp>
        <stp>RR476</stp>
        <stp>-60CQ</stp>
        <stp>3/31/2019</stp>
        <stp>[BI_AUTMG_1_3wwqb2a2.xlsx]ReferenceData!R1135C6</stp>
        <stp>Per=CQ</stp>
        <stp>Dts=H</stp>
        <stp>Dir=H</stp>
        <stp>Points=60</stp>
        <stp>Sort=R</stp>
        <stp>Days=A</stp>
        <stp>Fill=B</stp>
        <stp>FX=USD</stp>
        <tr r="F1135" s="3"/>
      </tp>
      <tp t="s">
        <v>#N/A Connection</v>
        <stp/>
        <stp>##V3_BDHV12</stp>
        <stp>GM US Equity</stp>
        <stp>RX076</stp>
        <stp>-60CQ</stp>
        <stp>3/31/2019</stp>
        <stp>[BI_AUTMG_1_3wwqb2a2.xlsx]ReferenceData!R1215C6</stp>
        <stp>Per=CQ</stp>
        <stp>Dts=H</stp>
        <stp>Dir=H</stp>
        <stp>Points=60</stp>
        <stp>Sort=R</stp>
        <stp>Days=A</stp>
        <stp>Fill=B</stp>
        <stp>FX=USD</stp>
        <tr r="F1215" s="3"/>
      </tp>
      <tp t="s">
        <v>#N/A Connection</v>
        <stp/>
        <stp>##V3_BDHV12</stp>
        <stp>NSU GR Equity</stp>
        <stp>DV013</stp>
        <stp>-60CQ</stp>
        <stp>3/31/2019</stp>
        <stp>[BI_AUTMG_1_3wwqb2a2.xlsx]ReferenceData!R1159C6</stp>
        <stp>Per=CQ</stp>
        <stp>Dts=H</stp>
        <stp>Dir=H</stp>
        <stp>Points=60</stp>
        <stp>Sort=R</stp>
        <stp>Days=A</stp>
        <stp>Fill=B</stp>
        <stp>FX=USD</stp>
        <tr r="F1159" s="3"/>
      </tp>
      <tp t="s">
        <v>#N/A Connection</v>
        <stp/>
        <stp>##V3_BDHV12</stp>
        <stp>600104 CH Equity</stp>
        <stp>RR474</stp>
        <stp>-60CQ</stp>
        <stp>3/31/2019</stp>
        <stp>[BI_AUTMG_1_3wwqb2a2.xlsx]ReferenceData!R986C6</stp>
        <stp>Per=CQ</stp>
        <stp>Dts=H</stp>
        <stp>Dir=H</stp>
        <stp>Points=60</stp>
        <stp>Sort=R</stp>
        <stp>Days=A</stp>
        <stp>Fill=B</stp>
        <stp>FX=USD</stp>
        <tr r="F986" s="3"/>
      </tp>
      <tp t="s">
        <v>#N/A Connection</v>
        <stp/>
        <stp>##V3_BDHV12</stp>
        <stp>TOASOTRY EO Equity</stp>
        <stp>RX539</stp>
        <stp>-60CQ</stp>
        <stp>3/31/2019</stp>
        <stp>[BI_AUTMG_1_3wwqb2a2.xlsx]ReferenceData!R1315C6</stp>
        <stp>Per=CQ</stp>
        <stp>Dts=H</stp>
        <stp>Dir=H</stp>
        <stp>Points=60</stp>
        <stp>Sort=R</stp>
        <stp>Days=A</stp>
        <stp>Fill=B</stp>
        <stp>FX=USD</stp>
        <tr r="F1315" s="3"/>
      </tp>
      <tp t="s">
        <v>#N/A Connection</v>
        <stp/>
        <stp>##V3_BDHV12</stp>
        <stp>200625 CH Equity</stp>
        <stp>RX077</stp>
        <stp>-60CQ</stp>
        <stp>3/31/2019</stp>
        <stp>[BI_AUTMG_1_3wwqb2a2.xlsx]ReferenceData!R844C6</stp>
        <stp>Per=CQ</stp>
        <stp>Dts=H</stp>
        <stp>Dir=H</stp>
        <stp>Points=60</stp>
        <stp>Sort=R</stp>
        <stp>Days=A</stp>
        <stp>Fill=B</stp>
        <stp>FX=USD</stp>
        <tr r="F844" s="3"/>
      </tp>
      <tp t="s">
        <v>#N/A Connection</v>
        <stp/>
        <stp>##V3_BDHV12</stp>
        <stp>200625 CH Equity</stp>
        <stp>EZ010</stp>
        <stp>-60CQ</stp>
        <stp>3/31/2019</stp>
        <stp>[BI_AUTMG_1_3wwqb2a2.xlsx]ReferenceData!R764C6</stp>
        <stp>Per=CQ</stp>
        <stp>Dts=H</stp>
        <stp>Dir=H</stp>
        <stp>Points=60</stp>
        <stp>Sort=R</stp>
        <stp>Days=A</stp>
        <stp>Fill=B</stp>
        <stp>FX=USD</stp>
        <tr r="F764" s="3"/>
      </tp>
      <tp t="s">
        <v>#N/A Connection</v>
        <stp/>
        <stp>##V3_BDHV12</stp>
        <stp>200625 CH Equity</stp>
        <stp>EZ009</stp>
        <stp>-60CQ</stp>
        <stp>3/31/2019</stp>
        <stp>[BI_AUTMG_1_3wwqb2a2.xlsx]ReferenceData!R724C6</stp>
        <stp>Per=CQ</stp>
        <stp>Dts=H</stp>
        <stp>Dir=H</stp>
        <stp>Points=60</stp>
        <stp>Sort=R</stp>
        <stp>Days=A</stp>
        <stp>Fill=B</stp>
        <stp>FX=USD</stp>
        <tr r="F724" s="3"/>
      </tp>
      <tp t="s">
        <v>#N/A Connection</v>
        <stp/>
        <stp>##V3_BDHV12</stp>
        <stp>NSU GR Equity</stp>
        <stp>RX539</stp>
        <stp>-60CQ</stp>
        <stp>3/31/2019</stp>
        <stp>[BI_AUTMG_1_3wwqb2a2.xlsx]ReferenceData!R1279C6</stp>
        <stp>Per=CQ</stp>
        <stp>Dts=H</stp>
        <stp>Dir=H</stp>
        <stp>Points=60</stp>
        <stp>Sort=R</stp>
        <stp>Days=A</stp>
        <stp>Fill=B</stp>
        <stp>FX=USD</stp>
        <tr r="F1279" s="3"/>
      </tp>
      <tp t="s">
        <v>#N/A Connection</v>
        <stp/>
        <stp>##V3_BDHV12</stp>
        <stp>003620 KS Equity</stp>
        <stp>RR900</stp>
        <stp>-60CQ</stp>
        <stp>3/31/2019</stp>
        <stp>[BI_AUTMG_1_3wwqb2a2.xlsx]ReferenceData!R709C6</stp>
        <stp>Per=CQ</stp>
        <stp>Dts=H</stp>
        <stp>Dir=H</stp>
        <stp>Points=60</stp>
        <stp>Sort=R</stp>
        <stp>Days=A</stp>
        <stp>Fill=B</stp>
        <stp>FX=USD</stp>
        <tr r="F709" s="3"/>
      </tp>
      <tp t="s">
        <v>#N/A Connection</v>
        <stp/>
        <stp>##V3_BDHV12</stp>
        <stp>003620 KS Equity</stp>
        <stp>RR971</stp>
        <stp>-60CQ</stp>
        <stp>3/31/2019</stp>
        <stp>[BI_AUTMG_1_3wwqb2a2.xlsx]ReferenceData!R909C6</stp>
        <stp>Per=CQ</stp>
        <stp>Dts=H</stp>
        <stp>Dir=H</stp>
        <stp>Points=60</stp>
        <stp>Sort=R</stp>
        <stp>Days=A</stp>
        <stp>Fill=B</stp>
        <stp>FX=USD</stp>
        <tr r="F909" s="3"/>
      </tp>
      <tp t="s">
        <v>#N/A Connection</v>
        <stp/>
        <stp>##V3_BDHV12</stp>
        <stp>003620 KS Equity</stp>
        <stp>RR904</stp>
        <stp>-60CQ</stp>
        <stp>3/31/2019</stp>
        <stp>[BI_AUTMG_1_3wwqb2a2.xlsx]ReferenceData!R949C6</stp>
        <stp>Per=CQ</stp>
        <stp>Dts=H</stp>
        <stp>Dir=H</stp>
        <stp>Points=60</stp>
        <stp>Sort=R</stp>
        <stp>Days=A</stp>
        <stp>Fill=B</stp>
        <stp>FX=USD</stp>
        <tr r="F949" s="3"/>
      </tp>
      <tp t="s">
        <v>#N/A Connection</v>
        <stp/>
        <stp>##V3_BDHV12</stp>
        <stp>003620 KS Equity</stp>
        <stp>RR903</stp>
        <stp>-60CQ</stp>
        <stp>3/31/2019</stp>
        <stp>[BI_AUTMG_1_3wwqb2a2.xlsx]ReferenceData!R829C6</stp>
        <stp>Per=CQ</stp>
        <stp>Dts=H</stp>
        <stp>Dir=H</stp>
        <stp>Points=60</stp>
        <stp>Sort=R</stp>
        <stp>Days=A</stp>
        <stp>Fill=B</stp>
        <stp>FX=USD</stp>
        <tr r="F829" s="3"/>
      </tp>
      <tp t="s">
        <v>#N/A Connection</v>
        <stp/>
        <stp>##V3_BDHV12</stp>
        <stp>FROTOTRY EO Equity</stp>
        <stp>RX539</stp>
        <stp>-60CQ</stp>
        <stp>3/31/2019</stp>
        <stp>[BI_AUTMG_1_3wwqb2a2.xlsx]ReferenceData!R1292C6</stp>
        <stp>Per=CQ</stp>
        <stp>Dts=H</stp>
        <stp>Dir=H</stp>
        <stp>Points=60</stp>
        <stp>Sort=R</stp>
        <stp>Days=A</stp>
        <stp>Fill=B</stp>
        <stp>FX=USD</stp>
        <tr r="F1292" s="3"/>
      </tp>
      <tp t="s">
        <v>#N/A Connection</v>
        <stp/>
        <stp>##V3_BDHV12</stp>
        <stp>F US Equity</stp>
        <stp>DV013</stp>
        <stp>-60CQ</stp>
        <stp>3/31/2019</stp>
        <stp>[BI_AUTMG_1_3wwqb2a2.xlsx]ReferenceData!R1171C6</stp>
        <stp>Per=CQ</stp>
        <stp>Dts=H</stp>
        <stp>Dir=H</stp>
        <stp>Points=60</stp>
        <stp>Sort=R</stp>
        <stp>Days=A</stp>
        <stp>Fill=B</stp>
        <stp>FX=USD</stp>
        <tr r="F1171" s="3"/>
      </tp>
      <tp t="s">
        <v>#N/A Connection</v>
        <stp/>
        <stp>##V3_BDHV12</stp>
        <stp>600104 CH Equity</stp>
        <stp>RR903</stp>
        <stp>-60CQ</stp>
        <stp>3/31/2019</stp>
        <stp>[BI_AUTMG_1_3wwqb2a2.xlsx]ReferenceData!R826C6</stp>
        <stp>Per=CQ</stp>
        <stp>Dts=H</stp>
        <stp>Dir=H</stp>
        <stp>Points=60</stp>
        <stp>Sort=R</stp>
        <stp>Days=A</stp>
        <stp>Fill=B</stp>
        <stp>FX=USD</stp>
        <tr r="F826" s="3"/>
      </tp>
      <tp t="s">
        <v>#N/A Connection</v>
        <stp/>
        <stp>##V3_BDHV12</stp>
        <stp>000800 CH Equity</stp>
        <stp>RX077</stp>
        <stp>-60CQ</stp>
        <stp>3/31/2019</stp>
        <stp>[BI_AUTMG_1_3wwqb2a2.xlsx]ReferenceData!R849C6</stp>
        <stp>Per=CQ</stp>
        <stp>Dts=H</stp>
        <stp>Dir=H</stp>
        <stp>Points=60</stp>
        <stp>Sort=R</stp>
        <stp>Days=A</stp>
        <stp>Fill=B</stp>
        <stp>FX=USD</stp>
        <tr r="F849" s="3"/>
      </tp>
      <tp t="s">
        <v>#N/A Connection</v>
        <stp/>
        <stp>##V3_BDHV12</stp>
        <stp>600104 CH Equity</stp>
        <stp>RR904</stp>
        <stp>-60CQ</stp>
        <stp>3/31/2019</stp>
        <stp>[BI_AUTMG_1_3wwqb2a2.xlsx]ReferenceData!R946C6</stp>
        <stp>Per=CQ</stp>
        <stp>Dts=H</stp>
        <stp>Dir=H</stp>
        <stp>Points=60</stp>
        <stp>Sort=R</stp>
        <stp>Days=A</stp>
        <stp>Fill=B</stp>
        <stp>FX=USD</stp>
        <tr r="F946" s="3"/>
      </tp>
      <tp t="s">
        <v>#N/A Connection</v>
        <stp/>
        <stp>##V3_BDHV12</stp>
        <stp>600104 CH Equity</stp>
        <stp>RR971</stp>
        <stp>-60CQ</stp>
        <stp>3/31/2019</stp>
        <stp>[BI_AUTMG_1_3wwqb2a2.xlsx]ReferenceData!R906C6</stp>
        <stp>Per=CQ</stp>
        <stp>Dts=H</stp>
        <stp>Dir=H</stp>
        <stp>Points=60</stp>
        <stp>Sort=R</stp>
        <stp>Days=A</stp>
        <stp>Fill=B</stp>
        <stp>FX=USD</stp>
        <tr r="F906" s="3"/>
      </tp>
      <tp t="s">
        <v>#N/A Connection</v>
        <stp/>
        <stp>##V3_BDHV12</stp>
        <stp>000800 CH Equity</stp>
        <stp>EZ010</stp>
        <stp>-60CQ</stp>
        <stp>3/31/2019</stp>
        <stp>[BI_AUTMG_1_3wwqb2a2.xlsx]ReferenceData!R769C6</stp>
        <stp>Per=CQ</stp>
        <stp>Dts=H</stp>
        <stp>Dir=H</stp>
        <stp>Points=60</stp>
        <stp>Sort=R</stp>
        <stp>Days=A</stp>
        <stp>Fill=B</stp>
        <stp>FX=USD</stp>
        <tr r="F769" s="3"/>
      </tp>
      <tp t="s">
        <v>#N/A Connection</v>
        <stp/>
        <stp>##V3_BDHV12</stp>
        <stp>000800 CH Equity</stp>
        <stp>EZ009</stp>
        <stp>-60CQ</stp>
        <stp>3/31/2019</stp>
        <stp>[BI_AUTMG_1_3wwqb2a2.xlsx]ReferenceData!R729C6</stp>
        <stp>Per=CQ</stp>
        <stp>Dts=H</stp>
        <stp>Dir=H</stp>
        <stp>Points=60</stp>
        <stp>Sort=R</stp>
        <stp>Days=A</stp>
        <stp>Fill=B</stp>
        <stp>FX=USD</stp>
        <tr r="F729" s="3"/>
      </tp>
      <tp t="s">
        <v>#N/A Connection</v>
        <stp/>
        <stp>##V3_BDHV12</stp>
        <stp>600104 CH Equity</stp>
        <stp>RR900</stp>
        <stp>-60CQ</stp>
        <stp>3/31/2019</stp>
        <stp>[BI_AUTMG_1_3wwqb2a2.xlsx]ReferenceData!R706C6</stp>
        <stp>Per=CQ</stp>
        <stp>Dts=H</stp>
        <stp>Dir=H</stp>
        <stp>Points=60</stp>
        <stp>Sort=R</stp>
        <stp>Days=A</stp>
        <stp>Fill=B</stp>
        <stp>FX=USD</stp>
        <tr r="F706" s="3"/>
      </tp>
      <tp t="s">
        <v>#N/A Connection</v>
        <stp/>
        <stp>##V3_BDHV12</stp>
        <stp>000927 CH Equity</stp>
        <stp>RX077</stp>
        <stp>-60CQ</stp>
        <stp>3/31/2019</stp>
        <stp>[BI_AUTMG_1_3wwqb2a2.xlsx]ReferenceData!R874C6</stp>
        <stp>Per=CQ</stp>
        <stp>Dts=H</stp>
        <stp>Dir=H</stp>
        <stp>Points=60</stp>
        <stp>Sort=R</stp>
        <stp>Days=A</stp>
        <stp>Fill=B</stp>
        <stp>FX=USD</stp>
        <tr r="F874" s="3"/>
      </tp>
      <tp t="s">
        <v>#N/A Connection</v>
        <stp/>
        <stp>##V3_BDHV12</stp>
        <stp>000927 CH Equity</stp>
        <stp>EZ010</stp>
        <stp>-60CQ</stp>
        <stp>3/31/2019</stp>
        <stp>[BI_AUTMG_1_3wwqb2a2.xlsx]ReferenceData!R794C6</stp>
        <stp>Per=CQ</stp>
        <stp>Dts=H</stp>
        <stp>Dir=H</stp>
        <stp>Points=60</stp>
        <stp>Sort=R</stp>
        <stp>Days=A</stp>
        <stp>Fill=B</stp>
        <stp>FX=USD</stp>
        <tr r="F794" s="3"/>
      </tp>
      <tp t="s">
        <v>#N/A Connection</v>
        <stp/>
        <stp>##V3_BDHV12</stp>
        <stp>000927 CH Equity</stp>
        <stp>EZ009</stp>
        <stp>-60CQ</stp>
        <stp>3/31/2019</stp>
        <stp>[BI_AUTMG_1_3wwqb2a2.xlsx]ReferenceData!R754C6</stp>
        <stp>Per=CQ</stp>
        <stp>Dts=H</stp>
        <stp>Dir=H</stp>
        <stp>Points=60</stp>
        <stp>Sort=R</stp>
        <stp>Days=A</stp>
        <stp>Fill=B</stp>
        <stp>FX=USD</stp>
        <tr r="F754" s="3"/>
      </tp>
      <tp t="s">
        <v>#N/A Connection</v>
        <stp/>
        <stp>##V3_BDHV12</stp>
        <stp>FROTOTRY EO Equity</stp>
        <stp>DV013</stp>
        <stp>-60CQ</stp>
        <stp>3/31/2019</stp>
        <stp>[BI_AUTMG_1_3wwqb2a2.xlsx]ReferenceData!R1172C6</stp>
        <stp>Per=CQ</stp>
        <stp>Dts=H</stp>
        <stp>Dir=H</stp>
        <stp>Points=60</stp>
        <stp>Sort=R</stp>
        <stp>Days=A</stp>
        <stp>Fill=B</stp>
        <stp>FX=USD</stp>
        <tr r="F1172" s="3"/>
      </tp>
      <tp t="s">
        <v>#N/A Connection</v>
        <stp/>
        <stp>##V3_BDHV12</stp>
        <stp>F US Equity</stp>
        <stp>RX539</stp>
        <stp>-60CQ</stp>
        <stp>3/31/2019</stp>
        <stp>[BI_AUTMG_1_3wwqb2a2.xlsx]ReferenceData!R1291C6</stp>
        <stp>Per=CQ</stp>
        <stp>Dts=H</stp>
        <stp>Dir=H</stp>
        <stp>Points=60</stp>
        <stp>Sort=R</stp>
        <stp>Days=A</stp>
        <stp>Fill=B</stp>
        <stp>FX=USD</stp>
        <tr r="F1291" s="3"/>
      </tp>
      <tp t="s">
        <v>#N/A Connection</v>
        <stp/>
        <stp>##V3_BDHV12</stp>
        <stp>000270 KS Equity</stp>
        <stp>EZ010</stp>
        <stp>-60CQ</stp>
        <stp>3/31/2019</stp>
        <stp>[BI_AUTMG_1_3wwqb2a2.xlsx]ReferenceData!R780C6</stp>
        <stp>Per=CQ</stp>
        <stp>Dts=H</stp>
        <stp>Dir=H</stp>
        <stp>Points=60</stp>
        <stp>Sort=R</stp>
        <stp>Days=A</stp>
        <stp>Fill=B</stp>
        <stp>FX=USD</stp>
        <tr r="F780" s="3"/>
      </tp>
      <tp t="s">
        <v>#N/A Connection</v>
        <stp/>
        <stp>##V3_BDHV12</stp>
        <stp>000270 KS Equity</stp>
        <stp>EZ009</stp>
        <stp>-60CQ</stp>
        <stp>3/31/2019</stp>
        <stp>[BI_AUTMG_1_3wwqb2a2.xlsx]ReferenceData!R740C6</stp>
        <stp>Per=CQ</stp>
        <stp>Dts=H</stp>
        <stp>Dir=H</stp>
        <stp>Points=60</stp>
        <stp>Sort=R</stp>
        <stp>Days=A</stp>
        <stp>Fill=B</stp>
        <stp>FX=USD</stp>
        <tr r="F740" s="3"/>
      </tp>
      <tp t="s">
        <v>#N/A Connection</v>
        <stp/>
        <stp>##V3_BDHV12</stp>
        <stp>003620 KS Equity</stp>
        <stp>RR474</stp>
        <stp>-60CQ</stp>
        <stp>3/31/2019</stp>
        <stp>[BI_AUTMG_1_3wwqb2a2.xlsx]ReferenceData!R989C6</stp>
        <stp>Per=CQ</stp>
        <stp>Dts=H</stp>
        <stp>Dir=H</stp>
        <stp>Points=60</stp>
        <stp>Sort=R</stp>
        <stp>Days=A</stp>
        <stp>Fill=B</stp>
        <stp>FX=USD</stp>
        <tr r="F989" s="3"/>
      </tp>
      <tp t="s">
        <v>#N/A Connection</v>
        <stp/>
        <stp>##V3_BDHV12</stp>
        <stp>000270 KS Equity</stp>
        <stp>RX077</stp>
        <stp>-60CQ</stp>
        <stp>3/31/2019</stp>
        <stp>[BI_AUTMG_1_3wwqb2a2.xlsx]ReferenceData!R860C6</stp>
        <stp>Per=CQ</stp>
        <stp>Dts=H</stp>
        <stp>Dir=H</stp>
        <stp>Points=60</stp>
        <stp>Sort=R</stp>
        <stp>Days=A</stp>
        <stp>Fill=B</stp>
        <stp>FX=USD</stp>
        <tr r="F860" s="3"/>
      </tp>
      <tp t="s">
        <v>#N/A Connection</v>
        <stp/>
        <stp>##V3_BDHV12</stp>
        <stp>GM US Equity</stp>
        <stp>RR480</stp>
        <stp>-60CQ</stp>
        <stp>3/31/2019</stp>
        <stp>[BI_AUTMG_1_3wwqb2a2.xlsx]ReferenceData!R1055C6</stp>
        <stp>Per=CQ</stp>
        <stp>Dts=H</stp>
        <stp>Dir=H</stp>
        <stp>Points=60</stp>
        <stp>Sort=R</stp>
        <stp>Days=A</stp>
        <stp>Fill=B</stp>
        <stp>FX=USD</stp>
        <tr r="F1055" s="3"/>
      </tp>
      <tp t="s">
        <v>#N/A Connection</v>
        <stp/>
        <stp>##V3_BDHV12</stp>
        <stp>005380 KS Equity</stp>
        <stp>RX077</stp>
        <stp>-60CQ</stp>
        <stp>3/31/2019</stp>
        <stp>[BI_AUTMG_1_3wwqb2a2.xlsx]ReferenceData!R859C6</stp>
        <stp>Per=CQ</stp>
        <stp>Dts=H</stp>
        <stp>Dir=H</stp>
        <stp>Points=60</stp>
        <stp>Sort=R</stp>
        <stp>Days=A</stp>
        <stp>Fill=B</stp>
        <stp>FX=USD</stp>
        <tr r="F859" s="3"/>
      </tp>
      <tp t="s">
        <v>#N/A Connection</v>
        <stp/>
        <stp>##V3_BDHV12</stp>
        <stp>005380 KS Equity</stp>
        <stp>EZ009</stp>
        <stp>-60CQ</stp>
        <stp>3/31/2019</stp>
        <stp>[BI_AUTMG_1_3wwqb2a2.xlsx]ReferenceData!R739C6</stp>
        <stp>Per=CQ</stp>
        <stp>Dts=H</stp>
        <stp>Dir=H</stp>
        <stp>Points=60</stp>
        <stp>Sort=R</stp>
        <stp>Days=A</stp>
        <stp>Fill=B</stp>
        <stp>FX=USD</stp>
        <tr r="F739" s="3"/>
      </tp>
      <tp t="s">
        <v>#N/A Connection</v>
        <stp/>
        <stp>##V3_BDHV12</stp>
        <stp>005380 KS Equity</stp>
        <stp>EZ010</stp>
        <stp>-60CQ</stp>
        <stp>3/31/2019</stp>
        <stp>[BI_AUTMG_1_3wwqb2a2.xlsx]ReferenceData!R779C6</stp>
        <stp>Per=CQ</stp>
        <stp>Dts=H</stp>
        <stp>Dir=H</stp>
        <stp>Points=60</stp>
        <stp>Sort=R</stp>
        <stp>Days=A</stp>
        <stp>Fill=B</stp>
        <stp>FX=USD</stp>
        <tr r="F779" s="3"/>
      </tp>
      <tp t="s">
        <v>#N/A Connection</v>
        <stp/>
        <stp>##V3_BDHV12</stp>
        <stp>FROTOTRY EO Equity</stp>
        <stp>RX076</stp>
        <stp>-60CQ</stp>
        <stp>3/31/2019</stp>
        <stp>[BI_AUTMG_1_3wwqb2a2.xlsx]ReferenceData!R1212C6</stp>
        <stp>Per=CQ</stp>
        <stp>Dts=H</stp>
        <stp>Dir=H</stp>
        <stp>Points=60</stp>
        <stp>Sort=R</stp>
        <stp>Days=A</stp>
        <stp>Fill=B</stp>
        <stp>FX=USD</stp>
        <tr r="F1212" s="3"/>
      </tp>
      <tp t="s">
        <v>#N/A Connection</v>
        <stp/>
        <stp>##V3_BDHV12</stp>
        <stp>FROTOTRY EO Equity</stp>
        <stp>RR477</stp>
        <stp>-60CQ</stp>
        <stp>3/31/2019</stp>
        <stp>[BI_AUTMG_1_3wwqb2a2.xlsx]ReferenceData!R1092C6</stp>
        <stp>Per=CQ</stp>
        <stp>Dts=H</stp>
        <stp>Dir=H</stp>
        <stp>Points=60</stp>
        <stp>Sort=R</stp>
        <stp>Days=A</stp>
        <stp>Fill=B</stp>
        <stp>FX=USD</stp>
        <tr r="F1092" s="3"/>
      </tp>
      <tp t="s">
        <v>#N/A Connection</v>
        <stp/>
        <stp>##V3_BDHV12</stp>
        <stp>FROTOTRY EO Equity</stp>
        <stp>RR476</stp>
        <stp>-60CQ</stp>
        <stp>3/31/2019</stp>
        <stp>[BI_AUTMG_1_3wwqb2a2.xlsx]ReferenceData!R1132C6</stp>
        <stp>Per=CQ</stp>
        <stp>Dts=H</stp>
        <stp>Dir=H</stp>
        <stp>Points=60</stp>
        <stp>Sort=R</stp>
        <stp>Days=A</stp>
        <stp>Fill=B</stp>
        <stp>FX=USD</stp>
        <tr r="F1132" s="3"/>
      </tp>
      <tp t="s">
        <v>#N/A Connection</v>
        <stp/>
        <stp>##V3_BDHV12</stp>
        <stp>FROTOTRY EO Equity</stp>
        <stp>RX072</stp>
        <stp>-60CQ</stp>
        <stp>3/31/2019</stp>
        <stp>[BI_AUTMG_1_3wwqb2a2.xlsx]ReferenceData!R1252C6</stp>
        <stp>Per=CQ</stp>
        <stp>Dts=H</stp>
        <stp>Dir=H</stp>
        <stp>Points=60</stp>
        <stp>Sort=R</stp>
        <stp>Days=A</stp>
        <stp>Fill=B</stp>
        <stp>FX=USD</stp>
        <tr r="F1252" s="3"/>
      </tp>
      <tp t="s">
        <v>#N/A Connection</v>
        <stp/>
        <stp>##V3_BDHV12</stp>
        <stp>FROTOTRY EO Equity</stp>
        <stp>RR473</stp>
        <stp>-60CQ</stp>
        <stp>3/31/2019</stp>
        <stp>[BI_AUTMG_1_3wwqb2a2.xlsx]ReferenceData!R1012C6</stp>
        <stp>Per=CQ</stp>
        <stp>Dts=H</stp>
        <stp>Dir=H</stp>
        <stp>Points=60</stp>
        <stp>Sort=R</stp>
        <stp>Days=A</stp>
        <stp>Fill=B</stp>
        <stp>FX=USD</stp>
        <tr r="F1012" s="3"/>
      </tp>
      <tp t="s">
        <v>#N/A Connection</v>
        <stp/>
        <stp>##V3_BDHV12</stp>
        <stp>NSU GR Equity</stp>
        <stp>RR480</stp>
        <stp>-60CQ</stp>
        <stp>3/31/2019</stp>
        <stp>[BI_AUTMG_1_3wwqb2a2.xlsx]ReferenceData!R1039C6</stp>
        <stp>Per=CQ</stp>
        <stp>Dts=H</stp>
        <stp>Dir=H</stp>
        <stp>Points=60</stp>
        <stp>Sort=R</stp>
        <stp>Days=A</stp>
        <stp>Fill=B</stp>
        <stp>FX=USD</stp>
        <tr r="F1039" s="3"/>
      </tp>
      <tp t="s">
        <v>#N/A Connection</v>
        <stp/>
        <stp>##V3_BDHV12</stp>
        <stp>000800 CH Equity</stp>
        <stp>RR474</stp>
        <stp>-60CQ</stp>
        <stp>3/31/2019</stp>
        <stp>[BI_AUTMG_1_3wwqb2a2.xlsx]ReferenceData!R969C6</stp>
        <stp>Per=CQ</stp>
        <stp>Dts=H</stp>
        <stp>Dir=H</stp>
        <stp>Points=60</stp>
        <stp>Sort=R</stp>
        <stp>Days=A</stp>
        <stp>Fill=B</stp>
        <stp>FX=USD</stp>
        <tr r="F969" s="3"/>
      </tp>
      <tp t="s">
        <v>#N/A Connection</v>
        <stp/>
        <stp>##V3_BDHV12</stp>
        <stp>TOASOTRY EO Equity</stp>
        <stp>RR480</stp>
        <stp>-60CQ</stp>
        <stp>3/31/2019</stp>
        <stp>[BI_AUTMG_1_3wwqb2a2.xlsx]ReferenceData!R1075C6</stp>
        <stp>Per=CQ</stp>
        <stp>Dts=H</stp>
        <stp>Dir=H</stp>
        <stp>Points=60</stp>
        <stp>Sort=R</stp>
        <stp>Days=A</stp>
        <stp>Fill=B</stp>
        <stp>FX=USD</stp>
        <tr r="F1075" s="3"/>
      </tp>
      <tp t="s">
        <v>#N/A Connection</v>
        <stp/>
        <stp>##V3_BDHV12</stp>
        <stp>000927 CH Equity</stp>
        <stp>RR474</stp>
        <stp>-60CQ</stp>
        <stp>3/31/2019</stp>
        <stp>[BI_AUTMG_1_3wwqb2a2.xlsx]ReferenceData!R994C6</stp>
        <stp>Per=CQ</stp>
        <stp>Dts=H</stp>
        <stp>Dir=H</stp>
        <stp>Points=60</stp>
        <stp>Sort=R</stp>
        <stp>Days=A</stp>
        <stp>Fill=B</stp>
        <stp>FX=USD</stp>
        <tr r="F994" s="3"/>
      </tp>
      <tp t="s">
        <v>#N/A Connection</v>
        <stp/>
        <stp>##V3_BDHV12</stp>
        <stp>F US Equity</stp>
        <stp>RR473</stp>
        <stp>-60CQ</stp>
        <stp>3/31/2019</stp>
        <stp>[BI_AUTMG_1_3wwqb2a2.xlsx]ReferenceData!R1011C6</stp>
        <stp>Per=CQ</stp>
        <stp>Dts=H</stp>
        <stp>Dir=H</stp>
        <stp>Points=60</stp>
        <stp>Sort=R</stp>
        <stp>Days=A</stp>
        <stp>Fill=B</stp>
        <stp>FX=USD</stp>
        <tr r="F1011" s="3"/>
      </tp>
      <tp t="s">
        <v>#N/A Connection</v>
        <stp/>
        <stp>##V3_BDHV12</stp>
        <stp>F US Equity</stp>
        <stp>RX072</stp>
        <stp>-60CQ</stp>
        <stp>3/31/2019</stp>
        <stp>[BI_AUTMG_1_3wwqb2a2.xlsx]ReferenceData!R1251C6</stp>
        <stp>Per=CQ</stp>
        <stp>Dts=H</stp>
        <stp>Dir=H</stp>
        <stp>Points=60</stp>
        <stp>Sort=R</stp>
        <stp>Days=A</stp>
        <stp>Fill=B</stp>
        <stp>FX=USD</stp>
        <tr r="F1251" s="3"/>
      </tp>
      <tp t="s">
        <v>#N/A Connection</v>
        <stp/>
        <stp>##V3_BDHV12</stp>
        <stp>F US Equity</stp>
        <stp>RR476</stp>
        <stp>-60CQ</stp>
        <stp>3/31/2019</stp>
        <stp>[BI_AUTMG_1_3wwqb2a2.xlsx]ReferenceData!R1131C6</stp>
        <stp>Per=CQ</stp>
        <stp>Dts=H</stp>
        <stp>Dir=H</stp>
        <stp>Points=60</stp>
        <stp>Sort=R</stp>
        <stp>Days=A</stp>
        <stp>Fill=B</stp>
        <stp>FX=USD</stp>
        <tr r="F1131" s="3"/>
      </tp>
      <tp t="s">
        <v>#N/A Connection</v>
        <stp/>
        <stp>##V3_BDHV12</stp>
        <stp>F US Equity</stp>
        <stp>RR477</stp>
        <stp>-60CQ</stp>
        <stp>3/31/2019</stp>
        <stp>[BI_AUTMG_1_3wwqb2a2.xlsx]ReferenceData!R1091C6</stp>
        <stp>Per=CQ</stp>
        <stp>Dts=H</stp>
        <stp>Dir=H</stp>
        <stp>Points=60</stp>
        <stp>Sort=R</stp>
        <stp>Days=A</stp>
        <stp>Fill=B</stp>
        <stp>FX=USD</stp>
        <tr r="F1091" s="3"/>
      </tp>
      <tp t="s">
        <v>#N/A Connection</v>
        <stp/>
        <stp>##V3_BDHV12</stp>
        <stp>F US Equity</stp>
        <stp>RX076</stp>
        <stp>-60CQ</stp>
        <stp>3/31/2019</stp>
        <stp>[BI_AUTMG_1_3wwqb2a2.xlsx]ReferenceData!R1211C6</stp>
        <stp>Per=CQ</stp>
        <stp>Dts=H</stp>
        <stp>Dir=H</stp>
        <stp>Points=60</stp>
        <stp>Sort=R</stp>
        <stp>Days=A</stp>
        <stp>Fill=B</stp>
        <stp>FX=USD</stp>
        <tr r="F1211" s="3"/>
      </tp>
      <tp t="s">
        <v>#N/A Connection</v>
        <stp/>
        <stp>##V3_BDHV12</stp>
        <stp>003620 KS Equity</stp>
        <stp>EZ009</stp>
        <stp>-60CQ</stp>
        <stp>3/31/2019</stp>
        <stp>[BI_AUTMG_1_3wwqb2a2.xlsx]ReferenceData!R749C6</stp>
        <stp>Per=CQ</stp>
        <stp>Dts=H</stp>
        <stp>Dir=H</stp>
        <stp>Points=60</stp>
        <stp>Sort=R</stp>
        <stp>Days=A</stp>
        <stp>Fill=B</stp>
        <stp>FX=USD</stp>
        <tr r="F749" s="3"/>
      </tp>
      <tp t="s">
        <v>#N/A Connection</v>
        <stp/>
        <stp>##V3_BDHV12</stp>
        <stp>003620 KS Equity</stp>
        <stp>EZ010</stp>
        <stp>-60CQ</stp>
        <stp>3/31/2019</stp>
        <stp>[BI_AUTMG_1_3wwqb2a2.xlsx]ReferenceData!R789C6</stp>
        <stp>Per=CQ</stp>
        <stp>Dts=H</stp>
        <stp>Dir=H</stp>
        <stp>Points=60</stp>
        <stp>Sort=R</stp>
        <stp>Days=A</stp>
        <stp>Fill=B</stp>
        <stp>FX=USD</stp>
        <tr r="F789" s="3"/>
      </tp>
      <tp t="s">
        <v>#N/A Connection</v>
        <stp/>
        <stp>##V3_BDHV12</stp>
        <stp>003620 KS Equity</stp>
        <stp>RX077</stp>
        <stp>-60CQ</stp>
        <stp>3/31/2019</stp>
        <stp>[BI_AUTMG_1_3wwqb2a2.xlsx]ReferenceData!R869C6</stp>
        <stp>Per=CQ</stp>
        <stp>Dts=H</stp>
        <stp>Dir=H</stp>
        <stp>Points=60</stp>
        <stp>Sort=R</stp>
        <stp>Days=A</stp>
        <stp>Fill=B</stp>
        <stp>FX=USD</stp>
        <tr r="F869" s="3"/>
      </tp>
      <tp t="s">
        <v>#N/A Connection</v>
        <stp/>
        <stp>##V3_BDHV12</stp>
        <stp>000270 KS Equity</stp>
        <stp>RR474</stp>
        <stp>-60CQ</stp>
        <stp>3/31/2019</stp>
        <stp>[BI_AUTMG_1_3wwqb2a2.xlsx]ReferenceData!R980C6</stp>
        <stp>Per=CQ</stp>
        <stp>Dts=H</stp>
        <stp>Dir=H</stp>
        <stp>Points=60</stp>
        <stp>Sort=R</stp>
        <stp>Days=A</stp>
        <stp>Fill=B</stp>
        <stp>FX=USD</stp>
        <tr r="F980" s="3"/>
      </tp>
      <tp t="s">
        <v>#N/A Connection</v>
        <stp/>
        <stp>##V3_BDHV12</stp>
        <stp>200625 CH Equity</stp>
        <stp>RR971</stp>
        <stp>-60CQ</stp>
        <stp>3/31/2019</stp>
        <stp>[BI_AUTMG_1_3wwqb2a2.xlsx]ReferenceData!R884C6</stp>
        <stp>Per=CQ</stp>
        <stp>Dts=H</stp>
        <stp>Dir=H</stp>
        <stp>Points=60</stp>
        <stp>Sort=R</stp>
        <stp>Days=A</stp>
        <stp>Fill=B</stp>
        <stp>FX=USD</stp>
        <tr r="F884" s="3"/>
      </tp>
      <tp t="s">
        <v>#N/A Connection</v>
        <stp/>
        <stp>##V3_BDHV12</stp>
        <stp>200625 CH Equity</stp>
        <stp>RR903</stp>
        <stp>-60CQ</stp>
        <stp>3/31/2019</stp>
        <stp>[BI_AUTMG_1_3wwqb2a2.xlsx]ReferenceData!R804C6</stp>
        <stp>Per=CQ</stp>
        <stp>Dts=H</stp>
        <stp>Dir=H</stp>
        <stp>Points=60</stp>
        <stp>Sort=R</stp>
        <stp>Days=A</stp>
        <stp>Fill=B</stp>
        <stp>FX=USD</stp>
        <tr r="F804" s="3"/>
      </tp>
      <tp t="s">
        <v>#N/A Connection</v>
        <stp/>
        <stp>##V3_BDHV12</stp>
        <stp>200625 CH Equity</stp>
        <stp>RR904</stp>
        <stp>-60CQ</stp>
        <stp>3/31/2019</stp>
        <stp>[BI_AUTMG_1_3wwqb2a2.xlsx]ReferenceData!R924C6</stp>
        <stp>Per=CQ</stp>
        <stp>Dts=H</stp>
        <stp>Dir=H</stp>
        <stp>Points=60</stp>
        <stp>Sort=R</stp>
        <stp>Days=A</stp>
        <stp>Fill=B</stp>
        <stp>FX=USD</stp>
        <tr r="F924" s="3"/>
      </tp>
      <tp t="s">
        <v>#N/A Connection</v>
        <stp/>
        <stp>##V3_BDHV12</stp>
        <stp>200625 CH Equity</stp>
        <stp>RR900</stp>
        <stp>-60CQ</stp>
        <stp>3/31/2019</stp>
        <stp>[BI_AUTMG_1_3wwqb2a2.xlsx]ReferenceData!R684C6</stp>
        <stp>Per=CQ</stp>
        <stp>Dts=H</stp>
        <stp>Dir=H</stp>
        <stp>Points=60</stp>
        <stp>Sort=R</stp>
        <stp>Days=A</stp>
        <stp>Fill=B</stp>
        <stp>FX=USD</stp>
        <tr r="F684" s="3"/>
      </tp>
      <tp t="s">
        <v>#N/A Connection</v>
        <stp/>
        <stp>##V3_BDHV12</stp>
        <stp>005380 KS Equity</stp>
        <stp>RR474</stp>
        <stp>-60CQ</stp>
        <stp>3/31/2019</stp>
        <stp>[BI_AUTMG_1_3wwqb2a2.xlsx]ReferenceData!R979C6</stp>
        <stp>Per=CQ</stp>
        <stp>Dts=H</stp>
        <stp>Dir=H</stp>
        <stp>Points=60</stp>
        <stp>Sort=R</stp>
        <stp>Days=A</stp>
        <stp>Fill=B</stp>
        <stp>FX=USD</stp>
        <tr r="F979" s="3"/>
      </tp>
      <tp t="s">
        <v>#N/A Connection</v>
        <stp/>
        <stp>##V3_BDHV12</stp>
        <stp>VOW GR Equity</stp>
        <stp>RR480</stp>
        <stp>-60CQ</stp>
        <stp>3/31/2019</stp>
        <stp>[BI_AUTMG_1_3wwqb2a2.xlsx]ReferenceData!R1077C6</stp>
        <stp>Per=CQ</stp>
        <stp>Dts=H</stp>
        <stp>Dir=H</stp>
        <stp>Points=60</stp>
        <stp>Sort=R</stp>
        <stp>Days=A</stp>
        <stp>Fill=B</stp>
        <stp>FX=USD</stp>
        <tr r="F1077" s="3"/>
      </tp>
      <tp t="s">
        <v>#N/A Connection</v>
        <stp/>
        <stp>##V3_BDHV12</stp>
        <stp>UG FP Equity</stp>
        <stp>RX539</stp>
        <stp>-60CQ</stp>
        <stp>3/31/2019</stp>
        <stp>[BI_AUTMG_1_3wwqb2a2.xlsx]ReferenceData!R1304C6</stp>
        <stp>Per=CQ</stp>
        <stp>Dts=H</stp>
        <stp>Dir=H</stp>
        <stp>Points=60</stp>
        <stp>Sort=R</stp>
        <stp>Days=A</stp>
        <stp>Fill=B</stp>
        <stp>FX=USD</stp>
        <tr r="F1304" s="3"/>
      </tp>
      <tp t="s">
        <v>#N/A Connection</v>
        <stp/>
        <stp>##V3_BDHV12</stp>
        <stp>DAI GR Equity</stp>
        <stp>RR473</stp>
        <stp>-60CQ</stp>
        <stp>3/31/2019</stp>
        <stp>[BI_AUTMG_1_3wwqb2a2.xlsx]ReferenceData!R1006C6</stp>
        <stp>Per=CQ</stp>
        <stp>Dts=H</stp>
        <stp>Dir=H</stp>
        <stp>Points=60</stp>
        <stp>Sort=R</stp>
        <stp>Days=A</stp>
        <stp>Fill=B</stp>
        <stp>FX=USD</stp>
        <tr r="F1006" s="3"/>
      </tp>
      <tp t="s">
        <v>#N/A Connection</v>
        <stp/>
        <stp>##V3_BDHV12</stp>
        <stp>DAI GR Equity</stp>
        <stp>RX072</stp>
        <stp>-60CQ</stp>
        <stp>3/31/2019</stp>
        <stp>[BI_AUTMG_1_3wwqb2a2.xlsx]ReferenceData!R1246C6</stp>
        <stp>Per=CQ</stp>
        <stp>Dts=H</stp>
        <stp>Dir=H</stp>
        <stp>Points=60</stp>
        <stp>Sort=R</stp>
        <stp>Days=A</stp>
        <stp>Fill=B</stp>
        <stp>FX=USD</stp>
        <tr r="F1246" s="3"/>
      </tp>
      <tp t="s">
        <v>#N/A Connection</v>
        <stp/>
        <stp>##V3_BDHV12</stp>
        <stp>DAI GR Equity</stp>
        <stp>RR477</stp>
        <stp>-60CQ</stp>
        <stp>3/31/2019</stp>
        <stp>[BI_AUTMG_1_3wwqb2a2.xlsx]ReferenceData!R1086C6</stp>
        <stp>Per=CQ</stp>
        <stp>Dts=H</stp>
        <stp>Dir=H</stp>
        <stp>Points=60</stp>
        <stp>Sort=R</stp>
        <stp>Days=A</stp>
        <stp>Fill=B</stp>
        <stp>FX=USD</stp>
        <tr r="F1086" s="3"/>
      </tp>
      <tp t="s">
        <v>#N/A Connection</v>
        <stp/>
        <stp>##V3_BDHV12</stp>
        <stp>DAI GR Equity</stp>
        <stp>RR476</stp>
        <stp>-60CQ</stp>
        <stp>3/31/2019</stp>
        <stp>[BI_AUTMG_1_3wwqb2a2.xlsx]ReferenceData!R1126C6</stp>
        <stp>Per=CQ</stp>
        <stp>Dts=H</stp>
        <stp>Dir=H</stp>
        <stp>Points=60</stp>
        <stp>Sort=R</stp>
        <stp>Days=A</stp>
        <stp>Fill=B</stp>
        <stp>FX=USD</stp>
        <tr r="F1126" s="3"/>
      </tp>
      <tp t="s">
        <v>#N/A Connection</v>
        <stp/>
        <stp>##V3_BDHV12</stp>
        <stp>DAI GR Equity</stp>
        <stp>RX076</stp>
        <stp>-60CQ</stp>
        <stp>3/31/2019</stp>
        <stp>[BI_AUTMG_1_3wwqb2a2.xlsx]ReferenceData!R1206C6</stp>
        <stp>Per=CQ</stp>
        <stp>Dts=H</stp>
        <stp>Dir=H</stp>
        <stp>Points=60</stp>
        <stp>Sort=R</stp>
        <stp>Days=A</stp>
        <stp>Fill=B</stp>
        <stp>FX=USD</stp>
        <tr r="F1206" s="3"/>
      </tp>
      <tp t="s">
        <v>#N/A Connection</v>
        <stp/>
        <stp>##V3_BDHV12</stp>
        <stp>BMW GR Equity</stp>
        <stp>RR480</stp>
        <stp>-60CQ</stp>
        <stp>3/31/2019</stp>
        <stp>[BI_AUTMG_1_3wwqb2a2.xlsx]ReferenceData!R1041C6</stp>
        <stp>Per=CQ</stp>
        <stp>Dts=H</stp>
        <stp>Dir=H</stp>
        <stp>Points=60</stp>
        <stp>Sort=R</stp>
        <stp>Days=A</stp>
        <stp>Fill=B</stp>
        <stp>FX=USD</stp>
        <tr r="F1041" s="3"/>
      </tp>
      <tp t="s">
        <v>#N/A Connection</v>
        <stp/>
        <stp>##V3_BDHV12</stp>
        <stp>UG FP Equity</stp>
        <stp>DV013</stp>
        <stp>-60CQ</stp>
        <stp>3/31/2019</stp>
        <stp>[BI_AUTMG_1_3wwqb2a2.xlsx]ReferenceData!R1184C6</stp>
        <stp>Per=CQ</stp>
        <stp>Dts=H</stp>
        <stp>Dir=H</stp>
        <stp>Points=60</stp>
        <stp>Sort=R</stp>
        <stp>Days=A</stp>
        <stp>Fill=B</stp>
        <stp>FX=USD</stp>
        <tr r="F1184" s="3"/>
      </tp>
      <tp t="s">
        <v>#N/A Connection</v>
        <stp/>
        <stp>##V3_BDHV12</stp>
        <stp>RNO FP Equity</stp>
        <stp>RR480</stp>
        <stp>-60CQ</stp>
        <stp>3/31/2019</stp>
        <stp>[BI_AUTMG_1_3wwqb2a2.xlsx]ReferenceData!R1065C6</stp>
        <stp>Per=CQ</stp>
        <stp>Dts=H</stp>
        <stp>Dir=H</stp>
        <stp>Points=60</stp>
        <stp>Sort=R</stp>
        <stp>Days=A</stp>
        <stp>Fill=B</stp>
        <stp>FX=USD</stp>
        <tr r="F1065" s="3"/>
      </tp>
      <tp t="s">
        <v>#N/A Connection</v>
        <stp/>
        <stp>##V3_BDHV12</stp>
        <stp>DRB MK Equity</stp>
        <stp>RR480</stp>
        <stp>-60CQ</stp>
        <stp>3/31/2019</stp>
        <stp>[BI_AUTMG_1_3wwqb2a2.xlsx]ReferenceData!R1048C6</stp>
        <stp>Per=CQ</stp>
        <stp>Dts=H</stp>
        <stp>Dir=H</stp>
        <stp>Points=60</stp>
        <stp>Sort=R</stp>
        <stp>Days=A</stp>
        <stp>Fill=B</stp>
        <stp>FX=USD</stp>
        <tr r="F1048" s="3"/>
      </tp>
      <tp t="s">
        <v>#N/A Connection</v>
        <stp/>
        <stp>##V3_BDHV12</stp>
        <stp>UG FP Equity</stp>
        <stp>RX072</stp>
        <stp>-60CQ</stp>
        <stp>3/31/2019</stp>
        <stp>[BI_AUTMG_1_3wwqb2a2.xlsx]ReferenceData!R1264C6</stp>
        <stp>Per=CQ</stp>
        <stp>Dts=H</stp>
        <stp>Dir=H</stp>
        <stp>Points=60</stp>
        <stp>Sort=R</stp>
        <stp>Days=A</stp>
        <stp>Fill=B</stp>
        <stp>FX=USD</stp>
        <tr r="F1264" s="3"/>
      </tp>
      <tp t="s">
        <v>#N/A Connection</v>
        <stp/>
        <stp>##V3_BDHV12</stp>
        <stp>UG FP Equity</stp>
        <stp>RR473</stp>
        <stp>-60CQ</stp>
        <stp>3/31/2019</stp>
        <stp>[BI_AUTMG_1_3wwqb2a2.xlsx]ReferenceData!R1024C6</stp>
        <stp>Per=CQ</stp>
        <stp>Dts=H</stp>
        <stp>Dir=H</stp>
        <stp>Points=60</stp>
        <stp>Sort=R</stp>
        <stp>Days=A</stp>
        <stp>Fill=B</stp>
        <stp>FX=USD</stp>
        <tr r="F1024" s="3"/>
      </tp>
      <tp t="s">
        <v>#N/A Connection</v>
        <stp/>
        <stp>##V3_BDHV12</stp>
        <stp>UG FP Equity</stp>
        <stp>RX076</stp>
        <stp>-60CQ</stp>
        <stp>3/31/2019</stp>
        <stp>[BI_AUTMG_1_3wwqb2a2.xlsx]ReferenceData!R1224C6</stp>
        <stp>Per=CQ</stp>
        <stp>Dts=H</stp>
        <stp>Dir=H</stp>
        <stp>Points=60</stp>
        <stp>Sort=R</stp>
        <stp>Days=A</stp>
        <stp>Fill=B</stp>
        <stp>FX=USD</stp>
        <tr r="F1224" s="3"/>
      </tp>
      <tp t="s">
        <v>#N/A Connection</v>
        <stp/>
        <stp>##V3_BDHV12</stp>
        <stp>UG FP Equity</stp>
        <stp>RR477</stp>
        <stp>-60CQ</stp>
        <stp>3/31/2019</stp>
        <stp>[BI_AUTMG_1_3wwqb2a2.xlsx]ReferenceData!R1104C6</stp>
        <stp>Per=CQ</stp>
        <stp>Dts=H</stp>
        <stp>Dir=H</stp>
        <stp>Points=60</stp>
        <stp>Sort=R</stp>
        <stp>Days=A</stp>
        <stp>Fill=B</stp>
        <stp>FX=USD</stp>
        <tr r="F1104" s="3"/>
      </tp>
      <tp t="s">
        <v>#N/A Connection</v>
        <stp/>
        <stp>##V3_BDHV12</stp>
        <stp>UG FP Equity</stp>
        <stp>RR476</stp>
        <stp>-60CQ</stp>
        <stp>3/31/2019</stp>
        <stp>[BI_AUTMG_1_3wwqb2a2.xlsx]ReferenceData!R1144C6</stp>
        <stp>Per=CQ</stp>
        <stp>Dts=H</stp>
        <stp>Dir=H</stp>
        <stp>Points=60</stp>
        <stp>Sort=R</stp>
        <stp>Days=A</stp>
        <stp>Fill=B</stp>
        <stp>FX=USD</stp>
        <tr r="F1144" s="3"/>
      </tp>
      <tp t="s">
        <v>#N/A Connection</v>
        <stp/>
        <stp>##V3_BDHV12</stp>
        <stp>DAI GR Equity</stp>
        <stp>RX539</stp>
        <stp>-60CQ</stp>
        <stp>3/31/2019</stp>
        <stp>[BI_AUTMG_1_3wwqb2a2.xlsx]ReferenceData!R1286C6</stp>
        <stp>Per=CQ</stp>
        <stp>Dts=H</stp>
        <stp>Dir=H</stp>
        <stp>Points=60</stp>
        <stp>Sort=R</stp>
        <stp>Days=A</stp>
        <stp>Fill=B</stp>
        <stp>FX=USD</stp>
        <tr r="F1286" s="3"/>
      </tp>
      <tp t="s">
        <v>#N/A Connection</v>
        <stp/>
        <stp>##V3_BDHV12</stp>
        <stp>DAI GR Equity</stp>
        <stp>DV013</stp>
        <stp>-60CQ</stp>
        <stp>3/31/2019</stp>
        <stp>[BI_AUTMG_1_3wwqb2a2.xlsx]ReferenceData!R1166C6</stp>
        <stp>Per=CQ</stp>
        <stp>Dts=H</stp>
        <stp>Dir=H</stp>
        <stp>Points=60</stp>
        <stp>Sort=R</stp>
        <stp>Days=A</stp>
        <stp>Fill=B</stp>
        <stp>FX=USD</stp>
        <tr r="F1166" s="3"/>
      </tp>
      <tp t="s">
        <v>#N/A Connection</v>
        <stp/>
        <stp>##V3_BDHV12</stp>
        <stp>RNO FP Equity</stp>
        <stp>RX539</stp>
        <stp>-60CQ</stp>
        <stp>3/31/2019</stp>
        <stp>[BI_AUTMG_1_3wwqb2a2.xlsx]ReferenceData!R1305C6</stp>
        <stp>Per=CQ</stp>
        <stp>Dts=H</stp>
        <stp>Dir=H</stp>
        <stp>Points=60</stp>
        <stp>Sort=R</stp>
        <stp>Days=A</stp>
        <stp>Fill=B</stp>
        <stp>FX=USD</stp>
        <tr r="F1305" s="3"/>
      </tp>
      <tp t="s">
        <v>#N/A Connection</v>
        <stp/>
        <stp>##V3_BDHV12</stp>
        <stp>VOW GR Equity</stp>
        <stp>DV013</stp>
        <stp>-60CQ</stp>
        <stp>3/31/2019</stp>
        <stp>[BI_AUTMG_1_3wwqb2a2.xlsx]ReferenceData!R1197C6</stp>
        <stp>Per=CQ</stp>
        <stp>Dts=H</stp>
        <stp>Dir=H</stp>
        <stp>Points=60</stp>
        <stp>Sort=R</stp>
        <stp>Days=A</stp>
        <stp>Fill=B</stp>
        <stp>FX=USD</stp>
        <tr r="F1197" s="3"/>
      </tp>
      <tp t="s">
        <v>#N/A Connection</v>
        <stp/>
        <stp>##V3_BDHV12</stp>
        <stp>BMW GR Equity</stp>
        <stp>RX539</stp>
        <stp>-60CQ</stp>
        <stp>3/31/2019</stp>
        <stp>[BI_AUTMG_1_3wwqb2a2.xlsx]ReferenceData!R1281C6</stp>
        <stp>Per=CQ</stp>
        <stp>Dts=H</stp>
        <stp>Dir=H</stp>
        <stp>Points=60</stp>
        <stp>Sort=R</stp>
        <stp>Days=A</stp>
        <stp>Fill=B</stp>
        <stp>FX=USD</stp>
        <tr r="F1281" s="3"/>
      </tp>
      <tp t="s">
        <v>#N/A Connection</v>
        <stp/>
        <stp>##V3_BDHV12</stp>
        <stp>UG FP Equity</stp>
        <stp>RR480</stp>
        <stp>-60CQ</stp>
        <stp>3/31/2019</stp>
        <stp>[BI_AUTMG_1_3wwqb2a2.xlsx]ReferenceData!R1064C6</stp>
        <stp>Per=CQ</stp>
        <stp>Dts=H</stp>
        <stp>Dir=H</stp>
        <stp>Points=60</stp>
        <stp>Sort=R</stp>
        <stp>Days=A</stp>
        <stp>Fill=B</stp>
        <stp>FX=USD</stp>
        <tr r="F1064" s="3"/>
      </tp>
      <tp t="s">
        <v>#N/A Connection</v>
        <stp/>
        <stp>##V3_BDHV12</stp>
        <stp>RNO FP Equity</stp>
        <stp>DV013</stp>
        <stp>-60CQ</stp>
        <stp>3/31/2019</stp>
        <stp>[BI_AUTMG_1_3wwqb2a2.xlsx]ReferenceData!R1185C6</stp>
        <stp>Per=CQ</stp>
        <stp>Dts=H</stp>
        <stp>Dir=H</stp>
        <stp>Points=60</stp>
        <stp>Sort=R</stp>
        <stp>Days=A</stp>
        <stp>Fill=B</stp>
        <stp>FX=USD</stp>
        <tr r="F1185" s="3"/>
      </tp>
      <tp t="s">
        <v>#N/A Connection</v>
        <stp/>
        <stp>##V3_BDHV12</stp>
        <stp>BMW GR Equity</stp>
        <stp>DV013</stp>
        <stp>-60CQ</stp>
        <stp>3/31/2019</stp>
        <stp>[BI_AUTMG_1_3wwqb2a2.xlsx]ReferenceData!R1161C6</stp>
        <stp>Per=CQ</stp>
        <stp>Dts=H</stp>
        <stp>Dir=H</stp>
        <stp>Points=60</stp>
        <stp>Sort=R</stp>
        <stp>Days=A</stp>
        <stp>Fill=B</stp>
        <stp>FX=USD</stp>
        <tr r="F1161" s="3"/>
      </tp>
      <tp t="s">
        <v>#N/A Connection</v>
        <stp/>
        <stp>##V3_BDHV12</stp>
        <stp>DRB MK Equity</stp>
        <stp>RX072</stp>
        <stp>-60CQ</stp>
        <stp>3/31/2019</stp>
        <stp>[BI_AUTMG_1_3wwqb2a2.xlsx]ReferenceData!R1248C6</stp>
        <stp>Per=CQ</stp>
        <stp>Dts=H</stp>
        <stp>Dir=H</stp>
        <stp>Points=60</stp>
        <stp>Sort=R</stp>
        <stp>Days=A</stp>
        <stp>Fill=B</stp>
        <stp>FX=USD</stp>
        <tr r="F1248" s="3"/>
      </tp>
      <tp t="s">
        <v>#N/A Connection</v>
        <stp/>
        <stp>##V3_BDHV12</stp>
        <stp>DRB MK Equity</stp>
        <stp>RR473</stp>
        <stp>-60CQ</stp>
        <stp>3/31/2019</stp>
        <stp>[BI_AUTMG_1_3wwqb2a2.xlsx]ReferenceData!R1008C6</stp>
        <stp>Per=CQ</stp>
        <stp>Dts=H</stp>
        <stp>Dir=H</stp>
        <stp>Points=60</stp>
        <stp>Sort=R</stp>
        <stp>Days=A</stp>
        <stp>Fill=B</stp>
        <stp>FX=USD</stp>
        <tr r="F1008" s="3"/>
      </tp>
      <tp t="s">
        <v>#N/A Connection</v>
        <stp/>
        <stp>##V3_BDHV12</stp>
        <stp>DRB MK Equity</stp>
        <stp>RX076</stp>
        <stp>-60CQ</stp>
        <stp>3/31/2019</stp>
        <stp>[BI_AUTMG_1_3wwqb2a2.xlsx]ReferenceData!R1208C6</stp>
        <stp>Per=CQ</stp>
        <stp>Dts=H</stp>
        <stp>Dir=H</stp>
        <stp>Points=60</stp>
        <stp>Sort=R</stp>
        <stp>Days=A</stp>
        <stp>Fill=B</stp>
        <stp>FX=USD</stp>
        <tr r="F1208" s="3"/>
      </tp>
      <tp t="s">
        <v>#N/A Connection</v>
        <stp/>
        <stp>##V3_BDHV12</stp>
        <stp>DRB MK Equity</stp>
        <stp>RR477</stp>
        <stp>-60CQ</stp>
        <stp>3/31/2019</stp>
        <stp>[BI_AUTMG_1_3wwqb2a2.xlsx]ReferenceData!R1088C6</stp>
        <stp>Per=CQ</stp>
        <stp>Dts=H</stp>
        <stp>Dir=H</stp>
        <stp>Points=60</stp>
        <stp>Sort=R</stp>
        <stp>Days=A</stp>
        <stp>Fill=B</stp>
        <stp>FX=USD</stp>
        <tr r="F1088" s="3"/>
      </tp>
      <tp t="s">
        <v>#N/A Connection</v>
        <stp/>
        <stp>##V3_BDHV12</stp>
        <stp>DRB MK Equity</stp>
        <stp>RR476</stp>
        <stp>-60CQ</stp>
        <stp>3/31/2019</stp>
        <stp>[BI_AUTMG_1_3wwqb2a2.xlsx]ReferenceData!R1128C6</stp>
        <stp>Per=CQ</stp>
        <stp>Dts=H</stp>
        <stp>Dir=H</stp>
        <stp>Points=60</stp>
        <stp>Sort=R</stp>
        <stp>Days=A</stp>
        <stp>Fill=B</stp>
        <stp>FX=USD</stp>
        <tr r="F1128" s="3"/>
      </tp>
      <tp t="s">
        <v>#N/A Connection</v>
        <stp/>
        <stp>##V3_BDHV12</stp>
        <stp>VOW GR Equity</stp>
        <stp>RX539</stp>
        <stp>-60CQ</stp>
        <stp>3/31/2019</stp>
        <stp>[BI_AUTMG_1_3wwqb2a2.xlsx]ReferenceData!R1317C6</stp>
        <stp>Per=CQ</stp>
        <stp>Dts=H</stp>
        <stp>Dir=H</stp>
        <stp>Points=60</stp>
        <stp>Sort=R</stp>
        <stp>Days=A</stp>
        <stp>Fill=B</stp>
        <stp>FX=USD</stp>
        <tr r="F1317" s="3"/>
      </tp>
      <tp t="s">
        <v>#N/A Connection</v>
        <stp/>
        <stp>##V3_BDHV12</stp>
        <stp>RNO FP Equity</stp>
        <stp>RX076</stp>
        <stp>-60CQ</stp>
        <stp>3/31/2019</stp>
        <stp>[BI_AUTMG_1_3wwqb2a2.xlsx]ReferenceData!R1225C6</stp>
        <stp>Per=CQ</stp>
        <stp>Dts=H</stp>
        <stp>Dir=H</stp>
        <stp>Points=60</stp>
        <stp>Sort=R</stp>
        <stp>Days=A</stp>
        <stp>Fill=B</stp>
        <stp>FX=USD</stp>
        <tr r="F1225" s="3"/>
      </tp>
      <tp t="s">
        <v>#N/A Connection</v>
        <stp/>
        <stp>##V3_BDHV12</stp>
        <stp>RNO FP Equity</stp>
        <stp>RR477</stp>
        <stp>-60CQ</stp>
        <stp>3/31/2019</stp>
        <stp>[BI_AUTMG_1_3wwqb2a2.xlsx]ReferenceData!R1105C6</stp>
        <stp>Per=CQ</stp>
        <stp>Dts=H</stp>
        <stp>Dir=H</stp>
        <stp>Points=60</stp>
        <stp>Sort=R</stp>
        <stp>Days=A</stp>
        <stp>Fill=B</stp>
        <stp>FX=USD</stp>
        <tr r="F1105" s="3"/>
      </tp>
      <tp t="s">
        <v>#N/A Connection</v>
        <stp/>
        <stp>##V3_BDHV12</stp>
        <stp>RNO FP Equity</stp>
        <stp>RR476</stp>
        <stp>-60CQ</stp>
        <stp>3/31/2019</stp>
        <stp>[BI_AUTMG_1_3wwqb2a2.xlsx]ReferenceData!R1145C6</stp>
        <stp>Per=CQ</stp>
        <stp>Dts=H</stp>
        <stp>Dir=H</stp>
        <stp>Points=60</stp>
        <stp>Sort=R</stp>
        <stp>Days=A</stp>
        <stp>Fill=B</stp>
        <stp>FX=USD</stp>
        <tr r="F1145" s="3"/>
      </tp>
      <tp t="s">
        <v>#N/A Connection</v>
        <stp/>
        <stp>##V3_BDHV12</stp>
        <stp>RNO FP Equity</stp>
        <stp>RX072</stp>
        <stp>-60CQ</stp>
        <stp>3/31/2019</stp>
        <stp>[BI_AUTMG_1_3wwqb2a2.xlsx]ReferenceData!R1265C6</stp>
        <stp>Per=CQ</stp>
        <stp>Dts=H</stp>
        <stp>Dir=H</stp>
        <stp>Points=60</stp>
        <stp>Sort=R</stp>
        <stp>Days=A</stp>
        <stp>Fill=B</stp>
        <stp>FX=USD</stp>
        <tr r="F1265" s="3"/>
      </tp>
      <tp t="s">
        <v>#N/A Connection</v>
        <stp/>
        <stp>##V3_BDHV12</stp>
        <stp>RNO FP Equity</stp>
        <stp>RR473</stp>
        <stp>-60CQ</stp>
        <stp>3/31/2019</stp>
        <stp>[BI_AUTMG_1_3wwqb2a2.xlsx]ReferenceData!R1025C6</stp>
        <stp>Per=CQ</stp>
        <stp>Dts=H</stp>
        <stp>Dir=H</stp>
        <stp>Points=60</stp>
        <stp>Sort=R</stp>
        <stp>Days=A</stp>
        <stp>Fill=B</stp>
        <stp>FX=USD</stp>
        <tr r="F1025" s="3"/>
      </tp>
      <tp t="s">
        <v>#N/A Connection</v>
        <stp/>
        <stp>##V3_BDHV12</stp>
        <stp>BMW GR Equity</stp>
        <stp>RX076</stp>
        <stp>-60CQ</stp>
        <stp>3/31/2019</stp>
        <stp>[BI_AUTMG_1_3wwqb2a2.xlsx]ReferenceData!R1201C6</stp>
        <stp>Per=CQ</stp>
        <stp>Dts=H</stp>
        <stp>Dir=H</stp>
        <stp>Points=60</stp>
        <stp>Sort=R</stp>
        <stp>Days=A</stp>
        <stp>Fill=B</stp>
        <stp>FX=USD</stp>
        <tr r="F1201" s="3"/>
      </tp>
      <tp t="s">
        <v>#N/A Connection</v>
        <stp/>
        <stp>##V3_BDHV12</stp>
        <stp>BMW GR Equity</stp>
        <stp>RR477</stp>
        <stp>-60CQ</stp>
        <stp>3/31/2019</stp>
        <stp>[BI_AUTMG_1_3wwqb2a2.xlsx]ReferenceData!R1081C6</stp>
        <stp>Per=CQ</stp>
        <stp>Dts=H</stp>
        <stp>Dir=H</stp>
        <stp>Points=60</stp>
        <stp>Sort=R</stp>
        <stp>Days=A</stp>
        <stp>Fill=B</stp>
        <stp>FX=USD</stp>
        <tr r="F1081" s="3"/>
      </tp>
      <tp t="s">
        <v>#N/A Connection</v>
        <stp/>
        <stp>##V3_BDHV12</stp>
        <stp>BMW GR Equity</stp>
        <stp>RR476</stp>
        <stp>-60CQ</stp>
        <stp>3/31/2019</stp>
        <stp>[BI_AUTMG_1_3wwqb2a2.xlsx]ReferenceData!R1121C6</stp>
        <stp>Per=CQ</stp>
        <stp>Dts=H</stp>
        <stp>Dir=H</stp>
        <stp>Points=60</stp>
        <stp>Sort=R</stp>
        <stp>Days=A</stp>
        <stp>Fill=B</stp>
        <stp>FX=USD</stp>
        <tr r="F1121" s="3"/>
      </tp>
      <tp t="s">
        <v>#N/A Connection</v>
        <stp/>
        <stp>##V3_BDHV12</stp>
        <stp>BMW GR Equity</stp>
        <stp>RX072</stp>
        <stp>-60CQ</stp>
        <stp>3/31/2019</stp>
        <stp>[BI_AUTMG_1_3wwqb2a2.xlsx]ReferenceData!R1241C6</stp>
        <stp>Per=CQ</stp>
        <stp>Dts=H</stp>
        <stp>Dir=H</stp>
        <stp>Points=60</stp>
        <stp>Sort=R</stp>
        <stp>Days=A</stp>
        <stp>Fill=B</stp>
        <stp>FX=USD</stp>
        <tr r="F1241" s="3"/>
      </tp>
      <tp t="s">
        <v>#N/A Connection</v>
        <stp/>
        <stp>##V3_BDHV12</stp>
        <stp>DRB MK Equity</stp>
        <stp>DV013</stp>
        <stp>-60CQ</stp>
        <stp>3/31/2019</stp>
        <stp>[BI_AUTMG_1_3wwqb2a2.xlsx]ReferenceData!R1168C6</stp>
        <stp>Per=CQ</stp>
        <stp>Dts=H</stp>
        <stp>Dir=H</stp>
        <stp>Points=60</stp>
        <stp>Sort=R</stp>
        <stp>Days=A</stp>
        <stp>Fill=B</stp>
        <stp>FX=USD</stp>
        <tr r="F1168" s="3"/>
      </tp>
      <tp t="s">
        <v>#N/A Connection</v>
        <stp/>
        <stp>##V3_BDHV12</stp>
        <stp>BMW GR Equity</stp>
        <stp>RR473</stp>
        <stp>-60CQ</stp>
        <stp>3/31/2019</stp>
        <stp>[BI_AUTMG_1_3wwqb2a2.xlsx]ReferenceData!R1001C6</stp>
        <stp>Per=CQ</stp>
        <stp>Dts=H</stp>
        <stp>Dir=H</stp>
        <stp>Points=60</stp>
        <stp>Sort=R</stp>
        <stp>Days=A</stp>
        <stp>Fill=B</stp>
        <stp>FX=USD</stp>
        <tr r="F1001" s="3"/>
      </tp>
      <tp t="s">
        <v>#N/A Connection</v>
        <stp/>
        <stp>##V3_BDHV12</stp>
        <stp>DAI GR Equity</stp>
        <stp>RR480</stp>
        <stp>-60CQ</stp>
        <stp>3/31/2019</stp>
        <stp>[BI_AUTMG_1_3wwqb2a2.xlsx]ReferenceData!R1046C6</stp>
        <stp>Per=CQ</stp>
        <stp>Dts=H</stp>
        <stp>Dir=H</stp>
        <stp>Points=60</stp>
        <stp>Sort=R</stp>
        <stp>Days=A</stp>
        <stp>Fill=B</stp>
        <stp>FX=USD</stp>
        <tr r="F1046" s="3"/>
      </tp>
      <tp t="s">
        <v>#N/A Connection</v>
        <stp/>
        <stp>##V3_BDHV12</stp>
        <stp>DRB MK Equity</stp>
        <stp>RX539</stp>
        <stp>-60CQ</stp>
        <stp>3/31/2019</stp>
        <stp>[BI_AUTMG_1_3wwqb2a2.xlsx]ReferenceData!R1288C6</stp>
        <stp>Per=CQ</stp>
        <stp>Dts=H</stp>
        <stp>Dir=H</stp>
        <stp>Points=60</stp>
        <stp>Sort=R</stp>
        <stp>Days=A</stp>
        <stp>Fill=B</stp>
        <stp>FX=USD</stp>
        <tr r="F1288" s="3"/>
      </tp>
      <tp t="s">
        <v>#N/A Connection</v>
        <stp/>
        <stp>##V3_BDHV12</stp>
        <stp>VOW GR Equity</stp>
        <stp>RX076</stp>
        <stp>-60CQ</stp>
        <stp>3/31/2019</stp>
        <stp>[BI_AUTMG_1_3wwqb2a2.xlsx]ReferenceData!R1237C6</stp>
        <stp>Per=CQ</stp>
        <stp>Dts=H</stp>
        <stp>Dir=H</stp>
        <stp>Points=60</stp>
        <stp>Sort=R</stp>
        <stp>Days=A</stp>
        <stp>Fill=B</stp>
        <stp>FX=USD</stp>
        <tr r="F1237" s="3"/>
      </tp>
      <tp t="s">
        <v>#N/A Connection</v>
        <stp/>
        <stp>##V3_BDHV12</stp>
        <stp>VOW GR Equity</stp>
        <stp>RR477</stp>
        <stp>-60CQ</stp>
        <stp>3/31/2019</stp>
        <stp>[BI_AUTMG_1_3wwqb2a2.xlsx]ReferenceData!R1117C6</stp>
        <stp>Per=CQ</stp>
        <stp>Dts=H</stp>
        <stp>Dir=H</stp>
        <stp>Points=60</stp>
        <stp>Sort=R</stp>
        <stp>Days=A</stp>
        <stp>Fill=B</stp>
        <stp>FX=USD</stp>
        <tr r="F1117" s="3"/>
      </tp>
      <tp t="s">
        <v>#N/A Connection</v>
        <stp/>
        <stp>##V3_BDHV12</stp>
        <stp>VOW GR Equity</stp>
        <stp>RR476</stp>
        <stp>-60CQ</stp>
        <stp>3/31/2019</stp>
        <stp>[BI_AUTMG_1_3wwqb2a2.xlsx]ReferenceData!R1157C6</stp>
        <stp>Per=CQ</stp>
        <stp>Dts=H</stp>
        <stp>Dir=H</stp>
        <stp>Points=60</stp>
        <stp>Sort=R</stp>
        <stp>Days=A</stp>
        <stp>Fill=B</stp>
        <stp>FX=USD</stp>
        <tr r="F1157" s="3"/>
      </tp>
      <tp t="s">
        <v>#N/A Connection</v>
        <stp/>
        <stp>##V3_BDHV12</stp>
        <stp>VOW GR Equity</stp>
        <stp>RX072</stp>
        <stp>-60CQ</stp>
        <stp>3/31/2019</stp>
        <stp>[BI_AUTMG_1_3wwqb2a2.xlsx]ReferenceData!R1277C6</stp>
        <stp>Per=CQ</stp>
        <stp>Dts=H</stp>
        <stp>Dir=H</stp>
        <stp>Points=60</stp>
        <stp>Sort=R</stp>
        <stp>Days=A</stp>
        <stp>Fill=B</stp>
        <stp>FX=USD</stp>
        <tr r="F1277" s="3"/>
      </tp>
      <tp t="s">
        <v>#N/A Connection</v>
        <stp/>
        <stp>##V3_BDHV12</stp>
        <stp>VOW GR Equity</stp>
        <stp>RR473</stp>
        <stp>-60CQ</stp>
        <stp>3/31/2019</stp>
        <stp>[BI_AUTMG_1_3wwqb2a2.xlsx]ReferenceData!R1037C6</stp>
        <stp>Per=CQ</stp>
        <stp>Dts=H</stp>
        <stp>Dir=H</stp>
        <stp>Points=60</stp>
        <stp>Sort=R</stp>
        <stp>Days=A</stp>
        <stp>Fill=B</stp>
        <stp>FX=USD</stp>
        <tr r="F1037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61"/>
  <sheetViews>
    <sheetView tabSelected="1" workbookViewId="0"/>
  </sheetViews>
  <sheetFormatPr defaultRowHeight="15" x14ac:dyDescent="0.25"/>
  <cols>
    <col min="1" max="1" width="56.28515625" customWidth="1"/>
    <col min="2" max="2" width="15.85546875" customWidth="1"/>
    <col min="3" max="65" width="9.140625" bestFit="1" customWidth="1"/>
  </cols>
  <sheetData>
    <row r="1" spans="1:6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25">
      <c r="A2" t="str">
        <f>IFERROR(IF(0=LEN(ReferenceData!$A$2),"",ReferenceData!$A$2),"")</f>
        <v>Description</v>
      </c>
      <c r="B2" t="str">
        <f>IFERROR(IF(0=LEN(ReferenceData!$B$2),"",ReferenceData!$B$2),"")</f>
        <v>Ticker</v>
      </c>
      <c r="C2" t="str">
        <f>IFERROR(IF(0=LEN(ReferenceData!$C$2),"",ReferenceData!$C$2),"")</f>
        <v>Field ID</v>
      </c>
      <c r="D2" t="str">
        <f>IFERROR(IF(0=LEN(ReferenceData!$D$2),"",ReferenceData!$D$2),"")</f>
        <v>Field Mnemonic</v>
      </c>
      <c r="E2" t="str">
        <f>IFERROR(IF(0=LEN(ReferenceData!$E$2),"",ReferenceData!$E$2),"")</f>
        <v>Data State</v>
      </c>
      <c r="F2" t="str">
        <f>IFERROR(IF(0=LEN(ReferenceData!$F$2),"",ReferenceData!$F$2),"")</f>
        <v>2019 Q1</v>
      </c>
      <c r="G2" t="str">
        <f>IFERROR(IF(0=LEN(ReferenceData!$G$2),"",ReferenceData!$G$2),"")</f>
        <v>2018 Q4</v>
      </c>
      <c r="H2" t="str">
        <f>IFERROR(IF(0=LEN(ReferenceData!$H$2),"",ReferenceData!$H$2),"")</f>
        <v>2018 Q3</v>
      </c>
      <c r="I2" t="str">
        <f>IFERROR(IF(0=LEN(ReferenceData!$I$2),"",ReferenceData!$I$2),"")</f>
        <v>2018 Q2</v>
      </c>
      <c r="J2" t="str">
        <f>IFERROR(IF(0=LEN(ReferenceData!$J$2),"",ReferenceData!$J$2),"")</f>
        <v>2018 Q1</v>
      </c>
      <c r="K2" t="str">
        <f>IFERROR(IF(0=LEN(ReferenceData!$K$2),"",ReferenceData!$K$2),"")</f>
        <v>2017 Q4</v>
      </c>
      <c r="L2" t="str">
        <f>IFERROR(IF(0=LEN(ReferenceData!$L$2),"",ReferenceData!$L$2),"")</f>
        <v>2017 Q3</v>
      </c>
      <c r="M2" t="str">
        <f>IFERROR(IF(0=LEN(ReferenceData!$M$2),"",ReferenceData!$M$2),"")</f>
        <v>2017 Q2</v>
      </c>
      <c r="N2" t="str">
        <f>IFERROR(IF(0=LEN(ReferenceData!$N$2),"",ReferenceData!$N$2),"")</f>
        <v>2017 Q1</v>
      </c>
      <c r="O2" t="str">
        <f>IFERROR(IF(0=LEN(ReferenceData!$O$2),"",ReferenceData!$O$2),"")</f>
        <v>2016 Q4</v>
      </c>
      <c r="P2" t="str">
        <f>IFERROR(IF(0=LEN(ReferenceData!$P$2),"",ReferenceData!$P$2),"")</f>
        <v>2016 Q3</v>
      </c>
      <c r="Q2" t="str">
        <f>IFERROR(IF(0=LEN(ReferenceData!$Q$2),"",ReferenceData!$Q$2),"")</f>
        <v>2016 Q2</v>
      </c>
      <c r="R2" t="str">
        <f>IFERROR(IF(0=LEN(ReferenceData!$R$2),"",ReferenceData!$R$2),"")</f>
        <v>2016 Q1</v>
      </c>
      <c r="S2" t="str">
        <f>IFERROR(IF(0=LEN(ReferenceData!$S$2),"",ReferenceData!$S$2),"")</f>
        <v>2015 Q4</v>
      </c>
      <c r="T2" t="str">
        <f>IFERROR(IF(0=LEN(ReferenceData!$T$2),"",ReferenceData!$T$2),"")</f>
        <v>2015 Q3</v>
      </c>
      <c r="U2" t="str">
        <f>IFERROR(IF(0=LEN(ReferenceData!$U$2),"",ReferenceData!$U$2),"")</f>
        <v>2015 Q2</v>
      </c>
      <c r="V2" t="str">
        <f>IFERROR(IF(0=LEN(ReferenceData!$V$2),"",ReferenceData!$V$2),"")</f>
        <v>2015 Q1</v>
      </c>
      <c r="W2" t="str">
        <f>IFERROR(IF(0=LEN(ReferenceData!$W$2),"",ReferenceData!$W$2),"")</f>
        <v>2014 Q4</v>
      </c>
      <c r="X2" t="str">
        <f>IFERROR(IF(0=LEN(ReferenceData!$X$2),"",ReferenceData!$X$2),"")</f>
        <v>2014 Q3</v>
      </c>
      <c r="Y2" t="str">
        <f>IFERROR(IF(0=LEN(ReferenceData!$Y$2),"",ReferenceData!$Y$2),"")</f>
        <v>2014 Q2</v>
      </c>
      <c r="Z2" t="str">
        <f>IFERROR(IF(0=LEN(ReferenceData!$Z$2),"",ReferenceData!$Z$2),"")</f>
        <v>2014 Q1</v>
      </c>
      <c r="AA2" t="str">
        <f>IFERROR(IF(0=LEN(ReferenceData!$AA$2),"",ReferenceData!$AA$2),"")</f>
        <v>2013 Q4</v>
      </c>
      <c r="AB2" t="str">
        <f>IFERROR(IF(0=LEN(ReferenceData!$AB$2),"",ReferenceData!$AB$2),"")</f>
        <v>2013 Q3</v>
      </c>
      <c r="AC2" t="str">
        <f>IFERROR(IF(0=LEN(ReferenceData!$AC$2),"",ReferenceData!$AC$2),"")</f>
        <v>2013 Q2</v>
      </c>
      <c r="AD2" t="str">
        <f>IFERROR(IF(0=LEN(ReferenceData!$AD$2),"",ReferenceData!$AD$2),"")</f>
        <v>2013 Q1</v>
      </c>
      <c r="AE2" t="str">
        <f>IFERROR(IF(0=LEN(ReferenceData!$AE$2),"",ReferenceData!$AE$2),"")</f>
        <v>2012 Q4</v>
      </c>
      <c r="AF2" t="str">
        <f>IFERROR(IF(0=LEN(ReferenceData!$AF$2),"",ReferenceData!$AF$2),"")</f>
        <v>2012 Q3</v>
      </c>
      <c r="AG2" t="str">
        <f>IFERROR(IF(0=LEN(ReferenceData!$AG$2),"",ReferenceData!$AG$2),"")</f>
        <v>2012 Q2</v>
      </c>
      <c r="AH2" t="str">
        <f>IFERROR(IF(0=LEN(ReferenceData!$AH$2),"",ReferenceData!$AH$2),"")</f>
        <v>2012 Q1</v>
      </c>
      <c r="AI2" t="str">
        <f>IFERROR(IF(0=LEN(ReferenceData!$AI$2),"",ReferenceData!$AI$2),"")</f>
        <v>2011 Q4</v>
      </c>
      <c r="AJ2" t="str">
        <f>IFERROR(IF(0=LEN(ReferenceData!$AJ$2),"",ReferenceData!$AJ$2),"")</f>
        <v>2011 Q3</v>
      </c>
      <c r="AK2" t="str">
        <f>IFERROR(IF(0=LEN(ReferenceData!$AK$2),"",ReferenceData!$AK$2),"")</f>
        <v>2011 Q2</v>
      </c>
      <c r="AL2" t="str">
        <f>IFERROR(IF(0=LEN(ReferenceData!$AL$2),"",ReferenceData!$AL$2),"")</f>
        <v>2011 Q1</v>
      </c>
      <c r="AM2" t="str">
        <f>IFERROR(IF(0=LEN(ReferenceData!$AM$2),"",ReferenceData!$AM$2),"")</f>
        <v>2010 Q4</v>
      </c>
      <c r="AN2" t="str">
        <f>IFERROR(IF(0=LEN(ReferenceData!$AN$2),"",ReferenceData!$AN$2),"")</f>
        <v>2010 Q3</v>
      </c>
      <c r="AO2" t="str">
        <f>IFERROR(IF(0=LEN(ReferenceData!$AO$2),"",ReferenceData!$AO$2),"")</f>
        <v>2010 Q2</v>
      </c>
      <c r="AP2" t="str">
        <f>IFERROR(IF(0=LEN(ReferenceData!$AP$2),"",ReferenceData!$AP$2),"")</f>
        <v>2010 Q1</v>
      </c>
      <c r="AQ2" t="str">
        <f>IFERROR(IF(0=LEN(ReferenceData!$AQ$2),"",ReferenceData!$AQ$2),"")</f>
        <v>2009 Q4</v>
      </c>
      <c r="AR2" t="str">
        <f>IFERROR(IF(0=LEN(ReferenceData!$AR$2),"",ReferenceData!$AR$2),"")</f>
        <v>2009 Q3</v>
      </c>
      <c r="AS2" t="str">
        <f>IFERROR(IF(0=LEN(ReferenceData!$AS$2),"",ReferenceData!$AS$2),"")</f>
        <v>2009 Q2</v>
      </c>
      <c r="AT2" t="str">
        <f>IFERROR(IF(0=LEN(ReferenceData!$AT$2),"",ReferenceData!$AT$2),"")</f>
        <v>2009 Q1</v>
      </c>
      <c r="AU2" t="str">
        <f>IFERROR(IF(0=LEN(ReferenceData!$AU$2),"",ReferenceData!$AU$2),"")</f>
        <v>2008 Q4</v>
      </c>
      <c r="AV2" t="str">
        <f>IFERROR(IF(0=LEN(ReferenceData!$AV$2),"",ReferenceData!$AV$2),"")</f>
        <v>2008 Q3</v>
      </c>
      <c r="AW2" t="str">
        <f>IFERROR(IF(0=LEN(ReferenceData!$AW$2),"",ReferenceData!$AW$2),"")</f>
        <v>2008 Q2</v>
      </c>
      <c r="AX2" t="str">
        <f>IFERROR(IF(0=LEN(ReferenceData!$AX$2),"",ReferenceData!$AX$2),"")</f>
        <v>2008 Q1</v>
      </c>
      <c r="AY2" t="str">
        <f>IFERROR(IF(0=LEN(ReferenceData!$AY$2),"",ReferenceData!$AY$2),"")</f>
        <v>2007 Q4</v>
      </c>
      <c r="AZ2" t="str">
        <f>IFERROR(IF(0=LEN(ReferenceData!$AZ$2),"",ReferenceData!$AZ$2),"")</f>
        <v>2007 Q3</v>
      </c>
      <c r="BA2" t="str">
        <f>IFERROR(IF(0=LEN(ReferenceData!$BA$2),"",ReferenceData!$BA$2),"")</f>
        <v>2007 Q2</v>
      </c>
      <c r="BB2" t="str">
        <f>IFERROR(IF(0=LEN(ReferenceData!$BB$2),"",ReferenceData!$BB$2),"")</f>
        <v>2007 Q1</v>
      </c>
      <c r="BC2" t="str">
        <f>IFERROR(IF(0=LEN(ReferenceData!$BC$2),"",ReferenceData!$BC$2),"")</f>
        <v>2006 Q4</v>
      </c>
      <c r="BD2" t="str">
        <f>IFERROR(IF(0=LEN(ReferenceData!$BD$2),"",ReferenceData!$BD$2),"")</f>
        <v>2006 Q3</v>
      </c>
      <c r="BE2" t="str">
        <f>IFERROR(IF(0=LEN(ReferenceData!$BE$2),"",ReferenceData!$BE$2),"")</f>
        <v>2006 Q2</v>
      </c>
      <c r="BF2" t="str">
        <f>IFERROR(IF(0=LEN(ReferenceData!$BF$2),"",ReferenceData!$BF$2),"")</f>
        <v>2006 Q1</v>
      </c>
      <c r="BG2" t="str">
        <f>IFERROR(IF(0=LEN(ReferenceData!$BG$2),"",ReferenceData!$BG$2),"")</f>
        <v>2005 Q4</v>
      </c>
      <c r="BH2" t="str">
        <f>IFERROR(IF(0=LEN(ReferenceData!$BH$2),"",ReferenceData!$BH$2),"")</f>
        <v>2005 Q3</v>
      </c>
      <c r="BI2" t="str">
        <f>IFERROR(IF(0=LEN(ReferenceData!$BI$2),"",ReferenceData!$BI$2),"")</f>
        <v>2005 Q2</v>
      </c>
      <c r="BJ2" t="str">
        <f>IFERROR(IF(0=LEN(ReferenceData!$BJ$2),"",ReferenceData!$BJ$2),"")</f>
        <v>2005 Q1</v>
      </c>
      <c r="BK2" t="str">
        <f>IFERROR(IF(0=LEN(ReferenceData!$BK$2),"",ReferenceData!$BK$2),"")</f>
        <v>2004 Q4</v>
      </c>
      <c r="BL2" t="str">
        <f>IFERROR(IF(0=LEN(ReferenceData!$BL$2),"",ReferenceData!$BL$2),"")</f>
        <v>2004 Q3</v>
      </c>
      <c r="BM2" t="str">
        <f>IFERROR(IF(0=LEN(ReferenceData!$BM$2),"",ReferenceData!$BM$2),"")</f>
        <v>2004 Q2</v>
      </c>
    </row>
    <row r="3" spans="1:65" x14ac:dyDescent="0.25">
      <c r="A3" t="str">
        <f>IFERROR(IF(0=LEN(ReferenceData!$A$3),"",ReferenceData!$A$3),"")</f>
        <v>Price Ratios</v>
      </c>
      <c r="B3" t="str">
        <f>IFERROR(IF(0=LEN(ReferenceData!$B$3),"",ReferenceData!$B$3),"")</f>
        <v/>
      </c>
      <c r="C3" t="str">
        <f>IFERROR(IF(0=LEN(ReferenceData!$C$3),"",ReferenceData!$C$3),"")</f>
        <v/>
      </c>
      <c r="D3" t="str">
        <f>IFERROR(IF(0=LEN(ReferenceData!$D$3),"",ReferenceData!$D$3),"")</f>
        <v/>
      </c>
      <c r="E3" t="str">
        <f>IFERROR(IF(0=LEN(ReferenceData!$E$3),"",ReferenceData!$E$3),"")</f>
        <v>Heading</v>
      </c>
      <c r="F3" t="str">
        <f>IFERROR(IF(0=LEN(ReferenceData!$F$3),"",ReferenceData!$F$3),"")</f>
        <v/>
      </c>
      <c r="G3" t="str">
        <f>IFERROR(IF(0=LEN(ReferenceData!$G$3),"",ReferenceData!$G$3),"")</f>
        <v/>
      </c>
      <c r="H3" t="str">
        <f>IFERROR(IF(0=LEN(ReferenceData!$H$3),"",ReferenceData!$H$3),"")</f>
        <v/>
      </c>
      <c r="I3" t="str">
        <f>IFERROR(IF(0=LEN(ReferenceData!$I$3),"",ReferenceData!$I$3),"")</f>
        <v/>
      </c>
      <c r="J3" t="str">
        <f>IFERROR(IF(0=LEN(ReferenceData!$J$3),"",ReferenceData!$J$3),"")</f>
        <v/>
      </c>
      <c r="K3" t="str">
        <f>IFERROR(IF(0=LEN(ReferenceData!$K$3),"",ReferenceData!$K$3),"")</f>
        <v/>
      </c>
      <c r="L3" t="str">
        <f>IFERROR(IF(0=LEN(ReferenceData!$L$3),"",ReferenceData!$L$3),"")</f>
        <v/>
      </c>
      <c r="M3" t="str">
        <f>IFERROR(IF(0=LEN(ReferenceData!$M$3),"",ReferenceData!$M$3),"")</f>
        <v/>
      </c>
      <c r="N3" t="str">
        <f>IFERROR(IF(0=LEN(ReferenceData!$N$3),"",ReferenceData!$N$3),"")</f>
        <v/>
      </c>
      <c r="O3" t="str">
        <f>IFERROR(IF(0=LEN(ReferenceData!$O$3),"",ReferenceData!$O$3),"")</f>
        <v/>
      </c>
      <c r="P3" t="str">
        <f>IFERROR(IF(0=LEN(ReferenceData!$P$3),"",ReferenceData!$P$3),"")</f>
        <v/>
      </c>
      <c r="Q3" t="str">
        <f>IFERROR(IF(0=LEN(ReferenceData!$Q$3),"",ReferenceData!$Q$3),"")</f>
        <v/>
      </c>
      <c r="R3" t="str">
        <f>IFERROR(IF(0=LEN(ReferenceData!$R$3),"",ReferenceData!$R$3),"")</f>
        <v/>
      </c>
      <c r="S3" t="str">
        <f>IFERROR(IF(0=LEN(ReferenceData!$S$3),"",ReferenceData!$S$3),"")</f>
        <v/>
      </c>
      <c r="T3" t="str">
        <f>IFERROR(IF(0=LEN(ReferenceData!$T$3),"",ReferenceData!$T$3),"")</f>
        <v/>
      </c>
      <c r="U3" t="str">
        <f>IFERROR(IF(0=LEN(ReferenceData!$U$3),"",ReferenceData!$U$3),"")</f>
        <v/>
      </c>
      <c r="V3" t="str">
        <f>IFERROR(IF(0=LEN(ReferenceData!$V$3),"",ReferenceData!$V$3),"")</f>
        <v/>
      </c>
      <c r="W3" t="str">
        <f>IFERROR(IF(0=LEN(ReferenceData!$W$3),"",ReferenceData!$W$3),"")</f>
        <v/>
      </c>
      <c r="X3" t="str">
        <f>IFERROR(IF(0=LEN(ReferenceData!$X$3),"",ReferenceData!$X$3),"")</f>
        <v/>
      </c>
      <c r="Y3" t="str">
        <f>IFERROR(IF(0=LEN(ReferenceData!$Y$3),"",ReferenceData!$Y$3),"")</f>
        <v/>
      </c>
      <c r="Z3" t="str">
        <f>IFERROR(IF(0=LEN(ReferenceData!$Z$3),"",ReferenceData!$Z$3),"")</f>
        <v/>
      </c>
      <c r="AA3" t="str">
        <f>IFERROR(IF(0=LEN(ReferenceData!$AA$3),"",ReferenceData!$AA$3),"")</f>
        <v/>
      </c>
      <c r="AB3" t="str">
        <f>IFERROR(IF(0=LEN(ReferenceData!$AB$3),"",ReferenceData!$AB$3),"")</f>
        <v/>
      </c>
      <c r="AC3" t="str">
        <f>IFERROR(IF(0=LEN(ReferenceData!$AC$3),"",ReferenceData!$AC$3),"")</f>
        <v/>
      </c>
      <c r="AD3" t="str">
        <f>IFERROR(IF(0=LEN(ReferenceData!$AD$3),"",ReferenceData!$AD$3),"")</f>
        <v/>
      </c>
      <c r="AE3" t="str">
        <f>IFERROR(IF(0=LEN(ReferenceData!$AE$3),"",ReferenceData!$AE$3),"")</f>
        <v/>
      </c>
      <c r="AF3" t="str">
        <f>IFERROR(IF(0=LEN(ReferenceData!$AF$3),"",ReferenceData!$AF$3),"")</f>
        <v/>
      </c>
      <c r="AG3" t="str">
        <f>IFERROR(IF(0=LEN(ReferenceData!$AG$3),"",ReferenceData!$AG$3),"")</f>
        <v/>
      </c>
      <c r="AH3" t="str">
        <f>IFERROR(IF(0=LEN(ReferenceData!$AH$3),"",ReferenceData!$AH$3),"")</f>
        <v/>
      </c>
      <c r="AI3" t="str">
        <f>IFERROR(IF(0=LEN(ReferenceData!$AI$3),"",ReferenceData!$AI$3),"")</f>
        <v/>
      </c>
      <c r="AJ3" t="str">
        <f>IFERROR(IF(0=LEN(ReferenceData!$AJ$3),"",ReferenceData!$AJ$3),"")</f>
        <v/>
      </c>
      <c r="AK3" t="str">
        <f>IFERROR(IF(0=LEN(ReferenceData!$AK$3),"",ReferenceData!$AK$3),"")</f>
        <v/>
      </c>
      <c r="AL3" t="str">
        <f>IFERROR(IF(0=LEN(ReferenceData!$AL$3),"",ReferenceData!$AL$3),"")</f>
        <v/>
      </c>
      <c r="AM3" t="str">
        <f>IFERROR(IF(0=LEN(ReferenceData!$AM$3),"",ReferenceData!$AM$3),"")</f>
        <v/>
      </c>
      <c r="AN3" t="str">
        <f>IFERROR(IF(0=LEN(ReferenceData!$AN$3),"",ReferenceData!$AN$3),"")</f>
        <v/>
      </c>
      <c r="AO3" t="str">
        <f>IFERROR(IF(0=LEN(ReferenceData!$AO$3),"",ReferenceData!$AO$3),"")</f>
        <v/>
      </c>
      <c r="AP3" t="str">
        <f>IFERROR(IF(0=LEN(ReferenceData!$AP$3),"",ReferenceData!$AP$3),"")</f>
        <v/>
      </c>
      <c r="AQ3" t="str">
        <f>IFERROR(IF(0=LEN(ReferenceData!$AQ$3),"",ReferenceData!$AQ$3),"")</f>
        <v/>
      </c>
      <c r="AR3" t="str">
        <f>IFERROR(IF(0=LEN(ReferenceData!$AR$3),"",ReferenceData!$AR$3),"")</f>
        <v/>
      </c>
      <c r="AS3" t="str">
        <f>IFERROR(IF(0=LEN(ReferenceData!$AS$3),"",ReferenceData!$AS$3),"")</f>
        <v/>
      </c>
      <c r="AT3" t="str">
        <f>IFERROR(IF(0=LEN(ReferenceData!$AT$3),"",ReferenceData!$AT$3),"")</f>
        <v/>
      </c>
      <c r="AU3" t="str">
        <f>IFERROR(IF(0=LEN(ReferenceData!$AU$3),"",ReferenceData!$AU$3),"")</f>
        <v/>
      </c>
      <c r="AV3" t="str">
        <f>IFERROR(IF(0=LEN(ReferenceData!$AV$3),"",ReferenceData!$AV$3),"")</f>
        <v/>
      </c>
      <c r="AW3" t="str">
        <f>IFERROR(IF(0=LEN(ReferenceData!$AW$3),"",ReferenceData!$AW$3),"")</f>
        <v/>
      </c>
      <c r="AX3" t="str">
        <f>IFERROR(IF(0=LEN(ReferenceData!$AX$3),"",ReferenceData!$AX$3),"")</f>
        <v/>
      </c>
      <c r="AY3" t="str">
        <f>IFERROR(IF(0=LEN(ReferenceData!$AY$3),"",ReferenceData!$AY$3),"")</f>
        <v/>
      </c>
      <c r="AZ3" t="str">
        <f>IFERROR(IF(0=LEN(ReferenceData!$AZ$3),"",ReferenceData!$AZ$3),"")</f>
        <v/>
      </c>
      <c r="BA3" t="str">
        <f>IFERROR(IF(0=LEN(ReferenceData!$BA$3),"",ReferenceData!$BA$3),"")</f>
        <v/>
      </c>
      <c r="BB3" t="str">
        <f>IFERROR(IF(0=LEN(ReferenceData!$BB$3),"",ReferenceData!$BB$3),"")</f>
        <v/>
      </c>
      <c r="BC3" t="str">
        <f>IFERROR(IF(0=LEN(ReferenceData!$BC$3),"",ReferenceData!$BC$3),"")</f>
        <v/>
      </c>
      <c r="BD3" t="str">
        <f>IFERROR(IF(0=LEN(ReferenceData!$BD$3),"",ReferenceData!$BD$3),"")</f>
        <v/>
      </c>
      <c r="BE3" t="str">
        <f>IFERROR(IF(0=LEN(ReferenceData!$BE$3),"",ReferenceData!$BE$3),"")</f>
        <v/>
      </c>
      <c r="BF3" t="str">
        <f>IFERROR(IF(0=LEN(ReferenceData!$BF$3),"",ReferenceData!$BF$3),"")</f>
        <v/>
      </c>
      <c r="BG3" t="str">
        <f>IFERROR(IF(0=LEN(ReferenceData!$BG$3),"",ReferenceData!$BG$3),"")</f>
        <v/>
      </c>
      <c r="BH3" t="str">
        <f>IFERROR(IF(0=LEN(ReferenceData!$BH$3),"",ReferenceData!$BH$3),"")</f>
        <v/>
      </c>
      <c r="BI3" t="str">
        <f>IFERROR(IF(0=LEN(ReferenceData!$BI$3),"",ReferenceData!$BI$3),"")</f>
        <v/>
      </c>
      <c r="BJ3" t="str">
        <f>IFERROR(IF(0=LEN(ReferenceData!$BJ$3),"",ReferenceData!$BJ$3),"")</f>
        <v/>
      </c>
      <c r="BK3" t="str">
        <f>IFERROR(IF(0=LEN(ReferenceData!$BK$3),"",ReferenceData!$BK$3),"")</f>
        <v/>
      </c>
      <c r="BL3" t="str">
        <f>IFERROR(IF(0=LEN(ReferenceData!$BL$3),"",ReferenceData!$BL$3),"")</f>
        <v/>
      </c>
      <c r="BM3" t="str">
        <f>IFERROR(IF(0=LEN(ReferenceData!$BM$3),"",ReferenceData!$BM$3),"")</f>
        <v/>
      </c>
    </row>
    <row r="4" spans="1:65" x14ac:dyDescent="0.25">
      <c r="A4" t="str">
        <f>IFERROR(IF(0=LEN(ReferenceData!$A$4),"",ReferenceData!$A$4),"")</f>
        <v>P/E</v>
      </c>
      <c r="B4" t="str">
        <f>IFERROR(IF(0=LEN(ReferenceData!$B$4),"",ReferenceData!$B$4),"")</f>
        <v>BRAUTOCV Index</v>
      </c>
      <c r="C4" t="str">
        <f>IFERROR(IF(0=LEN(ReferenceData!$C$4),"",ReferenceData!$C$4),"")</f>
        <v/>
      </c>
      <c r="D4" t="str">
        <f>IFERROR(IF(0=LEN(ReferenceData!$D$4),"",ReferenceData!$D$4),"")</f>
        <v/>
      </c>
      <c r="E4" t="str">
        <f>IFERROR(IF(0=LEN(ReferenceData!$E$4),"",ReferenceData!$E$4),"")</f>
        <v>Average</v>
      </c>
      <c r="F4">
        <f ca="1">IFERROR(IF(0=LEN(ReferenceData!$F$4),"",ReferenceData!$F$4),"")</f>
        <v>34.687064477083339</v>
      </c>
      <c r="G4">
        <f ca="1">IFERROR(IF(0=LEN(ReferenceData!$G$4),"",ReferenceData!$G$4),"")</f>
        <v>36.354927041370381</v>
      </c>
      <c r="H4">
        <f ca="1">IFERROR(IF(0=LEN(ReferenceData!$H$4),"",ReferenceData!$H$4),"")</f>
        <v>37.486505082464291</v>
      </c>
      <c r="I4">
        <f ca="1">IFERROR(IF(0=LEN(ReferenceData!$I$4),"",ReferenceData!$I$4),"")</f>
        <v>16.321172442296294</v>
      </c>
      <c r="J4">
        <f ca="1">IFERROR(IF(0=LEN(ReferenceData!$J$4),"",ReferenceData!$J$4),"")</f>
        <v>14.384378364370367</v>
      </c>
      <c r="K4">
        <f ca="1">IFERROR(IF(0=LEN(ReferenceData!$K$4),"",ReferenceData!$K$4),"")</f>
        <v>14.531093478851854</v>
      </c>
      <c r="L4">
        <f ca="1">IFERROR(IF(0=LEN(ReferenceData!$L$4),"",ReferenceData!$L$4),"")</f>
        <v>28.23143034664286</v>
      </c>
      <c r="M4">
        <f ca="1">IFERROR(IF(0=LEN(ReferenceData!$M$4),"",ReferenceData!$M$4),"")</f>
        <v>32.532765875407406</v>
      </c>
      <c r="N4">
        <f ca="1">IFERROR(IF(0=LEN(ReferenceData!$N$4),"",ReferenceData!$N$4),"")</f>
        <v>18.932371148479998</v>
      </c>
      <c r="O4">
        <f ca="1">IFERROR(IF(0=LEN(ReferenceData!$O$4),"",ReferenceData!$O$4),"")</f>
        <v>13.060846422679997</v>
      </c>
      <c r="P4">
        <f ca="1">IFERROR(IF(0=LEN(ReferenceData!$P$4),"",ReferenceData!$P$4),"")</f>
        <v>21.627870351703702</v>
      </c>
      <c r="Q4">
        <f ca="1">IFERROR(IF(0=LEN(ReferenceData!$Q$4),"",ReferenceData!$Q$4),"")</f>
        <v>18.54378822662963</v>
      </c>
      <c r="R4">
        <f ca="1">IFERROR(IF(0=LEN(ReferenceData!$R$4),"",ReferenceData!$R$4),"")</f>
        <v>30.510934477555551</v>
      </c>
      <c r="S4">
        <f ca="1">IFERROR(IF(0=LEN(ReferenceData!$S$4),"",ReferenceData!$S$4),"")</f>
        <v>55.425386812137937</v>
      </c>
      <c r="T4">
        <f ca="1">IFERROR(IF(0=LEN(ReferenceData!$T$4),"",ReferenceData!$T$4),"")</f>
        <v>11.931007438296296</v>
      </c>
      <c r="U4">
        <f ca="1">IFERROR(IF(0=LEN(ReferenceData!$U$4),"",ReferenceData!$U$4),"")</f>
        <v>85.345390948666676</v>
      </c>
      <c r="V4">
        <f ca="1">IFERROR(IF(0=LEN(ReferenceData!$V$4),"",ReferenceData!$V$4),"")</f>
        <v>74.162110639962947</v>
      </c>
      <c r="W4">
        <f ca="1">IFERROR(IF(0=LEN(ReferenceData!$W$4),"",ReferenceData!$W$4),"")</f>
        <v>22.242459336037044</v>
      </c>
      <c r="X4">
        <f ca="1">IFERROR(IF(0=LEN(ReferenceData!$X$4),"",ReferenceData!$X$4),"")</f>
        <v>19.241220315499994</v>
      </c>
      <c r="Y4">
        <f ca="1">IFERROR(IF(0=LEN(ReferenceData!$Y$4),"",ReferenceData!$Y$4),"")</f>
        <v>19.748562005259259</v>
      </c>
      <c r="Z4">
        <f ca="1">IFERROR(IF(0=LEN(ReferenceData!$Z$4),"",ReferenceData!$Z$4),"")</f>
        <v>20.278481407370371</v>
      </c>
      <c r="AA4">
        <f ca="1">IFERROR(IF(0=LEN(ReferenceData!$AA$4),"",ReferenceData!$AA$4),"")</f>
        <v>17.101920842807694</v>
      </c>
      <c r="AB4">
        <f ca="1">IFERROR(IF(0=LEN(ReferenceData!$AB$4),"",ReferenceData!$AB$4),"")</f>
        <v>25.119177397962964</v>
      </c>
      <c r="AC4">
        <f ca="1">IFERROR(IF(0=LEN(ReferenceData!$AC$4),"",ReferenceData!$AC$4),"")</f>
        <v>20.910806248653845</v>
      </c>
      <c r="AD4">
        <f ca="1">IFERROR(IF(0=LEN(ReferenceData!$AD$4),"",ReferenceData!$AD$4),"")</f>
        <v>35.566424224185184</v>
      </c>
      <c r="AE4">
        <f ca="1">IFERROR(IF(0=LEN(ReferenceData!$AE$4),"",ReferenceData!$AE$4),"")</f>
        <v>43.932648451777773</v>
      </c>
      <c r="AF4">
        <f ca="1">IFERROR(IF(0=LEN(ReferenceData!$AF$4),"",ReferenceData!$AF$4),"")</f>
        <v>14.45736995996154</v>
      </c>
      <c r="AG4">
        <f ca="1">IFERROR(IF(0=LEN(ReferenceData!$AG$4),"",ReferenceData!$AG$4),"")</f>
        <v>14.076271249384616</v>
      </c>
      <c r="AH4">
        <f ca="1">IFERROR(IF(0=LEN(ReferenceData!$AH$4),"",ReferenceData!$AH$4),"")</f>
        <v>19.529237211520002</v>
      </c>
      <c r="AI4">
        <f ca="1">IFERROR(IF(0=LEN(ReferenceData!$AI$4),"",ReferenceData!$AI$4),"")</f>
        <v>17.169755633520001</v>
      </c>
      <c r="AJ4">
        <f ca="1">IFERROR(IF(0=LEN(ReferenceData!$AJ$4),"",ReferenceData!$AJ$4),"")</f>
        <v>15.154880187923075</v>
      </c>
      <c r="AK4">
        <f ca="1">IFERROR(IF(0=LEN(ReferenceData!$AK$4),"",ReferenceData!$AK$4),"")</f>
        <v>20.776684996576925</v>
      </c>
      <c r="AL4">
        <f ca="1">IFERROR(IF(0=LEN(ReferenceData!$AL$4),"",ReferenceData!$AL$4),"")</f>
        <v>16.394380150555556</v>
      </c>
      <c r="AM4">
        <f ca="1">IFERROR(IF(0=LEN(ReferenceData!$AM$4),"",ReferenceData!$AM$4),"")</f>
        <v>14.702490968851851</v>
      </c>
      <c r="AN4">
        <f ca="1">IFERROR(IF(0=LEN(ReferenceData!$AN$4),"",ReferenceData!$AN$4),"")</f>
        <v>14.277567077416665</v>
      </c>
      <c r="AO4">
        <f ca="1">IFERROR(IF(0=LEN(ReferenceData!$AO$4),"",ReferenceData!$AO$4),"")</f>
        <v>15.321908693478262</v>
      </c>
      <c r="AP4">
        <f ca="1">IFERROR(IF(0=LEN(ReferenceData!$AP$4),"",ReferenceData!$AP$4),"")</f>
        <v>30.276526142315788</v>
      </c>
      <c r="AQ4">
        <f ca="1">IFERROR(IF(0=LEN(ReferenceData!$AQ$4),"",ReferenceData!$AQ$4),"")</f>
        <v>78.139309126066692</v>
      </c>
      <c r="AR4">
        <f ca="1">IFERROR(IF(0=LEN(ReferenceData!$AR$4),"",ReferenceData!$AR$4),"")</f>
        <v>68.43606687427274</v>
      </c>
      <c r="AS4">
        <f ca="1">IFERROR(IF(0=LEN(ReferenceData!$AS$4),"",ReferenceData!$AS$4),"")</f>
        <v>128.61118195099999</v>
      </c>
      <c r="AT4">
        <f ca="1">IFERROR(IF(0=LEN(ReferenceData!$AT$4),"",ReferenceData!$AT$4),"")</f>
        <v>115.07406504977774</v>
      </c>
      <c r="AU4">
        <f ca="1">IFERROR(IF(0=LEN(ReferenceData!$AU$4),"",ReferenceData!$AU$4),"")</f>
        <v>30.421366965750003</v>
      </c>
      <c r="AV4">
        <f ca="1">IFERROR(IF(0=LEN(ReferenceData!$AV$4),"",ReferenceData!$AV$4),"")</f>
        <v>12.202794393999998</v>
      </c>
      <c r="AW4">
        <f ca="1">IFERROR(IF(0=LEN(ReferenceData!$AW$4),"",ReferenceData!$AW$4),"")</f>
        <v>12.202345811444445</v>
      </c>
      <c r="AX4">
        <f ca="1">IFERROR(IF(0=LEN(ReferenceData!$AX$4),"",ReferenceData!$AX$4),"")</f>
        <v>17.360232400666664</v>
      </c>
      <c r="AY4">
        <f ca="1">IFERROR(IF(0=LEN(ReferenceData!$AY$4),"",ReferenceData!$AY$4),"")</f>
        <v>23.609140261833332</v>
      </c>
      <c r="AZ4">
        <f ca="1">IFERROR(IF(0=LEN(ReferenceData!$AZ$4),"",ReferenceData!$AZ$4),"")</f>
        <v>31.761149916888883</v>
      </c>
      <c r="BA4">
        <f ca="1">IFERROR(IF(0=LEN(ReferenceData!$BA$4),"",ReferenceData!$BA$4),"")</f>
        <v>25.033147647944439</v>
      </c>
      <c r="BB4">
        <f ca="1">IFERROR(IF(0=LEN(ReferenceData!$BB$4),"",ReferenceData!$BB$4),"")</f>
        <v>27.493162595499999</v>
      </c>
      <c r="BC4">
        <f ca="1">IFERROR(IF(0=LEN(ReferenceData!$BC$4),"",ReferenceData!$BC$4),"")</f>
        <v>16.84466519875</v>
      </c>
      <c r="BD4">
        <f ca="1">IFERROR(IF(0=LEN(ReferenceData!$BD$4),"",ReferenceData!$BD$4),"")</f>
        <v>62.248212331176468</v>
      </c>
      <c r="BE4">
        <f ca="1">IFERROR(IF(0=LEN(ReferenceData!$BE$4),"",ReferenceData!$BE$4),"")</f>
        <v>55.035709124941178</v>
      </c>
      <c r="BF4">
        <f ca="1">IFERROR(IF(0=LEN(ReferenceData!$BF$4),"",ReferenceData!$BF$4),"")</f>
        <v>16.195876609352943</v>
      </c>
      <c r="BG4">
        <f ca="1">IFERROR(IF(0=LEN(ReferenceData!$BG$4),"",ReferenceData!$BG$4),"")</f>
        <v>15.533521314833337</v>
      </c>
      <c r="BH4">
        <f ca="1">IFERROR(IF(0=LEN(ReferenceData!$BH$4),"",ReferenceData!$BH$4),"")</f>
        <v>17.593556690823529</v>
      </c>
      <c r="BI4">
        <f ca="1">IFERROR(IF(0=LEN(ReferenceData!$BI$4),"",ReferenceData!$BI$4),"")</f>
        <v>14.747597999466665</v>
      </c>
      <c r="BJ4">
        <f ca="1">IFERROR(IF(0=LEN(ReferenceData!$BJ$4),"",ReferenceData!$BJ$4),"")</f>
        <v>20.3363296429375</v>
      </c>
      <c r="BK4">
        <f ca="1">IFERROR(IF(0=LEN(ReferenceData!$BK$4),"",ReferenceData!$BK$4),"")</f>
        <v>22.972410196083331</v>
      </c>
      <c r="BL4">
        <f ca="1">IFERROR(IF(0=LEN(ReferenceData!$BL$4),"",ReferenceData!$BL$4),"")</f>
        <v>53.767536095333334</v>
      </c>
      <c r="BM4">
        <f ca="1">IFERROR(IF(0=LEN(ReferenceData!$BM$4),"",ReferenceData!$BM$4),"")</f>
        <v>14.383343265727273</v>
      </c>
    </row>
    <row r="5" spans="1:65" x14ac:dyDescent="0.25">
      <c r="A5" t="str">
        <f>IFERROR(IF(0=LEN(ReferenceData!$A$5),"",ReferenceData!$A$5),"")</f>
        <v xml:space="preserve">    AUDI AG</v>
      </c>
      <c r="B5" t="str">
        <f>IFERROR(IF(0=LEN(ReferenceData!$B$5),"",ReferenceData!$B$5),"")</f>
        <v>NSU GR Equity</v>
      </c>
      <c r="C5" t="str">
        <f>IFERROR(IF(0=LEN(ReferenceData!$C$5),"",ReferenceData!$C$5),"")</f>
        <v>RR900</v>
      </c>
      <c r="D5" t="str">
        <f>IFERROR(IF(0=LEN(ReferenceData!$D$5),"",ReferenceData!$D$5),"")</f>
        <v>PE_RATIO</v>
      </c>
      <c r="E5" t="str">
        <f>IFERROR(IF(0=LEN(ReferenceData!$E$5),"",ReferenceData!$E$5),"")</f>
        <v>Dynamic</v>
      </c>
      <c r="F5" t="str">
        <f ca="1">IFERROR(IF(0=LEN(ReferenceData!$F$5),"",ReferenceData!$F$5),"")</f>
        <v/>
      </c>
      <c r="G5" t="str">
        <f ca="1">IFERROR(IF(0=LEN(ReferenceData!$G$5),"",ReferenceData!$G$5),"")</f>
        <v/>
      </c>
      <c r="H5" t="str">
        <f ca="1">IFERROR(IF(0=LEN(ReferenceData!$H$5),"",ReferenceData!$H$5),"")</f>
        <v/>
      </c>
      <c r="I5" t="str">
        <f ca="1">IFERROR(IF(0=LEN(ReferenceData!$I$5),"",ReferenceData!$I$5),"")</f>
        <v/>
      </c>
      <c r="J5" t="str">
        <f ca="1">IFERROR(IF(0=LEN(ReferenceData!$J$5),"",ReferenceData!$J$5),"")</f>
        <v/>
      </c>
      <c r="K5" t="str">
        <f ca="1">IFERROR(IF(0=LEN(ReferenceData!$K$5),"",ReferenceData!$K$5),"")</f>
        <v/>
      </c>
      <c r="L5" t="str">
        <f ca="1">IFERROR(IF(0=LEN(ReferenceData!$L$5),"",ReferenceData!$L$5),"")</f>
        <v/>
      </c>
      <c r="M5" t="str">
        <f ca="1">IFERROR(IF(0=LEN(ReferenceData!$M$5),"",ReferenceData!$M$5),"")</f>
        <v/>
      </c>
      <c r="N5" t="str">
        <f ca="1">IFERROR(IF(0=LEN(ReferenceData!$N$5),"",ReferenceData!$N$5),"")</f>
        <v/>
      </c>
      <c r="O5" t="str">
        <f ca="1">IFERROR(IF(0=LEN(ReferenceData!$O$5),"",ReferenceData!$O$5),"")</f>
        <v/>
      </c>
      <c r="P5" t="str">
        <f ca="1">IFERROR(IF(0=LEN(ReferenceData!$P$5),"",ReferenceData!$P$5),"")</f>
        <v/>
      </c>
      <c r="Q5" t="str">
        <f ca="1">IFERROR(IF(0=LEN(ReferenceData!$Q$5),"",ReferenceData!$Q$5),"")</f>
        <v/>
      </c>
      <c r="R5" t="str">
        <f ca="1">IFERROR(IF(0=LEN(ReferenceData!$R$5),"",ReferenceData!$R$5),"")</f>
        <v/>
      </c>
      <c r="S5" t="str">
        <f ca="1">IFERROR(IF(0=LEN(ReferenceData!$S$5),"",ReferenceData!$S$5),"")</f>
        <v/>
      </c>
      <c r="T5" t="str">
        <f ca="1">IFERROR(IF(0=LEN(ReferenceData!$T$5),"",ReferenceData!$T$5),"")</f>
        <v/>
      </c>
      <c r="U5" t="str">
        <f ca="1">IFERROR(IF(0=LEN(ReferenceData!$U$5),"",ReferenceData!$U$5),"")</f>
        <v/>
      </c>
      <c r="V5" t="str">
        <f ca="1">IFERROR(IF(0=LEN(ReferenceData!$V$5),"",ReferenceData!$V$5),"")</f>
        <v/>
      </c>
      <c r="W5" t="str">
        <f ca="1">IFERROR(IF(0=LEN(ReferenceData!$W$5),"",ReferenceData!$W$5),"")</f>
        <v/>
      </c>
      <c r="X5" t="str">
        <f ca="1">IFERROR(IF(0=LEN(ReferenceData!$X$5),"",ReferenceData!$X$5),"")</f>
        <v/>
      </c>
      <c r="Y5" t="str">
        <f ca="1">IFERROR(IF(0=LEN(ReferenceData!$Y$5),"",ReferenceData!$Y$5),"")</f>
        <v/>
      </c>
      <c r="Z5" t="str">
        <f ca="1">IFERROR(IF(0=LEN(ReferenceData!$Z$5),"",ReferenceData!$Z$5),"")</f>
        <v/>
      </c>
      <c r="AA5" t="str">
        <f ca="1">IFERROR(IF(0=LEN(ReferenceData!$AA$5),"",ReferenceData!$AA$5),"")</f>
        <v/>
      </c>
      <c r="AB5" t="str">
        <f ca="1">IFERROR(IF(0=LEN(ReferenceData!$AB$5),"",ReferenceData!$AB$5),"")</f>
        <v/>
      </c>
      <c r="AC5" t="str">
        <f ca="1">IFERROR(IF(0=LEN(ReferenceData!$AC$5),"",ReferenceData!$AC$5),"")</f>
        <v/>
      </c>
      <c r="AD5" t="str">
        <f ca="1">IFERROR(IF(0=LEN(ReferenceData!$AD$5),"",ReferenceData!$AD$5),"")</f>
        <v/>
      </c>
      <c r="AE5" t="str">
        <f ca="1">IFERROR(IF(0=LEN(ReferenceData!$AE$5),"",ReferenceData!$AE$5),"")</f>
        <v/>
      </c>
      <c r="AF5" t="str">
        <f ca="1">IFERROR(IF(0=LEN(ReferenceData!$AF$5),"",ReferenceData!$AF$5),"")</f>
        <v/>
      </c>
      <c r="AG5" t="str">
        <f ca="1">IFERROR(IF(0=LEN(ReferenceData!$AG$5),"",ReferenceData!$AG$5),"")</f>
        <v/>
      </c>
      <c r="AH5" t="str">
        <f ca="1">IFERROR(IF(0=LEN(ReferenceData!$AH$5),"",ReferenceData!$AH$5),"")</f>
        <v/>
      </c>
      <c r="AI5" t="str">
        <f ca="1">IFERROR(IF(0=LEN(ReferenceData!$AI$5),"",ReferenceData!$AI$5),"")</f>
        <v/>
      </c>
      <c r="AJ5" t="str">
        <f ca="1">IFERROR(IF(0=LEN(ReferenceData!$AJ$5),"",ReferenceData!$AJ$5),"")</f>
        <v/>
      </c>
      <c r="AK5" t="str">
        <f ca="1">IFERROR(IF(0=LEN(ReferenceData!$AK$5),"",ReferenceData!$AK$5),"")</f>
        <v/>
      </c>
      <c r="AL5" t="str">
        <f ca="1">IFERROR(IF(0=LEN(ReferenceData!$AL$5),"",ReferenceData!$AL$5),"")</f>
        <v/>
      </c>
      <c r="AM5" t="str">
        <f ca="1">IFERROR(IF(0=LEN(ReferenceData!$AM$5),"",ReferenceData!$AM$5),"")</f>
        <v/>
      </c>
      <c r="AN5" t="str">
        <f ca="1">IFERROR(IF(0=LEN(ReferenceData!$AN$5),"",ReferenceData!$AN$5),"")</f>
        <v/>
      </c>
      <c r="AO5" t="str">
        <f ca="1">IFERROR(IF(0=LEN(ReferenceData!$AO$5),"",ReferenceData!$AO$5),"")</f>
        <v/>
      </c>
      <c r="AP5" t="str">
        <f ca="1">IFERROR(IF(0=LEN(ReferenceData!$AP$5),"",ReferenceData!$AP$5),"")</f>
        <v/>
      </c>
      <c r="AQ5" t="str">
        <f ca="1">IFERROR(IF(0=LEN(ReferenceData!$AQ$5),"",ReferenceData!$AQ$5),"")</f>
        <v/>
      </c>
      <c r="AR5" t="str">
        <f ca="1">IFERROR(IF(0=LEN(ReferenceData!$AR$5),"",ReferenceData!$AR$5),"")</f>
        <v/>
      </c>
      <c r="AS5" t="str">
        <f ca="1">IFERROR(IF(0=LEN(ReferenceData!$AS$5),"",ReferenceData!$AS$5),"")</f>
        <v/>
      </c>
      <c r="AT5" t="str">
        <f ca="1">IFERROR(IF(0=LEN(ReferenceData!$AT$5),"",ReferenceData!$AT$5),"")</f>
        <v/>
      </c>
      <c r="AU5" t="str">
        <f ca="1">IFERROR(IF(0=LEN(ReferenceData!$AU$5),"",ReferenceData!$AU$5),"")</f>
        <v/>
      </c>
      <c r="AV5" t="str">
        <f ca="1">IFERROR(IF(0=LEN(ReferenceData!$AV$5),"",ReferenceData!$AV$5),"")</f>
        <v/>
      </c>
      <c r="AW5" t="str">
        <f ca="1">IFERROR(IF(0=LEN(ReferenceData!$AW$5),"",ReferenceData!$AW$5),"")</f>
        <v/>
      </c>
      <c r="AX5" t="str">
        <f ca="1">IFERROR(IF(0=LEN(ReferenceData!$AX$5),"",ReferenceData!$AX$5),"")</f>
        <v/>
      </c>
      <c r="AY5" t="str">
        <f ca="1">IFERROR(IF(0=LEN(ReferenceData!$AY$5),"",ReferenceData!$AY$5),"")</f>
        <v/>
      </c>
      <c r="AZ5" t="str">
        <f ca="1">IFERROR(IF(0=LEN(ReferenceData!$AZ$5),"",ReferenceData!$AZ$5),"")</f>
        <v/>
      </c>
      <c r="BA5" t="str">
        <f ca="1">IFERROR(IF(0=LEN(ReferenceData!$BA$5),"",ReferenceData!$BA$5),"")</f>
        <v/>
      </c>
      <c r="BB5" t="str">
        <f ca="1">IFERROR(IF(0=LEN(ReferenceData!$BB$5),"",ReferenceData!$BB$5),"")</f>
        <v/>
      </c>
      <c r="BC5" t="str">
        <f ca="1">IFERROR(IF(0=LEN(ReferenceData!$BC$5),"",ReferenceData!$BC$5),"")</f>
        <v/>
      </c>
      <c r="BD5" t="str">
        <f ca="1">IFERROR(IF(0=LEN(ReferenceData!$BD$5),"",ReferenceData!$BD$5),"")</f>
        <v/>
      </c>
      <c r="BE5" t="str">
        <f ca="1">IFERROR(IF(0=LEN(ReferenceData!$BE$5),"",ReferenceData!$BE$5),"")</f>
        <v/>
      </c>
      <c r="BF5" t="str">
        <f ca="1">IFERROR(IF(0=LEN(ReferenceData!$BF$5),"",ReferenceData!$BF$5),"")</f>
        <v/>
      </c>
      <c r="BG5" t="str">
        <f ca="1">IFERROR(IF(0=LEN(ReferenceData!$BG$5),"",ReferenceData!$BG$5),"")</f>
        <v/>
      </c>
      <c r="BH5" t="str">
        <f ca="1">IFERROR(IF(0=LEN(ReferenceData!$BH$5),"",ReferenceData!$BH$5),"")</f>
        <v/>
      </c>
      <c r="BI5" t="str">
        <f ca="1">IFERROR(IF(0=LEN(ReferenceData!$BI$5),"",ReferenceData!$BI$5),"")</f>
        <v/>
      </c>
      <c r="BJ5" t="str">
        <f ca="1">IFERROR(IF(0=LEN(ReferenceData!$BJ$5),"",ReferenceData!$BJ$5),"")</f>
        <v/>
      </c>
      <c r="BK5" t="str">
        <f ca="1">IFERROR(IF(0=LEN(ReferenceData!$BK$5),"",ReferenceData!$BK$5),"")</f>
        <v/>
      </c>
      <c r="BL5" t="str">
        <f ca="1">IFERROR(IF(0=LEN(ReferenceData!$BL$5),"",ReferenceData!$BL$5),"")</f>
        <v/>
      </c>
      <c r="BM5" t="str">
        <f ca="1">IFERROR(IF(0=LEN(ReferenceData!$BM$5),"",ReferenceData!$BM$5),"")</f>
        <v/>
      </c>
    </row>
    <row r="6" spans="1:65" x14ac:dyDescent="0.25">
      <c r="A6" t="str">
        <f>IFERROR(IF(0=LEN(ReferenceData!$A$6),"",ReferenceData!$A$6),"")</f>
        <v xml:space="preserve">    Avtovaz PJSC</v>
      </c>
      <c r="B6" t="str">
        <f>IFERROR(IF(0=LEN(ReferenceData!$B$6),"",ReferenceData!$B$6),"")</f>
        <v>AVAZ RM Equity</v>
      </c>
      <c r="C6" t="str">
        <f>IFERROR(IF(0=LEN(ReferenceData!$C$6),"",ReferenceData!$C$6),"")</f>
        <v>RR900</v>
      </c>
      <c r="D6" t="str">
        <f>IFERROR(IF(0=LEN(ReferenceData!$D$6),"",ReferenceData!$D$6),"")</f>
        <v>PE_RATIO</v>
      </c>
      <c r="E6" t="str">
        <f>IFERROR(IF(0=LEN(ReferenceData!$E$6),"",ReferenceData!$E$6),"")</f>
        <v>Dynamic</v>
      </c>
      <c r="F6">
        <f ca="1">IFERROR(IF(0=LEN(ReferenceData!$F$6),"",ReferenceData!$F$6),"")</f>
        <v>496.56338979999998</v>
      </c>
      <c r="G6">
        <f ca="1">IFERROR(IF(0=LEN(ReferenceData!$G$6),"",ReferenceData!$G$6),"")</f>
        <v>496.56338979999998</v>
      </c>
      <c r="H6">
        <f ca="1">IFERROR(IF(0=LEN(ReferenceData!$H$6),"",ReferenceData!$H$6),"")</f>
        <v>479.17558380000003</v>
      </c>
      <c r="I6" t="str">
        <f ca="1">IFERROR(IF(0=LEN(ReferenceData!$I$6),"",ReferenceData!$I$6),"")</f>
        <v/>
      </c>
      <c r="J6" t="str">
        <f ca="1">IFERROR(IF(0=LEN(ReferenceData!$J$6),"",ReferenceData!$J$6),"")</f>
        <v/>
      </c>
      <c r="K6" t="str">
        <f ca="1">IFERROR(IF(0=LEN(ReferenceData!$K$6),"",ReferenceData!$K$6),"")</f>
        <v/>
      </c>
      <c r="L6" t="str">
        <f ca="1">IFERROR(IF(0=LEN(ReferenceData!$L$6),"",ReferenceData!$L$6),"")</f>
        <v/>
      </c>
      <c r="M6" t="str">
        <f ca="1">IFERROR(IF(0=LEN(ReferenceData!$M$6),"",ReferenceData!$M$6),"")</f>
        <v/>
      </c>
      <c r="N6" t="str">
        <f ca="1">IFERROR(IF(0=LEN(ReferenceData!$N$6),"",ReferenceData!$N$6),"")</f>
        <v/>
      </c>
      <c r="O6" t="str">
        <f ca="1">IFERROR(IF(0=LEN(ReferenceData!$O$6),"",ReferenceData!$O$6),"")</f>
        <v/>
      </c>
      <c r="P6" t="str">
        <f ca="1">IFERROR(IF(0=LEN(ReferenceData!$P$6),"",ReferenceData!$P$6),"")</f>
        <v/>
      </c>
      <c r="Q6" t="str">
        <f ca="1">IFERROR(IF(0=LEN(ReferenceData!$Q$6),"",ReferenceData!$Q$6),"")</f>
        <v/>
      </c>
      <c r="R6" t="str">
        <f ca="1">IFERROR(IF(0=LEN(ReferenceData!$R$6),"",ReferenceData!$R$6),"")</f>
        <v/>
      </c>
      <c r="S6" t="str">
        <f ca="1">IFERROR(IF(0=LEN(ReferenceData!$S$6),"",ReferenceData!$S$6),"")</f>
        <v/>
      </c>
      <c r="T6" t="str">
        <f ca="1">IFERROR(IF(0=LEN(ReferenceData!$T$6),"",ReferenceData!$T$6),"")</f>
        <v/>
      </c>
      <c r="U6" t="str">
        <f ca="1">IFERROR(IF(0=LEN(ReferenceData!$U$6),"",ReferenceData!$U$6),"")</f>
        <v/>
      </c>
      <c r="V6" t="str">
        <f ca="1">IFERROR(IF(0=LEN(ReferenceData!$V$6),"",ReferenceData!$V$6),"")</f>
        <v/>
      </c>
      <c r="W6" t="str">
        <f ca="1">IFERROR(IF(0=LEN(ReferenceData!$W$6),"",ReferenceData!$W$6),"")</f>
        <v/>
      </c>
      <c r="X6" t="str">
        <f ca="1">IFERROR(IF(0=LEN(ReferenceData!$X$6),"",ReferenceData!$X$6),"")</f>
        <v/>
      </c>
      <c r="Y6" t="str">
        <f ca="1">IFERROR(IF(0=LEN(ReferenceData!$Y$6),"",ReferenceData!$Y$6),"")</f>
        <v/>
      </c>
      <c r="Z6" t="str">
        <f ca="1">IFERROR(IF(0=LEN(ReferenceData!$Z$6),"",ReferenceData!$Z$6),"")</f>
        <v/>
      </c>
      <c r="AA6" t="str">
        <f ca="1">IFERROR(IF(0=LEN(ReferenceData!$AA$6),"",ReferenceData!$AA$6),"")</f>
        <v/>
      </c>
      <c r="AB6" t="str">
        <f ca="1">IFERROR(IF(0=LEN(ReferenceData!$AB$6),"",ReferenceData!$AB$6),"")</f>
        <v/>
      </c>
      <c r="AC6" t="str">
        <f ca="1">IFERROR(IF(0=LEN(ReferenceData!$AC$6),"",ReferenceData!$AC$6),"")</f>
        <v/>
      </c>
      <c r="AD6" t="str">
        <f ca="1">IFERROR(IF(0=LEN(ReferenceData!$AD$6),"",ReferenceData!$AD$6),"")</f>
        <v/>
      </c>
      <c r="AE6" t="str">
        <f ca="1">IFERROR(IF(0=LEN(ReferenceData!$AE$6),"",ReferenceData!$AE$6),"")</f>
        <v/>
      </c>
      <c r="AF6" t="str">
        <f ca="1">IFERROR(IF(0=LEN(ReferenceData!$AF$6),"",ReferenceData!$AF$6),"")</f>
        <v/>
      </c>
      <c r="AG6" t="str">
        <f ca="1">IFERROR(IF(0=LEN(ReferenceData!$AG$6),"",ReferenceData!$AG$6),"")</f>
        <v/>
      </c>
      <c r="AH6" t="str">
        <f ca="1">IFERROR(IF(0=LEN(ReferenceData!$AH$6),"",ReferenceData!$AH$6),"")</f>
        <v/>
      </c>
      <c r="AI6" t="str">
        <f ca="1">IFERROR(IF(0=LEN(ReferenceData!$AI$6),"",ReferenceData!$AI$6),"")</f>
        <v/>
      </c>
      <c r="AJ6" t="str">
        <f ca="1">IFERROR(IF(0=LEN(ReferenceData!$AJ$6),"",ReferenceData!$AJ$6),"")</f>
        <v/>
      </c>
      <c r="AK6" t="str">
        <f ca="1">IFERROR(IF(0=LEN(ReferenceData!$AK$6),"",ReferenceData!$AK$6),"")</f>
        <v/>
      </c>
      <c r="AL6" t="str">
        <f ca="1">IFERROR(IF(0=LEN(ReferenceData!$AL$6),"",ReferenceData!$AL$6),"")</f>
        <v/>
      </c>
      <c r="AM6" t="str">
        <f ca="1">IFERROR(IF(0=LEN(ReferenceData!$AM$6),"",ReferenceData!$AM$6),"")</f>
        <v/>
      </c>
      <c r="AN6" t="str">
        <f ca="1">IFERROR(IF(0=LEN(ReferenceData!$AN$6),"",ReferenceData!$AN$6),"")</f>
        <v/>
      </c>
      <c r="AO6" t="str">
        <f ca="1">IFERROR(IF(0=LEN(ReferenceData!$AO$6),"",ReferenceData!$AO$6),"")</f>
        <v/>
      </c>
      <c r="AP6" t="str">
        <f ca="1">IFERROR(IF(0=LEN(ReferenceData!$AP$6),"",ReferenceData!$AP$6),"")</f>
        <v/>
      </c>
      <c r="AQ6" t="str">
        <f ca="1">IFERROR(IF(0=LEN(ReferenceData!$AQ$6),"",ReferenceData!$AQ$6),"")</f>
        <v/>
      </c>
      <c r="AR6" t="str">
        <f ca="1">IFERROR(IF(0=LEN(ReferenceData!$AR$6),"",ReferenceData!$AR$6),"")</f>
        <v/>
      </c>
      <c r="AS6" t="str">
        <f ca="1">IFERROR(IF(0=LEN(ReferenceData!$AS$6),"",ReferenceData!$AS$6),"")</f>
        <v/>
      </c>
      <c r="AT6" t="str">
        <f ca="1">IFERROR(IF(0=LEN(ReferenceData!$AT$6),"",ReferenceData!$AT$6),"")</f>
        <v/>
      </c>
      <c r="AU6" t="str">
        <f ca="1">IFERROR(IF(0=LEN(ReferenceData!$AU$6),"",ReferenceData!$AU$6),"")</f>
        <v/>
      </c>
      <c r="AV6" t="str">
        <f ca="1">IFERROR(IF(0=LEN(ReferenceData!$AV$6),"",ReferenceData!$AV$6),"")</f>
        <v/>
      </c>
      <c r="AW6" t="str">
        <f ca="1">IFERROR(IF(0=LEN(ReferenceData!$AW$6),"",ReferenceData!$AW$6),"")</f>
        <v/>
      </c>
      <c r="AX6" t="str">
        <f ca="1">IFERROR(IF(0=LEN(ReferenceData!$AX$6),"",ReferenceData!$AX$6),"")</f>
        <v/>
      </c>
      <c r="AY6" t="str">
        <f ca="1">IFERROR(IF(0=LEN(ReferenceData!$AY$6),"",ReferenceData!$AY$6),"")</f>
        <v/>
      </c>
      <c r="AZ6" t="str">
        <f ca="1">IFERROR(IF(0=LEN(ReferenceData!$AZ$6),"",ReferenceData!$AZ$6),"")</f>
        <v/>
      </c>
      <c r="BA6" t="str">
        <f ca="1">IFERROR(IF(0=LEN(ReferenceData!$BA$6),"",ReferenceData!$BA$6),"")</f>
        <v/>
      </c>
      <c r="BB6" t="str">
        <f ca="1">IFERROR(IF(0=LEN(ReferenceData!$BB$6),"",ReferenceData!$BB$6),"")</f>
        <v/>
      </c>
      <c r="BC6" t="str">
        <f ca="1">IFERROR(IF(0=LEN(ReferenceData!$BC$6),"",ReferenceData!$BC$6),"")</f>
        <v/>
      </c>
      <c r="BD6" t="str">
        <f ca="1">IFERROR(IF(0=LEN(ReferenceData!$BD$6),"",ReferenceData!$BD$6),"")</f>
        <v/>
      </c>
      <c r="BE6" t="str">
        <f ca="1">IFERROR(IF(0=LEN(ReferenceData!$BE$6),"",ReferenceData!$BE$6),"")</f>
        <v/>
      </c>
      <c r="BF6" t="str">
        <f ca="1">IFERROR(IF(0=LEN(ReferenceData!$BF$6),"",ReferenceData!$BF$6),"")</f>
        <v/>
      </c>
      <c r="BG6" t="str">
        <f ca="1">IFERROR(IF(0=LEN(ReferenceData!$BG$6),"",ReferenceData!$BG$6),"")</f>
        <v/>
      </c>
      <c r="BH6" t="str">
        <f ca="1">IFERROR(IF(0=LEN(ReferenceData!$BH$6),"",ReferenceData!$BH$6),"")</f>
        <v/>
      </c>
      <c r="BI6" t="str">
        <f ca="1">IFERROR(IF(0=LEN(ReferenceData!$BI$6),"",ReferenceData!$BI$6),"")</f>
        <v/>
      </c>
      <c r="BJ6" t="str">
        <f ca="1">IFERROR(IF(0=LEN(ReferenceData!$BJ$6),"",ReferenceData!$BJ$6),"")</f>
        <v/>
      </c>
      <c r="BK6" t="str">
        <f ca="1">IFERROR(IF(0=LEN(ReferenceData!$BK$6),"",ReferenceData!$BK$6),"")</f>
        <v/>
      </c>
      <c r="BL6" t="str">
        <f ca="1">IFERROR(IF(0=LEN(ReferenceData!$BL$6),"",ReferenceData!$BL$6),"")</f>
        <v/>
      </c>
      <c r="BM6" t="str">
        <f ca="1">IFERROR(IF(0=LEN(ReferenceData!$BM$6),"",ReferenceData!$BM$6),"")</f>
        <v/>
      </c>
    </row>
    <row r="7" spans="1:65" x14ac:dyDescent="0.25">
      <c r="A7" t="str">
        <f>IFERROR(IF(0=LEN(ReferenceData!$A$7),"",ReferenceData!$A$7),"")</f>
        <v xml:space="preserve">    Bayerische Motoren Werke AG</v>
      </c>
      <c r="B7" t="str">
        <f>IFERROR(IF(0=LEN(ReferenceData!$B$7),"",ReferenceData!$B$7),"")</f>
        <v>BMW GR Equity</v>
      </c>
      <c r="C7" t="str">
        <f>IFERROR(IF(0=LEN(ReferenceData!$C$7),"",ReferenceData!$C$7),"")</f>
        <v>RR900</v>
      </c>
      <c r="D7" t="str">
        <f>IFERROR(IF(0=LEN(ReferenceData!$D$7),"",ReferenceData!$D$7),"")</f>
        <v>PE_RATIO</v>
      </c>
      <c r="E7" t="str">
        <f>IFERROR(IF(0=LEN(ReferenceData!$E$7),"",ReferenceData!$E$7),"")</f>
        <v>Dynamic</v>
      </c>
      <c r="F7">
        <f ca="1">IFERROR(IF(0=LEN(ReferenceData!$F$7),"",ReferenceData!$F$7),"")</f>
        <v>5.8124451400000003</v>
      </c>
      <c r="G7">
        <f ca="1">IFERROR(IF(0=LEN(ReferenceData!$G$7),"",ReferenceData!$G$7),"")</f>
        <v>5.6246902739999998</v>
      </c>
      <c r="H7">
        <f ca="1">IFERROR(IF(0=LEN(ReferenceData!$H$7),"",ReferenceData!$H$7),"")</f>
        <v>6.165678872</v>
      </c>
      <c r="I7">
        <f ca="1">IFERROR(IF(0=LEN(ReferenceData!$I$7),"",ReferenceData!$I$7),"")</f>
        <v>5.8724194179999998</v>
      </c>
      <c r="J7">
        <f ca="1">IFERROR(IF(0=LEN(ReferenceData!$J$7),"",ReferenceData!$J$7),"")</f>
        <v>6.5766562469999998</v>
      </c>
      <c r="K7">
        <f ca="1">IFERROR(IF(0=LEN(ReferenceData!$K$7),"",ReferenceData!$K$7),"")</f>
        <v>6.4819636730000001</v>
      </c>
      <c r="L7">
        <f ca="1">IFERROR(IF(0=LEN(ReferenceData!$L$7),"",ReferenceData!$L$7),"")</f>
        <v>7.2466670119999996</v>
      </c>
      <c r="M7">
        <f ca="1">IFERROR(IF(0=LEN(ReferenceData!$M$7),"",ReferenceData!$M$7),"")</f>
        <v>6.9097844439999996</v>
      </c>
      <c r="N7">
        <f ca="1">IFERROR(IF(0=LEN(ReferenceData!$N$7),"",ReferenceData!$N$7),"")</f>
        <v>7.4939441919999998</v>
      </c>
      <c r="O7">
        <f ca="1">IFERROR(IF(0=LEN(ReferenceData!$O$7),"",ReferenceData!$O$7),"")</f>
        <v>8.5001868129999991</v>
      </c>
      <c r="P7">
        <f ca="1">IFERROR(IF(0=LEN(ReferenceData!$P$7),"",ReferenceData!$P$7),"")</f>
        <v>7.0995475289999996</v>
      </c>
      <c r="Q7">
        <f ca="1">IFERROR(IF(0=LEN(ReferenceData!$Q$7),"",ReferenceData!$Q$7),"")</f>
        <v>6.5015281979999999</v>
      </c>
      <c r="R7">
        <f ca="1">IFERROR(IF(0=LEN(ReferenceData!$R$7),"",ReferenceData!$R$7),"")</f>
        <v>8.1702912489999999</v>
      </c>
      <c r="S7">
        <f ca="1">IFERROR(IF(0=LEN(ReferenceData!$S$7),"",ReferenceData!$S$7),"")</f>
        <v>10.066152239999999</v>
      </c>
      <c r="T7">
        <f ca="1">IFERROR(IF(0=LEN(ReferenceData!$T$7),"",ReferenceData!$T$7),"")</f>
        <v>8.4995795909999998</v>
      </c>
      <c r="U7">
        <f ca="1">IFERROR(IF(0=LEN(ReferenceData!$U$7),"",ReferenceData!$U$7),"")</f>
        <v>11.0806415</v>
      </c>
      <c r="V7">
        <f ca="1">IFERROR(IF(0=LEN(ReferenceData!$V$7),"",ReferenceData!$V$7),"")</f>
        <v>12.987881659999999</v>
      </c>
      <c r="W7">
        <f ca="1">IFERROR(IF(0=LEN(ReferenceData!$W$7),"",ReferenceData!$W$7),"")</f>
        <v>10.16594832</v>
      </c>
      <c r="X7">
        <f ca="1">IFERROR(IF(0=LEN(ReferenceData!$X$7),"",ReferenceData!$X$7),"")</f>
        <v>9.7398190049999993</v>
      </c>
      <c r="Y7">
        <f ca="1">IFERROR(IF(0=LEN(ReferenceData!$Y$7),"",ReferenceData!$Y$7),"")</f>
        <v>10.42287411</v>
      </c>
      <c r="Z7">
        <f ca="1">IFERROR(IF(0=LEN(ReferenceData!$Z$7),"",ReferenceData!$Z$7),"")</f>
        <v>11.01791094</v>
      </c>
      <c r="AA7">
        <f ca="1">IFERROR(IF(0=LEN(ReferenceData!$AA$7),"",ReferenceData!$AA$7),"")</f>
        <v>10.555191689999999</v>
      </c>
      <c r="AB7">
        <f ca="1">IFERROR(IF(0=LEN(ReferenceData!$AB$7),"",ReferenceData!$AB$7),"")</f>
        <v>10.0545802</v>
      </c>
      <c r="AC7">
        <f ca="1">IFERROR(IF(0=LEN(ReferenceData!$AC$7),"",ReferenceData!$AC$7),"")</f>
        <v>8.5576335879999998</v>
      </c>
      <c r="AD7">
        <f ca="1">IFERROR(IF(0=LEN(ReferenceData!$AD$7),"",ReferenceData!$AD$7),"")</f>
        <v>8.8270481140000001</v>
      </c>
      <c r="AE7">
        <f ca="1">IFERROR(IF(0=LEN(ReferenceData!$AE$7),"",ReferenceData!$AE$7),"")</f>
        <v>9.4103225810000009</v>
      </c>
      <c r="AF7">
        <f ca="1">IFERROR(IF(0=LEN(ReferenceData!$AF$7),"",ReferenceData!$AF$7),"")</f>
        <v>7.8583218710000002</v>
      </c>
      <c r="AG7">
        <f ca="1">IFERROR(IF(0=LEN(ReferenceData!$AG$7),"",ReferenceData!$AG$7),"")</f>
        <v>8.1126961479999995</v>
      </c>
      <c r="AH7">
        <f ca="1">IFERROR(IF(0=LEN(ReferenceData!$AH$7),"",ReferenceData!$AH$7),"")</f>
        <v>8.6756756759999991</v>
      </c>
      <c r="AI7">
        <f ca="1">IFERROR(IF(0=LEN(ReferenceData!$AI$7),"",ReferenceData!$AI$7),"")</f>
        <v>6.9476510070000002</v>
      </c>
      <c r="AJ7">
        <f ca="1">IFERROR(IF(0=LEN(ReferenceData!$AJ$7),"",ReferenceData!$AJ$7),"")</f>
        <v>6.2550251259999996</v>
      </c>
      <c r="AK7">
        <f ca="1">IFERROR(IF(0=LEN(ReferenceData!$AK$7),"",ReferenceData!$AK$7),"")</f>
        <v>8.9618421050000006</v>
      </c>
      <c r="AL7">
        <f ca="1">IFERROR(IF(0=LEN(ReferenceData!$AL$7),"",ReferenceData!$AL$7),"")</f>
        <v>9.5332252840000002</v>
      </c>
      <c r="AM7">
        <f ca="1">IFERROR(IF(0=LEN(ReferenceData!$AM$7),"",ReferenceData!$AM$7),"")</f>
        <v>11.93711968</v>
      </c>
      <c r="AN7">
        <f ca="1">IFERROR(IF(0=LEN(ReferenceData!$AN$7),"",ReferenceData!$AN$7),"")</f>
        <v>15.4084913</v>
      </c>
      <c r="AO7">
        <f ca="1">IFERROR(IF(0=LEN(ReferenceData!$AO$7),"",ReferenceData!$AO$7),"")</f>
        <v>18.867170789999999</v>
      </c>
      <c r="AP7">
        <f ca="1">IFERROR(IF(0=LEN(ReferenceData!$AP$7),"",ReferenceData!$AP$7),"")</f>
        <v>32.979369220000002</v>
      </c>
      <c r="AQ7">
        <f ca="1">IFERROR(IF(0=LEN(ReferenceData!$AQ$7),"",ReferenceData!$AQ$7),"")</f>
        <v>100.0723794</v>
      </c>
      <c r="AR7" t="str">
        <f ca="1">IFERROR(IF(0=LEN(ReferenceData!$AR$7),"",ReferenceData!$AR$7),"")</f>
        <v/>
      </c>
      <c r="AS7" t="str">
        <f ca="1">IFERROR(IF(0=LEN(ReferenceData!$AS$7),"",ReferenceData!$AS$7),"")</f>
        <v/>
      </c>
      <c r="AT7">
        <f ca="1">IFERROR(IF(0=LEN(ReferenceData!$AT$7),"",ReferenceData!$AT$7),"")</f>
        <v>44.307157879999998</v>
      </c>
      <c r="AU7">
        <f ca="1">IFERROR(IF(0=LEN(ReferenceData!$AU$7),"",ReferenceData!$AU$7),"")</f>
        <v>44.471792000000001</v>
      </c>
      <c r="AV7">
        <f ca="1">IFERROR(IF(0=LEN(ReferenceData!$AV$7),"",ReferenceData!$AV$7),"")</f>
        <v>7.9250720460000004</v>
      </c>
      <c r="AW7">
        <f ca="1">IFERROR(IF(0=LEN(ReferenceData!$AW$7),"",ReferenceData!$AW$7),"")</f>
        <v>7.2051886789999999</v>
      </c>
      <c r="AX7">
        <f ca="1">IFERROR(IF(0=LEN(ReferenceData!$AX$7),"",ReferenceData!$AX$7),"")</f>
        <v>7.5714285710000002</v>
      </c>
      <c r="AY7">
        <f ca="1">IFERROR(IF(0=LEN(ReferenceData!$AY$7),"",ReferenceData!$AY$7),"")</f>
        <v>8.9372384940000007</v>
      </c>
      <c r="AZ7">
        <f ca="1">IFERROR(IF(0=LEN(ReferenceData!$AZ$7),"",ReferenceData!$AZ$7),"")</f>
        <v>10.49768519</v>
      </c>
      <c r="BA7">
        <f ca="1">IFERROR(IF(0=LEN(ReferenceData!$BA$7),"",ReferenceData!$BA$7),"")</f>
        <v>12.56992084</v>
      </c>
      <c r="BB7">
        <f ca="1">IFERROR(IF(0=LEN(ReferenceData!$BB$7),"",ReferenceData!$BB$7),"")</f>
        <v>11.51822917</v>
      </c>
      <c r="BC7">
        <f ca="1">IFERROR(IF(0=LEN(ReferenceData!$BC$7),"",ReferenceData!$BC$7),"")</f>
        <v>9.9794520549999994</v>
      </c>
      <c r="BD7">
        <f ca="1">IFERROR(IF(0=LEN(ReferenceData!$BD$7),"",ReferenceData!$BD$7),"")</f>
        <v>9.9976359339999998</v>
      </c>
      <c r="BE7">
        <f ca="1">IFERROR(IF(0=LEN(ReferenceData!$BE$7),"",ReferenceData!$BE$7),"")</f>
        <v>9.251184834</v>
      </c>
      <c r="BF7">
        <f ca="1">IFERROR(IF(0=LEN(ReferenceData!$BF$7),"",ReferenceData!$BF$7),"")</f>
        <v>11.34663342</v>
      </c>
      <c r="BG7">
        <f ca="1">IFERROR(IF(0=LEN(ReferenceData!$BG$7),"",ReferenceData!$BG$7),"")</f>
        <v>11.04477612</v>
      </c>
      <c r="BH7">
        <f ca="1">IFERROR(IF(0=LEN(ReferenceData!$BH$7),"",ReferenceData!$BH$7),"")</f>
        <v>11.815151520000001</v>
      </c>
      <c r="BI7">
        <f ca="1">IFERROR(IF(0=LEN(ReferenceData!$BI$7),"",ReferenceData!$BI$7),"")</f>
        <v>11.36936944</v>
      </c>
      <c r="BJ7">
        <f ca="1">IFERROR(IF(0=LEN(ReferenceData!$BJ$7),"",ReferenceData!$BJ$7),"")</f>
        <v>10.513513550000001</v>
      </c>
      <c r="BK7">
        <f ca="1">IFERROR(IF(0=LEN(ReferenceData!$BK$7),"",ReferenceData!$BK$7),"")</f>
        <v>9.9699700910000004</v>
      </c>
      <c r="BL7">
        <f ca="1">IFERROR(IF(0=LEN(ReferenceData!$BL$7),"",ReferenceData!$BL$7),"")</f>
        <v>10.659164130000001</v>
      </c>
      <c r="BM7">
        <f ca="1">IFERROR(IF(0=LEN(ReferenceData!$BM$7),"",ReferenceData!$BM$7),"")</f>
        <v>11.88235291</v>
      </c>
    </row>
    <row r="8" spans="1:65" x14ac:dyDescent="0.25">
      <c r="A8" t="str">
        <f>IFERROR(IF(0=LEN(ReferenceData!$A$8),"",ReferenceData!$A$8),"")</f>
        <v xml:space="preserve">    Brilliance China Automotive Holdings Ltd</v>
      </c>
      <c r="B8" t="str">
        <f>IFERROR(IF(0=LEN(ReferenceData!$B$8),"",ReferenceData!$B$8),"")</f>
        <v>1114 HK Equity</v>
      </c>
      <c r="C8" t="str">
        <f>IFERROR(IF(0=LEN(ReferenceData!$C$8),"",ReferenceData!$C$8),"")</f>
        <v>RR900</v>
      </c>
      <c r="D8" t="str">
        <f>IFERROR(IF(0=LEN(ReferenceData!$D$8),"",ReferenceData!$D$8),"")</f>
        <v>PE_RATIO</v>
      </c>
      <c r="E8" t="str">
        <f>IFERROR(IF(0=LEN(ReferenceData!$E$8),"",ReferenceData!$E$8),"")</f>
        <v>Dynamic</v>
      </c>
      <c r="F8" t="str">
        <f ca="1">IFERROR(IF(0=LEN(ReferenceData!$F$8),"",ReferenceData!$F$8),"")</f>
        <v/>
      </c>
      <c r="G8" t="str">
        <f ca="1">IFERROR(IF(0=LEN(ReferenceData!$G$8),"",ReferenceData!$G$8),"")</f>
        <v/>
      </c>
      <c r="H8" t="str">
        <f ca="1">IFERROR(IF(0=LEN(ReferenceData!$H$8),"",ReferenceData!$H$8),"")</f>
        <v/>
      </c>
      <c r="I8" t="str">
        <f ca="1">IFERROR(IF(0=LEN(ReferenceData!$I$8),"",ReferenceData!$I$8),"")</f>
        <v/>
      </c>
      <c r="J8" t="str">
        <f ca="1">IFERROR(IF(0=LEN(ReferenceData!$J$8),"",ReferenceData!$J$8),"")</f>
        <v/>
      </c>
      <c r="K8" t="str">
        <f ca="1">IFERROR(IF(0=LEN(ReferenceData!$K$8),"",ReferenceData!$K$8),"")</f>
        <v/>
      </c>
      <c r="L8" t="str">
        <f ca="1">IFERROR(IF(0=LEN(ReferenceData!$L$8),"",ReferenceData!$L$8),"")</f>
        <v/>
      </c>
      <c r="M8" t="str">
        <f ca="1">IFERROR(IF(0=LEN(ReferenceData!$M$8),"",ReferenceData!$M$8),"")</f>
        <v/>
      </c>
      <c r="N8" t="str">
        <f ca="1">IFERROR(IF(0=LEN(ReferenceData!$N$8),"",ReferenceData!$N$8),"")</f>
        <v/>
      </c>
      <c r="O8" t="str">
        <f ca="1">IFERROR(IF(0=LEN(ReferenceData!$O$8),"",ReferenceData!$O$8),"")</f>
        <v/>
      </c>
      <c r="P8" t="str">
        <f ca="1">IFERROR(IF(0=LEN(ReferenceData!$P$8),"",ReferenceData!$P$8),"")</f>
        <v/>
      </c>
      <c r="Q8" t="str">
        <f ca="1">IFERROR(IF(0=LEN(ReferenceData!$Q$8),"",ReferenceData!$Q$8),"")</f>
        <v/>
      </c>
      <c r="R8" t="str">
        <f ca="1">IFERROR(IF(0=LEN(ReferenceData!$R$8),"",ReferenceData!$R$8),"")</f>
        <v/>
      </c>
      <c r="S8" t="str">
        <f ca="1">IFERROR(IF(0=LEN(ReferenceData!$S$8),"",ReferenceData!$S$8),"")</f>
        <v/>
      </c>
      <c r="T8" t="str">
        <f ca="1">IFERROR(IF(0=LEN(ReferenceData!$T$8),"",ReferenceData!$T$8),"")</f>
        <v/>
      </c>
      <c r="U8" t="str">
        <f ca="1">IFERROR(IF(0=LEN(ReferenceData!$U$8),"",ReferenceData!$U$8),"")</f>
        <v/>
      </c>
      <c r="V8" t="str">
        <f ca="1">IFERROR(IF(0=LEN(ReferenceData!$V$8),"",ReferenceData!$V$8),"")</f>
        <v/>
      </c>
      <c r="W8" t="str">
        <f ca="1">IFERROR(IF(0=LEN(ReferenceData!$W$8),"",ReferenceData!$W$8),"")</f>
        <v/>
      </c>
      <c r="X8" t="str">
        <f ca="1">IFERROR(IF(0=LEN(ReferenceData!$X$8),"",ReferenceData!$X$8),"")</f>
        <v/>
      </c>
      <c r="Y8" t="str">
        <f ca="1">IFERROR(IF(0=LEN(ReferenceData!$Y$8),"",ReferenceData!$Y$8),"")</f>
        <v/>
      </c>
      <c r="Z8" t="str">
        <f ca="1">IFERROR(IF(0=LEN(ReferenceData!$Z$8),"",ReferenceData!$Z$8),"")</f>
        <v/>
      </c>
      <c r="AA8" t="str">
        <f ca="1">IFERROR(IF(0=LEN(ReferenceData!$AA$8),"",ReferenceData!$AA$8),"")</f>
        <v/>
      </c>
      <c r="AB8" t="str">
        <f ca="1">IFERROR(IF(0=LEN(ReferenceData!$AB$8),"",ReferenceData!$AB$8),"")</f>
        <v/>
      </c>
      <c r="AC8" t="str">
        <f ca="1">IFERROR(IF(0=LEN(ReferenceData!$AC$8),"",ReferenceData!$AC$8),"")</f>
        <v/>
      </c>
      <c r="AD8" t="str">
        <f ca="1">IFERROR(IF(0=LEN(ReferenceData!$AD$8),"",ReferenceData!$AD$8),"")</f>
        <v/>
      </c>
      <c r="AE8" t="str">
        <f ca="1">IFERROR(IF(0=LEN(ReferenceData!$AE$8),"",ReferenceData!$AE$8),"")</f>
        <v/>
      </c>
      <c r="AF8" t="str">
        <f ca="1">IFERROR(IF(0=LEN(ReferenceData!$AF$8),"",ReferenceData!$AF$8),"")</f>
        <v/>
      </c>
      <c r="AG8" t="str">
        <f ca="1">IFERROR(IF(0=LEN(ReferenceData!$AG$8),"",ReferenceData!$AG$8),"")</f>
        <v/>
      </c>
      <c r="AH8" t="str">
        <f ca="1">IFERROR(IF(0=LEN(ReferenceData!$AH$8),"",ReferenceData!$AH$8),"")</f>
        <v/>
      </c>
      <c r="AI8" t="str">
        <f ca="1">IFERROR(IF(0=LEN(ReferenceData!$AI$8),"",ReferenceData!$AI$8),"")</f>
        <v/>
      </c>
      <c r="AJ8" t="str">
        <f ca="1">IFERROR(IF(0=LEN(ReferenceData!$AJ$8),"",ReferenceData!$AJ$8),"")</f>
        <v/>
      </c>
      <c r="AK8" t="str">
        <f ca="1">IFERROR(IF(0=LEN(ReferenceData!$AK$8),"",ReferenceData!$AK$8),"")</f>
        <v/>
      </c>
      <c r="AL8" t="str">
        <f ca="1">IFERROR(IF(0=LEN(ReferenceData!$AL$8),"",ReferenceData!$AL$8),"")</f>
        <v/>
      </c>
      <c r="AM8" t="str">
        <f ca="1">IFERROR(IF(0=LEN(ReferenceData!$AM$8),"",ReferenceData!$AM$8),"")</f>
        <v/>
      </c>
      <c r="AN8" t="str">
        <f ca="1">IFERROR(IF(0=LEN(ReferenceData!$AN$8),"",ReferenceData!$AN$8),"")</f>
        <v/>
      </c>
      <c r="AO8" t="str">
        <f ca="1">IFERROR(IF(0=LEN(ReferenceData!$AO$8),"",ReferenceData!$AO$8),"")</f>
        <v/>
      </c>
      <c r="AP8" t="str">
        <f ca="1">IFERROR(IF(0=LEN(ReferenceData!$AP$8),"",ReferenceData!$AP$8),"")</f>
        <v/>
      </c>
      <c r="AQ8" t="str">
        <f ca="1">IFERROR(IF(0=LEN(ReferenceData!$AQ$8),"",ReferenceData!$AQ$8),"")</f>
        <v/>
      </c>
      <c r="AR8" t="str">
        <f ca="1">IFERROR(IF(0=LEN(ReferenceData!$AR$8),"",ReferenceData!$AR$8),"")</f>
        <v/>
      </c>
      <c r="AS8" t="str">
        <f ca="1">IFERROR(IF(0=LEN(ReferenceData!$AS$8),"",ReferenceData!$AS$8),"")</f>
        <v/>
      </c>
      <c r="AT8" t="str">
        <f ca="1">IFERROR(IF(0=LEN(ReferenceData!$AT$8),"",ReferenceData!$AT$8),"")</f>
        <v/>
      </c>
      <c r="AU8" t="str">
        <f ca="1">IFERROR(IF(0=LEN(ReferenceData!$AU$8),"",ReferenceData!$AU$8),"")</f>
        <v/>
      </c>
      <c r="AV8" t="str">
        <f ca="1">IFERROR(IF(0=LEN(ReferenceData!$AV$8),"",ReferenceData!$AV$8),"")</f>
        <v/>
      </c>
      <c r="AW8" t="str">
        <f ca="1">IFERROR(IF(0=LEN(ReferenceData!$AW$8),"",ReferenceData!$AW$8),"")</f>
        <v/>
      </c>
      <c r="AX8" t="str">
        <f ca="1">IFERROR(IF(0=LEN(ReferenceData!$AX$8),"",ReferenceData!$AX$8),"")</f>
        <v/>
      </c>
      <c r="AY8" t="str">
        <f ca="1">IFERROR(IF(0=LEN(ReferenceData!$AY$8),"",ReferenceData!$AY$8),"")</f>
        <v/>
      </c>
      <c r="AZ8" t="str">
        <f ca="1">IFERROR(IF(0=LEN(ReferenceData!$AZ$8),"",ReferenceData!$AZ$8),"")</f>
        <v/>
      </c>
      <c r="BA8" t="str">
        <f ca="1">IFERROR(IF(0=LEN(ReferenceData!$BA$8),"",ReferenceData!$BA$8),"")</f>
        <v/>
      </c>
      <c r="BB8" t="str">
        <f ca="1">IFERROR(IF(0=LEN(ReferenceData!$BB$8),"",ReferenceData!$BB$8),"")</f>
        <v/>
      </c>
      <c r="BC8" t="str">
        <f ca="1">IFERROR(IF(0=LEN(ReferenceData!$BC$8),"",ReferenceData!$BC$8),"")</f>
        <v/>
      </c>
      <c r="BD8" t="str">
        <f ca="1">IFERROR(IF(0=LEN(ReferenceData!$BD$8),"",ReferenceData!$BD$8),"")</f>
        <v/>
      </c>
      <c r="BE8" t="str">
        <f ca="1">IFERROR(IF(0=LEN(ReferenceData!$BE$8),"",ReferenceData!$BE$8),"")</f>
        <v/>
      </c>
      <c r="BF8" t="str">
        <f ca="1">IFERROR(IF(0=LEN(ReferenceData!$BF$8),"",ReferenceData!$BF$8),"")</f>
        <v/>
      </c>
      <c r="BG8" t="str">
        <f ca="1">IFERROR(IF(0=LEN(ReferenceData!$BG$8),"",ReferenceData!$BG$8),"")</f>
        <v/>
      </c>
      <c r="BH8" t="str">
        <f ca="1">IFERROR(IF(0=LEN(ReferenceData!$BH$8),"",ReferenceData!$BH$8),"")</f>
        <v/>
      </c>
      <c r="BI8" t="str">
        <f ca="1">IFERROR(IF(0=LEN(ReferenceData!$BI$8),"",ReferenceData!$BI$8),"")</f>
        <v/>
      </c>
      <c r="BJ8" t="str">
        <f ca="1">IFERROR(IF(0=LEN(ReferenceData!$BJ$8),"",ReferenceData!$BJ$8),"")</f>
        <v/>
      </c>
      <c r="BK8" t="str">
        <f ca="1">IFERROR(IF(0=LEN(ReferenceData!$BK$8),"",ReferenceData!$BK$8),"")</f>
        <v/>
      </c>
      <c r="BL8" t="str">
        <f ca="1">IFERROR(IF(0=LEN(ReferenceData!$BL$8),"",ReferenceData!$BL$8),"")</f>
        <v/>
      </c>
      <c r="BM8" t="str">
        <f ca="1">IFERROR(IF(0=LEN(ReferenceData!$BM$8),"",ReferenceData!$BM$8),"")</f>
        <v/>
      </c>
    </row>
    <row r="9" spans="1:65" x14ac:dyDescent="0.25">
      <c r="A9" t="str">
        <f>IFERROR(IF(0=LEN(ReferenceData!$A$9),"",ReferenceData!$A$9),"")</f>
        <v xml:space="preserve">    BYD Co Ltd</v>
      </c>
      <c r="B9" t="str">
        <f>IFERROR(IF(0=LEN(ReferenceData!$B$9),"",ReferenceData!$B$9),"")</f>
        <v>1211 HK Equity</v>
      </c>
      <c r="C9" t="str">
        <f>IFERROR(IF(0=LEN(ReferenceData!$C$9),"",ReferenceData!$C$9),"")</f>
        <v>RR900</v>
      </c>
      <c r="D9" t="str">
        <f>IFERROR(IF(0=LEN(ReferenceData!$D$9),"",ReferenceData!$D$9),"")</f>
        <v>PE_RATIO</v>
      </c>
      <c r="E9" t="str">
        <f>IFERROR(IF(0=LEN(ReferenceData!$E$9),"",ReferenceData!$E$9),"")</f>
        <v>Dynamic</v>
      </c>
      <c r="F9">
        <f ca="1">IFERROR(IF(0=LEN(ReferenceData!$F$9),"",ReferenceData!$F$9),"")</f>
        <v>48.006517010000003</v>
      </c>
      <c r="G9">
        <f ca="1">IFERROR(IF(0=LEN(ReferenceData!$G$9),"",ReferenceData!$G$9),"")</f>
        <v>48.990009030000003</v>
      </c>
      <c r="H9">
        <f ca="1">IFERROR(IF(0=LEN(ReferenceData!$H$9),"",ReferenceData!$H$9),"")</f>
        <v>55.091692260000002</v>
      </c>
      <c r="I9">
        <f ca="1">IFERROR(IF(0=LEN(ReferenceData!$I$9),"",ReferenceData!$I$9),"")</f>
        <v>44.334702540000002</v>
      </c>
      <c r="J9">
        <f ca="1">IFERROR(IF(0=LEN(ReferenceData!$J$9),"",ReferenceData!$J$9),"")</f>
        <v>41.733936180000001</v>
      </c>
      <c r="K9">
        <f ca="1">IFERROR(IF(0=LEN(ReferenceData!$K$9),"",ReferenceData!$K$9),"")</f>
        <v>41.773960639999999</v>
      </c>
      <c r="L9">
        <f ca="1">IFERROR(IF(0=LEN(ReferenceData!$L$9),"",ReferenceData!$L$9),"")</f>
        <v>44.852258990000003</v>
      </c>
      <c r="M9">
        <f ca="1">IFERROR(IF(0=LEN(ReferenceData!$M$9),"",ReferenceData!$M$9),"")</f>
        <v>27.02184694</v>
      </c>
      <c r="N9">
        <f ca="1">IFERROR(IF(0=LEN(ReferenceData!$N$9),"",ReferenceData!$N$9),"")</f>
        <v>21.868564259999999</v>
      </c>
      <c r="O9">
        <f ca="1">IFERROR(IF(0=LEN(ReferenceData!$O$9),"",ReferenceData!$O$9),"")</f>
        <v>19.367224759999999</v>
      </c>
      <c r="P9">
        <f ca="1">IFERROR(IF(0=LEN(ReferenceData!$P$9),"",ReferenceData!$P$9),"")</f>
        <v>24.373570409999999</v>
      </c>
      <c r="Q9">
        <f ca="1">IFERROR(IF(0=LEN(ReferenceData!$Q$9),"",ReferenceData!$Q$9),"")</f>
        <v>21.420996280000001</v>
      </c>
      <c r="R9">
        <f ca="1">IFERROR(IF(0=LEN(ReferenceData!$R$9),"",ReferenceData!$R$9),"")</f>
        <v>25.884281170000001</v>
      </c>
      <c r="S9">
        <f ca="1">IFERROR(IF(0=LEN(ReferenceData!$S$9),"",ReferenceData!$S$9),"")</f>
        <v>31.408186279999999</v>
      </c>
      <c r="T9">
        <f ca="1">IFERROR(IF(0=LEN(ReferenceData!$T$9),"",ReferenceData!$T$9),"")</f>
        <v>41.53099812</v>
      </c>
      <c r="U9">
        <f ca="1">IFERROR(IF(0=LEN(ReferenceData!$U$9),"",ReferenceData!$U$9),"")</f>
        <v>169.34899429999999</v>
      </c>
      <c r="V9">
        <f ca="1">IFERROR(IF(0=LEN(ReferenceData!$V$9),"",ReferenceData!$V$9),"")</f>
        <v>140.57771289999999</v>
      </c>
      <c r="W9">
        <f ca="1">IFERROR(IF(0=LEN(ReferenceData!$W$9),"",ReferenceData!$W$9),"")</f>
        <v>129.9062337</v>
      </c>
      <c r="X9">
        <f ca="1">IFERROR(IF(0=LEN(ReferenceData!$X$9),"",ReferenceData!$X$9),"")</f>
        <v>197.79273939999999</v>
      </c>
      <c r="Y9">
        <f ca="1">IFERROR(IF(0=LEN(ReferenceData!$Y$9),"",ReferenceData!$Y$9),"")</f>
        <v>169.47186070000001</v>
      </c>
      <c r="Z9">
        <f ca="1">IFERROR(IF(0=LEN(ReferenceData!$Z$9),"",ReferenceData!$Z$9),"")</f>
        <v>194.94800280000001</v>
      </c>
      <c r="AA9">
        <f ca="1">IFERROR(IF(0=LEN(ReferenceData!$AA$9),"",ReferenceData!$AA$9),"")</f>
        <v>125.05898449999999</v>
      </c>
      <c r="AB9">
        <f ca="1">IFERROR(IF(0=LEN(ReferenceData!$AB$9),"",ReferenceData!$AB$9),"")</f>
        <v>121.10188290000001</v>
      </c>
      <c r="AC9">
        <f ca="1">IFERROR(IF(0=LEN(ReferenceData!$AC$9),"",ReferenceData!$AC$9),"")</f>
        <v>96.240068469999997</v>
      </c>
      <c r="AD9">
        <f ca="1">IFERROR(IF(0=LEN(ReferenceData!$AD$9),"",ReferenceData!$AD$9),"")</f>
        <v>270.95016889999999</v>
      </c>
      <c r="AE9">
        <f ca="1">IFERROR(IF(0=LEN(ReferenceData!$AE$9),"",ReferenceData!$AE$9),"")</f>
        <v>564.64776919999997</v>
      </c>
      <c r="AF9">
        <f ca="1">IFERROR(IF(0=LEN(ReferenceData!$AF$9),"",ReferenceData!$AF$9),"")</f>
        <v>24.58610088</v>
      </c>
      <c r="AG9">
        <f ca="1">IFERROR(IF(0=LEN(ReferenceData!$AG$9),"",ReferenceData!$AG$9),"")</f>
        <v>25.126062019999999</v>
      </c>
      <c r="AH9" t="str">
        <f ca="1">IFERROR(IF(0=LEN(ReferenceData!$AH$9),"",ReferenceData!$AH$9),"")</f>
        <v/>
      </c>
      <c r="AI9" t="str">
        <f ca="1">IFERROR(IF(0=LEN(ReferenceData!$AI$9),"",ReferenceData!$AI$9),"")</f>
        <v/>
      </c>
      <c r="AJ9">
        <f ca="1">IFERROR(IF(0=LEN(ReferenceData!$AJ$9),"",ReferenceData!$AJ$9),"")</f>
        <v>9.8765014840000003</v>
      </c>
      <c r="AK9">
        <f ca="1">IFERROR(IF(0=LEN(ReferenceData!$AK$9),"",ReferenceData!$AK$9),"")</f>
        <v>18.826644250000001</v>
      </c>
      <c r="AL9">
        <f ca="1">IFERROR(IF(0=LEN(ReferenceData!$AL$9),"",ReferenceData!$AL$9),"")</f>
        <v>22.613481180000001</v>
      </c>
      <c r="AM9">
        <f ca="1">IFERROR(IF(0=LEN(ReferenceData!$AM$9),"",ReferenceData!$AM$9),"")</f>
        <v>31.208483699999999</v>
      </c>
      <c r="AN9">
        <f ca="1">IFERROR(IF(0=LEN(ReferenceData!$AN$9),"",ReferenceData!$AN$9),"")</f>
        <v>31.344225720000001</v>
      </c>
      <c r="AO9">
        <f ca="1">IFERROR(IF(0=LEN(ReferenceData!$AO$9),"",ReferenceData!$AO$9),"")</f>
        <v>22.740500619999999</v>
      </c>
      <c r="AP9" t="str">
        <f ca="1">IFERROR(IF(0=LEN(ReferenceData!$AP$9),"",ReferenceData!$AP$9),"")</f>
        <v/>
      </c>
      <c r="AQ9" t="str">
        <f ca="1">IFERROR(IF(0=LEN(ReferenceData!$AQ$9),"",ReferenceData!$AQ$9),"")</f>
        <v/>
      </c>
      <c r="AR9" t="str">
        <f ca="1">IFERROR(IF(0=LEN(ReferenceData!$AR$9),"",ReferenceData!$AR$9),"")</f>
        <v/>
      </c>
      <c r="AS9" t="str">
        <f ca="1">IFERROR(IF(0=LEN(ReferenceData!$AS$9),"",ReferenceData!$AS$9),"")</f>
        <v/>
      </c>
      <c r="AT9" t="str">
        <f ca="1">IFERROR(IF(0=LEN(ReferenceData!$AT$9),"",ReferenceData!$AT$9),"")</f>
        <v/>
      </c>
      <c r="AU9" t="str">
        <f ca="1">IFERROR(IF(0=LEN(ReferenceData!$AU$9),"",ReferenceData!$AU$9),"")</f>
        <v/>
      </c>
      <c r="AV9" t="str">
        <f ca="1">IFERROR(IF(0=LEN(ReferenceData!$AV$9),"",ReferenceData!$AV$9),"")</f>
        <v/>
      </c>
      <c r="AW9" t="str">
        <f ca="1">IFERROR(IF(0=LEN(ReferenceData!$AW$9),"",ReferenceData!$AW$9),"")</f>
        <v/>
      </c>
      <c r="AX9" t="str">
        <f ca="1">IFERROR(IF(0=LEN(ReferenceData!$AX$9),"",ReferenceData!$AX$9),"")</f>
        <v/>
      </c>
      <c r="AY9" t="str">
        <f ca="1">IFERROR(IF(0=LEN(ReferenceData!$AY$9),"",ReferenceData!$AY$9),"")</f>
        <v/>
      </c>
      <c r="AZ9" t="str">
        <f ca="1">IFERROR(IF(0=LEN(ReferenceData!$AZ$9),"",ReferenceData!$AZ$9),"")</f>
        <v/>
      </c>
      <c r="BA9" t="str">
        <f ca="1">IFERROR(IF(0=LEN(ReferenceData!$BA$9),"",ReferenceData!$BA$9),"")</f>
        <v/>
      </c>
      <c r="BB9" t="str">
        <f ca="1">IFERROR(IF(0=LEN(ReferenceData!$BB$9),"",ReferenceData!$BB$9),"")</f>
        <v/>
      </c>
      <c r="BC9" t="str">
        <f ca="1">IFERROR(IF(0=LEN(ReferenceData!$BC$9),"",ReferenceData!$BC$9),"")</f>
        <v/>
      </c>
      <c r="BD9" t="str">
        <f ca="1">IFERROR(IF(0=LEN(ReferenceData!$BD$9),"",ReferenceData!$BD$9),"")</f>
        <v/>
      </c>
      <c r="BE9" t="str">
        <f ca="1">IFERROR(IF(0=LEN(ReferenceData!$BE$9),"",ReferenceData!$BE$9),"")</f>
        <v/>
      </c>
      <c r="BF9" t="str">
        <f ca="1">IFERROR(IF(0=LEN(ReferenceData!$BF$9),"",ReferenceData!$BF$9),"")</f>
        <v/>
      </c>
      <c r="BG9" t="str">
        <f ca="1">IFERROR(IF(0=LEN(ReferenceData!$BG$9),"",ReferenceData!$BG$9),"")</f>
        <v/>
      </c>
      <c r="BH9" t="str">
        <f ca="1">IFERROR(IF(0=LEN(ReferenceData!$BH$9),"",ReferenceData!$BH$9),"")</f>
        <v/>
      </c>
      <c r="BI9" t="str">
        <f ca="1">IFERROR(IF(0=LEN(ReferenceData!$BI$9),"",ReferenceData!$BI$9),"")</f>
        <v/>
      </c>
      <c r="BJ9" t="str">
        <f ca="1">IFERROR(IF(0=LEN(ReferenceData!$BJ$9),"",ReferenceData!$BJ$9),"")</f>
        <v/>
      </c>
      <c r="BK9" t="str">
        <f ca="1">IFERROR(IF(0=LEN(ReferenceData!$BK$9),"",ReferenceData!$BK$9),"")</f>
        <v/>
      </c>
      <c r="BL9" t="str">
        <f ca="1">IFERROR(IF(0=LEN(ReferenceData!$BL$9),"",ReferenceData!$BL$9),"")</f>
        <v/>
      </c>
      <c r="BM9" t="str">
        <f ca="1">IFERROR(IF(0=LEN(ReferenceData!$BM$9),"",ReferenceData!$BM$9),"")</f>
        <v/>
      </c>
    </row>
    <row r="10" spans="1:65" x14ac:dyDescent="0.25">
      <c r="A10" t="str">
        <f>IFERROR(IF(0=LEN(ReferenceData!$A$10),"",ReferenceData!$A$10),"")</f>
        <v xml:space="preserve">    Chongqing Changan Automobile Co Ltd</v>
      </c>
      <c r="B10" t="str">
        <f>IFERROR(IF(0=LEN(ReferenceData!$B$10),"",ReferenceData!$B$10),"")</f>
        <v>200625 CH Equity</v>
      </c>
      <c r="C10" t="str">
        <f>IFERROR(IF(0=LEN(ReferenceData!$C$10),"",ReferenceData!$C$10),"")</f>
        <v>RR900</v>
      </c>
      <c r="D10" t="str">
        <f>IFERROR(IF(0=LEN(ReferenceData!$D$10),"",ReferenceData!$D$10),"")</f>
        <v>PE_RATIO</v>
      </c>
      <c r="E10" t="str">
        <f>IFERROR(IF(0=LEN(ReferenceData!$E$10),"",ReferenceData!$E$10),"")</f>
        <v>Dynamic</v>
      </c>
      <c r="F10">
        <f ca="1">IFERROR(IF(0=LEN(ReferenceData!$F$10),"",ReferenceData!$F$10),"")</f>
        <v>7.101755453</v>
      </c>
      <c r="G10">
        <f ca="1">IFERROR(IF(0=LEN(ReferenceData!$G$10),"",ReferenceData!$G$10),"")</f>
        <v>5.8775666800000002</v>
      </c>
      <c r="H10">
        <f ca="1">IFERROR(IF(0=LEN(ReferenceData!$H$10),"",ReferenceData!$H$10),"")</f>
        <v>10.636054659999999</v>
      </c>
      <c r="I10">
        <f ca="1">IFERROR(IF(0=LEN(ReferenceData!$I$10),"",ReferenceData!$I$10),"")</f>
        <v>7.7701598839999999</v>
      </c>
      <c r="J10">
        <f ca="1">IFERROR(IF(0=LEN(ReferenceData!$J$10),"",ReferenceData!$J$10),"")</f>
        <v>5.0952280830000003</v>
      </c>
      <c r="K10">
        <f ca="1">IFERROR(IF(0=LEN(ReferenceData!$K$10),"",ReferenceData!$K$10),"")</f>
        <v>4.8126792979999999</v>
      </c>
      <c r="L10">
        <f ca="1">IFERROR(IF(0=LEN(ReferenceData!$L$10),"",ReferenceData!$L$10),"")</f>
        <v>5.0210636830000004</v>
      </c>
      <c r="M10">
        <f ca="1">IFERROR(IF(0=LEN(ReferenceData!$M$10),"",ReferenceData!$M$10),"")</f>
        <v>4.5089972539999996</v>
      </c>
      <c r="N10">
        <f ca="1">IFERROR(IF(0=LEN(ReferenceData!$N$10),"",ReferenceData!$N$10),"")</f>
        <v>4.5044943980000003</v>
      </c>
      <c r="O10">
        <f ca="1">IFERROR(IF(0=LEN(ReferenceData!$O$10),"",ReferenceData!$O$10),"")</f>
        <v>4.5284124170000002</v>
      </c>
      <c r="P10">
        <f ca="1">IFERROR(IF(0=LEN(ReferenceData!$P$10),"",ReferenceData!$P$10),"")</f>
        <v>4.6324517089999997</v>
      </c>
      <c r="Q10">
        <f ca="1">IFERROR(IF(0=LEN(ReferenceData!$Q$10),"",ReferenceData!$Q$10),"")</f>
        <v>4.1663328509999999</v>
      </c>
      <c r="R10">
        <f ca="1">IFERROR(IF(0=LEN(ReferenceData!$R$10),"",ReferenceData!$R$10),"")</f>
        <v>5.559271163</v>
      </c>
      <c r="S10">
        <f ca="1">IFERROR(IF(0=LEN(ReferenceData!$S$10),"",ReferenceData!$S$10),"")</f>
        <v>6.6750403560000002</v>
      </c>
      <c r="T10">
        <f ca="1">IFERROR(IF(0=LEN(ReferenceData!$T$10),"",ReferenceData!$T$10),"")</f>
        <v>5.6287829440000001</v>
      </c>
      <c r="U10">
        <f ca="1">IFERROR(IF(0=LEN(ReferenceData!$U$10),"",ReferenceData!$U$10),"")</f>
        <v>8.1827433670000005</v>
      </c>
      <c r="V10">
        <f ca="1">IFERROR(IF(0=LEN(ReferenceData!$V$10),"",ReferenceData!$V$10),"")</f>
        <v>10.63047564</v>
      </c>
      <c r="W10">
        <f ca="1">IFERROR(IF(0=LEN(ReferenceData!$W$10),"",ReferenceData!$W$10),"")</f>
        <v>8.7469536340000005</v>
      </c>
      <c r="X10">
        <f ca="1">IFERROR(IF(0=LEN(ReferenceData!$X$10),"",ReferenceData!$X$10),"")</f>
        <v>9.2906577000000006</v>
      </c>
      <c r="Y10">
        <f ca="1">IFERROR(IF(0=LEN(ReferenceData!$Y$10),"",ReferenceData!$Y$10),"")</f>
        <v>10.04505101</v>
      </c>
      <c r="Z10">
        <f ca="1">IFERROR(IF(0=LEN(ReferenceData!$Z$10),"",ReferenceData!$Z$10),"")</f>
        <v>10.218493580000001</v>
      </c>
      <c r="AA10">
        <f ca="1">IFERROR(IF(0=LEN(ReferenceData!$AA$10),"",ReferenceData!$AA$10),"")</f>
        <v>19.787394639999999</v>
      </c>
      <c r="AB10">
        <f ca="1">IFERROR(IF(0=LEN(ReferenceData!$AB$10),"",ReferenceData!$AB$10),"")</f>
        <v>15.46031473</v>
      </c>
      <c r="AC10">
        <f ca="1">IFERROR(IF(0=LEN(ReferenceData!$AC$10),"",ReferenceData!$AC$10),"")</f>
        <v>16.018559339999999</v>
      </c>
      <c r="AD10">
        <f ca="1">IFERROR(IF(0=LEN(ReferenceData!$AD$10),"",ReferenceData!$AD$10),"")</f>
        <v>15.234091640000001</v>
      </c>
      <c r="AE10">
        <f ca="1">IFERROR(IF(0=LEN(ReferenceData!$AE$10),"",ReferenceData!$AE$10),"")</f>
        <v>11.3203675</v>
      </c>
      <c r="AF10">
        <f ca="1">IFERROR(IF(0=LEN(ReferenceData!$AF$10),"",ReferenceData!$AF$10),"")</f>
        <v>13.263870320000001</v>
      </c>
      <c r="AG10">
        <f ca="1">IFERROR(IF(0=LEN(ReferenceData!$AG$10),"",ReferenceData!$AG$10),"")</f>
        <v>24.016365059999998</v>
      </c>
      <c r="AH10">
        <f ca="1">IFERROR(IF(0=LEN(ReferenceData!$AH$10),"",ReferenceData!$AH$10),"")</f>
        <v>32.543640830000001</v>
      </c>
      <c r="AI10">
        <f ca="1">IFERROR(IF(0=LEN(ReferenceData!$AI$10),"",ReferenceData!$AI$10),"")</f>
        <v>11.25963497</v>
      </c>
      <c r="AJ10">
        <f ca="1">IFERROR(IF(0=LEN(ReferenceData!$AJ$10),"",ReferenceData!$AJ$10),"")</f>
        <v>6.623339455</v>
      </c>
      <c r="AK10">
        <f ca="1">IFERROR(IF(0=LEN(ReferenceData!$AK$10),"",ReferenceData!$AK$10),"")</f>
        <v>6.8638970439999998</v>
      </c>
      <c r="AL10">
        <f ca="1">IFERROR(IF(0=LEN(ReferenceData!$AL$10),"",ReferenceData!$AL$10),"")</f>
        <v>6.5138771770000004</v>
      </c>
      <c r="AM10">
        <f ca="1">IFERROR(IF(0=LEN(ReferenceData!$AM$10),"",ReferenceData!$AM$10),"")</f>
        <v>6.3819503419999997</v>
      </c>
      <c r="AN10">
        <f ca="1">IFERROR(IF(0=LEN(ReferenceData!$AN$10),"",ReferenceData!$AN$10),"")</f>
        <v>6.9221883819999999</v>
      </c>
      <c r="AO10">
        <f ca="1">IFERROR(IF(0=LEN(ReferenceData!$AO$10),"",ReferenceData!$AO$10),"")</f>
        <v>4.6003719329999999</v>
      </c>
      <c r="AP10">
        <f ca="1">IFERROR(IF(0=LEN(ReferenceData!$AP$10),"",ReferenceData!$AP$10),"")</f>
        <v>7.4613356020000001</v>
      </c>
      <c r="AQ10">
        <f ca="1">IFERROR(IF(0=LEN(ReferenceData!$AQ$10),"",ReferenceData!$AQ$10),"")</f>
        <v>14.524362829999999</v>
      </c>
      <c r="AR10">
        <f ca="1">IFERROR(IF(0=LEN(ReferenceData!$AR$10),"",ReferenceData!$AR$10),"")</f>
        <v>18.591534719999999</v>
      </c>
      <c r="AS10">
        <f ca="1">IFERROR(IF(0=LEN(ReferenceData!$AS$10),"",ReferenceData!$AS$10),"")</f>
        <v>79.753860829999994</v>
      </c>
      <c r="AT10" t="str">
        <f ca="1">IFERROR(IF(0=LEN(ReferenceData!$AT$10),"",ReferenceData!$AT$10),"")</f>
        <v/>
      </c>
      <c r="AU10">
        <f ca="1">IFERROR(IF(0=LEN(ReferenceData!$AU$10),"",ReferenceData!$AU$10),"")</f>
        <v>7.5610791150000001</v>
      </c>
      <c r="AV10">
        <f ca="1">IFERROR(IF(0=LEN(ReferenceData!$AV$10),"",ReferenceData!$AV$10),"")</f>
        <v>8.3421458909999995</v>
      </c>
      <c r="AW10">
        <f ca="1">IFERROR(IF(0=LEN(ReferenceData!$AW$10),"",ReferenceData!$AW$10),"")</f>
        <v>9.5491905409999998</v>
      </c>
      <c r="AX10">
        <f ca="1">IFERROR(IF(0=LEN(ReferenceData!$AX$10),"",ReferenceData!$AX$10),"")</f>
        <v>12.5579284</v>
      </c>
      <c r="AY10">
        <f ca="1">IFERROR(IF(0=LEN(ReferenceData!$AY$10),"",ReferenceData!$AY$10),"")</f>
        <v>22.852399890000001</v>
      </c>
      <c r="AZ10">
        <f ca="1">IFERROR(IF(0=LEN(ReferenceData!$AZ$10),"",ReferenceData!$AZ$10),"")</f>
        <v>30.680255200000001</v>
      </c>
      <c r="BA10">
        <f ca="1">IFERROR(IF(0=LEN(ReferenceData!$BA$10),"",ReferenceData!$BA$10),"")</f>
        <v>22.6780288</v>
      </c>
      <c r="BB10">
        <f ca="1">IFERROR(IF(0=LEN(ReferenceData!$BB$10),"",ReferenceData!$BB$10),"")</f>
        <v>21.323585560000001</v>
      </c>
      <c r="BC10">
        <f ca="1">IFERROR(IF(0=LEN(ReferenceData!$BC$10),"",ReferenceData!$BC$10),"")</f>
        <v>16.479897099999999</v>
      </c>
      <c r="BD10">
        <f ca="1">IFERROR(IF(0=LEN(ReferenceData!$BD$10),"",ReferenceData!$BD$10),"")</f>
        <v>11.75944007</v>
      </c>
      <c r="BE10">
        <f ca="1">IFERROR(IF(0=LEN(ReferenceData!$BE$10),"",ReferenceData!$BE$10),"")</f>
        <v>17.48959468</v>
      </c>
      <c r="BF10">
        <f ca="1">IFERROR(IF(0=LEN(ReferenceData!$BF$10),"",ReferenceData!$BF$10),"")</f>
        <v>25.860926970000001</v>
      </c>
      <c r="BG10">
        <f ca="1">IFERROR(IF(0=LEN(ReferenceData!$BG$10),"",ReferenceData!$BG$10),"")</f>
        <v>16.073351299999999</v>
      </c>
      <c r="BH10">
        <f ca="1">IFERROR(IF(0=LEN(ReferenceData!$BH$10),"",ReferenceData!$BH$10),"")</f>
        <v>11.4993754</v>
      </c>
      <c r="BI10" t="str">
        <f ca="1">IFERROR(IF(0=LEN(ReferenceData!$BI$10),"",ReferenceData!$BI$10),"")</f>
        <v/>
      </c>
      <c r="BJ10" t="str">
        <f ca="1">IFERROR(IF(0=LEN(ReferenceData!$BJ$10),"",ReferenceData!$BJ$10),"")</f>
        <v/>
      </c>
      <c r="BK10" t="str">
        <f ca="1">IFERROR(IF(0=LEN(ReferenceData!$BK$10),"",ReferenceData!$BK$10),"")</f>
        <v/>
      </c>
      <c r="BL10" t="str">
        <f ca="1">IFERROR(IF(0=LEN(ReferenceData!$BL$10),"",ReferenceData!$BL$10),"")</f>
        <v/>
      </c>
      <c r="BM10" t="str">
        <f ca="1">IFERROR(IF(0=LEN(ReferenceData!$BM$10),"",ReferenceData!$BM$10),"")</f>
        <v/>
      </c>
    </row>
    <row r="11" spans="1:65" x14ac:dyDescent="0.25">
      <c r="A11" t="str">
        <f>IFERROR(IF(0=LEN(ReferenceData!$A$11),"",ReferenceData!$A$11),"")</f>
        <v xml:space="preserve">    Daihatsu Motor Co Ltd</v>
      </c>
      <c r="B11" t="str">
        <f>IFERROR(IF(0=LEN(ReferenceData!$B$11),"",ReferenceData!$B$11),"")</f>
        <v>7262 JP Equity</v>
      </c>
      <c r="C11" t="str">
        <f>IFERROR(IF(0=LEN(ReferenceData!$C$11),"",ReferenceData!$C$11),"")</f>
        <v>RR900</v>
      </c>
      <c r="D11" t="str">
        <f>IFERROR(IF(0=LEN(ReferenceData!$D$11),"",ReferenceData!$D$11),"")</f>
        <v>PE_RATIO</v>
      </c>
      <c r="E11" t="str">
        <f>IFERROR(IF(0=LEN(ReferenceData!$E$11),"",ReferenceData!$E$11),"")</f>
        <v>Dynamic</v>
      </c>
      <c r="F11" t="str">
        <f ca="1">IFERROR(IF(0=LEN(ReferenceData!$F$11),"",ReferenceData!$F$11),"")</f>
        <v/>
      </c>
      <c r="G11" t="str">
        <f ca="1">IFERROR(IF(0=LEN(ReferenceData!$G$11),"",ReferenceData!$G$11),"")</f>
        <v/>
      </c>
      <c r="H11" t="str">
        <f ca="1">IFERROR(IF(0=LEN(ReferenceData!$H$11),"",ReferenceData!$H$11),"")</f>
        <v/>
      </c>
      <c r="I11" t="str">
        <f ca="1">IFERROR(IF(0=LEN(ReferenceData!$I$11),"",ReferenceData!$I$11),"")</f>
        <v/>
      </c>
      <c r="J11" t="str">
        <f ca="1">IFERROR(IF(0=LEN(ReferenceData!$J$11),"",ReferenceData!$J$11),"")</f>
        <v/>
      </c>
      <c r="K11" t="str">
        <f ca="1">IFERROR(IF(0=LEN(ReferenceData!$K$11),"",ReferenceData!$K$11),"")</f>
        <v/>
      </c>
      <c r="L11" t="str">
        <f ca="1">IFERROR(IF(0=LEN(ReferenceData!$L$11),"",ReferenceData!$L$11),"")</f>
        <v/>
      </c>
      <c r="M11" t="str">
        <f ca="1">IFERROR(IF(0=LEN(ReferenceData!$M$11),"",ReferenceData!$M$11),"")</f>
        <v/>
      </c>
      <c r="N11" t="str">
        <f ca="1">IFERROR(IF(0=LEN(ReferenceData!$N$11),"",ReferenceData!$N$11),"")</f>
        <v/>
      </c>
      <c r="O11" t="str">
        <f ca="1">IFERROR(IF(0=LEN(ReferenceData!$O$11),"",ReferenceData!$O$11),"")</f>
        <v/>
      </c>
      <c r="P11">
        <f ca="1">IFERROR(IF(0=LEN(ReferenceData!$P$11),"",ReferenceData!$P$11),"")</f>
        <v>15.16322587</v>
      </c>
      <c r="Q11">
        <f ca="1">IFERROR(IF(0=LEN(ReferenceData!$Q$11),"",ReferenceData!$Q$11),"")</f>
        <v>13.45469338</v>
      </c>
      <c r="R11">
        <f ca="1">IFERROR(IF(0=LEN(ReferenceData!$R$11),"",ReferenceData!$R$11),"")</f>
        <v>16.12936032</v>
      </c>
      <c r="S11">
        <f ca="1">IFERROR(IF(0=LEN(ReferenceData!$S$11),"",ReferenceData!$S$11),"")</f>
        <v>11.55552426</v>
      </c>
      <c r="T11">
        <f ca="1">IFERROR(IF(0=LEN(ReferenceData!$T$11),"",ReferenceData!$T$11),"")</f>
        <v>9.9624873760000003</v>
      </c>
      <c r="U11">
        <f ca="1">IFERROR(IF(0=LEN(ReferenceData!$U$11),"",ReferenceData!$U$11),"")</f>
        <v>12.441113489999999</v>
      </c>
      <c r="V11">
        <f ca="1">IFERROR(IF(0=LEN(ReferenceData!$V$11),"",ReferenceData!$V$11),"")</f>
        <v>11.49468418</v>
      </c>
      <c r="W11">
        <f ca="1">IFERROR(IF(0=LEN(ReferenceData!$W$11),"",ReferenceData!$W$11),"")</f>
        <v>11.1456201</v>
      </c>
      <c r="X11">
        <f ca="1">IFERROR(IF(0=LEN(ReferenceData!$X$11),"",ReferenceData!$X$11),"")</f>
        <v>11.0085362</v>
      </c>
      <c r="Y11">
        <f ca="1">IFERROR(IF(0=LEN(ReferenceData!$Y$11),"",ReferenceData!$Y$11),"")</f>
        <v>10.33453836</v>
      </c>
      <c r="Z11">
        <f ca="1">IFERROR(IF(0=LEN(ReferenceData!$Z$11),"",ReferenceData!$Z$11),"")</f>
        <v>9.2816048060000007</v>
      </c>
      <c r="AA11">
        <f ca="1">IFERROR(IF(0=LEN(ReferenceData!$AA$11),"",ReferenceData!$AA$11),"")</f>
        <v>10.027008779999999</v>
      </c>
      <c r="AB11">
        <f ca="1">IFERROR(IF(0=LEN(ReferenceData!$AB$11),"",ReferenceData!$AB$11),"")</f>
        <v>10.9801202</v>
      </c>
      <c r="AC11">
        <f ca="1">IFERROR(IF(0=LEN(ReferenceData!$AC$11),"",ReferenceData!$AC$11),"")</f>
        <v>9.5218800649999995</v>
      </c>
      <c r="AD11">
        <f ca="1">IFERROR(IF(0=LEN(ReferenceData!$AD$11),"",ReferenceData!$AD$11),"")</f>
        <v>10.217220620000001</v>
      </c>
      <c r="AE11">
        <f ca="1">IFERROR(IF(0=LEN(ReferenceData!$AE$11),"",ReferenceData!$AE$11),"")</f>
        <v>8.287319578</v>
      </c>
      <c r="AF11">
        <f ca="1">IFERROR(IF(0=LEN(ReferenceData!$AF$11),"",ReferenceData!$AF$11),"")</f>
        <v>6.2917961370000004</v>
      </c>
      <c r="AG11">
        <f ca="1">IFERROR(IF(0=LEN(ReferenceData!$AG$11),"",ReferenceData!$AG$11),"")</f>
        <v>7.4932959989999999</v>
      </c>
      <c r="AH11">
        <f ca="1">IFERROR(IF(0=LEN(ReferenceData!$AH$11),"",ReferenceData!$AH$11),"")</f>
        <v>9.9182991880000007</v>
      </c>
      <c r="AI11">
        <f ca="1">IFERROR(IF(0=LEN(ReferenceData!$AI$11),"",ReferenceData!$AI$11),"")</f>
        <v>12.01635126</v>
      </c>
      <c r="AJ11">
        <f ca="1">IFERROR(IF(0=LEN(ReferenceData!$AJ$11),"",ReferenceData!$AJ$11),"")</f>
        <v>13.15248373</v>
      </c>
      <c r="AK11">
        <f ca="1">IFERROR(IF(0=LEN(ReferenceData!$AK$11),"",ReferenceData!$AK$11),"")</f>
        <v>14.74349024</v>
      </c>
      <c r="AL11">
        <f ca="1">IFERROR(IF(0=LEN(ReferenceData!$AL$11),"",ReferenceData!$AL$11),"")</f>
        <v>9.8268618029999999</v>
      </c>
      <c r="AM11">
        <f ca="1">IFERROR(IF(0=LEN(ReferenceData!$AM$11),"",ReferenceData!$AM$11),"")</f>
        <v>12.011492090000001</v>
      </c>
      <c r="AN11">
        <f ca="1">IFERROR(IF(0=LEN(ReferenceData!$AN$11),"",ReferenceData!$AN$11),"")</f>
        <v>11.16062619</v>
      </c>
      <c r="AO11">
        <f ca="1">IFERROR(IF(0=LEN(ReferenceData!$AO$11),"",ReferenceData!$AO$11),"")</f>
        <v>9.4174790000000002</v>
      </c>
      <c r="AP11">
        <f ca="1">IFERROR(IF(0=LEN(ReferenceData!$AP$11),"",ReferenceData!$AP$11),"")</f>
        <v>17.980834810000001</v>
      </c>
      <c r="AQ11">
        <f ca="1">IFERROR(IF(0=LEN(ReferenceData!$AQ$11),"",ReferenceData!$AQ$11),"")</f>
        <v>21.188778429999999</v>
      </c>
      <c r="AR11">
        <f ca="1">IFERROR(IF(0=LEN(ReferenceData!$AR$11),"",ReferenceData!$AR$11),"")</f>
        <v>33.290757229999997</v>
      </c>
      <c r="AS11">
        <f ca="1">IFERROR(IF(0=LEN(ReferenceData!$AS$11),"",ReferenceData!$AS$11),"")</f>
        <v>27.32374866</v>
      </c>
      <c r="AT11">
        <f ca="1">IFERROR(IF(0=LEN(ReferenceData!$AT$11),"",ReferenceData!$AT$11),"")</f>
        <v>14.849807520000001</v>
      </c>
      <c r="AU11">
        <f ca="1">IFERROR(IF(0=LEN(ReferenceData!$AU$11),"",ReferenceData!$AU$11),"")</f>
        <v>10.1953125</v>
      </c>
      <c r="AV11">
        <f ca="1">IFERROR(IF(0=LEN(ReferenceData!$AV$11),"",ReferenceData!$AV$11),"")</f>
        <v>12.32325853</v>
      </c>
      <c r="AW11">
        <f ca="1">IFERROR(IF(0=LEN(ReferenceData!$AW$11),"",ReferenceData!$AW$11),"")</f>
        <v>13.74477224</v>
      </c>
      <c r="AX11">
        <f ca="1">IFERROR(IF(0=LEN(ReferenceData!$AX$11),"",ReferenceData!$AX$11),"")</f>
        <v>14.610032950000001</v>
      </c>
      <c r="AY11">
        <f ca="1">IFERROR(IF(0=LEN(ReferenceData!$AY$11),"",ReferenceData!$AY$11),"")</f>
        <v>11.66222814</v>
      </c>
      <c r="AZ11">
        <f ca="1">IFERROR(IF(0=LEN(ReferenceData!$AZ$11),"",ReferenceData!$AZ$11),"")</f>
        <v>14.087999809999999</v>
      </c>
      <c r="BA11">
        <f ca="1">IFERROR(IF(0=LEN(ReferenceData!$BA$11),"",ReferenceData!$BA$11),"")</f>
        <v>12.784540890000001</v>
      </c>
      <c r="BB11">
        <f ca="1">IFERROR(IF(0=LEN(ReferenceData!$BB$11),"",ReferenceData!$BB$11),"")</f>
        <v>13.79429049</v>
      </c>
      <c r="BC11">
        <f ca="1">IFERROR(IF(0=LEN(ReferenceData!$BC$11),"",ReferenceData!$BC$11),"")</f>
        <v>14.36946638</v>
      </c>
      <c r="BD11">
        <f ca="1">IFERROR(IF(0=LEN(ReferenceData!$BD$11),"",ReferenceData!$BD$11),"")</f>
        <v>13.72210516</v>
      </c>
      <c r="BE11">
        <f ca="1">IFERROR(IF(0=LEN(ReferenceData!$BE$11),"",ReferenceData!$BE$11),"")</f>
        <v>12.90993482</v>
      </c>
      <c r="BF11">
        <f ca="1">IFERROR(IF(0=LEN(ReferenceData!$BF$11),"",ReferenceData!$BF$11),"")</f>
        <v>15.480272250000001</v>
      </c>
      <c r="BG11">
        <f ca="1">IFERROR(IF(0=LEN(ReferenceData!$BG$11),"",ReferenceData!$BG$11),"")</f>
        <v>17.789374309999999</v>
      </c>
      <c r="BH11" t="str">
        <f ca="1">IFERROR(IF(0=LEN(ReferenceData!$BH$11),"",ReferenceData!$BH$11),"")</f>
        <v/>
      </c>
      <c r="BI11" t="str">
        <f ca="1">IFERROR(IF(0=LEN(ReferenceData!$BI$11),"",ReferenceData!$BI$11),"")</f>
        <v/>
      </c>
      <c r="BJ11" t="str">
        <f ca="1">IFERROR(IF(0=LEN(ReferenceData!$BJ$11),"",ReferenceData!$BJ$11),"")</f>
        <v/>
      </c>
      <c r="BK11" t="str">
        <f ca="1">IFERROR(IF(0=LEN(ReferenceData!$BK$11),"",ReferenceData!$BK$11),"")</f>
        <v/>
      </c>
      <c r="BL11" t="str">
        <f ca="1">IFERROR(IF(0=LEN(ReferenceData!$BL$11),"",ReferenceData!$BL$11),"")</f>
        <v/>
      </c>
      <c r="BM11" t="str">
        <f ca="1">IFERROR(IF(0=LEN(ReferenceData!$BM$11),"",ReferenceData!$BM$11),"")</f>
        <v/>
      </c>
    </row>
    <row r="12" spans="1:65" x14ac:dyDescent="0.25">
      <c r="A12" t="str">
        <f>IFERROR(IF(0=LEN(ReferenceData!$A$12),"",ReferenceData!$A$12),"")</f>
        <v xml:space="preserve">    Daimler AG</v>
      </c>
      <c r="B12" t="str">
        <f>IFERROR(IF(0=LEN(ReferenceData!$B$12),"",ReferenceData!$B$12),"")</f>
        <v>DAI GR Equity</v>
      </c>
      <c r="C12" t="str">
        <f>IFERROR(IF(0=LEN(ReferenceData!$C$12),"",ReferenceData!$C$12),"")</f>
        <v>RR900</v>
      </c>
      <c r="D12" t="str">
        <f>IFERROR(IF(0=LEN(ReferenceData!$D$12),"",ReferenceData!$D$12),"")</f>
        <v>PE_RATIO</v>
      </c>
      <c r="E12" t="str">
        <f>IFERROR(IF(0=LEN(ReferenceData!$E$12),"",ReferenceData!$E$12),"")</f>
        <v>Dynamic</v>
      </c>
      <c r="F12">
        <f ca="1">IFERROR(IF(0=LEN(ReferenceData!$F$12),"",ReferenceData!$F$12),"")</f>
        <v>7.7158863789999996</v>
      </c>
      <c r="G12">
        <f ca="1">IFERROR(IF(0=LEN(ReferenceData!$G$12),"",ReferenceData!$G$12),"")</f>
        <v>6.7822390129999999</v>
      </c>
      <c r="H12">
        <f ca="1">IFERROR(IF(0=LEN(ReferenceData!$H$12),"",ReferenceData!$H$12),"")</f>
        <v>6.6045747610000003</v>
      </c>
      <c r="I12">
        <f ca="1">IFERROR(IF(0=LEN(ReferenceData!$I$12),"",ReferenceData!$I$12),"")</f>
        <v>6.3611183709999999</v>
      </c>
      <c r="J12">
        <f ca="1">IFERROR(IF(0=LEN(ReferenceData!$J$12),"",ReferenceData!$J$12),"")</f>
        <v>7.4008899279999998</v>
      </c>
      <c r="K12">
        <f ca="1">IFERROR(IF(0=LEN(ReferenceData!$K$12),"",ReferenceData!$K$12),"")</f>
        <v>7.3698449469999998</v>
      </c>
      <c r="L12">
        <f ca="1">IFERROR(IF(0=LEN(ReferenceData!$L$12),"",ReferenceData!$L$12),"")</f>
        <v>7.750218759</v>
      </c>
      <c r="M12">
        <f ca="1">IFERROR(IF(0=LEN(ReferenceData!$M$12),"",ReferenceData!$M$12),"")</f>
        <v>6.9712904690000004</v>
      </c>
      <c r="N12">
        <f ca="1">IFERROR(IF(0=LEN(ReferenceData!$N$12),"",ReferenceData!$N$12),"")</f>
        <v>7.593319857</v>
      </c>
      <c r="O12">
        <f ca="1">IFERROR(IF(0=LEN(ReferenceData!$O$12),"",ReferenceData!$O$12),"")</f>
        <v>8.8746254610000008</v>
      </c>
      <c r="P12">
        <f ca="1">IFERROR(IF(0=LEN(ReferenceData!$P$12),"",ReferenceData!$P$12),"")</f>
        <v>8.1918123450000007</v>
      </c>
      <c r="Q12">
        <f ca="1">IFERROR(IF(0=LEN(ReferenceData!$Q$12),"",ReferenceData!$Q$12),"")</f>
        <v>7.249062672</v>
      </c>
      <c r="R12">
        <f ca="1">IFERROR(IF(0=LEN(ReferenceData!$R$12),"",ReferenceData!$R$12),"")</f>
        <v>9.2438781159999994</v>
      </c>
      <c r="S12">
        <f ca="1">IFERROR(IF(0=LEN(ReferenceData!$S$12),"",ReferenceData!$S$12),"")</f>
        <v>9.8588136049999999</v>
      </c>
      <c r="T12">
        <f ca="1">IFERROR(IF(0=LEN(ReferenceData!$T$12),"",ReferenceData!$T$12),"")</f>
        <v>9.028611111</v>
      </c>
      <c r="U12">
        <f ca="1">IFERROR(IF(0=LEN(ReferenceData!$U$12),"",ReferenceData!$U$12),"")</f>
        <v>10.90836653</v>
      </c>
      <c r="V12">
        <f ca="1">IFERROR(IF(0=LEN(ReferenceData!$V$12),"",ReferenceData!$V$12),"")</f>
        <v>12.16707317</v>
      </c>
      <c r="W12">
        <f ca="1">IFERROR(IF(0=LEN(ReferenceData!$W$12),"",ReferenceData!$W$12),"")</f>
        <v>10.59447005</v>
      </c>
      <c r="X12">
        <f ca="1">IFERROR(IF(0=LEN(ReferenceData!$X$12),"",ReferenceData!$X$12),"")</f>
        <v>8.6218195289999997</v>
      </c>
      <c r="Y12">
        <f ca="1">IFERROR(IF(0=LEN(ReferenceData!$Y$12),"",ReferenceData!$Y$12),"")</f>
        <v>11.056089589999999</v>
      </c>
      <c r="Z12">
        <f ca="1">IFERROR(IF(0=LEN(ReferenceData!$Z$12),"",ReferenceData!$Z$12),"")</f>
        <v>10.031489629999999</v>
      </c>
      <c r="AA12">
        <f ca="1">IFERROR(IF(0=LEN(ReferenceData!$AA$12),"",ReferenceData!$AA$12),"")</f>
        <v>9.829046473</v>
      </c>
      <c r="AB12">
        <f ca="1">IFERROR(IF(0=LEN(ReferenceData!$AB$12),"",ReferenceData!$AB$12),"")</f>
        <v>8.0303854529999992</v>
      </c>
      <c r="AC12">
        <f ca="1">IFERROR(IF(0=LEN(ReferenceData!$AC$12),"",ReferenceData!$AC$12),"")</f>
        <v>7.1122403500000004</v>
      </c>
      <c r="AD12">
        <f ca="1">IFERROR(IF(0=LEN(ReferenceData!$AD$12),"",ReferenceData!$AD$12),"")</f>
        <v>8.1117576029999992</v>
      </c>
      <c r="AE12">
        <f ca="1">IFERROR(IF(0=LEN(ReferenceData!$AE$12),"",ReferenceData!$AE$12),"")</f>
        <v>6.8592707390000003</v>
      </c>
      <c r="AF12">
        <f ca="1">IFERROR(IF(0=LEN(ReferenceData!$AF$12),"",ReferenceData!$AF$12),"")</f>
        <v>7.1155907410000001</v>
      </c>
      <c r="AG12">
        <f ca="1">IFERROR(IF(0=LEN(ReferenceData!$AG$12),"",ReferenceData!$AG$12),"")</f>
        <v>6.4640904189999997</v>
      </c>
      <c r="AH12">
        <f ca="1">IFERROR(IF(0=LEN(ReferenceData!$AH$12),"",ReferenceData!$AH$12),"")</f>
        <v>8.1336459130000005</v>
      </c>
      <c r="AI12">
        <f ca="1">IFERROR(IF(0=LEN(ReferenceData!$AI$12),"",ReferenceData!$AI$12),"")</f>
        <v>6.3784576619999998</v>
      </c>
      <c r="AJ12">
        <f ca="1">IFERROR(IF(0=LEN(ReferenceData!$AJ$12),"",ReferenceData!$AJ$12),"")</f>
        <v>7.1334541329999999</v>
      </c>
      <c r="AK12">
        <f ca="1">IFERROR(IF(0=LEN(ReferenceData!$AK$12),"",ReferenceData!$AK$12),"")</f>
        <v>10.504133469999999</v>
      </c>
      <c r="AL12">
        <f ca="1">IFERROR(IF(0=LEN(ReferenceData!$AL$12),"",ReferenceData!$AL$12),"")</f>
        <v>10.8752771</v>
      </c>
      <c r="AM12">
        <f ca="1">IFERROR(IF(0=LEN(ReferenceData!$AM$12),"",ReferenceData!$AM$12),"")</f>
        <v>11.915208249999999</v>
      </c>
      <c r="AN12">
        <f ca="1">IFERROR(IF(0=LEN(ReferenceData!$AN$12),"",ReferenceData!$AN$12),"")</f>
        <v>15.84709524</v>
      </c>
      <c r="AO12">
        <f ca="1">IFERROR(IF(0=LEN(ReferenceData!$AO$12),"",ReferenceData!$AO$12),"")</f>
        <v>27.405093489999999</v>
      </c>
      <c r="AP12" t="str">
        <f ca="1">IFERROR(IF(0=LEN(ReferenceData!$AP$12),"",ReferenceData!$AP$12),"")</f>
        <v/>
      </c>
      <c r="AQ12" t="str">
        <f ca="1">IFERROR(IF(0=LEN(ReferenceData!$AQ$12),"",ReferenceData!$AQ$12),"")</f>
        <v/>
      </c>
      <c r="AR12" t="str">
        <f ca="1">IFERROR(IF(0=LEN(ReferenceData!$AR$12),"",ReferenceData!$AR$12),"")</f>
        <v/>
      </c>
      <c r="AS12" t="str">
        <f ca="1">IFERROR(IF(0=LEN(ReferenceData!$AS$12),"",ReferenceData!$AS$12),"")</f>
        <v/>
      </c>
      <c r="AT12">
        <f ca="1">IFERROR(IF(0=LEN(ReferenceData!$AT$12),"",ReferenceData!$AT$12),"")</f>
        <v>11.85714286</v>
      </c>
      <c r="AU12">
        <f ca="1">IFERROR(IF(0=LEN(ReferenceData!$AU$12),"",ReferenceData!$AU$12),"")</f>
        <v>16.583850930000001</v>
      </c>
      <c r="AV12">
        <f ca="1">IFERROR(IF(0=LEN(ReferenceData!$AV$12),"",ReferenceData!$AV$12),"")</f>
        <v>6.7589118199999998</v>
      </c>
      <c r="AW12">
        <f ca="1">IFERROR(IF(0=LEN(ReferenceData!$AW$12),"",ReferenceData!$AW$12),"")</f>
        <v>9.4685990340000004</v>
      </c>
      <c r="AX12">
        <f ca="1">IFERROR(IF(0=LEN(ReferenceData!$AX$12),"",ReferenceData!$AX$12),"")</f>
        <v>13.33906634</v>
      </c>
      <c r="AY12">
        <f ca="1">IFERROR(IF(0=LEN(ReferenceData!$AY$12),"",ReferenceData!$AY$12),"")</f>
        <v>12.28571429</v>
      </c>
      <c r="AZ12">
        <f ca="1">IFERROR(IF(0=LEN(ReferenceData!$AZ$12),"",ReferenceData!$AZ$12),"")</f>
        <v>23.648829429999999</v>
      </c>
      <c r="BA12">
        <f ca="1">IFERROR(IF(0=LEN(ReferenceData!$BA$12),"",ReferenceData!$BA$12),"")</f>
        <v>13.61676647</v>
      </c>
      <c r="BB12">
        <f ca="1">IFERROR(IF(0=LEN(ReferenceData!$BB$12),"",ReferenceData!$BB$12),"")</f>
        <v>11.429629630000001</v>
      </c>
      <c r="BC12">
        <f ca="1">IFERROR(IF(0=LEN(ReferenceData!$BC$12),"",ReferenceData!$BC$12),"")</f>
        <v>13.20224719</v>
      </c>
      <c r="BD12">
        <f ca="1">IFERROR(IF(0=LEN(ReferenceData!$BD$12),"",ReferenceData!$BD$12),"")</f>
        <v>8.5726681130000006</v>
      </c>
      <c r="BE12">
        <f ca="1">IFERROR(IF(0=LEN(ReferenceData!$BE$12),"",ReferenceData!$BE$12),"")</f>
        <v>8.7636363639999999</v>
      </c>
      <c r="BF12">
        <f ca="1">IFERROR(IF(0=LEN(ReferenceData!$BF$12),"",ReferenceData!$BF$12),"")</f>
        <v>13.99115044</v>
      </c>
      <c r="BG12">
        <f ca="1">IFERROR(IF(0=LEN(ReferenceData!$BG$12),"",ReferenceData!$BG$12),"")</f>
        <v>14.87586207</v>
      </c>
      <c r="BH12">
        <f ca="1">IFERROR(IF(0=LEN(ReferenceData!$BH$12),"",ReferenceData!$BH$12),"")</f>
        <v>18.395833329999999</v>
      </c>
      <c r="BI12">
        <f ca="1">IFERROR(IF(0=LEN(ReferenceData!$BI$12),"",ReferenceData!$BI$12),"")</f>
        <v>13.44</v>
      </c>
      <c r="BJ12">
        <f ca="1">IFERROR(IF(0=LEN(ReferenceData!$BJ$12),"",ReferenceData!$BJ$12),"")</f>
        <v>14.79487179</v>
      </c>
      <c r="BK12">
        <f ca="1">IFERROR(IF(0=LEN(ReferenceData!$BK$12),"",ReferenceData!$BK$12),"")</f>
        <v>14.275303640000001</v>
      </c>
      <c r="BL12">
        <f ca="1">IFERROR(IF(0=LEN(ReferenceData!$BL$12),"",ReferenceData!$BL$12),"")</f>
        <v>13.498981669999999</v>
      </c>
      <c r="BM12" t="str">
        <f ca="1">IFERROR(IF(0=LEN(ReferenceData!$BM$12),"",ReferenceData!$BM$12),"")</f>
        <v/>
      </c>
    </row>
    <row r="13" spans="1:65" x14ac:dyDescent="0.25">
      <c r="A13" t="str">
        <f>IFERROR(IF(0=LEN(ReferenceData!$A$13),"",ReferenceData!$A$13),"")</f>
        <v xml:space="preserve">    Dongfeng Motor Group Co Ltd</v>
      </c>
      <c r="B13" t="str">
        <f>IFERROR(IF(0=LEN(ReferenceData!$B$13),"",ReferenceData!$B$13),"")</f>
        <v>489 HK Equity</v>
      </c>
      <c r="C13" t="str">
        <f>IFERROR(IF(0=LEN(ReferenceData!$C$13),"",ReferenceData!$C$13),"")</f>
        <v>RR900</v>
      </c>
      <c r="D13" t="str">
        <f>IFERROR(IF(0=LEN(ReferenceData!$D$13),"",ReferenceData!$D$13),"")</f>
        <v>PE_RATIO</v>
      </c>
      <c r="E13" t="str">
        <f>IFERROR(IF(0=LEN(ReferenceData!$E$13),"",ReferenceData!$E$13),"")</f>
        <v>Dynamic</v>
      </c>
      <c r="F13" t="str">
        <f ca="1">IFERROR(IF(0=LEN(ReferenceData!$F$13),"",ReferenceData!$F$13),"")</f>
        <v/>
      </c>
      <c r="G13" t="str">
        <f ca="1">IFERROR(IF(0=LEN(ReferenceData!$G$13),"",ReferenceData!$G$13),"")</f>
        <v/>
      </c>
      <c r="H13" t="str">
        <f ca="1">IFERROR(IF(0=LEN(ReferenceData!$H$13),"",ReferenceData!$H$13),"")</f>
        <v/>
      </c>
      <c r="I13" t="str">
        <f ca="1">IFERROR(IF(0=LEN(ReferenceData!$I$13),"",ReferenceData!$I$13),"")</f>
        <v/>
      </c>
      <c r="J13" t="str">
        <f ca="1">IFERROR(IF(0=LEN(ReferenceData!$J$13),"",ReferenceData!$J$13),"")</f>
        <v/>
      </c>
      <c r="K13" t="str">
        <f ca="1">IFERROR(IF(0=LEN(ReferenceData!$K$13),"",ReferenceData!$K$13),"")</f>
        <v/>
      </c>
      <c r="L13" t="str">
        <f ca="1">IFERROR(IF(0=LEN(ReferenceData!$L$13),"",ReferenceData!$L$13),"")</f>
        <v/>
      </c>
      <c r="M13" t="str">
        <f ca="1">IFERROR(IF(0=LEN(ReferenceData!$M$13),"",ReferenceData!$M$13),"")</f>
        <v/>
      </c>
      <c r="N13" t="str">
        <f ca="1">IFERROR(IF(0=LEN(ReferenceData!$N$13),"",ReferenceData!$N$13),"")</f>
        <v/>
      </c>
      <c r="O13" t="str">
        <f ca="1">IFERROR(IF(0=LEN(ReferenceData!$O$13),"",ReferenceData!$O$13),"")</f>
        <v/>
      </c>
      <c r="P13" t="str">
        <f ca="1">IFERROR(IF(0=LEN(ReferenceData!$P$13),"",ReferenceData!$P$13),"")</f>
        <v/>
      </c>
      <c r="Q13" t="str">
        <f ca="1">IFERROR(IF(0=LEN(ReferenceData!$Q$13),"",ReferenceData!$Q$13),"")</f>
        <v/>
      </c>
      <c r="R13" t="str">
        <f ca="1">IFERROR(IF(0=LEN(ReferenceData!$R$13),"",ReferenceData!$R$13),"")</f>
        <v/>
      </c>
      <c r="S13" t="str">
        <f ca="1">IFERROR(IF(0=LEN(ReferenceData!$S$13),"",ReferenceData!$S$13),"")</f>
        <v/>
      </c>
      <c r="T13" t="str">
        <f ca="1">IFERROR(IF(0=LEN(ReferenceData!$T$13),"",ReferenceData!$T$13),"")</f>
        <v/>
      </c>
      <c r="U13" t="str">
        <f ca="1">IFERROR(IF(0=LEN(ReferenceData!$U$13),"",ReferenceData!$U$13),"")</f>
        <v/>
      </c>
      <c r="V13" t="str">
        <f ca="1">IFERROR(IF(0=LEN(ReferenceData!$V$13),"",ReferenceData!$V$13),"")</f>
        <v/>
      </c>
      <c r="W13" t="str">
        <f ca="1">IFERROR(IF(0=LEN(ReferenceData!$W$13),"",ReferenceData!$W$13),"")</f>
        <v/>
      </c>
      <c r="X13" t="str">
        <f ca="1">IFERROR(IF(0=LEN(ReferenceData!$X$13),"",ReferenceData!$X$13),"")</f>
        <v/>
      </c>
      <c r="Y13" t="str">
        <f ca="1">IFERROR(IF(0=LEN(ReferenceData!$Y$13),"",ReferenceData!$Y$13),"")</f>
        <v/>
      </c>
      <c r="Z13" t="str">
        <f ca="1">IFERROR(IF(0=LEN(ReferenceData!$Z$13),"",ReferenceData!$Z$13),"")</f>
        <v/>
      </c>
      <c r="AA13" t="str">
        <f ca="1">IFERROR(IF(0=LEN(ReferenceData!$AA$13),"",ReferenceData!$AA$13),"")</f>
        <v/>
      </c>
      <c r="AB13" t="str">
        <f ca="1">IFERROR(IF(0=LEN(ReferenceData!$AB$13),"",ReferenceData!$AB$13),"")</f>
        <v/>
      </c>
      <c r="AC13" t="str">
        <f ca="1">IFERROR(IF(0=LEN(ReferenceData!$AC$13),"",ReferenceData!$AC$13),"")</f>
        <v/>
      </c>
      <c r="AD13" t="str">
        <f ca="1">IFERROR(IF(0=LEN(ReferenceData!$AD$13),"",ReferenceData!$AD$13),"")</f>
        <v/>
      </c>
      <c r="AE13" t="str">
        <f ca="1">IFERROR(IF(0=LEN(ReferenceData!$AE$13),"",ReferenceData!$AE$13),"")</f>
        <v/>
      </c>
      <c r="AF13" t="str">
        <f ca="1">IFERROR(IF(0=LEN(ReferenceData!$AF$13),"",ReferenceData!$AF$13),"")</f>
        <v/>
      </c>
      <c r="AG13" t="str">
        <f ca="1">IFERROR(IF(0=LEN(ReferenceData!$AG$13),"",ReferenceData!$AG$13),"")</f>
        <v/>
      </c>
      <c r="AH13" t="str">
        <f ca="1">IFERROR(IF(0=LEN(ReferenceData!$AH$13),"",ReferenceData!$AH$13),"")</f>
        <v/>
      </c>
      <c r="AI13" t="str">
        <f ca="1">IFERROR(IF(0=LEN(ReferenceData!$AI$13),"",ReferenceData!$AI$13),"")</f>
        <v/>
      </c>
      <c r="AJ13" t="str">
        <f ca="1">IFERROR(IF(0=LEN(ReferenceData!$AJ$13),"",ReferenceData!$AJ$13),"")</f>
        <v/>
      </c>
      <c r="AK13" t="str">
        <f ca="1">IFERROR(IF(0=LEN(ReferenceData!$AK$13),"",ReferenceData!$AK$13),"")</f>
        <v/>
      </c>
      <c r="AL13" t="str">
        <f ca="1">IFERROR(IF(0=LEN(ReferenceData!$AL$13),"",ReferenceData!$AL$13),"")</f>
        <v/>
      </c>
      <c r="AM13" t="str">
        <f ca="1">IFERROR(IF(0=LEN(ReferenceData!$AM$13),"",ReferenceData!$AM$13),"")</f>
        <v/>
      </c>
      <c r="AN13" t="str">
        <f ca="1">IFERROR(IF(0=LEN(ReferenceData!$AN$13),"",ReferenceData!$AN$13),"")</f>
        <v/>
      </c>
      <c r="AO13" t="str">
        <f ca="1">IFERROR(IF(0=LEN(ReferenceData!$AO$13),"",ReferenceData!$AO$13),"")</f>
        <v/>
      </c>
      <c r="AP13" t="str">
        <f ca="1">IFERROR(IF(0=LEN(ReferenceData!$AP$13),"",ReferenceData!$AP$13),"")</f>
        <v/>
      </c>
      <c r="AQ13" t="str">
        <f ca="1">IFERROR(IF(0=LEN(ReferenceData!$AQ$13),"",ReferenceData!$AQ$13),"")</f>
        <v/>
      </c>
      <c r="AR13" t="str">
        <f ca="1">IFERROR(IF(0=LEN(ReferenceData!$AR$13),"",ReferenceData!$AR$13),"")</f>
        <v/>
      </c>
      <c r="AS13" t="str">
        <f ca="1">IFERROR(IF(0=LEN(ReferenceData!$AS$13),"",ReferenceData!$AS$13),"")</f>
        <v/>
      </c>
      <c r="AT13" t="str">
        <f ca="1">IFERROR(IF(0=LEN(ReferenceData!$AT$13),"",ReferenceData!$AT$13),"")</f>
        <v/>
      </c>
      <c r="AU13" t="str">
        <f ca="1">IFERROR(IF(0=LEN(ReferenceData!$AU$13),"",ReferenceData!$AU$13),"")</f>
        <v/>
      </c>
      <c r="AV13" t="str">
        <f ca="1">IFERROR(IF(0=LEN(ReferenceData!$AV$13),"",ReferenceData!$AV$13),"")</f>
        <v/>
      </c>
      <c r="AW13" t="str">
        <f ca="1">IFERROR(IF(0=LEN(ReferenceData!$AW$13),"",ReferenceData!$AW$13),"")</f>
        <v/>
      </c>
      <c r="AX13" t="str">
        <f ca="1">IFERROR(IF(0=LEN(ReferenceData!$AX$13),"",ReferenceData!$AX$13),"")</f>
        <v/>
      </c>
      <c r="AY13" t="str">
        <f ca="1">IFERROR(IF(0=LEN(ReferenceData!$AY$13),"",ReferenceData!$AY$13),"")</f>
        <v/>
      </c>
      <c r="AZ13" t="str">
        <f ca="1">IFERROR(IF(0=LEN(ReferenceData!$AZ$13),"",ReferenceData!$AZ$13),"")</f>
        <v/>
      </c>
      <c r="BA13" t="str">
        <f ca="1">IFERROR(IF(0=LEN(ReferenceData!$BA$13),"",ReferenceData!$BA$13),"")</f>
        <v/>
      </c>
      <c r="BB13" t="str">
        <f ca="1">IFERROR(IF(0=LEN(ReferenceData!$BB$13),"",ReferenceData!$BB$13),"")</f>
        <v/>
      </c>
      <c r="BC13" t="str">
        <f ca="1">IFERROR(IF(0=LEN(ReferenceData!$BC$13),"",ReferenceData!$BC$13),"")</f>
        <v/>
      </c>
      <c r="BD13" t="str">
        <f ca="1">IFERROR(IF(0=LEN(ReferenceData!$BD$13),"",ReferenceData!$BD$13),"")</f>
        <v/>
      </c>
      <c r="BE13" t="str">
        <f ca="1">IFERROR(IF(0=LEN(ReferenceData!$BE$13),"",ReferenceData!$BE$13),"")</f>
        <v/>
      </c>
      <c r="BF13" t="str">
        <f ca="1">IFERROR(IF(0=LEN(ReferenceData!$BF$13),"",ReferenceData!$BF$13),"")</f>
        <v/>
      </c>
      <c r="BG13" t="str">
        <f ca="1">IFERROR(IF(0=LEN(ReferenceData!$BG$13),"",ReferenceData!$BG$13),"")</f>
        <v/>
      </c>
      <c r="BH13" t="str">
        <f ca="1">IFERROR(IF(0=LEN(ReferenceData!$BH$13),"",ReferenceData!$BH$13),"")</f>
        <v/>
      </c>
      <c r="BI13" t="str">
        <f ca="1">IFERROR(IF(0=LEN(ReferenceData!$BI$13),"",ReferenceData!$BI$13),"")</f>
        <v/>
      </c>
      <c r="BJ13" t="str">
        <f ca="1">IFERROR(IF(0=LEN(ReferenceData!$BJ$13),"",ReferenceData!$BJ$13),"")</f>
        <v/>
      </c>
      <c r="BK13" t="str">
        <f ca="1">IFERROR(IF(0=LEN(ReferenceData!$BK$13),"",ReferenceData!$BK$13),"")</f>
        <v/>
      </c>
      <c r="BL13" t="str">
        <f ca="1">IFERROR(IF(0=LEN(ReferenceData!$BL$13),"",ReferenceData!$BL$13),"")</f>
        <v/>
      </c>
      <c r="BM13" t="str">
        <f ca="1">IFERROR(IF(0=LEN(ReferenceData!$BM$13),"",ReferenceData!$BM$13),"")</f>
        <v/>
      </c>
    </row>
    <row r="14" spans="1:65" x14ac:dyDescent="0.25">
      <c r="A14" t="str">
        <f>IFERROR(IF(0=LEN(ReferenceData!$A$14),"",ReferenceData!$A$14),"")</f>
        <v xml:space="preserve">    DRB-Hicom Bhd</v>
      </c>
      <c r="B14" t="str">
        <f>IFERROR(IF(0=LEN(ReferenceData!$B$14),"",ReferenceData!$B$14),"")</f>
        <v>DRB MK Equity</v>
      </c>
      <c r="C14" t="str">
        <f>IFERROR(IF(0=LEN(ReferenceData!$C$14),"",ReferenceData!$C$14),"")</f>
        <v>RR900</v>
      </c>
      <c r="D14" t="str">
        <f>IFERROR(IF(0=LEN(ReferenceData!$D$14),"",ReferenceData!$D$14),"")</f>
        <v>PE_RATIO</v>
      </c>
      <c r="E14" t="str">
        <f>IFERROR(IF(0=LEN(ReferenceData!$E$14),"",ReferenceData!$E$14),"")</f>
        <v>Dynamic</v>
      </c>
      <c r="F14" t="str">
        <f ca="1">IFERROR(IF(0=LEN(ReferenceData!$F$14),"",ReferenceData!$F$14),"")</f>
        <v/>
      </c>
      <c r="G14" t="str">
        <f ca="1">IFERROR(IF(0=LEN(ReferenceData!$G$14),"",ReferenceData!$G$14),"")</f>
        <v/>
      </c>
      <c r="H14">
        <f ca="1">IFERROR(IF(0=LEN(ReferenceData!$H$14),"",ReferenceData!$H$14),"")</f>
        <v>6.7769646830000001</v>
      </c>
      <c r="I14">
        <f ca="1">IFERROR(IF(0=LEN(ReferenceData!$I$14),"",ReferenceData!$I$14),"")</f>
        <v>6.2360801779999999</v>
      </c>
      <c r="J14">
        <f ca="1">IFERROR(IF(0=LEN(ReferenceData!$J$14),"",ReferenceData!$J$14),"")</f>
        <v>9.6025186930000004</v>
      </c>
      <c r="K14">
        <f ca="1">IFERROR(IF(0=LEN(ReferenceData!$K$14),"",ReferenceData!$K$14),"")</f>
        <v>20.584926880000001</v>
      </c>
      <c r="L14">
        <f ca="1">IFERROR(IF(0=LEN(ReferenceData!$L$14),"",ReferenceData!$L$14),"")</f>
        <v>5.4152823919999999</v>
      </c>
      <c r="M14" t="str">
        <f ca="1">IFERROR(IF(0=LEN(ReferenceData!$M$14),"",ReferenceData!$M$14),"")</f>
        <v/>
      </c>
      <c r="N14" t="str">
        <f ca="1">IFERROR(IF(0=LEN(ReferenceData!$N$14),"",ReferenceData!$N$14),"")</f>
        <v/>
      </c>
      <c r="O14" t="str">
        <f ca="1">IFERROR(IF(0=LEN(ReferenceData!$O$14),"",ReferenceData!$O$14),"")</f>
        <v/>
      </c>
      <c r="P14" t="str">
        <f ca="1">IFERROR(IF(0=LEN(ReferenceData!$P$14),"",ReferenceData!$P$14),"")</f>
        <v/>
      </c>
      <c r="Q14" t="str">
        <f ca="1">IFERROR(IF(0=LEN(ReferenceData!$Q$14),"",ReferenceData!$Q$14),"")</f>
        <v/>
      </c>
      <c r="R14" t="str">
        <f ca="1">IFERROR(IF(0=LEN(ReferenceData!$R$14),"",ReferenceData!$R$14),"")</f>
        <v/>
      </c>
      <c r="S14">
        <f ca="1">IFERROR(IF(0=LEN(ReferenceData!$S$14),"",ReferenceData!$S$14),"")</f>
        <v>28.538283060000001</v>
      </c>
      <c r="T14">
        <f ca="1">IFERROR(IF(0=LEN(ReferenceData!$T$14),"",ReferenceData!$T$14),"")</f>
        <v>30.858468680000001</v>
      </c>
      <c r="U14">
        <f ca="1">IFERROR(IF(0=LEN(ReferenceData!$U$14),"",ReferenceData!$U$14),"")</f>
        <v>17.825112109999999</v>
      </c>
      <c r="V14">
        <f ca="1">IFERROR(IF(0=LEN(ReferenceData!$V$14),"",ReferenceData!$V$14),"")</f>
        <v>12.693298970000001</v>
      </c>
      <c r="W14">
        <f ca="1">IFERROR(IF(0=LEN(ReferenceData!$W$14),"",ReferenceData!$W$14),"")</f>
        <v>8.983572895</v>
      </c>
      <c r="X14">
        <f ca="1">IFERROR(IF(0=LEN(ReferenceData!$X$14),"",ReferenceData!$X$14),"")</f>
        <v>8.5617724370000001</v>
      </c>
      <c r="Y14">
        <f ca="1">IFERROR(IF(0=LEN(ReferenceData!$Y$14),"",ReferenceData!$Y$14),"")</f>
        <v>7.6312154699999999</v>
      </c>
      <c r="Z14">
        <f ca="1">IFERROR(IF(0=LEN(ReferenceData!$Z$14),"",ReferenceData!$Z$14),"")</f>
        <v>10.330405689999999</v>
      </c>
      <c r="AA14">
        <f ca="1">IFERROR(IF(0=LEN(ReferenceData!$AA$14),"",ReferenceData!$AA$14),"")</f>
        <v>14.873417720000001</v>
      </c>
      <c r="AB14">
        <f ca="1">IFERROR(IF(0=LEN(ReferenceData!$AB$14),"",ReferenceData!$AB$14),"")</f>
        <v>8.425720621</v>
      </c>
      <c r="AC14">
        <f ca="1">IFERROR(IF(0=LEN(ReferenceData!$AC$14),"",ReferenceData!$AC$14),"")</f>
        <v>9.4055944060000005</v>
      </c>
      <c r="AD14">
        <f ca="1">IFERROR(IF(0=LEN(ReferenceData!$AD$14),"",ReferenceData!$AD$14),"")</f>
        <v>8.5013440859999996</v>
      </c>
      <c r="AE14">
        <f ca="1">IFERROR(IF(0=LEN(ReferenceData!$AE$14),"",ReferenceData!$AE$14),"")</f>
        <v>2.8891946239999999</v>
      </c>
      <c r="AF14">
        <f ca="1">IFERROR(IF(0=LEN(ReferenceData!$AF$14),"",ReferenceData!$AF$14),"")</f>
        <v>2.9734558450000002</v>
      </c>
      <c r="AG14">
        <f ca="1">IFERROR(IF(0=LEN(ReferenceData!$AG$14),"",ReferenceData!$AG$14),"")</f>
        <v>3.1666247799999998</v>
      </c>
      <c r="AH14">
        <f ca="1">IFERROR(IF(0=LEN(ReferenceData!$AH$14),"",ReferenceData!$AH$14),"")</f>
        <v>3.0508474579999998</v>
      </c>
      <c r="AI14">
        <f ca="1">IFERROR(IF(0=LEN(ReferenceData!$AI$14),"",ReferenceData!$AI$14),"")</f>
        <v>11.35225376</v>
      </c>
      <c r="AJ14">
        <f ca="1">IFERROR(IF(0=LEN(ReferenceData!$AJ$14),"",ReferenceData!$AJ$14),"")</f>
        <v>8.9048106449999995</v>
      </c>
      <c r="AK14">
        <f ca="1">IFERROR(IF(0=LEN(ReferenceData!$AK$14),"",ReferenceData!$AK$14),"")</f>
        <v>10.81467365</v>
      </c>
      <c r="AL14">
        <f ca="1">IFERROR(IF(0=LEN(ReferenceData!$AL$14),"",ReferenceData!$AL$14),"")</f>
        <v>9.4108019639999991</v>
      </c>
      <c r="AM14">
        <f ca="1">IFERROR(IF(0=LEN(ReferenceData!$AM$14),"",ReferenceData!$AM$14),"")</f>
        <v>5.6891495599999997</v>
      </c>
      <c r="AN14">
        <f ca="1">IFERROR(IF(0=LEN(ReferenceData!$AN$14),"",ReferenceData!$AN$14),"")</f>
        <v>3.701510216</v>
      </c>
      <c r="AO14">
        <f ca="1">IFERROR(IF(0=LEN(ReferenceData!$AO$14),"",ReferenceData!$AO$14),"")</f>
        <v>3.4528552459999999</v>
      </c>
      <c r="AP14">
        <f ca="1">IFERROR(IF(0=LEN(ReferenceData!$AP$14),"",ReferenceData!$AP$14),"")</f>
        <v>4.7482603360000004</v>
      </c>
      <c r="AQ14">
        <f ca="1">IFERROR(IF(0=LEN(ReferenceData!$AQ$14),"",ReferenceData!$AQ$14),"")</f>
        <v>15.16516517</v>
      </c>
      <c r="AR14">
        <f ca="1">IFERROR(IF(0=LEN(ReferenceData!$AR$14),"",ReferenceData!$AR$14),"")</f>
        <v>22.83464567</v>
      </c>
      <c r="AS14">
        <f ca="1">IFERROR(IF(0=LEN(ReferenceData!$AS$14),"",ReferenceData!$AS$14),"")</f>
        <v>12.91925466</v>
      </c>
      <c r="AT14">
        <f ca="1">IFERROR(IF(0=LEN(ReferenceData!$AT$14),"",ReferenceData!$AT$14),"")</f>
        <v>1.038374718</v>
      </c>
      <c r="AU14">
        <f ca="1">IFERROR(IF(0=LEN(ReferenceData!$AU$14),"",ReferenceData!$AU$14),"")</f>
        <v>0.97171960899999998</v>
      </c>
      <c r="AV14">
        <f ca="1">IFERROR(IF(0=LEN(ReferenceData!$AV$14),"",ReferenceData!$AV$14),"")</f>
        <v>1.0098128710000001</v>
      </c>
      <c r="AW14">
        <f ca="1">IFERROR(IF(0=LEN(ReferenceData!$AW$14),"",ReferenceData!$AW$14),"")</f>
        <v>1.1179690229999999</v>
      </c>
      <c r="AX14">
        <f ca="1">IFERROR(IF(0=LEN(ReferenceData!$AX$14),"",ReferenceData!$AX$14),"")</f>
        <v>4.3853591160000001</v>
      </c>
      <c r="AY14">
        <f ca="1">IFERROR(IF(0=LEN(ReferenceData!$AY$14),"",ReferenceData!$AY$14),"")</f>
        <v>5.9217877090000002</v>
      </c>
      <c r="AZ14">
        <f ca="1">IFERROR(IF(0=LEN(ReferenceData!$AZ$14),"",ReferenceData!$AZ$14),"")</f>
        <v>13.061224490000001</v>
      </c>
      <c r="BA14">
        <f ca="1">IFERROR(IF(0=LEN(ReferenceData!$BA$14),"",ReferenceData!$BA$14),"")</f>
        <v>14.64</v>
      </c>
      <c r="BB14">
        <f ca="1">IFERROR(IF(0=LEN(ReferenceData!$BB$14),"",ReferenceData!$BB$14),"")</f>
        <v>20.591341079999999</v>
      </c>
      <c r="BC14" t="str">
        <f ca="1">IFERROR(IF(0=LEN(ReferenceData!$BC$14),"",ReferenceData!$BC$14),"")</f>
        <v/>
      </c>
      <c r="BD14" t="str">
        <f ca="1">IFERROR(IF(0=LEN(ReferenceData!$BD$14),"",ReferenceData!$BD$14),"")</f>
        <v/>
      </c>
      <c r="BE14" t="str">
        <f ca="1">IFERROR(IF(0=LEN(ReferenceData!$BE$14),"",ReferenceData!$BE$14),"")</f>
        <v/>
      </c>
      <c r="BF14" t="str">
        <f ca="1">IFERROR(IF(0=LEN(ReferenceData!$BF$14),"",ReferenceData!$BF$14),"")</f>
        <v/>
      </c>
      <c r="BG14">
        <f ca="1">IFERROR(IF(0=LEN(ReferenceData!$BG$14),"",ReferenceData!$BG$14),"")</f>
        <v>10.3004292</v>
      </c>
      <c r="BH14">
        <f ca="1">IFERROR(IF(0=LEN(ReferenceData!$BH$14),"",ReferenceData!$BH$14),"")</f>
        <v>13.47639487</v>
      </c>
      <c r="BI14">
        <f ca="1">IFERROR(IF(0=LEN(ReferenceData!$BI$14),"",ReferenceData!$BI$14),"")</f>
        <v>9.8327759550000007</v>
      </c>
      <c r="BJ14">
        <f ca="1">IFERROR(IF(0=LEN(ReferenceData!$BJ$14),"",ReferenceData!$BJ$14),"")</f>
        <v>12.827586159999999</v>
      </c>
      <c r="BK14">
        <f ca="1">IFERROR(IF(0=LEN(ReferenceData!$BK$14),"",ReferenceData!$BK$14),"")</f>
        <v>8.0811807959999999</v>
      </c>
      <c r="BL14">
        <f ca="1">IFERROR(IF(0=LEN(ReferenceData!$BL$14),"",ReferenceData!$BL$14),"")</f>
        <v>8.0459769879999996</v>
      </c>
      <c r="BM14">
        <f ca="1">IFERROR(IF(0=LEN(ReferenceData!$BM$14),"",ReferenceData!$BM$14),"")</f>
        <v>6.8859648839999998</v>
      </c>
    </row>
    <row r="15" spans="1:65" x14ac:dyDescent="0.25">
      <c r="A15" t="str">
        <f>IFERROR(IF(0=LEN(ReferenceData!$A$15),"",ReferenceData!$A$15),"")</f>
        <v xml:space="preserve">    FAW CAR Co Ltd</v>
      </c>
      <c r="B15" t="str">
        <f>IFERROR(IF(0=LEN(ReferenceData!$B$15),"",ReferenceData!$B$15),"")</f>
        <v>000800 CH Equity</v>
      </c>
      <c r="C15" t="str">
        <f>IFERROR(IF(0=LEN(ReferenceData!$C$15),"",ReferenceData!$C$15),"")</f>
        <v>RR900</v>
      </c>
      <c r="D15" t="str">
        <f>IFERROR(IF(0=LEN(ReferenceData!$D$15),"",ReferenceData!$D$15),"")</f>
        <v>PE_RATIO</v>
      </c>
      <c r="E15" t="str">
        <f>IFERROR(IF(0=LEN(ReferenceData!$E$15),"",ReferenceData!$E$15),"")</f>
        <v>Dynamic</v>
      </c>
      <c r="F15">
        <f ca="1">IFERROR(IF(0=LEN(ReferenceData!$F$15),"",ReferenceData!$F$15),"")</f>
        <v>104.69774219999999</v>
      </c>
      <c r="G15">
        <f ca="1">IFERROR(IF(0=LEN(ReferenceData!$G$15),"",ReferenceData!$G$15),"")</f>
        <v>86.099261260000006</v>
      </c>
      <c r="H15">
        <f ca="1">IFERROR(IF(0=LEN(ReferenceData!$H$15),"",ReferenceData!$H$15),"")</f>
        <v>85.709083340000007</v>
      </c>
      <c r="I15">
        <f ca="1">IFERROR(IF(0=LEN(ReferenceData!$I$15),"",ReferenceData!$I$15),"")</f>
        <v>132.65233739999999</v>
      </c>
      <c r="J15">
        <f ca="1">IFERROR(IF(0=LEN(ReferenceData!$J$15),"",ReferenceData!$J$15),"")</f>
        <v>96.621103189999999</v>
      </c>
      <c r="K15">
        <f ca="1">IFERROR(IF(0=LEN(ReferenceData!$K$15),"",ReferenceData!$K$15),"")</f>
        <v>62.244384410000002</v>
      </c>
      <c r="L15">
        <f ca="1">IFERROR(IF(0=LEN(ReferenceData!$L$15),"",ReferenceData!$L$15),"")</f>
        <v>424.59962350000001</v>
      </c>
      <c r="M15">
        <f ca="1">IFERROR(IF(0=LEN(ReferenceData!$M$15),"",ReferenceData!$M$15),"")</f>
        <v>116.3522372</v>
      </c>
      <c r="N15" t="str">
        <f ca="1">IFERROR(IF(0=LEN(ReferenceData!$N$15),"",ReferenceData!$N$15),"")</f>
        <v/>
      </c>
      <c r="O15" t="str">
        <f ca="1">IFERROR(IF(0=LEN(ReferenceData!$O$15),"",ReferenceData!$O$15),"")</f>
        <v/>
      </c>
      <c r="P15" t="str">
        <f ca="1">IFERROR(IF(0=LEN(ReferenceData!$P$15),"",ReferenceData!$P$15),"")</f>
        <v/>
      </c>
      <c r="Q15" t="str">
        <f ca="1">IFERROR(IF(0=LEN(ReferenceData!$Q$15),"",ReferenceData!$Q$15),"")</f>
        <v/>
      </c>
      <c r="R15">
        <f ca="1">IFERROR(IF(0=LEN(ReferenceData!$R$15),"",ReferenceData!$R$15),"")</f>
        <v>482.22229770000001</v>
      </c>
      <c r="S15">
        <f ca="1">IFERROR(IF(0=LEN(ReferenceData!$S$15),"",ReferenceData!$S$15),"")</f>
        <v>555.91401499999995</v>
      </c>
      <c r="T15" t="str">
        <f ca="1">IFERROR(IF(0=LEN(ReferenceData!$T$15),"",ReferenceData!$T$15),"")</f>
        <v/>
      </c>
      <c r="U15">
        <f ca="1">IFERROR(IF(0=LEN(ReferenceData!$U$15),"",ReferenceData!$U$15),"")</f>
        <v>1827.906614</v>
      </c>
      <c r="V15">
        <f ca="1">IFERROR(IF(0=LEN(ReferenceData!$V$15),"",ReferenceData!$V$15),"")</f>
        <v>1530.413055</v>
      </c>
      <c r="W15">
        <f ca="1">IFERROR(IF(0=LEN(ReferenceData!$W$15),"",ReferenceData!$W$15),"")</f>
        <v>164.01789679999999</v>
      </c>
      <c r="X15">
        <f ca="1">IFERROR(IF(0=LEN(ReferenceData!$X$15),"",ReferenceData!$X$15),"")</f>
        <v>38.04275183</v>
      </c>
      <c r="Y15">
        <f ca="1">IFERROR(IF(0=LEN(ReferenceData!$Y$15),"",ReferenceData!$Y$15),"")</f>
        <v>22.452096350000001</v>
      </c>
      <c r="Z15">
        <f ca="1">IFERROR(IF(0=LEN(ReferenceData!$Z$15),"",ReferenceData!$Z$15),"")</f>
        <v>17.942955609999999</v>
      </c>
      <c r="AA15">
        <f ca="1">IFERROR(IF(0=LEN(ReferenceData!$AA$15),"",ReferenceData!$AA$15),"")</f>
        <v>19.23092462</v>
      </c>
      <c r="AB15">
        <f ca="1">IFERROR(IF(0=LEN(ReferenceData!$AB$15),"",ReferenceData!$AB$15),"")</f>
        <v>64.837978340000006</v>
      </c>
      <c r="AC15" t="str">
        <f ca="1">IFERROR(IF(0=LEN(ReferenceData!$AC$15),"",ReferenceData!$AC$15),"")</f>
        <v/>
      </c>
      <c r="AD15" t="str">
        <f ca="1">IFERROR(IF(0=LEN(ReferenceData!$AD$15),"",ReferenceData!$AD$15),"")</f>
        <v/>
      </c>
      <c r="AE15" t="str">
        <f ca="1">IFERROR(IF(0=LEN(ReferenceData!$AE$15),"",ReferenceData!$AE$15),"")</f>
        <v/>
      </c>
      <c r="AF15" t="str">
        <f ca="1">IFERROR(IF(0=LEN(ReferenceData!$AF$15),"",ReferenceData!$AF$15),"")</f>
        <v/>
      </c>
      <c r="AG15" t="str">
        <f ca="1">IFERROR(IF(0=LEN(ReferenceData!$AG$15),"",ReferenceData!$AG$15),"")</f>
        <v/>
      </c>
      <c r="AH15">
        <f ca="1">IFERROR(IF(0=LEN(ReferenceData!$AH$15),"",ReferenceData!$AH$15),"")</f>
        <v>77.716514759999995</v>
      </c>
      <c r="AI15">
        <f ca="1">IFERROR(IF(0=LEN(ReferenceData!$AI$15),"",ReferenceData!$AI$15),"")</f>
        <v>66.389107690000003</v>
      </c>
      <c r="AJ15">
        <f ca="1">IFERROR(IF(0=LEN(ReferenceData!$AJ$15),"",ReferenceData!$AJ$15),"")</f>
        <v>22.91652895</v>
      </c>
      <c r="AK15">
        <f ca="1">IFERROR(IF(0=LEN(ReferenceData!$AK$15),"",ReferenceData!$AK$15),"")</f>
        <v>17.572533239999999</v>
      </c>
      <c r="AL15">
        <f ca="1">IFERROR(IF(0=LEN(ReferenceData!$AL$15),"",ReferenceData!$AL$15),"")</f>
        <v>17.761706820000001</v>
      </c>
      <c r="AM15">
        <f ca="1">IFERROR(IF(0=LEN(ReferenceData!$AM$15),"",ReferenceData!$AM$15),"")</f>
        <v>14.16293106</v>
      </c>
      <c r="AN15">
        <f ca="1">IFERROR(IF(0=LEN(ReferenceData!$AN$15),"",ReferenceData!$AN$15),"")</f>
        <v>11.99486875</v>
      </c>
      <c r="AO15">
        <f ca="1">IFERROR(IF(0=LEN(ReferenceData!$AO$15),"",ReferenceData!$AO$15),"")</f>
        <v>10.16136515</v>
      </c>
      <c r="AP15">
        <f ca="1">IFERROR(IF(0=LEN(ReferenceData!$AP$15),"",ReferenceData!$AP$15),"")</f>
        <v>17.214040910000001</v>
      </c>
      <c r="AQ15">
        <f ca="1">IFERROR(IF(0=LEN(ReferenceData!$AQ$15),"",ReferenceData!$AQ$15),"")</f>
        <v>25.928937569999999</v>
      </c>
      <c r="AR15">
        <f ca="1">IFERROR(IF(0=LEN(ReferenceData!$AR$15),"",ReferenceData!$AR$15),"")</f>
        <v>24.387554470000001</v>
      </c>
      <c r="AS15">
        <f ca="1">IFERROR(IF(0=LEN(ReferenceData!$AS$15),"",ReferenceData!$AS$15),"")</f>
        <v>22.500499120000001</v>
      </c>
      <c r="AT15">
        <f ca="1">IFERROR(IF(0=LEN(ReferenceData!$AT$15),"",ReferenceData!$AT$15),"")</f>
        <v>19.497854759999999</v>
      </c>
      <c r="AU15">
        <f ca="1">IFERROR(IF(0=LEN(ReferenceData!$AU$15),"",ReferenceData!$AU$15),"")</f>
        <v>10.74689418</v>
      </c>
      <c r="AV15">
        <f ca="1">IFERROR(IF(0=LEN(ReferenceData!$AV$15),"",ReferenceData!$AV$15),"")</f>
        <v>12.296564200000001</v>
      </c>
      <c r="AW15">
        <f ca="1">IFERROR(IF(0=LEN(ReferenceData!$AW$15),"",ReferenceData!$AW$15),"")</f>
        <v>14.140694570000001</v>
      </c>
      <c r="AX15">
        <f ca="1">IFERROR(IF(0=LEN(ReferenceData!$AX$15),"",ReferenceData!$AX$15),"")</f>
        <v>27.05786471</v>
      </c>
      <c r="AY15">
        <f ca="1">IFERROR(IF(0=LEN(ReferenceData!$AY$15),"",ReferenceData!$AY$15),"")</f>
        <v>54.696449029999997</v>
      </c>
      <c r="AZ15">
        <f ca="1">IFERROR(IF(0=LEN(ReferenceData!$AZ$15),"",ReferenceData!$AZ$15),"")</f>
        <v>67.533688499999997</v>
      </c>
      <c r="BA15">
        <f ca="1">IFERROR(IF(0=LEN(ReferenceData!$BA$15),"",ReferenceData!$BA$15),"")</f>
        <v>76.491228739999997</v>
      </c>
      <c r="BB15">
        <f ca="1">IFERROR(IF(0=LEN(ReferenceData!$BB$15),"",ReferenceData!$BB$15),"")</f>
        <v>53.176470979999998</v>
      </c>
      <c r="BC15">
        <f ca="1">IFERROR(IF(0=LEN(ReferenceData!$BC$15),"",ReferenceData!$BC$15),"")</f>
        <v>23.70588253</v>
      </c>
      <c r="BD15">
        <f ca="1">IFERROR(IF(0=LEN(ReferenceData!$BD$15),"",ReferenceData!$BD$15),"")</f>
        <v>12.47484916</v>
      </c>
      <c r="BE15">
        <f ca="1">IFERROR(IF(0=LEN(ReferenceData!$BE$15),"",ReferenceData!$BE$15),"")</f>
        <v>13.749031560000001</v>
      </c>
      <c r="BF15">
        <f ca="1">IFERROR(IF(0=LEN(ReferenceData!$BF$15),"",ReferenceData!$BF$15),"")</f>
        <v>16.394230440000001</v>
      </c>
      <c r="BG15">
        <f ca="1">IFERROR(IF(0=LEN(ReferenceData!$BG$15),"",ReferenceData!$BG$15),"")</f>
        <v>14.9999997</v>
      </c>
      <c r="BH15">
        <f ca="1">IFERROR(IF(0=LEN(ReferenceData!$BH$15),"",ReferenceData!$BH$15),"")</f>
        <v>40.428569039999999</v>
      </c>
      <c r="BI15">
        <f ca="1">IFERROR(IF(0=LEN(ReferenceData!$BI$15),"",ReferenceData!$BI$15),"")</f>
        <v>35.526314149999997</v>
      </c>
      <c r="BJ15">
        <f ca="1">IFERROR(IF(0=LEN(ReferenceData!$BJ$15),"",ReferenceData!$BJ$15),"")</f>
        <v>32.6</v>
      </c>
      <c r="BK15">
        <f ca="1">IFERROR(IF(0=LEN(ReferenceData!$BK$15),"",ReferenceData!$BK$15),"")</f>
        <v>19.010416710000001</v>
      </c>
      <c r="BL15">
        <f ca="1">IFERROR(IF(0=LEN(ReferenceData!$BL$15),"",ReferenceData!$BL$15),"")</f>
        <v>18.048519420000002</v>
      </c>
      <c r="BM15">
        <f ca="1">IFERROR(IF(0=LEN(ReferenceData!$BM$15),"",ReferenceData!$BM$15),"")</f>
        <v>16.231552749999999</v>
      </c>
    </row>
    <row r="16" spans="1:65" x14ac:dyDescent="0.25">
      <c r="A16" t="str">
        <f>IFERROR(IF(0=LEN(ReferenceData!$A$16),"",ReferenceData!$A$16),"")</f>
        <v xml:space="preserve">    Fiat Chrysler Automobiles NV</v>
      </c>
      <c r="B16" t="str">
        <f>IFERROR(IF(0=LEN(ReferenceData!$B$16),"",ReferenceData!$B$16),"")</f>
        <v>FCAU US Equity</v>
      </c>
      <c r="C16" t="str">
        <f>IFERROR(IF(0=LEN(ReferenceData!$C$16),"",ReferenceData!$C$16),"")</f>
        <v>RR900</v>
      </c>
      <c r="D16" t="str">
        <f>IFERROR(IF(0=LEN(ReferenceData!$D$16),"",ReferenceData!$D$16),"")</f>
        <v>PE_RATIO</v>
      </c>
      <c r="E16" t="str">
        <f>IFERROR(IF(0=LEN(ReferenceData!$E$16),"",ReferenceData!$E$16),"")</f>
        <v>Dynamic</v>
      </c>
      <c r="F16">
        <f ca="1">IFERROR(IF(0=LEN(ReferenceData!$F$16),"",ReferenceData!$F$16),"")</f>
        <v>4.732869837</v>
      </c>
      <c r="G16">
        <f ca="1">IFERROR(IF(0=LEN(ReferenceData!$G$16),"",ReferenceData!$G$16),"")</f>
        <v>4.5331409870000003</v>
      </c>
      <c r="H16">
        <f ca="1">IFERROR(IF(0=LEN(ReferenceData!$H$16),"",ReferenceData!$H$16),"")</f>
        <v>5.3992435260000002</v>
      </c>
      <c r="I16">
        <f ca="1">IFERROR(IF(0=LEN(ReferenceData!$I$16),"",ReferenceData!$I$16),"")</f>
        <v>6.5113301689999998</v>
      </c>
      <c r="J16">
        <f ca="1">IFERROR(IF(0=LEN(ReferenceData!$J$16),"",ReferenceData!$J$16),"")</f>
        <v>6.5100788520000004</v>
      </c>
      <c r="K16">
        <f ca="1">IFERROR(IF(0=LEN(ReferenceData!$K$16),"",ReferenceData!$K$16),"")</f>
        <v>6.3512746189999998</v>
      </c>
      <c r="L16">
        <f ca="1">IFERROR(IF(0=LEN(ReferenceData!$L$16),"",ReferenceData!$L$16),"")</f>
        <v>7.3575857539999996</v>
      </c>
      <c r="M16">
        <f ca="1">IFERROR(IF(0=LEN(ReferenceData!$M$16),"",ReferenceData!$M$16),"")</f>
        <v>4.6677035059999996</v>
      </c>
      <c r="N16">
        <f ca="1">IFERROR(IF(0=LEN(ReferenceData!$N$16),"",ReferenceData!$N$16),"")</f>
        <v>5.8402182490000003</v>
      </c>
      <c r="O16">
        <f ca="1">IFERROR(IF(0=LEN(ReferenceData!$O$16),"",ReferenceData!$O$16),"")</f>
        <v>5.2172821340000004</v>
      </c>
      <c r="P16">
        <f ca="1">IFERROR(IF(0=LEN(ReferenceData!$P$16),"",ReferenceData!$P$16),"")</f>
        <v>2.9842524730000002</v>
      </c>
      <c r="Q16">
        <f ca="1">IFERROR(IF(0=LEN(ReferenceData!$Q$16),"",ReferenceData!$Q$16),"")</f>
        <v>3.524593565</v>
      </c>
      <c r="R16">
        <f ca="1">IFERROR(IF(0=LEN(ReferenceData!$R$16),"",ReferenceData!$R$16),"")</f>
        <v>5.2366044230000002</v>
      </c>
      <c r="S16">
        <f ca="1">IFERROR(IF(0=LEN(ReferenceData!$S$16),"",ReferenceData!$S$16),"")</f>
        <v>8.2618172029999997</v>
      </c>
      <c r="T16">
        <f ca="1">IFERROR(IF(0=LEN(ReferenceData!$T$16),"",ReferenceData!$T$16),"")</f>
        <v>14.12647177</v>
      </c>
      <c r="U16">
        <f ca="1">IFERROR(IF(0=LEN(ReferenceData!$U$16),"",ReferenceData!$U$16),"")</f>
        <v>15.00204847</v>
      </c>
      <c r="V16">
        <f ca="1">IFERROR(IF(0=LEN(ReferenceData!$V$16),"",ReferenceData!$V$16),"")</f>
        <v>20.658773109999998</v>
      </c>
      <c r="W16">
        <f ca="1">IFERROR(IF(0=LEN(ReferenceData!$W$16),"",ReferenceData!$W$16),"")</f>
        <v>13.626418449999999</v>
      </c>
      <c r="X16" t="str">
        <f ca="1">IFERROR(IF(0=LEN(ReferenceData!$X$16),"",ReferenceData!$X$16),"")</f>
        <v/>
      </c>
      <c r="Y16" t="str">
        <f ca="1">IFERROR(IF(0=LEN(ReferenceData!$Y$16),"",ReferenceData!$Y$16),"")</f>
        <v/>
      </c>
      <c r="Z16" t="str">
        <f ca="1">IFERROR(IF(0=LEN(ReferenceData!$Z$16),"",ReferenceData!$Z$16),"")</f>
        <v/>
      </c>
      <c r="AA16" t="str">
        <f ca="1">IFERROR(IF(0=LEN(ReferenceData!$AA$16),"",ReferenceData!$AA$16),"")</f>
        <v/>
      </c>
      <c r="AB16" t="str">
        <f ca="1">IFERROR(IF(0=LEN(ReferenceData!$AB$16),"",ReferenceData!$AB$16),"")</f>
        <v/>
      </c>
      <c r="AC16" t="str">
        <f ca="1">IFERROR(IF(0=LEN(ReferenceData!$AC$16),"",ReferenceData!$AC$16),"")</f>
        <v/>
      </c>
      <c r="AD16" t="str">
        <f ca="1">IFERROR(IF(0=LEN(ReferenceData!$AD$16),"",ReferenceData!$AD$16),"")</f>
        <v/>
      </c>
      <c r="AE16" t="str">
        <f ca="1">IFERROR(IF(0=LEN(ReferenceData!$AE$16),"",ReferenceData!$AE$16),"")</f>
        <v/>
      </c>
      <c r="AF16" t="str">
        <f ca="1">IFERROR(IF(0=LEN(ReferenceData!$AF$16),"",ReferenceData!$AF$16),"")</f>
        <v/>
      </c>
      <c r="AG16" t="str">
        <f ca="1">IFERROR(IF(0=LEN(ReferenceData!$AG$16),"",ReferenceData!$AG$16),"")</f>
        <v/>
      </c>
      <c r="AH16" t="str">
        <f ca="1">IFERROR(IF(0=LEN(ReferenceData!$AH$16),"",ReferenceData!$AH$16),"")</f>
        <v/>
      </c>
      <c r="AI16" t="str">
        <f ca="1">IFERROR(IF(0=LEN(ReferenceData!$AI$16),"",ReferenceData!$AI$16),"")</f>
        <v/>
      </c>
      <c r="AJ16" t="str">
        <f ca="1">IFERROR(IF(0=LEN(ReferenceData!$AJ$16),"",ReferenceData!$AJ$16),"")</f>
        <v/>
      </c>
      <c r="AK16" t="str">
        <f ca="1">IFERROR(IF(0=LEN(ReferenceData!$AK$16),"",ReferenceData!$AK$16),"")</f>
        <v/>
      </c>
      <c r="AL16" t="str">
        <f ca="1">IFERROR(IF(0=LEN(ReferenceData!$AL$16),"",ReferenceData!$AL$16),"")</f>
        <v/>
      </c>
      <c r="AM16" t="str">
        <f ca="1">IFERROR(IF(0=LEN(ReferenceData!$AM$16),"",ReferenceData!$AM$16),"")</f>
        <v/>
      </c>
      <c r="AN16" t="str">
        <f ca="1">IFERROR(IF(0=LEN(ReferenceData!$AN$16),"",ReferenceData!$AN$16),"")</f>
        <v/>
      </c>
      <c r="AO16" t="str">
        <f ca="1">IFERROR(IF(0=LEN(ReferenceData!$AO$16),"",ReferenceData!$AO$16),"")</f>
        <v/>
      </c>
      <c r="AP16" t="str">
        <f ca="1">IFERROR(IF(0=LEN(ReferenceData!$AP$16),"",ReferenceData!$AP$16),"")</f>
        <v/>
      </c>
      <c r="AQ16" t="str">
        <f ca="1">IFERROR(IF(0=LEN(ReferenceData!$AQ$16),"",ReferenceData!$AQ$16),"")</f>
        <v/>
      </c>
      <c r="AR16" t="str">
        <f ca="1">IFERROR(IF(0=LEN(ReferenceData!$AR$16),"",ReferenceData!$AR$16),"")</f>
        <v/>
      </c>
      <c r="AS16" t="str">
        <f ca="1">IFERROR(IF(0=LEN(ReferenceData!$AS$16),"",ReferenceData!$AS$16),"")</f>
        <v/>
      </c>
      <c r="AT16" t="str">
        <f ca="1">IFERROR(IF(0=LEN(ReferenceData!$AT$16),"",ReferenceData!$AT$16),"")</f>
        <v/>
      </c>
      <c r="AU16" t="str">
        <f ca="1">IFERROR(IF(0=LEN(ReferenceData!$AU$16),"",ReferenceData!$AU$16),"")</f>
        <v/>
      </c>
      <c r="AV16" t="str">
        <f ca="1">IFERROR(IF(0=LEN(ReferenceData!$AV$16),"",ReferenceData!$AV$16),"")</f>
        <v/>
      </c>
      <c r="AW16" t="str">
        <f ca="1">IFERROR(IF(0=LEN(ReferenceData!$AW$16),"",ReferenceData!$AW$16),"")</f>
        <v/>
      </c>
      <c r="AX16" t="str">
        <f ca="1">IFERROR(IF(0=LEN(ReferenceData!$AX$16),"",ReferenceData!$AX$16),"")</f>
        <v/>
      </c>
      <c r="AY16" t="str">
        <f ca="1">IFERROR(IF(0=LEN(ReferenceData!$AY$16),"",ReferenceData!$AY$16),"")</f>
        <v/>
      </c>
      <c r="AZ16" t="str">
        <f ca="1">IFERROR(IF(0=LEN(ReferenceData!$AZ$16),"",ReferenceData!$AZ$16),"")</f>
        <v/>
      </c>
      <c r="BA16" t="str">
        <f ca="1">IFERROR(IF(0=LEN(ReferenceData!$BA$16),"",ReferenceData!$BA$16),"")</f>
        <v/>
      </c>
      <c r="BB16" t="str">
        <f ca="1">IFERROR(IF(0=LEN(ReferenceData!$BB$16),"",ReferenceData!$BB$16),"")</f>
        <v/>
      </c>
      <c r="BC16" t="str">
        <f ca="1">IFERROR(IF(0=LEN(ReferenceData!$BC$16),"",ReferenceData!$BC$16),"")</f>
        <v/>
      </c>
      <c r="BD16" t="str">
        <f ca="1">IFERROR(IF(0=LEN(ReferenceData!$BD$16),"",ReferenceData!$BD$16),"")</f>
        <v/>
      </c>
      <c r="BE16" t="str">
        <f ca="1">IFERROR(IF(0=LEN(ReferenceData!$BE$16),"",ReferenceData!$BE$16),"")</f>
        <v/>
      </c>
      <c r="BF16" t="str">
        <f ca="1">IFERROR(IF(0=LEN(ReferenceData!$BF$16),"",ReferenceData!$BF$16),"")</f>
        <v/>
      </c>
      <c r="BG16" t="str">
        <f ca="1">IFERROR(IF(0=LEN(ReferenceData!$BG$16),"",ReferenceData!$BG$16),"")</f>
        <v/>
      </c>
      <c r="BH16" t="str">
        <f ca="1">IFERROR(IF(0=LEN(ReferenceData!$BH$16),"",ReferenceData!$BH$16),"")</f>
        <v/>
      </c>
      <c r="BI16" t="str">
        <f ca="1">IFERROR(IF(0=LEN(ReferenceData!$BI$16),"",ReferenceData!$BI$16),"")</f>
        <v/>
      </c>
      <c r="BJ16" t="str">
        <f ca="1">IFERROR(IF(0=LEN(ReferenceData!$BJ$16),"",ReferenceData!$BJ$16),"")</f>
        <v/>
      </c>
      <c r="BK16" t="str">
        <f ca="1">IFERROR(IF(0=LEN(ReferenceData!$BK$16),"",ReferenceData!$BK$16),"")</f>
        <v/>
      </c>
      <c r="BL16" t="str">
        <f ca="1">IFERROR(IF(0=LEN(ReferenceData!$BL$16),"",ReferenceData!$BL$16),"")</f>
        <v/>
      </c>
      <c r="BM16" t="str">
        <f ca="1">IFERROR(IF(0=LEN(ReferenceData!$BM$16),"",ReferenceData!$BM$16),"")</f>
        <v/>
      </c>
    </row>
    <row r="17" spans="1:65" x14ac:dyDescent="0.25">
      <c r="A17" t="str">
        <f>IFERROR(IF(0=LEN(ReferenceData!$A$17),"",ReferenceData!$A$17),"")</f>
        <v xml:space="preserve">    Ford Motor Co</v>
      </c>
      <c r="B17" t="str">
        <f>IFERROR(IF(0=LEN(ReferenceData!$B$17),"",ReferenceData!$B$17),"")</f>
        <v>F US Equity</v>
      </c>
      <c r="C17" t="str">
        <f>IFERROR(IF(0=LEN(ReferenceData!$C$17),"",ReferenceData!$C$17),"")</f>
        <v>RR900</v>
      </c>
      <c r="D17" t="str">
        <f>IFERROR(IF(0=LEN(ReferenceData!$D$17),"",ReferenceData!$D$17),"")</f>
        <v>PE_RATIO</v>
      </c>
      <c r="E17" t="str">
        <f>IFERROR(IF(0=LEN(ReferenceData!$E$17),"",ReferenceData!$E$17),"")</f>
        <v>Dynamic</v>
      </c>
      <c r="F17">
        <f ca="1">IFERROR(IF(0=LEN(ReferenceData!$F$17),"",ReferenceData!$F$17),"")</f>
        <v>6.8744524509999998</v>
      </c>
      <c r="G17">
        <f ca="1">IFERROR(IF(0=LEN(ReferenceData!$G$17),"",ReferenceData!$G$17),"")</f>
        <v>6.0378371130000001</v>
      </c>
      <c r="H17">
        <f ca="1">IFERROR(IF(0=LEN(ReferenceData!$H$17),"",ReferenceData!$H$17),"")</f>
        <v>7.257981622</v>
      </c>
      <c r="I17">
        <f ca="1">IFERROR(IF(0=LEN(ReferenceData!$I$17),"",ReferenceData!$I$17),"")</f>
        <v>7.9024578290000003</v>
      </c>
      <c r="J17">
        <f ca="1">IFERROR(IF(0=LEN(ReferenceData!$J$17),"",ReferenceData!$J$17),"")</f>
        <v>6.5755037559999998</v>
      </c>
      <c r="K17">
        <f ca="1">IFERROR(IF(0=LEN(ReferenceData!$K$17),"",ReferenceData!$K$17),"")</f>
        <v>7.5787133420000004</v>
      </c>
      <c r="L17">
        <f ca="1">IFERROR(IF(0=LEN(ReferenceData!$L$17),"",ReferenceData!$L$17),"")</f>
        <v>7.3857339949999998</v>
      </c>
      <c r="M17">
        <f ca="1">IFERROR(IF(0=LEN(ReferenceData!$M$17),"",ReferenceData!$M$17),"")</f>
        <v>7.7442554790000004</v>
      </c>
      <c r="N17">
        <f ca="1">IFERROR(IF(0=LEN(ReferenceData!$N$17),"",ReferenceData!$N$17),"")</f>
        <v>8.2829171240000008</v>
      </c>
      <c r="O17">
        <f ca="1">IFERROR(IF(0=LEN(ReferenceData!$O$17),"",ReferenceData!$O$17),"")</f>
        <v>7.3622998050000001</v>
      </c>
      <c r="P17">
        <f ca="1">IFERROR(IF(0=LEN(ReferenceData!$P$17),"",ReferenceData!$P$17),"")</f>
        <v>6.1746773770000001</v>
      </c>
      <c r="Q17">
        <f ca="1">IFERROR(IF(0=LEN(ReferenceData!$Q$17),"",ReferenceData!$Q$17),"")</f>
        <v>5.6184546339999999</v>
      </c>
      <c r="R17">
        <f ca="1">IFERROR(IF(0=LEN(ReferenceData!$R$17),"",ReferenceData!$R$17),"")</f>
        <v>5.9762173110000001</v>
      </c>
      <c r="S17">
        <f ca="1">IFERROR(IF(0=LEN(ReferenceData!$S$17),"",ReferenceData!$S$17),"")</f>
        <v>7.3968807109999997</v>
      </c>
      <c r="T17">
        <f ca="1">IFERROR(IF(0=LEN(ReferenceData!$T$17),"",ReferenceData!$T$17),"")</f>
        <v>6.9159007109999999</v>
      </c>
      <c r="U17">
        <f ca="1">IFERROR(IF(0=LEN(ReferenceData!$U$17),"",ReferenceData!$U$17),"")</f>
        <v>9.0965727560000005</v>
      </c>
      <c r="V17">
        <f ca="1">IFERROR(IF(0=LEN(ReferenceData!$V$17),"",ReferenceData!$V$17),"")</f>
        <v>10.77497722</v>
      </c>
      <c r="W17">
        <f ca="1">IFERROR(IF(0=LEN(ReferenceData!$W$17),"",ReferenceData!$W$17),"")</f>
        <v>10.58231402</v>
      </c>
      <c r="X17">
        <f ca="1">IFERROR(IF(0=LEN(ReferenceData!$X$17),"",ReferenceData!$X$17),"")</f>
        <v>9.2103567000000002</v>
      </c>
      <c r="Y17">
        <f ca="1">IFERROR(IF(0=LEN(ReferenceData!$Y$17),"",ReferenceData!$Y$17),"")</f>
        <v>10.082850150000001</v>
      </c>
      <c r="Z17">
        <f ca="1">IFERROR(IF(0=LEN(ReferenceData!$Z$17),"",ReferenceData!$Z$17),"")</f>
        <v>9.2312990750000008</v>
      </c>
      <c r="AA17">
        <f ca="1">IFERROR(IF(0=LEN(ReferenceData!$AA$17),"",ReferenceData!$AA$17),"")</f>
        <v>8.4141071259999993</v>
      </c>
      <c r="AB17">
        <f ca="1">IFERROR(IF(0=LEN(ReferenceData!$AB$17),"",ReferenceData!$AB$17),"")</f>
        <v>11.480329640000001</v>
      </c>
      <c r="AC17">
        <f ca="1">IFERROR(IF(0=LEN(ReferenceData!$AC$17),"",ReferenceData!$AC$17),"")</f>
        <v>10.345044339999999</v>
      </c>
      <c r="AD17">
        <f ca="1">IFERROR(IF(0=LEN(ReferenceData!$AD$17),"",ReferenceData!$AD$17),"")</f>
        <v>9.0417529590000001</v>
      </c>
      <c r="AE17">
        <f ca="1">IFERROR(IF(0=LEN(ReferenceData!$AE$17),"",ReferenceData!$AE$17),"")</f>
        <v>8.9814607389999992</v>
      </c>
      <c r="AF17">
        <f ca="1">IFERROR(IF(0=LEN(ReferenceData!$AF$17),"",ReferenceData!$AF$17),"")</f>
        <v>7.7657607139999998</v>
      </c>
      <c r="AG17">
        <f ca="1">IFERROR(IF(0=LEN(ReferenceData!$AG$17),"",ReferenceData!$AG$17),"")</f>
        <v>7.1335005999999996</v>
      </c>
      <c r="AH17">
        <f ca="1">IFERROR(IF(0=LEN(ReferenceData!$AH$17),"",ReferenceData!$AH$17),"")</f>
        <v>7.6880932849999999</v>
      </c>
      <c r="AI17">
        <f ca="1">IFERROR(IF(0=LEN(ReferenceData!$AI$17),"",ReferenceData!$AI$17),"")</f>
        <v>5.7728883489999996</v>
      </c>
      <c r="AJ17">
        <f ca="1">IFERROR(IF(0=LEN(ReferenceData!$AJ$17),"",ReferenceData!$AJ$17),"")</f>
        <v>4.7841019390000001</v>
      </c>
      <c r="AK17">
        <f ca="1">IFERROR(IF(0=LEN(ReferenceData!$AK$17),"",ReferenceData!$AK$17),"")</f>
        <v>6.7805844190000002</v>
      </c>
      <c r="AL17">
        <f ca="1">IFERROR(IF(0=LEN(ReferenceData!$AL$17),"",ReferenceData!$AL$17),"")</f>
        <v>7.2177105480000003</v>
      </c>
      <c r="AM17">
        <f ca="1">IFERROR(IF(0=LEN(ReferenceData!$AM$17),"",ReferenceData!$AM$17),"")</f>
        <v>8.7975033739999997</v>
      </c>
      <c r="AN17">
        <f ca="1">IFERROR(IF(0=LEN(ReferenceData!$AN$17),"",ReferenceData!$AN$17),"")</f>
        <v>5.7798145639999996</v>
      </c>
      <c r="AO17">
        <f ca="1">IFERROR(IF(0=LEN(ReferenceData!$AO$17),"",ReferenceData!$AO$17),"")</f>
        <v>5.2750095899999998</v>
      </c>
      <c r="AP17">
        <f ca="1">IFERROR(IF(0=LEN(ReferenceData!$AP$17),"",ReferenceData!$AP$17),"")</f>
        <v>12.37795601</v>
      </c>
      <c r="AQ17" t="str">
        <f ca="1">IFERROR(IF(0=LEN(ReferenceData!$AQ$17),"",ReferenceData!$AQ$17),"")</f>
        <v/>
      </c>
      <c r="AR17" t="str">
        <f ca="1">IFERROR(IF(0=LEN(ReferenceData!$AR$17),"",ReferenceData!$AR$17),"")</f>
        <v/>
      </c>
      <c r="AS17" t="str">
        <f ca="1">IFERROR(IF(0=LEN(ReferenceData!$AS$17),"",ReferenceData!$AS$17),"")</f>
        <v/>
      </c>
      <c r="AT17" t="str">
        <f ca="1">IFERROR(IF(0=LEN(ReferenceData!$AT$17),"",ReferenceData!$AT$17),"")</f>
        <v/>
      </c>
      <c r="AU17" t="str">
        <f ca="1">IFERROR(IF(0=LEN(ReferenceData!$AU$17),"",ReferenceData!$AU$17),"")</f>
        <v/>
      </c>
      <c r="AV17" t="str">
        <f ca="1">IFERROR(IF(0=LEN(ReferenceData!$AV$17),"",ReferenceData!$AV$17),"")</f>
        <v/>
      </c>
      <c r="AW17" t="str">
        <f ca="1">IFERROR(IF(0=LEN(ReferenceData!$AW$17),"",ReferenceData!$AW$17),"")</f>
        <v/>
      </c>
      <c r="AX17" t="str">
        <f ca="1">IFERROR(IF(0=LEN(ReferenceData!$AX$17),"",ReferenceData!$AX$17),"")</f>
        <v/>
      </c>
      <c r="AY17" t="str">
        <f ca="1">IFERROR(IF(0=LEN(ReferenceData!$AY$17),"",ReferenceData!$AY$17),"")</f>
        <v/>
      </c>
      <c r="AZ17" t="str">
        <f ca="1">IFERROR(IF(0=LEN(ReferenceData!$AZ$17),"",ReferenceData!$AZ$17),"")</f>
        <v/>
      </c>
      <c r="BA17" t="str">
        <f ca="1">IFERROR(IF(0=LEN(ReferenceData!$BA$17),"",ReferenceData!$BA$17),"")</f>
        <v/>
      </c>
      <c r="BB17" t="str">
        <f ca="1">IFERROR(IF(0=LEN(ReferenceData!$BB$17),"",ReferenceData!$BB$17),"")</f>
        <v/>
      </c>
      <c r="BC17" t="str">
        <f ca="1">IFERROR(IF(0=LEN(ReferenceData!$BC$17),"",ReferenceData!$BC$17),"")</f>
        <v/>
      </c>
      <c r="BD17">
        <f ca="1">IFERROR(IF(0=LEN(ReferenceData!$BD$17),"",ReferenceData!$BD$17),"")</f>
        <v>816</v>
      </c>
      <c r="BE17">
        <f ca="1">IFERROR(IF(0=LEN(ReferenceData!$BE$17),"",ReferenceData!$BE$17),"")</f>
        <v>693</v>
      </c>
      <c r="BF17">
        <f ca="1">IFERROR(IF(0=LEN(ReferenceData!$BF$17),"",ReferenceData!$BF$17),"")</f>
        <v>15.01886792</v>
      </c>
      <c r="BG17">
        <f ca="1">IFERROR(IF(0=LEN(ReferenceData!$BG$17),"",ReferenceData!$BG$17),"")</f>
        <v>7.9587628869999998</v>
      </c>
      <c r="BH17">
        <f ca="1">IFERROR(IF(0=LEN(ReferenceData!$BH$17),"",ReferenceData!$BH$17),"")</f>
        <v>10.164948450000001</v>
      </c>
      <c r="BI17">
        <f ca="1">IFERROR(IF(0=LEN(ReferenceData!$BI$17),"",ReferenceData!$BI$17),"")</f>
        <v>6.8724832210000004</v>
      </c>
      <c r="BJ17">
        <f ca="1">IFERROR(IF(0=LEN(ReferenceData!$BJ$17),"",ReferenceData!$BJ$17),"")</f>
        <v>6.9509202449999998</v>
      </c>
      <c r="BK17">
        <f ca="1">IFERROR(IF(0=LEN(ReferenceData!$BK$17),"",ReferenceData!$BK$17),"")</f>
        <v>6.9383886260000001</v>
      </c>
      <c r="BL17">
        <f ca="1">IFERROR(IF(0=LEN(ReferenceData!$BL$17),"",ReferenceData!$BL$17),"")</f>
        <v>5.5643564359999997</v>
      </c>
      <c r="BM17">
        <f ca="1">IFERROR(IF(0=LEN(ReferenceData!$BM$17),"",ReferenceData!$BM$17),"")</f>
        <v>6.5618448640000002</v>
      </c>
    </row>
    <row r="18" spans="1:65" x14ac:dyDescent="0.25">
      <c r="A18" t="str">
        <f>IFERROR(IF(0=LEN(ReferenceData!$A$18),"",ReferenceData!$A$18),"")</f>
        <v xml:space="preserve">    Ford Otomotiv Sanayi AS</v>
      </c>
      <c r="B18" t="str">
        <f>IFERROR(IF(0=LEN(ReferenceData!$B$18),"",ReferenceData!$B$18),"")</f>
        <v>FROTOTRY EO Equity</v>
      </c>
      <c r="C18" t="str">
        <f>IFERROR(IF(0=LEN(ReferenceData!$C$18),"",ReferenceData!$C$18),"")</f>
        <v>RR900</v>
      </c>
      <c r="D18" t="str">
        <f>IFERROR(IF(0=LEN(ReferenceData!$D$18),"",ReferenceData!$D$18),"")</f>
        <v>PE_RATIO</v>
      </c>
      <c r="E18" t="str">
        <f>IFERROR(IF(0=LEN(ReferenceData!$E$18),"",ReferenceData!$E$18),"")</f>
        <v>Dynamic</v>
      </c>
      <c r="F18">
        <f ca="1">IFERROR(IF(0=LEN(ReferenceData!$F$18),"",ReferenceData!$F$18),"")</f>
        <v>11.49758355</v>
      </c>
      <c r="G18">
        <f ca="1">IFERROR(IF(0=LEN(ReferenceData!$G$18),"",ReferenceData!$G$18),"")</f>
        <v>10.423919809999999</v>
      </c>
      <c r="H18">
        <f ca="1">IFERROR(IF(0=LEN(ReferenceData!$H$18),"",ReferenceData!$H$18),"")</f>
        <v>12.95381647</v>
      </c>
      <c r="I18">
        <f ca="1">IFERROR(IF(0=LEN(ReferenceData!$I$18),"",ReferenceData!$I$18),"")</f>
        <v>12.12159301</v>
      </c>
      <c r="J18">
        <f ca="1">IFERROR(IF(0=LEN(ReferenceData!$J$18),"",ReferenceData!$J$18),"")</f>
        <v>13.24967223</v>
      </c>
      <c r="K18">
        <f ca="1">IFERROR(IF(0=LEN(ReferenceData!$K$18),"",ReferenceData!$K$18),"")</f>
        <v>14.189645029999999</v>
      </c>
      <c r="L18">
        <f ca="1">IFERROR(IF(0=LEN(ReferenceData!$L$18),"",ReferenceData!$L$18),"")</f>
        <v>12.335889959999999</v>
      </c>
      <c r="M18">
        <f ca="1">IFERROR(IF(0=LEN(ReferenceData!$M$18),"",ReferenceData!$M$18),"")</f>
        <v>13.39862151</v>
      </c>
      <c r="N18">
        <f ca="1">IFERROR(IF(0=LEN(ReferenceData!$N$18),"",ReferenceData!$N$18),"")</f>
        <v>12.20978611</v>
      </c>
      <c r="O18">
        <f ca="1">IFERROR(IF(0=LEN(ReferenceData!$O$18),"",ReferenceData!$O$18),"")</f>
        <v>11.243461440000001</v>
      </c>
      <c r="P18">
        <f ca="1">IFERROR(IF(0=LEN(ReferenceData!$P$18),"",ReferenceData!$P$18),"")</f>
        <v>12.051137170000001</v>
      </c>
      <c r="Q18">
        <f ca="1">IFERROR(IF(0=LEN(ReferenceData!$Q$18),"",ReferenceData!$Q$18),"")</f>
        <v>11.946055530000001</v>
      </c>
      <c r="R18">
        <f ca="1">IFERROR(IF(0=LEN(ReferenceData!$R$18),"",ReferenceData!$R$18),"")</f>
        <v>15.99817374</v>
      </c>
      <c r="S18">
        <f ca="1">IFERROR(IF(0=LEN(ReferenceData!$S$18),"",ReferenceData!$S$18),"")</f>
        <v>12.608707239999999</v>
      </c>
      <c r="T18">
        <f ca="1">IFERROR(IF(0=LEN(ReferenceData!$T$18),"",ReferenceData!$T$18),"")</f>
        <v>16.73831813</v>
      </c>
      <c r="U18">
        <f ca="1">IFERROR(IF(0=LEN(ReferenceData!$U$18),"",ReferenceData!$U$18),"")</f>
        <v>19.381479129999999</v>
      </c>
      <c r="V18">
        <f ca="1">IFERROR(IF(0=LEN(ReferenceData!$V$18),"",ReferenceData!$V$18),"")</f>
        <v>18.851449370000001</v>
      </c>
      <c r="W18">
        <f ca="1">IFERROR(IF(0=LEN(ReferenceData!$W$18),"",ReferenceData!$W$18),"")</f>
        <v>19.15039342</v>
      </c>
      <c r="X18">
        <f ca="1">IFERROR(IF(0=LEN(ReferenceData!$X$18),"",ReferenceData!$X$18),"")</f>
        <v>15.230079</v>
      </c>
      <c r="Y18">
        <f ca="1">IFERROR(IF(0=LEN(ReferenceData!$Y$18),"",ReferenceData!$Y$18),"")</f>
        <v>16.531026659999998</v>
      </c>
      <c r="Z18">
        <f ca="1">IFERROR(IF(0=LEN(ReferenceData!$Z$18),"",ReferenceData!$Z$18),"")</f>
        <v>11.457804960000001</v>
      </c>
      <c r="AA18">
        <f ca="1">IFERROR(IF(0=LEN(ReferenceData!$AA$18),"",ReferenceData!$AA$18),"")</f>
        <v>12.424760320000001</v>
      </c>
      <c r="AB18">
        <f ca="1">IFERROR(IF(0=LEN(ReferenceData!$AB$18),"",ReferenceData!$AB$18),"")</f>
        <v>13.55148934</v>
      </c>
      <c r="AC18">
        <f ca="1">IFERROR(IF(0=LEN(ReferenceData!$AC$18),"",ReferenceData!$AC$18),"")</f>
        <v>11.867397390000001</v>
      </c>
      <c r="AD18">
        <f ca="1">IFERROR(IF(0=LEN(ReferenceData!$AD$18),"",ReferenceData!$AD$18),"")</f>
        <v>13.27320855</v>
      </c>
      <c r="AE18">
        <f ca="1">IFERROR(IF(0=LEN(ReferenceData!$AE$18),"",ReferenceData!$AE$18),"")</f>
        <v>10.96628905</v>
      </c>
      <c r="AF18">
        <f ca="1">IFERROR(IF(0=LEN(ReferenceData!$AF$18),"",ReferenceData!$AF$18),"")</f>
        <v>10.25341381</v>
      </c>
      <c r="AG18">
        <f ca="1">IFERROR(IF(0=LEN(ReferenceData!$AG$18),"",ReferenceData!$AG$18),"")</f>
        <v>8.6587858289999993</v>
      </c>
      <c r="AH18">
        <f ca="1">IFERROR(IF(0=LEN(ReferenceData!$AH$18),"",ReferenceData!$AH$18),"")</f>
        <v>8.5976161720000004</v>
      </c>
      <c r="AI18">
        <f ca="1">IFERROR(IF(0=LEN(ReferenceData!$AI$18),"",ReferenceData!$AI$18),"")</f>
        <v>8.0780134720000003</v>
      </c>
      <c r="AJ18">
        <f ca="1">IFERROR(IF(0=LEN(ReferenceData!$AJ$18),"",ReferenceData!$AJ$18),"")</f>
        <v>6.497344043</v>
      </c>
      <c r="AK18">
        <f ca="1">IFERROR(IF(0=LEN(ReferenceData!$AK$18),"",ReferenceData!$AK$18),"")</f>
        <v>7.6291501300000002</v>
      </c>
      <c r="AL18">
        <f ca="1">IFERROR(IF(0=LEN(ReferenceData!$AL$18),"",ReferenceData!$AL$18),"")</f>
        <v>8.9474575349999999</v>
      </c>
      <c r="AM18">
        <f ca="1">IFERROR(IF(0=LEN(ReferenceData!$AM$18),"",ReferenceData!$AM$18),"")</f>
        <v>9.0718679000000009</v>
      </c>
      <c r="AN18">
        <f ca="1">IFERROR(IF(0=LEN(ReferenceData!$AN$18),"",ReferenceData!$AN$18),"")</f>
        <v>10.02466538</v>
      </c>
      <c r="AO18">
        <f ca="1">IFERROR(IF(0=LEN(ReferenceData!$AO$18),"",ReferenceData!$AO$18),"")</f>
        <v>8.7514412640000003</v>
      </c>
      <c r="AP18">
        <f ca="1">IFERROR(IF(0=LEN(ReferenceData!$AP$18),"",ReferenceData!$AP$18),"")</f>
        <v>10.40731401</v>
      </c>
      <c r="AQ18">
        <f ca="1">IFERROR(IF(0=LEN(ReferenceData!$AQ$18),"",ReferenceData!$AQ$18),"")</f>
        <v>9.5570089920000001</v>
      </c>
      <c r="AR18">
        <f ca="1">IFERROR(IF(0=LEN(ReferenceData!$AR$18),"",ReferenceData!$AR$18),"")</f>
        <v>12.684954879999999</v>
      </c>
      <c r="AS18">
        <f ca="1">IFERROR(IF(0=LEN(ReferenceData!$AS$18),"",ReferenceData!$AS$18),"")</f>
        <v>8.3237840419999998</v>
      </c>
      <c r="AT18">
        <f ca="1">IFERROR(IF(0=LEN(ReferenceData!$AT$18),"",ReferenceData!$AT$18),"")</f>
        <v>5.3119171200000004</v>
      </c>
      <c r="AU18">
        <f ca="1">IFERROR(IF(0=LEN(ReferenceData!$AU$18),"",ReferenceData!$AU$18),"")</f>
        <v>3.507456565</v>
      </c>
      <c r="AV18">
        <f ca="1">IFERROR(IF(0=LEN(ReferenceData!$AV$18),"",ReferenceData!$AV$18),"")</f>
        <v>4.4776381199999999</v>
      </c>
      <c r="AW18">
        <f ca="1">IFERROR(IF(0=LEN(ReferenceData!$AW$18),"",ReferenceData!$AW$18),"")</f>
        <v>5.293652582</v>
      </c>
      <c r="AX18">
        <f ca="1">IFERROR(IF(0=LEN(ReferenceData!$AX$18),"",ReferenceData!$AX$18),"")</f>
        <v>6.3874609510000004</v>
      </c>
      <c r="AY18">
        <f ca="1">IFERROR(IF(0=LEN(ReferenceData!$AY$18),"",ReferenceData!$AY$18),"")</f>
        <v>8.7683637119999993</v>
      </c>
      <c r="AZ18">
        <f ca="1">IFERROR(IF(0=LEN(ReferenceData!$AZ$18),"",ReferenceData!$AZ$18),"")</f>
        <v>8.6691148939999998</v>
      </c>
      <c r="BA18">
        <f ca="1">IFERROR(IF(0=LEN(ReferenceData!$BA$18),"",ReferenceData!$BA$18),"")</f>
        <v>8.8900583429999998</v>
      </c>
      <c r="BB18">
        <f ca="1">IFERROR(IF(0=LEN(ReferenceData!$BB$18),"",ReferenceData!$BB$18),"")</f>
        <v>8.6558895790000001</v>
      </c>
      <c r="BC18">
        <f ca="1">IFERROR(IF(0=LEN(ReferenceData!$BC$18),"",ReferenceData!$BC$18),"")</f>
        <v>7.9871645549999997</v>
      </c>
      <c r="BD18">
        <f ca="1">IFERROR(IF(0=LEN(ReferenceData!$BD$18),"",ReferenceData!$BD$18),"")</f>
        <v>7.9348031289999996</v>
      </c>
      <c r="BE18">
        <f ca="1">IFERROR(IF(0=LEN(ReferenceData!$BE$18),"",ReferenceData!$BE$18),"")</f>
        <v>8.2234289860000001</v>
      </c>
      <c r="BF18">
        <f ca="1">IFERROR(IF(0=LEN(ReferenceData!$BF$18),"",ReferenceData!$BF$18),"")</f>
        <v>9.8684210950000004</v>
      </c>
      <c r="BG18">
        <f ca="1">IFERROR(IF(0=LEN(ReferenceData!$BG$18),"",ReferenceData!$BG$18),"")</f>
        <v>10.384277040000001</v>
      </c>
      <c r="BH18">
        <f ca="1">IFERROR(IF(0=LEN(ReferenceData!$BH$18),"",ReferenceData!$BH$18),"")</f>
        <v>9.5844802740000006</v>
      </c>
      <c r="BI18">
        <f ca="1">IFERROR(IF(0=LEN(ReferenceData!$BI$18),"",ReferenceData!$BI$18),"")</f>
        <v>9.6367202330000001</v>
      </c>
      <c r="BJ18">
        <f ca="1">IFERROR(IF(0=LEN(ReferenceData!$BJ$18),"",ReferenceData!$BJ$18),"")</f>
        <v>8.8684738680000006</v>
      </c>
      <c r="BK18">
        <f ca="1">IFERROR(IF(0=LEN(ReferenceData!$BK$18),"",ReferenceData!$BK$18),"")</f>
        <v>6.908373578</v>
      </c>
      <c r="BL18">
        <f ca="1">IFERROR(IF(0=LEN(ReferenceData!$BL$18),"",ReferenceData!$BL$18),"")</f>
        <v>6.4649031900000002</v>
      </c>
      <c r="BM18">
        <f ca="1">IFERROR(IF(0=LEN(ReferenceData!$BM$18),"",ReferenceData!$BM$18),"")</f>
        <v>3.9225670149999998</v>
      </c>
    </row>
    <row r="19" spans="1:65" x14ac:dyDescent="0.25">
      <c r="A19" t="str">
        <f>IFERROR(IF(0=LEN(ReferenceData!$A$19),"",ReferenceData!$A$19),"")</f>
        <v xml:space="preserve">    GAZ PJSC</v>
      </c>
      <c r="B19" t="str">
        <f>IFERROR(IF(0=LEN(ReferenceData!$B$19),"",ReferenceData!$B$19),"")</f>
        <v>GAZA RM Equity</v>
      </c>
      <c r="C19" t="str">
        <f>IFERROR(IF(0=LEN(ReferenceData!$C$19),"",ReferenceData!$C$19),"")</f>
        <v>RR900</v>
      </c>
      <c r="D19" t="str">
        <f>IFERROR(IF(0=LEN(ReferenceData!$D$19),"",ReferenceData!$D$19),"")</f>
        <v>PE_RATIO</v>
      </c>
      <c r="E19" t="str">
        <f>IFERROR(IF(0=LEN(ReferenceData!$E$19),"",ReferenceData!$E$19),"")</f>
        <v>Dynamic</v>
      </c>
      <c r="F19" t="str">
        <f ca="1">IFERROR(IF(0=LEN(ReferenceData!$F$19),"",ReferenceData!$F$19),"")</f>
        <v/>
      </c>
      <c r="G19" t="str">
        <f ca="1">IFERROR(IF(0=LEN(ReferenceData!$G$19),"",ReferenceData!$G$19),"")</f>
        <v/>
      </c>
      <c r="H19" t="str">
        <f ca="1">IFERROR(IF(0=LEN(ReferenceData!$H$19),"",ReferenceData!$H$19),"")</f>
        <v/>
      </c>
      <c r="I19" t="str">
        <f ca="1">IFERROR(IF(0=LEN(ReferenceData!$I$19),"",ReferenceData!$I$19),"")</f>
        <v/>
      </c>
      <c r="J19" t="str">
        <f ca="1">IFERROR(IF(0=LEN(ReferenceData!$J$19),"",ReferenceData!$J$19),"")</f>
        <v/>
      </c>
      <c r="K19" t="str">
        <f ca="1">IFERROR(IF(0=LEN(ReferenceData!$K$19),"",ReferenceData!$K$19),"")</f>
        <v/>
      </c>
      <c r="L19" t="str">
        <f ca="1">IFERROR(IF(0=LEN(ReferenceData!$L$19),"",ReferenceData!$L$19),"")</f>
        <v/>
      </c>
      <c r="M19" t="str">
        <f ca="1">IFERROR(IF(0=LEN(ReferenceData!$M$19),"",ReferenceData!$M$19),"")</f>
        <v/>
      </c>
      <c r="N19" t="str">
        <f ca="1">IFERROR(IF(0=LEN(ReferenceData!$N$19),"",ReferenceData!$N$19),"")</f>
        <v/>
      </c>
      <c r="O19" t="str">
        <f ca="1">IFERROR(IF(0=LEN(ReferenceData!$O$19),"",ReferenceData!$O$19),"")</f>
        <v/>
      </c>
      <c r="P19" t="str">
        <f ca="1">IFERROR(IF(0=LEN(ReferenceData!$P$19),"",ReferenceData!$P$19),"")</f>
        <v/>
      </c>
      <c r="Q19" t="str">
        <f ca="1">IFERROR(IF(0=LEN(ReferenceData!$Q$19),"",ReferenceData!$Q$19),"")</f>
        <v/>
      </c>
      <c r="R19" t="str">
        <f ca="1">IFERROR(IF(0=LEN(ReferenceData!$R$19),"",ReferenceData!$R$19),"")</f>
        <v/>
      </c>
      <c r="S19" t="str">
        <f ca="1">IFERROR(IF(0=LEN(ReferenceData!$S$19),"",ReferenceData!$S$19),"")</f>
        <v/>
      </c>
      <c r="T19" t="str">
        <f ca="1">IFERROR(IF(0=LEN(ReferenceData!$T$19),"",ReferenceData!$T$19),"")</f>
        <v/>
      </c>
      <c r="U19" t="str">
        <f ca="1">IFERROR(IF(0=LEN(ReferenceData!$U$19),"",ReferenceData!$U$19),"")</f>
        <v/>
      </c>
      <c r="V19" t="str">
        <f ca="1">IFERROR(IF(0=LEN(ReferenceData!$V$19),"",ReferenceData!$V$19),"")</f>
        <v/>
      </c>
      <c r="W19" t="str">
        <f ca="1">IFERROR(IF(0=LEN(ReferenceData!$W$19),"",ReferenceData!$W$19),"")</f>
        <v/>
      </c>
      <c r="X19" t="str">
        <f ca="1">IFERROR(IF(0=LEN(ReferenceData!$X$19),"",ReferenceData!$X$19),"")</f>
        <v/>
      </c>
      <c r="Y19" t="str">
        <f ca="1">IFERROR(IF(0=LEN(ReferenceData!$Y$19),"",ReferenceData!$Y$19),"")</f>
        <v/>
      </c>
      <c r="Z19" t="str">
        <f ca="1">IFERROR(IF(0=LEN(ReferenceData!$Z$19),"",ReferenceData!$Z$19),"")</f>
        <v/>
      </c>
      <c r="AA19" t="str">
        <f ca="1">IFERROR(IF(0=LEN(ReferenceData!$AA$19),"",ReferenceData!$AA$19),"")</f>
        <v/>
      </c>
      <c r="AB19" t="str">
        <f ca="1">IFERROR(IF(0=LEN(ReferenceData!$AB$19),"",ReferenceData!$AB$19),"")</f>
        <v/>
      </c>
      <c r="AC19" t="str">
        <f ca="1">IFERROR(IF(0=LEN(ReferenceData!$AC$19),"",ReferenceData!$AC$19),"")</f>
        <v/>
      </c>
      <c r="AD19" t="str">
        <f ca="1">IFERROR(IF(0=LEN(ReferenceData!$AD$19),"",ReferenceData!$AD$19),"")</f>
        <v/>
      </c>
      <c r="AE19" t="str">
        <f ca="1">IFERROR(IF(0=LEN(ReferenceData!$AE$19),"",ReferenceData!$AE$19),"")</f>
        <v/>
      </c>
      <c r="AF19" t="str">
        <f ca="1">IFERROR(IF(0=LEN(ReferenceData!$AF$19),"",ReferenceData!$AF$19),"")</f>
        <v/>
      </c>
      <c r="AG19" t="str">
        <f ca="1">IFERROR(IF(0=LEN(ReferenceData!$AG$19),"",ReferenceData!$AG$19),"")</f>
        <v/>
      </c>
      <c r="AH19" t="str">
        <f ca="1">IFERROR(IF(0=LEN(ReferenceData!$AH$19),"",ReferenceData!$AH$19),"")</f>
        <v/>
      </c>
      <c r="AI19" t="str">
        <f ca="1">IFERROR(IF(0=LEN(ReferenceData!$AI$19),"",ReferenceData!$AI$19),"")</f>
        <v/>
      </c>
      <c r="AJ19" t="str">
        <f ca="1">IFERROR(IF(0=LEN(ReferenceData!$AJ$19),"",ReferenceData!$AJ$19),"")</f>
        <v/>
      </c>
      <c r="AK19" t="str">
        <f ca="1">IFERROR(IF(0=LEN(ReferenceData!$AK$19),"",ReferenceData!$AK$19),"")</f>
        <v/>
      </c>
      <c r="AL19" t="str">
        <f ca="1">IFERROR(IF(0=LEN(ReferenceData!$AL$19),"",ReferenceData!$AL$19),"")</f>
        <v/>
      </c>
      <c r="AM19" t="str">
        <f ca="1">IFERROR(IF(0=LEN(ReferenceData!$AM$19),"",ReferenceData!$AM$19),"")</f>
        <v/>
      </c>
      <c r="AN19" t="str">
        <f ca="1">IFERROR(IF(0=LEN(ReferenceData!$AN$19),"",ReferenceData!$AN$19),"")</f>
        <v/>
      </c>
      <c r="AO19" t="str">
        <f ca="1">IFERROR(IF(0=LEN(ReferenceData!$AO$19),"",ReferenceData!$AO$19),"")</f>
        <v/>
      </c>
      <c r="AP19" t="str">
        <f ca="1">IFERROR(IF(0=LEN(ReferenceData!$AP$19),"",ReferenceData!$AP$19),"")</f>
        <v/>
      </c>
      <c r="AQ19" t="str">
        <f ca="1">IFERROR(IF(0=LEN(ReferenceData!$AQ$19),"",ReferenceData!$AQ$19),"")</f>
        <v/>
      </c>
      <c r="AR19" t="str">
        <f ca="1">IFERROR(IF(0=LEN(ReferenceData!$AR$19),"",ReferenceData!$AR$19),"")</f>
        <v/>
      </c>
      <c r="AS19" t="str">
        <f ca="1">IFERROR(IF(0=LEN(ReferenceData!$AS$19),"",ReferenceData!$AS$19),"")</f>
        <v/>
      </c>
      <c r="AT19" t="str">
        <f ca="1">IFERROR(IF(0=LEN(ReferenceData!$AT$19),"",ReferenceData!$AT$19),"")</f>
        <v/>
      </c>
      <c r="AU19" t="str">
        <f ca="1">IFERROR(IF(0=LEN(ReferenceData!$AU$19),"",ReferenceData!$AU$19),"")</f>
        <v/>
      </c>
      <c r="AV19" t="str">
        <f ca="1">IFERROR(IF(0=LEN(ReferenceData!$AV$19),"",ReferenceData!$AV$19),"")</f>
        <v/>
      </c>
      <c r="AW19" t="str">
        <f ca="1">IFERROR(IF(0=LEN(ReferenceData!$AW$19),"",ReferenceData!$AW$19),"")</f>
        <v/>
      </c>
      <c r="AX19" t="str">
        <f ca="1">IFERROR(IF(0=LEN(ReferenceData!$AX$19),"",ReferenceData!$AX$19),"")</f>
        <v/>
      </c>
      <c r="AY19" t="str">
        <f ca="1">IFERROR(IF(0=LEN(ReferenceData!$AY$19),"",ReferenceData!$AY$19),"")</f>
        <v/>
      </c>
      <c r="AZ19" t="str">
        <f ca="1">IFERROR(IF(0=LEN(ReferenceData!$AZ$19),"",ReferenceData!$AZ$19),"")</f>
        <v/>
      </c>
      <c r="BA19" t="str">
        <f ca="1">IFERROR(IF(0=LEN(ReferenceData!$BA$19),"",ReferenceData!$BA$19),"")</f>
        <v/>
      </c>
      <c r="BB19" t="str">
        <f ca="1">IFERROR(IF(0=LEN(ReferenceData!$BB$19),"",ReferenceData!$BB$19),"")</f>
        <v/>
      </c>
      <c r="BC19" t="str">
        <f ca="1">IFERROR(IF(0=LEN(ReferenceData!$BC$19),"",ReferenceData!$BC$19),"")</f>
        <v/>
      </c>
      <c r="BD19" t="str">
        <f ca="1">IFERROR(IF(0=LEN(ReferenceData!$BD$19),"",ReferenceData!$BD$19),"")</f>
        <v/>
      </c>
      <c r="BE19" t="str">
        <f ca="1">IFERROR(IF(0=LEN(ReferenceData!$BE$19),"",ReferenceData!$BE$19),"")</f>
        <v/>
      </c>
      <c r="BF19" t="str">
        <f ca="1">IFERROR(IF(0=LEN(ReferenceData!$BF$19),"",ReferenceData!$BF$19),"")</f>
        <v/>
      </c>
      <c r="BG19" t="str">
        <f ca="1">IFERROR(IF(0=LEN(ReferenceData!$BG$19),"",ReferenceData!$BG$19),"")</f>
        <v/>
      </c>
      <c r="BH19" t="str">
        <f ca="1">IFERROR(IF(0=LEN(ReferenceData!$BH$19),"",ReferenceData!$BH$19),"")</f>
        <v/>
      </c>
      <c r="BI19" t="str">
        <f ca="1">IFERROR(IF(0=LEN(ReferenceData!$BI$19),"",ReferenceData!$BI$19),"")</f>
        <v/>
      </c>
      <c r="BJ19" t="str">
        <f ca="1">IFERROR(IF(0=LEN(ReferenceData!$BJ$19),"",ReferenceData!$BJ$19),"")</f>
        <v/>
      </c>
      <c r="BK19" t="str">
        <f ca="1">IFERROR(IF(0=LEN(ReferenceData!$BK$19),"",ReferenceData!$BK$19),"")</f>
        <v/>
      </c>
      <c r="BL19" t="str">
        <f ca="1">IFERROR(IF(0=LEN(ReferenceData!$BL$19),"",ReferenceData!$BL$19),"")</f>
        <v/>
      </c>
      <c r="BM19" t="str">
        <f ca="1">IFERROR(IF(0=LEN(ReferenceData!$BM$19),"",ReferenceData!$BM$19),"")</f>
        <v/>
      </c>
    </row>
    <row r="20" spans="1:65" x14ac:dyDescent="0.25">
      <c r="A20" t="str">
        <f>IFERROR(IF(0=LEN(ReferenceData!$A$20),"",ReferenceData!$A$20),"")</f>
        <v xml:space="preserve">    Geely Automobile Holdings Ltd</v>
      </c>
      <c r="B20" t="str">
        <f>IFERROR(IF(0=LEN(ReferenceData!$B$20),"",ReferenceData!$B$20),"")</f>
        <v>175 HK Equity</v>
      </c>
      <c r="C20" t="str">
        <f>IFERROR(IF(0=LEN(ReferenceData!$C$20),"",ReferenceData!$C$20),"")</f>
        <v>RR900</v>
      </c>
      <c r="D20" t="str">
        <f>IFERROR(IF(0=LEN(ReferenceData!$D$20),"",ReferenceData!$D$20),"")</f>
        <v>PE_RATIO</v>
      </c>
      <c r="E20" t="str">
        <f>IFERROR(IF(0=LEN(ReferenceData!$E$20),"",ReferenceData!$E$20),"")</f>
        <v>Dynamic</v>
      </c>
      <c r="F20" t="str">
        <f ca="1">IFERROR(IF(0=LEN(ReferenceData!$F$20),"",ReferenceData!$F$20),"")</f>
        <v/>
      </c>
      <c r="G20" t="str">
        <f ca="1">IFERROR(IF(0=LEN(ReferenceData!$G$20),"",ReferenceData!$G$20),"")</f>
        <v/>
      </c>
      <c r="H20" t="str">
        <f ca="1">IFERROR(IF(0=LEN(ReferenceData!$H$20),"",ReferenceData!$H$20),"")</f>
        <v/>
      </c>
      <c r="I20" t="str">
        <f ca="1">IFERROR(IF(0=LEN(ReferenceData!$I$20),"",ReferenceData!$I$20),"")</f>
        <v/>
      </c>
      <c r="J20" t="str">
        <f ca="1">IFERROR(IF(0=LEN(ReferenceData!$J$20),"",ReferenceData!$J$20),"")</f>
        <v/>
      </c>
      <c r="K20" t="str">
        <f ca="1">IFERROR(IF(0=LEN(ReferenceData!$K$20),"",ReferenceData!$K$20),"")</f>
        <v/>
      </c>
      <c r="L20" t="str">
        <f ca="1">IFERROR(IF(0=LEN(ReferenceData!$L$20),"",ReferenceData!$L$20),"")</f>
        <v/>
      </c>
      <c r="M20" t="str">
        <f ca="1">IFERROR(IF(0=LEN(ReferenceData!$M$20),"",ReferenceData!$M$20),"")</f>
        <v/>
      </c>
      <c r="N20" t="str">
        <f ca="1">IFERROR(IF(0=LEN(ReferenceData!$N$20),"",ReferenceData!$N$20),"")</f>
        <v/>
      </c>
      <c r="O20" t="str">
        <f ca="1">IFERROR(IF(0=LEN(ReferenceData!$O$20),"",ReferenceData!$O$20),"")</f>
        <v/>
      </c>
      <c r="P20" t="str">
        <f ca="1">IFERROR(IF(0=LEN(ReferenceData!$P$20),"",ReferenceData!$P$20),"")</f>
        <v/>
      </c>
      <c r="Q20" t="str">
        <f ca="1">IFERROR(IF(0=LEN(ReferenceData!$Q$20),"",ReferenceData!$Q$20),"")</f>
        <v/>
      </c>
      <c r="R20" t="str">
        <f ca="1">IFERROR(IF(0=LEN(ReferenceData!$R$20),"",ReferenceData!$R$20),"")</f>
        <v/>
      </c>
      <c r="S20" t="str">
        <f ca="1">IFERROR(IF(0=LEN(ReferenceData!$S$20),"",ReferenceData!$S$20),"")</f>
        <v/>
      </c>
      <c r="T20" t="str">
        <f ca="1">IFERROR(IF(0=LEN(ReferenceData!$T$20),"",ReferenceData!$T$20),"")</f>
        <v/>
      </c>
      <c r="U20" t="str">
        <f ca="1">IFERROR(IF(0=LEN(ReferenceData!$U$20),"",ReferenceData!$U$20),"")</f>
        <v/>
      </c>
      <c r="V20" t="str">
        <f ca="1">IFERROR(IF(0=LEN(ReferenceData!$V$20),"",ReferenceData!$V$20),"")</f>
        <v/>
      </c>
      <c r="W20" t="str">
        <f ca="1">IFERROR(IF(0=LEN(ReferenceData!$W$20),"",ReferenceData!$W$20),"")</f>
        <v/>
      </c>
      <c r="X20" t="str">
        <f ca="1">IFERROR(IF(0=LEN(ReferenceData!$X$20),"",ReferenceData!$X$20),"")</f>
        <v/>
      </c>
      <c r="Y20" t="str">
        <f ca="1">IFERROR(IF(0=LEN(ReferenceData!$Y$20),"",ReferenceData!$Y$20),"")</f>
        <v/>
      </c>
      <c r="Z20" t="str">
        <f ca="1">IFERROR(IF(0=LEN(ReferenceData!$Z$20),"",ReferenceData!$Z$20),"")</f>
        <v/>
      </c>
      <c r="AA20" t="str">
        <f ca="1">IFERROR(IF(0=LEN(ReferenceData!$AA$20),"",ReferenceData!$AA$20),"")</f>
        <v/>
      </c>
      <c r="AB20" t="str">
        <f ca="1">IFERROR(IF(0=LEN(ReferenceData!$AB$20),"",ReferenceData!$AB$20),"")</f>
        <v/>
      </c>
      <c r="AC20" t="str">
        <f ca="1">IFERROR(IF(0=LEN(ReferenceData!$AC$20),"",ReferenceData!$AC$20),"")</f>
        <v/>
      </c>
      <c r="AD20" t="str">
        <f ca="1">IFERROR(IF(0=LEN(ReferenceData!$AD$20),"",ReferenceData!$AD$20),"")</f>
        <v/>
      </c>
      <c r="AE20" t="str">
        <f ca="1">IFERROR(IF(0=LEN(ReferenceData!$AE$20),"",ReferenceData!$AE$20),"")</f>
        <v/>
      </c>
      <c r="AF20" t="str">
        <f ca="1">IFERROR(IF(0=LEN(ReferenceData!$AF$20),"",ReferenceData!$AF$20),"")</f>
        <v/>
      </c>
      <c r="AG20" t="str">
        <f ca="1">IFERROR(IF(0=LEN(ReferenceData!$AG$20),"",ReferenceData!$AG$20),"")</f>
        <v/>
      </c>
      <c r="AH20" t="str">
        <f ca="1">IFERROR(IF(0=LEN(ReferenceData!$AH$20),"",ReferenceData!$AH$20),"")</f>
        <v/>
      </c>
      <c r="AI20" t="str">
        <f ca="1">IFERROR(IF(0=LEN(ReferenceData!$AI$20),"",ReferenceData!$AI$20),"")</f>
        <v/>
      </c>
      <c r="AJ20" t="str">
        <f ca="1">IFERROR(IF(0=LEN(ReferenceData!$AJ$20),"",ReferenceData!$AJ$20),"")</f>
        <v/>
      </c>
      <c r="AK20" t="str">
        <f ca="1">IFERROR(IF(0=LEN(ReferenceData!$AK$20),"",ReferenceData!$AK$20),"")</f>
        <v/>
      </c>
      <c r="AL20" t="str">
        <f ca="1">IFERROR(IF(0=LEN(ReferenceData!$AL$20),"",ReferenceData!$AL$20),"")</f>
        <v/>
      </c>
      <c r="AM20" t="str">
        <f ca="1">IFERROR(IF(0=LEN(ReferenceData!$AM$20),"",ReferenceData!$AM$20),"")</f>
        <v/>
      </c>
      <c r="AN20" t="str">
        <f ca="1">IFERROR(IF(0=LEN(ReferenceData!$AN$20),"",ReferenceData!$AN$20),"")</f>
        <v/>
      </c>
      <c r="AO20" t="str">
        <f ca="1">IFERROR(IF(0=LEN(ReferenceData!$AO$20),"",ReferenceData!$AO$20),"")</f>
        <v/>
      </c>
      <c r="AP20" t="str">
        <f ca="1">IFERROR(IF(0=LEN(ReferenceData!$AP$20),"",ReferenceData!$AP$20),"")</f>
        <v/>
      </c>
      <c r="AQ20" t="str">
        <f ca="1">IFERROR(IF(0=LEN(ReferenceData!$AQ$20),"",ReferenceData!$AQ$20),"")</f>
        <v/>
      </c>
      <c r="AR20" t="str">
        <f ca="1">IFERROR(IF(0=LEN(ReferenceData!$AR$20),"",ReferenceData!$AR$20),"")</f>
        <v/>
      </c>
      <c r="AS20" t="str">
        <f ca="1">IFERROR(IF(0=LEN(ReferenceData!$AS$20),"",ReferenceData!$AS$20),"")</f>
        <v/>
      </c>
      <c r="AT20" t="str">
        <f ca="1">IFERROR(IF(0=LEN(ReferenceData!$AT$20),"",ReferenceData!$AT$20),"")</f>
        <v/>
      </c>
      <c r="AU20" t="str">
        <f ca="1">IFERROR(IF(0=LEN(ReferenceData!$AU$20),"",ReferenceData!$AU$20),"")</f>
        <v/>
      </c>
      <c r="AV20" t="str">
        <f ca="1">IFERROR(IF(0=LEN(ReferenceData!$AV$20),"",ReferenceData!$AV$20),"")</f>
        <v/>
      </c>
      <c r="AW20" t="str">
        <f ca="1">IFERROR(IF(0=LEN(ReferenceData!$AW$20),"",ReferenceData!$AW$20),"")</f>
        <v/>
      </c>
      <c r="AX20" t="str">
        <f ca="1">IFERROR(IF(0=LEN(ReferenceData!$AX$20),"",ReferenceData!$AX$20),"")</f>
        <v/>
      </c>
      <c r="AY20" t="str">
        <f ca="1">IFERROR(IF(0=LEN(ReferenceData!$AY$20),"",ReferenceData!$AY$20),"")</f>
        <v/>
      </c>
      <c r="AZ20" t="str">
        <f ca="1">IFERROR(IF(0=LEN(ReferenceData!$AZ$20),"",ReferenceData!$AZ$20),"")</f>
        <v/>
      </c>
      <c r="BA20" t="str">
        <f ca="1">IFERROR(IF(0=LEN(ReferenceData!$BA$20),"",ReferenceData!$BA$20),"")</f>
        <v/>
      </c>
      <c r="BB20" t="str">
        <f ca="1">IFERROR(IF(0=LEN(ReferenceData!$BB$20),"",ReferenceData!$BB$20),"")</f>
        <v/>
      </c>
      <c r="BC20" t="str">
        <f ca="1">IFERROR(IF(0=LEN(ReferenceData!$BC$20),"",ReferenceData!$BC$20),"")</f>
        <v/>
      </c>
      <c r="BD20" t="str">
        <f ca="1">IFERROR(IF(0=LEN(ReferenceData!$BD$20),"",ReferenceData!$BD$20),"")</f>
        <v/>
      </c>
      <c r="BE20" t="str">
        <f ca="1">IFERROR(IF(0=LEN(ReferenceData!$BE$20),"",ReferenceData!$BE$20),"")</f>
        <v/>
      </c>
      <c r="BF20" t="str">
        <f ca="1">IFERROR(IF(0=LEN(ReferenceData!$BF$20),"",ReferenceData!$BF$20),"")</f>
        <v/>
      </c>
      <c r="BG20" t="str">
        <f ca="1">IFERROR(IF(0=LEN(ReferenceData!$BG$20),"",ReferenceData!$BG$20),"")</f>
        <v/>
      </c>
      <c r="BH20" t="str">
        <f ca="1">IFERROR(IF(0=LEN(ReferenceData!$BH$20),"",ReferenceData!$BH$20),"")</f>
        <v/>
      </c>
      <c r="BI20" t="str">
        <f ca="1">IFERROR(IF(0=LEN(ReferenceData!$BI$20),"",ReferenceData!$BI$20),"")</f>
        <v/>
      </c>
      <c r="BJ20" t="str">
        <f ca="1">IFERROR(IF(0=LEN(ReferenceData!$BJ$20),"",ReferenceData!$BJ$20),"")</f>
        <v/>
      </c>
      <c r="BK20" t="str">
        <f ca="1">IFERROR(IF(0=LEN(ReferenceData!$BK$20),"",ReferenceData!$BK$20),"")</f>
        <v/>
      </c>
      <c r="BL20" t="str">
        <f ca="1">IFERROR(IF(0=LEN(ReferenceData!$BL$20),"",ReferenceData!$BL$20),"")</f>
        <v/>
      </c>
      <c r="BM20" t="str">
        <f ca="1">IFERROR(IF(0=LEN(ReferenceData!$BM$20),"",ReferenceData!$BM$20),"")</f>
        <v/>
      </c>
    </row>
    <row r="21" spans="1:65" x14ac:dyDescent="0.25">
      <c r="A21" t="str">
        <f>IFERROR(IF(0=LEN(ReferenceData!$A$21),"",ReferenceData!$A$21),"")</f>
        <v xml:space="preserve">    General Motors Co</v>
      </c>
      <c r="B21" t="str">
        <f>IFERROR(IF(0=LEN(ReferenceData!$B$21),"",ReferenceData!$B$21),"")</f>
        <v>GM US Equity</v>
      </c>
      <c r="C21" t="str">
        <f>IFERROR(IF(0=LEN(ReferenceData!$C$21),"",ReferenceData!$C$21),"")</f>
        <v>RR900</v>
      </c>
      <c r="D21" t="str">
        <f>IFERROR(IF(0=LEN(ReferenceData!$D$21),"",ReferenceData!$D$21),"")</f>
        <v>PE_RATIO</v>
      </c>
      <c r="E21" t="str">
        <f>IFERROR(IF(0=LEN(ReferenceData!$E$21),"",ReferenceData!$E$21),"")</f>
        <v>Dynamic</v>
      </c>
      <c r="F21">
        <f ca="1">IFERROR(IF(0=LEN(ReferenceData!$F$21),"",ReferenceData!$F$21),"")</f>
        <v>5.2857411000000001</v>
      </c>
      <c r="G21">
        <f ca="1">IFERROR(IF(0=LEN(ReferenceData!$G$21),"",ReferenceData!$G$21),"")</f>
        <v>4.5017958729999998</v>
      </c>
      <c r="H21">
        <f ca="1">IFERROR(IF(0=LEN(ReferenceData!$H$21),"",ReferenceData!$H$21),"")</f>
        <v>4.6076138530000001</v>
      </c>
      <c r="I21">
        <f ca="1">IFERROR(IF(0=LEN(ReferenceData!$I$21),"",ReferenceData!$I$21),"")</f>
        <v>5.8276997670000004</v>
      </c>
      <c r="J21">
        <f ca="1">IFERROR(IF(0=LEN(ReferenceData!$J$21),"",ReferenceData!$J$21),"")</f>
        <v>5.246420047</v>
      </c>
      <c r="K21">
        <f ca="1">IFERROR(IF(0=LEN(ReferenceData!$K$21),"",ReferenceData!$K$21),"")</f>
        <v>5.8645848889999996</v>
      </c>
      <c r="L21">
        <f ca="1">IFERROR(IF(0=LEN(ReferenceData!$L$21),"",ReferenceData!$L$21),"")</f>
        <v>6.097221234</v>
      </c>
      <c r="M21">
        <f ca="1">IFERROR(IF(0=LEN(ReferenceData!$M$21),"",ReferenceData!$M$21),"")</f>
        <v>4.9817722470000003</v>
      </c>
      <c r="N21">
        <f ca="1">IFERROR(IF(0=LEN(ReferenceData!$N$21),"",ReferenceData!$N$21),"")</f>
        <v>5.1678023120000001</v>
      </c>
      <c r="O21">
        <f ca="1">IFERROR(IF(0=LEN(ReferenceData!$O$21),"",ReferenceData!$O$21),"")</f>
        <v>5.3635713129999996</v>
      </c>
      <c r="P21">
        <f ca="1">IFERROR(IF(0=LEN(ReferenceData!$P$21),"",ReferenceData!$P$21),"")</f>
        <v>4.6985510509999999</v>
      </c>
      <c r="Q21">
        <f ca="1">IFERROR(IF(0=LEN(ReferenceData!$Q$21),"",ReferenceData!$Q$21),"")</f>
        <v>4.216202075</v>
      </c>
      <c r="R21">
        <f ca="1">IFERROR(IF(0=LEN(ReferenceData!$R$21),"",ReferenceData!$R$21),"")</f>
        <v>5.2446995239999996</v>
      </c>
      <c r="S21">
        <f ca="1">IFERROR(IF(0=LEN(ReferenceData!$S$21),"",ReferenceData!$S$21),"")</f>
        <v>6.3553628910000004</v>
      </c>
      <c r="T21">
        <f ca="1">IFERROR(IF(0=LEN(ReferenceData!$T$21),"",ReferenceData!$T$21),"")</f>
        <v>10.06439267</v>
      </c>
      <c r="U21">
        <f ca="1">IFERROR(IF(0=LEN(ReferenceData!$U$21),"",ReferenceData!$U$21),"")</f>
        <v>13.72692925</v>
      </c>
      <c r="V21">
        <f ca="1">IFERROR(IF(0=LEN(ReferenceData!$V$21),"",ReferenceData!$V$21),"")</f>
        <v>19.580619680000002</v>
      </c>
      <c r="W21">
        <f ca="1">IFERROR(IF(0=LEN(ReferenceData!$W$21),"",ReferenceData!$W$21),"")</f>
        <v>18.591666610000001</v>
      </c>
      <c r="X21">
        <f ca="1">IFERROR(IF(0=LEN(ReferenceData!$X$21),"",ReferenceData!$X$21),"")</f>
        <v>9.4159238189999996</v>
      </c>
      <c r="Y21">
        <f ca="1">IFERROR(IF(0=LEN(ReferenceData!$Y$21),"",ReferenceData!$Y$21),"")</f>
        <v>13.228631569999999</v>
      </c>
      <c r="Z21">
        <f ca="1">IFERROR(IF(0=LEN(ReferenceData!$Z$21),"",ReferenceData!$Z$21),"")</f>
        <v>10.948544070000001</v>
      </c>
      <c r="AA21">
        <f ca="1">IFERROR(IF(0=LEN(ReferenceData!$AA$21),"",ReferenceData!$AA$21),"")</f>
        <v>12.79959412</v>
      </c>
      <c r="AB21">
        <f ca="1">IFERROR(IF(0=LEN(ReferenceData!$AB$21),"",ReferenceData!$AB$21),"")</f>
        <v>12.807977190000001</v>
      </c>
      <c r="AC21">
        <f ca="1">IFERROR(IF(0=LEN(ReferenceData!$AC$21),"",ReferenceData!$AC$21),"")</f>
        <v>10.267684170000001</v>
      </c>
      <c r="AD21">
        <f ca="1">IFERROR(IF(0=LEN(ReferenceData!$AD$21),"",ReferenceData!$AD$21),"")</f>
        <v>8.3288949480000003</v>
      </c>
      <c r="AE21">
        <f ca="1">IFERROR(IF(0=LEN(ReferenceData!$AE$21),"",ReferenceData!$AE$21),"")</f>
        <v>8.0735858480000005</v>
      </c>
      <c r="AF21">
        <f ca="1">IFERROR(IF(0=LEN(ReferenceData!$AF$21),"",ReferenceData!$AF$21),"")</f>
        <v>7.0087987380000003</v>
      </c>
      <c r="AG21">
        <f ca="1">IFERROR(IF(0=LEN(ReferenceData!$AG$21),"",ReferenceData!$AG$21),"")</f>
        <v>5.7250240740000002</v>
      </c>
      <c r="AH21">
        <f ca="1">IFERROR(IF(0=LEN(ReferenceData!$AH$21),"",ReferenceData!$AH$21),"")</f>
        <v>6.4716361940000002</v>
      </c>
      <c r="AI21">
        <f ca="1">IFERROR(IF(0=LEN(ReferenceData!$AI$21),"",ReferenceData!$AI$21),"")</f>
        <v>4.7038718880000001</v>
      </c>
      <c r="AJ21">
        <f ca="1">IFERROR(IF(0=LEN(ReferenceData!$AJ$21),"",ReferenceData!$AJ$21),"")</f>
        <v>4.6569911409999998</v>
      </c>
      <c r="AK21">
        <f ca="1">IFERROR(IF(0=LEN(ReferenceData!$AK$21),"",ReferenceData!$AK$21),"")</f>
        <v>6.6687621869999996</v>
      </c>
      <c r="AL21">
        <f ca="1">IFERROR(IF(0=LEN(ReferenceData!$AL$21),"",ReferenceData!$AL$21),"")</f>
        <v>7.9660266799999997</v>
      </c>
      <c r="AM21">
        <f ca="1">IFERROR(IF(0=LEN(ReferenceData!$AM$21),"",ReferenceData!$AM$21),"")</f>
        <v>11.66487442</v>
      </c>
      <c r="AN21" t="str">
        <f ca="1">IFERROR(IF(0=LEN(ReferenceData!$AN$21),"",ReferenceData!$AN$21),"")</f>
        <v/>
      </c>
      <c r="AO21" t="str">
        <f ca="1">IFERROR(IF(0=LEN(ReferenceData!$AO$21),"",ReferenceData!$AO$21),"")</f>
        <v/>
      </c>
      <c r="AP21" t="str">
        <f ca="1">IFERROR(IF(0=LEN(ReferenceData!$AP$21),"",ReferenceData!$AP$21),"")</f>
        <v/>
      </c>
      <c r="AQ21" t="str">
        <f ca="1">IFERROR(IF(0=LEN(ReferenceData!$AQ$21),"",ReferenceData!$AQ$21),"")</f>
        <v/>
      </c>
      <c r="AR21" t="str">
        <f ca="1">IFERROR(IF(0=LEN(ReferenceData!$AR$21),"",ReferenceData!$AR$21),"")</f>
        <v/>
      </c>
      <c r="AS21" t="str">
        <f ca="1">IFERROR(IF(0=LEN(ReferenceData!$AS$21),"",ReferenceData!$AS$21),"")</f>
        <v/>
      </c>
      <c r="AT21" t="str">
        <f ca="1">IFERROR(IF(0=LEN(ReferenceData!$AT$21),"",ReferenceData!$AT$21),"")</f>
        <v/>
      </c>
      <c r="AU21" t="str">
        <f ca="1">IFERROR(IF(0=LEN(ReferenceData!$AU$21),"",ReferenceData!$AU$21),"")</f>
        <v/>
      </c>
      <c r="AV21" t="str">
        <f ca="1">IFERROR(IF(0=LEN(ReferenceData!$AV$21),"",ReferenceData!$AV$21),"")</f>
        <v/>
      </c>
      <c r="AW21" t="str">
        <f ca="1">IFERROR(IF(0=LEN(ReferenceData!$AW$21),"",ReferenceData!$AW$21),"")</f>
        <v/>
      </c>
      <c r="AX21" t="str">
        <f ca="1">IFERROR(IF(0=LEN(ReferenceData!$AX$21),"",ReferenceData!$AX$21),"")</f>
        <v/>
      </c>
      <c r="AY21" t="str">
        <f ca="1">IFERROR(IF(0=LEN(ReferenceData!$AY$21),"",ReferenceData!$AY$21),"")</f>
        <v/>
      </c>
      <c r="AZ21" t="str">
        <f ca="1">IFERROR(IF(0=LEN(ReferenceData!$AZ$21),"",ReferenceData!$AZ$21),"")</f>
        <v/>
      </c>
      <c r="BA21" t="str">
        <f ca="1">IFERROR(IF(0=LEN(ReferenceData!$BA$21),"",ReferenceData!$BA$21),"")</f>
        <v/>
      </c>
      <c r="BB21" t="str">
        <f ca="1">IFERROR(IF(0=LEN(ReferenceData!$BB$21),"",ReferenceData!$BB$21),"")</f>
        <v/>
      </c>
      <c r="BC21" t="str">
        <f ca="1">IFERROR(IF(0=LEN(ReferenceData!$BC$21),"",ReferenceData!$BC$21),"")</f>
        <v/>
      </c>
      <c r="BD21" t="str">
        <f ca="1">IFERROR(IF(0=LEN(ReferenceData!$BD$21),"",ReferenceData!$BD$21),"")</f>
        <v/>
      </c>
      <c r="BE21" t="str">
        <f ca="1">IFERROR(IF(0=LEN(ReferenceData!$BE$21),"",ReferenceData!$BE$21),"")</f>
        <v/>
      </c>
      <c r="BF21" t="str">
        <f ca="1">IFERROR(IF(0=LEN(ReferenceData!$BF$21),"",ReferenceData!$BF$21),"")</f>
        <v/>
      </c>
      <c r="BG21" t="str">
        <f ca="1">IFERROR(IF(0=LEN(ReferenceData!$BG$21),"",ReferenceData!$BG$21),"")</f>
        <v/>
      </c>
      <c r="BH21" t="str">
        <f ca="1">IFERROR(IF(0=LEN(ReferenceData!$BH$21),"",ReferenceData!$BH$21),"")</f>
        <v/>
      </c>
      <c r="BI21" t="str">
        <f ca="1">IFERROR(IF(0=LEN(ReferenceData!$BI$21),"",ReferenceData!$BI$21),"")</f>
        <v/>
      </c>
      <c r="BJ21" t="str">
        <f ca="1">IFERROR(IF(0=LEN(ReferenceData!$BJ$21),"",ReferenceData!$BJ$21),"")</f>
        <v/>
      </c>
      <c r="BK21" t="str">
        <f ca="1">IFERROR(IF(0=LEN(ReferenceData!$BK$21),"",ReferenceData!$BK$21),"")</f>
        <v/>
      </c>
      <c r="BL21" t="str">
        <f ca="1">IFERROR(IF(0=LEN(ReferenceData!$BL$21),"",ReferenceData!$BL$21),"")</f>
        <v/>
      </c>
      <c r="BM21" t="str">
        <f ca="1">IFERROR(IF(0=LEN(ReferenceData!$BM$21),"",ReferenceData!$BM$21),"")</f>
        <v/>
      </c>
    </row>
    <row r="22" spans="1:65" x14ac:dyDescent="0.25">
      <c r="A22" t="str">
        <f>IFERROR(IF(0=LEN(ReferenceData!$A$22),"",ReferenceData!$A$22),"")</f>
        <v xml:space="preserve">    Great Wall Motor Co Ltd</v>
      </c>
      <c r="B22" t="str">
        <f>IFERROR(IF(0=LEN(ReferenceData!$B$22),"",ReferenceData!$B$22),"")</f>
        <v>2333 HK Equity</v>
      </c>
      <c r="C22" t="str">
        <f>IFERROR(IF(0=LEN(ReferenceData!$C$22),"",ReferenceData!$C$22),"")</f>
        <v>RR900</v>
      </c>
      <c r="D22" t="str">
        <f>IFERROR(IF(0=LEN(ReferenceData!$D$22),"",ReferenceData!$D$22),"")</f>
        <v>PE_RATIO</v>
      </c>
      <c r="E22" t="str">
        <f>IFERROR(IF(0=LEN(ReferenceData!$E$22),"",ReferenceData!$E$22),"")</f>
        <v>Dynamic</v>
      </c>
      <c r="F22">
        <f ca="1">IFERROR(IF(0=LEN(ReferenceData!$F$22),"",ReferenceData!$F$22),"")</f>
        <v>8.4065676979999999</v>
      </c>
      <c r="G22">
        <f ca="1">IFERROR(IF(0=LEN(ReferenceData!$G$22),"",ReferenceData!$G$22),"")</f>
        <v>5.9250934229999999</v>
      </c>
      <c r="H22">
        <f ca="1">IFERROR(IF(0=LEN(ReferenceData!$H$22),"",ReferenceData!$H$22),"")</f>
        <v>6.5815347309999996</v>
      </c>
      <c r="I22">
        <f ca="1">IFERROR(IF(0=LEN(ReferenceData!$I$22),"",ReferenceData!$I$22),"")</f>
        <v>7.3345383039999996</v>
      </c>
      <c r="J22">
        <f ca="1">IFERROR(IF(0=LEN(ReferenceData!$J$22),"",ReferenceData!$J$22),"")</f>
        <v>11.1942726</v>
      </c>
      <c r="K22">
        <f ca="1">IFERROR(IF(0=LEN(ReferenceData!$K$22),"",ReferenceData!$K$22),"")</f>
        <v>13.5334527</v>
      </c>
      <c r="L22">
        <f ca="1">IFERROR(IF(0=LEN(ReferenceData!$L$22),"",ReferenceData!$L$22),"")</f>
        <v>11.96077425</v>
      </c>
      <c r="M22">
        <f ca="1">IFERROR(IF(0=LEN(ReferenceData!$M$22),"",ReferenceData!$M$22),"")</f>
        <v>9.4776359160000005</v>
      </c>
      <c r="N22">
        <f ca="1">IFERROR(IF(0=LEN(ReferenceData!$N$22),"",ReferenceData!$N$22),"")</f>
        <v>7.0710922719999996</v>
      </c>
      <c r="O22">
        <f ca="1">IFERROR(IF(0=LEN(ReferenceData!$O$22),"",ReferenceData!$O$22),"")</f>
        <v>5.6176982930000001</v>
      </c>
      <c r="P22">
        <f ca="1">IFERROR(IF(0=LEN(ReferenceData!$P$22),"",ReferenceData!$P$22),"")</f>
        <v>6.5550755230000002</v>
      </c>
      <c r="Q22">
        <f ca="1">IFERROR(IF(0=LEN(ReferenceData!$Q$22),"",ReferenceData!$Q$22),"")</f>
        <v>6.0952609210000004</v>
      </c>
      <c r="R22">
        <f ca="1">IFERROR(IF(0=LEN(ReferenceData!$R$22),"",ReferenceData!$R$22),"")</f>
        <v>6.0581988889999998</v>
      </c>
      <c r="S22">
        <f ca="1">IFERROR(IF(0=LEN(ReferenceData!$S$22),"",ReferenceData!$S$22),"")</f>
        <v>8.5718762529999992</v>
      </c>
      <c r="T22">
        <f ca="1">IFERROR(IF(0=LEN(ReferenceData!$T$22),"",ReferenceData!$T$22),"")</f>
        <v>7.4068607279999998</v>
      </c>
      <c r="U22">
        <f ca="1">IFERROR(IF(0=LEN(ReferenceData!$U$22),"",ReferenceData!$U$22),"")</f>
        <v>10.512579860000001</v>
      </c>
      <c r="V22">
        <f ca="1">IFERROR(IF(0=LEN(ReferenceData!$V$22),"",ReferenceData!$V$22),"")</f>
        <v>15.577242269999999</v>
      </c>
      <c r="W22">
        <f ca="1">IFERROR(IF(0=LEN(ReferenceData!$W$22),"",ReferenceData!$W$22),"")</f>
        <v>13.35267619</v>
      </c>
      <c r="X22">
        <f ca="1">IFERROR(IF(0=LEN(ReferenceData!$X$22),"",ReferenceData!$X$22),"")</f>
        <v>9.4910344080000009</v>
      </c>
      <c r="Y22">
        <f ca="1">IFERROR(IF(0=LEN(ReferenceData!$Y$22),"",ReferenceData!$Y$22),"")</f>
        <v>8.6512971410000006</v>
      </c>
      <c r="Z22">
        <f ca="1">IFERROR(IF(0=LEN(ReferenceData!$Z$22),"",ReferenceData!$Z$22),"")</f>
        <v>11.363069960000001</v>
      </c>
      <c r="AA22">
        <f ca="1">IFERROR(IF(0=LEN(ReferenceData!$AA$22),"",ReferenceData!$AA$22),"")</f>
        <v>12.35326776</v>
      </c>
      <c r="AB22">
        <f ca="1">IFERROR(IF(0=LEN(ReferenceData!$AB$22),"",ReferenceData!$AB$22),"")</f>
        <v>12.579318349999999</v>
      </c>
      <c r="AC22">
        <f ca="1">IFERROR(IF(0=LEN(ReferenceData!$AC$22),"",ReferenceData!$AC$22),"")</f>
        <v>10.854861059999999</v>
      </c>
      <c r="AD22">
        <f ca="1">IFERROR(IF(0=LEN(ReferenceData!$AD$22),"",ReferenceData!$AD$22),"")</f>
        <v>9.8728854199999994</v>
      </c>
      <c r="AE22">
        <f ca="1">IFERROR(IF(0=LEN(ReferenceData!$AE$22),"",ReferenceData!$AE$22),"")</f>
        <v>10.5039295</v>
      </c>
      <c r="AF22">
        <f ca="1">IFERROR(IF(0=LEN(ReferenceData!$AF$22),"",ReferenceData!$AF$22),"")</f>
        <v>7.8524827679999998</v>
      </c>
      <c r="AG22">
        <f ca="1">IFERROR(IF(0=LEN(ReferenceData!$AG$22),"",ReferenceData!$AG$22),"")</f>
        <v>6.6624858710000003</v>
      </c>
      <c r="AH22" t="str">
        <f ca="1">IFERROR(IF(0=LEN(ReferenceData!$AH$22),"",ReferenceData!$AH$22),"")</f>
        <v/>
      </c>
      <c r="AI22" t="str">
        <f ca="1">IFERROR(IF(0=LEN(ReferenceData!$AI$22),"",ReferenceData!$AI$22),"")</f>
        <v/>
      </c>
      <c r="AJ22" t="str">
        <f ca="1">IFERROR(IF(0=LEN(ReferenceData!$AJ$22),"",ReferenceData!$AJ$22),"")</f>
        <v/>
      </c>
      <c r="AK22" t="str">
        <f ca="1">IFERROR(IF(0=LEN(ReferenceData!$AK$22),"",ReferenceData!$AK$22),"")</f>
        <v/>
      </c>
      <c r="AL22" t="str">
        <f ca="1">IFERROR(IF(0=LEN(ReferenceData!$AL$22),"",ReferenceData!$AL$22),"")</f>
        <v/>
      </c>
      <c r="AM22" t="str">
        <f ca="1">IFERROR(IF(0=LEN(ReferenceData!$AM$22),"",ReferenceData!$AM$22),"")</f>
        <v/>
      </c>
      <c r="AN22" t="str">
        <f ca="1">IFERROR(IF(0=LEN(ReferenceData!$AN$22),"",ReferenceData!$AN$22),"")</f>
        <v/>
      </c>
      <c r="AO22" t="str">
        <f ca="1">IFERROR(IF(0=LEN(ReferenceData!$AO$22),"",ReferenceData!$AO$22),"")</f>
        <v/>
      </c>
      <c r="AP22" t="str">
        <f ca="1">IFERROR(IF(0=LEN(ReferenceData!$AP$22),"",ReferenceData!$AP$22),"")</f>
        <v/>
      </c>
      <c r="AQ22" t="str">
        <f ca="1">IFERROR(IF(0=LEN(ReferenceData!$AQ$22),"",ReferenceData!$AQ$22),"")</f>
        <v/>
      </c>
      <c r="AR22" t="str">
        <f ca="1">IFERROR(IF(0=LEN(ReferenceData!$AR$22),"",ReferenceData!$AR$22),"")</f>
        <v/>
      </c>
      <c r="AS22" t="str">
        <f ca="1">IFERROR(IF(0=LEN(ReferenceData!$AS$22),"",ReferenceData!$AS$22),"")</f>
        <v/>
      </c>
      <c r="AT22" t="str">
        <f ca="1">IFERROR(IF(0=LEN(ReferenceData!$AT$22),"",ReferenceData!$AT$22),"")</f>
        <v/>
      </c>
      <c r="AU22" t="str">
        <f ca="1">IFERROR(IF(0=LEN(ReferenceData!$AU$22),"",ReferenceData!$AU$22),"")</f>
        <v/>
      </c>
      <c r="AV22" t="str">
        <f ca="1">IFERROR(IF(0=LEN(ReferenceData!$AV$22),"",ReferenceData!$AV$22),"")</f>
        <v/>
      </c>
      <c r="AW22" t="str">
        <f ca="1">IFERROR(IF(0=LEN(ReferenceData!$AW$22),"",ReferenceData!$AW$22),"")</f>
        <v/>
      </c>
      <c r="AX22" t="str">
        <f ca="1">IFERROR(IF(0=LEN(ReferenceData!$AX$22),"",ReferenceData!$AX$22),"")</f>
        <v/>
      </c>
      <c r="AY22" t="str">
        <f ca="1">IFERROR(IF(0=LEN(ReferenceData!$AY$22),"",ReferenceData!$AY$22),"")</f>
        <v/>
      </c>
      <c r="AZ22" t="str">
        <f ca="1">IFERROR(IF(0=LEN(ReferenceData!$AZ$22),"",ReferenceData!$AZ$22),"")</f>
        <v/>
      </c>
      <c r="BA22" t="str">
        <f ca="1">IFERROR(IF(0=LEN(ReferenceData!$BA$22),"",ReferenceData!$BA$22),"")</f>
        <v/>
      </c>
      <c r="BB22" t="str">
        <f ca="1">IFERROR(IF(0=LEN(ReferenceData!$BB$22),"",ReferenceData!$BB$22),"")</f>
        <v/>
      </c>
      <c r="BC22" t="str">
        <f ca="1">IFERROR(IF(0=LEN(ReferenceData!$BC$22),"",ReferenceData!$BC$22),"")</f>
        <v/>
      </c>
      <c r="BD22" t="str">
        <f ca="1">IFERROR(IF(0=LEN(ReferenceData!$BD$22),"",ReferenceData!$BD$22),"")</f>
        <v/>
      </c>
      <c r="BE22" t="str">
        <f ca="1">IFERROR(IF(0=LEN(ReferenceData!$BE$22),"",ReferenceData!$BE$22),"")</f>
        <v/>
      </c>
      <c r="BF22" t="str">
        <f ca="1">IFERROR(IF(0=LEN(ReferenceData!$BF$22),"",ReferenceData!$BF$22),"")</f>
        <v/>
      </c>
      <c r="BG22" t="str">
        <f ca="1">IFERROR(IF(0=LEN(ReferenceData!$BG$22),"",ReferenceData!$BG$22),"")</f>
        <v/>
      </c>
      <c r="BH22" t="str">
        <f ca="1">IFERROR(IF(0=LEN(ReferenceData!$BH$22),"",ReferenceData!$BH$22),"")</f>
        <v/>
      </c>
      <c r="BI22" t="str">
        <f ca="1">IFERROR(IF(0=LEN(ReferenceData!$BI$22),"",ReferenceData!$BI$22),"")</f>
        <v/>
      </c>
      <c r="BJ22" t="str">
        <f ca="1">IFERROR(IF(0=LEN(ReferenceData!$BJ$22),"",ReferenceData!$BJ$22),"")</f>
        <v/>
      </c>
      <c r="BK22" t="str">
        <f ca="1">IFERROR(IF(0=LEN(ReferenceData!$BK$22),"",ReferenceData!$BK$22),"")</f>
        <v/>
      </c>
      <c r="BL22" t="str">
        <f ca="1">IFERROR(IF(0=LEN(ReferenceData!$BL$22),"",ReferenceData!$BL$22),"")</f>
        <v/>
      </c>
      <c r="BM22" t="str">
        <f ca="1">IFERROR(IF(0=LEN(ReferenceData!$BM$22),"",ReferenceData!$BM$22),"")</f>
        <v/>
      </c>
    </row>
    <row r="23" spans="1:65" x14ac:dyDescent="0.25">
      <c r="A23" t="str">
        <f>IFERROR(IF(0=LEN(ReferenceData!$A$23),"",ReferenceData!$A$23),"")</f>
        <v xml:space="preserve">    Guangzhou Automobile Group Co Ltd</v>
      </c>
      <c r="B23" t="str">
        <f>IFERROR(IF(0=LEN(ReferenceData!$B$23),"",ReferenceData!$B$23),"")</f>
        <v>2238 HK Equity</v>
      </c>
      <c r="C23" t="str">
        <f>IFERROR(IF(0=LEN(ReferenceData!$C$23),"",ReferenceData!$C$23),"")</f>
        <v>RR900</v>
      </c>
      <c r="D23" t="str">
        <f>IFERROR(IF(0=LEN(ReferenceData!$D$23),"",ReferenceData!$D$23),"")</f>
        <v>PE_RATIO</v>
      </c>
      <c r="E23" t="str">
        <f>IFERROR(IF(0=LEN(ReferenceData!$E$23),"",ReferenceData!$E$23),"")</f>
        <v>Dynamic</v>
      </c>
      <c r="F23">
        <f ca="1">IFERROR(IF(0=LEN(ReferenceData!$F$23),"",ReferenceData!$F$23),"")</f>
        <v>7.2930401800000002</v>
      </c>
      <c r="G23">
        <f ca="1">IFERROR(IF(0=LEN(ReferenceData!$G$23),"",ReferenceData!$G$23),"")</f>
        <v>5.9125012229999996</v>
      </c>
      <c r="H23">
        <f ca="1">IFERROR(IF(0=LEN(ReferenceData!$H$23),"",ReferenceData!$H$23),"")</f>
        <v>6.5601999649999998</v>
      </c>
      <c r="I23">
        <f ca="1">IFERROR(IF(0=LEN(ReferenceData!$I$23),"",ReferenceData!$I$23),"")</f>
        <v>5.5339138070000002</v>
      </c>
      <c r="J23">
        <f ca="1">IFERROR(IF(0=LEN(ReferenceData!$J$23),"",ReferenceData!$J$23),"")</f>
        <v>7.3259875049999996</v>
      </c>
      <c r="K23">
        <f ca="1">IFERROR(IF(0=LEN(ReferenceData!$K$23),"",ReferenceData!$K$23),"")</f>
        <v>9.3754361829999997</v>
      </c>
      <c r="L23">
        <f ca="1">IFERROR(IF(0=LEN(ReferenceData!$L$23),"",ReferenceData!$L$23),"")</f>
        <v>10.38826242</v>
      </c>
      <c r="M23">
        <f ca="1">IFERROR(IF(0=LEN(ReferenceData!$M$23),"",ReferenceData!$M$23),"")</f>
        <v>9.0751206639999999</v>
      </c>
      <c r="N23">
        <f ca="1">IFERROR(IF(0=LEN(ReferenceData!$N$23),"",ReferenceData!$N$23),"")</f>
        <v>8.7057281900000003</v>
      </c>
      <c r="O23">
        <f ca="1">IFERROR(IF(0=LEN(ReferenceData!$O$23),"",ReferenceData!$O$23),"")</f>
        <v>8.613992863</v>
      </c>
      <c r="P23">
        <f ca="1">IFERROR(IF(0=LEN(ReferenceData!$P$23),"",ReferenceData!$P$23),"")</f>
        <v>7.7405369999999998</v>
      </c>
      <c r="Q23">
        <f ca="1">IFERROR(IF(0=LEN(ReferenceData!$Q$23),"",ReferenceData!$Q$23),"")</f>
        <v>7.8770236110000003</v>
      </c>
      <c r="R23">
        <f ca="1">IFERROR(IF(0=LEN(ReferenceData!$R$23),"",ReferenceData!$R$23),"")</f>
        <v>7.6512240240000002</v>
      </c>
      <c r="S23">
        <f ca="1">IFERROR(IF(0=LEN(ReferenceData!$S$23),"",ReferenceData!$S$23),"")</f>
        <v>8.7975337519999997</v>
      </c>
      <c r="T23">
        <f ca="1">IFERROR(IF(0=LEN(ReferenceData!$T$23),"",ReferenceData!$T$23),"")</f>
        <v>9.1944588169999992</v>
      </c>
      <c r="U23">
        <f ca="1">IFERROR(IF(0=LEN(ReferenceData!$U$23),"",ReferenceData!$U$23),"")</f>
        <v>11.64559865</v>
      </c>
      <c r="V23">
        <f ca="1">IFERROR(IF(0=LEN(ReferenceData!$V$23),"",ReferenceData!$V$23),"")</f>
        <v>13.504993839999999</v>
      </c>
      <c r="W23">
        <f ca="1">IFERROR(IF(0=LEN(ReferenceData!$W$23),"",ReferenceData!$W$23),"")</f>
        <v>11.546666549999999</v>
      </c>
      <c r="X23">
        <f ca="1">IFERROR(IF(0=LEN(ReferenceData!$X$23),"",ReferenceData!$X$23),"")</f>
        <v>14.395965390000001</v>
      </c>
      <c r="Y23">
        <f ca="1">IFERROR(IF(0=LEN(ReferenceData!$Y$23),"",ReferenceData!$Y$23),"")</f>
        <v>14.598983260000001</v>
      </c>
      <c r="Z23">
        <f ca="1">IFERROR(IF(0=LEN(ReferenceData!$Z$23),"",ReferenceData!$Z$23),"")</f>
        <v>13.8637479</v>
      </c>
      <c r="AA23">
        <f ca="1">IFERROR(IF(0=LEN(ReferenceData!$AA$23),"",ReferenceData!$AA$23),"")</f>
        <v>16.094465899999999</v>
      </c>
      <c r="AB23">
        <f ca="1">IFERROR(IF(0=LEN(ReferenceData!$AB$23),"",ReferenceData!$AB$23),"")</f>
        <v>28.187424570000001</v>
      </c>
      <c r="AC23">
        <f ca="1">IFERROR(IF(0=LEN(ReferenceData!$AC$23),"",ReferenceData!$AC$23),"")</f>
        <v>42.807183629999997</v>
      </c>
      <c r="AD23">
        <f ca="1">IFERROR(IF(0=LEN(ReferenceData!$AD$23),"",ReferenceData!$AD$23),"")</f>
        <v>47.577579819999997</v>
      </c>
      <c r="AE23">
        <f ca="1">IFERROR(IF(0=LEN(ReferenceData!$AE$23),"",ReferenceData!$AE$23),"")</f>
        <v>30.050374290000001</v>
      </c>
      <c r="AF23">
        <f ca="1">IFERROR(IF(0=LEN(ReferenceData!$AF$23),"",ReferenceData!$AF$23),"")</f>
        <v>7.3720091669999999</v>
      </c>
      <c r="AG23">
        <f ca="1">IFERROR(IF(0=LEN(ReferenceData!$AG$23),"",ReferenceData!$AG$23),"")</f>
        <v>8.1892813269999998</v>
      </c>
      <c r="AH23">
        <f ca="1">IFERROR(IF(0=LEN(ReferenceData!$AH$23),"",ReferenceData!$AH$23),"")</f>
        <v>10.343904849999999</v>
      </c>
      <c r="AI23">
        <f ca="1">IFERROR(IF(0=LEN(ReferenceData!$AI$23),"",ReferenceData!$AI$23),"")</f>
        <v>9.0990048229999996</v>
      </c>
      <c r="AJ23">
        <f ca="1">IFERROR(IF(0=LEN(ReferenceData!$AJ$23),"",ReferenceData!$AJ$23),"")</f>
        <v>13.38489641</v>
      </c>
      <c r="AK23">
        <f ca="1">IFERROR(IF(0=LEN(ReferenceData!$AK$23),"",ReferenceData!$AK$23),"")</f>
        <v>14.934621659999999</v>
      </c>
      <c r="AL23">
        <f ca="1">IFERROR(IF(0=LEN(ReferenceData!$AL$23),"",ReferenceData!$AL$23),"")</f>
        <v>11.06269988</v>
      </c>
      <c r="AM23">
        <f ca="1">IFERROR(IF(0=LEN(ReferenceData!$AM$23),"",ReferenceData!$AM$23),"")</f>
        <v>9.6163899409999996</v>
      </c>
      <c r="AN23">
        <f ca="1">IFERROR(IF(0=LEN(ReferenceData!$AN$23),"",ReferenceData!$AN$23),"")</f>
        <v>12.61416401</v>
      </c>
      <c r="AO23" t="str">
        <f ca="1">IFERROR(IF(0=LEN(ReferenceData!$AO$23),"",ReferenceData!$AO$23),"")</f>
        <v/>
      </c>
      <c r="AP23" t="str">
        <f ca="1">IFERROR(IF(0=LEN(ReferenceData!$AP$23),"",ReferenceData!$AP$23),"")</f>
        <v/>
      </c>
      <c r="AQ23" t="str">
        <f ca="1">IFERROR(IF(0=LEN(ReferenceData!$AQ$23),"",ReferenceData!$AQ$23),"")</f>
        <v/>
      </c>
      <c r="AR23" t="str">
        <f ca="1">IFERROR(IF(0=LEN(ReferenceData!$AR$23),"",ReferenceData!$AR$23),"")</f>
        <v/>
      </c>
      <c r="AS23" t="str">
        <f ca="1">IFERROR(IF(0=LEN(ReferenceData!$AS$23),"",ReferenceData!$AS$23),"")</f>
        <v/>
      </c>
      <c r="AT23" t="str">
        <f ca="1">IFERROR(IF(0=LEN(ReferenceData!$AT$23),"",ReferenceData!$AT$23),"")</f>
        <v/>
      </c>
      <c r="AU23" t="str">
        <f ca="1">IFERROR(IF(0=LEN(ReferenceData!$AU$23),"",ReferenceData!$AU$23),"")</f>
        <v/>
      </c>
      <c r="AV23" t="str">
        <f ca="1">IFERROR(IF(0=LEN(ReferenceData!$AV$23),"",ReferenceData!$AV$23),"")</f>
        <v/>
      </c>
      <c r="AW23" t="str">
        <f ca="1">IFERROR(IF(0=LEN(ReferenceData!$AW$23),"",ReferenceData!$AW$23),"")</f>
        <v/>
      </c>
      <c r="AX23" t="str">
        <f ca="1">IFERROR(IF(0=LEN(ReferenceData!$AX$23),"",ReferenceData!$AX$23),"")</f>
        <v/>
      </c>
      <c r="AY23" t="str">
        <f ca="1">IFERROR(IF(0=LEN(ReferenceData!$AY$23),"",ReferenceData!$AY$23),"")</f>
        <v/>
      </c>
      <c r="AZ23" t="str">
        <f ca="1">IFERROR(IF(0=LEN(ReferenceData!$AZ$23),"",ReferenceData!$AZ$23),"")</f>
        <v/>
      </c>
      <c r="BA23" t="str">
        <f ca="1">IFERROR(IF(0=LEN(ReferenceData!$BA$23),"",ReferenceData!$BA$23),"")</f>
        <v/>
      </c>
      <c r="BB23" t="str">
        <f ca="1">IFERROR(IF(0=LEN(ReferenceData!$BB$23),"",ReferenceData!$BB$23),"")</f>
        <v/>
      </c>
      <c r="BC23" t="str">
        <f ca="1">IFERROR(IF(0=LEN(ReferenceData!$BC$23),"",ReferenceData!$BC$23),"")</f>
        <v/>
      </c>
      <c r="BD23" t="str">
        <f ca="1">IFERROR(IF(0=LEN(ReferenceData!$BD$23),"",ReferenceData!$BD$23),"")</f>
        <v/>
      </c>
      <c r="BE23" t="str">
        <f ca="1">IFERROR(IF(0=LEN(ReferenceData!$BE$23),"",ReferenceData!$BE$23),"")</f>
        <v/>
      </c>
      <c r="BF23" t="str">
        <f ca="1">IFERROR(IF(0=LEN(ReferenceData!$BF$23),"",ReferenceData!$BF$23),"")</f>
        <v/>
      </c>
      <c r="BG23" t="str">
        <f ca="1">IFERROR(IF(0=LEN(ReferenceData!$BG$23),"",ReferenceData!$BG$23),"")</f>
        <v/>
      </c>
      <c r="BH23" t="str">
        <f ca="1">IFERROR(IF(0=LEN(ReferenceData!$BH$23),"",ReferenceData!$BH$23),"")</f>
        <v/>
      </c>
      <c r="BI23" t="str">
        <f ca="1">IFERROR(IF(0=LEN(ReferenceData!$BI$23),"",ReferenceData!$BI$23),"")</f>
        <v/>
      </c>
      <c r="BJ23" t="str">
        <f ca="1">IFERROR(IF(0=LEN(ReferenceData!$BJ$23),"",ReferenceData!$BJ$23),"")</f>
        <v/>
      </c>
      <c r="BK23" t="str">
        <f ca="1">IFERROR(IF(0=LEN(ReferenceData!$BK$23),"",ReferenceData!$BK$23),"")</f>
        <v/>
      </c>
      <c r="BL23" t="str">
        <f ca="1">IFERROR(IF(0=LEN(ReferenceData!$BL$23),"",ReferenceData!$BL$23),"")</f>
        <v/>
      </c>
      <c r="BM23" t="str">
        <f ca="1">IFERROR(IF(0=LEN(ReferenceData!$BM$23),"",ReferenceData!$BM$23),"")</f>
        <v/>
      </c>
    </row>
    <row r="24" spans="1:65" x14ac:dyDescent="0.25">
      <c r="A24" t="str">
        <f>IFERROR(IF(0=LEN(ReferenceData!$A$24),"",ReferenceData!$A$24),"")</f>
        <v xml:space="preserve">    Honda Motor Co Ltd</v>
      </c>
      <c r="B24" t="str">
        <f>IFERROR(IF(0=LEN(ReferenceData!$B$24),"",ReferenceData!$B$24),"")</f>
        <v>7267 JP Equity</v>
      </c>
      <c r="C24" t="str">
        <f>IFERROR(IF(0=LEN(ReferenceData!$C$24),"",ReferenceData!$C$24),"")</f>
        <v>RR900</v>
      </c>
      <c r="D24" t="str">
        <f>IFERROR(IF(0=LEN(ReferenceData!$D$24),"",ReferenceData!$D$24),"")</f>
        <v>PE_RATIO</v>
      </c>
      <c r="E24" t="str">
        <f>IFERROR(IF(0=LEN(ReferenceData!$E$24),"",ReferenceData!$E$24),"")</f>
        <v>Dynamic</v>
      </c>
      <c r="F24">
        <f ca="1">IFERROR(IF(0=LEN(ReferenceData!$F$24),"",ReferenceData!$F$24),"")</f>
        <v>7.5554266099999996</v>
      </c>
      <c r="G24">
        <f ca="1">IFERROR(IF(0=LEN(ReferenceData!$G$24),"",ReferenceData!$G$24),"")</f>
        <v>6.9981383429999999</v>
      </c>
      <c r="H24">
        <f ca="1">IFERROR(IF(0=LEN(ReferenceData!$H$24),"",ReferenceData!$H$24),"")</f>
        <v>5.4029850750000001</v>
      </c>
      <c r="I24">
        <f ca="1">IFERROR(IF(0=LEN(ReferenceData!$I$24),"",ReferenceData!$I$24),"")</f>
        <v>5.3033403059999999</v>
      </c>
      <c r="J24">
        <f ca="1">IFERROR(IF(0=LEN(ReferenceData!$J$24),"",ReferenceData!$J$24),"")</f>
        <v>6.1962798619999999</v>
      </c>
      <c r="K24">
        <f ca="1">IFERROR(IF(0=LEN(ReferenceData!$K$24),"",ReferenceData!$K$24),"")</f>
        <v>6.6206433100000002</v>
      </c>
      <c r="L24">
        <f ca="1">IFERROR(IF(0=LEN(ReferenceData!$L$24),"",ReferenceData!$L$24),"")</f>
        <v>9.2943595059999993</v>
      </c>
      <c r="M24">
        <f ca="1">IFERROR(IF(0=LEN(ReferenceData!$M$24),"",ReferenceData!$M$24),"")</f>
        <v>8.5061491910000004</v>
      </c>
      <c r="N24">
        <f ca="1">IFERROR(IF(0=LEN(ReferenceData!$N$24),"",ReferenceData!$N$24),"")</f>
        <v>9.7953814670000003</v>
      </c>
      <c r="O24">
        <f ca="1">IFERROR(IF(0=LEN(ReferenceData!$O$24),"",ReferenceData!$O$24),"")</f>
        <v>14.40867474</v>
      </c>
      <c r="P24">
        <f ca="1">IFERROR(IF(0=LEN(ReferenceData!$P$24),"",ReferenceData!$P$24),"")</f>
        <v>13.604240280000001</v>
      </c>
      <c r="Q24">
        <f ca="1">IFERROR(IF(0=LEN(ReferenceData!$Q$24),"",ReferenceData!$Q$24),"")</f>
        <v>13.91518364</v>
      </c>
      <c r="R24">
        <f ca="1">IFERROR(IF(0=LEN(ReferenceData!$R$24),"",ReferenceData!$R$24),"")</f>
        <v>16.143544670000001</v>
      </c>
      <c r="S24">
        <f ca="1">IFERROR(IF(0=LEN(ReferenceData!$S$24),"",ReferenceData!$S$24),"")</f>
        <v>13.151698619999999</v>
      </c>
      <c r="T24">
        <f ca="1">IFERROR(IF(0=LEN(ReferenceData!$T$24),"",ReferenceData!$T$24),"")</f>
        <v>11.308515740000001</v>
      </c>
      <c r="U24">
        <f ca="1">IFERROR(IF(0=LEN(ReferenceData!$U$24),"",ReferenceData!$U$24),"")</f>
        <v>12.84574727</v>
      </c>
      <c r="V24">
        <f ca="1">IFERROR(IF(0=LEN(ReferenceData!$V$24),"",ReferenceData!$V$24),"")</f>
        <v>13.38890604</v>
      </c>
      <c r="W24">
        <f ca="1">IFERROR(IF(0=LEN(ReferenceData!$W$24),"",ReferenceData!$W$24),"")</f>
        <v>10.62592291</v>
      </c>
      <c r="X24">
        <f ca="1">IFERROR(IF(0=LEN(ReferenceData!$X$24),"",ReferenceData!$X$24),"")</f>
        <v>11.294397379999999</v>
      </c>
      <c r="Y24">
        <f ca="1">IFERROR(IF(0=LEN(ReferenceData!$Y$24),"",ReferenceData!$Y$24),"")</f>
        <v>10.491501789999999</v>
      </c>
      <c r="Z24">
        <f ca="1">IFERROR(IF(0=LEN(ReferenceData!$Z$24),"",ReferenceData!$Z$24),"")</f>
        <v>11.40042665</v>
      </c>
      <c r="AA24">
        <f ca="1">IFERROR(IF(0=LEN(ReferenceData!$AA$24),"",ReferenceData!$AA$24),"")</f>
        <v>16.267187620000001</v>
      </c>
      <c r="AB24">
        <f ca="1">IFERROR(IF(0=LEN(ReferenceData!$AB$24),"",ReferenceData!$AB$24),"")</f>
        <v>16.97958813</v>
      </c>
      <c r="AC24">
        <f ca="1">IFERROR(IF(0=LEN(ReferenceData!$AC$24),"",ReferenceData!$AC$24),"")</f>
        <v>18.554884189999999</v>
      </c>
      <c r="AD24">
        <f ca="1">IFERROR(IF(0=LEN(ReferenceData!$AD$24),"",ReferenceData!$AD$24),"")</f>
        <v>17.450422150000001</v>
      </c>
      <c r="AE24">
        <f ca="1">IFERROR(IF(0=LEN(ReferenceData!$AE$24),"",ReferenceData!$AE$24),"")</f>
        <v>15.61462916</v>
      </c>
      <c r="AF24">
        <f ca="1">IFERROR(IF(0=LEN(ReferenceData!$AF$24),"",ReferenceData!$AF$24),"")</f>
        <v>12.964206969999999</v>
      </c>
      <c r="AG24">
        <f ca="1">IFERROR(IF(0=LEN(ReferenceData!$AG$24),"",ReferenceData!$AG$24),"")</f>
        <v>15.90914622</v>
      </c>
      <c r="AH24">
        <f ca="1">IFERROR(IF(0=LEN(ReferenceData!$AH$24),"",ReferenceData!$AH$24),"")</f>
        <v>26.801612720000001</v>
      </c>
      <c r="AI24">
        <f ca="1">IFERROR(IF(0=LEN(ReferenceData!$AI$24),"",ReferenceData!$AI$24),"")</f>
        <v>22.94430015</v>
      </c>
      <c r="AJ24">
        <f ca="1">IFERROR(IF(0=LEN(ReferenceData!$AJ$24),"",ReferenceData!$AJ$24),"")</f>
        <v>19.016535900000001</v>
      </c>
      <c r="AK24">
        <f ca="1">IFERROR(IF(0=LEN(ReferenceData!$AK$24),"",ReferenceData!$AK$24),"")</f>
        <v>18.97238153</v>
      </c>
      <c r="AL24">
        <f ca="1">IFERROR(IF(0=LEN(ReferenceData!$AL$24),"",ReferenceData!$AL$24),"")</f>
        <v>10.584796130000001</v>
      </c>
      <c r="AM24">
        <f ca="1">IFERROR(IF(0=LEN(ReferenceData!$AM$24),"",ReferenceData!$AM$24),"")</f>
        <v>10.361138130000001</v>
      </c>
      <c r="AN24">
        <f ca="1">IFERROR(IF(0=LEN(ReferenceData!$AN$24),"",ReferenceData!$AN$24),"")</f>
        <v>8.7282064409999993</v>
      </c>
      <c r="AO24">
        <f ca="1">IFERROR(IF(0=LEN(ReferenceData!$AO$24),"",ReferenceData!$AO$24),"")</f>
        <v>8.8329098039999998</v>
      </c>
      <c r="AP24">
        <f ca="1">IFERROR(IF(0=LEN(ReferenceData!$AP$24),"",ReferenceData!$AP$24),"")</f>
        <v>22.31024674</v>
      </c>
      <c r="AQ24">
        <f ca="1">IFERROR(IF(0=LEN(ReferenceData!$AQ$24),"",ReferenceData!$AQ$24),"")</f>
        <v>560.56529499999999</v>
      </c>
      <c r="AR24" t="str">
        <f ca="1">IFERROR(IF(0=LEN(ReferenceData!$AR$24),"",ReferenceData!$AR$24),"")</f>
        <v/>
      </c>
      <c r="AS24">
        <f ca="1">IFERROR(IF(0=LEN(ReferenceData!$AS$24),"",ReferenceData!$AS$24),"")</f>
        <v>34.499668919999998</v>
      </c>
      <c r="AT24">
        <f ca="1">IFERROR(IF(0=LEN(ReferenceData!$AT$24),"",ReferenceData!$AT$24),"")</f>
        <v>30.659014790000001</v>
      </c>
      <c r="AU24">
        <f ca="1">IFERROR(IF(0=LEN(ReferenceData!$AU$24),"",ReferenceData!$AU$24),"")</f>
        <v>9.9213991979999996</v>
      </c>
      <c r="AV24">
        <f ca="1">IFERROR(IF(0=LEN(ReferenceData!$AV$24),"",ReferenceData!$AV$24),"")</f>
        <v>10.61126374</v>
      </c>
      <c r="AW24">
        <f ca="1">IFERROR(IF(0=LEN(ReferenceData!$AW$24),"",ReferenceData!$AW$24),"")</f>
        <v>10.676524949999999</v>
      </c>
      <c r="AX24">
        <f ca="1">IFERROR(IF(0=LEN(ReferenceData!$AX$24),"",ReferenceData!$AX$24),"")</f>
        <v>8.6075183420000005</v>
      </c>
      <c r="AY24">
        <f ca="1">IFERROR(IF(0=LEN(ReferenceData!$AY$24),"",ReferenceData!$AY$24),"")</f>
        <v>9.0755082280000003</v>
      </c>
      <c r="AZ24">
        <f ca="1">IFERROR(IF(0=LEN(ReferenceData!$AZ$24),"",ReferenceData!$AZ$24),"")</f>
        <v>10.09440618</v>
      </c>
      <c r="BA24">
        <f ca="1">IFERROR(IF(0=LEN(ReferenceData!$BA$24),"",ReferenceData!$BA$24),"")</f>
        <v>13.330884319999999</v>
      </c>
      <c r="BB24">
        <f ca="1">IFERROR(IF(0=LEN(ReferenceData!$BB$24),"",ReferenceData!$BB$24),"")</f>
        <v>12.660099389999999</v>
      </c>
      <c r="BC24">
        <f ca="1">IFERROR(IF(0=LEN(ReferenceData!$BC$24),"",ReferenceData!$BC$24),"")</f>
        <v>13.51136516</v>
      </c>
      <c r="BD24">
        <f ca="1">IFERROR(IF(0=LEN(ReferenceData!$BD$24),"",ReferenceData!$BD$24),"")</f>
        <v>11.64811093</v>
      </c>
      <c r="BE24">
        <f ca="1">IFERROR(IF(0=LEN(ReferenceData!$BE$24),"",ReferenceData!$BE$24),"")</f>
        <v>10.57643624</v>
      </c>
      <c r="BF24">
        <f ca="1">IFERROR(IF(0=LEN(ReferenceData!$BF$24),"",ReferenceData!$BF$24),"")</f>
        <v>11.22813983</v>
      </c>
      <c r="BG24">
        <f ca="1">IFERROR(IF(0=LEN(ReferenceData!$BG$24),"",ReferenceData!$BG$24),"")</f>
        <v>13.172961280000001</v>
      </c>
      <c r="BH24">
        <f ca="1">IFERROR(IF(0=LEN(ReferenceData!$BH$24),"",ReferenceData!$BH$24),"")</f>
        <v>12.162546219999999</v>
      </c>
      <c r="BI24">
        <f ca="1">IFERROR(IF(0=LEN(ReferenceData!$BI$24),"",ReferenceData!$BI$24),"")</f>
        <v>10.54602186</v>
      </c>
      <c r="BJ24">
        <f ca="1">IFERROR(IF(0=LEN(ReferenceData!$BJ$24),"",ReferenceData!$BJ$24),"")</f>
        <v>10.31543733</v>
      </c>
      <c r="BK24">
        <f ca="1">IFERROR(IF(0=LEN(ReferenceData!$BK$24),"",ReferenceData!$BK$24),"")</f>
        <v>10.670814500000001</v>
      </c>
      <c r="BL24">
        <f ca="1">IFERROR(IF(0=LEN(ReferenceData!$BL$24),"",ReferenceData!$BL$24),"")</f>
        <v>10.798808470000001</v>
      </c>
      <c r="BM24">
        <f ca="1">IFERROR(IF(0=LEN(ReferenceData!$BM$24),"",ReferenceData!$BM$24),"")</f>
        <v>10.47579197</v>
      </c>
    </row>
    <row r="25" spans="1:65" x14ac:dyDescent="0.25">
      <c r="A25" t="str">
        <f>IFERROR(IF(0=LEN(ReferenceData!$A$25),"",ReferenceData!$A$25),"")</f>
        <v xml:space="preserve">    Hyundai Motor Co</v>
      </c>
      <c r="B25" t="str">
        <f>IFERROR(IF(0=LEN(ReferenceData!$B$25),"",ReferenceData!$B$25),"")</f>
        <v>005380 KS Equity</v>
      </c>
      <c r="C25" t="str">
        <f>IFERROR(IF(0=LEN(ReferenceData!$C$25),"",ReferenceData!$C$25),"")</f>
        <v>RR900</v>
      </c>
      <c r="D25" t="str">
        <f>IFERROR(IF(0=LEN(ReferenceData!$D$25),"",ReferenceData!$D$25),"")</f>
        <v>PE_RATIO</v>
      </c>
      <c r="E25" t="str">
        <f>IFERROR(IF(0=LEN(ReferenceData!$E$25),"",ReferenceData!$E$25),"")</f>
        <v>Dynamic</v>
      </c>
      <c r="F25" t="str">
        <f ca="1">IFERROR(IF(0=LEN(ReferenceData!$F$25),"",ReferenceData!$F$25),"")</f>
        <v/>
      </c>
      <c r="G25">
        <f ca="1">IFERROR(IF(0=LEN(ReferenceData!$G$25),"",ReferenceData!$G$25),"")</f>
        <v>11.915535439999999</v>
      </c>
      <c r="H25">
        <f ca="1">IFERROR(IF(0=LEN(ReferenceData!$H$25),"",ReferenceData!$H$25),"")</f>
        <v>13.0216189</v>
      </c>
      <c r="I25">
        <f ca="1">IFERROR(IF(0=LEN(ReferenceData!$I$25),"",ReferenceData!$I$25),"")</f>
        <v>10.36761669</v>
      </c>
      <c r="J25">
        <f ca="1">IFERROR(IF(0=LEN(ReferenceData!$J$25),"",ReferenceData!$J$25),"")</f>
        <v>11.455256650000001</v>
      </c>
      <c r="K25">
        <f ca="1">IFERROR(IF(0=LEN(ReferenceData!$K$25),"",ReferenceData!$K$25),"")</f>
        <v>10.404855599999999</v>
      </c>
      <c r="L25">
        <f ca="1">IFERROR(IF(0=LEN(ReferenceData!$L$25),"",ReferenceData!$L$25),"")</f>
        <v>10.11922414</v>
      </c>
      <c r="M25">
        <f ca="1">IFERROR(IF(0=LEN(ReferenceData!$M$25),"",ReferenceData!$M$25),"")</f>
        <v>10.19124935</v>
      </c>
      <c r="N25">
        <f ca="1">IFERROR(IF(0=LEN(ReferenceData!$N$25),"",ReferenceData!$N$25),"")</f>
        <v>8.3858305259999995</v>
      </c>
      <c r="O25">
        <f ca="1">IFERROR(IF(0=LEN(ReferenceData!$O$25),"",ReferenceData!$O$25),"")</f>
        <v>7.2569367089999997</v>
      </c>
      <c r="P25">
        <f ca="1">IFERROR(IF(0=LEN(ReferenceData!$P$25),"",ReferenceData!$P$25),"")</f>
        <v>6.0313307939999996</v>
      </c>
      <c r="Q25">
        <f ca="1">IFERROR(IF(0=LEN(ReferenceData!$Q$25),"",ReferenceData!$Q$25),"")</f>
        <v>5.9206449299999999</v>
      </c>
      <c r="R25">
        <f ca="1">IFERROR(IF(0=LEN(ReferenceData!$R$25),"",ReferenceData!$R$25),"")</f>
        <v>6.6154722259999996</v>
      </c>
      <c r="S25">
        <f ca="1">IFERROR(IF(0=LEN(ReferenceData!$S$25),"",ReferenceData!$S$25),"")</f>
        <v>6.2450175310000002</v>
      </c>
      <c r="T25">
        <f ca="1">IFERROR(IF(0=LEN(ReferenceData!$T$25),"",ReferenceData!$T$25),"")</f>
        <v>6.8655485809999997</v>
      </c>
      <c r="U25">
        <f ca="1">IFERROR(IF(0=LEN(ReferenceData!$U$25),"",ReferenceData!$U$25),"")</f>
        <v>5.4182436540000003</v>
      </c>
      <c r="V25">
        <f ca="1">IFERROR(IF(0=LEN(ReferenceData!$V$25),"",ReferenceData!$V$25),"")</f>
        <v>6.233956192</v>
      </c>
      <c r="W25">
        <f ca="1">IFERROR(IF(0=LEN(ReferenceData!$W$25),"",ReferenceData!$W$25),"")</f>
        <v>6.2508357529999996</v>
      </c>
      <c r="X25">
        <f ca="1">IFERROR(IF(0=LEN(ReferenceData!$X$25),"",ReferenceData!$X$25),"")</f>
        <v>6.682569194</v>
      </c>
      <c r="Y25">
        <f ca="1">IFERROR(IF(0=LEN(ReferenceData!$Y$25),"",ReferenceData!$Y$25),"")</f>
        <v>7.450331126</v>
      </c>
      <c r="Z25">
        <f ca="1">IFERROR(IF(0=LEN(ReferenceData!$Z$25),"",ReferenceData!$Z$25),"")</f>
        <v>7.9987253029999996</v>
      </c>
      <c r="AA25">
        <f ca="1">IFERROR(IF(0=LEN(ReferenceData!$AA$25),"",ReferenceData!$AA$25),"")</f>
        <v>7.5220253809999997</v>
      </c>
      <c r="AB25">
        <f ca="1">IFERROR(IF(0=LEN(ReferenceData!$AB$25),"",ReferenceData!$AB$25),"")</f>
        <v>8.2395036600000005</v>
      </c>
      <c r="AC25">
        <f ca="1">IFERROR(IF(0=LEN(ReferenceData!$AC$25),"",ReferenceData!$AC$25),"")</f>
        <v>7.506407909</v>
      </c>
      <c r="AD25">
        <f ca="1">IFERROR(IF(0=LEN(ReferenceData!$AD$25),"",ReferenceData!$AD$25),"")</f>
        <v>7.4157452160000004</v>
      </c>
      <c r="AE25">
        <f ca="1">IFERROR(IF(0=LEN(ReferenceData!$AE$25),"",ReferenceData!$AE$25),"")</f>
        <v>6.9334264140000004</v>
      </c>
      <c r="AF25">
        <f ca="1">IFERROR(IF(0=LEN(ReferenceData!$AF$25),"",ReferenceData!$AF$25),"")</f>
        <v>7.8403580140000004</v>
      </c>
      <c r="AG25">
        <f ca="1">IFERROR(IF(0=LEN(ReferenceData!$AG$25),"",ReferenceData!$AG$25),"")</f>
        <v>7.4168855650000003</v>
      </c>
      <c r="AH25">
        <f ca="1">IFERROR(IF(0=LEN(ReferenceData!$AH$25),"",ReferenceData!$AH$25),"")</f>
        <v>7.7095161760000002</v>
      </c>
      <c r="AI25">
        <f ca="1">IFERROR(IF(0=LEN(ReferenceData!$AI$25),"",ReferenceData!$AI$25),"")</f>
        <v>7.5530871910000004</v>
      </c>
      <c r="AJ25">
        <f ca="1">IFERROR(IF(0=LEN(ReferenceData!$AJ$25),"",ReferenceData!$AJ$25),"")</f>
        <v>8.0302415749999998</v>
      </c>
      <c r="AK25">
        <f ca="1">IFERROR(IF(0=LEN(ReferenceData!$AK$25),"",ReferenceData!$AK$25),"")</f>
        <v>9.5550365490000004</v>
      </c>
      <c r="AL25">
        <f ca="1">IFERROR(IF(0=LEN(ReferenceData!$AL$25),"",ReferenceData!$AL$25),"")</f>
        <v>8.9377415829999993</v>
      </c>
      <c r="AM25">
        <f ca="1">IFERROR(IF(0=LEN(ReferenceData!$AM$25),"",ReferenceData!$AM$25),"")</f>
        <v>8.4577735950000008</v>
      </c>
      <c r="AN25" t="str">
        <f ca="1">IFERROR(IF(0=LEN(ReferenceData!$AN$25),"",ReferenceData!$AN$25),"")</f>
        <v/>
      </c>
      <c r="AO25" t="str">
        <f ca="1">IFERROR(IF(0=LEN(ReferenceData!$AO$25),"",ReferenceData!$AO$25),"")</f>
        <v/>
      </c>
      <c r="AP25" t="str">
        <f ca="1">IFERROR(IF(0=LEN(ReferenceData!$AP$25),"",ReferenceData!$AP$25),"")</f>
        <v/>
      </c>
      <c r="AQ25" t="str">
        <f ca="1">IFERROR(IF(0=LEN(ReferenceData!$AQ$25),"",ReferenceData!$AQ$25),"")</f>
        <v/>
      </c>
      <c r="AR25" t="str">
        <f ca="1">IFERROR(IF(0=LEN(ReferenceData!$AR$25),"",ReferenceData!$AR$25),"")</f>
        <v/>
      </c>
      <c r="AS25" t="str">
        <f ca="1">IFERROR(IF(0=LEN(ReferenceData!$AS$25),"",ReferenceData!$AS$25),"")</f>
        <v/>
      </c>
      <c r="AT25" t="str">
        <f ca="1">IFERROR(IF(0=LEN(ReferenceData!$AT$25),"",ReferenceData!$AT$25),"")</f>
        <v/>
      </c>
      <c r="AU25" t="str">
        <f ca="1">IFERROR(IF(0=LEN(ReferenceData!$AU$25),"",ReferenceData!$AU$25),"")</f>
        <v/>
      </c>
      <c r="AV25" t="str">
        <f ca="1">IFERROR(IF(0=LEN(ReferenceData!$AV$25),"",ReferenceData!$AV$25),"")</f>
        <v/>
      </c>
      <c r="AW25" t="str">
        <f ca="1">IFERROR(IF(0=LEN(ReferenceData!$AW$25),"",ReferenceData!$AW$25),"")</f>
        <v/>
      </c>
      <c r="AX25" t="str">
        <f ca="1">IFERROR(IF(0=LEN(ReferenceData!$AX$25),"",ReferenceData!$AX$25),"")</f>
        <v/>
      </c>
      <c r="AY25" t="str">
        <f ca="1">IFERROR(IF(0=LEN(ReferenceData!$AY$25),"",ReferenceData!$AY$25),"")</f>
        <v/>
      </c>
      <c r="AZ25" t="str">
        <f ca="1">IFERROR(IF(0=LEN(ReferenceData!$AZ$25),"",ReferenceData!$AZ$25),"")</f>
        <v/>
      </c>
      <c r="BA25" t="str">
        <f ca="1">IFERROR(IF(0=LEN(ReferenceData!$BA$25),"",ReferenceData!$BA$25),"")</f>
        <v/>
      </c>
      <c r="BB25" t="str">
        <f ca="1">IFERROR(IF(0=LEN(ReferenceData!$BB$25),"",ReferenceData!$BB$25),"")</f>
        <v/>
      </c>
      <c r="BC25" t="str">
        <f ca="1">IFERROR(IF(0=LEN(ReferenceData!$BC$25),"",ReferenceData!$BC$25),"")</f>
        <v/>
      </c>
      <c r="BD25" t="str">
        <f ca="1">IFERROR(IF(0=LEN(ReferenceData!$BD$25),"",ReferenceData!$BD$25),"")</f>
        <v/>
      </c>
      <c r="BE25" t="str">
        <f ca="1">IFERROR(IF(0=LEN(ReferenceData!$BE$25),"",ReferenceData!$BE$25),"")</f>
        <v/>
      </c>
      <c r="BF25" t="str">
        <f ca="1">IFERROR(IF(0=LEN(ReferenceData!$BF$25),"",ReferenceData!$BF$25),"")</f>
        <v/>
      </c>
      <c r="BG25" t="str">
        <f ca="1">IFERROR(IF(0=LEN(ReferenceData!$BG$25),"",ReferenceData!$BG$25),"")</f>
        <v/>
      </c>
      <c r="BH25" t="str">
        <f ca="1">IFERROR(IF(0=LEN(ReferenceData!$BH$25),"",ReferenceData!$BH$25),"")</f>
        <v/>
      </c>
      <c r="BI25" t="str">
        <f ca="1">IFERROR(IF(0=LEN(ReferenceData!$BI$25),"",ReferenceData!$BI$25),"")</f>
        <v/>
      </c>
      <c r="BJ25" t="str">
        <f ca="1">IFERROR(IF(0=LEN(ReferenceData!$BJ$25),"",ReferenceData!$BJ$25),"")</f>
        <v/>
      </c>
      <c r="BK25" t="str">
        <f ca="1">IFERROR(IF(0=LEN(ReferenceData!$BK$25),"",ReferenceData!$BK$25),"")</f>
        <v/>
      </c>
      <c r="BL25" t="str">
        <f ca="1">IFERROR(IF(0=LEN(ReferenceData!$BL$25),"",ReferenceData!$BL$25),"")</f>
        <v/>
      </c>
      <c r="BM25" t="str">
        <f ca="1">IFERROR(IF(0=LEN(ReferenceData!$BM$25),"",ReferenceData!$BM$25),"")</f>
        <v/>
      </c>
    </row>
    <row r="26" spans="1:65" x14ac:dyDescent="0.25">
      <c r="A26" t="str">
        <f>IFERROR(IF(0=LEN(ReferenceData!$A$26),"",ReferenceData!$A$26),"")</f>
        <v xml:space="preserve">    Kia Motors Corp</v>
      </c>
      <c r="B26" t="str">
        <f>IFERROR(IF(0=LEN(ReferenceData!$B$26),"",ReferenceData!$B$26),"")</f>
        <v>000270 KS Equity</v>
      </c>
      <c r="C26" t="str">
        <f>IFERROR(IF(0=LEN(ReferenceData!$C$26),"",ReferenceData!$C$26),"")</f>
        <v>RR900</v>
      </c>
      <c r="D26" t="str">
        <f>IFERROR(IF(0=LEN(ReferenceData!$D$26),"",ReferenceData!$D$26),"")</f>
        <v>PE_RATIO</v>
      </c>
      <c r="E26" t="str">
        <f>IFERROR(IF(0=LEN(ReferenceData!$E$26),"",ReferenceData!$E$26),"")</f>
        <v>Dynamic</v>
      </c>
      <c r="F26" t="str">
        <f ca="1">IFERROR(IF(0=LEN(ReferenceData!$F$26),"",ReferenceData!$F$26),"")</f>
        <v/>
      </c>
      <c r="G26">
        <f ca="1">IFERROR(IF(0=LEN(ReferenceData!$G$26),"",ReferenceData!$G$26),"")</f>
        <v>11.361292540000001</v>
      </c>
      <c r="H26">
        <f ca="1">IFERROR(IF(0=LEN(ReferenceData!$H$26),"",ReferenceData!$H$26),"")</f>
        <v>12.066002060000001</v>
      </c>
      <c r="I26">
        <f ca="1">IFERROR(IF(0=LEN(ReferenceData!$I$26),"",ReferenceData!$I$26),"")</f>
        <v>21.453407510000002</v>
      </c>
      <c r="J26">
        <f ca="1">IFERROR(IF(0=LEN(ReferenceData!$J$26),"",ReferenceData!$J$26),"")</f>
        <v>19.5954488</v>
      </c>
      <c r="K26">
        <f ca="1">IFERROR(IF(0=LEN(ReferenceData!$K$26),"",ReferenceData!$K$26),"")</f>
        <v>13.877381939999999</v>
      </c>
      <c r="L26">
        <f ca="1">IFERROR(IF(0=LEN(ReferenceData!$L$26),"",ReferenceData!$L$26),"")</f>
        <v>10.739699379999999</v>
      </c>
      <c r="M26">
        <f ca="1">IFERROR(IF(0=LEN(ReferenceData!$M$26),"",ReferenceData!$M$26),"")</f>
        <v>7.1642778189999996</v>
      </c>
      <c r="N26">
        <f ca="1">IFERROR(IF(0=LEN(ReferenceData!$N$26),"",ReferenceData!$N$26),"")</f>
        <v>5.771918222</v>
      </c>
      <c r="O26">
        <f ca="1">IFERROR(IF(0=LEN(ReferenceData!$O$26),"",ReferenceData!$O$26),"")</f>
        <v>5.7149015179999996</v>
      </c>
      <c r="P26">
        <f ca="1">IFERROR(IF(0=LEN(ReferenceData!$P$26),"",ReferenceData!$P$26),"")</f>
        <v>5.8969410050000004</v>
      </c>
      <c r="Q26">
        <f ca="1">IFERROR(IF(0=LEN(ReferenceData!$Q$26),"",ReferenceData!$Q$26),"")</f>
        <v>6.2948308800000001</v>
      </c>
      <c r="R26">
        <f ca="1">IFERROR(IF(0=LEN(ReferenceData!$R$26),"",ReferenceData!$R$26),"")</f>
        <v>7.245970529</v>
      </c>
      <c r="S26">
        <f ca="1">IFERROR(IF(0=LEN(ReferenceData!$S$26),"",ReferenceData!$S$26),"")</f>
        <v>8.0369470619999994</v>
      </c>
      <c r="T26">
        <f ca="1">IFERROR(IF(0=LEN(ReferenceData!$T$26),"",ReferenceData!$T$26),"")</f>
        <v>8.185882114</v>
      </c>
      <c r="U26">
        <f ca="1">IFERROR(IF(0=LEN(ReferenceData!$U$26),"",ReferenceData!$U$26),"")</f>
        <v>6.6628829229999997</v>
      </c>
      <c r="V26">
        <f ca="1">IFERROR(IF(0=LEN(ReferenceData!$V$26),"",ReferenceData!$V$26),"")</f>
        <v>6.0550375279999997</v>
      </c>
      <c r="W26">
        <f ca="1">IFERROR(IF(0=LEN(ReferenceData!$W$26),"",ReferenceData!$W$26),"")</f>
        <v>7.075351629</v>
      </c>
      <c r="X26">
        <f ca="1">IFERROR(IF(0=LEN(ReferenceData!$X$26),"",ReferenceData!$X$26),"")</f>
        <v>6.2023562019999998</v>
      </c>
      <c r="Y26">
        <f ca="1">IFERROR(IF(0=LEN(ReferenceData!$Y$26),"",ReferenceData!$Y$26),"")</f>
        <v>6.1090124120000002</v>
      </c>
      <c r="Z26">
        <f ca="1">IFERROR(IF(0=LEN(ReferenceData!$Z$26),"",ReferenceData!$Z$26),"")</f>
        <v>6.1431679270000004</v>
      </c>
      <c r="AA26">
        <f ca="1">IFERROR(IF(0=LEN(ReferenceData!$AA$26),"",ReferenceData!$AA$26),"")</f>
        <v>5.9522546419999998</v>
      </c>
      <c r="AB26">
        <f ca="1">IFERROR(IF(0=LEN(ReferenceData!$AB$26),"",ReferenceData!$AB$26),"")</f>
        <v>7.3343755340000003</v>
      </c>
      <c r="AC26">
        <f ca="1">IFERROR(IF(0=LEN(ReferenceData!$AC$26),"",ReferenceData!$AC$26),"")</f>
        <v>7.1205143089999998</v>
      </c>
      <c r="AD26">
        <f ca="1">IFERROR(IF(0=LEN(ReferenceData!$AD$26),"",ReferenceData!$AD$26),"")</f>
        <v>6.5317399229999999</v>
      </c>
      <c r="AE26">
        <f ca="1">IFERROR(IF(0=LEN(ReferenceData!$AE$26),"",ReferenceData!$AE$26),"")</f>
        <v>5.9179158039999997</v>
      </c>
      <c r="AF26">
        <f ca="1">IFERROR(IF(0=LEN(ReferenceData!$AF$26),"",ReferenceData!$AF$26),"")</f>
        <v>7.1963824550000002</v>
      </c>
      <c r="AG26">
        <f ca="1">IFERROR(IF(0=LEN(ReferenceData!$AG$26),"",ReferenceData!$AG$26),"")</f>
        <v>8.1695287620000006</v>
      </c>
      <c r="AH26">
        <f ca="1">IFERROR(IF(0=LEN(ReferenceData!$AH$26),"",ReferenceData!$AH$26),"")</f>
        <v>8.0414690150000006</v>
      </c>
      <c r="AI26">
        <f ca="1">IFERROR(IF(0=LEN(ReferenceData!$AI$26),"",ReferenceData!$AI$26),"")</f>
        <v>7.7813891569999996</v>
      </c>
      <c r="AJ26">
        <f ca="1">IFERROR(IF(0=LEN(ReferenceData!$AJ$26),"",ReferenceData!$AJ$26),"")</f>
        <v>8.1858599059999992</v>
      </c>
      <c r="AK26">
        <f ca="1">IFERROR(IF(0=LEN(ReferenceData!$AK$26),"",ReferenceData!$AK$26),"")</f>
        <v>8.0080289760000003</v>
      </c>
      <c r="AL26">
        <f ca="1">IFERROR(IF(0=LEN(ReferenceData!$AL$26),"",ReferenceData!$AL$26),"")</f>
        <v>8.7204465300000003</v>
      </c>
      <c r="AM26">
        <f ca="1">IFERROR(IF(0=LEN(ReferenceData!$AM$26),"",ReferenceData!$AM$26),"")</f>
        <v>7.4015143019999998</v>
      </c>
      <c r="AN26" t="str">
        <f ca="1">IFERROR(IF(0=LEN(ReferenceData!$AN$26),"",ReferenceData!$AN$26),"")</f>
        <v/>
      </c>
      <c r="AO26" t="str">
        <f ca="1">IFERROR(IF(0=LEN(ReferenceData!$AO$26),"",ReferenceData!$AO$26),"")</f>
        <v/>
      </c>
      <c r="AP26" t="str">
        <f ca="1">IFERROR(IF(0=LEN(ReferenceData!$AP$26),"",ReferenceData!$AP$26),"")</f>
        <v/>
      </c>
      <c r="AQ26" t="str">
        <f ca="1">IFERROR(IF(0=LEN(ReferenceData!$AQ$26),"",ReferenceData!$AQ$26),"")</f>
        <v/>
      </c>
      <c r="AR26" t="str">
        <f ca="1">IFERROR(IF(0=LEN(ReferenceData!$AR$26),"",ReferenceData!$AR$26),"")</f>
        <v/>
      </c>
      <c r="AS26" t="str">
        <f ca="1">IFERROR(IF(0=LEN(ReferenceData!$AS$26),"",ReferenceData!$AS$26),"")</f>
        <v/>
      </c>
      <c r="AT26" t="str">
        <f ca="1">IFERROR(IF(0=LEN(ReferenceData!$AT$26),"",ReferenceData!$AT$26),"")</f>
        <v/>
      </c>
      <c r="AU26" t="str">
        <f ca="1">IFERROR(IF(0=LEN(ReferenceData!$AU$26),"",ReferenceData!$AU$26),"")</f>
        <v/>
      </c>
      <c r="AV26" t="str">
        <f ca="1">IFERROR(IF(0=LEN(ReferenceData!$AV$26),"",ReferenceData!$AV$26),"")</f>
        <v/>
      </c>
      <c r="AW26" t="str">
        <f ca="1">IFERROR(IF(0=LEN(ReferenceData!$AW$26),"",ReferenceData!$AW$26),"")</f>
        <v/>
      </c>
      <c r="AX26" t="str">
        <f ca="1">IFERROR(IF(0=LEN(ReferenceData!$AX$26),"",ReferenceData!$AX$26),"")</f>
        <v/>
      </c>
      <c r="AY26" t="str">
        <f ca="1">IFERROR(IF(0=LEN(ReferenceData!$AY$26),"",ReferenceData!$AY$26),"")</f>
        <v/>
      </c>
      <c r="AZ26" t="str">
        <f ca="1">IFERROR(IF(0=LEN(ReferenceData!$AZ$26),"",ReferenceData!$AZ$26),"")</f>
        <v/>
      </c>
      <c r="BA26" t="str">
        <f ca="1">IFERROR(IF(0=LEN(ReferenceData!$BA$26),"",ReferenceData!$BA$26),"")</f>
        <v/>
      </c>
      <c r="BB26" t="str">
        <f ca="1">IFERROR(IF(0=LEN(ReferenceData!$BB$26),"",ReferenceData!$BB$26),"")</f>
        <v/>
      </c>
      <c r="BC26" t="str">
        <f ca="1">IFERROR(IF(0=LEN(ReferenceData!$BC$26),"",ReferenceData!$BC$26),"")</f>
        <v/>
      </c>
      <c r="BD26" t="str">
        <f ca="1">IFERROR(IF(0=LEN(ReferenceData!$BD$26),"",ReferenceData!$BD$26),"")</f>
        <v/>
      </c>
      <c r="BE26" t="str">
        <f ca="1">IFERROR(IF(0=LEN(ReferenceData!$BE$26),"",ReferenceData!$BE$26),"")</f>
        <v/>
      </c>
      <c r="BF26" t="str">
        <f ca="1">IFERROR(IF(0=LEN(ReferenceData!$BF$26),"",ReferenceData!$BF$26),"")</f>
        <v/>
      </c>
      <c r="BG26" t="str">
        <f ca="1">IFERROR(IF(0=LEN(ReferenceData!$BG$26),"",ReferenceData!$BG$26),"")</f>
        <v/>
      </c>
      <c r="BH26" t="str">
        <f ca="1">IFERROR(IF(0=LEN(ReferenceData!$BH$26),"",ReferenceData!$BH$26),"")</f>
        <v/>
      </c>
      <c r="BI26" t="str">
        <f ca="1">IFERROR(IF(0=LEN(ReferenceData!$BI$26),"",ReferenceData!$BI$26),"")</f>
        <v/>
      </c>
      <c r="BJ26" t="str">
        <f ca="1">IFERROR(IF(0=LEN(ReferenceData!$BJ$26),"",ReferenceData!$BJ$26),"")</f>
        <v/>
      </c>
      <c r="BK26" t="str">
        <f ca="1">IFERROR(IF(0=LEN(ReferenceData!$BK$26),"",ReferenceData!$BK$26),"")</f>
        <v/>
      </c>
      <c r="BL26" t="str">
        <f ca="1">IFERROR(IF(0=LEN(ReferenceData!$BL$26),"",ReferenceData!$BL$26),"")</f>
        <v/>
      </c>
      <c r="BM26" t="str">
        <f ca="1">IFERROR(IF(0=LEN(ReferenceData!$BM$26),"",ReferenceData!$BM$26),"")</f>
        <v/>
      </c>
    </row>
    <row r="27" spans="1:65" x14ac:dyDescent="0.25">
      <c r="A27" t="str">
        <f>IFERROR(IF(0=LEN(ReferenceData!$A$27),"",ReferenceData!$A$27),"")</f>
        <v xml:space="preserve">    Mazda Motor Corp</v>
      </c>
      <c r="B27" t="str">
        <f>IFERROR(IF(0=LEN(ReferenceData!$B$27),"",ReferenceData!$B$27),"")</f>
        <v>7261 JP Equity</v>
      </c>
      <c r="C27" t="str">
        <f>IFERROR(IF(0=LEN(ReferenceData!$C$27),"",ReferenceData!$C$27),"")</f>
        <v>RR900</v>
      </c>
      <c r="D27" t="str">
        <f>IFERROR(IF(0=LEN(ReferenceData!$D$27),"",ReferenceData!$D$27),"")</f>
        <v>PE_RATIO</v>
      </c>
      <c r="E27" t="str">
        <f>IFERROR(IF(0=LEN(ReferenceData!$E$27),"",ReferenceData!$E$27),"")</f>
        <v>Dynamic</v>
      </c>
      <c r="F27">
        <f ca="1">IFERROR(IF(0=LEN(ReferenceData!$F$27),"",ReferenceData!$F$27),"")</f>
        <v>12.62016873</v>
      </c>
      <c r="G27">
        <f ca="1">IFERROR(IF(0=LEN(ReferenceData!$G$27),"",ReferenceData!$G$27),"")</f>
        <v>11.134000390000001</v>
      </c>
      <c r="H27">
        <f ca="1">IFERROR(IF(0=LEN(ReferenceData!$H$27),"",ReferenceData!$H$27),"")</f>
        <v>11.707149599999999</v>
      </c>
      <c r="I27">
        <f ca="1">IFERROR(IF(0=LEN(ReferenceData!$I$27),"",ReferenceData!$I$27),"")</f>
        <v>8.7578079720000002</v>
      </c>
      <c r="J27">
        <f ca="1">IFERROR(IF(0=LEN(ReferenceData!$J$27),"",ReferenceData!$J$27),"")</f>
        <v>7.6544217689999998</v>
      </c>
      <c r="K27">
        <f ca="1">IFERROR(IF(0=LEN(ReferenceData!$K$27),"",ReferenceData!$K$27),"")</f>
        <v>9.2277167280000008</v>
      </c>
      <c r="L27">
        <f ca="1">IFERROR(IF(0=LEN(ReferenceData!$L$27),"",ReferenceData!$L$27),"")</f>
        <v>10.2077046</v>
      </c>
      <c r="M27">
        <f ca="1">IFERROR(IF(0=LEN(ReferenceData!$M$27),"",ReferenceData!$M$27),"")</f>
        <v>8.5875458679999994</v>
      </c>
      <c r="N27">
        <f ca="1">IFERROR(IF(0=LEN(ReferenceData!$N$27),"",ReferenceData!$N$27),"")</f>
        <v>10.218652390000001</v>
      </c>
      <c r="O27">
        <f ca="1">IFERROR(IF(0=LEN(ReferenceData!$O$27),"",ReferenceData!$O$27),"")</f>
        <v>12.574810919999999</v>
      </c>
      <c r="P27">
        <f ca="1">IFERROR(IF(0=LEN(ReferenceData!$P$27),"",ReferenceData!$P$27),"")</f>
        <v>8.9587598709999998</v>
      </c>
      <c r="Q27">
        <f ca="1">IFERROR(IF(0=LEN(ReferenceData!$Q$27),"",ReferenceData!$Q$27),"")</f>
        <v>6.8329227210000001</v>
      </c>
      <c r="R27">
        <f ca="1">IFERROR(IF(0=LEN(ReferenceData!$R$27),"",ReferenceData!$R$27),"")</f>
        <v>7.7670550560000002</v>
      </c>
      <c r="S27">
        <f ca="1">IFERROR(IF(0=LEN(ReferenceData!$S$27),"",ReferenceData!$S$27),"")</f>
        <v>10.00554983</v>
      </c>
      <c r="T27">
        <f ca="1">IFERROR(IF(0=LEN(ReferenceData!$T$27),"",ReferenceData!$T$27),"")</f>
        <v>7.306645939</v>
      </c>
      <c r="U27">
        <f ca="1">IFERROR(IF(0=LEN(ReferenceData!$U$27),"",ReferenceData!$U$27),"")</f>
        <v>9.7741909190000005</v>
      </c>
      <c r="V27">
        <f ca="1">IFERROR(IF(0=LEN(ReferenceData!$V$27),"",ReferenceData!$V$27),"")</f>
        <v>9.1809079269999998</v>
      </c>
      <c r="W27">
        <f ca="1">IFERROR(IF(0=LEN(ReferenceData!$W$27),"",ReferenceData!$W$27),"")</f>
        <v>9.2227962950000002</v>
      </c>
      <c r="X27">
        <f ca="1">IFERROR(IF(0=LEN(ReferenceData!$X$27),"",ReferenceData!$X$27),"")</f>
        <v>8.0544975099999991</v>
      </c>
      <c r="Y27">
        <f ca="1">IFERROR(IF(0=LEN(ReferenceData!$Y$27),"",ReferenceData!$Y$27),"")</f>
        <v>7.9259135660000002</v>
      </c>
      <c r="Z27">
        <f ca="1">IFERROR(IF(0=LEN(ReferenceData!$Z$27),"",ReferenceData!$Z$27),"")</f>
        <v>10.088105730000001</v>
      </c>
      <c r="AA27">
        <f ca="1">IFERROR(IF(0=LEN(ReferenceData!$AA$27),"",ReferenceData!$AA$27),"")</f>
        <v>18.875780710000001</v>
      </c>
      <c r="AB27">
        <f ca="1">IFERROR(IF(0=LEN(ReferenceData!$AB$27),"",ReferenceData!$AB$27),"")</f>
        <v>24.399776660000001</v>
      </c>
      <c r="AC27">
        <f ca="1">IFERROR(IF(0=LEN(ReferenceData!$AC$27),"",ReferenceData!$AC$27),"")</f>
        <v>25.291073740000002</v>
      </c>
      <c r="AD27">
        <f ca="1">IFERROR(IF(0=LEN(ReferenceData!$AD$27),"",ReferenceData!$AD$27),"")</f>
        <v>24.49869224</v>
      </c>
      <c r="AE27">
        <f ca="1">IFERROR(IF(0=LEN(ReferenceData!$AE$27),"",ReferenceData!$AE$27),"")</f>
        <v>15.919487650000001</v>
      </c>
      <c r="AF27" t="str">
        <f ca="1">IFERROR(IF(0=LEN(ReferenceData!$AF$27),"",ReferenceData!$AF$27),"")</f>
        <v/>
      </c>
      <c r="AG27" t="str">
        <f ca="1">IFERROR(IF(0=LEN(ReferenceData!$AG$27),"",ReferenceData!$AG$27),"")</f>
        <v/>
      </c>
      <c r="AH27" t="str">
        <f ca="1">IFERROR(IF(0=LEN(ReferenceData!$AH$27),"",ReferenceData!$AH$27),"")</f>
        <v/>
      </c>
      <c r="AI27" t="str">
        <f ca="1">IFERROR(IF(0=LEN(ReferenceData!$AI$27),"",ReferenceData!$AI$27),"")</f>
        <v/>
      </c>
      <c r="AJ27" t="str">
        <f ca="1">IFERROR(IF(0=LEN(ReferenceData!$AJ$27),"",ReferenceData!$AJ$27),"")</f>
        <v/>
      </c>
      <c r="AK27" t="str">
        <f ca="1">IFERROR(IF(0=LEN(ReferenceData!$AK$27),"",ReferenceData!$AK$27),"")</f>
        <v/>
      </c>
      <c r="AL27">
        <f ca="1">IFERROR(IF(0=LEN(ReferenceData!$AL$27),"",ReferenceData!$AL$27),"")</f>
        <v>25.006863150000001</v>
      </c>
      <c r="AM27">
        <f ca="1">IFERROR(IF(0=LEN(ReferenceData!$AM$27),"",ReferenceData!$AM$27),"")</f>
        <v>32.014280839999998</v>
      </c>
      <c r="AN27">
        <f ca="1">IFERROR(IF(0=LEN(ReferenceData!$AN$27),"",ReferenceData!$AN$27),"")</f>
        <v>17.511758579999999</v>
      </c>
      <c r="AO27">
        <f ca="1">IFERROR(IF(0=LEN(ReferenceData!$AO$27),"",ReferenceData!$AO$27),"")</f>
        <v>27.20911448</v>
      </c>
      <c r="AP27" t="str">
        <f ca="1">IFERROR(IF(0=LEN(ReferenceData!$AP$27),"",ReferenceData!$AP$27),"")</f>
        <v/>
      </c>
      <c r="AQ27" t="str">
        <f ca="1">IFERROR(IF(0=LEN(ReferenceData!$AQ$27),"",ReferenceData!$AQ$27),"")</f>
        <v/>
      </c>
      <c r="AR27" t="str">
        <f ca="1">IFERROR(IF(0=LEN(ReferenceData!$AR$27),"",ReferenceData!$AR$27),"")</f>
        <v/>
      </c>
      <c r="AS27" t="str">
        <f ca="1">IFERROR(IF(0=LEN(ReferenceData!$AS$27),"",ReferenceData!$AS$27),"")</f>
        <v/>
      </c>
      <c r="AT27">
        <f ca="1">IFERROR(IF(0=LEN(ReferenceData!$AT$27),"",ReferenceData!$AT$27),"")</f>
        <v>3.1850099649999999</v>
      </c>
      <c r="AU27">
        <f ca="1">IFERROR(IF(0=LEN(ReferenceData!$AU$27),"",ReferenceData!$AU$27),"")</f>
        <v>2.775242601</v>
      </c>
      <c r="AV27">
        <f ca="1">IFERROR(IF(0=LEN(ReferenceData!$AV$27),"",ReferenceData!$AV$27),"")</f>
        <v>6.3809000429999996</v>
      </c>
      <c r="AW27">
        <f ca="1">IFERROR(IF(0=LEN(ReferenceData!$AW$27),"",ReferenceData!$AW$27),"")</f>
        <v>7.4377041659999996</v>
      </c>
      <c r="AX27">
        <f ca="1">IFERROR(IF(0=LEN(ReferenceData!$AX$27),"",ReferenceData!$AX$27),"")</f>
        <v>5.4131141510000003</v>
      </c>
      <c r="AY27">
        <f ca="1">IFERROR(IF(0=LEN(ReferenceData!$AY$27),"",ReferenceData!$AY$27),"")</f>
        <v>10.242102750000001</v>
      </c>
      <c r="AZ27">
        <f ca="1">IFERROR(IF(0=LEN(ReferenceData!$AZ$27),"",ReferenceData!$AZ$27),"")</f>
        <v>10.80126418</v>
      </c>
      <c r="BA27">
        <f ca="1">IFERROR(IF(0=LEN(ReferenceData!$BA$27),"",ReferenceData!$BA$27),"")</f>
        <v>14.1745302</v>
      </c>
      <c r="BB27">
        <f ca="1">IFERROR(IF(0=LEN(ReferenceData!$BB$27),"",ReferenceData!$BB$27),"")</f>
        <v>12.405814749999999</v>
      </c>
      <c r="BC27">
        <f ca="1">IFERROR(IF(0=LEN(ReferenceData!$BC$27),"",ReferenceData!$BC$27),"")</f>
        <v>16.71601317</v>
      </c>
      <c r="BD27">
        <f ca="1">IFERROR(IF(0=LEN(ReferenceData!$BD$27),"",ReferenceData!$BD$27),"")</f>
        <v>15.68146511</v>
      </c>
      <c r="BE27">
        <f ca="1">IFERROR(IF(0=LEN(ReferenceData!$BE$27),"",ReferenceData!$BE$27),"")</f>
        <v>12.962594920000001</v>
      </c>
      <c r="BF27">
        <f ca="1">IFERROR(IF(0=LEN(ReferenceData!$BF$27),"",ReferenceData!$BF$27),"")</f>
        <v>14.03805026</v>
      </c>
      <c r="BG27">
        <f ca="1">IFERROR(IF(0=LEN(ReferenceData!$BG$27),"",ReferenceData!$BG$27),"")</f>
        <v>11.12209567</v>
      </c>
      <c r="BH27">
        <f ca="1">IFERROR(IF(0=LEN(ReferenceData!$BH$27),"",ReferenceData!$BH$27),"")</f>
        <v>10.607480389999999</v>
      </c>
      <c r="BI27">
        <f ca="1">IFERROR(IF(0=LEN(ReferenceData!$BI$27),"",ReferenceData!$BI$27),"")</f>
        <v>14.66399358</v>
      </c>
      <c r="BJ27">
        <f ca="1">IFERROR(IF(0=LEN(ReferenceData!$BJ$27),"",ReferenceData!$BJ$27),"")</f>
        <v>9.7244729989999996</v>
      </c>
      <c r="BK27" t="str">
        <f ca="1">IFERROR(IF(0=LEN(ReferenceData!$BK$27),"",ReferenceData!$BK$27),"")</f>
        <v/>
      </c>
      <c r="BL27" t="str">
        <f ca="1">IFERROR(IF(0=LEN(ReferenceData!$BL$27),"",ReferenceData!$BL$27),"")</f>
        <v/>
      </c>
      <c r="BM27" t="str">
        <f ca="1">IFERROR(IF(0=LEN(ReferenceData!$BM$27),"",ReferenceData!$BM$27),"")</f>
        <v/>
      </c>
    </row>
    <row r="28" spans="1:65" x14ac:dyDescent="0.25">
      <c r="A28" t="str">
        <f>IFERROR(IF(0=LEN(ReferenceData!$A$28),"",ReferenceData!$A$28),"")</f>
        <v xml:space="preserve">    Mitsubishi Motors Corp</v>
      </c>
      <c r="B28" t="str">
        <f>IFERROR(IF(0=LEN(ReferenceData!$B$28),"",ReferenceData!$B$28),"")</f>
        <v>7211 JP Equity</v>
      </c>
      <c r="C28" t="str">
        <f>IFERROR(IF(0=LEN(ReferenceData!$C$28),"",ReferenceData!$C$28),"")</f>
        <v>RR900</v>
      </c>
      <c r="D28" t="str">
        <f>IFERROR(IF(0=LEN(ReferenceData!$D$28),"",ReferenceData!$D$28),"")</f>
        <v>PE_RATIO</v>
      </c>
      <c r="E28" t="str">
        <f>IFERROR(IF(0=LEN(ReferenceData!$E$28),"",ReferenceData!$E$28),"")</f>
        <v>Dynamic</v>
      </c>
      <c r="F28">
        <f ca="1">IFERROR(IF(0=LEN(ReferenceData!$F$28),"",ReferenceData!$F$28),"")</f>
        <v>8.6938319839999991</v>
      </c>
      <c r="G28">
        <f ca="1">IFERROR(IF(0=LEN(ReferenceData!$G$28),"",ReferenceData!$G$28),"")</f>
        <v>8.4007814679999999</v>
      </c>
      <c r="H28">
        <f ca="1">IFERROR(IF(0=LEN(ReferenceData!$H$28),"",ReferenceData!$H$28),"")</f>
        <v>10.75211154</v>
      </c>
      <c r="I28">
        <f ca="1">IFERROR(IF(0=LEN(ReferenceData!$I$28),"",ReferenceData!$I$28),"")</f>
        <v>11.65984418</v>
      </c>
      <c r="J28">
        <f ca="1">IFERROR(IF(0=LEN(ReferenceData!$J$28),"",ReferenceData!$J$28),"")</f>
        <v>10.53578845</v>
      </c>
      <c r="K28">
        <f ca="1">IFERROR(IF(0=LEN(ReferenceData!$K$28),"",ReferenceData!$K$28),"")</f>
        <v>14.28446082</v>
      </c>
      <c r="L28">
        <f ca="1">IFERROR(IF(0=LEN(ReferenceData!$L$28),"",ReferenceData!$L$28),"")</f>
        <v>11.881716839999999</v>
      </c>
      <c r="M28" t="str">
        <f ca="1">IFERROR(IF(0=LEN(ReferenceData!$M$28),"",ReferenceData!$M$28),"")</f>
        <v/>
      </c>
      <c r="N28" t="str">
        <f ca="1">IFERROR(IF(0=LEN(ReferenceData!$N$28),"",ReferenceData!$N$28),"")</f>
        <v/>
      </c>
      <c r="O28" t="str">
        <f ca="1">IFERROR(IF(0=LEN(ReferenceData!$O$28),"",ReferenceData!$O$28),"")</f>
        <v/>
      </c>
      <c r="P28" t="str">
        <f ca="1">IFERROR(IF(0=LEN(ReferenceData!$P$28),"",ReferenceData!$P$28),"")</f>
        <v/>
      </c>
      <c r="Q28">
        <f ca="1">IFERROR(IF(0=LEN(ReferenceData!$Q$28),"",ReferenceData!$Q$28),"")</f>
        <v>6.3279132789999997</v>
      </c>
      <c r="R28">
        <f ca="1">IFERROR(IF(0=LEN(ReferenceData!$R$28),"",ReferenceData!$R$28),"")</f>
        <v>11.42276423</v>
      </c>
      <c r="S28">
        <f ca="1">IFERROR(IF(0=LEN(ReferenceData!$S$28),"",ReferenceData!$S$28),"")</f>
        <v>10.515569169999999</v>
      </c>
      <c r="T28">
        <f ca="1">IFERROR(IF(0=LEN(ReferenceData!$T$28),"",ReferenceData!$T$28),"")</f>
        <v>8.202176455</v>
      </c>
      <c r="U28">
        <f ca="1">IFERROR(IF(0=LEN(ReferenceData!$U$28),"",ReferenceData!$U$28),"")</f>
        <v>8.9889579019999992</v>
      </c>
      <c r="V28">
        <f ca="1">IFERROR(IF(0=LEN(ReferenceData!$V$28),"",ReferenceData!$V$28),"")</f>
        <v>9.0296271640000008</v>
      </c>
      <c r="W28">
        <f ca="1">IFERROR(IF(0=LEN(ReferenceData!$W$28),"",ReferenceData!$W$28),"")</f>
        <v>9.2300016629999995</v>
      </c>
      <c r="X28">
        <f ca="1">IFERROR(IF(0=LEN(ReferenceData!$X$28),"",ReferenceData!$X$28),"")</f>
        <v>8.9406865050000004</v>
      </c>
      <c r="Y28">
        <f ca="1">IFERROR(IF(0=LEN(ReferenceData!$Y$28),"",ReferenceData!$Y$28),"")</f>
        <v>6.8021416400000003</v>
      </c>
      <c r="Z28">
        <f ca="1">IFERROR(IF(0=LEN(ReferenceData!$Z$28),"",ReferenceData!$Z$28),"")</f>
        <v>6.6490180390000004</v>
      </c>
      <c r="AA28">
        <f ca="1">IFERROR(IF(0=LEN(ReferenceData!$AA$28),"",ReferenceData!$AA$28),"")</f>
        <v>6.3922545580000003</v>
      </c>
      <c r="AB28">
        <f ca="1">IFERROR(IF(0=LEN(ReferenceData!$AB$28),"",ReferenceData!$AB$28),"")</f>
        <v>12.320982040000001</v>
      </c>
      <c r="AC28">
        <f ca="1">IFERROR(IF(0=LEN(ReferenceData!$AC$28),"",ReferenceData!$AC$28),"")</f>
        <v>23.734729489999999</v>
      </c>
      <c r="AD28">
        <f ca="1">IFERROR(IF(0=LEN(ReferenceData!$AD$28),"",ReferenceData!$AD$28),"")</f>
        <v>14.714714710000001</v>
      </c>
      <c r="AE28">
        <f ca="1">IFERROR(IF(0=LEN(ReferenceData!$AE$28),"",ReferenceData!$AE$28),"")</f>
        <v>17.449386000000001</v>
      </c>
      <c r="AF28">
        <f ca="1">IFERROR(IF(0=LEN(ReferenceData!$AF$28),"",ReferenceData!$AF$28),"")</f>
        <v>9.2087014039999993</v>
      </c>
      <c r="AG28">
        <f ca="1">IFERROR(IF(0=LEN(ReferenceData!$AG$28),"",ReferenceData!$AG$28),"")</f>
        <v>11.18920868</v>
      </c>
      <c r="AH28">
        <f ca="1">IFERROR(IF(0=LEN(ReferenceData!$AH$28),"",ReferenceData!$AH$28),"")</f>
        <v>21.760538700000001</v>
      </c>
      <c r="AI28">
        <f ca="1">IFERROR(IF(0=LEN(ReferenceData!$AI$28),"",ReferenceData!$AI$28),"")</f>
        <v>16.003787450000001</v>
      </c>
      <c r="AJ28">
        <f ca="1">IFERROR(IF(0=LEN(ReferenceData!$AJ$28),"",ReferenceData!$AJ$28),"")</f>
        <v>18.334161630000001</v>
      </c>
      <c r="AK28">
        <f ca="1">IFERROR(IF(0=LEN(ReferenceData!$AK$28),"",ReferenceData!$AK$28),"")</f>
        <v>17.172273300000001</v>
      </c>
      <c r="AL28">
        <f ca="1">IFERROR(IF(0=LEN(ReferenceData!$AL$28),"",ReferenceData!$AL$28),"")</f>
        <v>36.210352329999999</v>
      </c>
      <c r="AM28">
        <f ca="1">IFERROR(IF(0=LEN(ReferenceData!$AM$28),"",ReferenceData!$AM$28),"")</f>
        <v>23.18212368</v>
      </c>
      <c r="AN28">
        <f ca="1">IFERROR(IF(0=LEN(ReferenceData!$AN$28),"",ReferenceData!$AN$28),"")</f>
        <v>16.666337930000001</v>
      </c>
      <c r="AO28">
        <f ca="1">IFERROR(IF(0=LEN(ReferenceData!$AO$28),"",ReferenceData!$AO$28),"")</f>
        <v>32.192549049999997</v>
      </c>
      <c r="AP28">
        <f ca="1">IFERROR(IF(0=LEN(ReferenceData!$AP$28),"",ReferenceData!$AP$28),"")</f>
        <v>147.6522708</v>
      </c>
      <c r="AQ28" t="str">
        <f ca="1">IFERROR(IF(0=LEN(ReferenceData!$AQ$28),"",ReferenceData!$AQ$28),"")</f>
        <v/>
      </c>
      <c r="AR28" t="str">
        <f ca="1">IFERROR(IF(0=LEN(ReferenceData!$AR$28),"",ReferenceData!$AR$28),"")</f>
        <v/>
      </c>
      <c r="AS28" t="str">
        <f ca="1">IFERROR(IF(0=LEN(ReferenceData!$AS$28),"",ReferenceData!$AS$28),"")</f>
        <v/>
      </c>
      <c r="AT28">
        <f ca="1">IFERROR(IF(0=LEN(ReferenceData!$AT$28),"",ReferenceData!$AT$28),"")</f>
        <v>85.006693440000006</v>
      </c>
      <c r="AU28">
        <f ca="1">IFERROR(IF(0=LEN(ReferenceData!$AU$28),"",ReferenceData!$AU$28),"")</f>
        <v>81.659973230000006</v>
      </c>
      <c r="AV28">
        <f ca="1">IFERROR(IF(0=LEN(ReferenceData!$AV$28),"",ReferenceData!$AV$28),"")</f>
        <v>18.098606199999999</v>
      </c>
      <c r="AW28">
        <f ca="1">IFERROR(IF(0=LEN(ReferenceData!$AW$28),"",ReferenceData!$AW$28),"")</f>
        <v>20.02490143</v>
      </c>
      <c r="AX28">
        <f ca="1">IFERROR(IF(0=LEN(ReferenceData!$AX$28),"",ReferenceData!$AX$28),"")</f>
        <v>26.122969099999999</v>
      </c>
      <c r="AY28">
        <f ca="1">IFERROR(IF(0=LEN(ReferenceData!$AY$28),"",ReferenceData!$AY$28),"")</f>
        <v>24.64146023</v>
      </c>
      <c r="AZ28">
        <f ca="1">IFERROR(IF(0=LEN(ReferenceData!$AZ$28),"",ReferenceData!$AZ$28),"")</f>
        <v>49.900199600000001</v>
      </c>
      <c r="BA28">
        <f ca="1">IFERROR(IF(0=LEN(ReferenceData!$BA$28),"",ReferenceData!$BA$28),"")</f>
        <v>65.568022439999993</v>
      </c>
      <c r="BB28">
        <f ca="1">IFERROR(IF(0=LEN(ReferenceData!$BB$28),"",ReferenceData!$BB$28),"")</f>
        <v>114.8564295</v>
      </c>
      <c r="BC28" t="str">
        <f ca="1">IFERROR(IF(0=LEN(ReferenceData!$BC$28),"",ReferenceData!$BC$28),"")</f>
        <v/>
      </c>
      <c r="BD28" t="str">
        <f ca="1">IFERROR(IF(0=LEN(ReferenceData!$BD$28),"",ReferenceData!$BD$28),"")</f>
        <v/>
      </c>
      <c r="BE28" t="str">
        <f ca="1">IFERROR(IF(0=LEN(ReferenceData!$BE$28),"",ReferenceData!$BE$28),"")</f>
        <v/>
      </c>
      <c r="BF28" t="str">
        <f ca="1">IFERROR(IF(0=LEN(ReferenceData!$BF$28),"",ReferenceData!$BF$28),"")</f>
        <v/>
      </c>
      <c r="BG28" t="str">
        <f ca="1">IFERROR(IF(0=LEN(ReferenceData!$BG$28),"",ReferenceData!$BG$28),"")</f>
        <v/>
      </c>
      <c r="BH28" t="str">
        <f ca="1">IFERROR(IF(0=LEN(ReferenceData!$BH$28),"",ReferenceData!$BH$28),"")</f>
        <v/>
      </c>
      <c r="BI28" t="str">
        <f ca="1">IFERROR(IF(0=LEN(ReferenceData!$BI$28),"",ReferenceData!$BI$28),"")</f>
        <v/>
      </c>
      <c r="BJ28" t="str">
        <f ca="1">IFERROR(IF(0=LEN(ReferenceData!$BJ$28),"",ReferenceData!$BJ$28),"")</f>
        <v/>
      </c>
      <c r="BK28" t="str">
        <f ca="1">IFERROR(IF(0=LEN(ReferenceData!$BK$28),"",ReferenceData!$BK$28),"")</f>
        <v/>
      </c>
      <c r="BL28" t="str">
        <f ca="1">IFERROR(IF(0=LEN(ReferenceData!$BL$28),"",ReferenceData!$BL$28),"")</f>
        <v/>
      </c>
      <c r="BM28" t="str">
        <f ca="1">IFERROR(IF(0=LEN(ReferenceData!$BM$28),"",ReferenceData!$BM$28),"")</f>
        <v/>
      </c>
    </row>
    <row r="29" spans="1:65" x14ac:dyDescent="0.25">
      <c r="A29" t="str">
        <f>IFERROR(IF(0=LEN(ReferenceData!$A$29),"",ReferenceData!$A$29),"")</f>
        <v xml:space="preserve">    Nissan Motor Co Ltd</v>
      </c>
      <c r="B29" t="str">
        <f>IFERROR(IF(0=LEN(ReferenceData!$B$29),"",ReferenceData!$B$29),"")</f>
        <v>7201 JP Equity</v>
      </c>
      <c r="C29" t="str">
        <f>IFERROR(IF(0=LEN(ReferenceData!$C$29),"",ReferenceData!$C$29),"")</f>
        <v>RR900</v>
      </c>
      <c r="D29" t="str">
        <f>IFERROR(IF(0=LEN(ReferenceData!$D$29),"",ReferenceData!$D$29),"")</f>
        <v>PE_RATIO</v>
      </c>
      <c r="E29" t="str">
        <f>IFERROR(IF(0=LEN(ReferenceData!$E$29),"",ReferenceData!$E$29),"")</f>
        <v>Dynamic</v>
      </c>
      <c r="F29">
        <f ca="1">IFERROR(IF(0=LEN(ReferenceData!$F$29),"",ReferenceData!$F$29),"")</f>
        <v>7.6346087220000003</v>
      </c>
      <c r="G29">
        <f ca="1">IFERROR(IF(0=LEN(ReferenceData!$G$29),"",ReferenceData!$G$29),"")</f>
        <v>7.092387145</v>
      </c>
      <c r="H29">
        <f ca="1">IFERROR(IF(0=LEN(ReferenceData!$H$29),"",ReferenceData!$H$29),"")</f>
        <v>5.8037370939999997</v>
      </c>
      <c r="I29">
        <f ca="1">IFERROR(IF(0=LEN(ReferenceData!$I$29),"",ReferenceData!$I$29),"")</f>
        <v>5.7927713949999999</v>
      </c>
      <c r="J29">
        <f ca="1">IFERROR(IF(0=LEN(ReferenceData!$J$29),"",ReferenceData!$J$29),"")</f>
        <v>5.7811943609999998</v>
      </c>
      <c r="K29">
        <f ca="1">IFERROR(IF(0=LEN(ReferenceData!$K$29),"",ReferenceData!$K$29),"")</f>
        <v>5.310801229</v>
      </c>
      <c r="L29">
        <f ca="1">IFERROR(IF(0=LEN(ReferenceData!$L$29),"",ReferenceData!$L$29),"")</f>
        <v>6.6366938610000004</v>
      </c>
      <c r="M29">
        <f ca="1">IFERROR(IF(0=LEN(ReferenceData!$M$29),"",ReferenceData!$M$29),"")</f>
        <v>6.6528214979999998</v>
      </c>
      <c r="N29">
        <f ca="1">IFERROR(IF(0=LEN(ReferenceData!$N$29),"",ReferenceData!$N$29),"")</f>
        <v>6.4405234010000001</v>
      </c>
      <c r="O29">
        <f ca="1">IFERROR(IF(0=LEN(ReferenceData!$O$29),"",ReferenceData!$O$29),"")</f>
        <v>9.8035945120000001</v>
      </c>
      <c r="P29">
        <f ca="1">IFERROR(IF(0=LEN(ReferenceData!$P$29),"",ReferenceData!$P$29),"")</f>
        <v>8.4167701600000004</v>
      </c>
      <c r="Q29">
        <f ca="1">IFERROR(IF(0=LEN(ReferenceData!$Q$29),"",ReferenceData!$Q$29),"")</f>
        <v>7.5450450450000002</v>
      </c>
      <c r="R29">
        <f ca="1">IFERROR(IF(0=LEN(ReferenceData!$R$29),"",ReferenceData!$R$29),"")</f>
        <v>8.3336000509999995</v>
      </c>
      <c r="S29">
        <f ca="1">IFERROR(IF(0=LEN(ReferenceData!$S$29),"",ReferenceData!$S$29),"")</f>
        <v>9.3853150440000004</v>
      </c>
      <c r="T29">
        <f ca="1">IFERROR(IF(0=LEN(ReferenceData!$T$29),"",ReferenceData!$T$29),"")</f>
        <v>8.3985874410000001</v>
      </c>
      <c r="U29">
        <f ca="1">IFERROR(IF(0=LEN(ReferenceData!$U$29),"",ReferenceData!$U$29),"")</f>
        <v>10.729613730000001</v>
      </c>
      <c r="V29">
        <f ca="1">IFERROR(IF(0=LEN(ReferenceData!$V$29),"",ReferenceData!$V$29),"")</f>
        <v>11.214953270000001</v>
      </c>
      <c r="W29">
        <f ca="1">IFERROR(IF(0=LEN(ReferenceData!$W$29),"",ReferenceData!$W$29),"")</f>
        <v>9.7653362900000005</v>
      </c>
      <c r="X29">
        <f ca="1">IFERROR(IF(0=LEN(ReferenceData!$X$29),"",ReferenceData!$X$29),"")</f>
        <v>10.27193235</v>
      </c>
      <c r="Y29">
        <f ca="1">IFERROR(IF(0=LEN(ReferenceData!$Y$29),"",ReferenceData!$Y$29),"")</f>
        <v>9.61</v>
      </c>
      <c r="Z29">
        <f ca="1">IFERROR(IF(0=LEN(ReferenceData!$Z$29),"",ReferenceData!$Z$29),"")</f>
        <v>9.9116569699999992</v>
      </c>
      <c r="AA29">
        <f ca="1">IFERROR(IF(0=LEN(ReferenceData!$AA$29),"",ReferenceData!$AA$29),"")</f>
        <v>9.6538167519999991</v>
      </c>
      <c r="AB29">
        <f ca="1">IFERROR(IF(0=LEN(ReferenceData!$AB$29),"",ReferenceData!$AB$29),"")</f>
        <v>11.67398268</v>
      </c>
      <c r="AC29">
        <f ca="1">IFERROR(IF(0=LEN(ReferenceData!$AC$29),"",ReferenceData!$AC$29),"")</f>
        <v>11.99427139</v>
      </c>
      <c r="AD29">
        <f ca="1">IFERROR(IF(0=LEN(ReferenceData!$AD$29),"",ReferenceData!$AD$29),"")</f>
        <v>11.119302129999999</v>
      </c>
      <c r="AE29">
        <f ca="1">IFERROR(IF(0=LEN(ReferenceData!$AE$29),"",ReferenceData!$AE$29),"")</f>
        <v>11.071135200000001</v>
      </c>
      <c r="AF29">
        <f ca="1">IFERROR(IF(0=LEN(ReferenceData!$AF$29),"",ReferenceData!$AF$29),"")</f>
        <v>8.2914031470000005</v>
      </c>
      <c r="AG29">
        <f ca="1">IFERROR(IF(0=LEN(ReferenceData!$AG$29),"",ReferenceData!$AG$29),"")</f>
        <v>9.5277455720000006</v>
      </c>
      <c r="AH29">
        <f ca="1">IFERROR(IF(0=LEN(ReferenceData!$AH$29),"",ReferenceData!$AH$29),"")</f>
        <v>10.788958969999999</v>
      </c>
      <c r="AI29">
        <f ca="1">IFERROR(IF(0=LEN(ReferenceData!$AI$29),"",ReferenceData!$AI$29),"")</f>
        <v>9.7490452059999999</v>
      </c>
      <c r="AJ29">
        <f ca="1">IFERROR(IF(0=LEN(ReferenceData!$AJ$29),"",ReferenceData!$AJ$29),"")</f>
        <v>9.8533640279999997</v>
      </c>
      <c r="AK29">
        <f ca="1">IFERROR(IF(0=LEN(ReferenceData!$AK$29),"",ReferenceData!$AK$29),"")</f>
        <v>11.839592919999999</v>
      </c>
      <c r="AL29">
        <f ca="1">IFERROR(IF(0=LEN(ReferenceData!$AL$29),"",ReferenceData!$AL$29),"")</f>
        <v>9.6537078940000001</v>
      </c>
      <c r="AM29">
        <f ca="1">IFERROR(IF(0=LEN(ReferenceData!$AM$29),"",ReferenceData!$AM$29),"")</f>
        <v>11.667896880000001</v>
      </c>
      <c r="AN29">
        <f ca="1">IFERROR(IF(0=LEN(ReferenceData!$AN$29),"",ReferenceData!$AN$29),"")</f>
        <v>12.53650957</v>
      </c>
      <c r="AO29">
        <f ca="1">IFERROR(IF(0=LEN(ReferenceData!$AO$29),"",ReferenceData!$AO$29),"")</f>
        <v>15.60701944</v>
      </c>
      <c r="AP29">
        <f ca="1">IFERROR(IF(0=LEN(ReferenceData!$AP$29),"",ReferenceData!$AP$29),"")</f>
        <v>77.01806809</v>
      </c>
      <c r="AQ29" t="str">
        <f ca="1">IFERROR(IF(0=LEN(ReferenceData!$AQ$29),"",ReferenceData!$AQ$29),"")</f>
        <v/>
      </c>
      <c r="AR29" t="str">
        <f ca="1">IFERROR(IF(0=LEN(ReferenceData!$AR$29),"",ReferenceData!$AR$29),"")</f>
        <v/>
      </c>
      <c r="AS29" t="str">
        <f ca="1">IFERROR(IF(0=LEN(ReferenceData!$AS$29),"",ReferenceData!$AS$29),"")</f>
        <v/>
      </c>
      <c r="AT29">
        <f ca="1">IFERROR(IF(0=LEN(ReferenceData!$AT$29),"",ReferenceData!$AT$29),"")</f>
        <v>8.1489841989999992</v>
      </c>
      <c r="AU29">
        <f ca="1">IFERROR(IF(0=LEN(ReferenceData!$AU$29),"",ReferenceData!$AU$29),"")</f>
        <v>7.2234762979999996</v>
      </c>
      <c r="AV29">
        <f ca="1">IFERROR(IF(0=LEN(ReferenceData!$AV$29),"",ReferenceData!$AV$29),"")</f>
        <v>7.182605111</v>
      </c>
      <c r="AW29">
        <f ca="1">IFERROR(IF(0=LEN(ReferenceData!$AW$29),"",ReferenceData!$AW$29),"")</f>
        <v>8.0982501500000001</v>
      </c>
      <c r="AX29">
        <f ca="1">IFERROR(IF(0=LEN(ReferenceData!$AX$29),"",ReferenceData!$AX$29),"")</f>
        <v>6.9952035319999997</v>
      </c>
      <c r="AY29">
        <f ca="1">IFERROR(IF(0=LEN(ReferenceData!$AY$29),"",ReferenceData!$AY$29),"")</f>
        <v>11.81862731</v>
      </c>
      <c r="AZ29">
        <f ca="1">IFERROR(IF(0=LEN(ReferenceData!$AZ$29),"",ReferenceData!$AZ$29),"")</f>
        <v>11.829029029999999</v>
      </c>
      <c r="BA29">
        <f ca="1">IFERROR(IF(0=LEN(ReferenceData!$BA$29),"",ReferenceData!$BA$29),"")</f>
        <v>12.23964147</v>
      </c>
      <c r="BB29">
        <f ca="1">IFERROR(IF(0=LEN(ReferenceData!$BB$29),"",ReferenceData!$BB$29),"")</f>
        <v>11.24385738</v>
      </c>
      <c r="BC29">
        <f ca="1">IFERROR(IF(0=LEN(ReferenceData!$BC$29),"",ReferenceData!$BC$29),"")</f>
        <v>11.0684576</v>
      </c>
      <c r="BD29">
        <f ca="1">IFERROR(IF(0=LEN(ReferenceData!$BD$29),"",ReferenceData!$BD$29),"")</f>
        <v>9.6556694840000006</v>
      </c>
      <c r="BE29">
        <f ca="1">IFERROR(IF(0=LEN(ReferenceData!$BE$29),"",ReferenceData!$BE$29),"")</f>
        <v>9.7799168200000004</v>
      </c>
      <c r="BF29">
        <f ca="1">IFERROR(IF(0=LEN(ReferenceData!$BF$29),"",ReferenceData!$BF$29),"")</f>
        <v>11.015424700000001</v>
      </c>
      <c r="BG29">
        <f ca="1">IFERROR(IF(0=LEN(ReferenceData!$BG$29),"",ReferenceData!$BG$29),"")</f>
        <v>9.6406773529999992</v>
      </c>
      <c r="BH29">
        <f ca="1">IFERROR(IF(0=LEN(ReferenceData!$BH$29),"",ReferenceData!$BH$29),"")</f>
        <v>10.47924761</v>
      </c>
      <c r="BI29">
        <f ca="1">IFERROR(IF(0=LEN(ReferenceData!$BI$29),"",ReferenceData!$BI$29),"")</f>
        <v>9.0616489229999999</v>
      </c>
      <c r="BJ29">
        <f ca="1">IFERROR(IF(0=LEN(ReferenceData!$BJ$29),"",ReferenceData!$BJ$29),"")</f>
        <v>8.7723498660000008</v>
      </c>
      <c r="BK29" t="str">
        <f ca="1">IFERROR(IF(0=LEN(ReferenceData!$BK$29),"",ReferenceData!$BK$29),"")</f>
        <v/>
      </c>
      <c r="BL29" t="str">
        <f ca="1">IFERROR(IF(0=LEN(ReferenceData!$BL$29),"",ReferenceData!$BL$29),"")</f>
        <v/>
      </c>
      <c r="BM29" t="str">
        <f ca="1">IFERROR(IF(0=LEN(ReferenceData!$BM$29),"",ReferenceData!$BM$29),"")</f>
        <v/>
      </c>
    </row>
    <row r="30" spans="1:65" x14ac:dyDescent="0.25">
      <c r="A30" t="str">
        <f>IFERROR(IF(0=LEN(ReferenceData!$A$30),"",ReferenceData!$A$30),"")</f>
        <v xml:space="preserve">    Peugeot SA</v>
      </c>
      <c r="B30" t="str">
        <f>IFERROR(IF(0=LEN(ReferenceData!$B$30),"",ReferenceData!$B$30),"")</f>
        <v>UG FP Equity</v>
      </c>
      <c r="C30" t="str">
        <f>IFERROR(IF(0=LEN(ReferenceData!$C$30),"",ReferenceData!$C$30),"")</f>
        <v>RR900</v>
      </c>
      <c r="D30" t="str">
        <f>IFERROR(IF(0=LEN(ReferenceData!$D$30),"",ReferenceData!$D$30),"")</f>
        <v>PE_RATIO</v>
      </c>
      <c r="E30" t="str">
        <f>IFERROR(IF(0=LEN(ReferenceData!$E$30),"",ReferenceData!$E$30),"")</f>
        <v>Dynamic</v>
      </c>
      <c r="F30" t="str">
        <f ca="1">IFERROR(IF(0=LEN(ReferenceData!$F$30),"",ReferenceData!$F$30),"")</f>
        <v/>
      </c>
      <c r="G30" t="str">
        <f ca="1">IFERROR(IF(0=LEN(ReferenceData!$G$30),"",ReferenceData!$G$30),"")</f>
        <v/>
      </c>
      <c r="H30" t="str">
        <f ca="1">IFERROR(IF(0=LEN(ReferenceData!$H$30),"",ReferenceData!$H$30),"")</f>
        <v/>
      </c>
      <c r="I30" t="str">
        <f ca="1">IFERROR(IF(0=LEN(ReferenceData!$I$30),"",ReferenceData!$I$30),"")</f>
        <v/>
      </c>
      <c r="J30" t="str">
        <f ca="1">IFERROR(IF(0=LEN(ReferenceData!$J$30),"",ReferenceData!$J$30),"")</f>
        <v/>
      </c>
      <c r="K30" t="str">
        <f ca="1">IFERROR(IF(0=LEN(ReferenceData!$K$30),"",ReferenceData!$K$30),"")</f>
        <v/>
      </c>
      <c r="L30" t="str">
        <f ca="1">IFERROR(IF(0=LEN(ReferenceData!$L$30),"",ReferenceData!$L$30),"")</f>
        <v/>
      </c>
      <c r="M30" t="str">
        <f ca="1">IFERROR(IF(0=LEN(ReferenceData!$M$30),"",ReferenceData!$M$30),"")</f>
        <v/>
      </c>
      <c r="N30" t="str">
        <f ca="1">IFERROR(IF(0=LEN(ReferenceData!$N$30),"",ReferenceData!$N$30),"")</f>
        <v/>
      </c>
      <c r="O30" t="str">
        <f ca="1">IFERROR(IF(0=LEN(ReferenceData!$O$30),"",ReferenceData!$O$30),"")</f>
        <v/>
      </c>
      <c r="P30" t="str">
        <f ca="1">IFERROR(IF(0=LEN(ReferenceData!$P$30),"",ReferenceData!$P$30),"")</f>
        <v/>
      </c>
      <c r="Q30" t="str">
        <f ca="1">IFERROR(IF(0=LEN(ReferenceData!$Q$30),"",ReferenceData!$Q$30),"")</f>
        <v/>
      </c>
      <c r="R30" t="str">
        <f ca="1">IFERROR(IF(0=LEN(ReferenceData!$R$30),"",ReferenceData!$R$30),"")</f>
        <v/>
      </c>
      <c r="S30" t="str">
        <f ca="1">IFERROR(IF(0=LEN(ReferenceData!$S$30),"",ReferenceData!$S$30),"")</f>
        <v/>
      </c>
      <c r="T30" t="str">
        <f ca="1">IFERROR(IF(0=LEN(ReferenceData!$T$30),"",ReferenceData!$T$30),"")</f>
        <v/>
      </c>
      <c r="U30" t="str">
        <f ca="1">IFERROR(IF(0=LEN(ReferenceData!$U$30),"",ReferenceData!$U$30),"")</f>
        <v/>
      </c>
      <c r="V30" t="str">
        <f ca="1">IFERROR(IF(0=LEN(ReferenceData!$V$30),"",ReferenceData!$V$30),"")</f>
        <v/>
      </c>
      <c r="W30" t="str">
        <f ca="1">IFERROR(IF(0=LEN(ReferenceData!$W$30),"",ReferenceData!$W$30),"")</f>
        <v/>
      </c>
      <c r="X30" t="str">
        <f ca="1">IFERROR(IF(0=LEN(ReferenceData!$X$30),"",ReferenceData!$X$30),"")</f>
        <v/>
      </c>
      <c r="Y30" t="str">
        <f ca="1">IFERROR(IF(0=LEN(ReferenceData!$Y$30),"",ReferenceData!$Y$30),"")</f>
        <v/>
      </c>
      <c r="Z30" t="str">
        <f ca="1">IFERROR(IF(0=LEN(ReferenceData!$Z$30),"",ReferenceData!$Z$30),"")</f>
        <v/>
      </c>
      <c r="AA30" t="str">
        <f ca="1">IFERROR(IF(0=LEN(ReferenceData!$AA$30),"",ReferenceData!$AA$30),"")</f>
        <v/>
      </c>
      <c r="AB30" t="str">
        <f ca="1">IFERROR(IF(0=LEN(ReferenceData!$AB$30),"",ReferenceData!$AB$30),"")</f>
        <v/>
      </c>
      <c r="AC30" t="str">
        <f ca="1">IFERROR(IF(0=LEN(ReferenceData!$AC$30),"",ReferenceData!$AC$30),"")</f>
        <v/>
      </c>
      <c r="AD30" t="str">
        <f ca="1">IFERROR(IF(0=LEN(ReferenceData!$AD$30),"",ReferenceData!$AD$30),"")</f>
        <v/>
      </c>
      <c r="AE30" t="str">
        <f ca="1">IFERROR(IF(0=LEN(ReferenceData!$AE$30),"",ReferenceData!$AE$30),"")</f>
        <v/>
      </c>
      <c r="AF30" t="str">
        <f ca="1">IFERROR(IF(0=LEN(ReferenceData!$AF$30),"",ReferenceData!$AF$30),"")</f>
        <v/>
      </c>
      <c r="AG30" t="str">
        <f ca="1">IFERROR(IF(0=LEN(ReferenceData!$AG$30),"",ReferenceData!$AG$30),"")</f>
        <v/>
      </c>
      <c r="AH30" t="str">
        <f ca="1">IFERROR(IF(0=LEN(ReferenceData!$AH$30),"",ReferenceData!$AH$30),"")</f>
        <v/>
      </c>
      <c r="AI30" t="str">
        <f ca="1">IFERROR(IF(0=LEN(ReferenceData!$AI$30),"",ReferenceData!$AI$30),"")</f>
        <v/>
      </c>
      <c r="AJ30" t="str">
        <f ca="1">IFERROR(IF(0=LEN(ReferenceData!$AJ$30),"",ReferenceData!$AJ$30),"")</f>
        <v/>
      </c>
      <c r="AK30" t="str">
        <f ca="1">IFERROR(IF(0=LEN(ReferenceData!$AK$30),"",ReferenceData!$AK$30),"")</f>
        <v/>
      </c>
      <c r="AL30" t="str">
        <f ca="1">IFERROR(IF(0=LEN(ReferenceData!$AL$30),"",ReferenceData!$AL$30),"")</f>
        <v/>
      </c>
      <c r="AM30" t="str">
        <f ca="1">IFERROR(IF(0=LEN(ReferenceData!$AM$30),"",ReferenceData!$AM$30),"")</f>
        <v/>
      </c>
      <c r="AN30" t="str">
        <f ca="1">IFERROR(IF(0=LEN(ReferenceData!$AN$30),"",ReferenceData!$AN$30),"")</f>
        <v/>
      </c>
      <c r="AO30" t="str">
        <f ca="1">IFERROR(IF(0=LEN(ReferenceData!$AO$30),"",ReferenceData!$AO$30),"")</f>
        <v/>
      </c>
      <c r="AP30" t="str">
        <f ca="1">IFERROR(IF(0=LEN(ReferenceData!$AP$30),"",ReferenceData!$AP$30),"")</f>
        <v/>
      </c>
      <c r="AQ30" t="str">
        <f ca="1">IFERROR(IF(0=LEN(ReferenceData!$AQ$30),"",ReferenceData!$AQ$30),"")</f>
        <v/>
      </c>
      <c r="AR30" t="str">
        <f ca="1">IFERROR(IF(0=LEN(ReferenceData!$AR$30),"",ReferenceData!$AR$30),"")</f>
        <v/>
      </c>
      <c r="AS30" t="str">
        <f ca="1">IFERROR(IF(0=LEN(ReferenceData!$AS$30),"",ReferenceData!$AS$30),"")</f>
        <v/>
      </c>
      <c r="AT30" t="str">
        <f ca="1">IFERROR(IF(0=LEN(ReferenceData!$AT$30),"",ReferenceData!$AT$30),"")</f>
        <v/>
      </c>
      <c r="AU30" t="str">
        <f ca="1">IFERROR(IF(0=LEN(ReferenceData!$AU$30),"",ReferenceData!$AU$30),"")</f>
        <v/>
      </c>
      <c r="AV30" t="str">
        <f ca="1">IFERROR(IF(0=LEN(ReferenceData!$AV$30),"",ReferenceData!$AV$30),"")</f>
        <v/>
      </c>
      <c r="AW30" t="str">
        <f ca="1">IFERROR(IF(0=LEN(ReferenceData!$AW$30),"",ReferenceData!$AW$30),"")</f>
        <v/>
      </c>
      <c r="AX30" t="str">
        <f ca="1">IFERROR(IF(0=LEN(ReferenceData!$AX$30),"",ReferenceData!$AX$30),"")</f>
        <v/>
      </c>
      <c r="AY30" t="str">
        <f ca="1">IFERROR(IF(0=LEN(ReferenceData!$AY$30),"",ReferenceData!$AY$30),"")</f>
        <v/>
      </c>
      <c r="AZ30" t="str">
        <f ca="1">IFERROR(IF(0=LEN(ReferenceData!$AZ$30),"",ReferenceData!$AZ$30),"")</f>
        <v/>
      </c>
      <c r="BA30" t="str">
        <f ca="1">IFERROR(IF(0=LEN(ReferenceData!$BA$30),"",ReferenceData!$BA$30),"")</f>
        <v/>
      </c>
      <c r="BB30" t="str">
        <f ca="1">IFERROR(IF(0=LEN(ReferenceData!$BB$30),"",ReferenceData!$BB$30),"")</f>
        <v/>
      </c>
      <c r="BC30" t="str">
        <f ca="1">IFERROR(IF(0=LEN(ReferenceData!$BC$30),"",ReferenceData!$BC$30),"")</f>
        <v/>
      </c>
      <c r="BD30" t="str">
        <f ca="1">IFERROR(IF(0=LEN(ReferenceData!$BD$30),"",ReferenceData!$BD$30),"")</f>
        <v/>
      </c>
      <c r="BE30" t="str">
        <f ca="1">IFERROR(IF(0=LEN(ReferenceData!$BE$30),"",ReferenceData!$BE$30),"")</f>
        <v/>
      </c>
      <c r="BF30" t="str">
        <f ca="1">IFERROR(IF(0=LEN(ReferenceData!$BF$30),"",ReferenceData!$BF$30),"")</f>
        <v/>
      </c>
      <c r="BG30" t="str">
        <f ca="1">IFERROR(IF(0=LEN(ReferenceData!$BG$30),"",ReferenceData!$BG$30),"")</f>
        <v/>
      </c>
      <c r="BH30" t="str">
        <f ca="1">IFERROR(IF(0=LEN(ReferenceData!$BH$30),"",ReferenceData!$BH$30),"")</f>
        <v/>
      </c>
      <c r="BI30" t="str">
        <f ca="1">IFERROR(IF(0=LEN(ReferenceData!$BI$30),"",ReferenceData!$BI$30),"")</f>
        <v/>
      </c>
      <c r="BJ30" t="str">
        <f ca="1">IFERROR(IF(0=LEN(ReferenceData!$BJ$30),"",ReferenceData!$BJ$30),"")</f>
        <v/>
      </c>
      <c r="BK30" t="str">
        <f ca="1">IFERROR(IF(0=LEN(ReferenceData!$BK$30),"",ReferenceData!$BK$30),"")</f>
        <v/>
      </c>
      <c r="BL30" t="str">
        <f ca="1">IFERROR(IF(0=LEN(ReferenceData!$BL$30),"",ReferenceData!$BL$30),"")</f>
        <v/>
      </c>
      <c r="BM30" t="str">
        <f ca="1">IFERROR(IF(0=LEN(ReferenceData!$BM$30),"",ReferenceData!$BM$30),"")</f>
        <v/>
      </c>
    </row>
    <row r="31" spans="1:65" x14ac:dyDescent="0.25">
      <c r="A31" t="str">
        <f>IFERROR(IF(0=LEN(ReferenceData!$A$31),"",ReferenceData!$A$31),"")</f>
        <v xml:space="preserve">    Renault SA</v>
      </c>
      <c r="B31" t="str">
        <f>IFERROR(IF(0=LEN(ReferenceData!$B$31),"",ReferenceData!$B$31),"")</f>
        <v>RNO FP Equity</v>
      </c>
      <c r="C31" t="str">
        <f>IFERROR(IF(0=LEN(ReferenceData!$C$31),"",ReferenceData!$C$31),"")</f>
        <v>RR900</v>
      </c>
      <c r="D31" t="str">
        <f>IFERROR(IF(0=LEN(ReferenceData!$D$31),"",ReferenceData!$D$31),"")</f>
        <v>PE_RATIO</v>
      </c>
      <c r="E31" t="str">
        <f>IFERROR(IF(0=LEN(ReferenceData!$E$31),"",ReferenceData!$E$31),"")</f>
        <v>Dynamic</v>
      </c>
      <c r="F31" t="str">
        <f ca="1">IFERROR(IF(0=LEN(ReferenceData!$F$31),"",ReferenceData!$F$31),"")</f>
        <v/>
      </c>
      <c r="G31" t="str">
        <f ca="1">IFERROR(IF(0=LEN(ReferenceData!$G$31),"",ReferenceData!$G$31),"")</f>
        <v/>
      </c>
      <c r="H31" t="str">
        <f ca="1">IFERROR(IF(0=LEN(ReferenceData!$H$31),"",ReferenceData!$H$31),"")</f>
        <v/>
      </c>
      <c r="I31" t="str">
        <f ca="1">IFERROR(IF(0=LEN(ReferenceData!$I$31),"",ReferenceData!$I$31),"")</f>
        <v/>
      </c>
      <c r="J31" t="str">
        <f ca="1">IFERROR(IF(0=LEN(ReferenceData!$J$31),"",ReferenceData!$J$31),"")</f>
        <v/>
      </c>
      <c r="K31" t="str">
        <f ca="1">IFERROR(IF(0=LEN(ReferenceData!$K$31),"",ReferenceData!$K$31),"")</f>
        <v/>
      </c>
      <c r="L31" t="str">
        <f ca="1">IFERROR(IF(0=LEN(ReferenceData!$L$31),"",ReferenceData!$L$31),"")</f>
        <v/>
      </c>
      <c r="M31" t="str">
        <f ca="1">IFERROR(IF(0=LEN(ReferenceData!$M$31),"",ReferenceData!$M$31),"")</f>
        <v/>
      </c>
      <c r="N31" t="str">
        <f ca="1">IFERROR(IF(0=LEN(ReferenceData!$N$31),"",ReferenceData!$N$31),"")</f>
        <v/>
      </c>
      <c r="O31" t="str">
        <f ca="1">IFERROR(IF(0=LEN(ReferenceData!$O$31),"",ReferenceData!$O$31),"")</f>
        <v/>
      </c>
      <c r="P31" t="str">
        <f ca="1">IFERROR(IF(0=LEN(ReferenceData!$P$31),"",ReferenceData!$P$31),"")</f>
        <v/>
      </c>
      <c r="Q31" t="str">
        <f ca="1">IFERROR(IF(0=LEN(ReferenceData!$Q$31),"",ReferenceData!$Q$31),"")</f>
        <v/>
      </c>
      <c r="R31" t="str">
        <f ca="1">IFERROR(IF(0=LEN(ReferenceData!$R$31),"",ReferenceData!$R$31),"")</f>
        <v/>
      </c>
      <c r="S31" t="str">
        <f ca="1">IFERROR(IF(0=LEN(ReferenceData!$S$31),"",ReferenceData!$S$31),"")</f>
        <v/>
      </c>
      <c r="T31" t="str">
        <f ca="1">IFERROR(IF(0=LEN(ReferenceData!$T$31),"",ReferenceData!$T$31),"")</f>
        <v/>
      </c>
      <c r="U31" t="str">
        <f ca="1">IFERROR(IF(0=LEN(ReferenceData!$U$31),"",ReferenceData!$U$31),"")</f>
        <v/>
      </c>
      <c r="V31" t="str">
        <f ca="1">IFERROR(IF(0=LEN(ReferenceData!$V$31),"",ReferenceData!$V$31),"")</f>
        <v/>
      </c>
      <c r="W31" t="str">
        <f ca="1">IFERROR(IF(0=LEN(ReferenceData!$W$31),"",ReferenceData!$W$31),"")</f>
        <v/>
      </c>
      <c r="X31" t="str">
        <f ca="1">IFERROR(IF(0=LEN(ReferenceData!$X$31),"",ReferenceData!$X$31),"")</f>
        <v/>
      </c>
      <c r="Y31" t="str">
        <f ca="1">IFERROR(IF(0=LEN(ReferenceData!$Y$31),"",ReferenceData!$Y$31),"")</f>
        <v/>
      </c>
      <c r="Z31" t="str">
        <f ca="1">IFERROR(IF(0=LEN(ReferenceData!$Z$31),"",ReferenceData!$Z$31),"")</f>
        <v/>
      </c>
      <c r="AA31" t="str">
        <f ca="1">IFERROR(IF(0=LEN(ReferenceData!$AA$31),"",ReferenceData!$AA$31),"")</f>
        <v/>
      </c>
      <c r="AB31" t="str">
        <f ca="1">IFERROR(IF(0=LEN(ReferenceData!$AB$31),"",ReferenceData!$AB$31),"")</f>
        <v/>
      </c>
      <c r="AC31" t="str">
        <f ca="1">IFERROR(IF(0=LEN(ReferenceData!$AC$31),"",ReferenceData!$AC$31),"")</f>
        <v/>
      </c>
      <c r="AD31" t="str">
        <f ca="1">IFERROR(IF(0=LEN(ReferenceData!$AD$31),"",ReferenceData!$AD$31),"")</f>
        <v/>
      </c>
      <c r="AE31" t="str">
        <f ca="1">IFERROR(IF(0=LEN(ReferenceData!$AE$31),"",ReferenceData!$AE$31),"")</f>
        <v/>
      </c>
      <c r="AF31" t="str">
        <f ca="1">IFERROR(IF(0=LEN(ReferenceData!$AF$31),"",ReferenceData!$AF$31),"")</f>
        <v/>
      </c>
      <c r="AG31" t="str">
        <f ca="1">IFERROR(IF(0=LEN(ReferenceData!$AG$31),"",ReferenceData!$AG$31),"")</f>
        <v/>
      </c>
      <c r="AH31" t="str">
        <f ca="1">IFERROR(IF(0=LEN(ReferenceData!$AH$31),"",ReferenceData!$AH$31),"")</f>
        <v/>
      </c>
      <c r="AI31" t="str">
        <f ca="1">IFERROR(IF(0=LEN(ReferenceData!$AI$31),"",ReferenceData!$AI$31),"")</f>
        <v/>
      </c>
      <c r="AJ31" t="str">
        <f ca="1">IFERROR(IF(0=LEN(ReferenceData!$AJ$31),"",ReferenceData!$AJ$31),"")</f>
        <v/>
      </c>
      <c r="AK31" t="str">
        <f ca="1">IFERROR(IF(0=LEN(ReferenceData!$AK$31),"",ReferenceData!$AK$31),"")</f>
        <v/>
      </c>
      <c r="AL31" t="str">
        <f ca="1">IFERROR(IF(0=LEN(ReferenceData!$AL$31),"",ReferenceData!$AL$31),"")</f>
        <v/>
      </c>
      <c r="AM31" t="str">
        <f ca="1">IFERROR(IF(0=LEN(ReferenceData!$AM$31),"",ReferenceData!$AM$31),"")</f>
        <v/>
      </c>
      <c r="AN31" t="str">
        <f ca="1">IFERROR(IF(0=LEN(ReferenceData!$AN$31),"",ReferenceData!$AN$31),"")</f>
        <v/>
      </c>
      <c r="AO31" t="str">
        <f ca="1">IFERROR(IF(0=LEN(ReferenceData!$AO$31),"",ReferenceData!$AO$31),"")</f>
        <v/>
      </c>
      <c r="AP31" t="str">
        <f ca="1">IFERROR(IF(0=LEN(ReferenceData!$AP$31),"",ReferenceData!$AP$31),"")</f>
        <v/>
      </c>
      <c r="AQ31" t="str">
        <f ca="1">IFERROR(IF(0=LEN(ReferenceData!$AQ$31),"",ReferenceData!$AQ$31),"")</f>
        <v/>
      </c>
      <c r="AR31" t="str">
        <f ca="1">IFERROR(IF(0=LEN(ReferenceData!$AR$31),"",ReferenceData!$AR$31),"")</f>
        <v/>
      </c>
      <c r="AS31" t="str">
        <f ca="1">IFERROR(IF(0=LEN(ReferenceData!$AS$31),"",ReferenceData!$AS$31),"")</f>
        <v/>
      </c>
      <c r="AT31" t="str">
        <f ca="1">IFERROR(IF(0=LEN(ReferenceData!$AT$31),"",ReferenceData!$AT$31),"")</f>
        <v/>
      </c>
      <c r="AU31" t="str">
        <f ca="1">IFERROR(IF(0=LEN(ReferenceData!$AU$31),"",ReferenceData!$AU$31),"")</f>
        <v/>
      </c>
      <c r="AV31" t="str">
        <f ca="1">IFERROR(IF(0=LEN(ReferenceData!$AV$31),"",ReferenceData!$AV$31),"")</f>
        <v/>
      </c>
      <c r="AW31" t="str">
        <f ca="1">IFERROR(IF(0=LEN(ReferenceData!$AW$31),"",ReferenceData!$AW$31),"")</f>
        <v/>
      </c>
      <c r="AX31" t="str">
        <f ca="1">IFERROR(IF(0=LEN(ReferenceData!$AX$31),"",ReferenceData!$AX$31),"")</f>
        <v/>
      </c>
      <c r="AY31" t="str">
        <f ca="1">IFERROR(IF(0=LEN(ReferenceData!$AY$31),"",ReferenceData!$AY$31),"")</f>
        <v/>
      </c>
      <c r="AZ31" t="str">
        <f ca="1">IFERROR(IF(0=LEN(ReferenceData!$AZ$31),"",ReferenceData!$AZ$31),"")</f>
        <v/>
      </c>
      <c r="BA31" t="str">
        <f ca="1">IFERROR(IF(0=LEN(ReferenceData!$BA$31),"",ReferenceData!$BA$31),"")</f>
        <v/>
      </c>
      <c r="BB31" t="str">
        <f ca="1">IFERROR(IF(0=LEN(ReferenceData!$BB$31),"",ReferenceData!$BB$31),"")</f>
        <v/>
      </c>
      <c r="BC31" t="str">
        <f ca="1">IFERROR(IF(0=LEN(ReferenceData!$BC$31),"",ReferenceData!$BC$31),"")</f>
        <v/>
      </c>
      <c r="BD31" t="str">
        <f ca="1">IFERROR(IF(0=LEN(ReferenceData!$BD$31),"",ReferenceData!$BD$31),"")</f>
        <v/>
      </c>
      <c r="BE31" t="str">
        <f ca="1">IFERROR(IF(0=LEN(ReferenceData!$BE$31),"",ReferenceData!$BE$31),"")</f>
        <v/>
      </c>
      <c r="BF31" t="str">
        <f ca="1">IFERROR(IF(0=LEN(ReferenceData!$BF$31),"",ReferenceData!$BF$31),"")</f>
        <v/>
      </c>
      <c r="BG31" t="str">
        <f ca="1">IFERROR(IF(0=LEN(ReferenceData!$BG$31),"",ReferenceData!$BG$31),"")</f>
        <v/>
      </c>
      <c r="BH31" t="str">
        <f ca="1">IFERROR(IF(0=LEN(ReferenceData!$BH$31),"",ReferenceData!$BH$31),"")</f>
        <v/>
      </c>
      <c r="BI31" t="str">
        <f ca="1">IFERROR(IF(0=LEN(ReferenceData!$BI$31),"",ReferenceData!$BI$31),"")</f>
        <v/>
      </c>
      <c r="BJ31" t="str">
        <f ca="1">IFERROR(IF(0=LEN(ReferenceData!$BJ$31),"",ReferenceData!$BJ$31),"")</f>
        <v/>
      </c>
      <c r="BK31" t="str">
        <f ca="1">IFERROR(IF(0=LEN(ReferenceData!$BK$31),"",ReferenceData!$BK$31),"")</f>
        <v/>
      </c>
      <c r="BL31" t="str">
        <f ca="1">IFERROR(IF(0=LEN(ReferenceData!$BL$31),"",ReferenceData!$BL$31),"")</f>
        <v/>
      </c>
      <c r="BM31" t="str">
        <f ca="1">IFERROR(IF(0=LEN(ReferenceData!$BM$31),"",ReferenceData!$BM$31),"")</f>
        <v/>
      </c>
    </row>
    <row r="32" spans="1:65" x14ac:dyDescent="0.25">
      <c r="A32" t="str">
        <f>IFERROR(IF(0=LEN(ReferenceData!$A$32),"",ReferenceData!$A$32),"")</f>
        <v xml:space="preserve">    SAIC Motor Corp Ltd</v>
      </c>
      <c r="B32" t="str">
        <f>IFERROR(IF(0=LEN(ReferenceData!$B$32),"",ReferenceData!$B$32),"")</f>
        <v>600104 CH Equity</v>
      </c>
      <c r="C32" t="str">
        <f>IFERROR(IF(0=LEN(ReferenceData!$C$32),"",ReferenceData!$C$32),"")</f>
        <v>RR900</v>
      </c>
      <c r="D32" t="str">
        <f>IFERROR(IF(0=LEN(ReferenceData!$D$32),"",ReferenceData!$D$32),"")</f>
        <v>PE_RATIO</v>
      </c>
      <c r="E32" t="str">
        <f>IFERROR(IF(0=LEN(ReferenceData!$E$32),"",ReferenceData!$E$32),"")</f>
        <v>Dynamic</v>
      </c>
      <c r="F32">
        <f ca="1">IFERROR(IF(0=LEN(ReferenceData!$F$32),"",ReferenceData!$F$32),"")</f>
        <v>8.8636025410000006</v>
      </c>
      <c r="G32">
        <f ca="1">IFERROR(IF(0=LEN(ReferenceData!$G$32),"",ReferenceData!$G$32),"")</f>
        <v>8.3207419839999996</v>
      </c>
      <c r="H32">
        <f ca="1">IFERROR(IF(0=LEN(ReferenceData!$H$32),"",ReferenceData!$H$32),"")</f>
        <v>10.38298812</v>
      </c>
      <c r="I32">
        <f ca="1">IFERROR(IF(0=LEN(ReferenceData!$I$32),"",ReferenceData!$I$32),"")</f>
        <v>10.9198959</v>
      </c>
      <c r="J32">
        <f ca="1">IFERROR(IF(0=LEN(ReferenceData!$J$32),"",ReferenceData!$J$32),"")</f>
        <v>11.081135679999999</v>
      </c>
      <c r="K32">
        <f ca="1">IFERROR(IF(0=LEN(ReferenceData!$K$32),"",ReferenceData!$K$32),"")</f>
        <v>10.827323789999999</v>
      </c>
      <c r="L32">
        <f ca="1">IFERROR(IF(0=LEN(ReferenceData!$L$32),"",ReferenceData!$L$32),"")</f>
        <v>10.29920574</v>
      </c>
      <c r="M32">
        <f ca="1">IFERROR(IF(0=LEN(ReferenceData!$M$32),"",ReferenceData!$M$32),"")</f>
        <v>10.647074679999999</v>
      </c>
      <c r="N32">
        <f ca="1">IFERROR(IF(0=LEN(ReferenceData!$N$32),"",ReferenceData!$N$32),"")</f>
        <v>8.7403947780000006</v>
      </c>
      <c r="O32">
        <f ca="1">IFERROR(IF(0=LEN(ReferenceData!$O$32),"",ReferenceData!$O$32),"")</f>
        <v>8.0785211589999992</v>
      </c>
      <c r="P32">
        <f ca="1">IFERROR(IF(0=LEN(ReferenceData!$P$32),"",ReferenceData!$P$32),"")</f>
        <v>7.6182998189999998</v>
      </c>
      <c r="Q32">
        <f ca="1">IFERROR(IF(0=LEN(ReferenceData!$Q$32),"",ReferenceData!$Q$32),"")</f>
        <v>7.2904472499999997</v>
      </c>
      <c r="R32">
        <f ca="1">IFERROR(IF(0=LEN(ReferenceData!$R$32),"",ReferenceData!$R$32),"")</f>
        <v>7.3097310889999996</v>
      </c>
      <c r="S32">
        <f ca="1">IFERROR(IF(0=LEN(ReferenceData!$S$32),"",ReferenceData!$S$32),"")</f>
        <v>7.8555147969999997</v>
      </c>
      <c r="T32">
        <f ca="1">IFERROR(IF(0=LEN(ReferenceData!$T$32),"",ReferenceData!$T$32),"")</f>
        <v>6.4281098180000003</v>
      </c>
      <c r="U32">
        <f ca="1">IFERROR(IF(0=LEN(ReferenceData!$U$32),"",ReferenceData!$U$32),"")</f>
        <v>8.7241137979999994</v>
      </c>
      <c r="V32">
        <f ca="1">IFERROR(IF(0=LEN(ReferenceData!$V$32),"",ReferenceData!$V$32),"")</f>
        <v>9.6318808279999999</v>
      </c>
      <c r="W32">
        <f ca="1">IFERROR(IF(0=LEN(ReferenceData!$W$32),"",ReferenceData!$W$32),"")</f>
        <v>8.4627112520000001</v>
      </c>
      <c r="X32">
        <f ca="1">IFERROR(IF(0=LEN(ReferenceData!$X$32),"",ReferenceData!$X$32),"")</f>
        <v>7.3249863059999996</v>
      </c>
      <c r="Y32">
        <f ca="1">IFERROR(IF(0=LEN(ReferenceData!$Y$32),"",ReferenceData!$Y$32),"")</f>
        <v>6.2698134300000001</v>
      </c>
      <c r="Z32">
        <f ca="1">IFERROR(IF(0=LEN(ReferenceData!$Z$32),"",ReferenceData!$Z$32),"")</f>
        <v>5.9696140179999997</v>
      </c>
      <c r="AA32">
        <f ca="1">IFERROR(IF(0=LEN(ReferenceData!$AA$32),"",ReferenceData!$AA$32),"")</f>
        <v>6.2870067489999997</v>
      </c>
      <c r="AB32">
        <f ca="1">IFERROR(IF(0=LEN(ReferenceData!$AB$32),"",ReferenceData!$AB$32),"")</f>
        <v>6.5970972769999996</v>
      </c>
      <c r="AC32">
        <f ca="1">IFERROR(IF(0=LEN(ReferenceData!$AC$32),"",ReferenceData!$AC$32),"")</f>
        <v>6.7956100670000001</v>
      </c>
      <c r="AD32">
        <f ca="1">IFERROR(IF(0=LEN(ReferenceData!$AD$32),"",ReferenceData!$AD$32),"")</f>
        <v>7.6461328389999998</v>
      </c>
      <c r="AE32">
        <f ca="1">IFERROR(IF(0=LEN(ReferenceData!$AE$32),"",ReferenceData!$AE$32),"")</f>
        <v>9.3699256200000001</v>
      </c>
      <c r="AF32">
        <f ca="1">IFERROR(IF(0=LEN(ReferenceData!$AF$32),"",ReferenceData!$AF$32),"")</f>
        <v>6.232359293</v>
      </c>
      <c r="AG32">
        <f ca="1">IFERROR(IF(0=LEN(ReferenceData!$AG$32),"",ReferenceData!$AG$32),"")</f>
        <v>6.3289149030000003</v>
      </c>
      <c r="AH32">
        <f ca="1">IFERROR(IF(0=LEN(ReferenceData!$AH$32),"",ReferenceData!$AH$32),"")</f>
        <v>6.3607038039999999</v>
      </c>
      <c r="AI32">
        <f ca="1">IFERROR(IF(0=LEN(ReferenceData!$AI$32),"",ReferenceData!$AI$32),"")</f>
        <v>5.9168651160000003</v>
      </c>
      <c r="AJ32">
        <f ca="1">IFERROR(IF(0=LEN(ReferenceData!$AJ$32),"",ReferenceData!$AJ$32),"")</f>
        <v>6.5303867310000001</v>
      </c>
      <c r="AK32">
        <f ca="1">IFERROR(IF(0=LEN(ReferenceData!$AK$32),"",ReferenceData!$AK$32),"")</f>
        <v>8.1032126170000005</v>
      </c>
      <c r="AL32">
        <f ca="1">IFERROR(IF(0=LEN(ReferenceData!$AL$32),"",ReferenceData!$AL$32),"")</f>
        <v>9.7555697650000006</v>
      </c>
      <c r="AM32">
        <f ca="1">IFERROR(IF(0=LEN(ReferenceData!$AM$32),"",ReferenceData!$AM$32),"")</f>
        <v>7.7621552380000001</v>
      </c>
      <c r="AN32">
        <f ca="1">IFERROR(IF(0=LEN(ReferenceData!$AN$32),"",ReferenceData!$AN$32),"")</f>
        <v>11.7638181</v>
      </c>
      <c r="AO32">
        <f ca="1">IFERROR(IF(0=LEN(ReferenceData!$AO$32),"",ReferenceData!$AO$32),"")</f>
        <v>9.4874960510000008</v>
      </c>
      <c r="AP32">
        <f ca="1">IFERROR(IF(0=LEN(ReferenceData!$AP$32),"",ReferenceData!$AP$32),"")</f>
        <v>15.16702997</v>
      </c>
      <c r="AQ32">
        <f ca="1">IFERROR(IF(0=LEN(ReferenceData!$AQ$32),"",ReferenceData!$AQ$32),"")</f>
        <v>25.957692829999999</v>
      </c>
      <c r="AR32">
        <f ca="1">IFERROR(IF(0=LEN(ReferenceData!$AR$32),"",ReferenceData!$AR$32),"")</f>
        <v>53.755538860000001</v>
      </c>
      <c r="AS32">
        <f ca="1">IFERROR(IF(0=LEN(ReferenceData!$AS$32),"",ReferenceData!$AS$32),"")</f>
        <v>698.46757620000005</v>
      </c>
      <c r="AT32">
        <f ca="1">IFERROR(IF(0=LEN(ReferenceData!$AT$32),"",ReferenceData!$AT$32),"")</f>
        <v>1405.7142859999999</v>
      </c>
      <c r="AU32">
        <f ca="1">IFERROR(IF(0=LEN(ReferenceData!$AU$32),"",ReferenceData!$AU$32),"")</f>
        <v>53.6</v>
      </c>
      <c r="AV32">
        <f ca="1">IFERROR(IF(0=LEN(ReferenceData!$AV$32),"",ReferenceData!$AV$32),"")</f>
        <v>15.01210654</v>
      </c>
      <c r="AW32">
        <f ca="1">IFERROR(IF(0=LEN(ReferenceData!$AW$32),"",ReferenceData!$AW$32),"")</f>
        <v>13.25341888</v>
      </c>
      <c r="AX32">
        <f ca="1">IFERROR(IF(0=LEN(ReferenceData!$AX$32),"",ReferenceData!$AX$32),"")</f>
        <v>19.090656280000001</v>
      </c>
      <c r="AY32">
        <f ca="1">IFERROR(IF(0=LEN(ReferenceData!$AY$32),"",ReferenceData!$AY$32),"")</f>
        <v>37.174773760000001</v>
      </c>
      <c r="AZ32">
        <f ca="1">IFERROR(IF(0=LEN(ReferenceData!$AZ$32),"",ReferenceData!$AZ$32),"")</f>
        <v>43.511562820000002</v>
      </c>
      <c r="BA32">
        <f ca="1">IFERROR(IF(0=LEN(ReferenceData!$BA$32),"",ReferenceData!$BA$32),"")</f>
        <v>29.276148500000001</v>
      </c>
      <c r="BB32">
        <f ca="1">IFERROR(IF(0=LEN(ReferenceData!$BB$32),"",ReferenceData!$BB$32),"")</f>
        <v>27.006980800000001</v>
      </c>
      <c r="BC32">
        <f ca="1">IFERROR(IF(0=LEN(ReferenceData!$BC$32),"",ReferenceData!$BC$32),"")</f>
        <v>22.923681259999999</v>
      </c>
      <c r="BD32">
        <f ca="1">IFERROR(IF(0=LEN(ReferenceData!$BD$32),"",ReferenceData!$BD$32),"")</f>
        <v>14.553072630000001</v>
      </c>
      <c r="BE32">
        <f ca="1">IFERROR(IF(0=LEN(ReferenceData!$BE$32),"",ReferenceData!$BE$32),"")</f>
        <v>15.71045567</v>
      </c>
      <c r="BF32">
        <f ca="1">IFERROR(IF(0=LEN(ReferenceData!$BF$32),"",ReferenceData!$BF$32),"")</f>
        <v>9.5355190840000006</v>
      </c>
      <c r="BG32">
        <f ca="1">IFERROR(IF(0=LEN(ReferenceData!$BG$32),"",ReferenceData!$BG$32),"")</f>
        <v>9.8219584070000003</v>
      </c>
      <c r="BH32">
        <f ca="1">IFERROR(IF(0=LEN(ReferenceData!$BH$32),"",ReferenceData!$BH$32),"")</f>
        <v>16.53846145</v>
      </c>
      <c r="BI32">
        <f ca="1">IFERROR(IF(0=LEN(ReferenceData!$BI$32),"",ReferenceData!$BI$32),"")</f>
        <v>13.782051210000001</v>
      </c>
      <c r="BJ32">
        <f ca="1">IFERROR(IF(0=LEN(ReferenceData!$BJ$32),"",ReferenceData!$BJ$32),"")</f>
        <v>9.9769052889999994</v>
      </c>
      <c r="BK32">
        <f ca="1">IFERROR(IF(0=LEN(ReferenceData!$BK$32),"",ReferenceData!$BK$32),"")</f>
        <v>7.8652399820000003</v>
      </c>
      <c r="BL32">
        <f ca="1">IFERROR(IF(0=LEN(ReferenceData!$BL$32),"",ReferenceData!$BL$32),"")</f>
        <v>13.63648536</v>
      </c>
      <c r="BM32">
        <f ca="1">IFERROR(IF(0=LEN(ReferenceData!$BM$32),"",ReferenceData!$BM$32),"")</f>
        <v>14.055837309999999</v>
      </c>
    </row>
    <row r="33" spans="1:65" x14ac:dyDescent="0.25">
      <c r="A33" t="str">
        <f>IFERROR(IF(0=LEN(ReferenceData!$A$33),"",ReferenceData!$A$33),"")</f>
        <v xml:space="preserve">    Sanyang Motor Co Ltd</v>
      </c>
      <c r="B33" t="str">
        <f>IFERROR(IF(0=LEN(ReferenceData!$B$33),"",ReferenceData!$B$33),"")</f>
        <v>2206 TT Equity</v>
      </c>
      <c r="C33" t="str">
        <f>IFERROR(IF(0=LEN(ReferenceData!$C$33),"",ReferenceData!$C$33),"")</f>
        <v>RR900</v>
      </c>
      <c r="D33" t="str">
        <f>IFERROR(IF(0=LEN(ReferenceData!$D$33),"",ReferenceData!$D$33),"")</f>
        <v>PE_RATIO</v>
      </c>
      <c r="E33" t="str">
        <f>IFERROR(IF(0=LEN(ReferenceData!$E$33),"",ReferenceData!$E$33),"")</f>
        <v>Dynamic</v>
      </c>
      <c r="F33">
        <f ca="1">IFERROR(IF(0=LEN(ReferenceData!$F$33),"",ReferenceData!$F$33),"")</f>
        <v>10.50108232</v>
      </c>
      <c r="G33">
        <f ca="1">IFERROR(IF(0=LEN(ReferenceData!$G$33),"",ReferenceData!$G$33),"")</f>
        <v>10.47489508</v>
      </c>
      <c r="H33">
        <f ca="1">IFERROR(IF(0=LEN(ReferenceData!$H$33),"",ReferenceData!$H$33),"")</f>
        <v>10.736767459999999</v>
      </c>
      <c r="I33">
        <f ca="1">IFERROR(IF(0=LEN(ReferenceData!$I$33),"",ReferenceData!$I$33),"")</f>
        <v>34.176563790000003</v>
      </c>
      <c r="J33">
        <f ca="1">IFERROR(IF(0=LEN(ReferenceData!$J$33),"",ReferenceData!$J$33),"")</f>
        <v>25.317903510000001</v>
      </c>
      <c r="K33">
        <f ca="1">IFERROR(IF(0=LEN(ReferenceData!$K$33),"",ReferenceData!$K$33),"")</f>
        <v>36.31260743</v>
      </c>
      <c r="L33">
        <f ca="1">IFERROR(IF(0=LEN(ReferenceData!$L$33),"",ReferenceData!$L$33),"")</f>
        <v>31.923838409999998</v>
      </c>
      <c r="M33">
        <f ca="1">IFERROR(IF(0=LEN(ReferenceData!$M$33),"",ReferenceData!$M$33),"")</f>
        <v>325.82982459999999</v>
      </c>
      <c r="N33" t="str">
        <f ca="1">IFERROR(IF(0=LEN(ReferenceData!$N$33),"",ReferenceData!$N$33),"")</f>
        <v/>
      </c>
      <c r="O33" t="str">
        <f ca="1">IFERROR(IF(0=LEN(ReferenceData!$O$33),"",ReferenceData!$O$33),"")</f>
        <v/>
      </c>
      <c r="P33">
        <f ca="1">IFERROR(IF(0=LEN(ReferenceData!$P$33),"",ReferenceData!$P$33),"")</f>
        <v>6.6302671860000002</v>
      </c>
      <c r="Q33">
        <f ca="1">IFERROR(IF(0=LEN(ReferenceData!$Q$33),"",ReferenceData!$Q$33),"")</f>
        <v>6.5511470520000001</v>
      </c>
      <c r="R33">
        <f ca="1">IFERROR(IF(0=LEN(ReferenceData!$R$33),"",ReferenceData!$R$33),"")</f>
        <v>6.2323320630000003</v>
      </c>
      <c r="S33">
        <f ca="1">IFERROR(IF(0=LEN(ReferenceData!$S$33),"",ReferenceData!$S$33),"")</f>
        <v>6.3222896339999997</v>
      </c>
      <c r="T33">
        <f ca="1">IFERROR(IF(0=LEN(ReferenceData!$T$33),"",ReferenceData!$T$33),"")</f>
        <v>6.1409151069999997</v>
      </c>
      <c r="U33" t="str">
        <f ca="1">IFERROR(IF(0=LEN(ReferenceData!$U$33),"",ReferenceData!$U$33),"")</f>
        <v/>
      </c>
      <c r="V33" t="str">
        <f ca="1">IFERROR(IF(0=LEN(ReferenceData!$V$33),"",ReferenceData!$V$33),"")</f>
        <v/>
      </c>
      <c r="W33" t="str">
        <f ca="1">IFERROR(IF(0=LEN(ReferenceData!$W$33),"",ReferenceData!$W$33),"")</f>
        <v/>
      </c>
      <c r="X33" t="str">
        <f ca="1">IFERROR(IF(0=LEN(ReferenceData!$X$33),"",ReferenceData!$X$33),"")</f>
        <v/>
      </c>
      <c r="Y33" t="str">
        <f ca="1">IFERROR(IF(0=LEN(ReferenceData!$Y$33),"",ReferenceData!$Y$33),"")</f>
        <v/>
      </c>
      <c r="Z33" t="str">
        <f ca="1">IFERROR(IF(0=LEN(ReferenceData!$Z$33),"",ReferenceData!$Z$33),"")</f>
        <v/>
      </c>
      <c r="AA33" t="str">
        <f ca="1">IFERROR(IF(0=LEN(ReferenceData!$AA$33),"",ReferenceData!$AA$33),"")</f>
        <v/>
      </c>
      <c r="AB33">
        <f ca="1">IFERROR(IF(0=LEN(ReferenceData!$AB$33),"",ReferenceData!$AB$33),"")</f>
        <v>175.6275952</v>
      </c>
      <c r="AC33">
        <f ca="1">IFERROR(IF(0=LEN(ReferenceData!$AC$33),"",ReferenceData!$AC$33),"")</f>
        <v>114.7461139</v>
      </c>
      <c r="AD33">
        <f ca="1">IFERROR(IF(0=LEN(ReferenceData!$AD$33),"",ReferenceData!$AD$33),"")</f>
        <v>106.5512968</v>
      </c>
      <c r="AE33">
        <f ca="1">IFERROR(IF(0=LEN(ReferenceData!$AE$33),"",ReferenceData!$AE$33),"")</f>
        <v>37.403242880000001</v>
      </c>
      <c r="AF33">
        <f ca="1">IFERROR(IF(0=LEN(ReferenceData!$AF$33),"",ReferenceData!$AF$33),"")</f>
        <v>38.224631840000001</v>
      </c>
      <c r="AG33">
        <f ca="1">IFERROR(IF(0=LEN(ReferenceData!$AG$33),"",ReferenceData!$AG$33),"")</f>
        <v>25.814425050000001</v>
      </c>
      <c r="AH33">
        <f ca="1">IFERROR(IF(0=LEN(ReferenceData!$AH$33),"",ReferenceData!$AH$33),"")</f>
        <v>17.574748970000002</v>
      </c>
      <c r="AI33">
        <f ca="1">IFERROR(IF(0=LEN(ReferenceData!$AI$33),"",ReferenceData!$AI$33),"")</f>
        <v>12.07304506</v>
      </c>
      <c r="AJ33">
        <f ca="1">IFERROR(IF(0=LEN(ReferenceData!$AJ$33),"",ReferenceData!$AJ$33),"")</f>
        <v>10.21981214</v>
      </c>
      <c r="AK33">
        <f ca="1">IFERROR(IF(0=LEN(ReferenceData!$AK$33),"",ReferenceData!$AK$33),"")</f>
        <v>11.38171399</v>
      </c>
      <c r="AL33">
        <f ca="1">IFERROR(IF(0=LEN(ReferenceData!$AL$33),"",ReferenceData!$AL$33),"")</f>
        <v>14.518391080000001</v>
      </c>
      <c r="AM33">
        <f ca="1">IFERROR(IF(0=LEN(ReferenceData!$AM$33),"",ReferenceData!$AM$33),"")</f>
        <v>21.89255842</v>
      </c>
      <c r="AN33">
        <f ca="1">IFERROR(IF(0=LEN(ReferenceData!$AN$33),"",ReferenceData!$AN$33),"")</f>
        <v>15.390877290000001</v>
      </c>
      <c r="AO33">
        <f ca="1">IFERROR(IF(0=LEN(ReferenceData!$AO$33),"",ReferenceData!$AO$33),"")</f>
        <v>12.887103939999999</v>
      </c>
      <c r="AP33">
        <f ca="1">IFERROR(IF(0=LEN(ReferenceData!$AP$33),"",ReferenceData!$AP$33),"")</f>
        <v>16.841056559999998</v>
      </c>
      <c r="AQ33">
        <f ca="1">IFERROR(IF(0=LEN(ReferenceData!$AQ$33),"",ReferenceData!$AQ$33),"")</f>
        <v>83.691143289999999</v>
      </c>
      <c r="AR33" t="str">
        <f ca="1">IFERROR(IF(0=LEN(ReferenceData!$AR$33),"",ReferenceData!$AR$33),"")</f>
        <v/>
      </c>
      <c r="AS33" t="str">
        <f ca="1">IFERROR(IF(0=LEN(ReferenceData!$AS$33),"",ReferenceData!$AS$33),"")</f>
        <v/>
      </c>
      <c r="AT33">
        <f ca="1">IFERROR(IF(0=LEN(ReferenceData!$AT$33),"",ReferenceData!$AT$33),"")</f>
        <v>214.0958521</v>
      </c>
      <c r="AU33">
        <f ca="1">IFERROR(IF(0=LEN(ReferenceData!$AU$33),"",ReferenceData!$AU$33),"")</f>
        <v>169.5154819</v>
      </c>
      <c r="AV33">
        <f ca="1">IFERROR(IF(0=LEN(ReferenceData!$AV$33),"",ReferenceData!$AV$33),"")</f>
        <v>12.455260709999999</v>
      </c>
      <c r="AW33" t="str">
        <f ca="1">IFERROR(IF(0=LEN(ReferenceData!$AW$33),"",ReferenceData!$AW$33),"")</f>
        <v/>
      </c>
      <c r="AX33" t="str">
        <f ca="1">IFERROR(IF(0=LEN(ReferenceData!$AX$33),"",ReferenceData!$AX$33),"")</f>
        <v/>
      </c>
      <c r="AY33" t="str">
        <f ca="1">IFERROR(IF(0=LEN(ReferenceData!$AY$33),"",ReferenceData!$AY$33),"")</f>
        <v/>
      </c>
      <c r="AZ33" t="str">
        <f ca="1">IFERROR(IF(0=LEN(ReferenceData!$AZ$33),"",ReferenceData!$AZ$33),"")</f>
        <v/>
      </c>
      <c r="BA33" t="str">
        <f ca="1">IFERROR(IF(0=LEN(ReferenceData!$BA$33),"",ReferenceData!$BA$33),"")</f>
        <v/>
      </c>
      <c r="BB33" t="str">
        <f ca="1">IFERROR(IF(0=LEN(ReferenceData!$BB$33),"",ReferenceData!$BB$33),"")</f>
        <v/>
      </c>
      <c r="BC33" t="str">
        <f ca="1">IFERROR(IF(0=LEN(ReferenceData!$BC$33),"",ReferenceData!$BC$33),"")</f>
        <v/>
      </c>
      <c r="BD33" t="str">
        <f ca="1">IFERROR(IF(0=LEN(ReferenceData!$BD$33),"",ReferenceData!$BD$33),"")</f>
        <v/>
      </c>
      <c r="BE33" t="str">
        <f ca="1">IFERROR(IF(0=LEN(ReferenceData!$BE$33),"",ReferenceData!$BE$33),"")</f>
        <v/>
      </c>
      <c r="BF33" t="str">
        <f ca="1">IFERROR(IF(0=LEN(ReferenceData!$BF$33),"",ReferenceData!$BF$33),"")</f>
        <v/>
      </c>
      <c r="BG33" t="str">
        <f ca="1">IFERROR(IF(0=LEN(ReferenceData!$BG$33),"",ReferenceData!$BG$33),"")</f>
        <v/>
      </c>
      <c r="BH33" t="str">
        <f ca="1">IFERROR(IF(0=LEN(ReferenceData!$BH$33),"",ReferenceData!$BH$33),"")</f>
        <v/>
      </c>
      <c r="BI33" t="str">
        <f ca="1">IFERROR(IF(0=LEN(ReferenceData!$BI$33),"",ReferenceData!$BI$33),"")</f>
        <v/>
      </c>
      <c r="BJ33" t="str">
        <f ca="1">IFERROR(IF(0=LEN(ReferenceData!$BJ$33),"",ReferenceData!$BJ$33),"")</f>
        <v/>
      </c>
      <c r="BK33" t="str">
        <f ca="1">IFERROR(IF(0=LEN(ReferenceData!$BK$33),"",ReferenceData!$BK$33),"")</f>
        <v/>
      </c>
      <c r="BL33" t="str">
        <f ca="1">IFERROR(IF(0=LEN(ReferenceData!$BL$33),"",ReferenceData!$BL$33),"")</f>
        <v/>
      </c>
      <c r="BM33" t="str">
        <f ca="1">IFERROR(IF(0=LEN(ReferenceData!$BM$33),"",ReferenceData!$BM$33),"")</f>
        <v/>
      </c>
    </row>
    <row r="34" spans="1:65" x14ac:dyDescent="0.25">
      <c r="A34" t="str">
        <f>IFERROR(IF(0=LEN(ReferenceData!$A$34),"",ReferenceData!$A$34),"")</f>
        <v xml:space="preserve">    Sollers PJSC</v>
      </c>
      <c r="B34" t="str">
        <f>IFERROR(IF(0=LEN(ReferenceData!$B$34),"",ReferenceData!$B$34),"")</f>
        <v>SVAV RM Equity</v>
      </c>
      <c r="C34" t="str">
        <f>IFERROR(IF(0=LEN(ReferenceData!$C$34),"",ReferenceData!$C$34),"")</f>
        <v>RR900</v>
      </c>
      <c r="D34" t="str">
        <f>IFERROR(IF(0=LEN(ReferenceData!$D$34),"",ReferenceData!$D$34),"")</f>
        <v>PE_RATIO</v>
      </c>
      <c r="E34" t="str">
        <f>IFERROR(IF(0=LEN(ReferenceData!$E$34),"",ReferenceData!$E$34),"")</f>
        <v>Dynamic</v>
      </c>
      <c r="F34" t="str">
        <f ca="1">IFERROR(IF(0=LEN(ReferenceData!$F$34),"",ReferenceData!$F$34),"")</f>
        <v/>
      </c>
      <c r="G34" t="str">
        <f ca="1">IFERROR(IF(0=LEN(ReferenceData!$G$34),"",ReferenceData!$G$34),"")</f>
        <v/>
      </c>
      <c r="H34" t="str">
        <f ca="1">IFERROR(IF(0=LEN(ReferenceData!$H$34),"",ReferenceData!$H$34),"")</f>
        <v/>
      </c>
      <c r="I34" t="str">
        <f ca="1">IFERROR(IF(0=LEN(ReferenceData!$I$34),"",ReferenceData!$I$34),"")</f>
        <v/>
      </c>
      <c r="J34" t="str">
        <f ca="1">IFERROR(IF(0=LEN(ReferenceData!$J$34),"",ReferenceData!$J$34),"")</f>
        <v/>
      </c>
      <c r="K34" t="str">
        <f ca="1">IFERROR(IF(0=LEN(ReferenceData!$K$34),"",ReferenceData!$K$34),"")</f>
        <v/>
      </c>
      <c r="L34" t="str">
        <f ca="1">IFERROR(IF(0=LEN(ReferenceData!$L$34),"",ReferenceData!$L$34),"")</f>
        <v/>
      </c>
      <c r="M34" t="str">
        <f ca="1">IFERROR(IF(0=LEN(ReferenceData!$M$34),"",ReferenceData!$M$34),"")</f>
        <v/>
      </c>
      <c r="N34" t="str">
        <f ca="1">IFERROR(IF(0=LEN(ReferenceData!$N$34),"",ReferenceData!$N$34),"")</f>
        <v/>
      </c>
      <c r="O34" t="str">
        <f ca="1">IFERROR(IF(0=LEN(ReferenceData!$O$34),"",ReferenceData!$O$34),"")</f>
        <v/>
      </c>
      <c r="P34" t="str">
        <f ca="1">IFERROR(IF(0=LEN(ReferenceData!$P$34),"",ReferenceData!$P$34),"")</f>
        <v/>
      </c>
      <c r="Q34" t="str">
        <f ca="1">IFERROR(IF(0=LEN(ReferenceData!$Q$34),"",ReferenceData!$Q$34),"")</f>
        <v/>
      </c>
      <c r="R34" t="str">
        <f ca="1">IFERROR(IF(0=LEN(ReferenceData!$R$34),"",ReferenceData!$R$34),"")</f>
        <v/>
      </c>
      <c r="S34" t="str">
        <f ca="1">IFERROR(IF(0=LEN(ReferenceData!$S$34),"",ReferenceData!$S$34),"")</f>
        <v/>
      </c>
      <c r="T34" t="str">
        <f ca="1">IFERROR(IF(0=LEN(ReferenceData!$T$34),"",ReferenceData!$T$34),"")</f>
        <v/>
      </c>
      <c r="U34" t="str">
        <f ca="1">IFERROR(IF(0=LEN(ReferenceData!$U$34),"",ReferenceData!$U$34),"")</f>
        <v/>
      </c>
      <c r="V34" t="str">
        <f ca="1">IFERROR(IF(0=LEN(ReferenceData!$V$34),"",ReferenceData!$V$34),"")</f>
        <v/>
      </c>
      <c r="W34" t="str">
        <f ca="1">IFERROR(IF(0=LEN(ReferenceData!$W$34),"",ReferenceData!$W$34),"")</f>
        <v/>
      </c>
      <c r="X34" t="str">
        <f ca="1">IFERROR(IF(0=LEN(ReferenceData!$X$34),"",ReferenceData!$X$34),"")</f>
        <v/>
      </c>
      <c r="Y34" t="str">
        <f ca="1">IFERROR(IF(0=LEN(ReferenceData!$Y$34),"",ReferenceData!$Y$34),"")</f>
        <v/>
      </c>
      <c r="Z34" t="str">
        <f ca="1">IFERROR(IF(0=LEN(ReferenceData!$Z$34),"",ReferenceData!$Z$34),"")</f>
        <v/>
      </c>
      <c r="AA34" t="str">
        <f ca="1">IFERROR(IF(0=LEN(ReferenceData!$AA$34),"",ReferenceData!$AA$34),"")</f>
        <v/>
      </c>
      <c r="AB34" t="str">
        <f ca="1">IFERROR(IF(0=LEN(ReferenceData!$AB$34),"",ReferenceData!$AB$34),"")</f>
        <v/>
      </c>
      <c r="AC34" t="str">
        <f ca="1">IFERROR(IF(0=LEN(ReferenceData!$AC$34),"",ReferenceData!$AC$34),"")</f>
        <v/>
      </c>
      <c r="AD34" t="str">
        <f ca="1">IFERROR(IF(0=LEN(ReferenceData!$AD$34),"",ReferenceData!$AD$34),"")</f>
        <v/>
      </c>
      <c r="AE34" t="str">
        <f ca="1">IFERROR(IF(0=LEN(ReferenceData!$AE$34),"",ReferenceData!$AE$34),"")</f>
        <v/>
      </c>
      <c r="AF34" t="str">
        <f ca="1">IFERROR(IF(0=LEN(ReferenceData!$AF$34),"",ReferenceData!$AF$34),"")</f>
        <v/>
      </c>
      <c r="AG34" t="str">
        <f ca="1">IFERROR(IF(0=LEN(ReferenceData!$AG$34),"",ReferenceData!$AG$34),"")</f>
        <v/>
      </c>
      <c r="AH34" t="str">
        <f ca="1">IFERROR(IF(0=LEN(ReferenceData!$AH$34),"",ReferenceData!$AH$34),"")</f>
        <v/>
      </c>
      <c r="AI34" t="str">
        <f ca="1">IFERROR(IF(0=LEN(ReferenceData!$AI$34),"",ReferenceData!$AI$34),"")</f>
        <v/>
      </c>
      <c r="AJ34" t="str">
        <f ca="1">IFERROR(IF(0=LEN(ReferenceData!$AJ$34),"",ReferenceData!$AJ$34),"")</f>
        <v/>
      </c>
      <c r="AK34" t="str">
        <f ca="1">IFERROR(IF(0=LEN(ReferenceData!$AK$34),"",ReferenceData!$AK$34),"")</f>
        <v/>
      </c>
      <c r="AL34" t="str">
        <f ca="1">IFERROR(IF(0=LEN(ReferenceData!$AL$34),"",ReferenceData!$AL$34),"")</f>
        <v/>
      </c>
      <c r="AM34" t="str">
        <f ca="1">IFERROR(IF(0=LEN(ReferenceData!$AM$34),"",ReferenceData!$AM$34),"")</f>
        <v/>
      </c>
      <c r="AN34" t="str">
        <f ca="1">IFERROR(IF(0=LEN(ReferenceData!$AN$34),"",ReferenceData!$AN$34),"")</f>
        <v/>
      </c>
      <c r="AO34" t="str">
        <f ca="1">IFERROR(IF(0=LEN(ReferenceData!$AO$34),"",ReferenceData!$AO$34),"")</f>
        <v/>
      </c>
      <c r="AP34" t="str">
        <f ca="1">IFERROR(IF(0=LEN(ReferenceData!$AP$34),"",ReferenceData!$AP$34),"")</f>
        <v/>
      </c>
      <c r="AQ34" t="str">
        <f ca="1">IFERROR(IF(0=LEN(ReferenceData!$AQ$34),"",ReferenceData!$AQ$34),"")</f>
        <v/>
      </c>
      <c r="AR34" t="str">
        <f ca="1">IFERROR(IF(0=LEN(ReferenceData!$AR$34),"",ReferenceData!$AR$34),"")</f>
        <v/>
      </c>
      <c r="AS34" t="str">
        <f ca="1">IFERROR(IF(0=LEN(ReferenceData!$AS$34),"",ReferenceData!$AS$34),"")</f>
        <v/>
      </c>
      <c r="AT34" t="str">
        <f ca="1">IFERROR(IF(0=LEN(ReferenceData!$AT$34),"",ReferenceData!$AT$34),"")</f>
        <v/>
      </c>
      <c r="AU34" t="str">
        <f ca="1">IFERROR(IF(0=LEN(ReferenceData!$AU$34),"",ReferenceData!$AU$34),"")</f>
        <v/>
      </c>
      <c r="AV34" t="str">
        <f ca="1">IFERROR(IF(0=LEN(ReferenceData!$AV$34),"",ReferenceData!$AV$34),"")</f>
        <v/>
      </c>
      <c r="AW34" t="str">
        <f ca="1">IFERROR(IF(0=LEN(ReferenceData!$AW$34),"",ReferenceData!$AW$34),"")</f>
        <v/>
      </c>
      <c r="AX34" t="str">
        <f ca="1">IFERROR(IF(0=LEN(ReferenceData!$AX$34),"",ReferenceData!$AX$34),"")</f>
        <v/>
      </c>
      <c r="AY34" t="str">
        <f ca="1">IFERROR(IF(0=LEN(ReferenceData!$AY$34),"",ReferenceData!$AY$34),"")</f>
        <v/>
      </c>
      <c r="AZ34" t="str">
        <f ca="1">IFERROR(IF(0=LEN(ReferenceData!$AZ$34),"",ReferenceData!$AZ$34),"")</f>
        <v/>
      </c>
      <c r="BA34" t="str">
        <f ca="1">IFERROR(IF(0=LEN(ReferenceData!$BA$34),"",ReferenceData!$BA$34),"")</f>
        <v/>
      </c>
      <c r="BB34" t="str">
        <f ca="1">IFERROR(IF(0=LEN(ReferenceData!$BB$34),"",ReferenceData!$BB$34),"")</f>
        <v/>
      </c>
      <c r="BC34" t="str">
        <f ca="1">IFERROR(IF(0=LEN(ReferenceData!$BC$34),"",ReferenceData!$BC$34),"")</f>
        <v/>
      </c>
      <c r="BD34" t="str">
        <f ca="1">IFERROR(IF(0=LEN(ReferenceData!$BD$34),"",ReferenceData!$BD$34),"")</f>
        <v/>
      </c>
      <c r="BE34" t="str">
        <f ca="1">IFERROR(IF(0=LEN(ReferenceData!$BE$34),"",ReferenceData!$BE$34),"")</f>
        <v/>
      </c>
      <c r="BF34" t="str">
        <f ca="1">IFERROR(IF(0=LEN(ReferenceData!$BF$34),"",ReferenceData!$BF$34),"")</f>
        <v/>
      </c>
      <c r="BG34" t="str">
        <f ca="1">IFERROR(IF(0=LEN(ReferenceData!$BG$34),"",ReferenceData!$BG$34),"")</f>
        <v/>
      </c>
      <c r="BH34" t="str">
        <f ca="1">IFERROR(IF(0=LEN(ReferenceData!$BH$34),"",ReferenceData!$BH$34),"")</f>
        <v/>
      </c>
      <c r="BI34" t="str">
        <f ca="1">IFERROR(IF(0=LEN(ReferenceData!$BI$34),"",ReferenceData!$BI$34),"")</f>
        <v/>
      </c>
      <c r="BJ34" t="str">
        <f ca="1">IFERROR(IF(0=LEN(ReferenceData!$BJ$34),"",ReferenceData!$BJ$34),"")</f>
        <v/>
      </c>
      <c r="BK34" t="str">
        <f ca="1">IFERROR(IF(0=LEN(ReferenceData!$BK$34),"",ReferenceData!$BK$34),"")</f>
        <v/>
      </c>
      <c r="BL34" t="str">
        <f ca="1">IFERROR(IF(0=LEN(ReferenceData!$BL$34),"",ReferenceData!$BL$34),"")</f>
        <v/>
      </c>
      <c r="BM34" t="str">
        <f ca="1">IFERROR(IF(0=LEN(ReferenceData!$BM$34),"",ReferenceData!$BM$34),"")</f>
        <v/>
      </c>
    </row>
    <row r="35" spans="1:65" x14ac:dyDescent="0.25">
      <c r="A35" t="str">
        <f>IFERROR(IF(0=LEN(ReferenceData!$A$35),"",ReferenceData!$A$35),"")</f>
        <v xml:space="preserve">    Ssangyong Motor Co</v>
      </c>
      <c r="B35" t="str">
        <f>IFERROR(IF(0=LEN(ReferenceData!$B$35),"",ReferenceData!$B$35),"")</f>
        <v>003620 KS Equity</v>
      </c>
      <c r="C35" t="str">
        <f>IFERROR(IF(0=LEN(ReferenceData!$C$35),"",ReferenceData!$C$35),"")</f>
        <v>RR900</v>
      </c>
      <c r="D35" t="str">
        <f>IFERROR(IF(0=LEN(ReferenceData!$D$35),"",ReferenceData!$D$35),"")</f>
        <v>PE_RATIO</v>
      </c>
      <c r="E35" t="str">
        <f>IFERROR(IF(0=LEN(ReferenceData!$E$35),"",ReferenceData!$E$35),"")</f>
        <v>Dynamic</v>
      </c>
      <c r="F35" t="str">
        <f ca="1">IFERROR(IF(0=LEN(ReferenceData!$F$35),"",ReferenceData!$F$35),"")</f>
        <v/>
      </c>
      <c r="G35" t="str">
        <f ca="1">IFERROR(IF(0=LEN(ReferenceData!$G$35),"",ReferenceData!$G$35),"")</f>
        <v/>
      </c>
      <c r="H35" t="str">
        <f ca="1">IFERROR(IF(0=LEN(ReferenceData!$H$35),"",ReferenceData!$H$35),"")</f>
        <v/>
      </c>
      <c r="I35" t="str">
        <f ca="1">IFERROR(IF(0=LEN(ReferenceData!$I$35),"",ReferenceData!$I$35),"")</f>
        <v/>
      </c>
      <c r="J35" t="str">
        <f ca="1">IFERROR(IF(0=LEN(ReferenceData!$J$35),"",ReferenceData!$J$35),"")</f>
        <v/>
      </c>
      <c r="K35" t="str">
        <f ca="1">IFERROR(IF(0=LEN(ReferenceData!$K$35),"",ReferenceData!$K$35),"")</f>
        <v/>
      </c>
      <c r="L35">
        <f ca="1">IFERROR(IF(0=LEN(ReferenceData!$L$35),"",ReferenceData!$L$35),"")</f>
        <v>35.920880269999998</v>
      </c>
      <c r="M35">
        <f ca="1">IFERROR(IF(0=LEN(ReferenceData!$M$35),"",ReferenceData!$M$35),"")</f>
        <v>47.159082730000002</v>
      </c>
      <c r="N35">
        <f ca="1">IFERROR(IF(0=LEN(ReferenceData!$N$35),"",ReferenceData!$N$35),"")</f>
        <v>26.062071280000001</v>
      </c>
      <c r="O35">
        <f ca="1">IFERROR(IF(0=LEN(ReferenceData!$O$35),"",ReferenceData!$O$35),"")</f>
        <v>18.65067501</v>
      </c>
      <c r="P35">
        <f ca="1">IFERROR(IF(0=LEN(ReferenceData!$P$35),"",ReferenceData!$P$35),"")</f>
        <v>18.766089600000001</v>
      </c>
      <c r="Q35">
        <f ca="1">IFERROR(IF(0=LEN(ReferenceData!$Q$35),"",ReferenceData!$Q$35),"")</f>
        <v>78.734542439999998</v>
      </c>
      <c r="R35" t="str">
        <f ca="1">IFERROR(IF(0=LEN(ReferenceData!$R$35),"",ReferenceData!$R$35),"")</f>
        <v/>
      </c>
      <c r="S35" t="str">
        <f ca="1">IFERROR(IF(0=LEN(ReferenceData!$S$35),"",ReferenceData!$S$35),"")</f>
        <v/>
      </c>
      <c r="T35" t="str">
        <f ca="1">IFERROR(IF(0=LEN(ReferenceData!$T$35),"",ReferenceData!$T$35),"")</f>
        <v/>
      </c>
      <c r="U35" t="str">
        <f ca="1">IFERROR(IF(0=LEN(ReferenceData!$U$35),"",ReferenceData!$U$35),"")</f>
        <v/>
      </c>
      <c r="V35" t="str">
        <f ca="1">IFERROR(IF(0=LEN(ReferenceData!$V$35),"",ReferenceData!$V$35),"")</f>
        <v/>
      </c>
      <c r="W35" t="str">
        <f ca="1">IFERROR(IF(0=LEN(ReferenceData!$W$35),"",ReferenceData!$W$35),"")</f>
        <v/>
      </c>
      <c r="X35" t="str">
        <f ca="1">IFERROR(IF(0=LEN(ReferenceData!$X$35),"",ReferenceData!$X$35),"")</f>
        <v/>
      </c>
      <c r="Y35">
        <f ca="1">IFERROR(IF(0=LEN(ReferenceData!$Y$35),"",ReferenceData!$Y$35),"")</f>
        <v>66.667050900000007</v>
      </c>
      <c r="Z35">
        <f ca="1">IFERROR(IF(0=LEN(ReferenceData!$Z$35),"",ReferenceData!$Z$35),"")</f>
        <v>66.89667335</v>
      </c>
      <c r="AA35" t="str">
        <f ca="1">IFERROR(IF(0=LEN(ReferenceData!$AA$35),"",ReferenceData!$AA$35),"")</f>
        <v/>
      </c>
      <c r="AB35" t="str">
        <f ca="1">IFERROR(IF(0=LEN(ReferenceData!$AB$35),"",ReferenceData!$AB$35),"")</f>
        <v/>
      </c>
      <c r="AC35" t="str">
        <f ca="1">IFERROR(IF(0=LEN(ReferenceData!$AC$35),"",ReferenceData!$AC$35),"")</f>
        <v/>
      </c>
      <c r="AD35" t="str">
        <f ca="1">IFERROR(IF(0=LEN(ReferenceData!$AD$35),"",ReferenceData!$AD$35),"")</f>
        <v/>
      </c>
      <c r="AE35" t="str">
        <f ca="1">IFERROR(IF(0=LEN(ReferenceData!$AE$35),"",ReferenceData!$AE$35),"")</f>
        <v/>
      </c>
      <c r="AF35" t="str">
        <f ca="1">IFERROR(IF(0=LEN(ReferenceData!$AF$35),"",ReferenceData!$AF$35),"")</f>
        <v/>
      </c>
      <c r="AG35" t="str">
        <f ca="1">IFERROR(IF(0=LEN(ReferenceData!$AG$35),"",ReferenceData!$AG$35),"")</f>
        <v/>
      </c>
      <c r="AH35" t="str">
        <f ca="1">IFERROR(IF(0=LEN(ReferenceData!$AH$35),"",ReferenceData!$AH$35),"")</f>
        <v/>
      </c>
      <c r="AI35" t="str">
        <f ca="1">IFERROR(IF(0=LEN(ReferenceData!$AI$35),"",ReferenceData!$AI$35),"")</f>
        <v/>
      </c>
      <c r="AJ35" t="str">
        <f ca="1">IFERROR(IF(0=LEN(ReferenceData!$AJ$35),"",ReferenceData!$AJ$35),"")</f>
        <v/>
      </c>
      <c r="AK35" t="str">
        <f ca="1">IFERROR(IF(0=LEN(ReferenceData!$AK$35),"",ReferenceData!$AK$35),"")</f>
        <v/>
      </c>
      <c r="AL35" t="str">
        <f ca="1">IFERROR(IF(0=LEN(ReferenceData!$AL$35),"",ReferenceData!$AL$35),"")</f>
        <v/>
      </c>
      <c r="AM35" t="str">
        <f ca="1">IFERROR(IF(0=LEN(ReferenceData!$AM$35),"",ReferenceData!$AM$35),"")</f>
        <v/>
      </c>
      <c r="AN35" t="str">
        <f ca="1">IFERROR(IF(0=LEN(ReferenceData!$AN$35),"",ReferenceData!$AN$35),"")</f>
        <v/>
      </c>
      <c r="AO35" t="str">
        <f ca="1">IFERROR(IF(0=LEN(ReferenceData!$AO$35),"",ReferenceData!$AO$35),"")</f>
        <v/>
      </c>
      <c r="AP35" t="str">
        <f ca="1">IFERROR(IF(0=LEN(ReferenceData!$AP$35),"",ReferenceData!$AP$35),"")</f>
        <v/>
      </c>
      <c r="AQ35" t="str">
        <f ca="1">IFERROR(IF(0=LEN(ReferenceData!$AQ$35),"",ReferenceData!$AQ$35),"")</f>
        <v/>
      </c>
      <c r="AR35" t="str">
        <f ca="1">IFERROR(IF(0=LEN(ReferenceData!$AR$35),"",ReferenceData!$AR$35),"")</f>
        <v/>
      </c>
      <c r="AS35" t="str">
        <f ca="1">IFERROR(IF(0=LEN(ReferenceData!$AS$35),"",ReferenceData!$AS$35),"")</f>
        <v/>
      </c>
      <c r="AT35" t="str">
        <f ca="1">IFERROR(IF(0=LEN(ReferenceData!$AT$35),"",ReferenceData!$AT$35),"")</f>
        <v/>
      </c>
      <c r="AU35" t="str">
        <f ca="1">IFERROR(IF(0=LEN(ReferenceData!$AU$35),"",ReferenceData!$AU$35),"")</f>
        <v/>
      </c>
      <c r="AV35" t="str">
        <f ca="1">IFERROR(IF(0=LEN(ReferenceData!$AV$35),"",ReferenceData!$AV$35),"")</f>
        <v/>
      </c>
      <c r="AW35" t="str">
        <f ca="1">IFERROR(IF(0=LEN(ReferenceData!$AW$35),"",ReferenceData!$AW$35),"")</f>
        <v/>
      </c>
      <c r="AX35" t="str">
        <f ca="1">IFERROR(IF(0=LEN(ReferenceData!$AX$35),"",ReferenceData!$AX$35),"")</f>
        <v/>
      </c>
      <c r="AY35" t="str">
        <f ca="1">IFERROR(IF(0=LEN(ReferenceData!$AY$35),"",ReferenceData!$AY$35),"")</f>
        <v/>
      </c>
      <c r="AZ35" t="str">
        <f ca="1">IFERROR(IF(0=LEN(ReferenceData!$AZ$35),"",ReferenceData!$AZ$35),"")</f>
        <v/>
      </c>
      <c r="BA35" t="str">
        <f ca="1">IFERROR(IF(0=LEN(ReferenceData!$BA$35),"",ReferenceData!$BA$35),"")</f>
        <v/>
      </c>
      <c r="BB35" t="str">
        <f ca="1">IFERROR(IF(0=LEN(ReferenceData!$BB$35),"",ReferenceData!$BB$35),"")</f>
        <v/>
      </c>
      <c r="BC35" t="str">
        <f ca="1">IFERROR(IF(0=LEN(ReferenceData!$BC$35),"",ReferenceData!$BC$35),"")</f>
        <v/>
      </c>
      <c r="BD35" t="str">
        <f ca="1">IFERROR(IF(0=LEN(ReferenceData!$BD$35),"",ReferenceData!$BD$35),"")</f>
        <v/>
      </c>
      <c r="BE35" t="str">
        <f ca="1">IFERROR(IF(0=LEN(ReferenceData!$BE$35),"",ReferenceData!$BE$35),"")</f>
        <v/>
      </c>
      <c r="BF35" t="str">
        <f ca="1">IFERROR(IF(0=LEN(ReferenceData!$BF$35),"",ReferenceData!$BF$35),"")</f>
        <v/>
      </c>
      <c r="BG35" t="str">
        <f ca="1">IFERROR(IF(0=LEN(ReferenceData!$BG$35),"",ReferenceData!$BG$35),"")</f>
        <v/>
      </c>
      <c r="BH35" t="str">
        <f ca="1">IFERROR(IF(0=LEN(ReferenceData!$BH$35),"",ReferenceData!$BH$35),"")</f>
        <v/>
      </c>
      <c r="BI35" t="str">
        <f ca="1">IFERROR(IF(0=LEN(ReferenceData!$BI$35),"",ReferenceData!$BI$35),"")</f>
        <v/>
      </c>
      <c r="BJ35" t="str">
        <f ca="1">IFERROR(IF(0=LEN(ReferenceData!$BJ$35),"",ReferenceData!$BJ$35),"")</f>
        <v/>
      </c>
      <c r="BK35" t="str">
        <f ca="1">IFERROR(IF(0=LEN(ReferenceData!$BK$35),"",ReferenceData!$BK$35),"")</f>
        <v/>
      </c>
      <c r="BL35" t="str">
        <f ca="1">IFERROR(IF(0=LEN(ReferenceData!$BL$35),"",ReferenceData!$BL$35),"")</f>
        <v/>
      </c>
      <c r="BM35" t="str">
        <f ca="1">IFERROR(IF(0=LEN(ReferenceData!$BM$35),"",ReferenceData!$BM$35),"")</f>
        <v/>
      </c>
    </row>
    <row r="36" spans="1:65" x14ac:dyDescent="0.25">
      <c r="A36" t="str">
        <f>IFERROR(IF(0=LEN(ReferenceData!$A$36),"",ReferenceData!$A$36),"")</f>
        <v xml:space="preserve">    Subaru Corp</v>
      </c>
      <c r="B36" t="str">
        <f>IFERROR(IF(0=LEN(ReferenceData!$B$36),"",ReferenceData!$B$36),"")</f>
        <v>7270 JP Equity</v>
      </c>
      <c r="C36" t="str">
        <f>IFERROR(IF(0=LEN(ReferenceData!$C$36),"",ReferenceData!$C$36),"")</f>
        <v>RR900</v>
      </c>
      <c r="D36" t="str">
        <f>IFERROR(IF(0=LEN(ReferenceData!$D$36),"",ReferenceData!$D$36),"")</f>
        <v>PE_RATIO</v>
      </c>
      <c r="E36" t="str">
        <f>IFERROR(IF(0=LEN(ReferenceData!$E$36),"",ReferenceData!$E$36),"")</f>
        <v>Dynamic</v>
      </c>
      <c r="F36">
        <f ca="1">IFERROR(IF(0=LEN(ReferenceData!$F$36),"",ReferenceData!$F$36),"")</f>
        <v>11.732166449999999</v>
      </c>
      <c r="G36">
        <f ca="1">IFERROR(IF(0=LEN(ReferenceData!$G$36),"",ReferenceData!$G$36),"")</f>
        <v>9.7424042269999998</v>
      </c>
      <c r="H36">
        <f ca="1">IFERROR(IF(0=LEN(ReferenceData!$H$36),"",ReferenceData!$H$36),"")</f>
        <v>14.85085136</v>
      </c>
      <c r="I36">
        <f ca="1">IFERROR(IF(0=LEN(ReferenceData!$I$36),"",ReferenceData!$I$36),"")</f>
        <v>13.475681099999999</v>
      </c>
      <c r="J36">
        <f ca="1">IFERROR(IF(0=LEN(ReferenceData!$J$36),"",ReferenceData!$J$36),"")</f>
        <v>12.132915799999999</v>
      </c>
      <c r="K36">
        <f ca="1">IFERROR(IF(0=LEN(ReferenceData!$K$36),"",ReferenceData!$K$36),"")</f>
        <v>12.06519177</v>
      </c>
      <c r="L36">
        <f ca="1">IFERROR(IF(0=LEN(ReferenceData!$L$36),"",ReferenceData!$L$36),"")</f>
        <v>15.294206279999999</v>
      </c>
      <c r="M36">
        <f ca="1">IFERROR(IF(0=LEN(ReferenceData!$M$36),"",ReferenceData!$M$36),"")</f>
        <v>10.182346300000001</v>
      </c>
      <c r="N36">
        <f ca="1">IFERROR(IF(0=LEN(ReferenceData!$N$36),"",ReferenceData!$N$36),"")</f>
        <v>11.17099863</v>
      </c>
      <c r="O36">
        <f ca="1">IFERROR(IF(0=LEN(ReferenceData!$O$36),"",ReferenceData!$O$36),"")</f>
        <v>12.094485000000001</v>
      </c>
      <c r="P36">
        <f ca="1">IFERROR(IF(0=LEN(ReferenceData!$P$36),"",ReferenceData!$P$36),"")</f>
        <v>7.1815173940000001</v>
      </c>
      <c r="Q36">
        <f ca="1">IFERROR(IF(0=LEN(ReferenceData!$Q$36),"",ReferenceData!$Q$36),"")</f>
        <v>6.2925170069999998</v>
      </c>
      <c r="R36">
        <f ca="1">IFERROR(IF(0=LEN(ReferenceData!$R$36),"",ReferenceData!$R$36),"")</f>
        <v>7.1040497550000001</v>
      </c>
      <c r="S36">
        <f ca="1">IFERROR(IF(0=LEN(ReferenceData!$S$36),"",ReferenceData!$S$36),"")</f>
        <v>9.5841833330000004</v>
      </c>
      <c r="T36">
        <f ca="1">IFERROR(IF(0=LEN(ReferenceData!$T$36),"",ReferenceData!$T$36),"")</f>
        <v>9.7713998899999996</v>
      </c>
      <c r="U36">
        <f ca="1">IFERROR(IF(0=LEN(ReferenceData!$U$36),"",ReferenceData!$U$36),"")</f>
        <v>11.973439580000001</v>
      </c>
      <c r="V36">
        <f ca="1">IFERROR(IF(0=LEN(ReferenceData!$V$36),"",ReferenceData!$V$36),"")</f>
        <v>11.89319665</v>
      </c>
      <c r="W36">
        <f ca="1">IFERROR(IF(0=LEN(ReferenceData!$W$36),"",ReferenceData!$W$36),"")</f>
        <v>15.576888240000001</v>
      </c>
      <c r="X36">
        <f ca="1">IFERROR(IF(0=LEN(ReferenceData!$X$36),"",ReferenceData!$X$36),"")</f>
        <v>12.872306439999999</v>
      </c>
      <c r="Y36">
        <f ca="1">IFERROR(IF(0=LEN(ReferenceData!$Y$36),"",ReferenceData!$Y$36),"")</f>
        <v>10.40430267</v>
      </c>
      <c r="Z36">
        <f ca="1">IFERROR(IF(0=LEN(ReferenceData!$Z$36),"",ReferenceData!$Z$36),"")</f>
        <v>10.54579792</v>
      </c>
      <c r="AA36">
        <f ca="1">IFERROR(IF(0=LEN(ReferenceData!$AA$36),"",ReferenceData!$AA$36),"")</f>
        <v>9.4879944609999995</v>
      </c>
      <c r="AB36">
        <f ca="1">IFERROR(IF(0=LEN(ReferenceData!$AB$36),"",ReferenceData!$AB$36),"")</f>
        <v>11.818062879999999</v>
      </c>
      <c r="AC36">
        <f ca="1">IFERROR(IF(0=LEN(ReferenceData!$AC$36),"",ReferenceData!$AC$36),"")</f>
        <v>12.57845457</v>
      </c>
      <c r="AD36">
        <f ca="1">IFERROR(IF(0=LEN(ReferenceData!$AD$36),"",ReferenceData!$AD$36),"")</f>
        <v>9.5346864189999998</v>
      </c>
      <c r="AE36">
        <f ca="1">IFERROR(IF(0=LEN(ReferenceData!$AE$36),"",ReferenceData!$AE$36),"")</f>
        <v>15.315773889999999</v>
      </c>
      <c r="AF36">
        <f ca="1">IFERROR(IF(0=LEN(ReferenceData!$AF$36),"",ReferenceData!$AF$36),"")</f>
        <v>10.961969310000001</v>
      </c>
      <c r="AG36">
        <f ca="1">IFERROR(IF(0=LEN(ReferenceData!$AG$36),"",ReferenceData!$AG$36),"")</f>
        <v>18.867391380000001</v>
      </c>
      <c r="AH36">
        <f ca="1">IFERROR(IF(0=LEN(ReferenceData!$AH$36),"",ReferenceData!$AH$36),"")</f>
        <v>13.49378314</v>
      </c>
      <c r="AI36">
        <f ca="1">IFERROR(IF(0=LEN(ReferenceData!$AI$36),"",ReferenceData!$AI$36),"")</f>
        <v>12.653751590000001</v>
      </c>
      <c r="AJ36">
        <f ca="1">IFERROR(IF(0=LEN(ReferenceData!$AJ$36),"",ReferenceData!$AJ$36),"")</f>
        <v>9.2770962509999997</v>
      </c>
      <c r="AK36">
        <f ca="1">IFERROR(IF(0=LEN(ReferenceData!$AK$36),"",ReferenceData!$AK$36),"")</f>
        <v>8.1317385570000003</v>
      </c>
      <c r="AL36">
        <f ca="1">IFERROR(IF(0=LEN(ReferenceData!$AL$36),"",ReferenceData!$AL$36),"")</f>
        <v>8.2984457999999997</v>
      </c>
      <c r="AM36">
        <f ca="1">IFERROR(IF(0=LEN(ReferenceData!$AM$36),"",ReferenceData!$AM$36),"")</f>
        <v>8.5867940259999997</v>
      </c>
      <c r="AN36">
        <f ca="1">IFERROR(IF(0=LEN(ReferenceData!$AN$36),"",ReferenceData!$AN$36),"")</f>
        <v>8.315296408</v>
      </c>
      <c r="AO36">
        <f ca="1">IFERROR(IF(0=LEN(ReferenceData!$AO$36),"",ReferenceData!$AO$36),"")</f>
        <v>17.016161490000002</v>
      </c>
      <c r="AP36" t="str">
        <f ca="1">IFERROR(IF(0=LEN(ReferenceData!$AP$36),"",ReferenceData!$AP$36),"")</f>
        <v/>
      </c>
      <c r="AQ36" t="str">
        <f ca="1">IFERROR(IF(0=LEN(ReferenceData!$AQ$36),"",ReferenceData!$AQ$36),"")</f>
        <v/>
      </c>
      <c r="AR36" t="str">
        <f ca="1">IFERROR(IF(0=LEN(ReferenceData!$AR$36),"",ReferenceData!$AR$36),"")</f>
        <v/>
      </c>
      <c r="AS36" t="str">
        <f ca="1">IFERROR(IF(0=LEN(ReferenceData!$AS$36),"",ReferenceData!$AS$36),"")</f>
        <v/>
      </c>
      <c r="AT36" t="str">
        <f ca="1">IFERROR(IF(0=LEN(ReferenceData!$AT$36),"",ReferenceData!$AT$36),"")</f>
        <v/>
      </c>
      <c r="AU36">
        <f ca="1">IFERROR(IF(0=LEN(ReferenceData!$AU$36),"",ReferenceData!$AU$36),"")</f>
        <v>11.741966659999999</v>
      </c>
      <c r="AV36">
        <f ca="1">IFERROR(IF(0=LEN(ReferenceData!$AV$36),"",ReferenceData!$AV$36),"")</f>
        <v>25.175163080000001</v>
      </c>
      <c r="AW36">
        <f ca="1">IFERROR(IF(0=LEN(ReferenceData!$AW$36),"",ReferenceData!$AW$36),"")</f>
        <v>18.428606869999999</v>
      </c>
      <c r="AX36">
        <f ca="1">IFERROR(IF(0=LEN(ReferenceData!$AX$36),"",ReferenceData!$AX$36),"")</f>
        <v>16.170938849999999</v>
      </c>
      <c r="AY36">
        <f ca="1">IFERROR(IF(0=LEN(ReferenceData!$AY$36),"",ReferenceData!$AY$36),"")</f>
        <v>14.907470869999999</v>
      </c>
      <c r="AZ36">
        <f ca="1">IFERROR(IF(0=LEN(ReferenceData!$AZ$36),"",ReferenceData!$AZ$36),"")</f>
        <v>12.875426729999999</v>
      </c>
      <c r="BA36">
        <f ca="1">IFERROR(IF(0=LEN(ReferenceData!$BA$36),"",ReferenceData!$BA$36),"")</f>
        <v>15.70485478</v>
      </c>
      <c r="BB36">
        <f ca="1">IFERROR(IF(0=LEN(ReferenceData!$BB$36),"",ReferenceData!$BB$36),"")</f>
        <v>13.768898180000001</v>
      </c>
      <c r="BC36">
        <f ca="1">IFERROR(IF(0=LEN(ReferenceData!$BC$36),"",ReferenceData!$BC$36),"")</f>
        <v>16.031695630000002</v>
      </c>
      <c r="BD36">
        <f ca="1">IFERROR(IF(0=LEN(ReferenceData!$BD$36),"",ReferenceData!$BD$36),"")</f>
        <v>25.22711915</v>
      </c>
      <c r="BE36">
        <f ca="1">IFERROR(IF(0=LEN(ReferenceData!$BE$36),"",ReferenceData!$BE$36),"")</f>
        <v>23.393244280000001</v>
      </c>
      <c r="BF36">
        <f ca="1">IFERROR(IF(0=LEN(ReferenceData!$BF$36),"",ReferenceData!$BF$36),"")</f>
        <v>33.48171086</v>
      </c>
      <c r="BG36">
        <f ca="1">IFERROR(IF(0=LEN(ReferenceData!$BG$36),"",ReferenceData!$BG$36),"")</f>
        <v>46.568450890000001</v>
      </c>
      <c r="BH36">
        <f ca="1">IFERROR(IF(0=LEN(ReferenceData!$BH$36),"",ReferenceData!$BH$36),"")</f>
        <v>22.30996412</v>
      </c>
      <c r="BI36">
        <f ca="1">IFERROR(IF(0=LEN(ReferenceData!$BI$36),"",ReferenceData!$BI$36),"")</f>
        <v>21.965263499999999</v>
      </c>
      <c r="BJ36">
        <f ca="1">IFERROR(IF(0=LEN(ReferenceData!$BJ$36),"",ReferenceData!$BJ$36),"")</f>
        <v>22.447641090000001</v>
      </c>
      <c r="BK36" t="str">
        <f ca="1">IFERROR(IF(0=LEN(ReferenceData!$BK$36),"",ReferenceData!$BK$36),"")</f>
        <v/>
      </c>
      <c r="BL36" t="str">
        <f ca="1">IFERROR(IF(0=LEN(ReferenceData!$BL$36),"",ReferenceData!$BL$36),"")</f>
        <v/>
      </c>
      <c r="BM36" t="str">
        <f ca="1">IFERROR(IF(0=LEN(ReferenceData!$BM$36),"",ReferenceData!$BM$36),"")</f>
        <v/>
      </c>
    </row>
    <row r="37" spans="1:65" x14ac:dyDescent="0.25">
      <c r="A37" t="str">
        <f>IFERROR(IF(0=LEN(ReferenceData!$A$37),"",ReferenceData!$A$37),"")</f>
        <v xml:space="preserve">    Suzuki Motor Corp</v>
      </c>
      <c r="B37" t="str">
        <f>IFERROR(IF(0=LEN(ReferenceData!$B$37),"",ReferenceData!$B$37),"")</f>
        <v>7269 JP Equity</v>
      </c>
      <c r="C37" t="str">
        <f>IFERROR(IF(0=LEN(ReferenceData!$C$37),"",ReferenceData!$C$37),"")</f>
        <v>RR900</v>
      </c>
      <c r="D37" t="str">
        <f>IFERROR(IF(0=LEN(ReferenceData!$D$37),"",ReferenceData!$D$37),"")</f>
        <v>PE_RATIO</v>
      </c>
      <c r="E37" t="str">
        <f>IFERROR(IF(0=LEN(ReferenceData!$E$37),"",ReferenceData!$E$37),"")</f>
        <v>Dynamic</v>
      </c>
      <c r="F37">
        <f ca="1">IFERROR(IF(0=LEN(ReferenceData!$F$37),"",ReferenceData!$F$37),"")</f>
        <v>11.09988358</v>
      </c>
      <c r="G37">
        <f ca="1">IFERROR(IF(0=LEN(ReferenceData!$G$37),"",ReferenceData!$G$37),"")</f>
        <v>10.69453996</v>
      </c>
      <c r="H37">
        <f ca="1">IFERROR(IF(0=LEN(ReferenceData!$H$37),"",ReferenceData!$H$37),"")</f>
        <v>11.62682674</v>
      </c>
      <c r="I37">
        <f ca="1">IFERROR(IF(0=LEN(ReferenceData!$I$37),"",ReferenceData!$I$37),"")</f>
        <v>11.434231670000001</v>
      </c>
      <c r="J37">
        <f ca="1">IFERROR(IF(0=LEN(ReferenceData!$J$37),"",ReferenceData!$J$37),"")</f>
        <v>11.7209074</v>
      </c>
      <c r="K37">
        <f ca="1">IFERROR(IF(0=LEN(ReferenceData!$K$37),"",ReferenceData!$K$37),"")</f>
        <v>15.100182569999999</v>
      </c>
      <c r="L37">
        <f ca="1">IFERROR(IF(0=LEN(ReferenceData!$L$37),"",ReferenceData!$L$37),"")</f>
        <v>15.855788090000001</v>
      </c>
      <c r="M37">
        <f ca="1">IFERROR(IF(0=LEN(ReferenceData!$M$37),"",ReferenceData!$M$37),"")</f>
        <v>12.546933299999999</v>
      </c>
      <c r="N37">
        <f ca="1">IFERROR(IF(0=LEN(ReferenceData!$N$37),"",ReferenceData!$N$37),"")</f>
        <v>12.749113879999999</v>
      </c>
      <c r="O37">
        <f ca="1">IFERROR(IF(0=LEN(ReferenceData!$O$37),"",ReferenceData!$O$37),"")</f>
        <v>12.284814190000001</v>
      </c>
      <c r="P37">
        <f ca="1">IFERROR(IF(0=LEN(ReferenceData!$P$37),"",ReferenceData!$P$37),"")</f>
        <v>10.82007123</v>
      </c>
      <c r="Q37">
        <f ca="1">IFERROR(IF(0=LEN(ReferenceData!$Q$37),"",ReferenceData!$Q$37),"")</f>
        <v>10.59164747</v>
      </c>
      <c r="R37">
        <f ca="1">IFERROR(IF(0=LEN(ReferenceData!$R$37),"",ReferenceData!$R$37),"")</f>
        <v>13.06579764</v>
      </c>
      <c r="S37">
        <f ca="1">IFERROR(IF(0=LEN(ReferenceData!$S$37),"",ReferenceData!$S$37),"")</f>
        <v>16.23773838</v>
      </c>
      <c r="T37">
        <f ca="1">IFERROR(IF(0=LEN(ReferenceData!$T$37),"",ReferenceData!$T$37),"")</f>
        <v>16.428891879999998</v>
      </c>
      <c r="U37">
        <f ca="1">IFERROR(IF(0=LEN(ReferenceData!$U$37),"",ReferenceData!$U$37),"")</f>
        <v>25.480650730000001</v>
      </c>
      <c r="V37">
        <f ca="1">IFERROR(IF(0=LEN(ReferenceData!$V$37),"",ReferenceData!$V$37),"")</f>
        <v>20.922622499999999</v>
      </c>
      <c r="W37">
        <f ca="1">IFERROR(IF(0=LEN(ReferenceData!$W$37),"",ReferenceData!$W$37),"")</f>
        <v>19.467322710000001</v>
      </c>
      <c r="X37">
        <f ca="1">IFERROR(IF(0=LEN(ReferenceData!$X$37),"",ReferenceData!$X$37),"")</f>
        <v>18.57785273</v>
      </c>
      <c r="Y37">
        <f ca="1">IFERROR(IF(0=LEN(ReferenceData!$Y$37),"",ReferenceData!$Y$37),"")</f>
        <v>15.087252149999999</v>
      </c>
      <c r="Z37">
        <f ca="1">IFERROR(IF(0=LEN(ReferenceData!$Z$37),"",ReferenceData!$Z$37),"")</f>
        <v>14.059808990000001</v>
      </c>
      <c r="AA37">
        <f ca="1">IFERROR(IF(0=LEN(ReferenceData!$AA$37),"",ReferenceData!$AA$37),"")</f>
        <v>13.860706759999999</v>
      </c>
      <c r="AB37">
        <f ca="1">IFERROR(IF(0=LEN(ReferenceData!$AB$37),"",ReferenceData!$AB$37),"")</f>
        <v>14.63687846</v>
      </c>
      <c r="AC37">
        <f ca="1">IFERROR(IF(0=LEN(ReferenceData!$AC$37),"",ReferenceData!$AC$37),"")</f>
        <v>15.466287960000001</v>
      </c>
      <c r="AD37">
        <f ca="1">IFERROR(IF(0=LEN(ReferenceData!$AD$37),"",ReferenceData!$AD$37),"")</f>
        <v>14.731332869999999</v>
      </c>
      <c r="AE37">
        <f ca="1">IFERROR(IF(0=LEN(ReferenceData!$AE$37),"",ReferenceData!$AE$37),"")</f>
        <v>20.38632226</v>
      </c>
      <c r="AF37">
        <f ca="1">IFERROR(IF(0=LEN(ReferenceData!$AF$37),"",ReferenceData!$AF$37),"")</f>
        <v>13.325629040000001</v>
      </c>
      <c r="AG37">
        <f ca="1">IFERROR(IF(0=LEN(ReferenceData!$AG$37),"",ReferenceData!$AG$37),"")</f>
        <v>15.250638889999999</v>
      </c>
      <c r="AH37">
        <f ca="1">IFERROR(IF(0=LEN(ReferenceData!$AH$37),"",ReferenceData!$AH$37),"")</f>
        <v>20.580752180000001</v>
      </c>
      <c r="AI37">
        <f ca="1">IFERROR(IF(0=LEN(ReferenceData!$AI$37),"",ReferenceData!$AI$37),"")</f>
        <v>20.681210490000002</v>
      </c>
      <c r="AJ37">
        <f ca="1">IFERROR(IF(0=LEN(ReferenceData!$AJ$37),"",ReferenceData!$AJ$37),"")</f>
        <v>20.651669299999998</v>
      </c>
      <c r="AK37">
        <f ca="1">IFERROR(IF(0=LEN(ReferenceData!$AK$37),"",ReferenceData!$AK$37),"")</f>
        <v>20.770247300000001</v>
      </c>
      <c r="AL37">
        <f ca="1">IFERROR(IF(0=LEN(ReferenceData!$AL$37),"",ReferenceData!$AL$37),"")</f>
        <v>23.04645811</v>
      </c>
      <c r="AM37">
        <f ca="1">IFERROR(IF(0=LEN(ReferenceData!$AM$37),"",ReferenceData!$AM$37),"")</f>
        <v>19.80276447</v>
      </c>
      <c r="AN37">
        <f ca="1">IFERROR(IF(0=LEN(ReferenceData!$AN$37),"",ReferenceData!$AN$37),"")</f>
        <v>20.395837199999999</v>
      </c>
      <c r="AO37">
        <f ca="1">IFERROR(IF(0=LEN(ReferenceData!$AO$37),"",ReferenceData!$AO$37),"")</f>
        <v>21.22595922</v>
      </c>
      <c r="AP37">
        <f ca="1">IFERROR(IF(0=LEN(ReferenceData!$AP$37),"",ReferenceData!$AP$37),"")</f>
        <v>34.073266609999997</v>
      </c>
      <c r="AQ37">
        <f ca="1">IFERROR(IF(0=LEN(ReferenceData!$AQ$37),"",ReferenceData!$AQ$37),"")</f>
        <v>46.578140959999999</v>
      </c>
      <c r="AR37">
        <f ca="1">IFERROR(IF(0=LEN(ReferenceData!$AR$37),"",ReferenceData!$AR$37),"")</f>
        <v>153.47985349999999</v>
      </c>
      <c r="AS37">
        <f ca="1">IFERROR(IF(0=LEN(ReferenceData!$AS$37),"",ReferenceData!$AS$37),"")</f>
        <v>272.61306530000002</v>
      </c>
      <c r="AT37">
        <f ca="1">IFERROR(IF(0=LEN(ReferenceData!$AT$37),"",ReferenceData!$AT$37),"")</f>
        <v>26.810401580000001</v>
      </c>
      <c r="AU37">
        <f ca="1">IFERROR(IF(0=LEN(ReferenceData!$AU$37),"",ReferenceData!$AU$37),"")</f>
        <v>16.303770579999998</v>
      </c>
      <c r="AV37">
        <f ca="1">IFERROR(IF(0=LEN(ReferenceData!$AV$37),"",ReferenceData!$AV$37),"")</f>
        <v>12.64412523</v>
      </c>
      <c r="AW37">
        <f ca="1">IFERROR(IF(0=LEN(ReferenceData!$AW$37),"",ReferenceData!$AW$37),"")</f>
        <v>13.81778145</v>
      </c>
      <c r="AX37">
        <f ca="1">IFERROR(IF(0=LEN(ReferenceData!$AX$37),"",ReferenceData!$AX$37),"")</f>
        <v>14.1323893</v>
      </c>
      <c r="AY37">
        <f ca="1">IFERROR(IF(0=LEN(ReferenceData!$AY$37),"",ReferenceData!$AY$37),"")</f>
        <v>17.810615550000001</v>
      </c>
      <c r="AZ37">
        <f ca="1">IFERROR(IF(0=LEN(ReferenceData!$AZ$37),"",ReferenceData!$AZ$37),"")</f>
        <v>18.659788259999999</v>
      </c>
      <c r="BA37">
        <f ca="1">IFERROR(IF(0=LEN(ReferenceData!$BA$37),"",ReferenceData!$BA$37),"")</f>
        <v>19.711424739999998</v>
      </c>
      <c r="BB37">
        <f ca="1">IFERROR(IF(0=LEN(ReferenceData!$BB$37),"",ReferenceData!$BB$37),"")</f>
        <v>18.05821139</v>
      </c>
      <c r="BC37">
        <f ca="1">IFERROR(IF(0=LEN(ReferenceData!$BC$37),"",ReferenceData!$BC$37),"")</f>
        <v>20.287160289999999</v>
      </c>
      <c r="BD37">
        <f ca="1">IFERROR(IF(0=LEN(ReferenceData!$BD$37),"",ReferenceData!$BD$37),"")</f>
        <v>19.136880139999999</v>
      </c>
      <c r="BE37">
        <f ca="1">IFERROR(IF(0=LEN(ReferenceData!$BE$37),"",ReferenceData!$BE$37),"")</f>
        <v>17.67839932</v>
      </c>
      <c r="BF37">
        <f ca="1">IFERROR(IF(0=LEN(ReferenceData!$BF$37),"",ReferenceData!$BF$37),"")</f>
        <v>21.50044235</v>
      </c>
      <c r="BG37">
        <f ca="1">IFERROR(IF(0=LEN(ReferenceData!$BG$37),"",ReferenceData!$BG$37),"")</f>
        <v>18.27513428</v>
      </c>
      <c r="BH37">
        <f ca="1">IFERROR(IF(0=LEN(ReferenceData!$BH$37),"",ReferenceData!$BH$37),"")</f>
        <v>17.825009640000001</v>
      </c>
      <c r="BI37">
        <f ca="1">IFERROR(IF(0=LEN(ReferenceData!$BI$37),"",ReferenceData!$BI$37),"")</f>
        <v>15.31890237</v>
      </c>
      <c r="BJ37">
        <f ca="1">IFERROR(IF(0=LEN(ReferenceData!$BJ$37),"",ReferenceData!$BJ$37),"")</f>
        <v>16.98231865</v>
      </c>
      <c r="BK37">
        <f ca="1">IFERROR(IF(0=LEN(ReferenceData!$BK$37),"",ReferenceData!$BK$37),"")</f>
        <v>20.761936909999999</v>
      </c>
      <c r="BL37">
        <f ca="1">IFERROR(IF(0=LEN(ReferenceData!$BL$37),"",ReferenceData!$BL$37),"")</f>
        <v>20.340245490000001</v>
      </c>
      <c r="BM37">
        <f ca="1">IFERROR(IF(0=LEN(ReferenceData!$BM$37),"",ReferenceData!$BM$37),"")</f>
        <v>21.564492000000001</v>
      </c>
    </row>
    <row r="38" spans="1:65" x14ac:dyDescent="0.25">
      <c r="A38" t="str">
        <f>IFERROR(IF(0=LEN(ReferenceData!$A$38),"",ReferenceData!$A$38),"")</f>
        <v xml:space="preserve">    Tata Motors Ltd</v>
      </c>
      <c r="B38" t="str">
        <f>IFERROR(IF(0=LEN(ReferenceData!$B$38),"",ReferenceData!$B$38),"")</f>
        <v>TTMT IN Equity</v>
      </c>
      <c r="C38" t="str">
        <f>IFERROR(IF(0=LEN(ReferenceData!$C$38),"",ReferenceData!$C$38),"")</f>
        <v>RR900</v>
      </c>
      <c r="D38" t="str">
        <f>IFERROR(IF(0=LEN(ReferenceData!$D$38),"",ReferenceData!$D$38),"")</f>
        <v>PE_RATIO</v>
      </c>
      <c r="E38" t="str">
        <f>IFERROR(IF(0=LEN(ReferenceData!$E$38),"",ReferenceData!$E$38),"")</f>
        <v>Dynamic</v>
      </c>
      <c r="F38" t="str">
        <f ca="1">IFERROR(IF(0=LEN(ReferenceData!$F$38),"",ReferenceData!$F$38),"")</f>
        <v/>
      </c>
      <c r="G38">
        <f ca="1">IFERROR(IF(0=LEN(ReferenceData!$G$38),"",ReferenceData!$G$38),"")</f>
        <v>161.17924529999999</v>
      </c>
      <c r="H38">
        <f ca="1">IFERROR(IF(0=LEN(ReferenceData!$H$38),"",ReferenceData!$H$38),"")</f>
        <v>211.03773580000001</v>
      </c>
      <c r="I38">
        <f ca="1">IFERROR(IF(0=LEN(ReferenceData!$I$38),"",ReferenceData!$I$38),"")</f>
        <v>23.51965066</v>
      </c>
      <c r="J38">
        <f ca="1">IFERROR(IF(0=LEN(ReferenceData!$J$38),"",ReferenceData!$J$38),"")</f>
        <v>12.375993940000001</v>
      </c>
      <c r="K38">
        <f ca="1">IFERROR(IF(0=LEN(ReferenceData!$K$38),"",ReferenceData!$K$38),"")</f>
        <v>13.162145689999999</v>
      </c>
      <c r="L38">
        <f ca="1">IFERROR(IF(0=LEN(ReferenceData!$L$38),"",ReferenceData!$L$38),"")</f>
        <v>13.582543980000001</v>
      </c>
      <c r="M38">
        <f ca="1">IFERROR(IF(0=LEN(ReferenceData!$M$38),"",ReferenceData!$M$38),"")</f>
        <v>17.526337120000001</v>
      </c>
      <c r="N38">
        <f ca="1">IFERROR(IF(0=LEN(ReferenceData!$N$38),"",ReferenceData!$N$38),"")</f>
        <v>21.281407040000001</v>
      </c>
      <c r="O38">
        <f ca="1">IFERROR(IF(0=LEN(ReferenceData!$O$38),"",ReferenceData!$O$38),"")</f>
        <v>19.281045750000001</v>
      </c>
      <c r="P38">
        <f ca="1">IFERROR(IF(0=LEN(ReferenceData!$P$38),"",ReferenceData!$P$38),"")</f>
        <v>16.281582950000001</v>
      </c>
      <c r="Q38">
        <f ca="1">IFERROR(IF(0=LEN(ReferenceData!$Q$38),"",ReferenceData!$Q$38),"")</f>
        <v>18.195324880000001</v>
      </c>
      <c r="R38">
        <f ca="1">IFERROR(IF(0=LEN(ReferenceData!$R$38),"",ReferenceData!$R$38),"")</f>
        <v>11.22857973</v>
      </c>
      <c r="S38">
        <f ca="1">IFERROR(IF(0=LEN(ReferenceData!$S$38),"",ReferenceData!$S$38),"")</f>
        <v>16.034137869999999</v>
      </c>
      <c r="T38">
        <f ca="1">IFERROR(IF(0=LEN(ReferenceData!$T$38),"",ReferenceData!$T$38),"")</f>
        <v>11.155826830000001</v>
      </c>
      <c r="U38">
        <f ca="1">IFERROR(IF(0=LEN(ReferenceData!$U$38),"",ReferenceData!$U$38),"")</f>
        <v>10.322666180000001</v>
      </c>
      <c r="V38">
        <f ca="1">IFERROR(IF(0=LEN(ReferenceData!$V$38),"",ReferenceData!$V$38),"")</f>
        <v>12.69497</v>
      </c>
      <c r="W38">
        <f ca="1">IFERROR(IF(0=LEN(ReferenceData!$W$38),"",ReferenceData!$W$38),"")</f>
        <v>9.8636544589999993</v>
      </c>
      <c r="X38">
        <f ca="1">IFERROR(IF(0=LEN(ReferenceData!$X$38),"",ReferenceData!$X$38),"")</f>
        <v>9.29219097</v>
      </c>
      <c r="Y38">
        <f ca="1">IFERROR(IF(0=LEN(ReferenceData!$Y$38),"",ReferenceData!$Y$38),"")</f>
        <v>7.8675665820000003</v>
      </c>
      <c r="Z38">
        <f ca="1">IFERROR(IF(0=LEN(ReferenceData!$Z$38),"",ReferenceData!$Z$38),"")</f>
        <v>9.1770257829999995</v>
      </c>
      <c r="AA38">
        <f ca="1">IFERROR(IF(0=LEN(ReferenceData!$AA$38),"",ReferenceData!$AA$38),"")</f>
        <v>8.6270914510000001</v>
      </c>
      <c r="AB38">
        <f ca="1">IFERROR(IF(0=LEN(ReferenceData!$AB$38),"",ReferenceData!$AB$38),"")</f>
        <v>9.8343685300000008</v>
      </c>
      <c r="AC38">
        <f ca="1">IFERROR(IF(0=LEN(ReferenceData!$AC$38),"",ReferenceData!$AC$38),"")</f>
        <v>9.5974070279999992</v>
      </c>
      <c r="AD38">
        <f ca="1">IFERROR(IF(0=LEN(ReferenceData!$AD$38),"",ReferenceData!$AD$38),"")</f>
        <v>8.6906683890000007</v>
      </c>
      <c r="AE38">
        <f ca="1">IFERROR(IF(0=LEN(ReferenceData!$AE$38),"",ReferenceData!$AE$38),"")</f>
        <v>8.1738557820000004</v>
      </c>
      <c r="AF38">
        <f ca="1">IFERROR(IF(0=LEN(ReferenceData!$AF$38),"",ReferenceData!$AF$38),"")</f>
        <v>6.0973105700000003</v>
      </c>
      <c r="AG38">
        <f ca="1">IFERROR(IF(0=LEN(ReferenceData!$AG$38),"",ReferenceData!$AG$38),"")</f>
        <v>5.6006003419999999</v>
      </c>
      <c r="AH38">
        <f ca="1">IFERROR(IF(0=LEN(ReferenceData!$AH$38),"",ReferenceData!$AH$38),"")</f>
        <v>6.4709889609999998</v>
      </c>
      <c r="AI38">
        <f ca="1">IFERROR(IF(0=LEN(ReferenceData!$AI$38),"",ReferenceData!$AI$38),"")</f>
        <v>5.7133383630000001</v>
      </c>
      <c r="AJ38">
        <f ca="1">IFERROR(IF(0=LEN(ReferenceData!$AJ$38),"",ReferenceData!$AJ$38),"")</f>
        <v>5.4878226799999998</v>
      </c>
      <c r="AK38">
        <f ca="1">IFERROR(IF(0=LEN(ReferenceData!$AK$38),"",ReferenceData!$AK$38),"")</f>
        <v>6.5585482099999997</v>
      </c>
      <c r="AL38">
        <f ca="1">IFERROR(IF(0=LEN(ReferenceData!$AL$38),"",ReferenceData!$AL$38),"")</f>
        <v>8.0560317510000008</v>
      </c>
      <c r="AM38">
        <f ca="1">IFERROR(IF(0=LEN(ReferenceData!$AM$38),"",ReferenceData!$AM$38),"")</f>
        <v>8.0517987009999992</v>
      </c>
      <c r="AN38">
        <f ca="1">IFERROR(IF(0=LEN(ReferenceData!$AN$38),"",ReferenceData!$AN$38),"")</f>
        <v>8.1279544470000005</v>
      </c>
      <c r="AO38">
        <f ca="1">IFERROR(IF(0=LEN(ReferenceData!$AO$38),"",ReferenceData!$AO$38),"")</f>
        <v>8.0630424900000008</v>
      </c>
      <c r="AP38">
        <f ca="1">IFERROR(IF(0=LEN(ReferenceData!$AP$38),"",ReferenceData!$AP$38),"")</f>
        <v>13.688843889999999</v>
      </c>
      <c r="AQ38">
        <f ca="1">IFERROR(IF(0=LEN(ReferenceData!$AQ$38),"",ReferenceData!$AQ$38),"")</f>
        <v>65.352990779999999</v>
      </c>
      <c r="AR38" t="str">
        <f ca="1">IFERROR(IF(0=LEN(ReferenceData!$AR$38),"",ReferenceData!$AR$38),"")</f>
        <v/>
      </c>
      <c r="AS38" t="str">
        <f ca="1">IFERROR(IF(0=LEN(ReferenceData!$AS$38),"",ReferenceData!$AS$38),"")</f>
        <v/>
      </c>
      <c r="AT38" t="str">
        <f ca="1">IFERROR(IF(0=LEN(ReferenceData!$AT$38),"",ReferenceData!$AT$38),"")</f>
        <v/>
      </c>
      <c r="AU38" t="str">
        <f ca="1">IFERROR(IF(0=LEN(ReferenceData!$AU$38),"",ReferenceData!$AU$38),"")</f>
        <v/>
      </c>
      <c r="AV38" t="str">
        <f ca="1">IFERROR(IF(0=LEN(ReferenceData!$AV$38),"",ReferenceData!$AV$38),"")</f>
        <v/>
      </c>
      <c r="AW38" t="str">
        <f ca="1">IFERROR(IF(0=LEN(ReferenceData!$AW$38),"",ReferenceData!$AW$38),"")</f>
        <v/>
      </c>
      <c r="AX38" t="str">
        <f ca="1">IFERROR(IF(0=LEN(ReferenceData!$AX$38),"",ReferenceData!$AX$38),"")</f>
        <v/>
      </c>
      <c r="AY38" t="str">
        <f ca="1">IFERROR(IF(0=LEN(ReferenceData!$AY$38),"",ReferenceData!$AY$38),"")</f>
        <v/>
      </c>
      <c r="AZ38" t="str">
        <f ca="1">IFERROR(IF(0=LEN(ReferenceData!$AZ$38),"",ReferenceData!$AZ$38),"")</f>
        <v/>
      </c>
      <c r="BA38" t="str">
        <f ca="1">IFERROR(IF(0=LEN(ReferenceData!$BA$38),"",ReferenceData!$BA$38),"")</f>
        <v/>
      </c>
      <c r="BB38" t="str">
        <f ca="1">IFERROR(IF(0=LEN(ReferenceData!$BB$38),"",ReferenceData!$BB$38),"")</f>
        <v/>
      </c>
      <c r="BC38" t="str">
        <f ca="1">IFERROR(IF(0=LEN(ReferenceData!$BC$38),"",ReferenceData!$BC$38),"")</f>
        <v/>
      </c>
      <c r="BD38" t="str">
        <f ca="1">IFERROR(IF(0=LEN(ReferenceData!$BD$38),"",ReferenceData!$BD$38),"")</f>
        <v/>
      </c>
      <c r="BE38" t="str">
        <f ca="1">IFERROR(IF(0=LEN(ReferenceData!$BE$38),"",ReferenceData!$BE$38),"")</f>
        <v/>
      </c>
      <c r="BF38" t="str">
        <f ca="1">IFERROR(IF(0=LEN(ReferenceData!$BF$38),"",ReferenceData!$BF$38),"")</f>
        <v/>
      </c>
      <c r="BG38" t="str">
        <f ca="1">IFERROR(IF(0=LEN(ReferenceData!$BG$38),"",ReferenceData!$BG$38),"")</f>
        <v/>
      </c>
      <c r="BH38" t="str">
        <f ca="1">IFERROR(IF(0=LEN(ReferenceData!$BH$38),"",ReferenceData!$BH$38),"")</f>
        <v/>
      </c>
      <c r="BI38" t="str">
        <f ca="1">IFERROR(IF(0=LEN(ReferenceData!$BI$38),"",ReferenceData!$BI$38),"")</f>
        <v/>
      </c>
      <c r="BJ38" t="str">
        <f ca="1">IFERROR(IF(0=LEN(ReferenceData!$BJ$38),"",ReferenceData!$BJ$38),"")</f>
        <v/>
      </c>
      <c r="BK38" t="str">
        <f ca="1">IFERROR(IF(0=LEN(ReferenceData!$BK$38),"",ReferenceData!$BK$38),"")</f>
        <v/>
      </c>
      <c r="BL38" t="str">
        <f ca="1">IFERROR(IF(0=LEN(ReferenceData!$BL$38),"",ReferenceData!$BL$38),"")</f>
        <v/>
      </c>
      <c r="BM38" t="str">
        <f ca="1">IFERROR(IF(0=LEN(ReferenceData!$BM$38),"",ReferenceData!$BM$38),"")</f>
        <v/>
      </c>
    </row>
    <row r="39" spans="1:65" x14ac:dyDescent="0.25">
      <c r="A39" t="str">
        <f>IFERROR(IF(0=LEN(ReferenceData!$A$39),"",ReferenceData!$A$39),"")</f>
        <v xml:space="preserve">    Tesla Inc</v>
      </c>
      <c r="B39" t="str">
        <f>IFERROR(IF(0=LEN(ReferenceData!$B$39),"",ReferenceData!$B$39),"")</f>
        <v>TSLA US Equity</v>
      </c>
      <c r="C39" t="str">
        <f>IFERROR(IF(0=LEN(ReferenceData!$C$39),"",ReferenceData!$C$39),"")</f>
        <v>RR900</v>
      </c>
      <c r="D39" t="str">
        <f>IFERROR(IF(0=LEN(ReferenceData!$D$39),"",ReferenceData!$D$39),"")</f>
        <v>PE_RATIO</v>
      </c>
      <c r="E39" t="str">
        <f>IFERROR(IF(0=LEN(ReferenceData!$E$39),"",ReferenceData!$E$39),"")</f>
        <v>Dynamic</v>
      </c>
      <c r="F39" t="str">
        <f ca="1">IFERROR(IF(0=LEN(ReferenceData!$F$39),"",ReferenceData!$F$39),"")</f>
        <v/>
      </c>
      <c r="G39" t="str">
        <f ca="1">IFERROR(IF(0=LEN(ReferenceData!$G$39),"",ReferenceData!$G$39),"")</f>
        <v/>
      </c>
      <c r="H39" t="str">
        <f ca="1">IFERROR(IF(0=LEN(ReferenceData!$H$39),"",ReferenceData!$H$39),"")</f>
        <v/>
      </c>
      <c r="I39" t="str">
        <f ca="1">IFERROR(IF(0=LEN(ReferenceData!$I$39),"",ReferenceData!$I$39),"")</f>
        <v/>
      </c>
      <c r="J39" t="str">
        <f ca="1">IFERROR(IF(0=LEN(ReferenceData!$J$39),"",ReferenceData!$J$39),"")</f>
        <v/>
      </c>
      <c r="K39" t="str">
        <f ca="1">IFERROR(IF(0=LEN(ReferenceData!$K$39),"",ReferenceData!$K$39),"")</f>
        <v/>
      </c>
      <c r="L39" t="str">
        <f ca="1">IFERROR(IF(0=LEN(ReferenceData!$L$39),"",ReferenceData!$L$39),"")</f>
        <v/>
      </c>
      <c r="M39" t="str">
        <f ca="1">IFERROR(IF(0=LEN(ReferenceData!$M$39),"",ReferenceData!$M$39),"")</f>
        <v/>
      </c>
      <c r="N39" t="str">
        <f ca="1">IFERROR(IF(0=LEN(ReferenceData!$N$39),"",ReferenceData!$N$39),"")</f>
        <v/>
      </c>
      <c r="O39" t="str">
        <f ca="1">IFERROR(IF(0=LEN(ReferenceData!$O$39),"",ReferenceData!$O$39),"")</f>
        <v/>
      </c>
      <c r="P39" t="str">
        <f ca="1">IFERROR(IF(0=LEN(ReferenceData!$P$39),"",ReferenceData!$P$39),"")</f>
        <v/>
      </c>
      <c r="Q39" t="str">
        <f ca="1">IFERROR(IF(0=LEN(ReferenceData!$Q$39),"",ReferenceData!$Q$39),"")</f>
        <v/>
      </c>
      <c r="R39" t="str">
        <f ca="1">IFERROR(IF(0=LEN(ReferenceData!$R$39),"",ReferenceData!$R$39),"")</f>
        <v/>
      </c>
      <c r="S39" t="str">
        <f ca="1">IFERROR(IF(0=LEN(ReferenceData!$S$39),"",ReferenceData!$S$39),"")</f>
        <v/>
      </c>
      <c r="T39" t="str">
        <f ca="1">IFERROR(IF(0=LEN(ReferenceData!$T$39),"",ReferenceData!$T$39),"")</f>
        <v/>
      </c>
      <c r="U39" t="str">
        <f ca="1">IFERROR(IF(0=LEN(ReferenceData!$U$39),"",ReferenceData!$U$39),"")</f>
        <v/>
      </c>
      <c r="V39" t="str">
        <f ca="1">IFERROR(IF(0=LEN(ReferenceData!$V$39),"",ReferenceData!$V$39),"")</f>
        <v/>
      </c>
      <c r="W39" t="str">
        <f ca="1">IFERROR(IF(0=LEN(ReferenceData!$W$39),"",ReferenceData!$W$39),"")</f>
        <v/>
      </c>
      <c r="X39" t="str">
        <f ca="1">IFERROR(IF(0=LEN(ReferenceData!$X$39),"",ReferenceData!$X$39),"")</f>
        <v/>
      </c>
      <c r="Y39" t="str">
        <f ca="1">IFERROR(IF(0=LEN(ReferenceData!$Y$39),"",ReferenceData!$Y$39),"")</f>
        <v/>
      </c>
      <c r="Z39" t="str">
        <f ca="1">IFERROR(IF(0=LEN(ReferenceData!$Z$39),"",ReferenceData!$Z$39),"")</f>
        <v/>
      </c>
      <c r="AA39" t="str">
        <f ca="1">IFERROR(IF(0=LEN(ReferenceData!$AA$39),"",ReferenceData!$AA$39),"")</f>
        <v/>
      </c>
      <c r="AB39" t="str">
        <f ca="1">IFERROR(IF(0=LEN(ReferenceData!$AB$39),"",ReferenceData!$AB$39),"")</f>
        <v/>
      </c>
      <c r="AC39" t="str">
        <f ca="1">IFERROR(IF(0=LEN(ReferenceData!$AC$39),"",ReferenceData!$AC$39),"")</f>
        <v/>
      </c>
      <c r="AD39" t="str">
        <f ca="1">IFERROR(IF(0=LEN(ReferenceData!$AD$39),"",ReferenceData!$AD$39),"")</f>
        <v/>
      </c>
      <c r="AE39" t="str">
        <f ca="1">IFERROR(IF(0=LEN(ReferenceData!$AE$39),"",ReferenceData!$AE$39),"")</f>
        <v/>
      </c>
      <c r="AF39" t="str">
        <f ca="1">IFERROR(IF(0=LEN(ReferenceData!$AF$39),"",ReferenceData!$AF$39),"")</f>
        <v/>
      </c>
      <c r="AG39" t="str">
        <f ca="1">IFERROR(IF(0=LEN(ReferenceData!$AG$39),"",ReferenceData!$AG$39),"")</f>
        <v/>
      </c>
      <c r="AH39" t="str">
        <f ca="1">IFERROR(IF(0=LEN(ReferenceData!$AH$39),"",ReferenceData!$AH$39),"")</f>
        <v/>
      </c>
      <c r="AI39" t="str">
        <f ca="1">IFERROR(IF(0=LEN(ReferenceData!$AI$39),"",ReferenceData!$AI$39),"")</f>
        <v/>
      </c>
      <c r="AJ39" t="str">
        <f ca="1">IFERROR(IF(0=LEN(ReferenceData!$AJ$39),"",ReferenceData!$AJ$39),"")</f>
        <v/>
      </c>
      <c r="AK39" t="str">
        <f ca="1">IFERROR(IF(0=LEN(ReferenceData!$AK$39),"",ReferenceData!$AK$39),"")</f>
        <v/>
      </c>
      <c r="AL39" t="str">
        <f ca="1">IFERROR(IF(0=LEN(ReferenceData!$AL$39),"",ReferenceData!$AL$39),"")</f>
        <v/>
      </c>
      <c r="AM39" t="str">
        <f ca="1">IFERROR(IF(0=LEN(ReferenceData!$AM$39),"",ReferenceData!$AM$39),"")</f>
        <v/>
      </c>
      <c r="AN39" t="str">
        <f ca="1">IFERROR(IF(0=LEN(ReferenceData!$AN$39),"",ReferenceData!$AN$39),"")</f>
        <v/>
      </c>
      <c r="AO39" t="str">
        <f ca="1">IFERROR(IF(0=LEN(ReferenceData!$AO$39),"",ReferenceData!$AO$39),"")</f>
        <v/>
      </c>
      <c r="AP39" t="str">
        <f ca="1">IFERROR(IF(0=LEN(ReferenceData!$AP$39),"",ReferenceData!$AP$39),"")</f>
        <v/>
      </c>
      <c r="AQ39" t="str">
        <f ca="1">IFERROR(IF(0=LEN(ReferenceData!$AQ$39),"",ReferenceData!$AQ$39),"")</f>
        <v/>
      </c>
      <c r="AR39" t="str">
        <f ca="1">IFERROR(IF(0=LEN(ReferenceData!$AR$39),"",ReferenceData!$AR$39),"")</f>
        <v/>
      </c>
      <c r="AS39" t="str">
        <f ca="1">IFERROR(IF(0=LEN(ReferenceData!$AS$39),"",ReferenceData!$AS$39),"")</f>
        <v/>
      </c>
      <c r="AT39" t="str">
        <f ca="1">IFERROR(IF(0=LEN(ReferenceData!$AT$39),"",ReferenceData!$AT$39),"")</f>
        <v/>
      </c>
      <c r="AU39" t="str">
        <f ca="1">IFERROR(IF(0=LEN(ReferenceData!$AU$39),"",ReferenceData!$AU$39),"")</f>
        <v/>
      </c>
      <c r="AV39" t="str">
        <f ca="1">IFERROR(IF(0=LEN(ReferenceData!$AV$39),"",ReferenceData!$AV$39),"")</f>
        <v/>
      </c>
      <c r="AW39" t="str">
        <f ca="1">IFERROR(IF(0=LEN(ReferenceData!$AW$39),"",ReferenceData!$AW$39),"")</f>
        <v/>
      </c>
      <c r="AX39" t="str">
        <f ca="1">IFERROR(IF(0=LEN(ReferenceData!$AX$39),"",ReferenceData!$AX$39),"")</f>
        <v/>
      </c>
      <c r="AY39" t="str">
        <f ca="1">IFERROR(IF(0=LEN(ReferenceData!$AY$39),"",ReferenceData!$AY$39),"")</f>
        <v/>
      </c>
      <c r="AZ39" t="str">
        <f ca="1">IFERROR(IF(0=LEN(ReferenceData!$AZ$39),"",ReferenceData!$AZ$39),"")</f>
        <v/>
      </c>
      <c r="BA39" t="str">
        <f ca="1">IFERROR(IF(0=LEN(ReferenceData!$BA$39),"",ReferenceData!$BA$39),"")</f>
        <v/>
      </c>
      <c r="BB39" t="str">
        <f ca="1">IFERROR(IF(0=LEN(ReferenceData!$BB$39),"",ReferenceData!$BB$39),"")</f>
        <v/>
      </c>
      <c r="BC39" t="str">
        <f ca="1">IFERROR(IF(0=LEN(ReferenceData!$BC$39),"",ReferenceData!$BC$39),"")</f>
        <v/>
      </c>
      <c r="BD39" t="str">
        <f ca="1">IFERROR(IF(0=LEN(ReferenceData!$BD$39),"",ReferenceData!$BD$39),"")</f>
        <v/>
      </c>
      <c r="BE39" t="str">
        <f ca="1">IFERROR(IF(0=LEN(ReferenceData!$BE$39),"",ReferenceData!$BE$39),"")</f>
        <v/>
      </c>
      <c r="BF39" t="str">
        <f ca="1">IFERROR(IF(0=LEN(ReferenceData!$BF$39),"",ReferenceData!$BF$39),"")</f>
        <v/>
      </c>
      <c r="BG39" t="str">
        <f ca="1">IFERROR(IF(0=LEN(ReferenceData!$BG$39),"",ReferenceData!$BG$39),"")</f>
        <v/>
      </c>
      <c r="BH39" t="str">
        <f ca="1">IFERROR(IF(0=LEN(ReferenceData!$BH$39),"",ReferenceData!$BH$39),"")</f>
        <v/>
      </c>
      <c r="BI39" t="str">
        <f ca="1">IFERROR(IF(0=LEN(ReferenceData!$BI$39),"",ReferenceData!$BI$39),"")</f>
        <v/>
      </c>
      <c r="BJ39" t="str">
        <f ca="1">IFERROR(IF(0=LEN(ReferenceData!$BJ$39),"",ReferenceData!$BJ$39),"")</f>
        <v/>
      </c>
      <c r="BK39" t="str">
        <f ca="1">IFERROR(IF(0=LEN(ReferenceData!$BK$39),"",ReferenceData!$BK$39),"")</f>
        <v/>
      </c>
      <c r="BL39" t="str">
        <f ca="1">IFERROR(IF(0=LEN(ReferenceData!$BL$39),"",ReferenceData!$BL$39),"")</f>
        <v/>
      </c>
      <c r="BM39" t="str">
        <f ca="1">IFERROR(IF(0=LEN(ReferenceData!$BM$39),"",ReferenceData!$BM$39),"")</f>
        <v/>
      </c>
    </row>
    <row r="40" spans="1:65" x14ac:dyDescent="0.25">
      <c r="A40" t="str">
        <f>IFERROR(IF(0=LEN(ReferenceData!$A$40),"",ReferenceData!$A$40),"")</f>
        <v xml:space="preserve">    Tianjin Faw Xiali Automobile Co Ltd</v>
      </c>
      <c r="B40" t="str">
        <f>IFERROR(IF(0=LEN(ReferenceData!$B$40),"",ReferenceData!$B$40),"")</f>
        <v>000927 CH Equity</v>
      </c>
      <c r="C40" t="str">
        <f>IFERROR(IF(0=LEN(ReferenceData!$C$40),"",ReferenceData!$C$40),"")</f>
        <v>RR900</v>
      </c>
      <c r="D40" t="str">
        <f>IFERROR(IF(0=LEN(ReferenceData!$D$40),"",ReferenceData!$D$40),"")</f>
        <v>PE_RATIO</v>
      </c>
      <c r="E40" t="str">
        <f>IFERROR(IF(0=LEN(ReferenceData!$E$40),"",ReferenceData!$E$40),"")</f>
        <v>Dynamic</v>
      </c>
      <c r="F40" t="str">
        <f ca="1">IFERROR(IF(0=LEN(ReferenceData!$F$40),"",ReferenceData!$F$40),"")</f>
        <v/>
      </c>
      <c r="G40" t="str">
        <f ca="1">IFERROR(IF(0=LEN(ReferenceData!$G$40),"",ReferenceData!$G$40),"")</f>
        <v/>
      </c>
      <c r="H40" t="str">
        <f ca="1">IFERROR(IF(0=LEN(ReferenceData!$H$40),"",ReferenceData!$H$40),"")</f>
        <v/>
      </c>
      <c r="I40" t="str">
        <f ca="1">IFERROR(IF(0=LEN(ReferenceData!$I$40),"",ReferenceData!$I$40),"")</f>
        <v/>
      </c>
      <c r="J40" t="str">
        <f ca="1">IFERROR(IF(0=LEN(ReferenceData!$J$40),"",ReferenceData!$J$40),"")</f>
        <v/>
      </c>
      <c r="K40" t="str">
        <f ca="1">IFERROR(IF(0=LEN(ReferenceData!$K$40),"",ReferenceData!$K$40),"")</f>
        <v/>
      </c>
      <c r="L40" t="str">
        <f ca="1">IFERROR(IF(0=LEN(ReferenceData!$L$40),"",ReferenceData!$L$40),"")</f>
        <v/>
      </c>
      <c r="M40">
        <f ca="1">IFERROR(IF(0=LEN(ReferenceData!$M$40),"",ReferenceData!$M$40),"")</f>
        <v>136.12511040000001</v>
      </c>
      <c r="N40">
        <f ca="1">IFERROR(IF(0=LEN(ReferenceData!$N$40),"",ReferenceData!$N$40),"")</f>
        <v>201.0702967</v>
      </c>
      <c r="O40">
        <f ca="1">IFERROR(IF(0=LEN(ReferenceData!$O$40),"",ReferenceData!$O$40),"")</f>
        <v>55.486939370000002</v>
      </c>
      <c r="P40">
        <f ca="1">IFERROR(IF(0=LEN(ReferenceData!$P$40),"",ReferenceData!$P$40),"")</f>
        <v>135.63807790000001</v>
      </c>
      <c r="Q40">
        <f ca="1">IFERROR(IF(0=LEN(ReferenceData!$Q$40),"",ReferenceData!$Q$40),"")</f>
        <v>201.34739089999999</v>
      </c>
      <c r="R40">
        <f ca="1">IFERROR(IF(0=LEN(ReferenceData!$R$40),"",ReferenceData!$R$40),"")</f>
        <v>91.9879222</v>
      </c>
      <c r="S40">
        <f ca="1">IFERROR(IF(0=LEN(ReferenceData!$S$40),"",ReferenceData!$S$40),"")</f>
        <v>741.62918539999998</v>
      </c>
      <c r="T40" t="str">
        <f ca="1">IFERROR(IF(0=LEN(ReferenceData!$T$40),"",ReferenceData!$T$40),"")</f>
        <v/>
      </c>
      <c r="U40" t="str">
        <f ca="1">IFERROR(IF(0=LEN(ReferenceData!$U$40),"",ReferenceData!$U$40),"")</f>
        <v/>
      </c>
      <c r="V40" t="str">
        <f ca="1">IFERROR(IF(0=LEN(ReferenceData!$V$40),"",ReferenceData!$V$40),"")</f>
        <v/>
      </c>
      <c r="W40" t="str">
        <f ca="1">IFERROR(IF(0=LEN(ReferenceData!$W$40),"",ReferenceData!$W$40),"")</f>
        <v/>
      </c>
      <c r="X40" t="str">
        <f ca="1">IFERROR(IF(0=LEN(ReferenceData!$X$40),"",ReferenceData!$X$40),"")</f>
        <v/>
      </c>
      <c r="Y40" t="str">
        <f ca="1">IFERROR(IF(0=LEN(ReferenceData!$Y$40),"",ReferenceData!$Y$40),"")</f>
        <v/>
      </c>
      <c r="Z40" t="str">
        <f ca="1">IFERROR(IF(0=LEN(ReferenceData!$Z$40),"",ReferenceData!$Z$40),"")</f>
        <v/>
      </c>
      <c r="AA40" t="str">
        <f ca="1">IFERROR(IF(0=LEN(ReferenceData!$AA$40),"",ReferenceData!$AA$40),"")</f>
        <v/>
      </c>
      <c r="AB40" t="str">
        <f ca="1">IFERROR(IF(0=LEN(ReferenceData!$AB$40),"",ReferenceData!$AB$40),"")</f>
        <v/>
      </c>
      <c r="AC40" t="str">
        <f ca="1">IFERROR(IF(0=LEN(ReferenceData!$AC$40),"",ReferenceData!$AC$40),"")</f>
        <v/>
      </c>
      <c r="AD40">
        <f ca="1">IFERROR(IF(0=LEN(ReferenceData!$AD$40),"",ReferenceData!$AD$40),"")</f>
        <v>261.23118369999997</v>
      </c>
      <c r="AE40">
        <f ca="1">IFERROR(IF(0=LEN(ReferenceData!$AE$40),"",ReferenceData!$AE$40),"")</f>
        <v>291.68863119999997</v>
      </c>
      <c r="AF40">
        <f ca="1">IFERROR(IF(0=LEN(ReferenceData!$AF$40),"",ReferenceData!$AF$40),"")</f>
        <v>99.977183629999999</v>
      </c>
      <c r="AG40">
        <f ca="1">IFERROR(IF(0=LEN(ReferenceData!$AG$40),"",ReferenceData!$AG$40),"")</f>
        <v>79.148265319999993</v>
      </c>
      <c r="AH40">
        <f ca="1">IFERROR(IF(0=LEN(ReferenceData!$AH$40),"",ReferenceData!$AH$40),"")</f>
        <v>98.464843579999993</v>
      </c>
      <c r="AI40">
        <f ca="1">IFERROR(IF(0=LEN(ReferenceData!$AI$40),"",ReferenceData!$AI$40),"")</f>
        <v>91.154574890000006</v>
      </c>
      <c r="AJ40">
        <f ca="1">IFERROR(IF(0=LEN(ReferenceData!$AJ$40),"",ReferenceData!$AJ$40),"")</f>
        <v>99.48091024</v>
      </c>
      <c r="AK40">
        <f ca="1">IFERROR(IF(0=LEN(ReferenceData!$AK$40),"",ReferenceData!$AK$40),"")</f>
        <v>207.1413901</v>
      </c>
      <c r="AL40">
        <f ca="1">IFERROR(IF(0=LEN(ReferenceData!$AL$40),"",ReferenceData!$AL$40),"")</f>
        <v>92.279226629999997</v>
      </c>
      <c r="AM40">
        <f ca="1">IFERROR(IF(0=LEN(ReferenceData!$AM$40),"",ReferenceData!$AM$40),"")</f>
        <v>43.960667340000001</v>
      </c>
      <c r="AN40">
        <f ca="1">IFERROR(IF(0=LEN(ReferenceData!$AN$40),"",ReferenceData!$AN$40),"")</f>
        <v>33.072697849999997</v>
      </c>
      <c r="AO40">
        <f ca="1">IFERROR(IF(0=LEN(ReferenceData!$AO$40),"",ReferenceData!$AO$40),"")</f>
        <v>30.761394249999999</v>
      </c>
      <c r="AP40">
        <f ca="1">IFERROR(IF(0=LEN(ReferenceData!$AP$40),"",ReferenceData!$AP$40),"")</f>
        <v>34.0917435</v>
      </c>
      <c r="AQ40">
        <f ca="1">IFERROR(IF(0=LEN(ReferenceData!$AQ$40),"",ReferenceData!$AQ$40),"")</f>
        <v>112.2715651</v>
      </c>
      <c r="AR40">
        <f ca="1">IFERROR(IF(0=LEN(ReferenceData!$AR$40),"",ReferenceData!$AR$40),"")</f>
        <v>356.35446230000002</v>
      </c>
      <c r="AS40">
        <f ca="1">IFERROR(IF(0=LEN(ReferenceData!$AS$40),"",ReferenceData!$AS$40),"")</f>
        <v>240.81858020000001</v>
      </c>
      <c r="AT40">
        <f ca="1">IFERROR(IF(0=LEN(ReferenceData!$AT$40),"",ReferenceData!$AT$40),"")</f>
        <v>95.02228058</v>
      </c>
      <c r="AU40">
        <f ca="1">IFERROR(IF(0=LEN(ReferenceData!$AU$40),"",ReferenceData!$AU$40),"")</f>
        <v>72.552081970000003</v>
      </c>
      <c r="AV40">
        <f ca="1">IFERROR(IF(0=LEN(ReferenceData!$AV$40),"",ReferenceData!$AV$40),"")</f>
        <v>22.305065689999999</v>
      </c>
      <c r="AW40">
        <f ca="1">IFERROR(IF(0=LEN(ReferenceData!$AW$40),"",ReferenceData!$AW$40),"")</f>
        <v>35.115588680000002</v>
      </c>
      <c r="AX40">
        <f ca="1">IFERROR(IF(0=LEN(ReferenceData!$AX$40),"",ReferenceData!$AX$40),"")</f>
        <v>94.724220119999998</v>
      </c>
      <c r="AY40">
        <f ca="1">IFERROR(IF(0=LEN(ReferenceData!$AY$40),"",ReferenceData!$AY$40),"")</f>
        <v>131.34057920000001</v>
      </c>
      <c r="AZ40">
        <f ca="1">IFERROR(IF(0=LEN(ReferenceData!$AZ$40),"",ReferenceData!$AZ$40),"")</f>
        <v>200.13175229999999</v>
      </c>
      <c r="BA40">
        <f ca="1">IFERROR(IF(0=LEN(ReferenceData!$BA$40),"",ReferenceData!$BA$40),"")</f>
        <v>66.88</v>
      </c>
      <c r="BB40">
        <f ca="1">IFERROR(IF(0=LEN(ReferenceData!$BB$40),"",ReferenceData!$BB$40),"")</f>
        <v>80</v>
      </c>
      <c r="BC40">
        <f ca="1">IFERROR(IF(0=LEN(ReferenceData!$BC$40),"",ReferenceData!$BC$40),"")</f>
        <v>20.339622640000002</v>
      </c>
      <c r="BD40">
        <f ca="1">IFERROR(IF(0=LEN(ReferenceData!$BD$40),"",ReferenceData!$BD$40),"")</f>
        <v>14.33962264</v>
      </c>
      <c r="BE40">
        <f ca="1">IFERROR(IF(0=LEN(ReferenceData!$BE$40),"",ReferenceData!$BE$40),"")</f>
        <v>25.976095440000002</v>
      </c>
      <c r="BF40">
        <f ca="1">IFERROR(IF(0=LEN(ReferenceData!$BF$40),"",ReferenceData!$BF$40),"")</f>
        <v>18.88888888</v>
      </c>
      <c r="BG40">
        <f ca="1">IFERROR(IF(0=LEN(ReferenceData!$BG$40),"",ReferenceData!$BG$40),"")</f>
        <v>24.723926299999999</v>
      </c>
      <c r="BH40">
        <f ca="1">IFERROR(IF(0=LEN(ReferenceData!$BH$40),"",ReferenceData!$BH$40),"")</f>
        <v>43.333333099999997</v>
      </c>
      <c r="BI40" t="str">
        <f ca="1">IFERROR(IF(0=LEN(ReferenceData!$BI$40),"",ReferenceData!$BI$40),"")</f>
        <v/>
      </c>
      <c r="BJ40">
        <f ca="1">IFERROR(IF(0=LEN(ReferenceData!$BJ$40),"",ReferenceData!$BJ$40),"")</f>
        <v>110.00000060000001</v>
      </c>
      <c r="BK40">
        <f ca="1">IFERROR(IF(0=LEN(ReferenceData!$BK$40),"",ReferenceData!$BK$40),"")</f>
        <v>130.00000069999999</v>
      </c>
      <c r="BL40">
        <f ca="1">IFERROR(IF(0=LEN(ReferenceData!$BL$40),"",ReferenceData!$BL$40),"")</f>
        <v>492.2222491</v>
      </c>
      <c r="BM40">
        <f ca="1">IFERROR(IF(0=LEN(ReferenceData!$BM$40),"",ReferenceData!$BM$40),"")</f>
        <v>35.256409550000001</v>
      </c>
    </row>
    <row r="41" spans="1:65" x14ac:dyDescent="0.25">
      <c r="A41" t="str">
        <f>IFERROR(IF(0=LEN(ReferenceData!$A$41),"",ReferenceData!$A$41),"")</f>
        <v xml:space="preserve">    Tofas Turk Otomobil Fabrikasi AS</v>
      </c>
      <c r="B41" t="str">
        <f>IFERROR(IF(0=LEN(ReferenceData!$B$41),"",ReferenceData!$B$41),"")</f>
        <v>TOASOTRY EO Equity</v>
      </c>
      <c r="C41" t="str">
        <f>IFERROR(IF(0=LEN(ReferenceData!$C$41),"",ReferenceData!$C$41),"")</f>
        <v>RR900</v>
      </c>
      <c r="D41" t="str">
        <f>IFERROR(IF(0=LEN(ReferenceData!$D$41),"",ReferenceData!$D$41),"")</f>
        <v>PE_RATIO</v>
      </c>
      <c r="E41" t="str">
        <f>IFERROR(IF(0=LEN(ReferenceData!$E$41),"",ReferenceData!$E$41),"")</f>
        <v>Dynamic</v>
      </c>
      <c r="F41">
        <f ca="1">IFERROR(IF(0=LEN(ReferenceData!$F$41),"",ReferenceData!$F$41),"")</f>
        <v>7.5215511040000003</v>
      </c>
      <c r="G41">
        <f ca="1">IFERROR(IF(0=LEN(ReferenceData!$G$41),"",ReferenceData!$G$41),"")</f>
        <v>6.3557106829999999</v>
      </c>
      <c r="H41">
        <f ca="1">IFERROR(IF(0=LEN(ReferenceData!$H$41),"",ReferenceData!$H$41),"")</f>
        <v>7.4898389060000001</v>
      </c>
      <c r="I41">
        <f ca="1">IFERROR(IF(0=LEN(ReferenceData!$I$41),"",ReferenceData!$I$41),"")</f>
        <v>8.5789652109999999</v>
      </c>
      <c r="J41">
        <f ca="1">IFERROR(IF(0=LEN(ReferenceData!$J$41),"",ReferenceData!$J$41),"")</f>
        <v>10.057383550000001</v>
      </c>
      <c r="K41">
        <f ca="1">IFERROR(IF(0=LEN(ReferenceData!$K$41),"",ReferenceData!$K$41),"")</f>
        <v>12.905565920000001</v>
      </c>
      <c r="L41">
        <f ca="1">IFERROR(IF(0=LEN(ReferenceData!$L$41),"",ReferenceData!$L$41),"")</f>
        <v>13.593894710000001</v>
      </c>
      <c r="M41">
        <f ca="1">IFERROR(IF(0=LEN(ReferenceData!$M$41),"",ReferenceData!$M$41),"")</f>
        <v>13.621743609999999</v>
      </c>
      <c r="N41">
        <f ca="1">IFERROR(IF(0=LEN(ReferenceData!$N$41),"",ReferenceData!$N$41),"")</f>
        <v>13.73631924</v>
      </c>
      <c r="O41">
        <f ca="1">IFERROR(IF(0=LEN(ReferenceData!$O$41),"",ReferenceData!$O$41),"")</f>
        <v>12.690512419999999</v>
      </c>
      <c r="P41">
        <f ca="1">IFERROR(IF(0=LEN(ReferenceData!$P$41),"",ReferenceData!$P$41),"")</f>
        <v>11.55516742</v>
      </c>
      <c r="Q41">
        <f ca="1">IFERROR(IF(0=LEN(ReferenceData!$Q$41),"",ReferenceData!$Q$41),"")</f>
        <v>12.951608090000001</v>
      </c>
      <c r="R41">
        <f ca="1">IFERROR(IF(0=LEN(ReferenceData!$R$41),"",ReferenceData!$R$41),"")</f>
        <v>13.17384895</v>
      </c>
      <c r="S41">
        <f ca="1">IFERROR(IF(0=LEN(ReferenceData!$S$41),"",ReferenceData!$S$41),"")</f>
        <v>11.37963188</v>
      </c>
      <c r="T41">
        <f ca="1">IFERROR(IF(0=LEN(ReferenceData!$T$41),"",ReferenceData!$T$41),"")</f>
        <v>11.91079727</v>
      </c>
      <c r="U41">
        <f ca="1">IFERROR(IF(0=LEN(ReferenceData!$U$41),"",ReferenceData!$U$41),"")</f>
        <v>13.00606389</v>
      </c>
      <c r="V41">
        <f ca="1">IFERROR(IF(0=LEN(ReferenceData!$V$41),"",ReferenceData!$V$41),"")</f>
        <v>12.237419879999999</v>
      </c>
      <c r="W41">
        <f ca="1">IFERROR(IF(0=LEN(ReferenceData!$W$41),"",ReferenceData!$W$41),"")</f>
        <v>13.90540463</v>
      </c>
      <c r="X41">
        <f ca="1">IFERROR(IF(0=LEN(ReferenceData!$X$41),"",ReferenceData!$X$41),"")</f>
        <v>12.524804789999999</v>
      </c>
      <c r="Y41">
        <f ca="1">IFERROR(IF(0=LEN(ReferenceData!$Y$41),"",ReferenceData!$Y$41),"")</f>
        <v>13.391420549999999</v>
      </c>
      <c r="Z41">
        <f ca="1">IFERROR(IF(0=LEN(ReferenceData!$Z$41),"",ReferenceData!$Z$41),"")</f>
        <v>13.036872539999999</v>
      </c>
      <c r="AA41">
        <f ca="1">IFERROR(IF(0=LEN(ReferenceData!$AA$41),"",ReferenceData!$AA$41),"")</f>
        <v>15.367466179999999</v>
      </c>
      <c r="AB41">
        <f ca="1">IFERROR(IF(0=LEN(ReferenceData!$AB$41),"",ReferenceData!$AB$41),"")</f>
        <v>13.895792999999999</v>
      </c>
      <c r="AC41">
        <f ca="1">IFERROR(IF(0=LEN(ReferenceData!$AC$41),"",ReferenceData!$AC$41),"")</f>
        <v>13.768910910000001</v>
      </c>
      <c r="AD41">
        <f ca="1">IFERROR(IF(0=LEN(ReferenceData!$AD$41),"",ReferenceData!$AD$41),"")</f>
        <v>14.41734056</v>
      </c>
      <c r="AE41">
        <f ca="1">IFERROR(IF(0=LEN(ReferenceData!$AE$41),"",ReferenceData!$AE$41),"")</f>
        <v>11.805775219999999</v>
      </c>
      <c r="AF41">
        <f ca="1">IFERROR(IF(0=LEN(ReferenceData!$AF$41),"",ReferenceData!$AF$41),"")</f>
        <v>10.067456290000001</v>
      </c>
      <c r="AG41">
        <f ca="1">IFERROR(IF(0=LEN(ReferenceData!$AG$41),"",ReferenceData!$AG$41),"")</f>
        <v>8.0464406480000008</v>
      </c>
      <c r="AH41">
        <f ca="1">IFERROR(IF(0=LEN(ReferenceData!$AH$41),"",ReferenceData!$AH$41),"")</f>
        <v>7.8401837800000003</v>
      </c>
      <c r="AI41">
        <f ca="1">IFERROR(IF(0=LEN(ReferenceData!$AI$41),"",ReferenceData!$AI$41),"")</f>
        <v>6.2850616639999997</v>
      </c>
      <c r="AJ41">
        <f ca="1">IFERROR(IF(0=LEN(ReferenceData!$AJ$41),"",ReferenceData!$AJ$41),"")</f>
        <v>7.2252763900000003</v>
      </c>
      <c r="AK41">
        <f ca="1">IFERROR(IF(0=LEN(ReferenceData!$AK$41),"",ReferenceData!$AK$41),"")</f>
        <v>9.1471403890000005</v>
      </c>
      <c r="AL41">
        <f ca="1">IFERROR(IF(0=LEN(ReferenceData!$AL$41),"",ReferenceData!$AL$41),"")</f>
        <v>12.47503543</v>
      </c>
      <c r="AM41">
        <f ca="1">IFERROR(IF(0=LEN(ReferenceData!$AM$41),"",ReferenceData!$AM$41),"")</f>
        <v>10.21828088</v>
      </c>
      <c r="AN41">
        <f ca="1">IFERROR(IF(0=LEN(ReferenceData!$AN$41),"",ReferenceData!$AN$41),"")</f>
        <v>9.3005951230000008</v>
      </c>
      <c r="AO41">
        <f ca="1">IFERROR(IF(0=LEN(ReferenceData!$AO$41),"",ReferenceData!$AO$41),"")</f>
        <v>5.9576345719999999</v>
      </c>
      <c r="AP41">
        <f ca="1">IFERROR(IF(0=LEN(ReferenceData!$AP$41),"",ReferenceData!$AP$41),"")</f>
        <v>6.3587683359999998</v>
      </c>
      <c r="AQ41">
        <f ca="1">IFERROR(IF(0=LEN(ReferenceData!$AQ$41),"",ReferenceData!$AQ$41),"")</f>
        <v>6.4977973489999998</v>
      </c>
      <c r="AR41">
        <f ca="1">IFERROR(IF(0=LEN(ReferenceData!$AR$41),"",ReferenceData!$AR$41),"")</f>
        <v>8.7638008870000004</v>
      </c>
      <c r="AS41">
        <f ca="1">IFERROR(IF(0=LEN(ReferenceData!$AS$41),"",ReferenceData!$AS$41),"")</f>
        <v>10.54539207</v>
      </c>
      <c r="AT41">
        <f ca="1">IFERROR(IF(0=LEN(ReferenceData!$AT$41),"",ReferenceData!$AT$41),"")</f>
        <v>5.7607324540000002</v>
      </c>
      <c r="AU41">
        <f ca="1">IFERROR(IF(0=LEN(ReferenceData!$AU$41),"",ReferenceData!$AU$41),"")</f>
        <v>3.2716182690000002</v>
      </c>
      <c r="AV41">
        <f ca="1">IFERROR(IF(0=LEN(ReferenceData!$AV$41),"",ReferenceData!$AV$41),"")</f>
        <v>6.0704900979999996</v>
      </c>
      <c r="AW41">
        <f ca="1">IFERROR(IF(0=LEN(ReferenceData!$AW$41),"",ReferenceData!$AW$41),"")</f>
        <v>6.9756596110000002</v>
      </c>
      <c r="AX41">
        <f ca="1">IFERROR(IF(0=LEN(ReferenceData!$AX$41),"",ReferenceData!$AX$41),"")</f>
        <v>9.3249594350000002</v>
      </c>
      <c r="AY41">
        <f ca="1">IFERROR(IF(0=LEN(ReferenceData!$AY$41),"",ReferenceData!$AY$41),"")</f>
        <v>17.489577140000002</v>
      </c>
      <c r="AZ41">
        <f ca="1">IFERROR(IF(0=LEN(ReferenceData!$AZ$41),"",ReferenceData!$AZ$41),"")</f>
        <v>19.764524300000001</v>
      </c>
      <c r="BA41">
        <f ca="1">IFERROR(IF(0=LEN(ReferenceData!$BA$41),"",ReferenceData!$BA$41),"")</f>
        <v>24.82893442</v>
      </c>
      <c r="BB41">
        <f ca="1">IFERROR(IF(0=LEN(ReferenceData!$BB$41),"",ReferenceData!$BB$41),"")</f>
        <v>31.073379809999999</v>
      </c>
      <c r="BC41">
        <f ca="1">IFERROR(IF(0=LEN(ReferenceData!$BC$41),"",ReferenceData!$BC$41),"")</f>
        <v>29.880599100000001</v>
      </c>
      <c r="BD41">
        <f ca="1">IFERROR(IF(0=LEN(ReferenceData!$BD$41),"",ReferenceData!$BD$41),"")</f>
        <v>24.371795339999998</v>
      </c>
      <c r="BE41">
        <f ca="1">IFERROR(IF(0=LEN(ReferenceData!$BE$41),"",ReferenceData!$BE$41),"")</f>
        <v>23.25842638</v>
      </c>
      <c r="BF41">
        <f ca="1">IFERROR(IF(0=LEN(ReferenceData!$BF$41),"",ReferenceData!$BF$41),"")</f>
        <v>14.280924690000001</v>
      </c>
      <c r="BG41">
        <f ca="1">IFERROR(IF(0=LEN(ReferenceData!$BG$41),"",ReferenceData!$BG$41),"")</f>
        <v>10.495195409999999</v>
      </c>
      <c r="BH41">
        <f ca="1">IFERROR(IF(0=LEN(ReferenceData!$BH$41),"",ReferenceData!$BH$41),"")</f>
        <v>12.39730967</v>
      </c>
      <c r="BI41">
        <f ca="1">IFERROR(IF(0=LEN(ReferenceData!$BI$41),"",ReferenceData!$BI$41),"")</f>
        <v>16.801947800000001</v>
      </c>
      <c r="BJ41">
        <f ca="1">IFERROR(IF(0=LEN(ReferenceData!$BJ$41),"",ReferenceData!$BJ$41),"")</f>
        <v>20.35143167</v>
      </c>
      <c r="BK41">
        <f ca="1">IFERROR(IF(0=LEN(ReferenceData!$BK$41),"",ReferenceData!$BK$41),"")</f>
        <v>22.863121</v>
      </c>
      <c r="BL41">
        <f ca="1">IFERROR(IF(0=LEN(ReferenceData!$BL$41),"",ReferenceData!$BL$41),"")</f>
        <v>29.731790010000001</v>
      </c>
      <c r="BM41">
        <f ca="1">IFERROR(IF(0=LEN(ReferenceData!$BM$41),"",ReferenceData!$BM$41),"")</f>
        <v>16.16066442</v>
      </c>
    </row>
    <row r="42" spans="1:65" x14ac:dyDescent="0.25">
      <c r="A42" t="str">
        <f>IFERROR(IF(0=LEN(ReferenceData!$A$42),"",ReferenceData!$A$42),"")</f>
        <v xml:space="preserve">    Toyota Motor Corp</v>
      </c>
      <c r="B42" t="str">
        <f>IFERROR(IF(0=LEN(ReferenceData!$B$42),"",ReferenceData!$B$42),"")</f>
        <v>7203 JP Equity</v>
      </c>
      <c r="C42" t="str">
        <f>IFERROR(IF(0=LEN(ReferenceData!$C$42),"",ReferenceData!$C$42),"")</f>
        <v>RR900</v>
      </c>
      <c r="D42" t="str">
        <f>IFERROR(IF(0=LEN(ReferenceData!$D$42),"",ReferenceData!$D$42),"")</f>
        <v>PE_RATIO</v>
      </c>
      <c r="E42" t="str">
        <f>IFERROR(IF(0=LEN(ReferenceData!$E$42),"",ReferenceData!$E$42),"")</f>
        <v>Dynamic</v>
      </c>
      <c r="F42">
        <f ca="1">IFERROR(IF(0=LEN(ReferenceData!$F$42),"",ReferenceData!$F$42),"")</f>
        <v>10.302640050000001</v>
      </c>
      <c r="G42">
        <f ca="1">IFERROR(IF(0=LEN(ReferenceData!$G$42),"",ReferenceData!$G$42),"")</f>
        <v>9.8212369299999995</v>
      </c>
      <c r="H42">
        <f ca="1">IFERROR(IF(0=LEN(ReferenceData!$H$42),"",ReferenceData!$H$42),"")</f>
        <v>7.8016757930000002</v>
      </c>
      <c r="I42">
        <f ca="1">IFERROR(IF(0=LEN(ReferenceData!$I$42),"",ReferenceData!$I$42),"")</f>
        <v>8.3226929770000009</v>
      </c>
      <c r="J42">
        <f ca="1">IFERROR(IF(0=LEN(ReferenceData!$J$42),"",ReferenceData!$J$42),"")</f>
        <v>8.1068560840000004</v>
      </c>
      <c r="K42">
        <f ca="1">IFERROR(IF(0=LEN(ReferenceData!$K$42),"",ReferenceData!$K$42),"")</f>
        <v>8.8908884730000004</v>
      </c>
      <c r="L42">
        <f ca="1">IFERROR(IF(0=LEN(ReferenceData!$L$42),"",ReferenceData!$L$42),"")</f>
        <v>10.26731749</v>
      </c>
      <c r="M42">
        <f ca="1">IFERROR(IF(0=LEN(ReferenceData!$M$42),"",ReferenceData!$M$42),"")</f>
        <v>9.3685415410000008</v>
      </c>
      <c r="N42">
        <f ca="1">IFERROR(IF(0=LEN(ReferenceData!$N$42),"",ReferenceData!$N$42),"")</f>
        <v>9.9852914439999996</v>
      </c>
      <c r="O42">
        <f ca="1">IFERROR(IF(0=LEN(ReferenceData!$O$42),"",ReferenceData!$O$42),"")</f>
        <v>11.25603469</v>
      </c>
      <c r="P42">
        <f ca="1">IFERROR(IF(0=LEN(ReferenceData!$P$42),"",ReferenceData!$P$42),"")</f>
        <v>8.8655365499999998</v>
      </c>
      <c r="Q42">
        <f ca="1">IFERROR(IF(0=LEN(ReferenceData!$Q$42),"",ReferenceData!$Q$42),"")</f>
        <v>7.0553732279999997</v>
      </c>
      <c r="R42">
        <f ca="1">IFERROR(IF(0=LEN(ReferenceData!$R$42),"",ReferenceData!$R$42),"")</f>
        <v>8.039549396</v>
      </c>
      <c r="S42">
        <f ca="1">IFERROR(IF(0=LEN(ReferenceData!$S$42),"",ReferenceData!$S$42),"")</f>
        <v>10.073181229999999</v>
      </c>
      <c r="T42">
        <f ca="1">IFERROR(IF(0=LEN(ReferenceData!$T$42),"",ReferenceData!$T$42),"")</f>
        <v>9.5340344930000001</v>
      </c>
      <c r="U42">
        <f ca="1">IFERROR(IF(0=LEN(ReferenceData!$U$42),"",ReferenceData!$U$42),"")</f>
        <v>11.58910457</v>
      </c>
      <c r="V42">
        <f ca="1">IFERROR(IF(0=LEN(ReferenceData!$V$42),"",ReferenceData!$V$42),"")</f>
        <v>12.18742731</v>
      </c>
      <c r="W42">
        <f ca="1">IFERROR(IF(0=LEN(ReferenceData!$W$42),"",ReferenceData!$W$42),"")</f>
        <v>11.81620624</v>
      </c>
      <c r="X42">
        <f ca="1">IFERROR(IF(0=LEN(ReferenceData!$X$42),"",ReferenceData!$X$42),"")</f>
        <v>10.49938268</v>
      </c>
      <c r="Y42">
        <f ca="1">IFERROR(IF(0=LEN(ReferenceData!$Y$42),"",ReferenceData!$Y$42),"")</f>
        <v>10.430489120000001</v>
      </c>
      <c r="Z42">
        <f ca="1">IFERROR(IF(0=LEN(ReferenceData!$Z$42),"",ReferenceData!$Z$42),"")</f>
        <v>10.126714290000001</v>
      </c>
      <c r="AA42">
        <f ca="1">IFERROR(IF(0=LEN(ReferenceData!$AA$42),"",ReferenceData!$AA$42),"")</f>
        <v>11.05486104</v>
      </c>
      <c r="AB42">
        <f ca="1">IFERROR(IF(0=LEN(ReferenceData!$AB$42),"",ReferenceData!$AB$42),"")</f>
        <v>14.0428677</v>
      </c>
      <c r="AC42">
        <f ca="1">IFERROR(IF(0=LEN(ReferenceData!$AC$42),"",ReferenceData!$AC$42),"")</f>
        <v>15.375137970000001</v>
      </c>
      <c r="AD42">
        <f ca="1">IFERROR(IF(0=LEN(ReferenceData!$AD$42),"",ReferenceData!$AD$42),"")</f>
        <v>15.99631361</v>
      </c>
      <c r="AE42">
        <f ca="1">IFERROR(IF(0=LEN(ReferenceData!$AE$42),"",ReferenceData!$AE$42),"")</f>
        <v>16.48830336</v>
      </c>
      <c r="AF42">
        <f ca="1">IFERROR(IF(0=LEN(ReferenceData!$AF$42),"",ReferenceData!$AF$42),"")</f>
        <v>12.818379609999999</v>
      </c>
      <c r="AG42">
        <f ca="1">IFERROR(IF(0=LEN(ReferenceData!$AG$42),"",ReferenceData!$AG$42),"")</f>
        <v>17.589377370000001</v>
      </c>
      <c r="AH42">
        <f ca="1">IFERROR(IF(0=LEN(ReferenceData!$AH$42),"",ReferenceData!$AH$42),"")</f>
        <v>39.644879160000002</v>
      </c>
      <c r="AI42">
        <f ca="1">IFERROR(IF(0=LEN(ReferenceData!$AI$42),"",ReferenceData!$AI$42),"")</f>
        <v>42.800212500000001</v>
      </c>
      <c r="AJ42">
        <f ca="1">IFERROR(IF(0=LEN(ReferenceData!$AJ$42),"",ReferenceData!$AJ$42),"")</f>
        <v>42.01338586</v>
      </c>
      <c r="AK42">
        <f ca="1">IFERROR(IF(0=LEN(ReferenceData!$AK$42),"",ReferenceData!$AK$42),"")</f>
        <v>46.561865410000003</v>
      </c>
      <c r="AL42">
        <f ca="1">IFERROR(IF(0=LEN(ReferenceData!$AL$42),"",ReferenceData!$AL$42),"")</f>
        <v>25.735653859999999</v>
      </c>
      <c r="AM42">
        <f ca="1">IFERROR(IF(0=LEN(ReferenceData!$AM$42),"",ReferenceData!$AM$42),"")</f>
        <v>20.39840104</v>
      </c>
      <c r="AN42">
        <f ca="1">IFERROR(IF(0=LEN(ReferenceData!$AN$42),"",ReferenceData!$AN$42),"")</f>
        <v>16.951691239999999</v>
      </c>
      <c r="AO42">
        <f ca="1">IFERROR(IF(0=LEN(ReferenceData!$AO$42),"",ReferenceData!$AO$42),"")</f>
        <v>20.217202329999999</v>
      </c>
      <c r="AP42">
        <f ca="1">IFERROR(IF(0=LEN(ReferenceData!$AP$42),"",ReferenceData!$AP$42),"")</f>
        <v>56.075037829999999</v>
      </c>
      <c r="AQ42" t="str">
        <f ca="1">IFERROR(IF(0=LEN(ReferenceData!$AQ$42),"",ReferenceData!$AQ$42),"")</f>
        <v/>
      </c>
      <c r="AR42" t="str">
        <f ca="1">IFERROR(IF(0=LEN(ReferenceData!$AR$42),"",ReferenceData!$AR$42),"")</f>
        <v/>
      </c>
      <c r="AS42" t="str">
        <f ca="1">IFERROR(IF(0=LEN(ReferenceData!$AS$42),"",ReferenceData!$AS$42),"")</f>
        <v/>
      </c>
      <c r="AT42">
        <f ca="1">IFERROR(IF(0=LEN(ReferenceData!$AT$42),"",ReferenceData!$AT$42),"")</f>
        <v>15.340866630000001</v>
      </c>
      <c r="AU42">
        <f ca="1">IFERROR(IF(0=LEN(ReferenceData!$AU$42),"",ReferenceData!$AU$42),"")</f>
        <v>13.94846313</v>
      </c>
      <c r="AV42">
        <f ca="1">IFERROR(IF(0=LEN(ReferenceData!$AV$42),"",ReferenceData!$AV$42),"")</f>
        <v>10.90523271</v>
      </c>
      <c r="AW42">
        <f ca="1">IFERROR(IF(0=LEN(ReferenceData!$AW$42),"",ReferenceData!$AW$42),"")</f>
        <v>10.04768338</v>
      </c>
      <c r="AX42">
        <f ca="1">IFERROR(IF(0=LEN(ReferenceData!$AX$42),"",ReferenceData!$AX$42),"")</f>
        <v>9.1985525139999993</v>
      </c>
      <c r="AY42">
        <f ca="1">IFERROR(IF(0=LEN(ReferenceData!$AY$42),"",ReferenceData!$AY$42),"")</f>
        <v>10.45402307</v>
      </c>
      <c r="AZ42">
        <f ca="1">IFERROR(IF(0=LEN(ReferenceData!$AZ$42),"",ReferenceData!$AZ$42),"")</f>
        <v>11.96805694</v>
      </c>
      <c r="BA42">
        <f ca="1">IFERROR(IF(0=LEN(ReferenceData!$BA$42),"",ReferenceData!$BA$42),"")</f>
        <v>14.151739299999999</v>
      </c>
      <c r="BB42">
        <f ca="1">IFERROR(IF(0=LEN(ReferenceData!$BB$42),"",ReferenceData!$BB$42),"")</f>
        <v>14.734611109999999</v>
      </c>
      <c r="BC42">
        <f ca="1">IFERROR(IF(0=LEN(ReferenceData!$BC$42),"",ReferenceData!$BC$42),"")</f>
        <v>15.95455757</v>
      </c>
      <c r="BD42">
        <f ca="1">IFERROR(IF(0=LEN(ReferenceData!$BD$42),"",ReferenceData!$BD$42),"")</f>
        <v>13.15770597</v>
      </c>
      <c r="BE42">
        <f ca="1">IFERROR(IF(0=LEN(ReferenceData!$BE$42),"",ReferenceData!$BE$42),"")</f>
        <v>13.161653230000001</v>
      </c>
      <c r="BF42">
        <f ca="1">IFERROR(IF(0=LEN(ReferenceData!$BF$42),"",ReferenceData!$BF$42),"")</f>
        <v>15.247806499999999</v>
      </c>
      <c r="BG42">
        <f ca="1">IFERROR(IF(0=LEN(ReferenceData!$BG$42),"",ReferenceData!$BG$42),"")</f>
        <v>16.01549211</v>
      </c>
      <c r="BH42">
        <f ca="1">IFERROR(IF(0=LEN(ReferenceData!$BH$42),"",ReferenceData!$BH$42),"")</f>
        <v>14.84611432</v>
      </c>
      <c r="BI42">
        <f ca="1">IFERROR(IF(0=LEN(ReferenceData!$BI$42),"",ReferenceData!$BI$42),"")</f>
        <v>11.44092219</v>
      </c>
      <c r="BJ42">
        <f ca="1">IFERROR(IF(0=LEN(ReferenceData!$BJ$42),"",ReferenceData!$BJ$42),"")</f>
        <v>11.35328932</v>
      </c>
      <c r="BK42" t="str">
        <f ca="1">IFERROR(IF(0=LEN(ReferenceData!$BK$42),"",ReferenceData!$BK$42),"")</f>
        <v/>
      </c>
      <c r="BL42" t="str">
        <f ca="1">IFERROR(IF(0=LEN(ReferenceData!$BL$42),"",ReferenceData!$BL$42),"")</f>
        <v/>
      </c>
      <c r="BM42" t="str">
        <f ca="1">IFERROR(IF(0=LEN(ReferenceData!$BM$42),"",ReferenceData!$BM$42),"")</f>
        <v/>
      </c>
    </row>
    <row r="43" spans="1:65" x14ac:dyDescent="0.25">
      <c r="A43" t="str">
        <f>IFERROR(IF(0=LEN(ReferenceData!$A$43),"",ReferenceData!$A$43),"")</f>
        <v xml:space="preserve">    Volkswagen AG</v>
      </c>
      <c r="B43" t="str">
        <f>IFERROR(IF(0=LEN(ReferenceData!$B$43),"",ReferenceData!$B$43),"")</f>
        <v>VOW GR Equity</v>
      </c>
      <c r="C43" t="str">
        <f>IFERROR(IF(0=LEN(ReferenceData!$C$43),"",ReferenceData!$C$43),"")</f>
        <v>RR900</v>
      </c>
      <c r="D43" t="str">
        <f>IFERROR(IF(0=LEN(ReferenceData!$D$43),"",ReferenceData!$D$43),"")</f>
        <v>PE_RATIO</v>
      </c>
      <c r="E43" t="str">
        <f>IFERROR(IF(0=LEN(ReferenceData!$E$43),"",ReferenceData!$E$43),"")</f>
        <v>Dynamic</v>
      </c>
      <c r="F43">
        <f ca="1">IFERROR(IF(0=LEN(ReferenceData!$F$43),"",ReferenceData!$F$43),"")</f>
        <v>6.5806548610000002</v>
      </c>
      <c r="G43">
        <f ca="1">IFERROR(IF(0=LEN(ReferenceData!$G$43),"",ReferenceData!$G$43),"")</f>
        <v>6.0340744309999996</v>
      </c>
      <c r="H43">
        <f ca="1">IFERROR(IF(0=LEN(ReferenceData!$H$43),"",ReferenceData!$H$43),"")</f>
        <v>5.7916523480000004</v>
      </c>
      <c r="I43">
        <f ca="1">IFERROR(IF(0=LEN(ReferenceData!$I$43),"",ReferenceData!$I$43),"")</f>
        <v>6.3089426340000001</v>
      </c>
      <c r="J43">
        <f ca="1">IFERROR(IF(0=LEN(ReferenceData!$J$43),"",ReferenceData!$J$43),"")</f>
        <v>7.388264071</v>
      </c>
      <c r="K43">
        <f ca="1">IFERROR(IF(0=LEN(ReferenceData!$K$43),"",ReferenceData!$K$43),"")</f>
        <v>7.5859497779999998</v>
      </c>
      <c r="L43">
        <f ca="1">IFERROR(IF(0=LEN(ReferenceData!$L$43),"",ReferenceData!$L$43),"")</f>
        <v>10.640090580000001</v>
      </c>
      <c r="M43">
        <f ca="1">IFERROR(IF(0=LEN(ReferenceData!$M$43),"",ReferenceData!$M$43),"")</f>
        <v>8.5073223200000001</v>
      </c>
      <c r="N43">
        <f ca="1">IFERROR(IF(0=LEN(ReferenceData!$N$43),"",ReferenceData!$N$43),"")</f>
        <v>11.403804770000001</v>
      </c>
      <c r="O43">
        <f ca="1">IFERROR(IF(0=LEN(ReferenceData!$O$43),"",ReferenceData!$O$43),"")</f>
        <v>13.360969130000001</v>
      </c>
      <c r="P43">
        <f ca="1">IFERROR(IF(0=LEN(ReferenceData!$P$43),"",ReferenceData!$P$43),"")</f>
        <v>204.09881110000001</v>
      </c>
      <c r="Q43" t="str">
        <f ca="1">IFERROR(IF(0=LEN(ReferenceData!$Q$43),"",ReferenceData!$Q$43),"")</f>
        <v/>
      </c>
      <c r="R43" t="str">
        <f ca="1">IFERROR(IF(0=LEN(ReferenceData!$R$43),"",ReferenceData!$R$43),"")</f>
        <v/>
      </c>
      <c r="S43">
        <f ca="1">IFERROR(IF(0=LEN(ReferenceData!$S$43),"",ReferenceData!$S$43),"")</f>
        <v>11.67605169</v>
      </c>
      <c r="T43">
        <f ca="1">IFERROR(IF(0=LEN(ReferenceData!$T$43),"",ReferenceData!$T$43),"")</f>
        <v>8.6945858479999991</v>
      </c>
      <c r="U43">
        <f ca="1">IFERROR(IF(0=LEN(ReferenceData!$U$43),"",ReferenceData!$U$43),"")</f>
        <v>9.6226668049999997</v>
      </c>
      <c r="V43">
        <f ca="1">IFERROR(IF(0=LEN(ReferenceData!$V$43),"",ReferenceData!$V$43),"")</f>
        <v>10.52684073</v>
      </c>
      <c r="W43">
        <f ca="1">IFERROR(IF(0=LEN(ReferenceData!$W$43),"",ReferenceData!$W$43),"")</f>
        <v>8.2372771230000001</v>
      </c>
      <c r="X43">
        <f ca="1">IFERROR(IF(0=LEN(ReferenceData!$X$43),"",ReferenceData!$X$43),"")</f>
        <v>7.4329622779999998</v>
      </c>
      <c r="Y43">
        <f ca="1">IFERROR(IF(0=LEN(ReferenceData!$Y$43),"",ReferenceData!$Y$43),"")</f>
        <v>9.4399682550000001</v>
      </c>
      <c r="Z43">
        <f ca="1">IFERROR(IF(0=LEN(ReferenceData!$Z$43),"",ReferenceData!$Z$43),"")</f>
        <v>9.5174683380000005</v>
      </c>
      <c r="AA43">
        <f ca="1">IFERROR(IF(0=LEN(ReferenceData!$AA$43),"",ReferenceData!$AA$43),"")</f>
        <v>10.569451900000001</v>
      </c>
      <c r="AB43">
        <f ca="1">IFERROR(IF(0=LEN(ReferenceData!$AB$43),"",ReferenceData!$AB$43),"")</f>
        <v>9.6928618100000001</v>
      </c>
      <c r="AC43">
        <f ca="1">IFERROR(IF(0=LEN(ReferenceData!$AC$43),"",ReferenceData!$AC$43),"")</f>
        <v>3.9728945229999999</v>
      </c>
      <c r="AD43">
        <f ca="1">IFERROR(IF(0=LEN(ReferenceData!$AD$43),"",ReferenceData!$AD$43),"")</f>
        <v>3.3280305769999998</v>
      </c>
      <c r="AE43">
        <f ca="1">IFERROR(IF(0=LEN(ReferenceData!$AE$43),"",ReferenceData!$AE$43),"")</f>
        <v>3.4946882989999999</v>
      </c>
      <c r="AF43">
        <f ca="1">IFERROR(IF(0=LEN(ReferenceData!$AF$43),"",ReferenceData!$AF$43),"")</f>
        <v>2.7395505149999999</v>
      </c>
      <c r="AG43">
        <f ca="1">IFERROR(IF(0=LEN(ReferenceData!$AG$43),"",ReferenceData!$AG$43),"")</f>
        <v>3.0583960549999998</v>
      </c>
      <c r="AH43">
        <f ca="1">IFERROR(IF(0=LEN(ReferenceData!$AH$43),"",ReferenceData!$AH$43),"")</f>
        <v>3.3272877159999998</v>
      </c>
      <c r="AI43">
        <f ca="1">IFERROR(IF(0=LEN(ReferenceData!$AI$43),"",ReferenceData!$AI$43),"")</f>
        <v>3.1314199399999998</v>
      </c>
      <c r="AJ43">
        <f ca="1">IFERROR(IF(0=LEN(ReferenceData!$AJ$43),"",ReferenceData!$AJ$43),"")</f>
        <v>2.6718281789999998</v>
      </c>
      <c r="AK43">
        <f ca="1">IFERROR(IF(0=LEN(ReferenceData!$AK$43),"",ReferenceData!$AK$43),"")</f>
        <v>5.1857158180000003</v>
      </c>
      <c r="AL43">
        <f ca="1">IFERROR(IF(0=LEN(ReferenceData!$AL$43),"",ReferenceData!$AL$43),"")</f>
        <v>6.3128788910000004</v>
      </c>
      <c r="AM43">
        <f ca="1">IFERROR(IF(0=LEN(ReferenceData!$AM$43),"",ReferenceData!$AM$43),"")</f>
        <v>7.1665474500000004</v>
      </c>
      <c r="AN43">
        <f ca="1">IFERROR(IF(0=LEN(ReferenceData!$AN$43),"",ReferenceData!$AN$43),"")</f>
        <v>9.1646122670000008</v>
      </c>
      <c r="AO43">
        <f ca="1">IFERROR(IF(0=LEN(ReferenceData!$AO$43),"",ReferenceData!$AO$43),"")</f>
        <v>14.728039280000001</v>
      </c>
      <c r="AP43">
        <f ca="1">IFERROR(IF(0=LEN(ReferenceData!$AP$43),"",ReferenceData!$AP$43),"")</f>
        <v>25.901822540000001</v>
      </c>
      <c r="AQ43">
        <f ca="1">IFERROR(IF(0=LEN(ReferenceData!$AQ$43),"",ReferenceData!$AQ$43),"")</f>
        <v>32.293429000000003</v>
      </c>
      <c r="AR43">
        <f ca="1">IFERROR(IF(0=LEN(ReferenceData!$AR$43),"",ReferenceData!$AR$43),"")</f>
        <v>26.666666670000001</v>
      </c>
      <c r="AS43">
        <f ca="1">IFERROR(IF(0=LEN(ReferenceData!$AS$43),"",ReferenceData!$AS$43),"")</f>
        <v>35.310395309999997</v>
      </c>
      <c r="AT43">
        <f ca="1">IFERROR(IF(0=LEN(ReferenceData!$AT$43),"",ReferenceData!$AT$43),"")</f>
        <v>22.38791423</v>
      </c>
      <c r="AU43">
        <f ca="1">IFERROR(IF(0=LEN(ReferenceData!$AU$43),"",ReferenceData!$AU$43),"")</f>
        <v>20.920502089999999</v>
      </c>
      <c r="AV43">
        <f ca="1">IFERROR(IF(0=LEN(ReferenceData!$AV$43),"",ReferenceData!$AV$43),"")</f>
        <v>22.05859066</v>
      </c>
      <c r="AW43">
        <f ca="1">IFERROR(IF(0=LEN(ReferenceData!$AW$43),"",ReferenceData!$AW$43),"")</f>
        <v>15.246038370000001</v>
      </c>
      <c r="AX43">
        <f ca="1">IFERROR(IF(0=LEN(ReferenceData!$AX$43),"",ReferenceData!$AX$43),"")</f>
        <v>16.794520550000001</v>
      </c>
      <c r="AY43">
        <f ca="1">IFERROR(IF(0=LEN(ReferenceData!$AY$43),"",ReferenceData!$AY$43),"")</f>
        <v>14.88560534</v>
      </c>
      <c r="AZ43">
        <f ca="1">IFERROR(IF(0=LEN(ReferenceData!$AZ$43),"",ReferenceData!$AZ$43),"")</f>
        <v>13.98589065</v>
      </c>
      <c r="BA43">
        <f ca="1">IFERROR(IF(0=LEN(ReferenceData!$BA$43),"",ReferenceData!$BA$43),"")</f>
        <v>13.059933409999999</v>
      </c>
      <c r="BB43">
        <f ca="1">IFERROR(IF(0=LEN(ReferenceData!$BB$43),"",ReferenceData!$BB$43),"")</f>
        <v>18.579207920000002</v>
      </c>
      <c r="BC43">
        <f ca="1">IFERROR(IF(0=LEN(ReferenceData!$BC$43),"",ReferenceData!$BC$43),"")</f>
        <v>17.077380949999998</v>
      </c>
      <c r="BD43">
        <f ca="1">IFERROR(IF(0=LEN(ReferenceData!$BD$43),"",ReferenceData!$BD$43),"")</f>
        <v>29.986666670000002</v>
      </c>
      <c r="BE43">
        <f ca="1">IFERROR(IF(0=LEN(ReferenceData!$BE$43),"",ReferenceData!$BE$43),"")</f>
        <v>19.723021580000001</v>
      </c>
      <c r="BF43">
        <f ca="1">IFERROR(IF(0=LEN(ReferenceData!$BF$43),"",ReferenceData!$BF$43),"")</f>
        <v>18.152492670000001</v>
      </c>
      <c r="BG43">
        <f ca="1">IFERROR(IF(0=LEN(ReferenceData!$BG$43),"",ReferenceData!$BG$43),"")</f>
        <v>16.340659339999998</v>
      </c>
      <c r="BH43">
        <f ca="1">IFERROR(IF(0=LEN(ReferenceData!$BH$43),"",ReferenceData!$BH$43),"")</f>
        <v>23.226244340000001</v>
      </c>
      <c r="BI43">
        <f ca="1">IFERROR(IF(0=LEN(ReferenceData!$BI$43),"",ReferenceData!$BI$43),"")</f>
        <v>20.955555560000001</v>
      </c>
      <c r="BJ43">
        <f ca="1">IFERROR(IF(0=LEN(ReferenceData!$BJ$43),"",ReferenceData!$BJ$43),"")</f>
        <v>18.90206186</v>
      </c>
      <c r="BK43">
        <f ca="1">IFERROR(IF(0=LEN(ReferenceData!$BK$43),"",ReferenceData!$BK$43),"")</f>
        <v>18.324175820000001</v>
      </c>
      <c r="BL43">
        <f ca="1">IFERROR(IF(0=LEN(ReferenceData!$BL$43),"",ReferenceData!$BL$43),"")</f>
        <v>16.19895288</v>
      </c>
      <c r="BM43">
        <f ca="1">IFERROR(IF(0=LEN(ReferenceData!$BM$43),"",ReferenceData!$BM$43),"")</f>
        <v>15.21929825</v>
      </c>
    </row>
    <row r="44" spans="1:65" x14ac:dyDescent="0.25">
      <c r="A44" t="str">
        <f>IFERROR(IF(0=LEN(ReferenceData!$A$44),"",ReferenceData!$A$44),"")</f>
        <v xml:space="preserve">    Yulon Motor Co Ltd</v>
      </c>
      <c r="B44" t="str">
        <f>IFERROR(IF(0=LEN(ReferenceData!$B$44),"",ReferenceData!$B$44),"")</f>
        <v>2201 TT Equity</v>
      </c>
      <c r="C44" t="str">
        <f>IFERROR(IF(0=LEN(ReferenceData!$C$44),"",ReferenceData!$C$44),"")</f>
        <v>RR900</v>
      </c>
      <c r="D44" t="str">
        <f>IFERROR(IF(0=LEN(ReferenceData!$D$44),"",ReferenceData!$D$44),"")</f>
        <v>PE_RATIO</v>
      </c>
      <c r="E44" t="str">
        <f>IFERROR(IF(0=LEN(ReferenceData!$E$44),"",ReferenceData!$E$44),"")</f>
        <v>Dynamic</v>
      </c>
      <c r="F44">
        <f ca="1">IFERROR(IF(0=LEN(ReferenceData!$F$44),"",ReferenceData!$F$44),"")</f>
        <v>15.3959397</v>
      </c>
      <c r="G44">
        <f ca="1">IFERROR(IF(0=LEN(ReferenceData!$G$44),"",ReferenceData!$G$44),"")</f>
        <v>14.786601709999999</v>
      </c>
      <c r="H44">
        <f ca="1">IFERROR(IF(0=LEN(ReferenceData!$H$44),"",ReferenceData!$H$44),"")</f>
        <v>17.630178969999999</v>
      </c>
      <c r="I44">
        <f ca="1">IFERROR(IF(0=LEN(ReferenceData!$I$44),"",ReferenceData!$I$44),"")</f>
        <v>12.141893270000001</v>
      </c>
      <c r="J44">
        <f ca="1">IFERROR(IF(0=LEN(ReferenceData!$J$44),"",ReferenceData!$J$44),"")</f>
        <v>11.846198599999999</v>
      </c>
      <c r="K44">
        <f ca="1">IFERROR(IF(0=LEN(ReferenceData!$K$44),"",ReferenceData!$K$44),"")</f>
        <v>15.60294227</v>
      </c>
      <c r="L44">
        <f ca="1">IFERROR(IF(0=LEN(ReferenceData!$L$44),"",ReferenceData!$L$44),"")</f>
        <v>23.812303880000002</v>
      </c>
      <c r="M44">
        <f ca="1">IFERROR(IF(0=LEN(ReferenceData!$M$44),"",ReferenceData!$M$44),"")</f>
        <v>34.659052680000002</v>
      </c>
      <c r="N44">
        <f ca="1">IFERROR(IF(0=LEN(ReferenceData!$N$44),"",ReferenceData!$N$44),"")</f>
        <v>27.759407979999999</v>
      </c>
      <c r="O44">
        <f ca="1">IFERROR(IF(0=LEN(ReferenceData!$O$44),"",ReferenceData!$O$44),"")</f>
        <v>28.88949015</v>
      </c>
      <c r="P44">
        <f ca="1">IFERROR(IF(0=LEN(ReferenceData!$P$44),"",ReferenceData!$P$44),"")</f>
        <v>13.92419778</v>
      </c>
      <c r="Q44">
        <f ca="1">IFERROR(IF(0=LEN(ReferenceData!$Q$44),"",ReferenceData!$Q$44),"")</f>
        <v>12.765539589999999</v>
      </c>
      <c r="R44">
        <f ca="1">IFERROR(IF(0=LEN(ReferenceData!$R$44),"",ReferenceData!$R$44),"")</f>
        <v>14.750515679999999</v>
      </c>
      <c r="S44">
        <f ca="1">IFERROR(IF(0=LEN(ReferenceData!$S$44),"",ReferenceData!$S$44),"")</f>
        <v>13.19601323</v>
      </c>
      <c r="T44">
        <f ca="1">IFERROR(IF(0=LEN(ReferenceData!$T$44),"",ReferenceData!$T$44),"")</f>
        <v>21.849952779999999</v>
      </c>
      <c r="U44">
        <f ca="1">IFERROR(IF(0=LEN(ReferenceData!$U$44),"",ReferenceData!$U$44),"")</f>
        <v>22.128420250000001</v>
      </c>
      <c r="V44">
        <f ca="1">IFERROR(IF(0=LEN(ReferenceData!$V$44),"",ReferenceData!$V$44),"")</f>
        <v>27.267004249999999</v>
      </c>
      <c r="W44">
        <f ca="1">IFERROR(IF(0=LEN(ReferenceData!$W$44),"",ReferenceData!$W$44),"")</f>
        <v>30.63586214</v>
      </c>
      <c r="X44">
        <f ca="1">IFERROR(IF(0=LEN(ReferenceData!$X$44),"",ReferenceData!$X$44),"")</f>
        <v>29.499347449999998</v>
      </c>
      <c r="Y44">
        <f ca="1">IFERROR(IF(0=LEN(ReferenceData!$Y$44),"",ReferenceData!$Y$44),"")</f>
        <v>40.757895580000003</v>
      </c>
      <c r="Z44">
        <f ca="1">IFERROR(IF(0=LEN(ReferenceData!$Z$44),"",ReferenceData!$Z$44),"")</f>
        <v>35.36259313</v>
      </c>
      <c r="AA44">
        <f ca="1">IFERROR(IF(0=LEN(ReferenceData!$AA$44),"",ReferenceData!$AA$44),"")</f>
        <v>33.283880060000001</v>
      </c>
      <c r="AB44">
        <f ca="1">IFERROR(IF(0=LEN(ReferenceData!$AB$44),"",ReferenceData!$AB$44),"")</f>
        <v>23.62653465</v>
      </c>
      <c r="AC44">
        <f ca="1">IFERROR(IF(0=LEN(ReferenceData!$AC$44),"",ReferenceData!$AC$44),"")</f>
        <v>24.1801177</v>
      </c>
      <c r="AD44">
        <f ca="1">IFERROR(IF(0=LEN(ReferenceData!$AD$44),"",ReferenceData!$AD$44),"")</f>
        <v>26.499899259999999</v>
      </c>
      <c r="AE44">
        <f ca="1">IFERROR(IF(0=LEN(ReferenceData!$AE$44),"",ReferenceData!$AE$44),"")</f>
        <v>27.159125809999999</v>
      </c>
      <c r="AF44">
        <f ca="1">IFERROR(IF(0=LEN(ReferenceData!$AF$44),"",ReferenceData!$AF$44),"")</f>
        <v>27.604495880000002</v>
      </c>
      <c r="AG44">
        <f ca="1">IFERROR(IF(0=LEN(ReferenceData!$AG$44),"",ReferenceData!$AG$44),"")</f>
        <v>23.317875600000001</v>
      </c>
      <c r="AH44">
        <f ca="1">IFERROR(IF(0=LEN(ReferenceData!$AH$44),"",ReferenceData!$AH$44),"")</f>
        <v>26.230789089999998</v>
      </c>
      <c r="AI44">
        <f ca="1">IFERROR(IF(0=LEN(ReferenceData!$AI$44),"",ReferenceData!$AI$44),"")</f>
        <v>22.805567190000001</v>
      </c>
      <c r="AJ44">
        <f ca="1">IFERROR(IF(0=LEN(ReferenceData!$AJ$44),"",ReferenceData!$AJ$44),"")</f>
        <v>22.863057019999999</v>
      </c>
      <c r="AK44">
        <f ca="1">IFERROR(IF(0=LEN(ReferenceData!$AK$44),"",ReferenceData!$AK$44),"")</f>
        <v>27.36459185</v>
      </c>
      <c r="AL44">
        <f ca="1">IFERROR(IF(0=LEN(ReferenceData!$AL$44),"",ReferenceData!$AL$44),"")</f>
        <v>21.327539160000001</v>
      </c>
      <c r="AM44">
        <f ca="1">IFERROR(IF(0=LEN(ReferenceData!$AM$44),"",ReferenceData!$AM$44),"")</f>
        <v>23.585590849999999</v>
      </c>
      <c r="AN44">
        <f ca="1">IFERROR(IF(0=LEN(ReferenceData!$AN$44),"",ReferenceData!$AN$44),"")</f>
        <v>29.937767659999999</v>
      </c>
      <c r="AO44">
        <f ca="1">IFERROR(IF(0=LEN(ReferenceData!$AO$44),"",ReferenceData!$AO$44),"")</f>
        <v>17.54698647</v>
      </c>
      <c r="AP44">
        <f ca="1">IFERROR(IF(0=LEN(ReferenceData!$AP$44),"",ReferenceData!$AP$44),"")</f>
        <v>22.906730939999999</v>
      </c>
      <c r="AQ44">
        <f ca="1">IFERROR(IF(0=LEN(ReferenceData!$AQ$44),"",ReferenceData!$AQ$44),"")</f>
        <v>52.44495019</v>
      </c>
      <c r="AR44">
        <f ca="1">IFERROR(IF(0=LEN(ReferenceData!$AR$44),"",ReferenceData!$AR$44),"")</f>
        <v>41.986966430000003</v>
      </c>
      <c r="AS44">
        <f ca="1">IFERROR(IF(0=LEN(ReferenceData!$AS$44),"",ReferenceData!$AS$44),"")</f>
        <v>100.2583581</v>
      </c>
      <c r="AT44">
        <f ca="1">IFERROR(IF(0=LEN(ReferenceData!$AT$44),"",ReferenceData!$AT$44),"")</f>
        <v>62.338880070000002</v>
      </c>
      <c r="AU44">
        <f ca="1">IFERROR(IF(0=LEN(ReferenceData!$AU$44),"",ReferenceData!$AU$44),"")</f>
        <v>50.955258489999999</v>
      </c>
      <c r="AV44">
        <f ca="1">IFERROR(IF(0=LEN(ReferenceData!$AV$44),"",ReferenceData!$AV$44),"")</f>
        <v>22.02307459</v>
      </c>
      <c r="AW44" t="str">
        <f ca="1">IFERROR(IF(0=LEN(ReferenceData!$AW$44),"",ReferenceData!$AW$44),"")</f>
        <v/>
      </c>
      <c r="AX44" t="str">
        <f ca="1">IFERROR(IF(0=LEN(ReferenceData!$AX$44),"",ReferenceData!$AX$44),"")</f>
        <v/>
      </c>
      <c r="AY44" t="str">
        <f ca="1">IFERROR(IF(0=LEN(ReferenceData!$AY$44),"",ReferenceData!$AY$44),"")</f>
        <v/>
      </c>
      <c r="AZ44" t="str">
        <f ca="1">IFERROR(IF(0=LEN(ReferenceData!$AZ$44),"",ReferenceData!$AZ$44),"")</f>
        <v/>
      </c>
      <c r="BA44" t="str">
        <f ca="1">IFERROR(IF(0=LEN(ReferenceData!$BA$44),"",ReferenceData!$BA$44),"")</f>
        <v/>
      </c>
      <c r="BB44" t="str">
        <f ca="1">IFERROR(IF(0=LEN(ReferenceData!$BB$44),"",ReferenceData!$BB$44),"")</f>
        <v/>
      </c>
      <c r="BC44" t="str">
        <f ca="1">IFERROR(IF(0=LEN(ReferenceData!$BC$44),"",ReferenceData!$BC$44),"")</f>
        <v/>
      </c>
      <c r="BD44" t="str">
        <f ca="1">IFERROR(IF(0=LEN(ReferenceData!$BD$44),"",ReferenceData!$BD$44),"")</f>
        <v/>
      </c>
      <c r="BE44" t="str">
        <f ca="1">IFERROR(IF(0=LEN(ReferenceData!$BE$44),"",ReferenceData!$BE$44),"")</f>
        <v/>
      </c>
      <c r="BF44" t="str">
        <f ca="1">IFERROR(IF(0=LEN(ReferenceData!$BF$44),"",ReferenceData!$BF$44),"")</f>
        <v/>
      </c>
      <c r="BG44" t="str">
        <f ca="1">IFERROR(IF(0=LEN(ReferenceData!$BG$44),"",ReferenceData!$BG$44),"")</f>
        <v/>
      </c>
      <c r="BH44" t="str">
        <f ca="1">IFERROR(IF(0=LEN(ReferenceData!$BH$44),"",ReferenceData!$BH$44),"")</f>
        <v/>
      </c>
      <c r="BI44" t="str">
        <f ca="1">IFERROR(IF(0=LEN(ReferenceData!$BI$44),"",ReferenceData!$BI$44),"")</f>
        <v/>
      </c>
      <c r="BJ44" t="str">
        <f ca="1">IFERROR(IF(0=LEN(ReferenceData!$BJ$44),"",ReferenceData!$BJ$44),"")</f>
        <v/>
      </c>
      <c r="BK44" t="str">
        <f ca="1">IFERROR(IF(0=LEN(ReferenceData!$BK$44),"",ReferenceData!$BK$44),"")</f>
        <v/>
      </c>
      <c r="BL44" t="str">
        <f ca="1">IFERROR(IF(0=LEN(ReferenceData!$BL$44),"",ReferenceData!$BL$44),"")</f>
        <v/>
      </c>
      <c r="BM44" t="str">
        <f ca="1">IFERROR(IF(0=LEN(ReferenceData!$BM$44),"",ReferenceData!$BM$44),"")</f>
        <v/>
      </c>
    </row>
    <row r="45" spans="1:65" x14ac:dyDescent="0.25">
      <c r="A45" t="str">
        <f>IFERROR(IF(0=LEN(ReferenceData!$A$45),"",ReferenceData!$A$45),"")</f>
        <v>P/E FY1</v>
      </c>
      <c r="B45" t="str">
        <f>IFERROR(IF(0=LEN(ReferenceData!$B$45),"",ReferenceData!$B$45),"")</f>
        <v>BRAUTOCV Index</v>
      </c>
      <c r="C45" t="str">
        <f>IFERROR(IF(0=LEN(ReferenceData!$C$45),"",ReferenceData!$C$45),"")</f>
        <v/>
      </c>
      <c r="D45" t="str">
        <f>IFERROR(IF(0=LEN(ReferenceData!$D$45),"",ReferenceData!$D$45),"")</f>
        <v/>
      </c>
      <c r="E45" t="str">
        <f>IFERROR(IF(0=LEN(ReferenceData!$E$45),"",ReferenceData!$E$45),"")</f>
        <v>Average</v>
      </c>
      <c r="F45">
        <f ca="1">IFERROR(IF(0=LEN(ReferenceData!$F$45),"",ReferenceData!$F$45),"")</f>
        <v>45.131755565032265</v>
      </c>
      <c r="G45">
        <f ca="1">IFERROR(IF(0=LEN(ReferenceData!$G$45),"",ReferenceData!$G$45),"")</f>
        <v>11.631560625677421</v>
      </c>
      <c r="H45">
        <f ca="1">IFERROR(IF(0=LEN(ReferenceData!$H$45),"",ReferenceData!$H$45),"")</f>
        <v>13.683711999967741</v>
      </c>
      <c r="I45">
        <f ca="1">IFERROR(IF(0=LEN(ReferenceData!$I$45),"",ReferenceData!$I$45),"")</f>
        <v>13.949673720129033</v>
      </c>
      <c r="J45">
        <f ca="1">IFERROR(IF(0=LEN(ReferenceData!$J$45),"",ReferenceData!$J$45),"")</f>
        <v>16.849481654741936</v>
      </c>
      <c r="K45">
        <f ca="1">IFERROR(IF(0=LEN(ReferenceData!$K$45),"",ReferenceData!$K$45),"")</f>
        <v>16.904692366625</v>
      </c>
      <c r="L45">
        <f ca="1">IFERROR(IF(0=LEN(ReferenceData!$L$45),"",ReferenceData!$L$45),"")</f>
        <v>14.909511123870969</v>
      </c>
      <c r="M45">
        <f ca="1">IFERROR(IF(0=LEN(ReferenceData!$M$45),"",ReferenceData!$M$45),"")</f>
        <v>14.273017685562502</v>
      </c>
      <c r="N45">
        <f ca="1">IFERROR(IF(0=LEN(ReferenceData!$N$45),"",ReferenceData!$N$45),"")</f>
        <v>10.743660928468749</v>
      </c>
      <c r="O45">
        <f ca="1">IFERROR(IF(0=LEN(ReferenceData!$O$45),"",ReferenceData!$O$45),"")</f>
        <v>22.841995019193547</v>
      </c>
      <c r="P45">
        <f ca="1">IFERROR(IF(0=LEN(ReferenceData!$P$45),"",ReferenceData!$P$45),"")</f>
        <v>21.223100769499997</v>
      </c>
      <c r="Q45">
        <f ca="1">IFERROR(IF(0=LEN(ReferenceData!$Q$45),"",ReferenceData!$Q$45),"")</f>
        <v>20.43107329415151</v>
      </c>
      <c r="R45">
        <f ca="1">IFERROR(IF(0=LEN(ReferenceData!$R$45),"",ReferenceData!$R$45),"")</f>
        <v>8.469931435714285</v>
      </c>
      <c r="S45">
        <f ca="1">IFERROR(IF(0=LEN(ReferenceData!$S$45),"",ReferenceData!$S$45),"")</f>
        <v>7.8654021021481508</v>
      </c>
      <c r="T45">
        <f ca="1">IFERROR(IF(0=LEN(ReferenceData!$T$45),"",ReferenceData!$T$45),"")</f>
        <v>7.4582314485000003</v>
      </c>
      <c r="U45">
        <f ca="1">IFERROR(IF(0=LEN(ReferenceData!$U$45),"",ReferenceData!$U$45),"")</f>
        <v>7.2083914191153857</v>
      </c>
      <c r="V45">
        <f ca="1">IFERROR(IF(0=LEN(ReferenceData!$V$45),"",ReferenceData!$V$45),"")</f>
        <v>7.482729082583333</v>
      </c>
      <c r="W45">
        <f ca="1">IFERROR(IF(0=LEN(ReferenceData!$W$45),"",ReferenceData!$W$45),"")</f>
        <v>6.8814992644999986</v>
      </c>
      <c r="X45">
        <f ca="1">IFERROR(IF(0=LEN(ReferenceData!$X$45),"",ReferenceData!$X$45),"")</f>
        <v>7.0893157898461538</v>
      </c>
      <c r="Y45">
        <f ca="1">IFERROR(IF(0=LEN(ReferenceData!$Y$45),"",ReferenceData!$Y$45),"")</f>
        <v>7.0793190203333332</v>
      </c>
      <c r="Z45">
        <f ca="1">IFERROR(IF(0=LEN(ReferenceData!$Z$45),"",ReferenceData!$Z$45),"")</f>
        <v>7.092278952800001</v>
      </c>
      <c r="AA45">
        <f ca="1">IFERROR(IF(0=LEN(ReferenceData!$AA$45),"",ReferenceData!$AA$45),"")</f>
        <v>7.0662706790000005</v>
      </c>
      <c r="AB45">
        <f ca="1">IFERROR(IF(0=LEN(ReferenceData!$AB$45),"",ReferenceData!$AB$45),"")</f>
        <v>10.9405818595</v>
      </c>
      <c r="AC45">
        <f ca="1">IFERROR(IF(0=LEN(ReferenceData!$AC$45),"",ReferenceData!$AC$45),"")</f>
        <v>8.5276512664999995</v>
      </c>
      <c r="AD45">
        <f ca="1">IFERROR(IF(0=LEN(ReferenceData!$AD$45),"",ReferenceData!$AD$45),"")</f>
        <v>2.865255635</v>
      </c>
      <c r="AE45">
        <f ca="1">IFERROR(IF(0=LEN(ReferenceData!$AE$45),"",ReferenceData!$AE$45),"")</f>
        <v>2.6948647084999999</v>
      </c>
      <c r="AF45">
        <f ca="1">IFERROR(IF(0=LEN(ReferenceData!$AF$45),"",ReferenceData!$AF$45),"")</f>
        <v>1.7902255555</v>
      </c>
      <c r="AG45">
        <f ca="1">IFERROR(IF(0=LEN(ReferenceData!$AG$45),"",ReferenceData!$AG$45),"")</f>
        <v>2.0285117124999998</v>
      </c>
      <c r="AH45">
        <f ca="1">IFERROR(IF(0=LEN(ReferenceData!$AH$45),"",ReferenceData!$AH$45),"")</f>
        <v>2.3335417110000001</v>
      </c>
      <c r="AI45" t="str">
        <f ca="1">IFERROR(IF(0=LEN(ReferenceData!$AI$45),"",ReferenceData!$AI$45),"")</f>
        <v/>
      </c>
      <c r="AJ45" t="str">
        <f ca="1">IFERROR(IF(0=LEN(ReferenceData!$AJ$45),"",ReferenceData!$AJ$45),"")</f>
        <v/>
      </c>
      <c r="AK45" t="str">
        <f ca="1">IFERROR(IF(0=LEN(ReferenceData!$AK$45),"",ReferenceData!$AK$45),"")</f>
        <v/>
      </c>
      <c r="AL45" t="str">
        <f ca="1">IFERROR(IF(0=LEN(ReferenceData!$AL$45),"",ReferenceData!$AL$45),"")</f>
        <v/>
      </c>
      <c r="AM45" t="str">
        <f ca="1">IFERROR(IF(0=LEN(ReferenceData!$AM$45),"",ReferenceData!$AM$45),"")</f>
        <v/>
      </c>
      <c r="AN45" t="str">
        <f ca="1">IFERROR(IF(0=LEN(ReferenceData!$AN$45),"",ReferenceData!$AN$45),"")</f>
        <v/>
      </c>
      <c r="AO45" t="str">
        <f ca="1">IFERROR(IF(0=LEN(ReferenceData!$AO$45),"",ReferenceData!$AO$45),"")</f>
        <v/>
      </c>
      <c r="AP45" t="str">
        <f ca="1">IFERROR(IF(0=LEN(ReferenceData!$AP$45),"",ReferenceData!$AP$45),"")</f>
        <v/>
      </c>
      <c r="AQ45" t="str">
        <f ca="1">IFERROR(IF(0=LEN(ReferenceData!$AQ$45),"",ReferenceData!$AQ$45),"")</f>
        <v/>
      </c>
      <c r="AR45" t="str">
        <f ca="1">IFERROR(IF(0=LEN(ReferenceData!$AR$45),"",ReferenceData!$AR$45),"")</f>
        <v/>
      </c>
      <c r="AS45" t="str">
        <f ca="1">IFERROR(IF(0=LEN(ReferenceData!$AS$45),"",ReferenceData!$AS$45),"")</f>
        <v/>
      </c>
      <c r="AT45" t="str">
        <f ca="1">IFERROR(IF(0=LEN(ReferenceData!$AT$45),"",ReferenceData!$AT$45),"")</f>
        <v/>
      </c>
      <c r="AU45" t="str">
        <f ca="1">IFERROR(IF(0=LEN(ReferenceData!$AU$45),"",ReferenceData!$AU$45),"")</f>
        <v/>
      </c>
      <c r="AV45" t="str">
        <f ca="1">IFERROR(IF(0=LEN(ReferenceData!$AV$45),"",ReferenceData!$AV$45),"")</f>
        <v/>
      </c>
      <c r="AW45" t="str">
        <f ca="1">IFERROR(IF(0=LEN(ReferenceData!$AW$45),"",ReferenceData!$AW$45),"")</f>
        <v/>
      </c>
      <c r="AX45" t="str">
        <f ca="1">IFERROR(IF(0=LEN(ReferenceData!$AX$45),"",ReferenceData!$AX$45),"")</f>
        <v/>
      </c>
      <c r="AY45" t="str">
        <f ca="1">IFERROR(IF(0=LEN(ReferenceData!$AY$45),"",ReferenceData!$AY$45),"")</f>
        <v/>
      </c>
      <c r="AZ45" t="str">
        <f ca="1">IFERROR(IF(0=LEN(ReferenceData!$AZ$45),"",ReferenceData!$AZ$45),"")</f>
        <v/>
      </c>
      <c r="BA45" t="str">
        <f ca="1">IFERROR(IF(0=LEN(ReferenceData!$BA$45),"",ReferenceData!$BA$45),"")</f>
        <v/>
      </c>
      <c r="BB45" t="str">
        <f ca="1">IFERROR(IF(0=LEN(ReferenceData!$BB$45),"",ReferenceData!$BB$45),"")</f>
        <v/>
      </c>
      <c r="BC45" t="str">
        <f ca="1">IFERROR(IF(0=LEN(ReferenceData!$BC$45),"",ReferenceData!$BC$45),"")</f>
        <v/>
      </c>
      <c r="BD45" t="str">
        <f ca="1">IFERROR(IF(0=LEN(ReferenceData!$BD$45),"",ReferenceData!$BD$45),"")</f>
        <v/>
      </c>
      <c r="BE45" t="str">
        <f ca="1">IFERROR(IF(0=LEN(ReferenceData!$BE$45),"",ReferenceData!$BE$45),"")</f>
        <v/>
      </c>
      <c r="BF45" t="str">
        <f ca="1">IFERROR(IF(0=LEN(ReferenceData!$BF$45),"",ReferenceData!$BF$45),"")</f>
        <v/>
      </c>
      <c r="BG45" t="str">
        <f ca="1">IFERROR(IF(0=LEN(ReferenceData!$BG$45),"",ReferenceData!$BG$45),"")</f>
        <v/>
      </c>
      <c r="BH45" t="str">
        <f ca="1">IFERROR(IF(0=LEN(ReferenceData!$BH$45),"",ReferenceData!$BH$45),"")</f>
        <v/>
      </c>
      <c r="BI45" t="str">
        <f ca="1">IFERROR(IF(0=LEN(ReferenceData!$BI$45),"",ReferenceData!$BI$45),"")</f>
        <v/>
      </c>
      <c r="BJ45" t="str">
        <f ca="1">IFERROR(IF(0=LEN(ReferenceData!$BJ$45),"",ReferenceData!$BJ$45),"")</f>
        <v/>
      </c>
      <c r="BK45" t="str">
        <f ca="1">IFERROR(IF(0=LEN(ReferenceData!$BK$45),"",ReferenceData!$BK$45),"")</f>
        <v/>
      </c>
      <c r="BL45" t="str">
        <f ca="1">IFERROR(IF(0=LEN(ReferenceData!$BL$45),"",ReferenceData!$BL$45),"")</f>
        <v/>
      </c>
      <c r="BM45" t="str">
        <f ca="1">IFERROR(IF(0=LEN(ReferenceData!$BM$45),"",ReferenceData!$BM$45),"")</f>
        <v/>
      </c>
    </row>
    <row r="46" spans="1:65" x14ac:dyDescent="0.25">
      <c r="A46" t="str">
        <f>IFERROR(IF(0=LEN(ReferenceData!$A$46),"",ReferenceData!$A$46),"")</f>
        <v xml:space="preserve">    AUDI AG</v>
      </c>
      <c r="B46" t="str">
        <f>IFERROR(IF(0=LEN(ReferenceData!$B$46),"",ReferenceData!$B$46),"")</f>
        <v>NSU GR Equity</v>
      </c>
      <c r="C46" t="str">
        <f>IFERROR(IF(0=LEN(ReferenceData!$C$46),"",ReferenceData!$C$46),"")</f>
        <v>EZ009</v>
      </c>
      <c r="D46" t="str">
        <f>IFERROR(IF(0=LEN(ReferenceData!$D$46),"",ReferenceData!$D$46),"")</f>
        <v>BEST_EST_PE_CUR_YR</v>
      </c>
      <c r="E46" t="str">
        <f>IFERROR(IF(0=LEN(ReferenceData!$E$46),"",ReferenceData!$E$46),"")</f>
        <v>Dynamic</v>
      </c>
      <c r="F46" t="str">
        <f ca="1">IFERROR(IF(0=LEN(ReferenceData!$F$46),"",ReferenceData!$F$46),"")</f>
        <v/>
      </c>
      <c r="G46" t="str">
        <f ca="1">IFERROR(IF(0=LEN(ReferenceData!$G$46),"",ReferenceData!$G$46),"")</f>
        <v/>
      </c>
      <c r="H46" t="str">
        <f ca="1">IFERROR(IF(0=LEN(ReferenceData!$H$46),"",ReferenceData!$H$46),"")</f>
        <v/>
      </c>
      <c r="I46" t="str">
        <f ca="1">IFERROR(IF(0=LEN(ReferenceData!$I$46),"",ReferenceData!$I$46),"")</f>
        <v/>
      </c>
      <c r="J46" t="str">
        <f ca="1">IFERROR(IF(0=LEN(ReferenceData!$J$46),"",ReferenceData!$J$46),"")</f>
        <v/>
      </c>
      <c r="K46" t="str">
        <f ca="1">IFERROR(IF(0=LEN(ReferenceData!$K$46),"",ReferenceData!$K$46),"")</f>
        <v/>
      </c>
      <c r="L46" t="str">
        <f ca="1">IFERROR(IF(0=LEN(ReferenceData!$L$46),"",ReferenceData!$L$46),"")</f>
        <v/>
      </c>
      <c r="M46" t="str">
        <f ca="1">IFERROR(IF(0=LEN(ReferenceData!$M$46),"",ReferenceData!$M$46),"")</f>
        <v/>
      </c>
      <c r="N46" t="str">
        <f ca="1">IFERROR(IF(0=LEN(ReferenceData!$N$46),"",ReferenceData!$N$46),"")</f>
        <v/>
      </c>
      <c r="O46" t="str">
        <f ca="1">IFERROR(IF(0=LEN(ReferenceData!$O$46),"",ReferenceData!$O$46),"")</f>
        <v/>
      </c>
      <c r="P46" t="str">
        <f ca="1">IFERROR(IF(0=LEN(ReferenceData!$P$46),"",ReferenceData!$P$46),"")</f>
        <v/>
      </c>
      <c r="Q46" t="str">
        <f ca="1">IFERROR(IF(0=LEN(ReferenceData!$Q$46),"",ReferenceData!$Q$46),"")</f>
        <v/>
      </c>
      <c r="R46" t="str">
        <f ca="1">IFERROR(IF(0=LEN(ReferenceData!$R$46),"",ReferenceData!$R$46),"")</f>
        <v/>
      </c>
      <c r="S46" t="str">
        <f ca="1">IFERROR(IF(0=LEN(ReferenceData!$S$46),"",ReferenceData!$S$46),"")</f>
        <v/>
      </c>
      <c r="T46" t="str">
        <f ca="1">IFERROR(IF(0=LEN(ReferenceData!$T$46),"",ReferenceData!$T$46),"")</f>
        <v/>
      </c>
      <c r="U46" t="str">
        <f ca="1">IFERROR(IF(0=LEN(ReferenceData!$U$46),"",ReferenceData!$U$46),"")</f>
        <v/>
      </c>
      <c r="V46" t="str">
        <f ca="1">IFERROR(IF(0=LEN(ReferenceData!$V$46),"",ReferenceData!$V$46),"")</f>
        <v/>
      </c>
      <c r="W46" t="str">
        <f ca="1">IFERROR(IF(0=LEN(ReferenceData!$W$46),"",ReferenceData!$W$46),"")</f>
        <v/>
      </c>
      <c r="X46" t="str">
        <f ca="1">IFERROR(IF(0=LEN(ReferenceData!$X$46),"",ReferenceData!$X$46),"")</f>
        <v/>
      </c>
      <c r="Y46" t="str">
        <f ca="1">IFERROR(IF(0=LEN(ReferenceData!$Y$46),"",ReferenceData!$Y$46),"")</f>
        <v/>
      </c>
      <c r="Z46" t="str">
        <f ca="1">IFERROR(IF(0=LEN(ReferenceData!$Z$46),"",ReferenceData!$Z$46),"")</f>
        <v/>
      </c>
      <c r="AA46" t="str">
        <f ca="1">IFERROR(IF(0=LEN(ReferenceData!$AA$46),"",ReferenceData!$AA$46),"")</f>
        <v/>
      </c>
      <c r="AB46" t="str">
        <f ca="1">IFERROR(IF(0=LEN(ReferenceData!$AB$46),"",ReferenceData!$AB$46),"")</f>
        <v/>
      </c>
      <c r="AC46" t="str">
        <f ca="1">IFERROR(IF(0=LEN(ReferenceData!$AC$46),"",ReferenceData!$AC$46),"")</f>
        <v/>
      </c>
      <c r="AD46" t="str">
        <f ca="1">IFERROR(IF(0=LEN(ReferenceData!$AD$46),"",ReferenceData!$AD$46),"")</f>
        <v/>
      </c>
      <c r="AE46" t="str">
        <f ca="1">IFERROR(IF(0=LEN(ReferenceData!$AE$46),"",ReferenceData!$AE$46),"")</f>
        <v/>
      </c>
      <c r="AF46" t="str">
        <f ca="1">IFERROR(IF(0=LEN(ReferenceData!$AF$46),"",ReferenceData!$AF$46),"")</f>
        <v/>
      </c>
      <c r="AG46" t="str">
        <f ca="1">IFERROR(IF(0=LEN(ReferenceData!$AG$46),"",ReferenceData!$AG$46),"")</f>
        <v/>
      </c>
      <c r="AH46" t="str">
        <f ca="1">IFERROR(IF(0=LEN(ReferenceData!$AH$46),"",ReferenceData!$AH$46),"")</f>
        <v/>
      </c>
      <c r="AI46" t="str">
        <f ca="1">IFERROR(IF(0=LEN(ReferenceData!$AI$46),"",ReferenceData!$AI$46),"")</f>
        <v/>
      </c>
      <c r="AJ46" t="str">
        <f ca="1">IFERROR(IF(0=LEN(ReferenceData!$AJ$46),"",ReferenceData!$AJ$46),"")</f>
        <v/>
      </c>
      <c r="AK46" t="str">
        <f ca="1">IFERROR(IF(0=LEN(ReferenceData!$AK$46),"",ReferenceData!$AK$46),"")</f>
        <v/>
      </c>
      <c r="AL46" t="str">
        <f ca="1">IFERROR(IF(0=LEN(ReferenceData!$AL$46),"",ReferenceData!$AL$46),"")</f>
        <v/>
      </c>
      <c r="AM46" t="str">
        <f ca="1">IFERROR(IF(0=LEN(ReferenceData!$AM$46),"",ReferenceData!$AM$46),"")</f>
        <v/>
      </c>
      <c r="AN46" t="str">
        <f ca="1">IFERROR(IF(0=LEN(ReferenceData!$AN$46),"",ReferenceData!$AN$46),"")</f>
        <v/>
      </c>
      <c r="AO46" t="str">
        <f ca="1">IFERROR(IF(0=LEN(ReferenceData!$AO$46),"",ReferenceData!$AO$46),"")</f>
        <v/>
      </c>
      <c r="AP46" t="str">
        <f ca="1">IFERROR(IF(0=LEN(ReferenceData!$AP$46),"",ReferenceData!$AP$46),"")</f>
        <v/>
      </c>
      <c r="AQ46" t="str">
        <f ca="1">IFERROR(IF(0=LEN(ReferenceData!$AQ$46),"",ReferenceData!$AQ$46),"")</f>
        <v/>
      </c>
      <c r="AR46" t="str">
        <f ca="1">IFERROR(IF(0=LEN(ReferenceData!$AR$46),"",ReferenceData!$AR$46),"")</f>
        <v/>
      </c>
      <c r="AS46" t="str">
        <f ca="1">IFERROR(IF(0=LEN(ReferenceData!$AS$46),"",ReferenceData!$AS$46),"")</f>
        <v/>
      </c>
      <c r="AT46" t="str">
        <f ca="1">IFERROR(IF(0=LEN(ReferenceData!$AT$46),"",ReferenceData!$AT$46),"")</f>
        <v/>
      </c>
      <c r="AU46" t="str">
        <f ca="1">IFERROR(IF(0=LEN(ReferenceData!$AU$46),"",ReferenceData!$AU$46),"")</f>
        <v/>
      </c>
      <c r="AV46" t="str">
        <f ca="1">IFERROR(IF(0=LEN(ReferenceData!$AV$46),"",ReferenceData!$AV$46),"")</f>
        <v/>
      </c>
      <c r="AW46" t="str">
        <f ca="1">IFERROR(IF(0=LEN(ReferenceData!$AW$46),"",ReferenceData!$AW$46),"")</f>
        <v/>
      </c>
      <c r="AX46" t="str">
        <f ca="1">IFERROR(IF(0=LEN(ReferenceData!$AX$46),"",ReferenceData!$AX$46),"")</f>
        <v/>
      </c>
      <c r="AY46" t="str">
        <f ca="1">IFERROR(IF(0=LEN(ReferenceData!$AY$46),"",ReferenceData!$AY$46),"")</f>
        <v/>
      </c>
      <c r="AZ46" t="str">
        <f ca="1">IFERROR(IF(0=LEN(ReferenceData!$AZ$46),"",ReferenceData!$AZ$46),"")</f>
        <v/>
      </c>
      <c r="BA46" t="str">
        <f ca="1">IFERROR(IF(0=LEN(ReferenceData!$BA$46),"",ReferenceData!$BA$46),"")</f>
        <v/>
      </c>
      <c r="BB46" t="str">
        <f ca="1">IFERROR(IF(0=LEN(ReferenceData!$BB$46),"",ReferenceData!$BB$46),"")</f>
        <v/>
      </c>
      <c r="BC46" t="str">
        <f ca="1">IFERROR(IF(0=LEN(ReferenceData!$BC$46),"",ReferenceData!$BC$46),"")</f>
        <v/>
      </c>
      <c r="BD46" t="str">
        <f ca="1">IFERROR(IF(0=LEN(ReferenceData!$BD$46),"",ReferenceData!$BD$46),"")</f>
        <v/>
      </c>
      <c r="BE46" t="str">
        <f ca="1">IFERROR(IF(0=LEN(ReferenceData!$BE$46),"",ReferenceData!$BE$46),"")</f>
        <v/>
      </c>
      <c r="BF46" t="str">
        <f ca="1">IFERROR(IF(0=LEN(ReferenceData!$BF$46),"",ReferenceData!$BF$46),"")</f>
        <v/>
      </c>
      <c r="BG46" t="str">
        <f ca="1">IFERROR(IF(0=LEN(ReferenceData!$BG$46),"",ReferenceData!$BG$46),"")</f>
        <v/>
      </c>
      <c r="BH46" t="str">
        <f ca="1">IFERROR(IF(0=LEN(ReferenceData!$BH$46),"",ReferenceData!$BH$46),"")</f>
        <v/>
      </c>
      <c r="BI46" t="str">
        <f ca="1">IFERROR(IF(0=LEN(ReferenceData!$BI$46),"",ReferenceData!$BI$46),"")</f>
        <v/>
      </c>
      <c r="BJ46" t="str">
        <f ca="1">IFERROR(IF(0=LEN(ReferenceData!$BJ$46),"",ReferenceData!$BJ$46),"")</f>
        <v/>
      </c>
      <c r="BK46" t="str">
        <f ca="1">IFERROR(IF(0=LEN(ReferenceData!$BK$46),"",ReferenceData!$BK$46),"")</f>
        <v/>
      </c>
      <c r="BL46" t="str">
        <f ca="1">IFERROR(IF(0=LEN(ReferenceData!$BL$46),"",ReferenceData!$BL$46),"")</f>
        <v/>
      </c>
      <c r="BM46" t="str">
        <f ca="1">IFERROR(IF(0=LEN(ReferenceData!$BM$46),"",ReferenceData!$BM$46),"")</f>
        <v/>
      </c>
    </row>
    <row r="47" spans="1:65" x14ac:dyDescent="0.25">
      <c r="A47" t="str">
        <f>IFERROR(IF(0=LEN(ReferenceData!$A$47),"",ReferenceData!$A$47),"")</f>
        <v xml:space="preserve">    Avtovaz PJSC</v>
      </c>
      <c r="B47" t="str">
        <f>IFERROR(IF(0=LEN(ReferenceData!$B$47),"",ReferenceData!$B$47),"")</f>
        <v>AVAZ RM Equity</v>
      </c>
      <c r="C47" t="str">
        <f>IFERROR(IF(0=LEN(ReferenceData!$C$47),"",ReferenceData!$C$47),"")</f>
        <v>EZ009</v>
      </c>
      <c r="D47" t="str">
        <f>IFERROR(IF(0=LEN(ReferenceData!$D$47),"",ReferenceData!$D$47),"")</f>
        <v>BEST_EST_PE_CUR_YR</v>
      </c>
      <c r="E47" t="str">
        <f>IFERROR(IF(0=LEN(ReferenceData!$E$47),"",ReferenceData!$E$47),"")</f>
        <v>Dynamic</v>
      </c>
      <c r="F47" t="str">
        <f ca="1">IFERROR(IF(0=LEN(ReferenceData!$F$47),"",ReferenceData!$F$47),"")</f>
        <v/>
      </c>
      <c r="G47" t="str">
        <f ca="1">IFERROR(IF(0=LEN(ReferenceData!$G$47),"",ReferenceData!$G$47),"")</f>
        <v/>
      </c>
      <c r="H47" t="str">
        <f ca="1">IFERROR(IF(0=LEN(ReferenceData!$H$47),"",ReferenceData!$H$47),"")</f>
        <v/>
      </c>
      <c r="I47" t="str">
        <f ca="1">IFERROR(IF(0=LEN(ReferenceData!$I$47),"",ReferenceData!$I$47),"")</f>
        <v/>
      </c>
      <c r="J47" t="str">
        <f ca="1">IFERROR(IF(0=LEN(ReferenceData!$J$47),"",ReferenceData!$J$47),"")</f>
        <v/>
      </c>
      <c r="K47" t="str">
        <f ca="1">IFERROR(IF(0=LEN(ReferenceData!$K$47),"",ReferenceData!$K$47),"")</f>
        <v/>
      </c>
      <c r="L47" t="str">
        <f ca="1">IFERROR(IF(0=LEN(ReferenceData!$L$47),"",ReferenceData!$L$47),"")</f>
        <v/>
      </c>
      <c r="M47" t="str">
        <f ca="1">IFERROR(IF(0=LEN(ReferenceData!$M$47),"",ReferenceData!$M$47),"")</f>
        <v/>
      </c>
      <c r="N47" t="str">
        <f ca="1">IFERROR(IF(0=LEN(ReferenceData!$N$47),"",ReferenceData!$N$47),"")</f>
        <v/>
      </c>
      <c r="O47" t="str">
        <f ca="1">IFERROR(IF(0=LEN(ReferenceData!$O$47),"",ReferenceData!$O$47),"")</f>
        <v/>
      </c>
      <c r="P47" t="str">
        <f ca="1">IFERROR(IF(0=LEN(ReferenceData!$P$47),"",ReferenceData!$P$47),"")</f>
        <v/>
      </c>
      <c r="Q47">
        <f ca="1">IFERROR(IF(0=LEN(ReferenceData!$Q$47),"",ReferenceData!$Q$47),"")</f>
        <v>1.370436081</v>
      </c>
      <c r="R47">
        <f ca="1">IFERROR(IF(0=LEN(ReferenceData!$R$47),"",ReferenceData!$R$47),"")</f>
        <v>1.4144409090000001</v>
      </c>
      <c r="S47">
        <f ca="1">IFERROR(IF(0=LEN(ReferenceData!$S$47),"",ReferenceData!$S$47),"")</f>
        <v>1.4788765509999999</v>
      </c>
      <c r="T47">
        <f ca="1">IFERROR(IF(0=LEN(ReferenceData!$T$47),"",ReferenceData!$T$47),"")</f>
        <v>1.3064107149999999</v>
      </c>
      <c r="U47">
        <f ca="1">IFERROR(IF(0=LEN(ReferenceData!$U$47),"",ReferenceData!$U$47),"")</f>
        <v>1.330381553</v>
      </c>
      <c r="V47">
        <f ca="1">IFERROR(IF(0=LEN(ReferenceData!$V$47),"",ReferenceData!$V$47),"")</f>
        <v>1.5660948020000001</v>
      </c>
      <c r="W47">
        <f ca="1">IFERROR(IF(0=LEN(ReferenceData!$W$47),"",ReferenceData!$W$47),"")</f>
        <v>1.3340689400000001</v>
      </c>
      <c r="X47">
        <f ca="1">IFERROR(IF(0=LEN(ReferenceData!$X$47),"",ReferenceData!$X$47),"")</f>
        <v>1.6795537970000001</v>
      </c>
      <c r="Y47">
        <f ca="1">IFERROR(IF(0=LEN(ReferenceData!$Y$47),"",ReferenceData!$Y$47),"")</f>
        <v>1.5557245989999999</v>
      </c>
      <c r="Z47">
        <f ca="1">IFERROR(IF(0=LEN(ReferenceData!$Z$47),"",ReferenceData!$Z$47),"")</f>
        <v>1.600113203</v>
      </c>
      <c r="AA47" t="str">
        <f ca="1">IFERROR(IF(0=LEN(ReferenceData!$AA$47),"",ReferenceData!$AA$47),"")</f>
        <v/>
      </c>
      <c r="AB47" t="str">
        <f ca="1">IFERROR(IF(0=LEN(ReferenceData!$AB$47),"",ReferenceData!$AB$47),"")</f>
        <v/>
      </c>
      <c r="AC47" t="str">
        <f ca="1">IFERROR(IF(0=LEN(ReferenceData!$AC$47),"",ReferenceData!$AC$47),"")</f>
        <v/>
      </c>
      <c r="AD47" t="str">
        <f ca="1">IFERROR(IF(0=LEN(ReferenceData!$AD$47),"",ReferenceData!$AD$47),"")</f>
        <v/>
      </c>
      <c r="AE47" t="str">
        <f ca="1">IFERROR(IF(0=LEN(ReferenceData!$AE$47),"",ReferenceData!$AE$47),"")</f>
        <v/>
      </c>
      <c r="AF47" t="str">
        <f ca="1">IFERROR(IF(0=LEN(ReferenceData!$AF$47),"",ReferenceData!$AF$47),"")</f>
        <v/>
      </c>
      <c r="AG47" t="str">
        <f ca="1">IFERROR(IF(0=LEN(ReferenceData!$AG$47),"",ReferenceData!$AG$47),"")</f>
        <v/>
      </c>
      <c r="AH47" t="str">
        <f ca="1">IFERROR(IF(0=LEN(ReferenceData!$AH$47),"",ReferenceData!$AH$47),"")</f>
        <v/>
      </c>
      <c r="AI47" t="str">
        <f ca="1">IFERROR(IF(0=LEN(ReferenceData!$AI$47),"",ReferenceData!$AI$47),"")</f>
        <v/>
      </c>
      <c r="AJ47" t="str">
        <f ca="1">IFERROR(IF(0=LEN(ReferenceData!$AJ$47),"",ReferenceData!$AJ$47),"")</f>
        <v/>
      </c>
      <c r="AK47" t="str">
        <f ca="1">IFERROR(IF(0=LEN(ReferenceData!$AK$47),"",ReferenceData!$AK$47),"")</f>
        <v/>
      </c>
      <c r="AL47" t="str">
        <f ca="1">IFERROR(IF(0=LEN(ReferenceData!$AL$47),"",ReferenceData!$AL$47),"")</f>
        <v/>
      </c>
      <c r="AM47" t="str">
        <f ca="1">IFERROR(IF(0=LEN(ReferenceData!$AM$47),"",ReferenceData!$AM$47),"")</f>
        <v/>
      </c>
      <c r="AN47" t="str">
        <f ca="1">IFERROR(IF(0=LEN(ReferenceData!$AN$47),"",ReferenceData!$AN$47),"")</f>
        <v/>
      </c>
      <c r="AO47" t="str">
        <f ca="1">IFERROR(IF(0=LEN(ReferenceData!$AO$47),"",ReferenceData!$AO$47),"")</f>
        <v/>
      </c>
      <c r="AP47" t="str">
        <f ca="1">IFERROR(IF(0=LEN(ReferenceData!$AP$47),"",ReferenceData!$AP$47),"")</f>
        <v/>
      </c>
      <c r="AQ47" t="str">
        <f ca="1">IFERROR(IF(0=LEN(ReferenceData!$AQ$47),"",ReferenceData!$AQ$47),"")</f>
        <v/>
      </c>
      <c r="AR47" t="str">
        <f ca="1">IFERROR(IF(0=LEN(ReferenceData!$AR$47),"",ReferenceData!$AR$47),"")</f>
        <v/>
      </c>
      <c r="AS47" t="str">
        <f ca="1">IFERROR(IF(0=LEN(ReferenceData!$AS$47),"",ReferenceData!$AS$47),"")</f>
        <v/>
      </c>
      <c r="AT47" t="str">
        <f ca="1">IFERROR(IF(0=LEN(ReferenceData!$AT$47),"",ReferenceData!$AT$47),"")</f>
        <v/>
      </c>
      <c r="AU47" t="str">
        <f ca="1">IFERROR(IF(0=LEN(ReferenceData!$AU$47),"",ReferenceData!$AU$47),"")</f>
        <v/>
      </c>
      <c r="AV47" t="str">
        <f ca="1">IFERROR(IF(0=LEN(ReferenceData!$AV$47),"",ReferenceData!$AV$47),"")</f>
        <v/>
      </c>
      <c r="AW47" t="str">
        <f ca="1">IFERROR(IF(0=LEN(ReferenceData!$AW$47),"",ReferenceData!$AW$47),"")</f>
        <v/>
      </c>
      <c r="AX47" t="str">
        <f ca="1">IFERROR(IF(0=LEN(ReferenceData!$AX$47),"",ReferenceData!$AX$47),"")</f>
        <v/>
      </c>
      <c r="AY47" t="str">
        <f ca="1">IFERROR(IF(0=LEN(ReferenceData!$AY$47),"",ReferenceData!$AY$47),"")</f>
        <v/>
      </c>
      <c r="AZ47" t="str">
        <f ca="1">IFERROR(IF(0=LEN(ReferenceData!$AZ$47),"",ReferenceData!$AZ$47),"")</f>
        <v/>
      </c>
      <c r="BA47" t="str">
        <f ca="1">IFERROR(IF(0=LEN(ReferenceData!$BA$47),"",ReferenceData!$BA$47),"")</f>
        <v/>
      </c>
      <c r="BB47" t="str">
        <f ca="1">IFERROR(IF(0=LEN(ReferenceData!$BB$47),"",ReferenceData!$BB$47),"")</f>
        <v/>
      </c>
      <c r="BC47" t="str">
        <f ca="1">IFERROR(IF(0=LEN(ReferenceData!$BC$47),"",ReferenceData!$BC$47),"")</f>
        <v/>
      </c>
      <c r="BD47" t="str">
        <f ca="1">IFERROR(IF(0=LEN(ReferenceData!$BD$47),"",ReferenceData!$BD$47),"")</f>
        <v/>
      </c>
      <c r="BE47" t="str">
        <f ca="1">IFERROR(IF(0=LEN(ReferenceData!$BE$47),"",ReferenceData!$BE$47),"")</f>
        <v/>
      </c>
      <c r="BF47" t="str">
        <f ca="1">IFERROR(IF(0=LEN(ReferenceData!$BF$47),"",ReferenceData!$BF$47),"")</f>
        <v/>
      </c>
      <c r="BG47" t="str">
        <f ca="1">IFERROR(IF(0=LEN(ReferenceData!$BG$47),"",ReferenceData!$BG$47),"")</f>
        <v/>
      </c>
      <c r="BH47" t="str">
        <f ca="1">IFERROR(IF(0=LEN(ReferenceData!$BH$47),"",ReferenceData!$BH$47),"")</f>
        <v/>
      </c>
      <c r="BI47" t="str">
        <f ca="1">IFERROR(IF(0=LEN(ReferenceData!$BI$47),"",ReferenceData!$BI$47),"")</f>
        <v/>
      </c>
      <c r="BJ47" t="str">
        <f ca="1">IFERROR(IF(0=LEN(ReferenceData!$BJ$47),"",ReferenceData!$BJ$47),"")</f>
        <v/>
      </c>
      <c r="BK47" t="str">
        <f ca="1">IFERROR(IF(0=LEN(ReferenceData!$BK$47),"",ReferenceData!$BK$47),"")</f>
        <v/>
      </c>
      <c r="BL47" t="str">
        <f ca="1">IFERROR(IF(0=LEN(ReferenceData!$BL$47),"",ReferenceData!$BL$47),"")</f>
        <v/>
      </c>
      <c r="BM47" t="str">
        <f ca="1">IFERROR(IF(0=LEN(ReferenceData!$BM$47),"",ReferenceData!$BM$47),"")</f>
        <v/>
      </c>
    </row>
    <row r="48" spans="1:65" x14ac:dyDescent="0.25">
      <c r="A48" t="str">
        <f>IFERROR(IF(0=LEN(ReferenceData!$A$48),"",ReferenceData!$A$48),"")</f>
        <v xml:space="preserve">    Bayerische Motoren Werke AG</v>
      </c>
      <c r="B48" t="str">
        <f>IFERROR(IF(0=LEN(ReferenceData!$B$48),"",ReferenceData!$B$48),"")</f>
        <v>BMW GR Equity</v>
      </c>
      <c r="C48" t="str">
        <f>IFERROR(IF(0=LEN(ReferenceData!$C$48),"",ReferenceData!$C$48),"")</f>
        <v>EZ009</v>
      </c>
      <c r="D48" t="str">
        <f>IFERROR(IF(0=LEN(ReferenceData!$D$48),"",ReferenceData!$D$48),"")</f>
        <v>BEST_EST_PE_CUR_YR</v>
      </c>
      <c r="E48" t="str">
        <f>IFERROR(IF(0=LEN(ReferenceData!$E$48),"",ReferenceData!$E$48),"")</f>
        <v>Dynamic</v>
      </c>
      <c r="F48">
        <f ca="1">IFERROR(IF(0=LEN(ReferenceData!$F$48),"",ReferenceData!$F$48),"")</f>
        <v>7.0345807669999996</v>
      </c>
      <c r="G48">
        <f ca="1">IFERROR(IF(0=LEN(ReferenceData!$G$48),"",ReferenceData!$G$48),"")</f>
        <v>6.7629615459999997</v>
      </c>
      <c r="H48">
        <f ca="1">IFERROR(IF(0=LEN(ReferenceData!$H$48),"",ReferenceData!$H$48),"")</f>
        <v>7.4155583199999997</v>
      </c>
      <c r="I48">
        <f ca="1">IFERROR(IF(0=LEN(ReferenceData!$I$48),"",ReferenceData!$I$48),"")</f>
        <v>6.8539127359999998</v>
      </c>
      <c r="J48">
        <f ca="1">IFERROR(IF(0=LEN(ReferenceData!$J$48),"",ReferenceData!$J$48),"")</f>
        <v>7.9016657710000002</v>
      </c>
      <c r="K48">
        <f ca="1">IFERROR(IF(0=LEN(ReferenceData!$K$48),"",ReferenceData!$K$48),"")</f>
        <v>7.9116173119999997</v>
      </c>
      <c r="L48">
        <f ca="1">IFERROR(IF(0=LEN(ReferenceData!$L$48),"",ReferenceData!$L$48),"")</f>
        <v>7.8371943960000001</v>
      </c>
      <c r="M48">
        <f ca="1">IFERROR(IF(0=LEN(ReferenceData!$M$48),"",ReferenceData!$M$48),"")</f>
        <v>7.6357336829999998</v>
      </c>
      <c r="N48">
        <f ca="1">IFERROR(IF(0=LEN(ReferenceData!$N$48),"",ReferenceData!$N$48),"")</f>
        <v>8.2160837820000001</v>
      </c>
      <c r="O48">
        <f ca="1">IFERROR(IF(0=LEN(ReferenceData!$O$48),"",ReferenceData!$O$48),"")</f>
        <v>8.6341083760000004</v>
      </c>
      <c r="P48">
        <f ca="1">IFERROR(IF(0=LEN(ReferenceData!$P$48),"",ReferenceData!$P$48),"")</f>
        <v>7.7030090680000001</v>
      </c>
      <c r="Q48">
        <f ca="1">IFERROR(IF(0=LEN(ReferenceData!$Q$48),"",ReferenceData!$Q$48),"")</f>
        <v>6.6983789260000002</v>
      </c>
      <c r="R48">
        <f ca="1">IFERROR(IF(0=LEN(ReferenceData!$R$48),"",ReferenceData!$R$48),"")</f>
        <v>8.0064477729999997</v>
      </c>
      <c r="S48">
        <f ca="1">IFERROR(IF(0=LEN(ReferenceData!$S$48),"",ReferenceData!$S$48),"")</f>
        <v>9.6586861890000009</v>
      </c>
      <c r="T48">
        <f ca="1">IFERROR(IF(0=LEN(ReferenceData!$T$48),"",ReferenceData!$T$48),"")</f>
        <v>7.8971028969999999</v>
      </c>
      <c r="U48">
        <f ca="1">IFERROR(IF(0=LEN(ReferenceData!$U$48),"",ReferenceData!$U$48),"")</f>
        <v>8.8566034340000002</v>
      </c>
      <c r="V48">
        <f ca="1">IFERROR(IF(0=LEN(ReferenceData!$V$48),"",ReferenceData!$V$48),"")</f>
        <v>10.53989071</v>
      </c>
      <c r="W48">
        <f ca="1">IFERROR(IF(0=LEN(ReferenceData!$W$48),"",ReferenceData!$W$48),"")</f>
        <v>8.6151631480000006</v>
      </c>
      <c r="X48">
        <f ca="1">IFERROR(IF(0=LEN(ReferenceData!$X$48),"",ReferenceData!$X$48),"")</f>
        <v>8.0716227620000005</v>
      </c>
      <c r="Y48">
        <f ca="1">IFERROR(IF(0=LEN(ReferenceData!$Y$48),"",ReferenceData!$Y$48),"")</f>
        <v>8.7115004240000005</v>
      </c>
      <c r="Z48">
        <f ca="1">IFERROR(IF(0=LEN(ReferenceData!$Z$48),"",ReferenceData!$Z$48),"")</f>
        <v>7.9764603310000002</v>
      </c>
      <c r="AA48">
        <f ca="1">IFERROR(IF(0=LEN(ReferenceData!$AA$48),"",ReferenceData!$AA$48),"")</f>
        <v>8.3141463410000007</v>
      </c>
      <c r="AB48" t="str">
        <f ca="1">IFERROR(IF(0=LEN(ReferenceData!$AB$48),"",ReferenceData!$AB$48),"")</f>
        <v/>
      </c>
      <c r="AC48" t="str">
        <f ca="1">IFERROR(IF(0=LEN(ReferenceData!$AC$48),"",ReferenceData!$AC$48),"")</f>
        <v/>
      </c>
      <c r="AD48" t="str">
        <f ca="1">IFERROR(IF(0=LEN(ReferenceData!$AD$48),"",ReferenceData!$AD$48),"")</f>
        <v/>
      </c>
      <c r="AE48" t="str">
        <f ca="1">IFERROR(IF(0=LEN(ReferenceData!$AE$48),"",ReferenceData!$AE$48),"")</f>
        <v/>
      </c>
      <c r="AF48" t="str">
        <f ca="1">IFERROR(IF(0=LEN(ReferenceData!$AF$48),"",ReferenceData!$AF$48),"")</f>
        <v/>
      </c>
      <c r="AG48" t="str">
        <f ca="1">IFERROR(IF(0=LEN(ReferenceData!$AG$48),"",ReferenceData!$AG$48),"")</f>
        <v/>
      </c>
      <c r="AH48" t="str">
        <f ca="1">IFERROR(IF(0=LEN(ReferenceData!$AH$48),"",ReferenceData!$AH$48),"")</f>
        <v/>
      </c>
      <c r="AI48" t="str">
        <f ca="1">IFERROR(IF(0=LEN(ReferenceData!$AI$48),"",ReferenceData!$AI$48),"")</f>
        <v/>
      </c>
      <c r="AJ48" t="str">
        <f ca="1">IFERROR(IF(0=LEN(ReferenceData!$AJ$48),"",ReferenceData!$AJ$48),"")</f>
        <v/>
      </c>
      <c r="AK48" t="str">
        <f ca="1">IFERROR(IF(0=LEN(ReferenceData!$AK$48),"",ReferenceData!$AK$48),"")</f>
        <v/>
      </c>
      <c r="AL48" t="str">
        <f ca="1">IFERROR(IF(0=LEN(ReferenceData!$AL$48),"",ReferenceData!$AL$48),"")</f>
        <v/>
      </c>
      <c r="AM48" t="str">
        <f ca="1">IFERROR(IF(0=LEN(ReferenceData!$AM$48),"",ReferenceData!$AM$48),"")</f>
        <v/>
      </c>
      <c r="AN48" t="str">
        <f ca="1">IFERROR(IF(0=LEN(ReferenceData!$AN$48),"",ReferenceData!$AN$48),"")</f>
        <v/>
      </c>
      <c r="AO48" t="str">
        <f ca="1">IFERROR(IF(0=LEN(ReferenceData!$AO$48),"",ReferenceData!$AO$48),"")</f>
        <v/>
      </c>
      <c r="AP48" t="str">
        <f ca="1">IFERROR(IF(0=LEN(ReferenceData!$AP$48),"",ReferenceData!$AP$48),"")</f>
        <v/>
      </c>
      <c r="AQ48" t="str">
        <f ca="1">IFERROR(IF(0=LEN(ReferenceData!$AQ$48),"",ReferenceData!$AQ$48),"")</f>
        <v/>
      </c>
      <c r="AR48" t="str">
        <f ca="1">IFERROR(IF(0=LEN(ReferenceData!$AR$48),"",ReferenceData!$AR$48),"")</f>
        <v/>
      </c>
      <c r="AS48" t="str">
        <f ca="1">IFERROR(IF(0=LEN(ReferenceData!$AS$48),"",ReferenceData!$AS$48),"")</f>
        <v/>
      </c>
      <c r="AT48" t="str">
        <f ca="1">IFERROR(IF(0=LEN(ReferenceData!$AT$48),"",ReferenceData!$AT$48),"")</f>
        <v/>
      </c>
      <c r="AU48" t="str">
        <f ca="1">IFERROR(IF(0=LEN(ReferenceData!$AU$48),"",ReferenceData!$AU$48),"")</f>
        <v/>
      </c>
      <c r="AV48" t="str">
        <f ca="1">IFERROR(IF(0=LEN(ReferenceData!$AV$48),"",ReferenceData!$AV$48),"")</f>
        <v/>
      </c>
      <c r="AW48" t="str">
        <f ca="1">IFERROR(IF(0=LEN(ReferenceData!$AW$48),"",ReferenceData!$AW$48),"")</f>
        <v/>
      </c>
      <c r="AX48" t="str">
        <f ca="1">IFERROR(IF(0=LEN(ReferenceData!$AX$48),"",ReferenceData!$AX$48),"")</f>
        <v/>
      </c>
      <c r="AY48" t="str">
        <f ca="1">IFERROR(IF(0=LEN(ReferenceData!$AY$48),"",ReferenceData!$AY$48),"")</f>
        <v/>
      </c>
      <c r="AZ48" t="str">
        <f ca="1">IFERROR(IF(0=LEN(ReferenceData!$AZ$48),"",ReferenceData!$AZ$48),"")</f>
        <v/>
      </c>
      <c r="BA48" t="str">
        <f ca="1">IFERROR(IF(0=LEN(ReferenceData!$BA$48),"",ReferenceData!$BA$48),"")</f>
        <v/>
      </c>
      <c r="BB48" t="str">
        <f ca="1">IFERROR(IF(0=LEN(ReferenceData!$BB$48),"",ReferenceData!$BB$48),"")</f>
        <v/>
      </c>
      <c r="BC48" t="str">
        <f ca="1">IFERROR(IF(0=LEN(ReferenceData!$BC$48),"",ReferenceData!$BC$48),"")</f>
        <v/>
      </c>
      <c r="BD48" t="str">
        <f ca="1">IFERROR(IF(0=LEN(ReferenceData!$BD$48),"",ReferenceData!$BD$48),"")</f>
        <v/>
      </c>
      <c r="BE48" t="str">
        <f ca="1">IFERROR(IF(0=LEN(ReferenceData!$BE$48),"",ReferenceData!$BE$48),"")</f>
        <v/>
      </c>
      <c r="BF48" t="str">
        <f ca="1">IFERROR(IF(0=LEN(ReferenceData!$BF$48),"",ReferenceData!$BF$48),"")</f>
        <v/>
      </c>
      <c r="BG48" t="str">
        <f ca="1">IFERROR(IF(0=LEN(ReferenceData!$BG$48),"",ReferenceData!$BG$48),"")</f>
        <v/>
      </c>
      <c r="BH48" t="str">
        <f ca="1">IFERROR(IF(0=LEN(ReferenceData!$BH$48),"",ReferenceData!$BH$48),"")</f>
        <v/>
      </c>
      <c r="BI48" t="str">
        <f ca="1">IFERROR(IF(0=LEN(ReferenceData!$BI$48),"",ReferenceData!$BI$48),"")</f>
        <v/>
      </c>
      <c r="BJ48" t="str">
        <f ca="1">IFERROR(IF(0=LEN(ReferenceData!$BJ$48),"",ReferenceData!$BJ$48),"")</f>
        <v/>
      </c>
      <c r="BK48" t="str">
        <f ca="1">IFERROR(IF(0=LEN(ReferenceData!$BK$48),"",ReferenceData!$BK$48),"")</f>
        <v/>
      </c>
      <c r="BL48" t="str">
        <f ca="1">IFERROR(IF(0=LEN(ReferenceData!$BL$48),"",ReferenceData!$BL$48),"")</f>
        <v/>
      </c>
      <c r="BM48" t="str">
        <f ca="1">IFERROR(IF(0=LEN(ReferenceData!$BM$48),"",ReferenceData!$BM$48),"")</f>
        <v/>
      </c>
    </row>
    <row r="49" spans="1:65" x14ac:dyDescent="0.25">
      <c r="A49" t="str">
        <f>IFERROR(IF(0=LEN(ReferenceData!$A$49),"",ReferenceData!$A$49),"")</f>
        <v xml:space="preserve">    Brilliance China Automotive Holdings Ltd</v>
      </c>
      <c r="B49" t="str">
        <f>IFERROR(IF(0=LEN(ReferenceData!$B$49),"",ReferenceData!$B$49),"")</f>
        <v>1114 HK Equity</v>
      </c>
      <c r="C49" t="str">
        <f>IFERROR(IF(0=LEN(ReferenceData!$C$49),"",ReferenceData!$C$49),"")</f>
        <v>EZ009</v>
      </c>
      <c r="D49" t="str">
        <f>IFERROR(IF(0=LEN(ReferenceData!$D$49),"",ReferenceData!$D$49),"")</f>
        <v>BEST_EST_PE_CUR_YR</v>
      </c>
      <c r="E49" t="str">
        <f>IFERROR(IF(0=LEN(ReferenceData!$E$49),"",ReferenceData!$E$49),"")</f>
        <v>Dynamic</v>
      </c>
      <c r="F49">
        <f ca="1">IFERROR(IF(0=LEN(ReferenceData!$F$49),"",ReferenceData!$F$49),"")</f>
        <v>5.1755601540000002</v>
      </c>
      <c r="G49">
        <f ca="1">IFERROR(IF(0=LEN(ReferenceData!$G$49),"",ReferenceData!$G$49),"")</f>
        <v>4.0063388050000004</v>
      </c>
      <c r="H49">
        <f ca="1">IFERROR(IF(0=LEN(ReferenceData!$H$49),"",ReferenceData!$H$49),"")</f>
        <v>8.2134128279999992</v>
      </c>
      <c r="I49">
        <f ca="1">IFERROR(IF(0=LEN(ReferenceData!$I$49),"",ReferenceData!$I$49),"")</f>
        <v>8.8549044259999992</v>
      </c>
      <c r="J49">
        <f ca="1">IFERROR(IF(0=LEN(ReferenceData!$J$49),"",ReferenceData!$J$49),"")</f>
        <v>9.3037832159999994</v>
      </c>
      <c r="K49">
        <f ca="1">IFERROR(IF(0=LEN(ReferenceData!$K$49),"",ReferenceData!$K$49),"")</f>
        <v>11.332792619999999</v>
      </c>
      <c r="L49">
        <f ca="1">IFERROR(IF(0=LEN(ReferenceData!$L$49),"",ReferenceData!$L$49),"")</f>
        <v>11.47164978</v>
      </c>
      <c r="M49">
        <f ca="1">IFERROR(IF(0=LEN(ReferenceData!$M$49),"",ReferenceData!$M$49),"")</f>
        <v>9.8112027449999992</v>
      </c>
      <c r="N49">
        <f ca="1">IFERROR(IF(0=LEN(ReferenceData!$N$49),"",ReferenceData!$N$49),"")</f>
        <v>9.4223612459999995</v>
      </c>
      <c r="O49">
        <f ca="1">IFERROR(IF(0=LEN(ReferenceData!$O$49),"",ReferenceData!$O$49),"")</f>
        <v>9.2174968340000003</v>
      </c>
      <c r="P49">
        <f ca="1">IFERROR(IF(0=LEN(ReferenceData!$P$49),"",ReferenceData!$P$49),"")</f>
        <v>7.2956642499999997</v>
      </c>
      <c r="Q49">
        <f ca="1">IFERROR(IF(0=LEN(ReferenceData!$Q$49),"",ReferenceData!$Q$49),"")</f>
        <v>6.6537433989999997</v>
      </c>
      <c r="R49">
        <f ca="1">IFERROR(IF(0=LEN(ReferenceData!$R$49),"",ReferenceData!$R$49),"")</f>
        <v>6.0457661089999997</v>
      </c>
      <c r="S49">
        <f ca="1">IFERROR(IF(0=LEN(ReferenceData!$S$49),"",ReferenceData!$S$49),"")</f>
        <v>5.4775759979999998</v>
      </c>
      <c r="T49">
        <f ca="1">IFERROR(IF(0=LEN(ReferenceData!$T$49),"",ReferenceData!$T$49),"")</f>
        <v>4.9763819439999999</v>
      </c>
      <c r="U49">
        <f ca="1">IFERROR(IF(0=LEN(ReferenceData!$U$49),"",ReferenceData!$U$49),"")</f>
        <v>4.9616211530000003</v>
      </c>
      <c r="V49">
        <f ca="1">IFERROR(IF(0=LEN(ReferenceData!$V$49),"",ReferenceData!$V$49),"")</f>
        <v>5.6637060869999996</v>
      </c>
      <c r="W49">
        <f ca="1">IFERROR(IF(0=LEN(ReferenceData!$W$49),"",ReferenceData!$W$49),"")</f>
        <v>4.7051309789999998</v>
      </c>
      <c r="X49" t="str">
        <f ca="1">IFERROR(IF(0=LEN(ReferenceData!$X$49),"",ReferenceData!$X$49),"")</f>
        <v/>
      </c>
      <c r="Y49" t="str">
        <f ca="1">IFERROR(IF(0=LEN(ReferenceData!$Y$49),"",ReferenceData!$Y$49),"")</f>
        <v/>
      </c>
      <c r="Z49" t="str">
        <f ca="1">IFERROR(IF(0=LEN(ReferenceData!$Z$49),"",ReferenceData!$Z$49),"")</f>
        <v/>
      </c>
      <c r="AA49" t="str">
        <f ca="1">IFERROR(IF(0=LEN(ReferenceData!$AA$49),"",ReferenceData!$AA$49),"")</f>
        <v/>
      </c>
      <c r="AB49" t="str">
        <f ca="1">IFERROR(IF(0=LEN(ReferenceData!$AB$49),"",ReferenceData!$AB$49),"")</f>
        <v/>
      </c>
      <c r="AC49" t="str">
        <f ca="1">IFERROR(IF(0=LEN(ReferenceData!$AC$49),"",ReferenceData!$AC$49),"")</f>
        <v/>
      </c>
      <c r="AD49" t="str">
        <f ca="1">IFERROR(IF(0=LEN(ReferenceData!$AD$49),"",ReferenceData!$AD$49),"")</f>
        <v/>
      </c>
      <c r="AE49" t="str">
        <f ca="1">IFERROR(IF(0=LEN(ReferenceData!$AE$49),"",ReferenceData!$AE$49),"")</f>
        <v/>
      </c>
      <c r="AF49" t="str">
        <f ca="1">IFERROR(IF(0=LEN(ReferenceData!$AF$49),"",ReferenceData!$AF$49),"")</f>
        <v/>
      </c>
      <c r="AG49" t="str">
        <f ca="1">IFERROR(IF(0=LEN(ReferenceData!$AG$49),"",ReferenceData!$AG$49),"")</f>
        <v/>
      </c>
      <c r="AH49" t="str">
        <f ca="1">IFERROR(IF(0=LEN(ReferenceData!$AH$49),"",ReferenceData!$AH$49),"")</f>
        <v/>
      </c>
      <c r="AI49" t="str">
        <f ca="1">IFERROR(IF(0=LEN(ReferenceData!$AI$49),"",ReferenceData!$AI$49),"")</f>
        <v/>
      </c>
      <c r="AJ49" t="str">
        <f ca="1">IFERROR(IF(0=LEN(ReferenceData!$AJ$49),"",ReferenceData!$AJ$49),"")</f>
        <v/>
      </c>
      <c r="AK49" t="str">
        <f ca="1">IFERROR(IF(0=LEN(ReferenceData!$AK$49),"",ReferenceData!$AK$49),"")</f>
        <v/>
      </c>
      <c r="AL49" t="str">
        <f ca="1">IFERROR(IF(0=LEN(ReferenceData!$AL$49),"",ReferenceData!$AL$49),"")</f>
        <v/>
      </c>
      <c r="AM49" t="str">
        <f ca="1">IFERROR(IF(0=LEN(ReferenceData!$AM$49),"",ReferenceData!$AM$49),"")</f>
        <v/>
      </c>
      <c r="AN49" t="str">
        <f ca="1">IFERROR(IF(0=LEN(ReferenceData!$AN$49),"",ReferenceData!$AN$49),"")</f>
        <v/>
      </c>
      <c r="AO49" t="str">
        <f ca="1">IFERROR(IF(0=LEN(ReferenceData!$AO$49),"",ReferenceData!$AO$49),"")</f>
        <v/>
      </c>
      <c r="AP49" t="str">
        <f ca="1">IFERROR(IF(0=LEN(ReferenceData!$AP$49),"",ReferenceData!$AP$49),"")</f>
        <v/>
      </c>
      <c r="AQ49" t="str">
        <f ca="1">IFERROR(IF(0=LEN(ReferenceData!$AQ$49),"",ReferenceData!$AQ$49),"")</f>
        <v/>
      </c>
      <c r="AR49" t="str">
        <f ca="1">IFERROR(IF(0=LEN(ReferenceData!$AR$49),"",ReferenceData!$AR$49),"")</f>
        <v/>
      </c>
      <c r="AS49" t="str">
        <f ca="1">IFERROR(IF(0=LEN(ReferenceData!$AS$49),"",ReferenceData!$AS$49),"")</f>
        <v/>
      </c>
      <c r="AT49" t="str">
        <f ca="1">IFERROR(IF(0=LEN(ReferenceData!$AT$49),"",ReferenceData!$AT$49),"")</f>
        <v/>
      </c>
      <c r="AU49" t="str">
        <f ca="1">IFERROR(IF(0=LEN(ReferenceData!$AU$49),"",ReferenceData!$AU$49),"")</f>
        <v/>
      </c>
      <c r="AV49" t="str">
        <f ca="1">IFERROR(IF(0=LEN(ReferenceData!$AV$49),"",ReferenceData!$AV$49),"")</f>
        <v/>
      </c>
      <c r="AW49" t="str">
        <f ca="1">IFERROR(IF(0=LEN(ReferenceData!$AW$49),"",ReferenceData!$AW$49),"")</f>
        <v/>
      </c>
      <c r="AX49" t="str">
        <f ca="1">IFERROR(IF(0=LEN(ReferenceData!$AX$49),"",ReferenceData!$AX$49),"")</f>
        <v/>
      </c>
      <c r="AY49" t="str">
        <f ca="1">IFERROR(IF(0=LEN(ReferenceData!$AY$49),"",ReferenceData!$AY$49),"")</f>
        <v/>
      </c>
      <c r="AZ49" t="str">
        <f ca="1">IFERROR(IF(0=LEN(ReferenceData!$AZ$49),"",ReferenceData!$AZ$49),"")</f>
        <v/>
      </c>
      <c r="BA49" t="str">
        <f ca="1">IFERROR(IF(0=LEN(ReferenceData!$BA$49),"",ReferenceData!$BA$49),"")</f>
        <v/>
      </c>
      <c r="BB49" t="str">
        <f ca="1">IFERROR(IF(0=LEN(ReferenceData!$BB$49),"",ReferenceData!$BB$49),"")</f>
        <v/>
      </c>
      <c r="BC49" t="str">
        <f ca="1">IFERROR(IF(0=LEN(ReferenceData!$BC$49),"",ReferenceData!$BC$49),"")</f>
        <v/>
      </c>
      <c r="BD49" t="str">
        <f ca="1">IFERROR(IF(0=LEN(ReferenceData!$BD$49),"",ReferenceData!$BD$49),"")</f>
        <v/>
      </c>
      <c r="BE49" t="str">
        <f ca="1">IFERROR(IF(0=LEN(ReferenceData!$BE$49),"",ReferenceData!$BE$49),"")</f>
        <v/>
      </c>
      <c r="BF49" t="str">
        <f ca="1">IFERROR(IF(0=LEN(ReferenceData!$BF$49),"",ReferenceData!$BF$49),"")</f>
        <v/>
      </c>
      <c r="BG49" t="str">
        <f ca="1">IFERROR(IF(0=LEN(ReferenceData!$BG$49),"",ReferenceData!$BG$49),"")</f>
        <v/>
      </c>
      <c r="BH49" t="str">
        <f ca="1">IFERROR(IF(0=LEN(ReferenceData!$BH$49),"",ReferenceData!$BH$49),"")</f>
        <v/>
      </c>
      <c r="BI49" t="str">
        <f ca="1">IFERROR(IF(0=LEN(ReferenceData!$BI$49),"",ReferenceData!$BI$49),"")</f>
        <v/>
      </c>
      <c r="BJ49" t="str">
        <f ca="1">IFERROR(IF(0=LEN(ReferenceData!$BJ$49),"",ReferenceData!$BJ$49),"")</f>
        <v/>
      </c>
      <c r="BK49" t="str">
        <f ca="1">IFERROR(IF(0=LEN(ReferenceData!$BK$49),"",ReferenceData!$BK$49),"")</f>
        <v/>
      </c>
      <c r="BL49" t="str">
        <f ca="1">IFERROR(IF(0=LEN(ReferenceData!$BL$49),"",ReferenceData!$BL$49),"")</f>
        <v/>
      </c>
      <c r="BM49" t="str">
        <f ca="1">IFERROR(IF(0=LEN(ReferenceData!$BM$49),"",ReferenceData!$BM$49),"")</f>
        <v/>
      </c>
    </row>
    <row r="50" spans="1:65" x14ac:dyDescent="0.25">
      <c r="A50" t="str">
        <f>IFERROR(IF(0=LEN(ReferenceData!$A$50),"",ReferenceData!$A$50),"")</f>
        <v xml:space="preserve">    BYD Co Ltd</v>
      </c>
      <c r="B50" t="str">
        <f>IFERROR(IF(0=LEN(ReferenceData!$B$50),"",ReferenceData!$B$50),"")</f>
        <v>1211 HK Equity</v>
      </c>
      <c r="C50" t="str">
        <f>IFERROR(IF(0=LEN(ReferenceData!$C$50),"",ReferenceData!$C$50),"")</f>
        <v>EZ009</v>
      </c>
      <c r="D50" t="str">
        <f>IFERROR(IF(0=LEN(ReferenceData!$D$50),"",ReferenceData!$D$50),"")</f>
        <v>BEST_EST_PE_CUR_YR</v>
      </c>
      <c r="E50" t="str">
        <f>IFERROR(IF(0=LEN(ReferenceData!$E$50),"",ReferenceData!$E$50),"")</f>
        <v>Dynamic</v>
      </c>
      <c r="F50">
        <f ca="1">IFERROR(IF(0=LEN(ReferenceData!$F$50),"",ReferenceData!$F$50),"")</f>
        <v>37.91555443</v>
      </c>
      <c r="G50">
        <f ca="1">IFERROR(IF(0=LEN(ReferenceData!$G$50),"",ReferenceData!$G$50),"")</f>
        <v>37.719484659999999</v>
      </c>
      <c r="H50">
        <f ca="1">IFERROR(IF(0=LEN(ReferenceData!$H$50),"",ReferenceData!$H$50),"")</f>
        <v>36.677673009999999</v>
      </c>
      <c r="I50">
        <f ca="1">IFERROR(IF(0=LEN(ReferenceData!$I$50),"",ReferenceData!$I$50),"")</f>
        <v>25.199338399999998</v>
      </c>
      <c r="J50">
        <f ca="1">IFERROR(IF(0=LEN(ReferenceData!$J$50),"",ReferenceData!$J$50),"")</f>
        <v>23.699422569999999</v>
      </c>
      <c r="K50">
        <f ca="1">IFERROR(IF(0=LEN(ReferenceData!$K$50),"",ReferenceData!$K$50),"")</f>
        <v>23.321979670000001</v>
      </c>
      <c r="L50">
        <f ca="1">IFERROR(IF(0=LEN(ReferenceData!$L$50),"",ReferenceData!$L$50),"")</f>
        <v>24.722748960000001</v>
      </c>
      <c r="M50">
        <f ca="1">IFERROR(IF(0=LEN(ReferenceData!$M$50),"",ReferenceData!$M$50),"")</f>
        <v>17.63361475</v>
      </c>
      <c r="N50">
        <f ca="1">IFERROR(IF(0=LEN(ReferenceData!$N$50),"",ReferenceData!$N$50),"")</f>
        <v>16.039745839999998</v>
      </c>
      <c r="O50">
        <f ca="1">IFERROR(IF(0=LEN(ReferenceData!$O$50),"",ReferenceData!$O$50),"")</f>
        <v>13.938443250000001</v>
      </c>
      <c r="P50">
        <f ca="1">IFERROR(IF(0=LEN(ReferenceData!$P$50),"",ReferenceData!$P$50),"")</f>
        <v>17.570652410000001</v>
      </c>
      <c r="Q50">
        <f ca="1">IFERROR(IF(0=LEN(ReferenceData!$Q$50),"",ReferenceData!$Q$50),"")</f>
        <v>18.906952109999999</v>
      </c>
      <c r="R50">
        <f ca="1">IFERROR(IF(0=LEN(ReferenceData!$R$50),"",ReferenceData!$R$50),"")</f>
        <v>19.588279010000001</v>
      </c>
      <c r="S50" t="str">
        <f ca="1">IFERROR(IF(0=LEN(ReferenceData!$S$50),"",ReferenceData!$S$50),"")</f>
        <v/>
      </c>
      <c r="T50" t="str">
        <f ca="1">IFERROR(IF(0=LEN(ReferenceData!$T$50),"",ReferenceData!$T$50),"")</f>
        <v/>
      </c>
      <c r="U50" t="str">
        <f ca="1">IFERROR(IF(0=LEN(ReferenceData!$U$50),"",ReferenceData!$U$50),"")</f>
        <v/>
      </c>
      <c r="V50" t="str">
        <f ca="1">IFERROR(IF(0=LEN(ReferenceData!$V$50),"",ReferenceData!$V$50),"")</f>
        <v/>
      </c>
      <c r="W50" t="str">
        <f ca="1">IFERROR(IF(0=LEN(ReferenceData!$W$50),"",ReferenceData!$W$50),"")</f>
        <v/>
      </c>
      <c r="X50" t="str">
        <f ca="1">IFERROR(IF(0=LEN(ReferenceData!$X$50),"",ReferenceData!$X$50),"")</f>
        <v/>
      </c>
      <c r="Y50" t="str">
        <f ca="1">IFERROR(IF(0=LEN(ReferenceData!$Y$50),"",ReferenceData!$Y$50),"")</f>
        <v/>
      </c>
      <c r="Z50" t="str">
        <f ca="1">IFERROR(IF(0=LEN(ReferenceData!$Z$50),"",ReferenceData!$Z$50),"")</f>
        <v/>
      </c>
      <c r="AA50" t="str">
        <f ca="1">IFERROR(IF(0=LEN(ReferenceData!$AA$50),"",ReferenceData!$AA$50),"")</f>
        <v/>
      </c>
      <c r="AB50" t="str">
        <f ca="1">IFERROR(IF(0=LEN(ReferenceData!$AB$50),"",ReferenceData!$AB$50),"")</f>
        <v/>
      </c>
      <c r="AC50" t="str">
        <f ca="1">IFERROR(IF(0=LEN(ReferenceData!$AC$50),"",ReferenceData!$AC$50),"")</f>
        <v/>
      </c>
      <c r="AD50" t="str">
        <f ca="1">IFERROR(IF(0=LEN(ReferenceData!$AD$50),"",ReferenceData!$AD$50),"")</f>
        <v/>
      </c>
      <c r="AE50" t="str">
        <f ca="1">IFERROR(IF(0=LEN(ReferenceData!$AE$50),"",ReferenceData!$AE$50),"")</f>
        <v/>
      </c>
      <c r="AF50" t="str">
        <f ca="1">IFERROR(IF(0=LEN(ReferenceData!$AF$50),"",ReferenceData!$AF$50),"")</f>
        <v/>
      </c>
      <c r="AG50" t="str">
        <f ca="1">IFERROR(IF(0=LEN(ReferenceData!$AG$50),"",ReferenceData!$AG$50),"")</f>
        <v/>
      </c>
      <c r="AH50" t="str">
        <f ca="1">IFERROR(IF(0=LEN(ReferenceData!$AH$50),"",ReferenceData!$AH$50),"")</f>
        <v/>
      </c>
      <c r="AI50" t="str">
        <f ca="1">IFERROR(IF(0=LEN(ReferenceData!$AI$50),"",ReferenceData!$AI$50),"")</f>
        <v/>
      </c>
      <c r="AJ50" t="str">
        <f ca="1">IFERROR(IF(0=LEN(ReferenceData!$AJ$50),"",ReferenceData!$AJ$50),"")</f>
        <v/>
      </c>
      <c r="AK50" t="str">
        <f ca="1">IFERROR(IF(0=LEN(ReferenceData!$AK$50),"",ReferenceData!$AK$50),"")</f>
        <v/>
      </c>
      <c r="AL50" t="str">
        <f ca="1">IFERROR(IF(0=LEN(ReferenceData!$AL$50),"",ReferenceData!$AL$50),"")</f>
        <v/>
      </c>
      <c r="AM50" t="str">
        <f ca="1">IFERROR(IF(0=LEN(ReferenceData!$AM$50),"",ReferenceData!$AM$50),"")</f>
        <v/>
      </c>
      <c r="AN50" t="str">
        <f ca="1">IFERROR(IF(0=LEN(ReferenceData!$AN$50),"",ReferenceData!$AN$50),"")</f>
        <v/>
      </c>
      <c r="AO50" t="str">
        <f ca="1">IFERROR(IF(0=LEN(ReferenceData!$AO$50),"",ReferenceData!$AO$50),"")</f>
        <v/>
      </c>
      <c r="AP50" t="str">
        <f ca="1">IFERROR(IF(0=LEN(ReferenceData!$AP$50),"",ReferenceData!$AP$50),"")</f>
        <v/>
      </c>
      <c r="AQ50" t="str">
        <f ca="1">IFERROR(IF(0=LEN(ReferenceData!$AQ$50),"",ReferenceData!$AQ$50),"")</f>
        <v/>
      </c>
      <c r="AR50" t="str">
        <f ca="1">IFERROR(IF(0=LEN(ReferenceData!$AR$50),"",ReferenceData!$AR$50),"")</f>
        <v/>
      </c>
      <c r="AS50" t="str">
        <f ca="1">IFERROR(IF(0=LEN(ReferenceData!$AS$50),"",ReferenceData!$AS$50),"")</f>
        <v/>
      </c>
      <c r="AT50" t="str">
        <f ca="1">IFERROR(IF(0=LEN(ReferenceData!$AT$50),"",ReferenceData!$AT$50),"")</f>
        <v/>
      </c>
      <c r="AU50" t="str">
        <f ca="1">IFERROR(IF(0=LEN(ReferenceData!$AU$50),"",ReferenceData!$AU$50),"")</f>
        <v/>
      </c>
      <c r="AV50" t="str">
        <f ca="1">IFERROR(IF(0=LEN(ReferenceData!$AV$50),"",ReferenceData!$AV$50),"")</f>
        <v/>
      </c>
      <c r="AW50" t="str">
        <f ca="1">IFERROR(IF(0=LEN(ReferenceData!$AW$50),"",ReferenceData!$AW$50),"")</f>
        <v/>
      </c>
      <c r="AX50" t="str">
        <f ca="1">IFERROR(IF(0=LEN(ReferenceData!$AX$50),"",ReferenceData!$AX$50),"")</f>
        <v/>
      </c>
      <c r="AY50" t="str">
        <f ca="1">IFERROR(IF(0=LEN(ReferenceData!$AY$50),"",ReferenceData!$AY$50),"")</f>
        <v/>
      </c>
      <c r="AZ50" t="str">
        <f ca="1">IFERROR(IF(0=LEN(ReferenceData!$AZ$50),"",ReferenceData!$AZ$50),"")</f>
        <v/>
      </c>
      <c r="BA50" t="str">
        <f ca="1">IFERROR(IF(0=LEN(ReferenceData!$BA$50),"",ReferenceData!$BA$50),"")</f>
        <v/>
      </c>
      <c r="BB50" t="str">
        <f ca="1">IFERROR(IF(0=LEN(ReferenceData!$BB$50),"",ReferenceData!$BB$50),"")</f>
        <v/>
      </c>
      <c r="BC50" t="str">
        <f ca="1">IFERROR(IF(0=LEN(ReferenceData!$BC$50),"",ReferenceData!$BC$50),"")</f>
        <v/>
      </c>
      <c r="BD50" t="str">
        <f ca="1">IFERROR(IF(0=LEN(ReferenceData!$BD$50),"",ReferenceData!$BD$50),"")</f>
        <v/>
      </c>
      <c r="BE50" t="str">
        <f ca="1">IFERROR(IF(0=LEN(ReferenceData!$BE$50),"",ReferenceData!$BE$50),"")</f>
        <v/>
      </c>
      <c r="BF50" t="str">
        <f ca="1">IFERROR(IF(0=LEN(ReferenceData!$BF$50),"",ReferenceData!$BF$50),"")</f>
        <v/>
      </c>
      <c r="BG50" t="str">
        <f ca="1">IFERROR(IF(0=LEN(ReferenceData!$BG$50),"",ReferenceData!$BG$50),"")</f>
        <v/>
      </c>
      <c r="BH50" t="str">
        <f ca="1">IFERROR(IF(0=LEN(ReferenceData!$BH$50),"",ReferenceData!$BH$50),"")</f>
        <v/>
      </c>
      <c r="BI50" t="str">
        <f ca="1">IFERROR(IF(0=LEN(ReferenceData!$BI$50),"",ReferenceData!$BI$50),"")</f>
        <v/>
      </c>
      <c r="BJ50" t="str">
        <f ca="1">IFERROR(IF(0=LEN(ReferenceData!$BJ$50),"",ReferenceData!$BJ$50),"")</f>
        <v/>
      </c>
      <c r="BK50" t="str">
        <f ca="1">IFERROR(IF(0=LEN(ReferenceData!$BK$50),"",ReferenceData!$BK$50),"")</f>
        <v/>
      </c>
      <c r="BL50" t="str">
        <f ca="1">IFERROR(IF(0=LEN(ReferenceData!$BL$50),"",ReferenceData!$BL$50),"")</f>
        <v/>
      </c>
      <c r="BM50" t="str">
        <f ca="1">IFERROR(IF(0=LEN(ReferenceData!$BM$50),"",ReferenceData!$BM$50),"")</f>
        <v/>
      </c>
    </row>
    <row r="51" spans="1:65" x14ac:dyDescent="0.25">
      <c r="A51" t="str">
        <f>IFERROR(IF(0=LEN(ReferenceData!$A$51),"",ReferenceData!$A$51),"")</f>
        <v xml:space="preserve">    Chongqing Changan Automobile Co Ltd</v>
      </c>
      <c r="B51" t="str">
        <f>IFERROR(IF(0=LEN(ReferenceData!$B$51),"",ReferenceData!$B$51),"")</f>
        <v>200625 CH Equity</v>
      </c>
      <c r="C51" t="str">
        <f>IFERROR(IF(0=LEN(ReferenceData!$C$51),"",ReferenceData!$C$51),"")</f>
        <v>EZ009</v>
      </c>
      <c r="D51" t="str">
        <f>IFERROR(IF(0=LEN(ReferenceData!$D$51),"",ReferenceData!$D$51),"")</f>
        <v>BEST_EST_PE_CUR_YR</v>
      </c>
      <c r="E51" t="str">
        <f>IFERROR(IF(0=LEN(ReferenceData!$E$51),"",ReferenceData!$E$51),"")</f>
        <v>Dynamic</v>
      </c>
      <c r="F51">
        <f ca="1">IFERROR(IF(0=LEN(ReferenceData!$F$51),"",ReferenceData!$F$51),"")</f>
        <v>10.21455821</v>
      </c>
      <c r="G51">
        <f ca="1">IFERROR(IF(0=LEN(ReferenceData!$G$51),"",ReferenceData!$G$51),"")</f>
        <v>5.5537042369999998</v>
      </c>
      <c r="H51">
        <f ca="1">IFERROR(IF(0=LEN(ReferenceData!$H$51),"",ReferenceData!$H$51),"")</f>
        <v>5.5979777359999998</v>
      </c>
      <c r="I51">
        <f ca="1">IFERROR(IF(0=LEN(ReferenceData!$I$51),"",ReferenceData!$I$51),"")</f>
        <v>4.3784469809999997</v>
      </c>
      <c r="J51">
        <f ca="1">IFERROR(IF(0=LEN(ReferenceData!$J$51),"",ReferenceData!$J$51),"")</f>
        <v>3.5130965540000001</v>
      </c>
      <c r="K51">
        <f ca="1">IFERROR(IF(0=LEN(ReferenceData!$K$51),"",ReferenceData!$K$51),"")</f>
        <v>3.7016840960000001</v>
      </c>
      <c r="L51">
        <f ca="1">IFERROR(IF(0=LEN(ReferenceData!$L$51),"",ReferenceData!$L$51),"")</f>
        <v>4.1601310099999997</v>
      </c>
      <c r="M51">
        <f ca="1">IFERROR(IF(0=LEN(ReferenceData!$M$51),"",ReferenceData!$M$51),"")</f>
        <v>3.8063320429999998</v>
      </c>
      <c r="N51">
        <f ca="1">IFERROR(IF(0=LEN(ReferenceData!$N$51),"",ReferenceData!$N$51),"")</f>
        <v>3.9462235049999999</v>
      </c>
      <c r="O51">
        <f ca="1">IFERROR(IF(0=LEN(ReferenceData!$O$51),"",ReferenceData!$O$51),"")</f>
        <v>4.079528185</v>
      </c>
      <c r="P51">
        <f ca="1">IFERROR(IF(0=LEN(ReferenceData!$P$51),"",ReferenceData!$P$51),"")</f>
        <v>4.1499884099999997</v>
      </c>
      <c r="Q51">
        <f ca="1">IFERROR(IF(0=LEN(ReferenceData!$Q$51),"",ReferenceData!$Q$51),"")</f>
        <v>3.5679553319999999</v>
      </c>
      <c r="R51">
        <f ca="1">IFERROR(IF(0=LEN(ReferenceData!$R$51),"",ReferenceData!$R$51),"")</f>
        <v>6.3289304260000003</v>
      </c>
      <c r="S51">
        <f ca="1">IFERROR(IF(0=LEN(ReferenceData!$S$51),"",ReferenceData!$S$51),"")</f>
        <v>7.1570850699999999</v>
      </c>
      <c r="T51">
        <f ca="1">IFERROR(IF(0=LEN(ReferenceData!$T$51),"",ReferenceData!$T$51),"")</f>
        <v>5.836023108</v>
      </c>
      <c r="U51">
        <f ca="1">IFERROR(IF(0=LEN(ReferenceData!$U$51),"",ReferenceData!$U$51),"")</f>
        <v>5.0658370760000002</v>
      </c>
      <c r="V51">
        <f ca="1">IFERROR(IF(0=LEN(ReferenceData!$V$51),"",ReferenceData!$V$51),"")</f>
        <v>5.7331546360000001</v>
      </c>
      <c r="W51" t="str">
        <f ca="1">IFERROR(IF(0=LEN(ReferenceData!$W$51),"",ReferenceData!$W$51),"")</f>
        <v/>
      </c>
      <c r="X51" t="str">
        <f ca="1">IFERROR(IF(0=LEN(ReferenceData!$X$51),"",ReferenceData!$X$51),"")</f>
        <v/>
      </c>
      <c r="Y51" t="str">
        <f ca="1">IFERROR(IF(0=LEN(ReferenceData!$Y$51),"",ReferenceData!$Y$51),"")</f>
        <v/>
      </c>
      <c r="Z51" t="str">
        <f ca="1">IFERROR(IF(0=LEN(ReferenceData!$Z$51),"",ReferenceData!$Z$51),"")</f>
        <v/>
      </c>
      <c r="AA51" t="str">
        <f ca="1">IFERROR(IF(0=LEN(ReferenceData!$AA$51),"",ReferenceData!$AA$51),"")</f>
        <v/>
      </c>
      <c r="AB51" t="str">
        <f ca="1">IFERROR(IF(0=LEN(ReferenceData!$AB$51),"",ReferenceData!$AB$51),"")</f>
        <v/>
      </c>
      <c r="AC51" t="str">
        <f ca="1">IFERROR(IF(0=LEN(ReferenceData!$AC$51),"",ReferenceData!$AC$51),"")</f>
        <v/>
      </c>
      <c r="AD51" t="str">
        <f ca="1">IFERROR(IF(0=LEN(ReferenceData!$AD$51),"",ReferenceData!$AD$51),"")</f>
        <v/>
      </c>
      <c r="AE51" t="str">
        <f ca="1">IFERROR(IF(0=LEN(ReferenceData!$AE$51),"",ReferenceData!$AE$51),"")</f>
        <v/>
      </c>
      <c r="AF51" t="str">
        <f ca="1">IFERROR(IF(0=LEN(ReferenceData!$AF$51),"",ReferenceData!$AF$51),"")</f>
        <v/>
      </c>
      <c r="AG51" t="str">
        <f ca="1">IFERROR(IF(0=LEN(ReferenceData!$AG$51),"",ReferenceData!$AG$51),"")</f>
        <v/>
      </c>
      <c r="AH51" t="str">
        <f ca="1">IFERROR(IF(0=LEN(ReferenceData!$AH$51),"",ReferenceData!$AH$51),"")</f>
        <v/>
      </c>
      <c r="AI51" t="str">
        <f ca="1">IFERROR(IF(0=LEN(ReferenceData!$AI$51),"",ReferenceData!$AI$51),"")</f>
        <v/>
      </c>
      <c r="AJ51" t="str">
        <f ca="1">IFERROR(IF(0=LEN(ReferenceData!$AJ$51),"",ReferenceData!$AJ$51),"")</f>
        <v/>
      </c>
      <c r="AK51" t="str">
        <f ca="1">IFERROR(IF(0=LEN(ReferenceData!$AK$51),"",ReferenceData!$AK$51),"")</f>
        <v/>
      </c>
      <c r="AL51" t="str">
        <f ca="1">IFERROR(IF(0=LEN(ReferenceData!$AL$51),"",ReferenceData!$AL$51),"")</f>
        <v/>
      </c>
      <c r="AM51" t="str">
        <f ca="1">IFERROR(IF(0=LEN(ReferenceData!$AM$51),"",ReferenceData!$AM$51),"")</f>
        <v/>
      </c>
      <c r="AN51" t="str">
        <f ca="1">IFERROR(IF(0=LEN(ReferenceData!$AN$51),"",ReferenceData!$AN$51),"")</f>
        <v/>
      </c>
      <c r="AO51" t="str">
        <f ca="1">IFERROR(IF(0=LEN(ReferenceData!$AO$51),"",ReferenceData!$AO$51),"")</f>
        <v/>
      </c>
      <c r="AP51" t="str">
        <f ca="1">IFERROR(IF(0=LEN(ReferenceData!$AP$51),"",ReferenceData!$AP$51),"")</f>
        <v/>
      </c>
      <c r="AQ51" t="str">
        <f ca="1">IFERROR(IF(0=LEN(ReferenceData!$AQ$51),"",ReferenceData!$AQ$51),"")</f>
        <v/>
      </c>
      <c r="AR51" t="str">
        <f ca="1">IFERROR(IF(0=LEN(ReferenceData!$AR$51),"",ReferenceData!$AR$51),"")</f>
        <v/>
      </c>
      <c r="AS51" t="str">
        <f ca="1">IFERROR(IF(0=LEN(ReferenceData!$AS$51),"",ReferenceData!$AS$51),"")</f>
        <v/>
      </c>
      <c r="AT51" t="str">
        <f ca="1">IFERROR(IF(0=LEN(ReferenceData!$AT$51),"",ReferenceData!$AT$51),"")</f>
        <v/>
      </c>
      <c r="AU51" t="str">
        <f ca="1">IFERROR(IF(0=LEN(ReferenceData!$AU$51),"",ReferenceData!$AU$51),"")</f>
        <v/>
      </c>
      <c r="AV51" t="str">
        <f ca="1">IFERROR(IF(0=LEN(ReferenceData!$AV$51),"",ReferenceData!$AV$51),"")</f>
        <v/>
      </c>
      <c r="AW51" t="str">
        <f ca="1">IFERROR(IF(0=LEN(ReferenceData!$AW$51),"",ReferenceData!$AW$51),"")</f>
        <v/>
      </c>
      <c r="AX51" t="str">
        <f ca="1">IFERROR(IF(0=LEN(ReferenceData!$AX$51),"",ReferenceData!$AX$51),"")</f>
        <v/>
      </c>
      <c r="AY51" t="str">
        <f ca="1">IFERROR(IF(0=LEN(ReferenceData!$AY$51),"",ReferenceData!$AY$51),"")</f>
        <v/>
      </c>
      <c r="AZ51" t="str">
        <f ca="1">IFERROR(IF(0=LEN(ReferenceData!$AZ$51),"",ReferenceData!$AZ$51),"")</f>
        <v/>
      </c>
      <c r="BA51" t="str">
        <f ca="1">IFERROR(IF(0=LEN(ReferenceData!$BA$51),"",ReferenceData!$BA$51),"")</f>
        <v/>
      </c>
      <c r="BB51" t="str">
        <f ca="1">IFERROR(IF(0=LEN(ReferenceData!$BB$51),"",ReferenceData!$BB$51),"")</f>
        <v/>
      </c>
      <c r="BC51" t="str">
        <f ca="1">IFERROR(IF(0=LEN(ReferenceData!$BC$51),"",ReferenceData!$BC$51),"")</f>
        <v/>
      </c>
      <c r="BD51" t="str">
        <f ca="1">IFERROR(IF(0=LEN(ReferenceData!$BD$51),"",ReferenceData!$BD$51),"")</f>
        <v/>
      </c>
      <c r="BE51" t="str">
        <f ca="1">IFERROR(IF(0=LEN(ReferenceData!$BE$51),"",ReferenceData!$BE$51),"")</f>
        <v/>
      </c>
      <c r="BF51" t="str">
        <f ca="1">IFERROR(IF(0=LEN(ReferenceData!$BF$51),"",ReferenceData!$BF$51),"")</f>
        <v/>
      </c>
      <c r="BG51" t="str">
        <f ca="1">IFERROR(IF(0=LEN(ReferenceData!$BG$51),"",ReferenceData!$BG$51),"")</f>
        <v/>
      </c>
      <c r="BH51" t="str">
        <f ca="1">IFERROR(IF(0=LEN(ReferenceData!$BH$51),"",ReferenceData!$BH$51),"")</f>
        <v/>
      </c>
      <c r="BI51" t="str">
        <f ca="1">IFERROR(IF(0=LEN(ReferenceData!$BI$51),"",ReferenceData!$BI$51),"")</f>
        <v/>
      </c>
      <c r="BJ51" t="str">
        <f ca="1">IFERROR(IF(0=LEN(ReferenceData!$BJ$51),"",ReferenceData!$BJ$51),"")</f>
        <v/>
      </c>
      <c r="BK51" t="str">
        <f ca="1">IFERROR(IF(0=LEN(ReferenceData!$BK$51),"",ReferenceData!$BK$51),"")</f>
        <v/>
      </c>
      <c r="BL51" t="str">
        <f ca="1">IFERROR(IF(0=LEN(ReferenceData!$BL$51),"",ReferenceData!$BL$51),"")</f>
        <v/>
      </c>
      <c r="BM51" t="str">
        <f ca="1">IFERROR(IF(0=LEN(ReferenceData!$BM$51),"",ReferenceData!$BM$51),"")</f>
        <v/>
      </c>
    </row>
    <row r="52" spans="1:65" x14ac:dyDescent="0.25">
      <c r="A52" t="str">
        <f>IFERROR(IF(0=LEN(ReferenceData!$A$52),"",ReferenceData!$A$52),"")</f>
        <v xml:space="preserve">    Daihatsu Motor Co Ltd</v>
      </c>
      <c r="B52" t="str">
        <f>IFERROR(IF(0=LEN(ReferenceData!$B$52),"",ReferenceData!$B$52),"")</f>
        <v>7262 JP Equity</v>
      </c>
      <c r="C52" t="str">
        <f>IFERROR(IF(0=LEN(ReferenceData!$C$52),"",ReferenceData!$C$52),"")</f>
        <v>EZ009</v>
      </c>
      <c r="D52" t="str">
        <f>IFERROR(IF(0=LEN(ReferenceData!$D$52),"",ReferenceData!$D$52),"")</f>
        <v>BEST_EST_PE_CUR_YR</v>
      </c>
      <c r="E52" t="str">
        <f>IFERROR(IF(0=LEN(ReferenceData!$E$52),"",ReferenceData!$E$52),"")</f>
        <v>Dynamic</v>
      </c>
      <c r="F52" t="str">
        <f ca="1">IFERROR(IF(0=LEN(ReferenceData!$F$52),"",ReferenceData!$F$52),"")</f>
        <v/>
      </c>
      <c r="G52" t="str">
        <f ca="1">IFERROR(IF(0=LEN(ReferenceData!$G$52),"",ReferenceData!$G$52),"")</f>
        <v/>
      </c>
      <c r="H52" t="str">
        <f ca="1">IFERROR(IF(0=LEN(ReferenceData!$H$52),"",ReferenceData!$H$52),"")</f>
        <v/>
      </c>
      <c r="I52" t="str">
        <f ca="1">IFERROR(IF(0=LEN(ReferenceData!$I$52),"",ReferenceData!$I$52),"")</f>
        <v/>
      </c>
      <c r="J52" t="str">
        <f ca="1">IFERROR(IF(0=LEN(ReferenceData!$J$52),"",ReferenceData!$J$52),"")</f>
        <v/>
      </c>
      <c r="K52" t="str">
        <f ca="1">IFERROR(IF(0=LEN(ReferenceData!$K$52),"",ReferenceData!$K$52),"")</f>
        <v/>
      </c>
      <c r="L52" t="str">
        <f ca="1">IFERROR(IF(0=LEN(ReferenceData!$L$52),"",ReferenceData!$L$52),"")</f>
        <v/>
      </c>
      <c r="M52" t="str">
        <f ca="1">IFERROR(IF(0=LEN(ReferenceData!$M$52),"",ReferenceData!$M$52),"")</f>
        <v/>
      </c>
      <c r="N52" t="str">
        <f ca="1">IFERROR(IF(0=LEN(ReferenceData!$N$52),"",ReferenceData!$N$52),"")</f>
        <v/>
      </c>
      <c r="O52" t="str">
        <f ca="1">IFERROR(IF(0=LEN(ReferenceData!$O$52),"",ReferenceData!$O$52),"")</f>
        <v/>
      </c>
      <c r="P52">
        <f ca="1">IFERROR(IF(0=LEN(ReferenceData!$P$52),"",ReferenceData!$P$52),"")</f>
        <v>13.38960981</v>
      </c>
      <c r="Q52">
        <f ca="1">IFERROR(IF(0=LEN(ReferenceData!$Q$52),"",ReferenceData!$Q$52),"")</f>
        <v>11.357978060000001</v>
      </c>
      <c r="R52">
        <f ca="1">IFERROR(IF(0=LEN(ReferenceData!$R$52),"",ReferenceData!$R$52),"")</f>
        <v>13.90910845</v>
      </c>
      <c r="S52">
        <f ca="1">IFERROR(IF(0=LEN(ReferenceData!$S$52),"",ReferenceData!$S$52),"")</f>
        <v>14.14899121</v>
      </c>
      <c r="T52">
        <f ca="1">IFERROR(IF(0=LEN(ReferenceData!$T$52),"",ReferenceData!$T$52),"")</f>
        <v>9.5144266539999993</v>
      </c>
      <c r="U52">
        <f ca="1">IFERROR(IF(0=LEN(ReferenceData!$U$52),"",ReferenceData!$U$52),"")</f>
        <v>11.032413650000001</v>
      </c>
      <c r="V52">
        <f ca="1">IFERROR(IF(0=LEN(ReferenceData!$V$52),"",ReferenceData!$V$52),"")</f>
        <v>11.800811550000001</v>
      </c>
      <c r="W52">
        <f ca="1">IFERROR(IF(0=LEN(ReferenceData!$W$52),"",ReferenceData!$W$52),"")</f>
        <v>9.0915372130000005</v>
      </c>
      <c r="X52">
        <f ca="1">IFERROR(IF(0=LEN(ReferenceData!$X$52),"",ReferenceData!$X$52),"")</f>
        <v>8.4155879309999992</v>
      </c>
      <c r="Y52">
        <f ca="1">IFERROR(IF(0=LEN(ReferenceData!$Y$52),"",ReferenceData!$Y$52),"")</f>
        <v>9.0284287729999999</v>
      </c>
      <c r="Z52">
        <f ca="1">IFERROR(IF(0=LEN(ReferenceData!$Z$52),"",ReferenceData!$Z$52),"")</f>
        <v>8.7106099340000007</v>
      </c>
      <c r="AA52">
        <f ca="1">IFERROR(IF(0=LEN(ReferenceData!$AA$52),"",ReferenceData!$AA$52),"")</f>
        <v>8.1171567180000004</v>
      </c>
      <c r="AB52" t="str">
        <f ca="1">IFERROR(IF(0=LEN(ReferenceData!$AB$52),"",ReferenceData!$AB$52),"")</f>
        <v/>
      </c>
      <c r="AC52" t="str">
        <f ca="1">IFERROR(IF(0=LEN(ReferenceData!$AC$52),"",ReferenceData!$AC$52),"")</f>
        <v/>
      </c>
      <c r="AD52" t="str">
        <f ca="1">IFERROR(IF(0=LEN(ReferenceData!$AD$52),"",ReferenceData!$AD$52),"")</f>
        <v/>
      </c>
      <c r="AE52" t="str">
        <f ca="1">IFERROR(IF(0=LEN(ReferenceData!$AE$52),"",ReferenceData!$AE$52),"")</f>
        <v/>
      </c>
      <c r="AF52" t="str">
        <f ca="1">IFERROR(IF(0=LEN(ReferenceData!$AF$52),"",ReferenceData!$AF$52),"")</f>
        <v/>
      </c>
      <c r="AG52" t="str">
        <f ca="1">IFERROR(IF(0=LEN(ReferenceData!$AG$52),"",ReferenceData!$AG$52),"")</f>
        <v/>
      </c>
      <c r="AH52" t="str">
        <f ca="1">IFERROR(IF(0=LEN(ReferenceData!$AH$52),"",ReferenceData!$AH$52),"")</f>
        <v/>
      </c>
      <c r="AI52" t="str">
        <f ca="1">IFERROR(IF(0=LEN(ReferenceData!$AI$52),"",ReferenceData!$AI$52),"")</f>
        <v/>
      </c>
      <c r="AJ52" t="str">
        <f ca="1">IFERROR(IF(0=LEN(ReferenceData!$AJ$52),"",ReferenceData!$AJ$52),"")</f>
        <v/>
      </c>
      <c r="AK52" t="str">
        <f ca="1">IFERROR(IF(0=LEN(ReferenceData!$AK$52),"",ReferenceData!$AK$52),"")</f>
        <v/>
      </c>
      <c r="AL52" t="str">
        <f ca="1">IFERROR(IF(0=LEN(ReferenceData!$AL$52),"",ReferenceData!$AL$52),"")</f>
        <v/>
      </c>
      <c r="AM52" t="str">
        <f ca="1">IFERROR(IF(0=LEN(ReferenceData!$AM$52),"",ReferenceData!$AM$52),"")</f>
        <v/>
      </c>
      <c r="AN52" t="str">
        <f ca="1">IFERROR(IF(0=LEN(ReferenceData!$AN$52),"",ReferenceData!$AN$52),"")</f>
        <v/>
      </c>
      <c r="AO52" t="str">
        <f ca="1">IFERROR(IF(0=LEN(ReferenceData!$AO$52),"",ReferenceData!$AO$52),"")</f>
        <v/>
      </c>
      <c r="AP52" t="str">
        <f ca="1">IFERROR(IF(0=LEN(ReferenceData!$AP$52),"",ReferenceData!$AP$52),"")</f>
        <v/>
      </c>
      <c r="AQ52" t="str">
        <f ca="1">IFERROR(IF(0=LEN(ReferenceData!$AQ$52),"",ReferenceData!$AQ$52),"")</f>
        <v/>
      </c>
      <c r="AR52" t="str">
        <f ca="1">IFERROR(IF(0=LEN(ReferenceData!$AR$52),"",ReferenceData!$AR$52),"")</f>
        <v/>
      </c>
      <c r="AS52" t="str">
        <f ca="1">IFERROR(IF(0=LEN(ReferenceData!$AS$52),"",ReferenceData!$AS$52),"")</f>
        <v/>
      </c>
      <c r="AT52" t="str">
        <f ca="1">IFERROR(IF(0=LEN(ReferenceData!$AT$52),"",ReferenceData!$AT$52),"")</f>
        <v/>
      </c>
      <c r="AU52" t="str">
        <f ca="1">IFERROR(IF(0=LEN(ReferenceData!$AU$52),"",ReferenceData!$AU$52),"")</f>
        <v/>
      </c>
      <c r="AV52" t="str">
        <f ca="1">IFERROR(IF(0=LEN(ReferenceData!$AV$52),"",ReferenceData!$AV$52),"")</f>
        <v/>
      </c>
      <c r="AW52" t="str">
        <f ca="1">IFERROR(IF(0=LEN(ReferenceData!$AW$52),"",ReferenceData!$AW$52),"")</f>
        <v/>
      </c>
      <c r="AX52" t="str">
        <f ca="1">IFERROR(IF(0=LEN(ReferenceData!$AX$52),"",ReferenceData!$AX$52),"")</f>
        <v/>
      </c>
      <c r="AY52" t="str">
        <f ca="1">IFERROR(IF(0=LEN(ReferenceData!$AY$52),"",ReferenceData!$AY$52),"")</f>
        <v/>
      </c>
      <c r="AZ52" t="str">
        <f ca="1">IFERROR(IF(0=LEN(ReferenceData!$AZ$52),"",ReferenceData!$AZ$52),"")</f>
        <v/>
      </c>
      <c r="BA52" t="str">
        <f ca="1">IFERROR(IF(0=LEN(ReferenceData!$BA$52),"",ReferenceData!$BA$52),"")</f>
        <v/>
      </c>
      <c r="BB52" t="str">
        <f ca="1">IFERROR(IF(0=LEN(ReferenceData!$BB$52),"",ReferenceData!$BB$52),"")</f>
        <v/>
      </c>
      <c r="BC52" t="str">
        <f ca="1">IFERROR(IF(0=LEN(ReferenceData!$BC$52),"",ReferenceData!$BC$52),"")</f>
        <v/>
      </c>
      <c r="BD52" t="str">
        <f ca="1">IFERROR(IF(0=LEN(ReferenceData!$BD$52),"",ReferenceData!$BD$52),"")</f>
        <v/>
      </c>
      <c r="BE52" t="str">
        <f ca="1">IFERROR(IF(0=LEN(ReferenceData!$BE$52),"",ReferenceData!$BE$52),"")</f>
        <v/>
      </c>
      <c r="BF52" t="str">
        <f ca="1">IFERROR(IF(0=LEN(ReferenceData!$BF$52),"",ReferenceData!$BF$52),"")</f>
        <v/>
      </c>
      <c r="BG52" t="str">
        <f ca="1">IFERROR(IF(0=LEN(ReferenceData!$BG$52),"",ReferenceData!$BG$52),"")</f>
        <v/>
      </c>
      <c r="BH52" t="str">
        <f ca="1">IFERROR(IF(0=LEN(ReferenceData!$BH$52),"",ReferenceData!$BH$52),"")</f>
        <v/>
      </c>
      <c r="BI52" t="str">
        <f ca="1">IFERROR(IF(0=LEN(ReferenceData!$BI$52),"",ReferenceData!$BI$52),"")</f>
        <v/>
      </c>
      <c r="BJ52" t="str">
        <f ca="1">IFERROR(IF(0=LEN(ReferenceData!$BJ$52),"",ReferenceData!$BJ$52),"")</f>
        <v/>
      </c>
      <c r="BK52" t="str">
        <f ca="1">IFERROR(IF(0=LEN(ReferenceData!$BK$52),"",ReferenceData!$BK$52),"")</f>
        <v/>
      </c>
      <c r="BL52" t="str">
        <f ca="1">IFERROR(IF(0=LEN(ReferenceData!$BL$52),"",ReferenceData!$BL$52),"")</f>
        <v/>
      </c>
      <c r="BM52" t="str">
        <f ca="1">IFERROR(IF(0=LEN(ReferenceData!$BM$52),"",ReferenceData!$BM$52),"")</f>
        <v/>
      </c>
    </row>
    <row r="53" spans="1:65" x14ac:dyDescent="0.25">
      <c r="A53" t="str">
        <f>IFERROR(IF(0=LEN(ReferenceData!$A$53),"",ReferenceData!$A$53),"")</f>
        <v xml:space="preserve">    Daimler AG</v>
      </c>
      <c r="B53" t="str">
        <f>IFERROR(IF(0=LEN(ReferenceData!$B$53),"",ReferenceData!$B$53),"")</f>
        <v>DAI GR Equity</v>
      </c>
      <c r="C53" t="str">
        <f>IFERROR(IF(0=LEN(ReferenceData!$C$53),"",ReferenceData!$C$53),"")</f>
        <v>EZ009</v>
      </c>
      <c r="D53" t="str">
        <f>IFERROR(IF(0=LEN(ReferenceData!$D$53),"",ReferenceData!$D$53),"")</f>
        <v>BEST_EST_PE_CUR_YR</v>
      </c>
      <c r="E53" t="str">
        <f>IFERROR(IF(0=LEN(ReferenceData!$E$53),"",ReferenceData!$E$53),"")</f>
        <v>Dynamic</v>
      </c>
      <c r="F53">
        <f ca="1">IFERROR(IF(0=LEN(ReferenceData!$F$53),"",ReferenceData!$F$53),"")</f>
        <v>6.7352413860000002</v>
      </c>
      <c r="G53">
        <f ca="1">IFERROR(IF(0=LEN(ReferenceData!$G$53),"",ReferenceData!$G$53),"")</f>
        <v>5.5153772219999997</v>
      </c>
      <c r="H53">
        <f ca="1">IFERROR(IF(0=LEN(ReferenceData!$H$53),"",ReferenceData!$H$53),"")</f>
        <v>6.029036906</v>
      </c>
      <c r="I53">
        <f ca="1">IFERROR(IF(0=LEN(ReferenceData!$I$53),"",ReferenceData!$I$53),"")</f>
        <v>5.8264637500000003</v>
      </c>
      <c r="J53">
        <f ca="1">IFERROR(IF(0=LEN(ReferenceData!$J$53),"",ReferenceData!$J$53),"")</f>
        <v>7.2152030910000002</v>
      </c>
      <c r="K53">
        <f ca="1">IFERROR(IF(0=LEN(ReferenceData!$K$53),"",ReferenceData!$K$53),"")</f>
        <v>7.7065418530000001</v>
      </c>
      <c r="L53">
        <f ca="1">IFERROR(IF(0=LEN(ReferenceData!$L$53),"",ReferenceData!$L$53),"")</f>
        <v>7.536653609</v>
      </c>
      <c r="M53">
        <f ca="1">IFERROR(IF(0=LEN(ReferenceData!$M$53),"",ReferenceData!$M$53),"")</f>
        <v>7.0243362830000002</v>
      </c>
      <c r="N53">
        <f ca="1">IFERROR(IF(0=LEN(ReferenceData!$N$53),"",ReferenceData!$N$53),"")</f>
        <v>8.0562033579999994</v>
      </c>
      <c r="O53">
        <f ca="1">IFERROR(IF(0=LEN(ReferenceData!$O$53),"",ReferenceData!$O$53),"")</f>
        <v>10.045454550000001</v>
      </c>
      <c r="P53">
        <f ca="1">IFERROR(IF(0=LEN(ReferenceData!$P$53),"",ReferenceData!$P$53),"")</f>
        <v>6.620179609</v>
      </c>
      <c r="Q53">
        <f ca="1">IFERROR(IF(0=LEN(ReferenceData!$Q$53),"",ReferenceData!$Q$53),"")</f>
        <v>7.4584254139999997</v>
      </c>
      <c r="R53">
        <f ca="1">IFERROR(IF(0=LEN(ReferenceData!$R$53),"",ReferenceData!$R$53),"")</f>
        <v>7.4145054950000002</v>
      </c>
      <c r="S53">
        <f ca="1">IFERROR(IF(0=LEN(ReferenceData!$S$53),"",ReferenceData!$S$53),"")</f>
        <v>8.5563030770000008</v>
      </c>
      <c r="T53">
        <f ca="1">IFERROR(IF(0=LEN(ReferenceData!$T$53),"",ReferenceData!$T$53),"")</f>
        <v>7.4038724370000004</v>
      </c>
      <c r="U53">
        <f ca="1">IFERROR(IF(0=LEN(ReferenceData!$U$53),"",ReferenceData!$U$53),"")</f>
        <v>9.5567190229999994</v>
      </c>
      <c r="V53">
        <f ca="1">IFERROR(IF(0=LEN(ReferenceData!$V$53),"",ReferenceData!$V$53),"")</f>
        <v>10.68328376</v>
      </c>
      <c r="W53" t="str">
        <f ca="1">IFERROR(IF(0=LEN(ReferenceData!$W$53),"",ReferenceData!$W$53),"")</f>
        <v/>
      </c>
      <c r="X53" t="str">
        <f ca="1">IFERROR(IF(0=LEN(ReferenceData!$X$53),"",ReferenceData!$X$53),"")</f>
        <v/>
      </c>
      <c r="Y53" t="str">
        <f ca="1">IFERROR(IF(0=LEN(ReferenceData!$Y$53),"",ReferenceData!$Y$53),"")</f>
        <v/>
      </c>
      <c r="Z53" t="str">
        <f ca="1">IFERROR(IF(0=LEN(ReferenceData!$Z$53),"",ReferenceData!$Z$53),"")</f>
        <v/>
      </c>
      <c r="AA53" t="str">
        <f ca="1">IFERROR(IF(0=LEN(ReferenceData!$AA$53),"",ReferenceData!$AA$53),"")</f>
        <v/>
      </c>
      <c r="AB53" t="str">
        <f ca="1">IFERROR(IF(0=LEN(ReferenceData!$AB$53),"",ReferenceData!$AB$53),"")</f>
        <v/>
      </c>
      <c r="AC53" t="str">
        <f ca="1">IFERROR(IF(0=LEN(ReferenceData!$AC$53),"",ReferenceData!$AC$53),"")</f>
        <v/>
      </c>
      <c r="AD53" t="str">
        <f ca="1">IFERROR(IF(0=LEN(ReferenceData!$AD$53),"",ReferenceData!$AD$53),"")</f>
        <v/>
      </c>
      <c r="AE53" t="str">
        <f ca="1">IFERROR(IF(0=LEN(ReferenceData!$AE$53),"",ReferenceData!$AE$53),"")</f>
        <v/>
      </c>
      <c r="AF53" t="str">
        <f ca="1">IFERROR(IF(0=LEN(ReferenceData!$AF$53),"",ReferenceData!$AF$53),"")</f>
        <v/>
      </c>
      <c r="AG53" t="str">
        <f ca="1">IFERROR(IF(0=LEN(ReferenceData!$AG$53),"",ReferenceData!$AG$53),"")</f>
        <v/>
      </c>
      <c r="AH53" t="str">
        <f ca="1">IFERROR(IF(0=LEN(ReferenceData!$AH$53),"",ReferenceData!$AH$53),"")</f>
        <v/>
      </c>
      <c r="AI53" t="str">
        <f ca="1">IFERROR(IF(0=LEN(ReferenceData!$AI$53),"",ReferenceData!$AI$53),"")</f>
        <v/>
      </c>
      <c r="AJ53" t="str">
        <f ca="1">IFERROR(IF(0=LEN(ReferenceData!$AJ$53),"",ReferenceData!$AJ$53),"")</f>
        <v/>
      </c>
      <c r="AK53" t="str">
        <f ca="1">IFERROR(IF(0=LEN(ReferenceData!$AK$53),"",ReferenceData!$AK$53),"")</f>
        <v/>
      </c>
      <c r="AL53" t="str">
        <f ca="1">IFERROR(IF(0=LEN(ReferenceData!$AL$53),"",ReferenceData!$AL$53),"")</f>
        <v/>
      </c>
      <c r="AM53" t="str">
        <f ca="1">IFERROR(IF(0=LEN(ReferenceData!$AM$53),"",ReferenceData!$AM$53),"")</f>
        <v/>
      </c>
      <c r="AN53" t="str">
        <f ca="1">IFERROR(IF(0=LEN(ReferenceData!$AN$53),"",ReferenceData!$AN$53),"")</f>
        <v/>
      </c>
      <c r="AO53" t="str">
        <f ca="1">IFERROR(IF(0=LEN(ReferenceData!$AO$53),"",ReferenceData!$AO$53),"")</f>
        <v/>
      </c>
      <c r="AP53" t="str">
        <f ca="1">IFERROR(IF(0=LEN(ReferenceData!$AP$53),"",ReferenceData!$AP$53),"")</f>
        <v/>
      </c>
      <c r="AQ53" t="str">
        <f ca="1">IFERROR(IF(0=LEN(ReferenceData!$AQ$53),"",ReferenceData!$AQ$53),"")</f>
        <v/>
      </c>
      <c r="AR53" t="str">
        <f ca="1">IFERROR(IF(0=LEN(ReferenceData!$AR$53),"",ReferenceData!$AR$53),"")</f>
        <v/>
      </c>
      <c r="AS53" t="str">
        <f ca="1">IFERROR(IF(0=LEN(ReferenceData!$AS$53),"",ReferenceData!$AS$53),"")</f>
        <v/>
      </c>
      <c r="AT53" t="str">
        <f ca="1">IFERROR(IF(0=LEN(ReferenceData!$AT$53),"",ReferenceData!$AT$53),"")</f>
        <v/>
      </c>
      <c r="AU53" t="str">
        <f ca="1">IFERROR(IF(0=LEN(ReferenceData!$AU$53),"",ReferenceData!$AU$53),"")</f>
        <v/>
      </c>
      <c r="AV53" t="str">
        <f ca="1">IFERROR(IF(0=LEN(ReferenceData!$AV$53),"",ReferenceData!$AV$53),"")</f>
        <v/>
      </c>
      <c r="AW53" t="str">
        <f ca="1">IFERROR(IF(0=LEN(ReferenceData!$AW$53),"",ReferenceData!$AW$53),"")</f>
        <v/>
      </c>
      <c r="AX53" t="str">
        <f ca="1">IFERROR(IF(0=LEN(ReferenceData!$AX$53),"",ReferenceData!$AX$53),"")</f>
        <v/>
      </c>
      <c r="AY53" t="str">
        <f ca="1">IFERROR(IF(0=LEN(ReferenceData!$AY$53),"",ReferenceData!$AY$53),"")</f>
        <v/>
      </c>
      <c r="AZ53" t="str">
        <f ca="1">IFERROR(IF(0=LEN(ReferenceData!$AZ$53),"",ReferenceData!$AZ$53),"")</f>
        <v/>
      </c>
      <c r="BA53" t="str">
        <f ca="1">IFERROR(IF(0=LEN(ReferenceData!$BA$53),"",ReferenceData!$BA$53),"")</f>
        <v/>
      </c>
      <c r="BB53" t="str">
        <f ca="1">IFERROR(IF(0=LEN(ReferenceData!$BB$53),"",ReferenceData!$BB$53),"")</f>
        <v/>
      </c>
      <c r="BC53" t="str">
        <f ca="1">IFERROR(IF(0=LEN(ReferenceData!$BC$53),"",ReferenceData!$BC$53),"")</f>
        <v/>
      </c>
      <c r="BD53" t="str">
        <f ca="1">IFERROR(IF(0=LEN(ReferenceData!$BD$53),"",ReferenceData!$BD$53),"")</f>
        <v/>
      </c>
      <c r="BE53" t="str">
        <f ca="1">IFERROR(IF(0=LEN(ReferenceData!$BE$53),"",ReferenceData!$BE$53),"")</f>
        <v/>
      </c>
      <c r="BF53" t="str">
        <f ca="1">IFERROR(IF(0=LEN(ReferenceData!$BF$53),"",ReferenceData!$BF$53),"")</f>
        <v/>
      </c>
      <c r="BG53" t="str">
        <f ca="1">IFERROR(IF(0=LEN(ReferenceData!$BG$53),"",ReferenceData!$BG$53),"")</f>
        <v/>
      </c>
      <c r="BH53" t="str">
        <f ca="1">IFERROR(IF(0=LEN(ReferenceData!$BH$53),"",ReferenceData!$BH$53),"")</f>
        <v/>
      </c>
      <c r="BI53" t="str">
        <f ca="1">IFERROR(IF(0=LEN(ReferenceData!$BI$53),"",ReferenceData!$BI$53),"")</f>
        <v/>
      </c>
      <c r="BJ53" t="str">
        <f ca="1">IFERROR(IF(0=LEN(ReferenceData!$BJ$53),"",ReferenceData!$BJ$53),"")</f>
        <v/>
      </c>
      <c r="BK53" t="str">
        <f ca="1">IFERROR(IF(0=LEN(ReferenceData!$BK$53),"",ReferenceData!$BK$53),"")</f>
        <v/>
      </c>
      <c r="BL53" t="str">
        <f ca="1">IFERROR(IF(0=LEN(ReferenceData!$BL$53),"",ReferenceData!$BL$53),"")</f>
        <v/>
      </c>
      <c r="BM53" t="str">
        <f ca="1">IFERROR(IF(0=LEN(ReferenceData!$BM$53),"",ReferenceData!$BM$53),"")</f>
        <v/>
      </c>
    </row>
    <row r="54" spans="1:65" x14ac:dyDescent="0.25">
      <c r="A54" t="str">
        <f>IFERROR(IF(0=LEN(ReferenceData!$A$54),"",ReferenceData!$A$54),"")</f>
        <v xml:space="preserve">    Dongfeng Motor Group Co Ltd</v>
      </c>
      <c r="B54" t="str">
        <f>IFERROR(IF(0=LEN(ReferenceData!$B$54),"",ReferenceData!$B$54),"")</f>
        <v>489 HK Equity</v>
      </c>
      <c r="C54" t="str">
        <f>IFERROR(IF(0=LEN(ReferenceData!$C$54),"",ReferenceData!$C$54),"")</f>
        <v>EZ009</v>
      </c>
      <c r="D54" t="str">
        <f>IFERROR(IF(0=LEN(ReferenceData!$D$54),"",ReferenceData!$D$54),"")</f>
        <v>BEST_EST_PE_CUR_YR</v>
      </c>
      <c r="E54" t="str">
        <f>IFERROR(IF(0=LEN(ReferenceData!$E$54),"",ReferenceData!$E$54),"")</f>
        <v>Dynamic</v>
      </c>
      <c r="F54">
        <f ca="1">IFERROR(IF(0=LEN(ReferenceData!$F$54),"",ReferenceData!$F$54),"")</f>
        <v>4.3336770859999998</v>
      </c>
      <c r="G54">
        <f ca="1">IFERROR(IF(0=LEN(ReferenceData!$G$54),"",ReferenceData!$G$54),"")</f>
        <v>3.7653728690000001</v>
      </c>
      <c r="H54">
        <f ca="1">IFERROR(IF(0=LEN(ReferenceData!$H$54),"",ReferenceData!$H$54),"")</f>
        <v>4.1888338589999998</v>
      </c>
      <c r="I54">
        <f ca="1">IFERROR(IF(0=LEN(ReferenceData!$I$54),"",ReferenceData!$I$54),"")</f>
        <v>4.325312308</v>
      </c>
      <c r="J54">
        <f ca="1">IFERROR(IF(0=LEN(ReferenceData!$J$54),"",ReferenceData!$J$54),"")</f>
        <v>4.5586729369999999</v>
      </c>
      <c r="K54">
        <f ca="1">IFERROR(IF(0=LEN(ReferenceData!$K$54),"",ReferenceData!$K$54),"")</f>
        <v>4.8456547350000001</v>
      </c>
      <c r="L54">
        <f ca="1">IFERROR(IF(0=LEN(ReferenceData!$L$54),"",ReferenceData!$L$54),"")</f>
        <v>5.4072935639999997</v>
      </c>
      <c r="M54">
        <f ca="1">IFERROR(IF(0=LEN(ReferenceData!$M$54),"",ReferenceData!$M$54),"")</f>
        <v>5.0849334309999996</v>
      </c>
      <c r="N54">
        <f ca="1">IFERROR(IF(0=LEN(ReferenceData!$N$54),"",ReferenceData!$N$54),"")</f>
        <v>4.9908595660000001</v>
      </c>
      <c r="O54">
        <f ca="1">IFERROR(IF(0=LEN(ReferenceData!$O$54),"",ReferenceData!$O$54),"")</f>
        <v>4.4602438839999996</v>
      </c>
      <c r="P54">
        <f ca="1">IFERROR(IF(0=LEN(ReferenceData!$P$54),"",ReferenceData!$P$54),"")</f>
        <v>4.3060675750000001</v>
      </c>
      <c r="Q54">
        <f ca="1">IFERROR(IF(0=LEN(ReferenceData!$Q$54),"",ReferenceData!$Q$54),"")</f>
        <v>4.5291872</v>
      </c>
      <c r="R54">
        <f ca="1">IFERROR(IF(0=LEN(ReferenceData!$R$54),"",ReferenceData!$R$54),"")</f>
        <v>5.5387150839999997</v>
      </c>
      <c r="S54">
        <f ca="1">IFERROR(IF(0=LEN(ReferenceData!$S$54),"",ReferenceData!$S$54),"")</f>
        <v>7.4121458809999998</v>
      </c>
      <c r="T54">
        <f ca="1">IFERROR(IF(0=LEN(ReferenceData!$T$54),"",ReferenceData!$T$54),"")</f>
        <v>7.9962672020000003</v>
      </c>
      <c r="U54">
        <f ca="1">IFERROR(IF(0=LEN(ReferenceData!$U$54),"",ReferenceData!$U$54),"")</f>
        <v>4.619911707</v>
      </c>
      <c r="V54">
        <f ca="1">IFERROR(IF(0=LEN(ReferenceData!$V$54),"",ReferenceData!$V$54),"")</f>
        <v>5.0511087610000001</v>
      </c>
      <c r="W54">
        <f ca="1">IFERROR(IF(0=LEN(ReferenceData!$W$54),"",ReferenceData!$W$54),"")</f>
        <v>4.1075050199999996</v>
      </c>
      <c r="X54" t="str">
        <f ca="1">IFERROR(IF(0=LEN(ReferenceData!$X$54),"",ReferenceData!$X$54),"")</f>
        <v/>
      </c>
      <c r="Y54" t="str">
        <f ca="1">IFERROR(IF(0=LEN(ReferenceData!$Y$54),"",ReferenceData!$Y$54),"")</f>
        <v/>
      </c>
      <c r="Z54" t="str">
        <f ca="1">IFERROR(IF(0=LEN(ReferenceData!$Z$54),"",ReferenceData!$Z$54),"")</f>
        <v/>
      </c>
      <c r="AA54" t="str">
        <f ca="1">IFERROR(IF(0=LEN(ReferenceData!$AA$54),"",ReferenceData!$AA$54),"")</f>
        <v/>
      </c>
      <c r="AB54" t="str">
        <f ca="1">IFERROR(IF(0=LEN(ReferenceData!$AB$54),"",ReferenceData!$AB$54),"")</f>
        <v/>
      </c>
      <c r="AC54" t="str">
        <f ca="1">IFERROR(IF(0=LEN(ReferenceData!$AC$54),"",ReferenceData!$AC$54),"")</f>
        <v/>
      </c>
      <c r="AD54" t="str">
        <f ca="1">IFERROR(IF(0=LEN(ReferenceData!$AD$54),"",ReferenceData!$AD$54),"")</f>
        <v/>
      </c>
      <c r="AE54" t="str">
        <f ca="1">IFERROR(IF(0=LEN(ReferenceData!$AE$54),"",ReferenceData!$AE$54),"")</f>
        <v/>
      </c>
      <c r="AF54" t="str">
        <f ca="1">IFERROR(IF(0=LEN(ReferenceData!$AF$54),"",ReferenceData!$AF$54),"")</f>
        <v/>
      </c>
      <c r="AG54" t="str">
        <f ca="1">IFERROR(IF(0=LEN(ReferenceData!$AG$54),"",ReferenceData!$AG$54),"")</f>
        <v/>
      </c>
      <c r="AH54" t="str">
        <f ca="1">IFERROR(IF(0=LEN(ReferenceData!$AH$54),"",ReferenceData!$AH$54),"")</f>
        <v/>
      </c>
      <c r="AI54" t="str">
        <f ca="1">IFERROR(IF(0=LEN(ReferenceData!$AI$54),"",ReferenceData!$AI$54),"")</f>
        <v/>
      </c>
      <c r="AJ54" t="str">
        <f ca="1">IFERROR(IF(0=LEN(ReferenceData!$AJ$54),"",ReferenceData!$AJ$54),"")</f>
        <v/>
      </c>
      <c r="AK54" t="str">
        <f ca="1">IFERROR(IF(0=LEN(ReferenceData!$AK$54),"",ReferenceData!$AK$54),"")</f>
        <v/>
      </c>
      <c r="AL54" t="str">
        <f ca="1">IFERROR(IF(0=LEN(ReferenceData!$AL$54),"",ReferenceData!$AL$54),"")</f>
        <v/>
      </c>
      <c r="AM54" t="str">
        <f ca="1">IFERROR(IF(0=LEN(ReferenceData!$AM$54),"",ReferenceData!$AM$54),"")</f>
        <v/>
      </c>
      <c r="AN54" t="str">
        <f ca="1">IFERROR(IF(0=LEN(ReferenceData!$AN$54),"",ReferenceData!$AN$54),"")</f>
        <v/>
      </c>
      <c r="AO54" t="str">
        <f ca="1">IFERROR(IF(0=LEN(ReferenceData!$AO$54),"",ReferenceData!$AO$54),"")</f>
        <v/>
      </c>
      <c r="AP54" t="str">
        <f ca="1">IFERROR(IF(0=LEN(ReferenceData!$AP$54),"",ReferenceData!$AP$54),"")</f>
        <v/>
      </c>
      <c r="AQ54" t="str">
        <f ca="1">IFERROR(IF(0=LEN(ReferenceData!$AQ$54),"",ReferenceData!$AQ$54),"")</f>
        <v/>
      </c>
      <c r="AR54" t="str">
        <f ca="1">IFERROR(IF(0=LEN(ReferenceData!$AR$54),"",ReferenceData!$AR$54),"")</f>
        <v/>
      </c>
      <c r="AS54" t="str">
        <f ca="1">IFERROR(IF(0=LEN(ReferenceData!$AS$54),"",ReferenceData!$AS$54),"")</f>
        <v/>
      </c>
      <c r="AT54" t="str">
        <f ca="1">IFERROR(IF(0=LEN(ReferenceData!$AT$54),"",ReferenceData!$AT$54),"")</f>
        <v/>
      </c>
      <c r="AU54" t="str">
        <f ca="1">IFERROR(IF(0=LEN(ReferenceData!$AU$54),"",ReferenceData!$AU$54),"")</f>
        <v/>
      </c>
      <c r="AV54" t="str">
        <f ca="1">IFERROR(IF(0=LEN(ReferenceData!$AV$54),"",ReferenceData!$AV$54),"")</f>
        <v/>
      </c>
      <c r="AW54" t="str">
        <f ca="1">IFERROR(IF(0=LEN(ReferenceData!$AW$54),"",ReferenceData!$AW$54),"")</f>
        <v/>
      </c>
      <c r="AX54" t="str">
        <f ca="1">IFERROR(IF(0=LEN(ReferenceData!$AX$54),"",ReferenceData!$AX$54),"")</f>
        <v/>
      </c>
      <c r="AY54" t="str">
        <f ca="1">IFERROR(IF(0=LEN(ReferenceData!$AY$54),"",ReferenceData!$AY$54),"")</f>
        <v/>
      </c>
      <c r="AZ54" t="str">
        <f ca="1">IFERROR(IF(0=LEN(ReferenceData!$AZ$54),"",ReferenceData!$AZ$54),"")</f>
        <v/>
      </c>
      <c r="BA54" t="str">
        <f ca="1">IFERROR(IF(0=LEN(ReferenceData!$BA$54),"",ReferenceData!$BA$54),"")</f>
        <v/>
      </c>
      <c r="BB54" t="str">
        <f ca="1">IFERROR(IF(0=LEN(ReferenceData!$BB$54),"",ReferenceData!$BB$54),"")</f>
        <v/>
      </c>
      <c r="BC54" t="str">
        <f ca="1">IFERROR(IF(0=LEN(ReferenceData!$BC$54),"",ReferenceData!$BC$54),"")</f>
        <v/>
      </c>
      <c r="BD54" t="str">
        <f ca="1">IFERROR(IF(0=LEN(ReferenceData!$BD$54),"",ReferenceData!$BD$54),"")</f>
        <v/>
      </c>
      <c r="BE54" t="str">
        <f ca="1">IFERROR(IF(0=LEN(ReferenceData!$BE$54),"",ReferenceData!$BE$54),"")</f>
        <v/>
      </c>
      <c r="BF54" t="str">
        <f ca="1">IFERROR(IF(0=LEN(ReferenceData!$BF$54),"",ReferenceData!$BF$54),"")</f>
        <v/>
      </c>
      <c r="BG54" t="str">
        <f ca="1">IFERROR(IF(0=LEN(ReferenceData!$BG$54),"",ReferenceData!$BG$54),"")</f>
        <v/>
      </c>
      <c r="BH54" t="str">
        <f ca="1">IFERROR(IF(0=LEN(ReferenceData!$BH$54),"",ReferenceData!$BH$54),"")</f>
        <v/>
      </c>
      <c r="BI54" t="str">
        <f ca="1">IFERROR(IF(0=LEN(ReferenceData!$BI$54),"",ReferenceData!$BI$54),"")</f>
        <v/>
      </c>
      <c r="BJ54" t="str">
        <f ca="1">IFERROR(IF(0=LEN(ReferenceData!$BJ$54),"",ReferenceData!$BJ$54),"")</f>
        <v/>
      </c>
      <c r="BK54" t="str">
        <f ca="1">IFERROR(IF(0=LEN(ReferenceData!$BK$54),"",ReferenceData!$BK$54),"")</f>
        <v/>
      </c>
      <c r="BL54" t="str">
        <f ca="1">IFERROR(IF(0=LEN(ReferenceData!$BL$54),"",ReferenceData!$BL$54),"")</f>
        <v/>
      </c>
      <c r="BM54" t="str">
        <f ca="1">IFERROR(IF(0=LEN(ReferenceData!$BM$54),"",ReferenceData!$BM$54),"")</f>
        <v/>
      </c>
    </row>
    <row r="55" spans="1:65" x14ac:dyDescent="0.25">
      <c r="A55" t="str">
        <f>IFERROR(IF(0=LEN(ReferenceData!$A$55),"",ReferenceData!$A$55),"")</f>
        <v xml:space="preserve">    DRB-Hicom Bhd</v>
      </c>
      <c r="B55" t="str">
        <f>IFERROR(IF(0=LEN(ReferenceData!$B$55),"",ReferenceData!$B$55),"")</f>
        <v>DRB MK Equity</v>
      </c>
      <c r="C55" t="str">
        <f>IFERROR(IF(0=LEN(ReferenceData!$C$55),"",ReferenceData!$C$55),"")</f>
        <v>EZ009</v>
      </c>
      <c r="D55" t="str">
        <f>IFERROR(IF(0=LEN(ReferenceData!$D$55),"",ReferenceData!$D$55),"")</f>
        <v>BEST_EST_PE_CUR_YR</v>
      </c>
      <c r="E55" t="str">
        <f>IFERROR(IF(0=LEN(ReferenceData!$E$55),"",ReferenceData!$E$55),"")</f>
        <v>Dynamic</v>
      </c>
      <c r="F55">
        <f ca="1">IFERROR(IF(0=LEN(ReferenceData!$F$55),"",ReferenceData!$F$55),"")</f>
        <v>308.33333329999999</v>
      </c>
      <c r="G55">
        <f ca="1">IFERROR(IF(0=LEN(ReferenceData!$G$55),"",ReferenceData!$G$55),"")</f>
        <v>65.517241380000002</v>
      </c>
      <c r="H55">
        <f ca="1">IFERROR(IF(0=LEN(ReferenceData!$H$55),"",ReferenceData!$H$55),"")</f>
        <v>74.827586210000007</v>
      </c>
      <c r="I55">
        <f ca="1">IFERROR(IF(0=LEN(ReferenceData!$I$55),"",ReferenceData!$I$55),"")</f>
        <v>25.128205130000001</v>
      </c>
      <c r="J55">
        <f ca="1">IFERROR(IF(0=LEN(ReferenceData!$J$55),"",ReferenceData!$J$55),"")</f>
        <v>152.5</v>
      </c>
      <c r="K55">
        <f ca="1">IFERROR(IF(0=LEN(ReferenceData!$K$55),"",ReferenceData!$K$55),"")</f>
        <v>166.36363639999999</v>
      </c>
      <c r="L55">
        <f ca="1">IFERROR(IF(0=LEN(ReferenceData!$L$55),"",ReferenceData!$L$55),"")</f>
        <v>113.5714286</v>
      </c>
      <c r="M55">
        <f ca="1">IFERROR(IF(0=LEN(ReferenceData!$M$55),"",ReferenceData!$M$55),"")</f>
        <v>111.25</v>
      </c>
      <c r="N55">
        <f ca="1">IFERROR(IF(0=LEN(ReferenceData!$N$55),"",ReferenceData!$N$55),"")</f>
        <v>24.310344829999998</v>
      </c>
      <c r="O55">
        <f ca="1">IFERROR(IF(0=LEN(ReferenceData!$O$55),"",ReferenceData!$O$55),"")</f>
        <v>19.82758621</v>
      </c>
      <c r="P55">
        <f ca="1">IFERROR(IF(0=LEN(ReferenceData!$P$55),"",ReferenceData!$P$55),"")</f>
        <v>23.015873020000001</v>
      </c>
      <c r="Q55">
        <f ca="1">IFERROR(IF(0=LEN(ReferenceData!$Q$55),"",ReferenceData!$Q$55),"")</f>
        <v>12.32876712</v>
      </c>
      <c r="R55" t="str">
        <f ca="1">IFERROR(IF(0=LEN(ReferenceData!$R$55),"",ReferenceData!$R$55),"")</f>
        <v/>
      </c>
      <c r="S55" t="str">
        <f ca="1">IFERROR(IF(0=LEN(ReferenceData!$S$55),"",ReferenceData!$S$55),"")</f>
        <v/>
      </c>
      <c r="T55" t="str">
        <f ca="1">IFERROR(IF(0=LEN(ReferenceData!$T$55),"",ReferenceData!$T$55),"")</f>
        <v/>
      </c>
      <c r="U55" t="str">
        <f ca="1">IFERROR(IF(0=LEN(ReferenceData!$U$55),"",ReferenceData!$U$55),"")</f>
        <v/>
      </c>
      <c r="V55" t="str">
        <f ca="1">IFERROR(IF(0=LEN(ReferenceData!$V$55),"",ReferenceData!$V$55),"")</f>
        <v/>
      </c>
      <c r="W55" t="str">
        <f ca="1">IFERROR(IF(0=LEN(ReferenceData!$W$55),"",ReferenceData!$W$55),"")</f>
        <v/>
      </c>
      <c r="X55" t="str">
        <f ca="1">IFERROR(IF(0=LEN(ReferenceData!$X$55),"",ReferenceData!$X$55),"")</f>
        <v/>
      </c>
      <c r="Y55" t="str">
        <f ca="1">IFERROR(IF(0=LEN(ReferenceData!$Y$55),"",ReferenceData!$Y$55),"")</f>
        <v/>
      </c>
      <c r="Z55" t="str">
        <f ca="1">IFERROR(IF(0=LEN(ReferenceData!$Z$55),"",ReferenceData!$Z$55),"")</f>
        <v/>
      </c>
      <c r="AA55" t="str">
        <f ca="1">IFERROR(IF(0=LEN(ReferenceData!$AA$55),"",ReferenceData!$AA$55),"")</f>
        <v/>
      </c>
      <c r="AB55" t="str">
        <f ca="1">IFERROR(IF(0=LEN(ReferenceData!$AB$55),"",ReferenceData!$AB$55),"")</f>
        <v/>
      </c>
      <c r="AC55" t="str">
        <f ca="1">IFERROR(IF(0=LEN(ReferenceData!$AC$55),"",ReferenceData!$AC$55),"")</f>
        <v/>
      </c>
      <c r="AD55" t="str">
        <f ca="1">IFERROR(IF(0=LEN(ReferenceData!$AD$55),"",ReferenceData!$AD$55),"")</f>
        <v/>
      </c>
      <c r="AE55" t="str">
        <f ca="1">IFERROR(IF(0=LEN(ReferenceData!$AE$55),"",ReferenceData!$AE$55),"")</f>
        <v/>
      </c>
      <c r="AF55" t="str">
        <f ca="1">IFERROR(IF(0=LEN(ReferenceData!$AF$55),"",ReferenceData!$AF$55),"")</f>
        <v/>
      </c>
      <c r="AG55" t="str">
        <f ca="1">IFERROR(IF(0=LEN(ReferenceData!$AG$55),"",ReferenceData!$AG$55),"")</f>
        <v/>
      </c>
      <c r="AH55" t="str">
        <f ca="1">IFERROR(IF(0=LEN(ReferenceData!$AH$55),"",ReferenceData!$AH$55),"")</f>
        <v/>
      </c>
      <c r="AI55" t="str">
        <f ca="1">IFERROR(IF(0=LEN(ReferenceData!$AI$55),"",ReferenceData!$AI$55),"")</f>
        <v/>
      </c>
      <c r="AJ55" t="str">
        <f ca="1">IFERROR(IF(0=LEN(ReferenceData!$AJ$55),"",ReferenceData!$AJ$55),"")</f>
        <v/>
      </c>
      <c r="AK55" t="str">
        <f ca="1">IFERROR(IF(0=LEN(ReferenceData!$AK$55),"",ReferenceData!$AK$55),"")</f>
        <v/>
      </c>
      <c r="AL55" t="str">
        <f ca="1">IFERROR(IF(0=LEN(ReferenceData!$AL$55),"",ReferenceData!$AL$55),"")</f>
        <v/>
      </c>
      <c r="AM55" t="str">
        <f ca="1">IFERROR(IF(0=LEN(ReferenceData!$AM$55),"",ReferenceData!$AM$55),"")</f>
        <v/>
      </c>
      <c r="AN55" t="str">
        <f ca="1">IFERROR(IF(0=LEN(ReferenceData!$AN$55),"",ReferenceData!$AN$55),"")</f>
        <v/>
      </c>
      <c r="AO55" t="str">
        <f ca="1">IFERROR(IF(0=LEN(ReferenceData!$AO$55),"",ReferenceData!$AO$55),"")</f>
        <v/>
      </c>
      <c r="AP55" t="str">
        <f ca="1">IFERROR(IF(0=LEN(ReferenceData!$AP$55),"",ReferenceData!$AP$55),"")</f>
        <v/>
      </c>
      <c r="AQ55" t="str">
        <f ca="1">IFERROR(IF(0=LEN(ReferenceData!$AQ$55),"",ReferenceData!$AQ$55),"")</f>
        <v/>
      </c>
      <c r="AR55" t="str">
        <f ca="1">IFERROR(IF(0=LEN(ReferenceData!$AR$55),"",ReferenceData!$AR$55),"")</f>
        <v/>
      </c>
      <c r="AS55" t="str">
        <f ca="1">IFERROR(IF(0=LEN(ReferenceData!$AS$55),"",ReferenceData!$AS$55),"")</f>
        <v/>
      </c>
      <c r="AT55" t="str">
        <f ca="1">IFERROR(IF(0=LEN(ReferenceData!$AT$55),"",ReferenceData!$AT$55),"")</f>
        <v/>
      </c>
      <c r="AU55" t="str">
        <f ca="1">IFERROR(IF(0=LEN(ReferenceData!$AU$55),"",ReferenceData!$AU$55),"")</f>
        <v/>
      </c>
      <c r="AV55" t="str">
        <f ca="1">IFERROR(IF(0=LEN(ReferenceData!$AV$55),"",ReferenceData!$AV$55),"")</f>
        <v/>
      </c>
      <c r="AW55" t="str">
        <f ca="1">IFERROR(IF(0=LEN(ReferenceData!$AW$55),"",ReferenceData!$AW$55),"")</f>
        <v/>
      </c>
      <c r="AX55" t="str">
        <f ca="1">IFERROR(IF(0=LEN(ReferenceData!$AX$55),"",ReferenceData!$AX$55),"")</f>
        <v/>
      </c>
      <c r="AY55" t="str">
        <f ca="1">IFERROR(IF(0=LEN(ReferenceData!$AY$55),"",ReferenceData!$AY$55),"")</f>
        <v/>
      </c>
      <c r="AZ55" t="str">
        <f ca="1">IFERROR(IF(0=LEN(ReferenceData!$AZ$55),"",ReferenceData!$AZ$55),"")</f>
        <v/>
      </c>
      <c r="BA55" t="str">
        <f ca="1">IFERROR(IF(0=LEN(ReferenceData!$BA$55),"",ReferenceData!$BA$55),"")</f>
        <v/>
      </c>
      <c r="BB55" t="str">
        <f ca="1">IFERROR(IF(0=LEN(ReferenceData!$BB$55),"",ReferenceData!$BB$55),"")</f>
        <v/>
      </c>
      <c r="BC55" t="str">
        <f ca="1">IFERROR(IF(0=LEN(ReferenceData!$BC$55),"",ReferenceData!$BC$55),"")</f>
        <v/>
      </c>
      <c r="BD55" t="str">
        <f ca="1">IFERROR(IF(0=LEN(ReferenceData!$BD$55),"",ReferenceData!$BD$55),"")</f>
        <v/>
      </c>
      <c r="BE55" t="str">
        <f ca="1">IFERROR(IF(0=LEN(ReferenceData!$BE$55),"",ReferenceData!$BE$55),"")</f>
        <v/>
      </c>
      <c r="BF55" t="str">
        <f ca="1">IFERROR(IF(0=LEN(ReferenceData!$BF$55),"",ReferenceData!$BF$55),"")</f>
        <v/>
      </c>
      <c r="BG55" t="str">
        <f ca="1">IFERROR(IF(0=LEN(ReferenceData!$BG$55),"",ReferenceData!$BG$55),"")</f>
        <v/>
      </c>
      <c r="BH55" t="str">
        <f ca="1">IFERROR(IF(0=LEN(ReferenceData!$BH$55),"",ReferenceData!$BH$55),"")</f>
        <v/>
      </c>
      <c r="BI55" t="str">
        <f ca="1">IFERROR(IF(0=LEN(ReferenceData!$BI$55),"",ReferenceData!$BI$55),"")</f>
        <v/>
      </c>
      <c r="BJ55" t="str">
        <f ca="1">IFERROR(IF(0=LEN(ReferenceData!$BJ$55),"",ReferenceData!$BJ$55),"")</f>
        <v/>
      </c>
      <c r="BK55" t="str">
        <f ca="1">IFERROR(IF(0=LEN(ReferenceData!$BK$55),"",ReferenceData!$BK$55),"")</f>
        <v/>
      </c>
      <c r="BL55" t="str">
        <f ca="1">IFERROR(IF(0=LEN(ReferenceData!$BL$55),"",ReferenceData!$BL$55),"")</f>
        <v/>
      </c>
      <c r="BM55" t="str">
        <f ca="1">IFERROR(IF(0=LEN(ReferenceData!$BM$55),"",ReferenceData!$BM$55),"")</f>
        <v/>
      </c>
    </row>
    <row r="56" spans="1:65" x14ac:dyDescent="0.25">
      <c r="A56" t="str">
        <f>IFERROR(IF(0=LEN(ReferenceData!$A$56),"",ReferenceData!$A$56),"")</f>
        <v xml:space="preserve">    FAW CAR Co Ltd</v>
      </c>
      <c r="B56" t="str">
        <f>IFERROR(IF(0=LEN(ReferenceData!$B$56),"",ReferenceData!$B$56),"")</f>
        <v>000800 CH Equity</v>
      </c>
      <c r="C56" t="str">
        <f>IFERROR(IF(0=LEN(ReferenceData!$C$56),"",ReferenceData!$C$56),"")</f>
        <v>EZ009</v>
      </c>
      <c r="D56" t="str">
        <f>IFERROR(IF(0=LEN(ReferenceData!$D$56),"",ReferenceData!$D$56),"")</f>
        <v>BEST_EST_PE_CUR_YR</v>
      </c>
      <c r="E56" t="str">
        <f>IFERROR(IF(0=LEN(ReferenceData!$E$56),"",ReferenceData!$E$56),"")</f>
        <v>Dynamic</v>
      </c>
      <c r="F56" t="str">
        <f ca="1">IFERROR(IF(0=LEN(ReferenceData!$F$56),"",ReferenceData!$F$56),"")</f>
        <v/>
      </c>
      <c r="G56" t="str">
        <f ca="1">IFERROR(IF(0=LEN(ReferenceData!$G$56),"",ReferenceData!$G$56),"")</f>
        <v/>
      </c>
      <c r="H56" t="str">
        <f ca="1">IFERROR(IF(0=LEN(ReferenceData!$H$56),"",ReferenceData!$H$56),"")</f>
        <v/>
      </c>
      <c r="I56" t="str">
        <f ca="1">IFERROR(IF(0=LEN(ReferenceData!$I$56),"",ReferenceData!$I$56),"")</f>
        <v/>
      </c>
      <c r="J56" t="str">
        <f ca="1">IFERROR(IF(0=LEN(ReferenceData!$J$56),"",ReferenceData!$J$56),"")</f>
        <v/>
      </c>
      <c r="K56">
        <f ca="1">IFERROR(IF(0=LEN(ReferenceData!$K$56),"",ReferenceData!$K$56),"")</f>
        <v>41.56</v>
      </c>
      <c r="L56">
        <f ca="1">IFERROR(IF(0=LEN(ReferenceData!$L$56),"",ReferenceData!$L$56),"")</f>
        <v>55.04</v>
      </c>
      <c r="M56">
        <f ca="1">IFERROR(IF(0=LEN(ReferenceData!$M$56),"",ReferenceData!$M$56),"")</f>
        <v>42.375</v>
      </c>
      <c r="N56">
        <f ca="1">IFERROR(IF(0=LEN(ReferenceData!$N$56),"",ReferenceData!$N$56),"")</f>
        <v>49</v>
      </c>
      <c r="O56">
        <f ca="1">IFERROR(IF(0=LEN(ReferenceData!$O$56),"",ReferenceData!$O$56),"")</f>
        <v>434.8</v>
      </c>
      <c r="P56">
        <f ca="1">IFERROR(IF(0=LEN(ReferenceData!$P$56),"",ReferenceData!$P$56),"")</f>
        <v>418.8</v>
      </c>
      <c r="Q56">
        <f ca="1">IFERROR(IF(0=LEN(ReferenceData!$Q$56),"",ReferenceData!$Q$56),"")</f>
        <v>435.2</v>
      </c>
      <c r="R56" t="str">
        <f ca="1">IFERROR(IF(0=LEN(ReferenceData!$R$56),"",ReferenceData!$R$56),"")</f>
        <v/>
      </c>
      <c r="S56" t="str">
        <f ca="1">IFERROR(IF(0=LEN(ReferenceData!$S$56),"",ReferenceData!$S$56),"")</f>
        <v/>
      </c>
      <c r="T56" t="str">
        <f ca="1">IFERROR(IF(0=LEN(ReferenceData!$T$56),"",ReferenceData!$T$56),"")</f>
        <v/>
      </c>
      <c r="U56" t="str">
        <f ca="1">IFERROR(IF(0=LEN(ReferenceData!$U$56),"",ReferenceData!$U$56),"")</f>
        <v/>
      </c>
      <c r="V56" t="str">
        <f ca="1">IFERROR(IF(0=LEN(ReferenceData!$V$56),"",ReferenceData!$V$56),"")</f>
        <v/>
      </c>
      <c r="W56" t="str">
        <f ca="1">IFERROR(IF(0=LEN(ReferenceData!$W$56),"",ReferenceData!$W$56),"")</f>
        <v/>
      </c>
      <c r="X56" t="str">
        <f ca="1">IFERROR(IF(0=LEN(ReferenceData!$X$56),"",ReferenceData!$X$56),"")</f>
        <v/>
      </c>
      <c r="Y56" t="str">
        <f ca="1">IFERROR(IF(0=LEN(ReferenceData!$Y$56),"",ReferenceData!$Y$56),"")</f>
        <v/>
      </c>
      <c r="Z56" t="str">
        <f ca="1">IFERROR(IF(0=LEN(ReferenceData!$Z$56),"",ReferenceData!$Z$56),"")</f>
        <v/>
      </c>
      <c r="AA56" t="str">
        <f ca="1">IFERROR(IF(0=LEN(ReferenceData!$AA$56),"",ReferenceData!$AA$56),"")</f>
        <v/>
      </c>
      <c r="AB56" t="str">
        <f ca="1">IFERROR(IF(0=LEN(ReferenceData!$AB$56),"",ReferenceData!$AB$56),"")</f>
        <v/>
      </c>
      <c r="AC56" t="str">
        <f ca="1">IFERROR(IF(0=LEN(ReferenceData!$AC$56),"",ReferenceData!$AC$56),"")</f>
        <v/>
      </c>
      <c r="AD56" t="str">
        <f ca="1">IFERROR(IF(0=LEN(ReferenceData!$AD$56),"",ReferenceData!$AD$56),"")</f>
        <v/>
      </c>
      <c r="AE56" t="str">
        <f ca="1">IFERROR(IF(0=LEN(ReferenceData!$AE$56),"",ReferenceData!$AE$56),"")</f>
        <v/>
      </c>
      <c r="AF56" t="str">
        <f ca="1">IFERROR(IF(0=LEN(ReferenceData!$AF$56),"",ReferenceData!$AF$56),"")</f>
        <v/>
      </c>
      <c r="AG56" t="str">
        <f ca="1">IFERROR(IF(0=LEN(ReferenceData!$AG$56),"",ReferenceData!$AG$56),"")</f>
        <v/>
      </c>
      <c r="AH56" t="str">
        <f ca="1">IFERROR(IF(0=LEN(ReferenceData!$AH$56),"",ReferenceData!$AH$56),"")</f>
        <v/>
      </c>
      <c r="AI56" t="str">
        <f ca="1">IFERROR(IF(0=LEN(ReferenceData!$AI$56),"",ReferenceData!$AI$56),"")</f>
        <v/>
      </c>
      <c r="AJ56" t="str">
        <f ca="1">IFERROR(IF(0=LEN(ReferenceData!$AJ$56),"",ReferenceData!$AJ$56),"")</f>
        <v/>
      </c>
      <c r="AK56" t="str">
        <f ca="1">IFERROR(IF(0=LEN(ReferenceData!$AK$56),"",ReferenceData!$AK$56),"")</f>
        <v/>
      </c>
      <c r="AL56" t="str">
        <f ca="1">IFERROR(IF(0=LEN(ReferenceData!$AL$56),"",ReferenceData!$AL$56),"")</f>
        <v/>
      </c>
      <c r="AM56" t="str">
        <f ca="1">IFERROR(IF(0=LEN(ReferenceData!$AM$56),"",ReferenceData!$AM$56),"")</f>
        <v/>
      </c>
      <c r="AN56" t="str">
        <f ca="1">IFERROR(IF(0=LEN(ReferenceData!$AN$56),"",ReferenceData!$AN$56),"")</f>
        <v/>
      </c>
      <c r="AO56" t="str">
        <f ca="1">IFERROR(IF(0=LEN(ReferenceData!$AO$56),"",ReferenceData!$AO$56),"")</f>
        <v/>
      </c>
      <c r="AP56" t="str">
        <f ca="1">IFERROR(IF(0=LEN(ReferenceData!$AP$56),"",ReferenceData!$AP$56),"")</f>
        <v/>
      </c>
      <c r="AQ56" t="str">
        <f ca="1">IFERROR(IF(0=LEN(ReferenceData!$AQ$56),"",ReferenceData!$AQ$56),"")</f>
        <v/>
      </c>
      <c r="AR56" t="str">
        <f ca="1">IFERROR(IF(0=LEN(ReferenceData!$AR$56),"",ReferenceData!$AR$56),"")</f>
        <v/>
      </c>
      <c r="AS56" t="str">
        <f ca="1">IFERROR(IF(0=LEN(ReferenceData!$AS$56),"",ReferenceData!$AS$56),"")</f>
        <v/>
      </c>
      <c r="AT56" t="str">
        <f ca="1">IFERROR(IF(0=LEN(ReferenceData!$AT$56),"",ReferenceData!$AT$56),"")</f>
        <v/>
      </c>
      <c r="AU56" t="str">
        <f ca="1">IFERROR(IF(0=LEN(ReferenceData!$AU$56),"",ReferenceData!$AU$56),"")</f>
        <v/>
      </c>
      <c r="AV56" t="str">
        <f ca="1">IFERROR(IF(0=LEN(ReferenceData!$AV$56),"",ReferenceData!$AV$56),"")</f>
        <v/>
      </c>
      <c r="AW56" t="str">
        <f ca="1">IFERROR(IF(0=LEN(ReferenceData!$AW$56),"",ReferenceData!$AW$56),"")</f>
        <v/>
      </c>
      <c r="AX56" t="str">
        <f ca="1">IFERROR(IF(0=LEN(ReferenceData!$AX$56),"",ReferenceData!$AX$56),"")</f>
        <v/>
      </c>
      <c r="AY56" t="str">
        <f ca="1">IFERROR(IF(0=LEN(ReferenceData!$AY$56),"",ReferenceData!$AY$56),"")</f>
        <v/>
      </c>
      <c r="AZ56" t="str">
        <f ca="1">IFERROR(IF(0=LEN(ReferenceData!$AZ$56),"",ReferenceData!$AZ$56),"")</f>
        <v/>
      </c>
      <c r="BA56" t="str">
        <f ca="1">IFERROR(IF(0=LEN(ReferenceData!$BA$56),"",ReferenceData!$BA$56),"")</f>
        <v/>
      </c>
      <c r="BB56" t="str">
        <f ca="1">IFERROR(IF(0=LEN(ReferenceData!$BB$56),"",ReferenceData!$BB$56),"")</f>
        <v/>
      </c>
      <c r="BC56" t="str">
        <f ca="1">IFERROR(IF(0=LEN(ReferenceData!$BC$56),"",ReferenceData!$BC$56),"")</f>
        <v/>
      </c>
      <c r="BD56" t="str">
        <f ca="1">IFERROR(IF(0=LEN(ReferenceData!$BD$56),"",ReferenceData!$BD$56),"")</f>
        <v/>
      </c>
      <c r="BE56" t="str">
        <f ca="1">IFERROR(IF(0=LEN(ReferenceData!$BE$56),"",ReferenceData!$BE$56),"")</f>
        <v/>
      </c>
      <c r="BF56" t="str">
        <f ca="1">IFERROR(IF(0=LEN(ReferenceData!$BF$56),"",ReferenceData!$BF$56),"")</f>
        <v/>
      </c>
      <c r="BG56" t="str">
        <f ca="1">IFERROR(IF(0=LEN(ReferenceData!$BG$56),"",ReferenceData!$BG$56),"")</f>
        <v/>
      </c>
      <c r="BH56" t="str">
        <f ca="1">IFERROR(IF(0=LEN(ReferenceData!$BH$56),"",ReferenceData!$BH$56),"")</f>
        <v/>
      </c>
      <c r="BI56" t="str">
        <f ca="1">IFERROR(IF(0=LEN(ReferenceData!$BI$56),"",ReferenceData!$BI$56),"")</f>
        <v/>
      </c>
      <c r="BJ56" t="str">
        <f ca="1">IFERROR(IF(0=LEN(ReferenceData!$BJ$56),"",ReferenceData!$BJ$56),"")</f>
        <v/>
      </c>
      <c r="BK56" t="str">
        <f ca="1">IFERROR(IF(0=LEN(ReferenceData!$BK$56),"",ReferenceData!$BK$56),"")</f>
        <v/>
      </c>
      <c r="BL56" t="str">
        <f ca="1">IFERROR(IF(0=LEN(ReferenceData!$BL$56),"",ReferenceData!$BL$56),"")</f>
        <v/>
      </c>
      <c r="BM56" t="str">
        <f ca="1">IFERROR(IF(0=LEN(ReferenceData!$BM$56),"",ReferenceData!$BM$56),"")</f>
        <v/>
      </c>
    </row>
    <row r="57" spans="1:65" x14ac:dyDescent="0.25">
      <c r="A57" t="str">
        <f>IFERROR(IF(0=LEN(ReferenceData!$A$57),"",ReferenceData!$A$57),"")</f>
        <v xml:space="preserve">    Fiat Chrysler Automobiles NV</v>
      </c>
      <c r="B57" t="str">
        <f>IFERROR(IF(0=LEN(ReferenceData!$B$57),"",ReferenceData!$B$57),"")</f>
        <v>FCAU US Equity</v>
      </c>
      <c r="C57" t="str">
        <f>IFERROR(IF(0=LEN(ReferenceData!$C$57),"",ReferenceData!$C$57),"")</f>
        <v>EZ009</v>
      </c>
      <c r="D57" t="str">
        <f>IFERROR(IF(0=LEN(ReferenceData!$D$57),"",ReferenceData!$D$57),"")</f>
        <v>BEST_EST_PE_CUR_YR</v>
      </c>
      <c r="E57" t="str">
        <f>IFERROR(IF(0=LEN(ReferenceData!$E$57),"",ReferenceData!$E$57),"")</f>
        <v>Dynamic</v>
      </c>
      <c r="F57">
        <f ca="1">IFERROR(IF(0=LEN(ReferenceData!$F$57),"",ReferenceData!$F$57),"")</f>
        <v>4.4782987759999999</v>
      </c>
      <c r="G57">
        <f ca="1">IFERROR(IF(0=LEN(ReferenceData!$G$57),"",ReferenceData!$G$57),"")</f>
        <v>3.9261863930000001</v>
      </c>
      <c r="H57">
        <f ca="1">IFERROR(IF(0=LEN(ReferenceData!$H$57),"",ReferenceData!$H$57),"")</f>
        <v>4.4991440320000002</v>
      </c>
      <c r="I57">
        <f ca="1">IFERROR(IF(0=LEN(ReferenceData!$I$57),"",ReferenceData!$I$57),"")</f>
        <v>4.6062358440000004</v>
      </c>
      <c r="J57">
        <f ca="1">IFERROR(IF(0=LEN(ReferenceData!$J$57),"",ReferenceData!$J$57),"")</f>
        <v>4.994060062</v>
      </c>
      <c r="K57">
        <f ca="1">IFERROR(IF(0=LEN(ReferenceData!$K$57),"",ReferenceData!$K$57),"")</f>
        <v>5.3746689559999998</v>
      </c>
      <c r="L57">
        <f ca="1">IFERROR(IF(0=LEN(ReferenceData!$L$57),"",ReferenceData!$L$57),"")</f>
        <v>5.710992954</v>
      </c>
      <c r="M57">
        <f ca="1">IFERROR(IF(0=LEN(ReferenceData!$M$57),"",ReferenceData!$M$57),"")</f>
        <v>3.6482335460000002</v>
      </c>
      <c r="N57">
        <f ca="1">IFERROR(IF(0=LEN(ReferenceData!$N$57),"",ReferenceData!$N$57),"")</f>
        <v>4.2770272409999999</v>
      </c>
      <c r="O57">
        <f ca="1">IFERROR(IF(0=LEN(ReferenceData!$O$57),"",ReferenceData!$O$57),"")</f>
        <v>3.50081321</v>
      </c>
      <c r="P57">
        <f ca="1">IFERROR(IF(0=LEN(ReferenceData!$P$57),"",ReferenceData!$P$57),"")</f>
        <v>2.79413511</v>
      </c>
      <c r="Q57">
        <f ca="1">IFERROR(IF(0=LEN(ReferenceData!$Q$57),"",ReferenceData!$Q$57),"")</f>
        <v>7.2723124529999996</v>
      </c>
      <c r="R57">
        <f ca="1">IFERROR(IF(0=LEN(ReferenceData!$R$57),"",ReferenceData!$R$57),"")</f>
        <v>19.298035049999999</v>
      </c>
      <c r="S57">
        <f ca="1">IFERROR(IF(0=LEN(ReferenceData!$S$57),"",ReferenceData!$S$57),"")</f>
        <v>1.8140951489999999</v>
      </c>
      <c r="T57">
        <f ca="1">IFERROR(IF(0=LEN(ReferenceData!$T$57),"",ReferenceData!$T$57),"")</f>
        <v>1.589148091</v>
      </c>
      <c r="U57">
        <f ca="1">IFERROR(IF(0=LEN(ReferenceData!$U$57),"",ReferenceData!$U$57),"")</f>
        <v>0.77099929899999997</v>
      </c>
      <c r="V57" t="str">
        <f ca="1">IFERROR(IF(0=LEN(ReferenceData!$V$57),"",ReferenceData!$V$57),"")</f>
        <v/>
      </c>
      <c r="W57" t="str">
        <f ca="1">IFERROR(IF(0=LEN(ReferenceData!$W$57),"",ReferenceData!$W$57),"")</f>
        <v/>
      </c>
      <c r="X57" t="str">
        <f ca="1">IFERROR(IF(0=LEN(ReferenceData!$X$57),"",ReferenceData!$X$57),"")</f>
        <v/>
      </c>
      <c r="Y57" t="str">
        <f ca="1">IFERROR(IF(0=LEN(ReferenceData!$Y$57),"",ReferenceData!$Y$57),"")</f>
        <v/>
      </c>
      <c r="Z57" t="str">
        <f ca="1">IFERROR(IF(0=LEN(ReferenceData!$Z$57),"",ReferenceData!$Z$57),"")</f>
        <v/>
      </c>
      <c r="AA57" t="str">
        <f ca="1">IFERROR(IF(0=LEN(ReferenceData!$AA$57),"",ReferenceData!$AA$57),"")</f>
        <v/>
      </c>
      <c r="AB57" t="str">
        <f ca="1">IFERROR(IF(0=LEN(ReferenceData!$AB$57),"",ReferenceData!$AB$57),"")</f>
        <v/>
      </c>
      <c r="AC57" t="str">
        <f ca="1">IFERROR(IF(0=LEN(ReferenceData!$AC$57),"",ReferenceData!$AC$57),"")</f>
        <v/>
      </c>
      <c r="AD57" t="str">
        <f ca="1">IFERROR(IF(0=LEN(ReferenceData!$AD$57),"",ReferenceData!$AD$57),"")</f>
        <v/>
      </c>
      <c r="AE57" t="str">
        <f ca="1">IFERROR(IF(0=LEN(ReferenceData!$AE$57),"",ReferenceData!$AE$57),"")</f>
        <v/>
      </c>
      <c r="AF57" t="str">
        <f ca="1">IFERROR(IF(0=LEN(ReferenceData!$AF$57),"",ReferenceData!$AF$57),"")</f>
        <v/>
      </c>
      <c r="AG57" t="str">
        <f ca="1">IFERROR(IF(0=LEN(ReferenceData!$AG$57),"",ReferenceData!$AG$57),"")</f>
        <v/>
      </c>
      <c r="AH57" t="str">
        <f ca="1">IFERROR(IF(0=LEN(ReferenceData!$AH$57),"",ReferenceData!$AH$57),"")</f>
        <v/>
      </c>
      <c r="AI57" t="str">
        <f ca="1">IFERROR(IF(0=LEN(ReferenceData!$AI$57),"",ReferenceData!$AI$57),"")</f>
        <v/>
      </c>
      <c r="AJ57" t="str">
        <f ca="1">IFERROR(IF(0=LEN(ReferenceData!$AJ$57),"",ReferenceData!$AJ$57),"")</f>
        <v/>
      </c>
      <c r="AK57" t="str">
        <f ca="1">IFERROR(IF(0=LEN(ReferenceData!$AK$57),"",ReferenceData!$AK$57),"")</f>
        <v/>
      </c>
      <c r="AL57" t="str">
        <f ca="1">IFERROR(IF(0=LEN(ReferenceData!$AL$57),"",ReferenceData!$AL$57),"")</f>
        <v/>
      </c>
      <c r="AM57" t="str">
        <f ca="1">IFERROR(IF(0=LEN(ReferenceData!$AM$57),"",ReferenceData!$AM$57),"")</f>
        <v/>
      </c>
      <c r="AN57" t="str">
        <f ca="1">IFERROR(IF(0=LEN(ReferenceData!$AN$57),"",ReferenceData!$AN$57),"")</f>
        <v/>
      </c>
      <c r="AO57" t="str">
        <f ca="1">IFERROR(IF(0=LEN(ReferenceData!$AO$57),"",ReferenceData!$AO$57),"")</f>
        <v/>
      </c>
      <c r="AP57" t="str">
        <f ca="1">IFERROR(IF(0=LEN(ReferenceData!$AP$57),"",ReferenceData!$AP$57),"")</f>
        <v/>
      </c>
      <c r="AQ57" t="str">
        <f ca="1">IFERROR(IF(0=LEN(ReferenceData!$AQ$57),"",ReferenceData!$AQ$57),"")</f>
        <v/>
      </c>
      <c r="AR57" t="str">
        <f ca="1">IFERROR(IF(0=LEN(ReferenceData!$AR$57),"",ReferenceData!$AR$57),"")</f>
        <v/>
      </c>
      <c r="AS57" t="str">
        <f ca="1">IFERROR(IF(0=LEN(ReferenceData!$AS$57),"",ReferenceData!$AS$57),"")</f>
        <v/>
      </c>
      <c r="AT57" t="str">
        <f ca="1">IFERROR(IF(0=LEN(ReferenceData!$AT$57),"",ReferenceData!$AT$57),"")</f>
        <v/>
      </c>
      <c r="AU57" t="str">
        <f ca="1">IFERROR(IF(0=LEN(ReferenceData!$AU$57),"",ReferenceData!$AU$57),"")</f>
        <v/>
      </c>
      <c r="AV57" t="str">
        <f ca="1">IFERROR(IF(0=LEN(ReferenceData!$AV$57),"",ReferenceData!$AV$57),"")</f>
        <v/>
      </c>
      <c r="AW57" t="str">
        <f ca="1">IFERROR(IF(0=LEN(ReferenceData!$AW$57),"",ReferenceData!$AW$57),"")</f>
        <v/>
      </c>
      <c r="AX57" t="str">
        <f ca="1">IFERROR(IF(0=LEN(ReferenceData!$AX$57),"",ReferenceData!$AX$57),"")</f>
        <v/>
      </c>
      <c r="AY57" t="str">
        <f ca="1">IFERROR(IF(0=LEN(ReferenceData!$AY$57),"",ReferenceData!$AY$57),"")</f>
        <v/>
      </c>
      <c r="AZ57" t="str">
        <f ca="1">IFERROR(IF(0=LEN(ReferenceData!$AZ$57),"",ReferenceData!$AZ$57),"")</f>
        <v/>
      </c>
      <c r="BA57" t="str">
        <f ca="1">IFERROR(IF(0=LEN(ReferenceData!$BA$57),"",ReferenceData!$BA$57),"")</f>
        <v/>
      </c>
      <c r="BB57" t="str">
        <f ca="1">IFERROR(IF(0=LEN(ReferenceData!$BB$57),"",ReferenceData!$BB$57),"")</f>
        <v/>
      </c>
      <c r="BC57" t="str">
        <f ca="1">IFERROR(IF(0=LEN(ReferenceData!$BC$57),"",ReferenceData!$BC$57),"")</f>
        <v/>
      </c>
      <c r="BD57" t="str">
        <f ca="1">IFERROR(IF(0=LEN(ReferenceData!$BD$57),"",ReferenceData!$BD$57),"")</f>
        <v/>
      </c>
      <c r="BE57" t="str">
        <f ca="1">IFERROR(IF(0=LEN(ReferenceData!$BE$57),"",ReferenceData!$BE$57),"")</f>
        <v/>
      </c>
      <c r="BF57" t="str">
        <f ca="1">IFERROR(IF(0=LEN(ReferenceData!$BF$57),"",ReferenceData!$BF$57),"")</f>
        <v/>
      </c>
      <c r="BG57" t="str">
        <f ca="1">IFERROR(IF(0=LEN(ReferenceData!$BG$57),"",ReferenceData!$BG$57),"")</f>
        <v/>
      </c>
      <c r="BH57" t="str">
        <f ca="1">IFERROR(IF(0=LEN(ReferenceData!$BH$57),"",ReferenceData!$BH$57),"")</f>
        <v/>
      </c>
      <c r="BI57" t="str">
        <f ca="1">IFERROR(IF(0=LEN(ReferenceData!$BI$57),"",ReferenceData!$BI$57),"")</f>
        <v/>
      </c>
      <c r="BJ57" t="str">
        <f ca="1">IFERROR(IF(0=LEN(ReferenceData!$BJ$57),"",ReferenceData!$BJ$57),"")</f>
        <v/>
      </c>
      <c r="BK57" t="str">
        <f ca="1">IFERROR(IF(0=LEN(ReferenceData!$BK$57),"",ReferenceData!$BK$57),"")</f>
        <v/>
      </c>
      <c r="BL57" t="str">
        <f ca="1">IFERROR(IF(0=LEN(ReferenceData!$BL$57),"",ReferenceData!$BL$57),"")</f>
        <v/>
      </c>
      <c r="BM57" t="str">
        <f ca="1">IFERROR(IF(0=LEN(ReferenceData!$BM$57),"",ReferenceData!$BM$57),"")</f>
        <v/>
      </c>
    </row>
    <row r="58" spans="1:65" x14ac:dyDescent="0.25">
      <c r="A58" t="str">
        <f>IFERROR(IF(0=LEN(ReferenceData!$A$58),"",ReferenceData!$A$58),"")</f>
        <v xml:space="preserve">    Ford Motor Co</v>
      </c>
      <c r="B58" t="str">
        <f>IFERROR(IF(0=LEN(ReferenceData!$B$58),"",ReferenceData!$B$58),"")</f>
        <v>F US Equity</v>
      </c>
      <c r="C58" t="str">
        <f>IFERROR(IF(0=LEN(ReferenceData!$C$58),"",ReferenceData!$C$58),"")</f>
        <v>EZ009</v>
      </c>
      <c r="D58" t="str">
        <f>IFERROR(IF(0=LEN(ReferenceData!$D$58),"",ReferenceData!$D$58),"")</f>
        <v>BEST_EST_PE_CUR_YR</v>
      </c>
      <c r="E58" t="str">
        <f>IFERROR(IF(0=LEN(ReferenceData!$E$58),"",ReferenceData!$E$58),"")</f>
        <v>Dynamic</v>
      </c>
      <c r="F58">
        <f ca="1">IFERROR(IF(0=LEN(ReferenceData!$F$58),"",ReferenceData!$F$58),"")</f>
        <v>7.2950127760000001</v>
      </c>
      <c r="G58">
        <f ca="1">IFERROR(IF(0=LEN(ReferenceData!$G$58),"",ReferenceData!$G$58),"")</f>
        <v>5.8486238530000003</v>
      </c>
      <c r="H58">
        <f ca="1">IFERROR(IF(0=LEN(ReferenceData!$H$58),"",ReferenceData!$H$58),"")</f>
        <v>6.6642651300000004</v>
      </c>
      <c r="I58">
        <f ca="1">IFERROR(IF(0=LEN(ReferenceData!$I$58),"",ReferenceData!$I$58),"")</f>
        <v>7.244764398</v>
      </c>
      <c r="J58">
        <f ca="1">IFERROR(IF(0=LEN(ReferenceData!$J$58),"",ReferenceData!$J$58),"")</f>
        <v>7.3474801059999999</v>
      </c>
      <c r="K58">
        <f ca="1">IFERROR(IF(0=LEN(ReferenceData!$K$58),"",ReferenceData!$K$58),"")</f>
        <v>7.6484996939999998</v>
      </c>
      <c r="L58">
        <f ca="1">IFERROR(IF(0=LEN(ReferenceData!$L$58),"",ReferenceData!$L$58),"")</f>
        <v>7.7576150359999998</v>
      </c>
      <c r="M58">
        <f ca="1">IFERROR(IF(0=LEN(ReferenceData!$M$58),"",ReferenceData!$M$58),"")</f>
        <v>6.574618096</v>
      </c>
      <c r="N58">
        <f ca="1">IFERROR(IF(0=LEN(ReferenceData!$N$58),"",ReferenceData!$N$58),"")</f>
        <v>6.7322151530000003</v>
      </c>
      <c r="O58">
        <f ca="1">IFERROR(IF(0=LEN(ReferenceData!$O$58),"",ReferenceData!$O$58),"")</f>
        <v>7.4417177910000003</v>
      </c>
      <c r="P58">
        <f ca="1">IFERROR(IF(0=LEN(ReferenceData!$P$58),"",ReferenceData!$P$58),"")</f>
        <v>6.4545454549999999</v>
      </c>
      <c r="Q58">
        <f ca="1">IFERROR(IF(0=LEN(ReferenceData!$Q$58),"",ReferenceData!$Q$58),"")</f>
        <v>6.7219251340000001</v>
      </c>
      <c r="R58">
        <f ca="1">IFERROR(IF(0=LEN(ReferenceData!$R$58),"",ReferenceData!$R$58),"")</f>
        <v>7.2192513370000002</v>
      </c>
      <c r="S58">
        <f ca="1">IFERROR(IF(0=LEN(ReferenceData!$S$58),"",ReferenceData!$S$58),"")</f>
        <v>7.5347593579999996</v>
      </c>
      <c r="T58" t="str">
        <f ca="1">IFERROR(IF(0=LEN(ReferenceData!$T$58),"",ReferenceData!$T$58),"")</f>
        <v/>
      </c>
      <c r="U58" t="str">
        <f ca="1">IFERROR(IF(0=LEN(ReferenceData!$U$58),"",ReferenceData!$U$58),"")</f>
        <v/>
      </c>
      <c r="V58" t="str">
        <f ca="1">IFERROR(IF(0=LEN(ReferenceData!$V$58),"",ReferenceData!$V$58),"")</f>
        <v/>
      </c>
      <c r="W58" t="str">
        <f ca="1">IFERROR(IF(0=LEN(ReferenceData!$W$58),"",ReferenceData!$W$58),"")</f>
        <v/>
      </c>
      <c r="X58" t="str">
        <f ca="1">IFERROR(IF(0=LEN(ReferenceData!$X$58),"",ReferenceData!$X$58),"")</f>
        <v/>
      </c>
      <c r="Y58" t="str">
        <f ca="1">IFERROR(IF(0=LEN(ReferenceData!$Y$58),"",ReferenceData!$Y$58),"")</f>
        <v/>
      </c>
      <c r="Z58" t="str">
        <f ca="1">IFERROR(IF(0=LEN(ReferenceData!$Z$58),"",ReferenceData!$Z$58),"")</f>
        <v/>
      </c>
      <c r="AA58" t="str">
        <f ca="1">IFERROR(IF(0=LEN(ReferenceData!$AA$58),"",ReferenceData!$AA$58),"")</f>
        <v/>
      </c>
      <c r="AB58" t="str">
        <f ca="1">IFERROR(IF(0=LEN(ReferenceData!$AB$58),"",ReferenceData!$AB$58),"")</f>
        <v/>
      </c>
      <c r="AC58" t="str">
        <f ca="1">IFERROR(IF(0=LEN(ReferenceData!$AC$58),"",ReferenceData!$AC$58),"")</f>
        <v/>
      </c>
      <c r="AD58" t="str">
        <f ca="1">IFERROR(IF(0=LEN(ReferenceData!$AD$58),"",ReferenceData!$AD$58),"")</f>
        <v/>
      </c>
      <c r="AE58" t="str">
        <f ca="1">IFERROR(IF(0=LEN(ReferenceData!$AE$58),"",ReferenceData!$AE$58),"")</f>
        <v/>
      </c>
      <c r="AF58" t="str">
        <f ca="1">IFERROR(IF(0=LEN(ReferenceData!$AF$58),"",ReferenceData!$AF$58),"")</f>
        <v/>
      </c>
      <c r="AG58" t="str">
        <f ca="1">IFERROR(IF(0=LEN(ReferenceData!$AG$58),"",ReferenceData!$AG$58),"")</f>
        <v/>
      </c>
      <c r="AH58" t="str">
        <f ca="1">IFERROR(IF(0=LEN(ReferenceData!$AH$58),"",ReferenceData!$AH$58),"")</f>
        <v/>
      </c>
      <c r="AI58" t="str">
        <f ca="1">IFERROR(IF(0=LEN(ReferenceData!$AI$58),"",ReferenceData!$AI$58),"")</f>
        <v/>
      </c>
      <c r="AJ58" t="str">
        <f ca="1">IFERROR(IF(0=LEN(ReferenceData!$AJ$58),"",ReferenceData!$AJ$58),"")</f>
        <v/>
      </c>
      <c r="AK58" t="str">
        <f ca="1">IFERROR(IF(0=LEN(ReferenceData!$AK$58),"",ReferenceData!$AK$58),"")</f>
        <v/>
      </c>
      <c r="AL58" t="str">
        <f ca="1">IFERROR(IF(0=LEN(ReferenceData!$AL$58),"",ReferenceData!$AL$58),"")</f>
        <v/>
      </c>
      <c r="AM58" t="str">
        <f ca="1">IFERROR(IF(0=LEN(ReferenceData!$AM$58),"",ReferenceData!$AM$58),"")</f>
        <v/>
      </c>
      <c r="AN58" t="str">
        <f ca="1">IFERROR(IF(0=LEN(ReferenceData!$AN$58),"",ReferenceData!$AN$58),"")</f>
        <v/>
      </c>
      <c r="AO58" t="str">
        <f ca="1">IFERROR(IF(0=LEN(ReferenceData!$AO$58),"",ReferenceData!$AO$58),"")</f>
        <v/>
      </c>
      <c r="AP58" t="str">
        <f ca="1">IFERROR(IF(0=LEN(ReferenceData!$AP$58),"",ReferenceData!$AP$58),"")</f>
        <v/>
      </c>
      <c r="AQ58" t="str">
        <f ca="1">IFERROR(IF(0=LEN(ReferenceData!$AQ$58),"",ReferenceData!$AQ$58),"")</f>
        <v/>
      </c>
      <c r="AR58" t="str">
        <f ca="1">IFERROR(IF(0=LEN(ReferenceData!$AR$58),"",ReferenceData!$AR$58),"")</f>
        <v/>
      </c>
      <c r="AS58" t="str">
        <f ca="1">IFERROR(IF(0=LEN(ReferenceData!$AS$58),"",ReferenceData!$AS$58),"")</f>
        <v/>
      </c>
      <c r="AT58" t="str">
        <f ca="1">IFERROR(IF(0=LEN(ReferenceData!$AT$58),"",ReferenceData!$AT$58),"")</f>
        <v/>
      </c>
      <c r="AU58" t="str">
        <f ca="1">IFERROR(IF(0=LEN(ReferenceData!$AU$58),"",ReferenceData!$AU$58),"")</f>
        <v/>
      </c>
      <c r="AV58" t="str">
        <f ca="1">IFERROR(IF(0=LEN(ReferenceData!$AV$58),"",ReferenceData!$AV$58),"")</f>
        <v/>
      </c>
      <c r="AW58" t="str">
        <f ca="1">IFERROR(IF(0=LEN(ReferenceData!$AW$58),"",ReferenceData!$AW$58),"")</f>
        <v/>
      </c>
      <c r="AX58" t="str">
        <f ca="1">IFERROR(IF(0=LEN(ReferenceData!$AX$58),"",ReferenceData!$AX$58),"")</f>
        <v/>
      </c>
      <c r="AY58" t="str">
        <f ca="1">IFERROR(IF(0=LEN(ReferenceData!$AY$58),"",ReferenceData!$AY$58),"")</f>
        <v/>
      </c>
      <c r="AZ58" t="str">
        <f ca="1">IFERROR(IF(0=LEN(ReferenceData!$AZ$58),"",ReferenceData!$AZ$58),"")</f>
        <v/>
      </c>
      <c r="BA58" t="str">
        <f ca="1">IFERROR(IF(0=LEN(ReferenceData!$BA$58),"",ReferenceData!$BA$58),"")</f>
        <v/>
      </c>
      <c r="BB58" t="str">
        <f ca="1">IFERROR(IF(0=LEN(ReferenceData!$BB$58),"",ReferenceData!$BB$58),"")</f>
        <v/>
      </c>
      <c r="BC58" t="str">
        <f ca="1">IFERROR(IF(0=LEN(ReferenceData!$BC$58),"",ReferenceData!$BC$58),"")</f>
        <v/>
      </c>
      <c r="BD58" t="str">
        <f ca="1">IFERROR(IF(0=LEN(ReferenceData!$BD$58),"",ReferenceData!$BD$58),"")</f>
        <v/>
      </c>
      <c r="BE58" t="str">
        <f ca="1">IFERROR(IF(0=LEN(ReferenceData!$BE$58),"",ReferenceData!$BE$58),"")</f>
        <v/>
      </c>
      <c r="BF58" t="str">
        <f ca="1">IFERROR(IF(0=LEN(ReferenceData!$BF$58),"",ReferenceData!$BF$58),"")</f>
        <v/>
      </c>
      <c r="BG58" t="str">
        <f ca="1">IFERROR(IF(0=LEN(ReferenceData!$BG$58),"",ReferenceData!$BG$58),"")</f>
        <v/>
      </c>
      <c r="BH58" t="str">
        <f ca="1">IFERROR(IF(0=LEN(ReferenceData!$BH$58),"",ReferenceData!$BH$58),"")</f>
        <v/>
      </c>
      <c r="BI58" t="str">
        <f ca="1">IFERROR(IF(0=LEN(ReferenceData!$BI$58),"",ReferenceData!$BI$58),"")</f>
        <v/>
      </c>
      <c r="BJ58" t="str">
        <f ca="1">IFERROR(IF(0=LEN(ReferenceData!$BJ$58),"",ReferenceData!$BJ$58),"")</f>
        <v/>
      </c>
      <c r="BK58" t="str">
        <f ca="1">IFERROR(IF(0=LEN(ReferenceData!$BK$58),"",ReferenceData!$BK$58),"")</f>
        <v/>
      </c>
      <c r="BL58" t="str">
        <f ca="1">IFERROR(IF(0=LEN(ReferenceData!$BL$58),"",ReferenceData!$BL$58),"")</f>
        <v/>
      </c>
      <c r="BM58" t="str">
        <f ca="1">IFERROR(IF(0=LEN(ReferenceData!$BM$58),"",ReferenceData!$BM$58),"")</f>
        <v/>
      </c>
    </row>
    <row r="59" spans="1:65" x14ac:dyDescent="0.25">
      <c r="A59" t="str">
        <f>IFERROR(IF(0=LEN(ReferenceData!$A$59),"",ReferenceData!$A$59),"")</f>
        <v xml:space="preserve">    Ford Otomotiv Sanayi AS</v>
      </c>
      <c r="B59" t="str">
        <f>IFERROR(IF(0=LEN(ReferenceData!$B$59),"",ReferenceData!$B$59),"")</f>
        <v>FROTOTRY EO Equity</v>
      </c>
      <c r="C59" t="str">
        <f>IFERROR(IF(0=LEN(ReferenceData!$C$59),"",ReferenceData!$C$59),"")</f>
        <v>EZ009</v>
      </c>
      <c r="D59" t="str">
        <f>IFERROR(IF(0=LEN(ReferenceData!$D$59),"",ReferenceData!$D$59),"")</f>
        <v>BEST_EST_PE_CUR_YR</v>
      </c>
      <c r="E59" t="str">
        <f>IFERROR(IF(0=LEN(ReferenceData!$E$59),"",ReferenceData!$E$59),"")</f>
        <v>Dynamic</v>
      </c>
      <c r="F59" t="str">
        <f ca="1">IFERROR(IF(0=LEN(ReferenceData!$F$59),"",ReferenceData!$F$59),"")</f>
        <v/>
      </c>
      <c r="G59" t="str">
        <f ca="1">IFERROR(IF(0=LEN(ReferenceData!$G$59),"",ReferenceData!$G$59),"")</f>
        <v/>
      </c>
      <c r="H59" t="str">
        <f ca="1">IFERROR(IF(0=LEN(ReferenceData!$H$59),"",ReferenceData!$H$59),"")</f>
        <v/>
      </c>
      <c r="I59" t="str">
        <f ca="1">IFERROR(IF(0=LEN(ReferenceData!$I$59),"",ReferenceData!$I$59),"")</f>
        <v/>
      </c>
      <c r="J59" t="str">
        <f ca="1">IFERROR(IF(0=LEN(ReferenceData!$J$59),"",ReferenceData!$J$59),"")</f>
        <v/>
      </c>
      <c r="K59" t="str">
        <f ca="1">IFERROR(IF(0=LEN(ReferenceData!$K$59),"",ReferenceData!$K$59),"")</f>
        <v/>
      </c>
      <c r="L59" t="str">
        <f ca="1">IFERROR(IF(0=LEN(ReferenceData!$L$59),"",ReferenceData!$L$59),"")</f>
        <v/>
      </c>
      <c r="M59" t="str">
        <f ca="1">IFERROR(IF(0=LEN(ReferenceData!$M$59),"",ReferenceData!$M$59),"")</f>
        <v/>
      </c>
      <c r="N59" t="str">
        <f ca="1">IFERROR(IF(0=LEN(ReferenceData!$N$59),"",ReferenceData!$N$59),"")</f>
        <v/>
      </c>
      <c r="O59" t="str">
        <f ca="1">IFERROR(IF(0=LEN(ReferenceData!$O$59),"",ReferenceData!$O$59),"")</f>
        <v/>
      </c>
      <c r="P59" t="str">
        <f ca="1">IFERROR(IF(0=LEN(ReferenceData!$P$59),"",ReferenceData!$P$59),"")</f>
        <v/>
      </c>
      <c r="Q59" t="str">
        <f ca="1">IFERROR(IF(0=LEN(ReferenceData!$Q$59),"",ReferenceData!$Q$59),"")</f>
        <v/>
      </c>
      <c r="R59" t="str">
        <f ca="1">IFERROR(IF(0=LEN(ReferenceData!$R$59),"",ReferenceData!$R$59),"")</f>
        <v/>
      </c>
      <c r="S59" t="str">
        <f ca="1">IFERROR(IF(0=LEN(ReferenceData!$S$59),"",ReferenceData!$S$59),"")</f>
        <v/>
      </c>
      <c r="T59" t="str">
        <f ca="1">IFERROR(IF(0=LEN(ReferenceData!$T$59),"",ReferenceData!$T$59),"")</f>
        <v/>
      </c>
      <c r="U59" t="str">
        <f ca="1">IFERROR(IF(0=LEN(ReferenceData!$U$59),"",ReferenceData!$U$59),"")</f>
        <v/>
      </c>
      <c r="V59" t="str">
        <f ca="1">IFERROR(IF(0=LEN(ReferenceData!$V$59),"",ReferenceData!$V$59),"")</f>
        <v/>
      </c>
      <c r="W59" t="str">
        <f ca="1">IFERROR(IF(0=LEN(ReferenceData!$W$59),"",ReferenceData!$W$59),"")</f>
        <v/>
      </c>
      <c r="X59" t="str">
        <f ca="1">IFERROR(IF(0=LEN(ReferenceData!$X$59),"",ReferenceData!$X$59),"")</f>
        <v/>
      </c>
      <c r="Y59" t="str">
        <f ca="1">IFERROR(IF(0=LEN(ReferenceData!$Y$59),"",ReferenceData!$Y$59),"")</f>
        <v/>
      </c>
      <c r="Z59" t="str">
        <f ca="1">IFERROR(IF(0=LEN(ReferenceData!$Z$59),"",ReferenceData!$Z$59),"")</f>
        <v/>
      </c>
      <c r="AA59" t="str">
        <f ca="1">IFERROR(IF(0=LEN(ReferenceData!$AA$59),"",ReferenceData!$AA$59),"")</f>
        <v/>
      </c>
      <c r="AB59" t="str">
        <f ca="1">IFERROR(IF(0=LEN(ReferenceData!$AB$59),"",ReferenceData!$AB$59),"")</f>
        <v/>
      </c>
      <c r="AC59" t="str">
        <f ca="1">IFERROR(IF(0=LEN(ReferenceData!$AC$59),"",ReferenceData!$AC$59),"")</f>
        <v/>
      </c>
      <c r="AD59" t="str">
        <f ca="1">IFERROR(IF(0=LEN(ReferenceData!$AD$59),"",ReferenceData!$AD$59),"")</f>
        <v/>
      </c>
      <c r="AE59" t="str">
        <f ca="1">IFERROR(IF(0=LEN(ReferenceData!$AE$59),"",ReferenceData!$AE$59),"")</f>
        <v/>
      </c>
      <c r="AF59" t="str">
        <f ca="1">IFERROR(IF(0=LEN(ReferenceData!$AF$59),"",ReferenceData!$AF$59),"")</f>
        <v/>
      </c>
      <c r="AG59" t="str">
        <f ca="1">IFERROR(IF(0=LEN(ReferenceData!$AG$59),"",ReferenceData!$AG$59),"")</f>
        <v/>
      </c>
      <c r="AH59" t="str">
        <f ca="1">IFERROR(IF(0=LEN(ReferenceData!$AH$59),"",ReferenceData!$AH$59),"")</f>
        <v/>
      </c>
      <c r="AI59" t="str">
        <f ca="1">IFERROR(IF(0=LEN(ReferenceData!$AI$59),"",ReferenceData!$AI$59),"")</f>
        <v/>
      </c>
      <c r="AJ59" t="str">
        <f ca="1">IFERROR(IF(0=LEN(ReferenceData!$AJ$59),"",ReferenceData!$AJ$59),"")</f>
        <v/>
      </c>
      <c r="AK59" t="str">
        <f ca="1">IFERROR(IF(0=LEN(ReferenceData!$AK$59),"",ReferenceData!$AK$59),"")</f>
        <v/>
      </c>
      <c r="AL59" t="str">
        <f ca="1">IFERROR(IF(0=LEN(ReferenceData!$AL$59),"",ReferenceData!$AL$59),"")</f>
        <v/>
      </c>
      <c r="AM59" t="str">
        <f ca="1">IFERROR(IF(0=LEN(ReferenceData!$AM$59),"",ReferenceData!$AM$59),"")</f>
        <v/>
      </c>
      <c r="AN59" t="str">
        <f ca="1">IFERROR(IF(0=LEN(ReferenceData!$AN$59),"",ReferenceData!$AN$59),"")</f>
        <v/>
      </c>
      <c r="AO59" t="str">
        <f ca="1">IFERROR(IF(0=LEN(ReferenceData!$AO$59),"",ReferenceData!$AO$59),"")</f>
        <v/>
      </c>
      <c r="AP59" t="str">
        <f ca="1">IFERROR(IF(0=LEN(ReferenceData!$AP$59),"",ReferenceData!$AP$59),"")</f>
        <v/>
      </c>
      <c r="AQ59" t="str">
        <f ca="1">IFERROR(IF(0=LEN(ReferenceData!$AQ$59),"",ReferenceData!$AQ$59),"")</f>
        <v/>
      </c>
      <c r="AR59" t="str">
        <f ca="1">IFERROR(IF(0=LEN(ReferenceData!$AR$59),"",ReferenceData!$AR$59),"")</f>
        <v/>
      </c>
      <c r="AS59" t="str">
        <f ca="1">IFERROR(IF(0=LEN(ReferenceData!$AS$59),"",ReferenceData!$AS$59),"")</f>
        <v/>
      </c>
      <c r="AT59" t="str">
        <f ca="1">IFERROR(IF(0=LEN(ReferenceData!$AT$59),"",ReferenceData!$AT$59),"")</f>
        <v/>
      </c>
      <c r="AU59" t="str">
        <f ca="1">IFERROR(IF(0=LEN(ReferenceData!$AU$59),"",ReferenceData!$AU$59),"")</f>
        <v/>
      </c>
      <c r="AV59" t="str">
        <f ca="1">IFERROR(IF(0=LEN(ReferenceData!$AV$59),"",ReferenceData!$AV$59),"")</f>
        <v/>
      </c>
      <c r="AW59" t="str">
        <f ca="1">IFERROR(IF(0=LEN(ReferenceData!$AW$59),"",ReferenceData!$AW$59),"")</f>
        <v/>
      </c>
      <c r="AX59" t="str">
        <f ca="1">IFERROR(IF(0=LEN(ReferenceData!$AX$59),"",ReferenceData!$AX$59),"")</f>
        <v/>
      </c>
      <c r="AY59" t="str">
        <f ca="1">IFERROR(IF(0=LEN(ReferenceData!$AY$59),"",ReferenceData!$AY$59),"")</f>
        <v/>
      </c>
      <c r="AZ59" t="str">
        <f ca="1">IFERROR(IF(0=LEN(ReferenceData!$AZ$59),"",ReferenceData!$AZ$59),"")</f>
        <v/>
      </c>
      <c r="BA59" t="str">
        <f ca="1">IFERROR(IF(0=LEN(ReferenceData!$BA$59),"",ReferenceData!$BA$59),"")</f>
        <v/>
      </c>
      <c r="BB59" t="str">
        <f ca="1">IFERROR(IF(0=LEN(ReferenceData!$BB$59),"",ReferenceData!$BB$59),"")</f>
        <v/>
      </c>
      <c r="BC59" t="str">
        <f ca="1">IFERROR(IF(0=LEN(ReferenceData!$BC$59),"",ReferenceData!$BC$59),"")</f>
        <v/>
      </c>
      <c r="BD59" t="str">
        <f ca="1">IFERROR(IF(0=LEN(ReferenceData!$BD$59),"",ReferenceData!$BD$59),"")</f>
        <v/>
      </c>
      <c r="BE59" t="str">
        <f ca="1">IFERROR(IF(0=LEN(ReferenceData!$BE$59),"",ReferenceData!$BE$59),"")</f>
        <v/>
      </c>
      <c r="BF59" t="str">
        <f ca="1">IFERROR(IF(0=LEN(ReferenceData!$BF$59),"",ReferenceData!$BF$59),"")</f>
        <v/>
      </c>
      <c r="BG59" t="str">
        <f ca="1">IFERROR(IF(0=LEN(ReferenceData!$BG$59),"",ReferenceData!$BG$59),"")</f>
        <v/>
      </c>
      <c r="BH59" t="str">
        <f ca="1">IFERROR(IF(0=LEN(ReferenceData!$BH$59),"",ReferenceData!$BH$59),"")</f>
        <v/>
      </c>
      <c r="BI59" t="str">
        <f ca="1">IFERROR(IF(0=LEN(ReferenceData!$BI$59),"",ReferenceData!$BI$59),"")</f>
        <v/>
      </c>
      <c r="BJ59" t="str">
        <f ca="1">IFERROR(IF(0=LEN(ReferenceData!$BJ$59),"",ReferenceData!$BJ$59),"")</f>
        <v/>
      </c>
      <c r="BK59" t="str">
        <f ca="1">IFERROR(IF(0=LEN(ReferenceData!$BK$59),"",ReferenceData!$BK$59),"")</f>
        <v/>
      </c>
      <c r="BL59" t="str">
        <f ca="1">IFERROR(IF(0=LEN(ReferenceData!$BL$59),"",ReferenceData!$BL$59),"")</f>
        <v/>
      </c>
      <c r="BM59" t="str">
        <f ca="1">IFERROR(IF(0=LEN(ReferenceData!$BM$59),"",ReferenceData!$BM$59),"")</f>
        <v/>
      </c>
    </row>
    <row r="60" spans="1:65" x14ac:dyDescent="0.25">
      <c r="A60" t="str">
        <f>IFERROR(IF(0=LEN(ReferenceData!$A$60),"",ReferenceData!$A$60),"")</f>
        <v xml:space="preserve">    GAZ PJSC</v>
      </c>
      <c r="B60" t="str">
        <f>IFERROR(IF(0=LEN(ReferenceData!$B$60),"",ReferenceData!$B$60),"")</f>
        <v>GAZA RM Equity</v>
      </c>
      <c r="C60" t="str">
        <f>IFERROR(IF(0=LEN(ReferenceData!$C$60),"",ReferenceData!$C$60),"")</f>
        <v>EZ009</v>
      </c>
      <c r="D60" t="str">
        <f>IFERROR(IF(0=LEN(ReferenceData!$D$60),"",ReferenceData!$D$60),"")</f>
        <v>BEST_EST_PE_CUR_YR</v>
      </c>
      <c r="E60" t="str">
        <f>IFERROR(IF(0=LEN(ReferenceData!$E$60),"",ReferenceData!$E$60),"")</f>
        <v>Dynamic</v>
      </c>
      <c r="F60" t="str">
        <f ca="1">IFERROR(IF(0=LEN(ReferenceData!$F$60),"",ReferenceData!$F$60),"")</f>
        <v/>
      </c>
      <c r="G60" t="str">
        <f ca="1">IFERROR(IF(0=LEN(ReferenceData!$G$60),"",ReferenceData!$G$60),"")</f>
        <v/>
      </c>
      <c r="H60" t="str">
        <f ca="1">IFERROR(IF(0=LEN(ReferenceData!$H$60),"",ReferenceData!$H$60),"")</f>
        <v/>
      </c>
      <c r="I60" t="str">
        <f ca="1">IFERROR(IF(0=LEN(ReferenceData!$I$60),"",ReferenceData!$I$60),"")</f>
        <v/>
      </c>
      <c r="J60" t="str">
        <f ca="1">IFERROR(IF(0=LEN(ReferenceData!$J$60),"",ReferenceData!$J$60),"")</f>
        <v/>
      </c>
      <c r="K60" t="str">
        <f ca="1">IFERROR(IF(0=LEN(ReferenceData!$K$60),"",ReferenceData!$K$60),"")</f>
        <v/>
      </c>
      <c r="L60" t="str">
        <f ca="1">IFERROR(IF(0=LEN(ReferenceData!$L$60),"",ReferenceData!$L$60),"")</f>
        <v/>
      </c>
      <c r="M60" t="str">
        <f ca="1">IFERROR(IF(0=LEN(ReferenceData!$M$60),"",ReferenceData!$M$60),"")</f>
        <v/>
      </c>
      <c r="N60" t="str">
        <f ca="1">IFERROR(IF(0=LEN(ReferenceData!$N$60),"",ReferenceData!$N$60),"")</f>
        <v/>
      </c>
      <c r="O60" t="str">
        <f ca="1">IFERROR(IF(0=LEN(ReferenceData!$O$60),"",ReferenceData!$O$60),"")</f>
        <v/>
      </c>
      <c r="P60" t="str">
        <f ca="1">IFERROR(IF(0=LEN(ReferenceData!$P$60),"",ReferenceData!$P$60),"")</f>
        <v/>
      </c>
      <c r="Q60" t="str">
        <f ca="1">IFERROR(IF(0=LEN(ReferenceData!$Q$60),"",ReferenceData!$Q$60),"")</f>
        <v/>
      </c>
      <c r="R60" t="str">
        <f ca="1">IFERROR(IF(0=LEN(ReferenceData!$R$60),"",ReferenceData!$R$60),"")</f>
        <v/>
      </c>
      <c r="S60" t="str">
        <f ca="1">IFERROR(IF(0=LEN(ReferenceData!$S$60),"",ReferenceData!$S$60),"")</f>
        <v/>
      </c>
      <c r="T60" t="str">
        <f ca="1">IFERROR(IF(0=LEN(ReferenceData!$T$60),"",ReferenceData!$T$60),"")</f>
        <v/>
      </c>
      <c r="U60" t="str">
        <f ca="1">IFERROR(IF(0=LEN(ReferenceData!$U$60),"",ReferenceData!$U$60),"")</f>
        <v/>
      </c>
      <c r="V60" t="str">
        <f ca="1">IFERROR(IF(0=LEN(ReferenceData!$V$60),"",ReferenceData!$V$60),"")</f>
        <v/>
      </c>
      <c r="W60" t="str">
        <f ca="1">IFERROR(IF(0=LEN(ReferenceData!$W$60),"",ReferenceData!$W$60),"")</f>
        <v/>
      </c>
      <c r="X60" t="str">
        <f ca="1">IFERROR(IF(0=LEN(ReferenceData!$X$60),"",ReferenceData!$X$60),"")</f>
        <v/>
      </c>
      <c r="Y60" t="str">
        <f ca="1">IFERROR(IF(0=LEN(ReferenceData!$Y$60),"",ReferenceData!$Y$60),"")</f>
        <v/>
      </c>
      <c r="Z60" t="str">
        <f ca="1">IFERROR(IF(0=LEN(ReferenceData!$Z$60),"",ReferenceData!$Z$60),"")</f>
        <v/>
      </c>
      <c r="AA60" t="str">
        <f ca="1">IFERROR(IF(0=LEN(ReferenceData!$AA$60),"",ReferenceData!$AA$60),"")</f>
        <v/>
      </c>
      <c r="AB60" t="str">
        <f ca="1">IFERROR(IF(0=LEN(ReferenceData!$AB$60),"",ReferenceData!$AB$60),"")</f>
        <v/>
      </c>
      <c r="AC60" t="str">
        <f ca="1">IFERROR(IF(0=LEN(ReferenceData!$AC$60),"",ReferenceData!$AC$60),"")</f>
        <v/>
      </c>
      <c r="AD60" t="str">
        <f ca="1">IFERROR(IF(0=LEN(ReferenceData!$AD$60),"",ReferenceData!$AD$60),"")</f>
        <v/>
      </c>
      <c r="AE60" t="str">
        <f ca="1">IFERROR(IF(0=LEN(ReferenceData!$AE$60),"",ReferenceData!$AE$60),"")</f>
        <v/>
      </c>
      <c r="AF60" t="str">
        <f ca="1">IFERROR(IF(0=LEN(ReferenceData!$AF$60),"",ReferenceData!$AF$60),"")</f>
        <v/>
      </c>
      <c r="AG60" t="str">
        <f ca="1">IFERROR(IF(0=LEN(ReferenceData!$AG$60),"",ReferenceData!$AG$60),"")</f>
        <v/>
      </c>
      <c r="AH60" t="str">
        <f ca="1">IFERROR(IF(0=LEN(ReferenceData!$AH$60),"",ReferenceData!$AH$60),"")</f>
        <v/>
      </c>
      <c r="AI60" t="str">
        <f ca="1">IFERROR(IF(0=LEN(ReferenceData!$AI$60),"",ReferenceData!$AI$60),"")</f>
        <v/>
      </c>
      <c r="AJ60" t="str">
        <f ca="1">IFERROR(IF(0=LEN(ReferenceData!$AJ$60),"",ReferenceData!$AJ$60),"")</f>
        <v/>
      </c>
      <c r="AK60" t="str">
        <f ca="1">IFERROR(IF(0=LEN(ReferenceData!$AK$60),"",ReferenceData!$AK$60),"")</f>
        <v/>
      </c>
      <c r="AL60" t="str">
        <f ca="1">IFERROR(IF(0=LEN(ReferenceData!$AL$60),"",ReferenceData!$AL$60),"")</f>
        <v/>
      </c>
      <c r="AM60" t="str">
        <f ca="1">IFERROR(IF(0=LEN(ReferenceData!$AM$60),"",ReferenceData!$AM$60),"")</f>
        <v/>
      </c>
      <c r="AN60" t="str">
        <f ca="1">IFERROR(IF(0=LEN(ReferenceData!$AN$60),"",ReferenceData!$AN$60),"")</f>
        <v/>
      </c>
      <c r="AO60" t="str">
        <f ca="1">IFERROR(IF(0=LEN(ReferenceData!$AO$60),"",ReferenceData!$AO$60),"")</f>
        <v/>
      </c>
      <c r="AP60" t="str">
        <f ca="1">IFERROR(IF(0=LEN(ReferenceData!$AP$60),"",ReferenceData!$AP$60),"")</f>
        <v/>
      </c>
      <c r="AQ60" t="str">
        <f ca="1">IFERROR(IF(0=LEN(ReferenceData!$AQ$60),"",ReferenceData!$AQ$60),"")</f>
        <v/>
      </c>
      <c r="AR60" t="str">
        <f ca="1">IFERROR(IF(0=LEN(ReferenceData!$AR$60),"",ReferenceData!$AR$60),"")</f>
        <v/>
      </c>
      <c r="AS60" t="str">
        <f ca="1">IFERROR(IF(0=LEN(ReferenceData!$AS$60),"",ReferenceData!$AS$60),"")</f>
        <v/>
      </c>
      <c r="AT60" t="str">
        <f ca="1">IFERROR(IF(0=LEN(ReferenceData!$AT$60),"",ReferenceData!$AT$60),"")</f>
        <v/>
      </c>
      <c r="AU60" t="str">
        <f ca="1">IFERROR(IF(0=LEN(ReferenceData!$AU$60),"",ReferenceData!$AU$60),"")</f>
        <v/>
      </c>
      <c r="AV60" t="str">
        <f ca="1">IFERROR(IF(0=LEN(ReferenceData!$AV$60),"",ReferenceData!$AV$60),"")</f>
        <v/>
      </c>
      <c r="AW60" t="str">
        <f ca="1">IFERROR(IF(0=LEN(ReferenceData!$AW$60),"",ReferenceData!$AW$60),"")</f>
        <v/>
      </c>
      <c r="AX60" t="str">
        <f ca="1">IFERROR(IF(0=LEN(ReferenceData!$AX$60),"",ReferenceData!$AX$60),"")</f>
        <v/>
      </c>
      <c r="AY60" t="str">
        <f ca="1">IFERROR(IF(0=LEN(ReferenceData!$AY$60),"",ReferenceData!$AY$60),"")</f>
        <v/>
      </c>
      <c r="AZ60" t="str">
        <f ca="1">IFERROR(IF(0=LEN(ReferenceData!$AZ$60),"",ReferenceData!$AZ$60),"")</f>
        <v/>
      </c>
      <c r="BA60" t="str">
        <f ca="1">IFERROR(IF(0=LEN(ReferenceData!$BA$60),"",ReferenceData!$BA$60),"")</f>
        <v/>
      </c>
      <c r="BB60" t="str">
        <f ca="1">IFERROR(IF(0=LEN(ReferenceData!$BB$60),"",ReferenceData!$BB$60),"")</f>
        <v/>
      </c>
      <c r="BC60" t="str">
        <f ca="1">IFERROR(IF(0=LEN(ReferenceData!$BC$60),"",ReferenceData!$BC$60),"")</f>
        <v/>
      </c>
      <c r="BD60" t="str">
        <f ca="1">IFERROR(IF(0=LEN(ReferenceData!$BD$60),"",ReferenceData!$BD$60),"")</f>
        <v/>
      </c>
      <c r="BE60" t="str">
        <f ca="1">IFERROR(IF(0=LEN(ReferenceData!$BE$60),"",ReferenceData!$BE$60),"")</f>
        <v/>
      </c>
      <c r="BF60" t="str">
        <f ca="1">IFERROR(IF(0=LEN(ReferenceData!$BF$60),"",ReferenceData!$BF$60),"")</f>
        <v/>
      </c>
      <c r="BG60" t="str">
        <f ca="1">IFERROR(IF(0=LEN(ReferenceData!$BG$60),"",ReferenceData!$BG$60),"")</f>
        <v/>
      </c>
      <c r="BH60" t="str">
        <f ca="1">IFERROR(IF(0=LEN(ReferenceData!$BH$60),"",ReferenceData!$BH$60),"")</f>
        <v/>
      </c>
      <c r="BI60" t="str">
        <f ca="1">IFERROR(IF(0=LEN(ReferenceData!$BI$60),"",ReferenceData!$BI$60),"")</f>
        <v/>
      </c>
      <c r="BJ60" t="str">
        <f ca="1">IFERROR(IF(0=LEN(ReferenceData!$BJ$60),"",ReferenceData!$BJ$60),"")</f>
        <v/>
      </c>
      <c r="BK60" t="str">
        <f ca="1">IFERROR(IF(0=LEN(ReferenceData!$BK$60),"",ReferenceData!$BK$60),"")</f>
        <v/>
      </c>
      <c r="BL60" t="str">
        <f ca="1">IFERROR(IF(0=LEN(ReferenceData!$BL$60),"",ReferenceData!$BL$60),"")</f>
        <v/>
      </c>
      <c r="BM60" t="str">
        <f ca="1">IFERROR(IF(0=LEN(ReferenceData!$BM$60),"",ReferenceData!$BM$60),"")</f>
        <v/>
      </c>
    </row>
    <row r="61" spans="1:65" x14ac:dyDescent="0.25">
      <c r="A61" t="str">
        <f>IFERROR(IF(0=LEN(ReferenceData!$A$61),"",ReferenceData!$A$61),"")</f>
        <v xml:space="preserve">    Geely Automobile Holdings Ltd</v>
      </c>
      <c r="B61" t="str">
        <f>IFERROR(IF(0=LEN(ReferenceData!$B$61),"",ReferenceData!$B$61),"")</f>
        <v>175 HK Equity</v>
      </c>
      <c r="C61" t="str">
        <f>IFERROR(IF(0=LEN(ReferenceData!$C$61),"",ReferenceData!$C$61),"")</f>
        <v>EZ009</v>
      </c>
      <c r="D61" t="str">
        <f>IFERROR(IF(0=LEN(ReferenceData!$D$61),"",ReferenceData!$D$61),"")</f>
        <v>BEST_EST_PE_CUR_YR</v>
      </c>
      <c r="E61" t="str">
        <f>IFERROR(IF(0=LEN(ReferenceData!$E$61),"",ReferenceData!$E$61),"")</f>
        <v>Dynamic</v>
      </c>
      <c r="F61">
        <f ca="1">IFERROR(IF(0=LEN(ReferenceData!$F$61),"",ReferenceData!$F$61),"")</f>
        <v>9.0555671029999996</v>
      </c>
      <c r="G61">
        <f ca="1">IFERROR(IF(0=LEN(ReferenceData!$G$61),"",ReferenceData!$G$61),"")</f>
        <v>8.0743647979999995</v>
      </c>
      <c r="H61">
        <f ca="1">IFERROR(IF(0=LEN(ReferenceData!$H$61),"",ReferenceData!$H$61),"")</f>
        <v>8.8688037610000006</v>
      </c>
      <c r="I61">
        <f ca="1">IFERROR(IF(0=LEN(ReferenceData!$I$61),"",ReferenceData!$I$61),"")</f>
        <v>11.339820339999999</v>
      </c>
      <c r="J61">
        <f ca="1">IFERROR(IF(0=LEN(ReferenceData!$J$61),"",ReferenceData!$J$61),"")</f>
        <v>12.06856677</v>
      </c>
      <c r="K61">
        <f ca="1">IFERROR(IF(0=LEN(ReferenceData!$K$61),"",ReferenceData!$K$61),"")</f>
        <v>15.674318599999999</v>
      </c>
      <c r="L61">
        <f ca="1">IFERROR(IF(0=LEN(ReferenceData!$L$61),"",ReferenceData!$L$61),"")</f>
        <v>14.091668650000001</v>
      </c>
      <c r="M61">
        <f ca="1">IFERROR(IF(0=LEN(ReferenceData!$M$61),"",ReferenceData!$M$61),"")</f>
        <v>12.74526571</v>
      </c>
      <c r="N61">
        <f ca="1">IFERROR(IF(0=LEN(ReferenceData!$N$61),"",ReferenceData!$N$61),"")</f>
        <v>10.194799809999999</v>
      </c>
      <c r="O61">
        <f ca="1">IFERROR(IF(0=LEN(ReferenceData!$O$61),"",ReferenceData!$O$61),"")</f>
        <v>7.738519599</v>
      </c>
      <c r="P61">
        <f ca="1">IFERROR(IF(0=LEN(ReferenceData!$P$61),"",ReferenceData!$P$61),"")</f>
        <v>8.2155563800000007</v>
      </c>
      <c r="Q61">
        <f ca="1">IFERROR(IF(0=LEN(ReferenceData!$Q$61),"",ReferenceData!$Q$61),"")</f>
        <v>7.1299063890000003</v>
      </c>
      <c r="R61">
        <f ca="1">IFERROR(IF(0=LEN(ReferenceData!$R$61),"",ReferenceData!$R$61),"")</f>
        <v>6.5331170570000001</v>
      </c>
      <c r="S61">
        <f ca="1">IFERROR(IF(0=LEN(ReferenceData!$S$61),"",ReferenceData!$S$61),"")</f>
        <v>9.8776144820000003</v>
      </c>
      <c r="T61">
        <f ca="1">IFERROR(IF(0=LEN(ReferenceData!$T$61),"",ReferenceData!$T$61),"")</f>
        <v>8.6487531359999998</v>
      </c>
      <c r="U61">
        <f ca="1">IFERROR(IF(0=LEN(ReferenceData!$U$61),"",ReferenceData!$U$61),"")</f>
        <v>9.4581269349999992</v>
      </c>
      <c r="V61">
        <f ca="1">IFERROR(IF(0=LEN(ReferenceData!$V$61),"",ReferenceData!$V$61),"")</f>
        <v>12.766311959999999</v>
      </c>
      <c r="W61">
        <f ca="1">IFERROR(IF(0=LEN(ReferenceData!$W$61),"",ReferenceData!$W$61),"")</f>
        <v>7.9094535649999997</v>
      </c>
      <c r="X61" t="str">
        <f ca="1">IFERROR(IF(0=LEN(ReferenceData!$X$61),"",ReferenceData!$X$61),"")</f>
        <v/>
      </c>
      <c r="Y61" t="str">
        <f ca="1">IFERROR(IF(0=LEN(ReferenceData!$Y$61),"",ReferenceData!$Y$61),"")</f>
        <v/>
      </c>
      <c r="Z61" t="str">
        <f ca="1">IFERROR(IF(0=LEN(ReferenceData!$Z$61),"",ReferenceData!$Z$61),"")</f>
        <v/>
      </c>
      <c r="AA61" t="str">
        <f ca="1">IFERROR(IF(0=LEN(ReferenceData!$AA$61),"",ReferenceData!$AA$61),"")</f>
        <v/>
      </c>
      <c r="AB61" t="str">
        <f ca="1">IFERROR(IF(0=LEN(ReferenceData!$AB$61),"",ReferenceData!$AB$61),"")</f>
        <v/>
      </c>
      <c r="AC61" t="str">
        <f ca="1">IFERROR(IF(0=LEN(ReferenceData!$AC$61),"",ReferenceData!$AC$61),"")</f>
        <v/>
      </c>
      <c r="AD61" t="str">
        <f ca="1">IFERROR(IF(0=LEN(ReferenceData!$AD$61),"",ReferenceData!$AD$61),"")</f>
        <v/>
      </c>
      <c r="AE61" t="str">
        <f ca="1">IFERROR(IF(0=LEN(ReferenceData!$AE$61),"",ReferenceData!$AE$61),"")</f>
        <v/>
      </c>
      <c r="AF61" t="str">
        <f ca="1">IFERROR(IF(0=LEN(ReferenceData!$AF$61),"",ReferenceData!$AF$61),"")</f>
        <v/>
      </c>
      <c r="AG61" t="str">
        <f ca="1">IFERROR(IF(0=LEN(ReferenceData!$AG$61),"",ReferenceData!$AG$61),"")</f>
        <v/>
      </c>
      <c r="AH61" t="str">
        <f ca="1">IFERROR(IF(0=LEN(ReferenceData!$AH$61),"",ReferenceData!$AH$61),"")</f>
        <v/>
      </c>
      <c r="AI61" t="str">
        <f ca="1">IFERROR(IF(0=LEN(ReferenceData!$AI$61),"",ReferenceData!$AI$61),"")</f>
        <v/>
      </c>
      <c r="AJ61" t="str">
        <f ca="1">IFERROR(IF(0=LEN(ReferenceData!$AJ$61),"",ReferenceData!$AJ$61),"")</f>
        <v/>
      </c>
      <c r="AK61" t="str">
        <f ca="1">IFERROR(IF(0=LEN(ReferenceData!$AK$61),"",ReferenceData!$AK$61),"")</f>
        <v/>
      </c>
      <c r="AL61" t="str">
        <f ca="1">IFERROR(IF(0=LEN(ReferenceData!$AL$61),"",ReferenceData!$AL$61),"")</f>
        <v/>
      </c>
      <c r="AM61" t="str">
        <f ca="1">IFERROR(IF(0=LEN(ReferenceData!$AM$61),"",ReferenceData!$AM$61),"")</f>
        <v/>
      </c>
      <c r="AN61" t="str">
        <f ca="1">IFERROR(IF(0=LEN(ReferenceData!$AN$61),"",ReferenceData!$AN$61),"")</f>
        <v/>
      </c>
      <c r="AO61" t="str">
        <f ca="1">IFERROR(IF(0=LEN(ReferenceData!$AO$61),"",ReferenceData!$AO$61),"")</f>
        <v/>
      </c>
      <c r="AP61" t="str">
        <f ca="1">IFERROR(IF(0=LEN(ReferenceData!$AP$61),"",ReferenceData!$AP$61),"")</f>
        <v/>
      </c>
      <c r="AQ61" t="str">
        <f ca="1">IFERROR(IF(0=LEN(ReferenceData!$AQ$61),"",ReferenceData!$AQ$61),"")</f>
        <v/>
      </c>
      <c r="AR61" t="str">
        <f ca="1">IFERROR(IF(0=LEN(ReferenceData!$AR$61),"",ReferenceData!$AR$61),"")</f>
        <v/>
      </c>
      <c r="AS61" t="str">
        <f ca="1">IFERROR(IF(0=LEN(ReferenceData!$AS$61),"",ReferenceData!$AS$61),"")</f>
        <v/>
      </c>
      <c r="AT61" t="str">
        <f ca="1">IFERROR(IF(0=LEN(ReferenceData!$AT$61),"",ReferenceData!$AT$61),"")</f>
        <v/>
      </c>
      <c r="AU61" t="str">
        <f ca="1">IFERROR(IF(0=LEN(ReferenceData!$AU$61),"",ReferenceData!$AU$61),"")</f>
        <v/>
      </c>
      <c r="AV61" t="str">
        <f ca="1">IFERROR(IF(0=LEN(ReferenceData!$AV$61),"",ReferenceData!$AV$61),"")</f>
        <v/>
      </c>
      <c r="AW61" t="str">
        <f ca="1">IFERROR(IF(0=LEN(ReferenceData!$AW$61),"",ReferenceData!$AW$61),"")</f>
        <v/>
      </c>
      <c r="AX61" t="str">
        <f ca="1">IFERROR(IF(0=LEN(ReferenceData!$AX$61),"",ReferenceData!$AX$61),"")</f>
        <v/>
      </c>
      <c r="AY61" t="str">
        <f ca="1">IFERROR(IF(0=LEN(ReferenceData!$AY$61),"",ReferenceData!$AY$61),"")</f>
        <v/>
      </c>
      <c r="AZ61" t="str">
        <f ca="1">IFERROR(IF(0=LEN(ReferenceData!$AZ$61),"",ReferenceData!$AZ$61),"")</f>
        <v/>
      </c>
      <c r="BA61" t="str">
        <f ca="1">IFERROR(IF(0=LEN(ReferenceData!$BA$61),"",ReferenceData!$BA$61),"")</f>
        <v/>
      </c>
      <c r="BB61" t="str">
        <f ca="1">IFERROR(IF(0=LEN(ReferenceData!$BB$61),"",ReferenceData!$BB$61),"")</f>
        <v/>
      </c>
      <c r="BC61" t="str">
        <f ca="1">IFERROR(IF(0=LEN(ReferenceData!$BC$61),"",ReferenceData!$BC$61),"")</f>
        <v/>
      </c>
      <c r="BD61" t="str">
        <f ca="1">IFERROR(IF(0=LEN(ReferenceData!$BD$61),"",ReferenceData!$BD$61),"")</f>
        <v/>
      </c>
      <c r="BE61" t="str">
        <f ca="1">IFERROR(IF(0=LEN(ReferenceData!$BE$61),"",ReferenceData!$BE$61),"")</f>
        <v/>
      </c>
      <c r="BF61" t="str">
        <f ca="1">IFERROR(IF(0=LEN(ReferenceData!$BF$61),"",ReferenceData!$BF$61),"")</f>
        <v/>
      </c>
      <c r="BG61" t="str">
        <f ca="1">IFERROR(IF(0=LEN(ReferenceData!$BG$61),"",ReferenceData!$BG$61),"")</f>
        <v/>
      </c>
      <c r="BH61" t="str">
        <f ca="1">IFERROR(IF(0=LEN(ReferenceData!$BH$61),"",ReferenceData!$BH$61),"")</f>
        <v/>
      </c>
      <c r="BI61" t="str">
        <f ca="1">IFERROR(IF(0=LEN(ReferenceData!$BI$61),"",ReferenceData!$BI$61),"")</f>
        <v/>
      </c>
      <c r="BJ61" t="str">
        <f ca="1">IFERROR(IF(0=LEN(ReferenceData!$BJ$61),"",ReferenceData!$BJ$61),"")</f>
        <v/>
      </c>
      <c r="BK61" t="str">
        <f ca="1">IFERROR(IF(0=LEN(ReferenceData!$BK$61),"",ReferenceData!$BK$61),"")</f>
        <v/>
      </c>
      <c r="BL61" t="str">
        <f ca="1">IFERROR(IF(0=LEN(ReferenceData!$BL$61),"",ReferenceData!$BL$61),"")</f>
        <v/>
      </c>
      <c r="BM61" t="str">
        <f ca="1">IFERROR(IF(0=LEN(ReferenceData!$BM$61),"",ReferenceData!$BM$61),"")</f>
        <v/>
      </c>
    </row>
    <row r="62" spans="1:65" x14ac:dyDescent="0.25">
      <c r="A62" t="str">
        <f>IFERROR(IF(0=LEN(ReferenceData!$A$62),"",ReferenceData!$A$62),"")</f>
        <v xml:space="preserve">    General Motors Co</v>
      </c>
      <c r="B62" t="str">
        <f>IFERROR(IF(0=LEN(ReferenceData!$B$62),"",ReferenceData!$B$62),"")</f>
        <v>GM US Equity</v>
      </c>
      <c r="C62" t="str">
        <f>IFERROR(IF(0=LEN(ReferenceData!$C$62),"",ReferenceData!$C$62),"")</f>
        <v>EZ009</v>
      </c>
      <c r="D62" t="str">
        <f>IFERROR(IF(0=LEN(ReferenceData!$D$62),"",ReferenceData!$D$62),"")</f>
        <v>BEST_EST_PE_CUR_YR</v>
      </c>
      <c r="E62" t="str">
        <f>IFERROR(IF(0=LEN(ReferenceData!$E$62),"",ReferenceData!$E$62),"")</f>
        <v>Dynamic</v>
      </c>
      <c r="F62">
        <f ca="1">IFERROR(IF(0=LEN(ReferenceData!$F$62),"",ReferenceData!$F$62),"")</f>
        <v>5.9925238820000004</v>
      </c>
      <c r="G62">
        <f ca="1">IFERROR(IF(0=LEN(ReferenceData!$G$62),"",ReferenceData!$G$62),"")</f>
        <v>5.562021949</v>
      </c>
      <c r="H62">
        <f ca="1">IFERROR(IF(0=LEN(ReferenceData!$H$62),"",ReferenceData!$H$62),"")</f>
        <v>5.6342034810000001</v>
      </c>
      <c r="I62">
        <f ca="1">IFERROR(IF(0=LEN(ReferenceData!$I$62),"",ReferenceData!$I$62),"")</f>
        <v>6.1180124219999996</v>
      </c>
      <c r="J62">
        <f ca="1">IFERROR(IF(0=LEN(ReferenceData!$J$62),"",ReferenceData!$J$62),"")</f>
        <v>5.7436383749999997</v>
      </c>
      <c r="K62">
        <f ca="1">IFERROR(IF(0=LEN(ReferenceData!$K$62),"",ReferenceData!$K$62),"")</f>
        <v>7.1299356410000003</v>
      </c>
      <c r="L62">
        <f ca="1">IFERROR(IF(0=LEN(ReferenceData!$L$62),"",ReferenceData!$L$62),"")</f>
        <v>7.148167817</v>
      </c>
      <c r="M62">
        <f ca="1">IFERROR(IF(0=LEN(ReferenceData!$M$62),"",ReferenceData!$M$62),"")</f>
        <v>6.3061924539999996</v>
      </c>
      <c r="N62">
        <f ca="1">IFERROR(IF(0=LEN(ReferenceData!$N$62),"",ReferenceData!$N$62),"")</f>
        <v>6.5227817750000003</v>
      </c>
      <c r="O62">
        <f ca="1">IFERROR(IF(0=LEN(ReferenceData!$O$62),"",ReferenceData!$O$62),"")</f>
        <v>6.6871401150000001</v>
      </c>
      <c r="P62">
        <f ca="1">IFERROR(IF(0=LEN(ReferenceData!$P$62),"",ReferenceData!$P$62),"")</f>
        <v>5.9751739700000002</v>
      </c>
      <c r="Q62">
        <f ca="1">IFERROR(IF(0=LEN(ReferenceData!$Q$62),"",ReferenceData!$Q$62),"")</f>
        <v>5.2214022140000003</v>
      </c>
      <c r="R62">
        <f ca="1">IFERROR(IF(0=LEN(ReferenceData!$R$62),"",ReferenceData!$R$62),"")</f>
        <v>5.9639468689999999</v>
      </c>
      <c r="S62">
        <f ca="1">IFERROR(IF(0=LEN(ReferenceData!$S$62),"",ReferenceData!$S$62),"")</f>
        <v>6.4535104360000002</v>
      </c>
      <c r="T62" t="str">
        <f ca="1">IFERROR(IF(0=LEN(ReferenceData!$T$62),"",ReferenceData!$T$62),"")</f>
        <v/>
      </c>
      <c r="U62" t="str">
        <f ca="1">IFERROR(IF(0=LEN(ReferenceData!$U$62),"",ReferenceData!$U$62),"")</f>
        <v/>
      </c>
      <c r="V62" t="str">
        <f ca="1">IFERROR(IF(0=LEN(ReferenceData!$V$62),"",ReferenceData!$V$62),"")</f>
        <v/>
      </c>
      <c r="W62" t="str">
        <f ca="1">IFERROR(IF(0=LEN(ReferenceData!$W$62),"",ReferenceData!$W$62),"")</f>
        <v/>
      </c>
      <c r="X62" t="str">
        <f ca="1">IFERROR(IF(0=LEN(ReferenceData!$X$62),"",ReferenceData!$X$62),"")</f>
        <v/>
      </c>
      <c r="Y62" t="str">
        <f ca="1">IFERROR(IF(0=LEN(ReferenceData!$Y$62),"",ReferenceData!$Y$62),"")</f>
        <v/>
      </c>
      <c r="Z62" t="str">
        <f ca="1">IFERROR(IF(0=LEN(ReferenceData!$Z$62),"",ReferenceData!$Z$62),"")</f>
        <v/>
      </c>
      <c r="AA62" t="str">
        <f ca="1">IFERROR(IF(0=LEN(ReferenceData!$AA$62),"",ReferenceData!$AA$62),"")</f>
        <v/>
      </c>
      <c r="AB62" t="str">
        <f ca="1">IFERROR(IF(0=LEN(ReferenceData!$AB$62),"",ReferenceData!$AB$62),"")</f>
        <v/>
      </c>
      <c r="AC62" t="str">
        <f ca="1">IFERROR(IF(0=LEN(ReferenceData!$AC$62),"",ReferenceData!$AC$62),"")</f>
        <v/>
      </c>
      <c r="AD62" t="str">
        <f ca="1">IFERROR(IF(0=LEN(ReferenceData!$AD$62),"",ReferenceData!$AD$62),"")</f>
        <v/>
      </c>
      <c r="AE62" t="str">
        <f ca="1">IFERROR(IF(0=LEN(ReferenceData!$AE$62),"",ReferenceData!$AE$62),"")</f>
        <v/>
      </c>
      <c r="AF62" t="str">
        <f ca="1">IFERROR(IF(0=LEN(ReferenceData!$AF$62),"",ReferenceData!$AF$62),"")</f>
        <v/>
      </c>
      <c r="AG62" t="str">
        <f ca="1">IFERROR(IF(0=LEN(ReferenceData!$AG$62),"",ReferenceData!$AG$62),"")</f>
        <v/>
      </c>
      <c r="AH62" t="str">
        <f ca="1">IFERROR(IF(0=LEN(ReferenceData!$AH$62),"",ReferenceData!$AH$62),"")</f>
        <v/>
      </c>
      <c r="AI62" t="str">
        <f ca="1">IFERROR(IF(0=LEN(ReferenceData!$AI$62),"",ReferenceData!$AI$62),"")</f>
        <v/>
      </c>
      <c r="AJ62" t="str">
        <f ca="1">IFERROR(IF(0=LEN(ReferenceData!$AJ$62),"",ReferenceData!$AJ$62),"")</f>
        <v/>
      </c>
      <c r="AK62" t="str">
        <f ca="1">IFERROR(IF(0=LEN(ReferenceData!$AK$62),"",ReferenceData!$AK$62),"")</f>
        <v/>
      </c>
      <c r="AL62" t="str">
        <f ca="1">IFERROR(IF(0=LEN(ReferenceData!$AL$62),"",ReferenceData!$AL$62),"")</f>
        <v/>
      </c>
      <c r="AM62" t="str">
        <f ca="1">IFERROR(IF(0=LEN(ReferenceData!$AM$62),"",ReferenceData!$AM$62),"")</f>
        <v/>
      </c>
      <c r="AN62" t="str">
        <f ca="1">IFERROR(IF(0=LEN(ReferenceData!$AN$62),"",ReferenceData!$AN$62),"")</f>
        <v/>
      </c>
      <c r="AO62" t="str">
        <f ca="1">IFERROR(IF(0=LEN(ReferenceData!$AO$62),"",ReferenceData!$AO$62),"")</f>
        <v/>
      </c>
      <c r="AP62" t="str">
        <f ca="1">IFERROR(IF(0=LEN(ReferenceData!$AP$62),"",ReferenceData!$AP$62),"")</f>
        <v/>
      </c>
      <c r="AQ62" t="str">
        <f ca="1">IFERROR(IF(0=LEN(ReferenceData!$AQ$62),"",ReferenceData!$AQ$62),"")</f>
        <v/>
      </c>
      <c r="AR62" t="str">
        <f ca="1">IFERROR(IF(0=LEN(ReferenceData!$AR$62),"",ReferenceData!$AR$62),"")</f>
        <v/>
      </c>
      <c r="AS62" t="str">
        <f ca="1">IFERROR(IF(0=LEN(ReferenceData!$AS$62),"",ReferenceData!$AS$62),"")</f>
        <v/>
      </c>
      <c r="AT62" t="str">
        <f ca="1">IFERROR(IF(0=LEN(ReferenceData!$AT$62),"",ReferenceData!$AT$62),"")</f>
        <v/>
      </c>
      <c r="AU62" t="str">
        <f ca="1">IFERROR(IF(0=LEN(ReferenceData!$AU$62),"",ReferenceData!$AU$62),"")</f>
        <v/>
      </c>
      <c r="AV62" t="str">
        <f ca="1">IFERROR(IF(0=LEN(ReferenceData!$AV$62),"",ReferenceData!$AV$62),"")</f>
        <v/>
      </c>
      <c r="AW62" t="str">
        <f ca="1">IFERROR(IF(0=LEN(ReferenceData!$AW$62),"",ReferenceData!$AW$62),"")</f>
        <v/>
      </c>
      <c r="AX62" t="str">
        <f ca="1">IFERROR(IF(0=LEN(ReferenceData!$AX$62),"",ReferenceData!$AX$62),"")</f>
        <v/>
      </c>
      <c r="AY62" t="str">
        <f ca="1">IFERROR(IF(0=LEN(ReferenceData!$AY$62),"",ReferenceData!$AY$62),"")</f>
        <v/>
      </c>
      <c r="AZ62" t="str">
        <f ca="1">IFERROR(IF(0=LEN(ReferenceData!$AZ$62),"",ReferenceData!$AZ$62),"")</f>
        <v/>
      </c>
      <c r="BA62" t="str">
        <f ca="1">IFERROR(IF(0=LEN(ReferenceData!$BA$62),"",ReferenceData!$BA$62),"")</f>
        <v/>
      </c>
      <c r="BB62" t="str">
        <f ca="1">IFERROR(IF(0=LEN(ReferenceData!$BB$62),"",ReferenceData!$BB$62),"")</f>
        <v/>
      </c>
      <c r="BC62" t="str">
        <f ca="1">IFERROR(IF(0=LEN(ReferenceData!$BC$62),"",ReferenceData!$BC$62),"")</f>
        <v/>
      </c>
      <c r="BD62" t="str">
        <f ca="1">IFERROR(IF(0=LEN(ReferenceData!$BD$62),"",ReferenceData!$BD$62),"")</f>
        <v/>
      </c>
      <c r="BE62" t="str">
        <f ca="1">IFERROR(IF(0=LEN(ReferenceData!$BE$62),"",ReferenceData!$BE$62),"")</f>
        <v/>
      </c>
      <c r="BF62" t="str">
        <f ca="1">IFERROR(IF(0=LEN(ReferenceData!$BF$62),"",ReferenceData!$BF$62),"")</f>
        <v/>
      </c>
      <c r="BG62" t="str">
        <f ca="1">IFERROR(IF(0=LEN(ReferenceData!$BG$62),"",ReferenceData!$BG$62),"")</f>
        <v/>
      </c>
      <c r="BH62" t="str">
        <f ca="1">IFERROR(IF(0=LEN(ReferenceData!$BH$62),"",ReferenceData!$BH$62),"")</f>
        <v/>
      </c>
      <c r="BI62" t="str">
        <f ca="1">IFERROR(IF(0=LEN(ReferenceData!$BI$62),"",ReferenceData!$BI$62),"")</f>
        <v/>
      </c>
      <c r="BJ62" t="str">
        <f ca="1">IFERROR(IF(0=LEN(ReferenceData!$BJ$62),"",ReferenceData!$BJ$62),"")</f>
        <v/>
      </c>
      <c r="BK62" t="str">
        <f ca="1">IFERROR(IF(0=LEN(ReferenceData!$BK$62),"",ReferenceData!$BK$62),"")</f>
        <v/>
      </c>
      <c r="BL62" t="str">
        <f ca="1">IFERROR(IF(0=LEN(ReferenceData!$BL$62),"",ReferenceData!$BL$62),"")</f>
        <v/>
      </c>
      <c r="BM62" t="str">
        <f ca="1">IFERROR(IF(0=LEN(ReferenceData!$BM$62),"",ReferenceData!$BM$62),"")</f>
        <v/>
      </c>
    </row>
    <row r="63" spans="1:65" x14ac:dyDescent="0.25">
      <c r="A63" t="str">
        <f>IFERROR(IF(0=LEN(ReferenceData!$A$63),"",ReferenceData!$A$63),"")</f>
        <v xml:space="preserve">    Great Wall Motor Co Ltd</v>
      </c>
      <c r="B63" t="str">
        <f>IFERROR(IF(0=LEN(ReferenceData!$B$63),"",ReferenceData!$B$63),"")</f>
        <v>2333 HK Equity</v>
      </c>
      <c r="C63" t="str">
        <f>IFERROR(IF(0=LEN(ReferenceData!$C$63),"",ReferenceData!$C$63),"")</f>
        <v>EZ009</v>
      </c>
      <c r="D63" t="str">
        <f>IFERROR(IF(0=LEN(ReferenceData!$D$63),"",ReferenceData!$D$63),"")</f>
        <v>BEST_EST_PE_CUR_YR</v>
      </c>
      <c r="E63" t="str">
        <f>IFERROR(IF(0=LEN(ReferenceData!$E$63),"",ReferenceData!$E$63),"")</f>
        <v>Dynamic</v>
      </c>
      <c r="F63">
        <f ca="1">IFERROR(IF(0=LEN(ReferenceData!$F$63),"",ReferenceData!$F$63),"")</f>
        <v>8.3958106079999997</v>
      </c>
      <c r="G63">
        <f ca="1">IFERROR(IF(0=LEN(ReferenceData!$G$63),"",ReferenceData!$G$63),"")</f>
        <v>6.8938254810000004</v>
      </c>
      <c r="H63">
        <f ca="1">IFERROR(IF(0=LEN(ReferenceData!$H$63),"",ReferenceData!$H$63),"")</f>
        <v>5.9512812420000003</v>
      </c>
      <c r="I63">
        <f ca="1">IFERROR(IF(0=LEN(ReferenceData!$I$63),"",ReferenceData!$I$63),"")</f>
        <v>5.9451942469999999</v>
      </c>
      <c r="J63">
        <f ca="1">IFERROR(IF(0=LEN(ReferenceData!$J$63),"",ReferenceData!$J$63),"")</f>
        <v>7.7365577270000001</v>
      </c>
      <c r="K63">
        <f ca="1">IFERROR(IF(0=LEN(ReferenceData!$K$63),"",ReferenceData!$K$63),"")</f>
        <v>8.3102188950000002</v>
      </c>
      <c r="L63">
        <f ca="1">IFERROR(IF(0=LEN(ReferenceData!$L$63),"",ReferenceData!$L$63),"")</f>
        <v>8.1131300409999998</v>
      </c>
      <c r="M63">
        <f ca="1">IFERROR(IF(0=LEN(ReferenceData!$M$63),"",ReferenceData!$M$63),"")</f>
        <v>7.2390823729999996</v>
      </c>
      <c r="N63">
        <f ca="1">IFERROR(IF(0=LEN(ReferenceData!$N$63),"",ReferenceData!$N$63),"")</f>
        <v>6.4355364560000003</v>
      </c>
      <c r="O63">
        <f ca="1">IFERROR(IF(0=LEN(ReferenceData!$O$63),"",ReferenceData!$O$63),"")</f>
        <v>6.3402761099999996</v>
      </c>
      <c r="P63">
        <f ca="1">IFERROR(IF(0=LEN(ReferenceData!$P$63),"",ReferenceData!$P$63),"")</f>
        <v>6.5551284939999999</v>
      </c>
      <c r="Q63">
        <f ca="1">IFERROR(IF(0=LEN(ReferenceData!$Q$63),"",ReferenceData!$Q$63),"")</f>
        <v>6.131391292</v>
      </c>
      <c r="R63">
        <f ca="1">IFERROR(IF(0=LEN(ReferenceData!$R$63),"",ReferenceData!$R$63),"")</f>
        <v>6.059300854</v>
      </c>
      <c r="S63">
        <f ca="1">IFERROR(IF(0=LEN(ReferenceData!$S$63),"",ReferenceData!$S$63),"")</f>
        <v>11.11600932</v>
      </c>
      <c r="T63">
        <f ca="1">IFERROR(IF(0=LEN(ReferenceData!$T$63),"",ReferenceData!$T$63),"")</f>
        <v>10.480792940000001</v>
      </c>
      <c r="U63">
        <f ca="1">IFERROR(IF(0=LEN(ReferenceData!$U$63),"",ReferenceData!$U$63),"")</f>
        <v>6.576797386</v>
      </c>
      <c r="V63">
        <f ca="1">IFERROR(IF(0=LEN(ReferenceData!$V$63),"",ReferenceData!$V$63),"")</f>
        <v>10.98601603</v>
      </c>
      <c r="W63">
        <f ca="1">IFERROR(IF(0=LEN(ReferenceData!$W$63),"",ReferenceData!$W$63),"")</f>
        <v>10.796434959999999</v>
      </c>
      <c r="X63" t="str">
        <f ca="1">IFERROR(IF(0=LEN(ReferenceData!$X$63),"",ReferenceData!$X$63),"")</f>
        <v/>
      </c>
      <c r="Y63" t="str">
        <f ca="1">IFERROR(IF(0=LEN(ReferenceData!$Y$63),"",ReferenceData!$Y$63),"")</f>
        <v/>
      </c>
      <c r="Z63" t="str">
        <f ca="1">IFERROR(IF(0=LEN(ReferenceData!$Z$63),"",ReferenceData!$Z$63),"")</f>
        <v/>
      </c>
      <c r="AA63" t="str">
        <f ca="1">IFERROR(IF(0=LEN(ReferenceData!$AA$63),"",ReferenceData!$AA$63),"")</f>
        <v/>
      </c>
      <c r="AB63" t="str">
        <f ca="1">IFERROR(IF(0=LEN(ReferenceData!$AB$63),"",ReferenceData!$AB$63),"")</f>
        <v/>
      </c>
      <c r="AC63" t="str">
        <f ca="1">IFERROR(IF(0=LEN(ReferenceData!$AC$63),"",ReferenceData!$AC$63),"")</f>
        <v/>
      </c>
      <c r="AD63" t="str">
        <f ca="1">IFERROR(IF(0=LEN(ReferenceData!$AD$63),"",ReferenceData!$AD$63),"")</f>
        <v/>
      </c>
      <c r="AE63" t="str">
        <f ca="1">IFERROR(IF(0=LEN(ReferenceData!$AE$63),"",ReferenceData!$AE$63),"")</f>
        <v/>
      </c>
      <c r="AF63" t="str">
        <f ca="1">IFERROR(IF(0=LEN(ReferenceData!$AF$63),"",ReferenceData!$AF$63),"")</f>
        <v/>
      </c>
      <c r="AG63" t="str">
        <f ca="1">IFERROR(IF(0=LEN(ReferenceData!$AG$63),"",ReferenceData!$AG$63),"")</f>
        <v/>
      </c>
      <c r="AH63" t="str">
        <f ca="1">IFERROR(IF(0=LEN(ReferenceData!$AH$63),"",ReferenceData!$AH$63),"")</f>
        <v/>
      </c>
      <c r="AI63" t="str">
        <f ca="1">IFERROR(IF(0=LEN(ReferenceData!$AI$63),"",ReferenceData!$AI$63),"")</f>
        <v/>
      </c>
      <c r="AJ63" t="str">
        <f ca="1">IFERROR(IF(0=LEN(ReferenceData!$AJ$63),"",ReferenceData!$AJ$63),"")</f>
        <v/>
      </c>
      <c r="AK63" t="str">
        <f ca="1">IFERROR(IF(0=LEN(ReferenceData!$AK$63),"",ReferenceData!$AK$63),"")</f>
        <v/>
      </c>
      <c r="AL63" t="str">
        <f ca="1">IFERROR(IF(0=LEN(ReferenceData!$AL$63),"",ReferenceData!$AL$63),"")</f>
        <v/>
      </c>
      <c r="AM63" t="str">
        <f ca="1">IFERROR(IF(0=LEN(ReferenceData!$AM$63),"",ReferenceData!$AM$63),"")</f>
        <v/>
      </c>
      <c r="AN63" t="str">
        <f ca="1">IFERROR(IF(0=LEN(ReferenceData!$AN$63),"",ReferenceData!$AN$63),"")</f>
        <v/>
      </c>
      <c r="AO63" t="str">
        <f ca="1">IFERROR(IF(0=LEN(ReferenceData!$AO$63),"",ReferenceData!$AO$63),"")</f>
        <v/>
      </c>
      <c r="AP63" t="str">
        <f ca="1">IFERROR(IF(0=LEN(ReferenceData!$AP$63),"",ReferenceData!$AP$63),"")</f>
        <v/>
      </c>
      <c r="AQ63" t="str">
        <f ca="1">IFERROR(IF(0=LEN(ReferenceData!$AQ$63),"",ReferenceData!$AQ$63),"")</f>
        <v/>
      </c>
      <c r="AR63" t="str">
        <f ca="1">IFERROR(IF(0=LEN(ReferenceData!$AR$63),"",ReferenceData!$AR$63),"")</f>
        <v/>
      </c>
      <c r="AS63" t="str">
        <f ca="1">IFERROR(IF(0=LEN(ReferenceData!$AS$63),"",ReferenceData!$AS$63),"")</f>
        <v/>
      </c>
      <c r="AT63" t="str">
        <f ca="1">IFERROR(IF(0=LEN(ReferenceData!$AT$63),"",ReferenceData!$AT$63),"")</f>
        <v/>
      </c>
      <c r="AU63" t="str">
        <f ca="1">IFERROR(IF(0=LEN(ReferenceData!$AU$63),"",ReferenceData!$AU$63),"")</f>
        <v/>
      </c>
      <c r="AV63" t="str">
        <f ca="1">IFERROR(IF(0=LEN(ReferenceData!$AV$63),"",ReferenceData!$AV$63),"")</f>
        <v/>
      </c>
      <c r="AW63" t="str">
        <f ca="1">IFERROR(IF(0=LEN(ReferenceData!$AW$63),"",ReferenceData!$AW$63),"")</f>
        <v/>
      </c>
      <c r="AX63" t="str">
        <f ca="1">IFERROR(IF(0=LEN(ReferenceData!$AX$63),"",ReferenceData!$AX$63),"")</f>
        <v/>
      </c>
      <c r="AY63" t="str">
        <f ca="1">IFERROR(IF(0=LEN(ReferenceData!$AY$63),"",ReferenceData!$AY$63),"")</f>
        <v/>
      </c>
      <c r="AZ63" t="str">
        <f ca="1">IFERROR(IF(0=LEN(ReferenceData!$AZ$63),"",ReferenceData!$AZ$63),"")</f>
        <v/>
      </c>
      <c r="BA63" t="str">
        <f ca="1">IFERROR(IF(0=LEN(ReferenceData!$BA$63),"",ReferenceData!$BA$63),"")</f>
        <v/>
      </c>
      <c r="BB63" t="str">
        <f ca="1">IFERROR(IF(0=LEN(ReferenceData!$BB$63),"",ReferenceData!$BB$63),"")</f>
        <v/>
      </c>
      <c r="BC63" t="str">
        <f ca="1">IFERROR(IF(0=LEN(ReferenceData!$BC$63),"",ReferenceData!$BC$63),"")</f>
        <v/>
      </c>
      <c r="BD63" t="str">
        <f ca="1">IFERROR(IF(0=LEN(ReferenceData!$BD$63),"",ReferenceData!$BD$63),"")</f>
        <v/>
      </c>
      <c r="BE63" t="str">
        <f ca="1">IFERROR(IF(0=LEN(ReferenceData!$BE$63),"",ReferenceData!$BE$63),"")</f>
        <v/>
      </c>
      <c r="BF63" t="str">
        <f ca="1">IFERROR(IF(0=LEN(ReferenceData!$BF$63),"",ReferenceData!$BF$63),"")</f>
        <v/>
      </c>
      <c r="BG63" t="str">
        <f ca="1">IFERROR(IF(0=LEN(ReferenceData!$BG$63),"",ReferenceData!$BG$63),"")</f>
        <v/>
      </c>
      <c r="BH63" t="str">
        <f ca="1">IFERROR(IF(0=LEN(ReferenceData!$BH$63),"",ReferenceData!$BH$63),"")</f>
        <v/>
      </c>
      <c r="BI63" t="str">
        <f ca="1">IFERROR(IF(0=LEN(ReferenceData!$BI$63),"",ReferenceData!$BI$63),"")</f>
        <v/>
      </c>
      <c r="BJ63" t="str">
        <f ca="1">IFERROR(IF(0=LEN(ReferenceData!$BJ$63),"",ReferenceData!$BJ$63),"")</f>
        <v/>
      </c>
      <c r="BK63" t="str">
        <f ca="1">IFERROR(IF(0=LEN(ReferenceData!$BK$63),"",ReferenceData!$BK$63),"")</f>
        <v/>
      </c>
      <c r="BL63" t="str">
        <f ca="1">IFERROR(IF(0=LEN(ReferenceData!$BL$63),"",ReferenceData!$BL$63),"")</f>
        <v/>
      </c>
      <c r="BM63" t="str">
        <f ca="1">IFERROR(IF(0=LEN(ReferenceData!$BM$63),"",ReferenceData!$BM$63),"")</f>
        <v/>
      </c>
    </row>
    <row r="64" spans="1:65" x14ac:dyDescent="0.25">
      <c r="A64" t="str">
        <f>IFERROR(IF(0=LEN(ReferenceData!$A$64),"",ReferenceData!$A$64),"")</f>
        <v xml:space="preserve">    Guangzhou Automobile Group Co Ltd</v>
      </c>
      <c r="B64" t="str">
        <f>IFERROR(IF(0=LEN(ReferenceData!$B$64),"",ReferenceData!$B$64),"")</f>
        <v>2238 HK Equity</v>
      </c>
      <c r="C64" t="str">
        <f>IFERROR(IF(0=LEN(ReferenceData!$C$64),"",ReferenceData!$C$64),"")</f>
        <v>EZ009</v>
      </c>
      <c r="D64" t="str">
        <f>IFERROR(IF(0=LEN(ReferenceData!$D$64),"",ReferenceData!$D$64),"")</f>
        <v>BEST_EST_PE_CUR_YR</v>
      </c>
      <c r="E64" t="str">
        <f>IFERROR(IF(0=LEN(ReferenceData!$E$64),"",ReferenceData!$E$64),"")</f>
        <v>Dynamic</v>
      </c>
      <c r="F64">
        <f ca="1">IFERROR(IF(0=LEN(ReferenceData!$F$64),"",ReferenceData!$F$64),"")</f>
        <v>6.9382550429999998</v>
      </c>
      <c r="G64">
        <f ca="1">IFERROR(IF(0=LEN(ReferenceData!$G$64),"",ReferenceData!$G$64),"")</f>
        <v>5.6732863670000002</v>
      </c>
      <c r="H64">
        <f ca="1">IFERROR(IF(0=LEN(ReferenceData!$H$64),"",ReferenceData!$H$64),"")</f>
        <v>6.0883109830000004</v>
      </c>
      <c r="I64">
        <f ca="1">IFERROR(IF(0=LEN(ReferenceData!$I$64),"",ReferenceData!$I$64),"")</f>
        <v>4.7857715169999997</v>
      </c>
      <c r="J64">
        <f ca="1">IFERROR(IF(0=LEN(ReferenceData!$J$64),"",ReferenceData!$J$64),"")</f>
        <v>6.1447127190000002</v>
      </c>
      <c r="K64">
        <f ca="1">IFERROR(IF(0=LEN(ReferenceData!$K$64),"",ReferenceData!$K$64),"")</f>
        <v>8.0187760600000004</v>
      </c>
      <c r="L64">
        <f ca="1">IFERROR(IF(0=LEN(ReferenceData!$L$64),"",ReferenceData!$L$64),"")</f>
        <v>8.4831106419999998</v>
      </c>
      <c r="M64">
        <f ca="1">IFERROR(IF(0=LEN(ReferenceData!$M$64),"",ReferenceData!$M$64),"")</f>
        <v>7.3740653910000002</v>
      </c>
      <c r="N64">
        <f ca="1">IFERROR(IF(0=LEN(ReferenceData!$N$64),"",ReferenceData!$N$64),"")</f>
        <v>7.7019140000000004</v>
      </c>
      <c r="O64">
        <f ca="1">IFERROR(IF(0=LEN(ReferenceData!$O$64),"",ReferenceData!$O$64),"")</f>
        <v>6.2593580419999997</v>
      </c>
      <c r="P64">
        <f ca="1">IFERROR(IF(0=LEN(ReferenceData!$P$64),"",ReferenceData!$P$64),"")</f>
        <v>6.3497926070000004</v>
      </c>
      <c r="Q64">
        <f ca="1">IFERROR(IF(0=LEN(ReferenceData!$Q$64),"",ReferenceData!$Q$64),"")</f>
        <v>6.7619198669999996</v>
      </c>
      <c r="R64">
        <f ca="1">IFERROR(IF(0=LEN(ReferenceData!$R$64),"",ReferenceData!$R$64),"")</f>
        <v>7.083614281</v>
      </c>
      <c r="S64">
        <f ca="1">IFERROR(IF(0=LEN(ReferenceData!$S$64),"",ReferenceData!$S$64),"")</f>
        <v>9.6084120829999993</v>
      </c>
      <c r="T64">
        <f ca="1">IFERROR(IF(0=LEN(ReferenceData!$T$64),"",ReferenceData!$T$64),"")</f>
        <v>14.220771389999999</v>
      </c>
      <c r="U64">
        <f ca="1">IFERROR(IF(0=LEN(ReferenceData!$U$64),"",ReferenceData!$U$64),"")</f>
        <v>7.0703555920000003</v>
      </c>
      <c r="V64">
        <f ca="1">IFERROR(IF(0=LEN(ReferenceData!$V$64),"",ReferenceData!$V$64),"")</f>
        <v>6.2344697580000004</v>
      </c>
      <c r="W64" t="str">
        <f ca="1">IFERROR(IF(0=LEN(ReferenceData!$W$64),"",ReferenceData!$W$64),"")</f>
        <v/>
      </c>
      <c r="X64" t="str">
        <f ca="1">IFERROR(IF(0=LEN(ReferenceData!$X$64),"",ReferenceData!$X$64),"")</f>
        <v/>
      </c>
      <c r="Y64" t="str">
        <f ca="1">IFERROR(IF(0=LEN(ReferenceData!$Y$64),"",ReferenceData!$Y$64),"")</f>
        <v/>
      </c>
      <c r="Z64" t="str">
        <f ca="1">IFERROR(IF(0=LEN(ReferenceData!$Z$64),"",ReferenceData!$Z$64),"")</f>
        <v/>
      </c>
      <c r="AA64" t="str">
        <f ca="1">IFERROR(IF(0=LEN(ReferenceData!$AA$64),"",ReferenceData!$AA$64),"")</f>
        <v/>
      </c>
      <c r="AB64" t="str">
        <f ca="1">IFERROR(IF(0=LEN(ReferenceData!$AB$64),"",ReferenceData!$AB$64),"")</f>
        <v/>
      </c>
      <c r="AC64" t="str">
        <f ca="1">IFERROR(IF(0=LEN(ReferenceData!$AC$64),"",ReferenceData!$AC$64),"")</f>
        <v/>
      </c>
      <c r="AD64" t="str">
        <f ca="1">IFERROR(IF(0=LEN(ReferenceData!$AD$64),"",ReferenceData!$AD$64),"")</f>
        <v/>
      </c>
      <c r="AE64" t="str">
        <f ca="1">IFERROR(IF(0=LEN(ReferenceData!$AE$64),"",ReferenceData!$AE$64),"")</f>
        <v/>
      </c>
      <c r="AF64" t="str">
        <f ca="1">IFERROR(IF(0=LEN(ReferenceData!$AF$64),"",ReferenceData!$AF$64),"")</f>
        <v/>
      </c>
      <c r="AG64" t="str">
        <f ca="1">IFERROR(IF(0=LEN(ReferenceData!$AG$64),"",ReferenceData!$AG$64),"")</f>
        <v/>
      </c>
      <c r="AH64" t="str">
        <f ca="1">IFERROR(IF(0=LEN(ReferenceData!$AH$64),"",ReferenceData!$AH$64),"")</f>
        <v/>
      </c>
      <c r="AI64" t="str">
        <f ca="1">IFERROR(IF(0=LEN(ReferenceData!$AI$64),"",ReferenceData!$AI$64),"")</f>
        <v/>
      </c>
      <c r="AJ64" t="str">
        <f ca="1">IFERROR(IF(0=LEN(ReferenceData!$AJ$64),"",ReferenceData!$AJ$64),"")</f>
        <v/>
      </c>
      <c r="AK64" t="str">
        <f ca="1">IFERROR(IF(0=LEN(ReferenceData!$AK$64),"",ReferenceData!$AK$64),"")</f>
        <v/>
      </c>
      <c r="AL64" t="str">
        <f ca="1">IFERROR(IF(0=LEN(ReferenceData!$AL$64),"",ReferenceData!$AL$64),"")</f>
        <v/>
      </c>
      <c r="AM64" t="str">
        <f ca="1">IFERROR(IF(0=LEN(ReferenceData!$AM$64),"",ReferenceData!$AM$64),"")</f>
        <v/>
      </c>
      <c r="AN64" t="str">
        <f ca="1">IFERROR(IF(0=LEN(ReferenceData!$AN$64),"",ReferenceData!$AN$64),"")</f>
        <v/>
      </c>
      <c r="AO64" t="str">
        <f ca="1">IFERROR(IF(0=LEN(ReferenceData!$AO$64),"",ReferenceData!$AO$64),"")</f>
        <v/>
      </c>
      <c r="AP64" t="str">
        <f ca="1">IFERROR(IF(0=LEN(ReferenceData!$AP$64),"",ReferenceData!$AP$64),"")</f>
        <v/>
      </c>
      <c r="AQ64" t="str">
        <f ca="1">IFERROR(IF(0=LEN(ReferenceData!$AQ$64),"",ReferenceData!$AQ$64),"")</f>
        <v/>
      </c>
      <c r="AR64" t="str">
        <f ca="1">IFERROR(IF(0=LEN(ReferenceData!$AR$64),"",ReferenceData!$AR$64),"")</f>
        <v/>
      </c>
      <c r="AS64" t="str">
        <f ca="1">IFERROR(IF(0=LEN(ReferenceData!$AS$64),"",ReferenceData!$AS$64),"")</f>
        <v/>
      </c>
      <c r="AT64" t="str">
        <f ca="1">IFERROR(IF(0=LEN(ReferenceData!$AT$64),"",ReferenceData!$AT$64),"")</f>
        <v/>
      </c>
      <c r="AU64" t="str">
        <f ca="1">IFERROR(IF(0=LEN(ReferenceData!$AU$64),"",ReferenceData!$AU$64),"")</f>
        <v/>
      </c>
      <c r="AV64" t="str">
        <f ca="1">IFERROR(IF(0=LEN(ReferenceData!$AV$64),"",ReferenceData!$AV$64),"")</f>
        <v/>
      </c>
      <c r="AW64" t="str">
        <f ca="1">IFERROR(IF(0=LEN(ReferenceData!$AW$64),"",ReferenceData!$AW$64),"")</f>
        <v/>
      </c>
      <c r="AX64" t="str">
        <f ca="1">IFERROR(IF(0=LEN(ReferenceData!$AX$64),"",ReferenceData!$AX$64),"")</f>
        <v/>
      </c>
      <c r="AY64" t="str">
        <f ca="1">IFERROR(IF(0=LEN(ReferenceData!$AY$64),"",ReferenceData!$AY$64),"")</f>
        <v/>
      </c>
      <c r="AZ64" t="str">
        <f ca="1">IFERROR(IF(0=LEN(ReferenceData!$AZ$64),"",ReferenceData!$AZ$64),"")</f>
        <v/>
      </c>
      <c r="BA64" t="str">
        <f ca="1">IFERROR(IF(0=LEN(ReferenceData!$BA$64),"",ReferenceData!$BA$64),"")</f>
        <v/>
      </c>
      <c r="BB64" t="str">
        <f ca="1">IFERROR(IF(0=LEN(ReferenceData!$BB$64),"",ReferenceData!$BB$64),"")</f>
        <v/>
      </c>
      <c r="BC64" t="str">
        <f ca="1">IFERROR(IF(0=LEN(ReferenceData!$BC$64),"",ReferenceData!$BC$64),"")</f>
        <v/>
      </c>
      <c r="BD64" t="str">
        <f ca="1">IFERROR(IF(0=LEN(ReferenceData!$BD$64),"",ReferenceData!$BD$64),"")</f>
        <v/>
      </c>
      <c r="BE64" t="str">
        <f ca="1">IFERROR(IF(0=LEN(ReferenceData!$BE$64),"",ReferenceData!$BE$64),"")</f>
        <v/>
      </c>
      <c r="BF64" t="str">
        <f ca="1">IFERROR(IF(0=LEN(ReferenceData!$BF$64),"",ReferenceData!$BF$64),"")</f>
        <v/>
      </c>
      <c r="BG64" t="str">
        <f ca="1">IFERROR(IF(0=LEN(ReferenceData!$BG$64),"",ReferenceData!$BG$64),"")</f>
        <v/>
      </c>
      <c r="BH64" t="str">
        <f ca="1">IFERROR(IF(0=LEN(ReferenceData!$BH$64),"",ReferenceData!$BH$64),"")</f>
        <v/>
      </c>
      <c r="BI64" t="str">
        <f ca="1">IFERROR(IF(0=LEN(ReferenceData!$BI$64),"",ReferenceData!$BI$64),"")</f>
        <v/>
      </c>
      <c r="BJ64" t="str">
        <f ca="1">IFERROR(IF(0=LEN(ReferenceData!$BJ$64),"",ReferenceData!$BJ$64),"")</f>
        <v/>
      </c>
      <c r="BK64" t="str">
        <f ca="1">IFERROR(IF(0=LEN(ReferenceData!$BK$64),"",ReferenceData!$BK$64),"")</f>
        <v/>
      </c>
      <c r="BL64" t="str">
        <f ca="1">IFERROR(IF(0=LEN(ReferenceData!$BL$64),"",ReferenceData!$BL$64),"")</f>
        <v/>
      </c>
      <c r="BM64" t="str">
        <f ca="1">IFERROR(IF(0=LEN(ReferenceData!$BM$64),"",ReferenceData!$BM$64),"")</f>
        <v/>
      </c>
    </row>
    <row r="65" spans="1:65" x14ac:dyDescent="0.25">
      <c r="A65" t="str">
        <f>IFERROR(IF(0=LEN(ReferenceData!$A$65),"",ReferenceData!$A$65),"")</f>
        <v xml:space="preserve">    Honda Motor Co Ltd</v>
      </c>
      <c r="B65" t="str">
        <f>IFERROR(IF(0=LEN(ReferenceData!$B$65),"",ReferenceData!$B$65),"")</f>
        <v>7267 JP Equity</v>
      </c>
      <c r="C65" t="str">
        <f>IFERROR(IF(0=LEN(ReferenceData!$C$65),"",ReferenceData!$C$65),"")</f>
        <v>EZ009</v>
      </c>
      <c r="D65" t="str">
        <f>IFERROR(IF(0=LEN(ReferenceData!$D$65),"",ReferenceData!$D$65),"")</f>
        <v>BEST_EST_PE_CUR_YR</v>
      </c>
      <c r="E65" t="str">
        <f>IFERROR(IF(0=LEN(ReferenceData!$E$65),"",ReferenceData!$E$65),"")</f>
        <v>Dynamic</v>
      </c>
      <c r="F65">
        <f ca="1">IFERROR(IF(0=LEN(ReferenceData!$F$65),"",ReferenceData!$F$65),"")</f>
        <v>7.5955038860000004</v>
      </c>
      <c r="G65">
        <f ca="1">IFERROR(IF(0=LEN(ReferenceData!$G$65),"",ReferenceData!$G$65),"")</f>
        <v>7.0339705910000001</v>
      </c>
      <c r="H65">
        <f ca="1">IFERROR(IF(0=LEN(ReferenceData!$H$65),"",ReferenceData!$H$65),"")</f>
        <v>8.5731522479999995</v>
      </c>
      <c r="I65">
        <f ca="1">IFERROR(IF(0=LEN(ReferenceData!$I$65),"",ReferenceData!$I$65),"")</f>
        <v>8.0575247319999992</v>
      </c>
      <c r="J65">
        <f ca="1">IFERROR(IF(0=LEN(ReferenceData!$J$65),"",ReferenceData!$J$65),"")</f>
        <v>8.6498648159999991</v>
      </c>
      <c r="K65">
        <f ca="1">IFERROR(IF(0=LEN(ReferenceData!$K$65),"",ReferenceData!$K$65),"")</f>
        <v>9.5297316769999991</v>
      </c>
      <c r="L65">
        <f ca="1">IFERROR(IF(0=LEN(ReferenceData!$L$65),"",ReferenceData!$L$65),"")</f>
        <v>8.8334866559999998</v>
      </c>
      <c r="M65">
        <f ca="1">IFERROR(IF(0=LEN(ReferenceData!$M$65),"",ReferenceData!$M$65),"")</f>
        <v>8.2792685929999994</v>
      </c>
      <c r="N65">
        <f ca="1">IFERROR(IF(0=LEN(ReferenceData!$N$65),"",ReferenceData!$N$65),"")</f>
        <v>9.0344879650000003</v>
      </c>
      <c r="O65">
        <f ca="1">IFERROR(IF(0=LEN(ReferenceData!$O$65),"",ReferenceData!$O$65),"")</f>
        <v>9.7804202569999994</v>
      </c>
      <c r="P65">
        <f ca="1">IFERROR(IF(0=LEN(ReferenceData!$P$65),"",ReferenceData!$P$65),"")</f>
        <v>8.6631843919999998</v>
      </c>
      <c r="Q65">
        <f ca="1">IFERROR(IF(0=LEN(ReferenceData!$Q$65),"",ReferenceData!$Q$65),"")</f>
        <v>7.3280785760000002</v>
      </c>
      <c r="R65">
        <f ca="1">IFERROR(IF(0=LEN(ReferenceData!$R$65),"",ReferenceData!$R$65),"")</f>
        <v>6.8560256820000003</v>
      </c>
      <c r="S65">
        <f ca="1">IFERROR(IF(0=LEN(ReferenceData!$S$65),"",ReferenceData!$S$65),"")</f>
        <v>7.4321177729999999</v>
      </c>
      <c r="T65">
        <f ca="1">IFERROR(IF(0=LEN(ReferenceData!$T$65),"",ReferenceData!$T$65),"")</f>
        <v>7.8644444440000001</v>
      </c>
      <c r="U65">
        <f ca="1">IFERROR(IF(0=LEN(ReferenceData!$U$65),"",ReferenceData!$U$65),"")</f>
        <v>8.3426345160000004</v>
      </c>
      <c r="V65">
        <f ca="1">IFERROR(IF(0=LEN(ReferenceData!$V$65),"",ReferenceData!$V$65),"")</f>
        <v>8.2237673830000002</v>
      </c>
      <c r="W65">
        <f ca="1">IFERROR(IF(0=LEN(ReferenceData!$W$65),"",ReferenceData!$W$65),"")</f>
        <v>7.2596252830000001</v>
      </c>
      <c r="X65">
        <f ca="1">IFERROR(IF(0=LEN(ReferenceData!$X$65),"",ReferenceData!$X$65),"")</f>
        <v>7.679094675</v>
      </c>
      <c r="Y65">
        <f ca="1">IFERROR(IF(0=LEN(ReferenceData!$Y$65),"",ReferenceData!$Y$65),"")</f>
        <v>7.1555735379999996</v>
      </c>
      <c r="Z65" t="str">
        <f ca="1">IFERROR(IF(0=LEN(ReferenceData!$Z$65),"",ReferenceData!$Z$65),"")</f>
        <v/>
      </c>
      <c r="AA65" t="str">
        <f ca="1">IFERROR(IF(0=LEN(ReferenceData!$AA$65),"",ReferenceData!$AA$65),"")</f>
        <v/>
      </c>
      <c r="AB65" t="str">
        <f ca="1">IFERROR(IF(0=LEN(ReferenceData!$AB$65),"",ReferenceData!$AB$65),"")</f>
        <v/>
      </c>
      <c r="AC65" t="str">
        <f ca="1">IFERROR(IF(0=LEN(ReferenceData!$AC$65),"",ReferenceData!$AC$65),"")</f>
        <v/>
      </c>
      <c r="AD65" t="str">
        <f ca="1">IFERROR(IF(0=LEN(ReferenceData!$AD$65),"",ReferenceData!$AD$65),"")</f>
        <v/>
      </c>
      <c r="AE65" t="str">
        <f ca="1">IFERROR(IF(0=LEN(ReferenceData!$AE$65),"",ReferenceData!$AE$65),"")</f>
        <v/>
      </c>
      <c r="AF65" t="str">
        <f ca="1">IFERROR(IF(0=LEN(ReferenceData!$AF$65),"",ReferenceData!$AF$65),"")</f>
        <v/>
      </c>
      <c r="AG65" t="str">
        <f ca="1">IFERROR(IF(0=LEN(ReferenceData!$AG$65),"",ReferenceData!$AG$65),"")</f>
        <v/>
      </c>
      <c r="AH65" t="str">
        <f ca="1">IFERROR(IF(0=LEN(ReferenceData!$AH$65),"",ReferenceData!$AH$65),"")</f>
        <v/>
      </c>
      <c r="AI65" t="str">
        <f ca="1">IFERROR(IF(0=LEN(ReferenceData!$AI$65),"",ReferenceData!$AI$65),"")</f>
        <v/>
      </c>
      <c r="AJ65" t="str">
        <f ca="1">IFERROR(IF(0=LEN(ReferenceData!$AJ$65),"",ReferenceData!$AJ$65),"")</f>
        <v/>
      </c>
      <c r="AK65" t="str">
        <f ca="1">IFERROR(IF(0=LEN(ReferenceData!$AK$65),"",ReferenceData!$AK$65),"")</f>
        <v/>
      </c>
      <c r="AL65" t="str">
        <f ca="1">IFERROR(IF(0=LEN(ReferenceData!$AL$65),"",ReferenceData!$AL$65),"")</f>
        <v/>
      </c>
      <c r="AM65" t="str">
        <f ca="1">IFERROR(IF(0=LEN(ReferenceData!$AM$65),"",ReferenceData!$AM$65),"")</f>
        <v/>
      </c>
      <c r="AN65" t="str">
        <f ca="1">IFERROR(IF(0=LEN(ReferenceData!$AN$65),"",ReferenceData!$AN$65),"")</f>
        <v/>
      </c>
      <c r="AO65" t="str">
        <f ca="1">IFERROR(IF(0=LEN(ReferenceData!$AO$65),"",ReferenceData!$AO$65),"")</f>
        <v/>
      </c>
      <c r="AP65" t="str">
        <f ca="1">IFERROR(IF(0=LEN(ReferenceData!$AP$65),"",ReferenceData!$AP$65),"")</f>
        <v/>
      </c>
      <c r="AQ65" t="str">
        <f ca="1">IFERROR(IF(0=LEN(ReferenceData!$AQ$65),"",ReferenceData!$AQ$65),"")</f>
        <v/>
      </c>
      <c r="AR65" t="str">
        <f ca="1">IFERROR(IF(0=LEN(ReferenceData!$AR$65),"",ReferenceData!$AR$65),"")</f>
        <v/>
      </c>
      <c r="AS65" t="str">
        <f ca="1">IFERROR(IF(0=LEN(ReferenceData!$AS$65),"",ReferenceData!$AS$65),"")</f>
        <v/>
      </c>
      <c r="AT65" t="str">
        <f ca="1">IFERROR(IF(0=LEN(ReferenceData!$AT$65),"",ReferenceData!$AT$65),"")</f>
        <v/>
      </c>
      <c r="AU65" t="str">
        <f ca="1">IFERROR(IF(0=LEN(ReferenceData!$AU$65),"",ReferenceData!$AU$65),"")</f>
        <v/>
      </c>
      <c r="AV65" t="str">
        <f ca="1">IFERROR(IF(0=LEN(ReferenceData!$AV$65),"",ReferenceData!$AV$65),"")</f>
        <v/>
      </c>
      <c r="AW65" t="str">
        <f ca="1">IFERROR(IF(0=LEN(ReferenceData!$AW$65),"",ReferenceData!$AW$65),"")</f>
        <v/>
      </c>
      <c r="AX65" t="str">
        <f ca="1">IFERROR(IF(0=LEN(ReferenceData!$AX$65),"",ReferenceData!$AX$65),"")</f>
        <v/>
      </c>
      <c r="AY65" t="str">
        <f ca="1">IFERROR(IF(0=LEN(ReferenceData!$AY$65),"",ReferenceData!$AY$65),"")</f>
        <v/>
      </c>
      <c r="AZ65" t="str">
        <f ca="1">IFERROR(IF(0=LEN(ReferenceData!$AZ$65),"",ReferenceData!$AZ$65),"")</f>
        <v/>
      </c>
      <c r="BA65" t="str">
        <f ca="1">IFERROR(IF(0=LEN(ReferenceData!$BA$65),"",ReferenceData!$BA$65),"")</f>
        <v/>
      </c>
      <c r="BB65" t="str">
        <f ca="1">IFERROR(IF(0=LEN(ReferenceData!$BB$65),"",ReferenceData!$BB$65),"")</f>
        <v/>
      </c>
      <c r="BC65" t="str">
        <f ca="1">IFERROR(IF(0=LEN(ReferenceData!$BC$65),"",ReferenceData!$BC$65),"")</f>
        <v/>
      </c>
      <c r="BD65" t="str">
        <f ca="1">IFERROR(IF(0=LEN(ReferenceData!$BD$65),"",ReferenceData!$BD$65),"")</f>
        <v/>
      </c>
      <c r="BE65" t="str">
        <f ca="1">IFERROR(IF(0=LEN(ReferenceData!$BE$65),"",ReferenceData!$BE$65),"")</f>
        <v/>
      </c>
      <c r="BF65" t="str">
        <f ca="1">IFERROR(IF(0=LEN(ReferenceData!$BF$65),"",ReferenceData!$BF$65),"")</f>
        <v/>
      </c>
      <c r="BG65" t="str">
        <f ca="1">IFERROR(IF(0=LEN(ReferenceData!$BG$65),"",ReferenceData!$BG$65),"")</f>
        <v/>
      </c>
      <c r="BH65" t="str">
        <f ca="1">IFERROR(IF(0=LEN(ReferenceData!$BH$65),"",ReferenceData!$BH$65),"")</f>
        <v/>
      </c>
      <c r="BI65" t="str">
        <f ca="1">IFERROR(IF(0=LEN(ReferenceData!$BI$65),"",ReferenceData!$BI$65),"")</f>
        <v/>
      </c>
      <c r="BJ65" t="str">
        <f ca="1">IFERROR(IF(0=LEN(ReferenceData!$BJ$65),"",ReferenceData!$BJ$65),"")</f>
        <v/>
      </c>
      <c r="BK65" t="str">
        <f ca="1">IFERROR(IF(0=LEN(ReferenceData!$BK$65),"",ReferenceData!$BK$65),"")</f>
        <v/>
      </c>
      <c r="BL65" t="str">
        <f ca="1">IFERROR(IF(0=LEN(ReferenceData!$BL$65),"",ReferenceData!$BL$65),"")</f>
        <v/>
      </c>
      <c r="BM65" t="str">
        <f ca="1">IFERROR(IF(0=LEN(ReferenceData!$BM$65),"",ReferenceData!$BM$65),"")</f>
        <v/>
      </c>
    </row>
    <row r="66" spans="1:65" x14ac:dyDescent="0.25">
      <c r="A66" t="str">
        <f>IFERROR(IF(0=LEN(ReferenceData!$A$66),"",ReferenceData!$A$66),"")</f>
        <v xml:space="preserve">    Hyundai Motor Co</v>
      </c>
      <c r="B66" t="str">
        <f>IFERROR(IF(0=LEN(ReferenceData!$B$66),"",ReferenceData!$B$66),"")</f>
        <v>005380 KS Equity</v>
      </c>
      <c r="C66" t="str">
        <f>IFERROR(IF(0=LEN(ReferenceData!$C$66),"",ReferenceData!$C$66),"")</f>
        <v>EZ009</v>
      </c>
      <c r="D66" t="str">
        <f>IFERROR(IF(0=LEN(ReferenceData!$D$66),"",ReferenceData!$D$66),"")</f>
        <v>BEST_EST_PE_CUR_YR</v>
      </c>
      <c r="E66" t="str">
        <f>IFERROR(IF(0=LEN(ReferenceData!$E$66),"",ReferenceData!$E$66),"")</f>
        <v>Dynamic</v>
      </c>
      <c r="F66">
        <f ca="1">IFERROR(IF(0=LEN(ReferenceData!$F$66),"",ReferenceData!$F$66),"")</f>
        <v>9.3325286950000006</v>
      </c>
      <c r="G66">
        <f ca="1">IFERROR(IF(0=LEN(ReferenceData!$G$66),"",ReferenceData!$G$66),"")</f>
        <v>8.0528714160000003</v>
      </c>
      <c r="H66">
        <f ca="1">IFERROR(IF(0=LEN(ReferenceData!$H$66),"",ReferenceData!$H$66),"")</f>
        <v>7.3752738679999998</v>
      </c>
      <c r="I66">
        <f ca="1">IFERROR(IF(0=LEN(ReferenceData!$I$66),"",ReferenceData!$I$66),"")</f>
        <v>6.886183945</v>
      </c>
      <c r="J66">
        <f ca="1">IFERROR(IF(0=LEN(ReferenceData!$J$66),"",ReferenceData!$J$66),"")</f>
        <v>7.3203589029999998</v>
      </c>
      <c r="K66">
        <f ca="1">IFERROR(IF(0=LEN(ReferenceData!$K$66),"",ReferenceData!$K$66),"")</f>
        <v>6.9970911390000001</v>
      </c>
      <c r="L66">
        <f ca="1">IFERROR(IF(0=LEN(ReferenceData!$L$66),"",ReferenceData!$L$66),"")</f>
        <v>6.8358573920000003</v>
      </c>
      <c r="M66">
        <f ca="1">IFERROR(IF(0=LEN(ReferenceData!$M$66),"",ReferenceData!$M$66),"")</f>
        <v>6.4593766959999996</v>
      </c>
      <c r="N66">
        <f ca="1">IFERROR(IF(0=LEN(ReferenceData!$N$66),"",ReferenceData!$N$66),"")</f>
        <v>6.438559079</v>
      </c>
      <c r="O66">
        <f ca="1">IFERROR(IF(0=LEN(ReferenceData!$O$66),"",ReferenceData!$O$66),"")</f>
        <v>5.4990826139999998</v>
      </c>
      <c r="P66">
        <f ca="1">IFERROR(IF(0=LEN(ReferenceData!$P$66),"",ReferenceData!$P$66),"")</f>
        <v>4.9814345060000003</v>
      </c>
      <c r="Q66">
        <f ca="1">IFERROR(IF(0=LEN(ReferenceData!$Q$66),"",ReferenceData!$Q$66),"")</f>
        <v>5.018447331</v>
      </c>
      <c r="R66">
        <f ca="1">IFERROR(IF(0=LEN(ReferenceData!$R$66),"",ReferenceData!$R$66),"")</f>
        <v>5.5995399929999996</v>
      </c>
      <c r="S66">
        <f ca="1">IFERROR(IF(0=LEN(ReferenceData!$S$66),"",ReferenceData!$S$66),"")</f>
        <v>4.7746799680000001</v>
      </c>
      <c r="T66">
        <f ca="1">IFERROR(IF(0=LEN(ReferenceData!$T$66),"",ReferenceData!$T$66),"")</f>
        <v>4.8874831350000001</v>
      </c>
      <c r="U66">
        <f ca="1">IFERROR(IF(0=LEN(ReferenceData!$U$66),"",ReferenceData!$U$66),"")</f>
        <v>3.7275017519999998</v>
      </c>
      <c r="V66">
        <f ca="1">IFERROR(IF(0=LEN(ReferenceData!$V$66),"",ReferenceData!$V$66),"")</f>
        <v>4.597982182</v>
      </c>
      <c r="W66" t="str">
        <f ca="1">IFERROR(IF(0=LEN(ReferenceData!$W$66),"",ReferenceData!$W$66),"")</f>
        <v/>
      </c>
      <c r="X66" t="str">
        <f ca="1">IFERROR(IF(0=LEN(ReferenceData!$X$66),"",ReferenceData!$X$66),"")</f>
        <v/>
      </c>
      <c r="Y66" t="str">
        <f ca="1">IFERROR(IF(0=LEN(ReferenceData!$Y$66),"",ReferenceData!$Y$66),"")</f>
        <v/>
      </c>
      <c r="Z66" t="str">
        <f ca="1">IFERROR(IF(0=LEN(ReferenceData!$Z$66),"",ReferenceData!$Z$66),"")</f>
        <v/>
      </c>
      <c r="AA66" t="str">
        <f ca="1">IFERROR(IF(0=LEN(ReferenceData!$AA$66),"",ReferenceData!$AA$66),"")</f>
        <v/>
      </c>
      <c r="AB66" t="str">
        <f ca="1">IFERROR(IF(0=LEN(ReferenceData!$AB$66),"",ReferenceData!$AB$66),"")</f>
        <v/>
      </c>
      <c r="AC66" t="str">
        <f ca="1">IFERROR(IF(0=LEN(ReferenceData!$AC$66),"",ReferenceData!$AC$66),"")</f>
        <v/>
      </c>
      <c r="AD66" t="str">
        <f ca="1">IFERROR(IF(0=LEN(ReferenceData!$AD$66),"",ReferenceData!$AD$66),"")</f>
        <v/>
      </c>
      <c r="AE66" t="str">
        <f ca="1">IFERROR(IF(0=LEN(ReferenceData!$AE$66),"",ReferenceData!$AE$66),"")</f>
        <v/>
      </c>
      <c r="AF66" t="str">
        <f ca="1">IFERROR(IF(0=LEN(ReferenceData!$AF$66),"",ReferenceData!$AF$66),"")</f>
        <v/>
      </c>
      <c r="AG66" t="str">
        <f ca="1">IFERROR(IF(0=LEN(ReferenceData!$AG$66),"",ReferenceData!$AG$66),"")</f>
        <v/>
      </c>
      <c r="AH66" t="str">
        <f ca="1">IFERROR(IF(0=LEN(ReferenceData!$AH$66),"",ReferenceData!$AH$66),"")</f>
        <v/>
      </c>
      <c r="AI66" t="str">
        <f ca="1">IFERROR(IF(0=LEN(ReferenceData!$AI$66),"",ReferenceData!$AI$66),"")</f>
        <v/>
      </c>
      <c r="AJ66" t="str">
        <f ca="1">IFERROR(IF(0=LEN(ReferenceData!$AJ$66),"",ReferenceData!$AJ$66),"")</f>
        <v/>
      </c>
      <c r="AK66" t="str">
        <f ca="1">IFERROR(IF(0=LEN(ReferenceData!$AK$66),"",ReferenceData!$AK$66),"")</f>
        <v/>
      </c>
      <c r="AL66" t="str">
        <f ca="1">IFERROR(IF(0=LEN(ReferenceData!$AL$66),"",ReferenceData!$AL$66),"")</f>
        <v/>
      </c>
      <c r="AM66" t="str">
        <f ca="1">IFERROR(IF(0=LEN(ReferenceData!$AM$66),"",ReferenceData!$AM$66),"")</f>
        <v/>
      </c>
      <c r="AN66" t="str">
        <f ca="1">IFERROR(IF(0=LEN(ReferenceData!$AN$66),"",ReferenceData!$AN$66),"")</f>
        <v/>
      </c>
      <c r="AO66" t="str">
        <f ca="1">IFERROR(IF(0=LEN(ReferenceData!$AO$66),"",ReferenceData!$AO$66),"")</f>
        <v/>
      </c>
      <c r="AP66" t="str">
        <f ca="1">IFERROR(IF(0=LEN(ReferenceData!$AP$66),"",ReferenceData!$AP$66),"")</f>
        <v/>
      </c>
      <c r="AQ66" t="str">
        <f ca="1">IFERROR(IF(0=LEN(ReferenceData!$AQ$66),"",ReferenceData!$AQ$66),"")</f>
        <v/>
      </c>
      <c r="AR66" t="str">
        <f ca="1">IFERROR(IF(0=LEN(ReferenceData!$AR$66),"",ReferenceData!$AR$66),"")</f>
        <v/>
      </c>
      <c r="AS66" t="str">
        <f ca="1">IFERROR(IF(0=LEN(ReferenceData!$AS$66),"",ReferenceData!$AS$66),"")</f>
        <v/>
      </c>
      <c r="AT66" t="str">
        <f ca="1">IFERROR(IF(0=LEN(ReferenceData!$AT$66),"",ReferenceData!$AT$66),"")</f>
        <v/>
      </c>
      <c r="AU66" t="str">
        <f ca="1">IFERROR(IF(0=LEN(ReferenceData!$AU$66),"",ReferenceData!$AU$66),"")</f>
        <v/>
      </c>
      <c r="AV66" t="str">
        <f ca="1">IFERROR(IF(0=LEN(ReferenceData!$AV$66),"",ReferenceData!$AV$66),"")</f>
        <v/>
      </c>
      <c r="AW66" t="str">
        <f ca="1">IFERROR(IF(0=LEN(ReferenceData!$AW$66),"",ReferenceData!$AW$66),"")</f>
        <v/>
      </c>
      <c r="AX66" t="str">
        <f ca="1">IFERROR(IF(0=LEN(ReferenceData!$AX$66),"",ReferenceData!$AX$66),"")</f>
        <v/>
      </c>
      <c r="AY66" t="str">
        <f ca="1">IFERROR(IF(0=LEN(ReferenceData!$AY$66),"",ReferenceData!$AY$66),"")</f>
        <v/>
      </c>
      <c r="AZ66" t="str">
        <f ca="1">IFERROR(IF(0=LEN(ReferenceData!$AZ$66),"",ReferenceData!$AZ$66),"")</f>
        <v/>
      </c>
      <c r="BA66" t="str">
        <f ca="1">IFERROR(IF(0=LEN(ReferenceData!$BA$66),"",ReferenceData!$BA$66),"")</f>
        <v/>
      </c>
      <c r="BB66" t="str">
        <f ca="1">IFERROR(IF(0=LEN(ReferenceData!$BB$66),"",ReferenceData!$BB$66),"")</f>
        <v/>
      </c>
      <c r="BC66" t="str">
        <f ca="1">IFERROR(IF(0=LEN(ReferenceData!$BC$66),"",ReferenceData!$BC$66),"")</f>
        <v/>
      </c>
      <c r="BD66" t="str">
        <f ca="1">IFERROR(IF(0=LEN(ReferenceData!$BD$66),"",ReferenceData!$BD$66),"")</f>
        <v/>
      </c>
      <c r="BE66" t="str">
        <f ca="1">IFERROR(IF(0=LEN(ReferenceData!$BE$66),"",ReferenceData!$BE$66),"")</f>
        <v/>
      </c>
      <c r="BF66" t="str">
        <f ca="1">IFERROR(IF(0=LEN(ReferenceData!$BF$66),"",ReferenceData!$BF$66),"")</f>
        <v/>
      </c>
      <c r="BG66" t="str">
        <f ca="1">IFERROR(IF(0=LEN(ReferenceData!$BG$66),"",ReferenceData!$BG$66),"")</f>
        <v/>
      </c>
      <c r="BH66" t="str">
        <f ca="1">IFERROR(IF(0=LEN(ReferenceData!$BH$66),"",ReferenceData!$BH$66),"")</f>
        <v/>
      </c>
      <c r="BI66" t="str">
        <f ca="1">IFERROR(IF(0=LEN(ReferenceData!$BI$66),"",ReferenceData!$BI$66),"")</f>
        <v/>
      </c>
      <c r="BJ66" t="str">
        <f ca="1">IFERROR(IF(0=LEN(ReferenceData!$BJ$66),"",ReferenceData!$BJ$66),"")</f>
        <v/>
      </c>
      <c r="BK66" t="str">
        <f ca="1">IFERROR(IF(0=LEN(ReferenceData!$BK$66),"",ReferenceData!$BK$66),"")</f>
        <v/>
      </c>
      <c r="BL66" t="str">
        <f ca="1">IFERROR(IF(0=LEN(ReferenceData!$BL$66),"",ReferenceData!$BL$66),"")</f>
        <v/>
      </c>
      <c r="BM66" t="str">
        <f ca="1">IFERROR(IF(0=LEN(ReferenceData!$BM$66),"",ReferenceData!$BM$66),"")</f>
        <v/>
      </c>
    </row>
    <row r="67" spans="1:65" x14ac:dyDescent="0.25">
      <c r="A67" t="str">
        <f>IFERROR(IF(0=LEN(ReferenceData!$A$67),"",ReferenceData!$A$67),"")</f>
        <v xml:space="preserve">    Kia Motors Corp</v>
      </c>
      <c r="B67" t="str">
        <f>IFERROR(IF(0=LEN(ReferenceData!$B$67),"",ReferenceData!$B$67),"")</f>
        <v>000270 KS Equity</v>
      </c>
      <c r="C67" t="str">
        <f>IFERROR(IF(0=LEN(ReferenceData!$C$67),"",ReferenceData!$C$67),"")</f>
        <v>EZ009</v>
      </c>
      <c r="D67" t="str">
        <f>IFERROR(IF(0=LEN(ReferenceData!$D$67),"",ReferenceData!$D$67),"")</f>
        <v>BEST_EST_PE_CUR_YR</v>
      </c>
      <c r="E67" t="str">
        <f>IFERROR(IF(0=LEN(ReferenceData!$E$67),"",ReferenceData!$E$67),"")</f>
        <v>Dynamic</v>
      </c>
      <c r="F67">
        <f ca="1">IFERROR(IF(0=LEN(ReferenceData!$F$67),"",ReferenceData!$F$67),"")</f>
        <v>7.957838046</v>
      </c>
      <c r="G67">
        <f ca="1">IFERROR(IF(0=LEN(ReferenceData!$G$67),"",ReferenceData!$G$67),"")</f>
        <v>7.0309931179999996</v>
      </c>
      <c r="H67">
        <f ca="1">IFERROR(IF(0=LEN(ReferenceData!$H$67),"",ReferenceData!$H$67),"")</f>
        <v>6.5066910470000003</v>
      </c>
      <c r="I67">
        <f ca="1">IFERROR(IF(0=LEN(ReferenceData!$I$67),"",ReferenceData!$I$67),"")</f>
        <v>5.6368343830000001</v>
      </c>
      <c r="J67">
        <f ca="1">IFERROR(IF(0=LEN(ReferenceData!$J$67),"",ReferenceData!$J$67),"")</f>
        <v>5.5511584010000004</v>
      </c>
      <c r="K67">
        <f ca="1">IFERROR(IF(0=LEN(ReferenceData!$K$67),"",ReferenceData!$K$67),"")</f>
        <v>5.1874890149999997</v>
      </c>
      <c r="L67">
        <f ca="1">IFERROR(IF(0=LEN(ReferenceData!$L$67),"",ReferenceData!$L$67),"")</f>
        <v>4.7678774309999996</v>
      </c>
      <c r="M67">
        <f ca="1">IFERROR(IF(0=LEN(ReferenceData!$M$67),"",ReferenceData!$M$67),"")</f>
        <v>5.221721541</v>
      </c>
      <c r="N67">
        <f ca="1">IFERROR(IF(0=LEN(ReferenceData!$N$67),"",ReferenceData!$N$67),"")</f>
        <v>4.7220840080000004</v>
      </c>
      <c r="O67">
        <f ca="1">IFERROR(IF(0=LEN(ReferenceData!$O$67),"",ReferenceData!$O$67),"")</f>
        <v>4.8519344139999996</v>
      </c>
      <c r="P67">
        <f ca="1">IFERROR(IF(0=LEN(ReferenceData!$P$67),"",ReferenceData!$P$67),"")</f>
        <v>4.839820875</v>
      </c>
      <c r="Q67">
        <f ca="1">IFERROR(IF(0=LEN(ReferenceData!$Q$67),"",ReferenceData!$Q$67),"")</f>
        <v>6.982156711</v>
      </c>
      <c r="R67">
        <f ca="1">IFERROR(IF(0=LEN(ReferenceData!$R$67),"",ReferenceData!$R$67),"")</f>
        <v>7.0711573640000003</v>
      </c>
      <c r="S67">
        <f ca="1">IFERROR(IF(0=LEN(ReferenceData!$S$67),"",ReferenceData!$S$67),"")</f>
        <v>7.342497496</v>
      </c>
      <c r="T67">
        <f ca="1">IFERROR(IF(0=LEN(ReferenceData!$T$67),"",ReferenceData!$T$67),"")</f>
        <v>7.2597572289999999</v>
      </c>
      <c r="U67">
        <f ca="1">IFERROR(IF(0=LEN(ReferenceData!$U$67),"",ReferenceData!$U$67),"")</f>
        <v>5.5708319599999996</v>
      </c>
      <c r="V67">
        <f ca="1">IFERROR(IF(0=LEN(ReferenceData!$V$67),"",ReferenceData!$V$67),"")</f>
        <v>4.9945993130000002</v>
      </c>
      <c r="W67" t="str">
        <f ca="1">IFERROR(IF(0=LEN(ReferenceData!$W$67),"",ReferenceData!$W$67),"")</f>
        <v/>
      </c>
      <c r="X67" t="str">
        <f ca="1">IFERROR(IF(0=LEN(ReferenceData!$X$67),"",ReferenceData!$X$67),"")</f>
        <v/>
      </c>
      <c r="Y67" t="str">
        <f ca="1">IFERROR(IF(0=LEN(ReferenceData!$Y$67),"",ReferenceData!$Y$67),"")</f>
        <v/>
      </c>
      <c r="Z67" t="str">
        <f ca="1">IFERROR(IF(0=LEN(ReferenceData!$Z$67),"",ReferenceData!$Z$67),"")</f>
        <v/>
      </c>
      <c r="AA67" t="str">
        <f ca="1">IFERROR(IF(0=LEN(ReferenceData!$AA$67),"",ReferenceData!$AA$67),"")</f>
        <v/>
      </c>
      <c r="AB67" t="str">
        <f ca="1">IFERROR(IF(0=LEN(ReferenceData!$AB$67),"",ReferenceData!$AB$67),"")</f>
        <v/>
      </c>
      <c r="AC67" t="str">
        <f ca="1">IFERROR(IF(0=LEN(ReferenceData!$AC$67),"",ReferenceData!$AC$67),"")</f>
        <v/>
      </c>
      <c r="AD67" t="str">
        <f ca="1">IFERROR(IF(0=LEN(ReferenceData!$AD$67),"",ReferenceData!$AD$67),"")</f>
        <v/>
      </c>
      <c r="AE67" t="str">
        <f ca="1">IFERROR(IF(0=LEN(ReferenceData!$AE$67),"",ReferenceData!$AE$67),"")</f>
        <v/>
      </c>
      <c r="AF67" t="str">
        <f ca="1">IFERROR(IF(0=LEN(ReferenceData!$AF$67),"",ReferenceData!$AF$67),"")</f>
        <v/>
      </c>
      <c r="AG67" t="str">
        <f ca="1">IFERROR(IF(0=LEN(ReferenceData!$AG$67),"",ReferenceData!$AG$67),"")</f>
        <v/>
      </c>
      <c r="AH67" t="str">
        <f ca="1">IFERROR(IF(0=LEN(ReferenceData!$AH$67),"",ReferenceData!$AH$67),"")</f>
        <v/>
      </c>
      <c r="AI67" t="str">
        <f ca="1">IFERROR(IF(0=LEN(ReferenceData!$AI$67),"",ReferenceData!$AI$67),"")</f>
        <v/>
      </c>
      <c r="AJ67" t="str">
        <f ca="1">IFERROR(IF(0=LEN(ReferenceData!$AJ$67),"",ReferenceData!$AJ$67),"")</f>
        <v/>
      </c>
      <c r="AK67" t="str">
        <f ca="1">IFERROR(IF(0=LEN(ReferenceData!$AK$67),"",ReferenceData!$AK$67),"")</f>
        <v/>
      </c>
      <c r="AL67" t="str">
        <f ca="1">IFERROR(IF(0=LEN(ReferenceData!$AL$67),"",ReferenceData!$AL$67),"")</f>
        <v/>
      </c>
      <c r="AM67" t="str">
        <f ca="1">IFERROR(IF(0=LEN(ReferenceData!$AM$67),"",ReferenceData!$AM$67),"")</f>
        <v/>
      </c>
      <c r="AN67" t="str">
        <f ca="1">IFERROR(IF(0=LEN(ReferenceData!$AN$67),"",ReferenceData!$AN$67),"")</f>
        <v/>
      </c>
      <c r="AO67" t="str">
        <f ca="1">IFERROR(IF(0=LEN(ReferenceData!$AO$67),"",ReferenceData!$AO$67),"")</f>
        <v/>
      </c>
      <c r="AP67" t="str">
        <f ca="1">IFERROR(IF(0=LEN(ReferenceData!$AP$67),"",ReferenceData!$AP$67),"")</f>
        <v/>
      </c>
      <c r="AQ67" t="str">
        <f ca="1">IFERROR(IF(0=LEN(ReferenceData!$AQ$67),"",ReferenceData!$AQ$67),"")</f>
        <v/>
      </c>
      <c r="AR67" t="str">
        <f ca="1">IFERROR(IF(0=LEN(ReferenceData!$AR$67),"",ReferenceData!$AR$67),"")</f>
        <v/>
      </c>
      <c r="AS67" t="str">
        <f ca="1">IFERROR(IF(0=LEN(ReferenceData!$AS$67),"",ReferenceData!$AS$67),"")</f>
        <v/>
      </c>
      <c r="AT67" t="str">
        <f ca="1">IFERROR(IF(0=LEN(ReferenceData!$AT$67),"",ReferenceData!$AT$67),"")</f>
        <v/>
      </c>
      <c r="AU67" t="str">
        <f ca="1">IFERROR(IF(0=LEN(ReferenceData!$AU$67),"",ReferenceData!$AU$67),"")</f>
        <v/>
      </c>
      <c r="AV67" t="str">
        <f ca="1">IFERROR(IF(0=LEN(ReferenceData!$AV$67),"",ReferenceData!$AV$67),"")</f>
        <v/>
      </c>
      <c r="AW67" t="str">
        <f ca="1">IFERROR(IF(0=LEN(ReferenceData!$AW$67),"",ReferenceData!$AW$67),"")</f>
        <v/>
      </c>
      <c r="AX67" t="str">
        <f ca="1">IFERROR(IF(0=LEN(ReferenceData!$AX$67),"",ReferenceData!$AX$67),"")</f>
        <v/>
      </c>
      <c r="AY67" t="str">
        <f ca="1">IFERROR(IF(0=LEN(ReferenceData!$AY$67),"",ReferenceData!$AY$67),"")</f>
        <v/>
      </c>
      <c r="AZ67" t="str">
        <f ca="1">IFERROR(IF(0=LEN(ReferenceData!$AZ$67),"",ReferenceData!$AZ$67),"")</f>
        <v/>
      </c>
      <c r="BA67" t="str">
        <f ca="1">IFERROR(IF(0=LEN(ReferenceData!$BA$67),"",ReferenceData!$BA$67),"")</f>
        <v/>
      </c>
      <c r="BB67" t="str">
        <f ca="1">IFERROR(IF(0=LEN(ReferenceData!$BB$67),"",ReferenceData!$BB$67),"")</f>
        <v/>
      </c>
      <c r="BC67" t="str">
        <f ca="1">IFERROR(IF(0=LEN(ReferenceData!$BC$67),"",ReferenceData!$BC$67),"")</f>
        <v/>
      </c>
      <c r="BD67" t="str">
        <f ca="1">IFERROR(IF(0=LEN(ReferenceData!$BD$67),"",ReferenceData!$BD$67),"")</f>
        <v/>
      </c>
      <c r="BE67" t="str">
        <f ca="1">IFERROR(IF(0=LEN(ReferenceData!$BE$67),"",ReferenceData!$BE$67),"")</f>
        <v/>
      </c>
      <c r="BF67" t="str">
        <f ca="1">IFERROR(IF(0=LEN(ReferenceData!$BF$67),"",ReferenceData!$BF$67),"")</f>
        <v/>
      </c>
      <c r="BG67" t="str">
        <f ca="1">IFERROR(IF(0=LEN(ReferenceData!$BG$67),"",ReferenceData!$BG$67),"")</f>
        <v/>
      </c>
      <c r="BH67" t="str">
        <f ca="1">IFERROR(IF(0=LEN(ReferenceData!$BH$67),"",ReferenceData!$BH$67),"")</f>
        <v/>
      </c>
      <c r="BI67" t="str">
        <f ca="1">IFERROR(IF(0=LEN(ReferenceData!$BI$67),"",ReferenceData!$BI$67),"")</f>
        <v/>
      </c>
      <c r="BJ67" t="str">
        <f ca="1">IFERROR(IF(0=LEN(ReferenceData!$BJ$67),"",ReferenceData!$BJ$67),"")</f>
        <v/>
      </c>
      <c r="BK67" t="str">
        <f ca="1">IFERROR(IF(0=LEN(ReferenceData!$BK$67),"",ReferenceData!$BK$67),"")</f>
        <v/>
      </c>
      <c r="BL67" t="str">
        <f ca="1">IFERROR(IF(0=LEN(ReferenceData!$BL$67),"",ReferenceData!$BL$67),"")</f>
        <v/>
      </c>
      <c r="BM67" t="str">
        <f ca="1">IFERROR(IF(0=LEN(ReferenceData!$BM$67),"",ReferenceData!$BM$67),"")</f>
        <v/>
      </c>
    </row>
    <row r="68" spans="1:65" x14ac:dyDescent="0.25">
      <c r="A68" t="str">
        <f>IFERROR(IF(0=LEN(ReferenceData!$A$68),"",ReferenceData!$A$68),"")</f>
        <v xml:space="preserve">    Mazda Motor Corp</v>
      </c>
      <c r="B68" t="str">
        <f>IFERROR(IF(0=LEN(ReferenceData!$B$68),"",ReferenceData!$B$68),"")</f>
        <v>7261 JP Equity</v>
      </c>
      <c r="C68" t="str">
        <f>IFERROR(IF(0=LEN(ReferenceData!$C$68),"",ReferenceData!$C$68),"")</f>
        <v>EZ009</v>
      </c>
      <c r="D68" t="str">
        <f>IFERROR(IF(0=LEN(ReferenceData!$D$68),"",ReferenceData!$D$68),"")</f>
        <v>BEST_EST_PE_CUR_YR</v>
      </c>
      <c r="E68" t="str">
        <f>IFERROR(IF(0=LEN(ReferenceData!$E$68),"",ReferenceData!$E$68),"")</f>
        <v>Dynamic</v>
      </c>
      <c r="F68">
        <f ca="1">IFERROR(IF(0=LEN(ReferenceData!$F$68),"",ReferenceData!$F$68),"")</f>
        <v>14.09217305</v>
      </c>
      <c r="G68">
        <f ca="1">IFERROR(IF(0=LEN(ReferenceData!$G$68),"",ReferenceData!$G$68),"")</f>
        <v>12.12619793</v>
      </c>
      <c r="H68">
        <f ca="1">IFERROR(IF(0=LEN(ReferenceData!$H$68),"",ReferenceData!$H$68),"")</f>
        <v>10.49537557</v>
      </c>
      <c r="I68">
        <f ca="1">IFERROR(IF(0=LEN(ReferenceData!$I$68),"",ReferenceData!$I$68),"")</f>
        <v>9.4066219849999992</v>
      </c>
      <c r="J68">
        <f ca="1">IFERROR(IF(0=LEN(ReferenceData!$J$68),"",ReferenceData!$J$68),"")</f>
        <v>7.8305069649999997</v>
      </c>
      <c r="K68">
        <f ca="1">IFERROR(IF(0=LEN(ReferenceData!$K$68),"",ReferenceData!$K$68),"")</f>
        <v>7.6623982320000001</v>
      </c>
      <c r="L68">
        <f ca="1">IFERROR(IF(0=LEN(ReferenceData!$L$68),"",ReferenceData!$L$68),"")</f>
        <v>7.9014992240000002</v>
      </c>
      <c r="M68">
        <f ca="1">IFERROR(IF(0=LEN(ReferenceData!$M$68),"",ReferenceData!$M$68),"")</f>
        <v>7.3588421090000002</v>
      </c>
      <c r="N68">
        <f ca="1">IFERROR(IF(0=LEN(ReferenceData!$N$68),"",ReferenceData!$N$68),"")</f>
        <v>6.3984353169999997</v>
      </c>
      <c r="O68">
        <f ca="1">IFERROR(IF(0=LEN(ReferenceData!$O$68),"",ReferenceData!$O$68),"")</f>
        <v>7.5942026680000003</v>
      </c>
      <c r="P68">
        <f ca="1">IFERROR(IF(0=LEN(ReferenceData!$P$68),"",ReferenceData!$P$68),"")</f>
        <v>6.2549265460000001</v>
      </c>
      <c r="Q68">
        <f ca="1">IFERROR(IF(0=LEN(ReferenceData!$Q$68),"",ReferenceData!$Q$68),"")</f>
        <v>4.9850338939999999</v>
      </c>
      <c r="R68">
        <f ca="1">IFERROR(IF(0=LEN(ReferenceData!$R$68),"",ReferenceData!$R$68),"")</f>
        <v>5.596985031</v>
      </c>
      <c r="S68">
        <f ca="1">IFERROR(IF(0=LEN(ReferenceData!$S$68),"",ReferenceData!$S$68),"")</f>
        <v>6.4054410720000003</v>
      </c>
      <c r="T68">
        <f ca="1">IFERROR(IF(0=LEN(ReferenceData!$T$68),"",ReferenceData!$T$68),"")</f>
        <v>5.5169985180000003</v>
      </c>
      <c r="U68">
        <f ca="1">IFERROR(IF(0=LEN(ReferenceData!$U$68),"",ReferenceData!$U$68),"")</f>
        <v>6.6533488710000004</v>
      </c>
      <c r="V68">
        <f ca="1">IFERROR(IF(0=LEN(ReferenceData!$V$68),"",ReferenceData!$V$68),"")</f>
        <v>7.6553672319999997</v>
      </c>
      <c r="W68">
        <f ca="1">IFERROR(IF(0=LEN(ReferenceData!$W$68),"",ReferenceData!$W$68),"")</f>
        <v>8.0106717750000005</v>
      </c>
      <c r="X68">
        <f ca="1">IFERROR(IF(0=LEN(ReferenceData!$X$68),"",ReferenceData!$X$68),"")</f>
        <v>7.7523970670000004</v>
      </c>
      <c r="Y68">
        <f ca="1">IFERROR(IF(0=LEN(ReferenceData!$Y$68),"",ReferenceData!$Y$68),"")</f>
        <v>7.2078907440000002</v>
      </c>
      <c r="Z68" t="str">
        <f ca="1">IFERROR(IF(0=LEN(ReferenceData!$Z$68),"",ReferenceData!$Z$68),"")</f>
        <v/>
      </c>
      <c r="AA68" t="str">
        <f ca="1">IFERROR(IF(0=LEN(ReferenceData!$AA$68),"",ReferenceData!$AA$68),"")</f>
        <v/>
      </c>
      <c r="AB68" t="str">
        <f ca="1">IFERROR(IF(0=LEN(ReferenceData!$AB$68),"",ReferenceData!$AB$68),"")</f>
        <v/>
      </c>
      <c r="AC68" t="str">
        <f ca="1">IFERROR(IF(0=LEN(ReferenceData!$AC$68),"",ReferenceData!$AC$68),"")</f>
        <v/>
      </c>
      <c r="AD68" t="str">
        <f ca="1">IFERROR(IF(0=LEN(ReferenceData!$AD$68),"",ReferenceData!$AD$68),"")</f>
        <v/>
      </c>
      <c r="AE68" t="str">
        <f ca="1">IFERROR(IF(0=LEN(ReferenceData!$AE$68),"",ReferenceData!$AE$68),"")</f>
        <v/>
      </c>
      <c r="AF68" t="str">
        <f ca="1">IFERROR(IF(0=LEN(ReferenceData!$AF$68),"",ReferenceData!$AF$68),"")</f>
        <v/>
      </c>
      <c r="AG68" t="str">
        <f ca="1">IFERROR(IF(0=LEN(ReferenceData!$AG$68),"",ReferenceData!$AG$68),"")</f>
        <v/>
      </c>
      <c r="AH68" t="str">
        <f ca="1">IFERROR(IF(0=LEN(ReferenceData!$AH$68),"",ReferenceData!$AH$68),"")</f>
        <v/>
      </c>
      <c r="AI68" t="str">
        <f ca="1">IFERROR(IF(0=LEN(ReferenceData!$AI$68),"",ReferenceData!$AI$68),"")</f>
        <v/>
      </c>
      <c r="AJ68" t="str">
        <f ca="1">IFERROR(IF(0=LEN(ReferenceData!$AJ$68),"",ReferenceData!$AJ$68),"")</f>
        <v/>
      </c>
      <c r="AK68" t="str">
        <f ca="1">IFERROR(IF(0=LEN(ReferenceData!$AK$68),"",ReferenceData!$AK$68),"")</f>
        <v/>
      </c>
      <c r="AL68" t="str">
        <f ca="1">IFERROR(IF(0=LEN(ReferenceData!$AL$68),"",ReferenceData!$AL$68),"")</f>
        <v/>
      </c>
      <c r="AM68" t="str">
        <f ca="1">IFERROR(IF(0=LEN(ReferenceData!$AM$68),"",ReferenceData!$AM$68),"")</f>
        <v/>
      </c>
      <c r="AN68" t="str">
        <f ca="1">IFERROR(IF(0=LEN(ReferenceData!$AN$68),"",ReferenceData!$AN$68),"")</f>
        <v/>
      </c>
      <c r="AO68" t="str">
        <f ca="1">IFERROR(IF(0=LEN(ReferenceData!$AO$68),"",ReferenceData!$AO$68),"")</f>
        <v/>
      </c>
      <c r="AP68" t="str">
        <f ca="1">IFERROR(IF(0=LEN(ReferenceData!$AP$68),"",ReferenceData!$AP$68),"")</f>
        <v/>
      </c>
      <c r="AQ68" t="str">
        <f ca="1">IFERROR(IF(0=LEN(ReferenceData!$AQ$68),"",ReferenceData!$AQ$68),"")</f>
        <v/>
      </c>
      <c r="AR68" t="str">
        <f ca="1">IFERROR(IF(0=LEN(ReferenceData!$AR$68),"",ReferenceData!$AR$68),"")</f>
        <v/>
      </c>
      <c r="AS68" t="str">
        <f ca="1">IFERROR(IF(0=LEN(ReferenceData!$AS$68),"",ReferenceData!$AS$68),"")</f>
        <v/>
      </c>
      <c r="AT68" t="str">
        <f ca="1">IFERROR(IF(0=LEN(ReferenceData!$AT$68),"",ReferenceData!$AT$68),"")</f>
        <v/>
      </c>
      <c r="AU68" t="str">
        <f ca="1">IFERROR(IF(0=LEN(ReferenceData!$AU$68),"",ReferenceData!$AU$68),"")</f>
        <v/>
      </c>
      <c r="AV68" t="str">
        <f ca="1">IFERROR(IF(0=LEN(ReferenceData!$AV$68),"",ReferenceData!$AV$68),"")</f>
        <v/>
      </c>
      <c r="AW68" t="str">
        <f ca="1">IFERROR(IF(0=LEN(ReferenceData!$AW$68),"",ReferenceData!$AW$68),"")</f>
        <v/>
      </c>
      <c r="AX68" t="str">
        <f ca="1">IFERROR(IF(0=LEN(ReferenceData!$AX$68),"",ReferenceData!$AX$68),"")</f>
        <v/>
      </c>
      <c r="AY68" t="str">
        <f ca="1">IFERROR(IF(0=LEN(ReferenceData!$AY$68),"",ReferenceData!$AY$68),"")</f>
        <v/>
      </c>
      <c r="AZ68" t="str">
        <f ca="1">IFERROR(IF(0=LEN(ReferenceData!$AZ$68),"",ReferenceData!$AZ$68),"")</f>
        <v/>
      </c>
      <c r="BA68" t="str">
        <f ca="1">IFERROR(IF(0=LEN(ReferenceData!$BA$68),"",ReferenceData!$BA$68),"")</f>
        <v/>
      </c>
      <c r="BB68" t="str">
        <f ca="1">IFERROR(IF(0=LEN(ReferenceData!$BB$68),"",ReferenceData!$BB$68),"")</f>
        <v/>
      </c>
      <c r="BC68" t="str">
        <f ca="1">IFERROR(IF(0=LEN(ReferenceData!$BC$68),"",ReferenceData!$BC$68),"")</f>
        <v/>
      </c>
      <c r="BD68" t="str">
        <f ca="1">IFERROR(IF(0=LEN(ReferenceData!$BD$68),"",ReferenceData!$BD$68),"")</f>
        <v/>
      </c>
      <c r="BE68" t="str">
        <f ca="1">IFERROR(IF(0=LEN(ReferenceData!$BE$68),"",ReferenceData!$BE$68),"")</f>
        <v/>
      </c>
      <c r="BF68" t="str">
        <f ca="1">IFERROR(IF(0=LEN(ReferenceData!$BF$68),"",ReferenceData!$BF$68),"")</f>
        <v/>
      </c>
      <c r="BG68" t="str">
        <f ca="1">IFERROR(IF(0=LEN(ReferenceData!$BG$68),"",ReferenceData!$BG$68),"")</f>
        <v/>
      </c>
      <c r="BH68" t="str">
        <f ca="1">IFERROR(IF(0=LEN(ReferenceData!$BH$68),"",ReferenceData!$BH$68),"")</f>
        <v/>
      </c>
      <c r="BI68" t="str">
        <f ca="1">IFERROR(IF(0=LEN(ReferenceData!$BI$68),"",ReferenceData!$BI$68),"")</f>
        <v/>
      </c>
      <c r="BJ68" t="str">
        <f ca="1">IFERROR(IF(0=LEN(ReferenceData!$BJ$68),"",ReferenceData!$BJ$68),"")</f>
        <v/>
      </c>
      <c r="BK68" t="str">
        <f ca="1">IFERROR(IF(0=LEN(ReferenceData!$BK$68),"",ReferenceData!$BK$68),"")</f>
        <v/>
      </c>
      <c r="BL68" t="str">
        <f ca="1">IFERROR(IF(0=LEN(ReferenceData!$BL$68),"",ReferenceData!$BL$68),"")</f>
        <v/>
      </c>
      <c r="BM68" t="str">
        <f ca="1">IFERROR(IF(0=LEN(ReferenceData!$BM$68),"",ReferenceData!$BM$68),"")</f>
        <v/>
      </c>
    </row>
    <row r="69" spans="1:65" x14ac:dyDescent="0.25">
      <c r="A69" t="str">
        <f>IFERROR(IF(0=LEN(ReferenceData!$A$69),"",ReferenceData!$A$69),"")</f>
        <v xml:space="preserve">    Mitsubishi Motors Corp</v>
      </c>
      <c r="B69" t="str">
        <f>IFERROR(IF(0=LEN(ReferenceData!$B$69),"",ReferenceData!$B$69),"")</f>
        <v>7211 JP Equity</v>
      </c>
      <c r="C69" t="str">
        <f>IFERROR(IF(0=LEN(ReferenceData!$C$69),"",ReferenceData!$C$69),"")</f>
        <v>EZ009</v>
      </c>
      <c r="D69" t="str">
        <f>IFERROR(IF(0=LEN(ReferenceData!$D$69),"",ReferenceData!$D$69),"")</f>
        <v>BEST_EST_PE_CUR_YR</v>
      </c>
      <c r="E69" t="str">
        <f>IFERROR(IF(0=LEN(ReferenceData!$E$69),"",ReferenceData!$E$69),"")</f>
        <v>Dynamic</v>
      </c>
      <c r="F69">
        <f ca="1">IFERROR(IF(0=LEN(ReferenceData!$F$69),"",ReferenceData!$F$69),"")</f>
        <v>8.4214781379999994</v>
      </c>
      <c r="G69">
        <f ca="1">IFERROR(IF(0=LEN(ReferenceData!$G$69),"",ReferenceData!$G$69),"")</f>
        <v>7.9016105110000003</v>
      </c>
      <c r="H69">
        <f ca="1">IFERROR(IF(0=LEN(ReferenceData!$H$69),"",ReferenceData!$H$69),"")</f>
        <v>10.32852967</v>
      </c>
      <c r="I69">
        <f ca="1">IFERROR(IF(0=LEN(ReferenceData!$I$69),"",ReferenceData!$I$69),"")</f>
        <v>11.644621450000001</v>
      </c>
      <c r="J69">
        <f ca="1">IFERROR(IF(0=LEN(ReferenceData!$J$69),"",ReferenceData!$J$69),"")</f>
        <v>11.23628686</v>
      </c>
      <c r="K69">
        <f ca="1">IFERROR(IF(0=LEN(ReferenceData!$K$69),"",ReferenceData!$K$69),"")</f>
        <v>11.7487443</v>
      </c>
      <c r="L69">
        <f ca="1">IFERROR(IF(0=LEN(ReferenceData!$L$69),"",ReferenceData!$L$69),"")</f>
        <v>13.29906458</v>
      </c>
      <c r="M69">
        <f ca="1">IFERROR(IF(0=LEN(ReferenceData!$M$69),"",ReferenceData!$M$69),"")</f>
        <v>13.480526100000001</v>
      </c>
      <c r="N69">
        <f ca="1">IFERROR(IF(0=LEN(ReferenceData!$N$69),"",ReferenceData!$N$69),"")</f>
        <v>10.977110509999999</v>
      </c>
      <c r="O69">
        <f ca="1">IFERROR(IF(0=LEN(ReferenceData!$O$69),"",ReferenceData!$O$69),"")</f>
        <v>13.41254657</v>
      </c>
      <c r="P69">
        <f ca="1">IFERROR(IF(0=LEN(ReferenceData!$P$69),"",ReferenceData!$P$69),"")</f>
        <v>10.65207023</v>
      </c>
      <c r="Q69">
        <f ca="1">IFERROR(IF(0=LEN(ReferenceData!$Q$69),"",ReferenceData!$Q$69),"")</f>
        <v>8.5646457270000003</v>
      </c>
      <c r="R69" t="str">
        <f ca="1">IFERROR(IF(0=LEN(ReferenceData!$R$69),"",ReferenceData!$R$69),"")</f>
        <v/>
      </c>
      <c r="S69" t="str">
        <f ca="1">IFERROR(IF(0=LEN(ReferenceData!$S$69),"",ReferenceData!$S$69),"")</f>
        <v/>
      </c>
      <c r="T69" t="str">
        <f ca="1">IFERROR(IF(0=LEN(ReferenceData!$T$69),"",ReferenceData!$T$69),"")</f>
        <v/>
      </c>
      <c r="U69" t="str">
        <f ca="1">IFERROR(IF(0=LEN(ReferenceData!$U$69),"",ReferenceData!$U$69),"")</f>
        <v/>
      </c>
      <c r="V69" t="str">
        <f ca="1">IFERROR(IF(0=LEN(ReferenceData!$V$69),"",ReferenceData!$V$69),"")</f>
        <v/>
      </c>
      <c r="W69" t="str">
        <f ca="1">IFERROR(IF(0=LEN(ReferenceData!$W$69),"",ReferenceData!$W$69),"")</f>
        <v/>
      </c>
      <c r="X69" t="str">
        <f ca="1">IFERROR(IF(0=LEN(ReferenceData!$X$69),"",ReferenceData!$X$69),"")</f>
        <v/>
      </c>
      <c r="Y69" t="str">
        <f ca="1">IFERROR(IF(0=LEN(ReferenceData!$Y$69),"",ReferenceData!$Y$69),"")</f>
        <v/>
      </c>
      <c r="Z69" t="str">
        <f ca="1">IFERROR(IF(0=LEN(ReferenceData!$Z$69),"",ReferenceData!$Z$69),"")</f>
        <v/>
      </c>
      <c r="AA69" t="str">
        <f ca="1">IFERROR(IF(0=LEN(ReferenceData!$AA$69),"",ReferenceData!$AA$69),"")</f>
        <v/>
      </c>
      <c r="AB69" t="str">
        <f ca="1">IFERROR(IF(0=LEN(ReferenceData!$AB$69),"",ReferenceData!$AB$69),"")</f>
        <v/>
      </c>
      <c r="AC69" t="str">
        <f ca="1">IFERROR(IF(0=LEN(ReferenceData!$AC$69),"",ReferenceData!$AC$69),"")</f>
        <v/>
      </c>
      <c r="AD69" t="str">
        <f ca="1">IFERROR(IF(0=LEN(ReferenceData!$AD$69),"",ReferenceData!$AD$69),"")</f>
        <v/>
      </c>
      <c r="AE69" t="str">
        <f ca="1">IFERROR(IF(0=LEN(ReferenceData!$AE$69),"",ReferenceData!$AE$69),"")</f>
        <v/>
      </c>
      <c r="AF69" t="str">
        <f ca="1">IFERROR(IF(0=LEN(ReferenceData!$AF$69),"",ReferenceData!$AF$69),"")</f>
        <v/>
      </c>
      <c r="AG69" t="str">
        <f ca="1">IFERROR(IF(0=LEN(ReferenceData!$AG$69),"",ReferenceData!$AG$69),"")</f>
        <v/>
      </c>
      <c r="AH69" t="str">
        <f ca="1">IFERROR(IF(0=LEN(ReferenceData!$AH$69),"",ReferenceData!$AH$69),"")</f>
        <v/>
      </c>
      <c r="AI69" t="str">
        <f ca="1">IFERROR(IF(0=LEN(ReferenceData!$AI$69),"",ReferenceData!$AI$69),"")</f>
        <v/>
      </c>
      <c r="AJ69" t="str">
        <f ca="1">IFERROR(IF(0=LEN(ReferenceData!$AJ$69),"",ReferenceData!$AJ$69),"")</f>
        <v/>
      </c>
      <c r="AK69" t="str">
        <f ca="1">IFERROR(IF(0=LEN(ReferenceData!$AK$69),"",ReferenceData!$AK$69),"")</f>
        <v/>
      </c>
      <c r="AL69" t="str">
        <f ca="1">IFERROR(IF(0=LEN(ReferenceData!$AL$69),"",ReferenceData!$AL$69),"")</f>
        <v/>
      </c>
      <c r="AM69" t="str">
        <f ca="1">IFERROR(IF(0=LEN(ReferenceData!$AM$69),"",ReferenceData!$AM$69),"")</f>
        <v/>
      </c>
      <c r="AN69" t="str">
        <f ca="1">IFERROR(IF(0=LEN(ReferenceData!$AN$69),"",ReferenceData!$AN$69),"")</f>
        <v/>
      </c>
      <c r="AO69" t="str">
        <f ca="1">IFERROR(IF(0=LEN(ReferenceData!$AO$69),"",ReferenceData!$AO$69),"")</f>
        <v/>
      </c>
      <c r="AP69" t="str">
        <f ca="1">IFERROR(IF(0=LEN(ReferenceData!$AP$69),"",ReferenceData!$AP$69),"")</f>
        <v/>
      </c>
      <c r="AQ69" t="str">
        <f ca="1">IFERROR(IF(0=LEN(ReferenceData!$AQ$69),"",ReferenceData!$AQ$69),"")</f>
        <v/>
      </c>
      <c r="AR69" t="str">
        <f ca="1">IFERROR(IF(0=LEN(ReferenceData!$AR$69),"",ReferenceData!$AR$69),"")</f>
        <v/>
      </c>
      <c r="AS69" t="str">
        <f ca="1">IFERROR(IF(0=LEN(ReferenceData!$AS$69),"",ReferenceData!$AS$69),"")</f>
        <v/>
      </c>
      <c r="AT69" t="str">
        <f ca="1">IFERROR(IF(0=LEN(ReferenceData!$AT$69),"",ReferenceData!$AT$69),"")</f>
        <v/>
      </c>
      <c r="AU69" t="str">
        <f ca="1">IFERROR(IF(0=LEN(ReferenceData!$AU$69),"",ReferenceData!$AU$69),"")</f>
        <v/>
      </c>
      <c r="AV69" t="str">
        <f ca="1">IFERROR(IF(0=LEN(ReferenceData!$AV$69),"",ReferenceData!$AV$69),"")</f>
        <v/>
      </c>
      <c r="AW69" t="str">
        <f ca="1">IFERROR(IF(0=LEN(ReferenceData!$AW$69),"",ReferenceData!$AW$69),"")</f>
        <v/>
      </c>
      <c r="AX69" t="str">
        <f ca="1">IFERROR(IF(0=LEN(ReferenceData!$AX$69),"",ReferenceData!$AX$69),"")</f>
        <v/>
      </c>
      <c r="AY69" t="str">
        <f ca="1">IFERROR(IF(0=LEN(ReferenceData!$AY$69),"",ReferenceData!$AY$69),"")</f>
        <v/>
      </c>
      <c r="AZ69" t="str">
        <f ca="1">IFERROR(IF(0=LEN(ReferenceData!$AZ$69),"",ReferenceData!$AZ$69),"")</f>
        <v/>
      </c>
      <c r="BA69" t="str">
        <f ca="1">IFERROR(IF(0=LEN(ReferenceData!$BA$69),"",ReferenceData!$BA$69),"")</f>
        <v/>
      </c>
      <c r="BB69" t="str">
        <f ca="1">IFERROR(IF(0=LEN(ReferenceData!$BB$69),"",ReferenceData!$BB$69),"")</f>
        <v/>
      </c>
      <c r="BC69" t="str">
        <f ca="1">IFERROR(IF(0=LEN(ReferenceData!$BC$69),"",ReferenceData!$BC$69),"")</f>
        <v/>
      </c>
      <c r="BD69" t="str">
        <f ca="1">IFERROR(IF(0=LEN(ReferenceData!$BD$69),"",ReferenceData!$BD$69),"")</f>
        <v/>
      </c>
      <c r="BE69" t="str">
        <f ca="1">IFERROR(IF(0=LEN(ReferenceData!$BE$69),"",ReferenceData!$BE$69),"")</f>
        <v/>
      </c>
      <c r="BF69" t="str">
        <f ca="1">IFERROR(IF(0=LEN(ReferenceData!$BF$69),"",ReferenceData!$BF$69),"")</f>
        <v/>
      </c>
      <c r="BG69" t="str">
        <f ca="1">IFERROR(IF(0=LEN(ReferenceData!$BG$69),"",ReferenceData!$BG$69),"")</f>
        <v/>
      </c>
      <c r="BH69" t="str">
        <f ca="1">IFERROR(IF(0=LEN(ReferenceData!$BH$69),"",ReferenceData!$BH$69),"")</f>
        <v/>
      </c>
      <c r="BI69" t="str">
        <f ca="1">IFERROR(IF(0=LEN(ReferenceData!$BI$69),"",ReferenceData!$BI$69),"")</f>
        <v/>
      </c>
      <c r="BJ69" t="str">
        <f ca="1">IFERROR(IF(0=LEN(ReferenceData!$BJ$69),"",ReferenceData!$BJ$69),"")</f>
        <v/>
      </c>
      <c r="BK69" t="str">
        <f ca="1">IFERROR(IF(0=LEN(ReferenceData!$BK$69),"",ReferenceData!$BK$69),"")</f>
        <v/>
      </c>
      <c r="BL69" t="str">
        <f ca="1">IFERROR(IF(0=LEN(ReferenceData!$BL$69),"",ReferenceData!$BL$69),"")</f>
        <v/>
      </c>
      <c r="BM69" t="str">
        <f ca="1">IFERROR(IF(0=LEN(ReferenceData!$BM$69),"",ReferenceData!$BM$69),"")</f>
        <v/>
      </c>
    </row>
    <row r="70" spans="1:65" x14ac:dyDescent="0.25">
      <c r="A70" t="str">
        <f>IFERROR(IF(0=LEN(ReferenceData!$A$70),"",ReferenceData!$A$70),"")</f>
        <v xml:space="preserve">    Nissan Motor Co Ltd</v>
      </c>
      <c r="B70" t="str">
        <f>IFERROR(IF(0=LEN(ReferenceData!$B$70),"",ReferenceData!$B$70),"")</f>
        <v>7201 JP Equity</v>
      </c>
      <c r="C70" t="str">
        <f>IFERROR(IF(0=LEN(ReferenceData!$C$70),"",ReferenceData!$C$70),"")</f>
        <v>EZ009</v>
      </c>
      <c r="D70" t="str">
        <f>IFERROR(IF(0=LEN(ReferenceData!$D$70),"",ReferenceData!$D$70),"")</f>
        <v>BEST_EST_PE_CUR_YR</v>
      </c>
      <c r="E70" t="str">
        <f>IFERROR(IF(0=LEN(ReferenceData!$E$70),"",ReferenceData!$E$70),"")</f>
        <v>Dynamic</v>
      </c>
      <c r="F70">
        <f ca="1">IFERROR(IF(0=LEN(ReferenceData!$F$70),"",ReferenceData!$F$70),"")</f>
        <v>7.7589125909999996</v>
      </c>
      <c r="G70">
        <f ca="1">IFERROR(IF(0=LEN(ReferenceData!$G$70),"",ReferenceData!$G$70),"")</f>
        <v>6.5712664790000002</v>
      </c>
      <c r="H70">
        <f ca="1">IFERROR(IF(0=LEN(ReferenceData!$H$70),"",ReferenceData!$H$70),"")</f>
        <v>7.7488597119999998</v>
      </c>
      <c r="I70">
        <f ca="1">IFERROR(IF(0=LEN(ReferenceData!$I$70),"",ReferenceData!$I$70),"")</f>
        <v>7.6476138450000004</v>
      </c>
      <c r="J70">
        <f ca="1">IFERROR(IF(0=LEN(ReferenceData!$J$70),"",ReferenceData!$J$70),"")</f>
        <v>7.4376490559999997</v>
      </c>
      <c r="K70">
        <f ca="1">IFERROR(IF(0=LEN(ReferenceData!$K$70),"",ReferenceData!$K$70),"")</f>
        <v>7.0934747610000004</v>
      </c>
      <c r="L70">
        <f ca="1">IFERROR(IF(0=LEN(ReferenceData!$L$70),"",ReferenceData!$L$70),"")</f>
        <v>6.9765694930000004</v>
      </c>
      <c r="M70">
        <f ca="1">IFERROR(IF(0=LEN(ReferenceData!$M$70),"",ReferenceData!$M$70),"")</f>
        <v>6.9485879080000004</v>
      </c>
      <c r="N70">
        <f ca="1">IFERROR(IF(0=LEN(ReferenceData!$N$70),"",ReferenceData!$N$70),"")</f>
        <v>6.1817260459999996</v>
      </c>
      <c r="O70">
        <f ca="1">IFERROR(IF(0=LEN(ReferenceData!$O$70),"",ReferenceData!$O$70),"")</f>
        <v>6.8817544230000003</v>
      </c>
      <c r="P70">
        <f ca="1">IFERROR(IF(0=LEN(ReferenceData!$P$70),"",ReferenceData!$P$70),"")</f>
        <v>6.209363014</v>
      </c>
      <c r="Q70">
        <f ca="1">IFERROR(IF(0=LEN(ReferenceData!$Q$70),"",ReferenceData!$Q$70),"")</f>
        <v>5.343680322</v>
      </c>
      <c r="R70">
        <f ca="1">IFERROR(IF(0=LEN(ReferenceData!$R$70),"",ReferenceData!$R$70),"")</f>
        <v>5.6683356920000003</v>
      </c>
      <c r="S70">
        <f ca="1">IFERROR(IF(0=LEN(ReferenceData!$S$70),"",ReferenceData!$S$70),"")</f>
        <v>6.6219853019999997</v>
      </c>
      <c r="T70">
        <f ca="1">IFERROR(IF(0=LEN(ReferenceData!$T$70),"",ReferenceData!$T$70),"")</f>
        <v>5.7341433119999996</v>
      </c>
      <c r="U70">
        <f ca="1">IFERROR(IF(0=LEN(ReferenceData!$U$70),"",ReferenceData!$U$70),"")</f>
        <v>6.6792393529999998</v>
      </c>
      <c r="V70">
        <f ca="1">IFERROR(IF(0=LEN(ReferenceData!$V$70),"",ReferenceData!$V$70),"")</f>
        <v>7.3293413169999999</v>
      </c>
      <c r="W70">
        <f ca="1">IFERROR(IF(0=LEN(ReferenceData!$W$70),"",ReferenceData!$W$70),"")</f>
        <v>6.1098265899999999</v>
      </c>
      <c r="X70">
        <f ca="1">IFERROR(IF(0=LEN(ReferenceData!$X$70),"",ReferenceData!$X$70),"")</f>
        <v>6.5222696769999997</v>
      </c>
      <c r="Y70">
        <f ca="1">IFERROR(IF(0=LEN(ReferenceData!$Y$70),"",ReferenceData!$Y$70),"")</f>
        <v>5.9065765209999999</v>
      </c>
      <c r="Z70" t="str">
        <f ca="1">IFERROR(IF(0=LEN(ReferenceData!$Z$70),"",ReferenceData!$Z$70),"")</f>
        <v/>
      </c>
      <c r="AA70" t="str">
        <f ca="1">IFERROR(IF(0=LEN(ReferenceData!$AA$70),"",ReferenceData!$AA$70),"")</f>
        <v/>
      </c>
      <c r="AB70" t="str">
        <f ca="1">IFERROR(IF(0=LEN(ReferenceData!$AB$70),"",ReferenceData!$AB$70),"")</f>
        <v/>
      </c>
      <c r="AC70" t="str">
        <f ca="1">IFERROR(IF(0=LEN(ReferenceData!$AC$70),"",ReferenceData!$AC$70),"")</f>
        <v/>
      </c>
      <c r="AD70" t="str">
        <f ca="1">IFERROR(IF(0=LEN(ReferenceData!$AD$70),"",ReferenceData!$AD$70),"")</f>
        <v/>
      </c>
      <c r="AE70" t="str">
        <f ca="1">IFERROR(IF(0=LEN(ReferenceData!$AE$70),"",ReferenceData!$AE$70),"")</f>
        <v/>
      </c>
      <c r="AF70" t="str">
        <f ca="1">IFERROR(IF(0=LEN(ReferenceData!$AF$70),"",ReferenceData!$AF$70),"")</f>
        <v/>
      </c>
      <c r="AG70" t="str">
        <f ca="1">IFERROR(IF(0=LEN(ReferenceData!$AG$70),"",ReferenceData!$AG$70),"")</f>
        <v/>
      </c>
      <c r="AH70" t="str">
        <f ca="1">IFERROR(IF(0=LEN(ReferenceData!$AH$70),"",ReferenceData!$AH$70),"")</f>
        <v/>
      </c>
      <c r="AI70" t="str">
        <f ca="1">IFERROR(IF(0=LEN(ReferenceData!$AI$70),"",ReferenceData!$AI$70),"")</f>
        <v/>
      </c>
      <c r="AJ70" t="str">
        <f ca="1">IFERROR(IF(0=LEN(ReferenceData!$AJ$70),"",ReferenceData!$AJ$70),"")</f>
        <v/>
      </c>
      <c r="AK70" t="str">
        <f ca="1">IFERROR(IF(0=LEN(ReferenceData!$AK$70),"",ReferenceData!$AK$70),"")</f>
        <v/>
      </c>
      <c r="AL70" t="str">
        <f ca="1">IFERROR(IF(0=LEN(ReferenceData!$AL$70),"",ReferenceData!$AL$70),"")</f>
        <v/>
      </c>
      <c r="AM70" t="str">
        <f ca="1">IFERROR(IF(0=LEN(ReferenceData!$AM$70),"",ReferenceData!$AM$70),"")</f>
        <v/>
      </c>
      <c r="AN70" t="str">
        <f ca="1">IFERROR(IF(0=LEN(ReferenceData!$AN$70),"",ReferenceData!$AN$70),"")</f>
        <v/>
      </c>
      <c r="AO70" t="str">
        <f ca="1">IFERROR(IF(0=LEN(ReferenceData!$AO$70),"",ReferenceData!$AO$70),"")</f>
        <v/>
      </c>
      <c r="AP70" t="str">
        <f ca="1">IFERROR(IF(0=LEN(ReferenceData!$AP$70),"",ReferenceData!$AP$70),"")</f>
        <v/>
      </c>
      <c r="AQ70" t="str">
        <f ca="1">IFERROR(IF(0=LEN(ReferenceData!$AQ$70),"",ReferenceData!$AQ$70),"")</f>
        <v/>
      </c>
      <c r="AR70" t="str">
        <f ca="1">IFERROR(IF(0=LEN(ReferenceData!$AR$70),"",ReferenceData!$AR$70),"")</f>
        <v/>
      </c>
      <c r="AS70" t="str">
        <f ca="1">IFERROR(IF(0=LEN(ReferenceData!$AS$70),"",ReferenceData!$AS$70),"")</f>
        <v/>
      </c>
      <c r="AT70" t="str">
        <f ca="1">IFERROR(IF(0=LEN(ReferenceData!$AT$70),"",ReferenceData!$AT$70),"")</f>
        <v/>
      </c>
      <c r="AU70" t="str">
        <f ca="1">IFERROR(IF(0=LEN(ReferenceData!$AU$70),"",ReferenceData!$AU$70),"")</f>
        <v/>
      </c>
      <c r="AV70" t="str">
        <f ca="1">IFERROR(IF(0=LEN(ReferenceData!$AV$70),"",ReferenceData!$AV$70),"")</f>
        <v/>
      </c>
      <c r="AW70" t="str">
        <f ca="1">IFERROR(IF(0=LEN(ReferenceData!$AW$70),"",ReferenceData!$AW$70),"")</f>
        <v/>
      </c>
      <c r="AX70" t="str">
        <f ca="1">IFERROR(IF(0=LEN(ReferenceData!$AX$70),"",ReferenceData!$AX$70),"")</f>
        <v/>
      </c>
      <c r="AY70" t="str">
        <f ca="1">IFERROR(IF(0=LEN(ReferenceData!$AY$70),"",ReferenceData!$AY$70),"")</f>
        <v/>
      </c>
      <c r="AZ70" t="str">
        <f ca="1">IFERROR(IF(0=LEN(ReferenceData!$AZ$70),"",ReferenceData!$AZ$70),"")</f>
        <v/>
      </c>
      <c r="BA70" t="str">
        <f ca="1">IFERROR(IF(0=LEN(ReferenceData!$BA$70),"",ReferenceData!$BA$70),"")</f>
        <v/>
      </c>
      <c r="BB70" t="str">
        <f ca="1">IFERROR(IF(0=LEN(ReferenceData!$BB$70),"",ReferenceData!$BB$70),"")</f>
        <v/>
      </c>
      <c r="BC70" t="str">
        <f ca="1">IFERROR(IF(0=LEN(ReferenceData!$BC$70),"",ReferenceData!$BC$70),"")</f>
        <v/>
      </c>
      <c r="BD70" t="str">
        <f ca="1">IFERROR(IF(0=LEN(ReferenceData!$BD$70),"",ReferenceData!$BD$70),"")</f>
        <v/>
      </c>
      <c r="BE70" t="str">
        <f ca="1">IFERROR(IF(0=LEN(ReferenceData!$BE$70),"",ReferenceData!$BE$70),"")</f>
        <v/>
      </c>
      <c r="BF70" t="str">
        <f ca="1">IFERROR(IF(0=LEN(ReferenceData!$BF$70),"",ReferenceData!$BF$70),"")</f>
        <v/>
      </c>
      <c r="BG70" t="str">
        <f ca="1">IFERROR(IF(0=LEN(ReferenceData!$BG$70),"",ReferenceData!$BG$70),"")</f>
        <v/>
      </c>
      <c r="BH70" t="str">
        <f ca="1">IFERROR(IF(0=LEN(ReferenceData!$BH$70),"",ReferenceData!$BH$70),"")</f>
        <v/>
      </c>
      <c r="BI70" t="str">
        <f ca="1">IFERROR(IF(0=LEN(ReferenceData!$BI$70),"",ReferenceData!$BI$70),"")</f>
        <v/>
      </c>
      <c r="BJ70" t="str">
        <f ca="1">IFERROR(IF(0=LEN(ReferenceData!$BJ$70),"",ReferenceData!$BJ$70),"")</f>
        <v/>
      </c>
      <c r="BK70" t="str">
        <f ca="1">IFERROR(IF(0=LEN(ReferenceData!$BK$70),"",ReferenceData!$BK$70),"")</f>
        <v/>
      </c>
      <c r="BL70" t="str">
        <f ca="1">IFERROR(IF(0=LEN(ReferenceData!$BL$70),"",ReferenceData!$BL$70),"")</f>
        <v/>
      </c>
      <c r="BM70" t="str">
        <f ca="1">IFERROR(IF(0=LEN(ReferenceData!$BM$70),"",ReferenceData!$BM$70),"")</f>
        <v/>
      </c>
    </row>
    <row r="71" spans="1:65" x14ac:dyDescent="0.25">
      <c r="A71" t="str">
        <f>IFERROR(IF(0=LEN(ReferenceData!$A$71),"",ReferenceData!$A$71),"")</f>
        <v xml:space="preserve">    Peugeot SA</v>
      </c>
      <c r="B71" t="str">
        <f>IFERROR(IF(0=LEN(ReferenceData!$B$71),"",ReferenceData!$B$71),"")</f>
        <v>UG FP Equity</v>
      </c>
      <c r="C71" t="str">
        <f>IFERROR(IF(0=LEN(ReferenceData!$C$71),"",ReferenceData!$C$71),"")</f>
        <v>EZ009</v>
      </c>
      <c r="D71" t="str">
        <f>IFERROR(IF(0=LEN(ReferenceData!$D$71),"",ReferenceData!$D$71),"")</f>
        <v>BEST_EST_PE_CUR_YR</v>
      </c>
      <c r="E71" t="str">
        <f>IFERROR(IF(0=LEN(ReferenceData!$E$71),"",ReferenceData!$E$71),"")</f>
        <v>Dynamic</v>
      </c>
      <c r="F71">
        <f ca="1">IFERROR(IF(0=LEN(ReferenceData!$F$71),"",ReferenceData!$F$71),"")</f>
        <v>6.0919226589999997</v>
      </c>
      <c r="G71">
        <f ca="1">IFERROR(IF(0=LEN(ReferenceData!$G$71),"",ReferenceData!$G$71),"")</f>
        <v>4.8240620959999996</v>
      </c>
      <c r="H71">
        <f ca="1">IFERROR(IF(0=LEN(ReferenceData!$H$71),"",ReferenceData!$H$71),"")</f>
        <v>5.8104052030000002</v>
      </c>
      <c r="I71">
        <f ca="1">IFERROR(IF(0=LEN(ReferenceData!$I$71),"",ReferenceData!$I$71),"")</f>
        <v>6.4405663479999999</v>
      </c>
      <c r="J71">
        <f ca="1">IFERROR(IF(0=LEN(ReferenceData!$J$71),"",ReferenceData!$J$71),"")</f>
        <v>6.9597721610000001</v>
      </c>
      <c r="K71">
        <f ca="1">IFERROR(IF(0=LEN(ReferenceData!$K$71),"",ReferenceData!$K$71),"")</f>
        <v>6.6256350140000002</v>
      </c>
      <c r="L71">
        <f ca="1">IFERROR(IF(0=LEN(ReferenceData!$L$71),"",ReferenceData!$L$71),"")</f>
        <v>7.3166303560000001</v>
      </c>
      <c r="M71">
        <f ca="1">IFERROR(IF(0=LEN(ReferenceData!$M$71),"",ReferenceData!$M$71),"")</f>
        <v>6.5831134560000004</v>
      </c>
      <c r="N71">
        <f ca="1">IFERROR(IF(0=LEN(ReferenceData!$N$71),"",ReferenceData!$N$71),"")</f>
        <v>7.2904596369999997</v>
      </c>
      <c r="O71">
        <f ca="1">IFERROR(IF(0=LEN(ReferenceData!$O$71),"",ReferenceData!$O$71),"")</f>
        <v>6.6217948719999997</v>
      </c>
      <c r="P71">
        <f ca="1">IFERROR(IF(0=LEN(ReferenceData!$P$71),"",ReferenceData!$P$71),"")</f>
        <v>6.1238738740000001</v>
      </c>
      <c r="Q71">
        <f ca="1">IFERROR(IF(0=LEN(ReferenceData!$Q$71),"",ReferenceData!$Q$71),"")</f>
        <v>4.5826271189999996</v>
      </c>
      <c r="R71" t="str">
        <f ca="1">IFERROR(IF(0=LEN(ReferenceData!$R$71),"",ReferenceData!$R$71),"")</f>
        <v/>
      </c>
      <c r="S71" t="str">
        <f ca="1">IFERROR(IF(0=LEN(ReferenceData!$S$71),"",ReferenceData!$S$71),"")</f>
        <v/>
      </c>
      <c r="T71">
        <f ca="1">IFERROR(IF(0=LEN(ReferenceData!$T$71),"",ReferenceData!$T$71),"")</f>
        <v>6.5627306269999997</v>
      </c>
      <c r="U71">
        <f ca="1">IFERROR(IF(0=LEN(ReferenceData!$U$71),"",ReferenceData!$U$71),"")</f>
        <v>6.8062730629999999</v>
      </c>
      <c r="V71">
        <f ca="1">IFERROR(IF(0=LEN(ReferenceData!$V$71),"",ReferenceData!$V$71),"")</f>
        <v>3.6425233640000001</v>
      </c>
      <c r="W71">
        <f ca="1">IFERROR(IF(0=LEN(ReferenceData!$W$71),"",ReferenceData!$W$71),"")</f>
        <v>2.3878504669999998</v>
      </c>
      <c r="X71">
        <f ca="1">IFERROR(IF(0=LEN(ReferenceData!$X$71),"",ReferenceData!$X$71),"")</f>
        <v>2.372663551</v>
      </c>
      <c r="Y71">
        <f ca="1">IFERROR(IF(0=LEN(ReferenceData!$Y$71),"",ReferenceData!$Y$71),"")</f>
        <v>2.522196262</v>
      </c>
      <c r="Z71">
        <f ca="1">IFERROR(IF(0=LEN(ReferenceData!$Z$71),"",ReferenceData!$Z$71),"")</f>
        <v>2.646613146</v>
      </c>
      <c r="AA71">
        <f ca="1">IFERROR(IF(0=LEN(ReferenceData!$AA$71),"",ReferenceData!$AA$71),"")</f>
        <v>1.823930987</v>
      </c>
      <c r="AB71">
        <f ca="1">IFERROR(IF(0=LEN(ReferenceData!$AB$71),"",ReferenceData!$AB$71),"")</f>
        <v>2.3480357590000001</v>
      </c>
      <c r="AC71">
        <f ca="1">IFERROR(IF(0=LEN(ReferenceData!$AC$71),"",ReferenceData!$AC$71),"")</f>
        <v>1.2223313730000001</v>
      </c>
      <c r="AD71">
        <f ca="1">IFERROR(IF(0=LEN(ReferenceData!$AD$71),"",ReferenceData!$AD$71),"")</f>
        <v>1.0918849420000001</v>
      </c>
      <c r="AE71">
        <f ca="1">IFERROR(IF(0=LEN(ReferenceData!$AE$71),"",ReferenceData!$AE$71),"")</f>
        <v>1.057292481</v>
      </c>
      <c r="AF71">
        <f ca="1">IFERROR(IF(0=LEN(ReferenceData!$AF$71),"",ReferenceData!$AF$71),"")</f>
        <v>1.1885119280000001</v>
      </c>
      <c r="AG71">
        <f ca="1">IFERROR(IF(0=LEN(ReferenceData!$AG$71),"",ReferenceData!$AG$71),"")</f>
        <v>1.4982980450000001</v>
      </c>
      <c r="AH71">
        <f ca="1">IFERROR(IF(0=LEN(ReferenceData!$AH$71),"",ReferenceData!$AH$71),"")</f>
        <v>2.3335417110000001</v>
      </c>
      <c r="AI71" t="str">
        <f ca="1">IFERROR(IF(0=LEN(ReferenceData!$AI$71),"",ReferenceData!$AI$71),"")</f>
        <v/>
      </c>
      <c r="AJ71" t="str">
        <f ca="1">IFERROR(IF(0=LEN(ReferenceData!$AJ$71),"",ReferenceData!$AJ$71),"")</f>
        <v/>
      </c>
      <c r="AK71" t="str">
        <f ca="1">IFERROR(IF(0=LEN(ReferenceData!$AK$71),"",ReferenceData!$AK$71),"")</f>
        <v/>
      </c>
      <c r="AL71" t="str">
        <f ca="1">IFERROR(IF(0=LEN(ReferenceData!$AL$71),"",ReferenceData!$AL$71),"")</f>
        <v/>
      </c>
      <c r="AM71" t="str">
        <f ca="1">IFERROR(IF(0=LEN(ReferenceData!$AM$71),"",ReferenceData!$AM$71),"")</f>
        <v/>
      </c>
      <c r="AN71" t="str">
        <f ca="1">IFERROR(IF(0=LEN(ReferenceData!$AN$71),"",ReferenceData!$AN$71),"")</f>
        <v/>
      </c>
      <c r="AO71" t="str">
        <f ca="1">IFERROR(IF(0=LEN(ReferenceData!$AO$71),"",ReferenceData!$AO$71),"")</f>
        <v/>
      </c>
      <c r="AP71" t="str">
        <f ca="1">IFERROR(IF(0=LEN(ReferenceData!$AP$71),"",ReferenceData!$AP$71),"")</f>
        <v/>
      </c>
      <c r="AQ71" t="str">
        <f ca="1">IFERROR(IF(0=LEN(ReferenceData!$AQ$71),"",ReferenceData!$AQ$71),"")</f>
        <v/>
      </c>
      <c r="AR71" t="str">
        <f ca="1">IFERROR(IF(0=LEN(ReferenceData!$AR$71),"",ReferenceData!$AR$71),"")</f>
        <v/>
      </c>
      <c r="AS71" t="str">
        <f ca="1">IFERROR(IF(0=LEN(ReferenceData!$AS$71),"",ReferenceData!$AS$71),"")</f>
        <v/>
      </c>
      <c r="AT71" t="str">
        <f ca="1">IFERROR(IF(0=LEN(ReferenceData!$AT$71),"",ReferenceData!$AT$71),"")</f>
        <v/>
      </c>
      <c r="AU71" t="str">
        <f ca="1">IFERROR(IF(0=LEN(ReferenceData!$AU$71),"",ReferenceData!$AU$71),"")</f>
        <v/>
      </c>
      <c r="AV71" t="str">
        <f ca="1">IFERROR(IF(0=LEN(ReferenceData!$AV$71),"",ReferenceData!$AV$71),"")</f>
        <v/>
      </c>
      <c r="AW71" t="str">
        <f ca="1">IFERROR(IF(0=LEN(ReferenceData!$AW$71),"",ReferenceData!$AW$71),"")</f>
        <v/>
      </c>
      <c r="AX71" t="str">
        <f ca="1">IFERROR(IF(0=LEN(ReferenceData!$AX$71),"",ReferenceData!$AX$71),"")</f>
        <v/>
      </c>
      <c r="AY71" t="str">
        <f ca="1">IFERROR(IF(0=LEN(ReferenceData!$AY$71),"",ReferenceData!$AY$71),"")</f>
        <v/>
      </c>
      <c r="AZ71" t="str">
        <f ca="1">IFERROR(IF(0=LEN(ReferenceData!$AZ$71),"",ReferenceData!$AZ$71),"")</f>
        <v/>
      </c>
      <c r="BA71" t="str">
        <f ca="1">IFERROR(IF(0=LEN(ReferenceData!$BA$71),"",ReferenceData!$BA$71),"")</f>
        <v/>
      </c>
      <c r="BB71" t="str">
        <f ca="1">IFERROR(IF(0=LEN(ReferenceData!$BB$71),"",ReferenceData!$BB$71),"")</f>
        <v/>
      </c>
      <c r="BC71" t="str">
        <f ca="1">IFERROR(IF(0=LEN(ReferenceData!$BC$71),"",ReferenceData!$BC$71),"")</f>
        <v/>
      </c>
      <c r="BD71" t="str">
        <f ca="1">IFERROR(IF(0=LEN(ReferenceData!$BD$71),"",ReferenceData!$BD$71),"")</f>
        <v/>
      </c>
      <c r="BE71" t="str">
        <f ca="1">IFERROR(IF(0=LEN(ReferenceData!$BE$71),"",ReferenceData!$BE$71),"")</f>
        <v/>
      </c>
      <c r="BF71" t="str">
        <f ca="1">IFERROR(IF(0=LEN(ReferenceData!$BF$71),"",ReferenceData!$BF$71),"")</f>
        <v/>
      </c>
      <c r="BG71" t="str">
        <f ca="1">IFERROR(IF(0=LEN(ReferenceData!$BG$71),"",ReferenceData!$BG$71),"")</f>
        <v/>
      </c>
      <c r="BH71" t="str">
        <f ca="1">IFERROR(IF(0=LEN(ReferenceData!$BH$71),"",ReferenceData!$BH$71),"")</f>
        <v/>
      </c>
      <c r="BI71" t="str">
        <f ca="1">IFERROR(IF(0=LEN(ReferenceData!$BI$71),"",ReferenceData!$BI$71),"")</f>
        <v/>
      </c>
      <c r="BJ71" t="str">
        <f ca="1">IFERROR(IF(0=LEN(ReferenceData!$BJ$71),"",ReferenceData!$BJ$71),"")</f>
        <v/>
      </c>
      <c r="BK71" t="str">
        <f ca="1">IFERROR(IF(0=LEN(ReferenceData!$BK$71),"",ReferenceData!$BK$71),"")</f>
        <v/>
      </c>
      <c r="BL71" t="str">
        <f ca="1">IFERROR(IF(0=LEN(ReferenceData!$BL$71),"",ReferenceData!$BL$71),"")</f>
        <v/>
      </c>
      <c r="BM71" t="str">
        <f ca="1">IFERROR(IF(0=LEN(ReferenceData!$BM$71),"",ReferenceData!$BM$71),"")</f>
        <v/>
      </c>
    </row>
    <row r="72" spans="1:65" x14ac:dyDescent="0.25">
      <c r="A72" t="str">
        <f>IFERROR(IF(0=LEN(ReferenceData!$A$72),"",ReferenceData!$A$72),"")</f>
        <v xml:space="preserve">    Renault SA</v>
      </c>
      <c r="B72" t="str">
        <f>IFERROR(IF(0=LEN(ReferenceData!$B$72),"",ReferenceData!$B$72),"")</f>
        <v>RNO FP Equity</v>
      </c>
      <c r="C72" t="str">
        <f>IFERROR(IF(0=LEN(ReferenceData!$C$72),"",ReferenceData!$C$72),"")</f>
        <v>EZ009</v>
      </c>
      <c r="D72" t="str">
        <f>IFERROR(IF(0=LEN(ReferenceData!$D$72),"",ReferenceData!$D$72),"")</f>
        <v>BEST_EST_PE_CUR_YR</v>
      </c>
      <c r="E72" t="str">
        <f>IFERROR(IF(0=LEN(ReferenceData!$E$72),"",ReferenceData!$E$72),"")</f>
        <v>Dynamic</v>
      </c>
      <c r="F72">
        <f ca="1">IFERROR(IF(0=LEN(ReferenceData!$F$72),"",ReferenceData!$F$72),"")</f>
        <v>4.4270604130000004</v>
      </c>
      <c r="G72">
        <f ca="1">IFERROR(IF(0=LEN(ReferenceData!$G$72),"",ReferenceData!$G$72),"")</f>
        <v>3.613540011</v>
      </c>
      <c r="H72">
        <f ca="1">IFERROR(IF(0=LEN(ReferenceData!$H$72),"",ReferenceData!$H$72),"")</f>
        <v>4.7133999749999997</v>
      </c>
      <c r="I72">
        <f ca="1">IFERROR(IF(0=LEN(ReferenceData!$I$72),"",ReferenceData!$I$72),"")</f>
        <v>4.5029058979999999</v>
      </c>
      <c r="J72">
        <f ca="1">IFERROR(IF(0=LEN(ReferenceData!$J$72),"",ReferenceData!$J$72),"")</f>
        <v>5.9798445850000004</v>
      </c>
      <c r="K72">
        <f ca="1">IFERROR(IF(0=LEN(ReferenceData!$K$72),"",ReferenceData!$K$72),"")</f>
        <v>5.265767179</v>
      </c>
      <c r="L72">
        <f ca="1">IFERROR(IF(0=LEN(ReferenceData!$L$72),"",ReferenceData!$L$72),"")</f>
        <v>5.2211333079999998</v>
      </c>
      <c r="M72">
        <f ca="1">IFERROR(IF(0=LEN(ReferenceData!$M$72),"",ReferenceData!$M$72),"")</f>
        <v>5.0244087999999998</v>
      </c>
      <c r="N72">
        <f ca="1">IFERROR(IF(0=LEN(ReferenceData!$N$72),"",ReferenceData!$N$72),"")</f>
        <v>5.1482582030000001</v>
      </c>
      <c r="O72">
        <f ca="1">IFERROR(IF(0=LEN(ReferenceData!$O$72),"",ReferenceData!$O$72),"")</f>
        <v>6.376669433</v>
      </c>
      <c r="P72">
        <f ca="1">IFERROR(IF(0=LEN(ReferenceData!$P$72),"",ReferenceData!$P$72),"")</f>
        <v>5.8699839489999999</v>
      </c>
      <c r="Q72">
        <f ca="1">IFERROR(IF(0=LEN(ReferenceData!$Q$72),"",ReferenceData!$Q$72),"")</f>
        <v>6.4688090740000002</v>
      </c>
      <c r="R72">
        <f ca="1">IFERROR(IF(0=LEN(ReferenceData!$R$72),"",ReferenceData!$R$72),"")</f>
        <v>10.914999999999999</v>
      </c>
      <c r="S72">
        <f ca="1">IFERROR(IF(0=LEN(ReferenceData!$S$72),"",ReferenceData!$S$72),"")</f>
        <v>9.3095477389999992</v>
      </c>
      <c r="T72">
        <f ca="1">IFERROR(IF(0=LEN(ReferenceData!$T$72),"",ReferenceData!$T$72),"")</f>
        <v>6.4321608039999996</v>
      </c>
      <c r="U72">
        <f ca="1">IFERROR(IF(0=LEN(ReferenceData!$U$72),"",ReferenceData!$U$72),"")</f>
        <v>7.8504201680000003</v>
      </c>
      <c r="V72" t="str">
        <f ca="1">IFERROR(IF(0=LEN(ReferenceData!$V$72),"",ReferenceData!$V$72),"")</f>
        <v/>
      </c>
      <c r="W72" t="str">
        <f ca="1">IFERROR(IF(0=LEN(ReferenceData!$W$72),"",ReferenceData!$W$72),"")</f>
        <v/>
      </c>
      <c r="X72" t="str">
        <f ca="1">IFERROR(IF(0=LEN(ReferenceData!$X$72),"",ReferenceData!$X$72),"")</f>
        <v/>
      </c>
      <c r="Y72" t="str">
        <f ca="1">IFERROR(IF(0=LEN(ReferenceData!$Y$72),"",ReferenceData!$Y$72),"")</f>
        <v/>
      </c>
      <c r="Z72" t="str">
        <f ca="1">IFERROR(IF(0=LEN(ReferenceData!$Z$72),"",ReferenceData!$Z$72),"")</f>
        <v/>
      </c>
      <c r="AA72" t="str">
        <f ca="1">IFERROR(IF(0=LEN(ReferenceData!$AA$72),"",ReferenceData!$AA$72),"")</f>
        <v/>
      </c>
      <c r="AB72" t="str">
        <f ca="1">IFERROR(IF(0=LEN(ReferenceData!$AB$72),"",ReferenceData!$AB$72),"")</f>
        <v/>
      </c>
      <c r="AC72" t="str">
        <f ca="1">IFERROR(IF(0=LEN(ReferenceData!$AC$72),"",ReferenceData!$AC$72),"")</f>
        <v/>
      </c>
      <c r="AD72" t="str">
        <f ca="1">IFERROR(IF(0=LEN(ReferenceData!$AD$72),"",ReferenceData!$AD$72),"")</f>
        <v/>
      </c>
      <c r="AE72" t="str">
        <f ca="1">IFERROR(IF(0=LEN(ReferenceData!$AE$72),"",ReferenceData!$AE$72),"")</f>
        <v/>
      </c>
      <c r="AF72" t="str">
        <f ca="1">IFERROR(IF(0=LEN(ReferenceData!$AF$72),"",ReferenceData!$AF$72),"")</f>
        <v/>
      </c>
      <c r="AG72" t="str">
        <f ca="1">IFERROR(IF(0=LEN(ReferenceData!$AG$72),"",ReferenceData!$AG$72),"")</f>
        <v/>
      </c>
      <c r="AH72" t="str">
        <f ca="1">IFERROR(IF(0=LEN(ReferenceData!$AH$72),"",ReferenceData!$AH$72),"")</f>
        <v/>
      </c>
      <c r="AI72" t="str">
        <f ca="1">IFERROR(IF(0=LEN(ReferenceData!$AI$72),"",ReferenceData!$AI$72),"")</f>
        <v/>
      </c>
      <c r="AJ72" t="str">
        <f ca="1">IFERROR(IF(0=LEN(ReferenceData!$AJ$72),"",ReferenceData!$AJ$72),"")</f>
        <v/>
      </c>
      <c r="AK72" t="str">
        <f ca="1">IFERROR(IF(0=LEN(ReferenceData!$AK$72),"",ReferenceData!$AK$72),"")</f>
        <v/>
      </c>
      <c r="AL72" t="str">
        <f ca="1">IFERROR(IF(0=LEN(ReferenceData!$AL$72),"",ReferenceData!$AL$72),"")</f>
        <v/>
      </c>
      <c r="AM72" t="str">
        <f ca="1">IFERROR(IF(0=LEN(ReferenceData!$AM$72),"",ReferenceData!$AM$72),"")</f>
        <v/>
      </c>
      <c r="AN72" t="str">
        <f ca="1">IFERROR(IF(0=LEN(ReferenceData!$AN$72),"",ReferenceData!$AN$72),"")</f>
        <v/>
      </c>
      <c r="AO72" t="str">
        <f ca="1">IFERROR(IF(0=LEN(ReferenceData!$AO$72),"",ReferenceData!$AO$72),"")</f>
        <v/>
      </c>
      <c r="AP72" t="str">
        <f ca="1">IFERROR(IF(0=LEN(ReferenceData!$AP$72),"",ReferenceData!$AP$72),"")</f>
        <v/>
      </c>
      <c r="AQ72" t="str">
        <f ca="1">IFERROR(IF(0=LEN(ReferenceData!$AQ$72),"",ReferenceData!$AQ$72),"")</f>
        <v/>
      </c>
      <c r="AR72" t="str">
        <f ca="1">IFERROR(IF(0=LEN(ReferenceData!$AR$72),"",ReferenceData!$AR$72),"")</f>
        <v/>
      </c>
      <c r="AS72" t="str">
        <f ca="1">IFERROR(IF(0=LEN(ReferenceData!$AS$72),"",ReferenceData!$AS$72),"")</f>
        <v/>
      </c>
      <c r="AT72" t="str">
        <f ca="1">IFERROR(IF(0=LEN(ReferenceData!$AT$72),"",ReferenceData!$AT$72),"")</f>
        <v/>
      </c>
      <c r="AU72" t="str">
        <f ca="1">IFERROR(IF(0=LEN(ReferenceData!$AU$72),"",ReferenceData!$AU$72),"")</f>
        <v/>
      </c>
      <c r="AV72" t="str">
        <f ca="1">IFERROR(IF(0=LEN(ReferenceData!$AV$72),"",ReferenceData!$AV$72),"")</f>
        <v/>
      </c>
      <c r="AW72" t="str">
        <f ca="1">IFERROR(IF(0=LEN(ReferenceData!$AW$72),"",ReferenceData!$AW$72),"")</f>
        <v/>
      </c>
      <c r="AX72" t="str">
        <f ca="1">IFERROR(IF(0=LEN(ReferenceData!$AX$72),"",ReferenceData!$AX$72),"")</f>
        <v/>
      </c>
      <c r="AY72" t="str">
        <f ca="1">IFERROR(IF(0=LEN(ReferenceData!$AY$72),"",ReferenceData!$AY$72),"")</f>
        <v/>
      </c>
      <c r="AZ72" t="str">
        <f ca="1">IFERROR(IF(0=LEN(ReferenceData!$AZ$72),"",ReferenceData!$AZ$72),"")</f>
        <v/>
      </c>
      <c r="BA72" t="str">
        <f ca="1">IFERROR(IF(0=LEN(ReferenceData!$BA$72),"",ReferenceData!$BA$72),"")</f>
        <v/>
      </c>
      <c r="BB72" t="str">
        <f ca="1">IFERROR(IF(0=LEN(ReferenceData!$BB$72),"",ReferenceData!$BB$72),"")</f>
        <v/>
      </c>
      <c r="BC72" t="str">
        <f ca="1">IFERROR(IF(0=LEN(ReferenceData!$BC$72),"",ReferenceData!$BC$72),"")</f>
        <v/>
      </c>
      <c r="BD72" t="str">
        <f ca="1">IFERROR(IF(0=LEN(ReferenceData!$BD$72),"",ReferenceData!$BD$72),"")</f>
        <v/>
      </c>
      <c r="BE72" t="str">
        <f ca="1">IFERROR(IF(0=LEN(ReferenceData!$BE$72),"",ReferenceData!$BE$72),"")</f>
        <v/>
      </c>
      <c r="BF72" t="str">
        <f ca="1">IFERROR(IF(0=LEN(ReferenceData!$BF$72),"",ReferenceData!$BF$72),"")</f>
        <v/>
      </c>
      <c r="BG72" t="str">
        <f ca="1">IFERROR(IF(0=LEN(ReferenceData!$BG$72),"",ReferenceData!$BG$72),"")</f>
        <v/>
      </c>
      <c r="BH72" t="str">
        <f ca="1">IFERROR(IF(0=LEN(ReferenceData!$BH$72),"",ReferenceData!$BH$72),"")</f>
        <v/>
      </c>
      <c r="BI72" t="str">
        <f ca="1">IFERROR(IF(0=LEN(ReferenceData!$BI$72),"",ReferenceData!$BI$72),"")</f>
        <v/>
      </c>
      <c r="BJ72" t="str">
        <f ca="1">IFERROR(IF(0=LEN(ReferenceData!$BJ$72),"",ReferenceData!$BJ$72),"")</f>
        <v/>
      </c>
      <c r="BK72" t="str">
        <f ca="1">IFERROR(IF(0=LEN(ReferenceData!$BK$72),"",ReferenceData!$BK$72),"")</f>
        <v/>
      </c>
      <c r="BL72" t="str">
        <f ca="1">IFERROR(IF(0=LEN(ReferenceData!$BL$72),"",ReferenceData!$BL$72),"")</f>
        <v/>
      </c>
      <c r="BM72" t="str">
        <f ca="1">IFERROR(IF(0=LEN(ReferenceData!$BM$72),"",ReferenceData!$BM$72),"")</f>
        <v/>
      </c>
    </row>
    <row r="73" spans="1:65" x14ac:dyDescent="0.25">
      <c r="A73" t="str">
        <f>IFERROR(IF(0=LEN(ReferenceData!$A$73),"",ReferenceData!$A$73),"")</f>
        <v xml:space="preserve">    SAIC Motor Corp Ltd</v>
      </c>
      <c r="B73" t="str">
        <f>IFERROR(IF(0=LEN(ReferenceData!$B$73),"",ReferenceData!$B$73),"")</f>
        <v>600104 CH Equity</v>
      </c>
      <c r="C73" t="str">
        <f>IFERROR(IF(0=LEN(ReferenceData!$C$73),"",ReferenceData!$C$73),"")</f>
        <v>EZ009</v>
      </c>
      <c r="D73" t="str">
        <f>IFERROR(IF(0=LEN(ReferenceData!$D$73),"",ReferenceData!$D$73),"")</f>
        <v>BEST_EST_PE_CUR_YR</v>
      </c>
      <c r="E73" t="str">
        <f>IFERROR(IF(0=LEN(ReferenceData!$E$73),"",ReferenceData!$E$73),"")</f>
        <v>Dynamic</v>
      </c>
      <c r="F73">
        <f ca="1">IFERROR(IF(0=LEN(ReferenceData!$F$73),"",ReferenceData!$F$73),"")</f>
        <v>9.010499523</v>
      </c>
      <c r="G73">
        <f ca="1">IFERROR(IF(0=LEN(ReferenceData!$G$73),"",ReferenceData!$G$73),"")</f>
        <v>8.3894306390000004</v>
      </c>
      <c r="H73">
        <f ca="1">IFERROR(IF(0=LEN(ReferenceData!$H$73),"",ReferenceData!$H$73),"")</f>
        <v>10.217992020000001</v>
      </c>
      <c r="I73">
        <f ca="1">IFERROR(IF(0=LEN(ReferenceData!$I$73),"",ReferenceData!$I$73),"")</f>
        <v>10.83952912</v>
      </c>
      <c r="J73">
        <f ca="1">IFERROR(IF(0=LEN(ReferenceData!$J$73),"",ReferenceData!$J$73),"")</f>
        <v>10.287356320000001</v>
      </c>
      <c r="K73">
        <f ca="1">IFERROR(IF(0=LEN(ReferenceData!$K$73),"",ReferenceData!$K$73),"")</f>
        <v>9.4877109859999997</v>
      </c>
      <c r="L73">
        <f ca="1">IFERROR(IF(0=LEN(ReferenceData!$L$73),"",ReferenceData!$L$73),"")</f>
        <v>8.8898704360000007</v>
      </c>
      <c r="M73">
        <f ca="1">IFERROR(IF(0=LEN(ReferenceData!$M$73),"",ReferenceData!$M$73),"")</f>
        <v>9.0577596269999994</v>
      </c>
      <c r="N73">
        <f ca="1">IFERROR(IF(0=LEN(ReferenceData!$N$73),"",ReferenceData!$N$73),"")</f>
        <v>7.4801061009999996</v>
      </c>
      <c r="O73">
        <f ca="1">IFERROR(IF(0=LEN(ReferenceData!$O$73),"",ReferenceData!$O$73),"")</f>
        <v>6.9895678090000004</v>
      </c>
      <c r="P73">
        <f ca="1">IFERROR(IF(0=LEN(ReferenceData!$P$73),"",ReferenceData!$P$73),"")</f>
        <v>6.8645931510000002</v>
      </c>
      <c r="Q73">
        <f ca="1">IFERROR(IF(0=LEN(ReferenceData!$Q$73),"",ReferenceData!$Q$73),"")</f>
        <v>6.5241157559999996</v>
      </c>
      <c r="R73">
        <f ca="1">IFERROR(IF(0=LEN(ReferenceData!$R$73),"",ReferenceData!$R$73),"")</f>
        <v>7.6273764259999997</v>
      </c>
      <c r="S73">
        <f ca="1">IFERROR(IF(0=LEN(ReferenceData!$S$73),"",ReferenceData!$S$73),"")</f>
        <v>9.733944954</v>
      </c>
      <c r="T73">
        <f ca="1">IFERROR(IF(0=LEN(ReferenceData!$T$73),"",ReferenceData!$T$73),"")</f>
        <v>8.8421052630000005</v>
      </c>
      <c r="U73">
        <f ca="1">IFERROR(IF(0=LEN(ReferenceData!$U$73),"",ReferenceData!$U$73),"")</f>
        <v>6.8072289159999997</v>
      </c>
      <c r="V73">
        <f ca="1">IFERROR(IF(0=LEN(ReferenceData!$V$73),"",ReferenceData!$V$73),"")</f>
        <v>6.0782396089999997</v>
      </c>
      <c r="W73">
        <f ca="1">IFERROR(IF(0=LEN(ReferenceData!$W$73),"",ReferenceData!$W$73),"")</f>
        <v>5.8027027029999996</v>
      </c>
      <c r="X73" t="str">
        <f ca="1">IFERROR(IF(0=LEN(ReferenceData!$X$73),"",ReferenceData!$X$73),"")</f>
        <v/>
      </c>
      <c r="Y73" t="str">
        <f ca="1">IFERROR(IF(0=LEN(ReferenceData!$Y$73),"",ReferenceData!$Y$73),"")</f>
        <v/>
      </c>
      <c r="Z73" t="str">
        <f ca="1">IFERROR(IF(0=LEN(ReferenceData!$Z$73),"",ReferenceData!$Z$73),"")</f>
        <v/>
      </c>
      <c r="AA73" t="str">
        <f ca="1">IFERROR(IF(0=LEN(ReferenceData!$AA$73),"",ReferenceData!$AA$73),"")</f>
        <v/>
      </c>
      <c r="AB73" t="str">
        <f ca="1">IFERROR(IF(0=LEN(ReferenceData!$AB$73),"",ReferenceData!$AB$73),"")</f>
        <v/>
      </c>
      <c r="AC73" t="str">
        <f ca="1">IFERROR(IF(0=LEN(ReferenceData!$AC$73),"",ReferenceData!$AC$73),"")</f>
        <v/>
      </c>
      <c r="AD73" t="str">
        <f ca="1">IFERROR(IF(0=LEN(ReferenceData!$AD$73),"",ReferenceData!$AD$73),"")</f>
        <v/>
      </c>
      <c r="AE73" t="str">
        <f ca="1">IFERROR(IF(0=LEN(ReferenceData!$AE$73),"",ReferenceData!$AE$73),"")</f>
        <v/>
      </c>
      <c r="AF73" t="str">
        <f ca="1">IFERROR(IF(0=LEN(ReferenceData!$AF$73),"",ReferenceData!$AF$73),"")</f>
        <v/>
      </c>
      <c r="AG73" t="str">
        <f ca="1">IFERROR(IF(0=LEN(ReferenceData!$AG$73),"",ReferenceData!$AG$73),"")</f>
        <v/>
      </c>
      <c r="AH73" t="str">
        <f ca="1">IFERROR(IF(0=LEN(ReferenceData!$AH$73),"",ReferenceData!$AH$73),"")</f>
        <v/>
      </c>
      <c r="AI73" t="str">
        <f ca="1">IFERROR(IF(0=LEN(ReferenceData!$AI$73),"",ReferenceData!$AI$73),"")</f>
        <v/>
      </c>
      <c r="AJ73" t="str">
        <f ca="1">IFERROR(IF(0=LEN(ReferenceData!$AJ$73),"",ReferenceData!$AJ$73),"")</f>
        <v/>
      </c>
      <c r="AK73" t="str">
        <f ca="1">IFERROR(IF(0=LEN(ReferenceData!$AK$73),"",ReferenceData!$AK$73),"")</f>
        <v/>
      </c>
      <c r="AL73" t="str">
        <f ca="1">IFERROR(IF(0=LEN(ReferenceData!$AL$73),"",ReferenceData!$AL$73),"")</f>
        <v/>
      </c>
      <c r="AM73" t="str">
        <f ca="1">IFERROR(IF(0=LEN(ReferenceData!$AM$73),"",ReferenceData!$AM$73),"")</f>
        <v/>
      </c>
      <c r="AN73" t="str">
        <f ca="1">IFERROR(IF(0=LEN(ReferenceData!$AN$73),"",ReferenceData!$AN$73),"")</f>
        <v/>
      </c>
      <c r="AO73" t="str">
        <f ca="1">IFERROR(IF(0=LEN(ReferenceData!$AO$73),"",ReferenceData!$AO$73),"")</f>
        <v/>
      </c>
      <c r="AP73" t="str">
        <f ca="1">IFERROR(IF(0=LEN(ReferenceData!$AP$73),"",ReferenceData!$AP$73),"")</f>
        <v/>
      </c>
      <c r="AQ73" t="str">
        <f ca="1">IFERROR(IF(0=LEN(ReferenceData!$AQ$73),"",ReferenceData!$AQ$73),"")</f>
        <v/>
      </c>
      <c r="AR73" t="str">
        <f ca="1">IFERROR(IF(0=LEN(ReferenceData!$AR$73),"",ReferenceData!$AR$73),"")</f>
        <v/>
      </c>
      <c r="AS73" t="str">
        <f ca="1">IFERROR(IF(0=LEN(ReferenceData!$AS$73),"",ReferenceData!$AS$73),"")</f>
        <v/>
      </c>
      <c r="AT73" t="str">
        <f ca="1">IFERROR(IF(0=LEN(ReferenceData!$AT$73),"",ReferenceData!$AT$73),"")</f>
        <v/>
      </c>
      <c r="AU73" t="str">
        <f ca="1">IFERROR(IF(0=LEN(ReferenceData!$AU$73),"",ReferenceData!$AU$73),"")</f>
        <v/>
      </c>
      <c r="AV73" t="str">
        <f ca="1">IFERROR(IF(0=LEN(ReferenceData!$AV$73),"",ReferenceData!$AV$73),"")</f>
        <v/>
      </c>
      <c r="AW73" t="str">
        <f ca="1">IFERROR(IF(0=LEN(ReferenceData!$AW$73),"",ReferenceData!$AW$73),"")</f>
        <v/>
      </c>
      <c r="AX73" t="str">
        <f ca="1">IFERROR(IF(0=LEN(ReferenceData!$AX$73),"",ReferenceData!$AX$73),"")</f>
        <v/>
      </c>
      <c r="AY73" t="str">
        <f ca="1">IFERROR(IF(0=LEN(ReferenceData!$AY$73),"",ReferenceData!$AY$73),"")</f>
        <v/>
      </c>
      <c r="AZ73" t="str">
        <f ca="1">IFERROR(IF(0=LEN(ReferenceData!$AZ$73),"",ReferenceData!$AZ$73),"")</f>
        <v/>
      </c>
      <c r="BA73" t="str">
        <f ca="1">IFERROR(IF(0=LEN(ReferenceData!$BA$73),"",ReferenceData!$BA$73),"")</f>
        <v/>
      </c>
      <c r="BB73" t="str">
        <f ca="1">IFERROR(IF(0=LEN(ReferenceData!$BB$73),"",ReferenceData!$BB$73),"")</f>
        <v/>
      </c>
      <c r="BC73" t="str">
        <f ca="1">IFERROR(IF(0=LEN(ReferenceData!$BC$73),"",ReferenceData!$BC$73),"")</f>
        <v/>
      </c>
      <c r="BD73" t="str">
        <f ca="1">IFERROR(IF(0=LEN(ReferenceData!$BD$73),"",ReferenceData!$BD$73),"")</f>
        <v/>
      </c>
      <c r="BE73" t="str">
        <f ca="1">IFERROR(IF(0=LEN(ReferenceData!$BE$73),"",ReferenceData!$BE$73),"")</f>
        <v/>
      </c>
      <c r="BF73" t="str">
        <f ca="1">IFERROR(IF(0=LEN(ReferenceData!$BF$73),"",ReferenceData!$BF$73),"")</f>
        <v/>
      </c>
      <c r="BG73" t="str">
        <f ca="1">IFERROR(IF(0=LEN(ReferenceData!$BG$73),"",ReferenceData!$BG$73),"")</f>
        <v/>
      </c>
      <c r="BH73" t="str">
        <f ca="1">IFERROR(IF(0=LEN(ReferenceData!$BH$73),"",ReferenceData!$BH$73),"")</f>
        <v/>
      </c>
      <c r="BI73" t="str">
        <f ca="1">IFERROR(IF(0=LEN(ReferenceData!$BI$73),"",ReferenceData!$BI$73),"")</f>
        <v/>
      </c>
      <c r="BJ73" t="str">
        <f ca="1">IFERROR(IF(0=LEN(ReferenceData!$BJ$73),"",ReferenceData!$BJ$73),"")</f>
        <v/>
      </c>
      <c r="BK73" t="str">
        <f ca="1">IFERROR(IF(0=LEN(ReferenceData!$BK$73),"",ReferenceData!$BK$73),"")</f>
        <v/>
      </c>
      <c r="BL73" t="str">
        <f ca="1">IFERROR(IF(0=LEN(ReferenceData!$BL$73),"",ReferenceData!$BL$73),"")</f>
        <v/>
      </c>
      <c r="BM73" t="str">
        <f ca="1">IFERROR(IF(0=LEN(ReferenceData!$BM$73),"",ReferenceData!$BM$73),"")</f>
        <v/>
      </c>
    </row>
    <row r="74" spans="1:65" x14ac:dyDescent="0.25">
      <c r="A74" t="str">
        <f>IFERROR(IF(0=LEN(ReferenceData!$A$74),"",ReferenceData!$A$74),"")</f>
        <v xml:space="preserve">    Sanyang Motor Co Ltd</v>
      </c>
      <c r="B74" t="str">
        <f>IFERROR(IF(0=LEN(ReferenceData!$B$74),"",ReferenceData!$B$74),"")</f>
        <v>2206 TT Equity</v>
      </c>
      <c r="C74" t="str">
        <f>IFERROR(IF(0=LEN(ReferenceData!$C$74),"",ReferenceData!$C$74),"")</f>
        <v>EZ009</v>
      </c>
      <c r="D74" t="str">
        <f>IFERROR(IF(0=LEN(ReferenceData!$D$74),"",ReferenceData!$D$74),"")</f>
        <v>BEST_EST_PE_CUR_YR</v>
      </c>
      <c r="E74" t="str">
        <f>IFERROR(IF(0=LEN(ReferenceData!$E$74),"",ReferenceData!$E$74),"")</f>
        <v>Dynamic</v>
      </c>
      <c r="F74">
        <f ca="1">IFERROR(IF(0=LEN(ReferenceData!$F$74),"",ReferenceData!$F$74),"")</f>
        <v>9.69047619</v>
      </c>
      <c r="G74">
        <f ca="1">IFERROR(IF(0=LEN(ReferenceData!$G$74),"",ReferenceData!$G$74),"")</f>
        <v>9.5238095240000007</v>
      </c>
      <c r="H74">
        <f ca="1">IFERROR(IF(0=LEN(ReferenceData!$H$74),"",ReferenceData!$H$74),"")</f>
        <v>20.5</v>
      </c>
      <c r="I74" t="str">
        <f ca="1">IFERROR(IF(0=LEN(ReferenceData!$I$74),"",ReferenceData!$I$74),"")</f>
        <v/>
      </c>
      <c r="J74" t="str">
        <f ca="1">IFERROR(IF(0=LEN(ReferenceData!$J$74),"",ReferenceData!$J$74),"")</f>
        <v/>
      </c>
      <c r="K74" t="str">
        <f ca="1">IFERROR(IF(0=LEN(ReferenceData!$K$74),"",ReferenceData!$K$74),"")</f>
        <v/>
      </c>
      <c r="L74" t="str">
        <f ca="1">IFERROR(IF(0=LEN(ReferenceData!$L$74),"",ReferenceData!$L$74),"")</f>
        <v/>
      </c>
      <c r="M74" t="str">
        <f ca="1">IFERROR(IF(0=LEN(ReferenceData!$M$74),"",ReferenceData!$M$74),"")</f>
        <v/>
      </c>
      <c r="N74" t="str">
        <f ca="1">IFERROR(IF(0=LEN(ReferenceData!$N$74),"",ReferenceData!$N$74),"")</f>
        <v/>
      </c>
      <c r="O74" t="str">
        <f ca="1">IFERROR(IF(0=LEN(ReferenceData!$O$74),"",ReferenceData!$O$74),"")</f>
        <v/>
      </c>
      <c r="P74" t="str">
        <f ca="1">IFERROR(IF(0=LEN(ReferenceData!$P$74),"",ReferenceData!$P$74),"")</f>
        <v/>
      </c>
      <c r="Q74" t="str">
        <f ca="1">IFERROR(IF(0=LEN(ReferenceData!$Q$74),"",ReferenceData!$Q$74),"")</f>
        <v/>
      </c>
      <c r="R74" t="str">
        <f ca="1">IFERROR(IF(0=LEN(ReferenceData!$R$74),"",ReferenceData!$R$74),"")</f>
        <v/>
      </c>
      <c r="S74" t="str">
        <f ca="1">IFERROR(IF(0=LEN(ReferenceData!$S$74),"",ReferenceData!$S$74),"")</f>
        <v/>
      </c>
      <c r="T74" t="str">
        <f ca="1">IFERROR(IF(0=LEN(ReferenceData!$T$74),"",ReferenceData!$T$74),"")</f>
        <v/>
      </c>
      <c r="U74" t="str">
        <f ca="1">IFERROR(IF(0=LEN(ReferenceData!$U$74),"",ReferenceData!$U$74),"")</f>
        <v/>
      </c>
      <c r="V74" t="str">
        <f ca="1">IFERROR(IF(0=LEN(ReferenceData!$V$74),"",ReferenceData!$V$74),"")</f>
        <v/>
      </c>
      <c r="W74" t="str">
        <f ca="1">IFERROR(IF(0=LEN(ReferenceData!$W$74),"",ReferenceData!$W$74),"")</f>
        <v/>
      </c>
      <c r="X74" t="str">
        <f ca="1">IFERROR(IF(0=LEN(ReferenceData!$X$74),"",ReferenceData!$X$74),"")</f>
        <v/>
      </c>
      <c r="Y74" t="str">
        <f ca="1">IFERROR(IF(0=LEN(ReferenceData!$Y$74),"",ReferenceData!$Y$74),"")</f>
        <v/>
      </c>
      <c r="Z74" t="str">
        <f ca="1">IFERROR(IF(0=LEN(ReferenceData!$Z$74),"",ReferenceData!$Z$74),"")</f>
        <v/>
      </c>
      <c r="AA74" t="str">
        <f ca="1">IFERROR(IF(0=LEN(ReferenceData!$AA$74),"",ReferenceData!$AA$74),"")</f>
        <v/>
      </c>
      <c r="AB74" t="str">
        <f ca="1">IFERROR(IF(0=LEN(ReferenceData!$AB$74),"",ReferenceData!$AB$74),"")</f>
        <v/>
      </c>
      <c r="AC74" t="str">
        <f ca="1">IFERROR(IF(0=LEN(ReferenceData!$AC$74),"",ReferenceData!$AC$74),"")</f>
        <v/>
      </c>
      <c r="AD74" t="str">
        <f ca="1">IFERROR(IF(0=LEN(ReferenceData!$AD$74),"",ReferenceData!$AD$74),"")</f>
        <v/>
      </c>
      <c r="AE74" t="str">
        <f ca="1">IFERROR(IF(0=LEN(ReferenceData!$AE$74),"",ReferenceData!$AE$74),"")</f>
        <v/>
      </c>
      <c r="AF74" t="str">
        <f ca="1">IFERROR(IF(0=LEN(ReferenceData!$AF$74),"",ReferenceData!$AF$74),"")</f>
        <v/>
      </c>
      <c r="AG74" t="str">
        <f ca="1">IFERROR(IF(0=LEN(ReferenceData!$AG$74),"",ReferenceData!$AG$74),"")</f>
        <v/>
      </c>
      <c r="AH74" t="str">
        <f ca="1">IFERROR(IF(0=LEN(ReferenceData!$AH$74),"",ReferenceData!$AH$74),"")</f>
        <v/>
      </c>
      <c r="AI74" t="str">
        <f ca="1">IFERROR(IF(0=LEN(ReferenceData!$AI$74),"",ReferenceData!$AI$74),"")</f>
        <v/>
      </c>
      <c r="AJ74" t="str">
        <f ca="1">IFERROR(IF(0=LEN(ReferenceData!$AJ$74),"",ReferenceData!$AJ$74),"")</f>
        <v/>
      </c>
      <c r="AK74" t="str">
        <f ca="1">IFERROR(IF(0=LEN(ReferenceData!$AK$74),"",ReferenceData!$AK$74),"")</f>
        <v/>
      </c>
      <c r="AL74" t="str">
        <f ca="1">IFERROR(IF(0=LEN(ReferenceData!$AL$74),"",ReferenceData!$AL$74),"")</f>
        <v/>
      </c>
      <c r="AM74" t="str">
        <f ca="1">IFERROR(IF(0=LEN(ReferenceData!$AM$74),"",ReferenceData!$AM$74),"")</f>
        <v/>
      </c>
      <c r="AN74" t="str">
        <f ca="1">IFERROR(IF(0=LEN(ReferenceData!$AN$74),"",ReferenceData!$AN$74),"")</f>
        <v/>
      </c>
      <c r="AO74" t="str">
        <f ca="1">IFERROR(IF(0=LEN(ReferenceData!$AO$74),"",ReferenceData!$AO$74),"")</f>
        <v/>
      </c>
      <c r="AP74" t="str">
        <f ca="1">IFERROR(IF(0=LEN(ReferenceData!$AP$74),"",ReferenceData!$AP$74),"")</f>
        <v/>
      </c>
      <c r="AQ74" t="str">
        <f ca="1">IFERROR(IF(0=LEN(ReferenceData!$AQ$74),"",ReferenceData!$AQ$74),"")</f>
        <v/>
      </c>
      <c r="AR74" t="str">
        <f ca="1">IFERROR(IF(0=LEN(ReferenceData!$AR$74),"",ReferenceData!$AR$74),"")</f>
        <v/>
      </c>
      <c r="AS74" t="str">
        <f ca="1">IFERROR(IF(0=LEN(ReferenceData!$AS$74),"",ReferenceData!$AS$74),"")</f>
        <v/>
      </c>
      <c r="AT74" t="str">
        <f ca="1">IFERROR(IF(0=LEN(ReferenceData!$AT$74),"",ReferenceData!$AT$74),"")</f>
        <v/>
      </c>
      <c r="AU74" t="str">
        <f ca="1">IFERROR(IF(0=LEN(ReferenceData!$AU$74),"",ReferenceData!$AU$74),"")</f>
        <v/>
      </c>
      <c r="AV74" t="str">
        <f ca="1">IFERROR(IF(0=LEN(ReferenceData!$AV$74),"",ReferenceData!$AV$74),"")</f>
        <v/>
      </c>
      <c r="AW74" t="str">
        <f ca="1">IFERROR(IF(0=LEN(ReferenceData!$AW$74),"",ReferenceData!$AW$74),"")</f>
        <v/>
      </c>
      <c r="AX74" t="str">
        <f ca="1">IFERROR(IF(0=LEN(ReferenceData!$AX$74),"",ReferenceData!$AX$74),"")</f>
        <v/>
      </c>
      <c r="AY74" t="str">
        <f ca="1">IFERROR(IF(0=LEN(ReferenceData!$AY$74),"",ReferenceData!$AY$74),"")</f>
        <v/>
      </c>
      <c r="AZ74" t="str">
        <f ca="1">IFERROR(IF(0=LEN(ReferenceData!$AZ$74),"",ReferenceData!$AZ$74),"")</f>
        <v/>
      </c>
      <c r="BA74" t="str">
        <f ca="1">IFERROR(IF(0=LEN(ReferenceData!$BA$74),"",ReferenceData!$BA$74),"")</f>
        <v/>
      </c>
      <c r="BB74" t="str">
        <f ca="1">IFERROR(IF(0=LEN(ReferenceData!$BB$74),"",ReferenceData!$BB$74),"")</f>
        <v/>
      </c>
      <c r="BC74" t="str">
        <f ca="1">IFERROR(IF(0=LEN(ReferenceData!$BC$74),"",ReferenceData!$BC$74),"")</f>
        <v/>
      </c>
      <c r="BD74" t="str">
        <f ca="1">IFERROR(IF(0=LEN(ReferenceData!$BD$74),"",ReferenceData!$BD$74),"")</f>
        <v/>
      </c>
      <c r="BE74" t="str">
        <f ca="1">IFERROR(IF(0=LEN(ReferenceData!$BE$74),"",ReferenceData!$BE$74),"")</f>
        <v/>
      </c>
      <c r="BF74" t="str">
        <f ca="1">IFERROR(IF(0=LEN(ReferenceData!$BF$74),"",ReferenceData!$BF$74),"")</f>
        <v/>
      </c>
      <c r="BG74" t="str">
        <f ca="1">IFERROR(IF(0=LEN(ReferenceData!$BG$74),"",ReferenceData!$BG$74),"")</f>
        <v/>
      </c>
      <c r="BH74" t="str">
        <f ca="1">IFERROR(IF(0=LEN(ReferenceData!$BH$74),"",ReferenceData!$BH$74),"")</f>
        <v/>
      </c>
      <c r="BI74" t="str">
        <f ca="1">IFERROR(IF(0=LEN(ReferenceData!$BI$74),"",ReferenceData!$BI$74),"")</f>
        <v/>
      </c>
      <c r="BJ74" t="str">
        <f ca="1">IFERROR(IF(0=LEN(ReferenceData!$BJ$74),"",ReferenceData!$BJ$74),"")</f>
        <v/>
      </c>
      <c r="BK74" t="str">
        <f ca="1">IFERROR(IF(0=LEN(ReferenceData!$BK$74),"",ReferenceData!$BK$74),"")</f>
        <v/>
      </c>
      <c r="BL74" t="str">
        <f ca="1">IFERROR(IF(0=LEN(ReferenceData!$BL$74),"",ReferenceData!$BL$74),"")</f>
        <v/>
      </c>
      <c r="BM74" t="str">
        <f ca="1">IFERROR(IF(0=LEN(ReferenceData!$BM$74),"",ReferenceData!$BM$74),"")</f>
        <v/>
      </c>
    </row>
    <row r="75" spans="1:65" x14ac:dyDescent="0.25">
      <c r="A75" t="str">
        <f>IFERROR(IF(0=LEN(ReferenceData!$A$75),"",ReferenceData!$A$75),"")</f>
        <v xml:space="preserve">    Sollers PJSC</v>
      </c>
      <c r="B75" t="str">
        <f>IFERROR(IF(0=LEN(ReferenceData!$B$75),"",ReferenceData!$B$75),"")</f>
        <v>SVAV RM Equity</v>
      </c>
      <c r="C75" t="str">
        <f>IFERROR(IF(0=LEN(ReferenceData!$C$75),"",ReferenceData!$C$75),"")</f>
        <v>EZ009</v>
      </c>
      <c r="D75" t="str">
        <f>IFERROR(IF(0=LEN(ReferenceData!$D$75),"",ReferenceData!$D$75),"")</f>
        <v>BEST_EST_PE_CUR_YR</v>
      </c>
      <c r="E75" t="str">
        <f>IFERROR(IF(0=LEN(ReferenceData!$E$75),"",ReferenceData!$E$75),"")</f>
        <v>Dynamic</v>
      </c>
      <c r="F75">
        <f ca="1">IFERROR(IF(0=LEN(ReferenceData!$F$75),"",ReferenceData!$F$75),"")</f>
        <v>6.204265919</v>
      </c>
      <c r="G75">
        <f ca="1">IFERROR(IF(0=LEN(ReferenceData!$G$75),"",ReferenceData!$G$75),"")</f>
        <v>6.3521718820000004</v>
      </c>
      <c r="H75">
        <f ca="1">IFERROR(IF(0=LEN(ReferenceData!$H$75),"",ReferenceData!$H$75),"")</f>
        <v>7.9402148529999996</v>
      </c>
      <c r="I75">
        <f ca="1">IFERROR(IF(0=LEN(ReferenceData!$I$75),"",ReferenceData!$I$75),"")</f>
        <v>11.49144254</v>
      </c>
      <c r="J75">
        <f ca="1">IFERROR(IF(0=LEN(ReferenceData!$J$75),"",ReferenceData!$J$75),"")</f>
        <v>3.3272481009999999</v>
      </c>
      <c r="K75">
        <f ca="1">IFERROR(IF(0=LEN(ReferenceData!$K$75),"",ReferenceData!$K$75),"")</f>
        <v>3.4466517049999998</v>
      </c>
      <c r="L75">
        <f ca="1">IFERROR(IF(0=LEN(ReferenceData!$L$75),"",ReferenceData!$L$75),"")</f>
        <v>3.216210148</v>
      </c>
      <c r="M75">
        <f ca="1">IFERROR(IF(0=LEN(ReferenceData!$M$75),"",ReferenceData!$M$75),"")</f>
        <v>3.3176962639999998</v>
      </c>
      <c r="N75">
        <f ca="1">IFERROR(IF(0=LEN(ReferenceData!$N$75),"",ReferenceData!$N$75),"")</f>
        <v>3.181930591</v>
      </c>
      <c r="O75">
        <f ca="1">IFERROR(IF(0=LEN(ReferenceData!$O$75),"",ReferenceData!$O$75),"")</f>
        <v>2.7081751459999999</v>
      </c>
      <c r="P75">
        <f ca="1">IFERROR(IF(0=LEN(ReferenceData!$P$75),"",ReferenceData!$P$75),"")</f>
        <v>2.9911137289999998</v>
      </c>
      <c r="Q75">
        <f ca="1">IFERROR(IF(0=LEN(ReferenceData!$Q$75),"",ReferenceData!$Q$75),"")</f>
        <v>1.9527814729999999</v>
      </c>
      <c r="R75">
        <f ca="1">IFERROR(IF(0=LEN(ReferenceData!$R$75),"",ReferenceData!$R$75),"")</f>
        <v>2.9232297429999998</v>
      </c>
      <c r="S75">
        <f ca="1">IFERROR(IF(0=LEN(ReferenceData!$S$75),"",ReferenceData!$S$75),"")</f>
        <v>2.8522775650000001</v>
      </c>
      <c r="T75">
        <f ca="1">IFERROR(IF(0=LEN(ReferenceData!$T$75),"",ReferenceData!$T$75),"")</f>
        <v>3.1298793470000001</v>
      </c>
      <c r="U75">
        <f ca="1">IFERROR(IF(0=LEN(ReferenceData!$U$75),"",ReferenceData!$U$75),"")</f>
        <v>1.396885323</v>
      </c>
      <c r="V75">
        <f ca="1">IFERROR(IF(0=LEN(ReferenceData!$V$75),"",ReferenceData!$V$75),"")</f>
        <v>1.1389019979999999</v>
      </c>
      <c r="W75">
        <f ca="1">IFERROR(IF(0=LEN(ReferenceData!$W$75),"",ReferenceData!$W$75),"")</f>
        <v>1.371903418</v>
      </c>
      <c r="X75">
        <f ca="1">IFERROR(IF(0=LEN(ReferenceData!$X$75),"",ReferenceData!$X$75),"")</f>
        <v>1.797977422</v>
      </c>
      <c r="Y75">
        <f ca="1">IFERROR(IF(0=LEN(ReferenceData!$Y$75),"",ReferenceData!$Y$75),"")</f>
        <v>2.1555628009999999</v>
      </c>
      <c r="Z75" t="str">
        <f ca="1">IFERROR(IF(0=LEN(ReferenceData!$Z$75),"",ReferenceData!$Z$75),"")</f>
        <v/>
      </c>
      <c r="AA75" t="str">
        <f ca="1">IFERROR(IF(0=LEN(ReferenceData!$AA$75),"",ReferenceData!$AA$75),"")</f>
        <v/>
      </c>
      <c r="AB75" t="str">
        <f ca="1">IFERROR(IF(0=LEN(ReferenceData!$AB$75),"",ReferenceData!$AB$75),"")</f>
        <v/>
      </c>
      <c r="AC75" t="str">
        <f ca="1">IFERROR(IF(0=LEN(ReferenceData!$AC$75),"",ReferenceData!$AC$75),"")</f>
        <v/>
      </c>
      <c r="AD75" t="str">
        <f ca="1">IFERROR(IF(0=LEN(ReferenceData!$AD$75),"",ReferenceData!$AD$75),"")</f>
        <v/>
      </c>
      <c r="AE75" t="str">
        <f ca="1">IFERROR(IF(0=LEN(ReferenceData!$AE$75),"",ReferenceData!$AE$75),"")</f>
        <v/>
      </c>
      <c r="AF75" t="str">
        <f ca="1">IFERROR(IF(0=LEN(ReferenceData!$AF$75),"",ReferenceData!$AF$75),"")</f>
        <v/>
      </c>
      <c r="AG75" t="str">
        <f ca="1">IFERROR(IF(0=LEN(ReferenceData!$AG$75),"",ReferenceData!$AG$75),"")</f>
        <v/>
      </c>
      <c r="AH75" t="str">
        <f ca="1">IFERROR(IF(0=LEN(ReferenceData!$AH$75),"",ReferenceData!$AH$75),"")</f>
        <v/>
      </c>
      <c r="AI75" t="str">
        <f ca="1">IFERROR(IF(0=LEN(ReferenceData!$AI$75),"",ReferenceData!$AI$75),"")</f>
        <v/>
      </c>
      <c r="AJ75" t="str">
        <f ca="1">IFERROR(IF(0=LEN(ReferenceData!$AJ$75),"",ReferenceData!$AJ$75),"")</f>
        <v/>
      </c>
      <c r="AK75" t="str">
        <f ca="1">IFERROR(IF(0=LEN(ReferenceData!$AK$75),"",ReferenceData!$AK$75),"")</f>
        <v/>
      </c>
      <c r="AL75" t="str">
        <f ca="1">IFERROR(IF(0=LEN(ReferenceData!$AL$75),"",ReferenceData!$AL$75),"")</f>
        <v/>
      </c>
      <c r="AM75" t="str">
        <f ca="1">IFERROR(IF(0=LEN(ReferenceData!$AM$75),"",ReferenceData!$AM$75),"")</f>
        <v/>
      </c>
      <c r="AN75" t="str">
        <f ca="1">IFERROR(IF(0=LEN(ReferenceData!$AN$75),"",ReferenceData!$AN$75),"")</f>
        <v/>
      </c>
      <c r="AO75" t="str">
        <f ca="1">IFERROR(IF(0=LEN(ReferenceData!$AO$75),"",ReferenceData!$AO$75),"")</f>
        <v/>
      </c>
      <c r="AP75" t="str">
        <f ca="1">IFERROR(IF(0=LEN(ReferenceData!$AP$75),"",ReferenceData!$AP$75),"")</f>
        <v/>
      </c>
      <c r="AQ75" t="str">
        <f ca="1">IFERROR(IF(0=LEN(ReferenceData!$AQ$75),"",ReferenceData!$AQ$75),"")</f>
        <v/>
      </c>
      <c r="AR75" t="str">
        <f ca="1">IFERROR(IF(0=LEN(ReferenceData!$AR$75),"",ReferenceData!$AR$75),"")</f>
        <v/>
      </c>
      <c r="AS75" t="str">
        <f ca="1">IFERROR(IF(0=LEN(ReferenceData!$AS$75),"",ReferenceData!$AS$75),"")</f>
        <v/>
      </c>
      <c r="AT75" t="str">
        <f ca="1">IFERROR(IF(0=LEN(ReferenceData!$AT$75),"",ReferenceData!$AT$75),"")</f>
        <v/>
      </c>
      <c r="AU75" t="str">
        <f ca="1">IFERROR(IF(0=LEN(ReferenceData!$AU$75),"",ReferenceData!$AU$75),"")</f>
        <v/>
      </c>
      <c r="AV75" t="str">
        <f ca="1">IFERROR(IF(0=LEN(ReferenceData!$AV$75),"",ReferenceData!$AV$75),"")</f>
        <v/>
      </c>
      <c r="AW75" t="str">
        <f ca="1">IFERROR(IF(0=LEN(ReferenceData!$AW$75),"",ReferenceData!$AW$75),"")</f>
        <v/>
      </c>
      <c r="AX75" t="str">
        <f ca="1">IFERROR(IF(0=LEN(ReferenceData!$AX$75),"",ReferenceData!$AX$75),"")</f>
        <v/>
      </c>
      <c r="AY75" t="str">
        <f ca="1">IFERROR(IF(0=LEN(ReferenceData!$AY$75),"",ReferenceData!$AY$75),"")</f>
        <v/>
      </c>
      <c r="AZ75" t="str">
        <f ca="1">IFERROR(IF(0=LEN(ReferenceData!$AZ$75),"",ReferenceData!$AZ$75),"")</f>
        <v/>
      </c>
      <c r="BA75" t="str">
        <f ca="1">IFERROR(IF(0=LEN(ReferenceData!$BA$75),"",ReferenceData!$BA$75),"")</f>
        <v/>
      </c>
      <c r="BB75" t="str">
        <f ca="1">IFERROR(IF(0=LEN(ReferenceData!$BB$75),"",ReferenceData!$BB$75),"")</f>
        <v/>
      </c>
      <c r="BC75" t="str">
        <f ca="1">IFERROR(IF(0=LEN(ReferenceData!$BC$75),"",ReferenceData!$BC$75),"")</f>
        <v/>
      </c>
      <c r="BD75" t="str">
        <f ca="1">IFERROR(IF(0=LEN(ReferenceData!$BD$75),"",ReferenceData!$BD$75),"")</f>
        <v/>
      </c>
      <c r="BE75" t="str">
        <f ca="1">IFERROR(IF(0=LEN(ReferenceData!$BE$75),"",ReferenceData!$BE$75),"")</f>
        <v/>
      </c>
      <c r="BF75" t="str">
        <f ca="1">IFERROR(IF(0=LEN(ReferenceData!$BF$75),"",ReferenceData!$BF$75),"")</f>
        <v/>
      </c>
      <c r="BG75" t="str">
        <f ca="1">IFERROR(IF(0=LEN(ReferenceData!$BG$75),"",ReferenceData!$BG$75),"")</f>
        <v/>
      </c>
      <c r="BH75" t="str">
        <f ca="1">IFERROR(IF(0=LEN(ReferenceData!$BH$75),"",ReferenceData!$BH$75),"")</f>
        <v/>
      </c>
      <c r="BI75" t="str">
        <f ca="1">IFERROR(IF(0=LEN(ReferenceData!$BI$75),"",ReferenceData!$BI$75),"")</f>
        <v/>
      </c>
      <c r="BJ75" t="str">
        <f ca="1">IFERROR(IF(0=LEN(ReferenceData!$BJ$75),"",ReferenceData!$BJ$75),"")</f>
        <v/>
      </c>
      <c r="BK75" t="str">
        <f ca="1">IFERROR(IF(0=LEN(ReferenceData!$BK$75),"",ReferenceData!$BK$75),"")</f>
        <v/>
      </c>
      <c r="BL75" t="str">
        <f ca="1">IFERROR(IF(0=LEN(ReferenceData!$BL$75),"",ReferenceData!$BL$75),"")</f>
        <v/>
      </c>
      <c r="BM75" t="str">
        <f ca="1">IFERROR(IF(0=LEN(ReferenceData!$BM$75),"",ReferenceData!$BM$75),"")</f>
        <v/>
      </c>
    </row>
    <row r="76" spans="1:65" x14ac:dyDescent="0.25">
      <c r="A76" t="str">
        <f>IFERROR(IF(0=LEN(ReferenceData!$A$76),"",ReferenceData!$A$76),"")</f>
        <v xml:space="preserve">    Ssangyong Motor Co</v>
      </c>
      <c r="B76" t="str">
        <f>IFERROR(IF(0=LEN(ReferenceData!$B$76),"",ReferenceData!$B$76),"")</f>
        <v>003620 KS Equity</v>
      </c>
      <c r="C76" t="str">
        <f>IFERROR(IF(0=LEN(ReferenceData!$C$76),"",ReferenceData!$C$76),"")</f>
        <v>EZ009</v>
      </c>
      <c r="D76" t="str">
        <f>IFERROR(IF(0=LEN(ReferenceData!$D$76),"",ReferenceData!$D$76),"")</f>
        <v>BEST_EST_PE_CUR_YR</v>
      </c>
      <c r="E76" t="str">
        <f>IFERROR(IF(0=LEN(ReferenceData!$E$76),"",ReferenceData!$E$76),"")</f>
        <v>Dynamic</v>
      </c>
      <c r="F76" t="str">
        <f ca="1">IFERROR(IF(0=LEN(ReferenceData!$F$76),"",ReferenceData!$F$76),"")</f>
        <v/>
      </c>
      <c r="G76" t="str">
        <f ca="1">IFERROR(IF(0=LEN(ReferenceData!$G$76),"",ReferenceData!$G$76),"")</f>
        <v/>
      </c>
      <c r="H76" t="str">
        <f ca="1">IFERROR(IF(0=LEN(ReferenceData!$H$76),"",ReferenceData!$H$76),"")</f>
        <v/>
      </c>
      <c r="I76">
        <f ca="1">IFERROR(IF(0=LEN(ReferenceData!$I$76),"",ReferenceData!$I$76),"")</f>
        <v>14.639769449999999</v>
      </c>
      <c r="J76">
        <f ca="1">IFERROR(IF(0=LEN(ReferenceData!$J$76),"",ReferenceData!$J$76),"")</f>
        <v>14.30835735</v>
      </c>
      <c r="K76">
        <f ca="1">IFERROR(IF(0=LEN(ReferenceData!$K$76),"",ReferenceData!$K$76),"")</f>
        <v>14.75504323</v>
      </c>
      <c r="L76">
        <f ca="1">IFERROR(IF(0=LEN(ReferenceData!$L$76),"",ReferenceData!$L$76),"")</f>
        <v>9.3501805050000009</v>
      </c>
      <c r="M76">
        <f ca="1">IFERROR(IF(0=LEN(ReferenceData!$M$76),"",ReferenceData!$M$76),"")</f>
        <v>12.73743017</v>
      </c>
      <c r="N76">
        <f ca="1">IFERROR(IF(0=LEN(ReferenceData!$N$76),"",ReferenceData!$N$76),"")</f>
        <v>17.549668870000001</v>
      </c>
      <c r="O76" t="str">
        <f ca="1">IFERROR(IF(0=LEN(ReferenceData!$O$76),"",ReferenceData!$O$76),"")</f>
        <v/>
      </c>
      <c r="P76" t="str">
        <f ca="1">IFERROR(IF(0=LEN(ReferenceData!$P$76),"",ReferenceData!$P$76),"")</f>
        <v/>
      </c>
      <c r="Q76" t="str">
        <f ca="1">IFERROR(IF(0=LEN(ReferenceData!$Q$76),"",ReferenceData!$Q$76),"")</f>
        <v/>
      </c>
      <c r="R76" t="str">
        <f ca="1">IFERROR(IF(0=LEN(ReferenceData!$R$76),"",ReferenceData!$R$76),"")</f>
        <v/>
      </c>
      <c r="S76" t="str">
        <f ca="1">IFERROR(IF(0=LEN(ReferenceData!$S$76),"",ReferenceData!$S$76),"")</f>
        <v/>
      </c>
      <c r="T76" t="str">
        <f ca="1">IFERROR(IF(0=LEN(ReferenceData!$T$76),"",ReferenceData!$T$76),"")</f>
        <v/>
      </c>
      <c r="U76" t="str">
        <f ca="1">IFERROR(IF(0=LEN(ReferenceData!$U$76),"",ReferenceData!$U$76),"")</f>
        <v/>
      </c>
      <c r="V76" t="str">
        <f ca="1">IFERROR(IF(0=LEN(ReferenceData!$V$76),"",ReferenceData!$V$76),"")</f>
        <v/>
      </c>
      <c r="W76" t="str">
        <f ca="1">IFERROR(IF(0=LEN(ReferenceData!$W$76),"",ReferenceData!$W$76),"")</f>
        <v/>
      </c>
      <c r="X76" t="str">
        <f ca="1">IFERROR(IF(0=LEN(ReferenceData!$X$76),"",ReferenceData!$X$76),"")</f>
        <v/>
      </c>
      <c r="Y76" t="str">
        <f ca="1">IFERROR(IF(0=LEN(ReferenceData!$Y$76),"",ReferenceData!$Y$76),"")</f>
        <v/>
      </c>
      <c r="Z76" t="str">
        <f ca="1">IFERROR(IF(0=LEN(ReferenceData!$Z$76),"",ReferenceData!$Z$76),"")</f>
        <v/>
      </c>
      <c r="AA76" t="str">
        <f ca="1">IFERROR(IF(0=LEN(ReferenceData!$AA$76),"",ReferenceData!$AA$76),"")</f>
        <v/>
      </c>
      <c r="AB76" t="str">
        <f ca="1">IFERROR(IF(0=LEN(ReferenceData!$AB$76),"",ReferenceData!$AB$76),"")</f>
        <v/>
      </c>
      <c r="AC76" t="str">
        <f ca="1">IFERROR(IF(0=LEN(ReferenceData!$AC$76),"",ReferenceData!$AC$76),"")</f>
        <v/>
      </c>
      <c r="AD76" t="str">
        <f ca="1">IFERROR(IF(0=LEN(ReferenceData!$AD$76),"",ReferenceData!$AD$76),"")</f>
        <v/>
      </c>
      <c r="AE76" t="str">
        <f ca="1">IFERROR(IF(0=LEN(ReferenceData!$AE$76),"",ReferenceData!$AE$76),"")</f>
        <v/>
      </c>
      <c r="AF76" t="str">
        <f ca="1">IFERROR(IF(0=LEN(ReferenceData!$AF$76),"",ReferenceData!$AF$76),"")</f>
        <v/>
      </c>
      <c r="AG76" t="str">
        <f ca="1">IFERROR(IF(0=LEN(ReferenceData!$AG$76),"",ReferenceData!$AG$76),"")</f>
        <v/>
      </c>
      <c r="AH76" t="str">
        <f ca="1">IFERROR(IF(0=LEN(ReferenceData!$AH$76),"",ReferenceData!$AH$76),"")</f>
        <v/>
      </c>
      <c r="AI76" t="str">
        <f ca="1">IFERROR(IF(0=LEN(ReferenceData!$AI$76),"",ReferenceData!$AI$76),"")</f>
        <v/>
      </c>
      <c r="AJ76" t="str">
        <f ca="1">IFERROR(IF(0=LEN(ReferenceData!$AJ$76),"",ReferenceData!$AJ$76),"")</f>
        <v/>
      </c>
      <c r="AK76" t="str">
        <f ca="1">IFERROR(IF(0=LEN(ReferenceData!$AK$76),"",ReferenceData!$AK$76),"")</f>
        <v/>
      </c>
      <c r="AL76" t="str">
        <f ca="1">IFERROR(IF(0=LEN(ReferenceData!$AL$76),"",ReferenceData!$AL$76),"")</f>
        <v/>
      </c>
      <c r="AM76" t="str">
        <f ca="1">IFERROR(IF(0=LEN(ReferenceData!$AM$76),"",ReferenceData!$AM$76),"")</f>
        <v/>
      </c>
      <c r="AN76" t="str">
        <f ca="1">IFERROR(IF(0=LEN(ReferenceData!$AN$76),"",ReferenceData!$AN$76),"")</f>
        <v/>
      </c>
      <c r="AO76" t="str">
        <f ca="1">IFERROR(IF(0=LEN(ReferenceData!$AO$76),"",ReferenceData!$AO$76),"")</f>
        <v/>
      </c>
      <c r="AP76" t="str">
        <f ca="1">IFERROR(IF(0=LEN(ReferenceData!$AP$76),"",ReferenceData!$AP$76),"")</f>
        <v/>
      </c>
      <c r="AQ76" t="str">
        <f ca="1">IFERROR(IF(0=LEN(ReferenceData!$AQ$76),"",ReferenceData!$AQ$76),"")</f>
        <v/>
      </c>
      <c r="AR76" t="str">
        <f ca="1">IFERROR(IF(0=LEN(ReferenceData!$AR$76),"",ReferenceData!$AR$76),"")</f>
        <v/>
      </c>
      <c r="AS76" t="str">
        <f ca="1">IFERROR(IF(0=LEN(ReferenceData!$AS$76),"",ReferenceData!$AS$76),"")</f>
        <v/>
      </c>
      <c r="AT76" t="str">
        <f ca="1">IFERROR(IF(0=LEN(ReferenceData!$AT$76),"",ReferenceData!$AT$76),"")</f>
        <v/>
      </c>
      <c r="AU76" t="str">
        <f ca="1">IFERROR(IF(0=LEN(ReferenceData!$AU$76),"",ReferenceData!$AU$76),"")</f>
        <v/>
      </c>
      <c r="AV76" t="str">
        <f ca="1">IFERROR(IF(0=LEN(ReferenceData!$AV$76),"",ReferenceData!$AV$76),"")</f>
        <v/>
      </c>
      <c r="AW76" t="str">
        <f ca="1">IFERROR(IF(0=LEN(ReferenceData!$AW$76),"",ReferenceData!$AW$76),"")</f>
        <v/>
      </c>
      <c r="AX76" t="str">
        <f ca="1">IFERROR(IF(0=LEN(ReferenceData!$AX$76),"",ReferenceData!$AX$76),"")</f>
        <v/>
      </c>
      <c r="AY76" t="str">
        <f ca="1">IFERROR(IF(0=LEN(ReferenceData!$AY$76),"",ReferenceData!$AY$76),"")</f>
        <v/>
      </c>
      <c r="AZ76" t="str">
        <f ca="1">IFERROR(IF(0=LEN(ReferenceData!$AZ$76),"",ReferenceData!$AZ$76),"")</f>
        <v/>
      </c>
      <c r="BA76" t="str">
        <f ca="1">IFERROR(IF(0=LEN(ReferenceData!$BA$76),"",ReferenceData!$BA$76),"")</f>
        <v/>
      </c>
      <c r="BB76" t="str">
        <f ca="1">IFERROR(IF(0=LEN(ReferenceData!$BB$76),"",ReferenceData!$BB$76),"")</f>
        <v/>
      </c>
      <c r="BC76" t="str">
        <f ca="1">IFERROR(IF(0=LEN(ReferenceData!$BC$76),"",ReferenceData!$BC$76),"")</f>
        <v/>
      </c>
      <c r="BD76" t="str">
        <f ca="1">IFERROR(IF(0=LEN(ReferenceData!$BD$76),"",ReferenceData!$BD$76),"")</f>
        <v/>
      </c>
      <c r="BE76" t="str">
        <f ca="1">IFERROR(IF(0=LEN(ReferenceData!$BE$76),"",ReferenceData!$BE$76),"")</f>
        <v/>
      </c>
      <c r="BF76" t="str">
        <f ca="1">IFERROR(IF(0=LEN(ReferenceData!$BF$76),"",ReferenceData!$BF$76),"")</f>
        <v/>
      </c>
      <c r="BG76" t="str">
        <f ca="1">IFERROR(IF(0=LEN(ReferenceData!$BG$76),"",ReferenceData!$BG$76),"")</f>
        <v/>
      </c>
      <c r="BH76" t="str">
        <f ca="1">IFERROR(IF(0=LEN(ReferenceData!$BH$76),"",ReferenceData!$BH$76),"")</f>
        <v/>
      </c>
      <c r="BI76" t="str">
        <f ca="1">IFERROR(IF(0=LEN(ReferenceData!$BI$76),"",ReferenceData!$BI$76),"")</f>
        <v/>
      </c>
      <c r="BJ76" t="str">
        <f ca="1">IFERROR(IF(0=LEN(ReferenceData!$BJ$76),"",ReferenceData!$BJ$76),"")</f>
        <v/>
      </c>
      <c r="BK76" t="str">
        <f ca="1">IFERROR(IF(0=LEN(ReferenceData!$BK$76),"",ReferenceData!$BK$76),"")</f>
        <v/>
      </c>
      <c r="BL76" t="str">
        <f ca="1">IFERROR(IF(0=LEN(ReferenceData!$BL$76),"",ReferenceData!$BL$76),"")</f>
        <v/>
      </c>
      <c r="BM76" t="str">
        <f ca="1">IFERROR(IF(0=LEN(ReferenceData!$BM$76),"",ReferenceData!$BM$76),"")</f>
        <v/>
      </c>
    </row>
    <row r="77" spans="1:65" x14ac:dyDescent="0.25">
      <c r="A77" t="str">
        <f>IFERROR(IF(0=LEN(ReferenceData!$A$77),"",ReferenceData!$A$77),"")</f>
        <v xml:space="preserve">    Subaru Corp</v>
      </c>
      <c r="B77" t="str">
        <f>IFERROR(IF(0=LEN(ReferenceData!$B$77),"",ReferenceData!$B$77),"")</f>
        <v>7270 JP Equity</v>
      </c>
      <c r="C77" t="str">
        <f>IFERROR(IF(0=LEN(ReferenceData!$C$77),"",ReferenceData!$C$77),"")</f>
        <v>EZ009</v>
      </c>
      <c r="D77" t="str">
        <f>IFERROR(IF(0=LEN(ReferenceData!$D$77),"",ReferenceData!$D$77),"")</f>
        <v>BEST_EST_PE_CUR_YR</v>
      </c>
      <c r="E77" t="str">
        <f>IFERROR(IF(0=LEN(ReferenceData!$E$77),"",ReferenceData!$E$77),"")</f>
        <v>Dynamic</v>
      </c>
      <c r="F77">
        <f ca="1">IFERROR(IF(0=LEN(ReferenceData!$F$77),"",ReferenceData!$F$77),"")</f>
        <v>13.39154577</v>
      </c>
      <c r="G77">
        <f ca="1">IFERROR(IF(0=LEN(ReferenceData!$G$77),"",ReferenceData!$G$77),"")</f>
        <v>10.18518918</v>
      </c>
      <c r="H77">
        <f ca="1">IFERROR(IF(0=LEN(ReferenceData!$H$77),"",ReferenceData!$H$77),"")</f>
        <v>10.177105020000001</v>
      </c>
      <c r="I77">
        <f ca="1">IFERROR(IF(0=LEN(ReferenceData!$I$77),"",ReferenceData!$I$77),"")</f>
        <v>9.3945264139999995</v>
      </c>
      <c r="J77">
        <f ca="1">IFERROR(IF(0=LEN(ReferenceData!$J$77),"",ReferenceData!$J$77),"")</f>
        <v>9.1124090259999999</v>
      </c>
      <c r="K77">
        <f ca="1">IFERROR(IF(0=LEN(ReferenceData!$K$77),"",ReferenceData!$K$77),"")</f>
        <v>8.7065553100000006</v>
      </c>
      <c r="L77">
        <f ca="1">IFERROR(IF(0=LEN(ReferenceData!$L$77),"",ReferenceData!$L$77),"")</f>
        <v>8.8463373769999993</v>
      </c>
      <c r="M77">
        <f ca="1">IFERROR(IF(0=LEN(ReferenceData!$M$77),"",ReferenceData!$M$77),"")</f>
        <v>8.5238018049999997</v>
      </c>
      <c r="N77">
        <f ca="1">IFERROR(IF(0=LEN(ReferenceData!$N$77),"",ReferenceData!$N$77),"")</f>
        <v>7.5315011539999999</v>
      </c>
      <c r="O77">
        <f ca="1">IFERROR(IF(0=LEN(ReferenceData!$O$77),"",ReferenceData!$O$77),"")</f>
        <v>9.2534060369999995</v>
      </c>
      <c r="P77">
        <f ca="1">IFERROR(IF(0=LEN(ReferenceData!$P$77),"",ReferenceData!$P$77),"")</f>
        <v>8.1355065569999994</v>
      </c>
      <c r="Q77">
        <f ca="1">IFERROR(IF(0=LEN(ReferenceData!$Q$77),"",ReferenceData!$Q$77),"")</f>
        <v>7.039246125</v>
      </c>
      <c r="R77">
        <f ca="1">IFERROR(IF(0=LEN(ReferenceData!$R$77),"",ReferenceData!$R$77),"")</f>
        <v>7.5685453159999998</v>
      </c>
      <c r="S77">
        <f ca="1">IFERROR(IF(0=LEN(ReferenceData!$S$77),"",ReferenceData!$S$77),"")</f>
        <v>8.6093509160000004</v>
      </c>
      <c r="T77">
        <f ca="1">IFERROR(IF(0=LEN(ReferenceData!$T$77),"",ReferenceData!$T$77),"")</f>
        <v>7.419019574</v>
      </c>
      <c r="U77">
        <f ca="1">IFERROR(IF(0=LEN(ReferenceData!$U$77),"",ReferenceData!$U$77),"")</f>
        <v>7.8087649399999997</v>
      </c>
      <c r="V77">
        <f ca="1">IFERROR(IF(0=LEN(ReferenceData!$V$77),"",ReferenceData!$V$77),"")</f>
        <v>7.1357053459999999</v>
      </c>
      <c r="W77">
        <f ca="1">IFERROR(IF(0=LEN(ReferenceData!$W$77),"",ReferenceData!$W$77),"")</f>
        <v>7.6758300610000001</v>
      </c>
      <c r="X77">
        <f ca="1">IFERROR(IF(0=LEN(ReferenceData!$X$77),"",ReferenceData!$X$77),"")</f>
        <v>7.7313432840000003</v>
      </c>
      <c r="Y77">
        <f ca="1">IFERROR(IF(0=LEN(ReferenceData!$Y$77),"",ReferenceData!$Y$77),"")</f>
        <v>5.9808102349999999</v>
      </c>
      <c r="Z77" t="str">
        <f ca="1">IFERROR(IF(0=LEN(ReferenceData!$Z$77),"",ReferenceData!$Z$77),"")</f>
        <v/>
      </c>
      <c r="AA77" t="str">
        <f ca="1">IFERROR(IF(0=LEN(ReferenceData!$AA$77),"",ReferenceData!$AA$77),"")</f>
        <v/>
      </c>
      <c r="AB77" t="str">
        <f ca="1">IFERROR(IF(0=LEN(ReferenceData!$AB$77),"",ReferenceData!$AB$77),"")</f>
        <v/>
      </c>
      <c r="AC77" t="str">
        <f ca="1">IFERROR(IF(0=LEN(ReferenceData!$AC$77),"",ReferenceData!$AC$77),"")</f>
        <v/>
      </c>
      <c r="AD77" t="str">
        <f ca="1">IFERROR(IF(0=LEN(ReferenceData!$AD$77),"",ReferenceData!$AD$77),"")</f>
        <v/>
      </c>
      <c r="AE77" t="str">
        <f ca="1">IFERROR(IF(0=LEN(ReferenceData!$AE$77),"",ReferenceData!$AE$77),"")</f>
        <v/>
      </c>
      <c r="AF77" t="str">
        <f ca="1">IFERROR(IF(0=LEN(ReferenceData!$AF$77),"",ReferenceData!$AF$77),"")</f>
        <v/>
      </c>
      <c r="AG77" t="str">
        <f ca="1">IFERROR(IF(0=LEN(ReferenceData!$AG$77),"",ReferenceData!$AG$77),"")</f>
        <v/>
      </c>
      <c r="AH77" t="str">
        <f ca="1">IFERROR(IF(0=LEN(ReferenceData!$AH$77),"",ReferenceData!$AH$77),"")</f>
        <v/>
      </c>
      <c r="AI77" t="str">
        <f ca="1">IFERROR(IF(0=LEN(ReferenceData!$AI$77),"",ReferenceData!$AI$77),"")</f>
        <v/>
      </c>
      <c r="AJ77" t="str">
        <f ca="1">IFERROR(IF(0=LEN(ReferenceData!$AJ$77),"",ReferenceData!$AJ$77),"")</f>
        <v/>
      </c>
      <c r="AK77" t="str">
        <f ca="1">IFERROR(IF(0=LEN(ReferenceData!$AK$77),"",ReferenceData!$AK$77),"")</f>
        <v/>
      </c>
      <c r="AL77" t="str">
        <f ca="1">IFERROR(IF(0=LEN(ReferenceData!$AL$77),"",ReferenceData!$AL$77),"")</f>
        <v/>
      </c>
      <c r="AM77" t="str">
        <f ca="1">IFERROR(IF(0=LEN(ReferenceData!$AM$77),"",ReferenceData!$AM$77),"")</f>
        <v/>
      </c>
      <c r="AN77" t="str">
        <f ca="1">IFERROR(IF(0=LEN(ReferenceData!$AN$77),"",ReferenceData!$AN$77),"")</f>
        <v/>
      </c>
      <c r="AO77" t="str">
        <f ca="1">IFERROR(IF(0=LEN(ReferenceData!$AO$77),"",ReferenceData!$AO$77),"")</f>
        <v/>
      </c>
      <c r="AP77" t="str">
        <f ca="1">IFERROR(IF(0=LEN(ReferenceData!$AP$77),"",ReferenceData!$AP$77),"")</f>
        <v/>
      </c>
      <c r="AQ77" t="str">
        <f ca="1">IFERROR(IF(0=LEN(ReferenceData!$AQ$77),"",ReferenceData!$AQ$77),"")</f>
        <v/>
      </c>
      <c r="AR77" t="str">
        <f ca="1">IFERROR(IF(0=LEN(ReferenceData!$AR$77),"",ReferenceData!$AR$77),"")</f>
        <v/>
      </c>
      <c r="AS77" t="str">
        <f ca="1">IFERROR(IF(0=LEN(ReferenceData!$AS$77),"",ReferenceData!$AS$77),"")</f>
        <v/>
      </c>
      <c r="AT77" t="str">
        <f ca="1">IFERROR(IF(0=LEN(ReferenceData!$AT$77),"",ReferenceData!$AT$77),"")</f>
        <v/>
      </c>
      <c r="AU77" t="str">
        <f ca="1">IFERROR(IF(0=LEN(ReferenceData!$AU$77),"",ReferenceData!$AU$77),"")</f>
        <v/>
      </c>
      <c r="AV77" t="str">
        <f ca="1">IFERROR(IF(0=LEN(ReferenceData!$AV$77),"",ReferenceData!$AV$77),"")</f>
        <v/>
      </c>
      <c r="AW77" t="str">
        <f ca="1">IFERROR(IF(0=LEN(ReferenceData!$AW$77),"",ReferenceData!$AW$77),"")</f>
        <v/>
      </c>
      <c r="AX77" t="str">
        <f ca="1">IFERROR(IF(0=LEN(ReferenceData!$AX$77),"",ReferenceData!$AX$77),"")</f>
        <v/>
      </c>
      <c r="AY77" t="str">
        <f ca="1">IFERROR(IF(0=LEN(ReferenceData!$AY$77),"",ReferenceData!$AY$77),"")</f>
        <v/>
      </c>
      <c r="AZ77" t="str">
        <f ca="1">IFERROR(IF(0=LEN(ReferenceData!$AZ$77),"",ReferenceData!$AZ$77),"")</f>
        <v/>
      </c>
      <c r="BA77" t="str">
        <f ca="1">IFERROR(IF(0=LEN(ReferenceData!$BA$77),"",ReferenceData!$BA$77),"")</f>
        <v/>
      </c>
      <c r="BB77" t="str">
        <f ca="1">IFERROR(IF(0=LEN(ReferenceData!$BB$77),"",ReferenceData!$BB$77),"")</f>
        <v/>
      </c>
      <c r="BC77" t="str">
        <f ca="1">IFERROR(IF(0=LEN(ReferenceData!$BC$77),"",ReferenceData!$BC$77),"")</f>
        <v/>
      </c>
      <c r="BD77" t="str">
        <f ca="1">IFERROR(IF(0=LEN(ReferenceData!$BD$77),"",ReferenceData!$BD$77),"")</f>
        <v/>
      </c>
      <c r="BE77" t="str">
        <f ca="1">IFERROR(IF(0=LEN(ReferenceData!$BE$77),"",ReferenceData!$BE$77),"")</f>
        <v/>
      </c>
      <c r="BF77" t="str">
        <f ca="1">IFERROR(IF(0=LEN(ReferenceData!$BF$77),"",ReferenceData!$BF$77),"")</f>
        <v/>
      </c>
      <c r="BG77" t="str">
        <f ca="1">IFERROR(IF(0=LEN(ReferenceData!$BG$77),"",ReferenceData!$BG$77),"")</f>
        <v/>
      </c>
      <c r="BH77" t="str">
        <f ca="1">IFERROR(IF(0=LEN(ReferenceData!$BH$77),"",ReferenceData!$BH$77),"")</f>
        <v/>
      </c>
      <c r="BI77" t="str">
        <f ca="1">IFERROR(IF(0=LEN(ReferenceData!$BI$77),"",ReferenceData!$BI$77),"")</f>
        <v/>
      </c>
      <c r="BJ77" t="str">
        <f ca="1">IFERROR(IF(0=LEN(ReferenceData!$BJ$77),"",ReferenceData!$BJ$77),"")</f>
        <v/>
      </c>
      <c r="BK77" t="str">
        <f ca="1">IFERROR(IF(0=LEN(ReferenceData!$BK$77),"",ReferenceData!$BK$77),"")</f>
        <v/>
      </c>
      <c r="BL77" t="str">
        <f ca="1">IFERROR(IF(0=LEN(ReferenceData!$BL$77),"",ReferenceData!$BL$77),"")</f>
        <v/>
      </c>
      <c r="BM77" t="str">
        <f ca="1">IFERROR(IF(0=LEN(ReferenceData!$BM$77),"",ReferenceData!$BM$77),"")</f>
        <v/>
      </c>
    </row>
    <row r="78" spans="1:65" x14ac:dyDescent="0.25">
      <c r="A78" t="str">
        <f>IFERROR(IF(0=LEN(ReferenceData!$A$78),"",ReferenceData!$A$78),"")</f>
        <v xml:space="preserve">    Suzuki Motor Corp</v>
      </c>
      <c r="B78" t="str">
        <f>IFERROR(IF(0=LEN(ReferenceData!$B$78),"",ReferenceData!$B$78),"")</f>
        <v>7269 JP Equity</v>
      </c>
      <c r="C78" t="str">
        <f>IFERROR(IF(0=LEN(ReferenceData!$C$78),"",ReferenceData!$C$78),"")</f>
        <v>EZ009</v>
      </c>
      <c r="D78" t="str">
        <f>IFERROR(IF(0=LEN(ReferenceData!$D$78),"",ReferenceData!$D$78),"")</f>
        <v>BEST_EST_PE_CUR_YR</v>
      </c>
      <c r="E78" t="str">
        <f>IFERROR(IF(0=LEN(ReferenceData!$E$78),"",ReferenceData!$E$78),"")</f>
        <v>Dynamic</v>
      </c>
      <c r="F78">
        <f ca="1">IFERROR(IF(0=LEN(ReferenceData!$F$78),"",ReferenceData!$F$78),"")</f>
        <v>10.839866219999999</v>
      </c>
      <c r="G78">
        <f ca="1">IFERROR(IF(0=LEN(ReferenceData!$G$78),"",ReferenceData!$G$78),"")</f>
        <v>10.321855749999999</v>
      </c>
      <c r="H78">
        <f ca="1">IFERROR(IF(0=LEN(ReferenceData!$H$78),"",ReferenceData!$H$78),"")</f>
        <v>11.45431825</v>
      </c>
      <c r="I78">
        <f ca="1">IFERROR(IF(0=LEN(ReferenceData!$I$78),"",ReferenceData!$I$78),"")</f>
        <v>11.834388199999999</v>
      </c>
      <c r="J78">
        <f ca="1">IFERROR(IF(0=LEN(ReferenceData!$J$78),"",ReferenceData!$J$78),"")</f>
        <v>11.415183989999999</v>
      </c>
      <c r="K78">
        <f ca="1">IFERROR(IF(0=LEN(ReferenceData!$K$78),"",ReferenceData!$K$78),"")</f>
        <v>13.3895912</v>
      </c>
      <c r="L78">
        <f ca="1">IFERROR(IF(0=LEN(ReferenceData!$L$78),"",ReferenceData!$L$78),"")</f>
        <v>12.624328889999999</v>
      </c>
      <c r="M78">
        <f ca="1">IFERROR(IF(0=LEN(ReferenceData!$M$78),"",ReferenceData!$M$78),"")</f>
        <v>12.897324709999999</v>
      </c>
      <c r="N78">
        <f ca="1">IFERROR(IF(0=LEN(ReferenceData!$N$78),"",ReferenceData!$N$78),"")</f>
        <v>13.349391880000001</v>
      </c>
      <c r="O78">
        <f ca="1">IFERROR(IF(0=LEN(ReferenceData!$O$78),"",ReferenceData!$O$78),"")</f>
        <v>12.79989048</v>
      </c>
      <c r="P78">
        <f ca="1">IFERROR(IF(0=LEN(ReferenceData!$P$78),"",ReferenceData!$P$78),"")</f>
        <v>12.19742402</v>
      </c>
      <c r="Q78">
        <f ca="1">IFERROR(IF(0=LEN(ReferenceData!$Q$78),"",ReferenceData!$Q$78),"")</f>
        <v>10.29649878</v>
      </c>
      <c r="R78">
        <f ca="1">IFERROR(IF(0=LEN(ReferenceData!$R$78),"",ReferenceData!$R$78),"")</f>
        <v>10.44133813</v>
      </c>
      <c r="S78">
        <f ca="1">IFERROR(IF(0=LEN(ReferenceData!$S$78),"",ReferenceData!$S$78),"")</f>
        <v>10.279686310000001</v>
      </c>
      <c r="T78">
        <f ca="1">IFERROR(IF(0=LEN(ReferenceData!$T$78),"",ReferenceData!$T$78),"")</f>
        <v>12.825721489999999</v>
      </c>
      <c r="U78">
        <f ca="1">IFERROR(IF(0=LEN(ReferenceData!$U$78),"",ReferenceData!$U$78),"")</f>
        <v>14.96128519</v>
      </c>
      <c r="V78">
        <f ca="1">IFERROR(IF(0=LEN(ReferenceData!$V$78),"",ReferenceData!$V$78),"")</f>
        <v>12.36522334</v>
      </c>
      <c r="W78">
        <f ca="1">IFERROR(IF(0=LEN(ReferenceData!$W$78),"",ReferenceData!$W$78),"")</f>
        <v>12.49785408</v>
      </c>
      <c r="X78">
        <f ca="1">IFERROR(IF(0=LEN(ReferenceData!$X$78),"",ReferenceData!$X$78),"")</f>
        <v>12.369853689999999</v>
      </c>
      <c r="Y78">
        <f ca="1">IFERROR(IF(0=LEN(ReferenceData!$Y$78),"",ReferenceData!$Y$78),"")</f>
        <v>10.796189180000001</v>
      </c>
      <c r="Z78" t="str">
        <f ca="1">IFERROR(IF(0=LEN(ReferenceData!$Z$78),"",ReferenceData!$Z$78),"")</f>
        <v/>
      </c>
      <c r="AA78" t="str">
        <f ca="1">IFERROR(IF(0=LEN(ReferenceData!$AA$78),"",ReferenceData!$AA$78),"")</f>
        <v/>
      </c>
      <c r="AB78" t="str">
        <f ca="1">IFERROR(IF(0=LEN(ReferenceData!$AB$78),"",ReferenceData!$AB$78),"")</f>
        <v/>
      </c>
      <c r="AC78" t="str">
        <f ca="1">IFERROR(IF(0=LEN(ReferenceData!$AC$78),"",ReferenceData!$AC$78),"")</f>
        <v/>
      </c>
      <c r="AD78" t="str">
        <f ca="1">IFERROR(IF(0=LEN(ReferenceData!$AD$78),"",ReferenceData!$AD$78),"")</f>
        <v/>
      </c>
      <c r="AE78" t="str">
        <f ca="1">IFERROR(IF(0=LEN(ReferenceData!$AE$78),"",ReferenceData!$AE$78),"")</f>
        <v/>
      </c>
      <c r="AF78" t="str">
        <f ca="1">IFERROR(IF(0=LEN(ReferenceData!$AF$78),"",ReferenceData!$AF$78),"")</f>
        <v/>
      </c>
      <c r="AG78" t="str">
        <f ca="1">IFERROR(IF(0=LEN(ReferenceData!$AG$78),"",ReferenceData!$AG$78),"")</f>
        <v/>
      </c>
      <c r="AH78" t="str">
        <f ca="1">IFERROR(IF(0=LEN(ReferenceData!$AH$78),"",ReferenceData!$AH$78),"")</f>
        <v/>
      </c>
      <c r="AI78" t="str">
        <f ca="1">IFERROR(IF(0=LEN(ReferenceData!$AI$78),"",ReferenceData!$AI$78),"")</f>
        <v/>
      </c>
      <c r="AJ78" t="str">
        <f ca="1">IFERROR(IF(0=LEN(ReferenceData!$AJ$78),"",ReferenceData!$AJ$78),"")</f>
        <v/>
      </c>
      <c r="AK78" t="str">
        <f ca="1">IFERROR(IF(0=LEN(ReferenceData!$AK$78),"",ReferenceData!$AK$78),"")</f>
        <v/>
      </c>
      <c r="AL78" t="str">
        <f ca="1">IFERROR(IF(0=LEN(ReferenceData!$AL$78),"",ReferenceData!$AL$78),"")</f>
        <v/>
      </c>
      <c r="AM78" t="str">
        <f ca="1">IFERROR(IF(0=LEN(ReferenceData!$AM$78),"",ReferenceData!$AM$78),"")</f>
        <v/>
      </c>
      <c r="AN78" t="str">
        <f ca="1">IFERROR(IF(0=LEN(ReferenceData!$AN$78),"",ReferenceData!$AN$78),"")</f>
        <v/>
      </c>
      <c r="AO78" t="str">
        <f ca="1">IFERROR(IF(0=LEN(ReferenceData!$AO$78),"",ReferenceData!$AO$78),"")</f>
        <v/>
      </c>
      <c r="AP78" t="str">
        <f ca="1">IFERROR(IF(0=LEN(ReferenceData!$AP$78),"",ReferenceData!$AP$78),"")</f>
        <v/>
      </c>
      <c r="AQ78" t="str">
        <f ca="1">IFERROR(IF(0=LEN(ReferenceData!$AQ$78),"",ReferenceData!$AQ$78),"")</f>
        <v/>
      </c>
      <c r="AR78" t="str">
        <f ca="1">IFERROR(IF(0=LEN(ReferenceData!$AR$78),"",ReferenceData!$AR$78),"")</f>
        <v/>
      </c>
      <c r="AS78" t="str">
        <f ca="1">IFERROR(IF(0=LEN(ReferenceData!$AS$78),"",ReferenceData!$AS$78),"")</f>
        <v/>
      </c>
      <c r="AT78" t="str">
        <f ca="1">IFERROR(IF(0=LEN(ReferenceData!$AT$78),"",ReferenceData!$AT$78),"")</f>
        <v/>
      </c>
      <c r="AU78" t="str">
        <f ca="1">IFERROR(IF(0=LEN(ReferenceData!$AU$78),"",ReferenceData!$AU$78),"")</f>
        <v/>
      </c>
      <c r="AV78" t="str">
        <f ca="1">IFERROR(IF(0=LEN(ReferenceData!$AV$78),"",ReferenceData!$AV$78),"")</f>
        <v/>
      </c>
      <c r="AW78" t="str">
        <f ca="1">IFERROR(IF(0=LEN(ReferenceData!$AW$78),"",ReferenceData!$AW$78),"")</f>
        <v/>
      </c>
      <c r="AX78" t="str">
        <f ca="1">IFERROR(IF(0=LEN(ReferenceData!$AX$78),"",ReferenceData!$AX$78),"")</f>
        <v/>
      </c>
      <c r="AY78" t="str">
        <f ca="1">IFERROR(IF(0=LEN(ReferenceData!$AY$78),"",ReferenceData!$AY$78),"")</f>
        <v/>
      </c>
      <c r="AZ78" t="str">
        <f ca="1">IFERROR(IF(0=LEN(ReferenceData!$AZ$78),"",ReferenceData!$AZ$78),"")</f>
        <v/>
      </c>
      <c r="BA78" t="str">
        <f ca="1">IFERROR(IF(0=LEN(ReferenceData!$BA$78),"",ReferenceData!$BA$78),"")</f>
        <v/>
      </c>
      <c r="BB78" t="str">
        <f ca="1">IFERROR(IF(0=LEN(ReferenceData!$BB$78),"",ReferenceData!$BB$78),"")</f>
        <v/>
      </c>
      <c r="BC78" t="str">
        <f ca="1">IFERROR(IF(0=LEN(ReferenceData!$BC$78),"",ReferenceData!$BC$78),"")</f>
        <v/>
      </c>
      <c r="BD78" t="str">
        <f ca="1">IFERROR(IF(0=LEN(ReferenceData!$BD$78),"",ReferenceData!$BD$78),"")</f>
        <v/>
      </c>
      <c r="BE78" t="str">
        <f ca="1">IFERROR(IF(0=LEN(ReferenceData!$BE$78),"",ReferenceData!$BE$78),"")</f>
        <v/>
      </c>
      <c r="BF78" t="str">
        <f ca="1">IFERROR(IF(0=LEN(ReferenceData!$BF$78),"",ReferenceData!$BF$78),"")</f>
        <v/>
      </c>
      <c r="BG78" t="str">
        <f ca="1">IFERROR(IF(0=LEN(ReferenceData!$BG$78),"",ReferenceData!$BG$78),"")</f>
        <v/>
      </c>
      <c r="BH78" t="str">
        <f ca="1">IFERROR(IF(0=LEN(ReferenceData!$BH$78),"",ReferenceData!$BH$78),"")</f>
        <v/>
      </c>
      <c r="BI78" t="str">
        <f ca="1">IFERROR(IF(0=LEN(ReferenceData!$BI$78),"",ReferenceData!$BI$78),"")</f>
        <v/>
      </c>
      <c r="BJ78" t="str">
        <f ca="1">IFERROR(IF(0=LEN(ReferenceData!$BJ$78),"",ReferenceData!$BJ$78),"")</f>
        <v/>
      </c>
      <c r="BK78" t="str">
        <f ca="1">IFERROR(IF(0=LEN(ReferenceData!$BK$78),"",ReferenceData!$BK$78),"")</f>
        <v/>
      </c>
      <c r="BL78" t="str">
        <f ca="1">IFERROR(IF(0=LEN(ReferenceData!$BL$78),"",ReferenceData!$BL$78),"")</f>
        <v/>
      </c>
      <c r="BM78" t="str">
        <f ca="1">IFERROR(IF(0=LEN(ReferenceData!$BM$78),"",ReferenceData!$BM$78),"")</f>
        <v/>
      </c>
    </row>
    <row r="79" spans="1:65" x14ac:dyDescent="0.25">
      <c r="A79" t="str">
        <f>IFERROR(IF(0=LEN(ReferenceData!$A$79),"",ReferenceData!$A$79),"")</f>
        <v xml:space="preserve">    Tata Motors Ltd</v>
      </c>
      <c r="B79" t="str">
        <f>IFERROR(IF(0=LEN(ReferenceData!$B$79),"",ReferenceData!$B$79),"")</f>
        <v>TTMT IN Equity</v>
      </c>
      <c r="C79" t="str">
        <f>IFERROR(IF(0=LEN(ReferenceData!$C$79),"",ReferenceData!$C$79),"")</f>
        <v>EZ009</v>
      </c>
      <c r="D79" t="str">
        <f>IFERROR(IF(0=LEN(ReferenceData!$D$79),"",ReferenceData!$D$79),"")</f>
        <v>BEST_EST_PE_CUR_YR</v>
      </c>
      <c r="E79" t="str">
        <f>IFERROR(IF(0=LEN(ReferenceData!$E$79),"",ReferenceData!$E$79),"")</f>
        <v>Dynamic</v>
      </c>
      <c r="F79">
        <f ca="1">IFERROR(IF(0=LEN(ReferenceData!$F$79),"",ReferenceData!$F$79),"")</f>
        <v>780.82901549999997</v>
      </c>
      <c r="G79">
        <f ca="1">IFERROR(IF(0=LEN(ReferenceData!$G$79),"",ReferenceData!$G$79),"")</f>
        <v>19.487700289999999</v>
      </c>
      <c r="H79">
        <f ca="1">IFERROR(IF(0=LEN(ReferenceData!$H$79),"",ReferenceData!$H$79),"")</f>
        <v>9.2483876299999999</v>
      </c>
      <c r="I79">
        <f ca="1">IFERROR(IF(0=LEN(ReferenceData!$I$79),"",ReferenceData!$I$79),"")</f>
        <v>8.5947722849999995</v>
      </c>
      <c r="J79">
        <f ca="1">IFERROR(IF(0=LEN(ReferenceData!$J$79),"",ReferenceData!$J$79),"")</f>
        <v>8.2164404219999998</v>
      </c>
      <c r="K79">
        <f ca="1">IFERROR(IF(0=LEN(ReferenceData!$K$79),"",ReferenceData!$K$79),"")</f>
        <v>9.4583643609999992</v>
      </c>
      <c r="L79">
        <f ca="1">IFERROR(IF(0=LEN(ReferenceData!$L$79),"",ReferenceData!$L$79),"")</f>
        <v>8.8996763750000003</v>
      </c>
      <c r="M79">
        <f ca="1">IFERROR(IF(0=LEN(ReferenceData!$M$79),"",ReferenceData!$M$79),"")</f>
        <v>8.2900511720000001</v>
      </c>
      <c r="N79">
        <f ca="1">IFERROR(IF(0=LEN(ReferenceData!$N$79),"",ReferenceData!$N$79),"")</f>
        <v>8.4777070059999993</v>
      </c>
      <c r="O79">
        <f ca="1">IFERROR(IF(0=LEN(ReferenceData!$O$79),"",ReferenceData!$O$79),"")</f>
        <v>7.3983510450000001</v>
      </c>
      <c r="P79">
        <f ca="1">IFERROR(IF(0=LEN(ReferenceData!$P$79),"",ReferenceData!$P$79),"")</f>
        <v>7.9258172550000001</v>
      </c>
      <c r="Q79">
        <f ca="1">IFERROR(IF(0=LEN(ReferenceData!$Q$79),"",ReferenceData!$Q$79),"")</f>
        <v>7.3117337999999998</v>
      </c>
      <c r="R79">
        <f ca="1">IFERROR(IF(0=LEN(ReferenceData!$R$79),"",ReferenceData!$R$79),"")</f>
        <v>9.5151365989999999</v>
      </c>
      <c r="S79">
        <f ca="1">IFERROR(IF(0=LEN(ReferenceData!$S$79),"",ReferenceData!$S$79),"")</f>
        <v>4.2389773589999997</v>
      </c>
      <c r="T79">
        <f ca="1">IFERROR(IF(0=LEN(ReferenceData!$T$79),"",ReferenceData!$T$79),"")</f>
        <v>3.2246220299999999</v>
      </c>
      <c r="U79">
        <f ca="1">IFERROR(IF(0=LEN(ReferenceData!$U$79),"",ReferenceData!$U$79),"")</f>
        <v>4.7393701220000004</v>
      </c>
      <c r="V79">
        <f ca="1">IFERROR(IF(0=LEN(ReferenceData!$V$79),"",ReferenceData!$V$79),"")</f>
        <v>4.7843318469999998</v>
      </c>
      <c r="W79">
        <f ca="1">IFERROR(IF(0=LEN(ReferenceData!$W$79),"",ReferenceData!$W$79),"")</f>
        <v>4.3091160430000004</v>
      </c>
      <c r="X79">
        <f ca="1">IFERROR(IF(0=LEN(ReferenceData!$X$79),"",ReferenceData!$X$79),"")</f>
        <v>4.3665071559999999</v>
      </c>
      <c r="Y79" t="str">
        <f ca="1">IFERROR(IF(0=LEN(ReferenceData!$Y$79),"",ReferenceData!$Y$79),"")</f>
        <v/>
      </c>
      <c r="Z79" t="str">
        <f ca="1">IFERROR(IF(0=LEN(ReferenceData!$Z$79),"",ReferenceData!$Z$79),"")</f>
        <v/>
      </c>
      <c r="AA79" t="str">
        <f ca="1">IFERROR(IF(0=LEN(ReferenceData!$AA$79),"",ReferenceData!$AA$79),"")</f>
        <v/>
      </c>
      <c r="AB79" t="str">
        <f ca="1">IFERROR(IF(0=LEN(ReferenceData!$AB$79),"",ReferenceData!$AB$79),"")</f>
        <v/>
      </c>
      <c r="AC79" t="str">
        <f ca="1">IFERROR(IF(0=LEN(ReferenceData!$AC$79),"",ReferenceData!$AC$79),"")</f>
        <v/>
      </c>
      <c r="AD79" t="str">
        <f ca="1">IFERROR(IF(0=LEN(ReferenceData!$AD$79),"",ReferenceData!$AD$79),"")</f>
        <v/>
      </c>
      <c r="AE79" t="str">
        <f ca="1">IFERROR(IF(0=LEN(ReferenceData!$AE$79),"",ReferenceData!$AE$79),"")</f>
        <v/>
      </c>
      <c r="AF79" t="str">
        <f ca="1">IFERROR(IF(0=LEN(ReferenceData!$AF$79),"",ReferenceData!$AF$79),"")</f>
        <v/>
      </c>
      <c r="AG79" t="str">
        <f ca="1">IFERROR(IF(0=LEN(ReferenceData!$AG$79),"",ReferenceData!$AG$79),"")</f>
        <v/>
      </c>
      <c r="AH79" t="str">
        <f ca="1">IFERROR(IF(0=LEN(ReferenceData!$AH$79),"",ReferenceData!$AH$79),"")</f>
        <v/>
      </c>
      <c r="AI79" t="str">
        <f ca="1">IFERROR(IF(0=LEN(ReferenceData!$AI$79),"",ReferenceData!$AI$79),"")</f>
        <v/>
      </c>
      <c r="AJ79" t="str">
        <f ca="1">IFERROR(IF(0=LEN(ReferenceData!$AJ$79),"",ReferenceData!$AJ$79),"")</f>
        <v/>
      </c>
      <c r="AK79" t="str">
        <f ca="1">IFERROR(IF(0=LEN(ReferenceData!$AK$79),"",ReferenceData!$AK$79),"")</f>
        <v/>
      </c>
      <c r="AL79" t="str">
        <f ca="1">IFERROR(IF(0=LEN(ReferenceData!$AL$79),"",ReferenceData!$AL$79),"")</f>
        <v/>
      </c>
      <c r="AM79" t="str">
        <f ca="1">IFERROR(IF(0=LEN(ReferenceData!$AM$79),"",ReferenceData!$AM$79),"")</f>
        <v/>
      </c>
      <c r="AN79" t="str">
        <f ca="1">IFERROR(IF(0=LEN(ReferenceData!$AN$79),"",ReferenceData!$AN$79),"")</f>
        <v/>
      </c>
      <c r="AO79" t="str">
        <f ca="1">IFERROR(IF(0=LEN(ReferenceData!$AO$79),"",ReferenceData!$AO$79),"")</f>
        <v/>
      </c>
      <c r="AP79" t="str">
        <f ca="1">IFERROR(IF(0=LEN(ReferenceData!$AP$79),"",ReferenceData!$AP$79),"")</f>
        <v/>
      </c>
      <c r="AQ79" t="str">
        <f ca="1">IFERROR(IF(0=LEN(ReferenceData!$AQ$79),"",ReferenceData!$AQ$79),"")</f>
        <v/>
      </c>
      <c r="AR79" t="str">
        <f ca="1">IFERROR(IF(0=LEN(ReferenceData!$AR$79),"",ReferenceData!$AR$79),"")</f>
        <v/>
      </c>
      <c r="AS79" t="str">
        <f ca="1">IFERROR(IF(0=LEN(ReferenceData!$AS$79),"",ReferenceData!$AS$79),"")</f>
        <v/>
      </c>
      <c r="AT79" t="str">
        <f ca="1">IFERROR(IF(0=LEN(ReferenceData!$AT$79),"",ReferenceData!$AT$79),"")</f>
        <v/>
      </c>
      <c r="AU79" t="str">
        <f ca="1">IFERROR(IF(0=LEN(ReferenceData!$AU$79),"",ReferenceData!$AU$79),"")</f>
        <v/>
      </c>
      <c r="AV79" t="str">
        <f ca="1">IFERROR(IF(0=LEN(ReferenceData!$AV$79),"",ReferenceData!$AV$79),"")</f>
        <v/>
      </c>
      <c r="AW79" t="str">
        <f ca="1">IFERROR(IF(0=LEN(ReferenceData!$AW$79),"",ReferenceData!$AW$79),"")</f>
        <v/>
      </c>
      <c r="AX79" t="str">
        <f ca="1">IFERROR(IF(0=LEN(ReferenceData!$AX$79),"",ReferenceData!$AX$79),"")</f>
        <v/>
      </c>
      <c r="AY79" t="str">
        <f ca="1">IFERROR(IF(0=LEN(ReferenceData!$AY$79),"",ReferenceData!$AY$79),"")</f>
        <v/>
      </c>
      <c r="AZ79" t="str">
        <f ca="1">IFERROR(IF(0=LEN(ReferenceData!$AZ$79),"",ReferenceData!$AZ$79),"")</f>
        <v/>
      </c>
      <c r="BA79" t="str">
        <f ca="1">IFERROR(IF(0=LEN(ReferenceData!$BA$79),"",ReferenceData!$BA$79),"")</f>
        <v/>
      </c>
      <c r="BB79" t="str">
        <f ca="1">IFERROR(IF(0=LEN(ReferenceData!$BB$79),"",ReferenceData!$BB$79),"")</f>
        <v/>
      </c>
      <c r="BC79" t="str">
        <f ca="1">IFERROR(IF(0=LEN(ReferenceData!$BC$79),"",ReferenceData!$BC$79),"")</f>
        <v/>
      </c>
      <c r="BD79" t="str">
        <f ca="1">IFERROR(IF(0=LEN(ReferenceData!$BD$79),"",ReferenceData!$BD$79),"")</f>
        <v/>
      </c>
      <c r="BE79" t="str">
        <f ca="1">IFERROR(IF(0=LEN(ReferenceData!$BE$79),"",ReferenceData!$BE$79),"")</f>
        <v/>
      </c>
      <c r="BF79" t="str">
        <f ca="1">IFERROR(IF(0=LEN(ReferenceData!$BF$79),"",ReferenceData!$BF$79),"")</f>
        <v/>
      </c>
      <c r="BG79" t="str">
        <f ca="1">IFERROR(IF(0=LEN(ReferenceData!$BG$79),"",ReferenceData!$BG$79),"")</f>
        <v/>
      </c>
      <c r="BH79" t="str">
        <f ca="1">IFERROR(IF(0=LEN(ReferenceData!$BH$79),"",ReferenceData!$BH$79),"")</f>
        <v/>
      </c>
      <c r="BI79" t="str">
        <f ca="1">IFERROR(IF(0=LEN(ReferenceData!$BI$79),"",ReferenceData!$BI$79),"")</f>
        <v/>
      </c>
      <c r="BJ79" t="str">
        <f ca="1">IFERROR(IF(0=LEN(ReferenceData!$BJ$79),"",ReferenceData!$BJ$79),"")</f>
        <v/>
      </c>
      <c r="BK79" t="str">
        <f ca="1">IFERROR(IF(0=LEN(ReferenceData!$BK$79),"",ReferenceData!$BK$79),"")</f>
        <v/>
      </c>
      <c r="BL79" t="str">
        <f ca="1">IFERROR(IF(0=LEN(ReferenceData!$BL$79),"",ReferenceData!$BL$79),"")</f>
        <v/>
      </c>
      <c r="BM79" t="str">
        <f ca="1">IFERROR(IF(0=LEN(ReferenceData!$BM$79),"",ReferenceData!$BM$79),"")</f>
        <v/>
      </c>
    </row>
    <row r="80" spans="1:65" x14ac:dyDescent="0.25">
      <c r="A80" t="str">
        <f>IFERROR(IF(0=LEN(ReferenceData!$A$80),"",ReferenceData!$A$80),"")</f>
        <v xml:space="preserve">    Tesla Inc</v>
      </c>
      <c r="B80" t="str">
        <f>IFERROR(IF(0=LEN(ReferenceData!$B$80),"",ReferenceData!$B$80),"")</f>
        <v>TSLA US Equity</v>
      </c>
      <c r="C80" t="str">
        <f>IFERROR(IF(0=LEN(ReferenceData!$C$80),"",ReferenceData!$C$80),"")</f>
        <v>EZ009</v>
      </c>
      <c r="D80" t="str">
        <f>IFERROR(IF(0=LEN(ReferenceData!$D$80),"",ReferenceData!$D$80),"")</f>
        <v>BEST_EST_PE_CUR_YR</v>
      </c>
      <c r="E80" t="str">
        <f>IFERROR(IF(0=LEN(ReferenceData!$E$80),"",ReferenceData!$E$80),"")</f>
        <v>Dynamic</v>
      </c>
      <c r="F80">
        <f ca="1">IFERROR(IF(0=LEN(ReferenceData!$F$80),"",ReferenceData!$F$80),"")</f>
        <v>55.154923840000002</v>
      </c>
      <c r="G80">
        <f ca="1">IFERROR(IF(0=LEN(ReferenceData!$G$80),"",ReferenceData!$G$80),"")</f>
        <v>50.129280919999999</v>
      </c>
      <c r="H80">
        <f ca="1">IFERROR(IF(0=LEN(ReferenceData!$H$80),"",ReferenceData!$H$80),"")</f>
        <v>85.456885020000001</v>
      </c>
      <c r="I80">
        <f ca="1">IFERROR(IF(0=LEN(ReferenceData!$I$80),"",ReferenceData!$I$80),"")</f>
        <v>158.3014666</v>
      </c>
      <c r="J80">
        <f ca="1">IFERROR(IF(0=LEN(ReferenceData!$J$80),"",ReferenceData!$J$80),"")</f>
        <v>123.6902903</v>
      </c>
      <c r="K80">
        <f ca="1">IFERROR(IF(0=LEN(ReferenceData!$K$80),"",ReferenceData!$K$80),"")</f>
        <v>72.364361279999997</v>
      </c>
      <c r="L80">
        <f ca="1">IFERROR(IF(0=LEN(ReferenceData!$L$80),"",ReferenceData!$L$80),"")</f>
        <v>52.543753510000002</v>
      </c>
      <c r="M80">
        <f ca="1">IFERROR(IF(0=LEN(ReferenceData!$M$80),"",ReferenceData!$M$80),"")</f>
        <v>66.243689720000006</v>
      </c>
      <c r="N80">
        <f ca="1">IFERROR(IF(0=LEN(ReferenceData!$N$80),"",ReferenceData!$N$80),"")</f>
        <v>35.91017119</v>
      </c>
      <c r="O80">
        <f ca="1">IFERROR(IF(0=LEN(ReferenceData!$O$80),"",ReferenceData!$O$80),"")</f>
        <v>34.909988560000002</v>
      </c>
      <c r="P80">
        <f ca="1">IFERROR(IF(0=LEN(ReferenceData!$P$80),"",ReferenceData!$P$80),"")</f>
        <v>21.766688559999999</v>
      </c>
      <c r="Q80">
        <f ca="1">IFERROR(IF(0=LEN(ReferenceData!$Q$80),"",ReferenceData!$Q$80),"")</f>
        <v>18.977800349999999</v>
      </c>
      <c r="R80">
        <f ca="1">IFERROR(IF(0=LEN(ReferenceData!$R$80),"",ReferenceData!$R$80),"")</f>
        <v>24.788727260000002</v>
      </c>
      <c r="S80">
        <f ca="1">IFERROR(IF(0=LEN(ReferenceData!$S$80),"",ReferenceData!$S$80),"")</f>
        <v>21.61994941</v>
      </c>
      <c r="T80">
        <f ca="1">IFERROR(IF(0=LEN(ReferenceData!$T$80),"",ReferenceData!$T$80),"")</f>
        <v>22.36472646</v>
      </c>
      <c r="U80">
        <f ca="1">IFERROR(IF(0=LEN(ReferenceData!$U$80),"",ReferenceData!$U$80),"")</f>
        <v>21.359508160000001</v>
      </c>
      <c r="V80">
        <f ca="1">IFERROR(IF(0=LEN(ReferenceData!$V$80),"",ReferenceData!$V$80),"")</f>
        <v>13.8198446</v>
      </c>
      <c r="W80">
        <f ca="1">IFERROR(IF(0=LEN(ReferenceData!$W$80),"",ReferenceData!$W$80),"")</f>
        <v>14.13210743</v>
      </c>
      <c r="X80">
        <f ca="1">IFERROR(IF(0=LEN(ReferenceData!$X$80),"",ReferenceData!$X$80),"")</f>
        <v>16.49289066</v>
      </c>
      <c r="Y80">
        <f ca="1">IFERROR(IF(0=LEN(ReferenceData!$Y$80),"",ReferenceData!$Y$80),"")</f>
        <v>17.154810229999999</v>
      </c>
      <c r="Z80">
        <f ca="1">IFERROR(IF(0=LEN(ReferenceData!$Z$80),"",ReferenceData!$Z$80),"")</f>
        <v>14.527598149999999</v>
      </c>
      <c r="AA80">
        <f ca="1">IFERROR(IF(0=LEN(ReferenceData!$AA$80),"",ReferenceData!$AA$80),"")</f>
        <v>10.00984867</v>
      </c>
      <c r="AB80">
        <f ca="1">IFERROR(IF(0=LEN(ReferenceData!$AB$80),"",ReferenceData!$AB$80),"")</f>
        <v>19.533127960000002</v>
      </c>
      <c r="AC80">
        <f ca="1">IFERROR(IF(0=LEN(ReferenceData!$AC$80),"",ReferenceData!$AC$80),"")</f>
        <v>15.83297116</v>
      </c>
      <c r="AD80">
        <f ca="1">IFERROR(IF(0=LEN(ReferenceData!$AD$80),"",ReferenceData!$AD$80),"")</f>
        <v>4.638626328</v>
      </c>
      <c r="AE80">
        <f ca="1">IFERROR(IF(0=LEN(ReferenceData!$AE$80),"",ReferenceData!$AE$80),"")</f>
        <v>4.3324369359999997</v>
      </c>
      <c r="AF80">
        <f ca="1">IFERROR(IF(0=LEN(ReferenceData!$AF$80),"",ReferenceData!$AF$80),"")</f>
        <v>2.3919391829999999</v>
      </c>
      <c r="AG80">
        <f ca="1">IFERROR(IF(0=LEN(ReferenceData!$AG$80),"",ReferenceData!$AG$80),"")</f>
        <v>2.5587253799999998</v>
      </c>
      <c r="AH80" t="str">
        <f ca="1">IFERROR(IF(0=LEN(ReferenceData!$AH$80),"",ReferenceData!$AH$80),"")</f>
        <v/>
      </c>
      <c r="AI80" t="str">
        <f ca="1">IFERROR(IF(0=LEN(ReferenceData!$AI$80),"",ReferenceData!$AI$80),"")</f>
        <v/>
      </c>
      <c r="AJ80" t="str">
        <f ca="1">IFERROR(IF(0=LEN(ReferenceData!$AJ$80),"",ReferenceData!$AJ$80),"")</f>
        <v/>
      </c>
      <c r="AK80" t="str">
        <f ca="1">IFERROR(IF(0=LEN(ReferenceData!$AK$80),"",ReferenceData!$AK$80),"")</f>
        <v/>
      </c>
      <c r="AL80" t="str">
        <f ca="1">IFERROR(IF(0=LEN(ReferenceData!$AL$80),"",ReferenceData!$AL$80),"")</f>
        <v/>
      </c>
      <c r="AM80" t="str">
        <f ca="1">IFERROR(IF(0=LEN(ReferenceData!$AM$80),"",ReferenceData!$AM$80),"")</f>
        <v/>
      </c>
      <c r="AN80" t="str">
        <f ca="1">IFERROR(IF(0=LEN(ReferenceData!$AN$80),"",ReferenceData!$AN$80),"")</f>
        <v/>
      </c>
      <c r="AO80" t="str">
        <f ca="1">IFERROR(IF(0=LEN(ReferenceData!$AO$80),"",ReferenceData!$AO$80),"")</f>
        <v/>
      </c>
      <c r="AP80" t="str">
        <f ca="1">IFERROR(IF(0=LEN(ReferenceData!$AP$80),"",ReferenceData!$AP$80),"")</f>
        <v/>
      </c>
      <c r="AQ80" t="str">
        <f ca="1">IFERROR(IF(0=LEN(ReferenceData!$AQ$80),"",ReferenceData!$AQ$80),"")</f>
        <v/>
      </c>
      <c r="AR80" t="str">
        <f ca="1">IFERROR(IF(0=LEN(ReferenceData!$AR$80),"",ReferenceData!$AR$80),"")</f>
        <v/>
      </c>
      <c r="AS80" t="str">
        <f ca="1">IFERROR(IF(0=LEN(ReferenceData!$AS$80),"",ReferenceData!$AS$80),"")</f>
        <v/>
      </c>
      <c r="AT80" t="str">
        <f ca="1">IFERROR(IF(0=LEN(ReferenceData!$AT$80),"",ReferenceData!$AT$80),"")</f>
        <v/>
      </c>
      <c r="AU80" t="str">
        <f ca="1">IFERROR(IF(0=LEN(ReferenceData!$AU$80),"",ReferenceData!$AU$80),"")</f>
        <v/>
      </c>
      <c r="AV80" t="str">
        <f ca="1">IFERROR(IF(0=LEN(ReferenceData!$AV$80),"",ReferenceData!$AV$80),"")</f>
        <v/>
      </c>
      <c r="AW80" t="str">
        <f ca="1">IFERROR(IF(0=LEN(ReferenceData!$AW$80),"",ReferenceData!$AW$80),"")</f>
        <v/>
      </c>
      <c r="AX80" t="str">
        <f ca="1">IFERROR(IF(0=LEN(ReferenceData!$AX$80),"",ReferenceData!$AX$80),"")</f>
        <v/>
      </c>
      <c r="AY80" t="str">
        <f ca="1">IFERROR(IF(0=LEN(ReferenceData!$AY$80),"",ReferenceData!$AY$80),"")</f>
        <v/>
      </c>
      <c r="AZ80" t="str">
        <f ca="1">IFERROR(IF(0=LEN(ReferenceData!$AZ$80),"",ReferenceData!$AZ$80),"")</f>
        <v/>
      </c>
      <c r="BA80" t="str">
        <f ca="1">IFERROR(IF(0=LEN(ReferenceData!$BA$80),"",ReferenceData!$BA$80),"")</f>
        <v/>
      </c>
      <c r="BB80" t="str">
        <f ca="1">IFERROR(IF(0=LEN(ReferenceData!$BB$80),"",ReferenceData!$BB$80),"")</f>
        <v/>
      </c>
      <c r="BC80" t="str">
        <f ca="1">IFERROR(IF(0=LEN(ReferenceData!$BC$80),"",ReferenceData!$BC$80),"")</f>
        <v/>
      </c>
      <c r="BD80" t="str">
        <f ca="1">IFERROR(IF(0=LEN(ReferenceData!$BD$80),"",ReferenceData!$BD$80),"")</f>
        <v/>
      </c>
      <c r="BE80" t="str">
        <f ca="1">IFERROR(IF(0=LEN(ReferenceData!$BE$80),"",ReferenceData!$BE$80),"")</f>
        <v/>
      </c>
      <c r="BF80" t="str">
        <f ca="1">IFERROR(IF(0=LEN(ReferenceData!$BF$80),"",ReferenceData!$BF$80),"")</f>
        <v/>
      </c>
      <c r="BG80" t="str">
        <f ca="1">IFERROR(IF(0=LEN(ReferenceData!$BG$80),"",ReferenceData!$BG$80),"")</f>
        <v/>
      </c>
      <c r="BH80" t="str">
        <f ca="1">IFERROR(IF(0=LEN(ReferenceData!$BH$80),"",ReferenceData!$BH$80),"")</f>
        <v/>
      </c>
      <c r="BI80" t="str">
        <f ca="1">IFERROR(IF(0=LEN(ReferenceData!$BI$80),"",ReferenceData!$BI$80),"")</f>
        <v/>
      </c>
      <c r="BJ80" t="str">
        <f ca="1">IFERROR(IF(0=LEN(ReferenceData!$BJ$80),"",ReferenceData!$BJ$80),"")</f>
        <v/>
      </c>
      <c r="BK80" t="str">
        <f ca="1">IFERROR(IF(0=LEN(ReferenceData!$BK$80),"",ReferenceData!$BK$80),"")</f>
        <v/>
      </c>
      <c r="BL80" t="str">
        <f ca="1">IFERROR(IF(0=LEN(ReferenceData!$BL$80),"",ReferenceData!$BL$80),"")</f>
        <v/>
      </c>
      <c r="BM80" t="str">
        <f ca="1">IFERROR(IF(0=LEN(ReferenceData!$BM$80),"",ReferenceData!$BM$80),"")</f>
        <v/>
      </c>
    </row>
    <row r="81" spans="1:65" x14ac:dyDescent="0.25">
      <c r="A81" t="str">
        <f>IFERROR(IF(0=LEN(ReferenceData!$A$81),"",ReferenceData!$A$81),"")</f>
        <v xml:space="preserve">    Tianjin Faw Xiali Automobile Co Ltd</v>
      </c>
      <c r="B81" t="str">
        <f>IFERROR(IF(0=LEN(ReferenceData!$B$81),"",ReferenceData!$B$81),"")</f>
        <v>000927 CH Equity</v>
      </c>
      <c r="C81" t="str">
        <f>IFERROR(IF(0=LEN(ReferenceData!$C$81),"",ReferenceData!$C$81),"")</f>
        <v>EZ009</v>
      </c>
      <c r="D81" t="str">
        <f>IFERROR(IF(0=LEN(ReferenceData!$D$81),"",ReferenceData!$D$81),"")</f>
        <v>BEST_EST_PE_CUR_YR</v>
      </c>
      <c r="E81" t="str">
        <f>IFERROR(IF(0=LEN(ReferenceData!$E$81),"",ReferenceData!$E$81),"")</f>
        <v>Dynamic</v>
      </c>
      <c r="F81" t="str">
        <f ca="1">IFERROR(IF(0=LEN(ReferenceData!$F$81),"",ReferenceData!$F$81),"")</f>
        <v/>
      </c>
      <c r="G81" t="str">
        <f ca="1">IFERROR(IF(0=LEN(ReferenceData!$G$81),"",ReferenceData!$G$81),"")</f>
        <v/>
      </c>
      <c r="H81" t="str">
        <f ca="1">IFERROR(IF(0=LEN(ReferenceData!$H$81),"",ReferenceData!$H$81),"")</f>
        <v/>
      </c>
      <c r="I81" t="str">
        <f ca="1">IFERROR(IF(0=LEN(ReferenceData!$I$81),"",ReferenceData!$I$81),"")</f>
        <v/>
      </c>
      <c r="J81" t="str">
        <f ca="1">IFERROR(IF(0=LEN(ReferenceData!$J$81),"",ReferenceData!$J$81),"")</f>
        <v/>
      </c>
      <c r="K81" t="str">
        <f ca="1">IFERROR(IF(0=LEN(ReferenceData!$K$81),"",ReferenceData!$K$81),"")</f>
        <v/>
      </c>
      <c r="L81" t="str">
        <f ca="1">IFERROR(IF(0=LEN(ReferenceData!$L$81),"",ReferenceData!$L$81),"")</f>
        <v/>
      </c>
      <c r="M81" t="str">
        <f ca="1">IFERROR(IF(0=LEN(ReferenceData!$M$81),"",ReferenceData!$M$81),"")</f>
        <v/>
      </c>
      <c r="N81" t="str">
        <f ca="1">IFERROR(IF(0=LEN(ReferenceData!$N$81),"",ReferenceData!$N$81),"")</f>
        <v/>
      </c>
      <c r="O81" t="str">
        <f ca="1">IFERROR(IF(0=LEN(ReferenceData!$O$81),"",ReferenceData!$O$81),"")</f>
        <v/>
      </c>
      <c r="P81" t="str">
        <f ca="1">IFERROR(IF(0=LEN(ReferenceData!$P$81),"",ReferenceData!$P$81),"")</f>
        <v/>
      </c>
      <c r="Q81" t="str">
        <f ca="1">IFERROR(IF(0=LEN(ReferenceData!$Q$81),"",ReferenceData!$Q$81),"")</f>
        <v/>
      </c>
      <c r="R81" t="str">
        <f ca="1">IFERROR(IF(0=LEN(ReferenceData!$R$81),"",ReferenceData!$R$81),"")</f>
        <v/>
      </c>
      <c r="S81" t="str">
        <f ca="1">IFERROR(IF(0=LEN(ReferenceData!$S$81),"",ReferenceData!$S$81),"")</f>
        <v/>
      </c>
      <c r="T81" t="str">
        <f ca="1">IFERROR(IF(0=LEN(ReferenceData!$T$81),"",ReferenceData!$T$81),"")</f>
        <v/>
      </c>
      <c r="U81" t="str">
        <f ca="1">IFERROR(IF(0=LEN(ReferenceData!$U$81),"",ReferenceData!$U$81),"")</f>
        <v/>
      </c>
      <c r="V81" t="str">
        <f ca="1">IFERROR(IF(0=LEN(ReferenceData!$V$81),"",ReferenceData!$V$81),"")</f>
        <v/>
      </c>
      <c r="W81" t="str">
        <f ca="1">IFERROR(IF(0=LEN(ReferenceData!$W$81),"",ReferenceData!$W$81),"")</f>
        <v/>
      </c>
      <c r="X81" t="str">
        <f ca="1">IFERROR(IF(0=LEN(ReferenceData!$X$81),"",ReferenceData!$X$81),"")</f>
        <v/>
      </c>
      <c r="Y81" t="str">
        <f ca="1">IFERROR(IF(0=LEN(ReferenceData!$Y$81),"",ReferenceData!$Y$81),"")</f>
        <v/>
      </c>
      <c r="Z81" t="str">
        <f ca="1">IFERROR(IF(0=LEN(ReferenceData!$Z$81),"",ReferenceData!$Z$81),"")</f>
        <v/>
      </c>
      <c r="AA81" t="str">
        <f ca="1">IFERROR(IF(0=LEN(ReferenceData!$AA$81),"",ReferenceData!$AA$81),"")</f>
        <v/>
      </c>
      <c r="AB81" t="str">
        <f ca="1">IFERROR(IF(0=LEN(ReferenceData!$AB$81),"",ReferenceData!$AB$81),"")</f>
        <v/>
      </c>
      <c r="AC81" t="str">
        <f ca="1">IFERROR(IF(0=LEN(ReferenceData!$AC$81),"",ReferenceData!$AC$81),"")</f>
        <v/>
      </c>
      <c r="AD81" t="str">
        <f ca="1">IFERROR(IF(0=LEN(ReferenceData!$AD$81),"",ReferenceData!$AD$81),"")</f>
        <v/>
      </c>
      <c r="AE81" t="str">
        <f ca="1">IFERROR(IF(0=LEN(ReferenceData!$AE$81),"",ReferenceData!$AE$81),"")</f>
        <v/>
      </c>
      <c r="AF81" t="str">
        <f ca="1">IFERROR(IF(0=LEN(ReferenceData!$AF$81),"",ReferenceData!$AF$81),"")</f>
        <v/>
      </c>
      <c r="AG81" t="str">
        <f ca="1">IFERROR(IF(0=LEN(ReferenceData!$AG$81),"",ReferenceData!$AG$81),"")</f>
        <v/>
      </c>
      <c r="AH81" t="str">
        <f ca="1">IFERROR(IF(0=LEN(ReferenceData!$AH$81),"",ReferenceData!$AH$81),"")</f>
        <v/>
      </c>
      <c r="AI81" t="str">
        <f ca="1">IFERROR(IF(0=LEN(ReferenceData!$AI$81),"",ReferenceData!$AI$81),"")</f>
        <v/>
      </c>
      <c r="AJ81" t="str">
        <f ca="1">IFERROR(IF(0=LEN(ReferenceData!$AJ$81),"",ReferenceData!$AJ$81),"")</f>
        <v/>
      </c>
      <c r="AK81" t="str">
        <f ca="1">IFERROR(IF(0=LEN(ReferenceData!$AK$81),"",ReferenceData!$AK$81),"")</f>
        <v/>
      </c>
      <c r="AL81" t="str">
        <f ca="1">IFERROR(IF(0=LEN(ReferenceData!$AL$81),"",ReferenceData!$AL$81),"")</f>
        <v/>
      </c>
      <c r="AM81" t="str">
        <f ca="1">IFERROR(IF(0=LEN(ReferenceData!$AM$81),"",ReferenceData!$AM$81),"")</f>
        <v/>
      </c>
      <c r="AN81" t="str">
        <f ca="1">IFERROR(IF(0=LEN(ReferenceData!$AN$81),"",ReferenceData!$AN$81),"")</f>
        <v/>
      </c>
      <c r="AO81" t="str">
        <f ca="1">IFERROR(IF(0=LEN(ReferenceData!$AO$81),"",ReferenceData!$AO$81),"")</f>
        <v/>
      </c>
      <c r="AP81" t="str">
        <f ca="1">IFERROR(IF(0=LEN(ReferenceData!$AP$81),"",ReferenceData!$AP$81),"")</f>
        <v/>
      </c>
      <c r="AQ81" t="str">
        <f ca="1">IFERROR(IF(0=LEN(ReferenceData!$AQ$81),"",ReferenceData!$AQ$81),"")</f>
        <v/>
      </c>
      <c r="AR81" t="str">
        <f ca="1">IFERROR(IF(0=LEN(ReferenceData!$AR$81),"",ReferenceData!$AR$81),"")</f>
        <v/>
      </c>
      <c r="AS81" t="str">
        <f ca="1">IFERROR(IF(0=LEN(ReferenceData!$AS$81),"",ReferenceData!$AS$81),"")</f>
        <v/>
      </c>
      <c r="AT81" t="str">
        <f ca="1">IFERROR(IF(0=LEN(ReferenceData!$AT$81),"",ReferenceData!$AT$81),"")</f>
        <v/>
      </c>
      <c r="AU81" t="str">
        <f ca="1">IFERROR(IF(0=LEN(ReferenceData!$AU$81),"",ReferenceData!$AU$81),"")</f>
        <v/>
      </c>
      <c r="AV81" t="str">
        <f ca="1">IFERROR(IF(0=LEN(ReferenceData!$AV$81),"",ReferenceData!$AV$81),"")</f>
        <v/>
      </c>
      <c r="AW81" t="str">
        <f ca="1">IFERROR(IF(0=LEN(ReferenceData!$AW$81),"",ReferenceData!$AW$81),"")</f>
        <v/>
      </c>
      <c r="AX81" t="str">
        <f ca="1">IFERROR(IF(0=LEN(ReferenceData!$AX$81),"",ReferenceData!$AX$81),"")</f>
        <v/>
      </c>
      <c r="AY81" t="str">
        <f ca="1">IFERROR(IF(0=LEN(ReferenceData!$AY$81),"",ReferenceData!$AY$81),"")</f>
        <v/>
      </c>
      <c r="AZ81" t="str">
        <f ca="1">IFERROR(IF(0=LEN(ReferenceData!$AZ$81),"",ReferenceData!$AZ$81),"")</f>
        <v/>
      </c>
      <c r="BA81" t="str">
        <f ca="1">IFERROR(IF(0=LEN(ReferenceData!$BA$81),"",ReferenceData!$BA$81),"")</f>
        <v/>
      </c>
      <c r="BB81" t="str">
        <f ca="1">IFERROR(IF(0=LEN(ReferenceData!$BB$81),"",ReferenceData!$BB$81),"")</f>
        <v/>
      </c>
      <c r="BC81" t="str">
        <f ca="1">IFERROR(IF(0=LEN(ReferenceData!$BC$81),"",ReferenceData!$BC$81),"")</f>
        <v/>
      </c>
      <c r="BD81" t="str">
        <f ca="1">IFERROR(IF(0=LEN(ReferenceData!$BD$81),"",ReferenceData!$BD$81),"")</f>
        <v/>
      </c>
      <c r="BE81" t="str">
        <f ca="1">IFERROR(IF(0=LEN(ReferenceData!$BE$81),"",ReferenceData!$BE$81),"")</f>
        <v/>
      </c>
      <c r="BF81" t="str">
        <f ca="1">IFERROR(IF(0=LEN(ReferenceData!$BF$81),"",ReferenceData!$BF$81),"")</f>
        <v/>
      </c>
      <c r="BG81" t="str">
        <f ca="1">IFERROR(IF(0=LEN(ReferenceData!$BG$81),"",ReferenceData!$BG$81),"")</f>
        <v/>
      </c>
      <c r="BH81" t="str">
        <f ca="1">IFERROR(IF(0=LEN(ReferenceData!$BH$81),"",ReferenceData!$BH$81),"")</f>
        <v/>
      </c>
      <c r="BI81" t="str">
        <f ca="1">IFERROR(IF(0=LEN(ReferenceData!$BI$81),"",ReferenceData!$BI$81),"")</f>
        <v/>
      </c>
      <c r="BJ81" t="str">
        <f ca="1">IFERROR(IF(0=LEN(ReferenceData!$BJ$81),"",ReferenceData!$BJ$81),"")</f>
        <v/>
      </c>
      <c r="BK81" t="str">
        <f ca="1">IFERROR(IF(0=LEN(ReferenceData!$BK$81),"",ReferenceData!$BK$81),"")</f>
        <v/>
      </c>
      <c r="BL81" t="str">
        <f ca="1">IFERROR(IF(0=LEN(ReferenceData!$BL$81),"",ReferenceData!$BL$81),"")</f>
        <v/>
      </c>
      <c r="BM81" t="str">
        <f ca="1">IFERROR(IF(0=LEN(ReferenceData!$BM$81),"",ReferenceData!$BM$81),"")</f>
        <v/>
      </c>
    </row>
    <row r="82" spans="1:65" x14ac:dyDescent="0.25">
      <c r="A82" t="str">
        <f>IFERROR(IF(0=LEN(ReferenceData!$A$82),"",ReferenceData!$A$82),"")</f>
        <v xml:space="preserve">    Tofas Turk Otomobil Fabrikasi AS</v>
      </c>
      <c r="B82" t="str">
        <f>IFERROR(IF(0=LEN(ReferenceData!$B$82),"",ReferenceData!$B$82),"")</f>
        <v>TOASOTRY EO Equity</v>
      </c>
      <c r="C82" t="str">
        <f>IFERROR(IF(0=LEN(ReferenceData!$C$82),"",ReferenceData!$C$82),"")</f>
        <v>EZ009</v>
      </c>
      <c r="D82" t="str">
        <f>IFERROR(IF(0=LEN(ReferenceData!$D$82),"",ReferenceData!$D$82),"")</f>
        <v>BEST_EST_PE_CUR_YR</v>
      </c>
      <c r="E82" t="str">
        <f>IFERROR(IF(0=LEN(ReferenceData!$E$82),"",ReferenceData!$E$82),"")</f>
        <v>Dynamic</v>
      </c>
      <c r="F82" t="str">
        <f ca="1">IFERROR(IF(0=LEN(ReferenceData!$F$82),"",ReferenceData!$F$82),"")</f>
        <v/>
      </c>
      <c r="G82" t="str">
        <f ca="1">IFERROR(IF(0=LEN(ReferenceData!$G$82),"",ReferenceData!$G$82),"")</f>
        <v/>
      </c>
      <c r="H82" t="str">
        <f ca="1">IFERROR(IF(0=LEN(ReferenceData!$H$82),"",ReferenceData!$H$82),"")</f>
        <v/>
      </c>
      <c r="I82" t="str">
        <f ca="1">IFERROR(IF(0=LEN(ReferenceData!$I$82),"",ReferenceData!$I$82),"")</f>
        <v/>
      </c>
      <c r="J82" t="str">
        <f ca="1">IFERROR(IF(0=LEN(ReferenceData!$J$82),"",ReferenceData!$J$82),"")</f>
        <v/>
      </c>
      <c r="K82" t="str">
        <f ca="1">IFERROR(IF(0=LEN(ReferenceData!$K$82),"",ReferenceData!$K$82),"")</f>
        <v/>
      </c>
      <c r="L82" t="str">
        <f ca="1">IFERROR(IF(0=LEN(ReferenceData!$L$82),"",ReferenceData!$L$82),"")</f>
        <v/>
      </c>
      <c r="M82" t="str">
        <f ca="1">IFERROR(IF(0=LEN(ReferenceData!$M$82),"",ReferenceData!$M$82),"")</f>
        <v/>
      </c>
      <c r="N82" t="str">
        <f ca="1">IFERROR(IF(0=LEN(ReferenceData!$N$82),"",ReferenceData!$N$82),"")</f>
        <v/>
      </c>
      <c r="O82" t="str">
        <f ca="1">IFERROR(IF(0=LEN(ReferenceData!$O$82),"",ReferenceData!$O$82),"")</f>
        <v/>
      </c>
      <c r="P82" t="str">
        <f ca="1">IFERROR(IF(0=LEN(ReferenceData!$P$82),"",ReferenceData!$P$82),"")</f>
        <v/>
      </c>
      <c r="Q82" t="str">
        <f ca="1">IFERROR(IF(0=LEN(ReferenceData!$Q$82),"",ReferenceData!$Q$82),"")</f>
        <v/>
      </c>
      <c r="R82" t="str">
        <f ca="1">IFERROR(IF(0=LEN(ReferenceData!$R$82),"",ReferenceData!$R$82),"")</f>
        <v/>
      </c>
      <c r="S82" t="str">
        <f ca="1">IFERROR(IF(0=LEN(ReferenceData!$S$82),"",ReferenceData!$S$82),"")</f>
        <v/>
      </c>
      <c r="T82" t="str">
        <f ca="1">IFERROR(IF(0=LEN(ReferenceData!$T$82),"",ReferenceData!$T$82),"")</f>
        <v/>
      </c>
      <c r="U82" t="str">
        <f ca="1">IFERROR(IF(0=LEN(ReferenceData!$U$82),"",ReferenceData!$U$82),"")</f>
        <v/>
      </c>
      <c r="V82" t="str">
        <f ca="1">IFERROR(IF(0=LEN(ReferenceData!$V$82),"",ReferenceData!$V$82),"")</f>
        <v/>
      </c>
      <c r="W82" t="str">
        <f ca="1">IFERROR(IF(0=LEN(ReferenceData!$W$82),"",ReferenceData!$W$82),"")</f>
        <v/>
      </c>
      <c r="X82" t="str">
        <f ca="1">IFERROR(IF(0=LEN(ReferenceData!$X$82),"",ReferenceData!$X$82),"")</f>
        <v/>
      </c>
      <c r="Y82" t="str">
        <f ca="1">IFERROR(IF(0=LEN(ReferenceData!$Y$82),"",ReferenceData!$Y$82),"")</f>
        <v/>
      </c>
      <c r="Z82" t="str">
        <f ca="1">IFERROR(IF(0=LEN(ReferenceData!$Z$82),"",ReferenceData!$Z$82),"")</f>
        <v/>
      </c>
      <c r="AA82" t="str">
        <f ca="1">IFERROR(IF(0=LEN(ReferenceData!$AA$82),"",ReferenceData!$AA$82),"")</f>
        <v/>
      </c>
      <c r="AB82" t="str">
        <f ca="1">IFERROR(IF(0=LEN(ReferenceData!$AB$82),"",ReferenceData!$AB$82),"")</f>
        <v/>
      </c>
      <c r="AC82" t="str">
        <f ca="1">IFERROR(IF(0=LEN(ReferenceData!$AC$82),"",ReferenceData!$AC$82),"")</f>
        <v/>
      </c>
      <c r="AD82" t="str">
        <f ca="1">IFERROR(IF(0=LEN(ReferenceData!$AD$82),"",ReferenceData!$AD$82),"")</f>
        <v/>
      </c>
      <c r="AE82" t="str">
        <f ca="1">IFERROR(IF(0=LEN(ReferenceData!$AE$82),"",ReferenceData!$AE$82),"")</f>
        <v/>
      </c>
      <c r="AF82" t="str">
        <f ca="1">IFERROR(IF(0=LEN(ReferenceData!$AF$82),"",ReferenceData!$AF$82),"")</f>
        <v/>
      </c>
      <c r="AG82" t="str">
        <f ca="1">IFERROR(IF(0=LEN(ReferenceData!$AG$82),"",ReferenceData!$AG$82),"")</f>
        <v/>
      </c>
      <c r="AH82" t="str">
        <f ca="1">IFERROR(IF(0=LEN(ReferenceData!$AH$82),"",ReferenceData!$AH$82),"")</f>
        <v/>
      </c>
      <c r="AI82" t="str">
        <f ca="1">IFERROR(IF(0=LEN(ReferenceData!$AI$82),"",ReferenceData!$AI$82),"")</f>
        <v/>
      </c>
      <c r="AJ82" t="str">
        <f ca="1">IFERROR(IF(0=LEN(ReferenceData!$AJ$82),"",ReferenceData!$AJ$82),"")</f>
        <v/>
      </c>
      <c r="AK82" t="str">
        <f ca="1">IFERROR(IF(0=LEN(ReferenceData!$AK$82),"",ReferenceData!$AK$82),"")</f>
        <v/>
      </c>
      <c r="AL82" t="str">
        <f ca="1">IFERROR(IF(0=LEN(ReferenceData!$AL$82),"",ReferenceData!$AL$82),"")</f>
        <v/>
      </c>
      <c r="AM82" t="str">
        <f ca="1">IFERROR(IF(0=LEN(ReferenceData!$AM$82),"",ReferenceData!$AM$82),"")</f>
        <v/>
      </c>
      <c r="AN82" t="str">
        <f ca="1">IFERROR(IF(0=LEN(ReferenceData!$AN$82),"",ReferenceData!$AN$82),"")</f>
        <v/>
      </c>
      <c r="AO82" t="str">
        <f ca="1">IFERROR(IF(0=LEN(ReferenceData!$AO$82),"",ReferenceData!$AO$82),"")</f>
        <v/>
      </c>
      <c r="AP82" t="str">
        <f ca="1">IFERROR(IF(0=LEN(ReferenceData!$AP$82),"",ReferenceData!$AP$82),"")</f>
        <v/>
      </c>
      <c r="AQ82" t="str">
        <f ca="1">IFERROR(IF(0=LEN(ReferenceData!$AQ$82),"",ReferenceData!$AQ$82),"")</f>
        <v/>
      </c>
      <c r="AR82" t="str">
        <f ca="1">IFERROR(IF(0=LEN(ReferenceData!$AR$82),"",ReferenceData!$AR$82),"")</f>
        <v/>
      </c>
      <c r="AS82" t="str">
        <f ca="1">IFERROR(IF(0=LEN(ReferenceData!$AS$82),"",ReferenceData!$AS$82),"")</f>
        <v/>
      </c>
      <c r="AT82" t="str">
        <f ca="1">IFERROR(IF(0=LEN(ReferenceData!$AT$82),"",ReferenceData!$AT$82),"")</f>
        <v/>
      </c>
      <c r="AU82" t="str">
        <f ca="1">IFERROR(IF(0=LEN(ReferenceData!$AU$82),"",ReferenceData!$AU$82),"")</f>
        <v/>
      </c>
      <c r="AV82" t="str">
        <f ca="1">IFERROR(IF(0=LEN(ReferenceData!$AV$82),"",ReferenceData!$AV$82),"")</f>
        <v/>
      </c>
      <c r="AW82" t="str">
        <f ca="1">IFERROR(IF(0=LEN(ReferenceData!$AW$82),"",ReferenceData!$AW$82),"")</f>
        <v/>
      </c>
      <c r="AX82" t="str">
        <f ca="1">IFERROR(IF(0=LEN(ReferenceData!$AX$82),"",ReferenceData!$AX$82),"")</f>
        <v/>
      </c>
      <c r="AY82" t="str">
        <f ca="1">IFERROR(IF(0=LEN(ReferenceData!$AY$82),"",ReferenceData!$AY$82),"")</f>
        <v/>
      </c>
      <c r="AZ82" t="str">
        <f ca="1">IFERROR(IF(0=LEN(ReferenceData!$AZ$82),"",ReferenceData!$AZ$82),"")</f>
        <v/>
      </c>
      <c r="BA82" t="str">
        <f ca="1">IFERROR(IF(0=LEN(ReferenceData!$BA$82),"",ReferenceData!$BA$82),"")</f>
        <v/>
      </c>
      <c r="BB82" t="str">
        <f ca="1">IFERROR(IF(0=LEN(ReferenceData!$BB$82),"",ReferenceData!$BB$82),"")</f>
        <v/>
      </c>
      <c r="BC82" t="str">
        <f ca="1">IFERROR(IF(0=LEN(ReferenceData!$BC$82),"",ReferenceData!$BC$82),"")</f>
        <v/>
      </c>
      <c r="BD82" t="str">
        <f ca="1">IFERROR(IF(0=LEN(ReferenceData!$BD$82),"",ReferenceData!$BD$82),"")</f>
        <v/>
      </c>
      <c r="BE82" t="str">
        <f ca="1">IFERROR(IF(0=LEN(ReferenceData!$BE$82),"",ReferenceData!$BE$82),"")</f>
        <v/>
      </c>
      <c r="BF82" t="str">
        <f ca="1">IFERROR(IF(0=LEN(ReferenceData!$BF$82),"",ReferenceData!$BF$82),"")</f>
        <v/>
      </c>
      <c r="BG82" t="str">
        <f ca="1">IFERROR(IF(0=LEN(ReferenceData!$BG$82),"",ReferenceData!$BG$82),"")</f>
        <v/>
      </c>
      <c r="BH82" t="str">
        <f ca="1">IFERROR(IF(0=LEN(ReferenceData!$BH$82),"",ReferenceData!$BH$82),"")</f>
        <v/>
      </c>
      <c r="BI82" t="str">
        <f ca="1">IFERROR(IF(0=LEN(ReferenceData!$BI$82),"",ReferenceData!$BI$82),"")</f>
        <v/>
      </c>
      <c r="BJ82" t="str">
        <f ca="1">IFERROR(IF(0=LEN(ReferenceData!$BJ$82),"",ReferenceData!$BJ$82),"")</f>
        <v/>
      </c>
      <c r="BK82" t="str">
        <f ca="1">IFERROR(IF(0=LEN(ReferenceData!$BK$82),"",ReferenceData!$BK$82),"")</f>
        <v/>
      </c>
      <c r="BL82" t="str">
        <f ca="1">IFERROR(IF(0=LEN(ReferenceData!$BL$82),"",ReferenceData!$BL$82),"")</f>
        <v/>
      </c>
      <c r="BM82" t="str">
        <f ca="1">IFERROR(IF(0=LEN(ReferenceData!$BM$82),"",ReferenceData!$BM$82),"")</f>
        <v/>
      </c>
    </row>
    <row r="83" spans="1:65" x14ac:dyDescent="0.25">
      <c r="A83" t="str">
        <f>IFERROR(IF(0=LEN(ReferenceData!$A$83),"",ReferenceData!$A$83),"")</f>
        <v xml:space="preserve">    Toyota Motor Corp</v>
      </c>
      <c r="B83" t="str">
        <f>IFERROR(IF(0=LEN(ReferenceData!$B$83),"",ReferenceData!$B$83),"")</f>
        <v>7203 JP Equity</v>
      </c>
      <c r="C83" t="str">
        <f>IFERROR(IF(0=LEN(ReferenceData!$C$83),"",ReferenceData!$C$83),"")</f>
        <v>EZ009</v>
      </c>
      <c r="D83" t="str">
        <f>IFERROR(IF(0=LEN(ReferenceData!$D$83),"",ReferenceData!$D$83),"")</f>
        <v>BEST_EST_PE_CUR_YR</v>
      </c>
      <c r="E83" t="str">
        <f>IFERROR(IF(0=LEN(ReferenceData!$E$83),"",ReferenceData!$E$83),"")</f>
        <v>Dynamic</v>
      </c>
      <c r="F83">
        <f ca="1">IFERROR(IF(0=LEN(ReferenceData!$F$83),"",ReferenceData!$F$83),"")</f>
        <v>8.8184443350000006</v>
      </c>
      <c r="G83">
        <f ca="1">IFERROR(IF(0=LEN(ReferenceData!$G$83),"",ReferenceData!$G$83),"")</f>
        <v>7.8100521199999999</v>
      </c>
      <c r="H83">
        <f ca="1">IFERROR(IF(0=LEN(ReferenceData!$H$83),"",ReferenceData!$H$83),"")</f>
        <v>8.9183359479999993</v>
      </c>
      <c r="I83">
        <f ca="1">IFERROR(IF(0=LEN(ReferenceData!$I$83),"",ReferenceData!$I$83),"")</f>
        <v>9.1158629999999992</v>
      </c>
      <c r="J83">
        <f ca="1">IFERROR(IF(0=LEN(ReferenceData!$J$83),"",ReferenceData!$J$83),"")</f>
        <v>9.3869916240000002</v>
      </c>
      <c r="K83">
        <f ca="1">IFERROR(IF(0=LEN(ReferenceData!$K$83),"",ReferenceData!$K$83),"")</f>
        <v>10.28165139</v>
      </c>
      <c r="L83">
        <f ca="1">IFERROR(IF(0=LEN(ReferenceData!$L$83),"",ReferenceData!$L$83),"")</f>
        <v>10.090817360000001</v>
      </c>
      <c r="M83">
        <f ca="1">IFERROR(IF(0=LEN(ReferenceData!$M$83),"",ReferenceData!$M$83),"")</f>
        <v>9.1734693239999991</v>
      </c>
      <c r="N83">
        <f ca="1">IFERROR(IF(0=LEN(ReferenceData!$N$83),"",ReferenceData!$N$83),"")</f>
        <v>8.4312702159999997</v>
      </c>
      <c r="O83">
        <f ca="1">IFERROR(IF(0=LEN(ReferenceData!$O$83),"",ReferenceData!$O$83),"")</f>
        <v>9.9597872499999998</v>
      </c>
      <c r="P83">
        <f ca="1">IFERROR(IF(0=LEN(ReferenceData!$P$83),"",ReferenceData!$P$83),"")</f>
        <v>8.8500454059999996</v>
      </c>
      <c r="Q83">
        <f ca="1">IFERROR(IF(0=LEN(ReferenceData!$Q$83),"",ReferenceData!$Q$83),"")</f>
        <v>7.2722142969999997</v>
      </c>
      <c r="R83">
        <f ca="1">IFERROR(IF(0=LEN(ReferenceData!$R$83),"",ReferenceData!$R$83),"")</f>
        <v>7.0473064650000001</v>
      </c>
      <c r="S83">
        <f ca="1">IFERROR(IF(0=LEN(ReferenceData!$S$83),"",ReferenceData!$S$83),"")</f>
        <v>7.7122967259999999</v>
      </c>
      <c r="T83">
        <f ca="1">IFERROR(IF(0=LEN(ReferenceData!$T$83),"",ReferenceData!$T$83),"")</f>
        <v>7.162871848</v>
      </c>
      <c r="U83">
        <f ca="1">IFERROR(IF(0=LEN(ReferenceData!$U$83),"",ReferenceData!$U$83),"")</f>
        <v>8.376134704</v>
      </c>
      <c r="V83">
        <f ca="1">IFERROR(IF(0=LEN(ReferenceData!$V$83),"",ReferenceData!$V$83),"")</f>
        <v>8.7259290099999998</v>
      </c>
      <c r="W83">
        <f ca="1">IFERROR(IF(0=LEN(ReferenceData!$W$83),"",ReferenceData!$W$83),"")</f>
        <v>7.7502050860000002</v>
      </c>
      <c r="X83">
        <f ca="1">IFERROR(IF(0=LEN(ReferenceData!$X$83),"",ReferenceData!$X$83),"")</f>
        <v>6.9093435960000003</v>
      </c>
      <c r="Y83">
        <f ca="1">IFERROR(IF(0=LEN(ReferenceData!$Y$83),"",ReferenceData!$Y$83),"")</f>
        <v>6.7765649369999998</v>
      </c>
      <c r="Z83" t="str">
        <f ca="1">IFERROR(IF(0=LEN(ReferenceData!$Z$83),"",ReferenceData!$Z$83),"")</f>
        <v/>
      </c>
      <c r="AA83" t="str">
        <f ca="1">IFERROR(IF(0=LEN(ReferenceData!$AA$83),"",ReferenceData!$AA$83),"")</f>
        <v/>
      </c>
      <c r="AB83" t="str">
        <f ca="1">IFERROR(IF(0=LEN(ReferenceData!$AB$83),"",ReferenceData!$AB$83),"")</f>
        <v/>
      </c>
      <c r="AC83" t="str">
        <f ca="1">IFERROR(IF(0=LEN(ReferenceData!$AC$83),"",ReferenceData!$AC$83),"")</f>
        <v/>
      </c>
      <c r="AD83" t="str">
        <f ca="1">IFERROR(IF(0=LEN(ReferenceData!$AD$83),"",ReferenceData!$AD$83),"")</f>
        <v/>
      </c>
      <c r="AE83" t="str">
        <f ca="1">IFERROR(IF(0=LEN(ReferenceData!$AE$83),"",ReferenceData!$AE$83),"")</f>
        <v/>
      </c>
      <c r="AF83" t="str">
        <f ca="1">IFERROR(IF(0=LEN(ReferenceData!$AF$83),"",ReferenceData!$AF$83),"")</f>
        <v/>
      </c>
      <c r="AG83" t="str">
        <f ca="1">IFERROR(IF(0=LEN(ReferenceData!$AG$83),"",ReferenceData!$AG$83),"")</f>
        <v/>
      </c>
      <c r="AH83" t="str">
        <f ca="1">IFERROR(IF(0=LEN(ReferenceData!$AH$83),"",ReferenceData!$AH$83),"")</f>
        <v/>
      </c>
      <c r="AI83" t="str">
        <f ca="1">IFERROR(IF(0=LEN(ReferenceData!$AI$83),"",ReferenceData!$AI$83),"")</f>
        <v/>
      </c>
      <c r="AJ83" t="str">
        <f ca="1">IFERROR(IF(0=LEN(ReferenceData!$AJ$83),"",ReferenceData!$AJ$83),"")</f>
        <v/>
      </c>
      <c r="AK83" t="str">
        <f ca="1">IFERROR(IF(0=LEN(ReferenceData!$AK$83),"",ReferenceData!$AK$83),"")</f>
        <v/>
      </c>
      <c r="AL83" t="str">
        <f ca="1">IFERROR(IF(0=LEN(ReferenceData!$AL$83),"",ReferenceData!$AL$83),"")</f>
        <v/>
      </c>
      <c r="AM83" t="str">
        <f ca="1">IFERROR(IF(0=LEN(ReferenceData!$AM$83),"",ReferenceData!$AM$83),"")</f>
        <v/>
      </c>
      <c r="AN83" t="str">
        <f ca="1">IFERROR(IF(0=LEN(ReferenceData!$AN$83),"",ReferenceData!$AN$83),"")</f>
        <v/>
      </c>
      <c r="AO83" t="str">
        <f ca="1">IFERROR(IF(0=LEN(ReferenceData!$AO$83),"",ReferenceData!$AO$83),"")</f>
        <v/>
      </c>
      <c r="AP83" t="str">
        <f ca="1">IFERROR(IF(0=LEN(ReferenceData!$AP$83),"",ReferenceData!$AP$83),"")</f>
        <v/>
      </c>
      <c r="AQ83" t="str">
        <f ca="1">IFERROR(IF(0=LEN(ReferenceData!$AQ$83),"",ReferenceData!$AQ$83),"")</f>
        <v/>
      </c>
      <c r="AR83" t="str">
        <f ca="1">IFERROR(IF(0=LEN(ReferenceData!$AR$83),"",ReferenceData!$AR$83),"")</f>
        <v/>
      </c>
      <c r="AS83" t="str">
        <f ca="1">IFERROR(IF(0=LEN(ReferenceData!$AS$83),"",ReferenceData!$AS$83),"")</f>
        <v/>
      </c>
      <c r="AT83" t="str">
        <f ca="1">IFERROR(IF(0=LEN(ReferenceData!$AT$83),"",ReferenceData!$AT$83),"")</f>
        <v/>
      </c>
      <c r="AU83" t="str">
        <f ca="1">IFERROR(IF(0=LEN(ReferenceData!$AU$83),"",ReferenceData!$AU$83),"")</f>
        <v/>
      </c>
      <c r="AV83" t="str">
        <f ca="1">IFERROR(IF(0=LEN(ReferenceData!$AV$83),"",ReferenceData!$AV$83),"")</f>
        <v/>
      </c>
      <c r="AW83" t="str">
        <f ca="1">IFERROR(IF(0=LEN(ReferenceData!$AW$83),"",ReferenceData!$AW$83),"")</f>
        <v/>
      </c>
      <c r="AX83" t="str">
        <f ca="1">IFERROR(IF(0=LEN(ReferenceData!$AX$83),"",ReferenceData!$AX$83),"")</f>
        <v/>
      </c>
      <c r="AY83" t="str">
        <f ca="1">IFERROR(IF(0=LEN(ReferenceData!$AY$83),"",ReferenceData!$AY$83),"")</f>
        <v/>
      </c>
      <c r="AZ83" t="str">
        <f ca="1">IFERROR(IF(0=LEN(ReferenceData!$AZ$83),"",ReferenceData!$AZ$83),"")</f>
        <v/>
      </c>
      <c r="BA83" t="str">
        <f ca="1">IFERROR(IF(0=LEN(ReferenceData!$BA$83),"",ReferenceData!$BA$83),"")</f>
        <v/>
      </c>
      <c r="BB83" t="str">
        <f ca="1">IFERROR(IF(0=LEN(ReferenceData!$BB$83),"",ReferenceData!$BB$83),"")</f>
        <v/>
      </c>
      <c r="BC83" t="str">
        <f ca="1">IFERROR(IF(0=LEN(ReferenceData!$BC$83),"",ReferenceData!$BC$83),"")</f>
        <v/>
      </c>
      <c r="BD83" t="str">
        <f ca="1">IFERROR(IF(0=LEN(ReferenceData!$BD$83),"",ReferenceData!$BD$83),"")</f>
        <v/>
      </c>
      <c r="BE83" t="str">
        <f ca="1">IFERROR(IF(0=LEN(ReferenceData!$BE$83),"",ReferenceData!$BE$83),"")</f>
        <v/>
      </c>
      <c r="BF83" t="str">
        <f ca="1">IFERROR(IF(0=LEN(ReferenceData!$BF$83),"",ReferenceData!$BF$83),"")</f>
        <v/>
      </c>
      <c r="BG83" t="str">
        <f ca="1">IFERROR(IF(0=LEN(ReferenceData!$BG$83),"",ReferenceData!$BG$83),"")</f>
        <v/>
      </c>
      <c r="BH83" t="str">
        <f ca="1">IFERROR(IF(0=LEN(ReferenceData!$BH$83),"",ReferenceData!$BH$83),"")</f>
        <v/>
      </c>
      <c r="BI83" t="str">
        <f ca="1">IFERROR(IF(0=LEN(ReferenceData!$BI$83),"",ReferenceData!$BI$83),"")</f>
        <v/>
      </c>
      <c r="BJ83" t="str">
        <f ca="1">IFERROR(IF(0=LEN(ReferenceData!$BJ$83),"",ReferenceData!$BJ$83),"")</f>
        <v/>
      </c>
      <c r="BK83" t="str">
        <f ca="1">IFERROR(IF(0=LEN(ReferenceData!$BK$83),"",ReferenceData!$BK$83),"")</f>
        <v/>
      </c>
      <c r="BL83" t="str">
        <f ca="1">IFERROR(IF(0=LEN(ReferenceData!$BL$83),"",ReferenceData!$BL$83),"")</f>
        <v/>
      </c>
      <c r="BM83" t="str">
        <f ca="1">IFERROR(IF(0=LEN(ReferenceData!$BM$83),"",ReferenceData!$BM$83),"")</f>
        <v/>
      </c>
    </row>
    <row r="84" spans="1:65" x14ac:dyDescent="0.25">
      <c r="A84" t="str">
        <f>IFERROR(IF(0=LEN(ReferenceData!$A$84),"",ReferenceData!$A$84),"")</f>
        <v xml:space="preserve">    Volkswagen AG</v>
      </c>
      <c r="B84" t="str">
        <f>IFERROR(IF(0=LEN(ReferenceData!$B$84),"",ReferenceData!$B$84),"")</f>
        <v>VOW GR Equity</v>
      </c>
      <c r="C84" t="str">
        <f>IFERROR(IF(0=LEN(ReferenceData!$C$84),"",ReferenceData!$C$84),"")</f>
        <v>EZ009</v>
      </c>
      <c r="D84" t="str">
        <f>IFERROR(IF(0=LEN(ReferenceData!$D$84),"",ReferenceData!$D$84),"")</f>
        <v>BEST_EST_PE_CUR_YR</v>
      </c>
      <c r="E84" t="str">
        <f>IFERROR(IF(0=LEN(ReferenceData!$E$84),"",ReferenceData!$E$84),"")</f>
        <v>Dynamic</v>
      </c>
      <c r="F84">
        <f ca="1">IFERROR(IF(0=LEN(ReferenceData!$F$84),"",ReferenceData!$F$84),"")</f>
        <v>5.6306385700000003</v>
      </c>
      <c r="G84">
        <f ca="1">IFERROR(IF(0=LEN(ReferenceData!$G$84),"",ReferenceData!$G$84),"")</f>
        <v>4.9084300790000004</v>
      </c>
      <c r="H84">
        <f ca="1">IFERROR(IF(0=LEN(ReferenceData!$H$84),"",ReferenceData!$H$84),"")</f>
        <v>5.2338217770000002</v>
      </c>
      <c r="I84">
        <f ca="1">IFERROR(IF(0=LEN(ReferenceData!$I$84),"",ReferenceData!$I$84),"")</f>
        <v>4.9504950499999998</v>
      </c>
      <c r="J84">
        <f ca="1">IFERROR(IF(0=LEN(ReferenceData!$J$84),"",ReferenceData!$J$84),"")</f>
        <v>5.7806955289999999</v>
      </c>
      <c r="K84">
        <f ca="1">IFERROR(IF(0=LEN(ReferenceData!$K$84),"",ReferenceData!$K$84),"")</f>
        <v>6.0900328510000001</v>
      </c>
      <c r="L84">
        <f ca="1">IFERROR(IF(0=LEN(ReferenceData!$L$84),"",ReferenceData!$L$84),"")</f>
        <v>5.5297667400000003</v>
      </c>
      <c r="M84">
        <f ca="1">IFERROR(IF(0=LEN(ReferenceData!$M$84),"",ReferenceData!$M$84),"")</f>
        <v>5.2308874379999999</v>
      </c>
      <c r="N84">
        <f ca="1">IFERROR(IF(0=LEN(ReferenceData!$N$84),"",ReferenceData!$N$84),"")</f>
        <v>5.723185376</v>
      </c>
      <c r="O84">
        <f ca="1">IFERROR(IF(0=LEN(ReferenceData!$O$84),"",ReferenceData!$O$84),"")</f>
        <v>6.6935878610000001</v>
      </c>
      <c r="P84">
        <f ca="1">IFERROR(IF(0=LEN(ReferenceData!$P$84),"",ReferenceData!$P$84),"")</f>
        <v>3.8430023919999998</v>
      </c>
      <c r="Q84">
        <f ca="1">IFERROR(IF(0=LEN(ReferenceData!$Q$84),"",ReferenceData!$Q$84),"")</f>
        <v>4.6168683809999997</v>
      </c>
      <c r="R84">
        <f ca="1">IFERROR(IF(0=LEN(ReferenceData!$R$84),"",ReferenceData!$R$84),"")</f>
        <v>5.1359177950000001</v>
      </c>
      <c r="S84">
        <f ca="1">IFERROR(IF(0=LEN(ReferenceData!$S$84),"",ReferenceData!$S$84),"")</f>
        <v>5.1390393640000003</v>
      </c>
      <c r="T84">
        <f ca="1">IFERROR(IF(0=LEN(ReferenceData!$T$84),"",ReferenceData!$T$84),"")</f>
        <v>4.8174030659999998</v>
      </c>
      <c r="U84">
        <f ca="1">IFERROR(IF(0=LEN(ReferenceData!$U$84),"",ReferenceData!$U$84),"")</f>
        <v>7.0389830509999998</v>
      </c>
      <c r="V84">
        <f ca="1">IFERROR(IF(0=LEN(ReferenceData!$V$84),"",ReferenceData!$V$84),"")</f>
        <v>8.0688933869999993</v>
      </c>
      <c r="W84" t="str">
        <f ca="1">IFERROR(IF(0=LEN(ReferenceData!$W$84),"",ReferenceData!$W$84),"")</f>
        <v/>
      </c>
      <c r="X84" t="str">
        <f ca="1">IFERROR(IF(0=LEN(ReferenceData!$X$84),"",ReferenceData!$X$84),"")</f>
        <v/>
      </c>
      <c r="Y84" t="str">
        <f ca="1">IFERROR(IF(0=LEN(ReferenceData!$Y$84),"",ReferenceData!$Y$84),"")</f>
        <v/>
      </c>
      <c r="Z84" t="str">
        <f ca="1">IFERROR(IF(0=LEN(ReferenceData!$Z$84),"",ReferenceData!$Z$84),"")</f>
        <v/>
      </c>
      <c r="AA84" t="str">
        <f ca="1">IFERROR(IF(0=LEN(ReferenceData!$AA$84),"",ReferenceData!$AA$84),"")</f>
        <v/>
      </c>
      <c r="AB84" t="str">
        <f ca="1">IFERROR(IF(0=LEN(ReferenceData!$AB$84),"",ReferenceData!$AB$84),"")</f>
        <v/>
      </c>
      <c r="AC84" t="str">
        <f ca="1">IFERROR(IF(0=LEN(ReferenceData!$AC$84),"",ReferenceData!$AC$84),"")</f>
        <v/>
      </c>
      <c r="AD84" t="str">
        <f ca="1">IFERROR(IF(0=LEN(ReferenceData!$AD$84),"",ReferenceData!$AD$84),"")</f>
        <v/>
      </c>
      <c r="AE84" t="str">
        <f ca="1">IFERROR(IF(0=LEN(ReferenceData!$AE$84),"",ReferenceData!$AE$84),"")</f>
        <v/>
      </c>
      <c r="AF84" t="str">
        <f ca="1">IFERROR(IF(0=LEN(ReferenceData!$AF$84),"",ReferenceData!$AF$84),"")</f>
        <v/>
      </c>
      <c r="AG84" t="str">
        <f ca="1">IFERROR(IF(0=LEN(ReferenceData!$AG$84),"",ReferenceData!$AG$84),"")</f>
        <v/>
      </c>
      <c r="AH84" t="str">
        <f ca="1">IFERROR(IF(0=LEN(ReferenceData!$AH$84),"",ReferenceData!$AH$84),"")</f>
        <v/>
      </c>
      <c r="AI84" t="str">
        <f ca="1">IFERROR(IF(0=LEN(ReferenceData!$AI$84),"",ReferenceData!$AI$84),"")</f>
        <v/>
      </c>
      <c r="AJ84" t="str">
        <f ca="1">IFERROR(IF(0=LEN(ReferenceData!$AJ$84),"",ReferenceData!$AJ$84),"")</f>
        <v/>
      </c>
      <c r="AK84" t="str">
        <f ca="1">IFERROR(IF(0=LEN(ReferenceData!$AK$84),"",ReferenceData!$AK$84),"")</f>
        <v/>
      </c>
      <c r="AL84" t="str">
        <f ca="1">IFERROR(IF(0=LEN(ReferenceData!$AL$84),"",ReferenceData!$AL$84),"")</f>
        <v/>
      </c>
      <c r="AM84" t="str">
        <f ca="1">IFERROR(IF(0=LEN(ReferenceData!$AM$84),"",ReferenceData!$AM$84),"")</f>
        <v/>
      </c>
      <c r="AN84" t="str">
        <f ca="1">IFERROR(IF(0=LEN(ReferenceData!$AN$84),"",ReferenceData!$AN$84),"")</f>
        <v/>
      </c>
      <c r="AO84" t="str">
        <f ca="1">IFERROR(IF(0=LEN(ReferenceData!$AO$84),"",ReferenceData!$AO$84),"")</f>
        <v/>
      </c>
      <c r="AP84" t="str">
        <f ca="1">IFERROR(IF(0=LEN(ReferenceData!$AP$84),"",ReferenceData!$AP$84),"")</f>
        <v/>
      </c>
      <c r="AQ84" t="str">
        <f ca="1">IFERROR(IF(0=LEN(ReferenceData!$AQ$84),"",ReferenceData!$AQ$84),"")</f>
        <v/>
      </c>
      <c r="AR84" t="str">
        <f ca="1">IFERROR(IF(0=LEN(ReferenceData!$AR$84),"",ReferenceData!$AR$84),"")</f>
        <v/>
      </c>
      <c r="AS84" t="str">
        <f ca="1">IFERROR(IF(0=LEN(ReferenceData!$AS$84),"",ReferenceData!$AS$84),"")</f>
        <v/>
      </c>
      <c r="AT84" t="str">
        <f ca="1">IFERROR(IF(0=LEN(ReferenceData!$AT$84),"",ReferenceData!$AT$84),"")</f>
        <v/>
      </c>
      <c r="AU84" t="str">
        <f ca="1">IFERROR(IF(0=LEN(ReferenceData!$AU$84),"",ReferenceData!$AU$84),"")</f>
        <v/>
      </c>
      <c r="AV84" t="str">
        <f ca="1">IFERROR(IF(0=LEN(ReferenceData!$AV$84),"",ReferenceData!$AV$84),"")</f>
        <v/>
      </c>
      <c r="AW84" t="str">
        <f ca="1">IFERROR(IF(0=LEN(ReferenceData!$AW$84),"",ReferenceData!$AW$84),"")</f>
        <v/>
      </c>
      <c r="AX84" t="str">
        <f ca="1">IFERROR(IF(0=LEN(ReferenceData!$AX$84),"",ReferenceData!$AX$84),"")</f>
        <v/>
      </c>
      <c r="AY84" t="str">
        <f ca="1">IFERROR(IF(0=LEN(ReferenceData!$AY$84),"",ReferenceData!$AY$84),"")</f>
        <v/>
      </c>
      <c r="AZ84" t="str">
        <f ca="1">IFERROR(IF(0=LEN(ReferenceData!$AZ$84),"",ReferenceData!$AZ$84),"")</f>
        <v/>
      </c>
      <c r="BA84" t="str">
        <f ca="1">IFERROR(IF(0=LEN(ReferenceData!$BA$84),"",ReferenceData!$BA$84),"")</f>
        <v/>
      </c>
      <c r="BB84" t="str">
        <f ca="1">IFERROR(IF(0=LEN(ReferenceData!$BB$84),"",ReferenceData!$BB$84),"")</f>
        <v/>
      </c>
      <c r="BC84" t="str">
        <f ca="1">IFERROR(IF(0=LEN(ReferenceData!$BC$84),"",ReferenceData!$BC$84),"")</f>
        <v/>
      </c>
      <c r="BD84" t="str">
        <f ca="1">IFERROR(IF(0=LEN(ReferenceData!$BD$84),"",ReferenceData!$BD$84),"")</f>
        <v/>
      </c>
      <c r="BE84" t="str">
        <f ca="1">IFERROR(IF(0=LEN(ReferenceData!$BE$84),"",ReferenceData!$BE$84),"")</f>
        <v/>
      </c>
      <c r="BF84" t="str">
        <f ca="1">IFERROR(IF(0=LEN(ReferenceData!$BF$84),"",ReferenceData!$BF$84),"")</f>
        <v/>
      </c>
      <c r="BG84" t="str">
        <f ca="1">IFERROR(IF(0=LEN(ReferenceData!$BG$84),"",ReferenceData!$BG$84),"")</f>
        <v/>
      </c>
      <c r="BH84" t="str">
        <f ca="1">IFERROR(IF(0=LEN(ReferenceData!$BH$84),"",ReferenceData!$BH$84),"")</f>
        <v/>
      </c>
      <c r="BI84" t="str">
        <f ca="1">IFERROR(IF(0=LEN(ReferenceData!$BI$84),"",ReferenceData!$BI$84),"")</f>
        <v/>
      </c>
      <c r="BJ84" t="str">
        <f ca="1">IFERROR(IF(0=LEN(ReferenceData!$BJ$84),"",ReferenceData!$BJ$84),"")</f>
        <v/>
      </c>
      <c r="BK84" t="str">
        <f ca="1">IFERROR(IF(0=LEN(ReferenceData!$BK$84),"",ReferenceData!$BK$84),"")</f>
        <v/>
      </c>
      <c r="BL84" t="str">
        <f ca="1">IFERROR(IF(0=LEN(ReferenceData!$BL$84),"",ReferenceData!$BL$84),"")</f>
        <v/>
      </c>
      <c r="BM84" t="str">
        <f ca="1">IFERROR(IF(0=LEN(ReferenceData!$BM$84),"",ReferenceData!$BM$84),"")</f>
        <v/>
      </c>
    </row>
    <row r="85" spans="1:65" x14ac:dyDescent="0.25">
      <c r="A85" t="str">
        <f>IFERROR(IF(0=LEN(ReferenceData!$A$85),"",ReferenceData!$A$85),"")</f>
        <v xml:space="preserve">    Yulon Motor Co Ltd</v>
      </c>
      <c r="B85" t="str">
        <f>IFERROR(IF(0=LEN(ReferenceData!$B$85),"",ReferenceData!$B$85),"")</f>
        <v>2201 TT Equity</v>
      </c>
      <c r="C85" t="str">
        <f>IFERROR(IF(0=LEN(ReferenceData!$C$85),"",ReferenceData!$C$85),"")</f>
        <v>EZ009</v>
      </c>
      <c r="D85" t="str">
        <f>IFERROR(IF(0=LEN(ReferenceData!$D$85),"",ReferenceData!$D$85),"")</f>
        <v>BEST_EST_PE_CUR_YR</v>
      </c>
      <c r="E85" t="str">
        <f>IFERROR(IF(0=LEN(ReferenceData!$E$85),"",ReferenceData!$E$85),"")</f>
        <v>Dynamic</v>
      </c>
      <c r="F85">
        <f ca="1">IFERROR(IF(0=LEN(ReferenceData!$F$85),"",ReferenceData!$F$85),"")</f>
        <v>11.93935565</v>
      </c>
      <c r="G85">
        <f ca="1">IFERROR(IF(0=LEN(ReferenceData!$G$85),"",ReferenceData!$G$85),"")</f>
        <v>11.4971573</v>
      </c>
      <c r="H85">
        <f ca="1">IFERROR(IF(0=LEN(ReferenceData!$H$85),"",ReferenceData!$H$85),"")</f>
        <v>12.840236689999999</v>
      </c>
      <c r="I85">
        <f ca="1">IFERROR(IF(0=LEN(ReferenceData!$I$85),"",ReferenceData!$I$85),"")</f>
        <v>12.448377580000001</v>
      </c>
      <c r="J85">
        <f ca="1">IFERROR(IF(0=LEN(ReferenceData!$J$85),"",ReferenceData!$J$85),"")</f>
        <v>13.116656989999999</v>
      </c>
      <c r="K85">
        <f ca="1">IFERROR(IF(0=LEN(ReferenceData!$K$85),"",ReferenceData!$K$85),"")</f>
        <v>13.95953757</v>
      </c>
      <c r="L85" t="str">
        <f ca="1">IFERROR(IF(0=LEN(ReferenceData!$L$85),"",ReferenceData!$L$85),"")</f>
        <v/>
      </c>
      <c r="M85">
        <f ca="1">IFERROR(IF(0=LEN(ReferenceData!$M$85),"",ReferenceData!$M$85),"")</f>
        <v>13.4</v>
      </c>
      <c r="N85">
        <f ca="1">IFERROR(IF(0=LEN(ReferenceData!$N$85),"",ReferenceData!$N$85),"")</f>
        <v>14.125</v>
      </c>
      <c r="O85">
        <f ca="1">IFERROR(IF(0=LEN(ReferenceData!$O$85),"",ReferenceData!$O$85),"")</f>
        <v>13.4</v>
      </c>
      <c r="P85">
        <f ca="1">IFERROR(IF(0=LEN(ReferenceData!$P$85),"",ReferenceData!$P$85),"")</f>
        <v>13.775</v>
      </c>
      <c r="Q85">
        <f ca="1">IFERROR(IF(0=LEN(ReferenceData!$Q$85),"",ReferenceData!$Q$85),"")</f>
        <v>13.65</v>
      </c>
      <c r="R85" t="str">
        <f ca="1">IFERROR(IF(0=LEN(ReferenceData!$R$85),"",ReferenceData!$R$85),"")</f>
        <v/>
      </c>
      <c r="S85" t="str">
        <f ca="1">IFERROR(IF(0=LEN(ReferenceData!$S$85),"",ReferenceData!$S$85),"")</f>
        <v/>
      </c>
      <c r="T85" t="str">
        <f ca="1">IFERROR(IF(0=LEN(ReferenceData!$T$85),"",ReferenceData!$T$85),"")</f>
        <v/>
      </c>
      <c r="U85" t="str">
        <f ca="1">IFERROR(IF(0=LEN(ReferenceData!$U$85),"",ReferenceData!$U$85),"")</f>
        <v/>
      </c>
      <c r="V85" t="str">
        <f ca="1">IFERROR(IF(0=LEN(ReferenceData!$V$85),"",ReferenceData!$V$85),"")</f>
        <v/>
      </c>
      <c r="W85" t="str">
        <f ca="1">IFERROR(IF(0=LEN(ReferenceData!$W$85),"",ReferenceData!$W$85),"")</f>
        <v/>
      </c>
      <c r="X85" t="str">
        <f ca="1">IFERROR(IF(0=LEN(ReferenceData!$X$85),"",ReferenceData!$X$85),"")</f>
        <v/>
      </c>
      <c r="Y85" t="str">
        <f ca="1">IFERROR(IF(0=LEN(ReferenceData!$Y$85),"",ReferenceData!$Y$85),"")</f>
        <v/>
      </c>
      <c r="Z85" t="str">
        <f ca="1">IFERROR(IF(0=LEN(ReferenceData!$Z$85),"",ReferenceData!$Z$85),"")</f>
        <v/>
      </c>
      <c r="AA85" t="str">
        <f ca="1">IFERROR(IF(0=LEN(ReferenceData!$AA$85),"",ReferenceData!$AA$85),"")</f>
        <v/>
      </c>
      <c r="AB85" t="str">
        <f ca="1">IFERROR(IF(0=LEN(ReferenceData!$AB$85),"",ReferenceData!$AB$85),"")</f>
        <v/>
      </c>
      <c r="AC85" t="str">
        <f ca="1">IFERROR(IF(0=LEN(ReferenceData!$AC$85),"",ReferenceData!$AC$85),"")</f>
        <v/>
      </c>
      <c r="AD85" t="str">
        <f ca="1">IFERROR(IF(0=LEN(ReferenceData!$AD$85),"",ReferenceData!$AD$85),"")</f>
        <v/>
      </c>
      <c r="AE85" t="str">
        <f ca="1">IFERROR(IF(0=LEN(ReferenceData!$AE$85),"",ReferenceData!$AE$85),"")</f>
        <v/>
      </c>
      <c r="AF85" t="str">
        <f ca="1">IFERROR(IF(0=LEN(ReferenceData!$AF$85),"",ReferenceData!$AF$85),"")</f>
        <v/>
      </c>
      <c r="AG85" t="str">
        <f ca="1">IFERROR(IF(0=LEN(ReferenceData!$AG$85),"",ReferenceData!$AG$85),"")</f>
        <v/>
      </c>
      <c r="AH85" t="str">
        <f ca="1">IFERROR(IF(0=LEN(ReferenceData!$AH$85),"",ReferenceData!$AH$85),"")</f>
        <v/>
      </c>
      <c r="AI85" t="str">
        <f ca="1">IFERROR(IF(0=LEN(ReferenceData!$AI$85),"",ReferenceData!$AI$85),"")</f>
        <v/>
      </c>
      <c r="AJ85" t="str">
        <f ca="1">IFERROR(IF(0=LEN(ReferenceData!$AJ$85),"",ReferenceData!$AJ$85),"")</f>
        <v/>
      </c>
      <c r="AK85" t="str">
        <f ca="1">IFERROR(IF(0=LEN(ReferenceData!$AK$85),"",ReferenceData!$AK$85),"")</f>
        <v/>
      </c>
      <c r="AL85" t="str">
        <f ca="1">IFERROR(IF(0=LEN(ReferenceData!$AL$85),"",ReferenceData!$AL$85),"")</f>
        <v/>
      </c>
      <c r="AM85" t="str">
        <f ca="1">IFERROR(IF(0=LEN(ReferenceData!$AM$85),"",ReferenceData!$AM$85),"")</f>
        <v/>
      </c>
      <c r="AN85" t="str">
        <f ca="1">IFERROR(IF(0=LEN(ReferenceData!$AN$85),"",ReferenceData!$AN$85),"")</f>
        <v/>
      </c>
      <c r="AO85" t="str">
        <f ca="1">IFERROR(IF(0=LEN(ReferenceData!$AO$85),"",ReferenceData!$AO$85),"")</f>
        <v/>
      </c>
      <c r="AP85" t="str">
        <f ca="1">IFERROR(IF(0=LEN(ReferenceData!$AP$85),"",ReferenceData!$AP$85),"")</f>
        <v/>
      </c>
      <c r="AQ85" t="str">
        <f ca="1">IFERROR(IF(0=LEN(ReferenceData!$AQ$85),"",ReferenceData!$AQ$85),"")</f>
        <v/>
      </c>
      <c r="AR85" t="str">
        <f ca="1">IFERROR(IF(0=LEN(ReferenceData!$AR$85),"",ReferenceData!$AR$85),"")</f>
        <v/>
      </c>
      <c r="AS85" t="str">
        <f ca="1">IFERROR(IF(0=LEN(ReferenceData!$AS$85),"",ReferenceData!$AS$85),"")</f>
        <v/>
      </c>
      <c r="AT85" t="str">
        <f ca="1">IFERROR(IF(0=LEN(ReferenceData!$AT$85),"",ReferenceData!$AT$85),"")</f>
        <v/>
      </c>
      <c r="AU85" t="str">
        <f ca="1">IFERROR(IF(0=LEN(ReferenceData!$AU$85),"",ReferenceData!$AU$85),"")</f>
        <v/>
      </c>
      <c r="AV85" t="str">
        <f ca="1">IFERROR(IF(0=LEN(ReferenceData!$AV$85),"",ReferenceData!$AV$85),"")</f>
        <v/>
      </c>
      <c r="AW85" t="str">
        <f ca="1">IFERROR(IF(0=LEN(ReferenceData!$AW$85),"",ReferenceData!$AW$85),"")</f>
        <v/>
      </c>
      <c r="AX85" t="str">
        <f ca="1">IFERROR(IF(0=LEN(ReferenceData!$AX$85),"",ReferenceData!$AX$85),"")</f>
        <v/>
      </c>
      <c r="AY85" t="str">
        <f ca="1">IFERROR(IF(0=LEN(ReferenceData!$AY$85),"",ReferenceData!$AY$85),"")</f>
        <v/>
      </c>
      <c r="AZ85" t="str">
        <f ca="1">IFERROR(IF(0=LEN(ReferenceData!$AZ$85),"",ReferenceData!$AZ$85),"")</f>
        <v/>
      </c>
      <c r="BA85" t="str">
        <f ca="1">IFERROR(IF(0=LEN(ReferenceData!$BA$85),"",ReferenceData!$BA$85),"")</f>
        <v/>
      </c>
      <c r="BB85" t="str">
        <f ca="1">IFERROR(IF(0=LEN(ReferenceData!$BB$85),"",ReferenceData!$BB$85),"")</f>
        <v/>
      </c>
      <c r="BC85" t="str">
        <f ca="1">IFERROR(IF(0=LEN(ReferenceData!$BC$85),"",ReferenceData!$BC$85),"")</f>
        <v/>
      </c>
      <c r="BD85" t="str">
        <f ca="1">IFERROR(IF(0=LEN(ReferenceData!$BD$85),"",ReferenceData!$BD$85),"")</f>
        <v/>
      </c>
      <c r="BE85" t="str">
        <f ca="1">IFERROR(IF(0=LEN(ReferenceData!$BE$85),"",ReferenceData!$BE$85),"")</f>
        <v/>
      </c>
      <c r="BF85" t="str">
        <f ca="1">IFERROR(IF(0=LEN(ReferenceData!$BF$85),"",ReferenceData!$BF$85),"")</f>
        <v/>
      </c>
      <c r="BG85" t="str">
        <f ca="1">IFERROR(IF(0=LEN(ReferenceData!$BG$85),"",ReferenceData!$BG$85),"")</f>
        <v/>
      </c>
      <c r="BH85" t="str">
        <f ca="1">IFERROR(IF(0=LEN(ReferenceData!$BH$85),"",ReferenceData!$BH$85),"")</f>
        <v/>
      </c>
      <c r="BI85" t="str">
        <f ca="1">IFERROR(IF(0=LEN(ReferenceData!$BI$85),"",ReferenceData!$BI$85),"")</f>
        <v/>
      </c>
      <c r="BJ85" t="str">
        <f ca="1">IFERROR(IF(0=LEN(ReferenceData!$BJ$85),"",ReferenceData!$BJ$85),"")</f>
        <v/>
      </c>
      <c r="BK85" t="str">
        <f ca="1">IFERROR(IF(0=LEN(ReferenceData!$BK$85),"",ReferenceData!$BK$85),"")</f>
        <v/>
      </c>
      <c r="BL85" t="str">
        <f ca="1">IFERROR(IF(0=LEN(ReferenceData!$BL$85),"",ReferenceData!$BL$85),"")</f>
        <v/>
      </c>
      <c r="BM85" t="str">
        <f ca="1">IFERROR(IF(0=LEN(ReferenceData!$BM$85),"",ReferenceData!$BM$85),"")</f>
        <v/>
      </c>
    </row>
    <row r="86" spans="1:65" x14ac:dyDescent="0.25">
      <c r="A86" t="str">
        <f>IFERROR(IF(0=LEN(ReferenceData!$A$86),"",ReferenceData!$A$86),"")</f>
        <v>P/E FY2</v>
      </c>
      <c r="B86" t="str">
        <f>IFERROR(IF(0=LEN(ReferenceData!$B$86),"",ReferenceData!$B$86),"")</f>
        <v>BRAUTOCV Index</v>
      </c>
      <c r="C86" t="str">
        <f>IFERROR(IF(0=LEN(ReferenceData!$C$86),"",ReferenceData!$C$86),"")</f>
        <v/>
      </c>
      <c r="D86" t="str">
        <f>IFERROR(IF(0=LEN(ReferenceData!$D$86),"",ReferenceData!$D$86),"")</f>
        <v/>
      </c>
      <c r="E86" t="str">
        <f>IFERROR(IF(0=LEN(ReferenceData!$E$86),"",ReferenceData!$E$86),"")</f>
        <v>Average</v>
      </c>
      <c r="F86">
        <f ca="1">IFERROR(IF(0=LEN(ReferenceData!$F$86),"",ReferenceData!$F$86),"")</f>
        <v>10.148282331999997</v>
      </c>
      <c r="G86">
        <f ca="1">IFERROR(IF(0=LEN(ReferenceData!$G$86),"",ReferenceData!$G$86),"")</f>
        <v>9.0183968515161279</v>
      </c>
      <c r="H86">
        <f ca="1">IFERROR(IF(0=LEN(ReferenceData!$H$86),"",ReferenceData!$H$86),"")</f>
        <v>9.4518039498666671</v>
      </c>
      <c r="I86">
        <f ca="1">IFERROR(IF(0=LEN(ReferenceData!$I$86),"",ReferenceData!$I$86),"")</f>
        <v>8.7981845937666669</v>
      </c>
      <c r="J86">
        <f ca="1">IFERROR(IF(0=LEN(ReferenceData!$J$86),"",ReferenceData!$J$86),"")</f>
        <v>9.8979731051666686</v>
      </c>
      <c r="K86">
        <f ca="1">IFERROR(IF(0=LEN(ReferenceData!$K$86),"",ReferenceData!$K$86),"")</f>
        <v>10.607959017709675</v>
      </c>
      <c r="L86">
        <f ca="1">IFERROR(IF(0=LEN(ReferenceData!$L$86),"",ReferenceData!$L$86),"")</f>
        <v>10.621471792366666</v>
      </c>
      <c r="M86">
        <f ca="1">IFERROR(IF(0=LEN(ReferenceData!$M$86),"",ReferenceData!$M$86),"")</f>
        <v>9.4294157173666679</v>
      </c>
      <c r="N86">
        <f ca="1">IFERROR(IF(0=LEN(ReferenceData!$N$86),"",ReferenceData!$N$86),"")</f>
        <v>7.5097010301428559</v>
      </c>
      <c r="O86">
        <f ca="1">IFERROR(IF(0=LEN(ReferenceData!$O$86),"",ReferenceData!$O$86),"")</f>
        <v>7.5526250783461526</v>
      </c>
      <c r="P86">
        <f ca="1">IFERROR(IF(0=LEN(ReferenceData!$P$86),"",ReferenceData!$P$86),"")</f>
        <v>6.8675733937727275</v>
      </c>
      <c r="Q86">
        <f ca="1">IFERROR(IF(0=LEN(ReferenceData!$Q$86),"",ReferenceData!$Q$86),"")</f>
        <v>6.6301724591000006</v>
      </c>
      <c r="R86">
        <f ca="1">IFERROR(IF(0=LEN(ReferenceData!$R$86),"",ReferenceData!$R$86),"")</f>
        <v>7.0566988655294098</v>
      </c>
      <c r="S86">
        <f ca="1">IFERROR(IF(0=LEN(ReferenceData!$S$86),"",ReferenceData!$S$86),"")</f>
        <v>7.5156258044666666</v>
      </c>
      <c r="T86">
        <f ca="1">IFERROR(IF(0=LEN(ReferenceData!$T$86),"",ReferenceData!$T$86),"")</f>
        <v>6.4292338540714278</v>
      </c>
      <c r="U86">
        <f ca="1">IFERROR(IF(0=LEN(ReferenceData!$U$86),"",ReferenceData!$U$86),"")</f>
        <v>7.8195775199230759</v>
      </c>
      <c r="V86">
        <f ca="1">IFERROR(IF(0=LEN(ReferenceData!$V$86),"",ReferenceData!$V$86),"")</f>
        <v>7.0698721558333339</v>
      </c>
      <c r="W86">
        <f ca="1">IFERROR(IF(0=LEN(ReferenceData!$W$86),"",ReferenceData!$W$86),"")</f>
        <v>7.642432386666667</v>
      </c>
      <c r="X86">
        <f ca="1">IFERROR(IF(0=LEN(ReferenceData!$X$86),"",ReferenceData!$X$86),"")</f>
        <v>7.7684779413333329</v>
      </c>
      <c r="Y86">
        <f ca="1">IFERROR(IF(0=LEN(ReferenceData!$Y$86),"",ReferenceData!$Y$86),"")</f>
        <v>8.5176734783333341</v>
      </c>
      <c r="Z86">
        <f ca="1">IFERROR(IF(0=LEN(ReferenceData!$Z$86),"",ReferenceData!$Z$86),"")</f>
        <v>8.1119978813333322</v>
      </c>
      <c r="AA86">
        <f ca="1">IFERROR(IF(0=LEN(ReferenceData!$AA$86),"",ReferenceData!$AA$86),"")</f>
        <v>5.3907988229999999</v>
      </c>
      <c r="AB86">
        <f ca="1">IFERROR(IF(0=LEN(ReferenceData!$AB$86),"",ReferenceData!$AB$86),"")</f>
        <v>9.8652269715000003</v>
      </c>
      <c r="AC86">
        <f ca="1">IFERROR(IF(0=LEN(ReferenceData!$AC$86),"",ReferenceData!$AC$86),"")</f>
        <v>7.8750301599999997</v>
      </c>
      <c r="AD86">
        <f ca="1">IFERROR(IF(0=LEN(ReferenceData!$AD$86),"",ReferenceData!$AD$86),"")</f>
        <v>2.6988850515</v>
      </c>
      <c r="AE86">
        <f ca="1">IFERROR(IF(0=LEN(ReferenceData!$AE$86),"",ReferenceData!$AE$86),"")</f>
        <v>2.5399580319999999</v>
      </c>
      <c r="AF86">
        <f ca="1">IFERROR(IF(0=LEN(ReferenceData!$AF$86),"",ReferenceData!$AF$86),"")</f>
        <v>1.7001516745</v>
      </c>
      <c r="AG86">
        <f ca="1">IFERROR(IF(0=LEN(ReferenceData!$AG$86),"",ReferenceData!$AG$86),"")</f>
        <v>1.9296959885</v>
      </c>
      <c r="AH86">
        <f ca="1">IFERROR(IF(0=LEN(ReferenceData!$AH$86),"",ReferenceData!$AH$86),"")</f>
        <v>2.322688029</v>
      </c>
      <c r="AI86" t="str">
        <f ca="1">IFERROR(IF(0=LEN(ReferenceData!$AI$86),"",ReferenceData!$AI$86),"")</f>
        <v/>
      </c>
      <c r="AJ86" t="str">
        <f ca="1">IFERROR(IF(0=LEN(ReferenceData!$AJ$86),"",ReferenceData!$AJ$86),"")</f>
        <v/>
      </c>
      <c r="AK86" t="str">
        <f ca="1">IFERROR(IF(0=LEN(ReferenceData!$AK$86),"",ReferenceData!$AK$86),"")</f>
        <v/>
      </c>
      <c r="AL86" t="str">
        <f ca="1">IFERROR(IF(0=LEN(ReferenceData!$AL$86),"",ReferenceData!$AL$86),"")</f>
        <v/>
      </c>
      <c r="AM86" t="str">
        <f ca="1">IFERROR(IF(0=LEN(ReferenceData!$AM$86),"",ReferenceData!$AM$86),"")</f>
        <v/>
      </c>
      <c r="AN86" t="str">
        <f ca="1">IFERROR(IF(0=LEN(ReferenceData!$AN$86),"",ReferenceData!$AN$86),"")</f>
        <v/>
      </c>
      <c r="AO86" t="str">
        <f ca="1">IFERROR(IF(0=LEN(ReferenceData!$AO$86),"",ReferenceData!$AO$86),"")</f>
        <v/>
      </c>
      <c r="AP86" t="str">
        <f ca="1">IFERROR(IF(0=LEN(ReferenceData!$AP$86),"",ReferenceData!$AP$86),"")</f>
        <v/>
      </c>
      <c r="AQ86" t="str">
        <f ca="1">IFERROR(IF(0=LEN(ReferenceData!$AQ$86),"",ReferenceData!$AQ$86),"")</f>
        <v/>
      </c>
      <c r="AR86" t="str">
        <f ca="1">IFERROR(IF(0=LEN(ReferenceData!$AR$86),"",ReferenceData!$AR$86),"")</f>
        <v/>
      </c>
      <c r="AS86" t="str">
        <f ca="1">IFERROR(IF(0=LEN(ReferenceData!$AS$86),"",ReferenceData!$AS$86),"")</f>
        <v/>
      </c>
      <c r="AT86" t="str">
        <f ca="1">IFERROR(IF(0=LEN(ReferenceData!$AT$86),"",ReferenceData!$AT$86),"")</f>
        <v/>
      </c>
      <c r="AU86" t="str">
        <f ca="1">IFERROR(IF(0=LEN(ReferenceData!$AU$86),"",ReferenceData!$AU$86),"")</f>
        <v/>
      </c>
      <c r="AV86" t="str">
        <f ca="1">IFERROR(IF(0=LEN(ReferenceData!$AV$86),"",ReferenceData!$AV$86),"")</f>
        <v/>
      </c>
      <c r="AW86" t="str">
        <f ca="1">IFERROR(IF(0=LEN(ReferenceData!$AW$86),"",ReferenceData!$AW$86),"")</f>
        <v/>
      </c>
      <c r="AX86" t="str">
        <f ca="1">IFERROR(IF(0=LEN(ReferenceData!$AX$86),"",ReferenceData!$AX$86),"")</f>
        <v/>
      </c>
      <c r="AY86" t="str">
        <f ca="1">IFERROR(IF(0=LEN(ReferenceData!$AY$86),"",ReferenceData!$AY$86),"")</f>
        <v/>
      </c>
      <c r="AZ86" t="str">
        <f ca="1">IFERROR(IF(0=LEN(ReferenceData!$AZ$86),"",ReferenceData!$AZ$86),"")</f>
        <v/>
      </c>
      <c r="BA86" t="str">
        <f ca="1">IFERROR(IF(0=LEN(ReferenceData!$BA$86),"",ReferenceData!$BA$86),"")</f>
        <v/>
      </c>
      <c r="BB86" t="str">
        <f ca="1">IFERROR(IF(0=LEN(ReferenceData!$BB$86),"",ReferenceData!$BB$86),"")</f>
        <v/>
      </c>
      <c r="BC86" t="str">
        <f ca="1">IFERROR(IF(0=LEN(ReferenceData!$BC$86),"",ReferenceData!$BC$86),"")</f>
        <v/>
      </c>
      <c r="BD86" t="str">
        <f ca="1">IFERROR(IF(0=LEN(ReferenceData!$BD$86),"",ReferenceData!$BD$86),"")</f>
        <v/>
      </c>
      <c r="BE86" t="str">
        <f ca="1">IFERROR(IF(0=LEN(ReferenceData!$BE$86),"",ReferenceData!$BE$86),"")</f>
        <v/>
      </c>
      <c r="BF86" t="str">
        <f ca="1">IFERROR(IF(0=LEN(ReferenceData!$BF$86),"",ReferenceData!$BF$86),"")</f>
        <v/>
      </c>
      <c r="BG86" t="str">
        <f ca="1">IFERROR(IF(0=LEN(ReferenceData!$BG$86),"",ReferenceData!$BG$86),"")</f>
        <v/>
      </c>
      <c r="BH86" t="str">
        <f ca="1">IFERROR(IF(0=LEN(ReferenceData!$BH$86),"",ReferenceData!$BH$86),"")</f>
        <v/>
      </c>
      <c r="BI86" t="str">
        <f ca="1">IFERROR(IF(0=LEN(ReferenceData!$BI$86),"",ReferenceData!$BI$86),"")</f>
        <v/>
      </c>
      <c r="BJ86" t="str">
        <f ca="1">IFERROR(IF(0=LEN(ReferenceData!$BJ$86),"",ReferenceData!$BJ$86),"")</f>
        <v/>
      </c>
      <c r="BK86" t="str">
        <f ca="1">IFERROR(IF(0=LEN(ReferenceData!$BK$86),"",ReferenceData!$BK$86),"")</f>
        <v/>
      </c>
      <c r="BL86" t="str">
        <f ca="1">IFERROR(IF(0=LEN(ReferenceData!$BL$86),"",ReferenceData!$BL$86),"")</f>
        <v/>
      </c>
      <c r="BM86" t="str">
        <f ca="1">IFERROR(IF(0=LEN(ReferenceData!$BM$86),"",ReferenceData!$BM$86),"")</f>
        <v/>
      </c>
    </row>
    <row r="87" spans="1:65" x14ac:dyDescent="0.25">
      <c r="A87" t="str">
        <f>IFERROR(IF(0=LEN(ReferenceData!$A$87),"",ReferenceData!$A$87),"")</f>
        <v xml:space="preserve">    AUDI AG</v>
      </c>
      <c r="B87" t="str">
        <f>IFERROR(IF(0=LEN(ReferenceData!$B$87),"",ReferenceData!$B$87),"")</f>
        <v>NSU GR Equity</v>
      </c>
      <c r="C87" t="str">
        <f>IFERROR(IF(0=LEN(ReferenceData!$C$87),"",ReferenceData!$C$87),"")</f>
        <v>EZ010</v>
      </c>
      <c r="D87" t="str">
        <f>IFERROR(IF(0=LEN(ReferenceData!$D$87),"",ReferenceData!$D$87),"")</f>
        <v>BEST_EST_PE_NXT_YR</v>
      </c>
      <c r="E87" t="str">
        <f>IFERROR(IF(0=LEN(ReferenceData!$E$87),"",ReferenceData!$E$87),"")</f>
        <v>Dynamic</v>
      </c>
      <c r="F87" t="str">
        <f ca="1">IFERROR(IF(0=LEN(ReferenceData!$F$87),"",ReferenceData!$F$87),"")</f>
        <v/>
      </c>
      <c r="G87" t="str">
        <f ca="1">IFERROR(IF(0=LEN(ReferenceData!$G$87),"",ReferenceData!$G$87),"")</f>
        <v/>
      </c>
      <c r="H87" t="str">
        <f ca="1">IFERROR(IF(0=LEN(ReferenceData!$H$87),"",ReferenceData!$H$87),"")</f>
        <v/>
      </c>
      <c r="I87" t="str">
        <f ca="1">IFERROR(IF(0=LEN(ReferenceData!$I$87),"",ReferenceData!$I$87),"")</f>
        <v/>
      </c>
      <c r="J87" t="str">
        <f ca="1">IFERROR(IF(0=LEN(ReferenceData!$J$87),"",ReferenceData!$J$87),"")</f>
        <v/>
      </c>
      <c r="K87" t="str">
        <f ca="1">IFERROR(IF(0=LEN(ReferenceData!$K$87),"",ReferenceData!$K$87),"")</f>
        <v/>
      </c>
      <c r="L87" t="str">
        <f ca="1">IFERROR(IF(0=LEN(ReferenceData!$L$87),"",ReferenceData!$L$87),"")</f>
        <v/>
      </c>
      <c r="M87" t="str">
        <f ca="1">IFERROR(IF(0=LEN(ReferenceData!$M$87),"",ReferenceData!$M$87),"")</f>
        <v/>
      </c>
      <c r="N87" t="str">
        <f ca="1">IFERROR(IF(0=LEN(ReferenceData!$N$87),"",ReferenceData!$N$87),"")</f>
        <v/>
      </c>
      <c r="O87" t="str">
        <f ca="1">IFERROR(IF(0=LEN(ReferenceData!$O$87),"",ReferenceData!$O$87),"")</f>
        <v/>
      </c>
      <c r="P87" t="str">
        <f ca="1">IFERROR(IF(0=LEN(ReferenceData!$P$87),"",ReferenceData!$P$87),"")</f>
        <v/>
      </c>
      <c r="Q87" t="str">
        <f ca="1">IFERROR(IF(0=LEN(ReferenceData!$Q$87),"",ReferenceData!$Q$87),"")</f>
        <v/>
      </c>
      <c r="R87" t="str">
        <f ca="1">IFERROR(IF(0=LEN(ReferenceData!$R$87),"",ReferenceData!$R$87),"")</f>
        <v/>
      </c>
      <c r="S87" t="str">
        <f ca="1">IFERROR(IF(0=LEN(ReferenceData!$S$87),"",ReferenceData!$S$87),"")</f>
        <v/>
      </c>
      <c r="T87" t="str">
        <f ca="1">IFERROR(IF(0=LEN(ReferenceData!$T$87),"",ReferenceData!$T$87),"")</f>
        <v/>
      </c>
      <c r="U87" t="str">
        <f ca="1">IFERROR(IF(0=LEN(ReferenceData!$U$87),"",ReferenceData!$U$87),"")</f>
        <v/>
      </c>
      <c r="V87" t="str">
        <f ca="1">IFERROR(IF(0=LEN(ReferenceData!$V$87),"",ReferenceData!$V$87),"")</f>
        <v/>
      </c>
      <c r="W87" t="str">
        <f ca="1">IFERROR(IF(0=LEN(ReferenceData!$W$87),"",ReferenceData!$W$87),"")</f>
        <v/>
      </c>
      <c r="X87" t="str">
        <f ca="1">IFERROR(IF(0=LEN(ReferenceData!$X$87),"",ReferenceData!$X$87),"")</f>
        <v/>
      </c>
      <c r="Y87" t="str">
        <f ca="1">IFERROR(IF(0=LEN(ReferenceData!$Y$87),"",ReferenceData!$Y$87),"")</f>
        <v/>
      </c>
      <c r="Z87" t="str">
        <f ca="1">IFERROR(IF(0=LEN(ReferenceData!$Z$87),"",ReferenceData!$Z$87),"")</f>
        <v/>
      </c>
      <c r="AA87" t="str">
        <f ca="1">IFERROR(IF(0=LEN(ReferenceData!$AA$87),"",ReferenceData!$AA$87),"")</f>
        <v/>
      </c>
      <c r="AB87" t="str">
        <f ca="1">IFERROR(IF(0=LEN(ReferenceData!$AB$87),"",ReferenceData!$AB$87),"")</f>
        <v/>
      </c>
      <c r="AC87" t="str">
        <f ca="1">IFERROR(IF(0=LEN(ReferenceData!$AC$87),"",ReferenceData!$AC$87),"")</f>
        <v/>
      </c>
      <c r="AD87" t="str">
        <f ca="1">IFERROR(IF(0=LEN(ReferenceData!$AD$87),"",ReferenceData!$AD$87),"")</f>
        <v/>
      </c>
      <c r="AE87" t="str">
        <f ca="1">IFERROR(IF(0=LEN(ReferenceData!$AE$87),"",ReferenceData!$AE$87),"")</f>
        <v/>
      </c>
      <c r="AF87" t="str">
        <f ca="1">IFERROR(IF(0=LEN(ReferenceData!$AF$87),"",ReferenceData!$AF$87),"")</f>
        <v/>
      </c>
      <c r="AG87" t="str">
        <f ca="1">IFERROR(IF(0=LEN(ReferenceData!$AG$87),"",ReferenceData!$AG$87),"")</f>
        <v/>
      </c>
      <c r="AH87" t="str">
        <f ca="1">IFERROR(IF(0=LEN(ReferenceData!$AH$87),"",ReferenceData!$AH$87),"")</f>
        <v/>
      </c>
      <c r="AI87" t="str">
        <f ca="1">IFERROR(IF(0=LEN(ReferenceData!$AI$87),"",ReferenceData!$AI$87),"")</f>
        <v/>
      </c>
      <c r="AJ87" t="str">
        <f ca="1">IFERROR(IF(0=LEN(ReferenceData!$AJ$87),"",ReferenceData!$AJ$87),"")</f>
        <v/>
      </c>
      <c r="AK87" t="str">
        <f ca="1">IFERROR(IF(0=LEN(ReferenceData!$AK$87),"",ReferenceData!$AK$87),"")</f>
        <v/>
      </c>
      <c r="AL87" t="str">
        <f ca="1">IFERROR(IF(0=LEN(ReferenceData!$AL$87),"",ReferenceData!$AL$87),"")</f>
        <v/>
      </c>
      <c r="AM87" t="str">
        <f ca="1">IFERROR(IF(0=LEN(ReferenceData!$AM$87),"",ReferenceData!$AM$87),"")</f>
        <v/>
      </c>
      <c r="AN87" t="str">
        <f ca="1">IFERROR(IF(0=LEN(ReferenceData!$AN$87),"",ReferenceData!$AN$87),"")</f>
        <v/>
      </c>
      <c r="AO87" t="str">
        <f ca="1">IFERROR(IF(0=LEN(ReferenceData!$AO$87),"",ReferenceData!$AO$87),"")</f>
        <v/>
      </c>
      <c r="AP87" t="str">
        <f ca="1">IFERROR(IF(0=LEN(ReferenceData!$AP$87),"",ReferenceData!$AP$87),"")</f>
        <v/>
      </c>
      <c r="AQ87" t="str">
        <f ca="1">IFERROR(IF(0=LEN(ReferenceData!$AQ$87),"",ReferenceData!$AQ$87),"")</f>
        <v/>
      </c>
      <c r="AR87" t="str">
        <f ca="1">IFERROR(IF(0=LEN(ReferenceData!$AR$87),"",ReferenceData!$AR$87),"")</f>
        <v/>
      </c>
      <c r="AS87" t="str">
        <f ca="1">IFERROR(IF(0=LEN(ReferenceData!$AS$87),"",ReferenceData!$AS$87),"")</f>
        <v/>
      </c>
      <c r="AT87" t="str">
        <f ca="1">IFERROR(IF(0=LEN(ReferenceData!$AT$87),"",ReferenceData!$AT$87),"")</f>
        <v/>
      </c>
      <c r="AU87" t="str">
        <f ca="1">IFERROR(IF(0=LEN(ReferenceData!$AU$87),"",ReferenceData!$AU$87),"")</f>
        <v/>
      </c>
      <c r="AV87" t="str">
        <f ca="1">IFERROR(IF(0=LEN(ReferenceData!$AV$87),"",ReferenceData!$AV$87),"")</f>
        <v/>
      </c>
      <c r="AW87" t="str">
        <f ca="1">IFERROR(IF(0=LEN(ReferenceData!$AW$87),"",ReferenceData!$AW$87),"")</f>
        <v/>
      </c>
      <c r="AX87" t="str">
        <f ca="1">IFERROR(IF(0=LEN(ReferenceData!$AX$87),"",ReferenceData!$AX$87),"")</f>
        <v/>
      </c>
      <c r="AY87" t="str">
        <f ca="1">IFERROR(IF(0=LEN(ReferenceData!$AY$87),"",ReferenceData!$AY$87),"")</f>
        <v/>
      </c>
      <c r="AZ87" t="str">
        <f ca="1">IFERROR(IF(0=LEN(ReferenceData!$AZ$87),"",ReferenceData!$AZ$87),"")</f>
        <v/>
      </c>
      <c r="BA87" t="str">
        <f ca="1">IFERROR(IF(0=LEN(ReferenceData!$BA$87),"",ReferenceData!$BA$87),"")</f>
        <v/>
      </c>
      <c r="BB87" t="str">
        <f ca="1">IFERROR(IF(0=LEN(ReferenceData!$BB$87),"",ReferenceData!$BB$87),"")</f>
        <v/>
      </c>
      <c r="BC87" t="str">
        <f ca="1">IFERROR(IF(0=LEN(ReferenceData!$BC$87),"",ReferenceData!$BC$87),"")</f>
        <v/>
      </c>
      <c r="BD87" t="str">
        <f ca="1">IFERROR(IF(0=LEN(ReferenceData!$BD$87),"",ReferenceData!$BD$87),"")</f>
        <v/>
      </c>
      <c r="BE87" t="str">
        <f ca="1">IFERROR(IF(0=LEN(ReferenceData!$BE$87),"",ReferenceData!$BE$87),"")</f>
        <v/>
      </c>
      <c r="BF87" t="str">
        <f ca="1">IFERROR(IF(0=LEN(ReferenceData!$BF$87),"",ReferenceData!$BF$87),"")</f>
        <v/>
      </c>
      <c r="BG87" t="str">
        <f ca="1">IFERROR(IF(0=LEN(ReferenceData!$BG$87),"",ReferenceData!$BG$87),"")</f>
        <v/>
      </c>
      <c r="BH87" t="str">
        <f ca="1">IFERROR(IF(0=LEN(ReferenceData!$BH$87),"",ReferenceData!$BH$87),"")</f>
        <v/>
      </c>
      <c r="BI87" t="str">
        <f ca="1">IFERROR(IF(0=LEN(ReferenceData!$BI$87),"",ReferenceData!$BI$87),"")</f>
        <v/>
      </c>
      <c r="BJ87" t="str">
        <f ca="1">IFERROR(IF(0=LEN(ReferenceData!$BJ$87),"",ReferenceData!$BJ$87),"")</f>
        <v/>
      </c>
      <c r="BK87" t="str">
        <f ca="1">IFERROR(IF(0=LEN(ReferenceData!$BK$87),"",ReferenceData!$BK$87),"")</f>
        <v/>
      </c>
      <c r="BL87" t="str">
        <f ca="1">IFERROR(IF(0=LEN(ReferenceData!$BL$87),"",ReferenceData!$BL$87),"")</f>
        <v/>
      </c>
      <c r="BM87" t="str">
        <f ca="1">IFERROR(IF(0=LEN(ReferenceData!$BM$87),"",ReferenceData!$BM$87),"")</f>
        <v/>
      </c>
    </row>
    <row r="88" spans="1:65" x14ac:dyDescent="0.25">
      <c r="A88" t="str">
        <f>IFERROR(IF(0=LEN(ReferenceData!$A$88),"",ReferenceData!$A$88),"")</f>
        <v xml:space="preserve">    Avtovaz PJSC</v>
      </c>
      <c r="B88" t="str">
        <f>IFERROR(IF(0=LEN(ReferenceData!$B$88),"",ReferenceData!$B$88),"")</f>
        <v>AVAZ RM Equity</v>
      </c>
      <c r="C88" t="str">
        <f>IFERROR(IF(0=LEN(ReferenceData!$C$88),"",ReferenceData!$C$88),"")</f>
        <v>EZ010</v>
      </c>
      <c r="D88" t="str">
        <f>IFERROR(IF(0=LEN(ReferenceData!$D$88),"",ReferenceData!$D$88),"")</f>
        <v>BEST_EST_PE_NXT_YR</v>
      </c>
      <c r="E88" t="str">
        <f>IFERROR(IF(0=LEN(ReferenceData!$E$88),"",ReferenceData!$E$88),"")</f>
        <v>Dynamic</v>
      </c>
      <c r="F88" t="str">
        <f ca="1">IFERROR(IF(0=LEN(ReferenceData!$F$88),"",ReferenceData!$F$88),"")</f>
        <v/>
      </c>
      <c r="G88" t="str">
        <f ca="1">IFERROR(IF(0=LEN(ReferenceData!$G$88),"",ReferenceData!$G$88),"")</f>
        <v/>
      </c>
      <c r="H88" t="str">
        <f ca="1">IFERROR(IF(0=LEN(ReferenceData!$H$88),"",ReferenceData!$H$88),"")</f>
        <v/>
      </c>
      <c r="I88" t="str">
        <f ca="1">IFERROR(IF(0=LEN(ReferenceData!$I$88),"",ReferenceData!$I$88),"")</f>
        <v/>
      </c>
      <c r="J88" t="str">
        <f ca="1">IFERROR(IF(0=LEN(ReferenceData!$J$88),"",ReferenceData!$J$88),"")</f>
        <v/>
      </c>
      <c r="K88" t="str">
        <f ca="1">IFERROR(IF(0=LEN(ReferenceData!$K$88),"",ReferenceData!$K$88),"")</f>
        <v/>
      </c>
      <c r="L88" t="str">
        <f ca="1">IFERROR(IF(0=LEN(ReferenceData!$L$88),"",ReferenceData!$L$88),"")</f>
        <v/>
      </c>
      <c r="M88" t="str">
        <f ca="1">IFERROR(IF(0=LEN(ReferenceData!$M$88),"",ReferenceData!$M$88),"")</f>
        <v/>
      </c>
      <c r="N88" t="str">
        <f ca="1">IFERROR(IF(0=LEN(ReferenceData!$N$88),"",ReferenceData!$N$88),"")</f>
        <v/>
      </c>
      <c r="O88" t="str">
        <f ca="1">IFERROR(IF(0=LEN(ReferenceData!$O$88),"",ReferenceData!$O$88),"")</f>
        <v/>
      </c>
      <c r="P88" t="str">
        <f ca="1">IFERROR(IF(0=LEN(ReferenceData!$P$88),"",ReferenceData!$P$88),"")</f>
        <v/>
      </c>
      <c r="Q88">
        <f ca="1">IFERROR(IF(0=LEN(ReferenceData!$Q$88),"",ReferenceData!$Q$88),"")</f>
        <v>0.95769297900000006</v>
      </c>
      <c r="R88">
        <f ca="1">IFERROR(IF(0=LEN(ReferenceData!$R$88),"",ReferenceData!$R$88),"")</f>
        <v>0.98844458800000001</v>
      </c>
      <c r="S88">
        <f ca="1">IFERROR(IF(0=LEN(ReferenceData!$S$88),"",ReferenceData!$S$88),"")</f>
        <v>1.033473731</v>
      </c>
      <c r="T88">
        <f ca="1">IFERROR(IF(0=LEN(ReferenceData!$T$88),"",ReferenceData!$T$88),"")</f>
        <v>1.3064107149999999</v>
      </c>
      <c r="U88">
        <f ca="1">IFERROR(IF(0=LEN(ReferenceData!$U$88),"",ReferenceData!$U$88),"")</f>
        <v>1.330381553</v>
      </c>
      <c r="V88">
        <f ca="1">IFERROR(IF(0=LEN(ReferenceData!$V$88),"",ReferenceData!$V$88),"")</f>
        <v>1.5660948020000001</v>
      </c>
      <c r="W88" t="str">
        <f ca="1">IFERROR(IF(0=LEN(ReferenceData!$W$88),"",ReferenceData!$W$88),"")</f>
        <v/>
      </c>
      <c r="X88" t="str">
        <f ca="1">IFERROR(IF(0=LEN(ReferenceData!$X$88),"",ReferenceData!$X$88),"")</f>
        <v/>
      </c>
      <c r="Y88" t="str">
        <f ca="1">IFERROR(IF(0=LEN(ReferenceData!$Y$88),"",ReferenceData!$Y$88),"")</f>
        <v/>
      </c>
      <c r="Z88" t="str">
        <f ca="1">IFERROR(IF(0=LEN(ReferenceData!$Z$88),"",ReferenceData!$Z$88),"")</f>
        <v/>
      </c>
      <c r="AA88" t="str">
        <f ca="1">IFERROR(IF(0=LEN(ReferenceData!$AA$88),"",ReferenceData!$AA$88),"")</f>
        <v/>
      </c>
      <c r="AB88" t="str">
        <f ca="1">IFERROR(IF(0=LEN(ReferenceData!$AB$88),"",ReferenceData!$AB$88),"")</f>
        <v/>
      </c>
      <c r="AC88" t="str">
        <f ca="1">IFERROR(IF(0=LEN(ReferenceData!$AC$88),"",ReferenceData!$AC$88),"")</f>
        <v/>
      </c>
      <c r="AD88" t="str">
        <f ca="1">IFERROR(IF(0=LEN(ReferenceData!$AD$88),"",ReferenceData!$AD$88),"")</f>
        <v/>
      </c>
      <c r="AE88" t="str">
        <f ca="1">IFERROR(IF(0=LEN(ReferenceData!$AE$88),"",ReferenceData!$AE$88),"")</f>
        <v/>
      </c>
      <c r="AF88" t="str">
        <f ca="1">IFERROR(IF(0=LEN(ReferenceData!$AF$88),"",ReferenceData!$AF$88),"")</f>
        <v/>
      </c>
      <c r="AG88" t="str">
        <f ca="1">IFERROR(IF(0=LEN(ReferenceData!$AG$88),"",ReferenceData!$AG$88),"")</f>
        <v/>
      </c>
      <c r="AH88" t="str">
        <f ca="1">IFERROR(IF(0=LEN(ReferenceData!$AH$88),"",ReferenceData!$AH$88),"")</f>
        <v/>
      </c>
      <c r="AI88" t="str">
        <f ca="1">IFERROR(IF(0=LEN(ReferenceData!$AI$88),"",ReferenceData!$AI$88),"")</f>
        <v/>
      </c>
      <c r="AJ88" t="str">
        <f ca="1">IFERROR(IF(0=LEN(ReferenceData!$AJ$88),"",ReferenceData!$AJ$88),"")</f>
        <v/>
      </c>
      <c r="AK88" t="str">
        <f ca="1">IFERROR(IF(0=LEN(ReferenceData!$AK$88),"",ReferenceData!$AK$88),"")</f>
        <v/>
      </c>
      <c r="AL88" t="str">
        <f ca="1">IFERROR(IF(0=LEN(ReferenceData!$AL$88),"",ReferenceData!$AL$88),"")</f>
        <v/>
      </c>
      <c r="AM88" t="str">
        <f ca="1">IFERROR(IF(0=LEN(ReferenceData!$AM$88),"",ReferenceData!$AM$88),"")</f>
        <v/>
      </c>
      <c r="AN88" t="str">
        <f ca="1">IFERROR(IF(0=LEN(ReferenceData!$AN$88),"",ReferenceData!$AN$88),"")</f>
        <v/>
      </c>
      <c r="AO88" t="str">
        <f ca="1">IFERROR(IF(0=LEN(ReferenceData!$AO$88),"",ReferenceData!$AO$88),"")</f>
        <v/>
      </c>
      <c r="AP88" t="str">
        <f ca="1">IFERROR(IF(0=LEN(ReferenceData!$AP$88),"",ReferenceData!$AP$88),"")</f>
        <v/>
      </c>
      <c r="AQ88" t="str">
        <f ca="1">IFERROR(IF(0=LEN(ReferenceData!$AQ$88),"",ReferenceData!$AQ$88),"")</f>
        <v/>
      </c>
      <c r="AR88" t="str">
        <f ca="1">IFERROR(IF(0=LEN(ReferenceData!$AR$88),"",ReferenceData!$AR$88),"")</f>
        <v/>
      </c>
      <c r="AS88" t="str">
        <f ca="1">IFERROR(IF(0=LEN(ReferenceData!$AS$88),"",ReferenceData!$AS$88),"")</f>
        <v/>
      </c>
      <c r="AT88" t="str">
        <f ca="1">IFERROR(IF(0=LEN(ReferenceData!$AT$88),"",ReferenceData!$AT$88),"")</f>
        <v/>
      </c>
      <c r="AU88" t="str">
        <f ca="1">IFERROR(IF(0=LEN(ReferenceData!$AU$88),"",ReferenceData!$AU$88),"")</f>
        <v/>
      </c>
      <c r="AV88" t="str">
        <f ca="1">IFERROR(IF(0=LEN(ReferenceData!$AV$88),"",ReferenceData!$AV$88),"")</f>
        <v/>
      </c>
      <c r="AW88" t="str">
        <f ca="1">IFERROR(IF(0=LEN(ReferenceData!$AW$88),"",ReferenceData!$AW$88),"")</f>
        <v/>
      </c>
      <c r="AX88" t="str">
        <f ca="1">IFERROR(IF(0=LEN(ReferenceData!$AX$88),"",ReferenceData!$AX$88),"")</f>
        <v/>
      </c>
      <c r="AY88" t="str">
        <f ca="1">IFERROR(IF(0=LEN(ReferenceData!$AY$88),"",ReferenceData!$AY$88),"")</f>
        <v/>
      </c>
      <c r="AZ88" t="str">
        <f ca="1">IFERROR(IF(0=LEN(ReferenceData!$AZ$88),"",ReferenceData!$AZ$88),"")</f>
        <v/>
      </c>
      <c r="BA88" t="str">
        <f ca="1">IFERROR(IF(0=LEN(ReferenceData!$BA$88),"",ReferenceData!$BA$88),"")</f>
        <v/>
      </c>
      <c r="BB88" t="str">
        <f ca="1">IFERROR(IF(0=LEN(ReferenceData!$BB$88),"",ReferenceData!$BB$88),"")</f>
        <v/>
      </c>
      <c r="BC88" t="str">
        <f ca="1">IFERROR(IF(0=LEN(ReferenceData!$BC$88),"",ReferenceData!$BC$88),"")</f>
        <v/>
      </c>
      <c r="BD88" t="str">
        <f ca="1">IFERROR(IF(0=LEN(ReferenceData!$BD$88),"",ReferenceData!$BD$88),"")</f>
        <v/>
      </c>
      <c r="BE88" t="str">
        <f ca="1">IFERROR(IF(0=LEN(ReferenceData!$BE$88),"",ReferenceData!$BE$88),"")</f>
        <v/>
      </c>
      <c r="BF88" t="str">
        <f ca="1">IFERROR(IF(0=LEN(ReferenceData!$BF$88),"",ReferenceData!$BF$88),"")</f>
        <v/>
      </c>
      <c r="BG88" t="str">
        <f ca="1">IFERROR(IF(0=LEN(ReferenceData!$BG$88),"",ReferenceData!$BG$88),"")</f>
        <v/>
      </c>
      <c r="BH88" t="str">
        <f ca="1">IFERROR(IF(0=LEN(ReferenceData!$BH$88),"",ReferenceData!$BH$88),"")</f>
        <v/>
      </c>
      <c r="BI88" t="str">
        <f ca="1">IFERROR(IF(0=LEN(ReferenceData!$BI$88),"",ReferenceData!$BI$88),"")</f>
        <v/>
      </c>
      <c r="BJ88" t="str">
        <f ca="1">IFERROR(IF(0=LEN(ReferenceData!$BJ$88),"",ReferenceData!$BJ$88),"")</f>
        <v/>
      </c>
      <c r="BK88" t="str">
        <f ca="1">IFERROR(IF(0=LEN(ReferenceData!$BK$88),"",ReferenceData!$BK$88),"")</f>
        <v/>
      </c>
      <c r="BL88" t="str">
        <f ca="1">IFERROR(IF(0=LEN(ReferenceData!$BL$88),"",ReferenceData!$BL$88),"")</f>
        <v/>
      </c>
      <c r="BM88" t="str">
        <f ca="1">IFERROR(IF(0=LEN(ReferenceData!$BM$88),"",ReferenceData!$BM$88),"")</f>
        <v/>
      </c>
    </row>
    <row r="89" spans="1:65" x14ac:dyDescent="0.25">
      <c r="A89" t="str">
        <f>IFERROR(IF(0=LEN(ReferenceData!$A$89),"",ReferenceData!$A$89),"")</f>
        <v xml:space="preserve">    Bayerische Motoren Werke AG</v>
      </c>
      <c r="B89" t="str">
        <f>IFERROR(IF(0=LEN(ReferenceData!$B$89),"",ReferenceData!$B$89),"")</f>
        <v>BMW GR Equity</v>
      </c>
      <c r="C89" t="str">
        <f>IFERROR(IF(0=LEN(ReferenceData!$C$89),"",ReferenceData!$C$89),"")</f>
        <v>EZ010</v>
      </c>
      <c r="D89" t="str">
        <f>IFERROR(IF(0=LEN(ReferenceData!$D$89),"",ReferenceData!$D$89),"")</f>
        <v>BEST_EST_PE_NXT_YR</v>
      </c>
      <c r="E89" t="str">
        <f>IFERROR(IF(0=LEN(ReferenceData!$E$89),"",ReferenceData!$E$89),"")</f>
        <v>Dynamic</v>
      </c>
      <c r="F89">
        <f ca="1">IFERROR(IF(0=LEN(ReferenceData!$F$89),"",ReferenceData!$F$89),"")</f>
        <v>7.0977917980000003</v>
      </c>
      <c r="G89">
        <f ca="1">IFERROR(IF(0=LEN(ReferenceData!$G$89),"",ReferenceData!$G$89),"")</f>
        <v>6.5329883569999998</v>
      </c>
      <c r="H89">
        <f ca="1">IFERROR(IF(0=LEN(ReferenceData!$H$89),"",ReferenceData!$H$89),"")</f>
        <v>7.0282035</v>
      </c>
      <c r="I89">
        <f ca="1">IFERROR(IF(0=LEN(ReferenceData!$I$89),"",ReferenceData!$I$89),"")</f>
        <v>6.5773859979999996</v>
      </c>
      <c r="J89">
        <f ca="1">IFERROR(IF(0=LEN(ReferenceData!$J$89),"",ReferenceData!$J$89),"")</f>
        <v>7.4752181650000002</v>
      </c>
      <c r="K89">
        <f ca="1">IFERROR(IF(0=LEN(ReferenceData!$K$89),"",ReferenceData!$K$89),"")</f>
        <v>7.6313939179999997</v>
      </c>
      <c r="L89">
        <f ca="1">IFERROR(IF(0=LEN(ReferenceData!$L$89),"",ReferenceData!$L$89),"")</f>
        <v>7.6399178790000004</v>
      </c>
      <c r="M89">
        <f ca="1">IFERROR(IF(0=LEN(ReferenceData!$M$89),"",ReferenceData!$M$89),"")</f>
        <v>7.3800343919999998</v>
      </c>
      <c r="N89">
        <f ca="1">IFERROR(IF(0=LEN(ReferenceData!$N$89),"",ReferenceData!$N$89),"")</f>
        <v>8.0105854799999996</v>
      </c>
      <c r="O89">
        <f ca="1">IFERROR(IF(0=LEN(ReferenceData!$O$89),"",ReferenceData!$O$89),"")</f>
        <v>9.5327604729999997</v>
      </c>
      <c r="P89">
        <f ca="1">IFERROR(IF(0=LEN(ReferenceData!$P$89),"",ReferenceData!$P$89),"")</f>
        <v>7.2467280660000002</v>
      </c>
      <c r="Q89">
        <f ca="1">IFERROR(IF(0=LEN(ReferenceData!$Q$89),"",ReferenceData!$Q$89),"")</f>
        <v>7.4720840869999998</v>
      </c>
      <c r="R89">
        <f ca="1">IFERROR(IF(0=LEN(ReferenceData!$R$89),"",ReferenceData!$R$89),"")</f>
        <v>7.959861933</v>
      </c>
      <c r="S89">
        <f ca="1">IFERROR(IF(0=LEN(ReferenceData!$S$89),"",ReferenceData!$S$89),"")</f>
        <v>9.7367108810000005</v>
      </c>
      <c r="T89">
        <f ca="1">IFERROR(IF(0=LEN(ReferenceData!$T$89),"",ReferenceData!$T$89),"")</f>
        <v>7.5667655790000001</v>
      </c>
      <c r="U89">
        <f ca="1">IFERROR(IF(0=LEN(ReferenceData!$U$89),"",ReferenceData!$U$89),"")</f>
        <v>9.3155555559999996</v>
      </c>
      <c r="V89">
        <f ca="1">IFERROR(IF(0=LEN(ReferenceData!$V$89),"",ReferenceData!$V$89),"")</f>
        <v>11.99253886</v>
      </c>
      <c r="W89" t="str">
        <f ca="1">IFERROR(IF(0=LEN(ReferenceData!$W$89),"",ReferenceData!$W$89),"")</f>
        <v/>
      </c>
      <c r="X89" t="str">
        <f ca="1">IFERROR(IF(0=LEN(ReferenceData!$X$89),"",ReferenceData!$X$89),"")</f>
        <v/>
      </c>
      <c r="Y89" t="str">
        <f ca="1">IFERROR(IF(0=LEN(ReferenceData!$Y$89),"",ReferenceData!$Y$89),"")</f>
        <v/>
      </c>
      <c r="Z89" t="str">
        <f ca="1">IFERROR(IF(0=LEN(ReferenceData!$Z$89),"",ReferenceData!$Z$89),"")</f>
        <v/>
      </c>
      <c r="AA89" t="str">
        <f ca="1">IFERROR(IF(0=LEN(ReferenceData!$AA$89),"",ReferenceData!$AA$89),"")</f>
        <v/>
      </c>
      <c r="AB89" t="str">
        <f ca="1">IFERROR(IF(0=LEN(ReferenceData!$AB$89),"",ReferenceData!$AB$89),"")</f>
        <v/>
      </c>
      <c r="AC89" t="str">
        <f ca="1">IFERROR(IF(0=LEN(ReferenceData!$AC$89),"",ReferenceData!$AC$89),"")</f>
        <v/>
      </c>
      <c r="AD89" t="str">
        <f ca="1">IFERROR(IF(0=LEN(ReferenceData!$AD$89),"",ReferenceData!$AD$89),"")</f>
        <v/>
      </c>
      <c r="AE89" t="str">
        <f ca="1">IFERROR(IF(0=LEN(ReferenceData!$AE$89),"",ReferenceData!$AE$89),"")</f>
        <v/>
      </c>
      <c r="AF89" t="str">
        <f ca="1">IFERROR(IF(0=LEN(ReferenceData!$AF$89),"",ReferenceData!$AF$89),"")</f>
        <v/>
      </c>
      <c r="AG89" t="str">
        <f ca="1">IFERROR(IF(0=LEN(ReferenceData!$AG$89),"",ReferenceData!$AG$89),"")</f>
        <v/>
      </c>
      <c r="AH89" t="str">
        <f ca="1">IFERROR(IF(0=LEN(ReferenceData!$AH$89),"",ReferenceData!$AH$89),"")</f>
        <v/>
      </c>
      <c r="AI89" t="str">
        <f ca="1">IFERROR(IF(0=LEN(ReferenceData!$AI$89),"",ReferenceData!$AI$89),"")</f>
        <v/>
      </c>
      <c r="AJ89" t="str">
        <f ca="1">IFERROR(IF(0=LEN(ReferenceData!$AJ$89),"",ReferenceData!$AJ$89),"")</f>
        <v/>
      </c>
      <c r="AK89" t="str">
        <f ca="1">IFERROR(IF(0=LEN(ReferenceData!$AK$89),"",ReferenceData!$AK$89),"")</f>
        <v/>
      </c>
      <c r="AL89" t="str">
        <f ca="1">IFERROR(IF(0=LEN(ReferenceData!$AL$89),"",ReferenceData!$AL$89),"")</f>
        <v/>
      </c>
      <c r="AM89" t="str">
        <f ca="1">IFERROR(IF(0=LEN(ReferenceData!$AM$89),"",ReferenceData!$AM$89),"")</f>
        <v/>
      </c>
      <c r="AN89" t="str">
        <f ca="1">IFERROR(IF(0=LEN(ReferenceData!$AN$89),"",ReferenceData!$AN$89),"")</f>
        <v/>
      </c>
      <c r="AO89" t="str">
        <f ca="1">IFERROR(IF(0=LEN(ReferenceData!$AO$89),"",ReferenceData!$AO$89),"")</f>
        <v/>
      </c>
      <c r="AP89" t="str">
        <f ca="1">IFERROR(IF(0=LEN(ReferenceData!$AP$89),"",ReferenceData!$AP$89),"")</f>
        <v/>
      </c>
      <c r="AQ89" t="str">
        <f ca="1">IFERROR(IF(0=LEN(ReferenceData!$AQ$89),"",ReferenceData!$AQ$89),"")</f>
        <v/>
      </c>
      <c r="AR89" t="str">
        <f ca="1">IFERROR(IF(0=LEN(ReferenceData!$AR$89),"",ReferenceData!$AR$89),"")</f>
        <v/>
      </c>
      <c r="AS89" t="str">
        <f ca="1">IFERROR(IF(0=LEN(ReferenceData!$AS$89),"",ReferenceData!$AS$89),"")</f>
        <v/>
      </c>
      <c r="AT89" t="str">
        <f ca="1">IFERROR(IF(0=LEN(ReferenceData!$AT$89),"",ReferenceData!$AT$89),"")</f>
        <v/>
      </c>
      <c r="AU89" t="str">
        <f ca="1">IFERROR(IF(0=LEN(ReferenceData!$AU$89),"",ReferenceData!$AU$89),"")</f>
        <v/>
      </c>
      <c r="AV89" t="str">
        <f ca="1">IFERROR(IF(0=LEN(ReferenceData!$AV$89),"",ReferenceData!$AV$89),"")</f>
        <v/>
      </c>
      <c r="AW89" t="str">
        <f ca="1">IFERROR(IF(0=LEN(ReferenceData!$AW$89),"",ReferenceData!$AW$89),"")</f>
        <v/>
      </c>
      <c r="AX89" t="str">
        <f ca="1">IFERROR(IF(0=LEN(ReferenceData!$AX$89),"",ReferenceData!$AX$89),"")</f>
        <v/>
      </c>
      <c r="AY89" t="str">
        <f ca="1">IFERROR(IF(0=LEN(ReferenceData!$AY$89),"",ReferenceData!$AY$89),"")</f>
        <v/>
      </c>
      <c r="AZ89" t="str">
        <f ca="1">IFERROR(IF(0=LEN(ReferenceData!$AZ$89),"",ReferenceData!$AZ$89),"")</f>
        <v/>
      </c>
      <c r="BA89" t="str">
        <f ca="1">IFERROR(IF(0=LEN(ReferenceData!$BA$89),"",ReferenceData!$BA$89),"")</f>
        <v/>
      </c>
      <c r="BB89" t="str">
        <f ca="1">IFERROR(IF(0=LEN(ReferenceData!$BB$89),"",ReferenceData!$BB$89),"")</f>
        <v/>
      </c>
      <c r="BC89" t="str">
        <f ca="1">IFERROR(IF(0=LEN(ReferenceData!$BC$89),"",ReferenceData!$BC$89),"")</f>
        <v/>
      </c>
      <c r="BD89" t="str">
        <f ca="1">IFERROR(IF(0=LEN(ReferenceData!$BD$89),"",ReferenceData!$BD$89),"")</f>
        <v/>
      </c>
      <c r="BE89" t="str">
        <f ca="1">IFERROR(IF(0=LEN(ReferenceData!$BE$89),"",ReferenceData!$BE$89),"")</f>
        <v/>
      </c>
      <c r="BF89" t="str">
        <f ca="1">IFERROR(IF(0=LEN(ReferenceData!$BF$89),"",ReferenceData!$BF$89),"")</f>
        <v/>
      </c>
      <c r="BG89" t="str">
        <f ca="1">IFERROR(IF(0=LEN(ReferenceData!$BG$89),"",ReferenceData!$BG$89),"")</f>
        <v/>
      </c>
      <c r="BH89" t="str">
        <f ca="1">IFERROR(IF(0=LEN(ReferenceData!$BH$89),"",ReferenceData!$BH$89),"")</f>
        <v/>
      </c>
      <c r="BI89" t="str">
        <f ca="1">IFERROR(IF(0=LEN(ReferenceData!$BI$89),"",ReferenceData!$BI$89),"")</f>
        <v/>
      </c>
      <c r="BJ89" t="str">
        <f ca="1">IFERROR(IF(0=LEN(ReferenceData!$BJ$89),"",ReferenceData!$BJ$89),"")</f>
        <v/>
      </c>
      <c r="BK89" t="str">
        <f ca="1">IFERROR(IF(0=LEN(ReferenceData!$BK$89),"",ReferenceData!$BK$89),"")</f>
        <v/>
      </c>
      <c r="BL89" t="str">
        <f ca="1">IFERROR(IF(0=LEN(ReferenceData!$BL$89),"",ReferenceData!$BL$89),"")</f>
        <v/>
      </c>
      <c r="BM89" t="str">
        <f ca="1">IFERROR(IF(0=LEN(ReferenceData!$BM$89),"",ReferenceData!$BM$89),"")</f>
        <v/>
      </c>
    </row>
    <row r="90" spans="1:65" x14ac:dyDescent="0.25">
      <c r="A90" t="str">
        <f>IFERROR(IF(0=LEN(ReferenceData!$A$90),"",ReferenceData!$A$90),"")</f>
        <v xml:space="preserve">    Brilliance China Automotive Holdings Ltd</v>
      </c>
      <c r="B90" t="str">
        <f>IFERROR(IF(0=LEN(ReferenceData!$B$90),"",ReferenceData!$B$90),"")</f>
        <v>1114 HK Equity</v>
      </c>
      <c r="C90" t="str">
        <f>IFERROR(IF(0=LEN(ReferenceData!$C$90),"",ReferenceData!$C$90),"")</f>
        <v>EZ010</v>
      </c>
      <c r="D90" t="str">
        <f>IFERROR(IF(0=LEN(ReferenceData!$D$90),"",ReferenceData!$D$90),"")</f>
        <v>BEST_EST_PE_NXT_YR</v>
      </c>
      <c r="E90" t="str">
        <f>IFERROR(IF(0=LEN(ReferenceData!$E$90),"",ReferenceData!$E$90),"")</f>
        <v>Dynamic</v>
      </c>
      <c r="F90">
        <f ca="1">IFERROR(IF(0=LEN(ReferenceData!$F$90),"",ReferenceData!$F$90),"")</f>
        <v>4.418756546</v>
      </c>
      <c r="G90">
        <f ca="1">IFERROR(IF(0=LEN(ReferenceData!$G$90),"",ReferenceData!$G$90),"")</f>
        <v>3.375148974</v>
      </c>
      <c r="H90">
        <f ca="1">IFERROR(IF(0=LEN(ReferenceData!$H$90),"",ReferenceData!$H$90),"")</f>
        <v>6.8428248500000004</v>
      </c>
      <c r="I90">
        <f ca="1">IFERROR(IF(0=LEN(ReferenceData!$I$90),"",ReferenceData!$I$90),"")</f>
        <v>6.9784710890000001</v>
      </c>
      <c r="J90">
        <f ca="1">IFERROR(IF(0=LEN(ReferenceData!$J$90),"",ReferenceData!$J$90),"")</f>
        <v>7.276299485</v>
      </c>
      <c r="K90">
        <f ca="1">IFERROR(IF(0=LEN(ReferenceData!$K$90),"",ReferenceData!$K$90),"")</f>
        <v>8.9727677650000004</v>
      </c>
      <c r="L90">
        <f ca="1">IFERROR(IF(0=LEN(ReferenceData!$L$90),"",ReferenceData!$L$90),"")</f>
        <v>9.1868646199999997</v>
      </c>
      <c r="M90">
        <f ca="1">IFERROR(IF(0=LEN(ReferenceData!$M$90),"",ReferenceData!$M$90),"")</f>
        <v>7.970808957</v>
      </c>
      <c r="N90">
        <f ca="1">IFERROR(IF(0=LEN(ReferenceData!$N$90),"",ReferenceData!$N$90),"")</f>
        <v>7.4512325659999998</v>
      </c>
      <c r="O90">
        <f ca="1">IFERROR(IF(0=LEN(ReferenceData!$O$90),"",ReferenceData!$O$90),"")</f>
        <v>7.080403123</v>
      </c>
      <c r="P90" t="str">
        <f ca="1">IFERROR(IF(0=LEN(ReferenceData!$P$90),"",ReferenceData!$P$90),"")</f>
        <v/>
      </c>
      <c r="Q90" t="str">
        <f ca="1">IFERROR(IF(0=LEN(ReferenceData!$Q$90),"",ReferenceData!$Q$90),"")</f>
        <v/>
      </c>
      <c r="R90" t="str">
        <f ca="1">IFERROR(IF(0=LEN(ReferenceData!$R$90),"",ReferenceData!$R$90),"")</f>
        <v/>
      </c>
      <c r="S90" t="str">
        <f ca="1">IFERROR(IF(0=LEN(ReferenceData!$S$90),"",ReferenceData!$S$90),"")</f>
        <v/>
      </c>
      <c r="T90" t="str">
        <f ca="1">IFERROR(IF(0=LEN(ReferenceData!$T$90),"",ReferenceData!$T$90),"")</f>
        <v/>
      </c>
      <c r="U90" t="str">
        <f ca="1">IFERROR(IF(0=LEN(ReferenceData!$U$90),"",ReferenceData!$U$90),"")</f>
        <v/>
      </c>
      <c r="V90" t="str">
        <f ca="1">IFERROR(IF(0=LEN(ReferenceData!$V$90),"",ReferenceData!$V$90),"")</f>
        <v/>
      </c>
      <c r="W90" t="str">
        <f ca="1">IFERROR(IF(0=LEN(ReferenceData!$W$90),"",ReferenceData!$W$90),"")</f>
        <v/>
      </c>
      <c r="X90" t="str">
        <f ca="1">IFERROR(IF(0=LEN(ReferenceData!$X$90),"",ReferenceData!$X$90),"")</f>
        <v/>
      </c>
      <c r="Y90" t="str">
        <f ca="1">IFERROR(IF(0=LEN(ReferenceData!$Y$90),"",ReferenceData!$Y$90),"")</f>
        <v/>
      </c>
      <c r="Z90" t="str">
        <f ca="1">IFERROR(IF(0=LEN(ReferenceData!$Z$90),"",ReferenceData!$Z$90),"")</f>
        <v/>
      </c>
      <c r="AA90" t="str">
        <f ca="1">IFERROR(IF(0=LEN(ReferenceData!$AA$90),"",ReferenceData!$AA$90),"")</f>
        <v/>
      </c>
      <c r="AB90" t="str">
        <f ca="1">IFERROR(IF(0=LEN(ReferenceData!$AB$90),"",ReferenceData!$AB$90),"")</f>
        <v/>
      </c>
      <c r="AC90" t="str">
        <f ca="1">IFERROR(IF(0=LEN(ReferenceData!$AC$90),"",ReferenceData!$AC$90),"")</f>
        <v/>
      </c>
      <c r="AD90" t="str">
        <f ca="1">IFERROR(IF(0=LEN(ReferenceData!$AD$90),"",ReferenceData!$AD$90),"")</f>
        <v/>
      </c>
      <c r="AE90" t="str">
        <f ca="1">IFERROR(IF(0=LEN(ReferenceData!$AE$90),"",ReferenceData!$AE$90),"")</f>
        <v/>
      </c>
      <c r="AF90" t="str">
        <f ca="1">IFERROR(IF(0=LEN(ReferenceData!$AF$90),"",ReferenceData!$AF$90),"")</f>
        <v/>
      </c>
      <c r="AG90" t="str">
        <f ca="1">IFERROR(IF(0=LEN(ReferenceData!$AG$90),"",ReferenceData!$AG$90),"")</f>
        <v/>
      </c>
      <c r="AH90" t="str">
        <f ca="1">IFERROR(IF(0=LEN(ReferenceData!$AH$90),"",ReferenceData!$AH$90),"")</f>
        <v/>
      </c>
      <c r="AI90" t="str">
        <f ca="1">IFERROR(IF(0=LEN(ReferenceData!$AI$90),"",ReferenceData!$AI$90),"")</f>
        <v/>
      </c>
      <c r="AJ90" t="str">
        <f ca="1">IFERROR(IF(0=LEN(ReferenceData!$AJ$90),"",ReferenceData!$AJ$90),"")</f>
        <v/>
      </c>
      <c r="AK90" t="str">
        <f ca="1">IFERROR(IF(0=LEN(ReferenceData!$AK$90),"",ReferenceData!$AK$90),"")</f>
        <v/>
      </c>
      <c r="AL90" t="str">
        <f ca="1">IFERROR(IF(0=LEN(ReferenceData!$AL$90),"",ReferenceData!$AL$90),"")</f>
        <v/>
      </c>
      <c r="AM90" t="str">
        <f ca="1">IFERROR(IF(0=LEN(ReferenceData!$AM$90),"",ReferenceData!$AM$90),"")</f>
        <v/>
      </c>
      <c r="AN90" t="str">
        <f ca="1">IFERROR(IF(0=LEN(ReferenceData!$AN$90),"",ReferenceData!$AN$90),"")</f>
        <v/>
      </c>
      <c r="AO90" t="str">
        <f ca="1">IFERROR(IF(0=LEN(ReferenceData!$AO$90),"",ReferenceData!$AO$90),"")</f>
        <v/>
      </c>
      <c r="AP90" t="str">
        <f ca="1">IFERROR(IF(0=LEN(ReferenceData!$AP$90),"",ReferenceData!$AP$90),"")</f>
        <v/>
      </c>
      <c r="AQ90" t="str">
        <f ca="1">IFERROR(IF(0=LEN(ReferenceData!$AQ$90),"",ReferenceData!$AQ$90),"")</f>
        <v/>
      </c>
      <c r="AR90" t="str">
        <f ca="1">IFERROR(IF(0=LEN(ReferenceData!$AR$90),"",ReferenceData!$AR$90),"")</f>
        <v/>
      </c>
      <c r="AS90" t="str">
        <f ca="1">IFERROR(IF(0=LEN(ReferenceData!$AS$90),"",ReferenceData!$AS$90),"")</f>
        <v/>
      </c>
      <c r="AT90" t="str">
        <f ca="1">IFERROR(IF(0=LEN(ReferenceData!$AT$90),"",ReferenceData!$AT$90),"")</f>
        <v/>
      </c>
      <c r="AU90" t="str">
        <f ca="1">IFERROR(IF(0=LEN(ReferenceData!$AU$90),"",ReferenceData!$AU$90),"")</f>
        <v/>
      </c>
      <c r="AV90" t="str">
        <f ca="1">IFERROR(IF(0=LEN(ReferenceData!$AV$90),"",ReferenceData!$AV$90),"")</f>
        <v/>
      </c>
      <c r="AW90" t="str">
        <f ca="1">IFERROR(IF(0=LEN(ReferenceData!$AW$90),"",ReferenceData!$AW$90),"")</f>
        <v/>
      </c>
      <c r="AX90" t="str">
        <f ca="1">IFERROR(IF(0=LEN(ReferenceData!$AX$90),"",ReferenceData!$AX$90),"")</f>
        <v/>
      </c>
      <c r="AY90" t="str">
        <f ca="1">IFERROR(IF(0=LEN(ReferenceData!$AY$90),"",ReferenceData!$AY$90),"")</f>
        <v/>
      </c>
      <c r="AZ90" t="str">
        <f ca="1">IFERROR(IF(0=LEN(ReferenceData!$AZ$90),"",ReferenceData!$AZ$90),"")</f>
        <v/>
      </c>
      <c r="BA90" t="str">
        <f ca="1">IFERROR(IF(0=LEN(ReferenceData!$BA$90),"",ReferenceData!$BA$90),"")</f>
        <v/>
      </c>
      <c r="BB90" t="str">
        <f ca="1">IFERROR(IF(0=LEN(ReferenceData!$BB$90),"",ReferenceData!$BB$90),"")</f>
        <v/>
      </c>
      <c r="BC90" t="str">
        <f ca="1">IFERROR(IF(0=LEN(ReferenceData!$BC$90),"",ReferenceData!$BC$90),"")</f>
        <v/>
      </c>
      <c r="BD90" t="str">
        <f ca="1">IFERROR(IF(0=LEN(ReferenceData!$BD$90),"",ReferenceData!$BD$90),"")</f>
        <v/>
      </c>
      <c r="BE90" t="str">
        <f ca="1">IFERROR(IF(0=LEN(ReferenceData!$BE$90),"",ReferenceData!$BE$90),"")</f>
        <v/>
      </c>
      <c r="BF90" t="str">
        <f ca="1">IFERROR(IF(0=LEN(ReferenceData!$BF$90),"",ReferenceData!$BF$90),"")</f>
        <v/>
      </c>
      <c r="BG90" t="str">
        <f ca="1">IFERROR(IF(0=LEN(ReferenceData!$BG$90),"",ReferenceData!$BG$90),"")</f>
        <v/>
      </c>
      <c r="BH90" t="str">
        <f ca="1">IFERROR(IF(0=LEN(ReferenceData!$BH$90),"",ReferenceData!$BH$90),"")</f>
        <v/>
      </c>
      <c r="BI90" t="str">
        <f ca="1">IFERROR(IF(0=LEN(ReferenceData!$BI$90),"",ReferenceData!$BI$90),"")</f>
        <v/>
      </c>
      <c r="BJ90" t="str">
        <f ca="1">IFERROR(IF(0=LEN(ReferenceData!$BJ$90),"",ReferenceData!$BJ$90),"")</f>
        <v/>
      </c>
      <c r="BK90" t="str">
        <f ca="1">IFERROR(IF(0=LEN(ReferenceData!$BK$90),"",ReferenceData!$BK$90),"")</f>
        <v/>
      </c>
      <c r="BL90" t="str">
        <f ca="1">IFERROR(IF(0=LEN(ReferenceData!$BL$90),"",ReferenceData!$BL$90),"")</f>
        <v/>
      </c>
      <c r="BM90" t="str">
        <f ca="1">IFERROR(IF(0=LEN(ReferenceData!$BM$90),"",ReferenceData!$BM$90),"")</f>
        <v/>
      </c>
    </row>
    <row r="91" spans="1:65" x14ac:dyDescent="0.25">
      <c r="A91" t="str">
        <f>IFERROR(IF(0=LEN(ReferenceData!$A$91),"",ReferenceData!$A$91),"")</f>
        <v xml:space="preserve">    BYD Co Ltd</v>
      </c>
      <c r="B91" t="str">
        <f>IFERROR(IF(0=LEN(ReferenceData!$B$91),"",ReferenceData!$B$91),"")</f>
        <v>1211 HK Equity</v>
      </c>
      <c r="C91" t="str">
        <f>IFERROR(IF(0=LEN(ReferenceData!$C$91),"",ReferenceData!$C$91),"")</f>
        <v>EZ010</v>
      </c>
      <c r="D91" t="str">
        <f>IFERROR(IF(0=LEN(ReferenceData!$D$91),"",ReferenceData!$D$91),"")</f>
        <v>BEST_EST_PE_NXT_YR</v>
      </c>
      <c r="E91" t="str">
        <f>IFERROR(IF(0=LEN(ReferenceData!$E$91),"",ReferenceData!$E$91),"")</f>
        <v>Dynamic</v>
      </c>
      <c r="F91">
        <f ca="1">IFERROR(IF(0=LEN(ReferenceData!$F$91),"",ReferenceData!$F$91),"")</f>
        <v>28.386379940000001</v>
      </c>
      <c r="G91">
        <f ca="1">IFERROR(IF(0=LEN(ReferenceData!$G$91),"",ReferenceData!$G$91),"")</f>
        <v>27.57244541</v>
      </c>
      <c r="H91">
        <f ca="1">IFERROR(IF(0=LEN(ReferenceData!$H$91),"",ReferenceData!$H$91),"")</f>
        <v>28.58138482</v>
      </c>
      <c r="I91">
        <f ca="1">IFERROR(IF(0=LEN(ReferenceData!$I$91),"",ReferenceData!$I$91),"")</f>
        <v>19.161119840000001</v>
      </c>
      <c r="J91">
        <f ca="1">IFERROR(IF(0=LEN(ReferenceData!$J$91),"",ReferenceData!$J$91),"")</f>
        <v>18.977838770000002</v>
      </c>
      <c r="K91">
        <f ca="1">IFERROR(IF(0=LEN(ReferenceData!$K$91),"",ReferenceData!$K$91),"")</f>
        <v>19.265983210000002</v>
      </c>
      <c r="L91">
        <f ca="1">IFERROR(IF(0=LEN(ReferenceData!$L$91),"",ReferenceData!$L$91),"")</f>
        <v>20.45708849</v>
      </c>
      <c r="M91">
        <f ca="1">IFERROR(IF(0=LEN(ReferenceData!$M$91),"",ReferenceData!$M$91),"")</f>
        <v>15.32282359</v>
      </c>
      <c r="N91">
        <f ca="1">IFERROR(IF(0=LEN(ReferenceData!$N$91),"",ReferenceData!$N$91),"")</f>
        <v>14.253555909999999</v>
      </c>
      <c r="O91" t="str">
        <f ca="1">IFERROR(IF(0=LEN(ReferenceData!$O$91),"",ReferenceData!$O$91),"")</f>
        <v/>
      </c>
      <c r="P91" t="str">
        <f ca="1">IFERROR(IF(0=LEN(ReferenceData!$P$91),"",ReferenceData!$P$91),"")</f>
        <v/>
      </c>
      <c r="Q91" t="str">
        <f ca="1">IFERROR(IF(0=LEN(ReferenceData!$Q$91),"",ReferenceData!$Q$91),"")</f>
        <v/>
      </c>
      <c r="R91" t="str">
        <f ca="1">IFERROR(IF(0=LEN(ReferenceData!$R$91),"",ReferenceData!$R$91),"")</f>
        <v/>
      </c>
      <c r="S91" t="str">
        <f ca="1">IFERROR(IF(0=LEN(ReferenceData!$S$91),"",ReferenceData!$S$91),"")</f>
        <v/>
      </c>
      <c r="T91" t="str">
        <f ca="1">IFERROR(IF(0=LEN(ReferenceData!$T$91),"",ReferenceData!$T$91),"")</f>
        <v/>
      </c>
      <c r="U91" t="str">
        <f ca="1">IFERROR(IF(0=LEN(ReferenceData!$U$91),"",ReferenceData!$U$91),"")</f>
        <v/>
      </c>
      <c r="V91" t="str">
        <f ca="1">IFERROR(IF(0=LEN(ReferenceData!$V$91),"",ReferenceData!$V$91),"")</f>
        <v/>
      </c>
      <c r="W91" t="str">
        <f ca="1">IFERROR(IF(0=LEN(ReferenceData!$W$91),"",ReferenceData!$W$91),"")</f>
        <v/>
      </c>
      <c r="X91" t="str">
        <f ca="1">IFERROR(IF(0=LEN(ReferenceData!$X$91),"",ReferenceData!$X$91),"")</f>
        <v/>
      </c>
      <c r="Y91" t="str">
        <f ca="1">IFERROR(IF(0=LEN(ReferenceData!$Y$91),"",ReferenceData!$Y$91),"")</f>
        <v/>
      </c>
      <c r="Z91" t="str">
        <f ca="1">IFERROR(IF(0=LEN(ReferenceData!$Z$91),"",ReferenceData!$Z$91),"")</f>
        <v/>
      </c>
      <c r="AA91" t="str">
        <f ca="1">IFERROR(IF(0=LEN(ReferenceData!$AA$91),"",ReferenceData!$AA$91),"")</f>
        <v/>
      </c>
      <c r="AB91" t="str">
        <f ca="1">IFERROR(IF(0=LEN(ReferenceData!$AB$91),"",ReferenceData!$AB$91),"")</f>
        <v/>
      </c>
      <c r="AC91" t="str">
        <f ca="1">IFERROR(IF(0=LEN(ReferenceData!$AC$91),"",ReferenceData!$AC$91),"")</f>
        <v/>
      </c>
      <c r="AD91" t="str">
        <f ca="1">IFERROR(IF(0=LEN(ReferenceData!$AD$91),"",ReferenceData!$AD$91),"")</f>
        <v/>
      </c>
      <c r="AE91" t="str">
        <f ca="1">IFERROR(IF(0=LEN(ReferenceData!$AE$91),"",ReferenceData!$AE$91),"")</f>
        <v/>
      </c>
      <c r="AF91" t="str">
        <f ca="1">IFERROR(IF(0=LEN(ReferenceData!$AF$91),"",ReferenceData!$AF$91),"")</f>
        <v/>
      </c>
      <c r="AG91" t="str">
        <f ca="1">IFERROR(IF(0=LEN(ReferenceData!$AG$91),"",ReferenceData!$AG$91),"")</f>
        <v/>
      </c>
      <c r="AH91" t="str">
        <f ca="1">IFERROR(IF(0=LEN(ReferenceData!$AH$91),"",ReferenceData!$AH$91),"")</f>
        <v/>
      </c>
      <c r="AI91" t="str">
        <f ca="1">IFERROR(IF(0=LEN(ReferenceData!$AI$91),"",ReferenceData!$AI$91),"")</f>
        <v/>
      </c>
      <c r="AJ91" t="str">
        <f ca="1">IFERROR(IF(0=LEN(ReferenceData!$AJ$91),"",ReferenceData!$AJ$91),"")</f>
        <v/>
      </c>
      <c r="AK91" t="str">
        <f ca="1">IFERROR(IF(0=LEN(ReferenceData!$AK$91),"",ReferenceData!$AK$91),"")</f>
        <v/>
      </c>
      <c r="AL91" t="str">
        <f ca="1">IFERROR(IF(0=LEN(ReferenceData!$AL$91),"",ReferenceData!$AL$91),"")</f>
        <v/>
      </c>
      <c r="AM91" t="str">
        <f ca="1">IFERROR(IF(0=LEN(ReferenceData!$AM$91),"",ReferenceData!$AM$91),"")</f>
        <v/>
      </c>
      <c r="AN91" t="str">
        <f ca="1">IFERROR(IF(0=LEN(ReferenceData!$AN$91),"",ReferenceData!$AN$91),"")</f>
        <v/>
      </c>
      <c r="AO91" t="str">
        <f ca="1">IFERROR(IF(0=LEN(ReferenceData!$AO$91),"",ReferenceData!$AO$91),"")</f>
        <v/>
      </c>
      <c r="AP91" t="str">
        <f ca="1">IFERROR(IF(0=LEN(ReferenceData!$AP$91),"",ReferenceData!$AP$91),"")</f>
        <v/>
      </c>
      <c r="AQ91" t="str">
        <f ca="1">IFERROR(IF(0=LEN(ReferenceData!$AQ$91),"",ReferenceData!$AQ$91),"")</f>
        <v/>
      </c>
      <c r="AR91" t="str">
        <f ca="1">IFERROR(IF(0=LEN(ReferenceData!$AR$91),"",ReferenceData!$AR$91),"")</f>
        <v/>
      </c>
      <c r="AS91" t="str">
        <f ca="1">IFERROR(IF(0=LEN(ReferenceData!$AS$91),"",ReferenceData!$AS$91),"")</f>
        <v/>
      </c>
      <c r="AT91" t="str">
        <f ca="1">IFERROR(IF(0=LEN(ReferenceData!$AT$91),"",ReferenceData!$AT$91),"")</f>
        <v/>
      </c>
      <c r="AU91" t="str">
        <f ca="1">IFERROR(IF(0=LEN(ReferenceData!$AU$91),"",ReferenceData!$AU$91),"")</f>
        <v/>
      </c>
      <c r="AV91" t="str">
        <f ca="1">IFERROR(IF(0=LEN(ReferenceData!$AV$91),"",ReferenceData!$AV$91),"")</f>
        <v/>
      </c>
      <c r="AW91" t="str">
        <f ca="1">IFERROR(IF(0=LEN(ReferenceData!$AW$91),"",ReferenceData!$AW$91),"")</f>
        <v/>
      </c>
      <c r="AX91" t="str">
        <f ca="1">IFERROR(IF(0=LEN(ReferenceData!$AX$91),"",ReferenceData!$AX$91),"")</f>
        <v/>
      </c>
      <c r="AY91" t="str">
        <f ca="1">IFERROR(IF(0=LEN(ReferenceData!$AY$91),"",ReferenceData!$AY$91),"")</f>
        <v/>
      </c>
      <c r="AZ91" t="str">
        <f ca="1">IFERROR(IF(0=LEN(ReferenceData!$AZ$91),"",ReferenceData!$AZ$91),"")</f>
        <v/>
      </c>
      <c r="BA91" t="str">
        <f ca="1">IFERROR(IF(0=LEN(ReferenceData!$BA$91),"",ReferenceData!$BA$91),"")</f>
        <v/>
      </c>
      <c r="BB91" t="str">
        <f ca="1">IFERROR(IF(0=LEN(ReferenceData!$BB$91),"",ReferenceData!$BB$91),"")</f>
        <v/>
      </c>
      <c r="BC91" t="str">
        <f ca="1">IFERROR(IF(0=LEN(ReferenceData!$BC$91),"",ReferenceData!$BC$91),"")</f>
        <v/>
      </c>
      <c r="BD91" t="str">
        <f ca="1">IFERROR(IF(0=LEN(ReferenceData!$BD$91),"",ReferenceData!$BD$91),"")</f>
        <v/>
      </c>
      <c r="BE91" t="str">
        <f ca="1">IFERROR(IF(0=LEN(ReferenceData!$BE$91),"",ReferenceData!$BE$91),"")</f>
        <v/>
      </c>
      <c r="BF91" t="str">
        <f ca="1">IFERROR(IF(0=LEN(ReferenceData!$BF$91),"",ReferenceData!$BF$91),"")</f>
        <v/>
      </c>
      <c r="BG91" t="str">
        <f ca="1">IFERROR(IF(0=LEN(ReferenceData!$BG$91),"",ReferenceData!$BG$91),"")</f>
        <v/>
      </c>
      <c r="BH91" t="str">
        <f ca="1">IFERROR(IF(0=LEN(ReferenceData!$BH$91),"",ReferenceData!$BH$91),"")</f>
        <v/>
      </c>
      <c r="BI91" t="str">
        <f ca="1">IFERROR(IF(0=LEN(ReferenceData!$BI$91),"",ReferenceData!$BI$91),"")</f>
        <v/>
      </c>
      <c r="BJ91" t="str">
        <f ca="1">IFERROR(IF(0=LEN(ReferenceData!$BJ$91),"",ReferenceData!$BJ$91),"")</f>
        <v/>
      </c>
      <c r="BK91" t="str">
        <f ca="1">IFERROR(IF(0=LEN(ReferenceData!$BK$91),"",ReferenceData!$BK$91),"")</f>
        <v/>
      </c>
      <c r="BL91" t="str">
        <f ca="1">IFERROR(IF(0=LEN(ReferenceData!$BL$91),"",ReferenceData!$BL$91),"")</f>
        <v/>
      </c>
      <c r="BM91" t="str">
        <f ca="1">IFERROR(IF(0=LEN(ReferenceData!$BM$91),"",ReferenceData!$BM$91),"")</f>
        <v/>
      </c>
    </row>
    <row r="92" spans="1:65" x14ac:dyDescent="0.25">
      <c r="A92" t="str">
        <f>IFERROR(IF(0=LEN(ReferenceData!$A$92),"",ReferenceData!$A$92),"")</f>
        <v xml:space="preserve">    Chongqing Changan Automobile Co Ltd</v>
      </c>
      <c r="B92" t="str">
        <f>IFERROR(IF(0=LEN(ReferenceData!$B$92),"",ReferenceData!$B$92),"")</f>
        <v>200625 CH Equity</v>
      </c>
      <c r="C92" t="str">
        <f>IFERROR(IF(0=LEN(ReferenceData!$C$92),"",ReferenceData!$C$92),"")</f>
        <v>EZ010</v>
      </c>
      <c r="D92" t="str">
        <f>IFERROR(IF(0=LEN(ReferenceData!$D$92),"",ReferenceData!$D$92),"")</f>
        <v>BEST_EST_PE_NXT_YR</v>
      </c>
      <c r="E92" t="str">
        <f>IFERROR(IF(0=LEN(ReferenceData!$E$92),"",ReferenceData!$E$92),"")</f>
        <v>Dynamic</v>
      </c>
      <c r="F92">
        <f ca="1">IFERROR(IF(0=LEN(ReferenceData!$F$92),"",ReferenceData!$F$92),"")</f>
        <v>6.5527354539999996</v>
      </c>
      <c r="G92">
        <f ca="1">IFERROR(IF(0=LEN(ReferenceData!$G$92),"",ReferenceData!$G$92),"")</f>
        <v>4.1371723869999997</v>
      </c>
      <c r="H92">
        <f ca="1">IFERROR(IF(0=LEN(ReferenceData!$H$92),"",ReferenceData!$H$92),"")</f>
        <v>4.8620472709999998</v>
      </c>
      <c r="I92">
        <f ca="1">IFERROR(IF(0=LEN(ReferenceData!$I$92),"",ReferenceData!$I$92),"")</f>
        <v>4.395696279</v>
      </c>
      <c r="J92">
        <f ca="1">IFERROR(IF(0=LEN(ReferenceData!$J$92),"",ReferenceData!$J$92),"")</f>
        <v>3.2550129989999999</v>
      </c>
      <c r="K92">
        <f ca="1">IFERROR(IF(0=LEN(ReferenceData!$K$92),"",ReferenceData!$K$92),"")</f>
        <v>3.5813793629999999</v>
      </c>
      <c r="L92">
        <f ca="1">IFERROR(IF(0=LEN(ReferenceData!$L$92),"",ReferenceData!$L$92),"")</f>
        <v>4.1017841519999996</v>
      </c>
      <c r="M92">
        <f ca="1">IFERROR(IF(0=LEN(ReferenceData!$M$92),"",ReferenceData!$M$92),"")</f>
        <v>3.7268679090000001</v>
      </c>
      <c r="N92">
        <f ca="1">IFERROR(IF(0=LEN(ReferenceData!$N$92),"",ReferenceData!$N$92),"")</f>
        <v>4.0671290759999996</v>
      </c>
      <c r="O92">
        <f ca="1">IFERROR(IF(0=LEN(ReferenceData!$O$92),"",ReferenceData!$O$92),"")</f>
        <v>4.2236136489999998</v>
      </c>
      <c r="P92">
        <f ca="1">IFERROR(IF(0=LEN(ReferenceData!$P$92),"",ReferenceData!$P$92),"")</f>
        <v>3.7335634560000002</v>
      </c>
      <c r="Q92" t="str">
        <f ca="1">IFERROR(IF(0=LEN(ReferenceData!$Q$92),"",ReferenceData!$Q$92),"")</f>
        <v/>
      </c>
      <c r="R92" t="str">
        <f ca="1">IFERROR(IF(0=LEN(ReferenceData!$R$92),"",ReferenceData!$R$92),"")</f>
        <v/>
      </c>
      <c r="S92" t="str">
        <f ca="1">IFERROR(IF(0=LEN(ReferenceData!$S$92),"",ReferenceData!$S$92),"")</f>
        <v/>
      </c>
      <c r="T92" t="str">
        <f ca="1">IFERROR(IF(0=LEN(ReferenceData!$T$92),"",ReferenceData!$T$92),"")</f>
        <v/>
      </c>
      <c r="U92" t="str">
        <f ca="1">IFERROR(IF(0=LEN(ReferenceData!$U$92),"",ReferenceData!$U$92),"")</f>
        <v/>
      </c>
      <c r="V92" t="str">
        <f ca="1">IFERROR(IF(0=LEN(ReferenceData!$V$92),"",ReferenceData!$V$92),"")</f>
        <v/>
      </c>
      <c r="W92" t="str">
        <f ca="1">IFERROR(IF(0=LEN(ReferenceData!$W$92),"",ReferenceData!$W$92),"")</f>
        <v/>
      </c>
      <c r="X92" t="str">
        <f ca="1">IFERROR(IF(0=LEN(ReferenceData!$X$92),"",ReferenceData!$X$92),"")</f>
        <v/>
      </c>
      <c r="Y92" t="str">
        <f ca="1">IFERROR(IF(0=LEN(ReferenceData!$Y$92),"",ReferenceData!$Y$92),"")</f>
        <v/>
      </c>
      <c r="Z92" t="str">
        <f ca="1">IFERROR(IF(0=LEN(ReferenceData!$Z$92),"",ReferenceData!$Z$92),"")</f>
        <v/>
      </c>
      <c r="AA92" t="str">
        <f ca="1">IFERROR(IF(0=LEN(ReferenceData!$AA$92),"",ReferenceData!$AA$92),"")</f>
        <v/>
      </c>
      <c r="AB92" t="str">
        <f ca="1">IFERROR(IF(0=LEN(ReferenceData!$AB$92),"",ReferenceData!$AB$92),"")</f>
        <v/>
      </c>
      <c r="AC92" t="str">
        <f ca="1">IFERROR(IF(0=LEN(ReferenceData!$AC$92),"",ReferenceData!$AC$92),"")</f>
        <v/>
      </c>
      <c r="AD92" t="str">
        <f ca="1">IFERROR(IF(0=LEN(ReferenceData!$AD$92),"",ReferenceData!$AD$92),"")</f>
        <v/>
      </c>
      <c r="AE92" t="str">
        <f ca="1">IFERROR(IF(0=LEN(ReferenceData!$AE$92),"",ReferenceData!$AE$92),"")</f>
        <v/>
      </c>
      <c r="AF92" t="str">
        <f ca="1">IFERROR(IF(0=LEN(ReferenceData!$AF$92),"",ReferenceData!$AF$92),"")</f>
        <v/>
      </c>
      <c r="AG92" t="str">
        <f ca="1">IFERROR(IF(0=LEN(ReferenceData!$AG$92),"",ReferenceData!$AG$92),"")</f>
        <v/>
      </c>
      <c r="AH92" t="str">
        <f ca="1">IFERROR(IF(0=LEN(ReferenceData!$AH$92),"",ReferenceData!$AH$92),"")</f>
        <v/>
      </c>
      <c r="AI92" t="str">
        <f ca="1">IFERROR(IF(0=LEN(ReferenceData!$AI$92),"",ReferenceData!$AI$92),"")</f>
        <v/>
      </c>
      <c r="AJ92" t="str">
        <f ca="1">IFERROR(IF(0=LEN(ReferenceData!$AJ$92),"",ReferenceData!$AJ$92),"")</f>
        <v/>
      </c>
      <c r="AK92" t="str">
        <f ca="1">IFERROR(IF(0=LEN(ReferenceData!$AK$92),"",ReferenceData!$AK$92),"")</f>
        <v/>
      </c>
      <c r="AL92" t="str">
        <f ca="1">IFERROR(IF(0=LEN(ReferenceData!$AL$92),"",ReferenceData!$AL$92),"")</f>
        <v/>
      </c>
      <c r="AM92" t="str">
        <f ca="1">IFERROR(IF(0=LEN(ReferenceData!$AM$92),"",ReferenceData!$AM$92),"")</f>
        <v/>
      </c>
      <c r="AN92" t="str">
        <f ca="1">IFERROR(IF(0=LEN(ReferenceData!$AN$92),"",ReferenceData!$AN$92),"")</f>
        <v/>
      </c>
      <c r="AO92" t="str">
        <f ca="1">IFERROR(IF(0=LEN(ReferenceData!$AO$92),"",ReferenceData!$AO$92),"")</f>
        <v/>
      </c>
      <c r="AP92" t="str">
        <f ca="1">IFERROR(IF(0=LEN(ReferenceData!$AP$92),"",ReferenceData!$AP$92),"")</f>
        <v/>
      </c>
      <c r="AQ92" t="str">
        <f ca="1">IFERROR(IF(0=LEN(ReferenceData!$AQ$92),"",ReferenceData!$AQ$92),"")</f>
        <v/>
      </c>
      <c r="AR92" t="str">
        <f ca="1">IFERROR(IF(0=LEN(ReferenceData!$AR$92),"",ReferenceData!$AR$92),"")</f>
        <v/>
      </c>
      <c r="AS92" t="str">
        <f ca="1">IFERROR(IF(0=LEN(ReferenceData!$AS$92),"",ReferenceData!$AS$92),"")</f>
        <v/>
      </c>
      <c r="AT92" t="str">
        <f ca="1">IFERROR(IF(0=LEN(ReferenceData!$AT$92),"",ReferenceData!$AT$92),"")</f>
        <v/>
      </c>
      <c r="AU92" t="str">
        <f ca="1">IFERROR(IF(0=LEN(ReferenceData!$AU$92),"",ReferenceData!$AU$92),"")</f>
        <v/>
      </c>
      <c r="AV92" t="str">
        <f ca="1">IFERROR(IF(0=LEN(ReferenceData!$AV$92),"",ReferenceData!$AV$92),"")</f>
        <v/>
      </c>
      <c r="AW92" t="str">
        <f ca="1">IFERROR(IF(0=LEN(ReferenceData!$AW$92),"",ReferenceData!$AW$92),"")</f>
        <v/>
      </c>
      <c r="AX92" t="str">
        <f ca="1">IFERROR(IF(0=LEN(ReferenceData!$AX$92),"",ReferenceData!$AX$92),"")</f>
        <v/>
      </c>
      <c r="AY92" t="str">
        <f ca="1">IFERROR(IF(0=LEN(ReferenceData!$AY$92),"",ReferenceData!$AY$92),"")</f>
        <v/>
      </c>
      <c r="AZ92" t="str">
        <f ca="1">IFERROR(IF(0=LEN(ReferenceData!$AZ$92),"",ReferenceData!$AZ$92),"")</f>
        <v/>
      </c>
      <c r="BA92" t="str">
        <f ca="1">IFERROR(IF(0=LEN(ReferenceData!$BA$92),"",ReferenceData!$BA$92),"")</f>
        <v/>
      </c>
      <c r="BB92" t="str">
        <f ca="1">IFERROR(IF(0=LEN(ReferenceData!$BB$92),"",ReferenceData!$BB$92),"")</f>
        <v/>
      </c>
      <c r="BC92" t="str">
        <f ca="1">IFERROR(IF(0=LEN(ReferenceData!$BC$92),"",ReferenceData!$BC$92),"")</f>
        <v/>
      </c>
      <c r="BD92" t="str">
        <f ca="1">IFERROR(IF(0=LEN(ReferenceData!$BD$92),"",ReferenceData!$BD$92),"")</f>
        <v/>
      </c>
      <c r="BE92" t="str">
        <f ca="1">IFERROR(IF(0=LEN(ReferenceData!$BE$92),"",ReferenceData!$BE$92),"")</f>
        <v/>
      </c>
      <c r="BF92" t="str">
        <f ca="1">IFERROR(IF(0=LEN(ReferenceData!$BF$92),"",ReferenceData!$BF$92),"")</f>
        <v/>
      </c>
      <c r="BG92" t="str">
        <f ca="1">IFERROR(IF(0=LEN(ReferenceData!$BG$92),"",ReferenceData!$BG$92),"")</f>
        <v/>
      </c>
      <c r="BH92" t="str">
        <f ca="1">IFERROR(IF(0=LEN(ReferenceData!$BH$92),"",ReferenceData!$BH$92),"")</f>
        <v/>
      </c>
      <c r="BI92" t="str">
        <f ca="1">IFERROR(IF(0=LEN(ReferenceData!$BI$92),"",ReferenceData!$BI$92),"")</f>
        <v/>
      </c>
      <c r="BJ92" t="str">
        <f ca="1">IFERROR(IF(0=LEN(ReferenceData!$BJ$92),"",ReferenceData!$BJ$92),"")</f>
        <v/>
      </c>
      <c r="BK92" t="str">
        <f ca="1">IFERROR(IF(0=LEN(ReferenceData!$BK$92),"",ReferenceData!$BK$92),"")</f>
        <v/>
      </c>
      <c r="BL92" t="str">
        <f ca="1">IFERROR(IF(0=LEN(ReferenceData!$BL$92),"",ReferenceData!$BL$92),"")</f>
        <v/>
      </c>
      <c r="BM92" t="str">
        <f ca="1">IFERROR(IF(0=LEN(ReferenceData!$BM$92),"",ReferenceData!$BM$92),"")</f>
        <v/>
      </c>
    </row>
    <row r="93" spans="1:65" x14ac:dyDescent="0.25">
      <c r="A93" t="str">
        <f>IFERROR(IF(0=LEN(ReferenceData!$A$93),"",ReferenceData!$A$93),"")</f>
        <v xml:space="preserve">    Daihatsu Motor Co Ltd</v>
      </c>
      <c r="B93" t="str">
        <f>IFERROR(IF(0=LEN(ReferenceData!$B$93),"",ReferenceData!$B$93),"")</f>
        <v>7262 JP Equity</v>
      </c>
      <c r="C93" t="str">
        <f>IFERROR(IF(0=LEN(ReferenceData!$C$93),"",ReferenceData!$C$93),"")</f>
        <v>EZ010</v>
      </c>
      <c r="D93" t="str">
        <f>IFERROR(IF(0=LEN(ReferenceData!$D$93),"",ReferenceData!$D$93),"")</f>
        <v>BEST_EST_PE_NXT_YR</v>
      </c>
      <c r="E93" t="str">
        <f>IFERROR(IF(0=LEN(ReferenceData!$E$93),"",ReferenceData!$E$93),"")</f>
        <v>Dynamic</v>
      </c>
      <c r="F93" t="str">
        <f ca="1">IFERROR(IF(0=LEN(ReferenceData!$F$93),"",ReferenceData!$F$93),"")</f>
        <v/>
      </c>
      <c r="G93" t="str">
        <f ca="1">IFERROR(IF(0=LEN(ReferenceData!$G$93),"",ReferenceData!$G$93),"")</f>
        <v/>
      </c>
      <c r="H93" t="str">
        <f ca="1">IFERROR(IF(0=LEN(ReferenceData!$H$93),"",ReferenceData!$H$93),"")</f>
        <v/>
      </c>
      <c r="I93" t="str">
        <f ca="1">IFERROR(IF(0=LEN(ReferenceData!$I$93),"",ReferenceData!$I$93),"")</f>
        <v/>
      </c>
      <c r="J93" t="str">
        <f ca="1">IFERROR(IF(0=LEN(ReferenceData!$J$93),"",ReferenceData!$J$93),"")</f>
        <v/>
      </c>
      <c r="K93" t="str">
        <f ca="1">IFERROR(IF(0=LEN(ReferenceData!$K$93),"",ReferenceData!$K$93),"")</f>
        <v/>
      </c>
      <c r="L93" t="str">
        <f ca="1">IFERROR(IF(0=LEN(ReferenceData!$L$93),"",ReferenceData!$L$93),"")</f>
        <v/>
      </c>
      <c r="M93" t="str">
        <f ca="1">IFERROR(IF(0=LEN(ReferenceData!$M$93),"",ReferenceData!$M$93),"")</f>
        <v/>
      </c>
      <c r="N93" t="str">
        <f ca="1">IFERROR(IF(0=LEN(ReferenceData!$N$93),"",ReferenceData!$N$93),"")</f>
        <v/>
      </c>
      <c r="O93" t="str">
        <f ca="1">IFERROR(IF(0=LEN(ReferenceData!$O$93),"",ReferenceData!$O$93),"")</f>
        <v/>
      </c>
      <c r="P93">
        <f ca="1">IFERROR(IF(0=LEN(ReferenceData!$P$93),"",ReferenceData!$P$93),"")</f>
        <v>12.08824173</v>
      </c>
      <c r="Q93">
        <f ca="1">IFERROR(IF(0=LEN(ReferenceData!$Q$93),"",ReferenceData!$Q$93),"")</f>
        <v>10.376796130000001</v>
      </c>
      <c r="R93">
        <f ca="1">IFERROR(IF(0=LEN(ReferenceData!$R$93),"",ReferenceData!$R$93),"")</f>
        <v>12.83919435</v>
      </c>
      <c r="S93">
        <f ca="1">IFERROR(IF(0=LEN(ReferenceData!$S$93),"",ReferenceData!$S$93),"")</f>
        <v>13.15188382</v>
      </c>
      <c r="T93">
        <f ca="1">IFERROR(IF(0=LEN(ReferenceData!$T$93),"",ReferenceData!$T$93),"")</f>
        <v>8.937759282</v>
      </c>
      <c r="U93">
        <f ca="1">IFERROR(IF(0=LEN(ReferenceData!$U$93),"",ReferenceData!$U$93),"")</f>
        <v>10.576584670000001</v>
      </c>
      <c r="V93">
        <f ca="1">IFERROR(IF(0=LEN(ReferenceData!$V$93),"",ReferenceData!$V$93),"")</f>
        <v>11.91494879</v>
      </c>
      <c r="W93">
        <f ca="1">IFERROR(IF(0=LEN(ReferenceData!$W$93),"",ReferenceData!$W$93),"")</f>
        <v>8.3904564540000006</v>
      </c>
      <c r="X93">
        <f ca="1">IFERROR(IF(0=LEN(ReferenceData!$X$93),"",ReferenceData!$X$93),"")</f>
        <v>7.1831433369999997</v>
      </c>
      <c r="Y93">
        <f ca="1">IFERROR(IF(0=LEN(ReferenceData!$Y$93),"",ReferenceData!$Y$93),"")</f>
        <v>8.4992921189999997</v>
      </c>
      <c r="Z93">
        <f ca="1">IFERROR(IF(0=LEN(ReferenceData!$Z$93),"",ReferenceData!$Z$93),"")</f>
        <v>9.5896896369999993</v>
      </c>
      <c r="AA93" t="str">
        <f ca="1">IFERROR(IF(0=LEN(ReferenceData!$AA$93),"",ReferenceData!$AA$93),"")</f>
        <v/>
      </c>
      <c r="AB93" t="str">
        <f ca="1">IFERROR(IF(0=LEN(ReferenceData!$AB$93),"",ReferenceData!$AB$93),"")</f>
        <v/>
      </c>
      <c r="AC93" t="str">
        <f ca="1">IFERROR(IF(0=LEN(ReferenceData!$AC$93),"",ReferenceData!$AC$93),"")</f>
        <v/>
      </c>
      <c r="AD93" t="str">
        <f ca="1">IFERROR(IF(0=LEN(ReferenceData!$AD$93),"",ReferenceData!$AD$93),"")</f>
        <v/>
      </c>
      <c r="AE93" t="str">
        <f ca="1">IFERROR(IF(0=LEN(ReferenceData!$AE$93),"",ReferenceData!$AE$93),"")</f>
        <v/>
      </c>
      <c r="AF93" t="str">
        <f ca="1">IFERROR(IF(0=LEN(ReferenceData!$AF$93),"",ReferenceData!$AF$93),"")</f>
        <v/>
      </c>
      <c r="AG93" t="str">
        <f ca="1">IFERROR(IF(0=LEN(ReferenceData!$AG$93),"",ReferenceData!$AG$93),"")</f>
        <v/>
      </c>
      <c r="AH93" t="str">
        <f ca="1">IFERROR(IF(0=LEN(ReferenceData!$AH$93),"",ReferenceData!$AH$93),"")</f>
        <v/>
      </c>
      <c r="AI93" t="str">
        <f ca="1">IFERROR(IF(0=LEN(ReferenceData!$AI$93),"",ReferenceData!$AI$93),"")</f>
        <v/>
      </c>
      <c r="AJ93" t="str">
        <f ca="1">IFERROR(IF(0=LEN(ReferenceData!$AJ$93),"",ReferenceData!$AJ$93),"")</f>
        <v/>
      </c>
      <c r="AK93" t="str">
        <f ca="1">IFERROR(IF(0=LEN(ReferenceData!$AK$93),"",ReferenceData!$AK$93),"")</f>
        <v/>
      </c>
      <c r="AL93" t="str">
        <f ca="1">IFERROR(IF(0=LEN(ReferenceData!$AL$93),"",ReferenceData!$AL$93),"")</f>
        <v/>
      </c>
      <c r="AM93" t="str">
        <f ca="1">IFERROR(IF(0=LEN(ReferenceData!$AM$93),"",ReferenceData!$AM$93),"")</f>
        <v/>
      </c>
      <c r="AN93" t="str">
        <f ca="1">IFERROR(IF(0=LEN(ReferenceData!$AN$93),"",ReferenceData!$AN$93),"")</f>
        <v/>
      </c>
      <c r="AO93" t="str">
        <f ca="1">IFERROR(IF(0=LEN(ReferenceData!$AO$93),"",ReferenceData!$AO$93),"")</f>
        <v/>
      </c>
      <c r="AP93" t="str">
        <f ca="1">IFERROR(IF(0=LEN(ReferenceData!$AP$93),"",ReferenceData!$AP$93),"")</f>
        <v/>
      </c>
      <c r="AQ93" t="str">
        <f ca="1">IFERROR(IF(0=LEN(ReferenceData!$AQ$93),"",ReferenceData!$AQ$93),"")</f>
        <v/>
      </c>
      <c r="AR93" t="str">
        <f ca="1">IFERROR(IF(0=LEN(ReferenceData!$AR$93),"",ReferenceData!$AR$93),"")</f>
        <v/>
      </c>
      <c r="AS93" t="str">
        <f ca="1">IFERROR(IF(0=LEN(ReferenceData!$AS$93),"",ReferenceData!$AS$93),"")</f>
        <v/>
      </c>
      <c r="AT93" t="str">
        <f ca="1">IFERROR(IF(0=LEN(ReferenceData!$AT$93),"",ReferenceData!$AT$93),"")</f>
        <v/>
      </c>
      <c r="AU93" t="str">
        <f ca="1">IFERROR(IF(0=LEN(ReferenceData!$AU$93),"",ReferenceData!$AU$93),"")</f>
        <v/>
      </c>
      <c r="AV93" t="str">
        <f ca="1">IFERROR(IF(0=LEN(ReferenceData!$AV$93),"",ReferenceData!$AV$93),"")</f>
        <v/>
      </c>
      <c r="AW93" t="str">
        <f ca="1">IFERROR(IF(0=LEN(ReferenceData!$AW$93),"",ReferenceData!$AW$93),"")</f>
        <v/>
      </c>
      <c r="AX93" t="str">
        <f ca="1">IFERROR(IF(0=LEN(ReferenceData!$AX$93),"",ReferenceData!$AX$93),"")</f>
        <v/>
      </c>
      <c r="AY93" t="str">
        <f ca="1">IFERROR(IF(0=LEN(ReferenceData!$AY$93),"",ReferenceData!$AY$93),"")</f>
        <v/>
      </c>
      <c r="AZ93" t="str">
        <f ca="1">IFERROR(IF(0=LEN(ReferenceData!$AZ$93),"",ReferenceData!$AZ$93),"")</f>
        <v/>
      </c>
      <c r="BA93" t="str">
        <f ca="1">IFERROR(IF(0=LEN(ReferenceData!$BA$93),"",ReferenceData!$BA$93),"")</f>
        <v/>
      </c>
      <c r="BB93" t="str">
        <f ca="1">IFERROR(IF(0=LEN(ReferenceData!$BB$93),"",ReferenceData!$BB$93),"")</f>
        <v/>
      </c>
      <c r="BC93" t="str">
        <f ca="1">IFERROR(IF(0=LEN(ReferenceData!$BC$93),"",ReferenceData!$BC$93),"")</f>
        <v/>
      </c>
      <c r="BD93" t="str">
        <f ca="1">IFERROR(IF(0=LEN(ReferenceData!$BD$93),"",ReferenceData!$BD$93),"")</f>
        <v/>
      </c>
      <c r="BE93" t="str">
        <f ca="1">IFERROR(IF(0=LEN(ReferenceData!$BE$93),"",ReferenceData!$BE$93),"")</f>
        <v/>
      </c>
      <c r="BF93" t="str">
        <f ca="1">IFERROR(IF(0=LEN(ReferenceData!$BF$93),"",ReferenceData!$BF$93),"")</f>
        <v/>
      </c>
      <c r="BG93" t="str">
        <f ca="1">IFERROR(IF(0=LEN(ReferenceData!$BG$93),"",ReferenceData!$BG$93),"")</f>
        <v/>
      </c>
      <c r="BH93" t="str">
        <f ca="1">IFERROR(IF(0=LEN(ReferenceData!$BH$93),"",ReferenceData!$BH$93),"")</f>
        <v/>
      </c>
      <c r="BI93" t="str">
        <f ca="1">IFERROR(IF(0=LEN(ReferenceData!$BI$93),"",ReferenceData!$BI$93),"")</f>
        <v/>
      </c>
      <c r="BJ93" t="str">
        <f ca="1">IFERROR(IF(0=LEN(ReferenceData!$BJ$93),"",ReferenceData!$BJ$93),"")</f>
        <v/>
      </c>
      <c r="BK93" t="str">
        <f ca="1">IFERROR(IF(0=LEN(ReferenceData!$BK$93),"",ReferenceData!$BK$93),"")</f>
        <v/>
      </c>
      <c r="BL93" t="str">
        <f ca="1">IFERROR(IF(0=LEN(ReferenceData!$BL$93),"",ReferenceData!$BL$93),"")</f>
        <v/>
      </c>
      <c r="BM93" t="str">
        <f ca="1">IFERROR(IF(0=LEN(ReferenceData!$BM$93),"",ReferenceData!$BM$93),"")</f>
        <v/>
      </c>
    </row>
    <row r="94" spans="1:65" x14ac:dyDescent="0.25">
      <c r="A94" t="str">
        <f>IFERROR(IF(0=LEN(ReferenceData!$A$94),"",ReferenceData!$A$94),"")</f>
        <v xml:space="preserve">    Daimler AG</v>
      </c>
      <c r="B94" t="str">
        <f>IFERROR(IF(0=LEN(ReferenceData!$B$94),"",ReferenceData!$B$94),"")</f>
        <v>DAI GR Equity</v>
      </c>
      <c r="C94" t="str">
        <f>IFERROR(IF(0=LEN(ReferenceData!$C$94),"",ReferenceData!$C$94),"")</f>
        <v>EZ010</v>
      </c>
      <c r="D94" t="str">
        <f>IFERROR(IF(0=LEN(ReferenceData!$D$94),"",ReferenceData!$D$94),"")</f>
        <v>BEST_EST_PE_NXT_YR</v>
      </c>
      <c r="E94" t="str">
        <f>IFERROR(IF(0=LEN(ReferenceData!$E$94),"",ReferenceData!$E$94),"")</f>
        <v>Dynamic</v>
      </c>
      <c r="F94">
        <f ca="1">IFERROR(IF(0=LEN(ReferenceData!$F$94),"",ReferenceData!$F$94),"")</f>
        <v>6.6343611180000002</v>
      </c>
      <c r="G94">
        <f ca="1">IFERROR(IF(0=LEN(ReferenceData!$G$94),"",ReferenceData!$G$94),"")</f>
        <v>5.4693828929999997</v>
      </c>
      <c r="H94">
        <f ca="1">IFERROR(IF(0=LEN(ReferenceData!$H$94),"",ReferenceData!$H$94),"")</f>
        <v>5.8855349989999999</v>
      </c>
      <c r="I94">
        <f ca="1">IFERROR(IF(0=LEN(ReferenceData!$I$94),"",ReferenceData!$I$94),"")</f>
        <v>5.750495463</v>
      </c>
      <c r="J94">
        <f ca="1">IFERROR(IF(0=LEN(ReferenceData!$J$94),"",ReferenceData!$J$94),"")</f>
        <v>7.1487688809999996</v>
      </c>
      <c r="K94">
        <f ca="1">IFERROR(IF(0=LEN(ReferenceData!$K$94),"",ReferenceData!$K$94),"")</f>
        <v>7.4557708509999996</v>
      </c>
      <c r="L94">
        <f ca="1">IFERROR(IF(0=LEN(ReferenceData!$L$94),"",ReferenceData!$L$94),"")</f>
        <v>7.0757591680000003</v>
      </c>
      <c r="M94">
        <f ca="1">IFERROR(IF(0=LEN(ReferenceData!$M$94),"",ReferenceData!$M$94),"")</f>
        <v>7.0041914849999998</v>
      </c>
      <c r="N94">
        <f ca="1">IFERROR(IF(0=LEN(ReferenceData!$N$94),"",ReferenceData!$N$94),"")</f>
        <v>10.629230769999999</v>
      </c>
      <c r="O94">
        <f ca="1">IFERROR(IF(0=LEN(ReferenceData!$O$94),"",ReferenceData!$O$94),"")</f>
        <v>7.903225806</v>
      </c>
      <c r="P94">
        <f ca="1">IFERROR(IF(0=LEN(ReferenceData!$P$94),"",ReferenceData!$P$94),"")</f>
        <v>6.5101298700000001</v>
      </c>
      <c r="Q94">
        <f ca="1">IFERROR(IF(0=LEN(ReferenceData!$Q$94),"",ReferenceData!$Q$94),"")</f>
        <v>6.4592105259999997</v>
      </c>
      <c r="R94" t="str">
        <f ca="1">IFERROR(IF(0=LEN(ReferenceData!$R$94),"",ReferenceData!$R$94),"")</f>
        <v/>
      </c>
      <c r="S94" t="str">
        <f ca="1">IFERROR(IF(0=LEN(ReferenceData!$S$94),"",ReferenceData!$S$94),"")</f>
        <v/>
      </c>
      <c r="T94" t="str">
        <f ca="1">IFERROR(IF(0=LEN(ReferenceData!$T$94),"",ReferenceData!$T$94),"")</f>
        <v/>
      </c>
      <c r="U94" t="str">
        <f ca="1">IFERROR(IF(0=LEN(ReferenceData!$U$94),"",ReferenceData!$U$94),"")</f>
        <v/>
      </c>
      <c r="V94" t="str">
        <f ca="1">IFERROR(IF(0=LEN(ReferenceData!$V$94),"",ReferenceData!$V$94),"")</f>
        <v/>
      </c>
      <c r="W94" t="str">
        <f ca="1">IFERROR(IF(0=LEN(ReferenceData!$W$94),"",ReferenceData!$W$94),"")</f>
        <v/>
      </c>
      <c r="X94" t="str">
        <f ca="1">IFERROR(IF(0=LEN(ReferenceData!$X$94),"",ReferenceData!$X$94),"")</f>
        <v/>
      </c>
      <c r="Y94" t="str">
        <f ca="1">IFERROR(IF(0=LEN(ReferenceData!$Y$94),"",ReferenceData!$Y$94),"")</f>
        <v/>
      </c>
      <c r="Z94" t="str">
        <f ca="1">IFERROR(IF(0=LEN(ReferenceData!$Z$94),"",ReferenceData!$Z$94),"")</f>
        <v/>
      </c>
      <c r="AA94" t="str">
        <f ca="1">IFERROR(IF(0=LEN(ReferenceData!$AA$94),"",ReferenceData!$AA$94),"")</f>
        <v/>
      </c>
      <c r="AB94" t="str">
        <f ca="1">IFERROR(IF(0=LEN(ReferenceData!$AB$94),"",ReferenceData!$AB$94),"")</f>
        <v/>
      </c>
      <c r="AC94" t="str">
        <f ca="1">IFERROR(IF(0=LEN(ReferenceData!$AC$94),"",ReferenceData!$AC$94),"")</f>
        <v/>
      </c>
      <c r="AD94" t="str">
        <f ca="1">IFERROR(IF(0=LEN(ReferenceData!$AD$94),"",ReferenceData!$AD$94),"")</f>
        <v/>
      </c>
      <c r="AE94" t="str">
        <f ca="1">IFERROR(IF(0=LEN(ReferenceData!$AE$94),"",ReferenceData!$AE$94),"")</f>
        <v/>
      </c>
      <c r="AF94" t="str">
        <f ca="1">IFERROR(IF(0=LEN(ReferenceData!$AF$94),"",ReferenceData!$AF$94),"")</f>
        <v/>
      </c>
      <c r="AG94" t="str">
        <f ca="1">IFERROR(IF(0=LEN(ReferenceData!$AG$94),"",ReferenceData!$AG$94),"")</f>
        <v/>
      </c>
      <c r="AH94" t="str">
        <f ca="1">IFERROR(IF(0=LEN(ReferenceData!$AH$94),"",ReferenceData!$AH$94),"")</f>
        <v/>
      </c>
      <c r="AI94" t="str">
        <f ca="1">IFERROR(IF(0=LEN(ReferenceData!$AI$94),"",ReferenceData!$AI$94),"")</f>
        <v/>
      </c>
      <c r="AJ94" t="str">
        <f ca="1">IFERROR(IF(0=LEN(ReferenceData!$AJ$94),"",ReferenceData!$AJ$94),"")</f>
        <v/>
      </c>
      <c r="AK94" t="str">
        <f ca="1">IFERROR(IF(0=LEN(ReferenceData!$AK$94),"",ReferenceData!$AK$94),"")</f>
        <v/>
      </c>
      <c r="AL94" t="str">
        <f ca="1">IFERROR(IF(0=LEN(ReferenceData!$AL$94),"",ReferenceData!$AL$94),"")</f>
        <v/>
      </c>
      <c r="AM94" t="str">
        <f ca="1">IFERROR(IF(0=LEN(ReferenceData!$AM$94),"",ReferenceData!$AM$94),"")</f>
        <v/>
      </c>
      <c r="AN94" t="str">
        <f ca="1">IFERROR(IF(0=LEN(ReferenceData!$AN$94),"",ReferenceData!$AN$94),"")</f>
        <v/>
      </c>
      <c r="AO94" t="str">
        <f ca="1">IFERROR(IF(0=LEN(ReferenceData!$AO$94),"",ReferenceData!$AO$94),"")</f>
        <v/>
      </c>
      <c r="AP94" t="str">
        <f ca="1">IFERROR(IF(0=LEN(ReferenceData!$AP$94),"",ReferenceData!$AP$94),"")</f>
        <v/>
      </c>
      <c r="AQ94" t="str">
        <f ca="1">IFERROR(IF(0=LEN(ReferenceData!$AQ$94),"",ReferenceData!$AQ$94),"")</f>
        <v/>
      </c>
      <c r="AR94" t="str">
        <f ca="1">IFERROR(IF(0=LEN(ReferenceData!$AR$94),"",ReferenceData!$AR$94),"")</f>
        <v/>
      </c>
      <c r="AS94" t="str">
        <f ca="1">IFERROR(IF(0=LEN(ReferenceData!$AS$94),"",ReferenceData!$AS$94),"")</f>
        <v/>
      </c>
      <c r="AT94" t="str">
        <f ca="1">IFERROR(IF(0=LEN(ReferenceData!$AT$94),"",ReferenceData!$AT$94),"")</f>
        <v/>
      </c>
      <c r="AU94" t="str">
        <f ca="1">IFERROR(IF(0=LEN(ReferenceData!$AU$94),"",ReferenceData!$AU$94),"")</f>
        <v/>
      </c>
      <c r="AV94" t="str">
        <f ca="1">IFERROR(IF(0=LEN(ReferenceData!$AV$94),"",ReferenceData!$AV$94),"")</f>
        <v/>
      </c>
      <c r="AW94" t="str">
        <f ca="1">IFERROR(IF(0=LEN(ReferenceData!$AW$94),"",ReferenceData!$AW$94),"")</f>
        <v/>
      </c>
      <c r="AX94" t="str">
        <f ca="1">IFERROR(IF(0=LEN(ReferenceData!$AX$94),"",ReferenceData!$AX$94),"")</f>
        <v/>
      </c>
      <c r="AY94" t="str">
        <f ca="1">IFERROR(IF(0=LEN(ReferenceData!$AY$94),"",ReferenceData!$AY$94),"")</f>
        <v/>
      </c>
      <c r="AZ94" t="str">
        <f ca="1">IFERROR(IF(0=LEN(ReferenceData!$AZ$94),"",ReferenceData!$AZ$94),"")</f>
        <v/>
      </c>
      <c r="BA94" t="str">
        <f ca="1">IFERROR(IF(0=LEN(ReferenceData!$BA$94),"",ReferenceData!$BA$94),"")</f>
        <v/>
      </c>
      <c r="BB94" t="str">
        <f ca="1">IFERROR(IF(0=LEN(ReferenceData!$BB$94),"",ReferenceData!$BB$94),"")</f>
        <v/>
      </c>
      <c r="BC94" t="str">
        <f ca="1">IFERROR(IF(0=LEN(ReferenceData!$BC$94),"",ReferenceData!$BC$94),"")</f>
        <v/>
      </c>
      <c r="BD94" t="str">
        <f ca="1">IFERROR(IF(0=LEN(ReferenceData!$BD$94),"",ReferenceData!$BD$94),"")</f>
        <v/>
      </c>
      <c r="BE94" t="str">
        <f ca="1">IFERROR(IF(0=LEN(ReferenceData!$BE$94),"",ReferenceData!$BE$94),"")</f>
        <v/>
      </c>
      <c r="BF94" t="str">
        <f ca="1">IFERROR(IF(0=LEN(ReferenceData!$BF$94),"",ReferenceData!$BF$94),"")</f>
        <v/>
      </c>
      <c r="BG94" t="str">
        <f ca="1">IFERROR(IF(0=LEN(ReferenceData!$BG$94),"",ReferenceData!$BG$94),"")</f>
        <v/>
      </c>
      <c r="BH94" t="str">
        <f ca="1">IFERROR(IF(0=LEN(ReferenceData!$BH$94),"",ReferenceData!$BH$94),"")</f>
        <v/>
      </c>
      <c r="BI94" t="str">
        <f ca="1">IFERROR(IF(0=LEN(ReferenceData!$BI$94),"",ReferenceData!$BI$94),"")</f>
        <v/>
      </c>
      <c r="BJ94" t="str">
        <f ca="1">IFERROR(IF(0=LEN(ReferenceData!$BJ$94),"",ReferenceData!$BJ$94),"")</f>
        <v/>
      </c>
      <c r="BK94" t="str">
        <f ca="1">IFERROR(IF(0=LEN(ReferenceData!$BK$94),"",ReferenceData!$BK$94),"")</f>
        <v/>
      </c>
      <c r="BL94" t="str">
        <f ca="1">IFERROR(IF(0=LEN(ReferenceData!$BL$94),"",ReferenceData!$BL$94),"")</f>
        <v/>
      </c>
      <c r="BM94" t="str">
        <f ca="1">IFERROR(IF(0=LEN(ReferenceData!$BM$94),"",ReferenceData!$BM$94),"")</f>
        <v/>
      </c>
    </row>
    <row r="95" spans="1:65" x14ac:dyDescent="0.25">
      <c r="A95" t="str">
        <f>IFERROR(IF(0=LEN(ReferenceData!$A$95),"",ReferenceData!$A$95),"")</f>
        <v xml:space="preserve">    Dongfeng Motor Group Co Ltd</v>
      </c>
      <c r="B95" t="str">
        <f>IFERROR(IF(0=LEN(ReferenceData!$B$95),"",ReferenceData!$B$95),"")</f>
        <v>489 HK Equity</v>
      </c>
      <c r="C95" t="str">
        <f>IFERROR(IF(0=LEN(ReferenceData!$C$95),"",ReferenceData!$C$95),"")</f>
        <v>EZ010</v>
      </c>
      <c r="D95" t="str">
        <f>IFERROR(IF(0=LEN(ReferenceData!$D$95),"",ReferenceData!$D$95),"")</f>
        <v>BEST_EST_PE_NXT_YR</v>
      </c>
      <c r="E95" t="str">
        <f>IFERROR(IF(0=LEN(ReferenceData!$E$95),"",ReferenceData!$E$95),"")</f>
        <v>Dynamic</v>
      </c>
      <c r="F95">
        <f ca="1">IFERROR(IF(0=LEN(ReferenceData!$F$95),"",ReferenceData!$F$95),"")</f>
        <v>4.3736065430000002</v>
      </c>
      <c r="G95">
        <f ca="1">IFERROR(IF(0=LEN(ReferenceData!$G$95),"",ReferenceData!$G$95),"")</f>
        <v>3.7562996809999998</v>
      </c>
      <c r="H95">
        <f ca="1">IFERROR(IF(0=LEN(ReferenceData!$H$95),"",ReferenceData!$H$95),"")</f>
        <v>4.1349739259999998</v>
      </c>
      <c r="I95">
        <f ca="1">IFERROR(IF(0=LEN(ReferenceData!$I$95),"",ReferenceData!$I$95),"")</f>
        <v>4.1832871279999999</v>
      </c>
      <c r="J95">
        <f ca="1">IFERROR(IF(0=LEN(ReferenceData!$J$95),"",ReferenceData!$J$95),"")</f>
        <v>4.4262976800000002</v>
      </c>
      <c r="K95">
        <f ca="1">IFERROR(IF(0=LEN(ReferenceData!$K$95),"",ReferenceData!$K$95),"")</f>
        <v>4.7039012529999997</v>
      </c>
      <c r="L95">
        <f ca="1">IFERROR(IF(0=LEN(ReferenceData!$L$95),"",ReferenceData!$L$95),"")</f>
        <v>5.2423581749999997</v>
      </c>
      <c r="M95">
        <f ca="1">IFERROR(IF(0=LEN(ReferenceData!$M$95),"",ReferenceData!$M$95),"")</f>
        <v>4.8126355519999997</v>
      </c>
      <c r="N95">
        <f ca="1">IFERROR(IF(0=LEN(ReferenceData!$N$95),"",ReferenceData!$N$95),"")</f>
        <v>4.728182747</v>
      </c>
      <c r="O95">
        <f ca="1">IFERROR(IF(0=LEN(ReferenceData!$O$95),"",ReferenceData!$O$95),"")</f>
        <v>5.0940680150000004</v>
      </c>
      <c r="P95" t="str">
        <f ca="1">IFERROR(IF(0=LEN(ReferenceData!$P$95),"",ReferenceData!$P$95),"")</f>
        <v/>
      </c>
      <c r="Q95" t="str">
        <f ca="1">IFERROR(IF(0=LEN(ReferenceData!$Q$95),"",ReferenceData!$Q$95),"")</f>
        <v/>
      </c>
      <c r="R95" t="str">
        <f ca="1">IFERROR(IF(0=LEN(ReferenceData!$R$95),"",ReferenceData!$R$95),"")</f>
        <v/>
      </c>
      <c r="S95" t="str">
        <f ca="1">IFERROR(IF(0=LEN(ReferenceData!$S$95),"",ReferenceData!$S$95),"")</f>
        <v/>
      </c>
      <c r="T95" t="str">
        <f ca="1">IFERROR(IF(0=LEN(ReferenceData!$T$95),"",ReferenceData!$T$95),"")</f>
        <v/>
      </c>
      <c r="U95" t="str">
        <f ca="1">IFERROR(IF(0=LEN(ReferenceData!$U$95),"",ReferenceData!$U$95),"")</f>
        <v/>
      </c>
      <c r="V95" t="str">
        <f ca="1">IFERROR(IF(0=LEN(ReferenceData!$V$95),"",ReferenceData!$V$95),"")</f>
        <v/>
      </c>
      <c r="W95" t="str">
        <f ca="1">IFERROR(IF(0=LEN(ReferenceData!$W$95),"",ReferenceData!$W$95),"")</f>
        <v/>
      </c>
      <c r="X95" t="str">
        <f ca="1">IFERROR(IF(0=LEN(ReferenceData!$X$95),"",ReferenceData!$X$95),"")</f>
        <v/>
      </c>
      <c r="Y95" t="str">
        <f ca="1">IFERROR(IF(0=LEN(ReferenceData!$Y$95),"",ReferenceData!$Y$95),"")</f>
        <v/>
      </c>
      <c r="Z95" t="str">
        <f ca="1">IFERROR(IF(0=LEN(ReferenceData!$Z$95),"",ReferenceData!$Z$95),"")</f>
        <v/>
      </c>
      <c r="AA95" t="str">
        <f ca="1">IFERROR(IF(0=LEN(ReferenceData!$AA$95),"",ReferenceData!$AA$95),"")</f>
        <v/>
      </c>
      <c r="AB95" t="str">
        <f ca="1">IFERROR(IF(0=LEN(ReferenceData!$AB$95),"",ReferenceData!$AB$95),"")</f>
        <v/>
      </c>
      <c r="AC95" t="str">
        <f ca="1">IFERROR(IF(0=LEN(ReferenceData!$AC$95),"",ReferenceData!$AC$95),"")</f>
        <v/>
      </c>
      <c r="AD95" t="str">
        <f ca="1">IFERROR(IF(0=LEN(ReferenceData!$AD$95),"",ReferenceData!$AD$95),"")</f>
        <v/>
      </c>
      <c r="AE95" t="str">
        <f ca="1">IFERROR(IF(0=LEN(ReferenceData!$AE$95),"",ReferenceData!$AE$95),"")</f>
        <v/>
      </c>
      <c r="AF95" t="str">
        <f ca="1">IFERROR(IF(0=LEN(ReferenceData!$AF$95),"",ReferenceData!$AF$95),"")</f>
        <v/>
      </c>
      <c r="AG95" t="str">
        <f ca="1">IFERROR(IF(0=LEN(ReferenceData!$AG$95),"",ReferenceData!$AG$95),"")</f>
        <v/>
      </c>
      <c r="AH95" t="str">
        <f ca="1">IFERROR(IF(0=LEN(ReferenceData!$AH$95),"",ReferenceData!$AH$95),"")</f>
        <v/>
      </c>
      <c r="AI95" t="str">
        <f ca="1">IFERROR(IF(0=LEN(ReferenceData!$AI$95),"",ReferenceData!$AI$95),"")</f>
        <v/>
      </c>
      <c r="AJ95" t="str">
        <f ca="1">IFERROR(IF(0=LEN(ReferenceData!$AJ$95),"",ReferenceData!$AJ$95),"")</f>
        <v/>
      </c>
      <c r="AK95" t="str">
        <f ca="1">IFERROR(IF(0=LEN(ReferenceData!$AK$95),"",ReferenceData!$AK$95),"")</f>
        <v/>
      </c>
      <c r="AL95" t="str">
        <f ca="1">IFERROR(IF(0=LEN(ReferenceData!$AL$95),"",ReferenceData!$AL$95),"")</f>
        <v/>
      </c>
      <c r="AM95" t="str">
        <f ca="1">IFERROR(IF(0=LEN(ReferenceData!$AM$95),"",ReferenceData!$AM$95),"")</f>
        <v/>
      </c>
      <c r="AN95" t="str">
        <f ca="1">IFERROR(IF(0=LEN(ReferenceData!$AN$95),"",ReferenceData!$AN$95),"")</f>
        <v/>
      </c>
      <c r="AO95" t="str">
        <f ca="1">IFERROR(IF(0=LEN(ReferenceData!$AO$95),"",ReferenceData!$AO$95),"")</f>
        <v/>
      </c>
      <c r="AP95" t="str">
        <f ca="1">IFERROR(IF(0=LEN(ReferenceData!$AP$95),"",ReferenceData!$AP$95),"")</f>
        <v/>
      </c>
      <c r="AQ95" t="str">
        <f ca="1">IFERROR(IF(0=LEN(ReferenceData!$AQ$95),"",ReferenceData!$AQ$95),"")</f>
        <v/>
      </c>
      <c r="AR95" t="str">
        <f ca="1">IFERROR(IF(0=LEN(ReferenceData!$AR$95),"",ReferenceData!$AR$95),"")</f>
        <v/>
      </c>
      <c r="AS95" t="str">
        <f ca="1">IFERROR(IF(0=LEN(ReferenceData!$AS$95),"",ReferenceData!$AS$95),"")</f>
        <v/>
      </c>
      <c r="AT95" t="str">
        <f ca="1">IFERROR(IF(0=LEN(ReferenceData!$AT$95),"",ReferenceData!$AT$95),"")</f>
        <v/>
      </c>
      <c r="AU95" t="str">
        <f ca="1">IFERROR(IF(0=LEN(ReferenceData!$AU$95),"",ReferenceData!$AU$95),"")</f>
        <v/>
      </c>
      <c r="AV95" t="str">
        <f ca="1">IFERROR(IF(0=LEN(ReferenceData!$AV$95),"",ReferenceData!$AV$95),"")</f>
        <v/>
      </c>
      <c r="AW95" t="str">
        <f ca="1">IFERROR(IF(0=LEN(ReferenceData!$AW$95),"",ReferenceData!$AW$95),"")</f>
        <v/>
      </c>
      <c r="AX95" t="str">
        <f ca="1">IFERROR(IF(0=LEN(ReferenceData!$AX$95),"",ReferenceData!$AX$95),"")</f>
        <v/>
      </c>
      <c r="AY95" t="str">
        <f ca="1">IFERROR(IF(0=LEN(ReferenceData!$AY$95),"",ReferenceData!$AY$95),"")</f>
        <v/>
      </c>
      <c r="AZ95" t="str">
        <f ca="1">IFERROR(IF(0=LEN(ReferenceData!$AZ$95),"",ReferenceData!$AZ$95),"")</f>
        <v/>
      </c>
      <c r="BA95" t="str">
        <f ca="1">IFERROR(IF(0=LEN(ReferenceData!$BA$95),"",ReferenceData!$BA$95),"")</f>
        <v/>
      </c>
      <c r="BB95" t="str">
        <f ca="1">IFERROR(IF(0=LEN(ReferenceData!$BB$95),"",ReferenceData!$BB$95),"")</f>
        <v/>
      </c>
      <c r="BC95" t="str">
        <f ca="1">IFERROR(IF(0=LEN(ReferenceData!$BC$95),"",ReferenceData!$BC$95),"")</f>
        <v/>
      </c>
      <c r="BD95" t="str">
        <f ca="1">IFERROR(IF(0=LEN(ReferenceData!$BD$95),"",ReferenceData!$BD$95),"")</f>
        <v/>
      </c>
      <c r="BE95" t="str">
        <f ca="1">IFERROR(IF(0=LEN(ReferenceData!$BE$95),"",ReferenceData!$BE$95),"")</f>
        <v/>
      </c>
      <c r="BF95" t="str">
        <f ca="1">IFERROR(IF(0=LEN(ReferenceData!$BF$95),"",ReferenceData!$BF$95),"")</f>
        <v/>
      </c>
      <c r="BG95" t="str">
        <f ca="1">IFERROR(IF(0=LEN(ReferenceData!$BG$95),"",ReferenceData!$BG$95),"")</f>
        <v/>
      </c>
      <c r="BH95" t="str">
        <f ca="1">IFERROR(IF(0=LEN(ReferenceData!$BH$95),"",ReferenceData!$BH$95),"")</f>
        <v/>
      </c>
      <c r="BI95" t="str">
        <f ca="1">IFERROR(IF(0=LEN(ReferenceData!$BI$95),"",ReferenceData!$BI$95),"")</f>
        <v/>
      </c>
      <c r="BJ95" t="str">
        <f ca="1">IFERROR(IF(0=LEN(ReferenceData!$BJ$95),"",ReferenceData!$BJ$95),"")</f>
        <v/>
      </c>
      <c r="BK95" t="str">
        <f ca="1">IFERROR(IF(0=LEN(ReferenceData!$BK$95),"",ReferenceData!$BK$95),"")</f>
        <v/>
      </c>
      <c r="BL95" t="str">
        <f ca="1">IFERROR(IF(0=LEN(ReferenceData!$BL$95),"",ReferenceData!$BL$95),"")</f>
        <v/>
      </c>
      <c r="BM95" t="str">
        <f ca="1">IFERROR(IF(0=LEN(ReferenceData!$BM$95),"",ReferenceData!$BM$95),"")</f>
        <v/>
      </c>
    </row>
    <row r="96" spans="1:65" x14ac:dyDescent="0.25">
      <c r="A96" t="str">
        <f>IFERROR(IF(0=LEN(ReferenceData!$A$96),"",ReferenceData!$A$96),"")</f>
        <v xml:space="preserve">    DRB-Hicom Bhd</v>
      </c>
      <c r="B96" t="str">
        <f>IFERROR(IF(0=LEN(ReferenceData!$B$96),"",ReferenceData!$B$96),"")</f>
        <v>DRB MK Equity</v>
      </c>
      <c r="C96" t="str">
        <f>IFERROR(IF(0=LEN(ReferenceData!$C$96),"",ReferenceData!$C$96),"")</f>
        <v>EZ010</v>
      </c>
      <c r="D96" t="str">
        <f>IFERROR(IF(0=LEN(ReferenceData!$D$96),"",ReferenceData!$D$96),"")</f>
        <v>BEST_EST_PE_NXT_YR</v>
      </c>
      <c r="E96" t="str">
        <f>IFERROR(IF(0=LEN(ReferenceData!$E$96),"",ReferenceData!$E$96),"")</f>
        <v>Dynamic</v>
      </c>
      <c r="F96">
        <f ca="1">IFERROR(IF(0=LEN(ReferenceData!$F$96),"",ReferenceData!$F$96),"")</f>
        <v>24.34210526</v>
      </c>
      <c r="G96">
        <f ca="1">IFERROR(IF(0=LEN(ReferenceData!$G$96),"",ReferenceData!$G$96),"")</f>
        <v>22.368421049999998</v>
      </c>
      <c r="H96">
        <f ca="1">IFERROR(IF(0=LEN(ReferenceData!$H$96),"",ReferenceData!$H$96),"")</f>
        <v>27.820512820000001</v>
      </c>
      <c r="I96">
        <f ca="1">IFERROR(IF(0=LEN(ReferenceData!$I$96),"",ReferenceData!$I$96),"")</f>
        <v>20.206185569999999</v>
      </c>
      <c r="J96">
        <f ca="1">IFERROR(IF(0=LEN(ReferenceData!$J$96),"",ReferenceData!$J$96),"")</f>
        <v>58.095238100000003</v>
      </c>
      <c r="K96">
        <f ca="1">IFERROR(IF(0=LEN(ReferenceData!$K$96),"",ReferenceData!$K$96),"")</f>
        <v>43.571428570000002</v>
      </c>
      <c r="L96">
        <f ca="1">IFERROR(IF(0=LEN(ReferenceData!$L$96),"",ReferenceData!$L$96),"")</f>
        <v>29.10714286</v>
      </c>
      <c r="M96">
        <f ca="1">IFERROR(IF(0=LEN(ReferenceData!$M$96),"",ReferenceData!$M$96),"")</f>
        <v>16.330275230000002</v>
      </c>
      <c r="N96" t="str">
        <f ca="1">IFERROR(IF(0=LEN(ReferenceData!$N$96),"",ReferenceData!$N$96),"")</f>
        <v/>
      </c>
      <c r="O96" t="str">
        <f ca="1">IFERROR(IF(0=LEN(ReferenceData!$O$96),"",ReferenceData!$O$96),"")</f>
        <v/>
      </c>
      <c r="P96" t="str">
        <f ca="1">IFERROR(IF(0=LEN(ReferenceData!$P$96),"",ReferenceData!$P$96),"")</f>
        <v/>
      </c>
      <c r="Q96" t="str">
        <f ca="1">IFERROR(IF(0=LEN(ReferenceData!$Q$96),"",ReferenceData!$Q$96),"")</f>
        <v/>
      </c>
      <c r="R96" t="str">
        <f ca="1">IFERROR(IF(0=LEN(ReferenceData!$R$96),"",ReferenceData!$R$96),"")</f>
        <v/>
      </c>
      <c r="S96" t="str">
        <f ca="1">IFERROR(IF(0=LEN(ReferenceData!$S$96),"",ReferenceData!$S$96),"")</f>
        <v/>
      </c>
      <c r="T96" t="str">
        <f ca="1">IFERROR(IF(0=LEN(ReferenceData!$T$96),"",ReferenceData!$T$96),"")</f>
        <v/>
      </c>
      <c r="U96" t="str">
        <f ca="1">IFERROR(IF(0=LEN(ReferenceData!$U$96),"",ReferenceData!$U$96),"")</f>
        <v/>
      </c>
      <c r="V96" t="str">
        <f ca="1">IFERROR(IF(0=LEN(ReferenceData!$V$96),"",ReferenceData!$V$96),"")</f>
        <v/>
      </c>
      <c r="W96" t="str">
        <f ca="1">IFERROR(IF(0=LEN(ReferenceData!$W$96),"",ReferenceData!$W$96),"")</f>
        <v/>
      </c>
      <c r="X96" t="str">
        <f ca="1">IFERROR(IF(0=LEN(ReferenceData!$X$96),"",ReferenceData!$X$96),"")</f>
        <v/>
      </c>
      <c r="Y96" t="str">
        <f ca="1">IFERROR(IF(0=LEN(ReferenceData!$Y$96),"",ReferenceData!$Y$96),"")</f>
        <v/>
      </c>
      <c r="Z96" t="str">
        <f ca="1">IFERROR(IF(0=LEN(ReferenceData!$Z$96),"",ReferenceData!$Z$96),"")</f>
        <v/>
      </c>
      <c r="AA96" t="str">
        <f ca="1">IFERROR(IF(0=LEN(ReferenceData!$AA$96),"",ReferenceData!$AA$96),"")</f>
        <v/>
      </c>
      <c r="AB96" t="str">
        <f ca="1">IFERROR(IF(0=LEN(ReferenceData!$AB$96),"",ReferenceData!$AB$96),"")</f>
        <v/>
      </c>
      <c r="AC96" t="str">
        <f ca="1">IFERROR(IF(0=LEN(ReferenceData!$AC$96),"",ReferenceData!$AC$96),"")</f>
        <v/>
      </c>
      <c r="AD96" t="str">
        <f ca="1">IFERROR(IF(0=LEN(ReferenceData!$AD$96),"",ReferenceData!$AD$96),"")</f>
        <v/>
      </c>
      <c r="AE96" t="str">
        <f ca="1">IFERROR(IF(0=LEN(ReferenceData!$AE$96),"",ReferenceData!$AE$96),"")</f>
        <v/>
      </c>
      <c r="AF96" t="str">
        <f ca="1">IFERROR(IF(0=LEN(ReferenceData!$AF$96),"",ReferenceData!$AF$96),"")</f>
        <v/>
      </c>
      <c r="AG96" t="str">
        <f ca="1">IFERROR(IF(0=LEN(ReferenceData!$AG$96),"",ReferenceData!$AG$96),"")</f>
        <v/>
      </c>
      <c r="AH96" t="str">
        <f ca="1">IFERROR(IF(0=LEN(ReferenceData!$AH$96),"",ReferenceData!$AH$96),"")</f>
        <v/>
      </c>
      <c r="AI96" t="str">
        <f ca="1">IFERROR(IF(0=LEN(ReferenceData!$AI$96),"",ReferenceData!$AI$96),"")</f>
        <v/>
      </c>
      <c r="AJ96" t="str">
        <f ca="1">IFERROR(IF(0=LEN(ReferenceData!$AJ$96),"",ReferenceData!$AJ$96),"")</f>
        <v/>
      </c>
      <c r="AK96" t="str">
        <f ca="1">IFERROR(IF(0=LEN(ReferenceData!$AK$96),"",ReferenceData!$AK$96),"")</f>
        <v/>
      </c>
      <c r="AL96" t="str">
        <f ca="1">IFERROR(IF(0=LEN(ReferenceData!$AL$96),"",ReferenceData!$AL$96),"")</f>
        <v/>
      </c>
      <c r="AM96" t="str">
        <f ca="1">IFERROR(IF(0=LEN(ReferenceData!$AM$96),"",ReferenceData!$AM$96),"")</f>
        <v/>
      </c>
      <c r="AN96" t="str">
        <f ca="1">IFERROR(IF(0=LEN(ReferenceData!$AN$96),"",ReferenceData!$AN$96),"")</f>
        <v/>
      </c>
      <c r="AO96" t="str">
        <f ca="1">IFERROR(IF(0=LEN(ReferenceData!$AO$96),"",ReferenceData!$AO$96),"")</f>
        <v/>
      </c>
      <c r="AP96" t="str">
        <f ca="1">IFERROR(IF(0=LEN(ReferenceData!$AP$96),"",ReferenceData!$AP$96),"")</f>
        <v/>
      </c>
      <c r="AQ96" t="str">
        <f ca="1">IFERROR(IF(0=LEN(ReferenceData!$AQ$96),"",ReferenceData!$AQ$96),"")</f>
        <v/>
      </c>
      <c r="AR96" t="str">
        <f ca="1">IFERROR(IF(0=LEN(ReferenceData!$AR$96),"",ReferenceData!$AR$96),"")</f>
        <v/>
      </c>
      <c r="AS96" t="str">
        <f ca="1">IFERROR(IF(0=LEN(ReferenceData!$AS$96),"",ReferenceData!$AS$96),"")</f>
        <v/>
      </c>
      <c r="AT96" t="str">
        <f ca="1">IFERROR(IF(0=LEN(ReferenceData!$AT$96),"",ReferenceData!$AT$96),"")</f>
        <v/>
      </c>
      <c r="AU96" t="str">
        <f ca="1">IFERROR(IF(0=LEN(ReferenceData!$AU$96),"",ReferenceData!$AU$96),"")</f>
        <v/>
      </c>
      <c r="AV96" t="str">
        <f ca="1">IFERROR(IF(0=LEN(ReferenceData!$AV$96),"",ReferenceData!$AV$96),"")</f>
        <v/>
      </c>
      <c r="AW96" t="str">
        <f ca="1">IFERROR(IF(0=LEN(ReferenceData!$AW$96),"",ReferenceData!$AW$96),"")</f>
        <v/>
      </c>
      <c r="AX96" t="str">
        <f ca="1">IFERROR(IF(0=LEN(ReferenceData!$AX$96),"",ReferenceData!$AX$96),"")</f>
        <v/>
      </c>
      <c r="AY96" t="str">
        <f ca="1">IFERROR(IF(0=LEN(ReferenceData!$AY$96),"",ReferenceData!$AY$96),"")</f>
        <v/>
      </c>
      <c r="AZ96" t="str">
        <f ca="1">IFERROR(IF(0=LEN(ReferenceData!$AZ$96),"",ReferenceData!$AZ$96),"")</f>
        <v/>
      </c>
      <c r="BA96" t="str">
        <f ca="1">IFERROR(IF(0=LEN(ReferenceData!$BA$96),"",ReferenceData!$BA$96),"")</f>
        <v/>
      </c>
      <c r="BB96" t="str">
        <f ca="1">IFERROR(IF(0=LEN(ReferenceData!$BB$96),"",ReferenceData!$BB$96),"")</f>
        <v/>
      </c>
      <c r="BC96" t="str">
        <f ca="1">IFERROR(IF(0=LEN(ReferenceData!$BC$96),"",ReferenceData!$BC$96),"")</f>
        <v/>
      </c>
      <c r="BD96" t="str">
        <f ca="1">IFERROR(IF(0=LEN(ReferenceData!$BD$96),"",ReferenceData!$BD$96),"")</f>
        <v/>
      </c>
      <c r="BE96" t="str">
        <f ca="1">IFERROR(IF(0=LEN(ReferenceData!$BE$96),"",ReferenceData!$BE$96),"")</f>
        <v/>
      </c>
      <c r="BF96" t="str">
        <f ca="1">IFERROR(IF(0=LEN(ReferenceData!$BF$96),"",ReferenceData!$BF$96),"")</f>
        <v/>
      </c>
      <c r="BG96" t="str">
        <f ca="1">IFERROR(IF(0=LEN(ReferenceData!$BG$96),"",ReferenceData!$BG$96),"")</f>
        <v/>
      </c>
      <c r="BH96" t="str">
        <f ca="1">IFERROR(IF(0=LEN(ReferenceData!$BH$96),"",ReferenceData!$BH$96),"")</f>
        <v/>
      </c>
      <c r="BI96" t="str">
        <f ca="1">IFERROR(IF(0=LEN(ReferenceData!$BI$96),"",ReferenceData!$BI$96),"")</f>
        <v/>
      </c>
      <c r="BJ96" t="str">
        <f ca="1">IFERROR(IF(0=LEN(ReferenceData!$BJ$96),"",ReferenceData!$BJ$96),"")</f>
        <v/>
      </c>
      <c r="BK96" t="str">
        <f ca="1">IFERROR(IF(0=LEN(ReferenceData!$BK$96),"",ReferenceData!$BK$96),"")</f>
        <v/>
      </c>
      <c r="BL96" t="str">
        <f ca="1">IFERROR(IF(0=LEN(ReferenceData!$BL$96),"",ReferenceData!$BL$96),"")</f>
        <v/>
      </c>
      <c r="BM96" t="str">
        <f ca="1">IFERROR(IF(0=LEN(ReferenceData!$BM$96),"",ReferenceData!$BM$96),"")</f>
        <v/>
      </c>
    </row>
    <row r="97" spans="1:65" x14ac:dyDescent="0.25">
      <c r="A97" t="str">
        <f>IFERROR(IF(0=LEN(ReferenceData!$A$97),"",ReferenceData!$A$97),"")</f>
        <v xml:space="preserve">    FAW CAR Co Ltd</v>
      </c>
      <c r="B97" t="str">
        <f>IFERROR(IF(0=LEN(ReferenceData!$B$97),"",ReferenceData!$B$97),"")</f>
        <v>000800 CH Equity</v>
      </c>
      <c r="C97" t="str">
        <f>IFERROR(IF(0=LEN(ReferenceData!$C$97),"",ReferenceData!$C$97),"")</f>
        <v>EZ010</v>
      </c>
      <c r="D97" t="str">
        <f>IFERROR(IF(0=LEN(ReferenceData!$D$97),"",ReferenceData!$D$97),"")</f>
        <v>BEST_EST_PE_NXT_YR</v>
      </c>
      <c r="E97" t="str">
        <f>IFERROR(IF(0=LEN(ReferenceData!$E$97),"",ReferenceData!$E$97),"")</f>
        <v>Dynamic</v>
      </c>
      <c r="F97" t="str">
        <f ca="1">IFERROR(IF(0=LEN(ReferenceData!$F$97),"",ReferenceData!$F$97),"")</f>
        <v/>
      </c>
      <c r="G97" t="str">
        <f ca="1">IFERROR(IF(0=LEN(ReferenceData!$G$97),"",ReferenceData!$G$97),"")</f>
        <v/>
      </c>
      <c r="H97" t="str">
        <f ca="1">IFERROR(IF(0=LEN(ReferenceData!$H$97),"",ReferenceData!$H$97),"")</f>
        <v/>
      </c>
      <c r="I97" t="str">
        <f ca="1">IFERROR(IF(0=LEN(ReferenceData!$I$97),"",ReferenceData!$I$97),"")</f>
        <v/>
      </c>
      <c r="J97" t="str">
        <f ca="1">IFERROR(IF(0=LEN(ReferenceData!$J$97),"",ReferenceData!$J$97),"")</f>
        <v/>
      </c>
      <c r="K97">
        <f ca="1">IFERROR(IF(0=LEN(ReferenceData!$K$97),"",ReferenceData!$K$97),"")</f>
        <v>37.107142860000003</v>
      </c>
      <c r="L97">
        <f ca="1">IFERROR(IF(0=LEN(ReferenceData!$L$97),"",ReferenceData!$L$97),"")</f>
        <v>49.142857139999997</v>
      </c>
      <c r="M97">
        <f ca="1">IFERROR(IF(0=LEN(ReferenceData!$M$97),"",ReferenceData!$M$97),"")</f>
        <v>39.11538462</v>
      </c>
      <c r="N97" t="str">
        <f ca="1">IFERROR(IF(0=LEN(ReferenceData!$N$97),"",ReferenceData!$N$97),"")</f>
        <v/>
      </c>
      <c r="O97" t="str">
        <f ca="1">IFERROR(IF(0=LEN(ReferenceData!$O$97),"",ReferenceData!$O$97),"")</f>
        <v/>
      </c>
      <c r="P97" t="str">
        <f ca="1">IFERROR(IF(0=LEN(ReferenceData!$P$97),"",ReferenceData!$P$97),"")</f>
        <v/>
      </c>
      <c r="Q97" t="str">
        <f ca="1">IFERROR(IF(0=LEN(ReferenceData!$Q$97),"",ReferenceData!$Q$97),"")</f>
        <v/>
      </c>
      <c r="R97" t="str">
        <f ca="1">IFERROR(IF(0=LEN(ReferenceData!$R$97),"",ReferenceData!$R$97),"")</f>
        <v/>
      </c>
      <c r="S97" t="str">
        <f ca="1">IFERROR(IF(0=LEN(ReferenceData!$S$97),"",ReferenceData!$S$97),"")</f>
        <v/>
      </c>
      <c r="T97" t="str">
        <f ca="1">IFERROR(IF(0=LEN(ReferenceData!$T$97),"",ReferenceData!$T$97),"")</f>
        <v/>
      </c>
      <c r="U97" t="str">
        <f ca="1">IFERROR(IF(0=LEN(ReferenceData!$U$97),"",ReferenceData!$U$97),"")</f>
        <v/>
      </c>
      <c r="V97" t="str">
        <f ca="1">IFERROR(IF(0=LEN(ReferenceData!$V$97),"",ReferenceData!$V$97),"")</f>
        <v/>
      </c>
      <c r="W97" t="str">
        <f ca="1">IFERROR(IF(0=LEN(ReferenceData!$W$97),"",ReferenceData!$W$97),"")</f>
        <v/>
      </c>
      <c r="X97" t="str">
        <f ca="1">IFERROR(IF(0=LEN(ReferenceData!$X$97),"",ReferenceData!$X$97),"")</f>
        <v/>
      </c>
      <c r="Y97" t="str">
        <f ca="1">IFERROR(IF(0=LEN(ReferenceData!$Y$97),"",ReferenceData!$Y$97),"")</f>
        <v/>
      </c>
      <c r="Z97" t="str">
        <f ca="1">IFERROR(IF(0=LEN(ReferenceData!$Z$97),"",ReferenceData!$Z$97),"")</f>
        <v/>
      </c>
      <c r="AA97" t="str">
        <f ca="1">IFERROR(IF(0=LEN(ReferenceData!$AA$97),"",ReferenceData!$AA$97),"")</f>
        <v/>
      </c>
      <c r="AB97" t="str">
        <f ca="1">IFERROR(IF(0=LEN(ReferenceData!$AB$97),"",ReferenceData!$AB$97),"")</f>
        <v/>
      </c>
      <c r="AC97" t="str">
        <f ca="1">IFERROR(IF(0=LEN(ReferenceData!$AC$97),"",ReferenceData!$AC$97),"")</f>
        <v/>
      </c>
      <c r="AD97" t="str">
        <f ca="1">IFERROR(IF(0=LEN(ReferenceData!$AD$97),"",ReferenceData!$AD$97),"")</f>
        <v/>
      </c>
      <c r="AE97" t="str">
        <f ca="1">IFERROR(IF(0=LEN(ReferenceData!$AE$97),"",ReferenceData!$AE$97),"")</f>
        <v/>
      </c>
      <c r="AF97" t="str">
        <f ca="1">IFERROR(IF(0=LEN(ReferenceData!$AF$97),"",ReferenceData!$AF$97),"")</f>
        <v/>
      </c>
      <c r="AG97" t="str">
        <f ca="1">IFERROR(IF(0=LEN(ReferenceData!$AG$97),"",ReferenceData!$AG$97),"")</f>
        <v/>
      </c>
      <c r="AH97" t="str">
        <f ca="1">IFERROR(IF(0=LEN(ReferenceData!$AH$97),"",ReferenceData!$AH$97),"")</f>
        <v/>
      </c>
      <c r="AI97" t="str">
        <f ca="1">IFERROR(IF(0=LEN(ReferenceData!$AI$97),"",ReferenceData!$AI$97),"")</f>
        <v/>
      </c>
      <c r="AJ97" t="str">
        <f ca="1">IFERROR(IF(0=LEN(ReferenceData!$AJ$97),"",ReferenceData!$AJ$97),"")</f>
        <v/>
      </c>
      <c r="AK97" t="str">
        <f ca="1">IFERROR(IF(0=LEN(ReferenceData!$AK$97),"",ReferenceData!$AK$97),"")</f>
        <v/>
      </c>
      <c r="AL97" t="str">
        <f ca="1">IFERROR(IF(0=LEN(ReferenceData!$AL$97),"",ReferenceData!$AL$97),"")</f>
        <v/>
      </c>
      <c r="AM97" t="str">
        <f ca="1">IFERROR(IF(0=LEN(ReferenceData!$AM$97),"",ReferenceData!$AM$97),"")</f>
        <v/>
      </c>
      <c r="AN97" t="str">
        <f ca="1">IFERROR(IF(0=LEN(ReferenceData!$AN$97),"",ReferenceData!$AN$97),"")</f>
        <v/>
      </c>
      <c r="AO97" t="str">
        <f ca="1">IFERROR(IF(0=LEN(ReferenceData!$AO$97),"",ReferenceData!$AO$97),"")</f>
        <v/>
      </c>
      <c r="AP97" t="str">
        <f ca="1">IFERROR(IF(0=LEN(ReferenceData!$AP$97),"",ReferenceData!$AP$97),"")</f>
        <v/>
      </c>
      <c r="AQ97" t="str">
        <f ca="1">IFERROR(IF(0=LEN(ReferenceData!$AQ$97),"",ReferenceData!$AQ$97),"")</f>
        <v/>
      </c>
      <c r="AR97" t="str">
        <f ca="1">IFERROR(IF(0=LEN(ReferenceData!$AR$97),"",ReferenceData!$AR$97),"")</f>
        <v/>
      </c>
      <c r="AS97" t="str">
        <f ca="1">IFERROR(IF(0=LEN(ReferenceData!$AS$97),"",ReferenceData!$AS$97),"")</f>
        <v/>
      </c>
      <c r="AT97" t="str">
        <f ca="1">IFERROR(IF(0=LEN(ReferenceData!$AT$97),"",ReferenceData!$AT$97),"")</f>
        <v/>
      </c>
      <c r="AU97" t="str">
        <f ca="1">IFERROR(IF(0=LEN(ReferenceData!$AU$97),"",ReferenceData!$AU$97),"")</f>
        <v/>
      </c>
      <c r="AV97" t="str">
        <f ca="1">IFERROR(IF(0=LEN(ReferenceData!$AV$97),"",ReferenceData!$AV$97),"")</f>
        <v/>
      </c>
      <c r="AW97" t="str">
        <f ca="1">IFERROR(IF(0=LEN(ReferenceData!$AW$97),"",ReferenceData!$AW$97),"")</f>
        <v/>
      </c>
      <c r="AX97" t="str">
        <f ca="1">IFERROR(IF(0=LEN(ReferenceData!$AX$97),"",ReferenceData!$AX$97),"")</f>
        <v/>
      </c>
      <c r="AY97" t="str">
        <f ca="1">IFERROR(IF(0=LEN(ReferenceData!$AY$97),"",ReferenceData!$AY$97),"")</f>
        <v/>
      </c>
      <c r="AZ97" t="str">
        <f ca="1">IFERROR(IF(0=LEN(ReferenceData!$AZ$97),"",ReferenceData!$AZ$97),"")</f>
        <v/>
      </c>
      <c r="BA97" t="str">
        <f ca="1">IFERROR(IF(0=LEN(ReferenceData!$BA$97),"",ReferenceData!$BA$97),"")</f>
        <v/>
      </c>
      <c r="BB97" t="str">
        <f ca="1">IFERROR(IF(0=LEN(ReferenceData!$BB$97),"",ReferenceData!$BB$97),"")</f>
        <v/>
      </c>
      <c r="BC97" t="str">
        <f ca="1">IFERROR(IF(0=LEN(ReferenceData!$BC$97),"",ReferenceData!$BC$97),"")</f>
        <v/>
      </c>
      <c r="BD97" t="str">
        <f ca="1">IFERROR(IF(0=LEN(ReferenceData!$BD$97),"",ReferenceData!$BD$97),"")</f>
        <v/>
      </c>
      <c r="BE97" t="str">
        <f ca="1">IFERROR(IF(0=LEN(ReferenceData!$BE$97),"",ReferenceData!$BE$97),"")</f>
        <v/>
      </c>
      <c r="BF97" t="str">
        <f ca="1">IFERROR(IF(0=LEN(ReferenceData!$BF$97),"",ReferenceData!$BF$97),"")</f>
        <v/>
      </c>
      <c r="BG97" t="str">
        <f ca="1">IFERROR(IF(0=LEN(ReferenceData!$BG$97),"",ReferenceData!$BG$97),"")</f>
        <v/>
      </c>
      <c r="BH97" t="str">
        <f ca="1">IFERROR(IF(0=LEN(ReferenceData!$BH$97),"",ReferenceData!$BH$97),"")</f>
        <v/>
      </c>
      <c r="BI97" t="str">
        <f ca="1">IFERROR(IF(0=LEN(ReferenceData!$BI$97),"",ReferenceData!$BI$97),"")</f>
        <v/>
      </c>
      <c r="BJ97" t="str">
        <f ca="1">IFERROR(IF(0=LEN(ReferenceData!$BJ$97),"",ReferenceData!$BJ$97),"")</f>
        <v/>
      </c>
      <c r="BK97" t="str">
        <f ca="1">IFERROR(IF(0=LEN(ReferenceData!$BK$97),"",ReferenceData!$BK$97),"")</f>
        <v/>
      </c>
      <c r="BL97" t="str">
        <f ca="1">IFERROR(IF(0=LEN(ReferenceData!$BL$97),"",ReferenceData!$BL$97),"")</f>
        <v/>
      </c>
      <c r="BM97" t="str">
        <f ca="1">IFERROR(IF(0=LEN(ReferenceData!$BM$97),"",ReferenceData!$BM$97),"")</f>
        <v/>
      </c>
    </row>
    <row r="98" spans="1:65" x14ac:dyDescent="0.25">
      <c r="A98" t="str">
        <f>IFERROR(IF(0=LEN(ReferenceData!$A$98),"",ReferenceData!$A$98),"")</f>
        <v xml:space="preserve">    Fiat Chrysler Automobiles NV</v>
      </c>
      <c r="B98" t="str">
        <f>IFERROR(IF(0=LEN(ReferenceData!$B$98),"",ReferenceData!$B$98),"")</f>
        <v>FCAU US Equity</v>
      </c>
      <c r="C98" t="str">
        <f>IFERROR(IF(0=LEN(ReferenceData!$C$98),"",ReferenceData!$C$98),"")</f>
        <v>EZ010</v>
      </c>
      <c r="D98" t="str">
        <f>IFERROR(IF(0=LEN(ReferenceData!$D$98),"",ReferenceData!$D$98),"")</f>
        <v>BEST_EST_PE_NXT_YR</v>
      </c>
      <c r="E98" t="str">
        <f>IFERROR(IF(0=LEN(ReferenceData!$E$98),"",ReferenceData!$E$98),"")</f>
        <v>Dynamic</v>
      </c>
      <c r="F98">
        <f ca="1">IFERROR(IF(0=LEN(ReferenceData!$F$98),"",ReferenceData!$F$98),"")</f>
        <v>4.1091302030000003</v>
      </c>
      <c r="G98">
        <f ca="1">IFERROR(IF(0=LEN(ReferenceData!$G$98),"",ReferenceData!$G$98),"")</f>
        <v>3.5973263360000001</v>
      </c>
      <c r="H98">
        <f ca="1">IFERROR(IF(0=LEN(ReferenceData!$H$98),"",ReferenceData!$H$98),"")</f>
        <v>4.1091936909999998</v>
      </c>
      <c r="I98">
        <f ca="1">IFERROR(IF(0=LEN(ReferenceData!$I$98),"",ReferenceData!$I$98),"")</f>
        <v>4.2706178149999996</v>
      </c>
      <c r="J98">
        <f ca="1">IFERROR(IF(0=LEN(ReferenceData!$J$98),"",ReferenceData!$J$98),"")</f>
        <v>4.7837085349999997</v>
      </c>
      <c r="K98">
        <f ca="1">IFERROR(IF(0=LEN(ReferenceData!$K$98),"",ReferenceData!$K$98),"")</f>
        <v>5.6274027259999997</v>
      </c>
      <c r="L98">
        <f ca="1">IFERROR(IF(0=LEN(ReferenceData!$L$98),"",ReferenceData!$L$98),"")</f>
        <v>6.5831272350000001</v>
      </c>
      <c r="M98">
        <f ca="1">IFERROR(IF(0=LEN(ReferenceData!$M$98),"",ReferenceData!$M$98),"")</f>
        <v>4.0320087630000003</v>
      </c>
      <c r="N98">
        <f ca="1">IFERROR(IF(0=LEN(ReferenceData!$N$98),"",ReferenceData!$N$98),"")</f>
        <v>4.4522083139999999</v>
      </c>
      <c r="O98">
        <f ca="1">IFERROR(IF(0=LEN(ReferenceData!$O$98),"",ReferenceData!$O$98),"")</f>
        <v>3.564428452</v>
      </c>
      <c r="P98">
        <f ca="1">IFERROR(IF(0=LEN(ReferenceData!$P$98),"",ReferenceData!$P$98),"")</f>
        <v>2.2179126949999999</v>
      </c>
      <c r="Q98">
        <f ca="1">IFERROR(IF(0=LEN(ReferenceData!$Q$98),"",ReferenceData!$Q$98),"")</f>
        <v>19.739133800000001</v>
      </c>
      <c r="R98">
        <f ca="1">IFERROR(IF(0=LEN(ReferenceData!$R$98),"",ReferenceData!$R$98),"")</f>
        <v>11.55170672</v>
      </c>
      <c r="S98">
        <f ca="1">IFERROR(IF(0=LEN(ReferenceData!$S$98),"",ReferenceData!$S$98),"")</f>
        <v>12.555163</v>
      </c>
      <c r="T98">
        <f ca="1">IFERROR(IF(0=LEN(ReferenceData!$T$98),"",ReferenceData!$T$98),"")</f>
        <v>5.1456615169999997</v>
      </c>
      <c r="U98" t="str">
        <f ca="1">IFERROR(IF(0=LEN(ReferenceData!$U$98),"",ReferenceData!$U$98),"")</f>
        <v/>
      </c>
      <c r="V98" t="str">
        <f ca="1">IFERROR(IF(0=LEN(ReferenceData!$V$98),"",ReferenceData!$V$98),"")</f>
        <v/>
      </c>
      <c r="W98" t="str">
        <f ca="1">IFERROR(IF(0=LEN(ReferenceData!$W$98),"",ReferenceData!$W$98),"")</f>
        <v/>
      </c>
      <c r="X98" t="str">
        <f ca="1">IFERROR(IF(0=LEN(ReferenceData!$X$98),"",ReferenceData!$X$98),"")</f>
        <v/>
      </c>
      <c r="Y98" t="str">
        <f ca="1">IFERROR(IF(0=LEN(ReferenceData!$Y$98),"",ReferenceData!$Y$98),"")</f>
        <v/>
      </c>
      <c r="Z98" t="str">
        <f ca="1">IFERROR(IF(0=LEN(ReferenceData!$Z$98),"",ReferenceData!$Z$98),"")</f>
        <v/>
      </c>
      <c r="AA98" t="str">
        <f ca="1">IFERROR(IF(0=LEN(ReferenceData!$AA$98),"",ReferenceData!$AA$98),"")</f>
        <v/>
      </c>
      <c r="AB98" t="str">
        <f ca="1">IFERROR(IF(0=LEN(ReferenceData!$AB$98),"",ReferenceData!$AB$98),"")</f>
        <v/>
      </c>
      <c r="AC98" t="str">
        <f ca="1">IFERROR(IF(0=LEN(ReferenceData!$AC$98),"",ReferenceData!$AC$98),"")</f>
        <v/>
      </c>
      <c r="AD98" t="str">
        <f ca="1">IFERROR(IF(0=LEN(ReferenceData!$AD$98),"",ReferenceData!$AD$98),"")</f>
        <v/>
      </c>
      <c r="AE98" t="str">
        <f ca="1">IFERROR(IF(0=LEN(ReferenceData!$AE$98),"",ReferenceData!$AE$98),"")</f>
        <v/>
      </c>
      <c r="AF98" t="str">
        <f ca="1">IFERROR(IF(0=LEN(ReferenceData!$AF$98),"",ReferenceData!$AF$98),"")</f>
        <v/>
      </c>
      <c r="AG98" t="str">
        <f ca="1">IFERROR(IF(0=LEN(ReferenceData!$AG$98),"",ReferenceData!$AG$98),"")</f>
        <v/>
      </c>
      <c r="AH98" t="str">
        <f ca="1">IFERROR(IF(0=LEN(ReferenceData!$AH$98),"",ReferenceData!$AH$98),"")</f>
        <v/>
      </c>
      <c r="AI98" t="str">
        <f ca="1">IFERROR(IF(0=LEN(ReferenceData!$AI$98),"",ReferenceData!$AI$98),"")</f>
        <v/>
      </c>
      <c r="AJ98" t="str">
        <f ca="1">IFERROR(IF(0=LEN(ReferenceData!$AJ$98),"",ReferenceData!$AJ$98),"")</f>
        <v/>
      </c>
      <c r="AK98" t="str">
        <f ca="1">IFERROR(IF(0=LEN(ReferenceData!$AK$98),"",ReferenceData!$AK$98),"")</f>
        <v/>
      </c>
      <c r="AL98" t="str">
        <f ca="1">IFERROR(IF(0=LEN(ReferenceData!$AL$98),"",ReferenceData!$AL$98),"")</f>
        <v/>
      </c>
      <c r="AM98" t="str">
        <f ca="1">IFERROR(IF(0=LEN(ReferenceData!$AM$98),"",ReferenceData!$AM$98),"")</f>
        <v/>
      </c>
      <c r="AN98" t="str">
        <f ca="1">IFERROR(IF(0=LEN(ReferenceData!$AN$98),"",ReferenceData!$AN$98),"")</f>
        <v/>
      </c>
      <c r="AO98" t="str">
        <f ca="1">IFERROR(IF(0=LEN(ReferenceData!$AO$98),"",ReferenceData!$AO$98),"")</f>
        <v/>
      </c>
      <c r="AP98" t="str">
        <f ca="1">IFERROR(IF(0=LEN(ReferenceData!$AP$98),"",ReferenceData!$AP$98),"")</f>
        <v/>
      </c>
      <c r="AQ98" t="str">
        <f ca="1">IFERROR(IF(0=LEN(ReferenceData!$AQ$98),"",ReferenceData!$AQ$98),"")</f>
        <v/>
      </c>
      <c r="AR98" t="str">
        <f ca="1">IFERROR(IF(0=LEN(ReferenceData!$AR$98),"",ReferenceData!$AR$98),"")</f>
        <v/>
      </c>
      <c r="AS98" t="str">
        <f ca="1">IFERROR(IF(0=LEN(ReferenceData!$AS$98),"",ReferenceData!$AS$98),"")</f>
        <v/>
      </c>
      <c r="AT98" t="str">
        <f ca="1">IFERROR(IF(0=LEN(ReferenceData!$AT$98),"",ReferenceData!$AT$98),"")</f>
        <v/>
      </c>
      <c r="AU98" t="str">
        <f ca="1">IFERROR(IF(0=LEN(ReferenceData!$AU$98),"",ReferenceData!$AU$98),"")</f>
        <v/>
      </c>
      <c r="AV98" t="str">
        <f ca="1">IFERROR(IF(0=LEN(ReferenceData!$AV$98),"",ReferenceData!$AV$98),"")</f>
        <v/>
      </c>
      <c r="AW98" t="str">
        <f ca="1">IFERROR(IF(0=LEN(ReferenceData!$AW$98),"",ReferenceData!$AW$98),"")</f>
        <v/>
      </c>
      <c r="AX98" t="str">
        <f ca="1">IFERROR(IF(0=LEN(ReferenceData!$AX$98),"",ReferenceData!$AX$98),"")</f>
        <v/>
      </c>
      <c r="AY98" t="str">
        <f ca="1">IFERROR(IF(0=LEN(ReferenceData!$AY$98),"",ReferenceData!$AY$98),"")</f>
        <v/>
      </c>
      <c r="AZ98" t="str">
        <f ca="1">IFERROR(IF(0=LEN(ReferenceData!$AZ$98),"",ReferenceData!$AZ$98),"")</f>
        <v/>
      </c>
      <c r="BA98" t="str">
        <f ca="1">IFERROR(IF(0=LEN(ReferenceData!$BA$98),"",ReferenceData!$BA$98),"")</f>
        <v/>
      </c>
      <c r="BB98" t="str">
        <f ca="1">IFERROR(IF(0=LEN(ReferenceData!$BB$98),"",ReferenceData!$BB$98),"")</f>
        <v/>
      </c>
      <c r="BC98" t="str">
        <f ca="1">IFERROR(IF(0=LEN(ReferenceData!$BC$98),"",ReferenceData!$BC$98),"")</f>
        <v/>
      </c>
      <c r="BD98" t="str">
        <f ca="1">IFERROR(IF(0=LEN(ReferenceData!$BD$98),"",ReferenceData!$BD$98),"")</f>
        <v/>
      </c>
      <c r="BE98" t="str">
        <f ca="1">IFERROR(IF(0=LEN(ReferenceData!$BE$98),"",ReferenceData!$BE$98),"")</f>
        <v/>
      </c>
      <c r="BF98" t="str">
        <f ca="1">IFERROR(IF(0=LEN(ReferenceData!$BF$98),"",ReferenceData!$BF$98),"")</f>
        <v/>
      </c>
      <c r="BG98" t="str">
        <f ca="1">IFERROR(IF(0=LEN(ReferenceData!$BG$98),"",ReferenceData!$BG$98),"")</f>
        <v/>
      </c>
      <c r="BH98" t="str">
        <f ca="1">IFERROR(IF(0=LEN(ReferenceData!$BH$98),"",ReferenceData!$BH$98),"")</f>
        <v/>
      </c>
      <c r="BI98" t="str">
        <f ca="1">IFERROR(IF(0=LEN(ReferenceData!$BI$98),"",ReferenceData!$BI$98),"")</f>
        <v/>
      </c>
      <c r="BJ98" t="str">
        <f ca="1">IFERROR(IF(0=LEN(ReferenceData!$BJ$98),"",ReferenceData!$BJ$98),"")</f>
        <v/>
      </c>
      <c r="BK98" t="str">
        <f ca="1">IFERROR(IF(0=LEN(ReferenceData!$BK$98),"",ReferenceData!$BK$98),"")</f>
        <v/>
      </c>
      <c r="BL98" t="str">
        <f ca="1">IFERROR(IF(0=LEN(ReferenceData!$BL$98),"",ReferenceData!$BL$98),"")</f>
        <v/>
      </c>
      <c r="BM98" t="str">
        <f ca="1">IFERROR(IF(0=LEN(ReferenceData!$BM$98),"",ReferenceData!$BM$98),"")</f>
        <v/>
      </c>
    </row>
    <row r="99" spans="1:65" x14ac:dyDescent="0.25">
      <c r="A99" t="str">
        <f>IFERROR(IF(0=LEN(ReferenceData!$A$99),"",ReferenceData!$A$99),"")</f>
        <v xml:space="preserve">    Ford Motor Co</v>
      </c>
      <c r="B99" t="str">
        <f>IFERROR(IF(0=LEN(ReferenceData!$B$99),"",ReferenceData!$B$99),"")</f>
        <v>F US Equity</v>
      </c>
      <c r="C99" t="str">
        <f>IFERROR(IF(0=LEN(ReferenceData!$C$99),"",ReferenceData!$C$99),"")</f>
        <v>EZ010</v>
      </c>
      <c r="D99" t="str">
        <f>IFERROR(IF(0=LEN(ReferenceData!$D$99),"",ReferenceData!$D$99),"")</f>
        <v>BEST_EST_PE_NXT_YR</v>
      </c>
      <c r="E99" t="str">
        <f>IFERROR(IF(0=LEN(ReferenceData!$E$99),"",ReferenceData!$E$99),"")</f>
        <v>Dynamic</v>
      </c>
      <c r="F99">
        <f ca="1">IFERROR(IF(0=LEN(ReferenceData!$F$99),"",ReferenceData!$F$99),"")</f>
        <v>6.5378788749999996</v>
      </c>
      <c r="G99">
        <f ca="1">IFERROR(IF(0=LEN(ReferenceData!$G$99),"",ReferenceData!$G$99),"")</f>
        <v>4.9546632119999998</v>
      </c>
      <c r="H99">
        <f ca="1">IFERROR(IF(0=LEN(ReferenceData!$H$99),"",ReferenceData!$H$99),"")</f>
        <v>5.8804831530000001</v>
      </c>
      <c r="I99">
        <f ca="1">IFERROR(IF(0=LEN(ReferenceData!$I$99),"",ReferenceData!$I$99),"")</f>
        <v>6.6486486490000001</v>
      </c>
      <c r="J99">
        <f ca="1">IFERROR(IF(0=LEN(ReferenceData!$J$99),"",ReferenceData!$J$99),"")</f>
        <v>7.0259987319999997</v>
      </c>
      <c r="K99">
        <f ca="1">IFERROR(IF(0=LEN(ReferenceData!$K$99),"",ReferenceData!$K$99),"")</f>
        <v>7.6767055930000003</v>
      </c>
      <c r="L99">
        <f ca="1">IFERROR(IF(0=LEN(ReferenceData!$L$99),"",ReferenceData!$L$99),"")</f>
        <v>7.2854534390000003</v>
      </c>
      <c r="M99">
        <f ca="1">IFERROR(IF(0=LEN(ReferenceData!$M$99),"",ReferenceData!$M$99),"")</f>
        <v>6.0486486490000004</v>
      </c>
      <c r="N99">
        <f ca="1">IFERROR(IF(0=LEN(ReferenceData!$N$99),"",ReferenceData!$N$99),"")</f>
        <v>5.9692307690000002</v>
      </c>
      <c r="O99">
        <f ca="1">IFERROR(IF(0=LEN(ReferenceData!$O$99),"",ReferenceData!$O$99),"")</f>
        <v>6.3507853399999998</v>
      </c>
      <c r="P99">
        <f ca="1">IFERROR(IF(0=LEN(ReferenceData!$P$99),"",ReferenceData!$P$99),"")</f>
        <v>6.0099009900000002</v>
      </c>
      <c r="Q99" t="str">
        <f ca="1">IFERROR(IF(0=LEN(ReferenceData!$Q$99),"",ReferenceData!$Q$99),"")</f>
        <v/>
      </c>
      <c r="R99" t="str">
        <f ca="1">IFERROR(IF(0=LEN(ReferenceData!$R$99),"",ReferenceData!$R$99),"")</f>
        <v/>
      </c>
      <c r="S99" t="str">
        <f ca="1">IFERROR(IF(0=LEN(ReferenceData!$S$99),"",ReferenceData!$S$99),"")</f>
        <v/>
      </c>
      <c r="T99" t="str">
        <f ca="1">IFERROR(IF(0=LEN(ReferenceData!$T$99),"",ReferenceData!$T$99),"")</f>
        <v/>
      </c>
      <c r="U99" t="str">
        <f ca="1">IFERROR(IF(0=LEN(ReferenceData!$U$99),"",ReferenceData!$U$99),"")</f>
        <v/>
      </c>
      <c r="V99" t="str">
        <f ca="1">IFERROR(IF(0=LEN(ReferenceData!$V$99),"",ReferenceData!$V$99),"")</f>
        <v/>
      </c>
      <c r="W99" t="str">
        <f ca="1">IFERROR(IF(0=LEN(ReferenceData!$W$99),"",ReferenceData!$W$99),"")</f>
        <v/>
      </c>
      <c r="X99" t="str">
        <f ca="1">IFERROR(IF(0=LEN(ReferenceData!$X$99),"",ReferenceData!$X$99),"")</f>
        <v/>
      </c>
      <c r="Y99" t="str">
        <f ca="1">IFERROR(IF(0=LEN(ReferenceData!$Y$99),"",ReferenceData!$Y$99),"")</f>
        <v/>
      </c>
      <c r="Z99" t="str">
        <f ca="1">IFERROR(IF(0=LEN(ReferenceData!$Z$99),"",ReferenceData!$Z$99),"")</f>
        <v/>
      </c>
      <c r="AA99" t="str">
        <f ca="1">IFERROR(IF(0=LEN(ReferenceData!$AA$99),"",ReferenceData!$AA$99),"")</f>
        <v/>
      </c>
      <c r="AB99" t="str">
        <f ca="1">IFERROR(IF(0=LEN(ReferenceData!$AB$99),"",ReferenceData!$AB$99),"")</f>
        <v/>
      </c>
      <c r="AC99" t="str">
        <f ca="1">IFERROR(IF(0=LEN(ReferenceData!$AC$99),"",ReferenceData!$AC$99),"")</f>
        <v/>
      </c>
      <c r="AD99" t="str">
        <f ca="1">IFERROR(IF(0=LEN(ReferenceData!$AD$99),"",ReferenceData!$AD$99),"")</f>
        <v/>
      </c>
      <c r="AE99" t="str">
        <f ca="1">IFERROR(IF(0=LEN(ReferenceData!$AE$99),"",ReferenceData!$AE$99),"")</f>
        <v/>
      </c>
      <c r="AF99" t="str">
        <f ca="1">IFERROR(IF(0=LEN(ReferenceData!$AF$99),"",ReferenceData!$AF$99),"")</f>
        <v/>
      </c>
      <c r="AG99" t="str">
        <f ca="1">IFERROR(IF(0=LEN(ReferenceData!$AG$99),"",ReferenceData!$AG$99),"")</f>
        <v/>
      </c>
      <c r="AH99" t="str">
        <f ca="1">IFERROR(IF(0=LEN(ReferenceData!$AH$99),"",ReferenceData!$AH$99),"")</f>
        <v/>
      </c>
      <c r="AI99" t="str">
        <f ca="1">IFERROR(IF(0=LEN(ReferenceData!$AI$99),"",ReferenceData!$AI$99),"")</f>
        <v/>
      </c>
      <c r="AJ99" t="str">
        <f ca="1">IFERROR(IF(0=LEN(ReferenceData!$AJ$99),"",ReferenceData!$AJ$99),"")</f>
        <v/>
      </c>
      <c r="AK99" t="str">
        <f ca="1">IFERROR(IF(0=LEN(ReferenceData!$AK$99),"",ReferenceData!$AK$99),"")</f>
        <v/>
      </c>
      <c r="AL99" t="str">
        <f ca="1">IFERROR(IF(0=LEN(ReferenceData!$AL$99),"",ReferenceData!$AL$99),"")</f>
        <v/>
      </c>
      <c r="AM99" t="str">
        <f ca="1">IFERROR(IF(0=LEN(ReferenceData!$AM$99),"",ReferenceData!$AM$99),"")</f>
        <v/>
      </c>
      <c r="AN99" t="str">
        <f ca="1">IFERROR(IF(0=LEN(ReferenceData!$AN$99),"",ReferenceData!$AN$99),"")</f>
        <v/>
      </c>
      <c r="AO99" t="str">
        <f ca="1">IFERROR(IF(0=LEN(ReferenceData!$AO$99),"",ReferenceData!$AO$99),"")</f>
        <v/>
      </c>
      <c r="AP99" t="str">
        <f ca="1">IFERROR(IF(0=LEN(ReferenceData!$AP$99),"",ReferenceData!$AP$99),"")</f>
        <v/>
      </c>
      <c r="AQ99" t="str">
        <f ca="1">IFERROR(IF(0=LEN(ReferenceData!$AQ$99),"",ReferenceData!$AQ$99),"")</f>
        <v/>
      </c>
      <c r="AR99" t="str">
        <f ca="1">IFERROR(IF(0=LEN(ReferenceData!$AR$99),"",ReferenceData!$AR$99),"")</f>
        <v/>
      </c>
      <c r="AS99" t="str">
        <f ca="1">IFERROR(IF(0=LEN(ReferenceData!$AS$99),"",ReferenceData!$AS$99),"")</f>
        <v/>
      </c>
      <c r="AT99" t="str">
        <f ca="1">IFERROR(IF(0=LEN(ReferenceData!$AT$99),"",ReferenceData!$AT$99),"")</f>
        <v/>
      </c>
      <c r="AU99" t="str">
        <f ca="1">IFERROR(IF(0=LEN(ReferenceData!$AU$99),"",ReferenceData!$AU$99),"")</f>
        <v/>
      </c>
      <c r="AV99" t="str">
        <f ca="1">IFERROR(IF(0=LEN(ReferenceData!$AV$99),"",ReferenceData!$AV$99),"")</f>
        <v/>
      </c>
      <c r="AW99" t="str">
        <f ca="1">IFERROR(IF(0=LEN(ReferenceData!$AW$99),"",ReferenceData!$AW$99),"")</f>
        <v/>
      </c>
      <c r="AX99" t="str">
        <f ca="1">IFERROR(IF(0=LEN(ReferenceData!$AX$99),"",ReferenceData!$AX$99),"")</f>
        <v/>
      </c>
      <c r="AY99" t="str">
        <f ca="1">IFERROR(IF(0=LEN(ReferenceData!$AY$99),"",ReferenceData!$AY$99),"")</f>
        <v/>
      </c>
      <c r="AZ99" t="str">
        <f ca="1">IFERROR(IF(0=LEN(ReferenceData!$AZ$99),"",ReferenceData!$AZ$99),"")</f>
        <v/>
      </c>
      <c r="BA99" t="str">
        <f ca="1">IFERROR(IF(0=LEN(ReferenceData!$BA$99),"",ReferenceData!$BA$99),"")</f>
        <v/>
      </c>
      <c r="BB99" t="str">
        <f ca="1">IFERROR(IF(0=LEN(ReferenceData!$BB$99),"",ReferenceData!$BB$99),"")</f>
        <v/>
      </c>
      <c r="BC99" t="str">
        <f ca="1">IFERROR(IF(0=LEN(ReferenceData!$BC$99),"",ReferenceData!$BC$99),"")</f>
        <v/>
      </c>
      <c r="BD99" t="str">
        <f ca="1">IFERROR(IF(0=LEN(ReferenceData!$BD$99),"",ReferenceData!$BD$99),"")</f>
        <v/>
      </c>
      <c r="BE99" t="str">
        <f ca="1">IFERROR(IF(0=LEN(ReferenceData!$BE$99),"",ReferenceData!$BE$99),"")</f>
        <v/>
      </c>
      <c r="BF99" t="str">
        <f ca="1">IFERROR(IF(0=LEN(ReferenceData!$BF$99),"",ReferenceData!$BF$99),"")</f>
        <v/>
      </c>
      <c r="BG99" t="str">
        <f ca="1">IFERROR(IF(0=LEN(ReferenceData!$BG$99),"",ReferenceData!$BG$99),"")</f>
        <v/>
      </c>
      <c r="BH99" t="str">
        <f ca="1">IFERROR(IF(0=LEN(ReferenceData!$BH$99),"",ReferenceData!$BH$99),"")</f>
        <v/>
      </c>
      <c r="BI99" t="str">
        <f ca="1">IFERROR(IF(0=LEN(ReferenceData!$BI$99),"",ReferenceData!$BI$99),"")</f>
        <v/>
      </c>
      <c r="BJ99" t="str">
        <f ca="1">IFERROR(IF(0=LEN(ReferenceData!$BJ$99),"",ReferenceData!$BJ$99),"")</f>
        <v/>
      </c>
      <c r="BK99" t="str">
        <f ca="1">IFERROR(IF(0=LEN(ReferenceData!$BK$99),"",ReferenceData!$BK$99),"")</f>
        <v/>
      </c>
      <c r="BL99" t="str">
        <f ca="1">IFERROR(IF(0=LEN(ReferenceData!$BL$99),"",ReferenceData!$BL$99),"")</f>
        <v/>
      </c>
      <c r="BM99" t="str">
        <f ca="1">IFERROR(IF(0=LEN(ReferenceData!$BM$99),"",ReferenceData!$BM$99),"")</f>
        <v/>
      </c>
    </row>
    <row r="100" spans="1:65" x14ac:dyDescent="0.25">
      <c r="A100" t="str">
        <f>IFERROR(IF(0=LEN(ReferenceData!$A$100),"",ReferenceData!$A$100),"")</f>
        <v xml:space="preserve">    Ford Otomotiv Sanayi AS</v>
      </c>
      <c r="B100" t="str">
        <f>IFERROR(IF(0=LEN(ReferenceData!$B$100),"",ReferenceData!$B$100),"")</f>
        <v>FROTOTRY EO Equity</v>
      </c>
      <c r="C100" t="str">
        <f>IFERROR(IF(0=LEN(ReferenceData!$C$100),"",ReferenceData!$C$100),"")</f>
        <v>EZ010</v>
      </c>
      <c r="D100" t="str">
        <f>IFERROR(IF(0=LEN(ReferenceData!$D$100),"",ReferenceData!$D$100),"")</f>
        <v>BEST_EST_PE_NXT_YR</v>
      </c>
      <c r="E100" t="str">
        <f>IFERROR(IF(0=LEN(ReferenceData!$E$100),"",ReferenceData!$E$100),"")</f>
        <v>Dynamic</v>
      </c>
      <c r="F100" t="str">
        <f ca="1">IFERROR(IF(0=LEN(ReferenceData!$F$100),"",ReferenceData!$F$100),"")</f>
        <v/>
      </c>
      <c r="G100" t="str">
        <f ca="1">IFERROR(IF(0=LEN(ReferenceData!$G$100),"",ReferenceData!$G$100),"")</f>
        <v/>
      </c>
      <c r="H100" t="str">
        <f ca="1">IFERROR(IF(0=LEN(ReferenceData!$H$100),"",ReferenceData!$H$100),"")</f>
        <v/>
      </c>
      <c r="I100" t="str">
        <f ca="1">IFERROR(IF(0=LEN(ReferenceData!$I$100),"",ReferenceData!$I$100),"")</f>
        <v/>
      </c>
      <c r="J100" t="str">
        <f ca="1">IFERROR(IF(0=LEN(ReferenceData!$J$100),"",ReferenceData!$J$100),"")</f>
        <v/>
      </c>
      <c r="K100" t="str">
        <f ca="1">IFERROR(IF(0=LEN(ReferenceData!$K$100),"",ReferenceData!$K$100),"")</f>
        <v/>
      </c>
      <c r="L100" t="str">
        <f ca="1">IFERROR(IF(0=LEN(ReferenceData!$L$100),"",ReferenceData!$L$100),"")</f>
        <v/>
      </c>
      <c r="M100" t="str">
        <f ca="1">IFERROR(IF(0=LEN(ReferenceData!$M$100),"",ReferenceData!$M$100),"")</f>
        <v/>
      </c>
      <c r="N100" t="str">
        <f ca="1">IFERROR(IF(0=LEN(ReferenceData!$N$100),"",ReferenceData!$N$100),"")</f>
        <v/>
      </c>
      <c r="O100" t="str">
        <f ca="1">IFERROR(IF(0=LEN(ReferenceData!$O$100),"",ReferenceData!$O$100),"")</f>
        <v/>
      </c>
      <c r="P100" t="str">
        <f ca="1">IFERROR(IF(0=LEN(ReferenceData!$P$100),"",ReferenceData!$P$100),"")</f>
        <v/>
      </c>
      <c r="Q100" t="str">
        <f ca="1">IFERROR(IF(0=LEN(ReferenceData!$Q$100),"",ReferenceData!$Q$100),"")</f>
        <v/>
      </c>
      <c r="R100" t="str">
        <f ca="1">IFERROR(IF(0=LEN(ReferenceData!$R$100),"",ReferenceData!$R$100),"")</f>
        <v/>
      </c>
      <c r="S100" t="str">
        <f ca="1">IFERROR(IF(0=LEN(ReferenceData!$S$100),"",ReferenceData!$S$100),"")</f>
        <v/>
      </c>
      <c r="T100" t="str">
        <f ca="1">IFERROR(IF(0=LEN(ReferenceData!$T$100),"",ReferenceData!$T$100),"")</f>
        <v/>
      </c>
      <c r="U100" t="str">
        <f ca="1">IFERROR(IF(0=LEN(ReferenceData!$U$100),"",ReferenceData!$U$100),"")</f>
        <v/>
      </c>
      <c r="V100" t="str">
        <f ca="1">IFERROR(IF(0=LEN(ReferenceData!$V$100),"",ReferenceData!$V$100),"")</f>
        <v/>
      </c>
      <c r="W100" t="str">
        <f ca="1">IFERROR(IF(0=LEN(ReferenceData!$W$100),"",ReferenceData!$W$100),"")</f>
        <v/>
      </c>
      <c r="X100" t="str">
        <f ca="1">IFERROR(IF(0=LEN(ReferenceData!$X$100),"",ReferenceData!$X$100),"")</f>
        <v/>
      </c>
      <c r="Y100" t="str">
        <f ca="1">IFERROR(IF(0=LEN(ReferenceData!$Y$100),"",ReferenceData!$Y$100),"")</f>
        <v/>
      </c>
      <c r="Z100" t="str">
        <f ca="1">IFERROR(IF(0=LEN(ReferenceData!$Z$100),"",ReferenceData!$Z$100),"")</f>
        <v/>
      </c>
      <c r="AA100" t="str">
        <f ca="1">IFERROR(IF(0=LEN(ReferenceData!$AA$100),"",ReferenceData!$AA$100),"")</f>
        <v/>
      </c>
      <c r="AB100" t="str">
        <f ca="1">IFERROR(IF(0=LEN(ReferenceData!$AB$100),"",ReferenceData!$AB$100),"")</f>
        <v/>
      </c>
      <c r="AC100" t="str">
        <f ca="1">IFERROR(IF(0=LEN(ReferenceData!$AC$100),"",ReferenceData!$AC$100),"")</f>
        <v/>
      </c>
      <c r="AD100" t="str">
        <f ca="1">IFERROR(IF(0=LEN(ReferenceData!$AD$100),"",ReferenceData!$AD$100),"")</f>
        <v/>
      </c>
      <c r="AE100" t="str">
        <f ca="1">IFERROR(IF(0=LEN(ReferenceData!$AE$100),"",ReferenceData!$AE$100),"")</f>
        <v/>
      </c>
      <c r="AF100" t="str">
        <f ca="1">IFERROR(IF(0=LEN(ReferenceData!$AF$100),"",ReferenceData!$AF$100),"")</f>
        <v/>
      </c>
      <c r="AG100" t="str">
        <f ca="1">IFERROR(IF(0=LEN(ReferenceData!$AG$100),"",ReferenceData!$AG$100),"")</f>
        <v/>
      </c>
      <c r="AH100" t="str">
        <f ca="1">IFERROR(IF(0=LEN(ReferenceData!$AH$100),"",ReferenceData!$AH$100),"")</f>
        <v/>
      </c>
      <c r="AI100" t="str">
        <f ca="1">IFERROR(IF(0=LEN(ReferenceData!$AI$100),"",ReferenceData!$AI$100),"")</f>
        <v/>
      </c>
      <c r="AJ100" t="str">
        <f ca="1">IFERROR(IF(0=LEN(ReferenceData!$AJ$100),"",ReferenceData!$AJ$100),"")</f>
        <v/>
      </c>
      <c r="AK100" t="str">
        <f ca="1">IFERROR(IF(0=LEN(ReferenceData!$AK$100),"",ReferenceData!$AK$100),"")</f>
        <v/>
      </c>
      <c r="AL100" t="str">
        <f ca="1">IFERROR(IF(0=LEN(ReferenceData!$AL$100),"",ReferenceData!$AL$100),"")</f>
        <v/>
      </c>
      <c r="AM100" t="str">
        <f ca="1">IFERROR(IF(0=LEN(ReferenceData!$AM$100),"",ReferenceData!$AM$100),"")</f>
        <v/>
      </c>
      <c r="AN100" t="str">
        <f ca="1">IFERROR(IF(0=LEN(ReferenceData!$AN$100),"",ReferenceData!$AN$100),"")</f>
        <v/>
      </c>
      <c r="AO100" t="str">
        <f ca="1">IFERROR(IF(0=LEN(ReferenceData!$AO$100),"",ReferenceData!$AO$100),"")</f>
        <v/>
      </c>
      <c r="AP100" t="str">
        <f ca="1">IFERROR(IF(0=LEN(ReferenceData!$AP$100),"",ReferenceData!$AP$100),"")</f>
        <v/>
      </c>
      <c r="AQ100" t="str">
        <f ca="1">IFERROR(IF(0=LEN(ReferenceData!$AQ$100),"",ReferenceData!$AQ$100),"")</f>
        <v/>
      </c>
      <c r="AR100" t="str">
        <f ca="1">IFERROR(IF(0=LEN(ReferenceData!$AR$100),"",ReferenceData!$AR$100),"")</f>
        <v/>
      </c>
      <c r="AS100" t="str">
        <f ca="1">IFERROR(IF(0=LEN(ReferenceData!$AS$100),"",ReferenceData!$AS$100),"")</f>
        <v/>
      </c>
      <c r="AT100" t="str">
        <f ca="1">IFERROR(IF(0=LEN(ReferenceData!$AT$100),"",ReferenceData!$AT$100),"")</f>
        <v/>
      </c>
      <c r="AU100" t="str">
        <f ca="1">IFERROR(IF(0=LEN(ReferenceData!$AU$100),"",ReferenceData!$AU$100),"")</f>
        <v/>
      </c>
      <c r="AV100" t="str">
        <f ca="1">IFERROR(IF(0=LEN(ReferenceData!$AV$100),"",ReferenceData!$AV$100),"")</f>
        <v/>
      </c>
      <c r="AW100" t="str">
        <f ca="1">IFERROR(IF(0=LEN(ReferenceData!$AW$100),"",ReferenceData!$AW$100),"")</f>
        <v/>
      </c>
      <c r="AX100" t="str">
        <f ca="1">IFERROR(IF(0=LEN(ReferenceData!$AX$100),"",ReferenceData!$AX$100),"")</f>
        <v/>
      </c>
      <c r="AY100" t="str">
        <f ca="1">IFERROR(IF(0=LEN(ReferenceData!$AY$100),"",ReferenceData!$AY$100),"")</f>
        <v/>
      </c>
      <c r="AZ100" t="str">
        <f ca="1">IFERROR(IF(0=LEN(ReferenceData!$AZ$100),"",ReferenceData!$AZ$100),"")</f>
        <v/>
      </c>
      <c r="BA100" t="str">
        <f ca="1">IFERROR(IF(0=LEN(ReferenceData!$BA$100),"",ReferenceData!$BA$100),"")</f>
        <v/>
      </c>
      <c r="BB100" t="str">
        <f ca="1">IFERROR(IF(0=LEN(ReferenceData!$BB$100),"",ReferenceData!$BB$100),"")</f>
        <v/>
      </c>
      <c r="BC100" t="str">
        <f ca="1">IFERROR(IF(0=LEN(ReferenceData!$BC$100),"",ReferenceData!$BC$100),"")</f>
        <v/>
      </c>
      <c r="BD100" t="str">
        <f ca="1">IFERROR(IF(0=LEN(ReferenceData!$BD$100),"",ReferenceData!$BD$100),"")</f>
        <v/>
      </c>
      <c r="BE100" t="str">
        <f ca="1">IFERROR(IF(0=LEN(ReferenceData!$BE$100),"",ReferenceData!$BE$100),"")</f>
        <v/>
      </c>
      <c r="BF100" t="str">
        <f ca="1">IFERROR(IF(0=LEN(ReferenceData!$BF$100),"",ReferenceData!$BF$100),"")</f>
        <v/>
      </c>
      <c r="BG100" t="str">
        <f ca="1">IFERROR(IF(0=LEN(ReferenceData!$BG$100),"",ReferenceData!$BG$100),"")</f>
        <v/>
      </c>
      <c r="BH100" t="str">
        <f ca="1">IFERROR(IF(0=LEN(ReferenceData!$BH$100),"",ReferenceData!$BH$100),"")</f>
        <v/>
      </c>
      <c r="BI100" t="str">
        <f ca="1">IFERROR(IF(0=LEN(ReferenceData!$BI$100),"",ReferenceData!$BI$100),"")</f>
        <v/>
      </c>
      <c r="BJ100" t="str">
        <f ca="1">IFERROR(IF(0=LEN(ReferenceData!$BJ$100),"",ReferenceData!$BJ$100),"")</f>
        <v/>
      </c>
      <c r="BK100" t="str">
        <f ca="1">IFERROR(IF(0=LEN(ReferenceData!$BK$100),"",ReferenceData!$BK$100),"")</f>
        <v/>
      </c>
      <c r="BL100" t="str">
        <f ca="1">IFERROR(IF(0=LEN(ReferenceData!$BL$100),"",ReferenceData!$BL$100),"")</f>
        <v/>
      </c>
      <c r="BM100" t="str">
        <f ca="1">IFERROR(IF(0=LEN(ReferenceData!$BM$100),"",ReferenceData!$BM$100),"")</f>
        <v/>
      </c>
    </row>
    <row r="101" spans="1:65" x14ac:dyDescent="0.25">
      <c r="A101" t="str">
        <f>IFERROR(IF(0=LEN(ReferenceData!$A$101),"",ReferenceData!$A$101),"")</f>
        <v xml:space="preserve">    GAZ PJSC</v>
      </c>
      <c r="B101" t="str">
        <f>IFERROR(IF(0=LEN(ReferenceData!$B$101),"",ReferenceData!$B$101),"")</f>
        <v>GAZA RM Equity</v>
      </c>
      <c r="C101" t="str">
        <f>IFERROR(IF(0=LEN(ReferenceData!$C$101),"",ReferenceData!$C$101),"")</f>
        <v>EZ010</v>
      </c>
      <c r="D101" t="str">
        <f>IFERROR(IF(0=LEN(ReferenceData!$D$101),"",ReferenceData!$D$101),"")</f>
        <v>BEST_EST_PE_NXT_YR</v>
      </c>
      <c r="E101" t="str">
        <f>IFERROR(IF(0=LEN(ReferenceData!$E$101),"",ReferenceData!$E$101),"")</f>
        <v>Dynamic</v>
      </c>
      <c r="F101" t="str">
        <f ca="1">IFERROR(IF(0=LEN(ReferenceData!$F$101),"",ReferenceData!$F$101),"")</f>
        <v/>
      </c>
      <c r="G101" t="str">
        <f ca="1">IFERROR(IF(0=LEN(ReferenceData!$G$101),"",ReferenceData!$G$101),"")</f>
        <v/>
      </c>
      <c r="H101" t="str">
        <f ca="1">IFERROR(IF(0=LEN(ReferenceData!$H$101),"",ReferenceData!$H$101),"")</f>
        <v/>
      </c>
      <c r="I101" t="str">
        <f ca="1">IFERROR(IF(0=LEN(ReferenceData!$I$101),"",ReferenceData!$I$101),"")</f>
        <v/>
      </c>
      <c r="J101" t="str">
        <f ca="1">IFERROR(IF(0=LEN(ReferenceData!$J$101),"",ReferenceData!$J$101),"")</f>
        <v/>
      </c>
      <c r="K101" t="str">
        <f ca="1">IFERROR(IF(0=LEN(ReferenceData!$K$101),"",ReferenceData!$K$101),"")</f>
        <v/>
      </c>
      <c r="L101" t="str">
        <f ca="1">IFERROR(IF(0=LEN(ReferenceData!$L$101),"",ReferenceData!$L$101),"")</f>
        <v/>
      </c>
      <c r="M101" t="str">
        <f ca="1">IFERROR(IF(0=LEN(ReferenceData!$M$101),"",ReferenceData!$M$101),"")</f>
        <v/>
      </c>
      <c r="N101" t="str">
        <f ca="1">IFERROR(IF(0=LEN(ReferenceData!$N$101),"",ReferenceData!$N$101),"")</f>
        <v/>
      </c>
      <c r="O101" t="str">
        <f ca="1">IFERROR(IF(0=LEN(ReferenceData!$O$101),"",ReferenceData!$O$101),"")</f>
        <v/>
      </c>
      <c r="P101" t="str">
        <f ca="1">IFERROR(IF(0=LEN(ReferenceData!$P$101),"",ReferenceData!$P$101),"")</f>
        <v/>
      </c>
      <c r="Q101" t="str">
        <f ca="1">IFERROR(IF(0=LEN(ReferenceData!$Q$101),"",ReferenceData!$Q$101),"")</f>
        <v/>
      </c>
      <c r="R101" t="str">
        <f ca="1">IFERROR(IF(0=LEN(ReferenceData!$R$101),"",ReferenceData!$R$101),"")</f>
        <v/>
      </c>
      <c r="S101" t="str">
        <f ca="1">IFERROR(IF(0=LEN(ReferenceData!$S$101),"",ReferenceData!$S$101),"")</f>
        <v/>
      </c>
      <c r="T101" t="str">
        <f ca="1">IFERROR(IF(0=LEN(ReferenceData!$T$101),"",ReferenceData!$T$101),"")</f>
        <v/>
      </c>
      <c r="U101" t="str">
        <f ca="1">IFERROR(IF(0=LEN(ReferenceData!$U$101),"",ReferenceData!$U$101),"")</f>
        <v/>
      </c>
      <c r="V101" t="str">
        <f ca="1">IFERROR(IF(0=LEN(ReferenceData!$V$101),"",ReferenceData!$V$101),"")</f>
        <v/>
      </c>
      <c r="W101" t="str">
        <f ca="1">IFERROR(IF(0=LEN(ReferenceData!$W$101),"",ReferenceData!$W$101),"")</f>
        <v/>
      </c>
      <c r="X101" t="str">
        <f ca="1">IFERROR(IF(0=LEN(ReferenceData!$X$101),"",ReferenceData!$X$101),"")</f>
        <v/>
      </c>
      <c r="Y101" t="str">
        <f ca="1">IFERROR(IF(0=LEN(ReferenceData!$Y$101),"",ReferenceData!$Y$101),"")</f>
        <v/>
      </c>
      <c r="Z101" t="str">
        <f ca="1">IFERROR(IF(0=LEN(ReferenceData!$Z$101),"",ReferenceData!$Z$101),"")</f>
        <v/>
      </c>
      <c r="AA101" t="str">
        <f ca="1">IFERROR(IF(0=LEN(ReferenceData!$AA$101),"",ReferenceData!$AA$101),"")</f>
        <v/>
      </c>
      <c r="AB101" t="str">
        <f ca="1">IFERROR(IF(0=LEN(ReferenceData!$AB$101),"",ReferenceData!$AB$101),"")</f>
        <v/>
      </c>
      <c r="AC101" t="str">
        <f ca="1">IFERROR(IF(0=LEN(ReferenceData!$AC$101),"",ReferenceData!$AC$101),"")</f>
        <v/>
      </c>
      <c r="AD101" t="str">
        <f ca="1">IFERROR(IF(0=LEN(ReferenceData!$AD$101),"",ReferenceData!$AD$101),"")</f>
        <v/>
      </c>
      <c r="AE101" t="str">
        <f ca="1">IFERROR(IF(0=LEN(ReferenceData!$AE$101),"",ReferenceData!$AE$101),"")</f>
        <v/>
      </c>
      <c r="AF101" t="str">
        <f ca="1">IFERROR(IF(0=LEN(ReferenceData!$AF$101),"",ReferenceData!$AF$101),"")</f>
        <v/>
      </c>
      <c r="AG101" t="str">
        <f ca="1">IFERROR(IF(0=LEN(ReferenceData!$AG$101),"",ReferenceData!$AG$101),"")</f>
        <v/>
      </c>
      <c r="AH101" t="str">
        <f ca="1">IFERROR(IF(0=LEN(ReferenceData!$AH$101),"",ReferenceData!$AH$101),"")</f>
        <v/>
      </c>
      <c r="AI101" t="str">
        <f ca="1">IFERROR(IF(0=LEN(ReferenceData!$AI$101),"",ReferenceData!$AI$101),"")</f>
        <v/>
      </c>
      <c r="AJ101" t="str">
        <f ca="1">IFERROR(IF(0=LEN(ReferenceData!$AJ$101),"",ReferenceData!$AJ$101),"")</f>
        <v/>
      </c>
      <c r="AK101" t="str">
        <f ca="1">IFERROR(IF(0=LEN(ReferenceData!$AK$101),"",ReferenceData!$AK$101),"")</f>
        <v/>
      </c>
      <c r="AL101" t="str">
        <f ca="1">IFERROR(IF(0=LEN(ReferenceData!$AL$101),"",ReferenceData!$AL$101),"")</f>
        <v/>
      </c>
      <c r="AM101" t="str">
        <f ca="1">IFERROR(IF(0=LEN(ReferenceData!$AM$101),"",ReferenceData!$AM$101),"")</f>
        <v/>
      </c>
      <c r="AN101" t="str">
        <f ca="1">IFERROR(IF(0=LEN(ReferenceData!$AN$101),"",ReferenceData!$AN$101),"")</f>
        <v/>
      </c>
      <c r="AO101" t="str">
        <f ca="1">IFERROR(IF(0=LEN(ReferenceData!$AO$101),"",ReferenceData!$AO$101),"")</f>
        <v/>
      </c>
      <c r="AP101" t="str">
        <f ca="1">IFERROR(IF(0=LEN(ReferenceData!$AP$101),"",ReferenceData!$AP$101),"")</f>
        <v/>
      </c>
      <c r="AQ101" t="str">
        <f ca="1">IFERROR(IF(0=LEN(ReferenceData!$AQ$101),"",ReferenceData!$AQ$101),"")</f>
        <v/>
      </c>
      <c r="AR101" t="str">
        <f ca="1">IFERROR(IF(0=LEN(ReferenceData!$AR$101),"",ReferenceData!$AR$101),"")</f>
        <v/>
      </c>
      <c r="AS101" t="str">
        <f ca="1">IFERROR(IF(0=LEN(ReferenceData!$AS$101),"",ReferenceData!$AS$101),"")</f>
        <v/>
      </c>
      <c r="AT101" t="str">
        <f ca="1">IFERROR(IF(0=LEN(ReferenceData!$AT$101),"",ReferenceData!$AT$101),"")</f>
        <v/>
      </c>
      <c r="AU101" t="str">
        <f ca="1">IFERROR(IF(0=LEN(ReferenceData!$AU$101),"",ReferenceData!$AU$101),"")</f>
        <v/>
      </c>
      <c r="AV101" t="str">
        <f ca="1">IFERROR(IF(0=LEN(ReferenceData!$AV$101),"",ReferenceData!$AV$101),"")</f>
        <v/>
      </c>
      <c r="AW101" t="str">
        <f ca="1">IFERROR(IF(0=LEN(ReferenceData!$AW$101),"",ReferenceData!$AW$101),"")</f>
        <v/>
      </c>
      <c r="AX101" t="str">
        <f ca="1">IFERROR(IF(0=LEN(ReferenceData!$AX$101),"",ReferenceData!$AX$101),"")</f>
        <v/>
      </c>
      <c r="AY101" t="str">
        <f ca="1">IFERROR(IF(0=LEN(ReferenceData!$AY$101),"",ReferenceData!$AY$101),"")</f>
        <v/>
      </c>
      <c r="AZ101" t="str">
        <f ca="1">IFERROR(IF(0=LEN(ReferenceData!$AZ$101),"",ReferenceData!$AZ$101),"")</f>
        <v/>
      </c>
      <c r="BA101" t="str">
        <f ca="1">IFERROR(IF(0=LEN(ReferenceData!$BA$101),"",ReferenceData!$BA$101),"")</f>
        <v/>
      </c>
      <c r="BB101" t="str">
        <f ca="1">IFERROR(IF(0=LEN(ReferenceData!$BB$101),"",ReferenceData!$BB$101),"")</f>
        <v/>
      </c>
      <c r="BC101" t="str">
        <f ca="1">IFERROR(IF(0=LEN(ReferenceData!$BC$101),"",ReferenceData!$BC$101),"")</f>
        <v/>
      </c>
      <c r="BD101" t="str">
        <f ca="1">IFERROR(IF(0=LEN(ReferenceData!$BD$101),"",ReferenceData!$BD$101),"")</f>
        <v/>
      </c>
      <c r="BE101" t="str">
        <f ca="1">IFERROR(IF(0=LEN(ReferenceData!$BE$101),"",ReferenceData!$BE$101),"")</f>
        <v/>
      </c>
      <c r="BF101" t="str">
        <f ca="1">IFERROR(IF(0=LEN(ReferenceData!$BF$101),"",ReferenceData!$BF$101),"")</f>
        <v/>
      </c>
      <c r="BG101" t="str">
        <f ca="1">IFERROR(IF(0=LEN(ReferenceData!$BG$101),"",ReferenceData!$BG$101),"")</f>
        <v/>
      </c>
      <c r="BH101" t="str">
        <f ca="1">IFERROR(IF(0=LEN(ReferenceData!$BH$101),"",ReferenceData!$BH$101),"")</f>
        <v/>
      </c>
      <c r="BI101" t="str">
        <f ca="1">IFERROR(IF(0=LEN(ReferenceData!$BI$101),"",ReferenceData!$BI$101),"")</f>
        <v/>
      </c>
      <c r="BJ101" t="str">
        <f ca="1">IFERROR(IF(0=LEN(ReferenceData!$BJ$101),"",ReferenceData!$BJ$101),"")</f>
        <v/>
      </c>
      <c r="BK101" t="str">
        <f ca="1">IFERROR(IF(0=LEN(ReferenceData!$BK$101),"",ReferenceData!$BK$101),"")</f>
        <v/>
      </c>
      <c r="BL101" t="str">
        <f ca="1">IFERROR(IF(0=LEN(ReferenceData!$BL$101),"",ReferenceData!$BL$101),"")</f>
        <v/>
      </c>
      <c r="BM101" t="str">
        <f ca="1">IFERROR(IF(0=LEN(ReferenceData!$BM$101),"",ReferenceData!$BM$101),"")</f>
        <v/>
      </c>
    </row>
    <row r="102" spans="1:65" x14ac:dyDescent="0.25">
      <c r="A102" t="str">
        <f>IFERROR(IF(0=LEN(ReferenceData!$A$102),"",ReferenceData!$A$102),"")</f>
        <v xml:space="preserve">    Geely Automobile Holdings Ltd</v>
      </c>
      <c r="B102" t="str">
        <f>IFERROR(IF(0=LEN(ReferenceData!$B$102),"",ReferenceData!$B$102),"")</f>
        <v>175 HK Equity</v>
      </c>
      <c r="C102" t="str">
        <f>IFERROR(IF(0=LEN(ReferenceData!$C$102),"",ReferenceData!$C$102),"")</f>
        <v>EZ010</v>
      </c>
      <c r="D102" t="str">
        <f>IFERROR(IF(0=LEN(ReferenceData!$D$102),"",ReferenceData!$D$102),"")</f>
        <v>BEST_EST_PE_NXT_YR</v>
      </c>
      <c r="E102" t="str">
        <f>IFERROR(IF(0=LEN(ReferenceData!$E$102),"",ReferenceData!$E$102),"")</f>
        <v>Dynamic</v>
      </c>
      <c r="F102">
        <f ca="1">IFERROR(IF(0=LEN(ReferenceData!$F$102),"",ReferenceData!$F$102),"")</f>
        <v>8.6089911909999994</v>
      </c>
      <c r="G102">
        <f ca="1">IFERROR(IF(0=LEN(ReferenceData!$G$102),"",ReferenceData!$G$102),"")</f>
        <v>6.6481741980000004</v>
      </c>
      <c r="H102">
        <f ca="1">IFERROR(IF(0=LEN(ReferenceData!$H$102),"",ReferenceData!$H$102),"")</f>
        <v>7.1506177580000001</v>
      </c>
      <c r="I102">
        <f ca="1">IFERROR(IF(0=LEN(ReferenceData!$I$102),"",ReferenceData!$I$102),"")</f>
        <v>8.6504671779999995</v>
      </c>
      <c r="J102">
        <f ca="1">IFERROR(IF(0=LEN(ReferenceData!$J$102),"",ReferenceData!$J$102),"")</f>
        <v>9.298731772</v>
      </c>
      <c r="K102">
        <f ca="1">IFERROR(IF(0=LEN(ReferenceData!$K$102),"",ReferenceData!$K$102),"")</f>
        <v>11.96766637</v>
      </c>
      <c r="L102">
        <f ca="1">IFERROR(IF(0=LEN(ReferenceData!$L$102),"",ReferenceData!$L$102),"")</f>
        <v>11.338320769999999</v>
      </c>
      <c r="M102">
        <f ca="1">IFERROR(IF(0=LEN(ReferenceData!$M$102),"",ReferenceData!$M$102),"")</f>
        <v>10.49125035</v>
      </c>
      <c r="N102">
        <f ca="1">IFERROR(IF(0=LEN(ReferenceData!$N$102),"",ReferenceData!$N$102),"")</f>
        <v>8.2082838700000007</v>
      </c>
      <c r="O102">
        <f ca="1">IFERROR(IF(0=LEN(ReferenceData!$O$102),"",ReferenceData!$O$102),"")</f>
        <v>15.790264990000001</v>
      </c>
      <c r="P102">
        <f ca="1">IFERROR(IF(0=LEN(ReferenceData!$P$102),"",ReferenceData!$P$102),"")</f>
        <v>14.16205433</v>
      </c>
      <c r="Q102" t="str">
        <f ca="1">IFERROR(IF(0=LEN(ReferenceData!$Q$102),"",ReferenceData!$Q$102),"")</f>
        <v/>
      </c>
      <c r="R102" t="str">
        <f ca="1">IFERROR(IF(0=LEN(ReferenceData!$R$102),"",ReferenceData!$R$102),"")</f>
        <v/>
      </c>
      <c r="S102" t="str">
        <f ca="1">IFERROR(IF(0=LEN(ReferenceData!$S$102),"",ReferenceData!$S$102),"")</f>
        <v/>
      </c>
      <c r="T102" t="str">
        <f ca="1">IFERROR(IF(0=LEN(ReferenceData!$T$102),"",ReferenceData!$T$102),"")</f>
        <v/>
      </c>
      <c r="U102" t="str">
        <f ca="1">IFERROR(IF(0=LEN(ReferenceData!$U$102),"",ReferenceData!$U$102),"")</f>
        <v/>
      </c>
      <c r="V102" t="str">
        <f ca="1">IFERROR(IF(0=LEN(ReferenceData!$V$102),"",ReferenceData!$V$102),"")</f>
        <v/>
      </c>
      <c r="W102" t="str">
        <f ca="1">IFERROR(IF(0=LEN(ReferenceData!$W$102),"",ReferenceData!$W$102),"")</f>
        <v/>
      </c>
      <c r="X102" t="str">
        <f ca="1">IFERROR(IF(0=LEN(ReferenceData!$X$102),"",ReferenceData!$X$102),"")</f>
        <v/>
      </c>
      <c r="Y102" t="str">
        <f ca="1">IFERROR(IF(0=LEN(ReferenceData!$Y$102),"",ReferenceData!$Y$102),"")</f>
        <v/>
      </c>
      <c r="Z102" t="str">
        <f ca="1">IFERROR(IF(0=LEN(ReferenceData!$Z$102),"",ReferenceData!$Z$102),"")</f>
        <v/>
      </c>
      <c r="AA102" t="str">
        <f ca="1">IFERROR(IF(0=LEN(ReferenceData!$AA$102),"",ReferenceData!$AA$102),"")</f>
        <v/>
      </c>
      <c r="AB102" t="str">
        <f ca="1">IFERROR(IF(0=LEN(ReferenceData!$AB$102),"",ReferenceData!$AB$102),"")</f>
        <v/>
      </c>
      <c r="AC102" t="str">
        <f ca="1">IFERROR(IF(0=LEN(ReferenceData!$AC$102),"",ReferenceData!$AC$102),"")</f>
        <v/>
      </c>
      <c r="AD102" t="str">
        <f ca="1">IFERROR(IF(0=LEN(ReferenceData!$AD$102),"",ReferenceData!$AD$102),"")</f>
        <v/>
      </c>
      <c r="AE102" t="str">
        <f ca="1">IFERROR(IF(0=LEN(ReferenceData!$AE$102),"",ReferenceData!$AE$102),"")</f>
        <v/>
      </c>
      <c r="AF102" t="str">
        <f ca="1">IFERROR(IF(0=LEN(ReferenceData!$AF$102),"",ReferenceData!$AF$102),"")</f>
        <v/>
      </c>
      <c r="AG102" t="str">
        <f ca="1">IFERROR(IF(0=LEN(ReferenceData!$AG$102),"",ReferenceData!$AG$102),"")</f>
        <v/>
      </c>
      <c r="AH102" t="str">
        <f ca="1">IFERROR(IF(0=LEN(ReferenceData!$AH$102),"",ReferenceData!$AH$102),"")</f>
        <v/>
      </c>
      <c r="AI102" t="str">
        <f ca="1">IFERROR(IF(0=LEN(ReferenceData!$AI$102),"",ReferenceData!$AI$102),"")</f>
        <v/>
      </c>
      <c r="AJ102" t="str">
        <f ca="1">IFERROR(IF(0=LEN(ReferenceData!$AJ$102),"",ReferenceData!$AJ$102),"")</f>
        <v/>
      </c>
      <c r="AK102" t="str">
        <f ca="1">IFERROR(IF(0=LEN(ReferenceData!$AK$102),"",ReferenceData!$AK$102),"")</f>
        <v/>
      </c>
      <c r="AL102" t="str">
        <f ca="1">IFERROR(IF(0=LEN(ReferenceData!$AL$102),"",ReferenceData!$AL$102),"")</f>
        <v/>
      </c>
      <c r="AM102" t="str">
        <f ca="1">IFERROR(IF(0=LEN(ReferenceData!$AM$102),"",ReferenceData!$AM$102),"")</f>
        <v/>
      </c>
      <c r="AN102" t="str">
        <f ca="1">IFERROR(IF(0=LEN(ReferenceData!$AN$102),"",ReferenceData!$AN$102),"")</f>
        <v/>
      </c>
      <c r="AO102" t="str">
        <f ca="1">IFERROR(IF(0=LEN(ReferenceData!$AO$102),"",ReferenceData!$AO$102),"")</f>
        <v/>
      </c>
      <c r="AP102" t="str">
        <f ca="1">IFERROR(IF(0=LEN(ReferenceData!$AP$102),"",ReferenceData!$AP$102),"")</f>
        <v/>
      </c>
      <c r="AQ102" t="str">
        <f ca="1">IFERROR(IF(0=LEN(ReferenceData!$AQ$102),"",ReferenceData!$AQ$102),"")</f>
        <v/>
      </c>
      <c r="AR102" t="str">
        <f ca="1">IFERROR(IF(0=LEN(ReferenceData!$AR$102),"",ReferenceData!$AR$102),"")</f>
        <v/>
      </c>
      <c r="AS102" t="str">
        <f ca="1">IFERROR(IF(0=LEN(ReferenceData!$AS$102),"",ReferenceData!$AS$102),"")</f>
        <v/>
      </c>
      <c r="AT102" t="str">
        <f ca="1">IFERROR(IF(0=LEN(ReferenceData!$AT$102),"",ReferenceData!$AT$102),"")</f>
        <v/>
      </c>
      <c r="AU102" t="str">
        <f ca="1">IFERROR(IF(0=LEN(ReferenceData!$AU$102),"",ReferenceData!$AU$102),"")</f>
        <v/>
      </c>
      <c r="AV102" t="str">
        <f ca="1">IFERROR(IF(0=LEN(ReferenceData!$AV$102),"",ReferenceData!$AV$102),"")</f>
        <v/>
      </c>
      <c r="AW102" t="str">
        <f ca="1">IFERROR(IF(0=LEN(ReferenceData!$AW$102),"",ReferenceData!$AW$102),"")</f>
        <v/>
      </c>
      <c r="AX102" t="str">
        <f ca="1">IFERROR(IF(0=LEN(ReferenceData!$AX$102),"",ReferenceData!$AX$102),"")</f>
        <v/>
      </c>
      <c r="AY102" t="str">
        <f ca="1">IFERROR(IF(0=LEN(ReferenceData!$AY$102),"",ReferenceData!$AY$102),"")</f>
        <v/>
      </c>
      <c r="AZ102" t="str">
        <f ca="1">IFERROR(IF(0=LEN(ReferenceData!$AZ$102),"",ReferenceData!$AZ$102),"")</f>
        <v/>
      </c>
      <c r="BA102" t="str">
        <f ca="1">IFERROR(IF(0=LEN(ReferenceData!$BA$102),"",ReferenceData!$BA$102),"")</f>
        <v/>
      </c>
      <c r="BB102" t="str">
        <f ca="1">IFERROR(IF(0=LEN(ReferenceData!$BB$102),"",ReferenceData!$BB$102),"")</f>
        <v/>
      </c>
      <c r="BC102" t="str">
        <f ca="1">IFERROR(IF(0=LEN(ReferenceData!$BC$102),"",ReferenceData!$BC$102),"")</f>
        <v/>
      </c>
      <c r="BD102" t="str">
        <f ca="1">IFERROR(IF(0=LEN(ReferenceData!$BD$102),"",ReferenceData!$BD$102),"")</f>
        <v/>
      </c>
      <c r="BE102" t="str">
        <f ca="1">IFERROR(IF(0=LEN(ReferenceData!$BE$102),"",ReferenceData!$BE$102),"")</f>
        <v/>
      </c>
      <c r="BF102" t="str">
        <f ca="1">IFERROR(IF(0=LEN(ReferenceData!$BF$102),"",ReferenceData!$BF$102),"")</f>
        <v/>
      </c>
      <c r="BG102" t="str">
        <f ca="1">IFERROR(IF(0=LEN(ReferenceData!$BG$102),"",ReferenceData!$BG$102),"")</f>
        <v/>
      </c>
      <c r="BH102" t="str">
        <f ca="1">IFERROR(IF(0=LEN(ReferenceData!$BH$102),"",ReferenceData!$BH$102),"")</f>
        <v/>
      </c>
      <c r="BI102" t="str">
        <f ca="1">IFERROR(IF(0=LEN(ReferenceData!$BI$102),"",ReferenceData!$BI$102),"")</f>
        <v/>
      </c>
      <c r="BJ102" t="str">
        <f ca="1">IFERROR(IF(0=LEN(ReferenceData!$BJ$102),"",ReferenceData!$BJ$102),"")</f>
        <v/>
      </c>
      <c r="BK102" t="str">
        <f ca="1">IFERROR(IF(0=LEN(ReferenceData!$BK$102),"",ReferenceData!$BK$102),"")</f>
        <v/>
      </c>
      <c r="BL102" t="str">
        <f ca="1">IFERROR(IF(0=LEN(ReferenceData!$BL$102),"",ReferenceData!$BL$102),"")</f>
        <v/>
      </c>
      <c r="BM102" t="str">
        <f ca="1">IFERROR(IF(0=LEN(ReferenceData!$BM$102),"",ReferenceData!$BM$102),"")</f>
        <v/>
      </c>
    </row>
    <row r="103" spans="1:65" x14ac:dyDescent="0.25">
      <c r="A103" t="str">
        <f>IFERROR(IF(0=LEN(ReferenceData!$A$103),"",ReferenceData!$A$103),"")</f>
        <v xml:space="preserve">    General Motors Co</v>
      </c>
      <c r="B103" t="str">
        <f>IFERROR(IF(0=LEN(ReferenceData!$B$103),"",ReferenceData!$B$103),"")</f>
        <v>GM US Equity</v>
      </c>
      <c r="C103" t="str">
        <f>IFERROR(IF(0=LEN(ReferenceData!$C$103),"",ReferenceData!$C$103),"")</f>
        <v>EZ010</v>
      </c>
      <c r="D103" t="str">
        <f>IFERROR(IF(0=LEN(ReferenceData!$D$103),"",ReferenceData!$D$103),"")</f>
        <v>BEST_EST_PE_NXT_YR</v>
      </c>
      <c r="E103" t="str">
        <f>IFERROR(IF(0=LEN(ReferenceData!$E$103),"",ReferenceData!$E$103),"")</f>
        <v>Dynamic</v>
      </c>
      <c r="F103">
        <f ca="1">IFERROR(IF(0=LEN(ReferenceData!$F$103),"",ReferenceData!$F$103),"")</f>
        <v>6.214398976</v>
      </c>
      <c r="G103">
        <f ca="1">IFERROR(IF(0=LEN(ReferenceData!$G$103),"",ReferenceData!$G$103),"")</f>
        <v>5.6455696199999998</v>
      </c>
      <c r="H103">
        <f ca="1">IFERROR(IF(0=LEN(ReferenceData!$H$103),"",ReferenceData!$H$103),"")</f>
        <v>5.9049456329999996</v>
      </c>
      <c r="I103">
        <f ca="1">IFERROR(IF(0=LEN(ReferenceData!$I$103),"",ReferenceData!$I$103),"")</f>
        <v>6.377468436</v>
      </c>
      <c r="J103">
        <f ca="1">IFERROR(IF(0=LEN(ReferenceData!$J$103),"",ReferenceData!$J$103),"")</f>
        <v>5.9740259739999999</v>
      </c>
      <c r="K103">
        <f ca="1">IFERROR(IF(0=LEN(ReferenceData!$K$103),"",ReferenceData!$K$103),"")</f>
        <v>6.5198027679999999</v>
      </c>
      <c r="L103">
        <f ca="1">IFERROR(IF(0=LEN(ReferenceData!$L$103),"",ReferenceData!$L$103),"")</f>
        <v>7.1876112499999998</v>
      </c>
      <c r="M103">
        <f ca="1">IFERROR(IF(0=LEN(ReferenceData!$M$103),"",ReferenceData!$M$103),"")</f>
        <v>6.0747826089999997</v>
      </c>
      <c r="N103">
        <f ca="1">IFERROR(IF(0=LEN(ReferenceData!$N$103),"",ReferenceData!$N$103),"")</f>
        <v>5.8591549299999999</v>
      </c>
      <c r="O103">
        <f ca="1">IFERROR(IF(0=LEN(ReferenceData!$O$103),"",ReferenceData!$O$103),"")</f>
        <v>6.3751143639999999</v>
      </c>
      <c r="P103">
        <f ca="1">IFERROR(IF(0=LEN(ReferenceData!$P$103),"",ReferenceData!$P$103),"")</f>
        <v>5.5834797890000001</v>
      </c>
      <c r="Q103">
        <f ca="1">IFERROR(IF(0=LEN(ReferenceData!$Q$103),"",ReferenceData!$Q$103),"")</f>
        <v>4.8376068380000001</v>
      </c>
      <c r="R103">
        <f ca="1">IFERROR(IF(0=LEN(ReferenceData!$R$103),"",ReferenceData!$R$103),"")</f>
        <v>4.9809825669999999</v>
      </c>
      <c r="S103">
        <f ca="1">IFERROR(IF(0=LEN(ReferenceData!$S$103),"",ReferenceData!$S$103),"")</f>
        <v>5.3898573689999996</v>
      </c>
      <c r="T103" t="str">
        <f ca="1">IFERROR(IF(0=LEN(ReferenceData!$T$103),"",ReferenceData!$T$103),"")</f>
        <v/>
      </c>
      <c r="U103" t="str">
        <f ca="1">IFERROR(IF(0=LEN(ReferenceData!$U$103),"",ReferenceData!$U$103),"")</f>
        <v/>
      </c>
      <c r="V103" t="str">
        <f ca="1">IFERROR(IF(0=LEN(ReferenceData!$V$103),"",ReferenceData!$V$103),"")</f>
        <v/>
      </c>
      <c r="W103" t="str">
        <f ca="1">IFERROR(IF(0=LEN(ReferenceData!$W$103),"",ReferenceData!$W$103),"")</f>
        <v/>
      </c>
      <c r="X103" t="str">
        <f ca="1">IFERROR(IF(0=LEN(ReferenceData!$X$103),"",ReferenceData!$X$103),"")</f>
        <v/>
      </c>
      <c r="Y103" t="str">
        <f ca="1">IFERROR(IF(0=LEN(ReferenceData!$Y$103),"",ReferenceData!$Y$103),"")</f>
        <v/>
      </c>
      <c r="Z103" t="str">
        <f ca="1">IFERROR(IF(0=LEN(ReferenceData!$Z$103),"",ReferenceData!$Z$103),"")</f>
        <v/>
      </c>
      <c r="AA103" t="str">
        <f ca="1">IFERROR(IF(0=LEN(ReferenceData!$AA$103),"",ReferenceData!$AA$103),"")</f>
        <v/>
      </c>
      <c r="AB103" t="str">
        <f ca="1">IFERROR(IF(0=LEN(ReferenceData!$AB$103),"",ReferenceData!$AB$103),"")</f>
        <v/>
      </c>
      <c r="AC103" t="str">
        <f ca="1">IFERROR(IF(0=LEN(ReferenceData!$AC$103),"",ReferenceData!$AC$103),"")</f>
        <v/>
      </c>
      <c r="AD103" t="str">
        <f ca="1">IFERROR(IF(0=LEN(ReferenceData!$AD$103),"",ReferenceData!$AD$103),"")</f>
        <v/>
      </c>
      <c r="AE103" t="str">
        <f ca="1">IFERROR(IF(0=LEN(ReferenceData!$AE$103),"",ReferenceData!$AE$103),"")</f>
        <v/>
      </c>
      <c r="AF103" t="str">
        <f ca="1">IFERROR(IF(0=LEN(ReferenceData!$AF$103),"",ReferenceData!$AF$103),"")</f>
        <v/>
      </c>
      <c r="AG103" t="str">
        <f ca="1">IFERROR(IF(0=LEN(ReferenceData!$AG$103),"",ReferenceData!$AG$103),"")</f>
        <v/>
      </c>
      <c r="AH103" t="str">
        <f ca="1">IFERROR(IF(0=LEN(ReferenceData!$AH$103),"",ReferenceData!$AH$103),"")</f>
        <v/>
      </c>
      <c r="AI103" t="str">
        <f ca="1">IFERROR(IF(0=LEN(ReferenceData!$AI$103),"",ReferenceData!$AI$103),"")</f>
        <v/>
      </c>
      <c r="AJ103" t="str">
        <f ca="1">IFERROR(IF(0=LEN(ReferenceData!$AJ$103),"",ReferenceData!$AJ$103),"")</f>
        <v/>
      </c>
      <c r="AK103" t="str">
        <f ca="1">IFERROR(IF(0=LEN(ReferenceData!$AK$103),"",ReferenceData!$AK$103),"")</f>
        <v/>
      </c>
      <c r="AL103" t="str">
        <f ca="1">IFERROR(IF(0=LEN(ReferenceData!$AL$103),"",ReferenceData!$AL$103),"")</f>
        <v/>
      </c>
      <c r="AM103" t="str">
        <f ca="1">IFERROR(IF(0=LEN(ReferenceData!$AM$103),"",ReferenceData!$AM$103),"")</f>
        <v/>
      </c>
      <c r="AN103" t="str">
        <f ca="1">IFERROR(IF(0=LEN(ReferenceData!$AN$103),"",ReferenceData!$AN$103),"")</f>
        <v/>
      </c>
      <c r="AO103" t="str">
        <f ca="1">IFERROR(IF(0=LEN(ReferenceData!$AO$103),"",ReferenceData!$AO$103),"")</f>
        <v/>
      </c>
      <c r="AP103" t="str">
        <f ca="1">IFERROR(IF(0=LEN(ReferenceData!$AP$103),"",ReferenceData!$AP$103),"")</f>
        <v/>
      </c>
      <c r="AQ103" t="str">
        <f ca="1">IFERROR(IF(0=LEN(ReferenceData!$AQ$103),"",ReferenceData!$AQ$103),"")</f>
        <v/>
      </c>
      <c r="AR103" t="str">
        <f ca="1">IFERROR(IF(0=LEN(ReferenceData!$AR$103),"",ReferenceData!$AR$103),"")</f>
        <v/>
      </c>
      <c r="AS103" t="str">
        <f ca="1">IFERROR(IF(0=LEN(ReferenceData!$AS$103),"",ReferenceData!$AS$103),"")</f>
        <v/>
      </c>
      <c r="AT103" t="str">
        <f ca="1">IFERROR(IF(0=LEN(ReferenceData!$AT$103),"",ReferenceData!$AT$103),"")</f>
        <v/>
      </c>
      <c r="AU103" t="str">
        <f ca="1">IFERROR(IF(0=LEN(ReferenceData!$AU$103),"",ReferenceData!$AU$103),"")</f>
        <v/>
      </c>
      <c r="AV103" t="str">
        <f ca="1">IFERROR(IF(0=LEN(ReferenceData!$AV$103),"",ReferenceData!$AV$103),"")</f>
        <v/>
      </c>
      <c r="AW103" t="str">
        <f ca="1">IFERROR(IF(0=LEN(ReferenceData!$AW$103),"",ReferenceData!$AW$103),"")</f>
        <v/>
      </c>
      <c r="AX103" t="str">
        <f ca="1">IFERROR(IF(0=LEN(ReferenceData!$AX$103),"",ReferenceData!$AX$103),"")</f>
        <v/>
      </c>
      <c r="AY103" t="str">
        <f ca="1">IFERROR(IF(0=LEN(ReferenceData!$AY$103),"",ReferenceData!$AY$103),"")</f>
        <v/>
      </c>
      <c r="AZ103" t="str">
        <f ca="1">IFERROR(IF(0=LEN(ReferenceData!$AZ$103),"",ReferenceData!$AZ$103),"")</f>
        <v/>
      </c>
      <c r="BA103" t="str">
        <f ca="1">IFERROR(IF(0=LEN(ReferenceData!$BA$103),"",ReferenceData!$BA$103),"")</f>
        <v/>
      </c>
      <c r="BB103" t="str">
        <f ca="1">IFERROR(IF(0=LEN(ReferenceData!$BB$103),"",ReferenceData!$BB$103),"")</f>
        <v/>
      </c>
      <c r="BC103" t="str">
        <f ca="1">IFERROR(IF(0=LEN(ReferenceData!$BC$103),"",ReferenceData!$BC$103),"")</f>
        <v/>
      </c>
      <c r="BD103" t="str">
        <f ca="1">IFERROR(IF(0=LEN(ReferenceData!$BD$103),"",ReferenceData!$BD$103),"")</f>
        <v/>
      </c>
      <c r="BE103" t="str">
        <f ca="1">IFERROR(IF(0=LEN(ReferenceData!$BE$103),"",ReferenceData!$BE$103),"")</f>
        <v/>
      </c>
      <c r="BF103" t="str">
        <f ca="1">IFERROR(IF(0=LEN(ReferenceData!$BF$103),"",ReferenceData!$BF$103),"")</f>
        <v/>
      </c>
      <c r="BG103" t="str">
        <f ca="1">IFERROR(IF(0=LEN(ReferenceData!$BG$103),"",ReferenceData!$BG$103),"")</f>
        <v/>
      </c>
      <c r="BH103" t="str">
        <f ca="1">IFERROR(IF(0=LEN(ReferenceData!$BH$103),"",ReferenceData!$BH$103),"")</f>
        <v/>
      </c>
      <c r="BI103" t="str">
        <f ca="1">IFERROR(IF(0=LEN(ReferenceData!$BI$103),"",ReferenceData!$BI$103),"")</f>
        <v/>
      </c>
      <c r="BJ103" t="str">
        <f ca="1">IFERROR(IF(0=LEN(ReferenceData!$BJ$103),"",ReferenceData!$BJ$103),"")</f>
        <v/>
      </c>
      <c r="BK103" t="str">
        <f ca="1">IFERROR(IF(0=LEN(ReferenceData!$BK$103),"",ReferenceData!$BK$103),"")</f>
        <v/>
      </c>
      <c r="BL103" t="str">
        <f ca="1">IFERROR(IF(0=LEN(ReferenceData!$BL$103),"",ReferenceData!$BL$103),"")</f>
        <v/>
      </c>
      <c r="BM103" t="str">
        <f ca="1">IFERROR(IF(0=LEN(ReferenceData!$BM$103),"",ReferenceData!$BM$103),"")</f>
        <v/>
      </c>
    </row>
    <row r="104" spans="1:65" x14ac:dyDescent="0.25">
      <c r="A104" t="str">
        <f>IFERROR(IF(0=LEN(ReferenceData!$A$104),"",ReferenceData!$A$104),"")</f>
        <v xml:space="preserve">    Great Wall Motor Co Ltd</v>
      </c>
      <c r="B104" t="str">
        <f>IFERROR(IF(0=LEN(ReferenceData!$B$104),"",ReferenceData!$B$104),"")</f>
        <v>2333 HK Equity</v>
      </c>
      <c r="C104" t="str">
        <f>IFERROR(IF(0=LEN(ReferenceData!$C$104),"",ReferenceData!$C$104),"")</f>
        <v>EZ010</v>
      </c>
      <c r="D104" t="str">
        <f>IFERROR(IF(0=LEN(ReferenceData!$D$104),"",ReferenceData!$D$104),"")</f>
        <v>BEST_EST_PE_NXT_YR</v>
      </c>
      <c r="E104" t="str">
        <f>IFERROR(IF(0=LEN(ReferenceData!$E$104),"",ReferenceData!$E$104),"")</f>
        <v>Dynamic</v>
      </c>
      <c r="F104">
        <f ca="1">IFERROR(IF(0=LEN(ReferenceData!$F$104),"",ReferenceData!$F$104),"")</f>
        <v>8.3245388709999997</v>
      </c>
      <c r="G104">
        <f ca="1">IFERROR(IF(0=LEN(ReferenceData!$G$104),"",ReferenceData!$G$104),"")</f>
        <v>6.6162217700000001</v>
      </c>
      <c r="H104">
        <f ca="1">IFERROR(IF(0=LEN(ReferenceData!$H$104),"",ReferenceData!$H$104),"")</f>
        <v>5.7557726599999999</v>
      </c>
      <c r="I104">
        <f ca="1">IFERROR(IF(0=LEN(ReferenceData!$I$104),"",ReferenceData!$I$104),"")</f>
        <v>5.2490212420000004</v>
      </c>
      <c r="J104">
        <f ca="1">IFERROR(IF(0=LEN(ReferenceData!$J$104),"",ReferenceData!$J$104),"")</f>
        <v>6.6815725820000003</v>
      </c>
      <c r="K104">
        <f ca="1">IFERROR(IF(0=LEN(ReferenceData!$K$104),"",ReferenceData!$K$104),"")</f>
        <v>7.2724549749999996</v>
      </c>
      <c r="L104">
        <f ca="1">IFERROR(IF(0=LEN(ReferenceData!$L$104),"",ReferenceData!$L$104),"")</f>
        <v>7.3722384190000003</v>
      </c>
      <c r="M104">
        <f ca="1">IFERROR(IF(0=LEN(ReferenceData!$M$104),"",ReferenceData!$M$104),"")</f>
        <v>6.8983493459999998</v>
      </c>
      <c r="N104">
        <f ca="1">IFERROR(IF(0=LEN(ReferenceData!$N$104),"",ReferenceData!$N$104),"")</f>
        <v>6.2857527019999999</v>
      </c>
      <c r="O104">
        <f ca="1">IFERROR(IF(0=LEN(ReferenceData!$O$104),"",ReferenceData!$O$104),"")</f>
        <v>8.9996697000000001</v>
      </c>
      <c r="P104" t="str">
        <f ca="1">IFERROR(IF(0=LEN(ReferenceData!$P$104),"",ReferenceData!$P$104),"")</f>
        <v/>
      </c>
      <c r="Q104" t="str">
        <f ca="1">IFERROR(IF(0=LEN(ReferenceData!$Q$104),"",ReferenceData!$Q$104),"")</f>
        <v/>
      </c>
      <c r="R104" t="str">
        <f ca="1">IFERROR(IF(0=LEN(ReferenceData!$R$104),"",ReferenceData!$R$104),"")</f>
        <v/>
      </c>
      <c r="S104" t="str">
        <f ca="1">IFERROR(IF(0=LEN(ReferenceData!$S$104),"",ReferenceData!$S$104),"")</f>
        <v/>
      </c>
      <c r="T104" t="str">
        <f ca="1">IFERROR(IF(0=LEN(ReferenceData!$T$104),"",ReferenceData!$T$104),"")</f>
        <v/>
      </c>
      <c r="U104" t="str">
        <f ca="1">IFERROR(IF(0=LEN(ReferenceData!$U$104),"",ReferenceData!$U$104),"")</f>
        <v/>
      </c>
      <c r="V104" t="str">
        <f ca="1">IFERROR(IF(0=LEN(ReferenceData!$V$104),"",ReferenceData!$V$104),"")</f>
        <v/>
      </c>
      <c r="W104" t="str">
        <f ca="1">IFERROR(IF(0=LEN(ReferenceData!$W$104),"",ReferenceData!$W$104),"")</f>
        <v/>
      </c>
      <c r="X104" t="str">
        <f ca="1">IFERROR(IF(0=LEN(ReferenceData!$X$104),"",ReferenceData!$X$104),"")</f>
        <v/>
      </c>
      <c r="Y104" t="str">
        <f ca="1">IFERROR(IF(0=LEN(ReferenceData!$Y$104),"",ReferenceData!$Y$104),"")</f>
        <v/>
      </c>
      <c r="Z104" t="str">
        <f ca="1">IFERROR(IF(0=LEN(ReferenceData!$Z$104),"",ReferenceData!$Z$104),"")</f>
        <v/>
      </c>
      <c r="AA104" t="str">
        <f ca="1">IFERROR(IF(0=LEN(ReferenceData!$AA$104),"",ReferenceData!$AA$104),"")</f>
        <v/>
      </c>
      <c r="AB104" t="str">
        <f ca="1">IFERROR(IF(0=LEN(ReferenceData!$AB$104),"",ReferenceData!$AB$104),"")</f>
        <v/>
      </c>
      <c r="AC104" t="str">
        <f ca="1">IFERROR(IF(0=LEN(ReferenceData!$AC$104),"",ReferenceData!$AC$104),"")</f>
        <v/>
      </c>
      <c r="AD104" t="str">
        <f ca="1">IFERROR(IF(0=LEN(ReferenceData!$AD$104),"",ReferenceData!$AD$104),"")</f>
        <v/>
      </c>
      <c r="AE104" t="str">
        <f ca="1">IFERROR(IF(0=LEN(ReferenceData!$AE$104),"",ReferenceData!$AE$104),"")</f>
        <v/>
      </c>
      <c r="AF104" t="str">
        <f ca="1">IFERROR(IF(0=LEN(ReferenceData!$AF$104),"",ReferenceData!$AF$104),"")</f>
        <v/>
      </c>
      <c r="AG104" t="str">
        <f ca="1">IFERROR(IF(0=LEN(ReferenceData!$AG$104),"",ReferenceData!$AG$104),"")</f>
        <v/>
      </c>
      <c r="AH104" t="str">
        <f ca="1">IFERROR(IF(0=LEN(ReferenceData!$AH$104),"",ReferenceData!$AH$104),"")</f>
        <v/>
      </c>
      <c r="AI104" t="str">
        <f ca="1">IFERROR(IF(0=LEN(ReferenceData!$AI$104),"",ReferenceData!$AI$104),"")</f>
        <v/>
      </c>
      <c r="AJ104" t="str">
        <f ca="1">IFERROR(IF(0=LEN(ReferenceData!$AJ$104),"",ReferenceData!$AJ$104),"")</f>
        <v/>
      </c>
      <c r="AK104" t="str">
        <f ca="1">IFERROR(IF(0=LEN(ReferenceData!$AK$104),"",ReferenceData!$AK$104),"")</f>
        <v/>
      </c>
      <c r="AL104" t="str">
        <f ca="1">IFERROR(IF(0=LEN(ReferenceData!$AL$104),"",ReferenceData!$AL$104),"")</f>
        <v/>
      </c>
      <c r="AM104" t="str">
        <f ca="1">IFERROR(IF(0=LEN(ReferenceData!$AM$104),"",ReferenceData!$AM$104),"")</f>
        <v/>
      </c>
      <c r="AN104" t="str">
        <f ca="1">IFERROR(IF(0=LEN(ReferenceData!$AN$104),"",ReferenceData!$AN$104),"")</f>
        <v/>
      </c>
      <c r="AO104" t="str">
        <f ca="1">IFERROR(IF(0=LEN(ReferenceData!$AO$104),"",ReferenceData!$AO$104),"")</f>
        <v/>
      </c>
      <c r="AP104" t="str">
        <f ca="1">IFERROR(IF(0=LEN(ReferenceData!$AP$104),"",ReferenceData!$AP$104),"")</f>
        <v/>
      </c>
      <c r="AQ104" t="str">
        <f ca="1">IFERROR(IF(0=LEN(ReferenceData!$AQ$104),"",ReferenceData!$AQ$104),"")</f>
        <v/>
      </c>
      <c r="AR104" t="str">
        <f ca="1">IFERROR(IF(0=LEN(ReferenceData!$AR$104),"",ReferenceData!$AR$104),"")</f>
        <v/>
      </c>
      <c r="AS104" t="str">
        <f ca="1">IFERROR(IF(0=LEN(ReferenceData!$AS$104),"",ReferenceData!$AS$104),"")</f>
        <v/>
      </c>
      <c r="AT104" t="str">
        <f ca="1">IFERROR(IF(0=LEN(ReferenceData!$AT$104),"",ReferenceData!$AT$104),"")</f>
        <v/>
      </c>
      <c r="AU104" t="str">
        <f ca="1">IFERROR(IF(0=LEN(ReferenceData!$AU$104),"",ReferenceData!$AU$104),"")</f>
        <v/>
      </c>
      <c r="AV104" t="str">
        <f ca="1">IFERROR(IF(0=LEN(ReferenceData!$AV$104),"",ReferenceData!$AV$104),"")</f>
        <v/>
      </c>
      <c r="AW104" t="str">
        <f ca="1">IFERROR(IF(0=LEN(ReferenceData!$AW$104),"",ReferenceData!$AW$104),"")</f>
        <v/>
      </c>
      <c r="AX104" t="str">
        <f ca="1">IFERROR(IF(0=LEN(ReferenceData!$AX$104),"",ReferenceData!$AX$104),"")</f>
        <v/>
      </c>
      <c r="AY104" t="str">
        <f ca="1">IFERROR(IF(0=LEN(ReferenceData!$AY$104),"",ReferenceData!$AY$104),"")</f>
        <v/>
      </c>
      <c r="AZ104" t="str">
        <f ca="1">IFERROR(IF(0=LEN(ReferenceData!$AZ$104),"",ReferenceData!$AZ$104),"")</f>
        <v/>
      </c>
      <c r="BA104" t="str">
        <f ca="1">IFERROR(IF(0=LEN(ReferenceData!$BA$104),"",ReferenceData!$BA$104),"")</f>
        <v/>
      </c>
      <c r="BB104" t="str">
        <f ca="1">IFERROR(IF(0=LEN(ReferenceData!$BB$104),"",ReferenceData!$BB$104),"")</f>
        <v/>
      </c>
      <c r="BC104" t="str">
        <f ca="1">IFERROR(IF(0=LEN(ReferenceData!$BC$104),"",ReferenceData!$BC$104),"")</f>
        <v/>
      </c>
      <c r="BD104" t="str">
        <f ca="1">IFERROR(IF(0=LEN(ReferenceData!$BD$104),"",ReferenceData!$BD$104),"")</f>
        <v/>
      </c>
      <c r="BE104" t="str">
        <f ca="1">IFERROR(IF(0=LEN(ReferenceData!$BE$104),"",ReferenceData!$BE$104),"")</f>
        <v/>
      </c>
      <c r="BF104" t="str">
        <f ca="1">IFERROR(IF(0=LEN(ReferenceData!$BF$104),"",ReferenceData!$BF$104),"")</f>
        <v/>
      </c>
      <c r="BG104" t="str">
        <f ca="1">IFERROR(IF(0=LEN(ReferenceData!$BG$104),"",ReferenceData!$BG$104),"")</f>
        <v/>
      </c>
      <c r="BH104" t="str">
        <f ca="1">IFERROR(IF(0=LEN(ReferenceData!$BH$104),"",ReferenceData!$BH$104),"")</f>
        <v/>
      </c>
      <c r="BI104" t="str">
        <f ca="1">IFERROR(IF(0=LEN(ReferenceData!$BI$104),"",ReferenceData!$BI$104),"")</f>
        <v/>
      </c>
      <c r="BJ104" t="str">
        <f ca="1">IFERROR(IF(0=LEN(ReferenceData!$BJ$104),"",ReferenceData!$BJ$104),"")</f>
        <v/>
      </c>
      <c r="BK104" t="str">
        <f ca="1">IFERROR(IF(0=LEN(ReferenceData!$BK$104),"",ReferenceData!$BK$104),"")</f>
        <v/>
      </c>
      <c r="BL104" t="str">
        <f ca="1">IFERROR(IF(0=LEN(ReferenceData!$BL$104),"",ReferenceData!$BL$104),"")</f>
        <v/>
      </c>
      <c r="BM104" t="str">
        <f ca="1">IFERROR(IF(0=LEN(ReferenceData!$BM$104),"",ReferenceData!$BM$104),"")</f>
        <v/>
      </c>
    </row>
    <row r="105" spans="1:65" x14ac:dyDescent="0.25">
      <c r="A105" t="str">
        <f>IFERROR(IF(0=LEN(ReferenceData!$A$105),"",ReferenceData!$A$105),"")</f>
        <v xml:space="preserve">    Guangzhou Automobile Group Co Ltd</v>
      </c>
      <c r="B105" t="str">
        <f>IFERROR(IF(0=LEN(ReferenceData!$B$105),"",ReferenceData!$B$105),"")</f>
        <v>2238 HK Equity</v>
      </c>
      <c r="C105" t="str">
        <f>IFERROR(IF(0=LEN(ReferenceData!$C$105),"",ReferenceData!$C$105),"")</f>
        <v>EZ010</v>
      </c>
      <c r="D105" t="str">
        <f>IFERROR(IF(0=LEN(ReferenceData!$D$105),"",ReferenceData!$D$105),"")</f>
        <v>BEST_EST_PE_NXT_YR</v>
      </c>
      <c r="E105" t="str">
        <f>IFERROR(IF(0=LEN(ReferenceData!$E$105),"",ReferenceData!$E$105),"")</f>
        <v>Dynamic</v>
      </c>
      <c r="F105">
        <f ca="1">IFERROR(IF(0=LEN(ReferenceData!$F$105),"",ReferenceData!$F$105),"")</f>
        <v>6.3152497929999996</v>
      </c>
      <c r="G105">
        <f ca="1">IFERROR(IF(0=LEN(ReferenceData!$G$105),"",ReferenceData!$G$105),"")</f>
        <v>5.1378301249999998</v>
      </c>
      <c r="H105">
        <f ca="1">IFERROR(IF(0=LEN(ReferenceData!$H$105),"",ReferenceData!$H$105),"")</f>
        <v>5.498835787</v>
      </c>
      <c r="I105">
        <f ca="1">IFERROR(IF(0=LEN(ReferenceData!$I$105),"",ReferenceData!$I$105),"")</f>
        <v>4.2683908119999998</v>
      </c>
      <c r="J105">
        <f ca="1">IFERROR(IF(0=LEN(ReferenceData!$J$105),"",ReferenceData!$J$105),"")</f>
        <v>5.4360171499999996</v>
      </c>
      <c r="K105">
        <f ca="1">IFERROR(IF(0=LEN(ReferenceData!$K$105),"",ReferenceData!$K$105),"")</f>
        <v>7.224785775</v>
      </c>
      <c r="L105">
        <f ca="1">IFERROR(IF(0=LEN(ReferenceData!$L$105),"",ReferenceData!$L$105),"")</f>
        <v>7.8797859629999998</v>
      </c>
      <c r="M105">
        <f ca="1">IFERROR(IF(0=LEN(ReferenceData!$M$105),"",ReferenceData!$M$105),"")</f>
        <v>6.6773033069999999</v>
      </c>
      <c r="N105">
        <f ca="1">IFERROR(IF(0=LEN(ReferenceData!$N$105),"",ReferenceData!$N$105),"")</f>
        <v>7.3150271580000004</v>
      </c>
      <c r="O105">
        <f ca="1">IFERROR(IF(0=LEN(ReferenceData!$O$105),"",ReferenceData!$O$105),"")</f>
        <v>6.8141647780000003</v>
      </c>
      <c r="P105" t="str">
        <f ca="1">IFERROR(IF(0=LEN(ReferenceData!$P$105),"",ReferenceData!$P$105),"")</f>
        <v/>
      </c>
      <c r="Q105" t="str">
        <f ca="1">IFERROR(IF(0=LEN(ReferenceData!$Q$105),"",ReferenceData!$Q$105),"")</f>
        <v/>
      </c>
      <c r="R105" t="str">
        <f ca="1">IFERROR(IF(0=LEN(ReferenceData!$R$105),"",ReferenceData!$R$105),"")</f>
        <v/>
      </c>
      <c r="S105" t="str">
        <f ca="1">IFERROR(IF(0=LEN(ReferenceData!$S$105),"",ReferenceData!$S$105),"")</f>
        <v/>
      </c>
      <c r="T105" t="str">
        <f ca="1">IFERROR(IF(0=LEN(ReferenceData!$T$105),"",ReferenceData!$T$105),"")</f>
        <v/>
      </c>
      <c r="U105" t="str">
        <f ca="1">IFERROR(IF(0=LEN(ReferenceData!$U$105),"",ReferenceData!$U$105),"")</f>
        <v/>
      </c>
      <c r="V105" t="str">
        <f ca="1">IFERROR(IF(0=LEN(ReferenceData!$V$105),"",ReferenceData!$V$105),"")</f>
        <v/>
      </c>
      <c r="W105" t="str">
        <f ca="1">IFERROR(IF(0=LEN(ReferenceData!$W$105),"",ReferenceData!$W$105),"")</f>
        <v/>
      </c>
      <c r="X105" t="str">
        <f ca="1">IFERROR(IF(0=LEN(ReferenceData!$X$105),"",ReferenceData!$X$105),"")</f>
        <v/>
      </c>
      <c r="Y105" t="str">
        <f ca="1">IFERROR(IF(0=LEN(ReferenceData!$Y$105),"",ReferenceData!$Y$105),"")</f>
        <v/>
      </c>
      <c r="Z105" t="str">
        <f ca="1">IFERROR(IF(0=LEN(ReferenceData!$Z$105),"",ReferenceData!$Z$105),"")</f>
        <v/>
      </c>
      <c r="AA105" t="str">
        <f ca="1">IFERROR(IF(0=LEN(ReferenceData!$AA$105),"",ReferenceData!$AA$105),"")</f>
        <v/>
      </c>
      <c r="AB105" t="str">
        <f ca="1">IFERROR(IF(0=LEN(ReferenceData!$AB$105),"",ReferenceData!$AB$105),"")</f>
        <v/>
      </c>
      <c r="AC105" t="str">
        <f ca="1">IFERROR(IF(0=LEN(ReferenceData!$AC$105),"",ReferenceData!$AC$105),"")</f>
        <v/>
      </c>
      <c r="AD105" t="str">
        <f ca="1">IFERROR(IF(0=LEN(ReferenceData!$AD$105),"",ReferenceData!$AD$105),"")</f>
        <v/>
      </c>
      <c r="AE105" t="str">
        <f ca="1">IFERROR(IF(0=LEN(ReferenceData!$AE$105),"",ReferenceData!$AE$105),"")</f>
        <v/>
      </c>
      <c r="AF105" t="str">
        <f ca="1">IFERROR(IF(0=LEN(ReferenceData!$AF$105),"",ReferenceData!$AF$105),"")</f>
        <v/>
      </c>
      <c r="AG105" t="str">
        <f ca="1">IFERROR(IF(0=LEN(ReferenceData!$AG$105),"",ReferenceData!$AG$105),"")</f>
        <v/>
      </c>
      <c r="AH105" t="str">
        <f ca="1">IFERROR(IF(0=LEN(ReferenceData!$AH$105),"",ReferenceData!$AH$105),"")</f>
        <v/>
      </c>
      <c r="AI105" t="str">
        <f ca="1">IFERROR(IF(0=LEN(ReferenceData!$AI$105),"",ReferenceData!$AI$105),"")</f>
        <v/>
      </c>
      <c r="AJ105" t="str">
        <f ca="1">IFERROR(IF(0=LEN(ReferenceData!$AJ$105),"",ReferenceData!$AJ$105),"")</f>
        <v/>
      </c>
      <c r="AK105" t="str">
        <f ca="1">IFERROR(IF(0=LEN(ReferenceData!$AK$105),"",ReferenceData!$AK$105),"")</f>
        <v/>
      </c>
      <c r="AL105" t="str">
        <f ca="1">IFERROR(IF(0=LEN(ReferenceData!$AL$105),"",ReferenceData!$AL$105),"")</f>
        <v/>
      </c>
      <c r="AM105" t="str">
        <f ca="1">IFERROR(IF(0=LEN(ReferenceData!$AM$105),"",ReferenceData!$AM$105),"")</f>
        <v/>
      </c>
      <c r="AN105" t="str">
        <f ca="1">IFERROR(IF(0=LEN(ReferenceData!$AN$105),"",ReferenceData!$AN$105),"")</f>
        <v/>
      </c>
      <c r="AO105" t="str">
        <f ca="1">IFERROR(IF(0=LEN(ReferenceData!$AO$105),"",ReferenceData!$AO$105),"")</f>
        <v/>
      </c>
      <c r="AP105" t="str">
        <f ca="1">IFERROR(IF(0=LEN(ReferenceData!$AP$105),"",ReferenceData!$AP$105),"")</f>
        <v/>
      </c>
      <c r="AQ105" t="str">
        <f ca="1">IFERROR(IF(0=LEN(ReferenceData!$AQ$105),"",ReferenceData!$AQ$105),"")</f>
        <v/>
      </c>
      <c r="AR105" t="str">
        <f ca="1">IFERROR(IF(0=LEN(ReferenceData!$AR$105),"",ReferenceData!$AR$105),"")</f>
        <v/>
      </c>
      <c r="AS105" t="str">
        <f ca="1">IFERROR(IF(0=LEN(ReferenceData!$AS$105),"",ReferenceData!$AS$105),"")</f>
        <v/>
      </c>
      <c r="AT105" t="str">
        <f ca="1">IFERROR(IF(0=LEN(ReferenceData!$AT$105),"",ReferenceData!$AT$105),"")</f>
        <v/>
      </c>
      <c r="AU105" t="str">
        <f ca="1">IFERROR(IF(0=LEN(ReferenceData!$AU$105),"",ReferenceData!$AU$105),"")</f>
        <v/>
      </c>
      <c r="AV105" t="str">
        <f ca="1">IFERROR(IF(0=LEN(ReferenceData!$AV$105),"",ReferenceData!$AV$105),"")</f>
        <v/>
      </c>
      <c r="AW105" t="str">
        <f ca="1">IFERROR(IF(0=LEN(ReferenceData!$AW$105),"",ReferenceData!$AW$105),"")</f>
        <v/>
      </c>
      <c r="AX105" t="str">
        <f ca="1">IFERROR(IF(0=LEN(ReferenceData!$AX$105),"",ReferenceData!$AX$105),"")</f>
        <v/>
      </c>
      <c r="AY105" t="str">
        <f ca="1">IFERROR(IF(0=LEN(ReferenceData!$AY$105),"",ReferenceData!$AY$105),"")</f>
        <v/>
      </c>
      <c r="AZ105" t="str">
        <f ca="1">IFERROR(IF(0=LEN(ReferenceData!$AZ$105),"",ReferenceData!$AZ$105),"")</f>
        <v/>
      </c>
      <c r="BA105" t="str">
        <f ca="1">IFERROR(IF(0=LEN(ReferenceData!$BA$105),"",ReferenceData!$BA$105),"")</f>
        <v/>
      </c>
      <c r="BB105" t="str">
        <f ca="1">IFERROR(IF(0=LEN(ReferenceData!$BB$105),"",ReferenceData!$BB$105),"")</f>
        <v/>
      </c>
      <c r="BC105" t="str">
        <f ca="1">IFERROR(IF(0=LEN(ReferenceData!$BC$105),"",ReferenceData!$BC$105),"")</f>
        <v/>
      </c>
      <c r="BD105" t="str">
        <f ca="1">IFERROR(IF(0=LEN(ReferenceData!$BD$105),"",ReferenceData!$BD$105),"")</f>
        <v/>
      </c>
      <c r="BE105" t="str">
        <f ca="1">IFERROR(IF(0=LEN(ReferenceData!$BE$105),"",ReferenceData!$BE$105),"")</f>
        <v/>
      </c>
      <c r="BF105" t="str">
        <f ca="1">IFERROR(IF(0=LEN(ReferenceData!$BF$105),"",ReferenceData!$BF$105),"")</f>
        <v/>
      </c>
      <c r="BG105" t="str">
        <f ca="1">IFERROR(IF(0=LEN(ReferenceData!$BG$105),"",ReferenceData!$BG$105),"")</f>
        <v/>
      </c>
      <c r="BH105" t="str">
        <f ca="1">IFERROR(IF(0=LEN(ReferenceData!$BH$105),"",ReferenceData!$BH$105),"")</f>
        <v/>
      </c>
      <c r="BI105" t="str">
        <f ca="1">IFERROR(IF(0=LEN(ReferenceData!$BI$105),"",ReferenceData!$BI$105),"")</f>
        <v/>
      </c>
      <c r="BJ105" t="str">
        <f ca="1">IFERROR(IF(0=LEN(ReferenceData!$BJ$105),"",ReferenceData!$BJ$105),"")</f>
        <v/>
      </c>
      <c r="BK105" t="str">
        <f ca="1">IFERROR(IF(0=LEN(ReferenceData!$BK$105),"",ReferenceData!$BK$105),"")</f>
        <v/>
      </c>
      <c r="BL105" t="str">
        <f ca="1">IFERROR(IF(0=LEN(ReferenceData!$BL$105),"",ReferenceData!$BL$105),"")</f>
        <v/>
      </c>
      <c r="BM105" t="str">
        <f ca="1">IFERROR(IF(0=LEN(ReferenceData!$BM$105),"",ReferenceData!$BM$105),"")</f>
        <v/>
      </c>
    </row>
    <row r="106" spans="1:65" x14ac:dyDescent="0.25">
      <c r="A106" t="str">
        <f>IFERROR(IF(0=LEN(ReferenceData!$A$106),"",ReferenceData!$A$106),"")</f>
        <v xml:space="preserve">    Honda Motor Co Ltd</v>
      </c>
      <c r="B106" t="str">
        <f>IFERROR(IF(0=LEN(ReferenceData!$B$106),"",ReferenceData!$B$106),"")</f>
        <v>7267 JP Equity</v>
      </c>
      <c r="C106" t="str">
        <f>IFERROR(IF(0=LEN(ReferenceData!$C$106),"",ReferenceData!$C$106),"")</f>
        <v>EZ010</v>
      </c>
      <c r="D106" t="str">
        <f>IFERROR(IF(0=LEN(ReferenceData!$D$106),"",ReferenceData!$D$106),"")</f>
        <v>BEST_EST_PE_NXT_YR</v>
      </c>
      <c r="E106" t="str">
        <f>IFERROR(IF(0=LEN(ReferenceData!$E$106),"",ReferenceData!$E$106),"")</f>
        <v>Dynamic</v>
      </c>
      <c r="F106">
        <f ca="1">IFERROR(IF(0=LEN(ReferenceData!$F$106),"",ReferenceData!$F$106),"")</f>
        <v>7.360596878</v>
      </c>
      <c r="G106">
        <f ca="1">IFERROR(IF(0=LEN(ReferenceData!$G$106),"",ReferenceData!$G$106),"")</f>
        <v>6.744413636</v>
      </c>
      <c r="H106">
        <f ca="1">IFERROR(IF(0=LEN(ReferenceData!$H$106),"",ReferenceData!$H$106),"")</f>
        <v>7.9913185330000003</v>
      </c>
      <c r="I106">
        <f ca="1">IFERROR(IF(0=LEN(ReferenceData!$I$106),"",ReferenceData!$I$106),"")</f>
        <v>7.4244319269999997</v>
      </c>
      <c r="J106">
        <f ca="1">IFERROR(IF(0=LEN(ReferenceData!$J$106),"",ReferenceData!$J$106),"")</f>
        <v>7.9826562619999999</v>
      </c>
      <c r="K106">
        <f ca="1">IFERROR(IF(0=LEN(ReferenceData!$K$106),"",ReferenceData!$K$106),"")</f>
        <v>8.841656059</v>
      </c>
      <c r="L106">
        <f ca="1">IFERROR(IF(0=LEN(ReferenceData!$L$106),"",ReferenceData!$L$106),"")</f>
        <v>8.1584881819999993</v>
      </c>
      <c r="M106">
        <f ca="1">IFERROR(IF(0=LEN(ReferenceData!$M$106),"",ReferenceData!$M$106),"")</f>
        <v>7.5939327849999998</v>
      </c>
      <c r="N106">
        <f ca="1">IFERROR(IF(0=LEN(ReferenceData!$N$106),"",ReferenceData!$N$106),"")</f>
        <v>6.4454082960000001</v>
      </c>
      <c r="O106">
        <f ca="1">IFERROR(IF(0=LEN(ReferenceData!$O$106),"",ReferenceData!$O$106),"")</f>
        <v>7.3275399639999996</v>
      </c>
      <c r="P106">
        <f ca="1">IFERROR(IF(0=LEN(ReferenceData!$P$106),"",ReferenceData!$P$106),"")</f>
        <v>7.4913411769999998</v>
      </c>
      <c r="Q106">
        <f ca="1">IFERROR(IF(0=LEN(ReferenceData!$Q$106),"",ReferenceData!$Q$106),"")</f>
        <v>5.6308894509999998</v>
      </c>
      <c r="R106">
        <f ca="1">IFERROR(IF(0=LEN(ReferenceData!$R$106),"",ReferenceData!$R$106),"")</f>
        <v>7.5158304920000001</v>
      </c>
      <c r="S106">
        <f ca="1">IFERROR(IF(0=LEN(ReferenceData!$S$106),"",ReferenceData!$S$106),"")</f>
        <v>8.2611451509999991</v>
      </c>
      <c r="T106">
        <f ca="1">IFERROR(IF(0=LEN(ReferenceData!$T$106),"",ReferenceData!$T$106),"")</f>
        <v>7.4867780829999999</v>
      </c>
      <c r="U106">
        <f ca="1">IFERROR(IF(0=LEN(ReferenceData!$U$106),"",ReferenceData!$U$106),"")</f>
        <v>8.3207309390000006</v>
      </c>
      <c r="V106" t="str">
        <f ca="1">IFERROR(IF(0=LEN(ReferenceData!$V$106),"",ReferenceData!$V$106),"")</f>
        <v/>
      </c>
      <c r="W106" t="str">
        <f ca="1">IFERROR(IF(0=LEN(ReferenceData!$W$106),"",ReferenceData!$W$106),"")</f>
        <v/>
      </c>
      <c r="X106" t="str">
        <f ca="1">IFERROR(IF(0=LEN(ReferenceData!$X$106),"",ReferenceData!$X$106),"")</f>
        <v/>
      </c>
      <c r="Y106" t="str">
        <f ca="1">IFERROR(IF(0=LEN(ReferenceData!$Y$106),"",ReferenceData!$Y$106),"")</f>
        <v/>
      </c>
      <c r="Z106" t="str">
        <f ca="1">IFERROR(IF(0=LEN(ReferenceData!$Z$106),"",ReferenceData!$Z$106),"")</f>
        <v/>
      </c>
      <c r="AA106" t="str">
        <f ca="1">IFERROR(IF(0=LEN(ReferenceData!$AA$106),"",ReferenceData!$AA$106),"")</f>
        <v/>
      </c>
      <c r="AB106" t="str">
        <f ca="1">IFERROR(IF(0=LEN(ReferenceData!$AB$106),"",ReferenceData!$AB$106),"")</f>
        <v/>
      </c>
      <c r="AC106" t="str">
        <f ca="1">IFERROR(IF(0=LEN(ReferenceData!$AC$106),"",ReferenceData!$AC$106),"")</f>
        <v/>
      </c>
      <c r="AD106" t="str">
        <f ca="1">IFERROR(IF(0=LEN(ReferenceData!$AD$106),"",ReferenceData!$AD$106),"")</f>
        <v/>
      </c>
      <c r="AE106" t="str">
        <f ca="1">IFERROR(IF(0=LEN(ReferenceData!$AE$106),"",ReferenceData!$AE$106),"")</f>
        <v/>
      </c>
      <c r="AF106" t="str">
        <f ca="1">IFERROR(IF(0=LEN(ReferenceData!$AF$106),"",ReferenceData!$AF$106),"")</f>
        <v/>
      </c>
      <c r="AG106" t="str">
        <f ca="1">IFERROR(IF(0=LEN(ReferenceData!$AG$106),"",ReferenceData!$AG$106),"")</f>
        <v/>
      </c>
      <c r="AH106" t="str">
        <f ca="1">IFERROR(IF(0=LEN(ReferenceData!$AH$106),"",ReferenceData!$AH$106),"")</f>
        <v/>
      </c>
      <c r="AI106" t="str">
        <f ca="1">IFERROR(IF(0=LEN(ReferenceData!$AI$106),"",ReferenceData!$AI$106),"")</f>
        <v/>
      </c>
      <c r="AJ106" t="str">
        <f ca="1">IFERROR(IF(0=LEN(ReferenceData!$AJ$106),"",ReferenceData!$AJ$106),"")</f>
        <v/>
      </c>
      <c r="AK106" t="str">
        <f ca="1">IFERROR(IF(0=LEN(ReferenceData!$AK$106),"",ReferenceData!$AK$106),"")</f>
        <v/>
      </c>
      <c r="AL106" t="str">
        <f ca="1">IFERROR(IF(0=LEN(ReferenceData!$AL$106),"",ReferenceData!$AL$106),"")</f>
        <v/>
      </c>
      <c r="AM106" t="str">
        <f ca="1">IFERROR(IF(0=LEN(ReferenceData!$AM$106),"",ReferenceData!$AM$106),"")</f>
        <v/>
      </c>
      <c r="AN106" t="str">
        <f ca="1">IFERROR(IF(0=LEN(ReferenceData!$AN$106),"",ReferenceData!$AN$106),"")</f>
        <v/>
      </c>
      <c r="AO106" t="str">
        <f ca="1">IFERROR(IF(0=LEN(ReferenceData!$AO$106),"",ReferenceData!$AO$106),"")</f>
        <v/>
      </c>
      <c r="AP106" t="str">
        <f ca="1">IFERROR(IF(0=LEN(ReferenceData!$AP$106),"",ReferenceData!$AP$106),"")</f>
        <v/>
      </c>
      <c r="AQ106" t="str">
        <f ca="1">IFERROR(IF(0=LEN(ReferenceData!$AQ$106),"",ReferenceData!$AQ$106),"")</f>
        <v/>
      </c>
      <c r="AR106" t="str">
        <f ca="1">IFERROR(IF(0=LEN(ReferenceData!$AR$106),"",ReferenceData!$AR$106),"")</f>
        <v/>
      </c>
      <c r="AS106" t="str">
        <f ca="1">IFERROR(IF(0=LEN(ReferenceData!$AS$106),"",ReferenceData!$AS$106),"")</f>
        <v/>
      </c>
      <c r="AT106" t="str">
        <f ca="1">IFERROR(IF(0=LEN(ReferenceData!$AT$106),"",ReferenceData!$AT$106),"")</f>
        <v/>
      </c>
      <c r="AU106" t="str">
        <f ca="1">IFERROR(IF(0=LEN(ReferenceData!$AU$106),"",ReferenceData!$AU$106),"")</f>
        <v/>
      </c>
      <c r="AV106" t="str">
        <f ca="1">IFERROR(IF(0=LEN(ReferenceData!$AV$106),"",ReferenceData!$AV$106),"")</f>
        <v/>
      </c>
      <c r="AW106" t="str">
        <f ca="1">IFERROR(IF(0=LEN(ReferenceData!$AW$106),"",ReferenceData!$AW$106),"")</f>
        <v/>
      </c>
      <c r="AX106" t="str">
        <f ca="1">IFERROR(IF(0=LEN(ReferenceData!$AX$106),"",ReferenceData!$AX$106),"")</f>
        <v/>
      </c>
      <c r="AY106" t="str">
        <f ca="1">IFERROR(IF(0=LEN(ReferenceData!$AY$106),"",ReferenceData!$AY$106),"")</f>
        <v/>
      </c>
      <c r="AZ106" t="str">
        <f ca="1">IFERROR(IF(0=LEN(ReferenceData!$AZ$106),"",ReferenceData!$AZ$106),"")</f>
        <v/>
      </c>
      <c r="BA106" t="str">
        <f ca="1">IFERROR(IF(0=LEN(ReferenceData!$BA$106),"",ReferenceData!$BA$106),"")</f>
        <v/>
      </c>
      <c r="BB106" t="str">
        <f ca="1">IFERROR(IF(0=LEN(ReferenceData!$BB$106),"",ReferenceData!$BB$106),"")</f>
        <v/>
      </c>
      <c r="BC106" t="str">
        <f ca="1">IFERROR(IF(0=LEN(ReferenceData!$BC$106),"",ReferenceData!$BC$106),"")</f>
        <v/>
      </c>
      <c r="BD106" t="str">
        <f ca="1">IFERROR(IF(0=LEN(ReferenceData!$BD$106),"",ReferenceData!$BD$106),"")</f>
        <v/>
      </c>
      <c r="BE106" t="str">
        <f ca="1">IFERROR(IF(0=LEN(ReferenceData!$BE$106),"",ReferenceData!$BE$106),"")</f>
        <v/>
      </c>
      <c r="BF106" t="str">
        <f ca="1">IFERROR(IF(0=LEN(ReferenceData!$BF$106),"",ReferenceData!$BF$106),"")</f>
        <v/>
      </c>
      <c r="BG106" t="str">
        <f ca="1">IFERROR(IF(0=LEN(ReferenceData!$BG$106),"",ReferenceData!$BG$106),"")</f>
        <v/>
      </c>
      <c r="BH106" t="str">
        <f ca="1">IFERROR(IF(0=LEN(ReferenceData!$BH$106),"",ReferenceData!$BH$106),"")</f>
        <v/>
      </c>
      <c r="BI106" t="str">
        <f ca="1">IFERROR(IF(0=LEN(ReferenceData!$BI$106),"",ReferenceData!$BI$106),"")</f>
        <v/>
      </c>
      <c r="BJ106" t="str">
        <f ca="1">IFERROR(IF(0=LEN(ReferenceData!$BJ$106),"",ReferenceData!$BJ$106),"")</f>
        <v/>
      </c>
      <c r="BK106" t="str">
        <f ca="1">IFERROR(IF(0=LEN(ReferenceData!$BK$106),"",ReferenceData!$BK$106),"")</f>
        <v/>
      </c>
      <c r="BL106" t="str">
        <f ca="1">IFERROR(IF(0=LEN(ReferenceData!$BL$106),"",ReferenceData!$BL$106),"")</f>
        <v/>
      </c>
      <c r="BM106" t="str">
        <f ca="1">IFERROR(IF(0=LEN(ReferenceData!$BM$106),"",ReferenceData!$BM$106),"")</f>
        <v/>
      </c>
    </row>
    <row r="107" spans="1:65" x14ac:dyDescent="0.25">
      <c r="A107" t="str">
        <f>IFERROR(IF(0=LEN(ReferenceData!$A$107),"",ReferenceData!$A$107),"")</f>
        <v xml:space="preserve">    Hyundai Motor Co</v>
      </c>
      <c r="B107" t="str">
        <f>IFERROR(IF(0=LEN(ReferenceData!$B$107),"",ReferenceData!$B$107),"")</f>
        <v>005380 KS Equity</v>
      </c>
      <c r="C107" t="str">
        <f>IFERROR(IF(0=LEN(ReferenceData!$C$107),"",ReferenceData!$C$107),"")</f>
        <v>EZ010</v>
      </c>
      <c r="D107" t="str">
        <f>IFERROR(IF(0=LEN(ReferenceData!$D$107),"",ReferenceData!$D$107),"")</f>
        <v>BEST_EST_PE_NXT_YR</v>
      </c>
      <c r="E107" t="str">
        <f>IFERROR(IF(0=LEN(ReferenceData!$E$107),"",ReferenceData!$E$107),"")</f>
        <v>Dynamic</v>
      </c>
      <c r="F107">
        <f ca="1">IFERROR(IF(0=LEN(ReferenceData!$F$107),"",ReferenceData!$F$107),"")</f>
        <v>7.9951445139999997</v>
      </c>
      <c r="G107">
        <f ca="1">IFERROR(IF(0=LEN(ReferenceData!$G$107),"",ReferenceData!$G$107),"")</f>
        <v>7.1017317379999998</v>
      </c>
      <c r="H107">
        <f ca="1">IFERROR(IF(0=LEN(ReferenceData!$H$107),"",ReferenceData!$H$107),"")</f>
        <v>6.6037099389999998</v>
      </c>
      <c r="I107">
        <f ca="1">IFERROR(IF(0=LEN(ReferenceData!$I$107),"",ReferenceData!$I$107),"")</f>
        <v>6.1785363650000003</v>
      </c>
      <c r="J107">
        <f ca="1">IFERROR(IF(0=LEN(ReferenceData!$J$107),"",ReferenceData!$J$107),"")</f>
        <v>6.7234944849999998</v>
      </c>
      <c r="K107">
        <f ca="1">IFERROR(IF(0=LEN(ReferenceData!$K$107),"",ReferenceData!$K$107),"")</f>
        <v>6.2291172340000003</v>
      </c>
      <c r="L107">
        <f ca="1">IFERROR(IF(0=LEN(ReferenceData!$L$107),"",ReferenceData!$L$107),"")</f>
        <v>6.0905103250000003</v>
      </c>
      <c r="M107">
        <f ca="1">IFERROR(IF(0=LEN(ReferenceData!$M$107),"",ReferenceData!$M$107),"")</f>
        <v>5.8921315109999997</v>
      </c>
      <c r="N107">
        <f ca="1">IFERROR(IF(0=LEN(ReferenceData!$N$107),"",ReferenceData!$N$107),"")</f>
        <v>5.9839663889999999</v>
      </c>
      <c r="O107">
        <f ca="1">IFERROR(IF(0=LEN(ReferenceData!$O$107),"",ReferenceData!$O$107),"")</f>
        <v>4.9653437709999997</v>
      </c>
      <c r="P107">
        <f ca="1">IFERROR(IF(0=LEN(ReferenceData!$P$107),"",ReferenceData!$P$107),"")</f>
        <v>4.0099434760000001</v>
      </c>
      <c r="Q107">
        <f ca="1">IFERROR(IF(0=LEN(ReferenceData!$Q$107),"",ReferenceData!$Q$107),"")</f>
        <v>4.7086312860000001</v>
      </c>
      <c r="R107">
        <f ca="1">IFERROR(IF(0=LEN(ReferenceData!$R$107),"",ReferenceData!$R$107),"")</f>
        <v>5.0772169790000001</v>
      </c>
      <c r="S107" t="str">
        <f ca="1">IFERROR(IF(0=LEN(ReferenceData!$S$107),"",ReferenceData!$S$107),"")</f>
        <v/>
      </c>
      <c r="T107" t="str">
        <f ca="1">IFERROR(IF(0=LEN(ReferenceData!$T$107),"",ReferenceData!$T$107),"")</f>
        <v/>
      </c>
      <c r="U107" t="str">
        <f ca="1">IFERROR(IF(0=LEN(ReferenceData!$U$107),"",ReferenceData!$U$107),"")</f>
        <v/>
      </c>
      <c r="V107" t="str">
        <f ca="1">IFERROR(IF(0=LEN(ReferenceData!$V$107),"",ReferenceData!$V$107),"")</f>
        <v/>
      </c>
      <c r="W107" t="str">
        <f ca="1">IFERROR(IF(0=LEN(ReferenceData!$W$107),"",ReferenceData!$W$107),"")</f>
        <v/>
      </c>
      <c r="X107" t="str">
        <f ca="1">IFERROR(IF(0=LEN(ReferenceData!$X$107),"",ReferenceData!$X$107),"")</f>
        <v/>
      </c>
      <c r="Y107" t="str">
        <f ca="1">IFERROR(IF(0=LEN(ReferenceData!$Y$107),"",ReferenceData!$Y$107),"")</f>
        <v/>
      </c>
      <c r="Z107" t="str">
        <f ca="1">IFERROR(IF(0=LEN(ReferenceData!$Z$107),"",ReferenceData!$Z$107),"")</f>
        <v/>
      </c>
      <c r="AA107" t="str">
        <f ca="1">IFERROR(IF(0=LEN(ReferenceData!$AA$107),"",ReferenceData!$AA$107),"")</f>
        <v/>
      </c>
      <c r="AB107" t="str">
        <f ca="1">IFERROR(IF(0=LEN(ReferenceData!$AB$107),"",ReferenceData!$AB$107),"")</f>
        <v/>
      </c>
      <c r="AC107" t="str">
        <f ca="1">IFERROR(IF(0=LEN(ReferenceData!$AC$107),"",ReferenceData!$AC$107),"")</f>
        <v/>
      </c>
      <c r="AD107" t="str">
        <f ca="1">IFERROR(IF(0=LEN(ReferenceData!$AD$107),"",ReferenceData!$AD$107),"")</f>
        <v/>
      </c>
      <c r="AE107" t="str">
        <f ca="1">IFERROR(IF(0=LEN(ReferenceData!$AE$107),"",ReferenceData!$AE$107),"")</f>
        <v/>
      </c>
      <c r="AF107" t="str">
        <f ca="1">IFERROR(IF(0=LEN(ReferenceData!$AF$107),"",ReferenceData!$AF$107),"")</f>
        <v/>
      </c>
      <c r="AG107" t="str">
        <f ca="1">IFERROR(IF(0=LEN(ReferenceData!$AG$107),"",ReferenceData!$AG$107),"")</f>
        <v/>
      </c>
      <c r="AH107" t="str">
        <f ca="1">IFERROR(IF(0=LEN(ReferenceData!$AH$107),"",ReferenceData!$AH$107),"")</f>
        <v/>
      </c>
      <c r="AI107" t="str">
        <f ca="1">IFERROR(IF(0=LEN(ReferenceData!$AI$107),"",ReferenceData!$AI$107),"")</f>
        <v/>
      </c>
      <c r="AJ107" t="str">
        <f ca="1">IFERROR(IF(0=LEN(ReferenceData!$AJ$107),"",ReferenceData!$AJ$107),"")</f>
        <v/>
      </c>
      <c r="AK107" t="str">
        <f ca="1">IFERROR(IF(0=LEN(ReferenceData!$AK$107),"",ReferenceData!$AK$107),"")</f>
        <v/>
      </c>
      <c r="AL107" t="str">
        <f ca="1">IFERROR(IF(0=LEN(ReferenceData!$AL$107),"",ReferenceData!$AL$107),"")</f>
        <v/>
      </c>
      <c r="AM107" t="str">
        <f ca="1">IFERROR(IF(0=LEN(ReferenceData!$AM$107),"",ReferenceData!$AM$107),"")</f>
        <v/>
      </c>
      <c r="AN107" t="str">
        <f ca="1">IFERROR(IF(0=LEN(ReferenceData!$AN$107),"",ReferenceData!$AN$107),"")</f>
        <v/>
      </c>
      <c r="AO107" t="str">
        <f ca="1">IFERROR(IF(0=LEN(ReferenceData!$AO$107),"",ReferenceData!$AO$107),"")</f>
        <v/>
      </c>
      <c r="AP107" t="str">
        <f ca="1">IFERROR(IF(0=LEN(ReferenceData!$AP$107),"",ReferenceData!$AP$107),"")</f>
        <v/>
      </c>
      <c r="AQ107" t="str">
        <f ca="1">IFERROR(IF(0=LEN(ReferenceData!$AQ$107),"",ReferenceData!$AQ$107),"")</f>
        <v/>
      </c>
      <c r="AR107" t="str">
        <f ca="1">IFERROR(IF(0=LEN(ReferenceData!$AR$107),"",ReferenceData!$AR$107),"")</f>
        <v/>
      </c>
      <c r="AS107" t="str">
        <f ca="1">IFERROR(IF(0=LEN(ReferenceData!$AS$107),"",ReferenceData!$AS$107),"")</f>
        <v/>
      </c>
      <c r="AT107" t="str">
        <f ca="1">IFERROR(IF(0=LEN(ReferenceData!$AT$107),"",ReferenceData!$AT$107),"")</f>
        <v/>
      </c>
      <c r="AU107" t="str">
        <f ca="1">IFERROR(IF(0=LEN(ReferenceData!$AU$107),"",ReferenceData!$AU$107),"")</f>
        <v/>
      </c>
      <c r="AV107" t="str">
        <f ca="1">IFERROR(IF(0=LEN(ReferenceData!$AV$107),"",ReferenceData!$AV$107),"")</f>
        <v/>
      </c>
      <c r="AW107" t="str">
        <f ca="1">IFERROR(IF(0=LEN(ReferenceData!$AW$107),"",ReferenceData!$AW$107),"")</f>
        <v/>
      </c>
      <c r="AX107" t="str">
        <f ca="1">IFERROR(IF(0=LEN(ReferenceData!$AX$107),"",ReferenceData!$AX$107),"")</f>
        <v/>
      </c>
      <c r="AY107" t="str">
        <f ca="1">IFERROR(IF(0=LEN(ReferenceData!$AY$107),"",ReferenceData!$AY$107),"")</f>
        <v/>
      </c>
      <c r="AZ107" t="str">
        <f ca="1">IFERROR(IF(0=LEN(ReferenceData!$AZ$107),"",ReferenceData!$AZ$107),"")</f>
        <v/>
      </c>
      <c r="BA107" t="str">
        <f ca="1">IFERROR(IF(0=LEN(ReferenceData!$BA$107),"",ReferenceData!$BA$107),"")</f>
        <v/>
      </c>
      <c r="BB107" t="str">
        <f ca="1">IFERROR(IF(0=LEN(ReferenceData!$BB$107),"",ReferenceData!$BB$107),"")</f>
        <v/>
      </c>
      <c r="BC107" t="str">
        <f ca="1">IFERROR(IF(0=LEN(ReferenceData!$BC$107),"",ReferenceData!$BC$107),"")</f>
        <v/>
      </c>
      <c r="BD107" t="str">
        <f ca="1">IFERROR(IF(0=LEN(ReferenceData!$BD$107),"",ReferenceData!$BD$107),"")</f>
        <v/>
      </c>
      <c r="BE107" t="str">
        <f ca="1">IFERROR(IF(0=LEN(ReferenceData!$BE$107),"",ReferenceData!$BE$107),"")</f>
        <v/>
      </c>
      <c r="BF107" t="str">
        <f ca="1">IFERROR(IF(0=LEN(ReferenceData!$BF$107),"",ReferenceData!$BF$107),"")</f>
        <v/>
      </c>
      <c r="BG107" t="str">
        <f ca="1">IFERROR(IF(0=LEN(ReferenceData!$BG$107),"",ReferenceData!$BG$107),"")</f>
        <v/>
      </c>
      <c r="BH107" t="str">
        <f ca="1">IFERROR(IF(0=LEN(ReferenceData!$BH$107),"",ReferenceData!$BH$107),"")</f>
        <v/>
      </c>
      <c r="BI107" t="str">
        <f ca="1">IFERROR(IF(0=LEN(ReferenceData!$BI$107),"",ReferenceData!$BI$107),"")</f>
        <v/>
      </c>
      <c r="BJ107" t="str">
        <f ca="1">IFERROR(IF(0=LEN(ReferenceData!$BJ$107),"",ReferenceData!$BJ$107),"")</f>
        <v/>
      </c>
      <c r="BK107" t="str">
        <f ca="1">IFERROR(IF(0=LEN(ReferenceData!$BK$107),"",ReferenceData!$BK$107),"")</f>
        <v/>
      </c>
      <c r="BL107" t="str">
        <f ca="1">IFERROR(IF(0=LEN(ReferenceData!$BL$107),"",ReferenceData!$BL$107),"")</f>
        <v/>
      </c>
      <c r="BM107" t="str">
        <f ca="1">IFERROR(IF(0=LEN(ReferenceData!$BM$107),"",ReferenceData!$BM$107),"")</f>
        <v/>
      </c>
    </row>
    <row r="108" spans="1:65" x14ac:dyDescent="0.25">
      <c r="A108" t="str">
        <f>IFERROR(IF(0=LEN(ReferenceData!$A$108),"",ReferenceData!$A$108),"")</f>
        <v xml:space="preserve">    Kia Motors Corp</v>
      </c>
      <c r="B108" t="str">
        <f>IFERROR(IF(0=LEN(ReferenceData!$B$108),"",ReferenceData!$B$108),"")</f>
        <v>000270 KS Equity</v>
      </c>
      <c r="C108" t="str">
        <f>IFERROR(IF(0=LEN(ReferenceData!$C$108),"",ReferenceData!$C$108),"")</f>
        <v>EZ010</v>
      </c>
      <c r="D108" t="str">
        <f>IFERROR(IF(0=LEN(ReferenceData!$D$108),"",ReferenceData!$D$108),"")</f>
        <v>BEST_EST_PE_NXT_YR</v>
      </c>
      <c r="E108" t="str">
        <f>IFERROR(IF(0=LEN(ReferenceData!$E$108),"",ReferenceData!$E$108),"")</f>
        <v>Dynamic</v>
      </c>
      <c r="F108">
        <f ca="1">IFERROR(IF(0=LEN(ReferenceData!$F$108),"",ReferenceData!$F$108),"")</f>
        <v>7.1031491920000001</v>
      </c>
      <c r="G108">
        <f ca="1">IFERROR(IF(0=LEN(ReferenceData!$G$108),"",ReferenceData!$G$108),"")</f>
        <v>6.269110789</v>
      </c>
      <c r="H108">
        <f ca="1">IFERROR(IF(0=LEN(ReferenceData!$H$108),"",ReferenceData!$H$108),"")</f>
        <v>5.7770255759999998</v>
      </c>
      <c r="I108">
        <f ca="1">IFERROR(IF(0=LEN(ReferenceData!$I$108),"",ReferenceData!$I$108),"")</f>
        <v>5.0576630969999998</v>
      </c>
      <c r="J108">
        <f ca="1">IFERROR(IF(0=LEN(ReferenceData!$J$108),"",ReferenceData!$J$108),"")</f>
        <v>5.2303681930000003</v>
      </c>
      <c r="K108">
        <f ca="1">IFERROR(IF(0=LEN(ReferenceData!$K$108),"",ReferenceData!$K$108),"")</f>
        <v>4.8187502609999999</v>
      </c>
      <c r="L108">
        <f ca="1">IFERROR(IF(0=LEN(ReferenceData!$L$108),"",ReferenceData!$L$108),"")</f>
        <v>4.6348954469999999</v>
      </c>
      <c r="M108">
        <f ca="1">IFERROR(IF(0=LEN(ReferenceData!$M$108),"",ReferenceData!$M$108),"")</f>
        <v>5.4311509210000004</v>
      </c>
      <c r="N108">
        <f ca="1">IFERROR(IF(0=LEN(ReferenceData!$N$108),"",ReferenceData!$N$108),"")</f>
        <v>5.0913838120000001</v>
      </c>
      <c r="O108">
        <f ca="1">IFERROR(IF(0=LEN(ReferenceData!$O$108),"",ReferenceData!$O$108),"")</f>
        <v>4.6745918370000004</v>
      </c>
      <c r="P108">
        <f ca="1">IFERROR(IF(0=LEN(ReferenceData!$P$108),"",ReferenceData!$P$108),"")</f>
        <v>4.4527783650000003</v>
      </c>
      <c r="Q108">
        <f ca="1">IFERROR(IF(0=LEN(ReferenceData!$Q$108),"",ReferenceData!$Q$108),"")</f>
        <v>6.8486961319999997</v>
      </c>
      <c r="R108">
        <f ca="1">IFERROR(IF(0=LEN(ReferenceData!$R$108),"",ReferenceData!$R$108),"")</f>
        <v>6.0288787030000002</v>
      </c>
      <c r="S108" t="str">
        <f ca="1">IFERROR(IF(0=LEN(ReferenceData!$S$108),"",ReferenceData!$S$108),"")</f>
        <v/>
      </c>
      <c r="T108" t="str">
        <f ca="1">IFERROR(IF(0=LEN(ReferenceData!$T$108),"",ReferenceData!$T$108),"")</f>
        <v/>
      </c>
      <c r="U108" t="str">
        <f ca="1">IFERROR(IF(0=LEN(ReferenceData!$U$108),"",ReferenceData!$U$108),"")</f>
        <v/>
      </c>
      <c r="V108" t="str">
        <f ca="1">IFERROR(IF(0=LEN(ReferenceData!$V$108),"",ReferenceData!$V$108),"")</f>
        <v/>
      </c>
      <c r="W108" t="str">
        <f ca="1">IFERROR(IF(0=LEN(ReferenceData!$W$108),"",ReferenceData!$W$108),"")</f>
        <v/>
      </c>
      <c r="X108" t="str">
        <f ca="1">IFERROR(IF(0=LEN(ReferenceData!$X$108),"",ReferenceData!$X$108),"")</f>
        <v/>
      </c>
      <c r="Y108" t="str">
        <f ca="1">IFERROR(IF(0=LEN(ReferenceData!$Y$108),"",ReferenceData!$Y$108),"")</f>
        <v/>
      </c>
      <c r="Z108" t="str">
        <f ca="1">IFERROR(IF(0=LEN(ReferenceData!$Z$108),"",ReferenceData!$Z$108),"")</f>
        <v/>
      </c>
      <c r="AA108" t="str">
        <f ca="1">IFERROR(IF(0=LEN(ReferenceData!$AA$108),"",ReferenceData!$AA$108),"")</f>
        <v/>
      </c>
      <c r="AB108" t="str">
        <f ca="1">IFERROR(IF(0=LEN(ReferenceData!$AB$108),"",ReferenceData!$AB$108),"")</f>
        <v/>
      </c>
      <c r="AC108" t="str">
        <f ca="1">IFERROR(IF(0=LEN(ReferenceData!$AC$108),"",ReferenceData!$AC$108),"")</f>
        <v/>
      </c>
      <c r="AD108" t="str">
        <f ca="1">IFERROR(IF(0=LEN(ReferenceData!$AD$108),"",ReferenceData!$AD$108),"")</f>
        <v/>
      </c>
      <c r="AE108" t="str">
        <f ca="1">IFERROR(IF(0=LEN(ReferenceData!$AE$108),"",ReferenceData!$AE$108),"")</f>
        <v/>
      </c>
      <c r="AF108" t="str">
        <f ca="1">IFERROR(IF(0=LEN(ReferenceData!$AF$108),"",ReferenceData!$AF$108),"")</f>
        <v/>
      </c>
      <c r="AG108" t="str">
        <f ca="1">IFERROR(IF(0=LEN(ReferenceData!$AG$108),"",ReferenceData!$AG$108),"")</f>
        <v/>
      </c>
      <c r="AH108" t="str">
        <f ca="1">IFERROR(IF(0=LEN(ReferenceData!$AH$108),"",ReferenceData!$AH$108),"")</f>
        <v/>
      </c>
      <c r="AI108" t="str">
        <f ca="1">IFERROR(IF(0=LEN(ReferenceData!$AI$108),"",ReferenceData!$AI$108),"")</f>
        <v/>
      </c>
      <c r="AJ108" t="str">
        <f ca="1">IFERROR(IF(0=LEN(ReferenceData!$AJ$108),"",ReferenceData!$AJ$108),"")</f>
        <v/>
      </c>
      <c r="AK108" t="str">
        <f ca="1">IFERROR(IF(0=LEN(ReferenceData!$AK$108),"",ReferenceData!$AK$108),"")</f>
        <v/>
      </c>
      <c r="AL108" t="str">
        <f ca="1">IFERROR(IF(0=LEN(ReferenceData!$AL$108),"",ReferenceData!$AL$108),"")</f>
        <v/>
      </c>
      <c r="AM108" t="str">
        <f ca="1">IFERROR(IF(0=LEN(ReferenceData!$AM$108),"",ReferenceData!$AM$108),"")</f>
        <v/>
      </c>
      <c r="AN108" t="str">
        <f ca="1">IFERROR(IF(0=LEN(ReferenceData!$AN$108),"",ReferenceData!$AN$108),"")</f>
        <v/>
      </c>
      <c r="AO108" t="str">
        <f ca="1">IFERROR(IF(0=LEN(ReferenceData!$AO$108),"",ReferenceData!$AO$108),"")</f>
        <v/>
      </c>
      <c r="AP108" t="str">
        <f ca="1">IFERROR(IF(0=LEN(ReferenceData!$AP$108),"",ReferenceData!$AP$108),"")</f>
        <v/>
      </c>
      <c r="AQ108" t="str">
        <f ca="1">IFERROR(IF(0=LEN(ReferenceData!$AQ$108),"",ReferenceData!$AQ$108),"")</f>
        <v/>
      </c>
      <c r="AR108" t="str">
        <f ca="1">IFERROR(IF(0=LEN(ReferenceData!$AR$108),"",ReferenceData!$AR$108),"")</f>
        <v/>
      </c>
      <c r="AS108" t="str">
        <f ca="1">IFERROR(IF(0=LEN(ReferenceData!$AS$108),"",ReferenceData!$AS$108),"")</f>
        <v/>
      </c>
      <c r="AT108" t="str">
        <f ca="1">IFERROR(IF(0=LEN(ReferenceData!$AT$108),"",ReferenceData!$AT$108),"")</f>
        <v/>
      </c>
      <c r="AU108" t="str">
        <f ca="1">IFERROR(IF(0=LEN(ReferenceData!$AU$108),"",ReferenceData!$AU$108),"")</f>
        <v/>
      </c>
      <c r="AV108" t="str">
        <f ca="1">IFERROR(IF(0=LEN(ReferenceData!$AV$108),"",ReferenceData!$AV$108),"")</f>
        <v/>
      </c>
      <c r="AW108" t="str">
        <f ca="1">IFERROR(IF(0=LEN(ReferenceData!$AW$108),"",ReferenceData!$AW$108),"")</f>
        <v/>
      </c>
      <c r="AX108" t="str">
        <f ca="1">IFERROR(IF(0=LEN(ReferenceData!$AX$108),"",ReferenceData!$AX$108),"")</f>
        <v/>
      </c>
      <c r="AY108" t="str">
        <f ca="1">IFERROR(IF(0=LEN(ReferenceData!$AY$108),"",ReferenceData!$AY$108),"")</f>
        <v/>
      </c>
      <c r="AZ108" t="str">
        <f ca="1">IFERROR(IF(0=LEN(ReferenceData!$AZ$108),"",ReferenceData!$AZ$108),"")</f>
        <v/>
      </c>
      <c r="BA108" t="str">
        <f ca="1">IFERROR(IF(0=LEN(ReferenceData!$BA$108),"",ReferenceData!$BA$108),"")</f>
        <v/>
      </c>
      <c r="BB108" t="str">
        <f ca="1">IFERROR(IF(0=LEN(ReferenceData!$BB$108),"",ReferenceData!$BB$108),"")</f>
        <v/>
      </c>
      <c r="BC108" t="str">
        <f ca="1">IFERROR(IF(0=LEN(ReferenceData!$BC$108),"",ReferenceData!$BC$108),"")</f>
        <v/>
      </c>
      <c r="BD108" t="str">
        <f ca="1">IFERROR(IF(0=LEN(ReferenceData!$BD$108),"",ReferenceData!$BD$108),"")</f>
        <v/>
      </c>
      <c r="BE108" t="str">
        <f ca="1">IFERROR(IF(0=LEN(ReferenceData!$BE$108),"",ReferenceData!$BE$108),"")</f>
        <v/>
      </c>
      <c r="BF108" t="str">
        <f ca="1">IFERROR(IF(0=LEN(ReferenceData!$BF$108),"",ReferenceData!$BF$108),"")</f>
        <v/>
      </c>
      <c r="BG108" t="str">
        <f ca="1">IFERROR(IF(0=LEN(ReferenceData!$BG$108),"",ReferenceData!$BG$108),"")</f>
        <v/>
      </c>
      <c r="BH108" t="str">
        <f ca="1">IFERROR(IF(0=LEN(ReferenceData!$BH$108),"",ReferenceData!$BH$108),"")</f>
        <v/>
      </c>
      <c r="BI108" t="str">
        <f ca="1">IFERROR(IF(0=LEN(ReferenceData!$BI$108),"",ReferenceData!$BI$108),"")</f>
        <v/>
      </c>
      <c r="BJ108" t="str">
        <f ca="1">IFERROR(IF(0=LEN(ReferenceData!$BJ$108),"",ReferenceData!$BJ$108),"")</f>
        <v/>
      </c>
      <c r="BK108" t="str">
        <f ca="1">IFERROR(IF(0=LEN(ReferenceData!$BK$108),"",ReferenceData!$BK$108),"")</f>
        <v/>
      </c>
      <c r="BL108" t="str">
        <f ca="1">IFERROR(IF(0=LEN(ReferenceData!$BL$108),"",ReferenceData!$BL$108),"")</f>
        <v/>
      </c>
      <c r="BM108" t="str">
        <f ca="1">IFERROR(IF(0=LEN(ReferenceData!$BM$108),"",ReferenceData!$BM$108),"")</f>
        <v/>
      </c>
    </row>
    <row r="109" spans="1:65" x14ac:dyDescent="0.25">
      <c r="A109" t="str">
        <f>IFERROR(IF(0=LEN(ReferenceData!$A$109),"",ReferenceData!$A$109),"")</f>
        <v xml:space="preserve">    Mazda Motor Corp</v>
      </c>
      <c r="B109" t="str">
        <f>IFERROR(IF(0=LEN(ReferenceData!$B$109),"",ReferenceData!$B$109),"")</f>
        <v>7261 JP Equity</v>
      </c>
      <c r="C109" t="str">
        <f>IFERROR(IF(0=LEN(ReferenceData!$C$109),"",ReferenceData!$C$109),"")</f>
        <v>EZ010</v>
      </c>
      <c r="D109" t="str">
        <f>IFERROR(IF(0=LEN(ReferenceData!$D$109),"",ReferenceData!$D$109),"")</f>
        <v>BEST_EST_PE_NXT_YR</v>
      </c>
      <c r="E109" t="str">
        <f>IFERROR(IF(0=LEN(ReferenceData!$E$109),"",ReferenceData!$E$109),"")</f>
        <v>Dynamic</v>
      </c>
      <c r="F109">
        <f ca="1">IFERROR(IF(0=LEN(ReferenceData!$F$109),"",ReferenceData!$F$109),"")</f>
        <v>9.3966725360000005</v>
      </c>
      <c r="G109">
        <f ca="1">IFERROR(IF(0=LEN(ReferenceData!$G$109),"",ReferenceData!$G$109),"")</f>
        <v>8.0295430589999999</v>
      </c>
      <c r="H109">
        <f ca="1">IFERROR(IF(0=LEN(ReferenceData!$H$109),"",ReferenceData!$H$109),"")</f>
        <v>8.4851199360000003</v>
      </c>
      <c r="I109">
        <f ca="1">IFERROR(IF(0=LEN(ReferenceData!$I$109),"",ReferenceData!$I$109),"")</f>
        <v>8.2012193280000005</v>
      </c>
      <c r="J109">
        <f ca="1">IFERROR(IF(0=LEN(ReferenceData!$J$109),"",ReferenceData!$J$109),"")</f>
        <v>6.9540238409999997</v>
      </c>
      <c r="K109">
        <f ca="1">IFERROR(IF(0=LEN(ReferenceData!$K$109),"",ReferenceData!$K$109),"")</f>
        <v>6.8067802110000004</v>
      </c>
      <c r="L109">
        <f ca="1">IFERROR(IF(0=LEN(ReferenceData!$L$109),"",ReferenceData!$L$109),"")</f>
        <v>7.1224777140000004</v>
      </c>
      <c r="M109">
        <f ca="1">IFERROR(IF(0=LEN(ReferenceData!$M$109),"",ReferenceData!$M$109),"")</f>
        <v>6.700768794</v>
      </c>
      <c r="N109">
        <f ca="1">IFERROR(IF(0=LEN(ReferenceData!$N$109),"",ReferenceData!$N$109),"")</f>
        <v>5.2967221779999996</v>
      </c>
      <c r="O109">
        <f ca="1">IFERROR(IF(0=LEN(ReferenceData!$O$109),"",ReferenceData!$O$109),"")</f>
        <v>6.7849538679999997</v>
      </c>
      <c r="P109">
        <f ca="1">IFERROR(IF(0=LEN(ReferenceData!$P$109),"",ReferenceData!$P$109),"")</f>
        <v>5.6050242099999998</v>
      </c>
      <c r="Q109">
        <f ca="1">IFERROR(IF(0=LEN(ReferenceData!$Q$109),"",ReferenceData!$Q$109),"")</f>
        <v>4.5443449820000001</v>
      </c>
      <c r="R109">
        <f ca="1">IFERROR(IF(0=LEN(ReferenceData!$R$109),"",ReferenceData!$R$109),"")</f>
        <v>5.6824467219999999</v>
      </c>
      <c r="S109">
        <f ca="1">IFERROR(IF(0=LEN(ReferenceData!$S$109),"",ReferenceData!$S$109),"")</f>
        <v>6.9207567860000001</v>
      </c>
      <c r="T109">
        <f ca="1">IFERROR(IF(0=LEN(ReferenceData!$T$109),"",ReferenceData!$T$109),"")</f>
        <v>5.1324051319999997</v>
      </c>
      <c r="U109">
        <f ca="1">IFERROR(IF(0=LEN(ReferenceData!$U$109),"",ReferenceData!$U$109),"")</f>
        <v>6.8927852830000003</v>
      </c>
      <c r="V109" t="str">
        <f ca="1">IFERROR(IF(0=LEN(ReferenceData!$V$109),"",ReferenceData!$V$109),"")</f>
        <v/>
      </c>
      <c r="W109" t="str">
        <f ca="1">IFERROR(IF(0=LEN(ReferenceData!$W$109),"",ReferenceData!$W$109),"")</f>
        <v/>
      </c>
      <c r="X109" t="str">
        <f ca="1">IFERROR(IF(0=LEN(ReferenceData!$X$109),"",ReferenceData!$X$109),"")</f>
        <v/>
      </c>
      <c r="Y109" t="str">
        <f ca="1">IFERROR(IF(0=LEN(ReferenceData!$Y$109),"",ReferenceData!$Y$109),"")</f>
        <v/>
      </c>
      <c r="Z109" t="str">
        <f ca="1">IFERROR(IF(0=LEN(ReferenceData!$Z$109),"",ReferenceData!$Z$109),"")</f>
        <v/>
      </c>
      <c r="AA109" t="str">
        <f ca="1">IFERROR(IF(0=LEN(ReferenceData!$AA$109),"",ReferenceData!$AA$109),"")</f>
        <v/>
      </c>
      <c r="AB109" t="str">
        <f ca="1">IFERROR(IF(0=LEN(ReferenceData!$AB$109),"",ReferenceData!$AB$109),"")</f>
        <v/>
      </c>
      <c r="AC109" t="str">
        <f ca="1">IFERROR(IF(0=LEN(ReferenceData!$AC$109),"",ReferenceData!$AC$109),"")</f>
        <v/>
      </c>
      <c r="AD109" t="str">
        <f ca="1">IFERROR(IF(0=LEN(ReferenceData!$AD$109),"",ReferenceData!$AD$109),"")</f>
        <v/>
      </c>
      <c r="AE109" t="str">
        <f ca="1">IFERROR(IF(0=LEN(ReferenceData!$AE$109),"",ReferenceData!$AE$109),"")</f>
        <v/>
      </c>
      <c r="AF109" t="str">
        <f ca="1">IFERROR(IF(0=LEN(ReferenceData!$AF$109),"",ReferenceData!$AF$109),"")</f>
        <v/>
      </c>
      <c r="AG109" t="str">
        <f ca="1">IFERROR(IF(0=LEN(ReferenceData!$AG$109),"",ReferenceData!$AG$109),"")</f>
        <v/>
      </c>
      <c r="AH109" t="str">
        <f ca="1">IFERROR(IF(0=LEN(ReferenceData!$AH$109),"",ReferenceData!$AH$109),"")</f>
        <v/>
      </c>
      <c r="AI109" t="str">
        <f ca="1">IFERROR(IF(0=LEN(ReferenceData!$AI$109),"",ReferenceData!$AI$109),"")</f>
        <v/>
      </c>
      <c r="AJ109" t="str">
        <f ca="1">IFERROR(IF(0=LEN(ReferenceData!$AJ$109),"",ReferenceData!$AJ$109),"")</f>
        <v/>
      </c>
      <c r="AK109" t="str">
        <f ca="1">IFERROR(IF(0=LEN(ReferenceData!$AK$109),"",ReferenceData!$AK$109),"")</f>
        <v/>
      </c>
      <c r="AL109" t="str">
        <f ca="1">IFERROR(IF(0=LEN(ReferenceData!$AL$109),"",ReferenceData!$AL$109),"")</f>
        <v/>
      </c>
      <c r="AM109" t="str">
        <f ca="1">IFERROR(IF(0=LEN(ReferenceData!$AM$109),"",ReferenceData!$AM$109),"")</f>
        <v/>
      </c>
      <c r="AN109" t="str">
        <f ca="1">IFERROR(IF(0=LEN(ReferenceData!$AN$109),"",ReferenceData!$AN$109),"")</f>
        <v/>
      </c>
      <c r="AO109" t="str">
        <f ca="1">IFERROR(IF(0=LEN(ReferenceData!$AO$109),"",ReferenceData!$AO$109),"")</f>
        <v/>
      </c>
      <c r="AP109" t="str">
        <f ca="1">IFERROR(IF(0=LEN(ReferenceData!$AP$109),"",ReferenceData!$AP$109),"")</f>
        <v/>
      </c>
      <c r="AQ109" t="str">
        <f ca="1">IFERROR(IF(0=LEN(ReferenceData!$AQ$109),"",ReferenceData!$AQ$109),"")</f>
        <v/>
      </c>
      <c r="AR109" t="str">
        <f ca="1">IFERROR(IF(0=LEN(ReferenceData!$AR$109),"",ReferenceData!$AR$109),"")</f>
        <v/>
      </c>
      <c r="AS109" t="str">
        <f ca="1">IFERROR(IF(0=LEN(ReferenceData!$AS$109),"",ReferenceData!$AS$109),"")</f>
        <v/>
      </c>
      <c r="AT109" t="str">
        <f ca="1">IFERROR(IF(0=LEN(ReferenceData!$AT$109),"",ReferenceData!$AT$109),"")</f>
        <v/>
      </c>
      <c r="AU109" t="str">
        <f ca="1">IFERROR(IF(0=LEN(ReferenceData!$AU$109),"",ReferenceData!$AU$109),"")</f>
        <v/>
      </c>
      <c r="AV109" t="str">
        <f ca="1">IFERROR(IF(0=LEN(ReferenceData!$AV$109),"",ReferenceData!$AV$109),"")</f>
        <v/>
      </c>
      <c r="AW109" t="str">
        <f ca="1">IFERROR(IF(0=LEN(ReferenceData!$AW$109),"",ReferenceData!$AW$109),"")</f>
        <v/>
      </c>
      <c r="AX109" t="str">
        <f ca="1">IFERROR(IF(0=LEN(ReferenceData!$AX$109),"",ReferenceData!$AX$109),"")</f>
        <v/>
      </c>
      <c r="AY109" t="str">
        <f ca="1">IFERROR(IF(0=LEN(ReferenceData!$AY$109),"",ReferenceData!$AY$109),"")</f>
        <v/>
      </c>
      <c r="AZ109" t="str">
        <f ca="1">IFERROR(IF(0=LEN(ReferenceData!$AZ$109),"",ReferenceData!$AZ$109),"")</f>
        <v/>
      </c>
      <c r="BA109" t="str">
        <f ca="1">IFERROR(IF(0=LEN(ReferenceData!$BA$109),"",ReferenceData!$BA$109),"")</f>
        <v/>
      </c>
      <c r="BB109" t="str">
        <f ca="1">IFERROR(IF(0=LEN(ReferenceData!$BB$109),"",ReferenceData!$BB$109),"")</f>
        <v/>
      </c>
      <c r="BC109" t="str">
        <f ca="1">IFERROR(IF(0=LEN(ReferenceData!$BC$109),"",ReferenceData!$BC$109),"")</f>
        <v/>
      </c>
      <c r="BD109" t="str">
        <f ca="1">IFERROR(IF(0=LEN(ReferenceData!$BD$109),"",ReferenceData!$BD$109),"")</f>
        <v/>
      </c>
      <c r="BE109" t="str">
        <f ca="1">IFERROR(IF(0=LEN(ReferenceData!$BE$109),"",ReferenceData!$BE$109),"")</f>
        <v/>
      </c>
      <c r="BF109" t="str">
        <f ca="1">IFERROR(IF(0=LEN(ReferenceData!$BF$109),"",ReferenceData!$BF$109),"")</f>
        <v/>
      </c>
      <c r="BG109" t="str">
        <f ca="1">IFERROR(IF(0=LEN(ReferenceData!$BG$109),"",ReferenceData!$BG$109),"")</f>
        <v/>
      </c>
      <c r="BH109" t="str">
        <f ca="1">IFERROR(IF(0=LEN(ReferenceData!$BH$109),"",ReferenceData!$BH$109),"")</f>
        <v/>
      </c>
      <c r="BI109" t="str">
        <f ca="1">IFERROR(IF(0=LEN(ReferenceData!$BI$109),"",ReferenceData!$BI$109),"")</f>
        <v/>
      </c>
      <c r="BJ109" t="str">
        <f ca="1">IFERROR(IF(0=LEN(ReferenceData!$BJ$109),"",ReferenceData!$BJ$109),"")</f>
        <v/>
      </c>
      <c r="BK109" t="str">
        <f ca="1">IFERROR(IF(0=LEN(ReferenceData!$BK$109),"",ReferenceData!$BK$109),"")</f>
        <v/>
      </c>
      <c r="BL109" t="str">
        <f ca="1">IFERROR(IF(0=LEN(ReferenceData!$BL$109),"",ReferenceData!$BL$109),"")</f>
        <v/>
      </c>
      <c r="BM109" t="str">
        <f ca="1">IFERROR(IF(0=LEN(ReferenceData!$BM$109),"",ReferenceData!$BM$109),"")</f>
        <v/>
      </c>
    </row>
    <row r="110" spans="1:65" x14ac:dyDescent="0.25">
      <c r="A110" t="str">
        <f>IFERROR(IF(0=LEN(ReferenceData!$A$110),"",ReferenceData!$A$110),"")</f>
        <v xml:space="preserve">    Mitsubishi Motors Corp</v>
      </c>
      <c r="B110" t="str">
        <f>IFERROR(IF(0=LEN(ReferenceData!$B$110),"",ReferenceData!$B$110),"")</f>
        <v>7211 JP Equity</v>
      </c>
      <c r="C110" t="str">
        <f>IFERROR(IF(0=LEN(ReferenceData!$C$110),"",ReferenceData!$C$110),"")</f>
        <v>EZ010</v>
      </c>
      <c r="D110" t="str">
        <f>IFERROR(IF(0=LEN(ReferenceData!$D$110),"",ReferenceData!$D$110),"")</f>
        <v>BEST_EST_PE_NXT_YR</v>
      </c>
      <c r="E110" t="str">
        <f>IFERROR(IF(0=LEN(ReferenceData!$E$110),"",ReferenceData!$E$110),"")</f>
        <v>Dynamic</v>
      </c>
      <c r="F110">
        <f ca="1">IFERROR(IF(0=LEN(ReferenceData!$F$110),"",ReferenceData!$F$110),"")</f>
        <v>7.6343337360000003</v>
      </c>
      <c r="G110">
        <f ca="1">IFERROR(IF(0=LEN(ReferenceData!$G$110),"",ReferenceData!$G$110),"")</f>
        <v>7.0384660349999999</v>
      </c>
      <c r="H110">
        <f ca="1">IFERROR(IF(0=LEN(ReferenceData!$H$110),"",ReferenceData!$H$110),"")</f>
        <v>9.2084414540000008</v>
      </c>
      <c r="I110">
        <f ca="1">IFERROR(IF(0=LEN(ReferenceData!$I$110),"",ReferenceData!$I$110),"")</f>
        <v>10.16122165</v>
      </c>
      <c r="J110">
        <f ca="1">IFERROR(IF(0=LEN(ReferenceData!$J$110),"",ReferenceData!$J$110),"")</f>
        <v>9.9538278420000008</v>
      </c>
      <c r="K110">
        <f ca="1">IFERROR(IF(0=LEN(ReferenceData!$K$110),"",ReferenceData!$K$110),"")</f>
        <v>10.212531050000001</v>
      </c>
      <c r="L110">
        <f ca="1">IFERROR(IF(0=LEN(ReferenceData!$L$110),"",ReferenceData!$L$110),"")</f>
        <v>11.876801540000001</v>
      </c>
      <c r="M110">
        <f ca="1">IFERROR(IF(0=LEN(ReferenceData!$M$110),"",ReferenceData!$M$110),"")</f>
        <v>11.87153079</v>
      </c>
      <c r="N110">
        <f ca="1">IFERROR(IF(0=LEN(ReferenceData!$N$110),"",ReferenceData!$N$110),"")</f>
        <v>5.8479020979999996</v>
      </c>
      <c r="O110">
        <f ca="1">IFERROR(IF(0=LEN(ReferenceData!$O$110),"",ReferenceData!$O$110),"")</f>
        <v>6.2770970779999997</v>
      </c>
      <c r="P110">
        <f ca="1">IFERROR(IF(0=LEN(ReferenceData!$P$110),"",ReferenceData!$P$110),"")</f>
        <v>4.9946751860000003</v>
      </c>
      <c r="Q110">
        <f ca="1">IFERROR(IF(0=LEN(ReferenceData!$Q$110),"",ReferenceData!$Q$110),"")</f>
        <v>4.2443438909999998</v>
      </c>
      <c r="R110" t="str">
        <f ca="1">IFERROR(IF(0=LEN(ReferenceData!$R$110),"",ReferenceData!$R$110),"")</f>
        <v/>
      </c>
      <c r="S110" t="str">
        <f ca="1">IFERROR(IF(0=LEN(ReferenceData!$S$110),"",ReferenceData!$S$110),"")</f>
        <v/>
      </c>
      <c r="T110" t="str">
        <f ca="1">IFERROR(IF(0=LEN(ReferenceData!$T$110),"",ReferenceData!$T$110),"")</f>
        <v/>
      </c>
      <c r="U110" t="str">
        <f ca="1">IFERROR(IF(0=LEN(ReferenceData!$U$110),"",ReferenceData!$U$110),"")</f>
        <v/>
      </c>
      <c r="V110" t="str">
        <f ca="1">IFERROR(IF(0=LEN(ReferenceData!$V$110),"",ReferenceData!$V$110),"")</f>
        <v/>
      </c>
      <c r="W110" t="str">
        <f ca="1">IFERROR(IF(0=LEN(ReferenceData!$W$110),"",ReferenceData!$W$110),"")</f>
        <v/>
      </c>
      <c r="X110" t="str">
        <f ca="1">IFERROR(IF(0=LEN(ReferenceData!$X$110),"",ReferenceData!$X$110),"")</f>
        <v/>
      </c>
      <c r="Y110" t="str">
        <f ca="1">IFERROR(IF(0=LEN(ReferenceData!$Y$110),"",ReferenceData!$Y$110),"")</f>
        <v/>
      </c>
      <c r="Z110" t="str">
        <f ca="1">IFERROR(IF(0=LEN(ReferenceData!$Z$110),"",ReferenceData!$Z$110),"")</f>
        <v/>
      </c>
      <c r="AA110" t="str">
        <f ca="1">IFERROR(IF(0=LEN(ReferenceData!$AA$110),"",ReferenceData!$AA$110),"")</f>
        <v/>
      </c>
      <c r="AB110" t="str">
        <f ca="1">IFERROR(IF(0=LEN(ReferenceData!$AB$110),"",ReferenceData!$AB$110),"")</f>
        <v/>
      </c>
      <c r="AC110" t="str">
        <f ca="1">IFERROR(IF(0=LEN(ReferenceData!$AC$110),"",ReferenceData!$AC$110),"")</f>
        <v/>
      </c>
      <c r="AD110" t="str">
        <f ca="1">IFERROR(IF(0=LEN(ReferenceData!$AD$110),"",ReferenceData!$AD$110),"")</f>
        <v/>
      </c>
      <c r="AE110" t="str">
        <f ca="1">IFERROR(IF(0=LEN(ReferenceData!$AE$110),"",ReferenceData!$AE$110),"")</f>
        <v/>
      </c>
      <c r="AF110" t="str">
        <f ca="1">IFERROR(IF(0=LEN(ReferenceData!$AF$110),"",ReferenceData!$AF$110),"")</f>
        <v/>
      </c>
      <c r="AG110" t="str">
        <f ca="1">IFERROR(IF(0=LEN(ReferenceData!$AG$110),"",ReferenceData!$AG$110),"")</f>
        <v/>
      </c>
      <c r="AH110" t="str">
        <f ca="1">IFERROR(IF(0=LEN(ReferenceData!$AH$110),"",ReferenceData!$AH$110),"")</f>
        <v/>
      </c>
      <c r="AI110" t="str">
        <f ca="1">IFERROR(IF(0=LEN(ReferenceData!$AI$110),"",ReferenceData!$AI$110),"")</f>
        <v/>
      </c>
      <c r="AJ110" t="str">
        <f ca="1">IFERROR(IF(0=LEN(ReferenceData!$AJ$110),"",ReferenceData!$AJ$110),"")</f>
        <v/>
      </c>
      <c r="AK110" t="str">
        <f ca="1">IFERROR(IF(0=LEN(ReferenceData!$AK$110),"",ReferenceData!$AK$110),"")</f>
        <v/>
      </c>
      <c r="AL110" t="str">
        <f ca="1">IFERROR(IF(0=LEN(ReferenceData!$AL$110),"",ReferenceData!$AL$110),"")</f>
        <v/>
      </c>
      <c r="AM110" t="str">
        <f ca="1">IFERROR(IF(0=LEN(ReferenceData!$AM$110),"",ReferenceData!$AM$110),"")</f>
        <v/>
      </c>
      <c r="AN110" t="str">
        <f ca="1">IFERROR(IF(0=LEN(ReferenceData!$AN$110),"",ReferenceData!$AN$110),"")</f>
        <v/>
      </c>
      <c r="AO110" t="str">
        <f ca="1">IFERROR(IF(0=LEN(ReferenceData!$AO$110),"",ReferenceData!$AO$110),"")</f>
        <v/>
      </c>
      <c r="AP110" t="str">
        <f ca="1">IFERROR(IF(0=LEN(ReferenceData!$AP$110),"",ReferenceData!$AP$110),"")</f>
        <v/>
      </c>
      <c r="AQ110" t="str">
        <f ca="1">IFERROR(IF(0=LEN(ReferenceData!$AQ$110),"",ReferenceData!$AQ$110),"")</f>
        <v/>
      </c>
      <c r="AR110" t="str">
        <f ca="1">IFERROR(IF(0=LEN(ReferenceData!$AR$110),"",ReferenceData!$AR$110),"")</f>
        <v/>
      </c>
      <c r="AS110" t="str">
        <f ca="1">IFERROR(IF(0=LEN(ReferenceData!$AS$110),"",ReferenceData!$AS$110),"")</f>
        <v/>
      </c>
      <c r="AT110" t="str">
        <f ca="1">IFERROR(IF(0=LEN(ReferenceData!$AT$110),"",ReferenceData!$AT$110),"")</f>
        <v/>
      </c>
      <c r="AU110" t="str">
        <f ca="1">IFERROR(IF(0=LEN(ReferenceData!$AU$110),"",ReferenceData!$AU$110),"")</f>
        <v/>
      </c>
      <c r="AV110" t="str">
        <f ca="1">IFERROR(IF(0=LEN(ReferenceData!$AV$110),"",ReferenceData!$AV$110),"")</f>
        <v/>
      </c>
      <c r="AW110" t="str">
        <f ca="1">IFERROR(IF(0=LEN(ReferenceData!$AW$110),"",ReferenceData!$AW$110),"")</f>
        <v/>
      </c>
      <c r="AX110" t="str">
        <f ca="1">IFERROR(IF(0=LEN(ReferenceData!$AX$110),"",ReferenceData!$AX$110),"")</f>
        <v/>
      </c>
      <c r="AY110" t="str">
        <f ca="1">IFERROR(IF(0=LEN(ReferenceData!$AY$110),"",ReferenceData!$AY$110),"")</f>
        <v/>
      </c>
      <c r="AZ110" t="str">
        <f ca="1">IFERROR(IF(0=LEN(ReferenceData!$AZ$110),"",ReferenceData!$AZ$110),"")</f>
        <v/>
      </c>
      <c r="BA110" t="str">
        <f ca="1">IFERROR(IF(0=LEN(ReferenceData!$BA$110),"",ReferenceData!$BA$110),"")</f>
        <v/>
      </c>
      <c r="BB110" t="str">
        <f ca="1">IFERROR(IF(0=LEN(ReferenceData!$BB$110),"",ReferenceData!$BB$110),"")</f>
        <v/>
      </c>
      <c r="BC110" t="str">
        <f ca="1">IFERROR(IF(0=LEN(ReferenceData!$BC$110),"",ReferenceData!$BC$110),"")</f>
        <v/>
      </c>
      <c r="BD110" t="str">
        <f ca="1">IFERROR(IF(0=LEN(ReferenceData!$BD$110),"",ReferenceData!$BD$110),"")</f>
        <v/>
      </c>
      <c r="BE110" t="str">
        <f ca="1">IFERROR(IF(0=LEN(ReferenceData!$BE$110),"",ReferenceData!$BE$110),"")</f>
        <v/>
      </c>
      <c r="BF110" t="str">
        <f ca="1">IFERROR(IF(0=LEN(ReferenceData!$BF$110),"",ReferenceData!$BF$110),"")</f>
        <v/>
      </c>
      <c r="BG110" t="str">
        <f ca="1">IFERROR(IF(0=LEN(ReferenceData!$BG$110),"",ReferenceData!$BG$110),"")</f>
        <v/>
      </c>
      <c r="BH110" t="str">
        <f ca="1">IFERROR(IF(0=LEN(ReferenceData!$BH$110),"",ReferenceData!$BH$110),"")</f>
        <v/>
      </c>
      <c r="BI110" t="str">
        <f ca="1">IFERROR(IF(0=LEN(ReferenceData!$BI$110),"",ReferenceData!$BI$110),"")</f>
        <v/>
      </c>
      <c r="BJ110" t="str">
        <f ca="1">IFERROR(IF(0=LEN(ReferenceData!$BJ$110),"",ReferenceData!$BJ$110),"")</f>
        <v/>
      </c>
      <c r="BK110" t="str">
        <f ca="1">IFERROR(IF(0=LEN(ReferenceData!$BK$110),"",ReferenceData!$BK$110),"")</f>
        <v/>
      </c>
      <c r="BL110" t="str">
        <f ca="1">IFERROR(IF(0=LEN(ReferenceData!$BL$110),"",ReferenceData!$BL$110),"")</f>
        <v/>
      </c>
      <c r="BM110" t="str">
        <f ca="1">IFERROR(IF(0=LEN(ReferenceData!$BM$110),"",ReferenceData!$BM$110),"")</f>
        <v/>
      </c>
    </row>
    <row r="111" spans="1:65" x14ac:dyDescent="0.25">
      <c r="A111" t="str">
        <f>IFERROR(IF(0=LEN(ReferenceData!$A$111),"",ReferenceData!$A$111),"")</f>
        <v xml:space="preserve">    Nissan Motor Co Ltd</v>
      </c>
      <c r="B111" t="str">
        <f>IFERROR(IF(0=LEN(ReferenceData!$B$111),"",ReferenceData!$B$111),"")</f>
        <v>7201 JP Equity</v>
      </c>
      <c r="C111" t="str">
        <f>IFERROR(IF(0=LEN(ReferenceData!$C$111),"",ReferenceData!$C$111),"")</f>
        <v>EZ010</v>
      </c>
      <c r="D111" t="str">
        <f>IFERROR(IF(0=LEN(ReferenceData!$D$111),"",ReferenceData!$D$111),"")</f>
        <v>BEST_EST_PE_NXT_YR</v>
      </c>
      <c r="E111" t="str">
        <f>IFERROR(IF(0=LEN(ReferenceData!$E$111),"",ReferenceData!$E$111),"")</f>
        <v>Dynamic</v>
      </c>
      <c r="F111">
        <f ca="1">IFERROR(IF(0=LEN(ReferenceData!$F$111),"",ReferenceData!$F$111),"")</f>
        <v>7.2035388960000004</v>
      </c>
      <c r="G111">
        <f ca="1">IFERROR(IF(0=LEN(ReferenceData!$G$111),"",ReferenceData!$G$111),"")</f>
        <v>6.0901028049999999</v>
      </c>
      <c r="H111">
        <f ca="1">IFERROR(IF(0=LEN(ReferenceData!$H$111),"",ReferenceData!$H$111),"")</f>
        <v>7.0569265379999999</v>
      </c>
      <c r="I111">
        <f ca="1">IFERROR(IF(0=LEN(ReferenceData!$I$111),"",ReferenceData!$I$111),"")</f>
        <v>6.9886547810000001</v>
      </c>
      <c r="J111">
        <f ca="1">IFERROR(IF(0=LEN(ReferenceData!$J$111),"",ReferenceData!$J$111),"")</f>
        <v>6.8272049270000004</v>
      </c>
      <c r="K111">
        <f ca="1">IFERROR(IF(0=LEN(ReferenceData!$K$111),"",ReferenceData!$K$111),"")</f>
        <v>6.6535195250000001</v>
      </c>
      <c r="L111">
        <f ca="1">IFERROR(IF(0=LEN(ReferenceData!$L$111),"",ReferenceData!$L$111),"")</f>
        <v>6.5373853979999996</v>
      </c>
      <c r="M111">
        <f ca="1">IFERROR(IF(0=LEN(ReferenceData!$M$111),"",ReferenceData!$M$111),"")</f>
        <v>6.4930916520000004</v>
      </c>
      <c r="N111">
        <f ca="1">IFERROR(IF(0=LEN(ReferenceData!$N$111),"",ReferenceData!$N$111),"")</f>
        <v>4.7757170249999996</v>
      </c>
      <c r="O111">
        <f ca="1">IFERROR(IF(0=LEN(ReferenceData!$O$111),"",ReferenceData!$O$111),"")</f>
        <v>5.4748265099999998</v>
      </c>
      <c r="P111">
        <f ca="1">IFERROR(IF(0=LEN(ReferenceData!$P$111),"",ReferenceData!$P$111),"")</f>
        <v>4.746265341</v>
      </c>
      <c r="Q111">
        <f ca="1">IFERROR(IF(0=LEN(ReferenceData!$Q$111),"",ReferenceData!$Q$111),"")</f>
        <v>4.5352359020000002</v>
      </c>
      <c r="R111">
        <f ca="1">IFERROR(IF(0=LEN(ReferenceData!$R$111),"",ReferenceData!$R$111),"")</f>
        <v>7.1238030099999996</v>
      </c>
      <c r="S111">
        <f ca="1">IFERROR(IF(0=LEN(ReferenceData!$S$111),"",ReferenceData!$S$111),"")</f>
        <v>6.8790322579999996</v>
      </c>
      <c r="T111">
        <f ca="1">IFERROR(IF(0=LEN(ReferenceData!$T$111),"",ReferenceData!$T$111),"")</f>
        <v>6.2657502860000003</v>
      </c>
      <c r="U111">
        <f ca="1">IFERROR(IF(0=LEN(ReferenceData!$U$111),"",ReferenceData!$U$111),"")</f>
        <v>7.158899495</v>
      </c>
      <c r="V111" t="str">
        <f ca="1">IFERROR(IF(0=LEN(ReferenceData!$V$111),"",ReferenceData!$V$111),"")</f>
        <v/>
      </c>
      <c r="W111" t="str">
        <f ca="1">IFERROR(IF(0=LEN(ReferenceData!$W$111),"",ReferenceData!$W$111),"")</f>
        <v/>
      </c>
      <c r="X111" t="str">
        <f ca="1">IFERROR(IF(0=LEN(ReferenceData!$X$111),"",ReferenceData!$X$111),"")</f>
        <v/>
      </c>
      <c r="Y111" t="str">
        <f ca="1">IFERROR(IF(0=LEN(ReferenceData!$Y$111),"",ReferenceData!$Y$111),"")</f>
        <v/>
      </c>
      <c r="Z111" t="str">
        <f ca="1">IFERROR(IF(0=LEN(ReferenceData!$Z$111),"",ReferenceData!$Z$111),"")</f>
        <v/>
      </c>
      <c r="AA111" t="str">
        <f ca="1">IFERROR(IF(0=LEN(ReferenceData!$AA$111),"",ReferenceData!$AA$111),"")</f>
        <v/>
      </c>
      <c r="AB111" t="str">
        <f ca="1">IFERROR(IF(0=LEN(ReferenceData!$AB$111),"",ReferenceData!$AB$111),"")</f>
        <v/>
      </c>
      <c r="AC111" t="str">
        <f ca="1">IFERROR(IF(0=LEN(ReferenceData!$AC$111),"",ReferenceData!$AC$111),"")</f>
        <v/>
      </c>
      <c r="AD111" t="str">
        <f ca="1">IFERROR(IF(0=LEN(ReferenceData!$AD$111),"",ReferenceData!$AD$111),"")</f>
        <v/>
      </c>
      <c r="AE111" t="str">
        <f ca="1">IFERROR(IF(0=LEN(ReferenceData!$AE$111),"",ReferenceData!$AE$111),"")</f>
        <v/>
      </c>
      <c r="AF111" t="str">
        <f ca="1">IFERROR(IF(0=LEN(ReferenceData!$AF$111),"",ReferenceData!$AF$111),"")</f>
        <v/>
      </c>
      <c r="AG111" t="str">
        <f ca="1">IFERROR(IF(0=LEN(ReferenceData!$AG$111),"",ReferenceData!$AG$111),"")</f>
        <v/>
      </c>
      <c r="AH111" t="str">
        <f ca="1">IFERROR(IF(0=LEN(ReferenceData!$AH$111),"",ReferenceData!$AH$111),"")</f>
        <v/>
      </c>
      <c r="AI111" t="str">
        <f ca="1">IFERROR(IF(0=LEN(ReferenceData!$AI$111),"",ReferenceData!$AI$111),"")</f>
        <v/>
      </c>
      <c r="AJ111" t="str">
        <f ca="1">IFERROR(IF(0=LEN(ReferenceData!$AJ$111),"",ReferenceData!$AJ$111),"")</f>
        <v/>
      </c>
      <c r="AK111" t="str">
        <f ca="1">IFERROR(IF(0=LEN(ReferenceData!$AK$111),"",ReferenceData!$AK$111),"")</f>
        <v/>
      </c>
      <c r="AL111" t="str">
        <f ca="1">IFERROR(IF(0=LEN(ReferenceData!$AL$111),"",ReferenceData!$AL$111),"")</f>
        <v/>
      </c>
      <c r="AM111" t="str">
        <f ca="1">IFERROR(IF(0=LEN(ReferenceData!$AM$111),"",ReferenceData!$AM$111),"")</f>
        <v/>
      </c>
      <c r="AN111" t="str">
        <f ca="1">IFERROR(IF(0=LEN(ReferenceData!$AN$111),"",ReferenceData!$AN$111),"")</f>
        <v/>
      </c>
      <c r="AO111" t="str">
        <f ca="1">IFERROR(IF(0=LEN(ReferenceData!$AO$111),"",ReferenceData!$AO$111),"")</f>
        <v/>
      </c>
      <c r="AP111" t="str">
        <f ca="1">IFERROR(IF(0=LEN(ReferenceData!$AP$111),"",ReferenceData!$AP$111),"")</f>
        <v/>
      </c>
      <c r="AQ111" t="str">
        <f ca="1">IFERROR(IF(0=LEN(ReferenceData!$AQ$111),"",ReferenceData!$AQ$111),"")</f>
        <v/>
      </c>
      <c r="AR111" t="str">
        <f ca="1">IFERROR(IF(0=LEN(ReferenceData!$AR$111),"",ReferenceData!$AR$111),"")</f>
        <v/>
      </c>
      <c r="AS111" t="str">
        <f ca="1">IFERROR(IF(0=LEN(ReferenceData!$AS$111),"",ReferenceData!$AS$111),"")</f>
        <v/>
      </c>
      <c r="AT111" t="str">
        <f ca="1">IFERROR(IF(0=LEN(ReferenceData!$AT$111),"",ReferenceData!$AT$111),"")</f>
        <v/>
      </c>
      <c r="AU111" t="str">
        <f ca="1">IFERROR(IF(0=LEN(ReferenceData!$AU$111),"",ReferenceData!$AU$111),"")</f>
        <v/>
      </c>
      <c r="AV111" t="str">
        <f ca="1">IFERROR(IF(0=LEN(ReferenceData!$AV$111),"",ReferenceData!$AV$111),"")</f>
        <v/>
      </c>
      <c r="AW111" t="str">
        <f ca="1">IFERROR(IF(0=LEN(ReferenceData!$AW$111),"",ReferenceData!$AW$111),"")</f>
        <v/>
      </c>
      <c r="AX111" t="str">
        <f ca="1">IFERROR(IF(0=LEN(ReferenceData!$AX$111),"",ReferenceData!$AX$111),"")</f>
        <v/>
      </c>
      <c r="AY111" t="str">
        <f ca="1">IFERROR(IF(0=LEN(ReferenceData!$AY$111),"",ReferenceData!$AY$111),"")</f>
        <v/>
      </c>
      <c r="AZ111" t="str">
        <f ca="1">IFERROR(IF(0=LEN(ReferenceData!$AZ$111),"",ReferenceData!$AZ$111),"")</f>
        <v/>
      </c>
      <c r="BA111" t="str">
        <f ca="1">IFERROR(IF(0=LEN(ReferenceData!$BA$111),"",ReferenceData!$BA$111),"")</f>
        <v/>
      </c>
      <c r="BB111" t="str">
        <f ca="1">IFERROR(IF(0=LEN(ReferenceData!$BB$111),"",ReferenceData!$BB$111),"")</f>
        <v/>
      </c>
      <c r="BC111" t="str">
        <f ca="1">IFERROR(IF(0=LEN(ReferenceData!$BC$111),"",ReferenceData!$BC$111),"")</f>
        <v/>
      </c>
      <c r="BD111" t="str">
        <f ca="1">IFERROR(IF(0=LEN(ReferenceData!$BD$111),"",ReferenceData!$BD$111),"")</f>
        <v/>
      </c>
      <c r="BE111" t="str">
        <f ca="1">IFERROR(IF(0=LEN(ReferenceData!$BE$111),"",ReferenceData!$BE$111),"")</f>
        <v/>
      </c>
      <c r="BF111" t="str">
        <f ca="1">IFERROR(IF(0=LEN(ReferenceData!$BF$111),"",ReferenceData!$BF$111),"")</f>
        <v/>
      </c>
      <c r="BG111" t="str">
        <f ca="1">IFERROR(IF(0=LEN(ReferenceData!$BG$111),"",ReferenceData!$BG$111),"")</f>
        <v/>
      </c>
      <c r="BH111" t="str">
        <f ca="1">IFERROR(IF(0=LEN(ReferenceData!$BH$111),"",ReferenceData!$BH$111),"")</f>
        <v/>
      </c>
      <c r="BI111" t="str">
        <f ca="1">IFERROR(IF(0=LEN(ReferenceData!$BI$111),"",ReferenceData!$BI$111),"")</f>
        <v/>
      </c>
      <c r="BJ111" t="str">
        <f ca="1">IFERROR(IF(0=LEN(ReferenceData!$BJ$111),"",ReferenceData!$BJ$111),"")</f>
        <v/>
      </c>
      <c r="BK111" t="str">
        <f ca="1">IFERROR(IF(0=LEN(ReferenceData!$BK$111),"",ReferenceData!$BK$111),"")</f>
        <v/>
      </c>
      <c r="BL111" t="str">
        <f ca="1">IFERROR(IF(0=LEN(ReferenceData!$BL$111),"",ReferenceData!$BL$111),"")</f>
        <v/>
      </c>
      <c r="BM111" t="str">
        <f ca="1">IFERROR(IF(0=LEN(ReferenceData!$BM$111),"",ReferenceData!$BM$111),"")</f>
        <v/>
      </c>
    </row>
    <row r="112" spans="1:65" x14ac:dyDescent="0.25">
      <c r="A112" t="str">
        <f>IFERROR(IF(0=LEN(ReferenceData!$A$112),"",ReferenceData!$A$112),"")</f>
        <v xml:space="preserve">    Peugeot SA</v>
      </c>
      <c r="B112" t="str">
        <f>IFERROR(IF(0=LEN(ReferenceData!$B$112),"",ReferenceData!$B$112),"")</f>
        <v>UG FP Equity</v>
      </c>
      <c r="C112" t="str">
        <f>IFERROR(IF(0=LEN(ReferenceData!$C$112),"",ReferenceData!$C$112),"")</f>
        <v>EZ010</v>
      </c>
      <c r="D112" t="str">
        <f>IFERROR(IF(0=LEN(ReferenceData!$D$112),"",ReferenceData!$D$112),"")</f>
        <v>BEST_EST_PE_NXT_YR</v>
      </c>
      <c r="E112" t="str">
        <f>IFERROR(IF(0=LEN(ReferenceData!$E$112),"",ReferenceData!$E$112),"")</f>
        <v>Dynamic</v>
      </c>
      <c r="F112">
        <f ca="1">IFERROR(IF(0=LEN(ReferenceData!$F$112),"",ReferenceData!$F$112),"")</f>
        <v>5.7421173080000001</v>
      </c>
      <c r="G112">
        <f ca="1">IFERROR(IF(0=LEN(ReferenceData!$G$112),"",ReferenceData!$G$112),"")</f>
        <v>4.8290598290000002</v>
      </c>
      <c r="H112">
        <f ca="1">IFERROR(IF(0=LEN(ReferenceData!$H$112),"",ReferenceData!$H$112),"")</f>
        <v>5.7742977880000002</v>
      </c>
      <c r="I112">
        <f ca="1">IFERROR(IF(0=LEN(ReferenceData!$I$112),"",ReferenceData!$I$112),"")</f>
        <v>6.1490097449999999</v>
      </c>
      <c r="J112">
        <f ca="1">IFERROR(IF(0=LEN(ReferenceData!$J$112),"",ReferenceData!$J$112),"")</f>
        <v>6.4330371829999997</v>
      </c>
      <c r="K112">
        <f ca="1">IFERROR(IF(0=LEN(ReferenceData!$K$112),"",ReferenceData!$K$112),"")</f>
        <v>5.7338518770000002</v>
      </c>
      <c r="L112">
        <f ca="1">IFERROR(IF(0=LEN(ReferenceData!$L$112),"",ReferenceData!$L$112),"")</f>
        <v>6.948275862</v>
      </c>
      <c r="M112">
        <f ca="1">IFERROR(IF(0=LEN(ReferenceData!$M$112),"",ReferenceData!$M$112),"")</f>
        <v>6.9943932719999999</v>
      </c>
      <c r="N112">
        <f ca="1">IFERROR(IF(0=LEN(ReferenceData!$N$112),"",ReferenceData!$N$112),"")</f>
        <v>7.6821326819999998</v>
      </c>
      <c r="O112">
        <f ca="1">IFERROR(IF(0=LEN(ReferenceData!$O$112),"",ReferenceData!$O$112),"")</f>
        <v>5.3431034479999999</v>
      </c>
      <c r="P112">
        <f ca="1">IFERROR(IF(0=LEN(ReferenceData!$P$112),"",ReferenceData!$P$112),"")</f>
        <v>5.834763948</v>
      </c>
      <c r="Q112">
        <f ca="1">IFERROR(IF(0=LEN(ReferenceData!$Q$112),"",ReferenceData!$Q$112),"")</f>
        <v>4.224609375</v>
      </c>
      <c r="R112">
        <f ca="1">IFERROR(IF(0=LEN(ReferenceData!$R$112),"",ReferenceData!$R$112),"")</f>
        <v>3.502325581</v>
      </c>
      <c r="S112">
        <f ca="1">IFERROR(IF(0=LEN(ReferenceData!$S$112),"",ReferenceData!$S$112),"")</f>
        <v>3.768604651</v>
      </c>
      <c r="T112">
        <f ca="1">IFERROR(IF(0=LEN(ReferenceData!$T$112),"",ReferenceData!$T$112),"")</f>
        <v>3.1290697669999998</v>
      </c>
      <c r="U112">
        <f ca="1">IFERROR(IF(0=LEN(ReferenceData!$U$112),"",ReferenceData!$U$112),"")</f>
        <v>4.289534884</v>
      </c>
      <c r="V112">
        <f ca="1">IFERROR(IF(0=LEN(ReferenceData!$V$112),"",ReferenceData!$V$112),"")</f>
        <v>3.6255813950000002</v>
      </c>
      <c r="W112">
        <f ca="1">IFERROR(IF(0=LEN(ReferenceData!$W$112),"",ReferenceData!$W$112),"")</f>
        <v>2.3767441859999998</v>
      </c>
      <c r="X112">
        <f ca="1">IFERROR(IF(0=LEN(ReferenceData!$X$112),"",ReferenceData!$X$112),"")</f>
        <v>2.3616279069999999</v>
      </c>
      <c r="Y112">
        <f ca="1">IFERROR(IF(0=LEN(ReferenceData!$Y$112),"",ReferenceData!$Y$112),"")</f>
        <v>2.5104651160000002</v>
      </c>
      <c r="Z112">
        <f ca="1">IFERROR(IF(0=LEN(ReferenceData!$Z$112),"",ReferenceData!$Z$112),"")</f>
        <v>2.6343033170000001</v>
      </c>
      <c r="AA112">
        <f ca="1">IFERROR(IF(0=LEN(ReferenceData!$AA$112),"",ReferenceData!$AA$112),"")</f>
        <v>1.815447587</v>
      </c>
      <c r="AB112">
        <f ca="1">IFERROR(IF(0=LEN(ReferenceData!$AB$112),"",ReferenceData!$AB$112),"")</f>
        <v>2.3371146629999999</v>
      </c>
      <c r="AC112">
        <f ca="1">IFERROR(IF(0=LEN(ReferenceData!$AC$112),"",ReferenceData!$AC$112),"")</f>
        <v>1.2166461099999999</v>
      </c>
      <c r="AD112">
        <f ca="1">IFERROR(IF(0=LEN(ReferenceData!$AD$112),"",ReferenceData!$AD$112),"")</f>
        <v>1.0868064070000001</v>
      </c>
      <c r="AE112">
        <f ca="1">IFERROR(IF(0=LEN(ReferenceData!$AE$112),"",ReferenceData!$AE$112),"")</f>
        <v>1.052374841</v>
      </c>
      <c r="AF112">
        <f ca="1">IFERROR(IF(0=LEN(ReferenceData!$AF$112),"",ReferenceData!$AF$112),"")</f>
        <v>1.182983965</v>
      </c>
      <c r="AG112">
        <f ca="1">IFERROR(IF(0=LEN(ReferenceData!$AG$112),"",ReferenceData!$AG$112),"")</f>
        <v>1.4913292170000001</v>
      </c>
      <c r="AH112">
        <f ca="1">IFERROR(IF(0=LEN(ReferenceData!$AH$112),"",ReferenceData!$AH$112),"")</f>
        <v>2.322688029</v>
      </c>
      <c r="AI112" t="str">
        <f ca="1">IFERROR(IF(0=LEN(ReferenceData!$AI$112),"",ReferenceData!$AI$112),"")</f>
        <v/>
      </c>
      <c r="AJ112" t="str">
        <f ca="1">IFERROR(IF(0=LEN(ReferenceData!$AJ$112),"",ReferenceData!$AJ$112),"")</f>
        <v/>
      </c>
      <c r="AK112" t="str">
        <f ca="1">IFERROR(IF(0=LEN(ReferenceData!$AK$112),"",ReferenceData!$AK$112),"")</f>
        <v/>
      </c>
      <c r="AL112" t="str">
        <f ca="1">IFERROR(IF(0=LEN(ReferenceData!$AL$112),"",ReferenceData!$AL$112),"")</f>
        <v/>
      </c>
      <c r="AM112" t="str">
        <f ca="1">IFERROR(IF(0=LEN(ReferenceData!$AM$112),"",ReferenceData!$AM$112),"")</f>
        <v/>
      </c>
      <c r="AN112" t="str">
        <f ca="1">IFERROR(IF(0=LEN(ReferenceData!$AN$112),"",ReferenceData!$AN$112),"")</f>
        <v/>
      </c>
      <c r="AO112" t="str">
        <f ca="1">IFERROR(IF(0=LEN(ReferenceData!$AO$112),"",ReferenceData!$AO$112),"")</f>
        <v/>
      </c>
      <c r="AP112" t="str">
        <f ca="1">IFERROR(IF(0=LEN(ReferenceData!$AP$112),"",ReferenceData!$AP$112),"")</f>
        <v/>
      </c>
      <c r="AQ112" t="str">
        <f ca="1">IFERROR(IF(0=LEN(ReferenceData!$AQ$112),"",ReferenceData!$AQ$112),"")</f>
        <v/>
      </c>
      <c r="AR112" t="str">
        <f ca="1">IFERROR(IF(0=LEN(ReferenceData!$AR$112),"",ReferenceData!$AR$112),"")</f>
        <v/>
      </c>
      <c r="AS112" t="str">
        <f ca="1">IFERROR(IF(0=LEN(ReferenceData!$AS$112),"",ReferenceData!$AS$112),"")</f>
        <v/>
      </c>
      <c r="AT112" t="str">
        <f ca="1">IFERROR(IF(0=LEN(ReferenceData!$AT$112),"",ReferenceData!$AT$112),"")</f>
        <v/>
      </c>
      <c r="AU112" t="str">
        <f ca="1">IFERROR(IF(0=LEN(ReferenceData!$AU$112),"",ReferenceData!$AU$112),"")</f>
        <v/>
      </c>
      <c r="AV112" t="str">
        <f ca="1">IFERROR(IF(0=LEN(ReferenceData!$AV$112),"",ReferenceData!$AV$112),"")</f>
        <v/>
      </c>
      <c r="AW112" t="str">
        <f ca="1">IFERROR(IF(0=LEN(ReferenceData!$AW$112),"",ReferenceData!$AW$112),"")</f>
        <v/>
      </c>
      <c r="AX112" t="str">
        <f ca="1">IFERROR(IF(0=LEN(ReferenceData!$AX$112),"",ReferenceData!$AX$112),"")</f>
        <v/>
      </c>
      <c r="AY112" t="str">
        <f ca="1">IFERROR(IF(0=LEN(ReferenceData!$AY$112),"",ReferenceData!$AY$112),"")</f>
        <v/>
      </c>
      <c r="AZ112" t="str">
        <f ca="1">IFERROR(IF(0=LEN(ReferenceData!$AZ$112),"",ReferenceData!$AZ$112),"")</f>
        <v/>
      </c>
      <c r="BA112" t="str">
        <f ca="1">IFERROR(IF(0=LEN(ReferenceData!$BA$112),"",ReferenceData!$BA$112),"")</f>
        <v/>
      </c>
      <c r="BB112" t="str">
        <f ca="1">IFERROR(IF(0=LEN(ReferenceData!$BB$112),"",ReferenceData!$BB$112),"")</f>
        <v/>
      </c>
      <c r="BC112" t="str">
        <f ca="1">IFERROR(IF(0=LEN(ReferenceData!$BC$112),"",ReferenceData!$BC$112),"")</f>
        <v/>
      </c>
      <c r="BD112" t="str">
        <f ca="1">IFERROR(IF(0=LEN(ReferenceData!$BD$112),"",ReferenceData!$BD$112),"")</f>
        <v/>
      </c>
      <c r="BE112" t="str">
        <f ca="1">IFERROR(IF(0=LEN(ReferenceData!$BE$112),"",ReferenceData!$BE$112),"")</f>
        <v/>
      </c>
      <c r="BF112" t="str">
        <f ca="1">IFERROR(IF(0=LEN(ReferenceData!$BF$112),"",ReferenceData!$BF$112),"")</f>
        <v/>
      </c>
      <c r="BG112" t="str">
        <f ca="1">IFERROR(IF(0=LEN(ReferenceData!$BG$112),"",ReferenceData!$BG$112),"")</f>
        <v/>
      </c>
      <c r="BH112" t="str">
        <f ca="1">IFERROR(IF(0=LEN(ReferenceData!$BH$112),"",ReferenceData!$BH$112),"")</f>
        <v/>
      </c>
      <c r="BI112" t="str">
        <f ca="1">IFERROR(IF(0=LEN(ReferenceData!$BI$112),"",ReferenceData!$BI$112),"")</f>
        <v/>
      </c>
      <c r="BJ112" t="str">
        <f ca="1">IFERROR(IF(0=LEN(ReferenceData!$BJ$112),"",ReferenceData!$BJ$112),"")</f>
        <v/>
      </c>
      <c r="BK112" t="str">
        <f ca="1">IFERROR(IF(0=LEN(ReferenceData!$BK$112),"",ReferenceData!$BK$112),"")</f>
        <v/>
      </c>
      <c r="BL112" t="str">
        <f ca="1">IFERROR(IF(0=LEN(ReferenceData!$BL$112),"",ReferenceData!$BL$112),"")</f>
        <v/>
      </c>
      <c r="BM112" t="str">
        <f ca="1">IFERROR(IF(0=LEN(ReferenceData!$BM$112),"",ReferenceData!$BM$112),"")</f>
        <v/>
      </c>
    </row>
    <row r="113" spans="1:65" x14ac:dyDescent="0.25">
      <c r="A113" t="str">
        <f>IFERROR(IF(0=LEN(ReferenceData!$A$113),"",ReferenceData!$A$113),"")</f>
        <v xml:space="preserve">    Renault SA</v>
      </c>
      <c r="B113" t="str">
        <f>IFERROR(IF(0=LEN(ReferenceData!$B$113),"",ReferenceData!$B$113),"")</f>
        <v>RNO FP Equity</v>
      </c>
      <c r="C113" t="str">
        <f>IFERROR(IF(0=LEN(ReferenceData!$C$113),"",ReferenceData!$C$113),"")</f>
        <v>EZ010</v>
      </c>
      <c r="D113" t="str">
        <f>IFERROR(IF(0=LEN(ReferenceData!$D$113),"",ReferenceData!$D$113),"")</f>
        <v>BEST_EST_PE_NXT_YR</v>
      </c>
      <c r="E113" t="str">
        <f>IFERROR(IF(0=LEN(ReferenceData!$E$113),"",ReferenceData!$E$113),"")</f>
        <v>Dynamic</v>
      </c>
      <c r="F113">
        <f ca="1">IFERROR(IF(0=LEN(ReferenceData!$F$113),"",ReferenceData!$F$113),"")</f>
        <v>4.317644563</v>
      </c>
      <c r="G113">
        <f ca="1">IFERROR(IF(0=LEN(ReferenceData!$G$113),"",ReferenceData!$G$113),"")</f>
        <v>3.4825076610000001</v>
      </c>
      <c r="H113">
        <f ca="1">IFERROR(IF(0=LEN(ReferenceData!$H$113),"",ReferenceData!$H$113),"")</f>
        <v>4.5485072349999998</v>
      </c>
      <c r="I113">
        <f ca="1">IFERROR(IF(0=LEN(ReferenceData!$I$113),"",ReferenceData!$I$113),"")</f>
        <v>4.42654835</v>
      </c>
      <c r="J113">
        <f ca="1">IFERROR(IF(0=LEN(ReferenceData!$J$113),"",ReferenceData!$J$113),"")</f>
        <v>5.9628306799999997</v>
      </c>
      <c r="K113">
        <f ca="1">IFERROR(IF(0=LEN(ReferenceData!$K$113),"",ReferenceData!$K$113),"")</f>
        <v>5.3310038119999996</v>
      </c>
      <c r="L113">
        <f ca="1">IFERROR(IF(0=LEN(ReferenceData!$L$113),"",ReferenceData!$L$113),"")</f>
        <v>5.36712948</v>
      </c>
      <c r="M113">
        <f ca="1">IFERROR(IF(0=LEN(ReferenceData!$M$113),"",ReferenceData!$M$113),"")</f>
        <v>5.1909346960000002</v>
      </c>
      <c r="N113">
        <f ca="1">IFERROR(IF(0=LEN(ReferenceData!$N$113),"",ReferenceData!$N$113),"")</f>
        <v>5.1440303219999999</v>
      </c>
      <c r="O113">
        <f ca="1">IFERROR(IF(0=LEN(ReferenceData!$O$113),"",ReferenceData!$O$113),"")</f>
        <v>6.6308356220000002</v>
      </c>
      <c r="P113">
        <f ca="1">IFERROR(IF(0=LEN(ReferenceData!$P$113),"",ReferenceData!$P$113),"")</f>
        <v>5.8116805720000002</v>
      </c>
      <c r="Q113">
        <f ca="1">IFERROR(IF(0=LEN(ReferenceData!$Q$113),"",ReferenceData!$Q$113),"")</f>
        <v>5.2364192809999999</v>
      </c>
      <c r="R113" t="str">
        <f ca="1">IFERROR(IF(0=LEN(ReferenceData!$R$113),"",ReferenceData!$R$113),"")</f>
        <v/>
      </c>
      <c r="S113" t="str">
        <f ca="1">IFERROR(IF(0=LEN(ReferenceData!$S$113),"",ReferenceData!$S$113),"")</f>
        <v/>
      </c>
      <c r="T113" t="str">
        <f ca="1">IFERROR(IF(0=LEN(ReferenceData!$T$113),"",ReferenceData!$T$113),"")</f>
        <v/>
      </c>
      <c r="U113" t="str">
        <f ca="1">IFERROR(IF(0=LEN(ReferenceData!$U$113),"",ReferenceData!$U$113),"")</f>
        <v/>
      </c>
      <c r="V113" t="str">
        <f ca="1">IFERROR(IF(0=LEN(ReferenceData!$V$113),"",ReferenceData!$V$113),"")</f>
        <v/>
      </c>
      <c r="W113" t="str">
        <f ca="1">IFERROR(IF(0=LEN(ReferenceData!$W$113),"",ReferenceData!$W$113),"")</f>
        <v/>
      </c>
      <c r="X113" t="str">
        <f ca="1">IFERROR(IF(0=LEN(ReferenceData!$X$113),"",ReferenceData!$X$113),"")</f>
        <v/>
      </c>
      <c r="Y113" t="str">
        <f ca="1">IFERROR(IF(0=LEN(ReferenceData!$Y$113),"",ReferenceData!$Y$113),"")</f>
        <v/>
      </c>
      <c r="Z113" t="str">
        <f ca="1">IFERROR(IF(0=LEN(ReferenceData!$Z$113),"",ReferenceData!$Z$113),"")</f>
        <v/>
      </c>
      <c r="AA113" t="str">
        <f ca="1">IFERROR(IF(0=LEN(ReferenceData!$AA$113),"",ReferenceData!$AA$113),"")</f>
        <v/>
      </c>
      <c r="AB113" t="str">
        <f ca="1">IFERROR(IF(0=LEN(ReferenceData!$AB$113),"",ReferenceData!$AB$113),"")</f>
        <v/>
      </c>
      <c r="AC113" t="str">
        <f ca="1">IFERROR(IF(0=LEN(ReferenceData!$AC$113),"",ReferenceData!$AC$113),"")</f>
        <v/>
      </c>
      <c r="AD113" t="str">
        <f ca="1">IFERROR(IF(0=LEN(ReferenceData!$AD$113),"",ReferenceData!$AD$113),"")</f>
        <v/>
      </c>
      <c r="AE113" t="str">
        <f ca="1">IFERROR(IF(0=LEN(ReferenceData!$AE$113),"",ReferenceData!$AE$113),"")</f>
        <v/>
      </c>
      <c r="AF113" t="str">
        <f ca="1">IFERROR(IF(0=LEN(ReferenceData!$AF$113),"",ReferenceData!$AF$113),"")</f>
        <v/>
      </c>
      <c r="AG113" t="str">
        <f ca="1">IFERROR(IF(0=LEN(ReferenceData!$AG$113),"",ReferenceData!$AG$113),"")</f>
        <v/>
      </c>
      <c r="AH113" t="str">
        <f ca="1">IFERROR(IF(0=LEN(ReferenceData!$AH$113),"",ReferenceData!$AH$113),"")</f>
        <v/>
      </c>
      <c r="AI113" t="str">
        <f ca="1">IFERROR(IF(0=LEN(ReferenceData!$AI$113),"",ReferenceData!$AI$113),"")</f>
        <v/>
      </c>
      <c r="AJ113" t="str">
        <f ca="1">IFERROR(IF(0=LEN(ReferenceData!$AJ$113),"",ReferenceData!$AJ$113),"")</f>
        <v/>
      </c>
      <c r="AK113" t="str">
        <f ca="1">IFERROR(IF(0=LEN(ReferenceData!$AK$113),"",ReferenceData!$AK$113),"")</f>
        <v/>
      </c>
      <c r="AL113" t="str">
        <f ca="1">IFERROR(IF(0=LEN(ReferenceData!$AL$113),"",ReferenceData!$AL$113),"")</f>
        <v/>
      </c>
      <c r="AM113" t="str">
        <f ca="1">IFERROR(IF(0=LEN(ReferenceData!$AM$113),"",ReferenceData!$AM$113),"")</f>
        <v/>
      </c>
      <c r="AN113" t="str">
        <f ca="1">IFERROR(IF(0=LEN(ReferenceData!$AN$113),"",ReferenceData!$AN$113),"")</f>
        <v/>
      </c>
      <c r="AO113" t="str">
        <f ca="1">IFERROR(IF(0=LEN(ReferenceData!$AO$113),"",ReferenceData!$AO$113),"")</f>
        <v/>
      </c>
      <c r="AP113" t="str">
        <f ca="1">IFERROR(IF(0=LEN(ReferenceData!$AP$113),"",ReferenceData!$AP$113),"")</f>
        <v/>
      </c>
      <c r="AQ113" t="str">
        <f ca="1">IFERROR(IF(0=LEN(ReferenceData!$AQ$113),"",ReferenceData!$AQ$113),"")</f>
        <v/>
      </c>
      <c r="AR113" t="str">
        <f ca="1">IFERROR(IF(0=LEN(ReferenceData!$AR$113),"",ReferenceData!$AR$113),"")</f>
        <v/>
      </c>
      <c r="AS113" t="str">
        <f ca="1">IFERROR(IF(0=LEN(ReferenceData!$AS$113),"",ReferenceData!$AS$113),"")</f>
        <v/>
      </c>
      <c r="AT113" t="str">
        <f ca="1">IFERROR(IF(0=LEN(ReferenceData!$AT$113),"",ReferenceData!$AT$113),"")</f>
        <v/>
      </c>
      <c r="AU113" t="str">
        <f ca="1">IFERROR(IF(0=LEN(ReferenceData!$AU$113),"",ReferenceData!$AU$113),"")</f>
        <v/>
      </c>
      <c r="AV113" t="str">
        <f ca="1">IFERROR(IF(0=LEN(ReferenceData!$AV$113),"",ReferenceData!$AV$113),"")</f>
        <v/>
      </c>
      <c r="AW113" t="str">
        <f ca="1">IFERROR(IF(0=LEN(ReferenceData!$AW$113),"",ReferenceData!$AW$113),"")</f>
        <v/>
      </c>
      <c r="AX113" t="str">
        <f ca="1">IFERROR(IF(0=LEN(ReferenceData!$AX$113),"",ReferenceData!$AX$113),"")</f>
        <v/>
      </c>
      <c r="AY113" t="str">
        <f ca="1">IFERROR(IF(0=LEN(ReferenceData!$AY$113),"",ReferenceData!$AY$113),"")</f>
        <v/>
      </c>
      <c r="AZ113" t="str">
        <f ca="1">IFERROR(IF(0=LEN(ReferenceData!$AZ$113),"",ReferenceData!$AZ$113),"")</f>
        <v/>
      </c>
      <c r="BA113" t="str">
        <f ca="1">IFERROR(IF(0=LEN(ReferenceData!$BA$113),"",ReferenceData!$BA$113),"")</f>
        <v/>
      </c>
      <c r="BB113" t="str">
        <f ca="1">IFERROR(IF(0=LEN(ReferenceData!$BB$113),"",ReferenceData!$BB$113),"")</f>
        <v/>
      </c>
      <c r="BC113" t="str">
        <f ca="1">IFERROR(IF(0=LEN(ReferenceData!$BC$113),"",ReferenceData!$BC$113),"")</f>
        <v/>
      </c>
      <c r="BD113" t="str">
        <f ca="1">IFERROR(IF(0=LEN(ReferenceData!$BD$113),"",ReferenceData!$BD$113),"")</f>
        <v/>
      </c>
      <c r="BE113" t="str">
        <f ca="1">IFERROR(IF(0=LEN(ReferenceData!$BE$113),"",ReferenceData!$BE$113),"")</f>
        <v/>
      </c>
      <c r="BF113" t="str">
        <f ca="1">IFERROR(IF(0=LEN(ReferenceData!$BF$113),"",ReferenceData!$BF$113),"")</f>
        <v/>
      </c>
      <c r="BG113" t="str">
        <f ca="1">IFERROR(IF(0=LEN(ReferenceData!$BG$113),"",ReferenceData!$BG$113),"")</f>
        <v/>
      </c>
      <c r="BH113" t="str">
        <f ca="1">IFERROR(IF(0=LEN(ReferenceData!$BH$113),"",ReferenceData!$BH$113),"")</f>
        <v/>
      </c>
      <c r="BI113" t="str">
        <f ca="1">IFERROR(IF(0=LEN(ReferenceData!$BI$113),"",ReferenceData!$BI$113),"")</f>
        <v/>
      </c>
      <c r="BJ113" t="str">
        <f ca="1">IFERROR(IF(0=LEN(ReferenceData!$BJ$113),"",ReferenceData!$BJ$113),"")</f>
        <v/>
      </c>
      <c r="BK113" t="str">
        <f ca="1">IFERROR(IF(0=LEN(ReferenceData!$BK$113),"",ReferenceData!$BK$113),"")</f>
        <v/>
      </c>
      <c r="BL113" t="str">
        <f ca="1">IFERROR(IF(0=LEN(ReferenceData!$BL$113),"",ReferenceData!$BL$113),"")</f>
        <v/>
      </c>
      <c r="BM113" t="str">
        <f ca="1">IFERROR(IF(0=LEN(ReferenceData!$BM$113),"",ReferenceData!$BM$113),"")</f>
        <v/>
      </c>
    </row>
    <row r="114" spans="1:65" x14ac:dyDescent="0.25">
      <c r="A114" t="str">
        <f>IFERROR(IF(0=LEN(ReferenceData!$A$114),"",ReferenceData!$A$114),"")</f>
        <v xml:space="preserve">    SAIC Motor Corp Ltd</v>
      </c>
      <c r="B114" t="str">
        <f>IFERROR(IF(0=LEN(ReferenceData!$B$114),"",ReferenceData!$B$114),"")</f>
        <v>600104 CH Equity</v>
      </c>
      <c r="C114" t="str">
        <f>IFERROR(IF(0=LEN(ReferenceData!$C$114),"",ReferenceData!$C$114),"")</f>
        <v>EZ010</v>
      </c>
      <c r="D114" t="str">
        <f>IFERROR(IF(0=LEN(ReferenceData!$D$114),"",ReferenceData!$D$114),"")</f>
        <v>BEST_EST_PE_NXT_YR</v>
      </c>
      <c r="E114" t="str">
        <f>IFERROR(IF(0=LEN(ReferenceData!$E$114),"",ReferenceData!$E$114),"")</f>
        <v>Dynamic</v>
      </c>
      <c r="F114">
        <f ca="1">IFERROR(IF(0=LEN(ReferenceData!$F$114),"",ReferenceData!$F$114),"")</f>
        <v>8.5198555959999993</v>
      </c>
      <c r="G114">
        <f ca="1">IFERROR(IF(0=LEN(ReferenceData!$G$114),"",ReferenceData!$G$114),"")</f>
        <v>7.825704225</v>
      </c>
      <c r="H114">
        <f ca="1">IFERROR(IF(0=LEN(ReferenceData!$H$114),"",ReferenceData!$H$114),"")</f>
        <v>9.4277620399999993</v>
      </c>
      <c r="I114">
        <f ca="1">IFERROR(IF(0=LEN(ReferenceData!$I$114),"",ReferenceData!$I$114),"")</f>
        <v>9.9629840549999997</v>
      </c>
      <c r="J114">
        <f ca="1">IFERROR(IF(0=LEN(ReferenceData!$J$114),"",ReferenceData!$J$114),"")</f>
        <v>9.4603616129999999</v>
      </c>
      <c r="K114">
        <f ca="1">IFERROR(IF(0=LEN(ReferenceData!$K$114),"",ReferenceData!$K$114),"")</f>
        <v>8.7017925040000002</v>
      </c>
      <c r="L114">
        <f ca="1">IFERROR(IF(0=LEN(ReferenceData!$L$114),"",ReferenceData!$L$114),"")</f>
        <v>8.1616653150000005</v>
      </c>
      <c r="M114">
        <f ca="1">IFERROR(IF(0=LEN(ReferenceData!$M$114),"",ReferenceData!$M$114),"")</f>
        <v>8.3602584810000007</v>
      </c>
      <c r="N114">
        <f ca="1">IFERROR(IF(0=LEN(ReferenceData!$N$114),"",ReferenceData!$N$114),"")</f>
        <v>8.0828025480000001</v>
      </c>
      <c r="O114">
        <f ca="1">IFERROR(IF(0=LEN(ReferenceData!$O$114),"",ReferenceData!$O$114),"")</f>
        <v>7.4681528659999996</v>
      </c>
      <c r="P114" t="str">
        <f ca="1">IFERROR(IF(0=LEN(ReferenceData!$P$114),"",ReferenceData!$P$114),"")</f>
        <v/>
      </c>
      <c r="Q114" t="str">
        <f ca="1">IFERROR(IF(0=LEN(ReferenceData!$Q$114),"",ReferenceData!$Q$114),"")</f>
        <v/>
      </c>
      <c r="R114" t="str">
        <f ca="1">IFERROR(IF(0=LEN(ReferenceData!$R$114),"",ReferenceData!$R$114),"")</f>
        <v/>
      </c>
      <c r="S114" t="str">
        <f ca="1">IFERROR(IF(0=LEN(ReferenceData!$S$114),"",ReferenceData!$S$114),"")</f>
        <v/>
      </c>
      <c r="T114" t="str">
        <f ca="1">IFERROR(IF(0=LEN(ReferenceData!$T$114),"",ReferenceData!$T$114),"")</f>
        <v/>
      </c>
      <c r="U114" t="str">
        <f ca="1">IFERROR(IF(0=LEN(ReferenceData!$U$114),"",ReferenceData!$U$114),"")</f>
        <v/>
      </c>
      <c r="V114" t="str">
        <f ca="1">IFERROR(IF(0=LEN(ReferenceData!$V$114),"",ReferenceData!$V$114),"")</f>
        <v/>
      </c>
      <c r="W114" t="str">
        <f ca="1">IFERROR(IF(0=LEN(ReferenceData!$W$114),"",ReferenceData!$W$114),"")</f>
        <v/>
      </c>
      <c r="X114" t="str">
        <f ca="1">IFERROR(IF(0=LEN(ReferenceData!$X$114),"",ReferenceData!$X$114),"")</f>
        <v/>
      </c>
      <c r="Y114" t="str">
        <f ca="1">IFERROR(IF(0=LEN(ReferenceData!$Y$114),"",ReferenceData!$Y$114),"")</f>
        <v/>
      </c>
      <c r="Z114" t="str">
        <f ca="1">IFERROR(IF(0=LEN(ReferenceData!$Z$114),"",ReferenceData!$Z$114),"")</f>
        <v/>
      </c>
      <c r="AA114" t="str">
        <f ca="1">IFERROR(IF(0=LEN(ReferenceData!$AA$114),"",ReferenceData!$AA$114),"")</f>
        <v/>
      </c>
      <c r="AB114" t="str">
        <f ca="1">IFERROR(IF(0=LEN(ReferenceData!$AB$114),"",ReferenceData!$AB$114),"")</f>
        <v/>
      </c>
      <c r="AC114" t="str">
        <f ca="1">IFERROR(IF(0=LEN(ReferenceData!$AC$114),"",ReferenceData!$AC$114),"")</f>
        <v/>
      </c>
      <c r="AD114" t="str">
        <f ca="1">IFERROR(IF(0=LEN(ReferenceData!$AD$114),"",ReferenceData!$AD$114),"")</f>
        <v/>
      </c>
      <c r="AE114" t="str">
        <f ca="1">IFERROR(IF(0=LEN(ReferenceData!$AE$114),"",ReferenceData!$AE$114),"")</f>
        <v/>
      </c>
      <c r="AF114" t="str">
        <f ca="1">IFERROR(IF(0=LEN(ReferenceData!$AF$114),"",ReferenceData!$AF$114),"")</f>
        <v/>
      </c>
      <c r="AG114" t="str">
        <f ca="1">IFERROR(IF(0=LEN(ReferenceData!$AG$114),"",ReferenceData!$AG$114),"")</f>
        <v/>
      </c>
      <c r="AH114" t="str">
        <f ca="1">IFERROR(IF(0=LEN(ReferenceData!$AH$114),"",ReferenceData!$AH$114),"")</f>
        <v/>
      </c>
      <c r="AI114" t="str">
        <f ca="1">IFERROR(IF(0=LEN(ReferenceData!$AI$114),"",ReferenceData!$AI$114),"")</f>
        <v/>
      </c>
      <c r="AJ114" t="str">
        <f ca="1">IFERROR(IF(0=LEN(ReferenceData!$AJ$114),"",ReferenceData!$AJ$114),"")</f>
        <v/>
      </c>
      <c r="AK114" t="str">
        <f ca="1">IFERROR(IF(0=LEN(ReferenceData!$AK$114),"",ReferenceData!$AK$114),"")</f>
        <v/>
      </c>
      <c r="AL114" t="str">
        <f ca="1">IFERROR(IF(0=LEN(ReferenceData!$AL$114),"",ReferenceData!$AL$114),"")</f>
        <v/>
      </c>
      <c r="AM114" t="str">
        <f ca="1">IFERROR(IF(0=LEN(ReferenceData!$AM$114),"",ReferenceData!$AM$114),"")</f>
        <v/>
      </c>
      <c r="AN114" t="str">
        <f ca="1">IFERROR(IF(0=LEN(ReferenceData!$AN$114),"",ReferenceData!$AN$114),"")</f>
        <v/>
      </c>
      <c r="AO114" t="str">
        <f ca="1">IFERROR(IF(0=LEN(ReferenceData!$AO$114),"",ReferenceData!$AO$114),"")</f>
        <v/>
      </c>
      <c r="AP114" t="str">
        <f ca="1">IFERROR(IF(0=LEN(ReferenceData!$AP$114),"",ReferenceData!$AP$114),"")</f>
        <v/>
      </c>
      <c r="AQ114" t="str">
        <f ca="1">IFERROR(IF(0=LEN(ReferenceData!$AQ$114),"",ReferenceData!$AQ$114),"")</f>
        <v/>
      </c>
      <c r="AR114" t="str">
        <f ca="1">IFERROR(IF(0=LEN(ReferenceData!$AR$114),"",ReferenceData!$AR$114),"")</f>
        <v/>
      </c>
      <c r="AS114" t="str">
        <f ca="1">IFERROR(IF(0=LEN(ReferenceData!$AS$114),"",ReferenceData!$AS$114),"")</f>
        <v/>
      </c>
      <c r="AT114" t="str">
        <f ca="1">IFERROR(IF(0=LEN(ReferenceData!$AT$114),"",ReferenceData!$AT$114),"")</f>
        <v/>
      </c>
      <c r="AU114" t="str">
        <f ca="1">IFERROR(IF(0=LEN(ReferenceData!$AU$114),"",ReferenceData!$AU$114),"")</f>
        <v/>
      </c>
      <c r="AV114" t="str">
        <f ca="1">IFERROR(IF(0=LEN(ReferenceData!$AV$114),"",ReferenceData!$AV$114),"")</f>
        <v/>
      </c>
      <c r="AW114" t="str">
        <f ca="1">IFERROR(IF(0=LEN(ReferenceData!$AW$114),"",ReferenceData!$AW$114),"")</f>
        <v/>
      </c>
      <c r="AX114" t="str">
        <f ca="1">IFERROR(IF(0=LEN(ReferenceData!$AX$114),"",ReferenceData!$AX$114),"")</f>
        <v/>
      </c>
      <c r="AY114" t="str">
        <f ca="1">IFERROR(IF(0=LEN(ReferenceData!$AY$114),"",ReferenceData!$AY$114),"")</f>
        <v/>
      </c>
      <c r="AZ114" t="str">
        <f ca="1">IFERROR(IF(0=LEN(ReferenceData!$AZ$114),"",ReferenceData!$AZ$114),"")</f>
        <v/>
      </c>
      <c r="BA114" t="str">
        <f ca="1">IFERROR(IF(0=LEN(ReferenceData!$BA$114),"",ReferenceData!$BA$114),"")</f>
        <v/>
      </c>
      <c r="BB114" t="str">
        <f ca="1">IFERROR(IF(0=LEN(ReferenceData!$BB$114),"",ReferenceData!$BB$114),"")</f>
        <v/>
      </c>
      <c r="BC114" t="str">
        <f ca="1">IFERROR(IF(0=LEN(ReferenceData!$BC$114),"",ReferenceData!$BC$114),"")</f>
        <v/>
      </c>
      <c r="BD114" t="str">
        <f ca="1">IFERROR(IF(0=LEN(ReferenceData!$BD$114),"",ReferenceData!$BD$114),"")</f>
        <v/>
      </c>
      <c r="BE114" t="str">
        <f ca="1">IFERROR(IF(0=LEN(ReferenceData!$BE$114),"",ReferenceData!$BE$114),"")</f>
        <v/>
      </c>
      <c r="BF114" t="str">
        <f ca="1">IFERROR(IF(0=LEN(ReferenceData!$BF$114),"",ReferenceData!$BF$114),"")</f>
        <v/>
      </c>
      <c r="BG114" t="str">
        <f ca="1">IFERROR(IF(0=LEN(ReferenceData!$BG$114),"",ReferenceData!$BG$114),"")</f>
        <v/>
      </c>
      <c r="BH114" t="str">
        <f ca="1">IFERROR(IF(0=LEN(ReferenceData!$BH$114),"",ReferenceData!$BH$114),"")</f>
        <v/>
      </c>
      <c r="BI114" t="str">
        <f ca="1">IFERROR(IF(0=LEN(ReferenceData!$BI$114),"",ReferenceData!$BI$114),"")</f>
        <v/>
      </c>
      <c r="BJ114" t="str">
        <f ca="1">IFERROR(IF(0=LEN(ReferenceData!$BJ$114),"",ReferenceData!$BJ$114),"")</f>
        <v/>
      </c>
      <c r="BK114" t="str">
        <f ca="1">IFERROR(IF(0=LEN(ReferenceData!$BK$114),"",ReferenceData!$BK$114),"")</f>
        <v/>
      </c>
      <c r="BL114" t="str">
        <f ca="1">IFERROR(IF(0=LEN(ReferenceData!$BL$114),"",ReferenceData!$BL$114),"")</f>
        <v/>
      </c>
      <c r="BM114" t="str">
        <f ca="1">IFERROR(IF(0=LEN(ReferenceData!$BM$114),"",ReferenceData!$BM$114),"")</f>
        <v/>
      </c>
    </row>
    <row r="115" spans="1:65" x14ac:dyDescent="0.25">
      <c r="A115" t="str">
        <f>IFERROR(IF(0=LEN(ReferenceData!$A$115),"",ReferenceData!$A$115),"")</f>
        <v xml:space="preserve">    Sanyang Motor Co Ltd</v>
      </c>
      <c r="B115" t="str">
        <f>IFERROR(IF(0=LEN(ReferenceData!$B$115),"",ReferenceData!$B$115),"")</f>
        <v>2206 TT Equity</v>
      </c>
      <c r="C115" t="str">
        <f>IFERROR(IF(0=LEN(ReferenceData!$C$115),"",ReferenceData!$C$115),"")</f>
        <v>EZ010</v>
      </c>
      <c r="D115" t="str">
        <f>IFERROR(IF(0=LEN(ReferenceData!$D$115),"",ReferenceData!$D$115),"")</f>
        <v>BEST_EST_PE_NXT_YR</v>
      </c>
      <c r="E115" t="str">
        <f>IFERROR(IF(0=LEN(ReferenceData!$E$115),"",ReferenceData!$E$115),"")</f>
        <v>Dynamic</v>
      </c>
      <c r="F115">
        <f ca="1">IFERROR(IF(0=LEN(ReferenceData!$F$115),"",ReferenceData!$F$115),"")</f>
        <v>25.4375</v>
      </c>
      <c r="G115">
        <f ca="1">IFERROR(IF(0=LEN(ReferenceData!$G$115),"",ReferenceData!$G$115),"")</f>
        <v>25</v>
      </c>
      <c r="H115" t="str">
        <f ca="1">IFERROR(IF(0=LEN(ReferenceData!$H$115),"",ReferenceData!$H$115),"")</f>
        <v/>
      </c>
      <c r="I115" t="str">
        <f ca="1">IFERROR(IF(0=LEN(ReferenceData!$I$115),"",ReferenceData!$I$115),"")</f>
        <v/>
      </c>
      <c r="J115" t="str">
        <f ca="1">IFERROR(IF(0=LEN(ReferenceData!$J$115),"",ReferenceData!$J$115),"")</f>
        <v/>
      </c>
      <c r="K115" t="str">
        <f ca="1">IFERROR(IF(0=LEN(ReferenceData!$K$115),"",ReferenceData!$K$115),"")</f>
        <v/>
      </c>
      <c r="L115" t="str">
        <f ca="1">IFERROR(IF(0=LEN(ReferenceData!$L$115),"",ReferenceData!$L$115),"")</f>
        <v/>
      </c>
      <c r="M115" t="str">
        <f ca="1">IFERROR(IF(0=LEN(ReferenceData!$M$115),"",ReferenceData!$M$115),"")</f>
        <v/>
      </c>
      <c r="N115" t="str">
        <f ca="1">IFERROR(IF(0=LEN(ReferenceData!$N$115),"",ReferenceData!$N$115),"")</f>
        <v/>
      </c>
      <c r="O115" t="str">
        <f ca="1">IFERROR(IF(0=LEN(ReferenceData!$O$115),"",ReferenceData!$O$115),"")</f>
        <v/>
      </c>
      <c r="P115" t="str">
        <f ca="1">IFERROR(IF(0=LEN(ReferenceData!$P$115),"",ReferenceData!$P$115),"")</f>
        <v/>
      </c>
      <c r="Q115" t="str">
        <f ca="1">IFERROR(IF(0=LEN(ReferenceData!$Q$115),"",ReferenceData!$Q$115),"")</f>
        <v/>
      </c>
      <c r="R115" t="str">
        <f ca="1">IFERROR(IF(0=LEN(ReferenceData!$R$115),"",ReferenceData!$R$115),"")</f>
        <v/>
      </c>
      <c r="S115" t="str">
        <f ca="1">IFERROR(IF(0=LEN(ReferenceData!$S$115),"",ReferenceData!$S$115),"")</f>
        <v/>
      </c>
      <c r="T115" t="str">
        <f ca="1">IFERROR(IF(0=LEN(ReferenceData!$T$115),"",ReferenceData!$T$115),"")</f>
        <v/>
      </c>
      <c r="U115" t="str">
        <f ca="1">IFERROR(IF(0=LEN(ReferenceData!$U$115),"",ReferenceData!$U$115),"")</f>
        <v/>
      </c>
      <c r="V115" t="str">
        <f ca="1">IFERROR(IF(0=LEN(ReferenceData!$V$115),"",ReferenceData!$V$115),"")</f>
        <v/>
      </c>
      <c r="W115" t="str">
        <f ca="1">IFERROR(IF(0=LEN(ReferenceData!$W$115),"",ReferenceData!$W$115),"")</f>
        <v/>
      </c>
      <c r="X115" t="str">
        <f ca="1">IFERROR(IF(0=LEN(ReferenceData!$X$115),"",ReferenceData!$X$115),"")</f>
        <v/>
      </c>
      <c r="Y115" t="str">
        <f ca="1">IFERROR(IF(0=LEN(ReferenceData!$Y$115),"",ReferenceData!$Y$115),"")</f>
        <v/>
      </c>
      <c r="Z115" t="str">
        <f ca="1">IFERROR(IF(0=LEN(ReferenceData!$Z$115),"",ReferenceData!$Z$115),"")</f>
        <v/>
      </c>
      <c r="AA115" t="str">
        <f ca="1">IFERROR(IF(0=LEN(ReferenceData!$AA$115),"",ReferenceData!$AA$115),"")</f>
        <v/>
      </c>
      <c r="AB115" t="str">
        <f ca="1">IFERROR(IF(0=LEN(ReferenceData!$AB$115),"",ReferenceData!$AB$115),"")</f>
        <v/>
      </c>
      <c r="AC115" t="str">
        <f ca="1">IFERROR(IF(0=LEN(ReferenceData!$AC$115),"",ReferenceData!$AC$115),"")</f>
        <v/>
      </c>
      <c r="AD115" t="str">
        <f ca="1">IFERROR(IF(0=LEN(ReferenceData!$AD$115),"",ReferenceData!$AD$115),"")</f>
        <v/>
      </c>
      <c r="AE115" t="str">
        <f ca="1">IFERROR(IF(0=LEN(ReferenceData!$AE$115),"",ReferenceData!$AE$115),"")</f>
        <v/>
      </c>
      <c r="AF115" t="str">
        <f ca="1">IFERROR(IF(0=LEN(ReferenceData!$AF$115),"",ReferenceData!$AF$115),"")</f>
        <v/>
      </c>
      <c r="AG115" t="str">
        <f ca="1">IFERROR(IF(0=LEN(ReferenceData!$AG$115),"",ReferenceData!$AG$115),"")</f>
        <v/>
      </c>
      <c r="AH115" t="str">
        <f ca="1">IFERROR(IF(0=LEN(ReferenceData!$AH$115),"",ReferenceData!$AH$115),"")</f>
        <v/>
      </c>
      <c r="AI115" t="str">
        <f ca="1">IFERROR(IF(0=LEN(ReferenceData!$AI$115),"",ReferenceData!$AI$115),"")</f>
        <v/>
      </c>
      <c r="AJ115" t="str">
        <f ca="1">IFERROR(IF(0=LEN(ReferenceData!$AJ$115),"",ReferenceData!$AJ$115),"")</f>
        <v/>
      </c>
      <c r="AK115" t="str">
        <f ca="1">IFERROR(IF(0=LEN(ReferenceData!$AK$115),"",ReferenceData!$AK$115),"")</f>
        <v/>
      </c>
      <c r="AL115" t="str">
        <f ca="1">IFERROR(IF(0=LEN(ReferenceData!$AL$115),"",ReferenceData!$AL$115),"")</f>
        <v/>
      </c>
      <c r="AM115" t="str">
        <f ca="1">IFERROR(IF(0=LEN(ReferenceData!$AM$115),"",ReferenceData!$AM$115),"")</f>
        <v/>
      </c>
      <c r="AN115" t="str">
        <f ca="1">IFERROR(IF(0=LEN(ReferenceData!$AN$115),"",ReferenceData!$AN$115),"")</f>
        <v/>
      </c>
      <c r="AO115" t="str">
        <f ca="1">IFERROR(IF(0=LEN(ReferenceData!$AO$115),"",ReferenceData!$AO$115),"")</f>
        <v/>
      </c>
      <c r="AP115" t="str">
        <f ca="1">IFERROR(IF(0=LEN(ReferenceData!$AP$115),"",ReferenceData!$AP$115),"")</f>
        <v/>
      </c>
      <c r="AQ115" t="str">
        <f ca="1">IFERROR(IF(0=LEN(ReferenceData!$AQ$115),"",ReferenceData!$AQ$115),"")</f>
        <v/>
      </c>
      <c r="AR115" t="str">
        <f ca="1">IFERROR(IF(0=LEN(ReferenceData!$AR$115),"",ReferenceData!$AR$115),"")</f>
        <v/>
      </c>
      <c r="AS115" t="str">
        <f ca="1">IFERROR(IF(0=LEN(ReferenceData!$AS$115),"",ReferenceData!$AS$115),"")</f>
        <v/>
      </c>
      <c r="AT115" t="str">
        <f ca="1">IFERROR(IF(0=LEN(ReferenceData!$AT$115),"",ReferenceData!$AT$115),"")</f>
        <v/>
      </c>
      <c r="AU115" t="str">
        <f ca="1">IFERROR(IF(0=LEN(ReferenceData!$AU$115),"",ReferenceData!$AU$115),"")</f>
        <v/>
      </c>
      <c r="AV115" t="str">
        <f ca="1">IFERROR(IF(0=LEN(ReferenceData!$AV$115),"",ReferenceData!$AV$115),"")</f>
        <v/>
      </c>
      <c r="AW115" t="str">
        <f ca="1">IFERROR(IF(0=LEN(ReferenceData!$AW$115),"",ReferenceData!$AW$115),"")</f>
        <v/>
      </c>
      <c r="AX115" t="str">
        <f ca="1">IFERROR(IF(0=LEN(ReferenceData!$AX$115),"",ReferenceData!$AX$115),"")</f>
        <v/>
      </c>
      <c r="AY115" t="str">
        <f ca="1">IFERROR(IF(0=LEN(ReferenceData!$AY$115),"",ReferenceData!$AY$115),"")</f>
        <v/>
      </c>
      <c r="AZ115" t="str">
        <f ca="1">IFERROR(IF(0=LEN(ReferenceData!$AZ$115),"",ReferenceData!$AZ$115),"")</f>
        <v/>
      </c>
      <c r="BA115" t="str">
        <f ca="1">IFERROR(IF(0=LEN(ReferenceData!$BA$115),"",ReferenceData!$BA$115),"")</f>
        <v/>
      </c>
      <c r="BB115" t="str">
        <f ca="1">IFERROR(IF(0=LEN(ReferenceData!$BB$115),"",ReferenceData!$BB$115),"")</f>
        <v/>
      </c>
      <c r="BC115" t="str">
        <f ca="1">IFERROR(IF(0=LEN(ReferenceData!$BC$115),"",ReferenceData!$BC$115),"")</f>
        <v/>
      </c>
      <c r="BD115" t="str">
        <f ca="1">IFERROR(IF(0=LEN(ReferenceData!$BD$115),"",ReferenceData!$BD$115),"")</f>
        <v/>
      </c>
      <c r="BE115" t="str">
        <f ca="1">IFERROR(IF(0=LEN(ReferenceData!$BE$115),"",ReferenceData!$BE$115),"")</f>
        <v/>
      </c>
      <c r="BF115" t="str">
        <f ca="1">IFERROR(IF(0=LEN(ReferenceData!$BF$115),"",ReferenceData!$BF$115),"")</f>
        <v/>
      </c>
      <c r="BG115" t="str">
        <f ca="1">IFERROR(IF(0=LEN(ReferenceData!$BG$115),"",ReferenceData!$BG$115),"")</f>
        <v/>
      </c>
      <c r="BH115" t="str">
        <f ca="1">IFERROR(IF(0=LEN(ReferenceData!$BH$115),"",ReferenceData!$BH$115),"")</f>
        <v/>
      </c>
      <c r="BI115" t="str">
        <f ca="1">IFERROR(IF(0=LEN(ReferenceData!$BI$115),"",ReferenceData!$BI$115),"")</f>
        <v/>
      </c>
      <c r="BJ115" t="str">
        <f ca="1">IFERROR(IF(0=LEN(ReferenceData!$BJ$115),"",ReferenceData!$BJ$115),"")</f>
        <v/>
      </c>
      <c r="BK115" t="str">
        <f ca="1">IFERROR(IF(0=LEN(ReferenceData!$BK$115),"",ReferenceData!$BK$115),"")</f>
        <v/>
      </c>
      <c r="BL115" t="str">
        <f ca="1">IFERROR(IF(0=LEN(ReferenceData!$BL$115),"",ReferenceData!$BL$115),"")</f>
        <v/>
      </c>
      <c r="BM115" t="str">
        <f ca="1">IFERROR(IF(0=LEN(ReferenceData!$BM$115),"",ReferenceData!$BM$115),"")</f>
        <v/>
      </c>
    </row>
    <row r="116" spans="1:65" x14ac:dyDescent="0.25">
      <c r="A116" t="str">
        <f>IFERROR(IF(0=LEN(ReferenceData!$A$116),"",ReferenceData!$A$116),"")</f>
        <v xml:space="preserve">    Sollers PJSC</v>
      </c>
      <c r="B116" t="str">
        <f>IFERROR(IF(0=LEN(ReferenceData!$B$116),"",ReferenceData!$B$116),"")</f>
        <v>SVAV RM Equity</v>
      </c>
      <c r="C116" t="str">
        <f>IFERROR(IF(0=LEN(ReferenceData!$C$116),"",ReferenceData!$C$116),"")</f>
        <v>EZ010</v>
      </c>
      <c r="D116" t="str">
        <f>IFERROR(IF(0=LEN(ReferenceData!$D$116),"",ReferenceData!$D$116),"")</f>
        <v>BEST_EST_PE_NXT_YR</v>
      </c>
      <c r="E116" t="str">
        <f>IFERROR(IF(0=LEN(ReferenceData!$E$116),"",ReferenceData!$E$116),"")</f>
        <v>Dynamic</v>
      </c>
      <c r="F116">
        <f ca="1">IFERROR(IF(0=LEN(ReferenceData!$F$116),"",ReferenceData!$F$116),"")</f>
        <v>12.825877050000001</v>
      </c>
      <c r="G116">
        <f ca="1">IFERROR(IF(0=LEN(ReferenceData!$G$116),"",ReferenceData!$G$116),"")</f>
        <v>13.131638239999999</v>
      </c>
      <c r="H116">
        <f ca="1">IFERROR(IF(0=LEN(ReferenceData!$H$116),"",ReferenceData!$H$116),"")</f>
        <v>16.414547800000001</v>
      </c>
      <c r="I116">
        <f ca="1">IFERROR(IF(0=LEN(ReferenceData!$I$116),"",ReferenceData!$I$116),"")</f>
        <v>10.655399839999999</v>
      </c>
      <c r="J116">
        <f ca="1">IFERROR(IF(0=LEN(ReferenceData!$J$116),"",ReferenceData!$J$116),"")</f>
        <v>7.445967317</v>
      </c>
      <c r="K116">
        <f ca="1">IFERROR(IF(0=LEN(ReferenceData!$K$116),"",ReferenceData!$K$116),"")</f>
        <v>6.2543991959999996</v>
      </c>
      <c r="L116">
        <f ca="1">IFERROR(IF(0=LEN(ReferenceData!$L$116),"",ReferenceData!$L$116),"")</f>
        <v>5.6564659429999997</v>
      </c>
      <c r="M116">
        <f ca="1">IFERROR(IF(0=LEN(ReferenceData!$M$116),"",ReferenceData!$M$116),"")</f>
        <v>5.7946692989999997</v>
      </c>
      <c r="N116">
        <f ca="1">IFERROR(IF(0=LEN(ReferenceData!$N$116),"",ReferenceData!$N$116),"")</f>
        <v>5.3364055300000004</v>
      </c>
      <c r="O116">
        <f ca="1">IFERROR(IF(0=LEN(ReferenceData!$O$116),"",ReferenceData!$O$116),"")</f>
        <v>5.1343570060000001</v>
      </c>
      <c r="P116">
        <f ca="1">IFERROR(IF(0=LEN(ReferenceData!$P$116),"",ReferenceData!$P$116),"")</f>
        <v>5.6046065260000004</v>
      </c>
      <c r="Q116">
        <f ca="1">IFERROR(IF(0=LEN(ReferenceData!$Q$116),"",ReferenceData!$Q$116),"")</f>
        <v>2.5158328980000002</v>
      </c>
      <c r="R116">
        <f ca="1">IFERROR(IF(0=LEN(ReferenceData!$R$116),"",ReferenceData!$R$116),"")</f>
        <v>2.3938179069999999</v>
      </c>
      <c r="S116">
        <f ca="1">IFERROR(IF(0=LEN(ReferenceData!$S$116),"",ReferenceData!$S$116),"")</f>
        <v>2.335715531</v>
      </c>
      <c r="T116">
        <f ca="1">IFERROR(IF(0=LEN(ReferenceData!$T$116),"",ReferenceData!$T$116),"")</f>
        <v>2.5623147990000001</v>
      </c>
      <c r="U116">
        <f ca="1">IFERROR(IF(0=LEN(ReferenceData!$U$116),"",ReferenceData!$U$116),"")</f>
        <v>1.396885323</v>
      </c>
      <c r="V116">
        <f ca="1">IFERROR(IF(0=LEN(ReferenceData!$V$116),"",ReferenceData!$V$116),"")</f>
        <v>1.1389019979999999</v>
      </c>
      <c r="W116" t="str">
        <f ca="1">IFERROR(IF(0=LEN(ReferenceData!$W$116),"",ReferenceData!$W$116),"")</f>
        <v/>
      </c>
      <c r="X116" t="str">
        <f ca="1">IFERROR(IF(0=LEN(ReferenceData!$X$116),"",ReferenceData!$X$116),"")</f>
        <v/>
      </c>
      <c r="Y116" t="str">
        <f ca="1">IFERROR(IF(0=LEN(ReferenceData!$Y$116),"",ReferenceData!$Y$116),"")</f>
        <v/>
      </c>
      <c r="Z116" t="str">
        <f ca="1">IFERROR(IF(0=LEN(ReferenceData!$Z$116),"",ReferenceData!$Z$116),"")</f>
        <v/>
      </c>
      <c r="AA116" t="str">
        <f ca="1">IFERROR(IF(0=LEN(ReferenceData!$AA$116),"",ReferenceData!$AA$116),"")</f>
        <v/>
      </c>
      <c r="AB116" t="str">
        <f ca="1">IFERROR(IF(0=LEN(ReferenceData!$AB$116),"",ReferenceData!$AB$116),"")</f>
        <v/>
      </c>
      <c r="AC116" t="str">
        <f ca="1">IFERROR(IF(0=LEN(ReferenceData!$AC$116),"",ReferenceData!$AC$116),"")</f>
        <v/>
      </c>
      <c r="AD116" t="str">
        <f ca="1">IFERROR(IF(0=LEN(ReferenceData!$AD$116),"",ReferenceData!$AD$116),"")</f>
        <v/>
      </c>
      <c r="AE116" t="str">
        <f ca="1">IFERROR(IF(0=LEN(ReferenceData!$AE$116),"",ReferenceData!$AE$116),"")</f>
        <v/>
      </c>
      <c r="AF116" t="str">
        <f ca="1">IFERROR(IF(0=LEN(ReferenceData!$AF$116),"",ReferenceData!$AF$116),"")</f>
        <v/>
      </c>
      <c r="AG116" t="str">
        <f ca="1">IFERROR(IF(0=LEN(ReferenceData!$AG$116),"",ReferenceData!$AG$116),"")</f>
        <v/>
      </c>
      <c r="AH116" t="str">
        <f ca="1">IFERROR(IF(0=LEN(ReferenceData!$AH$116),"",ReferenceData!$AH$116),"")</f>
        <v/>
      </c>
      <c r="AI116" t="str">
        <f ca="1">IFERROR(IF(0=LEN(ReferenceData!$AI$116),"",ReferenceData!$AI$116),"")</f>
        <v/>
      </c>
      <c r="AJ116" t="str">
        <f ca="1">IFERROR(IF(0=LEN(ReferenceData!$AJ$116),"",ReferenceData!$AJ$116),"")</f>
        <v/>
      </c>
      <c r="AK116" t="str">
        <f ca="1">IFERROR(IF(0=LEN(ReferenceData!$AK$116),"",ReferenceData!$AK$116),"")</f>
        <v/>
      </c>
      <c r="AL116" t="str">
        <f ca="1">IFERROR(IF(0=LEN(ReferenceData!$AL$116),"",ReferenceData!$AL$116),"")</f>
        <v/>
      </c>
      <c r="AM116" t="str">
        <f ca="1">IFERROR(IF(0=LEN(ReferenceData!$AM$116),"",ReferenceData!$AM$116),"")</f>
        <v/>
      </c>
      <c r="AN116" t="str">
        <f ca="1">IFERROR(IF(0=LEN(ReferenceData!$AN$116),"",ReferenceData!$AN$116),"")</f>
        <v/>
      </c>
      <c r="AO116" t="str">
        <f ca="1">IFERROR(IF(0=LEN(ReferenceData!$AO$116),"",ReferenceData!$AO$116),"")</f>
        <v/>
      </c>
      <c r="AP116" t="str">
        <f ca="1">IFERROR(IF(0=LEN(ReferenceData!$AP$116),"",ReferenceData!$AP$116),"")</f>
        <v/>
      </c>
      <c r="AQ116" t="str">
        <f ca="1">IFERROR(IF(0=LEN(ReferenceData!$AQ$116),"",ReferenceData!$AQ$116),"")</f>
        <v/>
      </c>
      <c r="AR116" t="str">
        <f ca="1">IFERROR(IF(0=LEN(ReferenceData!$AR$116),"",ReferenceData!$AR$116),"")</f>
        <v/>
      </c>
      <c r="AS116" t="str">
        <f ca="1">IFERROR(IF(0=LEN(ReferenceData!$AS$116),"",ReferenceData!$AS$116),"")</f>
        <v/>
      </c>
      <c r="AT116" t="str">
        <f ca="1">IFERROR(IF(0=LEN(ReferenceData!$AT$116),"",ReferenceData!$AT$116),"")</f>
        <v/>
      </c>
      <c r="AU116" t="str">
        <f ca="1">IFERROR(IF(0=LEN(ReferenceData!$AU$116),"",ReferenceData!$AU$116),"")</f>
        <v/>
      </c>
      <c r="AV116" t="str">
        <f ca="1">IFERROR(IF(0=LEN(ReferenceData!$AV$116),"",ReferenceData!$AV$116),"")</f>
        <v/>
      </c>
      <c r="AW116" t="str">
        <f ca="1">IFERROR(IF(0=LEN(ReferenceData!$AW$116),"",ReferenceData!$AW$116),"")</f>
        <v/>
      </c>
      <c r="AX116" t="str">
        <f ca="1">IFERROR(IF(0=LEN(ReferenceData!$AX$116),"",ReferenceData!$AX$116),"")</f>
        <v/>
      </c>
      <c r="AY116" t="str">
        <f ca="1">IFERROR(IF(0=LEN(ReferenceData!$AY$116),"",ReferenceData!$AY$116),"")</f>
        <v/>
      </c>
      <c r="AZ116" t="str">
        <f ca="1">IFERROR(IF(0=LEN(ReferenceData!$AZ$116),"",ReferenceData!$AZ$116),"")</f>
        <v/>
      </c>
      <c r="BA116" t="str">
        <f ca="1">IFERROR(IF(0=LEN(ReferenceData!$BA$116),"",ReferenceData!$BA$116),"")</f>
        <v/>
      </c>
      <c r="BB116" t="str">
        <f ca="1">IFERROR(IF(0=LEN(ReferenceData!$BB$116),"",ReferenceData!$BB$116),"")</f>
        <v/>
      </c>
      <c r="BC116" t="str">
        <f ca="1">IFERROR(IF(0=LEN(ReferenceData!$BC$116),"",ReferenceData!$BC$116),"")</f>
        <v/>
      </c>
      <c r="BD116" t="str">
        <f ca="1">IFERROR(IF(0=LEN(ReferenceData!$BD$116),"",ReferenceData!$BD$116),"")</f>
        <v/>
      </c>
      <c r="BE116" t="str">
        <f ca="1">IFERROR(IF(0=LEN(ReferenceData!$BE$116),"",ReferenceData!$BE$116),"")</f>
        <v/>
      </c>
      <c r="BF116" t="str">
        <f ca="1">IFERROR(IF(0=LEN(ReferenceData!$BF$116),"",ReferenceData!$BF$116),"")</f>
        <v/>
      </c>
      <c r="BG116" t="str">
        <f ca="1">IFERROR(IF(0=LEN(ReferenceData!$BG$116),"",ReferenceData!$BG$116),"")</f>
        <v/>
      </c>
      <c r="BH116" t="str">
        <f ca="1">IFERROR(IF(0=LEN(ReferenceData!$BH$116),"",ReferenceData!$BH$116),"")</f>
        <v/>
      </c>
      <c r="BI116" t="str">
        <f ca="1">IFERROR(IF(0=LEN(ReferenceData!$BI$116),"",ReferenceData!$BI$116),"")</f>
        <v/>
      </c>
      <c r="BJ116" t="str">
        <f ca="1">IFERROR(IF(0=LEN(ReferenceData!$BJ$116),"",ReferenceData!$BJ$116),"")</f>
        <v/>
      </c>
      <c r="BK116" t="str">
        <f ca="1">IFERROR(IF(0=LEN(ReferenceData!$BK$116),"",ReferenceData!$BK$116),"")</f>
        <v/>
      </c>
      <c r="BL116" t="str">
        <f ca="1">IFERROR(IF(0=LEN(ReferenceData!$BL$116),"",ReferenceData!$BL$116),"")</f>
        <v/>
      </c>
      <c r="BM116" t="str">
        <f ca="1">IFERROR(IF(0=LEN(ReferenceData!$BM$116),"",ReferenceData!$BM$116),"")</f>
        <v/>
      </c>
    </row>
    <row r="117" spans="1:65" x14ac:dyDescent="0.25">
      <c r="A117" t="str">
        <f>IFERROR(IF(0=LEN(ReferenceData!$A$117),"",ReferenceData!$A$117),"")</f>
        <v xml:space="preserve">    Ssangyong Motor Co</v>
      </c>
      <c r="B117" t="str">
        <f>IFERROR(IF(0=LEN(ReferenceData!$B$117),"",ReferenceData!$B$117),"")</f>
        <v>003620 KS Equity</v>
      </c>
      <c r="C117" t="str">
        <f>IFERROR(IF(0=LEN(ReferenceData!$C$117),"",ReferenceData!$C$117),"")</f>
        <v>EZ010</v>
      </c>
      <c r="D117" t="str">
        <f>IFERROR(IF(0=LEN(ReferenceData!$D$117),"",ReferenceData!$D$117),"")</f>
        <v>BEST_EST_PE_NXT_YR</v>
      </c>
      <c r="E117" t="str">
        <f>IFERROR(IF(0=LEN(ReferenceData!$E$117),"",ReferenceData!$E$117),"")</f>
        <v>Dynamic</v>
      </c>
      <c r="F117">
        <f ca="1">IFERROR(IF(0=LEN(ReferenceData!$F$117),"",ReferenceData!$F$117),"")</f>
        <v>11.90140845</v>
      </c>
      <c r="G117" t="str">
        <f ca="1">IFERROR(IF(0=LEN(ReferenceData!$G$117),"",ReferenceData!$G$117),"")</f>
        <v/>
      </c>
      <c r="H117" t="str">
        <f ca="1">IFERROR(IF(0=LEN(ReferenceData!$H$117),"",ReferenceData!$H$117),"")</f>
        <v/>
      </c>
      <c r="I117">
        <f ca="1">IFERROR(IF(0=LEN(ReferenceData!$I$117),"",ReferenceData!$I$117),"")</f>
        <v>7.8153846150000001</v>
      </c>
      <c r="J117">
        <f ca="1">IFERROR(IF(0=LEN(ReferenceData!$J$117),"",ReferenceData!$J$117),"")</f>
        <v>7.6384615379999996</v>
      </c>
      <c r="K117">
        <f ca="1">IFERROR(IF(0=LEN(ReferenceData!$K$117),"",ReferenceData!$K$117),"")</f>
        <v>7.8769230769999998</v>
      </c>
      <c r="L117" t="str">
        <f ca="1">IFERROR(IF(0=LEN(ReferenceData!$L$117),"",ReferenceData!$L$117),"")</f>
        <v/>
      </c>
      <c r="M117" t="str">
        <f ca="1">IFERROR(IF(0=LEN(ReferenceData!$M$117),"",ReferenceData!$M$117),"")</f>
        <v/>
      </c>
      <c r="N117" t="str">
        <f ca="1">IFERROR(IF(0=LEN(ReferenceData!$N$117),"",ReferenceData!$N$117),"")</f>
        <v/>
      </c>
      <c r="O117" t="str">
        <f ca="1">IFERROR(IF(0=LEN(ReferenceData!$O$117),"",ReferenceData!$O$117),"")</f>
        <v/>
      </c>
      <c r="P117" t="str">
        <f ca="1">IFERROR(IF(0=LEN(ReferenceData!$P$117),"",ReferenceData!$P$117),"")</f>
        <v/>
      </c>
      <c r="Q117" t="str">
        <f ca="1">IFERROR(IF(0=LEN(ReferenceData!$Q$117),"",ReferenceData!$Q$117),"")</f>
        <v/>
      </c>
      <c r="R117" t="str">
        <f ca="1">IFERROR(IF(0=LEN(ReferenceData!$R$117),"",ReferenceData!$R$117),"")</f>
        <v/>
      </c>
      <c r="S117" t="str">
        <f ca="1">IFERROR(IF(0=LEN(ReferenceData!$S$117),"",ReferenceData!$S$117),"")</f>
        <v/>
      </c>
      <c r="T117" t="str">
        <f ca="1">IFERROR(IF(0=LEN(ReferenceData!$T$117),"",ReferenceData!$T$117),"")</f>
        <v/>
      </c>
      <c r="U117" t="str">
        <f ca="1">IFERROR(IF(0=LEN(ReferenceData!$U$117),"",ReferenceData!$U$117),"")</f>
        <v/>
      </c>
      <c r="V117" t="str">
        <f ca="1">IFERROR(IF(0=LEN(ReferenceData!$V$117),"",ReferenceData!$V$117),"")</f>
        <v/>
      </c>
      <c r="W117" t="str">
        <f ca="1">IFERROR(IF(0=LEN(ReferenceData!$W$117),"",ReferenceData!$W$117),"")</f>
        <v/>
      </c>
      <c r="X117" t="str">
        <f ca="1">IFERROR(IF(0=LEN(ReferenceData!$X$117),"",ReferenceData!$X$117),"")</f>
        <v/>
      </c>
      <c r="Y117" t="str">
        <f ca="1">IFERROR(IF(0=LEN(ReferenceData!$Y$117),"",ReferenceData!$Y$117),"")</f>
        <v/>
      </c>
      <c r="Z117" t="str">
        <f ca="1">IFERROR(IF(0=LEN(ReferenceData!$Z$117),"",ReferenceData!$Z$117),"")</f>
        <v/>
      </c>
      <c r="AA117" t="str">
        <f ca="1">IFERROR(IF(0=LEN(ReferenceData!$AA$117),"",ReferenceData!$AA$117),"")</f>
        <v/>
      </c>
      <c r="AB117" t="str">
        <f ca="1">IFERROR(IF(0=LEN(ReferenceData!$AB$117),"",ReferenceData!$AB$117),"")</f>
        <v/>
      </c>
      <c r="AC117" t="str">
        <f ca="1">IFERROR(IF(0=LEN(ReferenceData!$AC$117),"",ReferenceData!$AC$117),"")</f>
        <v/>
      </c>
      <c r="AD117" t="str">
        <f ca="1">IFERROR(IF(0=LEN(ReferenceData!$AD$117),"",ReferenceData!$AD$117),"")</f>
        <v/>
      </c>
      <c r="AE117" t="str">
        <f ca="1">IFERROR(IF(0=LEN(ReferenceData!$AE$117),"",ReferenceData!$AE$117),"")</f>
        <v/>
      </c>
      <c r="AF117" t="str">
        <f ca="1">IFERROR(IF(0=LEN(ReferenceData!$AF$117),"",ReferenceData!$AF$117),"")</f>
        <v/>
      </c>
      <c r="AG117" t="str">
        <f ca="1">IFERROR(IF(0=LEN(ReferenceData!$AG$117),"",ReferenceData!$AG$117),"")</f>
        <v/>
      </c>
      <c r="AH117" t="str">
        <f ca="1">IFERROR(IF(0=LEN(ReferenceData!$AH$117),"",ReferenceData!$AH$117),"")</f>
        <v/>
      </c>
      <c r="AI117" t="str">
        <f ca="1">IFERROR(IF(0=LEN(ReferenceData!$AI$117),"",ReferenceData!$AI$117),"")</f>
        <v/>
      </c>
      <c r="AJ117" t="str">
        <f ca="1">IFERROR(IF(0=LEN(ReferenceData!$AJ$117),"",ReferenceData!$AJ$117),"")</f>
        <v/>
      </c>
      <c r="AK117" t="str">
        <f ca="1">IFERROR(IF(0=LEN(ReferenceData!$AK$117),"",ReferenceData!$AK$117),"")</f>
        <v/>
      </c>
      <c r="AL117" t="str">
        <f ca="1">IFERROR(IF(0=LEN(ReferenceData!$AL$117),"",ReferenceData!$AL$117),"")</f>
        <v/>
      </c>
      <c r="AM117" t="str">
        <f ca="1">IFERROR(IF(0=LEN(ReferenceData!$AM$117),"",ReferenceData!$AM$117),"")</f>
        <v/>
      </c>
      <c r="AN117" t="str">
        <f ca="1">IFERROR(IF(0=LEN(ReferenceData!$AN$117),"",ReferenceData!$AN$117),"")</f>
        <v/>
      </c>
      <c r="AO117" t="str">
        <f ca="1">IFERROR(IF(0=LEN(ReferenceData!$AO$117),"",ReferenceData!$AO$117),"")</f>
        <v/>
      </c>
      <c r="AP117" t="str">
        <f ca="1">IFERROR(IF(0=LEN(ReferenceData!$AP$117),"",ReferenceData!$AP$117),"")</f>
        <v/>
      </c>
      <c r="AQ117" t="str">
        <f ca="1">IFERROR(IF(0=LEN(ReferenceData!$AQ$117),"",ReferenceData!$AQ$117),"")</f>
        <v/>
      </c>
      <c r="AR117" t="str">
        <f ca="1">IFERROR(IF(0=LEN(ReferenceData!$AR$117),"",ReferenceData!$AR$117),"")</f>
        <v/>
      </c>
      <c r="AS117" t="str">
        <f ca="1">IFERROR(IF(0=LEN(ReferenceData!$AS$117),"",ReferenceData!$AS$117),"")</f>
        <v/>
      </c>
      <c r="AT117" t="str">
        <f ca="1">IFERROR(IF(0=LEN(ReferenceData!$AT$117),"",ReferenceData!$AT$117),"")</f>
        <v/>
      </c>
      <c r="AU117" t="str">
        <f ca="1">IFERROR(IF(0=LEN(ReferenceData!$AU$117),"",ReferenceData!$AU$117),"")</f>
        <v/>
      </c>
      <c r="AV117" t="str">
        <f ca="1">IFERROR(IF(0=LEN(ReferenceData!$AV$117),"",ReferenceData!$AV$117),"")</f>
        <v/>
      </c>
      <c r="AW117" t="str">
        <f ca="1">IFERROR(IF(0=LEN(ReferenceData!$AW$117),"",ReferenceData!$AW$117),"")</f>
        <v/>
      </c>
      <c r="AX117" t="str">
        <f ca="1">IFERROR(IF(0=LEN(ReferenceData!$AX$117),"",ReferenceData!$AX$117),"")</f>
        <v/>
      </c>
      <c r="AY117" t="str">
        <f ca="1">IFERROR(IF(0=LEN(ReferenceData!$AY$117),"",ReferenceData!$AY$117),"")</f>
        <v/>
      </c>
      <c r="AZ117" t="str">
        <f ca="1">IFERROR(IF(0=LEN(ReferenceData!$AZ$117),"",ReferenceData!$AZ$117),"")</f>
        <v/>
      </c>
      <c r="BA117" t="str">
        <f ca="1">IFERROR(IF(0=LEN(ReferenceData!$BA$117),"",ReferenceData!$BA$117),"")</f>
        <v/>
      </c>
      <c r="BB117" t="str">
        <f ca="1">IFERROR(IF(0=LEN(ReferenceData!$BB$117),"",ReferenceData!$BB$117),"")</f>
        <v/>
      </c>
      <c r="BC117" t="str">
        <f ca="1">IFERROR(IF(0=LEN(ReferenceData!$BC$117),"",ReferenceData!$BC$117),"")</f>
        <v/>
      </c>
      <c r="BD117" t="str">
        <f ca="1">IFERROR(IF(0=LEN(ReferenceData!$BD$117),"",ReferenceData!$BD$117),"")</f>
        <v/>
      </c>
      <c r="BE117" t="str">
        <f ca="1">IFERROR(IF(0=LEN(ReferenceData!$BE$117),"",ReferenceData!$BE$117),"")</f>
        <v/>
      </c>
      <c r="BF117" t="str">
        <f ca="1">IFERROR(IF(0=LEN(ReferenceData!$BF$117),"",ReferenceData!$BF$117),"")</f>
        <v/>
      </c>
      <c r="BG117" t="str">
        <f ca="1">IFERROR(IF(0=LEN(ReferenceData!$BG$117),"",ReferenceData!$BG$117),"")</f>
        <v/>
      </c>
      <c r="BH117" t="str">
        <f ca="1">IFERROR(IF(0=LEN(ReferenceData!$BH$117),"",ReferenceData!$BH$117),"")</f>
        <v/>
      </c>
      <c r="BI117" t="str">
        <f ca="1">IFERROR(IF(0=LEN(ReferenceData!$BI$117),"",ReferenceData!$BI$117),"")</f>
        <v/>
      </c>
      <c r="BJ117" t="str">
        <f ca="1">IFERROR(IF(0=LEN(ReferenceData!$BJ$117),"",ReferenceData!$BJ$117),"")</f>
        <v/>
      </c>
      <c r="BK117" t="str">
        <f ca="1">IFERROR(IF(0=LEN(ReferenceData!$BK$117),"",ReferenceData!$BK$117),"")</f>
        <v/>
      </c>
      <c r="BL117" t="str">
        <f ca="1">IFERROR(IF(0=LEN(ReferenceData!$BL$117),"",ReferenceData!$BL$117),"")</f>
        <v/>
      </c>
      <c r="BM117" t="str">
        <f ca="1">IFERROR(IF(0=LEN(ReferenceData!$BM$117),"",ReferenceData!$BM$117),"")</f>
        <v/>
      </c>
    </row>
    <row r="118" spans="1:65" x14ac:dyDescent="0.25">
      <c r="A118" t="str">
        <f>IFERROR(IF(0=LEN(ReferenceData!$A$118),"",ReferenceData!$A$118),"")</f>
        <v xml:space="preserve">    Subaru Corp</v>
      </c>
      <c r="B118" t="str">
        <f>IFERROR(IF(0=LEN(ReferenceData!$B$118),"",ReferenceData!$B$118),"")</f>
        <v>7270 JP Equity</v>
      </c>
      <c r="C118" t="str">
        <f>IFERROR(IF(0=LEN(ReferenceData!$C$118),"",ReferenceData!$C$118),"")</f>
        <v>EZ010</v>
      </c>
      <c r="D118" t="str">
        <f>IFERROR(IF(0=LEN(ReferenceData!$D$118),"",ReferenceData!$D$118),"")</f>
        <v>BEST_EST_PE_NXT_YR</v>
      </c>
      <c r="E118" t="str">
        <f>IFERROR(IF(0=LEN(ReferenceData!$E$118),"",ReferenceData!$E$118),"")</f>
        <v>Dynamic</v>
      </c>
      <c r="F118">
        <f ca="1">IFERROR(IF(0=LEN(ReferenceData!$F$118),"",ReferenceData!$F$118),"")</f>
        <v>8.8573084939999998</v>
      </c>
      <c r="G118">
        <f ca="1">IFERROR(IF(0=LEN(ReferenceData!$G$118),"",ReferenceData!$G$118),"")</f>
        <v>6.9601120700000001</v>
      </c>
      <c r="H118">
        <f ca="1">IFERROR(IF(0=LEN(ReferenceData!$H$118),"",ReferenceData!$H$118),"")</f>
        <v>9.0410510479999999</v>
      </c>
      <c r="I118">
        <f ca="1">IFERROR(IF(0=LEN(ReferenceData!$I$118),"",ReferenceData!$I$118),"")</f>
        <v>8.3864038839999999</v>
      </c>
      <c r="J118">
        <f ca="1">IFERROR(IF(0=LEN(ReferenceData!$J$118),"",ReferenceData!$J$118),"")</f>
        <v>8.4805120899999995</v>
      </c>
      <c r="K118">
        <f ca="1">IFERROR(IF(0=LEN(ReferenceData!$K$118),"",ReferenceData!$K$118),"")</f>
        <v>8.2593191079999997</v>
      </c>
      <c r="L118">
        <f ca="1">IFERROR(IF(0=LEN(ReferenceData!$L$118),"",ReferenceData!$L$118),"")</f>
        <v>8.4141066850000001</v>
      </c>
      <c r="M118">
        <f ca="1">IFERROR(IF(0=LEN(ReferenceData!$M$118),"",ReferenceData!$M$118),"")</f>
        <v>7.9518770710000002</v>
      </c>
      <c r="N118">
        <f ca="1">IFERROR(IF(0=LEN(ReferenceData!$N$118),"",ReferenceData!$N$118),"")</f>
        <v>6.113648274</v>
      </c>
      <c r="O118">
        <f ca="1">IFERROR(IF(0=LEN(ReferenceData!$O$118),"",ReferenceData!$O$118),"")</f>
        <v>8.415483643</v>
      </c>
      <c r="P118">
        <f ca="1">IFERROR(IF(0=LEN(ReferenceData!$P$118),"",ReferenceData!$P$118),"")</f>
        <v>7.2100614439999999</v>
      </c>
      <c r="Q118">
        <f ca="1">IFERROR(IF(0=LEN(ReferenceData!$Q$118),"",ReferenceData!$Q$118),"")</f>
        <v>6.4146071559999998</v>
      </c>
      <c r="R118">
        <f ca="1">IFERROR(IF(0=LEN(ReferenceData!$R$118),"",ReferenceData!$R$118),"")</f>
        <v>7.1013845470000003</v>
      </c>
      <c r="S118">
        <f ca="1">IFERROR(IF(0=LEN(ReferenceData!$S$118),"",ReferenceData!$S$118),"")</f>
        <v>8.2721737700000002</v>
      </c>
      <c r="T118">
        <f ca="1">IFERROR(IF(0=LEN(ReferenceData!$T$118),"",ReferenceData!$T$118),"")</f>
        <v>7.1264559070000004</v>
      </c>
      <c r="U118">
        <f ca="1">IFERROR(IF(0=LEN(ReferenceData!$U$118),"",ReferenceData!$U$118),"")</f>
        <v>7.5170918789999996</v>
      </c>
      <c r="V118" t="str">
        <f ca="1">IFERROR(IF(0=LEN(ReferenceData!$V$118),"",ReferenceData!$V$118),"")</f>
        <v/>
      </c>
      <c r="W118" t="str">
        <f ca="1">IFERROR(IF(0=LEN(ReferenceData!$W$118),"",ReferenceData!$W$118),"")</f>
        <v/>
      </c>
      <c r="X118" t="str">
        <f ca="1">IFERROR(IF(0=LEN(ReferenceData!$X$118),"",ReferenceData!$X$118),"")</f>
        <v/>
      </c>
      <c r="Y118" t="str">
        <f ca="1">IFERROR(IF(0=LEN(ReferenceData!$Y$118),"",ReferenceData!$Y$118),"")</f>
        <v/>
      </c>
      <c r="Z118" t="str">
        <f ca="1">IFERROR(IF(0=LEN(ReferenceData!$Z$118),"",ReferenceData!$Z$118),"")</f>
        <v/>
      </c>
      <c r="AA118" t="str">
        <f ca="1">IFERROR(IF(0=LEN(ReferenceData!$AA$118),"",ReferenceData!$AA$118),"")</f>
        <v/>
      </c>
      <c r="AB118" t="str">
        <f ca="1">IFERROR(IF(0=LEN(ReferenceData!$AB$118),"",ReferenceData!$AB$118),"")</f>
        <v/>
      </c>
      <c r="AC118" t="str">
        <f ca="1">IFERROR(IF(0=LEN(ReferenceData!$AC$118),"",ReferenceData!$AC$118),"")</f>
        <v/>
      </c>
      <c r="AD118" t="str">
        <f ca="1">IFERROR(IF(0=LEN(ReferenceData!$AD$118),"",ReferenceData!$AD$118),"")</f>
        <v/>
      </c>
      <c r="AE118" t="str">
        <f ca="1">IFERROR(IF(0=LEN(ReferenceData!$AE$118),"",ReferenceData!$AE$118),"")</f>
        <v/>
      </c>
      <c r="AF118" t="str">
        <f ca="1">IFERROR(IF(0=LEN(ReferenceData!$AF$118),"",ReferenceData!$AF$118),"")</f>
        <v/>
      </c>
      <c r="AG118" t="str">
        <f ca="1">IFERROR(IF(0=LEN(ReferenceData!$AG$118),"",ReferenceData!$AG$118),"")</f>
        <v/>
      </c>
      <c r="AH118" t="str">
        <f ca="1">IFERROR(IF(0=LEN(ReferenceData!$AH$118),"",ReferenceData!$AH$118),"")</f>
        <v/>
      </c>
      <c r="AI118" t="str">
        <f ca="1">IFERROR(IF(0=LEN(ReferenceData!$AI$118),"",ReferenceData!$AI$118),"")</f>
        <v/>
      </c>
      <c r="AJ118" t="str">
        <f ca="1">IFERROR(IF(0=LEN(ReferenceData!$AJ$118),"",ReferenceData!$AJ$118),"")</f>
        <v/>
      </c>
      <c r="AK118" t="str">
        <f ca="1">IFERROR(IF(0=LEN(ReferenceData!$AK$118),"",ReferenceData!$AK$118),"")</f>
        <v/>
      </c>
      <c r="AL118" t="str">
        <f ca="1">IFERROR(IF(0=LEN(ReferenceData!$AL$118),"",ReferenceData!$AL$118),"")</f>
        <v/>
      </c>
      <c r="AM118" t="str">
        <f ca="1">IFERROR(IF(0=LEN(ReferenceData!$AM$118),"",ReferenceData!$AM$118),"")</f>
        <v/>
      </c>
      <c r="AN118" t="str">
        <f ca="1">IFERROR(IF(0=LEN(ReferenceData!$AN$118),"",ReferenceData!$AN$118),"")</f>
        <v/>
      </c>
      <c r="AO118" t="str">
        <f ca="1">IFERROR(IF(0=LEN(ReferenceData!$AO$118),"",ReferenceData!$AO$118),"")</f>
        <v/>
      </c>
      <c r="AP118" t="str">
        <f ca="1">IFERROR(IF(0=LEN(ReferenceData!$AP$118),"",ReferenceData!$AP$118),"")</f>
        <v/>
      </c>
      <c r="AQ118" t="str">
        <f ca="1">IFERROR(IF(0=LEN(ReferenceData!$AQ$118),"",ReferenceData!$AQ$118),"")</f>
        <v/>
      </c>
      <c r="AR118" t="str">
        <f ca="1">IFERROR(IF(0=LEN(ReferenceData!$AR$118),"",ReferenceData!$AR$118),"")</f>
        <v/>
      </c>
      <c r="AS118" t="str">
        <f ca="1">IFERROR(IF(0=LEN(ReferenceData!$AS$118),"",ReferenceData!$AS$118),"")</f>
        <v/>
      </c>
      <c r="AT118" t="str">
        <f ca="1">IFERROR(IF(0=LEN(ReferenceData!$AT$118),"",ReferenceData!$AT$118),"")</f>
        <v/>
      </c>
      <c r="AU118" t="str">
        <f ca="1">IFERROR(IF(0=LEN(ReferenceData!$AU$118),"",ReferenceData!$AU$118),"")</f>
        <v/>
      </c>
      <c r="AV118" t="str">
        <f ca="1">IFERROR(IF(0=LEN(ReferenceData!$AV$118),"",ReferenceData!$AV$118),"")</f>
        <v/>
      </c>
      <c r="AW118" t="str">
        <f ca="1">IFERROR(IF(0=LEN(ReferenceData!$AW$118),"",ReferenceData!$AW$118),"")</f>
        <v/>
      </c>
      <c r="AX118" t="str">
        <f ca="1">IFERROR(IF(0=LEN(ReferenceData!$AX$118),"",ReferenceData!$AX$118),"")</f>
        <v/>
      </c>
      <c r="AY118" t="str">
        <f ca="1">IFERROR(IF(0=LEN(ReferenceData!$AY$118),"",ReferenceData!$AY$118),"")</f>
        <v/>
      </c>
      <c r="AZ118" t="str">
        <f ca="1">IFERROR(IF(0=LEN(ReferenceData!$AZ$118),"",ReferenceData!$AZ$118),"")</f>
        <v/>
      </c>
      <c r="BA118" t="str">
        <f ca="1">IFERROR(IF(0=LEN(ReferenceData!$BA$118),"",ReferenceData!$BA$118),"")</f>
        <v/>
      </c>
      <c r="BB118" t="str">
        <f ca="1">IFERROR(IF(0=LEN(ReferenceData!$BB$118),"",ReferenceData!$BB$118),"")</f>
        <v/>
      </c>
      <c r="BC118" t="str">
        <f ca="1">IFERROR(IF(0=LEN(ReferenceData!$BC$118),"",ReferenceData!$BC$118),"")</f>
        <v/>
      </c>
      <c r="BD118" t="str">
        <f ca="1">IFERROR(IF(0=LEN(ReferenceData!$BD$118),"",ReferenceData!$BD$118),"")</f>
        <v/>
      </c>
      <c r="BE118" t="str">
        <f ca="1">IFERROR(IF(0=LEN(ReferenceData!$BE$118),"",ReferenceData!$BE$118),"")</f>
        <v/>
      </c>
      <c r="BF118" t="str">
        <f ca="1">IFERROR(IF(0=LEN(ReferenceData!$BF$118),"",ReferenceData!$BF$118),"")</f>
        <v/>
      </c>
      <c r="BG118" t="str">
        <f ca="1">IFERROR(IF(0=LEN(ReferenceData!$BG$118),"",ReferenceData!$BG$118),"")</f>
        <v/>
      </c>
      <c r="BH118" t="str">
        <f ca="1">IFERROR(IF(0=LEN(ReferenceData!$BH$118),"",ReferenceData!$BH$118),"")</f>
        <v/>
      </c>
      <c r="BI118" t="str">
        <f ca="1">IFERROR(IF(0=LEN(ReferenceData!$BI$118),"",ReferenceData!$BI$118),"")</f>
        <v/>
      </c>
      <c r="BJ118" t="str">
        <f ca="1">IFERROR(IF(0=LEN(ReferenceData!$BJ$118),"",ReferenceData!$BJ$118),"")</f>
        <v/>
      </c>
      <c r="BK118" t="str">
        <f ca="1">IFERROR(IF(0=LEN(ReferenceData!$BK$118),"",ReferenceData!$BK$118),"")</f>
        <v/>
      </c>
      <c r="BL118" t="str">
        <f ca="1">IFERROR(IF(0=LEN(ReferenceData!$BL$118),"",ReferenceData!$BL$118),"")</f>
        <v/>
      </c>
      <c r="BM118" t="str">
        <f ca="1">IFERROR(IF(0=LEN(ReferenceData!$BM$118),"",ReferenceData!$BM$118),"")</f>
        <v/>
      </c>
    </row>
    <row r="119" spans="1:65" x14ac:dyDescent="0.25">
      <c r="A119" t="str">
        <f>IFERROR(IF(0=LEN(ReferenceData!$A$119),"",ReferenceData!$A$119),"")</f>
        <v xml:space="preserve">    Suzuki Motor Corp</v>
      </c>
      <c r="B119" t="str">
        <f>IFERROR(IF(0=LEN(ReferenceData!$B$119),"",ReferenceData!$B$119),"")</f>
        <v>7269 JP Equity</v>
      </c>
      <c r="C119" t="str">
        <f>IFERROR(IF(0=LEN(ReferenceData!$C$119),"",ReferenceData!$C$119),"")</f>
        <v>EZ010</v>
      </c>
      <c r="D119" t="str">
        <f>IFERROR(IF(0=LEN(ReferenceData!$D$119),"",ReferenceData!$D$119),"")</f>
        <v>BEST_EST_PE_NXT_YR</v>
      </c>
      <c r="E119" t="str">
        <f>IFERROR(IF(0=LEN(ReferenceData!$E$119),"",ReferenceData!$E$119),"")</f>
        <v>Dynamic</v>
      </c>
      <c r="F119">
        <f ca="1">IFERROR(IF(0=LEN(ReferenceData!$F$119),"",ReferenceData!$F$119),"")</f>
        <v>10.58117586</v>
      </c>
      <c r="G119">
        <f ca="1">IFERROR(IF(0=LEN(ReferenceData!$G$119),"",ReferenceData!$G$119),"")</f>
        <v>10.096430249999999</v>
      </c>
      <c r="H119">
        <f ca="1">IFERROR(IF(0=LEN(ReferenceData!$H$119),"",ReferenceData!$H$119),"")</f>
        <v>10.915543749999999</v>
      </c>
      <c r="I119">
        <f ca="1">IFERROR(IF(0=LEN(ReferenceData!$I$119),"",ReferenceData!$I$119),"")</f>
        <v>11.0756085</v>
      </c>
      <c r="J119">
        <f ca="1">IFERROR(IF(0=LEN(ReferenceData!$J$119),"",ReferenceData!$J$119),"")</f>
        <v>10.86744186</v>
      </c>
      <c r="K119">
        <f ca="1">IFERROR(IF(0=LEN(ReferenceData!$K$119),"",ReferenceData!$K$119),"")</f>
        <v>12.57885851</v>
      </c>
      <c r="L119">
        <f ca="1">IFERROR(IF(0=LEN(ReferenceData!$L$119),"",ReferenceData!$L$119),"")</f>
        <v>11.854262070000001</v>
      </c>
      <c r="M119">
        <f ca="1">IFERROR(IF(0=LEN(ReferenceData!$M$119),"",ReferenceData!$M$119),"")</f>
        <v>11.86120829</v>
      </c>
      <c r="N119">
        <f ca="1">IFERROR(IF(0=LEN(ReferenceData!$N$119),"",ReferenceData!$N$119),"")</f>
        <v>11.81876529</v>
      </c>
      <c r="O119">
        <f ca="1">IFERROR(IF(0=LEN(ReferenceData!$O$119),"",ReferenceData!$O$119),"")</f>
        <v>10.47392339</v>
      </c>
      <c r="P119">
        <f ca="1">IFERROR(IF(0=LEN(ReferenceData!$P$119),"",ReferenceData!$P$119),"")</f>
        <v>11.889386249999999</v>
      </c>
      <c r="Q119">
        <f ca="1">IFERROR(IF(0=LEN(ReferenceData!$Q$119),"",ReferenceData!$Q$119),"")</f>
        <v>10.014293139999999</v>
      </c>
      <c r="R119">
        <f ca="1">IFERROR(IF(0=LEN(ReferenceData!$R$119),"",ReferenceData!$R$119),"")</f>
        <v>11.3046743</v>
      </c>
      <c r="S119">
        <f ca="1">IFERROR(IF(0=LEN(ReferenceData!$S$119),"",ReferenceData!$S$119),"")</f>
        <v>10.08442266</v>
      </c>
      <c r="T119">
        <f ca="1">IFERROR(IF(0=LEN(ReferenceData!$T$119),"",ReferenceData!$T$119),"")</f>
        <v>11.874189360000001</v>
      </c>
      <c r="U119">
        <f ca="1">IFERROR(IF(0=LEN(ReferenceData!$U$119),"",ReferenceData!$U$119),"")</f>
        <v>14.678736239999999</v>
      </c>
      <c r="V119" t="str">
        <f ca="1">IFERROR(IF(0=LEN(ReferenceData!$V$119),"",ReferenceData!$V$119),"")</f>
        <v/>
      </c>
      <c r="W119" t="str">
        <f ca="1">IFERROR(IF(0=LEN(ReferenceData!$W$119),"",ReferenceData!$W$119),"")</f>
        <v/>
      </c>
      <c r="X119" t="str">
        <f ca="1">IFERROR(IF(0=LEN(ReferenceData!$X$119),"",ReferenceData!$X$119),"")</f>
        <v/>
      </c>
      <c r="Y119" t="str">
        <f ca="1">IFERROR(IF(0=LEN(ReferenceData!$Y$119),"",ReferenceData!$Y$119),"")</f>
        <v/>
      </c>
      <c r="Z119" t="str">
        <f ca="1">IFERROR(IF(0=LEN(ReferenceData!$Z$119),"",ReferenceData!$Z$119),"")</f>
        <v/>
      </c>
      <c r="AA119" t="str">
        <f ca="1">IFERROR(IF(0=LEN(ReferenceData!$AA$119),"",ReferenceData!$AA$119),"")</f>
        <v/>
      </c>
      <c r="AB119" t="str">
        <f ca="1">IFERROR(IF(0=LEN(ReferenceData!$AB$119),"",ReferenceData!$AB$119),"")</f>
        <v/>
      </c>
      <c r="AC119" t="str">
        <f ca="1">IFERROR(IF(0=LEN(ReferenceData!$AC$119),"",ReferenceData!$AC$119),"")</f>
        <v/>
      </c>
      <c r="AD119" t="str">
        <f ca="1">IFERROR(IF(0=LEN(ReferenceData!$AD$119),"",ReferenceData!$AD$119),"")</f>
        <v/>
      </c>
      <c r="AE119" t="str">
        <f ca="1">IFERROR(IF(0=LEN(ReferenceData!$AE$119),"",ReferenceData!$AE$119),"")</f>
        <v/>
      </c>
      <c r="AF119" t="str">
        <f ca="1">IFERROR(IF(0=LEN(ReferenceData!$AF$119),"",ReferenceData!$AF$119),"")</f>
        <v/>
      </c>
      <c r="AG119" t="str">
        <f ca="1">IFERROR(IF(0=LEN(ReferenceData!$AG$119),"",ReferenceData!$AG$119),"")</f>
        <v/>
      </c>
      <c r="AH119" t="str">
        <f ca="1">IFERROR(IF(0=LEN(ReferenceData!$AH$119),"",ReferenceData!$AH$119),"")</f>
        <v/>
      </c>
      <c r="AI119" t="str">
        <f ca="1">IFERROR(IF(0=LEN(ReferenceData!$AI$119),"",ReferenceData!$AI$119),"")</f>
        <v/>
      </c>
      <c r="AJ119" t="str">
        <f ca="1">IFERROR(IF(0=LEN(ReferenceData!$AJ$119),"",ReferenceData!$AJ$119),"")</f>
        <v/>
      </c>
      <c r="AK119" t="str">
        <f ca="1">IFERROR(IF(0=LEN(ReferenceData!$AK$119),"",ReferenceData!$AK$119),"")</f>
        <v/>
      </c>
      <c r="AL119" t="str">
        <f ca="1">IFERROR(IF(0=LEN(ReferenceData!$AL$119),"",ReferenceData!$AL$119),"")</f>
        <v/>
      </c>
      <c r="AM119" t="str">
        <f ca="1">IFERROR(IF(0=LEN(ReferenceData!$AM$119),"",ReferenceData!$AM$119),"")</f>
        <v/>
      </c>
      <c r="AN119" t="str">
        <f ca="1">IFERROR(IF(0=LEN(ReferenceData!$AN$119),"",ReferenceData!$AN$119),"")</f>
        <v/>
      </c>
      <c r="AO119" t="str">
        <f ca="1">IFERROR(IF(0=LEN(ReferenceData!$AO$119),"",ReferenceData!$AO$119),"")</f>
        <v/>
      </c>
      <c r="AP119" t="str">
        <f ca="1">IFERROR(IF(0=LEN(ReferenceData!$AP$119),"",ReferenceData!$AP$119),"")</f>
        <v/>
      </c>
      <c r="AQ119" t="str">
        <f ca="1">IFERROR(IF(0=LEN(ReferenceData!$AQ$119),"",ReferenceData!$AQ$119),"")</f>
        <v/>
      </c>
      <c r="AR119" t="str">
        <f ca="1">IFERROR(IF(0=LEN(ReferenceData!$AR$119),"",ReferenceData!$AR$119),"")</f>
        <v/>
      </c>
      <c r="AS119" t="str">
        <f ca="1">IFERROR(IF(0=LEN(ReferenceData!$AS$119),"",ReferenceData!$AS$119),"")</f>
        <v/>
      </c>
      <c r="AT119" t="str">
        <f ca="1">IFERROR(IF(0=LEN(ReferenceData!$AT$119),"",ReferenceData!$AT$119),"")</f>
        <v/>
      </c>
      <c r="AU119" t="str">
        <f ca="1">IFERROR(IF(0=LEN(ReferenceData!$AU$119),"",ReferenceData!$AU$119),"")</f>
        <v/>
      </c>
      <c r="AV119" t="str">
        <f ca="1">IFERROR(IF(0=LEN(ReferenceData!$AV$119),"",ReferenceData!$AV$119),"")</f>
        <v/>
      </c>
      <c r="AW119" t="str">
        <f ca="1">IFERROR(IF(0=LEN(ReferenceData!$AW$119),"",ReferenceData!$AW$119),"")</f>
        <v/>
      </c>
      <c r="AX119" t="str">
        <f ca="1">IFERROR(IF(0=LEN(ReferenceData!$AX$119),"",ReferenceData!$AX$119),"")</f>
        <v/>
      </c>
      <c r="AY119" t="str">
        <f ca="1">IFERROR(IF(0=LEN(ReferenceData!$AY$119),"",ReferenceData!$AY$119),"")</f>
        <v/>
      </c>
      <c r="AZ119" t="str">
        <f ca="1">IFERROR(IF(0=LEN(ReferenceData!$AZ$119),"",ReferenceData!$AZ$119),"")</f>
        <v/>
      </c>
      <c r="BA119" t="str">
        <f ca="1">IFERROR(IF(0=LEN(ReferenceData!$BA$119),"",ReferenceData!$BA$119),"")</f>
        <v/>
      </c>
      <c r="BB119" t="str">
        <f ca="1">IFERROR(IF(0=LEN(ReferenceData!$BB$119),"",ReferenceData!$BB$119),"")</f>
        <v/>
      </c>
      <c r="BC119" t="str">
        <f ca="1">IFERROR(IF(0=LEN(ReferenceData!$BC$119),"",ReferenceData!$BC$119),"")</f>
        <v/>
      </c>
      <c r="BD119" t="str">
        <f ca="1">IFERROR(IF(0=LEN(ReferenceData!$BD$119),"",ReferenceData!$BD$119),"")</f>
        <v/>
      </c>
      <c r="BE119" t="str">
        <f ca="1">IFERROR(IF(0=LEN(ReferenceData!$BE$119),"",ReferenceData!$BE$119),"")</f>
        <v/>
      </c>
      <c r="BF119" t="str">
        <f ca="1">IFERROR(IF(0=LEN(ReferenceData!$BF$119),"",ReferenceData!$BF$119),"")</f>
        <v/>
      </c>
      <c r="BG119" t="str">
        <f ca="1">IFERROR(IF(0=LEN(ReferenceData!$BG$119),"",ReferenceData!$BG$119),"")</f>
        <v/>
      </c>
      <c r="BH119" t="str">
        <f ca="1">IFERROR(IF(0=LEN(ReferenceData!$BH$119),"",ReferenceData!$BH$119),"")</f>
        <v/>
      </c>
      <c r="BI119" t="str">
        <f ca="1">IFERROR(IF(0=LEN(ReferenceData!$BI$119),"",ReferenceData!$BI$119),"")</f>
        <v/>
      </c>
      <c r="BJ119" t="str">
        <f ca="1">IFERROR(IF(0=LEN(ReferenceData!$BJ$119),"",ReferenceData!$BJ$119),"")</f>
        <v/>
      </c>
      <c r="BK119" t="str">
        <f ca="1">IFERROR(IF(0=LEN(ReferenceData!$BK$119),"",ReferenceData!$BK$119),"")</f>
        <v/>
      </c>
      <c r="BL119" t="str">
        <f ca="1">IFERROR(IF(0=LEN(ReferenceData!$BL$119),"",ReferenceData!$BL$119),"")</f>
        <v/>
      </c>
      <c r="BM119" t="str">
        <f ca="1">IFERROR(IF(0=LEN(ReferenceData!$BM$119),"",ReferenceData!$BM$119),"")</f>
        <v/>
      </c>
    </row>
    <row r="120" spans="1:65" x14ac:dyDescent="0.25">
      <c r="A120" t="str">
        <f>IFERROR(IF(0=LEN(ReferenceData!$A$120),"",ReferenceData!$A$120),"")</f>
        <v xml:space="preserve">    Tata Motors Ltd</v>
      </c>
      <c r="B120" t="str">
        <f>IFERROR(IF(0=LEN(ReferenceData!$B$120),"",ReferenceData!$B$120),"")</f>
        <v>TTMT IN Equity</v>
      </c>
      <c r="C120" t="str">
        <f>IFERROR(IF(0=LEN(ReferenceData!$C$120),"",ReferenceData!$C$120),"")</f>
        <v>EZ010</v>
      </c>
      <c r="D120" t="str">
        <f>IFERROR(IF(0=LEN(ReferenceData!$D$120),"",ReferenceData!$D$120),"")</f>
        <v>BEST_EST_PE_NXT_YR</v>
      </c>
      <c r="E120" t="str">
        <f>IFERROR(IF(0=LEN(ReferenceData!$E$120),"",ReferenceData!$E$120),"")</f>
        <v>Dynamic</v>
      </c>
      <c r="F120">
        <f ca="1">IFERROR(IF(0=LEN(ReferenceData!$F$120),"",ReferenceData!$F$120),"")</f>
        <v>10.07780537</v>
      </c>
      <c r="G120">
        <f ca="1">IFERROR(IF(0=LEN(ReferenceData!$G$120),"",ReferenceData!$G$120),"")</f>
        <v>7.4807242479999996</v>
      </c>
      <c r="H120">
        <f ca="1">IFERROR(IF(0=LEN(ReferenceData!$H$120),"",ReferenceData!$H$120),"")</f>
        <v>6.5578095679999997</v>
      </c>
      <c r="I120">
        <f ca="1">IFERROR(IF(0=LEN(ReferenceData!$I$120),"",ReferenceData!$I$120),"")</f>
        <v>6.7891897339999998</v>
      </c>
      <c r="J120">
        <f ca="1">IFERROR(IF(0=LEN(ReferenceData!$J$120),"",ReferenceData!$J$120),"")</f>
        <v>6.6618429370000003</v>
      </c>
      <c r="K120">
        <f ca="1">IFERROR(IF(0=LEN(ReferenceData!$K$120),"",ReferenceData!$K$120),"")</f>
        <v>8.1913884669999995</v>
      </c>
      <c r="L120">
        <f ca="1">IFERROR(IF(0=LEN(ReferenceData!$L$120),"",ReferenceData!$L$120),"")</f>
        <v>8.0314456599999993</v>
      </c>
      <c r="M120">
        <f ca="1">IFERROR(IF(0=LEN(ReferenceData!$M$120),"",ReferenceData!$M$120),"")</f>
        <v>6.9037890639999997</v>
      </c>
      <c r="N120">
        <f ca="1">IFERROR(IF(0=LEN(ReferenceData!$N$120),"",ReferenceData!$N$120),"")</f>
        <v>7.6444043319999997</v>
      </c>
      <c r="O120" t="str">
        <f ca="1">IFERROR(IF(0=LEN(ReferenceData!$O$120),"",ReferenceData!$O$120),"")</f>
        <v/>
      </c>
      <c r="P120" t="str">
        <f ca="1">IFERROR(IF(0=LEN(ReferenceData!$P$120),"",ReferenceData!$P$120),"")</f>
        <v/>
      </c>
      <c r="Q120" t="str">
        <f ca="1">IFERROR(IF(0=LEN(ReferenceData!$Q$120),"",ReferenceData!$Q$120),"")</f>
        <v/>
      </c>
      <c r="R120">
        <f ca="1">IFERROR(IF(0=LEN(ReferenceData!$R$120),"",ReferenceData!$R$120),"")</f>
        <v>4.0085776979999999</v>
      </c>
      <c r="S120">
        <f ca="1">IFERROR(IF(0=LEN(ReferenceData!$S$120),"",ReferenceData!$S$120),"")</f>
        <v>3.902852583</v>
      </c>
      <c r="T120">
        <f ca="1">IFERROR(IF(0=LEN(ReferenceData!$T$120),"",ReferenceData!$T$120),"")</f>
        <v>2.616314729</v>
      </c>
      <c r="U120">
        <f ca="1">IFERROR(IF(0=LEN(ReferenceData!$U$120),"",ReferenceData!$U$120),"")</f>
        <v>3.9940202390000001</v>
      </c>
      <c r="V120" t="str">
        <f ca="1">IFERROR(IF(0=LEN(ReferenceData!$V$120),"",ReferenceData!$V$120),"")</f>
        <v/>
      </c>
      <c r="W120" t="str">
        <f ca="1">IFERROR(IF(0=LEN(ReferenceData!$W$120),"",ReferenceData!$W$120),"")</f>
        <v/>
      </c>
      <c r="X120" t="str">
        <f ca="1">IFERROR(IF(0=LEN(ReferenceData!$X$120),"",ReferenceData!$X$120),"")</f>
        <v/>
      </c>
      <c r="Y120" t="str">
        <f ca="1">IFERROR(IF(0=LEN(ReferenceData!$Y$120),"",ReferenceData!$Y$120),"")</f>
        <v/>
      </c>
      <c r="Z120" t="str">
        <f ca="1">IFERROR(IF(0=LEN(ReferenceData!$Z$120),"",ReferenceData!$Z$120),"")</f>
        <v/>
      </c>
      <c r="AA120" t="str">
        <f ca="1">IFERROR(IF(0=LEN(ReferenceData!$AA$120),"",ReferenceData!$AA$120),"")</f>
        <v/>
      </c>
      <c r="AB120" t="str">
        <f ca="1">IFERROR(IF(0=LEN(ReferenceData!$AB$120),"",ReferenceData!$AB$120),"")</f>
        <v/>
      </c>
      <c r="AC120" t="str">
        <f ca="1">IFERROR(IF(0=LEN(ReferenceData!$AC$120),"",ReferenceData!$AC$120),"")</f>
        <v/>
      </c>
      <c r="AD120" t="str">
        <f ca="1">IFERROR(IF(0=LEN(ReferenceData!$AD$120),"",ReferenceData!$AD$120),"")</f>
        <v/>
      </c>
      <c r="AE120" t="str">
        <f ca="1">IFERROR(IF(0=LEN(ReferenceData!$AE$120),"",ReferenceData!$AE$120),"")</f>
        <v/>
      </c>
      <c r="AF120" t="str">
        <f ca="1">IFERROR(IF(0=LEN(ReferenceData!$AF$120),"",ReferenceData!$AF$120),"")</f>
        <v/>
      </c>
      <c r="AG120" t="str">
        <f ca="1">IFERROR(IF(0=LEN(ReferenceData!$AG$120),"",ReferenceData!$AG$120),"")</f>
        <v/>
      </c>
      <c r="AH120" t="str">
        <f ca="1">IFERROR(IF(0=LEN(ReferenceData!$AH$120),"",ReferenceData!$AH$120),"")</f>
        <v/>
      </c>
      <c r="AI120" t="str">
        <f ca="1">IFERROR(IF(0=LEN(ReferenceData!$AI$120),"",ReferenceData!$AI$120),"")</f>
        <v/>
      </c>
      <c r="AJ120" t="str">
        <f ca="1">IFERROR(IF(0=LEN(ReferenceData!$AJ$120),"",ReferenceData!$AJ$120),"")</f>
        <v/>
      </c>
      <c r="AK120" t="str">
        <f ca="1">IFERROR(IF(0=LEN(ReferenceData!$AK$120),"",ReferenceData!$AK$120),"")</f>
        <v/>
      </c>
      <c r="AL120" t="str">
        <f ca="1">IFERROR(IF(0=LEN(ReferenceData!$AL$120),"",ReferenceData!$AL$120),"")</f>
        <v/>
      </c>
      <c r="AM120" t="str">
        <f ca="1">IFERROR(IF(0=LEN(ReferenceData!$AM$120),"",ReferenceData!$AM$120),"")</f>
        <v/>
      </c>
      <c r="AN120" t="str">
        <f ca="1">IFERROR(IF(0=LEN(ReferenceData!$AN$120),"",ReferenceData!$AN$120),"")</f>
        <v/>
      </c>
      <c r="AO120" t="str">
        <f ca="1">IFERROR(IF(0=LEN(ReferenceData!$AO$120),"",ReferenceData!$AO$120),"")</f>
        <v/>
      </c>
      <c r="AP120" t="str">
        <f ca="1">IFERROR(IF(0=LEN(ReferenceData!$AP$120),"",ReferenceData!$AP$120),"")</f>
        <v/>
      </c>
      <c r="AQ120" t="str">
        <f ca="1">IFERROR(IF(0=LEN(ReferenceData!$AQ$120),"",ReferenceData!$AQ$120),"")</f>
        <v/>
      </c>
      <c r="AR120" t="str">
        <f ca="1">IFERROR(IF(0=LEN(ReferenceData!$AR$120),"",ReferenceData!$AR$120),"")</f>
        <v/>
      </c>
      <c r="AS120" t="str">
        <f ca="1">IFERROR(IF(0=LEN(ReferenceData!$AS$120),"",ReferenceData!$AS$120),"")</f>
        <v/>
      </c>
      <c r="AT120" t="str">
        <f ca="1">IFERROR(IF(0=LEN(ReferenceData!$AT$120),"",ReferenceData!$AT$120),"")</f>
        <v/>
      </c>
      <c r="AU120" t="str">
        <f ca="1">IFERROR(IF(0=LEN(ReferenceData!$AU$120),"",ReferenceData!$AU$120),"")</f>
        <v/>
      </c>
      <c r="AV120" t="str">
        <f ca="1">IFERROR(IF(0=LEN(ReferenceData!$AV$120),"",ReferenceData!$AV$120),"")</f>
        <v/>
      </c>
      <c r="AW120" t="str">
        <f ca="1">IFERROR(IF(0=LEN(ReferenceData!$AW$120),"",ReferenceData!$AW$120),"")</f>
        <v/>
      </c>
      <c r="AX120" t="str">
        <f ca="1">IFERROR(IF(0=LEN(ReferenceData!$AX$120),"",ReferenceData!$AX$120),"")</f>
        <v/>
      </c>
      <c r="AY120" t="str">
        <f ca="1">IFERROR(IF(0=LEN(ReferenceData!$AY$120),"",ReferenceData!$AY$120),"")</f>
        <v/>
      </c>
      <c r="AZ120" t="str">
        <f ca="1">IFERROR(IF(0=LEN(ReferenceData!$AZ$120),"",ReferenceData!$AZ$120),"")</f>
        <v/>
      </c>
      <c r="BA120" t="str">
        <f ca="1">IFERROR(IF(0=LEN(ReferenceData!$BA$120),"",ReferenceData!$BA$120),"")</f>
        <v/>
      </c>
      <c r="BB120" t="str">
        <f ca="1">IFERROR(IF(0=LEN(ReferenceData!$BB$120),"",ReferenceData!$BB$120),"")</f>
        <v/>
      </c>
      <c r="BC120" t="str">
        <f ca="1">IFERROR(IF(0=LEN(ReferenceData!$BC$120),"",ReferenceData!$BC$120),"")</f>
        <v/>
      </c>
      <c r="BD120" t="str">
        <f ca="1">IFERROR(IF(0=LEN(ReferenceData!$BD$120),"",ReferenceData!$BD$120),"")</f>
        <v/>
      </c>
      <c r="BE120" t="str">
        <f ca="1">IFERROR(IF(0=LEN(ReferenceData!$BE$120),"",ReferenceData!$BE$120),"")</f>
        <v/>
      </c>
      <c r="BF120" t="str">
        <f ca="1">IFERROR(IF(0=LEN(ReferenceData!$BF$120),"",ReferenceData!$BF$120),"")</f>
        <v/>
      </c>
      <c r="BG120" t="str">
        <f ca="1">IFERROR(IF(0=LEN(ReferenceData!$BG$120),"",ReferenceData!$BG$120),"")</f>
        <v/>
      </c>
      <c r="BH120" t="str">
        <f ca="1">IFERROR(IF(0=LEN(ReferenceData!$BH$120),"",ReferenceData!$BH$120),"")</f>
        <v/>
      </c>
      <c r="BI120" t="str">
        <f ca="1">IFERROR(IF(0=LEN(ReferenceData!$BI$120),"",ReferenceData!$BI$120),"")</f>
        <v/>
      </c>
      <c r="BJ120" t="str">
        <f ca="1">IFERROR(IF(0=LEN(ReferenceData!$BJ$120),"",ReferenceData!$BJ$120),"")</f>
        <v/>
      </c>
      <c r="BK120" t="str">
        <f ca="1">IFERROR(IF(0=LEN(ReferenceData!$BK$120),"",ReferenceData!$BK$120),"")</f>
        <v/>
      </c>
      <c r="BL120" t="str">
        <f ca="1">IFERROR(IF(0=LEN(ReferenceData!$BL$120),"",ReferenceData!$BL$120),"")</f>
        <v/>
      </c>
      <c r="BM120" t="str">
        <f ca="1">IFERROR(IF(0=LEN(ReferenceData!$BM$120),"",ReferenceData!$BM$120),"")</f>
        <v/>
      </c>
    </row>
    <row r="121" spans="1:65" x14ac:dyDescent="0.25">
      <c r="A121" t="str">
        <f>IFERROR(IF(0=LEN(ReferenceData!$A$121),"",ReferenceData!$A$121),"")</f>
        <v xml:space="preserve">    Tesla Inc</v>
      </c>
      <c r="B121" t="str">
        <f>IFERROR(IF(0=LEN(ReferenceData!$B$121),"",ReferenceData!$B$121),"")</f>
        <v>TSLA US Equity</v>
      </c>
      <c r="C121" t="str">
        <f>IFERROR(IF(0=LEN(ReferenceData!$C$121),"",ReferenceData!$C$121),"")</f>
        <v>EZ010</v>
      </c>
      <c r="D121" t="str">
        <f>IFERROR(IF(0=LEN(ReferenceData!$D$121),"",ReferenceData!$D$121),"")</f>
        <v>BEST_EST_PE_NXT_YR</v>
      </c>
      <c r="E121" t="str">
        <f>IFERROR(IF(0=LEN(ReferenceData!$E$121),"",ReferenceData!$E$121),"")</f>
        <v>Dynamic</v>
      </c>
      <c r="F121">
        <f ca="1">IFERROR(IF(0=LEN(ReferenceData!$F$121),"",ReferenceData!$F$121),"")</f>
        <v>31.67711804</v>
      </c>
      <c r="G121">
        <f ca="1">IFERROR(IF(0=LEN(ReferenceData!$G$121),"",ReferenceData!$G$121),"")</f>
        <v>29.115669400000002</v>
      </c>
      <c r="H121">
        <f ca="1">IFERROR(IF(0=LEN(ReferenceData!$H$121),"",ReferenceData!$H$121),"")</f>
        <v>27.531449129999999</v>
      </c>
      <c r="I121">
        <f ca="1">IFERROR(IF(0=LEN(ReferenceData!$I$121),"",ReferenceData!$I$121),"")</f>
        <v>38.618567890000001</v>
      </c>
      <c r="J121">
        <f ca="1">IFERROR(IF(0=LEN(ReferenceData!$J$121),"",ReferenceData!$J$121),"")</f>
        <v>29.85091336</v>
      </c>
      <c r="K121">
        <f ca="1">IFERROR(IF(0=LEN(ReferenceData!$K$121),"",ReferenceData!$K$121),"")</f>
        <v>27.72327117</v>
      </c>
      <c r="L121">
        <f ca="1">IFERROR(IF(0=LEN(ReferenceData!$L$121),"",ReferenceData!$L$121),"")</f>
        <v>24.678261320000001</v>
      </c>
      <c r="M121">
        <f ca="1">IFERROR(IF(0=LEN(ReferenceData!$M$121),"",ReferenceData!$M$121),"")</f>
        <v>29.622555380000001</v>
      </c>
      <c r="N121">
        <f ca="1">IFERROR(IF(0=LEN(ReferenceData!$N$121),"",ReferenceData!$N$121),"")</f>
        <v>23.608987729999999</v>
      </c>
      <c r="O121">
        <f ca="1">IFERROR(IF(0=LEN(ReferenceData!$O$121),"",ReferenceData!$O$121),"")</f>
        <v>21.26506247</v>
      </c>
      <c r="P121">
        <f ca="1">IFERROR(IF(0=LEN(ReferenceData!$P$121),"",ReferenceData!$P$121),"")</f>
        <v>13.937374739999999</v>
      </c>
      <c r="Q121">
        <f ca="1">IFERROR(IF(0=LEN(ReferenceData!$Q$121),"",ReferenceData!$Q$121),"")</f>
        <v>12.94299479</v>
      </c>
      <c r="R121">
        <f ca="1">IFERROR(IF(0=LEN(ReferenceData!$R$121),"",ReferenceData!$R$121),"")</f>
        <v>15.614755150000001</v>
      </c>
      <c r="S121">
        <f ca="1">IFERROR(IF(0=LEN(ReferenceData!$S$121),"",ReferenceData!$S$121),"")</f>
        <v>13.57759373</v>
      </c>
      <c r="T121">
        <f ca="1">IFERROR(IF(0=LEN(ReferenceData!$T$121),"",ReferenceData!$T$121),"")</f>
        <v>14.49638479</v>
      </c>
      <c r="U121">
        <f ca="1">IFERROR(IF(0=LEN(ReferenceData!$U$121),"",ReferenceData!$U$121),"")</f>
        <v>18.745974530000002</v>
      </c>
      <c r="V121">
        <f ca="1">IFERROR(IF(0=LEN(ReferenceData!$V$121),"",ReferenceData!$V$121),"")</f>
        <v>12.181167090000001</v>
      </c>
      <c r="W121">
        <f ca="1">IFERROR(IF(0=LEN(ReferenceData!$W$121),"",ReferenceData!$W$121),"")</f>
        <v>12.16009652</v>
      </c>
      <c r="X121">
        <f ca="1">IFERROR(IF(0=LEN(ReferenceData!$X$121),"",ReferenceData!$X$121),"")</f>
        <v>13.76066258</v>
      </c>
      <c r="Y121">
        <f ca="1">IFERROR(IF(0=LEN(ReferenceData!$Y$121),"",ReferenceData!$Y$121),"")</f>
        <v>14.5432632</v>
      </c>
      <c r="Z121">
        <f ca="1">IFERROR(IF(0=LEN(ReferenceData!$Z$121),"",ReferenceData!$Z$121),"")</f>
        <v>12.11200069</v>
      </c>
      <c r="AA121">
        <f ca="1">IFERROR(IF(0=LEN(ReferenceData!$AA$121),"",ReferenceData!$AA$121),"")</f>
        <v>8.9661500590000003</v>
      </c>
      <c r="AB121">
        <f ca="1">IFERROR(IF(0=LEN(ReferenceData!$AB$121),"",ReferenceData!$AB$121),"")</f>
        <v>17.393339279999999</v>
      </c>
      <c r="AC121">
        <f ca="1">IFERROR(IF(0=LEN(ReferenceData!$AC$121),"",ReferenceData!$AC$121),"")</f>
        <v>14.53341421</v>
      </c>
      <c r="AD121">
        <f ca="1">IFERROR(IF(0=LEN(ReferenceData!$AD$121),"",ReferenceData!$AD$121),"")</f>
        <v>4.310963696</v>
      </c>
      <c r="AE121">
        <f ca="1">IFERROR(IF(0=LEN(ReferenceData!$AE$121),"",ReferenceData!$AE$121),"")</f>
        <v>4.0275412230000001</v>
      </c>
      <c r="AF121">
        <f ca="1">IFERROR(IF(0=LEN(ReferenceData!$AF$121),"",ReferenceData!$AF$121),"")</f>
        <v>2.2173193840000001</v>
      </c>
      <c r="AG121">
        <f ca="1">IFERROR(IF(0=LEN(ReferenceData!$AG$121),"",ReferenceData!$AG$121),"")</f>
        <v>2.3680627599999999</v>
      </c>
      <c r="AH121" t="str">
        <f ca="1">IFERROR(IF(0=LEN(ReferenceData!$AH$121),"",ReferenceData!$AH$121),"")</f>
        <v/>
      </c>
      <c r="AI121" t="str">
        <f ca="1">IFERROR(IF(0=LEN(ReferenceData!$AI$121),"",ReferenceData!$AI$121),"")</f>
        <v/>
      </c>
      <c r="AJ121" t="str">
        <f ca="1">IFERROR(IF(0=LEN(ReferenceData!$AJ$121),"",ReferenceData!$AJ$121),"")</f>
        <v/>
      </c>
      <c r="AK121" t="str">
        <f ca="1">IFERROR(IF(0=LEN(ReferenceData!$AK$121),"",ReferenceData!$AK$121),"")</f>
        <v/>
      </c>
      <c r="AL121" t="str">
        <f ca="1">IFERROR(IF(0=LEN(ReferenceData!$AL$121),"",ReferenceData!$AL$121),"")</f>
        <v/>
      </c>
      <c r="AM121" t="str">
        <f ca="1">IFERROR(IF(0=LEN(ReferenceData!$AM$121),"",ReferenceData!$AM$121),"")</f>
        <v/>
      </c>
      <c r="AN121" t="str">
        <f ca="1">IFERROR(IF(0=LEN(ReferenceData!$AN$121),"",ReferenceData!$AN$121),"")</f>
        <v/>
      </c>
      <c r="AO121" t="str">
        <f ca="1">IFERROR(IF(0=LEN(ReferenceData!$AO$121),"",ReferenceData!$AO$121),"")</f>
        <v/>
      </c>
      <c r="AP121" t="str">
        <f ca="1">IFERROR(IF(0=LEN(ReferenceData!$AP$121),"",ReferenceData!$AP$121),"")</f>
        <v/>
      </c>
      <c r="AQ121" t="str">
        <f ca="1">IFERROR(IF(0=LEN(ReferenceData!$AQ$121),"",ReferenceData!$AQ$121),"")</f>
        <v/>
      </c>
      <c r="AR121" t="str">
        <f ca="1">IFERROR(IF(0=LEN(ReferenceData!$AR$121),"",ReferenceData!$AR$121),"")</f>
        <v/>
      </c>
      <c r="AS121" t="str">
        <f ca="1">IFERROR(IF(0=LEN(ReferenceData!$AS$121),"",ReferenceData!$AS$121),"")</f>
        <v/>
      </c>
      <c r="AT121" t="str">
        <f ca="1">IFERROR(IF(0=LEN(ReferenceData!$AT$121),"",ReferenceData!$AT$121),"")</f>
        <v/>
      </c>
      <c r="AU121" t="str">
        <f ca="1">IFERROR(IF(0=LEN(ReferenceData!$AU$121),"",ReferenceData!$AU$121),"")</f>
        <v/>
      </c>
      <c r="AV121" t="str">
        <f ca="1">IFERROR(IF(0=LEN(ReferenceData!$AV$121),"",ReferenceData!$AV$121),"")</f>
        <v/>
      </c>
      <c r="AW121" t="str">
        <f ca="1">IFERROR(IF(0=LEN(ReferenceData!$AW$121),"",ReferenceData!$AW$121),"")</f>
        <v/>
      </c>
      <c r="AX121" t="str">
        <f ca="1">IFERROR(IF(0=LEN(ReferenceData!$AX$121),"",ReferenceData!$AX$121),"")</f>
        <v/>
      </c>
      <c r="AY121" t="str">
        <f ca="1">IFERROR(IF(0=LEN(ReferenceData!$AY$121),"",ReferenceData!$AY$121),"")</f>
        <v/>
      </c>
      <c r="AZ121" t="str">
        <f ca="1">IFERROR(IF(0=LEN(ReferenceData!$AZ$121),"",ReferenceData!$AZ$121),"")</f>
        <v/>
      </c>
      <c r="BA121" t="str">
        <f ca="1">IFERROR(IF(0=LEN(ReferenceData!$BA$121),"",ReferenceData!$BA$121),"")</f>
        <v/>
      </c>
      <c r="BB121" t="str">
        <f ca="1">IFERROR(IF(0=LEN(ReferenceData!$BB$121),"",ReferenceData!$BB$121),"")</f>
        <v/>
      </c>
      <c r="BC121" t="str">
        <f ca="1">IFERROR(IF(0=LEN(ReferenceData!$BC$121),"",ReferenceData!$BC$121),"")</f>
        <v/>
      </c>
      <c r="BD121" t="str">
        <f ca="1">IFERROR(IF(0=LEN(ReferenceData!$BD$121),"",ReferenceData!$BD$121),"")</f>
        <v/>
      </c>
      <c r="BE121" t="str">
        <f ca="1">IFERROR(IF(0=LEN(ReferenceData!$BE$121),"",ReferenceData!$BE$121),"")</f>
        <v/>
      </c>
      <c r="BF121" t="str">
        <f ca="1">IFERROR(IF(0=LEN(ReferenceData!$BF$121),"",ReferenceData!$BF$121),"")</f>
        <v/>
      </c>
      <c r="BG121" t="str">
        <f ca="1">IFERROR(IF(0=LEN(ReferenceData!$BG$121),"",ReferenceData!$BG$121),"")</f>
        <v/>
      </c>
      <c r="BH121" t="str">
        <f ca="1">IFERROR(IF(0=LEN(ReferenceData!$BH$121),"",ReferenceData!$BH$121),"")</f>
        <v/>
      </c>
      <c r="BI121" t="str">
        <f ca="1">IFERROR(IF(0=LEN(ReferenceData!$BI$121),"",ReferenceData!$BI$121),"")</f>
        <v/>
      </c>
      <c r="BJ121" t="str">
        <f ca="1">IFERROR(IF(0=LEN(ReferenceData!$BJ$121),"",ReferenceData!$BJ$121),"")</f>
        <v/>
      </c>
      <c r="BK121" t="str">
        <f ca="1">IFERROR(IF(0=LEN(ReferenceData!$BK$121),"",ReferenceData!$BK$121),"")</f>
        <v/>
      </c>
      <c r="BL121" t="str">
        <f ca="1">IFERROR(IF(0=LEN(ReferenceData!$BL$121),"",ReferenceData!$BL$121),"")</f>
        <v/>
      </c>
      <c r="BM121" t="str">
        <f ca="1">IFERROR(IF(0=LEN(ReferenceData!$BM$121),"",ReferenceData!$BM$121),"")</f>
        <v/>
      </c>
    </row>
    <row r="122" spans="1:65" x14ac:dyDescent="0.25">
      <c r="A122" t="str">
        <f>IFERROR(IF(0=LEN(ReferenceData!$A$122),"",ReferenceData!$A$122),"")</f>
        <v xml:space="preserve">    Tianjin Faw Xiali Automobile Co Ltd</v>
      </c>
      <c r="B122" t="str">
        <f>IFERROR(IF(0=LEN(ReferenceData!$B$122),"",ReferenceData!$B$122),"")</f>
        <v>000927 CH Equity</v>
      </c>
      <c r="C122" t="str">
        <f>IFERROR(IF(0=LEN(ReferenceData!$C$122),"",ReferenceData!$C$122),"")</f>
        <v>EZ010</v>
      </c>
      <c r="D122" t="str">
        <f>IFERROR(IF(0=LEN(ReferenceData!$D$122),"",ReferenceData!$D$122),"")</f>
        <v>BEST_EST_PE_NXT_YR</v>
      </c>
      <c r="E122" t="str">
        <f>IFERROR(IF(0=LEN(ReferenceData!$E$122),"",ReferenceData!$E$122),"")</f>
        <v>Dynamic</v>
      </c>
      <c r="F122" t="str">
        <f ca="1">IFERROR(IF(0=LEN(ReferenceData!$F$122),"",ReferenceData!$F$122),"")</f>
        <v/>
      </c>
      <c r="G122" t="str">
        <f ca="1">IFERROR(IF(0=LEN(ReferenceData!$G$122),"",ReferenceData!$G$122),"")</f>
        <v/>
      </c>
      <c r="H122" t="str">
        <f ca="1">IFERROR(IF(0=LEN(ReferenceData!$H$122),"",ReferenceData!$H$122),"")</f>
        <v/>
      </c>
      <c r="I122" t="str">
        <f ca="1">IFERROR(IF(0=LEN(ReferenceData!$I$122),"",ReferenceData!$I$122),"")</f>
        <v/>
      </c>
      <c r="J122" t="str">
        <f ca="1">IFERROR(IF(0=LEN(ReferenceData!$J$122),"",ReferenceData!$J$122),"")</f>
        <v/>
      </c>
      <c r="K122" t="str">
        <f ca="1">IFERROR(IF(0=LEN(ReferenceData!$K$122),"",ReferenceData!$K$122),"")</f>
        <v/>
      </c>
      <c r="L122" t="str">
        <f ca="1">IFERROR(IF(0=LEN(ReferenceData!$L$122),"",ReferenceData!$L$122),"")</f>
        <v/>
      </c>
      <c r="M122" t="str">
        <f ca="1">IFERROR(IF(0=LEN(ReferenceData!$M$122),"",ReferenceData!$M$122),"")</f>
        <v/>
      </c>
      <c r="N122" t="str">
        <f ca="1">IFERROR(IF(0=LEN(ReferenceData!$N$122),"",ReferenceData!$N$122),"")</f>
        <v/>
      </c>
      <c r="O122" t="str">
        <f ca="1">IFERROR(IF(0=LEN(ReferenceData!$O$122),"",ReferenceData!$O$122),"")</f>
        <v/>
      </c>
      <c r="P122" t="str">
        <f ca="1">IFERROR(IF(0=LEN(ReferenceData!$P$122),"",ReferenceData!$P$122),"")</f>
        <v/>
      </c>
      <c r="Q122" t="str">
        <f ca="1">IFERROR(IF(0=LEN(ReferenceData!$Q$122),"",ReferenceData!$Q$122),"")</f>
        <v/>
      </c>
      <c r="R122" t="str">
        <f ca="1">IFERROR(IF(0=LEN(ReferenceData!$R$122),"",ReferenceData!$R$122),"")</f>
        <v/>
      </c>
      <c r="S122" t="str">
        <f ca="1">IFERROR(IF(0=LEN(ReferenceData!$S$122),"",ReferenceData!$S$122),"")</f>
        <v/>
      </c>
      <c r="T122" t="str">
        <f ca="1">IFERROR(IF(0=LEN(ReferenceData!$T$122),"",ReferenceData!$T$122),"")</f>
        <v/>
      </c>
      <c r="U122" t="str">
        <f ca="1">IFERROR(IF(0=LEN(ReferenceData!$U$122),"",ReferenceData!$U$122),"")</f>
        <v/>
      </c>
      <c r="V122" t="str">
        <f ca="1">IFERROR(IF(0=LEN(ReferenceData!$V$122),"",ReferenceData!$V$122),"")</f>
        <v/>
      </c>
      <c r="W122" t="str">
        <f ca="1">IFERROR(IF(0=LEN(ReferenceData!$W$122),"",ReferenceData!$W$122),"")</f>
        <v/>
      </c>
      <c r="X122" t="str">
        <f ca="1">IFERROR(IF(0=LEN(ReferenceData!$X$122),"",ReferenceData!$X$122),"")</f>
        <v/>
      </c>
      <c r="Y122" t="str">
        <f ca="1">IFERROR(IF(0=LEN(ReferenceData!$Y$122),"",ReferenceData!$Y$122),"")</f>
        <v/>
      </c>
      <c r="Z122" t="str">
        <f ca="1">IFERROR(IF(0=LEN(ReferenceData!$Z$122),"",ReferenceData!$Z$122),"")</f>
        <v/>
      </c>
      <c r="AA122" t="str">
        <f ca="1">IFERROR(IF(0=LEN(ReferenceData!$AA$122),"",ReferenceData!$AA$122),"")</f>
        <v/>
      </c>
      <c r="AB122" t="str">
        <f ca="1">IFERROR(IF(0=LEN(ReferenceData!$AB$122),"",ReferenceData!$AB$122),"")</f>
        <v/>
      </c>
      <c r="AC122" t="str">
        <f ca="1">IFERROR(IF(0=LEN(ReferenceData!$AC$122),"",ReferenceData!$AC$122),"")</f>
        <v/>
      </c>
      <c r="AD122" t="str">
        <f ca="1">IFERROR(IF(0=LEN(ReferenceData!$AD$122),"",ReferenceData!$AD$122),"")</f>
        <v/>
      </c>
      <c r="AE122" t="str">
        <f ca="1">IFERROR(IF(0=LEN(ReferenceData!$AE$122),"",ReferenceData!$AE$122),"")</f>
        <v/>
      </c>
      <c r="AF122" t="str">
        <f ca="1">IFERROR(IF(0=LEN(ReferenceData!$AF$122),"",ReferenceData!$AF$122),"")</f>
        <v/>
      </c>
      <c r="AG122" t="str">
        <f ca="1">IFERROR(IF(0=LEN(ReferenceData!$AG$122),"",ReferenceData!$AG$122),"")</f>
        <v/>
      </c>
      <c r="AH122" t="str">
        <f ca="1">IFERROR(IF(0=LEN(ReferenceData!$AH$122),"",ReferenceData!$AH$122),"")</f>
        <v/>
      </c>
      <c r="AI122" t="str">
        <f ca="1">IFERROR(IF(0=LEN(ReferenceData!$AI$122),"",ReferenceData!$AI$122),"")</f>
        <v/>
      </c>
      <c r="AJ122" t="str">
        <f ca="1">IFERROR(IF(0=LEN(ReferenceData!$AJ$122),"",ReferenceData!$AJ$122),"")</f>
        <v/>
      </c>
      <c r="AK122" t="str">
        <f ca="1">IFERROR(IF(0=LEN(ReferenceData!$AK$122),"",ReferenceData!$AK$122),"")</f>
        <v/>
      </c>
      <c r="AL122" t="str">
        <f ca="1">IFERROR(IF(0=LEN(ReferenceData!$AL$122),"",ReferenceData!$AL$122),"")</f>
        <v/>
      </c>
      <c r="AM122" t="str">
        <f ca="1">IFERROR(IF(0=LEN(ReferenceData!$AM$122),"",ReferenceData!$AM$122),"")</f>
        <v/>
      </c>
      <c r="AN122" t="str">
        <f ca="1">IFERROR(IF(0=LEN(ReferenceData!$AN$122),"",ReferenceData!$AN$122),"")</f>
        <v/>
      </c>
      <c r="AO122" t="str">
        <f ca="1">IFERROR(IF(0=LEN(ReferenceData!$AO$122),"",ReferenceData!$AO$122),"")</f>
        <v/>
      </c>
      <c r="AP122" t="str">
        <f ca="1">IFERROR(IF(0=LEN(ReferenceData!$AP$122),"",ReferenceData!$AP$122),"")</f>
        <v/>
      </c>
      <c r="AQ122" t="str">
        <f ca="1">IFERROR(IF(0=LEN(ReferenceData!$AQ$122),"",ReferenceData!$AQ$122),"")</f>
        <v/>
      </c>
      <c r="AR122" t="str">
        <f ca="1">IFERROR(IF(0=LEN(ReferenceData!$AR$122),"",ReferenceData!$AR$122),"")</f>
        <v/>
      </c>
      <c r="AS122" t="str">
        <f ca="1">IFERROR(IF(0=LEN(ReferenceData!$AS$122),"",ReferenceData!$AS$122),"")</f>
        <v/>
      </c>
      <c r="AT122" t="str">
        <f ca="1">IFERROR(IF(0=LEN(ReferenceData!$AT$122),"",ReferenceData!$AT$122),"")</f>
        <v/>
      </c>
      <c r="AU122" t="str">
        <f ca="1">IFERROR(IF(0=LEN(ReferenceData!$AU$122),"",ReferenceData!$AU$122),"")</f>
        <v/>
      </c>
      <c r="AV122" t="str">
        <f ca="1">IFERROR(IF(0=LEN(ReferenceData!$AV$122),"",ReferenceData!$AV$122),"")</f>
        <v/>
      </c>
      <c r="AW122" t="str">
        <f ca="1">IFERROR(IF(0=LEN(ReferenceData!$AW$122),"",ReferenceData!$AW$122),"")</f>
        <v/>
      </c>
      <c r="AX122" t="str">
        <f ca="1">IFERROR(IF(0=LEN(ReferenceData!$AX$122),"",ReferenceData!$AX$122),"")</f>
        <v/>
      </c>
      <c r="AY122" t="str">
        <f ca="1">IFERROR(IF(0=LEN(ReferenceData!$AY$122),"",ReferenceData!$AY$122),"")</f>
        <v/>
      </c>
      <c r="AZ122" t="str">
        <f ca="1">IFERROR(IF(0=LEN(ReferenceData!$AZ$122),"",ReferenceData!$AZ$122),"")</f>
        <v/>
      </c>
      <c r="BA122" t="str">
        <f ca="1">IFERROR(IF(0=LEN(ReferenceData!$BA$122),"",ReferenceData!$BA$122),"")</f>
        <v/>
      </c>
      <c r="BB122" t="str">
        <f ca="1">IFERROR(IF(0=LEN(ReferenceData!$BB$122),"",ReferenceData!$BB$122),"")</f>
        <v/>
      </c>
      <c r="BC122" t="str">
        <f ca="1">IFERROR(IF(0=LEN(ReferenceData!$BC$122),"",ReferenceData!$BC$122),"")</f>
        <v/>
      </c>
      <c r="BD122" t="str">
        <f ca="1">IFERROR(IF(0=LEN(ReferenceData!$BD$122),"",ReferenceData!$BD$122),"")</f>
        <v/>
      </c>
      <c r="BE122" t="str">
        <f ca="1">IFERROR(IF(0=LEN(ReferenceData!$BE$122),"",ReferenceData!$BE$122),"")</f>
        <v/>
      </c>
      <c r="BF122" t="str">
        <f ca="1">IFERROR(IF(0=LEN(ReferenceData!$BF$122),"",ReferenceData!$BF$122),"")</f>
        <v/>
      </c>
      <c r="BG122" t="str">
        <f ca="1">IFERROR(IF(0=LEN(ReferenceData!$BG$122),"",ReferenceData!$BG$122),"")</f>
        <v/>
      </c>
      <c r="BH122" t="str">
        <f ca="1">IFERROR(IF(0=LEN(ReferenceData!$BH$122),"",ReferenceData!$BH$122),"")</f>
        <v/>
      </c>
      <c r="BI122" t="str">
        <f ca="1">IFERROR(IF(0=LEN(ReferenceData!$BI$122),"",ReferenceData!$BI$122),"")</f>
        <v/>
      </c>
      <c r="BJ122" t="str">
        <f ca="1">IFERROR(IF(0=LEN(ReferenceData!$BJ$122),"",ReferenceData!$BJ$122),"")</f>
        <v/>
      </c>
      <c r="BK122" t="str">
        <f ca="1">IFERROR(IF(0=LEN(ReferenceData!$BK$122),"",ReferenceData!$BK$122),"")</f>
        <v/>
      </c>
      <c r="BL122" t="str">
        <f ca="1">IFERROR(IF(0=LEN(ReferenceData!$BL$122),"",ReferenceData!$BL$122),"")</f>
        <v/>
      </c>
      <c r="BM122" t="str">
        <f ca="1">IFERROR(IF(0=LEN(ReferenceData!$BM$122),"",ReferenceData!$BM$122),"")</f>
        <v/>
      </c>
    </row>
    <row r="123" spans="1:65" x14ac:dyDescent="0.25">
      <c r="A123" t="str">
        <f>IFERROR(IF(0=LEN(ReferenceData!$A$123),"",ReferenceData!$A$123),"")</f>
        <v xml:space="preserve">    Tofas Turk Otomobil Fabrikasi AS</v>
      </c>
      <c r="B123" t="str">
        <f>IFERROR(IF(0=LEN(ReferenceData!$B$123),"",ReferenceData!$B$123),"")</f>
        <v>TOASOTRY EO Equity</v>
      </c>
      <c r="C123" t="str">
        <f>IFERROR(IF(0=LEN(ReferenceData!$C$123),"",ReferenceData!$C$123),"")</f>
        <v>EZ010</v>
      </c>
      <c r="D123" t="str">
        <f>IFERROR(IF(0=LEN(ReferenceData!$D$123),"",ReferenceData!$D$123),"")</f>
        <v>BEST_EST_PE_NXT_YR</v>
      </c>
      <c r="E123" t="str">
        <f>IFERROR(IF(0=LEN(ReferenceData!$E$123),"",ReferenceData!$E$123),"")</f>
        <v>Dynamic</v>
      </c>
      <c r="F123" t="str">
        <f ca="1">IFERROR(IF(0=LEN(ReferenceData!$F$123),"",ReferenceData!$F$123),"")</f>
        <v/>
      </c>
      <c r="G123" t="str">
        <f ca="1">IFERROR(IF(0=LEN(ReferenceData!$G$123),"",ReferenceData!$G$123),"")</f>
        <v/>
      </c>
      <c r="H123" t="str">
        <f ca="1">IFERROR(IF(0=LEN(ReferenceData!$H$123),"",ReferenceData!$H$123),"")</f>
        <v/>
      </c>
      <c r="I123" t="str">
        <f ca="1">IFERROR(IF(0=LEN(ReferenceData!$I$123),"",ReferenceData!$I$123),"")</f>
        <v/>
      </c>
      <c r="J123" t="str">
        <f ca="1">IFERROR(IF(0=LEN(ReferenceData!$J$123),"",ReferenceData!$J$123),"")</f>
        <v/>
      </c>
      <c r="K123" t="str">
        <f ca="1">IFERROR(IF(0=LEN(ReferenceData!$K$123),"",ReferenceData!$K$123),"")</f>
        <v/>
      </c>
      <c r="L123" t="str">
        <f ca="1">IFERROR(IF(0=LEN(ReferenceData!$L$123),"",ReferenceData!$L$123),"")</f>
        <v/>
      </c>
      <c r="M123" t="str">
        <f ca="1">IFERROR(IF(0=LEN(ReferenceData!$M$123),"",ReferenceData!$M$123),"")</f>
        <v/>
      </c>
      <c r="N123" t="str">
        <f ca="1">IFERROR(IF(0=LEN(ReferenceData!$N$123),"",ReferenceData!$N$123),"")</f>
        <v/>
      </c>
      <c r="O123" t="str">
        <f ca="1">IFERROR(IF(0=LEN(ReferenceData!$O$123),"",ReferenceData!$O$123),"")</f>
        <v/>
      </c>
      <c r="P123" t="str">
        <f ca="1">IFERROR(IF(0=LEN(ReferenceData!$P$123),"",ReferenceData!$P$123),"")</f>
        <v/>
      </c>
      <c r="Q123" t="str">
        <f ca="1">IFERROR(IF(0=LEN(ReferenceData!$Q$123),"",ReferenceData!$Q$123),"")</f>
        <v/>
      </c>
      <c r="R123" t="str">
        <f ca="1">IFERROR(IF(0=LEN(ReferenceData!$R$123),"",ReferenceData!$R$123),"")</f>
        <v/>
      </c>
      <c r="S123" t="str">
        <f ca="1">IFERROR(IF(0=LEN(ReferenceData!$S$123),"",ReferenceData!$S$123),"")</f>
        <v/>
      </c>
      <c r="T123" t="str">
        <f ca="1">IFERROR(IF(0=LEN(ReferenceData!$T$123),"",ReferenceData!$T$123),"")</f>
        <v/>
      </c>
      <c r="U123" t="str">
        <f ca="1">IFERROR(IF(0=LEN(ReferenceData!$U$123),"",ReferenceData!$U$123),"")</f>
        <v/>
      </c>
      <c r="V123" t="str">
        <f ca="1">IFERROR(IF(0=LEN(ReferenceData!$V$123),"",ReferenceData!$V$123),"")</f>
        <v/>
      </c>
      <c r="W123" t="str">
        <f ca="1">IFERROR(IF(0=LEN(ReferenceData!$W$123),"",ReferenceData!$W$123),"")</f>
        <v/>
      </c>
      <c r="X123" t="str">
        <f ca="1">IFERROR(IF(0=LEN(ReferenceData!$X$123),"",ReferenceData!$X$123),"")</f>
        <v/>
      </c>
      <c r="Y123" t="str">
        <f ca="1">IFERROR(IF(0=LEN(ReferenceData!$Y$123),"",ReferenceData!$Y$123),"")</f>
        <v/>
      </c>
      <c r="Z123" t="str">
        <f ca="1">IFERROR(IF(0=LEN(ReferenceData!$Z$123),"",ReferenceData!$Z$123),"")</f>
        <v/>
      </c>
      <c r="AA123" t="str">
        <f ca="1">IFERROR(IF(0=LEN(ReferenceData!$AA$123),"",ReferenceData!$AA$123),"")</f>
        <v/>
      </c>
      <c r="AB123" t="str">
        <f ca="1">IFERROR(IF(0=LEN(ReferenceData!$AB$123),"",ReferenceData!$AB$123),"")</f>
        <v/>
      </c>
      <c r="AC123" t="str">
        <f ca="1">IFERROR(IF(0=LEN(ReferenceData!$AC$123),"",ReferenceData!$AC$123),"")</f>
        <v/>
      </c>
      <c r="AD123" t="str">
        <f ca="1">IFERROR(IF(0=LEN(ReferenceData!$AD$123),"",ReferenceData!$AD$123),"")</f>
        <v/>
      </c>
      <c r="AE123" t="str">
        <f ca="1">IFERROR(IF(0=LEN(ReferenceData!$AE$123),"",ReferenceData!$AE$123),"")</f>
        <v/>
      </c>
      <c r="AF123" t="str">
        <f ca="1">IFERROR(IF(0=LEN(ReferenceData!$AF$123),"",ReferenceData!$AF$123),"")</f>
        <v/>
      </c>
      <c r="AG123" t="str">
        <f ca="1">IFERROR(IF(0=LEN(ReferenceData!$AG$123),"",ReferenceData!$AG$123),"")</f>
        <v/>
      </c>
      <c r="AH123" t="str">
        <f ca="1">IFERROR(IF(0=LEN(ReferenceData!$AH$123),"",ReferenceData!$AH$123),"")</f>
        <v/>
      </c>
      <c r="AI123" t="str">
        <f ca="1">IFERROR(IF(0=LEN(ReferenceData!$AI$123),"",ReferenceData!$AI$123),"")</f>
        <v/>
      </c>
      <c r="AJ123" t="str">
        <f ca="1">IFERROR(IF(0=LEN(ReferenceData!$AJ$123),"",ReferenceData!$AJ$123),"")</f>
        <v/>
      </c>
      <c r="AK123" t="str">
        <f ca="1">IFERROR(IF(0=LEN(ReferenceData!$AK$123),"",ReferenceData!$AK$123),"")</f>
        <v/>
      </c>
      <c r="AL123" t="str">
        <f ca="1">IFERROR(IF(0=LEN(ReferenceData!$AL$123),"",ReferenceData!$AL$123),"")</f>
        <v/>
      </c>
      <c r="AM123" t="str">
        <f ca="1">IFERROR(IF(0=LEN(ReferenceData!$AM$123),"",ReferenceData!$AM$123),"")</f>
        <v/>
      </c>
      <c r="AN123" t="str">
        <f ca="1">IFERROR(IF(0=LEN(ReferenceData!$AN$123),"",ReferenceData!$AN$123),"")</f>
        <v/>
      </c>
      <c r="AO123" t="str">
        <f ca="1">IFERROR(IF(0=LEN(ReferenceData!$AO$123),"",ReferenceData!$AO$123),"")</f>
        <v/>
      </c>
      <c r="AP123" t="str">
        <f ca="1">IFERROR(IF(0=LEN(ReferenceData!$AP$123),"",ReferenceData!$AP$123),"")</f>
        <v/>
      </c>
      <c r="AQ123" t="str">
        <f ca="1">IFERROR(IF(0=LEN(ReferenceData!$AQ$123),"",ReferenceData!$AQ$123),"")</f>
        <v/>
      </c>
      <c r="AR123" t="str">
        <f ca="1">IFERROR(IF(0=LEN(ReferenceData!$AR$123),"",ReferenceData!$AR$123),"")</f>
        <v/>
      </c>
      <c r="AS123" t="str">
        <f ca="1">IFERROR(IF(0=LEN(ReferenceData!$AS$123),"",ReferenceData!$AS$123),"")</f>
        <v/>
      </c>
      <c r="AT123" t="str">
        <f ca="1">IFERROR(IF(0=LEN(ReferenceData!$AT$123),"",ReferenceData!$AT$123),"")</f>
        <v/>
      </c>
      <c r="AU123" t="str">
        <f ca="1">IFERROR(IF(0=LEN(ReferenceData!$AU$123),"",ReferenceData!$AU$123),"")</f>
        <v/>
      </c>
      <c r="AV123" t="str">
        <f ca="1">IFERROR(IF(0=LEN(ReferenceData!$AV$123),"",ReferenceData!$AV$123),"")</f>
        <v/>
      </c>
      <c r="AW123" t="str">
        <f ca="1">IFERROR(IF(0=LEN(ReferenceData!$AW$123),"",ReferenceData!$AW$123),"")</f>
        <v/>
      </c>
      <c r="AX123" t="str">
        <f ca="1">IFERROR(IF(0=LEN(ReferenceData!$AX$123),"",ReferenceData!$AX$123),"")</f>
        <v/>
      </c>
      <c r="AY123" t="str">
        <f ca="1">IFERROR(IF(0=LEN(ReferenceData!$AY$123),"",ReferenceData!$AY$123),"")</f>
        <v/>
      </c>
      <c r="AZ123" t="str">
        <f ca="1">IFERROR(IF(0=LEN(ReferenceData!$AZ$123),"",ReferenceData!$AZ$123),"")</f>
        <v/>
      </c>
      <c r="BA123" t="str">
        <f ca="1">IFERROR(IF(0=LEN(ReferenceData!$BA$123),"",ReferenceData!$BA$123),"")</f>
        <v/>
      </c>
      <c r="BB123" t="str">
        <f ca="1">IFERROR(IF(0=LEN(ReferenceData!$BB$123),"",ReferenceData!$BB$123),"")</f>
        <v/>
      </c>
      <c r="BC123" t="str">
        <f ca="1">IFERROR(IF(0=LEN(ReferenceData!$BC$123),"",ReferenceData!$BC$123),"")</f>
        <v/>
      </c>
      <c r="BD123" t="str">
        <f ca="1">IFERROR(IF(0=LEN(ReferenceData!$BD$123),"",ReferenceData!$BD$123),"")</f>
        <v/>
      </c>
      <c r="BE123" t="str">
        <f ca="1">IFERROR(IF(0=LEN(ReferenceData!$BE$123),"",ReferenceData!$BE$123),"")</f>
        <v/>
      </c>
      <c r="BF123" t="str">
        <f ca="1">IFERROR(IF(0=LEN(ReferenceData!$BF$123),"",ReferenceData!$BF$123),"")</f>
        <v/>
      </c>
      <c r="BG123" t="str">
        <f ca="1">IFERROR(IF(0=LEN(ReferenceData!$BG$123),"",ReferenceData!$BG$123),"")</f>
        <v/>
      </c>
      <c r="BH123" t="str">
        <f ca="1">IFERROR(IF(0=LEN(ReferenceData!$BH$123),"",ReferenceData!$BH$123),"")</f>
        <v/>
      </c>
      <c r="BI123" t="str">
        <f ca="1">IFERROR(IF(0=LEN(ReferenceData!$BI$123),"",ReferenceData!$BI$123),"")</f>
        <v/>
      </c>
      <c r="BJ123" t="str">
        <f ca="1">IFERROR(IF(0=LEN(ReferenceData!$BJ$123),"",ReferenceData!$BJ$123),"")</f>
        <v/>
      </c>
      <c r="BK123" t="str">
        <f ca="1">IFERROR(IF(0=LEN(ReferenceData!$BK$123),"",ReferenceData!$BK$123),"")</f>
        <v/>
      </c>
      <c r="BL123" t="str">
        <f ca="1">IFERROR(IF(0=LEN(ReferenceData!$BL$123),"",ReferenceData!$BL$123),"")</f>
        <v/>
      </c>
      <c r="BM123" t="str">
        <f ca="1">IFERROR(IF(0=LEN(ReferenceData!$BM$123),"",ReferenceData!$BM$123),"")</f>
        <v/>
      </c>
    </row>
    <row r="124" spans="1:65" x14ac:dyDescent="0.25">
      <c r="A124" t="str">
        <f>IFERROR(IF(0=LEN(ReferenceData!$A$124),"",ReferenceData!$A$124),"")</f>
        <v xml:space="preserve">    Toyota Motor Corp</v>
      </c>
      <c r="B124" t="str">
        <f>IFERROR(IF(0=LEN(ReferenceData!$B$124),"",ReferenceData!$B$124),"")</f>
        <v>7203 JP Equity</v>
      </c>
      <c r="C124" t="str">
        <f>IFERROR(IF(0=LEN(ReferenceData!$C$124),"",ReferenceData!$C$124),"")</f>
        <v>EZ010</v>
      </c>
      <c r="D124" t="str">
        <f>IFERROR(IF(0=LEN(ReferenceData!$D$124),"",ReferenceData!$D$124),"")</f>
        <v>BEST_EST_PE_NXT_YR</v>
      </c>
      <c r="E124" t="str">
        <f>IFERROR(IF(0=LEN(ReferenceData!$E$124),"",ReferenceData!$E$124),"")</f>
        <v>Dynamic</v>
      </c>
      <c r="F124">
        <f ca="1">IFERROR(IF(0=LEN(ReferenceData!$F$124),"",ReferenceData!$F$124),"")</f>
        <v>7.8587144660000003</v>
      </c>
      <c r="G124">
        <f ca="1">IFERROR(IF(0=LEN(ReferenceData!$G$124),"",ReferenceData!$G$124),"")</f>
        <v>7.4534306030000002</v>
      </c>
      <c r="H124">
        <f ca="1">IFERROR(IF(0=LEN(ReferenceData!$H$124),"",ReferenceData!$H$124),"")</f>
        <v>8.3642498169999993</v>
      </c>
      <c r="I124">
        <f ca="1">IFERROR(IF(0=LEN(ReferenceData!$I$124),"",ReferenceData!$I$124),"")</f>
        <v>8.5153484109999997</v>
      </c>
      <c r="J124">
        <f ca="1">IFERROR(IF(0=LEN(ReferenceData!$J$124),"",ReferenceData!$J$124),"")</f>
        <v>8.7644275960000009</v>
      </c>
      <c r="K124">
        <f ca="1">IFERROR(IF(0=LEN(ReferenceData!$K$124),"",ReferenceData!$K$124),"")</f>
        <v>9.5747448679999998</v>
      </c>
      <c r="L124">
        <f ca="1">IFERROR(IF(0=LEN(ReferenceData!$L$124),"",ReferenceData!$L$124),"")</f>
        <v>9.4167640860000006</v>
      </c>
      <c r="M124">
        <f ca="1">IFERROR(IF(0=LEN(ReferenceData!$M$124),"",ReferenceData!$M$124),"")</f>
        <v>8.62962746</v>
      </c>
      <c r="N124">
        <f ca="1">IFERROR(IF(0=LEN(ReferenceData!$N$124),"",ReferenceData!$N$124),"")</f>
        <v>7.1702792989999997</v>
      </c>
      <c r="O124">
        <f ca="1">IFERROR(IF(0=LEN(ReferenceData!$O$124),"",ReferenceData!$O$124),"")</f>
        <v>8.7018129829999999</v>
      </c>
      <c r="P124">
        <f ca="1">IFERROR(IF(0=LEN(ReferenceData!$P$124),"",ReferenceData!$P$124),"")</f>
        <v>8.1625446690000008</v>
      </c>
      <c r="Q124">
        <f ca="1">IFERROR(IF(0=LEN(ReferenceData!$Q$124),"",ReferenceData!$Q$124),"")</f>
        <v>6.4739931799999999</v>
      </c>
      <c r="R124">
        <f ca="1">IFERROR(IF(0=LEN(ReferenceData!$R$124),"",ReferenceData!$R$124),"")</f>
        <v>6.2899794670000002</v>
      </c>
      <c r="S124">
        <f ca="1">IFERROR(IF(0=LEN(ReferenceData!$S$124),"",ReferenceData!$S$124),"")</f>
        <v>6.865001146</v>
      </c>
      <c r="T124">
        <f ca="1">IFERROR(IF(0=LEN(ReferenceData!$T$124),"",ReferenceData!$T$124),"")</f>
        <v>6.3630140109999997</v>
      </c>
      <c r="U124">
        <f ca="1">IFERROR(IF(0=LEN(ReferenceData!$U$124),"",ReferenceData!$U$124),"")</f>
        <v>7.4373271680000004</v>
      </c>
      <c r="V124" t="str">
        <f ca="1">IFERROR(IF(0=LEN(ReferenceData!$V$124),"",ReferenceData!$V$124),"")</f>
        <v/>
      </c>
      <c r="W124" t="str">
        <f ca="1">IFERROR(IF(0=LEN(ReferenceData!$W$124),"",ReferenceData!$W$124),"")</f>
        <v/>
      </c>
      <c r="X124" t="str">
        <f ca="1">IFERROR(IF(0=LEN(ReferenceData!$X$124),"",ReferenceData!$X$124),"")</f>
        <v/>
      </c>
      <c r="Y124" t="str">
        <f ca="1">IFERROR(IF(0=LEN(ReferenceData!$Y$124),"",ReferenceData!$Y$124),"")</f>
        <v/>
      </c>
      <c r="Z124" t="str">
        <f ca="1">IFERROR(IF(0=LEN(ReferenceData!$Z$124),"",ReferenceData!$Z$124),"")</f>
        <v/>
      </c>
      <c r="AA124" t="str">
        <f ca="1">IFERROR(IF(0=LEN(ReferenceData!$AA$124),"",ReferenceData!$AA$124),"")</f>
        <v/>
      </c>
      <c r="AB124" t="str">
        <f ca="1">IFERROR(IF(0=LEN(ReferenceData!$AB$124),"",ReferenceData!$AB$124),"")</f>
        <v/>
      </c>
      <c r="AC124" t="str">
        <f ca="1">IFERROR(IF(0=LEN(ReferenceData!$AC$124),"",ReferenceData!$AC$124),"")</f>
        <v/>
      </c>
      <c r="AD124" t="str">
        <f ca="1">IFERROR(IF(0=LEN(ReferenceData!$AD$124),"",ReferenceData!$AD$124),"")</f>
        <v/>
      </c>
      <c r="AE124" t="str">
        <f ca="1">IFERROR(IF(0=LEN(ReferenceData!$AE$124),"",ReferenceData!$AE$124),"")</f>
        <v/>
      </c>
      <c r="AF124" t="str">
        <f ca="1">IFERROR(IF(0=LEN(ReferenceData!$AF$124),"",ReferenceData!$AF$124),"")</f>
        <v/>
      </c>
      <c r="AG124" t="str">
        <f ca="1">IFERROR(IF(0=LEN(ReferenceData!$AG$124),"",ReferenceData!$AG$124),"")</f>
        <v/>
      </c>
      <c r="AH124" t="str">
        <f ca="1">IFERROR(IF(0=LEN(ReferenceData!$AH$124),"",ReferenceData!$AH$124),"")</f>
        <v/>
      </c>
      <c r="AI124" t="str">
        <f ca="1">IFERROR(IF(0=LEN(ReferenceData!$AI$124),"",ReferenceData!$AI$124),"")</f>
        <v/>
      </c>
      <c r="AJ124" t="str">
        <f ca="1">IFERROR(IF(0=LEN(ReferenceData!$AJ$124),"",ReferenceData!$AJ$124),"")</f>
        <v/>
      </c>
      <c r="AK124" t="str">
        <f ca="1">IFERROR(IF(0=LEN(ReferenceData!$AK$124),"",ReferenceData!$AK$124),"")</f>
        <v/>
      </c>
      <c r="AL124" t="str">
        <f ca="1">IFERROR(IF(0=LEN(ReferenceData!$AL$124),"",ReferenceData!$AL$124),"")</f>
        <v/>
      </c>
      <c r="AM124" t="str">
        <f ca="1">IFERROR(IF(0=LEN(ReferenceData!$AM$124),"",ReferenceData!$AM$124),"")</f>
        <v/>
      </c>
      <c r="AN124" t="str">
        <f ca="1">IFERROR(IF(0=LEN(ReferenceData!$AN$124),"",ReferenceData!$AN$124),"")</f>
        <v/>
      </c>
      <c r="AO124" t="str">
        <f ca="1">IFERROR(IF(0=LEN(ReferenceData!$AO$124),"",ReferenceData!$AO$124),"")</f>
        <v/>
      </c>
      <c r="AP124" t="str">
        <f ca="1">IFERROR(IF(0=LEN(ReferenceData!$AP$124),"",ReferenceData!$AP$124),"")</f>
        <v/>
      </c>
      <c r="AQ124" t="str">
        <f ca="1">IFERROR(IF(0=LEN(ReferenceData!$AQ$124),"",ReferenceData!$AQ$124),"")</f>
        <v/>
      </c>
      <c r="AR124" t="str">
        <f ca="1">IFERROR(IF(0=LEN(ReferenceData!$AR$124),"",ReferenceData!$AR$124),"")</f>
        <v/>
      </c>
      <c r="AS124" t="str">
        <f ca="1">IFERROR(IF(0=LEN(ReferenceData!$AS$124),"",ReferenceData!$AS$124),"")</f>
        <v/>
      </c>
      <c r="AT124" t="str">
        <f ca="1">IFERROR(IF(0=LEN(ReferenceData!$AT$124),"",ReferenceData!$AT$124),"")</f>
        <v/>
      </c>
      <c r="AU124" t="str">
        <f ca="1">IFERROR(IF(0=LEN(ReferenceData!$AU$124),"",ReferenceData!$AU$124),"")</f>
        <v/>
      </c>
      <c r="AV124" t="str">
        <f ca="1">IFERROR(IF(0=LEN(ReferenceData!$AV$124),"",ReferenceData!$AV$124),"")</f>
        <v/>
      </c>
      <c r="AW124" t="str">
        <f ca="1">IFERROR(IF(0=LEN(ReferenceData!$AW$124),"",ReferenceData!$AW$124),"")</f>
        <v/>
      </c>
      <c r="AX124" t="str">
        <f ca="1">IFERROR(IF(0=LEN(ReferenceData!$AX$124),"",ReferenceData!$AX$124),"")</f>
        <v/>
      </c>
      <c r="AY124" t="str">
        <f ca="1">IFERROR(IF(0=LEN(ReferenceData!$AY$124),"",ReferenceData!$AY$124),"")</f>
        <v/>
      </c>
      <c r="AZ124" t="str">
        <f ca="1">IFERROR(IF(0=LEN(ReferenceData!$AZ$124),"",ReferenceData!$AZ$124),"")</f>
        <v/>
      </c>
      <c r="BA124" t="str">
        <f ca="1">IFERROR(IF(0=LEN(ReferenceData!$BA$124),"",ReferenceData!$BA$124),"")</f>
        <v/>
      </c>
      <c r="BB124" t="str">
        <f ca="1">IFERROR(IF(0=LEN(ReferenceData!$BB$124),"",ReferenceData!$BB$124),"")</f>
        <v/>
      </c>
      <c r="BC124" t="str">
        <f ca="1">IFERROR(IF(0=LEN(ReferenceData!$BC$124),"",ReferenceData!$BC$124),"")</f>
        <v/>
      </c>
      <c r="BD124" t="str">
        <f ca="1">IFERROR(IF(0=LEN(ReferenceData!$BD$124),"",ReferenceData!$BD$124),"")</f>
        <v/>
      </c>
      <c r="BE124" t="str">
        <f ca="1">IFERROR(IF(0=LEN(ReferenceData!$BE$124),"",ReferenceData!$BE$124),"")</f>
        <v/>
      </c>
      <c r="BF124" t="str">
        <f ca="1">IFERROR(IF(0=LEN(ReferenceData!$BF$124),"",ReferenceData!$BF$124),"")</f>
        <v/>
      </c>
      <c r="BG124" t="str">
        <f ca="1">IFERROR(IF(0=LEN(ReferenceData!$BG$124),"",ReferenceData!$BG$124),"")</f>
        <v/>
      </c>
      <c r="BH124" t="str">
        <f ca="1">IFERROR(IF(0=LEN(ReferenceData!$BH$124),"",ReferenceData!$BH$124),"")</f>
        <v/>
      </c>
      <c r="BI124" t="str">
        <f ca="1">IFERROR(IF(0=LEN(ReferenceData!$BI$124),"",ReferenceData!$BI$124),"")</f>
        <v/>
      </c>
      <c r="BJ124" t="str">
        <f ca="1">IFERROR(IF(0=LEN(ReferenceData!$BJ$124),"",ReferenceData!$BJ$124),"")</f>
        <v/>
      </c>
      <c r="BK124" t="str">
        <f ca="1">IFERROR(IF(0=LEN(ReferenceData!$BK$124),"",ReferenceData!$BK$124),"")</f>
        <v/>
      </c>
      <c r="BL124" t="str">
        <f ca="1">IFERROR(IF(0=LEN(ReferenceData!$BL$124),"",ReferenceData!$BL$124),"")</f>
        <v/>
      </c>
      <c r="BM124" t="str">
        <f ca="1">IFERROR(IF(0=LEN(ReferenceData!$BM$124),"",ReferenceData!$BM$124),"")</f>
        <v/>
      </c>
    </row>
    <row r="125" spans="1:65" x14ac:dyDescent="0.25">
      <c r="A125" t="str">
        <f>IFERROR(IF(0=LEN(ReferenceData!$A$125),"",ReferenceData!$A$125),"")</f>
        <v xml:space="preserve">    Volkswagen AG</v>
      </c>
      <c r="B125" t="str">
        <f>IFERROR(IF(0=LEN(ReferenceData!$B$125),"",ReferenceData!$B$125),"")</f>
        <v>VOW GR Equity</v>
      </c>
      <c r="C125" t="str">
        <f>IFERROR(IF(0=LEN(ReferenceData!$C$125),"",ReferenceData!$C$125),"")</f>
        <v>EZ010</v>
      </c>
      <c r="D125" t="str">
        <f>IFERROR(IF(0=LEN(ReferenceData!$D$125),"",ReferenceData!$D$125),"")</f>
        <v>BEST_EST_PE_NXT_YR</v>
      </c>
      <c r="E125" t="str">
        <f>IFERROR(IF(0=LEN(ReferenceData!$E$125),"",ReferenceData!$E$125),"")</f>
        <v>Dynamic</v>
      </c>
      <c r="F125">
        <f ca="1">IFERROR(IF(0=LEN(ReferenceData!$F$125),"",ReferenceData!$F$125),"")</f>
        <v>5.4204888169999998</v>
      </c>
      <c r="G125">
        <f ca="1">IFERROR(IF(0=LEN(ReferenceData!$G$125),"",ReferenceData!$G$125),"")</f>
        <v>4.6698224059999998</v>
      </c>
      <c r="H125">
        <f ca="1">IFERROR(IF(0=LEN(ReferenceData!$H$125),"",ReferenceData!$H$125),"")</f>
        <v>4.9010274760000003</v>
      </c>
      <c r="I125">
        <f ca="1">IFERROR(IF(0=LEN(ReferenceData!$I$125),"",ReferenceData!$I$125),"")</f>
        <v>4.8221101419999997</v>
      </c>
      <c r="J125">
        <f ca="1">IFERROR(IF(0=LEN(ReferenceData!$J$125),"",ReferenceData!$J$125),"")</f>
        <v>5.8470926060000004</v>
      </c>
      <c r="K125">
        <f ca="1">IFERROR(IF(0=LEN(ReferenceData!$K$125),"",ReferenceData!$K$125),"")</f>
        <v>6.4802366229999997</v>
      </c>
      <c r="L125">
        <f ca="1">IFERROR(IF(0=LEN(ReferenceData!$L$125),"",ReferenceData!$L$125),"")</f>
        <v>6.0949091839999996</v>
      </c>
      <c r="M125">
        <f ca="1">IFERROR(IF(0=LEN(ReferenceData!$M$125),"",ReferenceData!$M$125),"")</f>
        <v>5.7051872960000001</v>
      </c>
      <c r="N125">
        <f ca="1">IFERROR(IF(0=LEN(ReferenceData!$N$125),"",ReferenceData!$N$125),"")</f>
        <v>6.9994987469999996</v>
      </c>
      <c r="O125">
        <f ca="1">IFERROR(IF(0=LEN(ReferenceData!$O$125),"",ReferenceData!$O$125),"")</f>
        <v>5.7026688910000001</v>
      </c>
      <c r="P125">
        <f ca="1">IFERROR(IF(0=LEN(ReferenceData!$P$125),"",ReferenceData!$P$125),"")</f>
        <v>3.7841578330000001</v>
      </c>
      <c r="Q125">
        <f ca="1">IFERROR(IF(0=LEN(ReferenceData!$Q$125),"",ReferenceData!$Q$125),"")</f>
        <v>4.4260333579999998</v>
      </c>
      <c r="R125" t="str">
        <f ca="1">IFERROR(IF(0=LEN(ReferenceData!$R$125),"",ReferenceData!$R$125),"")</f>
        <v/>
      </c>
      <c r="S125" t="str">
        <f ca="1">IFERROR(IF(0=LEN(ReferenceData!$S$125),"",ReferenceData!$S$125),"")</f>
        <v/>
      </c>
      <c r="T125" t="str">
        <f ca="1">IFERROR(IF(0=LEN(ReferenceData!$T$125),"",ReferenceData!$T$125),"")</f>
        <v/>
      </c>
      <c r="U125" t="str">
        <f ca="1">IFERROR(IF(0=LEN(ReferenceData!$U$125),"",ReferenceData!$U$125),"")</f>
        <v/>
      </c>
      <c r="V125" t="str">
        <f ca="1">IFERROR(IF(0=LEN(ReferenceData!$V$125),"",ReferenceData!$V$125),"")</f>
        <v/>
      </c>
      <c r="W125" t="str">
        <f ca="1">IFERROR(IF(0=LEN(ReferenceData!$W$125),"",ReferenceData!$W$125),"")</f>
        <v/>
      </c>
      <c r="X125" t="str">
        <f ca="1">IFERROR(IF(0=LEN(ReferenceData!$X$125),"",ReferenceData!$X$125),"")</f>
        <v/>
      </c>
      <c r="Y125" t="str">
        <f ca="1">IFERROR(IF(0=LEN(ReferenceData!$Y$125),"",ReferenceData!$Y$125),"")</f>
        <v/>
      </c>
      <c r="Z125" t="str">
        <f ca="1">IFERROR(IF(0=LEN(ReferenceData!$Z$125),"",ReferenceData!$Z$125),"")</f>
        <v/>
      </c>
      <c r="AA125" t="str">
        <f ca="1">IFERROR(IF(0=LEN(ReferenceData!$AA$125),"",ReferenceData!$AA$125),"")</f>
        <v/>
      </c>
      <c r="AB125" t="str">
        <f ca="1">IFERROR(IF(0=LEN(ReferenceData!$AB$125),"",ReferenceData!$AB$125),"")</f>
        <v/>
      </c>
      <c r="AC125" t="str">
        <f ca="1">IFERROR(IF(0=LEN(ReferenceData!$AC$125),"",ReferenceData!$AC$125),"")</f>
        <v/>
      </c>
      <c r="AD125" t="str">
        <f ca="1">IFERROR(IF(0=LEN(ReferenceData!$AD$125),"",ReferenceData!$AD$125),"")</f>
        <v/>
      </c>
      <c r="AE125" t="str">
        <f ca="1">IFERROR(IF(0=LEN(ReferenceData!$AE$125),"",ReferenceData!$AE$125),"")</f>
        <v/>
      </c>
      <c r="AF125" t="str">
        <f ca="1">IFERROR(IF(0=LEN(ReferenceData!$AF$125),"",ReferenceData!$AF$125),"")</f>
        <v/>
      </c>
      <c r="AG125" t="str">
        <f ca="1">IFERROR(IF(0=LEN(ReferenceData!$AG$125),"",ReferenceData!$AG$125),"")</f>
        <v/>
      </c>
      <c r="AH125" t="str">
        <f ca="1">IFERROR(IF(0=LEN(ReferenceData!$AH$125),"",ReferenceData!$AH$125),"")</f>
        <v/>
      </c>
      <c r="AI125" t="str">
        <f ca="1">IFERROR(IF(0=LEN(ReferenceData!$AI$125),"",ReferenceData!$AI$125),"")</f>
        <v/>
      </c>
      <c r="AJ125" t="str">
        <f ca="1">IFERROR(IF(0=LEN(ReferenceData!$AJ$125),"",ReferenceData!$AJ$125),"")</f>
        <v/>
      </c>
      <c r="AK125" t="str">
        <f ca="1">IFERROR(IF(0=LEN(ReferenceData!$AK$125),"",ReferenceData!$AK$125),"")</f>
        <v/>
      </c>
      <c r="AL125" t="str">
        <f ca="1">IFERROR(IF(0=LEN(ReferenceData!$AL$125),"",ReferenceData!$AL$125),"")</f>
        <v/>
      </c>
      <c r="AM125" t="str">
        <f ca="1">IFERROR(IF(0=LEN(ReferenceData!$AM$125),"",ReferenceData!$AM$125),"")</f>
        <v/>
      </c>
      <c r="AN125" t="str">
        <f ca="1">IFERROR(IF(0=LEN(ReferenceData!$AN$125),"",ReferenceData!$AN$125),"")</f>
        <v/>
      </c>
      <c r="AO125" t="str">
        <f ca="1">IFERROR(IF(0=LEN(ReferenceData!$AO$125),"",ReferenceData!$AO$125),"")</f>
        <v/>
      </c>
      <c r="AP125" t="str">
        <f ca="1">IFERROR(IF(0=LEN(ReferenceData!$AP$125),"",ReferenceData!$AP$125),"")</f>
        <v/>
      </c>
      <c r="AQ125" t="str">
        <f ca="1">IFERROR(IF(0=LEN(ReferenceData!$AQ$125),"",ReferenceData!$AQ$125),"")</f>
        <v/>
      </c>
      <c r="AR125" t="str">
        <f ca="1">IFERROR(IF(0=LEN(ReferenceData!$AR$125),"",ReferenceData!$AR$125),"")</f>
        <v/>
      </c>
      <c r="AS125" t="str">
        <f ca="1">IFERROR(IF(0=LEN(ReferenceData!$AS$125),"",ReferenceData!$AS$125),"")</f>
        <v/>
      </c>
      <c r="AT125" t="str">
        <f ca="1">IFERROR(IF(0=LEN(ReferenceData!$AT$125),"",ReferenceData!$AT$125),"")</f>
        <v/>
      </c>
      <c r="AU125" t="str">
        <f ca="1">IFERROR(IF(0=LEN(ReferenceData!$AU$125),"",ReferenceData!$AU$125),"")</f>
        <v/>
      </c>
      <c r="AV125" t="str">
        <f ca="1">IFERROR(IF(0=LEN(ReferenceData!$AV$125),"",ReferenceData!$AV$125),"")</f>
        <v/>
      </c>
      <c r="AW125" t="str">
        <f ca="1">IFERROR(IF(0=LEN(ReferenceData!$AW$125),"",ReferenceData!$AW$125),"")</f>
        <v/>
      </c>
      <c r="AX125" t="str">
        <f ca="1">IFERROR(IF(0=LEN(ReferenceData!$AX$125),"",ReferenceData!$AX$125),"")</f>
        <v/>
      </c>
      <c r="AY125" t="str">
        <f ca="1">IFERROR(IF(0=LEN(ReferenceData!$AY$125),"",ReferenceData!$AY$125),"")</f>
        <v/>
      </c>
      <c r="AZ125" t="str">
        <f ca="1">IFERROR(IF(0=LEN(ReferenceData!$AZ$125),"",ReferenceData!$AZ$125),"")</f>
        <v/>
      </c>
      <c r="BA125" t="str">
        <f ca="1">IFERROR(IF(0=LEN(ReferenceData!$BA$125),"",ReferenceData!$BA$125),"")</f>
        <v/>
      </c>
      <c r="BB125" t="str">
        <f ca="1">IFERROR(IF(0=LEN(ReferenceData!$BB$125),"",ReferenceData!$BB$125),"")</f>
        <v/>
      </c>
      <c r="BC125" t="str">
        <f ca="1">IFERROR(IF(0=LEN(ReferenceData!$BC$125),"",ReferenceData!$BC$125),"")</f>
        <v/>
      </c>
      <c r="BD125" t="str">
        <f ca="1">IFERROR(IF(0=LEN(ReferenceData!$BD$125),"",ReferenceData!$BD$125),"")</f>
        <v/>
      </c>
      <c r="BE125" t="str">
        <f ca="1">IFERROR(IF(0=LEN(ReferenceData!$BE$125),"",ReferenceData!$BE$125),"")</f>
        <v/>
      </c>
      <c r="BF125" t="str">
        <f ca="1">IFERROR(IF(0=LEN(ReferenceData!$BF$125),"",ReferenceData!$BF$125),"")</f>
        <v/>
      </c>
      <c r="BG125" t="str">
        <f ca="1">IFERROR(IF(0=LEN(ReferenceData!$BG$125),"",ReferenceData!$BG$125),"")</f>
        <v/>
      </c>
      <c r="BH125" t="str">
        <f ca="1">IFERROR(IF(0=LEN(ReferenceData!$BH$125),"",ReferenceData!$BH$125),"")</f>
        <v/>
      </c>
      <c r="BI125" t="str">
        <f ca="1">IFERROR(IF(0=LEN(ReferenceData!$BI$125),"",ReferenceData!$BI$125),"")</f>
        <v/>
      </c>
      <c r="BJ125" t="str">
        <f ca="1">IFERROR(IF(0=LEN(ReferenceData!$BJ$125),"",ReferenceData!$BJ$125),"")</f>
        <v/>
      </c>
      <c r="BK125" t="str">
        <f ca="1">IFERROR(IF(0=LEN(ReferenceData!$BK$125),"",ReferenceData!$BK$125),"")</f>
        <v/>
      </c>
      <c r="BL125" t="str">
        <f ca="1">IFERROR(IF(0=LEN(ReferenceData!$BL$125),"",ReferenceData!$BL$125),"")</f>
        <v/>
      </c>
      <c r="BM125" t="str">
        <f ca="1">IFERROR(IF(0=LEN(ReferenceData!$BM$125),"",ReferenceData!$BM$125),"")</f>
        <v/>
      </c>
    </row>
    <row r="126" spans="1:65" x14ac:dyDescent="0.25">
      <c r="A126" t="str">
        <f>IFERROR(IF(0=LEN(ReferenceData!$A$126),"",ReferenceData!$A$126),"")</f>
        <v xml:space="preserve">    Yulon Motor Co Ltd</v>
      </c>
      <c r="B126" t="str">
        <f>IFERROR(IF(0=LEN(ReferenceData!$B$126),"",ReferenceData!$B$126),"")</f>
        <v>2201 TT Equity</v>
      </c>
      <c r="C126" t="str">
        <f>IFERROR(IF(0=LEN(ReferenceData!$C$126),"",ReferenceData!$C$126),"")</f>
        <v>EZ010</v>
      </c>
      <c r="D126" t="str">
        <f>IFERROR(IF(0=LEN(ReferenceData!$D$126),"",ReferenceData!$D$126),"")</f>
        <v>BEST_EST_PE_NXT_YR</v>
      </c>
      <c r="E126" t="str">
        <f>IFERROR(IF(0=LEN(ReferenceData!$E$126),"",ReferenceData!$E$126),"")</f>
        <v>Dynamic</v>
      </c>
      <c r="F126">
        <f ca="1">IFERROR(IF(0=LEN(ReferenceData!$F$126),"",ReferenceData!$F$126),"")</f>
        <v>12.91866029</v>
      </c>
      <c r="G126">
        <f ca="1">IFERROR(IF(0=LEN(ReferenceData!$G$126),"",ReferenceData!$G$126),"")</f>
        <v>12.440191390000001</v>
      </c>
      <c r="H126">
        <f ca="1">IFERROR(IF(0=LEN(ReferenceData!$H$126),"",ReferenceData!$H$126),"")</f>
        <v>15.5</v>
      </c>
      <c r="I126" t="str">
        <f ca="1">IFERROR(IF(0=LEN(ReferenceData!$I$126),"",ReferenceData!$I$126),"")</f>
        <v/>
      </c>
      <c r="J126" t="str">
        <f ca="1">IFERROR(IF(0=LEN(ReferenceData!$J$126),"",ReferenceData!$J$126),"")</f>
        <v/>
      </c>
      <c r="K126" t="str">
        <f ca="1">IFERROR(IF(0=LEN(ReferenceData!$K$126),"",ReferenceData!$K$126),"")</f>
        <v/>
      </c>
      <c r="L126" t="str">
        <f ca="1">IFERROR(IF(0=LEN(ReferenceData!$L$126),"",ReferenceData!$L$126),"")</f>
        <v/>
      </c>
      <c r="M126" t="str">
        <f ca="1">IFERROR(IF(0=LEN(ReferenceData!$M$126),"",ReferenceData!$M$126),"")</f>
        <v/>
      </c>
      <c r="N126" t="str">
        <f ca="1">IFERROR(IF(0=LEN(ReferenceData!$N$126),"",ReferenceData!$N$126),"")</f>
        <v/>
      </c>
      <c r="O126" t="str">
        <f ca="1">IFERROR(IF(0=LEN(ReferenceData!$O$126),"",ReferenceData!$O$126),"")</f>
        <v/>
      </c>
      <c r="P126" t="str">
        <f ca="1">IFERROR(IF(0=LEN(ReferenceData!$P$126),"",ReferenceData!$P$126),"")</f>
        <v/>
      </c>
      <c r="Q126" t="str">
        <f ca="1">IFERROR(IF(0=LEN(ReferenceData!$Q$126),"",ReferenceData!$Q$126),"")</f>
        <v/>
      </c>
      <c r="R126" t="str">
        <f ca="1">IFERROR(IF(0=LEN(ReferenceData!$R$126),"",ReferenceData!$R$126),"")</f>
        <v/>
      </c>
      <c r="S126" t="str">
        <f ca="1">IFERROR(IF(0=LEN(ReferenceData!$S$126),"",ReferenceData!$S$126),"")</f>
        <v/>
      </c>
      <c r="T126" t="str">
        <f ca="1">IFERROR(IF(0=LEN(ReferenceData!$T$126),"",ReferenceData!$T$126),"")</f>
        <v/>
      </c>
      <c r="U126" t="str">
        <f ca="1">IFERROR(IF(0=LEN(ReferenceData!$U$126),"",ReferenceData!$U$126),"")</f>
        <v/>
      </c>
      <c r="V126" t="str">
        <f ca="1">IFERROR(IF(0=LEN(ReferenceData!$V$126),"",ReferenceData!$V$126),"")</f>
        <v/>
      </c>
      <c r="W126" t="str">
        <f ca="1">IFERROR(IF(0=LEN(ReferenceData!$W$126),"",ReferenceData!$W$126),"")</f>
        <v/>
      </c>
      <c r="X126" t="str">
        <f ca="1">IFERROR(IF(0=LEN(ReferenceData!$X$126),"",ReferenceData!$X$126),"")</f>
        <v/>
      </c>
      <c r="Y126" t="str">
        <f ca="1">IFERROR(IF(0=LEN(ReferenceData!$Y$126),"",ReferenceData!$Y$126),"")</f>
        <v/>
      </c>
      <c r="Z126" t="str">
        <f ca="1">IFERROR(IF(0=LEN(ReferenceData!$Z$126),"",ReferenceData!$Z$126),"")</f>
        <v/>
      </c>
      <c r="AA126" t="str">
        <f ca="1">IFERROR(IF(0=LEN(ReferenceData!$AA$126),"",ReferenceData!$AA$126),"")</f>
        <v/>
      </c>
      <c r="AB126" t="str">
        <f ca="1">IFERROR(IF(0=LEN(ReferenceData!$AB$126),"",ReferenceData!$AB$126),"")</f>
        <v/>
      </c>
      <c r="AC126" t="str">
        <f ca="1">IFERROR(IF(0=LEN(ReferenceData!$AC$126),"",ReferenceData!$AC$126),"")</f>
        <v/>
      </c>
      <c r="AD126" t="str">
        <f ca="1">IFERROR(IF(0=LEN(ReferenceData!$AD$126),"",ReferenceData!$AD$126),"")</f>
        <v/>
      </c>
      <c r="AE126" t="str">
        <f ca="1">IFERROR(IF(0=LEN(ReferenceData!$AE$126),"",ReferenceData!$AE$126),"")</f>
        <v/>
      </c>
      <c r="AF126" t="str">
        <f ca="1">IFERROR(IF(0=LEN(ReferenceData!$AF$126),"",ReferenceData!$AF$126),"")</f>
        <v/>
      </c>
      <c r="AG126" t="str">
        <f ca="1">IFERROR(IF(0=LEN(ReferenceData!$AG$126),"",ReferenceData!$AG$126),"")</f>
        <v/>
      </c>
      <c r="AH126" t="str">
        <f ca="1">IFERROR(IF(0=LEN(ReferenceData!$AH$126),"",ReferenceData!$AH$126),"")</f>
        <v/>
      </c>
      <c r="AI126" t="str">
        <f ca="1">IFERROR(IF(0=LEN(ReferenceData!$AI$126),"",ReferenceData!$AI$126),"")</f>
        <v/>
      </c>
      <c r="AJ126" t="str">
        <f ca="1">IFERROR(IF(0=LEN(ReferenceData!$AJ$126),"",ReferenceData!$AJ$126),"")</f>
        <v/>
      </c>
      <c r="AK126" t="str">
        <f ca="1">IFERROR(IF(0=LEN(ReferenceData!$AK$126),"",ReferenceData!$AK$126),"")</f>
        <v/>
      </c>
      <c r="AL126" t="str">
        <f ca="1">IFERROR(IF(0=LEN(ReferenceData!$AL$126),"",ReferenceData!$AL$126),"")</f>
        <v/>
      </c>
      <c r="AM126" t="str">
        <f ca="1">IFERROR(IF(0=LEN(ReferenceData!$AM$126),"",ReferenceData!$AM$126),"")</f>
        <v/>
      </c>
      <c r="AN126" t="str">
        <f ca="1">IFERROR(IF(0=LEN(ReferenceData!$AN$126),"",ReferenceData!$AN$126),"")</f>
        <v/>
      </c>
      <c r="AO126" t="str">
        <f ca="1">IFERROR(IF(0=LEN(ReferenceData!$AO$126),"",ReferenceData!$AO$126),"")</f>
        <v/>
      </c>
      <c r="AP126" t="str">
        <f ca="1">IFERROR(IF(0=LEN(ReferenceData!$AP$126),"",ReferenceData!$AP$126),"")</f>
        <v/>
      </c>
      <c r="AQ126" t="str">
        <f ca="1">IFERROR(IF(0=LEN(ReferenceData!$AQ$126),"",ReferenceData!$AQ$126),"")</f>
        <v/>
      </c>
      <c r="AR126" t="str">
        <f ca="1">IFERROR(IF(0=LEN(ReferenceData!$AR$126),"",ReferenceData!$AR$126),"")</f>
        <v/>
      </c>
      <c r="AS126" t="str">
        <f ca="1">IFERROR(IF(0=LEN(ReferenceData!$AS$126),"",ReferenceData!$AS$126),"")</f>
        <v/>
      </c>
      <c r="AT126" t="str">
        <f ca="1">IFERROR(IF(0=LEN(ReferenceData!$AT$126),"",ReferenceData!$AT$126),"")</f>
        <v/>
      </c>
      <c r="AU126" t="str">
        <f ca="1">IFERROR(IF(0=LEN(ReferenceData!$AU$126),"",ReferenceData!$AU$126),"")</f>
        <v/>
      </c>
      <c r="AV126" t="str">
        <f ca="1">IFERROR(IF(0=LEN(ReferenceData!$AV$126),"",ReferenceData!$AV$126),"")</f>
        <v/>
      </c>
      <c r="AW126" t="str">
        <f ca="1">IFERROR(IF(0=LEN(ReferenceData!$AW$126),"",ReferenceData!$AW$126),"")</f>
        <v/>
      </c>
      <c r="AX126" t="str">
        <f ca="1">IFERROR(IF(0=LEN(ReferenceData!$AX$126),"",ReferenceData!$AX$126),"")</f>
        <v/>
      </c>
      <c r="AY126" t="str">
        <f ca="1">IFERROR(IF(0=LEN(ReferenceData!$AY$126),"",ReferenceData!$AY$126),"")</f>
        <v/>
      </c>
      <c r="AZ126" t="str">
        <f ca="1">IFERROR(IF(0=LEN(ReferenceData!$AZ$126),"",ReferenceData!$AZ$126),"")</f>
        <v/>
      </c>
      <c r="BA126" t="str">
        <f ca="1">IFERROR(IF(0=LEN(ReferenceData!$BA$126),"",ReferenceData!$BA$126),"")</f>
        <v/>
      </c>
      <c r="BB126" t="str">
        <f ca="1">IFERROR(IF(0=LEN(ReferenceData!$BB$126),"",ReferenceData!$BB$126),"")</f>
        <v/>
      </c>
      <c r="BC126" t="str">
        <f ca="1">IFERROR(IF(0=LEN(ReferenceData!$BC$126),"",ReferenceData!$BC$126),"")</f>
        <v/>
      </c>
      <c r="BD126" t="str">
        <f ca="1">IFERROR(IF(0=LEN(ReferenceData!$BD$126),"",ReferenceData!$BD$126),"")</f>
        <v/>
      </c>
      <c r="BE126" t="str">
        <f ca="1">IFERROR(IF(0=LEN(ReferenceData!$BE$126),"",ReferenceData!$BE$126),"")</f>
        <v/>
      </c>
      <c r="BF126" t="str">
        <f ca="1">IFERROR(IF(0=LEN(ReferenceData!$BF$126),"",ReferenceData!$BF$126),"")</f>
        <v/>
      </c>
      <c r="BG126" t="str">
        <f ca="1">IFERROR(IF(0=LEN(ReferenceData!$BG$126),"",ReferenceData!$BG$126),"")</f>
        <v/>
      </c>
      <c r="BH126" t="str">
        <f ca="1">IFERROR(IF(0=LEN(ReferenceData!$BH$126),"",ReferenceData!$BH$126),"")</f>
        <v/>
      </c>
      <c r="BI126" t="str">
        <f ca="1">IFERROR(IF(0=LEN(ReferenceData!$BI$126),"",ReferenceData!$BI$126),"")</f>
        <v/>
      </c>
      <c r="BJ126" t="str">
        <f ca="1">IFERROR(IF(0=LEN(ReferenceData!$BJ$126),"",ReferenceData!$BJ$126),"")</f>
        <v/>
      </c>
      <c r="BK126" t="str">
        <f ca="1">IFERROR(IF(0=LEN(ReferenceData!$BK$126),"",ReferenceData!$BK$126),"")</f>
        <v/>
      </c>
      <c r="BL126" t="str">
        <f ca="1">IFERROR(IF(0=LEN(ReferenceData!$BL$126),"",ReferenceData!$BL$126),"")</f>
        <v/>
      </c>
      <c r="BM126" t="str">
        <f ca="1">IFERROR(IF(0=LEN(ReferenceData!$BM$126),"",ReferenceData!$BM$126),"")</f>
        <v/>
      </c>
    </row>
    <row r="127" spans="1:65" x14ac:dyDescent="0.25">
      <c r="A127" t="str">
        <f>IFERROR(IF(0=LEN(ReferenceData!$A$127),"",ReferenceData!$A$127),"")</f>
        <v>P/Book</v>
      </c>
      <c r="B127" t="str">
        <f>IFERROR(IF(0=LEN(ReferenceData!$B$127),"",ReferenceData!$B$127),"")</f>
        <v>BRAUTOCV Index</v>
      </c>
      <c r="C127" t="str">
        <f>IFERROR(IF(0=LEN(ReferenceData!$C$127),"",ReferenceData!$C$127),"")</f>
        <v/>
      </c>
      <c r="D127" t="str">
        <f>IFERROR(IF(0=LEN(ReferenceData!$D$127),"",ReferenceData!$D$127),"")</f>
        <v/>
      </c>
      <c r="E127" t="str">
        <f>IFERROR(IF(0=LEN(ReferenceData!$E$127),"",ReferenceData!$E$127),"")</f>
        <v>Average</v>
      </c>
      <c r="F127">
        <f ca="1">IFERROR(IF(0=LEN(ReferenceData!$F$127),"",ReferenceData!$F$127),"")</f>
        <v>1.747719298</v>
      </c>
      <c r="G127">
        <f ca="1">IFERROR(IF(0=LEN(ReferenceData!$G$127),"",ReferenceData!$G$127),"")</f>
        <v>1.4496982044137932</v>
      </c>
      <c r="H127">
        <f ca="1">IFERROR(IF(0=LEN(ReferenceData!$H$127),"",ReferenceData!$H$127),"")</f>
        <v>1.6601081125862072</v>
      </c>
      <c r="I127">
        <f ca="1">IFERROR(IF(0=LEN(ReferenceData!$I$127),"",ReferenceData!$I$127),"")</f>
        <v>1.8340119724137933</v>
      </c>
      <c r="J127">
        <f ca="1">IFERROR(IF(0=LEN(ReferenceData!$J$127),"",ReferenceData!$J$127),"")</f>
        <v>5.4423722603333333</v>
      </c>
      <c r="K127">
        <f ca="1">IFERROR(IF(0=LEN(ReferenceData!$K$127),"",ReferenceData!$K$127),"")</f>
        <v>6.0661316766666671</v>
      </c>
      <c r="L127">
        <f ca="1">IFERROR(IF(0=LEN(ReferenceData!$L$127),"",ReferenceData!$L$127),"")</f>
        <v>2.4100396686333334</v>
      </c>
      <c r="M127">
        <f ca="1">IFERROR(IF(0=LEN(ReferenceData!$M$127),"",ReferenceData!$M$127),"")</f>
        <v>2.0805599085000006</v>
      </c>
      <c r="N127">
        <f ca="1">IFERROR(IF(0=LEN(ReferenceData!$N$127),"",ReferenceData!$N$127),"")</f>
        <v>2.0038202548000004</v>
      </c>
      <c r="O127">
        <f ca="1">IFERROR(IF(0=LEN(ReferenceData!$O$127),"",ReferenceData!$O$127),"")</f>
        <v>1.8090759404000001</v>
      </c>
      <c r="P127">
        <f ca="1">IFERROR(IF(0=LEN(ReferenceData!$P$127),"",ReferenceData!$P$127),"")</f>
        <v>2.0483003142903229</v>
      </c>
      <c r="Q127">
        <f ca="1">IFERROR(IF(0=LEN(ReferenceData!$Q$127),"",ReferenceData!$Q$127),"")</f>
        <v>1.9236068563870972</v>
      </c>
      <c r="R127">
        <f ca="1">IFERROR(IF(0=LEN(ReferenceData!$R$127),"",ReferenceData!$R$127),"")</f>
        <v>2.6755752676129032</v>
      </c>
      <c r="S127">
        <f ca="1">IFERROR(IF(0=LEN(ReferenceData!$S$127),"",ReferenceData!$S$127),"")</f>
        <v>2.5755390933125</v>
      </c>
      <c r="T127">
        <f ca="1">IFERROR(IF(0=LEN(ReferenceData!$T$127),"",ReferenceData!$T$127),"")</f>
        <v>2.4944284208125</v>
      </c>
      <c r="U127">
        <f ca="1">IFERROR(IF(0=LEN(ReferenceData!$U$127),"",ReferenceData!$U$127),"")</f>
        <v>3.8041838389032261</v>
      </c>
      <c r="V127">
        <f ca="1">IFERROR(IF(0=LEN(ReferenceData!$V$127),"",ReferenceData!$V$127),"")</f>
        <v>3.0699453549032247</v>
      </c>
      <c r="W127">
        <f ca="1">IFERROR(IF(0=LEN(ReferenceData!$W$127),"",ReferenceData!$W$127),"")</f>
        <v>2.8899874190645161</v>
      </c>
      <c r="X127">
        <f ca="1">IFERROR(IF(0=LEN(ReferenceData!$X$127),"",ReferenceData!$X$127),"")</f>
        <v>2.7525985692999999</v>
      </c>
      <c r="Y127">
        <f ca="1">IFERROR(IF(0=LEN(ReferenceData!$Y$127),"",ReferenceData!$Y$127),"")</f>
        <v>2.7899397964666663</v>
      </c>
      <c r="Z127">
        <f ca="1">IFERROR(IF(0=LEN(ReferenceData!$Z$127),"",ReferenceData!$Z$127),"")</f>
        <v>2.6735083711666667</v>
      </c>
      <c r="AA127">
        <f ca="1">IFERROR(IF(0=LEN(ReferenceData!$AA$127),"",ReferenceData!$AA$127),"")</f>
        <v>3.1626550518333327</v>
      </c>
      <c r="AB127">
        <f ca="1">IFERROR(IF(0=LEN(ReferenceData!$AB$127),"",ReferenceData!$AB$127),"")</f>
        <v>7.401642417033333</v>
      </c>
      <c r="AC127">
        <f ca="1">IFERROR(IF(0=LEN(ReferenceData!$AC$127),"",ReferenceData!$AC$127),"")</f>
        <v>2.4908609882068964</v>
      </c>
      <c r="AD127">
        <f ca="1">IFERROR(IF(0=LEN(ReferenceData!$AD$127),"",ReferenceData!$AD$127),"")</f>
        <v>2.5506500807931021</v>
      </c>
      <c r="AE127">
        <f ca="1">IFERROR(IF(0=LEN(ReferenceData!$AE$127),"",ReferenceData!$AE$127),"")</f>
        <v>2.6218215721724141</v>
      </c>
      <c r="AF127">
        <f ca="1">IFERROR(IF(0=LEN(ReferenceData!$AF$127),"",ReferenceData!$AF$127),"")</f>
        <v>3.0360047698928567</v>
      </c>
      <c r="AG127">
        <f ca="1">IFERROR(IF(0=LEN(ReferenceData!$AG$127),"",ReferenceData!$AG$127),"")</f>
        <v>3.2960163797142856</v>
      </c>
      <c r="AH127">
        <f ca="1">IFERROR(IF(0=LEN(ReferenceData!$AH$127),"",ReferenceData!$AH$127),"")</f>
        <v>2.469715217428571</v>
      </c>
      <c r="AI127">
        <f ca="1">IFERROR(IF(0=LEN(ReferenceData!$AI$127),"",ReferenceData!$AI$127),"")</f>
        <v>1.8286405604642861</v>
      </c>
      <c r="AJ127">
        <f ca="1">IFERROR(IF(0=LEN(ReferenceData!$AJ$127),"",ReferenceData!$AJ$127),"")</f>
        <v>1.8026670231785717</v>
      </c>
      <c r="AK127">
        <f ca="1">IFERROR(IF(0=LEN(ReferenceData!$AK$127),"",ReferenceData!$AK$127),"")</f>
        <v>2.2940468047142857</v>
      </c>
      <c r="AL127">
        <f ca="1">IFERROR(IF(0=LEN(ReferenceData!$AL$127),"",ReferenceData!$AL$127),"")</f>
        <v>3.1136141106428568</v>
      </c>
      <c r="AM127">
        <f ca="1">IFERROR(IF(0=LEN(ReferenceData!$AM$127),"",ReferenceData!$AM$127),"")</f>
        <v>2.31987354952</v>
      </c>
      <c r="AN127">
        <f ca="1">IFERROR(IF(0=LEN(ReferenceData!$AN$127),"",ReferenceData!$AN$127),"")</f>
        <v>2.3162410507826086</v>
      </c>
      <c r="AO127">
        <f ca="1">IFERROR(IF(0=LEN(ReferenceData!$AO$127),"",ReferenceData!$AO$127),"")</f>
        <v>1.7763852148571431</v>
      </c>
      <c r="AP127">
        <f ca="1">IFERROR(IF(0=LEN(ReferenceData!$AP$127),"",ReferenceData!$AP$127),"")</f>
        <v>2.119730569428572</v>
      </c>
      <c r="AQ127">
        <f ca="1">IFERROR(IF(0=LEN(ReferenceData!$AQ$127),"",ReferenceData!$AQ$127),"")</f>
        <v>2.1187813165000002</v>
      </c>
      <c r="AR127">
        <f ca="1">IFERROR(IF(0=LEN(ReferenceData!$AR$127),"",ReferenceData!$AR$127),"")</f>
        <v>1.8290346290000001</v>
      </c>
      <c r="AS127">
        <f ca="1">IFERROR(IF(0=LEN(ReferenceData!$AS$127),"",ReferenceData!$AS$127),"")</f>
        <v>1.4986732911</v>
      </c>
      <c r="AT127">
        <f ca="1">IFERROR(IF(0=LEN(ReferenceData!$AT$127),"",ReferenceData!$AT$127),"")</f>
        <v>1.10907944615</v>
      </c>
      <c r="AU127">
        <f ca="1">IFERROR(IF(0=LEN(ReferenceData!$AU$127),"",ReferenceData!$AU$127),"")</f>
        <v>0.87306351278947358</v>
      </c>
      <c r="AV127">
        <f ca="1">IFERROR(IF(0=LEN(ReferenceData!$AV$127),"",ReferenceData!$AV$127),"")</f>
        <v>1.1213001768421054</v>
      </c>
      <c r="AW127">
        <f ca="1">IFERROR(IF(0=LEN(ReferenceData!$AW$127),"",ReferenceData!$AW$127),"")</f>
        <v>1.3664362572380955</v>
      </c>
      <c r="AX127">
        <f ca="1">IFERROR(IF(0=LEN(ReferenceData!$AX$127),"",ReferenceData!$AX$127),"")</f>
        <v>1.7003972184285718</v>
      </c>
      <c r="AY127">
        <f ca="1">IFERROR(IF(0=LEN(ReferenceData!$AY$127),"",ReferenceData!$AY$127),"")</f>
        <v>2.4261182033888891</v>
      </c>
      <c r="AZ127">
        <f ca="1">IFERROR(IF(0=LEN(ReferenceData!$AZ$127),"",ReferenceData!$AZ$127),"")</f>
        <v>2.5856413432941179</v>
      </c>
      <c r="BA127">
        <f ca="1">IFERROR(IF(0=LEN(ReferenceData!$BA$127),"",ReferenceData!$BA$127),"")</f>
        <v>2.0825109144705878</v>
      </c>
      <c r="BB127">
        <f ca="1">IFERROR(IF(0=LEN(ReferenceData!$BB$127),"",ReferenceData!$BB$127),"")</f>
        <v>1.9987332524117651</v>
      </c>
      <c r="BC127">
        <f ca="1">IFERROR(IF(0=LEN(ReferenceData!$BC$127),"",ReferenceData!$BC$127),"")</f>
        <v>1.7522952661111111</v>
      </c>
      <c r="BD127">
        <f ca="1">IFERROR(IF(0=LEN(ReferenceData!$BD$127),"",ReferenceData!$BD$127),"")</f>
        <v>1.6001251154999998</v>
      </c>
      <c r="BE127">
        <f ca="1">IFERROR(IF(0=LEN(ReferenceData!$BE$127),"",ReferenceData!$BE$127),"")</f>
        <v>1.555552475611111</v>
      </c>
      <c r="BF127">
        <f ca="1">IFERROR(IF(0=LEN(ReferenceData!$BF$127),"",ReferenceData!$BF$127),"")</f>
        <v>1.5883455400555555</v>
      </c>
      <c r="BG127">
        <f ca="1">IFERROR(IF(0=LEN(ReferenceData!$BG$127),"",ReferenceData!$BG$127),"")</f>
        <v>1.4083529336111111</v>
      </c>
      <c r="BH127">
        <f ca="1">IFERROR(IF(0=LEN(ReferenceData!$BH$127),"",ReferenceData!$BH$127),"")</f>
        <v>1.4294641925000002</v>
      </c>
      <c r="BI127">
        <f ca="1">IFERROR(IF(0=LEN(ReferenceData!$BI$127),"",ReferenceData!$BI$127),"")</f>
        <v>1.2827134758888892</v>
      </c>
      <c r="BJ127">
        <f ca="1">IFERROR(IF(0=LEN(ReferenceData!$BJ$127),"",ReferenceData!$BJ$127),"")</f>
        <v>1.2727700320555553</v>
      </c>
      <c r="BK127">
        <f ca="1">IFERROR(IF(0=LEN(ReferenceData!$BK$127),"",ReferenceData!$BK$127),"")</f>
        <v>1.3584753675000001</v>
      </c>
      <c r="BL127">
        <f ca="1">IFERROR(IF(0=LEN(ReferenceData!$BL$127),"",ReferenceData!$BL$127),"")</f>
        <v>1.5986115716470588</v>
      </c>
      <c r="BM127">
        <f ca="1">IFERROR(IF(0=LEN(ReferenceData!$BM$127),"",ReferenceData!$BM$127),"")</f>
        <v>2.1552511859411765</v>
      </c>
    </row>
    <row r="128" spans="1:65" x14ac:dyDescent="0.25">
      <c r="A128" t="str">
        <f>IFERROR(IF(0=LEN(ReferenceData!$A$128),"",ReferenceData!$A$128),"")</f>
        <v xml:space="preserve">    AUDI AG</v>
      </c>
      <c r="B128" t="str">
        <f>IFERROR(IF(0=LEN(ReferenceData!$B$128),"",ReferenceData!$B$128),"")</f>
        <v>NSU GR Equity</v>
      </c>
      <c r="C128" t="str">
        <f>IFERROR(IF(0=LEN(ReferenceData!$C$128),"",ReferenceData!$C$128),"")</f>
        <v>RR903</v>
      </c>
      <c r="D128" t="str">
        <f>IFERROR(IF(0=LEN(ReferenceData!$D$128),"",ReferenceData!$D$128),"")</f>
        <v>PX_TO_BOOK_RATIO</v>
      </c>
      <c r="E128" t="str">
        <f>IFERROR(IF(0=LEN(ReferenceData!$E$128),"",ReferenceData!$E$128),"")</f>
        <v>Dynamic</v>
      </c>
      <c r="F128" t="str">
        <f ca="1">IFERROR(IF(0=LEN(ReferenceData!$F$128),"",ReferenceData!$F$128),"")</f>
        <v/>
      </c>
      <c r="G128" t="str">
        <f ca="1">IFERROR(IF(0=LEN(ReferenceData!$G$128),"",ReferenceData!$G$128),"")</f>
        <v/>
      </c>
      <c r="H128" t="str">
        <f ca="1">IFERROR(IF(0=LEN(ReferenceData!$H$128),"",ReferenceData!$H$128),"")</f>
        <v/>
      </c>
      <c r="I128" t="str">
        <f ca="1">IFERROR(IF(0=LEN(ReferenceData!$I$128),"",ReferenceData!$I$128),"")</f>
        <v/>
      </c>
      <c r="J128" t="str">
        <f ca="1">IFERROR(IF(0=LEN(ReferenceData!$J$128),"",ReferenceData!$J$128),"")</f>
        <v/>
      </c>
      <c r="K128" t="str">
        <f ca="1">IFERROR(IF(0=LEN(ReferenceData!$K$128),"",ReferenceData!$K$128),"")</f>
        <v/>
      </c>
      <c r="L128" t="str">
        <f ca="1">IFERROR(IF(0=LEN(ReferenceData!$L$128),"",ReferenceData!$L$128),"")</f>
        <v/>
      </c>
      <c r="M128" t="str">
        <f ca="1">IFERROR(IF(0=LEN(ReferenceData!$M$128),"",ReferenceData!$M$128),"")</f>
        <v/>
      </c>
      <c r="N128" t="str">
        <f ca="1">IFERROR(IF(0=LEN(ReferenceData!$N$128),"",ReferenceData!$N$128),"")</f>
        <v/>
      </c>
      <c r="O128" t="str">
        <f ca="1">IFERROR(IF(0=LEN(ReferenceData!$O$128),"",ReferenceData!$O$128),"")</f>
        <v/>
      </c>
      <c r="P128" t="str">
        <f ca="1">IFERROR(IF(0=LEN(ReferenceData!$P$128),"",ReferenceData!$P$128),"")</f>
        <v/>
      </c>
      <c r="Q128" t="str">
        <f ca="1">IFERROR(IF(0=LEN(ReferenceData!$Q$128),"",ReferenceData!$Q$128),"")</f>
        <v/>
      </c>
      <c r="R128" t="str">
        <f ca="1">IFERROR(IF(0=LEN(ReferenceData!$R$128),"",ReferenceData!$R$128),"")</f>
        <v/>
      </c>
      <c r="S128" t="str">
        <f ca="1">IFERROR(IF(0=LEN(ReferenceData!$S$128),"",ReferenceData!$S$128),"")</f>
        <v/>
      </c>
      <c r="T128" t="str">
        <f ca="1">IFERROR(IF(0=LEN(ReferenceData!$T$128),"",ReferenceData!$T$128),"")</f>
        <v/>
      </c>
      <c r="U128" t="str">
        <f ca="1">IFERROR(IF(0=LEN(ReferenceData!$U$128),"",ReferenceData!$U$128),"")</f>
        <v/>
      </c>
      <c r="V128" t="str">
        <f ca="1">IFERROR(IF(0=LEN(ReferenceData!$V$128),"",ReferenceData!$V$128),"")</f>
        <v/>
      </c>
      <c r="W128" t="str">
        <f ca="1">IFERROR(IF(0=LEN(ReferenceData!$W$128),"",ReferenceData!$W$128),"")</f>
        <v/>
      </c>
      <c r="X128" t="str">
        <f ca="1">IFERROR(IF(0=LEN(ReferenceData!$X$128),"",ReferenceData!$X$128),"")</f>
        <v/>
      </c>
      <c r="Y128" t="str">
        <f ca="1">IFERROR(IF(0=LEN(ReferenceData!$Y$128),"",ReferenceData!$Y$128),"")</f>
        <v/>
      </c>
      <c r="Z128" t="str">
        <f ca="1">IFERROR(IF(0=LEN(ReferenceData!$Z$128),"",ReferenceData!$Z$128),"")</f>
        <v/>
      </c>
      <c r="AA128" t="str">
        <f ca="1">IFERROR(IF(0=LEN(ReferenceData!$AA$128),"",ReferenceData!$AA$128),"")</f>
        <v/>
      </c>
      <c r="AB128" t="str">
        <f ca="1">IFERROR(IF(0=LEN(ReferenceData!$AB$128),"",ReferenceData!$AB$128),"")</f>
        <v/>
      </c>
      <c r="AC128" t="str">
        <f ca="1">IFERROR(IF(0=LEN(ReferenceData!$AC$128),"",ReferenceData!$AC$128),"")</f>
        <v/>
      </c>
      <c r="AD128" t="str">
        <f ca="1">IFERROR(IF(0=LEN(ReferenceData!$AD$128),"",ReferenceData!$AD$128),"")</f>
        <v/>
      </c>
      <c r="AE128" t="str">
        <f ca="1">IFERROR(IF(0=LEN(ReferenceData!$AE$128),"",ReferenceData!$AE$128),"")</f>
        <v/>
      </c>
      <c r="AF128" t="str">
        <f ca="1">IFERROR(IF(0=LEN(ReferenceData!$AF$128),"",ReferenceData!$AF$128),"")</f>
        <v/>
      </c>
      <c r="AG128" t="str">
        <f ca="1">IFERROR(IF(0=LEN(ReferenceData!$AG$128),"",ReferenceData!$AG$128),"")</f>
        <v/>
      </c>
      <c r="AH128" t="str">
        <f ca="1">IFERROR(IF(0=LEN(ReferenceData!$AH$128),"",ReferenceData!$AH$128),"")</f>
        <v/>
      </c>
      <c r="AI128" t="str">
        <f ca="1">IFERROR(IF(0=LEN(ReferenceData!$AI$128),"",ReferenceData!$AI$128),"")</f>
        <v/>
      </c>
      <c r="AJ128" t="str">
        <f ca="1">IFERROR(IF(0=LEN(ReferenceData!$AJ$128),"",ReferenceData!$AJ$128),"")</f>
        <v/>
      </c>
      <c r="AK128" t="str">
        <f ca="1">IFERROR(IF(0=LEN(ReferenceData!$AK$128),"",ReferenceData!$AK$128),"")</f>
        <v/>
      </c>
      <c r="AL128" t="str">
        <f ca="1">IFERROR(IF(0=LEN(ReferenceData!$AL$128),"",ReferenceData!$AL$128),"")</f>
        <v/>
      </c>
      <c r="AM128" t="str">
        <f ca="1">IFERROR(IF(0=LEN(ReferenceData!$AM$128),"",ReferenceData!$AM$128),"")</f>
        <v/>
      </c>
      <c r="AN128" t="str">
        <f ca="1">IFERROR(IF(0=LEN(ReferenceData!$AN$128),"",ReferenceData!$AN$128),"")</f>
        <v/>
      </c>
      <c r="AO128" t="str">
        <f ca="1">IFERROR(IF(0=LEN(ReferenceData!$AO$128),"",ReferenceData!$AO$128),"")</f>
        <v/>
      </c>
      <c r="AP128" t="str">
        <f ca="1">IFERROR(IF(0=LEN(ReferenceData!$AP$128),"",ReferenceData!$AP$128),"")</f>
        <v/>
      </c>
      <c r="AQ128" t="str">
        <f ca="1">IFERROR(IF(0=LEN(ReferenceData!$AQ$128),"",ReferenceData!$AQ$128),"")</f>
        <v/>
      </c>
      <c r="AR128" t="str">
        <f ca="1">IFERROR(IF(0=LEN(ReferenceData!$AR$128),"",ReferenceData!$AR$128),"")</f>
        <v/>
      </c>
      <c r="AS128" t="str">
        <f ca="1">IFERROR(IF(0=LEN(ReferenceData!$AS$128),"",ReferenceData!$AS$128),"")</f>
        <v/>
      </c>
      <c r="AT128" t="str">
        <f ca="1">IFERROR(IF(0=LEN(ReferenceData!$AT$128),"",ReferenceData!$AT$128),"")</f>
        <v/>
      </c>
      <c r="AU128" t="str">
        <f ca="1">IFERROR(IF(0=LEN(ReferenceData!$AU$128),"",ReferenceData!$AU$128),"")</f>
        <v/>
      </c>
      <c r="AV128" t="str">
        <f ca="1">IFERROR(IF(0=LEN(ReferenceData!$AV$128),"",ReferenceData!$AV$128),"")</f>
        <v/>
      </c>
      <c r="AW128" t="str">
        <f ca="1">IFERROR(IF(0=LEN(ReferenceData!$AW$128),"",ReferenceData!$AW$128),"")</f>
        <v/>
      </c>
      <c r="AX128" t="str">
        <f ca="1">IFERROR(IF(0=LEN(ReferenceData!$AX$128),"",ReferenceData!$AX$128),"")</f>
        <v/>
      </c>
      <c r="AY128" t="str">
        <f ca="1">IFERROR(IF(0=LEN(ReferenceData!$AY$128),"",ReferenceData!$AY$128),"")</f>
        <v/>
      </c>
      <c r="AZ128" t="str">
        <f ca="1">IFERROR(IF(0=LEN(ReferenceData!$AZ$128),"",ReferenceData!$AZ$128),"")</f>
        <v/>
      </c>
      <c r="BA128" t="str">
        <f ca="1">IFERROR(IF(0=LEN(ReferenceData!$BA$128),"",ReferenceData!$BA$128),"")</f>
        <v/>
      </c>
      <c r="BB128" t="str">
        <f ca="1">IFERROR(IF(0=LEN(ReferenceData!$BB$128),"",ReferenceData!$BB$128),"")</f>
        <v/>
      </c>
      <c r="BC128" t="str">
        <f ca="1">IFERROR(IF(0=LEN(ReferenceData!$BC$128),"",ReferenceData!$BC$128),"")</f>
        <v/>
      </c>
      <c r="BD128" t="str">
        <f ca="1">IFERROR(IF(0=LEN(ReferenceData!$BD$128),"",ReferenceData!$BD$128),"")</f>
        <v/>
      </c>
      <c r="BE128" t="str">
        <f ca="1">IFERROR(IF(0=LEN(ReferenceData!$BE$128),"",ReferenceData!$BE$128),"")</f>
        <v/>
      </c>
      <c r="BF128" t="str">
        <f ca="1">IFERROR(IF(0=LEN(ReferenceData!$BF$128),"",ReferenceData!$BF$128),"")</f>
        <v/>
      </c>
      <c r="BG128" t="str">
        <f ca="1">IFERROR(IF(0=LEN(ReferenceData!$BG$128),"",ReferenceData!$BG$128),"")</f>
        <v/>
      </c>
      <c r="BH128" t="str">
        <f ca="1">IFERROR(IF(0=LEN(ReferenceData!$BH$128),"",ReferenceData!$BH$128),"")</f>
        <v/>
      </c>
      <c r="BI128" t="str">
        <f ca="1">IFERROR(IF(0=LEN(ReferenceData!$BI$128),"",ReferenceData!$BI$128),"")</f>
        <v/>
      </c>
      <c r="BJ128" t="str">
        <f ca="1">IFERROR(IF(0=LEN(ReferenceData!$BJ$128),"",ReferenceData!$BJ$128),"")</f>
        <v/>
      </c>
      <c r="BK128" t="str">
        <f ca="1">IFERROR(IF(0=LEN(ReferenceData!$BK$128),"",ReferenceData!$BK$128),"")</f>
        <v/>
      </c>
      <c r="BL128" t="str">
        <f ca="1">IFERROR(IF(0=LEN(ReferenceData!$BL$128),"",ReferenceData!$BL$128),"")</f>
        <v/>
      </c>
      <c r="BM128" t="str">
        <f ca="1">IFERROR(IF(0=LEN(ReferenceData!$BM$128),"",ReferenceData!$BM$128),"")</f>
        <v/>
      </c>
    </row>
    <row r="129" spans="1:65" x14ac:dyDescent="0.25">
      <c r="A129" t="str">
        <f>IFERROR(IF(0=LEN(ReferenceData!$A$129),"",ReferenceData!$A$129),"")</f>
        <v xml:space="preserve">    Avtovaz PJSC</v>
      </c>
      <c r="B129" t="str">
        <f>IFERROR(IF(0=LEN(ReferenceData!$B$129),"",ReferenceData!$B$129),"")</f>
        <v>AVAZ RM Equity</v>
      </c>
      <c r="C129" t="str">
        <f>IFERROR(IF(0=LEN(ReferenceData!$C$129),"",ReferenceData!$C$129),"")</f>
        <v>RR903</v>
      </c>
      <c r="D129" t="str">
        <f>IFERROR(IF(0=LEN(ReferenceData!$D$129),"",ReferenceData!$D$129),"")</f>
        <v>PX_TO_BOOK_RATIO</v>
      </c>
      <c r="E129" t="str">
        <f>IFERROR(IF(0=LEN(ReferenceData!$E$129),"",ReferenceData!$E$129),"")</f>
        <v>Dynamic</v>
      </c>
      <c r="F129" t="str">
        <f ca="1">IFERROR(IF(0=LEN(ReferenceData!$F$129),"",ReferenceData!$F$129),"")</f>
        <v/>
      </c>
      <c r="G129" t="str">
        <f ca="1">IFERROR(IF(0=LEN(ReferenceData!$G$129),"",ReferenceData!$G$129),"")</f>
        <v/>
      </c>
      <c r="H129" t="str">
        <f ca="1">IFERROR(IF(0=LEN(ReferenceData!$H$129),"",ReferenceData!$H$129),"")</f>
        <v/>
      </c>
      <c r="I129" t="str">
        <f ca="1">IFERROR(IF(0=LEN(ReferenceData!$I$129),"",ReferenceData!$I$129),"")</f>
        <v/>
      </c>
      <c r="J129" t="str">
        <f ca="1">IFERROR(IF(0=LEN(ReferenceData!$J$129),"",ReferenceData!$J$129),"")</f>
        <v/>
      </c>
      <c r="K129" t="str">
        <f ca="1">IFERROR(IF(0=LEN(ReferenceData!$K$129),"",ReferenceData!$K$129),"")</f>
        <v/>
      </c>
      <c r="L129" t="str">
        <f ca="1">IFERROR(IF(0=LEN(ReferenceData!$L$129),"",ReferenceData!$L$129),"")</f>
        <v/>
      </c>
      <c r="M129" t="str">
        <f ca="1">IFERROR(IF(0=LEN(ReferenceData!$M$129),"",ReferenceData!$M$129),"")</f>
        <v/>
      </c>
      <c r="N129" t="str">
        <f ca="1">IFERROR(IF(0=LEN(ReferenceData!$N$129),"",ReferenceData!$N$129),"")</f>
        <v/>
      </c>
      <c r="O129" t="str">
        <f ca="1">IFERROR(IF(0=LEN(ReferenceData!$O$129),"",ReferenceData!$O$129),"")</f>
        <v/>
      </c>
      <c r="P129" t="str">
        <f ca="1">IFERROR(IF(0=LEN(ReferenceData!$P$129),"",ReferenceData!$P$129),"")</f>
        <v/>
      </c>
      <c r="Q129" t="str">
        <f ca="1">IFERROR(IF(0=LEN(ReferenceData!$Q$129),"",ReferenceData!$Q$129),"")</f>
        <v/>
      </c>
      <c r="R129" t="str">
        <f ca="1">IFERROR(IF(0=LEN(ReferenceData!$R$129),"",ReferenceData!$R$129),"")</f>
        <v/>
      </c>
      <c r="S129">
        <f ca="1">IFERROR(IF(0=LEN(ReferenceData!$S$129),"",ReferenceData!$S$129),"")</f>
        <v>0.92380669000000004</v>
      </c>
      <c r="T129">
        <f ca="1">IFERROR(IF(0=LEN(ReferenceData!$T$129),"",ReferenceData!$T$129),"")</f>
        <v>0.96001521499999998</v>
      </c>
      <c r="U129" t="str">
        <f ca="1">IFERROR(IF(0=LEN(ReferenceData!$U$129),"",ReferenceData!$U$129),"")</f>
        <v/>
      </c>
      <c r="V129" t="str">
        <f ca="1">IFERROR(IF(0=LEN(ReferenceData!$V$129),"",ReferenceData!$V$129),"")</f>
        <v/>
      </c>
      <c r="W129" t="str">
        <f ca="1">IFERROR(IF(0=LEN(ReferenceData!$W$129),"",ReferenceData!$W$129),"")</f>
        <v/>
      </c>
      <c r="X129" t="str">
        <f ca="1">IFERROR(IF(0=LEN(ReferenceData!$X$129),"",ReferenceData!$X$129),"")</f>
        <v/>
      </c>
      <c r="Y129" t="str">
        <f ca="1">IFERROR(IF(0=LEN(ReferenceData!$Y$129),"",ReferenceData!$Y$129),"")</f>
        <v/>
      </c>
      <c r="Z129" t="str">
        <f ca="1">IFERROR(IF(0=LEN(ReferenceData!$Z$129),"",ReferenceData!$Z$129),"")</f>
        <v/>
      </c>
      <c r="AA129" t="str">
        <f ca="1">IFERROR(IF(0=LEN(ReferenceData!$AA$129),"",ReferenceData!$AA$129),"")</f>
        <v/>
      </c>
      <c r="AB129" t="str">
        <f ca="1">IFERROR(IF(0=LEN(ReferenceData!$AB$129),"",ReferenceData!$AB$129),"")</f>
        <v/>
      </c>
      <c r="AC129" t="str">
        <f ca="1">IFERROR(IF(0=LEN(ReferenceData!$AC$129),"",ReferenceData!$AC$129),"")</f>
        <v/>
      </c>
      <c r="AD129" t="str">
        <f ca="1">IFERROR(IF(0=LEN(ReferenceData!$AD$129),"",ReferenceData!$AD$129),"")</f>
        <v/>
      </c>
      <c r="AE129" t="str">
        <f ca="1">IFERROR(IF(0=LEN(ReferenceData!$AE$129),"",ReferenceData!$AE$129),"")</f>
        <v/>
      </c>
      <c r="AF129" t="str">
        <f ca="1">IFERROR(IF(0=LEN(ReferenceData!$AF$129),"",ReferenceData!$AF$129),"")</f>
        <v/>
      </c>
      <c r="AG129" t="str">
        <f ca="1">IFERROR(IF(0=LEN(ReferenceData!$AG$129),"",ReferenceData!$AG$129),"")</f>
        <v/>
      </c>
      <c r="AH129" t="str">
        <f ca="1">IFERROR(IF(0=LEN(ReferenceData!$AH$129),"",ReferenceData!$AH$129),"")</f>
        <v/>
      </c>
      <c r="AI129" t="str">
        <f ca="1">IFERROR(IF(0=LEN(ReferenceData!$AI$129),"",ReferenceData!$AI$129),"")</f>
        <v/>
      </c>
      <c r="AJ129" t="str">
        <f ca="1">IFERROR(IF(0=LEN(ReferenceData!$AJ$129),"",ReferenceData!$AJ$129),"")</f>
        <v/>
      </c>
      <c r="AK129" t="str">
        <f ca="1">IFERROR(IF(0=LEN(ReferenceData!$AK$129),"",ReferenceData!$AK$129),"")</f>
        <v/>
      </c>
      <c r="AL129" t="str">
        <f ca="1">IFERROR(IF(0=LEN(ReferenceData!$AL$129),"",ReferenceData!$AL$129),"")</f>
        <v/>
      </c>
      <c r="AM129" t="str">
        <f ca="1">IFERROR(IF(0=LEN(ReferenceData!$AM$129),"",ReferenceData!$AM$129),"")</f>
        <v/>
      </c>
      <c r="AN129" t="str">
        <f ca="1">IFERROR(IF(0=LEN(ReferenceData!$AN$129),"",ReferenceData!$AN$129),"")</f>
        <v/>
      </c>
      <c r="AO129" t="str">
        <f ca="1">IFERROR(IF(0=LEN(ReferenceData!$AO$129),"",ReferenceData!$AO$129),"")</f>
        <v/>
      </c>
      <c r="AP129" t="str">
        <f ca="1">IFERROR(IF(0=LEN(ReferenceData!$AP$129),"",ReferenceData!$AP$129),"")</f>
        <v/>
      </c>
      <c r="AQ129" t="str">
        <f ca="1">IFERROR(IF(0=LEN(ReferenceData!$AQ$129),"",ReferenceData!$AQ$129),"")</f>
        <v/>
      </c>
      <c r="AR129" t="str">
        <f ca="1">IFERROR(IF(0=LEN(ReferenceData!$AR$129),"",ReferenceData!$AR$129),"")</f>
        <v/>
      </c>
      <c r="AS129" t="str">
        <f ca="1">IFERROR(IF(0=LEN(ReferenceData!$AS$129),"",ReferenceData!$AS$129),"")</f>
        <v/>
      </c>
      <c r="AT129" t="str">
        <f ca="1">IFERROR(IF(0=LEN(ReferenceData!$AT$129),"",ReferenceData!$AT$129),"")</f>
        <v/>
      </c>
      <c r="AU129" t="str">
        <f ca="1">IFERROR(IF(0=LEN(ReferenceData!$AU$129),"",ReferenceData!$AU$129),"")</f>
        <v/>
      </c>
      <c r="AV129" t="str">
        <f ca="1">IFERROR(IF(0=LEN(ReferenceData!$AV$129),"",ReferenceData!$AV$129),"")</f>
        <v/>
      </c>
      <c r="AW129" t="str">
        <f ca="1">IFERROR(IF(0=LEN(ReferenceData!$AW$129),"",ReferenceData!$AW$129),"")</f>
        <v/>
      </c>
      <c r="AX129" t="str">
        <f ca="1">IFERROR(IF(0=LEN(ReferenceData!$AX$129),"",ReferenceData!$AX$129),"")</f>
        <v/>
      </c>
      <c r="AY129" t="str">
        <f ca="1">IFERROR(IF(0=LEN(ReferenceData!$AY$129),"",ReferenceData!$AY$129),"")</f>
        <v/>
      </c>
      <c r="AZ129" t="str">
        <f ca="1">IFERROR(IF(0=LEN(ReferenceData!$AZ$129),"",ReferenceData!$AZ$129),"")</f>
        <v/>
      </c>
      <c r="BA129" t="str">
        <f ca="1">IFERROR(IF(0=LEN(ReferenceData!$BA$129),"",ReferenceData!$BA$129),"")</f>
        <v/>
      </c>
      <c r="BB129" t="str">
        <f ca="1">IFERROR(IF(0=LEN(ReferenceData!$BB$129),"",ReferenceData!$BB$129),"")</f>
        <v/>
      </c>
      <c r="BC129" t="str">
        <f ca="1">IFERROR(IF(0=LEN(ReferenceData!$BC$129),"",ReferenceData!$BC$129),"")</f>
        <v/>
      </c>
      <c r="BD129" t="str">
        <f ca="1">IFERROR(IF(0=LEN(ReferenceData!$BD$129),"",ReferenceData!$BD$129),"")</f>
        <v/>
      </c>
      <c r="BE129" t="str">
        <f ca="1">IFERROR(IF(0=LEN(ReferenceData!$BE$129),"",ReferenceData!$BE$129),"")</f>
        <v/>
      </c>
      <c r="BF129" t="str">
        <f ca="1">IFERROR(IF(0=LEN(ReferenceData!$BF$129),"",ReferenceData!$BF$129),"")</f>
        <v/>
      </c>
      <c r="BG129" t="str">
        <f ca="1">IFERROR(IF(0=LEN(ReferenceData!$BG$129),"",ReferenceData!$BG$129),"")</f>
        <v/>
      </c>
      <c r="BH129" t="str">
        <f ca="1">IFERROR(IF(0=LEN(ReferenceData!$BH$129),"",ReferenceData!$BH$129),"")</f>
        <v/>
      </c>
      <c r="BI129" t="str">
        <f ca="1">IFERROR(IF(0=LEN(ReferenceData!$BI$129),"",ReferenceData!$BI$129),"")</f>
        <v/>
      </c>
      <c r="BJ129" t="str">
        <f ca="1">IFERROR(IF(0=LEN(ReferenceData!$BJ$129),"",ReferenceData!$BJ$129),"")</f>
        <v/>
      </c>
      <c r="BK129" t="str">
        <f ca="1">IFERROR(IF(0=LEN(ReferenceData!$BK$129),"",ReferenceData!$BK$129),"")</f>
        <v/>
      </c>
      <c r="BL129" t="str">
        <f ca="1">IFERROR(IF(0=LEN(ReferenceData!$BL$129),"",ReferenceData!$BL$129),"")</f>
        <v/>
      </c>
      <c r="BM129" t="str">
        <f ca="1">IFERROR(IF(0=LEN(ReferenceData!$BM$129),"",ReferenceData!$BM$129),"")</f>
        <v/>
      </c>
    </row>
    <row r="130" spans="1:65" x14ac:dyDescent="0.25">
      <c r="A130" t="str">
        <f>IFERROR(IF(0=LEN(ReferenceData!$A$130),"",ReferenceData!$A$130),"")</f>
        <v xml:space="preserve">    Bayerische Motoren Werke AG</v>
      </c>
      <c r="B130" t="str">
        <f>IFERROR(IF(0=LEN(ReferenceData!$B$130),"",ReferenceData!$B$130),"")</f>
        <v>BMW GR Equity</v>
      </c>
      <c r="C130" t="str">
        <f>IFERROR(IF(0=LEN(ReferenceData!$C$130),"",ReferenceData!$C$130),"")</f>
        <v>RR903</v>
      </c>
      <c r="D130" t="str">
        <f>IFERROR(IF(0=LEN(ReferenceData!$D$130),"",ReferenceData!$D$130),"")</f>
        <v>PX_TO_BOOK_RATIO</v>
      </c>
      <c r="E130" t="str">
        <f>IFERROR(IF(0=LEN(ReferenceData!$E$130),"",ReferenceData!$E$130),"")</f>
        <v>Dynamic</v>
      </c>
      <c r="F130">
        <f ca="1">IFERROR(IF(0=LEN(ReferenceData!$F$130),"",ReferenceData!$F$130),"")</f>
        <v>0.85222704800000004</v>
      </c>
      <c r="G130">
        <f ca="1">IFERROR(IF(0=LEN(ReferenceData!$G$130),"",ReferenceData!$G$130),"")</f>
        <v>0.82469822500000001</v>
      </c>
      <c r="H130">
        <f ca="1">IFERROR(IF(0=LEN(ReferenceData!$H$130),"",ReferenceData!$H$130),"")</f>
        <v>0.90401856300000005</v>
      </c>
      <c r="I130">
        <f ca="1">IFERROR(IF(0=LEN(ReferenceData!$I$130),"",ReferenceData!$I$130),"")</f>
        <v>0.92309847099999998</v>
      </c>
      <c r="J130">
        <f ca="1">IFERROR(IF(0=LEN(ReferenceData!$J$130),"",ReferenceData!$J$130),"")</f>
        <v>1.035925242</v>
      </c>
      <c r="K130">
        <f ca="1">IFERROR(IF(0=LEN(ReferenceData!$K$130),"",ReferenceData!$K$130),"")</f>
        <v>1.055208828</v>
      </c>
      <c r="L130">
        <f ca="1">IFERROR(IF(0=LEN(ReferenceData!$L$130),"",ReferenceData!$L$130),"")</f>
        <v>1.0737511340000001</v>
      </c>
      <c r="M130">
        <f ca="1">IFERROR(IF(0=LEN(ReferenceData!$M$130),"",ReferenceData!$M$130),"")</f>
        <v>1.0668823249999999</v>
      </c>
      <c r="N130">
        <f ca="1">IFERROR(IF(0=LEN(ReferenceData!$N$130),"",ReferenceData!$N$130),"")</f>
        <v>1.1394154679999999</v>
      </c>
      <c r="O130">
        <f ca="1">IFERROR(IF(0=LEN(ReferenceData!$O$130),"",ReferenceData!$O$130),"")</f>
        <v>1.237973953</v>
      </c>
      <c r="P130">
        <f ca="1">IFERROR(IF(0=LEN(ReferenceData!$P$130),"",ReferenceData!$P$130),"")</f>
        <v>1.0864622770000001</v>
      </c>
      <c r="Q130">
        <f ca="1">IFERROR(IF(0=LEN(ReferenceData!$Q$130),"",ReferenceData!$Q$130),"")</f>
        <v>0.99460185800000001</v>
      </c>
      <c r="R130">
        <f ca="1">IFERROR(IF(0=LEN(ReferenceData!$R$130),"",ReferenceData!$R$130),"")</f>
        <v>1.191081821</v>
      </c>
      <c r="S130">
        <f ca="1">IFERROR(IF(0=LEN(ReferenceData!$S$130),"",ReferenceData!$S$130),"")</f>
        <v>1.507731792</v>
      </c>
      <c r="T130">
        <f ca="1">IFERROR(IF(0=LEN(ReferenceData!$T$130),"",ReferenceData!$T$130),"")</f>
        <v>1.272176824</v>
      </c>
      <c r="U130">
        <f ca="1">IFERROR(IF(0=LEN(ReferenceData!$U$130),"",ReferenceData!$U$130),"")</f>
        <v>1.687698586</v>
      </c>
      <c r="V130">
        <f ca="1">IFERROR(IF(0=LEN(ReferenceData!$V$130),"",ReferenceData!$V$130),"")</f>
        <v>2.117410977</v>
      </c>
      <c r="W130">
        <f ca="1">IFERROR(IF(0=LEN(ReferenceData!$W$130),"",ReferenceData!$W$130),"")</f>
        <v>1.502448255</v>
      </c>
      <c r="X130">
        <f ca="1">IFERROR(IF(0=LEN(ReferenceData!$X$130),"",ReferenceData!$X$130),"")</f>
        <v>1.539270841</v>
      </c>
      <c r="Y130">
        <f ca="1">IFERROR(IF(0=LEN(ReferenceData!$Y$130),"",ReferenceData!$Y$130),"")</f>
        <v>1.678428874</v>
      </c>
      <c r="Z130">
        <f ca="1">IFERROR(IF(0=LEN(ReferenceData!$Z$130),"",ReferenceData!$Z$130),"")</f>
        <v>1.632962587</v>
      </c>
      <c r="AA130">
        <f ca="1">IFERROR(IF(0=LEN(ReferenceData!$AA$130),"",ReferenceData!$AA$130),"")</f>
        <v>1.5792965560000001</v>
      </c>
      <c r="AB130">
        <f ca="1">IFERROR(IF(0=LEN(ReferenceData!$AB$130),"",ReferenceData!$AB$130),"")</f>
        <v>1.5488449909999999</v>
      </c>
      <c r="AC130">
        <f ca="1">IFERROR(IF(0=LEN(ReferenceData!$AC$130),"",ReferenceData!$AC$130),"")</f>
        <v>1.371454819</v>
      </c>
      <c r="AD130">
        <f ca="1">IFERROR(IF(0=LEN(ReferenceData!$AD$130),"",ReferenceData!$AD$130),"")</f>
        <v>1.4071723350000001</v>
      </c>
      <c r="AE130">
        <f ca="1">IFERROR(IF(0=LEN(ReferenceData!$AE$130),"",ReferenceData!$AE$130),"")</f>
        <v>1.5686189020000001</v>
      </c>
      <c r="AF130">
        <f ca="1">IFERROR(IF(0=LEN(ReferenceData!$AF$130),"",ReferenceData!$AF$130),"")</f>
        <v>1.3027415920000001</v>
      </c>
      <c r="AG130">
        <f ca="1">IFERROR(IF(0=LEN(ReferenceData!$AG$130),"",ReferenceData!$AG$130),"")</f>
        <v>1.3597166460000001</v>
      </c>
      <c r="AH130">
        <f ca="1">IFERROR(IF(0=LEN(ReferenceData!$AH$130),"",ReferenceData!$AH$130),"")</f>
        <v>1.552439484</v>
      </c>
      <c r="AI130">
        <f ca="1">IFERROR(IF(0=LEN(ReferenceData!$AI$130),"",ReferenceData!$AI$130),"")</f>
        <v>1.2549791239999999</v>
      </c>
      <c r="AJ130">
        <f ca="1">IFERROR(IF(0=LEN(ReferenceData!$AJ$130),"",ReferenceData!$AJ$130),"")</f>
        <v>1.256416712</v>
      </c>
      <c r="AK130">
        <f ca="1">IFERROR(IF(0=LEN(ReferenceData!$AK$130),"",ReferenceData!$AK$130),"")</f>
        <v>1.739478922</v>
      </c>
      <c r="AL130">
        <f ca="1">IFERROR(IF(0=LEN(ReferenceData!$AL$130),"",ReferenceData!$AL$130),"")</f>
        <v>1.5600530050000001</v>
      </c>
      <c r="AM130">
        <f ca="1">IFERROR(IF(0=LEN(ReferenceData!$AM$130),"",ReferenceData!$AM$130),"")</f>
        <v>1.6129553249999999</v>
      </c>
      <c r="AN130">
        <f ca="1">IFERROR(IF(0=LEN(ReferenceData!$AN$130),"",ReferenceData!$AN$130),"")</f>
        <v>1.551361217</v>
      </c>
      <c r="AO130">
        <f ca="1">IFERROR(IF(0=LEN(ReferenceData!$AO$130),"",ReferenceData!$AO$130),"")</f>
        <v>1.3009924310000001</v>
      </c>
      <c r="AP130">
        <f ca="1">IFERROR(IF(0=LEN(ReferenceData!$AP$130),"",ReferenceData!$AP$130),"")</f>
        <v>1.1263136579999999</v>
      </c>
      <c r="AQ130">
        <f ca="1">IFERROR(IF(0=LEN(ReferenceData!$AQ$130),"",ReferenceData!$AQ$130),"")</f>
        <v>1.046035863</v>
      </c>
      <c r="AR130">
        <f ca="1">IFERROR(IF(0=LEN(ReferenceData!$AR$130),"",ReferenceData!$AR$130),"")</f>
        <v>1.0798698680000001</v>
      </c>
      <c r="AS130">
        <f ca="1">IFERROR(IF(0=LEN(ReferenceData!$AS$130),"",ReferenceData!$AS$130),"")</f>
        <v>0.87053800599999998</v>
      </c>
      <c r="AT130">
        <f ca="1">IFERROR(IF(0=LEN(ReferenceData!$AT$130),"",ReferenceData!$AT$130),"")</f>
        <v>0.71458436400000003</v>
      </c>
      <c r="AU130">
        <f ca="1">IFERROR(IF(0=LEN(ReferenceData!$AU$130),"",ReferenceData!$AU$130),"")</f>
        <v>0.69722319300000002</v>
      </c>
      <c r="AV130">
        <f ca="1">IFERROR(IF(0=LEN(ReferenceData!$AV$130),"",ReferenceData!$AV$130),"")</f>
        <v>0.81040868300000002</v>
      </c>
      <c r="AW130">
        <f ca="1">IFERROR(IF(0=LEN(ReferenceData!$AW$130),"",ReferenceData!$AW$130),"")</f>
        <v>0.90715000999999995</v>
      </c>
      <c r="AX130">
        <f ca="1">IFERROR(IF(0=LEN(ReferenceData!$AX$130),"",ReferenceData!$AX$130),"")</f>
        <v>1.0139850100000001</v>
      </c>
      <c r="AY130">
        <f ca="1">IFERROR(IF(0=LEN(ReferenceData!$AY$130),"",ReferenceData!$AY$130),"")</f>
        <v>1.285927153</v>
      </c>
      <c r="AZ130">
        <f ca="1">IFERROR(IF(0=LEN(ReferenceData!$AZ$130),"",ReferenceData!$AZ$130),"")</f>
        <v>1.418958202</v>
      </c>
      <c r="BA130">
        <f ca="1">IFERROR(IF(0=LEN(ReferenceData!$BA$130),"",ReferenceData!$BA$130),"")</f>
        <v>1.5489076669999999</v>
      </c>
      <c r="BB130">
        <f ca="1">IFERROR(IF(0=LEN(ReferenceData!$BB$130),"",ReferenceData!$BB$130),"")</f>
        <v>1.475065445</v>
      </c>
      <c r="BC130">
        <f ca="1">IFERROR(IF(0=LEN(ReferenceData!$BC$130),"",ReferenceData!$BC$130),"")</f>
        <v>1.4950697610000001</v>
      </c>
      <c r="BD130">
        <f ca="1">IFERROR(IF(0=LEN(ReferenceData!$BD$130),"",ReferenceData!$BD$130),"")</f>
        <v>1.5212664979999999</v>
      </c>
      <c r="BE130">
        <f ca="1">IFERROR(IF(0=LEN(ReferenceData!$BE$130),"",ReferenceData!$BE$130),"")</f>
        <v>1.417701415</v>
      </c>
      <c r="BF130">
        <f ca="1">IFERROR(IF(0=LEN(ReferenceData!$BF$130),"",ReferenceData!$BF$130),"")</f>
        <v>1.724243829</v>
      </c>
      <c r="BG130">
        <f ca="1">IFERROR(IF(0=LEN(ReferenceData!$BG$130),"",ReferenceData!$BG$130),"")</f>
        <v>1.470199196</v>
      </c>
      <c r="BH130">
        <f ca="1">IFERROR(IF(0=LEN(ReferenceData!$BH$130),"",ReferenceData!$BH$130),"")</f>
        <v>1.4407631169999999</v>
      </c>
      <c r="BI130">
        <f ca="1">IFERROR(IF(0=LEN(ReferenceData!$BI$130),"",ReferenceData!$BI$130),"")</f>
        <v>1.4441162919999999</v>
      </c>
      <c r="BJ130">
        <f ca="1">IFERROR(IF(0=LEN(ReferenceData!$BJ$130),"",ReferenceData!$BJ$130),"")</f>
        <v>1.3355641110000001</v>
      </c>
      <c r="BK130">
        <f ca="1">IFERROR(IF(0=LEN(ReferenceData!$BK$130),"",ReferenceData!$BK$130),"")</f>
        <v>1.354232458</v>
      </c>
      <c r="BL130">
        <f ca="1">IFERROR(IF(0=LEN(ReferenceData!$BL$130),"",ReferenceData!$BL$130),"")</f>
        <v>1.3274644330000001</v>
      </c>
      <c r="BM130">
        <f ca="1">IFERROR(IF(0=LEN(ReferenceData!$BM$130),"",ReferenceData!$BM$130),"")</f>
        <v>1.477677436</v>
      </c>
    </row>
    <row r="131" spans="1:65" x14ac:dyDescent="0.25">
      <c r="A131" t="str">
        <f>IFERROR(IF(0=LEN(ReferenceData!$A$131),"",ReferenceData!$A$131),"")</f>
        <v xml:space="preserve">    Brilliance China Automotive Holdings Ltd</v>
      </c>
      <c r="B131" t="str">
        <f>IFERROR(IF(0=LEN(ReferenceData!$B$131),"",ReferenceData!$B$131),"")</f>
        <v>1114 HK Equity</v>
      </c>
      <c r="C131" t="str">
        <f>IFERROR(IF(0=LEN(ReferenceData!$C$131),"",ReferenceData!$C$131),"")</f>
        <v>RR903</v>
      </c>
      <c r="D131" t="str">
        <f>IFERROR(IF(0=LEN(ReferenceData!$D$131),"",ReferenceData!$D$131),"")</f>
        <v>PX_TO_BOOK_RATIO</v>
      </c>
      <c r="E131" t="str">
        <f>IFERROR(IF(0=LEN(ReferenceData!$E$131),"",ReferenceData!$E$131),"")</f>
        <v>Dynamic</v>
      </c>
      <c r="F131" t="str">
        <f ca="1">IFERROR(IF(0=LEN(ReferenceData!$F$131),"",ReferenceData!$F$131),"")</f>
        <v/>
      </c>
      <c r="G131" t="str">
        <f ca="1">IFERROR(IF(0=LEN(ReferenceData!$G$131),"",ReferenceData!$G$131),"")</f>
        <v/>
      </c>
      <c r="H131" t="str">
        <f ca="1">IFERROR(IF(0=LEN(ReferenceData!$H$131),"",ReferenceData!$H$131),"")</f>
        <v/>
      </c>
      <c r="I131" t="str">
        <f ca="1">IFERROR(IF(0=LEN(ReferenceData!$I$131),"",ReferenceData!$I$131),"")</f>
        <v/>
      </c>
      <c r="J131" t="str">
        <f ca="1">IFERROR(IF(0=LEN(ReferenceData!$J$131),"",ReferenceData!$J$131),"")</f>
        <v/>
      </c>
      <c r="K131" t="str">
        <f ca="1">IFERROR(IF(0=LEN(ReferenceData!$K$131),"",ReferenceData!$K$131),"")</f>
        <v/>
      </c>
      <c r="L131" t="str">
        <f ca="1">IFERROR(IF(0=LEN(ReferenceData!$L$131),"",ReferenceData!$L$131),"")</f>
        <v/>
      </c>
      <c r="M131" t="str">
        <f ca="1">IFERROR(IF(0=LEN(ReferenceData!$M$131),"",ReferenceData!$M$131),"")</f>
        <v/>
      </c>
      <c r="N131" t="str">
        <f ca="1">IFERROR(IF(0=LEN(ReferenceData!$N$131),"",ReferenceData!$N$131),"")</f>
        <v/>
      </c>
      <c r="O131" t="str">
        <f ca="1">IFERROR(IF(0=LEN(ReferenceData!$O$131),"",ReferenceData!$O$131),"")</f>
        <v/>
      </c>
      <c r="P131" t="str">
        <f ca="1">IFERROR(IF(0=LEN(ReferenceData!$P$131),"",ReferenceData!$P$131),"")</f>
        <v/>
      </c>
      <c r="Q131" t="str">
        <f ca="1">IFERROR(IF(0=LEN(ReferenceData!$Q$131),"",ReferenceData!$Q$131),"")</f>
        <v/>
      </c>
      <c r="R131" t="str">
        <f ca="1">IFERROR(IF(0=LEN(ReferenceData!$R$131),"",ReferenceData!$R$131),"")</f>
        <v/>
      </c>
      <c r="S131" t="str">
        <f ca="1">IFERROR(IF(0=LEN(ReferenceData!$S$131),"",ReferenceData!$S$131),"")</f>
        <v/>
      </c>
      <c r="T131" t="str">
        <f ca="1">IFERROR(IF(0=LEN(ReferenceData!$T$131),"",ReferenceData!$T$131),"")</f>
        <v/>
      </c>
      <c r="U131" t="str">
        <f ca="1">IFERROR(IF(0=LEN(ReferenceData!$U$131),"",ReferenceData!$U$131),"")</f>
        <v/>
      </c>
      <c r="V131" t="str">
        <f ca="1">IFERROR(IF(0=LEN(ReferenceData!$V$131),"",ReferenceData!$V$131),"")</f>
        <v/>
      </c>
      <c r="W131" t="str">
        <f ca="1">IFERROR(IF(0=LEN(ReferenceData!$W$131),"",ReferenceData!$W$131),"")</f>
        <v/>
      </c>
      <c r="X131" t="str">
        <f ca="1">IFERROR(IF(0=LEN(ReferenceData!$X$131),"",ReferenceData!$X$131),"")</f>
        <v/>
      </c>
      <c r="Y131" t="str">
        <f ca="1">IFERROR(IF(0=LEN(ReferenceData!$Y$131),"",ReferenceData!$Y$131),"")</f>
        <v/>
      </c>
      <c r="Z131" t="str">
        <f ca="1">IFERROR(IF(0=LEN(ReferenceData!$Z$131),"",ReferenceData!$Z$131),"")</f>
        <v/>
      </c>
      <c r="AA131" t="str">
        <f ca="1">IFERROR(IF(0=LEN(ReferenceData!$AA$131),"",ReferenceData!$AA$131),"")</f>
        <v/>
      </c>
      <c r="AB131" t="str">
        <f ca="1">IFERROR(IF(0=LEN(ReferenceData!$AB$131),"",ReferenceData!$AB$131),"")</f>
        <v/>
      </c>
      <c r="AC131" t="str">
        <f ca="1">IFERROR(IF(0=LEN(ReferenceData!$AC$131),"",ReferenceData!$AC$131),"")</f>
        <v/>
      </c>
      <c r="AD131" t="str">
        <f ca="1">IFERROR(IF(0=LEN(ReferenceData!$AD$131),"",ReferenceData!$AD$131),"")</f>
        <v/>
      </c>
      <c r="AE131" t="str">
        <f ca="1">IFERROR(IF(0=LEN(ReferenceData!$AE$131),"",ReferenceData!$AE$131),"")</f>
        <v/>
      </c>
      <c r="AF131" t="str">
        <f ca="1">IFERROR(IF(0=LEN(ReferenceData!$AF$131),"",ReferenceData!$AF$131),"")</f>
        <v/>
      </c>
      <c r="AG131" t="str">
        <f ca="1">IFERROR(IF(0=LEN(ReferenceData!$AG$131),"",ReferenceData!$AG$131),"")</f>
        <v/>
      </c>
      <c r="AH131" t="str">
        <f ca="1">IFERROR(IF(0=LEN(ReferenceData!$AH$131),"",ReferenceData!$AH$131),"")</f>
        <v/>
      </c>
      <c r="AI131" t="str">
        <f ca="1">IFERROR(IF(0=LEN(ReferenceData!$AI$131),"",ReferenceData!$AI$131),"")</f>
        <v/>
      </c>
      <c r="AJ131" t="str">
        <f ca="1">IFERROR(IF(0=LEN(ReferenceData!$AJ$131),"",ReferenceData!$AJ$131),"")</f>
        <v/>
      </c>
      <c r="AK131" t="str">
        <f ca="1">IFERROR(IF(0=LEN(ReferenceData!$AK$131),"",ReferenceData!$AK$131),"")</f>
        <v/>
      </c>
      <c r="AL131" t="str">
        <f ca="1">IFERROR(IF(0=LEN(ReferenceData!$AL$131),"",ReferenceData!$AL$131),"")</f>
        <v/>
      </c>
      <c r="AM131" t="str">
        <f ca="1">IFERROR(IF(0=LEN(ReferenceData!$AM$131),"",ReferenceData!$AM$131),"")</f>
        <v/>
      </c>
      <c r="AN131" t="str">
        <f ca="1">IFERROR(IF(0=LEN(ReferenceData!$AN$131),"",ReferenceData!$AN$131),"")</f>
        <v/>
      </c>
      <c r="AO131" t="str">
        <f ca="1">IFERROR(IF(0=LEN(ReferenceData!$AO$131),"",ReferenceData!$AO$131),"")</f>
        <v/>
      </c>
      <c r="AP131" t="str">
        <f ca="1">IFERROR(IF(0=LEN(ReferenceData!$AP$131),"",ReferenceData!$AP$131),"")</f>
        <v/>
      </c>
      <c r="AQ131" t="str">
        <f ca="1">IFERROR(IF(0=LEN(ReferenceData!$AQ$131),"",ReferenceData!$AQ$131),"")</f>
        <v/>
      </c>
      <c r="AR131" t="str">
        <f ca="1">IFERROR(IF(0=LEN(ReferenceData!$AR$131),"",ReferenceData!$AR$131),"")</f>
        <v/>
      </c>
      <c r="AS131" t="str">
        <f ca="1">IFERROR(IF(0=LEN(ReferenceData!$AS$131),"",ReferenceData!$AS$131),"")</f>
        <v/>
      </c>
      <c r="AT131" t="str">
        <f ca="1">IFERROR(IF(0=LEN(ReferenceData!$AT$131),"",ReferenceData!$AT$131),"")</f>
        <v/>
      </c>
      <c r="AU131" t="str">
        <f ca="1">IFERROR(IF(0=LEN(ReferenceData!$AU$131),"",ReferenceData!$AU$131),"")</f>
        <v/>
      </c>
      <c r="AV131" t="str">
        <f ca="1">IFERROR(IF(0=LEN(ReferenceData!$AV$131),"",ReferenceData!$AV$131),"")</f>
        <v/>
      </c>
      <c r="AW131" t="str">
        <f ca="1">IFERROR(IF(0=LEN(ReferenceData!$AW$131),"",ReferenceData!$AW$131),"")</f>
        <v/>
      </c>
      <c r="AX131" t="str">
        <f ca="1">IFERROR(IF(0=LEN(ReferenceData!$AX$131),"",ReferenceData!$AX$131),"")</f>
        <v/>
      </c>
      <c r="AY131" t="str">
        <f ca="1">IFERROR(IF(0=LEN(ReferenceData!$AY$131),"",ReferenceData!$AY$131),"")</f>
        <v/>
      </c>
      <c r="AZ131" t="str">
        <f ca="1">IFERROR(IF(0=LEN(ReferenceData!$AZ$131),"",ReferenceData!$AZ$131),"")</f>
        <v/>
      </c>
      <c r="BA131" t="str">
        <f ca="1">IFERROR(IF(0=LEN(ReferenceData!$BA$131),"",ReferenceData!$BA$131),"")</f>
        <v/>
      </c>
      <c r="BB131" t="str">
        <f ca="1">IFERROR(IF(0=LEN(ReferenceData!$BB$131),"",ReferenceData!$BB$131),"")</f>
        <v/>
      </c>
      <c r="BC131" t="str">
        <f ca="1">IFERROR(IF(0=LEN(ReferenceData!$BC$131),"",ReferenceData!$BC$131),"")</f>
        <v/>
      </c>
      <c r="BD131" t="str">
        <f ca="1">IFERROR(IF(0=LEN(ReferenceData!$BD$131),"",ReferenceData!$BD$131),"")</f>
        <v/>
      </c>
      <c r="BE131" t="str">
        <f ca="1">IFERROR(IF(0=LEN(ReferenceData!$BE$131),"",ReferenceData!$BE$131),"")</f>
        <v/>
      </c>
      <c r="BF131" t="str">
        <f ca="1">IFERROR(IF(0=LEN(ReferenceData!$BF$131),"",ReferenceData!$BF$131),"")</f>
        <v/>
      </c>
      <c r="BG131" t="str">
        <f ca="1">IFERROR(IF(0=LEN(ReferenceData!$BG$131),"",ReferenceData!$BG$131),"")</f>
        <v/>
      </c>
      <c r="BH131" t="str">
        <f ca="1">IFERROR(IF(0=LEN(ReferenceData!$BH$131),"",ReferenceData!$BH$131),"")</f>
        <v/>
      </c>
      <c r="BI131" t="str">
        <f ca="1">IFERROR(IF(0=LEN(ReferenceData!$BI$131),"",ReferenceData!$BI$131),"")</f>
        <v/>
      </c>
      <c r="BJ131" t="str">
        <f ca="1">IFERROR(IF(0=LEN(ReferenceData!$BJ$131),"",ReferenceData!$BJ$131),"")</f>
        <v/>
      </c>
      <c r="BK131" t="str">
        <f ca="1">IFERROR(IF(0=LEN(ReferenceData!$BK$131),"",ReferenceData!$BK$131),"")</f>
        <v/>
      </c>
      <c r="BL131" t="str">
        <f ca="1">IFERROR(IF(0=LEN(ReferenceData!$BL$131),"",ReferenceData!$BL$131),"")</f>
        <v/>
      </c>
      <c r="BM131" t="str">
        <f ca="1">IFERROR(IF(0=LEN(ReferenceData!$BM$131),"",ReferenceData!$BM$131),"")</f>
        <v/>
      </c>
    </row>
    <row r="132" spans="1:65" x14ac:dyDescent="0.25">
      <c r="A132" t="str">
        <f>IFERROR(IF(0=LEN(ReferenceData!$A$132),"",ReferenceData!$A$132),"")</f>
        <v xml:space="preserve">    BYD Co Ltd</v>
      </c>
      <c r="B132" t="str">
        <f>IFERROR(IF(0=LEN(ReferenceData!$B$132),"",ReferenceData!$B$132),"")</f>
        <v>1211 HK Equity</v>
      </c>
      <c r="C132" t="str">
        <f>IFERROR(IF(0=LEN(ReferenceData!$C$132),"",ReferenceData!$C$132),"")</f>
        <v>RR903</v>
      </c>
      <c r="D132" t="str">
        <f>IFERROR(IF(0=LEN(ReferenceData!$D$132),"",ReferenceData!$D$132),"")</f>
        <v>PX_TO_BOOK_RATIO</v>
      </c>
      <c r="E132" t="str">
        <f>IFERROR(IF(0=LEN(ReferenceData!$E$132),"",ReferenceData!$E$132),"")</f>
        <v>Dynamic</v>
      </c>
      <c r="F132">
        <f ca="1">IFERROR(IF(0=LEN(ReferenceData!$F$132),"",ReferenceData!$F$132),"")</f>
        <v>2.3184545569999999</v>
      </c>
      <c r="G132">
        <f ca="1">IFERROR(IF(0=LEN(ReferenceData!$G$132),"",ReferenceData!$G$132),"")</f>
        <v>2.3659518909999999</v>
      </c>
      <c r="H132">
        <f ca="1">IFERROR(IF(0=LEN(ReferenceData!$H$132),"",ReferenceData!$H$132),"")</f>
        <v>2.6606301179999998</v>
      </c>
      <c r="I132">
        <f ca="1">IFERROR(IF(0=LEN(ReferenceData!$I$132),"",ReferenceData!$I$132),"")</f>
        <v>2.175979586</v>
      </c>
      <c r="J132">
        <f ca="1">IFERROR(IF(0=LEN(ReferenceData!$J$132),"",ReferenceData!$J$132),"")</f>
        <v>2.6220556780000002</v>
      </c>
      <c r="K132">
        <f ca="1">IFERROR(IF(0=LEN(ReferenceData!$K$132),"",ReferenceData!$K$132),"")</f>
        <v>3.0276375280000001</v>
      </c>
      <c r="L132">
        <f ca="1">IFERROR(IF(0=LEN(ReferenceData!$L$132),"",ReferenceData!$L$132),"")</f>
        <v>3.343638356</v>
      </c>
      <c r="M132">
        <f ca="1">IFERROR(IF(0=LEN(ReferenceData!$M$132),"",ReferenceData!$M$132),"")</f>
        <v>2.3192367300000001</v>
      </c>
      <c r="N132">
        <f ca="1">IFERROR(IF(0=LEN(ReferenceData!$N$132),"",ReferenceData!$N$132),"")</f>
        <v>2.1586411320000001</v>
      </c>
      <c r="O132">
        <f ca="1">IFERROR(IF(0=LEN(ReferenceData!$O$132),"",ReferenceData!$O$132),"")</f>
        <v>2.1016034760000002</v>
      </c>
      <c r="P132">
        <f ca="1">IFERROR(IF(0=LEN(ReferenceData!$P$132),"",ReferenceData!$P$132),"")</f>
        <v>2.551933553</v>
      </c>
      <c r="Q132">
        <f ca="1">IFERROR(IF(0=LEN(ReferenceData!$Q$132),"",ReferenceData!$Q$132),"")</f>
        <v>3.1783940030000002</v>
      </c>
      <c r="R132">
        <f ca="1">IFERROR(IF(0=LEN(ReferenceData!$R$132),"",ReferenceData!$R$132),"")</f>
        <v>3.1280176389999998</v>
      </c>
      <c r="S132">
        <f ca="1">IFERROR(IF(0=LEN(ReferenceData!$S$132),"",ReferenceData!$S$132),"")</f>
        <v>2.7372374069999998</v>
      </c>
      <c r="T132">
        <f ca="1">IFERROR(IF(0=LEN(ReferenceData!$T$132),"",ReferenceData!$T$132),"")</f>
        <v>3.0419332749999999</v>
      </c>
      <c r="U132">
        <f ca="1">IFERROR(IF(0=LEN(ReferenceData!$U$132),"",ReferenceData!$U$132),"")</f>
        <v>3.566656321</v>
      </c>
      <c r="V132">
        <f ca="1">IFERROR(IF(0=LEN(ReferenceData!$V$132),"",ReferenceData!$V$132),"")</f>
        <v>3.0992066130000002</v>
      </c>
      <c r="W132">
        <f ca="1">IFERROR(IF(0=LEN(ReferenceData!$W$132),"",ReferenceData!$W$132),"")</f>
        <v>2.371667398</v>
      </c>
      <c r="X132">
        <f ca="1">IFERROR(IF(0=LEN(ReferenceData!$X$132),"",ReferenceData!$X$132),"")</f>
        <v>3.9829987710000001</v>
      </c>
      <c r="Y132">
        <f ca="1">IFERROR(IF(0=LEN(ReferenceData!$Y$132),"",ReferenceData!$Y$132),"")</f>
        <v>3.4851527409999998</v>
      </c>
      <c r="Z132">
        <f ca="1">IFERROR(IF(0=LEN(ReferenceData!$Z$132),"",ReferenceData!$Z$132),"")</f>
        <v>4.1651720819999998</v>
      </c>
      <c r="AA132">
        <f ca="1">IFERROR(IF(0=LEN(ReferenceData!$AA$132),"",ReferenceData!$AA$132),"")</f>
        <v>3.2163731609999999</v>
      </c>
      <c r="AB132">
        <f ca="1">IFERROR(IF(0=LEN(ReferenceData!$AB$132),"",ReferenceData!$AB$132),"")</f>
        <v>2.9739312230000001</v>
      </c>
      <c r="AC132">
        <f ca="1">IFERROR(IF(0=LEN(ReferenceData!$AC$132),"",ReferenceData!$AC$132),"")</f>
        <v>2.2172072049999998</v>
      </c>
      <c r="AD132">
        <f ca="1">IFERROR(IF(0=LEN(ReferenceData!$AD$132),"",ReferenceData!$AD$132),"")</f>
        <v>2.1863484209999999</v>
      </c>
      <c r="AE132">
        <f ca="1">IFERROR(IF(0=LEN(ReferenceData!$AE$132),"",ReferenceData!$AE$132),"")</f>
        <v>2.0771033999999999</v>
      </c>
      <c r="AF132">
        <f ca="1">IFERROR(IF(0=LEN(ReferenceData!$AF$132),"",ReferenceData!$AF$132),"")</f>
        <v>1.2195841860000001</v>
      </c>
      <c r="AG132">
        <f ca="1">IFERROR(IF(0=LEN(ReferenceData!$AG$132),"",ReferenceData!$AG$132),"")</f>
        <v>1.335590657</v>
      </c>
      <c r="AH132">
        <f ca="1">IFERROR(IF(0=LEN(ReferenceData!$AH$132),"",ReferenceData!$AH$132),"")</f>
        <v>1.9588667049999999</v>
      </c>
      <c r="AI132">
        <f ca="1">IFERROR(IF(0=LEN(ReferenceData!$AI$132),"",ReferenceData!$AI$132),"")</f>
        <v>1.522190953</v>
      </c>
      <c r="AJ132">
        <f ca="1">IFERROR(IF(0=LEN(ReferenceData!$AJ$132),"",ReferenceData!$AJ$132),"")</f>
        <v>1.2641195009999999</v>
      </c>
      <c r="AK132">
        <f ca="1">IFERROR(IF(0=LEN(ReferenceData!$AK$132),"",ReferenceData!$AK$132),"")</f>
        <v>2.5747896099999998</v>
      </c>
      <c r="AL132">
        <f ca="1">IFERROR(IF(0=LEN(ReferenceData!$AL$132),"",ReferenceData!$AL$132),"")</f>
        <v>3.0926890440000001</v>
      </c>
      <c r="AM132">
        <f ca="1">IFERROR(IF(0=LEN(ReferenceData!$AM$132),"",ReferenceData!$AM$132),"")</f>
        <v>4.2681679490000004</v>
      </c>
      <c r="AN132">
        <f ca="1">IFERROR(IF(0=LEN(ReferenceData!$AN$132),"",ReferenceData!$AN$132),"")</f>
        <v>6.6572203539999997</v>
      </c>
      <c r="AO132">
        <f ca="1">IFERROR(IF(0=LEN(ReferenceData!$AO$132),"",ReferenceData!$AO$132),"")</f>
        <v>6.292162169</v>
      </c>
      <c r="AP132">
        <f ca="1">IFERROR(IF(0=LEN(ReferenceData!$AP$132),"",ReferenceData!$AP$132),"")</f>
        <v>8.4006808419999999</v>
      </c>
      <c r="AQ132">
        <f ca="1">IFERROR(IF(0=LEN(ReferenceData!$AQ$132),"",ReferenceData!$AQ$132),"")</f>
        <v>8.2197878069999994</v>
      </c>
      <c r="AR132">
        <f ca="1">IFERROR(IF(0=LEN(ReferenceData!$AR$132),"",ReferenceData!$AR$132),"")</f>
        <v>8.4181053190000004</v>
      </c>
      <c r="AS132" t="str">
        <f ca="1">IFERROR(IF(0=LEN(ReferenceData!$AS$132),"",ReferenceData!$AS$132),"")</f>
        <v/>
      </c>
      <c r="AT132" t="str">
        <f ca="1">IFERROR(IF(0=LEN(ReferenceData!$AT$132),"",ReferenceData!$AT$132),"")</f>
        <v/>
      </c>
      <c r="AU132" t="str">
        <f ca="1">IFERROR(IF(0=LEN(ReferenceData!$AU$132),"",ReferenceData!$AU$132),"")</f>
        <v/>
      </c>
      <c r="AV132" t="str">
        <f ca="1">IFERROR(IF(0=LEN(ReferenceData!$AV$132),"",ReferenceData!$AV$132),"")</f>
        <v/>
      </c>
      <c r="AW132" t="str">
        <f ca="1">IFERROR(IF(0=LEN(ReferenceData!$AW$132),"",ReferenceData!$AW$132),"")</f>
        <v/>
      </c>
      <c r="AX132" t="str">
        <f ca="1">IFERROR(IF(0=LEN(ReferenceData!$AX$132),"",ReferenceData!$AX$132),"")</f>
        <v/>
      </c>
      <c r="AY132" t="str">
        <f ca="1">IFERROR(IF(0=LEN(ReferenceData!$AY$132),"",ReferenceData!$AY$132),"")</f>
        <v/>
      </c>
      <c r="AZ132" t="str">
        <f ca="1">IFERROR(IF(0=LEN(ReferenceData!$AZ$132),"",ReferenceData!$AZ$132),"")</f>
        <v/>
      </c>
      <c r="BA132" t="str">
        <f ca="1">IFERROR(IF(0=LEN(ReferenceData!$BA$132),"",ReferenceData!$BA$132),"")</f>
        <v/>
      </c>
      <c r="BB132" t="str">
        <f ca="1">IFERROR(IF(0=LEN(ReferenceData!$BB$132),"",ReferenceData!$BB$132),"")</f>
        <v/>
      </c>
      <c r="BC132" t="str">
        <f ca="1">IFERROR(IF(0=LEN(ReferenceData!$BC$132),"",ReferenceData!$BC$132),"")</f>
        <v/>
      </c>
      <c r="BD132" t="str">
        <f ca="1">IFERROR(IF(0=LEN(ReferenceData!$BD$132),"",ReferenceData!$BD$132),"")</f>
        <v/>
      </c>
      <c r="BE132" t="str">
        <f ca="1">IFERROR(IF(0=LEN(ReferenceData!$BE$132),"",ReferenceData!$BE$132),"")</f>
        <v/>
      </c>
      <c r="BF132" t="str">
        <f ca="1">IFERROR(IF(0=LEN(ReferenceData!$BF$132),"",ReferenceData!$BF$132),"")</f>
        <v/>
      </c>
      <c r="BG132" t="str">
        <f ca="1">IFERROR(IF(0=LEN(ReferenceData!$BG$132),"",ReferenceData!$BG$132),"")</f>
        <v/>
      </c>
      <c r="BH132" t="str">
        <f ca="1">IFERROR(IF(0=LEN(ReferenceData!$BH$132),"",ReferenceData!$BH$132),"")</f>
        <v/>
      </c>
      <c r="BI132" t="str">
        <f ca="1">IFERROR(IF(0=LEN(ReferenceData!$BI$132),"",ReferenceData!$BI$132),"")</f>
        <v/>
      </c>
      <c r="BJ132" t="str">
        <f ca="1">IFERROR(IF(0=LEN(ReferenceData!$BJ$132),"",ReferenceData!$BJ$132),"")</f>
        <v/>
      </c>
      <c r="BK132" t="str">
        <f ca="1">IFERROR(IF(0=LEN(ReferenceData!$BK$132),"",ReferenceData!$BK$132),"")</f>
        <v/>
      </c>
      <c r="BL132" t="str">
        <f ca="1">IFERROR(IF(0=LEN(ReferenceData!$BL$132),"",ReferenceData!$BL$132),"")</f>
        <v/>
      </c>
      <c r="BM132" t="str">
        <f ca="1">IFERROR(IF(0=LEN(ReferenceData!$BM$132),"",ReferenceData!$BM$132),"")</f>
        <v/>
      </c>
    </row>
    <row r="133" spans="1:65" x14ac:dyDescent="0.25">
      <c r="A133" t="str">
        <f>IFERROR(IF(0=LEN(ReferenceData!$A$133),"",ReferenceData!$A$133),"")</f>
        <v xml:space="preserve">    Chongqing Changan Automobile Co Ltd</v>
      </c>
      <c r="B133" t="str">
        <f>IFERROR(IF(0=LEN(ReferenceData!$B$133),"",ReferenceData!$B$133),"")</f>
        <v>200625 CH Equity</v>
      </c>
      <c r="C133" t="str">
        <f>IFERROR(IF(0=LEN(ReferenceData!$C$133),"",ReferenceData!$C$133),"")</f>
        <v>RR903</v>
      </c>
      <c r="D133" t="str">
        <f>IFERROR(IF(0=LEN(ReferenceData!$D$133),"",ReferenceData!$D$133),"")</f>
        <v>PX_TO_BOOK_RATIO</v>
      </c>
      <c r="E133" t="str">
        <f>IFERROR(IF(0=LEN(ReferenceData!$E$133),"",ReferenceData!$E$133),"")</f>
        <v>Dynamic</v>
      </c>
      <c r="F133">
        <f ca="1">IFERROR(IF(0=LEN(ReferenceData!$F$133),"",ReferenceData!$F$133),"")</f>
        <v>0.379387323</v>
      </c>
      <c r="G133">
        <f ca="1">IFERROR(IF(0=LEN(ReferenceData!$G$133),"",ReferenceData!$G$133),"")</f>
        <v>0.31398916900000001</v>
      </c>
      <c r="H133">
        <f ca="1">IFERROR(IF(0=LEN(ReferenceData!$H$133),"",ReferenceData!$H$133),"")</f>
        <v>0.568195334</v>
      </c>
      <c r="I133">
        <f ca="1">IFERROR(IF(0=LEN(ReferenceData!$I$133),"",ReferenceData!$I$133),"")</f>
        <v>0.67952788500000005</v>
      </c>
      <c r="J133">
        <f ca="1">IFERROR(IF(0=LEN(ReferenceData!$J$133),"",ReferenceData!$J$133),"")</f>
        <v>0.63878824400000001</v>
      </c>
      <c r="K133">
        <f ca="1">IFERROR(IF(0=LEN(ReferenceData!$K$133),"",ReferenceData!$K$133),"")</f>
        <v>0.72271341600000005</v>
      </c>
      <c r="L133">
        <f ca="1">IFERROR(IF(0=LEN(ReferenceData!$L$133),"",ReferenceData!$L$133),"")</f>
        <v>0.90934411000000004</v>
      </c>
      <c r="M133">
        <f ca="1">IFERROR(IF(0=LEN(ReferenceData!$M$133),"",ReferenceData!$M$133),"")</f>
        <v>0.95050359299999998</v>
      </c>
      <c r="N133">
        <f ca="1">IFERROR(IF(0=LEN(ReferenceData!$N$133),"",ReferenceData!$N$133),"")</f>
        <v>0.998501835</v>
      </c>
      <c r="O133">
        <f ca="1">IFERROR(IF(0=LEN(ReferenceData!$O$133),"",ReferenceData!$O$133),"")</f>
        <v>1.0939747319999999</v>
      </c>
      <c r="P133">
        <f ca="1">IFERROR(IF(0=LEN(ReferenceData!$P$133),"",ReferenceData!$P$133),"")</f>
        <v>1.297425155</v>
      </c>
      <c r="Q133">
        <f ca="1">IFERROR(IF(0=LEN(ReferenceData!$Q$133),"",ReferenceData!$Q$133),"")</f>
        <v>1.1737112199999999</v>
      </c>
      <c r="R133">
        <f ca="1">IFERROR(IF(0=LEN(ReferenceData!$R$133),"",ReferenceData!$R$133),"")</f>
        <v>1.5223500480000001</v>
      </c>
      <c r="S133">
        <f ca="1">IFERROR(IF(0=LEN(ReferenceData!$S$133),"",ReferenceData!$S$133),"")</f>
        <v>1.941107404</v>
      </c>
      <c r="T133">
        <f ca="1">IFERROR(IF(0=LEN(ReferenceData!$T$133),"",ReferenceData!$T$133),"")</f>
        <v>1.610247518</v>
      </c>
      <c r="U133">
        <f ca="1">IFERROR(IF(0=LEN(ReferenceData!$U$133),"",ReferenceData!$U$133),"")</f>
        <v>2.505885943</v>
      </c>
      <c r="V133">
        <f ca="1">IFERROR(IF(0=LEN(ReferenceData!$V$133),"",ReferenceData!$V$133),"")</f>
        <v>3.1073664110000001</v>
      </c>
      <c r="W133">
        <f ca="1">IFERROR(IF(0=LEN(ReferenceData!$W$133),"",ReferenceData!$W$133),"")</f>
        <v>2.5567990410000001</v>
      </c>
      <c r="X133">
        <f ca="1">IFERROR(IF(0=LEN(ReferenceData!$X$133),"",ReferenceData!$X$133),"")</f>
        <v>2.6258928880000001</v>
      </c>
      <c r="Y133">
        <f ca="1">IFERROR(IF(0=LEN(ReferenceData!$Y$133),"",ReferenceData!$Y$133),"")</f>
        <v>2.6480498809999999</v>
      </c>
      <c r="Z133">
        <f ca="1">IFERROR(IF(0=LEN(ReferenceData!$Z$133),"",ReferenceData!$Z$133),"")</f>
        <v>2.3233890220000002</v>
      </c>
      <c r="AA133">
        <f ca="1">IFERROR(IF(0=LEN(ReferenceData!$AA$133),"",ReferenceData!$AA$133),"")</f>
        <v>3.17556846</v>
      </c>
      <c r="AB133">
        <f ca="1">IFERROR(IF(0=LEN(ReferenceData!$AB$133),"",ReferenceData!$AB$133),"")</f>
        <v>2.4811395690000002</v>
      </c>
      <c r="AC133">
        <f ca="1">IFERROR(IF(0=LEN(ReferenceData!$AC$133),"",ReferenceData!$AC$133),"")</f>
        <v>2.0458709939999999</v>
      </c>
      <c r="AD133">
        <f ca="1">IFERROR(IF(0=LEN(ReferenceData!$AD$133),"",ReferenceData!$AD$133),"")</f>
        <v>1.766018149</v>
      </c>
      <c r="AE133">
        <f ca="1">IFERROR(IF(0=LEN(ReferenceData!$AE$133),"",ReferenceData!$AE$133),"")</f>
        <v>1.0518030030000001</v>
      </c>
      <c r="AF133">
        <f ca="1">IFERROR(IF(0=LEN(ReferenceData!$AF$133),"",ReferenceData!$AF$133),"")</f>
        <v>0.730417647</v>
      </c>
      <c r="AG133">
        <f ca="1">IFERROR(IF(0=LEN(ReferenceData!$AG$133),"",ReferenceData!$AG$133),"")</f>
        <v>0.79373629999999995</v>
      </c>
      <c r="AH133">
        <f ca="1">IFERROR(IF(0=LEN(ReferenceData!$AH$133),"",ReferenceData!$AH$133),"")</f>
        <v>0.84498256199999999</v>
      </c>
      <c r="AI133">
        <f ca="1">IFERROR(IF(0=LEN(ReferenceData!$AI$133),"",ReferenceData!$AI$133),"")</f>
        <v>0.73962040399999995</v>
      </c>
      <c r="AJ133">
        <f ca="1">IFERROR(IF(0=LEN(ReferenceData!$AJ$133),"",ReferenceData!$AJ$133),"")</f>
        <v>0.56690323399999998</v>
      </c>
      <c r="AK133">
        <f ca="1">IFERROR(IF(0=LEN(ReferenceData!$AK$133),"",ReferenceData!$AK$133),"")</f>
        <v>0.82171476099999996</v>
      </c>
      <c r="AL133">
        <f ca="1">IFERROR(IF(0=LEN(ReferenceData!$AL$133),"",ReferenceData!$AL$133),"")</f>
        <v>0.95067612999999995</v>
      </c>
      <c r="AM133">
        <f ca="1">IFERROR(IF(0=LEN(ReferenceData!$AM$133),"",ReferenceData!$AM$133),"")</f>
        <v>1.201173582</v>
      </c>
      <c r="AN133">
        <f ca="1">IFERROR(IF(0=LEN(ReferenceData!$AN$133),"",ReferenceData!$AN$133),"")</f>
        <v>1.3500909240000001</v>
      </c>
      <c r="AO133">
        <f ca="1">IFERROR(IF(0=LEN(ReferenceData!$AO$133),"",ReferenceData!$AO$133),"")</f>
        <v>0.91176030799999996</v>
      </c>
      <c r="AP133">
        <f ca="1">IFERROR(IF(0=LEN(ReferenceData!$AP$133),"",ReferenceData!$AP$133),"")</f>
        <v>1.4647555759999999</v>
      </c>
      <c r="AQ133">
        <f ca="1">IFERROR(IF(0=LEN(ReferenceData!$AQ$133),"",ReferenceData!$AQ$133),"")</f>
        <v>1.7971478869999999</v>
      </c>
      <c r="AR133">
        <f ca="1">IFERROR(IF(0=LEN(ReferenceData!$AR$133),"",ReferenceData!$AR$133),"")</f>
        <v>1.113545046</v>
      </c>
      <c r="AS133">
        <f ca="1">IFERROR(IF(0=LEN(ReferenceData!$AS$133),"",ReferenceData!$AS$133),"")</f>
        <v>0.91022787199999999</v>
      </c>
      <c r="AT133">
        <f ca="1">IFERROR(IF(0=LEN(ReferenceData!$AT$133),"",ReferenceData!$AT$133),"")</f>
        <v>0.79884283099999998</v>
      </c>
      <c r="AU133">
        <f ca="1">IFERROR(IF(0=LEN(ReferenceData!$AU$133),"",ReferenceData!$AU$133),"")</f>
        <v>0.43551174100000001</v>
      </c>
      <c r="AV133">
        <f ca="1">IFERROR(IF(0=LEN(ReferenceData!$AV$133),"",ReferenceData!$AV$133),"")</f>
        <v>0.48050052500000001</v>
      </c>
      <c r="AW133">
        <f ca="1">IFERROR(IF(0=LEN(ReferenceData!$AW$133),"",ReferenceData!$AW$133),"")</f>
        <v>0.74920719300000005</v>
      </c>
      <c r="AX133">
        <f ca="1">IFERROR(IF(0=LEN(ReferenceData!$AX$133),"",ReferenceData!$AX$133),"")</f>
        <v>1.142112896</v>
      </c>
      <c r="AY133">
        <f ca="1">IFERROR(IF(0=LEN(ReferenceData!$AY$133),"",ReferenceData!$AY$133),"")</f>
        <v>1.9952959880000001</v>
      </c>
      <c r="AZ133">
        <f ca="1">IFERROR(IF(0=LEN(ReferenceData!$AZ$133),"",ReferenceData!$AZ$133),"")</f>
        <v>2.4803678640000002</v>
      </c>
      <c r="BA133">
        <f ca="1">IFERROR(IF(0=LEN(ReferenceData!$BA$133),"",ReferenceData!$BA$133),"")</f>
        <v>1.919534316</v>
      </c>
      <c r="BB133">
        <f ca="1">IFERROR(IF(0=LEN(ReferenceData!$BB$133),"",ReferenceData!$BB$133),"")</f>
        <v>1.75605012</v>
      </c>
      <c r="BC133">
        <f ca="1">IFERROR(IF(0=LEN(ReferenceData!$BC$133),"",ReferenceData!$BC$133),"")</f>
        <v>1.4622819039999999</v>
      </c>
      <c r="BD133">
        <f ca="1">IFERROR(IF(0=LEN(ReferenceData!$BD$133),"",ReferenceData!$BD$133),"")</f>
        <v>0.910383516</v>
      </c>
      <c r="BE133">
        <f ca="1">IFERROR(IF(0=LEN(ReferenceData!$BE$133),"",ReferenceData!$BE$133),"")</f>
        <v>0.92841123999999997</v>
      </c>
      <c r="BF133">
        <f ca="1">IFERROR(IF(0=LEN(ReferenceData!$BF$133),"",ReferenceData!$BF$133),"")</f>
        <v>0.917419231</v>
      </c>
      <c r="BG133">
        <f ca="1">IFERROR(IF(0=LEN(ReferenceData!$BG$133),"",ReferenceData!$BG$133),"")</f>
        <v>0.54882791500000006</v>
      </c>
      <c r="BH133">
        <f ca="1">IFERROR(IF(0=LEN(ReferenceData!$BH$133),"",ReferenceData!$BH$133),"")</f>
        <v>0.83033053999999995</v>
      </c>
      <c r="BI133">
        <f ca="1">IFERROR(IF(0=LEN(ReferenceData!$BI$133),"",ReferenceData!$BI$133),"")</f>
        <v>1.0936427950000001</v>
      </c>
      <c r="BJ133">
        <f ca="1">IFERROR(IF(0=LEN(ReferenceData!$BJ$133),"",ReferenceData!$BJ$133),"")</f>
        <v>0.93660502199999995</v>
      </c>
      <c r="BK133">
        <f ca="1">IFERROR(IF(0=LEN(ReferenceData!$BK$133),"",ReferenceData!$BK$133),"")</f>
        <v>0.87807576300000001</v>
      </c>
      <c r="BL133" t="str">
        <f ca="1">IFERROR(IF(0=LEN(ReferenceData!$BL$133),"",ReferenceData!$BL$133),"")</f>
        <v/>
      </c>
      <c r="BM133" t="str">
        <f ca="1">IFERROR(IF(0=LEN(ReferenceData!$BM$133),"",ReferenceData!$BM$133),"")</f>
        <v/>
      </c>
    </row>
    <row r="134" spans="1:65" x14ac:dyDescent="0.25">
      <c r="A134" t="str">
        <f>IFERROR(IF(0=LEN(ReferenceData!$A$134),"",ReferenceData!$A$134),"")</f>
        <v xml:space="preserve">    Daihatsu Motor Co Ltd</v>
      </c>
      <c r="B134" t="str">
        <f>IFERROR(IF(0=LEN(ReferenceData!$B$134),"",ReferenceData!$B$134),"")</f>
        <v>7262 JP Equity</v>
      </c>
      <c r="C134" t="str">
        <f>IFERROR(IF(0=LEN(ReferenceData!$C$134),"",ReferenceData!$C$134),"")</f>
        <v>RR903</v>
      </c>
      <c r="D134" t="str">
        <f>IFERROR(IF(0=LEN(ReferenceData!$D$134),"",ReferenceData!$D$134),"")</f>
        <v>PX_TO_BOOK_RATIO</v>
      </c>
      <c r="E134" t="str">
        <f>IFERROR(IF(0=LEN(ReferenceData!$E$134),"",ReferenceData!$E$134),"")</f>
        <v>Dynamic</v>
      </c>
      <c r="F134" t="str">
        <f ca="1">IFERROR(IF(0=LEN(ReferenceData!$F$134),"",ReferenceData!$F$134),"")</f>
        <v/>
      </c>
      <c r="G134" t="str">
        <f ca="1">IFERROR(IF(0=LEN(ReferenceData!$G$134),"",ReferenceData!$G$134),"")</f>
        <v/>
      </c>
      <c r="H134" t="str">
        <f ca="1">IFERROR(IF(0=LEN(ReferenceData!$H$134),"",ReferenceData!$H$134),"")</f>
        <v/>
      </c>
      <c r="I134" t="str">
        <f ca="1">IFERROR(IF(0=LEN(ReferenceData!$I$134),"",ReferenceData!$I$134),"")</f>
        <v/>
      </c>
      <c r="J134" t="str">
        <f ca="1">IFERROR(IF(0=LEN(ReferenceData!$J$134),"",ReferenceData!$J$134),"")</f>
        <v/>
      </c>
      <c r="K134" t="str">
        <f ca="1">IFERROR(IF(0=LEN(ReferenceData!$K$134),"",ReferenceData!$K$134),"")</f>
        <v/>
      </c>
      <c r="L134" t="str">
        <f ca="1">IFERROR(IF(0=LEN(ReferenceData!$L$134),"",ReferenceData!$L$134),"")</f>
        <v/>
      </c>
      <c r="M134" t="str">
        <f ca="1">IFERROR(IF(0=LEN(ReferenceData!$M$134),"",ReferenceData!$M$134),"")</f>
        <v/>
      </c>
      <c r="N134" t="str">
        <f ca="1">IFERROR(IF(0=LEN(ReferenceData!$N$134),"",ReferenceData!$N$134),"")</f>
        <v/>
      </c>
      <c r="O134" t="str">
        <f ca="1">IFERROR(IF(0=LEN(ReferenceData!$O$134),"",ReferenceData!$O$134),"")</f>
        <v/>
      </c>
      <c r="P134">
        <f ca="1">IFERROR(IF(0=LEN(ReferenceData!$P$134),"",ReferenceData!$P$134),"")</f>
        <v>1.0253322629999999</v>
      </c>
      <c r="Q134">
        <f ca="1">IFERROR(IF(0=LEN(ReferenceData!$Q$134),"",ReferenceData!$Q$134),"")</f>
        <v>0.90980186799999996</v>
      </c>
      <c r="R134">
        <f ca="1">IFERROR(IF(0=LEN(ReferenceData!$R$134),"",ReferenceData!$R$134),"")</f>
        <v>1.090661952</v>
      </c>
      <c r="S134">
        <f ca="1">IFERROR(IF(0=LEN(ReferenceData!$S$134),"",ReferenceData!$S$134),"")</f>
        <v>1.149948497</v>
      </c>
      <c r="T134">
        <f ca="1">IFERROR(IF(0=LEN(ReferenceData!$T$134),"",ReferenceData!$T$134),"")</f>
        <v>0.97244748599999997</v>
      </c>
      <c r="U134">
        <f ca="1">IFERROR(IF(0=LEN(ReferenceData!$U$134),"",ReferenceData!$U$134),"")</f>
        <v>1.2093336320000001</v>
      </c>
      <c r="V134">
        <f ca="1">IFERROR(IF(0=LEN(ReferenceData!$V$134),"",ReferenceData!$V$134),"")</f>
        <v>1.26643935</v>
      </c>
      <c r="W134">
        <f ca="1">IFERROR(IF(0=LEN(ReferenceData!$W$134),"",ReferenceData!$W$134),"")</f>
        <v>1.161062246</v>
      </c>
      <c r="X134">
        <f ca="1">IFERROR(IF(0=LEN(ReferenceData!$X$134),"",ReferenceData!$X$134),"")</f>
        <v>1.2980231630000001</v>
      </c>
      <c r="Y134">
        <f ca="1">IFERROR(IF(0=LEN(ReferenceData!$Y$134),"",ReferenceData!$Y$134),"")</f>
        <v>1.3690512500000001</v>
      </c>
      <c r="Z134">
        <f ca="1">IFERROR(IF(0=LEN(ReferenceData!$Z$134),"",ReferenceData!$Z$134),"")</f>
        <v>1.4098706969999999</v>
      </c>
      <c r="AA134">
        <f ca="1">IFERROR(IF(0=LEN(ReferenceData!$AA$134),"",ReferenceData!$AA$134),"")</f>
        <v>1.4347080990000001</v>
      </c>
      <c r="AB134">
        <f ca="1">IFERROR(IF(0=LEN(ReferenceData!$AB$134),"",ReferenceData!$AB$134),"")</f>
        <v>1.5531710460000001</v>
      </c>
      <c r="AC134">
        <f ca="1">IFERROR(IF(0=LEN(ReferenceData!$AC$134),"",ReferenceData!$AC$134),"")</f>
        <v>1.552401822</v>
      </c>
      <c r="AD134">
        <f ca="1">IFERROR(IF(0=LEN(ReferenceData!$AD$134),"",ReferenceData!$AD$134),"")</f>
        <v>1.661331347</v>
      </c>
      <c r="AE134">
        <f ca="1">IFERROR(IF(0=LEN(ReferenceData!$AE$134),"",ReferenceData!$AE$134),"")</f>
        <v>1.568389273</v>
      </c>
      <c r="AF134">
        <f ca="1">IFERROR(IF(0=LEN(ReferenceData!$AF$134),"",ReferenceData!$AF$134),"")</f>
        <v>1.22218966</v>
      </c>
      <c r="AG134">
        <f ca="1">IFERROR(IF(0=LEN(ReferenceData!$AG$134),"",ReferenceData!$AG$134),"")</f>
        <v>1.3609997979999999</v>
      </c>
      <c r="AH134">
        <f ca="1">IFERROR(IF(0=LEN(ReferenceData!$AH$134),"",ReferenceData!$AH$134),"")</f>
        <v>1.501321986</v>
      </c>
      <c r="AI134">
        <f ca="1">IFERROR(IF(0=LEN(ReferenceData!$AI$134),"",ReferenceData!$AI$134),"")</f>
        <v>1.485640981</v>
      </c>
      <c r="AJ134">
        <f ca="1">IFERROR(IF(0=LEN(ReferenceData!$AJ$134),"",ReferenceData!$AJ$134),"")</f>
        <v>1.537225659</v>
      </c>
      <c r="AK134">
        <f ca="1">IFERROR(IF(0=LEN(ReferenceData!$AK$134),"",ReferenceData!$AK$134),"")</f>
        <v>1.527667624</v>
      </c>
      <c r="AL134">
        <f ca="1">IFERROR(IF(0=LEN(ReferenceData!$AL$134),"",ReferenceData!$AL$134),"")</f>
        <v>1.3449798509999999</v>
      </c>
      <c r="AM134">
        <f ca="1">IFERROR(IF(0=LEN(ReferenceData!$AM$134),"",ReferenceData!$AM$134),"")</f>
        <v>1.434076173</v>
      </c>
      <c r="AN134">
        <f ca="1">IFERROR(IF(0=LEN(ReferenceData!$AN$134),"",ReferenceData!$AN$134),"")</f>
        <v>1.30924204</v>
      </c>
      <c r="AO134">
        <f ca="1">IFERROR(IF(0=LEN(ReferenceData!$AO$134),"",ReferenceData!$AO$134),"")</f>
        <v>0.98774994199999999</v>
      </c>
      <c r="AP134">
        <f ca="1">IFERROR(IF(0=LEN(ReferenceData!$AP$134),"",ReferenceData!$AP$134),"")</f>
        <v>1.110094269</v>
      </c>
      <c r="AQ134">
        <f ca="1">IFERROR(IF(0=LEN(ReferenceData!$AQ$134),"",ReferenceData!$AQ$134),"")</f>
        <v>1.1810627220000001</v>
      </c>
      <c r="AR134">
        <f ca="1">IFERROR(IF(0=LEN(ReferenceData!$AR$134),"",ReferenceData!$AR$134),"")</f>
        <v>1.193208651</v>
      </c>
      <c r="AS134">
        <f ca="1">IFERROR(IF(0=LEN(ReferenceData!$AS$134),"",ReferenceData!$AS$134),"")</f>
        <v>1.16280059</v>
      </c>
      <c r="AT134">
        <f ca="1">IFERROR(IF(0=LEN(ReferenceData!$AT$134),"",ReferenceData!$AT$134),"")</f>
        <v>1.0232418050000001</v>
      </c>
      <c r="AU134">
        <f ca="1">IFERROR(IF(0=LEN(ReferenceData!$AU$134),"",ReferenceData!$AU$134),"")</f>
        <v>1.041484946</v>
      </c>
      <c r="AV134">
        <f ca="1">IFERROR(IF(0=LEN(ReferenceData!$AV$134),"",ReferenceData!$AV$134),"")</f>
        <v>1.4368394369999999</v>
      </c>
      <c r="AW134">
        <f ca="1">IFERROR(IF(0=LEN(ReferenceData!$AW$134),"",ReferenceData!$AW$134),"")</f>
        <v>1.5338305889999999</v>
      </c>
      <c r="AX134">
        <f ca="1">IFERROR(IF(0=LEN(ReferenceData!$AX$134),"",ReferenceData!$AX$134),"")</f>
        <v>1.5544679050000001</v>
      </c>
      <c r="AY134">
        <f ca="1">IFERROR(IF(0=LEN(ReferenceData!$AY$134),"",ReferenceData!$AY$134),"")</f>
        <v>1.386708184</v>
      </c>
      <c r="AZ134">
        <f ca="1">IFERROR(IF(0=LEN(ReferenceData!$AZ$134),"",ReferenceData!$AZ$134),"")</f>
        <v>1.5850468719999999</v>
      </c>
      <c r="BA134">
        <f ca="1">IFERROR(IF(0=LEN(ReferenceData!$BA$134),"",ReferenceData!$BA$134),"")</f>
        <v>1.472082541</v>
      </c>
      <c r="BB134">
        <f ca="1">IFERROR(IF(0=LEN(ReferenceData!$BB$134),"",ReferenceData!$BB$134),"")</f>
        <v>1.496119859</v>
      </c>
      <c r="BC134">
        <f ca="1">IFERROR(IF(0=LEN(ReferenceData!$BC$134),"",ReferenceData!$BC$134),"")</f>
        <v>1.6752685380000001</v>
      </c>
      <c r="BD134">
        <f ca="1">IFERROR(IF(0=LEN(ReferenceData!$BD$134),"",ReferenceData!$BD$134),"")</f>
        <v>1.5226990250000001</v>
      </c>
      <c r="BE134">
        <f ca="1">IFERROR(IF(0=LEN(ReferenceData!$BE$134),"",ReferenceData!$BE$134),"")</f>
        <v>1.452356186</v>
      </c>
      <c r="BF134">
        <f ca="1">IFERROR(IF(0=LEN(ReferenceData!$BF$134),"",ReferenceData!$BF$134),"")</f>
        <v>1.702659371</v>
      </c>
      <c r="BG134">
        <f ca="1">IFERROR(IF(0=LEN(ReferenceData!$BG$134),"",ReferenceData!$BG$134),"")</f>
        <v>1.970146526</v>
      </c>
      <c r="BH134">
        <f ca="1">IFERROR(IF(0=LEN(ReferenceData!$BH$134),"",ReferenceData!$BH$134),"")</f>
        <v>1.883541648</v>
      </c>
      <c r="BI134">
        <f ca="1">IFERROR(IF(0=LEN(ReferenceData!$BI$134),"",ReferenceData!$BI$134),"")</f>
        <v>1.6945081849999999</v>
      </c>
      <c r="BJ134">
        <f ca="1">IFERROR(IF(0=LEN(ReferenceData!$BJ$134),"",ReferenceData!$BJ$134),"")</f>
        <v>1.474488274</v>
      </c>
      <c r="BK134">
        <f ca="1">IFERROR(IF(0=LEN(ReferenceData!$BK$134),"",ReferenceData!$BK$134),"")</f>
        <v>1.5645146219999999</v>
      </c>
      <c r="BL134">
        <f ca="1">IFERROR(IF(0=LEN(ReferenceData!$BL$134),"",ReferenceData!$BL$134),"")</f>
        <v>1.688986409</v>
      </c>
      <c r="BM134" t="str">
        <f ca="1">IFERROR(IF(0=LEN(ReferenceData!$BM$134),"",ReferenceData!$BM$134),"")</f>
        <v/>
      </c>
    </row>
    <row r="135" spans="1:65" x14ac:dyDescent="0.25">
      <c r="A135" t="str">
        <f>IFERROR(IF(0=LEN(ReferenceData!$A$135),"",ReferenceData!$A$135),"")</f>
        <v xml:space="preserve">    Daimler AG</v>
      </c>
      <c r="B135" t="str">
        <f>IFERROR(IF(0=LEN(ReferenceData!$B$135),"",ReferenceData!$B$135),"")</f>
        <v>DAI GR Equity</v>
      </c>
      <c r="C135" t="str">
        <f>IFERROR(IF(0=LEN(ReferenceData!$C$135),"",ReferenceData!$C$135),"")</f>
        <v>RR903</v>
      </c>
      <c r="D135" t="str">
        <f>IFERROR(IF(0=LEN(ReferenceData!$D$135),"",ReferenceData!$D$135),"")</f>
        <v>PX_TO_BOOK_RATIO</v>
      </c>
      <c r="E135" t="str">
        <f>IFERROR(IF(0=LEN(ReferenceData!$E$135),"",ReferenceData!$E$135),"")</f>
        <v>Dynamic</v>
      </c>
      <c r="F135">
        <f ca="1">IFERROR(IF(0=LEN(ReferenceData!$F$135),"",ReferenceData!$F$135),"")</f>
        <v>0.86421358699999995</v>
      </c>
      <c r="G135">
        <f ca="1">IFERROR(IF(0=LEN(ReferenceData!$G$135),"",ReferenceData!$G$135),"")</f>
        <v>0.75964092999999999</v>
      </c>
      <c r="H135">
        <f ca="1">IFERROR(IF(0=LEN(ReferenceData!$H$135),"",ReferenceData!$H$135),"")</f>
        <v>0.90613022799999998</v>
      </c>
      <c r="I135">
        <f ca="1">IFERROR(IF(0=LEN(ReferenceData!$I$135),"",ReferenceData!$I$135),"")</f>
        <v>0.93672491300000005</v>
      </c>
      <c r="J135">
        <f ca="1">IFERROR(IF(0=LEN(ReferenceData!$J$135),"",ReferenceData!$J$135),"")</f>
        <v>1.128408664</v>
      </c>
      <c r="K135">
        <f ca="1">IFERROR(IF(0=LEN(ReferenceData!$K$135),"",ReferenceData!$K$135),"")</f>
        <v>1.18611533</v>
      </c>
      <c r="L135">
        <f ca="1">IFERROR(IF(0=LEN(ReferenceData!$L$135),"",ReferenceData!$L$135),"")</f>
        <v>1.1701887820000001</v>
      </c>
      <c r="M135">
        <f ca="1">IFERROR(IF(0=LEN(ReferenceData!$M$135),"",ReferenceData!$M$135),"")</f>
        <v>1.140167167</v>
      </c>
      <c r="N135">
        <f ca="1">IFERROR(IF(0=LEN(ReferenceData!$N$135),"",ReferenceData!$N$135),"")</f>
        <v>1.286956435</v>
      </c>
      <c r="O135">
        <f ca="1">IFERROR(IF(0=LEN(ReferenceData!$O$135),"",ReferenceData!$O$135),"")</f>
        <v>1.305787748</v>
      </c>
      <c r="P135">
        <f ca="1">IFERROR(IF(0=LEN(ReferenceData!$P$135),"",ReferenceData!$P$135),"")</f>
        <v>1.248508465</v>
      </c>
      <c r="Q135">
        <f ca="1">IFERROR(IF(0=LEN(ReferenceData!$Q$135),"",ReferenceData!$Q$135),"")</f>
        <v>1.1247688899999999</v>
      </c>
      <c r="R135">
        <f ca="1">IFERROR(IF(0=LEN(ReferenceData!$R$135),"",ReferenceData!$R$135),"")</f>
        <v>1.3443881769999999</v>
      </c>
      <c r="S135">
        <f ca="1">IFERROR(IF(0=LEN(ReferenceData!$S$135),"",ReferenceData!$S$135),"")</f>
        <v>1.549832901</v>
      </c>
      <c r="T135">
        <f ca="1">IFERROR(IF(0=LEN(ReferenceData!$T$135),"",ReferenceData!$T$135),"")</f>
        <v>1.3950255519999999</v>
      </c>
      <c r="U135">
        <f ca="1">IFERROR(IF(0=LEN(ReferenceData!$U$135),"",ReferenceData!$U$135),"")</f>
        <v>1.8124200150000001</v>
      </c>
      <c r="V135">
        <f ca="1">IFERROR(IF(0=LEN(ReferenceData!$V$135),"",ReferenceData!$V$135),"")</f>
        <v>2.1093202039999999</v>
      </c>
      <c r="W135">
        <f ca="1">IFERROR(IF(0=LEN(ReferenceData!$W$135),"",ReferenceData!$W$135),"")</f>
        <v>1.690092752</v>
      </c>
      <c r="X135">
        <f ca="1">IFERROR(IF(0=LEN(ReferenceData!$X$135),"",ReferenceData!$X$135),"")</f>
        <v>1.462321762</v>
      </c>
      <c r="Y135">
        <f ca="1">IFERROR(IF(0=LEN(ReferenceData!$Y$135),"",ReferenceData!$Y$135),"")</f>
        <v>1.7384695299999999</v>
      </c>
      <c r="Z135">
        <f ca="1">IFERROR(IF(0=LEN(ReferenceData!$Z$135),"",ReferenceData!$Z$135),"")</f>
        <v>1.7206923169999999</v>
      </c>
      <c r="AA135">
        <f ca="1">IFERROR(IF(0=LEN(ReferenceData!$AA$135),"",ReferenceData!$AA$135),"")</f>
        <v>1.5769212749999999</v>
      </c>
      <c r="AB135">
        <f ca="1">IFERROR(IF(0=LEN(ReferenceData!$AB$135),"",ReferenceData!$AB$135),"")</f>
        <v>1.5012340710000001</v>
      </c>
      <c r="AC135">
        <f ca="1">IFERROR(IF(0=LEN(ReferenceData!$AC$135),"",ReferenceData!$AC$135),"")</f>
        <v>1.257264524</v>
      </c>
      <c r="AD135">
        <f ca="1">IFERROR(IF(0=LEN(ReferenceData!$AD$135),"",ReferenceData!$AD$135),"")</f>
        <v>1.174786294</v>
      </c>
      <c r="AE135">
        <f ca="1">IFERROR(IF(0=LEN(ReferenceData!$AE$135),"",ReferenceData!$AE$135),"")</f>
        <v>1.1637839860000001</v>
      </c>
      <c r="AF135">
        <f ca="1">IFERROR(IF(0=LEN(ReferenceData!$AF$135),"",ReferenceData!$AF$135),"")</f>
        <v>0.98044843699999995</v>
      </c>
      <c r="AG135">
        <f ca="1">IFERROR(IF(0=LEN(ReferenceData!$AG$135),"",ReferenceData!$AG$135),"")</f>
        <v>0.93713808899999995</v>
      </c>
      <c r="AH135">
        <f ca="1">IFERROR(IF(0=LEN(ReferenceData!$AH$135),"",ReferenceData!$AH$135),"")</f>
        <v>1.1712026680000001</v>
      </c>
      <c r="AI135">
        <f ca="1">IFERROR(IF(0=LEN(ReferenceData!$AI$135),"",ReferenceData!$AI$135),"")</f>
        <v>0.912802746</v>
      </c>
      <c r="AJ135">
        <f ca="1">IFERROR(IF(0=LEN(ReferenceData!$AJ$135),"",ReferenceData!$AJ$135),"")</f>
        <v>0.938406729</v>
      </c>
      <c r="AK135">
        <f ca="1">IFERROR(IF(0=LEN(ReferenceData!$AK$135),"",ReferenceData!$AK$135),"")</f>
        <v>1.489277253</v>
      </c>
      <c r="AL135">
        <f ca="1">IFERROR(IF(0=LEN(ReferenceData!$AL$135),"",ReferenceData!$AL$135),"")</f>
        <v>1.4382692720000001</v>
      </c>
      <c r="AM135">
        <f ca="1">IFERROR(IF(0=LEN(ReferenceData!$AM$135),"",ReferenceData!$AM$135),"")</f>
        <v>1.4859302780000001</v>
      </c>
      <c r="AN135">
        <f ca="1">IFERROR(IF(0=LEN(ReferenceData!$AN$135),"",ReferenceData!$AN$135),"")</f>
        <v>1.4327658320000001</v>
      </c>
      <c r="AO135">
        <f ca="1">IFERROR(IF(0=LEN(ReferenceData!$AO$135),"",ReferenceData!$AO$135),"")</f>
        <v>1.3381310040000001</v>
      </c>
      <c r="AP135">
        <f ca="1">IFERROR(IF(0=LEN(ReferenceData!$AP$135),"",ReferenceData!$AP$135),"")</f>
        <v>1.1576690270000001</v>
      </c>
      <c r="AQ135">
        <f ca="1">IFERROR(IF(0=LEN(ReferenceData!$AQ$135),"",ReferenceData!$AQ$135),"")</f>
        <v>1.2599465649999999</v>
      </c>
      <c r="AR135">
        <f ca="1">IFERROR(IF(0=LEN(ReferenceData!$AR$135),"",ReferenceData!$AR$135),"")</f>
        <v>1.164462994</v>
      </c>
      <c r="AS135">
        <f ca="1">IFERROR(IF(0=LEN(ReferenceData!$AS$135),"",ReferenceData!$AS$135),"")</f>
        <v>0.87505436700000006</v>
      </c>
      <c r="AT135">
        <f ca="1">IFERROR(IF(0=LEN(ReferenceData!$AT$135),"",ReferenceData!$AT$135),"")</f>
        <v>0.62478645499999996</v>
      </c>
      <c r="AU135">
        <f ca="1">IFERROR(IF(0=LEN(ReferenceData!$AU$135),"",ReferenceData!$AU$135),"")</f>
        <v>0.79331913099999996</v>
      </c>
      <c r="AV135">
        <f ca="1">IFERROR(IF(0=LEN(ReferenceData!$AV$135),"",ReferenceData!$AV$135),"")</f>
        <v>1.059460378</v>
      </c>
      <c r="AW135">
        <f ca="1">IFERROR(IF(0=LEN(ReferenceData!$AW$135),"",ReferenceData!$AW$135),"")</f>
        <v>1.1109961310000001</v>
      </c>
      <c r="AX135">
        <f ca="1">IFERROR(IF(0=LEN(ReferenceData!$AX$135),"",ReferenceData!$AX$135),"")</f>
        <v>1.5675738939999999</v>
      </c>
      <c r="AY135">
        <f ca="1">IFERROR(IF(0=LEN(ReferenceData!$AY$135),"",ReferenceData!$AY$135),"")</f>
        <v>1.8287237869999999</v>
      </c>
      <c r="AZ135">
        <f ca="1">IFERROR(IF(0=LEN(ReferenceData!$AZ$135),"",ReferenceData!$AZ$135),"")</f>
        <v>2.0084420989999998</v>
      </c>
      <c r="BA135">
        <f ca="1">IFERROR(IF(0=LEN(ReferenceData!$BA$135),"",ReferenceData!$BA$135),"")</f>
        <v>1.808130467</v>
      </c>
      <c r="BB135">
        <f ca="1">IFERROR(IF(0=LEN(ReferenceData!$BB$135),"",ReferenceData!$BB$135),"")</f>
        <v>1.6480444169999999</v>
      </c>
      <c r="BC135">
        <f ca="1">IFERROR(IF(0=LEN(ReferenceData!$BC$135),"",ReferenceData!$BC$135),"")</f>
        <v>1.308490183</v>
      </c>
      <c r="BD135">
        <f ca="1">IFERROR(IF(0=LEN(ReferenceData!$BD$135),"",ReferenceData!$BD$135),"")</f>
        <v>1.0969617190000001</v>
      </c>
      <c r="BE135">
        <f ca="1">IFERROR(IF(0=LEN(ReferenceData!$BE$135),"",ReferenceData!$BE$135),"")</f>
        <v>1.0845430979999999</v>
      </c>
      <c r="BF135">
        <f ca="1">IFERROR(IF(0=LEN(ReferenceData!$BF$135),"",ReferenceData!$BF$135),"")</f>
        <v>1.3230842780000001</v>
      </c>
      <c r="BG135">
        <f ca="1">IFERROR(IF(0=LEN(ReferenceData!$BG$135),"",ReferenceData!$BG$135),"")</f>
        <v>1.2050802519999999</v>
      </c>
      <c r="BH135">
        <f ca="1">IFERROR(IF(0=LEN(ReferenceData!$BH$135),"",ReferenceData!$BH$135),"")</f>
        <v>1.266985359</v>
      </c>
      <c r="BI135">
        <f ca="1">IFERROR(IF(0=LEN(ReferenceData!$BI$135),"",ReferenceData!$BI$135),"")</f>
        <v>0.99927065100000001</v>
      </c>
      <c r="BJ135">
        <f ca="1">IFERROR(IF(0=LEN(ReferenceData!$BJ$135),"",ReferenceData!$BJ$135),"")</f>
        <v>1.017892748</v>
      </c>
      <c r="BK135">
        <f ca="1">IFERROR(IF(0=LEN(ReferenceData!$BK$135),"",ReferenceData!$BK$135),"")</f>
        <v>1.064732148</v>
      </c>
      <c r="BL135">
        <f ca="1">IFERROR(IF(0=LEN(ReferenceData!$BL$135),"",ReferenceData!$BL$135),"")</f>
        <v>0.97261624300000005</v>
      </c>
      <c r="BM135">
        <f ca="1">IFERROR(IF(0=LEN(ReferenceData!$BM$135),"",ReferenceData!$BM$135),"")</f>
        <v>1.135786347</v>
      </c>
    </row>
    <row r="136" spans="1:65" x14ac:dyDescent="0.25">
      <c r="A136" t="str">
        <f>IFERROR(IF(0=LEN(ReferenceData!$A$136),"",ReferenceData!$A$136),"")</f>
        <v xml:space="preserve">    Dongfeng Motor Group Co Ltd</v>
      </c>
      <c r="B136" t="str">
        <f>IFERROR(IF(0=LEN(ReferenceData!$B$136),"",ReferenceData!$B$136),"")</f>
        <v>489 HK Equity</v>
      </c>
      <c r="C136" t="str">
        <f>IFERROR(IF(0=LEN(ReferenceData!$C$136),"",ReferenceData!$C$136),"")</f>
        <v>RR903</v>
      </c>
      <c r="D136" t="str">
        <f>IFERROR(IF(0=LEN(ReferenceData!$D$136),"",ReferenceData!$D$136),"")</f>
        <v>PX_TO_BOOK_RATIO</v>
      </c>
      <c r="E136" t="str">
        <f>IFERROR(IF(0=LEN(ReferenceData!$E$136),"",ReferenceData!$E$136),"")</f>
        <v>Dynamic</v>
      </c>
      <c r="F136" t="str">
        <f ca="1">IFERROR(IF(0=LEN(ReferenceData!$F$136),"",ReferenceData!$F$136),"")</f>
        <v/>
      </c>
      <c r="G136" t="str">
        <f ca="1">IFERROR(IF(0=LEN(ReferenceData!$G$136),"",ReferenceData!$G$136),"")</f>
        <v/>
      </c>
      <c r="H136" t="str">
        <f ca="1">IFERROR(IF(0=LEN(ReferenceData!$H$136),"",ReferenceData!$H$136),"")</f>
        <v/>
      </c>
      <c r="I136" t="str">
        <f ca="1">IFERROR(IF(0=LEN(ReferenceData!$I$136),"",ReferenceData!$I$136),"")</f>
        <v/>
      </c>
      <c r="J136" t="str">
        <f ca="1">IFERROR(IF(0=LEN(ReferenceData!$J$136),"",ReferenceData!$J$136),"")</f>
        <v/>
      </c>
      <c r="K136" t="str">
        <f ca="1">IFERROR(IF(0=LEN(ReferenceData!$K$136),"",ReferenceData!$K$136),"")</f>
        <v/>
      </c>
      <c r="L136" t="str">
        <f ca="1">IFERROR(IF(0=LEN(ReferenceData!$L$136),"",ReferenceData!$L$136),"")</f>
        <v/>
      </c>
      <c r="M136" t="str">
        <f ca="1">IFERROR(IF(0=LEN(ReferenceData!$M$136),"",ReferenceData!$M$136),"")</f>
        <v/>
      </c>
      <c r="N136" t="str">
        <f ca="1">IFERROR(IF(0=LEN(ReferenceData!$N$136),"",ReferenceData!$N$136),"")</f>
        <v/>
      </c>
      <c r="O136" t="str">
        <f ca="1">IFERROR(IF(0=LEN(ReferenceData!$O$136),"",ReferenceData!$O$136),"")</f>
        <v/>
      </c>
      <c r="P136" t="str">
        <f ca="1">IFERROR(IF(0=LEN(ReferenceData!$P$136),"",ReferenceData!$P$136),"")</f>
        <v/>
      </c>
      <c r="Q136" t="str">
        <f ca="1">IFERROR(IF(0=LEN(ReferenceData!$Q$136),"",ReferenceData!$Q$136),"")</f>
        <v/>
      </c>
      <c r="R136" t="str">
        <f ca="1">IFERROR(IF(0=LEN(ReferenceData!$R$136),"",ReferenceData!$R$136),"")</f>
        <v/>
      </c>
      <c r="S136" t="str">
        <f ca="1">IFERROR(IF(0=LEN(ReferenceData!$S$136),"",ReferenceData!$S$136),"")</f>
        <v/>
      </c>
      <c r="T136" t="str">
        <f ca="1">IFERROR(IF(0=LEN(ReferenceData!$T$136),"",ReferenceData!$T$136),"")</f>
        <v/>
      </c>
      <c r="U136" t="str">
        <f ca="1">IFERROR(IF(0=LEN(ReferenceData!$U$136),"",ReferenceData!$U$136),"")</f>
        <v/>
      </c>
      <c r="V136" t="str">
        <f ca="1">IFERROR(IF(0=LEN(ReferenceData!$V$136),"",ReferenceData!$V$136),"")</f>
        <v/>
      </c>
      <c r="W136" t="str">
        <f ca="1">IFERROR(IF(0=LEN(ReferenceData!$W$136),"",ReferenceData!$W$136),"")</f>
        <v/>
      </c>
      <c r="X136" t="str">
        <f ca="1">IFERROR(IF(0=LEN(ReferenceData!$X$136),"",ReferenceData!$X$136),"")</f>
        <v/>
      </c>
      <c r="Y136" t="str">
        <f ca="1">IFERROR(IF(0=LEN(ReferenceData!$Y$136),"",ReferenceData!$Y$136),"")</f>
        <v/>
      </c>
      <c r="Z136" t="str">
        <f ca="1">IFERROR(IF(0=LEN(ReferenceData!$Z$136),"",ReferenceData!$Z$136),"")</f>
        <v/>
      </c>
      <c r="AA136" t="str">
        <f ca="1">IFERROR(IF(0=LEN(ReferenceData!$AA$136),"",ReferenceData!$AA$136),"")</f>
        <v/>
      </c>
      <c r="AB136" t="str">
        <f ca="1">IFERROR(IF(0=LEN(ReferenceData!$AB$136),"",ReferenceData!$AB$136),"")</f>
        <v/>
      </c>
      <c r="AC136" t="str">
        <f ca="1">IFERROR(IF(0=LEN(ReferenceData!$AC$136),"",ReferenceData!$AC$136),"")</f>
        <v/>
      </c>
      <c r="AD136" t="str">
        <f ca="1">IFERROR(IF(0=LEN(ReferenceData!$AD$136),"",ReferenceData!$AD$136),"")</f>
        <v/>
      </c>
      <c r="AE136" t="str">
        <f ca="1">IFERROR(IF(0=LEN(ReferenceData!$AE$136),"",ReferenceData!$AE$136),"")</f>
        <v/>
      </c>
      <c r="AF136" t="str">
        <f ca="1">IFERROR(IF(0=LEN(ReferenceData!$AF$136),"",ReferenceData!$AF$136),"")</f>
        <v/>
      </c>
      <c r="AG136" t="str">
        <f ca="1">IFERROR(IF(0=LEN(ReferenceData!$AG$136),"",ReferenceData!$AG$136),"")</f>
        <v/>
      </c>
      <c r="AH136" t="str">
        <f ca="1">IFERROR(IF(0=LEN(ReferenceData!$AH$136),"",ReferenceData!$AH$136),"")</f>
        <v/>
      </c>
      <c r="AI136" t="str">
        <f ca="1">IFERROR(IF(0=LEN(ReferenceData!$AI$136),"",ReferenceData!$AI$136),"")</f>
        <v/>
      </c>
      <c r="AJ136" t="str">
        <f ca="1">IFERROR(IF(0=LEN(ReferenceData!$AJ$136),"",ReferenceData!$AJ$136),"")</f>
        <v/>
      </c>
      <c r="AK136" t="str">
        <f ca="1">IFERROR(IF(0=LEN(ReferenceData!$AK$136),"",ReferenceData!$AK$136),"")</f>
        <v/>
      </c>
      <c r="AL136" t="str">
        <f ca="1">IFERROR(IF(0=LEN(ReferenceData!$AL$136),"",ReferenceData!$AL$136),"")</f>
        <v/>
      </c>
      <c r="AM136" t="str">
        <f ca="1">IFERROR(IF(0=LEN(ReferenceData!$AM$136),"",ReferenceData!$AM$136),"")</f>
        <v/>
      </c>
      <c r="AN136" t="str">
        <f ca="1">IFERROR(IF(0=LEN(ReferenceData!$AN$136),"",ReferenceData!$AN$136),"")</f>
        <v/>
      </c>
      <c r="AO136" t="str">
        <f ca="1">IFERROR(IF(0=LEN(ReferenceData!$AO$136),"",ReferenceData!$AO$136),"")</f>
        <v/>
      </c>
      <c r="AP136" t="str">
        <f ca="1">IFERROR(IF(0=LEN(ReferenceData!$AP$136),"",ReferenceData!$AP$136),"")</f>
        <v/>
      </c>
      <c r="AQ136" t="str">
        <f ca="1">IFERROR(IF(0=LEN(ReferenceData!$AQ$136),"",ReferenceData!$AQ$136),"")</f>
        <v/>
      </c>
      <c r="AR136" t="str">
        <f ca="1">IFERROR(IF(0=LEN(ReferenceData!$AR$136),"",ReferenceData!$AR$136),"")</f>
        <v/>
      </c>
      <c r="AS136" t="str">
        <f ca="1">IFERROR(IF(0=LEN(ReferenceData!$AS$136),"",ReferenceData!$AS$136),"")</f>
        <v/>
      </c>
      <c r="AT136" t="str">
        <f ca="1">IFERROR(IF(0=LEN(ReferenceData!$AT$136),"",ReferenceData!$AT$136),"")</f>
        <v/>
      </c>
      <c r="AU136" t="str">
        <f ca="1">IFERROR(IF(0=LEN(ReferenceData!$AU$136),"",ReferenceData!$AU$136),"")</f>
        <v/>
      </c>
      <c r="AV136" t="str">
        <f ca="1">IFERROR(IF(0=LEN(ReferenceData!$AV$136),"",ReferenceData!$AV$136),"")</f>
        <v/>
      </c>
      <c r="AW136" t="str">
        <f ca="1">IFERROR(IF(0=LEN(ReferenceData!$AW$136),"",ReferenceData!$AW$136),"")</f>
        <v/>
      </c>
      <c r="AX136" t="str">
        <f ca="1">IFERROR(IF(0=LEN(ReferenceData!$AX$136),"",ReferenceData!$AX$136),"")</f>
        <v/>
      </c>
      <c r="AY136" t="str">
        <f ca="1">IFERROR(IF(0=LEN(ReferenceData!$AY$136),"",ReferenceData!$AY$136),"")</f>
        <v/>
      </c>
      <c r="AZ136" t="str">
        <f ca="1">IFERROR(IF(0=LEN(ReferenceData!$AZ$136),"",ReferenceData!$AZ$136),"")</f>
        <v/>
      </c>
      <c r="BA136" t="str">
        <f ca="1">IFERROR(IF(0=LEN(ReferenceData!$BA$136),"",ReferenceData!$BA$136),"")</f>
        <v/>
      </c>
      <c r="BB136" t="str">
        <f ca="1">IFERROR(IF(0=LEN(ReferenceData!$BB$136),"",ReferenceData!$BB$136),"")</f>
        <v/>
      </c>
      <c r="BC136" t="str">
        <f ca="1">IFERROR(IF(0=LEN(ReferenceData!$BC$136),"",ReferenceData!$BC$136),"")</f>
        <v/>
      </c>
      <c r="BD136" t="str">
        <f ca="1">IFERROR(IF(0=LEN(ReferenceData!$BD$136),"",ReferenceData!$BD$136),"")</f>
        <v/>
      </c>
      <c r="BE136" t="str">
        <f ca="1">IFERROR(IF(0=LEN(ReferenceData!$BE$136),"",ReferenceData!$BE$136),"")</f>
        <v/>
      </c>
      <c r="BF136" t="str">
        <f ca="1">IFERROR(IF(0=LEN(ReferenceData!$BF$136),"",ReferenceData!$BF$136),"")</f>
        <v/>
      </c>
      <c r="BG136" t="str">
        <f ca="1">IFERROR(IF(0=LEN(ReferenceData!$BG$136),"",ReferenceData!$BG$136),"")</f>
        <v/>
      </c>
      <c r="BH136" t="str">
        <f ca="1">IFERROR(IF(0=LEN(ReferenceData!$BH$136),"",ReferenceData!$BH$136),"")</f>
        <v/>
      </c>
      <c r="BI136" t="str">
        <f ca="1">IFERROR(IF(0=LEN(ReferenceData!$BI$136),"",ReferenceData!$BI$136),"")</f>
        <v/>
      </c>
      <c r="BJ136" t="str">
        <f ca="1">IFERROR(IF(0=LEN(ReferenceData!$BJ$136),"",ReferenceData!$BJ$136),"")</f>
        <v/>
      </c>
      <c r="BK136" t="str">
        <f ca="1">IFERROR(IF(0=LEN(ReferenceData!$BK$136),"",ReferenceData!$BK$136),"")</f>
        <v/>
      </c>
      <c r="BL136" t="str">
        <f ca="1">IFERROR(IF(0=LEN(ReferenceData!$BL$136),"",ReferenceData!$BL$136),"")</f>
        <v/>
      </c>
      <c r="BM136" t="str">
        <f ca="1">IFERROR(IF(0=LEN(ReferenceData!$BM$136),"",ReferenceData!$BM$136),"")</f>
        <v/>
      </c>
    </row>
    <row r="137" spans="1:65" x14ac:dyDescent="0.25">
      <c r="A137" t="str">
        <f>IFERROR(IF(0=LEN(ReferenceData!$A$137),"",ReferenceData!$A$137),"")</f>
        <v xml:space="preserve">    DRB-Hicom Bhd</v>
      </c>
      <c r="B137" t="str">
        <f>IFERROR(IF(0=LEN(ReferenceData!$B$137),"",ReferenceData!$B$137),"")</f>
        <v>DRB MK Equity</v>
      </c>
      <c r="C137" t="str">
        <f>IFERROR(IF(0=LEN(ReferenceData!$C$137),"",ReferenceData!$C$137),"")</f>
        <v>RR903</v>
      </c>
      <c r="D137" t="str">
        <f>IFERROR(IF(0=LEN(ReferenceData!$D$137),"",ReferenceData!$D$137),"")</f>
        <v>PX_TO_BOOK_RATIO</v>
      </c>
      <c r="E137" t="str">
        <f>IFERROR(IF(0=LEN(ReferenceData!$E$137),"",ReferenceData!$E$137),"")</f>
        <v>Dynamic</v>
      </c>
      <c r="F137" t="str">
        <f ca="1">IFERROR(IF(0=LEN(ReferenceData!$F$137),"",ReferenceData!$F$137),"")</f>
        <v/>
      </c>
      <c r="G137">
        <f ca="1">IFERROR(IF(0=LEN(ReferenceData!$G$137),"",ReferenceData!$G$137),"")</f>
        <v>0.498356731</v>
      </c>
      <c r="H137">
        <f ca="1">IFERROR(IF(0=LEN(ReferenceData!$H$137),"",ReferenceData!$H$137),"")</f>
        <v>0.64371077799999998</v>
      </c>
      <c r="I137">
        <f ca="1">IFERROR(IF(0=LEN(ReferenceData!$I$137),"",ReferenceData!$I$137),"")</f>
        <v>0.57763497900000005</v>
      </c>
      <c r="J137">
        <f ca="1">IFERROR(IF(0=LEN(ReferenceData!$J$137),"",ReferenceData!$J$137),"")</f>
        <v>0.70931536799999995</v>
      </c>
      <c r="K137">
        <f ca="1">IFERROR(IF(0=LEN(ReferenceData!$K$137),"",ReferenceData!$K$137),"")</f>
        <v>0.52257297000000003</v>
      </c>
      <c r="L137">
        <f ca="1">IFERROR(IF(0=LEN(ReferenceData!$L$137),"",ReferenceData!$L$137),"")</f>
        <v>0.460604285</v>
      </c>
      <c r="M137">
        <f ca="1">IFERROR(IF(0=LEN(ReferenceData!$M$137),"",ReferenceData!$M$137),"")</f>
        <v>0.58361703399999998</v>
      </c>
      <c r="N137">
        <f ca="1">IFERROR(IF(0=LEN(ReferenceData!$N$137),"",ReferenceData!$N$137),"")</f>
        <v>0.44920474399999999</v>
      </c>
      <c r="O137">
        <f ca="1">IFERROR(IF(0=LEN(ReferenceData!$O$137),"",ReferenceData!$O$137),"")</f>
        <v>0.349158523</v>
      </c>
      <c r="P137">
        <f ca="1">IFERROR(IF(0=LEN(ReferenceData!$P$137),"",ReferenceData!$P$137),"")</f>
        <v>0.45855037599999998</v>
      </c>
      <c r="Q137">
        <f ca="1">IFERROR(IF(0=LEN(ReferenceData!$Q$137),"",ReferenceData!$Q$137),"")</f>
        <v>0.27366636799999999</v>
      </c>
      <c r="R137">
        <f ca="1">IFERROR(IF(0=LEN(ReferenceData!$R$137),"",ReferenceData!$R$137),"")</f>
        <v>0.30141148299999998</v>
      </c>
      <c r="S137">
        <f ca="1">IFERROR(IF(0=LEN(ReferenceData!$S$137),"",ReferenceData!$S$137),"")</f>
        <v>0.32635646499999998</v>
      </c>
      <c r="T137">
        <f ca="1">IFERROR(IF(0=LEN(ReferenceData!$T$137),"",ReferenceData!$T$137),"")</f>
        <v>0.34034849</v>
      </c>
      <c r="U137">
        <f ca="1">IFERROR(IF(0=LEN(ReferenceData!$U$137),"",ReferenceData!$U$137),"")</f>
        <v>0.40501981199999998</v>
      </c>
      <c r="V137">
        <f ca="1">IFERROR(IF(0=LEN(ReferenceData!$V$137),"",ReferenceData!$V$137),"")</f>
        <v>0.50306847700000001</v>
      </c>
      <c r="W137">
        <f ca="1">IFERROR(IF(0=LEN(ReferenceData!$W$137),"",ReferenceData!$W$137),"")</f>
        <v>0.45241469099999998</v>
      </c>
      <c r="X137">
        <f ca="1">IFERROR(IF(0=LEN(ReferenceData!$X$137),"",ReferenceData!$X$137),"")</f>
        <v>0.59073063699999995</v>
      </c>
      <c r="Y137">
        <f ca="1">IFERROR(IF(0=LEN(ReferenceData!$Y$137),"",ReferenceData!$Y$137),"")</f>
        <v>0.57674415099999998</v>
      </c>
      <c r="Z137">
        <f ca="1">IFERROR(IF(0=LEN(ReferenceData!$Z$137),"",ReferenceData!$Z$137),"")</f>
        <v>0.65309532800000003</v>
      </c>
      <c r="AA137">
        <f ca="1">IFERROR(IF(0=LEN(ReferenceData!$AA$137),"",ReferenceData!$AA$137),"")</f>
        <v>0.75908187999999999</v>
      </c>
      <c r="AB137">
        <f ca="1">IFERROR(IF(0=LEN(ReferenceData!$AB$137),"",ReferenceData!$AB$137),"")</f>
        <v>0.72643319500000003</v>
      </c>
      <c r="AC137">
        <f ca="1">IFERROR(IF(0=LEN(ReferenceData!$AC$137),"",ReferenceData!$AC$137),"")</f>
        <v>0.73769668399999999</v>
      </c>
      <c r="AD137">
        <f ca="1">IFERROR(IF(0=LEN(ReferenceData!$AD$137),"",ReferenceData!$AD$137),"")</f>
        <v>0.69198027900000003</v>
      </c>
      <c r="AE137">
        <f ca="1">IFERROR(IF(0=LEN(ReferenceData!$AE$137),"",ReferenceData!$AE$137),"")</f>
        <v>0.78642082599999996</v>
      </c>
      <c r="AF137">
        <f ca="1">IFERROR(IF(0=LEN(ReferenceData!$AF$137),"",ReferenceData!$AF$137),"")</f>
        <v>0.71208506800000004</v>
      </c>
      <c r="AG137">
        <f ca="1">IFERROR(IF(0=LEN(ReferenceData!$AG$137),"",ReferenceData!$AG$137),"")</f>
        <v>0.77376409400000001</v>
      </c>
      <c r="AH137">
        <f ca="1">IFERROR(IF(0=LEN(ReferenceData!$AH$137),"",ReferenceData!$AH$137),"")</f>
        <v>0.74314958600000003</v>
      </c>
      <c r="AI137">
        <f ca="1">IFERROR(IF(0=LEN(ReferenceData!$AI$137),"",ReferenceData!$AI$137),"")</f>
        <v>0.76351595699999997</v>
      </c>
      <c r="AJ137">
        <f ca="1">IFERROR(IF(0=LEN(ReferenceData!$AJ$137),"",ReferenceData!$AJ$137),"")</f>
        <v>0.658869598</v>
      </c>
      <c r="AK137">
        <f ca="1">IFERROR(IF(0=LEN(ReferenceData!$AK$137),"",ReferenceData!$AK$137),"")</f>
        <v>0.86397437399999999</v>
      </c>
      <c r="AL137">
        <f ca="1">IFERROR(IF(0=LEN(ReferenceData!$AL$137),"",ReferenceData!$AL$137),"")</f>
        <v>0.89279879100000004</v>
      </c>
      <c r="AM137">
        <f ca="1">IFERROR(IF(0=LEN(ReferenceData!$AM$137),"",ReferenceData!$AM$137),"")</f>
        <v>0.76283964999999998</v>
      </c>
      <c r="AN137">
        <f ca="1">IFERROR(IF(0=LEN(ReferenceData!$AN$137),"",ReferenceData!$AN$137),"")</f>
        <v>0.50034478900000001</v>
      </c>
      <c r="AO137">
        <f ca="1">IFERROR(IF(0=LEN(ReferenceData!$AO$137),"",ReferenceData!$AO$137),"")</f>
        <v>0.42696324000000002</v>
      </c>
      <c r="AP137">
        <f ca="1">IFERROR(IF(0=LEN(ReferenceData!$AP$137),"",ReferenceData!$AP$137),"")</f>
        <v>0.489669038</v>
      </c>
      <c r="AQ137">
        <f ca="1">IFERROR(IF(0=LEN(ReferenceData!$AQ$137),"",ReferenceData!$AQ$137),"")</f>
        <v>0.45077303299999999</v>
      </c>
      <c r="AR137">
        <f ca="1">IFERROR(IF(0=LEN(ReferenceData!$AR$137),"",ReferenceData!$AR$137),"")</f>
        <v>0.52933442200000003</v>
      </c>
      <c r="AS137">
        <f ca="1">IFERROR(IF(0=LEN(ReferenceData!$AS$137),"",ReferenceData!$AS$137),"")</f>
        <v>0.47898548499999999</v>
      </c>
      <c r="AT137">
        <f ca="1">IFERROR(IF(0=LEN(ReferenceData!$AT$137),"",ReferenceData!$AT$137),"")</f>
        <v>0.285171279</v>
      </c>
      <c r="AU137">
        <f ca="1">IFERROR(IF(0=LEN(ReferenceData!$AU$137),"",ReferenceData!$AU$137),"")</f>
        <v>0.295454987</v>
      </c>
      <c r="AV137">
        <f ca="1">IFERROR(IF(0=LEN(ReferenceData!$AV$137),"",ReferenceData!$AV$137),"")</f>
        <v>0.258957463</v>
      </c>
      <c r="AW137">
        <f ca="1">IFERROR(IF(0=LEN(ReferenceData!$AW$137),"",ReferenceData!$AW$137),"")</f>
        <v>0.27558474199999999</v>
      </c>
      <c r="AX137">
        <f ca="1">IFERROR(IF(0=LEN(ReferenceData!$AX$137),"",ReferenceData!$AX$137),"")</f>
        <v>0.44339111199999998</v>
      </c>
      <c r="AY137">
        <f ca="1">IFERROR(IF(0=LEN(ReferenceData!$AY$137),"",ReferenceData!$AY$137),"")</f>
        <v>0.56305454399999999</v>
      </c>
      <c r="AZ137">
        <f ca="1">IFERROR(IF(0=LEN(ReferenceData!$AZ$137),"",ReferenceData!$AZ$137),"")</f>
        <v>0.72537657499999997</v>
      </c>
      <c r="BA137">
        <f ca="1">IFERROR(IF(0=LEN(ReferenceData!$BA$137),"",ReferenceData!$BA$137),"")</f>
        <v>0.69843527500000002</v>
      </c>
      <c r="BB137">
        <f ca="1">IFERROR(IF(0=LEN(ReferenceData!$BB$137),"",ReferenceData!$BB$137),"")</f>
        <v>0.75529971200000001</v>
      </c>
      <c r="BC137">
        <f ca="1">IFERROR(IF(0=LEN(ReferenceData!$BC$137),"",ReferenceData!$BC$137),"")</f>
        <v>0.66018605399999997</v>
      </c>
      <c r="BD137">
        <f ca="1">IFERROR(IF(0=LEN(ReferenceData!$BD$137),"",ReferenceData!$BD$137),"")</f>
        <v>0.57472667499999996</v>
      </c>
      <c r="BE137">
        <f ca="1">IFERROR(IF(0=LEN(ReferenceData!$BE$137),"",ReferenceData!$BE$137),"")</f>
        <v>0.57249059199999996</v>
      </c>
      <c r="BF137">
        <f ca="1">IFERROR(IF(0=LEN(ReferenceData!$BF$137),"",ReferenceData!$BF$137),"")</f>
        <v>0.58914011399999999</v>
      </c>
      <c r="BG137">
        <f ca="1">IFERROR(IF(0=LEN(ReferenceData!$BG$137),"",ReferenceData!$BG$137),"")</f>
        <v>0.46490436800000001</v>
      </c>
      <c r="BH137">
        <f ca="1">IFERROR(IF(0=LEN(ReferenceData!$BH$137),"",ReferenceData!$BH$137),"")</f>
        <v>0.571454982</v>
      </c>
      <c r="BI137">
        <f ca="1">IFERROR(IF(0=LEN(ReferenceData!$BI$137),"",ReferenceData!$BI$137),"")</f>
        <v>0.42631094400000002</v>
      </c>
      <c r="BJ137">
        <f ca="1">IFERROR(IF(0=LEN(ReferenceData!$BJ$137),"",ReferenceData!$BJ$137),"")</f>
        <v>0.69203371899999999</v>
      </c>
      <c r="BK137">
        <f ca="1">IFERROR(IF(0=LEN(ReferenceData!$BK$137),"",ReferenceData!$BK$137),"")</f>
        <v>0.81239010599999995</v>
      </c>
      <c r="BL137">
        <f ca="1">IFERROR(IF(0=LEN(ReferenceData!$BL$137),"",ReferenceData!$BL$137),"")</f>
        <v>0.788550105</v>
      </c>
      <c r="BM137">
        <f ca="1">IFERROR(IF(0=LEN(ReferenceData!$BM$137),"",ReferenceData!$BM$137),"")</f>
        <v>0.59987397600000003</v>
      </c>
    </row>
    <row r="138" spans="1:65" x14ac:dyDescent="0.25">
      <c r="A138" t="str">
        <f>IFERROR(IF(0=LEN(ReferenceData!$A$138),"",ReferenceData!$A$138),"")</f>
        <v xml:space="preserve">    FAW CAR Co Ltd</v>
      </c>
      <c r="B138" t="str">
        <f>IFERROR(IF(0=LEN(ReferenceData!$B$138),"",ReferenceData!$B$138),"")</f>
        <v>000800 CH Equity</v>
      </c>
      <c r="C138" t="str">
        <f>IFERROR(IF(0=LEN(ReferenceData!$C$138),"",ReferenceData!$C$138),"")</f>
        <v>RR903</v>
      </c>
      <c r="D138" t="str">
        <f>IFERROR(IF(0=LEN(ReferenceData!$D$138),"",ReferenceData!$D$138),"")</f>
        <v>PX_TO_BOOK_RATIO</v>
      </c>
      <c r="E138" t="str">
        <f>IFERROR(IF(0=LEN(ReferenceData!$E$138),"",ReferenceData!$E$138),"")</f>
        <v>Dynamic</v>
      </c>
      <c r="F138">
        <f ca="1">IFERROR(IF(0=LEN(ReferenceData!$F$138),"",ReferenceData!$F$138),"")</f>
        <v>1.623776855</v>
      </c>
      <c r="G138">
        <f ca="1">IFERROR(IF(0=LEN(ReferenceData!$G$138),"",ReferenceData!$G$138),"")</f>
        <v>1.3353295380000001</v>
      </c>
      <c r="H138">
        <f ca="1">IFERROR(IF(0=LEN(ReferenceData!$H$138),"",ReferenceData!$H$138),"")</f>
        <v>1.329278196</v>
      </c>
      <c r="I138">
        <f ca="1">IFERROR(IF(0=LEN(ReferenceData!$I$138),"",ReferenceData!$I$138),"")</f>
        <v>1.519963218</v>
      </c>
      <c r="J138">
        <f ca="1">IFERROR(IF(0=LEN(ReferenceData!$J$138),"",ReferenceData!$J$138),"")</f>
        <v>2.0719006590000002</v>
      </c>
      <c r="K138">
        <f ca="1">IFERROR(IF(0=LEN(ReferenceData!$K$138),"",ReferenceData!$K$138),"")</f>
        <v>2.1954902839999999</v>
      </c>
      <c r="L138">
        <f ca="1">IFERROR(IF(0=LEN(ReferenceData!$L$138),"",ReferenceData!$L$138),"")</f>
        <v>2.80286349</v>
      </c>
      <c r="M138">
        <f ca="1">IFERROR(IF(0=LEN(ReferenceData!$M$138),"",ReferenceData!$M$138),"")</f>
        <v>2.077637492</v>
      </c>
      <c r="N138">
        <f ca="1">IFERROR(IF(0=LEN(ReferenceData!$N$138),"",ReferenceData!$N$138),"")</f>
        <v>2.4367798089999999</v>
      </c>
      <c r="O138">
        <f ca="1">IFERROR(IF(0=LEN(ReferenceData!$O$138),"",ReferenceData!$O$138),"")</f>
        <v>2.3008854269999999</v>
      </c>
      <c r="P138">
        <f ca="1">IFERROR(IF(0=LEN(ReferenceData!$P$138),"",ReferenceData!$P$138),"")</f>
        <v>2.149462513</v>
      </c>
      <c r="Q138">
        <f ca="1">IFERROR(IF(0=LEN(ReferenceData!$Q$138),"",ReferenceData!$Q$138),"")</f>
        <v>2.2660923130000001</v>
      </c>
      <c r="R138">
        <f ca="1">IFERROR(IF(0=LEN(ReferenceData!$R$138),"",ReferenceData!$R$138),"")</f>
        <v>2.7677601279999999</v>
      </c>
      <c r="S138">
        <f ca="1">IFERROR(IF(0=LEN(ReferenceData!$S$138),"",ReferenceData!$S$138),"")</f>
        <v>3.0581157559999999</v>
      </c>
      <c r="T138">
        <f ca="1">IFERROR(IF(0=LEN(ReferenceData!$T$138),"",ReferenceData!$T$138),"")</f>
        <v>2.7040022399999999</v>
      </c>
      <c r="U138">
        <f ca="1">IFERROR(IF(0=LEN(ReferenceData!$U$138),"",ReferenceData!$U$138),"")</f>
        <v>4.5503944440000001</v>
      </c>
      <c r="V138">
        <f ca="1">IFERROR(IF(0=LEN(ReferenceData!$V$138),"",ReferenceData!$V$138),"")</f>
        <v>3.5908164710000001</v>
      </c>
      <c r="W138">
        <f ca="1">IFERROR(IF(0=LEN(ReferenceData!$W$138),"",ReferenceData!$W$138),"")</f>
        <v>2.8413920180000001</v>
      </c>
      <c r="X138">
        <f ca="1">IFERROR(IF(0=LEN(ReferenceData!$X$138),"",ReferenceData!$X$138),"")</f>
        <v>2.0461361290000002</v>
      </c>
      <c r="Y138">
        <f ca="1">IFERROR(IF(0=LEN(ReferenceData!$Y$138),"",ReferenceData!$Y$138),"")</f>
        <v>1.7559348880000001</v>
      </c>
      <c r="Z138">
        <f ca="1">IFERROR(IF(0=LEN(ReferenceData!$Z$138),"",ReferenceData!$Z$138),"")</f>
        <v>1.8519273940000001</v>
      </c>
      <c r="AA138">
        <f ca="1">IFERROR(IF(0=LEN(ReferenceData!$AA$138),"",ReferenceData!$AA$138),"")</f>
        <v>2.250048064</v>
      </c>
      <c r="AB138">
        <f ca="1">IFERROR(IF(0=LEN(ReferenceData!$AB$138),"",ReferenceData!$AB$138),"")</f>
        <v>2.5749530200000001</v>
      </c>
      <c r="AC138">
        <f ca="1">IFERROR(IF(0=LEN(ReferenceData!$AC$138),"",ReferenceData!$AC$138),"")</f>
        <v>2.4309973810000001</v>
      </c>
      <c r="AD138">
        <f ca="1">IFERROR(IF(0=LEN(ReferenceData!$AD$138),"",ReferenceData!$AD$138),"")</f>
        <v>1.6022095009999999</v>
      </c>
      <c r="AE138">
        <f ca="1">IFERROR(IF(0=LEN(ReferenceData!$AE$138),"",ReferenceData!$AE$138),"")</f>
        <v>1.780063196</v>
      </c>
      <c r="AF138">
        <f ca="1">IFERROR(IF(0=LEN(ReferenceData!$AF$138),"",ReferenceData!$AF$138),"")</f>
        <v>1.3776300480000001</v>
      </c>
      <c r="AG138">
        <f ca="1">IFERROR(IF(0=LEN(ReferenceData!$AG$138),"",ReferenceData!$AG$138),"")</f>
        <v>2.128024881</v>
      </c>
      <c r="AH138">
        <f ca="1">IFERROR(IF(0=LEN(ReferenceData!$AH$138),"",ReferenceData!$AH$138),"")</f>
        <v>2.0474965530000002</v>
      </c>
      <c r="AI138">
        <f ca="1">IFERROR(IF(0=LEN(ReferenceData!$AI$138),"",ReferenceData!$AI$138),"")</f>
        <v>1.7221764509999999</v>
      </c>
      <c r="AJ138">
        <f ca="1">IFERROR(IF(0=LEN(ReferenceData!$AJ$138),"",ReferenceData!$AJ$138),"")</f>
        <v>2.0896870129999998</v>
      </c>
      <c r="AK138">
        <f ca="1">IFERROR(IF(0=LEN(ReferenceData!$AK$138),"",ReferenceData!$AK$138),"")</f>
        <v>2.572855272</v>
      </c>
      <c r="AL138">
        <f ca="1">IFERROR(IF(0=LEN(ReferenceData!$AL$138),"",ReferenceData!$AL$138),"")</f>
        <v>3.01902078</v>
      </c>
      <c r="AM138">
        <f ca="1">IFERROR(IF(0=LEN(ReferenceData!$AM$138),"",ReferenceData!$AM$138),"")</f>
        <v>3.0269546300000001</v>
      </c>
      <c r="AN138">
        <f ca="1">IFERROR(IF(0=LEN(ReferenceData!$AN$138),"",ReferenceData!$AN$138),"")</f>
        <v>3.5232869550000001</v>
      </c>
      <c r="AO138">
        <f ca="1">IFERROR(IF(0=LEN(ReferenceData!$AO$138),"",ReferenceData!$AO$138),"")</f>
        <v>2.9912760070000002</v>
      </c>
      <c r="AP138">
        <f ca="1">IFERROR(IF(0=LEN(ReferenceData!$AP$138),"",ReferenceData!$AP$138),"")</f>
        <v>4.3099699620000003</v>
      </c>
      <c r="AQ138">
        <f ca="1">IFERROR(IF(0=LEN(ReferenceData!$AQ$138),"",ReferenceData!$AQ$138),"")</f>
        <v>5.6536707359999996</v>
      </c>
      <c r="AR138">
        <f ca="1">IFERROR(IF(0=LEN(ReferenceData!$AR$138),"",ReferenceData!$AR$138),"")</f>
        <v>4.0152792760000002</v>
      </c>
      <c r="AS138">
        <f ca="1">IFERROR(IF(0=LEN(ReferenceData!$AS$138),"",ReferenceData!$AS$138),"")</f>
        <v>3.8429413449999998</v>
      </c>
      <c r="AT138">
        <f ca="1">IFERROR(IF(0=LEN(ReferenceData!$AT$138),"",ReferenceData!$AT$138),"")</f>
        <v>2.9286105089999999</v>
      </c>
      <c r="AU138">
        <f ca="1">IFERROR(IF(0=LEN(ReferenceData!$AU$138),"",ReferenceData!$AU$138),"")</f>
        <v>1.779442019</v>
      </c>
      <c r="AV138">
        <f ca="1">IFERROR(IF(0=LEN(ReferenceData!$AV$138),"",ReferenceData!$AV$138),"")</f>
        <v>1.7545353770000001</v>
      </c>
      <c r="AW138">
        <f ca="1">IFERROR(IF(0=LEN(ReferenceData!$AW$138),"",ReferenceData!$AW$138),"")</f>
        <v>2.1670107949999999</v>
      </c>
      <c r="AX138">
        <f ca="1">IFERROR(IF(0=LEN(ReferenceData!$AX$138),"",ReferenceData!$AX$138),"")</f>
        <v>3.546225019</v>
      </c>
      <c r="AY138">
        <f ca="1">IFERROR(IF(0=LEN(ReferenceData!$AY$138),"",ReferenceData!$AY$138),"")</f>
        <v>5.3153100819999999</v>
      </c>
      <c r="AZ138">
        <f ca="1">IFERROR(IF(0=LEN(ReferenceData!$AZ$138),"",ReferenceData!$AZ$138),"")</f>
        <v>6.0444892819999998</v>
      </c>
      <c r="BA138">
        <f ca="1">IFERROR(IF(0=LEN(ReferenceData!$BA$138),"",ReferenceData!$BA$138),"")</f>
        <v>3.2585132049999999</v>
      </c>
      <c r="BB138">
        <f ca="1">IFERROR(IF(0=LEN(ReferenceData!$BB$138),"",ReferenceData!$BB$138),"")</f>
        <v>2.7252262260000002</v>
      </c>
      <c r="BC138">
        <f ca="1">IFERROR(IF(0=LEN(ReferenceData!$BC$138),"",ReferenceData!$BC$138),"")</f>
        <v>1.2148962050000001</v>
      </c>
      <c r="BD138">
        <f ca="1">IFERROR(IF(0=LEN(ReferenceData!$BD$138),"",ReferenceData!$BD$138),"")</f>
        <v>1.883128983</v>
      </c>
      <c r="BE138">
        <f ca="1">IFERROR(IF(0=LEN(ReferenceData!$BE$138),"",ReferenceData!$BE$138),"")</f>
        <v>1.0470566189999999</v>
      </c>
      <c r="BF138">
        <f ca="1">IFERROR(IF(0=LEN(ReferenceData!$BF$138),"",ReferenceData!$BF$138),"")</f>
        <v>1.0352633760000001</v>
      </c>
      <c r="BG138">
        <f ca="1">IFERROR(IF(0=LEN(ReferenceData!$BG$138),"",ReferenceData!$BG$138),"")</f>
        <v>0.94722044999999999</v>
      </c>
      <c r="BH138">
        <f ca="1">IFERROR(IF(0=LEN(ReferenceData!$BH$138),"",ReferenceData!$BH$138),"")</f>
        <v>0.87426702000000001</v>
      </c>
      <c r="BI138">
        <f ca="1">IFERROR(IF(0=LEN(ReferenceData!$BI$138),"",ReferenceData!$BI$138),"")</f>
        <v>0.84416480199999999</v>
      </c>
      <c r="BJ138">
        <f ca="1">IFERROR(IF(0=LEN(ReferenceData!$BJ$138),"",ReferenceData!$BJ$138),"")</f>
        <v>1.0396872619999999</v>
      </c>
      <c r="BK138">
        <f ca="1">IFERROR(IF(0=LEN(ReferenceData!$BK$138),"",ReferenceData!$BK$138),"")</f>
        <v>1.163699668</v>
      </c>
      <c r="BL138">
        <f ca="1">IFERROR(IF(0=LEN(ReferenceData!$BL$138),"",ReferenceData!$BL$138),"")</f>
        <v>1.808671828</v>
      </c>
      <c r="BM138">
        <f ca="1">IFERROR(IF(0=LEN(ReferenceData!$BM$138),"",ReferenceData!$BM$138),"")</f>
        <v>1.969853893</v>
      </c>
    </row>
    <row r="139" spans="1:65" x14ac:dyDescent="0.25">
      <c r="A139" t="str">
        <f>IFERROR(IF(0=LEN(ReferenceData!$A$139),"",ReferenceData!$A$139),"")</f>
        <v xml:space="preserve">    Fiat Chrysler Automobiles NV</v>
      </c>
      <c r="B139" t="str">
        <f>IFERROR(IF(0=LEN(ReferenceData!$B$139),"",ReferenceData!$B$139),"")</f>
        <v>FCAU US Equity</v>
      </c>
      <c r="C139" t="str">
        <f>IFERROR(IF(0=LEN(ReferenceData!$C$139),"",ReferenceData!$C$139),"")</f>
        <v>RR903</v>
      </c>
      <c r="D139" t="str">
        <f>IFERROR(IF(0=LEN(ReferenceData!$D$139),"",ReferenceData!$D$139),"")</f>
        <v>PX_TO_BOOK_RATIO</v>
      </c>
      <c r="E139" t="str">
        <f>IFERROR(IF(0=LEN(ReferenceData!$E$139),"",ReferenceData!$E$139),"")</f>
        <v>Dynamic</v>
      </c>
      <c r="F139">
        <f ca="1">IFERROR(IF(0=LEN(ReferenceData!$F$139),"",ReferenceData!$F$139),"")</f>
        <v>1.0457757999999999</v>
      </c>
      <c r="G139">
        <f ca="1">IFERROR(IF(0=LEN(ReferenceData!$G$139),"",ReferenceData!$G$139),"")</f>
        <v>1.001643676</v>
      </c>
      <c r="H139">
        <f ca="1">IFERROR(IF(0=LEN(ReferenceData!$H$139),"",ReferenceData!$H$139),"")</f>
        <v>1.291916837</v>
      </c>
      <c r="I139">
        <f ca="1">IFERROR(IF(0=LEN(ReferenceData!$I$139),"",ReferenceData!$I$139),"")</f>
        <v>1.409828232</v>
      </c>
      <c r="J139">
        <f ca="1">IFERROR(IF(0=LEN(ReferenceData!$J$139),"",ReferenceData!$J$139),"")</f>
        <v>1.5192547540000001</v>
      </c>
      <c r="K139">
        <f ca="1">IFERROR(IF(0=LEN(ReferenceData!$K$139),"",ReferenceData!$K$139),"")</f>
        <v>1.389239458</v>
      </c>
      <c r="L139">
        <f ca="1">IFERROR(IF(0=LEN(ReferenceData!$L$139),"",ReferenceData!$L$139),"")</f>
        <v>1.454511187</v>
      </c>
      <c r="M139">
        <f ca="1">IFERROR(IF(0=LEN(ReferenceData!$M$139),"",ReferenceData!$M$139),"")</f>
        <v>0.91196485400000005</v>
      </c>
      <c r="N139">
        <f ca="1">IFERROR(IF(0=LEN(ReferenceData!$N$139),"",ReferenceData!$N$139),"")</f>
        <v>1.0008555509999999</v>
      </c>
      <c r="O139">
        <f ca="1">IFERROR(IF(0=LEN(ReferenceData!$O$139),"",ReferenceData!$O$139),"")</f>
        <v>0.87377168900000002</v>
      </c>
      <c r="P139">
        <f ca="1">IFERROR(IF(0=LEN(ReferenceData!$P$139),"",ReferenceData!$P$139),"")</f>
        <v>0.56183680599999997</v>
      </c>
      <c r="Q139">
        <f ca="1">IFERROR(IF(0=LEN(ReferenceData!$Q$139),"",ReferenceData!$Q$139),"")</f>
        <v>0.56619229100000001</v>
      </c>
      <c r="R139">
        <f ca="1">IFERROR(IF(0=LEN(ReferenceData!$R$139),"",ReferenceData!$R$139),"")</f>
        <v>0.74964836999999995</v>
      </c>
      <c r="S139">
        <f ca="1">IFERROR(IF(0=LEN(ReferenceData!$S$139),"",ReferenceData!$S$139),"")</f>
        <v>0.84990460300000004</v>
      </c>
      <c r="T139">
        <f ca="1">IFERROR(IF(0=LEN(ReferenceData!$T$139),"",ReferenceData!$T$139),"")</f>
        <v>0.92308681000000004</v>
      </c>
      <c r="U139">
        <f ca="1">IFERROR(IF(0=LEN(ReferenceData!$U$139),"",ReferenceData!$U$139),"")</f>
        <v>0.98459444100000004</v>
      </c>
      <c r="V139">
        <f ca="1">IFERROR(IF(0=LEN(ReferenceData!$V$139),"",ReferenceData!$V$139),"")</f>
        <v>1.131316191</v>
      </c>
      <c r="W139">
        <f ca="1">IFERROR(IF(0=LEN(ReferenceData!$W$139),"",ReferenceData!$W$139),"")</f>
        <v>0.75308034700000004</v>
      </c>
      <c r="X139" t="str">
        <f ca="1">IFERROR(IF(0=LEN(ReferenceData!$X$139),"",ReferenceData!$X$139),"")</f>
        <v/>
      </c>
      <c r="Y139" t="str">
        <f ca="1">IFERROR(IF(0=LEN(ReferenceData!$Y$139),"",ReferenceData!$Y$139),"")</f>
        <v/>
      </c>
      <c r="Z139" t="str">
        <f ca="1">IFERROR(IF(0=LEN(ReferenceData!$Z$139),"",ReferenceData!$Z$139),"")</f>
        <v/>
      </c>
      <c r="AA139" t="str">
        <f ca="1">IFERROR(IF(0=LEN(ReferenceData!$AA$139),"",ReferenceData!$AA$139),"")</f>
        <v/>
      </c>
      <c r="AB139" t="str">
        <f ca="1">IFERROR(IF(0=LEN(ReferenceData!$AB$139),"",ReferenceData!$AB$139),"")</f>
        <v/>
      </c>
      <c r="AC139" t="str">
        <f ca="1">IFERROR(IF(0=LEN(ReferenceData!$AC$139),"",ReferenceData!$AC$139),"")</f>
        <v/>
      </c>
      <c r="AD139" t="str">
        <f ca="1">IFERROR(IF(0=LEN(ReferenceData!$AD$139),"",ReferenceData!$AD$139),"")</f>
        <v/>
      </c>
      <c r="AE139" t="str">
        <f ca="1">IFERROR(IF(0=LEN(ReferenceData!$AE$139),"",ReferenceData!$AE$139),"")</f>
        <v/>
      </c>
      <c r="AF139" t="str">
        <f ca="1">IFERROR(IF(0=LEN(ReferenceData!$AF$139),"",ReferenceData!$AF$139),"")</f>
        <v/>
      </c>
      <c r="AG139" t="str">
        <f ca="1">IFERROR(IF(0=LEN(ReferenceData!$AG$139),"",ReferenceData!$AG$139),"")</f>
        <v/>
      </c>
      <c r="AH139" t="str">
        <f ca="1">IFERROR(IF(0=LEN(ReferenceData!$AH$139),"",ReferenceData!$AH$139),"")</f>
        <v/>
      </c>
      <c r="AI139" t="str">
        <f ca="1">IFERROR(IF(0=LEN(ReferenceData!$AI$139),"",ReferenceData!$AI$139),"")</f>
        <v/>
      </c>
      <c r="AJ139" t="str">
        <f ca="1">IFERROR(IF(0=LEN(ReferenceData!$AJ$139),"",ReferenceData!$AJ$139),"")</f>
        <v/>
      </c>
      <c r="AK139" t="str">
        <f ca="1">IFERROR(IF(0=LEN(ReferenceData!$AK$139),"",ReferenceData!$AK$139),"")</f>
        <v/>
      </c>
      <c r="AL139" t="str">
        <f ca="1">IFERROR(IF(0=LEN(ReferenceData!$AL$139),"",ReferenceData!$AL$139),"")</f>
        <v/>
      </c>
      <c r="AM139" t="str">
        <f ca="1">IFERROR(IF(0=LEN(ReferenceData!$AM$139),"",ReferenceData!$AM$139),"")</f>
        <v/>
      </c>
      <c r="AN139" t="str">
        <f ca="1">IFERROR(IF(0=LEN(ReferenceData!$AN$139),"",ReferenceData!$AN$139),"")</f>
        <v/>
      </c>
      <c r="AO139" t="str">
        <f ca="1">IFERROR(IF(0=LEN(ReferenceData!$AO$139),"",ReferenceData!$AO$139),"")</f>
        <v/>
      </c>
      <c r="AP139" t="str">
        <f ca="1">IFERROR(IF(0=LEN(ReferenceData!$AP$139),"",ReferenceData!$AP$139),"")</f>
        <v/>
      </c>
      <c r="AQ139" t="str">
        <f ca="1">IFERROR(IF(0=LEN(ReferenceData!$AQ$139),"",ReferenceData!$AQ$139),"")</f>
        <v/>
      </c>
      <c r="AR139" t="str">
        <f ca="1">IFERROR(IF(0=LEN(ReferenceData!$AR$139),"",ReferenceData!$AR$139),"")</f>
        <v/>
      </c>
      <c r="AS139" t="str">
        <f ca="1">IFERROR(IF(0=LEN(ReferenceData!$AS$139),"",ReferenceData!$AS$139),"")</f>
        <v/>
      </c>
      <c r="AT139" t="str">
        <f ca="1">IFERROR(IF(0=LEN(ReferenceData!$AT$139),"",ReferenceData!$AT$139),"")</f>
        <v/>
      </c>
      <c r="AU139" t="str">
        <f ca="1">IFERROR(IF(0=LEN(ReferenceData!$AU$139),"",ReferenceData!$AU$139),"")</f>
        <v/>
      </c>
      <c r="AV139" t="str">
        <f ca="1">IFERROR(IF(0=LEN(ReferenceData!$AV$139),"",ReferenceData!$AV$139),"")</f>
        <v/>
      </c>
      <c r="AW139" t="str">
        <f ca="1">IFERROR(IF(0=LEN(ReferenceData!$AW$139),"",ReferenceData!$AW$139),"")</f>
        <v/>
      </c>
      <c r="AX139" t="str">
        <f ca="1">IFERROR(IF(0=LEN(ReferenceData!$AX$139),"",ReferenceData!$AX$139),"")</f>
        <v/>
      </c>
      <c r="AY139" t="str">
        <f ca="1">IFERROR(IF(0=LEN(ReferenceData!$AY$139),"",ReferenceData!$AY$139),"")</f>
        <v/>
      </c>
      <c r="AZ139" t="str">
        <f ca="1">IFERROR(IF(0=LEN(ReferenceData!$AZ$139),"",ReferenceData!$AZ$139),"")</f>
        <v/>
      </c>
      <c r="BA139" t="str">
        <f ca="1">IFERROR(IF(0=LEN(ReferenceData!$BA$139),"",ReferenceData!$BA$139),"")</f>
        <v/>
      </c>
      <c r="BB139" t="str">
        <f ca="1">IFERROR(IF(0=LEN(ReferenceData!$BB$139),"",ReferenceData!$BB$139),"")</f>
        <v/>
      </c>
      <c r="BC139" t="str">
        <f ca="1">IFERROR(IF(0=LEN(ReferenceData!$BC$139),"",ReferenceData!$BC$139),"")</f>
        <v/>
      </c>
      <c r="BD139" t="str">
        <f ca="1">IFERROR(IF(0=LEN(ReferenceData!$BD$139),"",ReferenceData!$BD$139),"")</f>
        <v/>
      </c>
      <c r="BE139" t="str">
        <f ca="1">IFERROR(IF(0=LEN(ReferenceData!$BE$139),"",ReferenceData!$BE$139),"")</f>
        <v/>
      </c>
      <c r="BF139" t="str">
        <f ca="1">IFERROR(IF(0=LEN(ReferenceData!$BF$139),"",ReferenceData!$BF$139),"")</f>
        <v/>
      </c>
      <c r="BG139" t="str">
        <f ca="1">IFERROR(IF(0=LEN(ReferenceData!$BG$139),"",ReferenceData!$BG$139),"")</f>
        <v/>
      </c>
      <c r="BH139" t="str">
        <f ca="1">IFERROR(IF(0=LEN(ReferenceData!$BH$139),"",ReferenceData!$BH$139),"")</f>
        <v/>
      </c>
      <c r="BI139" t="str">
        <f ca="1">IFERROR(IF(0=LEN(ReferenceData!$BI$139),"",ReferenceData!$BI$139),"")</f>
        <v/>
      </c>
      <c r="BJ139" t="str">
        <f ca="1">IFERROR(IF(0=LEN(ReferenceData!$BJ$139),"",ReferenceData!$BJ$139),"")</f>
        <v/>
      </c>
      <c r="BK139" t="str">
        <f ca="1">IFERROR(IF(0=LEN(ReferenceData!$BK$139),"",ReferenceData!$BK$139),"")</f>
        <v/>
      </c>
      <c r="BL139" t="str">
        <f ca="1">IFERROR(IF(0=LEN(ReferenceData!$BL$139),"",ReferenceData!$BL$139),"")</f>
        <v/>
      </c>
      <c r="BM139" t="str">
        <f ca="1">IFERROR(IF(0=LEN(ReferenceData!$BM$139),"",ReferenceData!$BM$139),"")</f>
        <v/>
      </c>
    </row>
    <row r="140" spans="1:65" x14ac:dyDescent="0.25">
      <c r="A140" t="str">
        <f>IFERROR(IF(0=LEN(ReferenceData!$A$140),"",ReferenceData!$A$140),"")</f>
        <v xml:space="preserve">    Ford Motor Co</v>
      </c>
      <c r="B140" t="str">
        <f>IFERROR(IF(0=LEN(ReferenceData!$B$140),"",ReferenceData!$B$140),"")</f>
        <v>F US Equity</v>
      </c>
      <c r="C140" t="str">
        <f>IFERROR(IF(0=LEN(ReferenceData!$C$140),"",ReferenceData!$C$140),"")</f>
        <v>RR903</v>
      </c>
      <c r="D140" t="str">
        <f>IFERROR(IF(0=LEN(ReferenceData!$D$140),"",ReferenceData!$D$140),"")</f>
        <v>PX_TO_BOOK_RATIO</v>
      </c>
      <c r="E140" t="str">
        <f>IFERROR(IF(0=LEN(ReferenceData!$E$140),"",ReferenceData!$E$140),"")</f>
        <v>Dynamic</v>
      </c>
      <c r="F140">
        <f ca="1">IFERROR(IF(0=LEN(ReferenceData!$F$140),"",ReferenceData!$F$140),"")</f>
        <v>0.96441015299999999</v>
      </c>
      <c r="G140">
        <f ca="1">IFERROR(IF(0=LEN(ReferenceData!$G$140),"",ReferenceData!$G$140),"")</f>
        <v>0.84704221300000004</v>
      </c>
      <c r="H140">
        <f ca="1">IFERROR(IF(0=LEN(ReferenceData!$H$140),"",ReferenceData!$H$140),"")</f>
        <v>1.0056191940000001</v>
      </c>
      <c r="I140">
        <f ca="1">IFERROR(IF(0=LEN(ReferenceData!$I$140),"",ReferenceData!$I$140),"")</f>
        <v>1.2107788690000001</v>
      </c>
      <c r="J140">
        <f ca="1">IFERROR(IF(0=LEN(ReferenceData!$J$140),"",ReferenceData!$J$140),"")</f>
        <v>1.213002379</v>
      </c>
      <c r="K140">
        <f ca="1">IFERROR(IF(0=LEN(ReferenceData!$K$140),"",ReferenceData!$K$140),"")</f>
        <v>1.3948834160000001</v>
      </c>
      <c r="L140">
        <f ca="1">IFERROR(IF(0=LEN(ReferenceData!$L$140),"",ReferenceData!$L$140),"")</f>
        <v>1.430545076</v>
      </c>
      <c r="M140">
        <f ca="1">IFERROR(IF(0=LEN(ReferenceData!$M$140),"",ReferenceData!$M$140),"")</f>
        <v>1.378363107</v>
      </c>
      <c r="N140">
        <f ca="1">IFERROR(IF(0=LEN(ReferenceData!$N$140),"",ReferenceData!$N$140),"")</f>
        <v>1.5137764330000001</v>
      </c>
      <c r="O140">
        <f ca="1">IFERROR(IF(0=LEN(ReferenceData!$O$140),"",ReferenceData!$O$140),"")</f>
        <v>1.652664541</v>
      </c>
      <c r="P140">
        <f ca="1">IFERROR(IF(0=LEN(ReferenceData!$P$140),"",ReferenceData!$P$140),"")</f>
        <v>1.5234003140000001</v>
      </c>
      <c r="Q140">
        <f ca="1">IFERROR(IF(0=LEN(ReferenceData!$Q$140),"",ReferenceData!$Q$140),"")</f>
        <v>1.6037904279999999</v>
      </c>
      <c r="R140">
        <f ca="1">IFERROR(IF(0=LEN(ReferenceData!$R$140),"",ReferenceData!$R$140),"")</f>
        <v>1.8116289350000001</v>
      </c>
      <c r="S140">
        <f ca="1">IFERROR(IF(0=LEN(ReferenceData!$S$140),"",ReferenceData!$S$140),"")</f>
        <v>1.952742188</v>
      </c>
      <c r="T140">
        <f ca="1">IFERROR(IF(0=LEN(ReferenceData!$T$140),"",ReferenceData!$T$140),"")</f>
        <v>1.9608342059999999</v>
      </c>
      <c r="U140">
        <f ca="1">IFERROR(IF(0=LEN(ReferenceData!$U$140),"",ReferenceData!$U$140),"")</f>
        <v>2.261610396</v>
      </c>
      <c r="V140">
        <f ca="1">IFERROR(IF(0=LEN(ReferenceData!$V$140),"",ReferenceData!$V$140),"")</f>
        <v>2.571942505</v>
      </c>
      <c r="W140">
        <f ca="1">IFERROR(IF(0=LEN(ReferenceData!$W$140),"",ReferenceData!$W$140),"")</f>
        <v>2.5090882350000001</v>
      </c>
      <c r="X140">
        <f ca="1">IFERROR(IF(0=LEN(ReferenceData!$X$140),"",ReferenceData!$X$140),"")</f>
        <v>2.1779188440000001</v>
      </c>
      <c r="Y140">
        <f ca="1">IFERROR(IF(0=LEN(ReferenceData!$Y$140),"",ReferenceData!$Y$140),"")</f>
        <v>2.4971847619999998</v>
      </c>
      <c r="Z140">
        <f ca="1">IFERROR(IF(0=LEN(ReferenceData!$Z$140),"",ReferenceData!$Z$140),"")</f>
        <v>2.3040537200000002</v>
      </c>
      <c r="AA140">
        <f ca="1">IFERROR(IF(0=LEN(ReferenceData!$AA$140),"",ReferenceData!$AA$140),"")</f>
        <v>2.3304679560000001</v>
      </c>
      <c r="AB140">
        <f ca="1">IFERROR(IF(0=LEN(ReferenceData!$AB$140),"",ReferenceData!$AB$140),"")</f>
        <v>3.2512164280000002</v>
      </c>
      <c r="AC140">
        <f ca="1">IFERROR(IF(0=LEN(ReferenceData!$AC$140),"",ReferenceData!$AC$140),"")</f>
        <v>3.1777810030000002</v>
      </c>
      <c r="AD140">
        <f ca="1">IFERROR(IF(0=LEN(ReferenceData!$AD$140),"",ReferenceData!$AD$140),"")</f>
        <v>2.9380710269999999</v>
      </c>
      <c r="AE140">
        <f ca="1">IFERROR(IF(0=LEN(ReferenceData!$AE$140),"",ReferenceData!$AE$140),"")</f>
        <v>3.185119915</v>
      </c>
      <c r="AF140">
        <f ca="1">IFERROR(IF(0=LEN(ReferenceData!$AF$140),"",ReferenceData!$AF$140),"")</f>
        <v>1.9952681539999999</v>
      </c>
      <c r="AG140">
        <f ca="1">IFERROR(IF(0=LEN(ReferenceData!$AG$140),"",ReferenceData!$AG$140),"")</f>
        <v>2.146990551</v>
      </c>
      <c r="AH140">
        <f ca="1">IFERROR(IF(0=LEN(ReferenceData!$AH$140),"",ReferenceData!$AH$140),"")</f>
        <v>2.8669869050000001</v>
      </c>
      <c r="AI140">
        <f ca="1">IFERROR(IF(0=LEN(ReferenceData!$AI$140),"",ReferenceData!$AI$140),"")</f>
        <v>2.721322598</v>
      </c>
      <c r="AJ140">
        <f ca="1">IFERROR(IF(0=LEN(ReferenceData!$AJ$140),"",ReferenceData!$AJ$140),"")</f>
        <v>6.1429236029999998</v>
      </c>
      <c r="AK140">
        <f ca="1">IFERROR(IF(0=LEN(ReferenceData!$AK$140),"",ReferenceData!$AK$140),"")</f>
        <v>9.8699638780000001</v>
      </c>
      <c r="AL140">
        <f ca="1">IFERROR(IF(0=LEN(ReferenceData!$AL$140),"",ReferenceData!$AL$140),"")</f>
        <v>23.343338320000001</v>
      </c>
      <c r="AM140" t="str">
        <f ca="1">IFERROR(IF(0=LEN(ReferenceData!$AM$140),"",ReferenceData!$AM$140),"")</f>
        <v/>
      </c>
      <c r="AN140" t="str">
        <f ca="1">IFERROR(IF(0=LEN(ReferenceData!$AN$140),"",ReferenceData!$AN$140),"")</f>
        <v/>
      </c>
      <c r="AO140" t="str">
        <f ca="1">IFERROR(IF(0=LEN(ReferenceData!$AO$140),"",ReferenceData!$AO$140),"")</f>
        <v/>
      </c>
      <c r="AP140" t="str">
        <f ca="1">IFERROR(IF(0=LEN(ReferenceData!$AP$140),"",ReferenceData!$AP$140),"")</f>
        <v/>
      </c>
      <c r="AQ140" t="str">
        <f ca="1">IFERROR(IF(0=LEN(ReferenceData!$AQ$140),"",ReferenceData!$AQ$140),"")</f>
        <v/>
      </c>
      <c r="AR140" t="str">
        <f ca="1">IFERROR(IF(0=LEN(ReferenceData!$AR$140),"",ReferenceData!$AR$140),"")</f>
        <v/>
      </c>
      <c r="AS140" t="str">
        <f ca="1">IFERROR(IF(0=LEN(ReferenceData!$AS$140),"",ReferenceData!$AS$140),"")</f>
        <v/>
      </c>
      <c r="AT140" t="str">
        <f ca="1">IFERROR(IF(0=LEN(ReferenceData!$AT$140),"",ReferenceData!$AT$140),"")</f>
        <v/>
      </c>
      <c r="AU140" t="str">
        <f ca="1">IFERROR(IF(0=LEN(ReferenceData!$AU$140),"",ReferenceData!$AU$140),"")</f>
        <v/>
      </c>
      <c r="AV140" t="str">
        <f ca="1">IFERROR(IF(0=LEN(ReferenceData!$AV$140),"",ReferenceData!$AV$140),"")</f>
        <v/>
      </c>
      <c r="AW140">
        <f ca="1">IFERROR(IF(0=LEN(ReferenceData!$AW$140),"",ReferenceData!$AW$140),"")</f>
        <v>2.2865370280000001</v>
      </c>
      <c r="AX140">
        <f ca="1">IFERROR(IF(0=LEN(ReferenceData!$AX$140),"",ReferenceData!$AX$140),"")</f>
        <v>2.6263035750000001</v>
      </c>
      <c r="AY140">
        <f ca="1">IFERROR(IF(0=LEN(ReferenceData!$AY$140),"",ReferenceData!$AY$140),"")</f>
        <v>4.0977392510000001</v>
      </c>
      <c r="AZ140" t="str">
        <f ca="1">IFERROR(IF(0=LEN(ReferenceData!$AZ$140),"",ReferenceData!$AZ$140),"")</f>
        <v/>
      </c>
      <c r="BA140" t="str">
        <f ca="1">IFERROR(IF(0=LEN(ReferenceData!$BA$140),"",ReferenceData!$BA$140),"")</f>
        <v/>
      </c>
      <c r="BB140" t="str">
        <f ca="1">IFERROR(IF(0=LEN(ReferenceData!$BB$140),"",ReferenceData!$BB$140),"")</f>
        <v/>
      </c>
      <c r="BC140">
        <f ca="1">IFERROR(IF(0=LEN(ReferenceData!$BC$140),"",ReferenceData!$BC$140),"")</f>
        <v>1.7517444</v>
      </c>
      <c r="BD140">
        <f ca="1">IFERROR(IF(0=LEN(ReferenceData!$BD$140),"",ReferenceData!$BD$140),"")</f>
        <v>1.889548292</v>
      </c>
      <c r="BE140">
        <f ca="1">IFERROR(IF(0=LEN(ReferenceData!$BE$140),"",ReferenceData!$BE$140),"")</f>
        <v>0.92232421899999995</v>
      </c>
      <c r="BF140">
        <f ca="1">IFERROR(IF(0=LEN(ReferenceData!$BF$140),"",ReferenceData!$BF$140),"")</f>
        <v>1.270510289</v>
      </c>
      <c r="BG140">
        <f ca="1">IFERROR(IF(0=LEN(ReferenceData!$BG$140),"",ReferenceData!$BG$140),"")</f>
        <v>1.1178459670000001</v>
      </c>
      <c r="BH140">
        <f ca="1">IFERROR(IF(0=LEN(ReferenceData!$BH$140),"",ReferenceData!$BH$140),"")</f>
        <v>1.4776967679999999</v>
      </c>
      <c r="BI140">
        <f ca="1">IFERROR(IF(0=LEN(ReferenceData!$BI$140),"",ReferenceData!$BI$140),"")</f>
        <v>1.5122116619999999</v>
      </c>
      <c r="BJ140">
        <f ca="1">IFERROR(IF(0=LEN(ReferenceData!$BJ$140),"",ReferenceData!$BJ$140),"")</f>
        <v>1.3306444420000001</v>
      </c>
      <c r="BK140">
        <f ca="1">IFERROR(IF(0=LEN(ReferenceData!$BK$140),"",ReferenceData!$BK$140),"")</f>
        <v>2.0165906109999998</v>
      </c>
      <c r="BL140">
        <f ca="1">IFERROR(IF(0=LEN(ReferenceData!$BL$140),"",ReferenceData!$BL$140),"")</f>
        <v>1.827197057</v>
      </c>
      <c r="BM140">
        <f ca="1">IFERROR(IF(0=LEN(ReferenceData!$BM$140),"",ReferenceData!$BM$140),"")</f>
        <v>2.1116559659999998</v>
      </c>
    </row>
    <row r="141" spans="1:65" x14ac:dyDescent="0.25">
      <c r="A141" t="str">
        <f>IFERROR(IF(0=LEN(ReferenceData!$A$141),"",ReferenceData!$A$141),"")</f>
        <v xml:space="preserve">    Ford Otomotiv Sanayi AS</v>
      </c>
      <c r="B141" t="str">
        <f>IFERROR(IF(0=LEN(ReferenceData!$B$141),"",ReferenceData!$B$141),"")</f>
        <v>FROTOTRY EO Equity</v>
      </c>
      <c r="C141" t="str">
        <f>IFERROR(IF(0=LEN(ReferenceData!$C$141),"",ReferenceData!$C$141),"")</f>
        <v>RR903</v>
      </c>
      <c r="D141" t="str">
        <f>IFERROR(IF(0=LEN(ReferenceData!$D$141),"",ReferenceData!$D$141),"")</f>
        <v>PX_TO_BOOK_RATIO</v>
      </c>
      <c r="E141" t="str">
        <f>IFERROR(IF(0=LEN(ReferenceData!$E$141),"",ReferenceData!$E$141),"")</f>
        <v>Dynamic</v>
      </c>
      <c r="F141">
        <f ca="1">IFERROR(IF(0=LEN(ReferenceData!$F$141),"",ReferenceData!$F$141),"")</f>
        <v>4.970844713</v>
      </c>
      <c r="G141">
        <f ca="1">IFERROR(IF(0=LEN(ReferenceData!$G$141),"",ReferenceData!$G$141),"")</f>
        <v>4.5066588510000001</v>
      </c>
      <c r="H141">
        <f ca="1">IFERROR(IF(0=LEN(ReferenceData!$H$141),"",ReferenceData!$H$141),"")</f>
        <v>6.7503742840000003</v>
      </c>
      <c r="I141">
        <f ca="1">IFERROR(IF(0=LEN(ReferenceData!$I$141),"",ReferenceData!$I$141),"")</f>
        <v>5.97330936</v>
      </c>
      <c r="J141">
        <f ca="1">IFERROR(IF(0=LEN(ReferenceData!$J$141),"",ReferenceData!$J$141),"")</f>
        <v>6.7738121649999998</v>
      </c>
      <c r="K141">
        <f ca="1">IFERROR(IF(0=LEN(ReferenceData!$K$141),"",ReferenceData!$K$141),"")</f>
        <v>5.7205449399999999</v>
      </c>
      <c r="L141">
        <f ca="1">IFERROR(IF(0=LEN(ReferenceData!$L$141),"",ReferenceData!$L$141),"")</f>
        <v>4.3980464599999998</v>
      </c>
      <c r="M141">
        <f ca="1">IFERROR(IF(0=LEN(ReferenceData!$M$141),"",ReferenceData!$M$141),"")</f>
        <v>4.5247578080000004</v>
      </c>
      <c r="N141">
        <f ca="1">IFERROR(IF(0=LEN(ReferenceData!$N$141),"",ReferenceData!$N$141),"")</f>
        <v>4.2012069240000001</v>
      </c>
      <c r="O141">
        <f ca="1">IFERROR(IF(0=LEN(ReferenceData!$O$141),"",ReferenceData!$O$141),"")</f>
        <v>3.3919466109999998</v>
      </c>
      <c r="P141">
        <f ca="1">IFERROR(IF(0=LEN(ReferenceData!$P$141),"",ReferenceData!$P$141),"")</f>
        <v>3.368613683</v>
      </c>
      <c r="Q141">
        <f ca="1">IFERROR(IF(0=LEN(ReferenceData!$Q$141),"",ReferenceData!$Q$141),"")</f>
        <v>3.3702373099999998</v>
      </c>
      <c r="R141">
        <f ca="1">IFERROR(IF(0=LEN(ReferenceData!$R$141),"",ReferenceData!$R$141),"")</f>
        <v>4.4745924590000001</v>
      </c>
      <c r="S141">
        <f ca="1">IFERROR(IF(0=LEN(ReferenceData!$S$141),"",ReferenceData!$S$141),"")</f>
        <v>3.4725676839999999</v>
      </c>
      <c r="T141">
        <f ca="1">IFERROR(IF(0=LEN(ReferenceData!$T$141),"",ReferenceData!$T$141),"")</f>
        <v>3.9896208460000002</v>
      </c>
      <c r="U141">
        <f ca="1">IFERROR(IF(0=LEN(ReferenceData!$U$141),"",ReferenceData!$U$141),"")</f>
        <v>4.3559255280000002</v>
      </c>
      <c r="V141">
        <f ca="1">IFERROR(IF(0=LEN(ReferenceData!$V$141),"",ReferenceData!$V$141),"")</f>
        <v>4.2331165559999997</v>
      </c>
      <c r="W141">
        <f ca="1">IFERROR(IF(0=LEN(ReferenceData!$W$141),"",ReferenceData!$W$141),"")</f>
        <v>4.1471920740000003</v>
      </c>
      <c r="X141">
        <f ca="1">IFERROR(IF(0=LEN(ReferenceData!$X$141),"",ReferenceData!$X$141),"")</f>
        <v>3.3176493890000001</v>
      </c>
      <c r="Y141">
        <f ca="1">IFERROR(IF(0=LEN(ReferenceData!$Y$141),"",ReferenceData!$Y$141),"")</f>
        <v>3.514519645</v>
      </c>
      <c r="Z141">
        <f ca="1">IFERROR(IF(0=LEN(ReferenceData!$Z$141),"",ReferenceData!$Z$141),"")</f>
        <v>3.167794609</v>
      </c>
      <c r="AA141">
        <f ca="1">IFERROR(IF(0=LEN(ReferenceData!$AA$141),"",ReferenceData!$AA$141),"")</f>
        <v>3.5614958259999998</v>
      </c>
      <c r="AB141">
        <f ca="1">IFERROR(IF(0=LEN(ReferenceData!$AB$141),"",ReferenceData!$AB$141),"")</f>
        <v>4.5737006840000003</v>
      </c>
      <c r="AC141">
        <f ca="1">IFERROR(IF(0=LEN(ReferenceData!$AC$141),"",ReferenceData!$AC$141),"")</f>
        <v>4.460247614</v>
      </c>
      <c r="AD141">
        <f ca="1">IFERROR(IF(0=LEN(ReferenceData!$AD$141),"",ReferenceData!$AD$141),"")</f>
        <v>4.9262621390000003</v>
      </c>
      <c r="AE141">
        <f ca="1">IFERROR(IF(0=LEN(ReferenceData!$AE$141),"",ReferenceData!$AE$141),"")</f>
        <v>3.7628933820000001</v>
      </c>
      <c r="AF141">
        <f ca="1">IFERROR(IF(0=LEN(ReferenceData!$AF$141),"",ReferenceData!$AF$141),"")</f>
        <v>3.2247525079999999</v>
      </c>
      <c r="AG141">
        <f ca="1">IFERROR(IF(0=LEN(ReferenceData!$AG$141),"",ReferenceData!$AG$141),"")</f>
        <v>3.0634543249999999</v>
      </c>
      <c r="AH141">
        <f ca="1">IFERROR(IF(0=LEN(ReferenceData!$AH$141),"",ReferenceData!$AH$141),"")</f>
        <v>3.4395914080000001</v>
      </c>
      <c r="AI141">
        <f ca="1">IFERROR(IF(0=LEN(ReferenceData!$AI$141),"",ReferenceData!$AI$141),"")</f>
        <v>2.8284009710000002</v>
      </c>
      <c r="AJ141">
        <f ca="1">IFERROR(IF(0=LEN(ReferenceData!$AJ$141),"",ReferenceData!$AJ$141),"")</f>
        <v>2.3346306270000001</v>
      </c>
      <c r="AK141">
        <f ca="1">IFERROR(IF(0=LEN(ReferenceData!$AK$141),"",ReferenceData!$AK$141),"")</f>
        <v>2.7391737279999999</v>
      </c>
      <c r="AL141">
        <f ca="1">IFERROR(IF(0=LEN(ReferenceData!$AL$141),"",ReferenceData!$AL$141),"")</f>
        <v>3.2414789389999998</v>
      </c>
      <c r="AM141">
        <f ca="1">IFERROR(IF(0=LEN(ReferenceData!$AM$141),"",ReferenceData!$AM$141),"")</f>
        <v>2.6092653060000002</v>
      </c>
      <c r="AN141">
        <f ca="1">IFERROR(IF(0=LEN(ReferenceData!$AN$141),"",ReferenceData!$AN$141),"")</f>
        <v>2.5615538870000001</v>
      </c>
      <c r="AO141">
        <f ca="1">IFERROR(IF(0=LEN(ReferenceData!$AO$141),"",ReferenceData!$AO$141),"")</f>
        <v>2.2783622189999999</v>
      </c>
      <c r="AP141">
        <f ca="1">IFERROR(IF(0=LEN(ReferenceData!$AP$141),"",ReferenceData!$AP$141),"")</f>
        <v>2.6413042949999999</v>
      </c>
      <c r="AQ141">
        <f ca="1">IFERROR(IF(0=LEN(ReferenceData!$AQ$141),"",ReferenceData!$AQ$141),"")</f>
        <v>1.925103966</v>
      </c>
      <c r="AR141">
        <f ca="1">IFERROR(IF(0=LEN(ReferenceData!$AR$141),"",ReferenceData!$AR$141),"")</f>
        <v>1.7838323009999999</v>
      </c>
      <c r="AS141">
        <f ca="1">IFERROR(IF(0=LEN(ReferenceData!$AS$141),"",ReferenceData!$AS$141),"")</f>
        <v>1.2119055700000001</v>
      </c>
      <c r="AT141">
        <f ca="1">IFERROR(IF(0=LEN(ReferenceData!$AT$141),"",ReferenceData!$AT$141),"")</f>
        <v>0.96450891400000005</v>
      </c>
      <c r="AU141">
        <f ca="1">IFERROR(IF(0=LEN(ReferenceData!$AU$141),"",ReferenceData!$AU$141),"")</f>
        <v>0.89379772099999999</v>
      </c>
      <c r="AV141">
        <f ca="1">IFERROR(IF(0=LEN(ReferenceData!$AV$141),"",ReferenceData!$AV$141),"")</f>
        <v>1.3052134909999999</v>
      </c>
      <c r="AW141">
        <f ca="1">IFERROR(IF(0=LEN(ReferenceData!$AW$141),"",ReferenceData!$AW$141),"")</f>
        <v>1.7365874750000001</v>
      </c>
      <c r="AX141">
        <f ca="1">IFERROR(IF(0=LEN(ReferenceData!$AX$141),"",ReferenceData!$AX$141),"")</f>
        <v>1.938286712</v>
      </c>
      <c r="AY141">
        <f ca="1">IFERROR(IF(0=LEN(ReferenceData!$AY$141),"",ReferenceData!$AY$141),"")</f>
        <v>2.4746284190000001</v>
      </c>
      <c r="AZ141">
        <f ca="1">IFERROR(IF(0=LEN(ReferenceData!$AZ$141),"",ReferenceData!$AZ$141),"")</f>
        <v>2.5259380889999998</v>
      </c>
      <c r="BA141">
        <f ca="1">IFERROR(IF(0=LEN(ReferenceData!$BA$141),"",ReferenceData!$BA$141),"")</f>
        <v>2.6122307259999999</v>
      </c>
      <c r="BB141">
        <f ca="1">IFERROR(IF(0=LEN(ReferenceData!$BB$141),"",ReferenceData!$BB$141),"")</f>
        <v>2.8039747350000002</v>
      </c>
      <c r="BC141">
        <f ca="1">IFERROR(IF(0=LEN(ReferenceData!$BC$141),"",ReferenceData!$BC$141),"")</f>
        <v>2.4520917469999999</v>
      </c>
      <c r="BD141">
        <f ca="1">IFERROR(IF(0=LEN(ReferenceData!$BD$141),"",ReferenceData!$BD$141),"")</f>
        <v>2.3261901219999999</v>
      </c>
      <c r="BE141">
        <f ca="1">IFERROR(IF(0=LEN(ReferenceData!$BE$141),"",ReferenceData!$BE$141),"")</f>
        <v>2.1826190030000001</v>
      </c>
      <c r="BF141">
        <f ca="1">IFERROR(IF(0=LEN(ReferenceData!$BF$141),"",ReferenceData!$BF$141),"")</f>
        <v>2.702649627</v>
      </c>
      <c r="BG141">
        <f ca="1">IFERROR(IF(0=LEN(ReferenceData!$BG$141),"",ReferenceData!$BG$141),"")</f>
        <v>2.580689553</v>
      </c>
      <c r="BH141">
        <f ca="1">IFERROR(IF(0=LEN(ReferenceData!$BH$141),"",ReferenceData!$BH$141),"")</f>
        <v>2.1499623030000001</v>
      </c>
      <c r="BI141">
        <f ca="1">IFERROR(IF(0=LEN(ReferenceData!$BI$141),"",ReferenceData!$BI$141),"")</f>
        <v>1.9274558909999999</v>
      </c>
      <c r="BJ141">
        <f ca="1">IFERROR(IF(0=LEN(ReferenceData!$BJ$141),"",ReferenceData!$BJ$141),"")</f>
        <v>2.0053482740000002</v>
      </c>
      <c r="BK141">
        <f ca="1">IFERROR(IF(0=LEN(ReferenceData!$BK$141),"",ReferenceData!$BK$141),"")</f>
        <v>1.965113718</v>
      </c>
      <c r="BL141">
        <f ca="1">IFERROR(IF(0=LEN(ReferenceData!$BL$141),"",ReferenceData!$BL$141),"")</f>
        <v>2.2711366700000002</v>
      </c>
      <c r="BM141">
        <f ca="1">IFERROR(IF(0=LEN(ReferenceData!$BM$141),"",ReferenceData!$BM$141),"")</f>
        <v>2.1308552939999998</v>
      </c>
    </row>
    <row r="142" spans="1:65" x14ac:dyDescent="0.25">
      <c r="A142" t="str">
        <f>IFERROR(IF(0=LEN(ReferenceData!$A$142),"",ReferenceData!$A$142),"")</f>
        <v xml:space="preserve">    GAZ PJSC</v>
      </c>
      <c r="B142" t="str">
        <f>IFERROR(IF(0=LEN(ReferenceData!$B$142),"",ReferenceData!$B$142),"")</f>
        <v>GAZA RM Equity</v>
      </c>
      <c r="C142" t="str">
        <f>IFERROR(IF(0=LEN(ReferenceData!$C$142),"",ReferenceData!$C$142),"")</f>
        <v>RR903</v>
      </c>
      <c r="D142" t="str">
        <f>IFERROR(IF(0=LEN(ReferenceData!$D$142),"",ReferenceData!$D$142),"")</f>
        <v>PX_TO_BOOK_RATIO</v>
      </c>
      <c r="E142" t="str">
        <f>IFERROR(IF(0=LEN(ReferenceData!$E$142),"",ReferenceData!$E$142),"")</f>
        <v>Dynamic</v>
      </c>
      <c r="F142" t="str">
        <f ca="1">IFERROR(IF(0=LEN(ReferenceData!$F$142),"",ReferenceData!$F$142),"")</f>
        <v/>
      </c>
      <c r="G142" t="str">
        <f ca="1">IFERROR(IF(0=LEN(ReferenceData!$G$142),"",ReferenceData!$G$142),"")</f>
        <v/>
      </c>
      <c r="H142" t="str">
        <f ca="1">IFERROR(IF(0=LEN(ReferenceData!$H$142),"",ReferenceData!$H$142),"")</f>
        <v/>
      </c>
      <c r="I142" t="str">
        <f ca="1">IFERROR(IF(0=LEN(ReferenceData!$I$142),"",ReferenceData!$I$142),"")</f>
        <v/>
      </c>
      <c r="J142" t="str">
        <f ca="1">IFERROR(IF(0=LEN(ReferenceData!$J$142),"",ReferenceData!$J$142),"")</f>
        <v/>
      </c>
      <c r="K142" t="str">
        <f ca="1">IFERROR(IF(0=LEN(ReferenceData!$K$142),"",ReferenceData!$K$142),"")</f>
        <v/>
      </c>
      <c r="L142" t="str">
        <f ca="1">IFERROR(IF(0=LEN(ReferenceData!$L$142),"",ReferenceData!$L$142),"")</f>
        <v/>
      </c>
      <c r="M142" t="str">
        <f ca="1">IFERROR(IF(0=LEN(ReferenceData!$M$142),"",ReferenceData!$M$142),"")</f>
        <v/>
      </c>
      <c r="N142" t="str">
        <f ca="1">IFERROR(IF(0=LEN(ReferenceData!$N$142),"",ReferenceData!$N$142),"")</f>
        <v/>
      </c>
      <c r="O142" t="str">
        <f ca="1">IFERROR(IF(0=LEN(ReferenceData!$O$142),"",ReferenceData!$O$142),"")</f>
        <v/>
      </c>
      <c r="P142" t="str">
        <f ca="1">IFERROR(IF(0=LEN(ReferenceData!$P$142),"",ReferenceData!$P$142),"")</f>
        <v/>
      </c>
      <c r="Q142" t="str">
        <f ca="1">IFERROR(IF(0=LEN(ReferenceData!$Q$142),"",ReferenceData!$Q$142),"")</f>
        <v/>
      </c>
      <c r="R142" t="str">
        <f ca="1">IFERROR(IF(0=LEN(ReferenceData!$R$142),"",ReferenceData!$R$142),"")</f>
        <v/>
      </c>
      <c r="S142" t="str">
        <f ca="1">IFERROR(IF(0=LEN(ReferenceData!$S$142),"",ReferenceData!$S$142),"")</f>
        <v/>
      </c>
      <c r="T142" t="str">
        <f ca="1">IFERROR(IF(0=LEN(ReferenceData!$T$142),"",ReferenceData!$T$142),"")</f>
        <v/>
      </c>
      <c r="U142" t="str">
        <f ca="1">IFERROR(IF(0=LEN(ReferenceData!$U$142),"",ReferenceData!$U$142),"")</f>
        <v/>
      </c>
      <c r="V142" t="str">
        <f ca="1">IFERROR(IF(0=LEN(ReferenceData!$V$142),"",ReferenceData!$V$142),"")</f>
        <v/>
      </c>
      <c r="W142" t="str">
        <f ca="1">IFERROR(IF(0=LEN(ReferenceData!$W$142),"",ReferenceData!$W$142),"")</f>
        <v/>
      </c>
      <c r="X142" t="str">
        <f ca="1">IFERROR(IF(0=LEN(ReferenceData!$X$142),"",ReferenceData!$X$142),"")</f>
        <v/>
      </c>
      <c r="Y142" t="str">
        <f ca="1">IFERROR(IF(0=LEN(ReferenceData!$Y$142),"",ReferenceData!$Y$142),"")</f>
        <v/>
      </c>
      <c r="Z142" t="str">
        <f ca="1">IFERROR(IF(0=LEN(ReferenceData!$Z$142),"",ReferenceData!$Z$142),"")</f>
        <v/>
      </c>
      <c r="AA142" t="str">
        <f ca="1">IFERROR(IF(0=LEN(ReferenceData!$AA$142),"",ReferenceData!$AA$142),"")</f>
        <v/>
      </c>
      <c r="AB142" t="str">
        <f ca="1">IFERROR(IF(0=LEN(ReferenceData!$AB$142),"",ReferenceData!$AB$142),"")</f>
        <v/>
      </c>
      <c r="AC142" t="str">
        <f ca="1">IFERROR(IF(0=LEN(ReferenceData!$AC$142),"",ReferenceData!$AC$142),"")</f>
        <v/>
      </c>
      <c r="AD142" t="str">
        <f ca="1">IFERROR(IF(0=LEN(ReferenceData!$AD$142),"",ReferenceData!$AD$142),"")</f>
        <v/>
      </c>
      <c r="AE142" t="str">
        <f ca="1">IFERROR(IF(0=LEN(ReferenceData!$AE$142),"",ReferenceData!$AE$142),"")</f>
        <v/>
      </c>
      <c r="AF142" t="str">
        <f ca="1">IFERROR(IF(0=LEN(ReferenceData!$AF$142),"",ReferenceData!$AF$142),"")</f>
        <v/>
      </c>
      <c r="AG142" t="str">
        <f ca="1">IFERROR(IF(0=LEN(ReferenceData!$AG$142),"",ReferenceData!$AG$142),"")</f>
        <v/>
      </c>
      <c r="AH142" t="str">
        <f ca="1">IFERROR(IF(0=LEN(ReferenceData!$AH$142),"",ReferenceData!$AH$142),"")</f>
        <v/>
      </c>
      <c r="AI142" t="str">
        <f ca="1">IFERROR(IF(0=LEN(ReferenceData!$AI$142),"",ReferenceData!$AI$142),"")</f>
        <v/>
      </c>
      <c r="AJ142" t="str">
        <f ca="1">IFERROR(IF(0=LEN(ReferenceData!$AJ$142),"",ReferenceData!$AJ$142),"")</f>
        <v/>
      </c>
      <c r="AK142" t="str">
        <f ca="1">IFERROR(IF(0=LEN(ReferenceData!$AK$142),"",ReferenceData!$AK$142),"")</f>
        <v/>
      </c>
      <c r="AL142" t="str">
        <f ca="1">IFERROR(IF(0=LEN(ReferenceData!$AL$142),"",ReferenceData!$AL$142),"")</f>
        <v/>
      </c>
      <c r="AM142" t="str">
        <f ca="1">IFERROR(IF(0=LEN(ReferenceData!$AM$142),"",ReferenceData!$AM$142),"")</f>
        <v/>
      </c>
      <c r="AN142" t="str">
        <f ca="1">IFERROR(IF(0=LEN(ReferenceData!$AN$142),"",ReferenceData!$AN$142),"")</f>
        <v/>
      </c>
      <c r="AO142" t="str">
        <f ca="1">IFERROR(IF(0=LEN(ReferenceData!$AO$142),"",ReferenceData!$AO$142),"")</f>
        <v/>
      </c>
      <c r="AP142" t="str">
        <f ca="1">IFERROR(IF(0=LEN(ReferenceData!$AP$142),"",ReferenceData!$AP$142),"")</f>
        <v/>
      </c>
      <c r="AQ142" t="str">
        <f ca="1">IFERROR(IF(0=LEN(ReferenceData!$AQ$142),"",ReferenceData!$AQ$142),"")</f>
        <v/>
      </c>
      <c r="AR142" t="str">
        <f ca="1">IFERROR(IF(0=LEN(ReferenceData!$AR$142),"",ReferenceData!$AR$142),"")</f>
        <v/>
      </c>
      <c r="AS142" t="str">
        <f ca="1">IFERROR(IF(0=LEN(ReferenceData!$AS$142),"",ReferenceData!$AS$142),"")</f>
        <v/>
      </c>
      <c r="AT142" t="str">
        <f ca="1">IFERROR(IF(0=LEN(ReferenceData!$AT$142),"",ReferenceData!$AT$142),"")</f>
        <v/>
      </c>
      <c r="AU142" t="str">
        <f ca="1">IFERROR(IF(0=LEN(ReferenceData!$AU$142),"",ReferenceData!$AU$142),"")</f>
        <v/>
      </c>
      <c r="AV142" t="str">
        <f ca="1">IFERROR(IF(0=LEN(ReferenceData!$AV$142),"",ReferenceData!$AV$142),"")</f>
        <v/>
      </c>
      <c r="AW142" t="str">
        <f ca="1">IFERROR(IF(0=LEN(ReferenceData!$AW$142),"",ReferenceData!$AW$142),"")</f>
        <v/>
      </c>
      <c r="AX142" t="str">
        <f ca="1">IFERROR(IF(0=LEN(ReferenceData!$AX$142),"",ReferenceData!$AX$142),"")</f>
        <v/>
      </c>
      <c r="AY142" t="str">
        <f ca="1">IFERROR(IF(0=LEN(ReferenceData!$AY$142),"",ReferenceData!$AY$142),"")</f>
        <v/>
      </c>
      <c r="AZ142" t="str">
        <f ca="1">IFERROR(IF(0=LEN(ReferenceData!$AZ$142),"",ReferenceData!$AZ$142),"")</f>
        <v/>
      </c>
      <c r="BA142" t="str">
        <f ca="1">IFERROR(IF(0=LEN(ReferenceData!$BA$142),"",ReferenceData!$BA$142),"")</f>
        <v/>
      </c>
      <c r="BB142" t="str">
        <f ca="1">IFERROR(IF(0=LEN(ReferenceData!$BB$142),"",ReferenceData!$BB$142),"")</f>
        <v/>
      </c>
      <c r="BC142" t="str">
        <f ca="1">IFERROR(IF(0=LEN(ReferenceData!$BC$142),"",ReferenceData!$BC$142),"")</f>
        <v/>
      </c>
      <c r="BD142" t="str">
        <f ca="1">IFERROR(IF(0=LEN(ReferenceData!$BD$142),"",ReferenceData!$BD$142),"")</f>
        <v/>
      </c>
      <c r="BE142" t="str">
        <f ca="1">IFERROR(IF(0=LEN(ReferenceData!$BE$142),"",ReferenceData!$BE$142),"")</f>
        <v/>
      </c>
      <c r="BF142" t="str">
        <f ca="1">IFERROR(IF(0=LEN(ReferenceData!$BF$142),"",ReferenceData!$BF$142),"")</f>
        <v/>
      </c>
      <c r="BG142" t="str">
        <f ca="1">IFERROR(IF(0=LEN(ReferenceData!$BG$142),"",ReferenceData!$BG$142),"")</f>
        <v/>
      </c>
      <c r="BH142" t="str">
        <f ca="1">IFERROR(IF(0=LEN(ReferenceData!$BH$142),"",ReferenceData!$BH$142),"")</f>
        <v/>
      </c>
      <c r="BI142" t="str">
        <f ca="1">IFERROR(IF(0=LEN(ReferenceData!$BI$142),"",ReferenceData!$BI$142),"")</f>
        <v/>
      </c>
      <c r="BJ142" t="str">
        <f ca="1">IFERROR(IF(0=LEN(ReferenceData!$BJ$142),"",ReferenceData!$BJ$142),"")</f>
        <v/>
      </c>
      <c r="BK142" t="str">
        <f ca="1">IFERROR(IF(0=LEN(ReferenceData!$BK$142),"",ReferenceData!$BK$142),"")</f>
        <v/>
      </c>
      <c r="BL142" t="str">
        <f ca="1">IFERROR(IF(0=LEN(ReferenceData!$BL$142),"",ReferenceData!$BL$142),"")</f>
        <v/>
      </c>
      <c r="BM142" t="str">
        <f ca="1">IFERROR(IF(0=LEN(ReferenceData!$BM$142),"",ReferenceData!$BM$142),"")</f>
        <v/>
      </c>
    </row>
    <row r="143" spans="1:65" x14ac:dyDescent="0.25">
      <c r="A143" t="str">
        <f>IFERROR(IF(0=LEN(ReferenceData!$A$143),"",ReferenceData!$A$143),"")</f>
        <v xml:space="preserve">    Geely Automobile Holdings Ltd</v>
      </c>
      <c r="B143" t="str">
        <f>IFERROR(IF(0=LEN(ReferenceData!$B$143),"",ReferenceData!$B$143),"")</f>
        <v>175 HK Equity</v>
      </c>
      <c r="C143" t="str">
        <f>IFERROR(IF(0=LEN(ReferenceData!$C$143),"",ReferenceData!$C$143),"")</f>
        <v>RR903</v>
      </c>
      <c r="D143" t="str">
        <f>IFERROR(IF(0=LEN(ReferenceData!$D$143),"",ReferenceData!$D$143),"")</f>
        <v>PX_TO_BOOK_RATIO</v>
      </c>
      <c r="E143" t="str">
        <f>IFERROR(IF(0=LEN(ReferenceData!$E$143),"",ReferenceData!$E$143),"")</f>
        <v>Dynamic</v>
      </c>
      <c r="F143" t="str">
        <f ca="1">IFERROR(IF(0=LEN(ReferenceData!$F$143),"",ReferenceData!$F$143),"")</f>
        <v/>
      </c>
      <c r="G143" t="str">
        <f ca="1">IFERROR(IF(0=LEN(ReferenceData!$G$143),"",ReferenceData!$G$143),"")</f>
        <v/>
      </c>
      <c r="H143" t="str">
        <f ca="1">IFERROR(IF(0=LEN(ReferenceData!$H$143),"",ReferenceData!$H$143),"")</f>
        <v/>
      </c>
      <c r="I143" t="str">
        <f ca="1">IFERROR(IF(0=LEN(ReferenceData!$I$143),"",ReferenceData!$I$143),"")</f>
        <v/>
      </c>
      <c r="J143" t="str">
        <f ca="1">IFERROR(IF(0=LEN(ReferenceData!$J$143),"",ReferenceData!$J$143),"")</f>
        <v/>
      </c>
      <c r="K143" t="str">
        <f ca="1">IFERROR(IF(0=LEN(ReferenceData!$K$143),"",ReferenceData!$K$143),"")</f>
        <v/>
      </c>
      <c r="L143" t="str">
        <f ca="1">IFERROR(IF(0=LEN(ReferenceData!$L$143),"",ReferenceData!$L$143),"")</f>
        <v/>
      </c>
      <c r="M143" t="str">
        <f ca="1">IFERROR(IF(0=LEN(ReferenceData!$M$143),"",ReferenceData!$M$143),"")</f>
        <v/>
      </c>
      <c r="N143" t="str">
        <f ca="1">IFERROR(IF(0=LEN(ReferenceData!$N$143),"",ReferenceData!$N$143),"")</f>
        <v/>
      </c>
      <c r="O143" t="str">
        <f ca="1">IFERROR(IF(0=LEN(ReferenceData!$O$143),"",ReferenceData!$O$143),"")</f>
        <v/>
      </c>
      <c r="P143" t="str">
        <f ca="1">IFERROR(IF(0=LEN(ReferenceData!$P$143),"",ReferenceData!$P$143),"")</f>
        <v/>
      </c>
      <c r="Q143" t="str">
        <f ca="1">IFERROR(IF(0=LEN(ReferenceData!$Q$143),"",ReferenceData!$Q$143),"")</f>
        <v/>
      </c>
      <c r="R143" t="str">
        <f ca="1">IFERROR(IF(0=LEN(ReferenceData!$R$143),"",ReferenceData!$R$143),"")</f>
        <v/>
      </c>
      <c r="S143" t="str">
        <f ca="1">IFERROR(IF(0=LEN(ReferenceData!$S$143),"",ReferenceData!$S$143),"")</f>
        <v/>
      </c>
      <c r="T143" t="str">
        <f ca="1">IFERROR(IF(0=LEN(ReferenceData!$T$143),"",ReferenceData!$T$143),"")</f>
        <v/>
      </c>
      <c r="U143" t="str">
        <f ca="1">IFERROR(IF(0=LEN(ReferenceData!$U$143),"",ReferenceData!$U$143),"")</f>
        <v/>
      </c>
      <c r="V143" t="str">
        <f ca="1">IFERROR(IF(0=LEN(ReferenceData!$V$143),"",ReferenceData!$V$143),"")</f>
        <v/>
      </c>
      <c r="W143" t="str">
        <f ca="1">IFERROR(IF(0=LEN(ReferenceData!$W$143),"",ReferenceData!$W$143),"")</f>
        <v/>
      </c>
      <c r="X143" t="str">
        <f ca="1">IFERROR(IF(0=LEN(ReferenceData!$X$143),"",ReferenceData!$X$143),"")</f>
        <v/>
      </c>
      <c r="Y143" t="str">
        <f ca="1">IFERROR(IF(0=LEN(ReferenceData!$Y$143),"",ReferenceData!$Y$143),"")</f>
        <v/>
      </c>
      <c r="Z143" t="str">
        <f ca="1">IFERROR(IF(0=LEN(ReferenceData!$Z$143),"",ReferenceData!$Z$143),"")</f>
        <v/>
      </c>
      <c r="AA143" t="str">
        <f ca="1">IFERROR(IF(0=LEN(ReferenceData!$AA$143),"",ReferenceData!$AA$143),"")</f>
        <v/>
      </c>
      <c r="AB143" t="str">
        <f ca="1">IFERROR(IF(0=LEN(ReferenceData!$AB$143),"",ReferenceData!$AB$143),"")</f>
        <v/>
      </c>
      <c r="AC143" t="str">
        <f ca="1">IFERROR(IF(0=LEN(ReferenceData!$AC$143),"",ReferenceData!$AC$143),"")</f>
        <v/>
      </c>
      <c r="AD143" t="str">
        <f ca="1">IFERROR(IF(0=LEN(ReferenceData!$AD$143),"",ReferenceData!$AD$143),"")</f>
        <v/>
      </c>
      <c r="AE143" t="str">
        <f ca="1">IFERROR(IF(0=LEN(ReferenceData!$AE$143),"",ReferenceData!$AE$143),"")</f>
        <v/>
      </c>
      <c r="AF143" t="str">
        <f ca="1">IFERROR(IF(0=LEN(ReferenceData!$AF$143),"",ReferenceData!$AF$143),"")</f>
        <v/>
      </c>
      <c r="AG143" t="str">
        <f ca="1">IFERROR(IF(0=LEN(ReferenceData!$AG$143),"",ReferenceData!$AG$143),"")</f>
        <v/>
      </c>
      <c r="AH143" t="str">
        <f ca="1">IFERROR(IF(0=LEN(ReferenceData!$AH$143),"",ReferenceData!$AH$143),"")</f>
        <v/>
      </c>
      <c r="AI143" t="str">
        <f ca="1">IFERROR(IF(0=LEN(ReferenceData!$AI$143),"",ReferenceData!$AI$143),"")</f>
        <v/>
      </c>
      <c r="AJ143" t="str">
        <f ca="1">IFERROR(IF(0=LEN(ReferenceData!$AJ$143),"",ReferenceData!$AJ$143),"")</f>
        <v/>
      </c>
      <c r="AK143" t="str">
        <f ca="1">IFERROR(IF(0=LEN(ReferenceData!$AK$143),"",ReferenceData!$AK$143),"")</f>
        <v/>
      </c>
      <c r="AL143" t="str">
        <f ca="1">IFERROR(IF(0=LEN(ReferenceData!$AL$143),"",ReferenceData!$AL$143),"")</f>
        <v/>
      </c>
      <c r="AM143" t="str">
        <f ca="1">IFERROR(IF(0=LEN(ReferenceData!$AM$143),"",ReferenceData!$AM$143),"")</f>
        <v/>
      </c>
      <c r="AN143" t="str">
        <f ca="1">IFERROR(IF(0=LEN(ReferenceData!$AN$143),"",ReferenceData!$AN$143),"")</f>
        <v/>
      </c>
      <c r="AO143" t="str">
        <f ca="1">IFERROR(IF(0=LEN(ReferenceData!$AO$143),"",ReferenceData!$AO$143),"")</f>
        <v/>
      </c>
      <c r="AP143" t="str">
        <f ca="1">IFERROR(IF(0=LEN(ReferenceData!$AP$143),"",ReferenceData!$AP$143),"")</f>
        <v/>
      </c>
      <c r="AQ143" t="str">
        <f ca="1">IFERROR(IF(0=LEN(ReferenceData!$AQ$143),"",ReferenceData!$AQ$143),"")</f>
        <v/>
      </c>
      <c r="AR143" t="str">
        <f ca="1">IFERROR(IF(0=LEN(ReferenceData!$AR$143),"",ReferenceData!$AR$143),"")</f>
        <v/>
      </c>
      <c r="AS143" t="str">
        <f ca="1">IFERROR(IF(0=LEN(ReferenceData!$AS$143),"",ReferenceData!$AS$143),"")</f>
        <v/>
      </c>
      <c r="AT143" t="str">
        <f ca="1">IFERROR(IF(0=LEN(ReferenceData!$AT$143),"",ReferenceData!$AT$143),"")</f>
        <v/>
      </c>
      <c r="AU143" t="str">
        <f ca="1">IFERROR(IF(0=LEN(ReferenceData!$AU$143),"",ReferenceData!$AU$143),"")</f>
        <v/>
      </c>
      <c r="AV143" t="str">
        <f ca="1">IFERROR(IF(0=LEN(ReferenceData!$AV$143),"",ReferenceData!$AV$143),"")</f>
        <v/>
      </c>
      <c r="AW143" t="str">
        <f ca="1">IFERROR(IF(0=LEN(ReferenceData!$AW$143),"",ReferenceData!$AW$143),"")</f>
        <v/>
      </c>
      <c r="AX143" t="str">
        <f ca="1">IFERROR(IF(0=LEN(ReferenceData!$AX$143),"",ReferenceData!$AX$143),"")</f>
        <v/>
      </c>
      <c r="AY143" t="str">
        <f ca="1">IFERROR(IF(0=LEN(ReferenceData!$AY$143),"",ReferenceData!$AY$143),"")</f>
        <v/>
      </c>
      <c r="AZ143" t="str">
        <f ca="1">IFERROR(IF(0=LEN(ReferenceData!$AZ$143),"",ReferenceData!$AZ$143),"")</f>
        <v/>
      </c>
      <c r="BA143" t="str">
        <f ca="1">IFERROR(IF(0=LEN(ReferenceData!$BA$143),"",ReferenceData!$BA$143),"")</f>
        <v/>
      </c>
      <c r="BB143" t="str">
        <f ca="1">IFERROR(IF(0=LEN(ReferenceData!$BB$143),"",ReferenceData!$BB$143),"")</f>
        <v/>
      </c>
      <c r="BC143" t="str">
        <f ca="1">IFERROR(IF(0=LEN(ReferenceData!$BC$143),"",ReferenceData!$BC$143),"")</f>
        <v/>
      </c>
      <c r="BD143" t="str">
        <f ca="1">IFERROR(IF(0=LEN(ReferenceData!$BD$143),"",ReferenceData!$BD$143),"")</f>
        <v/>
      </c>
      <c r="BE143" t="str">
        <f ca="1">IFERROR(IF(0=LEN(ReferenceData!$BE$143),"",ReferenceData!$BE$143),"")</f>
        <v/>
      </c>
      <c r="BF143" t="str">
        <f ca="1">IFERROR(IF(0=LEN(ReferenceData!$BF$143),"",ReferenceData!$BF$143),"")</f>
        <v/>
      </c>
      <c r="BG143" t="str">
        <f ca="1">IFERROR(IF(0=LEN(ReferenceData!$BG$143),"",ReferenceData!$BG$143),"")</f>
        <v/>
      </c>
      <c r="BH143" t="str">
        <f ca="1">IFERROR(IF(0=LEN(ReferenceData!$BH$143),"",ReferenceData!$BH$143),"")</f>
        <v/>
      </c>
      <c r="BI143" t="str">
        <f ca="1">IFERROR(IF(0=LEN(ReferenceData!$BI$143),"",ReferenceData!$BI$143),"")</f>
        <v/>
      </c>
      <c r="BJ143" t="str">
        <f ca="1">IFERROR(IF(0=LEN(ReferenceData!$BJ$143),"",ReferenceData!$BJ$143),"")</f>
        <v/>
      </c>
      <c r="BK143" t="str">
        <f ca="1">IFERROR(IF(0=LEN(ReferenceData!$BK$143),"",ReferenceData!$BK$143),"")</f>
        <v/>
      </c>
      <c r="BL143" t="str">
        <f ca="1">IFERROR(IF(0=LEN(ReferenceData!$BL$143),"",ReferenceData!$BL$143),"")</f>
        <v/>
      </c>
      <c r="BM143" t="str">
        <f ca="1">IFERROR(IF(0=LEN(ReferenceData!$BM$143),"",ReferenceData!$BM$143),"")</f>
        <v/>
      </c>
    </row>
    <row r="144" spans="1:65" x14ac:dyDescent="0.25">
      <c r="A144" t="str">
        <f>IFERROR(IF(0=LEN(ReferenceData!$A$144),"",ReferenceData!$A$144),"")</f>
        <v xml:space="preserve">    General Motors Co</v>
      </c>
      <c r="B144" t="str">
        <f>IFERROR(IF(0=LEN(ReferenceData!$B$144),"",ReferenceData!$B$144),"")</f>
        <v>GM US Equity</v>
      </c>
      <c r="C144" t="str">
        <f>IFERROR(IF(0=LEN(ReferenceData!$C$144),"",ReferenceData!$C$144),"")</f>
        <v>RR903</v>
      </c>
      <c r="D144" t="str">
        <f>IFERROR(IF(0=LEN(ReferenceData!$D$144),"",ReferenceData!$D$144),"")</f>
        <v>PX_TO_BOOK_RATIO</v>
      </c>
      <c r="E144" t="str">
        <f>IFERROR(IF(0=LEN(ReferenceData!$E$144),"",ReferenceData!$E$144),"")</f>
        <v>Dynamic</v>
      </c>
      <c r="F144">
        <f ca="1">IFERROR(IF(0=LEN(ReferenceData!$F$144),"",ReferenceData!$F$144),"")</f>
        <v>1.4149511619999999</v>
      </c>
      <c r="G144">
        <f ca="1">IFERROR(IF(0=LEN(ReferenceData!$G$144),"",ReferenceData!$G$144),"")</f>
        <v>1.205095214</v>
      </c>
      <c r="H144">
        <f ca="1">IFERROR(IF(0=LEN(ReferenceData!$H$144),"",ReferenceData!$H$144),"")</f>
        <v>1.2384855889999999</v>
      </c>
      <c r="I144">
        <f ca="1">IFERROR(IF(0=LEN(ReferenceData!$I$144),"",ReferenceData!$I$144),"")</f>
        <v>1.5245570879999999</v>
      </c>
      <c r="J144">
        <f ca="1">IFERROR(IF(0=LEN(ReferenceData!$J$144),"",ReferenceData!$J$144),"")</f>
        <v>1.483351799</v>
      </c>
      <c r="K144">
        <f ca="1">IFERROR(IF(0=LEN(ReferenceData!$K$144),"",ReferenceData!$K$144),"")</f>
        <v>1.6395531560000001</v>
      </c>
      <c r="L144">
        <f ca="1">IFERROR(IF(0=LEN(ReferenceData!$L$144),"",ReferenceData!$L$144),"")</f>
        <v>1.3382572260000001</v>
      </c>
      <c r="M144">
        <f ca="1">IFERROR(IF(0=LEN(ReferenceData!$M$144),"",ReferenceData!$M$144),"")</f>
        <v>1.151007227</v>
      </c>
      <c r="N144">
        <f ca="1">IFERROR(IF(0=LEN(ReferenceData!$N$144),"",ReferenceData!$N$144),"")</f>
        <v>1.1537457579999999</v>
      </c>
      <c r="O144">
        <f ca="1">IFERROR(IF(0=LEN(ReferenceData!$O$144),"",ReferenceData!$O$144),"")</f>
        <v>1.192170819</v>
      </c>
      <c r="P144">
        <f ca="1">IFERROR(IF(0=LEN(ReferenceData!$P$144),"",ReferenceData!$P$144),"")</f>
        <v>1.06563059</v>
      </c>
      <c r="Q144">
        <f ca="1">IFERROR(IF(0=LEN(ReferenceData!$Q$144),"",ReferenceData!$Q$144),"")</f>
        <v>1.037818015</v>
      </c>
      <c r="R144">
        <f ca="1">IFERROR(IF(0=LEN(ReferenceData!$R$144),"",ReferenceData!$R$144),"")</f>
        <v>1.151788332</v>
      </c>
      <c r="S144">
        <f ca="1">IFERROR(IF(0=LEN(ReferenceData!$S$144),"",ReferenceData!$S$144),"")</f>
        <v>1.279501392</v>
      </c>
      <c r="T144">
        <f ca="1">IFERROR(IF(0=LEN(ReferenceData!$T$144),"",ReferenceData!$T$144),"")</f>
        <v>1.386685143</v>
      </c>
      <c r="U144">
        <f ca="1">IFERROR(IF(0=LEN(ReferenceData!$U$144),"",ReferenceData!$U$144),"")</f>
        <v>1.5173277190000001</v>
      </c>
      <c r="V144">
        <f ca="1">IFERROR(IF(0=LEN(ReferenceData!$V$144),"",ReferenceData!$V$144),"")</f>
        <v>1.6515731229999999</v>
      </c>
      <c r="W144">
        <f ca="1">IFERROR(IF(0=LEN(ReferenceData!$W$144),"",ReferenceData!$W$144),"")</f>
        <v>1.575316581</v>
      </c>
      <c r="X144">
        <f ca="1">IFERROR(IF(0=LEN(ReferenceData!$X$144),"",ReferenceData!$X$144),"")</f>
        <v>1.2810267470000001</v>
      </c>
      <c r="Y144">
        <f ca="1">IFERROR(IF(0=LEN(ReferenceData!$Y$144),"",ReferenceData!$Y$144),"")</f>
        <v>1.4936350780000001</v>
      </c>
      <c r="Z144">
        <f ca="1">IFERROR(IF(0=LEN(ReferenceData!$Z$144),"",ReferenceData!$Z$144),"")</f>
        <v>1.408022908</v>
      </c>
      <c r="AA144">
        <f ca="1">IFERROR(IF(0=LEN(ReferenceData!$AA$144),"",ReferenceData!$AA$144),"")</f>
        <v>1.44863031</v>
      </c>
      <c r="AB144">
        <f ca="1">IFERROR(IF(0=LEN(ReferenceData!$AB$144),"",ReferenceData!$AB$144),"")</f>
        <v>1.747692094</v>
      </c>
      <c r="AC144">
        <f ca="1">IFERROR(IF(0=LEN(ReferenceData!$AC$144),"",ReferenceData!$AC$144),"")</f>
        <v>1.6665118109999999</v>
      </c>
      <c r="AD144">
        <f ca="1">IFERROR(IF(0=LEN(ReferenceData!$AD$144),"",ReferenceData!$AD$144),"")</f>
        <v>1.4321223709999999</v>
      </c>
      <c r="AE144">
        <f ca="1">IFERROR(IF(0=LEN(ReferenceData!$AE$144),"",ReferenceData!$AE$144),"")</f>
        <v>1.523712867</v>
      </c>
      <c r="AF144">
        <f ca="1">IFERROR(IF(0=LEN(ReferenceData!$AF$144),"",ReferenceData!$AF$144),"")</f>
        <v>1.139377082</v>
      </c>
      <c r="AG144">
        <f ca="1">IFERROR(IF(0=LEN(ReferenceData!$AG$144),"",ReferenceData!$AG$144),"")</f>
        <v>1.0188510829999999</v>
      </c>
      <c r="AH144">
        <f ca="1">IFERROR(IF(0=LEN(ReferenceData!$AH$144),"",ReferenceData!$AH$144),"")</f>
        <v>1.391438307</v>
      </c>
      <c r="AI144">
        <f ca="1">IFERROR(IF(0=LEN(ReferenceData!$AI$144),"",ReferenceData!$AI$144),"")</f>
        <v>1.1438213479999999</v>
      </c>
      <c r="AJ144">
        <f ca="1">IFERROR(IF(0=LEN(ReferenceData!$AJ$144),"",ReferenceData!$AJ$144),"")</f>
        <v>0.91895669800000002</v>
      </c>
      <c r="AK144">
        <f ca="1">IFERROR(IF(0=LEN(ReferenceData!$AK$144),"",ReferenceData!$AK$144),"")</f>
        <v>1.4829184689999999</v>
      </c>
      <c r="AL144">
        <f ca="1">IFERROR(IF(0=LEN(ReferenceData!$AL$144),"",ReferenceData!$AL$144),"")</f>
        <v>1.7416570769999999</v>
      </c>
      <c r="AM144">
        <f ca="1">IFERROR(IF(0=LEN(ReferenceData!$AM$144),"",ReferenceData!$AM$144),"")</f>
        <v>2.1441331479999999</v>
      </c>
      <c r="AN144" t="str">
        <f ca="1">IFERROR(IF(0=LEN(ReferenceData!$AN$144),"",ReferenceData!$AN$144),"")</f>
        <v/>
      </c>
      <c r="AO144" t="str">
        <f ca="1">IFERROR(IF(0=LEN(ReferenceData!$AO$144),"",ReferenceData!$AO$144),"")</f>
        <v/>
      </c>
      <c r="AP144" t="str">
        <f ca="1">IFERROR(IF(0=LEN(ReferenceData!$AP$144),"",ReferenceData!$AP$144),"")</f>
        <v/>
      </c>
      <c r="AQ144" t="str">
        <f ca="1">IFERROR(IF(0=LEN(ReferenceData!$AQ$144),"",ReferenceData!$AQ$144),"")</f>
        <v/>
      </c>
      <c r="AR144" t="str">
        <f ca="1">IFERROR(IF(0=LEN(ReferenceData!$AR$144),"",ReferenceData!$AR$144),"")</f>
        <v/>
      </c>
      <c r="AS144" t="str">
        <f ca="1">IFERROR(IF(0=LEN(ReferenceData!$AS$144),"",ReferenceData!$AS$144),"")</f>
        <v/>
      </c>
      <c r="AT144" t="str">
        <f ca="1">IFERROR(IF(0=LEN(ReferenceData!$AT$144),"",ReferenceData!$AT$144),"")</f>
        <v/>
      </c>
      <c r="AU144" t="str">
        <f ca="1">IFERROR(IF(0=LEN(ReferenceData!$AU$144),"",ReferenceData!$AU$144),"")</f>
        <v/>
      </c>
      <c r="AV144" t="str">
        <f ca="1">IFERROR(IF(0=LEN(ReferenceData!$AV$144),"",ReferenceData!$AV$144),"")</f>
        <v/>
      </c>
      <c r="AW144" t="str">
        <f ca="1">IFERROR(IF(0=LEN(ReferenceData!$AW$144),"",ReferenceData!$AW$144),"")</f>
        <v/>
      </c>
      <c r="AX144" t="str">
        <f ca="1">IFERROR(IF(0=LEN(ReferenceData!$AX$144),"",ReferenceData!$AX$144),"")</f>
        <v/>
      </c>
      <c r="AY144" t="str">
        <f ca="1">IFERROR(IF(0=LEN(ReferenceData!$AY$144),"",ReferenceData!$AY$144),"")</f>
        <v/>
      </c>
      <c r="AZ144" t="str">
        <f ca="1">IFERROR(IF(0=LEN(ReferenceData!$AZ$144),"",ReferenceData!$AZ$144),"")</f>
        <v/>
      </c>
      <c r="BA144" t="str">
        <f ca="1">IFERROR(IF(0=LEN(ReferenceData!$BA$144),"",ReferenceData!$BA$144),"")</f>
        <v/>
      </c>
      <c r="BB144" t="str">
        <f ca="1">IFERROR(IF(0=LEN(ReferenceData!$BB$144),"",ReferenceData!$BB$144),"")</f>
        <v/>
      </c>
      <c r="BC144" t="str">
        <f ca="1">IFERROR(IF(0=LEN(ReferenceData!$BC$144),"",ReferenceData!$BC$144),"")</f>
        <v/>
      </c>
      <c r="BD144" t="str">
        <f ca="1">IFERROR(IF(0=LEN(ReferenceData!$BD$144),"",ReferenceData!$BD$144),"")</f>
        <v/>
      </c>
      <c r="BE144" t="str">
        <f ca="1">IFERROR(IF(0=LEN(ReferenceData!$BE$144),"",ReferenceData!$BE$144),"")</f>
        <v/>
      </c>
      <c r="BF144" t="str">
        <f ca="1">IFERROR(IF(0=LEN(ReferenceData!$BF$144),"",ReferenceData!$BF$144),"")</f>
        <v/>
      </c>
      <c r="BG144" t="str">
        <f ca="1">IFERROR(IF(0=LEN(ReferenceData!$BG$144),"",ReferenceData!$BG$144),"")</f>
        <v/>
      </c>
      <c r="BH144" t="str">
        <f ca="1">IFERROR(IF(0=LEN(ReferenceData!$BH$144),"",ReferenceData!$BH$144),"")</f>
        <v/>
      </c>
      <c r="BI144" t="str">
        <f ca="1">IFERROR(IF(0=LEN(ReferenceData!$BI$144),"",ReferenceData!$BI$144),"")</f>
        <v/>
      </c>
      <c r="BJ144" t="str">
        <f ca="1">IFERROR(IF(0=LEN(ReferenceData!$BJ$144),"",ReferenceData!$BJ$144),"")</f>
        <v/>
      </c>
      <c r="BK144" t="str">
        <f ca="1">IFERROR(IF(0=LEN(ReferenceData!$BK$144),"",ReferenceData!$BK$144),"")</f>
        <v/>
      </c>
      <c r="BL144" t="str">
        <f ca="1">IFERROR(IF(0=LEN(ReferenceData!$BL$144),"",ReferenceData!$BL$144),"")</f>
        <v/>
      </c>
      <c r="BM144" t="str">
        <f ca="1">IFERROR(IF(0=LEN(ReferenceData!$BM$144),"",ReferenceData!$BM$144),"")</f>
        <v/>
      </c>
    </row>
    <row r="145" spans="1:65" x14ac:dyDescent="0.25">
      <c r="A145" t="str">
        <f>IFERROR(IF(0=LEN(ReferenceData!$A$145),"",ReferenceData!$A$145),"")</f>
        <v xml:space="preserve">    Great Wall Motor Co Ltd</v>
      </c>
      <c r="B145" t="str">
        <f>IFERROR(IF(0=LEN(ReferenceData!$B$145),"",ReferenceData!$B$145),"")</f>
        <v>2333 HK Equity</v>
      </c>
      <c r="C145" t="str">
        <f>IFERROR(IF(0=LEN(ReferenceData!$C$145),"",ReferenceData!$C$145),"")</f>
        <v>RR903</v>
      </c>
      <c r="D145" t="str">
        <f>IFERROR(IF(0=LEN(ReferenceData!$D$145),"",ReferenceData!$D$145),"")</f>
        <v>PX_TO_BOOK_RATIO</v>
      </c>
      <c r="E145" t="str">
        <f>IFERROR(IF(0=LEN(ReferenceData!$E$145),"",ReferenceData!$E$145),"")</f>
        <v>Dynamic</v>
      </c>
      <c r="F145">
        <f ca="1">IFERROR(IF(0=LEN(ReferenceData!$F$145),"",ReferenceData!$F$145),"")</f>
        <v>0.99527859399999996</v>
      </c>
      <c r="G145">
        <f ca="1">IFERROR(IF(0=LEN(ReferenceData!$G$145),"",ReferenceData!$G$145),"")</f>
        <v>0.70148946199999995</v>
      </c>
      <c r="H145">
        <f ca="1">IFERROR(IF(0=LEN(ReferenceData!$H$145),"",ReferenceData!$H$145),"")</f>
        <v>0.77920750400000005</v>
      </c>
      <c r="I145">
        <f ca="1">IFERROR(IF(0=LEN(ReferenceData!$I$145),"",ReferenceData!$I$145),"")</f>
        <v>0.90388116500000004</v>
      </c>
      <c r="J145">
        <f ca="1">IFERROR(IF(0=LEN(ReferenceData!$J$145),"",ReferenceData!$J$145),"")</f>
        <v>1.1270385220000001</v>
      </c>
      <c r="K145">
        <f ca="1">IFERROR(IF(0=LEN(ReferenceData!$K$145),"",ReferenceData!$K$145),"")</f>
        <v>1.3847103780000001</v>
      </c>
      <c r="L145">
        <f ca="1">IFERROR(IF(0=LEN(ReferenceData!$L$145),"",ReferenceData!$L$145),"")</f>
        <v>1.5848513909999999</v>
      </c>
      <c r="M145">
        <f ca="1">IFERROR(IF(0=LEN(ReferenceData!$M$145),"",ReferenceData!$M$145),"")</f>
        <v>1.639215525</v>
      </c>
      <c r="N145">
        <f ca="1">IFERROR(IF(0=LEN(ReferenceData!$N$145),"",ReferenceData!$N$145),"")</f>
        <v>1.449751003</v>
      </c>
      <c r="O145">
        <f ca="1">IFERROR(IF(0=LEN(ReferenceData!$O$145),"",ReferenceData!$O$145),"")</f>
        <v>1.250508097</v>
      </c>
      <c r="P145">
        <f ca="1">IFERROR(IF(0=LEN(ReferenceData!$P$145),"",ReferenceData!$P$145),"")</f>
        <v>1.349303691</v>
      </c>
      <c r="Q145">
        <f ca="1">IFERROR(IF(0=LEN(ReferenceData!$Q$145),"",ReferenceData!$Q$145),"")</f>
        <v>1.208040504</v>
      </c>
      <c r="R145">
        <f ca="1">IFERROR(IF(0=LEN(ReferenceData!$R$145),"",ReferenceData!$R$145),"")</f>
        <v>1.173568274</v>
      </c>
      <c r="S145">
        <f ca="1">IFERROR(IF(0=LEN(ReferenceData!$S$145),"",ReferenceData!$S$145),"")</f>
        <v>1.799906709</v>
      </c>
      <c r="T145">
        <f ca="1">IFERROR(IF(0=LEN(ReferenceData!$T$145),"",ReferenceData!$T$145),"")</f>
        <v>1.915210877</v>
      </c>
      <c r="U145">
        <f ca="1">IFERROR(IF(0=LEN(ReferenceData!$U$145),"",ReferenceData!$U$145),"")</f>
        <v>2.5867562049999999</v>
      </c>
      <c r="V145">
        <f ca="1">IFERROR(IF(0=LEN(ReferenceData!$V$145),"",ReferenceData!$V$145),"")</f>
        <v>3.7060885699999999</v>
      </c>
      <c r="W145">
        <f ca="1">IFERROR(IF(0=LEN(ReferenceData!$W$145),"",ReferenceData!$W$145),"")</f>
        <v>3.2109049120000002</v>
      </c>
      <c r="X145">
        <f ca="1">IFERROR(IF(0=LEN(ReferenceData!$X$145),"",ReferenceData!$X$145),"")</f>
        <v>2.3341410169999999</v>
      </c>
      <c r="Y145">
        <f ca="1">IFERROR(IF(0=LEN(ReferenceData!$Y$145),"",ReferenceData!$Y$145),"")</f>
        <v>2.3810219620000002</v>
      </c>
      <c r="Z145">
        <f ca="1">IFERROR(IF(0=LEN(ReferenceData!$Z$145),"",ReferenceData!$Z$145),"")</f>
        <v>3.1626102999999999</v>
      </c>
      <c r="AA145">
        <f ca="1">IFERROR(IF(0=LEN(ReferenceData!$AA$145),"",ReferenceData!$AA$145),"")</f>
        <v>3.6306299809999998</v>
      </c>
      <c r="AB145">
        <f ca="1">IFERROR(IF(0=LEN(ReferenceData!$AB$145),"",ReferenceData!$AB$145),"")</f>
        <v>3.8910147799999999</v>
      </c>
      <c r="AC145">
        <f ca="1">IFERROR(IF(0=LEN(ReferenceData!$AC$145),"",ReferenceData!$AC$145),"")</f>
        <v>3.374165965</v>
      </c>
      <c r="AD145">
        <f ca="1">IFERROR(IF(0=LEN(ReferenceData!$AD$145),"",ReferenceData!$AD$145),"")</f>
        <v>2.7360957880000001</v>
      </c>
      <c r="AE145">
        <f ca="1">IFERROR(IF(0=LEN(ReferenceData!$AE$145),"",ReferenceData!$AE$145),"")</f>
        <v>2.7813567259999998</v>
      </c>
      <c r="AF145">
        <f ca="1">IFERROR(IF(0=LEN(ReferenceData!$AF$145),"",ReferenceData!$AF$145),"")</f>
        <v>2.5649217580000001</v>
      </c>
      <c r="AG145">
        <f ca="1">IFERROR(IF(0=LEN(ReferenceData!$AG$145),"",ReferenceData!$AG$145),"")</f>
        <v>2.1090322119999998</v>
      </c>
      <c r="AH145">
        <f ca="1">IFERROR(IF(0=LEN(ReferenceData!$AH$145),"",ReferenceData!$AH$145),"")</f>
        <v>2.090085916</v>
      </c>
      <c r="AI145">
        <f ca="1">IFERROR(IF(0=LEN(ReferenceData!$AI$145),"",ReferenceData!$AI$145),"")</f>
        <v>1.773803671</v>
      </c>
      <c r="AJ145">
        <f ca="1">IFERROR(IF(0=LEN(ReferenceData!$AJ$145),"",ReferenceData!$AJ$145),"")</f>
        <v>1.418100191</v>
      </c>
      <c r="AK145">
        <f ca="1">IFERROR(IF(0=LEN(ReferenceData!$AK$145),"",ReferenceData!$AK$145),"")</f>
        <v>2.6735469209999998</v>
      </c>
      <c r="AL145">
        <f ca="1">IFERROR(IF(0=LEN(ReferenceData!$AL$145),"",ReferenceData!$AL$145),"")</f>
        <v>3.0447592590000001</v>
      </c>
      <c r="AM145" t="str">
        <f ca="1">IFERROR(IF(0=LEN(ReferenceData!$AM$145),"",ReferenceData!$AM$145),"")</f>
        <v/>
      </c>
      <c r="AN145" t="str">
        <f ca="1">IFERROR(IF(0=LEN(ReferenceData!$AN$145),"",ReferenceData!$AN$145),"")</f>
        <v/>
      </c>
      <c r="AO145" t="str">
        <f ca="1">IFERROR(IF(0=LEN(ReferenceData!$AO$145),"",ReferenceData!$AO$145),"")</f>
        <v/>
      </c>
      <c r="AP145" t="str">
        <f ca="1">IFERROR(IF(0=LEN(ReferenceData!$AP$145),"",ReferenceData!$AP$145),"")</f>
        <v/>
      </c>
      <c r="AQ145" t="str">
        <f ca="1">IFERROR(IF(0=LEN(ReferenceData!$AQ$145),"",ReferenceData!$AQ$145),"")</f>
        <v/>
      </c>
      <c r="AR145" t="str">
        <f ca="1">IFERROR(IF(0=LEN(ReferenceData!$AR$145),"",ReferenceData!$AR$145),"")</f>
        <v/>
      </c>
      <c r="AS145" t="str">
        <f ca="1">IFERROR(IF(0=LEN(ReferenceData!$AS$145),"",ReferenceData!$AS$145),"")</f>
        <v/>
      </c>
      <c r="AT145" t="str">
        <f ca="1">IFERROR(IF(0=LEN(ReferenceData!$AT$145),"",ReferenceData!$AT$145),"")</f>
        <v/>
      </c>
      <c r="AU145" t="str">
        <f ca="1">IFERROR(IF(0=LEN(ReferenceData!$AU$145),"",ReferenceData!$AU$145),"")</f>
        <v/>
      </c>
      <c r="AV145" t="str">
        <f ca="1">IFERROR(IF(0=LEN(ReferenceData!$AV$145),"",ReferenceData!$AV$145),"")</f>
        <v/>
      </c>
      <c r="AW145" t="str">
        <f ca="1">IFERROR(IF(0=LEN(ReferenceData!$AW$145),"",ReferenceData!$AW$145),"")</f>
        <v/>
      </c>
      <c r="AX145" t="str">
        <f ca="1">IFERROR(IF(0=LEN(ReferenceData!$AX$145),"",ReferenceData!$AX$145),"")</f>
        <v/>
      </c>
      <c r="AY145" t="str">
        <f ca="1">IFERROR(IF(0=LEN(ReferenceData!$AY$145),"",ReferenceData!$AY$145),"")</f>
        <v/>
      </c>
      <c r="AZ145" t="str">
        <f ca="1">IFERROR(IF(0=LEN(ReferenceData!$AZ$145),"",ReferenceData!$AZ$145),"")</f>
        <v/>
      </c>
      <c r="BA145" t="str">
        <f ca="1">IFERROR(IF(0=LEN(ReferenceData!$BA$145),"",ReferenceData!$BA$145),"")</f>
        <v/>
      </c>
      <c r="BB145" t="str">
        <f ca="1">IFERROR(IF(0=LEN(ReferenceData!$BB$145),"",ReferenceData!$BB$145),"")</f>
        <v/>
      </c>
      <c r="BC145" t="str">
        <f ca="1">IFERROR(IF(0=LEN(ReferenceData!$BC$145),"",ReferenceData!$BC$145),"")</f>
        <v/>
      </c>
      <c r="BD145" t="str">
        <f ca="1">IFERROR(IF(0=LEN(ReferenceData!$BD$145),"",ReferenceData!$BD$145),"")</f>
        <v/>
      </c>
      <c r="BE145" t="str">
        <f ca="1">IFERROR(IF(0=LEN(ReferenceData!$BE$145),"",ReferenceData!$BE$145),"")</f>
        <v/>
      </c>
      <c r="BF145" t="str">
        <f ca="1">IFERROR(IF(0=LEN(ReferenceData!$BF$145),"",ReferenceData!$BF$145),"")</f>
        <v/>
      </c>
      <c r="BG145" t="str">
        <f ca="1">IFERROR(IF(0=LEN(ReferenceData!$BG$145),"",ReferenceData!$BG$145),"")</f>
        <v/>
      </c>
      <c r="BH145" t="str">
        <f ca="1">IFERROR(IF(0=LEN(ReferenceData!$BH$145),"",ReferenceData!$BH$145),"")</f>
        <v/>
      </c>
      <c r="BI145" t="str">
        <f ca="1">IFERROR(IF(0=LEN(ReferenceData!$BI$145),"",ReferenceData!$BI$145),"")</f>
        <v/>
      </c>
      <c r="BJ145" t="str">
        <f ca="1">IFERROR(IF(0=LEN(ReferenceData!$BJ$145),"",ReferenceData!$BJ$145),"")</f>
        <v/>
      </c>
      <c r="BK145" t="str">
        <f ca="1">IFERROR(IF(0=LEN(ReferenceData!$BK$145),"",ReferenceData!$BK$145),"")</f>
        <v/>
      </c>
      <c r="BL145" t="str">
        <f ca="1">IFERROR(IF(0=LEN(ReferenceData!$BL$145),"",ReferenceData!$BL$145),"")</f>
        <v/>
      </c>
      <c r="BM145" t="str">
        <f ca="1">IFERROR(IF(0=LEN(ReferenceData!$BM$145),"",ReferenceData!$BM$145),"")</f>
        <v/>
      </c>
    </row>
    <row r="146" spans="1:65" x14ac:dyDescent="0.25">
      <c r="A146" t="str">
        <f>IFERROR(IF(0=LEN(ReferenceData!$A$146),"",ReferenceData!$A$146),"")</f>
        <v xml:space="preserve">    Guangzhou Automobile Group Co Ltd</v>
      </c>
      <c r="B146" t="str">
        <f>IFERROR(IF(0=LEN(ReferenceData!$B$146),"",ReferenceData!$B$146),"")</f>
        <v>2238 HK Equity</v>
      </c>
      <c r="C146" t="str">
        <f>IFERROR(IF(0=LEN(ReferenceData!$C$146),"",ReferenceData!$C$146),"")</f>
        <v>RR903</v>
      </c>
      <c r="D146" t="str">
        <f>IFERROR(IF(0=LEN(ReferenceData!$D$146),"",ReferenceData!$D$146),"")</f>
        <v>PX_TO_BOOK_RATIO</v>
      </c>
      <c r="E146" t="str">
        <f>IFERROR(IF(0=LEN(ReferenceData!$E$146),"",ReferenceData!$E$146),"")</f>
        <v>Dynamic</v>
      </c>
      <c r="F146">
        <f ca="1">IFERROR(IF(0=LEN(ReferenceData!$F$146),"",ReferenceData!$F$146),"")</f>
        <v>1.1441035639999999</v>
      </c>
      <c r="G146">
        <f ca="1">IFERROR(IF(0=LEN(ReferenceData!$G$146),"",ReferenceData!$G$146),"")</f>
        <v>0.92753002299999998</v>
      </c>
      <c r="H146">
        <f ca="1">IFERROR(IF(0=LEN(ReferenceData!$H$146),"",ReferenceData!$H$146),"")</f>
        <v>1.029138463</v>
      </c>
      <c r="I146">
        <f ca="1">IFERROR(IF(0=LEN(ReferenceData!$I$146),"",ReferenceData!$I$146),"")</f>
        <v>0.90112336100000001</v>
      </c>
      <c r="J146">
        <f ca="1">IFERROR(IF(0=LEN(ReferenceData!$J$146),"",ReferenceData!$J$146),"")</f>
        <v>1.15883863</v>
      </c>
      <c r="K146">
        <f ca="1">IFERROR(IF(0=LEN(ReferenceData!$K$146),"",ReferenceData!$K$146),"")</f>
        <v>1.621739515</v>
      </c>
      <c r="L146">
        <f ca="1">IFERROR(IF(0=LEN(ReferenceData!$L$146),"",ReferenceData!$L$146),"")</f>
        <v>1.9304107829999999</v>
      </c>
      <c r="M146">
        <f ca="1">IFERROR(IF(0=LEN(ReferenceData!$M$146),"",ReferenceData!$M$146),"")</f>
        <v>1.556298771</v>
      </c>
      <c r="N146">
        <f ca="1">IFERROR(IF(0=LEN(ReferenceData!$N$146),"",ReferenceData!$N$146),"")</f>
        <v>1.4972012290000001</v>
      </c>
      <c r="O146">
        <f ca="1">IFERROR(IF(0=LEN(ReferenceData!$O$146),"",ReferenceData!$O$146),"")</f>
        <v>1.2368414590000001</v>
      </c>
      <c r="P146">
        <f ca="1">IFERROR(IF(0=LEN(ReferenceData!$P$146),"",ReferenceData!$P$146),"")</f>
        <v>1.3340618209999999</v>
      </c>
      <c r="Q146">
        <f ca="1">IFERROR(IF(0=LEN(ReferenceData!$Q$146),"",ReferenceData!$Q$146),"")</f>
        <v>1.2201588350000001</v>
      </c>
      <c r="R146">
        <f ca="1">IFERROR(IF(0=LEN(ReferenceData!$R$146),"",ReferenceData!$R$146),"")</f>
        <v>1.056097219</v>
      </c>
      <c r="S146">
        <f ca="1">IFERROR(IF(0=LEN(ReferenceData!$S$146),"",ReferenceData!$S$146),"")</f>
        <v>0.964481056</v>
      </c>
      <c r="T146">
        <f ca="1">IFERROR(IF(0=LEN(ReferenceData!$T$146),"",ReferenceData!$T$146),"")</f>
        <v>0.90140807700000003</v>
      </c>
      <c r="U146">
        <f ca="1">IFERROR(IF(0=LEN(ReferenceData!$U$146),"",ReferenceData!$U$146),"")</f>
        <v>1.0106562109999999</v>
      </c>
      <c r="V146">
        <f ca="1">IFERROR(IF(0=LEN(ReferenceData!$V$146),"",ReferenceData!$V$146),"")</f>
        <v>1.0653875100000001</v>
      </c>
      <c r="W146">
        <f ca="1">IFERROR(IF(0=LEN(ReferenceData!$W$146),"",ReferenceData!$W$146),"")</f>
        <v>1.027409826</v>
      </c>
      <c r="X146">
        <f ca="1">IFERROR(IF(0=LEN(ReferenceData!$X$146),"",ReferenceData!$X$146),"")</f>
        <v>1.1114525689999999</v>
      </c>
      <c r="Y146">
        <f ca="1">IFERROR(IF(0=LEN(ReferenceData!$Y$146),"",ReferenceData!$Y$146),"")</f>
        <v>1.3470882449999999</v>
      </c>
      <c r="Z146">
        <f ca="1">IFERROR(IF(0=LEN(ReferenceData!$Z$146),"",ReferenceData!$Z$146),"")</f>
        <v>1.2327475290000001</v>
      </c>
      <c r="AA146">
        <f ca="1">IFERROR(IF(0=LEN(ReferenceData!$AA$146),"",ReferenceData!$AA$146),"")</f>
        <v>1.2807523510000001</v>
      </c>
      <c r="AB146">
        <f ca="1">IFERROR(IF(0=LEN(ReferenceData!$AB$146),"",ReferenceData!$AB$146),"")</f>
        <v>1.301528848</v>
      </c>
      <c r="AC146">
        <f ca="1">IFERROR(IF(0=LEN(ReferenceData!$AC$146),"",ReferenceData!$AC$146),"")</f>
        <v>1.1599331500000001</v>
      </c>
      <c r="AD146">
        <f ca="1">IFERROR(IF(0=LEN(ReferenceData!$AD$146),"",ReferenceData!$AD$146),"")</f>
        <v>1.072027493</v>
      </c>
      <c r="AE146">
        <f ca="1">IFERROR(IF(0=LEN(ReferenceData!$AE$146),"",ReferenceData!$AE$146),"")</f>
        <v>1.143858453</v>
      </c>
      <c r="AF146">
        <f ca="1">IFERROR(IF(0=LEN(ReferenceData!$AF$146),"",ReferenceData!$AF$146),"")</f>
        <v>0.83579034500000005</v>
      </c>
      <c r="AG146">
        <f ca="1">IFERROR(IF(0=LEN(ReferenceData!$AG$146),"",ReferenceData!$AG$146),"")</f>
        <v>1.064706047</v>
      </c>
      <c r="AH146">
        <f ca="1">IFERROR(IF(0=LEN(ReferenceData!$AH$146),"",ReferenceData!$AH$146),"")</f>
        <v>1.2336595539999999</v>
      </c>
      <c r="AI146">
        <f ca="1">IFERROR(IF(0=LEN(ReferenceData!$AI$146),"",ReferenceData!$AI$146),"")</f>
        <v>1.108236934</v>
      </c>
      <c r="AJ146">
        <f ca="1">IFERROR(IF(0=LEN(ReferenceData!$AJ$146),"",ReferenceData!$AJ$146),"")</f>
        <v>1.4079559820000001</v>
      </c>
      <c r="AK146">
        <f ca="1">IFERROR(IF(0=LEN(ReferenceData!$AK$146),"",ReferenceData!$AK$146),"")</f>
        <v>1.8242325340000001</v>
      </c>
      <c r="AL146">
        <f ca="1">IFERROR(IF(0=LEN(ReferenceData!$AL$146),"",ReferenceData!$AL$146),"")</f>
        <v>1.8119088430000001</v>
      </c>
      <c r="AM146">
        <f ca="1">IFERROR(IF(0=LEN(ReferenceData!$AM$146),"",ReferenceData!$AM$146),"")</f>
        <v>2.1859241620000001</v>
      </c>
      <c r="AN146">
        <f ca="1">IFERROR(IF(0=LEN(ReferenceData!$AN$146),"",ReferenceData!$AN$146),"")</f>
        <v>2.814125674</v>
      </c>
      <c r="AO146" t="str">
        <f ca="1">IFERROR(IF(0=LEN(ReferenceData!$AO$146),"",ReferenceData!$AO$146),"")</f>
        <v/>
      </c>
      <c r="AP146" t="str">
        <f ca="1">IFERROR(IF(0=LEN(ReferenceData!$AP$146),"",ReferenceData!$AP$146),"")</f>
        <v/>
      </c>
      <c r="AQ146" t="str">
        <f ca="1">IFERROR(IF(0=LEN(ReferenceData!$AQ$146),"",ReferenceData!$AQ$146),"")</f>
        <v/>
      </c>
      <c r="AR146" t="str">
        <f ca="1">IFERROR(IF(0=LEN(ReferenceData!$AR$146),"",ReferenceData!$AR$146),"")</f>
        <v/>
      </c>
      <c r="AS146" t="str">
        <f ca="1">IFERROR(IF(0=LEN(ReferenceData!$AS$146),"",ReferenceData!$AS$146),"")</f>
        <v/>
      </c>
      <c r="AT146" t="str">
        <f ca="1">IFERROR(IF(0=LEN(ReferenceData!$AT$146),"",ReferenceData!$AT$146),"")</f>
        <v/>
      </c>
      <c r="AU146" t="str">
        <f ca="1">IFERROR(IF(0=LEN(ReferenceData!$AU$146),"",ReferenceData!$AU$146),"")</f>
        <v/>
      </c>
      <c r="AV146" t="str">
        <f ca="1">IFERROR(IF(0=LEN(ReferenceData!$AV$146),"",ReferenceData!$AV$146),"")</f>
        <v/>
      </c>
      <c r="AW146" t="str">
        <f ca="1">IFERROR(IF(0=LEN(ReferenceData!$AW$146),"",ReferenceData!$AW$146),"")</f>
        <v/>
      </c>
      <c r="AX146" t="str">
        <f ca="1">IFERROR(IF(0=LEN(ReferenceData!$AX$146),"",ReferenceData!$AX$146),"")</f>
        <v/>
      </c>
      <c r="AY146" t="str">
        <f ca="1">IFERROR(IF(0=LEN(ReferenceData!$AY$146),"",ReferenceData!$AY$146),"")</f>
        <v/>
      </c>
      <c r="AZ146" t="str">
        <f ca="1">IFERROR(IF(0=LEN(ReferenceData!$AZ$146),"",ReferenceData!$AZ$146),"")</f>
        <v/>
      </c>
      <c r="BA146" t="str">
        <f ca="1">IFERROR(IF(0=LEN(ReferenceData!$BA$146),"",ReferenceData!$BA$146),"")</f>
        <v/>
      </c>
      <c r="BB146" t="str">
        <f ca="1">IFERROR(IF(0=LEN(ReferenceData!$BB$146),"",ReferenceData!$BB$146),"")</f>
        <v/>
      </c>
      <c r="BC146" t="str">
        <f ca="1">IFERROR(IF(0=LEN(ReferenceData!$BC$146),"",ReferenceData!$BC$146),"")</f>
        <v/>
      </c>
      <c r="BD146" t="str">
        <f ca="1">IFERROR(IF(0=LEN(ReferenceData!$BD$146),"",ReferenceData!$BD$146),"")</f>
        <v/>
      </c>
      <c r="BE146" t="str">
        <f ca="1">IFERROR(IF(0=LEN(ReferenceData!$BE$146),"",ReferenceData!$BE$146),"")</f>
        <v/>
      </c>
      <c r="BF146" t="str">
        <f ca="1">IFERROR(IF(0=LEN(ReferenceData!$BF$146),"",ReferenceData!$BF$146),"")</f>
        <v/>
      </c>
      <c r="BG146" t="str">
        <f ca="1">IFERROR(IF(0=LEN(ReferenceData!$BG$146),"",ReferenceData!$BG$146),"")</f>
        <v/>
      </c>
      <c r="BH146" t="str">
        <f ca="1">IFERROR(IF(0=LEN(ReferenceData!$BH$146),"",ReferenceData!$BH$146),"")</f>
        <v/>
      </c>
      <c r="BI146" t="str">
        <f ca="1">IFERROR(IF(0=LEN(ReferenceData!$BI$146),"",ReferenceData!$BI$146),"")</f>
        <v/>
      </c>
      <c r="BJ146" t="str">
        <f ca="1">IFERROR(IF(0=LEN(ReferenceData!$BJ$146),"",ReferenceData!$BJ$146),"")</f>
        <v/>
      </c>
      <c r="BK146" t="str">
        <f ca="1">IFERROR(IF(0=LEN(ReferenceData!$BK$146),"",ReferenceData!$BK$146),"")</f>
        <v/>
      </c>
      <c r="BL146" t="str">
        <f ca="1">IFERROR(IF(0=LEN(ReferenceData!$BL$146),"",ReferenceData!$BL$146),"")</f>
        <v/>
      </c>
      <c r="BM146" t="str">
        <f ca="1">IFERROR(IF(0=LEN(ReferenceData!$BM$146),"",ReferenceData!$BM$146),"")</f>
        <v/>
      </c>
    </row>
    <row r="147" spans="1:65" x14ac:dyDescent="0.25">
      <c r="A147" t="str">
        <f>IFERROR(IF(0=LEN(ReferenceData!$A$147),"",ReferenceData!$A$147),"")</f>
        <v xml:space="preserve">    Honda Motor Co Ltd</v>
      </c>
      <c r="B147" t="str">
        <f>IFERROR(IF(0=LEN(ReferenceData!$B$147),"",ReferenceData!$B$147),"")</f>
        <v>7267 JP Equity</v>
      </c>
      <c r="C147" t="str">
        <f>IFERROR(IF(0=LEN(ReferenceData!$C$147),"",ReferenceData!$C$147),"")</f>
        <v>RR903</v>
      </c>
      <c r="D147" t="str">
        <f>IFERROR(IF(0=LEN(ReferenceData!$D$147),"",ReferenceData!$D$147),"")</f>
        <v>PX_TO_BOOK_RATIO</v>
      </c>
      <c r="E147" t="str">
        <f>IFERROR(IF(0=LEN(ReferenceData!$E$147),"",ReferenceData!$E$147),"")</f>
        <v>Dynamic</v>
      </c>
      <c r="F147">
        <f ca="1">IFERROR(IF(0=LEN(ReferenceData!$F$147),"",ReferenceData!$F$147),"")</f>
        <v>0.66356170299999995</v>
      </c>
      <c r="G147">
        <f ca="1">IFERROR(IF(0=LEN(ReferenceData!$G$147),"",ReferenceData!$G$147),"")</f>
        <v>0.61461739199999998</v>
      </c>
      <c r="H147">
        <f ca="1">IFERROR(IF(0=LEN(ReferenceData!$H$147),"",ReferenceData!$H$147),"")</f>
        <v>0.723556482</v>
      </c>
      <c r="I147">
        <f ca="1">IFERROR(IF(0=LEN(ReferenceData!$I$147),"",ReferenceData!$I$147),"")</f>
        <v>0.70945052900000005</v>
      </c>
      <c r="J147">
        <f ca="1">IFERROR(IF(0=LEN(ReferenceData!$J$147),"",ReferenceData!$J$147),"")</f>
        <v>0.82037759200000004</v>
      </c>
      <c r="K147">
        <f ca="1">IFERROR(IF(0=LEN(ReferenceData!$K$147),"",ReferenceData!$K$147),"")</f>
        <v>0.84255097400000001</v>
      </c>
      <c r="L147">
        <f ca="1">IFERROR(IF(0=LEN(ReferenceData!$L$147),"",ReferenceData!$L$147),"")</f>
        <v>0.78055738699999999</v>
      </c>
      <c r="M147">
        <f ca="1">IFERROR(IF(0=LEN(ReferenceData!$M$147),"",ReferenceData!$M$147),"")</f>
        <v>0.73906081099999998</v>
      </c>
      <c r="N147">
        <f ca="1">IFERROR(IF(0=LEN(ReferenceData!$N$147),"",ReferenceData!$N$147),"")</f>
        <v>0.827854223</v>
      </c>
      <c r="O147">
        <f ca="1">IFERROR(IF(0=LEN(ReferenceData!$O$147),"",ReferenceData!$O$147),"")</f>
        <v>0.84269084699999997</v>
      </c>
      <c r="P147">
        <f ca="1">IFERROR(IF(0=LEN(ReferenceData!$P$147),"",ReferenceData!$P$147),"")</f>
        <v>0.79275826000000005</v>
      </c>
      <c r="Q147">
        <f ca="1">IFERROR(IF(0=LEN(ReferenceData!$Q$147),"",ReferenceData!$Q$147),"")</f>
        <v>0.71361928100000005</v>
      </c>
      <c r="R147">
        <f ca="1">IFERROR(IF(0=LEN(ReferenceData!$R$147),"",ReferenceData!$R$147),"")</f>
        <v>0.82258405000000001</v>
      </c>
      <c r="S147">
        <f ca="1">IFERROR(IF(0=LEN(ReferenceData!$S$147),"",ReferenceData!$S$147),"")</f>
        <v>0.97369639900000005</v>
      </c>
      <c r="T147">
        <f ca="1">IFERROR(IF(0=LEN(ReferenceData!$T$147),"",ReferenceData!$T$147),"")</f>
        <v>0.89339124800000003</v>
      </c>
      <c r="U147">
        <f ca="1">IFERROR(IF(0=LEN(ReferenceData!$U$147),"",ReferenceData!$U$147),"")</f>
        <v>0.97205587199999999</v>
      </c>
      <c r="V147">
        <f ca="1">IFERROR(IF(0=LEN(ReferenceData!$V$147),"",ReferenceData!$V$147),"")</f>
        <v>1.04577093</v>
      </c>
      <c r="W147">
        <f ca="1">IFERROR(IF(0=LEN(ReferenceData!$W$147),"",ReferenceData!$W$147),"")</f>
        <v>0.93689842499999998</v>
      </c>
      <c r="X147">
        <f ca="1">IFERROR(IF(0=LEN(ReferenceData!$X$147),"",ReferenceData!$X$147),"")</f>
        <v>1.0849401809999999</v>
      </c>
      <c r="Y147">
        <f ca="1">IFERROR(IF(0=LEN(ReferenceData!$Y$147),"",ReferenceData!$Y$147),"")</f>
        <v>1.0663581550000001</v>
      </c>
      <c r="Z147">
        <f ca="1">IFERROR(IF(0=LEN(ReferenceData!$Z$147),"",ReferenceData!$Z$147),"")</f>
        <v>1.1065297249999999</v>
      </c>
      <c r="AA147">
        <f ca="1">IFERROR(IF(0=LEN(ReferenceData!$AA$147),"",ReferenceData!$AA$147),"")</f>
        <v>1.3503953630000001</v>
      </c>
      <c r="AB147">
        <f ca="1">IFERROR(IF(0=LEN(ReferenceData!$AB$147),"",ReferenceData!$AB$147),"")</f>
        <v>1.2291051049999999</v>
      </c>
      <c r="AC147">
        <f ca="1">IFERROR(IF(0=LEN(ReferenceData!$AC$147),"",ReferenceData!$AC$147),"")</f>
        <v>1.2472810969999999</v>
      </c>
      <c r="AD147">
        <f ca="1">IFERROR(IF(0=LEN(ReferenceData!$AD$147),"",ReferenceData!$AD$147),"")</f>
        <v>1.2718999740000001</v>
      </c>
      <c r="AE147">
        <f ca="1">IFERROR(IF(0=LEN(ReferenceData!$AE$147),"",ReferenceData!$AE$147),"")</f>
        <v>1.2061149419999999</v>
      </c>
      <c r="AF147">
        <f ca="1">IFERROR(IF(0=LEN(ReferenceData!$AF$147),"",ReferenceData!$AF$147),"")</f>
        <v>0.98277939800000003</v>
      </c>
      <c r="AG147">
        <f ca="1">IFERROR(IF(0=LEN(ReferenceData!$AG$147),"",ReferenceData!$AG$147),"")</f>
        <v>1.1134776280000001</v>
      </c>
      <c r="AH147">
        <f ca="1">IFERROR(IF(0=LEN(ReferenceData!$AH$147),"",ReferenceData!$AH$147),"")</f>
        <v>1.2874696969999999</v>
      </c>
      <c r="AI147">
        <f ca="1">IFERROR(IF(0=LEN(ReferenceData!$AI$147),"",ReferenceData!$AI$147),"")</f>
        <v>0.99680072900000005</v>
      </c>
      <c r="AJ147">
        <f ca="1">IFERROR(IF(0=LEN(ReferenceData!$AJ$147),"",ReferenceData!$AJ$147),"")</f>
        <v>0.96421255500000003</v>
      </c>
      <c r="AK147">
        <f ca="1">IFERROR(IF(0=LEN(ReferenceData!$AK$147),"",ReferenceData!$AK$147),"")</f>
        <v>1.2569868479999999</v>
      </c>
      <c r="AL147">
        <f ca="1">IFERROR(IF(0=LEN(ReferenceData!$AL$147),"",ReferenceData!$AL$147),"")</f>
        <v>1.265668427</v>
      </c>
      <c r="AM147">
        <f ca="1">IFERROR(IF(0=LEN(ReferenceData!$AM$147),"",ReferenceData!$AM$147),"")</f>
        <v>1.320365161</v>
      </c>
      <c r="AN147">
        <f ca="1">IFERROR(IF(0=LEN(ReferenceData!$AN$147),"",ReferenceData!$AN$147),"")</f>
        <v>1.2196832369999999</v>
      </c>
      <c r="AO147">
        <f ca="1">IFERROR(IF(0=LEN(ReferenceData!$AO$147),"",ReferenceData!$AO$147),"")</f>
        <v>1.0658399110000001</v>
      </c>
      <c r="AP147">
        <f ca="1">IFERROR(IF(0=LEN(ReferenceData!$AP$147),"",ReferenceData!$AP$147),"")</f>
        <v>1.3833880919999999</v>
      </c>
      <c r="AQ147">
        <f ca="1">IFERROR(IF(0=LEN(ReferenceData!$AQ$147),"",ReferenceData!$AQ$147),"")</f>
        <v>1.3438343500000001</v>
      </c>
      <c r="AR147">
        <f ca="1">IFERROR(IF(0=LEN(ReferenceData!$AR$147),"",ReferenceData!$AR$147),"")</f>
        <v>1.2447983469999999</v>
      </c>
      <c r="AS147">
        <f ca="1">IFERROR(IF(0=LEN(ReferenceData!$AS$147),"",ReferenceData!$AS$147),"")</f>
        <v>1.188651457</v>
      </c>
      <c r="AT147">
        <f ca="1">IFERROR(IF(0=LEN(ReferenceData!$AT$147),"",ReferenceData!$AT$147),"")</f>
        <v>1.048294965</v>
      </c>
      <c r="AU147">
        <f ca="1">IFERROR(IF(0=LEN(ReferenceData!$AU$147),"",ReferenceData!$AU$147),"")</f>
        <v>0.81258790299999994</v>
      </c>
      <c r="AV147">
        <f ca="1">IFERROR(IF(0=LEN(ReferenceData!$AV$147),"",ReferenceData!$AV$147),"")</f>
        <v>1.1774018310000001</v>
      </c>
      <c r="AW147">
        <f ca="1">IFERROR(IF(0=LEN(ReferenceData!$AW$147),"",ReferenceData!$AW$147),"")</f>
        <v>1.375508043</v>
      </c>
      <c r="AX147">
        <f ca="1">IFERROR(IF(0=LEN(ReferenceData!$AX$147),"",ReferenceData!$AX$147),"")</f>
        <v>1.136016567</v>
      </c>
      <c r="AY147">
        <f ca="1">IFERROR(IF(0=LEN(ReferenceData!$AY$147),"",ReferenceData!$AY$147),"")</f>
        <v>1.3721572879999999</v>
      </c>
      <c r="AZ147">
        <f ca="1">IFERROR(IF(0=LEN(ReferenceData!$AZ$147),"",ReferenceData!$AZ$147),"")</f>
        <v>1.447500708</v>
      </c>
      <c r="BA147">
        <f ca="1">IFERROR(IF(0=LEN(ReferenceData!$BA$147),"",ReferenceData!$BA$147),"")</f>
        <v>1.7174112580000001</v>
      </c>
      <c r="BB147">
        <f ca="1">IFERROR(IF(0=LEN(ReferenceData!$BB$147),"",ReferenceData!$BB$147),"")</f>
        <v>1.670542202</v>
      </c>
      <c r="BC147">
        <f ca="1">IFERROR(IF(0=LEN(ReferenceData!$BC$147),"",ReferenceData!$BC$147),"")</f>
        <v>1.9041059769999999</v>
      </c>
      <c r="BD147">
        <f ca="1">IFERROR(IF(0=LEN(ReferenceData!$BD$147),"",ReferenceData!$BD$147),"")</f>
        <v>1.661780445</v>
      </c>
      <c r="BE147">
        <f ca="1">IFERROR(IF(0=LEN(ReferenceData!$BE$147),"",ReferenceData!$BE$147),"")</f>
        <v>1.5790572220000001</v>
      </c>
      <c r="BF147">
        <f ca="1">IFERROR(IF(0=LEN(ReferenceData!$BF$147),"",ReferenceData!$BF$147),"")</f>
        <v>1.6133586740000001</v>
      </c>
      <c r="BG147">
        <f ca="1">IFERROR(IF(0=LEN(ReferenceData!$BG$147),"",ReferenceData!$BG$147),"")</f>
        <v>1.6166963860000001</v>
      </c>
      <c r="BH147">
        <f ca="1">IFERROR(IF(0=LEN(ReferenceData!$BH$147),"",ReferenceData!$BH$147),"")</f>
        <v>1.630405334</v>
      </c>
      <c r="BI147">
        <f ca="1">IFERROR(IF(0=LEN(ReferenceData!$BI$147),"",ReferenceData!$BI$147),"")</f>
        <v>1.535220072</v>
      </c>
      <c r="BJ147">
        <f ca="1">IFERROR(IF(0=LEN(ReferenceData!$BJ$147),"",ReferenceData!$BJ$147),"")</f>
        <v>1.509914247</v>
      </c>
      <c r="BK147">
        <f ca="1">IFERROR(IF(0=LEN(ReferenceData!$BK$147),"",ReferenceData!$BK$147),"")</f>
        <v>1.5527203000000001</v>
      </c>
      <c r="BL147">
        <f ca="1">IFERROR(IF(0=LEN(ReferenceData!$BL$147),"",ReferenceData!$BL$147),"")</f>
        <v>1.591463801</v>
      </c>
      <c r="BM147">
        <f ca="1">IFERROR(IF(0=LEN(ReferenceData!$BM$147),"",ReferenceData!$BM$147),"")</f>
        <v>1.7316468570000001</v>
      </c>
    </row>
    <row r="148" spans="1:65" x14ac:dyDescent="0.25">
      <c r="A148" t="str">
        <f>IFERROR(IF(0=LEN(ReferenceData!$A$148),"",ReferenceData!$A$148),"")</f>
        <v xml:space="preserve">    Hyundai Motor Co</v>
      </c>
      <c r="B148" t="str">
        <f>IFERROR(IF(0=LEN(ReferenceData!$B$148),"",ReferenceData!$B$148),"")</f>
        <v>005380 KS Equity</v>
      </c>
      <c r="C148" t="str">
        <f>IFERROR(IF(0=LEN(ReferenceData!$C$148),"",ReferenceData!$C$148),"")</f>
        <v>RR903</v>
      </c>
      <c r="D148" t="str">
        <f>IFERROR(IF(0=LEN(ReferenceData!$D$148),"",ReferenceData!$D$148),"")</f>
        <v>PX_TO_BOOK_RATIO</v>
      </c>
      <c r="E148" t="str">
        <f>IFERROR(IF(0=LEN(ReferenceData!$E$148),"",ReferenceData!$E$148),"")</f>
        <v>Dynamic</v>
      </c>
      <c r="F148" t="str">
        <f ca="1">IFERROR(IF(0=LEN(ReferenceData!$F$148),"",ReferenceData!$F$148),"")</f>
        <v/>
      </c>
      <c r="G148">
        <f ca="1">IFERROR(IF(0=LEN(ReferenceData!$G$148),"",ReferenceData!$G$148),"")</f>
        <v>0.35392348200000001</v>
      </c>
      <c r="H148">
        <f ca="1">IFERROR(IF(0=LEN(ReferenceData!$H$148),"",ReferenceData!$H$148),"")</f>
        <v>0.38677713800000002</v>
      </c>
      <c r="I148">
        <f ca="1">IFERROR(IF(0=LEN(ReferenceData!$I$148),"",ReferenceData!$I$148),"")</f>
        <v>0.37308769200000003</v>
      </c>
      <c r="J148">
        <f ca="1">IFERROR(IF(0=LEN(ReferenceData!$J$148),"",ReferenceData!$J$148),"")</f>
        <v>0.433283961</v>
      </c>
      <c r="K148">
        <f ca="1">IFERROR(IF(0=LEN(ReferenceData!$K$148),"",ReferenceData!$K$148),"")</f>
        <v>0.46967074399999997</v>
      </c>
      <c r="L148">
        <f ca="1">IFERROR(IF(0=LEN(ReferenceData!$L$148),"",ReferenceData!$L$148),"")</f>
        <v>0.45286854900000001</v>
      </c>
      <c r="M148">
        <f ca="1">IFERROR(IF(0=LEN(ReferenceData!$M$148),"",ReferenceData!$M$148),"")</f>
        <v>0.48548014</v>
      </c>
      <c r="N148">
        <f ca="1">IFERROR(IF(0=LEN(ReferenceData!$N$148),"",ReferenceData!$N$148),"")</f>
        <v>0.49208511199999999</v>
      </c>
      <c r="O148">
        <f ca="1">IFERROR(IF(0=LEN(ReferenceData!$O$148),"",ReferenceData!$O$148),"")</f>
        <v>0.45214613599999998</v>
      </c>
      <c r="P148">
        <f ca="1">IFERROR(IF(0=LEN(ReferenceData!$P$148),"",ReferenceData!$P$148),"")</f>
        <v>0.43883213199999999</v>
      </c>
      <c r="Q148">
        <f ca="1">IFERROR(IF(0=LEN(ReferenceData!$Q$148),"",ReferenceData!$Q$148),"")</f>
        <v>0.43907264600000001</v>
      </c>
      <c r="R148">
        <f ca="1">IFERROR(IF(0=LEN(ReferenceData!$R$148),"",ReferenceData!$R$148),"")</f>
        <v>0.50638534800000001</v>
      </c>
      <c r="S148">
        <f ca="1">IFERROR(IF(0=LEN(ReferenceData!$S$148),"",ReferenceData!$S$148),"")</f>
        <v>0.50010552699999999</v>
      </c>
      <c r="T148">
        <f ca="1">IFERROR(IF(0=LEN(ReferenceData!$T$148),"",ReferenceData!$T$148),"")</f>
        <v>0.55520169500000005</v>
      </c>
      <c r="U148">
        <f ca="1">IFERROR(IF(0=LEN(ReferenceData!$U$148),"",ReferenceData!$U$148),"")</f>
        <v>0.47031615900000001</v>
      </c>
      <c r="V148">
        <f ca="1">IFERROR(IF(0=LEN(ReferenceData!$V$148),"",ReferenceData!$V$148),"")</f>
        <v>0.60432950200000002</v>
      </c>
      <c r="W148">
        <f ca="1">IFERROR(IF(0=LEN(ReferenceData!$W$148),"",ReferenceData!$W$148),"")</f>
        <v>0.61511727599999999</v>
      </c>
      <c r="X148">
        <f ca="1">IFERROR(IF(0=LEN(ReferenceData!$X$148),"",ReferenceData!$X$148),"")</f>
        <v>0.70950360800000001</v>
      </c>
      <c r="Y148">
        <f ca="1">IFERROR(IF(0=LEN(ReferenceData!$Y$148),"",ReferenceData!$Y$148),"")</f>
        <v>0.88133278000000004</v>
      </c>
      <c r="Z148">
        <f ca="1">IFERROR(IF(0=LEN(ReferenceData!$Z$148),"",ReferenceData!$Z$148),"")</f>
        <v>0.99342013299999998</v>
      </c>
      <c r="AA148">
        <f ca="1">IFERROR(IF(0=LEN(ReferenceData!$AA$148),"",ReferenceData!$AA$148),"")</f>
        <v>0.95915173200000003</v>
      </c>
      <c r="AB148">
        <f ca="1">IFERROR(IF(0=LEN(ReferenceData!$AB$148),"",ReferenceData!$AB$148),"")</f>
        <v>1.0612124140000001</v>
      </c>
      <c r="AC148">
        <f ca="1">IFERROR(IF(0=LEN(ReferenceData!$AC$148),"",ReferenceData!$AC$148),"")</f>
        <v>0.98348463799999997</v>
      </c>
      <c r="AD148">
        <f ca="1">IFERROR(IF(0=LEN(ReferenceData!$AD$148),"",ReferenceData!$AD$148),"")</f>
        <v>1.033604046</v>
      </c>
      <c r="AE148">
        <f ca="1">IFERROR(IF(0=LEN(ReferenceData!$AE$148),"",ReferenceData!$AE$148),"")</f>
        <v>1.0461561800000001</v>
      </c>
      <c r="AF148">
        <f ca="1">IFERROR(IF(0=LEN(ReferenceData!$AF$148),"",ReferenceData!$AF$148),"")</f>
        <v>1.232433546</v>
      </c>
      <c r="AG148">
        <f ca="1">IFERROR(IF(0=LEN(ReferenceData!$AG$148),"",ReferenceData!$AG$148),"")</f>
        <v>1.190799655</v>
      </c>
      <c r="AH148">
        <f ca="1">IFERROR(IF(0=LEN(ReferenceData!$AH$148),"",ReferenceData!$AH$148),"")</f>
        <v>1.2609279980000001</v>
      </c>
      <c r="AI148">
        <f ca="1">IFERROR(IF(0=LEN(ReferenceData!$AI$148),"",ReferenceData!$AI$148),"")</f>
        <v>1.2118545519999999</v>
      </c>
      <c r="AJ148">
        <f ca="1">IFERROR(IF(0=LEN(ReferenceData!$AJ$148),"",ReferenceData!$AJ$148),"")</f>
        <v>1.2519600239999999</v>
      </c>
      <c r="AK148">
        <f ca="1">IFERROR(IF(0=LEN(ReferenceData!$AK$148),"",ReferenceData!$AK$148),"")</f>
        <v>1.488148061</v>
      </c>
      <c r="AL148">
        <f ca="1">IFERROR(IF(0=LEN(ReferenceData!$AL$148),"",ReferenceData!$AL$148),"")</f>
        <v>1.3582673940000001</v>
      </c>
      <c r="AM148">
        <f ca="1">IFERROR(IF(0=LEN(ReferenceData!$AM$148),"",ReferenceData!$AM$148),"")</f>
        <v>1.219769031</v>
      </c>
      <c r="AN148" t="str">
        <f ca="1">IFERROR(IF(0=LEN(ReferenceData!$AN$148),"",ReferenceData!$AN$148),"")</f>
        <v/>
      </c>
      <c r="AO148" t="str">
        <f ca="1">IFERROR(IF(0=LEN(ReferenceData!$AO$148),"",ReferenceData!$AO$148),"")</f>
        <v/>
      </c>
      <c r="AP148" t="str">
        <f ca="1">IFERROR(IF(0=LEN(ReferenceData!$AP$148),"",ReferenceData!$AP$148),"")</f>
        <v/>
      </c>
      <c r="AQ148" t="str">
        <f ca="1">IFERROR(IF(0=LEN(ReferenceData!$AQ$148),"",ReferenceData!$AQ$148),"")</f>
        <v/>
      </c>
      <c r="AR148" t="str">
        <f ca="1">IFERROR(IF(0=LEN(ReferenceData!$AR$148),"",ReferenceData!$AR$148),"")</f>
        <v/>
      </c>
      <c r="AS148" t="str">
        <f ca="1">IFERROR(IF(0=LEN(ReferenceData!$AS$148),"",ReferenceData!$AS$148),"")</f>
        <v/>
      </c>
      <c r="AT148" t="str">
        <f ca="1">IFERROR(IF(0=LEN(ReferenceData!$AT$148),"",ReferenceData!$AT$148),"")</f>
        <v/>
      </c>
      <c r="AU148" t="str">
        <f ca="1">IFERROR(IF(0=LEN(ReferenceData!$AU$148),"",ReferenceData!$AU$148),"")</f>
        <v/>
      </c>
      <c r="AV148" t="str">
        <f ca="1">IFERROR(IF(0=LEN(ReferenceData!$AV$148),"",ReferenceData!$AV$148),"")</f>
        <v/>
      </c>
      <c r="AW148" t="str">
        <f ca="1">IFERROR(IF(0=LEN(ReferenceData!$AW$148),"",ReferenceData!$AW$148),"")</f>
        <v/>
      </c>
      <c r="AX148" t="str">
        <f ca="1">IFERROR(IF(0=LEN(ReferenceData!$AX$148),"",ReferenceData!$AX$148),"")</f>
        <v/>
      </c>
      <c r="AY148" t="str">
        <f ca="1">IFERROR(IF(0=LEN(ReferenceData!$AY$148),"",ReferenceData!$AY$148),"")</f>
        <v/>
      </c>
      <c r="AZ148" t="str">
        <f ca="1">IFERROR(IF(0=LEN(ReferenceData!$AZ$148),"",ReferenceData!$AZ$148),"")</f>
        <v/>
      </c>
      <c r="BA148" t="str">
        <f ca="1">IFERROR(IF(0=LEN(ReferenceData!$BA$148),"",ReferenceData!$BA$148),"")</f>
        <v/>
      </c>
      <c r="BB148" t="str">
        <f ca="1">IFERROR(IF(0=LEN(ReferenceData!$BB$148),"",ReferenceData!$BB$148),"")</f>
        <v/>
      </c>
      <c r="BC148" t="str">
        <f ca="1">IFERROR(IF(0=LEN(ReferenceData!$BC$148),"",ReferenceData!$BC$148),"")</f>
        <v/>
      </c>
      <c r="BD148" t="str">
        <f ca="1">IFERROR(IF(0=LEN(ReferenceData!$BD$148),"",ReferenceData!$BD$148),"")</f>
        <v/>
      </c>
      <c r="BE148" t="str">
        <f ca="1">IFERROR(IF(0=LEN(ReferenceData!$BE$148),"",ReferenceData!$BE$148),"")</f>
        <v/>
      </c>
      <c r="BF148" t="str">
        <f ca="1">IFERROR(IF(0=LEN(ReferenceData!$BF$148),"",ReferenceData!$BF$148),"")</f>
        <v/>
      </c>
      <c r="BG148" t="str">
        <f ca="1">IFERROR(IF(0=LEN(ReferenceData!$BG$148),"",ReferenceData!$BG$148),"")</f>
        <v/>
      </c>
      <c r="BH148" t="str">
        <f ca="1">IFERROR(IF(0=LEN(ReferenceData!$BH$148),"",ReferenceData!$BH$148),"")</f>
        <v/>
      </c>
      <c r="BI148" t="str">
        <f ca="1">IFERROR(IF(0=LEN(ReferenceData!$BI$148),"",ReferenceData!$BI$148),"")</f>
        <v/>
      </c>
      <c r="BJ148" t="str">
        <f ca="1">IFERROR(IF(0=LEN(ReferenceData!$BJ$148),"",ReferenceData!$BJ$148),"")</f>
        <v/>
      </c>
      <c r="BK148" t="str">
        <f ca="1">IFERROR(IF(0=LEN(ReferenceData!$BK$148),"",ReferenceData!$BK$148),"")</f>
        <v/>
      </c>
      <c r="BL148" t="str">
        <f ca="1">IFERROR(IF(0=LEN(ReferenceData!$BL$148),"",ReferenceData!$BL$148),"")</f>
        <v/>
      </c>
      <c r="BM148" t="str">
        <f ca="1">IFERROR(IF(0=LEN(ReferenceData!$BM$148),"",ReferenceData!$BM$148),"")</f>
        <v/>
      </c>
    </row>
    <row r="149" spans="1:65" x14ac:dyDescent="0.25">
      <c r="A149" t="str">
        <f>IFERROR(IF(0=LEN(ReferenceData!$A$149),"",ReferenceData!$A$149),"")</f>
        <v xml:space="preserve">    Kia Motors Corp</v>
      </c>
      <c r="B149" t="str">
        <f>IFERROR(IF(0=LEN(ReferenceData!$B$149),"",ReferenceData!$B$149),"")</f>
        <v>000270 KS Equity</v>
      </c>
      <c r="C149" t="str">
        <f>IFERROR(IF(0=LEN(ReferenceData!$C$149),"",ReferenceData!$C$149),"")</f>
        <v>RR903</v>
      </c>
      <c r="D149" t="str">
        <f>IFERROR(IF(0=LEN(ReferenceData!$D$149),"",ReferenceData!$D$149),"")</f>
        <v>PX_TO_BOOK_RATIO</v>
      </c>
      <c r="E149" t="str">
        <f>IFERROR(IF(0=LEN(ReferenceData!$E$149),"",ReferenceData!$E$149),"")</f>
        <v>Dynamic</v>
      </c>
      <c r="F149" t="str">
        <f ca="1">IFERROR(IF(0=LEN(ReferenceData!$F$149),"",ReferenceData!$F$149),"")</f>
        <v/>
      </c>
      <c r="G149">
        <f ca="1">IFERROR(IF(0=LEN(ReferenceData!$G$149),"",ReferenceData!$G$149),"")</f>
        <v>0.48457031299999997</v>
      </c>
      <c r="H149">
        <f ca="1">IFERROR(IF(0=LEN(ReferenceData!$H$149),"",ReferenceData!$H$149),"")</f>
        <v>0.51462686800000002</v>
      </c>
      <c r="I149">
        <f ca="1">IFERROR(IF(0=LEN(ReferenceData!$I$149),"",ReferenceData!$I$149),"")</f>
        <v>0.45423135999999997</v>
      </c>
      <c r="J149">
        <f ca="1">IFERROR(IF(0=LEN(ReferenceData!$J$149),"",ReferenceData!$J$149),"")</f>
        <v>0.46076168899999997</v>
      </c>
      <c r="K149">
        <f ca="1">IFERROR(IF(0=LEN(ReferenceData!$K$149),"",ReferenceData!$K$149),"")</f>
        <v>0.50002266500000003</v>
      </c>
      <c r="L149">
        <f ca="1">IFERROR(IF(0=LEN(ReferenceData!$L$149),"",ReferenceData!$L$149),"")</f>
        <v>0.46998257300000001</v>
      </c>
      <c r="M149">
        <f ca="1">IFERROR(IF(0=LEN(ReferenceData!$M$149),"",ReferenceData!$M$149),"")</f>
        <v>0.56410427100000005</v>
      </c>
      <c r="N149">
        <f ca="1">IFERROR(IF(0=LEN(ReferenceData!$N$149),"",ReferenceData!$N$149),"")</f>
        <v>0.56129345399999997</v>
      </c>
      <c r="O149">
        <f ca="1">IFERROR(IF(0=LEN(ReferenceData!$O$149),"",ReferenceData!$O$149),"")</f>
        <v>0.59860256499999998</v>
      </c>
      <c r="P149">
        <f ca="1">IFERROR(IF(0=LEN(ReferenceData!$P$149),"",ReferenceData!$P$149),"")</f>
        <v>0.66056733999999995</v>
      </c>
      <c r="Q149">
        <f ca="1">IFERROR(IF(0=LEN(ReferenceData!$Q$149),"",ReferenceData!$Q$149),"")</f>
        <v>0.685510014</v>
      </c>
      <c r="R149">
        <f ca="1">IFERROR(IF(0=LEN(ReferenceData!$R$149),"",ReferenceData!$R$149),"")</f>
        <v>0.79599352999999995</v>
      </c>
      <c r="S149">
        <f ca="1">IFERROR(IF(0=LEN(ReferenceData!$S$149),"",ReferenceData!$S$149),"")</f>
        <v>0.87130123299999995</v>
      </c>
      <c r="T149">
        <f ca="1">IFERROR(IF(0=LEN(ReferenceData!$T$149),"",ReferenceData!$T$149),"")</f>
        <v>0.89620218699999998</v>
      </c>
      <c r="U149">
        <f ca="1">IFERROR(IF(0=LEN(ReferenceData!$U$149),"",ReferenceData!$U$149),"")</f>
        <v>0.78038211899999999</v>
      </c>
      <c r="V149">
        <f ca="1">IFERROR(IF(0=LEN(ReferenceData!$V$149),"",ReferenceData!$V$149),"")</f>
        <v>0.81660360200000004</v>
      </c>
      <c r="W149">
        <f ca="1">IFERROR(IF(0=LEN(ReferenceData!$W$149),"",ReferenceData!$W$149),"")</f>
        <v>0.94204121900000004</v>
      </c>
      <c r="X149">
        <f ca="1">IFERROR(IF(0=LEN(ReferenceData!$X$149),"",ReferenceData!$X$149),"")</f>
        <v>0.97594497099999999</v>
      </c>
      <c r="Y149">
        <f ca="1">IFERROR(IF(0=LEN(ReferenceData!$Y$149),"",ReferenceData!$Y$149),"")</f>
        <v>1.060577605</v>
      </c>
      <c r="Z149">
        <f ca="1">IFERROR(IF(0=LEN(ReferenceData!$Z$149),"",ReferenceData!$Z$149),"")</f>
        <v>1.1549068659999999</v>
      </c>
      <c r="AA149">
        <f ca="1">IFERROR(IF(0=LEN(ReferenceData!$AA$149),"",ReferenceData!$AA$149),"")</f>
        <v>1.1216934780000001</v>
      </c>
      <c r="AB149">
        <f ca="1">IFERROR(IF(0=LEN(ReferenceData!$AB$149),"",ReferenceData!$AB$149),"")</f>
        <v>1.3599219339999999</v>
      </c>
      <c r="AC149">
        <f ca="1">IFERROR(IF(0=LEN(ReferenceData!$AC$149),"",ReferenceData!$AC$149),"")</f>
        <v>1.3491179090000001</v>
      </c>
      <c r="AD149">
        <f ca="1">IFERROR(IF(0=LEN(ReferenceData!$AD$149),"",ReferenceData!$AD$149),"")</f>
        <v>1.3029022509999999</v>
      </c>
      <c r="AE149">
        <f ca="1">IFERROR(IF(0=LEN(ReferenceData!$AE$149),"",ReferenceData!$AE$149),"")</f>
        <v>1.358118551</v>
      </c>
      <c r="AF149">
        <f ca="1">IFERROR(IF(0=LEN(ReferenceData!$AF$149),"",ReferenceData!$AF$149),"")</f>
        <v>1.7142597939999999</v>
      </c>
      <c r="AG149">
        <f ca="1">IFERROR(IF(0=LEN(ReferenceData!$AG$149),"",ReferenceData!$AG$149),"")</f>
        <v>1.954160812</v>
      </c>
      <c r="AH149">
        <f ca="1">IFERROR(IF(0=LEN(ReferenceData!$AH$149),"",ReferenceData!$AH$149),"")</f>
        <v>2.0762365159999998</v>
      </c>
      <c r="AI149">
        <f ca="1">IFERROR(IF(0=LEN(ReferenceData!$AI$149),"",ReferenceData!$AI$149),"")</f>
        <v>1.992709034</v>
      </c>
      <c r="AJ149">
        <f ca="1">IFERROR(IF(0=LEN(ReferenceData!$AJ$149),"",ReferenceData!$AJ$149),"")</f>
        <v>2.219682084</v>
      </c>
      <c r="AK149">
        <f ca="1">IFERROR(IF(0=LEN(ReferenceData!$AK$149),"",ReferenceData!$AK$149),"")</f>
        <v>2.306329131</v>
      </c>
      <c r="AL149">
        <f ca="1">IFERROR(IF(0=LEN(ReferenceData!$AL$149),"",ReferenceData!$AL$149),"")</f>
        <v>2.5212434520000002</v>
      </c>
      <c r="AM149" t="str">
        <f ca="1">IFERROR(IF(0=LEN(ReferenceData!$AM$149),"",ReferenceData!$AM$149),"")</f>
        <v/>
      </c>
      <c r="AN149" t="str">
        <f ca="1">IFERROR(IF(0=LEN(ReferenceData!$AN$149),"",ReferenceData!$AN$149),"")</f>
        <v/>
      </c>
      <c r="AO149" t="str">
        <f ca="1">IFERROR(IF(0=LEN(ReferenceData!$AO$149),"",ReferenceData!$AO$149),"")</f>
        <v/>
      </c>
      <c r="AP149" t="str">
        <f ca="1">IFERROR(IF(0=LEN(ReferenceData!$AP$149),"",ReferenceData!$AP$149),"")</f>
        <v/>
      </c>
      <c r="AQ149" t="str">
        <f ca="1">IFERROR(IF(0=LEN(ReferenceData!$AQ$149),"",ReferenceData!$AQ$149),"")</f>
        <v/>
      </c>
      <c r="AR149" t="str">
        <f ca="1">IFERROR(IF(0=LEN(ReferenceData!$AR$149),"",ReferenceData!$AR$149),"")</f>
        <v/>
      </c>
      <c r="AS149" t="str">
        <f ca="1">IFERROR(IF(0=LEN(ReferenceData!$AS$149),"",ReferenceData!$AS$149),"")</f>
        <v/>
      </c>
      <c r="AT149" t="str">
        <f ca="1">IFERROR(IF(0=LEN(ReferenceData!$AT$149),"",ReferenceData!$AT$149),"")</f>
        <v/>
      </c>
      <c r="AU149" t="str">
        <f ca="1">IFERROR(IF(0=LEN(ReferenceData!$AU$149),"",ReferenceData!$AU$149),"")</f>
        <v/>
      </c>
      <c r="AV149" t="str">
        <f ca="1">IFERROR(IF(0=LEN(ReferenceData!$AV$149),"",ReferenceData!$AV$149),"")</f>
        <v/>
      </c>
      <c r="AW149" t="str">
        <f ca="1">IFERROR(IF(0=LEN(ReferenceData!$AW$149),"",ReferenceData!$AW$149),"")</f>
        <v/>
      </c>
      <c r="AX149" t="str">
        <f ca="1">IFERROR(IF(0=LEN(ReferenceData!$AX$149),"",ReferenceData!$AX$149),"")</f>
        <v/>
      </c>
      <c r="AY149" t="str">
        <f ca="1">IFERROR(IF(0=LEN(ReferenceData!$AY$149),"",ReferenceData!$AY$149),"")</f>
        <v/>
      </c>
      <c r="AZ149" t="str">
        <f ca="1">IFERROR(IF(0=LEN(ReferenceData!$AZ$149),"",ReferenceData!$AZ$149),"")</f>
        <v/>
      </c>
      <c r="BA149" t="str">
        <f ca="1">IFERROR(IF(0=LEN(ReferenceData!$BA$149),"",ReferenceData!$BA$149),"")</f>
        <v/>
      </c>
      <c r="BB149" t="str">
        <f ca="1">IFERROR(IF(0=LEN(ReferenceData!$BB$149),"",ReferenceData!$BB$149),"")</f>
        <v/>
      </c>
      <c r="BC149" t="str">
        <f ca="1">IFERROR(IF(0=LEN(ReferenceData!$BC$149),"",ReferenceData!$BC$149),"")</f>
        <v/>
      </c>
      <c r="BD149" t="str">
        <f ca="1">IFERROR(IF(0=LEN(ReferenceData!$BD$149),"",ReferenceData!$BD$149),"")</f>
        <v/>
      </c>
      <c r="BE149" t="str">
        <f ca="1">IFERROR(IF(0=LEN(ReferenceData!$BE$149),"",ReferenceData!$BE$149),"")</f>
        <v/>
      </c>
      <c r="BF149" t="str">
        <f ca="1">IFERROR(IF(0=LEN(ReferenceData!$BF$149),"",ReferenceData!$BF$149),"")</f>
        <v/>
      </c>
      <c r="BG149" t="str">
        <f ca="1">IFERROR(IF(0=LEN(ReferenceData!$BG$149),"",ReferenceData!$BG$149),"")</f>
        <v/>
      </c>
      <c r="BH149" t="str">
        <f ca="1">IFERROR(IF(0=LEN(ReferenceData!$BH$149),"",ReferenceData!$BH$149),"")</f>
        <v/>
      </c>
      <c r="BI149" t="str">
        <f ca="1">IFERROR(IF(0=LEN(ReferenceData!$BI$149),"",ReferenceData!$BI$149),"")</f>
        <v/>
      </c>
      <c r="BJ149" t="str">
        <f ca="1">IFERROR(IF(0=LEN(ReferenceData!$BJ$149),"",ReferenceData!$BJ$149),"")</f>
        <v/>
      </c>
      <c r="BK149" t="str">
        <f ca="1">IFERROR(IF(0=LEN(ReferenceData!$BK$149),"",ReferenceData!$BK$149),"")</f>
        <v/>
      </c>
      <c r="BL149" t="str">
        <f ca="1">IFERROR(IF(0=LEN(ReferenceData!$BL$149),"",ReferenceData!$BL$149),"")</f>
        <v/>
      </c>
      <c r="BM149" t="str">
        <f ca="1">IFERROR(IF(0=LEN(ReferenceData!$BM$149),"",ReferenceData!$BM$149),"")</f>
        <v/>
      </c>
    </row>
    <row r="150" spans="1:65" x14ac:dyDescent="0.25">
      <c r="A150" t="str">
        <f>IFERROR(IF(0=LEN(ReferenceData!$A$150),"",ReferenceData!$A$150),"")</f>
        <v xml:space="preserve">    Mazda Motor Corp</v>
      </c>
      <c r="B150" t="str">
        <f>IFERROR(IF(0=LEN(ReferenceData!$B$150),"",ReferenceData!$B$150),"")</f>
        <v>7261 JP Equity</v>
      </c>
      <c r="C150" t="str">
        <f>IFERROR(IF(0=LEN(ReferenceData!$C$150),"",ReferenceData!$C$150),"")</f>
        <v>RR903</v>
      </c>
      <c r="D150" t="str">
        <f>IFERROR(IF(0=LEN(ReferenceData!$D$150),"",ReferenceData!$D$150),"")</f>
        <v>PX_TO_BOOK_RATIO</v>
      </c>
      <c r="E150" t="str">
        <f>IFERROR(IF(0=LEN(ReferenceData!$E$150),"",ReferenceData!$E$150),"")</f>
        <v>Dynamic</v>
      </c>
      <c r="F150">
        <f ca="1">IFERROR(IF(0=LEN(ReferenceData!$F$150),"",ReferenceData!$F$150),"")</f>
        <v>0.67507848999999998</v>
      </c>
      <c r="G150">
        <f ca="1">IFERROR(IF(0=LEN(ReferenceData!$G$150),"",ReferenceData!$G$150),"")</f>
        <v>0.59558032299999997</v>
      </c>
      <c r="H150">
        <f ca="1">IFERROR(IF(0=LEN(ReferenceData!$H$150),"",ReferenceData!$H$150),"")</f>
        <v>0.71294830300000001</v>
      </c>
      <c r="I150">
        <f ca="1">IFERROR(IF(0=LEN(ReferenceData!$I$150),"",ReferenceData!$I$150),"")</f>
        <v>0.71415880799999998</v>
      </c>
      <c r="J150">
        <f ca="1">IFERROR(IF(0=LEN(ReferenceData!$J$150),"",ReferenceData!$J$150),"")</f>
        <v>0.74237851799999999</v>
      </c>
      <c r="K150">
        <f ca="1">IFERROR(IF(0=LEN(ReferenceData!$K$150),"",ReferenceData!$K$150),"")</f>
        <v>0.81092769399999998</v>
      </c>
      <c r="L150">
        <f ca="1">IFERROR(IF(0=LEN(ReferenceData!$L$150),"",ReferenceData!$L$150),"")</f>
        <v>0.940151446</v>
      </c>
      <c r="M150">
        <f ca="1">IFERROR(IF(0=LEN(ReferenceData!$M$150),"",ReferenceData!$M$150),"")</f>
        <v>0.88238665699999996</v>
      </c>
      <c r="N150">
        <f ca="1">IFERROR(IF(0=LEN(ReferenceData!$N$150),"",ReferenceData!$N$150),"")</f>
        <v>0.92187396399999999</v>
      </c>
      <c r="O150">
        <f ca="1">IFERROR(IF(0=LEN(ReferenceData!$O$150),"",ReferenceData!$O$150),"")</f>
        <v>1.133121517</v>
      </c>
      <c r="P150">
        <f ca="1">IFERROR(IF(0=LEN(ReferenceData!$P$150),"",ReferenceData!$P$150),"")</f>
        <v>0.93528898199999999</v>
      </c>
      <c r="Q150">
        <f ca="1">IFERROR(IF(0=LEN(ReferenceData!$Q$150),"",ReferenceData!$Q$150),"")</f>
        <v>0.85065622399999996</v>
      </c>
      <c r="R150">
        <f ca="1">IFERROR(IF(0=LEN(ReferenceData!$R$150),"",ReferenceData!$R$150),"")</f>
        <v>1.0944128719999999</v>
      </c>
      <c r="S150">
        <f ca="1">IFERROR(IF(0=LEN(ReferenceData!$S$150),"",ReferenceData!$S$150),"")</f>
        <v>1.5553195390000001</v>
      </c>
      <c r="T150">
        <f ca="1">IFERROR(IF(0=LEN(ReferenceData!$T$150),"",ReferenceData!$T$150),"")</f>
        <v>1.0471482009999999</v>
      </c>
      <c r="U150">
        <f ca="1">IFERROR(IF(0=LEN(ReferenceData!$U$150),"",ReferenceData!$U$150),"")</f>
        <v>1.594509231</v>
      </c>
      <c r="V150">
        <f ca="1">IFERROR(IF(0=LEN(ReferenceData!$V$150),"",ReferenceData!$V$150),"")</f>
        <v>1.676737999</v>
      </c>
      <c r="W150">
        <f ca="1">IFERROR(IF(0=LEN(ReferenceData!$W$150),"",ReferenceData!$W$150),"")</f>
        <v>1.8177646970000001</v>
      </c>
      <c r="X150">
        <f ca="1">IFERROR(IF(0=LEN(ReferenceData!$X$150),"",ReferenceData!$X$150),"")</f>
        <v>2.171909243</v>
      </c>
      <c r="Y150">
        <f ca="1">IFERROR(IF(0=LEN(ReferenceData!$Y$150),"",ReferenceData!$Y$150),"")</f>
        <v>2.0041403350000002</v>
      </c>
      <c r="Z150">
        <f ca="1">IFERROR(IF(0=LEN(ReferenceData!$Z$150),"",ReferenceData!$Z$150),"")</f>
        <v>2.0720125679999999</v>
      </c>
      <c r="AA150">
        <f ca="1">IFERROR(IF(0=LEN(ReferenceData!$AA$150),"",ReferenceData!$AA$150),"")</f>
        <v>2.7401740399999999</v>
      </c>
      <c r="AB150">
        <f ca="1">IFERROR(IF(0=LEN(ReferenceData!$AB$150),"",ReferenceData!$AB$150),"")</f>
        <v>2.3921083959999998</v>
      </c>
      <c r="AC150">
        <f ca="1">IFERROR(IF(0=LEN(ReferenceData!$AC$150),"",ReferenceData!$AC$150),"")</f>
        <v>2.2445297360000001</v>
      </c>
      <c r="AD150">
        <f ca="1">IFERROR(IF(0=LEN(ReferenceData!$AD$150),"",ReferenceData!$AD$150),"")</f>
        <v>1.6923733670000001</v>
      </c>
      <c r="AE150">
        <f ca="1">IFERROR(IF(0=LEN(ReferenceData!$AE$150),"",ReferenceData!$AE$150),"")</f>
        <v>1.085389816</v>
      </c>
      <c r="AF150">
        <f ca="1">IFERROR(IF(0=LEN(ReferenceData!$AF$150),"",ReferenceData!$AF$150),"")</f>
        <v>0.56834652299999999</v>
      </c>
      <c r="AG150">
        <f ca="1">IFERROR(IF(0=LEN(ReferenceData!$AG$150),"",ReferenceData!$AG$150),"")</f>
        <v>0.67860779500000001</v>
      </c>
      <c r="AH150">
        <f ca="1">IFERROR(IF(0=LEN(ReferenceData!$AH$150),"",ReferenceData!$AH$150),"")</f>
        <v>0.92393597100000002</v>
      </c>
      <c r="AI150">
        <f ca="1">IFERROR(IF(0=LEN(ReferenceData!$AI$150),"",ReferenceData!$AI$150),"")</f>
        <v>0.743422994</v>
      </c>
      <c r="AJ150">
        <f ca="1">IFERROR(IF(0=LEN(ReferenceData!$AJ$150),"",ReferenceData!$AJ$150),"")</f>
        <v>0.71237758100000004</v>
      </c>
      <c r="AK150">
        <f ca="1">IFERROR(IF(0=LEN(ReferenceData!$AK$150),"",ReferenceData!$AK$150),"")</f>
        <v>0.91370200700000004</v>
      </c>
      <c r="AL150">
        <f ca="1">IFERROR(IF(0=LEN(ReferenceData!$AL$150),"",ReferenceData!$AL$150),"")</f>
        <v>0.75463413899999998</v>
      </c>
      <c r="AM150">
        <f ca="1">IFERROR(IF(0=LEN(ReferenceData!$AM$150),"",ReferenceData!$AM$150),"")</f>
        <v>0.83260830299999999</v>
      </c>
      <c r="AN150">
        <f ca="1">IFERROR(IF(0=LEN(ReferenceData!$AN$150),"",ReferenceData!$AN$150),"")</f>
        <v>0.71116890099999996</v>
      </c>
      <c r="AO150">
        <f ca="1">IFERROR(IF(0=LEN(ReferenceData!$AO$150),"",ReferenceData!$AO$150),"")</f>
        <v>0.74348755300000002</v>
      </c>
      <c r="AP150">
        <f ca="1">IFERROR(IF(0=LEN(ReferenceData!$AP$150),"",ReferenceData!$AP$150),"")</f>
        <v>0.91582982700000004</v>
      </c>
      <c r="AQ150">
        <f ca="1">IFERROR(IF(0=LEN(ReferenceData!$AQ$150),"",ReferenceData!$AQ$150),"")</f>
        <v>0.75431752500000004</v>
      </c>
      <c r="AR150">
        <f ca="1">IFERROR(IF(0=LEN(ReferenceData!$AR$150),"",ReferenceData!$AR$150),"")</f>
        <v>0.65078304499999995</v>
      </c>
      <c r="AS150">
        <f ca="1">IFERROR(IF(0=LEN(ReferenceData!$AS$150),"",ReferenceData!$AS$150),"")</f>
        <v>0.81022911500000006</v>
      </c>
      <c r="AT150">
        <f ca="1">IFERROR(IF(0=LEN(ReferenceData!$AT$150),"",ReferenceData!$AT$150),"")</f>
        <v>0.52023301</v>
      </c>
      <c r="AU150">
        <f ca="1">IFERROR(IF(0=LEN(ReferenceData!$AU$150),"",ReferenceData!$AU$150),"")</f>
        <v>0.37534551700000002</v>
      </c>
      <c r="AV150">
        <f ca="1">IFERROR(IF(0=LEN(ReferenceData!$AV$150),"",ReferenceData!$AV$150),"")</f>
        <v>1.032043778</v>
      </c>
      <c r="AW150">
        <f ca="1">IFERROR(IF(0=LEN(ReferenceData!$AW$150),"",ReferenceData!$AW$150),"")</f>
        <v>1.416952776</v>
      </c>
      <c r="AX150">
        <f ca="1">IFERROR(IF(0=LEN(ReferenceData!$AX$150),"",ReferenceData!$AX$150),"")</f>
        <v>0.90058853000000005</v>
      </c>
      <c r="AY150">
        <f ca="1">IFERROR(IF(0=LEN(ReferenceData!$AY$150),"",ReferenceData!$AY$150),"")</f>
        <v>1.5611448400000001</v>
      </c>
      <c r="AZ150">
        <f ca="1">IFERROR(IF(0=LEN(ReferenceData!$AZ$150),"",ReferenceData!$AZ$150),"")</f>
        <v>1.638163032</v>
      </c>
      <c r="BA150">
        <f ca="1">IFERROR(IF(0=LEN(ReferenceData!$BA$150),"",ReferenceData!$BA$150),"")</f>
        <v>2.093632736</v>
      </c>
      <c r="BB150">
        <f ca="1">IFERROR(IF(0=LEN(ReferenceData!$BB$150),"",ReferenceData!$BB$150),"")</f>
        <v>1.9483831840000001</v>
      </c>
      <c r="BC150">
        <f ca="1">IFERROR(IF(0=LEN(ReferenceData!$BC$150),"",ReferenceData!$BC$150),"")</f>
        <v>2.6204830690000001</v>
      </c>
      <c r="BD150">
        <f ca="1">IFERROR(IF(0=LEN(ReferenceData!$BD$150),"",ReferenceData!$BD$150),"")</f>
        <v>2.4170324700000001</v>
      </c>
      <c r="BE150">
        <f ca="1">IFERROR(IF(0=LEN(ReferenceData!$BE$150),"",ReferenceData!$BE$150),"")</f>
        <v>2.5294096700000002</v>
      </c>
      <c r="BF150">
        <f ca="1">IFERROR(IF(0=LEN(ReferenceData!$BF$150),"",ReferenceData!$BF$150),"")</f>
        <v>2.5150925719999999</v>
      </c>
      <c r="BG150">
        <f ca="1">IFERROR(IF(0=LEN(ReferenceData!$BG$150),"",ReferenceData!$BG$150),"")</f>
        <v>2.059958741</v>
      </c>
      <c r="BH150">
        <f ca="1">IFERROR(IF(0=LEN(ReferenceData!$BH$150),"",ReferenceData!$BH$150),"")</f>
        <v>1.982854715</v>
      </c>
      <c r="BI150">
        <f ca="1">IFERROR(IF(0=LEN(ReferenceData!$BI$150),"",ReferenceData!$BI$150),"")</f>
        <v>1.8988628519999999</v>
      </c>
      <c r="BJ150">
        <f ca="1">IFERROR(IF(0=LEN(ReferenceData!$BJ$150),"",ReferenceData!$BJ$150),"")</f>
        <v>1.661982858</v>
      </c>
      <c r="BK150">
        <f ca="1">IFERROR(IF(0=LEN(ReferenceData!$BK$150),"",ReferenceData!$BK$150),"")</f>
        <v>1.5714310570000001</v>
      </c>
      <c r="BL150">
        <f ca="1">IFERROR(IF(0=LEN(ReferenceData!$BL$150),"",ReferenceData!$BL$150),"")</f>
        <v>1.722536689</v>
      </c>
      <c r="BM150">
        <f ca="1">IFERROR(IF(0=LEN(ReferenceData!$BM$150),"",ReferenceData!$BM$150),"")</f>
        <v>2.0198165220000002</v>
      </c>
    </row>
    <row r="151" spans="1:65" x14ac:dyDescent="0.25">
      <c r="A151" t="str">
        <f>IFERROR(IF(0=LEN(ReferenceData!$A$151),"",ReferenceData!$A$151),"")</f>
        <v xml:space="preserve">    Mitsubishi Motors Corp</v>
      </c>
      <c r="B151" t="str">
        <f>IFERROR(IF(0=LEN(ReferenceData!$B$151),"",ReferenceData!$B$151),"")</f>
        <v>7211 JP Equity</v>
      </c>
      <c r="C151" t="str">
        <f>IFERROR(IF(0=LEN(ReferenceData!$C$151),"",ReferenceData!$C$151),"")</f>
        <v>RR903</v>
      </c>
      <c r="D151" t="str">
        <f>IFERROR(IF(0=LEN(ReferenceData!$D$151),"",ReferenceData!$D$151),"")</f>
        <v>PX_TO_BOOK_RATIO</v>
      </c>
      <c r="E151" t="str">
        <f>IFERROR(IF(0=LEN(ReferenceData!$E$151),"",ReferenceData!$E$151),"")</f>
        <v>Dynamic</v>
      </c>
      <c r="F151">
        <f ca="1">IFERROR(IF(0=LEN(ReferenceData!$F$151),"",ReferenceData!$F$151),"")</f>
        <v>1.148113717</v>
      </c>
      <c r="G151">
        <f ca="1">IFERROR(IF(0=LEN(ReferenceData!$G$151),"",ReferenceData!$G$151),"")</f>
        <v>1.109413255</v>
      </c>
      <c r="H151">
        <f ca="1">IFERROR(IF(0=LEN(ReferenceData!$H$151),"",ReferenceData!$H$151),"")</f>
        <v>1.465166389</v>
      </c>
      <c r="I151">
        <f ca="1">IFERROR(IF(0=LEN(ReferenceData!$I$151),"",ReferenceData!$I$151),"")</f>
        <v>1.678830936</v>
      </c>
      <c r="J151">
        <f ca="1">IFERROR(IF(0=LEN(ReferenceData!$J$151),"",ReferenceData!$J$151),"")</f>
        <v>1.45176284</v>
      </c>
      <c r="K151">
        <f ca="1">IFERROR(IF(0=LEN(ReferenceData!$K$151),"",ReferenceData!$K$151),"")</f>
        <v>1.613119102</v>
      </c>
      <c r="L151">
        <f ca="1">IFERROR(IF(0=LEN(ReferenceData!$L$151),"",ReferenceData!$L$151),"")</f>
        <v>1.8049931269999999</v>
      </c>
      <c r="M151">
        <f ca="1">IFERROR(IF(0=LEN(ReferenceData!$M$151),"",ReferenceData!$M$151),"")</f>
        <v>1.565991922</v>
      </c>
      <c r="N151">
        <f ca="1">IFERROR(IF(0=LEN(ReferenceData!$N$151),"",ReferenceData!$N$151),"")</f>
        <v>1.4437583039999999</v>
      </c>
      <c r="O151">
        <f ca="1">IFERROR(IF(0=LEN(ReferenceData!$O$151),"",ReferenceData!$O$151),"")</f>
        <v>1.4667075570000001</v>
      </c>
      <c r="P151">
        <f ca="1">IFERROR(IF(0=LEN(ReferenceData!$P$151),"",ReferenceData!$P$151),"")</f>
        <v>1.1223585789999999</v>
      </c>
      <c r="Q151">
        <f ca="1">IFERROR(IF(0=LEN(ReferenceData!$Q$151),"",ReferenceData!$Q$151),"")</f>
        <v>0.90653877999999999</v>
      </c>
      <c r="R151">
        <f ca="1">IFERROR(IF(0=LEN(ReferenceData!$R$151),"",ReferenceData!$R$151),"")</f>
        <v>1.2352564859999999</v>
      </c>
      <c r="S151">
        <f ca="1">IFERROR(IF(0=LEN(ReferenceData!$S$151),"",ReferenceData!$S$151),"")</f>
        <v>1.4613304789999999</v>
      </c>
      <c r="T151">
        <f ca="1">IFERROR(IF(0=LEN(ReferenceData!$T$151),"",ReferenceData!$T$151),"")</f>
        <v>1.3280047559999999</v>
      </c>
      <c r="U151">
        <f ca="1">IFERROR(IF(0=LEN(ReferenceData!$U$151),"",ReferenceData!$U$151),"")</f>
        <v>1.5271876529999999</v>
      </c>
      <c r="V151">
        <f ca="1">IFERROR(IF(0=LEN(ReferenceData!$V$151),"",ReferenceData!$V$151),"")</f>
        <v>1.6200220750000001</v>
      </c>
      <c r="W151">
        <f ca="1">IFERROR(IF(0=LEN(ReferenceData!$W$151),"",ReferenceData!$W$151),"")</f>
        <v>1.6840351979999999</v>
      </c>
      <c r="X151">
        <f ca="1">IFERROR(IF(0=LEN(ReferenceData!$X$151),"",ReferenceData!$X$151),"")</f>
        <v>2.2012924489999999</v>
      </c>
      <c r="Y151">
        <f ca="1">IFERROR(IF(0=LEN(ReferenceData!$Y$151),"",ReferenceData!$Y$151),"")</f>
        <v>2.0153723289999999</v>
      </c>
      <c r="Z151">
        <f ca="1">IFERROR(IF(0=LEN(ReferenceData!$Z$151),"",ReferenceData!$Z$151),"")</f>
        <v>1.964945237</v>
      </c>
      <c r="AA151">
        <f ca="1">IFERROR(IF(0=LEN(ReferenceData!$AA$151),"",ReferenceData!$AA$151),"")</f>
        <v>12.7950304</v>
      </c>
      <c r="AB151">
        <f ca="1">IFERROR(IF(0=LEN(ReferenceData!$AB$151),"",ReferenceData!$AB$151),"")</f>
        <v>130.17882900000001</v>
      </c>
      <c r="AC151" t="str">
        <f ca="1">IFERROR(IF(0=LEN(ReferenceData!$AC$151),"",ReferenceData!$AC$151),"")</f>
        <v/>
      </c>
      <c r="AD151" t="str">
        <f ca="1">IFERROR(IF(0=LEN(ReferenceData!$AD$151),"",ReferenceData!$AD$151),"")</f>
        <v/>
      </c>
      <c r="AE151" t="str">
        <f ca="1">IFERROR(IF(0=LEN(ReferenceData!$AE$151),"",ReferenceData!$AE$151),"")</f>
        <v/>
      </c>
      <c r="AF151" t="str">
        <f ca="1">IFERROR(IF(0=LEN(ReferenceData!$AF$151),"",ReferenceData!$AF$151),"")</f>
        <v/>
      </c>
      <c r="AG151" t="str">
        <f ca="1">IFERROR(IF(0=LEN(ReferenceData!$AG$151),"",ReferenceData!$AG$151),"")</f>
        <v/>
      </c>
      <c r="AH151" t="str">
        <f ca="1">IFERROR(IF(0=LEN(ReferenceData!$AH$151),"",ReferenceData!$AH$151),"")</f>
        <v/>
      </c>
      <c r="AI151" t="str">
        <f ca="1">IFERROR(IF(0=LEN(ReferenceData!$AI$151),"",ReferenceData!$AI$151),"")</f>
        <v/>
      </c>
      <c r="AJ151" t="str">
        <f ca="1">IFERROR(IF(0=LEN(ReferenceData!$AJ$151),"",ReferenceData!$AJ$151),"")</f>
        <v/>
      </c>
      <c r="AK151" t="str">
        <f ca="1">IFERROR(IF(0=LEN(ReferenceData!$AK$151),"",ReferenceData!$AK$151),"")</f>
        <v/>
      </c>
      <c r="AL151" t="str">
        <f ca="1">IFERROR(IF(0=LEN(ReferenceData!$AL$151),"",ReferenceData!$AL$151),"")</f>
        <v/>
      </c>
      <c r="AM151" t="str">
        <f ca="1">IFERROR(IF(0=LEN(ReferenceData!$AM$151),"",ReferenceData!$AM$151),"")</f>
        <v/>
      </c>
      <c r="AN151" t="str">
        <f ca="1">IFERROR(IF(0=LEN(ReferenceData!$AN$151),"",ReferenceData!$AN$151),"")</f>
        <v/>
      </c>
      <c r="AO151" t="str">
        <f ca="1">IFERROR(IF(0=LEN(ReferenceData!$AO$151),"",ReferenceData!$AO$151),"")</f>
        <v/>
      </c>
      <c r="AP151" t="str">
        <f ca="1">IFERROR(IF(0=LEN(ReferenceData!$AP$151),"",ReferenceData!$AP$151),"")</f>
        <v/>
      </c>
      <c r="AQ151" t="str">
        <f ca="1">IFERROR(IF(0=LEN(ReferenceData!$AQ$151),"",ReferenceData!$AQ$151),"")</f>
        <v/>
      </c>
      <c r="AR151" t="str">
        <f ca="1">IFERROR(IF(0=LEN(ReferenceData!$AR$151),"",ReferenceData!$AR$151),"")</f>
        <v/>
      </c>
      <c r="AS151" t="str">
        <f ca="1">IFERROR(IF(0=LEN(ReferenceData!$AS$151),"",ReferenceData!$AS$151),"")</f>
        <v/>
      </c>
      <c r="AT151" t="str">
        <f ca="1">IFERROR(IF(0=LEN(ReferenceData!$AT$151),"",ReferenceData!$AT$151),"")</f>
        <v/>
      </c>
      <c r="AU151" t="str">
        <f ca="1">IFERROR(IF(0=LEN(ReferenceData!$AU$151),"",ReferenceData!$AU$151),"")</f>
        <v/>
      </c>
      <c r="AV151" t="str">
        <f ca="1">IFERROR(IF(0=LEN(ReferenceData!$AV$151),"",ReferenceData!$AV$151),"")</f>
        <v/>
      </c>
      <c r="AW151" t="str">
        <f ca="1">IFERROR(IF(0=LEN(ReferenceData!$AW$151),"",ReferenceData!$AW$151),"")</f>
        <v/>
      </c>
      <c r="AX151" t="str">
        <f ca="1">IFERROR(IF(0=LEN(ReferenceData!$AX$151),"",ReferenceData!$AX$151),"")</f>
        <v/>
      </c>
      <c r="AY151" t="str">
        <f ca="1">IFERROR(IF(0=LEN(ReferenceData!$AY$151),"",ReferenceData!$AY$151),"")</f>
        <v/>
      </c>
      <c r="AZ151" t="str">
        <f ca="1">IFERROR(IF(0=LEN(ReferenceData!$AZ$151),"",ReferenceData!$AZ$151),"")</f>
        <v/>
      </c>
      <c r="BA151" t="str">
        <f ca="1">IFERROR(IF(0=LEN(ReferenceData!$BA$151),"",ReferenceData!$BA$151),"")</f>
        <v/>
      </c>
      <c r="BB151" t="str">
        <f ca="1">IFERROR(IF(0=LEN(ReferenceData!$BB$151),"",ReferenceData!$BB$151),"")</f>
        <v/>
      </c>
      <c r="BC151" t="str">
        <f ca="1">IFERROR(IF(0=LEN(ReferenceData!$BC$151),"",ReferenceData!$BC$151),"")</f>
        <v/>
      </c>
      <c r="BD151" t="str">
        <f ca="1">IFERROR(IF(0=LEN(ReferenceData!$BD$151),"",ReferenceData!$BD$151),"")</f>
        <v/>
      </c>
      <c r="BE151" t="str">
        <f ca="1">IFERROR(IF(0=LEN(ReferenceData!$BE$151),"",ReferenceData!$BE$151),"")</f>
        <v/>
      </c>
      <c r="BF151" t="str">
        <f ca="1">IFERROR(IF(0=LEN(ReferenceData!$BF$151),"",ReferenceData!$BF$151),"")</f>
        <v/>
      </c>
      <c r="BG151" t="str">
        <f ca="1">IFERROR(IF(0=LEN(ReferenceData!$BG$151),"",ReferenceData!$BG$151),"")</f>
        <v/>
      </c>
      <c r="BH151" t="str">
        <f ca="1">IFERROR(IF(0=LEN(ReferenceData!$BH$151),"",ReferenceData!$BH$151),"")</f>
        <v/>
      </c>
      <c r="BI151" t="str">
        <f ca="1">IFERROR(IF(0=LEN(ReferenceData!$BI$151),"",ReferenceData!$BI$151),"")</f>
        <v/>
      </c>
      <c r="BJ151" t="str">
        <f ca="1">IFERROR(IF(0=LEN(ReferenceData!$BJ$151),"",ReferenceData!$BJ$151),"")</f>
        <v/>
      </c>
      <c r="BK151" t="str">
        <f ca="1">IFERROR(IF(0=LEN(ReferenceData!$BK$151),"",ReferenceData!$BK$151),"")</f>
        <v/>
      </c>
      <c r="BL151" t="str">
        <f ca="1">IFERROR(IF(0=LEN(ReferenceData!$BL$151),"",ReferenceData!$BL$151),"")</f>
        <v/>
      </c>
      <c r="BM151">
        <f ca="1">IFERROR(IF(0=LEN(ReferenceData!$BM$151),"",ReferenceData!$BM$151),"")</f>
        <v>9.0078644860000008</v>
      </c>
    </row>
    <row r="152" spans="1:65" x14ac:dyDescent="0.25">
      <c r="A152" t="str">
        <f>IFERROR(IF(0=LEN(ReferenceData!$A$152),"",ReferenceData!$A$152),"")</f>
        <v xml:space="preserve">    Nissan Motor Co Ltd</v>
      </c>
      <c r="B152" t="str">
        <f>IFERROR(IF(0=LEN(ReferenceData!$B$152),"",ReferenceData!$B$152),"")</f>
        <v>7201 JP Equity</v>
      </c>
      <c r="C152" t="str">
        <f>IFERROR(IF(0=LEN(ReferenceData!$C$152),"",ReferenceData!$C$152),"")</f>
        <v>RR903</v>
      </c>
      <c r="D152" t="str">
        <f>IFERROR(IF(0=LEN(ReferenceData!$D$152),"",ReferenceData!$D$152),"")</f>
        <v>PX_TO_BOOK_RATIO</v>
      </c>
      <c r="E152" t="str">
        <f>IFERROR(IF(0=LEN(ReferenceData!$E$152),"",ReferenceData!$E$152),"")</f>
        <v>Dynamic</v>
      </c>
      <c r="F152">
        <f ca="1">IFERROR(IF(0=LEN(ReferenceData!$F$152),"",ReferenceData!$F$152),"")</f>
        <v>0.69451043099999998</v>
      </c>
      <c r="G152">
        <f ca="1">IFERROR(IF(0=LEN(ReferenceData!$G$152),"",ReferenceData!$G$152),"")</f>
        <v>0.64518523900000002</v>
      </c>
      <c r="H152">
        <f ca="1">IFERROR(IF(0=LEN(ReferenceData!$H$152),"",ReferenceData!$H$152),"")</f>
        <v>0.75940268600000005</v>
      </c>
      <c r="I152">
        <f ca="1">IFERROR(IF(0=LEN(ReferenceData!$I$152),"",ReferenceData!$I$152),"")</f>
        <v>0.79501898500000001</v>
      </c>
      <c r="J152">
        <f ca="1">IFERROR(IF(0=LEN(ReferenceData!$J$152),"",ReferenceData!$J$152),"")</f>
        <v>0.80170409099999995</v>
      </c>
      <c r="K152">
        <f ca="1">IFERROR(IF(0=LEN(ReferenceData!$K$152),"",ReferenceData!$K$152),"")</f>
        <v>0.82704683700000003</v>
      </c>
      <c r="L152">
        <f ca="1">IFERROR(IF(0=LEN(ReferenceData!$L$152),"",ReferenceData!$L$152),"")</f>
        <v>0.85690069499999999</v>
      </c>
      <c r="M152">
        <f ca="1">IFERROR(IF(0=LEN(ReferenceData!$M$152),"",ReferenceData!$M$152),"")</f>
        <v>0.89470768899999997</v>
      </c>
      <c r="N152">
        <f ca="1">IFERROR(IF(0=LEN(ReferenceData!$N$152),"",ReferenceData!$N$152),"")</f>
        <v>0.86363506199999995</v>
      </c>
      <c r="O152">
        <f ca="1">IFERROR(IF(0=LEN(ReferenceData!$O$152),"",ReferenceData!$O$152),"")</f>
        <v>1.026574082</v>
      </c>
      <c r="P152">
        <f ca="1">IFERROR(IF(0=LEN(ReferenceData!$P$152),"",ReferenceData!$P$152),"")</f>
        <v>0.923052121</v>
      </c>
      <c r="Q152">
        <f ca="1">IFERROR(IF(0=LEN(ReferenceData!$Q$152),"",ReferenceData!$Q$152),"")</f>
        <v>0.85174911099999995</v>
      </c>
      <c r="R152">
        <f ca="1">IFERROR(IF(0=LEN(ReferenceData!$R$152),"",ReferenceData!$R$152),"")</f>
        <v>0.91946268900000006</v>
      </c>
      <c r="S152">
        <f ca="1">IFERROR(IF(0=LEN(ReferenceData!$S$152),"",ReferenceData!$S$152),"")</f>
        <v>1.087053415</v>
      </c>
      <c r="T152">
        <f ca="1">IFERROR(IF(0=LEN(ReferenceData!$T$152),"",ReferenceData!$T$152),"")</f>
        <v>0.93000558700000002</v>
      </c>
      <c r="U152">
        <f ca="1">IFERROR(IF(0=LEN(ReferenceData!$U$152),"",ReferenceData!$U$152),"")</f>
        <v>1.0835478460000001</v>
      </c>
      <c r="V152">
        <f ca="1">IFERROR(IF(0=LEN(ReferenceData!$V$152),"",ReferenceData!$V$152),"")</f>
        <v>1.0612311379999999</v>
      </c>
      <c r="W152">
        <f ca="1">IFERROR(IF(0=LEN(ReferenceData!$W$152),"",ReferenceData!$W$152),"")</f>
        <v>0.940942151</v>
      </c>
      <c r="X152">
        <f ca="1">IFERROR(IF(0=LEN(ReferenceData!$X$152),"",ReferenceData!$X$152),"")</f>
        <v>0.99489985599999997</v>
      </c>
      <c r="Y152">
        <f ca="1">IFERROR(IF(0=LEN(ReferenceData!$Y$152),"",ReferenceData!$Y$152),"")</f>
        <v>0.94002921900000003</v>
      </c>
      <c r="Z152">
        <f ca="1">IFERROR(IF(0=LEN(ReferenceData!$Z$152),"",ReferenceData!$Z$152),"")</f>
        <v>0.88834443200000002</v>
      </c>
      <c r="AA152">
        <f ca="1">IFERROR(IF(0=LEN(ReferenceData!$AA$152),"",ReferenceData!$AA$152),"")</f>
        <v>0.877726216</v>
      </c>
      <c r="AB152">
        <f ca="1">IFERROR(IF(0=LEN(ReferenceData!$AB$152),"",ReferenceData!$AB$152),"")</f>
        <v>1.0198504610000001</v>
      </c>
      <c r="AC152">
        <f ca="1">IFERROR(IF(0=LEN(ReferenceData!$AC$152),"",ReferenceData!$AC$152),"")</f>
        <v>1.0850594360000001</v>
      </c>
      <c r="AD152">
        <f ca="1">IFERROR(IF(0=LEN(ReferenceData!$AD$152),"",ReferenceData!$AD$152),"")</f>
        <v>1.015759933</v>
      </c>
      <c r="AE152">
        <f ca="1">IFERROR(IF(0=LEN(ReferenceData!$AE$152),"",ReferenceData!$AE$152),"")</f>
        <v>1.0092507580000001</v>
      </c>
      <c r="AF152">
        <f ca="1">IFERROR(IF(0=LEN(ReferenceData!$AF$152),"",ReferenceData!$AF$152),"")</f>
        <v>0.87982979100000003</v>
      </c>
      <c r="AG152">
        <f ca="1">IFERROR(IF(0=LEN(ReferenceData!$AG$152),"",ReferenceData!$AG$152),"")</f>
        <v>1.0137513979999999</v>
      </c>
      <c r="AH152">
        <f ca="1">IFERROR(IF(0=LEN(ReferenceData!$AH$152),"",ReferenceData!$AH$152),"")</f>
        <v>1.1725665919999999</v>
      </c>
      <c r="AI152">
        <f ca="1">IFERROR(IF(0=LEN(ReferenceData!$AI$152),"",ReferenceData!$AI$152),"")</f>
        <v>0.99183923299999999</v>
      </c>
      <c r="AJ152">
        <f ca="1">IFERROR(IF(0=LEN(ReferenceData!$AJ$152),"",ReferenceData!$AJ$152),"")</f>
        <v>0.99635244499999998</v>
      </c>
      <c r="AK152">
        <f ca="1">IFERROR(IF(0=LEN(ReferenceData!$AK$152),"",ReferenceData!$AK$152),"")</f>
        <v>1.1743056549999999</v>
      </c>
      <c r="AL152">
        <f ca="1">IFERROR(IF(0=LEN(ReferenceData!$AL$152),"",ReferenceData!$AL$152),"")</f>
        <v>1.0486866109999999</v>
      </c>
      <c r="AM152">
        <f ca="1">IFERROR(IF(0=LEN(ReferenceData!$AM$152),"",ReferenceData!$AM$152),"")</f>
        <v>1.1317871079999999</v>
      </c>
      <c r="AN152">
        <f ca="1">IFERROR(IF(0=LEN(ReferenceData!$AN$152),"",ReferenceData!$AN$152),"")</f>
        <v>1.0762659880000001</v>
      </c>
      <c r="AO152">
        <f ca="1">IFERROR(IF(0=LEN(ReferenceData!$AO$152),"",ReferenceData!$AO$152),"")</f>
        <v>0.940334314</v>
      </c>
      <c r="AP152">
        <f ca="1">IFERROR(IF(0=LEN(ReferenceData!$AP$152),"",ReferenceData!$AP$152),"")</f>
        <v>1.205439173</v>
      </c>
      <c r="AQ152">
        <f ca="1">IFERROR(IF(0=LEN(ReferenceData!$AQ$152),"",ReferenceData!$AQ$152),"")</f>
        <v>1.227665451</v>
      </c>
      <c r="AR152">
        <f ca="1">IFERROR(IF(0=LEN(ReferenceData!$AR$152),"",ReferenceData!$AR$152),"")</f>
        <v>0.94935435599999995</v>
      </c>
      <c r="AS152">
        <f ca="1">IFERROR(IF(0=LEN(ReferenceData!$AS$152),"",ReferenceData!$AS$152),"")</f>
        <v>0.89150294699999999</v>
      </c>
      <c r="AT152">
        <f ca="1">IFERROR(IF(0=LEN(ReferenceData!$AT$152),"",ReferenceData!$AT$152),"")</f>
        <v>0.54254447400000005</v>
      </c>
      <c r="AU152">
        <f ca="1">IFERROR(IF(0=LEN(ReferenceData!$AU$152),"",ReferenceData!$AU$152),"")</f>
        <v>0.44770670299999998</v>
      </c>
      <c r="AV152">
        <f ca="1">IFERROR(IF(0=LEN(ReferenceData!$AV$152),"",ReferenceData!$AV$152),"")</f>
        <v>0.80702217200000004</v>
      </c>
      <c r="AW152">
        <f ca="1">IFERROR(IF(0=LEN(ReferenceData!$AW$152),"",ReferenceData!$AW$152),"")</f>
        <v>0.99679913399999998</v>
      </c>
      <c r="AX152">
        <f ca="1">IFERROR(IF(0=LEN(ReferenceData!$AX$152),"",ReferenceData!$AX$152),"")</f>
        <v>0.95747877000000003</v>
      </c>
      <c r="AY152">
        <f ca="1">IFERROR(IF(0=LEN(ReferenceData!$AY$152),"",ReferenceData!$AY$152),"")</f>
        <v>1.3559695730000001</v>
      </c>
      <c r="AZ152">
        <f ca="1">IFERROR(IF(0=LEN(ReferenceData!$AZ$152),"",ReferenceData!$AZ$152),"")</f>
        <v>1.272406688</v>
      </c>
      <c r="BA152">
        <f ca="1">IFERROR(IF(0=LEN(ReferenceData!$BA$152),"",ReferenceData!$BA$152),"")</f>
        <v>1.4613316810000001</v>
      </c>
      <c r="BB152">
        <f ca="1">IFERROR(IF(0=LEN(ReferenceData!$BB$152),"",ReferenceData!$BB$152),"")</f>
        <v>1.4635844149999999</v>
      </c>
      <c r="BC152">
        <f ca="1">IFERROR(IF(0=LEN(ReferenceData!$BC$152),"",ReferenceData!$BC$152),"")</f>
        <v>1.720515231</v>
      </c>
      <c r="BD152">
        <f ca="1">IFERROR(IF(0=LEN(ReferenceData!$BD$152),"",ReferenceData!$BD$152),"")</f>
        <v>1.637948046</v>
      </c>
      <c r="BE152">
        <f ca="1">IFERROR(IF(0=LEN(ReferenceData!$BE$152),"",ReferenceData!$BE$152),"")</f>
        <v>1.637154156</v>
      </c>
      <c r="BF152">
        <f ca="1">IFERROR(IF(0=LEN(ReferenceData!$BF$152),"",ReferenceData!$BF$152),"")</f>
        <v>1.855236401</v>
      </c>
      <c r="BG152">
        <f ca="1">IFERROR(IF(0=LEN(ReferenceData!$BG$152),"",ReferenceData!$BG$152),"")</f>
        <v>1.7809237899999999</v>
      </c>
      <c r="BH152">
        <f ca="1">IFERROR(IF(0=LEN(ReferenceData!$BH$152),"",ReferenceData!$BH$152),"")</f>
        <v>1.9444627059999999</v>
      </c>
      <c r="BI152">
        <f ca="1">IFERROR(IF(0=LEN(ReferenceData!$BI$152),"",ReferenceData!$BI$152),"")</f>
        <v>1.8045279729999999</v>
      </c>
      <c r="BJ152">
        <f ca="1">IFERROR(IF(0=LEN(ReferenceData!$BJ$152),"",ReferenceData!$BJ$152),"")</f>
        <v>1.817760075</v>
      </c>
      <c r="BK152">
        <f ca="1">IFERROR(IF(0=LEN(ReferenceData!$BK$152),"",ReferenceData!$BK$152),"")</f>
        <v>2.0092855200000002</v>
      </c>
      <c r="BL152">
        <f ca="1">IFERROR(IF(0=LEN(ReferenceData!$BL$152),"",ReferenceData!$BL$152),"")</f>
        <v>2.1780872850000002</v>
      </c>
      <c r="BM152">
        <f ca="1">IFERROR(IF(0=LEN(ReferenceData!$BM$152),"",ReferenceData!$BM$152),"")</f>
        <v>2.4233336190000001</v>
      </c>
    </row>
    <row r="153" spans="1:65" x14ac:dyDescent="0.25">
      <c r="A153" t="str">
        <f>IFERROR(IF(0=LEN(ReferenceData!$A$153),"",ReferenceData!$A$153),"")</f>
        <v xml:space="preserve">    Peugeot SA</v>
      </c>
      <c r="B153" t="str">
        <f>IFERROR(IF(0=LEN(ReferenceData!$B$153),"",ReferenceData!$B$153),"")</f>
        <v>UG FP Equity</v>
      </c>
      <c r="C153" t="str">
        <f>IFERROR(IF(0=LEN(ReferenceData!$C$153),"",ReferenceData!$C$153),"")</f>
        <v>RR903</v>
      </c>
      <c r="D153" t="str">
        <f>IFERROR(IF(0=LEN(ReferenceData!$D$153),"",ReferenceData!$D$153),"")</f>
        <v>PX_TO_BOOK_RATIO</v>
      </c>
      <c r="E153" t="str">
        <f>IFERROR(IF(0=LEN(ReferenceData!$E$153),"",ReferenceData!$E$153),"")</f>
        <v>Dynamic</v>
      </c>
      <c r="F153" t="str">
        <f ca="1">IFERROR(IF(0=LEN(ReferenceData!$F$153),"",ReferenceData!$F$153),"")</f>
        <v/>
      </c>
      <c r="G153" t="str">
        <f ca="1">IFERROR(IF(0=LEN(ReferenceData!$G$153),"",ReferenceData!$G$153),"")</f>
        <v/>
      </c>
      <c r="H153" t="str">
        <f ca="1">IFERROR(IF(0=LEN(ReferenceData!$H$153),"",ReferenceData!$H$153),"")</f>
        <v/>
      </c>
      <c r="I153" t="str">
        <f ca="1">IFERROR(IF(0=LEN(ReferenceData!$I$153),"",ReferenceData!$I$153),"")</f>
        <v/>
      </c>
      <c r="J153" t="str">
        <f ca="1">IFERROR(IF(0=LEN(ReferenceData!$J$153),"",ReferenceData!$J$153),"")</f>
        <v/>
      </c>
      <c r="K153" t="str">
        <f ca="1">IFERROR(IF(0=LEN(ReferenceData!$K$153),"",ReferenceData!$K$153),"")</f>
        <v/>
      </c>
      <c r="L153" t="str">
        <f ca="1">IFERROR(IF(0=LEN(ReferenceData!$L$153),"",ReferenceData!$L$153),"")</f>
        <v/>
      </c>
      <c r="M153" t="str">
        <f ca="1">IFERROR(IF(0=LEN(ReferenceData!$M$153),"",ReferenceData!$M$153),"")</f>
        <v/>
      </c>
      <c r="N153" t="str">
        <f ca="1">IFERROR(IF(0=LEN(ReferenceData!$N$153),"",ReferenceData!$N$153),"")</f>
        <v/>
      </c>
      <c r="O153" t="str">
        <f ca="1">IFERROR(IF(0=LEN(ReferenceData!$O$153),"",ReferenceData!$O$153),"")</f>
        <v/>
      </c>
      <c r="P153" t="str">
        <f ca="1">IFERROR(IF(0=LEN(ReferenceData!$P$153),"",ReferenceData!$P$153),"")</f>
        <v/>
      </c>
      <c r="Q153" t="str">
        <f ca="1">IFERROR(IF(0=LEN(ReferenceData!$Q$153),"",ReferenceData!$Q$153),"")</f>
        <v/>
      </c>
      <c r="R153" t="str">
        <f ca="1">IFERROR(IF(0=LEN(ReferenceData!$R$153),"",ReferenceData!$R$153),"")</f>
        <v/>
      </c>
      <c r="S153" t="str">
        <f ca="1">IFERROR(IF(0=LEN(ReferenceData!$S$153),"",ReferenceData!$S$153),"")</f>
        <v/>
      </c>
      <c r="T153" t="str">
        <f ca="1">IFERROR(IF(0=LEN(ReferenceData!$T$153),"",ReferenceData!$T$153),"")</f>
        <v/>
      </c>
      <c r="U153" t="str">
        <f ca="1">IFERROR(IF(0=LEN(ReferenceData!$U$153),"",ReferenceData!$U$153),"")</f>
        <v/>
      </c>
      <c r="V153" t="str">
        <f ca="1">IFERROR(IF(0=LEN(ReferenceData!$V$153),"",ReferenceData!$V$153),"")</f>
        <v/>
      </c>
      <c r="W153" t="str">
        <f ca="1">IFERROR(IF(0=LEN(ReferenceData!$W$153),"",ReferenceData!$W$153),"")</f>
        <v/>
      </c>
      <c r="X153" t="str">
        <f ca="1">IFERROR(IF(0=LEN(ReferenceData!$X$153),"",ReferenceData!$X$153),"")</f>
        <v/>
      </c>
      <c r="Y153" t="str">
        <f ca="1">IFERROR(IF(0=LEN(ReferenceData!$Y$153),"",ReferenceData!$Y$153),"")</f>
        <v/>
      </c>
      <c r="Z153" t="str">
        <f ca="1">IFERROR(IF(0=LEN(ReferenceData!$Z$153),"",ReferenceData!$Z$153),"")</f>
        <v/>
      </c>
      <c r="AA153" t="str">
        <f ca="1">IFERROR(IF(0=LEN(ReferenceData!$AA$153),"",ReferenceData!$AA$153),"")</f>
        <v/>
      </c>
      <c r="AB153" t="str">
        <f ca="1">IFERROR(IF(0=LEN(ReferenceData!$AB$153),"",ReferenceData!$AB$153),"")</f>
        <v/>
      </c>
      <c r="AC153" t="str">
        <f ca="1">IFERROR(IF(0=LEN(ReferenceData!$AC$153),"",ReferenceData!$AC$153),"")</f>
        <v/>
      </c>
      <c r="AD153" t="str">
        <f ca="1">IFERROR(IF(0=LEN(ReferenceData!$AD$153),"",ReferenceData!$AD$153),"")</f>
        <v/>
      </c>
      <c r="AE153" t="str">
        <f ca="1">IFERROR(IF(0=LEN(ReferenceData!$AE$153),"",ReferenceData!$AE$153),"")</f>
        <v/>
      </c>
      <c r="AF153" t="str">
        <f ca="1">IFERROR(IF(0=LEN(ReferenceData!$AF$153),"",ReferenceData!$AF$153),"")</f>
        <v/>
      </c>
      <c r="AG153" t="str">
        <f ca="1">IFERROR(IF(0=LEN(ReferenceData!$AG$153),"",ReferenceData!$AG$153),"")</f>
        <v/>
      </c>
      <c r="AH153" t="str">
        <f ca="1">IFERROR(IF(0=LEN(ReferenceData!$AH$153),"",ReferenceData!$AH$153),"")</f>
        <v/>
      </c>
      <c r="AI153" t="str">
        <f ca="1">IFERROR(IF(0=LEN(ReferenceData!$AI$153),"",ReferenceData!$AI$153),"")</f>
        <v/>
      </c>
      <c r="AJ153" t="str">
        <f ca="1">IFERROR(IF(0=LEN(ReferenceData!$AJ$153),"",ReferenceData!$AJ$153),"")</f>
        <v/>
      </c>
      <c r="AK153" t="str">
        <f ca="1">IFERROR(IF(0=LEN(ReferenceData!$AK$153),"",ReferenceData!$AK$153),"")</f>
        <v/>
      </c>
      <c r="AL153" t="str">
        <f ca="1">IFERROR(IF(0=LEN(ReferenceData!$AL$153),"",ReferenceData!$AL$153),"")</f>
        <v/>
      </c>
      <c r="AM153" t="str">
        <f ca="1">IFERROR(IF(0=LEN(ReferenceData!$AM$153),"",ReferenceData!$AM$153),"")</f>
        <v/>
      </c>
      <c r="AN153" t="str">
        <f ca="1">IFERROR(IF(0=LEN(ReferenceData!$AN$153),"",ReferenceData!$AN$153),"")</f>
        <v/>
      </c>
      <c r="AO153" t="str">
        <f ca="1">IFERROR(IF(0=LEN(ReferenceData!$AO$153),"",ReferenceData!$AO$153),"")</f>
        <v/>
      </c>
      <c r="AP153" t="str">
        <f ca="1">IFERROR(IF(0=LEN(ReferenceData!$AP$153),"",ReferenceData!$AP$153),"")</f>
        <v/>
      </c>
      <c r="AQ153" t="str">
        <f ca="1">IFERROR(IF(0=LEN(ReferenceData!$AQ$153),"",ReferenceData!$AQ$153),"")</f>
        <v/>
      </c>
      <c r="AR153" t="str">
        <f ca="1">IFERROR(IF(0=LEN(ReferenceData!$AR$153),"",ReferenceData!$AR$153),"")</f>
        <v/>
      </c>
      <c r="AS153" t="str">
        <f ca="1">IFERROR(IF(0=LEN(ReferenceData!$AS$153),"",ReferenceData!$AS$153),"")</f>
        <v/>
      </c>
      <c r="AT153" t="str">
        <f ca="1">IFERROR(IF(0=LEN(ReferenceData!$AT$153),"",ReferenceData!$AT$153),"")</f>
        <v/>
      </c>
      <c r="AU153" t="str">
        <f ca="1">IFERROR(IF(0=LEN(ReferenceData!$AU$153),"",ReferenceData!$AU$153),"")</f>
        <v/>
      </c>
      <c r="AV153" t="str">
        <f ca="1">IFERROR(IF(0=LEN(ReferenceData!$AV$153),"",ReferenceData!$AV$153),"")</f>
        <v/>
      </c>
      <c r="AW153" t="str">
        <f ca="1">IFERROR(IF(0=LEN(ReferenceData!$AW$153),"",ReferenceData!$AW$153),"")</f>
        <v/>
      </c>
      <c r="AX153" t="str">
        <f ca="1">IFERROR(IF(0=LEN(ReferenceData!$AX$153),"",ReferenceData!$AX$153),"")</f>
        <v/>
      </c>
      <c r="AY153" t="str">
        <f ca="1">IFERROR(IF(0=LEN(ReferenceData!$AY$153),"",ReferenceData!$AY$153),"")</f>
        <v/>
      </c>
      <c r="AZ153" t="str">
        <f ca="1">IFERROR(IF(0=LEN(ReferenceData!$AZ$153),"",ReferenceData!$AZ$153),"")</f>
        <v/>
      </c>
      <c r="BA153" t="str">
        <f ca="1">IFERROR(IF(0=LEN(ReferenceData!$BA$153),"",ReferenceData!$BA$153),"")</f>
        <v/>
      </c>
      <c r="BB153" t="str">
        <f ca="1">IFERROR(IF(0=LEN(ReferenceData!$BB$153),"",ReferenceData!$BB$153),"")</f>
        <v/>
      </c>
      <c r="BC153" t="str">
        <f ca="1">IFERROR(IF(0=LEN(ReferenceData!$BC$153),"",ReferenceData!$BC$153),"")</f>
        <v/>
      </c>
      <c r="BD153" t="str">
        <f ca="1">IFERROR(IF(0=LEN(ReferenceData!$BD$153),"",ReferenceData!$BD$153),"")</f>
        <v/>
      </c>
      <c r="BE153" t="str">
        <f ca="1">IFERROR(IF(0=LEN(ReferenceData!$BE$153),"",ReferenceData!$BE$153),"")</f>
        <v/>
      </c>
      <c r="BF153" t="str">
        <f ca="1">IFERROR(IF(0=LEN(ReferenceData!$BF$153),"",ReferenceData!$BF$153),"")</f>
        <v/>
      </c>
      <c r="BG153" t="str">
        <f ca="1">IFERROR(IF(0=LEN(ReferenceData!$BG$153),"",ReferenceData!$BG$153),"")</f>
        <v/>
      </c>
      <c r="BH153" t="str">
        <f ca="1">IFERROR(IF(0=LEN(ReferenceData!$BH$153),"",ReferenceData!$BH$153),"")</f>
        <v/>
      </c>
      <c r="BI153" t="str">
        <f ca="1">IFERROR(IF(0=LEN(ReferenceData!$BI$153),"",ReferenceData!$BI$153),"")</f>
        <v/>
      </c>
      <c r="BJ153" t="str">
        <f ca="1">IFERROR(IF(0=LEN(ReferenceData!$BJ$153),"",ReferenceData!$BJ$153),"")</f>
        <v/>
      </c>
      <c r="BK153" t="str">
        <f ca="1">IFERROR(IF(0=LEN(ReferenceData!$BK$153),"",ReferenceData!$BK$153),"")</f>
        <v/>
      </c>
      <c r="BL153" t="str">
        <f ca="1">IFERROR(IF(0=LEN(ReferenceData!$BL$153),"",ReferenceData!$BL$153),"")</f>
        <v/>
      </c>
      <c r="BM153" t="str">
        <f ca="1">IFERROR(IF(0=LEN(ReferenceData!$BM$153),"",ReferenceData!$BM$153),"")</f>
        <v/>
      </c>
    </row>
    <row r="154" spans="1:65" x14ac:dyDescent="0.25">
      <c r="A154" t="str">
        <f>IFERROR(IF(0=LEN(ReferenceData!$A$154),"",ReferenceData!$A$154),"")</f>
        <v xml:space="preserve">    Renault SA</v>
      </c>
      <c r="B154" t="str">
        <f>IFERROR(IF(0=LEN(ReferenceData!$B$154),"",ReferenceData!$B$154),"")</f>
        <v>RNO FP Equity</v>
      </c>
      <c r="C154" t="str">
        <f>IFERROR(IF(0=LEN(ReferenceData!$C$154),"",ReferenceData!$C$154),"")</f>
        <v>RR903</v>
      </c>
      <c r="D154" t="str">
        <f>IFERROR(IF(0=LEN(ReferenceData!$D$154),"",ReferenceData!$D$154),"")</f>
        <v>PX_TO_BOOK_RATIO</v>
      </c>
      <c r="E154" t="str">
        <f>IFERROR(IF(0=LEN(ReferenceData!$E$154),"",ReferenceData!$E$154),"")</f>
        <v>Dynamic</v>
      </c>
      <c r="F154" t="str">
        <f ca="1">IFERROR(IF(0=LEN(ReferenceData!$F$154),"",ReferenceData!$F$154),"")</f>
        <v/>
      </c>
      <c r="G154" t="str">
        <f ca="1">IFERROR(IF(0=LEN(ReferenceData!$G$154),"",ReferenceData!$G$154),"")</f>
        <v/>
      </c>
      <c r="H154" t="str">
        <f ca="1">IFERROR(IF(0=LEN(ReferenceData!$H$154),"",ReferenceData!$H$154),"")</f>
        <v/>
      </c>
      <c r="I154" t="str">
        <f ca="1">IFERROR(IF(0=LEN(ReferenceData!$I$154),"",ReferenceData!$I$154),"")</f>
        <v/>
      </c>
      <c r="J154" t="str">
        <f ca="1">IFERROR(IF(0=LEN(ReferenceData!$J$154),"",ReferenceData!$J$154),"")</f>
        <v/>
      </c>
      <c r="K154" t="str">
        <f ca="1">IFERROR(IF(0=LEN(ReferenceData!$K$154),"",ReferenceData!$K$154),"")</f>
        <v/>
      </c>
      <c r="L154" t="str">
        <f ca="1">IFERROR(IF(0=LEN(ReferenceData!$L$154),"",ReferenceData!$L$154),"")</f>
        <v/>
      </c>
      <c r="M154" t="str">
        <f ca="1">IFERROR(IF(0=LEN(ReferenceData!$M$154),"",ReferenceData!$M$154),"")</f>
        <v/>
      </c>
      <c r="N154" t="str">
        <f ca="1">IFERROR(IF(0=LEN(ReferenceData!$N$154),"",ReferenceData!$N$154),"")</f>
        <v/>
      </c>
      <c r="O154" t="str">
        <f ca="1">IFERROR(IF(0=LEN(ReferenceData!$O$154),"",ReferenceData!$O$154),"")</f>
        <v/>
      </c>
      <c r="P154" t="str">
        <f ca="1">IFERROR(IF(0=LEN(ReferenceData!$P$154),"",ReferenceData!$P$154),"")</f>
        <v/>
      </c>
      <c r="Q154" t="str">
        <f ca="1">IFERROR(IF(0=LEN(ReferenceData!$Q$154),"",ReferenceData!$Q$154),"")</f>
        <v/>
      </c>
      <c r="R154" t="str">
        <f ca="1">IFERROR(IF(0=LEN(ReferenceData!$R$154),"",ReferenceData!$R$154),"")</f>
        <v/>
      </c>
      <c r="S154" t="str">
        <f ca="1">IFERROR(IF(0=LEN(ReferenceData!$S$154),"",ReferenceData!$S$154),"")</f>
        <v/>
      </c>
      <c r="T154" t="str">
        <f ca="1">IFERROR(IF(0=LEN(ReferenceData!$T$154),"",ReferenceData!$T$154),"")</f>
        <v/>
      </c>
      <c r="U154" t="str">
        <f ca="1">IFERROR(IF(0=LEN(ReferenceData!$U$154),"",ReferenceData!$U$154),"")</f>
        <v/>
      </c>
      <c r="V154" t="str">
        <f ca="1">IFERROR(IF(0=LEN(ReferenceData!$V$154),"",ReferenceData!$V$154),"")</f>
        <v/>
      </c>
      <c r="W154" t="str">
        <f ca="1">IFERROR(IF(0=LEN(ReferenceData!$W$154),"",ReferenceData!$W$154),"")</f>
        <v/>
      </c>
      <c r="X154" t="str">
        <f ca="1">IFERROR(IF(0=LEN(ReferenceData!$X$154),"",ReferenceData!$X$154),"")</f>
        <v/>
      </c>
      <c r="Y154" t="str">
        <f ca="1">IFERROR(IF(0=LEN(ReferenceData!$Y$154),"",ReferenceData!$Y$154),"")</f>
        <v/>
      </c>
      <c r="Z154" t="str">
        <f ca="1">IFERROR(IF(0=LEN(ReferenceData!$Z$154),"",ReferenceData!$Z$154),"")</f>
        <v/>
      </c>
      <c r="AA154" t="str">
        <f ca="1">IFERROR(IF(0=LEN(ReferenceData!$AA$154),"",ReferenceData!$AA$154),"")</f>
        <v/>
      </c>
      <c r="AB154" t="str">
        <f ca="1">IFERROR(IF(0=LEN(ReferenceData!$AB$154),"",ReferenceData!$AB$154),"")</f>
        <v/>
      </c>
      <c r="AC154" t="str">
        <f ca="1">IFERROR(IF(0=LEN(ReferenceData!$AC$154),"",ReferenceData!$AC$154),"")</f>
        <v/>
      </c>
      <c r="AD154" t="str">
        <f ca="1">IFERROR(IF(0=LEN(ReferenceData!$AD$154),"",ReferenceData!$AD$154),"")</f>
        <v/>
      </c>
      <c r="AE154" t="str">
        <f ca="1">IFERROR(IF(0=LEN(ReferenceData!$AE$154),"",ReferenceData!$AE$154),"")</f>
        <v/>
      </c>
      <c r="AF154" t="str">
        <f ca="1">IFERROR(IF(0=LEN(ReferenceData!$AF$154),"",ReferenceData!$AF$154),"")</f>
        <v/>
      </c>
      <c r="AG154" t="str">
        <f ca="1">IFERROR(IF(0=LEN(ReferenceData!$AG$154),"",ReferenceData!$AG$154),"")</f>
        <v/>
      </c>
      <c r="AH154" t="str">
        <f ca="1">IFERROR(IF(0=LEN(ReferenceData!$AH$154),"",ReferenceData!$AH$154),"")</f>
        <v/>
      </c>
      <c r="AI154" t="str">
        <f ca="1">IFERROR(IF(0=LEN(ReferenceData!$AI$154),"",ReferenceData!$AI$154),"")</f>
        <v/>
      </c>
      <c r="AJ154" t="str">
        <f ca="1">IFERROR(IF(0=LEN(ReferenceData!$AJ$154),"",ReferenceData!$AJ$154),"")</f>
        <v/>
      </c>
      <c r="AK154" t="str">
        <f ca="1">IFERROR(IF(0=LEN(ReferenceData!$AK$154),"",ReferenceData!$AK$154),"")</f>
        <v/>
      </c>
      <c r="AL154" t="str">
        <f ca="1">IFERROR(IF(0=LEN(ReferenceData!$AL$154),"",ReferenceData!$AL$154),"")</f>
        <v/>
      </c>
      <c r="AM154" t="str">
        <f ca="1">IFERROR(IF(0=LEN(ReferenceData!$AM$154),"",ReferenceData!$AM$154),"")</f>
        <v/>
      </c>
      <c r="AN154" t="str">
        <f ca="1">IFERROR(IF(0=LEN(ReferenceData!$AN$154),"",ReferenceData!$AN$154),"")</f>
        <v/>
      </c>
      <c r="AO154" t="str">
        <f ca="1">IFERROR(IF(0=LEN(ReferenceData!$AO$154),"",ReferenceData!$AO$154),"")</f>
        <v/>
      </c>
      <c r="AP154" t="str">
        <f ca="1">IFERROR(IF(0=LEN(ReferenceData!$AP$154),"",ReferenceData!$AP$154),"")</f>
        <v/>
      </c>
      <c r="AQ154" t="str">
        <f ca="1">IFERROR(IF(0=LEN(ReferenceData!$AQ$154),"",ReferenceData!$AQ$154),"")</f>
        <v/>
      </c>
      <c r="AR154" t="str">
        <f ca="1">IFERROR(IF(0=LEN(ReferenceData!$AR$154),"",ReferenceData!$AR$154),"")</f>
        <v/>
      </c>
      <c r="AS154" t="str">
        <f ca="1">IFERROR(IF(0=LEN(ReferenceData!$AS$154),"",ReferenceData!$AS$154),"")</f>
        <v/>
      </c>
      <c r="AT154" t="str">
        <f ca="1">IFERROR(IF(0=LEN(ReferenceData!$AT$154),"",ReferenceData!$AT$154),"")</f>
        <v/>
      </c>
      <c r="AU154" t="str">
        <f ca="1">IFERROR(IF(0=LEN(ReferenceData!$AU$154),"",ReferenceData!$AU$154),"")</f>
        <v/>
      </c>
      <c r="AV154" t="str">
        <f ca="1">IFERROR(IF(0=LEN(ReferenceData!$AV$154),"",ReferenceData!$AV$154),"")</f>
        <v/>
      </c>
      <c r="AW154" t="str">
        <f ca="1">IFERROR(IF(0=LEN(ReferenceData!$AW$154),"",ReferenceData!$AW$154),"")</f>
        <v/>
      </c>
      <c r="AX154" t="str">
        <f ca="1">IFERROR(IF(0=LEN(ReferenceData!$AX$154),"",ReferenceData!$AX$154),"")</f>
        <v/>
      </c>
      <c r="AY154" t="str">
        <f ca="1">IFERROR(IF(0=LEN(ReferenceData!$AY$154),"",ReferenceData!$AY$154),"")</f>
        <v/>
      </c>
      <c r="AZ154" t="str">
        <f ca="1">IFERROR(IF(0=LEN(ReferenceData!$AZ$154),"",ReferenceData!$AZ$154),"")</f>
        <v/>
      </c>
      <c r="BA154" t="str">
        <f ca="1">IFERROR(IF(0=LEN(ReferenceData!$BA$154),"",ReferenceData!$BA$154),"")</f>
        <v/>
      </c>
      <c r="BB154" t="str">
        <f ca="1">IFERROR(IF(0=LEN(ReferenceData!$BB$154),"",ReferenceData!$BB$154),"")</f>
        <v/>
      </c>
      <c r="BC154" t="str">
        <f ca="1">IFERROR(IF(0=LEN(ReferenceData!$BC$154),"",ReferenceData!$BC$154),"")</f>
        <v/>
      </c>
      <c r="BD154" t="str">
        <f ca="1">IFERROR(IF(0=LEN(ReferenceData!$BD$154),"",ReferenceData!$BD$154),"")</f>
        <v/>
      </c>
      <c r="BE154" t="str">
        <f ca="1">IFERROR(IF(0=LEN(ReferenceData!$BE$154),"",ReferenceData!$BE$154),"")</f>
        <v/>
      </c>
      <c r="BF154" t="str">
        <f ca="1">IFERROR(IF(0=LEN(ReferenceData!$BF$154),"",ReferenceData!$BF$154),"")</f>
        <v/>
      </c>
      <c r="BG154" t="str">
        <f ca="1">IFERROR(IF(0=LEN(ReferenceData!$BG$154),"",ReferenceData!$BG$154),"")</f>
        <v/>
      </c>
      <c r="BH154" t="str">
        <f ca="1">IFERROR(IF(0=LEN(ReferenceData!$BH$154),"",ReferenceData!$BH$154),"")</f>
        <v/>
      </c>
      <c r="BI154" t="str">
        <f ca="1">IFERROR(IF(0=LEN(ReferenceData!$BI$154),"",ReferenceData!$BI$154),"")</f>
        <v/>
      </c>
      <c r="BJ154" t="str">
        <f ca="1">IFERROR(IF(0=LEN(ReferenceData!$BJ$154),"",ReferenceData!$BJ$154),"")</f>
        <v/>
      </c>
      <c r="BK154" t="str">
        <f ca="1">IFERROR(IF(0=LEN(ReferenceData!$BK$154),"",ReferenceData!$BK$154),"")</f>
        <v/>
      </c>
      <c r="BL154" t="str">
        <f ca="1">IFERROR(IF(0=LEN(ReferenceData!$BL$154),"",ReferenceData!$BL$154),"")</f>
        <v/>
      </c>
      <c r="BM154" t="str">
        <f ca="1">IFERROR(IF(0=LEN(ReferenceData!$BM$154),"",ReferenceData!$BM$154),"")</f>
        <v/>
      </c>
    </row>
    <row r="155" spans="1:65" x14ac:dyDescent="0.25">
      <c r="A155" t="str">
        <f>IFERROR(IF(0=LEN(ReferenceData!$A$155),"",ReferenceData!$A$155),"")</f>
        <v xml:space="preserve">    SAIC Motor Corp Ltd</v>
      </c>
      <c r="B155" t="str">
        <f>IFERROR(IF(0=LEN(ReferenceData!$B$155),"",ReferenceData!$B$155),"")</f>
        <v>600104 CH Equity</v>
      </c>
      <c r="C155" t="str">
        <f>IFERROR(IF(0=LEN(ReferenceData!$C$155),"",ReferenceData!$C$155),"")</f>
        <v>RR903</v>
      </c>
      <c r="D155" t="str">
        <f>IFERROR(IF(0=LEN(ReferenceData!$D$155),"",ReferenceData!$D$155),"")</f>
        <v>PX_TO_BOOK_RATIO</v>
      </c>
      <c r="E155" t="str">
        <f>IFERROR(IF(0=LEN(ReferenceData!$E$155),"",ReferenceData!$E$155),"")</f>
        <v>Dynamic</v>
      </c>
      <c r="F155">
        <f ca="1">IFERROR(IF(0=LEN(ReferenceData!$F$155),"",ReferenceData!$F$155),"")</f>
        <v>1.4387771709999999</v>
      </c>
      <c r="G155">
        <f ca="1">IFERROR(IF(0=LEN(ReferenceData!$G$155),"",ReferenceData!$G$155),"")</f>
        <v>1.350657767</v>
      </c>
      <c r="H155">
        <f ca="1">IFERROR(IF(0=LEN(ReferenceData!$H$155),"",ReferenceData!$H$155),"")</f>
        <v>1.685410216</v>
      </c>
      <c r="I155">
        <f ca="1">IFERROR(IF(0=LEN(ReferenceData!$I$155),"",ReferenceData!$I$155),"")</f>
        <v>1.855395208</v>
      </c>
      <c r="J155">
        <f ca="1">IFERROR(IF(0=LEN(ReferenceData!$J$155),"",ReferenceData!$J$155),"")</f>
        <v>1.6956173969999999</v>
      </c>
      <c r="K155">
        <f ca="1">IFERROR(IF(0=LEN(ReferenceData!$K$155),"",ReferenceData!$K$155),"")</f>
        <v>1.6612492480000001</v>
      </c>
      <c r="L155">
        <f ca="1">IFERROR(IF(0=LEN(ReferenceData!$L$155),"",ReferenceData!$L$155),"")</f>
        <v>1.635959494</v>
      </c>
      <c r="M155">
        <f ca="1">IFERROR(IF(0=LEN(ReferenceData!$M$155),"",ReferenceData!$M$155),"")</f>
        <v>1.7623296930000001</v>
      </c>
      <c r="N155">
        <f ca="1">IFERROR(IF(0=LEN(ReferenceData!$N$155),"",ReferenceData!$N$155),"")</f>
        <v>1.37593286</v>
      </c>
      <c r="O155">
        <f ca="1">IFERROR(IF(0=LEN(ReferenceData!$O$155),"",ReferenceData!$O$155),"")</f>
        <v>1.3459248720000001</v>
      </c>
      <c r="P155">
        <f ca="1">IFERROR(IF(0=LEN(ReferenceData!$P$155),"",ReferenceData!$P$155),"")</f>
        <v>1.308067254</v>
      </c>
      <c r="Q155">
        <f ca="1">IFERROR(IF(0=LEN(ReferenceData!$Q$155),"",ReferenceData!$Q$155),"")</f>
        <v>1.2718165770000001</v>
      </c>
      <c r="R155">
        <f ca="1">IFERROR(IF(0=LEN(ReferenceData!$R$155),"",ReferenceData!$R$155),"")</f>
        <v>1.2037284989999999</v>
      </c>
      <c r="S155">
        <f ca="1">IFERROR(IF(0=LEN(ReferenceData!$S$155),"",ReferenceData!$S$155),"")</f>
        <v>1.3359459199999999</v>
      </c>
      <c r="T155">
        <f ca="1">IFERROR(IF(0=LEN(ReferenceData!$T$155),"",ReferenceData!$T$155),"")</f>
        <v>1.1171623829999999</v>
      </c>
      <c r="U155">
        <f ca="1">IFERROR(IF(0=LEN(ReferenceData!$U$155),"",ReferenceData!$U$155),"")</f>
        <v>1.566536382</v>
      </c>
      <c r="V155">
        <f ca="1">IFERROR(IF(0=LEN(ReferenceData!$V$155),"",ReferenceData!$V$155),"")</f>
        <v>1.6595559339999999</v>
      </c>
      <c r="W155">
        <f ca="1">IFERROR(IF(0=LEN(ReferenceData!$W$155),"",ReferenceData!$W$155),"")</f>
        <v>1.501410189</v>
      </c>
      <c r="X155">
        <f ca="1">IFERROR(IF(0=LEN(ReferenceData!$X$155),"",ReferenceData!$X$155),"")</f>
        <v>1.376345653</v>
      </c>
      <c r="Y155">
        <f ca="1">IFERROR(IF(0=LEN(ReferenceData!$Y$155),"",ReferenceData!$Y$155),"")</f>
        <v>1.2234948569999999</v>
      </c>
      <c r="Z155">
        <f ca="1">IFERROR(IF(0=LEN(ReferenceData!$Z$155),"",ReferenceData!$Z$155),"")</f>
        <v>1.059160219</v>
      </c>
      <c r="AA155">
        <f ca="1">IFERROR(IF(0=LEN(ReferenceData!$AA$155),"",ReferenceData!$AA$155),"")</f>
        <v>1.1317119419999999</v>
      </c>
      <c r="AB155">
        <f ca="1">IFERROR(IF(0=LEN(ReferenceData!$AB$155),"",ReferenceData!$AB$155),"")</f>
        <v>1.124147614</v>
      </c>
      <c r="AC155">
        <f ca="1">IFERROR(IF(0=LEN(ReferenceData!$AC$155),"",ReferenceData!$AC$155),"")</f>
        <v>1.1545020690000001</v>
      </c>
      <c r="AD155">
        <f ca="1">IFERROR(IF(0=LEN(ReferenceData!$AD$155),"",ReferenceData!$AD$155),"")</f>
        <v>1.276731147</v>
      </c>
      <c r="AE155">
        <f ca="1">IFERROR(IF(0=LEN(ReferenceData!$AE$155),"",ReferenceData!$AE$155),"")</f>
        <v>1.589792224</v>
      </c>
      <c r="AF155">
        <f ca="1">IFERROR(IF(0=LEN(ReferenceData!$AF$155),"",ReferenceData!$AF$155),"")</f>
        <v>1.3031668949999999</v>
      </c>
      <c r="AG155">
        <f ca="1">IFERROR(IF(0=LEN(ReferenceData!$AG$155),"",ReferenceData!$AG$155),"")</f>
        <v>1.439322062</v>
      </c>
      <c r="AH155">
        <f ca="1">IFERROR(IF(0=LEN(ReferenceData!$AH$155),"",ReferenceData!$AH$155),"")</f>
        <v>1.5032581899999999</v>
      </c>
      <c r="AI155">
        <f ca="1">IFERROR(IF(0=LEN(ReferenceData!$AI$155),"",ReferenceData!$AI$155),"")</f>
        <v>1.5230362129999999</v>
      </c>
      <c r="AJ155">
        <f ca="1">IFERROR(IF(0=LEN(ReferenceData!$AJ$155),"",ReferenceData!$AJ$155),"")</f>
        <v>1.9206049359999999</v>
      </c>
      <c r="AK155">
        <f ca="1">IFERROR(IF(0=LEN(ReferenceData!$AK$155),"",ReferenceData!$AK$155),"")</f>
        <v>2.3941571690000001</v>
      </c>
      <c r="AL155">
        <f ca="1">IFERROR(IF(0=LEN(ReferenceData!$AL$155),"",ReferenceData!$AL$155),"")</f>
        <v>1.9619590760000001</v>
      </c>
      <c r="AM155">
        <f ca="1">IFERROR(IF(0=LEN(ReferenceData!$AM$155),"",ReferenceData!$AM$155),"")</f>
        <v>1.5610601209999999</v>
      </c>
      <c r="AN155">
        <f ca="1">IFERROR(IF(0=LEN(ReferenceData!$AN$155),"",ReferenceData!$AN$155),"")</f>
        <v>2.780798007</v>
      </c>
      <c r="AO155">
        <f ca="1">IFERROR(IF(0=LEN(ReferenceData!$AO$155),"",ReferenceData!$AO$155),"")</f>
        <v>2.1775727699999998</v>
      </c>
      <c r="AP155">
        <f ca="1">IFERROR(IF(0=LEN(ReferenceData!$AP$155),"",ReferenceData!$AP$155),"")</f>
        <v>2.965716177</v>
      </c>
      <c r="AQ155">
        <f ca="1">IFERROR(IF(0=LEN(ReferenceData!$AQ$155),"",ReferenceData!$AQ$155),"")</f>
        <v>4.0312881340000004</v>
      </c>
      <c r="AR155">
        <f ca="1">IFERROR(IF(0=LEN(ReferenceData!$AR$155),"",ReferenceData!$AR$155),"")</f>
        <v>3.2534655479999999</v>
      </c>
      <c r="AS155">
        <f ca="1">IFERROR(IF(0=LEN(ReferenceData!$AS$155),"",ReferenceData!$AS$155),"")</f>
        <v>2.6288533410000001</v>
      </c>
      <c r="AT155">
        <f ca="1">IFERROR(IF(0=LEN(ReferenceData!$AT$155),"",ReferenceData!$AT$155),"")</f>
        <v>1.7654324189999999</v>
      </c>
      <c r="AU155">
        <f ca="1">IFERROR(IF(0=LEN(ReferenceData!$AU$155),"",ReferenceData!$AU$155),"")</f>
        <v>1.0136762800000001</v>
      </c>
      <c r="AV155">
        <f ca="1">IFERROR(IF(0=LEN(ReferenceData!$AV$155),"",ReferenceData!$AV$155),"")</f>
        <v>1.2226750239999999</v>
      </c>
      <c r="AW155">
        <f ca="1">IFERROR(IF(0=LEN(ReferenceData!$AW$155),"",ReferenceData!$AW$155),"")</f>
        <v>1.372030879</v>
      </c>
      <c r="AX155">
        <f ca="1">IFERROR(IF(0=LEN(ReferenceData!$AX$155),"",ReferenceData!$AX$155),"")</f>
        <v>2.386532221</v>
      </c>
      <c r="AY155">
        <f ca="1">IFERROR(IF(0=LEN(ReferenceData!$AY$155),"",ReferenceData!$AY$155),"")</f>
        <v>4.606864345</v>
      </c>
      <c r="AZ155">
        <f ca="1">IFERROR(IF(0=LEN(ReferenceData!$AZ$155),"",ReferenceData!$AZ$155),"")</f>
        <v>5.4634592580000003</v>
      </c>
      <c r="BA155">
        <f ca="1">IFERROR(IF(0=LEN(ReferenceData!$BA$155),"",ReferenceData!$BA$155),"")</f>
        <v>3.2365283499999999</v>
      </c>
      <c r="BB155">
        <f ca="1">IFERROR(IF(0=LEN(ReferenceData!$BB$155),"",ReferenceData!$BB$155),"")</f>
        <v>2.4433452519999999</v>
      </c>
      <c r="BC155">
        <f ca="1">IFERROR(IF(0=LEN(ReferenceData!$BC$155),"",ReferenceData!$BC$155),"")</f>
        <v>1.6552758759999999</v>
      </c>
      <c r="BD155">
        <f ca="1">IFERROR(IF(0=LEN(ReferenceData!$BD$155),"",ReferenceData!$BD$155),"")</f>
        <v>1.457871747</v>
      </c>
      <c r="BE155">
        <f ca="1">IFERROR(IF(0=LEN(ReferenceData!$BE$155),"",ReferenceData!$BE$155),"")</f>
        <v>1.680577403</v>
      </c>
      <c r="BF155">
        <f ca="1">IFERROR(IF(0=LEN(ReferenceData!$BF$155),"",ReferenceData!$BF$155),"")</f>
        <v>0.95883378600000002</v>
      </c>
      <c r="BG155">
        <f ca="1">IFERROR(IF(0=LEN(ReferenceData!$BG$155),"",ReferenceData!$BG$155),"")</f>
        <v>0.93035046700000001</v>
      </c>
      <c r="BH155">
        <f ca="1">IFERROR(IF(0=LEN(ReferenceData!$BH$155),"",ReferenceData!$BH$155),"")</f>
        <v>1.53273511</v>
      </c>
      <c r="BI155">
        <f ca="1">IFERROR(IF(0=LEN(ReferenceData!$BI$155),"",ReferenceData!$BI$155),"")</f>
        <v>1.2772792580000001</v>
      </c>
      <c r="BJ155">
        <f ca="1">IFERROR(IF(0=LEN(ReferenceData!$BJ$155),"",ReferenceData!$BJ$155),"")</f>
        <v>1.227306684</v>
      </c>
      <c r="BK155">
        <f ca="1">IFERROR(IF(0=LEN(ReferenceData!$BK$155),"",ReferenceData!$BK$155),"")</f>
        <v>1.367469842</v>
      </c>
      <c r="BL155">
        <f ca="1">IFERROR(IF(0=LEN(ReferenceData!$BL$155),"",ReferenceData!$BL$155),"")</f>
        <v>2.2803677699999998</v>
      </c>
      <c r="BM155">
        <f ca="1">IFERROR(IF(0=LEN(ReferenceData!$BM$155),"",ReferenceData!$BM$155),"")</f>
        <v>2.5724288940000002</v>
      </c>
    </row>
    <row r="156" spans="1:65" x14ac:dyDescent="0.25">
      <c r="A156" t="str">
        <f>IFERROR(IF(0=LEN(ReferenceData!$A$156),"",ReferenceData!$A$156),"")</f>
        <v xml:space="preserve">    Sanyang Motor Co Ltd</v>
      </c>
      <c r="B156" t="str">
        <f>IFERROR(IF(0=LEN(ReferenceData!$B$156),"",ReferenceData!$B$156),"")</f>
        <v>2206 TT Equity</v>
      </c>
      <c r="C156" t="str">
        <f>IFERROR(IF(0=LEN(ReferenceData!$C$156),"",ReferenceData!$C$156),"")</f>
        <v>RR903</v>
      </c>
      <c r="D156" t="str">
        <f>IFERROR(IF(0=LEN(ReferenceData!$D$156),"",ReferenceData!$D$156),"")</f>
        <v>PX_TO_BOOK_RATIO</v>
      </c>
      <c r="E156" t="str">
        <f>IFERROR(IF(0=LEN(ReferenceData!$E$156),"",ReferenceData!$E$156),"")</f>
        <v>Dynamic</v>
      </c>
      <c r="F156">
        <f ca="1">IFERROR(IF(0=LEN(ReferenceData!$F$156),"",ReferenceData!$F$156),"")</f>
        <v>1.2572014819999999</v>
      </c>
      <c r="G156">
        <f ca="1">IFERROR(IF(0=LEN(ReferenceData!$G$156),"",ReferenceData!$G$156),"")</f>
        <v>1.2540663160000001</v>
      </c>
      <c r="H156">
        <f ca="1">IFERROR(IF(0=LEN(ReferenceData!$H$156),"",ReferenceData!$H$156),"")</f>
        <v>1.285417974</v>
      </c>
      <c r="I156">
        <f ca="1">IFERROR(IF(0=LEN(ReferenceData!$I$156),"",ReferenceData!$I$156),"")</f>
        <v>1.495854679</v>
      </c>
      <c r="J156">
        <f ca="1">IFERROR(IF(0=LEN(ReferenceData!$J$156),"",ReferenceData!$J$156),"")</f>
        <v>1.442963277</v>
      </c>
      <c r="K156">
        <f ca="1">IFERROR(IF(0=LEN(ReferenceData!$K$156),"",ReferenceData!$K$156),"")</f>
        <v>1.4279531409999999</v>
      </c>
      <c r="L156">
        <f ca="1">IFERROR(IF(0=LEN(ReferenceData!$L$156),"",ReferenceData!$L$156),"")</f>
        <v>1.3343524760000001</v>
      </c>
      <c r="M156">
        <f ca="1">IFERROR(IF(0=LEN(ReferenceData!$M$156),"",ReferenceData!$M$156),"")</f>
        <v>1.418366821</v>
      </c>
      <c r="N156">
        <f ca="1">IFERROR(IF(0=LEN(ReferenceData!$N$156),"",ReferenceData!$N$156),"")</f>
        <v>1.3094729540000001</v>
      </c>
      <c r="O156">
        <f ca="1">IFERROR(IF(0=LEN(ReferenceData!$O$156),"",ReferenceData!$O$156),"")</f>
        <v>1.2234107890000001</v>
      </c>
      <c r="P156">
        <f ca="1">IFERROR(IF(0=LEN(ReferenceData!$P$156),"",ReferenceData!$P$156),"")</f>
        <v>1.2044611510000001</v>
      </c>
      <c r="Q156">
        <f ca="1">IFERROR(IF(0=LEN(ReferenceData!$Q$156),"",ReferenceData!$Q$156),"")</f>
        <v>1.1563321769999999</v>
      </c>
      <c r="R156">
        <f ca="1">IFERROR(IF(0=LEN(ReferenceData!$R$156),"",ReferenceData!$R$156),"")</f>
        <v>1.133590275</v>
      </c>
      <c r="S156">
        <f ca="1">IFERROR(IF(0=LEN(ReferenceData!$S$156),"",ReferenceData!$S$156),"")</f>
        <v>1.1533736889999999</v>
      </c>
      <c r="T156">
        <f ca="1">IFERROR(IF(0=LEN(ReferenceData!$T$156),"",ReferenceData!$T$156),"")</f>
        <v>1.198847046</v>
      </c>
      <c r="U156">
        <f ca="1">IFERROR(IF(0=LEN(ReferenceData!$U$156),"",ReferenceData!$U$156),"")</f>
        <v>1.550071032</v>
      </c>
      <c r="V156">
        <f ca="1">IFERROR(IF(0=LEN(ReferenceData!$V$156),"",ReferenceData!$V$156),"")</f>
        <v>1.6570423780000001</v>
      </c>
      <c r="W156">
        <f ca="1">IFERROR(IF(0=LEN(ReferenceData!$W$156),"",ReferenceData!$W$156),"")</f>
        <v>1.7936916009999999</v>
      </c>
      <c r="X156">
        <f ca="1">IFERROR(IF(0=LEN(ReferenceData!$X$156),"",ReferenceData!$X$156),"")</f>
        <v>1.765981866</v>
      </c>
      <c r="Y156">
        <f ca="1">IFERROR(IF(0=LEN(ReferenceData!$Y$156),"",ReferenceData!$Y$156),"")</f>
        <v>1.954443435</v>
      </c>
      <c r="Z156">
        <f ca="1">IFERROR(IF(0=LEN(ReferenceData!$Z$156),"",ReferenceData!$Z$156),"")</f>
        <v>3.2448970689999999</v>
      </c>
      <c r="AA156">
        <f ca="1">IFERROR(IF(0=LEN(ReferenceData!$AA$156),"",ReferenceData!$AA$156),"")</f>
        <v>3.1704247510000001</v>
      </c>
      <c r="AB156">
        <f ca="1">IFERROR(IF(0=LEN(ReferenceData!$AB$156),"",ReferenceData!$AB$156),"")</f>
        <v>2.6881911079999998</v>
      </c>
      <c r="AC156">
        <f ca="1">IFERROR(IF(0=LEN(ReferenceData!$AC$156),"",ReferenceData!$AC$156),"")</f>
        <v>1.792109366</v>
      </c>
      <c r="AD156">
        <f ca="1">IFERROR(IF(0=LEN(ReferenceData!$AD$156),"",ReferenceData!$AD$156),"")</f>
        <v>1.575918111</v>
      </c>
      <c r="AE156">
        <f ca="1">IFERROR(IF(0=LEN(ReferenceData!$AE$156),"",ReferenceData!$AE$156),"")</f>
        <v>1.089166351</v>
      </c>
      <c r="AF156">
        <f ca="1">IFERROR(IF(0=LEN(ReferenceData!$AF$156),"",ReferenceData!$AF$156),"")</f>
        <v>1.225155274</v>
      </c>
      <c r="AG156">
        <f ca="1">IFERROR(IF(0=LEN(ReferenceData!$AG$156),"",ReferenceData!$AG$156),"")</f>
        <v>1.1350034870000001</v>
      </c>
      <c r="AH156">
        <f ca="1">IFERROR(IF(0=LEN(ReferenceData!$AH$156),"",ReferenceData!$AH$156),"")</f>
        <v>1.2442566239999999</v>
      </c>
      <c r="AI156">
        <f ca="1">IFERROR(IF(0=LEN(ReferenceData!$AI$156),"",ReferenceData!$AI$156),"")</f>
        <v>0.97931897099999998</v>
      </c>
      <c r="AJ156">
        <f ca="1">IFERROR(IF(0=LEN(ReferenceData!$AJ$156),"",ReferenceData!$AJ$156),"")</f>
        <v>0.99404506100000001</v>
      </c>
      <c r="AK156">
        <f ca="1">IFERROR(IF(0=LEN(ReferenceData!$AK$156),"",ReferenceData!$AK$156),"")</f>
        <v>1.032744109</v>
      </c>
      <c r="AL156">
        <f ca="1">IFERROR(IF(0=LEN(ReferenceData!$AL$156),"",ReferenceData!$AL$156),"")</f>
        <v>1.0385527370000001</v>
      </c>
      <c r="AM156">
        <f ca="1">IFERROR(IF(0=LEN(ReferenceData!$AM$156),"",ReferenceData!$AM$156),"")</f>
        <v>1.145875132</v>
      </c>
      <c r="AN156">
        <f ca="1">IFERROR(IF(0=LEN(ReferenceData!$AN$156),"",ReferenceData!$AN$156),"")</f>
        <v>0.97758473000000001</v>
      </c>
      <c r="AO156">
        <f ca="1">IFERROR(IF(0=LEN(ReferenceData!$AO$156),"",ReferenceData!$AO$156),"")</f>
        <v>0.75703085599999997</v>
      </c>
      <c r="AP156">
        <f ca="1">IFERROR(IF(0=LEN(ReferenceData!$AP$156),"",ReferenceData!$AP$156),"")</f>
        <v>0.78103540999999999</v>
      </c>
      <c r="AQ156">
        <f ca="1">IFERROR(IF(0=LEN(ReferenceData!$AQ$156),"",ReferenceData!$AQ$156),"")</f>
        <v>0.82408361100000005</v>
      </c>
      <c r="AR156">
        <f ca="1">IFERROR(IF(0=LEN(ReferenceData!$AR$156),"",ReferenceData!$AR$156),"")</f>
        <v>0.86251054500000002</v>
      </c>
      <c r="AS156">
        <f ca="1">IFERROR(IF(0=LEN(ReferenceData!$AS$156),"",ReferenceData!$AS$156),"")</f>
        <v>0.90046106800000003</v>
      </c>
      <c r="AT156">
        <f ca="1">IFERROR(IF(0=LEN(ReferenceData!$AT$156),"",ReferenceData!$AT$156),"")</f>
        <v>0.45823623499999999</v>
      </c>
      <c r="AU156">
        <f ca="1">IFERROR(IF(0=LEN(ReferenceData!$AU$156),"",ReferenceData!$AU$156),"")</f>
        <v>0.35720522700000001</v>
      </c>
      <c r="AV156">
        <f ca="1">IFERROR(IF(0=LEN(ReferenceData!$AV$156),"",ReferenceData!$AV$156),"")</f>
        <v>0.471885948</v>
      </c>
      <c r="AW156">
        <f ca="1">IFERROR(IF(0=LEN(ReferenceData!$AW$156),"",ReferenceData!$AW$156),"")</f>
        <v>0.70569732699999999</v>
      </c>
      <c r="AX156">
        <f ca="1">IFERROR(IF(0=LEN(ReferenceData!$AX$156),"",ReferenceData!$AX$156),"")</f>
        <v>1.2799707490000001</v>
      </c>
      <c r="AY156" t="str">
        <f ca="1">IFERROR(IF(0=LEN(ReferenceData!$AY$156),"",ReferenceData!$AY$156),"")</f>
        <v/>
      </c>
      <c r="AZ156" t="str">
        <f ca="1">IFERROR(IF(0=LEN(ReferenceData!$AZ$156),"",ReferenceData!$AZ$156),"")</f>
        <v/>
      </c>
      <c r="BA156" t="str">
        <f ca="1">IFERROR(IF(0=LEN(ReferenceData!$BA$156),"",ReferenceData!$BA$156),"")</f>
        <v/>
      </c>
      <c r="BB156" t="str">
        <f ca="1">IFERROR(IF(0=LEN(ReferenceData!$BB$156),"",ReferenceData!$BB$156),"")</f>
        <v/>
      </c>
      <c r="BC156" t="str">
        <f ca="1">IFERROR(IF(0=LEN(ReferenceData!$BC$156),"",ReferenceData!$BC$156),"")</f>
        <v/>
      </c>
      <c r="BD156" t="str">
        <f ca="1">IFERROR(IF(0=LEN(ReferenceData!$BD$156),"",ReferenceData!$BD$156),"")</f>
        <v/>
      </c>
      <c r="BE156" t="str">
        <f ca="1">IFERROR(IF(0=LEN(ReferenceData!$BE$156),"",ReferenceData!$BE$156),"")</f>
        <v/>
      </c>
      <c r="BF156" t="str">
        <f ca="1">IFERROR(IF(0=LEN(ReferenceData!$BF$156),"",ReferenceData!$BF$156),"")</f>
        <v/>
      </c>
      <c r="BG156" t="str">
        <f ca="1">IFERROR(IF(0=LEN(ReferenceData!$BG$156),"",ReferenceData!$BG$156),"")</f>
        <v/>
      </c>
      <c r="BH156" t="str">
        <f ca="1">IFERROR(IF(0=LEN(ReferenceData!$BH$156),"",ReferenceData!$BH$156),"")</f>
        <v/>
      </c>
      <c r="BI156" t="str">
        <f ca="1">IFERROR(IF(0=LEN(ReferenceData!$BI$156),"",ReferenceData!$BI$156),"")</f>
        <v/>
      </c>
      <c r="BJ156" t="str">
        <f ca="1">IFERROR(IF(0=LEN(ReferenceData!$BJ$156),"",ReferenceData!$BJ$156),"")</f>
        <v/>
      </c>
      <c r="BK156" t="str">
        <f ca="1">IFERROR(IF(0=LEN(ReferenceData!$BK$156),"",ReferenceData!$BK$156),"")</f>
        <v/>
      </c>
      <c r="BL156" t="str">
        <f ca="1">IFERROR(IF(0=LEN(ReferenceData!$BL$156),"",ReferenceData!$BL$156),"")</f>
        <v/>
      </c>
      <c r="BM156" t="str">
        <f ca="1">IFERROR(IF(0=LEN(ReferenceData!$BM$156),"",ReferenceData!$BM$156),"")</f>
        <v/>
      </c>
    </row>
    <row r="157" spans="1:65" x14ac:dyDescent="0.25">
      <c r="A157" t="str">
        <f>IFERROR(IF(0=LEN(ReferenceData!$A$157),"",ReferenceData!$A$157),"")</f>
        <v xml:space="preserve">    Sollers PJSC</v>
      </c>
      <c r="B157" t="str">
        <f>IFERROR(IF(0=LEN(ReferenceData!$B$157),"",ReferenceData!$B$157),"")</f>
        <v>SVAV RM Equity</v>
      </c>
      <c r="C157" t="str">
        <f>IFERROR(IF(0=LEN(ReferenceData!$C$157),"",ReferenceData!$C$157),"")</f>
        <v>RR903</v>
      </c>
      <c r="D157" t="str">
        <f>IFERROR(IF(0=LEN(ReferenceData!$D$157),"",ReferenceData!$D$157),"")</f>
        <v>PX_TO_BOOK_RATIO</v>
      </c>
      <c r="E157" t="str">
        <f>IFERROR(IF(0=LEN(ReferenceData!$E$157),"",ReferenceData!$E$157),"")</f>
        <v>Dynamic</v>
      </c>
      <c r="F157" t="str">
        <f ca="1">IFERROR(IF(0=LEN(ReferenceData!$F$157),"",ReferenceData!$F$157),"")</f>
        <v/>
      </c>
      <c r="G157" t="str">
        <f ca="1">IFERROR(IF(0=LEN(ReferenceData!$G$157),"",ReferenceData!$G$157),"")</f>
        <v/>
      </c>
      <c r="H157" t="str">
        <f ca="1">IFERROR(IF(0=LEN(ReferenceData!$H$157),"",ReferenceData!$H$157),"")</f>
        <v/>
      </c>
      <c r="I157" t="str">
        <f ca="1">IFERROR(IF(0=LEN(ReferenceData!$I$157),"",ReferenceData!$I$157),"")</f>
        <v/>
      </c>
      <c r="J157" t="str">
        <f ca="1">IFERROR(IF(0=LEN(ReferenceData!$J$157),"",ReferenceData!$J$157),"")</f>
        <v/>
      </c>
      <c r="K157" t="str">
        <f ca="1">IFERROR(IF(0=LEN(ReferenceData!$K$157),"",ReferenceData!$K$157),"")</f>
        <v/>
      </c>
      <c r="L157" t="str">
        <f ca="1">IFERROR(IF(0=LEN(ReferenceData!$L$157),"",ReferenceData!$L$157),"")</f>
        <v/>
      </c>
      <c r="M157" t="str">
        <f ca="1">IFERROR(IF(0=LEN(ReferenceData!$M$157),"",ReferenceData!$M$157),"")</f>
        <v/>
      </c>
      <c r="N157" t="str">
        <f ca="1">IFERROR(IF(0=LEN(ReferenceData!$N$157),"",ReferenceData!$N$157),"")</f>
        <v/>
      </c>
      <c r="O157" t="str">
        <f ca="1">IFERROR(IF(0=LEN(ReferenceData!$O$157),"",ReferenceData!$O$157),"")</f>
        <v/>
      </c>
      <c r="P157" t="str">
        <f ca="1">IFERROR(IF(0=LEN(ReferenceData!$P$157),"",ReferenceData!$P$157),"")</f>
        <v/>
      </c>
      <c r="Q157" t="str">
        <f ca="1">IFERROR(IF(0=LEN(ReferenceData!$Q$157),"",ReferenceData!$Q$157),"")</f>
        <v/>
      </c>
      <c r="R157" t="str">
        <f ca="1">IFERROR(IF(0=LEN(ReferenceData!$R$157),"",ReferenceData!$R$157),"")</f>
        <v/>
      </c>
      <c r="S157" t="str">
        <f ca="1">IFERROR(IF(0=LEN(ReferenceData!$S$157),"",ReferenceData!$S$157),"")</f>
        <v/>
      </c>
      <c r="T157" t="str">
        <f ca="1">IFERROR(IF(0=LEN(ReferenceData!$T$157),"",ReferenceData!$T$157),"")</f>
        <v/>
      </c>
      <c r="U157" t="str">
        <f ca="1">IFERROR(IF(0=LEN(ReferenceData!$U$157),"",ReferenceData!$U$157),"")</f>
        <v/>
      </c>
      <c r="V157" t="str">
        <f ca="1">IFERROR(IF(0=LEN(ReferenceData!$V$157),"",ReferenceData!$V$157),"")</f>
        <v/>
      </c>
      <c r="W157" t="str">
        <f ca="1">IFERROR(IF(0=LEN(ReferenceData!$W$157),"",ReferenceData!$W$157),"")</f>
        <v/>
      </c>
      <c r="X157" t="str">
        <f ca="1">IFERROR(IF(0=LEN(ReferenceData!$X$157),"",ReferenceData!$X$157),"")</f>
        <v/>
      </c>
      <c r="Y157" t="str">
        <f ca="1">IFERROR(IF(0=LEN(ReferenceData!$Y$157),"",ReferenceData!$Y$157),"")</f>
        <v/>
      </c>
      <c r="Z157" t="str">
        <f ca="1">IFERROR(IF(0=LEN(ReferenceData!$Z$157),"",ReferenceData!$Z$157),"")</f>
        <v/>
      </c>
      <c r="AA157" t="str">
        <f ca="1">IFERROR(IF(0=LEN(ReferenceData!$AA$157),"",ReferenceData!$AA$157),"")</f>
        <v/>
      </c>
      <c r="AB157" t="str">
        <f ca="1">IFERROR(IF(0=LEN(ReferenceData!$AB$157),"",ReferenceData!$AB$157),"")</f>
        <v/>
      </c>
      <c r="AC157" t="str">
        <f ca="1">IFERROR(IF(0=LEN(ReferenceData!$AC$157),"",ReferenceData!$AC$157),"")</f>
        <v/>
      </c>
      <c r="AD157" t="str">
        <f ca="1">IFERROR(IF(0=LEN(ReferenceData!$AD$157),"",ReferenceData!$AD$157),"")</f>
        <v/>
      </c>
      <c r="AE157" t="str">
        <f ca="1">IFERROR(IF(0=LEN(ReferenceData!$AE$157),"",ReferenceData!$AE$157),"")</f>
        <v/>
      </c>
      <c r="AF157" t="str">
        <f ca="1">IFERROR(IF(0=LEN(ReferenceData!$AF$157),"",ReferenceData!$AF$157),"")</f>
        <v/>
      </c>
      <c r="AG157" t="str">
        <f ca="1">IFERROR(IF(0=LEN(ReferenceData!$AG$157),"",ReferenceData!$AG$157),"")</f>
        <v/>
      </c>
      <c r="AH157" t="str">
        <f ca="1">IFERROR(IF(0=LEN(ReferenceData!$AH$157),"",ReferenceData!$AH$157),"")</f>
        <v/>
      </c>
      <c r="AI157" t="str">
        <f ca="1">IFERROR(IF(0=LEN(ReferenceData!$AI$157),"",ReferenceData!$AI$157),"")</f>
        <v/>
      </c>
      <c r="AJ157" t="str">
        <f ca="1">IFERROR(IF(0=LEN(ReferenceData!$AJ$157),"",ReferenceData!$AJ$157),"")</f>
        <v/>
      </c>
      <c r="AK157" t="str">
        <f ca="1">IFERROR(IF(0=LEN(ReferenceData!$AK$157),"",ReferenceData!$AK$157),"")</f>
        <v/>
      </c>
      <c r="AL157" t="str">
        <f ca="1">IFERROR(IF(0=LEN(ReferenceData!$AL$157),"",ReferenceData!$AL$157),"")</f>
        <v/>
      </c>
      <c r="AM157" t="str">
        <f ca="1">IFERROR(IF(0=LEN(ReferenceData!$AM$157),"",ReferenceData!$AM$157),"")</f>
        <v/>
      </c>
      <c r="AN157" t="str">
        <f ca="1">IFERROR(IF(0=LEN(ReferenceData!$AN$157),"",ReferenceData!$AN$157),"")</f>
        <v/>
      </c>
      <c r="AO157" t="str">
        <f ca="1">IFERROR(IF(0=LEN(ReferenceData!$AO$157),"",ReferenceData!$AO$157),"")</f>
        <v/>
      </c>
      <c r="AP157" t="str">
        <f ca="1">IFERROR(IF(0=LEN(ReferenceData!$AP$157),"",ReferenceData!$AP$157),"")</f>
        <v/>
      </c>
      <c r="AQ157" t="str">
        <f ca="1">IFERROR(IF(0=LEN(ReferenceData!$AQ$157),"",ReferenceData!$AQ$157),"")</f>
        <v/>
      </c>
      <c r="AR157" t="str">
        <f ca="1">IFERROR(IF(0=LEN(ReferenceData!$AR$157),"",ReferenceData!$AR$157),"")</f>
        <v/>
      </c>
      <c r="AS157" t="str">
        <f ca="1">IFERROR(IF(0=LEN(ReferenceData!$AS$157),"",ReferenceData!$AS$157),"")</f>
        <v/>
      </c>
      <c r="AT157" t="str">
        <f ca="1">IFERROR(IF(0=LEN(ReferenceData!$AT$157),"",ReferenceData!$AT$157),"")</f>
        <v/>
      </c>
      <c r="AU157" t="str">
        <f ca="1">IFERROR(IF(0=LEN(ReferenceData!$AU$157),"",ReferenceData!$AU$157),"")</f>
        <v/>
      </c>
      <c r="AV157" t="str">
        <f ca="1">IFERROR(IF(0=LEN(ReferenceData!$AV$157),"",ReferenceData!$AV$157),"")</f>
        <v/>
      </c>
      <c r="AW157" t="str">
        <f ca="1">IFERROR(IF(0=LEN(ReferenceData!$AW$157),"",ReferenceData!$AW$157),"")</f>
        <v/>
      </c>
      <c r="AX157" t="str">
        <f ca="1">IFERROR(IF(0=LEN(ReferenceData!$AX$157),"",ReferenceData!$AX$157),"")</f>
        <v/>
      </c>
      <c r="AY157" t="str">
        <f ca="1">IFERROR(IF(0=LEN(ReferenceData!$AY$157),"",ReferenceData!$AY$157),"")</f>
        <v/>
      </c>
      <c r="AZ157" t="str">
        <f ca="1">IFERROR(IF(0=LEN(ReferenceData!$AZ$157),"",ReferenceData!$AZ$157),"")</f>
        <v/>
      </c>
      <c r="BA157" t="str">
        <f ca="1">IFERROR(IF(0=LEN(ReferenceData!$BA$157),"",ReferenceData!$BA$157),"")</f>
        <v/>
      </c>
      <c r="BB157" t="str">
        <f ca="1">IFERROR(IF(0=LEN(ReferenceData!$BB$157),"",ReferenceData!$BB$157),"")</f>
        <v/>
      </c>
      <c r="BC157" t="str">
        <f ca="1">IFERROR(IF(0=LEN(ReferenceData!$BC$157),"",ReferenceData!$BC$157),"")</f>
        <v/>
      </c>
      <c r="BD157" t="str">
        <f ca="1">IFERROR(IF(0=LEN(ReferenceData!$BD$157),"",ReferenceData!$BD$157),"")</f>
        <v/>
      </c>
      <c r="BE157" t="str">
        <f ca="1">IFERROR(IF(0=LEN(ReferenceData!$BE$157),"",ReferenceData!$BE$157),"")</f>
        <v/>
      </c>
      <c r="BF157" t="str">
        <f ca="1">IFERROR(IF(0=LEN(ReferenceData!$BF$157),"",ReferenceData!$BF$157),"")</f>
        <v/>
      </c>
      <c r="BG157" t="str">
        <f ca="1">IFERROR(IF(0=LEN(ReferenceData!$BG$157),"",ReferenceData!$BG$157),"")</f>
        <v/>
      </c>
      <c r="BH157" t="str">
        <f ca="1">IFERROR(IF(0=LEN(ReferenceData!$BH$157),"",ReferenceData!$BH$157),"")</f>
        <v/>
      </c>
      <c r="BI157" t="str">
        <f ca="1">IFERROR(IF(0=LEN(ReferenceData!$BI$157),"",ReferenceData!$BI$157),"")</f>
        <v/>
      </c>
      <c r="BJ157" t="str">
        <f ca="1">IFERROR(IF(0=LEN(ReferenceData!$BJ$157),"",ReferenceData!$BJ$157),"")</f>
        <v/>
      </c>
      <c r="BK157" t="str">
        <f ca="1">IFERROR(IF(0=LEN(ReferenceData!$BK$157),"",ReferenceData!$BK$157),"")</f>
        <v/>
      </c>
      <c r="BL157" t="str">
        <f ca="1">IFERROR(IF(0=LEN(ReferenceData!$BL$157),"",ReferenceData!$BL$157),"")</f>
        <v/>
      </c>
      <c r="BM157" t="str">
        <f ca="1">IFERROR(IF(0=LEN(ReferenceData!$BM$157),"",ReferenceData!$BM$157),"")</f>
        <v/>
      </c>
    </row>
    <row r="158" spans="1:65" x14ac:dyDescent="0.25">
      <c r="A158" t="str">
        <f>IFERROR(IF(0=LEN(ReferenceData!$A$158),"",ReferenceData!$A$158),"")</f>
        <v xml:space="preserve">    Ssangyong Motor Co</v>
      </c>
      <c r="B158" t="str">
        <f>IFERROR(IF(0=LEN(ReferenceData!$B$158),"",ReferenceData!$B$158),"")</f>
        <v>003620 KS Equity</v>
      </c>
      <c r="C158" t="str">
        <f>IFERROR(IF(0=LEN(ReferenceData!$C$158),"",ReferenceData!$C$158),"")</f>
        <v>RR903</v>
      </c>
      <c r="D158" t="str">
        <f>IFERROR(IF(0=LEN(ReferenceData!$D$158),"",ReferenceData!$D$158),"")</f>
        <v>PX_TO_BOOK_RATIO</v>
      </c>
      <c r="E158" t="str">
        <f>IFERROR(IF(0=LEN(ReferenceData!$E$158),"",ReferenceData!$E$158),"")</f>
        <v>Dynamic</v>
      </c>
      <c r="F158" t="str">
        <f ca="1">IFERROR(IF(0=LEN(ReferenceData!$F$158),"",ReferenceData!$F$158),"")</f>
        <v/>
      </c>
      <c r="G158">
        <f ca="1">IFERROR(IF(0=LEN(ReferenceData!$G$158),"",ReferenceData!$G$158),"")</f>
        <v>0.75673625700000002</v>
      </c>
      <c r="H158">
        <f ca="1">IFERROR(IF(0=LEN(ReferenceData!$H$158),"",ReferenceData!$H$158),"")</f>
        <v>0.87677690699999999</v>
      </c>
      <c r="I158">
        <f ca="1">IFERROR(IF(0=LEN(ReferenceData!$I$158),"",ReferenceData!$I$158),"")</f>
        <v>0.85694018199999999</v>
      </c>
      <c r="J158">
        <f ca="1">IFERROR(IF(0=LEN(ReferenceData!$J$158),"",ReferenceData!$J$158),"")</f>
        <v>0.92352835700000002</v>
      </c>
      <c r="K158">
        <f ca="1">IFERROR(IF(0=LEN(ReferenceData!$K$158),"",ReferenceData!$K$158),"")</f>
        <v>0.911173864</v>
      </c>
      <c r="L158">
        <f ca="1">IFERROR(IF(0=LEN(ReferenceData!$L$158),"",ReferenceData!$L$158),"")</f>
        <v>0.91117173600000001</v>
      </c>
      <c r="M158">
        <f ca="1">IFERROR(IF(0=LEN(ReferenceData!$M$158),"",ReferenceData!$M$158),"")</f>
        <v>1.1751364470000001</v>
      </c>
      <c r="N158">
        <f ca="1">IFERROR(IF(0=LEN(ReferenceData!$N$158),"",ReferenceData!$N$158),"")</f>
        <v>1.34765559</v>
      </c>
      <c r="O158">
        <f ca="1">IFERROR(IF(0=LEN(ReferenceData!$O$158),"",ReferenceData!$O$158),"")</f>
        <v>1.3321947220000001</v>
      </c>
      <c r="P158">
        <f ca="1">IFERROR(IF(0=LEN(ReferenceData!$P$158),"",ReferenceData!$P$158),"")</f>
        <v>1.430131265</v>
      </c>
      <c r="Q158">
        <f ca="1">IFERROR(IF(0=LEN(ReferenceData!$Q$158),"",ReferenceData!$Q$158),"")</f>
        <v>1.3003692039999999</v>
      </c>
      <c r="R158">
        <f ca="1">IFERROR(IF(0=LEN(ReferenceData!$R$158),"",ReferenceData!$R$158),"")</f>
        <v>1.570922172</v>
      </c>
      <c r="S158">
        <f ca="1">IFERROR(IF(0=LEN(ReferenceData!$S$158),"",ReferenceData!$S$158),"")</f>
        <v>1.483087745</v>
      </c>
      <c r="T158">
        <f ca="1">IFERROR(IF(0=LEN(ReferenceData!$T$158),"",ReferenceData!$T$158),"")</f>
        <v>1.7275924490000001</v>
      </c>
      <c r="U158">
        <f ca="1">IFERROR(IF(0=LEN(ReferenceData!$U$158),"",ReferenceData!$U$158),"")</f>
        <v>1.6401005980000001</v>
      </c>
      <c r="V158">
        <f ca="1">IFERROR(IF(0=LEN(ReferenceData!$V$158),"",ReferenceData!$V$158),"")</f>
        <v>1.6574070940000001</v>
      </c>
      <c r="W158">
        <f ca="1">IFERROR(IF(0=LEN(ReferenceData!$W$158),"",ReferenceData!$W$158),"")</f>
        <v>1.6345308679999999</v>
      </c>
      <c r="X158">
        <f ca="1">IFERROR(IF(0=LEN(ReferenceData!$X$158),"",ReferenceData!$X$158),"")</f>
        <v>1.1005130110000001</v>
      </c>
      <c r="Y158">
        <f ca="1">IFERROR(IF(0=LEN(ReferenceData!$Y$158),"",ReferenceData!$Y$158),"")</f>
        <v>1.4177817290000001</v>
      </c>
      <c r="Z158">
        <f ca="1">IFERROR(IF(0=LEN(ReferenceData!$Z$158),"",ReferenceData!$Z$158),"")</f>
        <v>1.3615419369999999</v>
      </c>
      <c r="AA158">
        <f ca="1">IFERROR(IF(0=LEN(ReferenceData!$AA$158),"",ReferenceData!$AA$158),"")</f>
        <v>1.1716967060000001</v>
      </c>
      <c r="AB158">
        <f ca="1">IFERROR(IF(0=LEN(ReferenceData!$AB$158),"",ReferenceData!$AB$158),"")</f>
        <v>1.3243286839999999</v>
      </c>
      <c r="AC158">
        <f ca="1">IFERROR(IF(0=LEN(ReferenceData!$AC$158),"",ReferenceData!$AC$158),"")</f>
        <v>1.479195276</v>
      </c>
      <c r="AD158">
        <f ca="1">IFERROR(IF(0=LEN(ReferenceData!$AD$158),"",ReferenceData!$AD$158),"")</f>
        <v>0.96759457000000004</v>
      </c>
      <c r="AE158">
        <f ca="1">IFERROR(IF(0=LEN(ReferenceData!$AE$158),"",ReferenceData!$AE$158),"")</f>
        <v>0.81357896600000001</v>
      </c>
      <c r="AF158" t="str">
        <f ca="1">IFERROR(IF(0=LEN(ReferenceData!$AF$158),"",ReferenceData!$AF$158),"")</f>
        <v/>
      </c>
      <c r="AG158" t="str">
        <f ca="1">IFERROR(IF(0=LEN(ReferenceData!$AG$158),"",ReferenceData!$AG$158),"")</f>
        <v/>
      </c>
      <c r="AH158" t="str">
        <f ca="1">IFERROR(IF(0=LEN(ReferenceData!$AH$158),"",ReferenceData!$AH$158),"")</f>
        <v/>
      </c>
      <c r="AI158" t="str">
        <f ca="1">IFERROR(IF(0=LEN(ReferenceData!$AI$158),"",ReferenceData!$AI$158),"")</f>
        <v/>
      </c>
      <c r="AJ158" t="str">
        <f ca="1">IFERROR(IF(0=LEN(ReferenceData!$AJ$158),"",ReferenceData!$AJ$158),"")</f>
        <v/>
      </c>
      <c r="AK158" t="str">
        <f ca="1">IFERROR(IF(0=LEN(ReferenceData!$AK$158),"",ReferenceData!$AK$158),"")</f>
        <v/>
      </c>
      <c r="AL158" t="str">
        <f ca="1">IFERROR(IF(0=LEN(ReferenceData!$AL$158),"",ReferenceData!$AL$158),"")</f>
        <v/>
      </c>
      <c r="AM158" t="str">
        <f ca="1">IFERROR(IF(0=LEN(ReferenceData!$AM$158),"",ReferenceData!$AM$158),"")</f>
        <v/>
      </c>
      <c r="AN158" t="str">
        <f ca="1">IFERROR(IF(0=LEN(ReferenceData!$AN$158),"",ReferenceData!$AN$158),"")</f>
        <v/>
      </c>
      <c r="AO158" t="str">
        <f ca="1">IFERROR(IF(0=LEN(ReferenceData!$AO$158),"",ReferenceData!$AO$158),"")</f>
        <v/>
      </c>
      <c r="AP158" t="str">
        <f ca="1">IFERROR(IF(0=LEN(ReferenceData!$AP$158),"",ReferenceData!$AP$158),"")</f>
        <v/>
      </c>
      <c r="AQ158" t="str">
        <f ca="1">IFERROR(IF(0=LEN(ReferenceData!$AQ$158),"",ReferenceData!$AQ$158),"")</f>
        <v/>
      </c>
      <c r="AR158" t="str">
        <f ca="1">IFERROR(IF(0=LEN(ReferenceData!$AR$158),"",ReferenceData!$AR$158),"")</f>
        <v/>
      </c>
      <c r="AS158" t="str">
        <f ca="1">IFERROR(IF(0=LEN(ReferenceData!$AS$158),"",ReferenceData!$AS$158),"")</f>
        <v/>
      </c>
      <c r="AT158" t="str">
        <f ca="1">IFERROR(IF(0=LEN(ReferenceData!$AT$158),"",ReferenceData!$AT$158),"")</f>
        <v/>
      </c>
      <c r="AU158" t="str">
        <f ca="1">IFERROR(IF(0=LEN(ReferenceData!$AU$158),"",ReferenceData!$AU$158),"")</f>
        <v/>
      </c>
      <c r="AV158" t="str">
        <f ca="1">IFERROR(IF(0=LEN(ReferenceData!$AV$158),"",ReferenceData!$AV$158),"")</f>
        <v/>
      </c>
      <c r="AW158" t="str">
        <f ca="1">IFERROR(IF(0=LEN(ReferenceData!$AW$158),"",ReferenceData!$AW$158),"")</f>
        <v/>
      </c>
      <c r="AX158" t="str">
        <f ca="1">IFERROR(IF(0=LEN(ReferenceData!$AX$158),"",ReferenceData!$AX$158),"")</f>
        <v/>
      </c>
      <c r="AY158" t="str">
        <f ca="1">IFERROR(IF(0=LEN(ReferenceData!$AY$158),"",ReferenceData!$AY$158),"")</f>
        <v/>
      </c>
      <c r="AZ158" t="str">
        <f ca="1">IFERROR(IF(0=LEN(ReferenceData!$AZ$158),"",ReferenceData!$AZ$158),"")</f>
        <v/>
      </c>
      <c r="BA158" t="str">
        <f ca="1">IFERROR(IF(0=LEN(ReferenceData!$BA$158),"",ReferenceData!$BA$158),"")</f>
        <v/>
      </c>
      <c r="BB158" t="str">
        <f ca="1">IFERROR(IF(0=LEN(ReferenceData!$BB$158),"",ReferenceData!$BB$158),"")</f>
        <v/>
      </c>
      <c r="BC158" t="str">
        <f ca="1">IFERROR(IF(0=LEN(ReferenceData!$BC$158),"",ReferenceData!$BC$158),"")</f>
        <v/>
      </c>
      <c r="BD158" t="str">
        <f ca="1">IFERROR(IF(0=LEN(ReferenceData!$BD$158),"",ReferenceData!$BD$158),"")</f>
        <v/>
      </c>
      <c r="BE158" t="str">
        <f ca="1">IFERROR(IF(0=LEN(ReferenceData!$BE$158),"",ReferenceData!$BE$158),"")</f>
        <v/>
      </c>
      <c r="BF158" t="str">
        <f ca="1">IFERROR(IF(0=LEN(ReferenceData!$BF$158),"",ReferenceData!$BF$158),"")</f>
        <v/>
      </c>
      <c r="BG158" t="str">
        <f ca="1">IFERROR(IF(0=LEN(ReferenceData!$BG$158),"",ReferenceData!$BG$158),"")</f>
        <v/>
      </c>
      <c r="BH158" t="str">
        <f ca="1">IFERROR(IF(0=LEN(ReferenceData!$BH$158),"",ReferenceData!$BH$158),"")</f>
        <v/>
      </c>
      <c r="BI158" t="str">
        <f ca="1">IFERROR(IF(0=LEN(ReferenceData!$BI$158),"",ReferenceData!$BI$158),"")</f>
        <v/>
      </c>
      <c r="BJ158" t="str">
        <f ca="1">IFERROR(IF(0=LEN(ReferenceData!$BJ$158),"",ReferenceData!$BJ$158),"")</f>
        <v/>
      </c>
      <c r="BK158" t="str">
        <f ca="1">IFERROR(IF(0=LEN(ReferenceData!$BK$158),"",ReferenceData!$BK$158),"")</f>
        <v/>
      </c>
      <c r="BL158" t="str">
        <f ca="1">IFERROR(IF(0=LEN(ReferenceData!$BL$158),"",ReferenceData!$BL$158),"")</f>
        <v/>
      </c>
      <c r="BM158" t="str">
        <f ca="1">IFERROR(IF(0=LEN(ReferenceData!$BM$158),"",ReferenceData!$BM$158),"")</f>
        <v/>
      </c>
    </row>
    <row r="159" spans="1:65" x14ac:dyDescent="0.25">
      <c r="A159" t="str">
        <f>IFERROR(IF(0=LEN(ReferenceData!$A$159),"",ReferenceData!$A$159),"")</f>
        <v xml:space="preserve">    Subaru Corp</v>
      </c>
      <c r="B159" t="str">
        <f>IFERROR(IF(0=LEN(ReferenceData!$B$159),"",ReferenceData!$B$159),"")</f>
        <v>7270 JP Equity</v>
      </c>
      <c r="C159" t="str">
        <f>IFERROR(IF(0=LEN(ReferenceData!$C$159),"",ReferenceData!$C$159),"")</f>
        <v>RR903</v>
      </c>
      <c r="D159" t="str">
        <f>IFERROR(IF(0=LEN(ReferenceData!$D$159),"",ReferenceData!$D$159),"")</f>
        <v>PX_TO_BOOK_RATIO</v>
      </c>
      <c r="E159" t="str">
        <f>IFERROR(IF(0=LEN(ReferenceData!$E$159),"",ReferenceData!$E$159),"")</f>
        <v>Dynamic</v>
      </c>
      <c r="F159">
        <f ca="1">IFERROR(IF(0=LEN(ReferenceData!$F$159),"",ReferenceData!$F$159),"")</f>
        <v>1.385199114</v>
      </c>
      <c r="G159">
        <f ca="1">IFERROR(IF(0=LEN(ReferenceData!$G$159),"",ReferenceData!$G$159),"")</f>
        <v>1.1502709040000001</v>
      </c>
      <c r="H159">
        <f ca="1">IFERROR(IF(0=LEN(ReferenceData!$H$159),"",ReferenceData!$H$159),"")</f>
        <v>1.700097993</v>
      </c>
      <c r="I159">
        <f ca="1">IFERROR(IF(0=LEN(ReferenceData!$I$159),"",ReferenceData!$I$159),"")</f>
        <v>1.5878428060000001</v>
      </c>
      <c r="J159">
        <f ca="1">IFERROR(IF(0=LEN(ReferenceData!$J$159),"",ReferenceData!$J$159),"")</f>
        <v>1.72171585</v>
      </c>
      <c r="K159">
        <f ca="1">IFERROR(IF(0=LEN(ReferenceData!$K$159),"",ReferenceData!$K$159),"")</f>
        <v>1.815536775</v>
      </c>
      <c r="L159">
        <f ca="1">IFERROR(IF(0=LEN(ReferenceData!$L$159),"",ReferenceData!$L$159),"")</f>
        <v>2.0780039619999999</v>
      </c>
      <c r="M159">
        <f ca="1">IFERROR(IF(0=LEN(ReferenceData!$M$159),"",ReferenceData!$M$159),"")</f>
        <v>1.9497827320000001</v>
      </c>
      <c r="N159">
        <f ca="1">IFERROR(IF(0=LEN(ReferenceData!$N$159),"",ReferenceData!$N$159),"")</f>
        <v>2.1460589539999999</v>
      </c>
      <c r="O159">
        <f ca="1">IFERROR(IF(0=LEN(ReferenceData!$O$159),"",ReferenceData!$O$159),"")</f>
        <v>2.6191623339999999</v>
      </c>
      <c r="P159">
        <f ca="1">IFERROR(IF(0=LEN(ReferenceData!$P$159),"",ReferenceData!$P$159),"")</f>
        <v>2.1229972720000001</v>
      </c>
      <c r="Q159">
        <f ca="1">IFERROR(IF(0=LEN(ReferenceData!$Q$159),"",ReferenceData!$Q$159),"")</f>
        <v>2.0349276280000002</v>
      </c>
      <c r="R159">
        <f ca="1">IFERROR(IF(0=LEN(ReferenceData!$R$159),"",ReferenceData!$R$159),"")</f>
        <v>2.3084979369999998</v>
      </c>
      <c r="S159">
        <f ca="1">IFERROR(IF(0=LEN(ReferenceData!$S$159),"",ReferenceData!$S$159),"")</f>
        <v>3.0784209840000001</v>
      </c>
      <c r="T159">
        <f ca="1">IFERROR(IF(0=LEN(ReferenceData!$T$159),"",ReferenceData!$T$159),"")</f>
        <v>2.819754686</v>
      </c>
      <c r="U159">
        <f ca="1">IFERROR(IF(0=LEN(ReferenceData!$U$159),"",ReferenceData!$U$159),"")</f>
        <v>3.2338729279999998</v>
      </c>
      <c r="V159">
        <f ca="1">IFERROR(IF(0=LEN(ReferenceData!$V$159),"",ReferenceData!$V$159),"")</f>
        <v>3.0462175039999999</v>
      </c>
      <c r="W159">
        <f ca="1">IFERROR(IF(0=LEN(ReferenceData!$W$159),"",ReferenceData!$W$159),"")</f>
        <v>3.5121589609999999</v>
      </c>
      <c r="X159">
        <f ca="1">IFERROR(IF(0=LEN(ReferenceData!$X$159),"",ReferenceData!$X$159),"")</f>
        <v>3.2378118200000001</v>
      </c>
      <c r="Y159">
        <f ca="1">IFERROR(IF(0=LEN(ReferenceData!$Y$159),"",ReferenceData!$Y$159),"")</f>
        <v>2.7589545360000001</v>
      </c>
      <c r="Z159">
        <f ca="1">IFERROR(IF(0=LEN(ReferenceData!$Z$159),"",ReferenceData!$Z$159),"")</f>
        <v>2.846137251</v>
      </c>
      <c r="AA159">
        <f ca="1">IFERROR(IF(0=LEN(ReferenceData!$AA$159),"",ReferenceData!$AA$159),"")</f>
        <v>3.0909984239999999</v>
      </c>
      <c r="AB159">
        <f ca="1">IFERROR(IF(0=LEN(ReferenceData!$AB$159),"",ReferenceData!$AB$159),"")</f>
        <v>2.9862833050000002</v>
      </c>
      <c r="AC159">
        <f ca="1">IFERROR(IF(0=LEN(ReferenceData!$AC$159),"",ReferenceData!$AC$159),"")</f>
        <v>2.9448279460000002</v>
      </c>
      <c r="AD159">
        <f ca="1">IFERROR(IF(0=LEN(ReferenceData!$AD$159),"",ReferenceData!$AD$159),"")</f>
        <v>1.915141518</v>
      </c>
      <c r="AE159">
        <f ca="1">IFERROR(IF(0=LEN(ReferenceData!$AE$159),"",ReferenceData!$AE$159),"")</f>
        <v>1.654551916</v>
      </c>
      <c r="AF159">
        <f ca="1">IFERROR(IF(0=LEN(ReferenceData!$AF$159),"",ReferenceData!$AF$159),"")</f>
        <v>1.0595026439999999</v>
      </c>
      <c r="AG159">
        <f ca="1">IFERROR(IF(0=LEN(ReferenceData!$AG$159),"",ReferenceData!$AG$159),"")</f>
        <v>1.0903537910000001</v>
      </c>
      <c r="AH159">
        <f ca="1">IFERROR(IF(0=LEN(ReferenceData!$AH$159),"",ReferenceData!$AH$159),"")</f>
        <v>1.1525714629999999</v>
      </c>
      <c r="AI159">
        <f ca="1">IFERROR(IF(0=LEN(ReferenceData!$AI$159),"",ReferenceData!$AI$159),"")</f>
        <v>0.83654448100000001</v>
      </c>
      <c r="AJ159">
        <f ca="1">IFERROR(IF(0=LEN(ReferenceData!$AJ$159),"",ReferenceData!$AJ$159),"")</f>
        <v>0.82553178999999999</v>
      </c>
      <c r="AK159">
        <f ca="1">IFERROR(IF(0=LEN(ReferenceData!$AK$159),"",ReferenceData!$AK$159),"")</f>
        <v>1.10878849</v>
      </c>
      <c r="AL159">
        <f ca="1">IFERROR(IF(0=LEN(ReferenceData!$AL$159),"",ReferenceData!$AL$159),"")</f>
        <v>1.0134708539999999</v>
      </c>
      <c r="AM159">
        <f ca="1">IFERROR(IF(0=LEN(ReferenceData!$AM$159),"",ReferenceData!$AM$159),"")</f>
        <v>1.175337136</v>
      </c>
      <c r="AN159">
        <f ca="1">IFERROR(IF(0=LEN(ReferenceData!$AN$159),"",ReferenceData!$AN$159),"")</f>
        <v>1.016062856</v>
      </c>
      <c r="AO159">
        <f ca="1">IFERROR(IF(0=LEN(ReferenceData!$AO$159),"",ReferenceData!$AO$159),"")</f>
        <v>0.95560322900000005</v>
      </c>
      <c r="AP159">
        <f ca="1">IFERROR(IF(0=LEN(ReferenceData!$AP$159),"",ReferenceData!$AP$159),"")</f>
        <v>0.99062516599999995</v>
      </c>
      <c r="AQ159">
        <f ca="1">IFERROR(IF(0=LEN(ReferenceData!$AQ$159),"",ReferenceData!$AQ$159),"")</f>
        <v>0.92565074599999997</v>
      </c>
      <c r="AR159">
        <f ca="1">IFERROR(IF(0=LEN(ReferenceData!$AR$159),"",ReferenceData!$AR$159),"")</f>
        <v>0.73526404899999998</v>
      </c>
      <c r="AS159">
        <f ca="1">IFERROR(IF(0=LEN(ReferenceData!$AS$159),"",ReferenceData!$AS$159),"")</f>
        <v>0.80671713199999995</v>
      </c>
      <c r="AT159">
        <f ca="1">IFERROR(IF(0=LEN(ReferenceData!$AT$159),"",ReferenceData!$AT$159),"")</f>
        <v>0.63688233400000005</v>
      </c>
      <c r="AU159">
        <f ca="1">IFERROR(IF(0=LEN(ReferenceData!$AU$159),"",ReferenceData!$AU$159),"")</f>
        <v>0.40086284300000002</v>
      </c>
      <c r="AV159">
        <f ca="1">IFERROR(IF(0=LEN(ReferenceData!$AV$159),"",ReferenceData!$AV$159),"")</f>
        <v>0.81209027600000006</v>
      </c>
      <c r="AW159">
        <f ca="1">IFERROR(IF(0=LEN(ReferenceData!$AW$159),"",ReferenceData!$AW$159),"")</f>
        <v>0.80848877299999999</v>
      </c>
      <c r="AX159">
        <f ca="1">IFERROR(IF(0=LEN(ReferenceData!$AX$159),"",ReferenceData!$AX$159),"")</f>
        <v>0.60696728700000002</v>
      </c>
      <c r="AY159">
        <f ca="1">IFERROR(IF(0=LEN(ReferenceData!$AY$159),"",ReferenceData!$AY$159),"")</f>
        <v>0.74967686300000003</v>
      </c>
      <c r="AZ159">
        <f ca="1">IFERROR(IF(0=LEN(ReferenceData!$AZ$159),"",ReferenceData!$AZ$159),"")</f>
        <v>0.71845035599999996</v>
      </c>
      <c r="BA159">
        <f ca="1">IFERROR(IF(0=LEN(ReferenceData!$BA$159),"",ReferenceData!$BA$159),"")</f>
        <v>0.859820166</v>
      </c>
      <c r="BB159">
        <f ca="1">IFERROR(IF(0=LEN(ReferenceData!$BB$159),"",ReferenceData!$BB$159),"")</f>
        <v>0.88977982</v>
      </c>
      <c r="BC159">
        <f ca="1">IFERROR(IF(0=LEN(ReferenceData!$BC$159),"",ReferenceData!$BC$159),"")</f>
        <v>0.90080793599999998</v>
      </c>
      <c r="BD159">
        <f ca="1">IFERROR(IF(0=LEN(ReferenceData!$BD$159),"",ReferenceData!$BD$159),"")</f>
        <v>1.024904072</v>
      </c>
      <c r="BE159">
        <f ca="1">IFERROR(IF(0=LEN(ReferenceData!$BE$159),"",ReferenceData!$BE$159),"")</f>
        <v>1.0338593089999999</v>
      </c>
      <c r="BF159">
        <f ca="1">IFERROR(IF(0=LEN(ReferenceData!$BF$159),"",ReferenceData!$BF$159),"")</f>
        <v>1.0653367570000001</v>
      </c>
      <c r="BG159">
        <f ca="1">IFERROR(IF(0=LEN(ReferenceData!$BG$159),"",ReferenceData!$BG$159),"")</f>
        <v>1.0121941130000001</v>
      </c>
      <c r="BH159">
        <f ca="1">IFERROR(IF(0=LEN(ReferenceData!$BH$159),"",ReferenceData!$BH$159),"")</f>
        <v>0.82412520300000003</v>
      </c>
      <c r="BI159">
        <f ca="1">IFERROR(IF(0=LEN(ReferenceData!$BI$159),"",ReferenceData!$BI$159),"")</f>
        <v>0.70424870699999997</v>
      </c>
      <c r="BJ159">
        <f ca="1">IFERROR(IF(0=LEN(ReferenceData!$BJ$159),"",ReferenceData!$BJ$159),"")</f>
        <v>0.86661543600000002</v>
      </c>
      <c r="BK159">
        <f ca="1">IFERROR(IF(0=LEN(ReferenceData!$BK$159),"",ReferenceData!$BK$159),"")</f>
        <v>0.84437339099999997</v>
      </c>
      <c r="BL159">
        <f ca="1">IFERROR(IF(0=LEN(ReferenceData!$BL$159),"",ReferenceData!$BL$159),"")</f>
        <v>0.93502182599999994</v>
      </c>
      <c r="BM159">
        <f ca="1">IFERROR(IF(0=LEN(ReferenceData!$BM$159),"",ReferenceData!$BM$159),"")</f>
        <v>1.0586728110000001</v>
      </c>
    </row>
    <row r="160" spans="1:65" x14ac:dyDescent="0.25">
      <c r="A160" t="str">
        <f>IFERROR(IF(0=LEN(ReferenceData!$A$160),"",ReferenceData!$A$160),"")</f>
        <v xml:space="preserve">    Suzuki Motor Corp</v>
      </c>
      <c r="B160" t="str">
        <f>IFERROR(IF(0=LEN(ReferenceData!$B$160),"",ReferenceData!$B$160),"")</f>
        <v>7269 JP Equity</v>
      </c>
      <c r="C160" t="str">
        <f>IFERROR(IF(0=LEN(ReferenceData!$C$160),"",ReferenceData!$C$160),"")</f>
        <v>RR903</v>
      </c>
      <c r="D160" t="str">
        <f>IFERROR(IF(0=LEN(ReferenceData!$D$160),"",ReferenceData!$D$160),"")</f>
        <v>PX_TO_BOOK_RATIO</v>
      </c>
      <c r="E160" t="str">
        <f>IFERROR(IF(0=LEN(ReferenceData!$E$160),"",ReferenceData!$E$160),"")</f>
        <v>Dynamic</v>
      </c>
      <c r="F160">
        <f ca="1">IFERROR(IF(0=LEN(ReferenceData!$F$160),"",ReferenceData!$F$160),"")</f>
        <v>1.9230123770000001</v>
      </c>
      <c r="G160">
        <f ca="1">IFERROR(IF(0=LEN(ReferenceData!$G$160),"",ReferenceData!$G$160),"")</f>
        <v>1.8527881450000001</v>
      </c>
      <c r="H160">
        <f ca="1">IFERROR(IF(0=LEN(ReferenceData!$H$160),"",ReferenceData!$H$160),"")</f>
        <v>2.170386218</v>
      </c>
      <c r="I160">
        <f ca="1">IFERROR(IF(0=LEN(ReferenceData!$I$160),"",ReferenceData!$I$160),"")</f>
        <v>2.0208723160000002</v>
      </c>
      <c r="J160">
        <f ca="1">IFERROR(IF(0=LEN(ReferenceData!$J$160),"",ReferenceData!$J$160),"")</f>
        <v>1.9505491370000001</v>
      </c>
      <c r="K160">
        <f ca="1">IFERROR(IF(0=LEN(ReferenceData!$K$160),"",ReferenceData!$K$160),"")</f>
        <v>2.1994272499999998</v>
      </c>
      <c r="L160">
        <f ca="1">IFERROR(IF(0=LEN(ReferenceData!$L$160),"",ReferenceData!$L$160),"")</f>
        <v>2.093551374</v>
      </c>
      <c r="M160">
        <f ca="1">IFERROR(IF(0=LEN(ReferenceData!$M$160),"",ReferenceData!$M$160),"")</f>
        <v>1.9801608740000001</v>
      </c>
      <c r="N160">
        <f ca="1">IFERROR(IF(0=LEN(ReferenceData!$N$160),"",ReferenceData!$N$160),"")</f>
        <v>1.8208247120000001</v>
      </c>
      <c r="O160">
        <f ca="1">IFERROR(IF(0=LEN(ReferenceData!$O$160),"",ReferenceData!$O$160),"")</f>
        <v>1.6557146789999999</v>
      </c>
      <c r="P160">
        <f ca="1">IFERROR(IF(0=LEN(ReferenceData!$P$160),"",ReferenceData!$P$160),"")</f>
        <v>1.5263223379999999</v>
      </c>
      <c r="Q160">
        <f ca="1">IFERROR(IF(0=LEN(ReferenceData!$Q$160),"",ReferenceData!$Q$160),"")</f>
        <v>1.3233726619999999</v>
      </c>
      <c r="R160">
        <f ca="1">IFERROR(IF(0=LEN(ReferenceData!$R$160),"",ReferenceData!$R$160),"")</f>
        <v>1.3868176219999999</v>
      </c>
      <c r="S160">
        <f ca="1">IFERROR(IF(0=LEN(ReferenceData!$S$160),"",ReferenceData!$S$160),"")</f>
        <v>1.609651323</v>
      </c>
      <c r="T160">
        <f ca="1">IFERROR(IF(0=LEN(ReferenceData!$T$160),"",ReferenceData!$T$160),"")</f>
        <v>1.643372141</v>
      </c>
      <c r="U160">
        <f ca="1">IFERROR(IF(0=LEN(ReferenceData!$U$160),"",ReferenceData!$U$160),"")</f>
        <v>1.533123279</v>
      </c>
      <c r="V160">
        <f ca="1">IFERROR(IF(0=LEN(ReferenceData!$V$160),"",ReferenceData!$V$160),"")</f>
        <v>1.3671097270000001</v>
      </c>
      <c r="W160">
        <f ca="1">IFERROR(IF(0=LEN(ReferenceData!$W$160),"",ReferenceData!$W$160),"")</f>
        <v>1.3979875479999999</v>
      </c>
      <c r="X160">
        <f ca="1">IFERROR(IF(0=LEN(ReferenceData!$X$160),"",ReferenceData!$X$160),"")</f>
        <v>1.4761779129999999</v>
      </c>
      <c r="Y160">
        <f ca="1">IFERROR(IF(0=LEN(ReferenceData!$Y$160),"",ReferenceData!$Y$160),"")</f>
        <v>1.328317161</v>
      </c>
      <c r="Z160">
        <f ca="1">IFERROR(IF(0=LEN(ReferenceData!$Z$160),"",ReferenceData!$Z$160),"")</f>
        <v>1.138953552</v>
      </c>
      <c r="AA160">
        <f ca="1">IFERROR(IF(0=LEN(ReferenceData!$AA$160),"",ReferenceData!$AA$160),"")</f>
        <v>1.2155870719999999</v>
      </c>
      <c r="AB160">
        <f ca="1">IFERROR(IF(0=LEN(ReferenceData!$AB$160),"",ReferenceData!$AB$160),"")</f>
        <v>1.071303594</v>
      </c>
      <c r="AC160">
        <f ca="1">IFERROR(IF(0=LEN(ReferenceData!$AC$160),"",ReferenceData!$AC$160),"")</f>
        <v>1.068286678</v>
      </c>
      <c r="AD160">
        <f ca="1">IFERROR(IF(0=LEN(ReferenceData!$AD$160),"",ReferenceData!$AD$160),"")</f>
        <v>1.032387103</v>
      </c>
      <c r="AE160">
        <f ca="1">IFERROR(IF(0=LEN(ReferenceData!$AE$160),"",ReferenceData!$AE$160),"")</f>
        <v>1.1975549480000001</v>
      </c>
      <c r="AF160">
        <f ca="1">IFERROR(IF(0=LEN(ReferenceData!$AF$160),"",ReferenceData!$AF$160),"")</f>
        <v>0.85018402400000004</v>
      </c>
      <c r="AG160">
        <f ca="1">IFERROR(IF(0=LEN(ReferenceData!$AG$160),"",ReferenceData!$AG$160),"")</f>
        <v>0.92864676499999999</v>
      </c>
      <c r="AH160">
        <f ca="1">IFERROR(IF(0=LEN(ReferenceData!$AH$160),"",ReferenceData!$AH$160),"")</f>
        <v>1.1227822169999999</v>
      </c>
      <c r="AI160">
        <f ca="1">IFERROR(IF(0=LEN(ReferenceData!$AI$160),"",ReferenceData!$AI$160),"")</f>
        <v>0.95200865199999996</v>
      </c>
      <c r="AJ160">
        <f ca="1">IFERROR(IF(0=LEN(ReferenceData!$AJ$160),"",ReferenceData!$AJ$160),"")</f>
        <v>1.0253543629999999</v>
      </c>
      <c r="AK160">
        <f ca="1">IFERROR(IF(0=LEN(ReferenceData!$AK$160),"",ReferenceData!$AK$160),"")</f>
        <v>1.021523841</v>
      </c>
      <c r="AL160">
        <f ca="1">IFERROR(IF(0=LEN(ReferenceData!$AL$160),"",ReferenceData!$AL$160),"")</f>
        <v>1.0755555619999999</v>
      </c>
      <c r="AM160">
        <f ca="1">IFERROR(IF(0=LEN(ReferenceData!$AM$160),"",ReferenceData!$AM$160),"")</f>
        <v>1.17843897</v>
      </c>
      <c r="AN160">
        <f ca="1">IFERROR(IF(0=LEN(ReferenceData!$AN$160),"",ReferenceData!$AN$160),"")</f>
        <v>1.039762635</v>
      </c>
      <c r="AO160">
        <f ca="1">IFERROR(IF(0=LEN(ReferenceData!$AO$160),"",ReferenceData!$AO$160),"")</f>
        <v>1.049227433</v>
      </c>
      <c r="AP160">
        <f ca="1">IFERROR(IF(0=LEN(ReferenceData!$AP$160),"",ReferenceData!$AP$160),"")</f>
        <v>1.207730371</v>
      </c>
      <c r="AQ160">
        <f ca="1">IFERROR(IF(0=LEN(ReferenceData!$AQ$160),"",ReferenceData!$AQ$160),"")</f>
        <v>1.4575766029999999</v>
      </c>
      <c r="AR160">
        <f ca="1">IFERROR(IF(0=LEN(ReferenceData!$AR$160),"",ReferenceData!$AR$160),"")</f>
        <v>1.357361727</v>
      </c>
      <c r="AS160">
        <f ca="1">IFERROR(IF(0=LEN(ReferenceData!$AS$160),"",ReferenceData!$AS$160),"")</f>
        <v>1.4069296929999999</v>
      </c>
      <c r="AT160">
        <f ca="1">IFERROR(IF(0=LEN(ReferenceData!$AT$160),"",ReferenceData!$AT$160),"")</f>
        <v>1.1072603169999999</v>
      </c>
      <c r="AU160">
        <f ca="1">IFERROR(IF(0=LEN(ReferenceData!$AU$160),"",ReferenceData!$AU$160),"")</f>
        <v>0.81606683499999999</v>
      </c>
      <c r="AV160">
        <f ca="1">IFERROR(IF(0=LEN(ReferenceData!$AV$160),"",ReferenceData!$AV$160),"")</f>
        <v>1.137755353</v>
      </c>
      <c r="AW160">
        <f ca="1">IFERROR(IF(0=LEN(ReferenceData!$AW$160),"",ReferenceData!$AW$160),"")</f>
        <v>1.419324695</v>
      </c>
      <c r="AX160">
        <f ca="1">IFERROR(IF(0=LEN(ReferenceData!$AX$160),"",ReferenceData!$AX$160),"")</f>
        <v>1.456952354</v>
      </c>
      <c r="AY160">
        <f ca="1">IFERROR(IF(0=LEN(ReferenceData!$AY$160),"",ReferenceData!$AY$160),"")</f>
        <v>1.886169397</v>
      </c>
      <c r="AZ160">
        <f ca="1">IFERROR(IF(0=LEN(ReferenceData!$AZ$160),"",ReferenceData!$AZ$160),"")</f>
        <v>1.9174939630000001</v>
      </c>
      <c r="BA160">
        <f ca="1">IFERROR(IF(0=LEN(ReferenceData!$BA$160),"",ReferenceData!$BA$160),"")</f>
        <v>1.9932091729999999</v>
      </c>
      <c r="BB160">
        <f ca="1">IFERROR(IF(0=LEN(ReferenceData!$BB$160),"",ReferenceData!$BB$160),"")</f>
        <v>1.860675817</v>
      </c>
      <c r="BC160">
        <f ca="1">IFERROR(IF(0=LEN(ReferenceData!$BC$160),"",ReferenceData!$BC$160),"")</f>
        <v>2.166945095</v>
      </c>
      <c r="BD160">
        <f ca="1">IFERROR(IF(0=LEN(ReferenceData!$BD$160),"",ReferenceData!$BD$160),"")</f>
        <v>2.0372926520000001</v>
      </c>
      <c r="BE160">
        <f ca="1">IFERROR(IF(0=LEN(ReferenceData!$BE$160),"",ReferenceData!$BE$160),"")</f>
        <v>1.739173184</v>
      </c>
      <c r="BF160">
        <f ca="1">IFERROR(IF(0=LEN(ReferenceData!$BF$160),"",ReferenceData!$BF$160),"")</f>
        <v>1.9353225009999999</v>
      </c>
      <c r="BG160">
        <f ca="1">IFERROR(IF(0=LEN(ReferenceData!$BG$160),"",ReferenceData!$BG$160),"")</f>
        <v>1.424938059</v>
      </c>
      <c r="BH160">
        <f ca="1">IFERROR(IF(0=LEN(ReferenceData!$BH$160),"",ReferenceData!$BH$160),"")</f>
        <v>1.424123153</v>
      </c>
      <c r="BI160">
        <f ca="1">IFERROR(IF(0=LEN(ReferenceData!$BI$160),"",ReferenceData!$BI$160),"")</f>
        <v>1.237178355</v>
      </c>
      <c r="BJ160">
        <f ca="1">IFERROR(IF(0=LEN(ReferenceData!$BJ$160),"",ReferenceData!$BJ$160),"")</f>
        <v>1.3708307829999999</v>
      </c>
      <c r="BK160">
        <f ca="1">IFERROR(IF(0=LEN(ReferenceData!$BK$160),"",ReferenceData!$BK$160),"")</f>
        <v>1.392633083</v>
      </c>
      <c r="BL160">
        <f ca="1">IFERROR(IF(0=LEN(ReferenceData!$BL$160),"",ReferenceData!$BL$160),"")</f>
        <v>1.3434550279999999</v>
      </c>
      <c r="BM160">
        <f ca="1">IFERROR(IF(0=LEN(ReferenceData!$BM$160),"",ReferenceData!$BM$160),"")</f>
        <v>1.488013727</v>
      </c>
    </row>
    <row r="161" spans="1:65" x14ac:dyDescent="0.25">
      <c r="A161" t="str">
        <f>IFERROR(IF(0=LEN(ReferenceData!$A$161),"",ReferenceData!$A$161),"")</f>
        <v xml:space="preserve">    Tata Motors Ltd</v>
      </c>
      <c r="B161" t="str">
        <f>IFERROR(IF(0=LEN(ReferenceData!$B$161),"",ReferenceData!$B$161),"")</f>
        <v>TTMT IN Equity</v>
      </c>
      <c r="C161" t="str">
        <f>IFERROR(IF(0=LEN(ReferenceData!$C$161),"",ReferenceData!$C$161),"")</f>
        <v>RR903</v>
      </c>
      <c r="D161" t="str">
        <f>IFERROR(IF(0=LEN(ReferenceData!$D$161),"",ReferenceData!$D$161),"")</f>
        <v>PX_TO_BOOK_RATIO</v>
      </c>
      <c r="E161" t="str">
        <f>IFERROR(IF(0=LEN(ReferenceData!$E$161),"",ReferenceData!$E$161),"")</f>
        <v>Dynamic</v>
      </c>
      <c r="F161" t="str">
        <f ca="1">IFERROR(IF(0=LEN(ReferenceData!$F$161),"",ReferenceData!$F$161),"")</f>
        <v/>
      </c>
      <c r="G161">
        <f ca="1">IFERROR(IF(0=LEN(ReferenceData!$G$161),"",ReferenceData!$G$161),"")</f>
        <v>0.61018851799999996</v>
      </c>
      <c r="H161">
        <f ca="1">IFERROR(IF(0=LEN(ReferenceData!$H$161),"",ReferenceData!$H$161),"")</f>
        <v>0.79894159399999998</v>
      </c>
      <c r="I161">
        <f ca="1">IFERROR(IF(0=LEN(ReferenceData!$I$161),"",ReferenceData!$I$161),"")</f>
        <v>0.937345396</v>
      </c>
      <c r="J161">
        <f ca="1">IFERROR(IF(0=LEN(ReferenceData!$J$161),"",ReferenceData!$J$161),"")</f>
        <v>1.1633618480000001</v>
      </c>
      <c r="K161">
        <f ca="1">IFERROR(IF(0=LEN(ReferenceData!$K$161),"",ReferenceData!$K$161),"")</f>
        <v>1.7978043029999999</v>
      </c>
      <c r="L161">
        <f ca="1">IFERROR(IF(0=LEN(ReferenceData!$L$161),"",ReferenceData!$L$161),"")</f>
        <v>1.724363181</v>
      </c>
      <c r="M161">
        <f ca="1">IFERROR(IF(0=LEN(ReferenceData!$M$161),"",ReferenceData!$M$161),"")</f>
        <v>2.5482289339999999</v>
      </c>
      <c r="N161">
        <f ca="1">IFERROR(IF(0=LEN(ReferenceData!$N$161),"",ReferenceData!$N$161),"")</f>
        <v>2.725189276</v>
      </c>
      <c r="O161">
        <f ca="1">IFERROR(IF(0=LEN(ReferenceData!$O$161),"",ReferenceData!$O$161),"")</f>
        <v>2.9235228950000001</v>
      </c>
      <c r="P161">
        <f ca="1">IFERROR(IF(0=LEN(ReferenceData!$P$161),"",ReferenceData!$P$161),"")</f>
        <v>3.3205483550000001</v>
      </c>
      <c r="Q161">
        <f ca="1">IFERROR(IF(0=LEN(ReferenceData!$Q$161),"",ReferenceData!$Q$161),"")</f>
        <v>1.9240958290000001</v>
      </c>
      <c r="R161">
        <f ca="1">IFERROR(IF(0=LEN(ReferenceData!$R$161),"",ReferenceData!$R$161),"")</f>
        <v>1.6631759580000001</v>
      </c>
      <c r="S161">
        <f ca="1">IFERROR(IF(0=LEN(ReferenceData!$S$161),"",ReferenceData!$S$161),"")</f>
        <v>1.6506422860000001</v>
      </c>
      <c r="T161">
        <f ca="1">IFERROR(IF(0=LEN(ReferenceData!$T$161),"",ReferenceData!$T$161),"")</f>
        <v>1.2527177190000001</v>
      </c>
      <c r="U161">
        <f ca="1">IFERROR(IF(0=LEN(ReferenceData!$U$161),"",ReferenceData!$U$161),"")</f>
        <v>2.476247184</v>
      </c>
      <c r="V161">
        <f ca="1">IFERROR(IF(0=LEN(ReferenceData!$V$161),"",ReferenceData!$V$161),"")</f>
        <v>3.1476312449999999</v>
      </c>
      <c r="W161">
        <f ca="1">IFERROR(IF(0=LEN(ReferenceData!$W$161),"",ReferenceData!$W$161),"")</f>
        <v>2.3430718449999999</v>
      </c>
      <c r="X161">
        <f ca="1">IFERROR(IF(0=LEN(ReferenceData!$X$161),"",ReferenceData!$X$161),"")</f>
        <v>2.3829337260000001</v>
      </c>
      <c r="Y161">
        <f ca="1">IFERROR(IF(0=LEN(ReferenceData!$Y$161),"",ReferenceData!$Y$161),"")</f>
        <v>2.1212243059999998</v>
      </c>
      <c r="Z161">
        <f ca="1">IFERROR(IF(0=LEN(ReferenceData!$Z$161),"",ReferenceData!$Z$161),"")</f>
        <v>1.955883126</v>
      </c>
      <c r="AA161">
        <f ca="1">IFERROR(IF(0=LEN(ReferenceData!$AA$161),"",ReferenceData!$AA$161),"")</f>
        <v>2.1833591860000001</v>
      </c>
      <c r="AB161">
        <f ca="1">IFERROR(IF(0=LEN(ReferenceData!$AB$161),"",ReferenceData!$AB$161),"")</f>
        <v>1.936944848</v>
      </c>
      <c r="AC161">
        <f ca="1">IFERROR(IF(0=LEN(ReferenceData!$AC$161),"",ReferenceData!$AC$161),"")</f>
        <v>2.2910471600000002</v>
      </c>
      <c r="AD161">
        <f ca="1">IFERROR(IF(0=LEN(ReferenceData!$AD$161),"",ReferenceData!$AD$161),"")</f>
        <v>2.2812998269999998</v>
      </c>
      <c r="AE161">
        <f ca="1">IFERROR(IF(0=LEN(ReferenceData!$AE$161),"",ReferenceData!$AE$161),"")</f>
        <v>2.4509374259999999</v>
      </c>
      <c r="AF161">
        <f ca="1">IFERROR(IF(0=LEN(ReferenceData!$AF$161),"",ReferenceData!$AF$161),"")</f>
        <v>2.1149759979999998</v>
      </c>
      <c r="AG161">
        <f ca="1">IFERROR(IF(0=LEN(ReferenceData!$AG$161),"",ReferenceData!$AG$161),"")</f>
        <v>2.332712259</v>
      </c>
      <c r="AH161">
        <f ca="1">IFERROR(IF(0=LEN(ReferenceData!$AH$161),"",ReferenceData!$AH$161),"")</f>
        <v>2.671433532</v>
      </c>
      <c r="AI161">
        <f ca="1">IFERROR(IF(0=LEN(ReferenceData!$AI$161),"",ReferenceData!$AI$161),"")</f>
        <v>2.4616784260000002</v>
      </c>
      <c r="AJ161">
        <f ca="1">IFERROR(IF(0=LEN(ReferenceData!$AJ$161),"",ReferenceData!$AJ$161),"")</f>
        <v>2.1442641280000001</v>
      </c>
      <c r="AK161">
        <f ca="1">IFERROR(IF(0=LEN(ReferenceData!$AK$161),"",ReferenceData!$AK$161),"")</f>
        <v>3.300765878</v>
      </c>
      <c r="AL161">
        <f ca="1">IFERROR(IF(0=LEN(ReferenceData!$AL$161),"",ReferenceData!$AL$161),"")</f>
        <v>4.1322881049999998</v>
      </c>
      <c r="AM161">
        <f ca="1">IFERROR(IF(0=LEN(ReferenceData!$AM$161),"",ReferenceData!$AM$161),"")</f>
        <v>5.9481915660000002</v>
      </c>
      <c r="AN161">
        <f ca="1">IFERROR(IF(0=LEN(ReferenceData!$AN$161),"",ReferenceData!$AN$161),"")</f>
        <v>5.0238119899999996</v>
      </c>
      <c r="AO161">
        <f ca="1">IFERROR(IF(0=LEN(ReferenceData!$AO$161),"",ReferenceData!$AO$161),"")</f>
        <v>5.36004887</v>
      </c>
      <c r="AP161">
        <f ca="1">IFERROR(IF(0=LEN(ReferenceData!$AP$161),"",ReferenceData!$AP$161),"")</f>
        <v>5.2679279189999999</v>
      </c>
      <c r="AQ161" t="str">
        <f ca="1">IFERROR(IF(0=LEN(ReferenceData!$AQ$161),"",ReferenceData!$AQ$161),"")</f>
        <v/>
      </c>
      <c r="AR161" t="str">
        <f ca="1">IFERROR(IF(0=LEN(ReferenceData!$AR$161),"",ReferenceData!$AR$161),"")</f>
        <v/>
      </c>
      <c r="AS161">
        <f ca="1">IFERROR(IF(0=LEN(ReferenceData!$AS$161),"",ReferenceData!$AS$161),"")</f>
        <v>2.7159903609999998</v>
      </c>
      <c r="AT161">
        <f ca="1">IFERROR(IF(0=LEN(ReferenceData!$AT$161),"",ReferenceData!$AT$161),"")</f>
        <v>1.5600288689999999</v>
      </c>
      <c r="AU161" t="str">
        <f ca="1">IFERROR(IF(0=LEN(ReferenceData!$AU$161),"",ReferenceData!$AU$161),"")</f>
        <v/>
      </c>
      <c r="AV161" t="str">
        <f ca="1">IFERROR(IF(0=LEN(ReferenceData!$AV$161),"",ReferenceData!$AV$161),"")</f>
        <v/>
      </c>
      <c r="AW161">
        <f ca="1">IFERROR(IF(0=LEN(ReferenceData!$AW$161),"",ReferenceData!$AW$161),"")</f>
        <v>2.0815932749999999</v>
      </c>
      <c r="AX161">
        <f ca="1">IFERROR(IF(0=LEN(ReferenceData!$AX$161),"",ReferenceData!$AX$161),"")</f>
        <v>2.9170881789999998</v>
      </c>
      <c r="AY161" t="str">
        <f ca="1">IFERROR(IF(0=LEN(ReferenceData!$AY$161),"",ReferenceData!$AY$161),"")</f>
        <v/>
      </c>
      <c r="AZ161" t="str">
        <f ca="1">IFERROR(IF(0=LEN(ReferenceData!$AZ$161),"",ReferenceData!$AZ$161),"")</f>
        <v/>
      </c>
      <c r="BA161" t="str">
        <f ca="1">IFERROR(IF(0=LEN(ReferenceData!$BA$161),"",ReferenceData!$BA$161),"")</f>
        <v/>
      </c>
      <c r="BB161" t="str">
        <f ca="1">IFERROR(IF(0=LEN(ReferenceData!$BB$161),"",ReferenceData!$BB$161),"")</f>
        <v/>
      </c>
      <c r="BC161" t="str">
        <f ca="1">IFERROR(IF(0=LEN(ReferenceData!$BC$161),"",ReferenceData!$BC$161),"")</f>
        <v/>
      </c>
      <c r="BD161" t="str">
        <f ca="1">IFERROR(IF(0=LEN(ReferenceData!$BD$161),"",ReferenceData!$BD$161),"")</f>
        <v/>
      </c>
      <c r="BE161" t="str">
        <f ca="1">IFERROR(IF(0=LEN(ReferenceData!$BE$161),"",ReferenceData!$BE$161),"")</f>
        <v/>
      </c>
      <c r="BF161" t="str">
        <f ca="1">IFERROR(IF(0=LEN(ReferenceData!$BF$161),"",ReferenceData!$BF$161),"")</f>
        <v/>
      </c>
      <c r="BG161" t="str">
        <f ca="1">IFERROR(IF(0=LEN(ReferenceData!$BG$161),"",ReferenceData!$BG$161),"")</f>
        <v/>
      </c>
      <c r="BH161" t="str">
        <f ca="1">IFERROR(IF(0=LEN(ReferenceData!$BH$161),"",ReferenceData!$BH$161),"")</f>
        <v/>
      </c>
      <c r="BI161" t="str">
        <f ca="1">IFERROR(IF(0=LEN(ReferenceData!$BI$161),"",ReferenceData!$BI$161),"")</f>
        <v/>
      </c>
      <c r="BJ161" t="str">
        <f ca="1">IFERROR(IF(0=LEN(ReferenceData!$BJ$161),"",ReferenceData!$BJ$161),"")</f>
        <v/>
      </c>
      <c r="BK161" t="str">
        <f ca="1">IFERROR(IF(0=LEN(ReferenceData!$BK$161),"",ReferenceData!$BK$161),"")</f>
        <v/>
      </c>
      <c r="BL161" t="str">
        <f ca="1">IFERROR(IF(0=LEN(ReferenceData!$BL$161),"",ReferenceData!$BL$161),"")</f>
        <v/>
      </c>
      <c r="BM161" t="str">
        <f ca="1">IFERROR(IF(0=LEN(ReferenceData!$BM$161),"",ReferenceData!$BM$161),"")</f>
        <v/>
      </c>
    </row>
    <row r="162" spans="1:65" x14ac:dyDescent="0.25">
      <c r="A162" t="str">
        <f>IFERROR(IF(0=LEN(ReferenceData!$A$162),"",ReferenceData!$A$162),"")</f>
        <v xml:space="preserve">    Tesla Inc</v>
      </c>
      <c r="B162" t="str">
        <f>IFERROR(IF(0=LEN(ReferenceData!$B$162),"",ReferenceData!$B$162),"")</f>
        <v>TSLA US Equity</v>
      </c>
      <c r="C162" t="str">
        <f>IFERROR(IF(0=LEN(ReferenceData!$C$162),"",ReferenceData!$C$162),"")</f>
        <v>RR903</v>
      </c>
      <c r="D162" t="str">
        <f>IFERROR(IF(0=LEN(ReferenceData!$D$162),"",ReferenceData!$D$162),"")</f>
        <v>PX_TO_BOOK_RATIO</v>
      </c>
      <c r="E162" t="str">
        <f>IFERROR(IF(0=LEN(ReferenceData!$E$162),"",ReferenceData!$E$162),"")</f>
        <v>Dynamic</v>
      </c>
      <c r="F162">
        <f ca="1">IFERROR(IF(0=LEN(ReferenceData!$F$162),"",ReferenceData!$F$162),"")</f>
        <v>10.3245539</v>
      </c>
      <c r="G162">
        <f ca="1">IFERROR(IF(0=LEN(ReferenceData!$G$162),"",ReferenceData!$G$162),"")</f>
        <v>11.667569200000001</v>
      </c>
      <c r="H162">
        <f ca="1">IFERROR(IF(0=LEN(ReferenceData!$H$162),"",ReferenceData!$H$162),"")</f>
        <v>10.07547999</v>
      </c>
      <c r="I162">
        <f ca="1">IFERROR(IF(0=LEN(ReferenceData!$I$162),"",ReferenceData!$I$162),"")</f>
        <v>14.969830999999999</v>
      </c>
      <c r="J162">
        <f ca="1">IFERROR(IF(0=LEN(ReferenceData!$J$162),"",ReferenceData!$J$162),"")</f>
        <v>10.1502231</v>
      </c>
      <c r="K162">
        <f ca="1">IFERROR(IF(0=LEN(ReferenceData!$K$162),"",ReferenceData!$K$162),"")</f>
        <v>12.40289739</v>
      </c>
      <c r="L162">
        <f ca="1">IFERROR(IF(0=LEN(ReferenceData!$L$162),"",ReferenceData!$L$162),"")</f>
        <v>12.16311148</v>
      </c>
      <c r="M162">
        <f ca="1">IFERROR(IF(0=LEN(ReferenceData!$M$162),"",ReferenceData!$M$162),"")</f>
        <v>11.81400651</v>
      </c>
      <c r="N162">
        <f ca="1">IFERROR(IF(0=LEN(ReferenceData!$N$162),"",ReferenceData!$N$162),"")</f>
        <v>9.1465110920000008</v>
      </c>
      <c r="O162">
        <f ca="1">IFERROR(IF(0=LEN(ReferenceData!$O$162),"",ReferenceData!$O$162),"")</f>
        <v>7.2503530969999996</v>
      </c>
      <c r="P162">
        <f ca="1">IFERROR(IF(0=LEN(ReferenceData!$P$162),"",ReferenceData!$P$162),"")</f>
        <v>11.35644243</v>
      </c>
      <c r="Q162">
        <f ca="1">IFERROR(IF(0=LEN(ReferenceData!$Q$162),"",ReferenceData!$Q$162),"")</f>
        <v>12.285967299999999</v>
      </c>
      <c r="R162">
        <f ca="1">IFERROR(IF(0=LEN(ReferenceData!$R$162),"",ReferenceData!$R$162),"")</f>
        <v>31.69585945</v>
      </c>
      <c r="S162">
        <f ca="1">IFERROR(IF(0=LEN(ReferenceData!$S$162),"",ReferenceData!$S$162),"")</f>
        <v>27.890027450000002</v>
      </c>
      <c r="T162">
        <f ca="1">IFERROR(IF(0=LEN(ReferenceData!$T$162),"",ReferenceData!$T$162),"")</f>
        <v>23.89397731</v>
      </c>
      <c r="U162">
        <f ca="1">IFERROR(IF(0=LEN(ReferenceData!$U$162),"",ReferenceData!$U$162),"")</f>
        <v>47.624641439999998</v>
      </c>
      <c r="V162">
        <f ca="1">IFERROR(IF(0=LEN(ReferenceData!$V$162),"",ReferenceData!$V$162),"")</f>
        <v>27.097712690000002</v>
      </c>
      <c r="W162">
        <f ca="1">IFERROR(IF(0=LEN(ReferenceData!$W$162),"",ReferenceData!$W$162),"")</f>
        <v>30.661263640000001</v>
      </c>
      <c r="X162">
        <f ca="1">IFERROR(IF(0=LEN(ReferenceData!$X$162),"",ReferenceData!$X$162),"")</f>
        <v>29.81986109</v>
      </c>
      <c r="Y162">
        <f ca="1">IFERROR(IF(0=LEN(ReferenceData!$Y$162),"",ReferenceData!$Y$162),"")</f>
        <v>31.405660009999998</v>
      </c>
      <c r="Z162">
        <f ca="1">IFERROR(IF(0=LEN(ReferenceData!$Z$162),"",ReferenceData!$Z$162),"")</f>
        <v>26.330293529999999</v>
      </c>
      <c r="AA162">
        <f ca="1">IFERROR(IF(0=LEN(ReferenceData!$AA$162),"",ReferenceData!$AA$162),"")</f>
        <v>27.75580785</v>
      </c>
      <c r="AB162">
        <f ca="1">IFERROR(IF(0=LEN(ReferenceData!$AB$162),"",ReferenceData!$AB$162),"")</f>
        <v>36.936220990000002</v>
      </c>
      <c r="AC162">
        <f ca="1">IFERROR(IF(0=LEN(ReferenceData!$AC$162),"",ReferenceData!$AC$162),"")</f>
        <v>20.712027840000001</v>
      </c>
      <c r="AD162">
        <f ca="1">IFERROR(IF(0=LEN(ReferenceData!$AD$162),"",ReferenceData!$AD$162),"")</f>
        <v>25.883106869999999</v>
      </c>
      <c r="AE162">
        <f ca="1">IFERROR(IF(0=LEN(ReferenceData!$AE$162),"",ReferenceData!$AE$162),"")</f>
        <v>31.021952370000001</v>
      </c>
      <c r="AF162">
        <f ca="1">IFERROR(IF(0=LEN(ReferenceData!$AF$162),"",ReferenceData!$AF$162),"")</f>
        <v>48.230527530000003</v>
      </c>
      <c r="AG162">
        <f ca="1">IFERROR(IF(0=LEN(ReferenceData!$AG$162),"",ReferenceData!$AG$162),"")</f>
        <v>52.970628509999997</v>
      </c>
      <c r="AH162">
        <f ca="1">IFERROR(IF(0=LEN(ReferenceData!$AH$162),"",ReferenceData!$AH$162),"")</f>
        <v>25.451577489999998</v>
      </c>
      <c r="AI162">
        <f ca="1">IFERROR(IF(0=LEN(ReferenceData!$AI$162),"",ReferenceData!$AI$162),"")</f>
        <v>13.324937</v>
      </c>
      <c r="AJ162">
        <f ca="1">IFERROR(IF(0=LEN(ReferenceData!$AJ$162),"",ReferenceData!$AJ$162),"")</f>
        <v>8.639952632</v>
      </c>
      <c r="AK162">
        <f ca="1">IFERROR(IF(0=LEN(ReferenceData!$AK$162),"",ReferenceData!$AK$162),"")</f>
        <v>8.6926354549999996</v>
      </c>
      <c r="AL162">
        <f ca="1">IFERROR(IF(0=LEN(ReferenceData!$AL$162),"",ReferenceData!$AL$162),"")</f>
        <v>15.808265329999999</v>
      </c>
      <c r="AM162">
        <f ca="1">IFERROR(IF(0=LEN(ReferenceData!$AM$162),"",ReferenceData!$AM$162),"")</f>
        <v>12.20687905</v>
      </c>
      <c r="AN162">
        <f ca="1">IFERROR(IF(0=LEN(ReferenceData!$AN$162),"",ReferenceData!$AN$162),"")</f>
        <v>8.6522809630000008</v>
      </c>
      <c r="AO162" t="str">
        <f ca="1">IFERROR(IF(0=LEN(ReferenceData!$AO$162),"",ReferenceData!$AO$162),"")</f>
        <v/>
      </c>
      <c r="AP162" t="str">
        <f ca="1">IFERROR(IF(0=LEN(ReferenceData!$AP$162),"",ReferenceData!$AP$162),"")</f>
        <v/>
      </c>
      <c r="AQ162" t="str">
        <f ca="1">IFERROR(IF(0=LEN(ReferenceData!$AQ$162),"",ReferenceData!$AQ$162),"")</f>
        <v/>
      </c>
      <c r="AR162" t="str">
        <f ca="1">IFERROR(IF(0=LEN(ReferenceData!$AR$162),"",ReferenceData!$AR$162),"")</f>
        <v/>
      </c>
      <c r="AS162" t="str">
        <f ca="1">IFERROR(IF(0=LEN(ReferenceData!$AS$162),"",ReferenceData!$AS$162),"")</f>
        <v/>
      </c>
      <c r="AT162" t="str">
        <f ca="1">IFERROR(IF(0=LEN(ReferenceData!$AT$162),"",ReferenceData!$AT$162),"")</f>
        <v/>
      </c>
      <c r="AU162" t="str">
        <f ca="1">IFERROR(IF(0=LEN(ReferenceData!$AU$162),"",ReferenceData!$AU$162),"")</f>
        <v/>
      </c>
      <c r="AV162" t="str">
        <f ca="1">IFERROR(IF(0=LEN(ReferenceData!$AV$162),"",ReferenceData!$AV$162),"")</f>
        <v/>
      </c>
      <c r="AW162" t="str">
        <f ca="1">IFERROR(IF(0=LEN(ReferenceData!$AW$162),"",ReferenceData!$AW$162),"")</f>
        <v/>
      </c>
      <c r="AX162" t="str">
        <f ca="1">IFERROR(IF(0=LEN(ReferenceData!$AX$162),"",ReferenceData!$AX$162),"")</f>
        <v/>
      </c>
      <c r="AY162" t="str">
        <f ca="1">IFERROR(IF(0=LEN(ReferenceData!$AY$162),"",ReferenceData!$AY$162),"")</f>
        <v/>
      </c>
      <c r="AZ162" t="str">
        <f ca="1">IFERROR(IF(0=LEN(ReferenceData!$AZ$162),"",ReferenceData!$AZ$162),"")</f>
        <v/>
      </c>
      <c r="BA162" t="str">
        <f ca="1">IFERROR(IF(0=LEN(ReferenceData!$BA$162),"",ReferenceData!$BA$162),"")</f>
        <v/>
      </c>
      <c r="BB162" t="str">
        <f ca="1">IFERROR(IF(0=LEN(ReferenceData!$BB$162),"",ReferenceData!$BB$162),"")</f>
        <v/>
      </c>
      <c r="BC162" t="str">
        <f ca="1">IFERROR(IF(0=LEN(ReferenceData!$BC$162),"",ReferenceData!$BC$162),"")</f>
        <v/>
      </c>
      <c r="BD162" t="str">
        <f ca="1">IFERROR(IF(0=LEN(ReferenceData!$BD$162),"",ReferenceData!$BD$162),"")</f>
        <v/>
      </c>
      <c r="BE162" t="str">
        <f ca="1">IFERROR(IF(0=LEN(ReferenceData!$BE$162),"",ReferenceData!$BE$162),"")</f>
        <v/>
      </c>
      <c r="BF162" t="str">
        <f ca="1">IFERROR(IF(0=LEN(ReferenceData!$BF$162),"",ReferenceData!$BF$162),"")</f>
        <v/>
      </c>
      <c r="BG162" t="str">
        <f ca="1">IFERROR(IF(0=LEN(ReferenceData!$BG$162),"",ReferenceData!$BG$162),"")</f>
        <v/>
      </c>
      <c r="BH162" t="str">
        <f ca="1">IFERROR(IF(0=LEN(ReferenceData!$BH$162),"",ReferenceData!$BH$162),"")</f>
        <v/>
      </c>
      <c r="BI162" t="str">
        <f ca="1">IFERROR(IF(0=LEN(ReferenceData!$BI$162),"",ReferenceData!$BI$162),"")</f>
        <v/>
      </c>
      <c r="BJ162" t="str">
        <f ca="1">IFERROR(IF(0=LEN(ReferenceData!$BJ$162),"",ReferenceData!$BJ$162),"")</f>
        <v/>
      </c>
      <c r="BK162" t="str">
        <f ca="1">IFERROR(IF(0=LEN(ReferenceData!$BK$162),"",ReferenceData!$BK$162),"")</f>
        <v/>
      </c>
      <c r="BL162" t="str">
        <f ca="1">IFERROR(IF(0=LEN(ReferenceData!$BL$162),"",ReferenceData!$BL$162),"")</f>
        <v/>
      </c>
      <c r="BM162" t="str">
        <f ca="1">IFERROR(IF(0=LEN(ReferenceData!$BM$162),"",ReferenceData!$BM$162),"")</f>
        <v/>
      </c>
    </row>
    <row r="163" spans="1:65" x14ac:dyDescent="0.25">
      <c r="A163" t="str">
        <f>IFERROR(IF(0=LEN(ReferenceData!$A$163),"",ReferenceData!$A$163),"")</f>
        <v xml:space="preserve">    Tianjin Faw Xiali Automobile Co Ltd</v>
      </c>
      <c r="B163" t="str">
        <f>IFERROR(IF(0=LEN(ReferenceData!$B$163),"",ReferenceData!$B$163),"")</f>
        <v>000927 CH Equity</v>
      </c>
      <c r="C163" t="str">
        <f>IFERROR(IF(0=LEN(ReferenceData!$C$163),"",ReferenceData!$C$163),"")</f>
        <v>RR903</v>
      </c>
      <c r="D163" t="str">
        <f>IFERROR(IF(0=LEN(ReferenceData!$D$163),"",ReferenceData!$D$163),"")</f>
        <v>PX_TO_BOOK_RATIO</v>
      </c>
      <c r="E163" t="str">
        <f>IFERROR(IF(0=LEN(ReferenceData!$E$163),"",ReferenceData!$E$163),"")</f>
        <v>Dynamic</v>
      </c>
      <c r="F163" t="str">
        <f ca="1">IFERROR(IF(0=LEN(ReferenceData!$F$163),"",ReferenceData!$F$163),"")</f>
        <v/>
      </c>
      <c r="G163" t="str">
        <f ca="1">IFERROR(IF(0=LEN(ReferenceData!$G$163),"",ReferenceData!$G$163),"")</f>
        <v/>
      </c>
      <c r="H163" t="str">
        <f ca="1">IFERROR(IF(0=LEN(ReferenceData!$H$163),"",ReferenceData!$H$163),"")</f>
        <v/>
      </c>
      <c r="I163" t="str">
        <f ca="1">IFERROR(IF(0=LEN(ReferenceData!$I$163),"",ReferenceData!$I$163),"")</f>
        <v/>
      </c>
      <c r="J163">
        <f ca="1">IFERROR(IF(0=LEN(ReferenceData!$J$163),"",ReferenceData!$J$163),"")</f>
        <v>111.140072</v>
      </c>
      <c r="K163">
        <f ca="1">IFERROR(IF(0=LEN(ReferenceData!$K$163),"",ReferenceData!$K$163),"")</f>
        <v>125.72032900000001</v>
      </c>
      <c r="L163">
        <f ca="1">IFERROR(IF(0=LEN(ReferenceData!$L$163),"",ReferenceData!$L$163),"")</f>
        <v>16.03912313</v>
      </c>
      <c r="M163">
        <f ca="1">IFERROR(IF(0=LEN(ReferenceData!$M$163),"",ReferenceData!$M$163),"")</f>
        <v>8.3020447879999999</v>
      </c>
      <c r="N163">
        <f ca="1">IFERROR(IF(0=LEN(ReferenceData!$N$163),"",ReferenceData!$N$163),"")</f>
        <v>8.6199093009999999</v>
      </c>
      <c r="O163">
        <f ca="1">IFERROR(IF(0=LEN(ReferenceData!$O$163),"",ReferenceData!$O$163),"")</f>
        <v>5.6551299239999997</v>
      </c>
      <c r="P163">
        <f ca="1">IFERROR(IF(0=LEN(ReferenceData!$P$163),"",ReferenceData!$P$163),"")</f>
        <v>11.0440828</v>
      </c>
      <c r="Q163">
        <f ca="1">IFERROR(IF(0=LEN(ReferenceData!$Q$163),"",ReferenceData!$Q$163),"")</f>
        <v>8.2972141619999995</v>
      </c>
      <c r="R163">
        <f ca="1">IFERROR(IF(0=LEN(ReferenceData!$R$163),"",ReferenceData!$R$163),"")</f>
        <v>7.6328917589999996</v>
      </c>
      <c r="S163">
        <f ca="1">IFERROR(IF(0=LEN(ReferenceData!$S$163),"",ReferenceData!$S$163),"")</f>
        <v>7.7075312970000001</v>
      </c>
      <c r="T163">
        <f ca="1">IFERROR(IF(0=LEN(ReferenceData!$T$163),"",ReferenceData!$T$163),"")</f>
        <v>10.496877230000001</v>
      </c>
      <c r="U163">
        <f ca="1">IFERROR(IF(0=LEN(ReferenceData!$U$163),"",ReferenceData!$U$163),"")</f>
        <v>15.7209045</v>
      </c>
      <c r="V163">
        <f ca="1">IFERROR(IF(0=LEN(ReferenceData!$V$163),"",ReferenceData!$V$163),"")</f>
        <v>10.64422946</v>
      </c>
      <c r="W163">
        <f ca="1">IFERROR(IF(0=LEN(ReferenceData!$W$163),"",ReferenceData!$W$163),"")</f>
        <v>6.9487400450000001</v>
      </c>
      <c r="X163">
        <f ca="1">IFERROR(IF(0=LEN(ReferenceData!$X$163),"",ReferenceData!$X$163),"")</f>
        <v>3.1177792809999998</v>
      </c>
      <c r="Y163">
        <f ca="1">IFERROR(IF(0=LEN(ReferenceData!$Y$163),"",ReferenceData!$Y$163),"")</f>
        <v>2.0778346839999999</v>
      </c>
      <c r="Z163">
        <f ca="1">IFERROR(IF(0=LEN(ReferenceData!$Z$163),"",ReferenceData!$Z$163),"")</f>
        <v>2.0165261409999999</v>
      </c>
      <c r="AA163">
        <f ca="1">IFERROR(IF(0=LEN(ReferenceData!$AA$163),"",ReferenceData!$AA$163),"")</f>
        <v>1.7980402929999999</v>
      </c>
      <c r="AB163">
        <f ca="1">IFERROR(IF(0=LEN(ReferenceData!$AB$163),"",ReferenceData!$AB$163),"")</f>
        <v>1.663998278</v>
      </c>
      <c r="AC163">
        <f ca="1">IFERROR(IF(0=LEN(ReferenceData!$AC$163),"",ReferenceData!$AC$163),"")</f>
        <v>1.568662891</v>
      </c>
      <c r="AD163">
        <f ca="1">IFERROR(IF(0=LEN(ReferenceData!$AD$163),"",ReferenceData!$AD$163),"")</f>
        <v>1.937966353</v>
      </c>
      <c r="AE163">
        <f ca="1">IFERROR(IF(0=LEN(ReferenceData!$AE$163),"",ReferenceData!$AE$163),"")</f>
        <v>2.1648606739999998</v>
      </c>
      <c r="AF163">
        <f ca="1">IFERROR(IF(0=LEN(ReferenceData!$AF$163),"",ReferenceData!$AF$163),"")</f>
        <v>2.068014818</v>
      </c>
      <c r="AG163">
        <f ca="1">IFERROR(IF(0=LEN(ReferenceData!$AG$163),"",ReferenceData!$AG$163),"")</f>
        <v>3.1389674479999998</v>
      </c>
      <c r="AH163">
        <f ca="1">IFERROR(IF(0=LEN(ReferenceData!$AH$163),"",ReferenceData!$AH$163),"")</f>
        <v>2.8290020309999999</v>
      </c>
      <c r="AI163">
        <f ca="1">IFERROR(IF(0=LEN(ReferenceData!$AI$163),"",ReferenceData!$AI$163),"")</f>
        <v>2.6581530990000002</v>
      </c>
      <c r="AJ163">
        <f ca="1">IFERROR(IF(0=LEN(ReferenceData!$AJ$163),"",ReferenceData!$AJ$163),"")</f>
        <v>3.1938557429999999</v>
      </c>
      <c r="AK163">
        <f ca="1">IFERROR(IF(0=LEN(ReferenceData!$AK$163),"",ReferenceData!$AK$163),"")</f>
        <v>3.1254445899999999</v>
      </c>
      <c r="AL163">
        <f ca="1">IFERROR(IF(0=LEN(ReferenceData!$AL$163),"",ReferenceData!$AL$163),"")</f>
        <v>3.4376317670000001</v>
      </c>
      <c r="AM163">
        <f ca="1">IFERROR(IF(0=LEN(ReferenceData!$AM$163),"",ReferenceData!$AM$163),"")</f>
        <v>3.6061604969999999</v>
      </c>
      <c r="AN163">
        <f ca="1">IFERROR(IF(0=LEN(ReferenceData!$AN$163),"",ReferenceData!$AN$163),"")</f>
        <v>3.5144701199999999</v>
      </c>
      <c r="AO163">
        <f ca="1">IFERROR(IF(0=LEN(ReferenceData!$AO$163),"",ReferenceData!$AO$163),"")</f>
        <v>3.4005312839999999</v>
      </c>
      <c r="AP163">
        <f ca="1">IFERROR(IF(0=LEN(ReferenceData!$AP$163),"",ReferenceData!$AP$163),"")</f>
        <v>4.2478827450000001</v>
      </c>
      <c r="AQ163">
        <f ca="1">IFERROR(IF(0=LEN(ReferenceData!$AQ$163),"",ReferenceData!$AQ$163),"")</f>
        <v>5.5551580380000001</v>
      </c>
      <c r="AR163">
        <f ca="1">IFERROR(IF(0=LEN(ReferenceData!$AR$163),"",ReferenceData!$AR$163),"")</f>
        <v>3.2347800269999998</v>
      </c>
      <c r="AS163">
        <f ca="1">IFERROR(IF(0=LEN(ReferenceData!$AS$163),"",ReferenceData!$AS$163),"")</f>
        <v>3.3527599709999998</v>
      </c>
      <c r="AT163">
        <f ca="1">IFERROR(IF(0=LEN(ReferenceData!$AT$163),"",ReferenceData!$AT$163),"")</f>
        <v>2.431498156</v>
      </c>
      <c r="AU163">
        <f ca="1">IFERROR(IF(0=LEN(ReferenceData!$AU$163),"",ReferenceData!$AU$163),"")</f>
        <v>1.8459037899999999</v>
      </c>
      <c r="AV163">
        <f ca="1">IFERROR(IF(0=LEN(ReferenceData!$AV$163),"",ReferenceData!$AV$163),"")</f>
        <v>1.7059203000000001</v>
      </c>
      <c r="AW163">
        <f ca="1">IFERROR(IF(0=LEN(ReferenceData!$AW$163),"",ReferenceData!$AW$163),"")</f>
        <v>2.0346552280000001</v>
      </c>
      <c r="AX163">
        <f ca="1">IFERROR(IF(0=LEN(ReferenceData!$AX$163),"",ReferenceData!$AX$163),"")</f>
        <v>3.7099598070000002</v>
      </c>
      <c r="AY163">
        <f ca="1">IFERROR(IF(0=LEN(ReferenceData!$AY$163),"",ReferenceData!$AY$163),"")</f>
        <v>7.0675740420000004</v>
      </c>
      <c r="AZ163">
        <f ca="1">IFERROR(IF(0=LEN(ReferenceData!$AZ$163),"",ReferenceData!$AZ$163),"")</f>
        <v>8.1596973229999996</v>
      </c>
      <c r="BA163">
        <f ca="1">IFERROR(IF(0=LEN(ReferenceData!$BA$163),"",ReferenceData!$BA$163),"")</f>
        <v>4.0774380649999999</v>
      </c>
      <c r="BB163">
        <f ca="1">IFERROR(IF(0=LEN(ReferenceData!$BB$163),"",ReferenceData!$BB$163),"")</f>
        <v>4.87731826</v>
      </c>
      <c r="BC163">
        <f ca="1">IFERROR(IF(0=LEN(ReferenceData!$BC$163),"",ReferenceData!$BC$163),"")</f>
        <v>2.633432333</v>
      </c>
      <c r="BD163">
        <f ca="1">IFERROR(IF(0=LEN(ReferenceData!$BD$163),"",ReferenceData!$BD$163),"")</f>
        <v>1.8565942230000001</v>
      </c>
      <c r="BE163">
        <f ca="1">IFERROR(IF(0=LEN(ReferenceData!$BE$163),"",ReferenceData!$BE$163),"")</f>
        <v>3.2961385380000001</v>
      </c>
      <c r="BF163">
        <f ca="1">IFERROR(IF(0=LEN(ReferenceData!$BF$163),"",ReferenceData!$BF$163),"")</f>
        <v>2.400860078</v>
      </c>
      <c r="BG163">
        <f ca="1">IFERROR(IF(0=LEN(ReferenceData!$BG$163),"",ReferenceData!$BG$163),"")</f>
        <v>2.1712049009999999</v>
      </c>
      <c r="BH163">
        <f ca="1">IFERROR(IF(0=LEN(ReferenceData!$BH$163),"",ReferenceData!$BH$163),"")</f>
        <v>2.250359848</v>
      </c>
      <c r="BI163">
        <f ca="1">IFERROR(IF(0=LEN(ReferenceData!$BI$163),"",ReferenceData!$BI$163),"")</f>
        <v>1.651736742</v>
      </c>
      <c r="BJ163">
        <f ca="1">IFERROR(IF(0=LEN(ReferenceData!$BJ$163),"",ReferenceData!$BJ$163),"")</f>
        <v>1.401292904</v>
      </c>
      <c r="BK163">
        <f ca="1">IFERROR(IF(0=LEN(ReferenceData!$BK$163),"",ReferenceData!$BK$163),"")</f>
        <v>1.6091576569999999</v>
      </c>
      <c r="BL163">
        <f ca="1">IFERROR(IF(0=LEN(ReferenceData!$BL$163),"",ReferenceData!$BL$163),"")</f>
        <v>2.4760759920000002</v>
      </c>
      <c r="BM163">
        <f ca="1">IFERROR(IF(0=LEN(ReferenceData!$BM$163),"",ReferenceData!$BM$163),"")</f>
        <v>3.3006410179999999</v>
      </c>
    </row>
    <row r="164" spans="1:65" x14ac:dyDescent="0.25">
      <c r="A164" t="str">
        <f>IFERROR(IF(0=LEN(ReferenceData!$A$164),"",ReferenceData!$A$164),"")</f>
        <v xml:space="preserve">    Tofas Turk Otomobil Fabrikasi AS</v>
      </c>
      <c r="B164" t="str">
        <f>IFERROR(IF(0=LEN(ReferenceData!$B$164),"",ReferenceData!$B$164),"")</f>
        <v>TOASOTRY EO Equity</v>
      </c>
      <c r="C164" t="str">
        <f>IFERROR(IF(0=LEN(ReferenceData!$C$164),"",ReferenceData!$C$164),"")</f>
        <v>RR903</v>
      </c>
      <c r="D164" t="str">
        <f>IFERROR(IF(0=LEN(ReferenceData!$D$164),"",ReferenceData!$D$164),"")</f>
        <v>PX_TO_BOOK_RATIO</v>
      </c>
      <c r="E164" t="str">
        <f>IFERROR(IF(0=LEN(ReferenceData!$E$164),"",ReferenceData!$E$164),"")</f>
        <v>Dynamic</v>
      </c>
      <c r="F164">
        <f ca="1">IFERROR(IF(0=LEN(ReferenceData!$F$164),"",ReferenceData!$F$164),"")</f>
        <v>2.6979230040000002</v>
      </c>
      <c r="G164">
        <f ca="1">IFERROR(IF(0=LEN(ReferenceData!$G$164),"",ReferenceData!$G$164),"")</f>
        <v>2.2797449379999999</v>
      </c>
      <c r="H164">
        <f ca="1">IFERROR(IF(0=LEN(ReferenceData!$H$164),"",ReferenceData!$H$164),"")</f>
        <v>3.628427319</v>
      </c>
      <c r="I164">
        <f ca="1">IFERROR(IF(0=LEN(ReferenceData!$I$164),"",ReferenceData!$I$164),"")</f>
        <v>3.73764991</v>
      </c>
      <c r="J164">
        <f ca="1">IFERROR(IF(0=LEN(ReferenceData!$J$164),"",ReferenceData!$J$164),"")</f>
        <v>4.5253518440000002</v>
      </c>
      <c r="K164">
        <f ca="1">IFERROR(IF(0=LEN(ReferenceData!$K$164),"",ReferenceData!$K$164),"")</f>
        <v>4.607822917</v>
      </c>
      <c r="L164">
        <f ca="1">IFERROR(IF(0=LEN(ReferenceData!$L$164),"",ReferenceData!$L$164),"")</f>
        <v>4.7106432470000001</v>
      </c>
      <c r="M164">
        <f ca="1">IFERROR(IF(0=LEN(ReferenceData!$M$164),"",ReferenceData!$M$164),"")</f>
        <v>4.7096554460000002</v>
      </c>
      <c r="N164">
        <f ca="1">IFERROR(IF(0=LEN(ReferenceData!$N$164),"",ReferenceData!$N$164),"")</f>
        <v>4.8515759960000002</v>
      </c>
      <c r="O164">
        <f ca="1">IFERROR(IF(0=LEN(ReferenceData!$O$164),"",ReferenceData!$O$164),"")</f>
        <v>4.1657494919999998</v>
      </c>
      <c r="P164">
        <f ca="1">IFERROR(IF(0=LEN(ReferenceData!$P$164),"",ReferenceData!$P$164),"")</f>
        <v>3.8498170549999999</v>
      </c>
      <c r="Q164">
        <f ca="1">IFERROR(IF(0=LEN(ReferenceData!$Q$164),"",ReferenceData!$Q$164),"")</f>
        <v>4.3642115449999999</v>
      </c>
      <c r="R164">
        <f ca="1">IFERROR(IF(0=LEN(ReferenceData!$R$164),"",ReferenceData!$R$164),"")</f>
        <v>4.6721293380000004</v>
      </c>
      <c r="S164">
        <f ca="1">IFERROR(IF(0=LEN(ReferenceData!$S$164),"",ReferenceData!$S$164),"")</f>
        <v>3.669222408</v>
      </c>
      <c r="T164">
        <f ca="1">IFERROR(IF(0=LEN(ReferenceData!$T$164),"",ReferenceData!$T$164),"")</f>
        <v>4.1362344269999998</v>
      </c>
      <c r="U164">
        <f ca="1">IFERROR(IF(0=LEN(ReferenceData!$U$164),"",ReferenceData!$U$164),"")</f>
        <v>4.2838281970000001</v>
      </c>
      <c r="V164">
        <f ca="1">IFERROR(IF(0=LEN(ReferenceData!$V$164),"",ReferenceData!$V$164),"")</f>
        <v>4.0020592180000003</v>
      </c>
      <c r="W164">
        <f ca="1">IFERROR(IF(0=LEN(ReferenceData!$W$164),"",ReferenceData!$W$164),"")</f>
        <v>3.5584076360000001</v>
      </c>
      <c r="X164">
        <f ca="1">IFERROR(IF(0=LEN(ReferenceData!$X$164),"",ReferenceData!$X$164),"")</f>
        <v>3.1378840170000002</v>
      </c>
      <c r="Y164">
        <f ca="1">IFERROR(IF(0=LEN(ReferenceData!$Y$164),"",ReferenceData!$Y$164),"")</f>
        <v>3.467521584</v>
      </c>
      <c r="Z164">
        <f ca="1">IFERROR(IF(0=LEN(ReferenceData!$Z$164),"",ReferenceData!$Z$164),"")</f>
        <v>3.5521392650000001</v>
      </c>
      <c r="AA164">
        <f ca="1">IFERROR(IF(0=LEN(ReferenceData!$AA$164),"",ReferenceData!$AA$164),"")</f>
        <v>3.5285183280000001</v>
      </c>
      <c r="AB164">
        <f ca="1">IFERROR(IF(0=LEN(ReferenceData!$AB$164),"",ReferenceData!$AB$164),"")</f>
        <v>3.3904303859999998</v>
      </c>
      <c r="AC164">
        <f ca="1">IFERROR(IF(0=LEN(ReferenceData!$AC$164),"",ReferenceData!$AC$164),"")</f>
        <v>3.4175477609999998</v>
      </c>
      <c r="AD164">
        <f ca="1">IFERROR(IF(0=LEN(ReferenceData!$AD$164),"",ReferenceData!$AD$164),"")</f>
        <v>3.8223231879999999</v>
      </c>
      <c r="AE164">
        <f ca="1">IFERROR(IF(0=LEN(ReferenceData!$AE$164),"",ReferenceData!$AE$164),"")</f>
        <v>2.5338235130000002</v>
      </c>
      <c r="AF164">
        <f ca="1">IFERROR(IF(0=LEN(ReferenceData!$AF$164),"",ReferenceData!$AF$164),"")</f>
        <v>2.333898644</v>
      </c>
      <c r="AG164">
        <f ca="1">IFERROR(IF(0=LEN(ReferenceData!$AG$164),"",ReferenceData!$AG$164),"")</f>
        <v>2.0924008540000001</v>
      </c>
      <c r="AH164">
        <f ca="1">IFERROR(IF(0=LEN(ReferenceData!$AH$164),"",ReferenceData!$AH$164),"")</f>
        <v>2.26421553</v>
      </c>
      <c r="AI164">
        <f ca="1">IFERROR(IF(0=LEN(ReferenceData!$AI$164),"",ReferenceData!$AI$164),"")</f>
        <v>1.654253247</v>
      </c>
      <c r="AJ164">
        <f ca="1">IFERROR(IF(0=LEN(ReferenceData!$AJ$164),"",ReferenceData!$AJ$164),"")</f>
        <v>2.0526060679999998</v>
      </c>
      <c r="AK164">
        <f ca="1">IFERROR(IF(0=LEN(ReferenceData!$AK$164),"",ReferenceData!$AK$164),"")</f>
        <v>2.3887257310000001</v>
      </c>
      <c r="AL164">
        <f ca="1">IFERROR(IF(0=LEN(ReferenceData!$AL$164),"",ReferenceData!$AL$164),"")</f>
        <v>2.9249868339999998</v>
      </c>
      <c r="AM164">
        <f ca="1">IFERROR(IF(0=LEN(ReferenceData!$AM$164),"",ReferenceData!$AM$164),"")</f>
        <v>2.333113505</v>
      </c>
      <c r="AN164">
        <f ca="1">IFERROR(IF(0=LEN(ReferenceData!$AN$164),"",ReferenceData!$AN$164),"")</f>
        <v>2.3209897939999999</v>
      </c>
      <c r="AO164">
        <f ca="1">IFERROR(IF(0=LEN(ReferenceData!$AO$164),"",ReferenceData!$AO$164),"")</f>
        <v>1.7239078560000001</v>
      </c>
      <c r="AP164">
        <f ca="1">IFERROR(IF(0=LEN(ReferenceData!$AP$164),"",ReferenceData!$AP$164),"")</f>
        <v>1.9670501840000001</v>
      </c>
      <c r="AQ164">
        <f ca="1">IFERROR(IF(0=LEN(ReferenceData!$AQ$164),"",ReferenceData!$AQ$164),"")</f>
        <v>1.659356592</v>
      </c>
      <c r="AR164">
        <f ca="1">IFERROR(IF(0=LEN(ReferenceData!$AR$164),"",ReferenceData!$AR$164),"")</f>
        <v>1.622484373</v>
      </c>
      <c r="AS164">
        <f ca="1">IFERROR(IF(0=LEN(ReferenceData!$AS$164),"",ReferenceData!$AS$164),"")</f>
        <v>1.1404146040000001</v>
      </c>
      <c r="AT164">
        <f ca="1">IFERROR(IF(0=LEN(ReferenceData!$AT$164),"",ReferenceData!$AT$164),"")</f>
        <v>0.66902689599999998</v>
      </c>
      <c r="AU164">
        <f ca="1">IFERROR(IF(0=LEN(ReferenceData!$AU$164),"",ReferenceData!$AU$164),"")</f>
        <v>0.51364004600000002</v>
      </c>
      <c r="AV164">
        <f ca="1">IFERROR(IF(0=LEN(ReferenceData!$AV$164),"",ReferenceData!$AV$164),"")</f>
        <v>1.1149783879999999</v>
      </c>
      <c r="AW164">
        <f ca="1">IFERROR(IF(0=LEN(ReferenceData!$AW$164),"",ReferenceData!$AW$164),"")</f>
        <v>1.5449176410000001</v>
      </c>
      <c r="AX164">
        <f ca="1">IFERROR(IF(0=LEN(ReferenceData!$AX$164),"",ReferenceData!$AX$164),"")</f>
        <v>1.901922715</v>
      </c>
      <c r="AY164">
        <f ca="1">IFERROR(IF(0=LEN(ReferenceData!$AY$164),"",ReferenceData!$AY$164),"")</f>
        <v>2.6484191140000002</v>
      </c>
      <c r="AZ164">
        <f ca="1">IFERROR(IF(0=LEN(ReferenceData!$AZ$164),"",ReferenceData!$AZ$164),"")</f>
        <v>2.7136518669999998</v>
      </c>
      <c r="BA164">
        <f ca="1">IFERROR(IF(0=LEN(ReferenceData!$BA$164),"",ReferenceData!$BA$164),"")</f>
        <v>3.0129714349999999</v>
      </c>
      <c r="BB164">
        <f ca="1">IFERROR(IF(0=LEN(ReferenceData!$BB$164),"",ReferenceData!$BB$164),"")</f>
        <v>2.5269694390000002</v>
      </c>
      <c r="BC164">
        <f ca="1">IFERROR(IF(0=LEN(ReferenceData!$BC$164),"",ReferenceData!$BC$164),"")</f>
        <v>2.4066892210000002</v>
      </c>
      <c r="BD164">
        <f ca="1">IFERROR(IF(0=LEN(ReferenceData!$BD$164),"",ReferenceData!$BD$164),"")</f>
        <v>2.062014842</v>
      </c>
      <c r="BE164">
        <f ca="1">IFERROR(IF(0=LEN(ReferenceData!$BE$164),"",ReferenceData!$BE$164),"")</f>
        <v>2.2103199729999998</v>
      </c>
      <c r="BF164">
        <f ca="1">IFERROR(IF(0=LEN(ReferenceData!$BF$164),"",ReferenceData!$BF$164),"")</f>
        <v>2.022722849</v>
      </c>
      <c r="BG164">
        <f ca="1">IFERROR(IF(0=LEN(ReferenceData!$BG$164),"",ReferenceData!$BG$164),"")</f>
        <v>1.3676504730000001</v>
      </c>
      <c r="BH164">
        <f ca="1">IFERROR(IF(0=LEN(ReferenceData!$BH$164),"",ReferenceData!$BH$164),"")</f>
        <v>1.1119820090000001</v>
      </c>
      <c r="BI164">
        <f ca="1">IFERROR(IF(0=LEN(ReferenceData!$BI$164),"",ReferenceData!$BI$164),"")</f>
        <v>1.035462157</v>
      </c>
      <c r="BJ164">
        <f ca="1">IFERROR(IF(0=LEN(ReferenceData!$BJ$164),"",ReferenceData!$BJ$164),"")</f>
        <v>1.196275218</v>
      </c>
      <c r="BK164">
        <f ca="1">IFERROR(IF(0=LEN(ReferenceData!$BK$164),"",ReferenceData!$BK$164),"")</f>
        <v>1.1508622959999999</v>
      </c>
      <c r="BL164">
        <f ca="1">IFERROR(IF(0=LEN(ReferenceData!$BL$164),"",ReferenceData!$BL$164),"")</f>
        <v>1.809146471</v>
      </c>
      <c r="BM164">
        <f ca="1">IFERROR(IF(0=LEN(ReferenceData!$BM$164),"",ReferenceData!$BM$164),"")</f>
        <v>1.2593340529999999</v>
      </c>
    </row>
    <row r="165" spans="1:65" x14ac:dyDescent="0.25">
      <c r="A165" t="str">
        <f>IFERROR(IF(0=LEN(ReferenceData!$A$165),"",ReferenceData!$A$165),"")</f>
        <v xml:space="preserve">    Toyota Motor Corp</v>
      </c>
      <c r="B165" t="str">
        <f>IFERROR(IF(0=LEN(ReferenceData!$B$165),"",ReferenceData!$B$165),"")</f>
        <v>7203 JP Equity</v>
      </c>
      <c r="C165" t="str">
        <f>IFERROR(IF(0=LEN(ReferenceData!$C$165),"",ReferenceData!$C$165),"")</f>
        <v>RR903</v>
      </c>
      <c r="D165" t="str">
        <f>IFERROR(IF(0=LEN(ReferenceData!$D$165),"",ReferenceData!$D$165),"")</f>
        <v>PX_TO_BOOK_RATIO</v>
      </c>
      <c r="E165" t="str">
        <f>IFERROR(IF(0=LEN(ReferenceData!$E$165),"",ReferenceData!$E$165),"")</f>
        <v>Dynamic</v>
      </c>
      <c r="F165">
        <f ca="1">IFERROR(IF(0=LEN(ReferenceData!$F$165),"",ReferenceData!$F$165),"")</f>
        <v>1.0022529490000001</v>
      </c>
      <c r="G165">
        <f ca="1">IFERROR(IF(0=LEN(ReferenceData!$G$165),"",ReferenceData!$G$165),"")</f>
        <v>0.95542148699999996</v>
      </c>
      <c r="H165">
        <f ca="1">IFERROR(IF(0=LEN(ReferenceData!$H$165),"",ReferenceData!$H$165),"")</f>
        <v>1.0433597880000001</v>
      </c>
      <c r="I165">
        <f ca="1">IFERROR(IF(0=LEN(ReferenceData!$I$165),"",ReferenceData!$I$165),"")</f>
        <v>1.094634441</v>
      </c>
      <c r="J165">
        <f ca="1">IFERROR(IF(0=LEN(ReferenceData!$J$165),"",ReferenceData!$J$165),"")</f>
        <v>1.060004824</v>
      </c>
      <c r="K165">
        <f ca="1">IFERROR(IF(0=LEN(ReferenceData!$K$165),"",ReferenceData!$K$165),"")</f>
        <v>1.115678264</v>
      </c>
      <c r="L165">
        <f ca="1">IFERROR(IF(0=LEN(ReferenceData!$L$165),"",ReferenceData!$L$165),"")</f>
        <v>1.078829405</v>
      </c>
      <c r="M165">
        <f ca="1">IFERROR(IF(0=LEN(ReferenceData!$M$165),"",ReferenceData!$M$165),"")</f>
        <v>0.98074099000000003</v>
      </c>
      <c r="N165">
        <f ca="1">IFERROR(IF(0=LEN(ReferenceData!$N$165),"",ReferenceData!$N$165),"")</f>
        <v>1.0261758089999999</v>
      </c>
      <c r="O165">
        <f ca="1">IFERROR(IF(0=LEN(ReferenceData!$O$165),"",ReferenceData!$O$165),"")</f>
        <v>1.1885280949999999</v>
      </c>
      <c r="P165">
        <f ca="1">IFERROR(IF(0=LEN(ReferenceData!$P$165),"",ReferenceData!$P$165),"")</f>
        <v>1.05882418</v>
      </c>
      <c r="Q165">
        <f ca="1">IFERROR(IF(0=LEN(ReferenceData!$Q$165),"",ReferenceData!$Q$165),"")</f>
        <v>0.94321432999999999</v>
      </c>
      <c r="R165">
        <f ca="1">IFERROR(IF(0=LEN(ReferenceData!$R$165),"",ReferenceData!$R$165),"")</f>
        <v>1.0796153180000001</v>
      </c>
      <c r="S165">
        <f ca="1">IFERROR(IF(0=LEN(ReferenceData!$S$165),"",ReferenceData!$S$165),"")</f>
        <v>1.3315913150000001</v>
      </c>
      <c r="T165">
        <f ca="1">IFERROR(IF(0=LEN(ReferenceData!$T$165),"",ReferenceData!$T$165),"")</f>
        <v>1.2738539360000001</v>
      </c>
      <c r="U165">
        <f ca="1">IFERROR(IF(0=LEN(ReferenceData!$U$165),"",ReferenceData!$U$165),"")</f>
        <v>1.500506925</v>
      </c>
      <c r="V165">
        <f ca="1">IFERROR(IF(0=LEN(ReferenceData!$V$165),"",ReferenceData!$V$165),"")</f>
        <v>1.5713328520000001</v>
      </c>
      <c r="W165">
        <f ca="1">IFERROR(IF(0=LEN(ReferenceData!$W$165),"",ReferenceData!$W$165),"")</f>
        <v>1.4571089770000001</v>
      </c>
      <c r="X165">
        <f ca="1">IFERROR(IF(0=LEN(ReferenceData!$X$165),"",ReferenceData!$X$165),"")</f>
        <v>1.3255387460000001</v>
      </c>
      <c r="Y165">
        <f ca="1">IFERROR(IF(0=LEN(ReferenceData!$Y$165),"",ReferenceData!$Y$165),"")</f>
        <v>1.3106789750000001</v>
      </c>
      <c r="Z165">
        <f ca="1">IFERROR(IF(0=LEN(ReferenceData!$Z$165),"",ReferenceData!$Z$165),"")</f>
        <v>1.2763057449999999</v>
      </c>
      <c r="AA165">
        <f ca="1">IFERROR(IF(0=LEN(ReferenceData!$AA$165),"",ReferenceData!$AA$165),"")</f>
        <v>1.431876959</v>
      </c>
      <c r="AB165">
        <f ca="1">IFERROR(IF(0=LEN(ReferenceData!$AB$165),"",ReferenceData!$AB$165),"")</f>
        <v>1.4861210949999999</v>
      </c>
      <c r="AC165">
        <f ca="1">IFERROR(IF(0=LEN(ReferenceData!$AC$165),"",ReferenceData!$AC$165),"")</f>
        <v>1.4715844570000001</v>
      </c>
      <c r="AD165">
        <f ca="1">IFERROR(IF(0=LEN(ReferenceData!$AD$165),"",ReferenceData!$AD$165),"")</f>
        <v>1.267176538</v>
      </c>
      <c r="AE165">
        <f ca="1">IFERROR(IF(0=LEN(ReferenceData!$AE$165),"",ReferenceData!$AE$165),"")</f>
        <v>1.1262237159999999</v>
      </c>
      <c r="AF165">
        <f ca="1">IFERROR(IF(0=LEN(ReferenceData!$AF$165),"",ReferenceData!$AF$165),"")</f>
        <v>0.89646918399999997</v>
      </c>
      <c r="AG165">
        <f ca="1">IFERROR(IF(0=LEN(ReferenceData!$AG$165),"",ReferenceData!$AG$165),"")</f>
        <v>0.96116697699999998</v>
      </c>
      <c r="AH165">
        <f ca="1">IFERROR(IF(0=LEN(ReferenceData!$AH$165),"",ReferenceData!$AH$165),"")</f>
        <v>1.0715859729999999</v>
      </c>
      <c r="AI165">
        <f ca="1">IFERROR(IF(0=LEN(ReferenceData!$AI$165),"",ReferenceData!$AI$165),"")</f>
        <v>0.80238723199999995</v>
      </c>
      <c r="AJ165">
        <f ca="1">IFERROR(IF(0=LEN(ReferenceData!$AJ$165),"",ReferenceData!$AJ$165),"")</f>
        <v>0.84148946000000002</v>
      </c>
      <c r="AK165">
        <f ca="1">IFERROR(IF(0=LEN(ReferenceData!$AK$165),"",ReferenceData!$AK$165),"")</f>
        <v>0.99511712200000002</v>
      </c>
      <c r="AL165">
        <f ca="1">IFERROR(IF(0=LEN(ReferenceData!$AL$165),"",ReferenceData!$AL$165),"")</f>
        <v>1.0166680669999999</v>
      </c>
      <c r="AM165">
        <f ca="1">IFERROR(IF(0=LEN(ReferenceData!$AM$165),"",ReferenceData!$AM$165),"")</f>
        <v>0.98700905699999997</v>
      </c>
      <c r="AN165">
        <f ca="1">IFERROR(IF(0=LEN(ReferenceData!$AN$165),"",ReferenceData!$AN$165),"")</f>
        <v>0.91962080000000002</v>
      </c>
      <c r="AO165">
        <f ca="1">IFERROR(IF(0=LEN(ReferenceData!$AO$165),"",ReferenceData!$AO$165),"")</f>
        <v>0.948246857</v>
      </c>
      <c r="AP165">
        <f ca="1">IFERROR(IF(0=LEN(ReferenceData!$AP$165),"",ReferenceData!$AP$165),"")</f>
        <v>1.133650125</v>
      </c>
      <c r="AQ165">
        <f ca="1">IFERROR(IF(0=LEN(ReferenceData!$AQ$165),"",ReferenceData!$AQ$165),"")</f>
        <v>1.200784297</v>
      </c>
      <c r="AR165">
        <f ca="1">IFERROR(IF(0=LEN(ReferenceData!$AR$165),"",ReferenceData!$AR$165),"")</f>
        <v>1.122513812</v>
      </c>
      <c r="AS165">
        <f ca="1">IFERROR(IF(0=LEN(ReferenceData!$AS$165),"",ReferenceData!$AS$165),"")</f>
        <v>1.1433193109999999</v>
      </c>
      <c r="AT165">
        <f ca="1">IFERROR(IF(0=LEN(ReferenceData!$AT$165),"",ReferenceData!$AT$165),"")</f>
        <v>0.97244315100000001</v>
      </c>
      <c r="AU165">
        <f ca="1">IFERROR(IF(0=LEN(ReferenceData!$AU$165),"",ReferenceData!$AU$165),"")</f>
        <v>0.82885308199999996</v>
      </c>
      <c r="AV165">
        <f ca="1">IFERROR(IF(0=LEN(ReferenceData!$AV$165),"",ReferenceData!$AV$165),"")</f>
        <v>1.15139543</v>
      </c>
      <c r="AW165">
        <f ca="1">IFERROR(IF(0=LEN(ReferenceData!$AW$165),"",ReferenceData!$AW$165),"")</f>
        <v>1.2876817190000001</v>
      </c>
      <c r="AX165">
        <f ca="1">IFERROR(IF(0=LEN(ReferenceData!$AX$165),"",ReferenceData!$AX$165),"")</f>
        <v>1.3186642449999999</v>
      </c>
      <c r="AY165">
        <f ca="1">IFERROR(IF(0=LEN(ReferenceData!$AY$165),"",ReferenceData!$AY$165),"")</f>
        <v>1.5320111700000001</v>
      </c>
      <c r="AZ165">
        <f ca="1">IFERROR(IF(0=LEN(ReferenceData!$AZ$165),"",ReferenceData!$AZ$165),"")</f>
        <v>1.743935587</v>
      </c>
      <c r="BA165">
        <f ca="1">IFERROR(IF(0=LEN(ReferenceData!$BA$165),"",ReferenceData!$BA$165),"")</f>
        <v>2.0249484029999998</v>
      </c>
      <c r="BB165">
        <f ca="1">IFERROR(IF(0=LEN(ReferenceData!$BB$165),"",ReferenceData!$BB$165),"")</f>
        <v>2.0398981369999998</v>
      </c>
      <c r="BC165">
        <f ca="1">IFERROR(IF(0=LEN(ReferenceData!$BC$165),"",ReferenceData!$BC$165),"")</f>
        <v>2.2582649379999999</v>
      </c>
      <c r="BD165">
        <f ca="1">IFERROR(IF(0=LEN(ReferenceData!$BD$165),"",ReferenceData!$BD$165),"")</f>
        <v>1.877951902</v>
      </c>
      <c r="BE165">
        <f ca="1">IFERROR(IF(0=LEN(ReferenceData!$BE$165),"",ReferenceData!$BE$165),"")</f>
        <v>1.8428104240000001</v>
      </c>
      <c r="BF165">
        <f ca="1">IFERROR(IF(0=LEN(ReferenceData!$BF$165),"",ReferenceData!$BF$165),"")</f>
        <v>1.9738268240000001</v>
      </c>
      <c r="BG165">
        <f ca="1">IFERROR(IF(0=LEN(ReferenceData!$BG$165),"",ReferenceData!$BG$165),"")</f>
        <v>1.9529255590000001</v>
      </c>
      <c r="BH165">
        <f ca="1">IFERROR(IF(0=LEN(ReferenceData!$BH$165),"",ReferenceData!$BH$165),"")</f>
        <v>1.7450164939999999</v>
      </c>
      <c r="BI165">
        <f ca="1">IFERROR(IF(0=LEN(ReferenceData!$BI$165),"",ReferenceData!$BI$165),"")</f>
        <v>1.408315803</v>
      </c>
      <c r="BJ165">
        <f ca="1">IFERROR(IF(0=LEN(ReferenceData!$BJ$165),"",ReferenceData!$BJ$165),"")</f>
        <v>1.4416480979999999</v>
      </c>
      <c r="BK165">
        <f ca="1">IFERROR(IF(0=LEN(ReferenceData!$BK$165),"",ReferenceData!$BK$165),"")</f>
        <v>1.5697523410000001</v>
      </c>
      <c r="BL165">
        <f ca="1">IFERROR(IF(0=LEN(ReferenceData!$BL$165),"",ReferenceData!$BL$165),"")</f>
        <v>1.6213780470000001</v>
      </c>
      <c r="BM165">
        <f ca="1">IFERROR(IF(0=LEN(ReferenceData!$BM$165),"",ReferenceData!$BM$165),"")</f>
        <v>1.7525773200000001</v>
      </c>
    </row>
    <row r="166" spans="1:65" x14ac:dyDescent="0.25">
      <c r="A166" t="str">
        <f>IFERROR(IF(0=LEN(ReferenceData!$A$166),"",ReferenceData!$A$166),"")</f>
        <v xml:space="preserve">    Volkswagen AG</v>
      </c>
      <c r="B166" t="str">
        <f>IFERROR(IF(0=LEN(ReferenceData!$B$166),"",ReferenceData!$B$166),"")</f>
        <v>VOW GR Equity</v>
      </c>
      <c r="C166" t="str">
        <f>IFERROR(IF(0=LEN(ReferenceData!$C$166),"",ReferenceData!$C$166),"")</f>
        <v>RR903</v>
      </c>
      <c r="D166" t="str">
        <f>IFERROR(IF(0=LEN(ReferenceData!$D$166),"",ReferenceData!$D$166),"")</f>
        <v>PX_TO_BOOK_RATIO</v>
      </c>
      <c r="E166" t="str">
        <f>IFERROR(IF(0=LEN(ReferenceData!$E$166),"",ReferenceData!$E$166),"")</f>
        <v>Dynamic</v>
      </c>
      <c r="F166" t="str">
        <f ca="1">IFERROR(IF(0=LEN(ReferenceData!$F$166),"",ReferenceData!$F$166),"")</f>
        <v/>
      </c>
      <c r="G166">
        <f ca="1">IFERROR(IF(0=LEN(ReferenceData!$G$166),"",ReferenceData!$G$166),"")</f>
        <v>0.67553500700000002</v>
      </c>
      <c r="H166">
        <f ca="1">IFERROR(IF(0=LEN(ReferenceData!$H$166),"",ReferenceData!$H$166),"")</f>
        <v>0.73564826100000003</v>
      </c>
      <c r="I166">
        <f ca="1">IFERROR(IF(0=LEN(ReferenceData!$I$166),"",ReferenceData!$I$166),"")</f>
        <v>0.71040550999999996</v>
      </c>
      <c r="J166">
        <f ca="1">IFERROR(IF(0=LEN(ReferenceData!$J$166),"",ReferenceData!$J$166),"")</f>
        <v>0.821043619</v>
      </c>
      <c r="K166">
        <f ca="1">IFERROR(IF(0=LEN(ReferenceData!$K$166),"",ReferenceData!$K$166),"")</f>
        <v>0.86506250900000004</v>
      </c>
      <c r="L166">
        <f ca="1">IFERROR(IF(0=LEN(ReferenceData!$L$166),"",ReferenceData!$L$166),"")</f>
        <v>0.75753097700000005</v>
      </c>
      <c r="M166">
        <f ca="1">IFERROR(IF(0=LEN(ReferenceData!$M$166),"",ReferenceData!$M$166),"")</f>
        <v>0.73206592800000003</v>
      </c>
      <c r="N166">
        <f ca="1">IFERROR(IF(0=LEN(ReferenceData!$N$166),"",ReferenceData!$N$166),"")</f>
        <v>0.716048185</v>
      </c>
      <c r="O166">
        <f ca="1">IFERROR(IF(0=LEN(ReferenceData!$O$166),"",ReferenceData!$O$166),"")</f>
        <v>0.80533929199999998</v>
      </c>
      <c r="P166">
        <f ca="1">IFERROR(IF(0=LEN(ReferenceData!$P$166),"",ReferenceData!$P$166),"")</f>
        <v>0.77501358499999995</v>
      </c>
      <c r="Q166">
        <f ca="1">IFERROR(IF(0=LEN(ReferenceData!$Q$166),"",ReferenceData!$Q$166),"")</f>
        <v>0.75401834400000001</v>
      </c>
      <c r="R166">
        <f ca="1">IFERROR(IF(0=LEN(ReferenceData!$R$166),"",ReferenceData!$R$166),"")</f>
        <v>0.78011366599999998</v>
      </c>
      <c r="S166">
        <f ca="1">IFERROR(IF(0=LEN(ReferenceData!$S$166),"",ReferenceData!$S$166),"")</f>
        <v>0.88614010600000004</v>
      </c>
      <c r="T166">
        <f ca="1">IFERROR(IF(0=LEN(ReferenceData!$T$166),"",ReferenceData!$T$166),"")</f>
        <v>0.59175037799999997</v>
      </c>
      <c r="U166">
        <f ca="1">IFERROR(IF(0=LEN(ReferenceData!$U$166),"",ReferenceData!$U$166),"")</f>
        <v>1.1169548490000001</v>
      </c>
      <c r="V166">
        <f ca="1">IFERROR(IF(0=LEN(ReferenceData!$V$166),"",ReferenceData!$V$166),"")</f>
        <v>1.3941549209999999</v>
      </c>
      <c r="W166">
        <f ca="1">IFERROR(IF(0=LEN(ReferenceData!$W$166),"",ReferenceData!$W$166),"")</f>
        <v>1.0085833209999999</v>
      </c>
      <c r="X166">
        <f ca="1">IFERROR(IF(0=LEN(ReferenceData!$X$166),"",ReferenceData!$X$166),"")</f>
        <v>0.90636605699999995</v>
      </c>
      <c r="Y166">
        <f ca="1">IFERROR(IF(0=LEN(ReferenceData!$Y$166),"",ReferenceData!$Y$166),"")</f>
        <v>1.060002025</v>
      </c>
      <c r="Z166">
        <f ca="1">IFERROR(IF(0=LEN(ReferenceData!$Z$166),"",ReferenceData!$Z$166),"")</f>
        <v>1.0697418439999999</v>
      </c>
      <c r="AA166">
        <f ca="1">IFERROR(IF(0=LEN(ReferenceData!$AA$166),"",ReferenceData!$AA$166),"")</f>
        <v>1.0685457920000001</v>
      </c>
      <c r="AB166">
        <f ca="1">IFERROR(IF(0=LEN(ReferenceData!$AB$166),"",ReferenceData!$AB$166),"")</f>
        <v>0.93344671899999998</v>
      </c>
      <c r="AC166">
        <f ca="1">IFERROR(IF(0=LEN(ReferenceData!$AC$166),"",ReferenceData!$AC$166),"")</f>
        <v>0.85689399399999999</v>
      </c>
      <c r="AD166">
        <f ca="1">IFERROR(IF(0=LEN(ReferenceData!$AD$166),"",ReferenceData!$AD$166),"")</f>
        <v>0.85244303499999996</v>
      </c>
      <c r="AE166">
        <f ca="1">IFERROR(IF(0=LEN(ReferenceData!$AE$166),"",ReferenceData!$AE$166),"")</f>
        <v>0.97470032600000001</v>
      </c>
      <c r="AF166">
        <f ca="1">IFERROR(IF(0=LEN(ReferenceData!$AF$166),"",ReferenceData!$AF$166),"")</f>
        <v>0.81905201400000005</v>
      </c>
      <c r="AG166">
        <f ca="1">IFERROR(IF(0=LEN(ReferenceData!$AG$166),"",ReferenceData!$AG$166),"")</f>
        <v>0.88009710699999999</v>
      </c>
      <c r="AH166">
        <f ca="1">IFERROR(IF(0=LEN(ReferenceData!$AH$166),"",ReferenceData!$AH$166),"")</f>
        <v>0.92743196400000005</v>
      </c>
      <c r="AI166">
        <f ca="1">IFERROR(IF(0=LEN(ReferenceData!$AI$166),"",ReferenceData!$AI$166),"")</f>
        <v>0.83806462500000001</v>
      </c>
      <c r="AJ166">
        <f ca="1">IFERROR(IF(0=LEN(ReferenceData!$AJ$166),"",ReferenceData!$AJ$166),"")</f>
        <v>0.75949077499999995</v>
      </c>
      <c r="AK166">
        <f ca="1">IFERROR(IF(0=LEN(ReferenceData!$AK$166),"",ReferenceData!$AK$166),"")</f>
        <v>1.116091398</v>
      </c>
      <c r="AL166">
        <f ca="1">IFERROR(IF(0=LEN(ReferenceData!$AL$166),"",ReferenceData!$AL$166),"")</f>
        <v>1.0206753040000001</v>
      </c>
      <c r="AM166">
        <f ca="1">IFERROR(IF(0=LEN(ReferenceData!$AM$166),"",ReferenceData!$AM$166),"")</f>
        <v>1.071456908</v>
      </c>
      <c r="AN166">
        <f ca="1">IFERROR(IF(0=LEN(ReferenceData!$AN$166),"",ReferenceData!$AN$166),"")</f>
        <v>0.89298256499999995</v>
      </c>
      <c r="AO166">
        <f ca="1">IFERROR(IF(0=LEN(ReferenceData!$AO$166),"",ReferenceData!$AO$166),"")</f>
        <v>0.840802771</v>
      </c>
      <c r="AP166">
        <f ca="1">IFERROR(IF(0=LEN(ReferenceData!$AP$166),"",ReferenceData!$AP$166),"")</f>
        <v>0.84128174200000005</v>
      </c>
      <c r="AQ166">
        <f ca="1">IFERROR(IF(0=LEN(ReferenceData!$AQ$166),"",ReferenceData!$AQ$166),"")</f>
        <v>0.87352294799999997</v>
      </c>
      <c r="AR166">
        <f ca="1">IFERROR(IF(0=LEN(ReferenceData!$AR$166),"",ReferenceData!$AR$166),"")</f>
        <v>1.278223339</v>
      </c>
      <c r="AS166">
        <f ca="1">IFERROR(IF(0=LEN(ReferenceData!$AS$166),"",ReferenceData!$AS$166),"")</f>
        <v>2.8048716329999999</v>
      </c>
      <c r="AT166">
        <f ca="1">IFERROR(IF(0=LEN(ReferenceData!$AT$166),"",ReferenceData!$AT$166),"")</f>
        <v>2.6348796270000001</v>
      </c>
      <c r="AU166">
        <f ca="1">IFERROR(IF(0=LEN(ReferenceData!$AU$166),"",ReferenceData!$AU$166),"")</f>
        <v>2.8573768739999998</v>
      </c>
      <c r="AV166">
        <f ca="1">IFERROR(IF(0=LEN(ReferenceData!$AV$166),"",ReferenceData!$AV$166),"")</f>
        <v>3.1057610640000002</v>
      </c>
      <c r="AW166">
        <f ca="1">IFERROR(IF(0=LEN(ReferenceData!$AW$166),"",ReferenceData!$AW$166),"")</f>
        <v>2.0659590250000002</v>
      </c>
      <c r="AX166">
        <f ca="1">IFERROR(IF(0=LEN(ReferenceData!$AX$166),"",ReferenceData!$AX$166),"")</f>
        <v>2.1589443959999999</v>
      </c>
      <c r="AY166">
        <f ca="1">IFERROR(IF(0=LEN(ReferenceData!$AY$166),"",ReferenceData!$AY$166),"")</f>
        <v>1.942753621</v>
      </c>
      <c r="AZ166">
        <f ca="1">IFERROR(IF(0=LEN(ReferenceData!$AZ$166),"",ReferenceData!$AZ$166),"")</f>
        <v>2.0925250709999998</v>
      </c>
      <c r="BA166">
        <f ca="1">IFERROR(IF(0=LEN(ReferenceData!$BA$166),"",ReferenceData!$BA$166),"")</f>
        <v>1.607560082</v>
      </c>
      <c r="BB166">
        <f ca="1">IFERROR(IF(0=LEN(ReferenceData!$BB$166),"",ReferenceData!$BB$166),"")</f>
        <v>1.5981882510000001</v>
      </c>
      <c r="BC166">
        <f ca="1">IFERROR(IF(0=LEN(ReferenceData!$BC$166),"",ReferenceData!$BC$166),"")</f>
        <v>1.254766322</v>
      </c>
      <c r="BD166">
        <f ca="1">IFERROR(IF(0=LEN(ReferenceData!$BD$166),"",ReferenceData!$BD$166),"")</f>
        <v>1.04395685</v>
      </c>
      <c r="BE166">
        <f ca="1">IFERROR(IF(0=LEN(ReferenceData!$BE$166),"",ReferenceData!$BE$166),"")</f>
        <v>0.84394230999999997</v>
      </c>
      <c r="BF166">
        <f ca="1">IFERROR(IF(0=LEN(ReferenceData!$BF$166),"",ReferenceData!$BF$166),"")</f>
        <v>0.98465916399999998</v>
      </c>
      <c r="BG166">
        <f ca="1">IFERROR(IF(0=LEN(ReferenceData!$BG$166),"",ReferenceData!$BG$166),"")</f>
        <v>0.72859608899999995</v>
      </c>
      <c r="BH166">
        <f ca="1">IFERROR(IF(0=LEN(ReferenceData!$BH$166),"",ReferenceData!$BH$166),"")</f>
        <v>0.78928915600000005</v>
      </c>
      <c r="BI166">
        <f ca="1">IFERROR(IF(0=LEN(ReferenceData!$BI$166),"",ReferenceData!$BI$166),"")</f>
        <v>0.59432942499999997</v>
      </c>
      <c r="BJ166">
        <f ca="1">IFERROR(IF(0=LEN(ReferenceData!$BJ$166),"",ReferenceData!$BJ$166),"")</f>
        <v>0.58397042200000004</v>
      </c>
      <c r="BK166">
        <f ca="1">IFERROR(IF(0=LEN(ReferenceData!$BK$166),"",ReferenceData!$BK$166),"")</f>
        <v>0.56552203400000001</v>
      </c>
      <c r="BL166">
        <f ca="1">IFERROR(IF(0=LEN(ReferenceData!$BL$166),"",ReferenceData!$BL$166),"")</f>
        <v>0.53424106400000004</v>
      </c>
      <c r="BM166">
        <f ca="1">IFERROR(IF(0=LEN(ReferenceData!$BM$166),"",ReferenceData!$BM$166),"")</f>
        <v>0.59923794200000002</v>
      </c>
    </row>
    <row r="167" spans="1:65" x14ac:dyDescent="0.25">
      <c r="A167" t="str">
        <f>IFERROR(IF(0=LEN(ReferenceData!$A$167),"",ReferenceData!$A$167),"")</f>
        <v xml:space="preserve">    Yulon Motor Co Ltd</v>
      </c>
      <c r="B167" t="str">
        <f>IFERROR(IF(0=LEN(ReferenceData!$B$167),"",ReferenceData!$B$167),"")</f>
        <v>2201 TT Equity</v>
      </c>
      <c r="C167" t="str">
        <f>IFERROR(IF(0=LEN(ReferenceData!$C$167),"",ReferenceData!$C$167),"")</f>
        <v>RR903</v>
      </c>
      <c r="D167" t="str">
        <f>IFERROR(IF(0=LEN(ReferenceData!$D$167),"",ReferenceData!$D$167),"")</f>
        <v>PX_TO_BOOK_RATIO</v>
      </c>
      <c r="E167" t="str">
        <f>IFERROR(IF(0=LEN(ReferenceData!$E$167),"",ReferenceData!$E$167),"")</f>
        <v>Dynamic</v>
      </c>
      <c r="F167">
        <f ca="1">IFERROR(IF(0=LEN(ReferenceData!$F$167),"",ReferenceData!$F$167),"")</f>
        <v>0.41393616</v>
      </c>
      <c r="G167">
        <f ca="1">IFERROR(IF(0=LEN(ReferenceData!$G$167),"",ReferenceData!$G$167),"")</f>
        <v>0.39755346200000002</v>
      </c>
      <c r="H167">
        <f ca="1">IFERROR(IF(0=LEN(ReferenceData!$H$167),"",ReferenceData!$H$167),"")</f>
        <v>0.47400605099999998</v>
      </c>
      <c r="I167">
        <f ca="1">IFERROR(IF(0=LEN(ReferenceData!$I$167),"",ReferenceData!$I$167),"")</f>
        <v>0.45839031499999999</v>
      </c>
      <c r="J167">
        <f ca="1">IFERROR(IF(0=LEN(ReferenceData!$J$167),"",ReferenceData!$J$167),"")</f>
        <v>0.484775762</v>
      </c>
      <c r="K167">
        <f ca="1">IFERROR(IF(0=LEN(ReferenceData!$K$167),"",ReferenceData!$K$167),"")</f>
        <v>0.53526840399999998</v>
      </c>
      <c r="L167">
        <f ca="1">IFERROR(IF(0=LEN(ReferenceData!$L$167),"",ReferenceData!$L$167),"")</f>
        <v>0.57208353999999995</v>
      </c>
      <c r="M167">
        <f ca="1">IFERROR(IF(0=LEN(ReferenceData!$M$167),"",ReferenceData!$M$167),"")</f>
        <v>0.61289496899999996</v>
      </c>
      <c r="N167">
        <f ca="1">IFERROR(IF(0=LEN(ReferenceData!$N$167),"",ReferenceData!$N$167),"")</f>
        <v>0.63271647499999994</v>
      </c>
      <c r="O167">
        <f ca="1">IFERROR(IF(0=LEN(ReferenceData!$O$167),"",ReferenceData!$O$167),"")</f>
        <v>0.60011824199999997</v>
      </c>
      <c r="P167">
        <f ca="1">IFERROR(IF(0=LEN(ReferenceData!$P$167),"",ReferenceData!$P$167),"")</f>
        <v>0.60722313699999997</v>
      </c>
      <c r="Q167">
        <f ca="1">IFERROR(IF(0=LEN(ReferenceData!$Q$167),"",ReferenceData!$Q$167),"")</f>
        <v>0.60185283099999998</v>
      </c>
      <c r="R167">
        <f ca="1">IFERROR(IF(0=LEN(ReferenceData!$R$167),"",ReferenceData!$R$167),"")</f>
        <v>0.67840149000000005</v>
      </c>
      <c r="S167">
        <f ca="1">IFERROR(IF(0=LEN(ReferenceData!$S$167),"",ReferenceData!$S$167),"")</f>
        <v>0.65956932700000004</v>
      </c>
      <c r="T167">
        <f ca="1">IFERROR(IF(0=LEN(ReferenceData!$T$167),"",ReferenceData!$T$167),"")</f>
        <v>0.64657352800000001</v>
      </c>
      <c r="U167">
        <f ca="1">IFERROR(IF(0=LEN(ReferenceData!$U$167),"",ReferenceData!$U$167),"")</f>
        <v>0.80063355899999999</v>
      </c>
      <c r="V167">
        <f ca="1">IFERROR(IF(0=LEN(ReferenceData!$V$167),"",ReferenceData!$V$167),"")</f>
        <v>0.94610477500000001</v>
      </c>
      <c r="W167">
        <f ca="1">IFERROR(IF(0=LEN(ReferenceData!$W$167),"",ReferenceData!$W$167),"")</f>
        <v>1.036988018</v>
      </c>
      <c r="X167">
        <f ca="1">IFERROR(IF(0=LEN(ReferenceData!$X$167),"",ReferenceData!$X$167),"")</f>
        <v>1.024710834</v>
      </c>
      <c r="Y167">
        <f ca="1">IFERROR(IF(0=LEN(ReferenceData!$Y$167),"",ReferenceData!$Y$167),"")</f>
        <v>1.1191891620000001</v>
      </c>
      <c r="Z167">
        <f ca="1">IFERROR(IF(0=LEN(ReferenceData!$Z$167),"",ReferenceData!$Z$167),"")</f>
        <v>1.1411740020000001</v>
      </c>
      <c r="AA167">
        <f ca="1">IFERROR(IF(0=LEN(ReferenceData!$AA$167),"",ReferenceData!$AA$167),"")</f>
        <v>1.244939104</v>
      </c>
      <c r="AB167">
        <f ca="1">IFERROR(IF(0=LEN(ReferenceData!$AB$167),"",ReferenceData!$AB$167),"")</f>
        <v>1.1419686309999999</v>
      </c>
      <c r="AC167">
        <f ca="1">IFERROR(IF(0=LEN(ReferenceData!$AC$167),"",ReferenceData!$AC$167),"")</f>
        <v>1.1172774320000001</v>
      </c>
      <c r="AD167">
        <f ca="1">IFERROR(IF(0=LEN(ReferenceData!$AD$167),"",ReferenceData!$AD$167),"")</f>
        <v>1.2457993679999999</v>
      </c>
      <c r="AE167">
        <f ca="1">IFERROR(IF(0=LEN(ReferenceData!$AE$167),"",ReferenceData!$AE$167),"")</f>
        <v>1.317528987</v>
      </c>
      <c r="AF167">
        <f ca="1">IFERROR(IF(0=LEN(ReferenceData!$AF$167),"",ReferenceData!$AF$167),"")</f>
        <v>1.424330995</v>
      </c>
      <c r="AG167">
        <f ca="1">IFERROR(IF(0=LEN(ReferenceData!$AG$167),"",ReferenceData!$AG$167),"")</f>
        <v>1.2763574010000001</v>
      </c>
      <c r="AH167">
        <f ca="1">IFERROR(IF(0=LEN(ReferenceData!$AH$167),"",ReferenceData!$AH$167),"")</f>
        <v>1.3515526659999999</v>
      </c>
      <c r="AI167">
        <f ca="1">IFERROR(IF(0=LEN(ReferenceData!$AI$167),"",ReferenceData!$AI$167),"")</f>
        <v>1.2584150670000001</v>
      </c>
      <c r="AJ167">
        <f ca="1">IFERROR(IF(0=LEN(ReferenceData!$AJ$167),"",ReferenceData!$AJ$167),"")</f>
        <v>1.398701457</v>
      </c>
      <c r="AK167">
        <f ca="1">IFERROR(IF(0=LEN(ReferenceData!$AK$167),"",ReferenceData!$AK$167),"")</f>
        <v>1.738251701</v>
      </c>
      <c r="AL167">
        <f ca="1">IFERROR(IF(0=LEN(ReferenceData!$AL$167),"",ReferenceData!$AL$167),"")</f>
        <v>1.321012128</v>
      </c>
      <c r="AM167">
        <f ca="1">IFERROR(IF(0=LEN(ReferenceData!$AM$167),"",ReferenceData!$AM$167),"")</f>
        <v>1.54736699</v>
      </c>
      <c r="AN167">
        <f ca="1">IFERROR(IF(0=LEN(ReferenceData!$AN$167),"",ReferenceData!$AN$167),"")</f>
        <v>1.4280699100000001</v>
      </c>
      <c r="AO167">
        <f ca="1">IFERROR(IF(0=LEN(ReferenceData!$AO$167),"",ReferenceData!$AO$167),"")</f>
        <v>0.81405848800000002</v>
      </c>
      <c r="AP167">
        <f ca="1">IFERROR(IF(0=LEN(ReferenceData!$AP$167),"",ReferenceData!$AP$167),"")</f>
        <v>0.90632836000000006</v>
      </c>
      <c r="AQ167">
        <f ca="1">IFERROR(IF(0=LEN(ReferenceData!$AQ$167),"",ReferenceData!$AQ$167),"")</f>
        <v>0.98885945600000003</v>
      </c>
      <c r="AR167">
        <f ca="1">IFERROR(IF(0=LEN(ReferenceData!$AR$167),"",ReferenceData!$AR$167),"")</f>
        <v>0.97151553499999999</v>
      </c>
      <c r="AS167">
        <f ca="1">IFERROR(IF(0=LEN(ReferenceData!$AS$167),"",ReferenceData!$AS$167),"")</f>
        <v>0.83031195400000002</v>
      </c>
      <c r="AT167">
        <f ca="1">IFERROR(IF(0=LEN(ReferenceData!$AT$167),"",ReferenceData!$AT$167),"")</f>
        <v>0.495082313</v>
      </c>
      <c r="AU167">
        <f ca="1">IFERROR(IF(0=LEN(ReferenceData!$AU$167),"",ReferenceData!$AU$167),"")</f>
        <v>0.382747905</v>
      </c>
      <c r="AV167">
        <f ca="1">IFERROR(IF(0=LEN(ReferenceData!$AV$167),"",ReferenceData!$AV$167),"")</f>
        <v>0.45985844199999998</v>
      </c>
      <c r="AW167">
        <f ca="1">IFERROR(IF(0=LEN(ReferenceData!$AW$167),"",ReferenceData!$AW$167),"")</f>
        <v>0.818648924</v>
      </c>
      <c r="AX167">
        <f ca="1">IFERROR(IF(0=LEN(ReferenceData!$AX$167),"",ReferenceData!$AX$167),"")</f>
        <v>1.1449096439999999</v>
      </c>
      <c r="AY167" t="str">
        <f ca="1">IFERROR(IF(0=LEN(ReferenceData!$AY$167),"",ReferenceData!$AY$167),"")</f>
        <v/>
      </c>
      <c r="AZ167" t="str">
        <f ca="1">IFERROR(IF(0=LEN(ReferenceData!$AZ$167),"",ReferenceData!$AZ$167),"")</f>
        <v/>
      </c>
      <c r="BA167" t="str">
        <f ca="1">IFERROR(IF(0=LEN(ReferenceData!$BA$167),"",ReferenceData!$BA$167),"")</f>
        <v/>
      </c>
      <c r="BB167" t="str">
        <f ca="1">IFERROR(IF(0=LEN(ReferenceData!$BB$167),"",ReferenceData!$BB$167),"")</f>
        <v/>
      </c>
      <c r="BC167" t="str">
        <f ca="1">IFERROR(IF(0=LEN(ReferenceData!$BC$167),"",ReferenceData!$BC$167),"")</f>
        <v/>
      </c>
      <c r="BD167" t="str">
        <f ca="1">IFERROR(IF(0=LEN(ReferenceData!$BD$167),"",ReferenceData!$BD$167),"")</f>
        <v/>
      </c>
      <c r="BE167" t="str">
        <f ca="1">IFERROR(IF(0=LEN(ReferenceData!$BE$167),"",ReferenceData!$BE$167),"")</f>
        <v/>
      </c>
      <c r="BF167" t="str">
        <f ca="1">IFERROR(IF(0=LEN(ReferenceData!$BF$167),"",ReferenceData!$BF$167),"")</f>
        <v/>
      </c>
      <c r="BG167" t="str">
        <f ca="1">IFERROR(IF(0=LEN(ReferenceData!$BG$167),"",ReferenceData!$BG$167),"")</f>
        <v/>
      </c>
      <c r="BH167" t="str">
        <f ca="1">IFERROR(IF(0=LEN(ReferenceData!$BH$167),"",ReferenceData!$BH$167),"")</f>
        <v/>
      </c>
      <c r="BI167" t="str">
        <f ca="1">IFERROR(IF(0=LEN(ReferenceData!$BI$167),"",ReferenceData!$BI$167),"")</f>
        <v/>
      </c>
      <c r="BJ167" t="str">
        <f ca="1">IFERROR(IF(0=LEN(ReferenceData!$BJ$167),"",ReferenceData!$BJ$167),"")</f>
        <v/>
      </c>
      <c r="BK167" t="str">
        <f ca="1">IFERROR(IF(0=LEN(ReferenceData!$BK$167),"",ReferenceData!$BK$167),"")</f>
        <v/>
      </c>
      <c r="BL167" t="str">
        <f ca="1">IFERROR(IF(0=LEN(ReferenceData!$BL$167),"",ReferenceData!$BL$167),"")</f>
        <v/>
      </c>
      <c r="BM167" t="str">
        <f ca="1">IFERROR(IF(0=LEN(ReferenceData!$BM$167),"",ReferenceData!$BM$167),"")</f>
        <v/>
      </c>
    </row>
    <row r="168" spans="1:65" x14ac:dyDescent="0.25">
      <c r="A168" t="str">
        <f>IFERROR(IF(0=LEN(ReferenceData!$A$168),"",ReferenceData!$A$168),"")</f>
        <v>P/Tang Book</v>
      </c>
      <c r="B168" t="str">
        <f>IFERROR(IF(0=LEN(ReferenceData!$B$168),"",ReferenceData!$B$168),"")</f>
        <v/>
      </c>
      <c r="C168" t="str">
        <f>IFERROR(IF(0=LEN(ReferenceData!$C$168),"",ReferenceData!$C$168),"")</f>
        <v/>
      </c>
      <c r="D168" t="str">
        <f>IFERROR(IF(0=LEN(ReferenceData!$D$168),"",ReferenceData!$D$168),"")</f>
        <v/>
      </c>
      <c r="E168" t="str">
        <f>IFERROR(IF(0=LEN(ReferenceData!$E$168),"",ReferenceData!$E$168),"")</f>
        <v>Average</v>
      </c>
      <c r="F168">
        <f ca="1">IFERROR(IF(0=LEN(ReferenceData!$F$168),"",ReferenceData!$F$168),"")</f>
        <v>2.0522873900454544</v>
      </c>
      <c r="G168">
        <f ca="1">IFERROR(IF(0=LEN(ReferenceData!$G$168),"",ReferenceData!$G$168),"")</f>
        <v>1.8243303263214286</v>
      </c>
      <c r="H168">
        <f ca="1">IFERROR(IF(0=LEN(ReferenceData!$H$168),"",ReferenceData!$H$168),"")</f>
        <v>2.2190839687499997</v>
      </c>
      <c r="I168">
        <f ca="1">IFERROR(IF(0=LEN(ReferenceData!$I$168),"",ReferenceData!$I$168),"")</f>
        <v>2.3318581994642855</v>
      </c>
      <c r="J168">
        <f ca="1">IFERROR(IF(0=LEN(ReferenceData!$J$168),"",ReferenceData!$J$168),"")</f>
        <v>6.2140404964827578</v>
      </c>
      <c r="K168">
        <f ca="1">IFERROR(IF(0=LEN(ReferenceData!$K$168),"",ReferenceData!$K$168),"")</f>
        <v>6.9858740662413785</v>
      </c>
      <c r="L168">
        <f ca="1">IFERROR(IF(0=LEN(ReferenceData!$L$168),"",ReferenceData!$L$168),"")</f>
        <v>3.5230693036428566</v>
      </c>
      <c r="M168">
        <f ca="1">IFERROR(IF(0=LEN(ReferenceData!$M$168),"",ReferenceData!$M$168),"")</f>
        <v>2.5999983069999995</v>
      </c>
      <c r="N168">
        <f ca="1">IFERROR(IF(0=LEN(ReferenceData!$N$168),"",ReferenceData!$N$168),"")</f>
        <v>2.6092884839999999</v>
      </c>
      <c r="O168">
        <f ca="1">IFERROR(IF(0=LEN(ReferenceData!$O$168),"",ReferenceData!$O$168),"")</f>
        <v>2.2869837033333331</v>
      </c>
      <c r="P168">
        <f ca="1">IFERROR(IF(0=LEN(ReferenceData!$P$168),"",ReferenceData!$P$168),"")</f>
        <v>2.4171585358399996</v>
      </c>
      <c r="Q168">
        <f ca="1">IFERROR(IF(0=LEN(ReferenceData!$Q$168),"",ReferenceData!$Q$168),"")</f>
        <v>2.344889397703704</v>
      </c>
      <c r="R168">
        <f ca="1">IFERROR(IF(0=LEN(ReferenceData!$R$168),"",ReferenceData!$R$168),"")</f>
        <v>3.3973575823000006</v>
      </c>
      <c r="S168">
        <f ca="1">IFERROR(IF(0=LEN(ReferenceData!$S$168),"",ReferenceData!$S$168),"")</f>
        <v>3.1832308033000007</v>
      </c>
      <c r="T168">
        <f ca="1">IFERROR(IF(0=LEN(ReferenceData!$T$168),"",ReferenceData!$T$168),"")</f>
        <v>2.4892038769285714</v>
      </c>
      <c r="U168">
        <f ca="1">IFERROR(IF(0=LEN(ReferenceData!$U$168),"",ReferenceData!$U$168),"")</f>
        <v>9.0330446408214282</v>
      </c>
      <c r="V168">
        <f ca="1">IFERROR(IF(0=LEN(ReferenceData!$V$168),"",ReferenceData!$V$168),"")</f>
        <v>11.069122726133333</v>
      </c>
      <c r="W168">
        <f ca="1">IFERROR(IF(0=LEN(ReferenceData!$W$168),"",ReferenceData!$W$168),"")</f>
        <v>3.4531663783571434</v>
      </c>
      <c r="X168">
        <f ca="1">IFERROR(IF(0=LEN(ReferenceData!$X$168),"",ReferenceData!$X$168),"")</f>
        <v>2.2759214110769226</v>
      </c>
      <c r="Y168">
        <f ca="1">IFERROR(IF(0=LEN(ReferenceData!$Y$168),"",ReferenceData!$Y$168),"")</f>
        <v>2.3652479189642857</v>
      </c>
      <c r="Z168">
        <f ca="1">IFERROR(IF(0=LEN(ReferenceData!$Z$168),"",ReferenceData!$Z$168),"")</f>
        <v>3.7721695272000009</v>
      </c>
      <c r="AA168">
        <f ca="1">IFERROR(IF(0=LEN(ReferenceData!$AA$168),"",ReferenceData!$AA$168),"")</f>
        <v>3.7393624408571426</v>
      </c>
      <c r="AB168">
        <f ca="1">IFERROR(IF(0=LEN(ReferenceData!$AB$168),"",ReferenceData!$AB$168),"")</f>
        <v>2.4472337630769232</v>
      </c>
      <c r="AC168">
        <f ca="1">IFERROR(IF(0=LEN(ReferenceData!$AC$168),"",ReferenceData!$AC$168),"")</f>
        <v>6.1849809278571417</v>
      </c>
      <c r="AD168">
        <f ca="1">IFERROR(IF(0=LEN(ReferenceData!$AD$168),"",ReferenceData!$AD$168),"")</f>
        <v>7.1208955345862064</v>
      </c>
      <c r="AE168">
        <f ca="1">IFERROR(IF(0=LEN(ReferenceData!$AE$168),"",ReferenceData!$AE$168),"")</f>
        <v>3.0391871467777776</v>
      </c>
      <c r="AF168">
        <f ca="1">IFERROR(IF(0=LEN(ReferenceData!$AF$168),"",ReferenceData!$AF$168),"")</f>
        <v>1.7422455632083331</v>
      </c>
      <c r="AG168">
        <f ca="1">IFERROR(IF(0=LEN(ReferenceData!$AG$168),"",ReferenceData!$AG$168),"")</f>
        <v>2.6501375953846154</v>
      </c>
      <c r="AH168">
        <f ca="1">IFERROR(IF(0=LEN(ReferenceData!$AH$168),"",ReferenceData!$AH$168),"")</f>
        <v>3.5762524138518521</v>
      </c>
      <c r="AI168">
        <f ca="1">IFERROR(IF(0=LEN(ReferenceData!$AI$168),"",ReferenceData!$AI$168),"")</f>
        <v>2.0671585325833335</v>
      </c>
      <c r="AJ168">
        <f ca="1">IFERROR(IF(0=LEN(ReferenceData!$AJ$168),"",ReferenceData!$AJ$168),"")</f>
        <v>1.8411279317391303</v>
      </c>
      <c r="AK168">
        <f ca="1">IFERROR(IF(0=LEN(ReferenceData!$AK$168),"",ReferenceData!$AK$168),"")</f>
        <v>2.2676218269999997</v>
      </c>
      <c r="AL168">
        <f ca="1">IFERROR(IF(0=LEN(ReferenceData!$AL$168),"",ReferenceData!$AL$168),"")</f>
        <v>3.2524477280384612</v>
      </c>
      <c r="AM168">
        <f ca="1">IFERROR(IF(0=LEN(ReferenceData!$AM$168),"",ReferenceData!$AM$168),"")</f>
        <v>2.4948395218095238</v>
      </c>
      <c r="AN168">
        <f ca="1">IFERROR(IF(0=LEN(ReferenceData!$AN$168),"",ReferenceData!$AN$168),"")</f>
        <v>2.2696675094210526</v>
      </c>
      <c r="AO168">
        <f ca="1">IFERROR(IF(0=LEN(ReferenceData!$AO$168),"",ReferenceData!$AO$168),"")</f>
        <v>1.8106051955999998</v>
      </c>
      <c r="AP168">
        <f ca="1">IFERROR(IF(0=LEN(ReferenceData!$AP$168),"",ReferenceData!$AP$168),"")</f>
        <v>2.2433521437000001</v>
      </c>
      <c r="AQ168">
        <f ca="1">IFERROR(IF(0=LEN(ReferenceData!$AQ$168),"",ReferenceData!$AQ$168),"")</f>
        <v>2.4870353242777772</v>
      </c>
      <c r="AR168">
        <f ca="1">IFERROR(IF(0=LEN(ReferenceData!$AR$168),"",ReferenceData!$AR$168),"")</f>
        <v>2.1815566635555559</v>
      </c>
      <c r="AS168">
        <f ca="1">IFERROR(IF(0=LEN(ReferenceData!$AS$168),"",ReferenceData!$AS$168),"")</f>
        <v>1.7036152261578945</v>
      </c>
      <c r="AT168">
        <f ca="1">IFERROR(IF(0=LEN(ReferenceData!$AT$168),"",ReferenceData!$AT$168),"")</f>
        <v>1.3072748184736838</v>
      </c>
      <c r="AU168">
        <f ca="1">IFERROR(IF(0=LEN(ReferenceData!$AU$168),"",ReferenceData!$AU$168),"")</f>
        <v>1.0603866440588234</v>
      </c>
      <c r="AV168">
        <f ca="1">IFERROR(IF(0=LEN(ReferenceData!$AV$168),"",ReferenceData!$AV$168),"")</f>
        <v>1.3437936747647059</v>
      </c>
      <c r="AW168">
        <f ca="1">IFERROR(IF(0=LEN(ReferenceData!$AW$168),"",ReferenceData!$AW$168),"")</f>
        <v>1.5991467803157893</v>
      </c>
      <c r="AX168">
        <f ca="1">IFERROR(IF(0=LEN(ReferenceData!$AX$168),"",ReferenceData!$AX$168),"")</f>
        <v>2.062678319210526</v>
      </c>
      <c r="AY168">
        <f ca="1">IFERROR(IF(0=LEN(ReferenceData!$AY$168),"",ReferenceData!$AY$168),"")</f>
        <v>3.1090550121250002</v>
      </c>
      <c r="AZ168">
        <f ca="1">IFERROR(IF(0=LEN(ReferenceData!$AZ$168),"",ReferenceData!$AZ$168),"")</f>
        <v>3.0588131768666669</v>
      </c>
      <c r="BA168">
        <f ca="1">IFERROR(IF(0=LEN(ReferenceData!$BA$168),"",ReferenceData!$BA$168),"")</f>
        <v>2.4121544362666665</v>
      </c>
      <c r="BB168">
        <f ca="1">IFERROR(IF(0=LEN(ReferenceData!$BB$168),"",ReferenceData!$BB$168),"")</f>
        <v>2.279493768733333</v>
      </c>
      <c r="BC168">
        <f ca="1">IFERROR(IF(0=LEN(ReferenceData!$BC$168),"",ReferenceData!$BC$168),"")</f>
        <v>2.3195734123529408</v>
      </c>
      <c r="BD168">
        <f ca="1">IFERROR(IF(0=LEN(ReferenceData!$BD$168),"",ReferenceData!$BD$168),"")</f>
        <v>2.1651044522941176</v>
      </c>
      <c r="BE168">
        <f ca="1">IFERROR(IF(0=LEN(ReferenceData!$BE$168),"",ReferenceData!$BE$168),"")</f>
        <v>1.7265160974117646</v>
      </c>
      <c r="BF168">
        <f ca="1">IFERROR(IF(0=LEN(ReferenceData!$BF$168),"",ReferenceData!$BF$168),"")</f>
        <v>1.8044333053529416</v>
      </c>
      <c r="BG168">
        <f ca="1">IFERROR(IF(0=LEN(ReferenceData!$BG$168),"",ReferenceData!$BG$168),"")</f>
        <v>1.5448495955625001</v>
      </c>
      <c r="BH168">
        <f ca="1">IFERROR(IF(0=LEN(ReferenceData!$BH$168),"",ReferenceData!$BH$168),"")</f>
        <v>1.6478695565333334</v>
      </c>
      <c r="BI168">
        <f ca="1">IFERROR(IF(0=LEN(ReferenceData!$BI$168),"",ReferenceData!$BI$168),"")</f>
        <v>1.4745382924285713</v>
      </c>
      <c r="BJ168">
        <f ca="1">IFERROR(IF(0=LEN(ReferenceData!$BJ$168),"",ReferenceData!$BJ$168),"")</f>
        <v>1.3463276758125002</v>
      </c>
      <c r="BK168">
        <f ca="1">IFERROR(IF(0=LEN(ReferenceData!$BK$168),"",ReferenceData!$BK$168),"")</f>
        <v>1.5727758766666666</v>
      </c>
      <c r="BL168">
        <f ca="1">IFERROR(IF(0=LEN(ReferenceData!$BL$168),"",ReferenceData!$BL$168),"")</f>
        <v>1.8633623878461536</v>
      </c>
      <c r="BM168">
        <f ca="1">IFERROR(IF(0=LEN(ReferenceData!$BM$168),"",ReferenceData!$BM$168),"")</f>
        <v>83.880356900538473</v>
      </c>
    </row>
    <row r="169" spans="1:65" x14ac:dyDescent="0.25">
      <c r="A169" t="str">
        <f>IFERROR(IF(0=LEN(ReferenceData!$A$169),"",ReferenceData!$A$169),"")</f>
        <v xml:space="preserve">    AUDI AG</v>
      </c>
      <c r="B169" t="str">
        <f>IFERROR(IF(0=LEN(ReferenceData!$B$169),"",ReferenceData!$B$169),"")</f>
        <v>NSU GR Equity</v>
      </c>
      <c r="C169" t="str">
        <f>IFERROR(IF(0=LEN(ReferenceData!$C$169),"",ReferenceData!$C$169),"")</f>
        <v>RX077</v>
      </c>
      <c r="D169" t="str">
        <f>IFERROR(IF(0=LEN(ReferenceData!$D$169),"",ReferenceData!$D$169),"")</f>
        <v>PX_TO_TANG_BOOK_VAL_PER_SH</v>
      </c>
      <c r="E169" t="str">
        <f>IFERROR(IF(0=LEN(ReferenceData!$E$169),"",ReferenceData!$E$169),"")</f>
        <v>Dynamic</v>
      </c>
      <c r="F169" t="str">
        <f ca="1">IFERROR(IF(0=LEN(ReferenceData!$F$169),"",ReferenceData!$F$169),"")</f>
        <v/>
      </c>
      <c r="G169" t="str">
        <f ca="1">IFERROR(IF(0=LEN(ReferenceData!$G$169),"",ReferenceData!$G$169),"")</f>
        <v/>
      </c>
      <c r="H169" t="str">
        <f ca="1">IFERROR(IF(0=LEN(ReferenceData!$H$169),"",ReferenceData!$H$169),"")</f>
        <v/>
      </c>
      <c r="I169" t="str">
        <f ca="1">IFERROR(IF(0=LEN(ReferenceData!$I$169),"",ReferenceData!$I$169),"")</f>
        <v/>
      </c>
      <c r="J169" t="str">
        <f ca="1">IFERROR(IF(0=LEN(ReferenceData!$J$169),"",ReferenceData!$J$169),"")</f>
        <v/>
      </c>
      <c r="K169" t="str">
        <f ca="1">IFERROR(IF(0=LEN(ReferenceData!$K$169),"",ReferenceData!$K$169),"")</f>
        <v/>
      </c>
      <c r="L169" t="str">
        <f ca="1">IFERROR(IF(0=LEN(ReferenceData!$L$169),"",ReferenceData!$L$169),"")</f>
        <v/>
      </c>
      <c r="M169" t="str">
        <f ca="1">IFERROR(IF(0=LEN(ReferenceData!$M$169),"",ReferenceData!$M$169),"")</f>
        <v/>
      </c>
      <c r="N169" t="str">
        <f ca="1">IFERROR(IF(0=LEN(ReferenceData!$N$169),"",ReferenceData!$N$169),"")</f>
        <v/>
      </c>
      <c r="O169" t="str">
        <f ca="1">IFERROR(IF(0=LEN(ReferenceData!$O$169),"",ReferenceData!$O$169),"")</f>
        <v/>
      </c>
      <c r="P169" t="str">
        <f ca="1">IFERROR(IF(0=LEN(ReferenceData!$P$169),"",ReferenceData!$P$169),"")</f>
        <v/>
      </c>
      <c r="Q169" t="str">
        <f ca="1">IFERROR(IF(0=LEN(ReferenceData!$Q$169),"",ReferenceData!$Q$169),"")</f>
        <v/>
      </c>
      <c r="R169" t="str">
        <f ca="1">IFERROR(IF(0=LEN(ReferenceData!$R$169),"",ReferenceData!$R$169),"")</f>
        <v/>
      </c>
      <c r="S169" t="str">
        <f ca="1">IFERROR(IF(0=LEN(ReferenceData!$S$169),"",ReferenceData!$S$169),"")</f>
        <v/>
      </c>
      <c r="T169" t="str">
        <f ca="1">IFERROR(IF(0=LEN(ReferenceData!$T$169),"",ReferenceData!$T$169),"")</f>
        <v/>
      </c>
      <c r="U169" t="str">
        <f ca="1">IFERROR(IF(0=LEN(ReferenceData!$U$169),"",ReferenceData!$U$169),"")</f>
        <v/>
      </c>
      <c r="V169" t="str">
        <f ca="1">IFERROR(IF(0=LEN(ReferenceData!$V$169),"",ReferenceData!$V$169),"")</f>
        <v/>
      </c>
      <c r="W169" t="str">
        <f ca="1">IFERROR(IF(0=LEN(ReferenceData!$W$169),"",ReferenceData!$W$169),"")</f>
        <v/>
      </c>
      <c r="X169" t="str">
        <f ca="1">IFERROR(IF(0=LEN(ReferenceData!$X$169),"",ReferenceData!$X$169),"")</f>
        <v/>
      </c>
      <c r="Y169" t="str">
        <f ca="1">IFERROR(IF(0=LEN(ReferenceData!$Y$169),"",ReferenceData!$Y$169),"")</f>
        <v/>
      </c>
      <c r="Z169" t="str">
        <f ca="1">IFERROR(IF(0=LEN(ReferenceData!$Z$169),"",ReferenceData!$Z$169),"")</f>
        <v/>
      </c>
      <c r="AA169" t="str">
        <f ca="1">IFERROR(IF(0=LEN(ReferenceData!$AA$169),"",ReferenceData!$AA$169),"")</f>
        <v/>
      </c>
      <c r="AB169" t="str">
        <f ca="1">IFERROR(IF(0=LEN(ReferenceData!$AB$169),"",ReferenceData!$AB$169),"")</f>
        <v/>
      </c>
      <c r="AC169" t="str">
        <f ca="1">IFERROR(IF(0=LEN(ReferenceData!$AC$169),"",ReferenceData!$AC$169),"")</f>
        <v/>
      </c>
      <c r="AD169" t="str">
        <f ca="1">IFERROR(IF(0=LEN(ReferenceData!$AD$169),"",ReferenceData!$AD$169),"")</f>
        <v/>
      </c>
      <c r="AE169" t="str">
        <f ca="1">IFERROR(IF(0=LEN(ReferenceData!$AE$169),"",ReferenceData!$AE$169),"")</f>
        <v/>
      </c>
      <c r="AF169" t="str">
        <f ca="1">IFERROR(IF(0=LEN(ReferenceData!$AF$169),"",ReferenceData!$AF$169),"")</f>
        <v/>
      </c>
      <c r="AG169" t="str">
        <f ca="1">IFERROR(IF(0=LEN(ReferenceData!$AG$169),"",ReferenceData!$AG$169),"")</f>
        <v/>
      </c>
      <c r="AH169" t="str">
        <f ca="1">IFERROR(IF(0=LEN(ReferenceData!$AH$169),"",ReferenceData!$AH$169),"")</f>
        <v/>
      </c>
      <c r="AI169" t="str">
        <f ca="1">IFERROR(IF(0=LEN(ReferenceData!$AI$169),"",ReferenceData!$AI$169),"")</f>
        <v/>
      </c>
      <c r="AJ169" t="str">
        <f ca="1">IFERROR(IF(0=LEN(ReferenceData!$AJ$169),"",ReferenceData!$AJ$169),"")</f>
        <v/>
      </c>
      <c r="AK169" t="str">
        <f ca="1">IFERROR(IF(0=LEN(ReferenceData!$AK$169),"",ReferenceData!$AK$169),"")</f>
        <v/>
      </c>
      <c r="AL169" t="str">
        <f ca="1">IFERROR(IF(0=LEN(ReferenceData!$AL$169),"",ReferenceData!$AL$169),"")</f>
        <v/>
      </c>
      <c r="AM169" t="str">
        <f ca="1">IFERROR(IF(0=LEN(ReferenceData!$AM$169),"",ReferenceData!$AM$169),"")</f>
        <v/>
      </c>
      <c r="AN169" t="str">
        <f ca="1">IFERROR(IF(0=LEN(ReferenceData!$AN$169),"",ReferenceData!$AN$169),"")</f>
        <v/>
      </c>
      <c r="AO169" t="str">
        <f ca="1">IFERROR(IF(0=LEN(ReferenceData!$AO$169),"",ReferenceData!$AO$169),"")</f>
        <v/>
      </c>
      <c r="AP169" t="str">
        <f ca="1">IFERROR(IF(0=LEN(ReferenceData!$AP$169),"",ReferenceData!$AP$169),"")</f>
        <v/>
      </c>
      <c r="AQ169" t="str">
        <f ca="1">IFERROR(IF(0=LEN(ReferenceData!$AQ$169),"",ReferenceData!$AQ$169),"")</f>
        <v/>
      </c>
      <c r="AR169" t="str">
        <f ca="1">IFERROR(IF(0=LEN(ReferenceData!$AR$169),"",ReferenceData!$AR$169),"")</f>
        <v/>
      </c>
      <c r="AS169" t="str">
        <f ca="1">IFERROR(IF(0=LEN(ReferenceData!$AS$169),"",ReferenceData!$AS$169),"")</f>
        <v/>
      </c>
      <c r="AT169" t="str">
        <f ca="1">IFERROR(IF(0=LEN(ReferenceData!$AT$169),"",ReferenceData!$AT$169),"")</f>
        <v/>
      </c>
      <c r="AU169" t="str">
        <f ca="1">IFERROR(IF(0=LEN(ReferenceData!$AU$169),"",ReferenceData!$AU$169),"")</f>
        <v/>
      </c>
      <c r="AV169" t="str">
        <f ca="1">IFERROR(IF(0=LEN(ReferenceData!$AV$169),"",ReferenceData!$AV$169),"")</f>
        <v/>
      </c>
      <c r="AW169" t="str">
        <f ca="1">IFERROR(IF(0=LEN(ReferenceData!$AW$169),"",ReferenceData!$AW$169),"")</f>
        <v/>
      </c>
      <c r="AX169" t="str">
        <f ca="1">IFERROR(IF(0=LEN(ReferenceData!$AX$169),"",ReferenceData!$AX$169),"")</f>
        <v/>
      </c>
      <c r="AY169" t="str">
        <f ca="1">IFERROR(IF(0=LEN(ReferenceData!$AY$169),"",ReferenceData!$AY$169),"")</f>
        <v/>
      </c>
      <c r="AZ169" t="str">
        <f ca="1">IFERROR(IF(0=LEN(ReferenceData!$AZ$169),"",ReferenceData!$AZ$169),"")</f>
        <v/>
      </c>
      <c r="BA169" t="str">
        <f ca="1">IFERROR(IF(0=LEN(ReferenceData!$BA$169),"",ReferenceData!$BA$169),"")</f>
        <v/>
      </c>
      <c r="BB169" t="str">
        <f ca="1">IFERROR(IF(0=LEN(ReferenceData!$BB$169),"",ReferenceData!$BB$169),"")</f>
        <v/>
      </c>
      <c r="BC169" t="str">
        <f ca="1">IFERROR(IF(0=LEN(ReferenceData!$BC$169),"",ReferenceData!$BC$169),"")</f>
        <v/>
      </c>
      <c r="BD169" t="str">
        <f ca="1">IFERROR(IF(0=LEN(ReferenceData!$BD$169),"",ReferenceData!$BD$169),"")</f>
        <v/>
      </c>
      <c r="BE169" t="str">
        <f ca="1">IFERROR(IF(0=LEN(ReferenceData!$BE$169),"",ReferenceData!$BE$169),"")</f>
        <v/>
      </c>
      <c r="BF169" t="str">
        <f ca="1">IFERROR(IF(0=LEN(ReferenceData!$BF$169),"",ReferenceData!$BF$169),"")</f>
        <v/>
      </c>
      <c r="BG169" t="str">
        <f ca="1">IFERROR(IF(0=LEN(ReferenceData!$BG$169),"",ReferenceData!$BG$169),"")</f>
        <v/>
      </c>
      <c r="BH169" t="str">
        <f ca="1">IFERROR(IF(0=LEN(ReferenceData!$BH$169),"",ReferenceData!$BH$169),"")</f>
        <v/>
      </c>
      <c r="BI169" t="str">
        <f ca="1">IFERROR(IF(0=LEN(ReferenceData!$BI$169),"",ReferenceData!$BI$169),"")</f>
        <v/>
      </c>
      <c r="BJ169" t="str">
        <f ca="1">IFERROR(IF(0=LEN(ReferenceData!$BJ$169),"",ReferenceData!$BJ$169),"")</f>
        <v/>
      </c>
      <c r="BK169" t="str">
        <f ca="1">IFERROR(IF(0=LEN(ReferenceData!$BK$169),"",ReferenceData!$BK$169),"")</f>
        <v/>
      </c>
      <c r="BL169" t="str">
        <f ca="1">IFERROR(IF(0=LEN(ReferenceData!$BL$169),"",ReferenceData!$BL$169),"")</f>
        <v/>
      </c>
      <c r="BM169" t="str">
        <f ca="1">IFERROR(IF(0=LEN(ReferenceData!$BM$169),"",ReferenceData!$BM$169),"")</f>
        <v/>
      </c>
    </row>
    <row r="170" spans="1:65" x14ac:dyDescent="0.25">
      <c r="A170" t="str">
        <f>IFERROR(IF(0=LEN(ReferenceData!$A$170),"",ReferenceData!$A$170),"")</f>
        <v xml:space="preserve">    Avtovaz PJSC</v>
      </c>
      <c r="B170" t="str">
        <f>IFERROR(IF(0=LEN(ReferenceData!$B$170),"",ReferenceData!$B$170),"")</f>
        <v>AVAZ RM Equity</v>
      </c>
      <c r="C170" t="str">
        <f>IFERROR(IF(0=LEN(ReferenceData!$C$170),"",ReferenceData!$C$170),"")</f>
        <v>RX077</v>
      </c>
      <c r="D170" t="str">
        <f>IFERROR(IF(0=LEN(ReferenceData!$D$170),"",ReferenceData!$D$170),"")</f>
        <v>PX_TO_TANG_BOOK_VAL_PER_SH</v>
      </c>
      <c r="E170" t="str">
        <f>IFERROR(IF(0=LEN(ReferenceData!$E$170),"",ReferenceData!$E$170),"")</f>
        <v>Dynamic</v>
      </c>
      <c r="F170" t="str">
        <f ca="1">IFERROR(IF(0=LEN(ReferenceData!$F$170),"",ReferenceData!$F$170),"")</f>
        <v/>
      </c>
      <c r="G170" t="str">
        <f ca="1">IFERROR(IF(0=LEN(ReferenceData!$G$170),"",ReferenceData!$G$170),"")</f>
        <v/>
      </c>
      <c r="H170" t="str">
        <f ca="1">IFERROR(IF(0=LEN(ReferenceData!$H$170),"",ReferenceData!$H$170),"")</f>
        <v/>
      </c>
      <c r="I170" t="str">
        <f ca="1">IFERROR(IF(0=LEN(ReferenceData!$I$170),"",ReferenceData!$I$170),"")</f>
        <v/>
      </c>
      <c r="J170" t="str">
        <f ca="1">IFERROR(IF(0=LEN(ReferenceData!$J$170),"",ReferenceData!$J$170),"")</f>
        <v/>
      </c>
      <c r="K170" t="str">
        <f ca="1">IFERROR(IF(0=LEN(ReferenceData!$K$170),"",ReferenceData!$K$170),"")</f>
        <v/>
      </c>
      <c r="L170" t="str">
        <f ca="1">IFERROR(IF(0=LEN(ReferenceData!$L$170),"",ReferenceData!$L$170),"")</f>
        <v/>
      </c>
      <c r="M170" t="str">
        <f ca="1">IFERROR(IF(0=LEN(ReferenceData!$M$170),"",ReferenceData!$M$170),"")</f>
        <v/>
      </c>
      <c r="N170" t="str">
        <f ca="1">IFERROR(IF(0=LEN(ReferenceData!$N$170),"",ReferenceData!$N$170),"")</f>
        <v/>
      </c>
      <c r="O170" t="str">
        <f ca="1">IFERROR(IF(0=LEN(ReferenceData!$O$170),"",ReferenceData!$O$170),"")</f>
        <v/>
      </c>
      <c r="P170" t="str">
        <f ca="1">IFERROR(IF(0=LEN(ReferenceData!$P$170),"",ReferenceData!$P$170),"")</f>
        <v/>
      </c>
      <c r="Q170" t="str">
        <f ca="1">IFERROR(IF(0=LEN(ReferenceData!$Q$170),"",ReferenceData!$Q$170),"")</f>
        <v/>
      </c>
      <c r="R170" t="str">
        <f ca="1">IFERROR(IF(0=LEN(ReferenceData!$R$170),"",ReferenceData!$R$170),"")</f>
        <v/>
      </c>
      <c r="S170">
        <f ca="1">IFERROR(IF(0=LEN(ReferenceData!$S$170),"",ReferenceData!$S$170),"")</f>
        <v>5.2403448040000002</v>
      </c>
      <c r="T170">
        <f ca="1">IFERROR(IF(0=LEN(ReferenceData!$T$170),"",ReferenceData!$T$170),"")</f>
        <v>5.4457396749999996</v>
      </c>
      <c r="U170" t="str">
        <f ca="1">IFERROR(IF(0=LEN(ReferenceData!$U$170),"",ReferenceData!$U$170),"")</f>
        <v/>
      </c>
      <c r="V170" t="str">
        <f ca="1">IFERROR(IF(0=LEN(ReferenceData!$V$170),"",ReferenceData!$V$170),"")</f>
        <v/>
      </c>
      <c r="W170" t="str">
        <f ca="1">IFERROR(IF(0=LEN(ReferenceData!$W$170),"",ReferenceData!$W$170),"")</f>
        <v/>
      </c>
      <c r="X170" t="str">
        <f ca="1">IFERROR(IF(0=LEN(ReferenceData!$X$170),"",ReferenceData!$X$170),"")</f>
        <v/>
      </c>
      <c r="Y170" t="str">
        <f ca="1">IFERROR(IF(0=LEN(ReferenceData!$Y$170),"",ReferenceData!$Y$170),"")</f>
        <v/>
      </c>
      <c r="Z170" t="str">
        <f ca="1">IFERROR(IF(0=LEN(ReferenceData!$Z$170),"",ReferenceData!$Z$170),"")</f>
        <v/>
      </c>
      <c r="AA170" t="str">
        <f ca="1">IFERROR(IF(0=LEN(ReferenceData!$AA$170),"",ReferenceData!$AA$170),"")</f>
        <v/>
      </c>
      <c r="AB170" t="str">
        <f ca="1">IFERROR(IF(0=LEN(ReferenceData!$AB$170),"",ReferenceData!$AB$170),"")</f>
        <v/>
      </c>
      <c r="AC170" t="str">
        <f ca="1">IFERROR(IF(0=LEN(ReferenceData!$AC$170),"",ReferenceData!$AC$170),"")</f>
        <v/>
      </c>
      <c r="AD170" t="str">
        <f ca="1">IFERROR(IF(0=LEN(ReferenceData!$AD$170),"",ReferenceData!$AD$170),"")</f>
        <v/>
      </c>
      <c r="AE170" t="str">
        <f ca="1">IFERROR(IF(0=LEN(ReferenceData!$AE$170),"",ReferenceData!$AE$170),"")</f>
        <v/>
      </c>
      <c r="AF170" t="str">
        <f ca="1">IFERROR(IF(0=LEN(ReferenceData!$AF$170),"",ReferenceData!$AF$170),"")</f>
        <v/>
      </c>
      <c r="AG170" t="str">
        <f ca="1">IFERROR(IF(0=LEN(ReferenceData!$AG$170),"",ReferenceData!$AG$170),"")</f>
        <v/>
      </c>
      <c r="AH170" t="str">
        <f ca="1">IFERROR(IF(0=LEN(ReferenceData!$AH$170),"",ReferenceData!$AH$170),"")</f>
        <v/>
      </c>
      <c r="AI170" t="str">
        <f ca="1">IFERROR(IF(0=LEN(ReferenceData!$AI$170),"",ReferenceData!$AI$170),"")</f>
        <v/>
      </c>
      <c r="AJ170" t="str">
        <f ca="1">IFERROR(IF(0=LEN(ReferenceData!$AJ$170),"",ReferenceData!$AJ$170),"")</f>
        <v/>
      </c>
      <c r="AK170" t="str">
        <f ca="1">IFERROR(IF(0=LEN(ReferenceData!$AK$170),"",ReferenceData!$AK$170),"")</f>
        <v/>
      </c>
      <c r="AL170" t="str">
        <f ca="1">IFERROR(IF(0=LEN(ReferenceData!$AL$170),"",ReferenceData!$AL$170),"")</f>
        <v/>
      </c>
      <c r="AM170" t="str">
        <f ca="1">IFERROR(IF(0=LEN(ReferenceData!$AM$170),"",ReferenceData!$AM$170),"")</f>
        <v/>
      </c>
      <c r="AN170" t="str">
        <f ca="1">IFERROR(IF(0=LEN(ReferenceData!$AN$170),"",ReferenceData!$AN$170),"")</f>
        <v/>
      </c>
      <c r="AO170" t="str">
        <f ca="1">IFERROR(IF(0=LEN(ReferenceData!$AO$170),"",ReferenceData!$AO$170),"")</f>
        <v/>
      </c>
      <c r="AP170" t="str">
        <f ca="1">IFERROR(IF(0=LEN(ReferenceData!$AP$170),"",ReferenceData!$AP$170),"")</f>
        <v/>
      </c>
      <c r="AQ170" t="str">
        <f ca="1">IFERROR(IF(0=LEN(ReferenceData!$AQ$170),"",ReferenceData!$AQ$170),"")</f>
        <v/>
      </c>
      <c r="AR170" t="str">
        <f ca="1">IFERROR(IF(0=LEN(ReferenceData!$AR$170),"",ReferenceData!$AR$170),"")</f>
        <v/>
      </c>
      <c r="AS170" t="str">
        <f ca="1">IFERROR(IF(0=LEN(ReferenceData!$AS$170),"",ReferenceData!$AS$170),"")</f>
        <v/>
      </c>
      <c r="AT170" t="str">
        <f ca="1">IFERROR(IF(0=LEN(ReferenceData!$AT$170),"",ReferenceData!$AT$170),"")</f>
        <v/>
      </c>
      <c r="AU170" t="str">
        <f ca="1">IFERROR(IF(0=LEN(ReferenceData!$AU$170),"",ReferenceData!$AU$170),"")</f>
        <v/>
      </c>
      <c r="AV170" t="str">
        <f ca="1">IFERROR(IF(0=LEN(ReferenceData!$AV$170),"",ReferenceData!$AV$170),"")</f>
        <v/>
      </c>
      <c r="AW170" t="str">
        <f ca="1">IFERROR(IF(0=LEN(ReferenceData!$AW$170),"",ReferenceData!$AW$170),"")</f>
        <v/>
      </c>
      <c r="AX170" t="str">
        <f ca="1">IFERROR(IF(0=LEN(ReferenceData!$AX$170),"",ReferenceData!$AX$170),"")</f>
        <v/>
      </c>
      <c r="AY170" t="str">
        <f ca="1">IFERROR(IF(0=LEN(ReferenceData!$AY$170),"",ReferenceData!$AY$170),"")</f>
        <v/>
      </c>
      <c r="AZ170" t="str">
        <f ca="1">IFERROR(IF(0=LEN(ReferenceData!$AZ$170),"",ReferenceData!$AZ$170),"")</f>
        <v/>
      </c>
      <c r="BA170" t="str">
        <f ca="1">IFERROR(IF(0=LEN(ReferenceData!$BA$170),"",ReferenceData!$BA$170),"")</f>
        <v/>
      </c>
      <c r="BB170" t="str">
        <f ca="1">IFERROR(IF(0=LEN(ReferenceData!$BB$170),"",ReferenceData!$BB$170),"")</f>
        <v/>
      </c>
      <c r="BC170" t="str">
        <f ca="1">IFERROR(IF(0=LEN(ReferenceData!$BC$170),"",ReferenceData!$BC$170),"")</f>
        <v/>
      </c>
      <c r="BD170" t="str">
        <f ca="1">IFERROR(IF(0=LEN(ReferenceData!$BD$170),"",ReferenceData!$BD$170),"")</f>
        <v/>
      </c>
      <c r="BE170" t="str">
        <f ca="1">IFERROR(IF(0=LEN(ReferenceData!$BE$170),"",ReferenceData!$BE$170),"")</f>
        <v/>
      </c>
      <c r="BF170" t="str">
        <f ca="1">IFERROR(IF(0=LEN(ReferenceData!$BF$170),"",ReferenceData!$BF$170),"")</f>
        <v/>
      </c>
      <c r="BG170" t="str">
        <f ca="1">IFERROR(IF(0=LEN(ReferenceData!$BG$170),"",ReferenceData!$BG$170),"")</f>
        <v/>
      </c>
      <c r="BH170" t="str">
        <f ca="1">IFERROR(IF(0=LEN(ReferenceData!$BH$170),"",ReferenceData!$BH$170),"")</f>
        <v/>
      </c>
      <c r="BI170" t="str">
        <f ca="1">IFERROR(IF(0=LEN(ReferenceData!$BI$170),"",ReferenceData!$BI$170),"")</f>
        <v/>
      </c>
      <c r="BJ170" t="str">
        <f ca="1">IFERROR(IF(0=LEN(ReferenceData!$BJ$170),"",ReferenceData!$BJ$170),"")</f>
        <v/>
      </c>
      <c r="BK170" t="str">
        <f ca="1">IFERROR(IF(0=LEN(ReferenceData!$BK$170),"",ReferenceData!$BK$170),"")</f>
        <v/>
      </c>
      <c r="BL170" t="str">
        <f ca="1">IFERROR(IF(0=LEN(ReferenceData!$BL$170),"",ReferenceData!$BL$170),"")</f>
        <v/>
      </c>
      <c r="BM170" t="str">
        <f ca="1">IFERROR(IF(0=LEN(ReferenceData!$BM$170),"",ReferenceData!$BM$170),"")</f>
        <v/>
      </c>
    </row>
    <row r="171" spans="1:65" x14ac:dyDescent="0.25">
      <c r="A171" t="str">
        <f>IFERROR(IF(0=LEN(ReferenceData!$A$171),"",ReferenceData!$A$171),"")</f>
        <v xml:space="preserve">    Bayerische Motoren Werke AG</v>
      </c>
      <c r="B171" t="str">
        <f>IFERROR(IF(0=LEN(ReferenceData!$B$171),"",ReferenceData!$B$171),"")</f>
        <v>BMW GR Equity</v>
      </c>
      <c r="C171" t="str">
        <f>IFERROR(IF(0=LEN(ReferenceData!$C$171),"",ReferenceData!$C$171),"")</f>
        <v>RX077</v>
      </c>
      <c r="D171" t="str">
        <f>IFERROR(IF(0=LEN(ReferenceData!$D$171),"",ReferenceData!$D$171),"")</f>
        <v>PX_TO_TANG_BOOK_VAL_PER_SH</v>
      </c>
      <c r="E171" t="str">
        <f>IFERROR(IF(0=LEN(ReferenceData!$E$171),"",ReferenceData!$E$171),"")</f>
        <v>Dynamic</v>
      </c>
      <c r="F171">
        <f ca="1">IFERROR(IF(0=LEN(ReferenceData!$F$171),"",ReferenceData!$F$171),"")</f>
        <v>1.03481304</v>
      </c>
      <c r="G171">
        <f ca="1">IFERROR(IF(0=LEN(ReferenceData!$G$171),"",ReferenceData!$G$171),"")</f>
        <v>1.0013862849999999</v>
      </c>
      <c r="H171">
        <f ca="1">IFERROR(IF(0=LEN(ReferenceData!$H$171),"",ReferenceData!$H$171),"")</f>
        <v>1.0977006659999999</v>
      </c>
      <c r="I171">
        <f ca="1">IFERROR(IF(0=LEN(ReferenceData!$I$171),"",ReferenceData!$I$171),"")</f>
        <v>1.115234971</v>
      </c>
      <c r="J171">
        <f ca="1">IFERROR(IF(0=LEN(ReferenceData!$J$171),"",ReferenceData!$J$171),"")</f>
        <v>1.2551128330000001</v>
      </c>
      <c r="K171">
        <f ca="1">IFERROR(IF(0=LEN(ReferenceData!$K$171),"",ReferenceData!$K$171),"")</f>
        <v>1.278880579</v>
      </c>
      <c r="L171">
        <f ca="1">IFERROR(IF(0=LEN(ReferenceData!$L$171),"",ReferenceData!$L$171),"")</f>
        <v>1.2898656209999999</v>
      </c>
      <c r="M171">
        <f ca="1">IFERROR(IF(0=LEN(ReferenceData!$M$171),"",ReferenceData!$M$171),"")</f>
        <v>1.2835249129999999</v>
      </c>
      <c r="N171">
        <f ca="1">IFERROR(IF(0=LEN(ReferenceData!$N$171),"",ReferenceData!$N$171),"")</f>
        <v>1.3698206580000001</v>
      </c>
      <c r="O171">
        <f ca="1">IFERROR(IF(0=LEN(ReferenceData!$O$171),"",ReferenceData!$O$171),"")</f>
        <v>1.4972266949999999</v>
      </c>
      <c r="P171">
        <f ca="1">IFERROR(IF(0=LEN(ReferenceData!$P$171),"",ReferenceData!$P$171),"")</f>
        <v>1.3042222889999999</v>
      </c>
      <c r="Q171">
        <f ca="1">IFERROR(IF(0=LEN(ReferenceData!$Q$171),"",ReferenceData!$Q$171),"")</f>
        <v>1.1967952630000001</v>
      </c>
      <c r="R171">
        <f ca="1">IFERROR(IF(0=LEN(ReferenceData!$R$171),"",ReferenceData!$R$171),"")</f>
        <v>1.425263333</v>
      </c>
      <c r="S171">
        <f ca="1">IFERROR(IF(0=LEN(ReferenceData!$S$171),"",ReferenceData!$S$171),"")</f>
        <v>1.8238760199999999</v>
      </c>
      <c r="T171">
        <f ca="1">IFERROR(IF(0=LEN(ReferenceData!$T$171),"",ReferenceData!$T$171),"")</f>
        <v>1.52949924</v>
      </c>
      <c r="U171">
        <f ca="1">IFERROR(IF(0=LEN(ReferenceData!$U$171),"",ReferenceData!$U$171),"")</f>
        <v>2.0332183669999999</v>
      </c>
      <c r="V171">
        <f ca="1">IFERROR(IF(0=LEN(ReferenceData!$V$171),"",ReferenceData!$V$171),"")</f>
        <v>2.5817188820000001</v>
      </c>
      <c r="W171">
        <f ca="1">IFERROR(IF(0=LEN(ReferenceData!$W$171),"",ReferenceData!$W$171),"")</f>
        <v>1.8008168680000001</v>
      </c>
      <c r="X171">
        <f ca="1">IFERROR(IF(0=LEN(ReferenceData!$X$171),"",ReferenceData!$X$171),"")</f>
        <v>1.857203328</v>
      </c>
      <c r="Y171">
        <f ca="1">IFERROR(IF(0=LEN(ReferenceData!$Y$171),"",ReferenceData!$Y$171),"")</f>
        <v>2.0240437299999998</v>
      </c>
      <c r="Z171">
        <f ca="1">IFERROR(IF(0=LEN(ReferenceData!$Z$171),"",ReferenceData!$Z$171),"")</f>
        <v>1.9609631059999999</v>
      </c>
      <c r="AA171">
        <f ca="1">IFERROR(IF(0=LEN(ReferenceData!$AA$171),"",ReferenceData!$AA$171),"")</f>
        <v>1.9131135930000001</v>
      </c>
      <c r="AB171">
        <f ca="1">IFERROR(IF(0=LEN(ReferenceData!$AB$171),"",ReferenceData!$AB$171),"")</f>
        <v>1.867191016</v>
      </c>
      <c r="AC171">
        <f ca="1">IFERROR(IF(0=LEN(ReferenceData!$AC$171),"",ReferenceData!$AC$171),"")</f>
        <v>1.656299395</v>
      </c>
      <c r="AD171">
        <f ca="1">IFERROR(IF(0=LEN(ReferenceData!$AD$171),"",ReferenceData!$AD$171),"")</f>
        <v>1.7039859690000001</v>
      </c>
      <c r="AE171">
        <f ca="1">IFERROR(IF(0=LEN(ReferenceData!$AE$171),"",ReferenceData!$AE$171),"")</f>
        <v>1.8915589079999999</v>
      </c>
      <c r="AF171">
        <f ca="1">IFERROR(IF(0=LEN(ReferenceData!$AF$171),"",ReferenceData!$AF$171),"")</f>
        <v>1.582612213</v>
      </c>
      <c r="AG171">
        <f ca="1">IFERROR(IF(0=LEN(ReferenceData!$AG$171),"",ReferenceData!$AG$171),"")</f>
        <v>1.6678031099999999</v>
      </c>
      <c r="AH171">
        <f ca="1">IFERROR(IF(0=LEN(ReferenceData!$AH$171),"",ReferenceData!$AH$171),"")</f>
        <v>1.8925799720000001</v>
      </c>
      <c r="AI171">
        <f ca="1">IFERROR(IF(0=LEN(ReferenceData!$AI$171),"",ReferenceData!$AI$171),"")</f>
        <v>1.556519521</v>
      </c>
      <c r="AJ171">
        <f ca="1">IFERROR(IF(0=LEN(ReferenceData!$AJ$171),"",ReferenceData!$AJ$171),"")</f>
        <v>1.5594391000000001</v>
      </c>
      <c r="AK171">
        <f ca="1">IFERROR(IF(0=LEN(ReferenceData!$AK$171),"",ReferenceData!$AK$171),"")</f>
        <v>2.1362913059999999</v>
      </c>
      <c r="AL171">
        <f ca="1">IFERROR(IF(0=LEN(ReferenceData!$AL$171),"",ReferenceData!$AL$171),"")</f>
        <v>1.9422624530000001</v>
      </c>
      <c r="AM171">
        <f ca="1">IFERROR(IF(0=LEN(ReferenceData!$AM$171),"",ReferenceData!$AM$171),"")</f>
        <v>2.0429229100000001</v>
      </c>
      <c r="AN171">
        <f ca="1">IFERROR(IF(0=LEN(ReferenceData!$AN$171),"",ReferenceData!$AN$171),"")</f>
        <v>2.020959934</v>
      </c>
      <c r="AO171">
        <f ca="1">IFERROR(IF(0=LEN(ReferenceData!$AO$171),"",ReferenceData!$AO$171),"")</f>
        <v>1.7452253200000001</v>
      </c>
      <c r="AP171">
        <f ca="1">IFERROR(IF(0=LEN(ReferenceData!$AP$171),"",ReferenceData!$AP$171),"")</f>
        <v>1.5321223740000001</v>
      </c>
      <c r="AQ171">
        <f ca="1">IFERROR(IF(0=LEN(ReferenceData!$AQ$171),"",ReferenceData!$AQ$171),"")</f>
        <v>1.4334645559999999</v>
      </c>
      <c r="AR171">
        <f ca="1">IFERROR(IF(0=LEN(ReferenceData!$AR$171),"",ReferenceData!$AR$171),"")</f>
        <v>1.48130848</v>
      </c>
      <c r="AS171">
        <f ca="1">IFERROR(IF(0=LEN(ReferenceData!$AS$171),"",ReferenceData!$AS$171),"")</f>
        <v>1.1968486970000001</v>
      </c>
      <c r="AT171">
        <f ca="1">IFERROR(IF(0=LEN(ReferenceData!$AT$171),"",ReferenceData!$AT$171),"")</f>
        <v>0.99384088999999998</v>
      </c>
      <c r="AU171">
        <f ca="1">IFERROR(IF(0=LEN(ReferenceData!$AU$171),"",ReferenceData!$AU$171),"")</f>
        <v>0.96616712299999996</v>
      </c>
      <c r="AV171">
        <f ca="1">IFERROR(IF(0=LEN(ReferenceData!$AV$171),"",ReferenceData!$AV$171),"")</f>
        <v>1.078165069</v>
      </c>
      <c r="AW171">
        <f ca="1">IFERROR(IF(0=LEN(ReferenceData!$AW$171),"",ReferenceData!$AW$171),"")</f>
        <v>1.213614392</v>
      </c>
      <c r="AX171">
        <f ca="1">IFERROR(IF(0=LEN(ReferenceData!$AX$171),"",ReferenceData!$AX$171),"")</f>
        <v>1.34617411</v>
      </c>
      <c r="AY171">
        <f ca="1">IFERROR(IF(0=LEN(ReferenceData!$AY$171),"",ReferenceData!$AY$171),"")</f>
        <v>1.739840305</v>
      </c>
      <c r="AZ171">
        <f ca="1">IFERROR(IF(0=LEN(ReferenceData!$AZ$171),"",ReferenceData!$AZ$171),"")</f>
        <v>1.931357209</v>
      </c>
      <c r="BA171">
        <f ca="1">IFERROR(IF(0=LEN(ReferenceData!$BA$171),"",ReferenceData!$BA$171),"")</f>
        <v>2.1389271879999998</v>
      </c>
      <c r="BB171">
        <f ca="1">IFERROR(IF(0=LEN(ReferenceData!$BB$171),"",ReferenceData!$BB$171),"")</f>
        <v>2.0309457260000001</v>
      </c>
      <c r="BC171">
        <f ca="1">IFERROR(IF(0=LEN(ReferenceData!$BC$171),"",ReferenceData!$BC$171),"")</f>
        <v>2.0699800389999998</v>
      </c>
      <c r="BD171">
        <f ca="1">IFERROR(IF(0=LEN(ReferenceData!$BD$171),"",ReferenceData!$BD$171),"")</f>
        <v>2.0950967459999998</v>
      </c>
      <c r="BE171">
        <f ca="1">IFERROR(IF(0=LEN(ReferenceData!$BE$171),"",ReferenceData!$BE$171),"")</f>
        <v>1.94065942</v>
      </c>
      <c r="BF171">
        <f ca="1">IFERROR(IF(0=LEN(ReferenceData!$BF$171),"",ReferenceData!$BF$171),"")</f>
        <v>2.368810699</v>
      </c>
      <c r="BG171">
        <f ca="1">IFERROR(IF(0=LEN(ReferenceData!$BG$171),"",ReferenceData!$BG$171),"")</f>
        <v>2.0156454730000002</v>
      </c>
      <c r="BH171">
        <f ca="1">IFERROR(IF(0=LEN(ReferenceData!$BH$171),"",ReferenceData!$BH$171),"")</f>
        <v>1.867378955</v>
      </c>
      <c r="BI171">
        <f ca="1">IFERROR(IF(0=LEN(ReferenceData!$BI$171),"",ReferenceData!$BI$171),"")</f>
        <v>1.863985008</v>
      </c>
      <c r="BJ171">
        <f ca="1">IFERROR(IF(0=LEN(ReferenceData!$BJ$171),"",ReferenceData!$BJ$171),"")</f>
        <v>1.701979962</v>
      </c>
      <c r="BK171">
        <f ca="1">IFERROR(IF(0=LEN(ReferenceData!$BK$171),"",ReferenceData!$BK$171),"")</f>
        <v>1.7525735330000001</v>
      </c>
      <c r="BL171" t="str">
        <f ca="1">IFERROR(IF(0=LEN(ReferenceData!$BL$171),"",ReferenceData!$BL$171),"")</f>
        <v/>
      </c>
      <c r="BM171" t="str">
        <f ca="1">IFERROR(IF(0=LEN(ReferenceData!$BM$171),"",ReferenceData!$BM$171),"")</f>
        <v/>
      </c>
    </row>
    <row r="172" spans="1:65" x14ac:dyDescent="0.25">
      <c r="A172" t="str">
        <f>IFERROR(IF(0=LEN(ReferenceData!$A$172),"",ReferenceData!$A$172),"")</f>
        <v xml:space="preserve">    Brilliance China Automotive Holdings Ltd</v>
      </c>
      <c r="B172" t="str">
        <f>IFERROR(IF(0=LEN(ReferenceData!$B$172),"",ReferenceData!$B$172),"")</f>
        <v>1114 HK Equity</v>
      </c>
      <c r="C172" t="str">
        <f>IFERROR(IF(0=LEN(ReferenceData!$C$172),"",ReferenceData!$C$172),"")</f>
        <v>RX077</v>
      </c>
      <c r="D172" t="str">
        <f>IFERROR(IF(0=LEN(ReferenceData!$D$172),"",ReferenceData!$D$172),"")</f>
        <v>PX_TO_TANG_BOOK_VAL_PER_SH</v>
      </c>
      <c r="E172" t="str">
        <f>IFERROR(IF(0=LEN(ReferenceData!$E$172),"",ReferenceData!$E$172),"")</f>
        <v>Dynamic</v>
      </c>
      <c r="F172" t="str">
        <f ca="1">IFERROR(IF(0=LEN(ReferenceData!$F$172),"",ReferenceData!$F$172),"")</f>
        <v/>
      </c>
      <c r="G172" t="str">
        <f ca="1">IFERROR(IF(0=LEN(ReferenceData!$G$172),"",ReferenceData!$G$172),"")</f>
        <v/>
      </c>
      <c r="H172" t="str">
        <f ca="1">IFERROR(IF(0=LEN(ReferenceData!$H$172),"",ReferenceData!$H$172),"")</f>
        <v/>
      </c>
      <c r="I172" t="str">
        <f ca="1">IFERROR(IF(0=LEN(ReferenceData!$I$172),"",ReferenceData!$I$172),"")</f>
        <v/>
      </c>
      <c r="J172" t="str">
        <f ca="1">IFERROR(IF(0=LEN(ReferenceData!$J$172),"",ReferenceData!$J$172),"")</f>
        <v/>
      </c>
      <c r="K172" t="str">
        <f ca="1">IFERROR(IF(0=LEN(ReferenceData!$K$172),"",ReferenceData!$K$172),"")</f>
        <v/>
      </c>
      <c r="L172" t="str">
        <f ca="1">IFERROR(IF(0=LEN(ReferenceData!$L$172),"",ReferenceData!$L$172),"")</f>
        <v/>
      </c>
      <c r="M172" t="str">
        <f ca="1">IFERROR(IF(0=LEN(ReferenceData!$M$172),"",ReferenceData!$M$172),"")</f>
        <v/>
      </c>
      <c r="N172" t="str">
        <f ca="1">IFERROR(IF(0=LEN(ReferenceData!$N$172),"",ReferenceData!$N$172),"")</f>
        <v/>
      </c>
      <c r="O172" t="str">
        <f ca="1">IFERROR(IF(0=LEN(ReferenceData!$O$172),"",ReferenceData!$O$172),"")</f>
        <v/>
      </c>
      <c r="P172" t="str">
        <f ca="1">IFERROR(IF(0=LEN(ReferenceData!$P$172),"",ReferenceData!$P$172),"")</f>
        <v/>
      </c>
      <c r="Q172" t="str">
        <f ca="1">IFERROR(IF(0=LEN(ReferenceData!$Q$172),"",ReferenceData!$Q$172),"")</f>
        <v/>
      </c>
      <c r="R172" t="str">
        <f ca="1">IFERROR(IF(0=LEN(ReferenceData!$R$172),"",ReferenceData!$R$172),"")</f>
        <v/>
      </c>
      <c r="S172" t="str">
        <f ca="1">IFERROR(IF(0=LEN(ReferenceData!$S$172),"",ReferenceData!$S$172),"")</f>
        <v/>
      </c>
      <c r="T172" t="str">
        <f ca="1">IFERROR(IF(0=LEN(ReferenceData!$T$172),"",ReferenceData!$T$172),"")</f>
        <v/>
      </c>
      <c r="U172" t="str">
        <f ca="1">IFERROR(IF(0=LEN(ReferenceData!$U$172),"",ReferenceData!$U$172),"")</f>
        <v/>
      </c>
      <c r="V172" t="str">
        <f ca="1">IFERROR(IF(0=LEN(ReferenceData!$V$172),"",ReferenceData!$V$172),"")</f>
        <v/>
      </c>
      <c r="W172" t="str">
        <f ca="1">IFERROR(IF(0=LEN(ReferenceData!$W$172),"",ReferenceData!$W$172),"")</f>
        <v/>
      </c>
      <c r="X172" t="str">
        <f ca="1">IFERROR(IF(0=LEN(ReferenceData!$X$172),"",ReferenceData!$X$172),"")</f>
        <v/>
      </c>
      <c r="Y172" t="str">
        <f ca="1">IFERROR(IF(0=LEN(ReferenceData!$Y$172),"",ReferenceData!$Y$172),"")</f>
        <v/>
      </c>
      <c r="Z172" t="str">
        <f ca="1">IFERROR(IF(0=LEN(ReferenceData!$Z$172),"",ReferenceData!$Z$172),"")</f>
        <v/>
      </c>
      <c r="AA172" t="str">
        <f ca="1">IFERROR(IF(0=LEN(ReferenceData!$AA$172),"",ReferenceData!$AA$172),"")</f>
        <v/>
      </c>
      <c r="AB172" t="str">
        <f ca="1">IFERROR(IF(0=LEN(ReferenceData!$AB$172),"",ReferenceData!$AB$172),"")</f>
        <v/>
      </c>
      <c r="AC172" t="str">
        <f ca="1">IFERROR(IF(0=LEN(ReferenceData!$AC$172),"",ReferenceData!$AC$172),"")</f>
        <v/>
      </c>
      <c r="AD172" t="str">
        <f ca="1">IFERROR(IF(0=LEN(ReferenceData!$AD$172),"",ReferenceData!$AD$172),"")</f>
        <v/>
      </c>
      <c r="AE172" t="str">
        <f ca="1">IFERROR(IF(0=LEN(ReferenceData!$AE$172),"",ReferenceData!$AE$172),"")</f>
        <v/>
      </c>
      <c r="AF172" t="str">
        <f ca="1">IFERROR(IF(0=LEN(ReferenceData!$AF$172),"",ReferenceData!$AF$172),"")</f>
        <v/>
      </c>
      <c r="AG172" t="str">
        <f ca="1">IFERROR(IF(0=LEN(ReferenceData!$AG$172),"",ReferenceData!$AG$172),"")</f>
        <v/>
      </c>
      <c r="AH172" t="str">
        <f ca="1">IFERROR(IF(0=LEN(ReferenceData!$AH$172),"",ReferenceData!$AH$172),"")</f>
        <v/>
      </c>
      <c r="AI172" t="str">
        <f ca="1">IFERROR(IF(0=LEN(ReferenceData!$AI$172),"",ReferenceData!$AI$172),"")</f>
        <v/>
      </c>
      <c r="AJ172" t="str">
        <f ca="1">IFERROR(IF(0=LEN(ReferenceData!$AJ$172),"",ReferenceData!$AJ$172),"")</f>
        <v/>
      </c>
      <c r="AK172" t="str">
        <f ca="1">IFERROR(IF(0=LEN(ReferenceData!$AK$172),"",ReferenceData!$AK$172),"")</f>
        <v/>
      </c>
      <c r="AL172" t="str">
        <f ca="1">IFERROR(IF(0=LEN(ReferenceData!$AL$172),"",ReferenceData!$AL$172),"")</f>
        <v/>
      </c>
      <c r="AM172" t="str">
        <f ca="1">IFERROR(IF(0=LEN(ReferenceData!$AM$172),"",ReferenceData!$AM$172),"")</f>
        <v/>
      </c>
      <c r="AN172" t="str">
        <f ca="1">IFERROR(IF(0=LEN(ReferenceData!$AN$172),"",ReferenceData!$AN$172),"")</f>
        <v/>
      </c>
      <c r="AO172" t="str">
        <f ca="1">IFERROR(IF(0=LEN(ReferenceData!$AO$172),"",ReferenceData!$AO$172),"")</f>
        <v/>
      </c>
      <c r="AP172" t="str">
        <f ca="1">IFERROR(IF(0=LEN(ReferenceData!$AP$172),"",ReferenceData!$AP$172),"")</f>
        <v/>
      </c>
      <c r="AQ172" t="str">
        <f ca="1">IFERROR(IF(0=LEN(ReferenceData!$AQ$172),"",ReferenceData!$AQ$172),"")</f>
        <v/>
      </c>
      <c r="AR172" t="str">
        <f ca="1">IFERROR(IF(0=LEN(ReferenceData!$AR$172),"",ReferenceData!$AR$172),"")</f>
        <v/>
      </c>
      <c r="AS172" t="str">
        <f ca="1">IFERROR(IF(0=LEN(ReferenceData!$AS$172),"",ReferenceData!$AS$172),"")</f>
        <v/>
      </c>
      <c r="AT172" t="str">
        <f ca="1">IFERROR(IF(0=LEN(ReferenceData!$AT$172),"",ReferenceData!$AT$172),"")</f>
        <v/>
      </c>
      <c r="AU172" t="str">
        <f ca="1">IFERROR(IF(0=LEN(ReferenceData!$AU$172),"",ReferenceData!$AU$172),"")</f>
        <v/>
      </c>
      <c r="AV172" t="str">
        <f ca="1">IFERROR(IF(0=LEN(ReferenceData!$AV$172),"",ReferenceData!$AV$172),"")</f>
        <v/>
      </c>
      <c r="AW172" t="str">
        <f ca="1">IFERROR(IF(0=LEN(ReferenceData!$AW$172),"",ReferenceData!$AW$172),"")</f>
        <v/>
      </c>
      <c r="AX172" t="str">
        <f ca="1">IFERROR(IF(0=LEN(ReferenceData!$AX$172),"",ReferenceData!$AX$172),"")</f>
        <v/>
      </c>
      <c r="AY172" t="str">
        <f ca="1">IFERROR(IF(0=LEN(ReferenceData!$AY$172),"",ReferenceData!$AY$172),"")</f>
        <v/>
      </c>
      <c r="AZ172" t="str">
        <f ca="1">IFERROR(IF(0=LEN(ReferenceData!$AZ$172),"",ReferenceData!$AZ$172),"")</f>
        <v/>
      </c>
      <c r="BA172" t="str">
        <f ca="1">IFERROR(IF(0=LEN(ReferenceData!$BA$172),"",ReferenceData!$BA$172),"")</f>
        <v/>
      </c>
      <c r="BB172" t="str">
        <f ca="1">IFERROR(IF(0=LEN(ReferenceData!$BB$172),"",ReferenceData!$BB$172),"")</f>
        <v/>
      </c>
      <c r="BC172" t="str">
        <f ca="1">IFERROR(IF(0=LEN(ReferenceData!$BC$172),"",ReferenceData!$BC$172),"")</f>
        <v/>
      </c>
      <c r="BD172" t="str">
        <f ca="1">IFERROR(IF(0=LEN(ReferenceData!$BD$172),"",ReferenceData!$BD$172),"")</f>
        <v/>
      </c>
      <c r="BE172" t="str">
        <f ca="1">IFERROR(IF(0=LEN(ReferenceData!$BE$172),"",ReferenceData!$BE$172),"")</f>
        <v/>
      </c>
      <c r="BF172" t="str">
        <f ca="1">IFERROR(IF(0=LEN(ReferenceData!$BF$172),"",ReferenceData!$BF$172),"")</f>
        <v/>
      </c>
      <c r="BG172" t="str">
        <f ca="1">IFERROR(IF(0=LEN(ReferenceData!$BG$172),"",ReferenceData!$BG$172),"")</f>
        <v/>
      </c>
      <c r="BH172" t="str">
        <f ca="1">IFERROR(IF(0=LEN(ReferenceData!$BH$172),"",ReferenceData!$BH$172),"")</f>
        <v/>
      </c>
      <c r="BI172" t="str">
        <f ca="1">IFERROR(IF(0=LEN(ReferenceData!$BI$172),"",ReferenceData!$BI$172),"")</f>
        <v/>
      </c>
      <c r="BJ172" t="str">
        <f ca="1">IFERROR(IF(0=LEN(ReferenceData!$BJ$172),"",ReferenceData!$BJ$172),"")</f>
        <v/>
      </c>
      <c r="BK172" t="str">
        <f ca="1">IFERROR(IF(0=LEN(ReferenceData!$BK$172),"",ReferenceData!$BK$172),"")</f>
        <v/>
      </c>
      <c r="BL172" t="str">
        <f ca="1">IFERROR(IF(0=LEN(ReferenceData!$BL$172),"",ReferenceData!$BL$172),"")</f>
        <v/>
      </c>
      <c r="BM172" t="str">
        <f ca="1">IFERROR(IF(0=LEN(ReferenceData!$BM$172),"",ReferenceData!$BM$172),"")</f>
        <v/>
      </c>
    </row>
    <row r="173" spans="1:65" x14ac:dyDescent="0.25">
      <c r="A173" t="str">
        <f>IFERROR(IF(0=LEN(ReferenceData!$A$173),"",ReferenceData!$A$173),"")</f>
        <v xml:space="preserve">    BYD Co Ltd</v>
      </c>
      <c r="B173" t="str">
        <f>IFERROR(IF(0=LEN(ReferenceData!$B$173),"",ReferenceData!$B$173),"")</f>
        <v>1211 HK Equity</v>
      </c>
      <c r="C173" t="str">
        <f>IFERROR(IF(0=LEN(ReferenceData!$C$173),"",ReferenceData!$C$173),"")</f>
        <v>RX077</v>
      </c>
      <c r="D173" t="str">
        <f>IFERROR(IF(0=LEN(ReferenceData!$D$173),"",ReferenceData!$D$173),"")</f>
        <v>PX_TO_TANG_BOOK_VAL_PER_SH</v>
      </c>
      <c r="E173" t="str">
        <f>IFERROR(IF(0=LEN(ReferenceData!$E$173),"",ReferenceData!$E$173),"")</f>
        <v>Dynamic</v>
      </c>
      <c r="F173">
        <f ca="1">IFERROR(IF(0=LEN(ReferenceData!$F$173),"",ReferenceData!$F$173),"")</f>
        <v>3.3814095289999999</v>
      </c>
      <c r="G173">
        <f ca="1">IFERROR(IF(0=LEN(ReferenceData!$G$173),"",ReferenceData!$G$173),"")</f>
        <v>3.450683234</v>
      </c>
      <c r="H173">
        <f ca="1">IFERROR(IF(0=LEN(ReferenceData!$H$173),"",ReferenceData!$H$173),"")</f>
        <v>3.8804642540000001</v>
      </c>
      <c r="I173">
        <f ca="1">IFERROR(IF(0=LEN(ReferenceData!$I$173),"",ReferenceData!$I$173),"")</f>
        <v>2.666530061</v>
      </c>
      <c r="J173">
        <f ca="1">IFERROR(IF(0=LEN(ReferenceData!$J$173),"",ReferenceData!$J$173),"")</f>
        <v>3.6947450210000001</v>
      </c>
      <c r="K173">
        <f ca="1">IFERROR(IF(0=LEN(ReferenceData!$K$173),"",ReferenceData!$K$173),"")</f>
        <v>3.6132681469999999</v>
      </c>
      <c r="L173">
        <f ca="1">IFERROR(IF(0=LEN(ReferenceData!$L$173),"",ReferenceData!$L$173),"")</f>
        <v>4.5747465829999996</v>
      </c>
      <c r="M173">
        <f ca="1">IFERROR(IF(0=LEN(ReferenceData!$M$173),"",ReferenceData!$M$173),"")</f>
        <v>2.7531092909999999</v>
      </c>
      <c r="N173">
        <f ca="1">IFERROR(IF(0=LEN(ReferenceData!$N$173),"",ReferenceData!$N$173),"")</f>
        <v>2.939149091</v>
      </c>
      <c r="O173">
        <f ca="1">IFERROR(IF(0=LEN(ReferenceData!$O$173),"",ReferenceData!$O$173),"")</f>
        <v>2.4545863620000001</v>
      </c>
      <c r="P173">
        <f ca="1">IFERROR(IF(0=LEN(ReferenceData!$P$173),"",ReferenceData!$P$173),"")</f>
        <v>3.3955601629999999</v>
      </c>
      <c r="Q173">
        <f ca="1">IFERROR(IF(0=LEN(ReferenceData!$Q$173),"",ReferenceData!$Q$173),"")</f>
        <v>4.1298129619999999</v>
      </c>
      <c r="R173">
        <f ca="1">IFERROR(IF(0=LEN(ReferenceData!$R$173),"",ReferenceData!$R$173),"")</f>
        <v>5.3029730229999998</v>
      </c>
      <c r="S173">
        <f ca="1">IFERROR(IF(0=LEN(ReferenceData!$S$173),"",ReferenceData!$S$173),"")</f>
        <v>3.5182121159999999</v>
      </c>
      <c r="T173">
        <f ca="1">IFERROR(IF(0=LEN(ReferenceData!$T$173),"",ReferenceData!$T$173),"")</f>
        <v>5.4122189440000001</v>
      </c>
      <c r="U173">
        <f ca="1">IFERROR(IF(0=LEN(ReferenceData!$U$173),"",ReferenceData!$U$173),"")</f>
        <v>4.8622411430000003</v>
      </c>
      <c r="V173">
        <f ca="1">IFERROR(IF(0=LEN(ReferenceData!$V$173),"",ReferenceData!$V$173),"")</f>
        <v>5.4881457950000003</v>
      </c>
      <c r="W173">
        <f ca="1">IFERROR(IF(0=LEN(ReferenceData!$W$173),"",ReferenceData!$W$173),"")</f>
        <v>3.167464469</v>
      </c>
      <c r="X173">
        <f ca="1">IFERROR(IF(0=LEN(ReferenceData!$X$173),"",ReferenceData!$X$173),"")</f>
        <v>6.8599161149999999</v>
      </c>
      <c r="Y173">
        <f ca="1">IFERROR(IF(0=LEN(ReferenceData!$Y$173),"",ReferenceData!$Y$173),"")</f>
        <v>4.4872877539999996</v>
      </c>
      <c r="Z173">
        <f ca="1">IFERROR(IF(0=LEN(ReferenceData!$Z$173),"",ReferenceData!$Z$173),"")</f>
        <v>7.7370133340000002</v>
      </c>
      <c r="AA173">
        <f ca="1">IFERROR(IF(0=LEN(ReferenceData!$AA$173),"",ReferenceData!$AA$173),"")</f>
        <v>4.1775916430000004</v>
      </c>
      <c r="AB173">
        <f ca="1">IFERROR(IF(0=LEN(ReferenceData!$AB$173),"",ReferenceData!$AB$173),"")</f>
        <v>5.1327980069999999</v>
      </c>
      <c r="AC173">
        <f ca="1">IFERROR(IF(0=LEN(ReferenceData!$AC$173),"",ReferenceData!$AC$173),"")</f>
        <v>2.7481966729999998</v>
      </c>
      <c r="AD173">
        <f ca="1">IFERROR(IF(0=LEN(ReferenceData!$AD$173),"",ReferenceData!$AD$173),"")</f>
        <v>3.617419908</v>
      </c>
      <c r="AE173">
        <f ca="1">IFERROR(IF(0=LEN(ReferenceData!$AE$173),"",ReferenceData!$AE$173),"")</f>
        <v>2.511940445</v>
      </c>
      <c r="AF173">
        <f ca="1">IFERROR(IF(0=LEN(ReferenceData!$AF$173),"",ReferenceData!$AF$173),"")</f>
        <v>1.9485840430000001</v>
      </c>
      <c r="AG173">
        <f ca="1">IFERROR(IF(0=LEN(ReferenceData!$AG$173),"",ReferenceData!$AG$173),"")</f>
        <v>1.5697277359999999</v>
      </c>
      <c r="AH173">
        <f ca="1">IFERROR(IF(0=LEN(ReferenceData!$AH$173),"",ReferenceData!$AH$173),"")</f>
        <v>2.943657188</v>
      </c>
      <c r="AI173">
        <f ca="1">IFERROR(IF(0=LEN(ReferenceData!$AI$173),"",ReferenceData!$AI$173),"")</f>
        <v>1.724758118</v>
      </c>
      <c r="AJ173">
        <f ca="1">IFERROR(IF(0=LEN(ReferenceData!$AJ$173),"",ReferenceData!$AJ$173),"")</f>
        <v>1.8021347999999999</v>
      </c>
      <c r="AK173">
        <f ca="1">IFERROR(IF(0=LEN(ReferenceData!$AK$173),"",ReferenceData!$AK$173),"")</f>
        <v>2.7680208140000002</v>
      </c>
      <c r="AL173">
        <f ca="1">IFERROR(IF(0=LEN(ReferenceData!$AL$173),"",ReferenceData!$AL$173),"")</f>
        <v>3.3247872410000001</v>
      </c>
      <c r="AM173">
        <f ca="1">IFERROR(IF(0=LEN(ReferenceData!$AM$173),"",ReferenceData!$AM$173),"")</f>
        <v>4.5884827540000002</v>
      </c>
      <c r="AN173">
        <f ca="1">IFERROR(IF(0=LEN(ReferenceData!$AN$173),"",ReferenceData!$AN$173),"")</f>
        <v>7.0481203450000001</v>
      </c>
      <c r="AO173">
        <f ca="1">IFERROR(IF(0=LEN(ReferenceData!$AO$173),"",ReferenceData!$AO$173),"")</f>
        <v>6.6187360750000002</v>
      </c>
      <c r="AP173">
        <f ca="1">IFERROR(IF(0=LEN(ReferenceData!$AP$173),"",ReferenceData!$AP$173),"")</f>
        <v>8.7984800480000001</v>
      </c>
      <c r="AQ173">
        <f ca="1">IFERROR(IF(0=LEN(ReferenceData!$AQ$173),"",ReferenceData!$AQ$173),"")</f>
        <v>8.6498092480000004</v>
      </c>
      <c r="AR173">
        <f ca="1">IFERROR(IF(0=LEN(ReferenceData!$AR$173),"",ReferenceData!$AR$173),"")</f>
        <v>8.9696086590000004</v>
      </c>
      <c r="AS173" t="str">
        <f ca="1">IFERROR(IF(0=LEN(ReferenceData!$AS$173),"",ReferenceData!$AS$173),"")</f>
        <v/>
      </c>
      <c r="AT173" t="str">
        <f ca="1">IFERROR(IF(0=LEN(ReferenceData!$AT$173),"",ReferenceData!$AT$173),"")</f>
        <v/>
      </c>
      <c r="AU173" t="str">
        <f ca="1">IFERROR(IF(0=LEN(ReferenceData!$AU$173),"",ReferenceData!$AU$173),"")</f>
        <v/>
      </c>
      <c r="AV173" t="str">
        <f ca="1">IFERROR(IF(0=LEN(ReferenceData!$AV$173),"",ReferenceData!$AV$173),"")</f>
        <v/>
      </c>
      <c r="AW173" t="str">
        <f ca="1">IFERROR(IF(0=LEN(ReferenceData!$AW$173),"",ReferenceData!$AW$173),"")</f>
        <v/>
      </c>
      <c r="AX173" t="str">
        <f ca="1">IFERROR(IF(0=LEN(ReferenceData!$AX$173),"",ReferenceData!$AX$173),"")</f>
        <v/>
      </c>
      <c r="AY173" t="str">
        <f ca="1">IFERROR(IF(0=LEN(ReferenceData!$AY$173),"",ReferenceData!$AY$173),"")</f>
        <v/>
      </c>
      <c r="AZ173" t="str">
        <f ca="1">IFERROR(IF(0=LEN(ReferenceData!$AZ$173),"",ReferenceData!$AZ$173),"")</f>
        <v/>
      </c>
      <c r="BA173" t="str">
        <f ca="1">IFERROR(IF(0=LEN(ReferenceData!$BA$173),"",ReferenceData!$BA$173),"")</f>
        <v/>
      </c>
      <c r="BB173" t="str">
        <f ca="1">IFERROR(IF(0=LEN(ReferenceData!$BB$173),"",ReferenceData!$BB$173),"")</f>
        <v/>
      </c>
      <c r="BC173" t="str">
        <f ca="1">IFERROR(IF(0=LEN(ReferenceData!$BC$173),"",ReferenceData!$BC$173),"")</f>
        <v/>
      </c>
      <c r="BD173" t="str">
        <f ca="1">IFERROR(IF(0=LEN(ReferenceData!$BD$173),"",ReferenceData!$BD$173),"")</f>
        <v/>
      </c>
      <c r="BE173" t="str">
        <f ca="1">IFERROR(IF(0=LEN(ReferenceData!$BE$173),"",ReferenceData!$BE$173),"")</f>
        <v/>
      </c>
      <c r="BF173" t="str">
        <f ca="1">IFERROR(IF(0=LEN(ReferenceData!$BF$173),"",ReferenceData!$BF$173),"")</f>
        <v/>
      </c>
      <c r="BG173" t="str">
        <f ca="1">IFERROR(IF(0=LEN(ReferenceData!$BG$173),"",ReferenceData!$BG$173),"")</f>
        <v/>
      </c>
      <c r="BH173" t="str">
        <f ca="1">IFERROR(IF(0=LEN(ReferenceData!$BH$173),"",ReferenceData!$BH$173),"")</f>
        <v/>
      </c>
      <c r="BI173" t="str">
        <f ca="1">IFERROR(IF(0=LEN(ReferenceData!$BI$173),"",ReferenceData!$BI$173),"")</f>
        <v/>
      </c>
      <c r="BJ173" t="str">
        <f ca="1">IFERROR(IF(0=LEN(ReferenceData!$BJ$173),"",ReferenceData!$BJ$173),"")</f>
        <v/>
      </c>
      <c r="BK173" t="str">
        <f ca="1">IFERROR(IF(0=LEN(ReferenceData!$BK$173),"",ReferenceData!$BK$173),"")</f>
        <v/>
      </c>
      <c r="BL173" t="str">
        <f ca="1">IFERROR(IF(0=LEN(ReferenceData!$BL$173),"",ReferenceData!$BL$173),"")</f>
        <v/>
      </c>
      <c r="BM173" t="str">
        <f ca="1">IFERROR(IF(0=LEN(ReferenceData!$BM$173),"",ReferenceData!$BM$173),"")</f>
        <v/>
      </c>
    </row>
    <row r="174" spans="1:65" x14ac:dyDescent="0.25">
      <c r="A174" t="str">
        <f>IFERROR(IF(0=LEN(ReferenceData!$A$174),"",ReferenceData!$A$174),"")</f>
        <v xml:space="preserve">    Chongqing Changan Automobile Co Ltd</v>
      </c>
      <c r="B174" t="str">
        <f>IFERROR(IF(0=LEN(ReferenceData!$B$174),"",ReferenceData!$B$174),"")</f>
        <v>200625 CH Equity</v>
      </c>
      <c r="C174" t="str">
        <f>IFERROR(IF(0=LEN(ReferenceData!$C$174),"",ReferenceData!$C$174),"")</f>
        <v>RX077</v>
      </c>
      <c r="D174" t="str">
        <f>IFERROR(IF(0=LEN(ReferenceData!$D$174),"",ReferenceData!$D$174),"")</f>
        <v>PX_TO_TANG_BOOK_VAL_PER_SH</v>
      </c>
      <c r="E174" t="str">
        <f>IFERROR(IF(0=LEN(ReferenceData!$E$174),"",ReferenceData!$E$174),"")</f>
        <v>Dynamic</v>
      </c>
      <c r="F174">
        <f ca="1">IFERROR(IF(0=LEN(ReferenceData!$F$174),"",ReferenceData!$F$174),"")</f>
        <v>0.426204476</v>
      </c>
      <c r="G174">
        <f ca="1">IFERROR(IF(0=LEN(ReferenceData!$G$174),"",ReferenceData!$G$174),"")</f>
        <v>0.35273605800000002</v>
      </c>
      <c r="H174">
        <f ca="1">IFERROR(IF(0=LEN(ReferenceData!$H$174),"",ReferenceData!$H$174),"")</f>
        <v>0.63831177100000003</v>
      </c>
      <c r="I174">
        <f ca="1">IFERROR(IF(0=LEN(ReferenceData!$I$174),"",ReferenceData!$I$174),"")</f>
        <v>0.72267859099999998</v>
      </c>
      <c r="J174">
        <f ca="1">IFERROR(IF(0=LEN(ReferenceData!$J$174),"",ReferenceData!$J$174),"")</f>
        <v>0.71069731199999997</v>
      </c>
      <c r="K174">
        <f ca="1">IFERROR(IF(0=LEN(ReferenceData!$K$174),"",ReferenceData!$K$174),"")</f>
        <v>0.76773212599999996</v>
      </c>
      <c r="L174">
        <f ca="1">IFERROR(IF(0=LEN(ReferenceData!$L$174),"",ReferenceData!$L$174),"")</f>
        <v>1.0163070590000001</v>
      </c>
      <c r="M174">
        <f ca="1">IFERROR(IF(0=LEN(ReferenceData!$M$174),"",ReferenceData!$M$174),"")</f>
        <v>1.01050368</v>
      </c>
      <c r="N174">
        <f ca="1">IFERROR(IF(0=LEN(ReferenceData!$N$174),"",ReferenceData!$N$174),"")</f>
        <v>1.1119482270000001</v>
      </c>
      <c r="O174">
        <f ca="1">IFERROR(IF(0=LEN(ReferenceData!$O$174),"",ReferenceData!$O$174),"")</f>
        <v>1.1589536110000001</v>
      </c>
      <c r="P174">
        <f ca="1">IFERROR(IF(0=LEN(ReferenceData!$P$174),"",ReferenceData!$P$174),"")</f>
        <v>1.463034819</v>
      </c>
      <c r="Q174">
        <f ca="1">IFERROR(IF(0=LEN(ReferenceData!$Q$174),"",ReferenceData!$Q$174),"")</f>
        <v>1.2469858490000001</v>
      </c>
      <c r="R174">
        <f ca="1">IFERROR(IF(0=LEN(ReferenceData!$R$174),"",ReferenceData!$R$174),"")</f>
        <v>1.706324239</v>
      </c>
      <c r="S174">
        <f ca="1">IFERROR(IF(0=LEN(ReferenceData!$S$174),"",ReferenceData!$S$174),"")</f>
        <v>2.0607086020000001</v>
      </c>
      <c r="T174">
        <f ca="1">IFERROR(IF(0=LEN(ReferenceData!$T$174),"",ReferenceData!$T$174),"")</f>
        <v>1.836176311</v>
      </c>
      <c r="U174">
        <f ca="1">IFERROR(IF(0=LEN(ReferenceData!$U$174),"",ReferenceData!$U$174),"")</f>
        <v>2.668628655</v>
      </c>
      <c r="V174">
        <f ca="1">IFERROR(IF(0=LEN(ReferenceData!$V$174),"",ReferenceData!$V$174),"")</f>
        <v>3.3350094669999999</v>
      </c>
      <c r="W174">
        <f ca="1">IFERROR(IF(0=LEN(ReferenceData!$W$174),"",ReferenceData!$W$174),"")</f>
        <v>2.7441079930000001</v>
      </c>
      <c r="X174">
        <f ca="1">IFERROR(IF(0=LEN(ReferenceData!$X$174),"",ReferenceData!$X$174),"")</f>
        <v>3.0264369420000001</v>
      </c>
      <c r="Y174">
        <f ca="1">IFERROR(IF(0=LEN(ReferenceData!$Y$174),"",ReferenceData!$Y$174),"")</f>
        <v>2.8671793409999999</v>
      </c>
      <c r="Z174">
        <f ca="1">IFERROR(IF(0=LEN(ReferenceData!$Z$174),"",ReferenceData!$Z$174),"")</f>
        <v>2.686078679</v>
      </c>
      <c r="AA174">
        <f ca="1">IFERROR(IF(0=LEN(ReferenceData!$AA$174),"",ReferenceData!$AA$174),"")</f>
        <v>3.7221702460000001</v>
      </c>
      <c r="AB174">
        <f ca="1">IFERROR(IF(0=LEN(ReferenceData!$AB$174),"",ReferenceData!$AB$174),"")</f>
        <v>2.9082112379999998</v>
      </c>
      <c r="AC174">
        <f ca="1">IFERROR(IF(0=LEN(ReferenceData!$AC$174),"",ReferenceData!$AC$174),"")</f>
        <v>2.2184305119999999</v>
      </c>
      <c r="AD174">
        <f ca="1">IFERROR(IF(0=LEN(ReferenceData!$AD$174),"",ReferenceData!$AD$174),"")</f>
        <v>2.0943359940000001</v>
      </c>
      <c r="AE174">
        <f ca="1">IFERROR(IF(0=LEN(ReferenceData!$AE$174),"",ReferenceData!$AE$174),"")</f>
        <v>1.1482108339999999</v>
      </c>
      <c r="AF174">
        <f ca="1">IFERROR(IF(0=LEN(ReferenceData!$AF$174),"",ReferenceData!$AF$174),"")</f>
        <v>0.86867974299999995</v>
      </c>
      <c r="AG174">
        <f ca="1">IFERROR(IF(0=LEN(ReferenceData!$AG$174),"",ReferenceData!$AG$174),"")</f>
        <v>0.86017448399999996</v>
      </c>
      <c r="AH174">
        <f ca="1">IFERROR(IF(0=LEN(ReferenceData!$AH$174),"",ReferenceData!$AH$174),"")</f>
        <v>1.0026090969999999</v>
      </c>
      <c r="AI174">
        <f ca="1">IFERROR(IF(0=LEN(ReferenceData!$AI$174),"",ReferenceData!$AI$174),"")</f>
        <v>0.79644713</v>
      </c>
      <c r="AJ174">
        <f ca="1">IFERROR(IF(0=LEN(ReferenceData!$AJ$174),"",ReferenceData!$AJ$174),"")</f>
        <v>0.63821446400000004</v>
      </c>
      <c r="AK174">
        <f ca="1">IFERROR(IF(0=LEN(ReferenceData!$AK$174),"",ReferenceData!$AK$174),"")</f>
        <v>0.87222921399999997</v>
      </c>
      <c r="AL174">
        <f ca="1">IFERROR(IF(0=LEN(ReferenceData!$AL$174),"",ReferenceData!$AL$174),"")</f>
        <v>1.0306185139999999</v>
      </c>
      <c r="AM174">
        <f ca="1">IFERROR(IF(0=LEN(ReferenceData!$AM$174),"",ReferenceData!$AM$174),"")</f>
        <v>1.269075615</v>
      </c>
      <c r="AN174">
        <f ca="1">IFERROR(IF(0=LEN(ReferenceData!$AN$174),"",ReferenceData!$AN$174),"")</f>
        <v>1.514251003</v>
      </c>
      <c r="AO174">
        <f ca="1">IFERROR(IF(0=LEN(ReferenceData!$AO$174),"",ReferenceData!$AO$174),"")</f>
        <v>0.95989722</v>
      </c>
      <c r="AP174">
        <f ca="1">IFERROR(IF(0=LEN(ReferenceData!$AP$174),"",ReferenceData!$AP$174),"")</f>
        <v>1.5605555950000001</v>
      </c>
      <c r="AQ174">
        <f ca="1">IFERROR(IF(0=LEN(ReferenceData!$AQ$174),"",ReferenceData!$AQ$174),"")</f>
        <v>1.886245679</v>
      </c>
      <c r="AR174">
        <f ca="1">IFERROR(IF(0=LEN(ReferenceData!$AR$174),"",ReferenceData!$AR$174),"")</f>
        <v>1.1874067939999999</v>
      </c>
      <c r="AS174">
        <f ca="1">IFERROR(IF(0=LEN(ReferenceData!$AS$174),"",ReferenceData!$AS$174),"")</f>
        <v>0.96370409499999998</v>
      </c>
      <c r="AT174">
        <f ca="1">IFERROR(IF(0=LEN(ReferenceData!$AT$174),"",ReferenceData!$AT$174),"")</f>
        <v>0.84960433899999999</v>
      </c>
      <c r="AU174">
        <f ca="1">IFERROR(IF(0=LEN(ReferenceData!$AU$174),"",ReferenceData!$AU$174),"")</f>
        <v>0.443032655</v>
      </c>
      <c r="AV174">
        <f ca="1">IFERROR(IF(0=LEN(ReferenceData!$AV$174),"",ReferenceData!$AV$174),"")</f>
        <v>0.48879835700000002</v>
      </c>
      <c r="AW174">
        <f ca="1">IFERROR(IF(0=LEN(ReferenceData!$AW$174),"",ReferenceData!$AW$174),"")</f>
        <v>0.75285126499999999</v>
      </c>
      <c r="AX174">
        <f ca="1">IFERROR(IF(0=LEN(ReferenceData!$AX$174),"",ReferenceData!$AX$174),"")</f>
        <v>1.183862591</v>
      </c>
      <c r="AY174">
        <f ca="1">IFERROR(IF(0=LEN(ReferenceData!$AY$174),"",ReferenceData!$AY$174),"")</f>
        <v>2.0047617039999999</v>
      </c>
      <c r="AZ174">
        <f ca="1">IFERROR(IF(0=LEN(ReferenceData!$AZ$174),"",ReferenceData!$AZ$174),"")</f>
        <v>2.4935458779999999</v>
      </c>
      <c r="BA174">
        <f ca="1">IFERROR(IF(0=LEN(ReferenceData!$BA$174),"",ReferenceData!$BA$174),"")</f>
        <v>1.9280861709999999</v>
      </c>
      <c r="BB174">
        <f ca="1">IFERROR(IF(0=LEN(ReferenceData!$BB$174),"",ReferenceData!$BB$174),"")</f>
        <v>1.759316603</v>
      </c>
      <c r="BC174">
        <f ca="1">IFERROR(IF(0=LEN(ReferenceData!$BC$174),"",ReferenceData!$BC$174),"")</f>
        <v>1.54252608</v>
      </c>
      <c r="BD174">
        <f ca="1">IFERROR(IF(0=LEN(ReferenceData!$BD$174),"",ReferenceData!$BD$174),"")</f>
        <v>0.90759909599999999</v>
      </c>
      <c r="BE174">
        <f ca="1">IFERROR(IF(0=LEN(ReferenceData!$BE$174),"",ReferenceData!$BE$174),"")</f>
        <v>0.92841123999999997</v>
      </c>
      <c r="BF174">
        <f ca="1">IFERROR(IF(0=LEN(ReferenceData!$BF$174),"",ReferenceData!$BF$174),"")</f>
        <v>0.95071763099999995</v>
      </c>
      <c r="BG174">
        <f ca="1">IFERROR(IF(0=LEN(ReferenceData!$BG$174),"",ReferenceData!$BG$174),"")</f>
        <v>0.55276411700000005</v>
      </c>
      <c r="BH174" t="str">
        <f ca="1">IFERROR(IF(0=LEN(ReferenceData!$BH$174),"",ReferenceData!$BH$174),"")</f>
        <v/>
      </c>
      <c r="BI174" t="str">
        <f ca="1">IFERROR(IF(0=LEN(ReferenceData!$BI$174),"",ReferenceData!$BI$174),"")</f>
        <v/>
      </c>
      <c r="BJ174">
        <f ca="1">IFERROR(IF(0=LEN(ReferenceData!$BJ$174),"",ReferenceData!$BJ$174),"")</f>
        <v>0.94296446899999997</v>
      </c>
      <c r="BK174">
        <f ca="1">IFERROR(IF(0=LEN(ReferenceData!$BK$174),"",ReferenceData!$BK$174),"")</f>
        <v>0.88393062300000003</v>
      </c>
      <c r="BL174" t="str">
        <f ca="1">IFERROR(IF(0=LEN(ReferenceData!$BL$174),"",ReferenceData!$BL$174),"")</f>
        <v/>
      </c>
      <c r="BM174" t="str">
        <f ca="1">IFERROR(IF(0=LEN(ReferenceData!$BM$174),"",ReferenceData!$BM$174),"")</f>
        <v/>
      </c>
    </row>
    <row r="175" spans="1:65" x14ac:dyDescent="0.25">
      <c r="A175" t="str">
        <f>IFERROR(IF(0=LEN(ReferenceData!$A$175),"",ReferenceData!$A$175),"")</f>
        <v xml:space="preserve">    Daihatsu Motor Co Ltd</v>
      </c>
      <c r="B175" t="str">
        <f>IFERROR(IF(0=LEN(ReferenceData!$B$175),"",ReferenceData!$B$175),"")</f>
        <v>7262 JP Equity</v>
      </c>
      <c r="C175" t="str">
        <f>IFERROR(IF(0=LEN(ReferenceData!$C$175),"",ReferenceData!$C$175),"")</f>
        <v>RX077</v>
      </c>
      <c r="D175" t="str">
        <f>IFERROR(IF(0=LEN(ReferenceData!$D$175),"",ReferenceData!$D$175),"")</f>
        <v>PX_TO_TANG_BOOK_VAL_PER_SH</v>
      </c>
      <c r="E175" t="str">
        <f>IFERROR(IF(0=LEN(ReferenceData!$E$175),"",ReferenceData!$E$175),"")</f>
        <v>Dynamic</v>
      </c>
      <c r="F175" t="str">
        <f ca="1">IFERROR(IF(0=LEN(ReferenceData!$F$175),"",ReferenceData!$F$175),"")</f>
        <v/>
      </c>
      <c r="G175" t="str">
        <f ca="1">IFERROR(IF(0=LEN(ReferenceData!$G$175),"",ReferenceData!$G$175),"")</f>
        <v/>
      </c>
      <c r="H175" t="str">
        <f ca="1">IFERROR(IF(0=LEN(ReferenceData!$H$175),"",ReferenceData!$H$175),"")</f>
        <v/>
      </c>
      <c r="I175" t="str">
        <f ca="1">IFERROR(IF(0=LEN(ReferenceData!$I$175),"",ReferenceData!$I$175),"")</f>
        <v/>
      </c>
      <c r="J175" t="str">
        <f ca="1">IFERROR(IF(0=LEN(ReferenceData!$J$175),"",ReferenceData!$J$175),"")</f>
        <v/>
      </c>
      <c r="K175" t="str">
        <f ca="1">IFERROR(IF(0=LEN(ReferenceData!$K$175),"",ReferenceData!$K$175),"")</f>
        <v/>
      </c>
      <c r="L175" t="str">
        <f ca="1">IFERROR(IF(0=LEN(ReferenceData!$L$175),"",ReferenceData!$L$175),"")</f>
        <v/>
      </c>
      <c r="M175" t="str">
        <f ca="1">IFERROR(IF(0=LEN(ReferenceData!$M$175),"",ReferenceData!$M$175),"")</f>
        <v/>
      </c>
      <c r="N175" t="str">
        <f ca="1">IFERROR(IF(0=LEN(ReferenceData!$N$175),"",ReferenceData!$N$175),"")</f>
        <v/>
      </c>
      <c r="O175" t="str">
        <f ca="1">IFERROR(IF(0=LEN(ReferenceData!$O$175),"",ReferenceData!$O$175),"")</f>
        <v/>
      </c>
      <c r="P175">
        <f ca="1">IFERROR(IF(0=LEN(ReferenceData!$P$175),"",ReferenceData!$P$175),"")</f>
        <v>1.038897636</v>
      </c>
      <c r="Q175">
        <f ca="1">IFERROR(IF(0=LEN(ReferenceData!$Q$175),"",ReferenceData!$Q$175),"")</f>
        <v>0.92183874700000001</v>
      </c>
      <c r="R175">
        <f ca="1">IFERROR(IF(0=LEN(ReferenceData!$R$175),"",ReferenceData!$R$175),"")</f>
        <v>1.1050916500000001</v>
      </c>
      <c r="S175">
        <f ca="1">IFERROR(IF(0=LEN(ReferenceData!$S$175),"",ReferenceData!$S$175),"")</f>
        <v>1.164735697</v>
      </c>
      <c r="T175">
        <f ca="1">IFERROR(IF(0=LEN(ReferenceData!$T$175),"",ReferenceData!$T$175),"")</f>
        <v>0.98429870799999997</v>
      </c>
      <c r="U175">
        <f ca="1">IFERROR(IF(0=LEN(ReferenceData!$U$175),"",ReferenceData!$U$175),"")</f>
        <v>1.2252764730000001</v>
      </c>
      <c r="V175">
        <f ca="1">IFERROR(IF(0=LEN(ReferenceData!$V$175),"",ReferenceData!$V$175),"")</f>
        <v>1.2830492550000001</v>
      </c>
      <c r="W175">
        <f ca="1">IFERROR(IF(0=LEN(ReferenceData!$W$175),"",ReferenceData!$W$175),"")</f>
        <v>1.176977223</v>
      </c>
      <c r="X175">
        <f ca="1">IFERROR(IF(0=LEN(ReferenceData!$X$175),"",ReferenceData!$X$175),"")</f>
        <v>1.3150365129999999</v>
      </c>
      <c r="Y175">
        <f ca="1">IFERROR(IF(0=LEN(ReferenceData!$Y$175),"",ReferenceData!$Y$175),"")</f>
        <v>1.386607248</v>
      </c>
      <c r="Z175">
        <f ca="1">IFERROR(IF(0=LEN(ReferenceData!$Z$175),"",ReferenceData!$Z$175),"")</f>
        <v>1.4278536100000001</v>
      </c>
      <c r="AA175">
        <f ca="1">IFERROR(IF(0=LEN(ReferenceData!$AA$175),"",ReferenceData!$AA$175),"")</f>
        <v>1.4528146930000001</v>
      </c>
      <c r="AB175">
        <f ca="1">IFERROR(IF(0=LEN(ReferenceData!$AB$175),"",ReferenceData!$AB$175),"")</f>
        <v>1.5730160310000001</v>
      </c>
      <c r="AC175">
        <f ca="1">IFERROR(IF(0=LEN(ReferenceData!$AC$175),"",ReferenceData!$AC$175),"")</f>
        <v>1.5757750479999999</v>
      </c>
      <c r="AD175">
        <f ca="1">IFERROR(IF(0=LEN(ReferenceData!$AD$175),"",ReferenceData!$AD$175),"")</f>
        <v>1.6868471110000001</v>
      </c>
      <c r="AE175">
        <f ca="1">IFERROR(IF(0=LEN(ReferenceData!$AE$175),"",ReferenceData!$AE$175),"")</f>
        <v>1.5932348329999999</v>
      </c>
      <c r="AF175">
        <f ca="1">IFERROR(IF(0=LEN(ReferenceData!$AF$175),"",ReferenceData!$AF$175),"")</f>
        <v>1.2405105080000001</v>
      </c>
      <c r="AG175">
        <f ca="1">IFERROR(IF(0=LEN(ReferenceData!$AG$175),"",ReferenceData!$AG$175),"")</f>
        <v>1.383145853</v>
      </c>
      <c r="AH175">
        <f ca="1">IFERROR(IF(0=LEN(ReferenceData!$AH$175),"",ReferenceData!$AH$175),"")</f>
        <v>1.5266478489999999</v>
      </c>
      <c r="AI175">
        <f ca="1">IFERROR(IF(0=LEN(ReferenceData!$AI$175),"",ReferenceData!$AI$175),"")</f>
        <v>1.501255649</v>
      </c>
      <c r="AJ175">
        <f ca="1">IFERROR(IF(0=LEN(ReferenceData!$AJ$175),"",ReferenceData!$AJ$175),"")</f>
        <v>1.553754882</v>
      </c>
      <c r="AK175">
        <f ca="1">IFERROR(IF(0=LEN(ReferenceData!$AK$175),"",ReferenceData!$AK$175),"")</f>
        <v>1.545110322</v>
      </c>
      <c r="AL175">
        <f ca="1">IFERROR(IF(0=LEN(ReferenceData!$AL$175),"",ReferenceData!$AL$175),"")</f>
        <v>1.364607667</v>
      </c>
      <c r="AM175">
        <f ca="1">IFERROR(IF(0=LEN(ReferenceData!$AM$175),"",ReferenceData!$AM$175),"")</f>
        <v>1.455474017</v>
      </c>
      <c r="AN175">
        <f ca="1">IFERROR(IF(0=LEN(ReferenceData!$AN$175),"",ReferenceData!$AN$175),"")</f>
        <v>1.3294204570000001</v>
      </c>
      <c r="AO175">
        <f ca="1">IFERROR(IF(0=LEN(ReferenceData!$AO$175),"",ReferenceData!$AO$175),"")</f>
        <v>1.003962287</v>
      </c>
      <c r="AP175">
        <f ca="1">IFERROR(IF(0=LEN(ReferenceData!$AP$175),"",ReferenceData!$AP$175),"")</f>
        <v>1.129660629</v>
      </c>
      <c r="AQ175">
        <f ca="1">IFERROR(IF(0=LEN(ReferenceData!$AQ$175),"",ReferenceData!$AQ$175),"")</f>
        <v>1.199959582</v>
      </c>
      <c r="AR175">
        <f ca="1">IFERROR(IF(0=LEN(ReferenceData!$AR$175),"",ReferenceData!$AR$175),"")</f>
        <v>1.2128924139999999</v>
      </c>
      <c r="AS175">
        <f ca="1">IFERROR(IF(0=LEN(ReferenceData!$AS$175),"",ReferenceData!$AS$175),"")</f>
        <v>1.182026134</v>
      </c>
      <c r="AT175">
        <f ca="1">IFERROR(IF(0=LEN(ReferenceData!$AT$175),"",ReferenceData!$AT$175),"")</f>
        <v>1.040608185</v>
      </c>
      <c r="AU175">
        <f ca="1">IFERROR(IF(0=LEN(ReferenceData!$AU$175),"",ReferenceData!$AU$175),"")</f>
        <v>1.0575727530000001</v>
      </c>
      <c r="AV175">
        <f ca="1">IFERROR(IF(0=LEN(ReferenceData!$AV$175),"",ReferenceData!$AV$175),"")</f>
        <v>1.4619774999999999</v>
      </c>
      <c r="AW175">
        <f ca="1">IFERROR(IF(0=LEN(ReferenceData!$AW$175),"",ReferenceData!$AW$175),"")</f>
        <v>1.560568972</v>
      </c>
      <c r="AX175">
        <f ca="1">IFERROR(IF(0=LEN(ReferenceData!$AX$175),"",ReferenceData!$AX$175),"")</f>
        <v>1.5617733170000001</v>
      </c>
      <c r="AY175">
        <f ca="1">IFERROR(IF(0=LEN(ReferenceData!$AY$175),"",ReferenceData!$AY$175),"")</f>
        <v>1.3906375120000001</v>
      </c>
      <c r="AZ175">
        <f ca="1">IFERROR(IF(0=LEN(ReferenceData!$AZ$175),"",ReferenceData!$AZ$175),"")</f>
        <v>1.5895860319999999</v>
      </c>
      <c r="BA175">
        <f ca="1">IFERROR(IF(0=LEN(ReferenceData!$BA$175),"",ReferenceData!$BA$175),"")</f>
        <v>1.4761936470000001</v>
      </c>
      <c r="BB175">
        <f ca="1">IFERROR(IF(0=LEN(ReferenceData!$BB$175),"",ReferenceData!$BB$175),"")</f>
        <v>1.5020475870000001</v>
      </c>
      <c r="BC175">
        <f ca="1">IFERROR(IF(0=LEN(ReferenceData!$BC$175),"",ReferenceData!$BC$175),"")</f>
        <v>1.6822572549999999</v>
      </c>
      <c r="BD175">
        <f ca="1">IFERROR(IF(0=LEN(ReferenceData!$BD$175),"",ReferenceData!$BD$175),"")</f>
        <v>1.5291083919999999</v>
      </c>
      <c r="BE175">
        <f ca="1">IFERROR(IF(0=LEN(ReferenceData!$BE$175),"",ReferenceData!$BE$175),"")</f>
        <v>1.4586509139999999</v>
      </c>
      <c r="BF175">
        <f ca="1">IFERROR(IF(0=LEN(ReferenceData!$BF$175),"",ReferenceData!$BF$175),"")</f>
        <v>1.709931935</v>
      </c>
      <c r="BG175">
        <f ca="1">IFERROR(IF(0=LEN(ReferenceData!$BG$175),"",ReferenceData!$BG$175),"")</f>
        <v>1.9790526900000001</v>
      </c>
      <c r="BH175">
        <f ca="1">IFERROR(IF(0=LEN(ReferenceData!$BH$175),"",ReferenceData!$BH$175),"")</f>
        <v>1.8923138580000001</v>
      </c>
      <c r="BI175">
        <f ca="1">IFERROR(IF(0=LEN(ReferenceData!$BI$175),"",ReferenceData!$BI$175),"")</f>
        <v>1.7032601009999999</v>
      </c>
      <c r="BJ175">
        <f ca="1">IFERROR(IF(0=LEN(ReferenceData!$BJ$175),"",ReferenceData!$BJ$175),"")</f>
        <v>1.4821038150000001</v>
      </c>
      <c r="BK175">
        <f ca="1">IFERROR(IF(0=LEN(ReferenceData!$BK$175),"",ReferenceData!$BK$175),"")</f>
        <v>1.5729973209999999</v>
      </c>
      <c r="BL175">
        <f ca="1">IFERROR(IF(0=LEN(ReferenceData!$BL$175),"",ReferenceData!$BL$175),"")</f>
        <v>1.6981439869999999</v>
      </c>
      <c r="BM175" t="str">
        <f ca="1">IFERROR(IF(0=LEN(ReferenceData!$BM$175),"",ReferenceData!$BM$175),"")</f>
        <v/>
      </c>
    </row>
    <row r="176" spans="1:65" x14ac:dyDescent="0.25">
      <c r="A176" t="str">
        <f>IFERROR(IF(0=LEN(ReferenceData!$A$176),"",ReferenceData!$A$176),"")</f>
        <v xml:space="preserve">    Daimler AG</v>
      </c>
      <c r="B176" t="str">
        <f>IFERROR(IF(0=LEN(ReferenceData!$B$176),"",ReferenceData!$B$176),"")</f>
        <v>DAI GR Equity</v>
      </c>
      <c r="C176" t="str">
        <f>IFERROR(IF(0=LEN(ReferenceData!$C$176),"",ReferenceData!$C$176),"")</f>
        <v>RX077</v>
      </c>
      <c r="D176" t="str">
        <f>IFERROR(IF(0=LEN(ReferenceData!$D$176),"",ReferenceData!$D$176),"")</f>
        <v>PX_TO_TANG_BOOK_VAL_PER_SH</v>
      </c>
      <c r="E176" t="str">
        <f>IFERROR(IF(0=LEN(ReferenceData!$E$176),"",ReferenceData!$E$176),"")</f>
        <v>Dynamic</v>
      </c>
      <c r="F176">
        <f ca="1">IFERROR(IF(0=LEN(ReferenceData!$F$176),"",ReferenceData!$F$176),"")</f>
        <v>1.1207255439999999</v>
      </c>
      <c r="G176">
        <f ca="1">IFERROR(IF(0=LEN(ReferenceData!$G$176),"",ReferenceData!$G$176),"")</f>
        <v>0.98511410600000004</v>
      </c>
      <c r="H176">
        <f ca="1">IFERROR(IF(0=LEN(ReferenceData!$H$176),"",ReferenceData!$H$176),"")</f>
        <v>1.1710624599999999</v>
      </c>
      <c r="I176">
        <f ca="1">IFERROR(IF(0=LEN(ReferenceData!$I$176),"",ReferenceData!$I$176),"")</f>
        <v>1.2110984849999999</v>
      </c>
      <c r="J176">
        <f ca="1">IFERROR(IF(0=LEN(ReferenceData!$J$176),"",ReferenceData!$J$176),"")</f>
        <v>1.4340371300000001</v>
      </c>
      <c r="K176">
        <f ca="1">IFERROR(IF(0=LEN(ReferenceData!$K$176),"",ReferenceData!$K$176),"")</f>
        <v>1.5110703320000001</v>
      </c>
      <c r="L176">
        <f ca="1">IFERROR(IF(0=LEN(ReferenceData!$L$176),"",ReferenceData!$L$176),"")</f>
        <v>1.4922906680000001</v>
      </c>
      <c r="M176">
        <f ca="1">IFERROR(IF(0=LEN(ReferenceData!$M$176),"",ReferenceData!$M$176),"")</f>
        <v>1.4563370920000001</v>
      </c>
      <c r="N176">
        <f ca="1">IFERROR(IF(0=LEN(ReferenceData!$N$176),"",ReferenceData!$N$176),"")</f>
        <v>1.6465611170000001</v>
      </c>
      <c r="O176">
        <f ca="1">IFERROR(IF(0=LEN(ReferenceData!$O$176),"",ReferenceData!$O$176),"")</f>
        <v>1.650318416</v>
      </c>
      <c r="P176">
        <f ca="1">IFERROR(IF(0=LEN(ReferenceData!$P$176),"",ReferenceData!$P$176),"")</f>
        <v>1.5704635929999999</v>
      </c>
      <c r="Q176">
        <f ca="1">IFERROR(IF(0=LEN(ReferenceData!$Q$176),"",ReferenceData!$Q$176),"")</f>
        <v>1.4191900310000001</v>
      </c>
      <c r="R176">
        <f ca="1">IFERROR(IF(0=LEN(ReferenceData!$R$176),"",ReferenceData!$R$176),"")</f>
        <v>1.6627861230000001</v>
      </c>
      <c r="S176">
        <f ca="1">IFERROR(IF(0=LEN(ReferenceData!$S$176),"",ReferenceData!$S$176),"")</f>
        <v>1.90864067</v>
      </c>
      <c r="T176">
        <f ca="1">IFERROR(IF(0=LEN(ReferenceData!$T$176),"",ReferenceData!$T$176),"")</f>
        <v>1.736198197</v>
      </c>
      <c r="U176">
        <f ca="1">IFERROR(IF(0=LEN(ReferenceData!$U$176),"",ReferenceData!$U$176),"")</f>
        <v>2.2622122340000002</v>
      </c>
      <c r="V176">
        <f ca="1">IFERROR(IF(0=LEN(ReferenceData!$V$176),"",ReferenceData!$V$176),"")</f>
        <v>2.668200417</v>
      </c>
      <c r="W176">
        <f ca="1">IFERROR(IF(0=LEN(ReferenceData!$W$176),"",ReferenceData!$W$176),"")</f>
        <v>2.1516677359999998</v>
      </c>
      <c r="X176">
        <f ca="1">IFERROR(IF(0=LEN(ReferenceData!$X$176),"",ReferenceData!$X$176),"")</f>
        <v>1.8487805829999999</v>
      </c>
      <c r="Y176">
        <f ca="1">IFERROR(IF(0=LEN(ReferenceData!$Y$176),"",ReferenceData!$Y$176),"")</f>
        <v>2.2307635210000001</v>
      </c>
      <c r="Z176">
        <f ca="1">IFERROR(IF(0=LEN(ReferenceData!$Z$176),"",ReferenceData!$Z$176),"")</f>
        <v>2.2041121619999999</v>
      </c>
      <c r="AA176">
        <f ca="1">IFERROR(IF(0=LEN(ReferenceData!$AA$176),"",ReferenceData!$AA$176),"")</f>
        <v>2.0215967799999999</v>
      </c>
      <c r="AB176">
        <f ca="1">IFERROR(IF(0=LEN(ReferenceData!$AB$176),"",ReferenceData!$AB$176),"")</f>
        <v>1.935728707</v>
      </c>
      <c r="AC176">
        <f ca="1">IFERROR(IF(0=LEN(ReferenceData!$AC$176),"",ReferenceData!$AC$176),"")</f>
        <v>1.6402103109999999</v>
      </c>
      <c r="AD176">
        <f ca="1">IFERROR(IF(0=LEN(ReferenceData!$AD$176),"",ReferenceData!$AD$176),"")</f>
        <v>1.529870831</v>
      </c>
      <c r="AE176">
        <f ca="1">IFERROR(IF(0=LEN(ReferenceData!$AE$176),"",ReferenceData!$AE$176),"")</f>
        <v>1.5200975880000001</v>
      </c>
      <c r="AF176">
        <f ca="1">IFERROR(IF(0=LEN(ReferenceData!$AF$176),"",ReferenceData!$AF$176),"")</f>
        <v>1.2438903539999999</v>
      </c>
      <c r="AG176">
        <f ca="1">IFERROR(IF(0=LEN(ReferenceData!$AG$176),"",ReferenceData!$AG$176),"")</f>
        <v>1.1902195229999999</v>
      </c>
      <c r="AH176">
        <f ca="1">IFERROR(IF(0=LEN(ReferenceData!$AH$176),"",ReferenceData!$AH$176),"")</f>
        <v>1.4661911240000001</v>
      </c>
      <c r="AI176">
        <f ca="1">IFERROR(IF(0=LEN(ReferenceData!$AI$176),"",ReferenceData!$AI$176),"")</f>
        <v>1.153161039</v>
      </c>
      <c r="AJ176">
        <f ca="1">IFERROR(IF(0=LEN(ReferenceData!$AJ$176),"",ReferenceData!$AJ$176),"")</f>
        <v>1.1882054070000001</v>
      </c>
      <c r="AK176">
        <f ca="1">IFERROR(IF(0=LEN(ReferenceData!$AK$176),"",ReferenceData!$AK$176),"")</f>
        <v>1.882663572</v>
      </c>
      <c r="AL176">
        <f ca="1">IFERROR(IF(0=LEN(ReferenceData!$AL$176),"",ReferenceData!$AL$176),"")</f>
        <v>1.808232659</v>
      </c>
      <c r="AM176">
        <f ca="1">IFERROR(IF(0=LEN(ReferenceData!$AM$176),"",ReferenceData!$AM$176),"")</f>
        <v>1.872172296</v>
      </c>
      <c r="AN176">
        <f ca="1">IFERROR(IF(0=LEN(ReferenceData!$AN$176),"",ReferenceData!$AN$176),"")</f>
        <v>1.8229566450000001</v>
      </c>
      <c r="AO176">
        <f ca="1">IFERROR(IF(0=LEN(ReferenceData!$AO$176),"",ReferenceData!$AO$176),"")</f>
        <v>1.7127561689999999</v>
      </c>
      <c r="AP176">
        <f ca="1">IFERROR(IF(0=LEN(ReferenceData!$AP$176),"",ReferenceData!$AP$176),"")</f>
        <v>1.4940844289999999</v>
      </c>
      <c r="AQ176">
        <f ca="1">IFERROR(IF(0=LEN(ReferenceData!$AQ$176),"",ReferenceData!$AQ$176),"")</f>
        <v>1.6218837420000001</v>
      </c>
      <c r="AR176">
        <f ca="1">IFERROR(IF(0=LEN(ReferenceData!$AR$176),"",ReferenceData!$AR$176),"")</f>
        <v>1.4806774439999999</v>
      </c>
      <c r="AS176">
        <f ca="1">IFERROR(IF(0=LEN(ReferenceData!$AS$176),"",ReferenceData!$AS$176),"")</f>
        <v>1.109001685</v>
      </c>
      <c r="AT176">
        <f ca="1">IFERROR(IF(0=LEN(ReferenceData!$AT$176),"",ReferenceData!$AT$176),"")</f>
        <v>0.77630900899999999</v>
      </c>
      <c r="AU176">
        <f ca="1">IFERROR(IF(0=LEN(ReferenceData!$AU$176),"",ReferenceData!$AU$176),"")</f>
        <v>0.98352793999999999</v>
      </c>
      <c r="AV176">
        <f ca="1">IFERROR(IF(0=LEN(ReferenceData!$AV$176),"",ReferenceData!$AV$176),"")</f>
        <v>1.2795294580000001</v>
      </c>
      <c r="AW176">
        <f ca="1">IFERROR(IF(0=LEN(ReferenceData!$AW$176),"",ReferenceData!$AW$176),"")</f>
        <v>1.320491385</v>
      </c>
      <c r="AX176">
        <f ca="1">IFERROR(IF(0=LEN(ReferenceData!$AX$176),"",ReferenceData!$AX$176),"")</f>
        <v>1.845212174</v>
      </c>
      <c r="AY176">
        <f ca="1">IFERROR(IF(0=LEN(ReferenceData!$AY$176),"",ReferenceData!$AY$176),"")</f>
        <v>2.1305711380000001</v>
      </c>
      <c r="AZ176">
        <f ca="1">IFERROR(IF(0=LEN(ReferenceData!$AZ$176),"",ReferenceData!$AZ$176),"")</f>
        <v>2.3222416809999999</v>
      </c>
      <c r="BA176">
        <f ca="1">IFERROR(IF(0=LEN(ReferenceData!$BA$176),"",ReferenceData!$BA$176),"")</f>
        <v>2.0663457539999999</v>
      </c>
      <c r="BB176">
        <f ca="1">IFERROR(IF(0=LEN(ReferenceData!$BB$176),"",ReferenceData!$BB$176),"")</f>
        <v>2.0442242390000001</v>
      </c>
      <c r="BC176">
        <f ca="1">IFERROR(IF(0=LEN(ReferenceData!$BC$176),"",ReferenceData!$BC$176),"")</f>
        <v>1.6483913889999999</v>
      </c>
      <c r="BD176">
        <f ca="1">IFERROR(IF(0=LEN(ReferenceData!$BD$176),"",ReferenceData!$BD$176),"")</f>
        <v>1.260338269</v>
      </c>
      <c r="BE176">
        <f ca="1">IFERROR(IF(0=LEN(ReferenceData!$BE$176),"",ReferenceData!$BE$176),"")</f>
        <v>1.249045881</v>
      </c>
      <c r="BF176">
        <f ca="1">IFERROR(IF(0=LEN(ReferenceData!$BF$176),"",ReferenceData!$BF$176),"")</f>
        <v>1.5317362670000001</v>
      </c>
      <c r="BG176">
        <f ca="1">IFERROR(IF(0=LEN(ReferenceData!$BG$176),"",ReferenceData!$BG$176),"")</f>
        <v>1.399877939</v>
      </c>
      <c r="BH176">
        <f ca="1">IFERROR(IF(0=LEN(ReferenceData!$BH$176),"",ReferenceData!$BH$176),"")</f>
        <v>1.491835507</v>
      </c>
      <c r="BI176">
        <f ca="1">IFERROR(IF(0=LEN(ReferenceData!$BI$176),"",ReferenceData!$BI$176),"")</f>
        <v>1.173328036</v>
      </c>
      <c r="BJ176">
        <f ca="1">IFERROR(IF(0=LEN(ReferenceData!$BJ$176),"",ReferenceData!$BJ$176),"")</f>
        <v>1.1797811730000001</v>
      </c>
      <c r="BK176">
        <f ca="1">IFERROR(IF(0=LEN(ReferenceData!$BK$176),"",ReferenceData!$BK$176),"")</f>
        <v>1.237128242</v>
      </c>
      <c r="BL176">
        <f ca="1">IFERROR(IF(0=LEN(ReferenceData!$BL$176),"",ReferenceData!$BL$176),"")</f>
        <v>1.142988031</v>
      </c>
      <c r="BM176">
        <f ca="1">IFERROR(IF(0=LEN(ReferenceData!$BM$176),"",ReferenceData!$BM$176),"")</f>
        <v>1.3356492550000001</v>
      </c>
    </row>
    <row r="177" spans="1:65" x14ac:dyDescent="0.25">
      <c r="A177" t="str">
        <f>IFERROR(IF(0=LEN(ReferenceData!$A$177),"",ReferenceData!$A$177),"")</f>
        <v xml:space="preserve">    Dongfeng Motor Group Co Ltd</v>
      </c>
      <c r="B177" t="str">
        <f>IFERROR(IF(0=LEN(ReferenceData!$B$177),"",ReferenceData!$B$177),"")</f>
        <v>489 HK Equity</v>
      </c>
      <c r="C177" t="str">
        <f>IFERROR(IF(0=LEN(ReferenceData!$C$177),"",ReferenceData!$C$177),"")</f>
        <v>RX077</v>
      </c>
      <c r="D177" t="str">
        <f>IFERROR(IF(0=LEN(ReferenceData!$D$177),"",ReferenceData!$D$177),"")</f>
        <v>PX_TO_TANG_BOOK_VAL_PER_SH</v>
      </c>
      <c r="E177" t="str">
        <f>IFERROR(IF(0=LEN(ReferenceData!$E$177),"",ReferenceData!$E$177),"")</f>
        <v>Dynamic</v>
      </c>
      <c r="F177" t="str">
        <f ca="1">IFERROR(IF(0=LEN(ReferenceData!$F$177),"",ReferenceData!$F$177),"")</f>
        <v/>
      </c>
      <c r="G177" t="str">
        <f ca="1">IFERROR(IF(0=LEN(ReferenceData!$G$177),"",ReferenceData!$G$177),"")</f>
        <v/>
      </c>
      <c r="H177" t="str">
        <f ca="1">IFERROR(IF(0=LEN(ReferenceData!$H$177),"",ReferenceData!$H$177),"")</f>
        <v/>
      </c>
      <c r="I177" t="str">
        <f ca="1">IFERROR(IF(0=LEN(ReferenceData!$I$177),"",ReferenceData!$I$177),"")</f>
        <v/>
      </c>
      <c r="J177" t="str">
        <f ca="1">IFERROR(IF(0=LEN(ReferenceData!$J$177),"",ReferenceData!$J$177),"")</f>
        <v/>
      </c>
      <c r="K177" t="str">
        <f ca="1">IFERROR(IF(0=LEN(ReferenceData!$K$177),"",ReferenceData!$K$177),"")</f>
        <v/>
      </c>
      <c r="L177" t="str">
        <f ca="1">IFERROR(IF(0=LEN(ReferenceData!$L$177),"",ReferenceData!$L$177),"")</f>
        <v/>
      </c>
      <c r="M177" t="str">
        <f ca="1">IFERROR(IF(0=LEN(ReferenceData!$M$177),"",ReferenceData!$M$177),"")</f>
        <v/>
      </c>
      <c r="N177" t="str">
        <f ca="1">IFERROR(IF(0=LEN(ReferenceData!$N$177),"",ReferenceData!$N$177),"")</f>
        <v/>
      </c>
      <c r="O177" t="str">
        <f ca="1">IFERROR(IF(0=LEN(ReferenceData!$O$177),"",ReferenceData!$O$177),"")</f>
        <v/>
      </c>
      <c r="P177" t="str">
        <f ca="1">IFERROR(IF(0=LEN(ReferenceData!$P$177),"",ReferenceData!$P$177),"")</f>
        <v/>
      </c>
      <c r="Q177" t="str">
        <f ca="1">IFERROR(IF(0=LEN(ReferenceData!$Q$177),"",ReferenceData!$Q$177),"")</f>
        <v/>
      </c>
      <c r="R177" t="str">
        <f ca="1">IFERROR(IF(0=LEN(ReferenceData!$R$177),"",ReferenceData!$R$177),"")</f>
        <v/>
      </c>
      <c r="S177" t="str">
        <f ca="1">IFERROR(IF(0=LEN(ReferenceData!$S$177),"",ReferenceData!$S$177),"")</f>
        <v/>
      </c>
      <c r="T177" t="str">
        <f ca="1">IFERROR(IF(0=LEN(ReferenceData!$T$177),"",ReferenceData!$T$177),"")</f>
        <v/>
      </c>
      <c r="U177" t="str">
        <f ca="1">IFERROR(IF(0=LEN(ReferenceData!$U$177),"",ReferenceData!$U$177),"")</f>
        <v/>
      </c>
      <c r="V177" t="str">
        <f ca="1">IFERROR(IF(0=LEN(ReferenceData!$V$177),"",ReferenceData!$V$177),"")</f>
        <v/>
      </c>
      <c r="W177" t="str">
        <f ca="1">IFERROR(IF(0=LEN(ReferenceData!$W$177),"",ReferenceData!$W$177),"")</f>
        <v/>
      </c>
      <c r="X177" t="str">
        <f ca="1">IFERROR(IF(0=LEN(ReferenceData!$X$177),"",ReferenceData!$X$177),"")</f>
        <v/>
      </c>
      <c r="Y177" t="str">
        <f ca="1">IFERROR(IF(0=LEN(ReferenceData!$Y$177),"",ReferenceData!$Y$177),"")</f>
        <v/>
      </c>
      <c r="Z177" t="str">
        <f ca="1">IFERROR(IF(0=LEN(ReferenceData!$Z$177),"",ReferenceData!$Z$177),"")</f>
        <v/>
      </c>
      <c r="AA177" t="str">
        <f ca="1">IFERROR(IF(0=LEN(ReferenceData!$AA$177),"",ReferenceData!$AA$177),"")</f>
        <v/>
      </c>
      <c r="AB177" t="str">
        <f ca="1">IFERROR(IF(0=LEN(ReferenceData!$AB$177),"",ReferenceData!$AB$177),"")</f>
        <v/>
      </c>
      <c r="AC177" t="str">
        <f ca="1">IFERROR(IF(0=LEN(ReferenceData!$AC$177),"",ReferenceData!$AC$177),"")</f>
        <v/>
      </c>
      <c r="AD177" t="str">
        <f ca="1">IFERROR(IF(0=LEN(ReferenceData!$AD$177),"",ReferenceData!$AD$177),"")</f>
        <v/>
      </c>
      <c r="AE177" t="str">
        <f ca="1">IFERROR(IF(0=LEN(ReferenceData!$AE$177),"",ReferenceData!$AE$177),"")</f>
        <v/>
      </c>
      <c r="AF177" t="str">
        <f ca="1">IFERROR(IF(0=LEN(ReferenceData!$AF$177),"",ReferenceData!$AF$177),"")</f>
        <v/>
      </c>
      <c r="AG177" t="str">
        <f ca="1">IFERROR(IF(0=LEN(ReferenceData!$AG$177),"",ReferenceData!$AG$177),"")</f>
        <v/>
      </c>
      <c r="AH177" t="str">
        <f ca="1">IFERROR(IF(0=LEN(ReferenceData!$AH$177),"",ReferenceData!$AH$177),"")</f>
        <v/>
      </c>
      <c r="AI177" t="str">
        <f ca="1">IFERROR(IF(0=LEN(ReferenceData!$AI$177),"",ReferenceData!$AI$177),"")</f>
        <v/>
      </c>
      <c r="AJ177" t="str">
        <f ca="1">IFERROR(IF(0=LEN(ReferenceData!$AJ$177),"",ReferenceData!$AJ$177),"")</f>
        <v/>
      </c>
      <c r="AK177" t="str">
        <f ca="1">IFERROR(IF(0=LEN(ReferenceData!$AK$177),"",ReferenceData!$AK$177),"")</f>
        <v/>
      </c>
      <c r="AL177" t="str">
        <f ca="1">IFERROR(IF(0=LEN(ReferenceData!$AL$177),"",ReferenceData!$AL$177),"")</f>
        <v/>
      </c>
      <c r="AM177" t="str">
        <f ca="1">IFERROR(IF(0=LEN(ReferenceData!$AM$177),"",ReferenceData!$AM$177),"")</f>
        <v/>
      </c>
      <c r="AN177" t="str">
        <f ca="1">IFERROR(IF(0=LEN(ReferenceData!$AN$177),"",ReferenceData!$AN$177),"")</f>
        <v/>
      </c>
      <c r="AO177" t="str">
        <f ca="1">IFERROR(IF(0=LEN(ReferenceData!$AO$177),"",ReferenceData!$AO$177),"")</f>
        <v/>
      </c>
      <c r="AP177" t="str">
        <f ca="1">IFERROR(IF(0=LEN(ReferenceData!$AP$177),"",ReferenceData!$AP$177),"")</f>
        <v/>
      </c>
      <c r="AQ177" t="str">
        <f ca="1">IFERROR(IF(0=LEN(ReferenceData!$AQ$177),"",ReferenceData!$AQ$177),"")</f>
        <v/>
      </c>
      <c r="AR177" t="str">
        <f ca="1">IFERROR(IF(0=LEN(ReferenceData!$AR$177),"",ReferenceData!$AR$177),"")</f>
        <v/>
      </c>
      <c r="AS177" t="str">
        <f ca="1">IFERROR(IF(0=LEN(ReferenceData!$AS$177),"",ReferenceData!$AS$177),"")</f>
        <v/>
      </c>
      <c r="AT177" t="str">
        <f ca="1">IFERROR(IF(0=LEN(ReferenceData!$AT$177),"",ReferenceData!$AT$177),"")</f>
        <v/>
      </c>
      <c r="AU177" t="str">
        <f ca="1">IFERROR(IF(0=LEN(ReferenceData!$AU$177),"",ReferenceData!$AU$177),"")</f>
        <v/>
      </c>
      <c r="AV177" t="str">
        <f ca="1">IFERROR(IF(0=LEN(ReferenceData!$AV$177),"",ReferenceData!$AV$177),"")</f>
        <v/>
      </c>
      <c r="AW177" t="str">
        <f ca="1">IFERROR(IF(0=LEN(ReferenceData!$AW$177),"",ReferenceData!$AW$177),"")</f>
        <v/>
      </c>
      <c r="AX177" t="str">
        <f ca="1">IFERROR(IF(0=LEN(ReferenceData!$AX$177),"",ReferenceData!$AX$177),"")</f>
        <v/>
      </c>
      <c r="AY177" t="str">
        <f ca="1">IFERROR(IF(0=LEN(ReferenceData!$AY$177),"",ReferenceData!$AY$177),"")</f>
        <v/>
      </c>
      <c r="AZ177" t="str">
        <f ca="1">IFERROR(IF(0=LEN(ReferenceData!$AZ$177),"",ReferenceData!$AZ$177),"")</f>
        <v/>
      </c>
      <c r="BA177" t="str">
        <f ca="1">IFERROR(IF(0=LEN(ReferenceData!$BA$177),"",ReferenceData!$BA$177),"")</f>
        <v/>
      </c>
      <c r="BB177" t="str">
        <f ca="1">IFERROR(IF(0=LEN(ReferenceData!$BB$177),"",ReferenceData!$BB$177),"")</f>
        <v/>
      </c>
      <c r="BC177" t="str">
        <f ca="1">IFERROR(IF(0=LEN(ReferenceData!$BC$177),"",ReferenceData!$BC$177),"")</f>
        <v/>
      </c>
      <c r="BD177" t="str">
        <f ca="1">IFERROR(IF(0=LEN(ReferenceData!$BD$177),"",ReferenceData!$BD$177),"")</f>
        <v/>
      </c>
      <c r="BE177" t="str">
        <f ca="1">IFERROR(IF(0=LEN(ReferenceData!$BE$177),"",ReferenceData!$BE$177),"")</f>
        <v/>
      </c>
      <c r="BF177" t="str">
        <f ca="1">IFERROR(IF(0=LEN(ReferenceData!$BF$177),"",ReferenceData!$BF$177),"")</f>
        <v/>
      </c>
      <c r="BG177" t="str">
        <f ca="1">IFERROR(IF(0=LEN(ReferenceData!$BG$177),"",ReferenceData!$BG$177),"")</f>
        <v/>
      </c>
      <c r="BH177" t="str">
        <f ca="1">IFERROR(IF(0=LEN(ReferenceData!$BH$177),"",ReferenceData!$BH$177),"")</f>
        <v/>
      </c>
      <c r="BI177" t="str">
        <f ca="1">IFERROR(IF(0=LEN(ReferenceData!$BI$177),"",ReferenceData!$BI$177),"")</f>
        <v/>
      </c>
      <c r="BJ177" t="str">
        <f ca="1">IFERROR(IF(0=LEN(ReferenceData!$BJ$177),"",ReferenceData!$BJ$177),"")</f>
        <v/>
      </c>
      <c r="BK177" t="str">
        <f ca="1">IFERROR(IF(0=LEN(ReferenceData!$BK$177),"",ReferenceData!$BK$177),"")</f>
        <v/>
      </c>
      <c r="BL177" t="str">
        <f ca="1">IFERROR(IF(0=LEN(ReferenceData!$BL$177),"",ReferenceData!$BL$177),"")</f>
        <v/>
      </c>
      <c r="BM177" t="str">
        <f ca="1">IFERROR(IF(0=LEN(ReferenceData!$BM$177),"",ReferenceData!$BM$177),"")</f>
        <v/>
      </c>
    </row>
    <row r="178" spans="1:65" x14ac:dyDescent="0.25">
      <c r="A178" t="str">
        <f>IFERROR(IF(0=LEN(ReferenceData!$A$178),"",ReferenceData!$A$178),"")</f>
        <v xml:space="preserve">    DRB-Hicom Bhd</v>
      </c>
      <c r="B178" t="str">
        <f>IFERROR(IF(0=LEN(ReferenceData!$B$178),"",ReferenceData!$B$178),"")</f>
        <v>DRB MK Equity</v>
      </c>
      <c r="C178" t="str">
        <f>IFERROR(IF(0=LEN(ReferenceData!$C$178),"",ReferenceData!$C$178),"")</f>
        <v>RX077</v>
      </c>
      <c r="D178" t="str">
        <f>IFERROR(IF(0=LEN(ReferenceData!$D$178),"",ReferenceData!$D$178),"")</f>
        <v>PX_TO_TANG_BOOK_VAL_PER_SH</v>
      </c>
      <c r="E178" t="str">
        <f>IFERROR(IF(0=LEN(ReferenceData!$E$178),"",ReferenceData!$E$178),"")</f>
        <v>Dynamic</v>
      </c>
      <c r="F178" t="str">
        <f ca="1">IFERROR(IF(0=LEN(ReferenceData!$F$178),"",ReferenceData!$F$178),"")</f>
        <v/>
      </c>
      <c r="G178">
        <f ca="1">IFERROR(IF(0=LEN(ReferenceData!$G$178),"",ReferenceData!$G$178),"")</f>
        <v>0.65420937800000001</v>
      </c>
      <c r="H178">
        <f ca="1">IFERROR(IF(0=LEN(ReferenceData!$H$178),"",ReferenceData!$H$178),"")</f>
        <v>0.84502044700000001</v>
      </c>
      <c r="I178">
        <f ca="1">IFERROR(IF(0=LEN(ReferenceData!$I$178),"",ReferenceData!$I$178),"")</f>
        <v>0.76138059199999997</v>
      </c>
      <c r="J178">
        <f ca="1">IFERROR(IF(0=LEN(ReferenceData!$J$178),"",ReferenceData!$J$178),"")</f>
        <v>0.93648089499999998</v>
      </c>
      <c r="K178">
        <f ca="1">IFERROR(IF(0=LEN(ReferenceData!$K$178),"",ReferenceData!$K$178),"")</f>
        <v>0.69147643599999997</v>
      </c>
      <c r="L178">
        <f ca="1">IFERROR(IF(0=LEN(ReferenceData!$L$178),"",ReferenceData!$L$178),"")</f>
        <v>0.62621981500000001</v>
      </c>
      <c r="M178">
        <f ca="1">IFERROR(IF(0=LEN(ReferenceData!$M$178),"",ReferenceData!$M$178),"")</f>
        <v>0.77636852199999995</v>
      </c>
      <c r="N178">
        <f ca="1">IFERROR(IF(0=LEN(ReferenceData!$N$178),"",ReferenceData!$N$178),"")</f>
        <v>0.65587134300000005</v>
      </c>
      <c r="O178">
        <f ca="1">IFERROR(IF(0=LEN(ReferenceData!$O$178),"",ReferenceData!$O$178),"")</f>
        <v>0.50545889899999996</v>
      </c>
      <c r="P178">
        <f ca="1">IFERROR(IF(0=LEN(ReferenceData!$P$178),"",ReferenceData!$P$178),"")</f>
        <v>0.67976231799999998</v>
      </c>
      <c r="Q178">
        <f ca="1">IFERROR(IF(0=LEN(ReferenceData!$Q$178),"",ReferenceData!$Q$178),"")</f>
        <v>0.37308469399999999</v>
      </c>
      <c r="R178">
        <f ca="1">IFERROR(IF(0=LEN(ReferenceData!$R$178),"",ReferenceData!$R$178),"")</f>
        <v>0.40558228699999999</v>
      </c>
      <c r="S178">
        <f ca="1">IFERROR(IF(0=LEN(ReferenceData!$S$178),"",ReferenceData!$S$178),"")</f>
        <v>0.42984008899999998</v>
      </c>
      <c r="T178">
        <f ca="1">IFERROR(IF(0=LEN(ReferenceData!$T$178),"",ReferenceData!$T$178),"")</f>
        <v>0.43451346899999999</v>
      </c>
      <c r="U178">
        <f ca="1">IFERROR(IF(0=LEN(ReferenceData!$U$178),"",ReferenceData!$U$178),"")</f>
        <v>0.50410781900000001</v>
      </c>
      <c r="V178">
        <f ca="1">IFERROR(IF(0=LEN(ReferenceData!$V$178),"",ReferenceData!$V$178),"")</f>
        <v>0.61645580200000005</v>
      </c>
      <c r="W178">
        <f ca="1">IFERROR(IF(0=LEN(ReferenceData!$W$178),"",ReferenceData!$W$178),"")</f>
        <v>0.54557617000000003</v>
      </c>
      <c r="X178">
        <f ca="1">IFERROR(IF(0=LEN(ReferenceData!$X$178),"",ReferenceData!$X$178),"")</f>
        <v>0.71410432199999996</v>
      </c>
      <c r="Y178">
        <f ca="1">IFERROR(IF(0=LEN(ReferenceData!$Y$178),"",ReferenceData!$Y$178),"")</f>
        <v>0.68312807600000003</v>
      </c>
      <c r="Z178">
        <f ca="1">IFERROR(IF(0=LEN(ReferenceData!$Z$178),"",ReferenceData!$Z$178),"")</f>
        <v>0.76960890299999996</v>
      </c>
      <c r="AA178">
        <f ca="1">IFERROR(IF(0=LEN(ReferenceData!$AA$178),"",ReferenceData!$AA$178),"")</f>
        <v>0.90479636299999999</v>
      </c>
      <c r="AB178">
        <f ca="1">IFERROR(IF(0=LEN(ReferenceData!$AB$178),"",ReferenceData!$AB$178),"")</f>
        <v>0.83413483899999996</v>
      </c>
      <c r="AC178">
        <f ca="1">IFERROR(IF(0=LEN(ReferenceData!$AC$178),"",ReferenceData!$AC$178),"")</f>
        <v>0.83332773000000004</v>
      </c>
      <c r="AD178">
        <f ca="1">IFERROR(IF(0=LEN(ReferenceData!$AD$178),"",ReferenceData!$AD$178),"")</f>
        <v>0.78142807599999997</v>
      </c>
      <c r="AE178">
        <f ca="1">IFERROR(IF(0=LEN(ReferenceData!$AE$178),"",ReferenceData!$AE$178),"")</f>
        <v>0.938706759</v>
      </c>
      <c r="AF178">
        <f ca="1">IFERROR(IF(0=LEN(ReferenceData!$AF$178),"",ReferenceData!$AF$178),"")</f>
        <v>0.888364983</v>
      </c>
      <c r="AG178">
        <f ca="1">IFERROR(IF(0=LEN(ReferenceData!$AG$178),"",ReferenceData!$AG$178),"")</f>
        <v>0.96548482199999996</v>
      </c>
      <c r="AH178">
        <f ca="1">IFERROR(IF(0=LEN(ReferenceData!$AH$178),"",ReferenceData!$AH$178),"")</f>
        <v>0.85657149700000002</v>
      </c>
      <c r="AI178">
        <f ca="1">IFERROR(IF(0=LEN(ReferenceData!$AI$178),"",ReferenceData!$AI$178),"")</f>
        <v>0.79510628000000005</v>
      </c>
      <c r="AJ178">
        <f ca="1">IFERROR(IF(0=LEN(ReferenceData!$AJ$178),"",ReferenceData!$AJ$178),"")</f>
        <v>0.68733382899999995</v>
      </c>
      <c r="AK178">
        <f ca="1">IFERROR(IF(0=LEN(ReferenceData!$AK$178),"",ReferenceData!$AK$178),"")</f>
        <v>0.90197975600000002</v>
      </c>
      <c r="AL178">
        <f ca="1">IFERROR(IF(0=LEN(ReferenceData!$AL$178),"",ReferenceData!$AL$178),"")</f>
        <v>0.93386756199999998</v>
      </c>
      <c r="AM178">
        <f ca="1">IFERROR(IF(0=LEN(ReferenceData!$AM$178),"",ReferenceData!$AM$178),"")</f>
        <v>0.79833655999999997</v>
      </c>
      <c r="AN178">
        <f ca="1">IFERROR(IF(0=LEN(ReferenceData!$AN$178),"",ReferenceData!$AN$178),"")</f>
        <v>0.52463301900000003</v>
      </c>
      <c r="AO178">
        <f ca="1">IFERROR(IF(0=LEN(ReferenceData!$AO$178),"",ReferenceData!$AO$178),"")</f>
        <v>0.44876041500000002</v>
      </c>
      <c r="AP178">
        <f ca="1">IFERROR(IF(0=LEN(ReferenceData!$AP$178),"",ReferenceData!$AP$178),"")</f>
        <v>0.51600601599999996</v>
      </c>
      <c r="AQ178">
        <f ca="1">IFERROR(IF(0=LEN(ReferenceData!$AQ$178),"",ReferenceData!$AQ$178),"")</f>
        <v>0.47688616</v>
      </c>
      <c r="AR178">
        <f ca="1">IFERROR(IF(0=LEN(ReferenceData!$AR$178),"",ReferenceData!$AR$178),"")</f>
        <v>0.56143878000000003</v>
      </c>
      <c r="AS178">
        <f ca="1">IFERROR(IF(0=LEN(ReferenceData!$AS$178),"",ReferenceData!$AS$178),"")</f>
        <v>0.51126473900000002</v>
      </c>
      <c r="AT178">
        <f ca="1">IFERROR(IF(0=LEN(ReferenceData!$AT$178),"",ReferenceData!$AT$178),"")</f>
        <v>0.30493532400000001</v>
      </c>
      <c r="AU178">
        <f ca="1">IFERROR(IF(0=LEN(ReferenceData!$AU$178),"",ReferenceData!$AU$178),"")</f>
        <v>0.30869675099999999</v>
      </c>
      <c r="AV178">
        <f ca="1">IFERROR(IF(0=LEN(ReferenceData!$AV$178),"",ReferenceData!$AV$178),"")</f>
        <v>0.26066861000000002</v>
      </c>
      <c r="AW178">
        <f ca="1">IFERROR(IF(0=LEN(ReferenceData!$AW$178),"",ReferenceData!$AW$178),"")</f>
        <v>0.27738863699999999</v>
      </c>
      <c r="AX178">
        <f ca="1">IFERROR(IF(0=LEN(ReferenceData!$AX$178),"",ReferenceData!$AX$178),"")</f>
        <v>0.44695863200000002</v>
      </c>
      <c r="AY178">
        <f ca="1">IFERROR(IF(0=LEN(ReferenceData!$AY$178),"",ReferenceData!$AY$178),"")</f>
        <v>0.56877191999999999</v>
      </c>
      <c r="AZ178">
        <f ca="1">IFERROR(IF(0=LEN(ReferenceData!$AZ$178),"",ReferenceData!$AZ$178),"")</f>
        <v>0.73333398000000005</v>
      </c>
      <c r="BA178">
        <f ca="1">IFERROR(IF(0=LEN(ReferenceData!$BA$178),"",ReferenceData!$BA$178),"")</f>
        <v>0.70105912800000003</v>
      </c>
      <c r="BB178">
        <f ca="1">IFERROR(IF(0=LEN(ReferenceData!$BB$178),"",ReferenceData!$BB$178),"")</f>
        <v>0.75813097799999996</v>
      </c>
      <c r="BC178">
        <f ca="1">IFERROR(IF(0=LEN(ReferenceData!$BC$178),"",ReferenceData!$BC$178),"")</f>
        <v>0.66248788199999997</v>
      </c>
      <c r="BD178">
        <f ca="1">IFERROR(IF(0=LEN(ReferenceData!$BD$178),"",ReferenceData!$BD$178),"")</f>
        <v>0.57584109999999999</v>
      </c>
      <c r="BE178">
        <f ca="1">IFERROR(IF(0=LEN(ReferenceData!$BE$178),"",ReferenceData!$BE$178),"")</f>
        <v>0.57328407400000003</v>
      </c>
      <c r="BF178">
        <f ca="1">IFERROR(IF(0=LEN(ReferenceData!$BF$178),"",ReferenceData!$BF$178),"")</f>
        <v>0.58994668800000005</v>
      </c>
      <c r="BG178">
        <f ca="1">IFERROR(IF(0=LEN(ReferenceData!$BG$178),"",ReferenceData!$BG$178),"")</f>
        <v>0.46536646700000001</v>
      </c>
      <c r="BH178">
        <f ca="1">IFERROR(IF(0=LEN(ReferenceData!$BH$178),"",ReferenceData!$BH$178),"")</f>
        <v>0.57199553999999997</v>
      </c>
      <c r="BI178">
        <f ca="1">IFERROR(IF(0=LEN(ReferenceData!$BI$178),"",ReferenceData!$BI$178),"")</f>
        <v>0.42662807000000003</v>
      </c>
      <c r="BJ178">
        <f ca="1">IFERROR(IF(0=LEN(ReferenceData!$BJ$178),"",ReferenceData!$BJ$178),"")</f>
        <v>0.69268843800000002</v>
      </c>
      <c r="BK178">
        <f ca="1">IFERROR(IF(0=LEN(ReferenceData!$BK$178),"",ReferenceData!$BK$178),"")</f>
        <v>0.81318779299999999</v>
      </c>
      <c r="BL178">
        <f ca="1">IFERROR(IF(0=LEN(ReferenceData!$BL$178),"",ReferenceData!$BL$178),"")</f>
        <v>0.78936872700000005</v>
      </c>
      <c r="BM178">
        <f ca="1">IFERROR(IF(0=LEN(ReferenceData!$BM$178),"",ReferenceData!$BM$178),"")</f>
        <v>0.60053323000000003</v>
      </c>
    </row>
    <row r="179" spans="1:65" x14ac:dyDescent="0.25">
      <c r="A179" t="str">
        <f>IFERROR(IF(0=LEN(ReferenceData!$A$179),"",ReferenceData!$A$179),"")</f>
        <v xml:space="preserve">    FAW CAR Co Ltd</v>
      </c>
      <c r="B179" t="str">
        <f>IFERROR(IF(0=LEN(ReferenceData!$B$179),"",ReferenceData!$B$179),"")</f>
        <v>000800 CH Equity</v>
      </c>
      <c r="C179" t="str">
        <f>IFERROR(IF(0=LEN(ReferenceData!$C$179),"",ReferenceData!$C$179),"")</f>
        <v>RX077</v>
      </c>
      <c r="D179" t="str">
        <f>IFERROR(IF(0=LEN(ReferenceData!$D$179),"",ReferenceData!$D$179),"")</f>
        <v>PX_TO_TANG_BOOK_VAL_PER_SH</v>
      </c>
      <c r="E179" t="str">
        <f>IFERROR(IF(0=LEN(ReferenceData!$E$179),"",ReferenceData!$E$179),"")</f>
        <v>Dynamic</v>
      </c>
      <c r="F179">
        <f ca="1">IFERROR(IF(0=LEN(ReferenceData!$F$179),"",ReferenceData!$F$179),"")</f>
        <v>1.7628373369999999</v>
      </c>
      <c r="G179">
        <f ca="1">IFERROR(IF(0=LEN(ReferenceData!$G$179),"",ReferenceData!$G$179),"")</f>
        <v>1.44968735</v>
      </c>
      <c r="H179">
        <f ca="1">IFERROR(IF(0=LEN(ReferenceData!$H$179),"",ReferenceData!$H$179),"")</f>
        <v>1.44311777</v>
      </c>
      <c r="I179">
        <f ca="1">IFERROR(IF(0=LEN(ReferenceData!$I$179),"",ReferenceData!$I$179),"")</f>
        <v>1.5674994760000001</v>
      </c>
      <c r="J179">
        <f ca="1">IFERROR(IF(0=LEN(ReferenceData!$J$179),"",ReferenceData!$J$179),"")</f>
        <v>2.261718605</v>
      </c>
      <c r="K179">
        <f ca="1">IFERROR(IF(0=LEN(ReferenceData!$K$179),"",ReferenceData!$K$179),"")</f>
        <v>2.2690963960000001</v>
      </c>
      <c r="L179">
        <f ca="1">IFERROR(IF(0=LEN(ReferenceData!$L$179),"",ReferenceData!$L$179),"")</f>
        <v>3.1119058079999999</v>
      </c>
      <c r="M179">
        <f ca="1">IFERROR(IF(0=LEN(ReferenceData!$M$179),"",ReferenceData!$M$179),"")</f>
        <v>2.1892495890000001</v>
      </c>
      <c r="N179">
        <f ca="1">IFERROR(IF(0=LEN(ReferenceData!$N$179),"",ReferenceData!$N$179),"")</f>
        <v>2.715147226</v>
      </c>
      <c r="O179">
        <f ca="1">IFERROR(IF(0=LEN(ReferenceData!$O$179),"",ReferenceData!$O$179),"")</f>
        <v>2.447491538</v>
      </c>
      <c r="P179">
        <f ca="1">IFERROR(IF(0=LEN(ReferenceData!$P$179),"",ReferenceData!$P$179),"")</f>
        <v>2.5326378300000001</v>
      </c>
      <c r="Q179">
        <f ca="1">IFERROR(IF(0=LEN(ReferenceData!$Q$179),"",ReferenceData!$Q$179),"")</f>
        <v>2.4309518799999998</v>
      </c>
      <c r="R179">
        <f ca="1">IFERROR(IF(0=LEN(ReferenceData!$R$179),"",ReferenceData!$R$179),"")</f>
        <v>3.238372815</v>
      </c>
      <c r="S179">
        <f ca="1">IFERROR(IF(0=LEN(ReferenceData!$S$179),"",ReferenceData!$S$179),"")</f>
        <v>3.276378646</v>
      </c>
      <c r="T179">
        <f ca="1">IFERROR(IF(0=LEN(ReferenceData!$T$179),"",ReferenceData!$T$179),"")</f>
        <v>3.1544084190000001</v>
      </c>
      <c r="U179">
        <f ca="1">IFERROR(IF(0=LEN(ReferenceData!$U$179),"",ReferenceData!$U$179),"")</f>
        <v>4.8909999940000004</v>
      </c>
      <c r="V179">
        <f ca="1">IFERROR(IF(0=LEN(ReferenceData!$V$179),"",ReferenceData!$V$179),"")</f>
        <v>4.2133348650000002</v>
      </c>
      <c r="W179">
        <f ca="1">IFERROR(IF(0=LEN(ReferenceData!$W$179),"",ReferenceData!$W$179),"")</f>
        <v>3.0861069059999999</v>
      </c>
      <c r="X179">
        <f ca="1">IFERROR(IF(0=LEN(ReferenceData!$X$179),"",ReferenceData!$X$179),"")</f>
        <v>2.4231047129999999</v>
      </c>
      <c r="Y179">
        <f ca="1">IFERROR(IF(0=LEN(ReferenceData!$Y$179),"",ReferenceData!$Y$179),"")</f>
        <v>1.9090513739999999</v>
      </c>
      <c r="Z179">
        <f ca="1">IFERROR(IF(0=LEN(ReferenceData!$Z$179),"",ReferenceData!$Z$179),"")</f>
        <v>2.1888147760000001</v>
      </c>
      <c r="AA179">
        <f ca="1">IFERROR(IF(0=LEN(ReferenceData!$AA$179),"",ReferenceData!$AA$179),"")</f>
        <v>2.44787943</v>
      </c>
      <c r="AB179">
        <f ca="1">IFERROR(IF(0=LEN(ReferenceData!$AB$179),"",ReferenceData!$AB$179),"")</f>
        <v>3.0520132339999999</v>
      </c>
      <c r="AC179">
        <f ca="1">IFERROR(IF(0=LEN(ReferenceData!$AC$179),"",ReferenceData!$AC$179),"")</f>
        <v>2.630531194</v>
      </c>
      <c r="AD179">
        <f ca="1">IFERROR(IF(0=LEN(ReferenceData!$AD$179),"",ReferenceData!$AD$179),"")</f>
        <v>1.911106816</v>
      </c>
      <c r="AE179">
        <f ca="1">IFERROR(IF(0=LEN(ReferenceData!$AE$179),"",ReferenceData!$AE$179),"")</f>
        <v>1.9334869020000001</v>
      </c>
      <c r="AF179">
        <f ca="1">IFERROR(IF(0=LEN(ReferenceData!$AF$179),"",ReferenceData!$AF$179),"")</f>
        <v>1.564487958</v>
      </c>
      <c r="AG179">
        <f ca="1">IFERROR(IF(0=LEN(ReferenceData!$AG$179),"",ReferenceData!$AG$179),"")</f>
        <v>2.2569685599999998</v>
      </c>
      <c r="AH179">
        <f ca="1">IFERROR(IF(0=LEN(ReferenceData!$AH$179),"",ReferenceData!$AH$179),"")</f>
        <v>2.285736612</v>
      </c>
      <c r="AI179">
        <f ca="1">IFERROR(IF(0=LEN(ReferenceData!$AI$179),"",ReferenceData!$AI$179),"")</f>
        <v>1.815050705</v>
      </c>
      <c r="AJ179">
        <f ca="1">IFERROR(IF(0=LEN(ReferenceData!$AJ$179),"",ReferenceData!$AJ$179),"")</f>
        <v>2.2201604989999999</v>
      </c>
      <c r="AK179">
        <f ca="1">IFERROR(IF(0=LEN(ReferenceData!$AK$179),"",ReferenceData!$AK$179),"")</f>
        <v>2.6535755239999999</v>
      </c>
      <c r="AL179">
        <f ca="1">IFERROR(IF(0=LEN(ReferenceData!$AL$179),"",ReferenceData!$AL$179),"")</f>
        <v>3.1878744920000002</v>
      </c>
      <c r="AM179">
        <f ca="1">IFERROR(IF(0=LEN(ReferenceData!$AM$179),"",ReferenceData!$AM$179),"")</f>
        <v>3.1177689210000001</v>
      </c>
      <c r="AN179">
        <f ca="1">IFERROR(IF(0=LEN(ReferenceData!$AN$179),"",ReferenceData!$AN$179),"")</f>
        <v>3.6837397539999999</v>
      </c>
      <c r="AO179">
        <f ca="1">IFERROR(IF(0=LEN(ReferenceData!$AO$179),"",ReferenceData!$AO$179),"")</f>
        <v>3.0745701840000002</v>
      </c>
      <c r="AP179">
        <f ca="1">IFERROR(IF(0=LEN(ReferenceData!$AP$179),"",ReferenceData!$AP$179),"")</f>
        <v>4.5275601569999999</v>
      </c>
      <c r="AQ179">
        <f ca="1">IFERROR(IF(0=LEN(ReferenceData!$AQ$179),"",ReferenceData!$AQ$179),"")</f>
        <v>5.8459515120000001</v>
      </c>
      <c r="AR179">
        <f ca="1">IFERROR(IF(0=LEN(ReferenceData!$AR$179),"",ReferenceData!$AR$179),"")</f>
        <v>4.2659955930000004</v>
      </c>
      <c r="AS179">
        <f ca="1">IFERROR(IF(0=LEN(ReferenceData!$AS$179),"",ReferenceData!$AS$179),"")</f>
        <v>3.989106461</v>
      </c>
      <c r="AT179">
        <f ca="1">IFERROR(IF(0=LEN(ReferenceData!$AT$179),"",ReferenceData!$AT$179),"")</f>
        <v>3.1158091529999998</v>
      </c>
      <c r="AU179">
        <f ca="1">IFERROR(IF(0=LEN(ReferenceData!$AU$179),"",ReferenceData!$AU$179),"")</f>
        <v>1.8363634769999999</v>
      </c>
      <c r="AV179">
        <f ca="1">IFERROR(IF(0=LEN(ReferenceData!$AV$179),"",ReferenceData!$AV$179),"")</f>
        <v>1.7789728840000001</v>
      </c>
      <c r="AW179">
        <f ca="1">IFERROR(IF(0=LEN(ReferenceData!$AW$179),"",ReferenceData!$AW$179),"")</f>
        <v>2.1708172549999998</v>
      </c>
      <c r="AX179">
        <f ca="1">IFERROR(IF(0=LEN(ReferenceData!$AX$179),"",ReferenceData!$AX$179),"")</f>
        <v>3.5986155740000001</v>
      </c>
      <c r="AY179">
        <f ca="1">IFERROR(IF(0=LEN(ReferenceData!$AY$179),"",ReferenceData!$AY$179),"")</f>
        <v>5.3252737889999997</v>
      </c>
      <c r="AZ179">
        <f ca="1">IFERROR(IF(0=LEN(ReferenceData!$AZ$179),"",ReferenceData!$AZ$179),"")</f>
        <v>6.1398423209999997</v>
      </c>
      <c r="BA179">
        <f ca="1">IFERROR(IF(0=LEN(ReferenceData!$BA$179),"",ReferenceData!$BA$179),"")</f>
        <v>3.2634429300000001</v>
      </c>
      <c r="BB179">
        <f ca="1">IFERROR(IF(0=LEN(ReferenceData!$BB$179),"",ReferenceData!$BB$179),"")</f>
        <v>2.730804655</v>
      </c>
      <c r="BC179">
        <f ca="1">IFERROR(IF(0=LEN(ReferenceData!$BC$179),"",ReferenceData!$BC$179),"")</f>
        <v>1.2173830489999999</v>
      </c>
      <c r="BD179">
        <f ca="1">IFERROR(IF(0=LEN(ReferenceData!$BD$179),"",ReferenceData!$BD$179),"")</f>
        <v>1.9112736219999999</v>
      </c>
      <c r="BE179">
        <f ca="1">IFERROR(IF(0=LEN(ReferenceData!$BE$179),"",ReferenceData!$BE$179),"")</f>
        <v>1.0625689030000001</v>
      </c>
      <c r="BF179">
        <f ca="1">IFERROR(IF(0=LEN(ReferenceData!$BF$179),"",ReferenceData!$BF$179),"")</f>
        <v>1.0413930600000001</v>
      </c>
      <c r="BG179">
        <f ca="1">IFERROR(IF(0=LEN(ReferenceData!$BG$179),"",ReferenceData!$BG$179),"")</f>
        <v>0.95282884099999998</v>
      </c>
      <c r="BH179">
        <f ca="1">IFERROR(IF(0=LEN(ReferenceData!$BH$179),"",ReferenceData!$BH$179),"")</f>
        <v>0.88273990800000002</v>
      </c>
      <c r="BI179">
        <f ca="1">IFERROR(IF(0=LEN(ReferenceData!$BI$179),"",ReferenceData!$BI$179),"")</f>
        <v>0.84517650799999999</v>
      </c>
      <c r="BJ179">
        <f ca="1">IFERROR(IF(0=LEN(ReferenceData!$BJ$179),"",ReferenceData!$BJ$179),"")</f>
        <v>1.031208573</v>
      </c>
      <c r="BK179">
        <f ca="1">IFERROR(IF(0=LEN(ReferenceData!$BK$179),"",ReferenceData!$BK$179),"")</f>
        <v>1.165297614</v>
      </c>
      <c r="BL179">
        <f ca="1">IFERROR(IF(0=LEN(ReferenceData!$BL$179),"",ReferenceData!$BL$179),"")</f>
        <v>1.8932697869999999</v>
      </c>
      <c r="BM179">
        <f ca="1">IFERROR(IF(0=LEN(ReferenceData!$BM$179),"",ReferenceData!$BM$179),"")</f>
        <v>1.9729528590000001</v>
      </c>
    </row>
    <row r="180" spans="1:65" x14ac:dyDescent="0.25">
      <c r="A180" t="str">
        <f>IFERROR(IF(0=LEN(ReferenceData!$A$180),"",ReferenceData!$A$180),"")</f>
        <v xml:space="preserve">    Fiat Chrysler Automobiles NV</v>
      </c>
      <c r="B180" t="str">
        <f>IFERROR(IF(0=LEN(ReferenceData!$B$180),"",ReferenceData!$B$180),"")</f>
        <v>FCAU US Equity</v>
      </c>
      <c r="C180" t="str">
        <f>IFERROR(IF(0=LEN(ReferenceData!$C$180),"",ReferenceData!$C$180),"")</f>
        <v>RX077</v>
      </c>
      <c r="D180" t="str">
        <f>IFERROR(IF(0=LEN(ReferenceData!$D$180),"",ReferenceData!$D$180),"")</f>
        <v>PX_TO_TANG_BOOK_VAL_PER_SH</v>
      </c>
      <c r="E180" t="str">
        <f>IFERROR(IF(0=LEN(ReferenceData!$E$180),"",ReferenceData!$E$180),"")</f>
        <v>Dynamic</v>
      </c>
      <c r="F180" t="str">
        <f ca="1">IFERROR(IF(0=LEN(ReferenceData!$F$180),"",ReferenceData!$F$180),"")</f>
        <v/>
      </c>
      <c r="G180" t="str">
        <f ca="1">IFERROR(IF(0=LEN(ReferenceData!$G$180),"",ReferenceData!$G$180),"")</f>
        <v/>
      </c>
      <c r="H180" t="str">
        <f ca="1">IFERROR(IF(0=LEN(ReferenceData!$H$180),"",ReferenceData!$H$180),"")</f>
        <v/>
      </c>
      <c r="I180" t="str">
        <f ca="1">IFERROR(IF(0=LEN(ReferenceData!$I$180),"",ReferenceData!$I$180),"")</f>
        <v/>
      </c>
      <c r="J180" t="str">
        <f ca="1">IFERROR(IF(0=LEN(ReferenceData!$J$180),"",ReferenceData!$J$180),"")</f>
        <v/>
      </c>
      <c r="K180" t="str">
        <f ca="1">IFERROR(IF(0=LEN(ReferenceData!$K$180),"",ReferenceData!$K$180),"")</f>
        <v/>
      </c>
      <c r="L180" t="str">
        <f ca="1">IFERROR(IF(0=LEN(ReferenceData!$L$180),"",ReferenceData!$L$180),"")</f>
        <v/>
      </c>
      <c r="M180" t="str">
        <f ca="1">IFERROR(IF(0=LEN(ReferenceData!$M$180),"",ReferenceData!$M$180),"")</f>
        <v/>
      </c>
      <c r="N180" t="str">
        <f ca="1">IFERROR(IF(0=LEN(ReferenceData!$N$180),"",ReferenceData!$N$180),"")</f>
        <v/>
      </c>
      <c r="O180" t="str">
        <f ca="1">IFERROR(IF(0=LEN(ReferenceData!$O$180),"",ReferenceData!$O$180),"")</f>
        <v/>
      </c>
      <c r="P180" t="str">
        <f ca="1">IFERROR(IF(0=LEN(ReferenceData!$P$180),"",ReferenceData!$P$180),"")</f>
        <v/>
      </c>
      <c r="Q180" t="str">
        <f ca="1">IFERROR(IF(0=LEN(ReferenceData!$Q$180),"",ReferenceData!$Q$180),"")</f>
        <v/>
      </c>
      <c r="R180" t="str">
        <f ca="1">IFERROR(IF(0=LEN(ReferenceData!$R$180),"",ReferenceData!$R$180),"")</f>
        <v/>
      </c>
      <c r="S180" t="str">
        <f ca="1">IFERROR(IF(0=LEN(ReferenceData!$S$180),"",ReferenceData!$S$180),"")</f>
        <v/>
      </c>
      <c r="T180" t="str">
        <f ca="1">IFERROR(IF(0=LEN(ReferenceData!$T$180),"",ReferenceData!$T$180),"")</f>
        <v/>
      </c>
      <c r="U180" t="str">
        <f ca="1">IFERROR(IF(0=LEN(ReferenceData!$U$180),"",ReferenceData!$U$180),"")</f>
        <v/>
      </c>
      <c r="V180" t="str">
        <f ca="1">IFERROR(IF(0=LEN(ReferenceData!$V$180),"",ReferenceData!$V$180),"")</f>
        <v/>
      </c>
      <c r="W180" t="str">
        <f ca="1">IFERROR(IF(0=LEN(ReferenceData!$W$180),"",ReferenceData!$W$180),"")</f>
        <v/>
      </c>
      <c r="X180" t="str">
        <f ca="1">IFERROR(IF(0=LEN(ReferenceData!$X$180),"",ReferenceData!$X$180),"")</f>
        <v/>
      </c>
      <c r="Y180" t="str">
        <f ca="1">IFERROR(IF(0=LEN(ReferenceData!$Y$180),"",ReferenceData!$Y$180),"")</f>
        <v/>
      </c>
      <c r="Z180" t="str">
        <f ca="1">IFERROR(IF(0=LEN(ReferenceData!$Z$180),"",ReferenceData!$Z$180),"")</f>
        <v/>
      </c>
      <c r="AA180" t="str">
        <f ca="1">IFERROR(IF(0=LEN(ReferenceData!$AA$180),"",ReferenceData!$AA$180),"")</f>
        <v/>
      </c>
      <c r="AB180" t="str">
        <f ca="1">IFERROR(IF(0=LEN(ReferenceData!$AB$180),"",ReferenceData!$AB$180),"")</f>
        <v/>
      </c>
      <c r="AC180" t="str">
        <f ca="1">IFERROR(IF(0=LEN(ReferenceData!$AC$180),"",ReferenceData!$AC$180),"")</f>
        <v/>
      </c>
      <c r="AD180" t="str">
        <f ca="1">IFERROR(IF(0=LEN(ReferenceData!$AD$180),"",ReferenceData!$AD$180),"")</f>
        <v/>
      </c>
      <c r="AE180" t="str">
        <f ca="1">IFERROR(IF(0=LEN(ReferenceData!$AE$180),"",ReferenceData!$AE$180),"")</f>
        <v/>
      </c>
      <c r="AF180" t="str">
        <f ca="1">IFERROR(IF(0=LEN(ReferenceData!$AF$180),"",ReferenceData!$AF$180),"")</f>
        <v/>
      </c>
      <c r="AG180" t="str">
        <f ca="1">IFERROR(IF(0=LEN(ReferenceData!$AG$180),"",ReferenceData!$AG$180),"")</f>
        <v/>
      </c>
      <c r="AH180" t="str">
        <f ca="1">IFERROR(IF(0=LEN(ReferenceData!$AH$180),"",ReferenceData!$AH$180),"")</f>
        <v/>
      </c>
      <c r="AI180" t="str">
        <f ca="1">IFERROR(IF(0=LEN(ReferenceData!$AI$180),"",ReferenceData!$AI$180),"")</f>
        <v/>
      </c>
      <c r="AJ180" t="str">
        <f ca="1">IFERROR(IF(0=LEN(ReferenceData!$AJ$180),"",ReferenceData!$AJ$180),"")</f>
        <v/>
      </c>
      <c r="AK180" t="str">
        <f ca="1">IFERROR(IF(0=LEN(ReferenceData!$AK$180),"",ReferenceData!$AK$180),"")</f>
        <v/>
      </c>
      <c r="AL180" t="str">
        <f ca="1">IFERROR(IF(0=LEN(ReferenceData!$AL$180),"",ReferenceData!$AL$180),"")</f>
        <v/>
      </c>
      <c r="AM180" t="str">
        <f ca="1">IFERROR(IF(0=LEN(ReferenceData!$AM$180),"",ReferenceData!$AM$180),"")</f>
        <v/>
      </c>
      <c r="AN180" t="str">
        <f ca="1">IFERROR(IF(0=LEN(ReferenceData!$AN$180),"",ReferenceData!$AN$180),"")</f>
        <v/>
      </c>
      <c r="AO180" t="str">
        <f ca="1">IFERROR(IF(0=LEN(ReferenceData!$AO$180),"",ReferenceData!$AO$180),"")</f>
        <v/>
      </c>
      <c r="AP180" t="str">
        <f ca="1">IFERROR(IF(0=LEN(ReferenceData!$AP$180),"",ReferenceData!$AP$180),"")</f>
        <v/>
      </c>
      <c r="AQ180" t="str">
        <f ca="1">IFERROR(IF(0=LEN(ReferenceData!$AQ$180),"",ReferenceData!$AQ$180),"")</f>
        <v/>
      </c>
      <c r="AR180" t="str">
        <f ca="1">IFERROR(IF(0=LEN(ReferenceData!$AR$180),"",ReferenceData!$AR$180),"")</f>
        <v/>
      </c>
      <c r="AS180" t="str">
        <f ca="1">IFERROR(IF(0=LEN(ReferenceData!$AS$180),"",ReferenceData!$AS$180),"")</f>
        <v/>
      </c>
      <c r="AT180" t="str">
        <f ca="1">IFERROR(IF(0=LEN(ReferenceData!$AT$180),"",ReferenceData!$AT$180),"")</f>
        <v/>
      </c>
      <c r="AU180" t="str">
        <f ca="1">IFERROR(IF(0=LEN(ReferenceData!$AU$180),"",ReferenceData!$AU$180),"")</f>
        <v/>
      </c>
      <c r="AV180" t="str">
        <f ca="1">IFERROR(IF(0=LEN(ReferenceData!$AV$180),"",ReferenceData!$AV$180),"")</f>
        <v/>
      </c>
      <c r="AW180" t="str">
        <f ca="1">IFERROR(IF(0=LEN(ReferenceData!$AW$180),"",ReferenceData!$AW$180),"")</f>
        <v/>
      </c>
      <c r="AX180" t="str">
        <f ca="1">IFERROR(IF(0=LEN(ReferenceData!$AX$180),"",ReferenceData!$AX$180),"")</f>
        <v/>
      </c>
      <c r="AY180" t="str">
        <f ca="1">IFERROR(IF(0=LEN(ReferenceData!$AY$180),"",ReferenceData!$AY$180),"")</f>
        <v/>
      </c>
      <c r="AZ180" t="str">
        <f ca="1">IFERROR(IF(0=LEN(ReferenceData!$AZ$180),"",ReferenceData!$AZ$180),"")</f>
        <v/>
      </c>
      <c r="BA180" t="str">
        <f ca="1">IFERROR(IF(0=LEN(ReferenceData!$BA$180),"",ReferenceData!$BA$180),"")</f>
        <v/>
      </c>
      <c r="BB180" t="str">
        <f ca="1">IFERROR(IF(0=LEN(ReferenceData!$BB$180),"",ReferenceData!$BB$180),"")</f>
        <v/>
      </c>
      <c r="BC180" t="str">
        <f ca="1">IFERROR(IF(0=LEN(ReferenceData!$BC$180),"",ReferenceData!$BC$180),"")</f>
        <v/>
      </c>
      <c r="BD180" t="str">
        <f ca="1">IFERROR(IF(0=LEN(ReferenceData!$BD$180),"",ReferenceData!$BD$180),"")</f>
        <v/>
      </c>
      <c r="BE180" t="str">
        <f ca="1">IFERROR(IF(0=LEN(ReferenceData!$BE$180),"",ReferenceData!$BE$180),"")</f>
        <v/>
      </c>
      <c r="BF180" t="str">
        <f ca="1">IFERROR(IF(0=LEN(ReferenceData!$BF$180),"",ReferenceData!$BF$180),"")</f>
        <v/>
      </c>
      <c r="BG180" t="str">
        <f ca="1">IFERROR(IF(0=LEN(ReferenceData!$BG$180),"",ReferenceData!$BG$180),"")</f>
        <v/>
      </c>
      <c r="BH180" t="str">
        <f ca="1">IFERROR(IF(0=LEN(ReferenceData!$BH$180),"",ReferenceData!$BH$180),"")</f>
        <v/>
      </c>
      <c r="BI180" t="str">
        <f ca="1">IFERROR(IF(0=LEN(ReferenceData!$BI$180),"",ReferenceData!$BI$180),"")</f>
        <v/>
      </c>
      <c r="BJ180" t="str">
        <f ca="1">IFERROR(IF(0=LEN(ReferenceData!$BJ$180),"",ReferenceData!$BJ$180),"")</f>
        <v/>
      </c>
      <c r="BK180" t="str">
        <f ca="1">IFERROR(IF(0=LEN(ReferenceData!$BK$180),"",ReferenceData!$BK$180),"")</f>
        <v/>
      </c>
      <c r="BL180" t="str">
        <f ca="1">IFERROR(IF(0=LEN(ReferenceData!$BL$180),"",ReferenceData!$BL$180),"")</f>
        <v/>
      </c>
      <c r="BM180" t="str">
        <f ca="1">IFERROR(IF(0=LEN(ReferenceData!$BM$180),"",ReferenceData!$BM$180),"")</f>
        <v/>
      </c>
    </row>
    <row r="181" spans="1:65" x14ac:dyDescent="0.25">
      <c r="A181" t="str">
        <f>IFERROR(IF(0=LEN(ReferenceData!$A$181),"",ReferenceData!$A$181),"")</f>
        <v xml:space="preserve">    Ford Motor Co</v>
      </c>
      <c r="B181" t="str">
        <f>IFERROR(IF(0=LEN(ReferenceData!$B$181),"",ReferenceData!$B$181),"")</f>
        <v>F US Equity</v>
      </c>
      <c r="C181" t="str">
        <f>IFERROR(IF(0=LEN(ReferenceData!$C$181),"",ReferenceData!$C$181),"")</f>
        <v>RX077</v>
      </c>
      <c r="D181" t="str">
        <f>IFERROR(IF(0=LEN(ReferenceData!$D$181),"",ReferenceData!$D$181),"")</f>
        <v>PX_TO_TANG_BOOK_VAL_PER_SH</v>
      </c>
      <c r="E181" t="str">
        <f>IFERROR(IF(0=LEN(ReferenceData!$E$181),"",ReferenceData!$E$181),"")</f>
        <v>Dynamic</v>
      </c>
      <c r="F181">
        <f ca="1">IFERROR(IF(0=LEN(ReferenceData!$F$181),"",ReferenceData!$F$181),"")</f>
        <v>0.96921143499999995</v>
      </c>
      <c r="G181">
        <f ca="1">IFERROR(IF(0=LEN(ReferenceData!$G$181),"",ReferenceData!$G$181),"")</f>
        <v>0.85125918199999995</v>
      </c>
      <c r="H181">
        <f ca="1">IFERROR(IF(0=LEN(ReferenceData!$H$181),"",ReferenceData!$H$181),"")</f>
        <v>1.013178575</v>
      </c>
      <c r="I181">
        <f ca="1">IFERROR(IF(0=LEN(ReferenceData!$I$181),"",ReferenceData!$I$181),"")</f>
        <v>1.2199179600000001</v>
      </c>
      <c r="J181">
        <f ca="1">IFERROR(IF(0=LEN(ReferenceData!$J$181),"",ReferenceData!$J$181),"")</f>
        <v>1.2201498369999999</v>
      </c>
      <c r="K181">
        <f ca="1">IFERROR(IF(0=LEN(ReferenceData!$K$181),"",ReferenceData!$K$181),"")</f>
        <v>1.4032846649999999</v>
      </c>
      <c r="L181" t="str">
        <f ca="1">IFERROR(IF(0=LEN(ReferenceData!$L$181),"",ReferenceData!$L$181),"")</f>
        <v/>
      </c>
      <c r="M181" t="str">
        <f ca="1">IFERROR(IF(0=LEN(ReferenceData!$M$181),"",ReferenceData!$M$181),"")</f>
        <v/>
      </c>
      <c r="N181">
        <f ca="1">IFERROR(IF(0=LEN(ReferenceData!$N$181),"",ReferenceData!$N$181),"")</f>
        <v>1.6022294260000001</v>
      </c>
      <c r="O181">
        <f ca="1">IFERROR(IF(0=LEN(ReferenceData!$O$181),"",ReferenceData!$O$181),"")</f>
        <v>1.663959156</v>
      </c>
      <c r="P181" t="str">
        <f ca="1">IFERROR(IF(0=LEN(ReferenceData!$P$181),"",ReferenceData!$P$181),"")</f>
        <v/>
      </c>
      <c r="Q181" t="str">
        <f ca="1">IFERROR(IF(0=LEN(ReferenceData!$Q$181),"",ReferenceData!$Q$181),"")</f>
        <v/>
      </c>
      <c r="R181">
        <f ca="1">IFERROR(IF(0=LEN(ReferenceData!$R$181),"",ReferenceData!$R$181),"")</f>
        <v>1.8582299579999999</v>
      </c>
      <c r="S181">
        <f ca="1">IFERROR(IF(0=LEN(ReferenceData!$S$181),"",ReferenceData!$S$181),"")</f>
        <v>1.9612329669999999</v>
      </c>
      <c r="T181" t="str">
        <f ca="1">IFERROR(IF(0=LEN(ReferenceData!$T$181),"",ReferenceData!$T$181),"")</f>
        <v/>
      </c>
      <c r="U181" t="str">
        <f ca="1">IFERROR(IF(0=LEN(ReferenceData!$U$181),"",ReferenceData!$U$181),"")</f>
        <v/>
      </c>
      <c r="V181">
        <f ca="1">IFERROR(IF(0=LEN(ReferenceData!$V$181),"",ReferenceData!$V$181),"")</f>
        <v>2.6302415099999998</v>
      </c>
      <c r="W181">
        <f ca="1">IFERROR(IF(0=LEN(ReferenceData!$W$181),"",ReferenceData!$W$181),"")</f>
        <v>2.5228182800000001</v>
      </c>
      <c r="X181" t="str">
        <f ca="1">IFERROR(IF(0=LEN(ReferenceData!$X$181),"",ReferenceData!$X$181),"")</f>
        <v/>
      </c>
      <c r="Y181" t="str">
        <f ca="1">IFERROR(IF(0=LEN(ReferenceData!$Y$181),"",ReferenceData!$Y$181),"")</f>
        <v/>
      </c>
      <c r="Z181">
        <f ca="1">IFERROR(IF(0=LEN(ReferenceData!$Z$181),"",ReferenceData!$Z$181),"")</f>
        <v>2.3411094530000001</v>
      </c>
      <c r="AA181">
        <f ca="1">IFERROR(IF(0=LEN(ReferenceData!$AA$181),"",ReferenceData!$AA$181),"")</f>
        <v>2.3380788899999998</v>
      </c>
      <c r="AB181">
        <f ca="1">IFERROR(IF(0=LEN(ReferenceData!$AB$181),"",ReferenceData!$AB$181),"")</f>
        <v>3.2649353130000001</v>
      </c>
      <c r="AC181">
        <f ca="1">IFERROR(IF(0=LEN(ReferenceData!$AC$181),"",ReferenceData!$AC$181),"")</f>
        <v>3.1914259760000001</v>
      </c>
      <c r="AD181">
        <f ca="1">IFERROR(IF(0=LEN(ReferenceData!$AD$181),"",ReferenceData!$AD$181),"")</f>
        <v>2.9521649089999999</v>
      </c>
      <c r="AE181">
        <f ca="1">IFERROR(IF(0=LEN(ReferenceData!$AE$181),"",ReferenceData!$AE$181),"")</f>
        <v>3.2056236849999999</v>
      </c>
      <c r="AF181">
        <f ca="1">IFERROR(IF(0=LEN(ReferenceData!$AF$181),"",ReferenceData!$AF$181),"")</f>
        <v>2.0047380160000001</v>
      </c>
      <c r="AG181">
        <f ca="1">IFERROR(IF(0=LEN(ReferenceData!$AG$181),"",ReferenceData!$AG$181),"")</f>
        <v>2.159030225</v>
      </c>
      <c r="AH181">
        <f ca="1">IFERROR(IF(0=LEN(ReferenceData!$AH$181),"",ReferenceData!$AH$181),"")</f>
        <v>2.883832124</v>
      </c>
      <c r="AI181">
        <f ca="1">IFERROR(IF(0=LEN(ReferenceData!$AI$181),"",ReferenceData!$AI$181),"")</f>
        <v>2.7395522510000001</v>
      </c>
      <c r="AJ181">
        <f ca="1">IFERROR(IF(0=LEN(ReferenceData!$AJ$181),"",ReferenceData!$AJ$181),"")</f>
        <v>6.2473595700000004</v>
      </c>
      <c r="AK181">
        <f ca="1">IFERROR(IF(0=LEN(ReferenceData!$AK$181),"",ReferenceData!$AK$181),"")</f>
        <v>10.06523977</v>
      </c>
      <c r="AL181">
        <f ca="1">IFERROR(IF(0=LEN(ReferenceData!$AL$181),"",ReferenceData!$AL$181),"")</f>
        <v>24.32600463</v>
      </c>
      <c r="AM181" t="str">
        <f ca="1">IFERROR(IF(0=LEN(ReferenceData!$AM$181),"",ReferenceData!$AM$181),"")</f>
        <v/>
      </c>
      <c r="AN181" t="str">
        <f ca="1">IFERROR(IF(0=LEN(ReferenceData!$AN$181),"",ReferenceData!$AN$181),"")</f>
        <v/>
      </c>
      <c r="AO181" t="str">
        <f ca="1">IFERROR(IF(0=LEN(ReferenceData!$AO$181),"",ReferenceData!$AO$181),"")</f>
        <v/>
      </c>
      <c r="AP181" t="str">
        <f ca="1">IFERROR(IF(0=LEN(ReferenceData!$AP$181),"",ReferenceData!$AP$181),"")</f>
        <v/>
      </c>
      <c r="AQ181" t="str">
        <f ca="1">IFERROR(IF(0=LEN(ReferenceData!$AQ$181),"",ReferenceData!$AQ$181),"")</f>
        <v/>
      </c>
      <c r="AR181" t="str">
        <f ca="1">IFERROR(IF(0=LEN(ReferenceData!$AR$181),"",ReferenceData!$AR$181),"")</f>
        <v/>
      </c>
      <c r="AS181" t="str">
        <f ca="1">IFERROR(IF(0=LEN(ReferenceData!$AS$181),"",ReferenceData!$AS$181),"")</f>
        <v/>
      </c>
      <c r="AT181" t="str">
        <f ca="1">IFERROR(IF(0=LEN(ReferenceData!$AT$181),"",ReferenceData!$AT$181),"")</f>
        <v/>
      </c>
      <c r="AU181" t="str">
        <f ca="1">IFERROR(IF(0=LEN(ReferenceData!$AU$181),"",ReferenceData!$AU$181),"")</f>
        <v/>
      </c>
      <c r="AV181" t="str">
        <f ca="1">IFERROR(IF(0=LEN(ReferenceData!$AV$181),"",ReferenceData!$AV$181),"")</f>
        <v/>
      </c>
      <c r="AW181">
        <f ca="1">IFERROR(IF(0=LEN(ReferenceData!$AW$181),"",ReferenceData!$AW$181),"")</f>
        <v>3.960681202</v>
      </c>
      <c r="AX181">
        <f ca="1">IFERROR(IF(0=LEN(ReferenceData!$AX$181),"",ReferenceData!$AX$181),"")</f>
        <v>4.5492161600000003</v>
      </c>
      <c r="AY181">
        <f ca="1">IFERROR(IF(0=LEN(ReferenceData!$AY$181),"",ReferenceData!$AY$181),"")</f>
        <v>9.6174153649999994</v>
      </c>
      <c r="AZ181" t="str">
        <f ca="1">IFERROR(IF(0=LEN(ReferenceData!$AZ$181),"",ReferenceData!$AZ$181),"")</f>
        <v/>
      </c>
      <c r="BA181" t="str">
        <f ca="1">IFERROR(IF(0=LEN(ReferenceData!$BA$181),"",ReferenceData!$BA$181),"")</f>
        <v/>
      </c>
      <c r="BB181" t="str">
        <f ca="1">IFERROR(IF(0=LEN(ReferenceData!$BB$181),"",ReferenceData!$BB$181),"")</f>
        <v/>
      </c>
      <c r="BC181">
        <f ca="1">IFERROR(IF(0=LEN(ReferenceData!$BC$181),"",ReferenceData!$BC$181),"")</f>
        <v>8.0710659899999992</v>
      </c>
      <c r="BD181">
        <f ca="1">IFERROR(IF(0=LEN(ReferenceData!$BD$181),"",ReferenceData!$BD$181),"")</f>
        <v>8.7059898479999998</v>
      </c>
      <c r="BE181">
        <f ca="1">IFERROR(IF(0=LEN(ReferenceData!$BE$181),"",ReferenceData!$BE$181),"")</f>
        <v>1.6644561929999999</v>
      </c>
      <c r="BF181">
        <f ca="1">IFERROR(IF(0=LEN(ReferenceData!$BF$181),"",ReferenceData!$BF$181),"")</f>
        <v>2.5820605240000001</v>
      </c>
      <c r="BG181">
        <f ca="1">IFERROR(IF(0=LEN(ReferenceData!$BG$181),"",ReferenceData!$BG$181),"")</f>
        <v>2.076944578</v>
      </c>
      <c r="BH181">
        <f ca="1">IFERROR(IF(0=LEN(ReferenceData!$BH$181),"",ReferenceData!$BH$181),"")</f>
        <v>2.8967343730000001</v>
      </c>
      <c r="BI181">
        <f ca="1">IFERROR(IF(0=LEN(ReferenceData!$BI$181),"",ReferenceData!$BI$181),"")</f>
        <v>3.2331286320000001</v>
      </c>
      <c r="BJ181">
        <f ca="1">IFERROR(IF(0=LEN(ReferenceData!$BJ$181),"",ReferenceData!$BJ$181),"")</f>
        <v>1.4335646900000001</v>
      </c>
      <c r="BK181">
        <f ca="1">IFERROR(IF(0=LEN(ReferenceData!$BK$181),"",ReferenceData!$BK$181),"")</f>
        <v>3.8858397220000001</v>
      </c>
      <c r="BL181">
        <f ca="1">IFERROR(IF(0=LEN(ReferenceData!$BL$181),"",ReferenceData!$BL$181),"")</f>
        <v>3.6437753929999999</v>
      </c>
      <c r="BM181">
        <f ca="1">IFERROR(IF(0=LEN(ReferenceData!$BM$181),"",ReferenceData!$BM$181),"")</f>
        <v>4.4919476940000003</v>
      </c>
    </row>
    <row r="182" spans="1:65" x14ac:dyDescent="0.25">
      <c r="A182" t="str">
        <f>IFERROR(IF(0=LEN(ReferenceData!$A$182),"",ReferenceData!$A$182),"")</f>
        <v xml:space="preserve">    Ford Otomotiv Sanayi AS</v>
      </c>
      <c r="B182" t="str">
        <f>IFERROR(IF(0=LEN(ReferenceData!$B$182),"",ReferenceData!$B$182),"")</f>
        <v>FROTOTRY EO Equity</v>
      </c>
      <c r="C182" t="str">
        <f>IFERROR(IF(0=LEN(ReferenceData!$C$182),"",ReferenceData!$C$182),"")</f>
        <v>RX077</v>
      </c>
      <c r="D182" t="str">
        <f>IFERROR(IF(0=LEN(ReferenceData!$D$182),"",ReferenceData!$D$182),"")</f>
        <v>PX_TO_TANG_BOOK_VAL_PER_SH</v>
      </c>
      <c r="E182" t="str">
        <f>IFERROR(IF(0=LEN(ReferenceData!$E$182),"",ReferenceData!$E$182),"")</f>
        <v>Dynamic</v>
      </c>
      <c r="F182">
        <f ca="1">IFERROR(IF(0=LEN(ReferenceData!$F$182),"",ReferenceData!$F$182),"")</f>
        <v>5.6324875490000004</v>
      </c>
      <c r="G182">
        <f ca="1">IFERROR(IF(0=LEN(ReferenceData!$G$182),"",ReferenceData!$G$182),"")</f>
        <v>5.106516364</v>
      </c>
      <c r="H182">
        <f ca="1">IFERROR(IF(0=LEN(ReferenceData!$H$182),"",ReferenceData!$H$182),"")</f>
        <v>8.7842442770000009</v>
      </c>
      <c r="I182">
        <f ca="1">IFERROR(IF(0=LEN(ReferenceData!$I$182),"",ReferenceData!$I$182),"")</f>
        <v>7.5079537429999998</v>
      </c>
      <c r="J182">
        <f ca="1">IFERROR(IF(0=LEN(ReferenceData!$J$182),"",ReferenceData!$J$182),"")</f>
        <v>8.7136426900000004</v>
      </c>
      <c r="K182">
        <f ca="1">IFERROR(IF(0=LEN(ReferenceData!$K$182),"",ReferenceData!$K$182),"")</f>
        <v>7.0344943410000003</v>
      </c>
      <c r="L182">
        <f ca="1">IFERROR(IF(0=LEN(ReferenceData!$L$182),"",ReferenceData!$L$182),"")</f>
        <v>5.2900707709999999</v>
      </c>
      <c r="M182">
        <f ca="1">IFERROR(IF(0=LEN(ReferenceData!$M$182),"",ReferenceData!$M$182),"")</f>
        <v>5.522726327</v>
      </c>
      <c r="N182">
        <f ca="1">IFERROR(IF(0=LEN(ReferenceData!$N$182),"",ReferenceData!$N$182),"")</f>
        <v>5.2078179799999997</v>
      </c>
      <c r="O182">
        <f ca="1">IFERROR(IF(0=LEN(ReferenceData!$O$182),"",ReferenceData!$O$182),"")</f>
        <v>4.1097656740000001</v>
      </c>
      <c r="P182">
        <f ca="1">IFERROR(IF(0=LEN(ReferenceData!$P$182),"",ReferenceData!$P$182),"")</f>
        <v>4.0500242249999996</v>
      </c>
      <c r="Q182">
        <f ca="1">IFERROR(IF(0=LEN(ReferenceData!$Q$182),"",ReferenceData!$Q$182),"")</f>
        <v>4.0874839600000001</v>
      </c>
      <c r="R182">
        <f ca="1">IFERROR(IF(0=LEN(ReferenceData!$R$182),"",ReferenceData!$R$182),"")</f>
        <v>5.5037469159999999</v>
      </c>
      <c r="S182">
        <f ca="1">IFERROR(IF(0=LEN(ReferenceData!$S$182),"",ReferenceData!$S$182),"")</f>
        <v>4.2162632149999997</v>
      </c>
      <c r="T182">
        <f ca="1">IFERROR(IF(0=LEN(ReferenceData!$T$182),"",ReferenceData!$T$182),"")</f>
        <v>4.8828448489999996</v>
      </c>
      <c r="U182">
        <f ca="1">IFERROR(IF(0=LEN(ReferenceData!$U$182),"",ReferenceData!$U$182),"")</f>
        <v>5.3207934339999996</v>
      </c>
      <c r="V182">
        <f ca="1">IFERROR(IF(0=LEN(ReferenceData!$V$182),"",ReferenceData!$V$182),"")</f>
        <v>5.2068287279999996</v>
      </c>
      <c r="W182">
        <f ca="1">IFERROR(IF(0=LEN(ReferenceData!$W$182),"",ReferenceData!$W$182),"")</f>
        <v>5.1133330969999999</v>
      </c>
      <c r="X182">
        <f ca="1">IFERROR(IF(0=LEN(ReferenceData!$X$182),"",ReferenceData!$X$182),"")</f>
        <v>4.0746435209999996</v>
      </c>
      <c r="Y182">
        <f ca="1">IFERROR(IF(0=LEN(ReferenceData!$Y$182),"",ReferenceData!$Y$182),"")</f>
        <v>4.3327718219999998</v>
      </c>
      <c r="Z182">
        <f ca="1">IFERROR(IF(0=LEN(ReferenceData!$Z$182),"",ReferenceData!$Z$182),"")</f>
        <v>3.9096012400000002</v>
      </c>
      <c r="AA182">
        <f ca="1">IFERROR(IF(0=LEN(ReferenceData!$AA$182),"",ReferenceData!$AA$182),"")</f>
        <v>4.3736296870000002</v>
      </c>
      <c r="AB182">
        <f ca="1">IFERROR(IF(0=LEN(ReferenceData!$AB$182),"",ReferenceData!$AB$182),"")</f>
        <v>5.597050554</v>
      </c>
      <c r="AC182">
        <f ca="1">IFERROR(IF(0=LEN(ReferenceData!$AC$182),"",ReferenceData!$AC$182),"")</f>
        <v>5.2665834330000001</v>
      </c>
      <c r="AD182">
        <f ca="1">IFERROR(IF(0=LEN(ReferenceData!$AD$182),"",ReferenceData!$AD$182),"")</f>
        <v>5.7944591299999999</v>
      </c>
      <c r="AE182">
        <f ca="1">IFERROR(IF(0=LEN(ReferenceData!$AE$182),"",ReferenceData!$AE$182),"")</f>
        <v>4.2732921089999998</v>
      </c>
      <c r="AF182">
        <f ca="1">IFERROR(IF(0=LEN(ReferenceData!$AF$182),"",ReferenceData!$AF$182),"")</f>
        <v>3.2596132290000002</v>
      </c>
      <c r="AG182">
        <f ca="1">IFERROR(IF(0=LEN(ReferenceData!$AG$182),"",ReferenceData!$AG$182),"")</f>
        <v>3.0986714279999998</v>
      </c>
      <c r="AH182">
        <f ca="1">IFERROR(IF(0=LEN(ReferenceData!$AH$182),"",ReferenceData!$AH$182),"")</f>
        <v>3.4883830389999999</v>
      </c>
      <c r="AI182">
        <f ca="1">IFERROR(IF(0=LEN(ReferenceData!$AI$182),"",ReferenceData!$AI$182),"")</f>
        <v>2.8719398479999998</v>
      </c>
      <c r="AJ182">
        <f ca="1">IFERROR(IF(0=LEN(ReferenceData!$AJ$182),"",ReferenceData!$AJ$182),"")</f>
        <v>2.4048459270000002</v>
      </c>
      <c r="AK182">
        <f ca="1">IFERROR(IF(0=LEN(ReferenceData!$AK$182),"",ReferenceData!$AK$182),"")</f>
        <v>2.807488056</v>
      </c>
      <c r="AL182">
        <f ca="1">IFERROR(IF(0=LEN(ReferenceData!$AL$182),"",ReferenceData!$AL$182),"")</f>
        <v>3.3208379030000001</v>
      </c>
      <c r="AM182">
        <f ca="1">IFERROR(IF(0=LEN(ReferenceData!$AM$182),"",ReferenceData!$AM$182),"")</f>
        <v>2.673706197</v>
      </c>
      <c r="AN182">
        <f ca="1">IFERROR(IF(0=LEN(ReferenceData!$AN$182),"",ReferenceData!$AN$182),"")</f>
        <v>2.6193034960000001</v>
      </c>
      <c r="AO182">
        <f ca="1">IFERROR(IF(0=LEN(ReferenceData!$AO$182),"",ReferenceData!$AO$182),"")</f>
        <v>2.3384127480000001</v>
      </c>
      <c r="AP182">
        <f ca="1">IFERROR(IF(0=LEN(ReferenceData!$AP$182),"",ReferenceData!$AP$182),"")</f>
        <v>2.7259977530000001</v>
      </c>
      <c r="AQ182">
        <f ca="1">IFERROR(IF(0=LEN(ReferenceData!$AQ$182),"",ReferenceData!$AQ$182),"")</f>
        <v>1.9853498759999999</v>
      </c>
      <c r="AR182">
        <f ca="1">IFERROR(IF(0=LEN(ReferenceData!$AR$182),"",ReferenceData!$AR$182),"")</f>
        <v>1.83848352</v>
      </c>
      <c r="AS182">
        <f ca="1">IFERROR(IF(0=LEN(ReferenceData!$AS$182),"",ReferenceData!$AS$182),"")</f>
        <v>1.2546071050000001</v>
      </c>
      <c r="AT182">
        <f ca="1">IFERROR(IF(0=LEN(ReferenceData!$AT$182),"",ReferenceData!$AT$182),"")</f>
        <v>1.0032015430000001</v>
      </c>
      <c r="AU182">
        <f ca="1">IFERROR(IF(0=LEN(ReferenceData!$AU$182),"",ReferenceData!$AU$182),"")</f>
        <v>0.93102268200000005</v>
      </c>
      <c r="AV182">
        <f ca="1">IFERROR(IF(0=LEN(ReferenceData!$AV$182),"",ReferenceData!$AV$182),"")</f>
        <v>1.3589475660000001</v>
      </c>
      <c r="AW182">
        <f ca="1">IFERROR(IF(0=LEN(ReferenceData!$AW$182),"",ReferenceData!$AW$182),"")</f>
        <v>1.8174777449999999</v>
      </c>
      <c r="AX182">
        <f ca="1">IFERROR(IF(0=LEN(ReferenceData!$AX$182),"",ReferenceData!$AX$182),"")</f>
        <v>2.0306871950000001</v>
      </c>
      <c r="AY182">
        <f ca="1">IFERROR(IF(0=LEN(ReferenceData!$AY$182),"",ReferenceData!$AY$182),"")</f>
        <v>2.6178667820000001</v>
      </c>
      <c r="AZ182">
        <f ca="1">IFERROR(IF(0=LEN(ReferenceData!$AZ$182),"",ReferenceData!$AZ$182),"")</f>
        <v>2.6632909809999998</v>
      </c>
      <c r="BA182">
        <f ca="1">IFERROR(IF(0=LEN(ReferenceData!$BA$182),"",ReferenceData!$BA$182),"")</f>
        <v>2.7696970059999999</v>
      </c>
      <c r="BB182">
        <f ca="1">IFERROR(IF(0=LEN(ReferenceData!$BB$182),"",ReferenceData!$BB$182),"")</f>
        <v>2.9952042950000002</v>
      </c>
      <c r="BC182">
        <f ca="1">IFERROR(IF(0=LEN(ReferenceData!$BC$182),"",ReferenceData!$BC$182),"")</f>
        <v>2.6269985679999999</v>
      </c>
      <c r="BD182">
        <f ca="1">IFERROR(IF(0=LEN(ReferenceData!$BD$182),"",ReferenceData!$BD$182),"")</f>
        <v>2.5225582879999999</v>
      </c>
      <c r="BE182">
        <f ca="1">IFERROR(IF(0=LEN(ReferenceData!$BE$182),"",ReferenceData!$BE$182),"")</f>
        <v>2.357039281</v>
      </c>
      <c r="BF182">
        <f ca="1">IFERROR(IF(0=LEN(ReferenceData!$BF$182),"",ReferenceData!$BF$182),"")</f>
        <v>2.9575906779999999</v>
      </c>
      <c r="BG182">
        <f ca="1">IFERROR(IF(0=LEN(ReferenceData!$BG$182),"",ReferenceData!$BG$182),"")</f>
        <v>2.837562192</v>
      </c>
      <c r="BH182">
        <f ca="1">IFERROR(IF(0=LEN(ReferenceData!$BH$182),"",ReferenceData!$BH$182),"")</f>
        <v>2.3774095110000002</v>
      </c>
      <c r="BI182">
        <f ca="1">IFERROR(IF(0=LEN(ReferenceData!$BI$182),"",ReferenceData!$BI$182),"")</f>
        <v>2.134676373</v>
      </c>
      <c r="BJ182">
        <f ca="1">IFERROR(IF(0=LEN(ReferenceData!$BJ$182),"",ReferenceData!$BJ$182),"")</f>
        <v>2.2590897779999999</v>
      </c>
      <c r="BK182">
        <f ca="1">IFERROR(IF(0=LEN(ReferenceData!$BK$182),"",ReferenceData!$BK$182),"")</f>
        <v>2.219443273</v>
      </c>
      <c r="BL182">
        <f ca="1">IFERROR(IF(0=LEN(ReferenceData!$BL$182),"",ReferenceData!$BL$182),"")</f>
        <v>2.5907186599999998</v>
      </c>
      <c r="BM182">
        <f ca="1">IFERROR(IF(0=LEN(ReferenceData!$BM$182),"",ReferenceData!$BM$182),"")</f>
        <v>2.6209610109999999</v>
      </c>
    </row>
    <row r="183" spans="1:65" x14ac:dyDescent="0.25">
      <c r="A183" t="str">
        <f>IFERROR(IF(0=LEN(ReferenceData!$A$183),"",ReferenceData!$A$183),"")</f>
        <v xml:space="preserve">    GAZ PJSC</v>
      </c>
      <c r="B183" t="str">
        <f>IFERROR(IF(0=LEN(ReferenceData!$B$183),"",ReferenceData!$B$183),"")</f>
        <v>GAZA RM Equity</v>
      </c>
      <c r="C183" t="str">
        <f>IFERROR(IF(0=LEN(ReferenceData!$C$183),"",ReferenceData!$C$183),"")</f>
        <v>RX077</v>
      </c>
      <c r="D183" t="str">
        <f>IFERROR(IF(0=LEN(ReferenceData!$D$183),"",ReferenceData!$D$183),"")</f>
        <v>PX_TO_TANG_BOOK_VAL_PER_SH</v>
      </c>
      <c r="E183" t="str">
        <f>IFERROR(IF(0=LEN(ReferenceData!$E$183),"",ReferenceData!$E$183),"")</f>
        <v>Dynamic</v>
      </c>
      <c r="F183" t="str">
        <f ca="1">IFERROR(IF(0=LEN(ReferenceData!$F$183),"",ReferenceData!$F$183),"")</f>
        <v/>
      </c>
      <c r="G183" t="str">
        <f ca="1">IFERROR(IF(0=LEN(ReferenceData!$G$183),"",ReferenceData!$G$183),"")</f>
        <v/>
      </c>
      <c r="H183" t="str">
        <f ca="1">IFERROR(IF(0=LEN(ReferenceData!$H$183),"",ReferenceData!$H$183),"")</f>
        <v/>
      </c>
      <c r="I183" t="str">
        <f ca="1">IFERROR(IF(0=LEN(ReferenceData!$I$183),"",ReferenceData!$I$183),"")</f>
        <v/>
      </c>
      <c r="J183" t="str">
        <f ca="1">IFERROR(IF(0=LEN(ReferenceData!$J$183),"",ReferenceData!$J$183),"")</f>
        <v/>
      </c>
      <c r="K183" t="str">
        <f ca="1">IFERROR(IF(0=LEN(ReferenceData!$K$183),"",ReferenceData!$K$183),"")</f>
        <v/>
      </c>
      <c r="L183" t="str">
        <f ca="1">IFERROR(IF(0=LEN(ReferenceData!$L$183),"",ReferenceData!$L$183),"")</f>
        <v/>
      </c>
      <c r="M183" t="str">
        <f ca="1">IFERROR(IF(0=LEN(ReferenceData!$M$183),"",ReferenceData!$M$183),"")</f>
        <v/>
      </c>
      <c r="N183" t="str">
        <f ca="1">IFERROR(IF(0=LEN(ReferenceData!$N$183),"",ReferenceData!$N$183),"")</f>
        <v/>
      </c>
      <c r="O183" t="str">
        <f ca="1">IFERROR(IF(0=LEN(ReferenceData!$O$183),"",ReferenceData!$O$183),"")</f>
        <v/>
      </c>
      <c r="P183" t="str">
        <f ca="1">IFERROR(IF(0=LEN(ReferenceData!$P$183),"",ReferenceData!$P$183),"")</f>
        <v/>
      </c>
      <c r="Q183" t="str">
        <f ca="1">IFERROR(IF(0=LEN(ReferenceData!$Q$183),"",ReferenceData!$Q$183),"")</f>
        <v/>
      </c>
      <c r="R183" t="str">
        <f ca="1">IFERROR(IF(0=LEN(ReferenceData!$R$183),"",ReferenceData!$R$183),"")</f>
        <v/>
      </c>
      <c r="S183" t="str">
        <f ca="1">IFERROR(IF(0=LEN(ReferenceData!$S$183),"",ReferenceData!$S$183),"")</f>
        <v/>
      </c>
      <c r="T183" t="str">
        <f ca="1">IFERROR(IF(0=LEN(ReferenceData!$T$183),"",ReferenceData!$T$183),"")</f>
        <v/>
      </c>
      <c r="U183" t="str">
        <f ca="1">IFERROR(IF(0=LEN(ReferenceData!$U$183),"",ReferenceData!$U$183),"")</f>
        <v/>
      </c>
      <c r="V183" t="str">
        <f ca="1">IFERROR(IF(0=LEN(ReferenceData!$V$183),"",ReferenceData!$V$183),"")</f>
        <v/>
      </c>
      <c r="W183" t="str">
        <f ca="1">IFERROR(IF(0=LEN(ReferenceData!$W$183),"",ReferenceData!$W$183),"")</f>
        <v/>
      </c>
      <c r="X183" t="str">
        <f ca="1">IFERROR(IF(0=LEN(ReferenceData!$X$183),"",ReferenceData!$X$183),"")</f>
        <v/>
      </c>
      <c r="Y183" t="str">
        <f ca="1">IFERROR(IF(0=LEN(ReferenceData!$Y$183),"",ReferenceData!$Y$183),"")</f>
        <v/>
      </c>
      <c r="Z183" t="str">
        <f ca="1">IFERROR(IF(0=LEN(ReferenceData!$Z$183),"",ReferenceData!$Z$183),"")</f>
        <v/>
      </c>
      <c r="AA183" t="str">
        <f ca="1">IFERROR(IF(0=LEN(ReferenceData!$AA$183),"",ReferenceData!$AA$183),"")</f>
        <v/>
      </c>
      <c r="AB183" t="str">
        <f ca="1">IFERROR(IF(0=LEN(ReferenceData!$AB$183),"",ReferenceData!$AB$183),"")</f>
        <v/>
      </c>
      <c r="AC183" t="str">
        <f ca="1">IFERROR(IF(0=LEN(ReferenceData!$AC$183),"",ReferenceData!$AC$183),"")</f>
        <v/>
      </c>
      <c r="AD183" t="str">
        <f ca="1">IFERROR(IF(0=LEN(ReferenceData!$AD$183),"",ReferenceData!$AD$183),"")</f>
        <v/>
      </c>
      <c r="AE183" t="str">
        <f ca="1">IFERROR(IF(0=LEN(ReferenceData!$AE$183),"",ReferenceData!$AE$183),"")</f>
        <v/>
      </c>
      <c r="AF183" t="str">
        <f ca="1">IFERROR(IF(0=LEN(ReferenceData!$AF$183),"",ReferenceData!$AF$183),"")</f>
        <v/>
      </c>
      <c r="AG183" t="str">
        <f ca="1">IFERROR(IF(0=LEN(ReferenceData!$AG$183),"",ReferenceData!$AG$183),"")</f>
        <v/>
      </c>
      <c r="AH183" t="str">
        <f ca="1">IFERROR(IF(0=LEN(ReferenceData!$AH$183),"",ReferenceData!$AH$183),"")</f>
        <v/>
      </c>
      <c r="AI183" t="str">
        <f ca="1">IFERROR(IF(0=LEN(ReferenceData!$AI$183),"",ReferenceData!$AI$183),"")</f>
        <v/>
      </c>
      <c r="AJ183" t="str">
        <f ca="1">IFERROR(IF(0=LEN(ReferenceData!$AJ$183),"",ReferenceData!$AJ$183),"")</f>
        <v/>
      </c>
      <c r="AK183" t="str">
        <f ca="1">IFERROR(IF(0=LEN(ReferenceData!$AK$183),"",ReferenceData!$AK$183),"")</f>
        <v/>
      </c>
      <c r="AL183" t="str">
        <f ca="1">IFERROR(IF(0=LEN(ReferenceData!$AL$183),"",ReferenceData!$AL$183),"")</f>
        <v/>
      </c>
      <c r="AM183" t="str">
        <f ca="1">IFERROR(IF(0=LEN(ReferenceData!$AM$183),"",ReferenceData!$AM$183),"")</f>
        <v/>
      </c>
      <c r="AN183" t="str">
        <f ca="1">IFERROR(IF(0=LEN(ReferenceData!$AN$183),"",ReferenceData!$AN$183),"")</f>
        <v/>
      </c>
      <c r="AO183" t="str">
        <f ca="1">IFERROR(IF(0=LEN(ReferenceData!$AO$183),"",ReferenceData!$AO$183),"")</f>
        <v/>
      </c>
      <c r="AP183" t="str">
        <f ca="1">IFERROR(IF(0=LEN(ReferenceData!$AP$183),"",ReferenceData!$AP$183),"")</f>
        <v/>
      </c>
      <c r="AQ183" t="str">
        <f ca="1">IFERROR(IF(0=LEN(ReferenceData!$AQ$183),"",ReferenceData!$AQ$183),"")</f>
        <v/>
      </c>
      <c r="AR183" t="str">
        <f ca="1">IFERROR(IF(0=LEN(ReferenceData!$AR$183),"",ReferenceData!$AR$183),"")</f>
        <v/>
      </c>
      <c r="AS183" t="str">
        <f ca="1">IFERROR(IF(0=LEN(ReferenceData!$AS$183),"",ReferenceData!$AS$183),"")</f>
        <v/>
      </c>
      <c r="AT183" t="str">
        <f ca="1">IFERROR(IF(0=LEN(ReferenceData!$AT$183),"",ReferenceData!$AT$183),"")</f>
        <v/>
      </c>
      <c r="AU183" t="str">
        <f ca="1">IFERROR(IF(0=LEN(ReferenceData!$AU$183),"",ReferenceData!$AU$183),"")</f>
        <v/>
      </c>
      <c r="AV183" t="str">
        <f ca="1">IFERROR(IF(0=LEN(ReferenceData!$AV$183),"",ReferenceData!$AV$183),"")</f>
        <v/>
      </c>
      <c r="AW183" t="str">
        <f ca="1">IFERROR(IF(0=LEN(ReferenceData!$AW$183),"",ReferenceData!$AW$183),"")</f>
        <v/>
      </c>
      <c r="AX183" t="str">
        <f ca="1">IFERROR(IF(0=LEN(ReferenceData!$AX$183),"",ReferenceData!$AX$183),"")</f>
        <v/>
      </c>
      <c r="AY183" t="str">
        <f ca="1">IFERROR(IF(0=LEN(ReferenceData!$AY$183),"",ReferenceData!$AY$183),"")</f>
        <v/>
      </c>
      <c r="AZ183" t="str">
        <f ca="1">IFERROR(IF(0=LEN(ReferenceData!$AZ$183),"",ReferenceData!$AZ$183),"")</f>
        <v/>
      </c>
      <c r="BA183" t="str">
        <f ca="1">IFERROR(IF(0=LEN(ReferenceData!$BA$183),"",ReferenceData!$BA$183),"")</f>
        <v/>
      </c>
      <c r="BB183" t="str">
        <f ca="1">IFERROR(IF(0=LEN(ReferenceData!$BB$183),"",ReferenceData!$BB$183),"")</f>
        <v/>
      </c>
      <c r="BC183" t="str">
        <f ca="1">IFERROR(IF(0=LEN(ReferenceData!$BC$183),"",ReferenceData!$BC$183),"")</f>
        <v/>
      </c>
      <c r="BD183" t="str">
        <f ca="1">IFERROR(IF(0=LEN(ReferenceData!$BD$183),"",ReferenceData!$BD$183),"")</f>
        <v/>
      </c>
      <c r="BE183" t="str">
        <f ca="1">IFERROR(IF(0=LEN(ReferenceData!$BE$183),"",ReferenceData!$BE$183),"")</f>
        <v/>
      </c>
      <c r="BF183" t="str">
        <f ca="1">IFERROR(IF(0=LEN(ReferenceData!$BF$183),"",ReferenceData!$BF$183),"")</f>
        <v/>
      </c>
      <c r="BG183" t="str">
        <f ca="1">IFERROR(IF(0=LEN(ReferenceData!$BG$183),"",ReferenceData!$BG$183),"")</f>
        <v/>
      </c>
      <c r="BH183" t="str">
        <f ca="1">IFERROR(IF(0=LEN(ReferenceData!$BH$183),"",ReferenceData!$BH$183),"")</f>
        <v/>
      </c>
      <c r="BI183" t="str">
        <f ca="1">IFERROR(IF(0=LEN(ReferenceData!$BI$183),"",ReferenceData!$BI$183),"")</f>
        <v/>
      </c>
      <c r="BJ183" t="str">
        <f ca="1">IFERROR(IF(0=LEN(ReferenceData!$BJ$183),"",ReferenceData!$BJ$183),"")</f>
        <v/>
      </c>
      <c r="BK183" t="str">
        <f ca="1">IFERROR(IF(0=LEN(ReferenceData!$BK$183),"",ReferenceData!$BK$183),"")</f>
        <v/>
      </c>
      <c r="BL183" t="str">
        <f ca="1">IFERROR(IF(0=LEN(ReferenceData!$BL$183),"",ReferenceData!$BL$183),"")</f>
        <v/>
      </c>
      <c r="BM183" t="str">
        <f ca="1">IFERROR(IF(0=LEN(ReferenceData!$BM$183),"",ReferenceData!$BM$183),"")</f>
        <v/>
      </c>
    </row>
    <row r="184" spans="1:65" x14ac:dyDescent="0.25">
      <c r="A184" t="str">
        <f>IFERROR(IF(0=LEN(ReferenceData!$A$184),"",ReferenceData!$A$184),"")</f>
        <v xml:space="preserve">    Geely Automobile Holdings Ltd</v>
      </c>
      <c r="B184" t="str">
        <f>IFERROR(IF(0=LEN(ReferenceData!$B$184),"",ReferenceData!$B$184),"")</f>
        <v>175 HK Equity</v>
      </c>
      <c r="C184" t="str">
        <f>IFERROR(IF(0=LEN(ReferenceData!$C$184),"",ReferenceData!$C$184),"")</f>
        <v>RX077</v>
      </c>
      <c r="D184" t="str">
        <f>IFERROR(IF(0=LEN(ReferenceData!$D$184),"",ReferenceData!$D$184),"")</f>
        <v>PX_TO_TANG_BOOK_VAL_PER_SH</v>
      </c>
      <c r="E184" t="str">
        <f>IFERROR(IF(0=LEN(ReferenceData!$E$184),"",ReferenceData!$E$184),"")</f>
        <v>Dynamic</v>
      </c>
      <c r="F184" t="str">
        <f ca="1">IFERROR(IF(0=LEN(ReferenceData!$F$184),"",ReferenceData!$F$184),"")</f>
        <v/>
      </c>
      <c r="G184" t="str">
        <f ca="1">IFERROR(IF(0=LEN(ReferenceData!$G$184),"",ReferenceData!$G$184),"")</f>
        <v/>
      </c>
      <c r="H184" t="str">
        <f ca="1">IFERROR(IF(0=LEN(ReferenceData!$H$184),"",ReferenceData!$H$184),"")</f>
        <v/>
      </c>
      <c r="I184" t="str">
        <f ca="1">IFERROR(IF(0=LEN(ReferenceData!$I$184),"",ReferenceData!$I$184),"")</f>
        <v/>
      </c>
      <c r="J184" t="str">
        <f ca="1">IFERROR(IF(0=LEN(ReferenceData!$J$184),"",ReferenceData!$J$184),"")</f>
        <v/>
      </c>
      <c r="K184" t="str">
        <f ca="1">IFERROR(IF(0=LEN(ReferenceData!$K$184),"",ReferenceData!$K$184),"")</f>
        <v/>
      </c>
      <c r="L184" t="str">
        <f ca="1">IFERROR(IF(0=LEN(ReferenceData!$L$184),"",ReferenceData!$L$184),"")</f>
        <v/>
      </c>
      <c r="M184" t="str">
        <f ca="1">IFERROR(IF(0=LEN(ReferenceData!$M$184),"",ReferenceData!$M$184),"")</f>
        <v/>
      </c>
      <c r="N184" t="str">
        <f ca="1">IFERROR(IF(0=LEN(ReferenceData!$N$184),"",ReferenceData!$N$184),"")</f>
        <v/>
      </c>
      <c r="O184" t="str">
        <f ca="1">IFERROR(IF(0=LEN(ReferenceData!$O$184),"",ReferenceData!$O$184),"")</f>
        <v/>
      </c>
      <c r="P184" t="str">
        <f ca="1">IFERROR(IF(0=LEN(ReferenceData!$P$184),"",ReferenceData!$P$184),"")</f>
        <v/>
      </c>
      <c r="Q184" t="str">
        <f ca="1">IFERROR(IF(0=LEN(ReferenceData!$Q$184),"",ReferenceData!$Q$184),"")</f>
        <v/>
      </c>
      <c r="R184" t="str">
        <f ca="1">IFERROR(IF(0=LEN(ReferenceData!$R$184),"",ReferenceData!$R$184),"")</f>
        <v/>
      </c>
      <c r="S184" t="str">
        <f ca="1">IFERROR(IF(0=LEN(ReferenceData!$S$184),"",ReferenceData!$S$184),"")</f>
        <v/>
      </c>
      <c r="T184" t="str">
        <f ca="1">IFERROR(IF(0=LEN(ReferenceData!$T$184),"",ReferenceData!$T$184),"")</f>
        <v/>
      </c>
      <c r="U184" t="str">
        <f ca="1">IFERROR(IF(0=LEN(ReferenceData!$U$184),"",ReferenceData!$U$184),"")</f>
        <v/>
      </c>
      <c r="V184" t="str">
        <f ca="1">IFERROR(IF(0=LEN(ReferenceData!$V$184),"",ReferenceData!$V$184),"")</f>
        <v/>
      </c>
      <c r="W184" t="str">
        <f ca="1">IFERROR(IF(0=LEN(ReferenceData!$W$184),"",ReferenceData!$W$184),"")</f>
        <v/>
      </c>
      <c r="X184" t="str">
        <f ca="1">IFERROR(IF(0=LEN(ReferenceData!$X$184),"",ReferenceData!$X$184),"")</f>
        <v/>
      </c>
      <c r="Y184" t="str">
        <f ca="1">IFERROR(IF(0=LEN(ReferenceData!$Y$184),"",ReferenceData!$Y$184),"")</f>
        <v/>
      </c>
      <c r="Z184" t="str">
        <f ca="1">IFERROR(IF(0=LEN(ReferenceData!$Z$184),"",ReferenceData!$Z$184),"")</f>
        <v/>
      </c>
      <c r="AA184" t="str">
        <f ca="1">IFERROR(IF(0=LEN(ReferenceData!$AA$184),"",ReferenceData!$AA$184),"")</f>
        <v/>
      </c>
      <c r="AB184" t="str">
        <f ca="1">IFERROR(IF(0=LEN(ReferenceData!$AB$184),"",ReferenceData!$AB$184),"")</f>
        <v/>
      </c>
      <c r="AC184" t="str">
        <f ca="1">IFERROR(IF(0=LEN(ReferenceData!$AC$184),"",ReferenceData!$AC$184),"")</f>
        <v/>
      </c>
      <c r="AD184" t="str">
        <f ca="1">IFERROR(IF(0=LEN(ReferenceData!$AD$184),"",ReferenceData!$AD$184),"")</f>
        <v/>
      </c>
      <c r="AE184" t="str">
        <f ca="1">IFERROR(IF(0=LEN(ReferenceData!$AE$184),"",ReferenceData!$AE$184),"")</f>
        <v/>
      </c>
      <c r="AF184" t="str">
        <f ca="1">IFERROR(IF(0=LEN(ReferenceData!$AF$184),"",ReferenceData!$AF$184),"")</f>
        <v/>
      </c>
      <c r="AG184" t="str">
        <f ca="1">IFERROR(IF(0=LEN(ReferenceData!$AG$184),"",ReferenceData!$AG$184),"")</f>
        <v/>
      </c>
      <c r="AH184" t="str">
        <f ca="1">IFERROR(IF(0=LEN(ReferenceData!$AH$184),"",ReferenceData!$AH$184),"")</f>
        <v/>
      </c>
      <c r="AI184" t="str">
        <f ca="1">IFERROR(IF(0=LEN(ReferenceData!$AI$184),"",ReferenceData!$AI$184),"")</f>
        <v/>
      </c>
      <c r="AJ184" t="str">
        <f ca="1">IFERROR(IF(0=LEN(ReferenceData!$AJ$184),"",ReferenceData!$AJ$184),"")</f>
        <v/>
      </c>
      <c r="AK184" t="str">
        <f ca="1">IFERROR(IF(0=LEN(ReferenceData!$AK$184),"",ReferenceData!$AK$184),"")</f>
        <v/>
      </c>
      <c r="AL184" t="str">
        <f ca="1">IFERROR(IF(0=LEN(ReferenceData!$AL$184),"",ReferenceData!$AL$184),"")</f>
        <v/>
      </c>
      <c r="AM184" t="str">
        <f ca="1">IFERROR(IF(0=LEN(ReferenceData!$AM$184),"",ReferenceData!$AM$184),"")</f>
        <v/>
      </c>
      <c r="AN184" t="str">
        <f ca="1">IFERROR(IF(0=LEN(ReferenceData!$AN$184),"",ReferenceData!$AN$184),"")</f>
        <v/>
      </c>
      <c r="AO184" t="str">
        <f ca="1">IFERROR(IF(0=LEN(ReferenceData!$AO$184),"",ReferenceData!$AO$184),"")</f>
        <v/>
      </c>
      <c r="AP184" t="str">
        <f ca="1">IFERROR(IF(0=LEN(ReferenceData!$AP$184),"",ReferenceData!$AP$184),"")</f>
        <v/>
      </c>
      <c r="AQ184" t="str">
        <f ca="1">IFERROR(IF(0=LEN(ReferenceData!$AQ$184),"",ReferenceData!$AQ$184),"")</f>
        <v/>
      </c>
      <c r="AR184" t="str">
        <f ca="1">IFERROR(IF(0=LEN(ReferenceData!$AR$184),"",ReferenceData!$AR$184),"")</f>
        <v/>
      </c>
      <c r="AS184" t="str">
        <f ca="1">IFERROR(IF(0=LEN(ReferenceData!$AS$184),"",ReferenceData!$AS$184),"")</f>
        <v/>
      </c>
      <c r="AT184" t="str">
        <f ca="1">IFERROR(IF(0=LEN(ReferenceData!$AT$184),"",ReferenceData!$AT$184),"")</f>
        <v/>
      </c>
      <c r="AU184" t="str">
        <f ca="1">IFERROR(IF(0=LEN(ReferenceData!$AU$184),"",ReferenceData!$AU$184),"")</f>
        <v/>
      </c>
      <c r="AV184" t="str">
        <f ca="1">IFERROR(IF(0=LEN(ReferenceData!$AV$184),"",ReferenceData!$AV$184),"")</f>
        <v/>
      </c>
      <c r="AW184" t="str">
        <f ca="1">IFERROR(IF(0=LEN(ReferenceData!$AW$184),"",ReferenceData!$AW$184),"")</f>
        <v/>
      </c>
      <c r="AX184" t="str">
        <f ca="1">IFERROR(IF(0=LEN(ReferenceData!$AX$184),"",ReferenceData!$AX$184),"")</f>
        <v/>
      </c>
      <c r="AY184" t="str">
        <f ca="1">IFERROR(IF(0=LEN(ReferenceData!$AY$184),"",ReferenceData!$AY$184),"")</f>
        <v/>
      </c>
      <c r="AZ184" t="str">
        <f ca="1">IFERROR(IF(0=LEN(ReferenceData!$AZ$184),"",ReferenceData!$AZ$184),"")</f>
        <v/>
      </c>
      <c r="BA184" t="str">
        <f ca="1">IFERROR(IF(0=LEN(ReferenceData!$BA$184),"",ReferenceData!$BA$184),"")</f>
        <v/>
      </c>
      <c r="BB184" t="str">
        <f ca="1">IFERROR(IF(0=LEN(ReferenceData!$BB$184),"",ReferenceData!$BB$184),"")</f>
        <v/>
      </c>
      <c r="BC184" t="str">
        <f ca="1">IFERROR(IF(0=LEN(ReferenceData!$BC$184),"",ReferenceData!$BC$184),"")</f>
        <v/>
      </c>
      <c r="BD184" t="str">
        <f ca="1">IFERROR(IF(0=LEN(ReferenceData!$BD$184),"",ReferenceData!$BD$184),"")</f>
        <v/>
      </c>
      <c r="BE184" t="str">
        <f ca="1">IFERROR(IF(0=LEN(ReferenceData!$BE$184),"",ReferenceData!$BE$184),"")</f>
        <v/>
      </c>
      <c r="BF184" t="str">
        <f ca="1">IFERROR(IF(0=LEN(ReferenceData!$BF$184),"",ReferenceData!$BF$184),"")</f>
        <v/>
      </c>
      <c r="BG184" t="str">
        <f ca="1">IFERROR(IF(0=LEN(ReferenceData!$BG$184),"",ReferenceData!$BG$184),"")</f>
        <v/>
      </c>
      <c r="BH184" t="str">
        <f ca="1">IFERROR(IF(0=LEN(ReferenceData!$BH$184),"",ReferenceData!$BH$184),"")</f>
        <v/>
      </c>
      <c r="BI184" t="str">
        <f ca="1">IFERROR(IF(0=LEN(ReferenceData!$BI$184),"",ReferenceData!$BI$184),"")</f>
        <v/>
      </c>
      <c r="BJ184" t="str">
        <f ca="1">IFERROR(IF(0=LEN(ReferenceData!$BJ$184),"",ReferenceData!$BJ$184),"")</f>
        <v/>
      </c>
      <c r="BK184" t="str">
        <f ca="1">IFERROR(IF(0=LEN(ReferenceData!$BK$184),"",ReferenceData!$BK$184),"")</f>
        <v/>
      </c>
      <c r="BL184" t="str">
        <f ca="1">IFERROR(IF(0=LEN(ReferenceData!$BL$184),"",ReferenceData!$BL$184),"")</f>
        <v/>
      </c>
      <c r="BM184" t="str">
        <f ca="1">IFERROR(IF(0=LEN(ReferenceData!$BM$184),"",ReferenceData!$BM$184),"")</f>
        <v/>
      </c>
    </row>
    <row r="185" spans="1:65" x14ac:dyDescent="0.25">
      <c r="A185" t="str">
        <f>IFERROR(IF(0=LEN(ReferenceData!$A$185),"",ReferenceData!$A$185),"")</f>
        <v xml:space="preserve">    General Motors Co</v>
      </c>
      <c r="B185" t="str">
        <f>IFERROR(IF(0=LEN(ReferenceData!$B$185),"",ReferenceData!$B$185),"")</f>
        <v>GM US Equity</v>
      </c>
      <c r="C185" t="str">
        <f>IFERROR(IF(0=LEN(ReferenceData!$C$185),"",ReferenceData!$C$185),"")</f>
        <v>RX077</v>
      </c>
      <c r="D185" t="str">
        <f>IFERROR(IF(0=LEN(ReferenceData!$D$185),"",ReferenceData!$D$185),"")</f>
        <v>PX_TO_TANG_BOOK_VAL_PER_SH</v>
      </c>
      <c r="E185" t="str">
        <f>IFERROR(IF(0=LEN(ReferenceData!$E$185),"",ReferenceData!$E$185),"")</f>
        <v>Dynamic</v>
      </c>
      <c r="F185">
        <f ca="1">IFERROR(IF(0=LEN(ReferenceData!$F$185),"",ReferenceData!$F$185),"")</f>
        <v>1.65214393</v>
      </c>
      <c r="G185">
        <f ca="1">IFERROR(IF(0=LEN(ReferenceData!$G$185),"",ReferenceData!$G$185),"")</f>
        <v>1.4071091609999999</v>
      </c>
      <c r="H185">
        <f ca="1">IFERROR(IF(0=LEN(ReferenceData!$H$185),"",ReferenceData!$H$185),"")</f>
        <v>1.4544276460000001</v>
      </c>
      <c r="I185">
        <f ca="1">IFERROR(IF(0=LEN(ReferenceData!$I$185),"",ReferenceData!$I$185),"")</f>
        <v>1.810840091</v>
      </c>
      <c r="J185">
        <f ca="1">IFERROR(IF(0=LEN(ReferenceData!$J$185),"",ReferenceData!$J$185),"")</f>
        <v>1.784621861</v>
      </c>
      <c r="K185">
        <f ca="1">IFERROR(IF(0=LEN(ReferenceData!$K$185),"",ReferenceData!$K$185),"")</f>
        <v>1.968509879</v>
      </c>
      <c r="L185">
        <f ca="1">IFERROR(IF(0=LEN(ReferenceData!$L$185),"",ReferenceData!$L$185),"")</f>
        <v>1.553546401</v>
      </c>
      <c r="M185">
        <f ca="1">IFERROR(IF(0=LEN(ReferenceData!$M$185),"",ReferenceData!$M$185),"")</f>
        <v>1.3253819689999999</v>
      </c>
      <c r="N185">
        <f ca="1">IFERROR(IF(0=LEN(ReferenceData!$N$185),"",ReferenceData!$N$185),"")</f>
        <v>1.3333668519999999</v>
      </c>
      <c r="O185">
        <f ca="1">IFERROR(IF(0=LEN(ReferenceData!$O$185),"",ReferenceData!$O$185),"")</f>
        <v>1.3866850639999999</v>
      </c>
      <c r="P185">
        <f ca="1">IFERROR(IF(0=LEN(ReferenceData!$P$185),"",ReferenceData!$P$185),"")</f>
        <v>1.242115415</v>
      </c>
      <c r="Q185">
        <f ca="1">IFERROR(IF(0=LEN(ReferenceData!$Q$185),"",ReferenceData!$Q$185),"")</f>
        <v>1.217302471</v>
      </c>
      <c r="R185">
        <f ca="1">IFERROR(IF(0=LEN(ReferenceData!$R$185),"",ReferenceData!$R$185),"")</f>
        <v>1.3454239320000001</v>
      </c>
      <c r="S185">
        <f ca="1">IFERROR(IF(0=LEN(ReferenceData!$S$185),"",ReferenceData!$S$185),"")</f>
        <v>1.5038026179999999</v>
      </c>
      <c r="T185">
        <f ca="1">IFERROR(IF(0=LEN(ReferenceData!$T$185),"",ReferenceData!$T$185),"")</f>
        <v>1.6820872</v>
      </c>
      <c r="U185">
        <f ca="1">IFERROR(IF(0=LEN(ReferenceData!$U$185),"",ReferenceData!$U$185),"")</f>
        <v>1.8411185910000001</v>
      </c>
      <c r="V185">
        <f ca="1">IFERROR(IF(0=LEN(ReferenceData!$V$185),"",ReferenceData!$V$185),"")</f>
        <v>1.99786894</v>
      </c>
      <c r="W185">
        <f ca="1">IFERROR(IF(0=LEN(ReferenceData!$W$185),"",ReferenceData!$W$185),"")</f>
        <v>1.922952456</v>
      </c>
      <c r="X185">
        <f ca="1">IFERROR(IF(0=LEN(ReferenceData!$X$185),"",ReferenceData!$X$185),"")</f>
        <v>1.537008632</v>
      </c>
      <c r="Y185">
        <f ca="1">IFERROR(IF(0=LEN(ReferenceData!$Y$185),"",ReferenceData!$Y$185),"")</f>
        <v>1.8097968339999999</v>
      </c>
      <c r="Z185">
        <f ca="1">IFERROR(IF(0=LEN(ReferenceData!$Z$185),"",ReferenceData!$Z$185),"")</f>
        <v>1.7152111619999999</v>
      </c>
      <c r="AA185">
        <f ca="1">IFERROR(IF(0=LEN(ReferenceData!$AA$185),"",ReferenceData!$AA$185),"")</f>
        <v>1.773101952</v>
      </c>
      <c r="AB185">
        <f ca="1">IFERROR(IF(0=LEN(ReferenceData!$AB$185),"",ReferenceData!$AB$185),"")</f>
        <v>2.4568473439999998</v>
      </c>
      <c r="AC185">
        <f ca="1">IFERROR(IF(0=LEN(ReferenceData!$AC$185),"",ReferenceData!$AC$185),"")</f>
        <v>2.4048061060000001</v>
      </c>
      <c r="AD185">
        <f ca="1">IFERROR(IF(0=LEN(ReferenceData!$AD$185),"",ReferenceData!$AD$185),"")</f>
        <v>2.1363611429999998</v>
      </c>
      <c r="AE185">
        <f ca="1">IFERROR(IF(0=LEN(ReferenceData!$AE$185),"",ReferenceData!$AE$185),"")</f>
        <v>2.3075712469999998</v>
      </c>
      <c r="AF185" t="str">
        <f ca="1">IFERROR(IF(0=LEN(ReferenceData!$AF$185),"",ReferenceData!$AF$185),"")</f>
        <v/>
      </c>
      <c r="AG185" t="str">
        <f ca="1">IFERROR(IF(0=LEN(ReferenceData!$AG$185),"",ReferenceData!$AG$185),"")</f>
        <v/>
      </c>
      <c r="AH185" t="str">
        <f ca="1">IFERROR(IF(0=LEN(ReferenceData!$AH$185),"",ReferenceData!$AH$185),"")</f>
        <v/>
      </c>
      <c r="AI185" t="str">
        <f ca="1">IFERROR(IF(0=LEN(ReferenceData!$AI$185),"",ReferenceData!$AI$185),"")</f>
        <v/>
      </c>
      <c r="AJ185" t="str">
        <f ca="1">IFERROR(IF(0=LEN(ReferenceData!$AJ$185),"",ReferenceData!$AJ$185),"")</f>
        <v/>
      </c>
      <c r="AK185" t="str">
        <f ca="1">IFERROR(IF(0=LEN(ReferenceData!$AK$185),"",ReferenceData!$AK$185),"")</f>
        <v/>
      </c>
      <c r="AL185" t="str">
        <f ca="1">IFERROR(IF(0=LEN(ReferenceData!$AL$185),"",ReferenceData!$AL$185),"")</f>
        <v/>
      </c>
      <c r="AM185" t="str">
        <f ca="1">IFERROR(IF(0=LEN(ReferenceData!$AM$185),"",ReferenceData!$AM$185),"")</f>
        <v/>
      </c>
      <c r="AN185" t="str">
        <f ca="1">IFERROR(IF(0=LEN(ReferenceData!$AN$185),"",ReferenceData!$AN$185),"")</f>
        <v/>
      </c>
      <c r="AO185" t="str">
        <f ca="1">IFERROR(IF(0=LEN(ReferenceData!$AO$185),"",ReferenceData!$AO$185),"")</f>
        <v/>
      </c>
      <c r="AP185" t="str">
        <f ca="1">IFERROR(IF(0=LEN(ReferenceData!$AP$185),"",ReferenceData!$AP$185),"")</f>
        <v/>
      </c>
      <c r="AQ185" t="str">
        <f ca="1">IFERROR(IF(0=LEN(ReferenceData!$AQ$185),"",ReferenceData!$AQ$185),"")</f>
        <v/>
      </c>
      <c r="AR185" t="str">
        <f ca="1">IFERROR(IF(0=LEN(ReferenceData!$AR$185),"",ReferenceData!$AR$185),"")</f>
        <v/>
      </c>
      <c r="AS185" t="str">
        <f ca="1">IFERROR(IF(0=LEN(ReferenceData!$AS$185),"",ReferenceData!$AS$185),"")</f>
        <v/>
      </c>
      <c r="AT185" t="str">
        <f ca="1">IFERROR(IF(0=LEN(ReferenceData!$AT$185),"",ReferenceData!$AT$185),"")</f>
        <v/>
      </c>
      <c r="AU185" t="str">
        <f ca="1">IFERROR(IF(0=LEN(ReferenceData!$AU$185),"",ReferenceData!$AU$185),"")</f>
        <v/>
      </c>
      <c r="AV185" t="str">
        <f ca="1">IFERROR(IF(0=LEN(ReferenceData!$AV$185),"",ReferenceData!$AV$185),"")</f>
        <v/>
      </c>
      <c r="AW185" t="str">
        <f ca="1">IFERROR(IF(0=LEN(ReferenceData!$AW$185),"",ReferenceData!$AW$185),"")</f>
        <v/>
      </c>
      <c r="AX185" t="str">
        <f ca="1">IFERROR(IF(0=LEN(ReferenceData!$AX$185),"",ReferenceData!$AX$185),"")</f>
        <v/>
      </c>
      <c r="AY185" t="str">
        <f ca="1">IFERROR(IF(0=LEN(ReferenceData!$AY$185),"",ReferenceData!$AY$185),"")</f>
        <v/>
      </c>
      <c r="AZ185" t="str">
        <f ca="1">IFERROR(IF(0=LEN(ReferenceData!$AZ$185),"",ReferenceData!$AZ$185),"")</f>
        <v/>
      </c>
      <c r="BA185" t="str">
        <f ca="1">IFERROR(IF(0=LEN(ReferenceData!$BA$185),"",ReferenceData!$BA$185),"")</f>
        <v/>
      </c>
      <c r="BB185" t="str">
        <f ca="1">IFERROR(IF(0=LEN(ReferenceData!$BB$185),"",ReferenceData!$BB$185),"")</f>
        <v/>
      </c>
      <c r="BC185" t="str">
        <f ca="1">IFERROR(IF(0=LEN(ReferenceData!$BC$185),"",ReferenceData!$BC$185),"")</f>
        <v/>
      </c>
      <c r="BD185" t="str">
        <f ca="1">IFERROR(IF(0=LEN(ReferenceData!$BD$185),"",ReferenceData!$BD$185),"")</f>
        <v/>
      </c>
      <c r="BE185" t="str">
        <f ca="1">IFERROR(IF(0=LEN(ReferenceData!$BE$185),"",ReferenceData!$BE$185),"")</f>
        <v/>
      </c>
      <c r="BF185" t="str">
        <f ca="1">IFERROR(IF(0=LEN(ReferenceData!$BF$185),"",ReferenceData!$BF$185),"")</f>
        <v/>
      </c>
      <c r="BG185" t="str">
        <f ca="1">IFERROR(IF(0=LEN(ReferenceData!$BG$185),"",ReferenceData!$BG$185),"")</f>
        <v/>
      </c>
      <c r="BH185" t="str">
        <f ca="1">IFERROR(IF(0=LEN(ReferenceData!$BH$185),"",ReferenceData!$BH$185),"")</f>
        <v/>
      </c>
      <c r="BI185" t="str">
        <f ca="1">IFERROR(IF(0=LEN(ReferenceData!$BI$185),"",ReferenceData!$BI$185),"")</f>
        <v/>
      </c>
      <c r="BJ185" t="str">
        <f ca="1">IFERROR(IF(0=LEN(ReferenceData!$BJ$185),"",ReferenceData!$BJ$185),"")</f>
        <v/>
      </c>
      <c r="BK185" t="str">
        <f ca="1">IFERROR(IF(0=LEN(ReferenceData!$BK$185),"",ReferenceData!$BK$185),"")</f>
        <v/>
      </c>
      <c r="BL185" t="str">
        <f ca="1">IFERROR(IF(0=LEN(ReferenceData!$BL$185),"",ReferenceData!$BL$185),"")</f>
        <v/>
      </c>
      <c r="BM185" t="str">
        <f ca="1">IFERROR(IF(0=LEN(ReferenceData!$BM$185),"",ReferenceData!$BM$185),"")</f>
        <v/>
      </c>
    </row>
    <row r="186" spans="1:65" x14ac:dyDescent="0.25">
      <c r="A186" t="str">
        <f>IFERROR(IF(0=LEN(ReferenceData!$A$186),"",ReferenceData!$A$186),"")</f>
        <v xml:space="preserve">    Great Wall Motor Co Ltd</v>
      </c>
      <c r="B186" t="str">
        <f>IFERROR(IF(0=LEN(ReferenceData!$B$186),"",ReferenceData!$B$186),"")</f>
        <v>2333 HK Equity</v>
      </c>
      <c r="C186" t="str">
        <f>IFERROR(IF(0=LEN(ReferenceData!$C$186),"",ReferenceData!$C$186),"")</f>
        <v>RX077</v>
      </c>
      <c r="D186" t="str">
        <f>IFERROR(IF(0=LEN(ReferenceData!$D$186),"",ReferenceData!$D$186),"")</f>
        <v>PX_TO_TANG_BOOK_VAL_PER_SH</v>
      </c>
      <c r="E186" t="str">
        <f>IFERROR(IF(0=LEN(ReferenceData!$E$186),"",ReferenceData!$E$186),"")</f>
        <v>Dynamic</v>
      </c>
      <c r="F186">
        <f ca="1">IFERROR(IF(0=LEN(ReferenceData!$F$186),"",ReferenceData!$F$186),"")</f>
        <v>1.0876487349999999</v>
      </c>
      <c r="G186">
        <f ca="1">IFERROR(IF(0=LEN(ReferenceData!$G$186),"",ReferenceData!$G$186),"")</f>
        <v>0.766593525</v>
      </c>
      <c r="H186">
        <f ca="1">IFERROR(IF(0=LEN(ReferenceData!$H$186),"",ReferenceData!$H$186),"")</f>
        <v>0.85152444900000002</v>
      </c>
      <c r="I186">
        <f ca="1">IFERROR(IF(0=LEN(ReferenceData!$I$186),"",ReferenceData!$I$186),"")</f>
        <v>0.92054265300000004</v>
      </c>
      <c r="J186">
        <f ca="1">IFERROR(IF(0=LEN(ReferenceData!$J$186),"",ReferenceData!$J$186),"")</f>
        <v>1.214308741</v>
      </c>
      <c r="K186">
        <f ca="1">IFERROR(IF(0=LEN(ReferenceData!$K$186),"",ReferenceData!$K$186),"")</f>
        <v>1.3907324969999999</v>
      </c>
      <c r="L186">
        <f ca="1">IFERROR(IF(0=LEN(ReferenceData!$L$186),"",ReferenceData!$L$186),"")</f>
        <v>1.701422462</v>
      </c>
      <c r="M186">
        <f ca="1">IFERROR(IF(0=LEN(ReferenceData!$M$186),"",ReferenceData!$M$186),"")</f>
        <v>1.6464767570000001</v>
      </c>
      <c r="N186">
        <f ca="1">IFERROR(IF(0=LEN(ReferenceData!$N$186),"",ReferenceData!$N$186),"")</f>
        <v>1.5515345460000001</v>
      </c>
      <c r="O186">
        <f ca="1">IFERROR(IF(0=LEN(ReferenceData!$O$186),"",ReferenceData!$O$186),"")</f>
        <v>1.2545128139999999</v>
      </c>
      <c r="P186">
        <f ca="1">IFERROR(IF(0=LEN(ReferenceData!$P$186),"",ReferenceData!$P$186),"")</f>
        <v>1.4560595999999999</v>
      </c>
      <c r="Q186">
        <f ca="1">IFERROR(IF(0=LEN(ReferenceData!$Q$186),"",ReferenceData!$Q$186),"")</f>
        <v>1.212482595</v>
      </c>
      <c r="R186">
        <f ca="1">IFERROR(IF(0=LEN(ReferenceData!$R$186),"",ReferenceData!$R$186),"")</f>
        <v>1.2711691329999999</v>
      </c>
      <c r="S186">
        <f ca="1">IFERROR(IF(0=LEN(ReferenceData!$S$186),"",ReferenceData!$S$186),"")</f>
        <v>1.8040892399999999</v>
      </c>
      <c r="T186">
        <f ca="1">IFERROR(IF(0=LEN(ReferenceData!$T$186),"",ReferenceData!$T$186),"")</f>
        <v>2.1142129139999999</v>
      </c>
      <c r="U186">
        <f ca="1">IFERROR(IF(0=LEN(ReferenceData!$U$186),"",ReferenceData!$U$186),"")</f>
        <v>2.5926761680000001</v>
      </c>
      <c r="V186">
        <f ca="1">IFERROR(IF(0=LEN(ReferenceData!$V$186),"",ReferenceData!$V$186),"")</f>
        <v>4.0190339130000003</v>
      </c>
      <c r="W186">
        <f ca="1">IFERROR(IF(0=LEN(ReferenceData!$W$186),"",ReferenceData!$W$186),"")</f>
        <v>3.218492812</v>
      </c>
      <c r="X186">
        <f ca="1">IFERROR(IF(0=LEN(ReferenceData!$X$186),"",ReferenceData!$X$186),"")</f>
        <v>2.5360829709999999</v>
      </c>
      <c r="Y186">
        <f ca="1">IFERROR(IF(0=LEN(ReferenceData!$Y$186),"",ReferenceData!$Y$186),"")</f>
        <v>2.386234677</v>
      </c>
      <c r="Z186">
        <f ca="1">IFERROR(IF(0=LEN(ReferenceData!$Z$186),"",ReferenceData!$Z$186),"")</f>
        <v>3.442662704</v>
      </c>
      <c r="AA186">
        <f ca="1">IFERROR(IF(0=LEN(ReferenceData!$AA$186),"",ReferenceData!$AA$186),"")</f>
        <v>3.6376411819999999</v>
      </c>
      <c r="AB186">
        <f ca="1">IFERROR(IF(0=LEN(ReferenceData!$AB$186),"",ReferenceData!$AB$186),"")</f>
        <v>4.2954879699999999</v>
      </c>
      <c r="AC186">
        <f ca="1">IFERROR(IF(0=LEN(ReferenceData!$AC$186),"",ReferenceData!$AC$186),"")</f>
        <v>3.379756209</v>
      </c>
      <c r="AD186">
        <f ca="1">IFERROR(IF(0=LEN(ReferenceData!$AD$186),"",ReferenceData!$AD$186),"")</f>
        <v>3.0232381849999999</v>
      </c>
      <c r="AE186">
        <f ca="1">IFERROR(IF(0=LEN(ReferenceData!$AE$186),"",ReferenceData!$AE$186),"")</f>
        <v>2.7851580970000001</v>
      </c>
      <c r="AF186">
        <f ca="1">IFERROR(IF(0=LEN(ReferenceData!$AF$186),"",ReferenceData!$AF$186),"")</f>
        <v>2.9129415440000002</v>
      </c>
      <c r="AG186">
        <f ca="1">IFERROR(IF(0=LEN(ReferenceData!$AG$186),"",ReferenceData!$AG$186),"")</f>
        <v>2.1122106079999998</v>
      </c>
      <c r="AH186">
        <f ca="1">IFERROR(IF(0=LEN(ReferenceData!$AH$186),"",ReferenceData!$AH$186),"")</f>
        <v>2.3351115450000002</v>
      </c>
      <c r="AI186">
        <f ca="1">IFERROR(IF(0=LEN(ReferenceData!$AI$186),"",ReferenceData!$AI$186),"")</f>
        <v>1.964944778</v>
      </c>
      <c r="AJ186">
        <f ca="1">IFERROR(IF(0=LEN(ReferenceData!$AJ$186),"",ReferenceData!$AJ$186),"")</f>
        <v>1.5709114879999999</v>
      </c>
      <c r="AK186">
        <f ca="1">IFERROR(IF(0=LEN(ReferenceData!$AK$186),"",ReferenceData!$AK$186),"")</f>
        <v>2.9993784699999999</v>
      </c>
      <c r="AL186">
        <f ca="1">IFERROR(IF(0=LEN(ReferenceData!$AL$186),"",ReferenceData!$AL$186),"")</f>
        <v>3.4158313429999998</v>
      </c>
      <c r="AM186" t="str">
        <f ca="1">IFERROR(IF(0=LEN(ReferenceData!$AM$186),"",ReferenceData!$AM$186),"")</f>
        <v/>
      </c>
      <c r="AN186" t="str">
        <f ca="1">IFERROR(IF(0=LEN(ReferenceData!$AN$186),"",ReferenceData!$AN$186),"")</f>
        <v/>
      </c>
      <c r="AO186" t="str">
        <f ca="1">IFERROR(IF(0=LEN(ReferenceData!$AO$186),"",ReferenceData!$AO$186),"")</f>
        <v/>
      </c>
      <c r="AP186" t="str">
        <f ca="1">IFERROR(IF(0=LEN(ReferenceData!$AP$186),"",ReferenceData!$AP$186),"")</f>
        <v/>
      </c>
      <c r="AQ186" t="str">
        <f ca="1">IFERROR(IF(0=LEN(ReferenceData!$AQ$186),"",ReferenceData!$AQ$186),"")</f>
        <v/>
      </c>
      <c r="AR186" t="str">
        <f ca="1">IFERROR(IF(0=LEN(ReferenceData!$AR$186),"",ReferenceData!$AR$186),"")</f>
        <v/>
      </c>
      <c r="AS186" t="str">
        <f ca="1">IFERROR(IF(0=LEN(ReferenceData!$AS$186),"",ReferenceData!$AS$186),"")</f>
        <v/>
      </c>
      <c r="AT186" t="str">
        <f ca="1">IFERROR(IF(0=LEN(ReferenceData!$AT$186),"",ReferenceData!$AT$186),"")</f>
        <v/>
      </c>
      <c r="AU186" t="str">
        <f ca="1">IFERROR(IF(0=LEN(ReferenceData!$AU$186),"",ReferenceData!$AU$186),"")</f>
        <v/>
      </c>
      <c r="AV186" t="str">
        <f ca="1">IFERROR(IF(0=LEN(ReferenceData!$AV$186),"",ReferenceData!$AV$186),"")</f>
        <v/>
      </c>
      <c r="AW186" t="str">
        <f ca="1">IFERROR(IF(0=LEN(ReferenceData!$AW$186),"",ReferenceData!$AW$186),"")</f>
        <v/>
      </c>
      <c r="AX186" t="str">
        <f ca="1">IFERROR(IF(0=LEN(ReferenceData!$AX$186),"",ReferenceData!$AX$186),"")</f>
        <v/>
      </c>
      <c r="AY186" t="str">
        <f ca="1">IFERROR(IF(0=LEN(ReferenceData!$AY$186),"",ReferenceData!$AY$186),"")</f>
        <v/>
      </c>
      <c r="AZ186" t="str">
        <f ca="1">IFERROR(IF(0=LEN(ReferenceData!$AZ$186),"",ReferenceData!$AZ$186),"")</f>
        <v/>
      </c>
      <c r="BA186" t="str">
        <f ca="1">IFERROR(IF(0=LEN(ReferenceData!$BA$186),"",ReferenceData!$BA$186),"")</f>
        <v/>
      </c>
      <c r="BB186" t="str">
        <f ca="1">IFERROR(IF(0=LEN(ReferenceData!$BB$186),"",ReferenceData!$BB$186),"")</f>
        <v/>
      </c>
      <c r="BC186" t="str">
        <f ca="1">IFERROR(IF(0=LEN(ReferenceData!$BC$186),"",ReferenceData!$BC$186),"")</f>
        <v/>
      </c>
      <c r="BD186" t="str">
        <f ca="1">IFERROR(IF(0=LEN(ReferenceData!$BD$186),"",ReferenceData!$BD$186),"")</f>
        <v/>
      </c>
      <c r="BE186" t="str">
        <f ca="1">IFERROR(IF(0=LEN(ReferenceData!$BE$186),"",ReferenceData!$BE$186),"")</f>
        <v/>
      </c>
      <c r="BF186" t="str">
        <f ca="1">IFERROR(IF(0=LEN(ReferenceData!$BF$186),"",ReferenceData!$BF$186),"")</f>
        <v/>
      </c>
      <c r="BG186" t="str">
        <f ca="1">IFERROR(IF(0=LEN(ReferenceData!$BG$186),"",ReferenceData!$BG$186),"")</f>
        <v/>
      </c>
      <c r="BH186" t="str">
        <f ca="1">IFERROR(IF(0=LEN(ReferenceData!$BH$186),"",ReferenceData!$BH$186),"")</f>
        <v/>
      </c>
      <c r="BI186" t="str">
        <f ca="1">IFERROR(IF(0=LEN(ReferenceData!$BI$186),"",ReferenceData!$BI$186),"")</f>
        <v/>
      </c>
      <c r="BJ186" t="str">
        <f ca="1">IFERROR(IF(0=LEN(ReferenceData!$BJ$186),"",ReferenceData!$BJ$186),"")</f>
        <v/>
      </c>
      <c r="BK186" t="str">
        <f ca="1">IFERROR(IF(0=LEN(ReferenceData!$BK$186),"",ReferenceData!$BK$186),"")</f>
        <v/>
      </c>
      <c r="BL186" t="str">
        <f ca="1">IFERROR(IF(0=LEN(ReferenceData!$BL$186),"",ReferenceData!$BL$186),"")</f>
        <v/>
      </c>
      <c r="BM186" t="str">
        <f ca="1">IFERROR(IF(0=LEN(ReferenceData!$BM$186),"",ReferenceData!$BM$186),"")</f>
        <v/>
      </c>
    </row>
    <row r="187" spans="1:65" x14ac:dyDescent="0.25">
      <c r="A187" t="str">
        <f>IFERROR(IF(0=LEN(ReferenceData!$A$187),"",ReferenceData!$A$187),"")</f>
        <v xml:space="preserve">    Guangzhou Automobile Group Co Ltd</v>
      </c>
      <c r="B187" t="str">
        <f>IFERROR(IF(0=LEN(ReferenceData!$B$187),"",ReferenceData!$B$187),"")</f>
        <v>2238 HK Equity</v>
      </c>
      <c r="C187" t="str">
        <f>IFERROR(IF(0=LEN(ReferenceData!$C$187),"",ReferenceData!$C$187),"")</f>
        <v>RX077</v>
      </c>
      <c r="D187" t="str">
        <f>IFERROR(IF(0=LEN(ReferenceData!$D$187),"",ReferenceData!$D$187),"")</f>
        <v>PX_TO_TANG_BOOK_VAL_PER_SH</v>
      </c>
      <c r="E187" t="str">
        <f>IFERROR(IF(0=LEN(ReferenceData!$E$187),"",ReferenceData!$E$187),"")</f>
        <v>Dynamic</v>
      </c>
      <c r="F187">
        <f ca="1">IFERROR(IF(0=LEN(ReferenceData!$F$187),"",ReferenceData!$F$187),"")</f>
        <v>1.3419617189999999</v>
      </c>
      <c r="G187">
        <f ca="1">IFERROR(IF(0=LEN(ReferenceData!$G$187),"",ReferenceData!$G$187),"")</f>
        <v>1.0879345389999999</v>
      </c>
      <c r="H187">
        <f ca="1">IFERROR(IF(0=LEN(ReferenceData!$H$187),"",ReferenceData!$H$187),"")</f>
        <v>1.207114866</v>
      </c>
      <c r="I187">
        <f ca="1">IFERROR(IF(0=LEN(ReferenceData!$I$187),"",ReferenceData!$I$187),"")</f>
        <v>0.98959350300000004</v>
      </c>
      <c r="J187">
        <f ca="1">IFERROR(IF(0=LEN(ReferenceData!$J$187),"",ReferenceData!$J$187),"")</f>
        <v>1.3392996779999999</v>
      </c>
      <c r="K187">
        <f ca="1">IFERROR(IF(0=LEN(ReferenceData!$K$187),"",ReferenceData!$K$187),"")</f>
        <v>1.770774294</v>
      </c>
      <c r="L187">
        <f ca="1">IFERROR(IF(0=LEN(ReferenceData!$L$187),"",ReferenceData!$L$187),"")</f>
        <v>2.315451436</v>
      </c>
      <c r="M187">
        <f ca="1">IFERROR(IF(0=LEN(ReferenceData!$M$187),"",ReferenceData!$M$187),"")</f>
        <v>1.740919366</v>
      </c>
      <c r="N187">
        <f ca="1">IFERROR(IF(0=LEN(ReferenceData!$N$187),"",ReferenceData!$N$187),"")</f>
        <v>1.792621448</v>
      </c>
      <c r="O187">
        <f ca="1">IFERROR(IF(0=LEN(ReferenceData!$O$187),"",ReferenceData!$O$187),"")</f>
        <v>1.406975302</v>
      </c>
      <c r="P187">
        <f ca="1">IFERROR(IF(0=LEN(ReferenceData!$P$187),"",ReferenceData!$P$187),"")</f>
        <v>1.4400571579999999</v>
      </c>
      <c r="Q187">
        <f ca="1">IFERROR(IF(0=LEN(ReferenceData!$Q$187),"",ReferenceData!$Q$187),"")</f>
        <v>1.3823056060000001</v>
      </c>
      <c r="R187">
        <f ca="1">IFERROR(IF(0=LEN(ReferenceData!$R$187),"",ReferenceData!$R$187),"")</f>
        <v>1.2647213859999999</v>
      </c>
      <c r="S187">
        <f ca="1">IFERROR(IF(0=LEN(ReferenceData!$S$187),"",ReferenceData!$S$187),"")</f>
        <v>1.1016191019999999</v>
      </c>
      <c r="T187">
        <f ca="1">IFERROR(IF(0=LEN(ReferenceData!$T$187),"",ReferenceData!$T$187),"")</f>
        <v>1.082548023</v>
      </c>
      <c r="U187">
        <f ca="1">IFERROR(IF(0=LEN(ReferenceData!$U$187),"",ReferenceData!$U$187),"")</f>
        <v>1.1459917770000001</v>
      </c>
      <c r="V187">
        <f ca="1">IFERROR(IF(0=LEN(ReferenceData!$V$187),"",ReferenceData!$V$187),"")</f>
        <v>1.264654999</v>
      </c>
      <c r="W187">
        <f ca="1">IFERROR(IF(0=LEN(ReferenceData!$W$187),"",ReferenceData!$W$187),"")</f>
        <v>1.159138073</v>
      </c>
      <c r="X187">
        <f ca="1">IFERROR(IF(0=LEN(ReferenceData!$X$187),"",ReferenceData!$X$187),"")</f>
        <v>1.29755015</v>
      </c>
      <c r="Y187">
        <f ca="1">IFERROR(IF(0=LEN(ReferenceData!$Y$187),"",ReferenceData!$Y$187),"")</f>
        <v>1.487777138</v>
      </c>
      <c r="Z187">
        <f ca="1">IFERROR(IF(0=LEN(ReferenceData!$Z$187),"",ReferenceData!$Z$187),"")</f>
        <v>1.418176696</v>
      </c>
      <c r="AA187">
        <f ca="1">IFERROR(IF(0=LEN(ReferenceData!$AA$187),"",ReferenceData!$AA$187),"")</f>
        <v>1.410581758</v>
      </c>
      <c r="AB187">
        <f ca="1">IFERROR(IF(0=LEN(ReferenceData!$AB$187),"",ReferenceData!$AB$187),"")</f>
        <v>1.5011275310000001</v>
      </c>
      <c r="AC187">
        <f ca="1">IFERROR(IF(0=LEN(ReferenceData!$AC$187),"",ReferenceData!$AC$187),"")</f>
        <v>1.2851880550000001</v>
      </c>
      <c r="AD187">
        <f ca="1">IFERROR(IF(0=LEN(ReferenceData!$AD$187),"",ReferenceData!$AD$187),"")</f>
        <v>1.2343011820000001</v>
      </c>
      <c r="AE187">
        <f ca="1">IFERROR(IF(0=LEN(ReferenceData!$AE$187),"",ReferenceData!$AE$187),"")</f>
        <v>1.268456574</v>
      </c>
      <c r="AF187">
        <f ca="1">IFERROR(IF(0=LEN(ReferenceData!$AF$187),"",ReferenceData!$AF$187),"")</f>
        <v>0.95713174300000003</v>
      </c>
      <c r="AG187">
        <f ca="1">IFERROR(IF(0=LEN(ReferenceData!$AG$187),"",ReferenceData!$AG$187),"")</f>
        <v>1.1589604929999999</v>
      </c>
      <c r="AH187">
        <f ca="1">IFERROR(IF(0=LEN(ReferenceData!$AH$187),"",ReferenceData!$AH$187),"")</f>
        <v>1.610024417</v>
      </c>
      <c r="AI187">
        <f ca="1">IFERROR(IF(0=LEN(ReferenceData!$AI$187),"",ReferenceData!$AI$187),"")</f>
        <v>1.2009394929999999</v>
      </c>
      <c r="AJ187">
        <f ca="1">IFERROR(IF(0=LEN(ReferenceData!$AJ$187),"",ReferenceData!$AJ$187),"")</f>
        <v>1.5881900170000001</v>
      </c>
      <c r="AK187">
        <f ca="1">IFERROR(IF(0=LEN(ReferenceData!$AK$187),"",ReferenceData!$AK$187),"")</f>
        <v>2.0372719379999999</v>
      </c>
      <c r="AL187">
        <f ca="1">IFERROR(IF(0=LEN(ReferenceData!$AL$187),"",ReferenceData!$AL$187),"")</f>
        <v>1.966005177</v>
      </c>
      <c r="AM187">
        <f ca="1">IFERROR(IF(0=LEN(ReferenceData!$AM$187),"",ReferenceData!$AM$187),"")</f>
        <v>2.314847179</v>
      </c>
      <c r="AN187">
        <f ca="1">IFERROR(IF(0=LEN(ReferenceData!$AN$187),"",ReferenceData!$AN$187),"")</f>
        <v>2.9897651029999999</v>
      </c>
      <c r="AO187" t="str">
        <f ca="1">IFERROR(IF(0=LEN(ReferenceData!$AO$187),"",ReferenceData!$AO$187),"")</f>
        <v/>
      </c>
      <c r="AP187" t="str">
        <f ca="1">IFERROR(IF(0=LEN(ReferenceData!$AP$187),"",ReferenceData!$AP$187),"")</f>
        <v/>
      </c>
      <c r="AQ187" t="str">
        <f ca="1">IFERROR(IF(0=LEN(ReferenceData!$AQ$187),"",ReferenceData!$AQ$187),"")</f>
        <v/>
      </c>
      <c r="AR187" t="str">
        <f ca="1">IFERROR(IF(0=LEN(ReferenceData!$AR$187),"",ReferenceData!$AR$187),"")</f>
        <v/>
      </c>
      <c r="AS187" t="str">
        <f ca="1">IFERROR(IF(0=LEN(ReferenceData!$AS$187),"",ReferenceData!$AS$187),"")</f>
        <v/>
      </c>
      <c r="AT187" t="str">
        <f ca="1">IFERROR(IF(0=LEN(ReferenceData!$AT$187),"",ReferenceData!$AT$187),"")</f>
        <v/>
      </c>
      <c r="AU187" t="str">
        <f ca="1">IFERROR(IF(0=LEN(ReferenceData!$AU$187),"",ReferenceData!$AU$187),"")</f>
        <v/>
      </c>
      <c r="AV187" t="str">
        <f ca="1">IFERROR(IF(0=LEN(ReferenceData!$AV$187),"",ReferenceData!$AV$187),"")</f>
        <v/>
      </c>
      <c r="AW187" t="str">
        <f ca="1">IFERROR(IF(0=LEN(ReferenceData!$AW$187),"",ReferenceData!$AW$187),"")</f>
        <v/>
      </c>
      <c r="AX187" t="str">
        <f ca="1">IFERROR(IF(0=LEN(ReferenceData!$AX$187),"",ReferenceData!$AX$187),"")</f>
        <v/>
      </c>
      <c r="AY187" t="str">
        <f ca="1">IFERROR(IF(0=LEN(ReferenceData!$AY$187),"",ReferenceData!$AY$187),"")</f>
        <v/>
      </c>
      <c r="AZ187" t="str">
        <f ca="1">IFERROR(IF(0=LEN(ReferenceData!$AZ$187),"",ReferenceData!$AZ$187),"")</f>
        <v/>
      </c>
      <c r="BA187" t="str">
        <f ca="1">IFERROR(IF(0=LEN(ReferenceData!$BA$187),"",ReferenceData!$BA$187),"")</f>
        <v/>
      </c>
      <c r="BB187" t="str">
        <f ca="1">IFERROR(IF(0=LEN(ReferenceData!$BB$187),"",ReferenceData!$BB$187),"")</f>
        <v/>
      </c>
      <c r="BC187" t="str">
        <f ca="1">IFERROR(IF(0=LEN(ReferenceData!$BC$187),"",ReferenceData!$BC$187),"")</f>
        <v/>
      </c>
      <c r="BD187" t="str">
        <f ca="1">IFERROR(IF(0=LEN(ReferenceData!$BD$187),"",ReferenceData!$BD$187),"")</f>
        <v/>
      </c>
      <c r="BE187" t="str">
        <f ca="1">IFERROR(IF(0=LEN(ReferenceData!$BE$187),"",ReferenceData!$BE$187),"")</f>
        <v/>
      </c>
      <c r="BF187" t="str">
        <f ca="1">IFERROR(IF(0=LEN(ReferenceData!$BF$187),"",ReferenceData!$BF$187),"")</f>
        <v/>
      </c>
      <c r="BG187" t="str">
        <f ca="1">IFERROR(IF(0=LEN(ReferenceData!$BG$187),"",ReferenceData!$BG$187),"")</f>
        <v/>
      </c>
      <c r="BH187" t="str">
        <f ca="1">IFERROR(IF(0=LEN(ReferenceData!$BH$187),"",ReferenceData!$BH$187),"")</f>
        <v/>
      </c>
      <c r="BI187" t="str">
        <f ca="1">IFERROR(IF(0=LEN(ReferenceData!$BI$187),"",ReferenceData!$BI$187),"")</f>
        <v/>
      </c>
      <c r="BJ187" t="str">
        <f ca="1">IFERROR(IF(0=LEN(ReferenceData!$BJ$187),"",ReferenceData!$BJ$187),"")</f>
        <v/>
      </c>
      <c r="BK187" t="str">
        <f ca="1">IFERROR(IF(0=LEN(ReferenceData!$BK$187),"",ReferenceData!$BK$187),"")</f>
        <v/>
      </c>
      <c r="BL187" t="str">
        <f ca="1">IFERROR(IF(0=LEN(ReferenceData!$BL$187),"",ReferenceData!$BL$187),"")</f>
        <v/>
      </c>
      <c r="BM187" t="str">
        <f ca="1">IFERROR(IF(0=LEN(ReferenceData!$BM$187),"",ReferenceData!$BM$187),"")</f>
        <v/>
      </c>
    </row>
    <row r="188" spans="1:65" x14ac:dyDescent="0.25">
      <c r="A188" t="str">
        <f>IFERROR(IF(0=LEN(ReferenceData!$A$188),"",ReferenceData!$A$188),"")</f>
        <v xml:space="preserve">    Honda Motor Co Ltd</v>
      </c>
      <c r="B188" t="str">
        <f>IFERROR(IF(0=LEN(ReferenceData!$B$188),"",ReferenceData!$B$188),"")</f>
        <v>7267 JP Equity</v>
      </c>
      <c r="C188" t="str">
        <f>IFERROR(IF(0=LEN(ReferenceData!$C$188),"",ReferenceData!$C$188),"")</f>
        <v>RX077</v>
      </c>
      <c r="D188" t="str">
        <f>IFERROR(IF(0=LEN(ReferenceData!$D$188),"",ReferenceData!$D$188),"")</f>
        <v>PX_TO_TANG_BOOK_VAL_PER_SH</v>
      </c>
      <c r="E188" t="str">
        <f>IFERROR(IF(0=LEN(ReferenceData!$E$188),"",ReferenceData!$E$188),"")</f>
        <v>Dynamic</v>
      </c>
      <c r="F188">
        <f ca="1">IFERROR(IF(0=LEN(ReferenceData!$F$188),"",ReferenceData!$F$188),"")</f>
        <v>0.72905887899999999</v>
      </c>
      <c r="G188">
        <f ca="1">IFERROR(IF(0=LEN(ReferenceData!$G$188),"",ReferenceData!$G$188),"")</f>
        <v>0.67528349600000004</v>
      </c>
      <c r="H188">
        <f ca="1">IFERROR(IF(0=LEN(ReferenceData!$H$188),"",ReferenceData!$H$188),"")</f>
        <v>0.79462812400000005</v>
      </c>
      <c r="I188">
        <f ca="1">IFERROR(IF(0=LEN(ReferenceData!$I$188),"",ReferenceData!$I$188),"")</f>
        <v>0.779776201</v>
      </c>
      <c r="J188">
        <f ca="1">IFERROR(IF(0=LEN(ReferenceData!$J$188),"",ReferenceData!$J$188),"")</f>
        <v>0.90496038400000001</v>
      </c>
      <c r="K188">
        <f ca="1">IFERROR(IF(0=LEN(ReferenceData!$K$188),"",ReferenceData!$K$188),"")</f>
        <v>0.92790334399999996</v>
      </c>
      <c r="L188">
        <f ca="1">IFERROR(IF(0=LEN(ReferenceData!$L$188),"",ReferenceData!$L$188),"")</f>
        <v>0.86576568399999998</v>
      </c>
      <c r="M188">
        <f ca="1">IFERROR(IF(0=LEN(ReferenceData!$M$188),"",ReferenceData!$M$188),"")</f>
        <v>0.82338539899999996</v>
      </c>
      <c r="N188">
        <f ca="1">IFERROR(IF(0=LEN(ReferenceData!$N$188),"",ReferenceData!$N$188),"")</f>
        <v>0.92670634100000004</v>
      </c>
      <c r="O188">
        <f ca="1">IFERROR(IF(0=LEN(ReferenceData!$O$188),"",ReferenceData!$O$188),"")</f>
        <v>0.94595640700000005</v>
      </c>
      <c r="P188">
        <f ca="1">IFERROR(IF(0=LEN(ReferenceData!$P$188),"",ReferenceData!$P$188),"")</f>
        <v>0.90284678699999998</v>
      </c>
      <c r="Q188">
        <f ca="1">IFERROR(IF(0=LEN(ReferenceData!$Q$188),"",ReferenceData!$Q$188),"")</f>
        <v>0.81476517400000004</v>
      </c>
      <c r="R188">
        <f ca="1">IFERROR(IF(0=LEN(ReferenceData!$R$188),"",ReferenceData!$R$188),"")</f>
        <v>0.93689085500000002</v>
      </c>
      <c r="S188">
        <f ca="1">IFERROR(IF(0=LEN(ReferenceData!$S$188),"",ReferenceData!$S$188),"")</f>
        <v>1.0972595329999999</v>
      </c>
      <c r="T188">
        <f ca="1">IFERROR(IF(0=LEN(ReferenceData!$T$188),"",ReferenceData!$T$188),"")</f>
        <v>1.0055546280000001</v>
      </c>
      <c r="U188">
        <f ca="1">IFERROR(IF(0=LEN(ReferenceData!$U$188),"",ReferenceData!$U$188),"")</f>
        <v>1.088469744</v>
      </c>
      <c r="V188">
        <f ca="1">IFERROR(IF(0=LEN(ReferenceData!$V$188),"",ReferenceData!$V$188),"")</f>
        <v>1.04577093</v>
      </c>
      <c r="W188" t="str">
        <f ca="1">IFERROR(IF(0=LEN(ReferenceData!$W$188),"",ReferenceData!$W$188),"")</f>
        <v/>
      </c>
      <c r="X188" t="str">
        <f ca="1">IFERROR(IF(0=LEN(ReferenceData!$X$188),"",ReferenceData!$X$188),"")</f>
        <v/>
      </c>
      <c r="Y188">
        <f ca="1">IFERROR(IF(0=LEN(ReferenceData!$Y$188),"",ReferenceData!$Y$188),"")</f>
        <v>1.074503024</v>
      </c>
      <c r="Z188">
        <f ca="1">IFERROR(IF(0=LEN(ReferenceData!$Z$188),"",ReferenceData!$Z$188),"")</f>
        <v>1.108672342</v>
      </c>
      <c r="AA188" t="str">
        <f ca="1">IFERROR(IF(0=LEN(ReferenceData!$AA$188),"",ReferenceData!$AA$188),"")</f>
        <v/>
      </c>
      <c r="AB188" t="str">
        <f ca="1">IFERROR(IF(0=LEN(ReferenceData!$AB$188),"",ReferenceData!$AB$188),"")</f>
        <v/>
      </c>
      <c r="AC188">
        <f ca="1">IFERROR(IF(0=LEN(ReferenceData!$AC$188),"",ReferenceData!$AC$188),"")</f>
        <v>1.2924304360000001</v>
      </c>
      <c r="AD188">
        <f ca="1">IFERROR(IF(0=LEN(ReferenceData!$AD$188),"",ReferenceData!$AD$188),"")</f>
        <v>1.2745049100000001</v>
      </c>
      <c r="AE188" t="str">
        <f ca="1">IFERROR(IF(0=LEN(ReferenceData!$AE$188),"",ReferenceData!$AE$188),"")</f>
        <v/>
      </c>
      <c r="AF188" t="str">
        <f ca="1">IFERROR(IF(0=LEN(ReferenceData!$AF$188),"",ReferenceData!$AF$188),"")</f>
        <v/>
      </c>
      <c r="AG188">
        <f ca="1">IFERROR(IF(0=LEN(ReferenceData!$AG$188),"",ReferenceData!$AG$188),"")</f>
        <v>1.0927409589999999</v>
      </c>
      <c r="AH188">
        <f ca="1">IFERROR(IF(0=LEN(ReferenceData!$AH$188),"",ReferenceData!$AH$188),"")</f>
        <v>1.290525841</v>
      </c>
      <c r="AI188" t="str">
        <f ca="1">IFERROR(IF(0=LEN(ReferenceData!$AI$188),"",ReferenceData!$AI$188),"")</f>
        <v/>
      </c>
      <c r="AJ188" t="str">
        <f ca="1">IFERROR(IF(0=LEN(ReferenceData!$AJ$188),"",ReferenceData!$AJ$188),"")</f>
        <v/>
      </c>
      <c r="AK188">
        <f ca="1">IFERROR(IF(0=LEN(ReferenceData!$AK$188),"",ReferenceData!$AK$188),"")</f>
        <v>1.256909708</v>
      </c>
      <c r="AL188">
        <f ca="1">IFERROR(IF(0=LEN(ReferenceData!$AL$188),"",ReferenceData!$AL$188),"")</f>
        <v>1.2690930010000001</v>
      </c>
      <c r="AM188" t="str">
        <f ca="1">IFERROR(IF(0=LEN(ReferenceData!$AM$188),"",ReferenceData!$AM$188),"")</f>
        <v/>
      </c>
      <c r="AN188" t="str">
        <f ca="1">IFERROR(IF(0=LEN(ReferenceData!$AN$188),"",ReferenceData!$AN$188),"")</f>
        <v/>
      </c>
      <c r="AO188">
        <f ca="1">IFERROR(IF(0=LEN(ReferenceData!$AO$188),"",ReferenceData!$AO$188),"")</f>
        <v>1.112745662</v>
      </c>
      <c r="AP188">
        <f ca="1">IFERROR(IF(0=LEN(ReferenceData!$AP$188),"",ReferenceData!$AP$188),"")</f>
        <v>1.387253753</v>
      </c>
      <c r="AQ188" t="str">
        <f ca="1">IFERROR(IF(0=LEN(ReferenceData!$AQ$188),"",ReferenceData!$AQ$188),"")</f>
        <v/>
      </c>
      <c r="AR188" t="str">
        <f ca="1">IFERROR(IF(0=LEN(ReferenceData!$AR$188),"",ReferenceData!$AR$188),"")</f>
        <v/>
      </c>
      <c r="AS188">
        <f ca="1">IFERROR(IF(0=LEN(ReferenceData!$AS$188),"",ReferenceData!$AS$188),"")</f>
        <v>1.1831848199999999</v>
      </c>
      <c r="AT188">
        <f ca="1">IFERROR(IF(0=LEN(ReferenceData!$AT$188),"",ReferenceData!$AT$188),"")</f>
        <v>1.051467508</v>
      </c>
      <c r="AU188" t="str">
        <f ca="1">IFERROR(IF(0=LEN(ReferenceData!$AU$188),"",ReferenceData!$AU$188),"")</f>
        <v/>
      </c>
      <c r="AV188" t="str">
        <f ca="1">IFERROR(IF(0=LEN(ReferenceData!$AV$188),"",ReferenceData!$AV$188),"")</f>
        <v/>
      </c>
      <c r="AW188" t="str">
        <f ca="1">IFERROR(IF(0=LEN(ReferenceData!$AW$188),"",ReferenceData!$AW$188),"")</f>
        <v/>
      </c>
      <c r="AX188" t="str">
        <f ca="1">IFERROR(IF(0=LEN(ReferenceData!$AX$188),"",ReferenceData!$AX$188),"")</f>
        <v/>
      </c>
      <c r="AY188" t="str">
        <f ca="1">IFERROR(IF(0=LEN(ReferenceData!$AY$188),"",ReferenceData!$AY$188),"")</f>
        <v/>
      </c>
      <c r="AZ188" t="str">
        <f ca="1">IFERROR(IF(0=LEN(ReferenceData!$AZ$188),"",ReferenceData!$AZ$188),"")</f>
        <v/>
      </c>
      <c r="BA188" t="str">
        <f ca="1">IFERROR(IF(0=LEN(ReferenceData!$BA$188),"",ReferenceData!$BA$188),"")</f>
        <v/>
      </c>
      <c r="BB188" t="str">
        <f ca="1">IFERROR(IF(0=LEN(ReferenceData!$BB$188),"",ReferenceData!$BB$188),"")</f>
        <v/>
      </c>
      <c r="BC188" t="str">
        <f ca="1">IFERROR(IF(0=LEN(ReferenceData!$BC$188),"",ReferenceData!$BC$188),"")</f>
        <v/>
      </c>
      <c r="BD188" t="str">
        <f ca="1">IFERROR(IF(0=LEN(ReferenceData!$BD$188),"",ReferenceData!$BD$188),"")</f>
        <v/>
      </c>
      <c r="BE188">
        <f ca="1">IFERROR(IF(0=LEN(ReferenceData!$BE$188),"",ReferenceData!$BE$188),"")</f>
        <v>1.577570999</v>
      </c>
      <c r="BF188">
        <f ca="1">IFERROR(IF(0=LEN(ReferenceData!$BF$188),"",ReferenceData!$BF$188),"")</f>
        <v>1.624363359</v>
      </c>
      <c r="BG188" t="str">
        <f ca="1">IFERROR(IF(0=LEN(ReferenceData!$BG$188),"",ReferenceData!$BG$188),"")</f>
        <v/>
      </c>
      <c r="BH188" t="str">
        <f ca="1">IFERROR(IF(0=LEN(ReferenceData!$BH$188),"",ReferenceData!$BH$188),"")</f>
        <v/>
      </c>
      <c r="BI188" t="str">
        <f ca="1">IFERROR(IF(0=LEN(ReferenceData!$BI$188),"",ReferenceData!$BI$188),"")</f>
        <v/>
      </c>
      <c r="BJ188" t="str">
        <f ca="1">IFERROR(IF(0=LEN(ReferenceData!$BJ$188),"",ReferenceData!$BJ$188),"")</f>
        <v/>
      </c>
      <c r="BK188" t="str">
        <f ca="1">IFERROR(IF(0=LEN(ReferenceData!$BK$188),"",ReferenceData!$BK$188),"")</f>
        <v/>
      </c>
      <c r="BL188" t="str">
        <f ca="1">IFERROR(IF(0=LEN(ReferenceData!$BL$188),"",ReferenceData!$BL$188),"")</f>
        <v/>
      </c>
      <c r="BM188" t="str">
        <f ca="1">IFERROR(IF(0=LEN(ReferenceData!$BM$188),"",ReferenceData!$BM$188),"")</f>
        <v/>
      </c>
    </row>
    <row r="189" spans="1:65" x14ac:dyDescent="0.25">
      <c r="A189" t="str">
        <f>IFERROR(IF(0=LEN(ReferenceData!$A$189),"",ReferenceData!$A$189),"")</f>
        <v xml:space="preserve">    Hyundai Motor Co</v>
      </c>
      <c r="B189" t="str">
        <f>IFERROR(IF(0=LEN(ReferenceData!$B$189),"",ReferenceData!$B$189),"")</f>
        <v>005380 KS Equity</v>
      </c>
      <c r="C189" t="str">
        <f>IFERROR(IF(0=LEN(ReferenceData!$C$189),"",ReferenceData!$C$189),"")</f>
        <v>RX077</v>
      </c>
      <c r="D189" t="str">
        <f>IFERROR(IF(0=LEN(ReferenceData!$D$189),"",ReferenceData!$D$189),"")</f>
        <v>PX_TO_TANG_BOOK_VAL_PER_SH</v>
      </c>
      <c r="E189" t="str">
        <f>IFERROR(IF(0=LEN(ReferenceData!$E$189),"",ReferenceData!$E$189),"")</f>
        <v>Dynamic</v>
      </c>
      <c r="F189" t="str">
        <f ca="1">IFERROR(IF(0=LEN(ReferenceData!$F$189),"",ReferenceData!$F$189),"")</f>
        <v/>
      </c>
      <c r="G189">
        <f ca="1">IFERROR(IF(0=LEN(ReferenceData!$G$189),"",ReferenceData!$G$189),"")</f>
        <v>0.38024076400000001</v>
      </c>
      <c r="H189">
        <f ca="1">IFERROR(IF(0=LEN(ReferenceData!$H$189),"",ReferenceData!$H$189),"")</f>
        <v>0.41553737499999999</v>
      </c>
      <c r="I189">
        <f ca="1">IFERROR(IF(0=LEN(ReferenceData!$I$189),"",ReferenceData!$I$189),"")</f>
        <v>0.40072496800000001</v>
      </c>
      <c r="J189">
        <f ca="1">IFERROR(IF(0=LEN(ReferenceData!$J$189),"",ReferenceData!$J$189),"")</f>
        <v>0.46562631900000001</v>
      </c>
      <c r="K189">
        <f ca="1">IFERROR(IF(0=LEN(ReferenceData!$K$189),"",ReferenceData!$K$189),"")</f>
        <v>0.50498490299999998</v>
      </c>
      <c r="L189">
        <f ca="1">IFERROR(IF(0=LEN(ReferenceData!$L$189),"",ReferenceData!$L$189),"")</f>
        <v>0.485395878</v>
      </c>
      <c r="M189">
        <f ca="1">IFERROR(IF(0=LEN(ReferenceData!$M$189),"",ReferenceData!$M$189),"")</f>
        <v>0.52048722300000005</v>
      </c>
      <c r="N189">
        <f ca="1">IFERROR(IF(0=LEN(ReferenceData!$N$189),"",ReferenceData!$N$189),"")</f>
        <v>0.52806956699999996</v>
      </c>
      <c r="O189">
        <f ca="1">IFERROR(IF(0=LEN(ReferenceData!$O$189),"",ReferenceData!$O$189),"")</f>
        <v>0.48544527700000001</v>
      </c>
      <c r="P189">
        <f ca="1">IFERROR(IF(0=LEN(ReferenceData!$P$189),"",ReferenceData!$P$189),"")</f>
        <v>0.47087078500000001</v>
      </c>
      <c r="Q189">
        <f ca="1">IFERROR(IF(0=LEN(ReferenceData!$Q$189),"",ReferenceData!$Q$189),"")</f>
        <v>0.47121481500000001</v>
      </c>
      <c r="R189">
        <f ca="1">IFERROR(IF(0=LEN(ReferenceData!$R$189),"",ReferenceData!$R$189),"")</f>
        <v>0.54373581900000001</v>
      </c>
      <c r="S189">
        <f ca="1">IFERROR(IF(0=LEN(ReferenceData!$S$189),"",ReferenceData!$S$189),"")</f>
        <v>0.53755657400000001</v>
      </c>
      <c r="T189">
        <f ca="1">IFERROR(IF(0=LEN(ReferenceData!$T$189),"",ReferenceData!$T$189),"")</f>
        <v>0.59510610200000003</v>
      </c>
      <c r="U189">
        <f ca="1">IFERROR(IF(0=LEN(ReferenceData!$U$189),"",ReferenceData!$U$189),"")</f>
        <v>0.50362629999999997</v>
      </c>
      <c r="V189">
        <f ca="1">IFERROR(IF(0=LEN(ReferenceData!$V$189),"",ReferenceData!$V$189),"")</f>
        <v>0.64782564200000003</v>
      </c>
      <c r="W189">
        <f ca="1">IFERROR(IF(0=LEN(ReferenceData!$W$189),"",ReferenceData!$W$189),"")</f>
        <v>0.65905506400000002</v>
      </c>
      <c r="X189">
        <f ca="1">IFERROR(IF(0=LEN(ReferenceData!$X$189),"",ReferenceData!$X$189),"")</f>
        <v>0.754358635</v>
      </c>
      <c r="Y189">
        <f ca="1">IFERROR(IF(0=LEN(ReferenceData!$Y$189),"",ReferenceData!$Y$189),"")</f>
        <v>0.936859522</v>
      </c>
      <c r="Z189">
        <f ca="1">IFERROR(IF(0=LEN(ReferenceData!$Z$189),"",ReferenceData!$Z$189),"")</f>
        <v>1.057017053</v>
      </c>
      <c r="AA189">
        <f ca="1">IFERROR(IF(0=LEN(ReferenceData!$AA$189),"",ReferenceData!$AA$189),"")</f>
        <v>1.021070675</v>
      </c>
      <c r="AB189">
        <f ca="1">IFERROR(IF(0=LEN(ReferenceData!$AB$189),"",ReferenceData!$AB$189),"")</f>
        <v>1.128133077</v>
      </c>
      <c r="AC189">
        <f ca="1">IFERROR(IF(0=LEN(ReferenceData!$AC$189),"",ReferenceData!$AC$189),"")</f>
        <v>1.045787389</v>
      </c>
      <c r="AD189">
        <f ca="1">IFERROR(IF(0=LEN(ReferenceData!$AD$189),"",ReferenceData!$AD$189),"")</f>
        <v>1.1030922030000001</v>
      </c>
      <c r="AE189">
        <f ca="1">IFERROR(IF(0=LEN(ReferenceData!$AE$189),"",ReferenceData!$AE$189),"")</f>
        <v>1.120040047</v>
      </c>
      <c r="AF189">
        <f ca="1">IFERROR(IF(0=LEN(ReferenceData!$AF$189),"",ReferenceData!$AF$189),"")</f>
        <v>1.3183118110000001</v>
      </c>
      <c r="AG189">
        <f ca="1">IFERROR(IF(0=LEN(ReferenceData!$AG$189),"",ReferenceData!$AG$189),"")</f>
        <v>1.2744700149999999</v>
      </c>
      <c r="AH189">
        <f ca="1">IFERROR(IF(0=LEN(ReferenceData!$AH$189),"",ReferenceData!$AH$189),"")</f>
        <v>1.355901018</v>
      </c>
      <c r="AI189">
        <f ca="1">IFERROR(IF(0=LEN(ReferenceData!$AI$189),"",ReferenceData!$AI$189),"")</f>
        <v>1.3063294780000001</v>
      </c>
      <c r="AJ189">
        <f ca="1">IFERROR(IF(0=LEN(ReferenceData!$AJ$189),"",ReferenceData!$AJ$189),"")</f>
        <v>1.353937395</v>
      </c>
      <c r="AK189">
        <f ca="1">IFERROR(IF(0=LEN(ReferenceData!$AK$189),"",ReferenceData!$AK$189),"")</f>
        <v>1.6147819029999999</v>
      </c>
      <c r="AL189">
        <f ca="1">IFERROR(IF(0=LEN(ReferenceData!$AL$189),"",ReferenceData!$AL$189),"")</f>
        <v>1.480797887</v>
      </c>
      <c r="AM189">
        <f ca="1">IFERROR(IF(0=LEN(ReferenceData!$AM$189),"",ReferenceData!$AM$189),"")</f>
        <v>1.3390489590000001</v>
      </c>
      <c r="AN189" t="str">
        <f ca="1">IFERROR(IF(0=LEN(ReferenceData!$AN$189),"",ReferenceData!$AN$189),"")</f>
        <v/>
      </c>
      <c r="AO189" t="str">
        <f ca="1">IFERROR(IF(0=LEN(ReferenceData!$AO$189),"",ReferenceData!$AO$189),"")</f>
        <v/>
      </c>
      <c r="AP189" t="str">
        <f ca="1">IFERROR(IF(0=LEN(ReferenceData!$AP$189),"",ReferenceData!$AP$189),"")</f>
        <v/>
      </c>
      <c r="AQ189" t="str">
        <f ca="1">IFERROR(IF(0=LEN(ReferenceData!$AQ$189),"",ReferenceData!$AQ$189),"")</f>
        <v/>
      </c>
      <c r="AR189" t="str">
        <f ca="1">IFERROR(IF(0=LEN(ReferenceData!$AR$189),"",ReferenceData!$AR$189),"")</f>
        <v/>
      </c>
      <c r="AS189" t="str">
        <f ca="1">IFERROR(IF(0=LEN(ReferenceData!$AS$189),"",ReferenceData!$AS$189),"")</f>
        <v/>
      </c>
      <c r="AT189" t="str">
        <f ca="1">IFERROR(IF(0=LEN(ReferenceData!$AT$189),"",ReferenceData!$AT$189),"")</f>
        <v/>
      </c>
      <c r="AU189" t="str">
        <f ca="1">IFERROR(IF(0=LEN(ReferenceData!$AU$189),"",ReferenceData!$AU$189),"")</f>
        <v/>
      </c>
      <c r="AV189" t="str">
        <f ca="1">IFERROR(IF(0=LEN(ReferenceData!$AV$189),"",ReferenceData!$AV$189),"")</f>
        <v/>
      </c>
      <c r="AW189" t="str">
        <f ca="1">IFERROR(IF(0=LEN(ReferenceData!$AW$189),"",ReferenceData!$AW$189),"")</f>
        <v/>
      </c>
      <c r="AX189" t="str">
        <f ca="1">IFERROR(IF(0=LEN(ReferenceData!$AX$189),"",ReferenceData!$AX$189),"")</f>
        <v/>
      </c>
      <c r="AY189" t="str">
        <f ca="1">IFERROR(IF(0=LEN(ReferenceData!$AY$189),"",ReferenceData!$AY$189),"")</f>
        <v/>
      </c>
      <c r="AZ189" t="str">
        <f ca="1">IFERROR(IF(0=LEN(ReferenceData!$AZ$189),"",ReferenceData!$AZ$189),"")</f>
        <v/>
      </c>
      <c r="BA189" t="str">
        <f ca="1">IFERROR(IF(0=LEN(ReferenceData!$BA$189),"",ReferenceData!$BA$189),"")</f>
        <v/>
      </c>
      <c r="BB189" t="str">
        <f ca="1">IFERROR(IF(0=LEN(ReferenceData!$BB$189),"",ReferenceData!$BB$189),"")</f>
        <v/>
      </c>
      <c r="BC189" t="str">
        <f ca="1">IFERROR(IF(0=LEN(ReferenceData!$BC$189),"",ReferenceData!$BC$189),"")</f>
        <v/>
      </c>
      <c r="BD189" t="str">
        <f ca="1">IFERROR(IF(0=LEN(ReferenceData!$BD$189),"",ReferenceData!$BD$189),"")</f>
        <v/>
      </c>
      <c r="BE189" t="str">
        <f ca="1">IFERROR(IF(0=LEN(ReferenceData!$BE$189),"",ReferenceData!$BE$189),"")</f>
        <v/>
      </c>
      <c r="BF189" t="str">
        <f ca="1">IFERROR(IF(0=LEN(ReferenceData!$BF$189),"",ReferenceData!$BF$189),"")</f>
        <v/>
      </c>
      <c r="BG189" t="str">
        <f ca="1">IFERROR(IF(0=LEN(ReferenceData!$BG$189),"",ReferenceData!$BG$189),"")</f>
        <v/>
      </c>
      <c r="BH189" t="str">
        <f ca="1">IFERROR(IF(0=LEN(ReferenceData!$BH$189),"",ReferenceData!$BH$189),"")</f>
        <v/>
      </c>
      <c r="BI189" t="str">
        <f ca="1">IFERROR(IF(0=LEN(ReferenceData!$BI$189),"",ReferenceData!$BI$189),"")</f>
        <v/>
      </c>
      <c r="BJ189" t="str">
        <f ca="1">IFERROR(IF(0=LEN(ReferenceData!$BJ$189),"",ReferenceData!$BJ$189),"")</f>
        <v/>
      </c>
      <c r="BK189" t="str">
        <f ca="1">IFERROR(IF(0=LEN(ReferenceData!$BK$189),"",ReferenceData!$BK$189),"")</f>
        <v/>
      </c>
      <c r="BL189" t="str">
        <f ca="1">IFERROR(IF(0=LEN(ReferenceData!$BL$189),"",ReferenceData!$BL$189),"")</f>
        <v/>
      </c>
      <c r="BM189" t="str">
        <f ca="1">IFERROR(IF(0=LEN(ReferenceData!$BM$189),"",ReferenceData!$BM$189),"")</f>
        <v/>
      </c>
    </row>
    <row r="190" spans="1:65" x14ac:dyDescent="0.25">
      <c r="A190" t="str">
        <f>IFERROR(IF(0=LEN(ReferenceData!$A$190),"",ReferenceData!$A$190),"")</f>
        <v xml:space="preserve">    Kia Motors Corp</v>
      </c>
      <c r="B190" t="str">
        <f>IFERROR(IF(0=LEN(ReferenceData!$B$190),"",ReferenceData!$B$190),"")</f>
        <v>000270 KS Equity</v>
      </c>
      <c r="C190" t="str">
        <f>IFERROR(IF(0=LEN(ReferenceData!$C$190),"",ReferenceData!$C$190),"")</f>
        <v>RX077</v>
      </c>
      <c r="D190" t="str">
        <f>IFERROR(IF(0=LEN(ReferenceData!$D$190),"",ReferenceData!$D$190),"")</f>
        <v>PX_TO_TANG_BOOK_VAL_PER_SH</v>
      </c>
      <c r="E190" t="str">
        <f>IFERROR(IF(0=LEN(ReferenceData!$E$190),"",ReferenceData!$E$190),"")</f>
        <v>Dynamic</v>
      </c>
      <c r="F190" t="str">
        <f ca="1">IFERROR(IF(0=LEN(ReferenceData!$F$190),"",ReferenceData!$F$190),"")</f>
        <v/>
      </c>
      <c r="G190">
        <f ca="1">IFERROR(IF(0=LEN(ReferenceData!$G$190),"",ReferenceData!$G$190),"")</f>
        <v>0.53246941400000003</v>
      </c>
      <c r="H190">
        <f ca="1">IFERROR(IF(0=LEN(ReferenceData!$H$190),"",ReferenceData!$H$190),"")</f>
        <v>0.56549701699999999</v>
      </c>
      <c r="I190">
        <f ca="1">IFERROR(IF(0=LEN(ReferenceData!$I$190),"",ReferenceData!$I$190),"")</f>
        <v>0.49951378099999999</v>
      </c>
      <c r="J190">
        <f ca="1">IFERROR(IF(0=LEN(ReferenceData!$J$190),"",ReferenceData!$J$190),"")</f>
        <v>0.50680318400000002</v>
      </c>
      <c r="K190">
        <f ca="1">IFERROR(IF(0=LEN(ReferenceData!$K$190),"",ReferenceData!$K$190),"")</f>
        <v>0.550668567</v>
      </c>
      <c r="L190">
        <f ca="1">IFERROR(IF(0=LEN(ReferenceData!$L$190),"",ReferenceData!$L$190),"")</f>
        <v>0.51376081600000001</v>
      </c>
      <c r="M190">
        <f ca="1">IFERROR(IF(0=LEN(ReferenceData!$M$190),"",ReferenceData!$M$190),"")</f>
        <v>0.61558011800000001</v>
      </c>
      <c r="N190">
        <f ca="1">IFERROR(IF(0=LEN(ReferenceData!$N$190),"",ReferenceData!$N$190),"")</f>
        <v>0.61421270400000005</v>
      </c>
      <c r="O190">
        <f ca="1">IFERROR(IF(0=LEN(ReferenceData!$O$190),"",ReferenceData!$O$190),"")</f>
        <v>0.65518182199999997</v>
      </c>
      <c r="P190">
        <f ca="1">IFERROR(IF(0=LEN(ReferenceData!$P$190),"",ReferenceData!$P$190),"")</f>
        <v>0.72412428399999995</v>
      </c>
      <c r="Q190">
        <f ca="1">IFERROR(IF(0=LEN(ReferenceData!$Q$190),"",ReferenceData!$Q$190),"")</f>
        <v>0.75043158600000004</v>
      </c>
      <c r="R190">
        <f ca="1">IFERROR(IF(0=LEN(ReferenceData!$R$190),"",ReferenceData!$R$190),"")</f>
        <v>0.87257475699999998</v>
      </c>
      <c r="S190">
        <f ca="1">IFERROR(IF(0=LEN(ReferenceData!$S$190),"",ReferenceData!$S$190),"")</f>
        <v>0.95553996299999999</v>
      </c>
      <c r="T190">
        <f ca="1">IFERROR(IF(0=LEN(ReferenceData!$T$190),"",ReferenceData!$T$190),"")</f>
        <v>0.97757660899999999</v>
      </c>
      <c r="U190">
        <f ca="1">IFERROR(IF(0=LEN(ReferenceData!$U$190),"",ReferenceData!$U$190),"")</f>
        <v>0.85138161800000001</v>
      </c>
      <c r="V190">
        <f ca="1">IFERROR(IF(0=LEN(ReferenceData!$V$190),"",ReferenceData!$V$190),"")</f>
        <v>0.892399795</v>
      </c>
      <c r="W190">
        <f ca="1">IFERROR(IF(0=LEN(ReferenceData!$W$190),"",ReferenceData!$W$190),"")</f>
        <v>1.028438433</v>
      </c>
      <c r="X190">
        <f ca="1">IFERROR(IF(0=LEN(ReferenceData!$X$190),"",ReferenceData!$X$190),"")</f>
        <v>1.0607221840000001</v>
      </c>
      <c r="Y190">
        <f ca="1">IFERROR(IF(0=LEN(ReferenceData!$Y$190),"",ReferenceData!$Y$190),"")</f>
        <v>1.1544910209999999</v>
      </c>
      <c r="Z190">
        <f ca="1">IFERROR(IF(0=LEN(ReferenceData!$Z$190),"",ReferenceData!$Z$190),"")</f>
        <v>1.260918048</v>
      </c>
      <c r="AA190">
        <f ca="1">IFERROR(IF(0=LEN(ReferenceData!$AA$190),"",ReferenceData!$AA$190),"")</f>
        <v>1.2255031460000001</v>
      </c>
      <c r="AB190">
        <f ca="1">IFERROR(IF(0=LEN(ReferenceData!$AB$190),"",ReferenceData!$AB$190),"")</f>
        <v>1.4800890550000001</v>
      </c>
      <c r="AC190">
        <f ca="1">IFERROR(IF(0=LEN(ReferenceData!$AC$190),"",ReferenceData!$AC$190),"")</f>
        <v>1.4716681540000001</v>
      </c>
      <c r="AD190">
        <f ca="1">IFERROR(IF(0=LEN(ReferenceData!$AD$190),"",ReferenceData!$AD$190),"")</f>
        <v>1.4295295429999999</v>
      </c>
      <c r="AE190">
        <f ca="1">IFERROR(IF(0=LEN(ReferenceData!$AE$190),"",ReferenceData!$AE$190),"")</f>
        <v>1.493185491</v>
      </c>
      <c r="AF190">
        <f ca="1">IFERROR(IF(0=LEN(ReferenceData!$AF$190),"",ReferenceData!$AF$190),"")</f>
        <v>1.888891788</v>
      </c>
      <c r="AG190">
        <f ca="1">IFERROR(IF(0=LEN(ReferenceData!$AG$190),"",ReferenceData!$AG$190),"")</f>
        <v>2.165998477</v>
      </c>
      <c r="AH190">
        <f ca="1">IFERROR(IF(0=LEN(ReferenceData!$AH$190),"",ReferenceData!$AH$190),"")</f>
        <v>2.319703853</v>
      </c>
      <c r="AI190">
        <f ca="1">IFERROR(IF(0=LEN(ReferenceData!$AI$190),"",ReferenceData!$AI$190),"")</f>
        <v>2.2448254150000002</v>
      </c>
      <c r="AJ190">
        <f ca="1">IFERROR(IF(0=LEN(ReferenceData!$AJ$190),"",ReferenceData!$AJ$190),"")</f>
        <v>2.5083027379999998</v>
      </c>
      <c r="AK190">
        <f ca="1">IFERROR(IF(0=LEN(ReferenceData!$AK$190),"",ReferenceData!$AK$190),"")</f>
        <v>2.6022754809999999</v>
      </c>
      <c r="AL190">
        <f ca="1">IFERROR(IF(0=LEN(ReferenceData!$AL$190),"",ReferenceData!$AL$190),"")</f>
        <v>2.8812937660000002</v>
      </c>
      <c r="AM190" t="str">
        <f ca="1">IFERROR(IF(0=LEN(ReferenceData!$AM$190),"",ReferenceData!$AM$190),"")</f>
        <v/>
      </c>
      <c r="AN190" t="str">
        <f ca="1">IFERROR(IF(0=LEN(ReferenceData!$AN$190),"",ReferenceData!$AN$190),"")</f>
        <v/>
      </c>
      <c r="AO190" t="str">
        <f ca="1">IFERROR(IF(0=LEN(ReferenceData!$AO$190),"",ReferenceData!$AO$190),"")</f>
        <v/>
      </c>
      <c r="AP190" t="str">
        <f ca="1">IFERROR(IF(0=LEN(ReferenceData!$AP$190),"",ReferenceData!$AP$190),"")</f>
        <v/>
      </c>
      <c r="AQ190" t="str">
        <f ca="1">IFERROR(IF(0=LEN(ReferenceData!$AQ$190),"",ReferenceData!$AQ$190),"")</f>
        <v/>
      </c>
      <c r="AR190" t="str">
        <f ca="1">IFERROR(IF(0=LEN(ReferenceData!$AR$190),"",ReferenceData!$AR$190),"")</f>
        <v/>
      </c>
      <c r="AS190" t="str">
        <f ca="1">IFERROR(IF(0=LEN(ReferenceData!$AS$190),"",ReferenceData!$AS$190),"")</f>
        <v/>
      </c>
      <c r="AT190" t="str">
        <f ca="1">IFERROR(IF(0=LEN(ReferenceData!$AT$190),"",ReferenceData!$AT$190),"")</f>
        <v/>
      </c>
      <c r="AU190" t="str">
        <f ca="1">IFERROR(IF(0=LEN(ReferenceData!$AU$190),"",ReferenceData!$AU$190),"")</f>
        <v/>
      </c>
      <c r="AV190" t="str">
        <f ca="1">IFERROR(IF(0=LEN(ReferenceData!$AV$190),"",ReferenceData!$AV$190),"")</f>
        <v/>
      </c>
      <c r="AW190" t="str">
        <f ca="1">IFERROR(IF(0=LEN(ReferenceData!$AW$190),"",ReferenceData!$AW$190),"")</f>
        <v/>
      </c>
      <c r="AX190" t="str">
        <f ca="1">IFERROR(IF(0=LEN(ReferenceData!$AX$190),"",ReferenceData!$AX$190),"")</f>
        <v/>
      </c>
      <c r="AY190" t="str">
        <f ca="1">IFERROR(IF(0=LEN(ReferenceData!$AY$190),"",ReferenceData!$AY$190),"")</f>
        <v/>
      </c>
      <c r="AZ190" t="str">
        <f ca="1">IFERROR(IF(0=LEN(ReferenceData!$AZ$190),"",ReferenceData!$AZ$190),"")</f>
        <v/>
      </c>
      <c r="BA190" t="str">
        <f ca="1">IFERROR(IF(0=LEN(ReferenceData!$BA$190),"",ReferenceData!$BA$190),"")</f>
        <v/>
      </c>
      <c r="BB190" t="str">
        <f ca="1">IFERROR(IF(0=LEN(ReferenceData!$BB$190),"",ReferenceData!$BB$190),"")</f>
        <v/>
      </c>
      <c r="BC190" t="str">
        <f ca="1">IFERROR(IF(0=LEN(ReferenceData!$BC$190),"",ReferenceData!$BC$190),"")</f>
        <v/>
      </c>
      <c r="BD190" t="str">
        <f ca="1">IFERROR(IF(0=LEN(ReferenceData!$BD$190),"",ReferenceData!$BD$190),"")</f>
        <v/>
      </c>
      <c r="BE190" t="str">
        <f ca="1">IFERROR(IF(0=LEN(ReferenceData!$BE$190),"",ReferenceData!$BE$190),"")</f>
        <v/>
      </c>
      <c r="BF190" t="str">
        <f ca="1">IFERROR(IF(0=LEN(ReferenceData!$BF$190),"",ReferenceData!$BF$190),"")</f>
        <v/>
      </c>
      <c r="BG190" t="str">
        <f ca="1">IFERROR(IF(0=LEN(ReferenceData!$BG$190),"",ReferenceData!$BG$190),"")</f>
        <v/>
      </c>
      <c r="BH190" t="str">
        <f ca="1">IFERROR(IF(0=LEN(ReferenceData!$BH$190),"",ReferenceData!$BH$190),"")</f>
        <v/>
      </c>
      <c r="BI190" t="str">
        <f ca="1">IFERROR(IF(0=LEN(ReferenceData!$BI$190),"",ReferenceData!$BI$190),"")</f>
        <v/>
      </c>
      <c r="BJ190" t="str">
        <f ca="1">IFERROR(IF(0=LEN(ReferenceData!$BJ$190),"",ReferenceData!$BJ$190),"")</f>
        <v/>
      </c>
      <c r="BK190" t="str">
        <f ca="1">IFERROR(IF(0=LEN(ReferenceData!$BK$190),"",ReferenceData!$BK$190),"")</f>
        <v/>
      </c>
      <c r="BL190" t="str">
        <f ca="1">IFERROR(IF(0=LEN(ReferenceData!$BL$190),"",ReferenceData!$BL$190),"")</f>
        <v/>
      </c>
      <c r="BM190" t="str">
        <f ca="1">IFERROR(IF(0=LEN(ReferenceData!$BM$190),"",ReferenceData!$BM$190),"")</f>
        <v/>
      </c>
    </row>
    <row r="191" spans="1:65" x14ac:dyDescent="0.25">
      <c r="A191" t="str">
        <f>IFERROR(IF(0=LEN(ReferenceData!$A$191),"",ReferenceData!$A$191),"")</f>
        <v xml:space="preserve">    Mazda Motor Corp</v>
      </c>
      <c r="B191" t="str">
        <f>IFERROR(IF(0=LEN(ReferenceData!$B$191),"",ReferenceData!$B$191),"")</f>
        <v>7261 JP Equity</v>
      </c>
      <c r="C191" t="str">
        <f>IFERROR(IF(0=LEN(ReferenceData!$C$191),"",ReferenceData!$C$191),"")</f>
        <v>RX077</v>
      </c>
      <c r="D191" t="str">
        <f>IFERROR(IF(0=LEN(ReferenceData!$D$191),"",ReferenceData!$D$191),"")</f>
        <v>PX_TO_TANG_BOOK_VAL_PER_SH</v>
      </c>
      <c r="E191" t="str">
        <f>IFERROR(IF(0=LEN(ReferenceData!$E$191),"",ReferenceData!$E$191),"")</f>
        <v>Dynamic</v>
      </c>
      <c r="F191">
        <f ca="1">IFERROR(IF(0=LEN(ReferenceData!$F$191),"",ReferenceData!$F$191),"")</f>
        <v>0.69578261699999999</v>
      </c>
      <c r="G191">
        <f ca="1">IFERROR(IF(0=LEN(ReferenceData!$G$191),"",ReferenceData!$G$191),"")</f>
        <v>0.61384630399999995</v>
      </c>
      <c r="H191">
        <f ca="1">IFERROR(IF(0=LEN(ReferenceData!$H$191),"",ReferenceData!$H$191),"")</f>
        <v>0.73469875699999998</v>
      </c>
      <c r="I191">
        <f ca="1">IFERROR(IF(0=LEN(ReferenceData!$I$191),"",ReferenceData!$I$191),"")</f>
        <v>0.73589615399999997</v>
      </c>
      <c r="J191">
        <f ca="1">IFERROR(IF(0=LEN(ReferenceData!$J$191),"",ReferenceData!$J$191),"")</f>
        <v>0.76538415299999996</v>
      </c>
      <c r="K191">
        <f ca="1">IFERROR(IF(0=LEN(ReferenceData!$K$191),"",ReferenceData!$K$191),"")</f>
        <v>0.83588325900000005</v>
      </c>
      <c r="L191">
        <f ca="1">IFERROR(IF(0=LEN(ReferenceData!$L$191),"",ReferenceData!$L$191),"")</f>
        <v>0.97070032299999998</v>
      </c>
      <c r="M191">
        <f ca="1">IFERROR(IF(0=LEN(ReferenceData!$M$191),"",ReferenceData!$M$191),"")</f>
        <v>0.91221790400000002</v>
      </c>
      <c r="N191">
        <f ca="1">IFERROR(IF(0=LEN(ReferenceData!$N$191),"",ReferenceData!$N$191),"")</f>
        <v>0.95232795199999998</v>
      </c>
      <c r="O191">
        <f ca="1">IFERROR(IF(0=LEN(ReferenceData!$O$191),"",ReferenceData!$O$191),"")</f>
        <v>1.1697454949999999</v>
      </c>
      <c r="P191">
        <f ca="1">IFERROR(IF(0=LEN(ReferenceData!$P$191),"",ReferenceData!$P$191),"")</f>
        <v>0.96503047200000003</v>
      </c>
      <c r="Q191">
        <f ca="1">IFERROR(IF(0=LEN(ReferenceData!$Q$191),"",ReferenceData!$Q$191),"")</f>
        <v>0.87812536799999996</v>
      </c>
      <c r="R191">
        <f ca="1">IFERROR(IF(0=LEN(ReferenceData!$R$191),"",ReferenceData!$R$191),"")</f>
        <v>1.130848337</v>
      </c>
      <c r="S191">
        <f ca="1">IFERROR(IF(0=LEN(ReferenceData!$S$191),"",ReferenceData!$S$191),"")</f>
        <v>1.6043590299999999</v>
      </c>
      <c r="T191">
        <f ca="1">IFERROR(IF(0=LEN(ReferenceData!$T$191),"",ReferenceData!$T$191),"")</f>
        <v>1.076471709</v>
      </c>
      <c r="U191">
        <f ca="1">IFERROR(IF(0=LEN(ReferenceData!$U$191),"",ReferenceData!$U$191),"")</f>
        <v>1.6506680929999999</v>
      </c>
      <c r="V191">
        <f ca="1">IFERROR(IF(0=LEN(ReferenceData!$V$191),"",ReferenceData!$V$191),"")</f>
        <v>1.7353296579999999</v>
      </c>
      <c r="W191">
        <f ca="1">IFERROR(IF(0=LEN(ReferenceData!$W$191),"",ReferenceData!$W$191),"")</f>
        <v>1.8690197820000001</v>
      </c>
      <c r="X191">
        <f ca="1">IFERROR(IF(0=LEN(ReferenceData!$X$191),"",ReferenceData!$X$191),"")</f>
        <v>2.2463904119999998</v>
      </c>
      <c r="Y191">
        <f ca="1">IFERROR(IF(0=LEN(ReferenceData!$Y$191),"",ReferenceData!$Y$191),"")</f>
        <v>2.073433106</v>
      </c>
      <c r="Z191">
        <f ca="1">IFERROR(IF(0=LEN(ReferenceData!$Z$191),"",ReferenceData!$Z$191),"")</f>
        <v>2.1461559380000002</v>
      </c>
      <c r="AA191">
        <f ca="1">IFERROR(IF(0=LEN(ReferenceData!$AA$191),"",ReferenceData!$AA$191),"")</f>
        <v>2.8414890580000001</v>
      </c>
      <c r="AB191">
        <f ca="1">IFERROR(IF(0=LEN(ReferenceData!$AB$191),"",ReferenceData!$AB$191),"")</f>
        <v>2.4867380529999998</v>
      </c>
      <c r="AC191">
        <f ca="1">IFERROR(IF(0=LEN(ReferenceData!$AC$191),"",ReferenceData!$AC$191),"")</f>
        <v>2.3366700549999999</v>
      </c>
      <c r="AD191">
        <f ca="1">IFERROR(IF(0=LEN(ReferenceData!$AD$191),"",ReferenceData!$AD$191),"")</f>
        <v>1.7651275580000001</v>
      </c>
      <c r="AE191">
        <f ca="1">IFERROR(IF(0=LEN(ReferenceData!$AE$191),"",ReferenceData!$AE$191),"")</f>
        <v>1.13338885</v>
      </c>
      <c r="AF191">
        <f ca="1">IFERROR(IF(0=LEN(ReferenceData!$AF$191),"",ReferenceData!$AF$191),"")</f>
        <v>0.59293190100000004</v>
      </c>
      <c r="AG191">
        <f ca="1">IFERROR(IF(0=LEN(ReferenceData!$AG$191),"",ReferenceData!$AG$191),"")</f>
        <v>0.70955248500000001</v>
      </c>
      <c r="AH191">
        <f ca="1">IFERROR(IF(0=LEN(ReferenceData!$AH$191),"",ReferenceData!$AH$191),"")</f>
        <v>0.96666505000000003</v>
      </c>
      <c r="AI191">
        <f ca="1">IFERROR(IF(0=LEN(ReferenceData!$AI$191),"",ReferenceData!$AI$191),"")</f>
        <v>0.79332553900000002</v>
      </c>
      <c r="AJ191">
        <f ca="1">IFERROR(IF(0=LEN(ReferenceData!$AJ$191),"",ReferenceData!$AJ$191),"")</f>
        <v>0.75195241099999999</v>
      </c>
      <c r="AK191">
        <f ca="1">IFERROR(IF(0=LEN(ReferenceData!$AK$191),"",ReferenceData!$AK$191),"")</f>
        <v>0.96415438600000003</v>
      </c>
      <c r="AL191">
        <f ca="1">IFERROR(IF(0=LEN(ReferenceData!$AL$191),"",ReferenceData!$AL$191),"")</f>
        <v>0.79171222100000005</v>
      </c>
      <c r="AM191">
        <f ca="1">IFERROR(IF(0=LEN(ReferenceData!$AM$191),"",ReferenceData!$AM$191),"")</f>
        <v>0.86861540299999995</v>
      </c>
      <c r="AN191">
        <f ca="1">IFERROR(IF(0=LEN(ReferenceData!$AN$191),"",ReferenceData!$AN$191),"")</f>
        <v>0.74286460399999998</v>
      </c>
      <c r="AO191">
        <f ca="1">IFERROR(IF(0=LEN(ReferenceData!$AO$191),"",ReferenceData!$AO$191),"")</f>
        <v>0.77771796299999996</v>
      </c>
      <c r="AP191">
        <f ca="1">IFERROR(IF(0=LEN(ReferenceData!$AP$191),"",ReferenceData!$AP$191),"")</f>
        <v>0.95992345599999995</v>
      </c>
      <c r="AQ191">
        <f ca="1">IFERROR(IF(0=LEN(ReferenceData!$AQ$191),"",ReferenceData!$AQ$191),"")</f>
        <v>0.79247111699999995</v>
      </c>
      <c r="AR191">
        <f ca="1">IFERROR(IF(0=LEN(ReferenceData!$AR$191),"",ReferenceData!$AR$191),"")</f>
        <v>0.69319442899999995</v>
      </c>
      <c r="AS191">
        <f ca="1">IFERROR(IF(0=LEN(ReferenceData!$AS$191),"",ReferenceData!$AS$191),"")</f>
        <v>0.86675486300000004</v>
      </c>
      <c r="AT191">
        <f ca="1">IFERROR(IF(0=LEN(ReferenceData!$AT$191),"",ReferenceData!$AT$191),"")</f>
        <v>0.556691504</v>
      </c>
      <c r="AU191">
        <f ca="1">IFERROR(IF(0=LEN(ReferenceData!$AU$191),"",ReferenceData!$AU$191),"")</f>
        <v>0.39807005200000001</v>
      </c>
      <c r="AV191">
        <f ca="1">IFERROR(IF(0=LEN(ReferenceData!$AV$191),"",ReferenceData!$AV$191),"")</f>
        <v>1.09193169</v>
      </c>
      <c r="AW191">
        <f ca="1">IFERROR(IF(0=LEN(ReferenceData!$AW$191),"",ReferenceData!$AW$191),"")</f>
        <v>1.506877496</v>
      </c>
      <c r="AX191">
        <f ca="1">IFERROR(IF(0=LEN(ReferenceData!$AX$191),"",ReferenceData!$AX$191),"")</f>
        <v>0.959564321</v>
      </c>
      <c r="AY191">
        <f ca="1">IFERROR(IF(0=LEN(ReferenceData!$AY$191),"",ReferenceData!$AY$191),"")</f>
        <v>1.6733877450000001</v>
      </c>
      <c r="AZ191">
        <f ca="1">IFERROR(IF(0=LEN(ReferenceData!$AZ$191),"",ReferenceData!$AZ$191),"")</f>
        <v>1.7584472499999999</v>
      </c>
      <c r="BA191">
        <f ca="1">IFERROR(IF(0=LEN(ReferenceData!$BA$191),"",ReferenceData!$BA$191),"")</f>
        <v>2.2473359720000001</v>
      </c>
      <c r="BB191">
        <f ca="1">IFERROR(IF(0=LEN(ReferenceData!$BB$191),"",ReferenceData!$BB$191),"")</f>
        <v>2.0749056700000001</v>
      </c>
      <c r="BC191">
        <f ca="1">IFERROR(IF(0=LEN(ReferenceData!$BC$191),"",ReferenceData!$BC$191),"")</f>
        <v>2.7885012069999999</v>
      </c>
      <c r="BD191">
        <f ca="1">IFERROR(IF(0=LEN(ReferenceData!$BD$191),"",ReferenceData!$BD$191),"")</f>
        <v>2.5772236089999998</v>
      </c>
      <c r="BE191">
        <f ca="1">IFERROR(IF(0=LEN(ReferenceData!$BE$191),"",ReferenceData!$BE$191),"")</f>
        <v>2.6998761519999999</v>
      </c>
      <c r="BF191">
        <f ca="1">IFERROR(IF(0=LEN(ReferenceData!$BF$191),"",ReferenceData!$BF$191),"")</f>
        <v>2.6821580300000001</v>
      </c>
      <c r="BG191">
        <f ca="1">IFERROR(IF(0=LEN(ReferenceData!$BG$191),"",ReferenceData!$BG$191),"")</f>
        <v>2.2084993220000002</v>
      </c>
      <c r="BH191">
        <f ca="1">IFERROR(IF(0=LEN(ReferenceData!$BH$191),"",ReferenceData!$BH$191),"")</f>
        <v>2.1339918199999999</v>
      </c>
      <c r="BI191">
        <f ca="1">IFERROR(IF(0=LEN(ReferenceData!$BI$191),"",ReferenceData!$BI$191),"")</f>
        <v>2.0781850020000001</v>
      </c>
      <c r="BJ191">
        <f ca="1">IFERROR(IF(0=LEN(ReferenceData!$BJ$191),"",ReferenceData!$BJ$191),"")</f>
        <v>1.8208532660000001</v>
      </c>
      <c r="BK191">
        <f ca="1">IFERROR(IF(0=LEN(ReferenceData!$BK$191),"",ReferenceData!$BK$191),"")</f>
        <v>1.7300149499999999</v>
      </c>
      <c r="BL191">
        <f ca="1">IFERROR(IF(0=LEN(ReferenceData!$BL$191),"",ReferenceData!$BL$191),"")</f>
        <v>1.8971716359999999</v>
      </c>
      <c r="BM191">
        <f ca="1">IFERROR(IF(0=LEN(ReferenceData!$BM$191),"",ReferenceData!$BM$191),"")</f>
        <v>2.228858395</v>
      </c>
    </row>
    <row r="192" spans="1:65" x14ac:dyDescent="0.25">
      <c r="A192" t="str">
        <f>IFERROR(IF(0=LEN(ReferenceData!$A$192),"",ReferenceData!$A$192),"")</f>
        <v xml:space="preserve">    Mitsubishi Motors Corp</v>
      </c>
      <c r="B192" t="str">
        <f>IFERROR(IF(0=LEN(ReferenceData!$B$192),"",ReferenceData!$B$192),"")</f>
        <v>7211 JP Equity</v>
      </c>
      <c r="C192" t="str">
        <f>IFERROR(IF(0=LEN(ReferenceData!$C$192),"",ReferenceData!$C$192),"")</f>
        <v>RX077</v>
      </c>
      <c r="D192" t="str">
        <f>IFERROR(IF(0=LEN(ReferenceData!$D$192),"",ReferenceData!$D$192),"")</f>
        <v>PX_TO_TANG_BOOK_VAL_PER_SH</v>
      </c>
      <c r="E192" t="str">
        <f>IFERROR(IF(0=LEN(ReferenceData!$E$192),"",ReferenceData!$E$192),"")</f>
        <v>Dynamic</v>
      </c>
      <c r="F192">
        <f ca="1">IFERROR(IF(0=LEN(ReferenceData!$F$192),"",ReferenceData!$F$192),"")</f>
        <v>1.1989176530000001</v>
      </c>
      <c r="G192">
        <f ca="1">IFERROR(IF(0=LEN(ReferenceData!$G$192),"",ReferenceData!$G$192),"")</f>
        <v>1.158504698</v>
      </c>
      <c r="H192">
        <f ca="1">IFERROR(IF(0=LEN(ReferenceData!$H$192),"",ReferenceData!$H$192),"")</f>
        <v>1.52820457</v>
      </c>
      <c r="I192">
        <f ca="1">IFERROR(IF(0=LEN(ReferenceData!$I$192),"",ReferenceData!$I$192),"")</f>
        <v>1.751399945</v>
      </c>
      <c r="J192">
        <f ca="1">IFERROR(IF(0=LEN(ReferenceData!$J$192),"",ReferenceData!$J$192),"")</f>
        <v>1.507786898</v>
      </c>
      <c r="K192">
        <f ca="1">IFERROR(IF(0=LEN(ReferenceData!$K$192),"",ReferenceData!$K$192),"")</f>
        <v>1.6741280110000001</v>
      </c>
      <c r="L192">
        <f ca="1">IFERROR(IF(0=LEN(ReferenceData!$L$192),"",ReferenceData!$L$192),"")</f>
        <v>1.8725271960000001</v>
      </c>
      <c r="M192">
        <f ca="1">IFERROR(IF(0=LEN(ReferenceData!$M$192),"",ReferenceData!$M$192),"")</f>
        <v>1.624943877</v>
      </c>
      <c r="N192">
        <f ca="1">IFERROR(IF(0=LEN(ReferenceData!$N$192),"",ReferenceData!$N$192),"")</f>
        <v>1.493372653</v>
      </c>
      <c r="O192">
        <f ca="1">IFERROR(IF(0=LEN(ReferenceData!$O$192),"",ReferenceData!$O$192),"")</f>
        <v>1.51001937</v>
      </c>
      <c r="P192">
        <f ca="1">IFERROR(IF(0=LEN(ReferenceData!$P$192),"",ReferenceData!$P$192),"")</f>
        <v>1.173003681</v>
      </c>
      <c r="Q192">
        <f ca="1">IFERROR(IF(0=LEN(ReferenceData!$Q$192),"",ReferenceData!$Q$192),"")</f>
        <v>0.93721658100000005</v>
      </c>
      <c r="R192">
        <f ca="1">IFERROR(IF(0=LEN(ReferenceData!$R$192),"",ReferenceData!$R$192),"")</f>
        <v>1.266427121</v>
      </c>
      <c r="S192">
        <f ca="1">IFERROR(IF(0=LEN(ReferenceData!$S$192),"",ReferenceData!$S$192),"")</f>
        <v>1.4942412300000001</v>
      </c>
      <c r="T192">
        <f ca="1">IFERROR(IF(0=LEN(ReferenceData!$T$192),"",ReferenceData!$T$192),"")</f>
        <v>1.3574050280000001</v>
      </c>
      <c r="U192">
        <f ca="1">IFERROR(IF(0=LEN(ReferenceData!$U$192),"",ReferenceData!$U$192),"")</f>
        <v>1.559213051</v>
      </c>
      <c r="V192">
        <f ca="1">IFERROR(IF(0=LEN(ReferenceData!$V$192),"",ReferenceData!$V$192),"")</f>
        <v>1.6553146860000001</v>
      </c>
      <c r="W192">
        <f ca="1">IFERROR(IF(0=LEN(ReferenceData!$W$192),"",ReferenceData!$W$192),"")</f>
        <v>1.7180832580000001</v>
      </c>
      <c r="X192">
        <f ca="1">IFERROR(IF(0=LEN(ReferenceData!$X$192),"",ReferenceData!$X$192),"")</f>
        <v>2.2493331379999999</v>
      </c>
      <c r="Y192">
        <f ca="1">IFERROR(IF(0=LEN(ReferenceData!$Y$192),"",ReferenceData!$Y$192),"")</f>
        <v>2.062729467</v>
      </c>
      <c r="Z192">
        <f ca="1">IFERROR(IF(0=LEN(ReferenceData!$Z$192),"",ReferenceData!$Z$192),"")</f>
        <v>2.0131270749999999</v>
      </c>
      <c r="AA192">
        <f ca="1">IFERROR(IF(0=LEN(ReferenceData!$AA$192),"",ReferenceData!$AA$192),"")</f>
        <v>16.464409459999999</v>
      </c>
      <c r="AB192" t="str">
        <f ca="1">IFERROR(IF(0=LEN(ReferenceData!$AB$192),"",ReferenceData!$AB$192),"")</f>
        <v/>
      </c>
      <c r="AC192" t="str">
        <f ca="1">IFERROR(IF(0=LEN(ReferenceData!$AC$192),"",ReferenceData!$AC$192),"")</f>
        <v/>
      </c>
      <c r="AD192" t="str">
        <f ca="1">IFERROR(IF(0=LEN(ReferenceData!$AD$192),"",ReferenceData!$AD$192),"")</f>
        <v/>
      </c>
      <c r="AE192" t="str">
        <f ca="1">IFERROR(IF(0=LEN(ReferenceData!$AE$192),"",ReferenceData!$AE$192),"")</f>
        <v/>
      </c>
      <c r="AF192" t="str">
        <f ca="1">IFERROR(IF(0=LEN(ReferenceData!$AF$192),"",ReferenceData!$AF$192),"")</f>
        <v/>
      </c>
      <c r="AG192" t="str">
        <f ca="1">IFERROR(IF(0=LEN(ReferenceData!$AG$192),"",ReferenceData!$AG$192),"")</f>
        <v/>
      </c>
      <c r="AH192" t="str">
        <f ca="1">IFERROR(IF(0=LEN(ReferenceData!$AH$192),"",ReferenceData!$AH$192),"")</f>
        <v/>
      </c>
      <c r="AI192" t="str">
        <f ca="1">IFERROR(IF(0=LEN(ReferenceData!$AI$192),"",ReferenceData!$AI$192),"")</f>
        <v/>
      </c>
      <c r="AJ192" t="str">
        <f ca="1">IFERROR(IF(0=LEN(ReferenceData!$AJ$192),"",ReferenceData!$AJ$192),"")</f>
        <v/>
      </c>
      <c r="AK192" t="str">
        <f ca="1">IFERROR(IF(0=LEN(ReferenceData!$AK$192),"",ReferenceData!$AK$192),"")</f>
        <v/>
      </c>
      <c r="AL192" t="str">
        <f ca="1">IFERROR(IF(0=LEN(ReferenceData!$AL$192),"",ReferenceData!$AL$192),"")</f>
        <v/>
      </c>
      <c r="AM192" t="str">
        <f ca="1">IFERROR(IF(0=LEN(ReferenceData!$AM$192),"",ReferenceData!$AM$192),"")</f>
        <v/>
      </c>
      <c r="AN192" t="str">
        <f ca="1">IFERROR(IF(0=LEN(ReferenceData!$AN$192),"",ReferenceData!$AN$192),"")</f>
        <v/>
      </c>
      <c r="AO192" t="str">
        <f ca="1">IFERROR(IF(0=LEN(ReferenceData!$AO$192),"",ReferenceData!$AO$192),"")</f>
        <v/>
      </c>
      <c r="AP192" t="str">
        <f ca="1">IFERROR(IF(0=LEN(ReferenceData!$AP$192),"",ReferenceData!$AP$192),"")</f>
        <v/>
      </c>
      <c r="AQ192" t="str">
        <f ca="1">IFERROR(IF(0=LEN(ReferenceData!$AQ$192),"",ReferenceData!$AQ$192),"")</f>
        <v/>
      </c>
      <c r="AR192" t="str">
        <f ca="1">IFERROR(IF(0=LEN(ReferenceData!$AR$192),"",ReferenceData!$AR$192),"")</f>
        <v/>
      </c>
      <c r="AS192" t="str">
        <f ca="1">IFERROR(IF(0=LEN(ReferenceData!$AS$192),"",ReferenceData!$AS$192),"")</f>
        <v/>
      </c>
      <c r="AT192" t="str">
        <f ca="1">IFERROR(IF(0=LEN(ReferenceData!$AT$192),"",ReferenceData!$AT$192),"")</f>
        <v/>
      </c>
      <c r="AU192" t="str">
        <f ca="1">IFERROR(IF(0=LEN(ReferenceData!$AU$192),"",ReferenceData!$AU$192),"")</f>
        <v/>
      </c>
      <c r="AV192" t="str">
        <f ca="1">IFERROR(IF(0=LEN(ReferenceData!$AV$192),"",ReferenceData!$AV$192),"")</f>
        <v/>
      </c>
      <c r="AW192" t="str">
        <f ca="1">IFERROR(IF(0=LEN(ReferenceData!$AW$192),"",ReferenceData!$AW$192),"")</f>
        <v/>
      </c>
      <c r="AX192" t="str">
        <f ca="1">IFERROR(IF(0=LEN(ReferenceData!$AX$192),"",ReferenceData!$AX$192),"")</f>
        <v/>
      </c>
      <c r="AY192" t="str">
        <f ca="1">IFERROR(IF(0=LEN(ReferenceData!$AY$192),"",ReferenceData!$AY$192),"")</f>
        <v/>
      </c>
      <c r="AZ192" t="str">
        <f ca="1">IFERROR(IF(0=LEN(ReferenceData!$AZ$192),"",ReferenceData!$AZ$192),"")</f>
        <v/>
      </c>
      <c r="BA192" t="str">
        <f ca="1">IFERROR(IF(0=LEN(ReferenceData!$BA$192),"",ReferenceData!$BA$192),"")</f>
        <v/>
      </c>
      <c r="BB192" t="str">
        <f ca="1">IFERROR(IF(0=LEN(ReferenceData!$BB$192),"",ReferenceData!$BB$192),"")</f>
        <v/>
      </c>
      <c r="BC192" t="str">
        <f ca="1">IFERROR(IF(0=LEN(ReferenceData!$BC$192),"",ReferenceData!$BC$192),"")</f>
        <v/>
      </c>
      <c r="BD192" t="str">
        <f ca="1">IFERROR(IF(0=LEN(ReferenceData!$BD$192),"",ReferenceData!$BD$192),"")</f>
        <v/>
      </c>
      <c r="BE192" t="str">
        <f ca="1">IFERROR(IF(0=LEN(ReferenceData!$BE$192),"",ReferenceData!$BE$192),"")</f>
        <v/>
      </c>
      <c r="BF192" t="str">
        <f ca="1">IFERROR(IF(0=LEN(ReferenceData!$BF$192),"",ReferenceData!$BF$192),"")</f>
        <v/>
      </c>
      <c r="BG192" t="str">
        <f ca="1">IFERROR(IF(0=LEN(ReferenceData!$BG$192),"",ReferenceData!$BG$192),"")</f>
        <v/>
      </c>
      <c r="BH192" t="str">
        <f ca="1">IFERROR(IF(0=LEN(ReferenceData!$BH$192),"",ReferenceData!$BH$192),"")</f>
        <v/>
      </c>
      <c r="BI192" t="str">
        <f ca="1">IFERROR(IF(0=LEN(ReferenceData!$BI$192),"",ReferenceData!$BI$192),"")</f>
        <v/>
      </c>
      <c r="BJ192" t="str">
        <f ca="1">IFERROR(IF(0=LEN(ReferenceData!$BJ$192),"",ReferenceData!$BJ$192),"")</f>
        <v/>
      </c>
      <c r="BK192" t="str">
        <f ca="1">IFERROR(IF(0=LEN(ReferenceData!$BK$192),"",ReferenceData!$BK$192),"")</f>
        <v/>
      </c>
      <c r="BL192" t="str">
        <f ca="1">IFERROR(IF(0=LEN(ReferenceData!$BL$192),"",ReferenceData!$BL$192),"")</f>
        <v/>
      </c>
      <c r="BM192">
        <f ca="1">IFERROR(IF(0=LEN(ReferenceData!$BM$192),"",ReferenceData!$BM$192),"")</f>
        <v>1067.129306</v>
      </c>
    </row>
    <row r="193" spans="1:65" x14ac:dyDescent="0.25">
      <c r="A193" t="str">
        <f>IFERROR(IF(0=LEN(ReferenceData!$A$193),"",ReferenceData!$A$193),"")</f>
        <v xml:space="preserve">    Nissan Motor Co Ltd</v>
      </c>
      <c r="B193" t="str">
        <f>IFERROR(IF(0=LEN(ReferenceData!$B$193),"",ReferenceData!$B$193),"")</f>
        <v>7201 JP Equity</v>
      </c>
      <c r="C193" t="str">
        <f>IFERROR(IF(0=LEN(ReferenceData!$C$193),"",ReferenceData!$C$193),"")</f>
        <v>RX077</v>
      </c>
      <c r="D193" t="str">
        <f>IFERROR(IF(0=LEN(ReferenceData!$D$193),"",ReferenceData!$D$193),"")</f>
        <v>PX_TO_TANG_BOOK_VAL_PER_SH</v>
      </c>
      <c r="E193" t="str">
        <f>IFERROR(IF(0=LEN(ReferenceData!$E$193),"",ReferenceData!$E$193),"")</f>
        <v>Dynamic</v>
      </c>
      <c r="F193">
        <f ca="1">IFERROR(IF(0=LEN(ReferenceData!$F$193),"",ReferenceData!$F$193),"")</f>
        <v>0.71112750800000002</v>
      </c>
      <c r="G193">
        <f ca="1">IFERROR(IF(0=LEN(ReferenceData!$G$193),"",ReferenceData!$G$193),"")</f>
        <v>0.66062214600000002</v>
      </c>
      <c r="H193">
        <f ca="1">IFERROR(IF(0=LEN(ReferenceData!$H$193),"",ReferenceData!$H$193),"")</f>
        <v>0.77727937899999999</v>
      </c>
      <c r="I193">
        <f ca="1">IFERROR(IF(0=LEN(ReferenceData!$I$193),"",ReferenceData!$I$193),"")</f>
        <v>0.814432771</v>
      </c>
      <c r="J193">
        <f ca="1">IFERROR(IF(0=LEN(ReferenceData!$J$193),"",ReferenceData!$J$193),"")</f>
        <v>0.82134722100000002</v>
      </c>
      <c r="K193">
        <f ca="1">IFERROR(IF(0=LEN(ReferenceData!$K$193),"",ReferenceData!$K$193),"")</f>
        <v>0.848286808</v>
      </c>
      <c r="L193">
        <f ca="1">IFERROR(IF(0=LEN(ReferenceData!$L$193),"",ReferenceData!$L$193),"")</f>
        <v>0.87991473399999998</v>
      </c>
      <c r="M193">
        <f ca="1">IFERROR(IF(0=LEN(ReferenceData!$M$193),"",ReferenceData!$M$193),"")</f>
        <v>0.91942047199999999</v>
      </c>
      <c r="N193">
        <f ca="1">IFERROR(IF(0=LEN(ReferenceData!$N$193),"",ReferenceData!$N$193),"")</f>
        <v>0.88694907899999997</v>
      </c>
      <c r="O193">
        <f ca="1">IFERROR(IF(0=LEN(ReferenceData!$O$193),"",ReferenceData!$O$193),"")</f>
        <v>1.0580788999999999</v>
      </c>
      <c r="P193">
        <f ca="1">IFERROR(IF(0=LEN(ReferenceData!$P$193),"",ReferenceData!$P$193),"")</f>
        <v>0.95047238999999994</v>
      </c>
      <c r="Q193">
        <f ca="1">IFERROR(IF(0=LEN(ReferenceData!$Q$193),"",ReferenceData!$Q$193),"")</f>
        <v>0.87694633600000005</v>
      </c>
      <c r="R193">
        <f ca="1">IFERROR(IF(0=LEN(ReferenceData!$R$193),"",ReferenceData!$R$193),"")</f>
        <v>0.94567471299999994</v>
      </c>
      <c r="S193">
        <f ca="1">IFERROR(IF(0=LEN(ReferenceData!$S$193),"",ReferenceData!$S$193),"")</f>
        <v>1.1149251140000001</v>
      </c>
      <c r="T193">
        <f ca="1">IFERROR(IF(0=LEN(ReferenceData!$T$193),"",ReferenceData!$T$193),"")</f>
        <v>0.95248517300000002</v>
      </c>
      <c r="U193">
        <f ca="1">IFERROR(IF(0=LEN(ReferenceData!$U$193),"",ReferenceData!$U$193),"")</f>
        <v>1.1107107899999999</v>
      </c>
      <c r="V193">
        <f ca="1">IFERROR(IF(0=LEN(ReferenceData!$V$193),"",ReferenceData!$V$193),"")</f>
        <v>1.0869528100000001</v>
      </c>
      <c r="W193">
        <f ca="1">IFERROR(IF(0=LEN(ReferenceData!$W$193),"",ReferenceData!$W$193),"")</f>
        <v>0.96384811400000003</v>
      </c>
      <c r="X193">
        <f ca="1">IFERROR(IF(0=LEN(ReferenceData!$X$193),"",ReferenceData!$X$193),"")</f>
        <v>1.01672111</v>
      </c>
      <c r="Y193">
        <f ca="1">IFERROR(IF(0=LEN(ReferenceData!$Y$193),"",ReferenceData!$Y$193),"")</f>
        <v>0.96174057999999996</v>
      </c>
      <c r="Z193">
        <f ca="1">IFERROR(IF(0=LEN(ReferenceData!$Z$193),"",ReferenceData!$Z$193),"")</f>
        <v>0.90765010000000002</v>
      </c>
      <c r="AA193">
        <f ca="1">IFERROR(IF(0=LEN(ReferenceData!$AA$193),"",ReferenceData!$AA$193),"")</f>
        <v>0.89583682799999997</v>
      </c>
      <c r="AB193">
        <f ca="1">IFERROR(IF(0=LEN(ReferenceData!$AB$193),"",ReferenceData!$AB$193),"")</f>
        <v>1.040255712</v>
      </c>
      <c r="AC193">
        <f ca="1">IFERROR(IF(0=LEN(ReferenceData!$AC$193),"",ReferenceData!$AC$193),"")</f>
        <v>1.1082956129999999</v>
      </c>
      <c r="AD193">
        <f ca="1">IFERROR(IF(0=LEN(ReferenceData!$AD$193),"",ReferenceData!$AD$193),"")</f>
        <v>1.036705234</v>
      </c>
      <c r="AE193">
        <f ca="1">IFERROR(IF(0=LEN(ReferenceData!$AE$193),"",ReferenceData!$AE$193),"")</f>
        <v>1.043404169</v>
      </c>
      <c r="AF193">
        <f ca="1">IFERROR(IF(0=LEN(ReferenceData!$AF$193),"",ReferenceData!$AF$193),"")</f>
        <v>0.91280090800000002</v>
      </c>
      <c r="AG193">
        <f ca="1">IFERROR(IF(0=LEN(ReferenceData!$AG$193),"",ReferenceData!$AG$193),"")</f>
        <v>1.0540591050000001</v>
      </c>
      <c r="AH193">
        <f ca="1">IFERROR(IF(0=LEN(ReferenceData!$AH$193),"",ReferenceData!$AH$193),"")</f>
        <v>1.2190643350000001</v>
      </c>
      <c r="AI193">
        <f ca="1">IFERROR(IF(0=LEN(ReferenceData!$AI$193),"",ReferenceData!$AI$193),"")</f>
        <v>1.034727739</v>
      </c>
      <c r="AJ193">
        <f ca="1">IFERROR(IF(0=LEN(ReferenceData!$AJ$193),"",ReferenceData!$AJ$193),"")</f>
        <v>1.040933138</v>
      </c>
      <c r="AK193">
        <f ca="1">IFERROR(IF(0=LEN(ReferenceData!$AK$193),"",ReferenceData!$AK$193),"")</f>
        <v>1.2273609560000001</v>
      </c>
      <c r="AL193">
        <f ca="1">IFERROR(IF(0=LEN(ReferenceData!$AL$193),"",ReferenceData!$AL$193),"")</f>
        <v>1.0986078619999999</v>
      </c>
      <c r="AM193">
        <f ca="1">IFERROR(IF(0=LEN(ReferenceData!$AM$193),"",ReferenceData!$AM$193),"")</f>
        <v>1.186317142</v>
      </c>
      <c r="AN193">
        <f ca="1">IFERROR(IF(0=LEN(ReferenceData!$AN$193),"",ReferenceData!$AN$193),"")</f>
        <v>1.1294874319999999</v>
      </c>
      <c r="AO193">
        <f ca="1">IFERROR(IF(0=LEN(ReferenceData!$AO$193),"",ReferenceData!$AO$193),"")</f>
        <v>0.98945642600000006</v>
      </c>
      <c r="AP193">
        <f ca="1">IFERROR(IF(0=LEN(ReferenceData!$AP$193),"",ReferenceData!$AP$193),"")</f>
        <v>1.273049326</v>
      </c>
      <c r="AQ193">
        <f ca="1">IFERROR(IF(0=LEN(ReferenceData!$AQ$193),"",ReferenceData!$AQ$193),"")</f>
        <v>1.2987974470000001</v>
      </c>
      <c r="AR193">
        <f ca="1">IFERROR(IF(0=LEN(ReferenceData!$AR$193),"",ReferenceData!$AR$193),"")</f>
        <v>1.0143233439999999</v>
      </c>
      <c r="AS193">
        <f ca="1">IFERROR(IF(0=LEN(ReferenceData!$AS$193),"",ReferenceData!$AS$193),"")</f>
        <v>0.95423158200000002</v>
      </c>
      <c r="AT193">
        <f ca="1">IFERROR(IF(0=LEN(ReferenceData!$AT$193),"",ReferenceData!$AT$193),"")</f>
        <v>0.57941626999999996</v>
      </c>
      <c r="AU193">
        <f ca="1">IFERROR(IF(0=LEN(ReferenceData!$AU$193),"",ReferenceData!$AU$193),"")</f>
        <v>0.47526145600000003</v>
      </c>
      <c r="AV193">
        <f ca="1">IFERROR(IF(0=LEN(ReferenceData!$AV$193),"",ReferenceData!$AV$193),"")</f>
        <v>0.85036088099999996</v>
      </c>
      <c r="AW193">
        <f ca="1">IFERROR(IF(0=LEN(ReferenceData!$AW$193),"",ReferenceData!$AW$193),"")</f>
        <v>1.0504063020000001</v>
      </c>
      <c r="AX193">
        <f ca="1">IFERROR(IF(0=LEN(ReferenceData!$AX$193),"",ReferenceData!$AX$193),"")</f>
        <v>1.011215065</v>
      </c>
      <c r="AY193">
        <f ca="1">IFERROR(IF(0=LEN(ReferenceData!$AY$193),"",ReferenceData!$AY$193),"")</f>
        <v>1.4265251249999999</v>
      </c>
      <c r="AZ193">
        <f ca="1">IFERROR(IF(0=LEN(ReferenceData!$AZ$193),"",ReferenceData!$AZ$193),"")</f>
        <v>1.336201456</v>
      </c>
      <c r="BA193">
        <f ca="1">IFERROR(IF(0=LEN(ReferenceData!$BA$193),"",ReferenceData!$BA$193),"")</f>
        <v>1.5368961750000001</v>
      </c>
      <c r="BB193">
        <f ca="1">IFERROR(IF(0=LEN(ReferenceData!$BB$193),"",ReferenceData!$BB$193),"")</f>
        <v>1.544241762</v>
      </c>
      <c r="BC193">
        <f ca="1">IFERROR(IF(0=LEN(ReferenceData!$BC$193),"",ReferenceData!$BC$193),"")</f>
        <v>1.8186077919999999</v>
      </c>
      <c r="BD193">
        <f ca="1">IFERROR(IF(0=LEN(ReferenceData!$BD$193),"",ReferenceData!$BD$193),"")</f>
        <v>1.7360773039999999</v>
      </c>
      <c r="BE193">
        <f ca="1">IFERROR(IF(0=LEN(ReferenceData!$BE$193),"",ReferenceData!$BE$193),"")</f>
        <v>1.7449497629999999</v>
      </c>
      <c r="BF193">
        <f ca="1">IFERROR(IF(0=LEN(ReferenceData!$BF$193),"",ReferenceData!$BF$193),"")</f>
        <v>1.974791908</v>
      </c>
      <c r="BG193">
        <f ca="1">IFERROR(IF(0=LEN(ReferenceData!$BG$193),"",ReferenceData!$BG$193),"")</f>
        <v>1.9029895569999999</v>
      </c>
      <c r="BH193">
        <f ca="1">IFERROR(IF(0=LEN(ReferenceData!$BH$193),"",ReferenceData!$BH$193),"")</f>
        <v>2.0777375440000001</v>
      </c>
      <c r="BI193">
        <f ca="1">IFERROR(IF(0=LEN(ReferenceData!$BI$193),"",ReferenceData!$BI$193),"")</f>
        <v>1.9450665760000001</v>
      </c>
      <c r="BJ193">
        <f ca="1">IFERROR(IF(0=LEN(ReferenceData!$BJ$193),"",ReferenceData!$BJ$193),"")</f>
        <v>1.9593292090000001</v>
      </c>
      <c r="BK193">
        <f ca="1">IFERROR(IF(0=LEN(ReferenceData!$BK$193),"",ReferenceData!$BK$193),"")</f>
        <v>2.166245398</v>
      </c>
      <c r="BL193">
        <f ca="1">IFERROR(IF(0=LEN(ReferenceData!$BL$193),"",ReferenceData!$BL$193),"")</f>
        <v>2.348233494</v>
      </c>
      <c r="BM193">
        <f ca="1">IFERROR(IF(0=LEN(ReferenceData!$BM$193),"",ReferenceData!$BM$193),"")</f>
        <v>2.5124437080000002</v>
      </c>
    </row>
    <row r="194" spans="1:65" x14ac:dyDescent="0.25">
      <c r="A194" t="str">
        <f>IFERROR(IF(0=LEN(ReferenceData!$A$194),"",ReferenceData!$A$194),"")</f>
        <v xml:space="preserve">    Peugeot SA</v>
      </c>
      <c r="B194" t="str">
        <f>IFERROR(IF(0=LEN(ReferenceData!$B$194),"",ReferenceData!$B$194),"")</f>
        <v>UG FP Equity</v>
      </c>
      <c r="C194" t="str">
        <f>IFERROR(IF(0=LEN(ReferenceData!$C$194),"",ReferenceData!$C$194),"")</f>
        <v>RX077</v>
      </c>
      <c r="D194" t="str">
        <f>IFERROR(IF(0=LEN(ReferenceData!$D$194),"",ReferenceData!$D$194),"")</f>
        <v>PX_TO_TANG_BOOK_VAL_PER_SH</v>
      </c>
      <c r="E194" t="str">
        <f>IFERROR(IF(0=LEN(ReferenceData!$E$194),"",ReferenceData!$E$194),"")</f>
        <v>Dynamic</v>
      </c>
      <c r="F194" t="str">
        <f ca="1">IFERROR(IF(0=LEN(ReferenceData!$F$194),"",ReferenceData!$F$194),"")</f>
        <v/>
      </c>
      <c r="G194" t="str">
        <f ca="1">IFERROR(IF(0=LEN(ReferenceData!$G$194),"",ReferenceData!$G$194),"")</f>
        <v/>
      </c>
      <c r="H194" t="str">
        <f ca="1">IFERROR(IF(0=LEN(ReferenceData!$H$194),"",ReferenceData!$H$194),"")</f>
        <v/>
      </c>
      <c r="I194" t="str">
        <f ca="1">IFERROR(IF(0=LEN(ReferenceData!$I$194),"",ReferenceData!$I$194),"")</f>
        <v/>
      </c>
      <c r="J194" t="str">
        <f ca="1">IFERROR(IF(0=LEN(ReferenceData!$J$194),"",ReferenceData!$J$194),"")</f>
        <v/>
      </c>
      <c r="K194" t="str">
        <f ca="1">IFERROR(IF(0=LEN(ReferenceData!$K$194),"",ReferenceData!$K$194),"")</f>
        <v/>
      </c>
      <c r="L194" t="str">
        <f ca="1">IFERROR(IF(0=LEN(ReferenceData!$L$194),"",ReferenceData!$L$194),"")</f>
        <v/>
      </c>
      <c r="M194" t="str">
        <f ca="1">IFERROR(IF(0=LEN(ReferenceData!$M$194),"",ReferenceData!$M$194),"")</f>
        <v/>
      </c>
      <c r="N194" t="str">
        <f ca="1">IFERROR(IF(0=LEN(ReferenceData!$N$194),"",ReferenceData!$N$194),"")</f>
        <v/>
      </c>
      <c r="O194" t="str">
        <f ca="1">IFERROR(IF(0=LEN(ReferenceData!$O$194),"",ReferenceData!$O$194),"")</f>
        <v/>
      </c>
      <c r="P194" t="str">
        <f ca="1">IFERROR(IF(0=LEN(ReferenceData!$P$194),"",ReferenceData!$P$194),"")</f>
        <v/>
      </c>
      <c r="Q194" t="str">
        <f ca="1">IFERROR(IF(0=LEN(ReferenceData!$Q$194),"",ReferenceData!$Q$194),"")</f>
        <v/>
      </c>
      <c r="R194" t="str">
        <f ca="1">IFERROR(IF(0=LEN(ReferenceData!$R$194),"",ReferenceData!$R$194),"")</f>
        <v/>
      </c>
      <c r="S194" t="str">
        <f ca="1">IFERROR(IF(0=LEN(ReferenceData!$S$194),"",ReferenceData!$S$194),"")</f>
        <v/>
      </c>
      <c r="T194" t="str">
        <f ca="1">IFERROR(IF(0=LEN(ReferenceData!$T$194),"",ReferenceData!$T$194),"")</f>
        <v/>
      </c>
      <c r="U194" t="str">
        <f ca="1">IFERROR(IF(0=LEN(ReferenceData!$U$194),"",ReferenceData!$U$194),"")</f>
        <v/>
      </c>
      <c r="V194" t="str">
        <f ca="1">IFERROR(IF(0=LEN(ReferenceData!$V$194),"",ReferenceData!$V$194),"")</f>
        <v/>
      </c>
      <c r="W194" t="str">
        <f ca="1">IFERROR(IF(0=LEN(ReferenceData!$W$194),"",ReferenceData!$W$194),"")</f>
        <v/>
      </c>
      <c r="X194" t="str">
        <f ca="1">IFERROR(IF(0=LEN(ReferenceData!$X$194),"",ReferenceData!$X$194),"")</f>
        <v/>
      </c>
      <c r="Y194" t="str">
        <f ca="1">IFERROR(IF(0=LEN(ReferenceData!$Y$194),"",ReferenceData!$Y$194),"")</f>
        <v/>
      </c>
      <c r="Z194" t="str">
        <f ca="1">IFERROR(IF(0=LEN(ReferenceData!$Z$194),"",ReferenceData!$Z$194),"")</f>
        <v/>
      </c>
      <c r="AA194" t="str">
        <f ca="1">IFERROR(IF(0=LEN(ReferenceData!$AA$194),"",ReferenceData!$AA$194),"")</f>
        <v/>
      </c>
      <c r="AB194" t="str">
        <f ca="1">IFERROR(IF(0=LEN(ReferenceData!$AB$194),"",ReferenceData!$AB$194),"")</f>
        <v/>
      </c>
      <c r="AC194" t="str">
        <f ca="1">IFERROR(IF(0=LEN(ReferenceData!$AC$194),"",ReferenceData!$AC$194),"")</f>
        <v/>
      </c>
      <c r="AD194" t="str">
        <f ca="1">IFERROR(IF(0=LEN(ReferenceData!$AD$194),"",ReferenceData!$AD$194),"")</f>
        <v/>
      </c>
      <c r="AE194" t="str">
        <f ca="1">IFERROR(IF(0=LEN(ReferenceData!$AE$194),"",ReferenceData!$AE$194),"")</f>
        <v/>
      </c>
      <c r="AF194" t="str">
        <f ca="1">IFERROR(IF(0=LEN(ReferenceData!$AF$194),"",ReferenceData!$AF$194),"")</f>
        <v/>
      </c>
      <c r="AG194" t="str">
        <f ca="1">IFERROR(IF(0=LEN(ReferenceData!$AG$194),"",ReferenceData!$AG$194),"")</f>
        <v/>
      </c>
      <c r="AH194" t="str">
        <f ca="1">IFERROR(IF(0=LEN(ReferenceData!$AH$194),"",ReferenceData!$AH$194),"")</f>
        <v/>
      </c>
      <c r="AI194" t="str">
        <f ca="1">IFERROR(IF(0=LEN(ReferenceData!$AI$194),"",ReferenceData!$AI$194),"")</f>
        <v/>
      </c>
      <c r="AJ194" t="str">
        <f ca="1">IFERROR(IF(0=LEN(ReferenceData!$AJ$194),"",ReferenceData!$AJ$194),"")</f>
        <v/>
      </c>
      <c r="AK194" t="str">
        <f ca="1">IFERROR(IF(0=LEN(ReferenceData!$AK$194),"",ReferenceData!$AK$194),"")</f>
        <v/>
      </c>
      <c r="AL194" t="str">
        <f ca="1">IFERROR(IF(0=LEN(ReferenceData!$AL$194),"",ReferenceData!$AL$194),"")</f>
        <v/>
      </c>
      <c r="AM194" t="str">
        <f ca="1">IFERROR(IF(0=LEN(ReferenceData!$AM$194),"",ReferenceData!$AM$194),"")</f>
        <v/>
      </c>
      <c r="AN194" t="str">
        <f ca="1">IFERROR(IF(0=LEN(ReferenceData!$AN$194),"",ReferenceData!$AN$194),"")</f>
        <v/>
      </c>
      <c r="AO194" t="str">
        <f ca="1">IFERROR(IF(0=LEN(ReferenceData!$AO$194),"",ReferenceData!$AO$194),"")</f>
        <v/>
      </c>
      <c r="AP194" t="str">
        <f ca="1">IFERROR(IF(0=LEN(ReferenceData!$AP$194),"",ReferenceData!$AP$194),"")</f>
        <v/>
      </c>
      <c r="AQ194" t="str">
        <f ca="1">IFERROR(IF(0=LEN(ReferenceData!$AQ$194),"",ReferenceData!$AQ$194),"")</f>
        <v/>
      </c>
      <c r="AR194" t="str">
        <f ca="1">IFERROR(IF(0=LEN(ReferenceData!$AR$194),"",ReferenceData!$AR$194),"")</f>
        <v/>
      </c>
      <c r="AS194" t="str">
        <f ca="1">IFERROR(IF(0=LEN(ReferenceData!$AS$194),"",ReferenceData!$AS$194),"")</f>
        <v/>
      </c>
      <c r="AT194" t="str">
        <f ca="1">IFERROR(IF(0=LEN(ReferenceData!$AT$194),"",ReferenceData!$AT$194),"")</f>
        <v/>
      </c>
      <c r="AU194" t="str">
        <f ca="1">IFERROR(IF(0=LEN(ReferenceData!$AU$194),"",ReferenceData!$AU$194),"")</f>
        <v/>
      </c>
      <c r="AV194" t="str">
        <f ca="1">IFERROR(IF(0=LEN(ReferenceData!$AV$194),"",ReferenceData!$AV$194),"")</f>
        <v/>
      </c>
      <c r="AW194" t="str">
        <f ca="1">IFERROR(IF(0=LEN(ReferenceData!$AW$194),"",ReferenceData!$AW$194),"")</f>
        <v/>
      </c>
      <c r="AX194" t="str">
        <f ca="1">IFERROR(IF(0=LEN(ReferenceData!$AX$194),"",ReferenceData!$AX$194),"")</f>
        <v/>
      </c>
      <c r="AY194" t="str">
        <f ca="1">IFERROR(IF(0=LEN(ReferenceData!$AY$194),"",ReferenceData!$AY$194),"")</f>
        <v/>
      </c>
      <c r="AZ194" t="str">
        <f ca="1">IFERROR(IF(0=LEN(ReferenceData!$AZ$194),"",ReferenceData!$AZ$194),"")</f>
        <v/>
      </c>
      <c r="BA194" t="str">
        <f ca="1">IFERROR(IF(0=LEN(ReferenceData!$BA$194),"",ReferenceData!$BA$194),"")</f>
        <v/>
      </c>
      <c r="BB194" t="str">
        <f ca="1">IFERROR(IF(0=LEN(ReferenceData!$BB$194),"",ReferenceData!$BB$194),"")</f>
        <v/>
      </c>
      <c r="BC194" t="str">
        <f ca="1">IFERROR(IF(0=LEN(ReferenceData!$BC$194),"",ReferenceData!$BC$194),"")</f>
        <v/>
      </c>
      <c r="BD194" t="str">
        <f ca="1">IFERROR(IF(0=LEN(ReferenceData!$BD$194),"",ReferenceData!$BD$194),"")</f>
        <v/>
      </c>
      <c r="BE194" t="str">
        <f ca="1">IFERROR(IF(0=LEN(ReferenceData!$BE$194),"",ReferenceData!$BE$194),"")</f>
        <v/>
      </c>
      <c r="BF194" t="str">
        <f ca="1">IFERROR(IF(0=LEN(ReferenceData!$BF$194),"",ReferenceData!$BF$194),"")</f>
        <v/>
      </c>
      <c r="BG194" t="str">
        <f ca="1">IFERROR(IF(0=LEN(ReferenceData!$BG$194),"",ReferenceData!$BG$194),"")</f>
        <v/>
      </c>
      <c r="BH194" t="str">
        <f ca="1">IFERROR(IF(0=LEN(ReferenceData!$BH$194),"",ReferenceData!$BH$194),"")</f>
        <v/>
      </c>
      <c r="BI194" t="str">
        <f ca="1">IFERROR(IF(0=LEN(ReferenceData!$BI$194),"",ReferenceData!$BI$194),"")</f>
        <v/>
      </c>
      <c r="BJ194" t="str">
        <f ca="1">IFERROR(IF(0=LEN(ReferenceData!$BJ$194),"",ReferenceData!$BJ$194),"")</f>
        <v/>
      </c>
      <c r="BK194" t="str">
        <f ca="1">IFERROR(IF(0=LEN(ReferenceData!$BK$194),"",ReferenceData!$BK$194),"")</f>
        <v/>
      </c>
      <c r="BL194" t="str">
        <f ca="1">IFERROR(IF(0=LEN(ReferenceData!$BL$194),"",ReferenceData!$BL$194),"")</f>
        <v/>
      </c>
      <c r="BM194" t="str">
        <f ca="1">IFERROR(IF(0=LEN(ReferenceData!$BM$194),"",ReferenceData!$BM$194),"")</f>
        <v/>
      </c>
    </row>
    <row r="195" spans="1:65" x14ac:dyDescent="0.25">
      <c r="A195" t="str">
        <f>IFERROR(IF(0=LEN(ReferenceData!$A$195),"",ReferenceData!$A$195),"")</f>
        <v xml:space="preserve">    Renault SA</v>
      </c>
      <c r="B195" t="str">
        <f>IFERROR(IF(0=LEN(ReferenceData!$B$195),"",ReferenceData!$B$195),"")</f>
        <v>RNO FP Equity</v>
      </c>
      <c r="C195" t="str">
        <f>IFERROR(IF(0=LEN(ReferenceData!$C$195),"",ReferenceData!$C$195),"")</f>
        <v>RX077</v>
      </c>
      <c r="D195" t="str">
        <f>IFERROR(IF(0=LEN(ReferenceData!$D$195),"",ReferenceData!$D$195),"")</f>
        <v>PX_TO_TANG_BOOK_VAL_PER_SH</v>
      </c>
      <c r="E195" t="str">
        <f>IFERROR(IF(0=LEN(ReferenceData!$E$195),"",ReferenceData!$E$195),"")</f>
        <v>Dynamic</v>
      </c>
      <c r="F195" t="str">
        <f ca="1">IFERROR(IF(0=LEN(ReferenceData!$F$195),"",ReferenceData!$F$195),"")</f>
        <v/>
      </c>
      <c r="G195" t="str">
        <f ca="1">IFERROR(IF(0=LEN(ReferenceData!$G$195),"",ReferenceData!$G$195),"")</f>
        <v/>
      </c>
      <c r="H195" t="str">
        <f ca="1">IFERROR(IF(0=LEN(ReferenceData!$H$195),"",ReferenceData!$H$195),"")</f>
        <v/>
      </c>
      <c r="I195" t="str">
        <f ca="1">IFERROR(IF(0=LEN(ReferenceData!$I$195),"",ReferenceData!$I$195),"")</f>
        <v/>
      </c>
      <c r="J195" t="str">
        <f ca="1">IFERROR(IF(0=LEN(ReferenceData!$J$195),"",ReferenceData!$J$195),"")</f>
        <v/>
      </c>
      <c r="K195" t="str">
        <f ca="1">IFERROR(IF(0=LEN(ReferenceData!$K$195),"",ReferenceData!$K$195),"")</f>
        <v/>
      </c>
      <c r="L195" t="str">
        <f ca="1">IFERROR(IF(0=LEN(ReferenceData!$L$195),"",ReferenceData!$L$195),"")</f>
        <v/>
      </c>
      <c r="M195" t="str">
        <f ca="1">IFERROR(IF(0=LEN(ReferenceData!$M$195),"",ReferenceData!$M$195),"")</f>
        <v/>
      </c>
      <c r="N195" t="str">
        <f ca="1">IFERROR(IF(0=LEN(ReferenceData!$N$195),"",ReferenceData!$N$195),"")</f>
        <v/>
      </c>
      <c r="O195" t="str">
        <f ca="1">IFERROR(IF(0=LEN(ReferenceData!$O$195),"",ReferenceData!$O$195),"")</f>
        <v/>
      </c>
      <c r="P195" t="str">
        <f ca="1">IFERROR(IF(0=LEN(ReferenceData!$P$195),"",ReferenceData!$P$195),"")</f>
        <v/>
      </c>
      <c r="Q195" t="str">
        <f ca="1">IFERROR(IF(0=LEN(ReferenceData!$Q$195),"",ReferenceData!$Q$195),"")</f>
        <v/>
      </c>
      <c r="R195" t="str">
        <f ca="1">IFERROR(IF(0=LEN(ReferenceData!$R$195),"",ReferenceData!$R$195),"")</f>
        <v/>
      </c>
      <c r="S195" t="str">
        <f ca="1">IFERROR(IF(0=LEN(ReferenceData!$S$195),"",ReferenceData!$S$195),"")</f>
        <v/>
      </c>
      <c r="T195" t="str">
        <f ca="1">IFERROR(IF(0=LEN(ReferenceData!$T$195),"",ReferenceData!$T$195),"")</f>
        <v/>
      </c>
      <c r="U195" t="str">
        <f ca="1">IFERROR(IF(0=LEN(ReferenceData!$U$195),"",ReferenceData!$U$195),"")</f>
        <v/>
      </c>
      <c r="V195" t="str">
        <f ca="1">IFERROR(IF(0=LEN(ReferenceData!$V$195),"",ReferenceData!$V$195),"")</f>
        <v/>
      </c>
      <c r="W195" t="str">
        <f ca="1">IFERROR(IF(0=LEN(ReferenceData!$W$195),"",ReferenceData!$W$195),"")</f>
        <v/>
      </c>
      <c r="X195" t="str">
        <f ca="1">IFERROR(IF(0=LEN(ReferenceData!$X$195),"",ReferenceData!$X$195),"")</f>
        <v/>
      </c>
      <c r="Y195" t="str">
        <f ca="1">IFERROR(IF(0=LEN(ReferenceData!$Y$195),"",ReferenceData!$Y$195),"")</f>
        <v/>
      </c>
      <c r="Z195" t="str">
        <f ca="1">IFERROR(IF(0=LEN(ReferenceData!$Z$195),"",ReferenceData!$Z$195),"")</f>
        <v/>
      </c>
      <c r="AA195" t="str">
        <f ca="1">IFERROR(IF(0=LEN(ReferenceData!$AA$195),"",ReferenceData!$AA$195),"")</f>
        <v/>
      </c>
      <c r="AB195" t="str">
        <f ca="1">IFERROR(IF(0=LEN(ReferenceData!$AB$195),"",ReferenceData!$AB$195),"")</f>
        <v/>
      </c>
      <c r="AC195" t="str">
        <f ca="1">IFERROR(IF(0=LEN(ReferenceData!$AC$195),"",ReferenceData!$AC$195),"")</f>
        <v/>
      </c>
      <c r="AD195" t="str">
        <f ca="1">IFERROR(IF(0=LEN(ReferenceData!$AD$195),"",ReferenceData!$AD$195),"")</f>
        <v/>
      </c>
      <c r="AE195" t="str">
        <f ca="1">IFERROR(IF(0=LEN(ReferenceData!$AE$195),"",ReferenceData!$AE$195),"")</f>
        <v/>
      </c>
      <c r="AF195" t="str">
        <f ca="1">IFERROR(IF(0=LEN(ReferenceData!$AF$195),"",ReferenceData!$AF$195),"")</f>
        <v/>
      </c>
      <c r="AG195" t="str">
        <f ca="1">IFERROR(IF(0=LEN(ReferenceData!$AG$195),"",ReferenceData!$AG$195),"")</f>
        <v/>
      </c>
      <c r="AH195" t="str">
        <f ca="1">IFERROR(IF(0=LEN(ReferenceData!$AH$195),"",ReferenceData!$AH$195),"")</f>
        <v/>
      </c>
      <c r="AI195" t="str">
        <f ca="1">IFERROR(IF(0=LEN(ReferenceData!$AI$195),"",ReferenceData!$AI$195),"")</f>
        <v/>
      </c>
      <c r="AJ195" t="str">
        <f ca="1">IFERROR(IF(0=LEN(ReferenceData!$AJ$195),"",ReferenceData!$AJ$195),"")</f>
        <v/>
      </c>
      <c r="AK195" t="str">
        <f ca="1">IFERROR(IF(0=LEN(ReferenceData!$AK$195),"",ReferenceData!$AK$195),"")</f>
        <v/>
      </c>
      <c r="AL195" t="str">
        <f ca="1">IFERROR(IF(0=LEN(ReferenceData!$AL$195),"",ReferenceData!$AL$195),"")</f>
        <v/>
      </c>
      <c r="AM195" t="str">
        <f ca="1">IFERROR(IF(0=LEN(ReferenceData!$AM$195),"",ReferenceData!$AM$195),"")</f>
        <v/>
      </c>
      <c r="AN195" t="str">
        <f ca="1">IFERROR(IF(0=LEN(ReferenceData!$AN$195),"",ReferenceData!$AN$195),"")</f>
        <v/>
      </c>
      <c r="AO195" t="str">
        <f ca="1">IFERROR(IF(0=LEN(ReferenceData!$AO$195),"",ReferenceData!$AO$195),"")</f>
        <v/>
      </c>
      <c r="AP195" t="str">
        <f ca="1">IFERROR(IF(0=LEN(ReferenceData!$AP$195),"",ReferenceData!$AP$195),"")</f>
        <v/>
      </c>
      <c r="AQ195" t="str">
        <f ca="1">IFERROR(IF(0=LEN(ReferenceData!$AQ$195),"",ReferenceData!$AQ$195),"")</f>
        <v/>
      </c>
      <c r="AR195" t="str">
        <f ca="1">IFERROR(IF(0=LEN(ReferenceData!$AR$195),"",ReferenceData!$AR$195),"")</f>
        <v/>
      </c>
      <c r="AS195" t="str">
        <f ca="1">IFERROR(IF(0=LEN(ReferenceData!$AS$195),"",ReferenceData!$AS$195),"")</f>
        <v/>
      </c>
      <c r="AT195" t="str">
        <f ca="1">IFERROR(IF(0=LEN(ReferenceData!$AT$195),"",ReferenceData!$AT$195),"")</f>
        <v/>
      </c>
      <c r="AU195" t="str">
        <f ca="1">IFERROR(IF(0=LEN(ReferenceData!$AU$195),"",ReferenceData!$AU$195),"")</f>
        <v/>
      </c>
      <c r="AV195" t="str">
        <f ca="1">IFERROR(IF(0=LEN(ReferenceData!$AV$195),"",ReferenceData!$AV$195),"")</f>
        <v/>
      </c>
      <c r="AW195" t="str">
        <f ca="1">IFERROR(IF(0=LEN(ReferenceData!$AW$195),"",ReferenceData!$AW$195),"")</f>
        <v/>
      </c>
      <c r="AX195" t="str">
        <f ca="1">IFERROR(IF(0=LEN(ReferenceData!$AX$195),"",ReferenceData!$AX$195),"")</f>
        <v/>
      </c>
      <c r="AY195" t="str">
        <f ca="1">IFERROR(IF(0=LEN(ReferenceData!$AY$195),"",ReferenceData!$AY$195),"")</f>
        <v/>
      </c>
      <c r="AZ195" t="str">
        <f ca="1">IFERROR(IF(0=LEN(ReferenceData!$AZ$195),"",ReferenceData!$AZ$195),"")</f>
        <v/>
      </c>
      <c r="BA195" t="str">
        <f ca="1">IFERROR(IF(0=LEN(ReferenceData!$BA$195),"",ReferenceData!$BA$195),"")</f>
        <v/>
      </c>
      <c r="BB195" t="str">
        <f ca="1">IFERROR(IF(0=LEN(ReferenceData!$BB$195),"",ReferenceData!$BB$195),"")</f>
        <v/>
      </c>
      <c r="BC195" t="str">
        <f ca="1">IFERROR(IF(0=LEN(ReferenceData!$BC$195),"",ReferenceData!$BC$195),"")</f>
        <v/>
      </c>
      <c r="BD195" t="str">
        <f ca="1">IFERROR(IF(0=LEN(ReferenceData!$BD$195),"",ReferenceData!$BD$195),"")</f>
        <v/>
      </c>
      <c r="BE195" t="str">
        <f ca="1">IFERROR(IF(0=LEN(ReferenceData!$BE$195),"",ReferenceData!$BE$195),"")</f>
        <v/>
      </c>
      <c r="BF195" t="str">
        <f ca="1">IFERROR(IF(0=LEN(ReferenceData!$BF$195),"",ReferenceData!$BF$195),"")</f>
        <v/>
      </c>
      <c r="BG195" t="str">
        <f ca="1">IFERROR(IF(0=LEN(ReferenceData!$BG$195),"",ReferenceData!$BG$195),"")</f>
        <v/>
      </c>
      <c r="BH195" t="str">
        <f ca="1">IFERROR(IF(0=LEN(ReferenceData!$BH$195),"",ReferenceData!$BH$195),"")</f>
        <v/>
      </c>
      <c r="BI195" t="str">
        <f ca="1">IFERROR(IF(0=LEN(ReferenceData!$BI$195),"",ReferenceData!$BI$195),"")</f>
        <v/>
      </c>
      <c r="BJ195" t="str">
        <f ca="1">IFERROR(IF(0=LEN(ReferenceData!$BJ$195),"",ReferenceData!$BJ$195),"")</f>
        <v/>
      </c>
      <c r="BK195" t="str">
        <f ca="1">IFERROR(IF(0=LEN(ReferenceData!$BK$195),"",ReferenceData!$BK$195),"")</f>
        <v/>
      </c>
      <c r="BL195" t="str">
        <f ca="1">IFERROR(IF(0=LEN(ReferenceData!$BL$195),"",ReferenceData!$BL$195),"")</f>
        <v/>
      </c>
      <c r="BM195" t="str">
        <f ca="1">IFERROR(IF(0=LEN(ReferenceData!$BM$195),"",ReferenceData!$BM$195),"")</f>
        <v/>
      </c>
    </row>
    <row r="196" spans="1:65" x14ac:dyDescent="0.25">
      <c r="A196" t="str">
        <f>IFERROR(IF(0=LEN(ReferenceData!$A$196),"",ReferenceData!$A$196),"")</f>
        <v xml:space="preserve">    SAIC Motor Corp Ltd</v>
      </c>
      <c r="B196" t="str">
        <f>IFERROR(IF(0=LEN(ReferenceData!$B$196),"",ReferenceData!$B$196),"")</f>
        <v>600104 CH Equity</v>
      </c>
      <c r="C196" t="str">
        <f>IFERROR(IF(0=LEN(ReferenceData!$C$196),"",ReferenceData!$C$196),"")</f>
        <v>RX077</v>
      </c>
      <c r="D196" t="str">
        <f>IFERROR(IF(0=LEN(ReferenceData!$D$196),"",ReferenceData!$D$196),"")</f>
        <v>PX_TO_TANG_BOOK_VAL_PER_SH</v>
      </c>
      <c r="E196" t="str">
        <f>IFERROR(IF(0=LEN(ReferenceData!$E$196),"",ReferenceData!$E$196),"")</f>
        <v>Dynamic</v>
      </c>
      <c r="F196">
        <f ca="1">IFERROR(IF(0=LEN(ReferenceData!$F$196),"",ReferenceData!$F$196),"")</f>
        <v>1.535361623</v>
      </c>
      <c r="G196">
        <f ca="1">IFERROR(IF(0=LEN(ReferenceData!$G$196),"",ReferenceData!$G$196),"")</f>
        <v>1.441326804</v>
      </c>
      <c r="H196">
        <f ca="1">IFERROR(IF(0=LEN(ReferenceData!$H$196),"",ReferenceData!$H$196),"")</f>
        <v>1.798551032</v>
      </c>
      <c r="I196">
        <f ca="1">IFERROR(IF(0=LEN(ReferenceData!$I$196),"",ReferenceData!$I$196),"")</f>
        <v>1.89093858</v>
      </c>
      <c r="J196">
        <f ca="1">IFERROR(IF(0=LEN(ReferenceData!$J$196),"",ReferenceData!$J$196),"")</f>
        <v>1.799493996</v>
      </c>
      <c r="K196">
        <f ca="1">IFERROR(IF(0=LEN(ReferenceData!$K$196),"",ReferenceData!$K$196),"")</f>
        <v>1.6769511989999999</v>
      </c>
      <c r="L196">
        <f ca="1">IFERROR(IF(0=LEN(ReferenceData!$L$196),"",ReferenceData!$L$196),"")</f>
        <v>1.73182488</v>
      </c>
      <c r="M196">
        <f ca="1">IFERROR(IF(0=LEN(ReferenceData!$M$196),"",ReferenceData!$M$196),"")</f>
        <v>1.779019688</v>
      </c>
      <c r="N196">
        <f ca="1">IFERROR(IF(0=LEN(ReferenceData!$N$196),"",ReferenceData!$N$196),"")</f>
        <v>1.444108655</v>
      </c>
      <c r="O196">
        <f ca="1">IFERROR(IF(0=LEN(ReferenceData!$O$196),"",ReferenceData!$O$196),"")</f>
        <v>1.3597902930000001</v>
      </c>
      <c r="P196">
        <f ca="1">IFERROR(IF(0=LEN(ReferenceData!$P$196),"",ReferenceData!$P$196),"")</f>
        <v>1.376918648</v>
      </c>
      <c r="Q196">
        <f ca="1">IFERROR(IF(0=LEN(ReferenceData!$Q$196),"",ReferenceData!$Q$196),"")</f>
        <v>1.2838659379999999</v>
      </c>
      <c r="R196">
        <f ca="1">IFERROR(IF(0=LEN(ReferenceData!$R$196),"",ReferenceData!$R$196),"")</f>
        <v>1.262879833</v>
      </c>
      <c r="S196">
        <f ca="1">IFERROR(IF(0=LEN(ReferenceData!$S$196),"",ReferenceData!$S$196),"")</f>
        <v>1.3478433759999999</v>
      </c>
      <c r="T196">
        <f ca="1">IFERROR(IF(0=LEN(ReferenceData!$T$196),"",ReferenceData!$T$196),"")</f>
        <v>1.1734934180000001</v>
      </c>
      <c r="U196">
        <f ca="1">IFERROR(IF(0=LEN(ReferenceData!$U$196),"",ReferenceData!$U$196),"")</f>
        <v>1.58046153</v>
      </c>
      <c r="V196">
        <f ca="1">IFERROR(IF(0=LEN(ReferenceData!$V$196),"",ReferenceData!$V$196),"")</f>
        <v>1.732629585</v>
      </c>
      <c r="W196">
        <f ca="1">IFERROR(IF(0=LEN(ReferenceData!$W$196),"",ReferenceData!$W$196),"")</f>
        <v>1.5102506739999999</v>
      </c>
      <c r="X196">
        <f ca="1">IFERROR(IF(0=LEN(ReferenceData!$X$196),"",ReferenceData!$X$196),"")</f>
        <v>1.436628521</v>
      </c>
      <c r="Y196">
        <f ca="1">IFERROR(IF(0=LEN(ReferenceData!$Y$196),"",ReferenceData!$Y$196),"")</f>
        <v>1.2327036929999999</v>
      </c>
      <c r="Z196">
        <f ca="1">IFERROR(IF(0=LEN(ReferenceData!$Z$196),"",ReferenceData!$Z$196),"")</f>
        <v>1.102998275</v>
      </c>
      <c r="AA196">
        <f ca="1">IFERROR(IF(0=LEN(ReferenceData!$AA$196),"",ReferenceData!$AA$196),"")</f>
        <v>1.141023157</v>
      </c>
      <c r="AB196">
        <f ca="1">IFERROR(IF(0=LEN(ReferenceData!$AB$196),"",ReferenceData!$AB$196),"")</f>
        <v>1.184572841</v>
      </c>
      <c r="AC196">
        <f ca="1">IFERROR(IF(0=LEN(ReferenceData!$AC$196),"",ReferenceData!$AC$196),"")</f>
        <v>1.177604909</v>
      </c>
      <c r="AD196">
        <f ca="1">IFERROR(IF(0=LEN(ReferenceData!$AD$196),"",ReferenceData!$AD$196),"")</f>
        <v>1.3413758730000001</v>
      </c>
      <c r="AE196">
        <f ca="1">IFERROR(IF(0=LEN(ReferenceData!$AE$196),"",ReferenceData!$AE$196),"")</f>
        <v>1.6221599550000001</v>
      </c>
      <c r="AF196">
        <f ca="1">IFERROR(IF(0=LEN(ReferenceData!$AF$196),"",ReferenceData!$AF$196),"")</f>
        <v>1.3780385500000001</v>
      </c>
      <c r="AG196">
        <f ca="1">IFERROR(IF(0=LEN(ReferenceData!$AG$196),"",ReferenceData!$AG$196),"")</f>
        <v>1.4907494560000001</v>
      </c>
      <c r="AH196">
        <f ca="1">IFERROR(IF(0=LEN(ReferenceData!$AH$196),"",ReferenceData!$AH$196),"")</f>
        <v>1.6446878250000001</v>
      </c>
      <c r="AI196">
        <f ca="1">IFERROR(IF(0=LEN(ReferenceData!$AI$196),"",ReferenceData!$AI$196),"")</f>
        <v>1.583607634</v>
      </c>
      <c r="AJ196">
        <f ca="1">IFERROR(IF(0=LEN(ReferenceData!$AJ$196),"",ReferenceData!$AJ$196),"")</f>
        <v>2.115482262</v>
      </c>
      <c r="AK196">
        <f ca="1">IFERROR(IF(0=LEN(ReferenceData!$AK$196),"",ReferenceData!$AK$196),"")</f>
        <v>2.510256719</v>
      </c>
      <c r="AL196">
        <f ca="1">IFERROR(IF(0=LEN(ReferenceData!$AL$196),"",ReferenceData!$AL$196),"")</f>
        <v>2.0558159859999998</v>
      </c>
      <c r="AM196">
        <f ca="1">IFERROR(IF(0=LEN(ReferenceData!$AM$196),"",ReferenceData!$AM$196),"")</f>
        <v>1.6357386819999999</v>
      </c>
      <c r="AN196">
        <f ca="1">IFERROR(IF(0=LEN(ReferenceData!$AN$196),"",ReferenceData!$AN$196),"")</f>
        <v>3.1833862530000001</v>
      </c>
      <c r="AO196">
        <f ca="1">IFERROR(IF(0=LEN(ReferenceData!$AO$196),"",ReferenceData!$AO$196),"")</f>
        <v>2.3580069090000002</v>
      </c>
      <c r="AP196">
        <f ca="1">IFERROR(IF(0=LEN(ReferenceData!$AP$196),"",ReferenceData!$AP$196),"")</f>
        <v>3.4768816409999999</v>
      </c>
      <c r="AQ196">
        <f ca="1">IFERROR(IF(0=LEN(ReferenceData!$AQ$196),"",ReferenceData!$AQ$196),"")</f>
        <v>4.2664500509999996</v>
      </c>
      <c r="AR196">
        <f ca="1">IFERROR(IF(0=LEN(ReferenceData!$AR$196),"",ReferenceData!$AR$196),"")</f>
        <v>3.6216440909999998</v>
      </c>
      <c r="AS196">
        <f ca="1">IFERROR(IF(0=LEN(ReferenceData!$AS$196),"",ReferenceData!$AS$196),"")</f>
        <v>2.7693473910000002</v>
      </c>
      <c r="AT196">
        <f ca="1">IFERROR(IF(0=LEN(ReferenceData!$AT$196),"",ReferenceData!$AT$196),"")</f>
        <v>1.967293518</v>
      </c>
      <c r="AU196">
        <f ca="1">IFERROR(IF(0=LEN(ReferenceData!$AU$196),"",ReferenceData!$AU$196),"")</f>
        <v>1.0355454420000001</v>
      </c>
      <c r="AV196">
        <f ca="1">IFERROR(IF(0=LEN(ReferenceData!$AV$196),"",ReferenceData!$AV$196),"")</f>
        <v>1.2907395800000001</v>
      </c>
      <c r="AW196">
        <f ca="1">IFERROR(IF(0=LEN(ReferenceData!$AW$196),"",ReferenceData!$AW$196),"")</f>
        <v>1.382861568</v>
      </c>
      <c r="AX196">
        <f ca="1">IFERROR(IF(0=LEN(ReferenceData!$AX$196),"",ReferenceData!$AX$196),"")</f>
        <v>2.48202575</v>
      </c>
      <c r="AY196">
        <f ca="1">IFERROR(IF(0=LEN(ReferenceData!$AY$196),"",ReferenceData!$AY$196),"")</f>
        <v>4.640521219</v>
      </c>
      <c r="AZ196">
        <f ca="1">IFERROR(IF(0=LEN(ReferenceData!$AZ$196),"",ReferenceData!$AZ$196),"")</f>
        <v>5.753776663</v>
      </c>
      <c r="BA196">
        <f ca="1">IFERROR(IF(0=LEN(ReferenceData!$BA$196),"",ReferenceData!$BA$196),"")</f>
        <v>3.3091228739999998</v>
      </c>
      <c r="BB196">
        <f ca="1">IFERROR(IF(0=LEN(ReferenceData!$BB$196),"",ReferenceData!$BB$196),"")</f>
        <v>2.5661228600000001</v>
      </c>
      <c r="BC196">
        <f ca="1">IFERROR(IF(0=LEN(ReferenceData!$BC$196),"",ReferenceData!$BC$196),"")</f>
        <v>1.6674195730000001</v>
      </c>
      <c r="BD196">
        <f ca="1">IFERROR(IF(0=LEN(ReferenceData!$BD$196),"",ReferenceData!$BD$196),"")</f>
        <v>1.468091684</v>
      </c>
      <c r="BE196">
        <f ca="1">IFERROR(IF(0=LEN(ReferenceData!$BE$196),"",ReferenceData!$BE$196),"")</f>
        <v>1.6924233950000001</v>
      </c>
      <c r="BF196">
        <f ca="1">IFERROR(IF(0=LEN(ReferenceData!$BF$196),"",ReferenceData!$BF$196),"")</f>
        <v>0.96532450199999997</v>
      </c>
      <c r="BG196">
        <f ca="1">IFERROR(IF(0=LEN(ReferenceData!$BG$196),"",ReferenceData!$BG$196),"")</f>
        <v>0.93241526799999996</v>
      </c>
      <c r="BH196">
        <f ca="1">IFERROR(IF(0=LEN(ReferenceData!$BH$196),"",ReferenceData!$BH$196),"")</f>
        <v>1.536562129</v>
      </c>
      <c r="BI196">
        <f ca="1">IFERROR(IF(0=LEN(ReferenceData!$BI$196),"",ReferenceData!$BI$196),"")</f>
        <v>1.280468441</v>
      </c>
      <c r="BJ196">
        <f ca="1">IFERROR(IF(0=LEN(ReferenceData!$BJ$196),"",ReferenceData!$BJ$196),"")</f>
        <v>1.241805871</v>
      </c>
      <c r="BK196">
        <f ca="1">IFERROR(IF(0=LEN(ReferenceData!$BK$196),"",ReferenceData!$BK$196),"")</f>
        <v>1.368579556</v>
      </c>
      <c r="BL196">
        <f ca="1">IFERROR(IF(0=LEN(ReferenceData!$BL$196),"",ReferenceData!$BL$196),"")</f>
        <v>2.4614860219999999</v>
      </c>
      <c r="BM196">
        <f ca="1">IFERROR(IF(0=LEN(ReferenceData!$BM$196),"",ReferenceData!$BM$196),"")</f>
        <v>2.5987436069999998</v>
      </c>
    </row>
    <row r="197" spans="1:65" x14ac:dyDescent="0.25">
      <c r="A197" t="str">
        <f>IFERROR(IF(0=LEN(ReferenceData!$A$197),"",ReferenceData!$A$197),"")</f>
        <v xml:space="preserve">    Sanyang Motor Co Ltd</v>
      </c>
      <c r="B197" t="str">
        <f>IFERROR(IF(0=LEN(ReferenceData!$B$197),"",ReferenceData!$B$197),"")</f>
        <v>2206 TT Equity</v>
      </c>
      <c r="C197" t="str">
        <f>IFERROR(IF(0=LEN(ReferenceData!$C$197),"",ReferenceData!$C$197),"")</f>
        <v>RX077</v>
      </c>
      <c r="D197" t="str">
        <f>IFERROR(IF(0=LEN(ReferenceData!$D$197),"",ReferenceData!$D$197),"")</f>
        <v>PX_TO_TANG_BOOK_VAL_PER_SH</v>
      </c>
      <c r="E197" t="str">
        <f>IFERROR(IF(0=LEN(ReferenceData!$E$197),"",ReferenceData!$E$197),"")</f>
        <v>Dynamic</v>
      </c>
      <c r="F197">
        <f ca="1">IFERROR(IF(0=LEN(ReferenceData!$F$197),"",ReferenceData!$F$197),"")</f>
        <v>1.2572014819999999</v>
      </c>
      <c r="G197">
        <f ca="1">IFERROR(IF(0=LEN(ReferenceData!$G$197),"",ReferenceData!$G$197),"")</f>
        <v>1.2540663160000001</v>
      </c>
      <c r="H197">
        <f ca="1">IFERROR(IF(0=LEN(ReferenceData!$H$197),"",ReferenceData!$H$197),"")</f>
        <v>1.285417974</v>
      </c>
      <c r="I197">
        <f ca="1">IFERROR(IF(0=LEN(ReferenceData!$I$197),"",ReferenceData!$I$197),"")</f>
        <v>1.495854679</v>
      </c>
      <c r="J197">
        <f ca="1">IFERROR(IF(0=LEN(ReferenceData!$J$197),"",ReferenceData!$J$197),"")</f>
        <v>1.442963277</v>
      </c>
      <c r="K197">
        <f ca="1">IFERROR(IF(0=LEN(ReferenceData!$K$197),"",ReferenceData!$K$197),"")</f>
        <v>1.4279531409999999</v>
      </c>
      <c r="L197">
        <f ca="1">IFERROR(IF(0=LEN(ReferenceData!$L$197),"",ReferenceData!$L$197),"")</f>
        <v>1.379507456</v>
      </c>
      <c r="M197">
        <f ca="1">IFERROR(IF(0=LEN(ReferenceData!$M$197),"",ReferenceData!$M$197),"")</f>
        <v>1.418366821</v>
      </c>
      <c r="N197">
        <f ca="1">IFERROR(IF(0=LEN(ReferenceData!$N$197),"",ReferenceData!$N$197),"")</f>
        <v>1.3094729540000001</v>
      </c>
      <c r="O197">
        <f ca="1">IFERROR(IF(0=LEN(ReferenceData!$O$197),"",ReferenceData!$O$197),"")</f>
        <v>1.2234107890000001</v>
      </c>
      <c r="P197" t="str">
        <f ca="1">IFERROR(IF(0=LEN(ReferenceData!$P$197),"",ReferenceData!$P$197),"")</f>
        <v/>
      </c>
      <c r="Q197" t="str">
        <f ca="1">IFERROR(IF(0=LEN(ReferenceData!$Q$197),"",ReferenceData!$Q$197),"")</f>
        <v/>
      </c>
      <c r="R197">
        <f ca="1">IFERROR(IF(0=LEN(ReferenceData!$R$197),"",ReferenceData!$R$197),"")</f>
        <v>1.162390238</v>
      </c>
      <c r="S197">
        <f ca="1">IFERROR(IF(0=LEN(ReferenceData!$S$197),"",ReferenceData!$S$197),"")</f>
        <v>1.1839159829999999</v>
      </c>
      <c r="T197">
        <f ca="1">IFERROR(IF(0=LEN(ReferenceData!$T$197),"",ReferenceData!$T$197),"")</f>
        <v>1.2306007370000001</v>
      </c>
      <c r="U197">
        <f ca="1">IFERROR(IF(0=LEN(ReferenceData!$U$197),"",ReferenceData!$U$197),"")</f>
        <v>1.550071032</v>
      </c>
      <c r="V197">
        <f ca="1">IFERROR(IF(0=LEN(ReferenceData!$V$197),"",ReferenceData!$V$197),"")</f>
        <v>1.6835526430000001</v>
      </c>
      <c r="W197">
        <f ca="1">IFERROR(IF(0=LEN(ReferenceData!$W$197),"",ReferenceData!$W$197),"")</f>
        <v>1.7936916009999999</v>
      </c>
      <c r="X197">
        <f ca="1">IFERROR(IF(0=LEN(ReferenceData!$X$197),"",ReferenceData!$X$197),"")</f>
        <v>1.765981866</v>
      </c>
      <c r="Y197">
        <f ca="1">IFERROR(IF(0=LEN(ReferenceData!$Y$197),"",ReferenceData!$Y$197),"")</f>
        <v>1.954443435</v>
      </c>
      <c r="Z197">
        <f ca="1">IFERROR(IF(0=LEN(ReferenceData!$Z$197),"",ReferenceData!$Z$197),"")</f>
        <v>3.2448970689999999</v>
      </c>
      <c r="AA197">
        <f ca="1">IFERROR(IF(0=LEN(ReferenceData!$AA$197),"",ReferenceData!$AA$197),"")</f>
        <v>3.1704247510000001</v>
      </c>
      <c r="AB197">
        <f ca="1">IFERROR(IF(0=LEN(ReferenceData!$AB$197),"",ReferenceData!$AB$197),"")</f>
        <v>2.6881911079999998</v>
      </c>
      <c r="AC197">
        <f ca="1">IFERROR(IF(0=LEN(ReferenceData!$AC$197),"",ReferenceData!$AC$197),"")</f>
        <v>1.792109366</v>
      </c>
      <c r="AD197">
        <f ca="1">IFERROR(IF(0=LEN(ReferenceData!$AD$197),"",ReferenceData!$AD$197),"")</f>
        <v>1.575918111</v>
      </c>
      <c r="AE197">
        <f ca="1">IFERROR(IF(0=LEN(ReferenceData!$AE$197),"",ReferenceData!$AE$197),"")</f>
        <v>1.092442508</v>
      </c>
      <c r="AF197">
        <f ca="1">IFERROR(IF(0=LEN(ReferenceData!$AF$197),"",ReferenceData!$AF$197),"")</f>
        <v>1.225155274</v>
      </c>
      <c r="AG197">
        <f ca="1">IFERROR(IF(0=LEN(ReferenceData!$AG$197),"",ReferenceData!$AG$197),"")</f>
        <v>1.1436101860000001</v>
      </c>
      <c r="AH197">
        <f ca="1">IFERROR(IF(0=LEN(ReferenceData!$AH$197),"",ReferenceData!$AH$197),"")</f>
        <v>1.178805675</v>
      </c>
      <c r="AI197">
        <f ca="1">IFERROR(IF(0=LEN(ReferenceData!$AI$197),"",ReferenceData!$AI$197),"")</f>
        <v>0.98683732099999999</v>
      </c>
      <c r="AJ197">
        <f ca="1">IFERROR(IF(0=LEN(ReferenceData!$AJ$197),"",ReferenceData!$AJ$197),"")</f>
        <v>1.004641399</v>
      </c>
      <c r="AK197">
        <f ca="1">IFERROR(IF(0=LEN(ReferenceData!$AK$197),"",ReferenceData!$AK$197),"")</f>
        <v>1.044529174</v>
      </c>
      <c r="AL197">
        <f ca="1">IFERROR(IF(0=LEN(ReferenceData!$AL$197),"",ReferenceData!$AL$197),"")</f>
        <v>1.0506470539999999</v>
      </c>
      <c r="AM197">
        <f ca="1">IFERROR(IF(0=LEN(ReferenceData!$AM$197),"",ReferenceData!$AM$197),"")</f>
        <v>1.15956741</v>
      </c>
      <c r="AN197">
        <f ca="1">IFERROR(IF(0=LEN(ReferenceData!$AN$197),"",ReferenceData!$AN$197),"")</f>
        <v>0.99256409400000001</v>
      </c>
      <c r="AO197">
        <f ca="1">IFERROR(IF(0=LEN(ReferenceData!$AO$197),"",ReferenceData!$AO$197),"")</f>
        <v>0.76908056400000002</v>
      </c>
      <c r="AP197">
        <f ca="1">IFERROR(IF(0=LEN(ReferenceData!$AP$197),"",ReferenceData!$AP$197),"")</f>
        <v>0.79372990200000004</v>
      </c>
      <c r="AQ197">
        <f ca="1">IFERROR(IF(0=LEN(ReferenceData!$AQ$197),"",ReferenceData!$AQ$197),"")</f>
        <v>0.83744747799999997</v>
      </c>
      <c r="AR197">
        <f ca="1">IFERROR(IF(0=LEN(ReferenceData!$AR$197),"",ReferenceData!$AR$197),"")</f>
        <v>0.88001521999999999</v>
      </c>
      <c r="AS197">
        <f ca="1">IFERROR(IF(0=LEN(ReferenceData!$AS$197),"",ReferenceData!$AS$197),"")</f>
        <v>0.91884734599999995</v>
      </c>
      <c r="AT197">
        <f ca="1">IFERROR(IF(0=LEN(ReferenceData!$AT$197),"",ReferenceData!$AT$197),"")</f>
        <v>0.46754442200000002</v>
      </c>
      <c r="AU197">
        <f ca="1">IFERROR(IF(0=LEN(ReferenceData!$AU$197),"",ReferenceData!$AU$197),"")</f>
        <v>0.36430937499999999</v>
      </c>
      <c r="AV197">
        <f ca="1">IFERROR(IF(0=LEN(ReferenceData!$AV$197),"",ReferenceData!$AV$197),"")</f>
        <v>0.482787825</v>
      </c>
      <c r="AW197">
        <f ca="1">IFERROR(IF(0=LEN(ReferenceData!$AW$197),"",ReferenceData!$AW$197),"")</f>
        <v>0.72419090399999997</v>
      </c>
      <c r="AX197">
        <f ca="1">IFERROR(IF(0=LEN(ReferenceData!$AX$197),"",ReferenceData!$AX$197),"")</f>
        <v>1.32163605</v>
      </c>
      <c r="AY197" t="str">
        <f ca="1">IFERROR(IF(0=LEN(ReferenceData!$AY$197),"",ReferenceData!$AY$197),"")</f>
        <v/>
      </c>
      <c r="AZ197" t="str">
        <f ca="1">IFERROR(IF(0=LEN(ReferenceData!$AZ$197),"",ReferenceData!$AZ$197),"")</f>
        <v/>
      </c>
      <c r="BA197" t="str">
        <f ca="1">IFERROR(IF(0=LEN(ReferenceData!$BA$197),"",ReferenceData!$BA$197),"")</f>
        <v/>
      </c>
      <c r="BB197" t="str">
        <f ca="1">IFERROR(IF(0=LEN(ReferenceData!$BB$197),"",ReferenceData!$BB$197),"")</f>
        <v/>
      </c>
      <c r="BC197" t="str">
        <f ca="1">IFERROR(IF(0=LEN(ReferenceData!$BC$197),"",ReferenceData!$BC$197),"")</f>
        <v/>
      </c>
      <c r="BD197" t="str">
        <f ca="1">IFERROR(IF(0=LEN(ReferenceData!$BD$197),"",ReferenceData!$BD$197),"")</f>
        <v/>
      </c>
      <c r="BE197" t="str">
        <f ca="1">IFERROR(IF(0=LEN(ReferenceData!$BE$197),"",ReferenceData!$BE$197),"")</f>
        <v/>
      </c>
      <c r="BF197" t="str">
        <f ca="1">IFERROR(IF(0=LEN(ReferenceData!$BF$197),"",ReferenceData!$BF$197),"")</f>
        <v/>
      </c>
      <c r="BG197" t="str">
        <f ca="1">IFERROR(IF(0=LEN(ReferenceData!$BG$197),"",ReferenceData!$BG$197),"")</f>
        <v/>
      </c>
      <c r="BH197" t="str">
        <f ca="1">IFERROR(IF(0=LEN(ReferenceData!$BH$197),"",ReferenceData!$BH$197),"")</f>
        <v/>
      </c>
      <c r="BI197" t="str">
        <f ca="1">IFERROR(IF(0=LEN(ReferenceData!$BI$197),"",ReferenceData!$BI$197),"")</f>
        <v/>
      </c>
      <c r="BJ197" t="str">
        <f ca="1">IFERROR(IF(0=LEN(ReferenceData!$BJ$197),"",ReferenceData!$BJ$197),"")</f>
        <v/>
      </c>
      <c r="BK197" t="str">
        <f ca="1">IFERROR(IF(0=LEN(ReferenceData!$BK$197),"",ReferenceData!$BK$197),"")</f>
        <v/>
      </c>
      <c r="BL197" t="str">
        <f ca="1">IFERROR(IF(0=LEN(ReferenceData!$BL$197),"",ReferenceData!$BL$197),"")</f>
        <v/>
      </c>
      <c r="BM197" t="str">
        <f ca="1">IFERROR(IF(0=LEN(ReferenceData!$BM$197),"",ReferenceData!$BM$197),"")</f>
        <v/>
      </c>
    </row>
    <row r="198" spans="1:65" x14ac:dyDescent="0.25">
      <c r="A198" t="str">
        <f>IFERROR(IF(0=LEN(ReferenceData!$A$198),"",ReferenceData!$A$198),"")</f>
        <v xml:space="preserve">    Sollers PJSC</v>
      </c>
      <c r="B198" t="str">
        <f>IFERROR(IF(0=LEN(ReferenceData!$B$198),"",ReferenceData!$B$198),"")</f>
        <v>SVAV RM Equity</v>
      </c>
      <c r="C198" t="str">
        <f>IFERROR(IF(0=LEN(ReferenceData!$C$198),"",ReferenceData!$C$198),"")</f>
        <v>RX077</v>
      </c>
      <c r="D198" t="str">
        <f>IFERROR(IF(0=LEN(ReferenceData!$D$198),"",ReferenceData!$D$198),"")</f>
        <v>PX_TO_TANG_BOOK_VAL_PER_SH</v>
      </c>
      <c r="E198" t="str">
        <f>IFERROR(IF(0=LEN(ReferenceData!$E$198),"",ReferenceData!$E$198),"")</f>
        <v>Dynamic</v>
      </c>
      <c r="F198" t="str">
        <f ca="1">IFERROR(IF(0=LEN(ReferenceData!$F$198),"",ReferenceData!$F$198),"")</f>
        <v/>
      </c>
      <c r="G198" t="str">
        <f ca="1">IFERROR(IF(0=LEN(ReferenceData!$G$198),"",ReferenceData!$G$198),"")</f>
        <v/>
      </c>
      <c r="H198" t="str">
        <f ca="1">IFERROR(IF(0=LEN(ReferenceData!$H$198),"",ReferenceData!$H$198),"")</f>
        <v/>
      </c>
      <c r="I198" t="str">
        <f ca="1">IFERROR(IF(0=LEN(ReferenceData!$I$198),"",ReferenceData!$I$198),"")</f>
        <v/>
      </c>
      <c r="J198" t="str">
        <f ca="1">IFERROR(IF(0=LEN(ReferenceData!$J$198),"",ReferenceData!$J$198),"")</f>
        <v/>
      </c>
      <c r="K198" t="str">
        <f ca="1">IFERROR(IF(0=LEN(ReferenceData!$K$198),"",ReferenceData!$K$198),"")</f>
        <v/>
      </c>
      <c r="L198" t="str">
        <f ca="1">IFERROR(IF(0=LEN(ReferenceData!$L$198),"",ReferenceData!$L$198),"")</f>
        <v/>
      </c>
      <c r="M198" t="str">
        <f ca="1">IFERROR(IF(0=LEN(ReferenceData!$M$198),"",ReferenceData!$M$198),"")</f>
        <v/>
      </c>
      <c r="N198" t="str">
        <f ca="1">IFERROR(IF(0=LEN(ReferenceData!$N$198),"",ReferenceData!$N$198),"")</f>
        <v/>
      </c>
      <c r="O198" t="str">
        <f ca="1">IFERROR(IF(0=LEN(ReferenceData!$O$198),"",ReferenceData!$O$198),"")</f>
        <v/>
      </c>
      <c r="P198" t="str">
        <f ca="1">IFERROR(IF(0=LEN(ReferenceData!$P$198),"",ReferenceData!$P$198),"")</f>
        <v/>
      </c>
      <c r="Q198" t="str">
        <f ca="1">IFERROR(IF(0=LEN(ReferenceData!$Q$198),"",ReferenceData!$Q$198),"")</f>
        <v/>
      </c>
      <c r="R198" t="str">
        <f ca="1">IFERROR(IF(0=LEN(ReferenceData!$R$198),"",ReferenceData!$R$198),"")</f>
        <v/>
      </c>
      <c r="S198" t="str">
        <f ca="1">IFERROR(IF(0=LEN(ReferenceData!$S$198),"",ReferenceData!$S$198),"")</f>
        <v/>
      </c>
      <c r="T198" t="str">
        <f ca="1">IFERROR(IF(0=LEN(ReferenceData!$T$198),"",ReferenceData!$T$198),"")</f>
        <v/>
      </c>
      <c r="U198" t="str">
        <f ca="1">IFERROR(IF(0=LEN(ReferenceData!$U$198),"",ReferenceData!$U$198),"")</f>
        <v/>
      </c>
      <c r="V198" t="str">
        <f ca="1">IFERROR(IF(0=LEN(ReferenceData!$V$198),"",ReferenceData!$V$198),"")</f>
        <v/>
      </c>
      <c r="W198" t="str">
        <f ca="1">IFERROR(IF(0=LEN(ReferenceData!$W$198),"",ReferenceData!$W$198),"")</f>
        <v/>
      </c>
      <c r="X198" t="str">
        <f ca="1">IFERROR(IF(0=LEN(ReferenceData!$X$198),"",ReferenceData!$X$198),"")</f>
        <v/>
      </c>
      <c r="Y198" t="str">
        <f ca="1">IFERROR(IF(0=LEN(ReferenceData!$Y$198),"",ReferenceData!$Y$198),"")</f>
        <v/>
      </c>
      <c r="Z198" t="str">
        <f ca="1">IFERROR(IF(0=LEN(ReferenceData!$Z$198),"",ReferenceData!$Z$198),"")</f>
        <v/>
      </c>
      <c r="AA198" t="str">
        <f ca="1">IFERROR(IF(0=LEN(ReferenceData!$AA$198),"",ReferenceData!$AA$198),"")</f>
        <v/>
      </c>
      <c r="AB198" t="str">
        <f ca="1">IFERROR(IF(0=LEN(ReferenceData!$AB$198),"",ReferenceData!$AB$198),"")</f>
        <v/>
      </c>
      <c r="AC198" t="str">
        <f ca="1">IFERROR(IF(0=LEN(ReferenceData!$AC$198),"",ReferenceData!$AC$198),"")</f>
        <v/>
      </c>
      <c r="AD198" t="str">
        <f ca="1">IFERROR(IF(0=LEN(ReferenceData!$AD$198),"",ReferenceData!$AD$198),"")</f>
        <v/>
      </c>
      <c r="AE198" t="str">
        <f ca="1">IFERROR(IF(0=LEN(ReferenceData!$AE$198),"",ReferenceData!$AE$198),"")</f>
        <v/>
      </c>
      <c r="AF198" t="str">
        <f ca="1">IFERROR(IF(0=LEN(ReferenceData!$AF$198),"",ReferenceData!$AF$198),"")</f>
        <v/>
      </c>
      <c r="AG198" t="str">
        <f ca="1">IFERROR(IF(0=LEN(ReferenceData!$AG$198),"",ReferenceData!$AG$198),"")</f>
        <v/>
      </c>
      <c r="AH198" t="str">
        <f ca="1">IFERROR(IF(0=LEN(ReferenceData!$AH$198),"",ReferenceData!$AH$198),"")</f>
        <v/>
      </c>
      <c r="AI198" t="str">
        <f ca="1">IFERROR(IF(0=LEN(ReferenceData!$AI$198),"",ReferenceData!$AI$198),"")</f>
        <v/>
      </c>
      <c r="AJ198" t="str">
        <f ca="1">IFERROR(IF(0=LEN(ReferenceData!$AJ$198),"",ReferenceData!$AJ$198),"")</f>
        <v/>
      </c>
      <c r="AK198" t="str">
        <f ca="1">IFERROR(IF(0=LEN(ReferenceData!$AK$198),"",ReferenceData!$AK$198),"")</f>
        <v/>
      </c>
      <c r="AL198" t="str">
        <f ca="1">IFERROR(IF(0=LEN(ReferenceData!$AL$198),"",ReferenceData!$AL$198),"")</f>
        <v/>
      </c>
      <c r="AM198" t="str">
        <f ca="1">IFERROR(IF(0=LEN(ReferenceData!$AM$198),"",ReferenceData!$AM$198),"")</f>
        <v/>
      </c>
      <c r="AN198" t="str">
        <f ca="1">IFERROR(IF(0=LEN(ReferenceData!$AN$198),"",ReferenceData!$AN$198),"")</f>
        <v/>
      </c>
      <c r="AO198" t="str">
        <f ca="1">IFERROR(IF(0=LEN(ReferenceData!$AO$198),"",ReferenceData!$AO$198),"")</f>
        <v/>
      </c>
      <c r="AP198" t="str">
        <f ca="1">IFERROR(IF(0=LEN(ReferenceData!$AP$198),"",ReferenceData!$AP$198),"")</f>
        <v/>
      </c>
      <c r="AQ198" t="str">
        <f ca="1">IFERROR(IF(0=LEN(ReferenceData!$AQ$198),"",ReferenceData!$AQ$198),"")</f>
        <v/>
      </c>
      <c r="AR198" t="str">
        <f ca="1">IFERROR(IF(0=LEN(ReferenceData!$AR$198),"",ReferenceData!$AR$198),"")</f>
        <v/>
      </c>
      <c r="AS198" t="str">
        <f ca="1">IFERROR(IF(0=LEN(ReferenceData!$AS$198),"",ReferenceData!$AS$198),"")</f>
        <v/>
      </c>
      <c r="AT198" t="str">
        <f ca="1">IFERROR(IF(0=LEN(ReferenceData!$AT$198),"",ReferenceData!$AT$198),"")</f>
        <v/>
      </c>
      <c r="AU198" t="str">
        <f ca="1">IFERROR(IF(0=LEN(ReferenceData!$AU$198),"",ReferenceData!$AU$198),"")</f>
        <v/>
      </c>
      <c r="AV198" t="str">
        <f ca="1">IFERROR(IF(0=LEN(ReferenceData!$AV$198),"",ReferenceData!$AV$198),"")</f>
        <v/>
      </c>
      <c r="AW198" t="str">
        <f ca="1">IFERROR(IF(0=LEN(ReferenceData!$AW$198),"",ReferenceData!$AW$198),"")</f>
        <v/>
      </c>
      <c r="AX198" t="str">
        <f ca="1">IFERROR(IF(0=LEN(ReferenceData!$AX$198),"",ReferenceData!$AX$198),"")</f>
        <v/>
      </c>
      <c r="AY198" t="str">
        <f ca="1">IFERROR(IF(0=LEN(ReferenceData!$AY$198),"",ReferenceData!$AY$198),"")</f>
        <v/>
      </c>
      <c r="AZ198" t="str">
        <f ca="1">IFERROR(IF(0=LEN(ReferenceData!$AZ$198),"",ReferenceData!$AZ$198),"")</f>
        <v/>
      </c>
      <c r="BA198" t="str">
        <f ca="1">IFERROR(IF(0=LEN(ReferenceData!$BA$198),"",ReferenceData!$BA$198),"")</f>
        <v/>
      </c>
      <c r="BB198" t="str">
        <f ca="1">IFERROR(IF(0=LEN(ReferenceData!$BB$198),"",ReferenceData!$BB$198),"")</f>
        <v/>
      </c>
      <c r="BC198" t="str">
        <f ca="1">IFERROR(IF(0=LEN(ReferenceData!$BC$198),"",ReferenceData!$BC$198),"")</f>
        <v/>
      </c>
      <c r="BD198" t="str">
        <f ca="1">IFERROR(IF(0=LEN(ReferenceData!$BD$198),"",ReferenceData!$BD$198),"")</f>
        <v/>
      </c>
      <c r="BE198" t="str">
        <f ca="1">IFERROR(IF(0=LEN(ReferenceData!$BE$198),"",ReferenceData!$BE$198),"")</f>
        <v/>
      </c>
      <c r="BF198" t="str">
        <f ca="1">IFERROR(IF(0=LEN(ReferenceData!$BF$198),"",ReferenceData!$BF$198),"")</f>
        <v/>
      </c>
      <c r="BG198" t="str">
        <f ca="1">IFERROR(IF(0=LEN(ReferenceData!$BG$198),"",ReferenceData!$BG$198),"")</f>
        <v/>
      </c>
      <c r="BH198" t="str">
        <f ca="1">IFERROR(IF(0=LEN(ReferenceData!$BH$198),"",ReferenceData!$BH$198),"")</f>
        <v/>
      </c>
      <c r="BI198" t="str">
        <f ca="1">IFERROR(IF(0=LEN(ReferenceData!$BI$198),"",ReferenceData!$BI$198),"")</f>
        <v/>
      </c>
      <c r="BJ198" t="str">
        <f ca="1">IFERROR(IF(0=LEN(ReferenceData!$BJ$198),"",ReferenceData!$BJ$198),"")</f>
        <v/>
      </c>
      <c r="BK198" t="str">
        <f ca="1">IFERROR(IF(0=LEN(ReferenceData!$BK$198),"",ReferenceData!$BK$198),"")</f>
        <v/>
      </c>
      <c r="BL198" t="str">
        <f ca="1">IFERROR(IF(0=LEN(ReferenceData!$BL$198),"",ReferenceData!$BL$198),"")</f>
        <v/>
      </c>
      <c r="BM198" t="str">
        <f ca="1">IFERROR(IF(0=LEN(ReferenceData!$BM$198),"",ReferenceData!$BM$198),"")</f>
        <v/>
      </c>
    </row>
    <row r="199" spans="1:65" x14ac:dyDescent="0.25">
      <c r="A199" t="str">
        <f>IFERROR(IF(0=LEN(ReferenceData!$A$199),"",ReferenceData!$A$199),"")</f>
        <v xml:space="preserve">    Ssangyong Motor Co</v>
      </c>
      <c r="B199" t="str">
        <f>IFERROR(IF(0=LEN(ReferenceData!$B$199),"",ReferenceData!$B$199),"")</f>
        <v>003620 KS Equity</v>
      </c>
      <c r="C199" t="str">
        <f>IFERROR(IF(0=LEN(ReferenceData!$C$199),"",ReferenceData!$C$199),"")</f>
        <v>RX077</v>
      </c>
      <c r="D199" t="str">
        <f>IFERROR(IF(0=LEN(ReferenceData!$D$199),"",ReferenceData!$D$199),"")</f>
        <v>PX_TO_TANG_BOOK_VAL_PER_SH</v>
      </c>
      <c r="E199" t="str">
        <f>IFERROR(IF(0=LEN(ReferenceData!$E$199),"",ReferenceData!$E$199),"")</f>
        <v>Dynamic</v>
      </c>
      <c r="F199" t="str">
        <f ca="1">IFERROR(IF(0=LEN(ReferenceData!$F$199),"",ReferenceData!$F$199),"")</f>
        <v/>
      </c>
      <c r="G199">
        <f ca="1">IFERROR(IF(0=LEN(ReferenceData!$G$199),"",ReferenceData!$G$199),"")</f>
        <v>1.404084018</v>
      </c>
      <c r="H199">
        <f ca="1">IFERROR(IF(0=LEN(ReferenceData!$H$199),"",ReferenceData!$H$199),"")</f>
        <v>1.626813082</v>
      </c>
      <c r="I199">
        <f ca="1">IFERROR(IF(0=LEN(ReferenceData!$I$199),"",ReferenceData!$I$199),"")</f>
        <v>1.4959577580000001</v>
      </c>
      <c r="J199">
        <f ca="1">IFERROR(IF(0=LEN(ReferenceData!$J$199),"",ReferenceData!$J$199),"")</f>
        <v>1.577080391</v>
      </c>
      <c r="K199">
        <f ca="1">IFERROR(IF(0=LEN(ReferenceData!$K$199),"",ReferenceData!$K$199),"")</f>
        <v>1.4967610929999999</v>
      </c>
      <c r="L199">
        <f ca="1">IFERROR(IF(0=LEN(ReferenceData!$L$199),"",ReferenceData!$L$199),"")</f>
        <v>1.4288662830000001</v>
      </c>
      <c r="M199">
        <f ca="1">IFERROR(IF(0=LEN(ReferenceData!$M$199),"",ReferenceData!$M$199),"")</f>
        <v>1.769650749</v>
      </c>
      <c r="N199">
        <f ca="1">IFERROR(IF(0=LEN(ReferenceData!$N$199),"",ReferenceData!$N$199),"")</f>
        <v>1.9377057040000001</v>
      </c>
      <c r="O199">
        <f ca="1">IFERROR(IF(0=LEN(ReferenceData!$O$199),"",ReferenceData!$O$199),"")</f>
        <v>1.8719938270000001</v>
      </c>
      <c r="P199">
        <f ca="1">IFERROR(IF(0=LEN(ReferenceData!$P$199),"",ReferenceData!$P$199),"")</f>
        <v>1.9965160669999999</v>
      </c>
      <c r="Q199">
        <f ca="1">IFERROR(IF(0=LEN(ReferenceData!$Q$199),"",ReferenceData!$Q$199),"")</f>
        <v>1.7804029640000001</v>
      </c>
      <c r="R199">
        <f ca="1">IFERROR(IF(0=LEN(ReferenceData!$R$199),"",ReferenceData!$R$199),"")</f>
        <v>2.1355254449999999</v>
      </c>
      <c r="S199">
        <f ca="1">IFERROR(IF(0=LEN(ReferenceData!$S$199),"",ReferenceData!$S$199),"")</f>
        <v>2.0061016739999999</v>
      </c>
      <c r="T199">
        <f ca="1">IFERROR(IF(0=LEN(ReferenceData!$T$199),"",ReferenceData!$T$199),"")</f>
        <v>2.3085141079999998</v>
      </c>
      <c r="U199">
        <f ca="1">IFERROR(IF(0=LEN(ReferenceData!$U$199),"",ReferenceData!$U$199),"")</f>
        <v>2.1312584860000001</v>
      </c>
      <c r="V199">
        <f ca="1">IFERROR(IF(0=LEN(ReferenceData!$V$199),"",ReferenceData!$V$199),"")</f>
        <v>2.1090510459999998</v>
      </c>
      <c r="W199">
        <f ca="1">IFERROR(IF(0=LEN(ReferenceData!$W$199),"",ReferenceData!$W$199),"")</f>
        <v>2.028287175</v>
      </c>
      <c r="X199">
        <f ca="1">IFERROR(IF(0=LEN(ReferenceData!$X$199),"",ReferenceData!$X$199),"")</f>
        <v>1.3077323679999999</v>
      </c>
      <c r="Y199">
        <f ca="1">IFERROR(IF(0=LEN(ReferenceData!$Y$199),"",ReferenceData!$Y$199),"")</f>
        <v>1.638515229</v>
      </c>
      <c r="Z199">
        <f ca="1">IFERROR(IF(0=LEN(ReferenceData!$Z$199),"",ReferenceData!$Z$199),"")</f>
        <v>1.536728146</v>
      </c>
      <c r="AA199">
        <f ca="1">IFERROR(IF(0=LEN(ReferenceData!$AA$199),"",ReferenceData!$AA$199),"")</f>
        <v>1.3036995730000001</v>
      </c>
      <c r="AB199">
        <f ca="1">IFERROR(IF(0=LEN(ReferenceData!$AB$199),"",ReferenceData!$AB$199),"")</f>
        <v>1.434370073</v>
      </c>
      <c r="AC199">
        <f ca="1">IFERROR(IF(0=LEN(ReferenceData!$AC$199),"",ReferenceData!$AC$199),"")</f>
        <v>1.589395997</v>
      </c>
      <c r="AD199">
        <f ca="1">IFERROR(IF(0=LEN(ReferenceData!$AD$199),"",ReferenceData!$AD$199),"")</f>
        <v>1.042506486</v>
      </c>
      <c r="AE199">
        <f ca="1">IFERROR(IF(0=LEN(ReferenceData!$AE$199),"",ReferenceData!$AE$199),"")</f>
        <v>0.87548465099999995</v>
      </c>
      <c r="AF199" t="str">
        <f ca="1">IFERROR(IF(0=LEN(ReferenceData!$AF$199),"",ReferenceData!$AF$199),"")</f>
        <v/>
      </c>
      <c r="AG199" t="str">
        <f ca="1">IFERROR(IF(0=LEN(ReferenceData!$AG$199),"",ReferenceData!$AG$199),"")</f>
        <v/>
      </c>
      <c r="AH199" t="str">
        <f ca="1">IFERROR(IF(0=LEN(ReferenceData!$AH$199),"",ReferenceData!$AH$199),"")</f>
        <v/>
      </c>
      <c r="AI199" t="str">
        <f ca="1">IFERROR(IF(0=LEN(ReferenceData!$AI$199),"",ReferenceData!$AI$199),"")</f>
        <v/>
      </c>
      <c r="AJ199" t="str">
        <f ca="1">IFERROR(IF(0=LEN(ReferenceData!$AJ$199),"",ReferenceData!$AJ$199),"")</f>
        <v/>
      </c>
      <c r="AK199" t="str">
        <f ca="1">IFERROR(IF(0=LEN(ReferenceData!$AK$199),"",ReferenceData!$AK$199),"")</f>
        <v/>
      </c>
      <c r="AL199" t="str">
        <f ca="1">IFERROR(IF(0=LEN(ReferenceData!$AL$199),"",ReferenceData!$AL$199),"")</f>
        <v/>
      </c>
      <c r="AM199" t="str">
        <f ca="1">IFERROR(IF(0=LEN(ReferenceData!$AM$199),"",ReferenceData!$AM$199),"")</f>
        <v/>
      </c>
      <c r="AN199" t="str">
        <f ca="1">IFERROR(IF(0=LEN(ReferenceData!$AN$199),"",ReferenceData!$AN$199),"")</f>
        <v/>
      </c>
      <c r="AO199" t="str">
        <f ca="1">IFERROR(IF(0=LEN(ReferenceData!$AO$199),"",ReferenceData!$AO$199),"")</f>
        <v/>
      </c>
      <c r="AP199" t="str">
        <f ca="1">IFERROR(IF(0=LEN(ReferenceData!$AP$199),"",ReferenceData!$AP$199),"")</f>
        <v/>
      </c>
      <c r="AQ199" t="str">
        <f ca="1">IFERROR(IF(0=LEN(ReferenceData!$AQ$199),"",ReferenceData!$AQ$199),"")</f>
        <v/>
      </c>
      <c r="AR199" t="str">
        <f ca="1">IFERROR(IF(0=LEN(ReferenceData!$AR$199),"",ReferenceData!$AR$199),"")</f>
        <v/>
      </c>
      <c r="AS199" t="str">
        <f ca="1">IFERROR(IF(0=LEN(ReferenceData!$AS$199),"",ReferenceData!$AS$199),"")</f>
        <v/>
      </c>
      <c r="AT199" t="str">
        <f ca="1">IFERROR(IF(0=LEN(ReferenceData!$AT$199),"",ReferenceData!$AT$199),"")</f>
        <v/>
      </c>
      <c r="AU199" t="str">
        <f ca="1">IFERROR(IF(0=LEN(ReferenceData!$AU$199),"",ReferenceData!$AU$199),"")</f>
        <v/>
      </c>
      <c r="AV199" t="str">
        <f ca="1">IFERROR(IF(0=LEN(ReferenceData!$AV$199),"",ReferenceData!$AV$199),"")</f>
        <v/>
      </c>
      <c r="AW199" t="str">
        <f ca="1">IFERROR(IF(0=LEN(ReferenceData!$AW$199),"",ReferenceData!$AW$199),"")</f>
        <v/>
      </c>
      <c r="AX199" t="str">
        <f ca="1">IFERROR(IF(0=LEN(ReferenceData!$AX$199),"",ReferenceData!$AX$199),"")</f>
        <v/>
      </c>
      <c r="AY199" t="str">
        <f ca="1">IFERROR(IF(0=LEN(ReferenceData!$AY$199),"",ReferenceData!$AY$199),"")</f>
        <v/>
      </c>
      <c r="AZ199" t="str">
        <f ca="1">IFERROR(IF(0=LEN(ReferenceData!$AZ$199),"",ReferenceData!$AZ$199),"")</f>
        <v/>
      </c>
      <c r="BA199" t="str">
        <f ca="1">IFERROR(IF(0=LEN(ReferenceData!$BA$199),"",ReferenceData!$BA$199),"")</f>
        <v/>
      </c>
      <c r="BB199" t="str">
        <f ca="1">IFERROR(IF(0=LEN(ReferenceData!$BB$199),"",ReferenceData!$BB$199),"")</f>
        <v/>
      </c>
      <c r="BC199" t="str">
        <f ca="1">IFERROR(IF(0=LEN(ReferenceData!$BC$199),"",ReferenceData!$BC$199),"")</f>
        <v/>
      </c>
      <c r="BD199" t="str">
        <f ca="1">IFERROR(IF(0=LEN(ReferenceData!$BD$199),"",ReferenceData!$BD$199),"")</f>
        <v/>
      </c>
      <c r="BE199" t="str">
        <f ca="1">IFERROR(IF(0=LEN(ReferenceData!$BE$199),"",ReferenceData!$BE$199),"")</f>
        <v/>
      </c>
      <c r="BF199" t="str">
        <f ca="1">IFERROR(IF(0=LEN(ReferenceData!$BF$199),"",ReferenceData!$BF$199),"")</f>
        <v/>
      </c>
      <c r="BG199" t="str">
        <f ca="1">IFERROR(IF(0=LEN(ReferenceData!$BG$199),"",ReferenceData!$BG$199),"")</f>
        <v/>
      </c>
      <c r="BH199" t="str">
        <f ca="1">IFERROR(IF(0=LEN(ReferenceData!$BH$199),"",ReferenceData!$BH$199),"")</f>
        <v/>
      </c>
      <c r="BI199" t="str">
        <f ca="1">IFERROR(IF(0=LEN(ReferenceData!$BI$199),"",ReferenceData!$BI$199),"")</f>
        <v/>
      </c>
      <c r="BJ199" t="str">
        <f ca="1">IFERROR(IF(0=LEN(ReferenceData!$BJ$199),"",ReferenceData!$BJ$199),"")</f>
        <v/>
      </c>
      <c r="BK199" t="str">
        <f ca="1">IFERROR(IF(0=LEN(ReferenceData!$BK$199),"",ReferenceData!$BK$199),"")</f>
        <v/>
      </c>
      <c r="BL199" t="str">
        <f ca="1">IFERROR(IF(0=LEN(ReferenceData!$BL$199),"",ReferenceData!$BL$199),"")</f>
        <v/>
      </c>
      <c r="BM199" t="str">
        <f ca="1">IFERROR(IF(0=LEN(ReferenceData!$BM$199),"",ReferenceData!$BM$199),"")</f>
        <v/>
      </c>
    </row>
    <row r="200" spans="1:65" x14ac:dyDescent="0.25">
      <c r="A200" t="str">
        <f>IFERROR(IF(0=LEN(ReferenceData!$A$200),"",ReferenceData!$A$200),"")</f>
        <v xml:space="preserve">    Subaru Corp</v>
      </c>
      <c r="B200" t="str">
        <f>IFERROR(IF(0=LEN(ReferenceData!$B$200),"",ReferenceData!$B$200),"")</f>
        <v>7270 JP Equity</v>
      </c>
      <c r="C200" t="str">
        <f>IFERROR(IF(0=LEN(ReferenceData!$C$200),"",ReferenceData!$C$200),"")</f>
        <v>RX077</v>
      </c>
      <c r="D200" t="str">
        <f>IFERROR(IF(0=LEN(ReferenceData!$D$200),"",ReferenceData!$D$200),"")</f>
        <v>PX_TO_TANG_BOOK_VAL_PER_SH</v>
      </c>
      <c r="E200" t="str">
        <f>IFERROR(IF(0=LEN(ReferenceData!$E$200),"",ReferenceData!$E$200),"")</f>
        <v>Dynamic</v>
      </c>
      <c r="F200">
        <f ca="1">IFERROR(IF(0=LEN(ReferenceData!$F$200),"",ReferenceData!$F$200),"")</f>
        <v>1.4127801529999999</v>
      </c>
      <c r="G200">
        <f ca="1">IFERROR(IF(0=LEN(ReferenceData!$G$200),"",ReferenceData!$G$200),"")</f>
        <v>1.1731742300000001</v>
      </c>
      <c r="H200">
        <f ca="1">IFERROR(IF(0=LEN(ReferenceData!$H$200),"",ReferenceData!$H$200),"")</f>
        <v>1.730707888</v>
      </c>
      <c r="I200">
        <f ca="1">IFERROR(IF(0=LEN(ReferenceData!$I$200),"",ReferenceData!$I$200),"")</f>
        <v>1.6163289970000001</v>
      </c>
      <c r="J200">
        <f ca="1">IFERROR(IF(0=LEN(ReferenceData!$J$200),"",ReferenceData!$J$200),"")</f>
        <v>1.753667885</v>
      </c>
      <c r="K200">
        <f ca="1">IFERROR(IF(0=LEN(ReferenceData!$K$200),"",ReferenceData!$K$200),"")</f>
        <v>1.8475316239999999</v>
      </c>
      <c r="L200">
        <f ca="1">IFERROR(IF(0=LEN(ReferenceData!$L$200),"",ReferenceData!$L$200),"")</f>
        <v>2.113959108</v>
      </c>
      <c r="M200">
        <f ca="1">IFERROR(IF(0=LEN(ReferenceData!$M$200),"",ReferenceData!$M$200),"")</f>
        <v>1.9833353600000001</v>
      </c>
      <c r="N200">
        <f ca="1">IFERROR(IF(0=LEN(ReferenceData!$N$200),"",ReferenceData!$N$200),"")</f>
        <v>2.183336905</v>
      </c>
      <c r="O200">
        <f ca="1">IFERROR(IF(0=LEN(ReferenceData!$O$200),"",ReferenceData!$O$200),"")</f>
        <v>2.6627404430000001</v>
      </c>
      <c r="P200">
        <f ca="1">IFERROR(IF(0=LEN(ReferenceData!$P$200),"",ReferenceData!$P$200),"")</f>
        <v>2.1585707529999998</v>
      </c>
      <c r="Q200">
        <f ca="1">IFERROR(IF(0=LEN(ReferenceData!$Q$200),"",ReferenceData!$Q$200),"")</f>
        <v>2.0669504019999998</v>
      </c>
      <c r="R200">
        <f ca="1">IFERROR(IF(0=LEN(ReferenceData!$R$200),"",ReferenceData!$R$200),"")</f>
        <v>2.345128683</v>
      </c>
      <c r="S200">
        <f ca="1">IFERROR(IF(0=LEN(ReferenceData!$S$200),"",ReferenceData!$S$200),"")</f>
        <v>3.1232747249999999</v>
      </c>
      <c r="T200">
        <f ca="1">IFERROR(IF(0=LEN(ReferenceData!$T$200),"",ReferenceData!$T$200),"")</f>
        <v>2.8622339920000002</v>
      </c>
      <c r="U200">
        <f ca="1">IFERROR(IF(0=LEN(ReferenceData!$U$200),"",ReferenceData!$U$200),"")</f>
        <v>3.2838653390000001</v>
      </c>
      <c r="V200">
        <f ca="1">IFERROR(IF(0=LEN(ReferenceData!$V$200),"",ReferenceData!$V$200),"")</f>
        <v>3.0972621039999999</v>
      </c>
      <c r="W200">
        <f ca="1">IFERROR(IF(0=LEN(ReferenceData!$W$200),"",ReferenceData!$W$200),"")</f>
        <v>3.570414113</v>
      </c>
      <c r="X200">
        <f ca="1">IFERROR(IF(0=LEN(ReferenceData!$X$200),"",ReferenceData!$X$200),"")</f>
        <v>3.2959276869999998</v>
      </c>
      <c r="Y200">
        <f ca="1">IFERROR(IF(0=LEN(ReferenceData!$Y$200),"",ReferenceData!$Y$200),"")</f>
        <v>2.811213113</v>
      </c>
      <c r="Z200">
        <f ca="1">IFERROR(IF(0=LEN(ReferenceData!$Z$200),"",ReferenceData!$Z$200),"")</f>
        <v>2.9019052140000001</v>
      </c>
      <c r="AA200">
        <f ca="1">IFERROR(IF(0=LEN(ReferenceData!$AA$200),"",ReferenceData!$AA$200),"")</f>
        <v>3.1469588370000001</v>
      </c>
      <c r="AB200">
        <f ca="1">IFERROR(IF(0=LEN(ReferenceData!$AB$200),"",ReferenceData!$AB$200),"")</f>
        <v>3.042690855</v>
      </c>
      <c r="AC200">
        <f ca="1">IFERROR(IF(0=LEN(ReferenceData!$AC$200),"",ReferenceData!$AC$200),"")</f>
        <v>3.0058302189999999</v>
      </c>
      <c r="AD200">
        <f ca="1">IFERROR(IF(0=LEN(ReferenceData!$AD$200),"",ReferenceData!$AD$200),"")</f>
        <v>1.9570560100000001</v>
      </c>
      <c r="AE200">
        <f ca="1">IFERROR(IF(0=LEN(ReferenceData!$AE$200),"",ReferenceData!$AE$200),"")</f>
        <v>1.6975298089999999</v>
      </c>
      <c r="AF200">
        <f ca="1">IFERROR(IF(0=LEN(ReferenceData!$AF$200),"",ReferenceData!$AF$200),"")</f>
        <v>1.088019877</v>
      </c>
      <c r="AG200">
        <f ca="1">IFERROR(IF(0=LEN(ReferenceData!$AG$200),"",ReferenceData!$AG$200),"")</f>
        <v>1.1201032639999999</v>
      </c>
      <c r="AH200">
        <f ca="1">IFERROR(IF(0=LEN(ReferenceData!$AH$200),"",ReferenceData!$AH$200),"")</f>
        <v>1.183635515</v>
      </c>
      <c r="AI200">
        <f ca="1">IFERROR(IF(0=LEN(ReferenceData!$AI$200),"",ReferenceData!$AI$200),"")</f>
        <v>0.85890476000000004</v>
      </c>
      <c r="AJ200">
        <f ca="1">IFERROR(IF(0=LEN(ReferenceData!$AJ$200),"",ReferenceData!$AJ$200),"")</f>
        <v>0.84774572599999998</v>
      </c>
      <c r="AK200">
        <f ca="1">IFERROR(IF(0=LEN(ReferenceData!$AK$200),"",ReferenceData!$AK$200),"")</f>
        <v>1.139422436</v>
      </c>
      <c r="AL200">
        <f ca="1">IFERROR(IF(0=LEN(ReferenceData!$AL$200),"",ReferenceData!$AL$200),"")</f>
        <v>1.0439290400000001</v>
      </c>
      <c r="AM200">
        <f ca="1">IFERROR(IF(0=LEN(ReferenceData!$AM$200),"",ReferenceData!$AM$200),"")</f>
        <v>1.2104994680000001</v>
      </c>
      <c r="AN200">
        <f ca="1">IFERROR(IF(0=LEN(ReferenceData!$AN$200),"",ReferenceData!$AN$200),"")</f>
        <v>1.047929291</v>
      </c>
      <c r="AO200">
        <f ca="1">IFERROR(IF(0=LEN(ReferenceData!$AO$200),"",ReferenceData!$AO$200),"")</f>
        <v>0.98659271400000004</v>
      </c>
      <c r="AP200">
        <f ca="1">IFERROR(IF(0=LEN(ReferenceData!$AP$200),"",ReferenceData!$AP$200),"")</f>
        <v>1.0228739410000001</v>
      </c>
      <c r="AQ200">
        <f ca="1">IFERROR(IF(0=LEN(ReferenceData!$AQ$200),"",ReferenceData!$AQ$200),"")</f>
        <v>0.95607484300000001</v>
      </c>
      <c r="AR200">
        <f ca="1">IFERROR(IF(0=LEN(ReferenceData!$AR$200),"",ReferenceData!$AR$200),"")</f>
        <v>0.761001131</v>
      </c>
      <c r="AS200">
        <f ca="1">IFERROR(IF(0=LEN(ReferenceData!$AS$200),"",ReferenceData!$AS$200),"")</f>
        <v>0.83533270400000004</v>
      </c>
      <c r="AT200">
        <f ca="1">IFERROR(IF(0=LEN(ReferenceData!$AT$200),"",ReferenceData!$AT$200),"")</f>
        <v>0.66030109400000003</v>
      </c>
      <c r="AU200">
        <f ca="1">IFERROR(IF(0=LEN(ReferenceData!$AU$200),"",ReferenceData!$AU$200),"")</f>
        <v>0.41345516399999999</v>
      </c>
      <c r="AV200">
        <f ca="1">IFERROR(IF(0=LEN(ReferenceData!$AV$200),"",ReferenceData!$AV$200),"")</f>
        <v>0.83714102199999996</v>
      </c>
      <c r="AW200">
        <f ca="1">IFERROR(IF(0=LEN(ReferenceData!$AW$200),"",ReferenceData!$AW$200),"")</f>
        <v>0.83595612200000002</v>
      </c>
      <c r="AX200">
        <f ca="1">IFERROR(IF(0=LEN(ReferenceData!$AX$200),"",ReferenceData!$AX$200),"")</f>
        <v>0.64832134699999999</v>
      </c>
      <c r="AY200">
        <f ca="1">IFERROR(IF(0=LEN(ReferenceData!$AY$200),"",ReferenceData!$AY$200),"")</f>
        <v>0.801693871</v>
      </c>
      <c r="AZ200">
        <f ca="1">IFERROR(IF(0=LEN(ReferenceData!$AZ$200),"",ReferenceData!$AZ$200),"")</f>
        <v>0.77189389200000003</v>
      </c>
      <c r="BA200">
        <f ca="1">IFERROR(IF(0=LEN(ReferenceData!$BA$200),"",ReferenceData!$BA$200),"")</f>
        <v>0.92587867499999998</v>
      </c>
      <c r="BB200">
        <f ca="1">IFERROR(IF(0=LEN(ReferenceData!$BB$200),"",ReferenceData!$BB$200),"")</f>
        <v>0.95802810299999996</v>
      </c>
      <c r="BC200">
        <f ca="1">IFERROR(IF(0=LEN(ReferenceData!$BC$200),"",ReferenceData!$BC$200),"")</f>
        <v>0.97181411100000004</v>
      </c>
      <c r="BD200">
        <f ca="1">IFERROR(IF(0=LEN(ReferenceData!$BD$200),"",ReferenceData!$BD$200),"")</f>
        <v>1.1093076040000001</v>
      </c>
      <c r="BE200">
        <f ca="1">IFERROR(IF(0=LEN(ReferenceData!$BE$200),"",ReferenceData!$BE$200),"")</f>
        <v>1.1239147979999999</v>
      </c>
      <c r="BF200">
        <f ca="1">IFERROR(IF(0=LEN(ReferenceData!$BF$200),"",ReferenceData!$BF$200),"")</f>
        <v>1.16060129</v>
      </c>
      <c r="BG200">
        <f ca="1">IFERROR(IF(0=LEN(ReferenceData!$BG$200),"",ReferenceData!$BG$200),"")</f>
        <v>1.1146828559999999</v>
      </c>
      <c r="BH200">
        <f ca="1">IFERROR(IF(0=LEN(ReferenceData!$BH$200),"",ReferenceData!$BH$200),"")</f>
        <v>0.90309379899999997</v>
      </c>
      <c r="BI200">
        <f ca="1">IFERROR(IF(0=LEN(ReferenceData!$BI$200),"",ReferenceData!$BI$200),"")</f>
        <v>0.77506726199999998</v>
      </c>
      <c r="BJ200">
        <f ca="1">IFERROR(IF(0=LEN(ReferenceData!$BJ$200),"",ReferenceData!$BJ$200),"")</f>
        <v>0.95412185000000005</v>
      </c>
      <c r="BK200">
        <f ca="1">IFERROR(IF(0=LEN(ReferenceData!$BK$200),"",ReferenceData!$BK$200),"")</f>
        <v>0.92807101599999997</v>
      </c>
      <c r="BL200">
        <f ca="1">IFERROR(IF(0=LEN(ReferenceData!$BL$200),"",ReferenceData!$BL$200),"")</f>
        <v>1.0277048820000001</v>
      </c>
      <c r="BM200">
        <f ca="1">IFERROR(IF(0=LEN(ReferenceData!$BM$200),"",ReferenceData!$BM$200),"")</f>
        <v>1.1623049299999999</v>
      </c>
    </row>
    <row r="201" spans="1:65" x14ac:dyDescent="0.25">
      <c r="A201" t="str">
        <f>IFERROR(IF(0=LEN(ReferenceData!$A$201),"",ReferenceData!$A$201),"")</f>
        <v xml:space="preserve">    Suzuki Motor Corp</v>
      </c>
      <c r="B201" t="str">
        <f>IFERROR(IF(0=LEN(ReferenceData!$B$201),"",ReferenceData!$B$201),"")</f>
        <v>7269 JP Equity</v>
      </c>
      <c r="C201" t="str">
        <f>IFERROR(IF(0=LEN(ReferenceData!$C$201),"",ReferenceData!$C$201),"")</f>
        <v>RX077</v>
      </c>
      <c r="D201" t="str">
        <f>IFERROR(IF(0=LEN(ReferenceData!$D$201),"",ReferenceData!$D$201),"")</f>
        <v>PX_TO_TANG_BOOK_VAL_PER_SH</v>
      </c>
      <c r="E201" t="str">
        <f>IFERROR(IF(0=LEN(ReferenceData!$E$201),"",ReferenceData!$E$201),"")</f>
        <v>Dynamic</v>
      </c>
      <c r="F201">
        <f ca="1">IFERROR(IF(0=LEN(ReferenceData!$F$201),"",ReferenceData!$F$201),"")</f>
        <v>1.9260783100000001</v>
      </c>
      <c r="G201">
        <f ca="1">IFERROR(IF(0=LEN(ReferenceData!$G$201),"",ReferenceData!$G$201),"")</f>
        <v>1.8557421169999999</v>
      </c>
      <c r="H201">
        <f ca="1">IFERROR(IF(0=LEN(ReferenceData!$H$201),"",ReferenceData!$H$201),"")</f>
        <v>2.1740543200000002</v>
      </c>
      <c r="I201">
        <f ca="1">IFERROR(IF(0=LEN(ReferenceData!$I$201),"",ReferenceData!$I$201),"")</f>
        <v>2.0245737469999998</v>
      </c>
      <c r="J201">
        <f ca="1">IFERROR(IF(0=LEN(ReferenceData!$J$201),"",ReferenceData!$J$201),"")</f>
        <v>1.9543987060000001</v>
      </c>
      <c r="K201">
        <f ca="1">IFERROR(IF(0=LEN(ReferenceData!$K$201),"",ReferenceData!$K$201),"")</f>
        <v>2.204764183</v>
      </c>
      <c r="L201">
        <f ca="1">IFERROR(IF(0=LEN(ReferenceData!$L$201),"",ReferenceData!$L$201),"")</f>
        <v>2.0983573959999999</v>
      </c>
      <c r="M201">
        <f ca="1">IFERROR(IF(0=LEN(ReferenceData!$M$201),"",ReferenceData!$M$201),"")</f>
        <v>1.985259315</v>
      </c>
      <c r="N201">
        <f ca="1">IFERROR(IF(0=LEN(ReferenceData!$N$201),"",ReferenceData!$N$201),"")</f>
        <v>1.8251954340000001</v>
      </c>
      <c r="O201">
        <f ca="1">IFERROR(IF(0=LEN(ReferenceData!$O$201),"",ReferenceData!$O$201),"")</f>
        <v>1.660499395</v>
      </c>
      <c r="P201">
        <f ca="1">IFERROR(IF(0=LEN(ReferenceData!$P$201),"",ReferenceData!$P$201),"")</f>
        <v>1.529994192</v>
      </c>
      <c r="Q201">
        <f ca="1">IFERROR(IF(0=LEN(ReferenceData!$Q$201),"",ReferenceData!$Q$201),"")</f>
        <v>1.3273867909999999</v>
      </c>
      <c r="R201">
        <f ca="1">IFERROR(IF(0=LEN(ReferenceData!$R$201),"",ReferenceData!$R$201),"")</f>
        <v>1.3931690699999999</v>
      </c>
      <c r="S201">
        <f ca="1">IFERROR(IF(0=LEN(ReferenceData!$S$201),"",ReferenceData!$S$201),"")</f>
        <v>1.6163735319999999</v>
      </c>
      <c r="T201">
        <f ca="1">IFERROR(IF(0=LEN(ReferenceData!$T$201),"",ReferenceData!$T$201),"")</f>
        <v>1.651224164</v>
      </c>
      <c r="U201">
        <f ca="1">IFERROR(IF(0=LEN(ReferenceData!$U$201),"",ReferenceData!$U$201),"")</f>
        <v>1.5386952890000001</v>
      </c>
      <c r="V201">
        <f ca="1">IFERROR(IF(0=LEN(ReferenceData!$V$201),"",ReferenceData!$V$201),"")</f>
        <v>1.3727253049999999</v>
      </c>
      <c r="W201">
        <f ca="1">IFERROR(IF(0=LEN(ReferenceData!$W$201),"",ReferenceData!$W$201),"")</f>
        <v>1.403776079</v>
      </c>
      <c r="X201">
        <f ca="1">IFERROR(IF(0=LEN(ReferenceData!$X$201),"",ReferenceData!$X$201),"")</f>
        <v>1.4832163030000001</v>
      </c>
      <c r="Y201">
        <f ca="1">IFERROR(IF(0=LEN(ReferenceData!$Y$201),"",ReferenceData!$Y$201),"")</f>
        <v>1.334866847</v>
      </c>
      <c r="Z201">
        <f ca="1">IFERROR(IF(0=LEN(ReferenceData!$Z$201),"",ReferenceData!$Z$201),"")</f>
        <v>1.1452039169999999</v>
      </c>
      <c r="AA201">
        <f ca="1">IFERROR(IF(0=LEN(ReferenceData!$AA$201),"",ReferenceData!$AA$201),"")</f>
        <v>1.2230627430000001</v>
      </c>
      <c r="AB201">
        <f ca="1">IFERROR(IF(0=LEN(ReferenceData!$AB$201),"",ReferenceData!$AB$201),"")</f>
        <v>1.0780401580000001</v>
      </c>
      <c r="AC201">
        <f ca="1">IFERROR(IF(0=LEN(ReferenceData!$AC$201),"",ReferenceData!$AC$201),"")</f>
        <v>1.0761382349999999</v>
      </c>
      <c r="AD201">
        <f ca="1">IFERROR(IF(0=LEN(ReferenceData!$AD$201),"",ReferenceData!$AD$201),"")</f>
        <v>1.042033067</v>
      </c>
      <c r="AE201">
        <f ca="1">IFERROR(IF(0=LEN(ReferenceData!$AE$201),"",ReferenceData!$AE$201),"")</f>
        <v>1.202188772</v>
      </c>
      <c r="AF201">
        <f ca="1">IFERROR(IF(0=LEN(ReferenceData!$AF$201),"",ReferenceData!$AF$201),"")</f>
        <v>0.85256700399999996</v>
      </c>
      <c r="AG201">
        <f ca="1">IFERROR(IF(0=LEN(ReferenceData!$AG$201),"",ReferenceData!$AG$201),"")</f>
        <v>0.93151401300000003</v>
      </c>
      <c r="AH201">
        <f ca="1">IFERROR(IF(0=LEN(ReferenceData!$AH$201),"",ReferenceData!$AH$201),"")</f>
        <v>1.1303245959999999</v>
      </c>
      <c r="AI201">
        <f ca="1">IFERROR(IF(0=LEN(ReferenceData!$AI$201),"",ReferenceData!$AI$201),"")</f>
        <v>0.95753496299999996</v>
      </c>
      <c r="AJ201">
        <f ca="1">IFERROR(IF(0=LEN(ReferenceData!$AJ$201),"",ReferenceData!$AJ$201),"")</f>
        <v>1.0304470139999999</v>
      </c>
      <c r="AK201">
        <f ca="1">IFERROR(IF(0=LEN(ReferenceData!$AK$201),"",ReferenceData!$AK$201),"")</f>
        <v>1.0259278839999999</v>
      </c>
      <c r="AL201">
        <f ca="1">IFERROR(IF(0=LEN(ReferenceData!$AL$201),"",ReferenceData!$AL$201),"")</f>
        <v>1.0808843050000001</v>
      </c>
      <c r="AM201">
        <f ca="1">IFERROR(IF(0=LEN(ReferenceData!$AM$201),"",ReferenceData!$AM$201),"")</f>
        <v>1.183923026</v>
      </c>
      <c r="AN201">
        <f ca="1">IFERROR(IF(0=LEN(ReferenceData!$AN$201),"",ReferenceData!$AN$201),"")</f>
        <v>1.044443569</v>
      </c>
      <c r="AO201">
        <f ca="1">IFERROR(IF(0=LEN(ReferenceData!$AO$201),"",ReferenceData!$AO$201),"")</f>
        <v>1.0535644500000001</v>
      </c>
      <c r="AP201">
        <f ca="1">IFERROR(IF(0=LEN(ReferenceData!$AP$201),"",ReferenceData!$AP$201),"")</f>
        <v>1.2113224140000001</v>
      </c>
      <c r="AQ201">
        <f ca="1">IFERROR(IF(0=LEN(ReferenceData!$AQ$201),"",ReferenceData!$AQ$201),"")</f>
        <v>1.4624379729999999</v>
      </c>
      <c r="AR201">
        <f ca="1">IFERROR(IF(0=LEN(ReferenceData!$AR$201),"",ReferenceData!$AR$201),"")</f>
        <v>1.3618421190000001</v>
      </c>
      <c r="AS201">
        <f ca="1">IFERROR(IF(0=LEN(ReferenceData!$AS$201),"",ReferenceData!$AS$201),"")</f>
        <v>1.4115917410000001</v>
      </c>
      <c r="AT201">
        <f ca="1">IFERROR(IF(0=LEN(ReferenceData!$AT$201),"",ReferenceData!$AT$201),"")</f>
        <v>1.1115749660000001</v>
      </c>
      <c r="AU201">
        <f ca="1">IFERROR(IF(0=LEN(ReferenceData!$AU$201),"",ReferenceData!$AU$201),"")</f>
        <v>0.81891034699999998</v>
      </c>
      <c r="AV201">
        <f ca="1">IFERROR(IF(0=LEN(ReferenceData!$AV$201),"",ReferenceData!$AV$201),"")</f>
        <v>1.1416395479999999</v>
      </c>
      <c r="AW201">
        <f ca="1">IFERROR(IF(0=LEN(ReferenceData!$AW$201),"",ReferenceData!$AW$201),"")</f>
        <v>1.424508401</v>
      </c>
      <c r="AX201">
        <f ca="1">IFERROR(IF(0=LEN(ReferenceData!$AX$201),"",ReferenceData!$AX$201),"")</f>
        <v>1.4639505049999999</v>
      </c>
      <c r="AY201">
        <f ca="1">IFERROR(IF(0=LEN(ReferenceData!$AY$201),"",ReferenceData!$AY$201),"")</f>
        <v>1.896072185</v>
      </c>
      <c r="AZ201">
        <f ca="1">IFERROR(IF(0=LEN(ReferenceData!$AZ$201),"",ReferenceData!$AZ$201),"")</f>
        <v>1.9271661149999999</v>
      </c>
      <c r="BA201">
        <f ca="1">IFERROR(IF(0=LEN(ReferenceData!$BA$201),"",ReferenceData!$BA$201),"")</f>
        <v>2.0038480170000001</v>
      </c>
      <c r="BB201">
        <f ca="1">IFERROR(IF(0=LEN(ReferenceData!$BB$201),"",ReferenceData!$BB$201),"")</f>
        <v>1.871404166</v>
      </c>
      <c r="BC201">
        <f ca="1">IFERROR(IF(0=LEN(ReferenceData!$BC$201),"",ReferenceData!$BC$201),"")</f>
        <v>2.1815723980000001</v>
      </c>
      <c r="BD201">
        <f ca="1">IFERROR(IF(0=LEN(ReferenceData!$BD$201),"",ReferenceData!$BD$201),"")</f>
        <v>2.053622496</v>
      </c>
      <c r="BE201">
        <f ca="1">IFERROR(IF(0=LEN(ReferenceData!$BE$201),"",ReferenceData!$BE$201),"")</f>
        <v>1.7553268500000001</v>
      </c>
      <c r="BF201">
        <f ca="1">IFERROR(IF(0=LEN(ReferenceData!$BF$201),"",ReferenceData!$BF$201),"")</f>
        <v>1.955067487</v>
      </c>
      <c r="BG201">
        <f ca="1">IFERROR(IF(0=LEN(ReferenceData!$BG$201),"",ReferenceData!$BG$201),"")</f>
        <v>1.4360595199999999</v>
      </c>
      <c r="BH201">
        <f ca="1">IFERROR(IF(0=LEN(ReferenceData!$BH$201),"",ReferenceData!$BH$201),"")</f>
        <v>1.4368109229999999</v>
      </c>
      <c r="BI201">
        <f ca="1">IFERROR(IF(0=LEN(ReferenceData!$BI$201),"",ReferenceData!$BI$201),"")</f>
        <v>1.250361413</v>
      </c>
      <c r="BJ201">
        <f ca="1">IFERROR(IF(0=LEN(ReferenceData!$BJ$201),"",ReferenceData!$BJ$201),"")</f>
        <v>1.3854380070000001</v>
      </c>
      <c r="BK201">
        <f ca="1">IFERROR(IF(0=LEN(ReferenceData!$BK$201),"",ReferenceData!$BK$201),"")</f>
        <v>1.409647807</v>
      </c>
      <c r="BL201">
        <f ca="1">IFERROR(IF(0=LEN(ReferenceData!$BL$201),"",ReferenceData!$BL$201),"")</f>
        <v>1.359868911</v>
      </c>
      <c r="BM201">
        <f ca="1">IFERROR(IF(0=LEN(ReferenceData!$BM$201),"",ReferenceData!$BM$201),"")</f>
        <v>1.508876849</v>
      </c>
    </row>
    <row r="202" spans="1:65" x14ac:dyDescent="0.25">
      <c r="A202" t="str">
        <f>IFERROR(IF(0=LEN(ReferenceData!$A$202),"",ReferenceData!$A$202),"")</f>
        <v xml:space="preserve">    Tata Motors Ltd</v>
      </c>
      <c r="B202" t="str">
        <f>IFERROR(IF(0=LEN(ReferenceData!$B$202),"",ReferenceData!$B$202),"")</f>
        <v>TTMT IN Equity</v>
      </c>
      <c r="C202" t="str">
        <f>IFERROR(IF(0=LEN(ReferenceData!$C$202),"",ReferenceData!$C$202),"")</f>
        <v>RX077</v>
      </c>
      <c r="D202" t="str">
        <f>IFERROR(IF(0=LEN(ReferenceData!$D$202),"",ReferenceData!$D$202),"")</f>
        <v>PX_TO_TANG_BOOK_VAL_PER_SH</v>
      </c>
      <c r="E202" t="str">
        <f>IFERROR(IF(0=LEN(ReferenceData!$E$202),"",ReferenceData!$E$202),"")</f>
        <v>Dynamic</v>
      </c>
      <c r="F202" t="str">
        <f ca="1">IFERROR(IF(0=LEN(ReferenceData!$F$202),"",ReferenceData!$F$202),"")</f>
        <v/>
      </c>
      <c r="G202">
        <f ca="1">IFERROR(IF(0=LEN(ReferenceData!$G$202),"",ReferenceData!$G$202),"")</f>
        <v>3.0894842819999999</v>
      </c>
      <c r="H202">
        <f ca="1">IFERROR(IF(0=LEN(ReferenceData!$H$202),"",ReferenceData!$H$202),"")</f>
        <v>4.0451719859999997</v>
      </c>
      <c r="I202">
        <f ca="1">IFERROR(IF(0=LEN(ReferenceData!$I$202),"",ReferenceData!$I$202),"")</f>
        <v>3.7283848819999998</v>
      </c>
      <c r="J202">
        <f ca="1">IFERROR(IF(0=LEN(ReferenceData!$J$202),"",ReferenceData!$J$202),"")</f>
        <v>4.6273878819999998</v>
      </c>
      <c r="K202">
        <f ca="1">IFERROR(IF(0=LEN(ReferenceData!$K$202),"",ReferenceData!$K$202),"")</f>
        <v>11.13302755</v>
      </c>
      <c r="L202">
        <f ca="1">IFERROR(IF(0=LEN(ReferenceData!$L$202),"",ReferenceData!$L$202),"")</f>
        <v>10.67823832</v>
      </c>
      <c r="M202" t="str">
        <f ca="1">IFERROR(IF(0=LEN(ReferenceData!$M$202),"",ReferenceData!$M$202),"")</f>
        <v/>
      </c>
      <c r="N202" t="str">
        <f ca="1">IFERROR(IF(0=LEN(ReferenceData!$N$202),"",ReferenceData!$N$202),"")</f>
        <v/>
      </c>
      <c r="O202" t="str">
        <f ca="1">IFERROR(IF(0=LEN(ReferenceData!$O$202),"",ReferenceData!$O$202),"")</f>
        <v/>
      </c>
      <c r="P202" t="str">
        <f ca="1">IFERROR(IF(0=LEN(ReferenceData!$P$202),"",ReferenceData!$P$202),"")</f>
        <v/>
      </c>
      <c r="Q202">
        <f ca="1">IFERROR(IF(0=LEN(ReferenceData!$Q$202),"",ReferenceData!$Q$202),"")</f>
        <v>8.7913310520000003</v>
      </c>
      <c r="R202">
        <f ca="1">IFERROR(IF(0=LEN(ReferenceData!$R$202),"",ReferenceData!$R$202),"")</f>
        <v>7.5991695579999998</v>
      </c>
      <c r="S202">
        <f ca="1">IFERROR(IF(0=LEN(ReferenceData!$S$202),"",ReferenceData!$S$202),"")</f>
        <v>1.7594947519999999</v>
      </c>
      <c r="T202">
        <f ca="1">IFERROR(IF(0=LEN(ReferenceData!$T$202),"",ReferenceData!$T$202),"")</f>
        <v>1.335328842</v>
      </c>
      <c r="U202">
        <f ca="1">IFERROR(IF(0=LEN(ReferenceData!$U$202),"",ReferenceData!$U$202),"")</f>
        <v>174.36161920000001</v>
      </c>
      <c r="V202">
        <f ca="1">IFERROR(IF(0=LEN(ReferenceData!$V$202),"",ReferenceData!$V$202),"")</f>
        <v>221.63622599999999</v>
      </c>
      <c r="W202">
        <f ca="1">IFERROR(IF(0=LEN(ReferenceData!$W$202),"",ReferenceData!$W$202),"")</f>
        <v>2.5295933650000002</v>
      </c>
      <c r="X202">
        <f ca="1">IFERROR(IF(0=LEN(ReferenceData!$X$202),"",ReferenceData!$X$202),"")</f>
        <v>2.5726284719999999</v>
      </c>
      <c r="Y202">
        <f ca="1">IFERROR(IF(0=LEN(ReferenceData!$Y$202),"",ReferenceData!$Y$202),"")</f>
        <v>9.8829280910000001</v>
      </c>
      <c r="Z202">
        <f ca="1">IFERROR(IF(0=LEN(ReferenceData!$Z$202),"",ReferenceData!$Z$202),"")</f>
        <v>9.1125923059999998</v>
      </c>
      <c r="AA202">
        <f ca="1">IFERROR(IF(0=LEN(ReferenceData!$AA$202),"",ReferenceData!$AA$202),"")</f>
        <v>2.4051874729999998</v>
      </c>
      <c r="AB202">
        <f ca="1">IFERROR(IF(0=LEN(ReferenceData!$AB$202),"",ReferenceData!$AB$202),"")</f>
        <v>2.133737553</v>
      </c>
      <c r="AC202">
        <f ca="1">IFERROR(IF(0=LEN(ReferenceData!$AC$202),"",ReferenceData!$AC$202),"")</f>
        <v>115.5758488</v>
      </c>
      <c r="AD202">
        <f ca="1">IFERROR(IF(0=LEN(ReferenceData!$AD$202),"",ReferenceData!$AD$202),"")</f>
        <v>115.0841277</v>
      </c>
      <c r="AE202">
        <f ca="1">IFERROR(IF(0=LEN(ReferenceData!$AE$202),"",ReferenceData!$AE$202),"")</f>
        <v>2.739065917</v>
      </c>
      <c r="AF202">
        <f ca="1">IFERROR(IF(0=LEN(ReferenceData!$AF$202),"",ReferenceData!$AF$202),"")</f>
        <v>2.3636093730000001</v>
      </c>
      <c r="AG202">
        <f ca="1">IFERROR(IF(0=LEN(ReferenceData!$AG$202),"",ReferenceData!$AG$202),"")</f>
        <v>28.976462779999999</v>
      </c>
      <c r="AH202">
        <f ca="1">IFERROR(IF(0=LEN(ReferenceData!$AH$202),"",ReferenceData!$AH$202),"")</f>
        <v>33.183987440000003</v>
      </c>
      <c r="AI202" t="str">
        <f ca="1">IFERROR(IF(0=LEN(ReferenceData!$AI$202),"",ReferenceData!$AI$202),"")</f>
        <v/>
      </c>
      <c r="AJ202" t="str">
        <f ca="1">IFERROR(IF(0=LEN(ReferenceData!$AJ$202),"",ReferenceData!$AJ$202),"")</f>
        <v/>
      </c>
      <c r="AK202" t="str">
        <f ca="1">IFERROR(IF(0=LEN(ReferenceData!$AK$202),"",ReferenceData!$AK$202),"")</f>
        <v/>
      </c>
      <c r="AL202" t="str">
        <f ca="1">IFERROR(IF(0=LEN(ReferenceData!$AL$202),"",ReferenceData!$AL$202),"")</f>
        <v/>
      </c>
      <c r="AM202" t="str">
        <f ca="1">IFERROR(IF(0=LEN(ReferenceData!$AM$202),"",ReferenceData!$AM$202),"")</f>
        <v/>
      </c>
      <c r="AN202" t="str">
        <f ca="1">IFERROR(IF(0=LEN(ReferenceData!$AN$202),"",ReferenceData!$AN$202),"")</f>
        <v/>
      </c>
      <c r="AO202" t="str">
        <f ca="1">IFERROR(IF(0=LEN(ReferenceData!$AO$202),"",ReferenceData!$AO$202),"")</f>
        <v/>
      </c>
      <c r="AP202" t="str">
        <f ca="1">IFERROR(IF(0=LEN(ReferenceData!$AP$202),"",ReferenceData!$AP$202),"")</f>
        <v/>
      </c>
      <c r="AQ202" t="str">
        <f ca="1">IFERROR(IF(0=LEN(ReferenceData!$AQ$202),"",ReferenceData!$AQ$202),"")</f>
        <v/>
      </c>
      <c r="AR202" t="str">
        <f ca="1">IFERROR(IF(0=LEN(ReferenceData!$AR$202),"",ReferenceData!$AR$202),"")</f>
        <v/>
      </c>
      <c r="AS202" t="str">
        <f ca="1">IFERROR(IF(0=LEN(ReferenceData!$AS$202),"",ReferenceData!$AS$202),"")</f>
        <v/>
      </c>
      <c r="AT202" t="str">
        <f ca="1">IFERROR(IF(0=LEN(ReferenceData!$AT$202),"",ReferenceData!$AT$202),"")</f>
        <v/>
      </c>
      <c r="AU202" t="str">
        <f ca="1">IFERROR(IF(0=LEN(ReferenceData!$AU$202),"",ReferenceData!$AU$202),"")</f>
        <v/>
      </c>
      <c r="AV202" t="str">
        <f ca="1">IFERROR(IF(0=LEN(ReferenceData!$AV$202),"",ReferenceData!$AV$202),"")</f>
        <v/>
      </c>
      <c r="AW202">
        <f ca="1">IFERROR(IF(0=LEN(ReferenceData!$AW$202),"",ReferenceData!$AW$202),"")</f>
        <v>2.275901459</v>
      </c>
      <c r="AX202">
        <f ca="1">IFERROR(IF(0=LEN(ReferenceData!$AX$202),"",ReferenceData!$AX$202),"")</f>
        <v>3.1893863809999998</v>
      </c>
      <c r="AY202" t="str">
        <f ca="1">IFERROR(IF(0=LEN(ReferenceData!$AY$202),"",ReferenceData!$AY$202),"")</f>
        <v/>
      </c>
      <c r="AZ202" t="str">
        <f ca="1">IFERROR(IF(0=LEN(ReferenceData!$AZ$202),"",ReferenceData!$AZ$202),"")</f>
        <v/>
      </c>
      <c r="BA202" t="str">
        <f ca="1">IFERROR(IF(0=LEN(ReferenceData!$BA$202),"",ReferenceData!$BA$202),"")</f>
        <v/>
      </c>
      <c r="BB202" t="str">
        <f ca="1">IFERROR(IF(0=LEN(ReferenceData!$BB$202),"",ReferenceData!$BB$202),"")</f>
        <v/>
      </c>
      <c r="BC202" t="str">
        <f ca="1">IFERROR(IF(0=LEN(ReferenceData!$BC$202),"",ReferenceData!$BC$202),"")</f>
        <v/>
      </c>
      <c r="BD202" t="str">
        <f ca="1">IFERROR(IF(0=LEN(ReferenceData!$BD$202),"",ReferenceData!$BD$202),"")</f>
        <v/>
      </c>
      <c r="BE202" t="str">
        <f ca="1">IFERROR(IF(0=LEN(ReferenceData!$BE$202),"",ReferenceData!$BE$202),"")</f>
        <v/>
      </c>
      <c r="BF202" t="str">
        <f ca="1">IFERROR(IF(0=LEN(ReferenceData!$BF$202),"",ReferenceData!$BF$202),"")</f>
        <v/>
      </c>
      <c r="BG202" t="str">
        <f ca="1">IFERROR(IF(0=LEN(ReferenceData!$BG$202),"",ReferenceData!$BG$202),"")</f>
        <v/>
      </c>
      <c r="BH202" t="str">
        <f ca="1">IFERROR(IF(0=LEN(ReferenceData!$BH$202),"",ReferenceData!$BH$202),"")</f>
        <v/>
      </c>
      <c r="BI202" t="str">
        <f ca="1">IFERROR(IF(0=LEN(ReferenceData!$BI$202),"",ReferenceData!$BI$202),"")</f>
        <v/>
      </c>
      <c r="BJ202" t="str">
        <f ca="1">IFERROR(IF(0=LEN(ReferenceData!$BJ$202),"",ReferenceData!$BJ$202),"")</f>
        <v/>
      </c>
      <c r="BK202" t="str">
        <f ca="1">IFERROR(IF(0=LEN(ReferenceData!$BK$202),"",ReferenceData!$BK$202),"")</f>
        <v/>
      </c>
      <c r="BL202" t="str">
        <f ca="1">IFERROR(IF(0=LEN(ReferenceData!$BL$202),"",ReferenceData!$BL$202),"")</f>
        <v/>
      </c>
      <c r="BM202" t="str">
        <f ca="1">IFERROR(IF(0=LEN(ReferenceData!$BM$202),"",ReferenceData!$BM$202),"")</f>
        <v/>
      </c>
    </row>
    <row r="203" spans="1:65" x14ac:dyDescent="0.25">
      <c r="A203" t="str">
        <f>IFERROR(IF(0=LEN(ReferenceData!$A$203),"",ReferenceData!$A$203),"")</f>
        <v xml:space="preserve">    Tesla Inc</v>
      </c>
      <c r="B203" t="str">
        <f>IFERROR(IF(0=LEN(ReferenceData!$B$203),"",ReferenceData!$B$203),"")</f>
        <v>TSLA US Equity</v>
      </c>
      <c r="C203" t="str">
        <f>IFERROR(IF(0=LEN(ReferenceData!$C$203),"",ReferenceData!$C$203),"")</f>
        <v>RX077</v>
      </c>
      <c r="D203" t="str">
        <f>IFERROR(IF(0=LEN(ReferenceData!$D$203),"",ReferenceData!$D$203),"")</f>
        <v>PX_TO_TANG_BOOK_VAL_PER_SH</v>
      </c>
      <c r="E203" t="str">
        <f>IFERROR(IF(0=LEN(ReferenceData!$E$203),"",ReferenceData!$E$203),"")</f>
        <v>Dynamic</v>
      </c>
      <c r="F203">
        <f ca="1">IFERROR(IF(0=LEN(ReferenceData!$F$203),"",ReferenceData!$F$203),"")</f>
        <v>11.11629634</v>
      </c>
      <c r="G203">
        <f ca="1">IFERROR(IF(0=LEN(ReferenceData!$G$203),"",ReferenceData!$G$203),"")</f>
        <v>12.562301290000001</v>
      </c>
      <c r="H203">
        <f ca="1">IFERROR(IF(0=LEN(ReferenceData!$H$203),"",ReferenceData!$H$203),"")</f>
        <v>10.94104506</v>
      </c>
      <c r="I203">
        <f ca="1">IFERROR(IF(0=LEN(ReferenceData!$I$203),"",ReferenceData!$I$203),"")</f>
        <v>16.51126588</v>
      </c>
      <c r="J203">
        <f ca="1">IFERROR(IF(0=LEN(ReferenceData!$J$203),"",ReferenceData!$J$203),"")</f>
        <v>11.17381526</v>
      </c>
      <c r="K203">
        <f ca="1">IFERROR(IF(0=LEN(ReferenceData!$K$203),"",ReferenceData!$K$203),"")</f>
        <v>13.77380172</v>
      </c>
      <c r="L203">
        <f ca="1">IFERROR(IF(0=LEN(ReferenceData!$L$203),"",ReferenceData!$L$203),"")</f>
        <v>13.345541280000001</v>
      </c>
      <c r="M203">
        <f ca="1">IFERROR(IF(0=LEN(ReferenceData!$M$203),"",ReferenceData!$M$203),"")</f>
        <v>12.885235659999999</v>
      </c>
      <c r="N203">
        <f ca="1">IFERROR(IF(0=LEN(ReferenceData!$N$203),"",ReferenceData!$N$203),"")</f>
        <v>10.00717158</v>
      </c>
      <c r="O203">
        <f ca="1">IFERROR(IF(0=LEN(ReferenceData!$O$203),"",ReferenceData!$O$203),"")</f>
        <v>7.8722098919999999</v>
      </c>
      <c r="P203" t="str">
        <f ca="1">IFERROR(IF(0=LEN(ReferenceData!$P$203),"",ReferenceData!$P$203),"")</f>
        <v/>
      </c>
      <c r="Q203" t="str">
        <f ca="1">IFERROR(IF(0=LEN(ReferenceData!$Q$203),"",ReferenceData!$Q$203),"")</f>
        <v/>
      </c>
      <c r="R203">
        <f ca="1">IFERROR(IF(0=LEN(ReferenceData!$R$203),"",ReferenceData!$R$203),"")</f>
        <v>26.667625000000001</v>
      </c>
      <c r="S203">
        <f ca="1">IFERROR(IF(0=LEN(ReferenceData!$S$203),"",ReferenceData!$S$203),"")</f>
        <v>28.209690500000001</v>
      </c>
      <c r="T203" t="str">
        <f ca="1">IFERROR(IF(0=LEN(ReferenceData!$T$203),"",ReferenceData!$T$203),"")</f>
        <v/>
      </c>
      <c r="U203" t="str">
        <f ca="1">IFERROR(IF(0=LEN(ReferenceData!$U$203),"",ReferenceData!$U$203),"")</f>
        <v/>
      </c>
      <c r="V203">
        <f ca="1">IFERROR(IF(0=LEN(ReferenceData!$V$203),"",ReferenceData!$V$203),"")</f>
        <v>26.271826860000001</v>
      </c>
      <c r="W203">
        <f ca="1">IFERROR(IF(0=LEN(ReferenceData!$W$203),"",ReferenceData!$W$203),"")</f>
        <v>30.661263640000001</v>
      </c>
      <c r="X203" t="str">
        <f ca="1">IFERROR(IF(0=LEN(ReferenceData!$X$203),"",ReferenceData!$X$203),"")</f>
        <v/>
      </c>
      <c r="Y203" t="str">
        <f ca="1">IFERROR(IF(0=LEN(ReferenceData!$Y$203),"",ReferenceData!$Y$203),"")</f>
        <v/>
      </c>
      <c r="Z203">
        <f ca="1">IFERROR(IF(0=LEN(ReferenceData!$Z$203),"",ReferenceData!$Z$203),"")</f>
        <v>39.184604790000002</v>
      </c>
      <c r="AA203">
        <f ca="1">IFERROR(IF(0=LEN(ReferenceData!$AA$203),"",ReferenceData!$AA$203),"")</f>
        <v>27.75580785</v>
      </c>
      <c r="AB203" t="str">
        <f ca="1">IFERROR(IF(0=LEN(ReferenceData!$AB$203),"",ReferenceData!$AB$203),"")</f>
        <v/>
      </c>
      <c r="AC203" t="str">
        <f ca="1">IFERROR(IF(0=LEN(ReferenceData!$AC$203),"",ReferenceData!$AC$203),"")</f>
        <v/>
      </c>
      <c r="AD203">
        <f ca="1">IFERROR(IF(0=LEN(ReferenceData!$AD$203),"",ReferenceData!$AD$203),"")</f>
        <v>34.95121649</v>
      </c>
      <c r="AE203">
        <f ca="1">IFERROR(IF(0=LEN(ReferenceData!$AE$203),"",ReferenceData!$AE$203),"")</f>
        <v>31.021952370000001</v>
      </c>
      <c r="AF203" t="str">
        <f ca="1">IFERROR(IF(0=LEN(ReferenceData!$AF$203),"",ReferenceData!$AF$203),"")</f>
        <v/>
      </c>
      <c r="AG203" t="str">
        <f ca="1">IFERROR(IF(0=LEN(ReferenceData!$AG$203),"",ReferenceData!$AG$203),"")</f>
        <v/>
      </c>
      <c r="AH203">
        <f ca="1">IFERROR(IF(0=LEN(ReferenceData!$AH$203),"",ReferenceData!$AH$203),"")</f>
        <v>17.416663109999998</v>
      </c>
      <c r="AI203">
        <f ca="1">IFERROR(IF(0=LEN(ReferenceData!$AI$203),"",ReferenceData!$AI$203),"")</f>
        <v>13.324937</v>
      </c>
      <c r="AJ203" t="str">
        <f ca="1">IFERROR(IF(0=LEN(ReferenceData!$AJ$203),"",ReferenceData!$AJ$203),"")</f>
        <v/>
      </c>
      <c r="AK203" t="str">
        <f ca="1">IFERROR(IF(0=LEN(ReferenceData!$AK$203),"",ReferenceData!$AK$203),"")</f>
        <v/>
      </c>
      <c r="AL203">
        <f ca="1">IFERROR(IF(0=LEN(ReferenceData!$AL$203),"",ReferenceData!$AL$203),"")</f>
        <v>10.86838536</v>
      </c>
      <c r="AM203">
        <f ca="1">IFERROR(IF(0=LEN(ReferenceData!$AM$203),"",ReferenceData!$AM$203),"")</f>
        <v>12.20687905</v>
      </c>
      <c r="AN203" t="str">
        <f ca="1">IFERROR(IF(0=LEN(ReferenceData!$AN$203),"",ReferenceData!$AN$203),"")</f>
        <v/>
      </c>
      <c r="AO203" t="str">
        <f ca="1">IFERROR(IF(0=LEN(ReferenceData!$AO$203),"",ReferenceData!$AO$203),"")</f>
        <v/>
      </c>
      <c r="AP203" t="str">
        <f ca="1">IFERROR(IF(0=LEN(ReferenceData!$AP$203),"",ReferenceData!$AP$203),"")</f>
        <v/>
      </c>
      <c r="AQ203" t="str">
        <f ca="1">IFERROR(IF(0=LEN(ReferenceData!$AQ$203),"",ReferenceData!$AQ$203),"")</f>
        <v/>
      </c>
      <c r="AR203" t="str">
        <f ca="1">IFERROR(IF(0=LEN(ReferenceData!$AR$203),"",ReferenceData!$AR$203),"")</f>
        <v/>
      </c>
      <c r="AS203" t="str">
        <f ca="1">IFERROR(IF(0=LEN(ReferenceData!$AS$203),"",ReferenceData!$AS$203),"")</f>
        <v/>
      </c>
      <c r="AT203" t="str">
        <f ca="1">IFERROR(IF(0=LEN(ReferenceData!$AT$203),"",ReferenceData!$AT$203),"")</f>
        <v/>
      </c>
      <c r="AU203" t="str">
        <f ca="1">IFERROR(IF(0=LEN(ReferenceData!$AU$203),"",ReferenceData!$AU$203),"")</f>
        <v/>
      </c>
      <c r="AV203" t="str">
        <f ca="1">IFERROR(IF(0=LEN(ReferenceData!$AV$203),"",ReferenceData!$AV$203),"")</f>
        <v/>
      </c>
      <c r="AW203" t="str">
        <f ca="1">IFERROR(IF(0=LEN(ReferenceData!$AW$203),"",ReferenceData!$AW$203),"")</f>
        <v/>
      </c>
      <c r="AX203" t="str">
        <f ca="1">IFERROR(IF(0=LEN(ReferenceData!$AX$203),"",ReferenceData!$AX$203),"")</f>
        <v/>
      </c>
      <c r="AY203" t="str">
        <f ca="1">IFERROR(IF(0=LEN(ReferenceData!$AY$203),"",ReferenceData!$AY$203),"")</f>
        <v/>
      </c>
      <c r="AZ203" t="str">
        <f ca="1">IFERROR(IF(0=LEN(ReferenceData!$AZ$203),"",ReferenceData!$AZ$203),"")</f>
        <v/>
      </c>
      <c r="BA203" t="str">
        <f ca="1">IFERROR(IF(0=LEN(ReferenceData!$BA$203),"",ReferenceData!$BA$203),"")</f>
        <v/>
      </c>
      <c r="BB203" t="str">
        <f ca="1">IFERROR(IF(0=LEN(ReferenceData!$BB$203),"",ReferenceData!$BB$203),"")</f>
        <v/>
      </c>
      <c r="BC203" t="str">
        <f ca="1">IFERROR(IF(0=LEN(ReferenceData!$BC$203),"",ReferenceData!$BC$203),"")</f>
        <v/>
      </c>
      <c r="BD203" t="str">
        <f ca="1">IFERROR(IF(0=LEN(ReferenceData!$BD$203),"",ReferenceData!$BD$203),"")</f>
        <v/>
      </c>
      <c r="BE203" t="str">
        <f ca="1">IFERROR(IF(0=LEN(ReferenceData!$BE$203),"",ReferenceData!$BE$203),"")</f>
        <v/>
      </c>
      <c r="BF203" t="str">
        <f ca="1">IFERROR(IF(0=LEN(ReferenceData!$BF$203),"",ReferenceData!$BF$203),"")</f>
        <v/>
      </c>
      <c r="BG203" t="str">
        <f ca="1">IFERROR(IF(0=LEN(ReferenceData!$BG$203),"",ReferenceData!$BG$203),"")</f>
        <v/>
      </c>
      <c r="BH203" t="str">
        <f ca="1">IFERROR(IF(0=LEN(ReferenceData!$BH$203),"",ReferenceData!$BH$203),"")</f>
        <v/>
      </c>
      <c r="BI203" t="str">
        <f ca="1">IFERROR(IF(0=LEN(ReferenceData!$BI$203),"",ReferenceData!$BI$203),"")</f>
        <v/>
      </c>
      <c r="BJ203" t="str">
        <f ca="1">IFERROR(IF(0=LEN(ReferenceData!$BJ$203),"",ReferenceData!$BJ$203),"")</f>
        <v/>
      </c>
      <c r="BK203" t="str">
        <f ca="1">IFERROR(IF(0=LEN(ReferenceData!$BK$203),"",ReferenceData!$BK$203),"")</f>
        <v/>
      </c>
      <c r="BL203" t="str">
        <f ca="1">IFERROR(IF(0=LEN(ReferenceData!$BL$203),"",ReferenceData!$BL$203),"")</f>
        <v/>
      </c>
      <c r="BM203" t="str">
        <f ca="1">IFERROR(IF(0=LEN(ReferenceData!$BM$203),"",ReferenceData!$BM$203),"")</f>
        <v/>
      </c>
    </row>
    <row r="204" spans="1:65" x14ac:dyDescent="0.25">
      <c r="A204" t="str">
        <f>IFERROR(IF(0=LEN(ReferenceData!$A$204),"",ReferenceData!$A$204),"")</f>
        <v xml:space="preserve">    Tianjin Faw Xiali Automobile Co Ltd</v>
      </c>
      <c r="B204" t="str">
        <f>IFERROR(IF(0=LEN(ReferenceData!$B$204),"",ReferenceData!$B$204),"")</f>
        <v>000927 CH Equity</v>
      </c>
      <c r="C204" t="str">
        <f>IFERROR(IF(0=LEN(ReferenceData!$C$204),"",ReferenceData!$C$204),"")</f>
        <v>RX077</v>
      </c>
      <c r="D204" t="str">
        <f>IFERROR(IF(0=LEN(ReferenceData!$D$204),"",ReferenceData!$D$204),"")</f>
        <v>PX_TO_TANG_BOOK_VAL_PER_SH</v>
      </c>
      <c r="E204" t="str">
        <f>IFERROR(IF(0=LEN(ReferenceData!$E$204),"",ReferenceData!$E$204),"")</f>
        <v>Dynamic</v>
      </c>
      <c r="F204" t="str">
        <f ca="1">IFERROR(IF(0=LEN(ReferenceData!$F$204),"",ReferenceData!$F$204),"")</f>
        <v/>
      </c>
      <c r="G204" t="str">
        <f ca="1">IFERROR(IF(0=LEN(ReferenceData!$G$204),"",ReferenceData!$G$204),"")</f>
        <v/>
      </c>
      <c r="H204" t="str">
        <f ca="1">IFERROR(IF(0=LEN(ReferenceData!$H$204),"",ReferenceData!$H$204),"")</f>
        <v/>
      </c>
      <c r="I204" t="str">
        <f ca="1">IFERROR(IF(0=LEN(ReferenceData!$I$204),"",ReferenceData!$I$204),"")</f>
        <v/>
      </c>
      <c r="J204">
        <f ca="1">IFERROR(IF(0=LEN(ReferenceData!$J$204),"",ReferenceData!$J$204),"")</f>
        <v>112.2988161</v>
      </c>
      <c r="K204">
        <f ca="1">IFERROR(IF(0=LEN(ReferenceData!$K$204),"",ReferenceData!$K$204),"")</f>
        <v>127.0310865</v>
      </c>
      <c r="L204">
        <f ca="1">IFERROR(IF(0=LEN(ReferenceData!$L$204),"",ReferenceData!$L$204),"")</f>
        <v>23.361613340000002</v>
      </c>
      <c r="M204">
        <f ca="1">IFERROR(IF(0=LEN(ReferenceData!$M$204),"",ReferenceData!$M$204),"")</f>
        <v>8.3083118650000003</v>
      </c>
      <c r="N204">
        <f ca="1">IFERROR(IF(0=LEN(ReferenceData!$N$204),"",ReferenceData!$N$204),"")</f>
        <v>9.8881599130000009</v>
      </c>
      <c r="O204">
        <f ca="1">IFERROR(IF(0=LEN(ReferenceData!$O$204),"",ReferenceData!$O$204),"")</f>
        <v>5.6590174610000004</v>
      </c>
      <c r="P204">
        <f ca="1">IFERROR(IF(0=LEN(ReferenceData!$P$204),"",ReferenceData!$P$204),"")</f>
        <v>15.042976510000001</v>
      </c>
      <c r="Q204">
        <f ca="1">IFERROR(IF(0=LEN(ReferenceData!$Q$204),"",ReferenceData!$Q$204),"")</f>
        <v>8.3232785239999991</v>
      </c>
      <c r="R204">
        <f ca="1">IFERROR(IF(0=LEN(ReferenceData!$R$204),"",ReferenceData!$R$204),"")</f>
        <v>8.8843419729999997</v>
      </c>
      <c r="S204">
        <f ca="1">IFERROR(IF(0=LEN(ReferenceData!$S$204),"",ReferenceData!$S$204),"")</f>
        <v>7.7271418799999996</v>
      </c>
      <c r="T204">
        <f ca="1">IFERROR(IF(0=LEN(ReferenceData!$T$204),"",ReferenceData!$T$204),"")</f>
        <v>12.40491952</v>
      </c>
      <c r="U204">
        <f ca="1">IFERROR(IF(0=LEN(ReferenceData!$U$204),"",ReferenceData!$U$204),"")</f>
        <v>18.578530619999999</v>
      </c>
      <c r="V204">
        <f ca="1">IFERROR(IF(0=LEN(ReferenceData!$V$204),"",ReferenceData!$V$204),"")</f>
        <v>16.12610492</v>
      </c>
      <c r="W204">
        <f ca="1">IFERROR(IF(0=LEN(ReferenceData!$W$204),"",ReferenceData!$W$204),"")</f>
        <v>7.8359859260000002</v>
      </c>
      <c r="X204">
        <f ca="1">IFERROR(IF(0=LEN(ReferenceData!$X$204),"",ReferenceData!$X$204),"")</f>
        <v>3.882971054</v>
      </c>
      <c r="Y204">
        <f ca="1">IFERROR(IF(0=LEN(ReferenceData!$Y$204),"",ReferenceData!$Y$204),"")</f>
        <v>2.2483388889999998</v>
      </c>
      <c r="Z204">
        <f ca="1">IFERROR(IF(0=LEN(ReferenceData!$Z$204),"",ReferenceData!$Z$204),"")</f>
        <v>2.4196432689999998</v>
      </c>
      <c r="AA204">
        <f ca="1">IFERROR(IF(0=LEN(ReferenceData!$AA$204),"",ReferenceData!$AA$204),"")</f>
        <v>1.9141166380000001</v>
      </c>
      <c r="AB204">
        <f ca="1">IFERROR(IF(0=LEN(ReferenceData!$AB$204),"",ReferenceData!$AB$204),"")</f>
        <v>1.921663157</v>
      </c>
      <c r="AC204">
        <f ca="1">IFERROR(IF(0=LEN(ReferenceData!$AC$204),"",ReferenceData!$AC$204),"")</f>
        <v>1.6401565890000001</v>
      </c>
      <c r="AD204">
        <f ca="1">IFERROR(IF(0=LEN(ReferenceData!$AD$204),"",ReferenceData!$AD$204),"")</f>
        <v>2.2124570029999999</v>
      </c>
      <c r="AE204">
        <f ca="1">IFERROR(IF(0=LEN(ReferenceData!$AE$204),"",ReferenceData!$AE$204),"")</f>
        <v>2.2512197020000002</v>
      </c>
      <c r="AF204">
        <f ca="1">IFERROR(IF(0=LEN(ReferenceData!$AF$204),"",ReferenceData!$AF$204),"")</f>
        <v>2.314063247</v>
      </c>
      <c r="AG204">
        <f ca="1">IFERROR(IF(0=LEN(ReferenceData!$AG$204),"",ReferenceData!$AG$204),"")</f>
        <v>3.2076362970000001</v>
      </c>
      <c r="AH204">
        <f ca="1">IFERROR(IF(0=LEN(ReferenceData!$AH$204),"",ReferenceData!$AH$204),"")</f>
        <v>3.1341516519999999</v>
      </c>
      <c r="AI204">
        <f ca="1">IFERROR(IF(0=LEN(ReferenceData!$AI$204),"",ReferenceData!$AI$204),"")</f>
        <v>2.6946085270000002</v>
      </c>
      <c r="AJ204">
        <f ca="1">IFERROR(IF(0=LEN(ReferenceData!$AJ$204),"",ReferenceData!$AJ$204),"")</f>
        <v>3.5103484200000001</v>
      </c>
      <c r="AK204">
        <f ca="1">IFERROR(IF(0=LEN(ReferenceData!$AK$204),"",ReferenceData!$AK$204),"")</f>
        <v>3.140665292</v>
      </c>
      <c r="AL204">
        <f ca="1">IFERROR(IF(0=LEN(ReferenceData!$AL$204),"",ReferenceData!$AL$204),"")</f>
        <v>3.763477687</v>
      </c>
      <c r="AM204">
        <f ca="1">IFERROR(IF(0=LEN(ReferenceData!$AM$204),"",ReferenceData!$AM$204),"")</f>
        <v>3.6089137870000001</v>
      </c>
      <c r="AN204">
        <f ca="1">IFERROR(IF(0=LEN(ReferenceData!$AN$204),"",ReferenceData!$AN$204),"")</f>
        <v>3.856928956</v>
      </c>
      <c r="AO204">
        <f ca="1">IFERROR(IF(0=LEN(ReferenceData!$AO$204),"",ReferenceData!$AO$204),"")</f>
        <v>3.403890493</v>
      </c>
      <c r="AP204">
        <f ca="1">IFERROR(IF(0=LEN(ReferenceData!$AP$204),"",ReferenceData!$AP$204),"")</f>
        <v>4.7662459549999996</v>
      </c>
      <c r="AQ204">
        <f ca="1">IFERROR(IF(0=LEN(ReferenceData!$AQ$204),"",ReferenceData!$AQ$204),"")</f>
        <v>5.5663586709999997</v>
      </c>
      <c r="AR204">
        <f ca="1">IFERROR(IF(0=LEN(ReferenceData!$AR$204),"",ReferenceData!$AR$204),"")</f>
        <v>3.6179467710000002</v>
      </c>
      <c r="AS204">
        <f ca="1">IFERROR(IF(0=LEN(ReferenceData!$AS$204),"",ReferenceData!$AS$204),"")</f>
        <v>3.3619734920000002</v>
      </c>
      <c r="AT204">
        <f ca="1">IFERROR(IF(0=LEN(ReferenceData!$AT$204),"",ReferenceData!$AT$204),"")</f>
        <v>2.7335322400000002</v>
      </c>
      <c r="AU204">
        <f ca="1">IFERROR(IF(0=LEN(ReferenceData!$AU$204),"",ReferenceData!$AU$204),"")</f>
        <v>1.853106795</v>
      </c>
      <c r="AV204">
        <f ca="1">IFERROR(IF(0=LEN(ReferenceData!$AV$204),"",ReferenceData!$AV$204),"")</f>
        <v>1.915648432</v>
      </c>
      <c r="AW204">
        <f ca="1">IFERROR(IF(0=LEN(ReferenceData!$AW$204),"",ReferenceData!$AW$204),"")</f>
        <v>2.0403347859999998</v>
      </c>
      <c r="AX204">
        <f ca="1">IFERROR(IF(0=LEN(ReferenceData!$AX$204),"",ReferenceData!$AX$204),"")</f>
        <v>4.16638515</v>
      </c>
      <c r="AY204">
        <f ca="1">IFERROR(IF(0=LEN(ReferenceData!$AY$204),"",ReferenceData!$AY$204),"")</f>
        <v>7.0939015220000003</v>
      </c>
      <c r="AZ204">
        <f ca="1">IFERROR(IF(0=LEN(ReferenceData!$AZ$204),"",ReferenceData!$AZ$204),"")</f>
        <v>9.2226728869999999</v>
      </c>
      <c r="BA204">
        <f ca="1">IFERROR(IF(0=LEN(ReferenceData!$BA$204),"",ReferenceData!$BA$204),"")</f>
        <v>4.6106755799999997</v>
      </c>
      <c r="BB204">
        <f ca="1">IFERROR(IF(0=LEN(ReferenceData!$BB$204),"",ReferenceData!$BB$204),"")</f>
        <v>5.5151621769999997</v>
      </c>
      <c r="BC204">
        <f ca="1">IFERROR(IF(0=LEN(ReferenceData!$BC$204),"",ReferenceData!$BC$204),"")</f>
        <v>2.974125098</v>
      </c>
      <c r="BD204">
        <f ca="1">IFERROR(IF(0=LEN(ReferenceData!$BD$204),"",ReferenceData!$BD$204),"")</f>
        <v>2.0967857830000001</v>
      </c>
      <c r="BE204">
        <f ca="1">IFERROR(IF(0=LEN(ReferenceData!$BE$204),"",ReferenceData!$BE$204),"")</f>
        <v>3.3036996049999998</v>
      </c>
      <c r="BF204">
        <f ca="1">IFERROR(IF(0=LEN(ReferenceData!$BF$204),"",ReferenceData!$BF$204),"")</f>
        <v>2.7415954409999999</v>
      </c>
      <c r="BG204">
        <f ca="1">IFERROR(IF(0=LEN(ReferenceData!$BG$204),"",ReferenceData!$BG$204),"")</f>
        <v>2.176024634</v>
      </c>
      <c r="BH204">
        <f ca="1">IFERROR(IF(0=LEN(ReferenceData!$BH$204),"",ReferenceData!$BH$204),"")</f>
        <v>2.368351943</v>
      </c>
      <c r="BI204" t="str">
        <f ca="1">IFERROR(IF(0=LEN(ReferenceData!$BI$204),"",ReferenceData!$BI$204),"")</f>
        <v/>
      </c>
      <c r="BJ204">
        <f ca="1">IFERROR(IF(0=LEN(ReferenceData!$BJ$204),"",ReferenceData!$BJ$204),"")</f>
        <v>1.3652357020000001</v>
      </c>
      <c r="BK204">
        <f ca="1">IFERROR(IF(0=LEN(ReferenceData!$BK$204),"",ReferenceData!$BK$204),"")</f>
        <v>1.6134603750000001</v>
      </c>
      <c r="BL204">
        <f ca="1">IFERROR(IF(0=LEN(ReferenceData!$BL$204),"",ReferenceData!$BL$204),"")</f>
        <v>2.5529736349999999</v>
      </c>
      <c r="BM204" t="str">
        <f ca="1">IFERROR(IF(0=LEN(ReferenceData!$BM$204),"",ReferenceData!$BM$204),"")</f>
        <v/>
      </c>
    </row>
    <row r="205" spans="1:65" x14ac:dyDescent="0.25">
      <c r="A205" t="str">
        <f>IFERROR(IF(0=LEN(ReferenceData!$A$205),"",ReferenceData!$A$205),"")</f>
        <v xml:space="preserve">    Tofas Turk Otomobil Fabrikasi AS</v>
      </c>
      <c r="B205" t="str">
        <f>IFERROR(IF(0=LEN(ReferenceData!$B$205),"",ReferenceData!$B$205),"")</f>
        <v>TOASOTRY EO Equity</v>
      </c>
      <c r="C205" t="str">
        <f>IFERROR(IF(0=LEN(ReferenceData!$C$205),"",ReferenceData!$C$205),"")</f>
        <v>RX077</v>
      </c>
      <c r="D205" t="str">
        <f>IFERROR(IF(0=LEN(ReferenceData!$D$205),"",ReferenceData!$D$205),"")</f>
        <v>PX_TO_TANG_BOOK_VAL_PER_SH</v>
      </c>
      <c r="E205" t="str">
        <f>IFERROR(IF(0=LEN(ReferenceData!$E$205),"",ReferenceData!$E$205),"")</f>
        <v>Dynamic</v>
      </c>
      <c r="F205">
        <f ca="1">IFERROR(IF(0=LEN(ReferenceData!$F$205),"",ReferenceData!$F$205),"")</f>
        <v>4.7012496859999997</v>
      </c>
      <c r="G205">
        <f ca="1">IFERROR(IF(0=LEN(ReferenceData!$G$205),"",ReferenceData!$G$205),"")</f>
        <v>3.9725559850000001</v>
      </c>
      <c r="H205">
        <f ca="1">IFERROR(IF(0=LEN(ReferenceData!$H$205),"",ReferenceData!$H$205),"")</f>
        <v>7.8039621349999999</v>
      </c>
      <c r="I205">
        <f ca="1">IFERROR(IF(0=LEN(ReferenceData!$I$205),"",ReferenceData!$I$205),"")</f>
        <v>7.4986910020000002</v>
      </c>
      <c r="J205">
        <f ca="1">IFERROR(IF(0=LEN(ReferenceData!$J$205),"",ReferenceData!$J$205),"")</f>
        <v>10.183989739999999</v>
      </c>
      <c r="K205">
        <f ca="1">IFERROR(IF(0=LEN(ReferenceData!$K$205),"",ReferenceData!$K$205),"")</f>
        <v>8.7857843770000006</v>
      </c>
      <c r="L205">
        <f ca="1">IFERROR(IF(0=LEN(ReferenceData!$L$205),"",ReferenceData!$L$205),"")</f>
        <v>9.9373956939999992</v>
      </c>
      <c r="M205">
        <f ca="1">IFERROR(IF(0=LEN(ReferenceData!$M$205),"",ReferenceData!$M$205),"")</f>
        <v>11.02766379</v>
      </c>
      <c r="N205">
        <f ca="1">IFERROR(IF(0=LEN(ReferenceData!$N$205),"",ReferenceData!$N$205),"")</f>
        <v>13.381708059999999</v>
      </c>
      <c r="O205">
        <f ca="1">IFERROR(IF(0=LEN(ReferenceData!$O$205),"",ReferenceData!$O$205),"")</f>
        <v>10.37690398</v>
      </c>
      <c r="P205">
        <f ca="1">IFERROR(IF(0=LEN(ReferenceData!$P$205),"",ReferenceData!$P$205),"")</f>
        <v>9.2369752320000007</v>
      </c>
      <c r="Q205">
        <f ca="1">IFERROR(IF(0=LEN(ReferenceData!$Q$205),"",ReferenceData!$Q$205),"")</f>
        <v>10.6922944</v>
      </c>
      <c r="R205">
        <f ca="1">IFERROR(IF(0=LEN(ReferenceData!$R$205),"",ReferenceData!$R$205),"")</f>
        <v>13.75487678</v>
      </c>
      <c r="S205">
        <f ca="1">IFERROR(IF(0=LEN(ReferenceData!$S$205),"",ReferenceData!$S$205),"")</f>
        <v>7.2979039029999999</v>
      </c>
      <c r="T205">
        <f ca="1">IFERROR(IF(0=LEN(ReferenceData!$T$205),"",ReferenceData!$T$205),"")</f>
        <v>7.7794333450000002</v>
      </c>
      <c r="U205">
        <f ca="1">IFERROR(IF(0=LEN(ReferenceData!$U$205),"",ReferenceData!$U$205),"")</f>
        <v>7.8626958480000004</v>
      </c>
      <c r="V205">
        <f ca="1">IFERROR(IF(0=LEN(ReferenceData!$V$205),"",ReferenceData!$V$205),"")</f>
        <v>7.7247080800000001</v>
      </c>
      <c r="W205">
        <f ca="1">IFERROR(IF(0=LEN(ReferenceData!$W$205),"",ReferenceData!$W$205),"")</f>
        <v>5.9229122759999999</v>
      </c>
      <c r="X205">
        <f ca="1">IFERROR(IF(0=LEN(ReferenceData!$X$205),"",ReferenceData!$X$205),"")</f>
        <v>4.5379031909999998</v>
      </c>
      <c r="Y205">
        <f ca="1">IFERROR(IF(0=LEN(ReferenceData!$Y$205),"",ReferenceData!$Y$205),"")</f>
        <v>5.1347450820000002</v>
      </c>
      <c r="Z205">
        <f ca="1">IFERROR(IF(0=LEN(ReferenceData!$Z$205),"",ReferenceData!$Z$205),"")</f>
        <v>5.5739314340000004</v>
      </c>
      <c r="AA205">
        <f ca="1">IFERROR(IF(0=LEN(ReferenceData!$AA$205),"",ReferenceData!$AA$205),"")</f>
        <v>5.2510018049999996</v>
      </c>
      <c r="AB205">
        <f ca="1">IFERROR(IF(0=LEN(ReferenceData!$AB$205),"",ReferenceData!$AB$205),"")</f>
        <v>5.2450996700000001</v>
      </c>
      <c r="AC205">
        <f ca="1">IFERROR(IF(0=LEN(ReferenceData!$AC$205),"",ReferenceData!$AC$205),"")</f>
        <v>5.445953544</v>
      </c>
      <c r="AD205">
        <f ca="1">IFERROR(IF(0=LEN(ReferenceData!$AD$205),"",ReferenceData!$AD$205),"")</f>
        <v>6.26110086</v>
      </c>
      <c r="AE205">
        <f ca="1">IFERROR(IF(0=LEN(ReferenceData!$AE$205),"",ReferenceData!$AE$205),"")</f>
        <v>3.7916170789999999</v>
      </c>
      <c r="AF205">
        <f ca="1">IFERROR(IF(0=LEN(ReferenceData!$AF$205),"",ReferenceData!$AF$205),"")</f>
        <v>3.8111451650000001</v>
      </c>
      <c r="AG205">
        <f ca="1">IFERROR(IF(0=LEN(ReferenceData!$AG$205),"",ReferenceData!$AG$205),"")</f>
        <v>3.6168156699999998</v>
      </c>
      <c r="AH205">
        <f ca="1">IFERROR(IF(0=LEN(ReferenceData!$AH$205),"",ReferenceData!$AH$205),"")</f>
        <v>4.2332439649999998</v>
      </c>
      <c r="AI205">
        <f ca="1">IFERROR(IF(0=LEN(ReferenceData!$AI$205),"",ReferenceData!$AI$205),"")</f>
        <v>2.939076713</v>
      </c>
      <c r="AJ205">
        <f ca="1">IFERROR(IF(0=LEN(ReferenceData!$AJ$205),"",ReferenceData!$AJ$205),"")</f>
        <v>4.2428765679999998</v>
      </c>
      <c r="AK205">
        <f ca="1">IFERROR(IF(0=LEN(ReferenceData!$AK$205),"",ReferenceData!$AK$205),"")</f>
        <v>5.1463081500000003</v>
      </c>
      <c r="AL205">
        <f ca="1">IFERROR(IF(0=LEN(ReferenceData!$AL$205),"",ReferenceData!$AL$205),"")</f>
        <v>6.6744330940000003</v>
      </c>
      <c r="AM205">
        <f ca="1">IFERROR(IF(0=LEN(ReferenceData!$AM$205),"",ReferenceData!$AM$205),"")</f>
        <v>4.7430132909999996</v>
      </c>
      <c r="AN205">
        <f ca="1">IFERROR(IF(0=LEN(ReferenceData!$AN$205),"",ReferenceData!$AN$205),"")</f>
        <v>4.8210986709999997</v>
      </c>
      <c r="AO205">
        <f ca="1">IFERROR(IF(0=LEN(ReferenceData!$AO$205),"",ReferenceData!$AO$205),"")</f>
        <v>3.8280442520000002</v>
      </c>
      <c r="AP205">
        <f ca="1">IFERROR(IF(0=LEN(ReferenceData!$AP$205),"",ReferenceData!$AP$205),"")</f>
        <v>4.3670062720000002</v>
      </c>
      <c r="AQ205">
        <f ca="1">IFERROR(IF(0=LEN(ReferenceData!$AQ$205),"",ReferenceData!$AQ$205),"")</f>
        <v>4.0915395280000002</v>
      </c>
      <c r="AR205">
        <f ca="1">IFERROR(IF(0=LEN(ReferenceData!$AR$205),"",ReferenceData!$AR$205),"")</f>
        <v>3.3158865870000001</v>
      </c>
      <c r="AS205">
        <f ca="1">IFERROR(IF(0=LEN(ReferenceData!$AS$205),"",ReferenceData!$AS$205),"")</f>
        <v>3.50380877</v>
      </c>
      <c r="AT205">
        <f ca="1">IFERROR(IF(0=LEN(ReferenceData!$AT$205),"",ReferenceData!$AT$205),"")</f>
        <v>2.0745708760000001</v>
      </c>
      <c r="AU205">
        <f ca="1">IFERROR(IF(0=LEN(ReferenceData!$AU$205),"",ReferenceData!$AU$205),"")</f>
        <v>1.347854216</v>
      </c>
      <c r="AV205">
        <f ca="1">IFERROR(IF(0=LEN(ReferenceData!$AV$205),"",ReferenceData!$AV$205),"")</f>
        <v>2.1515457480000002</v>
      </c>
      <c r="AW205">
        <f ca="1">IFERROR(IF(0=LEN(ReferenceData!$AW$205),"",ReferenceData!$AW$205),"")</f>
        <v>2.6573550190000002</v>
      </c>
      <c r="AX205">
        <f ca="1">IFERROR(IF(0=LEN(ReferenceData!$AX$205),"",ReferenceData!$AX$205),"")</f>
        <v>3.5069634810000001</v>
      </c>
      <c r="AY205">
        <f ca="1">IFERROR(IF(0=LEN(ReferenceData!$AY$205),"",ReferenceData!$AY$205),"")</f>
        <v>4.3450797540000003</v>
      </c>
      <c r="AZ205">
        <f ca="1">IFERROR(IF(0=LEN(ReferenceData!$AZ$205),"",ReferenceData!$AZ$205),"")</f>
        <v>4.5212281000000001</v>
      </c>
      <c r="BA205">
        <f ca="1">IFERROR(IF(0=LEN(ReferenceData!$BA$205),"",ReferenceData!$BA$205),"")</f>
        <v>5.083334668</v>
      </c>
      <c r="BB205">
        <f ca="1">IFERROR(IF(0=LEN(ReferenceData!$BB$205),"",ReferenceData!$BB$205),"")</f>
        <v>3.6883061210000001</v>
      </c>
      <c r="BC205">
        <f ca="1">IFERROR(IF(0=LEN(ReferenceData!$BC$205),"",ReferenceData!$BC$205),"")</f>
        <v>3.4802322810000001</v>
      </c>
      <c r="BD205">
        <f ca="1">IFERROR(IF(0=LEN(ReferenceData!$BD$205),"",ReferenceData!$BD$205),"")</f>
        <v>2.892594957</v>
      </c>
      <c r="BE205">
        <f ca="1">IFERROR(IF(0=LEN(ReferenceData!$BE$205),"",ReferenceData!$BE$205),"")</f>
        <v>3.0082618380000001</v>
      </c>
      <c r="BF205">
        <f ca="1">IFERROR(IF(0=LEN(ReferenceData!$BF$205),"",ReferenceData!$BF$205),"")</f>
        <v>2.404736276</v>
      </c>
      <c r="BG205">
        <f ca="1">IFERROR(IF(0=LEN(ReferenceData!$BG$205),"",ReferenceData!$BG$205),"")</f>
        <v>1.587613962</v>
      </c>
      <c r="BH205">
        <f ca="1">IFERROR(IF(0=LEN(ReferenceData!$BH$205),"",ReferenceData!$BH$205),"")</f>
        <v>1.139134361</v>
      </c>
      <c r="BI205">
        <f ca="1">IFERROR(IF(0=LEN(ReferenceData!$BI$205),"",ReferenceData!$BI$205),"")</f>
        <v>1.065742137</v>
      </c>
      <c r="BJ205">
        <f ca="1">IFERROR(IF(0=LEN(ReferenceData!$BJ$205),"",ReferenceData!$BJ$205),"")</f>
        <v>1.238866617</v>
      </c>
      <c r="BK205" t="str">
        <f ca="1">IFERROR(IF(0=LEN(ReferenceData!$BK$205),"",ReferenceData!$BK$205),"")</f>
        <v/>
      </c>
      <c r="BL205" t="str">
        <f ca="1">IFERROR(IF(0=LEN(ReferenceData!$BL$205),"",ReferenceData!$BL$205),"")</f>
        <v/>
      </c>
      <c r="BM205">
        <f ca="1">IFERROR(IF(0=LEN(ReferenceData!$BM$205),"",ReferenceData!$BM$205),"")</f>
        <v>1.3713786779999999</v>
      </c>
    </row>
    <row r="206" spans="1:65" x14ac:dyDescent="0.25">
      <c r="A206" t="str">
        <f>IFERROR(IF(0=LEN(ReferenceData!$A$206),"",ReferenceData!$A$206),"")</f>
        <v xml:space="preserve">    Toyota Motor Corp</v>
      </c>
      <c r="B206" t="str">
        <f>IFERROR(IF(0=LEN(ReferenceData!$B$206),"",ReferenceData!$B$206),"")</f>
        <v>7203 JP Equity</v>
      </c>
      <c r="C206" t="str">
        <f>IFERROR(IF(0=LEN(ReferenceData!$C$206),"",ReferenceData!$C$206),"")</f>
        <v>RX077</v>
      </c>
      <c r="D206" t="str">
        <f>IFERROR(IF(0=LEN(ReferenceData!$D$206),"",ReferenceData!$D$206),"")</f>
        <v>PX_TO_TANG_BOOK_VAL_PER_SH</v>
      </c>
      <c r="E206" t="str">
        <f>IFERROR(IF(0=LEN(ReferenceData!$E$206),"",ReferenceData!$E$206),"")</f>
        <v>Dynamic</v>
      </c>
      <c r="F206">
        <f ca="1">IFERROR(IF(0=LEN(ReferenceData!$F$206),"",ReferenceData!$F$206),"")</f>
        <v>1.0022529490000001</v>
      </c>
      <c r="G206">
        <f ca="1">IFERROR(IF(0=LEN(ReferenceData!$G$206),"",ReferenceData!$G$206),"")</f>
        <v>0.95542148699999996</v>
      </c>
      <c r="H206">
        <f ca="1">IFERROR(IF(0=LEN(ReferenceData!$H$206),"",ReferenceData!$H$206),"")</f>
        <v>1.0433597880000001</v>
      </c>
      <c r="I206">
        <f ca="1">IFERROR(IF(0=LEN(ReferenceData!$I$206),"",ReferenceData!$I$206),"")</f>
        <v>1.094634441</v>
      </c>
      <c r="J206">
        <f ca="1">IFERROR(IF(0=LEN(ReferenceData!$J$206),"",ReferenceData!$J$206),"")</f>
        <v>1.060004824</v>
      </c>
      <c r="K206">
        <f ca="1">IFERROR(IF(0=LEN(ReferenceData!$K$206),"",ReferenceData!$K$206),"")</f>
        <v>1.115678264</v>
      </c>
      <c r="L206">
        <f ca="1">IFERROR(IF(0=LEN(ReferenceData!$L$206),"",ReferenceData!$L$206),"")</f>
        <v>1.078829405</v>
      </c>
      <c r="M206">
        <f ca="1">IFERROR(IF(0=LEN(ReferenceData!$M$206),"",ReferenceData!$M$206),"")</f>
        <v>0.98074099000000003</v>
      </c>
      <c r="N206">
        <f ca="1">IFERROR(IF(0=LEN(ReferenceData!$N$206),"",ReferenceData!$N$206),"")</f>
        <v>1.0261758089999999</v>
      </c>
      <c r="O206" t="str">
        <f ca="1">IFERROR(IF(0=LEN(ReferenceData!$O$206),"",ReferenceData!$O$206),"")</f>
        <v/>
      </c>
      <c r="P206" t="str">
        <f ca="1">IFERROR(IF(0=LEN(ReferenceData!$P$206),"",ReferenceData!$P$206),"")</f>
        <v/>
      </c>
      <c r="Q206">
        <f ca="1">IFERROR(IF(0=LEN(ReferenceData!$Q$206),"",ReferenceData!$Q$206),"")</f>
        <v>0.92851996199999998</v>
      </c>
      <c r="R206">
        <f ca="1">IFERROR(IF(0=LEN(ReferenceData!$R$206),"",ReferenceData!$R$206),"")</f>
        <v>1.0796153180000001</v>
      </c>
      <c r="S206" t="str">
        <f ca="1">IFERROR(IF(0=LEN(ReferenceData!$S$206),"",ReferenceData!$S$206),"")</f>
        <v/>
      </c>
      <c r="T206" t="str">
        <f ca="1">IFERROR(IF(0=LEN(ReferenceData!$T$206),"",ReferenceData!$T$206),"")</f>
        <v/>
      </c>
      <c r="U206">
        <f ca="1">IFERROR(IF(0=LEN(ReferenceData!$U$206),"",ReferenceData!$U$206),"")</f>
        <v>1.527846126</v>
      </c>
      <c r="V206">
        <f ca="1">IFERROR(IF(0=LEN(ReferenceData!$V$206),"",ReferenceData!$V$206),"")</f>
        <v>1.5713328520000001</v>
      </c>
      <c r="W206" t="str">
        <f ca="1">IFERROR(IF(0=LEN(ReferenceData!$W$206),"",ReferenceData!$W$206),"")</f>
        <v/>
      </c>
      <c r="X206" t="str">
        <f ca="1">IFERROR(IF(0=LEN(ReferenceData!$X$206),"",ReferenceData!$X$206),"")</f>
        <v/>
      </c>
      <c r="Y206">
        <f ca="1">IFERROR(IF(0=LEN(ReferenceData!$Y$206),"",ReferenceData!$Y$206),"")</f>
        <v>1.324939434</v>
      </c>
      <c r="Z206">
        <f ca="1">IFERROR(IF(0=LEN(ReferenceData!$Z$206),"",ReferenceData!$Z$206),"")</f>
        <v>1.2763057449999999</v>
      </c>
      <c r="AA206" t="str">
        <f ca="1">IFERROR(IF(0=LEN(ReferenceData!$AA$206),"",ReferenceData!$AA$206),"")</f>
        <v/>
      </c>
      <c r="AB206" t="str">
        <f ca="1">IFERROR(IF(0=LEN(ReferenceData!$AB$206),"",ReferenceData!$AB$206),"")</f>
        <v/>
      </c>
      <c r="AC206">
        <f ca="1">IFERROR(IF(0=LEN(ReferenceData!$AC$206),"",ReferenceData!$AC$206),"")</f>
        <v>1.5383418879999999</v>
      </c>
      <c r="AD206">
        <f ca="1">IFERROR(IF(0=LEN(ReferenceData!$AD$206),"",ReferenceData!$AD$206),"")</f>
        <v>1.267176538</v>
      </c>
      <c r="AE206" t="str">
        <f ca="1">IFERROR(IF(0=LEN(ReferenceData!$AE$206),"",ReferenceData!$AE$206),"")</f>
        <v/>
      </c>
      <c r="AF206" t="str">
        <f ca="1">IFERROR(IF(0=LEN(ReferenceData!$AF$206),"",ReferenceData!$AF$206),"")</f>
        <v/>
      </c>
      <c r="AG206">
        <f ca="1">IFERROR(IF(0=LEN(ReferenceData!$AG$206),"",ReferenceData!$AG$206),"")</f>
        <v>0.93351046999999998</v>
      </c>
      <c r="AH206">
        <f ca="1">IFERROR(IF(0=LEN(ReferenceData!$AH$206),"",ReferenceData!$AH$206),"")</f>
        <v>1.0715859729999999</v>
      </c>
      <c r="AI206" t="str">
        <f ca="1">IFERROR(IF(0=LEN(ReferenceData!$AI$206),"",ReferenceData!$AI$206),"")</f>
        <v/>
      </c>
      <c r="AJ206" t="str">
        <f ca="1">IFERROR(IF(0=LEN(ReferenceData!$AJ$206),"",ReferenceData!$AJ$206),"")</f>
        <v/>
      </c>
      <c r="AK206">
        <f ca="1">IFERROR(IF(0=LEN(ReferenceData!$AK$206),"",ReferenceData!$AK$206),"")</f>
        <v>0.99238942600000002</v>
      </c>
      <c r="AL206">
        <f ca="1">IFERROR(IF(0=LEN(ReferenceData!$AL$206),"",ReferenceData!$AL$206),"")</f>
        <v>1.0166680669999999</v>
      </c>
      <c r="AM206" t="str">
        <f ca="1">IFERROR(IF(0=LEN(ReferenceData!$AM$206),"",ReferenceData!$AM$206),"")</f>
        <v/>
      </c>
      <c r="AN206" t="str">
        <f ca="1">IFERROR(IF(0=LEN(ReferenceData!$AN$206),"",ReferenceData!$AN$206),"")</f>
        <v/>
      </c>
      <c r="AO206">
        <f ca="1">IFERROR(IF(0=LEN(ReferenceData!$AO$206),"",ReferenceData!$AO$206),"")</f>
        <v>0.93234776600000002</v>
      </c>
      <c r="AP206">
        <f ca="1">IFERROR(IF(0=LEN(ReferenceData!$AP$206),"",ReferenceData!$AP$206),"")</f>
        <v>1.133650125</v>
      </c>
      <c r="AQ206" t="str">
        <f ca="1">IFERROR(IF(0=LEN(ReferenceData!$AQ$206),"",ReferenceData!$AQ$206),"")</f>
        <v/>
      </c>
      <c r="AR206" t="str">
        <f ca="1">IFERROR(IF(0=LEN(ReferenceData!$AR$206),"",ReferenceData!$AR$206),"")</f>
        <v/>
      </c>
      <c r="AS206">
        <f ca="1">IFERROR(IF(0=LEN(ReferenceData!$AS$206),"",ReferenceData!$AS$206),"")</f>
        <v>1.112699375</v>
      </c>
      <c r="AT206">
        <f ca="1">IFERROR(IF(0=LEN(ReferenceData!$AT$206),"",ReferenceData!$AT$206),"")</f>
        <v>0.97244315100000001</v>
      </c>
      <c r="AU206" t="str">
        <f ca="1">IFERROR(IF(0=LEN(ReferenceData!$AU$206),"",ReferenceData!$AU$206),"")</f>
        <v/>
      </c>
      <c r="AV206" t="str">
        <f ca="1">IFERROR(IF(0=LEN(ReferenceData!$AV$206),"",ReferenceData!$AV$206),"")</f>
        <v/>
      </c>
      <c r="AW206" t="str">
        <f ca="1">IFERROR(IF(0=LEN(ReferenceData!$AW$206),"",ReferenceData!$AW$206),"")</f>
        <v/>
      </c>
      <c r="AX206" t="str">
        <f ca="1">IFERROR(IF(0=LEN(ReferenceData!$AX$206),"",ReferenceData!$AX$206),"")</f>
        <v/>
      </c>
      <c r="AY206" t="str">
        <f ca="1">IFERROR(IF(0=LEN(ReferenceData!$AY$206),"",ReferenceData!$AY$206),"")</f>
        <v/>
      </c>
      <c r="AZ206" t="str">
        <f ca="1">IFERROR(IF(0=LEN(ReferenceData!$AZ$206),"",ReferenceData!$AZ$206),"")</f>
        <v/>
      </c>
      <c r="BA206" t="str">
        <f ca="1">IFERROR(IF(0=LEN(ReferenceData!$BA$206),"",ReferenceData!$BA$206),"")</f>
        <v/>
      </c>
      <c r="BB206" t="str">
        <f ca="1">IFERROR(IF(0=LEN(ReferenceData!$BB$206),"",ReferenceData!$BB$206),"")</f>
        <v/>
      </c>
      <c r="BC206">
        <f ca="1">IFERROR(IF(0=LEN(ReferenceData!$BC$206),"",ReferenceData!$BC$206),"")</f>
        <v>2.3167257110000001</v>
      </c>
      <c r="BD206">
        <f ca="1">IFERROR(IF(0=LEN(ReferenceData!$BD$206),"",ReferenceData!$BD$206),"")</f>
        <v>1.877951902</v>
      </c>
      <c r="BE206" t="str">
        <f ca="1">IFERROR(IF(0=LEN(ReferenceData!$BE$206),"",ReferenceData!$BE$206),"")</f>
        <v/>
      </c>
      <c r="BF206" t="str">
        <f ca="1">IFERROR(IF(0=LEN(ReferenceData!$BF$206),"",ReferenceData!$BF$206),"")</f>
        <v/>
      </c>
      <c r="BG206" t="str">
        <f ca="1">IFERROR(IF(0=LEN(ReferenceData!$BG$206),"",ReferenceData!$BG$206),"")</f>
        <v/>
      </c>
      <c r="BH206" t="str">
        <f ca="1">IFERROR(IF(0=LEN(ReferenceData!$BH$206),"",ReferenceData!$BH$206),"")</f>
        <v/>
      </c>
      <c r="BI206" t="str">
        <f ca="1">IFERROR(IF(0=LEN(ReferenceData!$BI$206),"",ReferenceData!$BI$206),"")</f>
        <v/>
      </c>
      <c r="BJ206" t="str">
        <f ca="1">IFERROR(IF(0=LEN(ReferenceData!$BJ$206),"",ReferenceData!$BJ$206),"")</f>
        <v/>
      </c>
      <c r="BK206" t="str">
        <f ca="1">IFERROR(IF(0=LEN(ReferenceData!$BK$206),"",ReferenceData!$BK$206),"")</f>
        <v/>
      </c>
      <c r="BL206" t="str">
        <f ca="1">IFERROR(IF(0=LEN(ReferenceData!$BL$206),"",ReferenceData!$BL$206),"")</f>
        <v/>
      </c>
      <c r="BM206" t="str">
        <f ca="1">IFERROR(IF(0=LEN(ReferenceData!$BM$206),"",ReferenceData!$BM$206),"")</f>
        <v/>
      </c>
    </row>
    <row r="207" spans="1:65" x14ac:dyDescent="0.25">
      <c r="A207" t="str">
        <f>IFERROR(IF(0=LEN(ReferenceData!$A$207),"",ReferenceData!$A$207),"")</f>
        <v xml:space="preserve">    Volkswagen AG</v>
      </c>
      <c r="B207" t="str">
        <f>IFERROR(IF(0=LEN(ReferenceData!$B$207),"",ReferenceData!$B$207),"")</f>
        <v>VOW GR Equity</v>
      </c>
      <c r="C207" t="str">
        <f>IFERROR(IF(0=LEN(ReferenceData!$C$207),"",ReferenceData!$C$207),"")</f>
        <v>RX077</v>
      </c>
      <c r="D207" t="str">
        <f>IFERROR(IF(0=LEN(ReferenceData!$D$207),"",ReferenceData!$D$207),"")</f>
        <v>PX_TO_TANG_BOOK_VAL_PER_SH</v>
      </c>
      <c r="E207" t="str">
        <f>IFERROR(IF(0=LEN(ReferenceData!$E$207),"",ReferenceData!$E$207),"")</f>
        <v>Dynamic</v>
      </c>
      <c r="F207" t="str">
        <f ca="1">IFERROR(IF(0=LEN(ReferenceData!$F$207),"",ReferenceData!$F$207),"")</f>
        <v/>
      </c>
      <c r="G207">
        <f ca="1">IFERROR(IF(0=LEN(ReferenceData!$G$207),"",ReferenceData!$G$207),"")</f>
        <v>1.802123412</v>
      </c>
      <c r="H207">
        <f ca="1">IFERROR(IF(0=LEN(ReferenceData!$H$207),"",ReferenceData!$H$207),"")</f>
        <v>1.9624874210000001</v>
      </c>
      <c r="I207">
        <f ca="1">IFERROR(IF(0=LEN(ReferenceData!$I$207),"",ReferenceData!$I$207),"")</f>
        <v>1.956456303</v>
      </c>
      <c r="J207">
        <f ca="1">IFERROR(IF(0=LEN(ReferenceData!$J$207),"",ReferenceData!$J$207),"")</f>
        <v>2.2647751710000001</v>
      </c>
      <c r="K207">
        <f ca="1">IFERROR(IF(0=LEN(ReferenceData!$K$207),"",ReferenceData!$K$207),"")</f>
        <v>2.4626106069999998</v>
      </c>
      <c r="L207">
        <f ca="1">IFERROR(IF(0=LEN(ReferenceData!$L$207),"",ReferenceData!$L$207),"")</f>
        <v>2.3096808430000002</v>
      </c>
      <c r="M207">
        <f ca="1">IFERROR(IF(0=LEN(ReferenceData!$M$207),"",ReferenceData!$M$207),"")</f>
        <v>2.2745297409999998</v>
      </c>
      <c r="N207">
        <f ca="1">IFERROR(IF(0=LEN(ReferenceData!$N$207),"",ReferenceData!$N$207),"")</f>
        <v>2.038405129</v>
      </c>
      <c r="O207">
        <f ca="1">IFERROR(IF(0=LEN(ReferenceData!$O$207),"",ReferenceData!$O$207),"")</f>
        <v>3.043648326</v>
      </c>
      <c r="P207">
        <f ca="1">IFERROR(IF(0=LEN(ReferenceData!$P$207),"",ReferenceData!$P$207),"")</f>
        <v>3.0624384029999998</v>
      </c>
      <c r="Q207">
        <f ca="1">IFERROR(IF(0=LEN(ReferenceData!$Q$207),"",ReferenceData!$Q$207),"")</f>
        <v>3.1105125170000001</v>
      </c>
      <c r="R207">
        <f ca="1">IFERROR(IF(0=LEN(ReferenceData!$R$207),"",ReferenceData!$R$207),"")</f>
        <v>3.1061928490000001</v>
      </c>
      <c r="S207">
        <f ca="1">IFERROR(IF(0=LEN(ReferenceData!$S$207),"",ReferenceData!$S$207),"")</f>
        <v>3.6859545549999999</v>
      </c>
      <c r="T207">
        <f ca="1">IFERROR(IF(0=LEN(ReferenceData!$T$207),"",ReferenceData!$T$207),"")</f>
        <v>1.97206507</v>
      </c>
      <c r="U207">
        <f ca="1">IFERROR(IF(0=LEN(ReferenceData!$U$207),"",ReferenceData!$U$207),"")</f>
        <v>3.5181352869999998</v>
      </c>
      <c r="V207">
        <f ca="1">IFERROR(IF(0=LEN(ReferenceData!$V$207),"",ReferenceData!$V$207),"")</f>
        <v>5.3353802159999999</v>
      </c>
      <c r="W207">
        <f ca="1">IFERROR(IF(0=LEN(ReferenceData!$W$207),"",ReferenceData!$W$207),"")</f>
        <v>3.4251110570000001</v>
      </c>
      <c r="X207">
        <f ca="1">IFERROR(IF(0=LEN(ReferenceData!$X$207),"",ReferenceData!$X$207),"")</f>
        <v>2.999905584</v>
      </c>
      <c r="Y207">
        <f ca="1">IFERROR(IF(0=LEN(ReferenceData!$Y$207),"",ReferenceData!$Y$207),"")</f>
        <v>3.621166455</v>
      </c>
      <c r="Z207">
        <f ca="1">IFERROR(IF(0=LEN(ReferenceData!$Z$207),"",ReferenceData!$Z$207),"")</f>
        <v>4.1733698710000002</v>
      </c>
      <c r="AA207">
        <f ca="1">IFERROR(IF(0=LEN(ReferenceData!$AA$207),"",ReferenceData!$AA$207),"")</f>
        <v>3.4586333229999999</v>
      </c>
      <c r="AB207">
        <f ca="1">IFERROR(IF(0=LEN(ReferenceData!$AB$207),"",ReferenceData!$AB$207),"")</f>
        <v>3.1539041729999999</v>
      </c>
      <c r="AC207">
        <f ca="1">IFERROR(IF(0=LEN(ReferenceData!$AC$207),"",ReferenceData!$AC$207),"")</f>
        <v>3.087170188</v>
      </c>
      <c r="AD207">
        <f ca="1">IFERROR(IF(0=LEN(ReferenceData!$AD$207),"",ReferenceData!$AD$207),"")</f>
        <v>3.2632323649999999</v>
      </c>
      <c r="AE207">
        <f ca="1">IFERROR(IF(0=LEN(ReferenceData!$AE$207),"",ReferenceData!$AE$207),"")</f>
        <v>4.0771455899999998</v>
      </c>
      <c r="AF207">
        <f ca="1">IFERROR(IF(0=LEN(ReferenceData!$AF$207),"",ReferenceData!$AF$207),"")</f>
        <v>4.0405038949999996</v>
      </c>
      <c r="AG207">
        <f ca="1">IFERROR(IF(0=LEN(ReferenceData!$AG$207),"",ReferenceData!$AG$207),"")</f>
        <v>1.364808907</v>
      </c>
      <c r="AH207">
        <f ca="1">IFERROR(IF(0=LEN(ReferenceData!$AH$207),"",ReferenceData!$AH$207),"")</f>
        <v>1.4564305040000001</v>
      </c>
      <c r="AI207">
        <f ca="1">IFERROR(IF(0=LEN(ReferenceData!$AI$207),"",ReferenceData!$AI$207),"")</f>
        <v>1.3636116970000001</v>
      </c>
      <c r="AJ207">
        <f ca="1">IFERROR(IF(0=LEN(ReferenceData!$AJ$207),"",ReferenceData!$AJ$207),"")</f>
        <v>0.99794443200000005</v>
      </c>
      <c r="AK207">
        <f ca="1">IFERROR(IF(0=LEN(ReferenceData!$AK$207),"",ReferenceData!$AK$207),"")</f>
        <v>1.5129486270000001</v>
      </c>
      <c r="AL207">
        <f ca="1">IFERROR(IF(0=LEN(ReferenceData!$AL$207),"",ReferenceData!$AL$207),"")</f>
        <v>1.435050291</v>
      </c>
      <c r="AM207">
        <f ca="1">IFERROR(IF(0=LEN(ReferenceData!$AM$207),"",ReferenceData!$AM$207),"")</f>
        <v>1.4985534380000001</v>
      </c>
      <c r="AN207">
        <f ca="1">IFERROR(IF(0=LEN(ReferenceData!$AN$207),"",ReferenceData!$AN$207),"")</f>
        <v>1.287896221</v>
      </c>
      <c r="AO207">
        <f ca="1">IFERROR(IF(0=LEN(ReferenceData!$AO$207),"",ReferenceData!$AO$207),"")</f>
        <v>1.262268961</v>
      </c>
      <c r="AP207">
        <f ca="1">IFERROR(IF(0=LEN(ReferenceData!$AP$207),"",ReferenceData!$AP$207),"")</f>
        <v>1.2589650560000001</v>
      </c>
      <c r="AQ207">
        <f ca="1">IFERROR(IF(0=LEN(ReferenceData!$AQ$207),"",ReferenceData!$AQ$207),"")</f>
        <v>1.37743645</v>
      </c>
      <c r="AR207">
        <f ca="1">IFERROR(IF(0=LEN(ReferenceData!$AR$207),"",ReferenceData!$AR$207),"")</f>
        <v>2.0118019839999999</v>
      </c>
      <c r="AS207">
        <f ca="1">IFERROR(IF(0=LEN(ReferenceData!$AS$207),"",ReferenceData!$AS$207),"")</f>
        <v>4.395810665</v>
      </c>
      <c r="AT207">
        <f ca="1">IFERROR(IF(0=LEN(ReferenceData!$AT$207),"",ReferenceData!$AT$207),"")</f>
        <v>4.0732861729999996</v>
      </c>
      <c r="AU207">
        <f ca="1">IFERROR(IF(0=LEN(ReferenceData!$AU$207),"",ReferenceData!$AU$207),"")</f>
        <v>4.4031523659999996</v>
      </c>
      <c r="AV207">
        <f ca="1">IFERROR(IF(0=LEN(ReferenceData!$AV$207),"",ReferenceData!$AV$207),"")</f>
        <v>4.9086549499999999</v>
      </c>
      <c r="AW207">
        <f ca="1">IFERROR(IF(0=LEN(ReferenceData!$AW$207),"",ReferenceData!$AW$207),"")</f>
        <v>2.5801516379999998</v>
      </c>
      <c r="AX207">
        <f ca="1">IFERROR(IF(0=LEN(ReferenceData!$AX$207),"",ReferenceData!$AX$207),"")</f>
        <v>2.7161872969999998</v>
      </c>
      <c r="AY207">
        <f ca="1">IFERROR(IF(0=LEN(ReferenceData!$AY$207),"",ReferenceData!$AY$207),"")</f>
        <v>2.4725602580000001</v>
      </c>
      <c r="AZ207">
        <f ca="1">IFERROR(IF(0=LEN(ReferenceData!$AZ$207),"",ReferenceData!$AZ$207),"")</f>
        <v>2.7176132079999999</v>
      </c>
      <c r="BA207">
        <f ca="1">IFERROR(IF(0=LEN(ReferenceData!$BA$207),"",ReferenceData!$BA$207),"")</f>
        <v>2.121472759</v>
      </c>
      <c r="BB207">
        <f ca="1">IFERROR(IF(0=LEN(ReferenceData!$BB$207),"",ReferenceData!$BB$207),"")</f>
        <v>2.1535615890000002</v>
      </c>
      <c r="BC207">
        <f ca="1">IFERROR(IF(0=LEN(ReferenceData!$BC$207),"",ReferenceData!$BC$207),"")</f>
        <v>1.7126595870000001</v>
      </c>
      <c r="BD207">
        <f ca="1">IFERROR(IF(0=LEN(ReferenceData!$BD$207),"",ReferenceData!$BD$207),"")</f>
        <v>1.4873149889999999</v>
      </c>
      <c r="BE207">
        <f ca="1">IFERROR(IF(0=LEN(ReferenceData!$BE$207),"",ReferenceData!$BE$207),"")</f>
        <v>1.2106343500000001</v>
      </c>
      <c r="BF207">
        <f ca="1">IFERROR(IF(0=LEN(ReferenceData!$BF$207),"",ReferenceData!$BF$207),"")</f>
        <v>1.4345404159999999</v>
      </c>
      <c r="BG207">
        <f ca="1">IFERROR(IF(0=LEN(ReferenceData!$BG$207),"",ReferenceData!$BG$207),"")</f>
        <v>1.0792661130000001</v>
      </c>
      <c r="BH207">
        <f ca="1">IFERROR(IF(0=LEN(ReferenceData!$BH$207),"",ReferenceData!$BH$207),"")</f>
        <v>1.141953177</v>
      </c>
      <c r="BI207">
        <f ca="1">IFERROR(IF(0=LEN(ReferenceData!$BI$207),"",ReferenceData!$BI$207),"")</f>
        <v>0.86846253500000004</v>
      </c>
      <c r="BJ207">
        <f ca="1">IFERROR(IF(0=LEN(ReferenceData!$BJ$207),"",ReferenceData!$BJ$207),"")</f>
        <v>0.85221139300000004</v>
      </c>
      <c r="BK207">
        <f ca="1">IFERROR(IF(0=LEN(ReferenceData!$BK$207),"",ReferenceData!$BK$207),"")</f>
        <v>0.84522092699999996</v>
      </c>
      <c r="BL207">
        <f ca="1">IFERROR(IF(0=LEN(ReferenceData!$BL$207),"",ReferenceData!$BL$207),"")</f>
        <v>0.81800787699999999</v>
      </c>
      <c r="BM207">
        <f ca="1">IFERROR(IF(0=LEN(ReferenceData!$BM$207),"",ReferenceData!$BM$207),"")</f>
        <v>0.91068349100000001</v>
      </c>
    </row>
    <row r="208" spans="1:65" x14ac:dyDescent="0.25">
      <c r="A208" t="str">
        <f>IFERROR(IF(0=LEN(ReferenceData!$A$208),"",ReferenceData!$A$208),"")</f>
        <v xml:space="preserve">    Yulon Motor Co Ltd</v>
      </c>
      <c r="B208" t="str">
        <f>IFERROR(IF(0=LEN(ReferenceData!$B$208),"",ReferenceData!$B$208),"")</f>
        <v>2201 TT Equity</v>
      </c>
      <c r="C208" t="str">
        <f>IFERROR(IF(0=LEN(ReferenceData!$C$208),"",ReferenceData!$C$208),"")</f>
        <v>RX077</v>
      </c>
      <c r="D208" t="str">
        <f>IFERROR(IF(0=LEN(ReferenceData!$D$208),"",ReferenceData!$D$208),"")</f>
        <v>PX_TO_TANG_BOOK_VAL_PER_SH</v>
      </c>
      <c r="E208" t="str">
        <f>IFERROR(IF(0=LEN(ReferenceData!$E$208),"",ReferenceData!$E$208),"")</f>
        <v>Dynamic</v>
      </c>
      <c r="F208">
        <f ca="1">IFERROR(IF(0=LEN(ReferenceData!$F$208),"",ReferenceData!$F$208),"")</f>
        <v>0.45477208699999999</v>
      </c>
      <c r="G208">
        <f ca="1">IFERROR(IF(0=LEN(ReferenceData!$G$208),"",ReferenceData!$G$208),"")</f>
        <v>0.43677319199999998</v>
      </c>
      <c r="H208">
        <f ca="1">IFERROR(IF(0=LEN(ReferenceData!$H$208),"",ReferenceData!$H$208),"")</f>
        <v>0.52076803599999999</v>
      </c>
      <c r="I208">
        <f ca="1">IFERROR(IF(0=LEN(ReferenceData!$I$208),"",ReferenceData!$I$208),"")</f>
        <v>0.50392937000000004</v>
      </c>
      <c r="J208">
        <f ca="1">IFERROR(IF(0=LEN(ReferenceData!$J$208),"",ReferenceData!$J$208),"")</f>
        <v>0.53405840400000004</v>
      </c>
      <c r="K208">
        <f ca="1">IFERROR(IF(0=LEN(ReferenceData!$K$208),"",ReferenceData!$K$208),"")</f>
        <v>0.59322307900000004</v>
      </c>
      <c r="L208">
        <f ca="1">IFERROR(IF(0=LEN(ReferenceData!$L$208),"",ReferenceData!$L$208),"")</f>
        <v>0.62223524200000002</v>
      </c>
      <c r="M208">
        <f ca="1">IFERROR(IF(0=LEN(ReferenceData!$M$208),"",ReferenceData!$M$208),"")</f>
        <v>0.66720781100000004</v>
      </c>
      <c r="N208">
        <f ca="1">IFERROR(IF(0=LEN(ReferenceData!$N$208),"",ReferenceData!$N$208),"")</f>
        <v>0.690931199</v>
      </c>
      <c r="O208">
        <f ca="1">IFERROR(IF(0=LEN(ReferenceData!$O$208),"",ReferenceData!$O$208),"")</f>
        <v>0.65798478199999999</v>
      </c>
      <c r="P208">
        <f ca="1">IFERROR(IF(0=LEN(ReferenceData!$P$208),"",ReferenceData!$P$208),"")</f>
        <v>0.66539014600000002</v>
      </c>
      <c r="Q208">
        <f ca="1">IFERROR(IF(0=LEN(ReferenceData!$Q$208),"",ReferenceData!$Q$208),"")</f>
        <v>0.66053726999999995</v>
      </c>
      <c r="R208">
        <f ca="1">IFERROR(IF(0=LEN(ReferenceData!$R$208),"",ReferenceData!$R$208),"")</f>
        <v>0.74397632499999999</v>
      </c>
      <c r="S208">
        <f ca="1">IFERROR(IF(0=LEN(ReferenceData!$S$208),"",ReferenceData!$S$208),"")</f>
        <v>0.725603989</v>
      </c>
      <c r="T208">
        <f ca="1">IFERROR(IF(0=LEN(ReferenceData!$T$208),"",ReferenceData!$T$208),"")</f>
        <v>0.72055016000000005</v>
      </c>
      <c r="U208">
        <f ca="1">IFERROR(IF(0=LEN(ReferenceData!$U$208),"",ReferenceData!$U$208),"")</f>
        <v>0.88073693500000005</v>
      </c>
      <c r="V208">
        <f ca="1">IFERROR(IF(0=LEN(ReferenceData!$V$208),"",ReferenceData!$V$208),"")</f>
        <v>1.044746079</v>
      </c>
      <c r="W208">
        <f ca="1">IFERROR(IF(0=LEN(ReferenceData!$W$208),"",ReferenceData!$W$208),"")</f>
        <v>1.1594759539999999</v>
      </c>
      <c r="X208">
        <f ca="1">IFERROR(IF(0=LEN(ReferenceData!$X$208),"",ReferenceData!$X$208),"")</f>
        <v>1.0736683730000001</v>
      </c>
      <c r="Y208">
        <f ca="1">IFERROR(IF(0=LEN(ReferenceData!$Y$208),"",ReferenceData!$Y$208),"")</f>
        <v>1.1746832279999999</v>
      </c>
      <c r="Z208">
        <f ca="1">IFERROR(IF(0=LEN(ReferenceData!$Z$208),"",ReferenceData!$Z$208),"")</f>
        <v>1.1981593989999999</v>
      </c>
      <c r="AA208">
        <f ca="1">IFERROR(IF(0=LEN(ReferenceData!$AA$208),"",ReferenceData!$AA$208),"")</f>
        <v>1.31092681</v>
      </c>
      <c r="AB208">
        <f ca="1">IFERROR(IF(0=LEN(ReferenceData!$AB$208),"",ReferenceData!$AB$208),"")</f>
        <v>1.192050571</v>
      </c>
      <c r="AC208">
        <f ca="1">IFERROR(IF(0=LEN(ReferenceData!$AC$208),"",ReferenceData!$AC$208),"")</f>
        <v>1.165533956</v>
      </c>
      <c r="AD208">
        <f ca="1">IFERROR(IF(0=LEN(ReferenceData!$AD$208),"",ReferenceData!$AD$208),"")</f>
        <v>1.4332912980000001</v>
      </c>
      <c r="AE208">
        <f ca="1">IFERROR(IF(0=LEN(ReferenceData!$AE$208),"",ReferenceData!$AE$208),"")</f>
        <v>1.5198900719999999</v>
      </c>
      <c r="AF208">
        <f ca="1">IFERROR(IF(0=LEN(ReferenceData!$AF$208),"",ReferenceData!$AF$208),"")</f>
        <v>1.5563003900000001</v>
      </c>
      <c r="AG208">
        <f ca="1">IFERROR(IF(0=LEN(ReferenceData!$AG$208),"",ReferenceData!$AG$208),"")</f>
        <v>1.3991485539999999</v>
      </c>
      <c r="AH208">
        <f ca="1">IFERROR(IF(0=LEN(ReferenceData!$AH$208),"",ReferenceData!$AH$208),"")</f>
        <v>1.4820943579999999</v>
      </c>
      <c r="AI208">
        <f ca="1">IFERROR(IF(0=LEN(ReferenceData!$AI$208),"",ReferenceData!$AI$208),"")</f>
        <v>1.403803184</v>
      </c>
      <c r="AJ208">
        <f ca="1">IFERROR(IF(0=LEN(ReferenceData!$AJ$208),"",ReferenceData!$AJ$208),"")</f>
        <v>1.4807809439999999</v>
      </c>
      <c r="AK208">
        <f ca="1">IFERROR(IF(0=LEN(ReferenceData!$AK$208),"",ReferenceData!$AK$208),"")</f>
        <v>1.843366791</v>
      </c>
      <c r="AL208">
        <f ca="1">IFERROR(IF(0=LEN(ReferenceData!$AL$208),"",ReferenceData!$AL$208),"")</f>
        <v>1.4319156669999999</v>
      </c>
      <c r="AM208">
        <f ca="1">IFERROR(IF(0=LEN(ReferenceData!$AM$208),"",ReferenceData!$AM$208),"")</f>
        <v>1.6177738530000001</v>
      </c>
      <c r="AN208">
        <f ca="1">IFERROR(IF(0=LEN(ReferenceData!$AN$208),"",ReferenceData!$AN$208),"")</f>
        <v>1.4639338319999999</v>
      </c>
      <c r="AO208">
        <f ca="1">IFERROR(IF(0=LEN(ReferenceData!$AO$208),"",ReferenceData!$AO$208),"")</f>
        <v>0.836067334</v>
      </c>
      <c r="AP208">
        <f ca="1">IFERROR(IF(0=LEN(ReferenceData!$AP$208),"",ReferenceData!$AP$208),"")</f>
        <v>0.93167403199999999</v>
      </c>
      <c r="AQ208">
        <f ca="1">IFERROR(IF(0=LEN(ReferenceData!$AQ$208),"",ReferenceData!$AQ$208),"")</f>
        <v>1.018071924</v>
      </c>
      <c r="AR208">
        <f ca="1">IFERROR(IF(0=LEN(ReferenceData!$AR$208),"",ReferenceData!$AR$208),"")</f>
        <v>0.99255258400000002</v>
      </c>
      <c r="AS208">
        <f ca="1">IFERROR(IF(0=LEN(ReferenceData!$AS$208),"",ReferenceData!$AS$208),"")</f>
        <v>0.84854763200000005</v>
      </c>
      <c r="AT208">
        <f ca="1">IFERROR(IF(0=LEN(ReferenceData!$AT$208),"",ReferenceData!$AT$208),"")</f>
        <v>0.50579138599999995</v>
      </c>
      <c r="AU208">
        <f ca="1">IFERROR(IF(0=LEN(ReferenceData!$AU$208),"",ReferenceData!$AU$208),"")</f>
        <v>0.39052435499999999</v>
      </c>
      <c r="AV208">
        <f ca="1">IFERROR(IF(0=LEN(ReferenceData!$AV$208),"",ReferenceData!$AV$208),"")</f>
        <v>0.46698335099999999</v>
      </c>
      <c r="AW208">
        <f ca="1">IFERROR(IF(0=LEN(ReferenceData!$AW$208),"",ReferenceData!$AW$208),"")</f>
        <v>0.83135427799999995</v>
      </c>
      <c r="AX208">
        <f ca="1">IFERROR(IF(0=LEN(ReferenceData!$AX$208),"",ReferenceData!$AX$208),"")</f>
        <v>1.1627529649999999</v>
      </c>
      <c r="AY208" t="str">
        <f ca="1">IFERROR(IF(0=LEN(ReferenceData!$AY$208),"",ReferenceData!$AY$208),"")</f>
        <v/>
      </c>
      <c r="AZ208" t="str">
        <f ca="1">IFERROR(IF(0=LEN(ReferenceData!$AZ$208),"",ReferenceData!$AZ$208),"")</f>
        <v/>
      </c>
      <c r="BA208" t="str">
        <f ca="1">IFERROR(IF(0=LEN(ReferenceData!$BA$208),"",ReferenceData!$BA$208),"")</f>
        <v/>
      </c>
      <c r="BB208" t="str">
        <f ca="1">IFERROR(IF(0=LEN(ReferenceData!$BB$208),"",ReferenceData!$BB$208),"")</f>
        <v/>
      </c>
      <c r="BC208" t="str">
        <f ca="1">IFERROR(IF(0=LEN(ReferenceData!$BC$208),"",ReferenceData!$BC$208),"")</f>
        <v/>
      </c>
      <c r="BD208" t="str">
        <f ca="1">IFERROR(IF(0=LEN(ReferenceData!$BD$208),"",ReferenceData!$BD$208),"")</f>
        <v/>
      </c>
      <c r="BE208" t="str">
        <f ca="1">IFERROR(IF(0=LEN(ReferenceData!$BE$208),"",ReferenceData!$BE$208),"")</f>
        <v/>
      </c>
      <c r="BF208" t="str">
        <f ca="1">IFERROR(IF(0=LEN(ReferenceData!$BF$208),"",ReferenceData!$BF$208),"")</f>
        <v/>
      </c>
      <c r="BG208" t="str">
        <f ca="1">IFERROR(IF(0=LEN(ReferenceData!$BG$208),"",ReferenceData!$BG$208),"")</f>
        <v/>
      </c>
      <c r="BH208" t="str">
        <f ca="1">IFERROR(IF(0=LEN(ReferenceData!$BH$208),"",ReferenceData!$BH$208),"")</f>
        <v/>
      </c>
      <c r="BI208" t="str">
        <f ca="1">IFERROR(IF(0=LEN(ReferenceData!$BI$208),"",ReferenceData!$BI$208),"")</f>
        <v/>
      </c>
      <c r="BJ208" t="str">
        <f ca="1">IFERROR(IF(0=LEN(ReferenceData!$BJ$208),"",ReferenceData!$BJ$208),"")</f>
        <v/>
      </c>
      <c r="BK208" t="str">
        <f ca="1">IFERROR(IF(0=LEN(ReferenceData!$BK$208),"",ReferenceData!$BK$208),"")</f>
        <v/>
      </c>
      <c r="BL208" t="str">
        <f ca="1">IFERROR(IF(0=LEN(ReferenceData!$BL$208),"",ReferenceData!$BL$208),"")</f>
        <v/>
      </c>
      <c r="BM208" t="str">
        <f ca="1">IFERROR(IF(0=LEN(ReferenceData!$BM$208),"",ReferenceData!$BM$208),"")</f>
        <v/>
      </c>
    </row>
    <row r="209" spans="1:65" x14ac:dyDescent="0.25">
      <c r="A209" t="str">
        <f>IFERROR(IF(0=LEN(ReferenceData!$A$209),"",ReferenceData!$A$209),"")</f>
        <v>P/Free Cash Flow</v>
      </c>
      <c r="B209" t="str">
        <f>IFERROR(IF(0=LEN(ReferenceData!$B$209),"",ReferenceData!$B$209),"")</f>
        <v/>
      </c>
      <c r="C209" t="str">
        <f>IFERROR(IF(0=LEN(ReferenceData!$C$209),"",ReferenceData!$C$209),"")</f>
        <v/>
      </c>
      <c r="D209" t="str">
        <f>IFERROR(IF(0=LEN(ReferenceData!$D$209),"",ReferenceData!$D$209),"")</f>
        <v/>
      </c>
      <c r="E209" t="str">
        <f>IFERROR(IF(0=LEN(ReferenceData!$E$209),"",ReferenceData!$E$209),"")</f>
        <v>Average</v>
      </c>
      <c r="F209">
        <f ca="1">IFERROR(IF(0=LEN(ReferenceData!$F$209),"",ReferenceData!$F$209),"")</f>
        <v>33.825666186230777</v>
      </c>
      <c r="G209">
        <f ca="1">IFERROR(IF(0=LEN(ReferenceData!$G$209),"",ReferenceData!$G$209),"")</f>
        <v>21.039359212058823</v>
      </c>
      <c r="H209">
        <f ca="1">IFERROR(IF(0=LEN(ReferenceData!$H$209),"",ReferenceData!$H$209),"")</f>
        <v>23.316199366611116</v>
      </c>
      <c r="I209">
        <f ca="1">IFERROR(IF(0=LEN(ReferenceData!$I$209),"",ReferenceData!$I$209),"")</f>
        <v>11.970393578684211</v>
      </c>
      <c r="J209">
        <f ca="1">IFERROR(IF(0=LEN(ReferenceData!$J$209),"",ReferenceData!$J$209),"")</f>
        <v>12.981135061999998</v>
      </c>
      <c r="K209">
        <f ca="1">IFERROR(IF(0=LEN(ReferenceData!$K$209),"",ReferenceData!$K$209),"")</f>
        <v>12.514281641</v>
      </c>
      <c r="L209">
        <f ca="1">IFERROR(IF(0=LEN(ReferenceData!$L$209),"",ReferenceData!$L$209),"")</f>
        <v>13.16971841026316</v>
      </c>
      <c r="M209">
        <f ca="1">IFERROR(IF(0=LEN(ReferenceData!$M$209),"",ReferenceData!$M$209),"")</f>
        <v>39.368208338700015</v>
      </c>
      <c r="N209">
        <f ca="1">IFERROR(IF(0=LEN(ReferenceData!$N$209),"",ReferenceData!$N$209),"")</f>
        <v>43.647442499349999</v>
      </c>
      <c r="O209">
        <f ca="1">IFERROR(IF(0=LEN(ReferenceData!$O$209),"",ReferenceData!$O$209),"")</f>
        <v>17.668168504333334</v>
      </c>
      <c r="P209">
        <f ca="1">IFERROR(IF(0=LEN(ReferenceData!$P$209),"",ReferenceData!$P$209),"")</f>
        <v>19.344804331631579</v>
      </c>
      <c r="Q209">
        <f ca="1">IFERROR(IF(0=LEN(ReferenceData!$Q$209),"",ReferenceData!$Q$209),"")</f>
        <v>10.556683418055552</v>
      </c>
      <c r="R209">
        <f ca="1">IFERROR(IF(0=LEN(ReferenceData!$R$209),"",ReferenceData!$R$209),"")</f>
        <v>28.603949531473685</v>
      </c>
      <c r="S209">
        <f ca="1">IFERROR(IF(0=LEN(ReferenceData!$S$209),"",ReferenceData!$S$209),"")</f>
        <v>77.83996883331578</v>
      </c>
      <c r="T209">
        <f ca="1">IFERROR(IF(0=LEN(ReferenceData!$T$209),"",ReferenceData!$T$209),"")</f>
        <v>71.678936812499998</v>
      </c>
      <c r="U209">
        <f ca="1">IFERROR(IF(0=LEN(ReferenceData!$U$209),"",ReferenceData!$U$209),"")</f>
        <v>29.461930057500005</v>
      </c>
      <c r="V209">
        <f ca="1">IFERROR(IF(0=LEN(ReferenceData!$V$209),"",ReferenceData!$V$209),"")</f>
        <v>152.27655107956249</v>
      </c>
      <c r="W209">
        <f ca="1">IFERROR(IF(0=LEN(ReferenceData!$W$209),"",ReferenceData!$W$209),"")</f>
        <v>33.022528746749998</v>
      </c>
      <c r="X209">
        <f ca="1">IFERROR(IF(0=LEN(ReferenceData!$X$209),"",ReferenceData!$X$209),"")</f>
        <v>37.029079492923081</v>
      </c>
      <c r="Y209">
        <f ca="1">IFERROR(IF(0=LEN(ReferenceData!$Y$209),"",ReferenceData!$Y$209),"")</f>
        <v>66.798916133470584</v>
      </c>
      <c r="Z209">
        <f ca="1">IFERROR(IF(0=LEN(ReferenceData!$Z$209),"",ReferenceData!$Z$209),"")</f>
        <v>338.44825656052626</v>
      </c>
      <c r="AA209">
        <f ca="1">IFERROR(IF(0=LEN(ReferenceData!$AA$209),"",ReferenceData!$AA$209),"")</f>
        <v>214.71970355895004</v>
      </c>
      <c r="AB209">
        <f ca="1">IFERROR(IF(0=LEN(ReferenceData!$AB$209),"",ReferenceData!$AB$209),"")</f>
        <v>24.028273932421051</v>
      </c>
      <c r="AC209">
        <f ca="1">IFERROR(IF(0=LEN(ReferenceData!$AC$209),"",ReferenceData!$AC$209),"")</f>
        <v>22.47065709166667</v>
      </c>
      <c r="AD209">
        <f ca="1">IFERROR(IF(0=LEN(ReferenceData!$AD$209),"",ReferenceData!$AD$209),"")</f>
        <v>101.41824034999999</v>
      </c>
      <c r="AE209">
        <f ca="1">IFERROR(IF(0=LEN(ReferenceData!$AE$209),"",ReferenceData!$AE$209),"")</f>
        <v>115.95123610621428</v>
      </c>
      <c r="AF209">
        <f ca="1">IFERROR(IF(0=LEN(ReferenceData!$AF$209),"",ReferenceData!$AF$209),"")</f>
        <v>28.867707512500001</v>
      </c>
      <c r="AG209">
        <f ca="1">IFERROR(IF(0=LEN(ReferenceData!$AG$209),"",ReferenceData!$AG$209),"")</f>
        <v>18.291415492928571</v>
      </c>
      <c r="AH209">
        <f ca="1">IFERROR(IF(0=LEN(ReferenceData!$AH$209),"",ReferenceData!$AH$209),"")</f>
        <v>218.77920236920002</v>
      </c>
      <c r="AI209">
        <f ca="1">IFERROR(IF(0=LEN(ReferenceData!$AI$209),"",ReferenceData!$AI$209),"")</f>
        <v>180.51001091720002</v>
      </c>
      <c r="AJ209">
        <f ca="1">IFERROR(IF(0=LEN(ReferenceData!$AJ$209),"",ReferenceData!$AJ$209),"")</f>
        <v>25.683641618266666</v>
      </c>
      <c r="AK209">
        <f ca="1">IFERROR(IF(0=LEN(ReferenceData!$AK$209),"",ReferenceData!$AK$209),"")</f>
        <v>26.67539479889474</v>
      </c>
      <c r="AL209">
        <f ca="1">IFERROR(IF(0=LEN(ReferenceData!$AL$209),"",ReferenceData!$AL$209),"")</f>
        <v>17.611226764619051</v>
      </c>
      <c r="AM209">
        <f ca="1">IFERROR(IF(0=LEN(ReferenceData!$AM$209),"",ReferenceData!$AM$209),"")</f>
        <v>34.540129871454546</v>
      </c>
      <c r="AN209">
        <f ca="1">IFERROR(IF(0=LEN(ReferenceData!$AN$209),"",ReferenceData!$AN$209),"")</f>
        <v>27.182639253181822</v>
      </c>
      <c r="AO209">
        <f ca="1">IFERROR(IF(0=LEN(ReferenceData!$AO$209),"",ReferenceData!$AO$209),"")</f>
        <v>12.520039984149999</v>
      </c>
      <c r="AP209">
        <f ca="1">IFERROR(IF(0=LEN(ReferenceData!$AP$209),"",ReferenceData!$AP$209),"")</f>
        <v>13.465738416400001</v>
      </c>
      <c r="AQ209">
        <f ca="1">IFERROR(IF(0=LEN(ReferenceData!$AQ$209),"",ReferenceData!$AQ$209),"")</f>
        <v>27.725654247555557</v>
      </c>
      <c r="AR209">
        <f ca="1">IFERROR(IF(0=LEN(ReferenceData!$AR$209),"",ReferenceData!$AR$209),"")</f>
        <v>182.79756373750001</v>
      </c>
      <c r="AS209">
        <f ca="1">IFERROR(IF(0=LEN(ReferenceData!$AS$209),"",ReferenceData!$AS$209),"")</f>
        <v>27.945353713375003</v>
      </c>
      <c r="AT209">
        <f ca="1">IFERROR(IF(0=LEN(ReferenceData!$AT$209),"",ReferenceData!$AT$209),"")</f>
        <v>26.482812580625001</v>
      </c>
      <c r="AU209">
        <f ca="1">IFERROR(IF(0=LEN(ReferenceData!$AU$209),"",ReferenceData!$AU$209),"")</f>
        <v>23.390513349999999</v>
      </c>
      <c r="AV209">
        <f ca="1">IFERROR(IF(0=LEN(ReferenceData!$AV$209),"",ReferenceData!$AV$209),"")</f>
        <v>43.276683762300003</v>
      </c>
      <c r="AW209">
        <f ca="1">IFERROR(IF(0=LEN(ReferenceData!$AW$209),"",ReferenceData!$AW$209),"")</f>
        <v>809.94270239966681</v>
      </c>
      <c r="AX209">
        <f ca="1">IFERROR(IF(0=LEN(ReferenceData!$AX$209),"",ReferenceData!$AX$209),"")</f>
        <v>1101.2673063046</v>
      </c>
      <c r="AY209">
        <f ca="1">IFERROR(IF(0=LEN(ReferenceData!$AY$209),"",ReferenceData!$AY$209),"")</f>
        <v>29.177050763700002</v>
      </c>
      <c r="AZ209">
        <f ca="1">IFERROR(IF(0=LEN(ReferenceData!$AZ$209),"",ReferenceData!$AZ$209),"")</f>
        <v>32.1599553259</v>
      </c>
      <c r="BA209">
        <f ca="1">IFERROR(IF(0=LEN(ReferenceData!$BA$209),"",ReferenceData!$BA$209),"")</f>
        <v>20.773418603799996</v>
      </c>
      <c r="BB209">
        <f ca="1">IFERROR(IF(0=LEN(ReferenceData!$BB$209),"",ReferenceData!$BB$209),"")</f>
        <v>32.913208677199997</v>
      </c>
      <c r="BC209">
        <f ca="1">IFERROR(IF(0=LEN(ReferenceData!$BC$209),"",ReferenceData!$BC$209),"")</f>
        <v>18.112957731111109</v>
      </c>
      <c r="BD209">
        <f ca="1">IFERROR(IF(0=LEN(ReferenceData!$BD$209),"",ReferenceData!$BD$209),"")</f>
        <v>12.67463313</v>
      </c>
      <c r="BE209">
        <f ca="1">IFERROR(IF(0=LEN(ReferenceData!$BE$209),"",ReferenceData!$BE$209),"")</f>
        <v>11.587628674272727</v>
      </c>
      <c r="BF209">
        <f ca="1">IFERROR(IF(0=LEN(ReferenceData!$BF$209),"",ReferenceData!$BF$209),"")</f>
        <v>12.802099677999998</v>
      </c>
      <c r="BG209">
        <f ca="1">IFERROR(IF(0=LEN(ReferenceData!$BG$209),"",ReferenceData!$BG$209),"")</f>
        <v>11.536980773181817</v>
      </c>
      <c r="BH209">
        <f ca="1">IFERROR(IF(0=LEN(ReferenceData!$BH$209),"",ReferenceData!$BH$209),"")</f>
        <v>8.4176358388571426</v>
      </c>
      <c r="BI209">
        <f ca="1">IFERROR(IF(0=LEN(ReferenceData!$BI$209),"",ReferenceData!$BI$209),"")</f>
        <v>10.366746574875</v>
      </c>
      <c r="BJ209">
        <f ca="1">IFERROR(IF(0=LEN(ReferenceData!$BJ$209),"",ReferenceData!$BJ$209),"")</f>
        <v>10.238031267142858</v>
      </c>
      <c r="BK209">
        <f ca="1">IFERROR(IF(0=LEN(ReferenceData!$BK$209),"",ReferenceData!$BK$209),"")</f>
        <v>185.76952230549998</v>
      </c>
      <c r="BL209">
        <f ca="1">IFERROR(IF(0=LEN(ReferenceData!$BL$209),"",ReferenceData!$BL$209),"")</f>
        <v>21.86520424875</v>
      </c>
      <c r="BM209">
        <f ca="1">IFERROR(IF(0=LEN(ReferenceData!$BM$209),"",ReferenceData!$BM$209),"")</f>
        <v>18.133078032</v>
      </c>
    </row>
    <row r="210" spans="1:65" x14ac:dyDescent="0.25">
      <c r="A210" t="str">
        <f>IFERROR(IF(0=LEN(ReferenceData!$A$210),"",ReferenceData!$A$210),"")</f>
        <v xml:space="preserve">    AUDI AG</v>
      </c>
      <c r="B210" t="str">
        <f>IFERROR(IF(0=LEN(ReferenceData!$B$210),"",ReferenceData!$B$210),"")</f>
        <v>NSU GR Equity</v>
      </c>
      <c r="C210" t="str">
        <f>IFERROR(IF(0=LEN(ReferenceData!$C$210),"",ReferenceData!$C$210),"")</f>
        <v>RR971</v>
      </c>
      <c r="D210" t="str">
        <f>IFERROR(IF(0=LEN(ReferenceData!$D$210),"",ReferenceData!$D$210),"")</f>
        <v>CURRENT_PX_TO_FREE_CASH_FLOW</v>
      </c>
      <c r="E210" t="str">
        <f>IFERROR(IF(0=LEN(ReferenceData!$E$210),"",ReferenceData!$E$210),"")</f>
        <v>Dynamic</v>
      </c>
      <c r="F210" t="str">
        <f ca="1">IFERROR(IF(0=LEN(ReferenceData!$F$210),"",ReferenceData!$F$210),"")</f>
        <v/>
      </c>
      <c r="G210" t="str">
        <f ca="1">IFERROR(IF(0=LEN(ReferenceData!$G$210),"",ReferenceData!$G$210),"")</f>
        <v/>
      </c>
      <c r="H210" t="str">
        <f ca="1">IFERROR(IF(0=LEN(ReferenceData!$H$210),"",ReferenceData!$H$210),"")</f>
        <v/>
      </c>
      <c r="I210" t="str">
        <f ca="1">IFERROR(IF(0=LEN(ReferenceData!$I$210),"",ReferenceData!$I$210),"")</f>
        <v/>
      </c>
      <c r="J210" t="str">
        <f ca="1">IFERROR(IF(0=LEN(ReferenceData!$J$210),"",ReferenceData!$J$210),"")</f>
        <v/>
      </c>
      <c r="K210" t="str">
        <f ca="1">IFERROR(IF(0=LEN(ReferenceData!$K$210),"",ReferenceData!$K$210),"")</f>
        <v/>
      </c>
      <c r="L210" t="str">
        <f ca="1">IFERROR(IF(0=LEN(ReferenceData!$L$210),"",ReferenceData!$L$210),"")</f>
        <v/>
      </c>
      <c r="M210" t="str">
        <f ca="1">IFERROR(IF(0=LEN(ReferenceData!$M$210),"",ReferenceData!$M$210),"")</f>
        <v/>
      </c>
      <c r="N210" t="str">
        <f ca="1">IFERROR(IF(0=LEN(ReferenceData!$N$210),"",ReferenceData!$N$210),"")</f>
        <v/>
      </c>
      <c r="O210" t="str">
        <f ca="1">IFERROR(IF(0=LEN(ReferenceData!$O$210),"",ReferenceData!$O$210),"")</f>
        <v/>
      </c>
      <c r="P210" t="str">
        <f ca="1">IFERROR(IF(0=LEN(ReferenceData!$P$210),"",ReferenceData!$P$210),"")</f>
        <v/>
      </c>
      <c r="Q210" t="str">
        <f ca="1">IFERROR(IF(0=LEN(ReferenceData!$Q$210),"",ReferenceData!$Q$210),"")</f>
        <v/>
      </c>
      <c r="R210" t="str">
        <f ca="1">IFERROR(IF(0=LEN(ReferenceData!$R$210),"",ReferenceData!$R$210),"")</f>
        <v/>
      </c>
      <c r="S210" t="str">
        <f ca="1">IFERROR(IF(0=LEN(ReferenceData!$S$210),"",ReferenceData!$S$210),"")</f>
        <v/>
      </c>
      <c r="T210" t="str">
        <f ca="1">IFERROR(IF(0=LEN(ReferenceData!$T$210),"",ReferenceData!$T$210),"")</f>
        <v/>
      </c>
      <c r="U210" t="str">
        <f ca="1">IFERROR(IF(0=LEN(ReferenceData!$U$210),"",ReferenceData!$U$210),"")</f>
        <v/>
      </c>
      <c r="V210" t="str">
        <f ca="1">IFERROR(IF(0=LEN(ReferenceData!$V$210),"",ReferenceData!$V$210),"")</f>
        <v/>
      </c>
      <c r="W210" t="str">
        <f ca="1">IFERROR(IF(0=LEN(ReferenceData!$W$210),"",ReferenceData!$W$210),"")</f>
        <v/>
      </c>
      <c r="X210" t="str">
        <f ca="1">IFERROR(IF(0=LEN(ReferenceData!$X$210),"",ReferenceData!$X$210),"")</f>
        <v/>
      </c>
      <c r="Y210" t="str">
        <f ca="1">IFERROR(IF(0=LEN(ReferenceData!$Y$210),"",ReferenceData!$Y$210),"")</f>
        <v/>
      </c>
      <c r="Z210" t="str">
        <f ca="1">IFERROR(IF(0=LEN(ReferenceData!$Z$210),"",ReferenceData!$Z$210),"")</f>
        <v/>
      </c>
      <c r="AA210" t="str">
        <f ca="1">IFERROR(IF(0=LEN(ReferenceData!$AA$210),"",ReferenceData!$AA$210),"")</f>
        <v/>
      </c>
      <c r="AB210" t="str">
        <f ca="1">IFERROR(IF(0=LEN(ReferenceData!$AB$210),"",ReferenceData!$AB$210),"")</f>
        <v/>
      </c>
      <c r="AC210" t="str">
        <f ca="1">IFERROR(IF(0=LEN(ReferenceData!$AC$210),"",ReferenceData!$AC$210),"")</f>
        <v/>
      </c>
      <c r="AD210" t="str">
        <f ca="1">IFERROR(IF(0=LEN(ReferenceData!$AD$210),"",ReferenceData!$AD$210),"")</f>
        <v/>
      </c>
      <c r="AE210" t="str">
        <f ca="1">IFERROR(IF(0=LEN(ReferenceData!$AE$210),"",ReferenceData!$AE$210),"")</f>
        <v/>
      </c>
      <c r="AF210" t="str">
        <f ca="1">IFERROR(IF(0=LEN(ReferenceData!$AF$210),"",ReferenceData!$AF$210),"")</f>
        <v/>
      </c>
      <c r="AG210" t="str">
        <f ca="1">IFERROR(IF(0=LEN(ReferenceData!$AG$210),"",ReferenceData!$AG$210),"")</f>
        <v/>
      </c>
      <c r="AH210" t="str">
        <f ca="1">IFERROR(IF(0=LEN(ReferenceData!$AH$210),"",ReferenceData!$AH$210),"")</f>
        <v/>
      </c>
      <c r="AI210" t="str">
        <f ca="1">IFERROR(IF(0=LEN(ReferenceData!$AI$210),"",ReferenceData!$AI$210),"")</f>
        <v/>
      </c>
      <c r="AJ210" t="str">
        <f ca="1">IFERROR(IF(0=LEN(ReferenceData!$AJ$210),"",ReferenceData!$AJ$210),"")</f>
        <v/>
      </c>
      <c r="AK210" t="str">
        <f ca="1">IFERROR(IF(0=LEN(ReferenceData!$AK$210),"",ReferenceData!$AK$210),"")</f>
        <v/>
      </c>
      <c r="AL210" t="str">
        <f ca="1">IFERROR(IF(0=LEN(ReferenceData!$AL$210),"",ReferenceData!$AL$210),"")</f>
        <v/>
      </c>
      <c r="AM210" t="str">
        <f ca="1">IFERROR(IF(0=LEN(ReferenceData!$AM$210),"",ReferenceData!$AM$210),"")</f>
        <v/>
      </c>
      <c r="AN210" t="str">
        <f ca="1">IFERROR(IF(0=LEN(ReferenceData!$AN$210),"",ReferenceData!$AN$210),"")</f>
        <v/>
      </c>
      <c r="AO210" t="str">
        <f ca="1">IFERROR(IF(0=LEN(ReferenceData!$AO$210),"",ReferenceData!$AO$210),"")</f>
        <v/>
      </c>
      <c r="AP210" t="str">
        <f ca="1">IFERROR(IF(0=LEN(ReferenceData!$AP$210),"",ReferenceData!$AP$210),"")</f>
        <v/>
      </c>
      <c r="AQ210" t="str">
        <f ca="1">IFERROR(IF(0=LEN(ReferenceData!$AQ$210),"",ReferenceData!$AQ$210),"")</f>
        <v/>
      </c>
      <c r="AR210" t="str">
        <f ca="1">IFERROR(IF(0=LEN(ReferenceData!$AR$210),"",ReferenceData!$AR$210),"")</f>
        <v/>
      </c>
      <c r="AS210" t="str">
        <f ca="1">IFERROR(IF(0=LEN(ReferenceData!$AS$210),"",ReferenceData!$AS$210),"")</f>
        <v/>
      </c>
      <c r="AT210" t="str">
        <f ca="1">IFERROR(IF(0=LEN(ReferenceData!$AT$210),"",ReferenceData!$AT$210),"")</f>
        <v/>
      </c>
      <c r="AU210" t="str">
        <f ca="1">IFERROR(IF(0=LEN(ReferenceData!$AU$210),"",ReferenceData!$AU$210),"")</f>
        <v/>
      </c>
      <c r="AV210" t="str">
        <f ca="1">IFERROR(IF(0=LEN(ReferenceData!$AV$210),"",ReferenceData!$AV$210),"")</f>
        <v/>
      </c>
      <c r="AW210" t="str">
        <f ca="1">IFERROR(IF(0=LEN(ReferenceData!$AW$210),"",ReferenceData!$AW$210),"")</f>
        <v/>
      </c>
      <c r="AX210" t="str">
        <f ca="1">IFERROR(IF(0=LEN(ReferenceData!$AX$210),"",ReferenceData!$AX$210),"")</f>
        <v/>
      </c>
      <c r="AY210" t="str">
        <f ca="1">IFERROR(IF(0=LEN(ReferenceData!$AY$210),"",ReferenceData!$AY$210),"")</f>
        <v/>
      </c>
      <c r="AZ210" t="str">
        <f ca="1">IFERROR(IF(0=LEN(ReferenceData!$AZ$210),"",ReferenceData!$AZ$210),"")</f>
        <v/>
      </c>
      <c r="BA210" t="str">
        <f ca="1">IFERROR(IF(0=LEN(ReferenceData!$BA$210),"",ReferenceData!$BA$210),"")</f>
        <v/>
      </c>
      <c r="BB210" t="str">
        <f ca="1">IFERROR(IF(0=LEN(ReferenceData!$BB$210),"",ReferenceData!$BB$210),"")</f>
        <v/>
      </c>
      <c r="BC210" t="str">
        <f ca="1">IFERROR(IF(0=LEN(ReferenceData!$BC$210),"",ReferenceData!$BC$210),"")</f>
        <v/>
      </c>
      <c r="BD210" t="str">
        <f ca="1">IFERROR(IF(0=LEN(ReferenceData!$BD$210),"",ReferenceData!$BD$210),"")</f>
        <v/>
      </c>
      <c r="BE210" t="str">
        <f ca="1">IFERROR(IF(0=LEN(ReferenceData!$BE$210),"",ReferenceData!$BE$210),"")</f>
        <v/>
      </c>
      <c r="BF210" t="str">
        <f ca="1">IFERROR(IF(0=LEN(ReferenceData!$BF$210),"",ReferenceData!$BF$210),"")</f>
        <v/>
      </c>
      <c r="BG210" t="str">
        <f ca="1">IFERROR(IF(0=LEN(ReferenceData!$BG$210),"",ReferenceData!$BG$210),"")</f>
        <v/>
      </c>
      <c r="BH210" t="str">
        <f ca="1">IFERROR(IF(0=LEN(ReferenceData!$BH$210),"",ReferenceData!$BH$210),"")</f>
        <v/>
      </c>
      <c r="BI210" t="str">
        <f ca="1">IFERROR(IF(0=LEN(ReferenceData!$BI$210),"",ReferenceData!$BI$210),"")</f>
        <v/>
      </c>
      <c r="BJ210" t="str">
        <f ca="1">IFERROR(IF(0=LEN(ReferenceData!$BJ$210),"",ReferenceData!$BJ$210),"")</f>
        <v/>
      </c>
      <c r="BK210" t="str">
        <f ca="1">IFERROR(IF(0=LEN(ReferenceData!$BK$210),"",ReferenceData!$BK$210),"")</f>
        <v/>
      </c>
      <c r="BL210" t="str">
        <f ca="1">IFERROR(IF(0=LEN(ReferenceData!$BL$210),"",ReferenceData!$BL$210),"")</f>
        <v/>
      </c>
      <c r="BM210" t="str">
        <f ca="1">IFERROR(IF(0=LEN(ReferenceData!$BM$210),"",ReferenceData!$BM$210),"")</f>
        <v/>
      </c>
    </row>
    <row r="211" spans="1:65" x14ac:dyDescent="0.25">
      <c r="A211" t="str">
        <f>IFERROR(IF(0=LEN(ReferenceData!$A$211),"",ReferenceData!$A$211),"")</f>
        <v xml:space="preserve">    Avtovaz PJSC</v>
      </c>
      <c r="B211" t="str">
        <f>IFERROR(IF(0=LEN(ReferenceData!$B$211),"",ReferenceData!$B$211),"")</f>
        <v>AVAZ RM Equity</v>
      </c>
      <c r="C211" t="str">
        <f>IFERROR(IF(0=LEN(ReferenceData!$C$211),"",ReferenceData!$C$211),"")</f>
        <v>RR971</v>
      </c>
      <c r="D211" t="str">
        <f>IFERROR(IF(0=LEN(ReferenceData!$D$211),"",ReferenceData!$D$211),"")</f>
        <v>CURRENT_PX_TO_FREE_CASH_FLOW</v>
      </c>
      <c r="E211" t="str">
        <f>IFERROR(IF(0=LEN(ReferenceData!$E$211),"",ReferenceData!$E$211),"")</f>
        <v>Dynamic</v>
      </c>
      <c r="F211" t="str">
        <f ca="1">IFERROR(IF(0=LEN(ReferenceData!$F$211),"",ReferenceData!$F$211),"")</f>
        <v/>
      </c>
      <c r="G211" t="str">
        <f ca="1">IFERROR(IF(0=LEN(ReferenceData!$G$211),"",ReferenceData!$G$211),"")</f>
        <v/>
      </c>
      <c r="H211" t="str">
        <f ca="1">IFERROR(IF(0=LEN(ReferenceData!$H$211),"",ReferenceData!$H$211),"")</f>
        <v/>
      </c>
      <c r="I211" t="str">
        <f ca="1">IFERROR(IF(0=LEN(ReferenceData!$I$211),"",ReferenceData!$I$211),"")</f>
        <v/>
      </c>
      <c r="J211" t="str">
        <f ca="1">IFERROR(IF(0=LEN(ReferenceData!$J$211),"",ReferenceData!$J$211),"")</f>
        <v/>
      </c>
      <c r="K211" t="str">
        <f ca="1">IFERROR(IF(0=LEN(ReferenceData!$K$211),"",ReferenceData!$K$211),"")</f>
        <v/>
      </c>
      <c r="L211" t="str">
        <f ca="1">IFERROR(IF(0=LEN(ReferenceData!$L$211),"",ReferenceData!$L$211),"")</f>
        <v/>
      </c>
      <c r="M211" t="str">
        <f ca="1">IFERROR(IF(0=LEN(ReferenceData!$M$211),"",ReferenceData!$M$211),"")</f>
        <v/>
      </c>
      <c r="N211" t="str">
        <f ca="1">IFERROR(IF(0=LEN(ReferenceData!$N$211),"",ReferenceData!$N$211),"")</f>
        <v/>
      </c>
      <c r="O211" t="str">
        <f ca="1">IFERROR(IF(0=LEN(ReferenceData!$O$211),"",ReferenceData!$O$211),"")</f>
        <v/>
      </c>
      <c r="P211" t="str">
        <f ca="1">IFERROR(IF(0=LEN(ReferenceData!$P$211),"",ReferenceData!$P$211),"")</f>
        <v/>
      </c>
      <c r="Q211" t="str">
        <f ca="1">IFERROR(IF(0=LEN(ReferenceData!$Q$211),"",ReferenceData!$Q$211),"")</f>
        <v/>
      </c>
      <c r="R211" t="str">
        <f ca="1">IFERROR(IF(0=LEN(ReferenceData!$R$211),"",ReferenceData!$R$211),"")</f>
        <v/>
      </c>
      <c r="S211" t="str">
        <f ca="1">IFERROR(IF(0=LEN(ReferenceData!$S$211),"",ReferenceData!$S$211),"")</f>
        <v/>
      </c>
      <c r="T211" t="str">
        <f ca="1">IFERROR(IF(0=LEN(ReferenceData!$T$211),"",ReferenceData!$T$211),"")</f>
        <v/>
      </c>
      <c r="U211" t="str">
        <f ca="1">IFERROR(IF(0=LEN(ReferenceData!$U$211),"",ReferenceData!$U$211),"")</f>
        <v/>
      </c>
      <c r="V211" t="str">
        <f ca="1">IFERROR(IF(0=LEN(ReferenceData!$V$211),"",ReferenceData!$V$211),"")</f>
        <v/>
      </c>
      <c r="W211" t="str">
        <f ca="1">IFERROR(IF(0=LEN(ReferenceData!$W$211),"",ReferenceData!$W$211),"")</f>
        <v/>
      </c>
      <c r="X211" t="str">
        <f ca="1">IFERROR(IF(0=LEN(ReferenceData!$X$211),"",ReferenceData!$X$211),"")</f>
        <v/>
      </c>
      <c r="Y211" t="str">
        <f ca="1">IFERROR(IF(0=LEN(ReferenceData!$Y$211),"",ReferenceData!$Y$211),"")</f>
        <v/>
      </c>
      <c r="Z211" t="str">
        <f ca="1">IFERROR(IF(0=LEN(ReferenceData!$Z$211),"",ReferenceData!$Z$211),"")</f>
        <v/>
      </c>
      <c r="AA211" t="str">
        <f ca="1">IFERROR(IF(0=LEN(ReferenceData!$AA$211),"",ReferenceData!$AA$211),"")</f>
        <v/>
      </c>
      <c r="AB211" t="str">
        <f ca="1">IFERROR(IF(0=LEN(ReferenceData!$AB$211),"",ReferenceData!$AB$211),"")</f>
        <v/>
      </c>
      <c r="AC211" t="str">
        <f ca="1">IFERROR(IF(0=LEN(ReferenceData!$AC$211),"",ReferenceData!$AC$211),"")</f>
        <v/>
      </c>
      <c r="AD211" t="str">
        <f ca="1">IFERROR(IF(0=LEN(ReferenceData!$AD$211),"",ReferenceData!$AD$211),"")</f>
        <v/>
      </c>
      <c r="AE211" t="str">
        <f ca="1">IFERROR(IF(0=LEN(ReferenceData!$AE$211),"",ReferenceData!$AE$211),"")</f>
        <v/>
      </c>
      <c r="AF211" t="str">
        <f ca="1">IFERROR(IF(0=LEN(ReferenceData!$AF$211),"",ReferenceData!$AF$211),"")</f>
        <v/>
      </c>
      <c r="AG211" t="str">
        <f ca="1">IFERROR(IF(0=LEN(ReferenceData!$AG$211),"",ReferenceData!$AG$211),"")</f>
        <v/>
      </c>
      <c r="AH211" t="str">
        <f ca="1">IFERROR(IF(0=LEN(ReferenceData!$AH$211),"",ReferenceData!$AH$211),"")</f>
        <v/>
      </c>
      <c r="AI211" t="str">
        <f ca="1">IFERROR(IF(0=LEN(ReferenceData!$AI$211),"",ReferenceData!$AI$211),"")</f>
        <v/>
      </c>
      <c r="AJ211" t="str">
        <f ca="1">IFERROR(IF(0=LEN(ReferenceData!$AJ$211),"",ReferenceData!$AJ$211),"")</f>
        <v/>
      </c>
      <c r="AK211" t="str">
        <f ca="1">IFERROR(IF(0=LEN(ReferenceData!$AK$211),"",ReferenceData!$AK$211),"")</f>
        <v/>
      </c>
      <c r="AL211" t="str">
        <f ca="1">IFERROR(IF(0=LEN(ReferenceData!$AL$211),"",ReferenceData!$AL$211),"")</f>
        <v/>
      </c>
      <c r="AM211" t="str">
        <f ca="1">IFERROR(IF(0=LEN(ReferenceData!$AM$211),"",ReferenceData!$AM$211),"")</f>
        <v/>
      </c>
      <c r="AN211" t="str">
        <f ca="1">IFERROR(IF(0=LEN(ReferenceData!$AN$211),"",ReferenceData!$AN$211),"")</f>
        <v/>
      </c>
      <c r="AO211" t="str">
        <f ca="1">IFERROR(IF(0=LEN(ReferenceData!$AO$211),"",ReferenceData!$AO$211),"")</f>
        <v/>
      </c>
      <c r="AP211" t="str">
        <f ca="1">IFERROR(IF(0=LEN(ReferenceData!$AP$211),"",ReferenceData!$AP$211),"")</f>
        <v/>
      </c>
      <c r="AQ211" t="str">
        <f ca="1">IFERROR(IF(0=LEN(ReferenceData!$AQ$211),"",ReferenceData!$AQ$211),"")</f>
        <v/>
      </c>
      <c r="AR211" t="str">
        <f ca="1">IFERROR(IF(0=LEN(ReferenceData!$AR$211),"",ReferenceData!$AR$211),"")</f>
        <v/>
      </c>
      <c r="AS211" t="str">
        <f ca="1">IFERROR(IF(0=LEN(ReferenceData!$AS$211),"",ReferenceData!$AS$211),"")</f>
        <v/>
      </c>
      <c r="AT211" t="str">
        <f ca="1">IFERROR(IF(0=LEN(ReferenceData!$AT$211),"",ReferenceData!$AT$211),"")</f>
        <v/>
      </c>
      <c r="AU211" t="str">
        <f ca="1">IFERROR(IF(0=LEN(ReferenceData!$AU$211),"",ReferenceData!$AU$211),"")</f>
        <v/>
      </c>
      <c r="AV211" t="str">
        <f ca="1">IFERROR(IF(0=LEN(ReferenceData!$AV$211),"",ReferenceData!$AV$211),"")</f>
        <v/>
      </c>
      <c r="AW211" t="str">
        <f ca="1">IFERROR(IF(0=LEN(ReferenceData!$AW$211),"",ReferenceData!$AW$211),"")</f>
        <v/>
      </c>
      <c r="AX211" t="str">
        <f ca="1">IFERROR(IF(0=LEN(ReferenceData!$AX$211),"",ReferenceData!$AX$211),"")</f>
        <v/>
      </c>
      <c r="AY211" t="str">
        <f ca="1">IFERROR(IF(0=LEN(ReferenceData!$AY$211),"",ReferenceData!$AY$211),"")</f>
        <v/>
      </c>
      <c r="AZ211" t="str">
        <f ca="1">IFERROR(IF(0=LEN(ReferenceData!$AZ$211),"",ReferenceData!$AZ$211),"")</f>
        <v/>
      </c>
      <c r="BA211" t="str">
        <f ca="1">IFERROR(IF(0=LEN(ReferenceData!$BA$211),"",ReferenceData!$BA$211),"")</f>
        <v/>
      </c>
      <c r="BB211" t="str">
        <f ca="1">IFERROR(IF(0=LEN(ReferenceData!$BB$211),"",ReferenceData!$BB$211),"")</f>
        <v/>
      </c>
      <c r="BC211" t="str">
        <f ca="1">IFERROR(IF(0=LEN(ReferenceData!$BC$211),"",ReferenceData!$BC$211),"")</f>
        <v/>
      </c>
      <c r="BD211" t="str">
        <f ca="1">IFERROR(IF(0=LEN(ReferenceData!$BD$211),"",ReferenceData!$BD$211),"")</f>
        <v/>
      </c>
      <c r="BE211" t="str">
        <f ca="1">IFERROR(IF(0=LEN(ReferenceData!$BE$211),"",ReferenceData!$BE$211),"")</f>
        <v/>
      </c>
      <c r="BF211" t="str">
        <f ca="1">IFERROR(IF(0=LEN(ReferenceData!$BF$211),"",ReferenceData!$BF$211),"")</f>
        <v/>
      </c>
      <c r="BG211" t="str">
        <f ca="1">IFERROR(IF(0=LEN(ReferenceData!$BG$211),"",ReferenceData!$BG$211),"")</f>
        <v/>
      </c>
      <c r="BH211" t="str">
        <f ca="1">IFERROR(IF(0=LEN(ReferenceData!$BH$211),"",ReferenceData!$BH$211),"")</f>
        <v/>
      </c>
      <c r="BI211" t="str">
        <f ca="1">IFERROR(IF(0=LEN(ReferenceData!$BI$211),"",ReferenceData!$BI$211),"")</f>
        <v/>
      </c>
      <c r="BJ211" t="str">
        <f ca="1">IFERROR(IF(0=LEN(ReferenceData!$BJ$211),"",ReferenceData!$BJ$211),"")</f>
        <v/>
      </c>
      <c r="BK211" t="str">
        <f ca="1">IFERROR(IF(0=LEN(ReferenceData!$BK$211),"",ReferenceData!$BK$211),"")</f>
        <v/>
      </c>
      <c r="BL211" t="str">
        <f ca="1">IFERROR(IF(0=LEN(ReferenceData!$BL$211),"",ReferenceData!$BL$211),"")</f>
        <v/>
      </c>
      <c r="BM211" t="str">
        <f ca="1">IFERROR(IF(0=LEN(ReferenceData!$BM$211),"",ReferenceData!$BM$211),"")</f>
        <v/>
      </c>
    </row>
    <row r="212" spans="1:65" x14ac:dyDescent="0.25">
      <c r="A212" t="str">
        <f>IFERROR(IF(0=LEN(ReferenceData!$A$212),"",ReferenceData!$A$212),"")</f>
        <v xml:space="preserve">    Bayerische Motoren Werke AG</v>
      </c>
      <c r="B212" t="str">
        <f>IFERROR(IF(0=LEN(ReferenceData!$B$212),"",ReferenceData!$B$212),"")</f>
        <v>BMW GR Equity</v>
      </c>
      <c r="C212" t="str">
        <f>IFERROR(IF(0=LEN(ReferenceData!$C$212),"",ReferenceData!$C$212),"")</f>
        <v>RR971</v>
      </c>
      <c r="D212" t="str">
        <f>IFERROR(IF(0=LEN(ReferenceData!$D$212),"",ReferenceData!$D$212),"")</f>
        <v>CURRENT_PX_TO_FREE_CASH_FLOW</v>
      </c>
      <c r="E212" t="str">
        <f>IFERROR(IF(0=LEN(ReferenceData!$E$212),"",ReferenceData!$E$212),"")</f>
        <v>Dynamic</v>
      </c>
      <c r="F212" t="str">
        <f ca="1">IFERROR(IF(0=LEN(ReferenceData!$F$212),"",ReferenceData!$F$212),"")</f>
        <v/>
      </c>
      <c r="G212" t="str">
        <f ca="1">IFERROR(IF(0=LEN(ReferenceData!$G$212),"",ReferenceData!$G$212),"")</f>
        <v/>
      </c>
      <c r="H212" t="str">
        <f ca="1">IFERROR(IF(0=LEN(ReferenceData!$H$212),"",ReferenceData!$H$212),"")</f>
        <v/>
      </c>
      <c r="I212" t="str">
        <f ca="1">IFERROR(IF(0=LEN(ReferenceData!$I$212),"",ReferenceData!$I$212),"")</f>
        <v/>
      </c>
      <c r="J212" t="str">
        <f ca="1">IFERROR(IF(0=LEN(ReferenceData!$J$212),"",ReferenceData!$J$212),"")</f>
        <v/>
      </c>
      <c r="K212" t="str">
        <f ca="1">IFERROR(IF(0=LEN(ReferenceData!$K$212),"",ReferenceData!$K$212),"")</f>
        <v/>
      </c>
      <c r="L212" t="str">
        <f ca="1">IFERROR(IF(0=LEN(ReferenceData!$L$212),"",ReferenceData!$L$212),"")</f>
        <v/>
      </c>
      <c r="M212" t="str">
        <f ca="1">IFERROR(IF(0=LEN(ReferenceData!$M$212),"",ReferenceData!$M$212),"")</f>
        <v/>
      </c>
      <c r="N212" t="str">
        <f ca="1">IFERROR(IF(0=LEN(ReferenceData!$N$212),"",ReferenceData!$N$212),"")</f>
        <v/>
      </c>
      <c r="O212" t="str">
        <f ca="1">IFERROR(IF(0=LEN(ReferenceData!$O$212),"",ReferenceData!$O$212),"")</f>
        <v/>
      </c>
      <c r="P212" t="str">
        <f ca="1">IFERROR(IF(0=LEN(ReferenceData!$P$212),"",ReferenceData!$P$212),"")</f>
        <v/>
      </c>
      <c r="Q212" t="str">
        <f ca="1">IFERROR(IF(0=LEN(ReferenceData!$Q$212),"",ReferenceData!$Q$212),"")</f>
        <v/>
      </c>
      <c r="R212" t="str">
        <f ca="1">IFERROR(IF(0=LEN(ReferenceData!$R$212),"",ReferenceData!$R$212),"")</f>
        <v/>
      </c>
      <c r="S212" t="str">
        <f ca="1">IFERROR(IF(0=LEN(ReferenceData!$S$212),"",ReferenceData!$S$212),"")</f>
        <v/>
      </c>
      <c r="T212" t="str">
        <f ca="1">IFERROR(IF(0=LEN(ReferenceData!$T$212),"",ReferenceData!$T$212),"")</f>
        <v/>
      </c>
      <c r="U212" t="str">
        <f ca="1">IFERROR(IF(0=LEN(ReferenceData!$U$212),"",ReferenceData!$U$212),"")</f>
        <v/>
      </c>
      <c r="V212" t="str">
        <f ca="1">IFERROR(IF(0=LEN(ReferenceData!$V$212),"",ReferenceData!$V$212),"")</f>
        <v/>
      </c>
      <c r="W212" t="str">
        <f ca="1">IFERROR(IF(0=LEN(ReferenceData!$W$212),"",ReferenceData!$W$212),"")</f>
        <v/>
      </c>
      <c r="X212" t="str">
        <f ca="1">IFERROR(IF(0=LEN(ReferenceData!$X$212),"",ReferenceData!$X$212),"")</f>
        <v/>
      </c>
      <c r="Y212" t="str">
        <f ca="1">IFERROR(IF(0=LEN(ReferenceData!$Y$212),"",ReferenceData!$Y$212),"")</f>
        <v/>
      </c>
      <c r="Z212" t="str">
        <f ca="1">IFERROR(IF(0=LEN(ReferenceData!$Z$212),"",ReferenceData!$Z$212),"")</f>
        <v/>
      </c>
      <c r="AA212" t="str">
        <f ca="1">IFERROR(IF(0=LEN(ReferenceData!$AA$212),"",ReferenceData!$AA$212),"")</f>
        <v/>
      </c>
      <c r="AB212" t="str">
        <f ca="1">IFERROR(IF(0=LEN(ReferenceData!$AB$212),"",ReferenceData!$AB$212),"")</f>
        <v/>
      </c>
      <c r="AC212" t="str">
        <f ca="1">IFERROR(IF(0=LEN(ReferenceData!$AC$212),"",ReferenceData!$AC$212),"")</f>
        <v/>
      </c>
      <c r="AD212" t="str">
        <f ca="1">IFERROR(IF(0=LEN(ReferenceData!$AD$212),"",ReferenceData!$AD$212),"")</f>
        <v/>
      </c>
      <c r="AE212" t="str">
        <f ca="1">IFERROR(IF(0=LEN(ReferenceData!$AE$212),"",ReferenceData!$AE$212),"")</f>
        <v/>
      </c>
      <c r="AF212">
        <f ca="1">IFERROR(IF(0=LEN(ReferenceData!$AF$212),"",ReferenceData!$AF$212),"")</f>
        <v>51.436594300000003</v>
      </c>
      <c r="AG212">
        <f ca="1">IFERROR(IF(0=LEN(ReferenceData!$AG$212),"",ReferenceData!$AG$212),"")</f>
        <v>50.235258770000002</v>
      </c>
      <c r="AH212">
        <f ca="1">IFERROR(IF(0=LEN(ReferenceData!$AH$212),"",ReferenceData!$AH$212),"")</f>
        <v>21.90747429</v>
      </c>
      <c r="AI212">
        <f ca="1">IFERROR(IF(0=LEN(ReferenceData!$AI$212),"",ReferenceData!$AI$212),"")</f>
        <v>16.913247429999998</v>
      </c>
      <c r="AJ212" t="str">
        <f ca="1">IFERROR(IF(0=LEN(ReferenceData!$AJ$212),"",ReferenceData!$AJ$212),"")</f>
        <v/>
      </c>
      <c r="AK212">
        <f ca="1">IFERROR(IF(0=LEN(ReferenceData!$AK$212),"",ReferenceData!$AK$212),"")</f>
        <v>36.026282569999999</v>
      </c>
      <c r="AL212">
        <f ca="1">IFERROR(IF(0=LEN(ReferenceData!$AL$212),"",ReferenceData!$AL$212),"")</f>
        <v>30.715552120000002</v>
      </c>
      <c r="AM212">
        <f ca="1">IFERROR(IF(0=LEN(ReferenceData!$AM$212),"",ReferenceData!$AM$212),"")</f>
        <v>43.388641</v>
      </c>
      <c r="AN212">
        <f ca="1">IFERROR(IF(0=LEN(ReferenceData!$AN$212),"",ReferenceData!$AN$212),"")</f>
        <v>4.1009902399999998</v>
      </c>
      <c r="AO212">
        <f ca="1">IFERROR(IF(0=LEN(ReferenceData!$AO$212),"",ReferenceData!$AO$212),"")</f>
        <v>3.5258914429999999</v>
      </c>
      <c r="AP212">
        <f ca="1">IFERROR(IF(0=LEN(ReferenceData!$AP$212),"",ReferenceData!$AP$212),"")</f>
        <v>3.5721777399999999</v>
      </c>
      <c r="AQ212">
        <f ca="1">IFERROR(IF(0=LEN(ReferenceData!$AQ$212),"",ReferenceData!$AQ$212),"")</f>
        <v>3.161764824</v>
      </c>
      <c r="AR212">
        <f ca="1">IFERROR(IF(0=LEN(ReferenceData!$AR$212),"",ReferenceData!$AR$212),"")</f>
        <v>4.0413907629999999</v>
      </c>
      <c r="AS212">
        <f ca="1">IFERROR(IF(0=LEN(ReferenceData!$AS$212),"",ReferenceData!$AS$212),"")</f>
        <v>1.7661917979999999</v>
      </c>
      <c r="AT212">
        <f ca="1">IFERROR(IF(0=LEN(ReferenceData!$AT$212),"",ReferenceData!$AT$212),"")</f>
        <v>1.2674593080000001</v>
      </c>
      <c r="AU212">
        <f ca="1">IFERROR(IF(0=LEN(ReferenceData!$AU$212),"",ReferenceData!$AU$212),"")</f>
        <v>1.3140964589999999</v>
      </c>
      <c r="AV212">
        <f ca="1">IFERROR(IF(0=LEN(ReferenceData!$AV$212),"",ReferenceData!$AV$212),"")</f>
        <v>1.3977339689999999</v>
      </c>
      <c r="AW212">
        <f ca="1">IFERROR(IF(0=LEN(ReferenceData!$AW$212),"",ReferenceData!$AW$212),"")</f>
        <v>2.4150637750000001</v>
      </c>
      <c r="AX212">
        <f ca="1">IFERROR(IF(0=LEN(ReferenceData!$AX$212),"",ReferenceData!$AX$212),"")</f>
        <v>3.21351041</v>
      </c>
      <c r="AY212">
        <f ca="1">IFERROR(IF(0=LEN(ReferenceData!$AY$212),"",ReferenceData!$AY$212),"")</f>
        <v>3.709313131</v>
      </c>
      <c r="AZ212">
        <f ca="1">IFERROR(IF(0=LEN(ReferenceData!$AZ$212),"",ReferenceData!$AZ$212),"")</f>
        <v>6.064097007</v>
      </c>
      <c r="BA212">
        <f ca="1">IFERROR(IF(0=LEN(ReferenceData!$BA$212),"",ReferenceData!$BA$212),"")</f>
        <v>6.5595785429999998</v>
      </c>
      <c r="BB212">
        <f ca="1">IFERROR(IF(0=LEN(ReferenceData!$BB$212),"",ReferenceData!$BB$212),"")</f>
        <v>5.2886697849999997</v>
      </c>
      <c r="BC212">
        <f ca="1">IFERROR(IF(0=LEN(ReferenceData!$BC$212),"",ReferenceData!$BC$212),"")</f>
        <v>5.0483327630000003</v>
      </c>
      <c r="BD212">
        <f ca="1">IFERROR(IF(0=LEN(ReferenceData!$BD$212),"",ReferenceData!$BD$212),"")</f>
        <v>4.6065582950000001</v>
      </c>
      <c r="BE212">
        <f ca="1">IFERROR(IF(0=LEN(ReferenceData!$BE$212),"",ReferenceData!$BE$212),"")</f>
        <v>3.4593239640000002</v>
      </c>
      <c r="BF212">
        <f ca="1">IFERROR(IF(0=LEN(ReferenceData!$BF$212),"",ReferenceData!$BF$212),"")</f>
        <v>4.4354110440000003</v>
      </c>
      <c r="BG212">
        <f ca="1">IFERROR(IF(0=LEN(ReferenceData!$BG$212),"",ReferenceData!$BG$212),"")</f>
        <v>3.6579446619999998</v>
      </c>
      <c r="BH212" t="str">
        <f ca="1">IFERROR(IF(0=LEN(ReferenceData!$BH$212),"",ReferenceData!$BH$212),"")</f>
        <v/>
      </c>
      <c r="BI212" t="str">
        <f ca="1">IFERROR(IF(0=LEN(ReferenceData!$BI$212),"",ReferenceData!$BI$212),"")</f>
        <v/>
      </c>
      <c r="BJ212" t="str">
        <f ca="1">IFERROR(IF(0=LEN(ReferenceData!$BJ$212),"",ReferenceData!$BJ$212),"")</f>
        <v/>
      </c>
      <c r="BK212" t="str">
        <f ca="1">IFERROR(IF(0=LEN(ReferenceData!$BK$212),"",ReferenceData!$BK$212),"")</f>
        <v/>
      </c>
      <c r="BL212" t="str">
        <f ca="1">IFERROR(IF(0=LEN(ReferenceData!$BL$212),"",ReferenceData!$BL$212),"")</f>
        <v/>
      </c>
      <c r="BM212" t="str">
        <f ca="1">IFERROR(IF(0=LEN(ReferenceData!$BM$212),"",ReferenceData!$BM$212),"")</f>
        <v/>
      </c>
    </row>
    <row r="213" spans="1:65" x14ac:dyDescent="0.25">
      <c r="A213" t="str">
        <f>IFERROR(IF(0=LEN(ReferenceData!$A$213),"",ReferenceData!$A$213),"")</f>
        <v xml:space="preserve">    Brilliance China Automotive Holdings Ltd</v>
      </c>
      <c r="B213" t="str">
        <f>IFERROR(IF(0=LEN(ReferenceData!$B$213),"",ReferenceData!$B$213),"")</f>
        <v>1114 HK Equity</v>
      </c>
      <c r="C213" t="str">
        <f>IFERROR(IF(0=LEN(ReferenceData!$C$213),"",ReferenceData!$C$213),"")</f>
        <v>RR971</v>
      </c>
      <c r="D213" t="str">
        <f>IFERROR(IF(0=LEN(ReferenceData!$D$213),"",ReferenceData!$D$213),"")</f>
        <v>CURRENT_PX_TO_FREE_CASH_FLOW</v>
      </c>
      <c r="E213" t="str">
        <f>IFERROR(IF(0=LEN(ReferenceData!$E$213),"",ReferenceData!$E$213),"")</f>
        <v>Dynamic</v>
      </c>
      <c r="F213" t="str">
        <f ca="1">IFERROR(IF(0=LEN(ReferenceData!$F$213),"",ReferenceData!$F$213),"")</f>
        <v/>
      </c>
      <c r="G213" t="str">
        <f ca="1">IFERROR(IF(0=LEN(ReferenceData!$G$213),"",ReferenceData!$G$213),"")</f>
        <v/>
      </c>
      <c r="H213" t="str">
        <f ca="1">IFERROR(IF(0=LEN(ReferenceData!$H$213),"",ReferenceData!$H$213),"")</f>
        <v/>
      </c>
      <c r="I213" t="str">
        <f ca="1">IFERROR(IF(0=LEN(ReferenceData!$I$213),"",ReferenceData!$I$213),"")</f>
        <v/>
      </c>
      <c r="J213" t="str">
        <f ca="1">IFERROR(IF(0=LEN(ReferenceData!$J$213),"",ReferenceData!$J$213),"")</f>
        <v/>
      </c>
      <c r="K213" t="str">
        <f ca="1">IFERROR(IF(0=LEN(ReferenceData!$K$213),"",ReferenceData!$K$213),"")</f>
        <v/>
      </c>
      <c r="L213" t="str">
        <f ca="1">IFERROR(IF(0=LEN(ReferenceData!$L$213),"",ReferenceData!$L$213),"")</f>
        <v/>
      </c>
      <c r="M213" t="str">
        <f ca="1">IFERROR(IF(0=LEN(ReferenceData!$M$213),"",ReferenceData!$M$213),"")</f>
        <v/>
      </c>
      <c r="N213" t="str">
        <f ca="1">IFERROR(IF(0=LEN(ReferenceData!$N$213),"",ReferenceData!$N$213),"")</f>
        <v/>
      </c>
      <c r="O213" t="str">
        <f ca="1">IFERROR(IF(0=LEN(ReferenceData!$O$213),"",ReferenceData!$O$213),"")</f>
        <v/>
      </c>
      <c r="P213" t="str">
        <f ca="1">IFERROR(IF(0=LEN(ReferenceData!$P$213),"",ReferenceData!$P$213),"")</f>
        <v/>
      </c>
      <c r="Q213" t="str">
        <f ca="1">IFERROR(IF(0=LEN(ReferenceData!$Q$213),"",ReferenceData!$Q$213),"")</f>
        <v/>
      </c>
      <c r="R213" t="str">
        <f ca="1">IFERROR(IF(0=LEN(ReferenceData!$R$213),"",ReferenceData!$R$213),"")</f>
        <v/>
      </c>
      <c r="S213" t="str">
        <f ca="1">IFERROR(IF(0=LEN(ReferenceData!$S$213),"",ReferenceData!$S$213),"")</f>
        <v/>
      </c>
      <c r="T213" t="str">
        <f ca="1">IFERROR(IF(0=LEN(ReferenceData!$T$213),"",ReferenceData!$T$213),"")</f>
        <v/>
      </c>
      <c r="U213" t="str">
        <f ca="1">IFERROR(IF(0=LEN(ReferenceData!$U$213),"",ReferenceData!$U$213),"")</f>
        <v/>
      </c>
      <c r="V213" t="str">
        <f ca="1">IFERROR(IF(0=LEN(ReferenceData!$V$213),"",ReferenceData!$V$213),"")</f>
        <v/>
      </c>
      <c r="W213" t="str">
        <f ca="1">IFERROR(IF(0=LEN(ReferenceData!$W$213),"",ReferenceData!$W$213),"")</f>
        <v/>
      </c>
      <c r="X213" t="str">
        <f ca="1">IFERROR(IF(0=LEN(ReferenceData!$X$213),"",ReferenceData!$X$213),"")</f>
        <v/>
      </c>
      <c r="Y213" t="str">
        <f ca="1">IFERROR(IF(0=LEN(ReferenceData!$Y$213),"",ReferenceData!$Y$213),"")</f>
        <v/>
      </c>
      <c r="Z213" t="str">
        <f ca="1">IFERROR(IF(0=LEN(ReferenceData!$Z$213),"",ReferenceData!$Z$213),"")</f>
        <v/>
      </c>
      <c r="AA213" t="str">
        <f ca="1">IFERROR(IF(0=LEN(ReferenceData!$AA$213),"",ReferenceData!$AA$213),"")</f>
        <v/>
      </c>
      <c r="AB213" t="str">
        <f ca="1">IFERROR(IF(0=LEN(ReferenceData!$AB$213),"",ReferenceData!$AB$213),"")</f>
        <v/>
      </c>
      <c r="AC213" t="str">
        <f ca="1">IFERROR(IF(0=LEN(ReferenceData!$AC$213),"",ReferenceData!$AC$213),"")</f>
        <v/>
      </c>
      <c r="AD213" t="str">
        <f ca="1">IFERROR(IF(0=LEN(ReferenceData!$AD$213),"",ReferenceData!$AD$213),"")</f>
        <v/>
      </c>
      <c r="AE213" t="str">
        <f ca="1">IFERROR(IF(0=LEN(ReferenceData!$AE$213),"",ReferenceData!$AE$213),"")</f>
        <v/>
      </c>
      <c r="AF213" t="str">
        <f ca="1">IFERROR(IF(0=LEN(ReferenceData!$AF$213),"",ReferenceData!$AF$213),"")</f>
        <v/>
      </c>
      <c r="AG213" t="str">
        <f ca="1">IFERROR(IF(0=LEN(ReferenceData!$AG$213),"",ReferenceData!$AG$213),"")</f>
        <v/>
      </c>
      <c r="AH213" t="str">
        <f ca="1">IFERROR(IF(0=LEN(ReferenceData!$AH$213),"",ReferenceData!$AH$213),"")</f>
        <v/>
      </c>
      <c r="AI213" t="str">
        <f ca="1">IFERROR(IF(0=LEN(ReferenceData!$AI$213),"",ReferenceData!$AI$213),"")</f>
        <v/>
      </c>
      <c r="AJ213" t="str">
        <f ca="1">IFERROR(IF(0=LEN(ReferenceData!$AJ$213),"",ReferenceData!$AJ$213),"")</f>
        <v/>
      </c>
      <c r="AK213" t="str">
        <f ca="1">IFERROR(IF(0=LEN(ReferenceData!$AK$213),"",ReferenceData!$AK$213),"")</f>
        <v/>
      </c>
      <c r="AL213" t="str">
        <f ca="1">IFERROR(IF(0=LEN(ReferenceData!$AL$213),"",ReferenceData!$AL$213),"")</f>
        <v/>
      </c>
      <c r="AM213" t="str">
        <f ca="1">IFERROR(IF(0=LEN(ReferenceData!$AM$213),"",ReferenceData!$AM$213),"")</f>
        <v/>
      </c>
      <c r="AN213" t="str">
        <f ca="1">IFERROR(IF(0=LEN(ReferenceData!$AN$213),"",ReferenceData!$AN$213),"")</f>
        <v/>
      </c>
      <c r="AO213" t="str">
        <f ca="1">IFERROR(IF(0=LEN(ReferenceData!$AO$213),"",ReferenceData!$AO$213),"")</f>
        <v/>
      </c>
      <c r="AP213" t="str">
        <f ca="1">IFERROR(IF(0=LEN(ReferenceData!$AP$213),"",ReferenceData!$AP$213),"")</f>
        <v/>
      </c>
      <c r="AQ213" t="str">
        <f ca="1">IFERROR(IF(0=LEN(ReferenceData!$AQ$213),"",ReferenceData!$AQ$213),"")</f>
        <v/>
      </c>
      <c r="AR213" t="str">
        <f ca="1">IFERROR(IF(0=LEN(ReferenceData!$AR$213),"",ReferenceData!$AR$213),"")</f>
        <v/>
      </c>
      <c r="AS213" t="str">
        <f ca="1">IFERROR(IF(0=LEN(ReferenceData!$AS$213),"",ReferenceData!$AS$213),"")</f>
        <v/>
      </c>
      <c r="AT213" t="str">
        <f ca="1">IFERROR(IF(0=LEN(ReferenceData!$AT$213),"",ReferenceData!$AT$213),"")</f>
        <v/>
      </c>
      <c r="AU213" t="str">
        <f ca="1">IFERROR(IF(0=LEN(ReferenceData!$AU$213),"",ReferenceData!$AU$213),"")</f>
        <v/>
      </c>
      <c r="AV213" t="str">
        <f ca="1">IFERROR(IF(0=LEN(ReferenceData!$AV$213),"",ReferenceData!$AV$213),"")</f>
        <v/>
      </c>
      <c r="AW213" t="str">
        <f ca="1">IFERROR(IF(0=LEN(ReferenceData!$AW$213),"",ReferenceData!$AW$213),"")</f>
        <v/>
      </c>
      <c r="AX213" t="str">
        <f ca="1">IFERROR(IF(0=LEN(ReferenceData!$AX$213),"",ReferenceData!$AX$213),"")</f>
        <v/>
      </c>
      <c r="AY213" t="str">
        <f ca="1">IFERROR(IF(0=LEN(ReferenceData!$AY$213),"",ReferenceData!$AY$213),"")</f>
        <v/>
      </c>
      <c r="AZ213" t="str">
        <f ca="1">IFERROR(IF(0=LEN(ReferenceData!$AZ$213),"",ReferenceData!$AZ$213),"")</f>
        <v/>
      </c>
      <c r="BA213" t="str">
        <f ca="1">IFERROR(IF(0=LEN(ReferenceData!$BA$213),"",ReferenceData!$BA$213),"")</f>
        <v/>
      </c>
      <c r="BB213" t="str">
        <f ca="1">IFERROR(IF(0=LEN(ReferenceData!$BB$213),"",ReferenceData!$BB$213),"")</f>
        <v/>
      </c>
      <c r="BC213" t="str">
        <f ca="1">IFERROR(IF(0=LEN(ReferenceData!$BC$213),"",ReferenceData!$BC$213),"")</f>
        <v/>
      </c>
      <c r="BD213" t="str">
        <f ca="1">IFERROR(IF(0=LEN(ReferenceData!$BD$213),"",ReferenceData!$BD$213),"")</f>
        <v/>
      </c>
      <c r="BE213" t="str">
        <f ca="1">IFERROR(IF(0=LEN(ReferenceData!$BE$213),"",ReferenceData!$BE$213),"")</f>
        <v/>
      </c>
      <c r="BF213" t="str">
        <f ca="1">IFERROR(IF(0=LEN(ReferenceData!$BF$213),"",ReferenceData!$BF$213),"")</f>
        <v/>
      </c>
      <c r="BG213" t="str">
        <f ca="1">IFERROR(IF(0=LEN(ReferenceData!$BG$213),"",ReferenceData!$BG$213),"")</f>
        <v/>
      </c>
      <c r="BH213" t="str">
        <f ca="1">IFERROR(IF(0=LEN(ReferenceData!$BH$213),"",ReferenceData!$BH$213),"")</f>
        <v/>
      </c>
      <c r="BI213" t="str">
        <f ca="1">IFERROR(IF(0=LEN(ReferenceData!$BI$213),"",ReferenceData!$BI$213),"")</f>
        <v/>
      </c>
      <c r="BJ213" t="str">
        <f ca="1">IFERROR(IF(0=LEN(ReferenceData!$BJ$213),"",ReferenceData!$BJ$213),"")</f>
        <v/>
      </c>
      <c r="BK213" t="str">
        <f ca="1">IFERROR(IF(0=LEN(ReferenceData!$BK$213),"",ReferenceData!$BK$213),"")</f>
        <v/>
      </c>
      <c r="BL213" t="str">
        <f ca="1">IFERROR(IF(0=LEN(ReferenceData!$BL$213),"",ReferenceData!$BL$213),"")</f>
        <v/>
      </c>
      <c r="BM213" t="str">
        <f ca="1">IFERROR(IF(0=LEN(ReferenceData!$BM$213),"",ReferenceData!$BM$213),"")</f>
        <v/>
      </c>
    </row>
    <row r="214" spans="1:65" x14ac:dyDescent="0.25">
      <c r="A214" t="str">
        <f>IFERROR(IF(0=LEN(ReferenceData!$A$214),"",ReferenceData!$A$214),"")</f>
        <v xml:space="preserve">    BYD Co Ltd</v>
      </c>
      <c r="B214" t="str">
        <f>IFERROR(IF(0=LEN(ReferenceData!$B$214),"",ReferenceData!$B$214),"")</f>
        <v>1211 HK Equity</v>
      </c>
      <c r="C214" t="str">
        <f>IFERROR(IF(0=LEN(ReferenceData!$C$214),"",ReferenceData!$C$214),"")</f>
        <v>RR971</v>
      </c>
      <c r="D214" t="str">
        <f>IFERROR(IF(0=LEN(ReferenceData!$D$214),"",ReferenceData!$D$214),"")</f>
        <v>CURRENT_PX_TO_FREE_CASH_FLOW</v>
      </c>
      <c r="E214" t="str">
        <f>IFERROR(IF(0=LEN(ReferenceData!$E$214),"",ReferenceData!$E$214),"")</f>
        <v>Dynamic</v>
      </c>
      <c r="F214" t="str">
        <f ca="1">IFERROR(IF(0=LEN(ReferenceData!$F$214),"",ReferenceData!$F$214),"")</f>
        <v/>
      </c>
      <c r="G214" t="str">
        <f ca="1">IFERROR(IF(0=LEN(ReferenceData!$G$214),"",ReferenceData!$G$214),"")</f>
        <v/>
      </c>
      <c r="H214" t="str">
        <f ca="1">IFERROR(IF(0=LEN(ReferenceData!$H$214),"",ReferenceData!$H$214),"")</f>
        <v/>
      </c>
      <c r="I214" t="str">
        <f ca="1">IFERROR(IF(0=LEN(ReferenceData!$I$214),"",ReferenceData!$I$214),"")</f>
        <v/>
      </c>
      <c r="J214" t="str">
        <f ca="1">IFERROR(IF(0=LEN(ReferenceData!$J$214),"",ReferenceData!$J$214),"")</f>
        <v/>
      </c>
      <c r="K214" t="str">
        <f ca="1">IFERROR(IF(0=LEN(ReferenceData!$K$214),"",ReferenceData!$K$214),"")</f>
        <v/>
      </c>
      <c r="L214" t="str">
        <f ca="1">IFERROR(IF(0=LEN(ReferenceData!$L$214),"",ReferenceData!$L$214),"")</f>
        <v/>
      </c>
      <c r="M214" t="str">
        <f ca="1">IFERROR(IF(0=LEN(ReferenceData!$M$214),"",ReferenceData!$M$214),"")</f>
        <v/>
      </c>
      <c r="N214" t="str">
        <f ca="1">IFERROR(IF(0=LEN(ReferenceData!$N$214),"",ReferenceData!$N$214),"")</f>
        <v/>
      </c>
      <c r="O214" t="str">
        <f ca="1">IFERROR(IF(0=LEN(ReferenceData!$O$214),"",ReferenceData!$O$214),"")</f>
        <v/>
      </c>
      <c r="P214" t="str">
        <f ca="1">IFERROR(IF(0=LEN(ReferenceData!$P$214),"",ReferenceData!$P$214),"")</f>
        <v/>
      </c>
      <c r="Q214" t="str">
        <f ca="1">IFERROR(IF(0=LEN(ReferenceData!$Q$214),"",ReferenceData!$Q$214),"")</f>
        <v/>
      </c>
      <c r="R214" t="str">
        <f ca="1">IFERROR(IF(0=LEN(ReferenceData!$R$214),"",ReferenceData!$R$214),"")</f>
        <v/>
      </c>
      <c r="S214" t="str">
        <f ca="1">IFERROR(IF(0=LEN(ReferenceData!$S$214),"",ReferenceData!$S$214),"")</f>
        <v/>
      </c>
      <c r="T214" t="str">
        <f ca="1">IFERROR(IF(0=LEN(ReferenceData!$T$214),"",ReferenceData!$T$214),"")</f>
        <v/>
      </c>
      <c r="U214" t="str">
        <f ca="1">IFERROR(IF(0=LEN(ReferenceData!$U$214),"",ReferenceData!$U$214),"")</f>
        <v/>
      </c>
      <c r="V214" t="str">
        <f ca="1">IFERROR(IF(0=LEN(ReferenceData!$V$214),"",ReferenceData!$V$214),"")</f>
        <v/>
      </c>
      <c r="W214" t="str">
        <f ca="1">IFERROR(IF(0=LEN(ReferenceData!$W$214),"",ReferenceData!$W$214),"")</f>
        <v/>
      </c>
      <c r="X214" t="str">
        <f ca="1">IFERROR(IF(0=LEN(ReferenceData!$X$214),"",ReferenceData!$X$214),"")</f>
        <v/>
      </c>
      <c r="Y214" t="str">
        <f ca="1">IFERROR(IF(0=LEN(ReferenceData!$Y$214),"",ReferenceData!$Y$214),"")</f>
        <v/>
      </c>
      <c r="Z214" t="str">
        <f ca="1">IFERROR(IF(0=LEN(ReferenceData!$Z$214),"",ReferenceData!$Z$214),"")</f>
        <v/>
      </c>
      <c r="AA214" t="str">
        <f ca="1">IFERROR(IF(0=LEN(ReferenceData!$AA$214),"",ReferenceData!$AA$214),"")</f>
        <v/>
      </c>
      <c r="AB214" t="str">
        <f ca="1">IFERROR(IF(0=LEN(ReferenceData!$AB$214),"",ReferenceData!$AB$214),"")</f>
        <v/>
      </c>
      <c r="AC214" t="str">
        <f ca="1">IFERROR(IF(0=LEN(ReferenceData!$AC$214),"",ReferenceData!$AC$214),"")</f>
        <v/>
      </c>
      <c r="AD214">
        <f ca="1">IFERROR(IF(0=LEN(ReferenceData!$AD$214),"",ReferenceData!$AD$214),"")</f>
        <v>1171.9998049999999</v>
      </c>
      <c r="AE214">
        <f ca="1">IFERROR(IF(0=LEN(ReferenceData!$AE$214),"",ReferenceData!$AE$214),"")</f>
        <v>1088.8667620000001</v>
      </c>
      <c r="AF214" t="str">
        <f ca="1">IFERROR(IF(0=LEN(ReferenceData!$AF$214),"",ReferenceData!$AF$214),"")</f>
        <v/>
      </c>
      <c r="AG214" t="str">
        <f ca="1">IFERROR(IF(0=LEN(ReferenceData!$AG$214),"",ReferenceData!$AG$214),"")</f>
        <v/>
      </c>
      <c r="AH214" t="str">
        <f ca="1">IFERROR(IF(0=LEN(ReferenceData!$AH$214),"",ReferenceData!$AH$214),"")</f>
        <v/>
      </c>
      <c r="AI214" t="str">
        <f ca="1">IFERROR(IF(0=LEN(ReferenceData!$AI$214),"",ReferenceData!$AI$214),"")</f>
        <v/>
      </c>
      <c r="AJ214" t="str">
        <f ca="1">IFERROR(IF(0=LEN(ReferenceData!$AJ$214),"",ReferenceData!$AJ$214),"")</f>
        <v/>
      </c>
      <c r="AK214" t="str">
        <f ca="1">IFERROR(IF(0=LEN(ReferenceData!$AK$214),"",ReferenceData!$AK$214),"")</f>
        <v/>
      </c>
      <c r="AL214" t="str">
        <f ca="1">IFERROR(IF(0=LEN(ReferenceData!$AL$214),"",ReferenceData!$AL$214),"")</f>
        <v/>
      </c>
      <c r="AM214" t="str">
        <f ca="1">IFERROR(IF(0=LEN(ReferenceData!$AM$214),"",ReferenceData!$AM$214),"")</f>
        <v/>
      </c>
      <c r="AN214" t="str">
        <f ca="1">IFERROR(IF(0=LEN(ReferenceData!$AN$214),"",ReferenceData!$AN$214),"")</f>
        <v/>
      </c>
      <c r="AO214" t="str">
        <f ca="1">IFERROR(IF(0=LEN(ReferenceData!$AO$214),"",ReferenceData!$AO$214),"")</f>
        <v/>
      </c>
      <c r="AP214" t="str">
        <f ca="1">IFERROR(IF(0=LEN(ReferenceData!$AP$214),"",ReferenceData!$AP$214),"")</f>
        <v/>
      </c>
      <c r="AQ214" t="str">
        <f ca="1">IFERROR(IF(0=LEN(ReferenceData!$AQ$214),"",ReferenceData!$AQ$214),"")</f>
        <v/>
      </c>
      <c r="AR214" t="str">
        <f ca="1">IFERROR(IF(0=LEN(ReferenceData!$AR$214),"",ReferenceData!$AR$214),"")</f>
        <v/>
      </c>
      <c r="AS214" t="str">
        <f ca="1">IFERROR(IF(0=LEN(ReferenceData!$AS$214),"",ReferenceData!$AS$214),"")</f>
        <v/>
      </c>
      <c r="AT214" t="str">
        <f ca="1">IFERROR(IF(0=LEN(ReferenceData!$AT$214),"",ReferenceData!$AT$214),"")</f>
        <v/>
      </c>
      <c r="AU214" t="str">
        <f ca="1">IFERROR(IF(0=LEN(ReferenceData!$AU$214),"",ReferenceData!$AU$214),"")</f>
        <v/>
      </c>
      <c r="AV214" t="str">
        <f ca="1">IFERROR(IF(0=LEN(ReferenceData!$AV$214),"",ReferenceData!$AV$214),"")</f>
        <v/>
      </c>
      <c r="AW214" t="str">
        <f ca="1">IFERROR(IF(0=LEN(ReferenceData!$AW$214),"",ReferenceData!$AW$214),"")</f>
        <v/>
      </c>
      <c r="AX214" t="str">
        <f ca="1">IFERROR(IF(0=LEN(ReferenceData!$AX$214),"",ReferenceData!$AX$214),"")</f>
        <v/>
      </c>
      <c r="AY214" t="str">
        <f ca="1">IFERROR(IF(0=LEN(ReferenceData!$AY$214),"",ReferenceData!$AY$214),"")</f>
        <v/>
      </c>
      <c r="AZ214" t="str">
        <f ca="1">IFERROR(IF(0=LEN(ReferenceData!$AZ$214),"",ReferenceData!$AZ$214),"")</f>
        <v/>
      </c>
      <c r="BA214" t="str">
        <f ca="1">IFERROR(IF(0=LEN(ReferenceData!$BA$214),"",ReferenceData!$BA$214),"")</f>
        <v/>
      </c>
      <c r="BB214" t="str">
        <f ca="1">IFERROR(IF(0=LEN(ReferenceData!$BB$214),"",ReferenceData!$BB$214),"")</f>
        <v/>
      </c>
      <c r="BC214" t="str">
        <f ca="1">IFERROR(IF(0=LEN(ReferenceData!$BC$214),"",ReferenceData!$BC$214),"")</f>
        <v/>
      </c>
      <c r="BD214" t="str">
        <f ca="1">IFERROR(IF(0=LEN(ReferenceData!$BD$214),"",ReferenceData!$BD$214),"")</f>
        <v/>
      </c>
      <c r="BE214" t="str">
        <f ca="1">IFERROR(IF(0=LEN(ReferenceData!$BE$214),"",ReferenceData!$BE$214),"")</f>
        <v/>
      </c>
      <c r="BF214" t="str">
        <f ca="1">IFERROR(IF(0=LEN(ReferenceData!$BF$214),"",ReferenceData!$BF$214),"")</f>
        <v/>
      </c>
      <c r="BG214" t="str">
        <f ca="1">IFERROR(IF(0=LEN(ReferenceData!$BG$214),"",ReferenceData!$BG$214),"")</f>
        <v/>
      </c>
      <c r="BH214" t="str">
        <f ca="1">IFERROR(IF(0=LEN(ReferenceData!$BH$214),"",ReferenceData!$BH$214),"")</f>
        <v/>
      </c>
      <c r="BI214" t="str">
        <f ca="1">IFERROR(IF(0=LEN(ReferenceData!$BI$214),"",ReferenceData!$BI$214),"")</f>
        <v/>
      </c>
      <c r="BJ214" t="str">
        <f ca="1">IFERROR(IF(0=LEN(ReferenceData!$BJ$214),"",ReferenceData!$BJ$214),"")</f>
        <v/>
      </c>
      <c r="BK214" t="str">
        <f ca="1">IFERROR(IF(0=LEN(ReferenceData!$BK$214),"",ReferenceData!$BK$214),"")</f>
        <v/>
      </c>
      <c r="BL214" t="str">
        <f ca="1">IFERROR(IF(0=LEN(ReferenceData!$BL$214),"",ReferenceData!$BL$214),"")</f>
        <v/>
      </c>
      <c r="BM214" t="str">
        <f ca="1">IFERROR(IF(0=LEN(ReferenceData!$BM$214),"",ReferenceData!$BM$214),"")</f>
        <v/>
      </c>
    </row>
    <row r="215" spans="1:65" x14ac:dyDescent="0.25">
      <c r="A215" t="str">
        <f>IFERROR(IF(0=LEN(ReferenceData!$A$215),"",ReferenceData!$A$215),"")</f>
        <v xml:space="preserve">    Chongqing Changan Automobile Co Ltd</v>
      </c>
      <c r="B215" t="str">
        <f>IFERROR(IF(0=LEN(ReferenceData!$B$215),"",ReferenceData!$B$215),"")</f>
        <v>200625 CH Equity</v>
      </c>
      <c r="C215" t="str">
        <f>IFERROR(IF(0=LEN(ReferenceData!$C$215),"",ReferenceData!$C$215),"")</f>
        <v>RR971</v>
      </c>
      <c r="D215" t="str">
        <f>IFERROR(IF(0=LEN(ReferenceData!$D$215),"",ReferenceData!$D$215),"")</f>
        <v>CURRENT_PX_TO_FREE_CASH_FLOW</v>
      </c>
      <c r="E215" t="str">
        <f>IFERROR(IF(0=LEN(ReferenceData!$E$215),"",ReferenceData!$E$215),"")</f>
        <v>Dynamic</v>
      </c>
      <c r="F215" t="str">
        <f ca="1">IFERROR(IF(0=LEN(ReferenceData!$F$215),"",ReferenceData!$F$215),"")</f>
        <v/>
      </c>
      <c r="G215" t="str">
        <f ca="1">IFERROR(IF(0=LEN(ReferenceData!$G$215),"",ReferenceData!$G$215),"")</f>
        <v/>
      </c>
      <c r="H215" t="str">
        <f ca="1">IFERROR(IF(0=LEN(ReferenceData!$H$215),"",ReferenceData!$H$215),"")</f>
        <v/>
      </c>
      <c r="I215">
        <f ca="1">IFERROR(IF(0=LEN(ReferenceData!$I$215),"",ReferenceData!$I$215),"")</f>
        <v>25.245608579999999</v>
      </c>
      <c r="J215">
        <f ca="1">IFERROR(IF(0=LEN(ReferenceData!$J$215),"",ReferenceData!$J$215),"")</f>
        <v>24.865999850000001</v>
      </c>
      <c r="K215">
        <f ca="1">IFERROR(IF(0=LEN(ReferenceData!$K$215),"",ReferenceData!$K$215),"")</f>
        <v>8.7561297170000003</v>
      </c>
      <c r="L215">
        <f ca="1">IFERROR(IF(0=LEN(ReferenceData!$L$215),"",ReferenceData!$L$215),"")</f>
        <v>13.57544901</v>
      </c>
      <c r="M215">
        <f ca="1">IFERROR(IF(0=LEN(ReferenceData!$M$215),"",ReferenceData!$M$215),"")</f>
        <v>4.9075470470000004</v>
      </c>
      <c r="N215">
        <f ca="1">IFERROR(IF(0=LEN(ReferenceData!$N$215),"",ReferenceData!$N$215),"")</f>
        <v>4.3364499600000004</v>
      </c>
      <c r="O215">
        <f ca="1">IFERROR(IF(0=LEN(ReferenceData!$O$215),"",ReferenceData!$O$215),"")</f>
        <v>6.3137586800000003</v>
      </c>
      <c r="P215">
        <f ca="1">IFERROR(IF(0=LEN(ReferenceData!$P$215),"",ReferenceData!$P$215),"")</f>
        <v>5.9731188839999998</v>
      </c>
      <c r="Q215">
        <f ca="1">IFERROR(IF(0=LEN(ReferenceData!$Q$215),"",ReferenceData!$Q$215),"")</f>
        <v>3.6906560640000001</v>
      </c>
      <c r="R215">
        <f ca="1">IFERROR(IF(0=LEN(ReferenceData!$R$215),"",ReferenceData!$R$215),"")</f>
        <v>6.2865195299999996</v>
      </c>
      <c r="S215">
        <f ca="1">IFERROR(IF(0=LEN(ReferenceData!$S$215),"",ReferenceData!$S$215),"")</f>
        <v>6.2726733780000004</v>
      </c>
      <c r="T215">
        <f ca="1">IFERROR(IF(0=LEN(ReferenceData!$T$215),"",ReferenceData!$T$215),"")</f>
        <v>4.2620672129999999</v>
      </c>
      <c r="U215">
        <f ca="1">IFERROR(IF(0=LEN(ReferenceData!$U$215),"",ReferenceData!$U$215),"")</f>
        <v>9.7230589179999996</v>
      </c>
      <c r="V215">
        <f ca="1">IFERROR(IF(0=LEN(ReferenceData!$V$215),"",ReferenceData!$V$215),"")</f>
        <v>8.8162826029999994</v>
      </c>
      <c r="W215">
        <f ca="1">IFERROR(IF(0=LEN(ReferenceData!$W$215),"",ReferenceData!$W$215),"")</f>
        <v>7.2542017660000004</v>
      </c>
      <c r="X215">
        <f ca="1">IFERROR(IF(0=LEN(ReferenceData!$X$215),"",ReferenceData!$X$215),"")</f>
        <v>10.444624660000001</v>
      </c>
      <c r="Y215">
        <f ca="1">IFERROR(IF(0=LEN(ReferenceData!$Y$215),"",ReferenceData!$Y$215),"")</f>
        <v>16.83935215</v>
      </c>
      <c r="Z215">
        <f ca="1">IFERROR(IF(0=LEN(ReferenceData!$Z$215),"",ReferenceData!$Z$215),"")</f>
        <v>128.01605699999999</v>
      </c>
      <c r="AA215">
        <f ca="1">IFERROR(IF(0=LEN(ReferenceData!$AA$215),"",ReferenceData!$AA$215),"")</f>
        <v>26.07330383</v>
      </c>
      <c r="AB215">
        <f ca="1">IFERROR(IF(0=LEN(ReferenceData!$AB$215),"",ReferenceData!$AB$215),"")</f>
        <v>20.37163005</v>
      </c>
      <c r="AC215">
        <f ca="1">IFERROR(IF(0=LEN(ReferenceData!$AC$215),"",ReferenceData!$AC$215),"")</f>
        <v>11.32418391</v>
      </c>
      <c r="AD215" t="str">
        <f ca="1">IFERROR(IF(0=LEN(ReferenceData!$AD$215),"",ReferenceData!$AD$215),"")</f>
        <v/>
      </c>
      <c r="AE215" t="str">
        <f ca="1">IFERROR(IF(0=LEN(ReferenceData!$AE$215),"",ReferenceData!$AE$215),"")</f>
        <v/>
      </c>
      <c r="AF215" t="str">
        <f ca="1">IFERROR(IF(0=LEN(ReferenceData!$AF$215),"",ReferenceData!$AF$215),"")</f>
        <v/>
      </c>
      <c r="AG215" t="str">
        <f ca="1">IFERROR(IF(0=LEN(ReferenceData!$AG$215),"",ReferenceData!$AG$215),"")</f>
        <v/>
      </c>
      <c r="AH215" t="str">
        <f ca="1">IFERROR(IF(0=LEN(ReferenceData!$AH$215),"",ReferenceData!$AH$215),"")</f>
        <v/>
      </c>
      <c r="AI215" t="str">
        <f ca="1">IFERROR(IF(0=LEN(ReferenceData!$AI$215),"",ReferenceData!$AI$215),"")</f>
        <v/>
      </c>
      <c r="AJ215" t="str">
        <f ca="1">IFERROR(IF(0=LEN(ReferenceData!$AJ$215),"",ReferenceData!$AJ$215),"")</f>
        <v/>
      </c>
      <c r="AK215">
        <f ca="1">IFERROR(IF(0=LEN(ReferenceData!$AK$215),"",ReferenceData!$AK$215),"")</f>
        <v>4.7752800369999999</v>
      </c>
      <c r="AL215">
        <f ca="1">IFERROR(IF(0=LEN(ReferenceData!$AL$215),"",ReferenceData!$AL$215),"")</f>
        <v>5.3885425759999999</v>
      </c>
      <c r="AM215">
        <f ca="1">IFERROR(IF(0=LEN(ReferenceData!$AM$215),"",ReferenceData!$AM$215),"")</f>
        <v>7.5585919580000001</v>
      </c>
      <c r="AN215">
        <f ca="1">IFERROR(IF(0=LEN(ReferenceData!$AN$215),"",ReferenceData!$AN$215),"")</f>
        <v>4.4198917350000002</v>
      </c>
      <c r="AO215">
        <f ca="1">IFERROR(IF(0=LEN(ReferenceData!$AO$215),"",ReferenceData!$AO$215),"")</f>
        <v>2.6152365180000001</v>
      </c>
      <c r="AP215">
        <f ca="1">IFERROR(IF(0=LEN(ReferenceData!$AP$215),"",ReferenceData!$AP$215),"")</f>
        <v>7.6883109489999999</v>
      </c>
      <c r="AQ215">
        <f ca="1">IFERROR(IF(0=LEN(ReferenceData!$AQ$215),"",ReferenceData!$AQ$215),"")</f>
        <v>7.666474579</v>
      </c>
      <c r="AR215">
        <f ca="1">IFERROR(IF(0=LEN(ReferenceData!$AR$215),"",ReferenceData!$AR$215),"")</f>
        <v>4.0849259440000001</v>
      </c>
      <c r="AS215">
        <f ca="1">IFERROR(IF(0=LEN(ReferenceData!$AS$215),"",ReferenceData!$AS$215),"")</f>
        <v>5.6396438130000002</v>
      </c>
      <c r="AT215">
        <f ca="1">IFERROR(IF(0=LEN(ReferenceData!$AT$215),"",ReferenceData!$AT$215),"")</f>
        <v>5.1216458200000003</v>
      </c>
      <c r="AU215">
        <f ca="1">IFERROR(IF(0=LEN(ReferenceData!$AU$215),"",ReferenceData!$AU$215),"")</f>
        <v>14.65700683</v>
      </c>
      <c r="AV215">
        <f ca="1">IFERROR(IF(0=LEN(ReferenceData!$AV$215),"",ReferenceData!$AV$215),"")</f>
        <v>16.17108979</v>
      </c>
      <c r="AW215">
        <f ca="1">IFERROR(IF(0=LEN(ReferenceData!$AW$215),"",ReferenceData!$AW$215),"")</f>
        <v>7001.7538100000002</v>
      </c>
      <c r="AX215">
        <f ca="1">IFERROR(IF(0=LEN(ReferenceData!$AX$215),"",ReferenceData!$AX$215),"")</f>
        <v>10081.17643</v>
      </c>
      <c r="AY215">
        <f ca="1">IFERROR(IF(0=LEN(ReferenceData!$AY$215),"",ReferenceData!$AY$215),"")</f>
        <v>18.202336760000001</v>
      </c>
      <c r="AZ215">
        <f ca="1">IFERROR(IF(0=LEN(ReferenceData!$AZ$215),"",ReferenceData!$AZ$215),"")</f>
        <v>11.45220598</v>
      </c>
      <c r="BA215">
        <f ca="1">IFERROR(IF(0=LEN(ReferenceData!$BA$215),"",ReferenceData!$BA$215),"")</f>
        <v>7.8840799580000001</v>
      </c>
      <c r="BB215">
        <f ca="1">IFERROR(IF(0=LEN(ReferenceData!$BB$215),"",ReferenceData!$BB$215),"")</f>
        <v>73.499308060000004</v>
      </c>
      <c r="BC215" t="str">
        <f ca="1">IFERROR(IF(0=LEN(ReferenceData!$BC$215),"",ReferenceData!$BC$215),"")</f>
        <v/>
      </c>
      <c r="BD215" t="str">
        <f ca="1">IFERROR(IF(0=LEN(ReferenceData!$BD$215),"",ReferenceData!$BD$215),"")</f>
        <v/>
      </c>
      <c r="BE215" t="str">
        <f ca="1">IFERROR(IF(0=LEN(ReferenceData!$BE$215),"",ReferenceData!$BE$215),"")</f>
        <v/>
      </c>
      <c r="BF215" t="str">
        <f ca="1">IFERROR(IF(0=LEN(ReferenceData!$BF$215),"",ReferenceData!$BF$215),"")</f>
        <v/>
      </c>
      <c r="BG215" t="str">
        <f ca="1">IFERROR(IF(0=LEN(ReferenceData!$BG$215),"",ReferenceData!$BG$215),"")</f>
        <v/>
      </c>
      <c r="BH215" t="str">
        <f ca="1">IFERROR(IF(0=LEN(ReferenceData!$BH$215),"",ReferenceData!$BH$215),"")</f>
        <v/>
      </c>
      <c r="BI215" t="str">
        <f ca="1">IFERROR(IF(0=LEN(ReferenceData!$BI$215),"",ReferenceData!$BI$215),"")</f>
        <v/>
      </c>
      <c r="BJ215" t="str">
        <f ca="1">IFERROR(IF(0=LEN(ReferenceData!$BJ$215),"",ReferenceData!$BJ$215),"")</f>
        <v/>
      </c>
      <c r="BK215" t="str">
        <f ca="1">IFERROR(IF(0=LEN(ReferenceData!$BK$215),"",ReferenceData!$BK$215),"")</f>
        <v/>
      </c>
      <c r="BL215" t="str">
        <f ca="1">IFERROR(IF(0=LEN(ReferenceData!$BL$215),"",ReferenceData!$BL$215),"")</f>
        <v/>
      </c>
      <c r="BM215" t="str">
        <f ca="1">IFERROR(IF(0=LEN(ReferenceData!$BM$215),"",ReferenceData!$BM$215),"")</f>
        <v/>
      </c>
    </row>
    <row r="216" spans="1:65" x14ac:dyDescent="0.25">
      <c r="A216" t="str">
        <f>IFERROR(IF(0=LEN(ReferenceData!$A$216),"",ReferenceData!$A$216),"")</f>
        <v xml:space="preserve">    Daihatsu Motor Co Ltd</v>
      </c>
      <c r="B216" t="str">
        <f>IFERROR(IF(0=LEN(ReferenceData!$B$216),"",ReferenceData!$B$216),"")</f>
        <v>7262 JP Equity</v>
      </c>
      <c r="C216" t="str">
        <f>IFERROR(IF(0=LEN(ReferenceData!$C$216),"",ReferenceData!$C$216),"")</f>
        <v>RR971</v>
      </c>
      <c r="D216" t="str">
        <f>IFERROR(IF(0=LEN(ReferenceData!$D$216),"",ReferenceData!$D$216),"")</f>
        <v>CURRENT_PX_TO_FREE_CASH_FLOW</v>
      </c>
      <c r="E216" t="str">
        <f>IFERROR(IF(0=LEN(ReferenceData!$E$216),"",ReferenceData!$E$216),"")</f>
        <v>Dynamic</v>
      </c>
      <c r="F216" t="str">
        <f ca="1">IFERROR(IF(0=LEN(ReferenceData!$F$216),"",ReferenceData!$F$216),"")</f>
        <v/>
      </c>
      <c r="G216" t="str">
        <f ca="1">IFERROR(IF(0=LEN(ReferenceData!$G$216),"",ReferenceData!$G$216),"")</f>
        <v/>
      </c>
      <c r="H216" t="str">
        <f ca="1">IFERROR(IF(0=LEN(ReferenceData!$H$216),"",ReferenceData!$H$216),"")</f>
        <v/>
      </c>
      <c r="I216" t="str">
        <f ca="1">IFERROR(IF(0=LEN(ReferenceData!$I$216),"",ReferenceData!$I$216),"")</f>
        <v/>
      </c>
      <c r="J216" t="str">
        <f ca="1">IFERROR(IF(0=LEN(ReferenceData!$J$216),"",ReferenceData!$J$216),"")</f>
        <v/>
      </c>
      <c r="K216" t="str">
        <f ca="1">IFERROR(IF(0=LEN(ReferenceData!$K$216),"",ReferenceData!$K$216),"")</f>
        <v/>
      </c>
      <c r="L216" t="str">
        <f ca="1">IFERROR(IF(0=LEN(ReferenceData!$L$216),"",ReferenceData!$L$216),"")</f>
        <v/>
      </c>
      <c r="M216" t="str">
        <f ca="1">IFERROR(IF(0=LEN(ReferenceData!$M$216),"",ReferenceData!$M$216),"")</f>
        <v/>
      </c>
      <c r="N216" t="str">
        <f ca="1">IFERROR(IF(0=LEN(ReferenceData!$N$216),"",ReferenceData!$N$216),"")</f>
        <v/>
      </c>
      <c r="O216" t="str">
        <f ca="1">IFERROR(IF(0=LEN(ReferenceData!$O$216),"",ReferenceData!$O$216),"")</f>
        <v/>
      </c>
      <c r="P216" t="str">
        <f ca="1">IFERROR(IF(0=LEN(ReferenceData!$P$216),"",ReferenceData!$P$216),"")</f>
        <v/>
      </c>
      <c r="Q216" t="str">
        <f ca="1">IFERROR(IF(0=LEN(ReferenceData!$Q$216),"",ReferenceData!$Q$216),"")</f>
        <v/>
      </c>
      <c r="R216" t="str">
        <f ca="1">IFERROR(IF(0=LEN(ReferenceData!$R$216),"",ReferenceData!$R$216),"")</f>
        <v/>
      </c>
      <c r="S216" t="str">
        <f ca="1">IFERROR(IF(0=LEN(ReferenceData!$S$216),"",ReferenceData!$S$216),"")</f>
        <v/>
      </c>
      <c r="T216" t="str">
        <f ca="1">IFERROR(IF(0=LEN(ReferenceData!$T$216),"",ReferenceData!$T$216),"")</f>
        <v/>
      </c>
      <c r="U216" t="str">
        <f ca="1">IFERROR(IF(0=LEN(ReferenceData!$U$216),"",ReferenceData!$U$216),"")</f>
        <v/>
      </c>
      <c r="V216" t="str">
        <f ca="1">IFERROR(IF(0=LEN(ReferenceData!$V$216),"",ReferenceData!$V$216),"")</f>
        <v/>
      </c>
      <c r="W216" t="str">
        <f ca="1">IFERROR(IF(0=LEN(ReferenceData!$W$216),"",ReferenceData!$W$216),"")</f>
        <v/>
      </c>
      <c r="X216" t="str">
        <f ca="1">IFERROR(IF(0=LEN(ReferenceData!$X$216),"",ReferenceData!$X$216),"")</f>
        <v/>
      </c>
      <c r="Y216" t="str">
        <f ca="1">IFERROR(IF(0=LEN(ReferenceData!$Y$216),"",ReferenceData!$Y$216),"")</f>
        <v/>
      </c>
      <c r="Z216" t="str">
        <f ca="1">IFERROR(IF(0=LEN(ReferenceData!$Z$216),"",ReferenceData!$Z$216),"")</f>
        <v/>
      </c>
      <c r="AA216" t="str">
        <f ca="1">IFERROR(IF(0=LEN(ReferenceData!$AA$216),"",ReferenceData!$AA$216),"")</f>
        <v/>
      </c>
      <c r="AB216" t="str">
        <f ca="1">IFERROR(IF(0=LEN(ReferenceData!$AB$216),"",ReferenceData!$AB$216),"")</f>
        <v/>
      </c>
      <c r="AC216" t="str">
        <f ca="1">IFERROR(IF(0=LEN(ReferenceData!$AC$216),"",ReferenceData!$AC$216),"")</f>
        <v/>
      </c>
      <c r="AD216" t="str">
        <f ca="1">IFERROR(IF(0=LEN(ReferenceData!$AD$216),"",ReferenceData!$AD$216),"")</f>
        <v/>
      </c>
      <c r="AE216" t="str">
        <f ca="1">IFERROR(IF(0=LEN(ReferenceData!$AE$216),"",ReferenceData!$AE$216),"")</f>
        <v/>
      </c>
      <c r="AF216" t="str">
        <f ca="1">IFERROR(IF(0=LEN(ReferenceData!$AF$216),"",ReferenceData!$AF$216),"")</f>
        <v/>
      </c>
      <c r="AG216" t="str">
        <f ca="1">IFERROR(IF(0=LEN(ReferenceData!$AG$216),"",ReferenceData!$AG$216),"")</f>
        <v/>
      </c>
      <c r="AH216" t="str">
        <f ca="1">IFERROR(IF(0=LEN(ReferenceData!$AH$216),"",ReferenceData!$AH$216),"")</f>
        <v/>
      </c>
      <c r="AI216" t="str">
        <f ca="1">IFERROR(IF(0=LEN(ReferenceData!$AI$216),"",ReferenceData!$AI$216),"")</f>
        <v/>
      </c>
      <c r="AJ216" t="str">
        <f ca="1">IFERROR(IF(0=LEN(ReferenceData!$AJ$216),"",ReferenceData!$AJ$216),"")</f>
        <v/>
      </c>
      <c r="AK216">
        <f ca="1">IFERROR(IF(0=LEN(ReferenceData!$AK$216),"",ReferenceData!$AK$216),"")</f>
        <v>5.4664227289999996</v>
      </c>
      <c r="AL216">
        <f ca="1">IFERROR(IF(0=LEN(ReferenceData!$AL$216),"",ReferenceData!$AL$216),"")</f>
        <v>4.93321247</v>
      </c>
      <c r="AM216">
        <f ca="1">IFERROR(IF(0=LEN(ReferenceData!$AM$216),"",ReferenceData!$AM$216),"")</f>
        <v>4.0985564950000004</v>
      </c>
      <c r="AN216">
        <f ca="1">IFERROR(IF(0=LEN(ReferenceData!$AN$216),"",ReferenceData!$AN$216),"")</f>
        <v>3.0003079010000002</v>
      </c>
      <c r="AO216">
        <f ca="1">IFERROR(IF(0=LEN(ReferenceData!$AO$216),"",ReferenceData!$AO$216),"")</f>
        <v>2.5774914080000002</v>
      </c>
      <c r="AP216">
        <f ca="1">IFERROR(IF(0=LEN(ReferenceData!$AP$216),"",ReferenceData!$AP$216),"")</f>
        <v>4.4782550920000004</v>
      </c>
      <c r="AQ216">
        <f ca="1">IFERROR(IF(0=LEN(ReferenceData!$AQ$216),"",ReferenceData!$AQ$216),"")</f>
        <v>15.39972045</v>
      </c>
      <c r="AR216" t="str">
        <f ca="1">IFERROR(IF(0=LEN(ReferenceData!$AR$216),"",ReferenceData!$AR$216),"")</f>
        <v/>
      </c>
      <c r="AS216" t="str">
        <f ca="1">IFERROR(IF(0=LEN(ReferenceData!$AS$216),"",ReferenceData!$AS$216),"")</f>
        <v/>
      </c>
      <c r="AT216">
        <f ca="1">IFERROR(IF(0=LEN(ReferenceData!$AT$216),"",ReferenceData!$AT$216),"")</f>
        <v>41.081280669999998</v>
      </c>
      <c r="AU216">
        <f ca="1">IFERROR(IF(0=LEN(ReferenceData!$AU$216),"",ReferenceData!$AU$216),"")</f>
        <v>42.946118509999998</v>
      </c>
      <c r="AV216" t="str">
        <f ca="1">IFERROR(IF(0=LEN(ReferenceData!$AV$216),"",ReferenceData!$AV$216),"")</f>
        <v/>
      </c>
      <c r="AW216" t="str">
        <f ca="1">IFERROR(IF(0=LEN(ReferenceData!$AW$216),"",ReferenceData!$AW$216),"")</f>
        <v/>
      </c>
      <c r="AX216" t="str">
        <f ca="1">IFERROR(IF(0=LEN(ReferenceData!$AX$216),"",ReferenceData!$AX$216),"")</f>
        <v/>
      </c>
      <c r="AY216" t="str">
        <f ca="1">IFERROR(IF(0=LEN(ReferenceData!$AY$216),"",ReferenceData!$AY$216),"")</f>
        <v/>
      </c>
      <c r="AZ216">
        <f ca="1">IFERROR(IF(0=LEN(ReferenceData!$AZ$216),"",ReferenceData!$AZ$216),"")</f>
        <v>46.253897180000003</v>
      </c>
      <c r="BA216">
        <f ca="1">IFERROR(IF(0=LEN(ReferenceData!$BA$216),"",ReferenceData!$BA$216),"")</f>
        <v>45.608118509999997</v>
      </c>
      <c r="BB216">
        <f ca="1">IFERROR(IF(0=LEN(ReferenceData!$BB$216),"",ReferenceData!$BB$216),"")</f>
        <v>64.169444659999996</v>
      </c>
      <c r="BC216" t="str">
        <f ca="1">IFERROR(IF(0=LEN(ReferenceData!$BC$216),"",ReferenceData!$BC$216),"")</f>
        <v/>
      </c>
      <c r="BD216" t="str">
        <f ca="1">IFERROR(IF(0=LEN(ReferenceData!$BD$216),"",ReferenceData!$BD$216),"")</f>
        <v/>
      </c>
      <c r="BE216" t="str">
        <f ca="1">IFERROR(IF(0=LEN(ReferenceData!$BE$216),"",ReferenceData!$BE$216),"")</f>
        <v/>
      </c>
      <c r="BF216" t="str">
        <f ca="1">IFERROR(IF(0=LEN(ReferenceData!$BF$216),"",ReferenceData!$BF$216),"")</f>
        <v/>
      </c>
      <c r="BG216" t="str">
        <f ca="1">IFERROR(IF(0=LEN(ReferenceData!$BG$216),"",ReferenceData!$BG$216),"")</f>
        <v/>
      </c>
      <c r="BH216" t="str">
        <f ca="1">IFERROR(IF(0=LEN(ReferenceData!$BH$216),"",ReferenceData!$BH$216),"")</f>
        <v/>
      </c>
      <c r="BI216" t="str">
        <f ca="1">IFERROR(IF(0=LEN(ReferenceData!$BI$216),"",ReferenceData!$BI$216),"")</f>
        <v/>
      </c>
      <c r="BJ216" t="str">
        <f ca="1">IFERROR(IF(0=LEN(ReferenceData!$BJ$216),"",ReferenceData!$BJ$216),"")</f>
        <v/>
      </c>
      <c r="BK216" t="str">
        <f ca="1">IFERROR(IF(0=LEN(ReferenceData!$BK$216),"",ReferenceData!$BK$216),"")</f>
        <v/>
      </c>
      <c r="BL216" t="str">
        <f ca="1">IFERROR(IF(0=LEN(ReferenceData!$BL$216),"",ReferenceData!$BL$216),"")</f>
        <v/>
      </c>
      <c r="BM216" t="str">
        <f ca="1">IFERROR(IF(0=LEN(ReferenceData!$BM$216),"",ReferenceData!$BM$216),"")</f>
        <v/>
      </c>
    </row>
    <row r="217" spans="1:65" x14ac:dyDescent="0.25">
      <c r="A217" t="str">
        <f>IFERROR(IF(0=LEN(ReferenceData!$A$217),"",ReferenceData!$A$217),"")</f>
        <v xml:space="preserve">    Daimler AG</v>
      </c>
      <c r="B217" t="str">
        <f>IFERROR(IF(0=LEN(ReferenceData!$B$217),"",ReferenceData!$B$217),"")</f>
        <v>DAI GR Equity</v>
      </c>
      <c r="C217" t="str">
        <f>IFERROR(IF(0=LEN(ReferenceData!$C$217),"",ReferenceData!$C$217),"")</f>
        <v>RR971</v>
      </c>
      <c r="D217" t="str">
        <f>IFERROR(IF(0=LEN(ReferenceData!$D$217),"",ReferenceData!$D$217),"")</f>
        <v>CURRENT_PX_TO_FREE_CASH_FLOW</v>
      </c>
      <c r="E217" t="str">
        <f>IFERROR(IF(0=LEN(ReferenceData!$E$217),"",ReferenceData!$E$217),"")</f>
        <v>Dynamic</v>
      </c>
      <c r="F217" t="str">
        <f ca="1">IFERROR(IF(0=LEN(ReferenceData!$F$217),"",ReferenceData!$F$217),"")</f>
        <v/>
      </c>
      <c r="G217" t="str">
        <f ca="1">IFERROR(IF(0=LEN(ReferenceData!$G$217),"",ReferenceData!$G$217),"")</f>
        <v/>
      </c>
      <c r="H217" t="str">
        <f ca="1">IFERROR(IF(0=LEN(ReferenceData!$H$217),"",ReferenceData!$H$217),"")</f>
        <v/>
      </c>
      <c r="I217" t="str">
        <f ca="1">IFERROR(IF(0=LEN(ReferenceData!$I$217),"",ReferenceData!$I$217),"")</f>
        <v/>
      </c>
      <c r="J217" t="str">
        <f ca="1">IFERROR(IF(0=LEN(ReferenceData!$J$217),"",ReferenceData!$J$217),"")</f>
        <v/>
      </c>
      <c r="K217" t="str">
        <f ca="1">IFERROR(IF(0=LEN(ReferenceData!$K$217),"",ReferenceData!$K$217),"")</f>
        <v/>
      </c>
      <c r="L217" t="str">
        <f ca="1">IFERROR(IF(0=LEN(ReferenceData!$L$217),"",ReferenceData!$L$217),"")</f>
        <v/>
      </c>
      <c r="M217" t="str">
        <f ca="1">IFERROR(IF(0=LEN(ReferenceData!$M$217),"",ReferenceData!$M$217),"")</f>
        <v/>
      </c>
      <c r="N217" t="str">
        <f ca="1">IFERROR(IF(0=LEN(ReferenceData!$N$217),"",ReferenceData!$N$217),"")</f>
        <v/>
      </c>
      <c r="O217" t="str">
        <f ca="1">IFERROR(IF(0=LEN(ReferenceData!$O$217),"",ReferenceData!$O$217),"")</f>
        <v/>
      </c>
      <c r="P217" t="str">
        <f ca="1">IFERROR(IF(0=LEN(ReferenceData!$P$217),"",ReferenceData!$P$217),"")</f>
        <v/>
      </c>
      <c r="Q217" t="str">
        <f ca="1">IFERROR(IF(0=LEN(ReferenceData!$Q$217),"",ReferenceData!$Q$217),"")</f>
        <v/>
      </c>
      <c r="R217" t="str">
        <f ca="1">IFERROR(IF(0=LEN(ReferenceData!$R$217),"",ReferenceData!$R$217),"")</f>
        <v/>
      </c>
      <c r="S217" t="str">
        <f ca="1">IFERROR(IF(0=LEN(ReferenceData!$S$217),"",ReferenceData!$S$217),"")</f>
        <v/>
      </c>
      <c r="T217" t="str">
        <f ca="1">IFERROR(IF(0=LEN(ReferenceData!$T$217),"",ReferenceData!$T$217),"")</f>
        <v/>
      </c>
      <c r="U217" t="str">
        <f ca="1">IFERROR(IF(0=LEN(ReferenceData!$U$217),"",ReferenceData!$U$217),"")</f>
        <v/>
      </c>
      <c r="V217" t="str">
        <f ca="1">IFERROR(IF(0=LEN(ReferenceData!$V$217),"",ReferenceData!$V$217),"")</f>
        <v/>
      </c>
      <c r="W217" t="str">
        <f ca="1">IFERROR(IF(0=LEN(ReferenceData!$W$217),"",ReferenceData!$W$217),"")</f>
        <v/>
      </c>
      <c r="X217" t="str">
        <f ca="1">IFERROR(IF(0=LEN(ReferenceData!$X$217),"",ReferenceData!$X$217),"")</f>
        <v/>
      </c>
      <c r="Y217" t="str">
        <f ca="1">IFERROR(IF(0=LEN(ReferenceData!$Y$217),"",ReferenceData!$Y$217),"")</f>
        <v/>
      </c>
      <c r="Z217" t="str">
        <f ca="1">IFERROR(IF(0=LEN(ReferenceData!$Z$217),"",ReferenceData!$Z$217),"")</f>
        <v/>
      </c>
      <c r="AA217" t="str">
        <f ca="1">IFERROR(IF(0=LEN(ReferenceData!$AA$217),"",ReferenceData!$AA$217),"")</f>
        <v/>
      </c>
      <c r="AB217" t="str">
        <f ca="1">IFERROR(IF(0=LEN(ReferenceData!$AB$217),"",ReferenceData!$AB$217),"")</f>
        <v/>
      </c>
      <c r="AC217" t="str">
        <f ca="1">IFERROR(IF(0=LEN(ReferenceData!$AC$217),"",ReferenceData!$AC$217),"")</f>
        <v/>
      </c>
      <c r="AD217" t="str">
        <f ca="1">IFERROR(IF(0=LEN(ReferenceData!$AD$217),"",ReferenceData!$AD$217),"")</f>
        <v/>
      </c>
      <c r="AE217" t="str">
        <f ca="1">IFERROR(IF(0=LEN(ReferenceData!$AE$217),"",ReferenceData!$AE$217),"")</f>
        <v/>
      </c>
      <c r="AF217" t="str">
        <f ca="1">IFERROR(IF(0=LEN(ReferenceData!$AF$217),"",ReferenceData!$AF$217),"")</f>
        <v/>
      </c>
      <c r="AG217" t="str">
        <f ca="1">IFERROR(IF(0=LEN(ReferenceData!$AG$217),"",ReferenceData!$AG$217),"")</f>
        <v/>
      </c>
      <c r="AH217" t="str">
        <f ca="1">IFERROR(IF(0=LEN(ReferenceData!$AH$217),"",ReferenceData!$AH$217),"")</f>
        <v/>
      </c>
      <c r="AI217" t="str">
        <f ca="1">IFERROR(IF(0=LEN(ReferenceData!$AI$217),"",ReferenceData!$AI$217),"")</f>
        <v/>
      </c>
      <c r="AJ217">
        <f ca="1">IFERROR(IF(0=LEN(ReferenceData!$AJ$217),"",ReferenceData!$AJ$217),"")</f>
        <v>139.2081239</v>
      </c>
      <c r="AK217">
        <f ca="1">IFERROR(IF(0=LEN(ReferenceData!$AK$217),"",ReferenceData!$AK$217),"")</f>
        <v>209.18602100000001</v>
      </c>
      <c r="AL217">
        <f ca="1">IFERROR(IF(0=LEN(ReferenceData!$AL$217),"",ReferenceData!$AL$217),"")</f>
        <v>21.973889589999999</v>
      </c>
      <c r="AM217">
        <f ca="1">IFERROR(IF(0=LEN(ReferenceData!$AM$217),"",ReferenceData!$AM$217),"")</f>
        <v>10.876641859999999</v>
      </c>
      <c r="AN217">
        <f ca="1">IFERROR(IF(0=LEN(ReferenceData!$AN$217),"",ReferenceData!$AN$217),"")</f>
        <v>7.3040632460000001</v>
      </c>
      <c r="AO217">
        <f ca="1">IFERROR(IF(0=LEN(ReferenceData!$AO$217),"",ReferenceData!$AO$217),"")</f>
        <v>6.5917675090000003</v>
      </c>
      <c r="AP217">
        <f ca="1">IFERROR(IF(0=LEN(ReferenceData!$AP$217),"",ReferenceData!$AP$217),"")</f>
        <v>4.5162724140000003</v>
      </c>
      <c r="AQ217">
        <f ca="1">IFERROR(IF(0=LEN(ReferenceData!$AQ$217),"",ReferenceData!$AQ$217),"")</f>
        <v>4.3840627720000001</v>
      </c>
      <c r="AR217">
        <f ca="1">IFERROR(IF(0=LEN(ReferenceData!$AR$217),"",ReferenceData!$AR$217),"")</f>
        <v>6.5668992719999997</v>
      </c>
      <c r="AS217">
        <f ca="1">IFERROR(IF(0=LEN(ReferenceData!$AS$217),"",ReferenceData!$AS$217),"")</f>
        <v>9.1963834890000005</v>
      </c>
      <c r="AT217">
        <f ca="1">IFERROR(IF(0=LEN(ReferenceData!$AT$217),"",ReferenceData!$AT$217),"")</f>
        <v>50.404478750000003</v>
      </c>
      <c r="AU217">
        <f ca="1">IFERROR(IF(0=LEN(ReferenceData!$AU$217),"",ReferenceData!$AU$217),"")</f>
        <v>12.571425919999999</v>
      </c>
      <c r="AV217">
        <f ca="1">IFERROR(IF(0=LEN(ReferenceData!$AV$217),"",ReferenceData!$AV$217),"")</f>
        <v>17.615154369999999</v>
      </c>
      <c r="AW217">
        <f ca="1">IFERROR(IF(0=LEN(ReferenceData!$AW$217),"",ReferenceData!$AW$217),"")</f>
        <v>16.47787769</v>
      </c>
      <c r="AX217">
        <f ca="1">IFERROR(IF(0=LEN(ReferenceData!$AX$217),"",ReferenceData!$AX$217),"")</f>
        <v>753.47998029999997</v>
      </c>
      <c r="AY217">
        <f ca="1">IFERROR(IF(0=LEN(ReferenceData!$AY$217),"",ReferenceData!$AY$217),"")</f>
        <v>48.78413244</v>
      </c>
      <c r="AZ217" t="str">
        <f ca="1">IFERROR(IF(0=LEN(ReferenceData!$AZ$217),"",ReferenceData!$AZ$217),"")</f>
        <v/>
      </c>
      <c r="BA217" t="str">
        <f ca="1">IFERROR(IF(0=LEN(ReferenceData!$BA$217),"",ReferenceData!$BA$217),"")</f>
        <v/>
      </c>
      <c r="BB217" t="str">
        <f ca="1">IFERROR(IF(0=LEN(ReferenceData!$BB$217),"",ReferenceData!$BB$217),"")</f>
        <v/>
      </c>
      <c r="BC217" t="str">
        <f ca="1">IFERROR(IF(0=LEN(ReferenceData!$BC$217),"",ReferenceData!$BC$217),"")</f>
        <v/>
      </c>
      <c r="BD217" t="str">
        <f ca="1">IFERROR(IF(0=LEN(ReferenceData!$BD$217),"",ReferenceData!$BD$217),"")</f>
        <v/>
      </c>
      <c r="BE217" t="str">
        <f ca="1">IFERROR(IF(0=LEN(ReferenceData!$BE$217),"",ReferenceData!$BE$217),"")</f>
        <v/>
      </c>
      <c r="BF217" t="str">
        <f ca="1">IFERROR(IF(0=LEN(ReferenceData!$BF$217),"",ReferenceData!$BF$217),"")</f>
        <v/>
      </c>
      <c r="BG217" t="str">
        <f ca="1">IFERROR(IF(0=LEN(ReferenceData!$BG$217),"",ReferenceData!$BG$217),"")</f>
        <v/>
      </c>
      <c r="BH217" t="str">
        <f ca="1">IFERROR(IF(0=LEN(ReferenceData!$BH$217),"",ReferenceData!$BH$217),"")</f>
        <v/>
      </c>
      <c r="BI217" t="str">
        <f ca="1">IFERROR(IF(0=LEN(ReferenceData!$BI$217),"",ReferenceData!$BI$217),"")</f>
        <v/>
      </c>
      <c r="BJ217" t="str">
        <f ca="1">IFERROR(IF(0=LEN(ReferenceData!$BJ$217),"",ReferenceData!$BJ$217),"")</f>
        <v/>
      </c>
      <c r="BK217" t="str">
        <f ca="1">IFERROR(IF(0=LEN(ReferenceData!$BK$217),"",ReferenceData!$BK$217),"")</f>
        <v/>
      </c>
      <c r="BL217" t="str">
        <f ca="1">IFERROR(IF(0=LEN(ReferenceData!$BL$217),"",ReferenceData!$BL$217),"")</f>
        <v/>
      </c>
      <c r="BM217" t="str">
        <f ca="1">IFERROR(IF(0=LEN(ReferenceData!$BM$217),"",ReferenceData!$BM$217),"")</f>
        <v/>
      </c>
    </row>
    <row r="218" spans="1:65" x14ac:dyDescent="0.25">
      <c r="A218" t="str">
        <f>IFERROR(IF(0=LEN(ReferenceData!$A$218),"",ReferenceData!$A$218),"")</f>
        <v xml:space="preserve">    Dongfeng Motor Group Co Ltd</v>
      </c>
      <c r="B218" t="str">
        <f>IFERROR(IF(0=LEN(ReferenceData!$B$218),"",ReferenceData!$B$218),"")</f>
        <v>489 HK Equity</v>
      </c>
      <c r="C218" t="str">
        <f>IFERROR(IF(0=LEN(ReferenceData!$C$218),"",ReferenceData!$C$218),"")</f>
        <v>RR971</v>
      </c>
      <c r="D218" t="str">
        <f>IFERROR(IF(0=LEN(ReferenceData!$D$218),"",ReferenceData!$D$218),"")</f>
        <v>CURRENT_PX_TO_FREE_CASH_FLOW</v>
      </c>
      <c r="E218" t="str">
        <f>IFERROR(IF(0=LEN(ReferenceData!$E$218),"",ReferenceData!$E$218),"")</f>
        <v>Dynamic</v>
      </c>
      <c r="F218" t="str">
        <f ca="1">IFERROR(IF(0=LEN(ReferenceData!$F$218),"",ReferenceData!$F$218),"")</f>
        <v/>
      </c>
      <c r="G218" t="str">
        <f ca="1">IFERROR(IF(0=LEN(ReferenceData!$G$218),"",ReferenceData!$G$218),"")</f>
        <v/>
      </c>
      <c r="H218" t="str">
        <f ca="1">IFERROR(IF(0=LEN(ReferenceData!$H$218),"",ReferenceData!$H$218),"")</f>
        <v/>
      </c>
      <c r="I218" t="str">
        <f ca="1">IFERROR(IF(0=LEN(ReferenceData!$I$218),"",ReferenceData!$I$218),"")</f>
        <v/>
      </c>
      <c r="J218" t="str">
        <f ca="1">IFERROR(IF(0=LEN(ReferenceData!$J$218),"",ReferenceData!$J$218),"")</f>
        <v/>
      </c>
      <c r="K218" t="str">
        <f ca="1">IFERROR(IF(0=LEN(ReferenceData!$K$218),"",ReferenceData!$K$218),"")</f>
        <v/>
      </c>
      <c r="L218" t="str">
        <f ca="1">IFERROR(IF(0=LEN(ReferenceData!$L$218),"",ReferenceData!$L$218),"")</f>
        <v/>
      </c>
      <c r="M218" t="str">
        <f ca="1">IFERROR(IF(0=LEN(ReferenceData!$M$218),"",ReferenceData!$M$218),"")</f>
        <v/>
      </c>
      <c r="N218" t="str">
        <f ca="1">IFERROR(IF(0=LEN(ReferenceData!$N$218),"",ReferenceData!$N$218),"")</f>
        <v/>
      </c>
      <c r="O218" t="str">
        <f ca="1">IFERROR(IF(0=LEN(ReferenceData!$O$218),"",ReferenceData!$O$218),"")</f>
        <v/>
      </c>
      <c r="P218" t="str">
        <f ca="1">IFERROR(IF(0=LEN(ReferenceData!$P$218),"",ReferenceData!$P$218),"")</f>
        <v/>
      </c>
      <c r="Q218" t="str">
        <f ca="1">IFERROR(IF(0=LEN(ReferenceData!$Q$218),"",ReferenceData!$Q$218),"")</f>
        <v/>
      </c>
      <c r="R218" t="str">
        <f ca="1">IFERROR(IF(0=LEN(ReferenceData!$R$218),"",ReferenceData!$R$218),"")</f>
        <v/>
      </c>
      <c r="S218" t="str">
        <f ca="1">IFERROR(IF(0=LEN(ReferenceData!$S$218),"",ReferenceData!$S$218),"")</f>
        <v/>
      </c>
      <c r="T218" t="str">
        <f ca="1">IFERROR(IF(0=LEN(ReferenceData!$T$218),"",ReferenceData!$T$218),"")</f>
        <v/>
      </c>
      <c r="U218" t="str">
        <f ca="1">IFERROR(IF(0=LEN(ReferenceData!$U$218),"",ReferenceData!$U$218),"")</f>
        <v/>
      </c>
      <c r="V218" t="str">
        <f ca="1">IFERROR(IF(0=LEN(ReferenceData!$V$218),"",ReferenceData!$V$218),"")</f>
        <v/>
      </c>
      <c r="W218" t="str">
        <f ca="1">IFERROR(IF(0=LEN(ReferenceData!$W$218),"",ReferenceData!$W$218),"")</f>
        <v/>
      </c>
      <c r="X218" t="str">
        <f ca="1">IFERROR(IF(0=LEN(ReferenceData!$X$218),"",ReferenceData!$X$218),"")</f>
        <v/>
      </c>
      <c r="Y218" t="str">
        <f ca="1">IFERROR(IF(0=LEN(ReferenceData!$Y$218),"",ReferenceData!$Y$218),"")</f>
        <v/>
      </c>
      <c r="Z218" t="str">
        <f ca="1">IFERROR(IF(0=LEN(ReferenceData!$Z$218),"",ReferenceData!$Z$218),"")</f>
        <v/>
      </c>
      <c r="AA218" t="str">
        <f ca="1">IFERROR(IF(0=LEN(ReferenceData!$AA$218),"",ReferenceData!$AA$218),"")</f>
        <v/>
      </c>
      <c r="AB218" t="str">
        <f ca="1">IFERROR(IF(0=LEN(ReferenceData!$AB$218),"",ReferenceData!$AB$218),"")</f>
        <v/>
      </c>
      <c r="AC218" t="str">
        <f ca="1">IFERROR(IF(0=LEN(ReferenceData!$AC$218),"",ReferenceData!$AC$218),"")</f>
        <v/>
      </c>
      <c r="AD218" t="str">
        <f ca="1">IFERROR(IF(0=LEN(ReferenceData!$AD$218),"",ReferenceData!$AD$218),"")</f>
        <v/>
      </c>
      <c r="AE218" t="str">
        <f ca="1">IFERROR(IF(0=LEN(ReferenceData!$AE$218),"",ReferenceData!$AE$218),"")</f>
        <v/>
      </c>
      <c r="AF218" t="str">
        <f ca="1">IFERROR(IF(0=LEN(ReferenceData!$AF$218),"",ReferenceData!$AF$218),"")</f>
        <v/>
      </c>
      <c r="AG218" t="str">
        <f ca="1">IFERROR(IF(0=LEN(ReferenceData!$AG$218),"",ReferenceData!$AG$218),"")</f>
        <v/>
      </c>
      <c r="AH218" t="str">
        <f ca="1">IFERROR(IF(0=LEN(ReferenceData!$AH$218),"",ReferenceData!$AH$218),"")</f>
        <v/>
      </c>
      <c r="AI218" t="str">
        <f ca="1">IFERROR(IF(0=LEN(ReferenceData!$AI$218),"",ReferenceData!$AI$218),"")</f>
        <v/>
      </c>
      <c r="AJ218" t="str">
        <f ca="1">IFERROR(IF(0=LEN(ReferenceData!$AJ$218),"",ReferenceData!$AJ$218),"")</f>
        <v/>
      </c>
      <c r="AK218" t="str">
        <f ca="1">IFERROR(IF(0=LEN(ReferenceData!$AK$218),"",ReferenceData!$AK$218),"")</f>
        <v/>
      </c>
      <c r="AL218" t="str">
        <f ca="1">IFERROR(IF(0=LEN(ReferenceData!$AL$218),"",ReferenceData!$AL$218),"")</f>
        <v/>
      </c>
      <c r="AM218" t="str">
        <f ca="1">IFERROR(IF(0=LEN(ReferenceData!$AM$218),"",ReferenceData!$AM$218),"")</f>
        <v/>
      </c>
      <c r="AN218" t="str">
        <f ca="1">IFERROR(IF(0=LEN(ReferenceData!$AN$218),"",ReferenceData!$AN$218),"")</f>
        <v/>
      </c>
      <c r="AO218" t="str">
        <f ca="1">IFERROR(IF(0=LEN(ReferenceData!$AO$218),"",ReferenceData!$AO$218),"")</f>
        <v/>
      </c>
      <c r="AP218" t="str">
        <f ca="1">IFERROR(IF(0=LEN(ReferenceData!$AP$218),"",ReferenceData!$AP$218),"")</f>
        <v/>
      </c>
      <c r="AQ218" t="str">
        <f ca="1">IFERROR(IF(0=LEN(ReferenceData!$AQ$218),"",ReferenceData!$AQ$218),"")</f>
        <v/>
      </c>
      <c r="AR218" t="str">
        <f ca="1">IFERROR(IF(0=LEN(ReferenceData!$AR$218),"",ReferenceData!$AR$218),"")</f>
        <v/>
      </c>
      <c r="AS218" t="str">
        <f ca="1">IFERROR(IF(0=LEN(ReferenceData!$AS$218),"",ReferenceData!$AS$218),"")</f>
        <v/>
      </c>
      <c r="AT218" t="str">
        <f ca="1">IFERROR(IF(0=LEN(ReferenceData!$AT$218),"",ReferenceData!$AT$218),"")</f>
        <v/>
      </c>
      <c r="AU218" t="str">
        <f ca="1">IFERROR(IF(0=LEN(ReferenceData!$AU$218),"",ReferenceData!$AU$218),"")</f>
        <v/>
      </c>
      <c r="AV218" t="str">
        <f ca="1">IFERROR(IF(0=LEN(ReferenceData!$AV$218),"",ReferenceData!$AV$218),"")</f>
        <v/>
      </c>
      <c r="AW218" t="str">
        <f ca="1">IFERROR(IF(0=LEN(ReferenceData!$AW$218),"",ReferenceData!$AW$218),"")</f>
        <v/>
      </c>
      <c r="AX218" t="str">
        <f ca="1">IFERROR(IF(0=LEN(ReferenceData!$AX$218),"",ReferenceData!$AX$218),"")</f>
        <v/>
      </c>
      <c r="AY218" t="str">
        <f ca="1">IFERROR(IF(0=LEN(ReferenceData!$AY$218),"",ReferenceData!$AY$218),"")</f>
        <v/>
      </c>
      <c r="AZ218" t="str">
        <f ca="1">IFERROR(IF(0=LEN(ReferenceData!$AZ$218),"",ReferenceData!$AZ$218),"")</f>
        <v/>
      </c>
      <c r="BA218" t="str">
        <f ca="1">IFERROR(IF(0=LEN(ReferenceData!$BA$218),"",ReferenceData!$BA$218),"")</f>
        <v/>
      </c>
      <c r="BB218" t="str">
        <f ca="1">IFERROR(IF(0=LEN(ReferenceData!$BB$218),"",ReferenceData!$BB$218),"")</f>
        <v/>
      </c>
      <c r="BC218" t="str">
        <f ca="1">IFERROR(IF(0=LEN(ReferenceData!$BC$218),"",ReferenceData!$BC$218),"")</f>
        <v/>
      </c>
      <c r="BD218" t="str">
        <f ca="1">IFERROR(IF(0=LEN(ReferenceData!$BD$218),"",ReferenceData!$BD$218),"")</f>
        <v/>
      </c>
      <c r="BE218" t="str">
        <f ca="1">IFERROR(IF(0=LEN(ReferenceData!$BE$218),"",ReferenceData!$BE$218),"")</f>
        <v/>
      </c>
      <c r="BF218" t="str">
        <f ca="1">IFERROR(IF(0=LEN(ReferenceData!$BF$218),"",ReferenceData!$BF$218),"")</f>
        <v/>
      </c>
      <c r="BG218" t="str">
        <f ca="1">IFERROR(IF(0=LEN(ReferenceData!$BG$218),"",ReferenceData!$BG$218),"")</f>
        <v/>
      </c>
      <c r="BH218" t="str">
        <f ca="1">IFERROR(IF(0=LEN(ReferenceData!$BH$218),"",ReferenceData!$BH$218),"")</f>
        <v/>
      </c>
      <c r="BI218" t="str">
        <f ca="1">IFERROR(IF(0=LEN(ReferenceData!$BI$218),"",ReferenceData!$BI$218),"")</f>
        <v/>
      </c>
      <c r="BJ218" t="str">
        <f ca="1">IFERROR(IF(0=LEN(ReferenceData!$BJ$218),"",ReferenceData!$BJ$218),"")</f>
        <v/>
      </c>
      <c r="BK218" t="str">
        <f ca="1">IFERROR(IF(0=LEN(ReferenceData!$BK$218),"",ReferenceData!$BK$218),"")</f>
        <v/>
      </c>
      <c r="BL218" t="str">
        <f ca="1">IFERROR(IF(0=LEN(ReferenceData!$BL$218),"",ReferenceData!$BL$218),"")</f>
        <v/>
      </c>
      <c r="BM218" t="str">
        <f ca="1">IFERROR(IF(0=LEN(ReferenceData!$BM$218),"",ReferenceData!$BM$218),"")</f>
        <v/>
      </c>
    </row>
    <row r="219" spans="1:65" x14ac:dyDescent="0.25">
      <c r="A219" t="str">
        <f>IFERROR(IF(0=LEN(ReferenceData!$A$219),"",ReferenceData!$A$219),"")</f>
        <v xml:space="preserve">    DRB-Hicom Bhd</v>
      </c>
      <c r="B219" t="str">
        <f>IFERROR(IF(0=LEN(ReferenceData!$B$219),"",ReferenceData!$B$219),"")</f>
        <v>DRB MK Equity</v>
      </c>
      <c r="C219" t="str">
        <f>IFERROR(IF(0=LEN(ReferenceData!$C$219),"",ReferenceData!$C$219),"")</f>
        <v>RR971</v>
      </c>
      <c r="D219" t="str">
        <f>IFERROR(IF(0=LEN(ReferenceData!$D$219),"",ReferenceData!$D$219),"")</f>
        <v>CURRENT_PX_TO_FREE_CASH_FLOW</v>
      </c>
      <c r="E219" t="str">
        <f>IFERROR(IF(0=LEN(ReferenceData!$E$219),"",ReferenceData!$E$219),"")</f>
        <v>Dynamic</v>
      </c>
      <c r="F219" t="str">
        <f ca="1">IFERROR(IF(0=LEN(ReferenceData!$F$219),"",ReferenceData!$F$219),"")</f>
        <v/>
      </c>
      <c r="G219">
        <f ca="1">IFERROR(IF(0=LEN(ReferenceData!$G$219),"",ReferenceData!$G$219),"")</f>
        <v>1.989712868</v>
      </c>
      <c r="H219">
        <f ca="1">IFERROR(IF(0=LEN(ReferenceData!$H$219),"",ReferenceData!$H$219),"")</f>
        <v>2.5700457879999998</v>
      </c>
      <c r="I219">
        <f ca="1">IFERROR(IF(0=LEN(ReferenceData!$I$219),"",ReferenceData!$I$219),"")</f>
        <v>6.8468781310000004</v>
      </c>
      <c r="J219">
        <f ca="1">IFERROR(IF(0=LEN(ReferenceData!$J$219),"",ReferenceData!$J$219),"")</f>
        <v>17.062004569999999</v>
      </c>
      <c r="K219">
        <f ca="1">IFERROR(IF(0=LEN(ReferenceData!$K$219),"",ReferenceData!$K$219),"")</f>
        <v>8.000922052</v>
      </c>
      <c r="L219" t="str">
        <f ca="1">IFERROR(IF(0=LEN(ReferenceData!$L$219),"",ReferenceData!$L$219),"")</f>
        <v/>
      </c>
      <c r="M219" t="str">
        <f ca="1">IFERROR(IF(0=LEN(ReferenceData!$M$219),"",ReferenceData!$M$219),"")</f>
        <v/>
      </c>
      <c r="N219" t="str">
        <f ca="1">IFERROR(IF(0=LEN(ReferenceData!$N$219),"",ReferenceData!$N$219),"")</f>
        <v/>
      </c>
      <c r="O219" t="str">
        <f ca="1">IFERROR(IF(0=LEN(ReferenceData!$O$219),"",ReferenceData!$O$219),"")</f>
        <v/>
      </c>
      <c r="P219">
        <f ca="1">IFERROR(IF(0=LEN(ReferenceData!$P$219),"",ReferenceData!$P$219),"")</f>
        <v>21.069151399999999</v>
      </c>
      <c r="Q219">
        <f ca="1">IFERROR(IF(0=LEN(ReferenceData!$Q$219),"",ReferenceData!$Q$219),"")</f>
        <v>12.812321799999999</v>
      </c>
      <c r="R219" t="str">
        <f ca="1">IFERROR(IF(0=LEN(ReferenceData!$R$219),"",ReferenceData!$R$219),"")</f>
        <v/>
      </c>
      <c r="S219" t="str">
        <f ca="1">IFERROR(IF(0=LEN(ReferenceData!$S$219),"",ReferenceData!$S$219),"")</f>
        <v/>
      </c>
      <c r="T219" t="str">
        <f ca="1">IFERROR(IF(0=LEN(ReferenceData!$T$219),"",ReferenceData!$T$219),"")</f>
        <v/>
      </c>
      <c r="U219" t="str">
        <f ca="1">IFERROR(IF(0=LEN(ReferenceData!$U$219),"",ReferenceData!$U$219),"")</f>
        <v/>
      </c>
      <c r="V219">
        <f ca="1">IFERROR(IF(0=LEN(ReferenceData!$V$219),"",ReferenceData!$V$219),"")</f>
        <v>11.515463799999999</v>
      </c>
      <c r="W219">
        <f ca="1">IFERROR(IF(0=LEN(ReferenceData!$W$219),"",ReferenceData!$W$219),"")</f>
        <v>10.17780891</v>
      </c>
      <c r="X219" t="str">
        <f ca="1">IFERROR(IF(0=LEN(ReferenceData!$X$219),"",ReferenceData!$X$219),"")</f>
        <v/>
      </c>
      <c r="Y219" t="str">
        <f ca="1">IFERROR(IF(0=LEN(ReferenceData!$Y$219),"",ReferenceData!$Y$219),"")</f>
        <v/>
      </c>
      <c r="Z219">
        <f ca="1">IFERROR(IF(0=LEN(ReferenceData!$Z$219),"",ReferenceData!$Z$219),"")</f>
        <v>5.2358987380000004</v>
      </c>
      <c r="AA219">
        <f ca="1">IFERROR(IF(0=LEN(ReferenceData!$AA$219),"",ReferenceData!$AA$219),"")</f>
        <v>6.0266263029999996</v>
      </c>
      <c r="AB219">
        <f ca="1">IFERROR(IF(0=LEN(ReferenceData!$AB$219),"",ReferenceData!$AB$219),"")</f>
        <v>1.9327320189999999</v>
      </c>
      <c r="AC219">
        <f ca="1">IFERROR(IF(0=LEN(ReferenceData!$AC$219),"",ReferenceData!$AC$219),"")</f>
        <v>2.5423264329999999</v>
      </c>
      <c r="AD219" t="str">
        <f ca="1">IFERROR(IF(0=LEN(ReferenceData!$AD$219),"",ReferenceData!$AD$219),"")</f>
        <v/>
      </c>
      <c r="AE219" t="str">
        <f ca="1">IFERROR(IF(0=LEN(ReferenceData!$AE$219),"",ReferenceData!$AE$219),"")</f>
        <v/>
      </c>
      <c r="AF219" t="str">
        <f ca="1">IFERROR(IF(0=LEN(ReferenceData!$AF$219),"",ReferenceData!$AF$219),"")</f>
        <v/>
      </c>
      <c r="AG219" t="str">
        <f ca="1">IFERROR(IF(0=LEN(ReferenceData!$AG$219),"",ReferenceData!$AG$219),"")</f>
        <v/>
      </c>
      <c r="AH219" t="str">
        <f ca="1">IFERROR(IF(0=LEN(ReferenceData!$AH$219),"",ReferenceData!$AH$219),"")</f>
        <v/>
      </c>
      <c r="AI219" t="str">
        <f ca="1">IFERROR(IF(0=LEN(ReferenceData!$AI$219),"",ReferenceData!$AI$219),"")</f>
        <v/>
      </c>
      <c r="AJ219" t="str">
        <f ca="1">IFERROR(IF(0=LEN(ReferenceData!$AJ$219),"",ReferenceData!$AJ$219),"")</f>
        <v/>
      </c>
      <c r="AK219" t="str">
        <f ca="1">IFERROR(IF(0=LEN(ReferenceData!$AK$219),"",ReferenceData!$AK$219),"")</f>
        <v/>
      </c>
      <c r="AL219" t="str">
        <f ca="1">IFERROR(IF(0=LEN(ReferenceData!$AL$219),"",ReferenceData!$AL$219),"")</f>
        <v/>
      </c>
      <c r="AM219" t="str">
        <f ca="1">IFERROR(IF(0=LEN(ReferenceData!$AM$219),"",ReferenceData!$AM$219),"")</f>
        <v/>
      </c>
      <c r="AN219">
        <f ca="1">IFERROR(IF(0=LEN(ReferenceData!$AN$219),"",ReferenceData!$AN$219),"")</f>
        <v>2.6651742189999998</v>
      </c>
      <c r="AO219">
        <f ca="1">IFERROR(IF(0=LEN(ReferenceData!$AO$219),"",ReferenceData!$AO$219),"")</f>
        <v>2.1998263389999999</v>
      </c>
      <c r="AP219">
        <f ca="1">IFERROR(IF(0=LEN(ReferenceData!$AP$219),"",ReferenceData!$AP$219),"")</f>
        <v>0.98260618</v>
      </c>
      <c r="AQ219" t="str">
        <f ca="1">IFERROR(IF(0=LEN(ReferenceData!$AQ$219),"",ReferenceData!$AQ$219),"")</f>
        <v/>
      </c>
      <c r="AR219" t="str">
        <f ca="1">IFERROR(IF(0=LEN(ReferenceData!$AR$219),"",ReferenceData!$AR$219),"")</f>
        <v/>
      </c>
      <c r="AS219" t="str">
        <f ca="1">IFERROR(IF(0=LEN(ReferenceData!$AS$219),"",ReferenceData!$AS$219),"")</f>
        <v/>
      </c>
      <c r="AT219" t="str">
        <f ca="1">IFERROR(IF(0=LEN(ReferenceData!$AT$219),"",ReferenceData!$AT$219),"")</f>
        <v/>
      </c>
      <c r="AU219" t="str">
        <f ca="1">IFERROR(IF(0=LEN(ReferenceData!$AU$219),"",ReferenceData!$AU$219),"")</f>
        <v/>
      </c>
      <c r="AV219">
        <f ca="1">IFERROR(IF(0=LEN(ReferenceData!$AV$219),"",ReferenceData!$AV$219),"")</f>
        <v>30.649642589999999</v>
      </c>
      <c r="AW219">
        <f ca="1">IFERROR(IF(0=LEN(ReferenceData!$AW$219),"",ReferenceData!$AW$219),"")</f>
        <v>33.435973730000001</v>
      </c>
      <c r="AX219">
        <f ca="1">IFERROR(IF(0=LEN(ReferenceData!$AX$219),"",ReferenceData!$AX$219),"")</f>
        <v>2.2428313609999999</v>
      </c>
      <c r="AY219">
        <f ca="1">IFERROR(IF(0=LEN(ReferenceData!$AY$219),"",ReferenceData!$AY$219),"")</f>
        <v>2.4743966579999999</v>
      </c>
      <c r="AZ219">
        <f ca="1">IFERROR(IF(0=LEN(ReferenceData!$AZ$219),"",ReferenceData!$AZ$219),"")</f>
        <v>2.2090514469999998</v>
      </c>
      <c r="BA219">
        <f ca="1">IFERROR(IF(0=LEN(ReferenceData!$BA$219),"",ReferenceData!$BA$219),"")</f>
        <v>2.4544300149999998</v>
      </c>
      <c r="BB219">
        <f ca="1">IFERROR(IF(0=LEN(ReferenceData!$BB$219),"",ReferenceData!$BB$219),"")</f>
        <v>3.6233038249999998</v>
      </c>
      <c r="BC219">
        <f ca="1">IFERROR(IF(0=LEN(ReferenceData!$BC$219),"",ReferenceData!$BC$219),"")</f>
        <v>2.9332201809999998</v>
      </c>
      <c r="BD219">
        <f ca="1">IFERROR(IF(0=LEN(ReferenceData!$BD$219),"",ReferenceData!$BD$219),"")</f>
        <v>5.2426289410000004</v>
      </c>
      <c r="BE219">
        <f ca="1">IFERROR(IF(0=LEN(ReferenceData!$BE$219),"",ReferenceData!$BE$219),"")</f>
        <v>12.87335655</v>
      </c>
      <c r="BF219">
        <f ca="1">IFERROR(IF(0=LEN(ReferenceData!$BF$219),"",ReferenceData!$BF$219),"")</f>
        <v>7.7321574279999998</v>
      </c>
      <c r="BG219">
        <f ca="1">IFERROR(IF(0=LEN(ReferenceData!$BG$219),"",ReferenceData!$BG$219),"")</f>
        <v>5.8847023979999999</v>
      </c>
      <c r="BH219">
        <f ca="1">IFERROR(IF(0=LEN(ReferenceData!$BH$219),"",ReferenceData!$BH$219),"")</f>
        <v>3.3604079599999999</v>
      </c>
      <c r="BI219">
        <f ca="1">IFERROR(IF(0=LEN(ReferenceData!$BI$219),"",ReferenceData!$BI$219),"")</f>
        <v>2.3567093149999998</v>
      </c>
      <c r="BJ219">
        <f ca="1">IFERROR(IF(0=LEN(ReferenceData!$BJ$219),"",ReferenceData!$BJ$219),"")</f>
        <v>2.851753768</v>
      </c>
      <c r="BK219">
        <f ca="1">IFERROR(IF(0=LEN(ReferenceData!$BK$219),"",ReferenceData!$BK$219),"")</f>
        <v>3.9507485419999999</v>
      </c>
      <c r="BL219">
        <f ca="1">IFERROR(IF(0=LEN(ReferenceData!$BL$219),"",ReferenceData!$BL$219),"")</f>
        <v>5.0677957710000001</v>
      </c>
      <c r="BM219">
        <f ca="1">IFERROR(IF(0=LEN(ReferenceData!$BM$219),"",ReferenceData!$BM$219),"")</f>
        <v>6.1731776050000002</v>
      </c>
    </row>
    <row r="220" spans="1:65" x14ac:dyDescent="0.25">
      <c r="A220" t="str">
        <f>IFERROR(IF(0=LEN(ReferenceData!$A$220),"",ReferenceData!$A$220),"")</f>
        <v xml:space="preserve">    FAW CAR Co Ltd</v>
      </c>
      <c r="B220" t="str">
        <f>IFERROR(IF(0=LEN(ReferenceData!$B$220),"",ReferenceData!$B$220),"")</f>
        <v>000800 CH Equity</v>
      </c>
      <c r="C220" t="str">
        <f>IFERROR(IF(0=LEN(ReferenceData!$C$220),"",ReferenceData!$C$220),"")</f>
        <v>RR971</v>
      </c>
      <c r="D220" t="str">
        <f>IFERROR(IF(0=LEN(ReferenceData!$D$220),"",ReferenceData!$D$220),"")</f>
        <v>CURRENT_PX_TO_FREE_CASH_FLOW</v>
      </c>
      <c r="E220" t="str">
        <f>IFERROR(IF(0=LEN(ReferenceData!$E$220),"",ReferenceData!$E$220),"")</f>
        <v>Dynamic</v>
      </c>
      <c r="F220">
        <f ca="1">IFERROR(IF(0=LEN(ReferenceData!$F$220),"",ReferenceData!$F$220),"")</f>
        <v>12.40715606</v>
      </c>
      <c r="G220">
        <f ca="1">IFERROR(IF(0=LEN(ReferenceData!$G$220),"",ReferenceData!$G$220),"")</f>
        <v>10.20315194</v>
      </c>
      <c r="H220">
        <f ca="1">IFERROR(IF(0=LEN(ReferenceData!$H$220),"",ReferenceData!$H$220),"")</f>
        <v>10.156914090000001</v>
      </c>
      <c r="I220">
        <f ca="1">IFERROR(IF(0=LEN(ReferenceData!$I$220),"",ReferenceData!$I$220),"")</f>
        <v>5.6553134710000004</v>
      </c>
      <c r="J220">
        <f ca="1">IFERROR(IF(0=LEN(ReferenceData!$J$220),"",ReferenceData!$J$220),"")</f>
        <v>8.0141072340000008</v>
      </c>
      <c r="K220">
        <f ca="1">IFERROR(IF(0=LEN(ReferenceData!$K$220),"",ReferenceData!$K$220),"")</f>
        <v>8.7243005220000001</v>
      </c>
      <c r="L220">
        <f ca="1">IFERROR(IF(0=LEN(ReferenceData!$L$220),"",ReferenceData!$L$220),"")</f>
        <v>11.046381139999999</v>
      </c>
      <c r="M220">
        <f ca="1">IFERROR(IF(0=LEN(ReferenceData!$M$220),"",ReferenceData!$M$220),"")</f>
        <v>19.839891900000001</v>
      </c>
      <c r="N220">
        <f ca="1">IFERROR(IF(0=LEN(ReferenceData!$N$220),"",ReferenceData!$N$220),"")</f>
        <v>19.90688141</v>
      </c>
      <c r="O220" t="str">
        <f ca="1">IFERROR(IF(0=LEN(ReferenceData!$O$220),"",ReferenceData!$O$220),"")</f>
        <v/>
      </c>
      <c r="P220" t="str">
        <f ca="1">IFERROR(IF(0=LEN(ReferenceData!$P$220),"",ReferenceData!$P$220),"")</f>
        <v/>
      </c>
      <c r="Q220" t="str">
        <f ca="1">IFERROR(IF(0=LEN(ReferenceData!$Q$220),"",ReferenceData!$Q$220),"")</f>
        <v/>
      </c>
      <c r="R220">
        <f ca="1">IFERROR(IF(0=LEN(ReferenceData!$R$220),"",ReferenceData!$R$220),"")</f>
        <v>81.283091850000005</v>
      </c>
      <c r="S220">
        <f ca="1">IFERROR(IF(0=LEN(ReferenceData!$S$220),"",ReferenceData!$S$220),"")</f>
        <v>93.704522080000004</v>
      </c>
      <c r="T220" t="str">
        <f ca="1">IFERROR(IF(0=LEN(ReferenceData!$T$220),"",ReferenceData!$T$220),"")</f>
        <v/>
      </c>
      <c r="U220" t="str">
        <f ca="1">IFERROR(IF(0=LEN(ReferenceData!$U$220),"",ReferenceData!$U$220),"")</f>
        <v/>
      </c>
      <c r="V220" t="str">
        <f ca="1">IFERROR(IF(0=LEN(ReferenceData!$V$220),"",ReferenceData!$V$220),"")</f>
        <v/>
      </c>
      <c r="W220" t="str">
        <f ca="1">IFERROR(IF(0=LEN(ReferenceData!$W$220),"",ReferenceData!$W$220),"")</f>
        <v/>
      </c>
      <c r="X220" t="str">
        <f ca="1">IFERROR(IF(0=LEN(ReferenceData!$X$220),"",ReferenceData!$X$220),"")</f>
        <v/>
      </c>
      <c r="Y220">
        <f ca="1">IFERROR(IF(0=LEN(ReferenceData!$Y$220),"",ReferenceData!$Y$220),"")</f>
        <v>35.895084949999998</v>
      </c>
      <c r="Z220">
        <f ca="1">IFERROR(IF(0=LEN(ReferenceData!$Z$220),"",ReferenceData!$Z$220),"")</f>
        <v>37.64697383</v>
      </c>
      <c r="AA220" t="str">
        <f ca="1">IFERROR(IF(0=LEN(ReferenceData!$AA$220),"",ReferenceData!$AA$220),"")</f>
        <v/>
      </c>
      <c r="AB220" t="str">
        <f ca="1">IFERROR(IF(0=LEN(ReferenceData!$AB$220),"",ReferenceData!$AB$220),"")</f>
        <v/>
      </c>
      <c r="AC220" t="str">
        <f ca="1">IFERROR(IF(0=LEN(ReferenceData!$AC$220),"",ReferenceData!$AC$220),"")</f>
        <v/>
      </c>
      <c r="AD220" t="str">
        <f ca="1">IFERROR(IF(0=LEN(ReferenceData!$AD$220),"",ReferenceData!$AD$220),"")</f>
        <v/>
      </c>
      <c r="AE220" t="str">
        <f ca="1">IFERROR(IF(0=LEN(ReferenceData!$AE$220),"",ReferenceData!$AE$220),"")</f>
        <v/>
      </c>
      <c r="AF220" t="str">
        <f ca="1">IFERROR(IF(0=LEN(ReferenceData!$AF$220),"",ReferenceData!$AF$220),"")</f>
        <v/>
      </c>
      <c r="AG220" t="str">
        <f ca="1">IFERROR(IF(0=LEN(ReferenceData!$AG$220),"",ReferenceData!$AG$220),"")</f>
        <v/>
      </c>
      <c r="AH220" t="str">
        <f ca="1">IFERROR(IF(0=LEN(ReferenceData!$AH$220),"",ReferenceData!$AH$220),"")</f>
        <v/>
      </c>
      <c r="AI220" t="str">
        <f ca="1">IFERROR(IF(0=LEN(ReferenceData!$AI$220),"",ReferenceData!$AI$220),"")</f>
        <v/>
      </c>
      <c r="AJ220" t="str">
        <f ca="1">IFERROR(IF(0=LEN(ReferenceData!$AJ$220),"",ReferenceData!$AJ$220),"")</f>
        <v/>
      </c>
      <c r="AK220" t="str">
        <f ca="1">IFERROR(IF(0=LEN(ReferenceData!$AK$220),"",ReferenceData!$AK$220),"")</f>
        <v/>
      </c>
      <c r="AL220">
        <f ca="1">IFERROR(IF(0=LEN(ReferenceData!$AL$220),"",ReferenceData!$AL$220),"")</f>
        <v>22.41058331</v>
      </c>
      <c r="AM220">
        <f ca="1">IFERROR(IF(0=LEN(ReferenceData!$AM$220),"",ReferenceData!$AM$220),"")</f>
        <v>21.195631240000001</v>
      </c>
      <c r="AN220">
        <f ca="1">IFERROR(IF(0=LEN(ReferenceData!$AN$220),"",ReferenceData!$AN$220),"")</f>
        <v>14.13560809</v>
      </c>
      <c r="AO220">
        <f ca="1">IFERROR(IF(0=LEN(ReferenceData!$AO$220),"",ReferenceData!$AO$220),"")</f>
        <v>27.223103170000002</v>
      </c>
      <c r="AP220">
        <f ca="1">IFERROR(IF(0=LEN(ReferenceData!$AP$220),"",ReferenceData!$AP$220),"")</f>
        <v>28.986477910000001</v>
      </c>
      <c r="AQ220">
        <f ca="1">IFERROR(IF(0=LEN(ReferenceData!$AQ$220),"",ReferenceData!$AQ$220),"")</f>
        <v>33.273177259999997</v>
      </c>
      <c r="AR220">
        <f ca="1">IFERROR(IF(0=LEN(ReferenceData!$AR$220),"",ReferenceData!$AR$220),"")</f>
        <v>11.93856313</v>
      </c>
      <c r="AS220">
        <f ca="1">IFERROR(IF(0=LEN(ReferenceData!$AS$220),"",ReferenceData!$AS$220),"")</f>
        <v>15.166089510000001</v>
      </c>
      <c r="AT220">
        <f ca="1">IFERROR(IF(0=LEN(ReferenceData!$AT$220),"",ReferenceData!$AT$220),"")</f>
        <v>19.502821950000001</v>
      </c>
      <c r="AU220">
        <f ca="1">IFERROR(IF(0=LEN(ReferenceData!$AU$220),"",ReferenceData!$AU$220),"")</f>
        <v>28.65931891</v>
      </c>
      <c r="AV220">
        <f ca="1">IFERROR(IF(0=LEN(ReferenceData!$AV$220),"",ReferenceData!$AV$220),"")</f>
        <v>165.10168880000001</v>
      </c>
      <c r="AW220">
        <f ca="1">IFERROR(IF(0=LEN(ReferenceData!$AW$220),"",ReferenceData!$AW$220),"")</f>
        <v>203.24145870000001</v>
      </c>
      <c r="AX220">
        <f ca="1">IFERROR(IF(0=LEN(ReferenceData!$AX$220),"",ReferenceData!$AX$220),"")</f>
        <v>74.464962729999996</v>
      </c>
      <c r="AY220">
        <f ca="1">IFERROR(IF(0=LEN(ReferenceData!$AY$220),"",ReferenceData!$AY$220),"")</f>
        <v>90.713974930000006</v>
      </c>
      <c r="AZ220">
        <f ca="1">IFERROR(IF(0=LEN(ReferenceData!$AZ$220),"",ReferenceData!$AZ$220),"")</f>
        <v>100.61174269999999</v>
      </c>
      <c r="BA220">
        <f ca="1">IFERROR(IF(0=LEN(ReferenceData!$BA$220),"",ReferenceData!$BA$220),"")</f>
        <v>50.133013460000001</v>
      </c>
      <c r="BB220" t="str">
        <f ca="1">IFERROR(IF(0=LEN(ReferenceData!$BB$220),"",ReferenceData!$BB$220),"")</f>
        <v/>
      </c>
      <c r="BC220" t="str">
        <f ca="1">IFERROR(IF(0=LEN(ReferenceData!$BC$220),"",ReferenceData!$BC$220),"")</f>
        <v/>
      </c>
      <c r="BD220" t="str">
        <f ca="1">IFERROR(IF(0=LEN(ReferenceData!$BD$220),"",ReferenceData!$BD$220),"")</f>
        <v/>
      </c>
      <c r="BE220">
        <f ca="1">IFERROR(IF(0=LEN(ReferenceData!$BE$220),"",ReferenceData!$BE$220),"")</f>
        <v>4.3127111180000002</v>
      </c>
      <c r="BF220">
        <f ca="1">IFERROR(IF(0=LEN(ReferenceData!$BF$220),"",ReferenceData!$BF$220),"")</f>
        <v>2.3563281620000001</v>
      </c>
      <c r="BG220">
        <f ca="1">IFERROR(IF(0=LEN(ReferenceData!$BG$220),"",ReferenceData!$BG$220),"")</f>
        <v>2.1559366180000001</v>
      </c>
      <c r="BH220">
        <f ca="1">IFERROR(IF(0=LEN(ReferenceData!$BH$220),"",ReferenceData!$BH$220),"")</f>
        <v>2.6983380690000001</v>
      </c>
      <c r="BI220">
        <f ca="1">IFERROR(IF(0=LEN(ReferenceData!$BI$220),"",ReferenceData!$BI$220),"")</f>
        <v>5.3516443589999998</v>
      </c>
      <c r="BJ220" t="str">
        <f ca="1">IFERROR(IF(0=LEN(ReferenceData!$BJ$220),"",ReferenceData!$BJ$220),"")</f>
        <v/>
      </c>
      <c r="BK220" t="str">
        <f ca="1">IFERROR(IF(0=LEN(ReferenceData!$BK$220),"",ReferenceData!$BK$220),"")</f>
        <v/>
      </c>
      <c r="BL220" t="str">
        <f ca="1">IFERROR(IF(0=LEN(ReferenceData!$BL$220),"",ReferenceData!$BL$220),"")</f>
        <v/>
      </c>
      <c r="BM220">
        <f ca="1">IFERROR(IF(0=LEN(ReferenceData!$BM$220),"",ReferenceData!$BM$220),"")</f>
        <v>18.498514100000001</v>
      </c>
    </row>
    <row r="221" spans="1:65" x14ac:dyDescent="0.25">
      <c r="A221" t="str">
        <f>IFERROR(IF(0=LEN(ReferenceData!$A$221),"",ReferenceData!$A$221),"")</f>
        <v xml:space="preserve">    Fiat Chrysler Automobiles NV</v>
      </c>
      <c r="B221" t="str">
        <f>IFERROR(IF(0=LEN(ReferenceData!$B$221),"",ReferenceData!$B$221),"")</f>
        <v>FCAU US Equity</v>
      </c>
      <c r="C221" t="str">
        <f>IFERROR(IF(0=LEN(ReferenceData!$C$221),"",ReferenceData!$C$221),"")</f>
        <v>RR971</v>
      </c>
      <c r="D221" t="str">
        <f>IFERROR(IF(0=LEN(ReferenceData!$D$221),"",ReferenceData!$D$221),"")</f>
        <v>CURRENT_PX_TO_FREE_CASH_FLOW</v>
      </c>
      <c r="E221" t="str">
        <f>IFERROR(IF(0=LEN(ReferenceData!$E$221),"",ReferenceData!$E$221),"")</f>
        <v>Dynamic</v>
      </c>
      <c r="F221">
        <f ca="1">IFERROR(IF(0=LEN(ReferenceData!$F$221),"",ReferenceData!$F$221),"")</f>
        <v>4.4812461030000001</v>
      </c>
      <c r="G221">
        <f ca="1">IFERROR(IF(0=LEN(ReferenceData!$G$221),"",ReferenceData!$G$221),"")</f>
        <v>4.2921358669999998</v>
      </c>
      <c r="H221">
        <f ca="1">IFERROR(IF(0=LEN(ReferenceData!$H$221),"",ReferenceData!$H$221),"")</f>
        <v>5.8417196669999996</v>
      </c>
      <c r="I221">
        <f ca="1">IFERROR(IF(0=LEN(ReferenceData!$I$221),"",ReferenceData!$I$221),"")</f>
        <v>5.3029018219999999</v>
      </c>
      <c r="J221">
        <f ca="1">IFERROR(IF(0=LEN(ReferenceData!$J$221),"",ReferenceData!$J$221),"")</f>
        <v>6.5465892090000004</v>
      </c>
      <c r="K221">
        <f ca="1">IFERROR(IF(0=LEN(ReferenceData!$K$221),"",ReferenceData!$K$221),"")</f>
        <v>10.030298820000001</v>
      </c>
      <c r="L221">
        <f ca="1">IFERROR(IF(0=LEN(ReferenceData!$L$221),"",ReferenceData!$L$221),"")</f>
        <v>8.7909121110000008</v>
      </c>
      <c r="M221">
        <f ca="1">IFERROR(IF(0=LEN(ReferenceData!$M$221),"",ReferenceData!$M$221),"")</f>
        <v>13.14929781</v>
      </c>
      <c r="N221">
        <f ca="1">IFERROR(IF(0=LEN(ReferenceData!$N$221),"",ReferenceData!$N$221),"")</f>
        <v>7.0905098009999996</v>
      </c>
      <c r="O221">
        <f ca="1">IFERROR(IF(0=LEN(ReferenceData!$O$221),"",ReferenceData!$O$221),"")</f>
        <v>7.3707537920000004</v>
      </c>
      <c r="P221">
        <f ca="1">IFERROR(IF(0=LEN(ReferenceData!$P$221),"",ReferenceData!$P$221),"")</f>
        <v>6.5309814509999997</v>
      </c>
      <c r="Q221">
        <f ca="1">IFERROR(IF(0=LEN(ReferenceData!$Q$221),"",ReferenceData!$Q$221),"")</f>
        <v>4.6876409780000001</v>
      </c>
      <c r="R221">
        <f ca="1">IFERROR(IF(0=LEN(ReferenceData!$R$221),"",ReferenceData!$R$221),"")</f>
        <v>11.54480393</v>
      </c>
      <c r="S221">
        <f ca="1">IFERROR(IF(0=LEN(ReferenceData!$S$221),"",ReferenceData!$S$221),"")</f>
        <v>13.67088725</v>
      </c>
      <c r="T221">
        <f ca="1">IFERROR(IF(0=LEN(ReferenceData!$T$221),"",ReferenceData!$T$221),"")</f>
        <v>11.36786777</v>
      </c>
      <c r="U221" t="str">
        <f ca="1">IFERROR(IF(0=LEN(ReferenceData!$U$221),"",ReferenceData!$U$221),"")</f>
        <v/>
      </c>
      <c r="V221">
        <f ca="1">IFERROR(IF(0=LEN(ReferenceData!$V$221),"",ReferenceData!$V$221),"")</f>
        <v>35.695820490000003</v>
      </c>
      <c r="W221">
        <f ca="1">IFERROR(IF(0=LEN(ReferenceData!$W$221),"",ReferenceData!$W$221),"")</f>
        <v>22.334170159999999</v>
      </c>
      <c r="X221" t="str">
        <f ca="1">IFERROR(IF(0=LEN(ReferenceData!$X$221),"",ReferenceData!$X$221),"")</f>
        <v/>
      </c>
      <c r="Y221" t="str">
        <f ca="1">IFERROR(IF(0=LEN(ReferenceData!$Y$221),"",ReferenceData!$Y$221),"")</f>
        <v/>
      </c>
      <c r="Z221" t="str">
        <f ca="1">IFERROR(IF(0=LEN(ReferenceData!$Z$221),"",ReferenceData!$Z$221),"")</f>
        <v/>
      </c>
      <c r="AA221" t="str">
        <f ca="1">IFERROR(IF(0=LEN(ReferenceData!$AA$221),"",ReferenceData!$AA$221),"")</f>
        <v/>
      </c>
      <c r="AB221" t="str">
        <f ca="1">IFERROR(IF(0=LEN(ReferenceData!$AB$221),"",ReferenceData!$AB$221),"")</f>
        <v/>
      </c>
      <c r="AC221" t="str">
        <f ca="1">IFERROR(IF(0=LEN(ReferenceData!$AC$221),"",ReferenceData!$AC$221),"")</f>
        <v/>
      </c>
      <c r="AD221" t="str">
        <f ca="1">IFERROR(IF(0=LEN(ReferenceData!$AD$221),"",ReferenceData!$AD$221),"")</f>
        <v/>
      </c>
      <c r="AE221" t="str">
        <f ca="1">IFERROR(IF(0=LEN(ReferenceData!$AE$221),"",ReferenceData!$AE$221),"")</f>
        <v/>
      </c>
      <c r="AF221" t="str">
        <f ca="1">IFERROR(IF(0=LEN(ReferenceData!$AF$221),"",ReferenceData!$AF$221),"")</f>
        <v/>
      </c>
      <c r="AG221" t="str">
        <f ca="1">IFERROR(IF(0=LEN(ReferenceData!$AG$221),"",ReferenceData!$AG$221),"")</f>
        <v/>
      </c>
      <c r="AH221" t="str">
        <f ca="1">IFERROR(IF(0=LEN(ReferenceData!$AH$221),"",ReferenceData!$AH$221),"")</f>
        <v/>
      </c>
      <c r="AI221" t="str">
        <f ca="1">IFERROR(IF(0=LEN(ReferenceData!$AI$221),"",ReferenceData!$AI$221),"")</f>
        <v/>
      </c>
      <c r="AJ221" t="str">
        <f ca="1">IFERROR(IF(0=LEN(ReferenceData!$AJ$221),"",ReferenceData!$AJ$221),"")</f>
        <v/>
      </c>
      <c r="AK221" t="str">
        <f ca="1">IFERROR(IF(0=LEN(ReferenceData!$AK$221),"",ReferenceData!$AK$221),"")</f>
        <v/>
      </c>
      <c r="AL221" t="str">
        <f ca="1">IFERROR(IF(0=LEN(ReferenceData!$AL$221),"",ReferenceData!$AL$221),"")</f>
        <v/>
      </c>
      <c r="AM221" t="str">
        <f ca="1">IFERROR(IF(0=LEN(ReferenceData!$AM$221),"",ReferenceData!$AM$221),"")</f>
        <v/>
      </c>
      <c r="AN221" t="str">
        <f ca="1">IFERROR(IF(0=LEN(ReferenceData!$AN$221),"",ReferenceData!$AN$221),"")</f>
        <v/>
      </c>
      <c r="AO221" t="str">
        <f ca="1">IFERROR(IF(0=LEN(ReferenceData!$AO$221),"",ReferenceData!$AO$221),"")</f>
        <v/>
      </c>
      <c r="AP221" t="str">
        <f ca="1">IFERROR(IF(0=LEN(ReferenceData!$AP$221),"",ReferenceData!$AP$221),"")</f>
        <v/>
      </c>
      <c r="AQ221" t="str">
        <f ca="1">IFERROR(IF(0=LEN(ReferenceData!$AQ$221),"",ReferenceData!$AQ$221),"")</f>
        <v/>
      </c>
      <c r="AR221" t="str">
        <f ca="1">IFERROR(IF(0=LEN(ReferenceData!$AR$221),"",ReferenceData!$AR$221),"")</f>
        <v/>
      </c>
      <c r="AS221" t="str">
        <f ca="1">IFERROR(IF(0=LEN(ReferenceData!$AS$221),"",ReferenceData!$AS$221),"")</f>
        <v/>
      </c>
      <c r="AT221" t="str">
        <f ca="1">IFERROR(IF(0=LEN(ReferenceData!$AT$221),"",ReferenceData!$AT$221),"")</f>
        <v/>
      </c>
      <c r="AU221" t="str">
        <f ca="1">IFERROR(IF(0=LEN(ReferenceData!$AU$221),"",ReferenceData!$AU$221),"")</f>
        <v/>
      </c>
      <c r="AV221" t="str">
        <f ca="1">IFERROR(IF(0=LEN(ReferenceData!$AV$221),"",ReferenceData!$AV$221),"")</f>
        <v/>
      </c>
      <c r="AW221" t="str">
        <f ca="1">IFERROR(IF(0=LEN(ReferenceData!$AW$221),"",ReferenceData!$AW$221),"")</f>
        <v/>
      </c>
      <c r="AX221" t="str">
        <f ca="1">IFERROR(IF(0=LEN(ReferenceData!$AX$221),"",ReferenceData!$AX$221),"")</f>
        <v/>
      </c>
      <c r="AY221" t="str">
        <f ca="1">IFERROR(IF(0=LEN(ReferenceData!$AY$221),"",ReferenceData!$AY$221),"")</f>
        <v/>
      </c>
      <c r="AZ221" t="str">
        <f ca="1">IFERROR(IF(0=LEN(ReferenceData!$AZ$221),"",ReferenceData!$AZ$221),"")</f>
        <v/>
      </c>
      <c r="BA221" t="str">
        <f ca="1">IFERROR(IF(0=LEN(ReferenceData!$BA$221),"",ReferenceData!$BA$221),"")</f>
        <v/>
      </c>
      <c r="BB221" t="str">
        <f ca="1">IFERROR(IF(0=LEN(ReferenceData!$BB$221),"",ReferenceData!$BB$221),"")</f>
        <v/>
      </c>
      <c r="BC221" t="str">
        <f ca="1">IFERROR(IF(0=LEN(ReferenceData!$BC$221),"",ReferenceData!$BC$221),"")</f>
        <v/>
      </c>
      <c r="BD221" t="str">
        <f ca="1">IFERROR(IF(0=LEN(ReferenceData!$BD$221),"",ReferenceData!$BD$221),"")</f>
        <v/>
      </c>
      <c r="BE221" t="str">
        <f ca="1">IFERROR(IF(0=LEN(ReferenceData!$BE$221),"",ReferenceData!$BE$221),"")</f>
        <v/>
      </c>
      <c r="BF221" t="str">
        <f ca="1">IFERROR(IF(0=LEN(ReferenceData!$BF$221),"",ReferenceData!$BF$221),"")</f>
        <v/>
      </c>
      <c r="BG221" t="str">
        <f ca="1">IFERROR(IF(0=LEN(ReferenceData!$BG$221),"",ReferenceData!$BG$221),"")</f>
        <v/>
      </c>
      <c r="BH221" t="str">
        <f ca="1">IFERROR(IF(0=LEN(ReferenceData!$BH$221),"",ReferenceData!$BH$221),"")</f>
        <v/>
      </c>
      <c r="BI221" t="str">
        <f ca="1">IFERROR(IF(0=LEN(ReferenceData!$BI$221),"",ReferenceData!$BI$221),"")</f>
        <v/>
      </c>
      <c r="BJ221" t="str">
        <f ca="1">IFERROR(IF(0=LEN(ReferenceData!$BJ$221),"",ReferenceData!$BJ$221),"")</f>
        <v/>
      </c>
      <c r="BK221" t="str">
        <f ca="1">IFERROR(IF(0=LEN(ReferenceData!$BK$221),"",ReferenceData!$BK$221),"")</f>
        <v/>
      </c>
      <c r="BL221" t="str">
        <f ca="1">IFERROR(IF(0=LEN(ReferenceData!$BL$221),"",ReferenceData!$BL$221),"")</f>
        <v/>
      </c>
      <c r="BM221" t="str">
        <f ca="1">IFERROR(IF(0=LEN(ReferenceData!$BM$221),"",ReferenceData!$BM$221),"")</f>
        <v/>
      </c>
    </row>
    <row r="222" spans="1:65" x14ac:dyDescent="0.25">
      <c r="A222" t="str">
        <f>IFERROR(IF(0=LEN(ReferenceData!$A$222),"",ReferenceData!$A$222),"")</f>
        <v xml:space="preserve">    Ford Motor Co</v>
      </c>
      <c r="B222" t="str">
        <f>IFERROR(IF(0=LEN(ReferenceData!$B$222),"",ReferenceData!$B$222),"")</f>
        <v>F US Equity</v>
      </c>
      <c r="C222" t="str">
        <f>IFERROR(IF(0=LEN(ReferenceData!$C$222),"",ReferenceData!$C$222),"")</f>
        <v>RR971</v>
      </c>
      <c r="D222" t="str">
        <f>IFERROR(IF(0=LEN(ReferenceData!$D$222),"",ReferenceData!$D$222),"")</f>
        <v>CURRENT_PX_TO_FREE_CASH_FLOW</v>
      </c>
      <c r="E222" t="str">
        <f>IFERROR(IF(0=LEN(ReferenceData!$E$222),"",ReferenceData!$E$222),"")</f>
        <v>Dynamic</v>
      </c>
      <c r="F222">
        <f ca="1">IFERROR(IF(0=LEN(ReferenceData!$F$222),"",ReferenceData!$F$222),"")</f>
        <v>4.7860817759999996</v>
      </c>
      <c r="G222">
        <f ca="1">IFERROR(IF(0=LEN(ReferenceData!$G$222),"",ReferenceData!$G$222),"")</f>
        <v>4.2036194699999996</v>
      </c>
      <c r="H222">
        <f ca="1">IFERROR(IF(0=LEN(ReferenceData!$H$222),"",ReferenceData!$H$222),"")</f>
        <v>4.072704442</v>
      </c>
      <c r="I222">
        <f ca="1">IFERROR(IF(0=LEN(ReferenceData!$I$222),"",ReferenceData!$I$222),"")</f>
        <v>4.8041585749999998</v>
      </c>
      <c r="J222">
        <f ca="1">IFERROR(IF(0=LEN(ReferenceData!$J$222),"",ReferenceData!$J$222),"")</f>
        <v>4.3379687950000001</v>
      </c>
      <c r="K222">
        <f ca="1">IFERROR(IF(0=LEN(ReferenceData!$K$222),"",ReferenceData!$K$222),"")</f>
        <v>4.494306345</v>
      </c>
      <c r="L222">
        <f ca="1">IFERROR(IF(0=LEN(ReferenceData!$L$222),"",ReferenceData!$L$222),"")</f>
        <v>4.4340313819999997</v>
      </c>
      <c r="M222">
        <f ca="1">IFERROR(IF(0=LEN(ReferenceData!$M$222),"",ReferenceData!$M$222),"")</f>
        <v>4.0964784510000003</v>
      </c>
      <c r="N222">
        <f ca="1">IFERROR(IF(0=LEN(ReferenceData!$N$222),"",ReferenceData!$N$222),"")</f>
        <v>3.599789382</v>
      </c>
      <c r="O222">
        <f ca="1">IFERROR(IF(0=LEN(ReferenceData!$O$222),"",ReferenceData!$O$222),"")</f>
        <v>3.7478325699999999</v>
      </c>
      <c r="P222">
        <f ca="1">IFERROR(IF(0=LEN(ReferenceData!$P$222),"",ReferenceData!$P$222),"")</f>
        <v>3.851363879</v>
      </c>
      <c r="Q222">
        <f ca="1">IFERROR(IF(0=LEN(ReferenceData!$Q$222),"",ReferenceData!$Q$222),"")</f>
        <v>3.6635542179999998</v>
      </c>
      <c r="R222">
        <f ca="1">IFERROR(IF(0=LEN(ReferenceData!$R$222),"",ReferenceData!$R$222),"")</f>
        <v>4.992161866</v>
      </c>
      <c r="S222">
        <f ca="1">IFERROR(IF(0=LEN(ReferenceData!$S$222),"",ReferenceData!$S$222),"")</f>
        <v>6.1960960060000003</v>
      </c>
      <c r="T222">
        <f ca="1">IFERROR(IF(0=LEN(ReferenceData!$T$222),"",ReferenceData!$T$222),"")</f>
        <v>6.1694347809999996</v>
      </c>
      <c r="U222">
        <f ca="1">IFERROR(IF(0=LEN(ReferenceData!$U$222),"",ReferenceData!$U$222),"")</f>
        <v>10.017111359999999</v>
      </c>
      <c r="V222">
        <f ca="1">IFERROR(IF(0=LEN(ReferenceData!$V$222),"",ReferenceData!$V$222),"")</f>
        <v>10.97187514</v>
      </c>
      <c r="W222">
        <f ca="1">IFERROR(IF(0=LEN(ReferenceData!$W$222),"",ReferenceData!$W$222),"")</f>
        <v>8.628699632</v>
      </c>
      <c r="X222">
        <f ca="1">IFERROR(IF(0=LEN(ReferenceData!$X$222),"",ReferenceData!$X$222),"")</f>
        <v>10.710254770000001</v>
      </c>
      <c r="Y222">
        <f ca="1">IFERROR(IF(0=LEN(ReferenceData!$Y$222),"",ReferenceData!$Y$222),"")</f>
        <v>12.45172331</v>
      </c>
      <c r="Z222">
        <f ca="1">IFERROR(IF(0=LEN(ReferenceData!$Z$222),"",ReferenceData!$Z$222),"")</f>
        <v>10.663354890000001</v>
      </c>
      <c r="AA222">
        <f ca="1">IFERROR(IF(0=LEN(ReferenceData!$AA$222),"",ReferenceData!$AA$222),"")</f>
        <v>15.55274445</v>
      </c>
      <c r="AB222">
        <f ca="1">IFERROR(IF(0=LEN(ReferenceData!$AB$222),"",ReferenceData!$AB$222),"")</f>
        <v>13.461952780000001</v>
      </c>
      <c r="AC222">
        <f ca="1">IFERROR(IF(0=LEN(ReferenceData!$AC$222),"",ReferenceData!$AC$222),"")</f>
        <v>14.29465877</v>
      </c>
      <c r="AD222">
        <f ca="1">IFERROR(IF(0=LEN(ReferenceData!$AD$222),"",ReferenceData!$AD$222),"")</f>
        <v>17.624020810000001</v>
      </c>
      <c r="AE222">
        <f ca="1">IFERROR(IF(0=LEN(ReferenceData!$AE$222),"",ReferenceData!$AE$222),"")</f>
        <v>13.8681567</v>
      </c>
      <c r="AF222">
        <f ca="1">IFERROR(IF(0=LEN(ReferenceData!$AF$222),"",ReferenceData!$AF$222),"")</f>
        <v>7.8730654449999999</v>
      </c>
      <c r="AG222">
        <f ca="1">IFERROR(IF(0=LEN(ReferenceData!$AG$222),"",ReferenceData!$AG$222),"")</f>
        <v>7.8995332859999996</v>
      </c>
      <c r="AH222">
        <f ca="1">IFERROR(IF(0=LEN(ReferenceData!$AH$222),"",ReferenceData!$AH$222),"")</f>
        <v>8.6797407460000002</v>
      </c>
      <c r="AI222">
        <f ca="1">IFERROR(IF(0=LEN(ReferenceData!$AI$222),"",ReferenceData!$AI$222),"")</f>
        <v>5.448827895</v>
      </c>
      <c r="AJ222">
        <f ca="1">IFERROR(IF(0=LEN(ReferenceData!$AJ$222),"",ReferenceData!$AJ$222),"")</f>
        <v>4.7031007389999999</v>
      </c>
      <c r="AK222">
        <f ca="1">IFERROR(IF(0=LEN(ReferenceData!$AK$222),"",ReferenceData!$AK$222),"")</f>
        <v>5.770369015</v>
      </c>
      <c r="AL222">
        <f ca="1">IFERROR(IF(0=LEN(ReferenceData!$AL$222),"",ReferenceData!$AL$222),"")</f>
        <v>6.5529118039999998</v>
      </c>
      <c r="AM222">
        <f ca="1">IFERROR(IF(0=LEN(ReferenceData!$AM$222),"",ReferenceData!$AM$222),"")</f>
        <v>9.5100872770000002</v>
      </c>
      <c r="AN222">
        <f ca="1">IFERROR(IF(0=LEN(ReferenceData!$AN$222),"",ReferenceData!$AN$222),"")</f>
        <v>3.5284944089999999</v>
      </c>
      <c r="AO222">
        <f ca="1">IFERROR(IF(0=LEN(ReferenceData!$AO$222),"",ReferenceData!$AO$222),"")</f>
        <v>2.5552584899999999</v>
      </c>
      <c r="AP222">
        <f ca="1">IFERROR(IF(0=LEN(ReferenceData!$AP$222),"",ReferenceData!$AP$222),"")</f>
        <v>3.9171505209999999</v>
      </c>
      <c r="AQ222">
        <f ca="1">IFERROR(IF(0=LEN(ReferenceData!$AQ$222),"",ReferenceData!$AQ$222),"")</f>
        <v>4.4428600889999998</v>
      </c>
      <c r="AR222" t="str">
        <f ca="1">IFERROR(IF(0=LEN(ReferenceData!$AR$222),"",ReferenceData!$AR$222),"")</f>
        <v/>
      </c>
      <c r="AS222" t="str">
        <f ca="1">IFERROR(IF(0=LEN(ReferenceData!$AS$222),"",ReferenceData!$AS$222),"")</f>
        <v/>
      </c>
      <c r="AT222" t="str">
        <f ca="1">IFERROR(IF(0=LEN(ReferenceData!$AT$222),"",ReferenceData!$AT$222),"")</f>
        <v/>
      </c>
      <c r="AU222">
        <f ca="1">IFERROR(IF(0=LEN(ReferenceData!$AU$222),"",ReferenceData!$AU$222),"")</f>
        <v>1.0569618789999999</v>
      </c>
      <c r="AV222">
        <f ca="1">IFERROR(IF(0=LEN(ReferenceData!$AV$222),"",ReferenceData!$AV$222),"")</f>
        <v>2.4000881089999999</v>
      </c>
      <c r="AW222">
        <f ca="1">IFERROR(IF(0=LEN(ReferenceData!$AW$222),"",ReferenceData!$AW$222),"")</f>
        <v>1.6317323180000001</v>
      </c>
      <c r="AX222">
        <f ca="1">IFERROR(IF(0=LEN(ReferenceData!$AX$222),"",ReferenceData!$AX$222),"")</f>
        <v>1.1554603139999999</v>
      </c>
      <c r="AY222">
        <f ca="1">IFERROR(IF(0=LEN(ReferenceData!$AY$222),"",ReferenceData!$AY$222),"")</f>
        <v>1.458879295</v>
      </c>
      <c r="AZ222" t="str">
        <f ca="1">IFERROR(IF(0=LEN(ReferenceData!$AZ$222),"",ReferenceData!$AZ$222),"")</f>
        <v/>
      </c>
      <c r="BA222" t="str">
        <f ca="1">IFERROR(IF(0=LEN(ReferenceData!$BA$222),"",ReferenceData!$BA$222),"")</f>
        <v/>
      </c>
      <c r="BB222" t="str">
        <f ca="1">IFERROR(IF(0=LEN(ReferenceData!$BB$222),"",ReferenceData!$BB$222),"")</f>
        <v/>
      </c>
      <c r="BC222">
        <f ca="1">IFERROR(IF(0=LEN(ReferenceData!$BC$222),"",ReferenceData!$BC$222),"")</f>
        <v>2.9223232239999999</v>
      </c>
      <c r="BD222">
        <f ca="1">IFERROR(IF(0=LEN(ReferenceData!$BD$222),"",ReferenceData!$BD$222),"")</f>
        <v>3.1522126510000001</v>
      </c>
      <c r="BE222">
        <f ca="1">IFERROR(IF(0=LEN(ReferenceData!$BE$222),"",ReferenceData!$BE$222),"")</f>
        <v>2.8583058339999998</v>
      </c>
      <c r="BF222">
        <f ca="1">IFERROR(IF(0=LEN(ReferenceData!$BF$222),"",ReferenceData!$BF$222),"")</f>
        <v>9.3858348130000007</v>
      </c>
      <c r="BG222">
        <f ca="1">IFERROR(IF(0=LEN(ReferenceData!$BG$222),"",ReferenceData!$BG$222),"")</f>
        <v>8.8797358769999999</v>
      </c>
      <c r="BH222">
        <f ca="1">IFERROR(IF(0=LEN(ReferenceData!$BH$222),"",ReferenceData!$BH$222),"")</f>
        <v>2.6831490160000002</v>
      </c>
      <c r="BI222">
        <f ca="1">IFERROR(IF(0=LEN(ReferenceData!$BI$222),"",ReferenceData!$BI$222),"")</f>
        <v>1.4947015770000001</v>
      </c>
      <c r="BJ222">
        <f ca="1">IFERROR(IF(0=LEN(ReferenceData!$BJ$222),"",ReferenceData!$BJ$222),"")</f>
        <v>1.1830312030000001</v>
      </c>
      <c r="BK222">
        <f ca="1">IFERROR(IF(0=LEN(ReferenceData!$BK$222),"",ReferenceData!$BK$222),"")</f>
        <v>1.3593955339999999</v>
      </c>
      <c r="BL222">
        <f ca="1">IFERROR(IF(0=LEN(ReferenceData!$BL$222),"",ReferenceData!$BL$222),"")</f>
        <v>2.2233416840000002</v>
      </c>
      <c r="BM222">
        <f ca="1">IFERROR(IF(0=LEN(ReferenceData!$BM$222),"",ReferenceData!$BM$222),"")</f>
        <v>2.5520291450000001</v>
      </c>
    </row>
    <row r="223" spans="1:65" x14ac:dyDescent="0.25">
      <c r="A223" t="str">
        <f>IFERROR(IF(0=LEN(ReferenceData!$A$223),"",ReferenceData!$A$223),"")</f>
        <v xml:space="preserve">    Ford Otomotiv Sanayi AS</v>
      </c>
      <c r="B223" t="str">
        <f>IFERROR(IF(0=LEN(ReferenceData!$B$223),"",ReferenceData!$B$223),"")</f>
        <v>FROTOTRY EO Equity</v>
      </c>
      <c r="C223" t="str">
        <f>IFERROR(IF(0=LEN(ReferenceData!$C$223),"",ReferenceData!$C$223),"")</f>
        <v>RR971</v>
      </c>
      <c r="D223" t="str">
        <f>IFERROR(IF(0=LEN(ReferenceData!$D$223),"",ReferenceData!$D$223),"")</f>
        <v>CURRENT_PX_TO_FREE_CASH_FLOW</v>
      </c>
      <c r="E223" t="str">
        <f>IFERROR(IF(0=LEN(ReferenceData!$E$223),"",ReferenceData!$E$223),"")</f>
        <v>Dynamic</v>
      </c>
      <c r="F223">
        <f ca="1">IFERROR(IF(0=LEN(ReferenceData!$F$223),"",ReferenceData!$F$223),"")</f>
        <v>14.45259291</v>
      </c>
      <c r="G223">
        <f ca="1">IFERROR(IF(0=LEN(ReferenceData!$G$223),"",ReferenceData!$G$223),"")</f>
        <v>13.10298541</v>
      </c>
      <c r="H223">
        <f ca="1">IFERROR(IF(0=LEN(ReferenceData!$H$223),"",ReferenceData!$H$223),"")</f>
        <v>13.553022540000001</v>
      </c>
      <c r="I223">
        <f ca="1">IFERROR(IF(0=LEN(ReferenceData!$I$223),"",ReferenceData!$I$223),"")</f>
        <v>13.981205940000001</v>
      </c>
      <c r="J223">
        <f ca="1">IFERROR(IF(0=LEN(ReferenceData!$J$223),"",ReferenceData!$J$223),"")</f>
        <v>14.27578151</v>
      </c>
      <c r="K223">
        <f ca="1">IFERROR(IF(0=LEN(ReferenceData!$K$223),"",ReferenceData!$K$223),"")</f>
        <v>13.31722993</v>
      </c>
      <c r="L223">
        <f ca="1">IFERROR(IF(0=LEN(ReferenceData!$L$223),"",ReferenceData!$L$223),"")</f>
        <v>9.5186060430000001</v>
      </c>
      <c r="M223">
        <f ca="1">IFERROR(IF(0=LEN(ReferenceData!$M$223),"",ReferenceData!$M$223),"")</f>
        <v>8.1121926450000004</v>
      </c>
      <c r="N223">
        <f ca="1">IFERROR(IF(0=LEN(ReferenceData!$N$223),"",ReferenceData!$N$223),"")</f>
        <v>7.8551095670000004</v>
      </c>
      <c r="O223">
        <f ca="1">IFERROR(IF(0=LEN(ReferenceData!$O$223),"",ReferenceData!$O$223),"")</f>
        <v>9.1738617849999997</v>
      </c>
      <c r="P223">
        <f ca="1">IFERROR(IF(0=LEN(ReferenceData!$P$223),"",ReferenceData!$P$223),"")</f>
        <v>13.73397321</v>
      </c>
      <c r="Q223">
        <f ca="1">IFERROR(IF(0=LEN(ReferenceData!$Q$223),"",ReferenceData!$Q$223),"")</f>
        <v>9.0331203979999994</v>
      </c>
      <c r="R223">
        <f ca="1">IFERROR(IF(0=LEN(ReferenceData!$R$223),"",ReferenceData!$R$223),"")</f>
        <v>16.902254150000001</v>
      </c>
      <c r="S223">
        <f ca="1">IFERROR(IF(0=LEN(ReferenceData!$S$223),"",ReferenceData!$S$223),"")</f>
        <v>11.372740650000001</v>
      </c>
      <c r="T223">
        <f ca="1">IFERROR(IF(0=LEN(ReferenceData!$T$223),"",ReferenceData!$T$223),"")</f>
        <v>16.779907519999998</v>
      </c>
      <c r="U223" t="str">
        <f ca="1">IFERROR(IF(0=LEN(ReferenceData!$U$223),"",ReferenceData!$U$223),"")</f>
        <v/>
      </c>
      <c r="V223">
        <f ca="1">IFERROR(IF(0=LEN(ReferenceData!$V$223),"",ReferenceData!$V$223),"")</f>
        <v>187.57193409999999</v>
      </c>
      <c r="W223">
        <f ca="1">IFERROR(IF(0=LEN(ReferenceData!$W$223),"",ReferenceData!$W$223),"")</f>
        <v>182.52515560000001</v>
      </c>
      <c r="X223" t="str">
        <f ca="1">IFERROR(IF(0=LEN(ReferenceData!$X$223),"",ReferenceData!$X$223),"")</f>
        <v/>
      </c>
      <c r="Y223" t="str">
        <f ca="1">IFERROR(IF(0=LEN(ReferenceData!$Y$223),"",ReferenceData!$Y$223),"")</f>
        <v/>
      </c>
      <c r="Z223" t="str">
        <f ca="1">IFERROR(IF(0=LEN(ReferenceData!$Z$223),"",ReferenceData!$Z$223),"")</f>
        <v/>
      </c>
      <c r="AA223">
        <f ca="1">IFERROR(IF(0=LEN(ReferenceData!$AA$223),"",ReferenceData!$AA$223),"")</f>
        <v>19.041327500000001</v>
      </c>
      <c r="AB223">
        <f ca="1">IFERROR(IF(0=LEN(ReferenceData!$AB$223),"",ReferenceData!$AB$223),"")</f>
        <v>22.148489720000001</v>
      </c>
      <c r="AC223">
        <f ca="1">IFERROR(IF(0=LEN(ReferenceData!$AC$223),"",ReferenceData!$AC$223),"")</f>
        <v>56.8325666</v>
      </c>
      <c r="AD223">
        <f ca="1">IFERROR(IF(0=LEN(ReferenceData!$AD$223),"",ReferenceData!$AD$223),"")</f>
        <v>53.588645759999999</v>
      </c>
      <c r="AE223" t="str">
        <f ca="1">IFERROR(IF(0=LEN(ReferenceData!$AE$223),"",ReferenceData!$AE$223),"")</f>
        <v/>
      </c>
      <c r="AF223">
        <f ca="1">IFERROR(IF(0=LEN(ReferenceData!$AF$223),"",ReferenceData!$AF$223),"")</f>
        <v>25.202400839999999</v>
      </c>
      <c r="AG223">
        <f ca="1">IFERROR(IF(0=LEN(ReferenceData!$AG$223),"",ReferenceData!$AG$223),"")</f>
        <v>23.09046781</v>
      </c>
      <c r="AH223">
        <f ca="1">IFERROR(IF(0=LEN(ReferenceData!$AH$223),"",ReferenceData!$AH$223),"")</f>
        <v>19.866637069999999</v>
      </c>
      <c r="AI223">
        <f ca="1">IFERROR(IF(0=LEN(ReferenceData!$AI$223),"",ReferenceData!$AI$223),"")</f>
        <v>9.4328288740000001</v>
      </c>
      <c r="AJ223">
        <f ca="1">IFERROR(IF(0=LEN(ReferenceData!$AJ$223),"",ReferenceData!$AJ$223),"")</f>
        <v>8.6207900350000006</v>
      </c>
      <c r="AK223">
        <f ca="1">IFERROR(IF(0=LEN(ReferenceData!$AK$223),"",ReferenceData!$AK$223),"")</f>
        <v>7.6077872859999998</v>
      </c>
      <c r="AL223">
        <f ca="1">IFERROR(IF(0=LEN(ReferenceData!$AL$223),"",ReferenceData!$AL$223),"")</f>
        <v>7.7916960079999997</v>
      </c>
      <c r="AM223">
        <f ca="1">IFERROR(IF(0=LEN(ReferenceData!$AM$223),"",ReferenceData!$AM$223),"")</f>
        <v>11.45731236</v>
      </c>
      <c r="AN223">
        <f ca="1">IFERROR(IF(0=LEN(ReferenceData!$AN$223),"",ReferenceData!$AN$223),"")</f>
        <v>7.5038370739999998</v>
      </c>
      <c r="AO223">
        <f ca="1">IFERROR(IF(0=LEN(ReferenceData!$AO$223),"",ReferenceData!$AO$223),"")</f>
        <v>9.5290099359999996</v>
      </c>
      <c r="AP223">
        <f ca="1">IFERROR(IF(0=LEN(ReferenceData!$AP$223),"",ReferenceData!$AP$223),"")</f>
        <v>7.8408465999999999</v>
      </c>
      <c r="AQ223">
        <f ca="1">IFERROR(IF(0=LEN(ReferenceData!$AQ$223),"",ReferenceData!$AQ$223),"")</f>
        <v>6.4792175099999998</v>
      </c>
      <c r="AR223">
        <f ca="1">IFERROR(IF(0=LEN(ReferenceData!$AR$223),"",ReferenceData!$AR$223),"")</f>
        <v>11.755534770000001</v>
      </c>
      <c r="AS223">
        <f ca="1">IFERROR(IF(0=LEN(ReferenceData!$AS$223),"",ReferenceData!$AS$223),"")</f>
        <v>2.9555815179999998</v>
      </c>
      <c r="AT223">
        <f ca="1">IFERROR(IF(0=LEN(ReferenceData!$AT$223),"",ReferenceData!$AT$223),"")</f>
        <v>2.438782094</v>
      </c>
      <c r="AU223">
        <f ca="1">IFERROR(IF(0=LEN(ReferenceData!$AU$223),"",ReferenceData!$AU$223),"")</f>
        <v>3.376490301</v>
      </c>
      <c r="AV223">
        <f ca="1">IFERROR(IF(0=LEN(ReferenceData!$AV$223),"",ReferenceData!$AV$223),"")</f>
        <v>3.1901586389999999</v>
      </c>
      <c r="AW223">
        <f ca="1">IFERROR(IF(0=LEN(ReferenceData!$AW$223),"",ReferenceData!$AW$223),"")</f>
        <v>5.5239441530000004</v>
      </c>
      <c r="AX223">
        <f ca="1">IFERROR(IF(0=LEN(ReferenceData!$AX$223),"",ReferenceData!$AX$223),"")</f>
        <v>5.0255589409999999</v>
      </c>
      <c r="AY223">
        <f ca="1">IFERROR(IF(0=LEN(ReferenceData!$AY$223),"",ReferenceData!$AY$223),"")</f>
        <v>7.3419050180000003</v>
      </c>
      <c r="AZ223">
        <f ca="1">IFERROR(IF(0=LEN(ReferenceData!$AZ$223),"",ReferenceData!$AZ$223),"")</f>
        <v>10.423046790000001</v>
      </c>
      <c r="BA223">
        <f ca="1">IFERROR(IF(0=LEN(ReferenceData!$BA$223),"",ReferenceData!$BA$223),"")</f>
        <v>15.07199381</v>
      </c>
      <c r="BB223">
        <f ca="1">IFERROR(IF(0=LEN(ReferenceData!$BB$223),"",ReferenceData!$BB$223),"")</f>
        <v>23.648482779999998</v>
      </c>
      <c r="BC223">
        <f ca="1">IFERROR(IF(0=LEN(ReferenceData!$BC$223),"",ReferenceData!$BC$223),"")</f>
        <v>11.60906424</v>
      </c>
      <c r="BD223">
        <f ca="1">IFERROR(IF(0=LEN(ReferenceData!$BD$223),"",ReferenceData!$BD$223),"")</f>
        <v>12.563206750000001</v>
      </c>
      <c r="BE223">
        <f ca="1">IFERROR(IF(0=LEN(ReferenceData!$BE$223),"",ReferenceData!$BE$223),"")</f>
        <v>9.5209281580000003</v>
      </c>
      <c r="BF223">
        <f ca="1">IFERROR(IF(0=LEN(ReferenceData!$BF$223),"",ReferenceData!$BF$223),"")</f>
        <v>7.0262007909999999</v>
      </c>
      <c r="BG223">
        <f ca="1">IFERROR(IF(0=LEN(ReferenceData!$BG$223),"",ReferenceData!$BG$223),"")</f>
        <v>9.3340592319999995</v>
      </c>
      <c r="BH223" t="str">
        <f ca="1">IFERROR(IF(0=LEN(ReferenceData!$BH$223),"",ReferenceData!$BH$223),"")</f>
        <v/>
      </c>
      <c r="BI223" t="str">
        <f ca="1">IFERROR(IF(0=LEN(ReferenceData!$BI$223),"",ReferenceData!$BI$223),"")</f>
        <v/>
      </c>
      <c r="BJ223" t="str">
        <f ca="1">IFERROR(IF(0=LEN(ReferenceData!$BJ$223),"",ReferenceData!$BJ$223),"")</f>
        <v/>
      </c>
      <c r="BK223" t="str">
        <f ca="1">IFERROR(IF(0=LEN(ReferenceData!$BK$223),"",ReferenceData!$BK$223),"")</f>
        <v/>
      </c>
      <c r="BL223" t="str">
        <f ca="1">IFERROR(IF(0=LEN(ReferenceData!$BL$223),"",ReferenceData!$BL$223),"")</f>
        <v/>
      </c>
      <c r="BM223" t="str">
        <f ca="1">IFERROR(IF(0=LEN(ReferenceData!$BM$223),"",ReferenceData!$BM$223),"")</f>
        <v/>
      </c>
    </row>
    <row r="224" spans="1:65" x14ac:dyDescent="0.25">
      <c r="A224" t="str">
        <f>IFERROR(IF(0=LEN(ReferenceData!$A$224),"",ReferenceData!$A$224),"")</f>
        <v xml:space="preserve">    GAZ PJSC</v>
      </c>
      <c r="B224" t="str">
        <f>IFERROR(IF(0=LEN(ReferenceData!$B$224),"",ReferenceData!$B$224),"")</f>
        <v>GAZA RM Equity</v>
      </c>
      <c r="C224" t="str">
        <f>IFERROR(IF(0=LEN(ReferenceData!$C$224),"",ReferenceData!$C$224),"")</f>
        <v>RR971</v>
      </c>
      <c r="D224" t="str">
        <f>IFERROR(IF(0=LEN(ReferenceData!$D$224),"",ReferenceData!$D$224),"")</f>
        <v>CURRENT_PX_TO_FREE_CASH_FLOW</v>
      </c>
      <c r="E224" t="str">
        <f>IFERROR(IF(0=LEN(ReferenceData!$E$224),"",ReferenceData!$E$224),"")</f>
        <v>Dynamic</v>
      </c>
      <c r="F224" t="str">
        <f ca="1">IFERROR(IF(0=LEN(ReferenceData!$F$224),"",ReferenceData!$F$224),"")</f>
        <v/>
      </c>
      <c r="G224" t="str">
        <f ca="1">IFERROR(IF(0=LEN(ReferenceData!$G$224),"",ReferenceData!$G$224),"")</f>
        <v/>
      </c>
      <c r="H224" t="str">
        <f ca="1">IFERROR(IF(0=LEN(ReferenceData!$H$224),"",ReferenceData!$H$224),"")</f>
        <v/>
      </c>
      <c r="I224" t="str">
        <f ca="1">IFERROR(IF(0=LEN(ReferenceData!$I$224),"",ReferenceData!$I$224),"")</f>
        <v/>
      </c>
      <c r="J224" t="str">
        <f ca="1">IFERROR(IF(0=LEN(ReferenceData!$J$224),"",ReferenceData!$J$224),"")</f>
        <v/>
      </c>
      <c r="K224" t="str">
        <f ca="1">IFERROR(IF(0=LEN(ReferenceData!$K$224),"",ReferenceData!$K$224),"")</f>
        <v/>
      </c>
      <c r="L224" t="str">
        <f ca="1">IFERROR(IF(0=LEN(ReferenceData!$L$224),"",ReferenceData!$L$224),"")</f>
        <v/>
      </c>
      <c r="M224" t="str">
        <f ca="1">IFERROR(IF(0=LEN(ReferenceData!$M$224),"",ReferenceData!$M$224),"")</f>
        <v/>
      </c>
      <c r="N224" t="str">
        <f ca="1">IFERROR(IF(0=LEN(ReferenceData!$N$224),"",ReferenceData!$N$224),"")</f>
        <v/>
      </c>
      <c r="O224" t="str">
        <f ca="1">IFERROR(IF(0=LEN(ReferenceData!$O$224),"",ReferenceData!$O$224),"")</f>
        <v/>
      </c>
      <c r="P224" t="str">
        <f ca="1">IFERROR(IF(0=LEN(ReferenceData!$P$224),"",ReferenceData!$P$224),"")</f>
        <v/>
      </c>
      <c r="Q224" t="str">
        <f ca="1">IFERROR(IF(0=LEN(ReferenceData!$Q$224),"",ReferenceData!$Q$224),"")</f>
        <v/>
      </c>
      <c r="R224" t="str">
        <f ca="1">IFERROR(IF(0=LEN(ReferenceData!$R$224),"",ReferenceData!$R$224),"")</f>
        <v/>
      </c>
      <c r="S224" t="str">
        <f ca="1">IFERROR(IF(0=LEN(ReferenceData!$S$224),"",ReferenceData!$S$224),"")</f>
        <v/>
      </c>
      <c r="T224" t="str">
        <f ca="1">IFERROR(IF(0=LEN(ReferenceData!$T$224),"",ReferenceData!$T$224),"")</f>
        <v/>
      </c>
      <c r="U224" t="str">
        <f ca="1">IFERROR(IF(0=LEN(ReferenceData!$U$224),"",ReferenceData!$U$224),"")</f>
        <v/>
      </c>
      <c r="V224" t="str">
        <f ca="1">IFERROR(IF(0=LEN(ReferenceData!$V$224),"",ReferenceData!$V$224),"")</f>
        <v/>
      </c>
      <c r="W224" t="str">
        <f ca="1">IFERROR(IF(0=LEN(ReferenceData!$W$224),"",ReferenceData!$W$224),"")</f>
        <v/>
      </c>
      <c r="X224" t="str">
        <f ca="1">IFERROR(IF(0=LEN(ReferenceData!$X$224),"",ReferenceData!$X$224),"")</f>
        <v/>
      </c>
      <c r="Y224" t="str">
        <f ca="1">IFERROR(IF(0=LEN(ReferenceData!$Y$224),"",ReferenceData!$Y$224),"")</f>
        <v/>
      </c>
      <c r="Z224" t="str">
        <f ca="1">IFERROR(IF(0=LEN(ReferenceData!$Z$224),"",ReferenceData!$Z$224),"")</f>
        <v/>
      </c>
      <c r="AA224" t="str">
        <f ca="1">IFERROR(IF(0=LEN(ReferenceData!$AA$224),"",ReferenceData!$AA$224),"")</f>
        <v/>
      </c>
      <c r="AB224" t="str">
        <f ca="1">IFERROR(IF(0=LEN(ReferenceData!$AB$224),"",ReferenceData!$AB$224),"")</f>
        <v/>
      </c>
      <c r="AC224" t="str">
        <f ca="1">IFERROR(IF(0=LEN(ReferenceData!$AC$224),"",ReferenceData!$AC$224),"")</f>
        <v/>
      </c>
      <c r="AD224" t="str">
        <f ca="1">IFERROR(IF(0=LEN(ReferenceData!$AD$224),"",ReferenceData!$AD$224),"")</f>
        <v/>
      </c>
      <c r="AE224" t="str">
        <f ca="1">IFERROR(IF(0=LEN(ReferenceData!$AE$224),"",ReferenceData!$AE$224),"")</f>
        <v/>
      </c>
      <c r="AF224" t="str">
        <f ca="1">IFERROR(IF(0=LEN(ReferenceData!$AF$224),"",ReferenceData!$AF$224),"")</f>
        <v/>
      </c>
      <c r="AG224" t="str">
        <f ca="1">IFERROR(IF(0=LEN(ReferenceData!$AG$224),"",ReferenceData!$AG$224),"")</f>
        <v/>
      </c>
      <c r="AH224" t="str">
        <f ca="1">IFERROR(IF(0=LEN(ReferenceData!$AH$224),"",ReferenceData!$AH$224),"")</f>
        <v/>
      </c>
      <c r="AI224" t="str">
        <f ca="1">IFERROR(IF(0=LEN(ReferenceData!$AI$224),"",ReferenceData!$AI$224),"")</f>
        <v/>
      </c>
      <c r="AJ224" t="str">
        <f ca="1">IFERROR(IF(0=LEN(ReferenceData!$AJ$224),"",ReferenceData!$AJ$224),"")</f>
        <v/>
      </c>
      <c r="AK224" t="str">
        <f ca="1">IFERROR(IF(0=LEN(ReferenceData!$AK$224),"",ReferenceData!$AK$224),"")</f>
        <v/>
      </c>
      <c r="AL224" t="str">
        <f ca="1">IFERROR(IF(0=LEN(ReferenceData!$AL$224),"",ReferenceData!$AL$224),"")</f>
        <v/>
      </c>
      <c r="AM224" t="str">
        <f ca="1">IFERROR(IF(0=LEN(ReferenceData!$AM$224),"",ReferenceData!$AM$224),"")</f>
        <v/>
      </c>
      <c r="AN224" t="str">
        <f ca="1">IFERROR(IF(0=LEN(ReferenceData!$AN$224),"",ReferenceData!$AN$224),"")</f>
        <v/>
      </c>
      <c r="AO224" t="str">
        <f ca="1">IFERROR(IF(0=LEN(ReferenceData!$AO$224),"",ReferenceData!$AO$224),"")</f>
        <v/>
      </c>
      <c r="AP224" t="str">
        <f ca="1">IFERROR(IF(0=LEN(ReferenceData!$AP$224),"",ReferenceData!$AP$224),"")</f>
        <v/>
      </c>
      <c r="AQ224" t="str">
        <f ca="1">IFERROR(IF(0=LEN(ReferenceData!$AQ$224),"",ReferenceData!$AQ$224),"")</f>
        <v/>
      </c>
      <c r="AR224" t="str">
        <f ca="1">IFERROR(IF(0=LEN(ReferenceData!$AR$224),"",ReferenceData!$AR$224),"")</f>
        <v/>
      </c>
      <c r="AS224" t="str">
        <f ca="1">IFERROR(IF(0=LEN(ReferenceData!$AS$224),"",ReferenceData!$AS$224),"")</f>
        <v/>
      </c>
      <c r="AT224" t="str">
        <f ca="1">IFERROR(IF(0=LEN(ReferenceData!$AT$224),"",ReferenceData!$AT$224),"")</f>
        <v/>
      </c>
      <c r="AU224" t="str">
        <f ca="1">IFERROR(IF(0=LEN(ReferenceData!$AU$224),"",ReferenceData!$AU$224),"")</f>
        <v/>
      </c>
      <c r="AV224" t="str">
        <f ca="1">IFERROR(IF(0=LEN(ReferenceData!$AV$224),"",ReferenceData!$AV$224),"")</f>
        <v/>
      </c>
      <c r="AW224" t="str">
        <f ca="1">IFERROR(IF(0=LEN(ReferenceData!$AW$224),"",ReferenceData!$AW$224),"")</f>
        <v/>
      </c>
      <c r="AX224" t="str">
        <f ca="1">IFERROR(IF(0=LEN(ReferenceData!$AX$224),"",ReferenceData!$AX$224),"")</f>
        <v/>
      </c>
      <c r="AY224" t="str">
        <f ca="1">IFERROR(IF(0=LEN(ReferenceData!$AY$224),"",ReferenceData!$AY$224),"")</f>
        <v/>
      </c>
      <c r="AZ224" t="str">
        <f ca="1">IFERROR(IF(0=LEN(ReferenceData!$AZ$224),"",ReferenceData!$AZ$224),"")</f>
        <v/>
      </c>
      <c r="BA224" t="str">
        <f ca="1">IFERROR(IF(0=LEN(ReferenceData!$BA$224),"",ReferenceData!$BA$224),"")</f>
        <v/>
      </c>
      <c r="BB224" t="str">
        <f ca="1">IFERROR(IF(0=LEN(ReferenceData!$BB$224),"",ReferenceData!$BB$224),"")</f>
        <v/>
      </c>
      <c r="BC224" t="str">
        <f ca="1">IFERROR(IF(0=LEN(ReferenceData!$BC$224),"",ReferenceData!$BC$224),"")</f>
        <v/>
      </c>
      <c r="BD224" t="str">
        <f ca="1">IFERROR(IF(0=LEN(ReferenceData!$BD$224),"",ReferenceData!$BD$224),"")</f>
        <v/>
      </c>
      <c r="BE224" t="str">
        <f ca="1">IFERROR(IF(0=LEN(ReferenceData!$BE$224),"",ReferenceData!$BE$224),"")</f>
        <v/>
      </c>
      <c r="BF224" t="str">
        <f ca="1">IFERROR(IF(0=LEN(ReferenceData!$BF$224),"",ReferenceData!$BF$224),"")</f>
        <v/>
      </c>
      <c r="BG224" t="str">
        <f ca="1">IFERROR(IF(0=LEN(ReferenceData!$BG$224),"",ReferenceData!$BG$224),"")</f>
        <v/>
      </c>
      <c r="BH224" t="str">
        <f ca="1">IFERROR(IF(0=LEN(ReferenceData!$BH$224),"",ReferenceData!$BH$224),"")</f>
        <v/>
      </c>
      <c r="BI224" t="str">
        <f ca="1">IFERROR(IF(0=LEN(ReferenceData!$BI$224),"",ReferenceData!$BI$224),"")</f>
        <v/>
      </c>
      <c r="BJ224" t="str">
        <f ca="1">IFERROR(IF(0=LEN(ReferenceData!$BJ$224),"",ReferenceData!$BJ$224),"")</f>
        <v/>
      </c>
      <c r="BK224" t="str">
        <f ca="1">IFERROR(IF(0=LEN(ReferenceData!$BK$224),"",ReferenceData!$BK$224),"")</f>
        <v/>
      </c>
      <c r="BL224" t="str">
        <f ca="1">IFERROR(IF(0=LEN(ReferenceData!$BL$224),"",ReferenceData!$BL$224),"")</f>
        <v/>
      </c>
      <c r="BM224" t="str">
        <f ca="1">IFERROR(IF(0=LEN(ReferenceData!$BM$224),"",ReferenceData!$BM$224),"")</f>
        <v/>
      </c>
    </row>
    <row r="225" spans="1:65" x14ac:dyDescent="0.25">
      <c r="A225" t="str">
        <f>IFERROR(IF(0=LEN(ReferenceData!$A$225),"",ReferenceData!$A$225),"")</f>
        <v xml:space="preserve">    Geely Automobile Holdings Ltd</v>
      </c>
      <c r="B225" t="str">
        <f>IFERROR(IF(0=LEN(ReferenceData!$B$225),"",ReferenceData!$B$225),"")</f>
        <v>175 HK Equity</v>
      </c>
      <c r="C225" t="str">
        <f>IFERROR(IF(0=LEN(ReferenceData!$C$225),"",ReferenceData!$C$225),"")</f>
        <v>RR971</v>
      </c>
      <c r="D225" t="str">
        <f>IFERROR(IF(0=LEN(ReferenceData!$D$225),"",ReferenceData!$D$225),"")</f>
        <v>CURRENT_PX_TO_FREE_CASH_FLOW</v>
      </c>
      <c r="E225" t="str">
        <f>IFERROR(IF(0=LEN(ReferenceData!$E$225),"",ReferenceData!$E$225),"")</f>
        <v>Dynamic</v>
      </c>
      <c r="F225" t="str">
        <f ca="1">IFERROR(IF(0=LEN(ReferenceData!$F$225),"",ReferenceData!$F$225),"")</f>
        <v/>
      </c>
      <c r="G225" t="str">
        <f ca="1">IFERROR(IF(0=LEN(ReferenceData!$G$225),"",ReferenceData!$G$225),"")</f>
        <v/>
      </c>
      <c r="H225" t="str">
        <f ca="1">IFERROR(IF(0=LEN(ReferenceData!$H$225),"",ReferenceData!$H$225),"")</f>
        <v/>
      </c>
      <c r="I225" t="str">
        <f ca="1">IFERROR(IF(0=LEN(ReferenceData!$I$225),"",ReferenceData!$I$225),"")</f>
        <v/>
      </c>
      <c r="J225" t="str">
        <f ca="1">IFERROR(IF(0=LEN(ReferenceData!$J$225),"",ReferenceData!$J$225),"")</f>
        <v/>
      </c>
      <c r="K225" t="str">
        <f ca="1">IFERROR(IF(0=LEN(ReferenceData!$K$225),"",ReferenceData!$K$225),"")</f>
        <v/>
      </c>
      <c r="L225" t="str">
        <f ca="1">IFERROR(IF(0=LEN(ReferenceData!$L$225),"",ReferenceData!$L$225),"")</f>
        <v/>
      </c>
      <c r="M225" t="str">
        <f ca="1">IFERROR(IF(0=LEN(ReferenceData!$M$225),"",ReferenceData!$M$225),"")</f>
        <v/>
      </c>
      <c r="N225" t="str">
        <f ca="1">IFERROR(IF(0=LEN(ReferenceData!$N$225),"",ReferenceData!$N$225),"")</f>
        <v/>
      </c>
      <c r="O225" t="str">
        <f ca="1">IFERROR(IF(0=LEN(ReferenceData!$O$225),"",ReferenceData!$O$225),"")</f>
        <v/>
      </c>
      <c r="P225" t="str">
        <f ca="1">IFERROR(IF(0=LEN(ReferenceData!$P$225),"",ReferenceData!$P$225),"")</f>
        <v/>
      </c>
      <c r="Q225" t="str">
        <f ca="1">IFERROR(IF(0=LEN(ReferenceData!$Q$225),"",ReferenceData!$Q$225),"")</f>
        <v/>
      </c>
      <c r="R225" t="str">
        <f ca="1">IFERROR(IF(0=LEN(ReferenceData!$R$225),"",ReferenceData!$R$225),"")</f>
        <v/>
      </c>
      <c r="S225" t="str">
        <f ca="1">IFERROR(IF(0=LEN(ReferenceData!$S$225),"",ReferenceData!$S$225),"")</f>
        <v/>
      </c>
      <c r="T225" t="str">
        <f ca="1">IFERROR(IF(0=LEN(ReferenceData!$T$225),"",ReferenceData!$T$225),"")</f>
        <v/>
      </c>
      <c r="U225" t="str">
        <f ca="1">IFERROR(IF(0=LEN(ReferenceData!$U$225),"",ReferenceData!$U$225),"")</f>
        <v/>
      </c>
      <c r="V225" t="str">
        <f ca="1">IFERROR(IF(0=LEN(ReferenceData!$V$225),"",ReferenceData!$V$225),"")</f>
        <v/>
      </c>
      <c r="W225" t="str">
        <f ca="1">IFERROR(IF(0=LEN(ReferenceData!$W$225),"",ReferenceData!$W$225),"")</f>
        <v/>
      </c>
      <c r="X225" t="str">
        <f ca="1">IFERROR(IF(0=LEN(ReferenceData!$X$225),"",ReferenceData!$X$225),"")</f>
        <v/>
      </c>
      <c r="Y225" t="str">
        <f ca="1">IFERROR(IF(0=LEN(ReferenceData!$Y$225),"",ReferenceData!$Y$225),"")</f>
        <v/>
      </c>
      <c r="Z225" t="str">
        <f ca="1">IFERROR(IF(0=LEN(ReferenceData!$Z$225),"",ReferenceData!$Z$225),"")</f>
        <v/>
      </c>
      <c r="AA225" t="str">
        <f ca="1">IFERROR(IF(0=LEN(ReferenceData!$AA$225),"",ReferenceData!$AA$225),"")</f>
        <v/>
      </c>
      <c r="AB225" t="str">
        <f ca="1">IFERROR(IF(0=LEN(ReferenceData!$AB$225),"",ReferenceData!$AB$225),"")</f>
        <v/>
      </c>
      <c r="AC225" t="str">
        <f ca="1">IFERROR(IF(0=LEN(ReferenceData!$AC$225),"",ReferenceData!$AC$225),"")</f>
        <v/>
      </c>
      <c r="AD225" t="str">
        <f ca="1">IFERROR(IF(0=LEN(ReferenceData!$AD$225),"",ReferenceData!$AD$225),"")</f>
        <v/>
      </c>
      <c r="AE225" t="str">
        <f ca="1">IFERROR(IF(0=LEN(ReferenceData!$AE$225),"",ReferenceData!$AE$225),"")</f>
        <v/>
      </c>
      <c r="AF225" t="str">
        <f ca="1">IFERROR(IF(0=LEN(ReferenceData!$AF$225),"",ReferenceData!$AF$225),"")</f>
        <v/>
      </c>
      <c r="AG225" t="str">
        <f ca="1">IFERROR(IF(0=LEN(ReferenceData!$AG$225),"",ReferenceData!$AG$225),"")</f>
        <v/>
      </c>
      <c r="AH225" t="str">
        <f ca="1">IFERROR(IF(0=LEN(ReferenceData!$AH$225),"",ReferenceData!$AH$225),"")</f>
        <v/>
      </c>
      <c r="AI225" t="str">
        <f ca="1">IFERROR(IF(0=LEN(ReferenceData!$AI$225),"",ReferenceData!$AI$225),"")</f>
        <v/>
      </c>
      <c r="AJ225" t="str">
        <f ca="1">IFERROR(IF(0=LEN(ReferenceData!$AJ$225),"",ReferenceData!$AJ$225),"")</f>
        <v/>
      </c>
      <c r="AK225" t="str">
        <f ca="1">IFERROR(IF(0=LEN(ReferenceData!$AK$225),"",ReferenceData!$AK$225),"")</f>
        <v/>
      </c>
      <c r="AL225" t="str">
        <f ca="1">IFERROR(IF(0=LEN(ReferenceData!$AL$225),"",ReferenceData!$AL$225),"")</f>
        <v/>
      </c>
      <c r="AM225" t="str">
        <f ca="1">IFERROR(IF(0=LEN(ReferenceData!$AM$225),"",ReferenceData!$AM$225),"")</f>
        <v/>
      </c>
      <c r="AN225" t="str">
        <f ca="1">IFERROR(IF(0=LEN(ReferenceData!$AN$225),"",ReferenceData!$AN$225),"")</f>
        <v/>
      </c>
      <c r="AO225" t="str">
        <f ca="1">IFERROR(IF(0=LEN(ReferenceData!$AO$225),"",ReferenceData!$AO$225),"")</f>
        <v/>
      </c>
      <c r="AP225" t="str">
        <f ca="1">IFERROR(IF(0=LEN(ReferenceData!$AP$225),"",ReferenceData!$AP$225),"")</f>
        <v/>
      </c>
      <c r="AQ225" t="str">
        <f ca="1">IFERROR(IF(0=LEN(ReferenceData!$AQ$225),"",ReferenceData!$AQ$225),"")</f>
        <v/>
      </c>
      <c r="AR225" t="str">
        <f ca="1">IFERROR(IF(0=LEN(ReferenceData!$AR$225),"",ReferenceData!$AR$225),"")</f>
        <v/>
      </c>
      <c r="AS225" t="str">
        <f ca="1">IFERROR(IF(0=LEN(ReferenceData!$AS$225),"",ReferenceData!$AS$225),"")</f>
        <v/>
      </c>
      <c r="AT225" t="str">
        <f ca="1">IFERROR(IF(0=LEN(ReferenceData!$AT$225),"",ReferenceData!$AT$225),"")</f>
        <v/>
      </c>
      <c r="AU225" t="str">
        <f ca="1">IFERROR(IF(0=LEN(ReferenceData!$AU$225),"",ReferenceData!$AU$225),"")</f>
        <v/>
      </c>
      <c r="AV225" t="str">
        <f ca="1">IFERROR(IF(0=LEN(ReferenceData!$AV$225),"",ReferenceData!$AV$225),"")</f>
        <v/>
      </c>
      <c r="AW225" t="str">
        <f ca="1">IFERROR(IF(0=LEN(ReferenceData!$AW$225),"",ReferenceData!$AW$225),"")</f>
        <v/>
      </c>
      <c r="AX225" t="str">
        <f ca="1">IFERROR(IF(0=LEN(ReferenceData!$AX$225),"",ReferenceData!$AX$225),"")</f>
        <v/>
      </c>
      <c r="AY225" t="str">
        <f ca="1">IFERROR(IF(0=LEN(ReferenceData!$AY$225),"",ReferenceData!$AY$225),"")</f>
        <v/>
      </c>
      <c r="AZ225" t="str">
        <f ca="1">IFERROR(IF(0=LEN(ReferenceData!$AZ$225),"",ReferenceData!$AZ$225),"")</f>
        <v/>
      </c>
      <c r="BA225" t="str">
        <f ca="1">IFERROR(IF(0=LEN(ReferenceData!$BA$225),"",ReferenceData!$BA$225),"")</f>
        <v/>
      </c>
      <c r="BB225" t="str">
        <f ca="1">IFERROR(IF(0=LEN(ReferenceData!$BB$225),"",ReferenceData!$BB$225),"")</f>
        <v/>
      </c>
      <c r="BC225" t="str">
        <f ca="1">IFERROR(IF(0=LEN(ReferenceData!$BC$225),"",ReferenceData!$BC$225),"")</f>
        <v/>
      </c>
      <c r="BD225" t="str">
        <f ca="1">IFERROR(IF(0=LEN(ReferenceData!$BD$225),"",ReferenceData!$BD$225),"")</f>
        <v/>
      </c>
      <c r="BE225" t="str">
        <f ca="1">IFERROR(IF(0=LEN(ReferenceData!$BE$225),"",ReferenceData!$BE$225),"")</f>
        <v/>
      </c>
      <c r="BF225" t="str">
        <f ca="1">IFERROR(IF(0=LEN(ReferenceData!$BF$225),"",ReferenceData!$BF$225),"")</f>
        <v/>
      </c>
      <c r="BG225" t="str">
        <f ca="1">IFERROR(IF(0=LEN(ReferenceData!$BG$225),"",ReferenceData!$BG$225),"")</f>
        <v/>
      </c>
      <c r="BH225" t="str">
        <f ca="1">IFERROR(IF(0=LEN(ReferenceData!$BH$225),"",ReferenceData!$BH$225),"")</f>
        <v/>
      </c>
      <c r="BI225" t="str">
        <f ca="1">IFERROR(IF(0=LEN(ReferenceData!$BI$225),"",ReferenceData!$BI$225),"")</f>
        <v/>
      </c>
      <c r="BJ225" t="str">
        <f ca="1">IFERROR(IF(0=LEN(ReferenceData!$BJ$225),"",ReferenceData!$BJ$225),"")</f>
        <v/>
      </c>
      <c r="BK225" t="str">
        <f ca="1">IFERROR(IF(0=LEN(ReferenceData!$BK$225),"",ReferenceData!$BK$225),"")</f>
        <v/>
      </c>
      <c r="BL225" t="str">
        <f ca="1">IFERROR(IF(0=LEN(ReferenceData!$BL$225),"",ReferenceData!$BL$225),"")</f>
        <v/>
      </c>
      <c r="BM225" t="str">
        <f ca="1">IFERROR(IF(0=LEN(ReferenceData!$BM$225),"",ReferenceData!$BM$225),"")</f>
        <v/>
      </c>
    </row>
    <row r="226" spans="1:65" x14ac:dyDescent="0.25">
      <c r="A226" t="str">
        <f>IFERROR(IF(0=LEN(ReferenceData!$A$226),"",ReferenceData!$A$226),"")</f>
        <v xml:space="preserve">    General Motors Co</v>
      </c>
      <c r="B226" t="str">
        <f>IFERROR(IF(0=LEN(ReferenceData!$B$226),"",ReferenceData!$B$226),"")</f>
        <v>GM US Equity</v>
      </c>
      <c r="C226" t="str">
        <f>IFERROR(IF(0=LEN(ReferenceData!$C$226),"",ReferenceData!$C$226),"")</f>
        <v>RR971</v>
      </c>
      <c r="D226" t="str">
        <f>IFERROR(IF(0=LEN(ReferenceData!$D$226),"",ReferenceData!$D$226),"")</f>
        <v>CURRENT_PX_TO_FREE_CASH_FLOW</v>
      </c>
      <c r="E226" t="str">
        <f>IFERROR(IF(0=LEN(ReferenceData!$E$226),"",ReferenceData!$E$226),"")</f>
        <v>Dynamic</v>
      </c>
      <c r="F226">
        <f ca="1">IFERROR(IF(0=LEN(ReferenceData!$F$226),"",ReferenceData!$F$226),"")</f>
        <v>8.5466076419999997</v>
      </c>
      <c r="G226">
        <f ca="1">IFERROR(IF(0=LEN(ReferenceData!$G$226),"",ReferenceData!$G$226),"")</f>
        <v>7.2790328329999996</v>
      </c>
      <c r="H226">
        <f ca="1">IFERROR(IF(0=LEN(ReferenceData!$H$226),"",ReferenceData!$H$226),"")</f>
        <v>6.3776264380000001</v>
      </c>
      <c r="I226">
        <f ca="1">IFERROR(IF(0=LEN(ReferenceData!$I$226),"",ReferenceData!$I$226),"")</f>
        <v>8.3155687409999999</v>
      </c>
      <c r="J226">
        <f ca="1">IFERROR(IF(0=LEN(ReferenceData!$J$226),"",ReferenceData!$J$226),"")</f>
        <v>7.8362447529999999</v>
      </c>
      <c r="K226">
        <f ca="1">IFERROR(IF(0=LEN(ReferenceData!$K$226),"",ReferenceData!$K$226),"")</f>
        <v>6.6764129099999998</v>
      </c>
      <c r="L226">
        <f ca="1">IFERROR(IF(0=LEN(ReferenceData!$L$226),"",ReferenceData!$L$226),"")</f>
        <v>10.37698129</v>
      </c>
      <c r="M226">
        <f ca="1">IFERROR(IF(0=LEN(ReferenceData!$M$226),"",ReferenceData!$M$226),"")</f>
        <v>5.5760560730000002</v>
      </c>
      <c r="N226">
        <f ca="1">IFERROR(IF(0=LEN(ReferenceData!$N$226),"",ReferenceData!$N$226),"")</f>
        <v>4.9911827840000003</v>
      </c>
      <c r="O226">
        <f ca="1">IFERROR(IF(0=LEN(ReferenceData!$O$226),"",ReferenceData!$O$226),"")</f>
        <v>6.5366060629999998</v>
      </c>
      <c r="P226">
        <f ca="1">IFERROR(IF(0=LEN(ReferenceData!$P$226),"",ReferenceData!$P$226),"")</f>
        <v>7.9948740630000001</v>
      </c>
      <c r="Q226">
        <f ca="1">IFERROR(IF(0=LEN(ReferenceData!$Q$226),"",ReferenceData!$Q$226),"")</f>
        <v>13.86744116</v>
      </c>
      <c r="R226">
        <f ca="1">IFERROR(IF(0=LEN(ReferenceData!$R$226),"",ReferenceData!$R$226),"")</f>
        <v>18.826230030000001</v>
      </c>
      <c r="S226">
        <f ca="1">IFERROR(IF(0=LEN(ReferenceData!$S$226),"",ReferenceData!$S$226),"")</f>
        <v>14.124804839999999</v>
      </c>
      <c r="T226">
        <f ca="1">IFERROR(IF(0=LEN(ReferenceData!$T$226),"",ReferenceData!$T$226),"")</f>
        <v>8.9849417539999994</v>
      </c>
      <c r="U226">
        <f ca="1">IFERROR(IF(0=LEN(ReferenceData!$U$226),"",ReferenceData!$U$226),"")</f>
        <v>16.260331900000001</v>
      </c>
      <c r="V226">
        <f ca="1">IFERROR(IF(0=LEN(ReferenceData!$V$226),"",ReferenceData!$V$226),"")</f>
        <v>41.611928480000003</v>
      </c>
      <c r="W226">
        <f ca="1">IFERROR(IF(0=LEN(ReferenceData!$W$226),"",ReferenceData!$W$226),"")</f>
        <v>18.896381089999998</v>
      </c>
      <c r="X226">
        <f ca="1">IFERROR(IF(0=LEN(ReferenceData!$X$226),"",ReferenceData!$X$226),"")</f>
        <v>15.88703531</v>
      </c>
      <c r="Y226">
        <f ca="1">IFERROR(IF(0=LEN(ReferenceData!$Y$226),"",ReferenceData!$Y$226),"")</f>
        <v>9.6851775510000007</v>
      </c>
      <c r="Z226">
        <f ca="1">IFERROR(IF(0=LEN(ReferenceData!$Z$226),"",ReferenceData!$Z$226),"")</f>
        <v>7.511254793</v>
      </c>
      <c r="AA226">
        <f ca="1">IFERROR(IF(0=LEN(ReferenceData!$AA$226),"",ReferenceData!$AA$226),"")</f>
        <v>11.26309431</v>
      </c>
      <c r="AB226">
        <f ca="1">IFERROR(IF(0=LEN(ReferenceData!$AB$226),"",ReferenceData!$AB$226),"")</f>
        <v>18.755898179999999</v>
      </c>
      <c r="AC226">
        <f ca="1">IFERROR(IF(0=LEN(ReferenceData!$AC$226),"",ReferenceData!$AC$226),"")</f>
        <v>22.917263699999999</v>
      </c>
      <c r="AD226">
        <f ca="1">IFERROR(IF(0=LEN(ReferenceData!$AD$226),"",ReferenceData!$AD$226),"")</f>
        <v>59.246926129999999</v>
      </c>
      <c r="AE226">
        <f ca="1">IFERROR(IF(0=LEN(ReferenceData!$AE$226),"",ReferenceData!$AE$226),"")</f>
        <v>17.93063841</v>
      </c>
      <c r="AF226">
        <f ca="1">IFERROR(IF(0=LEN(ReferenceData!$AF$226),"",ReferenceData!$AF$226),"")</f>
        <v>11.575956400000001</v>
      </c>
      <c r="AG226">
        <f ca="1">IFERROR(IF(0=LEN(ReferenceData!$AG$226),"",ReferenceData!$AG$226),"")</f>
        <v>14.674245320000001</v>
      </c>
      <c r="AH226">
        <f ca="1">IFERROR(IF(0=LEN(ReferenceData!$AH$226),"",ReferenceData!$AH$226),"")</f>
        <v>9.3923828510000007</v>
      </c>
      <c r="AI226">
        <f ca="1">IFERROR(IF(0=LEN(ReferenceData!$AI$226),"",ReferenceData!$AI$226),"")</f>
        <v>15.83550075</v>
      </c>
      <c r="AJ226">
        <f ca="1">IFERROR(IF(0=LEN(ReferenceData!$AJ$226),"",ReferenceData!$AJ$226),"")</f>
        <v>33.84415929</v>
      </c>
      <c r="AK226">
        <f ca="1">IFERROR(IF(0=LEN(ReferenceData!$AK$226),"",ReferenceData!$AK$226),"")</f>
        <v>49.494637570000002</v>
      </c>
      <c r="AL226">
        <f ca="1">IFERROR(IF(0=LEN(ReferenceData!$AL$226),"",ReferenceData!$AL$226),"")</f>
        <v>18.318187179999999</v>
      </c>
      <c r="AM226">
        <f ca="1">IFERROR(IF(0=LEN(ReferenceData!$AM$226),"",ReferenceData!$AM$226),"")</f>
        <v>21.401216470000001</v>
      </c>
      <c r="AN226" t="str">
        <f ca="1">IFERROR(IF(0=LEN(ReferenceData!$AN$226),"",ReferenceData!$AN$226),"")</f>
        <v/>
      </c>
      <c r="AO226" t="str">
        <f ca="1">IFERROR(IF(0=LEN(ReferenceData!$AO$226),"",ReferenceData!$AO$226),"")</f>
        <v/>
      </c>
      <c r="AP226" t="str">
        <f ca="1">IFERROR(IF(0=LEN(ReferenceData!$AP$226),"",ReferenceData!$AP$226),"")</f>
        <v/>
      </c>
      <c r="AQ226" t="str">
        <f ca="1">IFERROR(IF(0=LEN(ReferenceData!$AQ$226),"",ReferenceData!$AQ$226),"")</f>
        <v/>
      </c>
      <c r="AR226" t="str">
        <f ca="1">IFERROR(IF(0=LEN(ReferenceData!$AR$226),"",ReferenceData!$AR$226),"")</f>
        <v/>
      </c>
      <c r="AS226" t="str">
        <f ca="1">IFERROR(IF(0=LEN(ReferenceData!$AS$226),"",ReferenceData!$AS$226),"")</f>
        <v/>
      </c>
      <c r="AT226" t="str">
        <f ca="1">IFERROR(IF(0=LEN(ReferenceData!$AT$226),"",ReferenceData!$AT$226),"")</f>
        <v/>
      </c>
      <c r="AU226" t="str">
        <f ca="1">IFERROR(IF(0=LEN(ReferenceData!$AU$226),"",ReferenceData!$AU$226),"")</f>
        <v/>
      </c>
      <c r="AV226" t="str">
        <f ca="1">IFERROR(IF(0=LEN(ReferenceData!$AV$226),"",ReferenceData!$AV$226),"")</f>
        <v/>
      </c>
      <c r="AW226" t="str">
        <f ca="1">IFERROR(IF(0=LEN(ReferenceData!$AW$226),"",ReferenceData!$AW$226),"")</f>
        <v/>
      </c>
      <c r="AX226" t="str">
        <f ca="1">IFERROR(IF(0=LEN(ReferenceData!$AX$226),"",ReferenceData!$AX$226),"")</f>
        <v/>
      </c>
      <c r="AY226" t="str">
        <f ca="1">IFERROR(IF(0=LEN(ReferenceData!$AY$226),"",ReferenceData!$AY$226),"")</f>
        <v/>
      </c>
      <c r="AZ226" t="str">
        <f ca="1">IFERROR(IF(0=LEN(ReferenceData!$AZ$226),"",ReferenceData!$AZ$226),"")</f>
        <v/>
      </c>
      <c r="BA226" t="str">
        <f ca="1">IFERROR(IF(0=LEN(ReferenceData!$BA$226),"",ReferenceData!$BA$226),"")</f>
        <v/>
      </c>
      <c r="BB226" t="str">
        <f ca="1">IFERROR(IF(0=LEN(ReferenceData!$BB$226),"",ReferenceData!$BB$226),"")</f>
        <v/>
      </c>
      <c r="BC226" t="str">
        <f ca="1">IFERROR(IF(0=LEN(ReferenceData!$BC$226),"",ReferenceData!$BC$226),"")</f>
        <v/>
      </c>
      <c r="BD226" t="str">
        <f ca="1">IFERROR(IF(0=LEN(ReferenceData!$BD$226),"",ReferenceData!$BD$226),"")</f>
        <v/>
      </c>
      <c r="BE226" t="str">
        <f ca="1">IFERROR(IF(0=LEN(ReferenceData!$BE$226),"",ReferenceData!$BE$226),"")</f>
        <v/>
      </c>
      <c r="BF226" t="str">
        <f ca="1">IFERROR(IF(0=LEN(ReferenceData!$BF$226),"",ReferenceData!$BF$226),"")</f>
        <v/>
      </c>
      <c r="BG226" t="str">
        <f ca="1">IFERROR(IF(0=LEN(ReferenceData!$BG$226),"",ReferenceData!$BG$226),"")</f>
        <v/>
      </c>
      <c r="BH226" t="str">
        <f ca="1">IFERROR(IF(0=LEN(ReferenceData!$BH$226),"",ReferenceData!$BH$226),"")</f>
        <v/>
      </c>
      <c r="BI226" t="str">
        <f ca="1">IFERROR(IF(0=LEN(ReferenceData!$BI$226),"",ReferenceData!$BI$226),"")</f>
        <v/>
      </c>
      <c r="BJ226" t="str">
        <f ca="1">IFERROR(IF(0=LEN(ReferenceData!$BJ$226),"",ReferenceData!$BJ$226),"")</f>
        <v/>
      </c>
      <c r="BK226" t="str">
        <f ca="1">IFERROR(IF(0=LEN(ReferenceData!$BK$226),"",ReferenceData!$BK$226),"")</f>
        <v/>
      </c>
      <c r="BL226" t="str">
        <f ca="1">IFERROR(IF(0=LEN(ReferenceData!$BL$226),"",ReferenceData!$BL$226),"")</f>
        <v/>
      </c>
      <c r="BM226" t="str">
        <f ca="1">IFERROR(IF(0=LEN(ReferenceData!$BM$226),"",ReferenceData!$BM$226),"")</f>
        <v/>
      </c>
    </row>
    <row r="227" spans="1:65" x14ac:dyDescent="0.25">
      <c r="A227" t="str">
        <f>IFERROR(IF(0=LEN(ReferenceData!$A$227),"",ReferenceData!$A$227),"")</f>
        <v xml:space="preserve">    Great Wall Motor Co Ltd</v>
      </c>
      <c r="B227" t="str">
        <f>IFERROR(IF(0=LEN(ReferenceData!$B$227),"",ReferenceData!$B$227),"")</f>
        <v>2333 HK Equity</v>
      </c>
      <c r="C227" t="str">
        <f>IFERROR(IF(0=LEN(ReferenceData!$C$227),"",ReferenceData!$C$227),"")</f>
        <v>RR971</v>
      </c>
      <c r="D227" t="str">
        <f>IFERROR(IF(0=LEN(ReferenceData!$D$227),"",ReferenceData!$D$227),"")</f>
        <v>CURRENT_PX_TO_FREE_CASH_FLOW</v>
      </c>
      <c r="E227" t="str">
        <f>IFERROR(IF(0=LEN(ReferenceData!$E$227),"",ReferenceData!$E$227),"")</f>
        <v>Dynamic</v>
      </c>
      <c r="F227">
        <f ca="1">IFERROR(IF(0=LEN(ReferenceData!$F$227),"",ReferenceData!$F$227),"")</f>
        <v>300.05143299999997</v>
      </c>
      <c r="G227">
        <f ca="1">IFERROR(IF(0=LEN(ReferenceData!$G$227),"",ReferenceData!$G$227),"")</f>
        <v>211.48140789999999</v>
      </c>
      <c r="H227">
        <f ca="1">IFERROR(IF(0=LEN(ReferenceData!$H$227),"",ReferenceData!$H$227),"")</f>
        <v>234.9114405</v>
      </c>
      <c r="I227" t="str">
        <f ca="1">IFERROR(IF(0=LEN(ReferenceData!$I$227),"",ReferenceData!$I$227),"")</f>
        <v/>
      </c>
      <c r="J227" t="str">
        <f ca="1">IFERROR(IF(0=LEN(ReferenceData!$J$227),"",ReferenceData!$J$227),"")</f>
        <v/>
      </c>
      <c r="K227" t="str">
        <f ca="1">IFERROR(IF(0=LEN(ReferenceData!$K$227),"",ReferenceData!$K$227),"")</f>
        <v/>
      </c>
      <c r="L227">
        <f ca="1">IFERROR(IF(0=LEN(ReferenceData!$L$227),"",ReferenceData!$L$227),"")</f>
        <v>18.100535539999999</v>
      </c>
      <c r="M227">
        <f ca="1">IFERROR(IF(0=LEN(ReferenceData!$M$227),"",ReferenceData!$M$227),"")</f>
        <v>18.501568330000001</v>
      </c>
      <c r="N227">
        <f ca="1">IFERROR(IF(0=LEN(ReferenceData!$N$227),"",ReferenceData!$N$227),"")</f>
        <v>159.95014879999999</v>
      </c>
      <c r="O227">
        <f ca="1">IFERROR(IF(0=LEN(ReferenceData!$O$227),"",ReferenceData!$O$227),"")</f>
        <v>132.1348337</v>
      </c>
      <c r="P227">
        <f ca="1">IFERROR(IF(0=LEN(ReferenceData!$P$227),"",ReferenceData!$P$227),"")</f>
        <v>42.871381710000001</v>
      </c>
      <c r="Q227">
        <f ca="1">IFERROR(IF(0=LEN(ReferenceData!$Q$227),"",ReferenceData!$Q$227),"")</f>
        <v>61.714137909999998</v>
      </c>
      <c r="R227">
        <f ca="1">IFERROR(IF(0=LEN(ReferenceData!$R$227),"",ReferenceData!$R$227),"")</f>
        <v>27.859859100000001</v>
      </c>
      <c r="S227">
        <f ca="1">IFERROR(IF(0=LEN(ReferenceData!$S$227),"",ReferenceData!$S$227),"")</f>
        <v>19.592884139999999</v>
      </c>
      <c r="T227">
        <f ca="1">IFERROR(IF(0=LEN(ReferenceData!$T$227),"",ReferenceData!$T$227),"")</f>
        <v>18.54419459</v>
      </c>
      <c r="U227">
        <f ca="1">IFERROR(IF(0=LEN(ReferenceData!$U$227),"",ReferenceData!$U$227),"")</f>
        <v>107.039563</v>
      </c>
      <c r="V227" t="str">
        <f ca="1">IFERROR(IF(0=LEN(ReferenceData!$V$227),"",ReferenceData!$V$227),"")</f>
        <v/>
      </c>
      <c r="W227" t="str">
        <f ca="1">IFERROR(IF(0=LEN(ReferenceData!$W$227),"",ReferenceData!$W$227),"")</f>
        <v/>
      </c>
      <c r="X227" t="str">
        <f ca="1">IFERROR(IF(0=LEN(ReferenceData!$X$227),"",ReferenceData!$X$227),"")</f>
        <v/>
      </c>
      <c r="Y227">
        <f ca="1">IFERROR(IF(0=LEN(ReferenceData!$Y$227),"",ReferenceData!$Y$227),"")</f>
        <v>45.916950960000001</v>
      </c>
      <c r="Z227">
        <f ca="1">IFERROR(IF(0=LEN(ReferenceData!$Z$227),"",ReferenceData!$Z$227),"")</f>
        <v>61.659853069999997</v>
      </c>
      <c r="AA227">
        <f ca="1">IFERROR(IF(0=LEN(ReferenceData!$AA$227),"",ReferenceData!$AA$227),"")</f>
        <v>52.006392580000004</v>
      </c>
      <c r="AB227">
        <f ca="1">IFERROR(IF(0=LEN(ReferenceData!$AB$227),"",ReferenceData!$AB$227),"")</f>
        <v>38.531292690000001</v>
      </c>
      <c r="AC227">
        <f ca="1">IFERROR(IF(0=LEN(ReferenceData!$AC$227),"",ReferenceData!$AC$227),"")</f>
        <v>34.88443702</v>
      </c>
      <c r="AD227" t="str">
        <f ca="1">IFERROR(IF(0=LEN(ReferenceData!$AD$227),"",ReferenceData!$AD$227),"")</f>
        <v/>
      </c>
      <c r="AE227" t="str">
        <f ca="1">IFERROR(IF(0=LEN(ReferenceData!$AE$227),"",ReferenceData!$AE$227),"")</f>
        <v/>
      </c>
      <c r="AF227" t="str">
        <f ca="1">IFERROR(IF(0=LEN(ReferenceData!$AF$227),"",ReferenceData!$AF$227),"")</f>
        <v/>
      </c>
      <c r="AG227" t="str">
        <f ca="1">IFERROR(IF(0=LEN(ReferenceData!$AG$227),"",ReferenceData!$AG$227),"")</f>
        <v/>
      </c>
      <c r="AH227" t="str">
        <f ca="1">IFERROR(IF(0=LEN(ReferenceData!$AH$227),"",ReferenceData!$AH$227),"")</f>
        <v/>
      </c>
      <c r="AI227" t="str">
        <f ca="1">IFERROR(IF(0=LEN(ReferenceData!$AI$227),"",ReferenceData!$AI$227),"")</f>
        <v/>
      </c>
      <c r="AJ227" t="str">
        <f ca="1">IFERROR(IF(0=LEN(ReferenceData!$AJ$227),"",ReferenceData!$AJ$227),"")</f>
        <v/>
      </c>
      <c r="AK227" t="str">
        <f ca="1">IFERROR(IF(0=LEN(ReferenceData!$AK$227),"",ReferenceData!$AK$227),"")</f>
        <v/>
      </c>
      <c r="AL227" t="str">
        <f ca="1">IFERROR(IF(0=LEN(ReferenceData!$AL$227),"",ReferenceData!$AL$227),"")</f>
        <v/>
      </c>
      <c r="AM227" t="str">
        <f ca="1">IFERROR(IF(0=LEN(ReferenceData!$AM$227),"",ReferenceData!$AM$227),"")</f>
        <v/>
      </c>
      <c r="AN227" t="str">
        <f ca="1">IFERROR(IF(0=LEN(ReferenceData!$AN$227),"",ReferenceData!$AN$227),"")</f>
        <v/>
      </c>
      <c r="AO227" t="str">
        <f ca="1">IFERROR(IF(0=LEN(ReferenceData!$AO$227),"",ReferenceData!$AO$227),"")</f>
        <v/>
      </c>
      <c r="AP227" t="str">
        <f ca="1">IFERROR(IF(0=LEN(ReferenceData!$AP$227),"",ReferenceData!$AP$227),"")</f>
        <v/>
      </c>
      <c r="AQ227" t="str">
        <f ca="1">IFERROR(IF(0=LEN(ReferenceData!$AQ$227),"",ReferenceData!$AQ$227),"")</f>
        <v/>
      </c>
      <c r="AR227" t="str">
        <f ca="1">IFERROR(IF(0=LEN(ReferenceData!$AR$227),"",ReferenceData!$AR$227),"")</f>
        <v/>
      </c>
      <c r="AS227" t="str">
        <f ca="1">IFERROR(IF(0=LEN(ReferenceData!$AS$227),"",ReferenceData!$AS$227),"")</f>
        <v/>
      </c>
      <c r="AT227" t="str">
        <f ca="1">IFERROR(IF(0=LEN(ReferenceData!$AT$227),"",ReferenceData!$AT$227),"")</f>
        <v/>
      </c>
      <c r="AU227" t="str">
        <f ca="1">IFERROR(IF(0=LEN(ReferenceData!$AU$227),"",ReferenceData!$AU$227),"")</f>
        <v/>
      </c>
      <c r="AV227" t="str">
        <f ca="1">IFERROR(IF(0=LEN(ReferenceData!$AV$227),"",ReferenceData!$AV$227),"")</f>
        <v/>
      </c>
      <c r="AW227" t="str">
        <f ca="1">IFERROR(IF(0=LEN(ReferenceData!$AW$227),"",ReferenceData!$AW$227),"")</f>
        <v/>
      </c>
      <c r="AX227" t="str">
        <f ca="1">IFERROR(IF(0=LEN(ReferenceData!$AX$227),"",ReferenceData!$AX$227),"")</f>
        <v/>
      </c>
      <c r="AY227" t="str">
        <f ca="1">IFERROR(IF(0=LEN(ReferenceData!$AY$227),"",ReferenceData!$AY$227),"")</f>
        <v/>
      </c>
      <c r="AZ227" t="str">
        <f ca="1">IFERROR(IF(0=LEN(ReferenceData!$AZ$227),"",ReferenceData!$AZ$227),"")</f>
        <v/>
      </c>
      <c r="BA227" t="str">
        <f ca="1">IFERROR(IF(0=LEN(ReferenceData!$BA$227),"",ReferenceData!$BA$227),"")</f>
        <v/>
      </c>
      <c r="BB227" t="str">
        <f ca="1">IFERROR(IF(0=LEN(ReferenceData!$BB$227),"",ReferenceData!$BB$227),"")</f>
        <v/>
      </c>
      <c r="BC227" t="str">
        <f ca="1">IFERROR(IF(0=LEN(ReferenceData!$BC$227),"",ReferenceData!$BC$227),"")</f>
        <v/>
      </c>
      <c r="BD227" t="str">
        <f ca="1">IFERROR(IF(0=LEN(ReferenceData!$BD$227),"",ReferenceData!$BD$227),"")</f>
        <v/>
      </c>
      <c r="BE227" t="str">
        <f ca="1">IFERROR(IF(0=LEN(ReferenceData!$BE$227),"",ReferenceData!$BE$227),"")</f>
        <v/>
      </c>
      <c r="BF227" t="str">
        <f ca="1">IFERROR(IF(0=LEN(ReferenceData!$BF$227),"",ReferenceData!$BF$227),"")</f>
        <v/>
      </c>
      <c r="BG227" t="str">
        <f ca="1">IFERROR(IF(0=LEN(ReferenceData!$BG$227),"",ReferenceData!$BG$227),"")</f>
        <v/>
      </c>
      <c r="BH227" t="str">
        <f ca="1">IFERROR(IF(0=LEN(ReferenceData!$BH$227),"",ReferenceData!$BH$227),"")</f>
        <v/>
      </c>
      <c r="BI227" t="str">
        <f ca="1">IFERROR(IF(0=LEN(ReferenceData!$BI$227),"",ReferenceData!$BI$227),"")</f>
        <v/>
      </c>
      <c r="BJ227" t="str">
        <f ca="1">IFERROR(IF(0=LEN(ReferenceData!$BJ$227),"",ReferenceData!$BJ$227),"")</f>
        <v/>
      </c>
      <c r="BK227" t="str">
        <f ca="1">IFERROR(IF(0=LEN(ReferenceData!$BK$227),"",ReferenceData!$BK$227),"")</f>
        <v/>
      </c>
      <c r="BL227" t="str">
        <f ca="1">IFERROR(IF(0=LEN(ReferenceData!$BL$227),"",ReferenceData!$BL$227),"")</f>
        <v/>
      </c>
      <c r="BM227" t="str">
        <f ca="1">IFERROR(IF(0=LEN(ReferenceData!$BM$227),"",ReferenceData!$BM$227),"")</f>
        <v/>
      </c>
    </row>
    <row r="228" spans="1:65" x14ac:dyDescent="0.25">
      <c r="A228" t="str">
        <f>IFERROR(IF(0=LEN(ReferenceData!$A$228),"",ReferenceData!$A$228),"")</f>
        <v xml:space="preserve">    Guangzhou Automobile Group Co Ltd</v>
      </c>
      <c r="B228" t="str">
        <f>IFERROR(IF(0=LEN(ReferenceData!$B$228),"",ReferenceData!$B$228),"")</f>
        <v>2238 HK Equity</v>
      </c>
      <c r="C228" t="str">
        <f>IFERROR(IF(0=LEN(ReferenceData!$C$228),"",ReferenceData!$C$228),"")</f>
        <v>RR971</v>
      </c>
      <c r="D228" t="str">
        <f>IFERROR(IF(0=LEN(ReferenceData!$D$228),"",ReferenceData!$D$228),"")</f>
        <v>CURRENT_PX_TO_FREE_CASH_FLOW</v>
      </c>
      <c r="E228" t="str">
        <f>IFERROR(IF(0=LEN(ReferenceData!$E$228),"",ReferenceData!$E$228),"")</f>
        <v>Dynamic</v>
      </c>
      <c r="F228" t="str">
        <f ca="1">IFERROR(IF(0=LEN(ReferenceData!$F$228),"",ReferenceData!$F$228),"")</f>
        <v/>
      </c>
      <c r="G228" t="str">
        <f ca="1">IFERROR(IF(0=LEN(ReferenceData!$G$228),"",ReferenceData!$G$228),"")</f>
        <v/>
      </c>
      <c r="H228">
        <f ca="1">IFERROR(IF(0=LEN(ReferenceData!$H$228),"",ReferenceData!$H$228),"")</f>
        <v>22.524375160000002</v>
      </c>
      <c r="I228">
        <f ca="1">IFERROR(IF(0=LEN(ReferenceData!$I$228),"",ReferenceData!$I$228),"")</f>
        <v>19.951087829999999</v>
      </c>
      <c r="J228">
        <f ca="1">IFERROR(IF(0=LEN(ReferenceData!$J$228),"",ReferenceData!$J$228),"")</f>
        <v>12.8143177</v>
      </c>
      <c r="K228">
        <f ca="1">IFERROR(IF(0=LEN(ReferenceData!$K$228),"",ReferenceData!$K$228),"")</f>
        <v>8.9399953249999999</v>
      </c>
      <c r="L228">
        <f ca="1">IFERROR(IF(0=LEN(ReferenceData!$L$228),"",ReferenceData!$L$228),"")</f>
        <v>52.765423009999999</v>
      </c>
      <c r="M228">
        <f ca="1">IFERROR(IF(0=LEN(ReferenceData!$M$228),"",ReferenceData!$M$228),"")</f>
        <v>15.28489736</v>
      </c>
      <c r="N228">
        <f ca="1">IFERROR(IF(0=LEN(ReferenceData!$N$228),"",ReferenceData!$N$228),"")</f>
        <v>10.463721079999999</v>
      </c>
      <c r="O228">
        <f ca="1">IFERROR(IF(0=LEN(ReferenceData!$O$228),"",ReferenceData!$O$228),"")</f>
        <v>11.31607807</v>
      </c>
      <c r="P228">
        <f ca="1">IFERROR(IF(0=LEN(ReferenceData!$P$228),"",ReferenceData!$P$228),"")</f>
        <v>6.9950498909999999</v>
      </c>
      <c r="Q228">
        <f ca="1">IFERROR(IF(0=LEN(ReferenceData!$Q$228),"",ReferenceData!$Q$228),"")</f>
        <v>7.0629053839999996</v>
      </c>
      <c r="R228">
        <f ca="1">IFERROR(IF(0=LEN(ReferenceData!$R$228),"",ReferenceData!$R$228),"")</f>
        <v>7.57516999</v>
      </c>
      <c r="S228">
        <f ca="1">IFERROR(IF(0=LEN(ReferenceData!$S$228),"",ReferenceData!$S$228),"")</f>
        <v>8.3904824530000006</v>
      </c>
      <c r="T228">
        <f ca="1">IFERROR(IF(0=LEN(ReferenceData!$T$228),"",ReferenceData!$T$228),"")</f>
        <v>8.3905923839999996</v>
      </c>
      <c r="U228">
        <f ca="1">IFERROR(IF(0=LEN(ReferenceData!$U$228),"",ReferenceData!$U$228),"")</f>
        <v>20.334253360000002</v>
      </c>
      <c r="V228">
        <f ca="1">IFERROR(IF(0=LEN(ReferenceData!$V$228),"",ReferenceData!$V$228),"")</f>
        <v>42.978954139999999</v>
      </c>
      <c r="W228">
        <f ca="1">IFERROR(IF(0=LEN(ReferenceData!$W$228),"",ReferenceData!$W$228),"")</f>
        <v>29.561557189999998</v>
      </c>
      <c r="X228">
        <f ca="1">IFERROR(IF(0=LEN(ReferenceData!$X$228),"",ReferenceData!$X$228),"")</f>
        <v>256.19248399999998</v>
      </c>
      <c r="Y228">
        <f ca="1">IFERROR(IF(0=LEN(ReferenceData!$Y$228),"",ReferenceData!$Y$228),"")</f>
        <v>304.86204529999998</v>
      </c>
      <c r="Z228">
        <f ca="1">IFERROR(IF(0=LEN(ReferenceData!$Z$228),"",ReferenceData!$Z$228),"")</f>
        <v>40.652862169999999</v>
      </c>
      <c r="AA228">
        <f ca="1">IFERROR(IF(0=LEN(ReferenceData!$AA$228),"",ReferenceData!$AA$228),"")</f>
        <v>24.443285509999999</v>
      </c>
      <c r="AB228">
        <f ca="1">IFERROR(IF(0=LEN(ReferenceData!$AB$228),"",ReferenceData!$AB$228),"")</f>
        <v>17.229641780000001</v>
      </c>
      <c r="AC228">
        <f ca="1">IFERROR(IF(0=LEN(ReferenceData!$AC$228),"",ReferenceData!$AC$228),"")</f>
        <v>17.738983229999999</v>
      </c>
      <c r="AD228">
        <f ca="1">IFERROR(IF(0=LEN(ReferenceData!$AD$228),"",ReferenceData!$AD$228),"")</f>
        <v>22.447344730000001</v>
      </c>
      <c r="AE228">
        <f ca="1">IFERROR(IF(0=LEN(ReferenceData!$AE$228),"",ReferenceData!$AE$228),"")</f>
        <v>30.422626650000002</v>
      </c>
      <c r="AF228">
        <f ca="1">IFERROR(IF(0=LEN(ReferenceData!$AF$228),"",ReferenceData!$AF$228),"")</f>
        <v>9.6436907680000008</v>
      </c>
      <c r="AG228">
        <f ca="1">IFERROR(IF(0=LEN(ReferenceData!$AG$228),"",ReferenceData!$AG$228),"")</f>
        <v>15.42086018</v>
      </c>
      <c r="AH228">
        <f ca="1">IFERROR(IF(0=LEN(ReferenceData!$AH$228),"",ReferenceData!$AH$228),"")</f>
        <v>15.965085849999999</v>
      </c>
      <c r="AI228">
        <f ca="1">IFERROR(IF(0=LEN(ReferenceData!$AI$228),"",ReferenceData!$AI$228),"")</f>
        <v>10.331357260000001</v>
      </c>
      <c r="AJ228">
        <f ca="1">IFERROR(IF(0=LEN(ReferenceData!$AJ$228),"",ReferenceData!$AJ$228),"")</f>
        <v>40.511086370000001</v>
      </c>
      <c r="AK228">
        <f ca="1">IFERROR(IF(0=LEN(ReferenceData!$AK$228),"",ReferenceData!$AK$228),"")</f>
        <v>10.674419500000001</v>
      </c>
      <c r="AL228">
        <f ca="1">IFERROR(IF(0=LEN(ReferenceData!$AL$228),"",ReferenceData!$AL$228),"")</f>
        <v>13.69289405</v>
      </c>
      <c r="AM228">
        <f ca="1">IFERROR(IF(0=LEN(ReferenceData!$AM$228),"",ReferenceData!$AM$228),"")</f>
        <v>21.025600489999999</v>
      </c>
      <c r="AN228">
        <f ca="1">IFERROR(IF(0=LEN(ReferenceData!$AN$228),"",ReferenceData!$AN$228),"")</f>
        <v>9.559531604</v>
      </c>
      <c r="AO228" t="str">
        <f ca="1">IFERROR(IF(0=LEN(ReferenceData!$AO$228),"",ReferenceData!$AO$228),"")</f>
        <v/>
      </c>
      <c r="AP228" t="str">
        <f ca="1">IFERROR(IF(0=LEN(ReferenceData!$AP$228),"",ReferenceData!$AP$228),"")</f>
        <v/>
      </c>
      <c r="AQ228" t="str">
        <f ca="1">IFERROR(IF(0=LEN(ReferenceData!$AQ$228),"",ReferenceData!$AQ$228),"")</f>
        <v/>
      </c>
      <c r="AR228" t="str">
        <f ca="1">IFERROR(IF(0=LEN(ReferenceData!$AR$228),"",ReferenceData!$AR$228),"")</f>
        <v/>
      </c>
      <c r="AS228" t="str">
        <f ca="1">IFERROR(IF(0=LEN(ReferenceData!$AS$228),"",ReferenceData!$AS$228),"")</f>
        <v/>
      </c>
      <c r="AT228" t="str">
        <f ca="1">IFERROR(IF(0=LEN(ReferenceData!$AT$228),"",ReferenceData!$AT$228),"")</f>
        <v/>
      </c>
      <c r="AU228" t="str">
        <f ca="1">IFERROR(IF(0=LEN(ReferenceData!$AU$228),"",ReferenceData!$AU$228),"")</f>
        <v/>
      </c>
      <c r="AV228" t="str">
        <f ca="1">IFERROR(IF(0=LEN(ReferenceData!$AV$228),"",ReferenceData!$AV$228),"")</f>
        <v/>
      </c>
      <c r="AW228" t="str">
        <f ca="1">IFERROR(IF(0=LEN(ReferenceData!$AW$228),"",ReferenceData!$AW$228),"")</f>
        <v/>
      </c>
      <c r="AX228" t="str">
        <f ca="1">IFERROR(IF(0=LEN(ReferenceData!$AX$228),"",ReferenceData!$AX$228),"")</f>
        <v/>
      </c>
      <c r="AY228" t="str">
        <f ca="1">IFERROR(IF(0=LEN(ReferenceData!$AY$228),"",ReferenceData!$AY$228),"")</f>
        <v/>
      </c>
      <c r="AZ228" t="str">
        <f ca="1">IFERROR(IF(0=LEN(ReferenceData!$AZ$228),"",ReferenceData!$AZ$228),"")</f>
        <v/>
      </c>
      <c r="BA228" t="str">
        <f ca="1">IFERROR(IF(0=LEN(ReferenceData!$BA$228),"",ReferenceData!$BA$228),"")</f>
        <v/>
      </c>
      <c r="BB228" t="str">
        <f ca="1">IFERROR(IF(0=LEN(ReferenceData!$BB$228),"",ReferenceData!$BB$228),"")</f>
        <v/>
      </c>
      <c r="BC228" t="str">
        <f ca="1">IFERROR(IF(0=LEN(ReferenceData!$BC$228),"",ReferenceData!$BC$228),"")</f>
        <v/>
      </c>
      <c r="BD228" t="str">
        <f ca="1">IFERROR(IF(0=LEN(ReferenceData!$BD$228),"",ReferenceData!$BD$228),"")</f>
        <v/>
      </c>
      <c r="BE228" t="str">
        <f ca="1">IFERROR(IF(0=LEN(ReferenceData!$BE$228),"",ReferenceData!$BE$228),"")</f>
        <v/>
      </c>
      <c r="BF228" t="str">
        <f ca="1">IFERROR(IF(0=LEN(ReferenceData!$BF$228),"",ReferenceData!$BF$228),"")</f>
        <v/>
      </c>
      <c r="BG228" t="str">
        <f ca="1">IFERROR(IF(0=LEN(ReferenceData!$BG$228),"",ReferenceData!$BG$228),"")</f>
        <v/>
      </c>
      <c r="BH228" t="str">
        <f ca="1">IFERROR(IF(0=LEN(ReferenceData!$BH$228),"",ReferenceData!$BH$228),"")</f>
        <v/>
      </c>
      <c r="BI228" t="str">
        <f ca="1">IFERROR(IF(0=LEN(ReferenceData!$BI$228),"",ReferenceData!$BI$228),"")</f>
        <v/>
      </c>
      <c r="BJ228" t="str">
        <f ca="1">IFERROR(IF(0=LEN(ReferenceData!$BJ$228),"",ReferenceData!$BJ$228),"")</f>
        <v/>
      </c>
      <c r="BK228" t="str">
        <f ca="1">IFERROR(IF(0=LEN(ReferenceData!$BK$228),"",ReferenceData!$BK$228),"")</f>
        <v/>
      </c>
      <c r="BL228" t="str">
        <f ca="1">IFERROR(IF(0=LEN(ReferenceData!$BL$228),"",ReferenceData!$BL$228),"")</f>
        <v/>
      </c>
      <c r="BM228" t="str">
        <f ca="1">IFERROR(IF(0=LEN(ReferenceData!$BM$228),"",ReferenceData!$BM$228),"")</f>
        <v/>
      </c>
    </row>
    <row r="229" spans="1:65" x14ac:dyDescent="0.25">
      <c r="A229" t="str">
        <f>IFERROR(IF(0=LEN(ReferenceData!$A$229),"",ReferenceData!$A$229),"")</f>
        <v xml:space="preserve">    Honda Motor Co Ltd</v>
      </c>
      <c r="B229" t="str">
        <f>IFERROR(IF(0=LEN(ReferenceData!$B$229),"",ReferenceData!$B$229),"")</f>
        <v>7267 JP Equity</v>
      </c>
      <c r="C229" t="str">
        <f>IFERROR(IF(0=LEN(ReferenceData!$C$229),"",ReferenceData!$C$229),"")</f>
        <v>RR971</v>
      </c>
      <c r="D229" t="str">
        <f>IFERROR(IF(0=LEN(ReferenceData!$D$229),"",ReferenceData!$D$229),"")</f>
        <v>CURRENT_PX_TO_FREE_CASH_FLOW</v>
      </c>
      <c r="E229" t="str">
        <f>IFERROR(IF(0=LEN(ReferenceData!$E$229),"",ReferenceData!$E$229),"")</f>
        <v>Dynamic</v>
      </c>
      <c r="F229">
        <f ca="1">IFERROR(IF(0=LEN(ReferenceData!$F$229),"",ReferenceData!$F$229),"")</f>
        <v>12.322054059999999</v>
      </c>
      <c r="G229">
        <f ca="1">IFERROR(IF(0=LEN(ReferenceData!$G$229),"",ReferenceData!$G$229),"")</f>
        <v>11.413179360000001</v>
      </c>
      <c r="H229">
        <f ca="1">IFERROR(IF(0=LEN(ReferenceData!$H$229),"",ReferenceData!$H$229),"")</f>
        <v>12.479339700000001</v>
      </c>
      <c r="I229">
        <f ca="1">IFERROR(IF(0=LEN(ReferenceData!$I$229),"",ReferenceData!$I$229),"")</f>
        <v>9.8618607110000003</v>
      </c>
      <c r="J229">
        <f ca="1">IFERROR(IF(0=LEN(ReferenceData!$J$229),"",ReferenceData!$J$229),"")</f>
        <v>11.45643297</v>
      </c>
      <c r="K229">
        <f ca="1">IFERROR(IF(0=LEN(ReferenceData!$K$229),"",ReferenceData!$K$229),"")</f>
        <v>11.2037494</v>
      </c>
      <c r="L229">
        <f ca="1">IFERROR(IF(0=LEN(ReferenceData!$L$229),"",ReferenceData!$L$229),"")</f>
        <v>12.66611773</v>
      </c>
      <c r="M229">
        <f ca="1">IFERROR(IF(0=LEN(ReferenceData!$M$229),"",ReferenceData!$M$229),"")</f>
        <v>13.673049170000001</v>
      </c>
      <c r="N229">
        <f ca="1">IFERROR(IF(0=LEN(ReferenceData!$N$229),"",ReferenceData!$N$229),"")</f>
        <v>15.44848172</v>
      </c>
      <c r="O229">
        <f ca="1">IFERROR(IF(0=LEN(ReferenceData!$O$229),"",ReferenceData!$O$229),"")</f>
        <v>17.255801689999998</v>
      </c>
      <c r="P229">
        <f ca="1">IFERROR(IF(0=LEN(ReferenceData!$P$229),"",ReferenceData!$P$229),"")</f>
        <v>9.6899856700000004</v>
      </c>
      <c r="Q229">
        <f ca="1">IFERROR(IF(0=LEN(ReferenceData!$Q$229),"",ReferenceData!$Q$229),"")</f>
        <v>8.1896696139999996</v>
      </c>
      <c r="R229">
        <f ca="1">IFERROR(IF(0=LEN(ReferenceData!$R$229),"",ReferenceData!$R$229),"")</f>
        <v>7.3587085529999996</v>
      </c>
      <c r="S229">
        <f ca="1">IFERROR(IF(0=LEN(ReferenceData!$S$229),"",ReferenceData!$S$229),"")</f>
        <v>9.5044098859999995</v>
      </c>
      <c r="T229">
        <f ca="1">IFERROR(IF(0=LEN(ReferenceData!$T$229),"",ReferenceData!$T$229),"")</f>
        <v>8.7849955529999999</v>
      </c>
      <c r="U229">
        <f ca="1">IFERROR(IF(0=LEN(ReferenceData!$U$229),"",ReferenceData!$U$229),"")</f>
        <v>11.10883961</v>
      </c>
      <c r="V229">
        <f ca="1">IFERROR(IF(0=LEN(ReferenceData!$V$229),"",ReferenceData!$V$229),"")</f>
        <v>18.834354680000001</v>
      </c>
      <c r="W229">
        <f ca="1">IFERROR(IF(0=LEN(ReferenceData!$W$229),"",ReferenceData!$W$229),"")</f>
        <v>30.3899613</v>
      </c>
      <c r="X229">
        <f ca="1">IFERROR(IF(0=LEN(ReferenceData!$X$229),"",ReferenceData!$X$229),"")</f>
        <v>38.532168509999998</v>
      </c>
      <c r="Y229">
        <f ca="1">IFERROR(IF(0=LEN(ReferenceData!$Y$229),"",ReferenceData!$Y$229),"")</f>
        <v>18.310625909999999</v>
      </c>
      <c r="Z229">
        <f ca="1">IFERROR(IF(0=LEN(ReferenceData!$Z$229),"",ReferenceData!$Z$229),"")</f>
        <v>13.58380242</v>
      </c>
      <c r="AA229">
        <f ca="1">IFERROR(IF(0=LEN(ReferenceData!$AA$229),"",ReferenceData!$AA$229),"")</f>
        <v>16.23791503</v>
      </c>
      <c r="AB229">
        <f ca="1">IFERROR(IF(0=LEN(ReferenceData!$AB$229),"",ReferenceData!$AB$229),"")</f>
        <v>13.769526519999999</v>
      </c>
      <c r="AC229">
        <f ca="1">IFERROR(IF(0=LEN(ReferenceData!$AC$229),"",ReferenceData!$AC$229),"")</f>
        <v>29.295243880000001</v>
      </c>
      <c r="AD229">
        <f ca="1">IFERROR(IF(0=LEN(ReferenceData!$AD$229),"",ReferenceData!$AD$229),"")</f>
        <v>36.851412850000003</v>
      </c>
      <c r="AE229">
        <f ca="1">IFERROR(IF(0=LEN(ReferenceData!$AE$229),"",ReferenceData!$AE$229),"")</f>
        <v>39.233851010000002</v>
      </c>
      <c r="AF229">
        <f ca="1">IFERROR(IF(0=LEN(ReferenceData!$AF$229),"",ReferenceData!$AF$229),"")</f>
        <v>195.08278079999999</v>
      </c>
      <c r="AG229">
        <f ca="1">IFERROR(IF(0=LEN(ReferenceData!$AG$229),"",ReferenceData!$AG$229),"")</f>
        <v>19.60510665</v>
      </c>
      <c r="AH229">
        <f ca="1">IFERROR(IF(0=LEN(ReferenceData!$AH$229),"",ReferenceData!$AH$229),"")</f>
        <v>16.66094455</v>
      </c>
      <c r="AI229">
        <f ca="1">IFERROR(IF(0=LEN(ReferenceData!$AI$229),"",ReferenceData!$AI$229),"")</f>
        <v>9.2346850319999998</v>
      </c>
      <c r="AJ229">
        <f ca="1">IFERROR(IF(0=LEN(ReferenceData!$AJ$229),"",ReferenceData!$AJ$229),"")</f>
        <v>7.5211482140000001</v>
      </c>
      <c r="AK229">
        <f ca="1">IFERROR(IF(0=LEN(ReferenceData!$AK$229),"",ReferenceData!$AK$229),"")</f>
        <v>9.3441850019999997</v>
      </c>
      <c r="AL229">
        <f ca="1">IFERROR(IF(0=LEN(ReferenceData!$AL$229),"",ReferenceData!$AL$229),"")</f>
        <v>7.5107412949999999</v>
      </c>
      <c r="AM229">
        <f ca="1">IFERROR(IF(0=LEN(ReferenceData!$AM$229),"",ReferenceData!$AM$229),"")</f>
        <v>7.2374237709999996</v>
      </c>
      <c r="AN229">
        <f ca="1">IFERROR(IF(0=LEN(ReferenceData!$AN$229),"",ReferenceData!$AN$229),"")</f>
        <v>5.7799016390000002</v>
      </c>
      <c r="AO229">
        <f ca="1">IFERROR(IF(0=LEN(ReferenceData!$AO$229),"",ReferenceData!$AO$229),"")</f>
        <v>4.0638756899999997</v>
      </c>
      <c r="AP229">
        <f ca="1">IFERROR(IF(0=LEN(ReferenceData!$AP$229),"",ReferenceData!$AP$229),"")</f>
        <v>5.1986678309999999</v>
      </c>
      <c r="AQ229">
        <f ca="1">IFERROR(IF(0=LEN(ReferenceData!$AQ$229),"",ReferenceData!$AQ$229),"")</f>
        <v>7.6410923139999998</v>
      </c>
      <c r="AR229">
        <f ca="1">IFERROR(IF(0=LEN(ReferenceData!$AR$229),"",ReferenceData!$AR$229),"")</f>
        <v>14.49584802</v>
      </c>
      <c r="AS229" t="str">
        <f ca="1">IFERROR(IF(0=LEN(ReferenceData!$AS$229),"",ReferenceData!$AS$229),"")</f>
        <v/>
      </c>
      <c r="AT229" t="str">
        <f ca="1">IFERROR(IF(0=LEN(ReferenceData!$AT$229),"",ReferenceData!$AT$229),"")</f>
        <v/>
      </c>
      <c r="AU229">
        <f ca="1">IFERROR(IF(0=LEN(ReferenceData!$AU$229),"",ReferenceData!$AU$229),"")</f>
        <v>98.117104670000003</v>
      </c>
      <c r="AV229">
        <f ca="1">IFERROR(IF(0=LEN(ReferenceData!$AV$229),"",ReferenceData!$AV$229),"")</f>
        <v>161.01001239999999</v>
      </c>
      <c r="AW229" t="str">
        <f ca="1">IFERROR(IF(0=LEN(ReferenceData!$AW$229),"",ReferenceData!$AW$229),"")</f>
        <v/>
      </c>
      <c r="AX229" t="str">
        <f ca="1">IFERROR(IF(0=LEN(ReferenceData!$AX$229),"",ReferenceData!$AX$229),"")</f>
        <v/>
      </c>
      <c r="AY229" t="str">
        <f ca="1">IFERROR(IF(0=LEN(ReferenceData!$AY$229),"",ReferenceData!$AY$229),"")</f>
        <v/>
      </c>
      <c r="AZ229" t="str">
        <f ca="1">IFERROR(IF(0=LEN(ReferenceData!$AZ$229),"",ReferenceData!$AZ$229),"")</f>
        <v/>
      </c>
      <c r="BA229" t="str">
        <f ca="1">IFERROR(IF(0=LEN(ReferenceData!$BA$229),"",ReferenceData!$BA$229),"")</f>
        <v/>
      </c>
      <c r="BB229">
        <f ca="1">IFERROR(IF(0=LEN(ReferenceData!$BB$229),"",ReferenceData!$BB$229),"")</f>
        <v>84.801685370000001</v>
      </c>
      <c r="BC229">
        <f ca="1">IFERROR(IF(0=LEN(ReferenceData!$BC$229),"",ReferenceData!$BC$229),"")</f>
        <v>97.928236179999999</v>
      </c>
      <c r="BD229">
        <f ca="1">IFERROR(IF(0=LEN(ReferenceData!$BD$229),"",ReferenceData!$BD$229),"")</f>
        <v>43.419640379999997</v>
      </c>
      <c r="BE229">
        <f ca="1">IFERROR(IF(0=LEN(ReferenceData!$BE$229),"",ReferenceData!$BE$229),"")</f>
        <v>46.479405470000003</v>
      </c>
      <c r="BF229">
        <f ca="1">IFERROR(IF(0=LEN(ReferenceData!$BF$229),"",ReferenceData!$BF$229),"")</f>
        <v>55.536931170000003</v>
      </c>
      <c r="BG229">
        <f ca="1">IFERROR(IF(0=LEN(ReferenceData!$BG$229),"",ReferenceData!$BG$229),"")</f>
        <v>39.522160049999997</v>
      </c>
      <c r="BH229">
        <f ca="1">IFERROR(IF(0=LEN(ReferenceData!$BH$229),"",ReferenceData!$BH$229),"")</f>
        <v>17.644154459999999</v>
      </c>
      <c r="BI229">
        <f ca="1">IFERROR(IF(0=LEN(ReferenceData!$BI$229),"",ReferenceData!$BI$229),"")</f>
        <v>14.58482873</v>
      </c>
      <c r="BJ229">
        <f ca="1">IFERROR(IF(0=LEN(ReferenceData!$BJ$229),"",ReferenceData!$BJ$229),"")</f>
        <v>13.43418102</v>
      </c>
      <c r="BK229" t="str">
        <f ca="1">IFERROR(IF(0=LEN(ReferenceData!$BK$229),"",ReferenceData!$BK$229),"")</f>
        <v/>
      </c>
      <c r="BL229" t="str">
        <f ca="1">IFERROR(IF(0=LEN(ReferenceData!$BL$229),"",ReferenceData!$BL$229),"")</f>
        <v/>
      </c>
      <c r="BM229" t="str">
        <f ca="1">IFERROR(IF(0=LEN(ReferenceData!$BM$229),"",ReferenceData!$BM$229),"")</f>
        <v/>
      </c>
    </row>
    <row r="230" spans="1:65" x14ac:dyDescent="0.25">
      <c r="A230" t="str">
        <f>IFERROR(IF(0=LEN(ReferenceData!$A$230),"",ReferenceData!$A$230),"")</f>
        <v xml:space="preserve">    Hyundai Motor Co</v>
      </c>
      <c r="B230" t="str">
        <f>IFERROR(IF(0=LEN(ReferenceData!$B$230),"",ReferenceData!$B$230),"")</f>
        <v>005380 KS Equity</v>
      </c>
      <c r="C230" t="str">
        <f>IFERROR(IF(0=LEN(ReferenceData!$C$230),"",ReferenceData!$C$230),"")</f>
        <v>RR971</v>
      </c>
      <c r="D230" t="str">
        <f>IFERROR(IF(0=LEN(ReferenceData!$D$230),"",ReferenceData!$D$230),"")</f>
        <v>CURRENT_PX_TO_FREE_CASH_FLOW</v>
      </c>
      <c r="E230" t="str">
        <f>IFERROR(IF(0=LEN(ReferenceData!$E$230),"",ReferenceData!$E$230),"")</f>
        <v>Dynamic</v>
      </c>
      <c r="F230" t="str">
        <f ca="1">IFERROR(IF(0=LEN(ReferenceData!$F$230),"",ReferenceData!$F$230),"")</f>
        <v/>
      </c>
      <c r="G230">
        <f ca="1">IFERROR(IF(0=LEN(ReferenceData!$G$230),"",ReferenceData!$G$230),"")</f>
        <v>12.19505273</v>
      </c>
      <c r="H230">
        <f ca="1">IFERROR(IF(0=LEN(ReferenceData!$H$230),"",ReferenceData!$H$230),"")</f>
        <v>13.32708294</v>
      </c>
      <c r="I230">
        <f ca="1">IFERROR(IF(0=LEN(ReferenceData!$I$230),"",ReferenceData!$I$230),"")</f>
        <v>17.01782858</v>
      </c>
      <c r="J230">
        <f ca="1">IFERROR(IF(0=LEN(ReferenceData!$J$230),"",ReferenceData!$J$230),"")</f>
        <v>31.645162129999999</v>
      </c>
      <c r="K230">
        <f ca="1">IFERROR(IF(0=LEN(ReferenceData!$K$230),"",ReferenceData!$K$230),"")</f>
        <v>37.238290309999996</v>
      </c>
      <c r="L230" t="str">
        <f ca="1">IFERROR(IF(0=LEN(ReferenceData!$L$230),"",ReferenceData!$L$230),"")</f>
        <v/>
      </c>
      <c r="M230">
        <f ca="1">IFERROR(IF(0=LEN(ReferenceData!$M$230),"",ReferenceData!$M$230),"")</f>
        <v>558.41615090000005</v>
      </c>
      <c r="N230">
        <f ca="1">IFERROR(IF(0=LEN(ReferenceData!$N$230),"",ReferenceData!$N$230),"")</f>
        <v>546.27666929999998</v>
      </c>
      <c r="O230" t="str">
        <f ca="1">IFERROR(IF(0=LEN(ReferenceData!$O$230),"",ReferenceData!$O$230),"")</f>
        <v/>
      </c>
      <c r="P230" t="str">
        <f ca="1">IFERROR(IF(0=LEN(ReferenceData!$P$230),"",ReferenceData!$P$230),"")</f>
        <v/>
      </c>
      <c r="Q230" t="str">
        <f ca="1">IFERROR(IF(0=LEN(ReferenceData!$Q$230),"",ReferenceData!$Q$230),"")</f>
        <v/>
      </c>
      <c r="R230" t="str">
        <f ca="1">IFERROR(IF(0=LEN(ReferenceData!$R$230),"",ReferenceData!$R$230),"")</f>
        <v/>
      </c>
      <c r="S230" t="str">
        <f ca="1">IFERROR(IF(0=LEN(ReferenceData!$S$230),"",ReferenceData!$S$230),"")</f>
        <v/>
      </c>
      <c r="T230" t="str">
        <f ca="1">IFERROR(IF(0=LEN(ReferenceData!$T$230),"",ReferenceData!$T$230),"")</f>
        <v/>
      </c>
      <c r="U230" t="str">
        <f ca="1">IFERROR(IF(0=LEN(ReferenceData!$U$230),"",ReferenceData!$U$230),"")</f>
        <v/>
      </c>
      <c r="V230" t="str">
        <f ca="1">IFERROR(IF(0=LEN(ReferenceData!$V$230),"",ReferenceData!$V$230),"")</f>
        <v/>
      </c>
      <c r="W230" t="str">
        <f ca="1">IFERROR(IF(0=LEN(ReferenceData!$W$230),"",ReferenceData!$W$230),"")</f>
        <v/>
      </c>
      <c r="X230" t="str">
        <f ca="1">IFERROR(IF(0=LEN(ReferenceData!$X$230),"",ReferenceData!$X$230),"")</f>
        <v/>
      </c>
      <c r="Y230" t="str">
        <f ca="1">IFERROR(IF(0=LEN(ReferenceData!$Y$230),"",ReferenceData!$Y$230),"")</f>
        <v/>
      </c>
      <c r="Z230" t="str">
        <f ca="1">IFERROR(IF(0=LEN(ReferenceData!$Z$230),"",ReferenceData!$Z$230),"")</f>
        <v/>
      </c>
      <c r="AA230">
        <f ca="1">IFERROR(IF(0=LEN(ReferenceData!$AA$230),"",ReferenceData!$AA$230),"")</f>
        <v>31.660260430000001</v>
      </c>
      <c r="AB230">
        <f ca="1">IFERROR(IF(0=LEN(ReferenceData!$AB$230),"",ReferenceData!$AB$230),"")</f>
        <v>34.626254330000002</v>
      </c>
      <c r="AC230">
        <f ca="1">IFERROR(IF(0=LEN(ReferenceData!$AC$230),"",ReferenceData!$AC$230),"")</f>
        <v>12.301906020000001</v>
      </c>
      <c r="AD230">
        <f ca="1">IFERROR(IF(0=LEN(ReferenceData!$AD$230),"",ReferenceData!$AD$230),"")</f>
        <v>20.992099270000001</v>
      </c>
      <c r="AE230">
        <f ca="1">IFERROR(IF(0=LEN(ReferenceData!$AE$230),"",ReferenceData!$AE$230),"")</f>
        <v>19.543728170000001</v>
      </c>
      <c r="AF230">
        <f ca="1">IFERROR(IF(0=LEN(ReferenceData!$AF$230),"",ReferenceData!$AF$230),"")</f>
        <v>18.135132469999999</v>
      </c>
      <c r="AG230">
        <f ca="1">IFERROR(IF(0=LEN(ReferenceData!$AG$230),"",ReferenceData!$AG$230),"")</f>
        <v>35.435532270000003</v>
      </c>
      <c r="AH230">
        <f ca="1">IFERROR(IF(0=LEN(ReferenceData!$AH$230),"",ReferenceData!$AH$230),"")</f>
        <v>28.74920959</v>
      </c>
      <c r="AI230">
        <f ca="1">IFERROR(IF(0=LEN(ReferenceData!$AI$230),"",ReferenceData!$AI$230),"")</f>
        <v>36.176200600000001</v>
      </c>
      <c r="AJ230">
        <f ca="1">IFERROR(IF(0=LEN(ReferenceData!$AJ$230),"",ReferenceData!$AJ$230),"")</f>
        <v>35.307371619999998</v>
      </c>
      <c r="AK230">
        <f ca="1">IFERROR(IF(0=LEN(ReferenceData!$AK$230),"",ReferenceData!$AK$230),"")</f>
        <v>34.786112260000003</v>
      </c>
      <c r="AL230">
        <f ca="1">IFERROR(IF(0=LEN(ReferenceData!$AL$230),"",ReferenceData!$AL$230),"")</f>
        <v>20.961861379999998</v>
      </c>
      <c r="AM230">
        <f ca="1">IFERROR(IF(0=LEN(ReferenceData!$AM$230),"",ReferenceData!$AM$230),"")</f>
        <v>15.574472</v>
      </c>
      <c r="AN230" t="str">
        <f ca="1">IFERROR(IF(0=LEN(ReferenceData!$AN$230),"",ReferenceData!$AN$230),"")</f>
        <v/>
      </c>
      <c r="AO230" t="str">
        <f ca="1">IFERROR(IF(0=LEN(ReferenceData!$AO$230),"",ReferenceData!$AO$230),"")</f>
        <v/>
      </c>
      <c r="AP230" t="str">
        <f ca="1">IFERROR(IF(0=LEN(ReferenceData!$AP$230),"",ReferenceData!$AP$230),"")</f>
        <v/>
      </c>
      <c r="AQ230" t="str">
        <f ca="1">IFERROR(IF(0=LEN(ReferenceData!$AQ$230),"",ReferenceData!$AQ$230),"")</f>
        <v/>
      </c>
      <c r="AR230" t="str">
        <f ca="1">IFERROR(IF(0=LEN(ReferenceData!$AR$230),"",ReferenceData!$AR$230),"")</f>
        <v/>
      </c>
      <c r="AS230" t="str">
        <f ca="1">IFERROR(IF(0=LEN(ReferenceData!$AS$230),"",ReferenceData!$AS$230),"")</f>
        <v/>
      </c>
      <c r="AT230" t="str">
        <f ca="1">IFERROR(IF(0=LEN(ReferenceData!$AT$230),"",ReferenceData!$AT$230),"")</f>
        <v/>
      </c>
      <c r="AU230" t="str">
        <f ca="1">IFERROR(IF(0=LEN(ReferenceData!$AU$230),"",ReferenceData!$AU$230),"")</f>
        <v/>
      </c>
      <c r="AV230" t="str">
        <f ca="1">IFERROR(IF(0=LEN(ReferenceData!$AV$230),"",ReferenceData!$AV$230),"")</f>
        <v/>
      </c>
      <c r="AW230" t="str">
        <f ca="1">IFERROR(IF(0=LEN(ReferenceData!$AW$230),"",ReferenceData!$AW$230),"")</f>
        <v/>
      </c>
      <c r="AX230" t="str">
        <f ca="1">IFERROR(IF(0=LEN(ReferenceData!$AX$230),"",ReferenceData!$AX$230),"")</f>
        <v/>
      </c>
      <c r="AY230" t="str">
        <f ca="1">IFERROR(IF(0=LEN(ReferenceData!$AY$230),"",ReferenceData!$AY$230),"")</f>
        <v/>
      </c>
      <c r="AZ230" t="str">
        <f ca="1">IFERROR(IF(0=LEN(ReferenceData!$AZ$230),"",ReferenceData!$AZ$230),"")</f>
        <v/>
      </c>
      <c r="BA230" t="str">
        <f ca="1">IFERROR(IF(0=LEN(ReferenceData!$BA$230),"",ReferenceData!$BA$230),"")</f>
        <v/>
      </c>
      <c r="BB230" t="str">
        <f ca="1">IFERROR(IF(0=LEN(ReferenceData!$BB$230),"",ReferenceData!$BB$230),"")</f>
        <v/>
      </c>
      <c r="BC230" t="str">
        <f ca="1">IFERROR(IF(0=LEN(ReferenceData!$BC$230),"",ReferenceData!$BC$230),"")</f>
        <v/>
      </c>
      <c r="BD230" t="str">
        <f ca="1">IFERROR(IF(0=LEN(ReferenceData!$BD$230),"",ReferenceData!$BD$230),"")</f>
        <v/>
      </c>
      <c r="BE230" t="str">
        <f ca="1">IFERROR(IF(0=LEN(ReferenceData!$BE$230),"",ReferenceData!$BE$230),"")</f>
        <v/>
      </c>
      <c r="BF230" t="str">
        <f ca="1">IFERROR(IF(0=LEN(ReferenceData!$BF$230),"",ReferenceData!$BF$230),"")</f>
        <v/>
      </c>
      <c r="BG230" t="str">
        <f ca="1">IFERROR(IF(0=LEN(ReferenceData!$BG$230),"",ReferenceData!$BG$230),"")</f>
        <v/>
      </c>
      <c r="BH230" t="str">
        <f ca="1">IFERROR(IF(0=LEN(ReferenceData!$BH$230),"",ReferenceData!$BH$230),"")</f>
        <v/>
      </c>
      <c r="BI230" t="str">
        <f ca="1">IFERROR(IF(0=LEN(ReferenceData!$BI$230),"",ReferenceData!$BI$230),"")</f>
        <v/>
      </c>
      <c r="BJ230" t="str">
        <f ca="1">IFERROR(IF(0=LEN(ReferenceData!$BJ$230),"",ReferenceData!$BJ$230),"")</f>
        <v/>
      </c>
      <c r="BK230" t="str">
        <f ca="1">IFERROR(IF(0=LEN(ReferenceData!$BK$230),"",ReferenceData!$BK$230),"")</f>
        <v/>
      </c>
      <c r="BL230" t="str">
        <f ca="1">IFERROR(IF(0=LEN(ReferenceData!$BL$230),"",ReferenceData!$BL$230),"")</f>
        <v/>
      </c>
      <c r="BM230" t="str">
        <f ca="1">IFERROR(IF(0=LEN(ReferenceData!$BM$230),"",ReferenceData!$BM$230),"")</f>
        <v/>
      </c>
    </row>
    <row r="231" spans="1:65" x14ac:dyDescent="0.25">
      <c r="A231" t="str">
        <f>IFERROR(IF(0=LEN(ReferenceData!$A$231),"",ReferenceData!$A$231),"")</f>
        <v xml:space="preserve">    Kia Motors Corp</v>
      </c>
      <c r="B231" t="str">
        <f>IFERROR(IF(0=LEN(ReferenceData!$B$231),"",ReferenceData!$B$231),"")</f>
        <v>000270 KS Equity</v>
      </c>
      <c r="C231" t="str">
        <f>IFERROR(IF(0=LEN(ReferenceData!$C$231),"",ReferenceData!$C$231),"")</f>
        <v>RR971</v>
      </c>
      <c r="D231" t="str">
        <f>IFERROR(IF(0=LEN(ReferenceData!$D$231),"",ReferenceData!$D$231),"")</f>
        <v>CURRENT_PX_TO_FREE_CASH_FLOW</v>
      </c>
      <c r="E231" t="str">
        <f>IFERROR(IF(0=LEN(ReferenceData!$E$231),"",ReferenceData!$E$231),"")</f>
        <v>Dynamic</v>
      </c>
      <c r="F231" t="str">
        <f ca="1">IFERROR(IF(0=LEN(ReferenceData!$F$231),"",ReferenceData!$F$231),"")</f>
        <v/>
      </c>
      <c r="G231">
        <f ca="1">IFERROR(IF(0=LEN(ReferenceData!$G$231),"",ReferenceData!$G$231),"")</f>
        <v>5.7167909510000001</v>
      </c>
      <c r="H231">
        <f ca="1">IFERROR(IF(0=LEN(ReferenceData!$H$231),"",ReferenceData!$H$231),"")</f>
        <v>6.0713876669999998</v>
      </c>
      <c r="I231">
        <f ca="1">IFERROR(IF(0=LEN(ReferenceData!$I$231),"",ReferenceData!$I$231),"")</f>
        <v>4.4960587160000003</v>
      </c>
      <c r="J231">
        <f ca="1">IFERROR(IF(0=LEN(ReferenceData!$J$231),"",ReferenceData!$J$231),"")</f>
        <v>7.0751474950000004</v>
      </c>
      <c r="K231">
        <f ca="1">IFERROR(IF(0=LEN(ReferenceData!$K$231),"",ReferenceData!$K$231),"")</f>
        <v>14.84587565</v>
      </c>
      <c r="L231">
        <f ca="1">IFERROR(IF(0=LEN(ReferenceData!$L$231),"",ReferenceData!$L$231),"")</f>
        <v>15.16086443</v>
      </c>
      <c r="M231">
        <f ca="1">IFERROR(IF(0=LEN(ReferenceData!$M$231),"",ReferenceData!$M$231),"")</f>
        <v>34.277944959999999</v>
      </c>
      <c r="N231">
        <f ca="1">IFERROR(IF(0=LEN(ReferenceData!$N$231),"",ReferenceData!$N$231),"")</f>
        <v>6.1277458329999996</v>
      </c>
      <c r="O231">
        <f ca="1">IFERROR(IF(0=LEN(ReferenceData!$O$231),"",ReferenceData!$O$231),"")</f>
        <v>9.1322573479999996</v>
      </c>
      <c r="P231">
        <f ca="1">IFERROR(IF(0=LEN(ReferenceData!$P$231),"",ReferenceData!$P$231),"")</f>
        <v>8.7332507330000002</v>
      </c>
      <c r="Q231">
        <f ca="1">IFERROR(IF(0=LEN(ReferenceData!$Q$231),"",ReferenceData!$Q$231),"")</f>
        <v>10.47857737</v>
      </c>
      <c r="R231" t="str">
        <f ca="1">IFERROR(IF(0=LEN(ReferenceData!$R$231),"",ReferenceData!$R$231),"")</f>
        <v/>
      </c>
      <c r="S231">
        <f ca="1">IFERROR(IF(0=LEN(ReferenceData!$S$231),"",ReferenceData!$S$231),"")</f>
        <v>939.47683070000005</v>
      </c>
      <c r="T231">
        <f ca="1">IFERROR(IF(0=LEN(ReferenceData!$T$231),"",ReferenceData!$T$231),"")</f>
        <v>948.32312850000005</v>
      </c>
      <c r="U231">
        <f ca="1">IFERROR(IF(0=LEN(ReferenceData!$U$231),"",ReferenceData!$U$231),"")</f>
        <v>82.53703419</v>
      </c>
      <c r="V231">
        <f ca="1">IFERROR(IF(0=LEN(ReferenceData!$V$231),"",ReferenceData!$V$231),"")</f>
        <v>1218.92977</v>
      </c>
      <c r="W231">
        <f ca="1">IFERROR(IF(0=LEN(ReferenceData!$W$231),"",ReferenceData!$W$231),"")</f>
        <v>22.671879789999998</v>
      </c>
      <c r="X231">
        <f ca="1">IFERROR(IF(0=LEN(ReferenceData!$X$231),"",ReferenceData!$X$231),"")</f>
        <v>10.95675776</v>
      </c>
      <c r="Y231">
        <f ca="1">IFERROR(IF(0=LEN(ReferenceData!$Y$231),"",ReferenceData!$Y$231),"")</f>
        <v>12.278926050000001</v>
      </c>
      <c r="Z231">
        <f ca="1">IFERROR(IF(0=LEN(ReferenceData!$Z$231),"",ReferenceData!$Z$231),"")</f>
        <v>6.8252245670000002</v>
      </c>
      <c r="AA231">
        <f ca="1">IFERROR(IF(0=LEN(ReferenceData!$AA$231),"",ReferenceData!$AA$231),"")</f>
        <v>6.3388031759999999</v>
      </c>
      <c r="AB231">
        <f ca="1">IFERROR(IF(0=LEN(ReferenceData!$AB$231),"",ReferenceData!$AB$231),"")</f>
        <v>10.78938406</v>
      </c>
      <c r="AC231">
        <f ca="1">IFERROR(IF(0=LEN(ReferenceData!$AC$231),"",ReferenceData!$AC$231),"")</f>
        <v>9.4209425010000007</v>
      </c>
      <c r="AD231">
        <f ca="1">IFERROR(IF(0=LEN(ReferenceData!$AD$231),"",ReferenceData!$AD$231),"")</f>
        <v>10.28347439</v>
      </c>
      <c r="AE231">
        <f ca="1">IFERROR(IF(0=LEN(ReferenceData!$AE$231),"",ReferenceData!$AE$231),"")</f>
        <v>8.25390406</v>
      </c>
      <c r="AF231">
        <f ca="1">IFERROR(IF(0=LEN(ReferenceData!$AF$231),"",ReferenceData!$AF$231),"")</f>
        <v>7.6394742000000004</v>
      </c>
      <c r="AG231">
        <f ca="1">IFERROR(IF(0=LEN(ReferenceData!$AG$231),"",ReferenceData!$AG$231),"")</f>
        <v>7.9306005559999999</v>
      </c>
      <c r="AH231">
        <f ca="1">IFERROR(IF(0=LEN(ReferenceData!$AH$231),"",ReferenceData!$AH$231),"")</f>
        <v>8.9292345340000008</v>
      </c>
      <c r="AI231">
        <f ca="1">IFERROR(IF(0=LEN(ReferenceData!$AI$231),"",ReferenceData!$AI$231),"")</f>
        <v>8.0779269960000004</v>
      </c>
      <c r="AJ231">
        <f ca="1">IFERROR(IF(0=LEN(ReferenceData!$AJ$231),"",ReferenceData!$AJ$231),"")</f>
        <v>7.8030197049999996</v>
      </c>
      <c r="AK231">
        <f ca="1">IFERROR(IF(0=LEN(ReferenceData!$AK$231),"",ReferenceData!$AK$231),"")</f>
        <v>7.5182241779999996</v>
      </c>
      <c r="AL231">
        <f ca="1">IFERROR(IF(0=LEN(ReferenceData!$AL$231),"",ReferenceData!$AL$231),"")</f>
        <v>6.1177621359999996</v>
      </c>
      <c r="AM231">
        <f ca="1">IFERROR(IF(0=LEN(ReferenceData!$AM$231),"",ReferenceData!$AM$231),"")</f>
        <v>4.5416964980000003</v>
      </c>
      <c r="AN231" t="str">
        <f ca="1">IFERROR(IF(0=LEN(ReferenceData!$AN$231),"",ReferenceData!$AN$231),"")</f>
        <v/>
      </c>
      <c r="AO231" t="str">
        <f ca="1">IFERROR(IF(0=LEN(ReferenceData!$AO$231),"",ReferenceData!$AO$231),"")</f>
        <v/>
      </c>
      <c r="AP231" t="str">
        <f ca="1">IFERROR(IF(0=LEN(ReferenceData!$AP$231),"",ReferenceData!$AP$231),"")</f>
        <v/>
      </c>
      <c r="AQ231" t="str">
        <f ca="1">IFERROR(IF(0=LEN(ReferenceData!$AQ$231),"",ReferenceData!$AQ$231),"")</f>
        <v/>
      </c>
      <c r="AR231" t="str">
        <f ca="1">IFERROR(IF(0=LEN(ReferenceData!$AR$231),"",ReferenceData!$AR$231),"")</f>
        <v/>
      </c>
      <c r="AS231" t="str">
        <f ca="1">IFERROR(IF(0=LEN(ReferenceData!$AS$231),"",ReferenceData!$AS$231),"")</f>
        <v/>
      </c>
      <c r="AT231" t="str">
        <f ca="1">IFERROR(IF(0=LEN(ReferenceData!$AT$231),"",ReferenceData!$AT$231),"")</f>
        <v/>
      </c>
      <c r="AU231" t="str">
        <f ca="1">IFERROR(IF(0=LEN(ReferenceData!$AU$231),"",ReferenceData!$AU$231),"")</f>
        <v/>
      </c>
      <c r="AV231" t="str">
        <f ca="1">IFERROR(IF(0=LEN(ReferenceData!$AV$231),"",ReferenceData!$AV$231),"")</f>
        <v/>
      </c>
      <c r="AW231" t="str">
        <f ca="1">IFERROR(IF(0=LEN(ReferenceData!$AW$231),"",ReferenceData!$AW$231),"")</f>
        <v/>
      </c>
      <c r="AX231" t="str">
        <f ca="1">IFERROR(IF(0=LEN(ReferenceData!$AX$231),"",ReferenceData!$AX$231),"")</f>
        <v/>
      </c>
      <c r="AY231" t="str">
        <f ca="1">IFERROR(IF(0=LEN(ReferenceData!$AY$231),"",ReferenceData!$AY$231),"")</f>
        <v/>
      </c>
      <c r="AZ231" t="str">
        <f ca="1">IFERROR(IF(0=LEN(ReferenceData!$AZ$231),"",ReferenceData!$AZ$231),"")</f>
        <v/>
      </c>
      <c r="BA231" t="str">
        <f ca="1">IFERROR(IF(0=LEN(ReferenceData!$BA$231),"",ReferenceData!$BA$231),"")</f>
        <v/>
      </c>
      <c r="BB231" t="str">
        <f ca="1">IFERROR(IF(0=LEN(ReferenceData!$BB$231),"",ReferenceData!$BB$231),"")</f>
        <v/>
      </c>
      <c r="BC231" t="str">
        <f ca="1">IFERROR(IF(0=LEN(ReferenceData!$BC$231),"",ReferenceData!$BC$231),"")</f>
        <v/>
      </c>
      <c r="BD231" t="str">
        <f ca="1">IFERROR(IF(0=LEN(ReferenceData!$BD$231),"",ReferenceData!$BD$231),"")</f>
        <v/>
      </c>
      <c r="BE231" t="str">
        <f ca="1">IFERROR(IF(0=LEN(ReferenceData!$BE$231),"",ReferenceData!$BE$231),"")</f>
        <v/>
      </c>
      <c r="BF231" t="str">
        <f ca="1">IFERROR(IF(0=LEN(ReferenceData!$BF$231),"",ReferenceData!$BF$231),"")</f>
        <v/>
      </c>
      <c r="BG231" t="str">
        <f ca="1">IFERROR(IF(0=LEN(ReferenceData!$BG$231),"",ReferenceData!$BG$231),"")</f>
        <v/>
      </c>
      <c r="BH231" t="str">
        <f ca="1">IFERROR(IF(0=LEN(ReferenceData!$BH$231),"",ReferenceData!$BH$231),"")</f>
        <v/>
      </c>
      <c r="BI231" t="str">
        <f ca="1">IFERROR(IF(0=LEN(ReferenceData!$BI$231),"",ReferenceData!$BI$231),"")</f>
        <v/>
      </c>
      <c r="BJ231" t="str">
        <f ca="1">IFERROR(IF(0=LEN(ReferenceData!$BJ$231),"",ReferenceData!$BJ$231),"")</f>
        <v/>
      </c>
      <c r="BK231" t="str">
        <f ca="1">IFERROR(IF(0=LEN(ReferenceData!$BK$231),"",ReferenceData!$BK$231),"")</f>
        <v/>
      </c>
      <c r="BL231" t="str">
        <f ca="1">IFERROR(IF(0=LEN(ReferenceData!$BL$231),"",ReferenceData!$BL$231),"")</f>
        <v/>
      </c>
      <c r="BM231" t="str">
        <f ca="1">IFERROR(IF(0=LEN(ReferenceData!$BM$231),"",ReferenceData!$BM$231),"")</f>
        <v/>
      </c>
    </row>
    <row r="232" spans="1:65" x14ac:dyDescent="0.25">
      <c r="A232" t="str">
        <f>IFERROR(IF(0=LEN(ReferenceData!$A$232),"",ReferenceData!$A$232),"")</f>
        <v xml:space="preserve">    Mazda Motor Corp</v>
      </c>
      <c r="B232" t="str">
        <f>IFERROR(IF(0=LEN(ReferenceData!$B$232),"",ReferenceData!$B$232),"")</f>
        <v>7261 JP Equity</v>
      </c>
      <c r="C232" t="str">
        <f>IFERROR(IF(0=LEN(ReferenceData!$C$232),"",ReferenceData!$C$232),"")</f>
        <v>RR971</v>
      </c>
      <c r="D232" t="str">
        <f>IFERROR(IF(0=LEN(ReferenceData!$D$232),"",ReferenceData!$D$232),"")</f>
        <v>CURRENT_PX_TO_FREE_CASH_FLOW</v>
      </c>
      <c r="E232" t="str">
        <f>IFERROR(IF(0=LEN(ReferenceData!$E$232),"",ReferenceData!$E$232),"")</f>
        <v>Dynamic</v>
      </c>
      <c r="F232">
        <f ca="1">IFERROR(IF(0=LEN(ReferenceData!$F$232),"",ReferenceData!$F$232),"")</f>
        <v>12.15922838</v>
      </c>
      <c r="G232">
        <f ca="1">IFERROR(IF(0=LEN(ReferenceData!$G$232),"",ReferenceData!$G$232),"")</f>
        <v>10.72734101</v>
      </c>
      <c r="H232">
        <f ca="1">IFERROR(IF(0=LEN(ReferenceData!$H$232),"",ReferenceData!$H$232),"")</f>
        <v>8.790418292</v>
      </c>
      <c r="I232">
        <f ca="1">IFERROR(IF(0=LEN(ReferenceData!$I$232),"",ReferenceData!$I$232),"")</f>
        <v>8.0372151889999994</v>
      </c>
      <c r="J232">
        <f ca="1">IFERROR(IF(0=LEN(ReferenceData!$J$232),"",ReferenceData!$J$232),"")</f>
        <v>7.19384158</v>
      </c>
      <c r="K232">
        <f ca="1">IFERROR(IF(0=LEN(ReferenceData!$K$232),"",ReferenceData!$K$232),"")</f>
        <v>8.5330786350000007</v>
      </c>
      <c r="L232">
        <f ca="1">IFERROR(IF(0=LEN(ReferenceData!$L$232),"",ReferenceData!$L$232),"")</f>
        <v>12.72787785</v>
      </c>
      <c r="M232">
        <f ca="1">IFERROR(IF(0=LEN(ReferenceData!$M$232),"",ReferenceData!$M$232),"")</f>
        <v>12.097410249999999</v>
      </c>
      <c r="N232">
        <f ca="1">IFERROR(IF(0=LEN(ReferenceData!$N$232),"",ReferenceData!$N$232),"")</f>
        <v>11.717780100000001</v>
      </c>
      <c r="O232">
        <f ca="1">IFERROR(IF(0=LEN(ReferenceData!$O$232),"",ReferenceData!$O$232),"")</f>
        <v>11.76331542</v>
      </c>
      <c r="P232">
        <f ca="1">IFERROR(IF(0=LEN(ReferenceData!$P$232),"",ReferenceData!$P$232),"")</f>
        <v>7.1901019740000001</v>
      </c>
      <c r="Q232">
        <f ca="1">IFERROR(IF(0=LEN(ReferenceData!$Q$232),"",ReferenceData!$Q$232),"")</f>
        <v>5.3457818000000001</v>
      </c>
      <c r="R232">
        <f ca="1">IFERROR(IF(0=LEN(ReferenceData!$R$232),"",ReferenceData!$R$232),"")</f>
        <v>5.6785443869999996</v>
      </c>
      <c r="S232">
        <f ca="1">IFERROR(IF(0=LEN(ReferenceData!$S$232),"",ReferenceData!$S$232),"")</f>
        <v>8.450521299</v>
      </c>
      <c r="T232">
        <f ca="1">IFERROR(IF(0=LEN(ReferenceData!$T$232),"",ReferenceData!$T$232),"")</f>
        <v>7.3411200320000001</v>
      </c>
      <c r="U232">
        <f ca="1">IFERROR(IF(0=LEN(ReferenceData!$U$232),"",ReferenceData!$U$232),"")</f>
        <v>12.30486179</v>
      </c>
      <c r="V232">
        <f ca="1">IFERROR(IF(0=LEN(ReferenceData!$V$232),"",ReferenceData!$V$232),"")</f>
        <v>17.981376539999999</v>
      </c>
      <c r="W232">
        <f ca="1">IFERROR(IF(0=LEN(ReferenceData!$W$232),"",ReferenceData!$W$232),"")</f>
        <v>28.121934240000002</v>
      </c>
      <c r="X232">
        <f ca="1">IFERROR(IF(0=LEN(ReferenceData!$X$232),"",ReferenceData!$X$232),"")</f>
        <v>19.000686850000001</v>
      </c>
      <c r="Y232">
        <f ca="1">IFERROR(IF(0=LEN(ReferenceData!$Y$232),"",ReferenceData!$Y$232),"")</f>
        <v>24.087155039999999</v>
      </c>
      <c r="Z232">
        <f ca="1">IFERROR(IF(0=LEN(ReferenceData!$Z$232),"",ReferenceData!$Z$232),"")</f>
        <v>53.583906679999998</v>
      </c>
      <c r="AA232">
        <f ca="1">IFERROR(IF(0=LEN(ReferenceData!$AA$232),"",ReferenceData!$AA$232),"")</f>
        <v>49.54323239</v>
      </c>
      <c r="AB232" t="str">
        <f ca="1">IFERROR(IF(0=LEN(ReferenceData!$AB$232),"",ReferenceData!$AB$232),"")</f>
        <v/>
      </c>
      <c r="AC232" t="str">
        <f ca="1">IFERROR(IF(0=LEN(ReferenceData!$AC$232),"",ReferenceData!$AC$232),"")</f>
        <v/>
      </c>
      <c r="AD232" t="str">
        <f ca="1">IFERROR(IF(0=LEN(ReferenceData!$AD$232),"",ReferenceData!$AD$232),"")</f>
        <v/>
      </c>
      <c r="AE232" t="str">
        <f ca="1">IFERROR(IF(0=LEN(ReferenceData!$AE$232),"",ReferenceData!$AE$232),"")</f>
        <v/>
      </c>
      <c r="AF232" t="str">
        <f ca="1">IFERROR(IF(0=LEN(ReferenceData!$AF$232),"",ReferenceData!$AF$232),"")</f>
        <v/>
      </c>
      <c r="AG232" t="str">
        <f ca="1">IFERROR(IF(0=LEN(ReferenceData!$AG$232),"",ReferenceData!$AG$232),"")</f>
        <v/>
      </c>
      <c r="AH232" t="str">
        <f ca="1">IFERROR(IF(0=LEN(ReferenceData!$AH$232),"",ReferenceData!$AH$232),"")</f>
        <v/>
      </c>
      <c r="AI232" t="str">
        <f ca="1">IFERROR(IF(0=LEN(ReferenceData!$AI$232),"",ReferenceData!$AI$232),"")</f>
        <v/>
      </c>
      <c r="AJ232" t="str">
        <f ca="1">IFERROR(IF(0=LEN(ReferenceData!$AJ$232),"",ReferenceData!$AJ$232),"")</f>
        <v/>
      </c>
      <c r="AK232" t="str">
        <f ca="1">IFERROR(IF(0=LEN(ReferenceData!$AK$232),"",ReferenceData!$AK$232),"")</f>
        <v/>
      </c>
      <c r="AL232">
        <f ca="1">IFERROR(IF(0=LEN(ReferenceData!$AL$232),"",ReferenceData!$AL$232),"")</f>
        <v>124.0935333</v>
      </c>
      <c r="AM232">
        <f ca="1">IFERROR(IF(0=LEN(ReferenceData!$AM$232),"",ReferenceData!$AM$232),"")</f>
        <v>158.86699590000001</v>
      </c>
      <c r="AN232">
        <f ca="1">IFERROR(IF(0=LEN(ReferenceData!$AN$232),"",ReferenceData!$AN$232),"")</f>
        <v>4.2051759469999999</v>
      </c>
      <c r="AO232">
        <f ca="1">IFERROR(IF(0=LEN(ReferenceData!$AO$232),"",ReferenceData!$AO$232),"")</f>
        <v>3.3409110929999999</v>
      </c>
      <c r="AP232">
        <f ca="1">IFERROR(IF(0=LEN(ReferenceData!$AP$232),"",ReferenceData!$AP$232),"")</f>
        <v>4.7568882590000001</v>
      </c>
      <c r="AQ232">
        <f ca="1">IFERROR(IF(0=LEN(ReferenceData!$AQ$232),"",ReferenceData!$AQ$232),"")</f>
        <v>2.7729507920000001</v>
      </c>
      <c r="AR232" t="str">
        <f ca="1">IFERROR(IF(0=LEN(ReferenceData!$AR$232),"",ReferenceData!$AR$232),"")</f>
        <v/>
      </c>
      <c r="AS232" t="str">
        <f ca="1">IFERROR(IF(0=LEN(ReferenceData!$AS$232),"",ReferenceData!$AS$232),"")</f>
        <v/>
      </c>
      <c r="AT232" t="str">
        <f ca="1">IFERROR(IF(0=LEN(ReferenceData!$AT$232),"",ReferenceData!$AT$232),"")</f>
        <v/>
      </c>
      <c r="AU232" t="str">
        <f ca="1">IFERROR(IF(0=LEN(ReferenceData!$AU$232),"",ReferenceData!$AU$232),"")</f>
        <v/>
      </c>
      <c r="AV232" t="str">
        <f ca="1">IFERROR(IF(0=LEN(ReferenceData!$AV$232),"",ReferenceData!$AV$232),"")</f>
        <v/>
      </c>
      <c r="AW232" t="str">
        <f ca="1">IFERROR(IF(0=LEN(ReferenceData!$AW$232),"",ReferenceData!$AW$232),"")</f>
        <v/>
      </c>
      <c r="AX232" t="str">
        <f ca="1">IFERROR(IF(0=LEN(ReferenceData!$AX$232),"",ReferenceData!$AX$232),"")</f>
        <v/>
      </c>
      <c r="AY232" t="str">
        <f ca="1">IFERROR(IF(0=LEN(ReferenceData!$AY$232),"",ReferenceData!$AY$232),"")</f>
        <v/>
      </c>
      <c r="AZ232" t="str">
        <f ca="1">IFERROR(IF(0=LEN(ReferenceData!$AZ$232),"",ReferenceData!$AZ$232),"")</f>
        <v/>
      </c>
      <c r="BA232" t="str">
        <f ca="1">IFERROR(IF(0=LEN(ReferenceData!$BA$232),"",ReferenceData!$BA$232),"")</f>
        <v/>
      </c>
      <c r="BB232" t="str">
        <f ca="1">IFERROR(IF(0=LEN(ReferenceData!$BB$232),"",ReferenceData!$BB$232),"")</f>
        <v/>
      </c>
      <c r="BC232" t="str">
        <f ca="1">IFERROR(IF(0=LEN(ReferenceData!$BC$232),"",ReferenceData!$BC$232),"")</f>
        <v/>
      </c>
      <c r="BD232" t="str">
        <f ca="1">IFERROR(IF(0=LEN(ReferenceData!$BD$232),"",ReferenceData!$BD$232),"")</f>
        <v/>
      </c>
      <c r="BE232" t="str">
        <f ca="1">IFERROR(IF(0=LEN(ReferenceData!$BE$232),"",ReferenceData!$BE$232),"")</f>
        <v/>
      </c>
      <c r="BF232" t="str">
        <f ca="1">IFERROR(IF(0=LEN(ReferenceData!$BF$232),"",ReferenceData!$BF$232),"")</f>
        <v/>
      </c>
      <c r="BG232" t="str">
        <f ca="1">IFERROR(IF(0=LEN(ReferenceData!$BG$232),"",ReferenceData!$BG$232),"")</f>
        <v/>
      </c>
      <c r="BH232" t="str">
        <f ca="1">IFERROR(IF(0=LEN(ReferenceData!$BH$232),"",ReferenceData!$BH$232),"")</f>
        <v/>
      </c>
      <c r="BI232" t="str">
        <f ca="1">IFERROR(IF(0=LEN(ReferenceData!$BI$232),"",ReferenceData!$BI$232),"")</f>
        <v/>
      </c>
      <c r="BJ232" t="str">
        <f ca="1">IFERROR(IF(0=LEN(ReferenceData!$BJ$232),"",ReferenceData!$BJ$232),"")</f>
        <v/>
      </c>
      <c r="BK232" t="str">
        <f ca="1">IFERROR(IF(0=LEN(ReferenceData!$BK$232),"",ReferenceData!$BK$232),"")</f>
        <v/>
      </c>
      <c r="BL232" t="str">
        <f ca="1">IFERROR(IF(0=LEN(ReferenceData!$BL$232),"",ReferenceData!$BL$232),"")</f>
        <v/>
      </c>
      <c r="BM232" t="str">
        <f ca="1">IFERROR(IF(0=LEN(ReferenceData!$BM$232),"",ReferenceData!$BM$232),"")</f>
        <v/>
      </c>
    </row>
    <row r="233" spans="1:65" x14ac:dyDescent="0.25">
      <c r="A233" t="str">
        <f>IFERROR(IF(0=LEN(ReferenceData!$A$233),"",ReferenceData!$A$233),"")</f>
        <v xml:space="preserve">    Mitsubishi Motors Corp</v>
      </c>
      <c r="B233" t="str">
        <f>IFERROR(IF(0=LEN(ReferenceData!$B$233),"",ReferenceData!$B$233),"")</f>
        <v>7211 JP Equity</v>
      </c>
      <c r="C233" t="str">
        <f>IFERROR(IF(0=LEN(ReferenceData!$C$233),"",ReferenceData!$C$233),"")</f>
        <v>RR971</v>
      </c>
      <c r="D233" t="str">
        <f>IFERROR(IF(0=LEN(ReferenceData!$D$233),"",ReferenceData!$D$233),"")</f>
        <v>CURRENT_PX_TO_FREE_CASH_FLOW</v>
      </c>
      <c r="E233" t="str">
        <f>IFERROR(IF(0=LEN(ReferenceData!$E$233),"",ReferenceData!$E$233),"")</f>
        <v>Dynamic</v>
      </c>
      <c r="F233" t="str">
        <f ca="1">IFERROR(IF(0=LEN(ReferenceData!$F$233),"",ReferenceData!$F$233),"")</f>
        <v/>
      </c>
      <c r="G233" t="str">
        <f ca="1">IFERROR(IF(0=LEN(ReferenceData!$G$233),"",ReferenceData!$G$233),"")</f>
        <v/>
      </c>
      <c r="H233" t="str">
        <f ca="1">IFERROR(IF(0=LEN(ReferenceData!$H$233),"",ReferenceData!$H$233),"")</f>
        <v/>
      </c>
      <c r="I233" t="str">
        <f ca="1">IFERROR(IF(0=LEN(ReferenceData!$I$233),"",ReferenceData!$I$233),"")</f>
        <v/>
      </c>
      <c r="J233" t="str">
        <f ca="1">IFERROR(IF(0=LEN(ReferenceData!$J$233),"",ReferenceData!$J$233),"")</f>
        <v/>
      </c>
      <c r="K233" t="str">
        <f ca="1">IFERROR(IF(0=LEN(ReferenceData!$K$233),"",ReferenceData!$K$233),"")</f>
        <v/>
      </c>
      <c r="L233" t="str">
        <f ca="1">IFERROR(IF(0=LEN(ReferenceData!$L$233),"",ReferenceData!$L$233),"")</f>
        <v/>
      </c>
      <c r="M233" t="str">
        <f ca="1">IFERROR(IF(0=LEN(ReferenceData!$M$233),"",ReferenceData!$M$233),"")</f>
        <v/>
      </c>
      <c r="N233" t="str">
        <f ca="1">IFERROR(IF(0=LEN(ReferenceData!$N$233),"",ReferenceData!$N$233),"")</f>
        <v/>
      </c>
      <c r="O233" t="str">
        <f ca="1">IFERROR(IF(0=LEN(ReferenceData!$O$233),"",ReferenceData!$O$233),"")</f>
        <v/>
      </c>
      <c r="P233" t="str">
        <f ca="1">IFERROR(IF(0=LEN(ReferenceData!$P$233),"",ReferenceData!$P$233),"")</f>
        <v/>
      </c>
      <c r="Q233" t="str">
        <f ca="1">IFERROR(IF(0=LEN(ReferenceData!$Q$233),"",ReferenceData!$Q$233),"")</f>
        <v/>
      </c>
      <c r="R233" t="str">
        <f ca="1">IFERROR(IF(0=LEN(ReferenceData!$R$233),"",ReferenceData!$R$233),"")</f>
        <v/>
      </c>
      <c r="S233" t="str">
        <f ca="1">IFERROR(IF(0=LEN(ReferenceData!$S$233),"",ReferenceData!$S$233),"")</f>
        <v/>
      </c>
      <c r="T233" t="str">
        <f ca="1">IFERROR(IF(0=LEN(ReferenceData!$T$233),"",ReferenceData!$T$233),"")</f>
        <v/>
      </c>
      <c r="U233" t="str">
        <f ca="1">IFERROR(IF(0=LEN(ReferenceData!$U$233),"",ReferenceData!$U$233),"")</f>
        <v/>
      </c>
      <c r="V233" t="str">
        <f ca="1">IFERROR(IF(0=LEN(ReferenceData!$V$233),"",ReferenceData!$V$233),"")</f>
        <v/>
      </c>
      <c r="W233" t="str">
        <f ca="1">IFERROR(IF(0=LEN(ReferenceData!$W$233),"",ReferenceData!$W$233),"")</f>
        <v/>
      </c>
      <c r="X233" t="str">
        <f ca="1">IFERROR(IF(0=LEN(ReferenceData!$X$233),"",ReferenceData!$X$233),"")</f>
        <v/>
      </c>
      <c r="Y233" t="str">
        <f ca="1">IFERROR(IF(0=LEN(ReferenceData!$Y$233),"",ReferenceData!$Y$233),"")</f>
        <v/>
      </c>
      <c r="Z233" t="str">
        <f ca="1">IFERROR(IF(0=LEN(ReferenceData!$Z$233),"",ReferenceData!$Z$233),"")</f>
        <v/>
      </c>
      <c r="AA233" t="str">
        <f ca="1">IFERROR(IF(0=LEN(ReferenceData!$AA$233),"",ReferenceData!$AA$233),"")</f>
        <v/>
      </c>
      <c r="AB233" t="str">
        <f ca="1">IFERROR(IF(0=LEN(ReferenceData!$AB$233),"",ReferenceData!$AB$233),"")</f>
        <v/>
      </c>
      <c r="AC233" t="str">
        <f ca="1">IFERROR(IF(0=LEN(ReferenceData!$AC$233),"",ReferenceData!$AC$233),"")</f>
        <v/>
      </c>
      <c r="AD233" t="str">
        <f ca="1">IFERROR(IF(0=LEN(ReferenceData!$AD$233),"",ReferenceData!$AD$233),"")</f>
        <v/>
      </c>
      <c r="AE233" t="str">
        <f ca="1">IFERROR(IF(0=LEN(ReferenceData!$AE$233),"",ReferenceData!$AE$233),"")</f>
        <v/>
      </c>
      <c r="AF233" t="str">
        <f ca="1">IFERROR(IF(0=LEN(ReferenceData!$AF$233),"",ReferenceData!$AF$233),"")</f>
        <v/>
      </c>
      <c r="AG233" t="str">
        <f ca="1">IFERROR(IF(0=LEN(ReferenceData!$AG$233),"",ReferenceData!$AG$233),"")</f>
        <v/>
      </c>
      <c r="AH233" t="str">
        <f ca="1">IFERROR(IF(0=LEN(ReferenceData!$AH$233),"",ReferenceData!$AH$233),"")</f>
        <v/>
      </c>
      <c r="AI233" t="str">
        <f ca="1">IFERROR(IF(0=LEN(ReferenceData!$AI$233),"",ReferenceData!$AI$233),"")</f>
        <v/>
      </c>
      <c r="AJ233" t="str">
        <f ca="1">IFERROR(IF(0=LEN(ReferenceData!$AJ$233),"",ReferenceData!$AJ$233),"")</f>
        <v/>
      </c>
      <c r="AK233">
        <f ca="1">IFERROR(IF(0=LEN(ReferenceData!$AK$233),"",ReferenceData!$AK$233),"")</f>
        <v>10.736760050000001</v>
      </c>
      <c r="AL233">
        <f ca="1">IFERROR(IF(0=LEN(ReferenceData!$AL$233),"",ReferenceData!$AL$233),"")</f>
        <v>11.174995150000001</v>
      </c>
      <c r="AM233">
        <f ca="1">IFERROR(IF(0=LEN(ReferenceData!$AM$233),"",ReferenceData!$AM$233),"")</f>
        <v>6.7721855670000002</v>
      </c>
      <c r="AN233">
        <f ca="1">IFERROR(IF(0=LEN(ReferenceData!$AN$233),"",ReferenceData!$AN$233),"")</f>
        <v>5.1356844810000002</v>
      </c>
      <c r="AO233">
        <f ca="1">IFERROR(IF(0=LEN(ReferenceData!$AO$233),"",ReferenceData!$AO$233),"")</f>
        <v>6.7818252530000001</v>
      </c>
      <c r="AP233">
        <f ca="1">IFERROR(IF(0=LEN(ReferenceData!$AP$233),"",ReferenceData!$AP$233),"")</f>
        <v>12.46189412</v>
      </c>
      <c r="AQ233" t="str">
        <f ca="1">IFERROR(IF(0=LEN(ReferenceData!$AQ$233),"",ReferenceData!$AQ$233),"")</f>
        <v/>
      </c>
      <c r="AR233" t="str">
        <f ca="1">IFERROR(IF(0=LEN(ReferenceData!$AR$233),"",ReferenceData!$AR$233),"")</f>
        <v/>
      </c>
      <c r="AS233" t="str">
        <f ca="1">IFERROR(IF(0=LEN(ReferenceData!$AS$233),"",ReferenceData!$AS$233),"")</f>
        <v/>
      </c>
      <c r="AT233" t="str">
        <f ca="1">IFERROR(IF(0=LEN(ReferenceData!$AT$233),"",ReferenceData!$AT$233),"")</f>
        <v/>
      </c>
      <c r="AU233" t="str">
        <f ca="1">IFERROR(IF(0=LEN(ReferenceData!$AU$233),"",ReferenceData!$AU$233),"")</f>
        <v/>
      </c>
      <c r="AV233" t="str">
        <f ca="1">IFERROR(IF(0=LEN(ReferenceData!$AV$233),"",ReferenceData!$AV$233),"")</f>
        <v/>
      </c>
      <c r="AW233" t="str">
        <f ca="1">IFERROR(IF(0=LEN(ReferenceData!$AW$233),"",ReferenceData!$AW$233),"")</f>
        <v/>
      </c>
      <c r="AX233" t="str">
        <f ca="1">IFERROR(IF(0=LEN(ReferenceData!$AX$233),"",ReferenceData!$AX$233),"")</f>
        <v/>
      </c>
      <c r="AY233" t="str">
        <f ca="1">IFERROR(IF(0=LEN(ReferenceData!$AY$233),"",ReferenceData!$AY$233),"")</f>
        <v/>
      </c>
      <c r="AZ233" t="str">
        <f ca="1">IFERROR(IF(0=LEN(ReferenceData!$AZ$233),"",ReferenceData!$AZ$233),"")</f>
        <v/>
      </c>
      <c r="BA233" t="str">
        <f ca="1">IFERROR(IF(0=LEN(ReferenceData!$BA$233),"",ReferenceData!$BA$233),"")</f>
        <v/>
      </c>
      <c r="BB233" t="str">
        <f ca="1">IFERROR(IF(0=LEN(ReferenceData!$BB$233),"",ReferenceData!$BB$233),"")</f>
        <v/>
      </c>
      <c r="BC233" t="str">
        <f ca="1">IFERROR(IF(0=LEN(ReferenceData!$BC$233),"",ReferenceData!$BC$233),"")</f>
        <v/>
      </c>
      <c r="BD233" t="str">
        <f ca="1">IFERROR(IF(0=LEN(ReferenceData!$BD$233),"",ReferenceData!$BD$233),"")</f>
        <v/>
      </c>
      <c r="BE233" t="str">
        <f ca="1">IFERROR(IF(0=LEN(ReferenceData!$BE$233),"",ReferenceData!$BE$233),"")</f>
        <v/>
      </c>
      <c r="BF233" t="str">
        <f ca="1">IFERROR(IF(0=LEN(ReferenceData!$BF$233),"",ReferenceData!$BF$233),"")</f>
        <v/>
      </c>
      <c r="BG233" t="str">
        <f ca="1">IFERROR(IF(0=LEN(ReferenceData!$BG$233),"",ReferenceData!$BG$233),"")</f>
        <v/>
      </c>
      <c r="BH233" t="str">
        <f ca="1">IFERROR(IF(0=LEN(ReferenceData!$BH$233),"",ReferenceData!$BH$233),"")</f>
        <v/>
      </c>
      <c r="BI233" t="str">
        <f ca="1">IFERROR(IF(0=LEN(ReferenceData!$BI$233),"",ReferenceData!$BI$233),"")</f>
        <v/>
      </c>
      <c r="BJ233" t="str">
        <f ca="1">IFERROR(IF(0=LEN(ReferenceData!$BJ$233),"",ReferenceData!$BJ$233),"")</f>
        <v/>
      </c>
      <c r="BK233" t="str">
        <f ca="1">IFERROR(IF(0=LEN(ReferenceData!$BK$233),"",ReferenceData!$BK$233),"")</f>
        <v/>
      </c>
      <c r="BL233" t="str">
        <f ca="1">IFERROR(IF(0=LEN(ReferenceData!$BL$233),"",ReferenceData!$BL$233),"")</f>
        <v/>
      </c>
      <c r="BM233" t="str">
        <f ca="1">IFERROR(IF(0=LEN(ReferenceData!$BM$233),"",ReferenceData!$BM$233),"")</f>
        <v/>
      </c>
    </row>
    <row r="234" spans="1:65" x14ac:dyDescent="0.25">
      <c r="A234" t="str">
        <f>IFERROR(IF(0=LEN(ReferenceData!$A$234),"",ReferenceData!$A$234),"")</f>
        <v xml:space="preserve">    Nissan Motor Co Ltd</v>
      </c>
      <c r="B234" t="str">
        <f>IFERROR(IF(0=LEN(ReferenceData!$B$234),"",ReferenceData!$B$234),"")</f>
        <v>7201 JP Equity</v>
      </c>
      <c r="C234" t="str">
        <f>IFERROR(IF(0=LEN(ReferenceData!$C$234),"",ReferenceData!$C$234),"")</f>
        <v>RR971</v>
      </c>
      <c r="D234" t="str">
        <f>IFERROR(IF(0=LEN(ReferenceData!$D$234),"",ReferenceData!$D$234),"")</f>
        <v>CURRENT_PX_TO_FREE_CASH_FLOW</v>
      </c>
      <c r="E234" t="str">
        <f>IFERROR(IF(0=LEN(ReferenceData!$E$234),"",ReferenceData!$E$234),"")</f>
        <v>Dynamic</v>
      </c>
      <c r="F234">
        <f ca="1">IFERROR(IF(0=LEN(ReferenceData!$F$234),"",ReferenceData!$F$234),"")</f>
        <v>3.1496024569999999</v>
      </c>
      <c r="G234">
        <f ca="1">IFERROR(IF(0=LEN(ReferenceData!$G$234),"",ReferenceData!$G$234),"")</f>
        <v>2.925912877</v>
      </c>
      <c r="H234">
        <f ca="1">IFERROR(IF(0=LEN(ReferenceData!$H$234),"",ReferenceData!$H$234),"")</f>
        <v>4.8260167550000004</v>
      </c>
      <c r="I234">
        <f ca="1">IFERROR(IF(0=LEN(ReferenceData!$I$234),"",ReferenceData!$I$234),"")</f>
        <v>4.7300043709999997</v>
      </c>
      <c r="J234">
        <f ca="1">IFERROR(IF(0=LEN(ReferenceData!$J$234),"",ReferenceData!$J$234),"")</f>
        <v>6.4200485269999996</v>
      </c>
      <c r="K234">
        <f ca="1">IFERROR(IF(0=LEN(ReferenceData!$K$234),"",ReferenceData!$K$234),"")</f>
        <v>10.62737613</v>
      </c>
      <c r="L234">
        <f ca="1">IFERROR(IF(0=LEN(ReferenceData!$L$234),"",ReferenceData!$L$234),"")</f>
        <v>6.5728206130000002</v>
      </c>
      <c r="M234">
        <f ca="1">IFERROR(IF(0=LEN(ReferenceData!$M$234),"",ReferenceData!$M$234),"")</f>
        <v>6.8780780669999997</v>
      </c>
      <c r="N234">
        <f ca="1">IFERROR(IF(0=LEN(ReferenceData!$N$234),"",ReferenceData!$N$234),"")</f>
        <v>5.1357420869999997</v>
      </c>
      <c r="O234">
        <f ca="1">IFERROR(IF(0=LEN(ReferenceData!$O$234),"",ReferenceData!$O$234),"")</f>
        <v>6.6203362329999997</v>
      </c>
      <c r="P234">
        <f ca="1">IFERROR(IF(0=LEN(ReferenceData!$P$234),"",ReferenceData!$P$234),"")</f>
        <v>6.3546642369999997</v>
      </c>
      <c r="Q234">
        <f ca="1">IFERROR(IF(0=LEN(ReferenceData!$Q$234),"",ReferenceData!$Q$234),"")</f>
        <v>6.1581488110000002</v>
      </c>
      <c r="R234">
        <f ca="1">IFERROR(IF(0=LEN(ReferenceData!$R$234),"",ReferenceData!$R$234),"")</f>
        <v>11.015355749999999</v>
      </c>
      <c r="S234">
        <f ca="1">IFERROR(IF(0=LEN(ReferenceData!$S$234),"",ReferenceData!$S$234),"")</f>
        <v>19.147956480000001</v>
      </c>
      <c r="T234">
        <f ca="1">IFERROR(IF(0=LEN(ReferenceData!$T$234),"",ReferenceData!$T$234),"")</f>
        <v>18.81212403</v>
      </c>
      <c r="U234">
        <f ca="1">IFERROR(IF(0=LEN(ReferenceData!$U$234),"",ReferenceData!$U$234),"")</f>
        <v>17.890433819999998</v>
      </c>
      <c r="V234">
        <f ca="1">IFERROR(IF(0=LEN(ReferenceData!$V$234),"",ReferenceData!$V$234),"")</f>
        <v>28.601303390000002</v>
      </c>
      <c r="W234">
        <f ca="1">IFERROR(IF(0=LEN(ReferenceData!$W$234),"",ReferenceData!$W$234),"")</f>
        <v>12.50103704</v>
      </c>
      <c r="X234">
        <f ca="1">IFERROR(IF(0=LEN(ReferenceData!$X$234),"",ReferenceData!$X$234),"")</f>
        <v>20.046031360000001</v>
      </c>
      <c r="Y234">
        <f ca="1">IFERROR(IF(0=LEN(ReferenceData!$Y$234),"",ReferenceData!$Y$234),"")</f>
        <v>38.509258750000001</v>
      </c>
      <c r="Z234">
        <f ca="1">IFERROR(IF(0=LEN(ReferenceData!$Z$234),"",ReferenceData!$Z$234),"")</f>
        <v>21.871688679999998</v>
      </c>
      <c r="AA234">
        <f ca="1">IFERROR(IF(0=LEN(ReferenceData!$AA$234),"",ReferenceData!$AA$234),"")</f>
        <v>34.159245599999998</v>
      </c>
      <c r="AB234">
        <f ca="1">IFERROR(IF(0=LEN(ReferenceData!$AB$234),"",ReferenceData!$AB$234),"")</f>
        <v>31.953362940000002</v>
      </c>
      <c r="AC234" t="str">
        <f ca="1">IFERROR(IF(0=LEN(ReferenceData!$AC$234),"",ReferenceData!$AC$234),"")</f>
        <v/>
      </c>
      <c r="AD234" t="str">
        <f ca="1">IFERROR(IF(0=LEN(ReferenceData!$AD$234),"",ReferenceData!$AD$234),"")</f>
        <v/>
      </c>
      <c r="AE234" t="str">
        <f ca="1">IFERROR(IF(0=LEN(ReferenceData!$AE$234),"",ReferenceData!$AE$234),"")</f>
        <v/>
      </c>
      <c r="AF234">
        <f ca="1">IFERROR(IF(0=LEN(ReferenceData!$AF$234),"",ReferenceData!$AF$234),"")</f>
        <v>36.755671169999999</v>
      </c>
      <c r="AG234">
        <f ca="1">IFERROR(IF(0=LEN(ReferenceData!$AG$234),"",ReferenceData!$AG$234),"")</f>
        <v>41.467936709999996</v>
      </c>
      <c r="AH234">
        <f ca="1">IFERROR(IF(0=LEN(ReferenceData!$AH$234),"",ReferenceData!$AH$234),"")</f>
        <v>12.45311637</v>
      </c>
      <c r="AI234">
        <f ca="1">IFERROR(IF(0=LEN(ReferenceData!$AI$234),"",ReferenceData!$AI$234),"")</f>
        <v>10.319807129999999</v>
      </c>
      <c r="AJ234">
        <f ca="1">IFERROR(IF(0=LEN(ReferenceData!$AJ$234),"",ReferenceData!$AJ$234),"")</f>
        <v>7.6836679050000001</v>
      </c>
      <c r="AK234">
        <f ca="1">IFERROR(IF(0=LEN(ReferenceData!$AK$234),"",ReferenceData!$AK$234),"")</f>
        <v>9.5677510059999999</v>
      </c>
      <c r="AL234">
        <f ca="1">IFERROR(IF(0=LEN(ReferenceData!$AL$234),"",ReferenceData!$AL$234),"")</f>
        <v>7.991052711</v>
      </c>
      <c r="AM234">
        <f ca="1">IFERROR(IF(0=LEN(ReferenceData!$AM$234),"",ReferenceData!$AM$234),"")</f>
        <v>7.5292972450000004</v>
      </c>
      <c r="AN234">
        <f ca="1">IFERROR(IF(0=LEN(ReferenceData!$AN$234),"",ReferenceData!$AN$234),"")</f>
        <v>6.3358894880000003</v>
      </c>
      <c r="AO234">
        <f ca="1">IFERROR(IF(0=LEN(ReferenceData!$AO$234),"",ReferenceData!$AO$234),"")</f>
        <v>3.2609629990000002</v>
      </c>
      <c r="AP234">
        <f ca="1">IFERROR(IF(0=LEN(ReferenceData!$AP$234),"",ReferenceData!$AP$234),"")</f>
        <v>3.6206764680000001</v>
      </c>
      <c r="AQ234">
        <f ca="1">IFERROR(IF(0=LEN(ReferenceData!$AQ$234),"",ReferenceData!$AQ$234),"")</f>
        <v>3.0591681730000002</v>
      </c>
      <c r="AR234">
        <f ca="1">IFERROR(IF(0=LEN(ReferenceData!$AR$234),"",ReferenceData!$AR$234),"")</f>
        <v>2.4177534390000002</v>
      </c>
      <c r="AS234">
        <f ca="1">IFERROR(IF(0=LEN(ReferenceData!$AS$234),"",ReferenceData!$AS$234),"")</f>
        <v>2.9306161089999998</v>
      </c>
      <c r="AT234">
        <f ca="1">IFERROR(IF(0=LEN(ReferenceData!$AT$234),"",ReferenceData!$AT$234),"")</f>
        <v>2.8251021029999999</v>
      </c>
      <c r="AU234" t="str">
        <f ca="1">IFERROR(IF(0=LEN(ReferenceData!$AU$234),"",ReferenceData!$AU$234),"")</f>
        <v/>
      </c>
      <c r="AV234" t="str">
        <f ca="1">IFERROR(IF(0=LEN(ReferenceData!$AV$234),"",ReferenceData!$AV$234),"")</f>
        <v/>
      </c>
      <c r="AW234" t="str">
        <f ca="1">IFERROR(IF(0=LEN(ReferenceData!$AW$234),"",ReferenceData!$AW$234),"")</f>
        <v/>
      </c>
      <c r="AX234" t="str">
        <f ca="1">IFERROR(IF(0=LEN(ReferenceData!$AX$234),"",ReferenceData!$AX$234),"")</f>
        <v/>
      </c>
      <c r="AY234" t="str">
        <f ca="1">IFERROR(IF(0=LEN(ReferenceData!$AY$234),"",ReferenceData!$AY$234),"")</f>
        <v/>
      </c>
      <c r="AZ234" t="str">
        <f ca="1">IFERROR(IF(0=LEN(ReferenceData!$AZ$234),"",ReferenceData!$AZ$234),"")</f>
        <v/>
      </c>
      <c r="BA234" t="str">
        <f ca="1">IFERROR(IF(0=LEN(ReferenceData!$BA$234),"",ReferenceData!$BA$234),"")</f>
        <v/>
      </c>
      <c r="BB234" t="str">
        <f ca="1">IFERROR(IF(0=LEN(ReferenceData!$BB$234),"",ReferenceData!$BB$234),"")</f>
        <v/>
      </c>
      <c r="BC234" t="str">
        <f ca="1">IFERROR(IF(0=LEN(ReferenceData!$BC$234),"",ReferenceData!$BC$234),"")</f>
        <v/>
      </c>
      <c r="BD234" t="str">
        <f ca="1">IFERROR(IF(0=LEN(ReferenceData!$BD$234),"",ReferenceData!$BD$234),"")</f>
        <v/>
      </c>
      <c r="BE234" t="str">
        <f ca="1">IFERROR(IF(0=LEN(ReferenceData!$BE$234),"",ReferenceData!$BE$234),"")</f>
        <v/>
      </c>
      <c r="BF234" t="str">
        <f ca="1">IFERROR(IF(0=LEN(ReferenceData!$BF$234),"",ReferenceData!$BF$234),"")</f>
        <v/>
      </c>
      <c r="BG234" t="str">
        <f ca="1">IFERROR(IF(0=LEN(ReferenceData!$BG$234),"",ReferenceData!$BG$234),"")</f>
        <v/>
      </c>
      <c r="BH234" t="str">
        <f ca="1">IFERROR(IF(0=LEN(ReferenceData!$BH$234),"",ReferenceData!$BH$234),"")</f>
        <v/>
      </c>
      <c r="BI234" t="str">
        <f ca="1">IFERROR(IF(0=LEN(ReferenceData!$BI$234),"",ReferenceData!$BI$234),"")</f>
        <v/>
      </c>
      <c r="BJ234" t="str">
        <f ca="1">IFERROR(IF(0=LEN(ReferenceData!$BJ$234),"",ReferenceData!$BJ$234),"")</f>
        <v/>
      </c>
      <c r="BK234" t="str">
        <f ca="1">IFERROR(IF(0=LEN(ReferenceData!$BK$234),"",ReferenceData!$BK$234),"")</f>
        <v/>
      </c>
      <c r="BL234" t="str">
        <f ca="1">IFERROR(IF(0=LEN(ReferenceData!$BL$234),"",ReferenceData!$BL$234),"")</f>
        <v/>
      </c>
      <c r="BM234" t="str">
        <f ca="1">IFERROR(IF(0=LEN(ReferenceData!$BM$234),"",ReferenceData!$BM$234),"")</f>
        <v/>
      </c>
    </row>
    <row r="235" spans="1:65" x14ac:dyDescent="0.25">
      <c r="A235" t="str">
        <f>IFERROR(IF(0=LEN(ReferenceData!$A$235),"",ReferenceData!$A$235),"")</f>
        <v xml:space="preserve">    Peugeot SA</v>
      </c>
      <c r="B235" t="str">
        <f>IFERROR(IF(0=LEN(ReferenceData!$B$235),"",ReferenceData!$B$235),"")</f>
        <v>UG FP Equity</v>
      </c>
      <c r="C235" t="str">
        <f>IFERROR(IF(0=LEN(ReferenceData!$C$235),"",ReferenceData!$C$235),"")</f>
        <v>RR971</v>
      </c>
      <c r="D235" t="str">
        <f>IFERROR(IF(0=LEN(ReferenceData!$D$235),"",ReferenceData!$D$235),"")</f>
        <v>CURRENT_PX_TO_FREE_CASH_FLOW</v>
      </c>
      <c r="E235" t="str">
        <f>IFERROR(IF(0=LEN(ReferenceData!$E$235),"",ReferenceData!$E$235),"")</f>
        <v>Dynamic</v>
      </c>
      <c r="F235" t="str">
        <f ca="1">IFERROR(IF(0=LEN(ReferenceData!$F$235),"",ReferenceData!$F$235),"")</f>
        <v/>
      </c>
      <c r="G235" t="str">
        <f ca="1">IFERROR(IF(0=LEN(ReferenceData!$G$235),"",ReferenceData!$G$235),"")</f>
        <v/>
      </c>
      <c r="H235" t="str">
        <f ca="1">IFERROR(IF(0=LEN(ReferenceData!$H$235),"",ReferenceData!$H$235),"")</f>
        <v/>
      </c>
      <c r="I235" t="str">
        <f ca="1">IFERROR(IF(0=LEN(ReferenceData!$I$235),"",ReferenceData!$I$235),"")</f>
        <v/>
      </c>
      <c r="J235" t="str">
        <f ca="1">IFERROR(IF(0=LEN(ReferenceData!$J$235),"",ReferenceData!$J$235),"")</f>
        <v/>
      </c>
      <c r="K235" t="str">
        <f ca="1">IFERROR(IF(0=LEN(ReferenceData!$K$235),"",ReferenceData!$K$235),"")</f>
        <v/>
      </c>
      <c r="L235" t="str">
        <f ca="1">IFERROR(IF(0=LEN(ReferenceData!$L$235),"",ReferenceData!$L$235),"")</f>
        <v/>
      </c>
      <c r="M235" t="str">
        <f ca="1">IFERROR(IF(0=LEN(ReferenceData!$M$235),"",ReferenceData!$M$235),"")</f>
        <v/>
      </c>
      <c r="N235" t="str">
        <f ca="1">IFERROR(IF(0=LEN(ReferenceData!$N$235),"",ReferenceData!$N$235),"")</f>
        <v/>
      </c>
      <c r="O235" t="str">
        <f ca="1">IFERROR(IF(0=LEN(ReferenceData!$O$235),"",ReferenceData!$O$235),"")</f>
        <v/>
      </c>
      <c r="P235" t="str">
        <f ca="1">IFERROR(IF(0=LEN(ReferenceData!$P$235),"",ReferenceData!$P$235),"")</f>
        <v/>
      </c>
      <c r="Q235" t="str">
        <f ca="1">IFERROR(IF(0=LEN(ReferenceData!$Q$235),"",ReferenceData!$Q$235),"")</f>
        <v/>
      </c>
      <c r="R235" t="str">
        <f ca="1">IFERROR(IF(0=LEN(ReferenceData!$R$235),"",ReferenceData!$R$235),"")</f>
        <v/>
      </c>
      <c r="S235" t="str">
        <f ca="1">IFERROR(IF(0=LEN(ReferenceData!$S$235),"",ReferenceData!$S$235),"")</f>
        <v/>
      </c>
      <c r="T235" t="str">
        <f ca="1">IFERROR(IF(0=LEN(ReferenceData!$T$235),"",ReferenceData!$T$235),"")</f>
        <v/>
      </c>
      <c r="U235" t="str">
        <f ca="1">IFERROR(IF(0=LEN(ReferenceData!$U$235),"",ReferenceData!$U$235),"")</f>
        <v/>
      </c>
      <c r="V235" t="str">
        <f ca="1">IFERROR(IF(0=LEN(ReferenceData!$V$235),"",ReferenceData!$V$235),"")</f>
        <v/>
      </c>
      <c r="W235" t="str">
        <f ca="1">IFERROR(IF(0=LEN(ReferenceData!$W$235),"",ReferenceData!$W$235),"")</f>
        <v/>
      </c>
      <c r="X235" t="str">
        <f ca="1">IFERROR(IF(0=LEN(ReferenceData!$X$235),"",ReferenceData!$X$235),"")</f>
        <v/>
      </c>
      <c r="Y235" t="str">
        <f ca="1">IFERROR(IF(0=LEN(ReferenceData!$Y$235),"",ReferenceData!$Y$235),"")</f>
        <v/>
      </c>
      <c r="Z235" t="str">
        <f ca="1">IFERROR(IF(0=LEN(ReferenceData!$Z$235),"",ReferenceData!$Z$235),"")</f>
        <v/>
      </c>
      <c r="AA235" t="str">
        <f ca="1">IFERROR(IF(0=LEN(ReferenceData!$AA$235),"",ReferenceData!$AA$235),"")</f>
        <v/>
      </c>
      <c r="AB235" t="str">
        <f ca="1">IFERROR(IF(0=LEN(ReferenceData!$AB$235),"",ReferenceData!$AB$235),"")</f>
        <v/>
      </c>
      <c r="AC235" t="str">
        <f ca="1">IFERROR(IF(0=LEN(ReferenceData!$AC$235),"",ReferenceData!$AC$235),"")</f>
        <v/>
      </c>
      <c r="AD235" t="str">
        <f ca="1">IFERROR(IF(0=LEN(ReferenceData!$AD$235),"",ReferenceData!$AD$235),"")</f>
        <v/>
      </c>
      <c r="AE235" t="str">
        <f ca="1">IFERROR(IF(0=LEN(ReferenceData!$AE$235),"",ReferenceData!$AE$235),"")</f>
        <v/>
      </c>
      <c r="AF235" t="str">
        <f ca="1">IFERROR(IF(0=LEN(ReferenceData!$AF$235),"",ReferenceData!$AF$235),"")</f>
        <v/>
      </c>
      <c r="AG235" t="str">
        <f ca="1">IFERROR(IF(0=LEN(ReferenceData!$AG$235),"",ReferenceData!$AG$235),"")</f>
        <v/>
      </c>
      <c r="AH235" t="str">
        <f ca="1">IFERROR(IF(0=LEN(ReferenceData!$AH$235),"",ReferenceData!$AH$235),"")</f>
        <v/>
      </c>
      <c r="AI235" t="str">
        <f ca="1">IFERROR(IF(0=LEN(ReferenceData!$AI$235),"",ReferenceData!$AI$235),"")</f>
        <v/>
      </c>
      <c r="AJ235" t="str">
        <f ca="1">IFERROR(IF(0=LEN(ReferenceData!$AJ$235),"",ReferenceData!$AJ$235),"")</f>
        <v/>
      </c>
      <c r="AK235" t="str">
        <f ca="1">IFERROR(IF(0=LEN(ReferenceData!$AK$235),"",ReferenceData!$AK$235),"")</f>
        <v/>
      </c>
      <c r="AL235" t="str">
        <f ca="1">IFERROR(IF(0=LEN(ReferenceData!$AL$235),"",ReferenceData!$AL$235),"")</f>
        <v/>
      </c>
      <c r="AM235" t="str">
        <f ca="1">IFERROR(IF(0=LEN(ReferenceData!$AM$235),"",ReferenceData!$AM$235),"")</f>
        <v/>
      </c>
      <c r="AN235" t="str">
        <f ca="1">IFERROR(IF(0=LEN(ReferenceData!$AN$235),"",ReferenceData!$AN$235),"")</f>
        <v/>
      </c>
      <c r="AO235" t="str">
        <f ca="1">IFERROR(IF(0=LEN(ReferenceData!$AO$235),"",ReferenceData!$AO$235),"")</f>
        <v/>
      </c>
      <c r="AP235" t="str">
        <f ca="1">IFERROR(IF(0=LEN(ReferenceData!$AP$235),"",ReferenceData!$AP$235),"")</f>
        <v/>
      </c>
      <c r="AQ235" t="str">
        <f ca="1">IFERROR(IF(0=LEN(ReferenceData!$AQ$235),"",ReferenceData!$AQ$235),"")</f>
        <v/>
      </c>
      <c r="AR235" t="str">
        <f ca="1">IFERROR(IF(0=LEN(ReferenceData!$AR$235),"",ReferenceData!$AR$235),"")</f>
        <v/>
      </c>
      <c r="AS235" t="str">
        <f ca="1">IFERROR(IF(0=LEN(ReferenceData!$AS$235),"",ReferenceData!$AS$235),"")</f>
        <v/>
      </c>
      <c r="AT235" t="str">
        <f ca="1">IFERROR(IF(0=LEN(ReferenceData!$AT$235),"",ReferenceData!$AT$235),"")</f>
        <v/>
      </c>
      <c r="AU235" t="str">
        <f ca="1">IFERROR(IF(0=LEN(ReferenceData!$AU$235),"",ReferenceData!$AU$235),"")</f>
        <v/>
      </c>
      <c r="AV235" t="str">
        <f ca="1">IFERROR(IF(0=LEN(ReferenceData!$AV$235),"",ReferenceData!$AV$235),"")</f>
        <v/>
      </c>
      <c r="AW235" t="str">
        <f ca="1">IFERROR(IF(0=LEN(ReferenceData!$AW$235),"",ReferenceData!$AW$235),"")</f>
        <v/>
      </c>
      <c r="AX235" t="str">
        <f ca="1">IFERROR(IF(0=LEN(ReferenceData!$AX$235),"",ReferenceData!$AX$235),"")</f>
        <v/>
      </c>
      <c r="AY235" t="str">
        <f ca="1">IFERROR(IF(0=LEN(ReferenceData!$AY$235),"",ReferenceData!$AY$235),"")</f>
        <v/>
      </c>
      <c r="AZ235" t="str">
        <f ca="1">IFERROR(IF(0=LEN(ReferenceData!$AZ$235),"",ReferenceData!$AZ$235),"")</f>
        <v/>
      </c>
      <c r="BA235" t="str">
        <f ca="1">IFERROR(IF(0=LEN(ReferenceData!$BA$235),"",ReferenceData!$BA$235),"")</f>
        <v/>
      </c>
      <c r="BB235" t="str">
        <f ca="1">IFERROR(IF(0=LEN(ReferenceData!$BB$235),"",ReferenceData!$BB$235),"")</f>
        <v/>
      </c>
      <c r="BC235" t="str">
        <f ca="1">IFERROR(IF(0=LEN(ReferenceData!$BC$235),"",ReferenceData!$BC$235),"")</f>
        <v/>
      </c>
      <c r="BD235" t="str">
        <f ca="1">IFERROR(IF(0=LEN(ReferenceData!$BD$235),"",ReferenceData!$BD$235),"")</f>
        <v/>
      </c>
      <c r="BE235" t="str">
        <f ca="1">IFERROR(IF(0=LEN(ReferenceData!$BE$235),"",ReferenceData!$BE$235),"")</f>
        <v/>
      </c>
      <c r="BF235" t="str">
        <f ca="1">IFERROR(IF(0=LEN(ReferenceData!$BF$235),"",ReferenceData!$BF$235),"")</f>
        <v/>
      </c>
      <c r="BG235" t="str">
        <f ca="1">IFERROR(IF(0=LEN(ReferenceData!$BG$235),"",ReferenceData!$BG$235),"")</f>
        <v/>
      </c>
      <c r="BH235" t="str">
        <f ca="1">IFERROR(IF(0=LEN(ReferenceData!$BH$235),"",ReferenceData!$BH$235),"")</f>
        <v/>
      </c>
      <c r="BI235" t="str">
        <f ca="1">IFERROR(IF(0=LEN(ReferenceData!$BI$235),"",ReferenceData!$BI$235),"")</f>
        <v/>
      </c>
      <c r="BJ235" t="str">
        <f ca="1">IFERROR(IF(0=LEN(ReferenceData!$BJ$235),"",ReferenceData!$BJ$235),"")</f>
        <v/>
      </c>
      <c r="BK235" t="str">
        <f ca="1">IFERROR(IF(0=LEN(ReferenceData!$BK$235),"",ReferenceData!$BK$235),"")</f>
        <v/>
      </c>
      <c r="BL235" t="str">
        <f ca="1">IFERROR(IF(0=LEN(ReferenceData!$BL$235),"",ReferenceData!$BL$235),"")</f>
        <v/>
      </c>
      <c r="BM235" t="str">
        <f ca="1">IFERROR(IF(0=LEN(ReferenceData!$BM$235),"",ReferenceData!$BM$235),"")</f>
        <v/>
      </c>
    </row>
    <row r="236" spans="1:65" x14ac:dyDescent="0.25">
      <c r="A236" t="str">
        <f>IFERROR(IF(0=LEN(ReferenceData!$A$236),"",ReferenceData!$A$236),"")</f>
        <v xml:space="preserve">    Renault SA</v>
      </c>
      <c r="B236" t="str">
        <f>IFERROR(IF(0=LEN(ReferenceData!$B$236),"",ReferenceData!$B$236),"")</f>
        <v>RNO FP Equity</v>
      </c>
      <c r="C236" t="str">
        <f>IFERROR(IF(0=LEN(ReferenceData!$C$236),"",ReferenceData!$C$236),"")</f>
        <v>RR971</v>
      </c>
      <c r="D236" t="str">
        <f>IFERROR(IF(0=LEN(ReferenceData!$D$236),"",ReferenceData!$D$236),"")</f>
        <v>CURRENT_PX_TO_FREE_CASH_FLOW</v>
      </c>
      <c r="E236" t="str">
        <f>IFERROR(IF(0=LEN(ReferenceData!$E$236),"",ReferenceData!$E$236),"")</f>
        <v>Dynamic</v>
      </c>
      <c r="F236" t="str">
        <f ca="1">IFERROR(IF(0=LEN(ReferenceData!$F$236),"",ReferenceData!$F$236),"")</f>
        <v/>
      </c>
      <c r="G236" t="str">
        <f ca="1">IFERROR(IF(0=LEN(ReferenceData!$G$236),"",ReferenceData!$G$236),"")</f>
        <v/>
      </c>
      <c r="H236" t="str">
        <f ca="1">IFERROR(IF(0=LEN(ReferenceData!$H$236),"",ReferenceData!$H$236),"")</f>
        <v/>
      </c>
      <c r="I236" t="str">
        <f ca="1">IFERROR(IF(0=LEN(ReferenceData!$I$236),"",ReferenceData!$I$236),"")</f>
        <v/>
      </c>
      <c r="J236" t="str">
        <f ca="1">IFERROR(IF(0=LEN(ReferenceData!$J$236),"",ReferenceData!$J$236),"")</f>
        <v/>
      </c>
      <c r="K236" t="str">
        <f ca="1">IFERROR(IF(0=LEN(ReferenceData!$K$236),"",ReferenceData!$K$236),"")</f>
        <v/>
      </c>
      <c r="L236" t="str">
        <f ca="1">IFERROR(IF(0=LEN(ReferenceData!$L$236),"",ReferenceData!$L$236),"")</f>
        <v/>
      </c>
      <c r="M236" t="str">
        <f ca="1">IFERROR(IF(0=LEN(ReferenceData!$M$236),"",ReferenceData!$M$236),"")</f>
        <v/>
      </c>
      <c r="N236" t="str">
        <f ca="1">IFERROR(IF(0=LEN(ReferenceData!$N$236),"",ReferenceData!$N$236),"")</f>
        <v/>
      </c>
      <c r="O236" t="str">
        <f ca="1">IFERROR(IF(0=LEN(ReferenceData!$O$236),"",ReferenceData!$O$236),"")</f>
        <v/>
      </c>
      <c r="P236" t="str">
        <f ca="1">IFERROR(IF(0=LEN(ReferenceData!$P$236),"",ReferenceData!$P$236),"")</f>
        <v/>
      </c>
      <c r="Q236" t="str">
        <f ca="1">IFERROR(IF(0=LEN(ReferenceData!$Q$236),"",ReferenceData!$Q$236),"")</f>
        <v/>
      </c>
      <c r="R236" t="str">
        <f ca="1">IFERROR(IF(0=LEN(ReferenceData!$R$236),"",ReferenceData!$R$236),"")</f>
        <v/>
      </c>
      <c r="S236" t="str">
        <f ca="1">IFERROR(IF(0=LEN(ReferenceData!$S$236),"",ReferenceData!$S$236),"")</f>
        <v/>
      </c>
      <c r="T236" t="str">
        <f ca="1">IFERROR(IF(0=LEN(ReferenceData!$T$236),"",ReferenceData!$T$236),"")</f>
        <v/>
      </c>
      <c r="U236" t="str">
        <f ca="1">IFERROR(IF(0=LEN(ReferenceData!$U$236),"",ReferenceData!$U$236),"")</f>
        <v/>
      </c>
      <c r="V236" t="str">
        <f ca="1">IFERROR(IF(0=LEN(ReferenceData!$V$236),"",ReferenceData!$V$236),"")</f>
        <v/>
      </c>
      <c r="W236" t="str">
        <f ca="1">IFERROR(IF(0=LEN(ReferenceData!$W$236),"",ReferenceData!$W$236),"")</f>
        <v/>
      </c>
      <c r="X236" t="str">
        <f ca="1">IFERROR(IF(0=LEN(ReferenceData!$X$236),"",ReferenceData!$X$236),"")</f>
        <v/>
      </c>
      <c r="Y236" t="str">
        <f ca="1">IFERROR(IF(0=LEN(ReferenceData!$Y$236),"",ReferenceData!$Y$236),"")</f>
        <v/>
      </c>
      <c r="Z236" t="str">
        <f ca="1">IFERROR(IF(0=LEN(ReferenceData!$Z$236),"",ReferenceData!$Z$236),"")</f>
        <v/>
      </c>
      <c r="AA236" t="str">
        <f ca="1">IFERROR(IF(0=LEN(ReferenceData!$AA$236),"",ReferenceData!$AA$236),"")</f>
        <v/>
      </c>
      <c r="AB236" t="str">
        <f ca="1">IFERROR(IF(0=LEN(ReferenceData!$AB$236),"",ReferenceData!$AB$236),"")</f>
        <v/>
      </c>
      <c r="AC236" t="str">
        <f ca="1">IFERROR(IF(0=LEN(ReferenceData!$AC$236),"",ReferenceData!$AC$236),"")</f>
        <v/>
      </c>
      <c r="AD236" t="str">
        <f ca="1">IFERROR(IF(0=LEN(ReferenceData!$AD$236),"",ReferenceData!$AD$236),"")</f>
        <v/>
      </c>
      <c r="AE236" t="str">
        <f ca="1">IFERROR(IF(0=LEN(ReferenceData!$AE$236),"",ReferenceData!$AE$236),"")</f>
        <v/>
      </c>
      <c r="AF236" t="str">
        <f ca="1">IFERROR(IF(0=LEN(ReferenceData!$AF$236),"",ReferenceData!$AF$236),"")</f>
        <v/>
      </c>
      <c r="AG236" t="str">
        <f ca="1">IFERROR(IF(0=LEN(ReferenceData!$AG$236),"",ReferenceData!$AG$236),"")</f>
        <v/>
      </c>
      <c r="AH236" t="str">
        <f ca="1">IFERROR(IF(0=LEN(ReferenceData!$AH$236),"",ReferenceData!$AH$236),"")</f>
        <v/>
      </c>
      <c r="AI236" t="str">
        <f ca="1">IFERROR(IF(0=LEN(ReferenceData!$AI$236),"",ReferenceData!$AI$236),"")</f>
        <v/>
      </c>
      <c r="AJ236" t="str">
        <f ca="1">IFERROR(IF(0=LEN(ReferenceData!$AJ$236),"",ReferenceData!$AJ$236),"")</f>
        <v/>
      </c>
      <c r="AK236" t="str">
        <f ca="1">IFERROR(IF(0=LEN(ReferenceData!$AK$236),"",ReferenceData!$AK$236),"")</f>
        <v/>
      </c>
      <c r="AL236" t="str">
        <f ca="1">IFERROR(IF(0=LEN(ReferenceData!$AL$236),"",ReferenceData!$AL$236),"")</f>
        <v/>
      </c>
      <c r="AM236" t="str">
        <f ca="1">IFERROR(IF(0=LEN(ReferenceData!$AM$236),"",ReferenceData!$AM$236),"")</f>
        <v/>
      </c>
      <c r="AN236" t="str">
        <f ca="1">IFERROR(IF(0=LEN(ReferenceData!$AN$236),"",ReferenceData!$AN$236),"")</f>
        <v/>
      </c>
      <c r="AO236" t="str">
        <f ca="1">IFERROR(IF(0=LEN(ReferenceData!$AO$236),"",ReferenceData!$AO$236),"")</f>
        <v/>
      </c>
      <c r="AP236" t="str">
        <f ca="1">IFERROR(IF(0=LEN(ReferenceData!$AP$236),"",ReferenceData!$AP$236),"")</f>
        <v/>
      </c>
      <c r="AQ236" t="str">
        <f ca="1">IFERROR(IF(0=LEN(ReferenceData!$AQ$236),"",ReferenceData!$AQ$236),"")</f>
        <v/>
      </c>
      <c r="AR236" t="str">
        <f ca="1">IFERROR(IF(0=LEN(ReferenceData!$AR$236),"",ReferenceData!$AR$236),"")</f>
        <v/>
      </c>
      <c r="AS236" t="str">
        <f ca="1">IFERROR(IF(0=LEN(ReferenceData!$AS$236),"",ReferenceData!$AS$236),"")</f>
        <v/>
      </c>
      <c r="AT236" t="str">
        <f ca="1">IFERROR(IF(0=LEN(ReferenceData!$AT$236),"",ReferenceData!$AT$236),"")</f>
        <v/>
      </c>
      <c r="AU236" t="str">
        <f ca="1">IFERROR(IF(0=LEN(ReferenceData!$AU$236),"",ReferenceData!$AU$236),"")</f>
        <v/>
      </c>
      <c r="AV236" t="str">
        <f ca="1">IFERROR(IF(0=LEN(ReferenceData!$AV$236),"",ReferenceData!$AV$236),"")</f>
        <v/>
      </c>
      <c r="AW236" t="str">
        <f ca="1">IFERROR(IF(0=LEN(ReferenceData!$AW$236),"",ReferenceData!$AW$236),"")</f>
        <v/>
      </c>
      <c r="AX236" t="str">
        <f ca="1">IFERROR(IF(0=LEN(ReferenceData!$AX$236),"",ReferenceData!$AX$236),"")</f>
        <v/>
      </c>
      <c r="AY236" t="str">
        <f ca="1">IFERROR(IF(0=LEN(ReferenceData!$AY$236),"",ReferenceData!$AY$236),"")</f>
        <v/>
      </c>
      <c r="AZ236" t="str">
        <f ca="1">IFERROR(IF(0=LEN(ReferenceData!$AZ$236),"",ReferenceData!$AZ$236),"")</f>
        <v/>
      </c>
      <c r="BA236" t="str">
        <f ca="1">IFERROR(IF(0=LEN(ReferenceData!$BA$236),"",ReferenceData!$BA$236),"")</f>
        <v/>
      </c>
      <c r="BB236" t="str">
        <f ca="1">IFERROR(IF(0=LEN(ReferenceData!$BB$236),"",ReferenceData!$BB$236),"")</f>
        <v/>
      </c>
      <c r="BC236" t="str">
        <f ca="1">IFERROR(IF(0=LEN(ReferenceData!$BC$236),"",ReferenceData!$BC$236),"")</f>
        <v/>
      </c>
      <c r="BD236" t="str">
        <f ca="1">IFERROR(IF(0=LEN(ReferenceData!$BD$236),"",ReferenceData!$BD$236),"")</f>
        <v/>
      </c>
      <c r="BE236" t="str">
        <f ca="1">IFERROR(IF(0=LEN(ReferenceData!$BE$236),"",ReferenceData!$BE$236),"")</f>
        <v/>
      </c>
      <c r="BF236" t="str">
        <f ca="1">IFERROR(IF(0=LEN(ReferenceData!$BF$236),"",ReferenceData!$BF$236),"")</f>
        <v/>
      </c>
      <c r="BG236" t="str">
        <f ca="1">IFERROR(IF(0=LEN(ReferenceData!$BG$236),"",ReferenceData!$BG$236),"")</f>
        <v/>
      </c>
      <c r="BH236" t="str">
        <f ca="1">IFERROR(IF(0=LEN(ReferenceData!$BH$236),"",ReferenceData!$BH$236),"")</f>
        <v/>
      </c>
      <c r="BI236" t="str">
        <f ca="1">IFERROR(IF(0=LEN(ReferenceData!$BI$236),"",ReferenceData!$BI$236),"")</f>
        <v/>
      </c>
      <c r="BJ236" t="str">
        <f ca="1">IFERROR(IF(0=LEN(ReferenceData!$BJ$236),"",ReferenceData!$BJ$236),"")</f>
        <v/>
      </c>
      <c r="BK236" t="str">
        <f ca="1">IFERROR(IF(0=LEN(ReferenceData!$BK$236),"",ReferenceData!$BK$236),"")</f>
        <v/>
      </c>
      <c r="BL236" t="str">
        <f ca="1">IFERROR(IF(0=LEN(ReferenceData!$BL$236),"",ReferenceData!$BL$236),"")</f>
        <v/>
      </c>
      <c r="BM236" t="str">
        <f ca="1">IFERROR(IF(0=LEN(ReferenceData!$BM$236),"",ReferenceData!$BM$236),"")</f>
        <v/>
      </c>
    </row>
    <row r="237" spans="1:65" x14ac:dyDescent="0.25">
      <c r="A237" t="str">
        <f>IFERROR(IF(0=LEN(ReferenceData!$A$237),"",ReferenceData!$A$237),"")</f>
        <v xml:space="preserve">    SAIC Motor Corp Ltd</v>
      </c>
      <c r="B237" t="str">
        <f>IFERROR(IF(0=LEN(ReferenceData!$B$237),"",ReferenceData!$B$237),"")</f>
        <v>600104 CH Equity</v>
      </c>
      <c r="C237" t="str">
        <f>IFERROR(IF(0=LEN(ReferenceData!$C$237),"",ReferenceData!$C$237),"")</f>
        <v>RR971</v>
      </c>
      <c r="D237" t="str">
        <f>IFERROR(IF(0=LEN(ReferenceData!$D$237),"",ReferenceData!$D$237),"")</f>
        <v>CURRENT_PX_TO_FREE_CASH_FLOW</v>
      </c>
      <c r="E237" t="str">
        <f>IFERROR(IF(0=LEN(ReferenceData!$E$237),"",ReferenceData!$E$237),"")</f>
        <v>Dynamic</v>
      </c>
      <c r="F237" t="str">
        <f ca="1">IFERROR(IF(0=LEN(ReferenceData!$F$237),"",ReferenceData!$F$237),"")</f>
        <v/>
      </c>
      <c r="G237" t="str">
        <f ca="1">IFERROR(IF(0=LEN(ReferenceData!$G$237),"",ReferenceData!$G$237),"")</f>
        <v/>
      </c>
      <c r="H237" t="str">
        <f ca="1">IFERROR(IF(0=LEN(ReferenceData!$H$237),"",ReferenceData!$H$237),"")</f>
        <v/>
      </c>
      <c r="I237">
        <f ca="1">IFERROR(IF(0=LEN(ReferenceData!$I$237),"",ReferenceData!$I$237),"")</f>
        <v>33.984257100000001</v>
      </c>
      <c r="J237">
        <f ca="1">IFERROR(IF(0=LEN(ReferenceData!$J$237),"",ReferenceData!$J$237),"")</f>
        <v>34.044317640000003</v>
      </c>
      <c r="K237">
        <f ca="1">IFERROR(IF(0=LEN(ReferenceData!$K$237),"",ReferenceData!$K$237),"")</f>
        <v>14.197234570000001</v>
      </c>
      <c r="L237">
        <f ca="1">IFERROR(IF(0=LEN(ReferenceData!$L$237),"",ReferenceData!$L$237),"")</f>
        <v>15.380069219999999</v>
      </c>
      <c r="M237">
        <f ca="1">IFERROR(IF(0=LEN(ReferenceData!$M$237),"",ReferenceData!$M$237),"")</f>
        <v>9.3478305299999995</v>
      </c>
      <c r="N237">
        <f ca="1">IFERROR(IF(0=LEN(ReferenceData!$N$237),"",ReferenceData!$N$237),"")</f>
        <v>13.37325987</v>
      </c>
      <c r="O237">
        <f ca="1">IFERROR(IF(0=LEN(ReferenceData!$O$237),"",ReferenceData!$O$237),"")</f>
        <v>11.59815369</v>
      </c>
      <c r="P237">
        <f ca="1">IFERROR(IF(0=LEN(ReferenceData!$P$237),"",ReferenceData!$P$237),"")</f>
        <v>4.9327896129999997</v>
      </c>
      <c r="Q237">
        <f ca="1">IFERROR(IF(0=LEN(ReferenceData!$Q$237),"",ReferenceData!$Q$237),"")</f>
        <v>6.1307428689999997</v>
      </c>
      <c r="R237">
        <f ca="1">IFERROR(IF(0=LEN(ReferenceData!$R$237),"",ReferenceData!$R$237),"")</f>
        <v>6.8182351580000002</v>
      </c>
      <c r="S237">
        <f ca="1">IFERROR(IF(0=LEN(ReferenceData!$S$237),"",ReferenceData!$S$237),"")</f>
        <v>6.1956209270000002</v>
      </c>
      <c r="T237">
        <f ca="1">IFERROR(IF(0=LEN(ReferenceData!$T$237),"",ReferenceData!$T$237),"")</f>
        <v>7.864777965</v>
      </c>
      <c r="U237">
        <f ca="1">IFERROR(IF(0=LEN(ReferenceData!$U$237),"",ReferenceData!$U$237),"")</f>
        <v>28.088962330000001</v>
      </c>
      <c r="V237">
        <f ca="1">IFERROR(IF(0=LEN(ReferenceData!$V$237),"",ReferenceData!$V$237),"")</f>
        <v>28.255673300000002</v>
      </c>
      <c r="W237">
        <f ca="1">IFERROR(IF(0=LEN(ReferenceData!$W$237),"",ReferenceData!$W$237),"")</f>
        <v>12.82508339</v>
      </c>
      <c r="X237">
        <f ca="1">IFERROR(IF(0=LEN(ReferenceData!$X$237),"",ReferenceData!$X$237),"")</f>
        <v>12.68966086</v>
      </c>
      <c r="Y237">
        <f ca="1">IFERROR(IF(0=LEN(ReferenceData!$Y$237),"",ReferenceData!$Y$237),"")</f>
        <v>11.44478967</v>
      </c>
      <c r="Z237">
        <f ca="1">IFERROR(IF(0=LEN(ReferenceData!$Z$237),"",ReferenceData!$Z$237),"")</f>
        <v>19.342236509999999</v>
      </c>
      <c r="AA237">
        <f ca="1">IFERROR(IF(0=LEN(ReferenceData!$AA$237),"",ReferenceData!$AA$237),"")</f>
        <v>8.7105794979999995</v>
      </c>
      <c r="AB237">
        <f ca="1">IFERROR(IF(0=LEN(ReferenceData!$AB$237),"",ReferenceData!$AB$237),"")</f>
        <v>37.847009360000001</v>
      </c>
      <c r="AC237">
        <f ca="1">IFERROR(IF(0=LEN(ReferenceData!$AC$237),"",ReferenceData!$AC$237),"")</f>
        <v>6.1037374690000004</v>
      </c>
      <c r="AD237">
        <f ca="1">IFERROR(IF(0=LEN(ReferenceData!$AD$237),"",ReferenceData!$AD$237),"")</f>
        <v>5.005937318</v>
      </c>
      <c r="AE237">
        <f ca="1">IFERROR(IF(0=LEN(ReferenceData!$AE$237),"",ReferenceData!$AE$237),"")</f>
        <v>10.31042828</v>
      </c>
      <c r="AF237">
        <f ca="1">IFERROR(IF(0=LEN(ReferenceData!$AF$237),"",ReferenceData!$AF$237),"")</f>
        <v>4.0505746479999996</v>
      </c>
      <c r="AG237">
        <f ca="1">IFERROR(IF(0=LEN(ReferenceData!$AG$237),"",ReferenceData!$AG$237),"")</f>
        <v>4.1081336329999996</v>
      </c>
      <c r="AH237">
        <f ca="1">IFERROR(IF(0=LEN(ReferenceData!$AH$237),"",ReferenceData!$AH$237),"")</f>
        <v>5.9377513869999996</v>
      </c>
      <c r="AI237">
        <f ca="1">IFERROR(IF(0=LEN(ReferenceData!$AI$237),"",ReferenceData!$AI$237),"")</f>
        <v>5.7572408020000001</v>
      </c>
      <c r="AJ237">
        <f ca="1">IFERROR(IF(0=LEN(ReferenceData!$AJ$237),"",ReferenceData!$AJ$237),"")</f>
        <v>4.3191653929999996</v>
      </c>
      <c r="AK237">
        <f ca="1">IFERROR(IF(0=LEN(ReferenceData!$AK$237),"",ReferenceData!$AK$237),"")</f>
        <v>6.4869109360000001</v>
      </c>
      <c r="AL237">
        <f ca="1">IFERROR(IF(0=LEN(ReferenceData!$AL$237),"",ReferenceData!$AL$237),"")</f>
        <v>6.960649267</v>
      </c>
      <c r="AM237">
        <f ca="1">IFERROR(IF(0=LEN(ReferenceData!$AM$237),"",ReferenceData!$AM$237),"")</f>
        <v>5.538337737</v>
      </c>
      <c r="AN237">
        <f ca="1">IFERROR(IF(0=LEN(ReferenceData!$AN$237),"",ReferenceData!$AN$237),"")</f>
        <v>9.8931151049999997</v>
      </c>
      <c r="AO237">
        <f ca="1">IFERROR(IF(0=LEN(ReferenceData!$AO$237),"",ReferenceData!$AO$237),"")</f>
        <v>8.8176148100000002</v>
      </c>
      <c r="AP237">
        <f ca="1">IFERROR(IF(0=LEN(ReferenceData!$AP$237),"",ReferenceData!$AP$237),"")</f>
        <v>5.1872870249999998</v>
      </c>
      <c r="AQ237">
        <f ca="1">IFERROR(IF(0=LEN(ReferenceData!$AQ$237),"",ReferenceData!$AQ$237),"")</f>
        <v>7.990650434</v>
      </c>
      <c r="AR237">
        <f ca="1">IFERROR(IF(0=LEN(ReferenceData!$AR$237),"",ReferenceData!$AR$237),"")</f>
        <v>2050.7952420000001</v>
      </c>
      <c r="AS237" t="str">
        <f ca="1">IFERROR(IF(0=LEN(ReferenceData!$AS$237),"",ReferenceData!$AS$237),"")</f>
        <v/>
      </c>
      <c r="AT237" t="str">
        <f ca="1">IFERROR(IF(0=LEN(ReferenceData!$AT$237),"",ReferenceData!$AT$237),"")</f>
        <v/>
      </c>
      <c r="AU237">
        <f ca="1">IFERROR(IF(0=LEN(ReferenceData!$AU$237),"",ReferenceData!$AU$237),"")</f>
        <v>5.564738331</v>
      </c>
      <c r="AV237">
        <f ca="1">IFERROR(IF(0=LEN(ReferenceData!$AV$237),"",ReferenceData!$AV$237),"")</f>
        <v>7.1203593659999997</v>
      </c>
      <c r="AW237">
        <f ca="1">IFERROR(IF(0=LEN(ReferenceData!$AW$237),"",ReferenceData!$AW$237),"")</f>
        <v>9.2771583409999998</v>
      </c>
      <c r="AX237">
        <f ca="1">IFERROR(IF(0=LEN(ReferenceData!$AX$237),"",ReferenceData!$AX$237),"")</f>
        <v>13.250257469999999</v>
      </c>
      <c r="AY237">
        <f ca="1">IFERROR(IF(0=LEN(ReferenceData!$AY$237),"",ReferenceData!$AY$237),"")</f>
        <v>21.999609410000001</v>
      </c>
      <c r="AZ237">
        <f ca="1">IFERROR(IF(0=LEN(ReferenceData!$AZ$237),"",ReferenceData!$AZ$237),"")</f>
        <v>24.024712090000001</v>
      </c>
      <c r="BA237">
        <f ca="1">IFERROR(IF(0=LEN(ReferenceData!$BA$237),"",ReferenceData!$BA$237),"")</f>
        <v>10.42896281</v>
      </c>
      <c r="BB237">
        <f ca="1">IFERROR(IF(0=LEN(ReferenceData!$BB$237),"",ReferenceData!$BB$237),"")</f>
        <v>8.7531901839999993</v>
      </c>
      <c r="BC237">
        <f ca="1">IFERROR(IF(0=LEN(ReferenceData!$BC$237),"",ReferenceData!$BC$237),"")</f>
        <v>6.5966709520000002</v>
      </c>
      <c r="BD237">
        <f ca="1">IFERROR(IF(0=LEN(ReferenceData!$BD$237),"",ReferenceData!$BD$237),"")</f>
        <v>16.43481147</v>
      </c>
      <c r="BE237">
        <f ca="1">IFERROR(IF(0=LEN(ReferenceData!$BE$237),"",ReferenceData!$BE$237),"")</f>
        <v>9.133831722</v>
      </c>
      <c r="BF237">
        <f ca="1">IFERROR(IF(0=LEN(ReferenceData!$BF$237),"",ReferenceData!$BF$237),"")</f>
        <v>9.7412069129999992</v>
      </c>
      <c r="BG237">
        <f ca="1">IFERROR(IF(0=LEN(ReferenceData!$BG$237),"",ReferenceData!$BG$237),"")</f>
        <v>10.785418760000001</v>
      </c>
      <c r="BH237" t="str">
        <f ca="1">IFERROR(IF(0=LEN(ReferenceData!$BH$237),"",ReferenceData!$BH$237),"")</f>
        <v/>
      </c>
      <c r="BI237">
        <f ca="1">IFERROR(IF(0=LEN(ReferenceData!$BI$237),"",ReferenceData!$BI$237),"")</f>
        <v>20.417131489999999</v>
      </c>
      <c r="BJ237">
        <f ca="1">IFERROR(IF(0=LEN(ReferenceData!$BJ$237),"",ReferenceData!$BJ$237),"")</f>
        <v>19.427755080000001</v>
      </c>
      <c r="BK237">
        <f ca="1">IFERROR(IF(0=LEN(ReferenceData!$BK$237),"",ReferenceData!$BK$237),"")</f>
        <v>28.55616448</v>
      </c>
      <c r="BL237">
        <f ca="1">IFERROR(IF(0=LEN(ReferenceData!$BL$237),"",ReferenceData!$BL$237),"")</f>
        <v>69.31005064</v>
      </c>
      <c r="BM237">
        <f ca="1">IFERROR(IF(0=LEN(ReferenceData!$BM$237),"",ReferenceData!$BM$237),"")</f>
        <v>48.388598350000002</v>
      </c>
    </row>
    <row r="238" spans="1:65" x14ac:dyDescent="0.25">
      <c r="A238" t="str">
        <f>IFERROR(IF(0=LEN(ReferenceData!$A$238),"",ReferenceData!$A$238),"")</f>
        <v xml:space="preserve">    Sanyang Motor Co Ltd</v>
      </c>
      <c r="B238" t="str">
        <f>IFERROR(IF(0=LEN(ReferenceData!$B$238),"",ReferenceData!$B$238),"")</f>
        <v>2206 TT Equity</v>
      </c>
      <c r="C238" t="str">
        <f>IFERROR(IF(0=LEN(ReferenceData!$C$238),"",ReferenceData!$C$238),"")</f>
        <v>RR971</v>
      </c>
      <c r="D238" t="str">
        <f>IFERROR(IF(0=LEN(ReferenceData!$D$238),"",ReferenceData!$D$238),"")</f>
        <v>CURRENT_PX_TO_FREE_CASH_FLOW</v>
      </c>
      <c r="E238" t="str">
        <f>IFERROR(IF(0=LEN(ReferenceData!$E$238),"",ReferenceData!$E$238),"")</f>
        <v>Dynamic</v>
      </c>
      <c r="F238" t="str">
        <f ca="1">IFERROR(IF(0=LEN(ReferenceData!$F$238),"",ReferenceData!$F$238),"")</f>
        <v/>
      </c>
      <c r="G238" t="str">
        <f ca="1">IFERROR(IF(0=LEN(ReferenceData!$G$238),"",ReferenceData!$G$238),"")</f>
        <v/>
      </c>
      <c r="H238" t="str">
        <f ca="1">IFERROR(IF(0=LEN(ReferenceData!$H$238),"",ReferenceData!$H$238),"")</f>
        <v/>
      </c>
      <c r="I238" t="str">
        <f ca="1">IFERROR(IF(0=LEN(ReferenceData!$I$238),"",ReferenceData!$I$238),"")</f>
        <v/>
      </c>
      <c r="J238">
        <f ca="1">IFERROR(IF(0=LEN(ReferenceData!$J$238),"",ReferenceData!$J$238),"")</f>
        <v>14.98288913</v>
      </c>
      <c r="K238">
        <f ca="1">IFERROR(IF(0=LEN(ReferenceData!$K$238),"",ReferenceData!$K$238),"")</f>
        <v>14.98288913</v>
      </c>
      <c r="L238">
        <f ca="1">IFERROR(IF(0=LEN(ReferenceData!$L$238),"",ReferenceData!$L$238),"")</f>
        <v>5.5165151799999999</v>
      </c>
      <c r="M238">
        <f ca="1">IFERROR(IF(0=LEN(ReferenceData!$M$238),"",ReferenceData!$M$238),"")</f>
        <v>6.555281495</v>
      </c>
      <c r="N238">
        <f ca="1">IFERROR(IF(0=LEN(ReferenceData!$N$238),"",ReferenceData!$N$238),"")</f>
        <v>4.9047620539999999</v>
      </c>
      <c r="O238">
        <f ca="1">IFERROR(IF(0=LEN(ReferenceData!$O$238),"",ReferenceData!$O$238),"")</f>
        <v>5.2983501620000002</v>
      </c>
      <c r="P238">
        <f ca="1">IFERROR(IF(0=LEN(ReferenceData!$P$238),"",ReferenceData!$P$238),"")</f>
        <v>5.9900783510000002</v>
      </c>
      <c r="Q238">
        <f ca="1">IFERROR(IF(0=LEN(ReferenceData!$Q$238),"",ReferenceData!$Q$238),"")</f>
        <v>11.022014009999999</v>
      </c>
      <c r="R238">
        <f ca="1">IFERROR(IF(0=LEN(ReferenceData!$R$238),"",ReferenceData!$R$238),"")</f>
        <v>14.615684760000001</v>
      </c>
      <c r="S238" t="str">
        <f ca="1">IFERROR(IF(0=LEN(ReferenceData!$S$238),"",ReferenceData!$S$238),"")</f>
        <v/>
      </c>
      <c r="T238" t="str">
        <f ca="1">IFERROR(IF(0=LEN(ReferenceData!$T$238),"",ReferenceData!$T$238),"")</f>
        <v/>
      </c>
      <c r="U238" t="str">
        <f ca="1">IFERROR(IF(0=LEN(ReferenceData!$U$238),"",ReferenceData!$U$238),"")</f>
        <v/>
      </c>
      <c r="V238" t="str">
        <f ca="1">IFERROR(IF(0=LEN(ReferenceData!$V$238),"",ReferenceData!$V$238),"")</f>
        <v/>
      </c>
      <c r="W238" t="str">
        <f ca="1">IFERROR(IF(0=LEN(ReferenceData!$W$238),"",ReferenceData!$W$238),"")</f>
        <v/>
      </c>
      <c r="X238" t="str">
        <f ca="1">IFERROR(IF(0=LEN(ReferenceData!$X$238),"",ReferenceData!$X$238),"")</f>
        <v/>
      </c>
      <c r="Y238" t="str">
        <f ca="1">IFERROR(IF(0=LEN(ReferenceData!$Y$238),"",ReferenceData!$Y$238),"")</f>
        <v/>
      </c>
      <c r="Z238" t="str">
        <f ca="1">IFERROR(IF(0=LEN(ReferenceData!$Z$238),"",ReferenceData!$Z$238),"")</f>
        <v/>
      </c>
      <c r="AA238" t="str">
        <f ca="1">IFERROR(IF(0=LEN(ReferenceData!$AA$238),"",ReferenceData!$AA$238),"")</f>
        <v/>
      </c>
      <c r="AB238" t="str">
        <f ca="1">IFERROR(IF(0=LEN(ReferenceData!$AB$238),"",ReferenceData!$AB$238),"")</f>
        <v/>
      </c>
      <c r="AC238">
        <f ca="1">IFERROR(IF(0=LEN(ReferenceData!$AC$238),"",ReferenceData!$AC$238),"")</f>
        <v>48.012167410000004</v>
      </c>
      <c r="AD238">
        <f ca="1">IFERROR(IF(0=LEN(ReferenceData!$AD$238),"",ReferenceData!$AD$238),"")</f>
        <v>43.306800729999999</v>
      </c>
      <c r="AE238">
        <f ca="1">IFERROR(IF(0=LEN(ReferenceData!$AE$238),"",ReferenceData!$AE$238),"")</f>
        <v>61.221059339999996</v>
      </c>
      <c r="AF238" t="str">
        <f ca="1">IFERROR(IF(0=LEN(ReferenceData!$AF$238),"",ReferenceData!$AF$238),"")</f>
        <v/>
      </c>
      <c r="AG238" t="str">
        <f ca="1">IFERROR(IF(0=LEN(ReferenceData!$AG$238),"",ReferenceData!$AG$238),"")</f>
        <v/>
      </c>
      <c r="AH238">
        <f ca="1">IFERROR(IF(0=LEN(ReferenceData!$AH$238),"",ReferenceData!$AH$238),"")</f>
        <v>2884.8461929999999</v>
      </c>
      <c r="AI238">
        <f ca="1">IFERROR(IF(0=LEN(ReferenceData!$AI$238),"",ReferenceData!$AI$238),"")</f>
        <v>2415.0493580000002</v>
      </c>
      <c r="AJ238">
        <f ca="1">IFERROR(IF(0=LEN(ReferenceData!$AJ$238),"",ReferenceData!$AJ$238),"")</f>
        <v>13.63245553</v>
      </c>
      <c r="AK238">
        <f ca="1">IFERROR(IF(0=LEN(ReferenceData!$AK$238),"",ReferenceData!$AK$238),"")</f>
        <v>13.20124023</v>
      </c>
      <c r="AL238" t="str">
        <f ca="1">IFERROR(IF(0=LEN(ReferenceData!$AL$238),"",ReferenceData!$AL$238),"")</f>
        <v/>
      </c>
      <c r="AM238" t="str">
        <f ca="1">IFERROR(IF(0=LEN(ReferenceData!$AM$238),"",ReferenceData!$AM$238),"")</f>
        <v/>
      </c>
      <c r="AN238">
        <f ca="1">IFERROR(IF(0=LEN(ReferenceData!$AN$238),"",ReferenceData!$AN$238),"")</f>
        <v>36.118713139999997</v>
      </c>
      <c r="AO238">
        <f ca="1">IFERROR(IF(0=LEN(ReferenceData!$AO$238),"",ReferenceData!$AO$238),"")</f>
        <v>27.601165859999998</v>
      </c>
      <c r="AP238">
        <f ca="1">IFERROR(IF(0=LEN(ReferenceData!$AP$238),"",ReferenceData!$AP$238),"")</f>
        <v>7.3312857380000001</v>
      </c>
      <c r="AQ238">
        <f ca="1">IFERROR(IF(0=LEN(ReferenceData!$AQ$238),"",ReferenceData!$AQ$238),"")</f>
        <v>8.9052163120000003</v>
      </c>
      <c r="AR238">
        <f ca="1">IFERROR(IF(0=LEN(ReferenceData!$AR$238),"",ReferenceData!$AR$238),"")</f>
        <v>8.2484835019999991</v>
      </c>
      <c r="AS238" t="str">
        <f ca="1">IFERROR(IF(0=LEN(ReferenceData!$AS$238),"",ReferenceData!$AS$238),"")</f>
        <v/>
      </c>
      <c r="AT238" t="str">
        <f ca="1">IFERROR(IF(0=LEN(ReferenceData!$AT$238),"",ReferenceData!$AT$238),"")</f>
        <v/>
      </c>
      <c r="AU238" t="str">
        <f ca="1">IFERROR(IF(0=LEN(ReferenceData!$AU$238),"",ReferenceData!$AU$238),"")</f>
        <v/>
      </c>
      <c r="AV238" t="str">
        <f ca="1">IFERROR(IF(0=LEN(ReferenceData!$AV$238),"",ReferenceData!$AV$238),"")</f>
        <v/>
      </c>
      <c r="AW238" t="str">
        <f ca="1">IFERROR(IF(0=LEN(ReferenceData!$AW$238),"",ReferenceData!$AW$238),"")</f>
        <v/>
      </c>
      <c r="AX238" t="str">
        <f ca="1">IFERROR(IF(0=LEN(ReferenceData!$AX$238),"",ReferenceData!$AX$238),"")</f>
        <v/>
      </c>
      <c r="AY238" t="str">
        <f ca="1">IFERROR(IF(0=LEN(ReferenceData!$AY$238),"",ReferenceData!$AY$238),"")</f>
        <v/>
      </c>
      <c r="AZ238" t="str">
        <f ca="1">IFERROR(IF(0=LEN(ReferenceData!$AZ$238),"",ReferenceData!$AZ$238),"")</f>
        <v/>
      </c>
      <c r="BA238" t="str">
        <f ca="1">IFERROR(IF(0=LEN(ReferenceData!$BA$238),"",ReferenceData!$BA$238),"")</f>
        <v/>
      </c>
      <c r="BB238" t="str">
        <f ca="1">IFERROR(IF(0=LEN(ReferenceData!$BB$238),"",ReferenceData!$BB$238),"")</f>
        <v/>
      </c>
      <c r="BC238" t="str">
        <f ca="1">IFERROR(IF(0=LEN(ReferenceData!$BC$238),"",ReferenceData!$BC$238),"")</f>
        <v/>
      </c>
      <c r="BD238" t="str">
        <f ca="1">IFERROR(IF(0=LEN(ReferenceData!$BD$238),"",ReferenceData!$BD$238),"")</f>
        <v/>
      </c>
      <c r="BE238" t="str">
        <f ca="1">IFERROR(IF(0=LEN(ReferenceData!$BE$238),"",ReferenceData!$BE$238),"")</f>
        <v/>
      </c>
      <c r="BF238" t="str">
        <f ca="1">IFERROR(IF(0=LEN(ReferenceData!$BF$238),"",ReferenceData!$BF$238),"")</f>
        <v/>
      </c>
      <c r="BG238" t="str">
        <f ca="1">IFERROR(IF(0=LEN(ReferenceData!$BG$238),"",ReferenceData!$BG$238),"")</f>
        <v/>
      </c>
      <c r="BH238" t="str">
        <f ca="1">IFERROR(IF(0=LEN(ReferenceData!$BH$238),"",ReferenceData!$BH$238),"")</f>
        <v/>
      </c>
      <c r="BI238" t="str">
        <f ca="1">IFERROR(IF(0=LEN(ReferenceData!$BI$238),"",ReferenceData!$BI$238),"")</f>
        <v/>
      </c>
      <c r="BJ238" t="str">
        <f ca="1">IFERROR(IF(0=LEN(ReferenceData!$BJ$238),"",ReferenceData!$BJ$238),"")</f>
        <v/>
      </c>
      <c r="BK238" t="str">
        <f ca="1">IFERROR(IF(0=LEN(ReferenceData!$BK$238),"",ReferenceData!$BK$238),"")</f>
        <v/>
      </c>
      <c r="BL238" t="str">
        <f ca="1">IFERROR(IF(0=LEN(ReferenceData!$BL$238),"",ReferenceData!$BL$238),"")</f>
        <v/>
      </c>
      <c r="BM238" t="str">
        <f ca="1">IFERROR(IF(0=LEN(ReferenceData!$BM$238),"",ReferenceData!$BM$238),"")</f>
        <v/>
      </c>
    </row>
    <row r="239" spans="1:65" x14ac:dyDescent="0.25">
      <c r="A239" t="str">
        <f>IFERROR(IF(0=LEN(ReferenceData!$A$239),"",ReferenceData!$A$239),"")</f>
        <v xml:space="preserve">    Sollers PJSC</v>
      </c>
      <c r="B239" t="str">
        <f>IFERROR(IF(0=LEN(ReferenceData!$B$239),"",ReferenceData!$B$239),"")</f>
        <v>SVAV RM Equity</v>
      </c>
      <c r="C239" t="str">
        <f>IFERROR(IF(0=LEN(ReferenceData!$C$239),"",ReferenceData!$C$239),"")</f>
        <v>RR971</v>
      </c>
      <c r="D239" t="str">
        <f>IFERROR(IF(0=LEN(ReferenceData!$D$239),"",ReferenceData!$D$239),"")</f>
        <v>CURRENT_PX_TO_FREE_CASH_FLOW</v>
      </c>
      <c r="E239" t="str">
        <f>IFERROR(IF(0=LEN(ReferenceData!$E$239),"",ReferenceData!$E$239),"")</f>
        <v>Dynamic</v>
      </c>
      <c r="F239" t="str">
        <f ca="1">IFERROR(IF(0=LEN(ReferenceData!$F$239),"",ReferenceData!$F$239),"")</f>
        <v/>
      </c>
      <c r="G239" t="str">
        <f ca="1">IFERROR(IF(0=LEN(ReferenceData!$G$239),"",ReferenceData!$G$239),"")</f>
        <v/>
      </c>
      <c r="H239" t="str">
        <f ca="1">IFERROR(IF(0=LEN(ReferenceData!$H$239),"",ReferenceData!$H$239),"")</f>
        <v/>
      </c>
      <c r="I239" t="str">
        <f ca="1">IFERROR(IF(0=LEN(ReferenceData!$I$239),"",ReferenceData!$I$239),"")</f>
        <v/>
      </c>
      <c r="J239" t="str">
        <f ca="1">IFERROR(IF(0=LEN(ReferenceData!$J$239),"",ReferenceData!$J$239),"")</f>
        <v/>
      </c>
      <c r="K239" t="str">
        <f ca="1">IFERROR(IF(0=LEN(ReferenceData!$K$239),"",ReferenceData!$K$239),"")</f>
        <v/>
      </c>
      <c r="L239" t="str">
        <f ca="1">IFERROR(IF(0=LEN(ReferenceData!$L$239),"",ReferenceData!$L$239),"")</f>
        <v/>
      </c>
      <c r="M239" t="str">
        <f ca="1">IFERROR(IF(0=LEN(ReferenceData!$M$239),"",ReferenceData!$M$239),"")</f>
        <v/>
      </c>
      <c r="N239" t="str">
        <f ca="1">IFERROR(IF(0=LEN(ReferenceData!$N$239),"",ReferenceData!$N$239),"")</f>
        <v/>
      </c>
      <c r="O239" t="str">
        <f ca="1">IFERROR(IF(0=LEN(ReferenceData!$O$239),"",ReferenceData!$O$239),"")</f>
        <v/>
      </c>
      <c r="P239" t="str">
        <f ca="1">IFERROR(IF(0=LEN(ReferenceData!$P$239),"",ReferenceData!$P$239),"")</f>
        <v/>
      </c>
      <c r="Q239" t="str">
        <f ca="1">IFERROR(IF(0=LEN(ReferenceData!$Q$239),"",ReferenceData!$Q$239),"")</f>
        <v/>
      </c>
      <c r="R239" t="str">
        <f ca="1">IFERROR(IF(0=LEN(ReferenceData!$R$239),"",ReferenceData!$R$239),"")</f>
        <v/>
      </c>
      <c r="S239" t="str">
        <f ca="1">IFERROR(IF(0=LEN(ReferenceData!$S$239),"",ReferenceData!$S$239),"")</f>
        <v/>
      </c>
      <c r="T239" t="str">
        <f ca="1">IFERROR(IF(0=LEN(ReferenceData!$T$239),"",ReferenceData!$T$239),"")</f>
        <v/>
      </c>
      <c r="U239" t="str">
        <f ca="1">IFERROR(IF(0=LEN(ReferenceData!$U$239),"",ReferenceData!$U$239),"")</f>
        <v/>
      </c>
      <c r="V239" t="str">
        <f ca="1">IFERROR(IF(0=LEN(ReferenceData!$V$239),"",ReferenceData!$V$239),"")</f>
        <v/>
      </c>
      <c r="W239" t="str">
        <f ca="1">IFERROR(IF(0=LEN(ReferenceData!$W$239),"",ReferenceData!$W$239),"")</f>
        <v/>
      </c>
      <c r="X239" t="str">
        <f ca="1">IFERROR(IF(0=LEN(ReferenceData!$X$239),"",ReferenceData!$X$239),"")</f>
        <v/>
      </c>
      <c r="Y239" t="str">
        <f ca="1">IFERROR(IF(0=LEN(ReferenceData!$Y$239),"",ReferenceData!$Y$239),"")</f>
        <v/>
      </c>
      <c r="Z239" t="str">
        <f ca="1">IFERROR(IF(0=LEN(ReferenceData!$Z$239),"",ReferenceData!$Z$239),"")</f>
        <v/>
      </c>
      <c r="AA239" t="str">
        <f ca="1">IFERROR(IF(0=LEN(ReferenceData!$AA$239),"",ReferenceData!$AA$239),"")</f>
        <v/>
      </c>
      <c r="AB239" t="str">
        <f ca="1">IFERROR(IF(0=LEN(ReferenceData!$AB$239),"",ReferenceData!$AB$239),"")</f>
        <v/>
      </c>
      <c r="AC239" t="str">
        <f ca="1">IFERROR(IF(0=LEN(ReferenceData!$AC$239),"",ReferenceData!$AC$239),"")</f>
        <v/>
      </c>
      <c r="AD239" t="str">
        <f ca="1">IFERROR(IF(0=LEN(ReferenceData!$AD$239),"",ReferenceData!$AD$239),"")</f>
        <v/>
      </c>
      <c r="AE239" t="str">
        <f ca="1">IFERROR(IF(0=LEN(ReferenceData!$AE$239),"",ReferenceData!$AE$239),"")</f>
        <v/>
      </c>
      <c r="AF239" t="str">
        <f ca="1">IFERROR(IF(0=LEN(ReferenceData!$AF$239),"",ReferenceData!$AF$239),"")</f>
        <v/>
      </c>
      <c r="AG239" t="str">
        <f ca="1">IFERROR(IF(0=LEN(ReferenceData!$AG$239),"",ReferenceData!$AG$239),"")</f>
        <v/>
      </c>
      <c r="AH239" t="str">
        <f ca="1">IFERROR(IF(0=LEN(ReferenceData!$AH$239),"",ReferenceData!$AH$239),"")</f>
        <v/>
      </c>
      <c r="AI239" t="str">
        <f ca="1">IFERROR(IF(0=LEN(ReferenceData!$AI$239),"",ReferenceData!$AI$239),"")</f>
        <v/>
      </c>
      <c r="AJ239" t="str">
        <f ca="1">IFERROR(IF(0=LEN(ReferenceData!$AJ$239),"",ReferenceData!$AJ$239),"")</f>
        <v/>
      </c>
      <c r="AK239" t="str">
        <f ca="1">IFERROR(IF(0=LEN(ReferenceData!$AK$239),"",ReferenceData!$AK$239),"")</f>
        <v/>
      </c>
      <c r="AL239" t="str">
        <f ca="1">IFERROR(IF(0=LEN(ReferenceData!$AL$239),"",ReferenceData!$AL$239),"")</f>
        <v/>
      </c>
      <c r="AM239" t="str">
        <f ca="1">IFERROR(IF(0=LEN(ReferenceData!$AM$239),"",ReferenceData!$AM$239),"")</f>
        <v/>
      </c>
      <c r="AN239" t="str">
        <f ca="1">IFERROR(IF(0=LEN(ReferenceData!$AN$239),"",ReferenceData!$AN$239),"")</f>
        <v/>
      </c>
      <c r="AO239" t="str">
        <f ca="1">IFERROR(IF(0=LEN(ReferenceData!$AO$239),"",ReferenceData!$AO$239),"")</f>
        <v/>
      </c>
      <c r="AP239" t="str">
        <f ca="1">IFERROR(IF(0=LEN(ReferenceData!$AP$239),"",ReferenceData!$AP$239),"")</f>
        <v/>
      </c>
      <c r="AQ239" t="str">
        <f ca="1">IFERROR(IF(0=LEN(ReferenceData!$AQ$239),"",ReferenceData!$AQ$239),"")</f>
        <v/>
      </c>
      <c r="AR239" t="str">
        <f ca="1">IFERROR(IF(0=LEN(ReferenceData!$AR$239),"",ReferenceData!$AR$239),"")</f>
        <v/>
      </c>
      <c r="AS239" t="str">
        <f ca="1">IFERROR(IF(0=LEN(ReferenceData!$AS$239),"",ReferenceData!$AS$239),"")</f>
        <v/>
      </c>
      <c r="AT239" t="str">
        <f ca="1">IFERROR(IF(0=LEN(ReferenceData!$AT$239),"",ReferenceData!$AT$239),"")</f>
        <v/>
      </c>
      <c r="AU239" t="str">
        <f ca="1">IFERROR(IF(0=LEN(ReferenceData!$AU$239),"",ReferenceData!$AU$239),"")</f>
        <v/>
      </c>
      <c r="AV239" t="str">
        <f ca="1">IFERROR(IF(0=LEN(ReferenceData!$AV$239),"",ReferenceData!$AV$239),"")</f>
        <v/>
      </c>
      <c r="AW239" t="str">
        <f ca="1">IFERROR(IF(0=LEN(ReferenceData!$AW$239),"",ReferenceData!$AW$239),"")</f>
        <v/>
      </c>
      <c r="AX239" t="str">
        <f ca="1">IFERROR(IF(0=LEN(ReferenceData!$AX$239),"",ReferenceData!$AX$239),"")</f>
        <v/>
      </c>
      <c r="AY239" t="str">
        <f ca="1">IFERROR(IF(0=LEN(ReferenceData!$AY$239),"",ReferenceData!$AY$239),"")</f>
        <v/>
      </c>
      <c r="AZ239" t="str">
        <f ca="1">IFERROR(IF(0=LEN(ReferenceData!$AZ$239),"",ReferenceData!$AZ$239),"")</f>
        <v/>
      </c>
      <c r="BA239" t="str">
        <f ca="1">IFERROR(IF(0=LEN(ReferenceData!$BA$239),"",ReferenceData!$BA$239),"")</f>
        <v/>
      </c>
      <c r="BB239" t="str">
        <f ca="1">IFERROR(IF(0=LEN(ReferenceData!$BB$239),"",ReferenceData!$BB$239),"")</f>
        <v/>
      </c>
      <c r="BC239" t="str">
        <f ca="1">IFERROR(IF(0=LEN(ReferenceData!$BC$239),"",ReferenceData!$BC$239),"")</f>
        <v/>
      </c>
      <c r="BD239" t="str">
        <f ca="1">IFERROR(IF(0=LEN(ReferenceData!$BD$239),"",ReferenceData!$BD$239),"")</f>
        <v/>
      </c>
      <c r="BE239" t="str">
        <f ca="1">IFERROR(IF(0=LEN(ReferenceData!$BE$239),"",ReferenceData!$BE$239),"")</f>
        <v/>
      </c>
      <c r="BF239" t="str">
        <f ca="1">IFERROR(IF(0=LEN(ReferenceData!$BF$239),"",ReferenceData!$BF$239),"")</f>
        <v/>
      </c>
      <c r="BG239" t="str">
        <f ca="1">IFERROR(IF(0=LEN(ReferenceData!$BG$239),"",ReferenceData!$BG$239),"")</f>
        <v/>
      </c>
      <c r="BH239" t="str">
        <f ca="1">IFERROR(IF(0=LEN(ReferenceData!$BH$239),"",ReferenceData!$BH$239),"")</f>
        <v/>
      </c>
      <c r="BI239" t="str">
        <f ca="1">IFERROR(IF(0=LEN(ReferenceData!$BI$239),"",ReferenceData!$BI$239),"")</f>
        <v/>
      </c>
      <c r="BJ239" t="str">
        <f ca="1">IFERROR(IF(0=LEN(ReferenceData!$BJ$239),"",ReferenceData!$BJ$239),"")</f>
        <v/>
      </c>
      <c r="BK239" t="str">
        <f ca="1">IFERROR(IF(0=LEN(ReferenceData!$BK$239),"",ReferenceData!$BK$239),"")</f>
        <v/>
      </c>
      <c r="BL239" t="str">
        <f ca="1">IFERROR(IF(0=LEN(ReferenceData!$BL$239),"",ReferenceData!$BL$239),"")</f>
        <v/>
      </c>
      <c r="BM239" t="str">
        <f ca="1">IFERROR(IF(0=LEN(ReferenceData!$BM$239),"",ReferenceData!$BM$239),"")</f>
        <v/>
      </c>
    </row>
    <row r="240" spans="1:65" x14ac:dyDescent="0.25">
      <c r="A240" t="str">
        <f>IFERROR(IF(0=LEN(ReferenceData!$A$240),"",ReferenceData!$A$240),"")</f>
        <v xml:space="preserve">    Ssangyong Motor Co</v>
      </c>
      <c r="B240" t="str">
        <f>IFERROR(IF(0=LEN(ReferenceData!$B$240),"",ReferenceData!$B$240),"")</f>
        <v>003620 KS Equity</v>
      </c>
      <c r="C240" t="str">
        <f>IFERROR(IF(0=LEN(ReferenceData!$C$240),"",ReferenceData!$C$240),"")</f>
        <v>RR971</v>
      </c>
      <c r="D240" t="str">
        <f>IFERROR(IF(0=LEN(ReferenceData!$D$240),"",ReferenceData!$D$240),"")</f>
        <v>CURRENT_PX_TO_FREE_CASH_FLOW</v>
      </c>
      <c r="E240" t="str">
        <f>IFERROR(IF(0=LEN(ReferenceData!$E$240),"",ReferenceData!$E$240),"")</f>
        <v>Dynamic</v>
      </c>
      <c r="F240" t="str">
        <f ca="1">IFERROR(IF(0=LEN(ReferenceData!$F$240),"",ReferenceData!$F$240),"")</f>
        <v/>
      </c>
      <c r="G240">
        <f ca="1">IFERROR(IF(0=LEN(ReferenceData!$G$240),"",ReferenceData!$G$240),"")</f>
        <v>3.1078244750000001</v>
      </c>
      <c r="H240">
        <f ca="1">IFERROR(IF(0=LEN(ReferenceData!$H$240),"",ReferenceData!$H$240),"")</f>
        <v>3.6008169360000002</v>
      </c>
      <c r="I240">
        <f ca="1">IFERROR(IF(0=LEN(ReferenceData!$I$240),"",ReferenceData!$I$240),"")</f>
        <v>6.3141784129999996</v>
      </c>
      <c r="J240">
        <f ca="1">IFERROR(IF(0=LEN(ReferenceData!$J$240),"",ReferenceData!$J$240),"")</f>
        <v>6.8151947440000002</v>
      </c>
      <c r="K240">
        <f ca="1">IFERROR(IF(0=LEN(ReferenceData!$K$240),"",ReferenceData!$K$240),"")</f>
        <v>15.129413489999999</v>
      </c>
      <c r="L240">
        <f ca="1">IFERROR(IF(0=LEN(ReferenceData!$L$240),"",ReferenceData!$L$240),"")</f>
        <v>7.9489258859999996</v>
      </c>
      <c r="M240">
        <f ca="1">IFERROR(IF(0=LEN(ReferenceData!$M$240),"",ReferenceData!$M$240),"")</f>
        <v>7.770703997</v>
      </c>
      <c r="N240">
        <f ca="1">IFERROR(IF(0=LEN(ReferenceData!$N$240),"",ReferenceData!$N$240),"")</f>
        <v>5.5384951720000002</v>
      </c>
      <c r="O240">
        <f ca="1">IFERROR(IF(0=LEN(ReferenceData!$O$240),"",ReferenceData!$O$240),"")</f>
        <v>9.2634994580000001</v>
      </c>
      <c r="P240">
        <f ca="1">IFERROR(IF(0=LEN(ReferenceData!$P$240),"",ReferenceData!$P$240),"")</f>
        <v>11.895212839999999</v>
      </c>
      <c r="Q240">
        <f ca="1">IFERROR(IF(0=LEN(ReferenceData!$Q$240),"",ReferenceData!$Q$240),"")</f>
        <v>7.6904454180000004</v>
      </c>
      <c r="R240">
        <f ca="1">IFERROR(IF(0=LEN(ReferenceData!$R$240),"",ReferenceData!$R$240),"")</f>
        <v>22.490643179999999</v>
      </c>
      <c r="S240">
        <f ca="1">IFERROR(IF(0=LEN(ReferenceData!$S$240),"",ReferenceData!$S$240),"")</f>
        <v>21.0764794</v>
      </c>
      <c r="T240" t="str">
        <f ca="1">IFERROR(IF(0=LEN(ReferenceData!$T$240),"",ReferenceData!$T$240),"")</f>
        <v/>
      </c>
      <c r="U240" t="str">
        <f ca="1">IFERROR(IF(0=LEN(ReferenceData!$U$240),"",ReferenceData!$U$240),"")</f>
        <v/>
      </c>
      <c r="V240" t="str">
        <f ca="1">IFERROR(IF(0=LEN(ReferenceData!$V$240),"",ReferenceData!$V$240),"")</f>
        <v/>
      </c>
      <c r="W240" t="str">
        <f ca="1">IFERROR(IF(0=LEN(ReferenceData!$W$240),"",ReferenceData!$W$240),"")</f>
        <v/>
      </c>
      <c r="X240" t="str">
        <f ca="1">IFERROR(IF(0=LEN(ReferenceData!$X$240),"",ReferenceData!$X$240),"")</f>
        <v/>
      </c>
      <c r="Y240">
        <f ca="1">IFERROR(IF(0=LEN(ReferenceData!$Y$240),"",ReferenceData!$Y$240),"")</f>
        <v>75.520632160000005</v>
      </c>
      <c r="Z240">
        <f ca="1">IFERROR(IF(0=LEN(ReferenceData!$Z$240),"",ReferenceData!$Z$240),"")</f>
        <v>75.780749150000005</v>
      </c>
      <c r="AA240">
        <f ca="1">IFERROR(IF(0=LEN(ReferenceData!$AA$240),"",ReferenceData!$AA$240),"")</f>
        <v>7.4493488780000003</v>
      </c>
      <c r="AB240">
        <f ca="1">IFERROR(IF(0=LEN(ReferenceData!$AB$240),"",ReferenceData!$AB$240),"")</f>
        <v>20.63810956</v>
      </c>
      <c r="AC240">
        <f ca="1">IFERROR(IF(0=LEN(ReferenceData!$AC$240),"",ReferenceData!$AC$240),"")</f>
        <v>5.3229562560000003</v>
      </c>
      <c r="AD240">
        <f ca="1">IFERROR(IF(0=LEN(ReferenceData!$AD$240),"",ReferenceData!$AD$240),"")</f>
        <v>8.8329856279999994</v>
      </c>
      <c r="AE240">
        <f ca="1">IFERROR(IF(0=LEN(ReferenceData!$AE$240),"",ReferenceData!$AE$240),"")</f>
        <v>22.478842759999999</v>
      </c>
      <c r="AF240" t="str">
        <f ca="1">IFERROR(IF(0=LEN(ReferenceData!$AF$240),"",ReferenceData!$AF$240),"")</f>
        <v/>
      </c>
      <c r="AG240" t="str">
        <f ca="1">IFERROR(IF(0=LEN(ReferenceData!$AG$240),"",ReferenceData!$AG$240),"")</f>
        <v/>
      </c>
      <c r="AH240" t="str">
        <f ca="1">IFERROR(IF(0=LEN(ReferenceData!$AH$240),"",ReferenceData!$AH$240),"")</f>
        <v/>
      </c>
      <c r="AI240" t="str">
        <f ca="1">IFERROR(IF(0=LEN(ReferenceData!$AI$240),"",ReferenceData!$AI$240),"")</f>
        <v/>
      </c>
      <c r="AJ240" t="str">
        <f ca="1">IFERROR(IF(0=LEN(ReferenceData!$AJ$240),"",ReferenceData!$AJ$240),"")</f>
        <v/>
      </c>
      <c r="AK240" t="str">
        <f ca="1">IFERROR(IF(0=LEN(ReferenceData!$AK$240),"",ReferenceData!$AK$240),"")</f>
        <v/>
      </c>
      <c r="AL240" t="str">
        <f ca="1">IFERROR(IF(0=LEN(ReferenceData!$AL$240),"",ReferenceData!$AL$240),"")</f>
        <v/>
      </c>
      <c r="AM240" t="str">
        <f ca="1">IFERROR(IF(0=LEN(ReferenceData!$AM$240),"",ReferenceData!$AM$240),"")</f>
        <v/>
      </c>
      <c r="AN240" t="str">
        <f ca="1">IFERROR(IF(0=LEN(ReferenceData!$AN$240),"",ReferenceData!$AN$240),"")</f>
        <v/>
      </c>
      <c r="AO240" t="str">
        <f ca="1">IFERROR(IF(0=LEN(ReferenceData!$AO$240),"",ReferenceData!$AO$240),"")</f>
        <v/>
      </c>
      <c r="AP240" t="str">
        <f ca="1">IFERROR(IF(0=LEN(ReferenceData!$AP$240),"",ReferenceData!$AP$240),"")</f>
        <v/>
      </c>
      <c r="AQ240" t="str">
        <f ca="1">IFERROR(IF(0=LEN(ReferenceData!$AQ$240),"",ReferenceData!$AQ$240),"")</f>
        <v/>
      </c>
      <c r="AR240" t="str">
        <f ca="1">IFERROR(IF(0=LEN(ReferenceData!$AR$240),"",ReferenceData!$AR$240),"")</f>
        <v/>
      </c>
      <c r="AS240" t="str">
        <f ca="1">IFERROR(IF(0=LEN(ReferenceData!$AS$240),"",ReferenceData!$AS$240),"")</f>
        <v/>
      </c>
      <c r="AT240" t="str">
        <f ca="1">IFERROR(IF(0=LEN(ReferenceData!$AT$240),"",ReferenceData!$AT$240),"")</f>
        <v/>
      </c>
      <c r="AU240" t="str">
        <f ca="1">IFERROR(IF(0=LEN(ReferenceData!$AU$240),"",ReferenceData!$AU$240),"")</f>
        <v/>
      </c>
      <c r="AV240" t="str">
        <f ca="1">IFERROR(IF(0=LEN(ReferenceData!$AV$240),"",ReferenceData!$AV$240),"")</f>
        <v/>
      </c>
      <c r="AW240" t="str">
        <f ca="1">IFERROR(IF(0=LEN(ReferenceData!$AW$240),"",ReferenceData!$AW$240),"")</f>
        <v/>
      </c>
      <c r="AX240" t="str">
        <f ca="1">IFERROR(IF(0=LEN(ReferenceData!$AX$240),"",ReferenceData!$AX$240),"")</f>
        <v/>
      </c>
      <c r="AY240" t="str">
        <f ca="1">IFERROR(IF(0=LEN(ReferenceData!$AY$240),"",ReferenceData!$AY$240),"")</f>
        <v/>
      </c>
      <c r="AZ240" t="str">
        <f ca="1">IFERROR(IF(0=LEN(ReferenceData!$AZ$240),"",ReferenceData!$AZ$240),"")</f>
        <v/>
      </c>
      <c r="BA240" t="str">
        <f ca="1">IFERROR(IF(0=LEN(ReferenceData!$BA$240),"",ReferenceData!$BA$240),"")</f>
        <v/>
      </c>
      <c r="BB240" t="str">
        <f ca="1">IFERROR(IF(0=LEN(ReferenceData!$BB$240),"",ReferenceData!$BB$240),"")</f>
        <v/>
      </c>
      <c r="BC240" t="str">
        <f ca="1">IFERROR(IF(0=LEN(ReferenceData!$BC$240),"",ReferenceData!$BC$240),"")</f>
        <v/>
      </c>
      <c r="BD240" t="str">
        <f ca="1">IFERROR(IF(0=LEN(ReferenceData!$BD$240),"",ReferenceData!$BD$240),"")</f>
        <v/>
      </c>
      <c r="BE240" t="str">
        <f ca="1">IFERROR(IF(0=LEN(ReferenceData!$BE$240),"",ReferenceData!$BE$240),"")</f>
        <v/>
      </c>
      <c r="BF240" t="str">
        <f ca="1">IFERROR(IF(0=LEN(ReferenceData!$BF$240),"",ReferenceData!$BF$240),"")</f>
        <v/>
      </c>
      <c r="BG240" t="str">
        <f ca="1">IFERROR(IF(0=LEN(ReferenceData!$BG$240),"",ReferenceData!$BG$240),"")</f>
        <v/>
      </c>
      <c r="BH240" t="str">
        <f ca="1">IFERROR(IF(0=LEN(ReferenceData!$BH$240),"",ReferenceData!$BH$240),"")</f>
        <v/>
      </c>
      <c r="BI240" t="str">
        <f ca="1">IFERROR(IF(0=LEN(ReferenceData!$BI$240),"",ReferenceData!$BI$240),"")</f>
        <v/>
      </c>
      <c r="BJ240" t="str">
        <f ca="1">IFERROR(IF(0=LEN(ReferenceData!$BJ$240),"",ReferenceData!$BJ$240),"")</f>
        <v/>
      </c>
      <c r="BK240" t="str">
        <f ca="1">IFERROR(IF(0=LEN(ReferenceData!$BK$240),"",ReferenceData!$BK$240),"")</f>
        <v/>
      </c>
      <c r="BL240" t="str">
        <f ca="1">IFERROR(IF(0=LEN(ReferenceData!$BL$240),"",ReferenceData!$BL$240),"")</f>
        <v/>
      </c>
      <c r="BM240" t="str">
        <f ca="1">IFERROR(IF(0=LEN(ReferenceData!$BM$240),"",ReferenceData!$BM$240),"")</f>
        <v/>
      </c>
    </row>
    <row r="241" spans="1:65" x14ac:dyDescent="0.25">
      <c r="A241" t="str">
        <f>IFERROR(IF(0=LEN(ReferenceData!$A$241),"",ReferenceData!$A$241),"")</f>
        <v xml:space="preserve">    Subaru Corp</v>
      </c>
      <c r="B241" t="str">
        <f>IFERROR(IF(0=LEN(ReferenceData!$B$241),"",ReferenceData!$B$241),"")</f>
        <v>7270 JP Equity</v>
      </c>
      <c r="C241" t="str">
        <f>IFERROR(IF(0=LEN(ReferenceData!$C$241),"",ReferenceData!$C$241),"")</f>
        <v>RR971</v>
      </c>
      <c r="D241" t="str">
        <f>IFERROR(IF(0=LEN(ReferenceData!$D$241),"",ReferenceData!$D$241),"")</f>
        <v>CURRENT_PX_TO_FREE_CASH_FLOW</v>
      </c>
      <c r="E241" t="str">
        <f>IFERROR(IF(0=LEN(ReferenceData!$E$241),"",ReferenceData!$E$241),"")</f>
        <v>Dynamic</v>
      </c>
      <c r="F241">
        <f ca="1">IFERROR(IF(0=LEN(ReferenceData!$F$241),"",ReferenceData!$F$241),"")</f>
        <v>35.17849855</v>
      </c>
      <c r="G241">
        <f ca="1">IFERROR(IF(0=LEN(ReferenceData!$G$241),"",ReferenceData!$G$241),"")</f>
        <v>29.212264810000001</v>
      </c>
      <c r="H241">
        <f ca="1">IFERROR(IF(0=LEN(ReferenceData!$H$241),"",ReferenceData!$H$241),"")</f>
        <v>37.962127070000001</v>
      </c>
      <c r="I241">
        <f ca="1">IFERROR(IF(0=LEN(ReferenceData!$I$241),"",ReferenceData!$I$241),"")</f>
        <v>23.710622600000001</v>
      </c>
      <c r="J241">
        <f ca="1">IFERROR(IF(0=LEN(ReferenceData!$J$241),"",ReferenceData!$J$241),"")</f>
        <v>12.35431998</v>
      </c>
      <c r="K241">
        <f ca="1">IFERROR(IF(0=LEN(ReferenceData!$K$241),"",ReferenceData!$K$241),"")</f>
        <v>11.246805670000001</v>
      </c>
      <c r="L241">
        <f ca="1">IFERROR(IF(0=LEN(ReferenceData!$L$241),"",ReferenceData!$L$241),"")</f>
        <v>17.094821450000001</v>
      </c>
      <c r="M241">
        <f ca="1">IFERROR(IF(0=LEN(ReferenceData!$M$241),"",ReferenceData!$M$241),"")</f>
        <v>11.502621299999999</v>
      </c>
      <c r="N241">
        <f ca="1">IFERROR(IF(0=LEN(ReferenceData!$N$241),"",ReferenceData!$N$241),"")</f>
        <v>17.366830889999999</v>
      </c>
      <c r="O241">
        <f ca="1">IFERROR(IF(0=LEN(ReferenceData!$O$241),"",ReferenceData!$O$241),"")</f>
        <v>15.936658939999999</v>
      </c>
      <c r="P241">
        <f ca="1">IFERROR(IF(0=LEN(ReferenceData!$P$241),"",ReferenceData!$P$241),"")</f>
        <v>7.4622738479999997</v>
      </c>
      <c r="Q241">
        <f ca="1">IFERROR(IF(0=LEN(ReferenceData!$Q$241),"",ReferenceData!$Q$241),"")</f>
        <v>6.2065149020000003</v>
      </c>
      <c r="R241">
        <f ca="1">IFERROR(IF(0=LEN(ReferenceData!$R$241),"",ReferenceData!$R$241),"")</f>
        <v>6.3627829230000001</v>
      </c>
      <c r="S241">
        <f ca="1">IFERROR(IF(0=LEN(ReferenceData!$S$241),"",ReferenceData!$S$241),"")</f>
        <v>8.7802615450000001</v>
      </c>
      <c r="T241">
        <f ca="1">IFERROR(IF(0=LEN(ReferenceData!$T$241),"",ReferenceData!$T$241),"")</f>
        <v>9.7214340149999998</v>
      </c>
      <c r="U241">
        <f ca="1">IFERROR(IF(0=LEN(ReferenceData!$U$241),"",ReferenceData!$U$241),"")</f>
        <v>11.797115160000001</v>
      </c>
      <c r="V241">
        <f ca="1">IFERROR(IF(0=LEN(ReferenceData!$V$241),"",ReferenceData!$V$241),"")</f>
        <v>15.862294759999999</v>
      </c>
      <c r="W241">
        <f ca="1">IFERROR(IF(0=LEN(ReferenceData!$W$241),"",ReferenceData!$W$241),"")</f>
        <v>19.58403728</v>
      </c>
      <c r="X241">
        <f ca="1">IFERROR(IF(0=LEN(ReferenceData!$X$241),"",ReferenceData!$X$241),"")</f>
        <v>13.84713957</v>
      </c>
      <c r="Y241">
        <f ca="1">IFERROR(IF(0=LEN(ReferenceData!$Y$241),"",ReferenceData!$Y$241),"")</f>
        <v>12.387433039999999</v>
      </c>
      <c r="Z241">
        <f ca="1">IFERROR(IF(0=LEN(ReferenceData!$Z$241),"",ReferenceData!$Z$241),"")</f>
        <v>8.8711467800000001</v>
      </c>
      <c r="AA241">
        <f ca="1">IFERROR(IF(0=LEN(ReferenceData!$AA$241),"",ReferenceData!$AA$241),"")</f>
        <v>11.68023932</v>
      </c>
      <c r="AB241">
        <f ca="1">IFERROR(IF(0=LEN(ReferenceData!$AB$241),"",ReferenceData!$AB$241),"")</f>
        <v>14.9373413</v>
      </c>
      <c r="AC241">
        <f ca="1">IFERROR(IF(0=LEN(ReferenceData!$AC$241),"",ReferenceData!$AC$241),"")</f>
        <v>14.556425020000001</v>
      </c>
      <c r="AD241">
        <f ca="1">IFERROR(IF(0=LEN(ReferenceData!$AD$241),"",ReferenceData!$AD$241),"")</f>
        <v>10.843329710000001</v>
      </c>
      <c r="AE241">
        <f ca="1">IFERROR(IF(0=LEN(ReferenceData!$AE$241),"",ReferenceData!$AE$241),"")</f>
        <v>7.371348083</v>
      </c>
      <c r="AF241">
        <f ca="1">IFERROR(IF(0=LEN(ReferenceData!$AF$241),"",ReferenceData!$AF$241),"")</f>
        <v>4.22881879</v>
      </c>
      <c r="AG241">
        <f ca="1">IFERROR(IF(0=LEN(ReferenceData!$AG$241),"",ReferenceData!$AG$241),"")</f>
        <v>8.1759154570000003</v>
      </c>
      <c r="AH241">
        <f ca="1">IFERROR(IF(0=LEN(ReferenceData!$AH$241),"",ReferenceData!$AH$241),"")</f>
        <v>89.500957069999998</v>
      </c>
      <c r="AI241">
        <f ca="1">IFERROR(IF(0=LEN(ReferenceData!$AI$241),"",ReferenceData!$AI$241),"")</f>
        <v>29.662426629999999</v>
      </c>
      <c r="AJ241">
        <f ca="1">IFERROR(IF(0=LEN(ReferenceData!$AJ$241),"",ReferenceData!$AJ$241),"")</f>
        <v>8.7177933329999995</v>
      </c>
      <c r="AK241">
        <f ca="1">IFERROR(IF(0=LEN(ReferenceData!$AK$241),"",ReferenceData!$AK$241),"")</f>
        <v>11.661220330000001</v>
      </c>
      <c r="AL241">
        <f ca="1">IFERROR(IF(0=LEN(ReferenceData!$AL$241),"",ReferenceData!$AL$241),"")</f>
        <v>4.4696770509999997</v>
      </c>
      <c r="AM241">
        <f ca="1">IFERROR(IF(0=LEN(ReferenceData!$AM$241),"",ReferenceData!$AM$241),"")</f>
        <v>4.6597739950000001</v>
      </c>
      <c r="AN241">
        <f ca="1">IFERROR(IF(0=LEN(ReferenceData!$AN$241),"",ReferenceData!$AN$241),"")</f>
        <v>3.3920117200000002</v>
      </c>
      <c r="AO241">
        <f ca="1">IFERROR(IF(0=LEN(ReferenceData!$AO$241),"",ReferenceData!$AO$241),"")</f>
        <v>2.8816030869999998</v>
      </c>
      <c r="AP241">
        <f ca="1">IFERROR(IF(0=LEN(ReferenceData!$AP$241),"",ReferenceData!$AP$241),"")</f>
        <v>3.0496441139999999</v>
      </c>
      <c r="AQ241">
        <f ca="1">IFERROR(IF(0=LEN(ReferenceData!$AQ$241),"",ReferenceData!$AQ$241),"")</f>
        <v>18.57365828</v>
      </c>
      <c r="AR241" t="str">
        <f ca="1">IFERROR(IF(0=LEN(ReferenceData!$AR$241),"",ReferenceData!$AR$241),"")</f>
        <v/>
      </c>
      <c r="AS241" t="str">
        <f ca="1">IFERROR(IF(0=LEN(ReferenceData!$AS$241),"",ReferenceData!$AS$241),"")</f>
        <v/>
      </c>
      <c r="AT241" t="str">
        <f ca="1">IFERROR(IF(0=LEN(ReferenceData!$AT$241),"",ReferenceData!$AT$241),"")</f>
        <v/>
      </c>
      <c r="AU241" t="str">
        <f ca="1">IFERROR(IF(0=LEN(ReferenceData!$AU$241),"",ReferenceData!$AU$241),"")</f>
        <v/>
      </c>
      <c r="AV241" t="str">
        <f ca="1">IFERROR(IF(0=LEN(ReferenceData!$AV$241),"",ReferenceData!$AV$241),"")</f>
        <v/>
      </c>
      <c r="AW241" t="str">
        <f ca="1">IFERROR(IF(0=LEN(ReferenceData!$AW$241),"",ReferenceData!$AW$241),"")</f>
        <v/>
      </c>
      <c r="AX241" t="str">
        <f ca="1">IFERROR(IF(0=LEN(ReferenceData!$AX$241),"",ReferenceData!$AX$241),"")</f>
        <v/>
      </c>
      <c r="AY241" t="str">
        <f ca="1">IFERROR(IF(0=LEN(ReferenceData!$AY$241),"",ReferenceData!$AY$241),"")</f>
        <v/>
      </c>
      <c r="AZ241" t="str">
        <f ca="1">IFERROR(IF(0=LEN(ReferenceData!$AZ$241),"",ReferenceData!$AZ$241),"")</f>
        <v/>
      </c>
      <c r="BA241" t="str">
        <f ca="1">IFERROR(IF(0=LEN(ReferenceData!$BA$241),"",ReferenceData!$BA$241),"")</f>
        <v/>
      </c>
      <c r="BB241" t="str">
        <f ca="1">IFERROR(IF(0=LEN(ReferenceData!$BB$241),"",ReferenceData!$BB$241),"")</f>
        <v/>
      </c>
      <c r="BC241" t="str">
        <f ca="1">IFERROR(IF(0=LEN(ReferenceData!$BC$241),"",ReferenceData!$BC$241),"")</f>
        <v/>
      </c>
      <c r="BD241" t="str">
        <f ca="1">IFERROR(IF(0=LEN(ReferenceData!$BD$241),"",ReferenceData!$BD$241),"")</f>
        <v/>
      </c>
      <c r="BE241" t="str">
        <f ca="1">IFERROR(IF(0=LEN(ReferenceData!$BE$241),"",ReferenceData!$BE$241),"")</f>
        <v/>
      </c>
      <c r="BF241" t="str">
        <f ca="1">IFERROR(IF(0=LEN(ReferenceData!$BF$241),"",ReferenceData!$BF$241),"")</f>
        <v/>
      </c>
      <c r="BG241" t="str">
        <f ca="1">IFERROR(IF(0=LEN(ReferenceData!$BG$241),"",ReferenceData!$BG$241),"")</f>
        <v/>
      </c>
      <c r="BH241" t="str">
        <f ca="1">IFERROR(IF(0=LEN(ReferenceData!$BH$241),"",ReferenceData!$BH$241),"")</f>
        <v/>
      </c>
      <c r="BI241" t="str">
        <f ca="1">IFERROR(IF(0=LEN(ReferenceData!$BI$241),"",ReferenceData!$BI$241),"")</f>
        <v/>
      </c>
      <c r="BJ241" t="str">
        <f ca="1">IFERROR(IF(0=LEN(ReferenceData!$BJ$241),"",ReferenceData!$BJ$241),"")</f>
        <v/>
      </c>
      <c r="BK241" t="str">
        <f ca="1">IFERROR(IF(0=LEN(ReferenceData!$BK$241),"",ReferenceData!$BK$241),"")</f>
        <v/>
      </c>
      <c r="BL241" t="str">
        <f ca="1">IFERROR(IF(0=LEN(ReferenceData!$BL$241),"",ReferenceData!$BL$241),"")</f>
        <v/>
      </c>
      <c r="BM241" t="str">
        <f ca="1">IFERROR(IF(0=LEN(ReferenceData!$BM$241),"",ReferenceData!$BM$241),"")</f>
        <v/>
      </c>
    </row>
    <row r="242" spans="1:65" x14ac:dyDescent="0.25">
      <c r="A242" t="str">
        <f>IFERROR(IF(0=LEN(ReferenceData!$A$242),"",ReferenceData!$A$242),"")</f>
        <v xml:space="preserve">    Suzuki Motor Corp</v>
      </c>
      <c r="B242" t="str">
        <f>IFERROR(IF(0=LEN(ReferenceData!$B$242),"",ReferenceData!$B$242),"")</f>
        <v>7269 JP Equity</v>
      </c>
      <c r="C242" t="str">
        <f>IFERROR(IF(0=LEN(ReferenceData!$C$242),"",ReferenceData!$C$242),"")</f>
        <v>RR971</v>
      </c>
      <c r="D242" t="str">
        <f>IFERROR(IF(0=LEN(ReferenceData!$D$242),"",ReferenceData!$D$242),"")</f>
        <v>CURRENT_PX_TO_FREE_CASH_FLOW</v>
      </c>
      <c r="E242" t="str">
        <f>IFERROR(IF(0=LEN(ReferenceData!$E$242),"",ReferenceData!$E$242),"")</f>
        <v>Dynamic</v>
      </c>
      <c r="F242">
        <f ca="1">IFERROR(IF(0=LEN(ReferenceData!$F$242),"",ReferenceData!$F$242),"")</f>
        <v>15.5947832</v>
      </c>
      <c r="G242">
        <f ca="1">IFERROR(IF(0=LEN(ReferenceData!$G$242),"",ReferenceData!$G$242),"")</f>
        <v>15.02529562</v>
      </c>
      <c r="H242">
        <f ca="1">IFERROR(IF(0=LEN(ReferenceData!$H$242),"",ReferenceData!$H$242),"")</f>
        <v>14.90848845</v>
      </c>
      <c r="I242">
        <f ca="1">IFERROR(IF(0=LEN(ReferenceData!$I$242),"",ReferenceData!$I$242),"")</f>
        <v>10.22851728</v>
      </c>
      <c r="J242">
        <f ca="1">IFERROR(IF(0=LEN(ReferenceData!$J$242),"",ReferenceData!$J$242),"")</f>
        <v>10.567306459999999</v>
      </c>
      <c r="K242">
        <f ca="1">IFERROR(IF(0=LEN(ReferenceData!$K$242),"",ReferenceData!$K$242),"")</f>
        <v>14.285327929999999</v>
      </c>
      <c r="L242">
        <f ca="1">IFERROR(IF(0=LEN(ReferenceData!$L$242),"",ReferenceData!$L$242),"")</f>
        <v>11.629127479999999</v>
      </c>
      <c r="M242">
        <f ca="1">IFERROR(IF(0=LEN(ReferenceData!$M$242),"",ReferenceData!$M$242),"")</f>
        <v>20.14808682</v>
      </c>
      <c r="N242">
        <f ca="1">IFERROR(IF(0=LEN(ReferenceData!$N$242),"",ReferenceData!$N$242),"")</f>
        <v>11.70225129</v>
      </c>
      <c r="O242">
        <f ca="1">IFERROR(IF(0=LEN(ReferenceData!$O$242),"",ReferenceData!$O$242),"")</f>
        <v>9.2948830690000008</v>
      </c>
      <c r="P242">
        <f ca="1">IFERROR(IF(0=LEN(ReferenceData!$P$242),"",ReferenceData!$P$242),"")</f>
        <v>7.0000332140000001</v>
      </c>
      <c r="Q242">
        <f ca="1">IFERROR(IF(0=LEN(ReferenceData!$Q$242),"",ReferenceData!$Q$242),"")</f>
        <v>7.5095674959999998</v>
      </c>
      <c r="R242">
        <f ca="1">IFERROR(IF(0=LEN(ReferenceData!$R$242),"",ReferenceData!$R$242),"")</f>
        <v>10.461718940000001</v>
      </c>
      <c r="S242">
        <f ca="1">IFERROR(IF(0=LEN(ReferenceData!$S$242),"",ReferenceData!$S$242),"")</f>
        <v>16.93989972</v>
      </c>
      <c r="T242">
        <f ca="1">IFERROR(IF(0=LEN(ReferenceData!$T$242),"",ReferenceData!$T$242),"")</f>
        <v>32.785111200000003</v>
      </c>
      <c r="U242">
        <f ca="1">IFERROR(IF(0=LEN(ReferenceData!$U$242),"",ReferenceData!$U$242),"")</f>
        <v>18.774405659999999</v>
      </c>
      <c r="V242">
        <f ca="1">IFERROR(IF(0=LEN(ReferenceData!$V$242),"",ReferenceData!$V$242),"")</f>
        <v>32.506041809999999</v>
      </c>
      <c r="W242">
        <f ca="1">IFERROR(IF(0=LEN(ReferenceData!$W$242),"",ReferenceData!$W$242),"")</f>
        <v>78.696978689999995</v>
      </c>
      <c r="X242">
        <f ca="1">IFERROR(IF(0=LEN(ReferenceData!$X$242),"",ReferenceData!$X$242),"")</f>
        <v>37.328222310000001</v>
      </c>
      <c r="Y242">
        <f ca="1">IFERROR(IF(0=LEN(ReferenceData!$Y$242),"",ReferenceData!$Y$242),"")</f>
        <v>22.84605831</v>
      </c>
      <c r="Z242">
        <f ca="1">IFERROR(IF(0=LEN(ReferenceData!$Z$242),"",ReferenceData!$Z$242),"")</f>
        <v>12.788157099999999</v>
      </c>
      <c r="AA242">
        <f ca="1">IFERROR(IF(0=LEN(ReferenceData!$AA$242),"",ReferenceData!$AA$242),"")</f>
        <v>12.132023029999999</v>
      </c>
      <c r="AB242">
        <f ca="1">IFERROR(IF(0=LEN(ReferenceData!$AB$242),"",ReferenceData!$AB$242),"")</f>
        <v>17.363350730000001</v>
      </c>
      <c r="AC242">
        <f ca="1">IFERROR(IF(0=LEN(ReferenceData!$AC$242),"",ReferenceData!$AC$242),"")</f>
        <v>70.058916740000001</v>
      </c>
      <c r="AD242">
        <f ca="1">IFERROR(IF(0=LEN(ReferenceData!$AD$242),"",ReferenceData!$AD$242),"")</f>
        <v>45.322555809999997</v>
      </c>
      <c r="AE242">
        <f ca="1">IFERROR(IF(0=LEN(ReferenceData!$AE$242),"",ReferenceData!$AE$242),"")</f>
        <v>288.00249589999999</v>
      </c>
      <c r="AF242">
        <f ca="1">IFERROR(IF(0=LEN(ReferenceData!$AF$242),"",ReferenceData!$AF$242),"")</f>
        <v>18.034943009999999</v>
      </c>
      <c r="AG242">
        <f ca="1">IFERROR(IF(0=LEN(ReferenceData!$AG$242),"",ReferenceData!$AG$242),"")</f>
        <v>7.8647574499999999</v>
      </c>
      <c r="AH242">
        <f ca="1">IFERROR(IF(0=LEN(ReferenceData!$AH$242),"",ReferenceData!$AH$242),"")</f>
        <v>10.31576634</v>
      </c>
      <c r="AI242">
        <f ca="1">IFERROR(IF(0=LEN(ReferenceData!$AI$242),"",ReferenceData!$AI$242),"")</f>
        <v>7.0372564190000002</v>
      </c>
      <c r="AJ242">
        <f ca="1">IFERROR(IF(0=LEN(ReferenceData!$AJ$242),"",ReferenceData!$AJ$242),"")</f>
        <v>17.154441389999999</v>
      </c>
      <c r="AK242">
        <f ca="1">IFERROR(IF(0=LEN(ReferenceData!$AK$242),"",ReferenceData!$AK$242),"")</f>
        <v>35.17541928</v>
      </c>
      <c r="AL242">
        <f ca="1">IFERROR(IF(0=LEN(ReferenceData!$AL$242),"",ReferenceData!$AL$242),"")</f>
        <v>10.79502555</v>
      </c>
      <c r="AM242">
        <f ca="1">IFERROR(IF(0=LEN(ReferenceData!$AM$242),"",ReferenceData!$AM$242),"")</f>
        <v>10.434329630000001</v>
      </c>
      <c r="AN242">
        <f ca="1">IFERROR(IF(0=LEN(ReferenceData!$AN$242),"",ReferenceData!$AN$242),"")</f>
        <v>3.957400722</v>
      </c>
      <c r="AO242">
        <f ca="1">IFERROR(IF(0=LEN(ReferenceData!$AO$242),"",ReferenceData!$AO$242),"")</f>
        <v>3.173299434</v>
      </c>
      <c r="AP242">
        <f ca="1">IFERROR(IF(0=LEN(ReferenceData!$AP$242),"",ReferenceData!$AP$242),"")</f>
        <v>4.8438023320000001</v>
      </c>
      <c r="AQ242">
        <f ca="1">IFERROR(IF(0=LEN(ReferenceData!$AQ$242),"",ReferenceData!$AQ$242),"")</f>
        <v>10.254685289999999</v>
      </c>
      <c r="AR242" t="str">
        <f ca="1">IFERROR(IF(0=LEN(ReferenceData!$AR$242),"",ReferenceData!$AR$242),"")</f>
        <v/>
      </c>
      <c r="AS242" t="str">
        <f ca="1">IFERROR(IF(0=LEN(ReferenceData!$AS$242),"",ReferenceData!$AS$242),"")</f>
        <v/>
      </c>
      <c r="AT242" t="str">
        <f ca="1">IFERROR(IF(0=LEN(ReferenceData!$AT$242),"",ReferenceData!$AT$242),"")</f>
        <v/>
      </c>
      <c r="AU242" t="str">
        <f ca="1">IFERROR(IF(0=LEN(ReferenceData!$AU$242),"",ReferenceData!$AU$242),"")</f>
        <v/>
      </c>
      <c r="AV242" t="str">
        <f ca="1">IFERROR(IF(0=LEN(ReferenceData!$AV$242),"",ReferenceData!$AV$242),"")</f>
        <v/>
      </c>
      <c r="AW242" t="str">
        <f ca="1">IFERROR(IF(0=LEN(ReferenceData!$AW$242),"",ReferenceData!$AW$242),"")</f>
        <v/>
      </c>
      <c r="AX242">
        <f ca="1">IFERROR(IF(0=LEN(ReferenceData!$AX$242),"",ReferenceData!$AX$242),"")</f>
        <v>67.975727680000006</v>
      </c>
      <c r="AY242">
        <f ca="1">IFERROR(IF(0=LEN(ReferenceData!$AY$242),"",ReferenceData!$AY$242),"")</f>
        <v>89.834589129999998</v>
      </c>
      <c r="AZ242">
        <f ca="1">IFERROR(IF(0=LEN(ReferenceData!$AZ$242),"",ReferenceData!$AZ$242),"")</f>
        <v>90.001950379999997</v>
      </c>
      <c r="BA242">
        <f ca="1">IFERROR(IF(0=LEN(ReferenceData!$BA$242),"",ReferenceData!$BA$242),"")</f>
        <v>53.120115220000002</v>
      </c>
      <c r="BB242">
        <f ca="1">IFERROR(IF(0=LEN(ReferenceData!$BB$242),"",ReferenceData!$BB$242),"")</f>
        <v>46.308728440000003</v>
      </c>
      <c r="BC242">
        <f ca="1">IFERROR(IF(0=LEN(ReferenceData!$BC$242),"",ReferenceData!$BC$242),"")</f>
        <v>26.209700309999999</v>
      </c>
      <c r="BD242">
        <f ca="1">IFERROR(IF(0=LEN(ReferenceData!$BD$242),"",ReferenceData!$BD$242),"")</f>
        <v>22.619152849999999</v>
      </c>
      <c r="BE242">
        <f ca="1">IFERROR(IF(0=LEN(ReferenceData!$BE$242),"",ReferenceData!$BE$242),"")</f>
        <v>14.73055209</v>
      </c>
      <c r="BF242">
        <f ca="1">IFERROR(IF(0=LEN(ReferenceData!$BF$242),"",ReferenceData!$BF$242),"")</f>
        <v>17.98474014</v>
      </c>
      <c r="BG242">
        <f ca="1">IFERROR(IF(0=LEN(ReferenceData!$BG$242),"",ReferenceData!$BG$242),"")</f>
        <v>23.367528270000001</v>
      </c>
      <c r="BH242">
        <f ca="1">IFERROR(IF(0=LEN(ReferenceData!$BH$242),"",ReferenceData!$BH$242),"")</f>
        <v>17.801794869999998</v>
      </c>
      <c r="BI242">
        <f ca="1">IFERROR(IF(0=LEN(ReferenceData!$BI$242),"",ReferenceData!$BI$242),"")</f>
        <v>12.2293574</v>
      </c>
      <c r="BJ242">
        <f ca="1">IFERROR(IF(0=LEN(ReferenceData!$BJ$242),"",ReferenceData!$BJ$242),"")</f>
        <v>12.40614107</v>
      </c>
      <c r="BK242">
        <f ca="1">IFERROR(IF(0=LEN(ReferenceData!$BK$242),"",ReferenceData!$BK$242),"")</f>
        <v>11.01511766</v>
      </c>
      <c r="BL242">
        <f ca="1">IFERROR(IF(0=LEN(ReferenceData!$BL$242),"",ReferenceData!$BL$242),"")</f>
        <v>10.859628900000001</v>
      </c>
      <c r="BM242">
        <f ca="1">IFERROR(IF(0=LEN(ReferenceData!$BM$242),"",ReferenceData!$BM$242),"")</f>
        <v>15.053070959999999</v>
      </c>
    </row>
    <row r="243" spans="1:65" x14ac:dyDescent="0.25">
      <c r="A243" t="str">
        <f>IFERROR(IF(0=LEN(ReferenceData!$A$243),"",ReferenceData!$A$243),"")</f>
        <v xml:space="preserve">    Tata Motors Ltd</v>
      </c>
      <c r="B243" t="str">
        <f>IFERROR(IF(0=LEN(ReferenceData!$B$243),"",ReferenceData!$B$243),"")</f>
        <v>TTMT IN Equity</v>
      </c>
      <c r="C243" t="str">
        <f>IFERROR(IF(0=LEN(ReferenceData!$C$243),"",ReferenceData!$C$243),"")</f>
        <v>RR971</v>
      </c>
      <c r="D243" t="str">
        <f>IFERROR(IF(0=LEN(ReferenceData!$D$243),"",ReferenceData!$D$243),"")</f>
        <v>CURRENT_PX_TO_FREE_CASH_FLOW</v>
      </c>
      <c r="E243" t="str">
        <f>IFERROR(IF(0=LEN(ReferenceData!$E$243),"",ReferenceData!$E$243),"")</f>
        <v>Dynamic</v>
      </c>
      <c r="F243" t="str">
        <f ca="1">IFERROR(IF(0=LEN(ReferenceData!$F$243),"",ReferenceData!$F$243),"")</f>
        <v/>
      </c>
      <c r="G243" t="str">
        <f ca="1">IFERROR(IF(0=LEN(ReferenceData!$G$243),"",ReferenceData!$G$243),"")</f>
        <v/>
      </c>
      <c r="H243" t="str">
        <f ca="1">IFERROR(IF(0=LEN(ReferenceData!$H$243),"",ReferenceData!$H$243),"")</f>
        <v/>
      </c>
      <c r="I243" t="str">
        <f ca="1">IFERROR(IF(0=LEN(ReferenceData!$I$243),"",ReferenceData!$I$243),"")</f>
        <v/>
      </c>
      <c r="J243" t="str">
        <f ca="1">IFERROR(IF(0=LEN(ReferenceData!$J$243),"",ReferenceData!$J$243),"")</f>
        <v/>
      </c>
      <c r="K243" t="str">
        <f ca="1">IFERROR(IF(0=LEN(ReferenceData!$K$243),"",ReferenceData!$K$243),"")</f>
        <v/>
      </c>
      <c r="L243" t="str">
        <f ca="1">IFERROR(IF(0=LEN(ReferenceData!$L$243),"",ReferenceData!$L$243),"")</f>
        <v/>
      </c>
      <c r="M243" t="str">
        <f ca="1">IFERROR(IF(0=LEN(ReferenceData!$M$243),"",ReferenceData!$M$243),"")</f>
        <v/>
      </c>
      <c r="N243" t="str">
        <f ca="1">IFERROR(IF(0=LEN(ReferenceData!$N$243),"",ReferenceData!$N$243),"")</f>
        <v/>
      </c>
      <c r="O243" t="str">
        <f ca="1">IFERROR(IF(0=LEN(ReferenceData!$O$243),"",ReferenceData!$O$243),"")</f>
        <v/>
      </c>
      <c r="P243" t="str">
        <f ca="1">IFERROR(IF(0=LEN(ReferenceData!$P$243),"",ReferenceData!$P$243),"")</f>
        <v/>
      </c>
      <c r="Q243" t="str">
        <f ca="1">IFERROR(IF(0=LEN(ReferenceData!$Q$243),"",ReferenceData!$Q$243),"")</f>
        <v/>
      </c>
      <c r="R243" t="str">
        <f ca="1">IFERROR(IF(0=LEN(ReferenceData!$R$243),"",ReferenceData!$R$243),"")</f>
        <v/>
      </c>
      <c r="S243" t="str">
        <f ca="1">IFERROR(IF(0=LEN(ReferenceData!$S$243),"",ReferenceData!$S$243),"")</f>
        <v/>
      </c>
      <c r="T243" t="str">
        <f ca="1">IFERROR(IF(0=LEN(ReferenceData!$T$243),"",ReferenceData!$T$243),"")</f>
        <v/>
      </c>
      <c r="U243" t="str">
        <f ca="1">IFERROR(IF(0=LEN(ReferenceData!$U$243),"",ReferenceData!$U$243),"")</f>
        <v/>
      </c>
      <c r="V243" t="str">
        <f ca="1">IFERROR(IF(0=LEN(ReferenceData!$V$243),"",ReferenceData!$V$243),"")</f>
        <v/>
      </c>
      <c r="W243" t="str">
        <f ca="1">IFERROR(IF(0=LEN(ReferenceData!$W$243),"",ReferenceData!$W$243),"")</f>
        <v/>
      </c>
      <c r="X243" t="str">
        <f ca="1">IFERROR(IF(0=LEN(ReferenceData!$X$243),"",ReferenceData!$X$243),"")</f>
        <v/>
      </c>
      <c r="Y243" t="str">
        <f ca="1">IFERROR(IF(0=LEN(ReferenceData!$Y$243),"",ReferenceData!$Y$243),"")</f>
        <v/>
      </c>
      <c r="Z243" t="str">
        <f ca="1">IFERROR(IF(0=LEN(ReferenceData!$Z$243),"",ReferenceData!$Z$243),"")</f>
        <v/>
      </c>
      <c r="AA243" t="str">
        <f ca="1">IFERROR(IF(0=LEN(ReferenceData!$AA$243),"",ReferenceData!$AA$243),"")</f>
        <v/>
      </c>
      <c r="AB243" t="str">
        <f ca="1">IFERROR(IF(0=LEN(ReferenceData!$AB$243),"",ReferenceData!$AB$243),"")</f>
        <v/>
      </c>
      <c r="AC243" t="str">
        <f ca="1">IFERROR(IF(0=LEN(ReferenceData!$AC$243),"",ReferenceData!$AC$243),"")</f>
        <v/>
      </c>
      <c r="AD243" t="str">
        <f ca="1">IFERROR(IF(0=LEN(ReferenceData!$AD$243),"",ReferenceData!$AD$243),"")</f>
        <v/>
      </c>
      <c r="AE243" t="str">
        <f ca="1">IFERROR(IF(0=LEN(ReferenceData!$AE$243),"",ReferenceData!$AE$243),"")</f>
        <v/>
      </c>
      <c r="AF243" t="str">
        <f ca="1">IFERROR(IF(0=LEN(ReferenceData!$AF$243),"",ReferenceData!$AF$243),"")</f>
        <v/>
      </c>
      <c r="AG243" t="str">
        <f ca="1">IFERROR(IF(0=LEN(ReferenceData!$AG$243),"",ReferenceData!$AG$243),"")</f>
        <v/>
      </c>
      <c r="AH243" t="str">
        <f ca="1">IFERROR(IF(0=LEN(ReferenceData!$AH$243),"",ReferenceData!$AH$243),"")</f>
        <v/>
      </c>
      <c r="AI243" t="str">
        <f ca="1">IFERROR(IF(0=LEN(ReferenceData!$AI$243),"",ReferenceData!$AI$243),"")</f>
        <v/>
      </c>
      <c r="AJ243" t="str">
        <f ca="1">IFERROR(IF(0=LEN(ReferenceData!$AJ$243),"",ReferenceData!$AJ$243),"")</f>
        <v/>
      </c>
      <c r="AK243" t="str">
        <f ca="1">IFERROR(IF(0=LEN(ReferenceData!$AK$243),"",ReferenceData!$AK$243),"")</f>
        <v/>
      </c>
      <c r="AL243" t="str">
        <f ca="1">IFERROR(IF(0=LEN(ReferenceData!$AL$243),"",ReferenceData!$AL$243),"")</f>
        <v/>
      </c>
      <c r="AM243" t="str">
        <f ca="1">IFERROR(IF(0=LEN(ReferenceData!$AM$243),"",ReferenceData!$AM$243),"")</f>
        <v/>
      </c>
      <c r="AN243" t="str">
        <f ca="1">IFERROR(IF(0=LEN(ReferenceData!$AN$243),"",ReferenceData!$AN$243),"")</f>
        <v/>
      </c>
      <c r="AO243" t="str">
        <f ca="1">IFERROR(IF(0=LEN(ReferenceData!$AO$243),"",ReferenceData!$AO$243),"")</f>
        <v/>
      </c>
      <c r="AP243" t="str">
        <f ca="1">IFERROR(IF(0=LEN(ReferenceData!$AP$243),"",ReferenceData!$AP$243),"")</f>
        <v/>
      </c>
      <c r="AQ243" t="str">
        <f ca="1">IFERROR(IF(0=LEN(ReferenceData!$AQ$243),"",ReferenceData!$AQ$243),"")</f>
        <v/>
      </c>
      <c r="AR243" t="str">
        <f ca="1">IFERROR(IF(0=LEN(ReferenceData!$AR$243),"",ReferenceData!$AR$243),"")</f>
        <v/>
      </c>
      <c r="AS243" t="str">
        <f ca="1">IFERROR(IF(0=LEN(ReferenceData!$AS$243),"",ReferenceData!$AS$243),"")</f>
        <v/>
      </c>
      <c r="AT243" t="str">
        <f ca="1">IFERROR(IF(0=LEN(ReferenceData!$AT$243),"",ReferenceData!$AT$243),"")</f>
        <v/>
      </c>
      <c r="AU243" t="str">
        <f ca="1">IFERROR(IF(0=LEN(ReferenceData!$AU$243),"",ReferenceData!$AU$243),"")</f>
        <v/>
      </c>
      <c r="AV243" t="str">
        <f ca="1">IFERROR(IF(0=LEN(ReferenceData!$AV$243),"",ReferenceData!$AV$243),"")</f>
        <v/>
      </c>
      <c r="AW243" t="str">
        <f ca="1">IFERROR(IF(0=LEN(ReferenceData!$AW$243),"",ReferenceData!$AW$243),"")</f>
        <v/>
      </c>
      <c r="AX243" t="str">
        <f ca="1">IFERROR(IF(0=LEN(ReferenceData!$AX$243),"",ReferenceData!$AX$243),"")</f>
        <v/>
      </c>
      <c r="AY243" t="str">
        <f ca="1">IFERROR(IF(0=LEN(ReferenceData!$AY$243),"",ReferenceData!$AY$243),"")</f>
        <v/>
      </c>
      <c r="AZ243" t="str">
        <f ca="1">IFERROR(IF(0=LEN(ReferenceData!$AZ$243),"",ReferenceData!$AZ$243),"")</f>
        <v/>
      </c>
      <c r="BA243" t="str">
        <f ca="1">IFERROR(IF(0=LEN(ReferenceData!$BA$243),"",ReferenceData!$BA$243),"")</f>
        <v/>
      </c>
      <c r="BB243" t="str">
        <f ca="1">IFERROR(IF(0=LEN(ReferenceData!$BB$243),"",ReferenceData!$BB$243),"")</f>
        <v/>
      </c>
      <c r="BC243" t="str">
        <f ca="1">IFERROR(IF(0=LEN(ReferenceData!$BC$243),"",ReferenceData!$BC$243),"")</f>
        <v/>
      </c>
      <c r="BD243" t="str">
        <f ca="1">IFERROR(IF(0=LEN(ReferenceData!$BD$243),"",ReferenceData!$BD$243),"")</f>
        <v/>
      </c>
      <c r="BE243" t="str">
        <f ca="1">IFERROR(IF(0=LEN(ReferenceData!$BE$243),"",ReferenceData!$BE$243),"")</f>
        <v/>
      </c>
      <c r="BF243" t="str">
        <f ca="1">IFERROR(IF(0=LEN(ReferenceData!$BF$243),"",ReferenceData!$BF$243),"")</f>
        <v/>
      </c>
      <c r="BG243" t="str">
        <f ca="1">IFERROR(IF(0=LEN(ReferenceData!$BG$243),"",ReferenceData!$BG$243),"")</f>
        <v/>
      </c>
      <c r="BH243" t="str">
        <f ca="1">IFERROR(IF(0=LEN(ReferenceData!$BH$243),"",ReferenceData!$BH$243),"")</f>
        <v/>
      </c>
      <c r="BI243" t="str">
        <f ca="1">IFERROR(IF(0=LEN(ReferenceData!$BI$243),"",ReferenceData!$BI$243),"")</f>
        <v/>
      </c>
      <c r="BJ243" t="str">
        <f ca="1">IFERROR(IF(0=LEN(ReferenceData!$BJ$243),"",ReferenceData!$BJ$243),"")</f>
        <v/>
      </c>
      <c r="BK243" t="str">
        <f ca="1">IFERROR(IF(0=LEN(ReferenceData!$BK$243),"",ReferenceData!$BK$243),"")</f>
        <v/>
      </c>
      <c r="BL243" t="str">
        <f ca="1">IFERROR(IF(0=LEN(ReferenceData!$BL$243),"",ReferenceData!$BL$243),"")</f>
        <v/>
      </c>
      <c r="BM243" t="str">
        <f ca="1">IFERROR(IF(0=LEN(ReferenceData!$BM$243),"",ReferenceData!$BM$243),"")</f>
        <v/>
      </c>
    </row>
    <row r="244" spans="1:65" x14ac:dyDescent="0.25">
      <c r="A244" t="str">
        <f>IFERROR(IF(0=LEN(ReferenceData!$A$244),"",ReferenceData!$A$244),"")</f>
        <v xml:space="preserve">    Tesla Inc</v>
      </c>
      <c r="B244" t="str">
        <f>IFERROR(IF(0=LEN(ReferenceData!$B$244),"",ReferenceData!$B$244),"")</f>
        <v>TSLA US Equity</v>
      </c>
      <c r="C244" t="str">
        <f>IFERROR(IF(0=LEN(ReferenceData!$C$244),"",ReferenceData!$C$244),"")</f>
        <v>RR971</v>
      </c>
      <c r="D244" t="str">
        <f>IFERROR(IF(0=LEN(ReferenceData!$D$244),"",ReferenceData!$D$244),"")</f>
        <v>CURRENT_PX_TO_FREE_CASH_FLOW</v>
      </c>
      <c r="E244" t="str">
        <f>IFERROR(IF(0=LEN(ReferenceData!$E$244),"",ReferenceData!$E$244),"")</f>
        <v>Dynamic</v>
      </c>
      <c r="F244" t="str">
        <f ca="1">IFERROR(IF(0=LEN(ReferenceData!$F$244),"",ReferenceData!$F$244),"")</f>
        <v/>
      </c>
      <c r="G244" t="str">
        <f ca="1">IFERROR(IF(0=LEN(ReferenceData!$G$244),"",ReferenceData!$G$244),"")</f>
        <v/>
      </c>
      <c r="H244" t="str">
        <f ca="1">IFERROR(IF(0=LEN(ReferenceData!$H$244),"",ReferenceData!$H$244),"")</f>
        <v/>
      </c>
      <c r="I244" t="str">
        <f ca="1">IFERROR(IF(0=LEN(ReferenceData!$I$244),"",ReferenceData!$I$244),"")</f>
        <v/>
      </c>
      <c r="J244" t="str">
        <f ca="1">IFERROR(IF(0=LEN(ReferenceData!$J$244),"",ReferenceData!$J$244),"")</f>
        <v/>
      </c>
      <c r="K244" t="str">
        <f ca="1">IFERROR(IF(0=LEN(ReferenceData!$K$244),"",ReferenceData!$K$244),"")</f>
        <v/>
      </c>
      <c r="L244" t="str">
        <f ca="1">IFERROR(IF(0=LEN(ReferenceData!$L$244),"",ReferenceData!$L$244),"")</f>
        <v/>
      </c>
      <c r="M244" t="str">
        <f ca="1">IFERROR(IF(0=LEN(ReferenceData!$M$244),"",ReferenceData!$M$244),"")</f>
        <v/>
      </c>
      <c r="N244" t="str">
        <f ca="1">IFERROR(IF(0=LEN(ReferenceData!$N$244),"",ReferenceData!$N$244),"")</f>
        <v/>
      </c>
      <c r="O244" t="str">
        <f ca="1">IFERROR(IF(0=LEN(ReferenceData!$O$244),"",ReferenceData!$O$244),"")</f>
        <v/>
      </c>
      <c r="P244" t="str">
        <f ca="1">IFERROR(IF(0=LEN(ReferenceData!$P$244),"",ReferenceData!$P$244),"")</f>
        <v/>
      </c>
      <c r="Q244" t="str">
        <f ca="1">IFERROR(IF(0=LEN(ReferenceData!$Q$244),"",ReferenceData!$Q$244),"")</f>
        <v/>
      </c>
      <c r="R244" t="str">
        <f ca="1">IFERROR(IF(0=LEN(ReferenceData!$R$244),"",ReferenceData!$R$244),"")</f>
        <v/>
      </c>
      <c r="S244" t="str">
        <f ca="1">IFERROR(IF(0=LEN(ReferenceData!$S$244),"",ReferenceData!$S$244),"")</f>
        <v/>
      </c>
      <c r="T244" t="str">
        <f ca="1">IFERROR(IF(0=LEN(ReferenceData!$T$244),"",ReferenceData!$T$244),"")</f>
        <v/>
      </c>
      <c r="U244" t="str">
        <f ca="1">IFERROR(IF(0=LEN(ReferenceData!$U$244),"",ReferenceData!$U$244),"")</f>
        <v/>
      </c>
      <c r="V244" t="str">
        <f ca="1">IFERROR(IF(0=LEN(ReferenceData!$V$244),"",ReferenceData!$V$244),"")</f>
        <v/>
      </c>
      <c r="W244" t="str">
        <f ca="1">IFERROR(IF(0=LEN(ReferenceData!$W$244),"",ReferenceData!$W$244),"")</f>
        <v/>
      </c>
      <c r="X244" t="str">
        <f ca="1">IFERROR(IF(0=LEN(ReferenceData!$X$244),"",ReferenceData!$X$244),"")</f>
        <v/>
      </c>
      <c r="Y244" t="str">
        <f ca="1">IFERROR(IF(0=LEN(ReferenceData!$Y$244),"",ReferenceData!$Y$244),"")</f>
        <v/>
      </c>
      <c r="Z244">
        <f ca="1">IFERROR(IF(0=LEN(ReferenceData!$Z$244),"",ReferenceData!$Z$244),"")</f>
        <v>5458.6694349999998</v>
      </c>
      <c r="AA244">
        <f ca="1">IFERROR(IF(0=LEN(ReferenceData!$AA$244),"",ReferenceData!$AA$244),"")</f>
        <v>3866.5639420000002</v>
      </c>
      <c r="AB244" t="str">
        <f ca="1">IFERROR(IF(0=LEN(ReferenceData!$AB$244),"",ReferenceData!$AB$244),"")</f>
        <v/>
      </c>
      <c r="AC244" t="str">
        <f ca="1">IFERROR(IF(0=LEN(ReferenceData!$AC$244),"",ReferenceData!$AC$244),"")</f>
        <v/>
      </c>
      <c r="AD244" t="str">
        <f ca="1">IFERROR(IF(0=LEN(ReferenceData!$AD$244),"",ReferenceData!$AD$244),"")</f>
        <v/>
      </c>
      <c r="AE244" t="str">
        <f ca="1">IFERROR(IF(0=LEN(ReferenceData!$AE$244),"",ReferenceData!$AE$244),"")</f>
        <v/>
      </c>
      <c r="AF244" t="str">
        <f ca="1">IFERROR(IF(0=LEN(ReferenceData!$AF$244),"",ReferenceData!$AF$244),"")</f>
        <v/>
      </c>
      <c r="AG244" t="str">
        <f ca="1">IFERROR(IF(0=LEN(ReferenceData!$AG$244),"",ReferenceData!$AG$244),"")</f>
        <v/>
      </c>
      <c r="AH244" t="str">
        <f ca="1">IFERROR(IF(0=LEN(ReferenceData!$AH$244),"",ReferenceData!$AH$244),"")</f>
        <v/>
      </c>
      <c r="AI244" t="str">
        <f ca="1">IFERROR(IF(0=LEN(ReferenceData!$AI$244),"",ReferenceData!$AI$244),"")</f>
        <v/>
      </c>
      <c r="AJ244" t="str">
        <f ca="1">IFERROR(IF(0=LEN(ReferenceData!$AJ$244),"",ReferenceData!$AJ$244),"")</f>
        <v/>
      </c>
      <c r="AK244" t="str">
        <f ca="1">IFERROR(IF(0=LEN(ReferenceData!$AK$244),"",ReferenceData!$AK$244),"")</f>
        <v/>
      </c>
      <c r="AL244" t="str">
        <f ca="1">IFERROR(IF(0=LEN(ReferenceData!$AL$244),"",ReferenceData!$AL$244),"")</f>
        <v/>
      </c>
      <c r="AM244" t="str">
        <f ca="1">IFERROR(IF(0=LEN(ReferenceData!$AM$244),"",ReferenceData!$AM$244),"")</f>
        <v/>
      </c>
      <c r="AN244" t="str">
        <f ca="1">IFERROR(IF(0=LEN(ReferenceData!$AN$244),"",ReferenceData!$AN$244),"")</f>
        <v/>
      </c>
      <c r="AO244" t="str">
        <f ca="1">IFERROR(IF(0=LEN(ReferenceData!$AO$244),"",ReferenceData!$AO$244),"")</f>
        <v/>
      </c>
      <c r="AP244" t="str">
        <f ca="1">IFERROR(IF(0=LEN(ReferenceData!$AP$244),"",ReferenceData!$AP$244),"")</f>
        <v/>
      </c>
      <c r="AQ244" t="str">
        <f ca="1">IFERROR(IF(0=LEN(ReferenceData!$AQ$244),"",ReferenceData!$AQ$244),"")</f>
        <v/>
      </c>
      <c r="AR244" t="str">
        <f ca="1">IFERROR(IF(0=LEN(ReferenceData!$AR$244),"",ReferenceData!$AR$244),"")</f>
        <v/>
      </c>
      <c r="AS244" t="str">
        <f ca="1">IFERROR(IF(0=LEN(ReferenceData!$AS$244),"",ReferenceData!$AS$244),"")</f>
        <v/>
      </c>
      <c r="AT244" t="str">
        <f ca="1">IFERROR(IF(0=LEN(ReferenceData!$AT$244),"",ReferenceData!$AT$244),"")</f>
        <v/>
      </c>
      <c r="AU244" t="str">
        <f ca="1">IFERROR(IF(0=LEN(ReferenceData!$AU$244),"",ReferenceData!$AU$244),"")</f>
        <v/>
      </c>
      <c r="AV244" t="str">
        <f ca="1">IFERROR(IF(0=LEN(ReferenceData!$AV$244),"",ReferenceData!$AV$244),"")</f>
        <v/>
      </c>
      <c r="AW244" t="str">
        <f ca="1">IFERROR(IF(0=LEN(ReferenceData!$AW$244),"",ReferenceData!$AW$244),"")</f>
        <v/>
      </c>
      <c r="AX244" t="str">
        <f ca="1">IFERROR(IF(0=LEN(ReferenceData!$AX$244),"",ReferenceData!$AX$244),"")</f>
        <v/>
      </c>
      <c r="AY244" t="str">
        <f ca="1">IFERROR(IF(0=LEN(ReferenceData!$AY$244),"",ReferenceData!$AY$244),"")</f>
        <v/>
      </c>
      <c r="AZ244" t="str">
        <f ca="1">IFERROR(IF(0=LEN(ReferenceData!$AZ$244),"",ReferenceData!$AZ$244),"")</f>
        <v/>
      </c>
      <c r="BA244" t="str">
        <f ca="1">IFERROR(IF(0=LEN(ReferenceData!$BA$244),"",ReferenceData!$BA$244),"")</f>
        <v/>
      </c>
      <c r="BB244" t="str">
        <f ca="1">IFERROR(IF(0=LEN(ReferenceData!$BB$244),"",ReferenceData!$BB$244),"")</f>
        <v/>
      </c>
      <c r="BC244" t="str">
        <f ca="1">IFERROR(IF(0=LEN(ReferenceData!$BC$244),"",ReferenceData!$BC$244),"")</f>
        <v/>
      </c>
      <c r="BD244" t="str">
        <f ca="1">IFERROR(IF(0=LEN(ReferenceData!$BD$244),"",ReferenceData!$BD$244),"")</f>
        <v/>
      </c>
      <c r="BE244" t="str">
        <f ca="1">IFERROR(IF(0=LEN(ReferenceData!$BE$244),"",ReferenceData!$BE$244),"")</f>
        <v/>
      </c>
      <c r="BF244" t="str">
        <f ca="1">IFERROR(IF(0=LEN(ReferenceData!$BF$244),"",ReferenceData!$BF$244),"")</f>
        <v/>
      </c>
      <c r="BG244" t="str">
        <f ca="1">IFERROR(IF(0=LEN(ReferenceData!$BG$244),"",ReferenceData!$BG$244),"")</f>
        <v/>
      </c>
      <c r="BH244" t="str">
        <f ca="1">IFERROR(IF(0=LEN(ReferenceData!$BH$244),"",ReferenceData!$BH$244),"")</f>
        <v/>
      </c>
      <c r="BI244" t="str">
        <f ca="1">IFERROR(IF(0=LEN(ReferenceData!$BI$244),"",ReferenceData!$BI$244),"")</f>
        <v/>
      </c>
      <c r="BJ244" t="str">
        <f ca="1">IFERROR(IF(0=LEN(ReferenceData!$BJ$244),"",ReferenceData!$BJ$244),"")</f>
        <v/>
      </c>
      <c r="BK244" t="str">
        <f ca="1">IFERROR(IF(0=LEN(ReferenceData!$BK$244),"",ReferenceData!$BK$244),"")</f>
        <v/>
      </c>
      <c r="BL244" t="str">
        <f ca="1">IFERROR(IF(0=LEN(ReferenceData!$BL$244),"",ReferenceData!$BL$244),"")</f>
        <v/>
      </c>
      <c r="BM244" t="str">
        <f ca="1">IFERROR(IF(0=LEN(ReferenceData!$BM$244),"",ReferenceData!$BM$244),"")</f>
        <v/>
      </c>
    </row>
    <row r="245" spans="1:65" x14ac:dyDescent="0.25">
      <c r="A245" t="str">
        <f>IFERROR(IF(0=LEN(ReferenceData!$A$245),"",ReferenceData!$A$245),"")</f>
        <v xml:space="preserve">    Tianjin Faw Xiali Automobile Co Ltd</v>
      </c>
      <c r="B245" t="str">
        <f>IFERROR(IF(0=LEN(ReferenceData!$B$245),"",ReferenceData!$B$245),"")</f>
        <v>000927 CH Equity</v>
      </c>
      <c r="C245" t="str">
        <f>IFERROR(IF(0=LEN(ReferenceData!$C$245),"",ReferenceData!$C$245),"")</f>
        <v>RR971</v>
      </c>
      <c r="D245" t="str">
        <f>IFERROR(IF(0=LEN(ReferenceData!$D$245),"",ReferenceData!$D$245),"")</f>
        <v>CURRENT_PX_TO_FREE_CASH_FLOW</v>
      </c>
      <c r="E245" t="str">
        <f>IFERROR(IF(0=LEN(ReferenceData!$E$245),"",ReferenceData!$E$245),"")</f>
        <v>Dynamic</v>
      </c>
      <c r="F245" t="str">
        <f ca="1">IFERROR(IF(0=LEN(ReferenceData!$F$245),"",ReferenceData!$F$245),"")</f>
        <v/>
      </c>
      <c r="G245" t="str">
        <f ca="1">IFERROR(IF(0=LEN(ReferenceData!$G$245),"",ReferenceData!$G$245),"")</f>
        <v/>
      </c>
      <c r="H245" t="str">
        <f ca="1">IFERROR(IF(0=LEN(ReferenceData!$H$245),"",ReferenceData!$H$245),"")</f>
        <v/>
      </c>
      <c r="I245" t="str">
        <f ca="1">IFERROR(IF(0=LEN(ReferenceData!$I$245),"",ReferenceData!$I$245),"")</f>
        <v/>
      </c>
      <c r="J245" t="str">
        <f ca="1">IFERROR(IF(0=LEN(ReferenceData!$J$245),"",ReferenceData!$J$245),"")</f>
        <v/>
      </c>
      <c r="K245" t="str">
        <f ca="1">IFERROR(IF(0=LEN(ReferenceData!$K$245),"",ReferenceData!$K$245),"")</f>
        <v/>
      </c>
      <c r="L245" t="str">
        <f ca="1">IFERROR(IF(0=LEN(ReferenceData!$L$245),"",ReferenceData!$L$245),"")</f>
        <v/>
      </c>
      <c r="M245" t="str">
        <f ca="1">IFERROR(IF(0=LEN(ReferenceData!$M$245),"",ReferenceData!$M$245),"")</f>
        <v/>
      </c>
      <c r="N245" t="str">
        <f ca="1">IFERROR(IF(0=LEN(ReferenceData!$N$245),"",ReferenceData!$N$245),"")</f>
        <v/>
      </c>
      <c r="O245" t="str">
        <f ca="1">IFERROR(IF(0=LEN(ReferenceData!$O$245),"",ReferenceData!$O$245),"")</f>
        <v/>
      </c>
      <c r="P245" t="str">
        <f ca="1">IFERROR(IF(0=LEN(ReferenceData!$P$245),"",ReferenceData!$P$245),"")</f>
        <v/>
      </c>
      <c r="Q245" t="str">
        <f ca="1">IFERROR(IF(0=LEN(ReferenceData!$Q$245),"",ReferenceData!$Q$245),"")</f>
        <v/>
      </c>
      <c r="R245" t="str">
        <f ca="1">IFERROR(IF(0=LEN(ReferenceData!$R$245),"",ReferenceData!$R$245),"")</f>
        <v/>
      </c>
      <c r="S245" t="str">
        <f ca="1">IFERROR(IF(0=LEN(ReferenceData!$S$245),"",ReferenceData!$S$245),"")</f>
        <v/>
      </c>
      <c r="T245" t="str">
        <f ca="1">IFERROR(IF(0=LEN(ReferenceData!$T$245),"",ReferenceData!$T$245),"")</f>
        <v/>
      </c>
      <c r="U245" t="str">
        <f ca="1">IFERROR(IF(0=LEN(ReferenceData!$U$245),"",ReferenceData!$U$245),"")</f>
        <v/>
      </c>
      <c r="V245" t="str">
        <f ca="1">IFERROR(IF(0=LEN(ReferenceData!$V$245),"",ReferenceData!$V$245),"")</f>
        <v/>
      </c>
      <c r="W245" t="str">
        <f ca="1">IFERROR(IF(0=LEN(ReferenceData!$W$245),"",ReferenceData!$W$245),"")</f>
        <v/>
      </c>
      <c r="X245" t="str">
        <f ca="1">IFERROR(IF(0=LEN(ReferenceData!$X$245),"",ReferenceData!$X$245),"")</f>
        <v/>
      </c>
      <c r="Y245" t="str">
        <f ca="1">IFERROR(IF(0=LEN(ReferenceData!$Y$245),"",ReferenceData!$Y$245),"")</f>
        <v/>
      </c>
      <c r="Z245" t="str">
        <f ca="1">IFERROR(IF(0=LEN(ReferenceData!$Z$245),"",ReferenceData!$Z$245),"")</f>
        <v/>
      </c>
      <c r="AA245" t="str">
        <f ca="1">IFERROR(IF(0=LEN(ReferenceData!$AA$245),"",ReferenceData!$AA$245),"")</f>
        <v/>
      </c>
      <c r="AB245">
        <f ca="1">IFERROR(IF(0=LEN(ReferenceData!$AB$245),"",ReferenceData!$AB$245),"")</f>
        <v>32.314293859999999</v>
      </c>
      <c r="AC245">
        <f ca="1">IFERROR(IF(0=LEN(ReferenceData!$AC$245),"",ReferenceData!$AC$245),"")</f>
        <v>31.526140349999999</v>
      </c>
      <c r="AD245" t="str">
        <f ca="1">IFERROR(IF(0=LEN(ReferenceData!$AD$245),"",ReferenceData!$AD$245),"")</f>
        <v/>
      </c>
      <c r="AE245" t="str">
        <f ca="1">IFERROR(IF(0=LEN(ReferenceData!$AE$245),"",ReferenceData!$AE$245),"")</f>
        <v/>
      </c>
      <c r="AF245" t="str">
        <f ca="1">IFERROR(IF(0=LEN(ReferenceData!$AF$245),"",ReferenceData!$AF$245),"")</f>
        <v/>
      </c>
      <c r="AG245" t="str">
        <f ca="1">IFERROR(IF(0=LEN(ReferenceData!$AG$245),"",ReferenceData!$AG$245),"")</f>
        <v/>
      </c>
      <c r="AH245" t="str">
        <f ca="1">IFERROR(IF(0=LEN(ReferenceData!$AH$245),"",ReferenceData!$AH$245),"")</f>
        <v/>
      </c>
      <c r="AI245" t="str">
        <f ca="1">IFERROR(IF(0=LEN(ReferenceData!$AI$245),"",ReferenceData!$AI$245),"")</f>
        <v/>
      </c>
      <c r="AJ245" t="str">
        <f ca="1">IFERROR(IF(0=LEN(ReferenceData!$AJ$245),"",ReferenceData!$AJ$245),"")</f>
        <v/>
      </c>
      <c r="AK245" t="str">
        <f ca="1">IFERROR(IF(0=LEN(ReferenceData!$AK$245),"",ReferenceData!$AK$245),"")</f>
        <v/>
      </c>
      <c r="AL245" t="str">
        <f ca="1">IFERROR(IF(0=LEN(ReferenceData!$AL$245),"",ReferenceData!$AL$245),"")</f>
        <v/>
      </c>
      <c r="AM245" t="str">
        <f ca="1">IFERROR(IF(0=LEN(ReferenceData!$AM$245),"",ReferenceData!$AM$245),"")</f>
        <v/>
      </c>
      <c r="AN245">
        <f ca="1">IFERROR(IF(0=LEN(ReferenceData!$AN$245),"",ReferenceData!$AN$245),"")</f>
        <v>117.780479</v>
      </c>
      <c r="AO245">
        <f ca="1">IFERROR(IF(0=LEN(ReferenceData!$AO$245),"",ReferenceData!$AO$245),"")</f>
        <v>116.87331229999999</v>
      </c>
      <c r="AP245">
        <f ca="1">IFERROR(IF(0=LEN(ReferenceData!$AP$245),"",ReferenceData!$AP$245),"")</f>
        <v>146.76276100000001</v>
      </c>
      <c r="AQ245">
        <f ca="1">IFERROR(IF(0=LEN(ReferenceData!$AQ$245),"",ReferenceData!$AQ$245),"")</f>
        <v>347.30329160000002</v>
      </c>
      <c r="AR245">
        <f ca="1">IFERROR(IF(0=LEN(ReferenceData!$AR$245),"",ReferenceData!$AR$245),"")</f>
        <v>19.835745800000002</v>
      </c>
      <c r="AS245" t="str">
        <f ca="1">IFERROR(IF(0=LEN(ReferenceData!$AS$245),"",ReferenceData!$AS$245),"")</f>
        <v/>
      </c>
      <c r="AT245" t="str">
        <f ca="1">IFERROR(IF(0=LEN(ReferenceData!$AT$245),"",ReferenceData!$AT$245),"")</f>
        <v/>
      </c>
      <c r="AU245" t="str">
        <f ca="1">IFERROR(IF(0=LEN(ReferenceData!$AU$245),"",ReferenceData!$AU$245),"")</f>
        <v/>
      </c>
      <c r="AV245" t="str">
        <f ca="1">IFERROR(IF(0=LEN(ReferenceData!$AV$245),"",ReferenceData!$AV$245),"")</f>
        <v/>
      </c>
      <c r="AW245" t="str">
        <f ca="1">IFERROR(IF(0=LEN(ReferenceData!$AW$245),"",ReferenceData!$AW$245),"")</f>
        <v/>
      </c>
      <c r="AX245" t="str">
        <f ca="1">IFERROR(IF(0=LEN(ReferenceData!$AX$245),"",ReferenceData!$AX$245),"")</f>
        <v/>
      </c>
      <c r="AY245" t="str">
        <f ca="1">IFERROR(IF(0=LEN(ReferenceData!$AY$245),"",ReferenceData!$AY$245),"")</f>
        <v/>
      </c>
      <c r="AZ245">
        <f ca="1">IFERROR(IF(0=LEN(ReferenceData!$AZ$245),"",ReferenceData!$AZ$245),"")</f>
        <v>23.41074931</v>
      </c>
      <c r="BA245">
        <f ca="1">IFERROR(IF(0=LEN(ReferenceData!$BA$245),"",ReferenceData!$BA$245),"")</f>
        <v>10.901781339999999</v>
      </c>
      <c r="BB245">
        <f ca="1">IFERROR(IF(0=LEN(ReferenceData!$BB$245),"",ReferenceData!$BB$245),"")</f>
        <v>13.040408299999999</v>
      </c>
      <c r="BC245">
        <f ca="1">IFERROR(IF(0=LEN(ReferenceData!$BC$245),"",ReferenceData!$BC$245),"")</f>
        <v>5.1967042040000004</v>
      </c>
      <c r="BD245">
        <f ca="1">IFERROR(IF(0=LEN(ReferenceData!$BD$245),"",ReferenceData!$BD$245),"")</f>
        <v>3.6637246710000002</v>
      </c>
      <c r="BE245">
        <f ca="1">IFERROR(IF(0=LEN(ReferenceData!$BE$245),"",ReferenceData!$BE$245),"")</f>
        <v>9.3990600539999996</v>
      </c>
      <c r="BF245">
        <f ca="1">IFERROR(IF(0=LEN(ReferenceData!$BF$245),"",ReferenceData!$BF$245),"")</f>
        <v>7.6019656270000002</v>
      </c>
      <c r="BG245">
        <f ca="1">IFERROR(IF(0=LEN(ReferenceData!$BG$245),"",ReferenceData!$BG$245),"")</f>
        <v>6.1645084580000002</v>
      </c>
      <c r="BH245">
        <f ca="1">IFERROR(IF(0=LEN(ReferenceData!$BH$245),"",ReferenceData!$BH$245),"")</f>
        <v>6.3476469809999996</v>
      </c>
      <c r="BI245">
        <f ca="1">IFERROR(IF(0=LEN(ReferenceData!$BI$245),"",ReferenceData!$BI$245),"")</f>
        <v>19.188015889999999</v>
      </c>
      <c r="BJ245">
        <f ca="1">IFERROR(IF(0=LEN(ReferenceData!$BJ$245),"",ReferenceData!$BJ$245),"")</f>
        <v>16.27864164</v>
      </c>
      <c r="BK245">
        <f ca="1">IFERROR(IF(0=LEN(ReferenceData!$BK$245),"",ReferenceData!$BK$245),"")</f>
        <v>1064.5410119999999</v>
      </c>
      <c r="BL245" t="str">
        <f ca="1">IFERROR(IF(0=LEN(ReferenceData!$BL$245),"",ReferenceData!$BL$245),"")</f>
        <v/>
      </c>
      <c r="BM245" t="str">
        <f ca="1">IFERROR(IF(0=LEN(ReferenceData!$BM$245),"",ReferenceData!$BM$245),"")</f>
        <v/>
      </c>
    </row>
    <row r="246" spans="1:65" x14ac:dyDescent="0.25">
      <c r="A246" t="str">
        <f>IFERROR(IF(0=LEN(ReferenceData!$A$246),"",ReferenceData!$A$246),"")</f>
        <v xml:space="preserve">    Tofas Turk Otomobil Fabrikasi AS</v>
      </c>
      <c r="B246" t="str">
        <f>IFERROR(IF(0=LEN(ReferenceData!$B$246),"",ReferenceData!$B$246),"")</f>
        <v>TOASOTRY EO Equity</v>
      </c>
      <c r="C246" t="str">
        <f>IFERROR(IF(0=LEN(ReferenceData!$C$246),"",ReferenceData!$C$246),"")</f>
        <v>RR971</v>
      </c>
      <c r="D246" t="str">
        <f>IFERROR(IF(0=LEN(ReferenceData!$D$246),"",ReferenceData!$D$246),"")</f>
        <v>CURRENT_PX_TO_FREE_CASH_FLOW</v>
      </c>
      <c r="E246" t="str">
        <f>IFERROR(IF(0=LEN(ReferenceData!$E$246),"",ReferenceData!$E$246),"")</f>
        <v>Dynamic</v>
      </c>
      <c r="F246">
        <f ca="1">IFERROR(IF(0=LEN(ReferenceData!$F$246),"",ReferenceData!$F$246),"")</f>
        <v>9.5601933139999993</v>
      </c>
      <c r="G246">
        <f ca="1">IFERROR(IF(0=LEN(ReferenceData!$G$246),"",ReferenceData!$G$246),"")</f>
        <v>8.0783633500000001</v>
      </c>
      <c r="H246">
        <f ca="1">IFERROR(IF(0=LEN(ReferenceData!$H$246),"",ReferenceData!$H$246),"")</f>
        <v>9.6772626630000005</v>
      </c>
      <c r="I246">
        <f ca="1">IFERROR(IF(0=LEN(ReferenceData!$I$246),"",ReferenceData!$I$246),"")</f>
        <v>10.641450620000001</v>
      </c>
      <c r="J246">
        <f ca="1">IFERROR(IF(0=LEN(ReferenceData!$J$246),"",ReferenceData!$J$246),"")</f>
        <v>14.42611904</v>
      </c>
      <c r="K246">
        <f ca="1">IFERROR(IF(0=LEN(ReferenceData!$K$246),"",ReferenceData!$K$246),"")</f>
        <v>21.585903210000001</v>
      </c>
      <c r="L246">
        <f ca="1">IFERROR(IF(0=LEN(ReferenceData!$L$246),"",ReferenceData!$L$246),"")</f>
        <v>9.4417271490000001</v>
      </c>
      <c r="M246">
        <f ca="1">IFERROR(IF(0=LEN(ReferenceData!$M$246),"",ReferenceData!$M$246),"")</f>
        <v>9.0393626489999992</v>
      </c>
      <c r="N246">
        <f ca="1">IFERROR(IF(0=LEN(ReferenceData!$N$246),"",ReferenceData!$N$246),"")</f>
        <v>8.8697431469999994</v>
      </c>
      <c r="O246">
        <f ca="1">IFERROR(IF(0=LEN(ReferenceData!$O$246),"",ReferenceData!$O$246),"")</f>
        <v>36.371256340000002</v>
      </c>
      <c r="P246">
        <f ca="1">IFERROR(IF(0=LEN(ReferenceData!$P$246),"",ReferenceData!$P$246),"")</f>
        <v>183.03995710000001</v>
      </c>
      <c r="Q246" t="str">
        <f ca="1">IFERROR(IF(0=LEN(ReferenceData!$Q$246),"",ReferenceData!$Q$246),"")</f>
        <v/>
      </c>
      <c r="R246">
        <f ca="1">IFERROR(IF(0=LEN(ReferenceData!$R$246),"",ReferenceData!$R$246),"")</f>
        <v>139.36222979999999</v>
      </c>
      <c r="S246">
        <f ca="1">IFERROR(IF(0=LEN(ReferenceData!$S$246),"",ReferenceData!$S$246),"")</f>
        <v>115.3237665</v>
      </c>
      <c r="T246" t="str">
        <f ca="1">IFERROR(IF(0=LEN(ReferenceData!$T$246),"",ReferenceData!$T$246),"")</f>
        <v/>
      </c>
      <c r="U246" t="str">
        <f ca="1">IFERROR(IF(0=LEN(ReferenceData!$U$246),"",ReferenceData!$U$246),"")</f>
        <v/>
      </c>
      <c r="V246" t="str">
        <f ca="1">IFERROR(IF(0=LEN(ReferenceData!$V$246),"",ReferenceData!$V$246),"")</f>
        <v/>
      </c>
      <c r="W246">
        <f ca="1">IFERROR(IF(0=LEN(ReferenceData!$W$246),"",ReferenceData!$W$246),"")</f>
        <v>33.309721799999998</v>
      </c>
      <c r="X246">
        <f ca="1">IFERROR(IF(0=LEN(ReferenceData!$X$246),"",ReferenceData!$X$246),"")</f>
        <v>26.98509108</v>
      </c>
      <c r="Y246">
        <f ca="1">IFERROR(IF(0=LEN(ReferenceData!$Y$246),"",ReferenceData!$Y$246),"")</f>
        <v>34.122873800000001</v>
      </c>
      <c r="Z246">
        <f ca="1">IFERROR(IF(0=LEN(ReferenceData!$Z$246),"",ReferenceData!$Z$246),"")</f>
        <v>19.79181912</v>
      </c>
      <c r="AA246">
        <f ca="1">IFERROR(IF(0=LEN(ReferenceData!$AA$246),"",ReferenceData!$AA$246),"")</f>
        <v>8.6885933000000009</v>
      </c>
      <c r="AB246">
        <f ca="1">IFERROR(IF(0=LEN(ReferenceData!$AB$246),"",ReferenceData!$AB$246),"")</f>
        <v>6.7291954890000003</v>
      </c>
      <c r="AC246">
        <f ca="1">IFERROR(IF(0=LEN(ReferenceData!$AC$246),"",ReferenceData!$AC$246),"")</f>
        <v>7.1778488610000002</v>
      </c>
      <c r="AD246">
        <f ca="1">IFERROR(IF(0=LEN(ReferenceData!$AD$246),"",ReferenceData!$AD$246),"")</f>
        <v>5.2892210200000003</v>
      </c>
      <c r="AE246">
        <f ca="1">IFERROR(IF(0=LEN(ReferenceData!$AE$246),"",ReferenceData!$AE$246),"")</f>
        <v>7.8819856929999998</v>
      </c>
      <c r="AF246">
        <f ca="1">IFERROR(IF(0=LEN(ReferenceData!$AF$246),"",ReferenceData!$AF$246),"")</f>
        <v>7.8031003739999996</v>
      </c>
      <c r="AG246">
        <f ca="1">IFERROR(IF(0=LEN(ReferenceData!$AG$246),"",ReferenceData!$AG$246),"")</f>
        <v>11.0376537</v>
      </c>
      <c r="AH246" t="str">
        <f ca="1">IFERROR(IF(0=LEN(ReferenceData!$AH$246),"",ReferenceData!$AH$246),"")</f>
        <v/>
      </c>
      <c r="AI246" t="str">
        <f ca="1">IFERROR(IF(0=LEN(ReferenceData!$AI$246),"",ReferenceData!$AI$246),"")</f>
        <v/>
      </c>
      <c r="AJ246" t="str">
        <f ca="1">IFERROR(IF(0=LEN(ReferenceData!$AJ$246),"",ReferenceData!$AJ$246),"")</f>
        <v/>
      </c>
      <c r="AK246" t="str">
        <f ca="1">IFERROR(IF(0=LEN(ReferenceData!$AK$246),"",ReferenceData!$AK$246),"")</f>
        <v/>
      </c>
      <c r="AL246">
        <f ca="1">IFERROR(IF(0=LEN(ReferenceData!$AL$246),"",ReferenceData!$AL$246),"")</f>
        <v>20.39840766</v>
      </c>
      <c r="AM246">
        <f ca="1">IFERROR(IF(0=LEN(ReferenceData!$AM$246),"",ReferenceData!$AM$246),"")</f>
        <v>18.83658063</v>
      </c>
      <c r="AN246">
        <f ca="1">IFERROR(IF(0=LEN(ReferenceData!$AN$246),"",ReferenceData!$AN$246),"")</f>
        <v>9.0771338959999994</v>
      </c>
      <c r="AO246">
        <f ca="1">IFERROR(IF(0=LEN(ReferenceData!$AO$246),"",ReferenceData!$AO$246),"")</f>
        <v>8.2584718929999994</v>
      </c>
      <c r="AP246">
        <f ca="1">IFERROR(IF(0=LEN(ReferenceData!$AP$246),"",ReferenceData!$AP$246),"")</f>
        <v>4.149359434</v>
      </c>
      <c r="AQ246">
        <f ca="1">IFERROR(IF(0=LEN(ReferenceData!$AQ$246),"",ReferenceData!$AQ$246),"")</f>
        <v>5.5616040819999997</v>
      </c>
      <c r="AR246" t="str">
        <f ca="1">IFERROR(IF(0=LEN(ReferenceData!$AR$246),"",ReferenceData!$AR$246),"")</f>
        <v/>
      </c>
      <c r="AS246" t="str">
        <f ca="1">IFERROR(IF(0=LEN(ReferenceData!$AS$246),"",ReferenceData!$AS$246),"")</f>
        <v/>
      </c>
      <c r="AT246" t="str">
        <f ca="1">IFERROR(IF(0=LEN(ReferenceData!$AT$246),"",ReferenceData!$AT$246),"")</f>
        <v/>
      </c>
      <c r="AU246" t="str">
        <f ca="1">IFERROR(IF(0=LEN(ReferenceData!$AU$246),"",ReferenceData!$AU$246),"")</f>
        <v/>
      </c>
      <c r="AV246" t="str">
        <f ca="1">IFERROR(IF(0=LEN(ReferenceData!$AV$246),"",ReferenceData!$AV$246),"")</f>
        <v/>
      </c>
      <c r="AW246" t="str">
        <f ca="1">IFERROR(IF(0=LEN(ReferenceData!$AW$246),"",ReferenceData!$AW$246),"")</f>
        <v/>
      </c>
      <c r="AX246" t="str">
        <f ca="1">IFERROR(IF(0=LEN(ReferenceData!$AX$246),"",ReferenceData!$AX$246),"")</f>
        <v/>
      </c>
      <c r="AY246" t="str">
        <f ca="1">IFERROR(IF(0=LEN(ReferenceData!$AY$246),"",ReferenceData!$AY$246),"")</f>
        <v/>
      </c>
      <c r="AZ246" t="str">
        <f ca="1">IFERROR(IF(0=LEN(ReferenceData!$AZ$246),"",ReferenceData!$AZ$246),"")</f>
        <v/>
      </c>
      <c r="BA246" t="str">
        <f ca="1">IFERROR(IF(0=LEN(ReferenceData!$BA$246),"",ReferenceData!$BA$246),"")</f>
        <v/>
      </c>
      <c r="BB246" t="str">
        <f ca="1">IFERROR(IF(0=LEN(ReferenceData!$BB$246),"",ReferenceData!$BB$246),"")</f>
        <v/>
      </c>
      <c r="BC246" t="str">
        <f ca="1">IFERROR(IF(0=LEN(ReferenceData!$BC$246),"",ReferenceData!$BC$246),"")</f>
        <v/>
      </c>
      <c r="BD246">
        <f ca="1">IFERROR(IF(0=LEN(ReferenceData!$BD$246),"",ReferenceData!$BD$246),"")</f>
        <v>11.648355479999999</v>
      </c>
      <c r="BE246">
        <f ca="1">IFERROR(IF(0=LEN(ReferenceData!$BE$246),"",ReferenceData!$BE$246),"")</f>
        <v>11.81965482</v>
      </c>
      <c r="BF246">
        <f ca="1">IFERROR(IF(0=LEN(ReferenceData!$BF$246),"",ReferenceData!$BF$246),"")</f>
        <v>14.92924197</v>
      </c>
      <c r="BG246">
        <f ca="1">IFERROR(IF(0=LEN(ReferenceData!$BG$246),"",ReferenceData!$BG$246),"")</f>
        <v>12.558811970000001</v>
      </c>
      <c r="BH246" t="str">
        <f ca="1">IFERROR(IF(0=LEN(ReferenceData!$BH$246),"",ReferenceData!$BH$246),"")</f>
        <v/>
      </c>
      <c r="BI246" t="str">
        <f ca="1">IFERROR(IF(0=LEN(ReferenceData!$BI$246),"",ReferenceData!$BI$246),"")</f>
        <v/>
      </c>
      <c r="BJ246" t="str">
        <f ca="1">IFERROR(IF(0=LEN(ReferenceData!$BJ$246),"",ReferenceData!$BJ$246),"")</f>
        <v/>
      </c>
      <c r="BK246" t="str">
        <f ca="1">IFERROR(IF(0=LEN(ReferenceData!$BK$246),"",ReferenceData!$BK$246),"")</f>
        <v/>
      </c>
      <c r="BL246" t="str">
        <f ca="1">IFERROR(IF(0=LEN(ReferenceData!$BL$246),"",ReferenceData!$BL$246),"")</f>
        <v/>
      </c>
      <c r="BM246" t="str">
        <f ca="1">IFERROR(IF(0=LEN(ReferenceData!$BM$246),"",ReferenceData!$BM$246),"")</f>
        <v/>
      </c>
    </row>
    <row r="247" spans="1:65" x14ac:dyDescent="0.25">
      <c r="A247" t="str">
        <f>IFERROR(IF(0=LEN(ReferenceData!$A$247),"",ReferenceData!$A$247),"")</f>
        <v xml:space="preserve">    Toyota Motor Corp</v>
      </c>
      <c r="B247" t="str">
        <f>IFERROR(IF(0=LEN(ReferenceData!$B$247),"",ReferenceData!$B$247),"")</f>
        <v>7203 JP Equity</v>
      </c>
      <c r="C247" t="str">
        <f>IFERROR(IF(0=LEN(ReferenceData!$C$247),"",ReferenceData!$C$247),"")</f>
        <v>RR971</v>
      </c>
      <c r="D247" t="str">
        <f>IFERROR(IF(0=LEN(ReferenceData!$D$247),"",ReferenceData!$D$247),"")</f>
        <v>CURRENT_PX_TO_FREE_CASH_FLOW</v>
      </c>
      <c r="E247" t="str">
        <f>IFERROR(IF(0=LEN(ReferenceData!$E$247),"",ReferenceData!$E$247),"")</f>
        <v>Dynamic</v>
      </c>
      <c r="F247">
        <f ca="1">IFERROR(IF(0=LEN(ReferenceData!$F$247),"",ReferenceData!$F$247),"")</f>
        <v>7.0441829690000004</v>
      </c>
      <c r="G247">
        <f ca="1">IFERROR(IF(0=LEN(ReferenceData!$G$247),"",ReferenceData!$G$247),"")</f>
        <v>6.7150351339999999</v>
      </c>
      <c r="H247">
        <f ca="1">IFERROR(IF(0=LEN(ReferenceData!$H$247),"",ReferenceData!$H$247),"")</f>
        <v>8.0407995010000004</v>
      </c>
      <c r="I247">
        <f ca="1">IFERROR(IF(0=LEN(ReferenceData!$I$247),"",ReferenceData!$I$247),"")</f>
        <v>8.3127613250000003</v>
      </c>
      <c r="J247">
        <f ca="1">IFERROR(IF(0=LEN(ReferenceData!$J$247),"",ReferenceData!$J$247),"")</f>
        <v>6.8889079229999997</v>
      </c>
      <c r="K247">
        <f ca="1">IFERROR(IF(0=LEN(ReferenceData!$K$247),"",ReferenceData!$K$247),"")</f>
        <v>7.4700930740000002</v>
      </c>
      <c r="L247">
        <f ca="1">IFERROR(IF(0=LEN(ReferenceData!$L$247),"",ReferenceData!$L$247),"")</f>
        <v>7.4774632810000004</v>
      </c>
      <c r="M247">
        <f ca="1">IFERROR(IF(0=LEN(ReferenceData!$M$247),"",ReferenceData!$M$247),"")</f>
        <v>8.1897170199999998</v>
      </c>
      <c r="N247">
        <f ca="1">IFERROR(IF(0=LEN(ReferenceData!$N$247),"",ReferenceData!$N$247),"")</f>
        <v>8.2932957399999996</v>
      </c>
      <c r="O247">
        <f ca="1">IFERROR(IF(0=LEN(ReferenceData!$O$247),"",ReferenceData!$O$247),"")</f>
        <v>8.8987960679999993</v>
      </c>
      <c r="P247">
        <f ca="1">IFERROR(IF(0=LEN(ReferenceData!$P$247),"",ReferenceData!$P$247),"")</f>
        <v>6.2430402330000003</v>
      </c>
      <c r="Q247">
        <f ca="1">IFERROR(IF(0=LEN(ReferenceData!$Q$247),"",ReferenceData!$Q$247),"")</f>
        <v>4.7570613230000003</v>
      </c>
      <c r="R247">
        <f ca="1">IFERROR(IF(0=LEN(ReferenceData!$R$247),"",ReferenceData!$R$247),"")</f>
        <v>5.8130690009999997</v>
      </c>
      <c r="S247">
        <f ca="1">IFERROR(IF(0=LEN(ReferenceData!$S$247),"",ReferenceData!$S$247),"")</f>
        <v>7.606291079</v>
      </c>
      <c r="T247">
        <f ca="1">IFERROR(IF(0=LEN(ReferenceData!$T$247),"",ReferenceData!$T$247),"")</f>
        <v>8.1508095330000003</v>
      </c>
      <c r="U247">
        <f ca="1">IFERROR(IF(0=LEN(ReferenceData!$U$247),"",ReferenceData!$U$247),"")</f>
        <v>9.6695034369999995</v>
      </c>
      <c r="V247">
        <f ca="1">IFERROR(IF(0=LEN(ReferenceData!$V$247),"",ReferenceData!$V$247),"")</f>
        <v>10.421712039999999</v>
      </c>
      <c r="W247">
        <f ca="1">IFERROR(IF(0=LEN(ReferenceData!$W$247),"",ReferenceData!$W$247),"")</f>
        <v>10.881852070000001</v>
      </c>
      <c r="X247">
        <f ca="1">IFERROR(IF(0=LEN(ReferenceData!$X$247),"",ReferenceData!$X$247),"")</f>
        <v>8.7578763679999998</v>
      </c>
      <c r="Y247">
        <f ca="1">IFERROR(IF(0=LEN(ReferenceData!$Y$247),"",ReferenceData!$Y$247),"")</f>
        <v>7.7213115180000003</v>
      </c>
      <c r="Z247">
        <f ca="1">IFERROR(IF(0=LEN(ReferenceData!$Z$247),"",ReferenceData!$Z$247),"")</f>
        <v>6.8991361519999996</v>
      </c>
      <c r="AA247">
        <f ca="1">IFERROR(IF(0=LEN(ReferenceData!$AA$247),"",ReferenceData!$AA$247),"")</f>
        <v>8.2001778139999999</v>
      </c>
      <c r="AB247">
        <f ca="1">IFERROR(IF(0=LEN(ReferenceData!$AB$247),"",ReferenceData!$AB$247),"")</f>
        <v>8.9426732779999991</v>
      </c>
      <c r="AC247">
        <f ca="1">IFERROR(IF(0=LEN(ReferenceData!$AC$247),"",ReferenceData!$AC$247),"")</f>
        <v>10.161123480000001</v>
      </c>
      <c r="AD247">
        <f ca="1">IFERROR(IF(0=LEN(ReferenceData!$AD$247),"",ReferenceData!$AD$247),"")</f>
        <v>9.6390460939999993</v>
      </c>
      <c r="AE247">
        <f ca="1">IFERROR(IF(0=LEN(ReferenceData!$AE$247),"",ReferenceData!$AE$247),"")</f>
        <v>7.9314784310000004</v>
      </c>
      <c r="AF247">
        <f ca="1">IFERROR(IF(0=LEN(ReferenceData!$AF$247),"",ReferenceData!$AF$247),"")</f>
        <v>6.6857019600000003</v>
      </c>
      <c r="AG247">
        <f ca="1">IFERROR(IF(0=LEN(ReferenceData!$AG$247),"",ReferenceData!$AG$247),"")</f>
        <v>9.1338151090000004</v>
      </c>
      <c r="AH247">
        <f ca="1">IFERROR(IF(0=LEN(ReferenceData!$AH$247),"",ReferenceData!$AH$247),"")</f>
        <v>15.44576069</v>
      </c>
      <c r="AI247">
        <f ca="1">IFERROR(IF(0=LEN(ReferenceData!$AI$247),"",ReferenceData!$AI$247),"")</f>
        <v>11.70232624</v>
      </c>
      <c r="AJ247">
        <f ca="1">IFERROR(IF(0=LEN(ReferenceData!$AJ$247),"",ReferenceData!$AJ$247),"")</f>
        <v>13.381017959999999</v>
      </c>
      <c r="AK247">
        <f ca="1">IFERROR(IF(0=LEN(ReferenceData!$AK$247),"",ReferenceData!$AK$247),"")</f>
        <v>11.121177360000001</v>
      </c>
      <c r="AL247">
        <f ca="1">IFERROR(IF(0=LEN(ReferenceData!$AL$247),"",ReferenceData!$AL$247),"")</f>
        <v>7.5323783789999998</v>
      </c>
      <c r="AM247">
        <f ca="1">IFERROR(IF(0=LEN(ReferenceData!$AM$247),"",ReferenceData!$AM$247),"")</f>
        <v>7.3862604809999999</v>
      </c>
      <c r="AN247">
        <f ca="1">IFERROR(IF(0=LEN(ReferenceData!$AN$247),"",ReferenceData!$AN$247),"")</f>
        <v>5.6695137950000003</v>
      </c>
      <c r="AO247">
        <f ca="1">IFERROR(IF(0=LEN(ReferenceData!$AO$247),"",ReferenceData!$AO$247),"")</f>
        <v>4.3215017370000002</v>
      </c>
      <c r="AP247">
        <f ca="1">IFERROR(IF(0=LEN(ReferenceData!$AP$247),"",ReferenceData!$AP$247),"")</f>
        <v>6.010405274</v>
      </c>
      <c r="AQ247">
        <f ca="1">IFERROR(IF(0=LEN(ReferenceData!$AQ$247),"",ReferenceData!$AQ$247),"")</f>
        <v>7.6463193739999999</v>
      </c>
      <c r="AR247">
        <f ca="1">IFERROR(IF(0=LEN(ReferenceData!$AR$247),"",ReferenceData!$AR$247),"")</f>
        <v>20.760865710000001</v>
      </c>
      <c r="AS247">
        <f ca="1">IFERROR(IF(0=LEN(ReferenceData!$AS$247),"",ReferenceData!$AS$247),"")</f>
        <v>102.08933330000001</v>
      </c>
      <c r="AT247">
        <f ca="1">IFERROR(IF(0=LEN(ReferenceData!$AT$247),"",ReferenceData!$AT$247),"")</f>
        <v>89.220929949999999</v>
      </c>
      <c r="AU247" t="str">
        <f ca="1">IFERROR(IF(0=LEN(ReferenceData!$AU$247),"",ReferenceData!$AU$247),"")</f>
        <v/>
      </c>
      <c r="AV247" t="str">
        <f ca="1">IFERROR(IF(0=LEN(ReferenceData!$AV$247),"",ReferenceData!$AV$247),"")</f>
        <v/>
      </c>
      <c r="AW247" t="str">
        <f ca="1">IFERROR(IF(0=LEN(ReferenceData!$AW$247),"",ReferenceData!$AW$247),"")</f>
        <v/>
      </c>
      <c r="AX247" t="str">
        <f ca="1">IFERROR(IF(0=LEN(ReferenceData!$AX$247),"",ReferenceData!$AX$247),"")</f>
        <v/>
      </c>
      <c r="AY247" t="str">
        <f ca="1">IFERROR(IF(0=LEN(ReferenceData!$AY$247),"",ReferenceData!$AY$247),"")</f>
        <v/>
      </c>
      <c r="AZ247" t="str">
        <f ca="1">IFERROR(IF(0=LEN(ReferenceData!$AZ$247),"",ReferenceData!$AZ$247),"")</f>
        <v/>
      </c>
      <c r="BA247" t="str">
        <f ca="1">IFERROR(IF(0=LEN(ReferenceData!$BA$247),"",ReferenceData!$BA$247),"")</f>
        <v/>
      </c>
      <c r="BB247" t="str">
        <f ca="1">IFERROR(IF(0=LEN(ReferenceData!$BB$247),"",ReferenceData!$BB$247),"")</f>
        <v/>
      </c>
      <c r="BC247" t="str">
        <f ca="1">IFERROR(IF(0=LEN(ReferenceData!$BC$247),"",ReferenceData!$BC$247),"")</f>
        <v/>
      </c>
      <c r="BD247" t="str">
        <f ca="1">IFERROR(IF(0=LEN(ReferenceData!$BD$247),"",ReferenceData!$BD$247),"")</f>
        <v/>
      </c>
      <c r="BE247" t="str">
        <f ca="1">IFERROR(IF(0=LEN(ReferenceData!$BE$247),"",ReferenceData!$BE$247),"")</f>
        <v/>
      </c>
      <c r="BF247" t="str">
        <f ca="1">IFERROR(IF(0=LEN(ReferenceData!$BF$247),"",ReferenceData!$BF$247),"")</f>
        <v/>
      </c>
      <c r="BG247" t="str">
        <f ca="1">IFERROR(IF(0=LEN(ReferenceData!$BG$247),"",ReferenceData!$BG$247),"")</f>
        <v/>
      </c>
      <c r="BH247" t="str">
        <f ca="1">IFERROR(IF(0=LEN(ReferenceData!$BH$247),"",ReferenceData!$BH$247),"")</f>
        <v/>
      </c>
      <c r="BI247" t="str">
        <f ca="1">IFERROR(IF(0=LEN(ReferenceData!$BI$247),"",ReferenceData!$BI$247),"")</f>
        <v/>
      </c>
      <c r="BJ247" t="str">
        <f ca="1">IFERROR(IF(0=LEN(ReferenceData!$BJ$247),"",ReferenceData!$BJ$247),"")</f>
        <v/>
      </c>
      <c r="BK247" t="str">
        <f ca="1">IFERROR(IF(0=LEN(ReferenceData!$BK$247),"",ReferenceData!$BK$247),"")</f>
        <v/>
      </c>
      <c r="BL247" t="str">
        <f ca="1">IFERROR(IF(0=LEN(ReferenceData!$BL$247),"",ReferenceData!$BL$247),"")</f>
        <v/>
      </c>
      <c r="BM247" t="str">
        <f ca="1">IFERROR(IF(0=LEN(ReferenceData!$BM$247),"",ReferenceData!$BM$247),"")</f>
        <v/>
      </c>
    </row>
    <row r="248" spans="1:65" x14ac:dyDescent="0.25">
      <c r="A248" t="str">
        <f>IFERROR(IF(0=LEN(ReferenceData!$A$248),"",ReferenceData!$A$248),"")</f>
        <v xml:space="preserve">    Volkswagen AG</v>
      </c>
      <c r="B248" t="str">
        <f>IFERROR(IF(0=LEN(ReferenceData!$B$248),"",ReferenceData!$B$248),"")</f>
        <v>VOW GR Equity</v>
      </c>
      <c r="C248" t="str">
        <f>IFERROR(IF(0=LEN(ReferenceData!$C$248),"",ReferenceData!$C$248),"")</f>
        <v>RR971</v>
      </c>
      <c r="D248" t="str">
        <f>IFERROR(IF(0=LEN(ReferenceData!$D$248),"",ReferenceData!$D$248),"")</f>
        <v>CURRENT_PX_TO_FREE_CASH_FLOW</v>
      </c>
      <c r="E248" t="str">
        <f>IFERROR(IF(0=LEN(ReferenceData!$E$248),"",ReferenceData!$E$248),"")</f>
        <v>Dynamic</v>
      </c>
      <c r="F248" t="str">
        <f ca="1">IFERROR(IF(0=LEN(ReferenceData!$F$248),"",ReferenceData!$F$248),"")</f>
        <v/>
      </c>
      <c r="G248" t="str">
        <f ca="1">IFERROR(IF(0=LEN(ReferenceData!$G$248),"",ReferenceData!$G$248),"")</f>
        <v/>
      </c>
      <c r="H248" t="str">
        <f ca="1">IFERROR(IF(0=LEN(ReferenceData!$H$248),"",ReferenceData!$H$248),"")</f>
        <v/>
      </c>
      <c r="I248" t="str">
        <f ca="1">IFERROR(IF(0=LEN(ReferenceData!$I$248),"",ReferenceData!$I$248),"")</f>
        <v/>
      </c>
      <c r="J248" t="str">
        <f ca="1">IFERROR(IF(0=LEN(ReferenceData!$J$248),"",ReferenceData!$J$248),"")</f>
        <v/>
      </c>
      <c r="K248" t="str">
        <f ca="1">IFERROR(IF(0=LEN(ReferenceData!$K$248),"",ReferenceData!$K$248),"")</f>
        <v/>
      </c>
      <c r="L248" t="str">
        <f ca="1">IFERROR(IF(0=LEN(ReferenceData!$L$248),"",ReferenceData!$L$248),"")</f>
        <v/>
      </c>
      <c r="M248" t="str">
        <f ca="1">IFERROR(IF(0=LEN(ReferenceData!$M$248),"",ReferenceData!$M$248),"")</f>
        <v/>
      </c>
      <c r="N248" t="str">
        <f ca="1">IFERROR(IF(0=LEN(ReferenceData!$N$248),"",ReferenceData!$N$248),"")</f>
        <v/>
      </c>
      <c r="O248" t="str">
        <f ca="1">IFERROR(IF(0=LEN(ReferenceData!$O$248),"",ReferenceData!$O$248),"")</f>
        <v/>
      </c>
      <c r="P248" t="str">
        <f ca="1">IFERROR(IF(0=LEN(ReferenceData!$P$248),"",ReferenceData!$P$248),"")</f>
        <v/>
      </c>
      <c r="Q248" t="str">
        <f ca="1">IFERROR(IF(0=LEN(ReferenceData!$Q$248),"",ReferenceData!$Q$248),"")</f>
        <v/>
      </c>
      <c r="R248">
        <f ca="1">IFERROR(IF(0=LEN(ReferenceData!$R$248),"",ReferenceData!$R$248),"")</f>
        <v>138.2279782</v>
      </c>
      <c r="S248">
        <f ca="1">IFERROR(IF(0=LEN(ReferenceData!$S$248),"",ReferenceData!$S$248),"")</f>
        <v>153.13227950000001</v>
      </c>
      <c r="T248">
        <f ca="1">IFERROR(IF(0=LEN(ReferenceData!$T$248),"",ReferenceData!$T$248),"")</f>
        <v>30.580482159999999</v>
      </c>
      <c r="U248">
        <f ca="1">IFERROR(IF(0=LEN(ReferenceData!$U$248),"",ReferenceData!$U$248),"")</f>
        <v>56.92154627</v>
      </c>
      <c r="V248">
        <f ca="1">IFERROR(IF(0=LEN(ReferenceData!$V$248),"",ReferenceData!$V$248),"")</f>
        <v>725.87003200000004</v>
      </c>
      <c r="W248" t="str">
        <f ca="1">IFERROR(IF(0=LEN(ReferenceData!$W$248),"",ReferenceData!$W$248),"")</f>
        <v/>
      </c>
      <c r="X248" t="str">
        <f ca="1">IFERROR(IF(0=LEN(ReferenceData!$X$248),"",ReferenceData!$X$248),"")</f>
        <v/>
      </c>
      <c r="Y248">
        <f ca="1">IFERROR(IF(0=LEN(ReferenceData!$Y$248),"",ReferenceData!$Y$248),"")</f>
        <v>452.70217580000002</v>
      </c>
      <c r="Z248">
        <f ca="1">IFERROR(IF(0=LEN(ReferenceData!$Z$248),"",ReferenceData!$Z$248),"")</f>
        <v>441.12331799999998</v>
      </c>
      <c r="AA248">
        <f ca="1">IFERROR(IF(0=LEN(ReferenceData!$AA$248),"",ReferenceData!$AA$248),"")</f>
        <v>78.622936229999993</v>
      </c>
      <c r="AB248">
        <f ca="1">IFERROR(IF(0=LEN(ReferenceData!$AB$248),"",ReferenceData!$AB$248),"")</f>
        <v>94.195066069999996</v>
      </c>
      <c r="AC248" t="str">
        <f ca="1">IFERROR(IF(0=LEN(ReferenceData!$AC$248),"",ReferenceData!$AC$248),"")</f>
        <v/>
      </c>
      <c r="AD248" t="str">
        <f ca="1">IFERROR(IF(0=LEN(ReferenceData!$AD$248),"",ReferenceData!$AD$248),"")</f>
        <v/>
      </c>
      <c r="AE248" t="str">
        <f ca="1">IFERROR(IF(0=LEN(ReferenceData!$AE$248),"",ReferenceData!$AE$248),"")</f>
        <v/>
      </c>
      <c r="AF248" t="str">
        <f ca="1">IFERROR(IF(0=LEN(ReferenceData!$AF$248),"",ReferenceData!$AF$248),"")</f>
        <v/>
      </c>
      <c r="AG248" t="str">
        <f ca="1">IFERROR(IF(0=LEN(ReferenceData!$AG$248),"",ReferenceData!$AG$248),"")</f>
        <v/>
      </c>
      <c r="AH248">
        <f ca="1">IFERROR(IF(0=LEN(ReferenceData!$AH$248),"",ReferenceData!$AH$248),"")</f>
        <v>133.03778120000001</v>
      </c>
      <c r="AI248">
        <f ca="1">IFERROR(IF(0=LEN(ReferenceData!$AI$248),"",ReferenceData!$AI$248),"")</f>
        <v>116.6711737</v>
      </c>
      <c r="AJ248">
        <f ca="1">IFERROR(IF(0=LEN(ReferenceData!$AJ$248),"",ReferenceData!$AJ$248),"")</f>
        <v>42.847282890000002</v>
      </c>
      <c r="AK248">
        <f ca="1">IFERROR(IF(0=LEN(ReferenceData!$AK$248),"",ReferenceData!$AK$248),"")</f>
        <v>28.232280840000001</v>
      </c>
      <c r="AL248">
        <f ca="1">IFERROR(IF(0=LEN(ReferenceData!$AL$248),"",ReferenceData!$AL$248),"")</f>
        <v>10.05220907</v>
      </c>
      <c r="AM248">
        <f ca="1">IFERROR(IF(0=LEN(ReferenceData!$AM$248),"",ReferenceData!$AM$248),"")</f>
        <v>8.1510566680000007</v>
      </c>
      <c r="AN248">
        <f ca="1">IFERROR(IF(0=LEN(ReferenceData!$AN$248),"",ReferenceData!$AN$248),"")</f>
        <v>4.5923648190000002</v>
      </c>
      <c r="AO248">
        <f ca="1">IFERROR(IF(0=LEN(ReferenceData!$AO$248),"",ReferenceData!$AO$248),"")</f>
        <v>4.2086707140000001</v>
      </c>
      <c r="AP248">
        <f ca="1">IFERROR(IF(0=LEN(ReferenceData!$AP$248),"",ReferenceData!$AP$248),"")</f>
        <v>3.9599993269999998</v>
      </c>
      <c r="AQ248">
        <f ca="1">IFERROR(IF(0=LEN(ReferenceData!$AQ$248),"",ReferenceData!$AQ$248),"")</f>
        <v>4.5458623210000004</v>
      </c>
      <c r="AR248">
        <f ca="1">IFERROR(IF(0=LEN(ReferenceData!$AR$248),"",ReferenceData!$AR$248),"")</f>
        <v>38.629512499999997</v>
      </c>
      <c r="AS248">
        <f ca="1">IFERROR(IF(0=LEN(ReferenceData!$AS$248),"",ReferenceData!$AS$248),"")</f>
        <v>83.818990170000006</v>
      </c>
      <c r="AT248" t="str">
        <f ca="1">IFERROR(IF(0=LEN(ReferenceData!$AT$248),"",ReferenceData!$AT$248),"")</f>
        <v/>
      </c>
      <c r="AU248">
        <f ca="1">IFERROR(IF(0=LEN(ReferenceData!$AU$248),"",ReferenceData!$AU$248),"")</f>
        <v>25.641871689999999</v>
      </c>
      <c r="AV248">
        <f ca="1">IFERROR(IF(0=LEN(ReferenceData!$AV$248),"",ReferenceData!$AV$248),"")</f>
        <v>28.110909589999999</v>
      </c>
      <c r="AW248">
        <f ca="1">IFERROR(IF(0=LEN(ReferenceData!$AW$248),"",ReferenceData!$AW$248),"")</f>
        <v>15.727302890000001</v>
      </c>
      <c r="AX248">
        <f ca="1">IFERROR(IF(0=LEN(ReferenceData!$AX$248),"",ReferenceData!$AX$248),"")</f>
        <v>10.68834384</v>
      </c>
      <c r="AY248">
        <f ca="1">IFERROR(IF(0=LEN(ReferenceData!$AY$248),"",ReferenceData!$AY$248),"")</f>
        <v>7.2513708650000002</v>
      </c>
      <c r="AZ248">
        <f ca="1">IFERROR(IF(0=LEN(ReferenceData!$AZ$248),"",ReferenceData!$AZ$248),"")</f>
        <v>7.1481003750000003</v>
      </c>
      <c r="BA248">
        <f ca="1">IFERROR(IF(0=LEN(ReferenceData!$BA$248),"",ReferenceData!$BA$248),"")</f>
        <v>5.5721123720000003</v>
      </c>
      <c r="BB248">
        <f ca="1">IFERROR(IF(0=LEN(ReferenceData!$BB$248),"",ReferenceData!$BB$248),"")</f>
        <v>5.9988653679999997</v>
      </c>
      <c r="BC248">
        <f ca="1">IFERROR(IF(0=LEN(ReferenceData!$BC$248),"",ReferenceData!$BC$248),"")</f>
        <v>4.5723675259999998</v>
      </c>
      <c r="BD248">
        <f ca="1">IFERROR(IF(0=LEN(ReferenceData!$BD$248),"",ReferenceData!$BD$248),"")</f>
        <v>3.3960398120000002</v>
      </c>
      <c r="BE248">
        <f ca="1">IFERROR(IF(0=LEN(ReferenceData!$BE$248),"",ReferenceData!$BE$248),"")</f>
        <v>2.8767856369999998</v>
      </c>
      <c r="BF248">
        <f ca="1">IFERROR(IF(0=LEN(ReferenceData!$BF$248),"",ReferenceData!$BF$248),"")</f>
        <v>4.0930783999999996</v>
      </c>
      <c r="BG248">
        <f ca="1">IFERROR(IF(0=LEN(ReferenceData!$BG$248),"",ReferenceData!$BG$248),"")</f>
        <v>4.5959822099999998</v>
      </c>
      <c r="BH248">
        <f ca="1">IFERROR(IF(0=LEN(ReferenceData!$BH$248),"",ReferenceData!$BH$248),"")</f>
        <v>8.3879595160000004</v>
      </c>
      <c r="BI248">
        <f ca="1">IFERROR(IF(0=LEN(ReferenceData!$BI$248),"",ReferenceData!$BI$248),"")</f>
        <v>7.3115838379999998</v>
      </c>
      <c r="BJ248">
        <f ca="1">IFERROR(IF(0=LEN(ReferenceData!$BJ$248),"",ReferenceData!$BJ$248),"")</f>
        <v>6.0847150890000004</v>
      </c>
      <c r="BK248">
        <f ca="1">IFERROR(IF(0=LEN(ReferenceData!$BK$248),"",ReferenceData!$BK$248),"")</f>
        <v>5.1946956169999998</v>
      </c>
      <c r="BL248" t="str">
        <f ca="1">IFERROR(IF(0=LEN(ReferenceData!$BL$248),"",ReferenceData!$BL$248),"")</f>
        <v/>
      </c>
      <c r="BM248" t="str">
        <f ca="1">IFERROR(IF(0=LEN(ReferenceData!$BM$248),"",ReferenceData!$BM$248),"")</f>
        <v/>
      </c>
    </row>
    <row r="249" spans="1:65" x14ac:dyDescent="0.25">
      <c r="A249" t="str">
        <f>IFERROR(IF(0=LEN(ReferenceData!$A$249),"",ReferenceData!$A$249),"")</f>
        <v xml:space="preserve">    Yulon Motor Co Ltd</v>
      </c>
      <c r="B249" t="str">
        <f>IFERROR(IF(0=LEN(ReferenceData!$B$249),"",ReferenceData!$B$249),"")</f>
        <v>2201 TT Equity</v>
      </c>
      <c r="C249" t="str">
        <f>IFERROR(IF(0=LEN(ReferenceData!$C$249),"",ReferenceData!$C$249),"")</f>
        <v>RR971</v>
      </c>
      <c r="D249" t="str">
        <f>IFERROR(IF(0=LEN(ReferenceData!$D$249),"",ReferenceData!$D$249),"")</f>
        <v>CURRENT_PX_TO_FREE_CASH_FLOW</v>
      </c>
      <c r="E249" t="str">
        <f>IFERROR(IF(0=LEN(ReferenceData!$E$249),"",ReferenceData!$E$249),"")</f>
        <v>Dynamic</v>
      </c>
      <c r="F249" t="str">
        <f ca="1">IFERROR(IF(0=LEN(ReferenceData!$F$249),"",ReferenceData!$F$249),"")</f>
        <v/>
      </c>
      <c r="G249" t="str">
        <f ca="1">IFERROR(IF(0=LEN(ReferenceData!$G$249),"",ReferenceData!$G$249),"")</f>
        <v/>
      </c>
      <c r="H249" t="str">
        <f ca="1">IFERROR(IF(0=LEN(ReferenceData!$H$249),"",ReferenceData!$H$249),"")</f>
        <v/>
      </c>
      <c r="I249" t="str">
        <f ca="1">IFERROR(IF(0=LEN(ReferenceData!$I$249),"",ReferenceData!$I$249),"")</f>
        <v/>
      </c>
      <c r="J249" t="str">
        <f ca="1">IFERROR(IF(0=LEN(ReferenceData!$J$249),"",ReferenceData!$J$249),"")</f>
        <v/>
      </c>
      <c r="K249" t="str">
        <f ca="1">IFERROR(IF(0=LEN(ReferenceData!$K$249),"",ReferenceData!$K$249),"")</f>
        <v/>
      </c>
      <c r="L249" t="str">
        <f ca="1">IFERROR(IF(0=LEN(ReferenceData!$L$249),"",ReferenceData!$L$249),"")</f>
        <v/>
      </c>
      <c r="M249" t="str">
        <f ca="1">IFERROR(IF(0=LEN(ReferenceData!$M$249),"",ReferenceData!$M$249),"")</f>
        <v/>
      </c>
      <c r="N249" t="str">
        <f ca="1">IFERROR(IF(0=LEN(ReferenceData!$N$249),"",ReferenceData!$N$249),"")</f>
        <v/>
      </c>
      <c r="O249" t="str">
        <f ca="1">IFERROR(IF(0=LEN(ReferenceData!$O$249),"",ReferenceData!$O$249),"")</f>
        <v/>
      </c>
      <c r="P249" t="str">
        <f ca="1">IFERROR(IF(0=LEN(ReferenceData!$P$249),"",ReferenceData!$P$249),"")</f>
        <v/>
      </c>
      <c r="Q249" t="str">
        <f ca="1">IFERROR(IF(0=LEN(ReferenceData!$Q$249),"",ReferenceData!$Q$249),"")</f>
        <v/>
      </c>
      <c r="R249" t="str">
        <f ca="1">IFERROR(IF(0=LEN(ReferenceData!$R$249),"",ReferenceData!$R$249),"")</f>
        <v/>
      </c>
      <c r="S249" t="str">
        <f ca="1">IFERROR(IF(0=LEN(ReferenceData!$S$249),"",ReferenceData!$S$249),"")</f>
        <v/>
      </c>
      <c r="T249" t="str">
        <f ca="1">IFERROR(IF(0=LEN(ReferenceData!$T$249),"",ReferenceData!$T$249),"")</f>
        <v/>
      </c>
      <c r="U249" t="str">
        <f ca="1">IFERROR(IF(0=LEN(ReferenceData!$U$249),"",ReferenceData!$U$249),"")</f>
        <v/>
      </c>
      <c r="V249" t="str">
        <f ca="1">IFERROR(IF(0=LEN(ReferenceData!$V$249),"",ReferenceData!$V$249),"")</f>
        <v/>
      </c>
      <c r="W249" t="str">
        <f ca="1">IFERROR(IF(0=LEN(ReferenceData!$W$249),"",ReferenceData!$W$249),"")</f>
        <v/>
      </c>
      <c r="X249" t="str">
        <f ca="1">IFERROR(IF(0=LEN(ReferenceData!$X$249),"",ReferenceData!$X$249),"")</f>
        <v/>
      </c>
      <c r="Y249" t="str">
        <f ca="1">IFERROR(IF(0=LEN(ReferenceData!$Y$249),"",ReferenceData!$Y$249),"")</f>
        <v/>
      </c>
      <c r="Z249" t="str">
        <f ca="1">IFERROR(IF(0=LEN(ReferenceData!$Z$249),"",ReferenceData!$Z$249),"")</f>
        <v/>
      </c>
      <c r="AA249" t="str">
        <f ca="1">IFERROR(IF(0=LEN(ReferenceData!$AA$249),"",ReferenceData!$AA$249),"")</f>
        <v/>
      </c>
      <c r="AB249" t="str">
        <f ca="1">IFERROR(IF(0=LEN(ReferenceData!$AB$249),"",ReferenceData!$AB$249),"")</f>
        <v/>
      </c>
      <c r="AC249" t="str">
        <f ca="1">IFERROR(IF(0=LEN(ReferenceData!$AC$249),"",ReferenceData!$AC$249),"")</f>
        <v/>
      </c>
      <c r="AD249" t="str">
        <f ca="1">IFERROR(IF(0=LEN(ReferenceData!$AD$249),"",ReferenceData!$AD$249),"")</f>
        <v/>
      </c>
      <c r="AE249" t="str">
        <f ca="1">IFERROR(IF(0=LEN(ReferenceData!$AE$249),"",ReferenceData!$AE$249),"")</f>
        <v/>
      </c>
      <c r="AF249" t="str">
        <f ca="1">IFERROR(IF(0=LEN(ReferenceData!$AF$249),"",ReferenceData!$AF$249),"")</f>
        <v/>
      </c>
      <c r="AG249" t="str">
        <f ca="1">IFERROR(IF(0=LEN(ReferenceData!$AG$249),"",ReferenceData!$AG$249),"")</f>
        <v/>
      </c>
      <c r="AH249" t="str">
        <f ca="1">IFERROR(IF(0=LEN(ReferenceData!$AH$249),"",ReferenceData!$AH$249),"")</f>
        <v/>
      </c>
      <c r="AI249" t="str">
        <f ca="1">IFERROR(IF(0=LEN(ReferenceData!$AI$249),"",ReferenceData!$AI$249),"")</f>
        <v/>
      </c>
      <c r="AJ249" t="str">
        <f ca="1">IFERROR(IF(0=LEN(ReferenceData!$AJ$249),"",ReferenceData!$AJ$249),"")</f>
        <v/>
      </c>
      <c r="AK249" t="str">
        <f ca="1">IFERROR(IF(0=LEN(ReferenceData!$AK$249),"",ReferenceData!$AK$249),"")</f>
        <v/>
      </c>
      <c r="AL249" t="str">
        <f ca="1">IFERROR(IF(0=LEN(ReferenceData!$AL$249),"",ReferenceData!$AL$249),"")</f>
        <v/>
      </c>
      <c r="AM249">
        <f ca="1">IFERROR(IF(0=LEN(ReferenceData!$AM$249),"",ReferenceData!$AM$249),"")</f>
        <v>353.84216789999999</v>
      </c>
      <c r="AN249">
        <f ca="1">IFERROR(IF(0=LEN(ReferenceData!$AN$249),"",ReferenceData!$AN$249),"")</f>
        <v>329.86278129999999</v>
      </c>
      <c r="AO249" t="str">
        <f ca="1">IFERROR(IF(0=LEN(ReferenceData!$AO$249),"",ReferenceData!$AO$249),"")</f>
        <v/>
      </c>
      <c r="AP249" t="str">
        <f ca="1">IFERROR(IF(0=LEN(ReferenceData!$AP$249),"",ReferenceData!$AP$249),"")</f>
        <v/>
      </c>
      <c r="AQ249" t="str">
        <f ca="1">IFERROR(IF(0=LEN(ReferenceData!$AQ$249),"",ReferenceData!$AQ$249),"")</f>
        <v/>
      </c>
      <c r="AR249" t="str">
        <f ca="1">IFERROR(IF(0=LEN(ReferenceData!$AR$249),"",ReferenceData!$AR$249),"")</f>
        <v/>
      </c>
      <c r="AS249" t="str">
        <f ca="1">IFERROR(IF(0=LEN(ReferenceData!$AS$249),"",ReferenceData!$AS$249),"")</f>
        <v/>
      </c>
      <c r="AT249" t="str">
        <f ca="1">IFERROR(IF(0=LEN(ReferenceData!$AT$249),"",ReferenceData!$AT$249),"")</f>
        <v/>
      </c>
      <c r="AU249" t="str">
        <f ca="1">IFERROR(IF(0=LEN(ReferenceData!$AU$249),"",ReferenceData!$AU$249),"")</f>
        <v/>
      </c>
      <c r="AV249" t="str">
        <f ca="1">IFERROR(IF(0=LEN(ReferenceData!$AV$249),"",ReferenceData!$AV$249),"")</f>
        <v/>
      </c>
      <c r="AW249" t="str">
        <f ca="1">IFERROR(IF(0=LEN(ReferenceData!$AW$249),"",ReferenceData!$AW$249),"")</f>
        <v/>
      </c>
      <c r="AX249" t="str">
        <f ca="1">IFERROR(IF(0=LEN(ReferenceData!$AX$249),"",ReferenceData!$AX$249),"")</f>
        <v/>
      </c>
      <c r="AY249" t="str">
        <f ca="1">IFERROR(IF(0=LEN(ReferenceData!$AY$249),"",ReferenceData!$AY$249),"")</f>
        <v/>
      </c>
      <c r="AZ249" t="str">
        <f ca="1">IFERROR(IF(0=LEN(ReferenceData!$AZ$249),"",ReferenceData!$AZ$249),"")</f>
        <v/>
      </c>
      <c r="BA249" t="str">
        <f ca="1">IFERROR(IF(0=LEN(ReferenceData!$BA$249),"",ReferenceData!$BA$249),"")</f>
        <v/>
      </c>
      <c r="BB249" t="str">
        <f ca="1">IFERROR(IF(0=LEN(ReferenceData!$BB$249),"",ReferenceData!$BB$249),"")</f>
        <v/>
      </c>
      <c r="BC249" t="str">
        <f ca="1">IFERROR(IF(0=LEN(ReferenceData!$BC$249),"",ReferenceData!$BC$249),"")</f>
        <v/>
      </c>
      <c r="BD249" t="str">
        <f ca="1">IFERROR(IF(0=LEN(ReferenceData!$BD$249),"",ReferenceData!$BD$249),"")</f>
        <v/>
      </c>
      <c r="BE249" t="str">
        <f ca="1">IFERROR(IF(0=LEN(ReferenceData!$BE$249),"",ReferenceData!$BE$249),"")</f>
        <v/>
      </c>
      <c r="BF249" t="str">
        <f ca="1">IFERROR(IF(0=LEN(ReferenceData!$BF$249),"",ReferenceData!$BF$249),"")</f>
        <v/>
      </c>
      <c r="BG249" t="str">
        <f ca="1">IFERROR(IF(0=LEN(ReferenceData!$BG$249),"",ReferenceData!$BG$249),"")</f>
        <v/>
      </c>
      <c r="BH249" t="str">
        <f ca="1">IFERROR(IF(0=LEN(ReferenceData!$BH$249),"",ReferenceData!$BH$249),"")</f>
        <v/>
      </c>
      <c r="BI249" t="str">
        <f ca="1">IFERROR(IF(0=LEN(ReferenceData!$BI$249),"",ReferenceData!$BI$249),"")</f>
        <v/>
      </c>
      <c r="BJ249" t="str">
        <f ca="1">IFERROR(IF(0=LEN(ReferenceData!$BJ$249),"",ReferenceData!$BJ$249),"")</f>
        <v/>
      </c>
      <c r="BK249" t="str">
        <f ca="1">IFERROR(IF(0=LEN(ReferenceData!$BK$249),"",ReferenceData!$BK$249),"")</f>
        <v/>
      </c>
      <c r="BL249" t="str">
        <f ca="1">IFERROR(IF(0=LEN(ReferenceData!$BL$249),"",ReferenceData!$BL$249),"")</f>
        <v/>
      </c>
      <c r="BM249" t="str">
        <f ca="1">IFERROR(IF(0=LEN(ReferenceData!$BM$249),"",ReferenceData!$BM$249),"")</f>
        <v/>
      </c>
    </row>
    <row r="250" spans="1:65" x14ac:dyDescent="0.25">
      <c r="A250" t="str">
        <f>IFERROR(IF(0=LEN(ReferenceData!$A$250),"",ReferenceData!$A$250),"")</f>
        <v>P/Sales</v>
      </c>
      <c r="B250" t="str">
        <f>IFERROR(IF(0=LEN(ReferenceData!$B$250),"",ReferenceData!$B$250),"")</f>
        <v/>
      </c>
      <c r="C250" t="str">
        <f>IFERROR(IF(0=LEN(ReferenceData!$C$250),"",ReferenceData!$C$250),"")</f>
        <v/>
      </c>
      <c r="D250" t="str">
        <f>IFERROR(IF(0=LEN(ReferenceData!$D$250),"",ReferenceData!$D$250),"")</f>
        <v/>
      </c>
      <c r="E250" t="str">
        <f>IFERROR(IF(0=LEN(ReferenceData!$E$250),"",ReferenceData!$E$250),"")</f>
        <v>Average</v>
      </c>
      <c r="F250">
        <f ca="1">IFERROR(IF(0=LEN(ReferenceData!$F$250),"",ReferenceData!$F$250),"")</f>
        <v>0.66872805244444444</v>
      </c>
      <c r="G250">
        <f ca="1">IFERROR(IF(0=LEN(ReferenceData!$G$250),"",ReferenceData!$G$250),"")</f>
        <v>0.56754607448387095</v>
      </c>
      <c r="H250">
        <f ca="1">IFERROR(IF(0=LEN(ReferenceData!$H$250),"",ReferenceData!$H$250),"")</f>
        <v>0.63829118596774193</v>
      </c>
      <c r="I250">
        <f ca="1">IFERROR(IF(0=LEN(ReferenceData!$I$250),"",ReferenceData!$I$250),"")</f>
        <v>0.69696623151612891</v>
      </c>
      <c r="J250">
        <f ca="1">IFERROR(IF(0=LEN(ReferenceData!$J$250),"",ReferenceData!$J$250),"")</f>
        <v>0.73262230845161302</v>
      </c>
      <c r="K250">
        <f ca="1">IFERROR(IF(0=LEN(ReferenceData!$K$250),"",ReferenceData!$K$250),"")</f>
        <v>0.82767381787096761</v>
      </c>
      <c r="L250">
        <f ca="1">IFERROR(IF(0=LEN(ReferenceData!$L$250),"",ReferenceData!$L$250),"")</f>
        <v>0.89383067061290322</v>
      </c>
      <c r="M250">
        <f ca="1">IFERROR(IF(0=LEN(ReferenceData!$M$250),"",ReferenceData!$M$250),"")</f>
        <v>0.83844235616129026</v>
      </c>
      <c r="N250">
        <f ca="1">IFERROR(IF(0=LEN(ReferenceData!$N$250),"",ReferenceData!$N$250),"")</f>
        <v>0.87262583745161282</v>
      </c>
      <c r="O250">
        <f ca="1">IFERROR(IF(0=LEN(ReferenceData!$O$250),"",ReferenceData!$O$250),"")</f>
        <v>0.7822004569032257</v>
      </c>
      <c r="P250">
        <f ca="1">IFERROR(IF(0=LEN(ReferenceData!$P$250),"",ReferenceData!$P$250),"")</f>
        <v>0.73009583609375006</v>
      </c>
      <c r="Q250">
        <f ca="1">IFERROR(IF(0=LEN(ReferenceData!$Q$250),"",ReferenceData!$Q$250),"")</f>
        <v>0.7505434822812499</v>
      </c>
      <c r="R250">
        <f ca="1">IFERROR(IF(0=LEN(ReferenceData!$R$250),"",ReferenceData!$R$250),"")</f>
        <v>0.85825873654838702</v>
      </c>
      <c r="S250">
        <f ca="1">IFERROR(IF(0=LEN(ReferenceData!$S$250),"",ReferenceData!$S$250),"")</f>
        <v>0.9221269536129032</v>
      </c>
      <c r="T250">
        <f ca="1">IFERROR(IF(0=LEN(ReferenceData!$T$250),"",ReferenceData!$T$250),"")</f>
        <v>0.88851841377419361</v>
      </c>
      <c r="U250">
        <f ca="1">IFERROR(IF(0=LEN(ReferenceData!$U$250),"",ReferenceData!$U$250),"")</f>
        <v>1.0839006331290322</v>
      </c>
      <c r="V250">
        <f ca="1">IFERROR(IF(0=LEN(ReferenceData!$V$250),"",ReferenceData!$V$250),"")</f>
        <v>1.0360590272903225</v>
      </c>
      <c r="W250">
        <f ca="1">IFERROR(IF(0=LEN(ReferenceData!$W$250),"",ReferenceData!$W$250),"")</f>
        <v>1.031541961516129</v>
      </c>
      <c r="X250">
        <f ca="1">IFERROR(IF(0=LEN(ReferenceData!$X$250),"",ReferenceData!$X$250),"")</f>
        <v>1.0731085731333332</v>
      </c>
      <c r="Y250">
        <f ca="1">IFERROR(IF(0=LEN(ReferenceData!$Y$250),"",ReferenceData!$Y$250),"")</f>
        <v>1.1094736340666667</v>
      </c>
      <c r="Z250">
        <f ca="1">IFERROR(IF(0=LEN(ReferenceData!$Z$250),"",ReferenceData!$Z$250),"")</f>
        <v>1.1354804868000001</v>
      </c>
      <c r="AA250">
        <f ca="1">IFERROR(IF(0=LEN(ReferenceData!$AA$250),"",ReferenceData!$AA$250),"")</f>
        <v>1.0476592041000001</v>
      </c>
      <c r="AB250">
        <f ca="1">IFERROR(IF(0=LEN(ReferenceData!$AB$250),"",ReferenceData!$AB$250),"")</f>
        <v>1.189929776366667</v>
      </c>
      <c r="AC250">
        <f ca="1">IFERROR(IF(0=LEN(ReferenceData!$AC$250),"",ReferenceData!$AC$250),"")</f>
        <v>0.99948187820000001</v>
      </c>
      <c r="AD250">
        <f ca="1">IFERROR(IF(0=LEN(ReferenceData!$AD$250),"",ReferenceData!$AD$250),"")</f>
        <v>0.79274713570000011</v>
      </c>
      <c r="AE250">
        <f ca="1">IFERROR(IF(0=LEN(ReferenceData!$AE$250),"",ReferenceData!$AE$250),"")</f>
        <v>0.92390462250000005</v>
      </c>
      <c r="AF250">
        <f ca="1">IFERROR(IF(0=LEN(ReferenceData!$AF$250),"",ReferenceData!$AF$250),"")</f>
        <v>1.2442041898275862</v>
      </c>
      <c r="AG250">
        <f ca="1">IFERROR(IF(0=LEN(ReferenceData!$AG$250),"",ReferenceData!$AG$250),"")</f>
        <v>1.2997669201379312</v>
      </c>
      <c r="AH250">
        <f ca="1">IFERROR(IF(0=LEN(ReferenceData!$AH$250),"",ReferenceData!$AH$250),"")</f>
        <v>1.3819049811481481</v>
      </c>
      <c r="AI250">
        <f ca="1">IFERROR(IF(0=LEN(ReferenceData!$AI$250),"",ReferenceData!$AI$250),"")</f>
        <v>1.0538923945925927</v>
      </c>
      <c r="AJ250">
        <f ca="1">IFERROR(IF(0=LEN(ReferenceData!$AJ$250),"",ReferenceData!$AJ$250),"")</f>
        <v>1.0066825500000001</v>
      </c>
      <c r="AK250">
        <f ca="1">IFERROR(IF(0=LEN(ReferenceData!$AK$250),"",ReferenceData!$AK$250),"")</f>
        <v>1.2822292209999999</v>
      </c>
      <c r="AL250">
        <f ca="1">IFERROR(IF(0=LEN(ReferenceData!$AL$250),"",ReferenceData!$AL$250),"")</f>
        <v>0.90777245121428563</v>
      </c>
      <c r="AM250">
        <f ca="1">IFERROR(IF(0=LEN(ReferenceData!$AM$250),"",ReferenceData!$AM$250),"")</f>
        <v>0.8599256999999999</v>
      </c>
      <c r="AN250">
        <f ca="1">IFERROR(IF(0=LEN(ReferenceData!$AN$250),"",ReferenceData!$AN$250),"")</f>
        <v>0.88284626732000016</v>
      </c>
      <c r="AO250">
        <f ca="1">IFERROR(IF(0=LEN(ReferenceData!$AO$250),"",ReferenceData!$AO$250),"")</f>
        <v>0.54010042582608686</v>
      </c>
      <c r="AP250">
        <f ca="1">IFERROR(IF(0=LEN(ReferenceData!$AP$250),"",ReferenceData!$AP$250),"")</f>
        <v>0.55570662804545445</v>
      </c>
      <c r="AQ250">
        <f ca="1">IFERROR(IF(0=LEN(ReferenceData!$AQ$250),"",ReferenceData!$AQ$250),"")</f>
        <v>0.64208225163636368</v>
      </c>
      <c r="AR250">
        <f ca="1">IFERROR(IF(0=LEN(ReferenceData!$AR$250),"",ReferenceData!$AR$250),"")</f>
        <v>0.57182473822727264</v>
      </c>
      <c r="AS250">
        <f ca="1">IFERROR(IF(0=LEN(ReferenceData!$AS$250),"",ReferenceData!$AS$250),"")</f>
        <v>0.53122995177272714</v>
      </c>
      <c r="AT250">
        <f ca="1">IFERROR(IF(0=LEN(ReferenceData!$AT$250),"",ReferenceData!$AT$250),"")</f>
        <v>0.38285996445454545</v>
      </c>
      <c r="AU250">
        <f ca="1">IFERROR(IF(0=LEN(ReferenceData!$AU$250),"",ReferenceData!$AU$250),"")</f>
        <v>0.30325063276190473</v>
      </c>
      <c r="AV250">
        <f ca="1">IFERROR(IF(0=LEN(ReferenceData!$AV$250),"",ReferenceData!$AV$250),"")</f>
        <v>0.37603460915789472</v>
      </c>
      <c r="AW250">
        <f ca="1">IFERROR(IF(0=LEN(ReferenceData!$AW$250),"",ReferenceData!$AW$250),"")</f>
        <v>0.41945328189473674</v>
      </c>
      <c r="AX250">
        <f ca="1">IFERROR(IF(0=LEN(ReferenceData!$AX$250),"",ReferenceData!$AX$250),"")</f>
        <v>0.54292948942105257</v>
      </c>
      <c r="AY250">
        <f ca="1">IFERROR(IF(0=LEN(ReferenceData!$AY$250),"",ReferenceData!$AY$250),"")</f>
        <v>0.81159726552631573</v>
      </c>
      <c r="AZ250">
        <f ca="1">IFERROR(IF(0=LEN(ReferenceData!$AZ$250),"",ReferenceData!$AZ$250),"")</f>
        <v>0.89356132489473672</v>
      </c>
      <c r="BA250">
        <f ca="1">IFERROR(IF(0=LEN(ReferenceData!$BA$250),"",ReferenceData!$BA$250),"")</f>
        <v>0.73353012894736824</v>
      </c>
      <c r="BB250">
        <f ca="1">IFERROR(IF(0=LEN(ReferenceData!$BB$250),"",ReferenceData!$BB$250),"")</f>
        <v>0.71330223994736841</v>
      </c>
      <c r="BC250">
        <f ca="1">IFERROR(IF(0=LEN(ReferenceData!$BC$250),"",ReferenceData!$BC$250),"")</f>
        <v>0.64425180410526317</v>
      </c>
      <c r="BD250">
        <f ca="1">IFERROR(IF(0=LEN(ReferenceData!$BD$250),"",ReferenceData!$BD$250),"")</f>
        <v>0.63498572921052632</v>
      </c>
      <c r="BE250">
        <f ca="1">IFERROR(IF(0=LEN(ReferenceData!$BE$250),"",ReferenceData!$BE$250),"")</f>
        <v>0.65294947336842102</v>
      </c>
      <c r="BF250">
        <f ca="1">IFERROR(IF(0=LEN(ReferenceData!$BF$250),"",ReferenceData!$BF$250),"")</f>
        <v>0.59889546452631581</v>
      </c>
      <c r="BG250">
        <f ca="1">IFERROR(IF(0=LEN(ReferenceData!$BG$250),"",ReferenceData!$BG$250),"")</f>
        <v>0.54048402827777775</v>
      </c>
      <c r="BH250">
        <f ca="1">IFERROR(IF(0=LEN(ReferenceData!$BH$250),"",ReferenceData!$BH$250),"")</f>
        <v>0.59790682011111107</v>
      </c>
      <c r="BI250">
        <f ca="1">IFERROR(IF(0=LEN(ReferenceData!$BI$250),"",ReferenceData!$BI$250),"")</f>
        <v>0.51971414682352945</v>
      </c>
      <c r="BJ250">
        <f ca="1">IFERROR(IF(0=LEN(ReferenceData!$BJ$250),"",ReferenceData!$BJ$250),"")</f>
        <v>0.51380088682352931</v>
      </c>
      <c r="BK250">
        <f ca="1">IFERROR(IF(0=LEN(ReferenceData!$BK$250),"",ReferenceData!$BK$250),"")</f>
        <v>0.55468972299999997</v>
      </c>
      <c r="BL250">
        <f ca="1">IFERROR(IF(0=LEN(ReferenceData!$BL$250),"",ReferenceData!$BL$250),"")</f>
        <v>0.73394112107692311</v>
      </c>
      <c r="BM250">
        <f ca="1">IFERROR(IF(0=LEN(ReferenceData!$BM$250),"",ReferenceData!$BM$250),"")</f>
        <v>0.7512204923076925</v>
      </c>
    </row>
    <row r="251" spans="1:65" x14ac:dyDescent="0.25">
      <c r="A251" t="str">
        <f>IFERROR(IF(0=LEN(ReferenceData!$A$251),"",ReferenceData!$A$251),"")</f>
        <v xml:space="preserve">    AUDI AG</v>
      </c>
      <c r="B251" t="str">
        <f>IFERROR(IF(0=LEN(ReferenceData!$B$251),"",ReferenceData!$B$251),"")</f>
        <v>NSU GR Equity</v>
      </c>
      <c r="C251" t="str">
        <f>IFERROR(IF(0=LEN(ReferenceData!$C$251),"",ReferenceData!$C$251),"")</f>
        <v>RR904</v>
      </c>
      <c r="D251" t="str">
        <f>IFERROR(IF(0=LEN(ReferenceData!$D$251),"",ReferenceData!$D$251),"")</f>
        <v>PX_TO_SALES_RATIO</v>
      </c>
      <c r="E251" t="str">
        <f>IFERROR(IF(0=LEN(ReferenceData!$E$251),"",ReferenceData!$E$251),"")</f>
        <v>Dynamic</v>
      </c>
      <c r="F251" t="str">
        <f ca="1">IFERROR(IF(0=LEN(ReferenceData!$F$251),"",ReferenceData!$F$251),"")</f>
        <v/>
      </c>
      <c r="G251" t="str">
        <f ca="1">IFERROR(IF(0=LEN(ReferenceData!$G$251),"",ReferenceData!$G$251),"")</f>
        <v/>
      </c>
      <c r="H251" t="str">
        <f ca="1">IFERROR(IF(0=LEN(ReferenceData!$H$251),"",ReferenceData!$H$251),"")</f>
        <v/>
      </c>
      <c r="I251" t="str">
        <f ca="1">IFERROR(IF(0=LEN(ReferenceData!$I$251),"",ReferenceData!$I$251),"")</f>
        <v/>
      </c>
      <c r="J251" t="str">
        <f ca="1">IFERROR(IF(0=LEN(ReferenceData!$J$251),"",ReferenceData!$J$251),"")</f>
        <v/>
      </c>
      <c r="K251" t="str">
        <f ca="1">IFERROR(IF(0=LEN(ReferenceData!$K$251),"",ReferenceData!$K$251),"")</f>
        <v/>
      </c>
      <c r="L251" t="str">
        <f ca="1">IFERROR(IF(0=LEN(ReferenceData!$L$251),"",ReferenceData!$L$251),"")</f>
        <v/>
      </c>
      <c r="M251" t="str">
        <f ca="1">IFERROR(IF(0=LEN(ReferenceData!$M$251),"",ReferenceData!$M$251),"")</f>
        <v/>
      </c>
      <c r="N251" t="str">
        <f ca="1">IFERROR(IF(0=LEN(ReferenceData!$N$251),"",ReferenceData!$N$251),"")</f>
        <v/>
      </c>
      <c r="O251" t="str">
        <f ca="1">IFERROR(IF(0=LEN(ReferenceData!$O$251),"",ReferenceData!$O$251),"")</f>
        <v/>
      </c>
      <c r="P251" t="str">
        <f ca="1">IFERROR(IF(0=LEN(ReferenceData!$P$251),"",ReferenceData!$P$251),"")</f>
        <v/>
      </c>
      <c r="Q251" t="str">
        <f ca="1">IFERROR(IF(0=LEN(ReferenceData!$Q$251),"",ReferenceData!$Q$251),"")</f>
        <v/>
      </c>
      <c r="R251" t="str">
        <f ca="1">IFERROR(IF(0=LEN(ReferenceData!$R$251),"",ReferenceData!$R$251),"")</f>
        <v/>
      </c>
      <c r="S251" t="str">
        <f ca="1">IFERROR(IF(0=LEN(ReferenceData!$S$251),"",ReferenceData!$S$251),"")</f>
        <v/>
      </c>
      <c r="T251" t="str">
        <f ca="1">IFERROR(IF(0=LEN(ReferenceData!$T$251),"",ReferenceData!$T$251),"")</f>
        <v/>
      </c>
      <c r="U251" t="str">
        <f ca="1">IFERROR(IF(0=LEN(ReferenceData!$U$251),"",ReferenceData!$U$251),"")</f>
        <v/>
      </c>
      <c r="V251" t="str">
        <f ca="1">IFERROR(IF(0=LEN(ReferenceData!$V$251),"",ReferenceData!$V$251),"")</f>
        <v/>
      </c>
      <c r="W251" t="str">
        <f ca="1">IFERROR(IF(0=LEN(ReferenceData!$W$251),"",ReferenceData!$W$251),"")</f>
        <v/>
      </c>
      <c r="X251" t="str">
        <f ca="1">IFERROR(IF(0=LEN(ReferenceData!$X$251),"",ReferenceData!$X$251),"")</f>
        <v/>
      </c>
      <c r="Y251" t="str">
        <f ca="1">IFERROR(IF(0=LEN(ReferenceData!$Y$251),"",ReferenceData!$Y$251),"")</f>
        <v/>
      </c>
      <c r="Z251" t="str">
        <f ca="1">IFERROR(IF(0=LEN(ReferenceData!$Z$251),"",ReferenceData!$Z$251),"")</f>
        <v/>
      </c>
      <c r="AA251" t="str">
        <f ca="1">IFERROR(IF(0=LEN(ReferenceData!$AA$251),"",ReferenceData!$AA$251),"")</f>
        <v/>
      </c>
      <c r="AB251" t="str">
        <f ca="1">IFERROR(IF(0=LEN(ReferenceData!$AB$251),"",ReferenceData!$AB$251),"")</f>
        <v/>
      </c>
      <c r="AC251" t="str">
        <f ca="1">IFERROR(IF(0=LEN(ReferenceData!$AC$251),"",ReferenceData!$AC$251),"")</f>
        <v/>
      </c>
      <c r="AD251" t="str">
        <f ca="1">IFERROR(IF(0=LEN(ReferenceData!$AD$251),"",ReferenceData!$AD$251),"")</f>
        <v/>
      </c>
      <c r="AE251" t="str">
        <f ca="1">IFERROR(IF(0=LEN(ReferenceData!$AE$251),"",ReferenceData!$AE$251),"")</f>
        <v/>
      </c>
      <c r="AF251" t="str">
        <f ca="1">IFERROR(IF(0=LEN(ReferenceData!$AF$251),"",ReferenceData!$AF$251),"")</f>
        <v/>
      </c>
      <c r="AG251" t="str">
        <f ca="1">IFERROR(IF(0=LEN(ReferenceData!$AG$251),"",ReferenceData!$AG$251),"")</f>
        <v/>
      </c>
      <c r="AH251" t="str">
        <f ca="1">IFERROR(IF(0=LEN(ReferenceData!$AH$251),"",ReferenceData!$AH$251),"")</f>
        <v/>
      </c>
      <c r="AI251" t="str">
        <f ca="1">IFERROR(IF(0=LEN(ReferenceData!$AI$251),"",ReferenceData!$AI$251),"")</f>
        <v/>
      </c>
      <c r="AJ251" t="str">
        <f ca="1">IFERROR(IF(0=LEN(ReferenceData!$AJ$251),"",ReferenceData!$AJ$251),"")</f>
        <v/>
      </c>
      <c r="AK251" t="str">
        <f ca="1">IFERROR(IF(0=LEN(ReferenceData!$AK$251),"",ReferenceData!$AK$251),"")</f>
        <v/>
      </c>
      <c r="AL251" t="str">
        <f ca="1">IFERROR(IF(0=LEN(ReferenceData!$AL$251),"",ReferenceData!$AL$251),"")</f>
        <v/>
      </c>
      <c r="AM251" t="str">
        <f ca="1">IFERROR(IF(0=LEN(ReferenceData!$AM$251),"",ReferenceData!$AM$251),"")</f>
        <v/>
      </c>
      <c r="AN251" t="str">
        <f ca="1">IFERROR(IF(0=LEN(ReferenceData!$AN$251),"",ReferenceData!$AN$251),"")</f>
        <v/>
      </c>
      <c r="AO251" t="str">
        <f ca="1">IFERROR(IF(0=LEN(ReferenceData!$AO$251),"",ReferenceData!$AO$251),"")</f>
        <v/>
      </c>
      <c r="AP251" t="str">
        <f ca="1">IFERROR(IF(0=LEN(ReferenceData!$AP$251),"",ReferenceData!$AP$251),"")</f>
        <v/>
      </c>
      <c r="AQ251" t="str">
        <f ca="1">IFERROR(IF(0=LEN(ReferenceData!$AQ$251),"",ReferenceData!$AQ$251),"")</f>
        <v/>
      </c>
      <c r="AR251" t="str">
        <f ca="1">IFERROR(IF(0=LEN(ReferenceData!$AR$251),"",ReferenceData!$AR$251),"")</f>
        <v/>
      </c>
      <c r="AS251" t="str">
        <f ca="1">IFERROR(IF(0=LEN(ReferenceData!$AS$251),"",ReferenceData!$AS$251),"")</f>
        <v/>
      </c>
      <c r="AT251" t="str">
        <f ca="1">IFERROR(IF(0=LEN(ReferenceData!$AT$251),"",ReferenceData!$AT$251),"")</f>
        <v/>
      </c>
      <c r="AU251" t="str">
        <f ca="1">IFERROR(IF(0=LEN(ReferenceData!$AU$251),"",ReferenceData!$AU$251),"")</f>
        <v/>
      </c>
      <c r="AV251" t="str">
        <f ca="1">IFERROR(IF(0=LEN(ReferenceData!$AV$251),"",ReferenceData!$AV$251),"")</f>
        <v/>
      </c>
      <c r="AW251" t="str">
        <f ca="1">IFERROR(IF(0=LEN(ReferenceData!$AW$251),"",ReferenceData!$AW$251),"")</f>
        <v/>
      </c>
      <c r="AX251" t="str">
        <f ca="1">IFERROR(IF(0=LEN(ReferenceData!$AX$251),"",ReferenceData!$AX$251),"")</f>
        <v/>
      </c>
      <c r="AY251" t="str">
        <f ca="1">IFERROR(IF(0=LEN(ReferenceData!$AY$251),"",ReferenceData!$AY$251),"")</f>
        <v/>
      </c>
      <c r="AZ251" t="str">
        <f ca="1">IFERROR(IF(0=LEN(ReferenceData!$AZ$251),"",ReferenceData!$AZ$251),"")</f>
        <v/>
      </c>
      <c r="BA251" t="str">
        <f ca="1">IFERROR(IF(0=LEN(ReferenceData!$BA$251),"",ReferenceData!$BA$251),"")</f>
        <v/>
      </c>
      <c r="BB251" t="str">
        <f ca="1">IFERROR(IF(0=LEN(ReferenceData!$BB$251),"",ReferenceData!$BB$251),"")</f>
        <v/>
      </c>
      <c r="BC251" t="str">
        <f ca="1">IFERROR(IF(0=LEN(ReferenceData!$BC$251),"",ReferenceData!$BC$251),"")</f>
        <v/>
      </c>
      <c r="BD251" t="str">
        <f ca="1">IFERROR(IF(0=LEN(ReferenceData!$BD$251),"",ReferenceData!$BD$251),"")</f>
        <v/>
      </c>
      <c r="BE251" t="str">
        <f ca="1">IFERROR(IF(0=LEN(ReferenceData!$BE$251),"",ReferenceData!$BE$251),"")</f>
        <v/>
      </c>
      <c r="BF251" t="str">
        <f ca="1">IFERROR(IF(0=LEN(ReferenceData!$BF$251),"",ReferenceData!$BF$251),"")</f>
        <v/>
      </c>
      <c r="BG251" t="str">
        <f ca="1">IFERROR(IF(0=LEN(ReferenceData!$BG$251),"",ReferenceData!$BG$251),"")</f>
        <v/>
      </c>
      <c r="BH251" t="str">
        <f ca="1">IFERROR(IF(0=LEN(ReferenceData!$BH$251),"",ReferenceData!$BH$251),"")</f>
        <v/>
      </c>
      <c r="BI251" t="str">
        <f ca="1">IFERROR(IF(0=LEN(ReferenceData!$BI$251),"",ReferenceData!$BI$251),"")</f>
        <v/>
      </c>
      <c r="BJ251" t="str">
        <f ca="1">IFERROR(IF(0=LEN(ReferenceData!$BJ$251),"",ReferenceData!$BJ$251),"")</f>
        <v/>
      </c>
      <c r="BK251" t="str">
        <f ca="1">IFERROR(IF(0=LEN(ReferenceData!$BK$251),"",ReferenceData!$BK$251),"")</f>
        <v/>
      </c>
      <c r="BL251" t="str">
        <f ca="1">IFERROR(IF(0=LEN(ReferenceData!$BL$251),"",ReferenceData!$BL$251),"")</f>
        <v/>
      </c>
      <c r="BM251" t="str">
        <f ca="1">IFERROR(IF(0=LEN(ReferenceData!$BM$251),"",ReferenceData!$BM$251),"")</f>
        <v/>
      </c>
    </row>
    <row r="252" spans="1:65" x14ac:dyDescent="0.25">
      <c r="A252" t="str">
        <f>IFERROR(IF(0=LEN(ReferenceData!$A$252),"",ReferenceData!$A$252),"")</f>
        <v xml:space="preserve">    Avtovaz PJSC</v>
      </c>
      <c r="B252" t="str">
        <f>IFERROR(IF(0=LEN(ReferenceData!$B$252),"",ReferenceData!$B$252),"")</f>
        <v>AVAZ RM Equity</v>
      </c>
      <c r="C252" t="str">
        <f>IFERROR(IF(0=LEN(ReferenceData!$C$252),"",ReferenceData!$C$252),"")</f>
        <v>RR904</v>
      </c>
      <c r="D252" t="str">
        <f>IFERROR(IF(0=LEN(ReferenceData!$D$252),"",ReferenceData!$D$252),"")</f>
        <v>PX_TO_SALES_RATIO</v>
      </c>
      <c r="E252" t="str">
        <f>IFERROR(IF(0=LEN(ReferenceData!$E$252),"",ReferenceData!$E$252),"")</f>
        <v>Dynamic</v>
      </c>
      <c r="F252">
        <f ca="1">IFERROR(IF(0=LEN(ReferenceData!$F$252),"",ReferenceData!$F$252),"")</f>
        <v>0.28338843800000002</v>
      </c>
      <c r="G252">
        <f ca="1">IFERROR(IF(0=LEN(ReferenceData!$G$252),"",ReferenceData!$G$252),"")</f>
        <v>0.28338843800000002</v>
      </c>
      <c r="H252">
        <f ca="1">IFERROR(IF(0=LEN(ReferenceData!$H$252),"",ReferenceData!$H$252),"")</f>
        <v>0.27346522699999998</v>
      </c>
      <c r="I252">
        <f ca="1">IFERROR(IF(0=LEN(ReferenceData!$I$252),"",ReferenceData!$I$252),"")</f>
        <v>0.28085197899999997</v>
      </c>
      <c r="J252">
        <f ca="1">IFERROR(IF(0=LEN(ReferenceData!$J$252),"",ReferenceData!$J$252),"")</f>
        <v>0.272632651</v>
      </c>
      <c r="K252">
        <f ca="1">IFERROR(IF(0=LEN(ReferenceData!$K$252),"",ReferenceData!$K$252),"")</f>
        <v>0.22857940600000001</v>
      </c>
      <c r="L252">
        <f ca="1">IFERROR(IF(0=LEN(ReferenceData!$L$252),"",ReferenceData!$L$252),"")</f>
        <v>0.22040569099999999</v>
      </c>
      <c r="M252">
        <f ca="1">IFERROR(IF(0=LEN(ReferenceData!$M$252),"",ReferenceData!$M$252),"")</f>
        <v>0.15915267799999999</v>
      </c>
      <c r="N252">
        <f ca="1">IFERROR(IF(0=LEN(ReferenceData!$N$252),"",ReferenceData!$N$252),"")</f>
        <v>0.14306566600000001</v>
      </c>
      <c r="O252">
        <f ca="1">IFERROR(IF(0=LEN(ReferenceData!$O$252),"",ReferenceData!$O$252),"")</f>
        <v>0.12388986</v>
      </c>
      <c r="P252">
        <f ca="1">IFERROR(IF(0=LEN(ReferenceData!$P$252),"",ReferenceData!$P$252),"")</f>
        <v>0.138174881</v>
      </c>
      <c r="Q252">
        <f ca="1">IFERROR(IF(0=LEN(ReferenceData!$Q$252),"",ReferenceData!$Q$252),"")</f>
        <v>9.6428591999999994E-2</v>
      </c>
      <c r="R252" t="str">
        <f ca="1">IFERROR(IF(0=LEN(ReferenceData!$R$252),"",ReferenceData!$R$252),"")</f>
        <v/>
      </c>
      <c r="S252" t="str">
        <f ca="1">IFERROR(IF(0=LEN(ReferenceData!$S$252),"",ReferenceData!$S$252),"")</f>
        <v/>
      </c>
      <c r="T252" t="str">
        <f ca="1">IFERROR(IF(0=LEN(ReferenceData!$T$252),"",ReferenceData!$T$252),"")</f>
        <v/>
      </c>
      <c r="U252" t="str">
        <f ca="1">IFERROR(IF(0=LEN(ReferenceData!$U$252),"",ReferenceData!$U$252),"")</f>
        <v/>
      </c>
      <c r="V252" t="str">
        <f ca="1">IFERROR(IF(0=LEN(ReferenceData!$V$252),"",ReferenceData!$V$252),"")</f>
        <v/>
      </c>
      <c r="W252" t="str">
        <f ca="1">IFERROR(IF(0=LEN(ReferenceData!$W$252),"",ReferenceData!$W$252),"")</f>
        <v/>
      </c>
      <c r="X252" t="str">
        <f ca="1">IFERROR(IF(0=LEN(ReferenceData!$X$252),"",ReferenceData!$X$252),"")</f>
        <v/>
      </c>
      <c r="Y252" t="str">
        <f ca="1">IFERROR(IF(0=LEN(ReferenceData!$Y$252),"",ReferenceData!$Y$252),"")</f>
        <v/>
      </c>
      <c r="Z252" t="str">
        <f ca="1">IFERROR(IF(0=LEN(ReferenceData!$Z$252),"",ReferenceData!$Z$252),"")</f>
        <v/>
      </c>
      <c r="AA252" t="str">
        <f ca="1">IFERROR(IF(0=LEN(ReferenceData!$AA$252),"",ReferenceData!$AA$252),"")</f>
        <v/>
      </c>
      <c r="AB252" t="str">
        <f ca="1">IFERROR(IF(0=LEN(ReferenceData!$AB$252),"",ReferenceData!$AB$252),"")</f>
        <v/>
      </c>
      <c r="AC252" t="str">
        <f ca="1">IFERROR(IF(0=LEN(ReferenceData!$AC$252),"",ReferenceData!$AC$252),"")</f>
        <v/>
      </c>
      <c r="AD252" t="str">
        <f ca="1">IFERROR(IF(0=LEN(ReferenceData!$AD$252),"",ReferenceData!$AD$252),"")</f>
        <v/>
      </c>
      <c r="AE252" t="str">
        <f ca="1">IFERROR(IF(0=LEN(ReferenceData!$AE$252),"",ReferenceData!$AE$252),"")</f>
        <v/>
      </c>
      <c r="AF252" t="str">
        <f ca="1">IFERROR(IF(0=LEN(ReferenceData!$AF$252),"",ReferenceData!$AF$252),"")</f>
        <v/>
      </c>
      <c r="AG252" t="str">
        <f ca="1">IFERROR(IF(0=LEN(ReferenceData!$AG$252),"",ReferenceData!$AG$252),"")</f>
        <v/>
      </c>
      <c r="AH252" t="str">
        <f ca="1">IFERROR(IF(0=LEN(ReferenceData!$AH$252),"",ReferenceData!$AH$252),"")</f>
        <v/>
      </c>
      <c r="AI252" t="str">
        <f ca="1">IFERROR(IF(0=LEN(ReferenceData!$AI$252),"",ReferenceData!$AI$252),"")</f>
        <v/>
      </c>
      <c r="AJ252" t="str">
        <f ca="1">IFERROR(IF(0=LEN(ReferenceData!$AJ$252),"",ReferenceData!$AJ$252),"")</f>
        <v/>
      </c>
      <c r="AK252" t="str">
        <f ca="1">IFERROR(IF(0=LEN(ReferenceData!$AK$252),"",ReferenceData!$AK$252),"")</f>
        <v/>
      </c>
      <c r="AL252" t="str">
        <f ca="1">IFERROR(IF(0=LEN(ReferenceData!$AL$252),"",ReferenceData!$AL$252),"")</f>
        <v/>
      </c>
      <c r="AM252" t="str">
        <f ca="1">IFERROR(IF(0=LEN(ReferenceData!$AM$252),"",ReferenceData!$AM$252),"")</f>
        <v/>
      </c>
      <c r="AN252" t="str">
        <f ca="1">IFERROR(IF(0=LEN(ReferenceData!$AN$252),"",ReferenceData!$AN$252),"")</f>
        <v/>
      </c>
      <c r="AO252" t="str">
        <f ca="1">IFERROR(IF(0=LEN(ReferenceData!$AO$252),"",ReferenceData!$AO$252),"")</f>
        <v/>
      </c>
      <c r="AP252" t="str">
        <f ca="1">IFERROR(IF(0=LEN(ReferenceData!$AP$252),"",ReferenceData!$AP$252),"")</f>
        <v/>
      </c>
      <c r="AQ252" t="str">
        <f ca="1">IFERROR(IF(0=LEN(ReferenceData!$AQ$252),"",ReferenceData!$AQ$252),"")</f>
        <v/>
      </c>
      <c r="AR252" t="str">
        <f ca="1">IFERROR(IF(0=LEN(ReferenceData!$AR$252),"",ReferenceData!$AR$252),"")</f>
        <v/>
      </c>
      <c r="AS252" t="str">
        <f ca="1">IFERROR(IF(0=LEN(ReferenceData!$AS$252),"",ReferenceData!$AS$252),"")</f>
        <v/>
      </c>
      <c r="AT252" t="str">
        <f ca="1">IFERROR(IF(0=LEN(ReferenceData!$AT$252),"",ReferenceData!$AT$252),"")</f>
        <v/>
      </c>
      <c r="AU252" t="str">
        <f ca="1">IFERROR(IF(0=LEN(ReferenceData!$AU$252),"",ReferenceData!$AU$252),"")</f>
        <v/>
      </c>
      <c r="AV252" t="str">
        <f ca="1">IFERROR(IF(0=LEN(ReferenceData!$AV$252),"",ReferenceData!$AV$252),"")</f>
        <v/>
      </c>
      <c r="AW252" t="str">
        <f ca="1">IFERROR(IF(0=LEN(ReferenceData!$AW$252),"",ReferenceData!$AW$252),"")</f>
        <v/>
      </c>
      <c r="AX252" t="str">
        <f ca="1">IFERROR(IF(0=LEN(ReferenceData!$AX$252),"",ReferenceData!$AX$252),"")</f>
        <v/>
      </c>
      <c r="AY252" t="str">
        <f ca="1">IFERROR(IF(0=LEN(ReferenceData!$AY$252),"",ReferenceData!$AY$252),"")</f>
        <v/>
      </c>
      <c r="AZ252" t="str">
        <f ca="1">IFERROR(IF(0=LEN(ReferenceData!$AZ$252),"",ReferenceData!$AZ$252),"")</f>
        <v/>
      </c>
      <c r="BA252" t="str">
        <f ca="1">IFERROR(IF(0=LEN(ReferenceData!$BA$252),"",ReferenceData!$BA$252),"")</f>
        <v/>
      </c>
      <c r="BB252" t="str">
        <f ca="1">IFERROR(IF(0=LEN(ReferenceData!$BB$252),"",ReferenceData!$BB$252),"")</f>
        <v/>
      </c>
      <c r="BC252" t="str">
        <f ca="1">IFERROR(IF(0=LEN(ReferenceData!$BC$252),"",ReferenceData!$BC$252),"")</f>
        <v/>
      </c>
      <c r="BD252" t="str">
        <f ca="1">IFERROR(IF(0=LEN(ReferenceData!$BD$252),"",ReferenceData!$BD$252),"")</f>
        <v/>
      </c>
      <c r="BE252" t="str">
        <f ca="1">IFERROR(IF(0=LEN(ReferenceData!$BE$252),"",ReferenceData!$BE$252),"")</f>
        <v/>
      </c>
      <c r="BF252" t="str">
        <f ca="1">IFERROR(IF(0=LEN(ReferenceData!$BF$252),"",ReferenceData!$BF$252),"")</f>
        <v/>
      </c>
      <c r="BG252" t="str">
        <f ca="1">IFERROR(IF(0=LEN(ReferenceData!$BG$252),"",ReferenceData!$BG$252),"")</f>
        <v/>
      </c>
      <c r="BH252" t="str">
        <f ca="1">IFERROR(IF(0=LEN(ReferenceData!$BH$252),"",ReferenceData!$BH$252),"")</f>
        <v/>
      </c>
      <c r="BI252" t="str">
        <f ca="1">IFERROR(IF(0=LEN(ReferenceData!$BI$252),"",ReferenceData!$BI$252),"")</f>
        <v/>
      </c>
      <c r="BJ252" t="str">
        <f ca="1">IFERROR(IF(0=LEN(ReferenceData!$BJ$252),"",ReferenceData!$BJ$252),"")</f>
        <v/>
      </c>
      <c r="BK252" t="str">
        <f ca="1">IFERROR(IF(0=LEN(ReferenceData!$BK$252),"",ReferenceData!$BK$252),"")</f>
        <v/>
      </c>
      <c r="BL252" t="str">
        <f ca="1">IFERROR(IF(0=LEN(ReferenceData!$BL$252),"",ReferenceData!$BL$252),"")</f>
        <v/>
      </c>
      <c r="BM252" t="str">
        <f ca="1">IFERROR(IF(0=LEN(ReferenceData!$BM$252),"",ReferenceData!$BM$252),"")</f>
        <v/>
      </c>
    </row>
    <row r="253" spans="1:65" x14ac:dyDescent="0.25">
      <c r="A253" t="str">
        <f>IFERROR(IF(0=LEN(ReferenceData!$A$253),"",ReferenceData!$A$253),"")</f>
        <v xml:space="preserve">    Bayerische Motoren Werke AG</v>
      </c>
      <c r="B253" t="str">
        <f>IFERROR(IF(0=LEN(ReferenceData!$B$253),"",ReferenceData!$B$253),"")</f>
        <v>BMW GR Equity</v>
      </c>
      <c r="C253" t="str">
        <f>IFERROR(IF(0=LEN(ReferenceData!$C$253),"",ReferenceData!$C$253),"")</f>
        <v>RR904</v>
      </c>
      <c r="D253" t="str">
        <f>IFERROR(IF(0=LEN(ReferenceData!$D$253),"",ReferenceData!$D$253),"")</f>
        <v>PX_TO_SALES_RATIO</v>
      </c>
      <c r="E253" t="str">
        <f>IFERROR(IF(0=LEN(ReferenceData!$E$253),"",ReferenceData!$E$253),"")</f>
        <v>Dynamic</v>
      </c>
      <c r="F253">
        <f ca="1">IFERROR(IF(0=LEN(ReferenceData!$F$253),"",ReferenceData!$F$253),"")</f>
        <v>0.487826492</v>
      </c>
      <c r="G253">
        <f ca="1">IFERROR(IF(0=LEN(ReferenceData!$G$253),"",ReferenceData!$G$253),"")</f>
        <v>0.47206861500000002</v>
      </c>
      <c r="H253">
        <f ca="1">IFERROR(IF(0=LEN(ReferenceData!$H$253),"",ReferenceData!$H$253),"")</f>
        <v>0.517472669</v>
      </c>
      <c r="I253">
        <f ca="1">IFERROR(IF(0=LEN(ReferenceData!$I$253),"",ReferenceData!$I$253),"")</f>
        <v>0.52395167200000003</v>
      </c>
      <c r="J253">
        <f ca="1">IFERROR(IF(0=LEN(ReferenceData!$J$253),"",ReferenceData!$J$253),"")</f>
        <v>0.59110475500000004</v>
      </c>
      <c r="K253">
        <f ca="1">IFERROR(IF(0=LEN(ReferenceData!$K$253),"",ReferenceData!$K$253),"")</f>
        <v>0.57441097100000005</v>
      </c>
      <c r="L253">
        <f ca="1">IFERROR(IF(0=LEN(ReferenceData!$L$253),"",ReferenceData!$L$253),"")</f>
        <v>0.57232369299999997</v>
      </c>
      <c r="M253">
        <f ca="1">IFERROR(IF(0=LEN(ReferenceData!$M$253),"",ReferenceData!$M$253),"")</f>
        <v>0.54670280299999996</v>
      </c>
      <c r="N253">
        <f ca="1">IFERROR(IF(0=LEN(ReferenceData!$N$253),"",ReferenceData!$N$253),"")</f>
        <v>0.57768465000000002</v>
      </c>
      <c r="O253">
        <f ca="1">IFERROR(IF(0=LEN(ReferenceData!$O$253),"",ReferenceData!$O$253),"")</f>
        <v>0.61904787999999999</v>
      </c>
      <c r="P253">
        <f ca="1">IFERROR(IF(0=LEN(ReferenceData!$P$253),"",ReferenceData!$P$253),"")</f>
        <v>0.52108647900000005</v>
      </c>
      <c r="Q253">
        <f ca="1">IFERROR(IF(0=LEN(ReferenceData!$Q$253),"",ReferenceData!$Q$253),"")</f>
        <v>0.46585375299999998</v>
      </c>
      <c r="R253">
        <f ca="1">IFERROR(IF(0=LEN(ReferenceData!$R$253),"",ReferenceData!$R$253),"")</f>
        <v>0.57532013000000004</v>
      </c>
      <c r="S253">
        <f ca="1">IFERROR(IF(0=LEN(ReferenceData!$S$253),"",ReferenceData!$S$253),"")</f>
        <v>0.69534659700000001</v>
      </c>
      <c r="T253">
        <f ca="1">IFERROR(IF(0=LEN(ReferenceData!$T$253),"",ReferenceData!$T$253),"")</f>
        <v>0.57747920799999997</v>
      </c>
      <c r="U253">
        <f ca="1">IFERROR(IF(0=LEN(ReferenceData!$U$253),"",ReferenceData!$U$253),"")</f>
        <v>0.74226748499999995</v>
      </c>
      <c r="V253">
        <f ca="1">IFERROR(IF(0=LEN(ReferenceData!$V$253),"",ReferenceData!$V$253),"")</f>
        <v>0.91419493399999996</v>
      </c>
      <c r="W253">
        <f ca="1">IFERROR(IF(0=LEN(ReferenceData!$W$253),"",ReferenceData!$W$253),"")</f>
        <v>0.73272730200000002</v>
      </c>
      <c r="X253">
        <f ca="1">IFERROR(IF(0=LEN(ReferenceData!$X$253),"",ReferenceData!$X$253),"")</f>
        <v>0.72479245599999997</v>
      </c>
      <c r="Y253">
        <f ca="1">IFERROR(IF(0=LEN(ReferenceData!$Y$253),"",ReferenceData!$Y$253),"")</f>
        <v>0.78707866800000004</v>
      </c>
      <c r="Z253">
        <f ca="1">IFERROR(IF(0=LEN(ReferenceData!$Z$253),"",ReferenceData!$Z$253),"")</f>
        <v>0.78206841100000002</v>
      </c>
      <c r="AA253">
        <f ca="1">IFERROR(IF(0=LEN(ReferenceData!$AA$253),"",ReferenceData!$AA$253),"")</f>
        <v>0.73500000099999996</v>
      </c>
      <c r="AB253">
        <f ca="1">IFERROR(IF(0=LEN(ReferenceData!$AB$253),"",ReferenceData!$AB$253),"")</f>
        <v>0.68408208599999998</v>
      </c>
      <c r="AC253">
        <f ca="1">IFERROR(IF(0=LEN(ReferenceData!$AC$253),"",ReferenceData!$AC$253),"")</f>
        <v>0.57695996900000002</v>
      </c>
      <c r="AD253">
        <f ca="1">IFERROR(IF(0=LEN(ReferenceData!$AD$253),"",ReferenceData!$AD$253),"")</f>
        <v>0.58483421700000005</v>
      </c>
      <c r="AE253">
        <f ca="1">IFERROR(IF(0=LEN(ReferenceData!$AE$253),"",ReferenceData!$AE$253),"")</f>
        <v>0.622143259</v>
      </c>
      <c r="AF253">
        <f ca="1">IFERROR(IF(0=LEN(ReferenceData!$AF$253),"",ReferenceData!$AF$253),"")</f>
        <v>0.50155740299999996</v>
      </c>
      <c r="AG253">
        <f ca="1">IFERROR(IF(0=LEN(ReferenceData!$AG$253),"",ReferenceData!$AG$253),"")</f>
        <v>0.51485506299999995</v>
      </c>
      <c r="AH253">
        <f ca="1">IFERROR(IF(0=LEN(ReferenceData!$AH$253),"",ReferenceData!$AH$253),"")</f>
        <v>0.621457064</v>
      </c>
      <c r="AI253">
        <f ca="1">IFERROR(IF(0=LEN(ReferenceData!$AI$253),"",ReferenceData!$AI$253),"")</f>
        <v>0.49274203500000002</v>
      </c>
      <c r="AJ253">
        <f ca="1">IFERROR(IF(0=LEN(ReferenceData!$AJ$253),"",ReferenceData!$AJ$253),"")</f>
        <v>0.48519874400000002</v>
      </c>
      <c r="AK253">
        <f ca="1">IFERROR(IF(0=LEN(ReferenceData!$AK$253),"",ReferenceData!$AK$253),"")</f>
        <v>0.66965058600000005</v>
      </c>
      <c r="AL253">
        <f ca="1">IFERROR(IF(0=LEN(ReferenceData!$AL$253),"",ReferenceData!$AL$253),"")</f>
        <v>0.60112012800000003</v>
      </c>
      <c r="AM253">
        <f ca="1">IFERROR(IF(0=LEN(ReferenceData!$AM$253),"",ReferenceData!$AM$253),"")</f>
        <v>0.63704670299999999</v>
      </c>
      <c r="AN253">
        <f ca="1">IFERROR(IF(0=LEN(ReferenceData!$AN$253),"",ReferenceData!$AN$253),"")</f>
        <v>0.57859490599999996</v>
      </c>
      <c r="AO253">
        <f ca="1">IFERROR(IF(0=LEN(ReferenceData!$AO$253),"",ReferenceData!$AO$253),"")</f>
        <v>0.48646394799999998</v>
      </c>
      <c r="AP253">
        <f ca="1">IFERROR(IF(0=LEN(ReferenceData!$AP$253),"",ReferenceData!$AP$253),"")</f>
        <v>0.43367560799999999</v>
      </c>
      <c r="AQ253">
        <f ca="1">IFERROR(IF(0=LEN(ReferenceData!$AQ$253),"",ReferenceData!$AQ$253),"")</f>
        <v>0.41024783399999998</v>
      </c>
      <c r="AR253">
        <f ca="1">IFERROR(IF(0=LEN(ReferenceData!$AR$253),"",ReferenceData!$AR$253),"")</f>
        <v>0.43893982799999998</v>
      </c>
      <c r="AS253">
        <f ca="1">IFERROR(IF(0=LEN(ReferenceData!$AS$253),"",ReferenceData!$AS$253),"")</f>
        <v>0.35182341700000003</v>
      </c>
      <c r="AT253">
        <f ca="1">IFERROR(IF(0=LEN(ReferenceData!$AT$253),"",ReferenceData!$AT$253),"")</f>
        <v>0.27576226999999998</v>
      </c>
      <c r="AU253">
        <f ca="1">IFERROR(IF(0=LEN(ReferenceData!$AU$253),"",ReferenceData!$AU$253),"")</f>
        <v>0.26545858700000002</v>
      </c>
      <c r="AV253">
        <f ca="1">IFERROR(IF(0=LEN(ReferenceData!$AV$253),"",ReferenceData!$AV$253),"")</f>
        <v>0.32079044899999998</v>
      </c>
      <c r="AW253">
        <f ca="1">IFERROR(IF(0=LEN(ReferenceData!$AW$253),"",ReferenceData!$AW$253),"")</f>
        <v>0.34897356099999999</v>
      </c>
      <c r="AX253">
        <f ca="1">IFERROR(IF(0=LEN(ReferenceData!$AX$253),"",ReferenceData!$AX$253),"")</f>
        <v>0.39866406399999998</v>
      </c>
      <c r="AY253">
        <f ca="1">IFERROR(IF(0=LEN(ReferenceData!$AY$253),"",ReferenceData!$AY$253),"")</f>
        <v>0.49839839800000002</v>
      </c>
      <c r="AZ253">
        <f ca="1">IFERROR(IF(0=LEN(ReferenceData!$AZ$253),"",ReferenceData!$AZ$253),"")</f>
        <v>0.55847711099999997</v>
      </c>
      <c r="BA253">
        <f ca="1">IFERROR(IF(0=LEN(ReferenceData!$BA$253),"",ReferenceData!$BA$253),"")</f>
        <v>0.61230751999999999</v>
      </c>
      <c r="BB253">
        <f ca="1">IFERROR(IF(0=LEN(ReferenceData!$BB$253),"",ReferenceData!$BB$253),"")</f>
        <v>0.58574964100000004</v>
      </c>
      <c r="BC253">
        <f ca="1">IFERROR(IF(0=LEN(ReferenceData!$BC$253),"",ReferenceData!$BC$253),"")</f>
        <v>0.58334719499999999</v>
      </c>
      <c r="BD253">
        <f ca="1">IFERROR(IF(0=LEN(ReferenceData!$BD$253),"",ReferenceData!$BD$253),"")</f>
        <v>0.57093563000000003</v>
      </c>
      <c r="BE253">
        <f ca="1">IFERROR(IF(0=LEN(ReferenceData!$BE$253),"",ReferenceData!$BE$253),"")</f>
        <v>0.52911446200000001</v>
      </c>
      <c r="BF253">
        <f ca="1">IFERROR(IF(0=LEN(ReferenceData!$BF$253),"",ReferenceData!$BF$253),"")</f>
        <v>0.635044579</v>
      </c>
      <c r="BG253">
        <f ca="1">IFERROR(IF(0=LEN(ReferenceData!$BG$253),"",ReferenceData!$BG$253),"")</f>
        <v>0.53390385900000004</v>
      </c>
      <c r="BH253">
        <f ca="1">IFERROR(IF(0=LEN(ReferenceData!$BH$253),"",ReferenceData!$BH$253),"")</f>
        <v>0.58067257999999999</v>
      </c>
      <c r="BI253">
        <f ca="1">IFERROR(IF(0=LEN(ReferenceData!$BI$253),"",ReferenceData!$BI$253),"")</f>
        <v>0.57804520100000001</v>
      </c>
      <c r="BJ253">
        <f ca="1">IFERROR(IF(0=LEN(ReferenceData!$BJ$253),"",ReferenceData!$BJ$253),"")</f>
        <v>0.53766440500000001</v>
      </c>
      <c r="BK253">
        <f ca="1">IFERROR(IF(0=LEN(ReferenceData!$BK$253),"",ReferenceData!$BK$253),"")</f>
        <v>0.50472707000000006</v>
      </c>
      <c r="BL253">
        <f ca="1">IFERROR(IF(0=LEN(ReferenceData!$BL$253),"",ReferenceData!$BL$253),"")</f>
        <v>0.50333915600000001</v>
      </c>
      <c r="BM253">
        <f ca="1">IFERROR(IF(0=LEN(ReferenceData!$BM$253),"",ReferenceData!$BM$253),"")</f>
        <v>0.56003068899999997</v>
      </c>
    </row>
    <row r="254" spans="1:65" x14ac:dyDescent="0.25">
      <c r="A254" t="str">
        <f>IFERROR(IF(0=LEN(ReferenceData!$A$254),"",ReferenceData!$A$254),"")</f>
        <v xml:space="preserve">    Brilliance China Automotive Holdings Ltd</v>
      </c>
      <c r="B254" t="str">
        <f>IFERROR(IF(0=LEN(ReferenceData!$B$254),"",ReferenceData!$B$254),"")</f>
        <v>1114 HK Equity</v>
      </c>
      <c r="C254" t="str">
        <f>IFERROR(IF(0=LEN(ReferenceData!$C$254),"",ReferenceData!$C$254),"")</f>
        <v>RR904</v>
      </c>
      <c r="D254" t="str">
        <f>IFERROR(IF(0=LEN(ReferenceData!$D$254),"",ReferenceData!$D$254),"")</f>
        <v>PX_TO_SALES_RATIO</v>
      </c>
      <c r="E254" t="str">
        <f>IFERROR(IF(0=LEN(ReferenceData!$E$254),"",ReferenceData!$E$254),"")</f>
        <v>Dynamic</v>
      </c>
      <c r="F254" t="str">
        <f ca="1">IFERROR(IF(0=LEN(ReferenceData!$F$254),"",ReferenceData!$F$254),"")</f>
        <v/>
      </c>
      <c r="G254" t="str">
        <f ca="1">IFERROR(IF(0=LEN(ReferenceData!$G$254),"",ReferenceData!$G$254),"")</f>
        <v/>
      </c>
      <c r="H254" t="str">
        <f ca="1">IFERROR(IF(0=LEN(ReferenceData!$H$254),"",ReferenceData!$H$254),"")</f>
        <v/>
      </c>
      <c r="I254" t="str">
        <f ca="1">IFERROR(IF(0=LEN(ReferenceData!$I$254),"",ReferenceData!$I$254),"")</f>
        <v/>
      </c>
      <c r="J254" t="str">
        <f ca="1">IFERROR(IF(0=LEN(ReferenceData!$J$254),"",ReferenceData!$J$254),"")</f>
        <v/>
      </c>
      <c r="K254" t="str">
        <f ca="1">IFERROR(IF(0=LEN(ReferenceData!$K$254),"",ReferenceData!$K$254),"")</f>
        <v/>
      </c>
      <c r="L254" t="str">
        <f ca="1">IFERROR(IF(0=LEN(ReferenceData!$L$254),"",ReferenceData!$L$254),"")</f>
        <v/>
      </c>
      <c r="M254" t="str">
        <f ca="1">IFERROR(IF(0=LEN(ReferenceData!$M$254),"",ReferenceData!$M$254),"")</f>
        <v/>
      </c>
      <c r="N254" t="str">
        <f ca="1">IFERROR(IF(0=LEN(ReferenceData!$N$254),"",ReferenceData!$N$254),"")</f>
        <v/>
      </c>
      <c r="O254" t="str">
        <f ca="1">IFERROR(IF(0=LEN(ReferenceData!$O$254),"",ReferenceData!$O$254),"")</f>
        <v/>
      </c>
      <c r="P254" t="str">
        <f ca="1">IFERROR(IF(0=LEN(ReferenceData!$P$254),"",ReferenceData!$P$254),"")</f>
        <v/>
      </c>
      <c r="Q254" t="str">
        <f ca="1">IFERROR(IF(0=LEN(ReferenceData!$Q$254),"",ReferenceData!$Q$254),"")</f>
        <v/>
      </c>
      <c r="R254" t="str">
        <f ca="1">IFERROR(IF(0=LEN(ReferenceData!$R$254),"",ReferenceData!$R$254),"")</f>
        <v/>
      </c>
      <c r="S254" t="str">
        <f ca="1">IFERROR(IF(0=LEN(ReferenceData!$S$254),"",ReferenceData!$S$254),"")</f>
        <v/>
      </c>
      <c r="T254" t="str">
        <f ca="1">IFERROR(IF(0=LEN(ReferenceData!$T$254),"",ReferenceData!$T$254),"")</f>
        <v/>
      </c>
      <c r="U254" t="str">
        <f ca="1">IFERROR(IF(0=LEN(ReferenceData!$U$254),"",ReferenceData!$U$254),"")</f>
        <v/>
      </c>
      <c r="V254" t="str">
        <f ca="1">IFERROR(IF(0=LEN(ReferenceData!$V$254),"",ReferenceData!$V$254),"")</f>
        <v/>
      </c>
      <c r="W254" t="str">
        <f ca="1">IFERROR(IF(0=LEN(ReferenceData!$W$254),"",ReferenceData!$W$254),"")</f>
        <v/>
      </c>
      <c r="X254" t="str">
        <f ca="1">IFERROR(IF(0=LEN(ReferenceData!$X$254),"",ReferenceData!$X$254),"")</f>
        <v/>
      </c>
      <c r="Y254" t="str">
        <f ca="1">IFERROR(IF(0=LEN(ReferenceData!$Y$254),"",ReferenceData!$Y$254),"")</f>
        <v/>
      </c>
      <c r="Z254" t="str">
        <f ca="1">IFERROR(IF(0=LEN(ReferenceData!$Z$254),"",ReferenceData!$Z$254),"")</f>
        <v/>
      </c>
      <c r="AA254" t="str">
        <f ca="1">IFERROR(IF(0=LEN(ReferenceData!$AA$254),"",ReferenceData!$AA$254),"")</f>
        <v/>
      </c>
      <c r="AB254" t="str">
        <f ca="1">IFERROR(IF(0=LEN(ReferenceData!$AB$254),"",ReferenceData!$AB$254),"")</f>
        <v/>
      </c>
      <c r="AC254" t="str">
        <f ca="1">IFERROR(IF(0=LEN(ReferenceData!$AC$254),"",ReferenceData!$AC$254),"")</f>
        <v/>
      </c>
      <c r="AD254" t="str">
        <f ca="1">IFERROR(IF(0=LEN(ReferenceData!$AD$254),"",ReferenceData!$AD$254),"")</f>
        <v/>
      </c>
      <c r="AE254" t="str">
        <f ca="1">IFERROR(IF(0=LEN(ReferenceData!$AE$254),"",ReferenceData!$AE$254),"")</f>
        <v/>
      </c>
      <c r="AF254" t="str">
        <f ca="1">IFERROR(IF(0=LEN(ReferenceData!$AF$254),"",ReferenceData!$AF$254),"")</f>
        <v/>
      </c>
      <c r="AG254" t="str">
        <f ca="1">IFERROR(IF(0=LEN(ReferenceData!$AG$254),"",ReferenceData!$AG$254),"")</f>
        <v/>
      </c>
      <c r="AH254" t="str">
        <f ca="1">IFERROR(IF(0=LEN(ReferenceData!$AH$254),"",ReferenceData!$AH$254),"")</f>
        <v/>
      </c>
      <c r="AI254" t="str">
        <f ca="1">IFERROR(IF(0=LEN(ReferenceData!$AI$254),"",ReferenceData!$AI$254),"")</f>
        <v/>
      </c>
      <c r="AJ254" t="str">
        <f ca="1">IFERROR(IF(0=LEN(ReferenceData!$AJ$254),"",ReferenceData!$AJ$254),"")</f>
        <v/>
      </c>
      <c r="AK254" t="str">
        <f ca="1">IFERROR(IF(0=LEN(ReferenceData!$AK$254),"",ReferenceData!$AK$254),"")</f>
        <v/>
      </c>
      <c r="AL254" t="str">
        <f ca="1">IFERROR(IF(0=LEN(ReferenceData!$AL$254),"",ReferenceData!$AL$254),"")</f>
        <v/>
      </c>
      <c r="AM254" t="str">
        <f ca="1">IFERROR(IF(0=LEN(ReferenceData!$AM$254),"",ReferenceData!$AM$254),"")</f>
        <v/>
      </c>
      <c r="AN254" t="str">
        <f ca="1">IFERROR(IF(0=LEN(ReferenceData!$AN$254),"",ReferenceData!$AN$254),"")</f>
        <v/>
      </c>
      <c r="AO254" t="str">
        <f ca="1">IFERROR(IF(0=LEN(ReferenceData!$AO$254),"",ReferenceData!$AO$254),"")</f>
        <v/>
      </c>
      <c r="AP254" t="str">
        <f ca="1">IFERROR(IF(0=LEN(ReferenceData!$AP$254),"",ReferenceData!$AP$254),"")</f>
        <v/>
      </c>
      <c r="AQ254" t="str">
        <f ca="1">IFERROR(IF(0=LEN(ReferenceData!$AQ$254),"",ReferenceData!$AQ$254),"")</f>
        <v/>
      </c>
      <c r="AR254" t="str">
        <f ca="1">IFERROR(IF(0=LEN(ReferenceData!$AR$254),"",ReferenceData!$AR$254),"")</f>
        <v/>
      </c>
      <c r="AS254" t="str">
        <f ca="1">IFERROR(IF(0=LEN(ReferenceData!$AS$254),"",ReferenceData!$AS$254),"")</f>
        <v/>
      </c>
      <c r="AT254" t="str">
        <f ca="1">IFERROR(IF(0=LEN(ReferenceData!$AT$254),"",ReferenceData!$AT$254),"")</f>
        <v/>
      </c>
      <c r="AU254" t="str">
        <f ca="1">IFERROR(IF(0=LEN(ReferenceData!$AU$254),"",ReferenceData!$AU$254),"")</f>
        <v/>
      </c>
      <c r="AV254" t="str">
        <f ca="1">IFERROR(IF(0=LEN(ReferenceData!$AV$254),"",ReferenceData!$AV$254),"")</f>
        <v/>
      </c>
      <c r="AW254" t="str">
        <f ca="1">IFERROR(IF(0=LEN(ReferenceData!$AW$254),"",ReferenceData!$AW$254),"")</f>
        <v/>
      </c>
      <c r="AX254" t="str">
        <f ca="1">IFERROR(IF(0=LEN(ReferenceData!$AX$254),"",ReferenceData!$AX$254),"")</f>
        <v/>
      </c>
      <c r="AY254" t="str">
        <f ca="1">IFERROR(IF(0=LEN(ReferenceData!$AY$254),"",ReferenceData!$AY$254),"")</f>
        <v/>
      </c>
      <c r="AZ254" t="str">
        <f ca="1">IFERROR(IF(0=LEN(ReferenceData!$AZ$254),"",ReferenceData!$AZ$254),"")</f>
        <v/>
      </c>
      <c r="BA254" t="str">
        <f ca="1">IFERROR(IF(0=LEN(ReferenceData!$BA$254),"",ReferenceData!$BA$254),"")</f>
        <v/>
      </c>
      <c r="BB254" t="str">
        <f ca="1">IFERROR(IF(0=LEN(ReferenceData!$BB$254),"",ReferenceData!$BB$254),"")</f>
        <v/>
      </c>
      <c r="BC254" t="str">
        <f ca="1">IFERROR(IF(0=LEN(ReferenceData!$BC$254),"",ReferenceData!$BC$254),"")</f>
        <v/>
      </c>
      <c r="BD254" t="str">
        <f ca="1">IFERROR(IF(0=LEN(ReferenceData!$BD$254),"",ReferenceData!$BD$254),"")</f>
        <v/>
      </c>
      <c r="BE254" t="str">
        <f ca="1">IFERROR(IF(0=LEN(ReferenceData!$BE$254),"",ReferenceData!$BE$254),"")</f>
        <v/>
      </c>
      <c r="BF254" t="str">
        <f ca="1">IFERROR(IF(0=LEN(ReferenceData!$BF$254),"",ReferenceData!$BF$254),"")</f>
        <v/>
      </c>
      <c r="BG254" t="str">
        <f ca="1">IFERROR(IF(0=LEN(ReferenceData!$BG$254),"",ReferenceData!$BG$254),"")</f>
        <v/>
      </c>
      <c r="BH254" t="str">
        <f ca="1">IFERROR(IF(0=LEN(ReferenceData!$BH$254),"",ReferenceData!$BH$254),"")</f>
        <v/>
      </c>
      <c r="BI254" t="str">
        <f ca="1">IFERROR(IF(0=LEN(ReferenceData!$BI$254),"",ReferenceData!$BI$254),"")</f>
        <v/>
      </c>
      <c r="BJ254" t="str">
        <f ca="1">IFERROR(IF(0=LEN(ReferenceData!$BJ$254),"",ReferenceData!$BJ$254),"")</f>
        <v/>
      </c>
      <c r="BK254" t="str">
        <f ca="1">IFERROR(IF(0=LEN(ReferenceData!$BK$254),"",ReferenceData!$BK$254),"")</f>
        <v/>
      </c>
      <c r="BL254" t="str">
        <f ca="1">IFERROR(IF(0=LEN(ReferenceData!$BL$254),"",ReferenceData!$BL$254),"")</f>
        <v/>
      </c>
      <c r="BM254" t="str">
        <f ca="1">IFERROR(IF(0=LEN(ReferenceData!$BM$254),"",ReferenceData!$BM$254),"")</f>
        <v/>
      </c>
    </row>
    <row r="255" spans="1:65" x14ac:dyDescent="0.25">
      <c r="A255" t="str">
        <f>IFERROR(IF(0=LEN(ReferenceData!$A$255),"",ReferenceData!$A$255),"")</f>
        <v xml:space="preserve">    BYD Co Ltd</v>
      </c>
      <c r="B255" t="str">
        <f>IFERROR(IF(0=LEN(ReferenceData!$B$255),"",ReferenceData!$B$255),"")</f>
        <v>1211 HK Equity</v>
      </c>
      <c r="C255" t="str">
        <f>IFERROR(IF(0=LEN(ReferenceData!$C$255),"",ReferenceData!$C$255),"")</f>
        <v>RR904</v>
      </c>
      <c r="D255" t="str">
        <f>IFERROR(IF(0=LEN(ReferenceData!$D$255),"",ReferenceData!$D$255),"")</f>
        <v>PX_TO_SALES_RATIO</v>
      </c>
      <c r="E255" t="str">
        <f>IFERROR(IF(0=LEN(ReferenceData!$E$255),"",ReferenceData!$E$255),"")</f>
        <v>Dynamic</v>
      </c>
      <c r="F255">
        <f ca="1">IFERROR(IF(0=LEN(ReferenceData!$F$255),"",ReferenceData!$F$255),"")</f>
        <v>0.98537701499999997</v>
      </c>
      <c r="G255">
        <f ca="1">IFERROR(IF(0=LEN(ReferenceData!$G$255),"",ReferenceData!$G$255),"")</f>
        <v>1.005564074</v>
      </c>
      <c r="H255">
        <f ca="1">IFERROR(IF(0=LEN(ReferenceData!$H$255),"",ReferenceData!$H$255),"")</f>
        <v>1.13080662</v>
      </c>
      <c r="I255">
        <f ca="1">IFERROR(IF(0=LEN(ReferenceData!$I$255),"",ReferenceData!$I$255),"")</f>
        <v>0.965631507</v>
      </c>
      <c r="J255">
        <f ca="1">IFERROR(IF(0=LEN(ReferenceData!$J$255),"",ReferenceData!$J$255),"")</f>
        <v>1.239982642</v>
      </c>
      <c r="K255">
        <f ca="1">IFERROR(IF(0=LEN(ReferenceData!$K$255),"",ReferenceData!$K$255),"")</f>
        <v>1.479536789</v>
      </c>
      <c r="L255">
        <f ca="1">IFERROR(IF(0=LEN(ReferenceData!$L$255),"",ReferenceData!$L$255),"")</f>
        <v>1.6271897319999999</v>
      </c>
      <c r="M255">
        <f ca="1">IFERROR(IF(0=LEN(ReferenceData!$M$255),"",ReferenceData!$M$255),"")</f>
        <v>1.0979761690000001</v>
      </c>
      <c r="N255">
        <f ca="1">IFERROR(IF(0=LEN(ReferenceData!$N$255),"",ReferenceData!$N$255),"")</f>
        <v>0.97960041899999994</v>
      </c>
      <c r="O255">
        <f ca="1">IFERROR(IF(0=LEN(ReferenceData!$O$255),"",ReferenceData!$O$255),"")</f>
        <v>0.92774118000000005</v>
      </c>
      <c r="P255">
        <f ca="1">IFERROR(IF(0=LEN(ReferenceData!$P$255),"",ReferenceData!$P$255),"")</f>
        <v>1.068335689</v>
      </c>
      <c r="Q255">
        <f ca="1">IFERROR(IF(0=LEN(ReferenceData!$Q$255),"",ReferenceData!$Q$255),"")</f>
        <v>1.0703483380000001</v>
      </c>
      <c r="R255">
        <f ca="1">IFERROR(IF(0=LEN(ReferenceData!$R$255),"",ReferenceData!$R$255),"")</f>
        <v>1.094240595</v>
      </c>
      <c r="S255">
        <f ca="1">IFERROR(IF(0=LEN(ReferenceData!$S$255),"",ReferenceData!$S$255),"")</f>
        <v>1.122626458</v>
      </c>
      <c r="T255">
        <f ca="1">IFERROR(IF(0=LEN(ReferenceData!$T$255),"",ReferenceData!$T$255),"")</f>
        <v>1.268079822</v>
      </c>
      <c r="U255">
        <f ca="1">IFERROR(IF(0=LEN(ReferenceData!$U$255),"",ReferenceData!$U$255),"")</f>
        <v>1.480629985</v>
      </c>
      <c r="V255">
        <f ca="1">IFERROR(IF(0=LEN(ReferenceData!$V$255),"",ReferenceData!$V$255),"")</f>
        <v>1.2818589579999999</v>
      </c>
      <c r="W255">
        <f ca="1">IFERROR(IF(0=LEN(ReferenceData!$W$255),"",ReferenceData!$W$255),"")</f>
        <v>1.023095563</v>
      </c>
      <c r="X255">
        <f ca="1">IFERROR(IF(0=LEN(ReferenceData!$X$255),"",ReferenceData!$X$255),"")</f>
        <v>1.817604153</v>
      </c>
      <c r="Y255">
        <f ca="1">IFERROR(IF(0=LEN(ReferenceData!$Y$255),"",ReferenceData!$Y$255),"")</f>
        <v>1.6028417450000001</v>
      </c>
      <c r="Z255">
        <f ca="1">IFERROR(IF(0=LEN(ReferenceData!$Z$255),"",ReferenceData!$Z$255),"")</f>
        <v>1.78702677</v>
      </c>
      <c r="AA255">
        <f ca="1">IFERROR(IF(0=LEN(ReferenceData!$AA$255),"",ReferenceData!$AA$255),"")</f>
        <v>1.351665508</v>
      </c>
      <c r="AB255">
        <f ca="1">IFERROR(IF(0=LEN(ReferenceData!$AB$255),"",ReferenceData!$AB$255),"")</f>
        <v>1.2525920260000001</v>
      </c>
      <c r="AC255">
        <f ca="1">IFERROR(IF(0=LEN(ReferenceData!$AC$255),"",ReferenceData!$AC$255),"")</f>
        <v>0.97298136599999996</v>
      </c>
      <c r="AD255">
        <f ca="1">IFERROR(IF(0=LEN(ReferenceData!$AD$255),"",ReferenceData!$AD$255),"")</f>
        <v>0.99382149799999997</v>
      </c>
      <c r="AE255">
        <f ca="1">IFERROR(IF(0=LEN(ReferenceData!$AE$255),"",ReferenceData!$AE$255),"")</f>
        <v>0.96142036900000005</v>
      </c>
      <c r="AF255">
        <f ca="1">IFERROR(IF(0=LEN(ReferenceData!$AF$255),"",ReferenceData!$AF$255),"")</f>
        <v>0.55596475000000001</v>
      </c>
      <c r="AG255">
        <f ca="1">IFERROR(IF(0=LEN(ReferenceData!$AG$255),"",ReferenceData!$AG$255),"")</f>
        <v>0.591536383</v>
      </c>
      <c r="AH255" t="str">
        <f ca="1">IFERROR(IF(0=LEN(ReferenceData!$AH$255),"",ReferenceData!$AH$255),"")</f>
        <v/>
      </c>
      <c r="AI255" t="str">
        <f ca="1">IFERROR(IF(0=LEN(ReferenceData!$AI$255),"",ReferenceData!$AI$255),"")</f>
        <v/>
      </c>
      <c r="AJ255">
        <f ca="1">IFERROR(IF(0=LEN(ReferenceData!$AJ$255),"",ReferenceData!$AJ$255),"")</f>
        <v>0.534093649</v>
      </c>
      <c r="AK255">
        <f ca="1">IFERROR(IF(0=LEN(ReferenceData!$AK$255),"",ReferenceData!$AK$255),"")</f>
        <v>1.018092403</v>
      </c>
      <c r="AL255">
        <f ca="1">IFERROR(IF(0=LEN(ReferenceData!$AL$255),"",ReferenceData!$AL$255),"")</f>
        <v>1.222873981</v>
      </c>
      <c r="AM255">
        <f ca="1">IFERROR(IF(0=LEN(ReferenceData!$AM$255),"",ReferenceData!$AM$255),"")</f>
        <v>1.6876677410000001</v>
      </c>
      <c r="AN255">
        <f ca="1">IFERROR(IF(0=LEN(ReferenceData!$AN$255),"",ReferenceData!$AN$255),"")</f>
        <v>2.5623898469999999</v>
      </c>
      <c r="AO255">
        <f ca="1">IFERROR(IF(0=LEN(ReferenceData!$AO$255),"",ReferenceData!$AO$255),"")</f>
        <v>2.4089672019999999</v>
      </c>
      <c r="AP255" t="str">
        <f ca="1">IFERROR(IF(0=LEN(ReferenceData!$AP$255),"",ReferenceData!$AP$255),"")</f>
        <v/>
      </c>
      <c r="AQ255" t="str">
        <f ca="1">IFERROR(IF(0=LEN(ReferenceData!$AQ$255),"",ReferenceData!$AQ$255),"")</f>
        <v/>
      </c>
      <c r="AR255" t="str">
        <f ca="1">IFERROR(IF(0=LEN(ReferenceData!$AR$255),"",ReferenceData!$AR$255),"")</f>
        <v/>
      </c>
      <c r="AS255" t="str">
        <f ca="1">IFERROR(IF(0=LEN(ReferenceData!$AS$255),"",ReferenceData!$AS$255),"")</f>
        <v/>
      </c>
      <c r="AT255" t="str">
        <f ca="1">IFERROR(IF(0=LEN(ReferenceData!$AT$255),"",ReferenceData!$AT$255),"")</f>
        <v/>
      </c>
      <c r="AU255" t="str">
        <f ca="1">IFERROR(IF(0=LEN(ReferenceData!$AU$255),"",ReferenceData!$AU$255),"")</f>
        <v/>
      </c>
      <c r="AV255" t="str">
        <f ca="1">IFERROR(IF(0=LEN(ReferenceData!$AV$255),"",ReferenceData!$AV$255),"")</f>
        <v/>
      </c>
      <c r="AW255" t="str">
        <f ca="1">IFERROR(IF(0=LEN(ReferenceData!$AW$255),"",ReferenceData!$AW$255),"")</f>
        <v/>
      </c>
      <c r="AX255" t="str">
        <f ca="1">IFERROR(IF(0=LEN(ReferenceData!$AX$255),"",ReferenceData!$AX$255),"")</f>
        <v/>
      </c>
      <c r="AY255" t="str">
        <f ca="1">IFERROR(IF(0=LEN(ReferenceData!$AY$255),"",ReferenceData!$AY$255),"")</f>
        <v/>
      </c>
      <c r="AZ255" t="str">
        <f ca="1">IFERROR(IF(0=LEN(ReferenceData!$AZ$255),"",ReferenceData!$AZ$255),"")</f>
        <v/>
      </c>
      <c r="BA255" t="str">
        <f ca="1">IFERROR(IF(0=LEN(ReferenceData!$BA$255),"",ReferenceData!$BA$255),"")</f>
        <v/>
      </c>
      <c r="BB255" t="str">
        <f ca="1">IFERROR(IF(0=LEN(ReferenceData!$BB$255),"",ReferenceData!$BB$255),"")</f>
        <v/>
      </c>
      <c r="BC255" t="str">
        <f ca="1">IFERROR(IF(0=LEN(ReferenceData!$BC$255),"",ReferenceData!$BC$255),"")</f>
        <v/>
      </c>
      <c r="BD255" t="str">
        <f ca="1">IFERROR(IF(0=LEN(ReferenceData!$BD$255),"",ReferenceData!$BD$255),"")</f>
        <v/>
      </c>
      <c r="BE255" t="str">
        <f ca="1">IFERROR(IF(0=LEN(ReferenceData!$BE$255),"",ReferenceData!$BE$255),"")</f>
        <v/>
      </c>
      <c r="BF255" t="str">
        <f ca="1">IFERROR(IF(0=LEN(ReferenceData!$BF$255),"",ReferenceData!$BF$255),"")</f>
        <v/>
      </c>
      <c r="BG255" t="str">
        <f ca="1">IFERROR(IF(0=LEN(ReferenceData!$BG$255),"",ReferenceData!$BG$255),"")</f>
        <v/>
      </c>
      <c r="BH255" t="str">
        <f ca="1">IFERROR(IF(0=LEN(ReferenceData!$BH$255),"",ReferenceData!$BH$255),"")</f>
        <v/>
      </c>
      <c r="BI255" t="str">
        <f ca="1">IFERROR(IF(0=LEN(ReferenceData!$BI$255),"",ReferenceData!$BI$255),"")</f>
        <v/>
      </c>
      <c r="BJ255" t="str">
        <f ca="1">IFERROR(IF(0=LEN(ReferenceData!$BJ$255),"",ReferenceData!$BJ$255),"")</f>
        <v/>
      </c>
      <c r="BK255" t="str">
        <f ca="1">IFERROR(IF(0=LEN(ReferenceData!$BK$255),"",ReferenceData!$BK$255),"")</f>
        <v/>
      </c>
      <c r="BL255" t="str">
        <f ca="1">IFERROR(IF(0=LEN(ReferenceData!$BL$255),"",ReferenceData!$BL$255),"")</f>
        <v/>
      </c>
      <c r="BM255" t="str">
        <f ca="1">IFERROR(IF(0=LEN(ReferenceData!$BM$255),"",ReferenceData!$BM$255),"")</f>
        <v/>
      </c>
    </row>
    <row r="256" spans="1:65" x14ac:dyDescent="0.25">
      <c r="A256" t="str">
        <f>IFERROR(IF(0=LEN(ReferenceData!$A$256),"",ReferenceData!$A$256),"")</f>
        <v xml:space="preserve">    Chongqing Changan Automobile Co Ltd</v>
      </c>
      <c r="B256" t="str">
        <f>IFERROR(IF(0=LEN(ReferenceData!$B$256),"",ReferenceData!$B$256),"")</f>
        <v>200625 CH Equity</v>
      </c>
      <c r="C256" t="str">
        <f>IFERROR(IF(0=LEN(ReferenceData!$C$256),"",ReferenceData!$C$256),"")</f>
        <v>RR904</v>
      </c>
      <c r="D256" t="str">
        <f>IFERROR(IF(0=LEN(ReferenceData!$D$256),"",ReferenceData!$D$256),"")</f>
        <v>PX_TO_SALES_RATIO</v>
      </c>
      <c r="E256" t="str">
        <f>IFERROR(IF(0=LEN(ReferenceData!$E$256),"",ReferenceData!$E$256),"")</f>
        <v>Dynamic</v>
      </c>
      <c r="F256">
        <f ca="1">IFERROR(IF(0=LEN(ReferenceData!$F$256),"",ReferenceData!$F$256),"")</f>
        <v>0.23520010399999999</v>
      </c>
      <c r="G256">
        <f ca="1">IFERROR(IF(0=LEN(ReferenceData!$G$256),"",ReferenceData!$G$256),"")</f>
        <v>0.19465670199999999</v>
      </c>
      <c r="H256">
        <f ca="1">IFERROR(IF(0=LEN(ReferenceData!$H$256),"",ReferenceData!$H$256),"")</f>
        <v>0.35225109999999998</v>
      </c>
      <c r="I256">
        <f ca="1">IFERROR(IF(0=LEN(ReferenceData!$I$256),"",ReferenceData!$I$256),"")</f>
        <v>0.40604879700000002</v>
      </c>
      <c r="J256">
        <f ca="1">IFERROR(IF(0=LEN(ReferenceData!$J$256),"",ReferenceData!$J$256),"")</f>
        <v>0.39411834499999998</v>
      </c>
      <c r="K256">
        <f ca="1">IFERROR(IF(0=LEN(ReferenceData!$K$256),"",ReferenceData!$K$256),"")</f>
        <v>0.447114964</v>
      </c>
      <c r="L256">
        <f ca="1">IFERROR(IF(0=LEN(ReferenceData!$L$256),"",ReferenceData!$L$256),"")</f>
        <v>0.57495670600000004</v>
      </c>
      <c r="M256">
        <f ca="1">IFERROR(IF(0=LEN(ReferenceData!$M$256),"",ReferenceData!$M$256),"")</f>
        <v>0.58292814599999998</v>
      </c>
      <c r="N256">
        <f ca="1">IFERROR(IF(0=LEN(ReferenceData!$N$256),"",ReferenceData!$N$256),"")</f>
        <v>0.61602784499999996</v>
      </c>
      <c r="O256">
        <f ca="1">IFERROR(IF(0=LEN(ReferenceData!$O$256),"",ReferenceData!$O$256),"")</f>
        <v>0.62165284499999995</v>
      </c>
      <c r="P256">
        <f ca="1">IFERROR(IF(0=LEN(ReferenceData!$P$256),"",ReferenceData!$P$256),"")</f>
        <v>0.73311348600000004</v>
      </c>
      <c r="Q256">
        <f ca="1">IFERROR(IF(0=LEN(ReferenceData!$Q$256),"",ReferenceData!$Q$256),"")</f>
        <v>0.64897833999999999</v>
      </c>
      <c r="R256">
        <f ca="1">IFERROR(IF(0=LEN(ReferenceData!$R$256),"",ReferenceData!$R$256),"")</f>
        <v>0.867786634</v>
      </c>
      <c r="S256">
        <f ca="1">IFERROR(IF(0=LEN(ReferenceData!$S$256),"",ReferenceData!$S$256),"")</f>
        <v>1.045673541</v>
      </c>
      <c r="T256">
        <f ca="1">IFERROR(IF(0=LEN(ReferenceData!$T$256),"",ReferenceData!$T$256),"")</f>
        <v>0.814318031</v>
      </c>
      <c r="U256">
        <f ca="1">IFERROR(IF(0=LEN(ReferenceData!$U$256),"",ReferenceData!$U$256),"")</f>
        <v>1.2515522400000001</v>
      </c>
      <c r="V256">
        <f ca="1">IFERROR(IF(0=LEN(ReferenceData!$V$256),"",ReferenceData!$V$256),"")</f>
        <v>1.566647857</v>
      </c>
      <c r="W256">
        <f ca="1">IFERROR(IF(0=LEN(ReferenceData!$W$256),"",ReferenceData!$W$256),"")</f>
        <v>1.289067078</v>
      </c>
      <c r="X256">
        <f ca="1">IFERROR(IF(0=LEN(ReferenceData!$X$256),"",ReferenceData!$X$256),"")</f>
        <v>1.351989806</v>
      </c>
      <c r="Y256">
        <f ca="1">IFERROR(IF(0=LEN(ReferenceData!$Y$256),"",ReferenceData!$Y$256),"")</f>
        <v>1.3732116059999999</v>
      </c>
      <c r="Z256">
        <f ca="1">IFERROR(IF(0=LEN(ReferenceData!$Z$256),"",ReferenceData!$Z$256),"")</f>
        <v>1.2105979739999999</v>
      </c>
      <c r="AA256">
        <f ca="1">IFERROR(IF(0=LEN(ReferenceData!$AA$256),"",ReferenceData!$AA$256),"")</f>
        <v>1.519641682</v>
      </c>
      <c r="AB256">
        <f ca="1">IFERROR(IF(0=LEN(ReferenceData!$AB$256),"",ReferenceData!$AB$256),"")</f>
        <v>1.187328554</v>
      </c>
      <c r="AC256">
        <f ca="1">IFERROR(IF(0=LEN(ReferenceData!$AC$256),"",ReferenceData!$AC$256),"")</f>
        <v>0.98210727099999995</v>
      </c>
      <c r="AD256">
        <f ca="1">IFERROR(IF(0=LEN(ReferenceData!$AD$256),"",ReferenceData!$AD$256),"")</f>
        <v>0.91000943400000001</v>
      </c>
      <c r="AE256">
        <f ca="1">IFERROR(IF(0=LEN(ReferenceData!$AE$256),"",ReferenceData!$AE$256),"")</f>
        <v>0.57111256600000004</v>
      </c>
      <c r="AF256">
        <f ca="1">IFERROR(IF(0=LEN(ReferenceData!$AF$256),"",ReferenceData!$AF$256),"")</f>
        <v>0.414975908</v>
      </c>
      <c r="AG256">
        <f ca="1">IFERROR(IF(0=LEN(ReferenceData!$AG$256),"",ReferenceData!$AG$256),"")</f>
        <v>0.47220998800000002</v>
      </c>
      <c r="AH256">
        <f ca="1">IFERROR(IF(0=LEN(ReferenceData!$AH$256),"",ReferenceData!$AH$256),"")</f>
        <v>0.49254387500000002</v>
      </c>
      <c r="AI256">
        <f ca="1">IFERROR(IF(0=LEN(ReferenceData!$AI$256),"",ReferenceData!$AI$256),"")</f>
        <v>0.41711203699999999</v>
      </c>
      <c r="AJ256">
        <f ca="1">IFERROR(IF(0=LEN(ReferenceData!$AJ$256),"",ReferenceData!$AJ$256),"")</f>
        <v>0.26615993599999999</v>
      </c>
      <c r="AK256">
        <f ca="1">IFERROR(IF(0=LEN(ReferenceData!$AK$256),"",ReferenceData!$AK$256),"")</f>
        <v>0.37174073499999999</v>
      </c>
      <c r="AL256">
        <f ca="1">IFERROR(IF(0=LEN(ReferenceData!$AL$256),"",ReferenceData!$AL$256),"")</f>
        <v>0.39509372999999998</v>
      </c>
      <c r="AM256">
        <f ca="1">IFERROR(IF(0=LEN(ReferenceData!$AM$256),"",ReferenceData!$AM$256),"")</f>
        <v>0.39505482600000003</v>
      </c>
      <c r="AN256">
        <f ca="1">IFERROR(IF(0=LEN(ReferenceData!$AN$256),"",ReferenceData!$AN$256),"")</f>
        <v>0.462866151</v>
      </c>
      <c r="AO256">
        <f ca="1">IFERROR(IF(0=LEN(ReferenceData!$AO$256),"",ReferenceData!$AO$256),"")</f>
        <v>0.300654227</v>
      </c>
      <c r="AP256">
        <f ca="1">IFERROR(IF(0=LEN(ReferenceData!$AP$256),"",ReferenceData!$AP$256),"")</f>
        <v>0.48050079600000001</v>
      </c>
      <c r="AQ256">
        <f ca="1">IFERROR(IF(0=LEN(ReferenceData!$AQ$256),"",ReferenceData!$AQ$256),"")</f>
        <v>0.64588688000000005</v>
      </c>
      <c r="AR256">
        <f ca="1">IFERROR(IF(0=LEN(ReferenceData!$AR$256),"",ReferenceData!$AR$256),"")</f>
        <v>0.46618935</v>
      </c>
      <c r="AS256">
        <f ca="1">IFERROR(IF(0=LEN(ReferenceData!$AS$256),"",ReferenceData!$AS$256),"")</f>
        <v>0.44244322699999999</v>
      </c>
      <c r="AT256">
        <f ca="1">IFERROR(IF(0=LEN(ReferenceData!$AT$256),"",ReferenceData!$AT$256),"")</f>
        <v>0.43743154099999998</v>
      </c>
      <c r="AU256">
        <f ca="1">IFERROR(IF(0=LEN(ReferenceData!$AU$256),"",ReferenceData!$AU$256),"")</f>
        <v>0.25533791</v>
      </c>
      <c r="AV256">
        <f ca="1">IFERROR(IF(0=LEN(ReferenceData!$AV$256),"",ReferenceData!$AV$256),"")</f>
        <v>0.28171456299999997</v>
      </c>
      <c r="AW256">
        <f ca="1">IFERROR(IF(0=LEN(ReferenceData!$AW$256),"",ReferenceData!$AW$256),"")</f>
        <v>0.443722756</v>
      </c>
      <c r="AX256">
        <f ca="1">IFERROR(IF(0=LEN(ReferenceData!$AX$256),"",ReferenceData!$AX$256),"")</f>
        <v>0.65624058200000002</v>
      </c>
      <c r="AY256">
        <f ca="1">IFERROR(IF(0=LEN(ReferenceData!$AY$256),"",ReferenceData!$AY$256),"")</f>
        <v>1.1287086180000001</v>
      </c>
      <c r="AZ256">
        <f ca="1">IFERROR(IF(0=LEN(ReferenceData!$AZ$256),"",ReferenceData!$AZ$256),"")</f>
        <v>1.071575967</v>
      </c>
      <c r="BA256">
        <f ca="1">IFERROR(IF(0=LEN(ReferenceData!$BA$256),"",ReferenceData!$BA$256),"")</f>
        <v>0.72024699299999995</v>
      </c>
      <c r="BB256">
        <f ca="1">IFERROR(IF(0=LEN(ReferenceData!$BB$256),"",ReferenceData!$BB$256),"")</f>
        <v>0.58211763800000005</v>
      </c>
      <c r="BC256">
        <f ca="1">IFERROR(IF(0=LEN(ReferenceData!$BC$256),"",ReferenceData!$BC$256),"")</f>
        <v>0.432134036</v>
      </c>
      <c r="BD256">
        <f ca="1">IFERROR(IF(0=LEN(ReferenceData!$BD$256),"",ReferenceData!$BD$256),"")</f>
        <v>0.28178514399999999</v>
      </c>
      <c r="BE256">
        <f ca="1">IFERROR(IF(0=LEN(ReferenceData!$BE$256),"",ReferenceData!$BE$256),"")</f>
        <v>0.31064375399999999</v>
      </c>
      <c r="BF256">
        <f ca="1">IFERROR(IF(0=LEN(ReferenceData!$BF$256),"",ReferenceData!$BF$256),"")</f>
        <v>0.31053212499999999</v>
      </c>
      <c r="BG256">
        <f ca="1">IFERROR(IF(0=LEN(ReferenceData!$BG$256),"",ReferenceData!$BG$256),"")</f>
        <v>0.19998500399999999</v>
      </c>
      <c r="BH256">
        <f ca="1">IFERROR(IF(0=LEN(ReferenceData!$BH$256),"",ReferenceData!$BH$256),"")</f>
        <v>0.31032873799999999</v>
      </c>
      <c r="BI256" t="str">
        <f ca="1">IFERROR(IF(0=LEN(ReferenceData!$BI$256),"",ReferenceData!$BI$256),"")</f>
        <v/>
      </c>
      <c r="BJ256" t="str">
        <f ca="1">IFERROR(IF(0=LEN(ReferenceData!$BJ$256),"",ReferenceData!$BJ$256),"")</f>
        <v/>
      </c>
      <c r="BK256" t="str">
        <f ca="1">IFERROR(IF(0=LEN(ReferenceData!$BK$256),"",ReferenceData!$BK$256),"")</f>
        <v/>
      </c>
      <c r="BL256" t="str">
        <f ca="1">IFERROR(IF(0=LEN(ReferenceData!$BL$256),"",ReferenceData!$BL$256),"")</f>
        <v/>
      </c>
      <c r="BM256" t="str">
        <f ca="1">IFERROR(IF(0=LEN(ReferenceData!$BM$256),"",ReferenceData!$BM$256),"")</f>
        <v/>
      </c>
    </row>
    <row r="257" spans="1:65" x14ac:dyDescent="0.25">
      <c r="A257" t="str">
        <f>IFERROR(IF(0=LEN(ReferenceData!$A$257),"",ReferenceData!$A$257),"")</f>
        <v xml:space="preserve">    Daihatsu Motor Co Ltd</v>
      </c>
      <c r="B257" t="str">
        <f>IFERROR(IF(0=LEN(ReferenceData!$B$257),"",ReferenceData!$B$257),"")</f>
        <v>7262 JP Equity</v>
      </c>
      <c r="C257" t="str">
        <f>IFERROR(IF(0=LEN(ReferenceData!$C$257),"",ReferenceData!$C$257),"")</f>
        <v>RR904</v>
      </c>
      <c r="D257" t="str">
        <f>IFERROR(IF(0=LEN(ReferenceData!$D$257),"",ReferenceData!$D$257),"")</f>
        <v>PX_TO_SALES_RATIO</v>
      </c>
      <c r="E257" t="str">
        <f>IFERROR(IF(0=LEN(ReferenceData!$E$257),"",ReferenceData!$E$257),"")</f>
        <v>Dynamic</v>
      </c>
      <c r="F257" t="str">
        <f ca="1">IFERROR(IF(0=LEN(ReferenceData!$F$257),"",ReferenceData!$F$257),"")</f>
        <v/>
      </c>
      <c r="G257" t="str">
        <f ca="1">IFERROR(IF(0=LEN(ReferenceData!$G$257),"",ReferenceData!$G$257),"")</f>
        <v/>
      </c>
      <c r="H257" t="str">
        <f ca="1">IFERROR(IF(0=LEN(ReferenceData!$H$257),"",ReferenceData!$H$257),"")</f>
        <v/>
      </c>
      <c r="I257" t="str">
        <f ca="1">IFERROR(IF(0=LEN(ReferenceData!$I$257),"",ReferenceData!$I$257),"")</f>
        <v/>
      </c>
      <c r="J257" t="str">
        <f ca="1">IFERROR(IF(0=LEN(ReferenceData!$J$257),"",ReferenceData!$J$257),"")</f>
        <v/>
      </c>
      <c r="K257" t="str">
        <f ca="1">IFERROR(IF(0=LEN(ReferenceData!$K$257),"",ReferenceData!$K$257),"")</f>
        <v/>
      </c>
      <c r="L257" t="str">
        <f ca="1">IFERROR(IF(0=LEN(ReferenceData!$L$257),"",ReferenceData!$L$257),"")</f>
        <v/>
      </c>
      <c r="M257" t="str">
        <f ca="1">IFERROR(IF(0=LEN(ReferenceData!$M$257),"",ReferenceData!$M$257),"")</f>
        <v/>
      </c>
      <c r="N257" t="str">
        <f ca="1">IFERROR(IF(0=LEN(ReferenceData!$N$257),"",ReferenceData!$N$257),"")</f>
        <v/>
      </c>
      <c r="O257" t="str">
        <f ca="1">IFERROR(IF(0=LEN(ReferenceData!$O$257),"",ReferenceData!$O$257),"")</f>
        <v/>
      </c>
      <c r="P257">
        <f ca="1">IFERROR(IF(0=LEN(ReferenceData!$P$257),"",ReferenceData!$P$257),"")</f>
        <v>0.375921106</v>
      </c>
      <c r="Q257">
        <f ca="1">IFERROR(IF(0=LEN(ReferenceData!$Q$257),"",ReferenceData!$Q$257),"")</f>
        <v>0.33356379800000002</v>
      </c>
      <c r="R257">
        <f ca="1">IFERROR(IF(0=LEN(ReferenceData!$R$257),"",ReferenceData!$R$257),"")</f>
        <v>0.39987315400000001</v>
      </c>
      <c r="S257">
        <f ca="1">IFERROR(IF(0=LEN(ReferenceData!$S$257),"",ReferenceData!$S$257),"")</f>
        <v>0.39408366900000003</v>
      </c>
      <c r="T257">
        <f ca="1">IFERROR(IF(0=LEN(ReferenceData!$T$257),"",ReferenceData!$T$257),"")</f>
        <v>0.328783504</v>
      </c>
      <c r="U257">
        <f ca="1">IFERROR(IF(0=LEN(ReferenceData!$U$257),"",ReferenceData!$U$257),"")</f>
        <v>0.41273805000000002</v>
      </c>
      <c r="V257">
        <f ca="1">IFERROR(IF(0=LEN(ReferenceData!$V$257),"",ReferenceData!$V$257),"")</f>
        <v>0.43106619800000001</v>
      </c>
      <c r="W257">
        <f ca="1">IFERROR(IF(0=LEN(ReferenceData!$W$257),"",ReferenceData!$W$257),"")</f>
        <v>0.36816705199999999</v>
      </c>
      <c r="X257">
        <f ca="1">IFERROR(IF(0=LEN(ReferenceData!$X$257),"",ReferenceData!$X$257),"")</f>
        <v>0.39852695900000001</v>
      </c>
      <c r="Y257">
        <f ca="1">IFERROR(IF(0=LEN(ReferenceData!$Y$257),"",ReferenceData!$Y$257),"")</f>
        <v>0.40587541100000002</v>
      </c>
      <c r="Z257">
        <f ca="1">IFERROR(IF(0=LEN(ReferenceData!$Z$257),"",ReferenceData!$Z$257),"")</f>
        <v>0.40604444099999998</v>
      </c>
      <c r="AA257">
        <f ca="1">IFERROR(IF(0=LEN(ReferenceData!$AA$257),"",ReferenceData!$AA$257),"")</f>
        <v>0.407423437</v>
      </c>
      <c r="AB257">
        <f ca="1">IFERROR(IF(0=LEN(ReferenceData!$AB$257),"",ReferenceData!$AB$257),"")</f>
        <v>0.44918049900000001</v>
      </c>
      <c r="AC257">
        <f ca="1">IFERROR(IF(0=LEN(ReferenceData!$AC$257),"",ReferenceData!$AC$257),"")</f>
        <v>0.453064672</v>
      </c>
      <c r="AD257">
        <f ca="1">IFERROR(IF(0=LEN(ReferenceData!$AD$257),"",ReferenceData!$AD$257),"")</f>
        <v>0.47125667100000002</v>
      </c>
      <c r="AE257">
        <f ca="1">IFERROR(IF(0=LEN(ReferenceData!$AE$257),"",ReferenceData!$AE$257),"")</f>
        <v>0.41192535600000002</v>
      </c>
      <c r="AF257">
        <f ca="1">IFERROR(IF(0=LEN(ReferenceData!$AF$257),"",ReferenceData!$AF$257),"")</f>
        <v>0.31121187300000003</v>
      </c>
      <c r="AG257">
        <f ca="1">IFERROR(IF(0=LEN(ReferenceData!$AG$257),"",ReferenceData!$AG$257),"")</f>
        <v>0.33769720399999997</v>
      </c>
      <c r="AH257">
        <f ca="1">IFERROR(IF(0=LEN(ReferenceData!$AH$257),"",ReferenceData!$AH$257),"")</f>
        <v>0.396009102</v>
      </c>
      <c r="AI257">
        <f ca="1">IFERROR(IF(0=LEN(ReferenceData!$AI$257),"",ReferenceData!$AI$257),"")</f>
        <v>0.387445025</v>
      </c>
      <c r="AJ257">
        <f ca="1">IFERROR(IF(0=LEN(ReferenceData!$AJ$257),"",ReferenceData!$AJ$257),"")</f>
        <v>0.41192060699999999</v>
      </c>
      <c r="AK257">
        <f ca="1">IFERROR(IF(0=LEN(ReferenceData!$AK$257),"",ReferenceData!$AK$257),"")</f>
        <v>0.39330745700000003</v>
      </c>
      <c r="AL257">
        <f ca="1">IFERROR(IF(0=LEN(ReferenceData!$AL$257),"",ReferenceData!$AL$257),"")</f>
        <v>0.33116101100000001</v>
      </c>
      <c r="AM257">
        <f ca="1">IFERROR(IF(0=LEN(ReferenceData!$AM$257),"",ReferenceData!$AM$257),"")</f>
        <v>0.32588338500000003</v>
      </c>
      <c r="AN257">
        <f ca="1">IFERROR(IF(0=LEN(ReferenceData!$AN$257),"",ReferenceData!$AN$257),"")</f>
        <v>0.28516093599999998</v>
      </c>
      <c r="AO257">
        <f ca="1">IFERROR(IF(0=LEN(ReferenceData!$AO$257),"",ReferenceData!$AO$257),"")</f>
        <v>0.216893487</v>
      </c>
      <c r="AP257">
        <f ca="1">IFERROR(IF(0=LEN(ReferenceData!$AP$257),"",ReferenceData!$AP$257),"")</f>
        <v>0.24161858899999999</v>
      </c>
      <c r="AQ257">
        <f ca="1">IFERROR(IF(0=LEN(ReferenceData!$AQ$257),"",ReferenceData!$AQ$257),"")</f>
        <v>0.26376109800000003</v>
      </c>
      <c r="AR257">
        <f ca="1">IFERROR(IF(0=LEN(ReferenceData!$AR$257),"",ReferenceData!$AR$257),"")</f>
        <v>0.26589262200000002</v>
      </c>
      <c r="AS257">
        <f ca="1">IFERROR(IF(0=LEN(ReferenceData!$AS$257),"",ReferenceData!$AS$257),"")</f>
        <v>0.24826812000000001</v>
      </c>
      <c r="AT257">
        <f ca="1">IFERROR(IF(0=LEN(ReferenceData!$AT$257),"",ReferenceData!$AT$257),"")</f>
        <v>0.20085687899999999</v>
      </c>
      <c r="AU257">
        <f ca="1">IFERROR(IF(0=LEN(ReferenceData!$AU$257),"",ReferenceData!$AU$257),"")</f>
        <v>0.19301691400000001</v>
      </c>
      <c r="AV257">
        <f ca="1">IFERROR(IF(0=LEN(ReferenceData!$AV$257),"",ReferenceData!$AV$257),"")</f>
        <v>0.275413674</v>
      </c>
      <c r="AW257">
        <f ca="1">IFERROR(IF(0=LEN(ReferenceData!$AW$257),"",ReferenceData!$AW$257),"")</f>
        <v>0.29714386199999998</v>
      </c>
      <c r="AX257">
        <f ca="1">IFERROR(IF(0=LEN(ReferenceData!$AX$257),"",ReferenceData!$AX$257),"")</f>
        <v>0.29986708299999998</v>
      </c>
      <c r="AY257">
        <f ca="1">IFERROR(IF(0=LEN(ReferenceData!$AY$257),"",ReferenceData!$AY$257),"")</f>
        <v>0.26470566499999998</v>
      </c>
      <c r="AZ257">
        <f ca="1">IFERROR(IF(0=LEN(ReferenceData!$AZ$257),"",ReferenceData!$AZ$257),"")</f>
        <v>0.29976856000000002</v>
      </c>
      <c r="BA257">
        <f ca="1">IFERROR(IF(0=LEN(ReferenceData!$BA$257),"",ReferenceData!$BA$257),"")</f>
        <v>0.28853990899999998</v>
      </c>
      <c r="BB257">
        <f ca="1">IFERROR(IF(0=LEN(ReferenceData!$BB$257),"",ReferenceData!$BB$257),"")</f>
        <v>0.29260303700000001</v>
      </c>
      <c r="BC257">
        <f ca="1">IFERROR(IF(0=LEN(ReferenceData!$BC$257),"",ReferenceData!$BC$257),"")</f>
        <v>0.32556766999999998</v>
      </c>
      <c r="BD257">
        <f ca="1">IFERROR(IF(0=LEN(ReferenceData!$BD$257),"",ReferenceData!$BD$257),"")</f>
        <v>0.30909772200000002</v>
      </c>
      <c r="BE257">
        <f ca="1">IFERROR(IF(0=LEN(ReferenceData!$BE$257),"",ReferenceData!$BE$257),"")</f>
        <v>0.30744358300000002</v>
      </c>
      <c r="BF257">
        <f ca="1">IFERROR(IF(0=LEN(ReferenceData!$BF$257),"",ReferenceData!$BF$257),"")</f>
        <v>0.38321993100000001</v>
      </c>
      <c r="BG257" t="str">
        <f ca="1">IFERROR(IF(0=LEN(ReferenceData!$BG$257),"",ReferenceData!$BG$257),"")</f>
        <v/>
      </c>
      <c r="BH257" t="str">
        <f ca="1">IFERROR(IF(0=LEN(ReferenceData!$BH$257),"",ReferenceData!$BH$257),"")</f>
        <v/>
      </c>
      <c r="BI257" t="str">
        <f ca="1">IFERROR(IF(0=LEN(ReferenceData!$BI$257),"",ReferenceData!$BI$257),"")</f>
        <v/>
      </c>
      <c r="BJ257" t="str">
        <f ca="1">IFERROR(IF(0=LEN(ReferenceData!$BJ$257),"",ReferenceData!$BJ$257),"")</f>
        <v/>
      </c>
      <c r="BK257" t="str">
        <f ca="1">IFERROR(IF(0=LEN(ReferenceData!$BK$257),"",ReferenceData!$BK$257),"")</f>
        <v/>
      </c>
      <c r="BL257" t="str">
        <f ca="1">IFERROR(IF(0=LEN(ReferenceData!$BL$257),"",ReferenceData!$BL$257),"")</f>
        <v/>
      </c>
      <c r="BM257" t="str">
        <f ca="1">IFERROR(IF(0=LEN(ReferenceData!$BM$257),"",ReferenceData!$BM$257),"")</f>
        <v/>
      </c>
    </row>
    <row r="258" spans="1:65" x14ac:dyDescent="0.25">
      <c r="A258" t="str">
        <f>IFERROR(IF(0=LEN(ReferenceData!$A$258),"",ReferenceData!$A$258),"")</f>
        <v xml:space="preserve">    Daimler AG</v>
      </c>
      <c r="B258" t="str">
        <f>IFERROR(IF(0=LEN(ReferenceData!$B$258),"",ReferenceData!$B$258),"")</f>
        <v>DAI GR Equity</v>
      </c>
      <c r="C258" t="str">
        <f>IFERROR(IF(0=LEN(ReferenceData!$C$258),"",ReferenceData!$C$258),"")</f>
        <v>RR904</v>
      </c>
      <c r="D258" t="str">
        <f>IFERROR(IF(0=LEN(ReferenceData!$D$258),"",ReferenceData!$D$258),"")</f>
        <v>PX_TO_SALES_RATIO</v>
      </c>
      <c r="E258" t="str">
        <f>IFERROR(IF(0=LEN(ReferenceData!$E$258),"",ReferenceData!$E$258),"")</f>
        <v>Dynamic</v>
      </c>
      <c r="F258">
        <f ca="1">IFERROR(IF(0=LEN(ReferenceData!$F$258),"",ReferenceData!$F$258),"")</f>
        <v>0.33386105599999999</v>
      </c>
      <c r="G258">
        <f ca="1">IFERROR(IF(0=LEN(ReferenceData!$G$258),"",ReferenceData!$G$258),"")</f>
        <v>0.29346278100000001</v>
      </c>
      <c r="H258">
        <f ca="1">IFERROR(IF(0=LEN(ReferenceData!$H$258),"",ReferenceData!$H$258),"")</f>
        <v>0.354072461</v>
      </c>
      <c r="I258">
        <f ca="1">IFERROR(IF(0=LEN(ReferenceData!$I$258),"",ReferenceData!$I$258),"")</f>
        <v>0.357661805</v>
      </c>
      <c r="J258">
        <f ca="1">IFERROR(IF(0=LEN(ReferenceData!$J$258),"",ReferenceData!$J$258),"")</f>
        <v>0.44705201500000002</v>
      </c>
      <c r="K258">
        <f ca="1">IFERROR(IF(0=LEN(ReferenceData!$K$258),"",ReferenceData!$K$258),"")</f>
        <v>0.46140721499999998</v>
      </c>
      <c r="L258">
        <f ca="1">IFERROR(IF(0=LEN(ReferenceData!$L$258),"",ReferenceData!$L$258),"")</f>
        <v>0.44595419200000003</v>
      </c>
      <c r="M258">
        <f ca="1">IFERROR(IF(0=LEN(ReferenceData!$M$258),"",ReferenceData!$M$258),"")</f>
        <v>0.426191074</v>
      </c>
      <c r="N258">
        <f ca="1">IFERROR(IF(0=LEN(ReferenceData!$N$258),"",ReferenceData!$N$258),"")</f>
        <v>0.47139265000000002</v>
      </c>
      <c r="O258">
        <f ca="1">IFERROR(IF(0=LEN(ReferenceData!$O$258),"",ReferenceData!$O$258),"")</f>
        <v>0.49364323599999999</v>
      </c>
      <c r="P258">
        <f ca="1">IFERROR(IF(0=LEN(ReferenceData!$P$258),"",ReferenceData!$P$258),"")</f>
        <v>0.43902381299999998</v>
      </c>
      <c r="Q258">
        <f ca="1">IFERROR(IF(0=LEN(ReferenceData!$Q$258),"",ReferenceData!$Q$258),"")</f>
        <v>0.38164282999999999</v>
      </c>
      <c r="R258">
        <f ca="1">IFERROR(IF(0=LEN(ReferenceData!$R$258),"",ReferenceData!$R$258),"")</f>
        <v>0.48032011099999999</v>
      </c>
      <c r="S258">
        <f ca="1">IFERROR(IF(0=LEN(ReferenceData!$S$258),"",ReferenceData!$S$258),"")</f>
        <v>0.55527363200000002</v>
      </c>
      <c r="T258">
        <f ca="1">IFERROR(IF(0=LEN(ReferenceData!$T$258),"",ReferenceData!$T$258),"")</f>
        <v>0.480312034</v>
      </c>
      <c r="U258">
        <f ca="1">IFERROR(IF(0=LEN(ReferenceData!$U$258),"",ReferenceData!$U$258),"")</f>
        <v>0.62483732199999997</v>
      </c>
      <c r="V258">
        <f ca="1">IFERROR(IF(0=LEN(ReferenceData!$V$258),"",ReferenceData!$V$258),"")</f>
        <v>0.71340392100000005</v>
      </c>
      <c r="W258">
        <f ca="1">IFERROR(IF(0=LEN(ReferenceData!$W$258),"",ReferenceData!$W$258),"")</f>
        <v>0.56812943500000002</v>
      </c>
      <c r="X258">
        <f ca="1">IFERROR(IF(0=LEN(ReferenceData!$X$258),"",ReferenceData!$X$258),"")</f>
        <v>0.51296831700000001</v>
      </c>
      <c r="Y258">
        <f ca="1">IFERROR(IF(0=LEN(ReferenceData!$Y$258),"",ReferenceData!$Y$258),"")</f>
        <v>0.59323703900000002</v>
      </c>
      <c r="Z258">
        <f ca="1">IFERROR(IF(0=LEN(ReferenceData!$Z$258),"",ReferenceData!$Z$258),"")</f>
        <v>0.60641599499999999</v>
      </c>
      <c r="AA258">
        <f ca="1">IFERROR(IF(0=LEN(ReferenceData!$AA$258),"",ReferenceData!$AA$258),"")</f>
        <v>0.56984005500000001</v>
      </c>
      <c r="AB258">
        <f ca="1">IFERROR(IF(0=LEN(ReferenceData!$AB$258),"",ReferenceData!$AB$258),"")</f>
        <v>0.53248731400000004</v>
      </c>
      <c r="AC258">
        <f ca="1">IFERROR(IF(0=LEN(ReferenceData!$AC$258),"",ReferenceData!$AC$258),"")</f>
        <v>0.43375511500000002</v>
      </c>
      <c r="AD258">
        <f ca="1">IFERROR(IF(0=LEN(ReferenceData!$AD$258),"",ReferenceData!$AD$258),"")</f>
        <v>0.401817178</v>
      </c>
      <c r="AE258">
        <f ca="1">IFERROR(IF(0=LEN(ReferenceData!$AE$258),"",ReferenceData!$AE$258),"")</f>
        <v>0.38562965300000002</v>
      </c>
      <c r="AF258">
        <f ca="1">IFERROR(IF(0=LEN(ReferenceData!$AF$258),"",ReferenceData!$AF$258),"")</f>
        <v>0.35549333799999999</v>
      </c>
      <c r="AG258">
        <f ca="1">IFERROR(IF(0=LEN(ReferenceData!$AG$258),"",ReferenceData!$AG$258),"")</f>
        <v>0.338446197</v>
      </c>
      <c r="AH258">
        <f ca="1">IFERROR(IF(0=LEN(ReferenceData!$AH$258),"",ReferenceData!$AH$258),"")</f>
        <v>0.44531801700000001</v>
      </c>
      <c r="AI258">
        <f ca="1">IFERROR(IF(0=LEN(ReferenceData!$AI$258),"",ReferenceData!$AI$258),"")</f>
        <v>0.33939830700000001</v>
      </c>
      <c r="AJ258">
        <f ca="1">IFERROR(IF(0=LEN(ReferenceData!$AJ$258),"",ReferenceData!$AJ$258),"")</f>
        <v>0.34363087599999997</v>
      </c>
      <c r="AK258">
        <f ca="1">IFERROR(IF(0=LEN(ReferenceData!$AK$258),"",ReferenceData!$AK$258),"")</f>
        <v>0.53708018099999999</v>
      </c>
      <c r="AL258">
        <f ca="1">IFERROR(IF(0=LEN(ReferenceData!$AL$258),"",ReferenceData!$AL$258),"")</f>
        <v>0.52373535500000001</v>
      </c>
      <c r="AM258">
        <f ca="1">IFERROR(IF(0=LEN(ReferenceData!$AM$258),"",ReferenceData!$AM$258),"")</f>
        <v>0.54580295700000003</v>
      </c>
      <c r="AN258">
        <f ca="1">IFERROR(IF(0=LEN(ReferenceData!$AN$258),"",ReferenceData!$AN$258),"")</f>
        <v>0.52209412200000005</v>
      </c>
      <c r="AO258">
        <f ca="1">IFERROR(IF(0=LEN(ReferenceData!$AO$258),"",ReferenceData!$AO$258),"")</f>
        <v>0.49816999699999998</v>
      </c>
      <c r="AP258">
        <f ca="1">IFERROR(IF(0=LEN(ReferenceData!$AP$258),"",ReferenceData!$AP$258),"")</f>
        <v>0.43923411099999998</v>
      </c>
      <c r="AQ258">
        <f ca="1">IFERROR(IF(0=LEN(ReferenceData!$AQ$258),"",ReferenceData!$AQ$258),"")</f>
        <v>0.47344750499999999</v>
      </c>
      <c r="AR258">
        <f ca="1">IFERROR(IF(0=LEN(ReferenceData!$AR$258),"",ReferenceData!$AR$258),"")</f>
        <v>0.421777332</v>
      </c>
      <c r="AS258">
        <f ca="1">IFERROR(IF(0=LEN(ReferenceData!$AS$258),"",ReferenceData!$AS$258),"")</f>
        <v>0.29159032600000001</v>
      </c>
      <c r="AT258">
        <f ca="1">IFERROR(IF(0=LEN(ReferenceData!$AT$258),"",ReferenceData!$AT$258),"")</f>
        <v>0.203521808</v>
      </c>
      <c r="AU258">
        <f ca="1">IFERROR(IF(0=LEN(ReferenceData!$AU$258),"",ReferenceData!$AU$258),"")</f>
        <v>0.269670032</v>
      </c>
      <c r="AV258">
        <f ca="1">IFERROR(IF(0=LEN(ReferenceData!$AV$258),"",ReferenceData!$AV$258),"")</f>
        <v>0.40620422</v>
      </c>
      <c r="AW258">
        <f ca="1">IFERROR(IF(0=LEN(ReferenceData!$AW$258),"",ReferenceData!$AW$258),"")</f>
        <v>0.44501362700000002</v>
      </c>
      <c r="AX258">
        <f ca="1">IFERROR(IF(0=LEN(ReferenceData!$AX$258),"",ReferenceData!$AX$258),"")</f>
        <v>0.641551129</v>
      </c>
      <c r="AY258">
        <f ca="1">IFERROR(IF(0=LEN(ReferenceData!$AY$258),"",ReferenceData!$AY$258),"")</f>
        <v>0.78923356300000003</v>
      </c>
      <c r="AZ258">
        <f ca="1">IFERROR(IF(0=LEN(ReferenceData!$AZ$258),"",ReferenceData!$AZ$258),"")</f>
        <v>0.85581649000000004</v>
      </c>
      <c r="BA258">
        <f ca="1">IFERROR(IF(0=LEN(ReferenceData!$BA$258),"",ReferenceData!$BA$258),"")</f>
        <v>0.83265657500000001</v>
      </c>
      <c r="BB258">
        <f ca="1">IFERROR(IF(0=LEN(ReferenceData!$BB$258),"",ReferenceData!$BB$258),"")</f>
        <v>0.74217937499999997</v>
      </c>
      <c r="BC258">
        <f ca="1">IFERROR(IF(0=LEN(ReferenceData!$BC$258),"",ReferenceData!$BC$258),"")</f>
        <v>0.483489481</v>
      </c>
      <c r="BD258">
        <f ca="1">IFERROR(IF(0=LEN(ReferenceData!$BD$258),"",ReferenceData!$BD$258),"")</f>
        <v>0.315202759</v>
      </c>
      <c r="BE258">
        <f ca="1">IFERROR(IF(0=LEN(ReferenceData!$BE$258),"",ReferenceData!$BE$258),"")</f>
        <v>0.27690257099999999</v>
      </c>
      <c r="BF258">
        <f ca="1">IFERROR(IF(0=LEN(ReferenceData!$BF$258),"",ReferenceData!$BF$258),"")</f>
        <v>0.30977858800000002</v>
      </c>
      <c r="BG258">
        <f ca="1">IFERROR(IF(0=LEN(ReferenceData!$BG$258),"",ReferenceData!$BG$258),"")</f>
        <v>0.29210881799999999</v>
      </c>
      <c r="BH258">
        <f ca="1">IFERROR(IF(0=LEN(ReferenceData!$BH$258),"",ReferenceData!$BH$258),"")</f>
        <v>0.30634012199999999</v>
      </c>
      <c r="BI258">
        <f ca="1">IFERROR(IF(0=LEN(ReferenceData!$BI$258),"",ReferenceData!$BI$258),"")</f>
        <v>0.23829592299999999</v>
      </c>
      <c r="BJ258">
        <f ca="1">IFERROR(IF(0=LEN(ReferenceData!$BJ$258),"",ReferenceData!$BJ$258),"")</f>
        <v>0.247875133</v>
      </c>
      <c r="BK258">
        <f ca="1">IFERROR(IF(0=LEN(ReferenceData!$BK$258),"",ReferenceData!$BK$258),"")</f>
        <v>0.25137310800000001</v>
      </c>
      <c r="BL258">
        <f ca="1">IFERROR(IF(0=LEN(ReferenceData!$BL$258),"",ReferenceData!$BL$258),"")</f>
        <v>0.242963443</v>
      </c>
      <c r="BM258">
        <f ca="1">IFERROR(IF(0=LEN(ReferenceData!$BM$258),"",ReferenceData!$BM$258),"")</f>
        <v>0.282807219</v>
      </c>
    </row>
    <row r="259" spans="1:65" x14ac:dyDescent="0.25">
      <c r="A259" t="str">
        <f>IFERROR(IF(0=LEN(ReferenceData!$A$259),"",ReferenceData!$A$259),"")</f>
        <v xml:space="preserve">    Dongfeng Motor Group Co Ltd</v>
      </c>
      <c r="B259" t="str">
        <f>IFERROR(IF(0=LEN(ReferenceData!$B$259),"",ReferenceData!$B$259),"")</f>
        <v>489 HK Equity</v>
      </c>
      <c r="C259" t="str">
        <f>IFERROR(IF(0=LEN(ReferenceData!$C$259),"",ReferenceData!$C$259),"")</f>
        <v>RR904</v>
      </c>
      <c r="D259" t="str">
        <f>IFERROR(IF(0=LEN(ReferenceData!$D$259),"",ReferenceData!$D$259),"")</f>
        <v>PX_TO_SALES_RATIO</v>
      </c>
      <c r="E259" t="str">
        <f>IFERROR(IF(0=LEN(ReferenceData!$E$259),"",ReferenceData!$E$259),"")</f>
        <v>Dynamic</v>
      </c>
      <c r="F259" t="str">
        <f ca="1">IFERROR(IF(0=LEN(ReferenceData!$F$259),"",ReferenceData!$F$259),"")</f>
        <v/>
      </c>
      <c r="G259" t="str">
        <f ca="1">IFERROR(IF(0=LEN(ReferenceData!$G$259),"",ReferenceData!$G$259),"")</f>
        <v/>
      </c>
      <c r="H259" t="str">
        <f ca="1">IFERROR(IF(0=LEN(ReferenceData!$H$259),"",ReferenceData!$H$259),"")</f>
        <v/>
      </c>
      <c r="I259" t="str">
        <f ca="1">IFERROR(IF(0=LEN(ReferenceData!$I$259),"",ReferenceData!$I$259),"")</f>
        <v/>
      </c>
      <c r="J259" t="str">
        <f ca="1">IFERROR(IF(0=LEN(ReferenceData!$J$259),"",ReferenceData!$J$259),"")</f>
        <v/>
      </c>
      <c r="K259" t="str">
        <f ca="1">IFERROR(IF(0=LEN(ReferenceData!$K$259),"",ReferenceData!$K$259),"")</f>
        <v/>
      </c>
      <c r="L259" t="str">
        <f ca="1">IFERROR(IF(0=LEN(ReferenceData!$L$259),"",ReferenceData!$L$259),"")</f>
        <v/>
      </c>
      <c r="M259" t="str">
        <f ca="1">IFERROR(IF(0=LEN(ReferenceData!$M$259),"",ReferenceData!$M$259),"")</f>
        <v/>
      </c>
      <c r="N259" t="str">
        <f ca="1">IFERROR(IF(0=LEN(ReferenceData!$N$259),"",ReferenceData!$N$259),"")</f>
        <v/>
      </c>
      <c r="O259" t="str">
        <f ca="1">IFERROR(IF(0=LEN(ReferenceData!$O$259),"",ReferenceData!$O$259),"")</f>
        <v/>
      </c>
      <c r="P259" t="str">
        <f ca="1">IFERROR(IF(0=LEN(ReferenceData!$P$259),"",ReferenceData!$P$259),"")</f>
        <v/>
      </c>
      <c r="Q259" t="str">
        <f ca="1">IFERROR(IF(0=LEN(ReferenceData!$Q$259),"",ReferenceData!$Q$259),"")</f>
        <v/>
      </c>
      <c r="R259" t="str">
        <f ca="1">IFERROR(IF(0=LEN(ReferenceData!$R$259),"",ReferenceData!$R$259),"")</f>
        <v/>
      </c>
      <c r="S259" t="str">
        <f ca="1">IFERROR(IF(0=LEN(ReferenceData!$S$259),"",ReferenceData!$S$259),"")</f>
        <v/>
      </c>
      <c r="T259" t="str">
        <f ca="1">IFERROR(IF(0=LEN(ReferenceData!$T$259),"",ReferenceData!$T$259),"")</f>
        <v/>
      </c>
      <c r="U259" t="str">
        <f ca="1">IFERROR(IF(0=LEN(ReferenceData!$U$259),"",ReferenceData!$U$259),"")</f>
        <v/>
      </c>
      <c r="V259" t="str">
        <f ca="1">IFERROR(IF(0=LEN(ReferenceData!$V$259),"",ReferenceData!$V$259),"")</f>
        <v/>
      </c>
      <c r="W259" t="str">
        <f ca="1">IFERROR(IF(0=LEN(ReferenceData!$W$259),"",ReferenceData!$W$259),"")</f>
        <v/>
      </c>
      <c r="X259" t="str">
        <f ca="1">IFERROR(IF(0=LEN(ReferenceData!$X$259),"",ReferenceData!$X$259),"")</f>
        <v/>
      </c>
      <c r="Y259" t="str">
        <f ca="1">IFERROR(IF(0=LEN(ReferenceData!$Y$259),"",ReferenceData!$Y$259),"")</f>
        <v/>
      </c>
      <c r="Z259" t="str">
        <f ca="1">IFERROR(IF(0=LEN(ReferenceData!$Z$259),"",ReferenceData!$Z$259),"")</f>
        <v/>
      </c>
      <c r="AA259" t="str">
        <f ca="1">IFERROR(IF(0=LEN(ReferenceData!$AA$259),"",ReferenceData!$AA$259),"")</f>
        <v/>
      </c>
      <c r="AB259" t="str">
        <f ca="1">IFERROR(IF(0=LEN(ReferenceData!$AB$259),"",ReferenceData!$AB$259),"")</f>
        <v/>
      </c>
      <c r="AC259" t="str">
        <f ca="1">IFERROR(IF(0=LEN(ReferenceData!$AC$259),"",ReferenceData!$AC$259),"")</f>
        <v/>
      </c>
      <c r="AD259" t="str">
        <f ca="1">IFERROR(IF(0=LEN(ReferenceData!$AD$259),"",ReferenceData!$AD$259),"")</f>
        <v/>
      </c>
      <c r="AE259" t="str">
        <f ca="1">IFERROR(IF(0=LEN(ReferenceData!$AE$259),"",ReferenceData!$AE$259),"")</f>
        <v/>
      </c>
      <c r="AF259" t="str">
        <f ca="1">IFERROR(IF(0=LEN(ReferenceData!$AF$259),"",ReferenceData!$AF$259),"")</f>
        <v/>
      </c>
      <c r="AG259" t="str">
        <f ca="1">IFERROR(IF(0=LEN(ReferenceData!$AG$259),"",ReferenceData!$AG$259),"")</f>
        <v/>
      </c>
      <c r="AH259" t="str">
        <f ca="1">IFERROR(IF(0=LEN(ReferenceData!$AH$259),"",ReferenceData!$AH$259),"")</f>
        <v/>
      </c>
      <c r="AI259" t="str">
        <f ca="1">IFERROR(IF(0=LEN(ReferenceData!$AI$259),"",ReferenceData!$AI$259),"")</f>
        <v/>
      </c>
      <c r="AJ259" t="str">
        <f ca="1">IFERROR(IF(0=LEN(ReferenceData!$AJ$259),"",ReferenceData!$AJ$259),"")</f>
        <v/>
      </c>
      <c r="AK259" t="str">
        <f ca="1">IFERROR(IF(0=LEN(ReferenceData!$AK$259),"",ReferenceData!$AK$259),"")</f>
        <v/>
      </c>
      <c r="AL259" t="str">
        <f ca="1">IFERROR(IF(0=LEN(ReferenceData!$AL$259),"",ReferenceData!$AL$259),"")</f>
        <v/>
      </c>
      <c r="AM259" t="str">
        <f ca="1">IFERROR(IF(0=LEN(ReferenceData!$AM$259),"",ReferenceData!$AM$259),"")</f>
        <v/>
      </c>
      <c r="AN259" t="str">
        <f ca="1">IFERROR(IF(0=LEN(ReferenceData!$AN$259),"",ReferenceData!$AN$259),"")</f>
        <v/>
      </c>
      <c r="AO259" t="str">
        <f ca="1">IFERROR(IF(0=LEN(ReferenceData!$AO$259),"",ReferenceData!$AO$259),"")</f>
        <v/>
      </c>
      <c r="AP259" t="str">
        <f ca="1">IFERROR(IF(0=LEN(ReferenceData!$AP$259),"",ReferenceData!$AP$259),"")</f>
        <v/>
      </c>
      <c r="AQ259" t="str">
        <f ca="1">IFERROR(IF(0=LEN(ReferenceData!$AQ$259),"",ReferenceData!$AQ$259),"")</f>
        <v/>
      </c>
      <c r="AR259" t="str">
        <f ca="1">IFERROR(IF(0=LEN(ReferenceData!$AR$259),"",ReferenceData!$AR$259),"")</f>
        <v/>
      </c>
      <c r="AS259" t="str">
        <f ca="1">IFERROR(IF(0=LEN(ReferenceData!$AS$259),"",ReferenceData!$AS$259),"")</f>
        <v/>
      </c>
      <c r="AT259" t="str">
        <f ca="1">IFERROR(IF(0=LEN(ReferenceData!$AT$259),"",ReferenceData!$AT$259),"")</f>
        <v/>
      </c>
      <c r="AU259" t="str">
        <f ca="1">IFERROR(IF(0=LEN(ReferenceData!$AU$259),"",ReferenceData!$AU$259),"")</f>
        <v/>
      </c>
      <c r="AV259" t="str">
        <f ca="1">IFERROR(IF(0=LEN(ReferenceData!$AV$259),"",ReferenceData!$AV$259),"")</f>
        <v/>
      </c>
      <c r="AW259" t="str">
        <f ca="1">IFERROR(IF(0=LEN(ReferenceData!$AW$259),"",ReferenceData!$AW$259),"")</f>
        <v/>
      </c>
      <c r="AX259" t="str">
        <f ca="1">IFERROR(IF(0=LEN(ReferenceData!$AX$259),"",ReferenceData!$AX$259),"")</f>
        <v/>
      </c>
      <c r="AY259" t="str">
        <f ca="1">IFERROR(IF(0=LEN(ReferenceData!$AY$259),"",ReferenceData!$AY$259),"")</f>
        <v/>
      </c>
      <c r="AZ259" t="str">
        <f ca="1">IFERROR(IF(0=LEN(ReferenceData!$AZ$259),"",ReferenceData!$AZ$259),"")</f>
        <v/>
      </c>
      <c r="BA259" t="str">
        <f ca="1">IFERROR(IF(0=LEN(ReferenceData!$BA$259),"",ReferenceData!$BA$259),"")</f>
        <v/>
      </c>
      <c r="BB259" t="str">
        <f ca="1">IFERROR(IF(0=LEN(ReferenceData!$BB$259),"",ReferenceData!$BB$259),"")</f>
        <v/>
      </c>
      <c r="BC259" t="str">
        <f ca="1">IFERROR(IF(0=LEN(ReferenceData!$BC$259),"",ReferenceData!$BC$259),"")</f>
        <v/>
      </c>
      <c r="BD259" t="str">
        <f ca="1">IFERROR(IF(0=LEN(ReferenceData!$BD$259),"",ReferenceData!$BD$259),"")</f>
        <v/>
      </c>
      <c r="BE259" t="str">
        <f ca="1">IFERROR(IF(0=LEN(ReferenceData!$BE$259),"",ReferenceData!$BE$259),"")</f>
        <v/>
      </c>
      <c r="BF259" t="str">
        <f ca="1">IFERROR(IF(0=LEN(ReferenceData!$BF$259),"",ReferenceData!$BF$259),"")</f>
        <v/>
      </c>
      <c r="BG259" t="str">
        <f ca="1">IFERROR(IF(0=LEN(ReferenceData!$BG$259),"",ReferenceData!$BG$259),"")</f>
        <v/>
      </c>
      <c r="BH259" t="str">
        <f ca="1">IFERROR(IF(0=LEN(ReferenceData!$BH$259),"",ReferenceData!$BH$259),"")</f>
        <v/>
      </c>
      <c r="BI259" t="str">
        <f ca="1">IFERROR(IF(0=LEN(ReferenceData!$BI$259),"",ReferenceData!$BI$259),"")</f>
        <v/>
      </c>
      <c r="BJ259" t="str">
        <f ca="1">IFERROR(IF(0=LEN(ReferenceData!$BJ$259),"",ReferenceData!$BJ$259),"")</f>
        <v/>
      </c>
      <c r="BK259" t="str">
        <f ca="1">IFERROR(IF(0=LEN(ReferenceData!$BK$259),"",ReferenceData!$BK$259),"")</f>
        <v/>
      </c>
      <c r="BL259" t="str">
        <f ca="1">IFERROR(IF(0=LEN(ReferenceData!$BL$259),"",ReferenceData!$BL$259),"")</f>
        <v/>
      </c>
      <c r="BM259" t="str">
        <f ca="1">IFERROR(IF(0=LEN(ReferenceData!$BM$259),"",ReferenceData!$BM$259),"")</f>
        <v/>
      </c>
    </row>
    <row r="260" spans="1:65" x14ac:dyDescent="0.25">
      <c r="A260" t="str">
        <f>IFERROR(IF(0=LEN(ReferenceData!$A$260),"",ReferenceData!$A$260),"")</f>
        <v xml:space="preserve">    DRB-Hicom Bhd</v>
      </c>
      <c r="B260" t="str">
        <f>IFERROR(IF(0=LEN(ReferenceData!$B$260),"",ReferenceData!$B$260),"")</f>
        <v>DRB MK Equity</v>
      </c>
      <c r="C260" t="str">
        <f>IFERROR(IF(0=LEN(ReferenceData!$C$260),"",ReferenceData!$C$260),"")</f>
        <v>RR904</v>
      </c>
      <c r="D260" t="str">
        <f>IFERROR(IF(0=LEN(ReferenceData!$D$260),"",ReferenceData!$D$260),"")</f>
        <v>PX_TO_SALES_RATIO</v>
      </c>
      <c r="E260" t="str">
        <f>IFERROR(IF(0=LEN(ReferenceData!$E$260),"",ReferenceData!$E$260),"")</f>
        <v>Dynamic</v>
      </c>
      <c r="F260" t="str">
        <f ca="1">IFERROR(IF(0=LEN(ReferenceData!$F$260),"",ReferenceData!$F$260),"")</f>
        <v/>
      </c>
      <c r="G260">
        <f ca="1">IFERROR(IF(0=LEN(ReferenceData!$G$260),"",ReferenceData!$G$260),"")</f>
        <v>0.27182490399999998</v>
      </c>
      <c r="H260">
        <f ca="1">IFERROR(IF(0=LEN(ReferenceData!$H$260),"",ReferenceData!$H$260),"")</f>
        <v>0.35110716800000003</v>
      </c>
      <c r="I260">
        <f ca="1">IFERROR(IF(0=LEN(ReferenceData!$I$260),"",ReferenceData!$I$260),"")</f>
        <v>0.31563576300000001</v>
      </c>
      <c r="J260">
        <f ca="1">IFERROR(IF(0=LEN(ReferenceData!$J$260),"",ReferenceData!$J$260),"")</f>
        <v>0.37799036699999999</v>
      </c>
      <c r="K260">
        <f ca="1">IFERROR(IF(0=LEN(ReferenceData!$K$260),"",ReferenceData!$K$260),"")</f>
        <v>0.27427118299999997</v>
      </c>
      <c r="L260">
        <f ca="1">IFERROR(IF(0=LEN(ReferenceData!$L$260),"",ReferenceData!$L$260),"")</f>
        <v>0.23722485099999999</v>
      </c>
      <c r="M260">
        <f ca="1">IFERROR(IF(0=LEN(ReferenceData!$M$260),"",ReferenceData!$M$260),"")</f>
        <v>0.27123997300000002</v>
      </c>
      <c r="N260">
        <f ca="1">IFERROR(IF(0=LEN(ReferenceData!$N$260),"",ReferenceData!$N$260),"")</f>
        <v>0.22445321200000001</v>
      </c>
      <c r="O260">
        <f ca="1">IFERROR(IF(0=LEN(ReferenceData!$O$260),"",ReferenceData!$O$260),"")</f>
        <v>0.198333536</v>
      </c>
      <c r="P260">
        <f ca="1">IFERROR(IF(0=LEN(ReferenceData!$P$260),"",ReferenceData!$P$260),"")</f>
        <v>0.252231496</v>
      </c>
      <c r="Q260">
        <f ca="1">IFERROR(IF(0=LEN(ReferenceData!$Q$260),"",ReferenceData!$Q$260),"")</f>
        <v>0.14841507800000001</v>
      </c>
      <c r="R260">
        <f ca="1">IFERROR(IF(0=LEN(ReferenceData!$R$260),"",ReferenceData!$R$260),"")</f>
        <v>0.161990577</v>
      </c>
      <c r="S260">
        <f ca="1">IFERROR(IF(0=LEN(ReferenceData!$S$260),"",ReferenceData!$S$260),"")</f>
        <v>0.18801664200000001</v>
      </c>
      <c r="T260">
        <f ca="1">IFERROR(IF(0=LEN(ReferenceData!$T$260),"",ReferenceData!$T$260),"")</f>
        <v>0.19866267700000001</v>
      </c>
      <c r="U260">
        <f ca="1">IFERROR(IF(0=LEN(ReferenceData!$U$260),"",ReferenceData!$U$260),"")</f>
        <v>0.238037005</v>
      </c>
      <c r="V260">
        <f ca="1">IFERROR(IF(0=LEN(ReferenceData!$V$260),"",ReferenceData!$V$260),"")</f>
        <v>0.27823799599999999</v>
      </c>
      <c r="W260">
        <f ca="1">IFERROR(IF(0=LEN(ReferenceData!$W$260),"",ReferenceData!$W$260),"")</f>
        <v>0.23100308899999999</v>
      </c>
      <c r="X260">
        <f ca="1">IFERROR(IF(0=LEN(ReferenceData!$X$260),"",ReferenceData!$X$260),"")</f>
        <v>0.30511493499999998</v>
      </c>
      <c r="Y260">
        <f ca="1">IFERROR(IF(0=LEN(ReferenceData!$Y$260),"",ReferenceData!$Y$260),"")</f>
        <v>0.28730229600000001</v>
      </c>
      <c r="Z260">
        <f ca="1">IFERROR(IF(0=LEN(ReferenceData!$Z$260),"",ReferenceData!$Z$260),"")</f>
        <v>0.33625675300000002</v>
      </c>
      <c r="AA260">
        <f ca="1">IFERROR(IF(0=LEN(ReferenceData!$AA$260),"",ReferenceData!$AA$260),"")</f>
        <v>0.407020569</v>
      </c>
      <c r="AB260">
        <f ca="1">IFERROR(IF(0=LEN(ReferenceData!$AB$260),"",ReferenceData!$AB$260),"")</f>
        <v>0.40049454400000001</v>
      </c>
      <c r="AC260">
        <f ca="1">IFERROR(IF(0=LEN(ReferenceData!$AC$260),"",ReferenceData!$AC$260),"")</f>
        <v>0.40863686399999999</v>
      </c>
      <c r="AD260">
        <f ca="1">IFERROR(IF(0=LEN(ReferenceData!$AD$260),"",ReferenceData!$AD$260),"")</f>
        <v>0.37237847499999999</v>
      </c>
      <c r="AE260">
        <f ca="1">IFERROR(IF(0=LEN(ReferenceData!$AE$260),"",ReferenceData!$AE$260),"")</f>
        <v>0.44358618799999999</v>
      </c>
      <c r="AF260">
        <f ca="1">IFERROR(IF(0=LEN(ReferenceData!$AF$260),"",ReferenceData!$AF$260),"")</f>
        <v>0.41641345600000002</v>
      </c>
      <c r="AG260">
        <f ca="1">IFERROR(IF(0=LEN(ReferenceData!$AG$260),"",ReferenceData!$AG$260),"")</f>
        <v>0.55621813600000003</v>
      </c>
      <c r="AH260">
        <f ca="1">IFERROR(IF(0=LEN(ReferenceData!$AH$260),"",ReferenceData!$AH$260),"")</f>
        <v>0.70828904299999995</v>
      </c>
      <c r="AI260">
        <f ca="1">IFERROR(IF(0=LEN(ReferenceData!$AI$260),"",ReferenceData!$AI$260),"")</f>
        <v>0.58410250900000005</v>
      </c>
      <c r="AJ260">
        <f ca="1">IFERROR(IF(0=LEN(ReferenceData!$AJ$260),"",ReferenceData!$AJ$260),"")</f>
        <v>0.50490966299999995</v>
      </c>
      <c r="AK260">
        <f ca="1">IFERROR(IF(0=LEN(ReferenceData!$AK$260),"",ReferenceData!$AK$260),"")</f>
        <v>0.64224116200000003</v>
      </c>
      <c r="AL260">
        <f ca="1">IFERROR(IF(0=LEN(ReferenceData!$AL$260),"",ReferenceData!$AL$260),"")</f>
        <v>0.65349842400000002</v>
      </c>
      <c r="AM260">
        <f ca="1">IFERROR(IF(0=LEN(ReferenceData!$AM$260),"",ReferenceData!$AM$260),"")</f>
        <v>0.58635539199999998</v>
      </c>
      <c r="AN260">
        <f ca="1">IFERROR(IF(0=LEN(ReferenceData!$AN$260),"",ReferenceData!$AN$260),"")</f>
        <v>0.379696643</v>
      </c>
      <c r="AO260">
        <f ca="1">IFERROR(IF(0=LEN(ReferenceData!$AO$260),"",ReferenceData!$AO$260),"")</f>
        <v>0.32176950900000001</v>
      </c>
      <c r="AP260">
        <f ca="1">IFERROR(IF(0=LEN(ReferenceData!$AP$260),"",ReferenceData!$AP$260),"")</f>
        <v>0.35516428999999999</v>
      </c>
      <c r="AQ260">
        <f ca="1">IFERROR(IF(0=LEN(ReferenceData!$AQ$260),"",ReferenceData!$AQ$260),"")</f>
        <v>0.28846538500000002</v>
      </c>
      <c r="AR260">
        <f ca="1">IFERROR(IF(0=LEN(ReferenceData!$AR$260),"",ReferenceData!$AR$260),"")</f>
        <v>0.296740263</v>
      </c>
      <c r="AS260">
        <f ca="1">IFERROR(IF(0=LEN(ReferenceData!$AS$260),"",ReferenceData!$AS$260),"")</f>
        <v>0.220891542</v>
      </c>
      <c r="AT260">
        <f ca="1">IFERROR(IF(0=LEN(ReferenceData!$AT$260),"",ReferenceData!$AT$260),"")</f>
        <v>0.127750741</v>
      </c>
      <c r="AU260">
        <f ca="1">IFERROR(IF(0=LEN(ReferenceData!$AU$260),"",ReferenceData!$AU$260),"")</f>
        <v>0.12721073799999999</v>
      </c>
      <c r="AV260">
        <f ca="1">IFERROR(IF(0=LEN(ReferenceData!$AV$260),"",ReferenceData!$AV$260),"")</f>
        <v>0.16136669300000001</v>
      </c>
      <c r="AW260">
        <f ca="1">IFERROR(IF(0=LEN(ReferenceData!$AW$260),"",ReferenceData!$AW$260),"")</f>
        <v>0.20310724399999999</v>
      </c>
      <c r="AX260">
        <f ca="1">IFERROR(IF(0=LEN(ReferenceData!$AX$260),"",ReferenceData!$AX$260),"")</f>
        <v>0.31892821900000001</v>
      </c>
      <c r="AY260">
        <f ca="1">IFERROR(IF(0=LEN(ReferenceData!$AY$260),"",ReferenceData!$AY$260),"")</f>
        <v>0.481412375</v>
      </c>
      <c r="AZ260">
        <f ca="1">IFERROR(IF(0=LEN(ReferenceData!$AZ$260),"",ReferenceData!$AZ$260),"")</f>
        <v>0.65299099400000005</v>
      </c>
      <c r="BA260">
        <f ca="1">IFERROR(IF(0=LEN(ReferenceData!$BA$260),"",ReferenceData!$BA$260),"")</f>
        <v>0.62968694199999997</v>
      </c>
      <c r="BB260">
        <f ca="1">IFERROR(IF(0=LEN(ReferenceData!$BB$260),"",ReferenceData!$BB$260),"")</f>
        <v>0.67317067100000005</v>
      </c>
      <c r="BC260">
        <f ca="1">IFERROR(IF(0=LEN(ReferenceData!$BC$260),"",ReferenceData!$BC$260),"")</f>
        <v>0.57212699300000003</v>
      </c>
      <c r="BD260">
        <f ca="1">IFERROR(IF(0=LEN(ReferenceData!$BD$260),"",ReferenceData!$BD$260),"")</f>
        <v>0.45172307099999998</v>
      </c>
      <c r="BE260">
        <f ca="1">IFERROR(IF(0=LEN(ReferenceData!$BE$260),"",ReferenceData!$BE$260),"")</f>
        <v>0.42943140499999999</v>
      </c>
      <c r="BF260">
        <f ca="1">IFERROR(IF(0=LEN(ReferenceData!$BF$260),"",ReferenceData!$BF$260),"")</f>
        <v>0.40327289799999999</v>
      </c>
      <c r="BG260">
        <f ca="1">IFERROR(IF(0=LEN(ReferenceData!$BG$260),"",ReferenceData!$BG$260),"")</f>
        <v>0.30311581399999998</v>
      </c>
      <c r="BH260">
        <f ca="1">IFERROR(IF(0=LEN(ReferenceData!$BH$260),"",ReferenceData!$BH$260),"")</f>
        <v>0.37451186199999997</v>
      </c>
      <c r="BI260">
        <f ca="1">IFERROR(IF(0=LEN(ReferenceData!$BI$260),"",ReferenceData!$BI$260),"")</f>
        <v>0.33637726800000001</v>
      </c>
      <c r="BJ260">
        <f ca="1">IFERROR(IF(0=LEN(ReferenceData!$BJ$260),"",ReferenceData!$BJ$260),"")</f>
        <v>0.40516092599999998</v>
      </c>
      <c r="BK260">
        <f ca="1">IFERROR(IF(0=LEN(ReferenceData!$BK$260),"",ReferenceData!$BK$260),"")</f>
        <v>0.45654293200000001</v>
      </c>
      <c r="BL260">
        <f ca="1">IFERROR(IF(0=LEN(ReferenceData!$BL$260),"",ReferenceData!$BL$260),"")</f>
        <v>0.45102943699999998</v>
      </c>
      <c r="BM260">
        <f ca="1">IFERROR(IF(0=LEN(ReferenceData!$BM$260),"",ReferenceData!$BM$260),"")</f>
        <v>0.331632292</v>
      </c>
    </row>
    <row r="261" spans="1:65" x14ac:dyDescent="0.25">
      <c r="A261" t="str">
        <f>IFERROR(IF(0=LEN(ReferenceData!$A$261),"",ReferenceData!$A$261),"")</f>
        <v xml:space="preserve">    FAW CAR Co Ltd</v>
      </c>
      <c r="B261" t="str">
        <f>IFERROR(IF(0=LEN(ReferenceData!$B$261),"",ReferenceData!$B$261),"")</f>
        <v>000800 CH Equity</v>
      </c>
      <c r="C261" t="str">
        <f>IFERROR(IF(0=LEN(ReferenceData!$C$261),"",ReferenceData!$C$261),"")</f>
        <v>RR904</v>
      </c>
      <c r="D261" t="str">
        <f>IFERROR(IF(0=LEN(ReferenceData!$D$261),"",ReferenceData!$D$261),"")</f>
        <v>PX_TO_SALES_RATIO</v>
      </c>
      <c r="E261" t="str">
        <f>IFERROR(IF(0=LEN(ReferenceData!$E$261),"",ReferenceData!$E$261),"")</f>
        <v>Dynamic</v>
      </c>
      <c r="F261">
        <f ca="1">IFERROR(IF(0=LEN(ReferenceData!$F$261),"",ReferenceData!$F$261),"")</f>
        <v>0.51190102500000001</v>
      </c>
      <c r="G261">
        <f ca="1">IFERROR(IF(0=LEN(ReferenceData!$G$261),"",ReferenceData!$G$261),"")</f>
        <v>0.42096705400000001</v>
      </c>
      <c r="H261">
        <f ca="1">IFERROR(IF(0=LEN(ReferenceData!$H$261),"",ReferenceData!$H$261),"")</f>
        <v>0.41905934900000003</v>
      </c>
      <c r="I261">
        <f ca="1">IFERROR(IF(0=LEN(ReferenceData!$I$261),"",ReferenceData!$I$261),"")</f>
        <v>0.46174129600000002</v>
      </c>
      <c r="J261">
        <f ca="1">IFERROR(IF(0=LEN(ReferenceData!$J$261),"",ReferenceData!$J$261),"")</f>
        <v>0.63054986700000004</v>
      </c>
      <c r="K261">
        <f ca="1">IFERROR(IF(0=LEN(ReferenceData!$K$261),"",ReferenceData!$K$261),"")</f>
        <v>0.66795806700000004</v>
      </c>
      <c r="L261">
        <f ca="1">IFERROR(IF(0=LEN(ReferenceData!$L$261),"",ReferenceData!$L$261),"")</f>
        <v>0.865833713</v>
      </c>
      <c r="M261">
        <f ca="1">IFERROR(IF(0=LEN(ReferenceData!$M$261),"",ReferenceData!$M$261),"")</f>
        <v>0.63777067899999995</v>
      </c>
      <c r="N261">
        <f ca="1">IFERROR(IF(0=LEN(ReferenceData!$N$261),"",ReferenceData!$N$261),"")</f>
        <v>0.79882572900000004</v>
      </c>
      <c r="O261">
        <f ca="1">IFERROR(IF(0=LEN(ReferenceData!$O$261),"",ReferenceData!$O$261),"")</f>
        <v>0.82753022499999995</v>
      </c>
      <c r="P261">
        <f ca="1">IFERROR(IF(0=LEN(ReferenceData!$P$261),"",ReferenceData!$P$261),"")</f>
        <v>0.80219976800000004</v>
      </c>
      <c r="Q261">
        <f ca="1">IFERROR(IF(0=LEN(ReferenceData!$Q$261),"",ReferenceData!$Q$261),"")</f>
        <v>0.87602221700000005</v>
      </c>
      <c r="R261">
        <f ca="1">IFERROR(IF(0=LEN(ReferenceData!$R$261),"",ReferenceData!$R$261),"")</f>
        <v>1.020734429</v>
      </c>
      <c r="S261">
        <f ca="1">IFERROR(IF(0=LEN(ReferenceData!$S$261),"",ReferenceData!$S$261),"")</f>
        <v>1.0549436130000001</v>
      </c>
      <c r="T261">
        <f ca="1">IFERROR(IF(0=LEN(ReferenceData!$T$261),"",ReferenceData!$T$261),"")</f>
        <v>0.86840477599999999</v>
      </c>
      <c r="U261">
        <f ca="1">IFERROR(IF(0=LEN(ReferenceData!$U$261),"",ReferenceData!$U$261),"")</f>
        <v>1.342541572</v>
      </c>
      <c r="V261">
        <f ca="1">IFERROR(IF(0=LEN(ReferenceData!$V$261),"",ReferenceData!$V$261),"")</f>
        <v>1.0149172609999999</v>
      </c>
      <c r="W261">
        <f ca="1">IFERROR(IF(0=LEN(ReferenceData!$W$261),"",ReferenceData!$W$261),"")</f>
        <v>0.76550234800000005</v>
      </c>
      <c r="X261">
        <f ca="1">IFERROR(IF(0=LEN(ReferenceData!$X$261),"",ReferenceData!$X$261),"")</f>
        <v>0.57641626099999999</v>
      </c>
      <c r="Y261">
        <f ca="1">IFERROR(IF(0=LEN(ReferenceData!$Y$261),"",ReferenceData!$Y$261),"")</f>
        <v>0.51190133400000004</v>
      </c>
      <c r="Z261">
        <f ca="1">IFERROR(IF(0=LEN(ReferenceData!$Z$261),"",ReferenceData!$Z$261),"")</f>
        <v>0.55391268800000004</v>
      </c>
      <c r="AA261">
        <f ca="1">IFERROR(IF(0=LEN(ReferenceData!$AA$261),"",ReferenceData!$AA$261),"")</f>
        <v>0.68574431899999999</v>
      </c>
      <c r="AB261">
        <f ca="1">IFERROR(IF(0=LEN(ReferenceData!$AB$261),"",ReferenceData!$AB$261),"")</f>
        <v>0.86321735499999996</v>
      </c>
      <c r="AC261">
        <f ca="1">IFERROR(IF(0=LEN(ReferenceData!$AC$261),"",ReferenceData!$AC$261),"")</f>
        <v>0.85916612299999995</v>
      </c>
      <c r="AD261">
        <f ca="1">IFERROR(IF(0=LEN(ReferenceData!$AD$261),"",ReferenceData!$AD$261),"")</f>
        <v>0.56776849500000004</v>
      </c>
      <c r="AE261">
        <f ca="1">IFERROR(IF(0=LEN(ReferenceData!$AE$261),"",ReferenceData!$AE$261),"")</f>
        <v>0.60598268300000002</v>
      </c>
      <c r="AF261">
        <f ca="1">IFERROR(IF(0=LEN(ReferenceData!$AF$261),"",ReferenceData!$AF$261),"")</f>
        <v>0.464558521</v>
      </c>
      <c r="AG261">
        <f ca="1">IFERROR(IF(0=LEN(ReferenceData!$AG$261),"",ReferenceData!$AG$261),"")</f>
        <v>0.712864787</v>
      </c>
      <c r="AH261">
        <f ca="1">IFERROR(IF(0=LEN(ReferenceData!$AH$261),"",ReferenceData!$AH$261),"")</f>
        <v>0.61182323500000002</v>
      </c>
      <c r="AI261">
        <f ca="1">IFERROR(IF(0=LEN(ReferenceData!$AI$261),"",ReferenceData!$AI$261),"")</f>
        <v>0.46326165400000002</v>
      </c>
      <c r="AJ261">
        <f ca="1">IFERROR(IF(0=LEN(ReferenceData!$AJ$261),"",ReferenceData!$AJ$261),"")</f>
        <v>0.53963596400000002</v>
      </c>
      <c r="AK261">
        <f ca="1">IFERROR(IF(0=LEN(ReferenceData!$AK$261),"",ReferenceData!$AK$261),"")</f>
        <v>0.62921090000000002</v>
      </c>
      <c r="AL261">
        <f ca="1">IFERROR(IF(0=LEN(ReferenceData!$AL$261),"",ReferenceData!$AL$261),"")</f>
        <v>0.74400544800000001</v>
      </c>
      <c r="AM261">
        <f ca="1">IFERROR(IF(0=LEN(ReferenceData!$AM$261),"",ReferenceData!$AM$261),"")</f>
        <v>0.73553082299999994</v>
      </c>
      <c r="AN261">
        <f ca="1">IFERROR(IF(0=LEN(ReferenceData!$AN$261),"",ReferenceData!$AN$261),"")</f>
        <v>0.89664973299999995</v>
      </c>
      <c r="AO261">
        <f ca="1">IFERROR(IF(0=LEN(ReferenceData!$AO$261),"",ReferenceData!$AO$261),"")</f>
        <v>0.76498325300000003</v>
      </c>
      <c r="AP261">
        <f ca="1">IFERROR(IF(0=LEN(ReferenceData!$AP$261),"",ReferenceData!$AP$261),"")</f>
        <v>1.2147729140000001</v>
      </c>
      <c r="AQ261">
        <f ca="1">IFERROR(IF(0=LEN(ReferenceData!$AQ$261),"",ReferenceData!$AQ$261),"")</f>
        <v>1.605902897</v>
      </c>
      <c r="AR261">
        <f ca="1">IFERROR(IF(0=LEN(ReferenceData!$AR$261),"",ReferenceData!$AR$261),"")</f>
        <v>1.235359645</v>
      </c>
      <c r="AS261">
        <f ca="1">IFERROR(IF(0=LEN(ReferenceData!$AS$261),"",ReferenceData!$AS$261),"")</f>
        <v>1.2301965189999999</v>
      </c>
      <c r="AT261">
        <f ca="1">IFERROR(IF(0=LEN(ReferenceData!$AT$261),"",ReferenceData!$AT$261),"")</f>
        <v>1.0288959010000001</v>
      </c>
      <c r="AU261">
        <f ca="1">IFERROR(IF(0=LEN(ReferenceData!$AU$261),"",ReferenceData!$AU$261),"")</f>
        <v>0.60674742299999995</v>
      </c>
      <c r="AV261">
        <f ca="1">IFERROR(IF(0=LEN(ReferenceData!$AV$261),"",ReferenceData!$AV$261),"")</f>
        <v>0.590712338</v>
      </c>
      <c r="AW261">
        <f ca="1">IFERROR(IF(0=LEN(ReferenceData!$AW$261),"",ReferenceData!$AW$261),"")</f>
        <v>0.75383704100000004</v>
      </c>
      <c r="AX261">
        <f ca="1">IFERROR(IF(0=LEN(ReferenceData!$AX$261),"",ReferenceData!$AX$261),"")</f>
        <v>1.460970976</v>
      </c>
      <c r="AY261">
        <f ca="1">IFERROR(IF(0=LEN(ReferenceData!$AY$261),"",ReferenceData!$AY$261),"")</f>
        <v>2.4261855840000002</v>
      </c>
      <c r="AZ261">
        <f ca="1">IFERROR(IF(0=LEN(ReferenceData!$AZ$261),"",ReferenceData!$AZ$261),"")</f>
        <v>2.8929002399999999</v>
      </c>
      <c r="BA261">
        <f ca="1">IFERROR(IF(0=LEN(ReferenceData!$BA$261),"",ReferenceData!$BA$261),"")</f>
        <v>1.8369466619999999</v>
      </c>
      <c r="BB261">
        <f ca="1">IFERROR(IF(0=LEN(ReferenceData!$BB$261),"",ReferenceData!$BB$261),"")</f>
        <v>1.546551652</v>
      </c>
      <c r="BC261">
        <f ca="1">IFERROR(IF(0=LEN(ReferenceData!$BC$261),"",ReferenceData!$BC$261),"")</f>
        <v>0.68944725200000001</v>
      </c>
      <c r="BD261">
        <f ca="1">IFERROR(IF(0=LEN(ReferenceData!$BD$261),"",ReferenceData!$BD$261),"")</f>
        <v>0.52373514799999998</v>
      </c>
      <c r="BE261">
        <f ca="1">IFERROR(IF(0=LEN(ReferenceData!$BE$261),"",ReferenceData!$BE$261),"")</f>
        <v>0.54180798600000002</v>
      </c>
      <c r="BF261">
        <f ca="1">IFERROR(IF(0=LEN(ReferenceData!$BF$261),"",ReferenceData!$BF$261),"")</f>
        <v>0.57357931699999998</v>
      </c>
      <c r="BG261">
        <f ca="1">IFERROR(IF(0=LEN(ReferenceData!$BG$261),"",ReferenceData!$BG$261),"")</f>
        <v>0.52479984499999999</v>
      </c>
      <c r="BH261">
        <f ca="1">IFERROR(IF(0=LEN(ReferenceData!$BH$261),"",ReferenceData!$BH$261),"")</f>
        <v>0.54365914599999998</v>
      </c>
      <c r="BI261">
        <f ca="1">IFERROR(IF(0=LEN(ReferenceData!$BI$261),"",ReferenceData!$BI$261),"")</f>
        <v>0.52195027699999996</v>
      </c>
      <c r="BJ261">
        <f ca="1">IFERROR(IF(0=LEN(ReferenceData!$BJ$261),"",ReferenceData!$BJ$261),"")</f>
        <v>0.69361510599999998</v>
      </c>
      <c r="BK261">
        <f ca="1">IFERROR(IF(0=LEN(ReferenceData!$BK$261),"",ReferenceData!$BK$261),"")</f>
        <v>0.65338590100000005</v>
      </c>
      <c r="BL261">
        <f ca="1">IFERROR(IF(0=LEN(ReferenceData!$BL$261),"",ReferenceData!$BL$261),"")</f>
        <v>0.94159571200000003</v>
      </c>
      <c r="BM261">
        <f ca="1">IFERROR(IF(0=LEN(ReferenceData!$BM$261),"",ReferenceData!$BM$261),"")</f>
        <v>0.89872253599999996</v>
      </c>
    </row>
    <row r="262" spans="1:65" x14ac:dyDescent="0.25">
      <c r="A262" t="str">
        <f>IFERROR(IF(0=LEN(ReferenceData!$A$262),"",ReferenceData!$A$262),"")</f>
        <v xml:space="preserve">    Fiat Chrysler Automobiles NV</v>
      </c>
      <c r="B262" t="str">
        <f>IFERROR(IF(0=LEN(ReferenceData!$B$262),"",ReferenceData!$B$262),"")</f>
        <v>FCAU US Equity</v>
      </c>
      <c r="C262" t="str">
        <f>IFERROR(IF(0=LEN(ReferenceData!$C$262),"",ReferenceData!$C$262),"")</f>
        <v>RR904</v>
      </c>
      <c r="D262" t="str">
        <f>IFERROR(IF(0=LEN(ReferenceData!$D$262),"",ReferenceData!$D$262),"")</f>
        <v>PX_TO_SALES_RATIO</v>
      </c>
      <c r="E262" t="str">
        <f>IFERROR(IF(0=LEN(ReferenceData!$E$262),"",ReferenceData!$E$262),"")</f>
        <v>Dynamic</v>
      </c>
      <c r="F262">
        <f ca="1">IFERROR(IF(0=LEN(ReferenceData!$F$262),"",ReferenceData!$F$262),"")</f>
        <v>0.184883777</v>
      </c>
      <c r="G262">
        <f ca="1">IFERROR(IF(0=LEN(ReferenceData!$G$262),"",ReferenceData!$G$262),"")</f>
        <v>0.177081614</v>
      </c>
      <c r="H262">
        <f ca="1">IFERROR(IF(0=LEN(ReferenceData!$H$262),"",ReferenceData!$H$262),"")</f>
        <v>0.217241553</v>
      </c>
      <c r="I262">
        <f ca="1">IFERROR(IF(0=LEN(ReferenceData!$I$262),"",ReferenceData!$I$262),"")</f>
        <v>0.23792630400000001</v>
      </c>
      <c r="J262">
        <f ca="1">IFERROR(IF(0=LEN(ReferenceData!$J$262),"",ReferenceData!$J$262),"")</f>
        <v>0.247498407</v>
      </c>
      <c r="K262">
        <f ca="1">IFERROR(IF(0=LEN(ReferenceData!$K$262),"",ReferenceData!$K$262),"")</f>
        <v>0.21807617500000001</v>
      </c>
      <c r="L262">
        <f ca="1">IFERROR(IF(0=LEN(ReferenceData!$L$262),"",ReferenceData!$L$262),"")</f>
        <v>0.209941819</v>
      </c>
      <c r="M262">
        <f ca="1">IFERROR(IF(0=LEN(ReferenceData!$M$262),"",ReferenceData!$M$262),"")</f>
        <v>0.126497212</v>
      </c>
      <c r="N262">
        <f ca="1">IFERROR(IF(0=LEN(ReferenceData!$N$262),"",ReferenceData!$N$262),"")</f>
        <v>0.138246221</v>
      </c>
      <c r="O262">
        <f ca="1">IFERROR(IF(0=LEN(ReferenceData!$O$262),"",ReferenceData!$O$262),"")</f>
        <v>0.117851447</v>
      </c>
      <c r="P262">
        <f ca="1">IFERROR(IF(0=LEN(ReferenceData!$P$262),"",ReferenceData!$P$262),"")</f>
        <v>7.7842733999999997E-2</v>
      </c>
      <c r="Q262">
        <f ca="1">IFERROR(IF(0=LEN(ReferenceData!$Q$262),"",ReferenceData!$Q$262),"")</f>
        <v>7.5487570000000004E-2</v>
      </c>
      <c r="R262">
        <f ca="1">IFERROR(IF(0=LEN(ReferenceData!$R$262),"",ReferenceData!$R$262),"")</f>
        <v>9.5627994999999993E-2</v>
      </c>
      <c r="S262">
        <f ca="1">IFERROR(IF(0=LEN(ReferenceData!$S$262),"",ReferenceData!$S$262),"")</f>
        <v>0.114897875</v>
      </c>
      <c r="T262">
        <f ca="1">IFERROR(IF(0=LEN(ReferenceData!$T$262),"",ReferenceData!$T$262),"")</f>
        <v>0.104821542</v>
      </c>
      <c r="U262">
        <f ca="1">IFERROR(IF(0=LEN(ReferenceData!$U$262),"",ReferenceData!$U$262),"")</f>
        <v>0.113127589</v>
      </c>
      <c r="V262">
        <f ca="1">IFERROR(IF(0=LEN(ReferenceData!$V$262),"",ReferenceData!$V$262),"")</f>
        <v>0.13150514499999999</v>
      </c>
      <c r="W262">
        <f ca="1">IFERROR(IF(0=LEN(ReferenceData!$W$262),"",ReferenceData!$W$262),"")</f>
        <v>8.1636516000000006E-2</v>
      </c>
      <c r="X262" t="str">
        <f ca="1">IFERROR(IF(0=LEN(ReferenceData!$X$262),"",ReferenceData!$X$262),"")</f>
        <v/>
      </c>
      <c r="Y262" t="str">
        <f ca="1">IFERROR(IF(0=LEN(ReferenceData!$Y$262),"",ReferenceData!$Y$262),"")</f>
        <v/>
      </c>
      <c r="Z262" t="str">
        <f ca="1">IFERROR(IF(0=LEN(ReferenceData!$Z$262),"",ReferenceData!$Z$262),"")</f>
        <v/>
      </c>
      <c r="AA262" t="str">
        <f ca="1">IFERROR(IF(0=LEN(ReferenceData!$AA$262),"",ReferenceData!$AA$262),"")</f>
        <v/>
      </c>
      <c r="AB262" t="str">
        <f ca="1">IFERROR(IF(0=LEN(ReferenceData!$AB$262),"",ReferenceData!$AB$262),"")</f>
        <v/>
      </c>
      <c r="AC262" t="str">
        <f ca="1">IFERROR(IF(0=LEN(ReferenceData!$AC$262),"",ReferenceData!$AC$262),"")</f>
        <v/>
      </c>
      <c r="AD262" t="str">
        <f ca="1">IFERROR(IF(0=LEN(ReferenceData!$AD$262),"",ReferenceData!$AD$262),"")</f>
        <v/>
      </c>
      <c r="AE262" t="str">
        <f ca="1">IFERROR(IF(0=LEN(ReferenceData!$AE$262),"",ReferenceData!$AE$262),"")</f>
        <v/>
      </c>
      <c r="AF262" t="str">
        <f ca="1">IFERROR(IF(0=LEN(ReferenceData!$AF$262),"",ReferenceData!$AF$262),"")</f>
        <v/>
      </c>
      <c r="AG262" t="str">
        <f ca="1">IFERROR(IF(0=LEN(ReferenceData!$AG$262),"",ReferenceData!$AG$262),"")</f>
        <v/>
      </c>
      <c r="AH262" t="str">
        <f ca="1">IFERROR(IF(0=LEN(ReferenceData!$AH$262),"",ReferenceData!$AH$262),"")</f>
        <v/>
      </c>
      <c r="AI262" t="str">
        <f ca="1">IFERROR(IF(0=LEN(ReferenceData!$AI$262),"",ReferenceData!$AI$262),"")</f>
        <v/>
      </c>
      <c r="AJ262" t="str">
        <f ca="1">IFERROR(IF(0=LEN(ReferenceData!$AJ$262),"",ReferenceData!$AJ$262),"")</f>
        <v/>
      </c>
      <c r="AK262" t="str">
        <f ca="1">IFERROR(IF(0=LEN(ReferenceData!$AK$262),"",ReferenceData!$AK$262),"")</f>
        <v/>
      </c>
      <c r="AL262" t="str">
        <f ca="1">IFERROR(IF(0=LEN(ReferenceData!$AL$262),"",ReferenceData!$AL$262),"")</f>
        <v/>
      </c>
      <c r="AM262" t="str">
        <f ca="1">IFERROR(IF(0=LEN(ReferenceData!$AM$262),"",ReferenceData!$AM$262),"")</f>
        <v/>
      </c>
      <c r="AN262" t="str">
        <f ca="1">IFERROR(IF(0=LEN(ReferenceData!$AN$262),"",ReferenceData!$AN$262),"")</f>
        <v/>
      </c>
      <c r="AO262" t="str">
        <f ca="1">IFERROR(IF(0=LEN(ReferenceData!$AO$262),"",ReferenceData!$AO$262),"")</f>
        <v/>
      </c>
      <c r="AP262" t="str">
        <f ca="1">IFERROR(IF(0=LEN(ReferenceData!$AP$262),"",ReferenceData!$AP$262),"")</f>
        <v/>
      </c>
      <c r="AQ262" t="str">
        <f ca="1">IFERROR(IF(0=LEN(ReferenceData!$AQ$262),"",ReferenceData!$AQ$262),"")</f>
        <v/>
      </c>
      <c r="AR262" t="str">
        <f ca="1">IFERROR(IF(0=LEN(ReferenceData!$AR$262),"",ReferenceData!$AR$262),"")</f>
        <v/>
      </c>
      <c r="AS262" t="str">
        <f ca="1">IFERROR(IF(0=LEN(ReferenceData!$AS$262),"",ReferenceData!$AS$262),"")</f>
        <v/>
      </c>
      <c r="AT262" t="str">
        <f ca="1">IFERROR(IF(0=LEN(ReferenceData!$AT$262),"",ReferenceData!$AT$262),"")</f>
        <v/>
      </c>
      <c r="AU262" t="str">
        <f ca="1">IFERROR(IF(0=LEN(ReferenceData!$AU$262),"",ReferenceData!$AU$262),"")</f>
        <v/>
      </c>
      <c r="AV262" t="str">
        <f ca="1">IFERROR(IF(0=LEN(ReferenceData!$AV$262),"",ReferenceData!$AV$262),"")</f>
        <v/>
      </c>
      <c r="AW262" t="str">
        <f ca="1">IFERROR(IF(0=LEN(ReferenceData!$AW$262),"",ReferenceData!$AW$262),"")</f>
        <v/>
      </c>
      <c r="AX262" t="str">
        <f ca="1">IFERROR(IF(0=LEN(ReferenceData!$AX$262),"",ReferenceData!$AX$262),"")</f>
        <v/>
      </c>
      <c r="AY262" t="str">
        <f ca="1">IFERROR(IF(0=LEN(ReferenceData!$AY$262),"",ReferenceData!$AY$262),"")</f>
        <v/>
      </c>
      <c r="AZ262" t="str">
        <f ca="1">IFERROR(IF(0=LEN(ReferenceData!$AZ$262),"",ReferenceData!$AZ$262),"")</f>
        <v/>
      </c>
      <c r="BA262" t="str">
        <f ca="1">IFERROR(IF(0=LEN(ReferenceData!$BA$262),"",ReferenceData!$BA$262),"")</f>
        <v/>
      </c>
      <c r="BB262" t="str">
        <f ca="1">IFERROR(IF(0=LEN(ReferenceData!$BB$262),"",ReferenceData!$BB$262),"")</f>
        <v/>
      </c>
      <c r="BC262" t="str">
        <f ca="1">IFERROR(IF(0=LEN(ReferenceData!$BC$262),"",ReferenceData!$BC$262),"")</f>
        <v/>
      </c>
      <c r="BD262" t="str">
        <f ca="1">IFERROR(IF(0=LEN(ReferenceData!$BD$262),"",ReferenceData!$BD$262),"")</f>
        <v/>
      </c>
      <c r="BE262" t="str">
        <f ca="1">IFERROR(IF(0=LEN(ReferenceData!$BE$262),"",ReferenceData!$BE$262),"")</f>
        <v/>
      </c>
      <c r="BF262" t="str">
        <f ca="1">IFERROR(IF(0=LEN(ReferenceData!$BF$262),"",ReferenceData!$BF$262),"")</f>
        <v/>
      </c>
      <c r="BG262" t="str">
        <f ca="1">IFERROR(IF(0=LEN(ReferenceData!$BG$262),"",ReferenceData!$BG$262),"")</f>
        <v/>
      </c>
      <c r="BH262" t="str">
        <f ca="1">IFERROR(IF(0=LEN(ReferenceData!$BH$262),"",ReferenceData!$BH$262),"")</f>
        <v/>
      </c>
      <c r="BI262" t="str">
        <f ca="1">IFERROR(IF(0=LEN(ReferenceData!$BI$262),"",ReferenceData!$BI$262),"")</f>
        <v/>
      </c>
      <c r="BJ262" t="str">
        <f ca="1">IFERROR(IF(0=LEN(ReferenceData!$BJ$262),"",ReferenceData!$BJ$262),"")</f>
        <v/>
      </c>
      <c r="BK262" t="str">
        <f ca="1">IFERROR(IF(0=LEN(ReferenceData!$BK$262),"",ReferenceData!$BK$262),"")</f>
        <v/>
      </c>
      <c r="BL262" t="str">
        <f ca="1">IFERROR(IF(0=LEN(ReferenceData!$BL$262),"",ReferenceData!$BL$262),"")</f>
        <v/>
      </c>
      <c r="BM262" t="str">
        <f ca="1">IFERROR(IF(0=LEN(ReferenceData!$BM$262),"",ReferenceData!$BM$262),"")</f>
        <v/>
      </c>
    </row>
    <row r="263" spans="1:65" x14ac:dyDescent="0.25">
      <c r="A263" t="str">
        <f>IFERROR(IF(0=LEN(ReferenceData!$A$263),"",ReferenceData!$A$263),"")</f>
        <v xml:space="preserve">    Ford Motor Co</v>
      </c>
      <c r="B263" t="str">
        <f>IFERROR(IF(0=LEN(ReferenceData!$B$263),"",ReferenceData!$B$263),"")</f>
        <v>F US Equity</v>
      </c>
      <c r="C263" t="str">
        <f>IFERROR(IF(0=LEN(ReferenceData!$C$263),"",ReferenceData!$C$263),"")</f>
        <v>RR904</v>
      </c>
      <c r="D263" t="str">
        <f>IFERROR(IF(0=LEN(ReferenceData!$D$263),"",ReferenceData!$D$263),"")</f>
        <v>PX_TO_SALES_RATIO</v>
      </c>
      <c r="E263" t="str">
        <f>IFERROR(IF(0=LEN(ReferenceData!$E$263),"",ReferenceData!$E$263),"")</f>
        <v>Dynamic</v>
      </c>
      <c r="F263">
        <f ca="1">IFERROR(IF(0=LEN(ReferenceData!$F$263),"",ReferenceData!$F$263),"")</f>
        <v>0.21587273300000001</v>
      </c>
      <c r="G263">
        <f ca="1">IFERROR(IF(0=LEN(ReferenceData!$G$263),"",ReferenceData!$G$263),"")</f>
        <v>0.189601195</v>
      </c>
      <c r="H263">
        <f ca="1">IFERROR(IF(0=LEN(ReferenceData!$H$263),"",ReferenceData!$H$263),"")</f>
        <v>0.23001671600000001</v>
      </c>
      <c r="I263">
        <f ca="1">IFERROR(IF(0=LEN(ReferenceData!$I$263),"",ReferenceData!$I$263),"")</f>
        <v>0.27731768699999998</v>
      </c>
      <c r="J263">
        <f ca="1">IFERROR(IF(0=LEN(ReferenceData!$J$263),"",ReferenceData!$J$263),"")</f>
        <v>0.27594646099999998</v>
      </c>
      <c r="K263">
        <f ca="1">IFERROR(IF(0=LEN(ReferenceData!$K$263),"",ReferenceData!$K$263),"")</f>
        <v>0.31668428999999998</v>
      </c>
      <c r="L263">
        <f ca="1">IFERROR(IF(0=LEN(ReferenceData!$L$263),"",ReferenceData!$L$263),"")</f>
        <v>0.308762119</v>
      </c>
      <c r="M263">
        <f ca="1">IFERROR(IF(0=LEN(ReferenceData!$M$263),"",ReferenceData!$M$263),"")</f>
        <v>0.28963180500000002</v>
      </c>
      <c r="N263">
        <f ca="1">IFERROR(IF(0=LEN(ReferenceData!$N$263),"",ReferenceData!$N$263),"")</f>
        <v>0.30192419500000001</v>
      </c>
      <c r="O263">
        <f ca="1">IFERROR(IF(0=LEN(ReferenceData!$O$263),"",ReferenceData!$O$263),"")</f>
        <v>0.31747356500000001</v>
      </c>
      <c r="P263">
        <f ca="1">IFERROR(IF(0=LEN(ReferenceData!$P$263),"",ReferenceData!$P$263),"")</f>
        <v>0.31255409899999997</v>
      </c>
      <c r="Q263">
        <f ca="1">IFERROR(IF(0=LEN(ReferenceData!$Q$263),"",ReferenceData!$Q$263),"")</f>
        <v>0.32080028900000002</v>
      </c>
      <c r="R263">
        <f ca="1">IFERROR(IF(0=LEN(ReferenceData!$R$263),"",ReferenceData!$R$263),"")</f>
        <v>0.34954513999999998</v>
      </c>
      <c r="S263">
        <f ca="1">IFERROR(IF(0=LEN(ReferenceData!$S$263),"",ReferenceData!$S$263),"")</f>
        <v>0.37413792600000001</v>
      </c>
      <c r="T263">
        <f ca="1">IFERROR(IF(0=LEN(ReferenceData!$T$263),"",ReferenceData!$T$263),"")</f>
        <v>0.36958770899999999</v>
      </c>
      <c r="U263">
        <f ca="1">IFERROR(IF(0=LEN(ReferenceData!$U$263),"",ReferenceData!$U$263),"")</f>
        <v>0.41520982699999998</v>
      </c>
      <c r="V263">
        <f ca="1">IFERROR(IF(0=LEN(ReferenceData!$V$263),"",ReferenceData!$V$263),"")</f>
        <v>0.44500965599999998</v>
      </c>
      <c r="W263">
        <f ca="1">IFERROR(IF(0=LEN(ReferenceData!$W$263),"",ReferenceData!$W$263),"")</f>
        <v>0.42094889899999999</v>
      </c>
      <c r="X263">
        <f ca="1">IFERROR(IF(0=LEN(ReferenceData!$X$263),"",ReferenceData!$X$263),"")</f>
        <v>0.39796236200000001</v>
      </c>
      <c r="Y263">
        <f ca="1">IFERROR(IF(0=LEN(ReferenceData!$Y$263),"",ReferenceData!$Y$263),"")</f>
        <v>0.463498523</v>
      </c>
      <c r="Z263">
        <f ca="1">IFERROR(IF(0=LEN(ReferenceData!$Z$263),"",ReferenceData!$Z$263),"")</f>
        <v>0.41775510399999999</v>
      </c>
      <c r="AA263">
        <f ca="1">IFERROR(IF(0=LEN(ReferenceData!$AA$263),"",ReferenceData!$AA$263),"")</f>
        <v>0.41325311100000001</v>
      </c>
      <c r="AB263">
        <f ca="1">IFERROR(IF(0=LEN(ReferenceData!$AB$263),"",ReferenceData!$AB$263),"")</f>
        <v>0.45421092800000001</v>
      </c>
      <c r="AC263">
        <f ca="1">IFERROR(IF(0=LEN(ReferenceData!$AC$263),"",ReferenceData!$AC$263),"")</f>
        <v>0.42382132700000003</v>
      </c>
      <c r="AD263">
        <f ca="1">IFERROR(IF(0=LEN(ReferenceData!$AD$263),"",ReferenceData!$AD$263),"")</f>
        <v>0.36975233200000002</v>
      </c>
      <c r="AE263">
        <f ca="1">IFERROR(IF(0=LEN(ReferenceData!$AE$263),"",ReferenceData!$AE$263),"")</f>
        <v>0.36990920599999999</v>
      </c>
      <c r="AF263">
        <f ca="1">IFERROR(IF(0=LEN(ReferenceData!$AF$263),"",ReferenceData!$AF$263),"")</f>
        <v>0.28360882799999998</v>
      </c>
      <c r="AG263">
        <f ca="1">IFERROR(IF(0=LEN(ReferenceData!$AG$263),"",ReferenceData!$AG$263),"")</f>
        <v>0.27378460199999999</v>
      </c>
      <c r="AH263">
        <f ca="1">IFERROR(IF(0=LEN(ReferenceData!$AH$263),"",ReferenceData!$AH$263),"")</f>
        <v>0.34969608299999999</v>
      </c>
      <c r="AI263">
        <f ca="1">IFERROR(IF(0=LEN(ReferenceData!$AI$263),"",ReferenceData!$AI$263),"")</f>
        <v>0.299524242</v>
      </c>
      <c r="AJ263">
        <f ca="1">IFERROR(IF(0=LEN(ReferenceData!$AJ$263),"",ReferenceData!$AJ$263),"")</f>
        <v>0.26930034800000002</v>
      </c>
      <c r="AK263">
        <f ca="1">IFERROR(IF(0=LEN(ReferenceData!$AK$263),"",ReferenceData!$AK$263),"")</f>
        <v>0.38427263900000003</v>
      </c>
      <c r="AL263">
        <f ca="1">IFERROR(IF(0=LEN(ReferenceData!$AL$263),"",ReferenceData!$AL$263),"")</f>
        <v>0.40499938400000002</v>
      </c>
      <c r="AM263">
        <f ca="1">IFERROR(IF(0=LEN(ReferenceData!$AM$263),"",ReferenceData!$AM$263),"")</f>
        <v>0.44875854700000001</v>
      </c>
      <c r="AN263">
        <f ca="1">IFERROR(IF(0=LEN(ReferenceData!$AN$263),"",ReferenceData!$AN$263),"")</f>
        <v>0.31846945799999998</v>
      </c>
      <c r="AO263">
        <f ca="1">IFERROR(IF(0=LEN(ReferenceData!$AO$263),"",ReferenceData!$AO$263),"")</f>
        <v>0.25814467899999999</v>
      </c>
      <c r="AP263">
        <f ca="1">IFERROR(IF(0=LEN(ReferenceData!$AP$263),"",ReferenceData!$AP$263),"")</f>
        <v>0.33341293900000002</v>
      </c>
      <c r="AQ263">
        <f ca="1">IFERROR(IF(0=LEN(ReferenceData!$AQ$263),"",ReferenceData!$AQ$263),"")</f>
        <v>0.25977040800000001</v>
      </c>
      <c r="AR263">
        <f ca="1">IFERROR(IF(0=LEN(ReferenceData!$AR$263),"",ReferenceData!$AR$263),"")</f>
        <v>0.177755317</v>
      </c>
      <c r="AS263">
        <f ca="1">IFERROR(IF(0=LEN(ReferenceData!$AS$263),"",ReferenceData!$AS$263),"")</f>
        <v>0.134284818</v>
      </c>
      <c r="AT263">
        <f ca="1">IFERROR(IF(0=LEN(ReferenceData!$AT$263),"",ReferenceData!$AT$263),"")</f>
        <v>4.8131073000000003E-2</v>
      </c>
      <c r="AU263">
        <f ca="1">IFERROR(IF(0=LEN(ReferenceData!$AU$263),"",ReferenceData!$AU$263),"")</f>
        <v>3.5640168999999999E-2</v>
      </c>
      <c r="AV263">
        <f ca="1">IFERROR(IF(0=LEN(ReferenceData!$AV$263),"",ReferenceData!$AV$263),"")</f>
        <v>7.1264128999999996E-2</v>
      </c>
      <c r="AW263">
        <f ca="1">IFERROR(IF(0=LEN(ReferenceData!$AW$263),"",ReferenceData!$AW$263),"")</f>
        <v>6.046783E-2</v>
      </c>
      <c r="AX263">
        <f ca="1">IFERROR(IF(0=LEN(ReferenceData!$AX$263),"",ReferenceData!$AX$263),"")</f>
        <v>6.7676756000000005E-2</v>
      </c>
      <c r="AY263">
        <f ca="1">IFERROR(IF(0=LEN(ReferenceData!$AY$263),"",ReferenceData!$AY$263),"")</f>
        <v>7.6946624000000005E-2</v>
      </c>
      <c r="AZ263">
        <f ca="1">IFERROR(IF(0=LEN(ReferenceData!$AZ$263),"",ReferenceData!$AZ$263),"")</f>
        <v>9.6555990999999994E-2</v>
      </c>
      <c r="BA263">
        <f ca="1">IFERROR(IF(0=LEN(ReferenceData!$BA$263),"",ReferenceData!$BA$263),"")</f>
        <v>0.108113774</v>
      </c>
      <c r="BB263">
        <f ca="1">IFERROR(IF(0=LEN(ReferenceData!$BB$263),"",ReferenceData!$BB$263),"")</f>
        <v>9.1617769000000002E-2</v>
      </c>
      <c r="BC263">
        <f ca="1">IFERROR(IF(0=LEN(ReferenceData!$BC$263),"",ReferenceData!$BC$263),"")</f>
        <v>8.8053096999999997E-2</v>
      </c>
      <c r="BD263">
        <f ca="1">IFERROR(IF(0=LEN(ReferenceData!$BD$263),"",ReferenceData!$BD$263),"")</f>
        <v>9.0913329000000001E-2</v>
      </c>
      <c r="BE263">
        <f ca="1">IFERROR(IF(0=LEN(ReferenceData!$BE$263),"",ReferenceData!$BE$263),"")</f>
        <v>7.6019429999999999E-2</v>
      </c>
      <c r="BF263">
        <f ca="1">IFERROR(IF(0=LEN(ReferenceData!$BF$263),"",ReferenceData!$BF$263),"")</f>
        <v>8.5545399999999994E-2</v>
      </c>
      <c r="BG263">
        <f ca="1">IFERROR(IF(0=LEN(ReferenceData!$BG$263),"",ReferenceData!$BG$263),"")</f>
        <v>8.0649896999999998E-2</v>
      </c>
      <c r="BH263">
        <f ca="1">IFERROR(IF(0=LEN(ReferenceData!$BH$263),"",ReferenceData!$BH$263),"")</f>
        <v>0.10351933300000001</v>
      </c>
      <c r="BI263">
        <f ca="1">IFERROR(IF(0=LEN(ReferenceData!$BI$263),"",ReferenceData!$BI$263),"")</f>
        <v>0.10801846599999999</v>
      </c>
      <c r="BJ263">
        <f ca="1">IFERROR(IF(0=LEN(ReferenceData!$BJ$263),"",ReferenceData!$BJ$263),"")</f>
        <v>0.12059494699999999</v>
      </c>
      <c r="BK263">
        <f ca="1">IFERROR(IF(0=LEN(ReferenceData!$BK$263),"",ReferenceData!$BK$263),"")</f>
        <v>0.156093541</v>
      </c>
      <c r="BL263">
        <f ca="1">IFERROR(IF(0=LEN(ReferenceData!$BL$263),"",ReferenceData!$BL$263),"")</f>
        <v>0.148767967</v>
      </c>
      <c r="BM263">
        <f ca="1">IFERROR(IF(0=LEN(ReferenceData!$BM$263),"",ReferenceData!$BM$263),"")</f>
        <v>0.168147872</v>
      </c>
    </row>
    <row r="264" spans="1:65" x14ac:dyDescent="0.25">
      <c r="A264" t="str">
        <f>IFERROR(IF(0=LEN(ReferenceData!$A$264),"",ReferenceData!$A$264),"")</f>
        <v xml:space="preserve">    Ford Otomotiv Sanayi AS</v>
      </c>
      <c r="B264" t="str">
        <f>IFERROR(IF(0=LEN(ReferenceData!$B$264),"",ReferenceData!$B$264),"")</f>
        <v>FROTOTRY EO Equity</v>
      </c>
      <c r="C264" t="str">
        <f>IFERROR(IF(0=LEN(ReferenceData!$C$264),"",ReferenceData!$C$264),"")</f>
        <v>RR904</v>
      </c>
      <c r="D264" t="str">
        <f>IFERROR(IF(0=LEN(ReferenceData!$D$264),"",ReferenceData!$D$264),"")</f>
        <v>PX_TO_SALES_RATIO</v>
      </c>
      <c r="E264" t="str">
        <f>IFERROR(IF(0=LEN(ReferenceData!$E$264),"",ReferenceData!$E$264),"")</f>
        <v>Dynamic</v>
      </c>
      <c r="F264">
        <f ca="1">IFERROR(IF(0=LEN(ReferenceData!$F$264),"",ReferenceData!$F$264),"")</f>
        <v>0.58130087799999997</v>
      </c>
      <c r="G264">
        <f ca="1">IFERROR(IF(0=LEN(ReferenceData!$G$264),"",ReferenceData!$G$264),"")</f>
        <v>0.52701802200000003</v>
      </c>
      <c r="H264">
        <f ca="1">IFERROR(IF(0=LEN(ReferenceData!$H$264),"",ReferenceData!$H$264),"")</f>
        <v>0.73423728600000004</v>
      </c>
      <c r="I264">
        <f ca="1">IFERROR(IF(0=LEN(ReferenceData!$I$264),"",ReferenceData!$I$264),"")</f>
        <v>0.73765485799999997</v>
      </c>
      <c r="J264">
        <f ca="1">IFERROR(IF(0=LEN(ReferenceData!$J$264),"",ReferenceData!$J$264),"")</f>
        <v>0.80289972700000001</v>
      </c>
      <c r="K264">
        <f ca="1">IFERROR(IF(0=LEN(ReferenceData!$K$264),"",ReferenceData!$K$264),"")</f>
        <v>0.83430352100000005</v>
      </c>
      <c r="L264">
        <f ca="1">IFERROR(IF(0=LEN(ReferenceData!$L$264),"",ReferenceData!$L$264),"")</f>
        <v>0.70220262</v>
      </c>
      <c r="M264">
        <f ca="1">IFERROR(IF(0=LEN(ReferenceData!$M$264),"",ReferenceData!$M$264),"")</f>
        <v>0.71304417899999994</v>
      </c>
      <c r="N264">
        <f ca="1">IFERROR(IF(0=LEN(ReferenceData!$N$264),"",ReferenceData!$N$264),"")</f>
        <v>0.64068270299999996</v>
      </c>
      <c r="O264">
        <f ca="1">IFERROR(IF(0=LEN(ReferenceData!$O$264),"",ReferenceData!$O$264),"")</f>
        <v>0.58673325499999995</v>
      </c>
      <c r="P264">
        <f ca="1">IFERROR(IF(0=LEN(ReferenceData!$P$264),"",ReferenceData!$P$264),"")</f>
        <v>0.62925242599999998</v>
      </c>
      <c r="Q264">
        <f ca="1">IFERROR(IF(0=LEN(ReferenceData!$Q$264),"",ReferenceData!$Q$264),"")</f>
        <v>0.59586470400000002</v>
      </c>
      <c r="R264">
        <f ca="1">IFERROR(IF(0=LEN(ReferenceData!$R$264),"",ReferenceData!$R$264),"")</f>
        <v>0.75037062200000004</v>
      </c>
      <c r="S264">
        <f ca="1">IFERROR(IF(0=LEN(ReferenceData!$S$264),"",ReferenceData!$S$264),"")</f>
        <v>0.63449797699999999</v>
      </c>
      <c r="T264">
        <f ca="1">IFERROR(IF(0=LEN(ReferenceData!$T$264),"",ReferenceData!$T$264),"")</f>
        <v>0.72879181699999995</v>
      </c>
      <c r="U264">
        <f ca="1">IFERROR(IF(0=LEN(ReferenceData!$U$264),"",ReferenceData!$U$264),"")</f>
        <v>0.88365482299999998</v>
      </c>
      <c r="V264">
        <f ca="1">IFERROR(IF(0=LEN(ReferenceData!$V$264),"",ReferenceData!$V$264),"")</f>
        <v>0.87580391899999999</v>
      </c>
      <c r="W264">
        <f ca="1">IFERROR(IF(0=LEN(ReferenceData!$W$264),"",ReferenceData!$W$264),"")</f>
        <v>0.95784291700000002</v>
      </c>
      <c r="X264">
        <f ca="1">IFERROR(IF(0=LEN(ReferenceData!$X$264),"",ReferenceData!$X$264),"")</f>
        <v>0.80278600700000002</v>
      </c>
      <c r="Y264">
        <f ca="1">IFERROR(IF(0=LEN(ReferenceData!$Y$264),"",ReferenceData!$Y$264),"")</f>
        <v>0.83186358999999999</v>
      </c>
      <c r="Z264">
        <f ca="1">IFERROR(IF(0=LEN(ReferenceData!$Z$264),"",ReferenceData!$Z$264),"")</f>
        <v>0.70472186999999997</v>
      </c>
      <c r="AA264">
        <f ca="1">IFERROR(IF(0=LEN(ReferenceData!$AA$264),"",ReferenceData!$AA$264),"")</f>
        <v>0.69844083999999995</v>
      </c>
      <c r="AB264">
        <f ca="1">IFERROR(IF(0=LEN(ReferenceData!$AB$264),"",ReferenceData!$AB$264),"")</f>
        <v>0.89523024600000001</v>
      </c>
      <c r="AC264">
        <f ca="1">IFERROR(IF(0=LEN(ReferenceData!$AC$264),"",ReferenceData!$AC$264),"")</f>
        <v>0.90753576499999999</v>
      </c>
      <c r="AD264">
        <f ca="1">IFERROR(IF(0=LEN(ReferenceData!$AD$264),"",ReferenceData!$AD$264),"")</f>
        <v>0.92947592499999998</v>
      </c>
      <c r="AE264">
        <f ca="1">IFERROR(IF(0=LEN(ReferenceData!$AE$264),"",ReferenceData!$AE$264),"")</f>
        <v>0.768788107</v>
      </c>
      <c r="AF264">
        <f ca="1">IFERROR(IF(0=LEN(ReferenceData!$AF$264),"",ReferenceData!$AF$264),"")</f>
        <v>0.65149654099999998</v>
      </c>
      <c r="AG264">
        <f ca="1">IFERROR(IF(0=LEN(ReferenceData!$AG$264),"",ReferenceData!$AG$264),"")</f>
        <v>0.55255491000000001</v>
      </c>
      <c r="AH264">
        <f ca="1">IFERROR(IF(0=LEN(ReferenceData!$AH$264),"",ReferenceData!$AH$264),"")</f>
        <v>0.55486738599999996</v>
      </c>
      <c r="AI264">
        <f ca="1">IFERROR(IF(0=LEN(ReferenceData!$AI$264),"",ReferenceData!$AI$264),"")</f>
        <v>0.51401734399999999</v>
      </c>
      <c r="AJ264">
        <f ca="1">IFERROR(IF(0=LEN(ReferenceData!$AJ$264),"",ReferenceData!$AJ$264),"")</f>
        <v>0.457472824</v>
      </c>
      <c r="AK264">
        <f ca="1">IFERROR(IF(0=LEN(ReferenceData!$AK$264),"",ReferenceData!$AK$264),"")</f>
        <v>0.52267393399999995</v>
      </c>
      <c r="AL264">
        <f ca="1">IFERROR(IF(0=LEN(ReferenceData!$AL$264),"",ReferenceData!$AL$264),"")</f>
        <v>0.61003293800000002</v>
      </c>
      <c r="AM264">
        <f ca="1">IFERROR(IF(0=LEN(ReferenceData!$AM$264),"",ReferenceData!$AM$264),"")</f>
        <v>0.59865721999999999</v>
      </c>
      <c r="AN264">
        <f ca="1">IFERROR(IF(0=LEN(ReferenceData!$AN$264),"",ReferenceData!$AN$264),"")</f>
        <v>0.640317099</v>
      </c>
      <c r="AO264">
        <f ca="1">IFERROR(IF(0=LEN(ReferenceData!$AO$264),"",ReferenceData!$AO$264),"")</f>
        <v>0.54754860900000002</v>
      </c>
      <c r="AP264">
        <f ca="1">IFERROR(IF(0=LEN(ReferenceData!$AP$264),"",ReferenceData!$AP$264),"")</f>
        <v>0.62968049199999998</v>
      </c>
      <c r="AQ264">
        <f ca="1">IFERROR(IF(0=LEN(ReferenceData!$AQ$264),"",ReferenceData!$AQ$264),"")</f>
        <v>0.56970447199999996</v>
      </c>
      <c r="AR264">
        <f ca="1">IFERROR(IF(0=LEN(ReferenceData!$AR$264),"",ReferenceData!$AR$264),"")</f>
        <v>0.66319496700000002</v>
      </c>
      <c r="AS264">
        <f ca="1">IFERROR(IF(0=LEN(ReferenceData!$AS$264),"",ReferenceData!$AS$264),"")</f>
        <v>0.41358283600000001</v>
      </c>
      <c r="AT264">
        <f ca="1">IFERROR(IF(0=LEN(ReferenceData!$AT$264),"",ReferenceData!$AT$264),"")</f>
        <v>0.273703898</v>
      </c>
      <c r="AU264">
        <f ca="1">IFERROR(IF(0=LEN(ReferenceData!$AU$264),"",ReferenceData!$AU$264),"")</f>
        <v>0.21835257299999999</v>
      </c>
      <c r="AV264">
        <f ca="1">IFERROR(IF(0=LEN(ReferenceData!$AV$264),"",ReferenceData!$AV$264),"")</f>
        <v>0.30138802399999998</v>
      </c>
      <c r="AW264">
        <f ca="1">IFERROR(IF(0=LEN(ReferenceData!$AW$264),"",ReferenceData!$AW$264),"")</f>
        <v>0.38073539699999998</v>
      </c>
      <c r="AX264">
        <f ca="1">IFERROR(IF(0=LEN(ReferenceData!$AX$264),"",ReferenceData!$AX$264),"")</f>
        <v>0.47565157699999999</v>
      </c>
      <c r="AY264">
        <f ca="1">IFERROR(IF(0=LEN(ReferenceData!$AY$264),"",ReferenceData!$AY$264),"")</f>
        <v>0.58722558999999996</v>
      </c>
      <c r="AZ264">
        <f ca="1">IFERROR(IF(0=LEN(ReferenceData!$AZ$264),"",ReferenceData!$AZ$264),"")</f>
        <v>0.64671913800000003</v>
      </c>
      <c r="BA264">
        <f ca="1">IFERROR(IF(0=LEN(ReferenceData!$BA$264),"",ReferenceData!$BA$264),"")</f>
        <v>0.64074142000000001</v>
      </c>
      <c r="BB264">
        <f ca="1">IFERROR(IF(0=LEN(ReferenceData!$BB$264),"",ReferenceData!$BB$264),"")</f>
        <v>0.63858850899999997</v>
      </c>
      <c r="BC264">
        <f ca="1">IFERROR(IF(0=LEN(ReferenceData!$BC$264),"",ReferenceData!$BC$264),"")</f>
        <v>0.61343204200000001</v>
      </c>
      <c r="BD264">
        <f ca="1">IFERROR(IF(0=LEN(ReferenceData!$BD$264),"",ReferenceData!$BD$264),"")</f>
        <v>0.54966446499999999</v>
      </c>
      <c r="BE264">
        <f ca="1">IFERROR(IF(0=LEN(ReferenceData!$BE$264),"",ReferenceData!$BE$264),"")</f>
        <v>0.59569258599999997</v>
      </c>
      <c r="BF264">
        <f ca="1">IFERROR(IF(0=LEN(ReferenceData!$BF$264),"",ReferenceData!$BF$264),"")</f>
        <v>0.68728029400000001</v>
      </c>
      <c r="BG264">
        <f ca="1">IFERROR(IF(0=LEN(ReferenceData!$BG$264),"",ReferenceData!$BG$264),"")</f>
        <v>0.68338532399999996</v>
      </c>
      <c r="BH264">
        <f ca="1">IFERROR(IF(0=LEN(ReferenceData!$BH$264),"",ReferenceData!$BH$264),"")</f>
        <v>0.55332731000000002</v>
      </c>
      <c r="BI264">
        <f ca="1">IFERROR(IF(0=LEN(ReferenceData!$BI$264),"",ReferenceData!$BI$264),"")</f>
        <v>0.53001852199999999</v>
      </c>
      <c r="BJ264">
        <f ca="1">IFERROR(IF(0=LEN(ReferenceData!$BJ$264),"",ReferenceData!$BJ$264),"")</f>
        <v>0.51896777000000005</v>
      </c>
      <c r="BK264">
        <f ca="1">IFERROR(IF(0=LEN(ReferenceData!$BK$264),"",ReferenceData!$BK$264),"")</f>
        <v>0.56284838000000004</v>
      </c>
      <c r="BL264">
        <f ca="1">IFERROR(IF(0=LEN(ReferenceData!$BL$264),"",ReferenceData!$BL$264),"")</f>
        <v>0.65149841900000005</v>
      </c>
      <c r="BM264">
        <f ca="1">IFERROR(IF(0=LEN(ReferenceData!$BM$264),"",ReferenceData!$BM$264),"")</f>
        <v>0.446519216</v>
      </c>
    </row>
    <row r="265" spans="1:65" x14ac:dyDescent="0.25">
      <c r="A265" t="str">
        <f>IFERROR(IF(0=LEN(ReferenceData!$A$265),"",ReferenceData!$A$265),"")</f>
        <v xml:space="preserve">    GAZ PJSC</v>
      </c>
      <c r="B265" t="str">
        <f>IFERROR(IF(0=LEN(ReferenceData!$B$265),"",ReferenceData!$B$265),"")</f>
        <v>GAZA RM Equity</v>
      </c>
      <c r="C265" t="str">
        <f>IFERROR(IF(0=LEN(ReferenceData!$C$265),"",ReferenceData!$C$265),"")</f>
        <v>RR904</v>
      </c>
      <c r="D265" t="str">
        <f>IFERROR(IF(0=LEN(ReferenceData!$D$265),"",ReferenceData!$D$265),"")</f>
        <v>PX_TO_SALES_RATIO</v>
      </c>
      <c r="E265" t="str">
        <f>IFERROR(IF(0=LEN(ReferenceData!$E$265),"",ReferenceData!$E$265),"")</f>
        <v>Dynamic</v>
      </c>
      <c r="F265" t="str">
        <f ca="1">IFERROR(IF(0=LEN(ReferenceData!$F$265),"",ReferenceData!$F$265),"")</f>
        <v/>
      </c>
      <c r="G265" t="str">
        <f ca="1">IFERROR(IF(0=LEN(ReferenceData!$G$265),"",ReferenceData!$G$265),"")</f>
        <v/>
      </c>
      <c r="H265" t="str">
        <f ca="1">IFERROR(IF(0=LEN(ReferenceData!$H$265),"",ReferenceData!$H$265),"")</f>
        <v/>
      </c>
      <c r="I265" t="str">
        <f ca="1">IFERROR(IF(0=LEN(ReferenceData!$I$265),"",ReferenceData!$I$265),"")</f>
        <v/>
      </c>
      <c r="J265" t="str">
        <f ca="1">IFERROR(IF(0=LEN(ReferenceData!$J$265),"",ReferenceData!$J$265),"")</f>
        <v/>
      </c>
      <c r="K265" t="str">
        <f ca="1">IFERROR(IF(0=LEN(ReferenceData!$K$265),"",ReferenceData!$K$265),"")</f>
        <v/>
      </c>
      <c r="L265" t="str">
        <f ca="1">IFERROR(IF(0=LEN(ReferenceData!$L$265),"",ReferenceData!$L$265),"")</f>
        <v/>
      </c>
      <c r="M265" t="str">
        <f ca="1">IFERROR(IF(0=LEN(ReferenceData!$M$265),"",ReferenceData!$M$265),"")</f>
        <v/>
      </c>
      <c r="N265" t="str">
        <f ca="1">IFERROR(IF(0=LEN(ReferenceData!$N$265),"",ReferenceData!$N$265),"")</f>
        <v/>
      </c>
      <c r="O265" t="str">
        <f ca="1">IFERROR(IF(0=LEN(ReferenceData!$O$265),"",ReferenceData!$O$265),"")</f>
        <v/>
      </c>
      <c r="P265" t="str">
        <f ca="1">IFERROR(IF(0=LEN(ReferenceData!$P$265),"",ReferenceData!$P$265),"")</f>
        <v/>
      </c>
      <c r="Q265" t="str">
        <f ca="1">IFERROR(IF(0=LEN(ReferenceData!$Q$265),"",ReferenceData!$Q$265),"")</f>
        <v/>
      </c>
      <c r="R265" t="str">
        <f ca="1">IFERROR(IF(0=LEN(ReferenceData!$R$265),"",ReferenceData!$R$265),"")</f>
        <v/>
      </c>
      <c r="S265" t="str">
        <f ca="1">IFERROR(IF(0=LEN(ReferenceData!$S$265),"",ReferenceData!$S$265),"")</f>
        <v/>
      </c>
      <c r="T265" t="str">
        <f ca="1">IFERROR(IF(0=LEN(ReferenceData!$T$265),"",ReferenceData!$T$265),"")</f>
        <v/>
      </c>
      <c r="U265" t="str">
        <f ca="1">IFERROR(IF(0=LEN(ReferenceData!$U$265),"",ReferenceData!$U$265),"")</f>
        <v/>
      </c>
      <c r="V265" t="str">
        <f ca="1">IFERROR(IF(0=LEN(ReferenceData!$V$265),"",ReferenceData!$V$265),"")</f>
        <v/>
      </c>
      <c r="W265" t="str">
        <f ca="1">IFERROR(IF(0=LEN(ReferenceData!$W$265),"",ReferenceData!$W$265),"")</f>
        <v/>
      </c>
      <c r="X265" t="str">
        <f ca="1">IFERROR(IF(0=LEN(ReferenceData!$X$265),"",ReferenceData!$X$265),"")</f>
        <v/>
      </c>
      <c r="Y265" t="str">
        <f ca="1">IFERROR(IF(0=LEN(ReferenceData!$Y$265),"",ReferenceData!$Y$265),"")</f>
        <v/>
      </c>
      <c r="Z265" t="str">
        <f ca="1">IFERROR(IF(0=LEN(ReferenceData!$Z$265),"",ReferenceData!$Z$265),"")</f>
        <v/>
      </c>
      <c r="AA265" t="str">
        <f ca="1">IFERROR(IF(0=LEN(ReferenceData!$AA$265),"",ReferenceData!$AA$265),"")</f>
        <v/>
      </c>
      <c r="AB265" t="str">
        <f ca="1">IFERROR(IF(0=LEN(ReferenceData!$AB$265),"",ReferenceData!$AB$265),"")</f>
        <v/>
      </c>
      <c r="AC265" t="str">
        <f ca="1">IFERROR(IF(0=LEN(ReferenceData!$AC$265),"",ReferenceData!$AC$265),"")</f>
        <v/>
      </c>
      <c r="AD265" t="str">
        <f ca="1">IFERROR(IF(0=LEN(ReferenceData!$AD$265),"",ReferenceData!$AD$265),"")</f>
        <v/>
      </c>
      <c r="AE265" t="str">
        <f ca="1">IFERROR(IF(0=LEN(ReferenceData!$AE$265),"",ReferenceData!$AE$265),"")</f>
        <v/>
      </c>
      <c r="AF265" t="str">
        <f ca="1">IFERROR(IF(0=LEN(ReferenceData!$AF$265),"",ReferenceData!$AF$265),"")</f>
        <v/>
      </c>
      <c r="AG265" t="str">
        <f ca="1">IFERROR(IF(0=LEN(ReferenceData!$AG$265),"",ReferenceData!$AG$265),"")</f>
        <v/>
      </c>
      <c r="AH265" t="str">
        <f ca="1">IFERROR(IF(0=LEN(ReferenceData!$AH$265),"",ReferenceData!$AH$265),"")</f>
        <v/>
      </c>
      <c r="AI265" t="str">
        <f ca="1">IFERROR(IF(0=LEN(ReferenceData!$AI$265),"",ReferenceData!$AI$265),"")</f>
        <v/>
      </c>
      <c r="AJ265" t="str">
        <f ca="1">IFERROR(IF(0=LEN(ReferenceData!$AJ$265),"",ReferenceData!$AJ$265),"")</f>
        <v/>
      </c>
      <c r="AK265" t="str">
        <f ca="1">IFERROR(IF(0=LEN(ReferenceData!$AK$265),"",ReferenceData!$AK$265),"")</f>
        <v/>
      </c>
      <c r="AL265" t="str">
        <f ca="1">IFERROR(IF(0=LEN(ReferenceData!$AL$265),"",ReferenceData!$AL$265),"")</f>
        <v/>
      </c>
      <c r="AM265" t="str">
        <f ca="1">IFERROR(IF(0=LEN(ReferenceData!$AM$265),"",ReferenceData!$AM$265),"")</f>
        <v/>
      </c>
      <c r="AN265" t="str">
        <f ca="1">IFERROR(IF(0=LEN(ReferenceData!$AN$265),"",ReferenceData!$AN$265),"")</f>
        <v/>
      </c>
      <c r="AO265" t="str">
        <f ca="1">IFERROR(IF(0=LEN(ReferenceData!$AO$265),"",ReferenceData!$AO$265),"")</f>
        <v/>
      </c>
      <c r="AP265" t="str">
        <f ca="1">IFERROR(IF(0=LEN(ReferenceData!$AP$265),"",ReferenceData!$AP$265),"")</f>
        <v/>
      </c>
      <c r="AQ265" t="str">
        <f ca="1">IFERROR(IF(0=LEN(ReferenceData!$AQ$265),"",ReferenceData!$AQ$265),"")</f>
        <v/>
      </c>
      <c r="AR265" t="str">
        <f ca="1">IFERROR(IF(0=LEN(ReferenceData!$AR$265),"",ReferenceData!$AR$265),"")</f>
        <v/>
      </c>
      <c r="AS265" t="str">
        <f ca="1">IFERROR(IF(0=LEN(ReferenceData!$AS$265),"",ReferenceData!$AS$265),"")</f>
        <v/>
      </c>
      <c r="AT265" t="str">
        <f ca="1">IFERROR(IF(0=LEN(ReferenceData!$AT$265),"",ReferenceData!$AT$265),"")</f>
        <v/>
      </c>
      <c r="AU265" t="str">
        <f ca="1">IFERROR(IF(0=LEN(ReferenceData!$AU$265),"",ReferenceData!$AU$265),"")</f>
        <v/>
      </c>
      <c r="AV265" t="str">
        <f ca="1">IFERROR(IF(0=LEN(ReferenceData!$AV$265),"",ReferenceData!$AV$265),"")</f>
        <v/>
      </c>
      <c r="AW265" t="str">
        <f ca="1">IFERROR(IF(0=LEN(ReferenceData!$AW$265),"",ReferenceData!$AW$265),"")</f>
        <v/>
      </c>
      <c r="AX265" t="str">
        <f ca="1">IFERROR(IF(0=LEN(ReferenceData!$AX$265),"",ReferenceData!$AX$265),"")</f>
        <v/>
      </c>
      <c r="AY265" t="str">
        <f ca="1">IFERROR(IF(0=LEN(ReferenceData!$AY$265),"",ReferenceData!$AY$265),"")</f>
        <v/>
      </c>
      <c r="AZ265" t="str">
        <f ca="1">IFERROR(IF(0=LEN(ReferenceData!$AZ$265),"",ReferenceData!$AZ$265),"")</f>
        <v/>
      </c>
      <c r="BA265" t="str">
        <f ca="1">IFERROR(IF(0=LEN(ReferenceData!$BA$265),"",ReferenceData!$BA$265),"")</f>
        <v/>
      </c>
      <c r="BB265" t="str">
        <f ca="1">IFERROR(IF(0=LEN(ReferenceData!$BB$265),"",ReferenceData!$BB$265),"")</f>
        <v/>
      </c>
      <c r="BC265" t="str">
        <f ca="1">IFERROR(IF(0=LEN(ReferenceData!$BC$265),"",ReferenceData!$BC$265),"")</f>
        <v/>
      </c>
      <c r="BD265" t="str">
        <f ca="1">IFERROR(IF(0=LEN(ReferenceData!$BD$265),"",ReferenceData!$BD$265),"")</f>
        <v/>
      </c>
      <c r="BE265" t="str">
        <f ca="1">IFERROR(IF(0=LEN(ReferenceData!$BE$265),"",ReferenceData!$BE$265),"")</f>
        <v/>
      </c>
      <c r="BF265" t="str">
        <f ca="1">IFERROR(IF(0=LEN(ReferenceData!$BF$265),"",ReferenceData!$BF$265),"")</f>
        <v/>
      </c>
      <c r="BG265" t="str">
        <f ca="1">IFERROR(IF(0=LEN(ReferenceData!$BG$265),"",ReferenceData!$BG$265),"")</f>
        <v/>
      </c>
      <c r="BH265" t="str">
        <f ca="1">IFERROR(IF(0=LEN(ReferenceData!$BH$265),"",ReferenceData!$BH$265),"")</f>
        <v/>
      </c>
      <c r="BI265" t="str">
        <f ca="1">IFERROR(IF(0=LEN(ReferenceData!$BI$265),"",ReferenceData!$BI$265),"")</f>
        <v/>
      </c>
      <c r="BJ265" t="str">
        <f ca="1">IFERROR(IF(0=LEN(ReferenceData!$BJ$265),"",ReferenceData!$BJ$265),"")</f>
        <v/>
      </c>
      <c r="BK265" t="str">
        <f ca="1">IFERROR(IF(0=LEN(ReferenceData!$BK$265),"",ReferenceData!$BK$265),"")</f>
        <v/>
      </c>
      <c r="BL265" t="str">
        <f ca="1">IFERROR(IF(0=LEN(ReferenceData!$BL$265),"",ReferenceData!$BL$265),"")</f>
        <v/>
      </c>
      <c r="BM265" t="str">
        <f ca="1">IFERROR(IF(0=LEN(ReferenceData!$BM$265),"",ReferenceData!$BM$265),"")</f>
        <v/>
      </c>
    </row>
    <row r="266" spans="1:65" x14ac:dyDescent="0.25">
      <c r="A266" t="str">
        <f>IFERROR(IF(0=LEN(ReferenceData!$A$266),"",ReferenceData!$A$266),"")</f>
        <v xml:space="preserve">    Geely Automobile Holdings Ltd</v>
      </c>
      <c r="B266" t="str">
        <f>IFERROR(IF(0=LEN(ReferenceData!$B$266),"",ReferenceData!$B$266),"")</f>
        <v>175 HK Equity</v>
      </c>
      <c r="C266" t="str">
        <f>IFERROR(IF(0=LEN(ReferenceData!$C$266),"",ReferenceData!$C$266),"")</f>
        <v>RR904</v>
      </c>
      <c r="D266" t="str">
        <f>IFERROR(IF(0=LEN(ReferenceData!$D$266),"",ReferenceData!$D$266),"")</f>
        <v>PX_TO_SALES_RATIO</v>
      </c>
      <c r="E266" t="str">
        <f>IFERROR(IF(0=LEN(ReferenceData!$E$266),"",ReferenceData!$E$266),"")</f>
        <v>Dynamic</v>
      </c>
      <c r="F266" t="str">
        <f ca="1">IFERROR(IF(0=LEN(ReferenceData!$F$266),"",ReferenceData!$F$266),"")</f>
        <v/>
      </c>
      <c r="G266" t="str">
        <f ca="1">IFERROR(IF(0=LEN(ReferenceData!$G$266),"",ReferenceData!$G$266),"")</f>
        <v/>
      </c>
      <c r="H266" t="str">
        <f ca="1">IFERROR(IF(0=LEN(ReferenceData!$H$266),"",ReferenceData!$H$266),"")</f>
        <v/>
      </c>
      <c r="I266" t="str">
        <f ca="1">IFERROR(IF(0=LEN(ReferenceData!$I$266),"",ReferenceData!$I$266),"")</f>
        <v/>
      </c>
      <c r="J266" t="str">
        <f ca="1">IFERROR(IF(0=LEN(ReferenceData!$J$266),"",ReferenceData!$J$266),"")</f>
        <v/>
      </c>
      <c r="K266" t="str">
        <f ca="1">IFERROR(IF(0=LEN(ReferenceData!$K$266),"",ReferenceData!$K$266),"")</f>
        <v/>
      </c>
      <c r="L266" t="str">
        <f ca="1">IFERROR(IF(0=LEN(ReferenceData!$L$266),"",ReferenceData!$L$266),"")</f>
        <v/>
      </c>
      <c r="M266" t="str">
        <f ca="1">IFERROR(IF(0=LEN(ReferenceData!$M$266),"",ReferenceData!$M$266),"")</f>
        <v/>
      </c>
      <c r="N266" t="str">
        <f ca="1">IFERROR(IF(0=LEN(ReferenceData!$N$266),"",ReferenceData!$N$266),"")</f>
        <v/>
      </c>
      <c r="O266" t="str">
        <f ca="1">IFERROR(IF(0=LEN(ReferenceData!$O$266),"",ReferenceData!$O$266),"")</f>
        <v/>
      </c>
      <c r="P266" t="str">
        <f ca="1">IFERROR(IF(0=LEN(ReferenceData!$P$266),"",ReferenceData!$P$266),"")</f>
        <v/>
      </c>
      <c r="Q266" t="str">
        <f ca="1">IFERROR(IF(0=LEN(ReferenceData!$Q$266),"",ReferenceData!$Q$266),"")</f>
        <v/>
      </c>
      <c r="R266" t="str">
        <f ca="1">IFERROR(IF(0=LEN(ReferenceData!$R$266),"",ReferenceData!$R$266),"")</f>
        <v/>
      </c>
      <c r="S266" t="str">
        <f ca="1">IFERROR(IF(0=LEN(ReferenceData!$S$266),"",ReferenceData!$S$266),"")</f>
        <v/>
      </c>
      <c r="T266" t="str">
        <f ca="1">IFERROR(IF(0=LEN(ReferenceData!$T$266),"",ReferenceData!$T$266),"")</f>
        <v/>
      </c>
      <c r="U266" t="str">
        <f ca="1">IFERROR(IF(0=LEN(ReferenceData!$U$266),"",ReferenceData!$U$266),"")</f>
        <v/>
      </c>
      <c r="V266" t="str">
        <f ca="1">IFERROR(IF(0=LEN(ReferenceData!$V$266),"",ReferenceData!$V$266),"")</f>
        <v/>
      </c>
      <c r="W266" t="str">
        <f ca="1">IFERROR(IF(0=LEN(ReferenceData!$W$266),"",ReferenceData!$W$266),"")</f>
        <v/>
      </c>
      <c r="X266" t="str">
        <f ca="1">IFERROR(IF(0=LEN(ReferenceData!$X$266),"",ReferenceData!$X$266),"")</f>
        <v/>
      </c>
      <c r="Y266" t="str">
        <f ca="1">IFERROR(IF(0=LEN(ReferenceData!$Y$266),"",ReferenceData!$Y$266),"")</f>
        <v/>
      </c>
      <c r="Z266" t="str">
        <f ca="1">IFERROR(IF(0=LEN(ReferenceData!$Z$266),"",ReferenceData!$Z$266),"")</f>
        <v/>
      </c>
      <c r="AA266" t="str">
        <f ca="1">IFERROR(IF(0=LEN(ReferenceData!$AA$266),"",ReferenceData!$AA$266),"")</f>
        <v/>
      </c>
      <c r="AB266" t="str">
        <f ca="1">IFERROR(IF(0=LEN(ReferenceData!$AB$266),"",ReferenceData!$AB$266),"")</f>
        <v/>
      </c>
      <c r="AC266" t="str">
        <f ca="1">IFERROR(IF(0=LEN(ReferenceData!$AC$266),"",ReferenceData!$AC$266),"")</f>
        <v/>
      </c>
      <c r="AD266" t="str">
        <f ca="1">IFERROR(IF(0=LEN(ReferenceData!$AD$266),"",ReferenceData!$AD$266),"")</f>
        <v/>
      </c>
      <c r="AE266" t="str">
        <f ca="1">IFERROR(IF(0=LEN(ReferenceData!$AE$266),"",ReferenceData!$AE$266),"")</f>
        <v/>
      </c>
      <c r="AF266" t="str">
        <f ca="1">IFERROR(IF(0=LEN(ReferenceData!$AF$266),"",ReferenceData!$AF$266),"")</f>
        <v/>
      </c>
      <c r="AG266" t="str">
        <f ca="1">IFERROR(IF(0=LEN(ReferenceData!$AG$266),"",ReferenceData!$AG$266),"")</f>
        <v/>
      </c>
      <c r="AH266" t="str">
        <f ca="1">IFERROR(IF(0=LEN(ReferenceData!$AH$266),"",ReferenceData!$AH$266),"")</f>
        <v/>
      </c>
      <c r="AI266" t="str">
        <f ca="1">IFERROR(IF(0=LEN(ReferenceData!$AI$266),"",ReferenceData!$AI$266),"")</f>
        <v/>
      </c>
      <c r="AJ266" t="str">
        <f ca="1">IFERROR(IF(0=LEN(ReferenceData!$AJ$266),"",ReferenceData!$AJ$266),"")</f>
        <v/>
      </c>
      <c r="AK266" t="str">
        <f ca="1">IFERROR(IF(0=LEN(ReferenceData!$AK$266),"",ReferenceData!$AK$266),"")</f>
        <v/>
      </c>
      <c r="AL266" t="str">
        <f ca="1">IFERROR(IF(0=LEN(ReferenceData!$AL$266),"",ReferenceData!$AL$266),"")</f>
        <v/>
      </c>
      <c r="AM266" t="str">
        <f ca="1">IFERROR(IF(0=LEN(ReferenceData!$AM$266),"",ReferenceData!$AM$266),"")</f>
        <v/>
      </c>
      <c r="AN266" t="str">
        <f ca="1">IFERROR(IF(0=LEN(ReferenceData!$AN$266),"",ReferenceData!$AN$266),"")</f>
        <v/>
      </c>
      <c r="AO266" t="str">
        <f ca="1">IFERROR(IF(0=LEN(ReferenceData!$AO$266),"",ReferenceData!$AO$266),"")</f>
        <v/>
      </c>
      <c r="AP266" t="str">
        <f ca="1">IFERROR(IF(0=LEN(ReferenceData!$AP$266),"",ReferenceData!$AP$266),"")</f>
        <v/>
      </c>
      <c r="AQ266" t="str">
        <f ca="1">IFERROR(IF(0=LEN(ReferenceData!$AQ$266),"",ReferenceData!$AQ$266),"")</f>
        <v/>
      </c>
      <c r="AR266" t="str">
        <f ca="1">IFERROR(IF(0=LEN(ReferenceData!$AR$266),"",ReferenceData!$AR$266),"")</f>
        <v/>
      </c>
      <c r="AS266" t="str">
        <f ca="1">IFERROR(IF(0=LEN(ReferenceData!$AS$266),"",ReferenceData!$AS$266),"")</f>
        <v/>
      </c>
      <c r="AT266" t="str">
        <f ca="1">IFERROR(IF(0=LEN(ReferenceData!$AT$266),"",ReferenceData!$AT$266),"")</f>
        <v/>
      </c>
      <c r="AU266" t="str">
        <f ca="1">IFERROR(IF(0=LEN(ReferenceData!$AU$266),"",ReferenceData!$AU$266),"")</f>
        <v/>
      </c>
      <c r="AV266" t="str">
        <f ca="1">IFERROR(IF(0=LEN(ReferenceData!$AV$266),"",ReferenceData!$AV$266),"")</f>
        <v/>
      </c>
      <c r="AW266" t="str">
        <f ca="1">IFERROR(IF(0=LEN(ReferenceData!$AW$266),"",ReferenceData!$AW$266),"")</f>
        <v/>
      </c>
      <c r="AX266" t="str">
        <f ca="1">IFERROR(IF(0=LEN(ReferenceData!$AX$266),"",ReferenceData!$AX$266),"")</f>
        <v/>
      </c>
      <c r="AY266" t="str">
        <f ca="1">IFERROR(IF(0=LEN(ReferenceData!$AY$266),"",ReferenceData!$AY$266),"")</f>
        <v/>
      </c>
      <c r="AZ266" t="str">
        <f ca="1">IFERROR(IF(0=LEN(ReferenceData!$AZ$266),"",ReferenceData!$AZ$266),"")</f>
        <v/>
      </c>
      <c r="BA266" t="str">
        <f ca="1">IFERROR(IF(0=LEN(ReferenceData!$BA$266),"",ReferenceData!$BA$266),"")</f>
        <v/>
      </c>
      <c r="BB266" t="str">
        <f ca="1">IFERROR(IF(0=LEN(ReferenceData!$BB$266),"",ReferenceData!$BB$266),"")</f>
        <v/>
      </c>
      <c r="BC266" t="str">
        <f ca="1">IFERROR(IF(0=LEN(ReferenceData!$BC$266),"",ReferenceData!$BC$266),"")</f>
        <v/>
      </c>
      <c r="BD266" t="str">
        <f ca="1">IFERROR(IF(0=LEN(ReferenceData!$BD$266),"",ReferenceData!$BD$266),"")</f>
        <v/>
      </c>
      <c r="BE266" t="str">
        <f ca="1">IFERROR(IF(0=LEN(ReferenceData!$BE$266),"",ReferenceData!$BE$266),"")</f>
        <v/>
      </c>
      <c r="BF266" t="str">
        <f ca="1">IFERROR(IF(0=LEN(ReferenceData!$BF$266),"",ReferenceData!$BF$266),"")</f>
        <v/>
      </c>
      <c r="BG266" t="str">
        <f ca="1">IFERROR(IF(0=LEN(ReferenceData!$BG$266),"",ReferenceData!$BG$266),"")</f>
        <v/>
      </c>
      <c r="BH266" t="str">
        <f ca="1">IFERROR(IF(0=LEN(ReferenceData!$BH$266),"",ReferenceData!$BH$266),"")</f>
        <v/>
      </c>
      <c r="BI266" t="str">
        <f ca="1">IFERROR(IF(0=LEN(ReferenceData!$BI$266),"",ReferenceData!$BI$266),"")</f>
        <v/>
      </c>
      <c r="BJ266" t="str">
        <f ca="1">IFERROR(IF(0=LEN(ReferenceData!$BJ$266),"",ReferenceData!$BJ$266),"")</f>
        <v/>
      </c>
      <c r="BK266" t="str">
        <f ca="1">IFERROR(IF(0=LEN(ReferenceData!$BK$266),"",ReferenceData!$BK$266),"")</f>
        <v/>
      </c>
      <c r="BL266" t="str">
        <f ca="1">IFERROR(IF(0=LEN(ReferenceData!$BL$266),"",ReferenceData!$BL$266),"")</f>
        <v/>
      </c>
      <c r="BM266" t="str">
        <f ca="1">IFERROR(IF(0=LEN(ReferenceData!$BM$266),"",ReferenceData!$BM$266),"")</f>
        <v/>
      </c>
    </row>
    <row r="267" spans="1:65" x14ac:dyDescent="0.25">
      <c r="A267" t="str">
        <f>IFERROR(IF(0=LEN(ReferenceData!$A$267),"",ReferenceData!$A$267),"")</f>
        <v xml:space="preserve">    General Motors Co</v>
      </c>
      <c r="B267" t="str">
        <f>IFERROR(IF(0=LEN(ReferenceData!$B$267),"",ReferenceData!$B$267),"")</f>
        <v>GM US Equity</v>
      </c>
      <c r="C267" t="str">
        <f>IFERROR(IF(0=LEN(ReferenceData!$C$267),"",ReferenceData!$C$267),"")</f>
        <v>RR904</v>
      </c>
      <c r="D267" t="str">
        <f>IFERROR(IF(0=LEN(ReferenceData!$D$267),"",ReferenceData!$D$267),"")</f>
        <v>PX_TO_SALES_RATIO</v>
      </c>
      <c r="E267" t="str">
        <f>IFERROR(IF(0=LEN(ReferenceData!$E$267),"",ReferenceData!$E$267),"")</f>
        <v>Dynamic</v>
      </c>
      <c r="F267">
        <f ca="1">IFERROR(IF(0=LEN(ReferenceData!$F$267),"",ReferenceData!$F$267),"")</f>
        <v>0.37687077499999999</v>
      </c>
      <c r="G267">
        <f ca="1">IFERROR(IF(0=LEN(ReferenceData!$G$267),"",ReferenceData!$G$267),"")</f>
        <v>0.32097586099999997</v>
      </c>
      <c r="H267">
        <f ca="1">IFERROR(IF(0=LEN(ReferenceData!$H$267),"",ReferenceData!$H$267),"")</f>
        <v>0.324416239</v>
      </c>
      <c r="I267">
        <f ca="1">IFERROR(IF(0=LEN(ReferenceData!$I$267),"",ReferenceData!$I$267),"")</f>
        <v>0.38738654300000003</v>
      </c>
      <c r="J267">
        <f ca="1">IFERROR(IF(0=LEN(ReferenceData!$J$267),"",ReferenceData!$J$267),"")</f>
        <v>0.36216253700000001</v>
      </c>
      <c r="K267">
        <f ca="1">IFERROR(IF(0=LEN(ReferenceData!$K$267),"",ReferenceData!$K$267),"")</f>
        <v>0.41210619100000001</v>
      </c>
      <c r="L267">
        <f ca="1">IFERROR(IF(0=LEN(ReferenceData!$L$267),"",ReferenceData!$L$267),"")</f>
        <v>0.407664631</v>
      </c>
      <c r="M267">
        <f ca="1">IFERROR(IF(0=LEN(ReferenceData!$M$267),"",ReferenceData!$M$267),"")</f>
        <v>0.34627640900000001</v>
      </c>
      <c r="N267">
        <f ca="1">IFERROR(IF(0=LEN(ReferenceData!$N$267),"",ReferenceData!$N$267),"")</f>
        <v>0.35248267700000002</v>
      </c>
      <c r="O267">
        <f ca="1">IFERROR(IF(0=LEN(ReferenceData!$O$267),"",ReferenceData!$O$267),"")</f>
        <v>0.34958977800000002</v>
      </c>
      <c r="P267">
        <f ca="1">IFERROR(IF(0=LEN(ReferenceData!$P$267),"",ReferenceData!$P$267),"")</f>
        <v>0.32143123499999998</v>
      </c>
      <c r="Q267">
        <f ca="1">IFERROR(IF(0=LEN(ReferenceData!$Q$267),"",ReferenceData!$Q$267),"")</f>
        <v>0.28765878299999997</v>
      </c>
      <c r="R267">
        <f ca="1">IFERROR(IF(0=LEN(ReferenceData!$R$267),"",ReferenceData!$R$267),"")</f>
        <v>0.320212632</v>
      </c>
      <c r="S267">
        <f ca="1">IFERROR(IF(0=LEN(ReferenceData!$S$267),"",ReferenceData!$S$267),"")</f>
        <v>0.353774323</v>
      </c>
      <c r="T267">
        <f ca="1">IFERROR(IF(0=LEN(ReferenceData!$T$267),"",ReferenceData!$T$267),"")</f>
        <v>0.31533726000000001</v>
      </c>
      <c r="U267">
        <f ca="1">IFERROR(IF(0=LEN(ReferenceData!$U$267),"",ReferenceData!$U$267),"")</f>
        <v>0.35113612700000002</v>
      </c>
      <c r="V267">
        <f ca="1">IFERROR(IF(0=LEN(ReferenceData!$V$267),"",ReferenceData!$V$267),"")</f>
        <v>0.39203188500000002</v>
      </c>
      <c r="W267">
        <f ca="1">IFERROR(IF(0=LEN(ReferenceData!$W$267),"",ReferenceData!$W$267),"")</f>
        <v>0.35937207500000001</v>
      </c>
      <c r="X267">
        <f ca="1">IFERROR(IF(0=LEN(ReferenceData!$X$267),"",ReferenceData!$X$267),"")</f>
        <v>0.31707180699999998</v>
      </c>
      <c r="Y267">
        <f ca="1">IFERROR(IF(0=LEN(ReferenceData!$Y$267),"",ReferenceData!$Y$267),"")</f>
        <v>0.34733915399999998</v>
      </c>
      <c r="Z267">
        <f ca="1">IFERROR(IF(0=LEN(ReferenceData!$Z$267),"",ReferenceData!$Z$267),"")</f>
        <v>0.31797061700000001</v>
      </c>
      <c r="AA267">
        <f ca="1">IFERROR(IF(0=LEN(ReferenceData!$AA$267),"",ReferenceData!$AA$267),"")</f>
        <v>0.36634712400000002</v>
      </c>
      <c r="AB267">
        <f ca="1">IFERROR(IF(0=LEN(ReferenceData!$AB$267),"",ReferenceData!$AB$267),"")</f>
        <v>0.33090694799999998</v>
      </c>
      <c r="AC267">
        <f ca="1">IFERROR(IF(0=LEN(ReferenceData!$AC$267),"",ReferenceData!$AC$267),"")</f>
        <v>0.31872929700000002</v>
      </c>
      <c r="AD267">
        <f ca="1">IFERROR(IF(0=LEN(ReferenceData!$AD$267),"",ReferenceData!$AD$267),"")</f>
        <v>0.27796525599999999</v>
      </c>
      <c r="AE267">
        <f ca="1">IFERROR(IF(0=LEN(ReferenceData!$AE$267),"",ReferenceData!$AE$267),"")</f>
        <v>0.29654151400000001</v>
      </c>
      <c r="AF267">
        <f ca="1">IFERROR(IF(0=LEN(ReferenceData!$AF$267),"",ReferenceData!$AF$267),"")</f>
        <v>0.23674888899999999</v>
      </c>
      <c r="AG267">
        <f ca="1">IFERROR(IF(0=LEN(ReferenceData!$AG$267),"",ReferenceData!$AG$267),"")</f>
        <v>0.20613103799999999</v>
      </c>
      <c r="AH267">
        <f ca="1">IFERROR(IF(0=LEN(ReferenceData!$AH$267),"",ReferenceData!$AH$267),"")</f>
        <v>0.26212110599999999</v>
      </c>
      <c r="AI267">
        <f ca="1">IFERROR(IF(0=LEN(ReferenceData!$AI$267),"",ReferenceData!$AI$267),"")</f>
        <v>0.207045956</v>
      </c>
      <c r="AJ267">
        <f ca="1">IFERROR(IF(0=LEN(ReferenceData!$AJ$267),"",ReferenceData!$AJ$267),"")</f>
        <v>0.205311727</v>
      </c>
      <c r="AK267">
        <f ca="1">IFERROR(IF(0=LEN(ReferenceData!$AK$267),"",ReferenceData!$AK$267),"")</f>
        <v>0.31142119499999998</v>
      </c>
      <c r="AL267">
        <f ca="1">IFERROR(IF(0=LEN(ReferenceData!$AL$267),"",ReferenceData!$AL$267),"")</f>
        <v>0.33207379300000001</v>
      </c>
      <c r="AM267">
        <f ca="1">IFERROR(IF(0=LEN(ReferenceData!$AM$267),"",ReferenceData!$AM$267),"")</f>
        <v>0.407915164</v>
      </c>
      <c r="AN267" t="str">
        <f ca="1">IFERROR(IF(0=LEN(ReferenceData!$AN$267),"",ReferenceData!$AN$267),"")</f>
        <v/>
      </c>
      <c r="AO267" t="str">
        <f ca="1">IFERROR(IF(0=LEN(ReferenceData!$AO$267),"",ReferenceData!$AO$267),"")</f>
        <v/>
      </c>
      <c r="AP267" t="str">
        <f ca="1">IFERROR(IF(0=LEN(ReferenceData!$AP$267),"",ReferenceData!$AP$267),"")</f>
        <v/>
      </c>
      <c r="AQ267" t="str">
        <f ca="1">IFERROR(IF(0=LEN(ReferenceData!$AQ$267),"",ReferenceData!$AQ$267),"")</f>
        <v/>
      </c>
      <c r="AR267" t="str">
        <f ca="1">IFERROR(IF(0=LEN(ReferenceData!$AR$267),"",ReferenceData!$AR$267),"")</f>
        <v/>
      </c>
      <c r="AS267" t="str">
        <f ca="1">IFERROR(IF(0=LEN(ReferenceData!$AS$267),"",ReferenceData!$AS$267),"")</f>
        <v/>
      </c>
      <c r="AT267" t="str">
        <f ca="1">IFERROR(IF(0=LEN(ReferenceData!$AT$267),"",ReferenceData!$AT$267),"")</f>
        <v/>
      </c>
      <c r="AU267" t="str">
        <f ca="1">IFERROR(IF(0=LEN(ReferenceData!$AU$267),"",ReferenceData!$AU$267),"")</f>
        <v/>
      </c>
      <c r="AV267" t="str">
        <f ca="1">IFERROR(IF(0=LEN(ReferenceData!$AV$267),"",ReferenceData!$AV$267),"")</f>
        <v/>
      </c>
      <c r="AW267" t="str">
        <f ca="1">IFERROR(IF(0=LEN(ReferenceData!$AW$267),"",ReferenceData!$AW$267),"")</f>
        <v/>
      </c>
      <c r="AX267" t="str">
        <f ca="1">IFERROR(IF(0=LEN(ReferenceData!$AX$267),"",ReferenceData!$AX$267),"")</f>
        <v/>
      </c>
      <c r="AY267" t="str">
        <f ca="1">IFERROR(IF(0=LEN(ReferenceData!$AY$267),"",ReferenceData!$AY$267),"")</f>
        <v/>
      </c>
      <c r="AZ267" t="str">
        <f ca="1">IFERROR(IF(0=LEN(ReferenceData!$AZ$267),"",ReferenceData!$AZ$267),"")</f>
        <v/>
      </c>
      <c r="BA267" t="str">
        <f ca="1">IFERROR(IF(0=LEN(ReferenceData!$BA$267),"",ReferenceData!$BA$267),"")</f>
        <v/>
      </c>
      <c r="BB267" t="str">
        <f ca="1">IFERROR(IF(0=LEN(ReferenceData!$BB$267),"",ReferenceData!$BB$267),"")</f>
        <v/>
      </c>
      <c r="BC267" t="str">
        <f ca="1">IFERROR(IF(0=LEN(ReferenceData!$BC$267),"",ReferenceData!$BC$267),"")</f>
        <v/>
      </c>
      <c r="BD267" t="str">
        <f ca="1">IFERROR(IF(0=LEN(ReferenceData!$BD$267),"",ReferenceData!$BD$267),"")</f>
        <v/>
      </c>
      <c r="BE267" t="str">
        <f ca="1">IFERROR(IF(0=LEN(ReferenceData!$BE$267),"",ReferenceData!$BE$267),"")</f>
        <v/>
      </c>
      <c r="BF267" t="str">
        <f ca="1">IFERROR(IF(0=LEN(ReferenceData!$BF$267),"",ReferenceData!$BF$267),"")</f>
        <v/>
      </c>
      <c r="BG267" t="str">
        <f ca="1">IFERROR(IF(0=LEN(ReferenceData!$BG$267),"",ReferenceData!$BG$267),"")</f>
        <v/>
      </c>
      <c r="BH267" t="str">
        <f ca="1">IFERROR(IF(0=LEN(ReferenceData!$BH$267),"",ReferenceData!$BH$267),"")</f>
        <v/>
      </c>
      <c r="BI267" t="str">
        <f ca="1">IFERROR(IF(0=LEN(ReferenceData!$BI$267),"",ReferenceData!$BI$267),"")</f>
        <v/>
      </c>
      <c r="BJ267" t="str">
        <f ca="1">IFERROR(IF(0=LEN(ReferenceData!$BJ$267),"",ReferenceData!$BJ$267),"")</f>
        <v/>
      </c>
      <c r="BK267" t="str">
        <f ca="1">IFERROR(IF(0=LEN(ReferenceData!$BK$267),"",ReferenceData!$BK$267),"")</f>
        <v/>
      </c>
      <c r="BL267" t="str">
        <f ca="1">IFERROR(IF(0=LEN(ReferenceData!$BL$267),"",ReferenceData!$BL$267),"")</f>
        <v/>
      </c>
      <c r="BM267" t="str">
        <f ca="1">IFERROR(IF(0=LEN(ReferenceData!$BM$267),"",ReferenceData!$BM$267),"")</f>
        <v/>
      </c>
    </row>
    <row r="268" spans="1:65" x14ac:dyDescent="0.25">
      <c r="A268" t="str">
        <f>IFERROR(IF(0=LEN(ReferenceData!$A$268),"",ReferenceData!$A$268),"")</f>
        <v xml:space="preserve">    Great Wall Motor Co Ltd</v>
      </c>
      <c r="B268" t="str">
        <f>IFERROR(IF(0=LEN(ReferenceData!$B$268),"",ReferenceData!$B$268),"")</f>
        <v>2333 HK Equity</v>
      </c>
      <c r="C268" t="str">
        <f>IFERROR(IF(0=LEN(ReferenceData!$C$268),"",ReferenceData!$C$268),"")</f>
        <v>RR904</v>
      </c>
      <c r="D268" t="str">
        <f>IFERROR(IF(0=LEN(ReferenceData!$D$268),"",ReferenceData!$D$268),"")</f>
        <v>PX_TO_SALES_RATIO</v>
      </c>
      <c r="E268" t="str">
        <f>IFERROR(IF(0=LEN(ReferenceData!$E$268),"",ReferenceData!$E$268),"")</f>
        <v>Dynamic</v>
      </c>
      <c r="F268">
        <f ca="1">IFERROR(IF(0=LEN(ReferenceData!$F$268),"",ReferenceData!$F$268),"")</f>
        <v>0.50917504099999999</v>
      </c>
      <c r="G268">
        <f ca="1">IFERROR(IF(0=LEN(ReferenceData!$G$268),"",ReferenceData!$G$268),"")</f>
        <v>0.35887532100000002</v>
      </c>
      <c r="H268">
        <f ca="1">IFERROR(IF(0=LEN(ReferenceData!$H$268),"",ReferenceData!$H$268),"")</f>
        <v>0.39863513099999998</v>
      </c>
      <c r="I268">
        <f ca="1">IFERROR(IF(0=LEN(ReferenceData!$I$268),"",ReferenceData!$I$268),"")</f>
        <v>0.44321408499999998</v>
      </c>
      <c r="J268">
        <f ca="1">IFERROR(IF(0=LEN(ReferenceData!$J$268),"",ReferenceData!$J$268),"")</f>
        <v>0.57526867199999998</v>
      </c>
      <c r="K268">
        <f ca="1">IFERROR(IF(0=LEN(ReferenceData!$K$268),"",ReferenceData!$K$268),"")</f>
        <v>0.69951095600000002</v>
      </c>
      <c r="L268">
        <f ca="1">IFERROR(IF(0=LEN(ReferenceData!$L$268),"",ReferenceData!$L$268),"")</f>
        <v>0.78562435500000005</v>
      </c>
      <c r="M268">
        <f ca="1">IFERROR(IF(0=LEN(ReferenceData!$M$268),"",ReferenceData!$M$268),"")</f>
        <v>0.80691405199999999</v>
      </c>
      <c r="N268">
        <f ca="1">IFERROR(IF(0=LEN(ReferenceData!$N$268),"",ReferenceData!$N$268),"")</f>
        <v>0.73528022999999998</v>
      </c>
      <c r="O268">
        <f ca="1">IFERROR(IF(0=LEN(ReferenceData!$O$268),"",ReferenceData!$O$268),"")</f>
        <v>0.62397895599999997</v>
      </c>
      <c r="P268">
        <f ca="1">IFERROR(IF(0=LEN(ReferenceData!$P$268),"",ReferenceData!$P$268),"")</f>
        <v>0.70862106700000005</v>
      </c>
      <c r="Q268">
        <f ca="1">IFERROR(IF(0=LEN(ReferenceData!$Q$268),"",ReferenceData!$Q$268),"")</f>
        <v>0.64878655399999996</v>
      </c>
      <c r="R268">
        <f ca="1">IFERROR(IF(0=LEN(ReferenceData!$R$268),"",ReferenceData!$R$268),"")</f>
        <v>0.64116990699999998</v>
      </c>
      <c r="S268">
        <f ca="1">IFERROR(IF(0=LEN(ReferenceData!$S$268),"",ReferenceData!$S$268),"")</f>
        <v>0.94319825899999998</v>
      </c>
      <c r="T268">
        <f ca="1">IFERROR(IF(0=LEN(ReferenceData!$T$268),"",ReferenceData!$T$268),"")</f>
        <v>0.91682801400000002</v>
      </c>
      <c r="U268">
        <f ca="1">IFERROR(IF(0=LEN(ReferenceData!$U$268),"",ReferenceData!$U$268),"")</f>
        <v>1.3476251429999999</v>
      </c>
      <c r="V268">
        <f ca="1">IFERROR(IF(0=LEN(ReferenceData!$V$268),"",ReferenceData!$V$268),"")</f>
        <v>2.0599661459999998</v>
      </c>
      <c r="W268">
        <f ca="1">IFERROR(IF(0=LEN(ReferenceData!$W$268),"",ReferenceData!$W$268),"")</f>
        <v>1.7807559690000001</v>
      </c>
      <c r="X268">
        <f ca="1">IFERROR(IF(0=LEN(ReferenceData!$X$268),"",ReferenceData!$X$268),"")</f>
        <v>1.2832842310000001</v>
      </c>
      <c r="Y268">
        <f ca="1">IFERROR(IF(0=LEN(ReferenceData!$Y$268),"",ReferenceData!$Y$268),"")</f>
        <v>1.234706576</v>
      </c>
      <c r="Z268">
        <f ca="1">IFERROR(IF(0=LEN(ReferenceData!$Z$268),"",ReferenceData!$Z$268),"")</f>
        <v>1.674391395</v>
      </c>
      <c r="AA268">
        <f ca="1">IFERROR(IF(0=LEN(ReferenceData!$AA$268),"",ReferenceData!$AA$268),"")</f>
        <v>1.857259153</v>
      </c>
      <c r="AB268">
        <f ca="1">IFERROR(IF(0=LEN(ReferenceData!$AB$268),"",ReferenceData!$AB$268),"")</f>
        <v>1.9238018509999999</v>
      </c>
      <c r="AC268">
        <f ca="1">IFERROR(IF(0=LEN(ReferenceData!$AC$268),"",ReferenceData!$AC$268),"")</f>
        <v>1.6301217130000001</v>
      </c>
      <c r="AD268">
        <f ca="1">IFERROR(IF(0=LEN(ReferenceData!$AD$268),"",ReferenceData!$AD$268),"")</f>
        <v>1.410505637</v>
      </c>
      <c r="AE268">
        <f ca="1">IFERROR(IF(0=LEN(ReferenceData!$AE$268),"",ReferenceData!$AE$268),"")</f>
        <v>1.4396366439999999</v>
      </c>
      <c r="AF268">
        <f ca="1">IFERROR(IF(0=LEN(ReferenceData!$AF$268),"",ReferenceData!$AF$268),"")</f>
        <v>0.95011174399999998</v>
      </c>
      <c r="AG268">
        <f ca="1">IFERROR(IF(0=LEN(ReferenceData!$AG$268),"",ReferenceData!$AG$268),"")</f>
        <v>0.77737100100000001</v>
      </c>
      <c r="AH268" t="str">
        <f ca="1">IFERROR(IF(0=LEN(ReferenceData!$AH$268),"",ReferenceData!$AH$268),"")</f>
        <v/>
      </c>
      <c r="AI268" t="str">
        <f ca="1">IFERROR(IF(0=LEN(ReferenceData!$AI$268),"",ReferenceData!$AI$268),"")</f>
        <v/>
      </c>
      <c r="AJ268" t="str">
        <f ca="1">IFERROR(IF(0=LEN(ReferenceData!$AJ$268),"",ReferenceData!$AJ$268),"")</f>
        <v/>
      </c>
      <c r="AK268" t="str">
        <f ca="1">IFERROR(IF(0=LEN(ReferenceData!$AK$268),"",ReferenceData!$AK$268),"")</f>
        <v/>
      </c>
      <c r="AL268" t="str">
        <f ca="1">IFERROR(IF(0=LEN(ReferenceData!$AL$268),"",ReferenceData!$AL$268),"")</f>
        <v/>
      </c>
      <c r="AM268" t="str">
        <f ca="1">IFERROR(IF(0=LEN(ReferenceData!$AM$268),"",ReferenceData!$AM$268),"")</f>
        <v/>
      </c>
      <c r="AN268" t="str">
        <f ca="1">IFERROR(IF(0=LEN(ReferenceData!$AN$268),"",ReferenceData!$AN$268),"")</f>
        <v/>
      </c>
      <c r="AO268" t="str">
        <f ca="1">IFERROR(IF(0=LEN(ReferenceData!$AO$268),"",ReferenceData!$AO$268),"")</f>
        <v/>
      </c>
      <c r="AP268" t="str">
        <f ca="1">IFERROR(IF(0=LEN(ReferenceData!$AP$268),"",ReferenceData!$AP$268),"")</f>
        <v/>
      </c>
      <c r="AQ268" t="str">
        <f ca="1">IFERROR(IF(0=LEN(ReferenceData!$AQ$268),"",ReferenceData!$AQ$268),"")</f>
        <v/>
      </c>
      <c r="AR268" t="str">
        <f ca="1">IFERROR(IF(0=LEN(ReferenceData!$AR$268),"",ReferenceData!$AR$268),"")</f>
        <v/>
      </c>
      <c r="AS268" t="str">
        <f ca="1">IFERROR(IF(0=LEN(ReferenceData!$AS$268),"",ReferenceData!$AS$268),"")</f>
        <v/>
      </c>
      <c r="AT268" t="str">
        <f ca="1">IFERROR(IF(0=LEN(ReferenceData!$AT$268),"",ReferenceData!$AT$268),"")</f>
        <v/>
      </c>
      <c r="AU268" t="str">
        <f ca="1">IFERROR(IF(0=LEN(ReferenceData!$AU$268),"",ReferenceData!$AU$268),"")</f>
        <v/>
      </c>
      <c r="AV268" t="str">
        <f ca="1">IFERROR(IF(0=LEN(ReferenceData!$AV$268),"",ReferenceData!$AV$268),"")</f>
        <v/>
      </c>
      <c r="AW268" t="str">
        <f ca="1">IFERROR(IF(0=LEN(ReferenceData!$AW$268),"",ReferenceData!$AW$268),"")</f>
        <v/>
      </c>
      <c r="AX268" t="str">
        <f ca="1">IFERROR(IF(0=LEN(ReferenceData!$AX$268),"",ReferenceData!$AX$268),"")</f>
        <v/>
      </c>
      <c r="AY268" t="str">
        <f ca="1">IFERROR(IF(0=LEN(ReferenceData!$AY$268),"",ReferenceData!$AY$268),"")</f>
        <v/>
      </c>
      <c r="AZ268" t="str">
        <f ca="1">IFERROR(IF(0=LEN(ReferenceData!$AZ$268),"",ReferenceData!$AZ$268),"")</f>
        <v/>
      </c>
      <c r="BA268" t="str">
        <f ca="1">IFERROR(IF(0=LEN(ReferenceData!$BA$268),"",ReferenceData!$BA$268),"")</f>
        <v/>
      </c>
      <c r="BB268" t="str">
        <f ca="1">IFERROR(IF(0=LEN(ReferenceData!$BB$268),"",ReferenceData!$BB$268),"")</f>
        <v/>
      </c>
      <c r="BC268" t="str">
        <f ca="1">IFERROR(IF(0=LEN(ReferenceData!$BC$268),"",ReferenceData!$BC$268),"")</f>
        <v/>
      </c>
      <c r="BD268" t="str">
        <f ca="1">IFERROR(IF(0=LEN(ReferenceData!$BD$268),"",ReferenceData!$BD$268),"")</f>
        <v/>
      </c>
      <c r="BE268" t="str">
        <f ca="1">IFERROR(IF(0=LEN(ReferenceData!$BE$268),"",ReferenceData!$BE$268),"")</f>
        <v/>
      </c>
      <c r="BF268" t="str">
        <f ca="1">IFERROR(IF(0=LEN(ReferenceData!$BF$268),"",ReferenceData!$BF$268),"")</f>
        <v/>
      </c>
      <c r="BG268" t="str">
        <f ca="1">IFERROR(IF(0=LEN(ReferenceData!$BG$268),"",ReferenceData!$BG$268),"")</f>
        <v/>
      </c>
      <c r="BH268" t="str">
        <f ca="1">IFERROR(IF(0=LEN(ReferenceData!$BH$268),"",ReferenceData!$BH$268),"")</f>
        <v/>
      </c>
      <c r="BI268" t="str">
        <f ca="1">IFERROR(IF(0=LEN(ReferenceData!$BI$268),"",ReferenceData!$BI$268),"")</f>
        <v/>
      </c>
      <c r="BJ268" t="str">
        <f ca="1">IFERROR(IF(0=LEN(ReferenceData!$BJ$268),"",ReferenceData!$BJ$268),"")</f>
        <v/>
      </c>
      <c r="BK268" t="str">
        <f ca="1">IFERROR(IF(0=LEN(ReferenceData!$BK$268),"",ReferenceData!$BK$268),"")</f>
        <v/>
      </c>
      <c r="BL268" t="str">
        <f ca="1">IFERROR(IF(0=LEN(ReferenceData!$BL$268),"",ReferenceData!$BL$268),"")</f>
        <v/>
      </c>
      <c r="BM268" t="str">
        <f ca="1">IFERROR(IF(0=LEN(ReferenceData!$BM$268),"",ReferenceData!$BM$268),"")</f>
        <v/>
      </c>
    </row>
    <row r="269" spans="1:65" x14ac:dyDescent="0.25">
      <c r="A269" t="str">
        <f>IFERROR(IF(0=LEN(ReferenceData!$A$269),"",ReferenceData!$A$269),"")</f>
        <v xml:space="preserve">    Guangzhou Automobile Group Co Ltd</v>
      </c>
      <c r="B269" t="str">
        <f>IFERROR(IF(0=LEN(ReferenceData!$B$269),"",ReferenceData!$B$269),"")</f>
        <v>2238 HK Equity</v>
      </c>
      <c r="C269" t="str">
        <f>IFERROR(IF(0=LEN(ReferenceData!$C$269),"",ReferenceData!$C$269),"")</f>
        <v>RR904</v>
      </c>
      <c r="D269" t="str">
        <f>IFERROR(IF(0=LEN(ReferenceData!$D$269),"",ReferenceData!$D$269),"")</f>
        <v>PX_TO_SALES_RATIO</v>
      </c>
      <c r="E269" t="str">
        <f>IFERROR(IF(0=LEN(ReferenceData!$E$269),"",ReferenceData!$E$269),"")</f>
        <v>Dynamic</v>
      </c>
      <c r="F269">
        <f ca="1">IFERROR(IF(0=LEN(ReferenceData!$F$269),"",ReferenceData!$F$269),"")</f>
        <v>1.1882884499999999</v>
      </c>
      <c r="G269">
        <f ca="1">IFERROR(IF(0=LEN(ReferenceData!$G$269),"",ReferenceData!$G$269),"")</f>
        <v>0.96335091299999998</v>
      </c>
      <c r="H269">
        <f ca="1">IFERROR(IF(0=LEN(ReferenceData!$H$269),"",ReferenceData!$H$269),"")</f>
        <v>1.0688834359999999</v>
      </c>
      <c r="I269">
        <f ca="1">IFERROR(IF(0=LEN(ReferenceData!$I$269),"",ReferenceData!$I$269),"")</f>
        <v>0.87986821400000004</v>
      </c>
      <c r="J269">
        <f ca="1">IFERROR(IF(0=LEN(ReferenceData!$J$269),"",ReferenceData!$J$269),"")</f>
        <v>1.0945167309999999</v>
      </c>
      <c r="K269">
        <f ca="1">IFERROR(IF(0=LEN(ReferenceData!$K$269),"",ReferenceData!$K$269),"")</f>
        <v>1.461875823</v>
      </c>
      <c r="L269">
        <f ca="1">IFERROR(IF(0=LEN(ReferenceData!$L$269),"",ReferenceData!$L$269),"")</f>
        <v>1.54716739</v>
      </c>
      <c r="M269">
        <f ca="1">IFERROR(IF(0=LEN(ReferenceData!$M$269),"",ReferenceData!$M$269),"")</f>
        <v>1.2658955000000001</v>
      </c>
      <c r="N269">
        <f ca="1">IFERROR(IF(0=LEN(ReferenceData!$N$269),"",ReferenceData!$N$269),"")</f>
        <v>1.3074892730000001</v>
      </c>
      <c r="O269">
        <f ca="1">IFERROR(IF(0=LEN(ReferenceData!$O$269),"",ReferenceData!$O$269),"")</f>
        <v>1.129110289</v>
      </c>
      <c r="P269">
        <f ca="1">IFERROR(IF(0=LEN(ReferenceData!$P$269),"",ReferenceData!$P$269),"")</f>
        <v>1.2684733619999999</v>
      </c>
      <c r="Q269">
        <f ca="1">IFERROR(IF(0=LEN(ReferenceData!$Q$269),"",ReferenceData!$Q$269),"")</f>
        <v>1.3367299640000001</v>
      </c>
      <c r="R269">
        <f ca="1">IFERROR(IF(0=LEN(ReferenceData!$R$269),"",ReferenceData!$R$269),"")</f>
        <v>1.304570292</v>
      </c>
      <c r="S269">
        <f ca="1">IFERROR(IF(0=LEN(ReferenceData!$S$269),"",ReferenceData!$S$269),"")</f>
        <v>1.3062896129999999</v>
      </c>
      <c r="T269">
        <f ca="1">IFERROR(IF(0=LEN(ReferenceData!$T$269),"",ReferenceData!$T$269),"")</f>
        <v>1.3403312949999999</v>
      </c>
      <c r="U269">
        <f ca="1">IFERROR(IF(0=LEN(ReferenceData!$U$269),"",ReferenceData!$U$269),"")</f>
        <v>1.658414273</v>
      </c>
      <c r="V269">
        <f ca="1">IFERROR(IF(0=LEN(ReferenceData!$V$269),"",ReferenceData!$V$269),"")</f>
        <v>1.717316745</v>
      </c>
      <c r="W269">
        <f ca="1">IFERROR(IF(0=LEN(ReferenceData!$W$269),"",ReferenceData!$W$269),"")</f>
        <v>1.683987906</v>
      </c>
      <c r="X269">
        <f ca="1">IFERROR(IF(0=LEN(ReferenceData!$X$269),"",ReferenceData!$X$269),"")</f>
        <v>1.796485323</v>
      </c>
      <c r="Y269">
        <f ca="1">IFERROR(IF(0=LEN(ReferenceData!$Y$269),"",ReferenceData!$Y$269),"")</f>
        <v>2.2444653020000001</v>
      </c>
      <c r="Z269">
        <f ca="1">IFERROR(IF(0=LEN(ReferenceData!$Z$269),"",ReferenceData!$Z$269),"")</f>
        <v>2.2221671710000002</v>
      </c>
      <c r="AA269">
        <f ca="1">IFERROR(IF(0=LEN(ReferenceData!$AA$269),"",ReferenceData!$AA$269),"")</f>
        <v>2.3461752950000001</v>
      </c>
      <c r="AB269">
        <f ca="1">IFERROR(IF(0=LEN(ReferenceData!$AB$269),"",ReferenceData!$AB$269),"")</f>
        <v>2.6437337360000002</v>
      </c>
      <c r="AC269">
        <f ca="1">IFERROR(IF(0=LEN(ReferenceData!$AC$269),"",ReferenceData!$AC$269),"")</f>
        <v>2.4594901130000002</v>
      </c>
      <c r="AD269">
        <f ca="1">IFERROR(IF(0=LEN(ReferenceData!$AD$269),"",ReferenceData!$AD$269),"")</f>
        <v>2.41406009</v>
      </c>
      <c r="AE269">
        <f ca="1">IFERROR(IF(0=LEN(ReferenceData!$AE$269),"",ReferenceData!$AE$269),"")</f>
        <v>2.8097495509999999</v>
      </c>
      <c r="AF269">
        <f ca="1">IFERROR(IF(0=LEN(ReferenceData!$AF$269),"",ReferenceData!$AF$269),"")</f>
        <v>2.2352170920000001</v>
      </c>
      <c r="AG269">
        <f ca="1">IFERROR(IF(0=LEN(ReferenceData!$AG$269),"",ReferenceData!$AG$269),"")</f>
        <v>2.9754381200000002</v>
      </c>
      <c r="AH269">
        <f ca="1">IFERROR(IF(0=LEN(ReferenceData!$AH$269),"",ReferenceData!$AH$269),"")</f>
        <v>3.6648058649999999</v>
      </c>
      <c r="AI269">
        <f ca="1">IFERROR(IF(0=LEN(ReferenceData!$AI$269),"",ReferenceData!$AI$269),"")</f>
        <v>3.4091952330000002</v>
      </c>
      <c r="AJ269">
        <f ca="1">IFERROR(IF(0=LEN(ReferenceData!$AJ$269),"",ReferenceData!$AJ$269),"")</f>
        <v>4.4028874709999997</v>
      </c>
      <c r="AK269">
        <f ca="1">IFERROR(IF(0=LEN(ReferenceData!$AK$269),"",ReferenceData!$AK$269),"")</f>
        <v>5.5082329449999996</v>
      </c>
      <c r="AL269">
        <f ca="1">IFERROR(IF(0=LEN(ReferenceData!$AL$269),"",ReferenceData!$AL$269),"")</f>
        <v>5.087356024</v>
      </c>
      <c r="AM269">
        <f ca="1">IFERROR(IF(0=LEN(ReferenceData!$AM$269),"",ReferenceData!$AM$269),"")</f>
        <v>4.8726837280000002</v>
      </c>
      <c r="AN269">
        <f ca="1">IFERROR(IF(0=LEN(ReferenceData!$AN$269),"",ReferenceData!$AN$269),"")</f>
        <v>5.520228715</v>
      </c>
      <c r="AO269" t="str">
        <f ca="1">IFERROR(IF(0=LEN(ReferenceData!$AO$269),"",ReferenceData!$AO$269),"")</f>
        <v/>
      </c>
      <c r="AP269" t="str">
        <f ca="1">IFERROR(IF(0=LEN(ReferenceData!$AP$269),"",ReferenceData!$AP$269),"")</f>
        <v/>
      </c>
      <c r="AQ269" t="str">
        <f ca="1">IFERROR(IF(0=LEN(ReferenceData!$AQ$269),"",ReferenceData!$AQ$269),"")</f>
        <v/>
      </c>
      <c r="AR269" t="str">
        <f ca="1">IFERROR(IF(0=LEN(ReferenceData!$AR$269),"",ReferenceData!$AR$269),"")</f>
        <v/>
      </c>
      <c r="AS269" t="str">
        <f ca="1">IFERROR(IF(0=LEN(ReferenceData!$AS$269),"",ReferenceData!$AS$269),"")</f>
        <v/>
      </c>
      <c r="AT269" t="str">
        <f ca="1">IFERROR(IF(0=LEN(ReferenceData!$AT$269),"",ReferenceData!$AT$269),"")</f>
        <v/>
      </c>
      <c r="AU269" t="str">
        <f ca="1">IFERROR(IF(0=LEN(ReferenceData!$AU$269),"",ReferenceData!$AU$269),"")</f>
        <v/>
      </c>
      <c r="AV269" t="str">
        <f ca="1">IFERROR(IF(0=LEN(ReferenceData!$AV$269),"",ReferenceData!$AV$269),"")</f>
        <v/>
      </c>
      <c r="AW269" t="str">
        <f ca="1">IFERROR(IF(0=LEN(ReferenceData!$AW$269),"",ReferenceData!$AW$269),"")</f>
        <v/>
      </c>
      <c r="AX269" t="str">
        <f ca="1">IFERROR(IF(0=LEN(ReferenceData!$AX$269),"",ReferenceData!$AX$269),"")</f>
        <v/>
      </c>
      <c r="AY269" t="str">
        <f ca="1">IFERROR(IF(0=LEN(ReferenceData!$AY$269),"",ReferenceData!$AY$269),"")</f>
        <v/>
      </c>
      <c r="AZ269" t="str">
        <f ca="1">IFERROR(IF(0=LEN(ReferenceData!$AZ$269),"",ReferenceData!$AZ$269),"")</f>
        <v/>
      </c>
      <c r="BA269" t="str">
        <f ca="1">IFERROR(IF(0=LEN(ReferenceData!$BA$269),"",ReferenceData!$BA$269),"")</f>
        <v/>
      </c>
      <c r="BB269" t="str">
        <f ca="1">IFERROR(IF(0=LEN(ReferenceData!$BB$269),"",ReferenceData!$BB$269),"")</f>
        <v/>
      </c>
      <c r="BC269" t="str">
        <f ca="1">IFERROR(IF(0=LEN(ReferenceData!$BC$269),"",ReferenceData!$BC$269),"")</f>
        <v/>
      </c>
      <c r="BD269" t="str">
        <f ca="1">IFERROR(IF(0=LEN(ReferenceData!$BD$269),"",ReferenceData!$BD$269),"")</f>
        <v/>
      </c>
      <c r="BE269" t="str">
        <f ca="1">IFERROR(IF(0=LEN(ReferenceData!$BE$269),"",ReferenceData!$BE$269),"")</f>
        <v/>
      </c>
      <c r="BF269" t="str">
        <f ca="1">IFERROR(IF(0=LEN(ReferenceData!$BF$269),"",ReferenceData!$BF$269),"")</f>
        <v/>
      </c>
      <c r="BG269" t="str">
        <f ca="1">IFERROR(IF(0=LEN(ReferenceData!$BG$269),"",ReferenceData!$BG$269),"")</f>
        <v/>
      </c>
      <c r="BH269" t="str">
        <f ca="1">IFERROR(IF(0=LEN(ReferenceData!$BH$269),"",ReferenceData!$BH$269),"")</f>
        <v/>
      </c>
      <c r="BI269" t="str">
        <f ca="1">IFERROR(IF(0=LEN(ReferenceData!$BI$269),"",ReferenceData!$BI$269),"")</f>
        <v/>
      </c>
      <c r="BJ269" t="str">
        <f ca="1">IFERROR(IF(0=LEN(ReferenceData!$BJ$269),"",ReferenceData!$BJ$269),"")</f>
        <v/>
      </c>
      <c r="BK269" t="str">
        <f ca="1">IFERROR(IF(0=LEN(ReferenceData!$BK$269),"",ReferenceData!$BK$269),"")</f>
        <v/>
      </c>
      <c r="BL269" t="str">
        <f ca="1">IFERROR(IF(0=LEN(ReferenceData!$BL$269),"",ReferenceData!$BL$269),"")</f>
        <v/>
      </c>
      <c r="BM269" t="str">
        <f ca="1">IFERROR(IF(0=LEN(ReferenceData!$BM$269),"",ReferenceData!$BM$269),"")</f>
        <v/>
      </c>
    </row>
    <row r="270" spans="1:65" x14ac:dyDescent="0.25">
      <c r="A270" t="str">
        <f>IFERROR(IF(0=LEN(ReferenceData!$A$270),"",ReferenceData!$A$270),"")</f>
        <v xml:space="preserve">    Honda Motor Co Ltd</v>
      </c>
      <c r="B270" t="str">
        <f>IFERROR(IF(0=LEN(ReferenceData!$B$270),"",ReferenceData!$B$270),"")</f>
        <v>7267 JP Equity</v>
      </c>
      <c r="C270" t="str">
        <f>IFERROR(IF(0=LEN(ReferenceData!$C$270),"",ReferenceData!$C$270),"")</f>
        <v>RR904</v>
      </c>
      <c r="D270" t="str">
        <f>IFERROR(IF(0=LEN(ReferenceData!$D$270),"",ReferenceData!$D$270),"")</f>
        <v>PX_TO_SALES_RATIO</v>
      </c>
      <c r="E270" t="str">
        <f>IFERROR(IF(0=LEN(ReferenceData!$E$270),"",ReferenceData!$E$270),"")</f>
        <v>Dynamic</v>
      </c>
      <c r="F270">
        <f ca="1">IFERROR(IF(0=LEN(ReferenceData!$F$270),"",ReferenceData!$F$270),"")</f>
        <v>0.35081905800000002</v>
      </c>
      <c r="G270">
        <f ca="1">IFERROR(IF(0=LEN(ReferenceData!$G$270),"",ReferenceData!$G$270),"")</f>
        <v>0.324942644</v>
      </c>
      <c r="H270">
        <f ca="1">IFERROR(IF(0=LEN(ReferenceData!$H$270),"",ReferenceData!$H$270),"")</f>
        <v>0.38816732500000001</v>
      </c>
      <c r="I270">
        <f ca="1">IFERROR(IF(0=LEN(ReferenceData!$I$270),"",ReferenceData!$I$270),"")</f>
        <v>0.370766914</v>
      </c>
      <c r="J270">
        <f ca="1">IFERROR(IF(0=LEN(ReferenceData!$J$270),"",ReferenceData!$J$270),"")</f>
        <v>0.42730973900000002</v>
      </c>
      <c r="K270">
        <f ca="1">IFERROR(IF(0=LEN(ReferenceData!$K$270),"",ReferenceData!$K$270),"")</f>
        <v>0.45683689399999999</v>
      </c>
      <c r="L270">
        <f ca="1">IFERROR(IF(0=LEN(ReferenceData!$L$270),"",ReferenceData!$L$270),"")</f>
        <v>0.407027321</v>
      </c>
      <c r="M270">
        <f ca="1">IFERROR(IF(0=LEN(ReferenceData!$M$270),"",ReferenceData!$M$270),"")</f>
        <v>0.387778811</v>
      </c>
      <c r="N270">
        <f ca="1">IFERROR(IF(0=LEN(ReferenceData!$N$270),"",ReferenceData!$N$270),"")</f>
        <v>0.43141373700000002</v>
      </c>
      <c r="O270">
        <f ca="1">IFERROR(IF(0=LEN(ReferenceData!$O$270),"",ReferenceData!$O$270),"")</f>
        <v>0.44299329599999998</v>
      </c>
      <c r="P270">
        <f ca="1">IFERROR(IF(0=LEN(ReferenceData!$P$270),"",ReferenceData!$P$270),"")</f>
        <v>0.37146070799999997</v>
      </c>
      <c r="Q270">
        <f ca="1">IFERROR(IF(0=LEN(ReferenceData!$Q$270),"",ReferenceData!$Q$270),"")</f>
        <v>0.322684998</v>
      </c>
      <c r="R270">
        <f ca="1">IFERROR(IF(0=LEN(ReferenceData!$R$270),"",ReferenceData!$R$270),"")</f>
        <v>0.38091873199999998</v>
      </c>
      <c r="S270">
        <f ca="1">IFERROR(IF(0=LEN(ReferenceData!$S$270),"",ReferenceData!$S$270),"")</f>
        <v>0.49289665199999999</v>
      </c>
      <c r="T270">
        <f ca="1">IFERROR(IF(0=LEN(ReferenceData!$T$270),"",ReferenceData!$T$270),"")</f>
        <v>0.44988298900000001</v>
      </c>
      <c r="U270">
        <f ca="1">IFERROR(IF(0=LEN(ReferenceData!$U$270),"",ReferenceData!$U$270),"")</f>
        <v>0.52159494699999998</v>
      </c>
      <c r="V270">
        <f ca="1">IFERROR(IF(0=LEN(ReferenceData!$V$270),"",ReferenceData!$V$270),"")</f>
        <v>0.53329557800000005</v>
      </c>
      <c r="W270">
        <f ca="1">IFERROR(IF(0=LEN(ReferenceData!$W$270),"",ReferenceData!$W$270),"")</f>
        <v>0.49133747999999999</v>
      </c>
      <c r="X270">
        <f ca="1">IFERROR(IF(0=LEN(ReferenceData!$X$270),"",ReferenceData!$X$270),"")</f>
        <v>0.54979615999999998</v>
      </c>
      <c r="Y270">
        <f ca="1">IFERROR(IF(0=LEN(ReferenceData!$Y$270),"",ReferenceData!$Y$270),"")</f>
        <v>0.52187134099999999</v>
      </c>
      <c r="Z270">
        <f ca="1">IFERROR(IF(0=LEN(ReferenceData!$Z$270),"",ReferenceData!$Z$270),"")</f>
        <v>0.55305592000000003</v>
      </c>
      <c r="AA270">
        <f ca="1">IFERROR(IF(0=LEN(ReferenceData!$AA$270),"",ReferenceData!$AA$270),"")</f>
        <v>0.67918444600000005</v>
      </c>
      <c r="AB270">
        <f ca="1">IFERROR(IF(0=LEN(ReferenceData!$AB$270),"",ReferenceData!$AB$270),"")</f>
        <v>0.61785567699999999</v>
      </c>
      <c r="AC270">
        <f ca="1">IFERROR(IF(0=LEN(ReferenceData!$AC$270),"",ReferenceData!$AC$270),"")</f>
        <v>0.64630033099999995</v>
      </c>
      <c r="AD270">
        <f ca="1">IFERROR(IF(0=LEN(ReferenceData!$AD$270),"",ReferenceData!$AD$270),"")</f>
        <v>0.64863399200000005</v>
      </c>
      <c r="AE270">
        <f ca="1">IFERROR(IF(0=LEN(ReferenceData!$AE$270),"",ReferenceData!$AE$270),"")</f>
        <v>0.59427577300000001</v>
      </c>
      <c r="AF270">
        <f ca="1">IFERROR(IF(0=LEN(ReferenceData!$AF$270),"",ReferenceData!$AF$270),"")</f>
        <v>0.47710734500000002</v>
      </c>
      <c r="AG270">
        <f ca="1">IFERROR(IF(0=LEN(ReferenceData!$AG$270),"",ReferenceData!$AG$270),"")</f>
        <v>0.57149498499999996</v>
      </c>
      <c r="AH270">
        <f ca="1">IFERROR(IF(0=LEN(ReferenceData!$AH$270),"",ReferenceData!$AH$270),"")</f>
        <v>0.71315649599999997</v>
      </c>
      <c r="AI270">
        <f ca="1">IFERROR(IF(0=LEN(ReferenceData!$AI$270),"",ReferenceData!$AI$270),"")</f>
        <v>0.54564551500000003</v>
      </c>
      <c r="AJ270">
        <f ca="1">IFERROR(IF(0=LEN(ReferenceData!$AJ$270),"",ReferenceData!$AJ$270),"")</f>
        <v>0.52293988000000002</v>
      </c>
      <c r="AK270">
        <f ca="1">IFERROR(IF(0=LEN(ReferenceData!$AK$270),"",ReferenceData!$AK$270),"")</f>
        <v>0.67118647200000003</v>
      </c>
      <c r="AL270">
        <f ca="1">IFERROR(IF(0=LEN(ReferenceData!$AL$270),"",ReferenceData!$AL$270),"")</f>
        <v>0.63165629599999995</v>
      </c>
      <c r="AM270">
        <f ca="1">IFERROR(IF(0=LEN(ReferenceData!$AM$270),"",ReferenceData!$AM$270),"")</f>
        <v>0.64611619300000001</v>
      </c>
      <c r="AN270">
        <f ca="1">IFERROR(IF(0=LEN(ReferenceData!$AN$270),"",ReferenceData!$AN$270),"")</f>
        <v>0.587923847</v>
      </c>
      <c r="AO270">
        <f ca="1">IFERROR(IF(0=LEN(ReferenceData!$AO$270),"",ReferenceData!$AO$270),"")</f>
        <v>0.52712364300000003</v>
      </c>
      <c r="AP270">
        <f ca="1">IFERROR(IF(0=LEN(ReferenceData!$AP$270),"",ReferenceData!$AP$270),"")</f>
        <v>0.69799704100000004</v>
      </c>
      <c r="AQ270">
        <f ca="1">IFERROR(IF(0=LEN(ReferenceData!$AQ$270),"",ReferenceData!$AQ$270),"")</f>
        <v>0.69814084799999998</v>
      </c>
      <c r="AR270">
        <f ca="1">IFERROR(IF(0=LEN(ReferenceData!$AR$270),"",ReferenceData!$AR$270),"")</f>
        <v>0.59901297499999995</v>
      </c>
      <c r="AS270">
        <f ca="1">IFERROR(IF(0=LEN(ReferenceData!$AS$270),"",ReferenceData!$AS$270),"")</f>
        <v>0.527732109</v>
      </c>
      <c r="AT270">
        <f ca="1">IFERROR(IF(0=LEN(ReferenceData!$AT$270),"",ReferenceData!$AT$270),"")</f>
        <v>0.419597795</v>
      </c>
      <c r="AU270">
        <f ca="1">IFERROR(IF(0=LEN(ReferenceData!$AU$270),"",ReferenceData!$AU$270),"")</f>
        <v>0.306478215</v>
      </c>
      <c r="AV270">
        <f ca="1">IFERROR(IF(0=LEN(ReferenceData!$AV$270),"",ReferenceData!$AV$270),"")</f>
        <v>0.475288459</v>
      </c>
      <c r="AW270">
        <f ca="1">IFERROR(IF(0=LEN(ReferenceData!$AW$270),"",ReferenceData!$AW$270),"")</f>
        <v>0.54856660400000001</v>
      </c>
      <c r="AX270">
        <f ca="1">IFERROR(IF(0=LEN(ReferenceData!$AX$270),"",ReferenceData!$AX$270),"")</f>
        <v>0.430211503</v>
      </c>
      <c r="AY270">
        <f ca="1">IFERROR(IF(0=LEN(ReferenceData!$AY$270),"",ReferenceData!$AY$270),"")</f>
        <v>0.56623818100000001</v>
      </c>
      <c r="AZ270">
        <f ca="1">IFERROR(IF(0=LEN(ReferenceData!$AZ$270),"",ReferenceData!$AZ$270),"")</f>
        <v>0.59729311299999999</v>
      </c>
      <c r="BA270">
        <f ca="1">IFERROR(IF(0=LEN(ReferenceData!$BA$270),"",ReferenceData!$BA$270),"")</f>
        <v>0.71815186900000005</v>
      </c>
      <c r="BB270">
        <f ca="1">IFERROR(IF(0=LEN(ReferenceData!$BB$270),"",ReferenceData!$BB$270),"")</f>
        <v>0.67642043200000002</v>
      </c>
      <c r="BC270">
        <f ca="1">IFERROR(IF(0=LEN(ReferenceData!$BC$270),"",ReferenceData!$BC$270),"")</f>
        <v>0.78271718300000004</v>
      </c>
      <c r="BD270">
        <f ca="1">IFERROR(IF(0=LEN(ReferenceData!$BD$270),"",ReferenceData!$BD$270),"")</f>
        <v>0.68084858599999998</v>
      </c>
      <c r="BE270">
        <f ca="1">IFERROR(IF(0=LEN(ReferenceData!$BE$270),"",ReferenceData!$BE$270),"")</f>
        <v>0.641709266</v>
      </c>
      <c r="BF270">
        <f ca="1">IFERROR(IF(0=LEN(ReferenceData!$BF$270),"",ReferenceData!$BF$270),"")</f>
        <v>0.66763070400000002</v>
      </c>
      <c r="BG270">
        <f ca="1">IFERROR(IF(0=LEN(ReferenceData!$BG$270),"",ReferenceData!$BG$270),"")</f>
        <v>0.65937113599999997</v>
      </c>
      <c r="BH270">
        <f ca="1">IFERROR(IF(0=LEN(ReferenceData!$BH$270),"",ReferenceData!$BH$270),"")</f>
        <v>0.65459110499999995</v>
      </c>
      <c r="BI270">
        <f ca="1">IFERROR(IF(0=LEN(ReferenceData!$BI$270),"",ReferenceData!$BI$270),"")</f>
        <v>0.57523266699999998</v>
      </c>
      <c r="BJ270">
        <f ca="1">IFERROR(IF(0=LEN(ReferenceData!$BJ$270),"",ReferenceData!$BJ$270),"")</f>
        <v>0.579542475</v>
      </c>
      <c r="BK270">
        <f ca="1">IFERROR(IF(0=LEN(ReferenceData!$BK$270),"",ReferenceData!$BK$270),"")</f>
        <v>0.58979005299999998</v>
      </c>
      <c r="BL270">
        <f ca="1">IFERROR(IF(0=LEN(ReferenceData!$BL$270),"",ReferenceData!$BL$270),"")</f>
        <v>0.60640300300000005</v>
      </c>
      <c r="BM270">
        <f ca="1">IFERROR(IF(0=LEN(ReferenceData!$BM$270),"",ReferenceData!$BM$270),"")</f>
        <v>0.60628272299999997</v>
      </c>
    </row>
    <row r="271" spans="1:65" x14ac:dyDescent="0.25">
      <c r="A271" t="str">
        <f>IFERROR(IF(0=LEN(ReferenceData!$A$271),"",ReferenceData!$A$271),"")</f>
        <v xml:space="preserve">    Hyundai Motor Co</v>
      </c>
      <c r="B271" t="str">
        <f>IFERROR(IF(0=LEN(ReferenceData!$B$271),"",ReferenceData!$B$271),"")</f>
        <v>005380 KS Equity</v>
      </c>
      <c r="C271" t="str">
        <f>IFERROR(IF(0=LEN(ReferenceData!$C$271),"",ReferenceData!$C$271),"")</f>
        <v>RR904</v>
      </c>
      <c r="D271" t="str">
        <f>IFERROR(IF(0=LEN(ReferenceData!$D$271),"",ReferenceData!$D$271),"")</f>
        <v>PX_TO_SALES_RATIO</v>
      </c>
      <c r="E271" t="str">
        <f>IFERROR(IF(0=LEN(ReferenceData!$E$271),"",ReferenceData!$E$271),"")</f>
        <v>Dynamic</v>
      </c>
      <c r="F271" t="str">
        <f ca="1">IFERROR(IF(0=LEN(ReferenceData!$F$271),"",ReferenceData!$F$271),"")</f>
        <v/>
      </c>
      <c r="G271">
        <f ca="1">IFERROR(IF(0=LEN(ReferenceData!$G$271),"",ReferenceData!$G$271),"")</f>
        <v>0.25439126499999998</v>
      </c>
      <c r="H271">
        <f ca="1">IFERROR(IF(0=LEN(ReferenceData!$H$271),"",ReferenceData!$H$271),"")</f>
        <v>0.278005644</v>
      </c>
      <c r="I271">
        <f ca="1">IFERROR(IF(0=LEN(ReferenceData!$I$271),"",ReferenceData!$I$271),"")</f>
        <v>0.27080799900000002</v>
      </c>
      <c r="J271">
        <f ca="1">IFERROR(IF(0=LEN(ReferenceData!$J$271),"",ReferenceData!$J$271),"")</f>
        <v>0.31129677500000003</v>
      </c>
      <c r="K271">
        <f ca="1">IFERROR(IF(0=LEN(ReferenceData!$K$271),"",ReferenceData!$K$271),"")</f>
        <v>0.33514974800000003</v>
      </c>
      <c r="L271">
        <f ca="1">IFERROR(IF(0=LEN(ReferenceData!$L$271),"",ReferenceData!$L$271),"")</f>
        <v>0.323146771</v>
      </c>
      <c r="M271">
        <f ca="1">IFERROR(IF(0=LEN(ReferenceData!$M$271),"",ReferenceData!$M$271),"")</f>
        <v>0.35016062599999997</v>
      </c>
      <c r="N271">
        <f ca="1">IFERROR(IF(0=LEN(ReferenceData!$N$271),"",ReferenceData!$N$271),"")</f>
        <v>0.34442345000000002</v>
      </c>
      <c r="O271">
        <f ca="1">IFERROR(IF(0=LEN(ReferenceData!$O$271),"",ReferenceData!$O$271),"")</f>
        <v>0.32261682600000002</v>
      </c>
      <c r="P271">
        <f ca="1">IFERROR(IF(0=LEN(ReferenceData!$P$271),"",ReferenceData!$P$271),"")</f>
        <v>0.29875603699999997</v>
      </c>
      <c r="Q271">
        <f ca="1">IFERROR(IF(0=LEN(ReferenceData!$Q$271),"",ReferenceData!$Q$271),"")</f>
        <v>0.29453922900000001</v>
      </c>
      <c r="R271">
        <f ca="1">IFERROR(IF(0=LEN(ReferenceData!$R$271),"",ReferenceData!$R$271),"")</f>
        <v>0.33808179999999999</v>
      </c>
      <c r="S271">
        <f ca="1">IFERROR(IF(0=LEN(ReferenceData!$S$271),"",ReferenceData!$S$271),"")</f>
        <v>0.33559635100000001</v>
      </c>
      <c r="T271">
        <f ca="1">IFERROR(IF(0=LEN(ReferenceData!$T$271),"",ReferenceData!$T$271),"")</f>
        <v>0.375163727</v>
      </c>
      <c r="U271">
        <f ca="1">IFERROR(IF(0=LEN(ReferenceData!$U$271),"",ReferenceData!$U$271),"")</f>
        <v>0.31948747599999999</v>
      </c>
      <c r="V271">
        <f ca="1">IFERROR(IF(0=LEN(ReferenceData!$V$271),"",ReferenceData!$V$271),"")</f>
        <v>0.39722590200000002</v>
      </c>
      <c r="W271">
        <f ca="1">IFERROR(IF(0=LEN(ReferenceData!$W$271),"",ReferenceData!$W$271),"")</f>
        <v>0.39613905700000002</v>
      </c>
      <c r="X271">
        <f ca="1">IFERROR(IF(0=LEN(ReferenceData!$X$271),"",ReferenceData!$X$271),"")</f>
        <v>0.45498725600000001</v>
      </c>
      <c r="Y271">
        <f ca="1">IFERROR(IF(0=LEN(ReferenceData!$Y$271),"",ReferenceData!$Y$271),"")</f>
        <v>0.55103354400000004</v>
      </c>
      <c r="Z271">
        <f ca="1">IFERROR(IF(0=LEN(ReferenceData!$Z$271),"",ReferenceData!$Z$271),"")</f>
        <v>0.59969107300000002</v>
      </c>
      <c r="AA271">
        <f ca="1">IFERROR(IF(0=LEN(ReferenceData!$AA$271),"",ReferenceData!$AA$271),"")</f>
        <v>0.56687252799999999</v>
      </c>
      <c r="AB271">
        <f ca="1">IFERROR(IF(0=LEN(ReferenceData!$AB$271),"",ReferenceData!$AB$271),"")</f>
        <v>0.59629198299999997</v>
      </c>
      <c r="AC271">
        <f ca="1">IFERROR(IF(0=LEN(ReferenceData!$AC$271),"",ReferenceData!$AC$271),"")</f>
        <v>0.54294737400000004</v>
      </c>
      <c r="AD271">
        <f ca="1">IFERROR(IF(0=LEN(ReferenceData!$AD$271),"",ReferenceData!$AD$271),"")</f>
        <v>0.54716248999999995</v>
      </c>
      <c r="AE271">
        <f ca="1">IFERROR(IF(0=LEN(ReferenceData!$AE$271),"",ReferenceData!$AE$271),"")</f>
        <v>0.54132349400000002</v>
      </c>
      <c r="AF271">
        <f ca="1">IFERROR(IF(0=LEN(ReferenceData!$AF$271),"",ReferenceData!$AF$271),"")</f>
        <v>0.64060565999999997</v>
      </c>
      <c r="AG271">
        <f ca="1">IFERROR(IF(0=LEN(ReferenceData!$AG$271),"",ReferenceData!$AG$271),"")</f>
        <v>0.59595676900000005</v>
      </c>
      <c r="AH271">
        <f ca="1">IFERROR(IF(0=LEN(ReferenceData!$AH$271),"",ReferenceData!$AH$271),"")</f>
        <v>0.61107604599999998</v>
      </c>
      <c r="AI271">
        <f ca="1">IFERROR(IF(0=LEN(ReferenceData!$AI$271),"",ReferenceData!$AI$271),"")</f>
        <v>0.57248464799999998</v>
      </c>
      <c r="AJ271">
        <f ca="1">IFERROR(IF(0=LEN(ReferenceData!$AJ$271),"",ReferenceData!$AJ$271),"")</f>
        <v>0.58230648699999998</v>
      </c>
      <c r="AK271">
        <f ca="1">IFERROR(IF(0=LEN(ReferenceData!$AK$271),"",ReferenceData!$AK$271),"")</f>
        <v>0.67496964100000001</v>
      </c>
      <c r="AL271">
        <f ca="1">IFERROR(IF(0=LEN(ReferenceData!$AL$271),"",ReferenceData!$AL$271),"")</f>
        <v>0.60464280999999998</v>
      </c>
      <c r="AM271">
        <f ca="1">IFERROR(IF(0=LEN(ReferenceData!$AM$271),"",ReferenceData!$AM$271),"")</f>
        <v>0.541268525</v>
      </c>
      <c r="AN271" t="str">
        <f ca="1">IFERROR(IF(0=LEN(ReferenceData!$AN$271),"",ReferenceData!$AN$271),"")</f>
        <v/>
      </c>
      <c r="AO271" t="str">
        <f ca="1">IFERROR(IF(0=LEN(ReferenceData!$AO$271),"",ReferenceData!$AO$271),"")</f>
        <v/>
      </c>
      <c r="AP271" t="str">
        <f ca="1">IFERROR(IF(0=LEN(ReferenceData!$AP$271),"",ReferenceData!$AP$271),"")</f>
        <v/>
      </c>
      <c r="AQ271" t="str">
        <f ca="1">IFERROR(IF(0=LEN(ReferenceData!$AQ$271),"",ReferenceData!$AQ$271),"")</f>
        <v/>
      </c>
      <c r="AR271" t="str">
        <f ca="1">IFERROR(IF(0=LEN(ReferenceData!$AR$271),"",ReferenceData!$AR$271),"")</f>
        <v/>
      </c>
      <c r="AS271" t="str">
        <f ca="1">IFERROR(IF(0=LEN(ReferenceData!$AS$271),"",ReferenceData!$AS$271),"")</f>
        <v/>
      </c>
      <c r="AT271" t="str">
        <f ca="1">IFERROR(IF(0=LEN(ReferenceData!$AT$271),"",ReferenceData!$AT$271),"")</f>
        <v/>
      </c>
      <c r="AU271" t="str">
        <f ca="1">IFERROR(IF(0=LEN(ReferenceData!$AU$271),"",ReferenceData!$AU$271),"")</f>
        <v/>
      </c>
      <c r="AV271" t="str">
        <f ca="1">IFERROR(IF(0=LEN(ReferenceData!$AV$271),"",ReferenceData!$AV$271),"")</f>
        <v/>
      </c>
      <c r="AW271" t="str">
        <f ca="1">IFERROR(IF(0=LEN(ReferenceData!$AW$271),"",ReferenceData!$AW$271),"")</f>
        <v/>
      </c>
      <c r="AX271" t="str">
        <f ca="1">IFERROR(IF(0=LEN(ReferenceData!$AX$271),"",ReferenceData!$AX$271),"")</f>
        <v/>
      </c>
      <c r="AY271" t="str">
        <f ca="1">IFERROR(IF(0=LEN(ReferenceData!$AY$271),"",ReferenceData!$AY$271),"")</f>
        <v/>
      </c>
      <c r="AZ271" t="str">
        <f ca="1">IFERROR(IF(0=LEN(ReferenceData!$AZ$271),"",ReferenceData!$AZ$271),"")</f>
        <v/>
      </c>
      <c r="BA271" t="str">
        <f ca="1">IFERROR(IF(0=LEN(ReferenceData!$BA$271),"",ReferenceData!$BA$271),"")</f>
        <v/>
      </c>
      <c r="BB271" t="str">
        <f ca="1">IFERROR(IF(0=LEN(ReferenceData!$BB$271),"",ReferenceData!$BB$271),"")</f>
        <v/>
      </c>
      <c r="BC271" t="str">
        <f ca="1">IFERROR(IF(0=LEN(ReferenceData!$BC$271),"",ReferenceData!$BC$271),"")</f>
        <v/>
      </c>
      <c r="BD271" t="str">
        <f ca="1">IFERROR(IF(0=LEN(ReferenceData!$BD$271),"",ReferenceData!$BD$271),"")</f>
        <v/>
      </c>
      <c r="BE271" t="str">
        <f ca="1">IFERROR(IF(0=LEN(ReferenceData!$BE$271),"",ReferenceData!$BE$271),"")</f>
        <v/>
      </c>
      <c r="BF271" t="str">
        <f ca="1">IFERROR(IF(0=LEN(ReferenceData!$BF$271),"",ReferenceData!$BF$271),"")</f>
        <v/>
      </c>
      <c r="BG271" t="str">
        <f ca="1">IFERROR(IF(0=LEN(ReferenceData!$BG$271),"",ReferenceData!$BG$271),"")</f>
        <v/>
      </c>
      <c r="BH271" t="str">
        <f ca="1">IFERROR(IF(0=LEN(ReferenceData!$BH$271),"",ReferenceData!$BH$271),"")</f>
        <v/>
      </c>
      <c r="BI271" t="str">
        <f ca="1">IFERROR(IF(0=LEN(ReferenceData!$BI$271),"",ReferenceData!$BI$271),"")</f>
        <v/>
      </c>
      <c r="BJ271" t="str">
        <f ca="1">IFERROR(IF(0=LEN(ReferenceData!$BJ$271),"",ReferenceData!$BJ$271),"")</f>
        <v/>
      </c>
      <c r="BK271" t="str">
        <f ca="1">IFERROR(IF(0=LEN(ReferenceData!$BK$271),"",ReferenceData!$BK$271),"")</f>
        <v/>
      </c>
      <c r="BL271" t="str">
        <f ca="1">IFERROR(IF(0=LEN(ReferenceData!$BL$271),"",ReferenceData!$BL$271),"")</f>
        <v/>
      </c>
      <c r="BM271" t="str">
        <f ca="1">IFERROR(IF(0=LEN(ReferenceData!$BM$271),"",ReferenceData!$BM$271),"")</f>
        <v/>
      </c>
    </row>
    <row r="272" spans="1:65" x14ac:dyDescent="0.25">
      <c r="A272" t="str">
        <f>IFERROR(IF(0=LEN(ReferenceData!$A$272),"",ReferenceData!$A$272),"")</f>
        <v xml:space="preserve">    Kia Motors Corp</v>
      </c>
      <c r="B272" t="str">
        <f>IFERROR(IF(0=LEN(ReferenceData!$B$272),"",ReferenceData!$B$272),"")</f>
        <v>000270 KS Equity</v>
      </c>
      <c r="C272" t="str">
        <f>IFERROR(IF(0=LEN(ReferenceData!$C$272),"",ReferenceData!$C$272),"")</f>
        <v>RR904</v>
      </c>
      <c r="D272" t="str">
        <f>IFERROR(IF(0=LEN(ReferenceData!$D$272),"",ReferenceData!$D$272),"")</f>
        <v>PX_TO_SALES_RATIO</v>
      </c>
      <c r="E272" t="str">
        <f>IFERROR(IF(0=LEN(ReferenceData!$E$272),"",ReferenceData!$E$272),"")</f>
        <v>Dynamic</v>
      </c>
      <c r="F272" t="str">
        <f ca="1">IFERROR(IF(0=LEN(ReferenceData!$F$272),"",ReferenceData!$F$272),"")</f>
        <v/>
      </c>
      <c r="G272">
        <f ca="1">IFERROR(IF(0=LEN(ReferenceData!$G$272),"",ReferenceData!$G$272),"")</f>
        <v>0.24674515699999999</v>
      </c>
      <c r="H272">
        <f ca="1">IFERROR(IF(0=LEN(ReferenceData!$H$272),"",ReferenceData!$H$272),"")</f>
        <v>0.26205007600000002</v>
      </c>
      <c r="I272">
        <f ca="1">IFERROR(IF(0=LEN(ReferenceData!$I$272),"",ReferenceData!$I$272),"")</f>
        <v>0.23017726799999999</v>
      </c>
      <c r="J272">
        <f ca="1">IFERROR(IF(0=LEN(ReferenceData!$J$272),"",ReferenceData!$J$272),"")</f>
        <v>0.23338852800000001</v>
      </c>
      <c r="K272">
        <f ca="1">IFERROR(IF(0=LEN(ReferenceData!$K$272),"",ReferenceData!$K$272),"")</f>
        <v>0.250883099</v>
      </c>
      <c r="L272">
        <f ca="1">IFERROR(IF(0=LEN(ReferenceData!$L$272),"",ReferenceData!$L$272),"")</f>
        <v>0.23774751799999999</v>
      </c>
      <c r="M272">
        <f ca="1">IFERROR(IF(0=LEN(ReferenceData!$M$272),"",ReferenceData!$M$272),"")</f>
        <v>0.29472922400000001</v>
      </c>
      <c r="N272">
        <f ca="1">IFERROR(IF(0=LEN(ReferenceData!$N$272),"",ReferenceData!$N$272),"")</f>
        <v>0.28114130999999998</v>
      </c>
      <c r="O272">
        <f ca="1">IFERROR(IF(0=LEN(ReferenceData!$O$272),"",ReferenceData!$O$272),"")</f>
        <v>0.298880798</v>
      </c>
      <c r="P272">
        <f ca="1">IFERROR(IF(0=LEN(ReferenceData!$P$272),"",ReferenceData!$P$272),"")</f>
        <v>0.32128072000000002</v>
      </c>
      <c r="Q272">
        <f ca="1">IFERROR(IF(0=LEN(ReferenceData!$Q$272),"",ReferenceData!$Q$272),"")</f>
        <v>0.32672474899999998</v>
      </c>
      <c r="R272">
        <f ca="1">IFERROR(IF(0=LEN(ReferenceData!$R$272),"",ReferenceData!$R$272),"")</f>
        <v>0.37968455600000001</v>
      </c>
      <c r="S272">
        <f ca="1">IFERROR(IF(0=LEN(ReferenceData!$S$272),"",ReferenceData!$S$272),"")</f>
        <v>0.42653703900000001</v>
      </c>
      <c r="T272">
        <f ca="1">IFERROR(IF(0=LEN(ReferenceData!$T$272),"",ReferenceData!$T$272),"")</f>
        <v>0.445522052</v>
      </c>
      <c r="U272">
        <f ca="1">IFERROR(IF(0=LEN(ReferenceData!$U$272),"",ReferenceData!$U$272),"")</f>
        <v>0.39121551700000001</v>
      </c>
      <c r="V272">
        <f ca="1">IFERROR(IF(0=LEN(ReferenceData!$V$272),"",ReferenceData!$V$272),"")</f>
        <v>0.39466432600000001</v>
      </c>
      <c r="W272">
        <f ca="1">IFERROR(IF(0=LEN(ReferenceData!$W$272),"",ReferenceData!$W$272),"")</f>
        <v>0.44972515299999999</v>
      </c>
      <c r="X272">
        <f ca="1">IFERROR(IF(0=LEN(ReferenceData!$X$272),"",ReferenceData!$X$272),"")</f>
        <v>0.46113044800000003</v>
      </c>
      <c r="Y272">
        <f ca="1">IFERROR(IF(0=LEN(ReferenceData!$Y$272),"",ReferenceData!$Y$272),"")</f>
        <v>0.48378610700000002</v>
      </c>
      <c r="Z272">
        <f ca="1">IFERROR(IF(0=LEN(ReferenceData!$Z$272),"",ReferenceData!$Z$272),"")</f>
        <v>0.49579209499999999</v>
      </c>
      <c r="AA272">
        <f ca="1">IFERROR(IF(0=LEN(ReferenceData!$AA$272),"",ReferenceData!$AA$272),"")</f>
        <v>0.47732511100000002</v>
      </c>
      <c r="AB272">
        <f ca="1">IFERROR(IF(0=LEN(ReferenceData!$AB$272),"",ReferenceData!$AB$272),"")</f>
        <v>0.56137706700000001</v>
      </c>
      <c r="AC272">
        <f ca="1">IFERROR(IF(0=LEN(ReferenceData!$AC$272),"",ReferenceData!$AC$272),"")</f>
        <v>0.53396764299999999</v>
      </c>
      <c r="AD272">
        <f ca="1">IFERROR(IF(0=LEN(ReferenceData!$AD$272),"",ReferenceData!$AD$272),"")</f>
        <v>0.48384798899999998</v>
      </c>
      <c r="AE272">
        <f ca="1">IFERROR(IF(0=LEN(ReferenceData!$AE$272),"",ReferenceData!$AE$272),"")</f>
        <v>0.484164072</v>
      </c>
      <c r="AF272">
        <f ca="1">IFERROR(IF(0=LEN(ReferenceData!$AF$272),"",ReferenceData!$AF$272),"")</f>
        <v>0.59673726800000004</v>
      </c>
      <c r="AG272">
        <f ca="1">IFERROR(IF(0=LEN(ReferenceData!$AG$272),"",ReferenceData!$AG$272),"")</f>
        <v>0.66298785500000001</v>
      </c>
      <c r="AH272">
        <f ca="1">IFERROR(IF(0=LEN(ReferenceData!$AH$272),"",ReferenceData!$AH$272),"")</f>
        <v>0.66908733300000001</v>
      </c>
      <c r="AI272">
        <f ca="1">IFERROR(IF(0=LEN(ReferenceData!$AI$272),"",ReferenceData!$AI$272),"")</f>
        <v>0.61539025199999997</v>
      </c>
      <c r="AJ272">
        <f ca="1">IFERROR(IF(0=LEN(ReferenceData!$AJ$272),"",ReferenceData!$AJ$272),"")</f>
        <v>0.67478484900000002</v>
      </c>
      <c r="AK272">
        <f ca="1">IFERROR(IF(0=LEN(ReferenceData!$AK$272),"",ReferenceData!$AK$272),"")</f>
        <v>0.69823760400000001</v>
      </c>
      <c r="AL272">
        <f ca="1">IFERROR(IF(0=LEN(ReferenceData!$AL$272),"",ReferenceData!$AL$272),"")</f>
        <v>0.70312806400000005</v>
      </c>
      <c r="AM272">
        <f ca="1">IFERROR(IF(0=LEN(ReferenceData!$AM$272),"",ReferenceData!$AM$272),"")</f>
        <v>0.55376871500000002</v>
      </c>
      <c r="AN272" t="str">
        <f ca="1">IFERROR(IF(0=LEN(ReferenceData!$AN$272),"",ReferenceData!$AN$272),"")</f>
        <v/>
      </c>
      <c r="AO272" t="str">
        <f ca="1">IFERROR(IF(0=LEN(ReferenceData!$AO$272),"",ReferenceData!$AO$272),"")</f>
        <v/>
      </c>
      <c r="AP272" t="str">
        <f ca="1">IFERROR(IF(0=LEN(ReferenceData!$AP$272),"",ReferenceData!$AP$272),"")</f>
        <v/>
      </c>
      <c r="AQ272" t="str">
        <f ca="1">IFERROR(IF(0=LEN(ReferenceData!$AQ$272),"",ReferenceData!$AQ$272),"")</f>
        <v/>
      </c>
      <c r="AR272" t="str">
        <f ca="1">IFERROR(IF(0=LEN(ReferenceData!$AR$272),"",ReferenceData!$AR$272),"")</f>
        <v/>
      </c>
      <c r="AS272" t="str">
        <f ca="1">IFERROR(IF(0=LEN(ReferenceData!$AS$272),"",ReferenceData!$AS$272),"")</f>
        <v/>
      </c>
      <c r="AT272" t="str">
        <f ca="1">IFERROR(IF(0=LEN(ReferenceData!$AT$272),"",ReferenceData!$AT$272),"")</f>
        <v/>
      </c>
      <c r="AU272" t="str">
        <f ca="1">IFERROR(IF(0=LEN(ReferenceData!$AU$272),"",ReferenceData!$AU$272),"")</f>
        <v/>
      </c>
      <c r="AV272" t="str">
        <f ca="1">IFERROR(IF(0=LEN(ReferenceData!$AV$272),"",ReferenceData!$AV$272),"")</f>
        <v/>
      </c>
      <c r="AW272" t="str">
        <f ca="1">IFERROR(IF(0=LEN(ReferenceData!$AW$272),"",ReferenceData!$AW$272),"")</f>
        <v/>
      </c>
      <c r="AX272" t="str">
        <f ca="1">IFERROR(IF(0=LEN(ReferenceData!$AX$272),"",ReferenceData!$AX$272),"")</f>
        <v/>
      </c>
      <c r="AY272" t="str">
        <f ca="1">IFERROR(IF(0=LEN(ReferenceData!$AY$272),"",ReferenceData!$AY$272),"")</f>
        <v/>
      </c>
      <c r="AZ272" t="str">
        <f ca="1">IFERROR(IF(0=LEN(ReferenceData!$AZ$272),"",ReferenceData!$AZ$272),"")</f>
        <v/>
      </c>
      <c r="BA272" t="str">
        <f ca="1">IFERROR(IF(0=LEN(ReferenceData!$BA$272),"",ReferenceData!$BA$272),"")</f>
        <v/>
      </c>
      <c r="BB272" t="str">
        <f ca="1">IFERROR(IF(0=LEN(ReferenceData!$BB$272),"",ReferenceData!$BB$272),"")</f>
        <v/>
      </c>
      <c r="BC272" t="str">
        <f ca="1">IFERROR(IF(0=LEN(ReferenceData!$BC$272),"",ReferenceData!$BC$272),"")</f>
        <v/>
      </c>
      <c r="BD272" t="str">
        <f ca="1">IFERROR(IF(0=LEN(ReferenceData!$BD$272),"",ReferenceData!$BD$272),"")</f>
        <v/>
      </c>
      <c r="BE272" t="str">
        <f ca="1">IFERROR(IF(0=LEN(ReferenceData!$BE$272),"",ReferenceData!$BE$272),"")</f>
        <v/>
      </c>
      <c r="BF272" t="str">
        <f ca="1">IFERROR(IF(0=LEN(ReferenceData!$BF$272),"",ReferenceData!$BF$272),"")</f>
        <v/>
      </c>
      <c r="BG272" t="str">
        <f ca="1">IFERROR(IF(0=LEN(ReferenceData!$BG$272),"",ReferenceData!$BG$272),"")</f>
        <v/>
      </c>
      <c r="BH272" t="str">
        <f ca="1">IFERROR(IF(0=LEN(ReferenceData!$BH$272),"",ReferenceData!$BH$272),"")</f>
        <v/>
      </c>
      <c r="BI272" t="str">
        <f ca="1">IFERROR(IF(0=LEN(ReferenceData!$BI$272),"",ReferenceData!$BI$272),"")</f>
        <v/>
      </c>
      <c r="BJ272" t="str">
        <f ca="1">IFERROR(IF(0=LEN(ReferenceData!$BJ$272),"",ReferenceData!$BJ$272),"")</f>
        <v/>
      </c>
      <c r="BK272" t="str">
        <f ca="1">IFERROR(IF(0=LEN(ReferenceData!$BK$272),"",ReferenceData!$BK$272),"")</f>
        <v/>
      </c>
      <c r="BL272" t="str">
        <f ca="1">IFERROR(IF(0=LEN(ReferenceData!$BL$272),"",ReferenceData!$BL$272),"")</f>
        <v/>
      </c>
      <c r="BM272" t="str">
        <f ca="1">IFERROR(IF(0=LEN(ReferenceData!$BM$272),"",ReferenceData!$BM$272),"")</f>
        <v/>
      </c>
    </row>
    <row r="273" spans="1:65" x14ac:dyDescent="0.25">
      <c r="A273" t="str">
        <f>IFERROR(IF(0=LEN(ReferenceData!$A$273),"",ReferenceData!$A$273),"")</f>
        <v xml:space="preserve">    Mazda Motor Corp</v>
      </c>
      <c r="B273" t="str">
        <f>IFERROR(IF(0=LEN(ReferenceData!$B$273),"",ReferenceData!$B$273),"")</f>
        <v>7261 JP Equity</v>
      </c>
      <c r="C273" t="str">
        <f>IFERROR(IF(0=LEN(ReferenceData!$C$273),"",ReferenceData!$C$273),"")</f>
        <v>RR904</v>
      </c>
      <c r="D273" t="str">
        <f>IFERROR(IF(0=LEN(ReferenceData!$D$273),"",ReferenceData!$D$273),"")</f>
        <v>PX_TO_SALES_RATIO</v>
      </c>
      <c r="E273" t="str">
        <f>IFERROR(IF(0=LEN(ReferenceData!$E$273),"",ReferenceData!$E$273),"")</f>
        <v>Dynamic</v>
      </c>
      <c r="F273">
        <f ca="1">IFERROR(IF(0=LEN(ReferenceData!$F$273),"",ReferenceData!$F$273),"")</f>
        <v>0.228143129</v>
      </c>
      <c r="G273">
        <f ca="1">IFERROR(IF(0=LEN(ReferenceData!$G$273),"",ReferenceData!$G$273),"")</f>
        <v>0.20127668200000001</v>
      </c>
      <c r="H273">
        <f ca="1">IFERROR(IF(0=LEN(ReferenceData!$H$273),"",ReferenceData!$H$273),"")</f>
        <v>0.24125534200000001</v>
      </c>
      <c r="I273">
        <f ca="1">IFERROR(IF(0=LEN(ReferenceData!$I$273),"",ReferenceData!$I$273),"")</f>
        <v>0.23759596899999999</v>
      </c>
      <c r="J273">
        <f ca="1">IFERROR(IF(0=LEN(ReferenceData!$J$273),"",ReferenceData!$J$273),"")</f>
        <v>0.24765636499999999</v>
      </c>
      <c r="K273">
        <f ca="1">IFERROR(IF(0=LEN(ReferenceData!$K$273),"",ReferenceData!$K$273),"")</f>
        <v>0.26738821099999999</v>
      </c>
      <c r="L273">
        <f ca="1">IFERROR(IF(0=LEN(ReferenceData!$L$273),"",ReferenceData!$L$273),"")</f>
        <v>0.310178395</v>
      </c>
      <c r="M273">
        <f ca="1">IFERROR(IF(0=LEN(ReferenceData!$M$273),"",ReferenceData!$M$273),"")</f>
        <v>0.28929484</v>
      </c>
      <c r="N273">
        <f ca="1">IFERROR(IF(0=LEN(ReferenceData!$N$273),"",ReferenceData!$N$273),"")</f>
        <v>0.29813097900000002</v>
      </c>
      <c r="O273">
        <f ca="1">IFERROR(IF(0=LEN(ReferenceData!$O$273),"",ReferenceData!$O$273),"")</f>
        <v>0.35637107699999998</v>
      </c>
      <c r="P273">
        <f ca="1">IFERROR(IF(0=LEN(ReferenceData!$P$273),"",ReferenceData!$P$273),"")</f>
        <v>0.28150149899999999</v>
      </c>
      <c r="Q273">
        <f ca="1">IFERROR(IF(0=LEN(ReferenceData!$Q$273),"",ReferenceData!$Q$273),"")</f>
        <v>0.24059319800000001</v>
      </c>
      <c r="R273">
        <f ca="1">IFERROR(IF(0=LEN(ReferenceData!$R$273),"",ReferenceData!$R$273),"")</f>
        <v>0.30649034600000002</v>
      </c>
      <c r="S273">
        <f ca="1">IFERROR(IF(0=LEN(ReferenceData!$S$273),"",ReferenceData!$S$273),"")</f>
        <v>0.44534629599999997</v>
      </c>
      <c r="T273">
        <f ca="1">IFERROR(IF(0=LEN(ReferenceData!$T$273),"",ReferenceData!$T$273),"")</f>
        <v>0.34259425199999999</v>
      </c>
      <c r="U273">
        <f ca="1">IFERROR(IF(0=LEN(ReferenceData!$U$273),"",ReferenceData!$U$273),"")</f>
        <v>0.45738833400000001</v>
      </c>
      <c r="V273">
        <f ca="1">IFERROR(IF(0=LEN(ReferenceData!$V$273),"",ReferenceData!$V$273),"")</f>
        <v>0.48059998300000001</v>
      </c>
      <c r="W273">
        <f ca="1">IFERROR(IF(0=LEN(ReferenceData!$W$273),"",ReferenceData!$W$273),"")</f>
        <v>0.59416308100000004</v>
      </c>
      <c r="X273">
        <f ca="1">IFERROR(IF(0=LEN(ReferenceData!$X$273),"",ReferenceData!$X$273),"")</f>
        <v>0.56830813400000002</v>
      </c>
      <c r="Y273">
        <f ca="1">IFERROR(IF(0=LEN(ReferenceData!$Y$273),"",ReferenceData!$Y$273),"")</f>
        <v>0.51036288600000002</v>
      </c>
      <c r="Z273">
        <f ca="1">IFERROR(IF(0=LEN(ReferenceData!$Z$273),"",ReferenceData!$Z$273),"")</f>
        <v>0.50851018100000001</v>
      </c>
      <c r="AA273">
        <f ca="1">IFERROR(IF(0=LEN(ReferenceData!$AA$273),"",ReferenceData!$AA$273),"")</f>
        <v>0.62294875800000005</v>
      </c>
      <c r="AB273">
        <f ca="1">IFERROR(IF(0=LEN(ReferenceData!$AB$273),"",ReferenceData!$AB$273),"")</f>
        <v>0.53621476099999998</v>
      </c>
      <c r="AC273">
        <f ca="1">IFERROR(IF(0=LEN(ReferenceData!$AC$273),"",ReferenceData!$AC$273),"")</f>
        <v>0.50497366099999996</v>
      </c>
      <c r="AD273">
        <f ca="1">IFERROR(IF(0=LEN(ReferenceData!$AD$273),"",ReferenceData!$AD$273),"")</f>
        <v>0.380886265</v>
      </c>
      <c r="AE273">
        <f ca="1">IFERROR(IF(0=LEN(ReferenceData!$AE$273),"",ReferenceData!$AE$273),"")</f>
        <v>0.217459397</v>
      </c>
      <c r="AF273">
        <f ca="1">IFERROR(IF(0=LEN(ReferenceData!$AF$273),"",ReferenceData!$AF$273),"")</f>
        <v>0.10243779</v>
      </c>
      <c r="AG273">
        <f ca="1">IFERROR(IF(0=LEN(ReferenceData!$AG$273),"",ReferenceData!$AG$273),"")</f>
        <v>0.104216555</v>
      </c>
      <c r="AH273">
        <f ca="1">IFERROR(IF(0=LEN(ReferenceData!$AH$273),"",ReferenceData!$AH$273),"")</f>
        <v>0.13329849499999999</v>
      </c>
      <c r="AI273">
        <f ca="1">IFERROR(IF(0=LEN(ReferenceData!$AI$273),"",ReferenceData!$AI$273),"")</f>
        <v>0.118824321</v>
      </c>
      <c r="AJ273">
        <f ca="1">IFERROR(IF(0=LEN(ReferenceData!$AJ$273),"",ReferenceData!$AJ$273),"")</f>
        <v>0.13148530999999999</v>
      </c>
      <c r="AK273">
        <f ca="1">IFERROR(IF(0=LEN(ReferenceData!$AK$273),"",ReferenceData!$AK$273),"")</f>
        <v>0.173259688</v>
      </c>
      <c r="AL273">
        <f ca="1">IFERROR(IF(0=LEN(ReferenceData!$AL$273),"",ReferenceData!$AL$273),"")</f>
        <v>0.139290423</v>
      </c>
      <c r="AM273">
        <f ca="1">IFERROR(IF(0=LEN(ReferenceData!$AM$273),"",ReferenceData!$AM$273),"")</f>
        <v>0.176049766</v>
      </c>
      <c r="AN273">
        <f ca="1">IFERROR(IF(0=LEN(ReferenceData!$AN$273),"",ReferenceData!$AN$273),"")</f>
        <v>0.149312266</v>
      </c>
      <c r="AO273">
        <f ca="1">IFERROR(IF(0=LEN(ReferenceData!$AO$273),"",ReferenceData!$AO$273),"")</f>
        <v>0.14509781999999999</v>
      </c>
      <c r="AP273">
        <f ca="1">IFERROR(IF(0=LEN(ReferenceData!$AP$273),"",ReferenceData!$AP$273),"")</f>
        <v>0.18172186800000001</v>
      </c>
      <c r="AQ273">
        <f ca="1">IFERROR(IF(0=LEN(ReferenceData!$AQ$273),"",ReferenceData!$AQ$273),"")</f>
        <v>0.14780757899999999</v>
      </c>
      <c r="AR273">
        <f ca="1">IFERROR(IF(0=LEN(ReferenceData!$AR$273),"",ReferenceData!$AR$273),"")</f>
        <v>0.13631353800000001</v>
      </c>
      <c r="AS273">
        <f ca="1">IFERROR(IF(0=LEN(ReferenceData!$AS$273),"",ReferenceData!$AS$273),"")</f>
        <v>0.152798869</v>
      </c>
      <c r="AT273">
        <f ca="1">IFERROR(IF(0=LEN(ReferenceData!$AT$273),"",ReferenceData!$AT$273),"")</f>
        <v>8.9246099999999995E-2</v>
      </c>
      <c r="AU273">
        <f ca="1">IFERROR(IF(0=LEN(ReferenceData!$AU$273),"",ReferenceData!$AU$273),"")</f>
        <v>6.8178016999999994E-2</v>
      </c>
      <c r="AV273">
        <f ca="1">IFERROR(IF(0=LEN(ReferenceData!$AV$273),"",ReferenceData!$AV$273),"")</f>
        <v>0.17348450100000001</v>
      </c>
      <c r="AW273">
        <f ca="1">IFERROR(IF(0=LEN(ReferenceData!$AW$273),"",ReferenceData!$AW$273),"")</f>
        <v>0.22601721299999999</v>
      </c>
      <c r="AX273">
        <f ca="1">IFERROR(IF(0=LEN(ReferenceData!$AX$273),"",ReferenceData!$AX$273),"")</f>
        <v>0.143036263</v>
      </c>
      <c r="AY273">
        <f ca="1">IFERROR(IF(0=LEN(ReferenceData!$AY$273),"",ReferenceData!$AY$273),"")</f>
        <v>0.22671481900000001</v>
      </c>
      <c r="AZ273">
        <f ca="1">IFERROR(IF(0=LEN(ReferenceData!$AZ$273),"",ReferenceData!$AZ$273),"")</f>
        <v>0.24160263400000001</v>
      </c>
      <c r="BA273">
        <f ca="1">IFERROR(IF(0=LEN(ReferenceData!$BA$273),"",ReferenceData!$BA$273),"")</f>
        <v>0.296901105</v>
      </c>
      <c r="BB273">
        <f ca="1">IFERROR(IF(0=LEN(ReferenceData!$BB$273),"",ReferenceData!$BB$273),"")</f>
        <v>0.28171817500000002</v>
      </c>
      <c r="BC273">
        <f ca="1">IFERROR(IF(0=LEN(ReferenceData!$BC$273),"",ReferenceData!$BC$273),"")</f>
        <v>0.36342471599999998</v>
      </c>
      <c r="BD273">
        <f ca="1">IFERROR(IF(0=LEN(ReferenceData!$BD$273),"",ReferenceData!$BD$273),"")</f>
        <v>0.31871159100000002</v>
      </c>
      <c r="BE273">
        <f ca="1">IFERROR(IF(0=LEN(ReferenceData!$BE$273),"",ReferenceData!$BE$273),"")</f>
        <v>0.32215060499999998</v>
      </c>
      <c r="BF273">
        <f ca="1">IFERROR(IF(0=LEN(ReferenceData!$BF$273),"",ReferenceData!$BF$273),"")</f>
        <v>0.31749254900000001</v>
      </c>
      <c r="BG273">
        <f ca="1">IFERROR(IF(0=LEN(ReferenceData!$BG$273),"",ReferenceData!$BG$273),"")</f>
        <v>0.24374928300000001</v>
      </c>
      <c r="BH273">
        <f ca="1">IFERROR(IF(0=LEN(ReferenceData!$BH$273),"",ReferenceData!$BH$273),"")</f>
        <v>0.224027854</v>
      </c>
      <c r="BI273">
        <f ca="1">IFERROR(IF(0=LEN(ReferenceData!$BI$273),"",ReferenceData!$BI$273),"")</f>
        <v>0.18622976899999999</v>
      </c>
      <c r="BJ273">
        <f ca="1">IFERROR(IF(0=LEN(ReferenceData!$BJ$273),"",ReferenceData!$BJ$273),"")</f>
        <v>0.16513789700000001</v>
      </c>
      <c r="BK273" t="str">
        <f ca="1">IFERROR(IF(0=LEN(ReferenceData!$BK$273),"",ReferenceData!$BK$273),"")</f>
        <v/>
      </c>
      <c r="BL273" t="str">
        <f ca="1">IFERROR(IF(0=LEN(ReferenceData!$BL$273),"",ReferenceData!$BL$273),"")</f>
        <v/>
      </c>
      <c r="BM273" t="str">
        <f ca="1">IFERROR(IF(0=LEN(ReferenceData!$BM$273),"",ReferenceData!$BM$273),"")</f>
        <v/>
      </c>
    </row>
    <row r="274" spans="1:65" x14ac:dyDescent="0.25">
      <c r="A274" t="str">
        <f>IFERROR(IF(0=LEN(ReferenceData!$A$274),"",ReferenceData!$A$274),"")</f>
        <v xml:space="preserve">    Mitsubishi Motors Corp</v>
      </c>
      <c r="B274" t="str">
        <f>IFERROR(IF(0=LEN(ReferenceData!$B$274),"",ReferenceData!$B$274),"")</f>
        <v>7211 JP Equity</v>
      </c>
      <c r="C274" t="str">
        <f>IFERROR(IF(0=LEN(ReferenceData!$C$274),"",ReferenceData!$C$274),"")</f>
        <v>RR904</v>
      </c>
      <c r="D274" t="str">
        <f>IFERROR(IF(0=LEN(ReferenceData!$D$274),"",ReferenceData!$D$274),"")</f>
        <v>PX_TO_SALES_RATIO</v>
      </c>
      <c r="E274" t="str">
        <f>IFERROR(IF(0=LEN(ReferenceData!$E$274),"",ReferenceData!$E$274),"")</f>
        <v>Dynamic</v>
      </c>
      <c r="F274">
        <f ca="1">IFERROR(IF(0=LEN(ReferenceData!$F$274),"",ReferenceData!$F$274),"")</f>
        <v>0.375830302</v>
      </c>
      <c r="G274">
        <f ca="1">IFERROR(IF(0=LEN(ReferenceData!$G$274),"",ReferenceData!$G$274),"")</f>
        <v>0.36316186499999997</v>
      </c>
      <c r="H274">
        <f ca="1">IFERROR(IF(0=LEN(ReferenceData!$H$274),"",ReferenceData!$H$274),"")</f>
        <v>0.49484800000000001</v>
      </c>
      <c r="I274">
        <f ca="1">IFERROR(IF(0=LEN(ReferenceData!$I$274),"",ReferenceData!$I$274),"")</f>
        <v>0.56915456099999995</v>
      </c>
      <c r="J274">
        <f ca="1">IFERROR(IF(0=LEN(ReferenceData!$J$274),"",ReferenceData!$J$274),"")</f>
        <v>0.51721462799999995</v>
      </c>
      <c r="K274">
        <f ca="1">IFERROR(IF(0=LEN(ReferenceData!$K$274),"",ReferenceData!$K$274),"")</f>
        <v>0.58176198300000004</v>
      </c>
      <c r="L274">
        <f ca="1">IFERROR(IF(0=LEN(ReferenceData!$L$274),"",ReferenceData!$L$274),"")</f>
        <v>0.65429242099999996</v>
      </c>
      <c r="M274">
        <f ca="1">IFERROR(IF(0=LEN(ReferenceData!$M$274),"",ReferenceData!$M$274),"")</f>
        <v>0.50559288599999996</v>
      </c>
      <c r="N274">
        <f ca="1">IFERROR(IF(0=LEN(ReferenceData!$N$274),"",ReferenceData!$N$274),"")</f>
        <v>0.41716434400000002</v>
      </c>
      <c r="O274">
        <f ca="1">IFERROR(IF(0=LEN(ReferenceData!$O$274),"",ReferenceData!$O$274),"")</f>
        <v>0.36207763300000001</v>
      </c>
      <c r="P274">
        <f ca="1">IFERROR(IF(0=LEN(ReferenceData!$P$274),"",ReferenceData!$P$274),"")</f>
        <v>0.223582539</v>
      </c>
      <c r="Q274">
        <f ca="1">IFERROR(IF(0=LEN(ReferenceData!$Q$274),"",ReferenceData!$Q$274),"")</f>
        <v>0.210027399</v>
      </c>
      <c r="R274">
        <f ca="1">IFERROR(IF(0=LEN(ReferenceData!$R$274),"",ReferenceData!$R$274),"")</f>
        <v>0.365561839</v>
      </c>
      <c r="S274">
        <f ca="1">IFERROR(IF(0=LEN(ReferenceData!$S$274),"",ReferenceData!$S$274),"")</f>
        <v>0.44937018499999998</v>
      </c>
      <c r="T274">
        <f ca="1">IFERROR(IF(0=LEN(ReferenceData!$T$274),"",ReferenceData!$T$274),"")</f>
        <v>0.40484023099999999</v>
      </c>
      <c r="U274">
        <f ca="1">IFERROR(IF(0=LEN(ReferenceData!$U$274),"",ReferenceData!$U$274),"")</f>
        <v>0.47278566</v>
      </c>
      <c r="V274">
        <f ca="1">IFERROR(IF(0=LEN(ReferenceData!$V$274),"",ReferenceData!$V$274),"")</f>
        <v>0.48930100399999998</v>
      </c>
      <c r="W274">
        <f ca="1">IFERROR(IF(0=LEN(ReferenceData!$W$274),"",ReferenceData!$W$274),"")</f>
        <v>0.477794408</v>
      </c>
      <c r="X274">
        <f ca="1">IFERROR(IF(0=LEN(ReferenceData!$X$274),"",ReferenceData!$X$274),"")</f>
        <v>0.49160847499999999</v>
      </c>
      <c r="Y274">
        <f ca="1">IFERROR(IF(0=LEN(ReferenceData!$Y$274),"",ReferenceData!$Y$274),"")</f>
        <v>0.37013330700000002</v>
      </c>
      <c r="Z274">
        <f ca="1">IFERROR(IF(0=LEN(ReferenceData!$Z$274),"",ReferenceData!$Z$274),"")</f>
        <v>0.34155757799999997</v>
      </c>
      <c r="AA274">
        <f ca="1">IFERROR(IF(0=LEN(ReferenceData!$AA$274),"",ReferenceData!$AA$274),"")</f>
        <v>0.33827307000000001</v>
      </c>
      <c r="AB274">
        <f ca="1">IFERROR(IF(0=LEN(ReferenceData!$AB$274),"",ReferenceData!$AB$274),"")</f>
        <v>0.348282971</v>
      </c>
      <c r="AC274">
        <f ca="1">IFERROR(IF(0=LEN(ReferenceData!$AC$274),"",ReferenceData!$AC$274),"")</f>
        <v>0.44460585000000002</v>
      </c>
      <c r="AD274">
        <f ca="1">IFERROR(IF(0=LEN(ReferenceData!$AD$274),"",ReferenceData!$AD$274),"")</f>
        <v>0.31088569700000002</v>
      </c>
      <c r="AE274">
        <f ca="1">IFERROR(IF(0=LEN(ReferenceData!$AE$274),"",ReferenceData!$AE$274),"")</f>
        <v>0.278356249</v>
      </c>
      <c r="AF274">
        <f ca="1">IFERROR(IF(0=LEN(ReferenceData!$AF$274),"",ReferenceData!$AF$274),"")</f>
        <v>0.22699944</v>
      </c>
      <c r="AG274">
        <f ca="1">IFERROR(IF(0=LEN(ReferenceData!$AG$274),"",ReferenceData!$AG$274),"")</f>
        <v>0.24685148400000001</v>
      </c>
      <c r="AH274">
        <f ca="1">IFERROR(IF(0=LEN(ReferenceData!$AH$274),"",ReferenceData!$AH$274),"")</f>
        <v>0.28803249199999997</v>
      </c>
      <c r="AI274">
        <f ca="1">IFERROR(IF(0=LEN(ReferenceData!$AI$274),"",ReferenceData!$AI$274),"")</f>
        <v>0.27830648800000002</v>
      </c>
      <c r="AJ274">
        <f ca="1">IFERROR(IF(0=LEN(ReferenceData!$AJ$274),"",ReferenceData!$AJ$274),"")</f>
        <v>0.30481799599999998</v>
      </c>
      <c r="AK274">
        <f ca="1">IFERROR(IF(0=LEN(ReferenceData!$AK$274),"",ReferenceData!$AK$274),"")</f>
        <v>0.29229675700000002</v>
      </c>
      <c r="AL274">
        <f ca="1">IFERROR(IF(0=LEN(ReferenceData!$AL$274),"",ReferenceData!$AL$274),"")</f>
        <v>0.30892189799999997</v>
      </c>
      <c r="AM274">
        <f ca="1">IFERROR(IF(0=LEN(ReferenceData!$AM$274),"",ReferenceData!$AM$274),"")</f>
        <v>0.36216499600000002</v>
      </c>
      <c r="AN274">
        <f ca="1">IFERROR(IF(0=LEN(ReferenceData!$AN$274),"",ReferenceData!$AN$274),"")</f>
        <v>0.34745885799999998</v>
      </c>
      <c r="AO274">
        <f ca="1">IFERROR(IF(0=LEN(ReferenceData!$AO$274),"",ReferenceData!$AO$274),"")</f>
        <v>0.39351427100000003</v>
      </c>
      <c r="AP274">
        <f ca="1">IFERROR(IF(0=LEN(ReferenceData!$AP$274),"",ReferenceData!$AP$274),"")</f>
        <v>0.48651154200000002</v>
      </c>
      <c r="AQ274">
        <f ca="1">IFERROR(IF(0=LEN(ReferenceData!$AQ$274),"",ReferenceData!$AQ$274),"")</f>
        <v>0.55921737100000002</v>
      </c>
      <c r="AR274">
        <f ca="1">IFERROR(IF(0=LEN(ReferenceData!$AR$274),"",ReferenceData!$AR$274),"")</f>
        <v>0.61502484999999996</v>
      </c>
      <c r="AS274">
        <f ca="1">IFERROR(IF(0=LEN(ReferenceData!$AS$274),"",ReferenceData!$AS$274),"")</f>
        <v>0.617744089</v>
      </c>
      <c r="AT274">
        <f ca="1">IFERROR(IF(0=LEN(ReferenceData!$AT$274),"",ReferenceData!$AT$274),"")</f>
        <v>0.35074832700000003</v>
      </c>
      <c r="AU274">
        <f ca="1">IFERROR(IF(0=LEN(ReferenceData!$AU$274),"",ReferenceData!$AU$274),"")</f>
        <v>0.28239107800000002</v>
      </c>
      <c r="AV274">
        <f ca="1">IFERROR(IF(0=LEN(ReferenceData!$AV$274),"",ReferenceData!$AV$274),"")</f>
        <v>0.37274986100000002</v>
      </c>
      <c r="AW274">
        <f ca="1">IFERROR(IF(0=LEN(ReferenceData!$AW$274),"",ReferenceData!$AW$274),"")</f>
        <v>0.400326986</v>
      </c>
      <c r="AX274">
        <f ca="1">IFERROR(IF(0=LEN(ReferenceData!$AX$274),"",ReferenceData!$AX$274),"")</f>
        <v>0.33681167200000001</v>
      </c>
      <c r="AY274">
        <f ca="1">IFERROR(IF(0=LEN(ReferenceData!$AY$274),"",ReferenceData!$AY$274),"")</f>
        <v>0.39818177599999999</v>
      </c>
      <c r="AZ274">
        <f ca="1">IFERROR(IF(0=LEN(ReferenceData!$AZ$274),"",ReferenceData!$AZ$274),"")</f>
        <v>0.38253856000000003</v>
      </c>
      <c r="BA274">
        <f ca="1">IFERROR(IF(0=LEN(ReferenceData!$BA$274),"",ReferenceData!$BA$274),"")</f>
        <v>0.43679484600000001</v>
      </c>
      <c r="BB274">
        <f ca="1">IFERROR(IF(0=LEN(ReferenceData!$BB$274),"",ReferenceData!$BB$274),"")</f>
        <v>0.45860145000000002</v>
      </c>
      <c r="BC274">
        <f ca="1">IFERROR(IF(0=LEN(ReferenceData!$BC$274),"",ReferenceData!$BC$274),"")</f>
        <v>0.50556648699999995</v>
      </c>
      <c r="BD274">
        <f ca="1">IFERROR(IF(0=LEN(ReferenceData!$BD$274),"",ReferenceData!$BD$274),"")</f>
        <v>0.481151879</v>
      </c>
      <c r="BE274">
        <f ca="1">IFERROR(IF(0=LEN(ReferenceData!$BE$274),"",ReferenceData!$BE$274),"")</f>
        <v>0.49330870900000001</v>
      </c>
      <c r="BF274">
        <f ca="1">IFERROR(IF(0=LEN(ReferenceData!$BF$274),"",ReferenceData!$BF$274),"")</f>
        <v>0.54669895599999996</v>
      </c>
      <c r="BG274">
        <f ca="1">IFERROR(IF(0=LEN(ReferenceData!$BG$274),"",ReferenceData!$BG$274),"")</f>
        <v>0.48977842900000002</v>
      </c>
      <c r="BH274">
        <f ca="1">IFERROR(IF(0=LEN(ReferenceData!$BH$274),"",ReferenceData!$BH$274),"")</f>
        <v>0.39902251999999999</v>
      </c>
      <c r="BI274">
        <f ca="1">IFERROR(IF(0=LEN(ReferenceData!$BI$274),"",ReferenceData!$BI$274),"")</f>
        <v>0.20166917300000001</v>
      </c>
      <c r="BJ274">
        <f ca="1">IFERROR(IF(0=LEN(ReferenceData!$BJ$274),"",ReferenceData!$BJ$274),"")</f>
        <v>0.14745018500000001</v>
      </c>
      <c r="BK274">
        <f ca="1">IFERROR(IF(0=LEN(ReferenceData!$BK$274),"",ReferenceData!$BK$274),"")</f>
        <v>9.2625658E-2</v>
      </c>
      <c r="BL274">
        <f ca="1">IFERROR(IF(0=LEN(ReferenceData!$BL$274),"",ReferenceData!$BL$274),"")</f>
        <v>7.7131929000000002E-2</v>
      </c>
      <c r="BM274">
        <f ca="1">IFERROR(IF(0=LEN(ReferenceData!$BM$274),"",ReferenceData!$BM$274),"")</f>
        <v>0.10673975600000001</v>
      </c>
    </row>
    <row r="275" spans="1:65" x14ac:dyDescent="0.25">
      <c r="A275" t="str">
        <f>IFERROR(IF(0=LEN(ReferenceData!$A$275),"",ReferenceData!$A$275),"")</f>
        <v xml:space="preserve">    Nissan Motor Co Ltd</v>
      </c>
      <c r="B275" t="str">
        <f>IFERROR(IF(0=LEN(ReferenceData!$B$275),"",ReferenceData!$B$275),"")</f>
        <v>7201 JP Equity</v>
      </c>
      <c r="C275" t="str">
        <f>IFERROR(IF(0=LEN(ReferenceData!$C$275),"",ReferenceData!$C$275),"")</f>
        <v>RR904</v>
      </c>
      <c r="D275" t="str">
        <f>IFERROR(IF(0=LEN(ReferenceData!$D$275),"",ReferenceData!$D$275),"")</f>
        <v>PX_TO_SALES_RATIO</v>
      </c>
      <c r="E275" t="str">
        <f>IFERROR(IF(0=LEN(ReferenceData!$E$275),"",ReferenceData!$E$275),"")</f>
        <v>Dynamic</v>
      </c>
      <c r="F275">
        <f ca="1">IFERROR(IF(0=LEN(ReferenceData!$F$275),"",ReferenceData!$F$275),"")</f>
        <v>0.308811375</v>
      </c>
      <c r="G275">
        <f ca="1">IFERROR(IF(0=LEN(ReferenceData!$G$275),"",ReferenceData!$G$275),"")</f>
        <v>0.28687911900000002</v>
      </c>
      <c r="H275">
        <f ca="1">IFERROR(IF(0=LEN(ReferenceData!$H$275),"",ReferenceData!$H$275),"")</f>
        <v>0.351538462</v>
      </c>
      <c r="I275">
        <f ca="1">IFERROR(IF(0=LEN(ReferenceData!$I$275),"",ReferenceData!$I$275),"")</f>
        <v>0.35406334099999998</v>
      </c>
      <c r="J275">
        <f ca="1">IFERROR(IF(0=LEN(ReferenceData!$J$275),"",ReferenceData!$J$275),"")</f>
        <v>0.36129359100000003</v>
      </c>
      <c r="K275">
        <f ca="1">IFERROR(IF(0=LEN(ReferenceData!$K$275),"",ReferenceData!$K$275),"")</f>
        <v>0.36695717500000002</v>
      </c>
      <c r="L275">
        <f ca="1">IFERROR(IF(0=LEN(ReferenceData!$L$275),"",ReferenceData!$L$275),"")</f>
        <v>0.362468334</v>
      </c>
      <c r="M275">
        <f ca="1">IFERROR(IF(0=LEN(ReferenceData!$M$275),"",ReferenceData!$M$275),"")</f>
        <v>0.37286117699999999</v>
      </c>
      <c r="N275">
        <f ca="1">IFERROR(IF(0=LEN(ReferenceData!$N$275),"",ReferenceData!$N$275),"")</f>
        <v>0.36546241600000001</v>
      </c>
      <c r="O275">
        <f ca="1">IFERROR(IF(0=LEN(ReferenceData!$O$275),"",ReferenceData!$O$275),"")</f>
        <v>0.41512063599999999</v>
      </c>
      <c r="P275">
        <f ca="1">IFERROR(IF(0=LEN(ReferenceData!$P$275),"",ReferenceData!$P$275),"")</f>
        <v>0.35080114600000001</v>
      </c>
      <c r="Q275">
        <f ca="1">IFERROR(IF(0=LEN(ReferenceData!$Q$275),"",ReferenceData!$Q$275),"")</f>
        <v>0.32072235399999999</v>
      </c>
      <c r="R275">
        <f ca="1">IFERROR(IF(0=LEN(ReferenceData!$R$275),"",ReferenceData!$R$275),"")</f>
        <v>0.35804777900000001</v>
      </c>
      <c r="S275">
        <f ca="1">IFERROR(IF(0=LEN(ReferenceData!$S$275),"",ReferenceData!$S$275),"")</f>
        <v>0.43863750299999998</v>
      </c>
      <c r="T275">
        <f ca="1">IFERROR(IF(0=LEN(ReferenceData!$T$275),"",ReferenceData!$T$275),"")</f>
        <v>0.37707251000000003</v>
      </c>
      <c r="U275">
        <f ca="1">IFERROR(IF(0=LEN(ReferenceData!$U$275),"",ReferenceData!$U$275),"")</f>
        <v>0.452678156</v>
      </c>
      <c r="V275">
        <f ca="1">IFERROR(IF(0=LEN(ReferenceData!$V$275),"",ReferenceData!$V$275),"")</f>
        <v>0.45110866100000002</v>
      </c>
      <c r="W275">
        <f ca="1">IFERROR(IF(0=LEN(ReferenceData!$W$275),"",ReferenceData!$W$275),"")</f>
        <v>0.39237560500000002</v>
      </c>
      <c r="X275">
        <f ca="1">IFERROR(IF(0=LEN(ReferenceData!$X$275),"",ReferenceData!$X$275),"")</f>
        <v>0.41219006000000002</v>
      </c>
      <c r="Y275">
        <f ca="1">IFERROR(IF(0=LEN(ReferenceData!$Y$275),"",ReferenceData!$Y$275),"")</f>
        <v>0.375912833</v>
      </c>
      <c r="Z275">
        <f ca="1">IFERROR(IF(0=LEN(ReferenceData!$Z$275),"",ReferenceData!$Z$275),"")</f>
        <v>0.36786070999999998</v>
      </c>
      <c r="AA275">
        <f ca="1">IFERROR(IF(0=LEN(ReferenceData!$AA$275),"",ReferenceData!$AA$275),"")</f>
        <v>0.372910613</v>
      </c>
      <c r="AB275">
        <f ca="1">IFERROR(IF(0=LEN(ReferenceData!$AB$275),"",ReferenceData!$AB$275),"")</f>
        <v>0.43736283999999997</v>
      </c>
      <c r="AC275">
        <f ca="1">IFERROR(IF(0=LEN(ReferenceData!$AC$275),"",ReferenceData!$AC$275),"")</f>
        <v>0.46416357000000003</v>
      </c>
      <c r="AD275">
        <f ca="1">IFERROR(IF(0=LEN(ReferenceData!$AD$275),"",ReferenceData!$AD$275),"")</f>
        <v>0.434128246</v>
      </c>
      <c r="AE275">
        <f ca="1">IFERROR(IF(0=LEN(ReferenceData!$AE$275),"",ReferenceData!$AE$275),"")</f>
        <v>0.386280228</v>
      </c>
      <c r="AF275">
        <f ca="1">IFERROR(IF(0=LEN(ReferenceData!$AF$275),"",ReferenceData!$AF$275),"")</f>
        <v>0.30558711399999999</v>
      </c>
      <c r="AG275">
        <f ca="1">IFERROR(IF(0=LEN(ReferenceData!$AG$275),"",ReferenceData!$AG$275),"")</f>
        <v>0.339205694</v>
      </c>
      <c r="AH275">
        <f ca="1">IFERROR(IF(0=LEN(ReferenceData!$AH$275),"",ReferenceData!$AH$275),"")</f>
        <v>0.39144222099999998</v>
      </c>
      <c r="AI275">
        <f ca="1">IFERROR(IF(0=LEN(ReferenceData!$AI$275),"",ReferenceData!$AI$275),"")</f>
        <v>0.31978873800000002</v>
      </c>
      <c r="AJ275">
        <f ca="1">IFERROR(IF(0=LEN(ReferenceData!$AJ$275),"",ReferenceData!$AJ$275),"")</f>
        <v>0.32863555999999999</v>
      </c>
      <c r="AK275">
        <f ca="1">IFERROR(IF(0=LEN(ReferenceData!$AK$275),"",ReferenceData!$AK$275),"")</f>
        <v>0.40007511800000001</v>
      </c>
      <c r="AL275">
        <f ca="1">IFERROR(IF(0=LEN(ReferenceData!$AL$275),"",ReferenceData!$AL$275),"")</f>
        <v>0.35143013499999998</v>
      </c>
      <c r="AM275">
        <f ca="1">IFERROR(IF(0=LEN(ReferenceData!$AM$275),"",ReferenceData!$AM$275),"")</f>
        <v>0.37485969000000002</v>
      </c>
      <c r="AN275">
        <f ca="1">IFERROR(IF(0=LEN(ReferenceData!$AN$275),"",ReferenceData!$AN$275),"")</f>
        <v>0.35574459000000003</v>
      </c>
      <c r="AO275">
        <f ca="1">IFERROR(IF(0=LEN(ReferenceData!$AO$275),"",ReferenceData!$AO$275),"")</f>
        <v>0.318460823</v>
      </c>
      <c r="AP275">
        <f ca="1">IFERROR(IF(0=LEN(ReferenceData!$AP$275),"",ReferenceData!$AP$275),"")</f>
        <v>0.434261483</v>
      </c>
      <c r="AQ275">
        <f ca="1">IFERROR(IF(0=LEN(ReferenceData!$AQ$275),"",ReferenceData!$AQ$275),"")</f>
        <v>0.462808887</v>
      </c>
      <c r="AR275">
        <f ca="1">IFERROR(IF(0=LEN(ReferenceData!$AR$275),"",ReferenceData!$AR$275),"")</f>
        <v>0.35569931700000001</v>
      </c>
      <c r="AS275">
        <f ca="1">IFERROR(IF(0=LEN(ReferenceData!$AS$275),"",ReferenceData!$AS$275),"")</f>
        <v>0.31385690100000002</v>
      </c>
      <c r="AT275">
        <f ca="1">IFERROR(IF(0=LEN(ReferenceData!$AT$275),"",ReferenceData!$AT$275),"")</f>
        <v>0.16896460699999999</v>
      </c>
      <c r="AU275">
        <f ca="1">IFERROR(IF(0=LEN(ReferenceData!$AU$275),"",ReferenceData!$AU$275),"")</f>
        <v>0.134852206</v>
      </c>
      <c r="AV275">
        <f ca="1">IFERROR(IF(0=LEN(ReferenceData!$AV$275),"",ReferenceData!$AV$275),"")</f>
        <v>0.26764924499999998</v>
      </c>
      <c r="AW275">
        <f ca="1">IFERROR(IF(0=LEN(ReferenceData!$AW$275),"",ReferenceData!$AW$275),"")</f>
        <v>0.33424827499999998</v>
      </c>
      <c r="AX275">
        <f ca="1">IFERROR(IF(0=LEN(ReferenceData!$AX$275),"",ReferenceData!$AX$275),"")</f>
        <v>0.31178509999999998</v>
      </c>
      <c r="AY275">
        <f ca="1">IFERROR(IF(0=LEN(ReferenceData!$AY$275),"",ReferenceData!$AY$275),"")</f>
        <v>0.44169929200000002</v>
      </c>
      <c r="AZ275">
        <f ca="1">IFERROR(IF(0=LEN(ReferenceData!$AZ$275),"",ReferenceData!$AZ$275),"")</f>
        <v>0.42938131099999999</v>
      </c>
      <c r="BA275">
        <f ca="1">IFERROR(IF(0=LEN(ReferenceData!$BA$275),"",ReferenceData!$BA$275),"")</f>
        <v>0.50661003199999999</v>
      </c>
      <c r="BB275">
        <f ca="1">IFERROR(IF(0=LEN(ReferenceData!$BB$275),"",ReferenceData!$BB$275),"")</f>
        <v>0.49505405299999999</v>
      </c>
      <c r="BC275">
        <f ca="1">IFERROR(IF(0=LEN(ReferenceData!$BC$275),"",ReferenceData!$BC$275),"")</f>
        <v>0.61700348699999996</v>
      </c>
      <c r="BD275">
        <f ca="1">IFERROR(IF(0=LEN(ReferenceData!$BD$275),"",ReferenceData!$BD$275),"")</f>
        <v>0.57178831500000005</v>
      </c>
      <c r="BE275">
        <f ca="1">IFERROR(IF(0=LEN(ReferenceData!$BE$275),"",ReferenceData!$BE$275),"")</f>
        <v>0.53768717200000005</v>
      </c>
      <c r="BF275">
        <f ca="1">IFERROR(IF(0=LEN(ReferenceData!$BF$275),"",ReferenceData!$BF$275),"")</f>
        <v>0.60453014999999999</v>
      </c>
      <c r="BG275">
        <f ca="1">IFERROR(IF(0=LEN(ReferenceData!$BG$275),"",ReferenceData!$BG$275),"")</f>
        <v>0.52520128200000005</v>
      </c>
      <c r="BH275">
        <f ca="1">IFERROR(IF(0=LEN(ReferenceData!$BH$275),"",ReferenceData!$BH$275),"")</f>
        <v>0.58314197499999998</v>
      </c>
      <c r="BI275">
        <f ca="1">IFERROR(IF(0=LEN(ReferenceData!$BI$275),"",ReferenceData!$BI$275),"")</f>
        <v>0.50848950999999998</v>
      </c>
      <c r="BJ275">
        <f ca="1">IFERROR(IF(0=LEN(ReferenceData!$BJ$275),"",ReferenceData!$BJ$275),"")</f>
        <v>0.52399691599999998</v>
      </c>
      <c r="BK275" t="str">
        <f ca="1">IFERROR(IF(0=LEN(ReferenceData!$BK$275),"",ReferenceData!$BK$275),"")</f>
        <v/>
      </c>
      <c r="BL275" t="str">
        <f ca="1">IFERROR(IF(0=LEN(ReferenceData!$BL$275),"",ReferenceData!$BL$275),"")</f>
        <v/>
      </c>
      <c r="BM275" t="str">
        <f ca="1">IFERROR(IF(0=LEN(ReferenceData!$BM$275),"",ReferenceData!$BM$275),"")</f>
        <v/>
      </c>
    </row>
    <row r="276" spans="1:65" x14ac:dyDescent="0.25">
      <c r="A276" t="str">
        <f>IFERROR(IF(0=LEN(ReferenceData!$A$276),"",ReferenceData!$A$276),"")</f>
        <v xml:space="preserve">    Peugeot SA</v>
      </c>
      <c r="B276" t="str">
        <f>IFERROR(IF(0=LEN(ReferenceData!$B$276),"",ReferenceData!$B$276),"")</f>
        <v>UG FP Equity</v>
      </c>
      <c r="C276" t="str">
        <f>IFERROR(IF(0=LEN(ReferenceData!$C$276),"",ReferenceData!$C$276),"")</f>
        <v>RR904</v>
      </c>
      <c r="D276" t="str">
        <f>IFERROR(IF(0=LEN(ReferenceData!$D$276),"",ReferenceData!$D$276),"")</f>
        <v>PX_TO_SALES_RATIO</v>
      </c>
      <c r="E276" t="str">
        <f>IFERROR(IF(0=LEN(ReferenceData!$E$276),"",ReferenceData!$E$276),"")</f>
        <v>Dynamic</v>
      </c>
      <c r="F276" t="str">
        <f ca="1">IFERROR(IF(0=LEN(ReferenceData!$F$276),"",ReferenceData!$F$276),"")</f>
        <v/>
      </c>
      <c r="G276" t="str">
        <f ca="1">IFERROR(IF(0=LEN(ReferenceData!$G$276),"",ReferenceData!$G$276),"")</f>
        <v/>
      </c>
      <c r="H276" t="str">
        <f ca="1">IFERROR(IF(0=LEN(ReferenceData!$H$276),"",ReferenceData!$H$276),"")</f>
        <v/>
      </c>
      <c r="I276" t="str">
        <f ca="1">IFERROR(IF(0=LEN(ReferenceData!$I$276),"",ReferenceData!$I$276),"")</f>
        <v/>
      </c>
      <c r="J276" t="str">
        <f ca="1">IFERROR(IF(0=LEN(ReferenceData!$J$276),"",ReferenceData!$J$276),"")</f>
        <v/>
      </c>
      <c r="K276" t="str">
        <f ca="1">IFERROR(IF(0=LEN(ReferenceData!$K$276),"",ReferenceData!$K$276),"")</f>
        <v/>
      </c>
      <c r="L276" t="str">
        <f ca="1">IFERROR(IF(0=LEN(ReferenceData!$L$276),"",ReferenceData!$L$276),"")</f>
        <v/>
      </c>
      <c r="M276" t="str">
        <f ca="1">IFERROR(IF(0=LEN(ReferenceData!$M$276),"",ReferenceData!$M$276),"")</f>
        <v/>
      </c>
      <c r="N276" t="str">
        <f ca="1">IFERROR(IF(0=LEN(ReferenceData!$N$276),"",ReferenceData!$N$276),"")</f>
        <v/>
      </c>
      <c r="O276" t="str">
        <f ca="1">IFERROR(IF(0=LEN(ReferenceData!$O$276),"",ReferenceData!$O$276),"")</f>
        <v/>
      </c>
      <c r="P276" t="str">
        <f ca="1">IFERROR(IF(0=LEN(ReferenceData!$P$276),"",ReferenceData!$P$276),"")</f>
        <v/>
      </c>
      <c r="Q276" t="str">
        <f ca="1">IFERROR(IF(0=LEN(ReferenceData!$Q$276),"",ReferenceData!$Q$276),"")</f>
        <v/>
      </c>
      <c r="R276" t="str">
        <f ca="1">IFERROR(IF(0=LEN(ReferenceData!$R$276),"",ReferenceData!$R$276),"")</f>
        <v/>
      </c>
      <c r="S276" t="str">
        <f ca="1">IFERROR(IF(0=LEN(ReferenceData!$S$276),"",ReferenceData!$S$276),"")</f>
        <v/>
      </c>
      <c r="T276" t="str">
        <f ca="1">IFERROR(IF(0=LEN(ReferenceData!$T$276),"",ReferenceData!$T$276),"")</f>
        <v/>
      </c>
      <c r="U276" t="str">
        <f ca="1">IFERROR(IF(0=LEN(ReferenceData!$U$276),"",ReferenceData!$U$276),"")</f>
        <v/>
      </c>
      <c r="V276" t="str">
        <f ca="1">IFERROR(IF(0=LEN(ReferenceData!$V$276),"",ReferenceData!$V$276),"")</f>
        <v/>
      </c>
      <c r="W276" t="str">
        <f ca="1">IFERROR(IF(0=LEN(ReferenceData!$W$276),"",ReferenceData!$W$276),"")</f>
        <v/>
      </c>
      <c r="X276" t="str">
        <f ca="1">IFERROR(IF(0=LEN(ReferenceData!$X$276),"",ReferenceData!$X$276),"")</f>
        <v/>
      </c>
      <c r="Y276" t="str">
        <f ca="1">IFERROR(IF(0=LEN(ReferenceData!$Y$276),"",ReferenceData!$Y$276),"")</f>
        <v/>
      </c>
      <c r="Z276" t="str">
        <f ca="1">IFERROR(IF(0=LEN(ReferenceData!$Z$276),"",ReferenceData!$Z$276),"")</f>
        <v/>
      </c>
      <c r="AA276" t="str">
        <f ca="1">IFERROR(IF(0=LEN(ReferenceData!$AA$276),"",ReferenceData!$AA$276),"")</f>
        <v/>
      </c>
      <c r="AB276" t="str">
        <f ca="1">IFERROR(IF(0=LEN(ReferenceData!$AB$276),"",ReferenceData!$AB$276),"")</f>
        <v/>
      </c>
      <c r="AC276" t="str">
        <f ca="1">IFERROR(IF(0=LEN(ReferenceData!$AC$276),"",ReferenceData!$AC$276),"")</f>
        <v/>
      </c>
      <c r="AD276" t="str">
        <f ca="1">IFERROR(IF(0=LEN(ReferenceData!$AD$276),"",ReferenceData!$AD$276),"")</f>
        <v/>
      </c>
      <c r="AE276" t="str">
        <f ca="1">IFERROR(IF(0=LEN(ReferenceData!$AE$276),"",ReferenceData!$AE$276),"")</f>
        <v/>
      </c>
      <c r="AF276" t="str">
        <f ca="1">IFERROR(IF(0=LEN(ReferenceData!$AF$276),"",ReferenceData!$AF$276),"")</f>
        <v/>
      </c>
      <c r="AG276" t="str">
        <f ca="1">IFERROR(IF(0=LEN(ReferenceData!$AG$276),"",ReferenceData!$AG$276),"")</f>
        <v/>
      </c>
      <c r="AH276" t="str">
        <f ca="1">IFERROR(IF(0=LEN(ReferenceData!$AH$276),"",ReferenceData!$AH$276),"")</f>
        <v/>
      </c>
      <c r="AI276" t="str">
        <f ca="1">IFERROR(IF(0=LEN(ReferenceData!$AI$276),"",ReferenceData!$AI$276),"")</f>
        <v/>
      </c>
      <c r="AJ276" t="str">
        <f ca="1">IFERROR(IF(0=LEN(ReferenceData!$AJ$276),"",ReferenceData!$AJ$276),"")</f>
        <v/>
      </c>
      <c r="AK276" t="str">
        <f ca="1">IFERROR(IF(0=LEN(ReferenceData!$AK$276),"",ReferenceData!$AK$276),"")</f>
        <v/>
      </c>
      <c r="AL276" t="str">
        <f ca="1">IFERROR(IF(0=LEN(ReferenceData!$AL$276),"",ReferenceData!$AL$276),"")</f>
        <v/>
      </c>
      <c r="AM276" t="str">
        <f ca="1">IFERROR(IF(0=LEN(ReferenceData!$AM$276),"",ReferenceData!$AM$276),"")</f>
        <v/>
      </c>
      <c r="AN276" t="str">
        <f ca="1">IFERROR(IF(0=LEN(ReferenceData!$AN$276),"",ReferenceData!$AN$276),"")</f>
        <v/>
      </c>
      <c r="AO276" t="str">
        <f ca="1">IFERROR(IF(0=LEN(ReferenceData!$AO$276),"",ReferenceData!$AO$276),"")</f>
        <v/>
      </c>
      <c r="AP276" t="str">
        <f ca="1">IFERROR(IF(0=LEN(ReferenceData!$AP$276),"",ReferenceData!$AP$276),"")</f>
        <v/>
      </c>
      <c r="AQ276" t="str">
        <f ca="1">IFERROR(IF(0=LEN(ReferenceData!$AQ$276),"",ReferenceData!$AQ$276),"")</f>
        <v/>
      </c>
      <c r="AR276" t="str">
        <f ca="1">IFERROR(IF(0=LEN(ReferenceData!$AR$276),"",ReferenceData!$AR$276),"")</f>
        <v/>
      </c>
      <c r="AS276" t="str">
        <f ca="1">IFERROR(IF(0=LEN(ReferenceData!$AS$276),"",ReferenceData!$AS$276),"")</f>
        <v/>
      </c>
      <c r="AT276" t="str">
        <f ca="1">IFERROR(IF(0=LEN(ReferenceData!$AT$276),"",ReferenceData!$AT$276),"")</f>
        <v/>
      </c>
      <c r="AU276" t="str">
        <f ca="1">IFERROR(IF(0=LEN(ReferenceData!$AU$276),"",ReferenceData!$AU$276),"")</f>
        <v/>
      </c>
      <c r="AV276" t="str">
        <f ca="1">IFERROR(IF(0=LEN(ReferenceData!$AV$276),"",ReferenceData!$AV$276),"")</f>
        <v/>
      </c>
      <c r="AW276" t="str">
        <f ca="1">IFERROR(IF(0=LEN(ReferenceData!$AW$276),"",ReferenceData!$AW$276),"")</f>
        <v/>
      </c>
      <c r="AX276" t="str">
        <f ca="1">IFERROR(IF(0=LEN(ReferenceData!$AX$276),"",ReferenceData!$AX$276),"")</f>
        <v/>
      </c>
      <c r="AY276" t="str">
        <f ca="1">IFERROR(IF(0=LEN(ReferenceData!$AY$276),"",ReferenceData!$AY$276),"")</f>
        <v/>
      </c>
      <c r="AZ276" t="str">
        <f ca="1">IFERROR(IF(0=LEN(ReferenceData!$AZ$276),"",ReferenceData!$AZ$276),"")</f>
        <v/>
      </c>
      <c r="BA276" t="str">
        <f ca="1">IFERROR(IF(0=LEN(ReferenceData!$BA$276),"",ReferenceData!$BA$276),"")</f>
        <v/>
      </c>
      <c r="BB276" t="str">
        <f ca="1">IFERROR(IF(0=LEN(ReferenceData!$BB$276),"",ReferenceData!$BB$276),"")</f>
        <v/>
      </c>
      <c r="BC276" t="str">
        <f ca="1">IFERROR(IF(0=LEN(ReferenceData!$BC$276),"",ReferenceData!$BC$276),"")</f>
        <v/>
      </c>
      <c r="BD276" t="str">
        <f ca="1">IFERROR(IF(0=LEN(ReferenceData!$BD$276),"",ReferenceData!$BD$276),"")</f>
        <v/>
      </c>
      <c r="BE276" t="str">
        <f ca="1">IFERROR(IF(0=LEN(ReferenceData!$BE$276),"",ReferenceData!$BE$276),"")</f>
        <v/>
      </c>
      <c r="BF276" t="str">
        <f ca="1">IFERROR(IF(0=LEN(ReferenceData!$BF$276),"",ReferenceData!$BF$276),"")</f>
        <v/>
      </c>
      <c r="BG276" t="str">
        <f ca="1">IFERROR(IF(0=LEN(ReferenceData!$BG$276),"",ReferenceData!$BG$276),"")</f>
        <v/>
      </c>
      <c r="BH276" t="str">
        <f ca="1">IFERROR(IF(0=LEN(ReferenceData!$BH$276),"",ReferenceData!$BH$276),"")</f>
        <v/>
      </c>
      <c r="BI276" t="str">
        <f ca="1">IFERROR(IF(0=LEN(ReferenceData!$BI$276),"",ReferenceData!$BI$276),"")</f>
        <v/>
      </c>
      <c r="BJ276" t="str">
        <f ca="1">IFERROR(IF(0=LEN(ReferenceData!$BJ$276),"",ReferenceData!$BJ$276),"")</f>
        <v/>
      </c>
      <c r="BK276" t="str">
        <f ca="1">IFERROR(IF(0=LEN(ReferenceData!$BK$276),"",ReferenceData!$BK$276),"")</f>
        <v/>
      </c>
      <c r="BL276" t="str">
        <f ca="1">IFERROR(IF(0=LEN(ReferenceData!$BL$276),"",ReferenceData!$BL$276),"")</f>
        <v/>
      </c>
      <c r="BM276" t="str">
        <f ca="1">IFERROR(IF(0=LEN(ReferenceData!$BM$276),"",ReferenceData!$BM$276),"")</f>
        <v/>
      </c>
    </row>
    <row r="277" spans="1:65" x14ac:dyDescent="0.25">
      <c r="A277" t="str">
        <f>IFERROR(IF(0=LEN(ReferenceData!$A$277),"",ReferenceData!$A$277),"")</f>
        <v xml:space="preserve">    Renault SA</v>
      </c>
      <c r="B277" t="str">
        <f>IFERROR(IF(0=LEN(ReferenceData!$B$277),"",ReferenceData!$B$277),"")</f>
        <v>RNO FP Equity</v>
      </c>
      <c r="C277" t="str">
        <f>IFERROR(IF(0=LEN(ReferenceData!$C$277),"",ReferenceData!$C$277),"")</f>
        <v>RR904</v>
      </c>
      <c r="D277" t="str">
        <f>IFERROR(IF(0=LEN(ReferenceData!$D$277),"",ReferenceData!$D$277),"")</f>
        <v>PX_TO_SALES_RATIO</v>
      </c>
      <c r="E277" t="str">
        <f>IFERROR(IF(0=LEN(ReferenceData!$E$277),"",ReferenceData!$E$277),"")</f>
        <v>Dynamic</v>
      </c>
      <c r="F277" t="str">
        <f ca="1">IFERROR(IF(0=LEN(ReferenceData!$F$277),"",ReferenceData!$F$277),"")</f>
        <v/>
      </c>
      <c r="G277" t="str">
        <f ca="1">IFERROR(IF(0=LEN(ReferenceData!$G$277),"",ReferenceData!$G$277),"")</f>
        <v/>
      </c>
      <c r="H277" t="str">
        <f ca="1">IFERROR(IF(0=LEN(ReferenceData!$H$277),"",ReferenceData!$H$277),"")</f>
        <v/>
      </c>
      <c r="I277" t="str">
        <f ca="1">IFERROR(IF(0=LEN(ReferenceData!$I$277),"",ReferenceData!$I$277),"")</f>
        <v/>
      </c>
      <c r="J277" t="str">
        <f ca="1">IFERROR(IF(0=LEN(ReferenceData!$J$277),"",ReferenceData!$J$277),"")</f>
        <v/>
      </c>
      <c r="K277" t="str">
        <f ca="1">IFERROR(IF(0=LEN(ReferenceData!$K$277),"",ReferenceData!$K$277),"")</f>
        <v/>
      </c>
      <c r="L277" t="str">
        <f ca="1">IFERROR(IF(0=LEN(ReferenceData!$L$277),"",ReferenceData!$L$277),"")</f>
        <v/>
      </c>
      <c r="M277" t="str">
        <f ca="1">IFERROR(IF(0=LEN(ReferenceData!$M$277),"",ReferenceData!$M$277),"")</f>
        <v/>
      </c>
      <c r="N277" t="str">
        <f ca="1">IFERROR(IF(0=LEN(ReferenceData!$N$277),"",ReferenceData!$N$277),"")</f>
        <v/>
      </c>
      <c r="O277" t="str">
        <f ca="1">IFERROR(IF(0=LEN(ReferenceData!$O$277),"",ReferenceData!$O$277),"")</f>
        <v/>
      </c>
      <c r="P277" t="str">
        <f ca="1">IFERROR(IF(0=LEN(ReferenceData!$P$277),"",ReferenceData!$P$277),"")</f>
        <v/>
      </c>
      <c r="Q277" t="str">
        <f ca="1">IFERROR(IF(0=LEN(ReferenceData!$Q$277),"",ReferenceData!$Q$277),"")</f>
        <v/>
      </c>
      <c r="R277" t="str">
        <f ca="1">IFERROR(IF(0=LEN(ReferenceData!$R$277),"",ReferenceData!$R$277),"")</f>
        <v/>
      </c>
      <c r="S277" t="str">
        <f ca="1">IFERROR(IF(0=LEN(ReferenceData!$S$277),"",ReferenceData!$S$277),"")</f>
        <v/>
      </c>
      <c r="T277" t="str">
        <f ca="1">IFERROR(IF(0=LEN(ReferenceData!$T$277),"",ReferenceData!$T$277),"")</f>
        <v/>
      </c>
      <c r="U277" t="str">
        <f ca="1">IFERROR(IF(0=LEN(ReferenceData!$U$277),"",ReferenceData!$U$277),"")</f>
        <v/>
      </c>
      <c r="V277" t="str">
        <f ca="1">IFERROR(IF(0=LEN(ReferenceData!$V$277),"",ReferenceData!$V$277),"")</f>
        <v/>
      </c>
      <c r="W277" t="str">
        <f ca="1">IFERROR(IF(0=LEN(ReferenceData!$W$277),"",ReferenceData!$W$277),"")</f>
        <v/>
      </c>
      <c r="X277" t="str">
        <f ca="1">IFERROR(IF(0=LEN(ReferenceData!$X$277),"",ReferenceData!$X$277),"")</f>
        <v/>
      </c>
      <c r="Y277" t="str">
        <f ca="1">IFERROR(IF(0=LEN(ReferenceData!$Y$277),"",ReferenceData!$Y$277),"")</f>
        <v/>
      </c>
      <c r="Z277" t="str">
        <f ca="1">IFERROR(IF(0=LEN(ReferenceData!$Z$277),"",ReferenceData!$Z$277),"")</f>
        <v/>
      </c>
      <c r="AA277" t="str">
        <f ca="1">IFERROR(IF(0=LEN(ReferenceData!$AA$277),"",ReferenceData!$AA$277),"")</f>
        <v/>
      </c>
      <c r="AB277" t="str">
        <f ca="1">IFERROR(IF(0=LEN(ReferenceData!$AB$277),"",ReferenceData!$AB$277),"")</f>
        <v/>
      </c>
      <c r="AC277" t="str">
        <f ca="1">IFERROR(IF(0=LEN(ReferenceData!$AC$277),"",ReferenceData!$AC$277),"")</f>
        <v/>
      </c>
      <c r="AD277" t="str">
        <f ca="1">IFERROR(IF(0=LEN(ReferenceData!$AD$277),"",ReferenceData!$AD$277),"")</f>
        <v/>
      </c>
      <c r="AE277" t="str">
        <f ca="1">IFERROR(IF(0=LEN(ReferenceData!$AE$277),"",ReferenceData!$AE$277),"")</f>
        <v/>
      </c>
      <c r="AF277" t="str">
        <f ca="1">IFERROR(IF(0=LEN(ReferenceData!$AF$277),"",ReferenceData!$AF$277),"")</f>
        <v/>
      </c>
      <c r="AG277" t="str">
        <f ca="1">IFERROR(IF(0=LEN(ReferenceData!$AG$277),"",ReferenceData!$AG$277),"")</f>
        <v/>
      </c>
      <c r="AH277" t="str">
        <f ca="1">IFERROR(IF(0=LEN(ReferenceData!$AH$277),"",ReferenceData!$AH$277),"")</f>
        <v/>
      </c>
      <c r="AI277" t="str">
        <f ca="1">IFERROR(IF(0=LEN(ReferenceData!$AI$277),"",ReferenceData!$AI$277),"")</f>
        <v/>
      </c>
      <c r="AJ277" t="str">
        <f ca="1">IFERROR(IF(0=LEN(ReferenceData!$AJ$277),"",ReferenceData!$AJ$277),"")</f>
        <v/>
      </c>
      <c r="AK277" t="str">
        <f ca="1">IFERROR(IF(0=LEN(ReferenceData!$AK$277),"",ReferenceData!$AK$277),"")</f>
        <v/>
      </c>
      <c r="AL277" t="str">
        <f ca="1">IFERROR(IF(0=LEN(ReferenceData!$AL$277),"",ReferenceData!$AL$277),"")</f>
        <v/>
      </c>
      <c r="AM277" t="str">
        <f ca="1">IFERROR(IF(0=LEN(ReferenceData!$AM$277),"",ReferenceData!$AM$277),"")</f>
        <v/>
      </c>
      <c r="AN277" t="str">
        <f ca="1">IFERROR(IF(0=LEN(ReferenceData!$AN$277),"",ReferenceData!$AN$277),"")</f>
        <v/>
      </c>
      <c r="AO277" t="str">
        <f ca="1">IFERROR(IF(0=LEN(ReferenceData!$AO$277),"",ReferenceData!$AO$277),"")</f>
        <v/>
      </c>
      <c r="AP277" t="str">
        <f ca="1">IFERROR(IF(0=LEN(ReferenceData!$AP$277),"",ReferenceData!$AP$277),"")</f>
        <v/>
      </c>
      <c r="AQ277" t="str">
        <f ca="1">IFERROR(IF(0=LEN(ReferenceData!$AQ$277),"",ReferenceData!$AQ$277),"")</f>
        <v/>
      </c>
      <c r="AR277" t="str">
        <f ca="1">IFERROR(IF(0=LEN(ReferenceData!$AR$277),"",ReferenceData!$AR$277),"")</f>
        <v/>
      </c>
      <c r="AS277" t="str">
        <f ca="1">IFERROR(IF(0=LEN(ReferenceData!$AS$277),"",ReferenceData!$AS$277),"")</f>
        <v/>
      </c>
      <c r="AT277" t="str">
        <f ca="1">IFERROR(IF(0=LEN(ReferenceData!$AT$277),"",ReferenceData!$AT$277),"")</f>
        <v/>
      </c>
      <c r="AU277" t="str">
        <f ca="1">IFERROR(IF(0=LEN(ReferenceData!$AU$277),"",ReferenceData!$AU$277),"")</f>
        <v/>
      </c>
      <c r="AV277" t="str">
        <f ca="1">IFERROR(IF(0=LEN(ReferenceData!$AV$277),"",ReferenceData!$AV$277),"")</f>
        <v/>
      </c>
      <c r="AW277" t="str">
        <f ca="1">IFERROR(IF(0=LEN(ReferenceData!$AW$277),"",ReferenceData!$AW$277),"")</f>
        <v/>
      </c>
      <c r="AX277" t="str">
        <f ca="1">IFERROR(IF(0=LEN(ReferenceData!$AX$277),"",ReferenceData!$AX$277),"")</f>
        <v/>
      </c>
      <c r="AY277" t="str">
        <f ca="1">IFERROR(IF(0=LEN(ReferenceData!$AY$277),"",ReferenceData!$AY$277),"")</f>
        <v/>
      </c>
      <c r="AZ277" t="str">
        <f ca="1">IFERROR(IF(0=LEN(ReferenceData!$AZ$277),"",ReferenceData!$AZ$277),"")</f>
        <v/>
      </c>
      <c r="BA277" t="str">
        <f ca="1">IFERROR(IF(0=LEN(ReferenceData!$BA$277),"",ReferenceData!$BA$277),"")</f>
        <v/>
      </c>
      <c r="BB277" t="str">
        <f ca="1">IFERROR(IF(0=LEN(ReferenceData!$BB$277),"",ReferenceData!$BB$277),"")</f>
        <v/>
      </c>
      <c r="BC277" t="str">
        <f ca="1">IFERROR(IF(0=LEN(ReferenceData!$BC$277),"",ReferenceData!$BC$277),"")</f>
        <v/>
      </c>
      <c r="BD277" t="str">
        <f ca="1">IFERROR(IF(0=LEN(ReferenceData!$BD$277),"",ReferenceData!$BD$277),"")</f>
        <v/>
      </c>
      <c r="BE277" t="str">
        <f ca="1">IFERROR(IF(0=LEN(ReferenceData!$BE$277),"",ReferenceData!$BE$277),"")</f>
        <v/>
      </c>
      <c r="BF277" t="str">
        <f ca="1">IFERROR(IF(0=LEN(ReferenceData!$BF$277),"",ReferenceData!$BF$277),"")</f>
        <v/>
      </c>
      <c r="BG277" t="str">
        <f ca="1">IFERROR(IF(0=LEN(ReferenceData!$BG$277),"",ReferenceData!$BG$277),"")</f>
        <v/>
      </c>
      <c r="BH277" t="str">
        <f ca="1">IFERROR(IF(0=LEN(ReferenceData!$BH$277),"",ReferenceData!$BH$277),"")</f>
        <v/>
      </c>
      <c r="BI277" t="str">
        <f ca="1">IFERROR(IF(0=LEN(ReferenceData!$BI$277),"",ReferenceData!$BI$277),"")</f>
        <v/>
      </c>
      <c r="BJ277" t="str">
        <f ca="1">IFERROR(IF(0=LEN(ReferenceData!$BJ$277),"",ReferenceData!$BJ$277),"")</f>
        <v/>
      </c>
      <c r="BK277" t="str">
        <f ca="1">IFERROR(IF(0=LEN(ReferenceData!$BK$277),"",ReferenceData!$BK$277),"")</f>
        <v/>
      </c>
      <c r="BL277" t="str">
        <f ca="1">IFERROR(IF(0=LEN(ReferenceData!$BL$277),"",ReferenceData!$BL$277),"")</f>
        <v/>
      </c>
      <c r="BM277" t="str">
        <f ca="1">IFERROR(IF(0=LEN(ReferenceData!$BM$277),"",ReferenceData!$BM$277),"")</f>
        <v/>
      </c>
    </row>
    <row r="278" spans="1:65" x14ac:dyDescent="0.25">
      <c r="A278" t="str">
        <f>IFERROR(IF(0=LEN(ReferenceData!$A$278),"",ReferenceData!$A$278),"")</f>
        <v xml:space="preserve">    SAIC Motor Corp Ltd</v>
      </c>
      <c r="B278" t="str">
        <f>IFERROR(IF(0=LEN(ReferenceData!$B$278),"",ReferenceData!$B$278),"")</f>
        <v>600104 CH Equity</v>
      </c>
      <c r="C278" t="str">
        <f>IFERROR(IF(0=LEN(ReferenceData!$C$278),"",ReferenceData!$C$278),"")</f>
        <v>RR904</v>
      </c>
      <c r="D278" t="str">
        <f>IFERROR(IF(0=LEN(ReferenceData!$D$278),"",ReferenceData!$D$278),"")</f>
        <v>PX_TO_SALES_RATIO</v>
      </c>
      <c r="E278" t="str">
        <f>IFERROR(IF(0=LEN(ReferenceData!$E$278),"",ReferenceData!$E$278),"")</f>
        <v>Dynamic</v>
      </c>
      <c r="F278">
        <f ca="1">IFERROR(IF(0=LEN(ReferenceData!$F$278),"",ReferenceData!$F$278),"")</f>
        <v>0.35729555499999999</v>
      </c>
      <c r="G278">
        <f ca="1">IFERROR(IF(0=LEN(ReferenceData!$G$278),"",ReferenceData!$G$278),"")</f>
        <v>0.33541261700000002</v>
      </c>
      <c r="H278">
        <f ca="1">IFERROR(IF(0=LEN(ReferenceData!$H$278),"",ReferenceData!$H$278),"")</f>
        <v>0.418542629</v>
      </c>
      <c r="I278">
        <f ca="1">IFERROR(IF(0=LEN(ReferenceData!$I$278),"",ReferenceData!$I$278),"")</f>
        <v>0.43927638600000002</v>
      </c>
      <c r="J278">
        <f ca="1">IFERROR(IF(0=LEN(ReferenceData!$J$278),"",ReferenceData!$J$278),"")</f>
        <v>0.43902258700000002</v>
      </c>
      <c r="K278">
        <f ca="1">IFERROR(IF(0=LEN(ReferenceData!$K$278),"",ReferenceData!$K$278),"")</f>
        <v>0.43196786599999998</v>
      </c>
      <c r="L278">
        <f ca="1">IFERROR(IF(0=LEN(ReferenceData!$L$278),"",ReferenceData!$L$278),"")</f>
        <v>0.41914096499999998</v>
      </c>
      <c r="M278">
        <f ca="1">IFERROR(IF(0=LEN(ReferenceData!$M$278),"",ReferenceData!$M$278),"")</f>
        <v>0.441427719</v>
      </c>
      <c r="N278">
        <f ca="1">IFERROR(IF(0=LEN(ReferenceData!$N$278),"",ReferenceData!$N$278),"")</f>
        <v>0.37181167599999998</v>
      </c>
      <c r="O278">
        <f ca="1">IFERROR(IF(0=LEN(ReferenceData!$O$278),"",ReferenceData!$O$278),"")</f>
        <v>0.345242137</v>
      </c>
      <c r="P278">
        <f ca="1">IFERROR(IF(0=LEN(ReferenceData!$P$278),"",ReferenceData!$P$278),"")</f>
        <v>0.334713961</v>
      </c>
      <c r="Q278">
        <f ca="1">IFERROR(IF(0=LEN(ReferenceData!$Q$278),"",ReferenceData!$Q$278),"")</f>
        <v>0.32356554399999998</v>
      </c>
      <c r="R278">
        <f ca="1">IFERROR(IF(0=LEN(ReferenceData!$R$278),"",ReferenceData!$R$278),"")</f>
        <v>0.32542558500000002</v>
      </c>
      <c r="S278">
        <f ca="1">IFERROR(IF(0=LEN(ReferenceData!$S$278),"",ReferenceData!$S$278),"")</f>
        <v>0.35190281600000001</v>
      </c>
      <c r="T278">
        <f ca="1">IFERROR(IF(0=LEN(ReferenceData!$T$278),"",ReferenceData!$T$278),"")</f>
        <v>0.29400092500000002</v>
      </c>
      <c r="U278">
        <f ca="1">IFERROR(IF(0=LEN(ReferenceData!$U$278),"",ReferenceData!$U$278),"")</f>
        <v>0.395908818</v>
      </c>
      <c r="V278">
        <f ca="1">IFERROR(IF(0=LEN(ReferenceData!$V$278),"",ReferenceData!$V$278),"")</f>
        <v>0.436905722</v>
      </c>
      <c r="W278">
        <f ca="1">IFERROR(IF(0=LEN(ReferenceData!$W$278),"",ReferenceData!$W$278),"")</f>
        <v>0.37799792599999998</v>
      </c>
      <c r="X278">
        <f ca="1">IFERROR(IF(0=LEN(ReferenceData!$X$278),"",ReferenceData!$X$278),"")</f>
        <v>0.32583825100000002</v>
      </c>
      <c r="Y278">
        <f ca="1">IFERROR(IF(0=LEN(ReferenceData!$Y$278),"",ReferenceData!$Y$278),"")</f>
        <v>0.28056200799999997</v>
      </c>
      <c r="Z278">
        <f ca="1">IFERROR(IF(0=LEN(ReferenceData!$Z$278),"",ReferenceData!$Z$278),"")</f>
        <v>0.26084512100000001</v>
      </c>
      <c r="AA278">
        <f ca="1">IFERROR(IF(0=LEN(ReferenceData!$AA$278),"",ReferenceData!$AA$278),"")</f>
        <v>0.27722352</v>
      </c>
      <c r="AB278">
        <f ca="1">IFERROR(IF(0=LEN(ReferenceData!$AB$278),"",ReferenceData!$AB$278),"")</f>
        <v>0.27311939499999999</v>
      </c>
      <c r="AC278">
        <f ca="1">IFERROR(IF(0=LEN(ReferenceData!$AC$278),"",ReferenceData!$AC$278),"")</f>
        <v>0.27905155999999998</v>
      </c>
      <c r="AD278">
        <f ca="1">IFERROR(IF(0=LEN(ReferenceData!$AD$278),"",ReferenceData!$AD$278),"")</f>
        <v>0.32887720199999998</v>
      </c>
      <c r="AE278">
        <f ca="1">IFERROR(IF(0=LEN(ReferenceData!$AE$278),"",ReferenceData!$AE$278),"")</f>
        <v>0.41118230900000002</v>
      </c>
      <c r="AF278">
        <f ca="1">IFERROR(IF(0=LEN(ReferenceData!$AF$278),"",ReferenceData!$AF$278),"")</f>
        <v>0.28931226199999999</v>
      </c>
      <c r="AG278">
        <f ca="1">IFERROR(IF(0=LEN(ReferenceData!$AG$278),"",ReferenceData!$AG$278),"")</f>
        <v>0.296877697</v>
      </c>
      <c r="AH278">
        <f ca="1">IFERROR(IF(0=LEN(ReferenceData!$AH$278),"",ReferenceData!$AH$278),"")</f>
        <v>0.30081262399999997</v>
      </c>
      <c r="AI278">
        <f ca="1">IFERROR(IF(0=LEN(ReferenceData!$AI$278),"",ReferenceData!$AI$278),"")</f>
        <v>0.284070447</v>
      </c>
      <c r="AJ278">
        <f ca="1">IFERROR(IF(0=LEN(ReferenceData!$AJ$278),"",ReferenceData!$AJ$278),"")</f>
        <v>0.32320730199999997</v>
      </c>
      <c r="AK278">
        <f ca="1">IFERROR(IF(0=LEN(ReferenceData!$AK$278),"",ReferenceData!$AK$278),"")</f>
        <v>0.39923173899999997</v>
      </c>
      <c r="AL278">
        <f ca="1">IFERROR(IF(0=LEN(ReferenceData!$AL$278),"",ReferenceData!$AL$278),"")</f>
        <v>0.44682455100000001</v>
      </c>
      <c r="AM278">
        <f ca="1">IFERROR(IF(0=LEN(ReferenceData!$AM$278),"",ReferenceData!$AM$278),"")</f>
        <v>0.35552219000000002</v>
      </c>
      <c r="AN278">
        <f ca="1">IFERROR(IF(0=LEN(ReferenceData!$AN$278),"",ReferenceData!$AN$278),"")</f>
        <v>0.545162111</v>
      </c>
      <c r="AO278">
        <f ca="1">IFERROR(IF(0=LEN(ReferenceData!$AO$278),"",ReferenceData!$AO$278),"")</f>
        <v>0.47203101800000002</v>
      </c>
      <c r="AP278">
        <f ca="1">IFERROR(IF(0=LEN(ReferenceData!$AP$278),"",ReferenceData!$AP$278),"")</f>
        <v>0.77586156500000003</v>
      </c>
      <c r="AQ278">
        <f ca="1">IFERROR(IF(0=LEN(ReferenceData!$AQ$278),"",ReferenceData!$AQ$278),"")</f>
        <v>1.2360878639999999</v>
      </c>
      <c r="AR278">
        <f ca="1">IFERROR(IF(0=LEN(ReferenceData!$AR$278),"",ReferenceData!$AR$278),"")</f>
        <v>1.0609012819999999</v>
      </c>
      <c r="AS278">
        <f ca="1">IFERROR(IF(0=LEN(ReferenceData!$AS$278),"",ReferenceData!$AS$278),"")</f>
        <v>0.90295613100000005</v>
      </c>
      <c r="AT278">
        <f ca="1">IFERROR(IF(0=LEN(ReferenceData!$AT$278),"",ReferenceData!$AT$278),"")</f>
        <v>0.62540209400000002</v>
      </c>
      <c r="AU278">
        <f ca="1">IFERROR(IF(0=LEN(ReferenceData!$AU$278),"",ReferenceData!$AU$278),"")</f>
        <v>0.33517618700000001</v>
      </c>
      <c r="AV278">
        <f ca="1">IFERROR(IF(0=LEN(ReferenceData!$AV$278),"",ReferenceData!$AV$278),"")</f>
        <v>0.41112992199999998</v>
      </c>
      <c r="AW278">
        <f ca="1">IFERROR(IF(0=LEN(ReferenceData!$AW$278),"",ReferenceData!$AW$278),"")</f>
        <v>0.46656727100000001</v>
      </c>
      <c r="AX278">
        <f ca="1">IFERROR(IF(0=LEN(ReferenceData!$AX$278),"",ReferenceData!$AX$278),"")</f>
        <v>0.840803352</v>
      </c>
      <c r="AY278">
        <f ca="1">IFERROR(IF(0=LEN(ReferenceData!$AY$278),"",ReferenceData!$AY$278),"")</f>
        <v>1.66113043</v>
      </c>
      <c r="AZ278">
        <f ca="1">IFERROR(IF(0=LEN(ReferenceData!$AZ$278),"",ReferenceData!$AZ$278),"")</f>
        <v>2.021770048</v>
      </c>
      <c r="BA278">
        <f ca="1">IFERROR(IF(0=LEN(ReferenceData!$BA$278),"",ReferenceData!$BA$278),"")</f>
        <v>1.5646535530000001</v>
      </c>
      <c r="BB278">
        <f ca="1">IFERROR(IF(0=LEN(ReferenceData!$BB$278),"",ReferenceData!$BB$278),"")</f>
        <v>1.6478679430000001</v>
      </c>
      <c r="BC278">
        <f ca="1">IFERROR(IF(0=LEN(ReferenceData!$BC$278),"",ReferenceData!$BC$278),"")</f>
        <v>2.0537729480000002</v>
      </c>
      <c r="BD278">
        <f ca="1">IFERROR(IF(0=LEN(ReferenceData!$BD$278),"",ReferenceData!$BD$278),"")</f>
        <v>3.4600238989999998</v>
      </c>
      <c r="BE278">
        <f ca="1">IFERROR(IF(0=LEN(ReferenceData!$BE$278),"",ReferenceData!$BE$278),"")</f>
        <v>3.367556725</v>
      </c>
      <c r="BF278">
        <f ca="1">IFERROR(IF(0=LEN(ReferenceData!$BF$278),"",ReferenceData!$BF$278),"")</f>
        <v>1.9203319860000001</v>
      </c>
      <c r="BG278">
        <f ca="1">IFERROR(IF(0=LEN(ReferenceData!$BG$278),"",ReferenceData!$BG$278),"")</f>
        <v>1.7021729640000001</v>
      </c>
      <c r="BH278">
        <f ca="1">IFERROR(IF(0=LEN(ReferenceData!$BH$278),"",ReferenceData!$BH$278),"")</f>
        <v>2.7360340029999999</v>
      </c>
      <c r="BI278">
        <f ca="1">IFERROR(IF(0=LEN(ReferenceData!$BI$278),"",ReferenceData!$BI$278),"")</f>
        <v>2.280028336</v>
      </c>
      <c r="BJ278">
        <f ca="1">IFERROR(IF(0=LEN(ReferenceData!$BJ$278),"",ReferenceData!$BJ$278),"")</f>
        <v>2.0440564459999999</v>
      </c>
      <c r="BK278">
        <f ca="1">IFERROR(IF(0=LEN(ReferenceData!$BK$278),"",ReferenceData!$BK$278),"")</f>
        <v>2.0839633609999999</v>
      </c>
      <c r="BL278">
        <f ca="1">IFERROR(IF(0=LEN(ReferenceData!$BL$278),"",ReferenceData!$BL$278),"")</f>
        <v>3.5418165479999999</v>
      </c>
      <c r="BM278">
        <f ca="1">IFERROR(IF(0=LEN(ReferenceData!$BM$278),"",ReferenceData!$BM$278),"")</f>
        <v>3.7183291829999998</v>
      </c>
    </row>
    <row r="279" spans="1:65" x14ac:dyDescent="0.25">
      <c r="A279" t="str">
        <f>IFERROR(IF(0=LEN(ReferenceData!$A$279),"",ReferenceData!$A$279),"")</f>
        <v xml:space="preserve">    Sanyang Motor Co Ltd</v>
      </c>
      <c r="B279" t="str">
        <f>IFERROR(IF(0=LEN(ReferenceData!$B$279),"",ReferenceData!$B$279),"")</f>
        <v>2206 TT Equity</v>
      </c>
      <c r="C279" t="str">
        <f>IFERROR(IF(0=LEN(ReferenceData!$C$279),"",ReferenceData!$C$279),"")</f>
        <v>RR904</v>
      </c>
      <c r="D279" t="str">
        <f>IFERROR(IF(0=LEN(ReferenceData!$D$279),"",ReferenceData!$D$279),"")</f>
        <v>PX_TO_SALES_RATIO</v>
      </c>
      <c r="E279" t="str">
        <f>IFERROR(IF(0=LEN(ReferenceData!$E$279),"",ReferenceData!$E$279),"")</f>
        <v>Dynamic</v>
      </c>
      <c r="F279">
        <f ca="1">IFERROR(IF(0=LEN(ReferenceData!$F$279),"",ReferenceData!$F$279),"")</f>
        <v>0.52265584899999995</v>
      </c>
      <c r="G279">
        <f ca="1">IFERROR(IF(0=LEN(ReferenceData!$G$279),"",ReferenceData!$G$279),"")</f>
        <v>0.52135246800000001</v>
      </c>
      <c r="H279">
        <f ca="1">IFERROR(IF(0=LEN(ReferenceData!$H$279),"",ReferenceData!$H$279),"")</f>
        <v>0.53438627999999999</v>
      </c>
      <c r="I279">
        <f ca="1">IFERROR(IF(0=LEN(ReferenceData!$I$279),"",ReferenceData!$I$279),"")</f>
        <v>0.57211815600000004</v>
      </c>
      <c r="J279">
        <f ca="1">IFERROR(IF(0=LEN(ReferenceData!$J$279),"",ReferenceData!$J$279),"")</f>
        <v>0.56326853499999996</v>
      </c>
      <c r="K279">
        <f ca="1">IFERROR(IF(0=LEN(ReferenceData!$K$279),"",ReferenceData!$K$279),"")</f>
        <v>0.57634368700000005</v>
      </c>
      <c r="L279">
        <f ca="1">IFERROR(IF(0=LEN(ReferenceData!$L$279),"",ReferenceData!$L$279),"")</f>
        <v>0.518525707</v>
      </c>
      <c r="M279">
        <f ca="1">IFERROR(IF(0=LEN(ReferenceData!$M$279),"",ReferenceData!$M$279),"")</f>
        <v>0.53440001400000003</v>
      </c>
      <c r="N279">
        <f ca="1">IFERROR(IF(0=LEN(ReferenceData!$N$279),"",ReferenceData!$N$279),"")</f>
        <v>0.522481266</v>
      </c>
      <c r="O279">
        <f ca="1">IFERROR(IF(0=LEN(ReferenceData!$O$279),"",ReferenceData!$O$279),"")</f>
        <v>0.510957616</v>
      </c>
      <c r="P279">
        <f ca="1">IFERROR(IF(0=LEN(ReferenceData!$P$279),"",ReferenceData!$P$279),"")</f>
        <v>0.59670273399999996</v>
      </c>
      <c r="Q279">
        <f ca="1">IFERROR(IF(0=LEN(ReferenceData!$Q$279),"",ReferenceData!$Q$279),"")</f>
        <v>0.57962433700000004</v>
      </c>
      <c r="R279">
        <f ca="1">IFERROR(IF(0=LEN(ReferenceData!$R$279),"",ReferenceData!$R$279),"")</f>
        <v>0.60226424999999995</v>
      </c>
      <c r="S279">
        <f ca="1">IFERROR(IF(0=LEN(ReferenceData!$S$279),"",ReferenceData!$S$279),"")</f>
        <v>0.590548976</v>
      </c>
      <c r="T279">
        <f ca="1">IFERROR(IF(0=LEN(ReferenceData!$T$279),"",ReferenceData!$T$279),"")</f>
        <v>0.59143232000000001</v>
      </c>
      <c r="U279">
        <f ca="1">IFERROR(IF(0=LEN(ReferenceData!$U$279),"",ReferenceData!$U$279),"")</f>
        <v>0.62224989399999997</v>
      </c>
      <c r="V279">
        <f ca="1">IFERROR(IF(0=LEN(ReferenceData!$V$279),"",ReferenceData!$V$279),"")</f>
        <v>0.62042635899999998</v>
      </c>
      <c r="W279">
        <f ca="1">IFERROR(IF(0=LEN(ReferenceData!$W$279),"",ReferenceData!$W$279),"")</f>
        <v>0.68220749599999997</v>
      </c>
      <c r="X279">
        <f ca="1">IFERROR(IF(0=LEN(ReferenceData!$X$279),"",ReferenceData!$X$279),"")</f>
        <v>0.67057819500000004</v>
      </c>
      <c r="Y279">
        <f ca="1">IFERROR(IF(0=LEN(ReferenceData!$Y$279),"",ReferenceData!$Y$279),"")</f>
        <v>0.771667349</v>
      </c>
      <c r="Z279">
        <f ca="1">IFERROR(IF(0=LEN(ReferenceData!$Z$279),"",ReferenceData!$Z$279),"")</f>
        <v>1.3187453819999999</v>
      </c>
      <c r="AA279">
        <f ca="1">IFERROR(IF(0=LEN(ReferenceData!$AA$279),"",ReferenceData!$AA$279),"")</f>
        <v>1.26911624</v>
      </c>
      <c r="AB279">
        <f ca="1">IFERROR(IF(0=LEN(ReferenceData!$AB$279),"",ReferenceData!$AB$279),"")</f>
        <v>1.1216147999999999</v>
      </c>
      <c r="AC279">
        <f ca="1">IFERROR(IF(0=LEN(ReferenceData!$AC$279),"",ReferenceData!$AC$279),"")</f>
        <v>0.70791710699999999</v>
      </c>
      <c r="AD279">
        <f ca="1">IFERROR(IF(0=LEN(ReferenceData!$AD$279),"",ReferenceData!$AD$279),"")</f>
        <v>0.63262768300000005</v>
      </c>
      <c r="AE279">
        <f ca="1">IFERROR(IF(0=LEN(ReferenceData!$AE$279),"",ReferenceData!$AE$279),"")</f>
        <v>0.45106574500000002</v>
      </c>
      <c r="AF279">
        <f ca="1">IFERROR(IF(0=LEN(ReferenceData!$AF$279),"",ReferenceData!$AF$279),"")</f>
        <v>0.50848464999999998</v>
      </c>
      <c r="AG279">
        <f ca="1">IFERROR(IF(0=LEN(ReferenceData!$AG$279),"",ReferenceData!$AG$279),"")</f>
        <v>0.50349330699999995</v>
      </c>
      <c r="AH279">
        <f ca="1">IFERROR(IF(0=LEN(ReferenceData!$AH$279),"",ReferenceData!$AH$279),"")</f>
        <v>0.50261823100000003</v>
      </c>
      <c r="AI279">
        <f ca="1">IFERROR(IF(0=LEN(ReferenceData!$AI$279),"",ReferenceData!$AI$279),"")</f>
        <v>0.40069707900000001</v>
      </c>
      <c r="AJ279">
        <f ca="1">IFERROR(IF(0=LEN(ReferenceData!$AJ$279),"",ReferenceData!$AJ$279),"")</f>
        <v>0.41354772899999998</v>
      </c>
      <c r="AK279">
        <f ca="1">IFERROR(IF(0=LEN(ReferenceData!$AK$279),"",ReferenceData!$AK$279),"")</f>
        <v>0.39683813699999998</v>
      </c>
      <c r="AL279">
        <f ca="1">IFERROR(IF(0=LEN(ReferenceData!$AL$279),"",ReferenceData!$AL$279),"")</f>
        <v>0.42020315800000002</v>
      </c>
      <c r="AM279">
        <f ca="1">IFERROR(IF(0=LEN(ReferenceData!$AM$279),"",ReferenceData!$AM$279),"")</f>
        <v>0.47853755199999998</v>
      </c>
      <c r="AN279">
        <f ca="1">IFERROR(IF(0=LEN(ReferenceData!$AN$279),"",ReferenceData!$AN$279),"")</f>
        <v>0.43552439999999998</v>
      </c>
      <c r="AO279">
        <f ca="1">IFERROR(IF(0=LEN(ReferenceData!$AO$279),"",ReferenceData!$AO$279),"")</f>
        <v>0.35053922599999998</v>
      </c>
      <c r="AP279">
        <f ca="1">IFERROR(IF(0=LEN(ReferenceData!$AP$279),"",ReferenceData!$AP$279),"")</f>
        <v>0.34117098299999998</v>
      </c>
      <c r="AQ279">
        <f ca="1">IFERROR(IF(0=LEN(ReferenceData!$AQ$279),"",ReferenceData!$AQ$279),"")</f>
        <v>0.37498650500000003</v>
      </c>
      <c r="AR279">
        <f ca="1">IFERROR(IF(0=LEN(ReferenceData!$AR$279),"",ReferenceData!$AR$279),"")</f>
        <v>0.44208328000000002</v>
      </c>
      <c r="AS279">
        <f ca="1">IFERROR(IF(0=LEN(ReferenceData!$AS$279),"",ReferenceData!$AS$279),"")</f>
        <v>0.40878594499999998</v>
      </c>
      <c r="AT279">
        <f ca="1">IFERROR(IF(0=LEN(ReferenceData!$AT$279),"",ReferenceData!$AT$279),"")</f>
        <v>0.205490113</v>
      </c>
      <c r="AU279">
        <f ca="1">IFERROR(IF(0=LEN(ReferenceData!$AU$279),"",ReferenceData!$AU$279),"")</f>
        <v>0.15232911099999999</v>
      </c>
      <c r="AV279" t="str">
        <f ca="1">IFERROR(IF(0=LEN(ReferenceData!$AV$279),"",ReferenceData!$AV$279),"")</f>
        <v/>
      </c>
      <c r="AW279" t="str">
        <f ca="1">IFERROR(IF(0=LEN(ReferenceData!$AW$279),"",ReferenceData!$AW$279),"")</f>
        <v/>
      </c>
      <c r="AX279" t="str">
        <f ca="1">IFERROR(IF(0=LEN(ReferenceData!$AX$279),"",ReferenceData!$AX$279),"")</f>
        <v/>
      </c>
      <c r="AY279" t="str">
        <f ca="1">IFERROR(IF(0=LEN(ReferenceData!$AY$279),"",ReferenceData!$AY$279),"")</f>
        <v/>
      </c>
      <c r="AZ279" t="str">
        <f ca="1">IFERROR(IF(0=LEN(ReferenceData!$AZ$279),"",ReferenceData!$AZ$279),"")</f>
        <v/>
      </c>
      <c r="BA279" t="str">
        <f ca="1">IFERROR(IF(0=LEN(ReferenceData!$BA$279),"",ReferenceData!$BA$279),"")</f>
        <v/>
      </c>
      <c r="BB279" t="str">
        <f ca="1">IFERROR(IF(0=LEN(ReferenceData!$BB$279),"",ReferenceData!$BB$279),"")</f>
        <v/>
      </c>
      <c r="BC279" t="str">
        <f ca="1">IFERROR(IF(0=LEN(ReferenceData!$BC$279),"",ReferenceData!$BC$279),"")</f>
        <v/>
      </c>
      <c r="BD279" t="str">
        <f ca="1">IFERROR(IF(0=LEN(ReferenceData!$BD$279),"",ReferenceData!$BD$279),"")</f>
        <v/>
      </c>
      <c r="BE279" t="str">
        <f ca="1">IFERROR(IF(0=LEN(ReferenceData!$BE$279),"",ReferenceData!$BE$279),"")</f>
        <v/>
      </c>
      <c r="BF279" t="str">
        <f ca="1">IFERROR(IF(0=LEN(ReferenceData!$BF$279),"",ReferenceData!$BF$279),"")</f>
        <v/>
      </c>
      <c r="BG279" t="str">
        <f ca="1">IFERROR(IF(0=LEN(ReferenceData!$BG$279),"",ReferenceData!$BG$279),"")</f>
        <v/>
      </c>
      <c r="BH279" t="str">
        <f ca="1">IFERROR(IF(0=LEN(ReferenceData!$BH$279),"",ReferenceData!$BH$279),"")</f>
        <v/>
      </c>
      <c r="BI279" t="str">
        <f ca="1">IFERROR(IF(0=LEN(ReferenceData!$BI$279),"",ReferenceData!$BI$279),"")</f>
        <v/>
      </c>
      <c r="BJ279" t="str">
        <f ca="1">IFERROR(IF(0=LEN(ReferenceData!$BJ$279),"",ReferenceData!$BJ$279),"")</f>
        <v/>
      </c>
      <c r="BK279" t="str">
        <f ca="1">IFERROR(IF(0=LEN(ReferenceData!$BK$279),"",ReferenceData!$BK$279),"")</f>
        <v/>
      </c>
      <c r="BL279" t="str">
        <f ca="1">IFERROR(IF(0=LEN(ReferenceData!$BL$279),"",ReferenceData!$BL$279),"")</f>
        <v/>
      </c>
      <c r="BM279" t="str">
        <f ca="1">IFERROR(IF(0=LEN(ReferenceData!$BM$279),"",ReferenceData!$BM$279),"")</f>
        <v/>
      </c>
    </row>
    <row r="280" spans="1:65" x14ac:dyDescent="0.25">
      <c r="A280" t="str">
        <f>IFERROR(IF(0=LEN(ReferenceData!$A$280),"",ReferenceData!$A$280),"")</f>
        <v xml:space="preserve">    Sollers PJSC</v>
      </c>
      <c r="B280" t="str">
        <f>IFERROR(IF(0=LEN(ReferenceData!$B$280),"",ReferenceData!$B$280),"")</f>
        <v>SVAV RM Equity</v>
      </c>
      <c r="C280" t="str">
        <f>IFERROR(IF(0=LEN(ReferenceData!$C$280),"",ReferenceData!$C$280),"")</f>
        <v>RR904</v>
      </c>
      <c r="D280" t="str">
        <f>IFERROR(IF(0=LEN(ReferenceData!$D$280),"",ReferenceData!$D$280),"")</f>
        <v>PX_TO_SALES_RATIO</v>
      </c>
      <c r="E280" t="str">
        <f>IFERROR(IF(0=LEN(ReferenceData!$E$280),"",ReferenceData!$E$280),"")</f>
        <v>Dynamic</v>
      </c>
      <c r="F280" t="str">
        <f ca="1">IFERROR(IF(0=LEN(ReferenceData!$F$280),"",ReferenceData!$F$280),"")</f>
        <v/>
      </c>
      <c r="G280" t="str">
        <f ca="1">IFERROR(IF(0=LEN(ReferenceData!$G$280),"",ReferenceData!$G$280),"")</f>
        <v/>
      </c>
      <c r="H280" t="str">
        <f ca="1">IFERROR(IF(0=LEN(ReferenceData!$H$280),"",ReferenceData!$H$280),"")</f>
        <v/>
      </c>
      <c r="I280" t="str">
        <f ca="1">IFERROR(IF(0=LEN(ReferenceData!$I$280),"",ReferenceData!$I$280),"")</f>
        <v/>
      </c>
      <c r="J280" t="str">
        <f ca="1">IFERROR(IF(0=LEN(ReferenceData!$J$280),"",ReferenceData!$J$280),"")</f>
        <v/>
      </c>
      <c r="K280" t="str">
        <f ca="1">IFERROR(IF(0=LEN(ReferenceData!$K$280),"",ReferenceData!$K$280),"")</f>
        <v/>
      </c>
      <c r="L280" t="str">
        <f ca="1">IFERROR(IF(0=LEN(ReferenceData!$L$280),"",ReferenceData!$L$280),"")</f>
        <v/>
      </c>
      <c r="M280" t="str">
        <f ca="1">IFERROR(IF(0=LEN(ReferenceData!$M$280),"",ReferenceData!$M$280),"")</f>
        <v/>
      </c>
      <c r="N280" t="str">
        <f ca="1">IFERROR(IF(0=LEN(ReferenceData!$N$280),"",ReferenceData!$N$280),"")</f>
        <v/>
      </c>
      <c r="O280" t="str">
        <f ca="1">IFERROR(IF(0=LEN(ReferenceData!$O$280),"",ReferenceData!$O$280),"")</f>
        <v/>
      </c>
      <c r="P280" t="str">
        <f ca="1">IFERROR(IF(0=LEN(ReferenceData!$P$280),"",ReferenceData!$P$280),"")</f>
        <v/>
      </c>
      <c r="Q280" t="str">
        <f ca="1">IFERROR(IF(0=LEN(ReferenceData!$Q$280),"",ReferenceData!$Q$280),"")</f>
        <v/>
      </c>
      <c r="R280" t="str">
        <f ca="1">IFERROR(IF(0=LEN(ReferenceData!$R$280),"",ReferenceData!$R$280),"")</f>
        <v/>
      </c>
      <c r="S280" t="str">
        <f ca="1">IFERROR(IF(0=LEN(ReferenceData!$S$280),"",ReferenceData!$S$280),"")</f>
        <v/>
      </c>
      <c r="T280" t="str">
        <f ca="1">IFERROR(IF(0=LEN(ReferenceData!$T$280),"",ReferenceData!$T$280),"")</f>
        <v/>
      </c>
      <c r="U280" t="str">
        <f ca="1">IFERROR(IF(0=LEN(ReferenceData!$U$280),"",ReferenceData!$U$280),"")</f>
        <v/>
      </c>
      <c r="V280" t="str">
        <f ca="1">IFERROR(IF(0=LEN(ReferenceData!$V$280),"",ReferenceData!$V$280),"")</f>
        <v/>
      </c>
      <c r="W280" t="str">
        <f ca="1">IFERROR(IF(0=LEN(ReferenceData!$W$280),"",ReferenceData!$W$280),"")</f>
        <v/>
      </c>
      <c r="X280" t="str">
        <f ca="1">IFERROR(IF(0=LEN(ReferenceData!$X$280),"",ReferenceData!$X$280),"")</f>
        <v/>
      </c>
      <c r="Y280" t="str">
        <f ca="1">IFERROR(IF(0=LEN(ReferenceData!$Y$280),"",ReferenceData!$Y$280),"")</f>
        <v/>
      </c>
      <c r="Z280" t="str">
        <f ca="1">IFERROR(IF(0=LEN(ReferenceData!$Z$280),"",ReferenceData!$Z$280),"")</f>
        <v/>
      </c>
      <c r="AA280" t="str">
        <f ca="1">IFERROR(IF(0=LEN(ReferenceData!$AA$280),"",ReferenceData!$AA$280),"")</f>
        <v/>
      </c>
      <c r="AB280" t="str">
        <f ca="1">IFERROR(IF(0=LEN(ReferenceData!$AB$280),"",ReferenceData!$AB$280),"")</f>
        <v/>
      </c>
      <c r="AC280" t="str">
        <f ca="1">IFERROR(IF(0=LEN(ReferenceData!$AC$280),"",ReferenceData!$AC$280),"")</f>
        <v/>
      </c>
      <c r="AD280" t="str">
        <f ca="1">IFERROR(IF(0=LEN(ReferenceData!$AD$280),"",ReferenceData!$AD$280),"")</f>
        <v/>
      </c>
      <c r="AE280" t="str">
        <f ca="1">IFERROR(IF(0=LEN(ReferenceData!$AE$280),"",ReferenceData!$AE$280),"")</f>
        <v/>
      </c>
      <c r="AF280" t="str">
        <f ca="1">IFERROR(IF(0=LEN(ReferenceData!$AF$280),"",ReferenceData!$AF$280),"")</f>
        <v/>
      </c>
      <c r="AG280" t="str">
        <f ca="1">IFERROR(IF(0=LEN(ReferenceData!$AG$280),"",ReferenceData!$AG$280),"")</f>
        <v/>
      </c>
      <c r="AH280" t="str">
        <f ca="1">IFERROR(IF(0=LEN(ReferenceData!$AH$280),"",ReferenceData!$AH$280),"")</f>
        <v/>
      </c>
      <c r="AI280" t="str">
        <f ca="1">IFERROR(IF(0=LEN(ReferenceData!$AI$280),"",ReferenceData!$AI$280),"")</f>
        <v/>
      </c>
      <c r="AJ280" t="str">
        <f ca="1">IFERROR(IF(0=LEN(ReferenceData!$AJ$280),"",ReferenceData!$AJ$280),"")</f>
        <v/>
      </c>
      <c r="AK280" t="str">
        <f ca="1">IFERROR(IF(0=LEN(ReferenceData!$AK$280),"",ReferenceData!$AK$280),"")</f>
        <v/>
      </c>
      <c r="AL280" t="str">
        <f ca="1">IFERROR(IF(0=LEN(ReferenceData!$AL$280),"",ReferenceData!$AL$280),"")</f>
        <v/>
      </c>
      <c r="AM280" t="str">
        <f ca="1">IFERROR(IF(0=LEN(ReferenceData!$AM$280),"",ReferenceData!$AM$280),"")</f>
        <v/>
      </c>
      <c r="AN280" t="str">
        <f ca="1">IFERROR(IF(0=LEN(ReferenceData!$AN$280),"",ReferenceData!$AN$280),"")</f>
        <v/>
      </c>
      <c r="AO280" t="str">
        <f ca="1">IFERROR(IF(0=LEN(ReferenceData!$AO$280),"",ReferenceData!$AO$280),"")</f>
        <v/>
      </c>
      <c r="AP280" t="str">
        <f ca="1">IFERROR(IF(0=LEN(ReferenceData!$AP$280),"",ReferenceData!$AP$280),"")</f>
        <v/>
      </c>
      <c r="AQ280" t="str">
        <f ca="1">IFERROR(IF(0=LEN(ReferenceData!$AQ$280),"",ReferenceData!$AQ$280),"")</f>
        <v/>
      </c>
      <c r="AR280" t="str">
        <f ca="1">IFERROR(IF(0=LEN(ReferenceData!$AR$280),"",ReferenceData!$AR$280),"")</f>
        <v/>
      </c>
      <c r="AS280" t="str">
        <f ca="1">IFERROR(IF(0=LEN(ReferenceData!$AS$280),"",ReferenceData!$AS$280),"")</f>
        <v/>
      </c>
      <c r="AT280" t="str">
        <f ca="1">IFERROR(IF(0=LEN(ReferenceData!$AT$280),"",ReferenceData!$AT$280),"")</f>
        <v/>
      </c>
      <c r="AU280" t="str">
        <f ca="1">IFERROR(IF(0=LEN(ReferenceData!$AU$280),"",ReferenceData!$AU$280),"")</f>
        <v/>
      </c>
      <c r="AV280" t="str">
        <f ca="1">IFERROR(IF(0=LEN(ReferenceData!$AV$280),"",ReferenceData!$AV$280),"")</f>
        <v/>
      </c>
      <c r="AW280" t="str">
        <f ca="1">IFERROR(IF(0=LEN(ReferenceData!$AW$280),"",ReferenceData!$AW$280),"")</f>
        <v/>
      </c>
      <c r="AX280" t="str">
        <f ca="1">IFERROR(IF(0=LEN(ReferenceData!$AX$280),"",ReferenceData!$AX$280),"")</f>
        <v/>
      </c>
      <c r="AY280" t="str">
        <f ca="1">IFERROR(IF(0=LEN(ReferenceData!$AY$280),"",ReferenceData!$AY$280),"")</f>
        <v/>
      </c>
      <c r="AZ280" t="str">
        <f ca="1">IFERROR(IF(0=LEN(ReferenceData!$AZ$280),"",ReferenceData!$AZ$280),"")</f>
        <v/>
      </c>
      <c r="BA280" t="str">
        <f ca="1">IFERROR(IF(0=LEN(ReferenceData!$BA$280),"",ReferenceData!$BA$280),"")</f>
        <v/>
      </c>
      <c r="BB280" t="str">
        <f ca="1">IFERROR(IF(0=LEN(ReferenceData!$BB$280),"",ReferenceData!$BB$280),"")</f>
        <v/>
      </c>
      <c r="BC280" t="str">
        <f ca="1">IFERROR(IF(0=LEN(ReferenceData!$BC$280),"",ReferenceData!$BC$280),"")</f>
        <v/>
      </c>
      <c r="BD280" t="str">
        <f ca="1">IFERROR(IF(0=LEN(ReferenceData!$BD$280),"",ReferenceData!$BD$280),"")</f>
        <v/>
      </c>
      <c r="BE280" t="str">
        <f ca="1">IFERROR(IF(0=LEN(ReferenceData!$BE$280),"",ReferenceData!$BE$280),"")</f>
        <v/>
      </c>
      <c r="BF280" t="str">
        <f ca="1">IFERROR(IF(0=LEN(ReferenceData!$BF$280),"",ReferenceData!$BF$280),"")</f>
        <v/>
      </c>
      <c r="BG280" t="str">
        <f ca="1">IFERROR(IF(0=LEN(ReferenceData!$BG$280),"",ReferenceData!$BG$280),"")</f>
        <v/>
      </c>
      <c r="BH280" t="str">
        <f ca="1">IFERROR(IF(0=LEN(ReferenceData!$BH$280),"",ReferenceData!$BH$280),"")</f>
        <v/>
      </c>
      <c r="BI280" t="str">
        <f ca="1">IFERROR(IF(0=LEN(ReferenceData!$BI$280),"",ReferenceData!$BI$280),"")</f>
        <v/>
      </c>
      <c r="BJ280" t="str">
        <f ca="1">IFERROR(IF(0=LEN(ReferenceData!$BJ$280),"",ReferenceData!$BJ$280),"")</f>
        <v/>
      </c>
      <c r="BK280" t="str">
        <f ca="1">IFERROR(IF(0=LEN(ReferenceData!$BK$280),"",ReferenceData!$BK$280),"")</f>
        <v/>
      </c>
      <c r="BL280" t="str">
        <f ca="1">IFERROR(IF(0=LEN(ReferenceData!$BL$280),"",ReferenceData!$BL$280),"")</f>
        <v/>
      </c>
      <c r="BM280" t="str">
        <f ca="1">IFERROR(IF(0=LEN(ReferenceData!$BM$280),"",ReferenceData!$BM$280),"")</f>
        <v/>
      </c>
    </row>
    <row r="281" spans="1:65" x14ac:dyDescent="0.25">
      <c r="A281" t="str">
        <f>IFERROR(IF(0=LEN(ReferenceData!$A$281),"",ReferenceData!$A$281),"")</f>
        <v xml:space="preserve">    Ssangyong Motor Co</v>
      </c>
      <c r="B281" t="str">
        <f>IFERROR(IF(0=LEN(ReferenceData!$B$281),"",ReferenceData!$B$281),"")</f>
        <v>003620 KS Equity</v>
      </c>
      <c r="C281" t="str">
        <f>IFERROR(IF(0=LEN(ReferenceData!$C$281),"",ReferenceData!$C$281),"")</f>
        <v>RR904</v>
      </c>
      <c r="D281" t="str">
        <f>IFERROR(IF(0=LEN(ReferenceData!$D$281),"",ReferenceData!$D$281),"")</f>
        <v>PX_TO_SALES_RATIO</v>
      </c>
      <c r="E281" t="str">
        <f>IFERROR(IF(0=LEN(ReferenceData!$E$281),"",ReferenceData!$E$281),"")</f>
        <v>Dynamic</v>
      </c>
      <c r="F281" t="str">
        <f ca="1">IFERROR(IF(0=LEN(ReferenceData!$F$281),"",ReferenceData!$F$281),"")</f>
        <v/>
      </c>
      <c r="G281">
        <f ca="1">IFERROR(IF(0=LEN(ReferenceData!$G$281),"",ReferenceData!$G$281),"")</f>
        <v>0.152920432</v>
      </c>
      <c r="H281">
        <f ca="1">IFERROR(IF(0=LEN(ReferenceData!$H$281),"",ReferenceData!$H$281),"")</f>
        <v>0.177178114</v>
      </c>
      <c r="I281">
        <f ca="1">IFERROR(IF(0=LEN(ReferenceData!$I$281),"",ReferenceData!$I$281),"")</f>
        <v>0.177413556</v>
      </c>
      <c r="J281">
        <f ca="1">IFERROR(IF(0=LEN(ReferenceData!$J$281),"",ReferenceData!$J$281),"")</f>
        <v>0.19487331699999999</v>
      </c>
      <c r="K281">
        <f ca="1">IFERROR(IF(0=LEN(ReferenceData!$K$281),"",ReferenceData!$K$281),"")</f>
        <v>0.201910961</v>
      </c>
      <c r="L281">
        <f ca="1">IFERROR(IF(0=LEN(ReferenceData!$L$281),"",ReferenceData!$L$281),"")</f>
        <v>0.198392707</v>
      </c>
      <c r="M281">
        <f ca="1">IFERROR(IF(0=LEN(ReferenceData!$M$281),"",ReferenceData!$M$281),"")</f>
        <v>0.26531269299999999</v>
      </c>
      <c r="N281">
        <f ca="1">IFERROR(IF(0=LEN(ReferenceData!$N$281),"",ReferenceData!$N$281),"")</f>
        <v>0.302723203</v>
      </c>
      <c r="O281">
        <f ca="1">IFERROR(IF(0=LEN(ReferenceData!$O$281),"",ReferenceData!$O$281),"")</f>
        <v>0.29833505700000001</v>
      </c>
      <c r="P281">
        <f ca="1">IFERROR(IF(0=LEN(ReferenceData!$P$281),"",ReferenceData!$P$281),"")</f>
        <v>0.30009539000000002</v>
      </c>
      <c r="Q281">
        <f ca="1">IFERROR(IF(0=LEN(ReferenceData!$Q$281),"",ReferenceData!$Q$281),"")</f>
        <v>0.26891959999999998</v>
      </c>
      <c r="R281">
        <f ca="1">IFERROR(IF(0=LEN(ReferenceData!$R$281),"",ReferenceData!$R$281),"")</f>
        <v>0.329193919</v>
      </c>
      <c r="S281">
        <f ca="1">IFERROR(IF(0=LEN(ReferenceData!$S$281),"",ReferenceData!$S$281),"")</f>
        <v>0.31361861600000002</v>
      </c>
      <c r="T281">
        <f ca="1">IFERROR(IF(0=LEN(ReferenceData!$T$281),"",ReferenceData!$T$281),"")</f>
        <v>0.36938741400000003</v>
      </c>
      <c r="U281">
        <f ca="1">IFERROR(IF(0=LEN(ReferenceData!$U$281),"",ReferenceData!$U$281),"")</f>
        <v>0.37363084499999999</v>
      </c>
      <c r="V281">
        <f ca="1">IFERROR(IF(0=LEN(ReferenceData!$V$281),"",ReferenceData!$V$281),"")</f>
        <v>0.38584853600000002</v>
      </c>
      <c r="W281">
        <f ca="1">IFERROR(IF(0=LEN(ReferenceData!$W$281),"",ReferenceData!$W$281),"")</f>
        <v>0.381917338</v>
      </c>
      <c r="X281">
        <f ca="1">IFERROR(IF(0=LEN(ReferenceData!$X$281),"",ReferenceData!$X$281),"")</f>
        <v>0.259596563</v>
      </c>
      <c r="Y281">
        <f ca="1">IFERROR(IF(0=LEN(ReferenceData!$Y$281),"",ReferenceData!$Y$281),"")</f>
        <v>0.33792067799999997</v>
      </c>
      <c r="Z281">
        <f ca="1">IFERROR(IF(0=LEN(ReferenceData!$Z$281),"",ReferenceData!$Z$281),"")</f>
        <v>0.32842930300000001</v>
      </c>
      <c r="AA281">
        <f ca="1">IFERROR(IF(0=LEN(ReferenceData!$AA$281),"",ReferenceData!$AA$281),"")</f>
        <v>0.28525539999999999</v>
      </c>
      <c r="AB281">
        <f ca="1">IFERROR(IF(0=LEN(ReferenceData!$AB$281),"",ReferenceData!$AB$281),"")</f>
        <v>0.32953460000000001</v>
      </c>
      <c r="AC281">
        <f ca="1">IFERROR(IF(0=LEN(ReferenceData!$AC$281),"",ReferenceData!$AC$281),"")</f>
        <v>0.35009227500000001</v>
      </c>
      <c r="AD281">
        <f ca="1">IFERROR(IF(0=LEN(ReferenceData!$AD$281),"",ReferenceData!$AD$281),"")</f>
        <v>0.25104504599999999</v>
      </c>
      <c r="AE281">
        <f ca="1">IFERROR(IF(0=LEN(ReferenceData!$AE$281),"",ReferenceData!$AE$281),"")</f>
        <v>0.226585183</v>
      </c>
      <c r="AF281" t="str">
        <f ca="1">IFERROR(IF(0=LEN(ReferenceData!$AF$281),"",ReferenceData!$AF$281),"")</f>
        <v/>
      </c>
      <c r="AG281" t="str">
        <f ca="1">IFERROR(IF(0=LEN(ReferenceData!$AG$281),"",ReferenceData!$AG$281),"")</f>
        <v/>
      </c>
      <c r="AH281" t="str">
        <f ca="1">IFERROR(IF(0=LEN(ReferenceData!$AH$281),"",ReferenceData!$AH$281),"")</f>
        <v/>
      </c>
      <c r="AI281" t="str">
        <f ca="1">IFERROR(IF(0=LEN(ReferenceData!$AI$281),"",ReferenceData!$AI$281),"")</f>
        <v/>
      </c>
      <c r="AJ281" t="str">
        <f ca="1">IFERROR(IF(0=LEN(ReferenceData!$AJ$281),"",ReferenceData!$AJ$281),"")</f>
        <v/>
      </c>
      <c r="AK281" t="str">
        <f ca="1">IFERROR(IF(0=LEN(ReferenceData!$AK$281),"",ReferenceData!$AK$281),"")</f>
        <v/>
      </c>
      <c r="AL281" t="str">
        <f ca="1">IFERROR(IF(0=LEN(ReferenceData!$AL$281),"",ReferenceData!$AL$281),"")</f>
        <v/>
      </c>
      <c r="AM281" t="str">
        <f ca="1">IFERROR(IF(0=LEN(ReferenceData!$AM$281),"",ReferenceData!$AM$281),"")</f>
        <v/>
      </c>
      <c r="AN281" t="str">
        <f ca="1">IFERROR(IF(0=LEN(ReferenceData!$AN$281),"",ReferenceData!$AN$281),"")</f>
        <v/>
      </c>
      <c r="AO281" t="str">
        <f ca="1">IFERROR(IF(0=LEN(ReferenceData!$AO$281),"",ReferenceData!$AO$281),"")</f>
        <v/>
      </c>
      <c r="AP281" t="str">
        <f ca="1">IFERROR(IF(0=LEN(ReferenceData!$AP$281),"",ReferenceData!$AP$281),"")</f>
        <v/>
      </c>
      <c r="AQ281" t="str">
        <f ca="1">IFERROR(IF(0=LEN(ReferenceData!$AQ$281),"",ReferenceData!$AQ$281),"")</f>
        <v/>
      </c>
      <c r="AR281" t="str">
        <f ca="1">IFERROR(IF(0=LEN(ReferenceData!$AR$281),"",ReferenceData!$AR$281),"")</f>
        <v/>
      </c>
      <c r="AS281" t="str">
        <f ca="1">IFERROR(IF(0=LEN(ReferenceData!$AS$281),"",ReferenceData!$AS$281),"")</f>
        <v/>
      </c>
      <c r="AT281" t="str">
        <f ca="1">IFERROR(IF(0=LEN(ReferenceData!$AT$281),"",ReferenceData!$AT$281),"")</f>
        <v/>
      </c>
      <c r="AU281" t="str">
        <f ca="1">IFERROR(IF(0=LEN(ReferenceData!$AU$281),"",ReferenceData!$AU$281),"")</f>
        <v/>
      </c>
      <c r="AV281" t="str">
        <f ca="1">IFERROR(IF(0=LEN(ReferenceData!$AV$281),"",ReferenceData!$AV$281),"")</f>
        <v/>
      </c>
      <c r="AW281" t="str">
        <f ca="1">IFERROR(IF(0=LEN(ReferenceData!$AW$281),"",ReferenceData!$AW$281),"")</f>
        <v/>
      </c>
      <c r="AX281" t="str">
        <f ca="1">IFERROR(IF(0=LEN(ReferenceData!$AX$281),"",ReferenceData!$AX$281),"")</f>
        <v/>
      </c>
      <c r="AY281" t="str">
        <f ca="1">IFERROR(IF(0=LEN(ReferenceData!$AY$281),"",ReferenceData!$AY$281),"")</f>
        <v/>
      </c>
      <c r="AZ281" t="str">
        <f ca="1">IFERROR(IF(0=LEN(ReferenceData!$AZ$281),"",ReferenceData!$AZ$281),"")</f>
        <v/>
      </c>
      <c r="BA281" t="str">
        <f ca="1">IFERROR(IF(0=LEN(ReferenceData!$BA$281),"",ReferenceData!$BA$281),"")</f>
        <v/>
      </c>
      <c r="BB281" t="str">
        <f ca="1">IFERROR(IF(0=LEN(ReferenceData!$BB$281),"",ReferenceData!$BB$281),"")</f>
        <v/>
      </c>
      <c r="BC281" t="str">
        <f ca="1">IFERROR(IF(0=LEN(ReferenceData!$BC$281),"",ReferenceData!$BC$281),"")</f>
        <v/>
      </c>
      <c r="BD281" t="str">
        <f ca="1">IFERROR(IF(0=LEN(ReferenceData!$BD$281),"",ReferenceData!$BD$281),"")</f>
        <v/>
      </c>
      <c r="BE281" t="str">
        <f ca="1">IFERROR(IF(0=LEN(ReferenceData!$BE$281),"",ReferenceData!$BE$281),"")</f>
        <v/>
      </c>
      <c r="BF281" t="str">
        <f ca="1">IFERROR(IF(0=LEN(ReferenceData!$BF$281),"",ReferenceData!$BF$281),"")</f>
        <v/>
      </c>
      <c r="BG281" t="str">
        <f ca="1">IFERROR(IF(0=LEN(ReferenceData!$BG$281),"",ReferenceData!$BG$281),"")</f>
        <v/>
      </c>
      <c r="BH281" t="str">
        <f ca="1">IFERROR(IF(0=LEN(ReferenceData!$BH$281),"",ReferenceData!$BH$281),"")</f>
        <v/>
      </c>
      <c r="BI281" t="str">
        <f ca="1">IFERROR(IF(0=LEN(ReferenceData!$BI$281),"",ReferenceData!$BI$281),"")</f>
        <v/>
      </c>
      <c r="BJ281" t="str">
        <f ca="1">IFERROR(IF(0=LEN(ReferenceData!$BJ$281),"",ReferenceData!$BJ$281),"")</f>
        <v/>
      </c>
      <c r="BK281" t="str">
        <f ca="1">IFERROR(IF(0=LEN(ReferenceData!$BK$281),"",ReferenceData!$BK$281),"")</f>
        <v/>
      </c>
      <c r="BL281" t="str">
        <f ca="1">IFERROR(IF(0=LEN(ReferenceData!$BL$281),"",ReferenceData!$BL$281),"")</f>
        <v/>
      </c>
      <c r="BM281" t="str">
        <f ca="1">IFERROR(IF(0=LEN(ReferenceData!$BM$281),"",ReferenceData!$BM$281),"")</f>
        <v/>
      </c>
    </row>
    <row r="282" spans="1:65" x14ac:dyDescent="0.25">
      <c r="A282" t="str">
        <f>IFERROR(IF(0=LEN(ReferenceData!$A$282),"",ReferenceData!$A$282),"")</f>
        <v xml:space="preserve">    Subaru Corp</v>
      </c>
      <c r="B282" t="str">
        <f>IFERROR(IF(0=LEN(ReferenceData!$B$282),"",ReferenceData!$B$282),"")</f>
        <v>7270 JP Equity</v>
      </c>
      <c r="C282" t="str">
        <f>IFERROR(IF(0=LEN(ReferenceData!$C$282),"",ReferenceData!$C$282),"")</f>
        <v>RR904</v>
      </c>
      <c r="D282" t="str">
        <f>IFERROR(IF(0=LEN(ReferenceData!$D$282),"",ReferenceData!$D$282),"")</f>
        <v>PX_TO_SALES_RATIO</v>
      </c>
      <c r="E282" t="str">
        <f>IFERROR(IF(0=LEN(ReferenceData!$E$282),"",ReferenceData!$E$282),"")</f>
        <v>Dynamic</v>
      </c>
      <c r="F282">
        <f ca="1">IFERROR(IF(0=LEN(ReferenceData!$F$282),"",ReferenceData!$F$282),"")</f>
        <v>0.67715170999999996</v>
      </c>
      <c r="G282">
        <f ca="1">IFERROR(IF(0=LEN(ReferenceData!$G$282),"",ReferenceData!$G$282),"")</f>
        <v>0.56230754299999997</v>
      </c>
      <c r="H282">
        <f ca="1">IFERROR(IF(0=LEN(ReferenceData!$H$282),"",ReferenceData!$H$282),"")</f>
        <v>0.83232918700000003</v>
      </c>
      <c r="I282">
        <f ca="1">IFERROR(IF(0=LEN(ReferenceData!$I$282),"",ReferenceData!$I$282),"")</f>
        <v>0.75855998800000002</v>
      </c>
      <c r="J282">
        <f ca="1">IFERROR(IF(0=LEN(ReferenceData!$J$282),"",ReferenceData!$J$282),"")</f>
        <v>0.78512112199999995</v>
      </c>
      <c r="K282">
        <f ca="1">IFERROR(IF(0=LEN(ReferenceData!$K$282),"",ReferenceData!$K$282),"")</f>
        <v>0.79346846100000001</v>
      </c>
      <c r="L282">
        <f ca="1">IFERROR(IF(0=LEN(ReferenceData!$L$282),"",ReferenceData!$L$282),"")</f>
        <v>0.90673174499999998</v>
      </c>
      <c r="M282">
        <f ca="1">IFERROR(IF(0=LEN(ReferenceData!$M$282),"",ReferenceData!$M$282),"")</f>
        <v>0.85283773500000004</v>
      </c>
      <c r="N282">
        <f ca="1">IFERROR(IF(0=LEN(ReferenceData!$N$282),"",ReferenceData!$N$282),"")</f>
        <v>0.94726353500000005</v>
      </c>
      <c r="O282">
        <f ca="1">IFERROR(IF(0=LEN(ReferenceData!$O$282),"",ReferenceData!$O$282),"")</f>
        <v>1.140994606</v>
      </c>
      <c r="P282">
        <f ca="1">IFERROR(IF(0=LEN(ReferenceData!$P$282),"",ReferenceData!$P$282),"")</f>
        <v>0.91099371900000004</v>
      </c>
      <c r="Q282">
        <f ca="1">IFERROR(IF(0=LEN(ReferenceData!$Q$282),"",ReferenceData!$Q$282),"")</f>
        <v>0.83864275099999996</v>
      </c>
      <c r="R282">
        <f ca="1">IFERROR(IF(0=LEN(ReferenceData!$R$282),"",ReferenceData!$R$282),"")</f>
        <v>0.95970383100000001</v>
      </c>
      <c r="S282">
        <f ca="1">IFERROR(IF(0=LEN(ReferenceData!$S$282),"",ReferenceData!$S$282),"")</f>
        <v>1.21236006</v>
      </c>
      <c r="T282">
        <f ca="1">IFERROR(IF(0=LEN(ReferenceData!$T$282),"",ReferenceData!$T$282),"")</f>
        <v>1.0546606860000001</v>
      </c>
      <c r="U282">
        <f ca="1">IFERROR(IF(0=LEN(ReferenceData!$U$282),"",ReferenceData!$U$282),"")</f>
        <v>1.153512831</v>
      </c>
      <c r="V282">
        <f ca="1">IFERROR(IF(0=LEN(ReferenceData!$V$282),"",ReferenceData!$V$282),"")</f>
        <v>1.0822147200000001</v>
      </c>
      <c r="W282">
        <f ca="1">IFERROR(IF(0=LEN(ReferenceData!$W$282),"",ReferenceData!$W$282),"")</f>
        <v>1.2156754329999999</v>
      </c>
      <c r="X282">
        <f ca="1">IFERROR(IF(0=LEN(ReferenceData!$X$282),"",ReferenceData!$X$282),"")</f>
        <v>1.0913957379999999</v>
      </c>
      <c r="Y282">
        <f ca="1">IFERROR(IF(0=LEN(ReferenceData!$Y$282),"",ReferenceData!$Y$282),"")</f>
        <v>0.89180426499999998</v>
      </c>
      <c r="Z282">
        <f ca="1">IFERROR(IF(0=LEN(ReferenceData!$Z$282),"",ReferenceData!$Z$282),"")</f>
        <v>0.90480459899999999</v>
      </c>
      <c r="AA282">
        <f ca="1">IFERROR(IF(0=LEN(ReferenceData!$AA$282),"",ReferenceData!$AA$282),"")</f>
        <v>1.0454017229999999</v>
      </c>
      <c r="AB282">
        <f ca="1">IFERROR(IF(0=LEN(ReferenceData!$AB$282),"",ReferenceData!$AB$282),"")</f>
        <v>0.98803091399999998</v>
      </c>
      <c r="AC282">
        <f ca="1">IFERROR(IF(0=LEN(ReferenceData!$AC$282),"",ReferenceData!$AC$282),"")</f>
        <v>0.93952479300000002</v>
      </c>
      <c r="AD282">
        <f ca="1">IFERROR(IF(0=LEN(ReferenceData!$AD$282),"",ReferenceData!$AD$282),"")</f>
        <v>0.59605769200000003</v>
      </c>
      <c r="AE282">
        <f ca="1">IFERROR(IF(0=LEN(ReferenceData!$AE$282),"",ReferenceData!$AE$282),"")</f>
        <v>0.45187325699999997</v>
      </c>
      <c r="AF282">
        <f ca="1">IFERROR(IF(0=LEN(ReferenceData!$AF$282),"",ReferenceData!$AF$282),"")</f>
        <v>0.28733316599999997</v>
      </c>
      <c r="AG282">
        <f ca="1">IFERROR(IF(0=LEN(ReferenceData!$AG$282),"",ReferenceData!$AG$282),"")</f>
        <v>0.30210555500000003</v>
      </c>
      <c r="AH282">
        <f ca="1">IFERROR(IF(0=LEN(ReferenceData!$AH$282),"",ReferenceData!$AH$282),"")</f>
        <v>0.34208115100000003</v>
      </c>
      <c r="AI282">
        <f ca="1">IFERROR(IF(0=LEN(ReferenceData!$AI$282),"",ReferenceData!$AI$282),"")</f>
        <v>0.25278724200000002</v>
      </c>
      <c r="AJ282">
        <f ca="1">IFERROR(IF(0=LEN(ReferenceData!$AJ$282),"",ReferenceData!$AJ$282),"")</f>
        <v>0.24957077499999999</v>
      </c>
      <c r="AK282">
        <f ca="1">IFERROR(IF(0=LEN(ReferenceData!$AK$282),"",ReferenceData!$AK$282),"")</f>
        <v>0.32107031000000003</v>
      </c>
      <c r="AL282">
        <f ca="1">IFERROR(IF(0=LEN(ReferenceData!$AL$282),"",ReferenceData!$AL$282),"")</f>
        <v>0.26434666000000001</v>
      </c>
      <c r="AM282">
        <f ca="1">IFERROR(IF(0=LEN(ReferenceData!$AM$282),"",ReferenceData!$AM$282),"")</f>
        <v>0.30851261600000002</v>
      </c>
      <c r="AN282">
        <f ca="1">IFERROR(IF(0=LEN(ReferenceData!$AN$282),"",ReferenceData!$AN$282),"")</f>
        <v>0.259518152</v>
      </c>
      <c r="AO282">
        <f ca="1">IFERROR(IF(0=LEN(ReferenceData!$AO$282),"",ReferenceData!$AO$282),"")</f>
        <v>0.24478742100000001</v>
      </c>
      <c r="AP282">
        <f ca="1">IFERROR(IF(0=LEN(ReferenceData!$AP$282),"",ReferenceData!$AP$282),"")</f>
        <v>0.263941233</v>
      </c>
      <c r="AQ282">
        <f ca="1">IFERROR(IF(0=LEN(ReferenceData!$AQ$282),"",ReferenceData!$AQ$282),"")</f>
        <v>0.25934453400000002</v>
      </c>
      <c r="AR282">
        <f ca="1">IFERROR(IF(0=LEN(ReferenceData!$AR$282),"",ReferenceData!$AR$282),"")</f>
        <v>0.20324669000000001</v>
      </c>
      <c r="AS282">
        <f ca="1">IFERROR(IF(0=LEN(ReferenceData!$AS$282),"",ReferenceData!$AS$282),"")</f>
        <v>0.21999197200000001</v>
      </c>
      <c r="AT282">
        <f ca="1">IFERROR(IF(0=LEN(ReferenceData!$AT$282),"",ReferenceData!$AT$282),"")</f>
        <v>0.16911008499999999</v>
      </c>
      <c r="AU282">
        <f ca="1">IFERROR(IF(0=LEN(ReferenceData!$AU$282),"",ReferenceData!$AU$282),"")</f>
        <v>0.112829507</v>
      </c>
      <c r="AV282">
        <f ca="1">IFERROR(IF(0=LEN(ReferenceData!$AV$282),"",ReferenceData!$AV$282),"")</f>
        <v>0.23628047099999999</v>
      </c>
      <c r="AW282">
        <f ca="1">IFERROR(IF(0=LEN(ReferenceData!$AW$282),"",ReferenceData!$AW$282),"")</f>
        <v>0.23383024599999999</v>
      </c>
      <c r="AX282">
        <f ca="1">IFERROR(IF(0=LEN(ReferenceData!$AX$282),"",ReferenceData!$AX$282),"")</f>
        <v>0.190428761</v>
      </c>
      <c r="AY282">
        <f ca="1">IFERROR(IF(0=LEN(ReferenceData!$AY$282),"",ReferenceData!$AY$282),"")</f>
        <v>0.24318040199999999</v>
      </c>
      <c r="AZ282">
        <f ca="1">IFERROR(IF(0=LEN(ReferenceData!$AZ$282),"",ReferenceData!$AZ$282),"")</f>
        <v>0.240928739</v>
      </c>
      <c r="BA282">
        <f ca="1">IFERROR(IF(0=LEN(ReferenceData!$BA$282),"",ReferenceData!$BA$282),"")</f>
        <v>0.28581875299999998</v>
      </c>
      <c r="BB282">
        <f ca="1">IFERROR(IF(0=LEN(ReferenceData!$BB$282),"",ReferenceData!$BB$282),"")</f>
        <v>0.29374548700000003</v>
      </c>
      <c r="BC282">
        <f ca="1">IFERROR(IF(0=LEN(ReferenceData!$BC$282),"",ReferenceData!$BC$282),"")</f>
        <v>0.29330368299999998</v>
      </c>
      <c r="BD282">
        <f ca="1">IFERROR(IF(0=LEN(ReferenceData!$BD$282),"",ReferenceData!$BD$282),"")</f>
        <v>0.32050521199999998</v>
      </c>
      <c r="BE282">
        <f ca="1">IFERROR(IF(0=LEN(ReferenceData!$BE$282),"",ReferenceData!$BE$282),"")</f>
        <v>0.32580605200000001</v>
      </c>
      <c r="BF282">
        <f ca="1">IFERROR(IF(0=LEN(ReferenceData!$BF$282),"",ReferenceData!$BF$282),"")</f>
        <v>0.34983698000000002</v>
      </c>
      <c r="BG282">
        <f ca="1">IFERROR(IF(0=LEN(ReferenceData!$BG$282),"",ReferenceData!$BG$282),"")</f>
        <v>0.34046475799999998</v>
      </c>
      <c r="BH282">
        <f ca="1">IFERROR(IF(0=LEN(ReferenceData!$BH$282),"",ReferenceData!$BH$282),"")</f>
        <v>0.28093628100000001</v>
      </c>
      <c r="BI282">
        <f ca="1">IFERROR(IF(0=LEN(ReferenceData!$BI$282),"",ReferenceData!$BI$282),"")</f>
        <v>0.25059455400000002</v>
      </c>
      <c r="BJ282">
        <f ca="1">IFERROR(IF(0=LEN(ReferenceData!$BJ$282),"",ReferenceData!$BJ$282),"")</f>
        <v>0.282285603</v>
      </c>
      <c r="BK282" t="str">
        <f ca="1">IFERROR(IF(0=LEN(ReferenceData!$BK$282),"",ReferenceData!$BK$282),"")</f>
        <v/>
      </c>
      <c r="BL282" t="str">
        <f ca="1">IFERROR(IF(0=LEN(ReferenceData!$BL$282),"",ReferenceData!$BL$282),"")</f>
        <v/>
      </c>
      <c r="BM282" t="str">
        <f ca="1">IFERROR(IF(0=LEN(ReferenceData!$BM$282),"",ReferenceData!$BM$282),"")</f>
        <v/>
      </c>
    </row>
    <row r="283" spans="1:65" x14ac:dyDescent="0.25">
      <c r="A283" t="str">
        <f>IFERROR(IF(0=LEN(ReferenceData!$A$283),"",ReferenceData!$A$283),"")</f>
        <v xml:space="preserve">    Suzuki Motor Corp</v>
      </c>
      <c r="B283" t="str">
        <f>IFERROR(IF(0=LEN(ReferenceData!$B$283),"",ReferenceData!$B$283),"")</f>
        <v>7269 JP Equity</v>
      </c>
      <c r="C283" t="str">
        <f>IFERROR(IF(0=LEN(ReferenceData!$C$283),"",ReferenceData!$C$283),"")</f>
        <v>RR904</v>
      </c>
      <c r="D283" t="str">
        <f>IFERROR(IF(0=LEN(ReferenceData!$D$283),"",ReferenceData!$D$283),"")</f>
        <v>PX_TO_SALES_RATIO</v>
      </c>
      <c r="E283" t="str">
        <f>IFERROR(IF(0=LEN(ReferenceData!$E$283),"",ReferenceData!$E$283),"")</f>
        <v>Dynamic</v>
      </c>
      <c r="F283">
        <f ca="1">IFERROR(IF(0=LEN(ReferenceData!$F$283),"",ReferenceData!$F$283),"")</f>
        <v>0.66733377800000004</v>
      </c>
      <c r="G283">
        <f ca="1">IFERROR(IF(0=LEN(ReferenceData!$G$283),"",ReferenceData!$G$283),"")</f>
        <v>0.64296419999999999</v>
      </c>
      <c r="H283">
        <f ca="1">IFERROR(IF(0=LEN(ReferenceData!$H$283),"",ReferenceData!$H$283),"")</f>
        <v>0.74760691599999995</v>
      </c>
      <c r="I283">
        <f ca="1">IFERROR(IF(0=LEN(ReferenceData!$I$283),"",ReferenceData!$I$283),"")</f>
        <v>0.69688045399999998</v>
      </c>
      <c r="J283">
        <f ca="1">IFERROR(IF(0=LEN(ReferenceData!$J$283),"",ReferenceData!$J$283),"")</f>
        <v>0.67301141799999997</v>
      </c>
      <c r="K283">
        <f ca="1">IFERROR(IF(0=LEN(ReferenceData!$K$283),"",ReferenceData!$K$283),"")</f>
        <v>0.79148702199999998</v>
      </c>
      <c r="L283">
        <f ca="1">IFERROR(IF(0=LEN(ReferenceData!$L$283),"",ReferenceData!$L$283),"")</f>
        <v>0.74366558299999996</v>
      </c>
      <c r="M283">
        <f ca="1">IFERROR(IF(0=LEN(ReferenceData!$M$283),"",ReferenceData!$M$283),"")</f>
        <v>0.71592381199999999</v>
      </c>
      <c r="N283">
        <f ca="1">IFERROR(IF(0=LEN(ReferenceData!$N$283),"",ReferenceData!$N$283),"")</f>
        <v>0.64339531500000002</v>
      </c>
      <c r="O283">
        <f ca="1">IFERROR(IF(0=LEN(ReferenceData!$O$283),"",ReferenceData!$O$283),"")</f>
        <v>0.58988251400000002</v>
      </c>
      <c r="P283">
        <f ca="1">IFERROR(IF(0=LEN(ReferenceData!$P$283),"",ReferenceData!$P$283),"")</f>
        <v>0.47728611799999998</v>
      </c>
      <c r="Q283">
        <f ca="1">IFERROR(IF(0=LEN(ReferenceData!$Q$283),"",ReferenceData!$Q$283),"")</f>
        <v>0.402717773</v>
      </c>
      <c r="R283">
        <f ca="1">IFERROR(IF(0=LEN(ReferenceData!$R$283),"",ReferenceData!$R$283),"")</f>
        <v>0.46281112200000002</v>
      </c>
      <c r="S283">
        <f ca="1">IFERROR(IF(0=LEN(ReferenceData!$S$283),"",ReferenceData!$S$283),"")</f>
        <v>0.59812565699999998</v>
      </c>
      <c r="T283">
        <f ca="1">IFERROR(IF(0=LEN(ReferenceData!$T$283),"",ReferenceData!$T$283),"")</f>
        <v>0.64374740900000005</v>
      </c>
      <c r="U283">
        <f ca="1">IFERROR(IF(0=LEN(ReferenceData!$U$283),"",ReferenceData!$U$283),"")</f>
        <v>0.75363929799999996</v>
      </c>
      <c r="V283">
        <f ca="1">IFERROR(IF(0=LEN(ReferenceData!$V$283),"",ReferenceData!$V$283),"")</f>
        <v>0.672045381</v>
      </c>
      <c r="W283">
        <f ca="1">IFERROR(IF(0=LEN(ReferenceData!$W$283),"",ReferenceData!$W$283),"")</f>
        <v>0.67939225299999995</v>
      </c>
      <c r="X283">
        <f ca="1">IFERROR(IF(0=LEN(ReferenceData!$X$283),"",ReferenceData!$X$283),"")</f>
        <v>0.68007850000000003</v>
      </c>
      <c r="Y283">
        <f ca="1">IFERROR(IF(0=LEN(ReferenceData!$Y$283),"",ReferenceData!$Y$283),"")</f>
        <v>0.598728606</v>
      </c>
      <c r="Z283">
        <f ca="1">IFERROR(IF(0=LEN(ReferenceData!$Z$283),"",ReferenceData!$Z$283),"")</f>
        <v>0.51432775399999997</v>
      </c>
      <c r="AA283">
        <f ca="1">IFERROR(IF(0=LEN(ReferenceData!$AA$283),"",ReferenceData!$AA$283),"")</f>
        <v>0.560311895</v>
      </c>
      <c r="AB283">
        <f ca="1">IFERROR(IF(0=LEN(ReferenceData!$AB$283),"",ReferenceData!$AB$283),"")</f>
        <v>0.48476942899999997</v>
      </c>
      <c r="AC283">
        <f ca="1">IFERROR(IF(0=LEN(ReferenceData!$AC$283),"",ReferenceData!$AC$283),"")</f>
        <v>0.49166366500000003</v>
      </c>
      <c r="AD283">
        <f ca="1">IFERROR(IF(0=LEN(ReferenceData!$AD$283),"",ReferenceData!$AD$283),"")</f>
        <v>0.45928917600000002</v>
      </c>
      <c r="AE283">
        <f ca="1">IFERROR(IF(0=LEN(ReferenceData!$AE$283),"",ReferenceData!$AE$283),"")</f>
        <v>0.49574427500000001</v>
      </c>
      <c r="AF283">
        <f ca="1">IFERROR(IF(0=LEN(ReferenceData!$AF$283),"",ReferenceData!$AF$283),"")</f>
        <v>0.33820698199999999</v>
      </c>
      <c r="AG283">
        <f ca="1">IFERROR(IF(0=LEN(ReferenceData!$AG$283),"",ReferenceData!$AG$283),"")</f>
        <v>0.35665106800000002</v>
      </c>
      <c r="AH283">
        <f ca="1">IFERROR(IF(0=LEN(ReferenceData!$AH$283),"",ReferenceData!$AH$283),"")</f>
        <v>0.441459092</v>
      </c>
      <c r="AI283">
        <f ca="1">IFERROR(IF(0=LEN(ReferenceData!$AI$283),"",ReferenceData!$AI$283),"")</f>
        <v>0.36030720999999999</v>
      </c>
      <c r="AJ283">
        <f ca="1">IFERROR(IF(0=LEN(ReferenceData!$AJ$283),"",ReferenceData!$AJ$283),"")</f>
        <v>0.38397826000000002</v>
      </c>
      <c r="AK283">
        <f ca="1">IFERROR(IF(0=LEN(ReferenceData!$AK$283),"",ReferenceData!$AK$283),"")</f>
        <v>0.395624115</v>
      </c>
      <c r="AL283">
        <f ca="1">IFERROR(IF(0=LEN(ReferenceData!$AL$283),"",ReferenceData!$AL$283),"")</f>
        <v>0.39932075299999997</v>
      </c>
      <c r="AM283">
        <f ca="1">IFERROR(IF(0=LEN(ReferenceData!$AM$283),"",ReferenceData!$AM$283),"")</f>
        <v>0.423446559</v>
      </c>
      <c r="AN283">
        <f ca="1">IFERROR(IF(0=LEN(ReferenceData!$AN$283),"",ReferenceData!$AN$283),"")</f>
        <v>0.35037237199999999</v>
      </c>
      <c r="AO283">
        <f ca="1">IFERROR(IF(0=LEN(ReferenceData!$AO$283),"",ReferenceData!$AO$283),"")</f>
        <v>0.336493135</v>
      </c>
      <c r="AP283">
        <f ca="1">IFERROR(IF(0=LEN(ReferenceData!$AP$283),"",ReferenceData!$AP$283),"")</f>
        <v>0.38390452000000003</v>
      </c>
      <c r="AQ283">
        <f ca="1">IFERROR(IF(0=LEN(ReferenceData!$AQ$283),"",ReferenceData!$AQ$283),"")</f>
        <v>0.40490093500000002</v>
      </c>
      <c r="AR283">
        <f ca="1">IFERROR(IF(0=LEN(ReferenceData!$AR$283),"",ReferenceData!$AR$283),"")</f>
        <v>0.37110515500000002</v>
      </c>
      <c r="AS283">
        <f ca="1">IFERROR(IF(0=LEN(ReferenceData!$AS$283),"",ReferenceData!$AS$283),"")</f>
        <v>0.35872210599999999</v>
      </c>
      <c r="AT283">
        <f ca="1">IFERROR(IF(0=LEN(ReferenceData!$AT$283),"",ReferenceData!$AT$283),"")</f>
        <v>0.241699421</v>
      </c>
      <c r="AU283">
        <f ca="1">IFERROR(IF(0=LEN(ReferenceData!$AU$283),"",ReferenceData!$AU$283),"")</f>
        <v>0.169392344</v>
      </c>
      <c r="AV283">
        <f ca="1">IFERROR(IF(0=LEN(ReferenceData!$AV$283),"",ReferenceData!$AV$283),"")</f>
        <v>0.24763455200000001</v>
      </c>
      <c r="AW283">
        <f ca="1">IFERROR(IF(0=LEN(ReferenceData!$AW$283),"",ReferenceData!$AW$283),"")</f>
        <v>0.32176758300000002</v>
      </c>
      <c r="AX283">
        <f ca="1">IFERROR(IF(0=LEN(ReferenceData!$AX$283),"",ReferenceData!$AX$283),"")</f>
        <v>0.32383819699999999</v>
      </c>
      <c r="AY283">
        <f ca="1">IFERROR(IF(0=LEN(ReferenceData!$AY$283),"",ReferenceData!$AY$283),"")</f>
        <v>0.43275800199999997</v>
      </c>
      <c r="AZ283">
        <f ca="1">IFERROR(IF(0=LEN(ReferenceData!$AZ$283),"",ReferenceData!$AZ$283),"")</f>
        <v>0.44642262300000002</v>
      </c>
      <c r="BA283">
        <f ca="1">IFERROR(IF(0=LEN(ReferenceData!$BA$283),"",ReferenceData!$BA$283),"")</f>
        <v>0.47333501500000003</v>
      </c>
      <c r="BB283">
        <f ca="1">IFERROR(IF(0=LEN(ReferenceData!$BB$283),"",ReferenceData!$BB$283),"")</f>
        <v>0.42848289299999998</v>
      </c>
      <c r="BC283">
        <f ca="1">IFERROR(IF(0=LEN(ReferenceData!$BC$283),"",ReferenceData!$BC$283),"")</f>
        <v>0.50550893200000002</v>
      </c>
      <c r="BD283">
        <f ca="1">IFERROR(IF(0=LEN(ReferenceData!$BD$283),"",ReferenceData!$BD$283),"")</f>
        <v>0.48243934399999999</v>
      </c>
      <c r="BE283">
        <f ca="1">IFERROR(IF(0=LEN(ReferenceData!$BE$283),"",ReferenceData!$BE$283),"")</f>
        <v>0.42714424299999998</v>
      </c>
      <c r="BF283">
        <f ca="1">IFERROR(IF(0=LEN(ReferenceData!$BF$283),"",ReferenceData!$BF$283),"")</f>
        <v>0.51372518300000003</v>
      </c>
      <c r="BG283">
        <f ca="1">IFERROR(IF(0=LEN(ReferenceData!$BG$283),"",ReferenceData!$BG$283),"")</f>
        <v>0.44890396799999999</v>
      </c>
      <c r="BH283">
        <f ca="1">IFERROR(IF(0=LEN(ReferenceData!$BH$283),"",ReferenceData!$BH$283),"")</f>
        <v>0.45027914000000002</v>
      </c>
      <c r="BI283">
        <f ca="1">IFERROR(IF(0=LEN(ReferenceData!$BI$283),"",ReferenceData!$BI$283),"")</f>
        <v>0.38418543100000002</v>
      </c>
      <c r="BJ283">
        <f ca="1">IFERROR(IF(0=LEN(ReferenceData!$BJ$283),"",ReferenceData!$BJ$283),"")</f>
        <v>0.432935297</v>
      </c>
      <c r="BK283">
        <f ca="1">IFERROR(IF(0=LEN(ReferenceData!$BK$283),"",ReferenceData!$BK$283),"")</f>
        <v>0.43069463200000002</v>
      </c>
      <c r="BL283">
        <f ca="1">IFERROR(IF(0=LEN(ReferenceData!$BL$283),"",ReferenceData!$BL$283),"")</f>
        <v>0.42431922500000002</v>
      </c>
      <c r="BM283">
        <f ca="1">IFERROR(IF(0=LEN(ReferenceData!$BM$283),"",ReferenceData!$BM$283),"")</f>
        <v>0.46601913900000003</v>
      </c>
    </row>
    <row r="284" spans="1:65" x14ac:dyDescent="0.25">
      <c r="A284" t="str">
        <f>IFERROR(IF(0=LEN(ReferenceData!$A$284),"",ReferenceData!$A$284),"")</f>
        <v xml:space="preserve">    Tata Motors Ltd</v>
      </c>
      <c r="B284" t="str">
        <f>IFERROR(IF(0=LEN(ReferenceData!$B$284),"",ReferenceData!$B$284),"")</f>
        <v>TTMT IN Equity</v>
      </c>
      <c r="C284" t="str">
        <f>IFERROR(IF(0=LEN(ReferenceData!$C$284),"",ReferenceData!$C$284),"")</f>
        <v>RR904</v>
      </c>
      <c r="D284" t="str">
        <f>IFERROR(IF(0=LEN(ReferenceData!$D$284),"",ReferenceData!$D$284),"")</f>
        <v>PX_TO_SALES_RATIO</v>
      </c>
      <c r="E284" t="str">
        <f>IFERROR(IF(0=LEN(ReferenceData!$E$284),"",ReferenceData!$E$284),"")</f>
        <v>Dynamic</v>
      </c>
      <c r="F284">
        <f ca="1">IFERROR(IF(0=LEN(ReferenceData!$F$284),"",ReferenceData!$F$284),"")</f>
        <v>0.19350870100000001</v>
      </c>
      <c r="G284">
        <f ca="1">IFERROR(IF(0=LEN(ReferenceData!$G$284),"",ReferenceData!$G$284),"")</f>
        <v>0.19173237300000001</v>
      </c>
      <c r="H284">
        <f ca="1">IFERROR(IF(0=LEN(ReferenceData!$H$284),"",ReferenceData!$H$284),"")</f>
        <v>0.25007664800000001</v>
      </c>
      <c r="I284">
        <f ca="1">IFERROR(IF(0=LEN(ReferenceData!$I$284),"",ReferenceData!$I$284),"")</f>
        <v>0.30223547200000001</v>
      </c>
      <c r="J284">
        <f ca="1">IFERROR(IF(0=LEN(ReferenceData!$J$284),"",ReferenceData!$J$284),"")</f>
        <v>0.377513653</v>
      </c>
      <c r="K284">
        <f ca="1">IFERROR(IF(0=LEN(ReferenceData!$K$284),"",ReferenceData!$K$284),"")</f>
        <v>0.52394852599999997</v>
      </c>
      <c r="L284">
        <f ca="1">IFERROR(IF(0=LEN(ReferenceData!$L$284),"",ReferenceData!$L$284),"")</f>
        <v>0.50559119900000005</v>
      </c>
      <c r="M284">
        <f ca="1">IFERROR(IF(0=LEN(ReferenceData!$M$284),"",ReferenceData!$M$284),"")</f>
        <v>0.55489649299999999</v>
      </c>
      <c r="N284">
        <f ca="1">IFERROR(IF(0=LEN(ReferenceData!$N$284),"",ReferenceData!$N$284),"")</f>
        <v>0.583260954</v>
      </c>
      <c r="O284">
        <f ca="1">IFERROR(IF(0=LEN(ReferenceData!$O$284),"",ReferenceData!$O$284),"")</f>
        <v>0.58600375999999998</v>
      </c>
      <c r="P284">
        <f ca="1">IFERROR(IF(0=LEN(ReferenceData!$P$284),"",ReferenceData!$P$284),"")</f>
        <v>0.65341715700000003</v>
      </c>
      <c r="Q284">
        <f ca="1">IFERROR(IF(0=LEN(ReferenceData!$Q$284),"",ReferenceData!$Q$284),"")</f>
        <v>0.56948714899999997</v>
      </c>
      <c r="R284">
        <f ca="1">IFERROR(IF(0=LEN(ReferenceData!$R$284),"",ReferenceData!$R$284),"")</f>
        <v>0.48769150999999999</v>
      </c>
      <c r="S284">
        <f ca="1">IFERROR(IF(0=LEN(ReferenceData!$S$284),"",ReferenceData!$S$284),"")</f>
        <v>0.51298276099999995</v>
      </c>
      <c r="T284">
        <f ca="1">IFERROR(IF(0=LEN(ReferenceData!$T$284),"",ReferenceData!$T$284),"")</f>
        <v>0.38596678600000001</v>
      </c>
      <c r="U284">
        <f ca="1">IFERROR(IF(0=LEN(ReferenceData!$U$284),"",ReferenceData!$U$284),"")</f>
        <v>0.55759231899999995</v>
      </c>
      <c r="V284">
        <f ca="1">IFERROR(IF(0=LEN(ReferenceData!$V$284),"",ReferenceData!$V$284),"")</f>
        <v>0.68218722499999995</v>
      </c>
      <c r="W284">
        <f ca="1">IFERROR(IF(0=LEN(ReferenceData!$W$284),"",ReferenceData!$W$284),"")</f>
        <v>0.61855925300000003</v>
      </c>
      <c r="X284">
        <f ca="1">IFERROR(IF(0=LEN(ReferenceData!$X$284),"",ReferenceData!$X$284),"")</f>
        <v>0.64069438400000001</v>
      </c>
      <c r="Y284">
        <f ca="1">IFERROR(IF(0=LEN(ReferenceData!$Y$284),"",ReferenceData!$Y$284),"")</f>
        <v>0.560211036</v>
      </c>
      <c r="Z284">
        <f ca="1">IFERROR(IF(0=LEN(ReferenceData!$Z$284),"",ReferenceData!$Z$284),"")</f>
        <v>0.55640843600000001</v>
      </c>
      <c r="AA284">
        <f ca="1">IFERROR(IF(0=LEN(ReferenceData!$AA$284),"",ReferenceData!$AA$284),"")</f>
        <v>0.54517105799999999</v>
      </c>
      <c r="AB284">
        <f ca="1">IFERROR(IF(0=LEN(ReferenceData!$AB$284),"",ReferenceData!$AB$284),"")</f>
        <v>0.52227087900000002</v>
      </c>
      <c r="AC284">
        <f ca="1">IFERROR(IF(0=LEN(ReferenceData!$AC$284),"",ReferenceData!$AC$284),"")</f>
        <v>0.47056251100000002</v>
      </c>
      <c r="AD284">
        <f ca="1">IFERROR(IF(0=LEN(ReferenceData!$AD$284),"",ReferenceData!$AD$284),"")</f>
        <v>0.45818494999999998</v>
      </c>
      <c r="AE284">
        <f ca="1">IFERROR(IF(0=LEN(ReferenceData!$AE$284),"",ReferenceData!$AE$284),"")</f>
        <v>0.546598523</v>
      </c>
      <c r="AF284">
        <f ca="1">IFERROR(IF(0=LEN(ReferenceData!$AF$284),"",ReferenceData!$AF$284),"")</f>
        <v>0.46859304099999999</v>
      </c>
      <c r="AG284">
        <f ca="1">IFERROR(IF(0=LEN(ReferenceData!$AG$284),"",ReferenceData!$AG$284),"")</f>
        <v>0.44084382</v>
      </c>
      <c r="AH284">
        <f ca="1">IFERROR(IF(0=LEN(ReferenceData!$AH$284),"",ReferenceData!$AH$284),"")</f>
        <v>0.52978093400000004</v>
      </c>
      <c r="AI284">
        <f ca="1">IFERROR(IF(0=LEN(ReferenceData!$AI$284),"",ReferenceData!$AI$284),"")</f>
        <v>0.384357964</v>
      </c>
      <c r="AJ284">
        <f ca="1">IFERROR(IF(0=LEN(ReferenceData!$AJ$284),"",ReferenceData!$AJ$284),"")</f>
        <v>0.36714860199999999</v>
      </c>
      <c r="AK284">
        <f ca="1">IFERROR(IF(0=LEN(ReferenceData!$AK$284),"",ReferenceData!$AK$284),"")</f>
        <v>0.48249206500000003</v>
      </c>
      <c r="AL284">
        <f ca="1">IFERROR(IF(0=LEN(ReferenceData!$AL$284),"",ReferenceData!$AL$284),"")</f>
        <v>0.62230973700000003</v>
      </c>
      <c r="AM284">
        <f ca="1">IFERROR(IF(0=LEN(ReferenceData!$AM$284),"",ReferenceData!$AM$284),"")</f>
        <v>0.62674591999999996</v>
      </c>
      <c r="AN284">
        <f ca="1">IFERROR(IF(0=LEN(ReferenceData!$AN$284),"",ReferenceData!$AN$284),"")</f>
        <v>0.53433886200000003</v>
      </c>
      <c r="AO284">
        <f ca="1">IFERROR(IF(0=LEN(ReferenceData!$AO$284),"",ReferenceData!$AO$284),"")</f>
        <v>0.40968897199999998</v>
      </c>
      <c r="AP284">
        <f ca="1">IFERROR(IF(0=LEN(ReferenceData!$AP$284),"",ReferenceData!$AP$284),"")</f>
        <v>0.43371006600000001</v>
      </c>
      <c r="AQ284">
        <f ca="1">IFERROR(IF(0=LEN(ReferenceData!$AQ$284),"",ReferenceData!$AQ$284),"")</f>
        <v>0.55098497099999999</v>
      </c>
      <c r="AR284">
        <f ca="1">IFERROR(IF(0=LEN(ReferenceData!$AR$284),"",ReferenceData!$AR$284),"")</f>
        <v>0.44640837500000002</v>
      </c>
      <c r="AS284">
        <f ca="1">IFERROR(IF(0=LEN(ReferenceData!$AS$284),"",ReferenceData!$AS$284),"")</f>
        <v>0.185094443</v>
      </c>
      <c r="AT284">
        <f ca="1">IFERROR(IF(0=LEN(ReferenceData!$AT$284),"",ReferenceData!$AT$284),"")</f>
        <v>0.111581894</v>
      </c>
      <c r="AU284" t="str">
        <f ca="1">IFERROR(IF(0=LEN(ReferenceData!$AU$284),"",ReferenceData!$AU$284),"")</f>
        <v/>
      </c>
      <c r="AV284" t="str">
        <f ca="1">IFERROR(IF(0=LEN(ReferenceData!$AV$284),"",ReferenceData!$AV$284),"")</f>
        <v/>
      </c>
      <c r="AW284" t="str">
        <f ca="1">IFERROR(IF(0=LEN(ReferenceData!$AW$284),"",ReferenceData!$AW$284),"")</f>
        <v/>
      </c>
      <c r="AX284" t="str">
        <f ca="1">IFERROR(IF(0=LEN(ReferenceData!$AX$284),"",ReferenceData!$AX$284),"")</f>
        <v/>
      </c>
      <c r="AY284" t="str">
        <f ca="1">IFERROR(IF(0=LEN(ReferenceData!$AY$284),"",ReferenceData!$AY$284),"")</f>
        <v/>
      </c>
      <c r="AZ284" t="str">
        <f ca="1">IFERROR(IF(0=LEN(ReferenceData!$AZ$284),"",ReferenceData!$AZ$284),"")</f>
        <v/>
      </c>
      <c r="BA284" t="str">
        <f ca="1">IFERROR(IF(0=LEN(ReferenceData!$BA$284),"",ReferenceData!$BA$284),"")</f>
        <v/>
      </c>
      <c r="BB284" t="str">
        <f ca="1">IFERROR(IF(0=LEN(ReferenceData!$BB$284),"",ReferenceData!$BB$284),"")</f>
        <v/>
      </c>
      <c r="BC284" t="str">
        <f ca="1">IFERROR(IF(0=LEN(ReferenceData!$BC$284),"",ReferenceData!$BC$284),"")</f>
        <v/>
      </c>
      <c r="BD284" t="str">
        <f ca="1">IFERROR(IF(0=LEN(ReferenceData!$BD$284),"",ReferenceData!$BD$284),"")</f>
        <v/>
      </c>
      <c r="BE284" t="str">
        <f ca="1">IFERROR(IF(0=LEN(ReferenceData!$BE$284),"",ReferenceData!$BE$284),"")</f>
        <v/>
      </c>
      <c r="BF284" t="str">
        <f ca="1">IFERROR(IF(0=LEN(ReferenceData!$BF$284),"",ReferenceData!$BF$284),"")</f>
        <v/>
      </c>
      <c r="BG284" t="str">
        <f ca="1">IFERROR(IF(0=LEN(ReferenceData!$BG$284),"",ReferenceData!$BG$284),"")</f>
        <v/>
      </c>
      <c r="BH284" t="str">
        <f ca="1">IFERROR(IF(0=LEN(ReferenceData!$BH$284),"",ReferenceData!$BH$284),"")</f>
        <v/>
      </c>
      <c r="BI284" t="str">
        <f ca="1">IFERROR(IF(0=LEN(ReferenceData!$BI$284),"",ReferenceData!$BI$284),"")</f>
        <v/>
      </c>
      <c r="BJ284" t="str">
        <f ca="1">IFERROR(IF(0=LEN(ReferenceData!$BJ$284),"",ReferenceData!$BJ$284),"")</f>
        <v/>
      </c>
      <c r="BK284" t="str">
        <f ca="1">IFERROR(IF(0=LEN(ReferenceData!$BK$284),"",ReferenceData!$BK$284),"")</f>
        <v/>
      </c>
      <c r="BL284" t="str">
        <f ca="1">IFERROR(IF(0=LEN(ReferenceData!$BL$284),"",ReferenceData!$BL$284),"")</f>
        <v/>
      </c>
      <c r="BM284" t="str">
        <f ca="1">IFERROR(IF(0=LEN(ReferenceData!$BM$284),"",ReferenceData!$BM$284),"")</f>
        <v/>
      </c>
    </row>
    <row r="285" spans="1:65" x14ac:dyDescent="0.25">
      <c r="A285" t="str">
        <f>IFERROR(IF(0=LEN(ReferenceData!$A$285),"",ReferenceData!$A$285),"")</f>
        <v xml:space="preserve">    Tesla Inc</v>
      </c>
      <c r="B285" t="str">
        <f>IFERROR(IF(0=LEN(ReferenceData!$B$285),"",ReferenceData!$B$285),"")</f>
        <v>TSLA US Equity</v>
      </c>
      <c r="C285" t="str">
        <f>IFERROR(IF(0=LEN(ReferenceData!$C$285),"",ReferenceData!$C$285),"")</f>
        <v>RR904</v>
      </c>
      <c r="D285" t="str">
        <f>IFERROR(IF(0=LEN(ReferenceData!$D$285),"",ReferenceData!$D$285),"")</f>
        <v>PX_TO_SALES_RATIO</v>
      </c>
      <c r="E285" t="str">
        <f>IFERROR(IF(0=LEN(ReferenceData!$E$285),"",ReferenceData!$E$285),"")</f>
        <v>Dynamic</v>
      </c>
      <c r="F285">
        <f ca="1">IFERROR(IF(0=LEN(ReferenceData!$F$285),"",ReferenceData!$F$285),"")</f>
        <v>2.3440501540000001</v>
      </c>
      <c r="G285">
        <f ca="1">IFERROR(IF(0=LEN(ReferenceData!$G$285),"",ReferenceData!$G$285),"")</f>
        <v>2.6489635919999999</v>
      </c>
      <c r="H285">
        <f ca="1">IFERROR(IF(0=LEN(ReferenceData!$H$285),"",ReferenceData!$H$285),"")</f>
        <v>2.566448871</v>
      </c>
      <c r="I285">
        <f ca="1">IFERROR(IF(0=LEN(ReferenceData!$I$285),"",ReferenceData!$I$285),"")</f>
        <v>4.230140456</v>
      </c>
      <c r="J285">
        <f ca="1">IFERROR(IF(0=LEN(ReferenceData!$J$285),"",ReferenceData!$J$285),"")</f>
        <v>3.576308601</v>
      </c>
      <c r="K285">
        <f ca="1">IFERROR(IF(0=LEN(ReferenceData!$K$285),"",ReferenceData!$K$285),"")</f>
        <v>4.391866855</v>
      </c>
      <c r="L285">
        <f ca="1">IFERROR(IF(0=LEN(ReferenceData!$L$285),"",ReferenceData!$L$285),"")</f>
        <v>5.1608877</v>
      </c>
      <c r="M285">
        <f ca="1">IFERROR(IF(0=LEN(ReferenceData!$M$285),"",ReferenceData!$M$285),"")</f>
        <v>5.6786327539999997</v>
      </c>
      <c r="N285">
        <f ca="1">IFERROR(IF(0=LEN(ReferenceData!$N$285),"",ReferenceData!$N$285),"")</f>
        <v>4.9814737999999998</v>
      </c>
      <c r="O285">
        <f ca="1">IFERROR(IF(0=LEN(ReferenceData!$O$285),"",ReferenceData!$O$285),"")</f>
        <v>4.462838369</v>
      </c>
      <c r="P285">
        <f ca="1">IFERROR(IF(0=LEN(ReferenceData!$P$285),"",ReferenceData!$P$285),"")</f>
        <v>4.8111422800000003</v>
      </c>
      <c r="Q285">
        <f ca="1">IFERROR(IF(0=LEN(ReferenceData!$Q$285),"",ReferenceData!$Q$285),"")</f>
        <v>6.1992731470000004</v>
      </c>
      <c r="R285">
        <f ca="1">IFERROR(IF(0=LEN(ReferenceData!$R$285),"",ReferenceData!$R$285),"")</f>
        <v>7.0248809559999996</v>
      </c>
      <c r="S285">
        <f ca="1">IFERROR(IF(0=LEN(ReferenceData!$S$285),"",ReferenceData!$S$285),"")</f>
        <v>7.613305918</v>
      </c>
      <c r="T285">
        <f ca="1">IFERROR(IF(0=LEN(ReferenceData!$T$285),"",ReferenceData!$T$285),"")</f>
        <v>8.3118479359999995</v>
      </c>
      <c r="U285">
        <f ca="1">IFERROR(IF(0=LEN(ReferenceData!$U$285),"",ReferenceData!$U$285),"")</f>
        <v>9.1112425730000002</v>
      </c>
      <c r="V285">
        <f ca="1">IFERROR(IF(0=LEN(ReferenceData!$V$285),"",ReferenceData!$V$285),"")</f>
        <v>6.7185743779999996</v>
      </c>
      <c r="W285">
        <f ca="1">IFERROR(IF(0=LEN(ReferenceData!$W$285),"",ReferenceData!$W$285),"")</f>
        <v>8.6675931449999997</v>
      </c>
      <c r="X285">
        <f ca="1">IFERROR(IF(0=LEN(ReferenceData!$X$285),"",ReferenceData!$X$285),"")</f>
        <v>10.52987134</v>
      </c>
      <c r="Y285">
        <f ca="1">IFERROR(IF(0=LEN(ReferenceData!$Y$285),"",ReferenceData!$Y$285),"")</f>
        <v>12.14439701</v>
      </c>
      <c r="Z285">
        <f ca="1">IFERROR(IF(0=LEN(ReferenceData!$Z$285),"",ReferenceData!$Z$285),"")</f>
        <v>12.25963445</v>
      </c>
      <c r="AA285">
        <f ca="1">IFERROR(IF(0=LEN(ReferenceData!$AA$285),"",ReferenceData!$AA$285),"")</f>
        <v>8.9145056650000001</v>
      </c>
      <c r="AB285">
        <f ca="1">IFERROR(IF(0=LEN(ReferenceData!$AB$285),"",ReferenceData!$AB$285),"")</f>
        <v>13.28318058</v>
      </c>
      <c r="AC285">
        <f ca="1">IFERROR(IF(0=LEN(ReferenceData!$AC$285),"",ReferenceData!$AC$285),"")</f>
        <v>9.3416943660000005</v>
      </c>
      <c r="AD285">
        <f ca="1">IFERROR(IF(0=LEN(ReferenceData!$AD$285),"",ReferenceData!$AD$285),"")</f>
        <v>4.5551498500000003</v>
      </c>
      <c r="AE285">
        <f ca="1">IFERROR(IF(0=LEN(ReferenceData!$AE$285),"",ReferenceData!$AE$285),"")</f>
        <v>9.1329816499999996</v>
      </c>
      <c r="AF285">
        <f ca="1">IFERROR(IF(0=LEN(ReferenceData!$AF$285),"",ReferenceData!$AF$285),"")</f>
        <v>21.019379560000001</v>
      </c>
      <c r="AG285">
        <f ca="1">IFERROR(IF(0=LEN(ReferenceData!$AG$285),"",ReferenceData!$AG$285),"")</f>
        <v>21.25094794</v>
      </c>
      <c r="AH285">
        <f ca="1">IFERROR(IF(0=LEN(ReferenceData!$AH$285),"",ReferenceData!$AH$285),"")</f>
        <v>20.526873680000001</v>
      </c>
      <c r="AI285">
        <f ca="1">IFERROR(IF(0=LEN(ReferenceData!$AI$285),"",ReferenceData!$AI$285),"")</f>
        <v>13.990395210000001</v>
      </c>
      <c r="AJ285">
        <f ca="1">IFERROR(IF(0=LEN(ReferenceData!$AJ$285),"",ReferenceData!$AJ$285),"")</f>
        <v>11.901888380000001</v>
      </c>
      <c r="AK285">
        <f ca="1">IFERROR(IF(0=LEN(ReferenceData!$AK$285),"",ReferenceData!$AK$285),"")</f>
        <v>15.88536824</v>
      </c>
      <c r="AL285">
        <f ca="1">IFERROR(IF(0=LEN(ReferenceData!$AL$285),"",ReferenceData!$AL$285),"")</f>
        <v>5.6004556829999999</v>
      </c>
      <c r="AM285">
        <f ca="1">IFERROR(IF(0=LEN(ReferenceData!$AM$285),"",ReferenceData!$AM$285),"")</f>
        <v>3.6529162130000001</v>
      </c>
      <c r="AN285">
        <f ca="1">IFERROR(IF(0=LEN(ReferenceData!$AN$285),"",ReferenceData!$AN$285),"")</f>
        <v>2.1362636749999999</v>
      </c>
      <c r="AO285" t="str">
        <f ca="1">IFERROR(IF(0=LEN(ReferenceData!$AO$285),"",ReferenceData!$AO$285),"")</f>
        <v/>
      </c>
      <c r="AP285" t="str">
        <f ca="1">IFERROR(IF(0=LEN(ReferenceData!$AP$285),"",ReferenceData!$AP$285),"")</f>
        <v/>
      </c>
      <c r="AQ285" t="str">
        <f ca="1">IFERROR(IF(0=LEN(ReferenceData!$AQ$285),"",ReferenceData!$AQ$285),"")</f>
        <v/>
      </c>
      <c r="AR285" t="str">
        <f ca="1">IFERROR(IF(0=LEN(ReferenceData!$AR$285),"",ReferenceData!$AR$285),"")</f>
        <v/>
      </c>
      <c r="AS285" t="str">
        <f ca="1">IFERROR(IF(0=LEN(ReferenceData!$AS$285),"",ReferenceData!$AS$285),"")</f>
        <v/>
      </c>
      <c r="AT285" t="str">
        <f ca="1">IFERROR(IF(0=LEN(ReferenceData!$AT$285),"",ReferenceData!$AT$285),"")</f>
        <v/>
      </c>
      <c r="AU285" t="str">
        <f ca="1">IFERROR(IF(0=LEN(ReferenceData!$AU$285),"",ReferenceData!$AU$285),"")</f>
        <v/>
      </c>
      <c r="AV285" t="str">
        <f ca="1">IFERROR(IF(0=LEN(ReferenceData!$AV$285),"",ReferenceData!$AV$285),"")</f>
        <v/>
      </c>
      <c r="AW285" t="str">
        <f ca="1">IFERROR(IF(0=LEN(ReferenceData!$AW$285),"",ReferenceData!$AW$285),"")</f>
        <v/>
      </c>
      <c r="AX285" t="str">
        <f ca="1">IFERROR(IF(0=LEN(ReferenceData!$AX$285),"",ReferenceData!$AX$285),"")</f>
        <v/>
      </c>
      <c r="AY285" t="str">
        <f ca="1">IFERROR(IF(0=LEN(ReferenceData!$AY$285),"",ReferenceData!$AY$285),"")</f>
        <v/>
      </c>
      <c r="AZ285" t="str">
        <f ca="1">IFERROR(IF(0=LEN(ReferenceData!$AZ$285),"",ReferenceData!$AZ$285),"")</f>
        <v/>
      </c>
      <c r="BA285" t="str">
        <f ca="1">IFERROR(IF(0=LEN(ReferenceData!$BA$285),"",ReferenceData!$BA$285),"")</f>
        <v/>
      </c>
      <c r="BB285" t="str">
        <f ca="1">IFERROR(IF(0=LEN(ReferenceData!$BB$285),"",ReferenceData!$BB$285),"")</f>
        <v/>
      </c>
      <c r="BC285" t="str">
        <f ca="1">IFERROR(IF(0=LEN(ReferenceData!$BC$285),"",ReferenceData!$BC$285),"")</f>
        <v/>
      </c>
      <c r="BD285" t="str">
        <f ca="1">IFERROR(IF(0=LEN(ReferenceData!$BD$285),"",ReferenceData!$BD$285),"")</f>
        <v/>
      </c>
      <c r="BE285" t="str">
        <f ca="1">IFERROR(IF(0=LEN(ReferenceData!$BE$285),"",ReferenceData!$BE$285),"")</f>
        <v/>
      </c>
      <c r="BF285" t="str">
        <f ca="1">IFERROR(IF(0=LEN(ReferenceData!$BF$285),"",ReferenceData!$BF$285),"")</f>
        <v/>
      </c>
      <c r="BG285" t="str">
        <f ca="1">IFERROR(IF(0=LEN(ReferenceData!$BG$285),"",ReferenceData!$BG$285),"")</f>
        <v/>
      </c>
      <c r="BH285" t="str">
        <f ca="1">IFERROR(IF(0=LEN(ReferenceData!$BH$285),"",ReferenceData!$BH$285),"")</f>
        <v/>
      </c>
      <c r="BI285" t="str">
        <f ca="1">IFERROR(IF(0=LEN(ReferenceData!$BI$285),"",ReferenceData!$BI$285),"")</f>
        <v/>
      </c>
      <c r="BJ285" t="str">
        <f ca="1">IFERROR(IF(0=LEN(ReferenceData!$BJ$285),"",ReferenceData!$BJ$285),"")</f>
        <v/>
      </c>
      <c r="BK285" t="str">
        <f ca="1">IFERROR(IF(0=LEN(ReferenceData!$BK$285),"",ReferenceData!$BK$285),"")</f>
        <v/>
      </c>
      <c r="BL285" t="str">
        <f ca="1">IFERROR(IF(0=LEN(ReferenceData!$BL$285),"",ReferenceData!$BL$285),"")</f>
        <v/>
      </c>
      <c r="BM285" t="str">
        <f ca="1">IFERROR(IF(0=LEN(ReferenceData!$BM$285),"",ReferenceData!$BM$285),"")</f>
        <v/>
      </c>
    </row>
    <row r="286" spans="1:65" x14ac:dyDescent="0.25">
      <c r="A286" t="str">
        <f>IFERROR(IF(0=LEN(ReferenceData!$A$286),"",ReferenceData!$A$286),"")</f>
        <v xml:space="preserve">    Tianjin Faw Xiali Automobile Co Ltd</v>
      </c>
      <c r="B286" t="str">
        <f>IFERROR(IF(0=LEN(ReferenceData!$B$286),"",ReferenceData!$B$286),"")</f>
        <v>000927 CH Equity</v>
      </c>
      <c r="C286" t="str">
        <f>IFERROR(IF(0=LEN(ReferenceData!$C$286),"",ReferenceData!$C$286),"")</f>
        <v>RR904</v>
      </c>
      <c r="D286" t="str">
        <f>IFERROR(IF(0=LEN(ReferenceData!$D$286),"",ReferenceData!$D$286),"")</f>
        <v>PX_TO_SALES_RATIO</v>
      </c>
      <c r="E286" t="str">
        <f>IFERROR(IF(0=LEN(ReferenceData!$E$286),"",ReferenceData!$E$286),"")</f>
        <v>Dynamic</v>
      </c>
      <c r="F286">
        <f ca="1">IFERROR(IF(0=LEN(ReferenceData!$F$286),"",ReferenceData!$F$286),"")</f>
        <v>4.3313640969999998</v>
      </c>
      <c r="G286">
        <f ca="1">IFERROR(IF(0=LEN(ReferenceData!$G$286),"",ReferenceData!$G$286),"")</f>
        <v>3.727813362</v>
      </c>
      <c r="H286">
        <f ca="1">IFERROR(IF(0=LEN(ReferenceData!$H$286),"",ReferenceData!$H$286),"")</f>
        <v>3.9526655970000002</v>
      </c>
      <c r="I286">
        <f ca="1">IFERROR(IF(0=LEN(ReferenceData!$I$286),"",ReferenceData!$I$286),"")</f>
        <v>4.1287197219999996</v>
      </c>
      <c r="J286">
        <f ca="1">IFERROR(IF(0=LEN(ReferenceData!$J$286),"",ReferenceData!$J$286),"")</f>
        <v>4.5523496120000004</v>
      </c>
      <c r="K286">
        <f ca="1">IFERROR(IF(0=LEN(ReferenceData!$K$286),"",ReferenceData!$K$286),"")</f>
        <v>5.2079816149999996</v>
      </c>
      <c r="L286">
        <f ca="1">IFERROR(IF(0=LEN(ReferenceData!$L$286),"",ReferenceData!$L$286),"")</f>
        <v>6.1754247759999998</v>
      </c>
      <c r="M286">
        <f ca="1">IFERROR(IF(0=LEN(ReferenceData!$M$286),"",ReferenceData!$M$286),"")</f>
        <v>5.294997586</v>
      </c>
      <c r="N286">
        <f ca="1">IFERROR(IF(0=LEN(ReferenceData!$N$286),"",ReferenceData!$N$286),"")</f>
        <v>7.0591906240000002</v>
      </c>
      <c r="O286">
        <f ca="1">IFERROR(IF(0=LEN(ReferenceData!$O$286),"",ReferenceData!$O$286),"")</f>
        <v>4.8970783620000002</v>
      </c>
      <c r="P286">
        <f ca="1">IFERROR(IF(0=LEN(ReferenceData!$P$286),"",ReferenceData!$P$286),"")</f>
        <v>3.629867854</v>
      </c>
      <c r="Q286">
        <f ca="1">IFERROR(IF(0=LEN(ReferenceData!$Q$286),"",ReferenceData!$Q$286),"")</f>
        <v>3.6612091279999999</v>
      </c>
      <c r="R286">
        <f ca="1">IFERROR(IF(0=LEN(ReferenceData!$R$286),"",ReferenceData!$R$286),"")</f>
        <v>3.8295374419999999</v>
      </c>
      <c r="S286">
        <f ca="1">IFERROR(IF(0=LEN(ReferenceData!$S$286),"",ReferenceData!$S$286),"")</f>
        <v>3.5732893090000002</v>
      </c>
      <c r="T286">
        <f ca="1">IFERROR(IF(0=LEN(ReferenceData!$T$286),"",ReferenceData!$T$286),"")</f>
        <v>2.8618333489999999</v>
      </c>
      <c r="U286">
        <f ca="1">IFERROR(IF(0=LEN(ReferenceData!$U$286),"",ReferenceData!$U$286),"")</f>
        <v>4.286094597</v>
      </c>
      <c r="V286">
        <f ca="1">IFERROR(IF(0=LEN(ReferenceData!$V$286),"",ReferenceData!$V$286),"")</f>
        <v>3.9344687450000002</v>
      </c>
      <c r="W286">
        <f ca="1">IFERROR(IF(0=LEN(ReferenceData!$W$286),"",ReferenceData!$W$286),"")</f>
        <v>3.3426235750000002</v>
      </c>
      <c r="X286">
        <f ca="1">IFERROR(IF(0=LEN(ReferenceData!$X$286),"",ReferenceData!$X$286),"")</f>
        <v>2.1220757109999999</v>
      </c>
      <c r="Y286">
        <f ca="1">IFERROR(IF(0=LEN(ReferenceData!$Y$286),"",ReferenceData!$Y$286),"")</f>
        <v>1.406212722</v>
      </c>
      <c r="Z286">
        <f ca="1">IFERROR(IF(0=LEN(ReferenceData!$Z$286),"",ReferenceData!$Z$286),"")</f>
        <v>1.2726693039999999</v>
      </c>
      <c r="AA286">
        <f ca="1">IFERROR(IF(0=LEN(ReferenceData!$AA$286),"",ReferenceData!$AA$286),"")</f>
        <v>1.0373371330000001</v>
      </c>
      <c r="AB286">
        <f ca="1">IFERROR(IF(0=LEN(ReferenceData!$AB$286),"",ReferenceData!$AB$286),"")</f>
        <v>0.98690606999999997</v>
      </c>
      <c r="AC286">
        <f ca="1">IFERROR(IF(0=LEN(ReferenceData!$AC$286),"",ReferenceData!$AC$286),"")</f>
        <v>0.89891936100000003</v>
      </c>
      <c r="AD286">
        <f ca="1">IFERROR(IF(0=LEN(ReferenceData!$AD$286),"",ReferenceData!$AD$286),"")</f>
        <v>0.99835498700000003</v>
      </c>
      <c r="AE286">
        <f ca="1">IFERROR(IF(0=LEN(ReferenceData!$AE$286),"",ReferenceData!$AE$286),"")</f>
        <v>1.080035058</v>
      </c>
      <c r="AF286">
        <f ca="1">IFERROR(IF(0=LEN(ReferenceData!$AF$286),"",ReferenceData!$AF$286),"")</f>
        <v>0.97581626899999996</v>
      </c>
      <c r="AG286">
        <f ca="1">IFERROR(IF(0=LEN(ReferenceData!$AG$286),"",ReferenceData!$AG$286),"")</f>
        <v>1.397039667</v>
      </c>
      <c r="AH286">
        <f ca="1">IFERROR(IF(0=LEN(ReferenceData!$AH$286),"",ReferenceData!$AH$286),"")</f>
        <v>1.1987235759999999</v>
      </c>
      <c r="AI286">
        <f ca="1">IFERROR(IF(0=LEN(ReferenceData!$AI$286),"",ReferenceData!$AI$286),"")</f>
        <v>0.99942146099999996</v>
      </c>
      <c r="AJ286">
        <f ca="1">IFERROR(IF(0=LEN(ReferenceData!$AJ$286),"",ReferenceData!$AJ$286),"")</f>
        <v>1.1169121209999999</v>
      </c>
      <c r="AK286">
        <f ca="1">IFERROR(IF(0=LEN(ReferenceData!$AK$286),"",ReferenceData!$AK$286),"")</f>
        <v>1.0976084340000001</v>
      </c>
      <c r="AL286">
        <f ca="1">IFERROR(IF(0=LEN(ReferenceData!$AL$286),"",ReferenceData!$AL$286),"")</f>
        <v>1.2511022650000001</v>
      </c>
      <c r="AM286">
        <f ca="1">IFERROR(IF(0=LEN(ReferenceData!$AM$286),"",ReferenceData!$AM$286),"")</f>
        <v>1.3407765279999999</v>
      </c>
      <c r="AN286">
        <f ca="1">IFERROR(IF(0=LEN(ReferenceData!$AN$286),"",ReferenceData!$AN$286),"")</f>
        <v>1.4651082550000001</v>
      </c>
      <c r="AO286">
        <f ca="1">IFERROR(IF(0=LEN(ReferenceData!$AO$286),"",ReferenceData!$AO$286),"")</f>
        <v>1.3891649660000001</v>
      </c>
      <c r="AP286">
        <f ca="1">IFERROR(IF(0=LEN(ReferenceData!$AP$286),"",ReferenceData!$AP$286),"")</f>
        <v>1.7319698400000001</v>
      </c>
      <c r="AQ286">
        <f ca="1">IFERROR(IF(0=LEN(ReferenceData!$AQ$286),"",ReferenceData!$AQ$286),"")</f>
        <v>2.2569731850000001</v>
      </c>
      <c r="AR286">
        <f ca="1">IFERROR(IF(0=LEN(ReferenceData!$AR$286),"",ReferenceData!$AR$286),"")</f>
        <v>1.375057985</v>
      </c>
      <c r="AS286">
        <f ca="1">IFERROR(IF(0=LEN(ReferenceData!$AS$286),"",ReferenceData!$AS$286),"")</f>
        <v>1.5012174709999999</v>
      </c>
      <c r="AT286">
        <f ca="1">IFERROR(IF(0=LEN(ReferenceData!$AT$286),"",ReferenceData!$AT$286),"")</f>
        <v>1.1381710780000001</v>
      </c>
      <c r="AU286">
        <f ca="1">IFERROR(IF(0=LEN(ReferenceData!$AU$286),"",ReferenceData!$AU$286),"")</f>
        <v>0.85685576500000005</v>
      </c>
      <c r="AV286">
        <f ca="1">IFERROR(IF(0=LEN(ReferenceData!$AV$286),"",ReferenceData!$AV$286),"")</f>
        <v>0.77186562299999995</v>
      </c>
      <c r="AW286">
        <f ca="1">IFERROR(IF(0=LEN(ReferenceData!$AW$286),"",ReferenceData!$AW$286),"")</f>
        <v>0.86773460400000002</v>
      </c>
      <c r="AX286">
        <f ca="1">IFERROR(IF(0=LEN(ReferenceData!$AX$286),"",ReferenceData!$AX$286),"")</f>
        <v>1.6406312839999999</v>
      </c>
      <c r="AY286">
        <f ca="1">IFERROR(IF(0=LEN(ReferenceData!$AY$286),"",ReferenceData!$AY$286),"")</f>
        <v>3.0356472339999998</v>
      </c>
      <c r="AZ286">
        <f ca="1">IFERROR(IF(0=LEN(ReferenceData!$AZ$286),"",ReferenceData!$AZ$286),"")</f>
        <v>3.1973441380000001</v>
      </c>
      <c r="BA286">
        <f ca="1">IFERROR(IF(0=LEN(ReferenceData!$BA$286),"",ReferenceData!$BA$286),"")</f>
        <v>1.5521870129999999</v>
      </c>
      <c r="BB286">
        <f ca="1">IFERROR(IF(0=LEN(ReferenceData!$BB$286),"",ReferenceData!$BB$286),"")</f>
        <v>1.8566830299999999</v>
      </c>
      <c r="BC286">
        <f ca="1">IFERROR(IF(0=LEN(ReferenceData!$BC$286),"",ReferenceData!$BC$286),"")</f>
        <v>1.113589419</v>
      </c>
      <c r="BD286">
        <f ca="1">IFERROR(IF(0=LEN(ReferenceData!$BD$286),"",ReferenceData!$BD$286),"")</f>
        <v>0.78509087099999997</v>
      </c>
      <c r="BE286">
        <f ca="1">IFERROR(IF(0=LEN(ReferenceData!$BE$286),"",ReferenceData!$BE$286),"")</f>
        <v>1.373206106</v>
      </c>
      <c r="BF286">
        <f ca="1">IFERROR(IF(0=LEN(ReferenceData!$BF$286),"",ReferenceData!$BF$286),"")</f>
        <v>0.99622975700000005</v>
      </c>
      <c r="BG286">
        <f ca="1">IFERROR(IF(0=LEN(ReferenceData!$BG$286),"",ReferenceData!$BG$286),"")</f>
        <v>0.94378833900000003</v>
      </c>
      <c r="BH286">
        <f ca="1">IFERROR(IF(0=LEN(ReferenceData!$BH$286),"",ReferenceData!$BH$286),"")</f>
        <v>1.0339203159999999</v>
      </c>
      <c r="BI286">
        <f ca="1">IFERROR(IF(0=LEN(ReferenceData!$BI$286),"",ReferenceData!$BI$286),"")</f>
        <v>0.84306377200000004</v>
      </c>
      <c r="BJ286">
        <f ca="1">IFERROR(IF(0=LEN(ReferenceData!$BJ$286),"",ReferenceData!$BJ$286),"")</f>
        <v>0.71523460800000005</v>
      </c>
      <c r="BK286">
        <f ca="1">IFERROR(IF(0=LEN(ReferenceData!$BK$286),"",ReferenceData!$BK$286),"")</f>
        <v>0.81782980000000005</v>
      </c>
      <c r="BL286">
        <f ca="1">IFERROR(IF(0=LEN(ReferenceData!$BL$286),"",ReferenceData!$BL$286),"")</f>
        <v>1.2546859079999999</v>
      </c>
      <c r="BM286">
        <f ca="1">IFERROR(IF(0=LEN(ReferenceData!$BM$286),"",ReferenceData!$BM$286),"")</f>
        <v>1.6252339609999999</v>
      </c>
    </row>
    <row r="287" spans="1:65" x14ac:dyDescent="0.25">
      <c r="A287" t="str">
        <f>IFERROR(IF(0=LEN(ReferenceData!$A$287),"",ReferenceData!$A$287),"")</f>
        <v xml:space="preserve">    Tofas Turk Otomobil Fabrikasi AS</v>
      </c>
      <c r="B287" t="str">
        <f>IFERROR(IF(0=LEN(ReferenceData!$B$287),"",ReferenceData!$B$287),"")</f>
        <v>TOASOTRY EO Equity</v>
      </c>
      <c r="C287" t="str">
        <f>IFERROR(IF(0=LEN(ReferenceData!$C$287),"",ReferenceData!$C$287),"")</f>
        <v>RR904</v>
      </c>
      <c r="D287" t="str">
        <f>IFERROR(IF(0=LEN(ReferenceData!$D$287),"",ReferenceData!$D$287),"")</f>
        <v>PX_TO_SALES_RATIO</v>
      </c>
      <c r="E287" t="str">
        <f>IFERROR(IF(0=LEN(ReferenceData!$E$287),"",ReferenceData!$E$287),"")</f>
        <v>Dynamic</v>
      </c>
      <c r="F287">
        <f ca="1">IFERROR(IF(0=LEN(ReferenceData!$F$287),"",ReferenceData!$F$287),"")</f>
        <v>0.523589792</v>
      </c>
      <c r="G287">
        <f ca="1">IFERROR(IF(0=LEN(ReferenceData!$G$287),"",ReferenceData!$G$287),"")</f>
        <v>0.44243337399999999</v>
      </c>
      <c r="H287">
        <f ca="1">IFERROR(IF(0=LEN(ReferenceData!$H$287),"",ReferenceData!$H$287),"")</f>
        <v>0.55203106800000001</v>
      </c>
      <c r="I287">
        <f ca="1">IFERROR(IF(0=LEN(ReferenceData!$I$287),"",ReferenceData!$I$287),"")</f>
        <v>0.63959619899999998</v>
      </c>
      <c r="J287">
        <f ca="1">IFERROR(IF(0=LEN(ReferenceData!$J$287),"",ReferenceData!$J$287),"")</f>
        <v>0.74153794500000003</v>
      </c>
      <c r="K287">
        <f ca="1">IFERROR(IF(0=LEN(ReferenceData!$K$287),"",ReferenceData!$K$287),"")</f>
        <v>0.92396477600000004</v>
      </c>
      <c r="L287">
        <f ca="1">IFERROR(IF(0=LEN(ReferenceData!$L$287),"",ReferenceData!$L$287),"")</f>
        <v>0.87998710800000002</v>
      </c>
      <c r="M287">
        <f ca="1">IFERROR(IF(0=LEN(ReferenceData!$M$287),"",ReferenceData!$M$287),"")</f>
        <v>0.85764459699999995</v>
      </c>
      <c r="N287">
        <f ca="1">IFERROR(IF(0=LEN(ReferenceData!$N$287),"",ReferenceData!$N$287),"")</f>
        <v>0.85072953399999995</v>
      </c>
      <c r="O287">
        <f ca="1">IFERROR(IF(0=LEN(ReferenceData!$O$287),"",ReferenceData!$O$287),"")</f>
        <v>0.84353050699999998</v>
      </c>
      <c r="P287">
        <f ca="1">IFERROR(IF(0=LEN(ReferenceData!$P$287),"",ReferenceData!$P$287),"")</f>
        <v>0.85606540799999997</v>
      </c>
      <c r="Q287">
        <f ca="1">IFERROR(IF(0=LEN(ReferenceData!$Q$287),"",ReferenceData!$Q$287),"")</f>
        <v>0.99166025099999999</v>
      </c>
      <c r="R287">
        <f ca="1">IFERROR(IF(0=LEN(ReferenceData!$R$287),"",ReferenceData!$R$287),"")</f>
        <v>1.0598622010000001</v>
      </c>
      <c r="S287">
        <f ca="1">IFERROR(IF(0=LEN(ReferenceData!$S$287),"",ReferenceData!$S$287),"")</f>
        <v>0.931795335</v>
      </c>
      <c r="T287">
        <f ca="1">IFERROR(IF(0=LEN(ReferenceData!$T$287),"",ReferenceData!$T$287),"")</f>
        <v>0.95095126799999996</v>
      </c>
      <c r="U287">
        <f ca="1">IFERROR(IF(0=LEN(ReferenceData!$U$287),"",ReferenceData!$U$287),"")</f>
        <v>1.0359469020000001</v>
      </c>
      <c r="V287">
        <f ca="1">IFERROR(IF(0=LEN(ReferenceData!$V$287),"",ReferenceData!$V$287),"")</f>
        <v>0.97372344600000005</v>
      </c>
      <c r="W287">
        <f ca="1">IFERROR(IF(0=LEN(ReferenceData!$W$287),"",ReferenceData!$W$287),"")</f>
        <v>1.0464129680000001</v>
      </c>
      <c r="X287">
        <f ca="1">IFERROR(IF(0=LEN(ReferenceData!$X$287),"",ReferenceData!$X$287),"")</f>
        <v>0.88345281899999994</v>
      </c>
      <c r="Y287">
        <f ca="1">IFERROR(IF(0=LEN(ReferenceData!$Y$287),"",ReferenceData!$Y$287),"")</f>
        <v>0.91090061099999997</v>
      </c>
      <c r="Z287">
        <f ca="1">IFERROR(IF(0=LEN(ReferenceData!$Z$287),"",ReferenceData!$Z$287),"")</f>
        <v>0.84642162899999995</v>
      </c>
      <c r="AA287">
        <f ca="1">IFERROR(IF(0=LEN(ReferenceData!$AA$287),"",ReferenceData!$AA$287),"")</f>
        <v>0.92850035099999995</v>
      </c>
      <c r="AB287">
        <f ca="1">IFERROR(IF(0=LEN(ReferenceData!$AB$287),"",ReferenceData!$AB$287),"")</f>
        <v>0.86585571299999997</v>
      </c>
      <c r="AC287">
        <f ca="1">IFERROR(IF(0=LEN(ReferenceData!$AC$287),"",ReferenceData!$AC$287),"")</f>
        <v>0.862517431</v>
      </c>
      <c r="AD287">
        <f ca="1">IFERROR(IF(0=LEN(ReferenceData!$AD$287),"",ReferenceData!$AD$287),"")</f>
        <v>0.92163163599999998</v>
      </c>
      <c r="AE287">
        <f ca="1">IFERROR(IF(0=LEN(ReferenceData!$AE$287),"",ReferenceData!$AE$287),"")</f>
        <v>0.75794741700000001</v>
      </c>
      <c r="AF287">
        <f ca="1">IFERROR(IF(0=LEN(ReferenceData!$AF$287),"",ReferenceData!$AF$287),"")</f>
        <v>0.65979540199999998</v>
      </c>
      <c r="AG287">
        <f ca="1">IFERROR(IF(0=LEN(ReferenceData!$AG$287),"",ReferenceData!$AG$287),"")</f>
        <v>0.55300582700000001</v>
      </c>
      <c r="AH287">
        <f ca="1">IFERROR(IF(0=LEN(ReferenceData!$AH$287),"",ReferenceData!$AH$287),"")</f>
        <v>0.53167773699999998</v>
      </c>
      <c r="AI287">
        <f ca="1">IFERROR(IF(0=LEN(ReferenceData!$AI$287),"",ReferenceData!$AI$287),"")</f>
        <v>0.39722932399999999</v>
      </c>
      <c r="AJ287">
        <f ca="1">IFERROR(IF(0=LEN(ReferenceData!$AJ$287),"",ReferenceData!$AJ$287),"")</f>
        <v>0.43598166799999999</v>
      </c>
      <c r="AK287">
        <f ca="1">IFERROR(IF(0=LEN(ReferenceData!$AK$287),"",ReferenceData!$AK$287),"")</f>
        <v>0.50833092199999996</v>
      </c>
      <c r="AL287">
        <f ca="1">IFERROR(IF(0=LEN(ReferenceData!$AL$287),"",ReferenceData!$AL$287),"")</f>
        <v>0.64265324899999998</v>
      </c>
      <c r="AM287">
        <f ca="1">IFERROR(IF(0=LEN(ReferenceData!$AM$287),"",ReferenceData!$AM$287),"")</f>
        <v>0.61292674899999999</v>
      </c>
      <c r="AN287">
        <f ca="1">IFERROR(IF(0=LEN(ReferenceData!$AN$287),"",ReferenceData!$AN$287),"")</f>
        <v>0.62249312000000001</v>
      </c>
      <c r="AO287">
        <f ca="1">IFERROR(IF(0=LEN(ReferenceData!$AO$287),"",ReferenceData!$AO$287),"")</f>
        <v>0.45183936099999999</v>
      </c>
      <c r="AP287">
        <f ca="1">IFERROR(IF(0=LEN(ReferenceData!$AP$287),"",ReferenceData!$AP$287),"")</f>
        <v>0.483972605</v>
      </c>
      <c r="AQ287">
        <f ca="1">IFERROR(IF(0=LEN(ReferenceData!$AQ$287),"",ReferenceData!$AQ$287),"")</f>
        <v>0.45305061000000002</v>
      </c>
      <c r="AR287">
        <f ca="1">IFERROR(IF(0=LEN(ReferenceData!$AR$287),"",ReferenceData!$AR$287),"")</f>
        <v>0.45267754100000002</v>
      </c>
      <c r="AS287">
        <f ca="1">IFERROR(IF(0=LEN(ReferenceData!$AS$287),"",ReferenceData!$AS$287),"")</f>
        <v>0.306702535</v>
      </c>
      <c r="AT287">
        <f ca="1">IFERROR(IF(0=LEN(ReferenceData!$AT$287),"",ReferenceData!$AT$287),"")</f>
        <v>0.166831855</v>
      </c>
      <c r="AU287">
        <f ca="1">IFERROR(IF(0=LEN(ReferenceData!$AU$287),"",ReferenceData!$AU$287),"")</f>
        <v>0.119840945</v>
      </c>
      <c r="AV287">
        <f ca="1">IFERROR(IF(0=LEN(ReferenceData!$AV$287),"",ReferenceData!$AV$287),"")</f>
        <v>0.26632289999999997</v>
      </c>
      <c r="AW287">
        <f ca="1">IFERROR(IF(0=LEN(ReferenceData!$AW$287),"",ReferenceData!$AW$287),"")</f>
        <v>0.37521869099999999</v>
      </c>
      <c r="AX287">
        <f ca="1">IFERROR(IF(0=LEN(ReferenceData!$AX$287),"",ReferenceData!$AX$287),"")</f>
        <v>0.51633540600000005</v>
      </c>
      <c r="AY287">
        <f ca="1">IFERROR(IF(0=LEN(ReferenceData!$AY$287),"",ReferenceData!$AY$287),"")</f>
        <v>0.86106813500000001</v>
      </c>
      <c r="AZ287">
        <f ca="1">IFERROR(IF(0=LEN(ReferenceData!$AZ$287),"",ReferenceData!$AZ$287),"")</f>
        <v>0.92305475999999997</v>
      </c>
      <c r="BA287">
        <f ca="1">IFERROR(IF(0=LEN(ReferenceData!$BA$287),"",ReferenceData!$BA$287),"")</f>
        <v>1.001029707</v>
      </c>
      <c r="BB287">
        <f ca="1">IFERROR(IF(0=LEN(ReferenceData!$BB$287),"",ReferenceData!$BB$287),"")</f>
        <v>0.83697469000000002</v>
      </c>
      <c r="BC287">
        <f ca="1">IFERROR(IF(0=LEN(ReferenceData!$BC$287),"",ReferenceData!$BC$287),"")</f>
        <v>0.80218455300000002</v>
      </c>
      <c r="BD287">
        <f ca="1">IFERROR(IF(0=LEN(ReferenceData!$BD$287),"",ReferenceData!$BD$287),"")</f>
        <v>0.69520641599999999</v>
      </c>
      <c r="BE287">
        <f ca="1">IFERROR(IF(0=LEN(ReferenceData!$BE$287),"",ReferenceData!$BE$287),"")</f>
        <v>0.74426510300000004</v>
      </c>
      <c r="BF287">
        <f ca="1">IFERROR(IF(0=LEN(ReferenceData!$BF$287),"",ReferenceData!$BF$287),"")</f>
        <v>0.83780428200000001</v>
      </c>
      <c r="BG287">
        <f ca="1">IFERROR(IF(0=LEN(ReferenceData!$BG$287),"",ReferenceData!$BG$287),"")</f>
        <v>0.57473895600000002</v>
      </c>
      <c r="BH287">
        <f ca="1">IFERROR(IF(0=LEN(ReferenceData!$BH$287),"",ReferenceData!$BH$287),"")</f>
        <v>0.53041388199999995</v>
      </c>
      <c r="BI287">
        <f ca="1">IFERROR(IF(0=LEN(ReferenceData!$BI$287),"",ReferenceData!$BI$287),"")</f>
        <v>0.43825963800000001</v>
      </c>
      <c r="BJ287">
        <f ca="1">IFERROR(IF(0=LEN(ReferenceData!$BJ$287),"",ReferenceData!$BJ$287),"")</f>
        <v>0.44329240800000003</v>
      </c>
      <c r="BK287">
        <f ca="1">IFERROR(IF(0=LEN(ReferenceData!$BK$287),"",ReferenceData!$BK$287),"")</f>
        <v>0.46721495800000001</v>
      </c>
      <c r="BL287">
        <f ca="1">IFERROR(IF(0=LEN(ReferenceData!$BL$287),"",ReferenceData!$BL$287),"")</f>
        <v>0.56668140499999997</v>
      </c>
      <c r="BM287">
        <f ca="1">IFERROR(IF(0=LEN(ReferenceData!$BM$287),"",ReferenceData!$BM$287),"")</f>
        <v>0.40863307300000001</v>
      </c>
    </row>
    <row r="288" spans="1:65" x14ac:dyDescent="0.25">
      <c r="A288" t="str">
        <f>IFERROR(IF(0=LEN(ReferenceData!$A$288),"",ReferenceData!$A$288),"")</f>
        <v xml:space="preserve">    Toyota Motor Corp</v>
      </c>
      <c r="B288" t="str">
        <f>IFERROR(IF(0=LEN(ReferenceData!$B$288),"",ReferenceData!$B$288),"")</f>
        <v>7203 JP Equity</v>
      </c>
      <c r="C288" t="str">
        <f>IFERROR(IF(0=LEN(ReferenceData!$C$288),"",ReferenceData!$C$288),"")</f>
        <v>RR904</v>
      </c>
      <c r="D288" t="str">
        <f>IFERROR(IF(0=LEN(ReferenceData!$D$288),"",ReferenceData!$D$288),"")</f>
        <v>PX_TO_SALES_RATIO</v>
      </c>
      <c r="E288" t="str">
        <f>IFERROR(IF(0=LEN(ReferenceData!$E$288),"",ReferenceData!$E$288),"")</f>
        <v>Dynamic</v>
      </c>
      <c r="F288">
        <f ca="1">IFERROR(IF(0=LEN(ReferenceData!$F$288),"",ReferenceData!$F$288),"")</f>
        <v>0.64666732599999999</v>
      </c>
      <c r="G288">
        <f ca="1">IFERROR(IF(0=LEN(ReferenceData!$G$288),"",ReferenceData!$G$288),"")</f>
        <v>0.61645102600000001</v>
      </c>
      <c r="H288">
        <f ca="1">IFERROR(IF(0=LEN(ReferenceData!$H$288),"",ReferenceData!$H$288),"")</f>
        <v>0.69196143200000004</v>
      </c>
      <c r="I288">
        <f ca="1">IFERROR(IF(0=LEN(ReferenceData!$I$288),"",ReferenceData!$I$288),"")</f>
        <v>0.70766894499999999</v>
      </c>
      <c r="J288">
        <f ca="1">IFERROR(IF(0=LEN(ReferenceData!$J$288),"",ReferenceData!$J$288),"")</f>
        <v>0.68454368899999996</v>
      </c>
      <c r="K288">
        <f ca="1">IFERROR(IF(0=LEN(ReferenceData!$K$288),"",ReferenceData!$K$288),"")</f>
        <v>0.73055448700000003</v>
      </c>
      <c r="L288">
        <f ca="1">IFERROR(IF(0=LEN(ReferenceData!$L$288),"",ReferenceData!$L$288),"")</f>
        <v>0.69542854099999996</v>
      </c>
      <c r="M288">
        <f ca="1">IFERROR(IF(0=LEN(ReferenceData!$M$288),"",ReferenceData!$M$288),"")</f>
        <v>0.62843861899999998</v>
      </c>
      <c r="N288">
        <f ca="1">IFERROR(IF(0=LEN(ReferenceData!$N$288),"",ReferenceData!$N$288),"")</f>
        <v>0.658326666</v>
      </c>
      <c r="O288">
        <f ca="1">IFERROR(IF(0=LEN(ReferenceData!$O$288),"",ReferenceData!$O$288),"")</f>
        <v>0.76774778300000002</v>
      </c>
      <c r="P288">
        <f ca="1">IFERROR(IF(0=LEN(ReferenceData!$P$288),"",ReferenceData!$P$288),"")</f>
        <v>0.64445121400000005</v>
      </c>
      <c r="Q288">
        <f ca="1">IFERROR(IF(0=LEN(ReferenceData!$Q$288),"",ReferenceData!$Q$288),"")</f>
        <v>0.556429693</v>
      </c>
      <c r="R288">
        <f ca="1">IFERROR(IF(0=LEN(ReferenceData!$R$288),"",ReferenceData!$R$288),"")</f>
        <v>0.65191273000000005</v>
      </c>
      <c r="S288">
        <f ca="1">IFERROR(IF(0=LEN(ReferenceData!$S$288),"",ReferenceData!$S$288),"")</f>
        <v>0.82163529099999999</v>
      </c>
      <c r="T288">
        <f ca="1">IFERROR(IF(0=LEN(ReferenceData!$T$288),"",ReferenceData!$T$288),"")</f>
        <v>0.77337188999999995</v>
      </c>
      <c r="U288">
        <f ca="1">IFERROR(IF(0=LEN(ReferenceData!$U$288),"",ReferenceData!$U$288),"")</f>
        <v>0.92932386</v>
      </c>
      <c r="V288">
        <f ca="1">IFERROR(IF(0=LEN(ReferenceData!$V$288),"",ReferenceData!$V$288),"")</f>
        <v>0.97222760399999997</v>
      </c>
      <c r="W288">
        <f ca="1">IFERROR(IF(0=LEN(ReferenceData!$W$288),"",ReferenceData!$W$288),"")</f>
        <v>0.89631353800000002</v>
      </c>
      <c r="X288">
        <f ca="1">IFERROR(IF(0=LEN(ReferenceData!$X$288),"",ReferenceData!$X$288),"")</f>
        <v>0.78422329700000004</v>
      </c>
      <c r="Y288">
        <f ca="1">IFERROR(IF(0=LEN(ReferenceData!$Y$288),"",ReferenceData!$Y$288),"")</f>
        <v>0.74659648199999995</v>
      </c>
      <c r="Z288">
        <f ca="1">IFERROR(IF(0=LEN(ReferenceData!$Z$288),"",ReferenceData!$Z$288),"")</f>
        <v>0.718614894</v>
      </c>
      <c r="AA288">
        <f ca="1">IFERROR(IF(0=LEN(ReferenceData!$AA$288),"",ReferenceData!$AA$288),"")</f>
        <v>0.814961712</v>
      </c>
      <c r="AB288">
        <f ca="1">IFERROR(IF(0=LEN(ReferenceData!$AB$288),"",ReferenceData!$AB$288),"")</f>
        <v>0.83830817300000005</v>
      </c>
      <c r="AC288">
        <f ca="1">IFERROR(IF(0=LEN(ReferenceData!$AC$288),"",ReferenceData!$AC$288),"")</f>
        <v>0.83145657100000003</v>
      </c>
      <c r="AD288">
        <f ca="1">IFERROR(IF(0=LEN(ReferenceData!$AD$288),"",ReferenceData!$AD$288),"")</f>
        <v>0.69756483599999997</v>
      </c>
      <c r="AE288">
        <f ca="1">IFERROR(IF(0=LEN(ReferenceData!$AE$288),"",ReferenceData!$AE$288),"")</f>
        <v>0.57835393099999999</v>
      </c>
      <c r="AF288">
        <f ca="1">IFERROR(IF(0=LEN(ReferenceData!$AF$288),"",ReferenceData!$AF$288),"")</f>
        <v>0.44726499199999997</v>
      </c>
      <c r="AG288">
        <f ca="1">IFERROR(IF(0=LEN(ReferenceData!$AG$288),"",ReferenceData!$AG$288),"")</f>
        <v>0.48713403300000002</v>
      </c>
      <c r="AH288">
        <f ca="1">IFERROR(IF(0=LEN(ReferenceData!$AH$288),"",ReferenceData!$AH$288),"")</f>
        <v>0.60420153300000001</v>
      </c>
      <c r="AI288">
        <f ca="1">IFERROR(IF(0=LEN(ReferenceData!$AI$288),"",ReferenceData!$AI$288),"")</f>
        <v>0.458994181</v>
      </c>
      <c r="AJ288">
        <f ca="1">IFERROR(IF(0=LEN(ReferenceData!$AJ$288),"",ReferenceData!$AJ$288),"")</f>
        <v>0.48634229400000001</v>
      </c>
      <c r="AK288">
        <f ca="1">IFERROR(IF(0=LEN(ReferenceData!$AK$288),"",ReferenceData!$AK$288),"")</f>
        <v>0.58027969199999996</v>
      </c>
      <c r="AL288">
        <f ca="1">IFERROR(IF(0=LEN(ReferenceData!$AL$288),"",ReferenceData!$AL$288),"")</f>
        <v>0.553089414</v>
      </c>
      <c r="AM288">
        <f ca="1">IFERROR(IF(0=LEN(ReferenceData!$AM$288),"",ReferenceData!$AM$288),"")</f>
        <v>0.51435139200000002</v>
      </c>
      <c r="AN288">
        <f ca="1">IFERROR(IF(0=LEN(ReferenceData!$AN$288),"",ReferenceData!$AN$288),"")</f>
        <v>0.46424024699999999</v>
      </c>
      <c r="AO288">
        <f ca="1">IFERROR(IF(0=LEN(ReferenceData!$AO$288),"",ReferenceData!$AO$288),"")</f>
        <v>0.48326512199999999</v>
      </c>
      <c r="AP288">
        <f ca="1">IFERROR(IF(0=LEN(ReferenceData!$AP$288),"",ReferenceData!$AP$288),"")</f>
        <v>0.61971874000000005</v>
      </c>
      <c r="AQ288">
        <f ca="1">IFERROR(IF(0=LEN(ReferenceData!$AQ$288),"",ReferenceData!$AQ$288),"")</f>
        <v>0.70714086399999998</v>
      </c>
      <c r="AR288">
        <f ca="1">IFERROR(IF(0=LEN(ReferenceData!$AR$288),"",ReferenceData!$AR$288),"")</f>
        <v>0.66973680300000005</v>
      </c>
      <c r="AS288">
        <f ca="1">IFERROR(IF(0=LEN(ReferenceData!$AS$288),"",ReferenceData!$AS$288),"")</f>
        <v>0.63437543900000004</v>
      </c>
      <c r="AT288">
        <f ca="1">IFERROR(IF(0=LEN(ReferenceData!$AT$288),"",ReferenceData!$AT$288),"")</f>
        <v>0.477396349</v>
      </c>
      <c r="AU288">
        <f ca="1">IFERROR(IF(0=LEN(ReferenceData!$AU$288),"",ReferenceData!$AU$288),"")</f>
        <v>0.38128094800000001</v>
      </c>
      <c r="AV288">
        <f ca="1">IFERROR(IF(0=LEN(ReferenceData!$AV$288),"",ReferenceData!$AV$288),"")</f>
        <v>0.54274672300000004</v>
      </c>
      <c r="AW288">
        <f ca="1">IFERROR(IF(0=LEN(ReferenceData!$AW$288),"",ReferenceData!$AW$288),"")</f>
        <v>0.61068686400000005</v>
      </c>
      <c r="AX288">
        <f ca="1">IFERROR(IF(0=LEN(ReferenceData!$AX$288),"",ReferenceData!$AX$288),"")</f>
        <v>0.60070198200000002</v>
      </c>
      <c r="AY288">
        <f ca="1">IFERROR(IF(0=LEN(ReferenceData!$AY$288),"",ReferenceData!$AY$288),"")</f>
        <v>0.738761471</v>
      </c>
      <c r="AZ288">
        <f ca="1">IFERROR(IF(0=LEN(ReferenceData!$AZ$288),"",ReferenceData!$AZ$288),"")</f>
        <v>0.84952661200000001</v>
      </c>
      <c r="BA288">
        <f ca="1">IFERROR(IF(0=LEN(ReferenceData!$BA$288),"",ReferenceData!$BA$288),"")</f>
        <v>1.005372041</v>
      </c>
      <c r="BB288">
        <f ca="1">IFERROR(IF(0=LEN(ReferenceData!$BB$288),"",ReferenceData!$BB$288),"")</f>
        <v>1.0115868459999999</v>
      </c>
      <c r="BC288">
        <f ca="1">IFERROR(IF(0=LEN(ReferenceData!$BC$288),"",ReferenceData!$BC$288),"")</f>
        <v>1.0978451650000001</v>
      </c>
      <c r="BD288">
        <f ca="1">IFERROR(IF(0=LEN(ReferenceData!$BD$288),"",ReferenceData!$BD$288),"")</f>
        <v>0.92088351300000004</v>
      </c>
      <c r="BE288">
        <f ca="1">IFERROR(IF(0=LEN(ReferenceData!$BE$288),"",ReferenceData!$BE$288),"")</f>
        <v>0.89591724100000003</v>
      </c>
      <c r="BF288">
        <f ca="1">IFERROR(IF(0=LEN(ReferenceData!$BF$288),"",ReferenceData!$BF$288),"")</f>
        <v>0.99470334299999996</v>
      </c>
      <c r="BG288">
        <f ca="1">IFERROR(IF(0=LEN(ReferenceData!$BG$288),"",ReferenceData!$BG$288),"")</f>
        <v>1.000260516</v>
      </c>
      <c r="BH288">
        <f ca="1">IFERROR(IF(0=LEN(ReferenceData!$BH$288),"",ReferenceData!$BH$288),"")</f>
        <v>0.88227784399999998</v>
      </c>
      <c r="BI288">
        <f ca="1">IFERROR(IF(0=LEN(ReferenceData!$BI$288),"",ReferenceData!$BI$288),"")</f>
        <v>0.69247724099999997</v>
      </c>
      <c r="BJ288">
        <f ca="1">IFERROR(IF(0=LEN(ReferenceData!$BJ$288),"",ReferenceData!$BJ$288),"")</f>
        <v>0.71719840400000001</v>
      </c>
      <c r="BK288" t="str">
        <f ca="1">IFERROR(IF(0=LEN(ReferenceData!$BK$288),"",ReferenceData!$BK$288),"")</f>
        <v/>
      </c>
      <c r="BL288" t="str">
        <f ca="1">IFERROR(IF(0=LEN(ReferenceData!$BL$288),"",ReferenceData!$BL$288),"")</f>
        <v/>
      </c>
      <c r="BM288" t="str">
        <f ca="1">IFERROR(IF(0=LEN(ReferenceData!$BM$288),"",ReferenceData!$BM$288),"")</f>
        <v/>
      </c>
    </row>
    <row r="289" spans="1:65" x14ac:dyDescent="0.25">
      <c r="A289" t="str">
        <f>IFERROR(IF(0=LEN(ReferenceData!$A$289),"",ReferenceData!$A$289),"")</f>
        <v xml:space="preserve">    Volkswagen AG</v>
      </c>
      <c r="B289" t="str">
        <f>IFERROR(IF(0=LEN(ReferenceData!$B$289),"",ReferenceData!$B$289),"")</f>
        <v>VOW GR Equity</v>
      </c>
      <c r="C289" t="str">
        <f>IFERROR(IF(0=LEN(ReferenceData!$C$289),"",ReferenceData!$C$289),"")</f>
        <v>RR904</v>
      </c>
      <c r="D289" t="str">
        <f>IFERROR(IF(0=LEN(ReferenceData!$D$289),"",ReferenceData!$D$289),"")</f>
        <v>PX_TO_SALES_RATIO</v>
      </c>
      <c r="E289" t="str">
        <f>IFERROR(IF(0=LEN(ReferenceData!$E$289),"",ReferenceData!$E$289),"")</f>
        <v>Dynamic</v>
      </c>
      <c r="F289">
        <f ca="1">IFERROR(IF(0=LEN(ReferenceData!$F$289),"",ReferenceData!$F$289),"")</f>
        <v>0.32276145000000001</v>
      </c>
      <c r="G289">
        <f ca="1">IFERROR(IF(0=LEN(ReferenceData!$G$289),"",ReferenceData!$G$289),"")</f>
        <v>0.29595331400000002</v>
      </c>
      <c r="H289">
        <f ca="1">IFERROR(IF(0=LEN(ReferenceData!$H$289),"",ReferenceData!$H$289),"")</f>
        <v>0.31930309400000001</v>
      </c>
      <c r="I289">
        <f ca="1">IFERROR(IF(0=LEN(ReferenceData!$I$289),"",ReferenceData!$I$289),"")</f>
        <v>0.30324764999999998</v>
      </c>
      <c r="J289">
        <f ca="1">IFERROR(IF(0=LEN(ReferenceData!$J$289),"",ReferenceData!$J$289),"")</f>
        <v>0.352115964</v>
      </c>
      <c r="K289">
        <f ca="1">IFERROR(IF(0=LEN(ReferenceData!$K$289),"",ReferenceData!$K$289),"")</f>
        <v>0.36787617299999997</v>
      </c>
      <c r="L289">
        <f ca="1">IFERROR(IF(0=LEN(ReferenceData!$L$289),"",ReferenceData!$L$289),"")</f>
        <v>0.315128197</v>
      </c>
      <c r="M289">
        <f ca="1">IFERROR(IF(0=LEN(ReferenceData!$M$289),"",ReferenceData!$M$289),"")</f>
        <v>0.30379226399999998</v>
      </c>
      <c r="N289">
        <f ca="1">IFERROR(IF(0=LEN(ReferenceData!$N$289),"",ReferenceData!$N$289),"")</f>
        <v>0.31461056300000001</v>
      </c>
      <c r="O289">
        <f ca="1">IFERROR(IF(0=LEN(ReferenceData!$O$289),"",ReferenceData!$O$289),"")</f>
        <v>0.315520034</v>
      </c>
      <c r="P289">
        <f ca="1">IFERROR(IF(0=LEN(ReferenceData!$P$289),"",ReferenceData!$P$289),"")</f>
        <v>0.30250354099999999</v>
      </c>
      <c r="Q289">
        <f ca="1">IFERROR(IF(0=LEN(ReferenceData!$Q$289),"",ReferenceData!$Q$289),"")</f>
        <v>0.28803401099999998</v>
      </c>
      <c r="R289">
        <f ca="1">IFERROR(IF(0=LEN(ReferenceData!$R$289),"",ReferenceData!$R$289),"")</f>
        <v>0.30202706400000001</v>
      </c>
      <c r="S289">
        <f ca="1">IFERROR(IF(0=LEN(ReferenceData!$S$289),"",ReferenceData!$S$289),"")</f>
        <v>0.33444442200000002</v>
      </c>
      <c r="T289">
        <f ca="1">IFERROR(IF(0=LEN(ReferenceData!$T$289),"",ReferenceData!$T$289),"")</f>
        <v>0.24905776900000001</v>
      </c>
      <c r="U289">
        <f ca="1">IFERROR(IF(0=LEN(ReferenceData!$U$289),"",ReferenceData!$U$289),"")</f>
        <v>0.48977093599999999</v>
      </c>
      <c r="V289">
        <f ca="1">IFERROR(IF(0=LEN(ReferenceData!$V$289),"",ReferenceData!$V$289),"")</f>
        <v>0.57533320300000002</v>
      </c>
      <c r="W289">
        <f ca="1">IFERROR(IF(0=LEN(ReferenceData!$W$289),"",ReferenceData!$W$289),"")</f>
        <v>0.44136850100000002</v>
      </c>
      <c r="X289">
        <f ca="1">IFERROR(IF(0=LEN(ReferenceData!$X$289),"",ReferenceData!$X$289),"")</f>
        <v>0.40518116500000001</v>
      </c>
      <c r="Y289">
        <f ca="1">IFERROR(IF(0=LEN(ReferenceData!$Y$289),"",ReferenceData!$Y$289),"")</f>
        <v>0.46863991999999999</v>
      </c>
      <c r="Z289">
        <f ca="1">IFERROR(IF(0=LEN(ReferenceData!$Z$289),"",ReferenceData!$Z$289),"")</f>
        <v>0.45309596699999999</v>
      </c>
      <c r="AA289">
        <f ca="1">IFERROR(IF(0=LEN(ReferenceData!$AA$289),"",ReferenceData!$AA$289),"")</f>
        <v>0.48581908299999998</v>
      </c>
      <c r="AB289">
        <f ca="1">IFERROR(IF(0=LEN(ReferenceData!$AB$289),"",ReferenceData!$AB$289),"")</f>
        <v>0.41679941399999998</v>
      </c>
      <c r="AC289">
        <f ca="1">IFERROR(IF(0=LEN(ReferenceData!$AC$289),"",ReferenceData!$AC$289),"")</f>
        <v>0.36414860100000002</v>
      </c>
      <c r="AD289">
        <f ca="1">IFERROR(IF(0=LEN(ReferenceData!$AD$289),"",ReferenceData!$AD$289),"")</f>
        <v>0.36015932099999998</v>
      </c>
      <c r="AE289">
        <f ca="1">IFERROR(IF(0=LEN(ReferenceData!$AE$289),"",ReferenceData!$AE$289),"")</f>
        <v>0.39497647800000002</v>
      </c>
      <c r="AF289">
        <f ca="1">IFERROR(IF(0=LEN(ReferenceData!$AF$289),"",ReferenceData!$AF$289),"")</f>
        <v>0.32398051</v>
      </c>
      <c r="AG289">
        <f ca="1">IFERROR(IF(0=LEN(ReferenceData!$AG$289),"",ReferenceData!$AG$289),"")</f>
        <v>0.30980561200000001</v>
      </c>
      <c r="AH289">
        <f ca="1">IFERROR(IF(0=LEN(ReferenceData!$AH$289),"",ReferenceData!$AH$289),"")</f>
        <v>0.33289520099999997</v>
      </c>
      <c r="AI289">
        <f ca="1">IFERROR(IF(0=LEN(ReferenceData!$AI$289),"",ReferenceData!$AI$289),"")</f>
        <v>0.30258652200000002</v>
      </c>
      <c r="AJ289">
        <f ca="1">IFERROR(IF(0=LEN(ReferenceData!$AJ$289),"",ReferenceData!$AJ$289),"")</f>
        <v>0.29009025300000002</v>
      </c>
      <c r="AK289">
        <f ca="1">IFERROR(IF(0=LEN(ReferenceData!$AK$289),"",ReferenceData!$AK$289),"")</f>
        <v>0.41439883999999999</v>
      </c>
      <c r="AL289">
        <f ca="1">IFERROR(IF(0=LEN(ReferenceData!$AL$289),"",ReferenceData!$AL$289),"")</f>
        <v>0.37145436399999998</v>
      </c>
      <c r="AM289">
        <f ca="1">IFERROR(IF(0=LEN(ReferenceData!$AM$289),"",ReferenceData!$AM$289),"")</f>
        <v>0.37546012699999998</v>
      </c>
      <c r="AN289">
        <f ca="1">IFERROR(IF(0=LEN(ReferenceData!$AN$289),"",ReferenceData!$AN$289),"")</f>
        <v>0.29077320800000001</v>
      </c>
      <c r="AO289">
        <f ca="1">IFERROR(IF(0=LEN(ReferenceData!$AO$289),"",ReferenceData!$AO$289),"")</f>
        <v>0.25194427600000002</v>
      </c>
      <c r="AP289">
        <f ca="1">IFERROR(IF(0=LEN(ReferenceData!$AP$289),"",ReferenceData!$AP$289),"")</f>
        <v>0.26255352199999998</v>
      </c>
      <c r="AQ289">
        <f ca="1">IFERROR(IF(0=LEN(ReferenceData!$AQ$289),"",ReferenceData!$AQ$289),"")</f>
        <v>0.29296278399999998</v>
      </c>
      <c r="AR289">
        <f ca="1">IFERROR(IF(0=LEN(ReferenceData!$AR$289),"",ReferenceData!$AR$289),"")</f>
        <v>0.42694326300000002</v>
      </c>
      <c r="AS289">
        <f ca="1">IFERROR(IF(0=LEN(ReferenceData!$AS$289),"",ReferenceData!$AS$289),"")</f>
        <v>0.88711939699999998</v>
      </c>
      <c r="AT289">
        <f ca="1">IFERROR(IF(0=LEN(ReferenceData!$AT$289),"",ReferenceData!$AT$289),"")</f>
        <v>0.82561632200000001</v>
      </c>
      <c r="AU289">
        <f ca="1">IFERROR(IF(0=LEN(ReferenceData!$AU$289),"",ReferenceData!$AU$289),"")</f>
        <v>0.87307164999999998</v>
      </c>
      <c r="AV289">
        <f ca="1">IFERROR(IF(0=LEN(ReferenceData!$AV$289),"",ReferenceData!$AV$289),"")</f>
        <v>0.97065122699999995</v>
      </c>
      <c r="AW289">
        <f ca="1">IFERROR(IF(0=LEN(ReferenceData!$AW$289),"",ReferenceData!$AW$289),"")</f>
        <v>0.65164670099999999</v>
      </c>
      <c r="AX289">
        <f ca="1">IFERROR(IF(0=LEN(ReferenceData!$AX$289),"",ReferenceData!$AX$289),"")</f>
        <v>0.66152639300000005</v>
      </c>
      <c r="AY289">
        <f ca="1">IFERROR(IF(0=LEN(ReferenceData!$AY$289),"",ReferenceData!$AY$289),"")</f>
        <v>0.56215188599999999</v>
      </c>
      <c r="AZ289">
        <f ca="1">IFERROR(IF(0=LEN(ReferenceData!$AZ$289),"",ReferenceData!$AZ$289),"")</f>
        <v>0.57299814400000004</v>
      </c>
      <c r="BA289">
        <f ca="1">IFERROR(IF(0=LEN(ReferenceData!$BA$289),"",ReferenceData!$BA$289),"")</f>
        <v>0.42697872100000001</v>
      </c>
      <c r="BB289">
        <f ca="1">IFERROR(IF(0=LEN(ReferenceData!$BB$289),"",ReferenceData!$BB$289),"")</f>
        <v>0.413029268</v>
      </c>
      <c r="BC289">
        <f ca="1">IFERROR(IF(0=LEN(ReferenceData!$BC$289),"",ReferenceData!$BC$289),"")</f>
        <v>0.318269939</v>
      </c>
      <c r="BD289">
        <f ca="1">IFERROR(IF(0=LEN(ReferenceData!$BD$289),"",ReferenceData!$BD$289),"")</f>
        <v>0.25502196100000002</v>
      </c>
      <c r="BE289">
        <f ca="1">IFERROR(IF(0=LEN(ReferenceData!$BE$289),"",ReferenceData!$BE$289),"")</f>
        <v>0.21023299500000001</v>
      </c>
      <c r="BF289">
        <f ca="1">IFERROR(IF(0=LEN(ReferenceData!$BF$289),"",ReferenceData!$BF$289),"")</f>
        <v>0.24177680400000001</v>
      </c>
      <c r="BG289">
        <f ca="1">IFERROR(IF(0=LEN(ReferenceData!$BG$289),"",ReferenceData!$BG$289),"")</f>
        <v>0.182334317</v>
      </c>
      <c r="BH289">
        <f ca="1">IFERROR(IF(0=LEN(ReferenceData!$BH$289),"",ReferenceData!$BH$289),"")</f>
        <v>0.215318751</v>
      </c>
      <c r="BI289">
        <f ca="1">IFERROR(IF(0=LEN(ReferenceData!$BI$289),"",ReferenceData!$BI$289),"")</f>
        <v>0.16220474800000001</v>
      </c>
      <c r="BJ289">
        <f ca="1">IFERROR(IF(0=LEN(ReferenceData!$BJ$289),"",ReferenceData!$BJ$289),"")</f>
        <v>0.15960655000000001</v>
      </c>
      <c r="BK289">
        <f ca="1">IFERROR(IF(0=LEN(ReferenceData!$BK$289),"",ReferenceData!$BK$289),"")</f>
        <v>0.143877005</v>
      </c>
      <c r="BL289">
        <f ca="1">IFERROR(IF(0=LEN(ReferenceData!$BL$289),"",ReferenceData!$BL$289),"")</f>
        <v>0.13100242200000001</v>
      </c>
      <c r="BM289">
        <f ca="1">IFERROR(IF(0=LEN(ReferenceData!$BM$289),"",ReferenceData!$BM$289),"")</f>
        <v>0.14676874100000001</v>
      </c>
    </row>
    <row r="290" spans="1:65" x14ac:dyDescent="0.25">
      <c r="A290" t="str">
        <f>IFERROR(IF(0=LEN(ReferenceData!$A$290),"",ReferenceData!$A$290),"")</f>
        <v xml:space="preserve">    Yulon Motor Co Ltd</v>
      </c>
      <c r="B290" t="str">
        <f>IFERROR(IF(0=LEN(ReferenceData!$B$290),"",ReferenceData!$B$290),"")</f>
        <v>2201 TT Equity</v>
      </c>
      <c r="C290" t="str">
        <f>IFERROR(IF(0=LEN(ReferenceData!$C$290),"",ReferenceData!$C$290),"")</f>
        <v>RR904</v>
      </c>
      <c r="D290" t="str">
        <f>IFERROR(IF(0=LEN(ReferenceData!$D$290),"",ReferenceData!$D$290),"")</f>
        <v>PX_TO_SALES_RATIO</v>
      </c>
      <c r="E290" t="str">
        <f>IFERROR(IF(0=LEN(ReferenceData!$E$290),"",ReferenceData!$E$290),"")</f>
        <v>Dynamic</v>
      </c>
      <c r="F290">
        <f ca="1">IFERROR(IF(0=LEN(ReferenceData!$F$290),"",ReferenceData!$F$290),"")</f>
        <v>0.31172935600000001</v>
      </c>
      <c r="G290">
        <f ca="1">IFERROR(IF(0=LEN(ReferenceData!$G$290),"",ReferenceData!$G$290),"")</f>
        <v>0.299391782</v>
      </c>
      <c r="H290">
        <f ca="1">IFERROR(IF(0=LEN(ReferenceData!$H$290),"",ReferenceData!$H$290),"")</f>
        <v>0.356967125</v>
      </c>
      <c r="I290">
        <f ca="1">IFERROR(IF(0=LEN(ReferenceData!$I$290),"",ReferenceData!$I$290),"")</f>
        <v>0.342639631</v>
      </c>
      <c r="J290">
        <f ca="1">IFERROR(IF(0=LEN(ReferenceData!$J$290),"",ReferenceData!$J$290),"")</f>
        <v>0.36174231600000001</v>
      </c>
      <c r="K290">
        <f ca="1">IFERROR(IF(0=LEN(ReferenceData!$K$290),"",ReferenceData!$K$290),"")</f>
        <v>0.38170526399999999</v>
      </c>
      <c r="L290">
        <f ca="1">IFERROR(IF(0=LEN(ReferenceData!$L$290),"",ReferenceData!$L$290),"")</f>
        <v>0.38973428900000001</v>
      </c>
      <c r="M290">
        <f ca="1">IFERROR(IF(0=LEN(ReferenceData!$M$290),"",ReferenceData!$M$290),"")</f>
        <v>0.39277051200000002</v>
      </c>
      <c r="N290">
        <f ca="1">IFERROR(IF(0=LEN(ReferenceData!$N$290),"",ReferenceData!$N$290),"")</f>
        <v>0.391242119</v>
      </c>
      <c r="O290">
        <f ca="1">IFERROR(IF(0=LEN(ReferenceData!$O$290),"",ReferenceData!$O$290),"")</f>
        <v>0.35544710099999999</v>
      </c>
      <c r="P290">
        <f ca="1">IFERROR(IF(0=LEN(ReferenceData!$P$290),"",ReferenceData!$P$290),"")</f>
        <v>0.350183089</v>
      </c>
      <c r="Q290">
        <f ca="1">IFERROR(IF(0=LEN(ReferenceData!$Q$290),"",ReferenceData!$Q$290),"")</f>
        <v>0.33595531200000001</v>
      </c>
      <c r="R290">
        <f ca="1">IFERROR(IF(0=LEN(ReferenceData!$R$290),"",ReferenceData!$R$290),"")</f>
        <v>0.38016295300000003</v>
      </c>
      <c r="S290">
        <f ca="1">IFERROR(IF(0=LEN(ReferenceData!$S$290),"",ReferenceData!$S$290),"")</f>
        <v>0.36078225000000003</v>
      </c>
      <c r="T290">
        <f ca="1">IFERROR(IF(0=LEN(ReferenceData!$T$290),"",ReferenceData!$T$290),"")</f>
        <v>0.35099962499999998</v>
      </c>
      <c r="U290">
        <f ca="1">IFERROR(IF(0=LEN(ReferenceData!$U$290),"",ReferenceData!$U$290),"")</f>
        <v>0.415085223</v>
      </c>
      <c r="V290">
        <f ca="1">IFERROR(IF(0=LEN(ReferenceData!$V$290),"",ReferenceData!$V$290),"")</f>
        <v>0.49571845199999998</v>
      </c>
      <c r="W290">
        <f ca="1">IFERROR(IF(0=LEN(ReferenceData!$W$290),"",ReferenceData!$W$290),"")</f>
        <v>0.56396844800000001</v>
      </c>
      <c r="X290">
        <f ca="1">IFERROR(IF(0=LEN(ReferenceData!$X$290),"",ReferenceData!$X$290),"")</f>
        <v>0.57724808100000002</v>
      </c>
      <c r="Y290">
        <f ca="1">IFERROR(IF(0=LEN(ReferenceData!$Y$290),"",ReferenceData!$Y$290),"")</f>
        <v>0.67014707299999998</v>
      </c>
      <c r="Z290">
        <f ca="1">IFERROR(IF(0=LEN(ReferenceData!$Z$290),"",ReferenceData!$Z$290),"")</f>
        <v>0.744621019</v>
      </c>
      <c r="AA290">
        <f ca="1">IFERROR(IF(0=LEN(ReferenceData!$AA$290),"",ReferenceData!$AA$290),"")</f>
        <v>0.85084672299999997</v>
      </c>
      <c r="AB290">
        <f ca="1">IFERROR(IF(0=LEN(ReferenceData!$AB$290),"",ReferenceData!$AB$290),"")</f>
        <v>0.87285193800000005</v>
      </c>
      <c r="AC290">
        <f ca="1">IFERROR(IF(0=LEN(ReferenceData!$AC$290),"",ReferenceData!$AC$290),"")</f>
        <v>0.88358008099999996</v>
      </c>
      <c r="AD290">
        <f ca="1">IFERROR(IF(0=LEN(ReferenceData!$AD$290),"",ReferenceData!$AD$290),"")</f>
        <v>1.014281805</v>
      </c>
      <c r="AE290">
        <f ca="1">IFERROR(IF(0=LEN(ReferenceData!$AE$290),"",ReferenceData!$AE$290),"")</f>
        <v>1.0015105399999999</v>
      </c>
      <c r="AF290">
        <f ca="1">IFERROR(IF(0=LEN(ReferenceData!$AF$290),"",ReferenceData!$AF$290),"")</f>
        <v>1.036921711</v>
      </c>
      <c r="AG290">
        <f ca="1">IFERROR(IF(0=LEN(ReferenceData!$AG$290),"",ReferenceData!$AG$290),"")</f>
        <v>0.96551538699999995</v>
      </c>
      <c r="AH290">
        <f ca="1">IFERROR(IF(0=LEN(ReferenceData!$AH$290),"",ReferenceData!$AH$290),"")</f>
        <v>1.087286873</v>
      </c>
      <c r="AI290">
        <f ca="1">IFERROR(IF(0=LEN(ReferenceData!$AI$290),"",ReferenceData!$AI$290),"")</f>
        <v>1.0599637099999999</v>
      </c>
      <c r="AJ290">
        <f ca="1">IFERROR(IF(0=LEN(ReferenceData!$AJ$290),"",ReferenceData!$AJ$290),"")</f>
        <v>1.252952125</v>
      </c>
      <c r="AK290">
        <f ca="1">IFERROR(IF(0=LEN(ReferenceData!$AK$290),"",ReferenceData!$AK$290),"")</f>
        <v>1.523226277</v>
      </c>
      <c r="AL290">
        <f ca="1">IFERROR(IF(0=LEN(ReferenceData!$AL$290),"",ReferenceData!$AL$290),"")</f>
        <v>1.2008489579999999</v>
      </c>
      <c r="AM290">
        <f ca="1">IFERROR(IF(0=LEN(ReferenceData!$AM$290),"",ReferenceData!$AM$290),"")</f>
        <v>1.4931393829999999</v>
      </c>
      <c r="AN290">
        <f ca="1">IFERROR(IF(0=LEN(ReferenceData!$AN$290),"",ReferenceData!$AN$290),"")</f>
        <v>1.36045511</v>
      </c>
      <c r="AO290">
        <f ca="1">IFERROR(IF(0=LEN(ReferenceData!$AO$290),"",ReferenceData!$AO$290),"")</f>
        <v>0.84476482900000005</v>
      </c>
      <c r="AP290">
        <f ca="1">IFERROR(IF(0=LEN(ReferenceData!$AP$290),"",ReferenceData!$AP$290),"")</f>
        <v>1.0001910700000001</v>
      </c>
      <c r="AQ290">
        <f ca="1">IFERROR(IF(0=LEN(ReferenceData!$AQ$290),"",ReferenceData!$AQ$290),"")</f>
        <v>1.2042161199999999</v>
      </c>
      <c r="AR290">
        <f ca="1">IFERROR(IF(0=LEN(ReferenceData!$AR$290),"",ReferenceData!$AR$290),"")</f>
        <v>1.4600838629999999</v>
      </c>
      <c r="AS290">
        <f ca="1">IFERROR(IF(0=LEN(ReferenceData!$AS$290),"",ReferenceData!$AS$290),"")</f>
        <v>1.336880727</v>
      </c>
      <c r="AT290">
        <f ca="1">IFERROR(IF(0=LEN(ReferenceData!$AT$290),"",ReferenceData!$AT$290),"")</f>
        <v>0.837009067</v>
      </c>
      <c r="AU290">
        <f ca="1">IFERROR(IF(0=LEN(ReferenceData!$AU$290),"",ReferenceData!$AU$290),"")</f>
        <v>0.60415296900000004</v>
      </c>
      <c r="AV290" t="str">
        <f ca="1">IFERROR(IF(0=LEN(ReferenceData!$AV$290),"",ReferenceData!$AV$290),"")</f>
        <v/>
      </c>
      <c r="AW290" t="str">
        <f ca="1">IFERROR(IF(0=LEN(ReferenceData!$AW$290),"",ReferenceData!$AW$290),"")</f>
        <v/>
      </c>
      <c r="AX290" t="str">
        <f ca="1">IFERROR(IF(0=LEN(ReferenceData!$AX$290),"",ReferenceData!$AX$290),"")</f>
        <v/>
      </c>
      <c r="AY290" t="str">
        <f ca="1">IFERROR(IF(0=LEN(ReferenceData!$AY$290),"",ReferenceData!$AY$290),"")</f>
        <v/>
      </c>
      <c r="AZ290" t="str">
        <f ca="1">IFERROR(IF(0=LEN(ReferenceData!$AZ$290),"",ReferenceData!$AZ$290),"")</f>
        <v/>
      </c>
      <c r="BA290" t="str">
        <f ca="1">IFERROR(IF(0=LEN(ReferenceData!$BA$290),"",ReferenceData!$BA$290),"")</f>
        <v/>
      </c>
      <c r="BB290" t="str">
        <f ca="1">IFERROR(IF(0=LEN(ReferenceData!$BB$290),"",ReferenceData!$BB$290),"")</f>
        <v/>
      </c>
      <c r="BC290" t="str">
        <f ca="1">IFERROR(IF(0=LEN(ReferenceData!$BC$290),"",ReferenceData!$BC$290),"")</f>
        <v/>
      </c>
      <c r="BD290" t="str">
        <f ca="1">IFERROR(IF(0=LEN(ReferenceData!$BD$290),"",ReferenceData!$BD$290),"")</f>
        <v/>
      </c>
      <c r="BE290" t="str">
        <f ca="1">IFERROR(IF(0=LEN(ReferenceData!$BE$290),"",ReferenceData!$BE$290),"")</f>
        <v/>
      </c>
      <c r="BF290" t="str">
        <f ca="1">IFERROR(IF(0=LEN(ReferenceData!$BF$290),"",ReferenceData!$BF$290),"")</f>
        <v/>
      </c>
      <c r="BG290" t="str">
        <f ca="1">IFERROR(IF(0=LEN(ReferenceData!$BG$290),"",ReferenceData!$BG$290),"")</f>
        <v/>
      </c>
      <c r="BH290" t="str">
        <f ca="1">IFERROR(IF(0=LEN(ReferenceData!$BH$290),"",ReferenceData!$BH$290),"")</f>
        <v/>
      </c>
      <c r="BI290" t="str">
        <f ca="1">IFERROR(IF(0=LEN(ReferenceData!$BI$290),"",ReferenceData!$BI$290),"")</f>
        <v/>
      </c>
      <c r="BJ290" t="str">
        <f ca="1">IFERROR(IF(0=LEN(ReferenceData!$BJ$290),"",ReferenceData!$BJ$290),"")</f>
        <v/>
      </c>
      <c r="BK290" t="str">
        <f ca="1">IFERROR(IF(0=LEN(ReferenceData!$BK$290),"",ReferenceData!$BK$290),"")</f>
        <v/>
      </c>
      <c r="BL290" t="str">
        <f ca="1">IFERROR(IF(0=LEN(ReferenceData!$BL$290),"",ReferenceData!$BL$290),"")</f>
        <v/>
      </c>
      <c r="BM290" t="str">
        <f ca="1">IFERROR(IF(0=LEN(ReferenceData!$BM$290),"",ReferenceData!$BM$290),"")</f>
        <v/>
      </c>
    </row>
    <row r="291" spans="1:65" x14ac:dyDescent="0.25">
      <c r="A291" t="str">
        <f>IFERROR(IF(0=LEN(ReferenceData!$A$291),"",ReferenceData!$A$291),"")</f>
        <v>Enterprise Value Ratios</v>
      </c>
      <c r="B291" t="str">
        <f>IFERROR(IF(0=LEN(ReferenceData!$B$291),"",ReferenceData!$B$291),"")</f>
        <v/>
      </c>
      <c r="C291" t="str">
        <f>IFERROR(IF(0=LEN(ReferenceData!$C$291),"",ReferenceData!$C$291),"")</f>
        <v/>
      </c>
      <c r="D291" t="str">
        <f>IFERROR(IF(0=LEN(ReferenceData!$D$291),"",ReferenceData!$D$291),"")</f>
        <v/>
      </c>
      <c r="E291" t="str">
        <f>IFERROR(IF(0=LEN(ReferenceData!$E$291),"",ReferenceData!$E$291),"")</f>
        <v>Heading</v>
      </c>
      <c r="F291" t="str">
        <f>IFERROR(IF(0=LEN(ReferenceData!$F$291),"",ReferenceData!$F$291),"")</f>
        <v/>
      </c>
      <c r="G291" t="str">
        <f>IFERROR(IF(0=LEN(ReferenceData!$G$291),"",ReferenceData!$G$291),"")</f>
        <v/>
      </c>
      <c r="H291" t="str">
        <f>IFERROR(IF(0=LEN(ReferenceData!$H$291),"",ReferenceData!$H$291),"")</f>
        <v/>
      </c>
      <c r="I291" t="str">
        <f>IFERROR(IF(0=LEN(ReferenceData!$I$291),"",ReferenceData!$I$291),"")</f>
        <v/>
      </c>
      <c r="J291" t="str">
        <f>IFERROR(IF(0=LEN(ReferenceData!$J$291),"",ReferenceData!$J$291),"")</f>
        <v/>
      </c>
      <c r="K291" t="str">
        <f>IFERROR(IF(0=LEN(ReferenceData!$K$291),"",ReferenceData!$K$291),"")</f>
        <v/>
      </c>
      <c r="L291" t="str">
        <f>IFERROR(IF(0=LEN(ReferenceData!$L$291),"",ReferenceData!$L$291),"")</f>
        <v/>
      </c>
      <c r="M291" t="str">
        <f>IFERROR(IF(0=LEN(ReferenceData!$M$291),"",ReferenceData!$M$291),"")</f>
        <v/>
      </c>
      <c r="N291" t="str">
        <f>IFERROR(IF(0=LEN(ReferenceData!$N$291),"",ReferenceData!$N$291),"")</f>
        <v/>
      </c>
      <c r="O291" t="str">
        <f>IFERROR(IF(0=LEN(ReferenceData!$O$291),"",ReferenceData!$O$291),"")</f>
        <v/>
      </c>
      <c r="P291" t="str">
        <f>IFERROR(IF(0=LEN(ReferenceData!$P$291),"",ReferenceData!$P$291),"")</f>
        <v/>
      </c>
      <c r="Q291" t="str">
        <f>IFERROR(IF(0=LEN(ReferenceData!$Q$291),"",ReferenceData!$Q$291),"")</f>
        <v/>
      </c>
      <c r="R291" t="str">
        <f>IFERROR(IF(0=LEN(ReferenceData!$R$291),"",ReferenceData!$R$291),"")</f>
        <v/>
      </c>
      <c r="S291" t="str">
        <f>IFERROR(IF(0=LEN(ReferenceData!$S$291),"",ReferenceData!$S$291),"")</f>
        <v/>
      </c>
      <c r="T291" t="str">
        <f>IFERROR(IF(0=LEN(ReferenceData!$T$291),"",ReferenceData!$T$291),"")</f>
        <v/>
      </c>
      <c r="U291" t="str">
        <f>IFERROR(IF(0=LEN(ReferenceData!$U$291),"",ReferenceData!$U$291),"")</f>
        <v/>
      </c>
      <c r="V291" t="str">
        <f>IFERROR(IF(0=LEN(ReferenceData!$V$291),"",ReferenceData!$V$291),"")</f>
        <v/>
      </c>
      <c r="W291" t="str">
        <f>IFERROR(IF(0=LEN(ReferenceData!$W$291),"",ReferenceData!$W$291),"")</f>
        <v/>
      </c>
      <c r="X291" t="str">
        <f>IFERROR(IF(0=LEN(ReferenceData!$X$291),"",ReferenceData!$X$291),"")</f>
        <v/>
      </c>
      <c r="Y291" t="str">
        <f>IFERROR(IF(0=LEN(ReferenceData!$Y$291),"",ReferenceData!$Y$291),"")</f>
        <v/>
      </c>
      <c r="Z291" t="str">
        <f>IFERROR(IF(0=LEN(ReferenceData!$Z$291),"",ReferenceData!$Z$291),"")</f>
        <v/>
      </c>
      <c r="AA291" t="str">
        <f>IFERROR(IF(0=LEN(ReferenceData!$AA$291),"",ReferenceData!$AA$291),"")</f>
        <v/>
      </c>
      <c r="AB291" t="str">
        <f>IFERROR(IF(0=LEN(ReferenceData!$AB$291),"",ReferenceData!$AB$291),"")</f>
        <v/>
      </c>
      <c r="AC291" t="str">
        <f>IFERROR(IF(0=LEN(ReferenceData!$AC$291),"",ReferenceData!$AC$291),"")</f>
        <v/>
      </c>
      <c r="AD291" t="str">
        <f>IFERROR(IF(0=LEN(ReferenceData!$AD$291),"",ReferenceData!$AD$291),"")</f>
        <v/>
      </c>
      <c r="AE291" t="str">
        <f>IFERROR(IF(0=LEN(ReferenceData!$AE$291),"",ReferenceData!$AE$291),"")</f>
        <v/>
      </c>
      <c r="AF291" t="str">
        <f>IFERROR(IF(0=LEN(ReferenceData!$AF$291),"",ReferenceData!$AF$291),"")</f>
        <v/>
      </c>
      <c r="AG291" t="str">
        <f>IFERROR(IF(0=LEN(ReferenceData!$AG$291),"",ReferenceData!$AG$291),"")</f>
        <v/>
      </c>
      <c r="AH291" t="str">
        <f>IFERROR(IF(0=LEN(ReferenceData!$AH$291),"",ReferenceData!$AH$291),"")</f>
        <v/>
      </c>
      <c r="AI291" t="str">
        <f>IFERROR(IF(0=LEN(ReferenceData!$AI$291),"",ReferenceData!$AI$291),"")</f>
        <v/>
      </c>
      <c r="AJ291" t="str">
        <f>IFERROR(IF(0=LEN(ReferenceData!$AJ$291),"",ReferenceData!$AJ$291),"")</f>
        <v/>
      </c>
      <c r="AK291" t="str">
        <f>IFERROR(IF(0=LEN(ReferenceData!$AK$291),"",ReferenceData!$AK$291),"")</f>
        <v/>
      </c>
      <c r="AL291" t="str">
        <f>IFERROR(IF(0=LEN(ReferenceData!$AL$291),"",ReferenceData!$AL$291),"")</f>
        <v/>
      </c>
      <c r="AM291" t="str">
        <f>IFERROR(IF(0=LEN(ReferenceData!$AM$291),"",ReferenceData!$AM$291),"")</f>
        <v/>
      </c>
      <c r="AN291" t="str">
        <f>IFERROR(IF(0=LEN(ReferenceData!$AN$291),"",ReferenceData!$AN$291),"")</f>
        <v/>
      </c>
      <c r="AO291" t="str">
        <f>IFERROR(IF(0=LEN(ReferenceData!$AO$291),"",ReferenceData!$AO$291),"")</f>
        <v/>
      </c>
      <c r="AP291" t="str">
        <f>IFERROR(IF(0=LEN(ReferenceData!$AP$291),"",ReferenceData!$AP$291),"")</f>
        <v/>
      </c>
      <c r="AQ291" t="str">
        <f>IFERROR(IF(0=LEN(ReferenceData!$AQ$291),"",ReferenceData!$AQ$291),"")</f>
        <v/>
      </c>
      <c r="AR291" t="str">
        <f>IFERROR(IF(0=LEN(ReferenceData!$AR$291),"",ReferenceData!$AR$291),"")</f>
        <v/>
      </c>
      <c r="AS291" t="str">
        <f>IFERROR(IF(0=LEN(ReferenceData!$AS$291),"",ReferenceData!$AS$291),"")</f>
        <v/>
      </c>
      <c r="AT291" t="str">
        <f>IFERROR(IF(0=LEN(ReferenceData!$AT$291),"",ReferenceData!$AT$291),"")</f>
        <v/>
      </c>
      <c r="AU291" t="str">
        <f>IFERROR(IF(0=LEN(ReferenceData!$AU$291),"",ReferenceData!$AU$291),"")</f>
        <v/>
      </c>
      <c r="AV291" t="str">
        <f>IFERROR(IF(0=LEN(ReferenceData!$AV$291),"",ReferenceData!$AV$291),"")</f>
        <v/>
      </c>
      <c r="AW291" t="str">
        <f>IFERROR(IF(0=LEN(ReferenceData!$AW$291),"",ReferenceData!$AW$291),"")</f>
        <v/>
      </c>
      <c r="AX291" t="str">
        <f>IFERROR(IF(0=LEN(ReferenceData!$AX$291),"",ReferenceData!$AX$291),"")</f>
        <v/>
      </c>
      <c r="AY291" t="str">
        <f>IFERROR(IF(0=LEN(ReferenceData!$AY$291),"",ReferenceData!$AY$291),"")</f>
        <v/>
      </c>
      <c r="AZ291" t="str">
        <f>IFERROR(IF(0=LEN(ReferenceData!$AZ$291),"",ReferenceData!$AZ$291),"")</f>
        <v/>
      </c>
      <c r="BA291" t="str">
        <f>IFERROR(IF(0=LEN(ReferenceData!$BA$291),"",ReferenceData!$BA$291),"")</f>
        <v/>
      </c>
      <c r="BB291" t="str">
        <f>IFERROR(IF(0=LEN(ReferenceData!$BB$291),"",ReferenceData!$BB$291),"")</f>
        <v/>
      </c>
      <c r="BC291" t="str">
        <f>IFERROR(IF(0=LEN(ReferenceData!$BC$291),"",ReferenceData!$BC$291),"")</f>
        <v/>
      </c>
      <c r="BD291" t="str">
        <f>IFERROR(IF(0=LEN(ReferenceData!$BD$291),"",ReferenceData!$BD$291),"")</f>
        <v/>
      </c>
      <c r="BE291" t="str">
        <f>IFERROR(IF(0=LEN(ReferenceData!$BE$291),"",ReferenceData!$BE$291),"")</f>
        <v/>
      </c>
      <c r="BF291" t="str">
        <f>IFERROR(IF(0=LEN(ReferenceData!$BF$291),"",ReferenceData!$BF$291),"")</f>
        <v/>
      </c>
      <c r="BG291" t="str">
        <f>IFERROR(IF(0=LEN(ReferenceData!$BG$291),"",ReferenceData!$BG$291),"")</f>
        <v/>
      </c>
      <c r="BH291" t="str">
        <f>IFERROR(IF(0=LEN(ReferenceData!$BH$291),"",ReferenceData!$BH$291),"")</f>
        <v/>
      </c>
      <c r="BI291" t="str">
        <f>IFERROR(IF(0=LEN(ReferenceData!$BI$291),"",ReferenceData!$BI$291),"")</f>
        <v/>
      </c>
      <c r="BJ291" t="str">
        <f>IFERROR(IF(0=LEN(ReferenceData!$BJ$291),"",ReferenceData!$BJ$291),"")</f>
        <v/>
      </c>
      <c r="BK291" t="str">
        <f>IFERROR(IF(0=LEN(ReferenceData!$BK$291),"",ReferenceData!$BK$291),"")</f>
        <v/>
      </c>
      <c r="BL291" t="str">
        <f>IFERROR(IF(0=LEN(ReferenceData!$BL$291),"",ReferenceData!$BL$291),"")</f>
        <v/>
      </c>
      <c r="BM291" t="str">
        <f>IFERROR(IF(0=LEN(ReferenceData!$BM$291),"",ReferenceData!$BM$291),"")</f>
        <v/>
      </c>
    </row>
    <row r="292" spans="1:65" x14ac:dyDescent="0.25">
      <c r="A292" t="str">
        <f>IFERROR(IF(0=LEN(ReferenceData!$A$292),"",ReferenceData!$A$292),"")</f>
        <v>EV / T12M EBITDA</v>
      </c>
      <c r="B292" t="str">
        <f>IFERROR(IF(0=LEN(ReferenceData!$B$292),"",ReferenceData!$B$292),"")</f>
        <v/>
      </c>
      <c r="C292" t="str">
        <f>IFERROR(IF(0=LEN(ReferenceData!$C$292),"",ReferenceData!$C$292),"")</f>
        <v/>
      </c>
      <c r="D292" t="str">
        <f>IFERROR(IF(0=LEN(ReferenceData!$D$292),"",ReferenceData!$D$292),"")</f>
        <v/>
      </c>
      <c r="E292" t="str">
        <f>IFERROR(IF(0=LEN(ReferenceData!$E$292),"",ReferenceData!$E$292),"")</f>
        <v>Average</v>
      </c>
      <c r="F292" t="str">
        <f ca="1">IFERROR(IF(0=LEN(ReferenceData!$F$292),"",ReferenceData!$F$292),"")</f>
        <v/>
      </c>
      <c r="G292">
        <f ca="1">IFERROR(IF(0=LEN(ReferenceData!$G$292),"",ReferenceData!$G$292),"")</f>
        <v>6.9098969530714287</v>
      </c>
      <c r="H292">
        <f ca="1">IFERROR(IF(0=LEN(ReferenceData!$H$292),"",ReferenceData!$H$292),"")</f>
        <v>12.380674193956521</v>
      </c>
      <c r="I292">
        <f ca="1">IFERROR(IF(0=LEN(ReferenceData!$I$292),"",ReferenceData!$I$292),"")</f>
        <v>7.0193585903809526</v>
      </c>
      <c r="J292">
        <f ca="1">IFERROR(IF(0=LEN(ReferenceData!$J$292),"",ReferenceData!$J$292),"")</f>
        <v>6.2032455916666649</v>
      </c>
      <c r="K292">
        <f ca="1">IFERROR(IF(0=LEN(ReferenceData!$K$292),"",ReferenceData!$K$292),"")</f>
        <v>745.16318367076178</v>
      </c>
      <c r="L292">
        <f ca="1">IFERROR(IF(0=LEN(ReferenceData!$L$292),"",ReferenceData!$L$292),"")</f>
        <v>20.668823710652173</v>
      </c>
      <c r="M292">
        <f ca="1">IFERROR(IF(0=LEN(ReferenceData!$M$292),"",ReferenceData!$M$292),"")</f>
        <v>10.621541262045453</v>
      </c>
      <c r="N292">
        <f ca="1">IFERROR(IF(0=LEN(ReferenceData!$N$292),"",ReferenceData!$N$292),"")</f>
        <v>10.766310756391304</v>
      </c>
      <c r="O292">
        <f ca="1">IFERROR(IF(0=LEN(ReferenceData!$O$292),"",ReferenceData!$O$292),"")</f>
        <v>13.096699947227277</v>
      </c>
      <c r="P292">
        <f ca="1">IFERROR(IF(0=LEN(ReferenceData!$P$292),"",ReferenceData!$P$292),"")</f>
        <v>19.939983222363637</v>
      </c>
      <c r="Q292">
        <f ca="1">IFERROR(IF(0=LEN(ReferenceData!$Q$292),"",ReferenceData!$Q$292),"")</f>
        <v>6.6060758131500013</v>
      </c>
      <c r="R292">
        <f ca="1">IFERROR(IF(0=LEN(ReferenceData!$R$292),"",ReferenceData!$R$292),"")</f>
        <v>10.617971143347825</v>
      </c>
      <c r="S292">
        <f ca="1">IFERROR(IF(0=LEN(ReferenceData!$S$292),"",ReferenceData!$S$292),"")</f>
        <v>8.2300763042727265</v>
      </c>
      <c r="T292">
        <f ca="1">IFERROR(IF(0=LEN(ReferenceData!$T$292),"",ReferenceData!$T$292),"")</f>
        <v>8.2799330097391302</v>
      </c>
      <c r="U292">
        <f ca="1">IFERROR(IF(0=LEN(ReferenceData!$U$292),"",ReferenceData!$U$292),"")</f>
        <v>15.09743351381818</v>
      </c>
      <c r="V292">
        <f ca="1">IFERROR(IF(0=LEN(ReferenceData!$V$292),"",ReferenceData!$V$292),"")</f>
        <v>81.044757450583333</v>
      </c>
      <c r="W292">
        <f ca="1">IFERROR(IF(0=LEN(ReferenceData!$W$292),"",ReferenceData!$W$292),"")</f>
        <v>41.38123259769565</v>
      </c>
      <c r="X292">
        <f ca="1">IFERROR(IF(0=LEN(ReferenceData!$X$292),"",ReferenceData!$X$292),"")</f>
        <v>38.644167511652171</v>
      </c>
      <c r="Y292">
        <f ca="1">IFERROR(IF(0=LEN(ReferenceData!$Y$292),"",ReferenceData!$Y$292),"")</f>
        <v>54.341352266136369</v>
      </c>
      <c r="Z292">
        <f ca="1">IFERROR(IF(0=LEN(ReferenceData!$Z$292),"",ReferenceData!$Z$292),"")</f>
        <v>94.665100111695665</v>
      </c>
      <c r="AA292">
        <f ca="1">IFERROR(IF(0=LEN(ReferenceData!$AA$292),"",ReferenceData!$AA$292),"")</f>
        <v>27.171828956545461</v>
      </c>
      <c r="AB292">
        <f ca="1">IFERROR(IF(0=LEN(ReferenceData!$AB$292),"",ReferenceData!$AB$292),"")</f>
        <v>10.157708129190476</v>
      </c>
      <c r="AC292">
        <f ca="1">IFERROR(IF(0=LEN(ReferenceData!$AC$292),"",ReferenceData!$AC$292),"")</f>
        <v>8.6488377253000017</v>
      </c>
      <c r="AD292">
        <f ca="1">IFERROR(IF(0=LEN(ReferenceData!$AD$292),"",ReferenceData!$AD$292),"")</f>
        <v>7.6642359879999997</v>
      </c>
      <c r="AE292">
        <f ca="1">IFERROR(IF(0=LEN(ReferenceData!$AE$292),"",ReferenceData!$AE$292),"")</f>
        <v>7.3422599738500001</v>
      </c>
      <c r="AF292">
        <f ca="1">IFERROR(IF(0=LEN(ReferenceData!$AF$292),"",ReferenceData!$AF$292),"")</f>
        <v>6.1117550016190467</v>
      </c>
      <c r="AG292">
        <f ca="1">IFERROR(IF(0=LEN(ReferenceData!$AG$292),"",ReferenceData!$AG$292),"")</f>
        <v>6.14683473965</v>
      </c>
      <c r="AH292">
        <f ca="1">IFERROR(IF(0=LEN(ReferenceData!$AH$292),"",ReferenceData!$AH$292),"")</f>
        <v>7.2507711984761904</v>
      </c>
      <c r="AI292">
        <f ca="1">IFERROR(IF(0=LEN(ReferenceData!$AI$292),"",ReferenceData!$AI$292),"")</f>
        <v>6.9607886375000003</v>
      </c>
      <c r="AJ292">
        <f ca="1">IFERROR(IF(0=LEN(ReferenceData!$AJ$292),"",ReferenceData!$AJ$292),"")</f>
        <v>5.9905097228571433</v>
      </c>
      <c r="AK292">
        <f ca="1">IFERROR(IF(0=LEN(ReferenceData!$AK$292),"",ReferenceData!$AK$292),"")</f>
        <v>6.9247140689473685</v>
      </c>
      <c r="AL292">
        <f ca="1">IFERROR(IF(0=LEN(ReferenceData!$AL$292),"",ReferenceData!$AL$292),"")</f>
        <v>6.3952676466000016</v>
      </c>
      <c r="AM292">
        <f ca="1">IFERROR(IF(0=LEN(ReferenceData!$AM$292),"",ReferenceData!$AM$292),"")</f>
        <v>7.096376150368422</v>
      </c>
      <c r="AN292">
        <f ca="1">IFERROR(IF(0=LEN(ReferenceData!$AN$292),"",ReferenceData!$AN$292),"")</f>
        <v>6.6362067417777775</v>
      </c>
      <c r="AO292">
        <f ca="1">IFERROR(IF(0=LEN(ReferenceData!$AO$292),"",ReferenceData!$AO$292),"")</f>
        <v>6.2993064410000006</v>
      </c>
      <c r="AP292">
        <f ca="1">IFERROR(IF(0=LEN(ReferenceData!$AP$292),"",ReferenceData!$AP$292),"")</f>
        <v>7.5530965939411754</v>
      </c>
      <c r="AQ292">
        <f ca="1">IFERROR(IF(0=LEN(ReferenceData!$AQ$292),"",ReferenceData!$AQ$292),"")</f>
        <v>37.904245457687502</v>
      </c>
      <c r="AR292">
        <f ca="1">IFERROR(IF(0=LEN(ReferenceData!$AR$292),"",ReferenceData!$AR$292),"")</f>
        <v>21.053488730733331</v>
      </c>
      <c r="AS292">
        <f ca="1">IFERROR(IF(0=LEN(ReferenceData!$AS$292),"",ReferenceData!$AS$292),"")</f>
        <v>740.96563052847057</v>
      </c>
      <c r="AT292">
        <f ca="1">IFERROR(IF(0=LEN(ReferenceData!$AT$292),"",ReferenceData!$AT$292),"")</f>
        <v>9.3658424583749991</v>
      </c>
      <c r="AU292">
        <f ca="1">IFERROR(IF(0=LEN(ReferenceData!$AU$292),"",ReferenceData!$AU$292),"")</f>
        <v>24.990750181583334</v>
      </c>
      <c r="AV292">
        <f ca="1">IFERROR(IF(0=LEN(ReferenceData!$AV$292),"",ReferenceData!$AV$292),"")</f>
        <v>4.8011892890909085</v>
      </c>
      <c r="AW292">
        <f ca="1">IFERROR(IF(0=LEN(ReferenceData!$AW$292),"",ReferenceData!$AW$292),"")</f>
        <v>4.5987731577272726</v>
      </c>
      <c r="AX292">
        <f ca="1">IFERROR(IF(0=LEN(ReferenceData!$AX$292),"",ReferenceData!$AX$292),"")</f>
        <v>5.000483748545455</v>
      </c>
      <c r="AY292">
        <f ca="1">IFERROR(IF(0=LEN(ReferenceData!$AY$292),"",ReferenceData!$AY$292),"")</f>
        <v>5.858533417272727</v>
      </c>
      <c r="AZ292">
        <f ca="1">IFERROR(IF(0=LEN(ReferenceData!$AZ$292),"",ReferenceData!$AZ$292),"")</f>
        <v>8.4371414521666672</v>
      </c>
      <c r="BA292">
        <f ca="1">IFERROR(IF(0=LEN(ReferenceData!$BA$292),"",ReferenceData!$BA$292),"")</f>
        <v>8.248524437416668</v>
      </c>
      <c r="BB292">
        <f ca="1">IFERROR(IF(0=LEN(ReferenceData!$BB$292),"",ReferenceData!$BB$292),"")</f>
        <v>7.8412255584999997</v>
      </c>
      <c r="BC292">
        <f ca="1">IFERROR(IF(0=LEN(ReferenceData!$BC$292),"",ReferenceData!$BC$292),"")</f>
        <v>10.772674884999999</v>
      </c>
      <c r="BD292">
        <f ca="1">IFERROR(IF(0=LEN(ReferenceData!$BD$292),"",ReferenceData!$BD$292),"")</f>
        <v>6.6430407712727266</v>
      </c>
      <c r="BE292">
        <f ca="1">IFERROR(IF(0=LEN(ReferenceData!$BE$292),"",ReferenceData!$BE$292),"")</f>
        <v>5.6599536264545449</v>
      </c>
      <c r="BF292">
        <f ca="1">IFERROR(IF(0=LEN(ReferenceData!$BF$292),"",ReferenceData!$BF$292),"")</f>
        <v>6.2268652920909089</v>
      </c>
      <c r="BG292">
        <f ca="1">IFERROR(IF(0=LEN(ReferenceData!$BG$292),"",ReferenceData!$BG$292),"")</f>
        <v>10.738548822642857</v>
      </c>
      <c r="BH292">
        <f ca="1">IFERROR(IF(0=LEN(ReferenceData!$BH$292),"",ReferenceData!$BH$292),"")</f>
        <v>9.2586078197500008</v>
      </c>
      <c r="BI292">
        <f ca="1">IFERROR(IF(0=LEN(ReferenceData!$BI$292),"",ReferenceData!$BI$292),"")</f>
        <v>9.4003978153749994</v>
      </c>
      <c r="BJ292">
        <f ca="1">IFERROR(IF(0=LEN(ReferenceData!$BJ$292),"",ReferenceData!$BJ$292),"")</f>
        <v>8.8175352006363639</v>
      </c>
      <c r="BK292">
        <f ca="1">IFERROR(IF(0=LEN(ReferenceData!$BK$292),"",ReferenceData!$BK$292),"")</f>
        <v>10.458998317375</v>
      </c>
      <c r="BL292">
        <f ca="1">IFERROR(IF(0=LEN(ReferenceData!$BL$292),"",ReferenceData!$BL$292),"")</f>
        <v>16.602108190749998</v>
      </c>
      <c r="BM292">
        <f ca="1">IFERROR(IF(0=LEN(ReferenceData!$BM$292),"",ReferenceData!$BM$292),"")</f>
        <v>17.558047222857144</v>
      </c>
    </row>
    <row r="293" spans="1:65" x14ac:dyDescent="0.25">
      <c r="A293" t="str">
        <f>IFERROR(IF(0=LEN(ReferenceData!$A$293),"",ReferenceData!$A$293),"")</f>
        <v xml:space="preserve">    AUDI AG</v>
      </c>
      <c r="B293" t="str">
        <f>IFERROR(IF(0=LEN(ReferenceData!$B$293),"",ReferenceData!$B$293),"")</f>
        <v>NSU GR Equity</v>
      </c>
      <c r="C293" t="str">
        <f>IFERROR(IF(0=LEN(ReferenceData!$C$293),"",ReferenceData!$C$293),"")</f>
        <v>RR474</v>
      </c>
      <c r="D293" t="str">
        <f>IFERROR(IF(0=LEN(ReferenceData!$D$293),"",ReferenceData!$D$293),"")</f>
        <v>EV_TO_T12M_EBITDA</v>
      </c>
      <c r="E293" t="str">
        <f>IFERROR(IF(0=LEN(ReferenceData!$E$293),"",ReferenceData!$E$293),"")</f>
        <v>Dynamic</v>
      </c>
      <c r="F293" t="str">
        <f ca="1">IFERROR(IF(0=LEN(ReferenceData!$F$293),"",ReferenceData!$F$293),"")</f>
        <v/>
      </c>
      <c r="G293" t="str">
        <f ca="1">IFERROR(IF(0=LEN(ReferenceData!$G$293),"",ReferenceData!$G$293),"")</f>
        <v/>
      </c>
      <c r="H293" t="str">
        <f ca="1">IFERROR(IF(0=LEN(ReferenceData!$H$293),"",ReferenceData!$H$293),"")</f>
        <v/>
      </c>
      <c r="I293" t="str">
        <f ca="1">IFERROR(IF(0=LEN(ReferenceData!$I$293),"",ReferenceData!$I$293),"")</f>
        <v/>
      </c>
      <c r="J293" t="str">
        <f ca="1">IFERROR(IF(0=LEN(ReferenceData!$J$293),"",ReferenceData!$J$293),"")</f>
        <v/>
      </c>
      <c r="K293" t="str">
        <f ca="1">IFERROR(IF(0=LEN(ReferenceData!$K$293),"",ReferenceData!$K$293),"")</f>
        <v/>
      </c>
      <c r="L293" t="str">
        <f ca="1">IFERROR(IF(0=LEN(ReferenceData!$L$293),"",ReferenceData!$L$293),"")</f>
        <v/>
      </c>
      <c r="M293" t="str">
        <f ca="1">IFERROR(IF(0=LEN(ReferenceData!$M$293),"",ReferenceData!$M$293),"")</f>
        <v/>
      </c>
      <c r="N293" t="str">
        <f ca="1">IFERROR(IF(0=LEN(ReferenceData!$N$293),"",ReferenceData!$N$293),"")</f>
        <v/>
      </c>
      <c r="O293" t="str">
        <f ca="1">IFERROR(IF(0=LEN(ReferenceData!$O$293),"",ReferenceData!$O$293),"")</f>
        <v/>
      </c>
      <c r="P293" t="str">
        <f ca="1">IFERROR(IF(0=LEN(ReferenceData!$P$293),"",ReferenceData!$P$293),"")</f>
        <v/>
      </c>
      <c r="Q293" t="str">
        <f ca="1">IFERROR(IF(0=LEN(ReferenceData!$Q$293),"",ReferenceData!$Q$293),"")</f>
        <v/>
      </c>
      <c r="R293" t="str">
        <f ca="1">IFERROR(IF(0=LEN(ReferenceData!$R$293),"",ReferenceData!$R$293),"")</f>
        <v/>
      </c>
      <c r="S293" t="str">
        <f ca="1">IFERROR(IF(0=LEN(ReferenceData!$S$293),"",ReferenceData!$S$293),"")</f>
        <v/>
      </c>
      <c r="T293" t="str">
        <f ca="1">IFERROR(IF(0=LEN(ReferenceData!$T$293),"",ReferenceData!$T$293),"")</f>
        <v/>
      </c>
      <c r="U293" t="str">
        <f ca="1">IFERROR(IF(0=LEN(ReferenceData!$U$293),"",ReferenceData!$U$293),"")</f>
        <v/>
      </c>
      <c r="V293" t="str">
        <f ca="1">IFERROR(IF(0=LEN(ReferenceData!$V$293),"",ReferenceData!$V$293),"")</f>
        <v/>
      </c>
      <c r="W293" t="str">
        <f ca="1">IFERROR(IF(0=LEN(ReferenceData!$W$293),"",ReferenceData!$W$293),"")</f>
        <v/>
      </c>
      <c r="X293" t="str">
        <f ca="1">IFERROR(IF(0=LEN(ReferenceData!$X$293),"",ReferenceData!$X$293),"")</f>
        <v/>
      </c>
      <c r="Y293" t="str">
        <f ca="1">IFERROR(IF(0=LEN(ReferenceData!$Y$293),"",ReferenceData!$Y$293),"")</f>
        <v/>
      </c>
      <c r="Z293" t="str">
        <f ca="1">IFERROR(IF(0=LEN(ReferenceData!$Z$293),"",ReferenceData!$Z$293),"")</f>
        <v/>
      </c>
      <c r="AA293" t="str">
        <f ca="1">IFERROR(IF(0=LEN(ReferenceData!$AA$293),"",ReferenceData!$AA$293),"")</f>
        <v/>
      </c>
      <c r="AB293" t="str">
        <f ca="1">IFERROR(IF(0=LEN(ReferenceData!$AB$293),"",ReferenceData!$AB$293),"")</f>
        <v/>
      </c>
      <c r="AC293" t="str">
        <f ca="1">IFERROR(IF(0=LEN(ReferenceData!$AC$293),"",ReferenceData!$AC$293),"")</f>
        <v/>
      </c>
      <c r="AD293" t="str">
        <f ca="1">IFERROR(IF(0=LEN(ReferenceData!$AD$293),"",ReferenceData!$AD$293),"")</f>
        <v/>
      </c>
      <c r="AE293" t="str">
        <f ca="1">IFERROR(IF(0=LEN(ReferenceData!$AE$293),"",ReferenceData!$AE$293),"")</f>
        <v/>
      </c>
      <c r="AF293" t="str">
        <f ca="1">IFERROR(IF(0=LEN(ReferenceData!$AF$293),"",ReferenceData!$AF$293),"")</f>
        <v/>
      </c>
      <c r="AG293" t="str">
        <f ca="1">IFERROR(IF(0=LEN(ReferenceData!$AG$293),"",ReferenceData!$AG$293),"")</f>
        <v/>
      </c>
      <c r="AH293" t="str">
        <f ca="1">IFERROR(IF(0=LEN(ReferenceData!$AH$293),"",ReferenceData!$AH$293),"")</f>
        <v/>
      </c>
      <c r="AI293" t="str">
        <f ca="1">IFERROR(IF(0=LEN(ReferenceData!$AI$293),"",ReferenceData!$AI$293),"")</f>
        <v/>
      </c>
      <c r="AJ293" t="str">
        <f ca="1">IFERROR(IF(0=LEN(ReferenceData!$AJ$293),"",ReferenceData!$AJ$293),"")</f>
        <v/>
      </c>
      <c r="AK293" t="str">
        <f ca="1">IFERROR(IF(0=LEN(ReferenceData!$AK$293),"",ReferenceData!$AK$293),"")</f>
        <v/>
      </c>
      <c r="AL293" t="str">
        <f ca="1">IFERROR(IF(0=LEN(ReferenceData!$AL$293),"",ReferenceData!$AL$293),"")</f>
        <v/>
      </c>
      <c r="AM293" t="str">
        <f ca="1">IFERROR(IF(0=LEN(ReferenceData!$AM$293),"",ReferenceData!$AM$293),"")</f>
        <v/>
      </c>
      <c r="AN293" t="str">
        <f ca="1">IFERROR(IF(0=LEN(ReferenceData!$AN$293),"",ReferenceData!$AN$293),"")</f>
        <v/>
      </c>
      <c r="AO293" t="str">
        <f ca="1">IFERROR(IF(0=LEN(ReferenceData!$AO$293),"",ReferenceData!$AO$293),"")</f>
        <v/>
      </c>
      <c r="AP293" t="str">
        <f ca="1">IFERROR(IF(0=LEN(ReferenceData!$AP$293),"",ReferenceData!$AP$293),"")</f>
        <v/>
      </c>
      <c r="AQ293" t="str">
        <f ca="1">IFERROR(IF(0=LEN(ReferenceData!$AQ$293),"",ReferenceData!$AQ$293),"")</f>
        <v/>
      </c>
      <c r="AR293" t="str">
        <f ca="1">IFERROR(IF(0=LEN(ReferenceData!$AR$293),"",ReferenceData!$AR$293),"")</f>
        <v/>
      </c>
      <c r="AS293" t="str">
        <f ca="1">IFERROR(IF(0=LEN(ReferenceData!$AS$293),"",ReferenceData!$AS$293),"")</f>
        <v/>
      </c>
      <c r="AT293" t="str">
        <f ca="1">IFERROR(IF(0=LEN(ReferenceData!$AT$293),"",ReferenceData!$AT$293),"")</f>
        <v/>
      </c>
      <c r="AU293" t="str">
        <f ca="1">IFERROR(IF(0=LEN(ReferenceData!$AU$293),"",ReferenceData!$AU$293),"")</f>
        <v/>
      </c>
      <c r="AV293" t="str">
        <f ca="1">IFERROR(IF(0=LEN(ReferenceData!$AV$293),"",ReferenceData!$AV$293),"")</f>
        <v/>
      </c>
      <c r="AW293" t="str">
        <f ca="1">IFERROR(IF(0=LEN(ReferenceData!$AW$293),"",ReferenceData!$AW$293),"")</f>
        <v/>
      </c>
      <c r="AX293" t="str">
        <f ca="1">IFERROR(IF(0=LEN(ReferenceData!$AX$293),"",ReferenceData!$AX$293),"")</f>
        <v/>
      </c>
      <c r="AY293" t="str">
        <f ca="1">IFERROR(IF(0=LEN(ReferenceData!$AY$293),"",ReferenceData!$AY$293),"")</f>
        <v/>
      </c>
      <c r="AZ293" t="str">
        <f ca="1">IFERROR(IF(0=LEN(ReferenceData!$AZ$293),"",ReferenceData!$AZ$293),"")</f>
        <v/>
      </c>
      <c r="BA293" t="str">
        <f ca="1">IFERROR(IF(0=LEN(ReferenceData!$BA$293),"",ReferenceData!$BA$293),"")</f>
        <v/>
      </c>
      <c r="BB293" t="str">
        <f ca="1">IFERROR(IF(0=LEN(ReferenceData!$BB$293),"",ReferenceData!$BB$293),"")</f>
        <v/>
      </c>
      <c r="BC293" t="str">
        <f ca="1">IFERROR(IF(0=LEN(ReferenceData!$BC$293),"",ReferenceData!$BC$293),"")</f>
        <v/>
      </c>
      <c r="BD293" t="str">
        <f ca="1">IFERROR(IF(0=LEN(ReferenceData!$BD$293),"",ReferenceData!$BD$293),"")</f>
        <v/>
      </c>
      <c r="BE293" t="str">
        <f ca="1">IFERROR(IF(0=LEN(ReferenceData!$BE$293),"",ReferenceData!$BE$293),"")</f>
        <v/>
      </c>
      <c r="BF293" t="str">
        <f ca="1">IFERROR(IF(0=LEN(ReferenceData!$BF$293),"",ReferenceData!$BF$293),"")</f>
        <v/>
      </c>
      <c r="BG293" t="str">
        <f ca="1">IFERROR(IF(0=LEN(ReferenceData!$BG$293),"",ReferenceData!$BG$293),"")</f>
        <v/>
      </c>
      <c r="BH293" t="str">
        <f ca="1">IFERROR(IF(0=LEN(ReferenceData!$BH$293),"",ReferenceData!$BH$293),"")</f>
        <v/>
      </c>
      <c r="BI293" t="str">
        <f ca="1">IFERROR(IF(0=LEN(ReferenceData!$BI$293),"",ReferenceData!$BI$293),"")</f>
        <v/>
      </c>
      <c r="BJ293" t="str">
        <f ca="1">IFERROR(IF(0=LEN(ReferenceData!$BJ$293),"",ReferenceData!$BJ$293),"")</f>
        <v/>
      </c>
      <c r="BK293" t="str">
        <f ca="1">IFERROR(IF(0=LEN(ReferenceData!$BK$293),"",ReferenceData!$BK$293),"")</f>
        <v/>
      </c>
      <c r="BL293" t="str">
        <f ca="1">IFERROR(IF(0=LEN(ReferenceData!$BL$293),"",ReferenceData!$BL$293),"")</f>
        <v/>
      </c>
      <c r="BM293" t="str">
        <f ca="1">IFERROR(IF(0=LEN(ReferenceData!$BM$293),"",ReferenceData!$BM$293),"")</f>
        <v/>
      </c>
    </row>
    <row r="294" spans="1:65" x14ac:dyDescent="0.25">
      <c r="A294" t="str">
        <f>IFERROR(IF(0=LEN(ReferenceData!$A$294),"",ReferenceData!$A$294),"")</f>
        <v xml:space="preserve">    Avtovaz PJSC</v>
      </c>
      <c r="B294" t="str">
        <f>IFERROR(IF(0=LEN(ReferenceData!$B$294),"",ReferenceData!$B$294),"")</f>
        <v>AVAZ RM Equity</v>
      </c>
      <c r="C294" t="str">
        <f>IFERROR(IF(0=LEN(ReferenceData!$C$294),"",ReferenceData!$C$294),"")</f>
        <v>RR474</v>
      </c>
      <c r="D294" t="str">
        <f>IFERROR(IF(0=LEN(ReferenceData!$D$294),"",ReferenceData!$D$294),"")</f>
        <v>EV_TO_T12M_EBITDA</v>
      </c>
      <c r="E294" t="str">
        <f>IFERROR(IF(0=LEN(ReferenceData!$E$294),"",ReferenceData!$E$294),"")</f>
        <v>Dynamic</v>
      </c>
      <c r="F294" t="str">
        <f ca="1">IFERROR(IF(0=LEN(ReferenceData!$F$294),"",ReferenceData!$F$294),"")</f>
        <v/>
      </c>
      <c r="G294" t="str">
        <f ca="1">IFERROR(IF(0=LEN(ReferenceData!$G$294),"",ReferenceData!$G$294),"")</f>
        <v/>
      </c>
      <c r="H294" t="str">
        <f ca="1">IFERROR(IF(0=LEN(ReferenceData!$H$294),"",ReferenceData!$H$294),"")</f>
        <v/>
      </c>
      <c r="I294" t="str">
        <f ca="1">IFERROR(IF(0=LEN(ReferenceData!$I$294),"",ReferenceData!$I$294),"")</f>
        <v/>
      </c>
      <c r="J294" t="str">
        <f ca="1">IFERROR(IF(0=LEN(ReferenceData!$J$294),"",ReferenceData!$J$294),"")</f>
        <v/>
      </c>
      <c r="K294" t="str">
        <f ca="1">IFERROR(IF(0=LEN(ReferenceData!$K$294),"",ReferenceData!$K$294),"")</f>
        <v/>
      </c>
      <c r="L294" t="str">
        <f ca="1">IFERROR(IF(0=LEN(ReferenceData!$L$294),"",ReferenceData!$L$294),"")</f>
        <v/>
      </c>
      <c r="M294" t="str">
        <f ca="1">IFERROR(IF(0=LEN(ReferenceData!$M$294),"",ReferenceData!$M$294),"")</f>
        <v/>
      </c>
      <c r="N294" t="str">
        <f ca="1">IFERROR(IF(0=LEN(ReferenceData!$N$294),"",ReferenceData!$N$294),"")</f>
        <v/>
      </c>
      <c r="O294" t="str">
        <f ca="1">IFERROR(IF(0=LEN(ReferenceData!$O$294),"",ReferenceData!$O$294),"")</f>
        <v/>
      </c>
      <c r="P294" t="str">
        <f ca="1">IFERROR(IF(0=LEN(ReferenceData!$P$294),"",ReferenceData!$P$294),"")</f>
        <v/>
      </c>
      <c r="Q294" t="str">
        <f ca="1">IFERROR(IF(0=LEN(ReferenceData!$Q$294),"",ReferenceData!$Q$294),"")</f>
        <v/>
      </c>
      <c r="R294" t="str">
        <f ca="1">IFERROR(IF(0=LEN(ReferenceData!$R$294),"",ReferenceData!$R$294),"")</f>
        <v/>
      </c>
      <c r="S294" t="str">
        <f ca="1">IFERROR(IF(0=LEN(ReferenceData!$S$294),"",ReferenceData!$S$294),"")</f>
        <v/>
      </c>
      <c r="T294" t="str">
        <f ca="1">IFERROR(IF(0=LEN(ReferenceData!$T$294),"",ReferenceData!$T$294),"")</f>
        <v/>
      </c>
      <c r="U294" t="str">
        <f ca="1">IFERROR(IF(0=LEN(ReferenceData!$U$294),"",ReferenceData!$U$294),"")</f>
        <v/>
      </c>
      <c r="V294" t="str">
        <f ca="1">IFERROR(IF(0=LEN(ReferenceData!$V$294),"",ReferenceData!$V$294),"")</f>
        <v/>
      </c>
      <c r="W294" t="str">
        <f ca="1">IFERROR(IF(0=LEN(ReferenceData!$W$294),"",ReferenceData!$W$294),"")</f>
        <v/>
      </c>
      <c r="X294" t="str">
        <f ca="1">IFERROR(IF(0=LEN(ReferenceData!$X$294),"",ReferenceData!$X$294),"")</f>
        <v/>
      </c>
      <c r="Y294" t="str">
        <f ca="1">IFERROR(IF(0=LEN(ReferenceData!$Y$294),"",ReferenceData!$Y$294),"")</f>
        <v/>
      </c>
      <c r="Z294" t="str">
        <f ca="1">IFERROR(IF(0=LEN(ReferenceData!$Z$294),"",ReferenceData!$Z$294),"")</f>
        <v/>
      </c>
      <c r="AA294" t="str">
        <f ca="1">IFERROR(IF(0=LEN(ReferenceData!$AA$294),"",ReferenceData!$AA$294),"")</f>
        <v/>
      </c>
      <c r="AB294" t="str">
        <f ca="1">IFERROR(IF(0=LEN(ReferenceData!$AB$294),"",ReferenceData!$AB$294),"")</f>
        <v/>
      </c>
      <c r="AC294" t="str">
        <f ca="1">IFERROR(IF(0=LEN(ReferenceData!$AC$294),"",ReferenceData!$AC$294),"")</f>
        <v/>
      </c>
      <c r="AD294" t="str">
        <f ca="1">IFERROR(IF(0=LEN(ReferenceData!$AD$294),"",ReferenceData!$AD$294),"")</f>
        <v/>
      </c>
      <c r="AE294" t="str">
        <f ca="1">IFERROR(IF(0=LEN(ReferenceData!$AE$294),"",ReferenceData!$AE$294),"")</f>
        <v/>
      </c>
      <c r="AF294" t="str">
        <f ca="1">IFERROR(IF(0=LEN(ReferenceData!$AF$294),"",ReferenceData!$AF$294),"")</f>
        <v/>
      </c>
      <c r="AG294" t="str">
        <f ca="1">IFERROR(IF(0=LEN(ReferenceData!$AG$294),"",ReferenceData!$AG$294),"")</f>
        <v/>
      </c>
      <c r="AH294" t="str">
        <f ca="1">IFERROR(IF(0=LEN(ReferenceData!$AH$294),"",ReferenceData!$AH$294),"")</f>
        <v/>
      </c>
      <c r="AI294" t="str">
        <f ca="1">IFERROR(IF(0=LEN(ReferenceData!$AI$294),"",ReferenceData!$AI$294),"")</f>
        <v/>
      </c>
      <c r="AJ294" t="str">
        <f ca="1">IFERROR(IF(0=LEN(ReferenceData!$AJ$294),"",ReferenceData!$AJ$294),"")</f>
        <v/>
      </c>
      <c r="AK294" t="str">
        <f ca="1">IFERROR(IF(0=LEN(ReferenceData!$AK$294),"",ReferenceData!$AK$294),"")</f>
        <v/>
      </c>
      <c r="AL294" t="str">
        <f ca="1">IFERROR(IF(0=LEN(ReferenceData!$AL$294),"",ReferenceData!$AL$294),"")</f>
        <v/>
      </c>
      <c r="AM294" t="str">
        <f ca="1">IFERROR(IF(0=LEN(ReferenceData!$AM$294),"",ReferenceData!$AM$294),"")</f>
        <v/>
      </c>
      <c r="AN294" t="str">
        <f ca="1">IFERROR(IF(0=LEN(ReferenceData!$AN$294),"",ReferenceData!$AN$294),"")</f>
        <v/>
      </c>
      <c r="AO294" t="str">
        <f ca="1">IFERROR(IF(0=LEN(ReferenceData!$AO$294),"",ReferenceData!$AO$294),"")</f>
        <v/>
      </c>
      <c r="AP294" t="str">
        <f ca="1">IFERROR(IF(0=LEN(ReferenceData!$AP$294),"",ReferenceData!$AP$294),"")</f>
        <v/>
      </c>
      <c r="AQ294" t="str">
        <f ca="1">IFERROR(IF(0=LEN(ReferenceData!$AQ$294),"",ReferenceData!$AQ$294),"")</f>
        <v/>
      </c>
      <c r="AR294" t="str">
        <f ca="1">IFERROR(IF(0=LEN(ReferenceData!$AR$294),"",ReferenceData!$AR$294),"")</f>
        <v/>
      </c>
      <c r="AS294" t="str">
        <f ca="1">IFERROR(IF(0=LEN(ReferenceData!$AS$294),"",ReferenceData!$AS$294),"")</f>
        <v/>
      </c>
      <c r="AT294" t="str">
        <f ca="1">IFERROR(IF(0=LEN(ReferenceData!$AT$294),"",ReferenceData!$AT$294),"")</f>
        <v/>
      </c>
      <c r="AU294" t="str">
        <f ca="1">IFERROR(IF(0=LEN(ReferenceData!$AU$294),"",ReferenceData!$AU$294),"")</f>
        <v/>
      </c>
      <c r="AV294" t="str">
        <f ca="1">IFERROR(IF(0=LEN(ReferenceData!$AV$294),"",ReferenceData!$AV$294),"")</f>
        <v/>
      </c>
      <c r="AW294" t="str">
        <f ca="1">IFERROR(IF(0=LEN(ReferenceData!$AW$294),"",ReferenceData!$AW$294),"")</f>
        <v/>
      </c>
      <c r="AX294" t="str">
        <f ca="1">IFERROR(IF(0=LEN(ReferenceData!$AX$294),"",ReferenceData!$AX$294),"")</f>
        <v/>
      </c>
      <c r="AY294" t="str">
        <f ca="1">IFERROR(IF(0=LEN(ReferenceData!$AY$294),"",ReferenceData!$AY$294),"")</f>
        <v/>
      </c>
      <c r="AZ294" t="str">
        <f ca="1">IFERROR(IF(0=LEN(ReferenceData!$AZ$294),"",ReferenceData!$AZ$294),"")</f>
        <v/>
      </c>
      <c r="BA294" t="str">
        <f ca="1">IFERROR(IF(0=LEN(ReferenceData!$BA$294),"",ReferenceData!$BA$294),"")</f>
        <v/>
      </c>
      <c r="BB294" t="str">
        <f ca="1">IFERROR(IF(0=LEN(ReferenceData!$BB$294),"",ReferenceData!$BB$294),"")</f>
        <v/>
      </c>
      <c r="BC294" t="str">
        <f ca="1">IFERROR(IF(0=LEN(ReferenceData!$BC$294),"",ReferenceData!$BC$294),"")</f>
        <v/>
      </c>
      <c r="BD294" t="str">
        <f ca="1">IFERROR(IF(0=LEN(ReferenceData!$BD$294),"",ReferenceData!$BD$294),"")</f>
        <v/>
      </c>
      <c r="BE294" t="str">
        <f ca="1">IFERROR(IF(0=LEN(ReferenceData!$BE$294),"",ReferenceData!$BE$294),"")</f>
        <v/>
      </c>
      <c r="BF294" t="str">
        <f ca="1">IFERROR(IF(0=LEN(ReferenceData!$BF$294),"",ReferenceData!$BF$294),"")</f>
        <v/>
      </c>
      <c r="BG294" t="str">
        <f ca="1">IFERROR(IF(0=LEN(ReferenceData!$BG$294),"",ReferenceData!$BG$294),"")</f>
        <v/>
      </c>
      <c r="BH294" t="str">
        <f ca="1">IFERROR(IF(0=LEN(ReferenceData!$BH$294),"",ReferenceData!$BH$294),"")</f>
        <v/>
      </c>
      <c r="BI294" t="str">
        <f ca="1">IFERROR(IF(0=LEN(ReferenceData!$BI$294),"",ReferenceData!$BI$294),"")</f>
        <v/>
      </c>
      <c r="BJ294" t="str">
        <f ca="1">IFERROR(IF(0=LEN(ReferenceData!$BJ$294),"",ReferenceData!$BJ$294),"")</f>
        <v/>
      </c>
      <c r="BK294" t="str">
        <f ca="1">IFERROR(IF(0=LEN(ReferenceData!$BK$294),"",ReferenceData!$BK$294),"")</f>
        <v/>
      </c>
      <c r="BL294" t="str">
        <f ca="1">IFERROR(IF(0=LEN(ReferenceData!$BL$294),"",ReferenceData!$BL$294),"")</f>
        <v/>
      </c>
      <c r="BM294" t="str">
        <f ca="1">IFERROR(IF(0=LEN(ReferenceData!$BM$294),"",ReferenceData!$BM$294),"")</f>
        <v/>
      </c>
    </row>
    <row r="295" spans="1:65" x14ac:dyDescent="0.25">
      <c r="A295" t="str">
        <f>IFERROR(IF(0=LEN(ReferenceData!$A$295),"",ReferenceData!$A$295),"")</f>
        <v xml:space="preserve">    Bayerische Motoren Werke AG</v>
      </c>
      <c r="B295" t="str">
        <f>IFERROR(IF(0=LEN(ReferenceData!$B$295),"",ReferenceData!$B$295),"")</f>
        <v>BMW GR Equity</v>
      </c>
      <c r="C295" t="str">
        <f>IFERROR(IF(0=LEN(ReferenceData!$C$295),"",ReferenceData!$C$295),"")</f>
        <v>RR474</v>
      </c>
      <c r="D295" t="str">
        <f>IFERROR(IF(0=LEN(ReferenceData!$D$295),"",ReferenceData!$D$295),"")</f>
        <v>EV_TO_T12M_EBITDA</v>
      </c>
      <c r="E295" t="str">
        <f>IFERROR(IF(0=LEN(ReferenceData!$E$295),"",ReferenceData!$E$295),"")</f>
        <v>Dynamic</v>
      </c>
      <c r="F295" t="str">
        <f ca="1">IFERROR(IF(0=LEN(ReferenceData!$F$295),"",ReferenceData!$F$295),"")</f>
        <v/>
      </c>
      <c r="G295" t="str">
        <f ca="1">IFERROR(IF(0=LEN(ReferenceData!$G$295),"",ReferenceData!$G$295),"")</f>
        <v/>
      </c>
      <c r="H295">
        <f ca="1">IFERROR(IF(0=LEN(ReferenceData!$H$295),"",ReferenceData!$H$295),"")</f>
        <v>5.1433322400000003</v>
      </c>
      <c r="I295">
        <f ca="1">IFERROR(IF(0=LEN(ReferenceData!$I$295),"",ReferenceData!$I$295),"")</f>
        <v>4.9925144689999996</v>
      </c>
      <c r="J295">
        <f ca="1">IFERROR(IF(0=LEN(ReferenceData!$J$295),"",ReferenceData!$J$295),"")</f>
        <v>5.2045326430000003</v>
      </c>
      <c r="K295">
        <f ca="1">IFERROR(IF(0=LEN(ReferenceData!$K$295),"",ReferenceData!$K$295),"")</f>
        <v>5.1393140089999996</v>
      </c>
      <c r="L295">
        <f ca="1">IFERROR(IF(0=LEN(ReferenceData!$L$295),"",ReferenceData!$L$295),"")</f>
        <v>5.4463889889999999</v>
      </c>
      <c r="M295">
        <f ca="1">IFERROR(IF(0=LEN(ReferenceData!$M$295),"",ReferenceData!$M$295),"")</f>
        <v>5.3578947049999996</v>
      </c>
      <c r="N295">
        <f ca="1">IFERROR(IF(0=LEN(ReferenceData!$N$295),"",ReferenceData!$N$295),"")</f>
        <v>5.5645249080000001</v>
      </c>
      <c r="O295">
        <f ca="1">IFERROR(IF(0=LEN(ReferenceData!$O$295),"",ReferenceData!$O$295),"")</f>
        <v>5.5152162130000004</v>
      </c>
      <c r="P295">
        <f ca="1">IFERROR(IF(0=LEN(ReferenceData!$P$295),"",ReferenceData!$P$295),"")</f>
        <v>5.1702429219999999</v>
      </c>
      <c r="Q295">
        <f ca="1">IFERROR(IF(0=LEN(ReferenceData!$Q$295),"",ReferenceData!$Q$295),"")</f>
        <v>4.6692161319999999</v>
      </c>
      <c r="R295">
        <f ca="1">IFERROR(IF(0=LEN(ReferenceData!$R$295),"",ReferenceData!$R$295),"")</f>
        <v>5.2225668240000003</v>
      </c>
      <c r="S295">
        <f ca="1">IFERROR(IF(0=LEN(ReferenceData!$S$295),"",ReferenceData!$S$295),"")</f>
        <v>5.7506506259999997</v>
      </c>
      <c r="T295">
        <f ca="1">IFERROR(IF(0=LEN(ReferenceData!$T$295),"",ReferenceData!$T$295),"")</f>
        <v>5.220230409</v>
      </c>
      <c r="U295">
        <f ca="1">IFERROR(IF(0=LEN(ReferenceData!$U$295),"",ReferenceData!$U$295),"")</f>
        <v>6.1494852169999996</v>
      </c>
      <c r="V295">
        <f ca="1">IFERROR(IF(0=LEN(ReferenceData!$V$295),"",ReferenceData!$V$295),"")</f>
        <v>6.7810376909999999</v>
      </c>
      <c r="W295">
        <f ca="1">IFERROR(IF(0=LEN(ReferenceData!$W$295),"",ReferenceData!$W$295),"")</f>
        <v>5.6769364250000001</v>
      </c>
      <c r="X295">
        <f ca="1">IFERROR(IF(0=LEN(ReferenceData!$X$295),"",ReferenceData!$X$295),"")</f>
        <v>5.4967387130000001</v>
      </c>
      <c r="Y295">
        <f ca="1">IFERROR(IF(0=LEN(ReferenceData!$Y$295),"",ReferenceData!$Y$295),"")</f>
        <v>6.2011042410000003</v>
      </c>
      <c r="Z295">
        <f ca="1">IFERROR(IF(0=LEN(ReferenceData!$Z$295),"",ReferenceData!$Z$295),"")</f>
        <v>6.1727155409999996</v>
      </c>
      <c r="AA295">
        <f ca="1">IFERROR(IF(0=LEN(ReferenceData!$AA$295),"",ReferenceData!$AA$295),"")</f>
        <v>5.6329433880000002</v>
      </c>
      <c r="AB295">
        <f ca="1">IFERROR(IF(0=LEN(ReferenceData!$AB$295),"",ReferenceData!$AB$295),"")</f>
        <v>5.2297102219999996</v>
      </c>
      <c r="AC295">
        <f ca="1">IFERROR(IF(0=LEN(ReferenceData!$AC$295),"",ReferenceData!$AC$295),"")</f>
        <v>4.4534834080000003</v>
      </c>
      <c r="AD295">
        <f ca="1">IFERROR(IF(0=LEN(ReferenceData!$AD$295),"",ReferenceData!$AD$295),"")</f>
        <v>4.2781162530000003</v>
      </c>
      <c r="AE295">
        <f ca="1">IFERROR(IF(0=LEN(ReferenceData!$AE$295),"",ReferenceData!$AE$295),"")</f>
        <v>4.625673581</v>
      </c>
      <c r="AF295">
        <f ca="1">IFERROR(IF(0=LEN(ReferenceData!$AF$295),"",ReferenceData!$AF$295),"")</f>
        <v>3.9273275390000002</v>
      </c>
      <c r="AG295">
        <f ca="1">IFERROR(IF(0=LEN(ReferenceData!$AG$295),"",ReferenceData!$AG$295),"")</f>
        <v>4.0842045479999998</v>
      </c>
      <c r="AH295">
        <f ca="1">IFERROR(IF(0=LEN(ReferenceData!$AH$295),"",ReferenceData!$AH$295),"")</f>
        <v>4.5265821549999998</v>
      </c>
      <c r="AI295">
        <f ca="1">IFERROR(IF(0=LEN(ReferenceData!$AI$295),"",ReferenceData!$AI$295),"")</f>
        <v>4.1071694870000002</v>
      </c>
      <c r="AJ295">
        <f ca="1">IFERROR(IF(0=LEN(ReferenceData!$AJ$295),"",ReferenceData!$AJ$295),"")</f>
        <v>4.3429995799999999</v>
      </c>
      <c r="AK295">
        <f ca="1">IFERROR(IF(0=LEN(ReferenceData!$AK$295),"",ReferenceData!$AK$295),"")</f>
        <v>4.8429671900000004</v>
      </c>
      <c r="AL295">
        <f ca="1">IFERROR(IF(0=LEN(ReferenceData!$AL$295),"",ReferenceData!$AL$295),"")</f>
        <v>4.5979795809999997</v>
      </c>
      <c r="AM295">
        <f ca="1">IFERROR(IF(0=LEN(ReferenceData!$AM$295),"",ReferenceData!$AM$295),"")</f>
        <v>5.1185823590000004</v>
      </c>
      <c r="AN295">
        <f ca="1">IFERROR(IF(0=LEN(ReferenceData!$AN$295),"",ReferenceData!$AN$295),"")</f>
        <v>4.5801762779999997</v>
      </c>
      <c r="AO295">
        <f ca="1">IFERROR(IF(0=LEN(ReferenceData!$AO$295),"",ReferenceData!$AO$295),"")</f>
        <v>4.9129509709999999</v>
      </c>
      <c r="AP295">
        <f ca="1">IFERROR(IF(0=LEN(ReferenceData!$AP$295),"",ReferenceData!$AP$295),"")</f>
        <v>5.1273683910000001</v>
      </c>
      <c r="AQ295">
        <f ca="1">IFERROR(IF(0=LEN(ReferenceData!$AQ$295),"",ReferenceData!$AQ$295),"")</f>
        <v>5.3131186829999999</v>
      </c>
      <c r="AR295">
        <f ca="1">IFERROR(IF(0=LEN(ReferenceData!$AR$295),"",ReferenceData!$AR$295),"")</f>
        <v>5.2476576909999997</v>
      </c>
      <c r="AS295">
        <f ca="1">IFERROR(IF(0=LEN(ReferenceData!$AS$295),"",ReferenceData!$AS$295),"")</f>
        <v>3.3752178960000001</v>
      </c>
      <c r="AT295">
        <f ca="1">IFERROR(IF(0=LEN(ReferenceData!$AT$295),"",ReferenceData!$AT$295),"")</f>
        <v>3.0727066789999999</v>
      </c>
      <c r="AU295">
        <f ca="1">IFERROR(IF(0=LEN(ReferenceData!$AU$295),"",ReferenceData!$AU$295),"")</f>
        <v>4.2737976480000004</v>
      </c>
      <c r="AV295">
        <f ca="1">IFERROR(IF(0=LEN(ReferenceData!$AV$295),"",ReferenceData!$AV$295),"")</f>
        <v>4.285779174</v>
      </c>
      <c r="AW295">
        <f ca="1">IFERROR(IF(0=LEN(ReferenceData!$AW$295),"",ReferenceData!$AW$295),"")</f>
        <v>4.7795523580000001</v>
      </c>
      <c r="AX295">
        <f ca="1">IFERROR(IF(0=LEN(ReferenceData!$AX$295),"",ReferenceData!$AX$295),"")</f>
        <v>4.8281843809999998</v>
      </c>
      <c r="AY295">
        <f ca="1">IFERROR(IF(0=LEN(ReferenceData!$AY$295),"",ReferenceData!$AY$295),"")</f>
        <v>5.3129027029999998</v>
      </c>
      <c r="AZ295">
        <f ca="1">IFERROR(IF(0=LEN(ReferenceData!$AZ$295),"",ReferenceData!$AZ$295),"")</f>
        <v>5.5783851719999999</v>
      </c>
      <c r="BA295">
        <f ca="1">IFERROR(IF(0=LEN(ReferenceData!$BA$295),"",ReferenceData!$BA$295),"")</f>
        <v>5.8401514570000002</v>
      </c>
      <c r="BB295">
        <f ca="1">IFERROR(IF(0=LEN(ReferenceData!$BB$295),"",ReferenceData!$BB$295),"")</f>
        <v>5.4636852820000001</v>
      </c>
      <c r="BC295">
        <f ca="1">IFERROR(IF(0=LEN(ReferenceData!$BC$295),"",ReferenceData!$BC$295),"")</f>
        <v>5.5517718909999996</v>
      </c>
      <c r="BD295">
        <f ca="1">IFERROR(IF(0=LEN(ReferenceData!$BD$295),"",ReferenceData!$BD$295),"")</f>
        <v>5.2743274920000003</v>
      </c>
      <c r="BE295">
        <f ca="1">IFERROR(IF(0=LEN(ReferenceData!$BE$295),"",ReferenceData!$BE$295),"")</f>
        <v>5.0123948550000001</v>
      </c>
      <c r="BF295">
        <f ca="1">IFERROR(IF(0=LEN(ReferenceData!$BF$295),"",ReferenceData!$BF$295),"")</f>
        <v>5.5629523809999997</v>
      </c>
      <c r="BG295">
        <f ca="1">IFERROR(IF(0=LEN(ReferenceData!$BG$295),"",ReferenceData!$BG$295),"")</f>
        <v>5.3443734100000002</v>
      </c>
      <c r="BH295">
        <f ca="1">IFERROR(IF(0=LEN(ReferenceData!$BH$295),"",ReferenceData!$BH$295),"")</f>
        <v>5.4190935439999999</v>
      </c>
      <c r="BI295">
        <f ca="1">IFERROR(IF(0=LEN(ReferenceData!$BI$295),"",ReferenceData!$BI$295),"")</f>
        <v>5.4362924860000001</v>
      </c>
      <c r="BJ295">
        <f ca="1">IFERROR(IF(0=LEN(ReferenceData!$BJ$295),"",ReferenceData!$BJ$295),"")</f>
        <v>5.3007505940000001</v>
      </c>
      <c r="BK295">
        <f ca="1">IFERROR(IF(0=LEN(ReferenceData!$BK$295),"",ReferenceData!$BK$295),"")</f>
        <v>4.9799064409999998</v>
      </c>
      <c r="BL295">
        <f ca="1">IFERROR(IF(0=LEN(ReferenceData!$BL$295),"",ReferenceData!$BL$295),"")</f>
        <v>5.222405084</v>
      </c>
      <c r="BM295">
        <f ca="1">IFERROR(IF(0=LEN(ReferenceData!$BM$295),"",ReferenceData!$BM$295),"")</f>
        <v>5.594652999</v>
      </c>
    </row>
    <row r="296" spans="1:65" x14ac:dyDescent="0.25">
      <c r="A296" t="str">
        <f>IFERROR(IF(0=LEN(ReferenceData!$A$296),"",ReferenceData!$A$296),"")</f>
        <v xml:space="preserve">    Brilliance China Automotive Holdings Ltd</v>
      </c>
      <c r="B296" t="str">
        <f>IFERROR(IF(0=LEN(ReferenceData!$B$296),"",ReferenceData!$B$296),"")</f>
        <v>1114 HK Equity</v>
      </c>
      <c r="C296" t="str">
        <f>IFERROR(IF(0=LEN(ReferenceData!$C$296),"",ReferenceData!$C$296),"")</f>
        <v>RR474</v>
      </c>
      <c r="D296" t="str">
        <f>IFERROR(IF(0=LEN(ReferenceData!$D$296),"",ReferenceData!$D$296),"")</f>
        <v>EV_TO_T12M_EBITDA</v>
      </c>
      <c r="E296" t="str">
        <f>IFERROR(IF(0=LEN(ReferenceData!$E$296),"",ReferenceData!$E$296),"")</f>
        <v>Dynamic</v>
      </c>
      <c r="F296" t="str">
        <f ca="1">IFERROR(IF(0=LEN(ReferenceData!$F$296),"",ReferenceData!$F$296),"")</f>
        <v/>
      </c>
      <c r="G296" t="str">
        <f ca="1">IFERROR(IF(0=LEN(ReferenceData!$G$296),"",ReferenceData!$G$296),"")</f>
        <v/>
      </c>
      <c r="H296" t="str">
        <f ca="1">IFERROR(IF(0=LEN(ReferenceData!$H$296),"",ReferenceData!$H$296),"")</f>
        <v/>
      </c>
      <c r="I296" t="str">
        <f ca="1">IFERROR(IF(0=LEN(ReferenceData!$I$296),"",ReferenceData!$I$296),"")</f>
        <v/>
      </c>
      <c r="J296" t="str">
        <f ca="1">IFERROR(IF(0=LEN(ReferenceData!$J$296),"",ReferenceData!$J$296),"")</f>
        <v/>
      </c>
      <c r="K296" t="str">
        <f ca="1">IFERROR(IF(0=LEN(ReferenceData!$K$296),"",ReferenceData!$K$296),"")</f>
        <v/>
      </c>
      <c r="L296" t="str">
        <f ca="1">IFERROR(IF(0=LEN(ReferenceData!$L$296),"",ReferenceData!$L$296),"")</f>
        <v/>
      </c>
      <c r="M296" t="str">
        <f ca="1">IFERROR(IF(0=LEN(ReferenceData!$M$296),"",ReferenceData!$M$296),"")</f>
        <v/>
      </c>
      <c r="N296" t="str">
        <f ca="1">IFERROR(IF(0=LEN(ReferenceData!$N$296),"",ReferenceData!$N$296),"")</f>
        <v/>
      </c>
      <c r="O296" t="str">
        <f ca="1">IFERROR(IF(0=LEN(ReferenceData!$O$296),"",ReferenceData!$O$296),"")</f>
        <v/>
      </c>
      <c r="P296" t="str">
        <f ca="1">IFERROR(IF(0=LEN(ReferenceData!$P$296),"",ReferenceData!$P$296),"")</f>
        <v/>
      </c>
      <c r="Q296" t="str">
        <f ca="1">IFERROR(IF(0=LEN(ReferenceData!$Q$296),"",ReferenceData!$Q$296),"")</f>
        <v/>
      </c>
      <c r="R296" t="str">
        <f ca="1">IFERROR(IF(0=LEN(ReferenceData!$R$296),"",ReferenceData!$R$296),"")</f>
        <v/>
      </c>
      <c r="S296" t="str">
        <f ca="1">IFERROR(IF(0=LEN(ReferenceData!$S$296),"",ReferenceData!$S$296),"")</f>
        <v/>
      </c>
      <c r="T296" t="str">
        <f ca="1">IFERROR(IF(0=LEN(ReferenceData!$T$296),"",ReferenceData!$T$296),"")</f>
        <v/>
      </c>
      <c r="U296" t="str">
        <f ca="1">IFERROR(IF(0=LEN(ReferenceData!$U$296),"",ReferenceData!$U$296),"")</f>
        <v/>
      </c>
      <c r="V296" t="str">
        <f ca="1">IFERROR(IF(0=LEN(ReferenceData!$V$296),"",ReferenceData!$V$296),"")</f>
        <v/>
      </c>
      <c r="W296" t="str">
        <f ca="1">IFERROR(IF(0=LEN(ReferenceData!$W$296),"",ReferenceData!$W$296),"")</f>
        <v/>
      </c>
      <c r="X296" t="str">
        <f ca="1">IFERROR(IF(0=LEN(ReferenceData!$X$296),"",ReferenceData!$X$296),"")</f>
        <v/>
      </c>
      <c r="Y296" t="str">
        <f ca="1">IFERROR(IF(0=LEN(ReferenceData!$Y$296),"",ReferenceData!$Y$296),"")</f>
        <v/>
      </c>
      <c r="Z296" t="str">
        <f ca="1">IFERROR(IF(0=LEN(ReferenceData!$Z$296),"",ReferenceData!$Z$296),"")</f>
        <v/>
      </c>
      <c r="AA296" t="str">
        <f ca="1">IFERROR(IF(0=LEN(ReferenceData!$AA$296),"",ReferenceData!$AA$296),"")</f>
        <v/>
      </c>
      <c r="AB296" t="str">
        <f ca="1">IFERROR(IF(0=LEN(ReferenceData!$AB$296),"",ReferenceData!$AB$296),"")</f>
        <v/>
      </c>
      <c r="AC296" t="str">
        <f ca="1">IFERROR(IF(0=LEN(ReferenceData!$AC$296),"",ReferenceData!$AC$296),"")</f>
        <v/>
      </c>
      <c r="AD296" t="str">
        <f ca="1">IFERROR(IF(0=LEN(ReferenceData!$AD$296),"",ReferenceData!$AD$296),"")</f>
        <v/>
      </c>
      <c r="AE296" t="str">
        <f ca="1">IFERROR(IF(0=LEN(ReferenceData!$AE$296),"",ReferenceData!$AE$296),"")</f>
        <v/>
      </c>
      <c r="AF296" t="str">
        <f ca="1">IFERROR(IF(0=LEN(ReferenceData!$AF$296),"",ReferenceData!$AF$296),"")</f>
        <v/>
      </c>
      <c r="AG296" t="str">
        <f ca="1">IFERROR(IF(0=LEN(ReferenceData!$AG$296),"",ReferenceData!$AG$296),"")</f>
        <v/>
      </c>
      <c r="AH296" t="str">
        <f ca="1">IFERROR(IF(0=LEN(ReferenceData!$AH$296),"",ReferenceData!$AH$296),"")</f>
        <v/>
      </c>
      <c r="AI296" t="str">
        <f ca="1">IFERROR(IF(0=LEN(ReferenceData!$AI$296),"",ReferenceData!$AI$296),"")</f>
        <v/>
      </c>
      <c r="AJ296" t="str">
        <f ca="1">IFERROR(IF(0=LEN(ReferenceData!$AJ$296),"",ReferenceData!$AJ$296),"")</f>
        <v/>
      </c>
      <c r="AK296" t="str">
        <f ca="1">IFERROR(IF(0=LEN(ReferenceData!$AK$296),"",ReferenceData!$AK$296),"")</f>
        <v/>
      </c>
      <c r="AL296" t="str">
        <f ca="1">IFERROR(IF(0=LEN(ReferenceData!$AL$296),"",ReferenceData!$AL$296),"")</f>
        <v/>
      </c>
      <c r="AM296" t="str">
        <f ca="1">IFERROR(IF(0=LEN(ReferenceData!$AM$296),"",ReferenceData!$AM$296),"")</f>
        <v/>
      </c>
      <c r="AN296" t="str">
        <f ca="1">IFERROR(IF(0=LEN(ReferenceData!$AN$296),"",ReferenceData!$AN$296),"")</f>
        <v/>
      </c>
      <c r="AO296" t="str">
        <f ca="1">IFERROR(IF(0=LEN(ReferenceData!$AO$296),"",ReferenceData!$AO$296),"")</f>
        <v/>
      </c>
      <c r="AP296" t="str">
        <f ca="1">IFERROR(IF(0=LEN(ReferenceData!$AP$296),"",ReferenceData!$AP$296),"")</f>
        <v/>
      </c>
      <c r="AQ296" t="str">
        <f ca="1">IFERROR(IF(0=LEN(ReferenceData!$AQ$296),"",ReferenceData!$AQ$296),"")</f>
        <v/>
      </c>
      <c r="AR296" t="str">
        <f ca="1">IFERROR(IF(0=LEN(ReferenceData!$AR$296),"",ReferenceData!$AR$296),"")</f>
        <v/>
      </c>
      <c r="AS296" t="str">
        <f ca="1">IFERROR(IF(0=LEN(ReferenceData!$AS$296),"",ReferenceData!$AS$296),"")</f>
        <v/>
      </c>
      <c r="AT296" t="str">
        <f ca="1">IFERROR(IF(0=LEN(ReferenceData!$AT$296),"",ReferenceData!$AT$296),"")</f>
        <v/>
      </c>
      <c r="AU296" t="str">
        <f ca="1">IFERROR(IF(0=LEN(ReferenceData!$AU$296),"",ReferenceData!$AU$296),"")</f>
        <v/>
      </c>
      <c r="AV296" t="str">
        <f ca="1">IFERROR(IF(0=LEN(ReferenceData!$AV$296),"",ReferenceData!$AV$296),"")</f>
        <v/>
      </c>
      <c r="AW296" t="str">
        <f ca="1">IFERROR(IF(0=LEN(ReferenceData!$AW$296),"",ReferenceData!$AW$296),"")</f>
        <v/>
      </c>
      <c r="AX296" t="str">
        <f ca="1">IFERROR(IF(0=LEN(ReferenceData!$AX$296),"",ReferenceData!$AX$296),"")</f>
        <v/>
      </c>
      <c r="AY296" t="str">
        <f ca="1">IFERROR(IF(0=LEN(ReferenceData!$AY$296),"",ReferenceData!$AY$296),"")</f>
        <v/>
      </c>
      <c r="AZ296" t="str">
        <f ca="1">IFERROR(IF(0=LEN(ReferenceData!$AZ$296),"",ReferenceData!$AZ$296),"")</f>
        <v/>
      </c>
      <c r="BA296" t="str">
        <f ca="1">IFERROR(IF(0=LEN(ReferenceData!$BA$296),"",ReferenceData!$BA$296),"")</f>
        <v/>
      </c>
      <c r="BB296" t="str">
        <f ca="1">IFERROR(IF(0=LEN(ReferenceData!$BB$296),"",ReferenceData!$BB$296),"")</f>
        <v/>
      </c>
      <c r="BC296" t="str">
        <f ca="1">IFERROR(IF(0=LEN(ReferenceData!$BC$296),"",ReferenceData!$BC$296),"")</f>
        <v/>
      </c>
      <c r="BD296" t="str">
        <f ca="1">IFERROR(IF(0=LEN(ReferenceData!$BD$296),"",ReferenceData!$BD$296),"")</f>
        <v/>
      </c>
      <c r="BE296" t="str">
        <f ca="1">IFERROR(IF(0=LEN(ReferenceData!$BE$296),"",ReferenceData!$BE$296),"")</f>
        <v/>
      </c>
      <c r="BF296" t="str">
        <f ca="1">IFERROR(IF(0=LEN(ReferenceData!$BF$296),"",ReferenceData!$BF$296),"")</f>
        <v/>
      </c>
      <c r="BG296" t="str">
        <f ca="1">IFERROR(IF(0=LEN(ReferenceData!$BG$296),"",ReferenceData!$BG$296),"")</f>
        <v/>
      </c>
      <c r="BH296" t="str">
        <f ca="1">IFERROR(IF(0=LEN(ReferenceData!$BH$296),"",ReferenceData!$BH$296),"")</f>
        <v/>
      </c>
      <c r="BI296" t="str">
        <f ca="1">IFERROR(IF(0=LEN(ReferenceData!$BI$296),"",ReferenceData!$BI$296),"")</f>
        <v/>
      </c>
      <c r="BJ296" t="str">
        <f ca="1">IFERROR(IF(0=LEN(ReferenceData!$BJ$296),"",ReferenceData!$BJ$296),"")</f>
        <v/>
      </c>
      <c r="BK296" t="str">
        <f ca="1">IFERROR(IF(0=LEN(ReferenceData!$BK$296),"",ReferenceData!$BK$296),"")</f>
        <v/>
      </c>
      <c r="BL296" t="str">
        <f ca="1">IFERROR(IF(0=LEN(ReferenceData!$BL$296),"",ReferenceData!$BL$296),"")</f>
        <v/>
      </c>
      <c r="BM296" t="str">
        <f ca="1">IFERROR(IF(0=LEN(ReferenceData!$BM$296),"",ReferenceData!$BM$296),"")</f>
        <v/>
      </c>
    </row>
    <row r="297" spans="1:65" x14ac:dyDescent="0.25">
      <c r="A297" t="str">
        <f>IFERROR(IF(0=LEN(ReferenceData!$A$297),"",ReferenceData!$A$297),"")</f>
        <v xml:space="preserve">    BYD Co Ltd</v>
      </c>
      <c r="B297" t="str">
        <f>IFERROR(IF(0=LEN(ReferenceData!$B$297),"",ReferenceData!$B$297),"")</f>
        <v>1211 HK Equity</v>
      </c>
      <c r="C297" t="str">
        <f>IFERROR(IF(0=LEN(ReferenceData!$C$297),"",ReferenceData!$C$297),"")</f>
        <v>RR474</v>
      </c>
      <c r="D297" t="str">
        <f>IFERROR(IF(0=LEN(ReferenceData!$D$297),"",ReferenceData!$D$297),"")</f>
        <v>EV_TO_T12M_EBITDA</v>
      </c>
      <c r="E297" t="str">
        <f>IFERROR(IF(0=LEN(ReferenceData!$E$297),"",ReferenceData!$E$297),"")</f>
        <v>Dynamic</v>
      </c>
      <c r="F297" t="str">
        <f ca="1">IFERROR(IF(0=LEN(ReferenceData!$F$297),"",ReferenceData!$F$297),"")</f>
        <v/>
      </c>
      <c r="G297" t="str">
        <f ca="1">IFERROR(IF(0=LEN(ReferenceData!$G$297),"",ReferenceData!$G$297),"")</f>
        <v/>
      </c>
      <c r="H297" t="str">
        <f ca="1">IFERROR(IF(0=LEN(ReferenceData!$H$297),"",ReferenceData!$H$297),"")</f>
        <v/>
      </c>
      <c r="I297" t="str">
        <f ca="1">IFERROR(IF(0=LEN(ReferenceData!$I$297),"",ReferenceData!$I$297),"")</f>
        <v/>
      </c>
      <c r="J297" t="str">
        <f ca="1">IFERROR(IF(0=LEN(ReferenceData!$J$297),"",ReferenceData!$J$297),"")</f>
        <v/>
      </c>
      <c r="K297" t="str">
        <f ca="1">IFERROR(IF(0=LEN(ReferenceData!$K$297),"",ReferenceData!$K$297),"")</f>
        <v/>
      </c>
      <c r="L297" t="str">
        <f ca="1">IFERROR(IF(0=LEN(ReferenceData!$L$297),"",ReferenceData!$L$297),"")</f>
        <v/>
      </c>
      <c r="M297" t="str">
        <f ca="1">IFERROR(IF(0=LEN(ReferenceData!$M$297),"",ReferenceData!$M$297),"")</f>
        <v/>
      </c>
      <c r="N297" t="str">
        <f ca="1">IFERROR(IF(0=LEN(ReferenceData!$N$297),"",ReferenceData!$N$297),"")</f>
        <v/>
      </c>
      <c r="O297" t="str">
        <f ca="1">IFERROR(IF(0=LEN(ReferenceData!$O$297),"",ReferenceData!$O$297),"")</f>
        <v/>
      </c>
      <c r="P297" t="str">
        <f ca="1">IFERROR(IF(0=LEN(ReferenceData!$P$297),"",ReferenceData!$P$297),"")</f>
        <v/>
      </c>
      <c r="Q297" t="str">
        <f ca="1">IFERROR(IF(0=LEN(ReferenceData!$Q$297),"",ReferenceData!$Q$297),"")</f>
        <v/>
      </c>
      <c r="R297" t="str">
        <f ca="1">IFERROR(IF(0=LEN(ReferenceData!$R$297),"",ReferenceData!$R$297),"")</f>
        <v/>
      </c>
      <c r="S297" t="str">
        <f ca="1">IFERROR(IF(0=LEN(ReferenceData!$S$297),"",ReferenceData!$S$297),"")</f>
        <v/>
      </c>
      <c r="T297" t="str">
        <f ca="1">IFERROR(IF(0=LEN(ReferenceData!$T$297),"",ReferenceData!$T$297),"")</f>
        <v/>
      </c>
      <c r="U297" t="str">
        <f ca="1">IFERROR(IF(0=LEN(ReferenceData!$U$297),"",ReferenceData!$U$297),"")</f>
        <v/>
      </c>
      <c r="V297" t="str">
        <f ca="1">IFERROR(IF(0=LEN(ReferenceData!$V$297),"",ReferenceData!$V$297),"")</f>
        <v/>
      </c>
      <c r="W297" t="str">
        <f ca="1">IFERROR(IF(0=LEN(ReferenceData!$W$297),"",ReferenceData!$W$297),"")</f>
        <v/>
      </c>
      <c r="X297" t="str">
        <f ca="1">IFERROR(IF(0=LEN(ReferenceData!$X$297),"",ReferenceData!$X$297),"")</f>
        <v/>
      </c>
      <c r="Y297" t="str">
        <f ca="1">IFERROR(IF(0=LEN(ReferenceData!$Y$297),"",ReferenceData!$Y$297),"")</f>
        <v/>
      </c>
      <c r="Z297" t="str">
        <f ca="1">IFERROR(IF(0=LEN(ReferenceData!$Z$297),"",ReferenceData!$Z$297),"")</f>
        <v/>
      </c>
      <c r="AA297" t="str">
        <f ca="1">IFERROR(IF(0=LEN(ReferenceData!$AA$297),"",ReferenceData!$AA$297),"")</f>
        <v/>
      </c>
      <c r="AB297" t="str">
        <f ca="1">IFERROR(IF(0=LEN(ReferenceData!$AB$297),"",ReferenceData!$AB$297),"")</f>
        <v/>
      </c>
      <c r="AC297" t="str">
        <f ca="1">IFERROR(IF(0=LEN(ReferenceData!$AC$297),"",ReferenceData!$AC$297),"")</f>
        <v/>
      </c>
      <c r="AD297" t="str">
        <f ca="1">IFERROR(IF(0=LEN(ReferenceData!$AD$297),"",ReferenceData!$AD$297),"")</f>
        <v/>
      </c>
      <c r="AE297" t="str">
        <f ca="1">IFERROR(IF(0=LEN(ReferenceData!$AE$297),"",ReferenceData!$AE$297),"")</f>
        <v/>
      </c>
      <c r="AF297" t="str">
        <f ca="1">IFERROR(IF(0=LEN(ReferenceData!$AF$297),"",ReferenceData!$AF$297),"")</f>
        <v/>
      </c>
      <c r="AG297" t="str">
        <f ca="1">IFERROR(IF(0=LEN(ReferenceData!$AG$297),"",ReferenceData!$AG$297),"")</f>
        <v/>
      </c>
      <c r="AH297" t="str">
        <f ca="1">IFERROR(IF(0=LEN(ReferenceData!$AH$297),"",ReferenceData!$AH$297),"")</f>
        <v/>
      </c>
      <c r="AI297" t="str">
        <f ca="1">IFERROR(IF(0=LEN(ReferenceData!$AI$297),"",ReferenceData!$AI$297),"")</f>
        <v/>
      </c>
      <c r="AJ297" t="str">
        <f ca="1">IFERROR(IF(0=LEN(ReferenceData!$AJ$297),"",ReferenceData!$AJ$297),"")</f>
        <v/>
      </c>
      <c r="AK297" t="str">
        <f ca="1">IFERROR(IF(0=LEN(ReferenceData!$AK$297),"",ReferenceData!$AK$297),"")</f>
        <v/>
      </c>
      <c r="AL297" t="str">
        <f ca="1">IFERROR(IF(0=LEN(ReferenceData!$AL$297),"",ReferenceData!$AL$297),"")</f>
        <v/>
      </c>
      <c r="AM297" t="str">
        <f ca="1">IFERROR(IF(0=LEN(ReferenceData!$AM$297),"",ReferenceData!$AM$297),"")</f>
        <v/>
      </c>
      <c r="AN297" t="str">
        <f ca="1">IFERROR(IF(0=LEN(ReferenceData!$AN$297),"",ReferenceData!$AN$297),"")</f>
        <v/>
      </c>
      <c r="AO297" t="str">
        <f ca="1">IFERROR(IF(0=LEN(ReferenceData!$AO$297),"",ReferenceData!$AO$297),"")</f>
        <v/>
      </c>
      <c r="AP297" t="str">
        <f ca="1">IFERROR(IF(0=LEN(ReferenceData!$AP$297),"",ReferenceData!$AP$297),"")</f>
        <v/>
      </c>
      <c r="AQ297" t="str">
        <f ca="1">IFERROR(IF(0=LEN(ReferenceData!$AQ$297),"",ReferenceData!$AQ$297),"")</f>
        <v/>
      </c>
      <c r="AR297" t="str">
        <f ca="1">IFERROR(IF(0=LEN(ReferenceData!$AR$297),"",ReferenceData!$AR$297),"")</f>
        <v/>
      </c>
      <c r="AS297" t="str">
        <f ca="1">IFERROR(IF(0=LEN(ReferenceData!$AS$297),"",ReferenceData!$AS$297),"")</f>
        <v/>
      </c>
      <c r="AT297" t="str">
        <f ca="1">IFERROR(IF(0=LEN(ReferenceData!$AT$297),"",ReferenceData!$AT$297),"")</f>
        <v/>
      </c>
      <c r="AU297" t="str">
        <f ca="1">IFERROR(IF(0=LEN(ReferenceData!$AU$297),"",ReferenceData!$AU$297),"")</f>
        <v/>
      </c>
      <c r="AV297" t="str">
        <f ca="1">IFERROR(IF(0=LEN(ReferenceData!$AV$297),"",ReferenceData!$AV$297),"")</f>
        <v/>
      </c>
      <c r="AW297" t="str">
        <f ca="1">IFERROR(IF(0=LEN(ReferenceData!$AW$297),"",ReferenceData!$AW$297),"")</f>
        <v/>
      </c>
      <c r="AX297" t="str">
        <f ca="1">IFERROR(IF(0=LEN(ReferenceData!$AX$297),"",ReferenceData!$AX$297),"")</f>
        <v/>
      </c>
      <c r="AY297" t="str">
        <f ca="1">IFERROR(IF(0=LEN(ReferenceData!$AY$297),"",ReferenceData!$AY$297),"")</f>
        <v/>
      </c>
      <c r="AZ297" t="str">
        <f ca="1">IFERROR(IF(0=LEN(ReferenceData!$AZ$297),"",ReferenceData!$AZ$297),"")</f>
        <v/>
      </c>
      <c r="BA297" t="str">
        <f ca="1">IFERROR(IF(0=LEN(ReferenceData!$BA$297),"",ReferenceData!$BA$297),"")</f>
        <v/>
      </c>
      <c r="BB297" t="str">
        <f ca="1">IFERROR(IF(0=LEN(ReferenceData!$BB$297),"",ReferenceData!$BB$297),"")</f>
        <v/>
      </c>
      <c r="BC297" t="str">
        <f ca="1">IFERROR(IF(0=LEN(ReferenceData!$BC$297),"",ReferenceData!$BC$297),"")</f>
        <v/>
      </c>
      <c r="BD297" t="str">
        <f ca="1">IFERROR(IF(0=LEN(ReferenceData!$BD$297),"",ReferenceData!$BD$297),"")</f>
        <v/>
      </c>
      <c r="BE297" t="str">
        <f ca="1">IFERROR(IF(0=LEN(ReferenceData!$BE$297),"",ReferenceData!$BE$297),"")</f>
        <v/>
      </c>
      <c r="BF297" t="str">
        <f ca="1">IFERROR(IF(0=LEN(ReferenceData!$BF$297),"",ReferenceData!$BF$297),"")</f>
        <v/>
      </c>
      <c r="BG297" t="str">
        <f ca="1">IFERROR(IF(0=LEN(ReferenceData!$BG$297),"",ReferenceData!$BG$297),"")</f>
        <v/>
      </c>
      <c r="BH297" t="str">
        <f ca="1">IFERROR(IF(0=LEN(ReferenceData!$BH$297),"",ReferenceData!$BH$297),"")</f>
        <v/>
      </c>
      <c r="BI297" t="str">
        <f ca="1">IFERROR(IF(0=LEN(ReferenceData!$BI$297),"",ReferenceData!$BI$297),"")</f>
        <v/>
      </c>
      <c r="BJ297" t="str">
        <f ca="1">IFERROR(IF(0=LEN(ReferenceData!$BJ$297),"",ReferenceData!$BJ$297),"")</f>
        <v/>
      </c>
      <c r="BK297" t="str">
        <f ca="1">IFERROR(IF(0=LEN(ReferenceData!$BK$297),"",ReferenceData!$BK$297),"")</f>
        <v/>
      </c>
      <c r="BL297" t="str">
        <f ca="1">IFERROR(IF(0=LEN(ReferenceData!$BL$297),"",ReferenceData!$BL$297),"")</f>
        <v/>
      </c>
      <c r="BM297" t="str">
        <f ca="1">IFERROR(IF(0=LEN(ReferenceData!$BM$297),"",ReferenceData!$BM$297),"")</f>
        <v/>
      </c>
    </row>
    <row r="298" spans="1:65" x14ac:dyDescent="0.25">
      <c r="A298" t="str">
        <f>IFERROR(IF(0=LEN(ReferenceData!$A$298),"",ReferenceData!$A$298),"")</f>
        <v xml:space="preserve">    Chongqing Changan Automobile Co Ltd</v>
      </c>
      <c r="B298" t="str">
        <f>IFERROR(IF(0=LEN(ReferenceData!$B$298),"",ReferenceData!$B$298),"")</f>
        <v>200625 CH Equity</v>
      </c>
      <c r="C298" t="str">
        <f>IFERROR(IF(0=LEN(ReferenceData!$C$298),"",ReferenceData!$C$298),"")</f>
        <v>RR474</v>
      </c>
      <c r="D298" t="str">
        <f>IFERROR(IF(0=LEN(ReferenceData!$D$298),"",ReferenceData!$D$298),"")</f>
        <v>EV_TO_T12M_EBITDA</v>
      </c>
      <c r="E298" t="str">
        <f>IFERROR(IF(0=LEN(ReferenceData!$E$298),"",ReferenceData!$E$298),"")</f>
        <v>Dynamic</v>
      </c>
      <c r="F298" t="str">
        <f ca="1">IFERROR(IF(0=LEN(ReferenceData!$F$298),"",ReferenceData!$F$298),"")</f>
        <v/>
      </c>
      <c r="G298" t="str">
        <f ca="1">IFERROR(IF(0=LEN(ReferenceData!$G$298),"",ReferenceData!$G$298),"")</f>
        <v/>
      </c>
      <c r="H298" t="str">
        <f ca="1">IFERROR(IF(0=LEN(ReferenceData!$H$298),"",ReferenceData!$H$298),"")</f>
        <v/>
      </c>
      <c r="I298" t="str">
        <f ca="1">IFERROR(IF(0=LEN(ReferenceData!$I$298),"",ReferenceData!$I$298),"")</f>
        <v/>
      </c>
      <c r="J298" t="str">
        <f ca="1">IFERROR(IF(0=LEN(ReferenceData!$J$298),"",ReferenceData!$J$298),"")</f>
        <v/>
      </c>
      <c r="K298" t="str">
        <f ca="1">IFERROR(IF(0=LEN(ReferenceData!$K$298),"",ReferenceData!$K$298),"")</f>
        <v/>
      </c>
      <c r="L298" t="str">
        <f ca="1">IFERROR(IF(0=LEN(ReferenceData!$L$298),"",ReferenceData!$L$298),"")</f>
        <v/>
      </c>
      <c r="M298" t="str">
        <f ca="1">IFERROR(IF(0=LEN(ReferenceData!$M$298),"",ReferenceData!$M$298),"")</f>
        <v/>
      </c>
      <c r="N298" t="str">
        <f ca="1">IFERROR(IF(0=LEN(ReferenceData!$N$298),"",ReferenceData!$N$298),"")</f>
        <v/>
      </c>
      <c r="O298" t="str">
        <f ca="1">IFERROR(IF(0=LEN(ReferenceData!$O$298),"",ReferenceData!$O$298),"")</f>
        <v/>
      </c>
      <c r="P298" t="str">
        <f ca="1">IFERROR(IF(0=LEN(ReferenceData!$P$298),"",ReferenceData!$P$298),"")</f>
        <v/>
      </c>
      <c r="Q298" t="str">
        <f ca="1">IFERROR(IF(0=LEN(ReferenceData!$Q$298),"",ReferenceData!$Q$298),"")</f>
        <v/>
      </c>
      <c r="R298" t="str">
        <f ca="1">IFERROR(IF(0=LEN(ReferenceData!$R$298),"",ReferenceData!$R$298),"")</f>
        <v/>
      </c>
      <c r="S298" t="str">
        <f ca="1">IFERROR(IF(0=LEN(ReferenceData!$S$298),"",ReferenceData!$S$298),"")</f>
        <v/>
      </c>
      <c r="T298" t="str">
        <f ca="1">IFERROR(IF(0=LEN(ReferenceData!$T$298),"",ReferenceData!$T$298),"")</f>
        <v/>
      </c>
      <c r="U298" t="str">
        <f ca="1">IFERROR(IF(0=LEN(ReferenceData!$U$298),"",ReferenceData!$U$298),"")</f>
        <v/>
      </c>
      <c r="V298" t="str">
        <f ca="1">IFERROR(IF(0=LEN(ReferenceData!$V$298),"",ReferenceData!$V$298),"")</f>
        <v/>
      </c>
      <c r="W298" t="str">
        <f ca="1">IFERROR(IF(0=LEN(ReferenceData!$W$298),"",ReferenceData!$W$298),"")</f>
        <v/>
      </c>
      <c r="X298" t="str">
        <f ca="1">IFERROR(IF(0=LEN(ReferenceData!$X$298),"",ReferenceData!$X$298),"")</f>
        <v/>
      </c>
      <c r="Y298" t="str">
        <f ca="1">IFERROR(IF(0=LEN(ReferenceData!$Y$298),"",ReferenceData!$Y$298),"")</f>
        <v/>
      </c>
      <c r="Z298" t="str">
        <f ca="1">IFERROR(IF(0=LEN(ReferenceData!$Z$298),"",ReferenceData!$Z$298),"")</f>
        <v/>
      </c>
      <c r="AA298" t="str">
        <f ca="1">IFERROR(IF(0=LEN(ReferenceData!$AA$298),"",ReferenceData!$AA$298),"")</f>
        <v/>
      </c>
      <c r="AB298" t="str">
        <f ca="1">IFERROR(IF(0=LEN(ReferenceData!$AB$298),"",ReferenceData!$AB$298),"")</f>
        <v/>
      </c>
      <c r="AC298" t="str">
        <f ca="1">IFERROR(IF(0=LEN(ReferenceData!$AC$298),"",ReferenceData!$AC$298),"")</f>
        <v/>
      </c>
      <c r="AD298" t="str">
        <f ca="1">IFERROR(IF(0=LEN(ReferenceData!$AD$298),"",ReferenceData!$AD$298),"")</f>
        <v/>
      </c>
      <c r="AE298" t="str">
        <f ca="1">IFERROR(IF(0=LEN(ReferenceData!$AE$298),"",ReferenceData!$AE$298),"")</f>
        <v/>
      </c>
      <c r="AF298" t="str">
        <f ca="1">IFERROR(IF(0=LEN(ReferenceData!$AF$298),"",ReferenceData!$AF$298),"")</f>
        <v/>
      </c>
      <c r="AG298" t="str">
        <f ca="1">IFERROR(IF(0=LEN(ReferenceData!$AG$298),"",ReferenceData!$AG$298),"")</f>
        <v/>
      </c>
      <c r="AH298" t="str">
        <f ca="1">IFERROR(IF(0=LEN(ReferenceData!$AH$298),"",ReferenceData!$AH$298),"")</f>
        <v/>
      </c>
      <c r="AI298" t="str">
        <f ca="1">IFERROR(IF(0=LEN(ReferenceData!$AI$298),"",ReferenceData!$AI$298),"")</f>
        <v/>
      </c>
      <c r="AJ298" t="str">
        <f ca="1">IFERROR(IF(0=LEN(ReferenceData!$AJ$298),"",ReferenceData!$AJ$298),"")</f>
        <v/>
      </c>
      <c r="AK298" t="str">
        <f ca="1">IFERROR(IF(0=LEN(ReferenceData!$AK$298),"",ReferenceData!$AK$298),"")</f>
        <v/>
      </c>
      <c r="AL298" t="str">
        <f ca="1">IFERROR(IF(0=LEN(ReferenceData!$AL$298),"",ReferenceData!$AL$298),"")</f>
        <v/>
      </c>
      <c r="AM298" t="str">
        <f ca="1">IFERROR(IF(0=LEN(ReferenceData!$AM$298),"",ReferenceData!$AM$298),"")</f>
        <v/>
      </c>
      <c r="AN298" t="str">
        <f ca="1">IFERROR(IF(0=LEN(ReferenceData!$AN$298),"",ReferenceData!$AN$298),"")</f>
        <v/>
      </c>
      <c r="AO298" t="str">
        <f ca="1">IFERROR(IF(0=LEN(ReferenceData!$AO$298),"",ReferenceData!$AO$298),"")</f>
        <v/>
      </c>
      <c r="AP298" t="str">
        <f ca="1">IFERROR(IF(0=LEN(ReferenceData!$AP$298),"",ReferenceData!$AP$298),"")</f>
        <v/>
      </c>
      <c r="AQ298" t="str">
        <f ca="1">IFERROR(IF(0=LEN(ReferenceData!$AQ$298),"",ReferenceData!$AQ$298),"")</f>
        <v/>
      </c>
      <c r="AR298" t="str">
        <f ca="1">IFERROR(IF(0=LEN(ReferenceData!$AR$298),"",ReferenceData!$AR$298),"")</f>
        <v/>
      </c>
      <c r="AS298" t="str">
        <f ca="1">IFERROR(IF(0=LEN(ReferenceData!$AS$298),"",ReferenceData!$AS$298),"")</f>
        <v/>
      </c>
      <c r="AT298" t="str">
        <f ca="1">IFERROR(IF(0=LEN(ReferenceData!$AT$298),"",ReferenceData!$AT$298),"")</f>
        <v/>
      </c>
      <c r="AU298" t="str">
        <f ca="1">IFERROR(IF(0=LEN(ReferenceData!$AU$298),"",ReferenceData!$AU$298),"")</f>
        <v/>
      </c>
      <c r="AV298" t="str">
        <f ca="1">IFERROR(IF(0=LEN(ReferenceData!$AV$298),"",ReferenceData!$AV$298),"")</f>
        <v/>
      </c>
      <c r="AW298" t="str">
        <f ca="1">IFERROR(IF(0=LEN(ReferenceData!$AW$298),"",ReferenceData!$AW$298),"")</f>
        <v/>
      </c>
      <c r="AX298" t="str">
        <f ca="1">IFERROR(IF(0=LEN(ReferenceData!$AX$298),"",ReferenceData!$AX$298),"")</f>
        <v/>
      </c>
      <c r="AY298" t="str">
        <f ca="1">IFERROR(IF(0=LEN(ReferenceData!$AY$298),"",ReferenceData!$AY$298),"")</f>
        <v/>
      </c>
      <c r="AZ298" t="str">
        <f ca="1">IFERROR(IF(0=LEN(ReferenceData!$AZ$298),"",ReferenceData!$AZ$298),"")</f>
        <v/>
      </c>
      <c r="BA298" t="str">
        <f ca="1">IFERROR(IF(0=LEN(ReferenceData!$BA$298),"",ReferenceData!$BA$298),"")</f>
        <v/>
      </c>
      <c r="BB298" t="str">
        <f ca="1">IFERROR(IF(0=LEN(ReferenceData!$BB$298),"",ReferenceData!$BB$298),"")</f>
        <v/>
      </c>
      <c r="BC298">
        <f ca="1">IFERROR(IF(0=LEN(ReferenceData!$BC$298),"",ReferenceData!$BC$298),"")</f>
        <v>10.206263460000001</v>
      </c>
      <c r="BD298">
        <f ca="1">IFERROR(IF(0=LEN(ReferenceData!$BD$298),"",ReferenceData!$BD$298),"")</f>
        <v>8.3103639529999995</v>
      </c>
      <c r="BE298">
        <f ca="1">IFERROR(IF(0=LEN(ReferenceData!$BE$298),"",ReferenceData!$BE$298),"")</f>
        <v>10.000678539999999</v>
      </c>
      <c r="BF298">
        <f ca="1">IFERROR(IF(0=LEN(ReferenceData!$BF$298),"",ReferenceData!$BF$298),"")</f>
        <v>11.34791313</v>
      </c>
      <c r="BG298">
        <f ca="1">IFERROR(IF(0=LEN(ReferenceData!$BG$298),"",ReferenceData!$BG$298),"")</f>
        <v>11.48808279</v>
      </c>
      <c r="BH298">
        <f ca="1">IFERROR(IF(0=LEN(ReferenceData!$BH$298),"",ReferenceData!$BH$298),"")</f>
        <v>8.4109605260000002</v>
      </c>
      <c r="BI298" t="str">
        <f ca="1">IFERROR(IF(0=LEN(ReferenceData!$BI$298),"",ReferenceData!$BI$298),"")</f>
        <v/>
      </c>
      <c r="BJ298" t="str">
        <f ca="1">IFERROR(IF(0=LEN(ReferenceData!$BJ$298),"",ReferenceData!$BJ$298),"")</f>
        <v/>
      </c>
      <c r="BK298" t="str">
        <f ca="1">IFERROR(IF(0=LEN(ReferenceData!$BK$298),"",ReferenceData!$BK$298),"")</f>
        <v/>
      </c>
      <c r="BL298" t="str">
        <f ca="1">IFERROR(IF(0=LEN(ReferenceData!$BL$298),"",ReferenceData!$BL$298),"")</f>
        <v/>
      </c>
      <c r="BM298" t="str">
        <f ca="1">IFERROR(IF(0=LEN(ReferenceData!$BM$298),"",ReferenceData!$BM$298),"")</f>
        <v/>
      </c>
    </row>
    <row r="299" spans="1:65" x14ac:dyDescent="0.25">
      <c r="A299" t="str">
        <f>IFERROR(IF(0=LEN(ReferenceData!$A$299),"",ReferenceData!$A$299),"")</f>
        <v xml:space="preserve">    Daihatsu Motor Co Ltd</v>
      </c>
      <c r="B299" t="str">
        <f>IFERROR(IF(0=LEN(ReferenceData!$B$299),"",ReferenceData!$B$299),"")</f>
        <v>7262 JP Equity</v>
      </c>
      <c r="C299" t="str">
        <f>IFERROR(IF(0=LEN(ReferenceData!$C$299),"",ReferenceData!$C$299),"")</f>
        <v>RR474</v>
      </c>
      <c r="D299" t="str">
        <f>IFERROR(IF(0=LEN(ReferenceData!$D$299),"",ReferenceData!$D$299),"")</f>
        <v>EV_TO_T12M_EBITDA</v>
      </c>
      <c r="E299" t="str">
        <f>IFERROR(IF(0=LEN(ReferenceData!$E$299),"",ReferenceData!$E$299),"")</f>
        <v>Dynamic</v>
      </c>
      <c r="F299" t="str">
        <f ca="1">IFERROR(IF(0=LEN(ReferenceData!$F$299),"",ReferenceData!$F$299),"")</f>
        <v/>
      </c>
      <c r="G299" t="str">
        <f ca="1">IFERROR(IF(0=LEN(ReferenceData!$G$299),"",ReferenceData!$G$299),"")</f>
        <v/>
      </c>
      <c r="H299" t="str">
        <f ca="1">IFERROR(IF(0=LEN(ReferenceData!$H$299),"",ReferenceData!$H$299),"")</f>
        <v/>
      </c>
      <c r="I299" t="str">
        <f ca="1">IFERROR(IF(0=LEN(ReferenceData!$I$299),"",ReferenceData!$I$299),"")</f>
        <v/>
      </c>
      <c r="J299" t="str">
        <f ca="1">IFERROR(IF(0=LEN(ReferenceData!$J$299),"",ReferenceData!$J$299),"")</f>
        <v/>
      </c>
      <c r="K299" t="str">
        <f ca="1">IFERROR(IF(0=LEN(ReferenceData!$K$299),"",ReferenceData!$K$299),"")</f>
        <v/>
      </c>
      <c r="L299" t="str">
        <f ca="1">IFERROR(IF(0=LEN(ReferenceData!$L$299),"",ReferenceData!$L$299),"")</f>
        <v/>
      </c>
      <c r="M299" t="str">
        <f ca="1">IFERROR(IF(0=LEN(ReferenceData!$M$299),"",ReferenceData!$M$299),"")</f>
        <v/>
      </c>
      <c r="N299" t="str">
        <f ca="1">IFERROR(IF(0=LEN(ReferenceData!$N$299),"",ReferenceData!$N$299),"")</f>
        <v/>
      </c>
      <c r="O299" t="str">
        <f ca="1">IFERROR(IF(0=LEN(ReferenceData!$O$299),"",ReferenceData!$O$299),"")</f>
        <v/>
      </c>
      <c r="P299" t="str">
        <f ca="1">IFERROR(IF(0=LEN(ReferenceData!$P$299),"",ReferenceData!$P$299),"")</f>
        <v/>
      </c>
      <c r="Q299" t="str">
        <f ca="1">IFERROR(IF(0=LEN(ReferenceData!$Q$299),"",ReferenceData!$Q$299),"")</f>
        <v/>
      </c>
      <c r="R299">
        <f ca="1">IFERROR(IF(0=LEN(ReferenceData!$R$299),"",ReferenceData!$R$299),"")</f>
        <v>5.3285983210000003</v>
      </c>
      <c r="S299">
        <f ca="1">IFERROR(IF(0=LEN(ReferenceData!$S$299),"",ReferenceData!$S$299),"")</f>
        <v>4.755942009</v>
      </c>
      <c r="T299">
        <f ca="1">IFERROR(IF(0=LEN(ReferenceData!$T$299),"",ReferenceData!$T$299),"")</f>
        <v>4.2610254349999996</v>
      </c>
      <c r="U299">
        <f ca="1">IFERROR(IF(0=LEN(ReferenceData!$U$299),"",ReferenceData!$U$299),"")</f>
        <v>5.2091330429999996</v>
      </c>
      <c r="V299">
        <f ca="1">IFERROR(IF(0=LEN(ReferenceData!$V$299),"",ReferenceData!$V$299),"")</f>
        <v>5.0769712020000002</v>
      </c>
      <c r="W299">
        <f ca="1">IFERROR(IF(0=LEN(ReferenceData!$W$299),"",ReferenceData!$W$299),"")</f>
        <v>4.7330675659999999</v>
      </c>
      <c r="X299">
        <f ca="1">IFERROR(IF(0=LEN(ReferenceData!$X$299),"",ReferenceData!$X$299),"")</f>
        <v>5.0019168360000004</v>
      </c>
      <c r="Y299">
        <f ca="1">IFERROR(IF(0=LEN(ReferenceData!$Y$299),"",ReferenceData!$Y$299),"")</f>
        <v>4.7753429179999998</v>
      </c>
      <c r="Z299">
        <f ca="1">IFERROR(IF(0=LEN(ReferenceData!$Z$299),"",ReferenceData!$Z$299),"")</f>
        <v>4.2893491450000001</v>
      </c>
      <c r="AA299">
        <f ca="1">IFERROR(IF(0=LEN(ReferenceData!$AA$299),"",ReferenceData!$AA$299),"")</f>
        <v>4.4380471239999997</v>
      </c>
      <c r="AB299">
        <f ca="1">IFERROR(IF(0=LEN(ReferenceData!$AB$299),"",ReferenceData!$AB$299),"")</f>
        <v>4.9145640860000004</v>
      </c>
      <c r="AC299">
        <f ca="1">IFERROR(IF(0=LEN(ReferenceData!$AC$299),"",ReferenceData!$AC$299),"")</f>
        <v>4.7169615260000004</v>
      </c>
      <c r="AD299">
        <f ca="1">IFERROR(IF(0=LEN(ReferenceData!$AD$299),"",ReferenceData!$AD$299),"")</f>
        <v>4.9569172359999998</v>
      </c>
      <c r="AE299">
        <f ca="1">IFERROR(IF(0=LEN(ReferenceData!$AE$299),"",ReferenceData!$AE$299),"")</f>
        <v>4.3256060959999996</v>
      </c>
      <c r="AF299">
        <f ca="1">IFERROR(IF(0=LEN(ReferenceData!$AF$299),"",ReferenceData!$AF$299),"")</f>
        <v>3.316364439</v>
      </c>
      <c r="AG299">
        <f ca="1">IFERROR(IF(0=LEN(ReferenceData!$AG$299),"",ReferenceData!$AG$299),"")</f>
        <v>3.6130775690000001</v>
      </c>
      <c r="AH299">
        <f ca="1">IFERROR(IF(0=LEN(ReferenceData!$AH$299),"",ReferenceData!$AH$299),"")</f>
        <v>4.3056802760000004</v>
      </c>
      <c r="AI299">
        <f ca="1">IFERROR(IF(0=LEN(ReferenceData!$AI$299),"",ReferenceData!$AI$299),"")</f>
        <v>4.2428614260000002</v>
      </c>
      <c r="AJ299">
        <f ca="1">IFERROR(IF(0=LEN(ReferenceData!$AJ$299),"",ReferenceData!$AJ$299),"")</f>
        <v>4.6624636009999998</v>
      </c>
      <c r="AK299">
        <f ca="1">IFERROR(IF(0=LEN(ReferenceData!$AK$299),"",ReferenceData!$AK$299),"")</f>
        <v>4.6780219790000004</v>
      </c>
      <c r="AL299">
        <f ca="1">IFERROR(IF(0=LEN(ReferenceData!$AL$299),"",ReferenceData!$AL$299),"")</f>
        <v>3.899208936</v>
      </c>
      <c r="AM299">
        <f ca="1">IFERROR(IF(0=LEN(ReferenceData!$AM$299),"",ReferenceData!$AM$299),"")</f>
        <v>4.2779025769999999</v>
      </c>
      <c r="AN299">
        <f ca="1">IFERROR(IF(0=LEN(ReferenceData!$AN$299),"",ReferenceData!$AN$299),"")</f>
        <v>4.0517818920000002</v>
      </c>
      <c r="AO299">
        <f ca="1">IFERROR(IF(0=LEN(ReferenceData!$AO$299),"",ReferenceData!$AO$299),"")</f>
        <v>3.5650349280000002</v>
      </c>
      <c r="AP299">
        <f ca="1">IFERROR(IF(0=LEN(ReferenceData!$AP$299),"",ReferenceData!$AP$299),"")</f>
        <v>4.9302541120000001</v>
      </c>
      <c r="AQ299">
        <f ca="1">IFERROR(IF(0=LEN(ReferenceData!$AQ$299),"",ReferenceData!$AQ$299),"")</f>
        <v>5.1844806559999999</v>
      </c>
      <c r="AR299">
        <f ca="1">IFERROR(IF(0=LEN(ReferenceData!$AR$299),"",ReferenceData!$AR$299),"")</f>
        <v>5.5982144429999998</v>
      </c>
      <c r="AS299">
        <f ca="1">IFERROR(IF(0=LEN(ReferenceData!$AS$299),"",ReferenceData!$AS$299),"")</f>
        <v>5.2670567029999997</v>
      </c>
      <c r="AT299">
        <f ca="1">IFERROR(IF(0=LEN(ReferenceData!$AT$299),"",ReferenceData!$AT$299),"")</f>
        <v>4.3366460790000003</v>
      </c>
      <c r="AU299">
        <f ca="1">IFERROR(IF(0=LEN(ReferenceData!$AU$299),"",ReferenceData!$AU$299),"")</f>
        <v>3.4767527390000001</v>
      </c>
      <c r="AV299">
        <f ca="1">IFERROR(IF(0=LEN(ReferenceData!$AV$299),"",ReferenceData!$AV$299),"")</f>
        <v>4.4687683959999998</v>
      </c>
      <c r="AW299">
        <f ca="1">IFERROR(IF(0=LEN(ReferenceData!$AW$299),"",ReferenceData!$AW$299),"")</f>
        <v>4.7235514270000003</v>
      </c>
      <c r="AX299">
        <f ca="1">IFERROR(IF(0=LEN(ReferenceData!$AX$299),"",ReferenceData!$AX$299),"")</f>
        <v>4.9093036789999998</v>
      </c>
      <c r="AY299">
        <f ca="1">IFERROR(IF(0=LEN(ReferenceData!$AY$299),"",ReferenceData!$AY$299),"")</f>
        <v>4.5851812049999996</v>
      </c>
      <c r="AZ299">
        <f ca="1">IFERROR(IF(0=LEN(ReferenceData!$AZ$299),"",ReferenceData!$AZ$299),"")</f>
        <v>5.2361206640000004</v>
      </c>
      <c r="BA299">
        <f ca="1">IFERROR(IF(0=LEN(ReferenceData!$BA$299),"",ReferenceData!$BA$299),"")</f>
        <v>5.0397663990000003</v>
      </c>
      <c r="BB299">
        <f ca="1">IFERROR(IF(0=LEN(ReferenceData!$BB$299),"",ReferenceData!$BB$299),"")</f>
        <v>5.0937715729999997</v>
      </c>
      <c r="BC299">
        <f ca="1">IFERROR(IF(0=LEN(ReferenceData!$BC$299),"",ReferenceData!$BC$299),"")</f>
        <v>5.3612965079999997</v>
      </c>
      <c r="BD299">
        <f ca="1">IFERROR(IF(0=LEN(ReferenceData!$BD$299),"",ReferenceData!$BD$299),"")</f>
        <v>5.3274551539999999</v>
      </c>
      <c r="BE299">
        <f ca="1">IFERROR(IF(0=LEN(ReferenceData!$BE$299),"",ReferenceData!$BE$299),"")</f>
        <v>4.7898002159999997</v>
      </c>
      <c r="BF299">
        <f ca="1">IFERROR(IF(0=LEN(ReferenceData!$BF$299),"",ReferenceData!$BF$299),"")</f>
        <v>6.3014304169999997</v>
      </c>
      <c r="BG299">
        <f ca="1">IFERROR(IF(0=LEN(ReferenceData!$BG$299),"",ReferenceData!$BG$299),"")</f>
        <v>7.0667242540000004</v>
      </c>
      <c r="BH299">
        <f ca="1">IFERROR(IF(0=LEN(ReferenceData!$BH$299),"",ReferenceData!$BH$299),"")</f>
        <v>6.7196177920000002</v>
      </c>
      <c r="BI299" t="str">
        <f ca="1">IFERROR(IF(0=LEN(ReferenceData!$BI$299),"",ReferenceData!$BI$299),"")</f>
        <v/>
      </c>
      <c r="BJ299">
        <f ca="1">IFERROR(IF(0=LEN(ReferenceData!$BJ$299),"",ReferenceData!$BJ$299),"")</f>
        <v>5.5819936459999999</v>
      </c>
      <c r="BK299" t="str">
        <f ca="1">IFERROR(IF(0=LEN(ReferenceData!$BK$299),"",ReferenceData!$BK$299),"")</f>
        <v/>
      </c>
      <c r="BL299" t="str">
        <f ca="1">IFERROR(IF(0=LEN(ReferenceData!$BL$299),"",ReferenceData!$BL$299),"")</f>
        <v/>
      </c>
      <c r="BM299" t="str">
        <f ca="1">IFERROR(IF(0=LEN(ReferenceData!$BM$299),"",ReferenceData!$BM$299),"")</f>
        <v/>
      </c>
    </row>
    <row r="300" spans="1:65" x14ac:dyDescent="0.25">
      <c r="A300" t="str">
        <f>IFERROR(IF(0=LEN(ReferenceData!$A$300),"",ReferenceData!$A$300),"")</f>
        <v xml:space="preserve">    Daimler AG</v>
      </c>
      <c r="B300" t="str">
        <f>IFERROR(IF(0=LEN(ReferenceData!$B$300),"",ReferenceData!$B$300),"")</f>
        <v>DAI GR Equity</v>
      </c>
      <c r="C300" t="str">
        <f>IFERROR(IF(0=LEN(ReferenceData!$C$300),"",ReferenceData!$C$300),"")</f>
        <v>RR474</v>
      </c>
      <c r="D300" t="str">
        <f>IFERROR(IF(0=LEN(ReferenceData!$D$300),"",ReferenceData!$D$300),"")</f>
        <v>EV_TO_T12M_EBITDA</v>
      </c>
      <c r="E300" t="str">
        <f>IFERROR(IF(0=LEN(ReferenceData!$E$300),"",ReferenceData!$E$300),"")</f>
        <v>Dynamic</v>
      </c>
      <c r="F300" t="str">
        <f ca="1">IFERROR(IF(0=LEN(ReferenceData!$F$300),"",ReferenceData!$F$300),"")</f>
        <v/>
      </c>
      <c r="G300">
        <f ca="1">IFERROR(IF(0=LEN(ReferenceData!$G$300),"",ReferenceData!$G$300),"")</f>
        <v>1.916764227</v>
      </c>
      <c r="H300">
        <f ca="1">IFERROR(IF(0=LEN(ReferenceData!$H$300),"",ReferenceData!$H$300),"")</f>
        <v>2.4915406099999999</v>
      </c>
      <c r="I300">
        <f ca="1">IFERROR(IF(0=LEN(ReferenceData!$I$300),"",ReferenceData!$I$300),"")</f>
        <v>2.2963891269999999</v>
      </c>
      <c r="J300">
        <f ca="1">IFERROR(IF(0=LEN(ReferenceData!$J$300),"",ReferenceData!$J$300),"")</f>
        <v>2.8333340489999999</v>
      </c>
      <c r="K300">
        <f ca="1">IFERROR(IF(0=LEN(ReferenceData!$K$300),"",ReferenceData!$K$300),"")</f>
        <v>3.038802306</v>
      </c>
      <c r="L300">
        <f ca="1">IFERROR(IF(0=LEN(ReferenceData!$L$300),"",ReferenceData!$L$300),"")</f>
        <v>2.5603660339999998</v>
      </c>
      <c r="M300">
        <f ca="1">IFERROR(IF(0=LEN(ReferenceData!$M$300),"",ReferenceData!$M$300),"")</f>
        <v>2.3674282149999999</v>
      </c>
      <c r="N300">
        <f ca="1">IFERROR(IF(0=LEN(ReferenceData!$N$300),"",ReferenceData!$N$300),"")</f>
        <v>2.6833860519999999</v>
      </c>
      <c r="O300">
        <f ca="1">IFERROR(IF(0=LEN(ReferenceData!$O$300),"",ReferenceData!$O$300),"")</f>
        <v>3.0648980290000001</v>
      </c>
      <c r="P300">
        <f ca="1">IFERROR(IF(0=LEN(ReferenceData!$P$300),"",ReferenceData!$P$300),"")</f>
        <v>2.7001541310000001</v>
      </c>
      <c r="Q300">
        <f ca="1">IFERROR(IF(0=LEN(ReferenceData!$Q$300),"",ReferenceData!$Q$300),"")</f>
        <v>2.273971381</v>
      </c>
      <c r="R300">
        <f ca="1">IFERROR(IF(0=LEN(ReferenceData!$R$300),"",ReferenceData!$R$300),"")</f>
        <v>2.930904972</v>
      </c>
      <c r="S300">
        <f ca="1">IFERROR(IF(0=LEN(ReferenceData!$S$300),"",ReferenceData!$S$300),"")</f>
        <v>3.4722108860000001</v>
      </c>
      <c r="T300">
        <f ca="1">IFERROR(IF(0=LEN(ReferenceData!$T$300),"",ReferenceData!$T$300),"")</f>
        <v>2.7421846209999998</v>
      </c>
      <c r="U300">
        <f ca="1">IFERROR(IF(0=LEN(ReferenceData!$U$300),"",ReferenceData!$U$300),"")</f>
        <v>4.0797701039999996</v>
      </c>
      <c r="V300">
        <f ca="1">IFERROR(IF(0=LEN(ReferenceData!$V$300),"",ReferenceData!$V$300),"")</f>
        <v>4.7891800230000001</v>
      </c>
      <c r="W300">
        <f ca="1">IFERROR(IF(0=LEN(ReferenceData!$W$300),"",ReferenceData!$W$300),"")</f>
        <v>3.8158757730000001</v>
      </c>
      <c r="X300">
        <f ca="1">IFERROR(IF(0=LEN(ReferenceData!$X$300),"",ReferenceData!$X$300),"")</f>
        <v>3.0358572019999999</v>
      </c>
      <c r="Y300">
        <f ca="1">IFERROR(IF(0=LEN(ReferenceData!$Y$300),"",ReferenceData!$Y$300),"")</f>
        <v>4.1206645130000004</v>
      </c>
      <c r="Z300">
        <f ca="1">IFERROR(IF(0=LEN(ReferenceData!$Z$300),"",ReferenceData!$Z$300),"")</f>
        <v>4.1413667629999997</v>
      </c>
      <c r="AA300">
        <f ca="1">IFERROR(IF(0=LEN(ReferenceData!$AA$300),"",ReferenceData!$AA$300),"")</f>
        <v>4.1755725190000001</v>
      </c>
      <c r="AB300">
        <f ca="1">IFERROR(IF(0=LEN(ReferenceData!$AB$300),"",ReferenceData!$AB$300),"")</f>
        <v>4.0717536489999997</v>
      </c>
      <c r="AC300">
        <f ca="1">IFERROR(IF(0=LEN(ReferenceData!$AC$300),"",ReferenceData!$AC$300),"")</f>
        <v>3.203598972</v>
      </c>
      <c r="AD300">
        <f ca="1">IFERROR(IF(0=LEN(ReferenceData!$AD$300),"",ReferenceData!$AD$300),"")</f>
        <v>3.0201258260000001</v>
      </c>
      <c r="AE300">
        <f ca="1">IFERROR(IF(0=LEN(ReferenceData!$AE$300),"",ReferenceData!$AE$300),"")</f>
        <v>2.592562917</v>
      </c>
      <c r="AF300">
        <f ca="1">IFERROR(IF(0=LEN(ReferenceData!$AF$300),"",ReferenceData!$AF$300),"")</f>
        <v>2.4787040440000001</v>
      </c>
      <c r="AG300">
        <f ca="1">IFERROR(IF(0=LEN(ReferenceData!$AG$300),"",ReferenceData!$AG$300),"")</f>
        <v>2.232932436</v>
      </c>
      <c r="AH300">
        <f ca="1">IFERROR(IF(0=LEN(ReferenceData!$AH$300),"",ReferenceData!$AH$300),"")</f>
        <v>2.9349063969999998</v>
      </c>
      <c r="AI300">
        <f ca="1">IFERROR(IF(0=LEN(ReferenceData!$AI$300),"",ReferenceData!$AI$300),"")</f>
        <v>1.859673543</v>
      </c>
      <c r="AJ300">
        <f ca="1">IFERROR(IF(0=LEN(ReferenceData!$AJ$300),"",ReferenceData!$AJ$300),"")</f>
        <v>2.049336147</v>
      </c>
      <c r="AK300">
        <f ca="1">IFERROR(IF(0=LEN(ReferenceData!$AK$300),"",ReferenceData!$AK$300),"")</f>
        <v>3.485530357</v>
      </c>
      <c r="AL300">
        <f ca="1">IFERROR(IF(0=LEN(ReferenceData!$AL$300),"",ReferenceData!$AL$300),"")</f>
        <v>3.4351205029999998</v>
      </c>
      <c r="AM300">
        <f ca="1">IFERROR(IF(0=LEN(ReferenceData!$AM$300),"",ReferenceData!$AM$300),"")</f>
        <v>3.8906506859999999</v>
      </c>
      <c r="AN300">
        <f ca="1">IFERROR(IF(0=LEN(ReferenceData!$AN$300),"",ReferenceData!$AN$300),"")</f>
        <v>3.7059829249999998</v>
      </c>
      <c r="AO300">
        <f ca="1">IFERROR(IF(0=LEN(ReferenceData!$AO$300),"",ReferenceData!$AO$300),"")</f>
        <v>4.2856037369999997</v>
      </c>
      <c r="AP300">
        <f ca="1">IFERROR(IF(0=LEN(ReferenceData!$AP$300),"",ReferenceData!$AP$300),"")</f>
        <v>5.0526160710000001</v>
      </c>
      <c r="AQ300">
        <f ca="1">IFERROR(IF(0=LEN(ReferenceData!$AQ$300),"",ReferenceData!$AQ$300),"")</f>
        <v>10.593457949999999</v>
      </c>
      <c r="AR300">
        <f ca="1">IFERROR(IF(0=LEN(ReferenceData!$AR$300),"",ReferenceData!$AR$300),"")</f>
        <v>10.49680729</v>
      </c>
      <c r="AS300">
        <f ca="1">IFERROR(IF(0=LEN(ReferenceData!$AS$300),"",ReferenceData!$AS$300),"")</f>
        <v>5.3318366509999997</v>
      </c>
      <c r="AT300">
        <f ca="1">IFERROR(IF(0=LEN(ReferenceData!$AT$300),"",ReferenceData!$AT$300),"")</f>
        <v>2.1588274809999999</v>
      </c>
      <c r="AU300">
        <f ca="1">IFERROR(IF(0=LEN(ReferenceData!$AU$300),"",ReferenceData!$AU$300),"")</f>
        <v>7.2963991950000002</v>
      </c>
      <c r="AV300">
        <f ca="1">IFERROR(IF(0=LEN(ReferenceData!$AV$300),"",ReferenceData!$AV$300),"")</f>
        <v>6.0171570360000004</v>
      </c>
      <c r="AW300">
        <f ca="1">IFERROR(IF(0=LEN(ReferenceData!$AW$300),"",ReferenceData!$AW$300),"")</f>
        <v>5.6371904730000004</v>
      </c>
      <c r="AX300">
        <f ca="1">IFERROR(IF(0=LEN(ReferenceData!$AX$300),"",ReferenceData!$AX$300),"")</f>
        <v>6.186930705</v>
      </c>
      <c r="AY300">
        <f ca="1">IFERROR(IF(0=LEN(ReferenceData!$AY$300),"",ReferenceData!$AY$300),"")</f>
        <v>6.5454005520000003</v>
      </c>
      <c r="AZ300">
        <f ca="1">IFERROR(IF(0=LEN(ReferenceData!$AZ$300),"",ReferenceData!$AZ$300),"")</f>
        <v>7.3604507750000003</v>
      </c>
      <c r="BA300">
        <f ca="1">IFERROR(IF(0=LEN(ReferenceData!$BA$300),"",ReferenceData!$BA$300),"")</f>
        <v>7.8144828039999998</v>
      </c>
      <c r="BB300">
        <f ca="1">IFERROR(IF(0=LEN(ReferenceData!$BB$300),"",ReferenceData!$BB$300),"")</f>
        <v>8.4635390469999994</v>
      </c>
      <c r="BC300">
        <f ca="1">IFERROR(IF(0=LEN(ReferenceData!$BC$300),"",ReferenceData!$BC$300),"")</f>
        <v>8.1819326770000007</v>
      </c>
      <c r="BD300">
        <f ca="1">IFERROR(IF(0=LEN(ReferenceData!$BD$300),"",ReferenceData!$BD$300),"")</f>
        <v>6.8953850719999998</v>
      </c>
      <c r="BE300">
        <f ca="1">IFERROR(IF(0=LEN(ReferenceData!$BE$300),"",ReferenceData!$BE$300),"")</f>
        <v>6.7558091950000003</v>
      </c>
      <c r="BF300">
        <f ca="1">IFERROR(IF(0=LEN(ReferenceData!$BF$300),"",ReferenceData!$BF$300),"")</f>
        <v>7.0507604319999997</v>
      </c>
      <c r="BG300">
        <f ca="1">IFERROR(IF(0=LEN(ReferenceData!$BG$300),"",ReferenceData!$BG$300),"")</f>
        <v>7.1904924890000004</v>
      </c>
      <c r="BH300">
        <f ca="1">IFERROR(IF(0=LEN(ReferenceData!$BH$300),"",ReferenceData!$BH$300),"")</f>
        <v>6.5501284750000002</v>
      </c>
      <c r="BI300">
        <f ca="1">IFERROR(IF(0=LEN(ReferenceData!$BI$300),"",ReferenceData!$BI$300),"")</f>
        <v>4.7669290350000004</v>
      </c>
      <c r="BJ300">
        <f ca="1">IFERROR(IF(0=LEN(ReferenceData!$BJ$300),"",ReferenceData!$BJ$300),"")</f>
        <v>4.8346350579999999</v>
      </c>
      <c r="BK300">
        <f ca="1">IFERROR(IF(0=LEN(ReferenceData!$BK$300),"",ReferenceData!$BK$300),"")</f>
        <v>4.7722168920000003</v>
      </c>
      <c r="BL300">
        <f ca="1">IFERROR(IF(0=LEN(ReferenceData!$BL$300),"",ReferenceData!$BL$300),"")</f>
        <v>4.472146253</v>
      </c>
      <c r="BM300">
        <f ca="1">IFERROR(IF(0=LEN(ReferenceData!$BM$300),"",ReferenceData!$BM$300),"")</f>
        <v>4.6569438449999998</v>
      </c>
    </row>
    <row r="301" spans="1:65" x14ac:dyDescent="0.25">
      <c r="A301" t="str">
        <f>IFERROR(IF(0=LEN(ReferenceData!$A$301),"",ReferenceData!$A$301),"")</f>
        <v xml:space="preserve">    Dongfeng Motor Group Co Ltd</v>
      </c>
      <c r="B301" t="str">
        <f>IFERROR(IF(0=LEN(ReferenceData!$B$301),"",ReferenceData!$B$301),"")</f>
        <v>489 HK Equity</v>
      </c>
      <c r="C301" t="str">
        <f>IFERROR(IF(0=LEN(ReferenceData!$C$301),"",ReferenceData!$C$301),"")</f>
        <v>RR474</v>
      </c>
      <c r="D301" t="str">
        <f>IFERROR(IF(0=LEN(ReferenceData!$D$301),"",ReferenceData!$D$301),"")</f>
        <v>EV_TO_T12M_EBITDA</v>
      </c>
      <c r="E301" t="str">
        <f>IFERROR(IF(0=LEN(ReferenceData!$E$301),"",ReferenceData!$E$301),"")</f>
        <v>Dynamic</v>
      </c>
      <c r="F301" t="str">
        <f ca="1">IFERROR(IF(0=LEN(ReferenceData!$F$301),"",ReferenceData!$F$301),"")</f>
        <v/>
      </c>
      <c r="G301" t="str">
        <f ca="1">IFERROR(IF(0=LEN(ReferenceData!$G$301),"",ReferenceData!$G$301),"")</f>
        <v/>
      </c>
      <c r="H301" t="str">
        <f ca="1">IFERROR(IF(0=LEN(ReferenceData!$H$301),"",ReferenceData!$H$301),"")</f>
        <v/>
      </c>
      <c r="I301" t="str">
        <f ca="1">IFERROR(IF(0=LEN(ReferenceData!$I$301),"",ReferenceData!$I$301),"")</f>
        <v/>
      </c>
      <c r="J301" t="str">
        <f ca="1">IFERROR(IF(0=LEN(ReferenceData!$J$301),"",ReferenceData!$J$301),"")</f>
        <v/>
      </c>
      <c r="K301" t="str">
        <f ca="1">IFERROR(IF(0=LEN(ReferenceData!$K$301),"",ReferenceData!$K$301),"")</f>
        <v/>
      </c>
      <c r="L301" t="str">
        <f ca="1">IFERROR(IF(0=LEN(ReferenceData!$L$301),"",ReferenceData!$L$301),"")</f>
        <v/>
      </c>
      <c r="M301" t="str">
        <f ca="1">IFERROR(IF(0=LEN(ReferenceData!$M$301),"",ReferenceData!$M$301),"")</f>
        <v/>
      </c>
      <c r="N301" t="str">
        <f ca="1">IFERROR(IF(0=LEN(ReferenceData!$N$301),"",ReferenceData!$N$301),"")</f>
        <v/>
      </c>
      <c r="O301" t="str">
        <f ca="1">IFERROR(IF(0=LEN(ReferenceData!$O$301),"",ReferenceData!$O$301),"")</f>
        <v/>
      </c>
      <c r="P301" t="str">
        <f ca="1">IFERROR(IF(0=LEN(ReferenceData!$P$301),"",ReferenceData!$P$301),"")</f>
        <v/>
      </c>
      <c r="Q301" t="str">
        <f ca="1">IFERROR(IF(0=LEN(ReferenceData!$Q$301),"",ReferenceData!$Q$301),"")</f>
        <v/>
      </c>
      <c r="R301" t="str">
        <f ca="1">IFERROR(IF(0=LEN(ReferenceData!$R$301),"",ReferenceData!$R$301),"")</f>
        <v/>
      </c>
      <c r="S301" t="str">
        <f ca="1">IFERROR(IF(0=LEN(ReferenceData!$S$301),"",ReferenceData!$S$301),"")</f>
        <v/>
      </c>
      <c r="T301" t="str">
        <f ca="1">IFERROR(IF(0=LEN(ReferenceData!$T$301),"",ReferenceData!$T$301),"")</f>
        <v/>
      </c>
      <c r="U301" t="str">
        <f ca="1">IFERROR(IF(0=LEN(ReferenceData!$U$301),"",ReferenceData!$U$301),"")</f>
        <v/>
      </c>
      <c r="V301" t="str">
        <f ca="1">IFERROR(IF(0=LEN(ReferenceData!$V$301),"",ReferenceData!$V$301),"")</f>
        <v/>
      </c>
      <c r="W301" t="str">
        <f ca="1">IFERROR(IF(0=LEN(ReferenceData!$W$301),"",ReferenceData!$W$301),"")</f>
        <v/>
      </c>
      <c r="X301" t="str">
        <f ca="1">IFERROR(IF(0=LEN(ReferenceData!$X$301),"",ReferenceData!$X$301),"")</f>
        <v/>
      </c>
      <c r="Y301" t="str">
        <f ca="1">IFERROR(IF(0=LEN(ReferenceData!$Y$301),"",ReferenceData!$Y$301),"")</f>
        <v/>
      </c>
      <c r="Z301" t="str">
        <f ca="1">IFERROR(IF(0=LEN(ReferenceData!$Z$301),"",ReferenceData!$Z$301),"")</f>
        <v/>
      </c>
      <c r="AA301" t="str">
        <f ca="1">IFERROR(IF(0=LEN(ReferenceData!$AA$301),"",ReferenceData!$AA$301),"")</f>
        <v/>
      </c>
      <c r="AB301" t="str">
        <f ca="1">IFERROR(IF(0=LEN(ReferenceData!$AB$301),"",ReferenceData!$AB$301),"")</f>
        <v/>
      </c>
      <c r="AC301" t="str">
        <f ca="1">IFERROR(IF(0=LEN(ReferenceData!$AC$301),"",ReferenceData!$AC$301),"")</f>
        <v/>
      </c>
      <c r="AD301" t="str">
        <f ca="1">IFERROR(IF(0=LEN(ReferenceData!$AD$301),"",ReferenceData!$AD$301),"")</f>
        <v/>
      </c>
      <c r="AE301" t="str">
        <f ca="1">IFERROR(IF(0=LEN(ReferenceData!$AE$301),"",ReferenceData!$AE$301),"")</f>
        <v/>
      </c>
      <c r="AF301" t="str">
        <f ca="1">IFERROR(IF(0=LEN(ReferenceData!$AF$301),"",ReferenceData!$AF$301),"")</f>
        <v/>
      </c>
      <c r="AG301" t="str">
        <f ca="1">IFERROR(IF(0=LEN(ReferenceData!$AG$301),"",ReferenceData!$AG$301),"")</f>
        <v/>
      </c>
      <c r="AH301" t="str">
        <f ca="1">IFERROR(IF(0=LEN(ReferenceData!$AH$301),"",ReferenceData!$AH$301),"")</f>
        <v/>
      </c>
      <c r="AI301" t="str">
        <f ca="1">IFERROR(IF(0=LEN(ReferenceData!$AI$301),"",ReferenceData!$AI$301),"")</f>
        <v/>
      </c>
      <c r="AJ301" t="str">
        <f ca="1">IFERROR(IF(0=LEN(ReferenceData!$AJ$301),"",ReferenceData!$AJ$301),"")</f>
        <v/>
      </c>
      <c r="AK301" t="str">
        <f ca="1">IFERROR(IF(0=LEN(ReferenceData!$AK$301),"",ReferenceData!$AK$301),"")</f>
        <v/>
      </c>
      <c r="AL301" t="str">
        <f ca="1">IFERROR(IF(0=LEN(ReferenceData!$AL$301),"",ReferenceData!$AL$301),"")</f>
        <v/>
      </c>
      <c r="AM301" t="str">
        <f ca="1">IFERROR(IF(0=LEN(ReferenceData!$AM$301),"",ReferenceData!$AM$301),"")</f>
        <v/>
      </c>
      <c r="AN301" t="str">
        <f ca="1">IFERROR(IF(0=LEN(ReferenceData!$AN$301),"",ReferenceData!$AN$301),"")</f>
        <v/>
      </c>
      <c r="AO301" t="str">
        <f ca="1">IFERROR(IF(0=LEN(ReferenceData!$AO$301),"",ReferenceData!$AO$301),"")</f>
        <v/>
      </c>
      <c r="AP301" t="str">
        <f ca="1">IFERROR(IF(0=LEN(ReferenceData!$AP$301),"",ReferenceData!$AP$301),"")</f>
        <v/>
      </c>
      <c r="AQ301" t="str">
        <f ca="1">IFERROR(IF(0=LEN(ReferenceData!$AQ$301),"",ReferenceData!$AQ$301),"")</f>
        <v/>
      </c>
      <c r="AR301" t="str">
        <f ca="1">IFERROR(IF(0=LEN(ReferenceData!$AR$301),"",ReferenceData!$AR$301),"")</f>
        <v/>
      </c>
      <c r="AS301" t="str">
        <f ca="1">IFERROR(IF(0=LEN(ReferenceData!$AS$301),"",ReferenceData!$AS$301),"")</f>
        <v/>
      </c>
      <c r="AT301" t="str">
        <f ca="1">IFERROR(IF(0=LEN(ReferenceData!$AT$301),"",ReferenceData!$AT$301),"")</f>
        <v/>
      </c>
      <c r="AU301" t="str">
        <f ca="1">IFERROR(IF(0=LEN(ReferenceData!$AU$301),"",ReferenceData!$AU$301),"")</f>
        <v/>
      </c>
      <c r="AV301" t="str">
        <f ca="1">IFERROR(IF(0=LEN(ReferenceData!$AV$301),"",ReferenceData!$AV$301),"")</f>
        <v/>
      </c>
      <c r="AW301" t="str">
        <f ca="1">IFERROR(IF(0=LEN(ReferenceData!$AW$301),"",ReferenceData!$AW$301),"")</f>
        <v/>
      </c>
      <c r="AX301" t="str">
        <f ca="1">IFERROR(IF(0=LEN(ReferenceData!$AX$301),"",ReferenceData!$AX$301),"")</f>
        <v/>
      </c>
      <c r="AY301" t="str">
        <f ca="1">IFERROR(IF(0=LEN(ReferenceData!$AY$301),"",ReferenceData!$AY$301),"")</f>
        <v/>
      </c>
      <c r="AZ301" t="str">
        <f ca="1">IFERROR(IF(0=LEN(ReferenceData!$AZ$301),"",ReferenceData!$AZ$301),"")</f>
        <v/>
      </c>
      <c r="BA301" t="str">
        <f ca="1">IFERROR(IF(0=LEN(ReferenceData!$BA$301),"",ReferenceData!$BA$301),"")</f>
        <v/>
      </c>
      <c r="BB301" t="str">
        <f ca="1">IFERROR(IF(0=LEN(ReferenceData!$BB$301),"",ReferenceData!$BB$301),"")</f>
        <v/>
      </c>
      <c r="BC301" t="str">
        <f ca="1">IFERROR(IF(0=LEN(ReferenceData!$BC$301),"",ReferenceData!$BC$301),"")</f>
        <v/>
      </c>
      <c r="BD301" t="str">
        <f ca="1">IFERROR(IF(0=LEN(ReferenceData!$BD$301),"",ReferenceData!$BD$301),"")</f>
        <v/>
      </c>
      <c r="BE301" t="str">
        <f ca="1">IFERROR(IF(0=LEN(ReferenceData!$BE$301),"",ReferenceData!$BE$301),"")</f>
        <v/>
      </c>
      <c r="BF301" t="str">
        <f ca="1">IFERROR(IF(0=LEN(ReferenceData!$BF$301),"",ReferenceData!$BF$301),"")</f>
        <v/>
      </c>
      <c r="BG301" t="str">
        <f ca="1">IFERROR(IF(0=LEN(ReferenceData!$BG$301),"",ReferenceData!$BG$301),"")</f>
        <v/>
      </c>
      <c r="BH301" t="str">
        <f ca="1">IFERROR(IF(0=LEN(ReferenceData!$BH$301),"",ReferenceData!$BH$301),"")</f>
        <v/>
      </c>
      <c r="BI301" t="str">
        <f ca="1">IFERROR(IF(0=LEN(ReferenceData!$BI$301),"",ReferenceData!$BI$301),"")</f>
        <v/>
      </c>
      <c r="BJ301" t="str">
        <f ca="1">IFERROR(IF(0=LEN(ReferenceData!$BJ$301),"",ReferenceData!$BJ$301),"")</f>
        <v/>
      </c>
      <c r="BK301" t="str">
        <f ca="1">IFERROR(IF(0=LEN(ReferenceData!$BK$301),"",ReferenceData!$BK$301),"")</f>
        <v/>
      </c>
      <c r="BL301" t="str">
        <f ca="1">IFERROR(IF(0=LEN(ReferenceData!$BL$301),"",ReferenceData!$BL$301),"")</f>
        <v/>
      </c>
      <c r="BM301" t="str">
        <f ca="1">IFERROR(IF(0=LEN(ReferenceData!$BM$301),"",ReferenceData!$BM$301),"")</f>
        <v/>
      </c>
    </row>
    <row r="302" spans="1:65" x14ac:dyDescent="0.25">
      <c r="A302" t="str">
        <f>IFERROR(IF(0=LEN(ReferenceData!$A$302),"",ReferenceData!$A$302),"")</f>
        <v xml:space="preserve">    DRB-Hicom Bhd</v>
      </c>
      <c r="B302" t="str">
        <f>IFERROR(IF(0=LEN(ReferenceData!$B$302),"",ReferenceData!$B$302),"")</f>
        <v>DRB MK Equity</v>
      </c>
      <c r="C302" t="str">
        <f>IFERROR(IF(0=LEN(ReferenceData!$C$302),"",ReferenceData!$C$302),"")</f>
        <v>RR474</v>
      </c>
      <c r="D302" t="str">
        <f>IFERROR(IF(0=LEN(ReferenceData!$D$302),"",ReferenceData!$D$302),"")</f>
        <v>EV_TO_T12M_EBITDA</v>
      </c>
      <c r="E302" t="str">
        <f>IFERROR(IF(0=LEN(ReferenceData!$E$302),"",ReferenceData!$E$302),"")</f>
        <v>Dynamic</v>
      </c>
      <c r="F302" t="str">
        <f ca="1">IFERROR(IF(0=LEN(ReferenceData!$F$302),"",ReferenceData!$F$302),"")</f>
        <v/>
      </c>
      <c r="G302" t="str">
        <f ca="1">IFERROR(IF(0=LEN(ReferenceData!$G$302),"",ReferenceData!$G$302),"")</f>
        <v/>
      </c>
      <c r="H302">
        <f ca="1">IFERROR(IF(0=LEN(ReferenceData!$H$302),"",ReferenceData!$H$302),"")</f>
        <v>25.070180189999999</v>
      </c>
      <c r="I302">
        <f ca="1">IFERROR(IF(0=LEN(ReferenceData!$I$302),"",ReferenceData!$I$302),"")</f>
        <v>7.8681212770000002</v>
      </c>
      <c r="J302">
        <f ca="1">IFERROR(IF(0=LEN(ReferenceData!$J$302),"",ReferenceData!$J$302),"")</f>
        <v>7.4722870429999997</v>
      </c>
      <c r="K302">
        <f ca="1">IFERROR(IF(0=LEN(ReferenceData!$K$302),"",ReferenceData!$K$302),"")</f>
        <v>7.2229777329999996</v>
      </c>
      <c r="L302">
        <f ca="1">IFERROR(IF(0=LEN(ReferenceData!$L$302),"",ReferenceData!$L$302),"")</f>
        <v>4.9590120180000001</v>
      </c>
      <c r="M302">
        <f ca="1">IFERROR(IF(0=LEN(ReferenceData!$M$302),"",ReferenceData!$M$302),"")</f>
        <v>10.844834990000001</v>
      </c>
      <c r="N302">
        <f ca="1">IFERROR(IF(0=LEN(ReferenceData!$N$302),"",ReferenceData!$N$302),"")</f>
        <v>10.7680156</v>
      </c>
      <c r="O302">
        <f ca="1">IFERROR(IF(0=LEN(ReferenceData!$O$302),"",ReferenceData!$O$302),"")</f>
        <v>20.589228599999998</v>
      </c>
      <c r="P302" t="str">
        <f ca="1">IFERROR(IF(0=LEN(ReferenceData!$P$302),"",ReferenceData!$P$302),"")</f>
        <v/>
      </c>
      <c r="Q302" t="str">
        <f ca="1">IFERROR(IF(0=LEN(ReferenceData!$Q$302),"",ReferenceData!$Q$302),"")</f>
        <v/>
      </c>
      <c r="R302">
        <f ca="1">IFERROR(IF(0=LEN(ReferenceData!$R$302),"",ReferenceData!$R$302),"")</f>
        <v>73.817015269999999</v>
      </c>
      <c r="S302">
        <f ca="1">IFERROR(IF(0=LEN(ReferenceData!$S$302),"",ReferenceData!$S$302),"")</f>
        <v>9.3228281479999993</v>
      </c>
      <c r="T302">
        <f ca="1">IFERROR(IF(0=LEN(ReferenceData!$T$302),"",ReferenceData!$T$302),"")</f>
        <v>11.011104599999999</v>
      </c>
      <c r="U302">
        <f ca="1">IFERROR(IF(0=LEN(ReferenceData!$U$302),"",ReferenceData!$U$302),"")</f>
        <v>9.9133112539999999</v>
      </c>
      <c r="V302">
        <f ca="1">IFERROR(IF(0=LEN(ReferenceData!$V$302),"",ReferenceData!$V$302),"")</f>
        <v>6.6958069509999998</v>
      </c>
      <c r="W302">
        <f ca="1">IFERROR(IF(0=LEN(ReferenceData!$W$302),"",ReferenceData!$W$302),"")</f>
        <v>6.1828372659999999</v>
      </c>
      <c r="X302">
        <f ca="1">IFERROR(IF(0=LEN(ReferenceData!$X$302),"",ReferenceData!$X$302),"")</f>
        <v>6.1549097430000002</v>
      </c>
      <c r="Y302">
        <f ca="1">IFERROR(IF(0=LEN(ReferenceData!$Y$302),"",ReferenceData!$Y$302),"")</f>
        <v>5.7246489980000002</v>
      </c>
      <c r="Z302">
        <f ca="1">IFERROR(IF(0=LEN(ReferenceData!$Z$302),"",ReferenceData!$Z$302),"")</f>
        <v>5.2667658719999997</v>
      </c>
      <c r="AA302">
        <f ca="1">IFERROR(IF(0=LEN(ReferenceData!$AA$302),"",ReferenceData!$AA$302),"")</f>
        <v>4.6789242270000004</v>
      </c>
      <c r="AB302">
        <f ca="1">IFERROR(IF(0=LEN(ReferenceData!$AB$302),"",ReferenceData!$AB$302),"")</f>
        <v>5.0224292369999999</v>
      </c>
      <c r="AC302">
        <f ca="1">IFERROR(IF(0=LEN(ReferenceData!$AC$302),"",ReferenceData!$AC$302),"")</f>
        <v>5.3137188829999999</v>
      </c>
      <c r="AD302">
        <f ca="1">IFERROR(IF(0=LEN(ReferenceData!$AD$302),"",ReferenceData!$AD$302),"")</f>
        <v>3.001722215</v>
      </c>
      <c r="AE302">
        <f ca="1">IFERROR(IF(0=LEN(ReferenceData!$AE$302),"",ReferenceData!$AE$302),"")</f>
        <v>3.1434648379999999</v>
      </c>
      <c r="AF302">
        <f ca="1">IFERROR(IF(0=LEN(ReferenceData!$AF$302),"",ReferenceData!$AF$302),"")</f>
        <v>2.860536771</v>
      </c>
      <c r="AG302">
        <f ca="1">IFERROR(IF(0=LEN(ReferenceData!$AG$302),"",ReferenceData!$AG$302),"")</f>
        <v>3.2458010509999999</v>
      </c>
      <c r="AH302">
        <f ca="1">IFERROR(IF(0=LEN(ReferenceData!$AH$302),"",ReferenceData!$AH$302),"")</f>
        <v>1.3000054720000001</v>
      </c>
      <c r="AI302">
        <f ca="1">IFERROR(IF(0=LEN(ReferenceData!$AI$302),"",ReferenceData!$AI$302),"")</f>
        <v>2.8874767530000001</v>
      </c>
      <c r="AJ302">
        <f ca="1">IFERROR(IF(0=LEN(ReferenceData!$AJ$302),"",ReferenceData!$AJ$302),"")</f>
        <v>2.120551523</v>
      </c>
      <c r="AK302" t="str">
        <f ca="1">IFERROR(IF(0=LEN(ReferenceData!$AK$302),"",ReferenceData!$AK$302),"")</f>
        <v/>
      </c>
      <c r="AL302" t="str">
        <f ca="1">IFERROR(IF(0=LEN(ReferenceData!$AL$302),"",ReferenceData!$AL$302),"")</f>
        <v/>
      </c>
      <c r="AM302">
        <f ca="1">IFERROR(IF(0=LEN(ReferenceData!$AM$302),"",ReferenceData!$AM$302),"")</f>
        <v>15.074870580000001</v>
      </c>
      <c r="AN302">
        <f ca="1">IFERROR(IF(0=LEN(ReferenceData!$AN$302),"",ReferenceData!$AN$302),"")</f>
        <v>15.628465589999999</v>
      </c>
      <c r="AO302">
        <f ca="1">IFERROR(IF(0=LEN(ReferenceData!$AO$302),"",ReferenceData!$AO$302),"")</f>
        <v>17.332010610000001</v>
      </c>
      <c r="AP302" t="str">
        <f ca="1">IFERROR(IF(0=LEN(ReferenceData!$AP$302),"",ReferenceData!$AP$302),"")</f>
        <v/>
      </c>
      <c r="AQ302" t="str">
        <f ca="1">IFERROR(IF(0=LEN(ReferenceData!$AQ$302),"",ReferenceData!$AQ$302),"")</f>
        <v/>
      </c>
      <c r="AR302" t="str">
        <f ca="1">IFERROR(IF(0=LEN(ReferenceData!$AR$302),"",ReferenceData!$AR$302),"")</f>
        <v/>
      </c>
      <c r="AS302">
        <f ca="1">IFERROR(IF(0=LEN(ReferenceData!$AS$302),"",ReferenceData!$AS$302),"")</f>
        <v>32.052132069999999</v>
      </c>
      <c r="AT302" t="str">
        <f ca="1">IFERROR(IF(0=LEN(ReferenceData!$AT$302),"",ReferenceData!$AT$302),"")</f>
        <v/>
      </c>
      <c r="AU302" t="str">
        <f ca="1">IFERROR(IF(0=LEN(ReferenceData!$AU$302),"",ReferenceData!$AU$302),"")</f>
        <v/>
      </c>
      <c r="AV302">
        <f ca="1">IFERROR(IF(0=LEN(ReferenceData!$AV$302),"",ReferenceData!$AV$302),"")</f>
        <v>0.92348226</v>
      </c>
      <c r="AW302">
        <f ca="1">IFERROR(IF(0=LEN(ReferenceData!$AW$302),"",ReferenceData!$AW$302),"")</f>
        <v>0.90071504700000005</v>
      </c>
      <c r="AX302">
        <f ca="1">IFERROR(IF(0=LEN(ReferenceData!$AX$302),"",ReferenceData!$AX$302),"")</f>
        <v>5.3208467840000004</v>
      </c>
      <c r="AY302">
        <f ca="1">IFERROR(IF(0=LEN(ReferenceData!$AY$302),"",ReferenceData!$AY$302),"")</f>
        <v>4.5665247359999999</v>
      </c>
      <c r="AZ302">
        <f ca="1">IFERROR(IF(0=LEN(ReferenceData!$AZ$302),"",ReferenceData!$AZ$302),"")</f>
        <v>5.9446733800000002</v>
      </c>
      <c r="BA302">
        <f ca="1">IFERROR(IF(0=LEN(ReferenceData!$BA$302),"",ReferenceData!$BA$302),"")</f>
        <v>5.2814441280000004</v>
      </c>
      <c r="BB302">
        <f ca="1">IFERROR(IF(0=LEN(ReferenceData!$BB$302),"",ReferenceData!$BB$302),"")</f>
        <v>7.2048222370000001</v>
      </c>
      <c r="BC302">
        <f ca="1">IFERROR(IF(0=LEN(ReferenceData!$BC$302),"",ReferenceData!$BC$302),"")</f>
        <v>25.667754769999998</v>
      </c>
      <c r="BD302" t="str">
        <f ca="1">IFERROR(IF(0=LEN(ReferenceData!$BD$302),"",ReferenceData!$BD$302),"")</f>
        <v/>
      </c>
      <c r="BE302" t="str">
        <f ca="1">IFERROR(IF(0=LEN(ReferenceData!$BE$302),"",ReferenceData!$BE$302),"")</f>
        <v/>
      </c>
      <c r="BF302" t="str">
        <f ca="1">IFERROR(IF(0=LEN(ReferenceData!$BF$302),"",ReferenceData!$BF$302),"")</f>
        <v/>
      </c>
      <c r="BG302">
        <f ca="1">IFERROR(IF(0=LEN(ReferenceData!$BG$302),"",ReferenceData!$BG$302),"")</f>
        <v>41.696342919999999</v>
      </c>
      <c r="BH302">
        <f ca="1">IFERROR(IF(0=LEN(ReferenceData!$BH$302),"",ReferenceData!$BH$302),"")</f>
        <v>11.744582400000001</v>
      </c>
      <c r="BI302">
        <f ca="1">IFERROR(IF(0=LEN(ReferenceData!$BI$302),"",ReferenceData!$BI$302),"")</f>
        <v>9.4103504929999993</v>
      </c>
      <c r="BJ302">
        <f ca="1">IFERROR(IF(0=LEN(ReferenceData!$BJ$302),"",ReferenceData!$BJ$302),"")</f>
        <v>10.84501305</v>
      </c>
      <c r="BK302">
        <f ca="1">IFERROR(IF(0=LEN(ReferenceData!$BK$302),"",ReferenceData!$BK$302),"")</f>
        <v>10.53573048</v>
      </c>
      <c r="BL302">
        <f ca="1">IFERROR(IF(0=LEN(ReferenceData!$BL$302),"",ReferenceData!$BL$302),"")</f>
        <v>10.344501899999999</v>
      </c>
      <c r="BM302">
        <f ca="1">IFERROR(IF(0=LEN(ReferenceData!$BM$302),"",ReferenceData!$BM$302),"")</f>
        <v>9.3970798470000005</v>
      </c>
    </row>
    <row r="303" spans="1:65" x14ac:dyDescent="0.25">
      <c r="A303" t="str">
        <f>IFERROR(IF(0=LEN(ReferenceData!$A$303),"",ReferenceData!$A$303),"")</f>
        <v xml:space="preserve">    FAW CAR Co Ltd</v>
      </c>
      <c r="B303" t="str">
        <f>IFERROR(IF(0=LEN(ReferenceData!$B$303),"",ReferenceData!$B$303),"")</f>
        <v>000800 CH Equity</v>
      </c>
      <c r="C303" t="str">
        <f>IFERROR(IF(0=LEN(ReferenceData!$C$303),"",ReferenceData!$C$303),"")</f>
        <v>RR474</v>
      </c>
      <c r="D303" t="str">
        <f>IFERROR(IF(0=LEN(ReferenceData!$D$303),"",ReferenceData!$D$303),"")</f>
        <v>EV_TO_T12M_EBITDA</v>
      </c>
      <c r="E303" t="str">
        <f>IFERROR(IF(0=LEN(ReferenceData!$E$303),"",ReferenceData!$E$303),"")</f>
        <v>Dynamic</v>
      </c>
      <c r="F303" t="str">
        <f ca="1">IFERROR(IF(0=LEN(ReferenceData!$F$303),"",ReferenceData!$F$303),"")</f>
        <v/>
      </c>
      <c r="G303" t="str">
        <f ca="1">IFERROR(IF(0=LEN(ReferenceData!$G$303),"",ReferenceData!$G$303),"")</f>
        <v/>
      </c>
      <c r="H303" t="str">
        <f ca="1">IFERROR(IF(0=LEN(ReferenceData!$H$303),"",ReferenceData!$H$303),"")</f>
        <v/>
      </c>
      <c r="I303" t="str">
        <f ca="1">IFERROR(IF(0=LEN(ReferenceData!$I$303),"",ReferenceData!$I$303),"")</f>
        <v/>
      </c>
      <c r="J303" t="str">
        <f ca="1">IFERROR(IF(0=LEN(ReferenceData!$J$303),"",ReferenceData!$J$303),"")</f>
        <v/>
      </c>
      <c r="K303" t="str">
        <f ca="1">IFERROR(IF(0=LEN(ReferenceData!$K$303),"",ReferenceData!$K$303),"")</f>
        <v/>
      </c>
      <c r="L303" t="str">
        <f ca="1">IFERROR(IF(0=LEN(ReferenceData!$L$303),"",ReferenceData!$L$303),"")</f>
        <v/>
      </c>
      <c r="M303" t="str">
        <f ca="1">IFERROR(IF(0=LEN(ReferenceData!$M$303),"",ReferenceData!$M$303),"")</f>
        <v/>
      </c>
      <c r="N303" t="str">
        <f ca="1">IFERROR(IF(0=LEN(ReferenceData!$N$303),"",ReferenceData!$N$303),"")</f>
        <v/>
      </c>
      <c r="O303" t="str">
        <f ca="1">IFERROR(IF(0=LEN(ReferenceData!$O$303),"",ReferenceData!$O$303),"")</f>
        <v/>
      </c>
      <c r="P303" t="str">
        <f ca="1">IFERROR(IF(0=LEN(ReferenceData!$P$303),"",ReferenceData!$P$303),"")</f>
        <v/>
      </c>
      <c r="Q303" t="str">
        <f ca="1">IFERROR(IF(0=LEN(ReferenceData!$Q$303),"",ReferenceData!$Q$303),"")</f>
        <v/>
      </c>
      <c r="R303" t="str">
        <f ca="1">IFERROR(IF(0=LEN(ReferenceData!$R$303),"",ReferenceData!$R$303),"")</f>
        <v/>
      </c>
      <c r="S303" t="str">
        <f ca="1">IFERROR(IF(0=LEN(ReferenceData!$S$303),"",ReferenceData!$S$303),"")</f>
        <v/>
      </c>
      <c r="T303" t="str">
        <f ca="1">IFERROR(IF(0=LEN(ReferenceData!$T$303),"",ReferenceData!$T$303),"")</f>
        <v/>
      </c>
      <c r="U303" t="str">
        <f ca="1">IFERROR(IF(0=LEN(ReferenceData!$U$303),"",ReferenceData!$U$303),"")</f>
        <v/>
      </c>
      <c r="V303" t="str">
        <f ca="1">IFERROR(IF(0=LEN(ReferenceData!$V$303),"",ReferenceData!$V$303),"")</f>
        <v/>
      </c>
      <c r="W303" t="str">
        <f ca="1">IFERROR(IF(0=LEN(ReferenceData!$W$303),"",ReferenceData!$W$303),"")</f>
        <v/>
      </c>
      <c r="X303" t="str">
        <f ca="1">IFERROR(IF(0=LEN(ReferenceData!$X$303),"",ReferenceData!$X$303),"")</f>
        <v/>
      </c>
      <c r="Y303" t="str">
        <f ca="1">IFERROR(IF(0=LEN(ReferenceData!$Y$303),"",ReferenceData!$Y$303),"")</f>
        <v/>
      </c>
      <c r="Z303" t="str">
        <f ca="1">IFERROR(IF(0=LEN(ReferenceData!$Z$303),"",ReferenceData!$Z$303),"")</f>
        <v/>
      </c>
      <c r="AA303" t="str">
        <f ca="1">IFERROR(IF(0=LEN(ReferenceData!$AA$303),"",ReferenceData!$AA$303),"")</f>
        <v/>
      </c>
      <c r="AB303" t="str">
        <f ca="1">IFERROR(IF(0=LEN(ReferenceData!$AB$303),"",ReferenceData!$AB$303),"")</f>
        <v/>
      </c>
      <c r="AC303" t="str">
        <f ca="1">IFERROR(IF(0=LEN(ReferenceData!$AC$303),"",ReferenceData!$AC$303),"")</f>
        <v/>
      </c>
      <c r="AD303" t="str">
        <f ca="1">IFERROR(IF(0=LEN(ReferenceData!$AD$303),"",ReferenceData!$AD$303),"")</f>
        <v/>
      </c>
      <c r="AE303" t="str">
        <f ca="1">IFERROR(IF(0=LEN(ReferenceData!$AE$303),"",ReferenceData!$AE$303),"")</f>
        <v/>
      </c>
      <c r="AF303" t="str">
        <f ca="1">IFERROR(IF(0=LEN(ReferenceData!$AF$303),"",ReferenceData!$AF$303),"")</f>
        <v/>
      </c>
      <c r="AG303" t="str">
        <f ca="1">IFERROR(IF(0=LEN(ReferenceData!$AG$303),"",ReferenceData!$AG$303),"")</f>
        <v/>
      </c>
      <c r="AH303" t="str">
        <f ca="1">IFERROR(IF(0=LEN(ReferenceData!$AH$303),"",ReferenceData!$AH$303),"")</f>
        <v/>
      </c>
      <c r="AI303" t="str">
        <f ca="1">IFERROR(IF(0=LEN(ReferenceData!$AI$303),"",ReferenceData!$AI$303),"")</f>
        <v/>
      </c>
      <c r="AJ303" t="str">
        <f ca="1">IFERROR(IF(0=LEN(ReferenceData!$AJ$303),"",ReferenceData!$AJ$303),"")</f>
        <v/>
      </c>
      <c r="AK303" t="str">
        <f ca="1">IFERROR(IF(0=LEN(ReferenceData!$AK$303),"",ReferenceData!$AK$303),"")</f>
        <v/>
      </c>
      <c r="AL303" t="str">
        <f ca="1">IFERROR(IF(0=LEN(ReferenceData!$AL$303),"",ReferenceData!$AL$303),"")</f>
        <v/>
      </c>
      <c r="AM303" t="str">
        <f ca="1">IFERROR(IF(0=LEN(ReferenceData!$AM$303),"",ReferenceData!$AM$303),"")</f>
        <v/>
      </c>
      <c r="AN303" t="str">
        <f ca="1">IFERROR(IF(0=LEN(ReferenceData!$AN$303),"",ReferenceData!$AN$303),"")</f>
        <v/>
      </c>
      <c r="AO303" t="str">
        <f ca="1">IFERROR(IF(0=LEN(ReferenceData!$AO$303),"",ReferenceData!$AO$303),"")</f>
        <v/>
      </c>
      <c r="AP303" t="str">
        <f ca="1">IFERROR(IF(0=LEN(ReferenceData!$AP$303),"",ReferenceData!$AP$303),"")</f>
        <v/>
      </c>
      <c r="AQ303" t="str">
        <f ca="1">IFERROR(IF(0=LEN(ReferenceData!$AQ$303),"",ReferenceData!$AQ$303),"")</f>
        <v/>
      </c>
      <c r="AR303" t="str">
        <f ca="1">IFERROR(IF(0=LEN(ReferenceData!$AR$303),"",ReferenceData!$AR$303),"")</f>
        <v/>
      </c>
      <c r="AS303" t="str">
        <f ca="1">IFERROR(IF(0=LEN(ReferenceData!$AS$303),"",ReferenceData!$AS$303),"")</f>
        <v/>
      </c>
      <c r="AT303" t="str">
        <f ca="1">IFERROR(IF(0=LEN(ReferenceData!$AT$303),"",ReferenceData!$AT$303),"")</f>
        <v/>
      </c>
      <c r="AU303" t="str">
        <f ca="1">IFERROR(IF(0=LEN(ReferenceData!$AU$303),"",ReferenceData!$AU$303),"")</f>
        <v/>
      </c>
      <c r="AV303" t="str">
        <f ca="1">IFERROR(IF(0=LEN(ReferenceData!$AV$303),"",ReferenceData!$AV$303),"")</f>
        <v/>
      </c>
      <c r="AW303" t="str">
        <f ca="1">IFERROR(IF(0=LEN(ReferenceData!$AW$303),"",ReferenceData!$AW$303),"")</f>
        <v/>
      </c>
      <c r="AX303" t="str">
        <f ca="1">IFERROR(IF(0=LEN(ReferenceData!$AX$303),"",ReferenceData!$AX$303),"")</f>
        <v/>
      </c>
      <c r="AY303" t="str">
        <f ca="1">IFERROR(IF(0=LEN(ReferenceData!$AY$303),"",ReferenceData!$AY$303),"")</f>
        <v/>
      </c>
      <c r="AZ303">
        <f ca="1">IFERROR(IF(0=LEN(ReferenceData!$AZ$303),"",ReferenceData!$AZ$303),"")</f>
        <v>30.736288479999999</v>
      </c>
      <c r="BA303">
        <f ca="1">IFERROR(IF(0=LEN(ReferenceData!$BA$303),"",ReferenceData!$BA$303),"")</f>
        <v>20.934369369999999</v>
      </c>
      <c r="BB303">
        <f ca="1">IFERROR(IF(0=LEN(ReferenceData!$BB$303),"",ReferenceData!$BB$303),"")</f>
        <v>18.051824289999999</v>
      </c>
      <c r="BC303">
        <f ca="1">IFERROR(IF(0=LEN(ReferenceData!$BC$303),"",ReferenceData!$BC$303),"")</f>
        <v>5.8313518899999996</v>
      </c>
      <c r="BD303">
        <f ca="1">IFERROR(IF(0=LEN(ReferenceData!$BD$303),"",ReferenceData!$BD$303),"")</f>
        <v>9.5520579249999997</v>
      </c>
      <c r="BE303">
        <f ca="1">IFERROR(IF(0=LEN(ReferenceData!$BE$303),"",ReferenceData!$BE$303),"")</f>
        <v>3.919870886</v>
      </c>
      <c r="BF303">
        <f ca="1">IFERROR(IF(0=LEN(ReferenceData!$BF$303),"",ReferenceData!$BF$303),"")</f>
        <v>2.9405927900000002</v>
      </c>
      <c r="BG303">
        <f ca="1">IFERROR(IF(0=LEN(ReferenceData!$BG$303),"",ReferenceData!$BG$303),"")</f>
        <v>2.7525156389999998</v>
      </c>
      <c r="BH303">
        <f ca="1">IFERROR(IF(0=LEN(ReferenceData!$BH$303),"",ReferenceData!$BH$303),"")</f>
        <v>2.957012169</v>
      </c>
      <c r="BI303">
        <f ca="1">IFERROR(IF(0=LEN(ReferenceData!$BI$303),"",ReferenceData!$BI$303),"")</f>
        <v>2.5298955410000001</v>
      </c>
      <c r="BJ303">
        <f ca="1">IFERROR(IF(0=LEN(ReferenceData!$BJ$303),"",ReferenceData!$BJ$303),"")</f>
        <v>6.018145348</v>
      </c>
      <c r="BK303">
        <f ca="1">IFERROR(IF(0=LEN(ReferenceData!$BK$303),"",ReferenceData!$BK$303),"")</f>
        <v>6.6092868490000001</v>
      </c>
      <c r="BL303">
        <f ca="1">IFERROR(IF(0=LEN(ReferenceData!$BL$303),"",ReferenceData!$BL$303),"")</f>
        <v>8.0452363130000002</v>
      </c>
      <c r="BM303">
        <f ca="1">IFERROR(IF(0=LEN(ReferenceData!$BM$303),"",ReferenceData!$BM$303),"")</f>
        <v>6.5886741420000003</v>
      </c>
    </row>
    <row r="304" spans="1:65" x14ac:dyDescent="0.25">
      <c r="A304" t="str">
        <f>IFERROR(IF(0=LEN(ReferenceData!$A$304),"",ReferenceData!$A$304),"")</f>
        <v xml:space="preserve">    Fiat Chrysler Automobiles NV</v>
      </c>
      <c r="B304" t="str">
        <f>IFERROR(IF(0=LEN(ReferenceData!$B$304),"",ReferenceData!$B$304),"")</f>
        <v>FCAU US Equity</v>
      </c>
      <c r="C304" t="str">
        <f>IFERROR(IF(0=LEN(ReferenceData!$C$304),"",ReferenceData!$C$304),"")</f>
        <v>RR474</v>
      </c>
      <c r="D304" t="str">
        <f>IFERROR(IF(0=LEN(ReferenceData!$D$304),"",ReferenceData!$D$304),"")</f>
        <v>EV_TO_T12M_EBITDA</v>
      </c>
      <c r="E304" t="str">
        <f>IFERROR(IF(0=LEN(ReferenceData!$E$304),"",ReferenceData!$E$304),"")</f>
        <v>Dynamic</v>
      </c>
      <c r="F304" t="str">
        <f ca="1">IFERROR(IF(0=LEN(ReferenceData!$F$304),"",ReferenceData!$F$304),"")</f>
        <v/>
      </c>
      <c r="G304">
        <f ca="1">IFERROR(IF(0=LEN(ReferenceData!$G$304),"",ReferenceData!$G$304),"")</f>
        <v>2.5011349479999998</v>
      </c>
      <c r="H304">
        <f ca="1">IFERROR(IF(0=LEN(ReferenceData!$H$304),"",ReferenceData!$H$304),"")</f>
        <v>2.9630346950000002</v>
      </c>
      <c r="I304">
        <f ca="1">IFERROR(IF(0=LEN(ReferenceData!$I$304),"",ReferenceData!$I$304),"")</f>
        <v>2.9639214109999998</v>
      </c>
      <c r="J304">
        <f ca="1">IFERROR(IF(0=LEN(ReferenceData!$J$304),"",ReferenceData!$J$304),"")</f>
        <v>2.8926229399999999</v>
      </c>
      <c r="K304">
        <f ca="1">IFERROR(IF(0=LEN(ReferenceData!$K$304),"",ReferenceData!$K$304),"")</f>
        <v>2.7213219560000002</v>
      </c>
      <c r="L304">
        <f ca="1">IFERROR(IF(0=LEN(ReferenceData!$L$304),"",ReferenceData!$L$304),"")</f>
        <v>2.754581248</v>
      </c>
      <c r="M304">
        <f ca="1">IFERROR(IF(0=LEN(ReferenceData!$M$304),"",ReferenceData!$M$304),"")</f>
        <v>1.848080752</v>
      </c>
      <c r="N304">
        <f ca="1">IFERROR(IF(0=LEN(ReferenceData!$N$304),"",ReferenceData!$N$304),"")</f>
        <v>2.3022953739999998</v>
      </c>
      <c r="O304">
        <f ca="1">IFERROR(IF(0=LEN(ReferenceData!$O$304),"",ReferenceData!$O$304),"")</f>
        <v>1.9995898599999999</v>
      </c>
      <c r="P304">
        <f ca="1">IFERROR(IF(0=LEN(ReferenceData!$P$304),"",ReferenceData!$P$304),"")</f>
        <v>1.7452113849999999</v>
      </c>
      <c r="Q304">
        <f ca="1">IFERROR(IF(0=LEN(ReferenceData!$Q$304),"",ReferenceData!$Q$304),"")</f>
        <v>1.8146635609999999</v>
      </c>
      <c r="R304">
        <f ca="1">IFERROR(IF(0=LEN(ReferenceData!$R$304),"",ReferenceData!$R$304),"")</f>
        <v>2.2819868030000001</v>
      </c>
      <c r="S304">
        <f ca="1">IFERROR(IF(0=LEN(ReferenceData!$S$304),"",ReferenceData!$S$304),"")</f>
        <v>3.4611852029999999</v>
      </c>
      <c r="T304">
        <f ca="1">IFERROR(IF(0=LEN(ReferenceData!$T$304),"",ReferenceData!$T$304),"")</f>
        <v>3.8768081360000002</v>
      </c>
      <c r="U304">
        <f ca="1">IFERROR(IF(0=LEN(ReferenceData!$U$304),"",ReferenceData!$U$304),"")</f>
        <v>3.803577765</v>
      </c>
      <c r="V304">
        <f ca="1">IFERROR(IF(0=LEN(ReferenceData!$V$304),"",ReferenceData!$V$304),"")</f>
        <v>4.5165467140000004</v>
      </c>
      <c r="W304">
        <f ca="1">IFERROR(IF(0=LEN(ReferenceData!$W$304),"",ReferenceData!$W$304),"")</f>
        <v>3.468844571</v>
      </c>
      <c r="X304" t="str">
        <f ca="1">IFERROR(IF(0=LEN(ReferenceData!$X$304),"",ReferenceData!$X$304),"")</f>
        <v/>
      </c>
      <c r="Y304" t="str">
        <f ca="1">IFERROR(IF(0=LEN(ReferenceData!$Y$304),"",ReferenceData!$Y$304),"")</f>
        <v/>
      </c>
      <c r="Z304" t="str">
        <f ca="1">IFERROR(IF(0=LEN(ReferenceData!$Z$304),"",ReferenceData!$Z$304),"")</f>
        <v/>
      </c>
      <c r="AA304" t="str">
        <f ca="1">IFERROR(IF(0=LEN(ReferenceData!$AA$304),"",ReferenceData!$AA$304),"")</f>
        <v/>
      </c>
      <c r="AB304" t="str">
        <f ca="1">IFERROR(IF(0=LEN(ReferenceData!$AB$304),"",ReferenceData!$AB$304),"")</f>
        <v/>
      </c>
      <c r="AC304" t="str">
        <f ca="1">IFERROR(IF(0=LEN(ReferenceData!$AC$304),"",ReferenceData!$AC$304),"")</f>
        <v/>
      </c>
      <c r="AD304" t="str">
        <f ca="1">IFERROR(IF(0=LEN(ReferenceData!$AD$304),"",ReferenceData!$AD$304),"")</f>
        <v/>
      </c>
      <c r="AE304" t="str">
        <f ca="1">IFERROR(IF(0=LEN(ReferenceData!$AE$304),"",ReferenceData!$AE$304),"")</f>
        <v/>
      </c>
      <c r="AF304" t="str">
        <f ca="1">IFERROR(IF(0=LEN(ReferenceData!$AF$304),"",ReferenceData!$AF$304),"")</f>
        <v/>
      </c>
      <c r="AG304" t="str">
        <f ca="1">IFERROR(IF(0=LEN(ReferenceData!$AG$304),"",ReferenceData!$AG$304),"")</f>
        <v/>
      </c>
      <c r="AH304" t="str">
        <f ca="1">IFERROR(IF(0=LEN(ReferenceData!$AH$304),"",ReferenceData!$AH$304),"")</f>
        <v/>
      </c>
      <c r="AI304" t="str">
        <f ca="1">IFERROR(IF(0=LEN(ReferenceData!$AI$304),"",ReferenceData!$AI$304),"")</f>
        <v/>
      </c>
      <c r="AJ304" t="str">
        <f ca="1">IFERROR(IF(0=LEN(ReferenceData!$AJ$304),"",ReferenceData!$AJ$304),"")</f>
        <v/>
      </c>
      <c r="AK304" t="str">
        <f ca="1">IFERROR(IF(0=LEN(ReferenceData!$AK$304),"",ReferenceData!$AK$304),"")</f>
        <v/>
      </c>
      <c r="AL304" t="str">
        <f ca="1">IFERROR(IF(0=LEN(ReferenceData!$AL$304),"",ReferenceData!$AL$304),"")</f>
        <v/>
      </c>
      <c r="AM304" t="str">
        <f ca="1">IFERROR(IF(0=LEN(ReferenceData!$AM$304),"",ReferenceData!$AM$304),"")</f>
        <v/>
      </c>
      <c r="AN304" t="str">
        <f ca="1">IFERROR(IF(0=LEN(ReferenceData!$AN$304),"",ReferenceData!$AN$304),"")</f>
        <v/>
      </c>
      <c r="AO304" t="str">
        <f ca="1">IFERROR(IF(0=LEN(ReferenceData!$AO$304),"",ReferenceData!$AO$304),"")</f>
        <v/>
      </c>
      <c r="AP304" t="str">
        <f ca="1">IFERROR(IF(0=LEN(ReferenceData!$AP$304),"",ReferenceData!$AP$304),"")</f>
        <v/>
      </c>
      <c r="AQ304" t="str">
        <f ca="1">IFERROR(IF(0=LEN(ReferenceData!$AQ$304),"",ReferenceData!$AQ$304),"")</f>
        <v/>
      </c>
      <c r="AR304" t="str">
        <f ca="1">IFERROR(IF(0=LEN(ReferenceData!$AR$304),"",ReferenceData!$AR$304),"")</f>
        <v/>
      </c>
      <c r="AS304" t="str">
        <f ca="1">IFERROR(IF(0=LEN(ReferenceData!$AS$304),"",ReferenceData!$AS$304),"")</f>
        <v/>
      </c>
      <c r="AT304" t="str">
        <f ca="1">IFERROR(IF(0=LEN(ReferenceData!$AT$304),"",ReferenceData!$AT$304),"")</f>
        <v/>
      </c>
      <c r="AU304" t="str">
        <f ca="1">IFERROR(IF(0=LEN(ReferenceData!$AU$304),"",ReferenceData!$AU$304),"")</f>
        <v/>
      </c>
      <c r="AV304" t="str">
        <f ca="1">IFERROR(IF(0=LEN(ReferenceData!$AV$304),"",ReferenceData!$AV$304),"")</f>
        <v/>
      </c>
      <c r="AW304" t="str">
        <f ca="1">IFERROR(IF(0=LEN(ReferenceData!$AW$304),"",ReferenceData!$AW$304),"")</f>
        <v/>
      </c>
      <c r="AX304" t="str">
        <f ca="1">IFERROR(IF(0=LEN(ReferenceData!$AX$304),"",ReferenceData!$AX$304),"")</f>
        <v/>
      </c>
      <c r="AY304" t="str">
        <f ca="1">IFERROR(IF(0=LEN(ReferenceData!$AY$304),"",ReferenceData!$AY$304),"")</f>
        <v/>
      </c>
      <c r="AZ304" t="str">
        <f ca="1">IFERROR(IF(0=LEN(ReferenceData!$AZ$304),"",ReferenceData!$AZ$304),"")</f>
        <v/>
      </c>
      <c r="BA304" t="str">
        <f ca="1">IFERROR(IF(0=LEN(ReferenceData!$BA$304),"",ReferenceData!$BA$304),"")</f>
        <v/>
      </c>
      <c r="BB304" t="str">
        <f ca="1">IFERROR(IF(0=LEN(ReferenceData!$BB$304),"",ReferenceData!$BB$304),"")</f>
        <v/>
      </c>
      <c r="BC304" t="str">
        <f ca="1">IFERROR(IF(0=LEN(ReferenceData!$BC$304),"",ReferenceData!$BC$304),"")</f>
        <v/>
      </c>
      <c r="BD304" t="str">
        <f ca="1">IFERROR(IF(0=LEN(ReferenceData!$BD$304),"",ReferenceData!$BD$304),"")</f>
        <v/>
      </c>
      <c r="BE304" t="str">
        <f ca="1">IFERROR(IF(0=LEN(ReferenceData!$BE$304),"",ReferenceData!$BE$304),"")</f>
        <v/>
      </c>
      <c r="BF304" t="str">
        <f ca="1">IFERROR(IF(0=LEN(ReferenceData!$BF$304),"",ReferenceData!$BF$304),"")</f>
        <v/>
      </c>
      <c r="BG304" t="str">
        <f ca="1">IFERROR(IF(0=LEN(ReferenceData!$BG$304),"",ReferenceData!$BG$304),"")</f>
        <v/>
      </c>
      <c r="BH304" t="str">
        <f ca="1">IFERROR(IF(0=LEN(ReferenceData!$BH$304),"",ReferenceData!$BH$304),"")</f>
        <v/>
      </c>
      <c r="BI304" t="str">
        <f ca="1">IFERROR(IF(0=LEN(ReferenceData!$BI$304),"",ReferenceData!$BI$304),"")</f>
        <v/>
      </c>
      <c r="BJ304" t="str">
        <f ca="1">IFERROR(IF(0=LEN(ReferenceData!$BJ$304),"",ReferenceData!$BJ$304),"")</f>
        <v/>
      </c>
      <c r="BK304" t="str">
        <f ca="1">IFERROR(IF(0=LEN(ReferenceData!$BK$304),"",ReferenceData!$BK$304),"")</f>
        <v/>
      </c>
      <c r="BL304" t="str">
        <f ca="1">IFERROR(IF(0=LEN(ReferenceData!$BL$304),"",ReferenceData!$BL$304),"")</f>
        <v/>
      </c>
      <c r="BM304" t="str">
        <f ca="1">IFERROR(IF(0=LEN(ReferenceData!$BM$304),"",ReferenceData!$BM$304),"")</f>
        <v/>
      </c>
    </row>
    <row r="305" spans="1:65" x14ac:dyDescent="0.25">
      <c r="A305" t="str">
        <f>IFERROR(IF(0=LEN(ReferenceData!$A$305),"",ReferenceData!$A$305),"")</f>
        <v xml:space="preserve">    Ford Motor Co</v>
      </c>
      <c r="B305" t="str">
        <f>IFERROR(IF(0=LEN(ReferenceData!$B$305),"",ReferenceData!$B$305),"")</f>
        <v>F US Equity</v>
      </c>
      <c r="C305" t="str">
        <f>IFERROR(IF(0=LEN(ReferenceData!$C$305),"",ReferenceData!$C$305),"")</f>
        <v>RR474</v>
      </c>
      <c r="D305" t="str">
        <f>IFERROR(IF(0=LEN(ReferenceData!$D$305),"",ReferenceData!$D$305),"")</f>
        <v>EV_TO_T12M_EBITDA</v>
      </c>
      <c r="E305" t="str">
        <f>IFERROR(IF(0=LEN(ReferenceData!$E$305),"",ReferenceData!$E$305),"")</f>
        <v>Dynamic</v>
      </c>
      <c r="F305" t="str">
        <f ca="1">IFERROR(IF(0=LEN(ReferenceData!$F$305),"",ReferenceData!$F$305),"")</f>
        <v/>
      </c>
      <c r="G305">
        <f ca="1">IFERROR(IF(0=LEN(ReferenceData!$G$305),"",ReferenceData!$G$305),"")</f>
        <v>1.8313718000000001</v>
      </c>
      <c r="H305">
        <f ca="1">IFERROR(IF(0=LEN(ReferenceData!$H$305),"",ReferenceData!$H$305),"")</f>
        <v>2.2766745030000002</v>
      </c>
      <c r="I305">
        <f ca="1">IFERROR(IF(0=LEN(ReferenceData!$I$305),"",ReferenceData!$I$305),"")</f>
        <v>2.8193097589999998</v>
      </c>
      <c r="J305">
        <f ca="1">IFERROR(IF(0=LEN(ReferenceData!$J$305),"",ReferenceData!$J$305),"")</f>
        <v>2.483560201</v>
      </c>
      <c r="K305">
        <f ca="1">IFERROR(IF(0=LEN(ReferenceData!$K$305),"",ReferenceData!$K$305),"")</f>
        <v>2.9395651850000002</v>
      </c>
      <c r="L305">
        <f ca="1">IFERROR(IF(0=LEN(ReferenceData!$L$305),"",ReferenceData!$L$305),"")</f>
        <v>2.8170818199999998</v>
      </c>
      <c r="M305">
        <f ca="1">IFERROR(IF(0=LEN(ReferenceData!$M$305),"",ReferenceData!$M$305),"")</f>
        <v>2.476240615</v>
      </c>
      <c r="N305">
        <f ca="1">IFERROR(IF(0=LEN(ReferenceData!$N$305),"",ReferenceData!$N$305),"")</f>
        <v>2.5444565670000001</v>
      </c>
      <c r="O305">
        <f ca="1">IFERROR(IF(0=LEN(ReferenceData!$O$305),"",ReferenceData!$O$305),"")</f>
        <v>2.534525592</v>
      </c>
      <c r="P305">
        <f ca="1">IFERROR(IF(0=LEN(ReferenceData!$P$305),"",ReferenceData!$P$305),"")</f>
        <v>2.7897162350000002</v>
      </c>
      <c r="Q305">
        <f ca="1">IFERROR(IF(0=LEN(ReferenceData!$Q$305),"",ReferenceData!$Q$305),"")</f>
        <v>2.3927402039999999</v>
      </c>
      <c r="R305">
        <f ca="1">IFERROR(IF(0=LEN(ReferenceData!$R$305),"",ReferenceData!$R$305),"")</f>
        <v>2.6187674969999999</v>
      </c>
      <c r="S305">
        <f ca="1">IFERROR(IF(0=LEN(ReferenceData!$S$305),"",ReferenceData!$S$305),"")</f>
        <v>3.031473992</v>
      </c>
      <c r="T305">
        <f ca="1">IFERROR(IF(0=LEN(ReferenceData!$T$305),"",ReferenceData!$T$305),"")</f>
        <v>4.310954476</v>
      </c>
      <c r="U305">
        <f ca="1">IFERROR(IF(0=LEN(ReferenceData!$U$305),"",ReferenceData!$U$305),"")</f>
        <v>5.906268281</v>
      </c>
      <c r="V305">
        <f ca="1">IFERROR(IF(0=LEN(ReferenceData!$V$305),"",ReferenceData!$V$305),"")</f>
        <v>6.6575751810000003</v>
      </c>
      <c r="W305">
        <f ca="1">IFERROR(IF(0=LEN(ReferenceData!$W$305),"",ReferenceData!$W$305),"")</f>
        <v>6.7194195079999997</v>
      </c>
      <c r="X305">
        <f ca="1">IFERROR(IF(0=LEN(ReferenceData!$X$305),"",ReferenceData!$X$305),"")</f>
        <v>4.3685794380000003</v>
      </c>
      <c r="Y305">
        <f ca="1">IFERROR(IF(0=LEN(ReferenceData!$Y$305),"",ReferenceData!$Y$305),"")</f>
        <v>4.569680365</v>
      </c>
      <c r="Z305">
        <f ca="1">IFERROR(IF(0=LEN(ReferenceData!$Z$305),"",ReferenceData!$Z$305),"")</f>
        <v>4.5043215810000001</v>
      </c>
      <c r="AA305">
        <f ca="1">IFERROR(IF(0=LEN(ReferenceData!$AA$305),"",ReferenceData!$AA$305),"")</f>
        <v>4.2262275450000004</v>
      </c>
      <c r="AB305">
        <f ca="1">IFERROR(IF(0=LEN(ReferenceData!$AB$305),"",ReferenceData!$AB$305),"")</f>
        <v>4.8127711790000003</v>
      </c>
      <c r="AC305">
        <f ca="1">IFERROR(IF(0=LEN(ReferenceData!$AC$305),"",ReferenceData!$AC$305),"")</f>
        <v>4.464258407</v>
      </c>
      <c r="AD305">
        <f ca="1">IFERROR(IF(0=LEN(ReferenceData!$AD$305),"",ReferenceData!$AD$305),"")</f>
        <v>3.8741849479999999</v>
      </c>
      <c r="AE305">
        <f ca="1">IFERROR(IF(0=LEN(ReferenceData!$AE$305),"",ReferenceData!$AE$305),"")</f>
        <v>3.5564938700000002</v>
      </c>
      <c r="AF305">
        <f ca="1">IFERROR(IF(0=LEN(ReferenceData!$AF$305),"",ReferenceData!$AF$305),"")</f>
        <v>2.0849842789999999</v>
      </c>
      <c r="AG305">
        <f ca="1">IFERROR(IF(0=LEN(ReferenceData!$AG$305),"",ReferenceData!$AG$305),"")</f>
        <v>2.048421437</v>
      </c>
      <c r="AH305">
        <f ca="1">IFERROR(IF(0=LEN(ReferenceData!$AH$305),"",ReferenceData!$AH$305),"")</f>
        <v>2.8806692429999998</v>
      </c>
      <c r="AI305">
        <f ca="1">IFERROR(IF(0=LEN(ReferenceData!$AI$305),"",ReferenceData!$AI$305),"")</f>
        <v>2.2366604570000002</v>
      </c>
      <c r="AJ305">
        <f ca="1">IFERROR(IF(0=LEN(ReferenceData!$AJ$305),"",ReferenceData!$AJ$305),"")</f>
        <v>1.8910511329999999</v>
      </c>
      <c r="AK305">
        <f ca="1">IFERROR(IF(0=LEN(ReferenceData!$AK$305),"",ReferenceData!$AK$305),"")</f>
        <v>2.907483279</v>
      </c>
      <c r="AL305">
        <f ca="1">IFERROR(IF(0=LEN(ReferenceData!$AL$305),"",ReferenceData!$AL$305),"")</f>
        <v>3.2586762550000001</v>
      </c>
      <c r="AM305">
        <f ca="1">IFERROR(IF(0=LEN(ReferenceData!$AM$305),"",ReferenceData!$AM$305),"")</f>
        <v>3.9543467849999998</v>
      </c>
      <c r="AN305">
        <f ca="1">IFERROR(IF(0=LEN(ReferenceData!$AN$305),"",ReferenceData!$AN$305),"")</f>
        <v>3.0211433109999999</v>
      </c>
      <c r="AO305">
        <f ca="1">IFERROR(IF(0=LEN(ReferenceData!$AO$305),"",ReferenceData!$AO$305),"")</f>
        <v>2.6834958950000001</v>
      </c>
      <c r="AP305">
        <f ca="1">IFERROR(IF(0=LEN(ReferenceData!$AP$305),"",ReferenceData!$AP$305),"")</f>
        <v>5.1132543500000001</v>
      </c>
      <c r="AQ305">
        <f ca="1">IFERROR(IF(0=LEN(ReferenceData!$AQ$305),"",ReferenceData!$AQ$305),"")</f>
        <v>6.4616811590000003</v>
      </c>
      <c r="AR305">
        <f ca="1">IFERROR(IF(0=LEN(ReferenceData!$AR$305),"",ReferenceData!$AR$305),"")</f>
        <v>63.698133290000001</v>
      </c>
      <c r="AS305">
        <f ca="1">IFERROR(IF(0=LEN(ReferenceData!$AS$305),"",ReferenceData!$AS$305),"")</f>
        <v>249.18851770000001</v>
      </c>
      <c r="AT305" t="str">
        <f ca="1">IFERROR(IF(0=LEN(ReferenceData!$AT$305),"",ReferenceData!$AT$305),"")</f>
        <v/>
      </c>
      <c r="AU305">
        <f ca="1">IFERROR(IF(0=LEN(ReferenceData!$AU$305),"",ReferenceData!$AU$305),"")</f>
        <v>238.07147990000001</v>
      </c>
      <c r="AV305">
        <f ca="1">IFERROR(IF(0=LEN(ReferenceData!$AV$305),"",ReferenceData!$AV$305),"")</f>
        <v>3.4925119339999999</v>
      </c>
      <c r="AW305">
        <f ca="1">IFERROR(IF(0=LEN(ReferenceData!$AW$305),"",ReferenceData!$AW$305),"")</f>
        <v>1.7343195309999999</v>
      </c>
      <c r="AX305">
        <f ca="1">IFERROR(IF(0=LEN(ReferenceData!$AX$305),"",ReferenceData!$AX$305),"")</f>
        <v>0.69778976800000003</v>
      </c>
      <c r="AY305">
        <f ca="1">IFERROR(IF(0=LEN(ReferenceData!$AY$305),"",ReferenceData!$AY$305),"")</f>
        <v>0.75273873199999997</v>
      </c>
      <c r="AZ305">
        <f ca="1">IFERROR(IF(0=LEN(ReferenceData!$AZ$305),"",ReferenceData!$AZ$305),"")</f>
        <v>1.039397202</v>
      </c>
      <c r="BA305">
        <f ca="1">IFERROR(IF(0=LEN(ReferenceData!$BA$305),"",ReferenceData!$BA$305),"")</f>
        <v>2.7312755910000002</v>
      </c>
      <c r="BB305">
        <f ca="1">IFERROR(IF(0=LEN(ReferenceData!$BB$305),"",ReferenceData!$BB$305),"")</f>
        <v>4.111044444</v>
      </c>
      <c r="BC305">
        <f ca="1">IFERROR(IF(0=LEN(ReferenceData!$BC$305),"",ReferenceData!$BC$305),"")</f>
        <v>29.389074069999999</v>
      </c>
      <c r="BD305">
        <f ca="1">IFERROR(IF(0=LEN(ReferenceData!$BD$305),"",ReferenceData!$BD$305),"")</f>
        <v>4.7731671210000002</v>
      </c>
      <c r="BE305">
        <f ca="1">IFERROR(IF(0=LEN(ReferenceData!$BE$305),"",ReferenceData!$BE$305),"")</f>
        <v>0.96893105000000002</v>
      </c>
      <c r="BF305">
        <f ca="1">IFERROR(IF(0=LEN(ReferenceData!$BF$305),"",ReferenceData!$BF$305),"")</f>
        <v>1.1867056330000001</v>
      </c>
      <c r="BG305">
        <f ca="1">IFERROR(IF(0=LEN(ReferenceData!$BG$305),"",ReferenceData!$BG$305),"")</f>
        <v>9.3357398679999992</v>
      </c>
      <c r="BH305">
        <f ca="1">IFERROR(IF(0=LEN(ReferenceData!$BH$305),"",ReferenceData!$BH$305),"")</f>
        <v>9.8793461180000008</v>
      </c>
      <c r="BI305">
        <f ca="1">IFERROR(IF(0=LEN(ReferenceData!$BI$305),"",ReferenceData!$BI$305),"")</f>
        <v>9.8112744139999997</v>
      </c>
      <c r="BJ305">
        <f ca="1">IFERROR(IF(0=LEN(ReferenceData!$BJ$305),"",ReferenceData!$BJ$305),"")</f>
        <v>9.5457066780000002</v>
      </c>
      <c r="BK305">
        <f ca="1">IFERROR(IF(0=LEN(ReferenceData!$BK$305),"",ReferenceData!$BK$305),"")</f>
        <v>9.0863281039999997</v>
      </c>
      <c r="BL305">
        <f ca="1">IFERROR(IF(0=LEN(ReferenceData!$BL$305),"",ReferenceData!$BL$305),"")</f>
        <v>8.9764698420000002</v>
      </c>
      <c r="BM305">
        <f ca="1">IFERROR(IF(0=LEN(ReferenceData!$BM$305),"",ReferenceData!$BM$305),"")</f>
        <v>9.2188001370000006</v>
      </c>
    </row>
    <row r="306" spans="1:65" x14ac:dyDescent="0.25">
      <c r="A306" t="str">
        <f>IFERROR(IF(0=LEN(ReferenceData!$A$306),"",ReferenceData!$A$306),"")</f>
        <v xml:space="preserve">    Ford Otomotiv Sanayi AS</v>
      </c>
      <c r="B306" t="str">
        <f>IFERROR(IF(0=LEN(ReferenceData!$B$306),"",ReferenceData!$B$306),"")</f>
        <v>FROTOTRY EO Equity</v>
      </c>
      <c r="C306" t="str">
        <f>IFERROR(IF(0=LEN(ReferenceData!$C$306),"",ReferenceData!$C$306),"")</f>
        <v>RR474</v>
      </c>
      <c r="D306" t="str">
        <f>IFERROR(IF(0=LEN(ReferenceData!$D$306),"",ReferenceData!$D$306),"")</f>
        <v>EV_TO_T12M_EBITDA</v>
      </c>
      <c r="E306" t="str">
        <f>IFERROR(IF(0=LEN(ReferenceData!$E$306),"",ReferenceData!$E$306),"")</f>
        <v>Dynamic</v>
      </c>
      <c r="F306" t="str">
        <f ca="1">IFERROR(IF(0=LEN(ReferenceData!$F$306),"",ReferenceData!$F$306),"")</f>
        <v/>
      </c>
      <c r="G306">
        <f ca="1">IFERROR(IF(0=LEN(ReferenceData!$G$306),"",ReferenceData!$G$306),"")</f>
        <v>7.0466816650000004</v>
      </c>
      <c r="H306">
        <f ca="1">IFERROR(IF(0=LEN(ReferenceData!$H$306),"",ReferenceData!$H$306),"")</f>
        <v>10.334211720000001</v>
      </c>
      <c r="I306">
        <f ca="1">IFERROR(IF(0=LEN(ReferenceData!$I$306),"",ReferenceData!$I$306),"")</f>
        <v>9.6083705049999999</v>
      </c>
      <c r="J306">
        <f ca="1">IFERROR(IF(0=LEN(ReferenceData!$J$306),"",ReferenceData!$J$306),"")</f>
        <v>10.68063227</v>
      </c>
      <c r="K306">
        <f ca="1">IFERROR(IF(0=LEN(ReferenceData!$K$306),"",ReferenceData!$K$306),"")</f>
        <v>11.11344004</v>
      </c>
      <c r="L306">
        <f ca="1">IFERROR(IF(0=LEN(ReferenceData!$L$306),"",ReferenceData!$L$306),"")</f>
        <v>9.1369902580000009</v>
      </c>
      <c r="M306">
        <f ca="1">IFERROR(IF(0=LEN(ReferenceData!$M$306),"",ReferenceData!$M$306),"")</f>
        <v>9.6354207879999993</v>
      </c>
      <c r="N306">
        <f ca="1">IFERROR(IF(0=LEN(ReferenceData!$N$306),"",ReferenceData!$N$306),"")</f>
        <v>8.4945741009999995</v>
      </c>
      <c r="O306">
        <f ca="1">IFERROR(IF(0=LEN(ReferenceData!$O$306),"",ReferenceData!$O$306),"")</f>
        <v>7.7890603020000002</v>
      </c>
      <c r="P306">
        <f ca="1">IFERROR(IF(0=LEN(ReferenceData!$P$306),"",ReferenceData!$P$306),"")</f>
        <v>8.3983936010000004</v>
      </c>
      <c r="Q306">
        <f ca="1">IFERROR(IF(0=LEN(ReferenceData!$Q$306),"",ReferenceData!$Q$306),"")</f>
        <v>8.3010056149999993</v>
      </c>
      <c r="R306">
        <f ca="1">IFERROR(IF(0=LEN(ReferenceData!$R$306),"",ReferenceData!$R$306),"")</f>
        <v>10.06718077</v>
      </c>
      <c r="S306">
        <f ca="1">IFERROR(IF(0=LEN(ReferenceData!$S$306),"",ReferenceData!$S$306),"")</f>
        <v>8.5903680609999995</v>
      </c>
      <c r="T306">
        <f ca="1">IFERROR(IF(0=LEN(ReferenceData!$T$306),"",ReferenceData!$T$306),"")</f>
        <v>10.792948150000001</v>
      </c>
      <c r="U306">
        <f ca="1">IFERROR(IF(0=LEN(ReferenceData!$U$306),"",ReferenceData!$U$306),"")</f>
        <v>13.33711241</v>
      </c>
      <c r="V306">
        <f ca="1">IFERROR(IF(0=LEN(ReferenceData!$V$306),"",ReferenceData!$V$306),"")</f>
        <v>13.994711519999999</v>
      </c>
      <c r="W306">
        <f ca="1">IFERROR(IF(0=LEN(ReferenceData!$W$306),"",ReferenceData!$W$306),"")</f>
        <v>15.61841819</v>
      </c>
      <c r="X306">
        <f ca="1">IFERROR(IF(0=LEN(ReferenceData!$X$306),"",ReferenceData!$X$306),"")</f>
        <v>14.38167507</v>
      </c>
      <c r="Y306">
        <f ca="1">IFERROR(IF(0=LEN(ReferenceData!$Y$306),"",ReferenceData!$Y$306),"")</f>
        <v>15.157743999999999</v>
      </c>
      <c r="Z306">
        <f ca="1">IFERROR(IF(0=LEN(ReferenceData!$Z$306),"",ReferenceData!$Z$306),"")</f>
        <v>12.594711820000001</v>
      </c>
      <c r="AA306">
        <f ca="1">IFERROR(IF(0=LEN(ReferenceData!$AA$306),"",ReferenceData!$AA$306),"")</f>
        <v>12.60615307</v>
      </c>
      <c r="AB306">
        <f ca="1">IFERROR(IF(0=LEN(ReferenceData!$AB$306),"",ReferenceData!$AB$306),"")</f>
        <v>13.966588290000001</v>
      </c>
      <c r="AC306">
        <f ca="1">IFERROR(IF(0=LEN(ReferenceData!$AC$306),"",ReferenceData!$AC$306),"")</f>
        <v>13.583035929999999</v>
      </c>
      <c r="AD306">
        <f ca="1">IFERROR(IF(0=LEN(ReferenceData!$AD$306),"",ReferenceData!$AD$306),"")</f>
        <v>13.069322550000001</v>
      </c>
      <c r="AE306">
        <f ca="1">IFERROR(IF(0=LEN(ReferenceData!$AE$306),"",ReferenceData!$AE$306),"")</f>
        <v>10.57327506</v>
      </c>
      <c r="AF306">
        <f ca="1">IFERROR(IF(0=LEN(ReferenceData!$AF$306),"",ReferenceData!$AF$306),"")</f>
        <v>9.0264039749999991</v>
      </c>
      <c r="AG306">
        <f ca="1">IFERROR(IF(0=LEN(ReferenceData!$AG$306),"",ReferenceData!$AG$306),"")</f>
        <v>6.9958057079999998</v>
      </c>
      <c r="AH306">
        <f ca="1">IFERROR(IF(0=LEN(ReferenceData!$AH$306),"",ReferenceData!$AH$306),"")</f>
        <v>6.6211540680000001</v>
      </c>
      <c r="AI306">
        <f ca="1">IFERROR(IF(0=LEN(ReferenceData!$AI$306),"",ReferenceData!$AI$306),"")</f>
        <v>6.2133669080000002</v>
      </c>
      <c r="AJ306">
        <f ca="1">IFERROR(IF(0=LEN(ReferenceData!$AJ$306),"",ReferenceData!$AJ$306),"")</f>
        <v>4.7328314560000004</v>
      </c>
      <c r="AK306">
        <f ca="1">IFERROR(IF(0=LEN(ReferenceData!$AK$306),"",ReferenceData!$AK$306),"")</f>
        <v>5.3788006519999998</v>
      </c>
      <c r="AL306">
        <f ca="1">IFERROR(IF(0=LEN(ReferenceData!$AL$306),"",ReferenceData!$AL$306),"")</f>
        <v>5.7995267769999996</v>
      </c>
      <c r="AM306">
        <f ca="1">IFERROR(IF(0=LEN(ReferenceData!$AM$306),"",ReferenceData!$AM$306),"")</f>
        <v>5.8410540830000004</v>
      </c>
      <c r="AN306">
        <f ca="1">IFERROR(IF(0=LEN(ReferenceData!$AN$306),"",ReferenceData!$AN$306),"")</f>
        <v>6.0951116509999999</v>
      </c>
      <c r="AO306">
        <f ca="1">IFERROR(IF(0=LEN(ReferenceData!$AO$306),"",ReferenceData!$AO$306),"")</f>
        <v>5.3360926150000001</v>
      </c>
      <c r="AP306">
        <f ca="1">IFERROR(IF(0=LEN(ReferenceData!$AP$306),"",ReferenceData!$AP$306),"")</f>
        <v>5.9416214170000003</v>
      </c>
      <c r="AQ306">
        <f ca="1">IFERROR(IF(0=LEN(ReferenceData!$AQ$306),"",ReferenceData!$AQ$306),"")</f>
        <v>5.6880900099999998</v>
      </c>
      <c r="AR306">
        <f ca="1">IFERROR(IF(0=LEN(ReferenceData!$AR$306),"",ReferenceData!$AR$306),"")</f>
        <v>6.300371084</v>
      </c>
      <c r="AS306">
        <f ca="1">IFERROR(IF(0=LEN(ReferenceData!$AS$306),"",ReferenceData!$AS$306),"")</f>
        <v>3.934696846</v>
      </c>
      <c r="AT306">
        <f ca="1">IFERROR(IF(0=LEN(ReferenceData!$AT$306),"",ReferenceData!$AT$306),"")</f>
        <v>2.5121748639999999</v>
      </c>
      <c r="AU306">
        <f ca="1">IFERROR(IF(0=LEN(ReferenceData!$AU$306),"",ReferenceData!$AU$306),"")</f>
        <v>2.168635842</v>
      </c>
      <c r="AV306">
        <f ca="1">IFERROR(IF(0=LEN(ReferenceData!$AV$306),"",ReferenceData!$AV$306),"")</f>
        <v>2.4925120999999999</v>
      </c>
      <c r="AW306">
        <f ca="1">IFERROR(IF(0=LEN(ReferenceData!$AW$306),"",ReferenceData!$AW$306),"")</f>
        <v>3.545028426</v>
      </c>
      <c r="AX306">
        <f ca="1">IFERROR(IF(0=LEN(ReferenceData!$AX$306),"",ReferenceData!$AX$306),"")</f>
        <v>3.954087774</v>
      </c>
      <c r="AY306">
        <f ca="1">IFERROR(IF(0=LEN(ReferenceData!$AY$306),"",ReferenceData!$AY$306),"")</f>
        <v>5.3397268249999996</v>
      </c>
      <c r="AZ306">
        <f ca="1">IFERROR(IF(0=LEN(ReferenceData!$AZ$306),"",ReferenceData!$AZ$306),"")</f>
        <v>6.2104524330000004</v>
      </c>
      <c r="BA306">
        <f ca="1">IFERROR(IF(0=LEN(ReferenceData!$BA$306),"",ReferenceData!$BA$306),"")</f>
        <v>6.2913250449999998</v>
      </c>
      <c r="BB306">
        <f ca="1">IFERROR(IF(0=LEN(ReferenceData!$BB$306),"",ReferenceData!$BB$306),"")</f>
        <v>6.3192370640000002</v>
      </c>
      <c r="BC306">
        <f ca="1">IFERROR(IF(0=LEN(ReferenceData!$BC$306),"",ReferenceData!$BC$306),"")</f>
        <v>5.6468718999999998</v>
      </c>
      <c r="BD306">
        <f ca="1">IFERROR(IF(0=LEN(ReferenceData!$BD$306),"",ReferenceData!$BD$306),"")</f>
        <v>4.4474603049999999</v>
      </c>
      <c r="BE306">
        <f ca="1">IFERROR(IF(0=LEN(ReferenceData!$BE$306),"",ReferenceData!$BE$306),"")</f>
        <v>4.6496487540000002</v>
      </c>
      <c r="BF306">
        <f ca="1">IFERROR(IF(0=LEN(ReferenceData!$BF$306),"",ReferenceData!$BF$306),"")</f>
        <v>5.0236521969999997</v>
      </c>
      <c r="BG306">
        <f ca="1">IFERROR(IF(0=LEN(ReferenceData!$BG$306),"",ReferenceData!$BG$306),"")</f>
        <v>5.283339046</v>
      </c>
      <c r="BH306" t="str">
        <f ca="1">IFERROR(IF(0=LEN(ReferenceData!$BH$306),"",ReferenceData!$BH$306),"")</f>
        <v/>
      </c>
      <c r="BI306" t="str">
        <f ca="1">IFERROR(IF(0=LEN(ReferenceData!$BI$306),"",ReferenceData!$BI$306),"")</f>
        <v/>
      </c>
      <c r="BJ306" t="str">
        <f ca="1">IFERROR(IF(0=LEN(ReferenceData!$BJ$306),"",ReferenceData!$BJ$306),"")</f>
        <v/>
      </c>
      <c r="BK306" t="str">
        <f ca="1">IFERROR(IF(0=LEN(ReferenceData!$BK$306),"",ReferenceData!$BK$306),"")</f>
        <v/>
      </c>
      <c r="BL306" t="str">
        <f ca="1">IFERROR(IF(0=LEN(ReferenceData!$BL$306),"",ReferenceData!$BL$306),"")</f>
        <v/>
      </c>
      <c r="BM306" t="str">
        <f ca="1">IFERROR(IF(0=LEN(ReferenceData!$BM$306),"",ReferenceData!$BM$306),"")</f>
        <v/>
      </c>
    </row>
    <row r="307" spans="1:65" x14ac:dyDescent="0.25">
      <c r="A307" t="str">
        <f>IFERROR(IF(0=LEN(ReferenceData!$A$307),"",ReferenceData!$A$307),"")</f>
        <v xml:space="preserve">    GAZ PJSC</v>
      </c>
      <c r="B307" t="str">
        <f>IFERROR(IF(0=LEN(ReferenceData!$B$307),"",ReferenceData!$B$307),"")</f>
        <v>GAZA RM Equity</v>
      </c>
      <c r="C307" t="str">
        <f>IFERROR(IF(0=LEN(ReferenceData!$C$307),"",ReferenceData!$C$307),"")</f>
        <v>RR474</v>
      </c>
      <c r="D307" t="str">
        <f>IFERROR(IF(0=LEN(ReferenceData!$D$307),"",ReferenceData!$D$307),"")</f>
        <v>EV_TO_T12M_EBITDA</v>
      </c>
      <c r="E307" t="str">
        <f>IFERROR(IF(0=LEN(ReferenceData!$E$307),"",ReferenceData!$E$307),"")</f>
        <v>Dynamic</v>
      </c>
      <c r="F307" t="str">
        <f ca="1">IFERROR(IF(0=LEN(ReferenceData!$F$307),"",ReferenceData!$F$307),"")</f>
        <v/>
      </c>
      <c r="G307" t="str">
        <f ca="1">IFERROR(IF(0=LEN(ReferenceData!$G$307),"",ReferenceData!$G$307),"")</f>
        <v/>
      </c>
      <c r="H307" t="str">
        <f ca="1">IFERROR(IF(0=LEN(ReferenceData!$H$307),"",ReferenceData!$H$307),"")</f>
        <v/>
      </c>
      <c r="I307" t="str">
        <f ca="1">IFERROR(IF(0=LEN(ReferenceData!$I$307),"",ReferenceData!$I$307),"")</f>
        <v/>
      </c>
      <c r="J307" t="str">
        <f ca="1">IFERROR(IF(0=LEN(ReferenceData!$J$307),"",ReferenceData!$J$307),"")</f>
        <v/>
      </c>
      <c r="K307" t="str">
        <f ca="1">IFERROR(IF(0=LEN(ReferenceData!$K$307),"",ReferenceData!$K$307),"")</f>
        <v/>
      </c>
      <c r="L307" t="str">
        <f ca="1">IFERROR(IF(0=LEN(ReferenceData!$L$307),"",ReferenceData!$L$307),"")</f>
        <v/>
      </c>
      <c r="M307" t="str">
        <f ca="1">IFERROR(IF(0=LEN(ReferenceData!$M$307),"",ReferenceData!$M$307),"")</f>
        <v/>
      </c>
      <c r="N307" t="str">
        <f ca="1">IFERROR(IF(0=LEN(ReferenceData!$N$307),"",ReferenceData!$N$307),"")</f>
        <v/>
      </c>
      <c r="O307" t="str">
        <f ca="1">IFERROR(IF(0=LEN(ReferenceData!$O$307),"",ReferenceData!$O$307),"")</f>
        <v/>
      </c>
      <c r="P307" t="str">
        <f ca="1">IFERROR(IF(0=LEN(ReferenceData!$P$307),"",ReferenceData!$P$307),"")</f>
        <v/>
      </c>
      <c r="Q307" t="str">
        <f ca="1">IFERROR(IF(0=LEN(ReferenceData!$Q$307),"",ReferenceData!$Q$307),"")</f>
        <v/>
      </c>
      <c r="R307" t="str">
        <f ca="1">IFERROR(IF(0=LEN(ReferenceData!$R$307),"",ReferenceData!$R$307),"")</f>
        <v/>
      </c>
      <c r="S307" t="str">
        <f ca="1">IFERROR(IF(0=LEN(ReferenceData!$S$307),"",ReferenceData!$S$307),"")</f>
        <v/>
      </c>
      <c r="T307" t="str">
        <f ca="1">IFERROR(IF(0=LEN(ReferenceData!$T$307),"",ReferenceData!$T$307),"")</f>
        <v/>
      </c>
      <c r="U307" t="str">
        <f ca="1">IFERROR(IF(0=LEN(ReferenceData!$U$307),"",ReferenceData!$U$307),"")</f>
        <v/>
      </c>
      <c r="V307" t="str">
        <f ca="1">IFERROR(IF(0=LEN(ReferenceData!$V$307),"",ReferenceData!$V$307),"")</f>
        <v/>
      </c>
      <c r="W307" t="str">
        <f ca="1">IFERROR(IF(0=LEN(ReferenceData!$W$307),"",ReferenceData!$W$307),"")</f>
        <v/>
      </c>
      <c r="X307" t="str">
        <f ca="1">IFERROR(IF(0=LEN(ReferenceData!$X$307),"",ReferenceData!$X$307),"")</f>
        <v/>
      </c>
      <c r="Y307" t="str">
        <f ca="1">IFERROR(IF(0=LEN(ReferenceData!$Y$307),"",ReferenceData!$Y$307),"")</f>
        <v/>
      </c>
      <c r="Z307" t="str">
        <f ca="1">IFERROR(IF(0=LEN(ReferenceData!$Z$307),"",ReferenceData!$Z$307),"")</f>
        <v/>
      </c>
      <c r="AA307" t="str">
        <f ca="1">IFERROR(IF(0=LEN(ReferenceData!$AA$307),"",ReferenceData!$AA$307),"")</f>
        <v/>
      </c>
      <c r="AB307" t="str">
        <f ca="1">IFERROR(IF(0=LEN(ReferenceData!$AB$307),"",ReferenceData!$AB$307),"")</f>
        <v/>
      </c>
      <c r="AC307" t="str">
        <f ca="1">IFERROR(IF(0=LEN(ReferenceData!$AC$307),"",ReferenceData!$AC$307),"")</f>
        <v/>
      </c>
      <c r="AD307" t="str">
        <f ca="1">IFERROR(IF(0=LEN(ReferenceData!$AD$307),"",ReferenceData!$AD$307),"")</f>
        <v/>
      </c>
      <c r="AE307" t="str">
        <f ca="1">IFERROR(IF(0=LEN(ReferenceData!$AE$307),"",ReferenceData!$AE$307),"")</f>
        <v/>
      </c>
      <c r="AF307" t="str">
        <f ca="1">IFERROR(IF(0=LEN(ReferenceData!$AF$307),"",ReferenceData!$AF$307),"")</f>
        <v/>
      </c>
      <c r="AG307" t="str">
        <f ca="1">IFERROR(IF(0=LEN(ReferenceData!$AG$307),"",ReferenceData!$AG$307),"")</f>
        <v/>
      </c>
      <c r="AH307" t="str">
        <f ca="1">IFERROR(IF(0=LEN(ReferenceData!$AH$307),"",ReferenceData!$AH$307),"")</f>
        <v/>
      </c>
      <c r="AI307" t="str">
        <f ca="1">IFERROR(IF(0=LEN(ReferenceData!$AI$307),"",ReferenceData!$AI$307),"")</f>
        <v/>
      </c>
      <c r="AJ307" t="str">
        <f ca="1">IFERROR(IF(0=LEN(ReferenceData!$AJ$307),"",ReferenceData!$AJ$307),"")</f>
        <v/>
      </c>
      <c r="AK307" t="str">
        <f ca="1">IFERROR(IF(0=LEN(ReferenceData!$AK$307),"",ReferenceData!$AK$307),"")</f>
        <v/>
      </c>
      <c r="AL307" t="str">
        <f ca="1">IFERROR(IF(0=LEN(ReferenceData!$AL$307),"",ReferenceData!$AL$307),"")</f>
        <v/>
      </c>
      <c r="AM307" t="str">
        <f ca="1">IFERROR(IF(0=LEN(ReferenceData!$AM$307),"",ReferenceData!$AM$307),"")</f>
        <v/>
      </c>
      <c r="AN307" t="str">
        <f ca="1">IFERROR(IF(0=LEN(ReferenceData!$AN$307),"",ReferenceData!$AN$307),"")</f>
        <v/>
      </c>
      <c r="AO307" t="str">
        <f ca="1">IFERROR(IF(0=LEN(ReferenceData!$AO$307),"",ReferenceData!$AO$307),"")</f>
        <v/>
      </c>
      <c r="AP307" t="str">
        <f ca="1">IFERROR(IF(0=LEN(ReferenceData!$AP$307),"",ReferenceData!$AP$307),"")</f>
        <v/>
      </c>
      <c r="AQ307" t="str">
        <f ca="1">IFERROR(IF(0=LEN(ReferenceData!$AQ$307),"",ReferenceData!$AQ$307),"")</f>
        <v/>
      </c>
      <c r="AR307" t="str">
        <f ca="1">IFERROR(IF(0=LEN(ReferenceData!$AR$307),"",ReferenceData!$AR$307),"")</f>
        <v/>
      </c>
      <c r="AS307" t="str">
        <f ca="1">IFERROR(IF(0=LEN(ReferenceData!$AS$307),"",ReferenceData!$AS$307),"")</f>
        <v/>
      </c>
      <c r="AT307" t="str">
        <f ca="1">IFERROR(IF(0=LEN(ReferenceData!$AT$307),"",ReferenceData!$AT$307),"")</f>
        <v/>
      </c>
      <c r="AU307" t="str">
        <f ca="1">IFERROR(IF(0=LEN(ReferenceData!$AU$307),"",ReferenceData!$AU$307),"")</f>
        <v/>
      </c>
      <c r="AV307" t="str">
        <f ca="1">IFERROR(IF(0=LEN(ReferenceData!$AV$307),"",ReferenceData!$AV$307),"")</f>
        <v/>
      </c>
      <c r="AW307" t="str">
        <f ca="1">IFERROR(IF(0=LEN(ReferenceData!$AW$307),"",ReferenceData!$AW$307),"")</f>
        <v/>
      </c>
      <c r="AX307" t="str">
        <f ca="1">IFERROR(IF(0=LEN(ReferenceData!$AX$307),"",ReferenceData!$AX$307),"")</f>
        <v/>
      </c>
      <c r="AY307" t="str">
        <f ca="1">IFERROR(IF(0=LEN(ReferenceData!$AY$307),"",ReferenceData!$AY$307),"")</f>
        <v/>
      </c>
      <c r="AZ307" t="str">
        <f ca="1">IFERROR(IF(0=LEN(ReferenceData!$AZ$307),"",ReferenceData!$AZ$307),"")</f>
        <v/>
      </c>
      <c r="BA307" t="str">
        <f ca="1">IFERROR(IF(0=LEN(ReferenceData!$BA$307),"",ReferenceData!$BA$307),"")</f>
        <v/>
      </c>
      <c r="BB307" t="str">
        <f ca="1">IFERROR(IF(0=LEN(ReferenceData!$BB$307),"",ReferenceData!$BB$307),"")</f>
        <v/>
      </c>
      <c r="BC307" t="str">
        <f ca="1">IFERROR(IF(0=LEN(ReferenceData!$BC$307),"",ReferenceData!$BC$307),"")</f>
        <v/>
      </c>
      <c r="BD307" t="str">
        <f ca="1">IFERROR(IF(0=LEN(ReferenceData!$BD$307),"",ReferenceData!$BD$307),"")</f>
        <v/>
      </c>
      <c r="BE307" t="str">
        <f ca="1">IFERROR(IF(0=LEN(ReferenceData!$BE$307),"",ReferenceData!$BE$307),"")</f>
        <v/>
      </c>
      <c r="BF307" t="str">
        <f ca="1">IFERROR(IF(0=LEN(ReferenceData!$BF$307),"",ReferenceData!$BF$307),"")</f>
        <v/>
      </c>
      <c r="BG307" t="str">
        <f ca="1">IFERROR(IF(0=LEN(ReferenceData!$BG$307),"",ReferenceData!$BG$307),"")</f>
        <v/>
      </c>
      <c r="BH307" t="str">
        <f ca="1">IFERROR(IF(0=LEN(ReferenceData!$BH$307),"",ReferenceData!$BH$307),"")</f>
        <v/>
      </c>
      <c r="BI307" t="str">
        <f ca="1">IFERROR(IF(0=LEN(ReferenceData!$BI$307),"",ReferenceData!$BI$307),"")</f>
        <v/>
      </c>
      <c r="BJ307" t="str">
        <f ca="1">IFERROR(IF(0=LEN(ReferenceData!$BJ$307),"",ReferenceData!$BJ$307),"")</f>
        <v/>
      </c>
      <c r="BK307" t="str">
        <f ca="1">IFERROR(IF(0=LEN(ReferenceData!$BK$307),"",ReferenceData!$BK$307),"")</f>
        <v/>
      </c>
      <c r="BL307" t="str">
        <f ca="1">IFERROR(IF(0=LEN(ReferenceData!$BL$307),"",ReferenceData!$BL$307),"")</f>
        <v/>
      </c>
      <c r="BM307" t="str">
        <f ca="1">IFERROR(IF(0=LEN(ReferenceData!$BM$307),"",ReferenceData!$BM$307),"")</f>
        <v/>
      </c>
    </row>
    <row r="308" spans="1:65" x14ac:dyDescent="0.25">
      <c r="A308" t="str">
        <f>IFERROR(IF(0=LEN(ReferenceData!$A$308),"",ReferenceData!$A$308),"")</f>
        <v xml:space="preserve">    Geely Automobile Holdings Ltd</v>
      </c>
      <c r="B308" t="str">
        <f>IFERROR(IF(0=LEN(ReferenceData!$B$308),"",ReferenceData!$B$308),"")</f>
        <v>175 HK Equity</v>
      </c>
      <c r="C308" t="str">
        <f>IFERROR(IF(0=LEN(ReferenceData!$C$308),"",ReferenceData!$C$308),"")</f>
        <v>RR474</v>
      </c>
      <c r="D308" t="str">
        <f>IFERROR(IF(0=LEN(ReferenceData!$D$308),"",ReferenceData!$D$308),"")</f>
        <v>EV_TO_T12M_EBITDA</v>
      </c>
      <c r="E308" t="str">
        <f>IFERROR(IF(0=LEN(ReferenceData!$E$308),"",ReferenceData!$E$308),"")</f>
        <v>Dynamic</v>
      </c>
      <c r="F308" t="str">
        <f ca="1">IFERROR(IF(0=LEN(ReferenceData!$F$308),"",ReferenceData!$F$308),"")</f>
        <v/>
      </c>
      <c r="G308" t="str">
        <f ca="1">IFERROR(IF(0=LEN(ReferenceData!$G$308),"",ReferenceData!$G$308),"")</f>
        <v/>
      </c>
      <c r="H308" t="str">
        <f ca="1">IFERROR(IF(0=LEN(ReferenceData!$H$308),"",ReferenceData!$H$308),"")</f>
        <v/>
      </c>
      <c r="I308" t="str">
        <f ca="1">IFERROR(IF(0=LEN(ReferenceData!$I$308),"",ReferenceData!$I$308),"")</f>
        <v/>
      </c>
      <c r="J308" t="str">
        <f ca="1">IFERROR(IF(0=LEN(ReferenceData!$J$308),"",ReferenceData!$J$308),"")</f>
        <v/>
      </c>
      <c r="K308" t="str">
        <f ca="1">IFERROR(IF(0=LEN(ReferenceData!$K$308),"",ReferenceData!$K$308),"")</f>
        <v/>
      </c>
      <c r="L308" t="str">
        <f ca="1">IFERROR(IF(0=LEN(ReferenceData!$L$308),"",ReferenceData!$L$308),"")</f>
        <v/>
      </c>
      <c r="M308" t="str">
        <f ca="1">IFERROR(IF(0=LEN(ReferenceData!$M$308),"",ReferenceData!$M$308),"")</f>
        <v/>
      </c>
      <c r="N308" t="str">
        <f ca="1">IFERROR(IF(0=LEN(ReferenceData!$N$308),"",ReferenceData!$N$308),"")</f>
        <v/>
      </c>
      <c r="O308" t="str">
        <f ca="1">IFERROR(IF(0=LEN(ReferenceData!$O$308),"",ReferenceData!$O$308),"")</f>
        <v/>
      </c>
      <c r="P308" t="str">
        <f ca="1">IFERROR(IF(0=LEN(ReferenceData!$P$308),"",ReferenceData!$P$308),"")</f>
        <v/>
      </c>
      <c r="Q308" t="str">
        <f ca="1">IFERROR(IF(0=LEN(ReferenceData!$Q$308),"",ReferenceData!$Q$308),"")</f>
        <v/>
      </c>
      <c r="R308" t="str">
        <f ca="1">IFERROR(IF(0=LEN(ReferenceData!$R$308),"",ReferenceData!$R$308),"")</f>
        <v/>
      </c>
      <c r="S308" t="str">
        <f ca="1">IFERROR(IF(0=LEN(ReferenceData!$S$308),"",ReferenceData!$S$308),"")</f>
        <v/>
      </c>
      <c r="T308" t="str">
        <f ca="1">IFERROR(IF(0=LEN(ReferenceData!$T$308),"",ReferenceData!$T$308),"")</f>
        <v/>
      </c>
      <c r="U308" t="str">
        <f ca="1">IFERROR(IF(0=LEN(ReferenceData!$U$308),"",ReferenceData!$U$308),"")</f>
        <v/>
      </c>
      <c r="V308" t="str">
        <f ca="1">IFERROR(IF(0=LEN(ReferenceData!$V$308),"",ReferenceData!$V$308),"")</f>
        <v/>
      </c>
      <c r="W308" t="str">
        <f ca="1">IFERROR(IF(0=LEN(ReferenceData!$W$308),"",ReferenceData!$W$308),"")</f>
        <v/>
      </c>
      <c r="X308" t="str">
        <f ca="1">IFERROR(IF(0=LEN(ReferenceData!$X$308),"",ReferenceData!$X$308),"")</f>
        <v/>
      </c>
      <c r="Y308" t="str">
        <f ca="1">IFERROR(IF(0=LEN(ReferenceData!$Y$308),"",ReferenceData!$Y$308),"")</f>
        <v/>
      </c>
      <c r="Z308" t="str">
        <f ca="1">IFERROR(IF(0=LEN(ReferenceData!$Z$308),"",ReferenceData!$Z$308),"")</f>
        <v/>
      </c>
      <c r="AA308" t="str">
        <f ca="1">IFERROR(IF(0=LEN(ReferenceData!$AA$308),"",ReferenceData!$AA$308),"")</f>
        <v/>
      </c>
      <c r="AB308" t="str">
        <f ca="1">IFERROR(IF(0=LEN(ReferenceData!$AB$308),"",ReferenceData!$AB$308),"")</f>
        <v/>
      </c>
      <c r="AC308" t="str">
        <f ca="1">IFERROR(IF(0=LEN(ReferenceData!$AC$308),"",ReferenceData!$AC$308),"")</f>
        <v/>
      </c>
      <c r="AD308" t="str">
        <f ca="1">IFERROR(IF(0=LEN(ReferenceData!$AD$308),"",ReferenceData!$AD$308),"")</f>
        <v/>
      </c>
      <c r="AE308" t="str">
        <f ca="1">IFERROR(IF(0=LEN(ReferenceData!$AE$308),"",ReferenceData!$AE$308),"")</f>
        <v/>
      </c>
      <c r="AF308" t="str">
        <f ca="1">IFERROR(IF(0=LEN(ReferenceData!$AF$308),"",ReferenceData!$AF$308),"")</f>
        <v/>
      </c>
      <c r="AG308" t="str">
        <f ca="1">IFERROR(IF(0=LEN(ReferenceData!$AG$308),"",ReferenceData!$AG$308),"")</f>
        <v/>
      </c>
      <c r="AH308" t="str">
        <f ca="1">IFERROR(IF(0=LEN(ReferenceData!$AH$308),"",ReferenceData!$AH$308),"")</f>
        <v/>
      </c>
      <c r="AI308" t="str">
        <f ca="1">IFERROR(IF(0=LEN(ReferenceData!$AI$308),"",ReferenceData!$AI$308),"")</f>
        <v/>
      </c>
      <c r="AJ308" t="str">
        <f ca="1">IFERROR(IF(0=LEN(ReferenceData!$AJ$308),"",ReferenceData!$AJ$308),"")</f>
        <v/>
      </c>
      <c r="AK308" t="str">
        <f ca="1">IFERROR(IF(0=LEN(ReferenceData!$AK$308),"",ReferenceData!$AK$308),"")</f>
        <v/>
      </c>
      <c r="AL308" t="str">
        <f ca="1">IFERROR(IF(0=LEN(ReferenceData!$AL$308),"",ReferenceData!$AL$308),"")</f>
        <v/>
      </c>
      <c r="AM308" t="str">
        <f ca="1">IFERROR(IF(0=LEN(ReferenceData!$AM$308),"",ReferenceData!$AM$308),"")</f>
        <v/>
      </c>
      <c r="AN308" t="str">
        <f ca="1">IFERROR(IF(0=LEN(ReferenceData!$AN$308),"",ReferenceData!$AN$308),"")</f>
        <v/>
      </c>
      <c r="AO308" t="str">
        <f ca="1">IFERROR(IF(0=LEN(ReferenceData!$AO$308),"",ReferenceData!$AO$308),"")</f>
        <v/>
      </c>
      <c r="AP308" t="str">
        <f ca="1">IFERROR(IF(0=LEN(ReferenceData!$AP$308),"",ReferenceData!$AP$308),"")</f>
        <v/>
      </c>
      <c r="AQ308" t="str">
        <f ca="1">IFERROR(IF(0=LEN(ReferenceData!$AQ$308),"",ReferenceData!$AQ$308),"")</f>
        <v/>
      </c>
      <c r="AR308" t="str">
        <f ca="1">IFERROR(IF(0=LEN(ReferenceData!$AR$308),"",ReferenceData!$AR$308),"")</f>
        <v/>
      </c>
      <c r="AS308" t="str">
        <f ca="1">IFERROR(IF(0=LEN(ReferenceData!$AS$308),"",ReferenceData!$AS$308),"")</f>
        <v/>
      </c>
      <c r="AT308" t="str">
        <f ca="1">IFERROR(IF(0=LEN(ReferenceData!$AT$308),"",ReferenceData!$AT$308),"")</f>
        <v/>
      </c>
      <c r="AU308" t="str">
        <f ca="1">IFERROR(IF(0=LEN(ReferenceData!$AU$308),"",ReferenceData!$AU$308),"")</f>
        <v/>
      </c>
      <c r="AV308" t="str">
        <f ca="1">IFERROR(IF(0=LEN(ReferenceData!$AV$308),"",ReferenceData!$AV$308),"")</f>
        <v/>
      </c>
      <c r="AW308" t="str">
        <f ca="1">IFERROR(IF(0=LEN(ReferenceData!$AW$308),"",ReferenceData!$AW$308),"")</f>
        <v/>
      </c>
      <c r="AX308" t="str">
        <f ca="1">IFERROR(IF(0=LEN(ReferenceData!$AX$308),"",ReferenceData!$AX$308),"")</f>
        <v/>
      </c>
      <c r="AY308" t="str">
        <f ca="1">IFERROR(IF(0=LEN(ReferenceData!$AY$308),"",ReferenceData!$AY$308),"")</f>
        <v/>
      </c>
      <c r="AZ308" t="str">
        <f ca="1">IFERROR(IF(0=LEN(ReferenceData!$AZ$308),"",ReferenceData!$AZ$308),"")</f>
        <v/>
      </c>
      <c r="BA308" t="str">
        <f ca="1">IFERROR(IF(0=LEN(ReferenceData!$BA$308),"",ReferenceData!$BA$308),"")</f>
        <v/>
      </c>
      <c r="BB308" t="str">
        <f ca="1">IFERROR(IF(0=LEN(ReferenceData!$BB$308),"",ReferenceData!$BB$308),"")</f>
        <v/>
      </c>
      <c r="BC308" t="str">
        <f ca="1">IFERROR(IF(0=LEN(ReferenceData!$BC$308),"",ReferenceData!$BC$308),"")</f>
        <v/>
      </c>
      <c r="BD308" t="str">
        <f ca="1">IFERROR(IF(0=LEN(ReferenceData!$BD$308),"",ReferenceData!$BD$308),"")</f>
        <v/>
      </c>
      <c r="BE308" t="str">
        <f ca="1">IFERROR(IF(0=LEN(ReferenceData!$BE$308),"",ReferenceData!$BE$308),"")</f>
        <v/>
      </c>
      <c r="BF308" t="str">
        <f ca="1">IFERROR(IF(0=LEN(ReferenceData!$BF$308),"",ReferenceData!$BF$308),"")</f>
        <v/>
      </c>
      <c r="BG308" t="str">
        <f ca="1">IFERROR(IF(0=LEN(ReferenceData!$BG$308),"",ReferenceData!$BG$308),"")</f>
        <v/>
      </c>
      <c r="BH308" t="str">
        <f ca="1">IFERROR(IF(0=LEN(ReferenceData!$BH$308),"",ReferenceData!$BH$308),"")</f>
        <v/>
      </c>
      <c r="BI308" t="str">
        <f ca="1">IFERROR(IF(0=LEN(ReferenceData!$BI$308),"",ReferenceData!$BI$308),"")</f>
        <v/>
      </c>
      <c r="BJ308" t="str">
        <f ca="1">IFERROR(IF(0=LEN(ReferenceData!$BJ$308),"",ReferenceData!$BJ$308),"")</f>
        <v/>
      </c>
      <c r="BK308" t="str">
        <f ca="1">IFERROR(IF(0=LEN(ReferenceData!$BK$308),"",ReferenceData!$BK$308),"")</f>
        <v/>
      </c>
      <c r="BL308" t="str">
        <f ca="1">IFERROR(IF(0=LEN(ReferenceData!$BL$308),"",ReferenceData!$BL$308),"")</f>
        <v/>
      </c>
      <c r="BM308" t="str">
        <f ca="1">IFERROR(IF(0=LEN(ReferenceData!$BM$308),"",ReferenceData!$BM$308),"")</f>
        <v/>
      </c>
    </row>
    <row r="309" spans="1:65" x14ac:dyDescent="0.25">
      <c r="A309" t="str">
        <f>IFERROR(IF(0=LEN(ReferenceData!$A$309),"",ReferenceData!$A$309),"")</f>
        <v xml:space="preserve">    General Motors Co</v>
      </c>
      <c r="B309" t="str">
        <f>IFERROR(IF(0=LEN(ReferenceData!$B$309),"",ReferenceData!$B$309),"")</f>
        <v>GM US Equity</v>
      </c>
      <c r="C309" t="str">
        <f>IFERROR(IF(0=LEN(ReferenceData!$C$309),"",ReferenceData!$C$309),"")</f>
        <v>RR474</v>
      </c>
      <c r="D309" t="str">
        <f>IFERROR(IF(0=LEN(ReferenceData!$D$309),"",ReferenceData!$D$309),"")</f>
        <v>EV_TO_T12M_EBITDA</v>
      </c>
      <c r="E309" t="str">
        <f>IFERROR(IF(0=LEN(ReferenceData!$E$309),"",ReferenceData!$E$309),"")</f>
        <v>Dynamic</v>
      </c>
      <c r="F309" t="str">
        <f ca="1">IFERROR(IF(0=LEN(ReferenceData!$F$309),"",ReferenceData!$F$309),"")</f>
        <v/>
      </c>
      <c r="G309">
        <f ca="1">IFERROR(IF(0=LEN(ReferenceData!$G$309),"",ReferenceData!$G$309),"")</f>
        <v>2.4934304960000002</v>
      </c>
      <c r="H309">
        <f ca="1">IFERROR(IF(0=LEN(ReferenceData!$H$309),"",ReferenceData!$H$309),"")</f>
        <v>2.4554439829999999</v>
      </c>
      <c r="I309">
        <f ca="1">IFERROR(IF(0=LEN(ReferenceData!$I$309),"",ReferenceData!$I$309),"")</f>
        <v>2.8625471550000001</v>
      </c>
      <c r="J309">
        <f ca="1">IFERROR(IF(0=LEN(ReferenceData!$J$309),"",ReferenceData!$J$309),"")</f>
        <v>2.5447071960000001</v>
      </c>
      <c r="K309">
        <f ca="1">IFERROR(IF(0=LEN(ReferenceData!$K$309),"",ReferenceData!$K$309),"")</f>
        <v>2.511710162</v>
      </c>
      <c r="L309">
        <f ca="1">IFERROR(IF(0=LEN(ReferenceData!$L$309),"",ReferenceData!$L$309),"")</f>
        <v>2.9170452720000002</v>
      </c>
      <c r="M309">
        <f ca="1">IFERROR(IF(0=LEN(ReferenceData!$M$309),"",ReferenceData!$M$309),"")</f>
        <v>2.2002245130000002</v>
      </c>
      <c r="N309">
        <f ca="1">IFERROR(IF(0=LEN(ReferenceData!$N$309),"",ReferenceData!$N$309),"")</f>
        <v>2.252365282</v>
      </c>
      <c r="O309">
        <f ca="1">IFERROR(IF(0=LEN(ReferenceData!$O$309),"",ReferenceData!$O$309),"")</f>
        <v>2.2549222229999999</v>
      </c>
      <c r="P309">
        <f ca="1">IFERROR(IF(0=LEN(ReferenceData!$P$309),"",ReferenceData!$P$309),"")</f>
        <v>1.978889758</v>
      </c>
      <c r="Q309">
        <f ca="1">IFERROR(IF(0=LEN(ReferenceData!$Q$309),"",ReferenceData!$Q$309),"")</f>
        <v>2.254727811</v>
      </c>
      <c r="R309">
        <f ca="1">IFERROR(IF(0=LEN(ReferenceData!$R$309),"",ReferenceData!$R$309),"")</f>
        <v>2.7329213409999999</v>
      </c>
      <c r="S309">
        <f ca="1">IFERROR(IF(0=LEN(ReferenceData!$S$309),"",ReferenceData!$S$309),"")</f>
        <v>3.0890506430000002</v>
      </c>
      <c r="T309">
        <f ca="1">IFERROR(IF(0=LEN(ReferenceData!$T$309),"",ReferenceData!$T$309),"")</f>
        <v>2.964827417</v>
      </c>
      <c r="U309">
        <f ca="1">IFERROR(IF(0=LEN(ReferenceData!$U$309),"",ReferenceData!$U$309),"")</f>
        <v>3.2984735299999999</v>
      </c>
      <c r="V309">
        <f ca="1">IFERROR(IF(0=LEN(ReferenceData!$V$309),"",ReferenceData!$V$309),"")</f>
        <v>4.6035846600000001</v>
      </c>
      <c r="W309">
        <f ca="1">IFERROR(IF(0=LEN(ReferenceData!$W$309),"",ReferenceData!$W$309),"")</f>
        <v>4.6271669710000003</v>
      </c>
      <c r="X309">
        <f ca="1">IFERROR(IF(0=LEN(ReferenceData!$X$309),"",ReferenceData!$X$309),"")</f>
        <v>3.9357025700000001</v>
      </c>
      <c r="Y309">
        <f ca="1">IFERROR(IF(0=LEN(ReferenceData!$Y$309),"",ReferenceData!$Y$309),"")</f>
        <v>3.6441082800000002</v>
      </c>
      <c r="Z309">
        <f ca="1">IFERROR(IF(0=LEN(ReferenceData!$Z$309),"",ReferenceData!$Z$309),"")</f>
        <v>3.445769882</v>
      </c>
      <c r="AA309">
        <f ca="1">IFERROR(IF(0=LEN(ReferenceData!$AA$309),"",ReferenceData!$AA$309),"")</f>
        <v>3.0452474949999999</v>
      </c>
      <c r="AB309" t="str">
        <f ca="1">IFERROR(IF(0=LEN(ReferenceData!$AB$309),"",ReferenceData!$AB$309),"")</f>
        <v/>
      </c>
      <c r="AC309" t="str">
        <f ca="1">IFERROR(IF(0=LEN(ReferenceData!$AC$309),"",ReferenceData!$AC$309),"")</f>
        <v/>
      </c>
      <c r="AD309" t="str">
        <f ca="1">IFERROR(IF(0=LEN(ReferenceData!$AD$309),"",ReferenceData!$AD$309),"")</f>
        <v/>
      </c>
      <c r="AE309" t="str">
        <f ca="1">IFERROR(IF(0=LEN(ReferenceData!$AE$309),"",ReferenceData!$AE$309),"")</f>
        <v/>
      </c>
      <c r="AF309">
        <f ca="1">IFERROR(IF(0=LEN(ReferenceData!$AF$309),"",ReferenceData!$AF$309),"")</f>
        <v>2.4271997430000001</v>
      </c>
      <c r="AG309">
        <f ca="1">IFERROR(IF(0=LEN(ReferenceData!$AG$309),"",ReferenceData!$AG$309),"")</f>
        <v>3.0195039000000001</v>
      </c>
      <c r="AH309">
        <f ca="1">IFERROR(IF(0=LEN(ReferenceData!$AH$309),"",ReferenceData!$AH$309),"")</f>
        <v>3.9108113339999999</v>
      </c>
      <c r="AI309">
        <f ca="1">IFERROR(IF(0=LEN(ReferenceData!$AI$309),"",ReferenceData!$AI$309),"")</f>
        <v>1.9058943319999999</v>
      </c>
      <c r="AJ309">
        <f ca="1">IFERROR(IF(0=LEN(ReferenceData!$AJ$309),"",ReferenceData!$AJ$309),"")</f>
        <v>2.334518251</v>
      </c>
      <c r="AK309">
        <f ca="1">IFERROR(IF(0=LEN(ReferenceData!$AK$309),"",ReferenceData!$AK$309),"")</f>
        <v>3.3107517369999999</v>
      </c>
      <c r="AL309">
        <f ca="1">IFERROR(IF(0=LEN(ReferenceData!$AL$309),"",ReferenceData!$AL$309),"")</f>
        <v>3.9058641139999999</v>
      </c>
      <c r="AM309">
        <f ca="1">IFERROR(IF(0=LEN(ReferenceData!$AM$309),"",ReferenceData!$AM$309),"")</f>
        <v>4.2921660499999996</v>
      </c>
      <c r="AN309" t="str">
        <f ca="1">IFERROR(IF(0=LEN(ReferenceData!$AN$309),"",ReferenceData!$AN$309),"")</f>
        <v/>
      </c>
      <c r="AO309" t="str">
        <f ca="1">IFERROR(IF(0=LEN(ReferenceData!$AO$309),"",ReferenceData!$AO$309),"")</f>
        <v/>
      </c>
      <c r="AP309" t="str">
        <f ca="1">IFERROR(IF(0=LEN(ReferenceData!$AP$309),"",ReferenceData!$AP$309),"")</f>
        <v/>
      </c>
      <c r="AQ309" t="str">
        <f ca="1">IFERROR(IF(0=LEN(ReferenceData!$AQ$309),"",ReferenceData!$AQ$309),"")</f>
        <v/>
      </c>
      <c r="AR309" t="str">
        <f ca="1">IFERROR(IF(0=LEN(ReferenceData!$AR$309),"",ReferenceData!$AR$309),"")</f>
        <v/>
      </c>
      <c r="AS309" t="str">
        <f ca="1">IFERROR(IF(0=LEN(ReferenceData!$AS$309),"",ReferenceData!$AS$309),"")</f>
        <v/>
      </c>
      <c r="AT309" t="str">
        <f ca="1">IFERROR(IF(0=LEN(ReferenceData!$AT$309),"",ReferenceData!$AT$309),"")</f>
        <v/>
      </c>
      <c r="AU309" t="str">
        <f ca="1">IFERROR(IF(0=LEN(ReferenceData!$AU$309),"",ReferenceData!$AU$309),"")</f>
        <v/>
      </c>
      <c r="AV309" t="str">
        <f ca="1">IFERROR(IF(0=LEN(ReferenceData!$AV$309),"",ReferenceData!$AV$309),"")</f>
        <v/>
      </c>
      <c r="AW309" t="str">
        <f ca="1">IFERROR(IF(0=LEN(ReferenceData!$AW$309),"",ReferenceData!$AW$309),"")</f>
        <v/>
      </c>
      <c r="AX309" t="str">
        <f ca="1">IFERROR(IF(0=LEN(ReferenceData!$AX$309),"",ReferenceData!$AX$309),"")</f>
        <v/>
      </c>
      <c r="AY309" t="str">
        <f ca="1">IFERROR(IF(0=LEN(ReferenceData!$AY$309),"",ReferenceData!$AY$309),"")</f>
        <v/>
      </c>
      <c r="AZ309" t="str">
        <f ca="1">IFERROR(IF(0=LEN(ReferenceData!$AZ$309),"",ReferenceData!$AZ$309),"")</f>
        <v/>
      </c>
      <c r="BA309" t="str">
        <f ca="1">IFERROR(IF(0=LEN(ReferenceData!$BA$309),"",ReferenceData!$BA$309),"")</f>
        <v/>
      </c>
      <c r="BB309" t="str">
        <f ca="1">IFERROR(IF(0=LEN(ReferenceData!$BB$309),"",ReferenceData!$BB$309),"")</f>
        <v/>
      </c>
      <c r="BC309" t="str">
        <f ca="1">IFERROR(IF(0=LEN(ReferenceData!$BC$309),"",ReferenceData!$BC$309),"")</f>
        <v/>
      </c>
      <c r="BD309" t="str">
        <f ca="1">IFERROR(IF(0=LEN(ReferenceData!$BD$309),"",ReferenceData!$BD$309),"")</f>
        <v/>
      </c>
      <c r="BE309" t="str">
        <f ca="1">IFERROR(IF(0=LEN(ReferenceData!$BE$309),"",ReferenceData!$BE$309),"")</f>
        <v/>
      </c>
      <c r="BF309" t="str">
        <f ca="1">IFERROR(IF(0=LEN(ReferenceData!$BF$309),"",ReferenceData!$BF$309),"")</f>
        <v/>
      </c>
      <c r="BG309" t="str">
        <f ca="1">IFERROR(IF(0=LEN(ReferenceData!$BG$309),"",ReferenceData!$BG$309),"")</f>
        <v/>
      </c>
      <c r="BH309" t="str">
        <f ca="1">IFERROR(IF(0=LEN(ReferenceData!$BH$309),"",ReferenceData!$BH$309),"")</f>
        <v/>
      </c>
      <c r="BI309" t="str">
        <f ca="1">IFERROR(IF(0=LEN(ReferenceData!$BI$309),"",ReferenceData!$BI$309),"")</f>
        <v/>
      </c>
      <c r="BJ309" t="str">
        <f ca="1">IFERROR(IF(0=LEN(ReferenceData!$BJ$309),"",ReferenceData!$BJ$309),"")</f>
        <v/>
      </c>
      <c r="BK309" t="str">
        <f ca="1">IFERROR(IF(0=LEN(ReferenceData!$BK$309),"",ReferenceData!$BK$309),"")</f>
        <v/>
      </c>
      <c r="BL309" t="str">
        <f ca="1">IFERROR(IF(0=LEN(ReferenceData!$BL$309),"",ReferenceData!$BL$309),"")</f>
        <v/>
      </c>
      <c r="BM309" t="str">
        <f ca="1">IFERROR(IF(0=LEN(ReferenceData!$BM$309),"",ReferenceData!$BM$309),"")</f>
        <v/>
      </c>
    </row>
    <row r="310" spans="1:65" x14ac:dyDescent="0.25">
      <c r="A310" t="str">
        <f>IFERROR(IF(0=LEN(ReferenceData!$A$310),"",ReferenceData!$A$310),"")</f>
        <v xml:space="preserve">    Great Wall Motor Co Ltd</v>
      </c>
      <c r="B310" t="str">
        <f>IFERROR(IF(0=LEN(ReferenceData!$B$310),"",ReferenceData!$B$310),"")</f>
        <v>2333 HK Equity</v>
      </c>
      <c r="C310" t="str">
        <f>IFERROR(IF(0=LEN(ReferenceData!$C$310),"",ReferenceData!$C$310),"")</f>
        <v>RR474</v>
      </c>
      <c r="D310" t="str">
        <f>IFERROR(IF(0=LEN(ReferenceData!$D$310),"",ReferenceData!$D$310),"")</f>
        <v>EV_TO_T12M_EBITDA</v>
      </c>
      <c r="E310" t="str">
        <f>IFERROR(IF(0=LEN(ReferenceData!$E$310),"",ReferenceData!$E$310),"")</f>
        <v>Dynamic</v>
      </c>
      <c r="F310" t="str">
        <f ca="1">IFERROR(IF(0=LEN(ReferenceData!$F$310),"",ReferenceData!$F$310),"")</f>
        <v/>
      </c>
      <c r="G310" t="str">
        <f ca="1">IFERROR(IF(0=LEN(ReferenceData!$G$310),"",ReferenceData!$G$310),"")</f>
        <v/>
      </c>
      <c r="H310" t="str">
        <f ca="1">IFERROR(IF(0=LEN(ReferenceData!$H$310),"",ReferenceData!$H$310),"")</f>
        <v/>
      </c>
      <c r="I310" t="str">
        <f ca="1">IFERROR(IF(0=LEN(ReferenceData!$I$310),"",ReferenceData!$I$310),"")</f>
        <v/>
      </c>
      <c r="J310" t="str">
        <f ca="1">IFERROR(IF(0=LEN(ReferenceData!$J$310),"",ReferenceData!$J$310),"")</f>
        <v/>
      </c>
      <c r="K310" t="str">
        <f ca="1">IFERROR(IF(0=LEN(ReferenceData!$K$310),"",ReferenceData!$K$310),"")</f>
        <v/>
      </c>
      <c r="L310" t="str">
        <f ca="1">IFERROR(IF(0=LEN(ReferenceData!$L$310),"",ReferenceData!$L$310),"")</f>
        <v/>
      </c>
      <c r="M310" t="str">
        <f ca="1">IFERROR(IF(0=LEN(ReferenceData!$M$310),"",ReferenceData!$M$310),"")</f>
        <v/>
      </c>
      <c r="N310" t="str">
        <f ca="1">IFERROR(IF(0=LEN(ReferenceData!$N$310),"",ReferenceData!$N$310),"")</f>
        <v/>
      </c>
      <c r="O310" t="str">
        <f ca="1">IFERROR(IF(0=LEN(ReferenceData!$O$310),"",ReferenceData!$O$310),"")</f>
        <v/>
      </c>
      <c r="P310" t="str">
        <f ca="1">IFERROR(IF(0=LEN(ReferenceData!$P$310),"",ReferenceData!$P$310),"")</f>
        <v/>
      </c>
      <c r="Q310" t="str">
        <f ca="1">IFERROR(IF(0=LEN(ReferenceData!$Q$310),"",ReferenceData!$Q$310),"")</f>
        <v/>
      </c>
      <c r="R310" t="str">
        <f ca="1">IFERROR(IF(0=LEN(ReferenceData!$R$310),"",ReferenceData!$R$310),"")</f>
        <v/>
      </c>
      <c r="S310" t="str">
        <f ca="1">IFERROR(IF(0=LEN(ReferenceData!$S$310),"",ReferenceData!$S$310),"")</f>
        <v/>
      </c>
      <c r="T310" t="str">
        <f ca="1">IFERROR(IF(0=LEN(ReferenceData!$T$310),"",ReferenceData!$T$310),"")</f>
        <v/>
      </c>
      <c r="U310" t="str">
        <f ca="1">IFERROR(IF(0=LEN(ReferenceData!$U$310),"",ReferenceData!$U$310),"")</f>
        <v/>
      </c>
      <c r="V310" t="str">
        <f ca="1">IFERROR(IF(0=LEN(ReferenceData!$V$310),"",ReferenceData!$V$310),"")</f>
        <v/>
      </c>
      <c r="W310" t="str">
        <f ca="1">IFERROR(IF(0=LEN(ReferenceData!$W$310),"",ReferenceData!$W$310),"")</f>
        <v/>
      </c>
      <c r="X310" t="str">
        <f ca="1">IFERROR(IF(0=LEN(ReferenceData!$X$310),"",ReferenceData!$X$310),"")</f>
        <v/>
      </c>
      <c r="Y310" t="str">
        <f ca="1">IFERROR(IF(0=LEN(ReferenceData!$Y$310),"",ReferenceData!$Y$310),"")</f>
        <v/>
      </c>
      <c r="Z310" t="str">
        <f ca="1">IFERROR(IF(0=LEN(ReferenceData!$Z$310),"",ReferenceData!$Z$310),"")</f>
        <v/>
      </c>
      <c r="AA310" t="str">
        <f ca="1">IFERROR(IF(0=LEN(ReferenceData!$AA$310),"",ReferenceData!$AA$310),"")</f>
        <v/>
      </c>
      <c r="AB310" t="str">
        <f ca="1">IFERROR(IF(0=LEN(ReferenceData!$AB$310),"",ReferenceData!$AB$310),"")</f>
        <v/>
      </c>
      <c r="AC310" t="str">
        <f ca="1">IFERROR(IF(0=LEN(ReferenceData!$AC$310),"",ReferenceData!$AC$310),"")</f>
        <v/>
      </c>
      <c r="AD310" t="str">
        <f ca="1">IFERROR(IF(0=LEN(ReferenceData!$AD$310),"",ReferenceData!$AD$310),"")</f>
        <v/>
      </c>
      <c r="AE310" t="str">
        <f ca="1">IFERROR(IF(0=LEN(ReferenceData!$AE$310),"",ReferenceData!$AE$310),"")</f>
        <v/>
      </c>
      <c r="AF310" t="str">
        <f ca="1">IFERROR(IF(0=LEN(ReferenceData!$AF$310),"",ReferenceData!$AF$310),"")</f>
        <v/>
      </c>
      <c r="AG310" t="str">
        <f ca="1">IFERROR(IF(0=LEN(ReferenceData!$AG$310),"",ReferenceData!$AG$310),"")</f>
        <v/>
      </c>
      <c r="AH310" t="str">
        <f ca="1">IFERROR(IF(0=LEN(ReferenceData!$AH$310),"",ReferenceData!$AH$310),"")</f>
        <v/>
      </c>
      <c r="AI310" t="str">
        <f ca="1">IFERROR(IF(0=LEN(ReferenceData!$AI$310),"",ReferenceData!$AI$310),"")</f>
        <v/>
      </c>
      <c r="AJ310" t="str">
        <f ca="1">IFERROR(IF(0=LEN(ReferenceData!$AJ$310),"",ReferenceData!$AJ$310),"")</f>
        <v/>
      </c>
      <c r="AK310" t="str">
        <f ca="1">IFERROR(IF(0=LEN(ReferenceData!$AK$310),"",ReferenceData!$AK$310),"")</f>
        <v/>
      </c>
      <c r="AL310" t="str">
        <f ca="1">IFERROR(IF(0=LEN(ReferenceData!$AL$310),"",ReferenceData!$AL$310),"")</f>
        <v/>
      </c>
      <c r="AM310" t="str">
        <f ca="1">IFERROR(IF(0=LEN(ReferenceData!$AM$310),"",ReferenceData!$AM$310),"")</f>
        <v/>
      </c>
      <c r="AN310" t="str">
        <f ca="1">IFERROR(IF(0=LEN(ReferenceData!$AN$310),"",ReferenceData!$AN$310),"")</f>
        <v/>
      </c>
      <c r="AO310" t="str">
        <f ca="1">IFERROR(IF(0=LEN(ReferenceData!$AO$310),"",ReferenceData!$AO$310),"")</f>
        <v/>
      </c>
      <c r="AP310" t="str">
        <f ca="1">IFERROR(IF(0=LEN(ReferenceData!$AP$310),"",ReferenceData!$AP$310),"")</f>
        <v/>
      </c>
      <c r="AQ310" t="str">
        <f ca="1">IFERROR(IF(0=LEN(ReferenceData!$AQ$310),"",ReferenceData!$AQ$310),"")</f>
        <v/>
      </c>
      <c r="AR310" t="str">
        <f ca="1">IFERROR(IF(0=LEN(ReferenceData!$AR$310),"",ReferenceData!$AR$310),"")</f>
        <v/>
      </c>
      <c r="AS310" t="str">
        <f ca="1">IFERROR(IF(0=LEN(ReferenceData!$AS$310),"",ReferenceData!$AS$310),"")</f>
        <v/>
      </c>
      <c r="AT310" t="str">
        <f ca="1">IFERROR(IF(0=LEN(ReferenceData!$AT$310),"",ReferenceData!$AT$310),"")</f>
        <v/>
      </c>
      <c r="AU310" t="str">
        <f ca="1">IFERROR(IF(0=LEN(ReferenceData!$AU$310),"",ReferenceData!$AU$310),"")</f>
        <v/>
      </c>
      <c r="AV310" t="str">
        <f ca="1">IFERROR(IF(0=LEN(ReferenceData!$AV$310),"",ReferenceData!$AV$310),"")</f>
        <v/>
      </c>
      <c r="AW310" t="str">
        <f ca="1">IFERROR(IF(0=LEN(ReferenceData!$AW$310),"",ReferenceData!$AW$310),"")</f>
        <v/>
      </c>
      <c r="AX310" t="str">
        <f ca="1">IFERROR(IF(0=LEN(ReferenceData!$AX$310),"",ReferenceData!$AX$310),"")</f>
        <v/>
      </c>
      <c r="AY310" t="str">
        <f ca="1">IFERROR(IF(0=LEN(ReferenceData!$AY$310),"",ReferenceData!$AY$310),"")</f>
        <v/>
      </c>
      <c r="AZ310" t="str">
        <f ca="1">IFERROR(IF(0=LEN(ReferenceData!$AZ$310),"",ReferenceData!$AZ$310),"")</f>
        <v/>
      </c>
      <c r="BA310" t="str">
        <f ca="1">IFERROR(IF(0=LEN(ReferenceData!$BA$310),"",ReferenceData!$BA$310),"")</f>
        <v/>
      </c>
      <c r="BB310" t="str">
        <f ca="1">IFERROR(IF(0=LEN(ReferenceData!$BB$310),"",ReferenceData!$BB$310),"")</f>
        <v/>
      </c>
      <c r="BC310" t="str">
        <f ca="1">IFERROR(IF(0=LEN(ReferenceData!$BC$310),"",ReferenceData!$BC$310),"")</f>
        <v/>
      </c>
      <c r="BD310" t="str">
        <f ca="1">IFERROR(IF(0=LEN(ReferenceData!$BD$310),"",ReferenceData!$BD$310),"")</f>
        <v/>
      </c>
      <c r="BE310" t="str">
        <f ca="1">IFERROR(IF(0=LEN(ReferenceData!$BE$310),"",ReferenceData!$BE$310),"")</f>
        <v/>
      </c>
      <c r="BF310" t="str">
        <f ca="1">IFERROR(IF(0=LEN(ReferenceData!$BF$310),"",ReferenceData!$BF$310),"")</f>
        <v/>
      </c>
      <c r="BG310" t="str">
        <f ca="1">IFERROR(IF(0=LEN(ReferenceData!$BG$310),"",ReferenceData!$BG$310),"")</f>
        <v/>
      </c>
      <c r="BH310" t="str">
        <f ca="1">IFERROR(IF(0=LEN(ReferenceData!$BH$310),"",ReferenceData!$BH$310),"")</f>
        <v/>
      </c>
      <c r="BI310" t="str">
        <f ca="1">IFERROR(IF(0=LEN(ReferenceData!$BI$310),"",ReferenceData!$BI$310),"")</f>
        <v/>
      </c>
      <c r="BJ310" t="str">
        <f ca="1">IFERROR(IF(0=LEN(ReferenceData!$BJ$310),"",ReferenceData!$BJ$310),"")</f>
        <v/>
      </c>
      <c r="BK310" t="str">
        <f ca="1">IFERROR(IF(0=LEN(ReferenceData!$BK$310),"",ReferenceData!$BK$310),"")</f>
        <v/>
      </c>
      <c r="BL310" t="str">
        <f ca="1">IFERROR(IF(0=LEN(ReferenceData!$BL$310),"",ReferenceData!$BL$310),"")</f>
        <v/>
      </c>
      <c r="BM310" t="str">
        <f ca="1">IFERROR(IF(0=LEN(ReferenceData!$BM$310),"",ReferenceData!$BM$310),"")</f>
        <v/>
      </c>
    </row>
    <row r="311" spans="1:65" x14ac:dyDescent="0.25">
      <c r="A311" t="str">
        <f>IFERROR(IF(0=LEN(ReferenceData!$A$311),"",ReferenceData!$A$311),"")</f>
        <v xml:space="preserve">    Guangzhou Automobile Group Co Ltd</v>
      </c>
      <c r="B311" t="str">
        <f>IFERROR(IF(0=LEN(ReferenceData!$B$311),"",ReferenceData!$B$311),"")</f>
        <v>2238 HK Equity</v>
      </c>
      <c r="C311" t="str">
        <f>IFERROR(IF(0=LEN(ReferenceData!$C$311),"",ReferenceData!$C$311),"")</f>
        <v>RR474</v>
      </c>
      <c r="D311" t="str">
        <f>IFERROR(IF(0=LEN(ReferenceData!$D$311),"",ReferenceData!$D$311),"")</f>
        <v>EV_TO_T12M_EBITDA</v>
      </c>
      <c r="E311" t="str">
        <f>IFERROR(IF(0=LEN(ReferenceData!$E$311),"",ReferenceData!$E$311),"")</f>
        <v>Dynamic</v>
      </c>
      <c r="F311" t="str">
        <f ca="1">IFERROR(IF(0=LEN(ReferenceData!$F$311),"",ReferenceData!$F$311),"")</f>
        <v/>
      </c>
      <c r="G311" t="str">
        <f ca="1">IFERROR(IF(0=LEN(ReferenceData!$G$311),"",ReferenceData!$G$311),"")</f>
        <v/>
      </c>
      <c r="H311" t="str">
        <f ca="1">IFERROR(IF(0=LEN(ReferenceData!$H$311),"",ReferenceData!$H$311),"")</f>
        <v/>
      </c>
      <c r="I311" t="str">
        <f ca="1">IFERROR(IF(0=LEN(ReferenceData!$I$311),"",ReferenceData!$I$311),"")</f>
        <v/>
      </c>
      <c r="J311" t="str">
        <f ca="1">IFERROR(IF(0=LEN(ReferenceData!$J$311),"",ReferenceData!$J$311),"")</f>
        <v/>
      </c>
      <c r="K311" t="str">
        <f ca="1">IFERROR(IF(0=LEN(ReferenceData!$K$311),"",ReferenceData!$K$311),"")</f>
        <v/>
      </c>
      <c r="L311" t="str">
        <f ca="1">IFERROR(IF(0=LEN(ReferenceData!$L$311),"",ReferenceData!$L$311),"")</f>
        <v/>
      </c>
      <c r="M311" t="str">
        <f ca="1">IFERROR(IF(0=LEN(ReferenceData!$M$311),"",ReferenceData!$M$311),"")</f>
        <v/>
      </c>
      <c r="N311" t="str">
        <f ca="1">IFERROR(IF(0=LEN(ReferenceData!$N$311),"",ReferenceData!$N$311),"")</f>
        <v/>
      </c>
      <c r="O311" t="str">
        <f ca="1">IFERROR(IF(0=LEN(ReferenceData!$O$311),"",ReferenceData!$O$311),"")</f>
        <v/>
      </c>
      <c r="P311" t="str">
        <f ca="1">IFERROR(IF(0=LEN(ReferenceData!$P$311),"",ReferenceData!$P$311),"")</f>
        <v/>
      </c>
      <c r="Q311" t="str">
        <f ca="1">IFERROR(IF(0=LEN(ReferenceData!$Q$311),"",ReferenceData!$Q$311),"")</f>
        <v/>
      </c>
      <c r="R311" t="str">
        <f ca="1">IFERROR(IF(0=LEN(ReferenceData!$R$311),"",ReferenceData!$R$311),"")</f>
        <v/>
      </c>
      <c r="S311" t="str">
        <f ca="1">IFERROR(IF(0=LEN(ReferenceData!$S$311),"",ReferenceData!$S$311),"")</f>
        <v/>
      </c>
      <c r="T311" t="str">
        <f ca="1">IFERROR(IF(0=LEN(ReferenceData!$T$311),"",ReferenceData!$T$311),"")</f>
        <v/>
      </c>
      <c r="U311" t="str">
        <f ca="1">IFERROR(IF(0=LEN(ReferenceData!$U$311),"",ReferenceData!$U$311),"")</f>
        <v/>
      </c>
      <c r="V311" t="str">
        <f ca="1">IFERROR(IF(0=LEN(ReferenceData!$V$311),"",ReferenceData!$V$311),"")</f>
        <v/>
      </c>
      <c r="W311" t="str">
        <f ca="1">IFERROR(IF(0=LEN(ReferenceData!$W$311),"",ReferenceData!$W$311),"")</f>
        <v/>
      </c>
      <c r="X311" t="str">
        <f ca="1">IFERROR(IF(0=LEN(ReferenceData!$X$311),"",ReferenceData!$X$311),"")</f>
        <v/>
      </c>
      <c r="Y311" t="str">
        <f ca="1">IFERROR(IF(0=LEN(ReferenceData!$Y$311),"",ReferenceData!$Y$311),"")</f>
        <v/>
      </c>
      <c r="Z311" t="str">
        <f ca="1">IFERROR(IF(0=LEN(ReferenceData!$Z$311),"",ReferenceData!$Z$311),"")</f>
        <v/>
      </c>
      <c r="AA311" t="str">
        <f ca="1">IFERROR(IF(0=LEN(ReferenceData!$AA$311),"",ReferenceData!$AA$311),"")</f>
        <v/>
      </c>
      <c r="AB311" t="str">
        <f ca="1">IFERROR(IF(0=LEN(ReferenceData!$AB$311),"",ReferenceData!$AB$311),"")</f>
        <v/>
      </c>
      <c r="AC311" t="str">
        <f ca="1">IFERROR(IF(0=LEN(ReferenceData!$AC$311),"",ReferenceData!$AC$311),"")</f>
        <v/>
      </c>
      <c r="AD311" t="str">
        <f ca="1">IFERROR(IF(0=LEN(ReferenceData!$AD$311),"",ReferenceData!$AD$311),"")</f>
        <v/>
      </c>
      <c r="AE311" t="str">
        <f ca="1">IFERROR(IF(0=LEN(ReferenceData!$AE$311),"",ReferenceData!$AE$311),"")</f>
        <v/>
      </c>
      <c r="AF311" t="str">
        <f ca="1">IFERROR(IF(0=LEN(ReferenceData!$AF$311),"",ReferenceData!$AF$311),"")</f>
        <v/>
      </c>
      <c r="AG311" t="str">
        <f ca="1">IFERROR(IF(0=LEN(ReferenceData!$AG$311),"",ReferenceData!$AG$311),"")</f>
        <v/>
      </c>
      <c r="AH311" t="str">
        <f ca="1">IFERROR(IF(0=LEN(ReferenceData!$AH$311),"",ReferenceData!$AH$311),"")</f>
        <v/>
      </c>
      <c r="AI311" t="str">
        <f ca="1">IFERROR(IF(0=LEN(ReferenceData!$AI$311),"",ReferenceData!$AI$311),"")</f>
        <v/>
      </c>
      <c r="AJ311" t="str">
        <f ca="1">IFERROR(IF(0=LEN(ReferenceData!$AJ$311),"",ReferenceData!$AJ$311),"")</f>
        <v/>
      </c>
      <c r="AK311" t="str">
        <f ca="1">IFERROR(IF(0=LEN(ReferenceData!$AK$311),"",ReferenceData!$AK$311),"")</f>
        <v/>
      </c>
      <c r="AL311" t="str">
        <f ca="1">IFERROR(IF(0=LEN(ReferenceData!$AL$311),"",ReferenceData!$AL$311),"")</f>
        <v/>
      </c>
      <c r="AM311" t="str">
        <f ca="1">IFERROR(IF(0=LEN(ReferenceData!$AM$311),"",ReferenceData!$AM$311),"")</f>
        <v/>
      </c>
      <c r="AN311" t="str">
        <f ca="1">IFERROR(IF(0=LEN(ReferenceData!$AN$311),"",ReferenceData!$AN$311),"")</f>
        <v/>
      </c>
      <c r="AO311" t="str">
        <f ca="1">IFERROR(IF(0=LEN(ReferenceData!$AO$311),"",ReferenceData!$AO$311),"")</f>
        <v/>
      </c>
      <c r="AP311" t="str">
        <f ca="1">IFERROR(IF(0=LEN(ReferenceData!$AP$311),"",ReferenceData!$AP$311),"")</f>
        <v/>
      </c>
      <c r="AQ311" t="str">
        <f ca="1">IFERROR(IF(0=LEN(ReferenceData!$AQ$311),"",ReferenceData!$AQ$311),"")</f>
        <v/>
      </c>
      <c r="AR311" t="str">
        <f ca="1">IFERROR(IF(0=LEN(ReferenceData!$AR$311),"",ReferenceData!$AR$311),"")</f>
        <v/>
      </c>
      <c r="AS311" t="str">
        <f ca="1">IFERROR(IF(0=LEN(ReferenceData!$AS$311),"",ReferenceData!$AS$311),"")</f>
        <v/>
      </c>
      <c r="AT311" t="str">
        <f ca="1">IFERROR(IF(0=LEN(ReferenceData!$AT$311),"",ReferenceData!$AT$311),"")</f>
        <v/>
      </c>
      <c r="AU311" t="str">
        <f ca="1">IFERROR(IF(0=LEN(ReferenceData!$AU$311),"",ReferenceData!$AU$311),"")</f>
        <v/>
      </c>
      <c r="AV311" t="str">
        <f ca="1">IFERROR(IF(0=LEN(ReferenceData!$AV$311),"",ReferenceData!$AV$311),"")</f>
        <v/>
      </c>
      <c r="AW311" t="str">
        <f ca="1">IFERROR(IF(0=LEN(ReferenceData!$AW$311),"",ReferenceData!$AW$311),"")</f>
        <v/>
      </c>
      <c r="AX311" t="str">
        <f ca="1">IFERROR(IF(0=LEN(ReferenceData!$AX$311),"",ReferenceData!$AX$311),"")</f>
        <v/>
      </c>
      <c r="AY311" t="str">
        <f ca="1">IFERROR(IF(0=LEN(ReferenceData!$AY$311),"",ReferenceData!$AY$311),"")</f>
        <v/>
      </c>
      <c r="AZ311" t="str">
        <f ca="1">IFERROR(IF(0=LEN(ReferenceData!$AZ$311),"",ReferenceData!$AZ$311),"")</f>
        <v/>
      </c>
      <c r="BA311" t="str">
        <f ca="1">IFERROR(IF(0=LEN(ReferenceData!$BA$311),"",ReferenceData!$BA$311),"")</f>
        <v/>
      </c>
      <c r="BB311" t="str">
        <f ca="1">IFERROR(IF(0=LEN(ReferenceData!$BB$311),"",ReferenceData!$BB$311),"")</f>
        <v/>
      </c>
      <c r="BC311" t="str">
        <f ca="1">IFERROR(IF(0=LEN(ReferenceData!$BC$311),"",ReferenceData!$BC$311),"")</f>
        <v/>
      </c>
      <c r="BD311" t="str">
        <f ca="1">IFERROR(IF(0=LEN(ReferenceData!$BD$311),"",ReferenceData!$BD$311),"")</f>
        <v/>
      </c>
      <c r="BE311" t="str">
        <f ca="1">IFERROR(IF(0=LEN(ReferenceData!$BE$311),"",ReferenceData!$BE$311),"")</f>
        <v/>
      </c>
      <c r="BF311" t="str">
        <f ca="1">IFERROR(IF(0=LEN(ReferenceData!$BF$311),"",ReferenceData!$BF$311),"")</f>
        <v/>
      </c>
      <c r="BG311" t="str">
        <f ca="1">IFERROR(IF(0=LEN(ReferenceData!$BG$311),"",ReferenceData!$BG$311),"")</f>
        <v/>
      </c>
      <c r="BH311" t="str">
        <f ca="1">IFERROR(IF(0=LEN(ReferenceData!$BH$311),"",ReferenceData!$BH$311),"")</f>
        <v/>
      </c>
      <c r="BI311" t="str">
        <f ca="1">IFERROR(IF(0=LEN(ReferenceData!$BI$311),"",ReferenceData!$BI$311),"")</f>
        <v/>
      </c>
      <c r="BJ311" t="str">
        <f ca="1">IFERROR(IF(0=LEN(ReferenceData!$BJ$311),"",ReferenceData!$BJ$311),"")</f>
        <v/>
      </c>
      <c r="BK311" t="str">
        <f ca="1">IFERROR(IF(0=LEN(ReferenceData!$BK$311),"",ReferenceData!$BK$311),"")</f>
        <v/>
      </c>
      <c r="BL311" t="str">
        <f ca="1">IFERROR(IF(0=LEN(ReferenceData!$BL$311),"",ReferenceData!$BL$311),"")</f>
        <v/>
      </c>
      <c r="BM311" t="str">
        <f ca="1">IFERROR(IF(0=LEN(ReferenceData!$BM$311),"",ReferenceData!$BM$311),"")</f>
        <v/>
      </c>
    </row>
    <row r="312" spans="1:65" x14ac:dyDescent="0.25">
      <c r="A312" t="str">
        <f>IFERROR(IF(0=LEN(ReferenceData!$A$312),"",ReferenceData!$A$312),"")</f>
        <v xml:space="preserve">    Honda Motor Co Ltd</v>
      </c>
      <c r="B312" t="str">
        <f>IFERROR(IF(0=LEN(ReferenceData!$B$312),"",ReferenceData!$B$312),"")</f>
        <v>7267 JP Equity</v>
      </c>
      <c r="C312" t="str">
        <f>IFERROR(IF(0=LEN(ReferenceData!$C$312),"",ReferenceData!$C$312),"")</f>
        <v>RR474</v>
      </c>
      <c r="D312" t="str">
        <f>IFERROR(IF(0=LEN(ReferenceData!$D$312),"",ReferenceData!$D$312),"")</f>
        <v>EV_TO_T12M_EBITDA</v>
      </c>
      <c r="E312" t="str">
        <f>IFERROR(IF(0=LEN(ReferenceData!$E$312),"",ReferenceData!$E$312),"")</f>
        <v>Dynamic</v>
      </c>
      <c r="F312" t="str">
        <f ca="1">IFERROR(IF(0=LEN(ReferenceData!$F$312),"",ReferenceData!$F$312),"")</f>
        <v/>
      </c>
      <c r="G312">
        <f ca="1">IFERROR(IF(0=LEN(ReferenceData!$G$312),"",ReferenceData!$G$312),"")</f>
        <v>6.8300365330000004</v>
      </c>
      <c r="H312">
        <f ca="1">IFERROR(IF(0=LEN(ReferenceData!$H$312),"",ReferenceData!$H$312),"")</f>
        <v>6.9387266859999999</v>
      </c>
      <c r="I312">
        <f ca="1">IFERROR(IF(0=LEN(ReferenceData!$I$312),"",ReferenceData!$I$312),"")</f>
        <v>6.8496966879999999</v>
      </c>
      <c r="J312">
        <f ca="1">IFERROR(IF(0=LEN(ReferenceData!$J$312),"",ReferenceData!$J$312),"")</f>
        <v>7.3864102520000001</v>
      </c>
      <c r="K312">
        <f ca="1">IFERROR(IF(0=LEN(ReferenceData!$K$312),"",ReferenceData!$K$312),"")</f>
        <v>7.7579403640000004</v>
      </c>
      <c r="L312">
        <f ca="1">IFERROR(IF(0=LEN(ReferenceData!$L$312),"",ReferenceData!$L$312),"")</f>
        <v>7.5441426070000004</v>
      </c>
      <c r="M312">
        <f ca="1">IFERROR(IF(0=LEN(ReferenceData!$M$312),"",ReferenceData!$M$312),"")</f>
        <v>6.9429331420000002</v>
      </c>
      <c r="N312">
        <f ca="1">IFERROR(IF(0=LEN(ReferenceData!$N$312),"",ReferenceData!$N$312),"")</f>
        <v>7.317481785</v>
      </c>
      <c r="O312">
        <f ca="1">IFERROR(IF(0=LEN(ReferenceData!$O$312),"",ReferenceData!$O$312),"")</f>
        <v>8.9070832909999993</v>
      </c>
      <c r="P312">
        <f ca="1">IFERROR(IF(0=LEN(ReferenceData!$P$312),"",ReferenceData!$P$312),"")</f>
        <v>7.8224184589999997</v>
      </c>
      <c r="Q312">
        <f ca="1">IFERROR(IF(0=LEN(ReferenceData!$Q$312),"",ReferenceData!$Q$312),"")</f>
        <v>7.788467968</v>
      </c>
      <c r="R312">
        <f ca="1">IFERROR(IF(0=LEN(ReferenceData!$R$312),"",ReferenceData!$R$312),"")</f>
        <v>9.1661297150000003</v>
      </c>
      <c r="S312">
        <f ca="1">IFERROR(IF(0=LEN(ReferenceData!$S$312),"",ReferenceData!$S$312),"")</f>
        <v>8.7968587399999993</v>
      </c>
      <c r="T312">
        <f ca="1">IFERROR(IF(0=LEN(ReferenceData!$T$312),"",ReferenceData!$T$312),"")</f>
        <v>8.0519049200000001</v>
      </c>
      <c r="U312">
        <f ca="1">IFERROR(IF(0=LEN(ReferenceData!$U$312),"",ReferenceData!$U$312),"")</f>
        <v>8.7557193160000004</v>
      </c>
      <c r="V312">
        <f ca="1">IFERROR(IF(0=LEN(ReferenceData!$V$312),"",ReferenceData!$V$312),"")</f>
        <v>8.9762822940000007</v>
      </c>
      <c r="W312">
        <f ca="1">IFERROR(IF(0=LEN(ReferenceData!$W$312),"",ReferenceData!$W$312),"")</f>
        <v>8.5816167740000004</v>
      </c>
      <c r="X312">
        <f ca="1">IFERROR(IF(0=LEN(ReferenceData!$X$312),"",ReferenceData!$X$312),"")</f>
        <v>8.2447338380000001</v>
      </c>
      <c r="Y312">
        <f ca="1">IFERROR(IF(0=LEN(ReferenceData!$Y$312),"",ReferenceData!$Y$312),"")</f>
        <v>7.4147880810000002</v>
      </c>
      <c r="Z312">
        <f ca="1">IFERROR(IF(0=LEN(ReferenceData!$Z$312),"",ReferenceData!$Z$312),"")</f>
        <v>7.3992866060000004</v>
      </c>
      <c r="AA312">
        <f ca="1">IFERROR(IF(0=LEN(ReferenceData!$AA$312),"",ReferenceData!$AA$312),"")</f>
        <v>8.5590884809999999</v>
      </c>
      <c r="AB312">
        <f ca="1">IFERROR(IF(0=LEN(ReferenceData!$AB$312),"",ReferenceData!$AB$312),"")</f>
        <v>8.3622846860000006</v>
      </c>
      <c r="AC312">
        <f ca="1">IFERROR(IF(0=LEN(ReferenceData!$AC$312),"",ReferenceData!$AC$312),"")</f>
        <v>9.0445888060000001</v>
      </c>
      <c r="AD312">
        <f ca="1">IFERROR(IF(0=LEN(ReferenceData!$AD$312),"",ReferenceData!$AD$312),"")</f>
        <v>9.0334550940000007</v>
      </c>
      <c r="AE312">
        <f ca="1">IFERROR(IF(0=LEN(ReferenceData!$AE$312),"",ReferenceData!$AE$312),"")</f>
        <v>8.6183414840000001</v>
      </c>
      <c r="AF312">
        <f ca="1">IFERROR(IF(0=LEN(ReferenceData!$AF$312),"",ReferenceData!$AF$312),"")</f>
        <v>7.7149775009999999</v>
      </c>
      <c r="AG312">
        <f ca="1">IFERROR(IF(0=LEN(ReferenceData!$AG$312),"",ReferenceData!$AG$312),"")</f>
        <v>8.6749910860000004</v>
      </c>
      <c r="AH312">
        <f ca="1">IFERROR(IF(0=LEN(ReferenceData!$AH$312),"",ReferenceData!$AH$312),"")</f>
        <v>11.360437190000001</v>
      </c>
      <c r="AI312">
        <f ca="1">IFERROR(IF(0=LEN(ReferenceData!$AI$312),"",ReferenceData!$AI$312),"")</f>
        <v>10.20923241</v>
      </c>
      <c r="AJ312">
        <f ca="1">IFERROR(IF(0=LEN(ReferenceData!$AJ$312),"",ReferenceData!$AJ$312),"")</f>
        <v>8.595875972</v>
      </c>
      <c r="AK312">
        <f ca="1">IFERROR(IF(0=LEN(ReferenceData!$AK$312),"",ReferenceData!$AK$312),"")</f>
        <v>9.3374366309999992</v>
      </c>
      <c r="AL312">
        <f ca="1">IFERROR(IF(0=LEN(ReferenceData!$AL$312),"",ReferenceData!$AL$312),"")</f>
        <v>7.5758203589999997</v>
      </c>
      <c r="AM312">
        <f ca="1">IFERROR(IF(0=LEN(ReferenceData!$AM$312),"",ReferenceData!$AM$312),"")</f>
        <v>7.3427861090000004</v>
      </c>
      <c r="AN312">
        <f ca="1">IFERROR(IF(0=LEN(ReferenceData!$AN$312),"",ReferenceData!$AN$312),"")</f>
        <v>6.5118475250000003</v>
      </c>
      <c r="AO312">
        <f ca="1">IFERROR(IF(0=LEN(ReferenceData!$AO$312),"",ReferenceData!$AO$312),"")</f>
        <v>6.548001298</v>
      </c>
      <c r="AP312">
        <f ca="1">IFERROR(IF(0=LEN(ReferenceData!$AP$312),"",ReferenceData!$AP$312),"")</f>
        <v>9.1553648239999994</v>
      </c>
      <c r="AQ312">
        <f ca="1">IFERROR(IF(0=LEN(ReferenceData!$AQ$312),"",ReferenceData!$AQ$312),"")</f>
        <v>13.95852376</v>
      </c>
      <c r="AR312">
        <f ca="1">IFERROR(IF(0=LEN(ReferenceData!$AR$312),"",ReferenceData!$AR$312),"")</f>
        <v>14.76842826</v>
      </c>
      <c r="AS312">
        <f ca="1">IFERROR(IF(0=LEN(ReferenceData!$AS$312),"",ReferenceData!$AS$312),"")</f>
        <v>13.40004306</v>
      </c>
      <c r="AT312">
        <f ca="1">IFERROR(IF(0=LEN(ReferenceData!$AT$312),"",ReferenceData!$AT$312),"")</f>
        <v>9.9729426849999996</v>
      </c>
      <c r="AU312">
        <f ca="1">IFERROR(IF(0=LEN(ReferenceData!$AU$312),"",ReferenceData!$AU$312),"")</f>
        <v>5.9730912119999999</v>
      </c>
      <c r="AV312">
        <f ca="1">IFERROR(IF(0=LEN(ReferenceData!$AV$312),"",ReferenceData!$AV$312),"")</f>
        <v>6.9987960659999997</v>
      </c>
      <c r="AW312">
        <f ca="1">IFERROR(IF(0=LEN(ReferenceData!$AW$312),"",ReferenceData!$AW$312),"")</f>
        <v>7.0057736019999997</v>
      </c>
      <c r="AX312">
        <f ca="1">IFERROR(IF(0=LEN(ReferenceData!$AX$312),"",ReferenceData!$AX$312),"")</f>
        <v>5.8751801339999998</v>
      </c>
      <c r="AY312">
        <f ca="1">IFERROR(IF(0=LEN(ReferenceData!$AY$312),"",ReferenceData!$AY$312),"")</f>
        <v>6.9438122350000002</v>
      </c>
      <c r="AZ312">
        <f ca="1">IFERROR(IF(0=LEN(ReferenceData!$AZ$312),"",ReferenceData!$AZ$312),"")</f>
        <v>7.4443925599999998</v>
      </c>
      <c r="BA312">
        <f ca="1">IFERROR(IF(0=LEN(ReferenceData!$BA$312),"",ReferenceData!$BA$312),"")</f>
        <v>9.1718185779999999</v>
      </c>
      <c r="BB312">
        <f ca="1">IFERROR(IF(0=LEN(ReferenceData!$BB$312),"",ReferenceData!$BB$312),"")</f>
        <v>8.6381019370000001</v>
      </c>
      <c r="BC312">
        <f ca="1">IFERROR(IF(0=LEN(ReferenceData!$BC$312),"",ReferenceData!$BC$312),"")</f>
        <v>9.1105089899999996</v>
      </c>
      <c r="BD312">
        <f ca="1">IFERROR(IF(0=LEN(ReferenceData!$BD$312),"",ReferenceData!$BD$312),"")</f>
        <v>8.1931858599999998</v>
      </c>
      <c r="BE312">
        <f ca="1">IFERROR(IF(0=LEN(ReferenceData!$BE$312),"",ReferenceData!$BE$312),"")</f>
        <v>7.9100647479999999</v>
      </c>
      <c r="BF312">
        <f ca="1">IFERROR(IF(0=LEN(ReferenceData!$BF$312),"",ReferenceData!$BF$312),"")</f>
        <v>8.1235742559999995</v>
      </c>
      <c r="BG312">
        <f ca="1">IFERROR(IF(0=LEN(ReferenceData!$BG$312),"",ReferenceData!$BG$312),"")</f>
        <v>9.6232833410000005</v>
      </c>
      <c r="BH312">
        <f ca="1">IFERROR(IF(0=LEN(ReferenceData!$BH$312),"",ReferenceData!$BH$312),"")</f>
        <v>9.5374386649999998</v>
      </c>
      <c r="BI312" t="str">
        <f ca="1">IFERROR(IF(0=LEN(ReferenceData!$BI$312),"",ReferenceData!$BI$312),"")</f>
        <v/>
      </c>
      <c r="BJ312">
        <f ca="1">IFERROR(IF(0=LEN(ReferenceData!$BJ$312),"",ReferenceData!$BJ$312),"")</f>
        <v>8.2251151819999997</v>
      </c>
      <c r="BK312" t="str">
        <f ca="1">IFERROR(IF(0=LEN(ReferenceData!$BK$312),"",ReferenceData!$BK$312),"")</f>
        <v/>
      </c>
      <c r="BL312" t="str">
        <f ca="1">IFERROR(IF(0=LEN(ReferenceData!$BL$312),"",ReferenceData!$BL$312),"")</f>
        <v/>
      </c>
      <c r="BM312" t="str">
        <f ca="1">IFERROR(IF(0=LEN(ReferenceData!$BM$312),"",ReferenceData!$BM$312),"")</f>
        <v/>
      </c>
    </row>
    <row r="313" spans="1:65" x14ac:dyDescent="0.25">
      <c r="A313" t="str">
        <f>IFERROR(IF(0=LEN(ReferenceData!$A$313),"",ReferenceData!$A$313),"")</f>
        <v xml:space="preserve">    Hyundai Motor Co</v>
      </c>
      <c r="B313" t="str">
        <f>IFERROR(IF(0=LEN(ReferenceData!$B$313),"",ReferenceData!$B$313),"")</f>
        <v>005380 KS Equity</v>
      </c>
      <c r="C313" t="str">
        <f>IFERROR(IF(0=LEN(ReferenceData!$C$313),"",ReferenceData!$C$313),"")</f>
        <v>RR474</v>
      </c>
      <c r="D313" t="str">
        <f>IFERROR(IF(0=LEN(ReferenceData!$D$313),"",ReferenceData!$D$313),"")</f>
        <v>EV_TO_T12M_EBITDA</v>
      </c>
      <c r="E313" t="str">
        <f>IFERROR(IF(0=LEN(ReferenceData!$E$313),"",ReferenceData!$E$313),"")</f>
        <v>Dynamic</v>
      </c>
      <c r="F313" t="str">
        <f ca="1">IFERROR(IF(0=LEN(ReferenceData!$F$313),"",ReferenceData!$F$313),"")</f>
        <v/>
      </c>
      <c r="G313" t="str">
        <f ca="1">IFERROR(IF(0=LEN(ReferenceData!$G$313),"",ReferenceData!$G$313),"")</f>
        <v/>
      </c>
      <c r="H313">
        <f ca="1">IFERROR(IF(0=LEN(ReferenceData!$H$313),"",ReferenceData!$H$313),"")</f>
        <v>12.088409130000001</v>
      </c>
      <c r="I313">
        <f ca="1">IFERROR(IF(0=LEN(ReferenceData!$I$313),"",ReferenceData!$I$313),"")</f>
        <v>10.615496090000001</v>
      </c>
      <c r="J313">
        <f ca="1">IFERROR(IF(0=LEN(ReferenceData!$J$313),"",ReferenceData!$J$313),"")</f>
        <v>10.41796166</v>
      </c>
      <c r="K313">
        <f ca="1">IFERROR(IF(0=LEN(ReferenceData!$K$313),"",ReferenceData!$K$313),"")</f>
        <v>9.6797247130000006</v>
      </c>
      <c r="L313">
        <f ca="1">IFERROR(IF(0=LEN(ReferenceData!$L$313),"",ReferenceData!$L$313),"")</f>
        <v>9.6414105009999993</v>
      </c>
      <c r="M313">
        <f ca="1">IFERROR(IF(0=LEN(ReferenceData!$M$313),"",ReferenceData!$M$313),"")</f>
        <v>9.876730062</v>
      </c>
      <c r="N313">
        <f ca="1">IFERROR(IF(0=LEN(ReferenceData!$N$313),"",ReferenceData!$N$313),"")</f>
        <v>9.1982208409999995</v>
      </c>
      <c r="O313">
        <f ca="1">IFERROR(IF(0=LEN(ReferenceData!$O$313),"",ReferenceData!$O$313),"")</f>
        <v>9.2414910149999994</v>
      </c>
      <c r="P313">
        <f ca="1">IFERROR(IF(0=LEN(ReferenceData!$P$313),"",ReferenceData!$P$313),"")</f>
        <v>8.1354459860000006</v>
      </c>
      <c r="Q313">
        <f ca="1">IFERROR(IF(0=LEN(ReferenceData!$Q$313),"",ReferenceData!$Q$313),"")</f>
        <v>8.0074166519999999</v>
      </c>
      <c r="R313">
        <f ca="1">IFERROR(IF(0=LEN(ReferenceData!$R$313),"",ReferenceData!$R$313),"")</f>
        <v>8.4336760569999996</v>
      </c>
      <c r="S313">
        <f ca="1">IFERROR(IF(0=LEN(ReferenceData!$S$313),"",ReferenceData!$S$313),"")</f>
        <v>8.0853968389999995</v>
      </c>
      <c r="T313">
        <f ca="1">IFERROR(IF(0=LEN(ReferenceData!$T$313),"",ReferenceData!$T$313),"")</f>
        <v>8.0476634560000004</v>
      </c>
      <c r="U313">
        <f ca="1">IFERROR(IF(0=LEN(ReferenceData!$U$313),"",ReferenceData!$U$313),"")</f>
        <v>6.8382198980000002</v>
      </c>
      <c r="V313">
        <f ca="1">IFERROR(IF(0=LEN(ReferenceData!$V$313),"",ReferenceData!$V$313),"")</f>
        <v>7.0339870949999996</v>
      </c>
      <c r="W313">
        <f ca="1">IFERROR(IF(0=LEN(ReferenceData!$W$313),"",ReferenceData!$W$313),"")</f>
        <v>6.5943549189999997</v>
      </c>
      <c r="X313">
        <f ca="1">IFERROR(IF(0=LEN(ReferenceData!$X$313),"",ReferenceData!$X$313),"")</f>
        <v>6.5662973500000001</v>
      </c>
      <c r="Y313">
        <f ca="1">IFERROR(IF(0=LEN(ReferenceData!$Y$313),"",ReferenceData!$Y$313),"")</f>
        <v>6.9566168639999999</v>
      </c>
      <c r="Z313">
        <f ca="1">IFERROR(IF(0=LEN(ReferenceData!$Z$313),"",ReferenceData!$Z$313),"")</f>
        <v>7.2995822029999999</v>
      </c>
      <c r="AA313">
        <f ca="1">IFERROR(IF(0=LEN(ReferenceData!$AA$313),"",ReferenceData!$AA$313),"")</f>
        <v>7.1579461149999997</v>
      </c>
      <c r="AB313">
        <f ca="1">IFERROR(IF(0=LEN(ReferenceData!$AB$313),"",ReferenceData!$AB$313),"")</f>
        <v>7.4568332489999998</v>
      </c>
      <c r="AC313">
        <f ca="1">IFERROR(IF(0=LEN(ReferenceData!$AC$313),"",ReferenceData!$AC$313),"")</f>
        <v>7.0121099689999999</v>
      </c>
      <c r="AD313">
        <f ca="1">IFERROR(IF(0=LEN(ReferenceData!$AD$313),"",ReferenceData!$AD$313),"")</f>
        <v>7.048468304</v>
      </c>
      <c r="AE313">
        <f ca="1">IFERROR(IF(0=LEN(ReferenceData!$AE$313),"",ReferenceData!$AE$313),"")</f>
        <v>6.7863132830000001</v>
      </c>
      <c r="AF313">
        <f ca="1">IFERROR(IF(0=LEN(ReferenceData!$AF$313),"",ReferenceData!$AF$313),"")</f>
        <v>7.2614211659999999</v>
      </c>
      <c r="AG313">
        <f ca="1">IFERROR(IF(0=LEN(ReferenceData!$AG$313),"",ReferenceData!$AG$313),"")</f>
        <v>6.8392423510000002</v>
      </c>
      <c r="AH313">
        <f ca="1">IFERROR(IF(0=LEN(ReferenceData!$AH$313),"",ReferenceData!$AH$313),"")</f>
        <v>7.2288990159999997</v>
      </c>
      <c r="AI313">
        <f ca="1">IFERROR(IF(0=LEN(ReferenceData!$AI$313),"",ReferenceData!$AI$313),"")</f>
        <v>7.1974674869999999</v>
      </c>
      <c r="AJ313">
        <f ca="1">IFERROR(IF(0=LEN(ReferenceData!$AJ$313),"",ReferenceData!$AJ$313),"")</f>
        <v>7.7519856029999996</v>
      </c>
      <c r="AK313">
        <f ca="1">IFERROR(IF(0=LEN(ReferenceData!$AK$313),"",ReferenceData!$AK$313),"")</f>
        <v>8.4769065389999998</v>
      </c>
      <c r="AL313">
        <f ca="1">IFERROR(IF(0=LEN(ReferenceData!$AL$313),"",ReferenceData!$AL$313),"")</f>
        <v>7.8525338629999997</v>
      </c>
      <c r="AM313">
        <f ca="1">IFERROR(IF(0=LEN(ReferenceData!$AM$313),"",ReferenceData!$AM$313),"")</f>
        <v>7.799142207</v>
      </c>
      <c r="AN313" t="str">
        <f ca="1">IFERROR(IF(0=LEN(ReferenceData!$AN$313),"",ReferenceData!$AN$313),"")</f>
        <v/>
      </c>
      <c r="AO313" t="str">
        <f ca="1">IFERROR(IF(0=LEN(ReferenceData!$AO$313),"",ReferenceData!$AO$313),"")</f>
        <v/>
      </c>
      <c r="AP313" t="str">
        <f ca="1">IFERROR(IF(0=LEN(ReferenceData!$AP$313),"",ReferenceData!$AP$313),"")</f>
        <v/>
      </c>
      <c r="AQ313" t="str">
        <f ca="1">IFERROR(IF(0=LEN(ReferenceData!$AQ$313),"",ReferenceData!$AQ$313),"")</f>
        <v/>
      </c>
      <c r="AR313" t="str">
        <f ca="1">IFERROR(IF(0=LEN(ReferenceData!$AR$313),"",ReferenceData!$AR$313),"")</f>
        <v/>
      </c>
      <c r="AS313" t="str">
        <f ca="1">IFERROR(IF(0=LEN(ReferenceData!$AS$313),"",ReferenceData!$AS$313),"")</f>
        <v/>
      </c>
      <c r="AT313" t="str">
        <f ca="1">IFERROR(IF(0=LEN(ReferenceData!$AT$313),"",ReferenceData!$AT$313),"")</f>
        <v/>
      </c>
      <c r="AU313" t="str">
        <f ca="1">IFERROR(IF(0=LEN(ReferenceData!$AU$313),"",ReferenceData!$AU$313),"")</f>
        <v/>
      </c>
      <c r="AV313" t="str">
        <f ca="1">IFERROR(IF(0=LEN(ReferenceData!$AV$313),"",ReferenceData!$AV$313),"")</f>
        <v/>
      </c>
      <c r="AW313" t="str">
        <f ca="1">IFERROR(IF(0=LEN(ReferenceData!$AW$313),"",ReferenceData!$AW$313),"")</f>
        <v/>
      </c>
      <c r="AX313" t="str">
        <f ca="1">IFERROR(IF(0=LEN(ReferenceData!$AX$313),"",ReferenceData!$AX$313),"")</f>
        <v/>
      </c>
      <c r="AY313" t="str">
        <f ca="1">IFERROR(IF(0=LEN(ReferenceData!$AY$313),"",ReferenceData!$AY$313),"")</f>
        <v/>
      </c>
      <c r="AZ313" t="str">
        <f ca="1">IFERROR(IF(0=LEN(ReferenceData!$AZ$313),"",ReferenceData!$AZ$313),"")</f>
        <v/>
      </c>
      <c r="BA313" t="str">
        <f ca="1">IFERROR(IF(0=LEN(ReferenceData!$BA$313),"",ReferenceData!$BA$313),"")</f>
        <v/>
      </c>
      <c r="BB313" t="str">
        <f ca="1">IFERROR(IF(0=LEN(ReferenceData!$BB$313),"",ReferenceData!$BB$313),"")</f>
        <v/>
      </c>
      <c r="BC313" t="str">
        <f ca="1">IFERROR(IF(0=LEN(ReferenceData!$BC$313),"",ReferenceData!$BC$313),"")</f>
        <v/>
      </c>
      <c r="BD313" t="str">
        <f ca="1">IFERROR(IF(0=LEN(ReferenceData!$BD$313),"",ReferenceData!$BD$313),"")</f>
        <v/>
      </c>
      <c r="BE313" t="str">
        <f ca="1">IFERROR(IF(0=LEN(ReferenceData!$BE$313),"",ReferenceData!$BE$313),"")</f>
        <v/>
      </c>
      <c r="BF313" t="str">
        <f ca="1">IFERROR(IF(0=LEN(ReferenceData!$BF$313),"",ReferenceData!$BF$313),"")</f>
        <v/>
      </c>
      <c r="BG313" t="str">
        <f ca="1">IFERROR(IF(0=LEN(ReferenceData!$BG$313),"",ReferenceData!$BG$313),"")</f>
        <v/>
      </c>
      <c r="BH313" t="str">
        <f ca="1">IFERROR(IF(0=LEN(ReferenceData!$BH$313),"",ReferenceData!$BH$313),"")</f>
        <v/>
      </c>
      <c r="BI313" t="str">
        <f ca="1">IFERROR(IF(0=LEN(ReferenceData!$BI$313),"",ReferenceData!$BI$313),"")</f>
        <v/>
      </c>
      <c r="BJ313" t="str">
        <f ca="1">IFERROR(IF(0=LEN(ReferenceData!$BJ$313),"",ReferenceData!$BJ$313),"")</f>
        <v/>
      </c>
      <c r="BK313" t="str">
        <f ca="1">IFERROR(IF(0=LEN(ReferenceData!$BK$313),"",ReferenceData!$BK$313),"")</f>
        <v/>
      </c>
      <c r="BL313" t="str">
        <f ca="1">IFERROR(IF(0=LEN(ReferenceData!$BL$313),"",ReferenceData!$BL$313),"")</f>
        <v/>
      </c>
      <c r="BM313" t="str">
        <f ca="1">IFERROR(IF(0=LEN(ReferenceData!$BM$313),"",ReferenceData!$BM$313),"")</f>
        <v/>
      </c>
    </row>
    <row r="314" spans="1:65" x14ac:dyDescent="0.25">
      <c r="A314" t="str">
        <f>IFERROR(IF(0=LEN(ReferenceData!$A$314),"",ReferenceData!$A$314),"")</f>
        <v xml:space="preserve">    Kia Motors Corp</v>
      </c>
      <c r="B314" t="str">
        <f>IFERROR(IF(0=LEN(ReferenceData!$B$314),"",ReferenceData!$B$314),"")</f>
        <v>000270 KS Equity</v>
      </c>
      <c r="C314" t="str">
        <f>IFERROR(IF(0=LEN(ReferenceData!$C$314),"",ReferenceData!$C$314),"")</f>
        <v>RR474</v>
      </c>
      <c r="D314" t="str">
        <f>IFERROR(IF(0=LEN(ReferenceData!$D$314),"",ReferenceData!$D$314),"")</f>
        <v>EV_TO_T12M_EBITDA</v>
      </c>
      <c r="E314" t="str">
        <f>IFERROR(IF(0=LEN(ReferenceData!$E$314),"",ReferenceData!$E$314),"")</f>
        <v>Dynamic</v>
      </c>
      <c r="F314" t="str">
        <f ca="1">IFERROR(IF(0=LEN(ReferenceData!$F$314),"",ReferenceData!$F$314),"")</f>
        <v/>
      </c>
      <c r="G314" t="str">
        <f ca="1">IFERROR(IF(0=LEN(ReferenceData!$G$314),"",ReferenceData!$G$314),"")</f>
        <v/>
      </c>
      <c r="H314">
        <f ca="1">IFERROR(IF(0=LEN(ReferenceData!$H$314),"",ReferenceData!$H$314),"")</f>
        <v>3.5375106719999998</v>
      </c>
      <c r="I314">
        <f ca="1">IFERROR(IF(0=LEN(ReferenceData!$I$314),"",ReferenceData!$I$314),"")</f>
        <v>3.918086894</v>
      </c>
      <c r="J314">
        <f ca="1">IFERROR(IF(0=LEN(ReferenceData!$J$314),"",ReferenceData!$J$314),"")</f>
        <v>4.3599685539999999</v>
      </c>
      <c r="K314">
        <f ca="1">IFERROR(IF(0=LEN(ReferenceData!$K$314),"",ReferenceData!$K$314),"")</f>
        <v>4.8468687309999998</v>
      </c>
      <c r="L314">
        <f ca="1">IFERROR(IF(0=LEN(ReferenceData!$L$314),"",ReferenceData!$L$314),"")</f>
        <v>3.7686919200000002</v>
      </c>
      <c r="M314">
        <f ca="1">IFERROR(IF(0=LEN(ReferenceData!$M$314),"",ReferenceData!$M$314),"")</f>
        <v>3.831695667</v>
      </c>
      <c r="N314">
        <f ca="1">IFERROR(IF(0=LEN(ReferenceData!$N$314),"",ReferenceData!$N$314),"")</f>
        <v>3.4698790260000001</v>
      </c>
      <c r="O314">
        <f ca="1">IFERROR(IF(0=LEN(ReferenceData!$O$314),"",ReferenceData!$O$314),"")</f>
        <v>3.5855674419999999</v>
      </c>
      <c r="P314">
        <f ca="1">IFERROR(IF(0=LEN(ReferenceData!$P$314),"",ReferenceData!$P$314),"")</f>
        <v>3.4880105050000001</v>
      </c>
      <c r="Q314">
        <f ca="1">IFERROR(IF(0=LEN(ReferenceData!$Q$314),"",ReferenceData!$Q$314),"")</f>
        <v>3.709079488</v>
      </c>
      <c r="R314">
        <f ca="1">IFERROR(IF(0=LEN(ReferenceData!$R$314),"",ReferenceData!$R$314),"")</f>
        <v>4.9338766730000003</v>
      </c>
      <c r="S314">
        <f ca="1">IFERROR(IF(0=LEN(ReferenceData!$S$314),"",ReferenceData!$S$314),"")</f>
        <v>5.1954735740000002</v>
      </c>
      <c r="T314">
        <f ca="1">IFERROR(IF(0=LEN(ReferenceData!$T$314),"",ReferenceData!$T$314),"")</f>
        <v>4.9321642079999997</v>
      </c>
      <c r="U314">
        <f ca="1">IFERROR(IF(0=LEN(ReferenceData!$U$314),"",ReferenceData!$U$314),"")</f>
        <v>4.2788837180000003</v>
      </c>
      <c r="V314">
        <f ca="1">IFERROR(IF(0=LEN(ReferenceData!$V$314),"",ReferenceData!$V$314),"")</f>
        <v>4.1836147830000003</v>
      </c>
      <c r="W314">
        <f ca="1">IFERROR(IF(0=LEN(ReferenceData!$W$314),"",ReferenceData!$W$314),"")</f>
        <v>4.4301667580000004</v>
      </c>
      <c r="X314">
        <f ca="1">IFERROR(IF(0=LEN(ReferenceData!$X$314),"",ReferenceData!$X$314),"")</f>
        <v>4.357313961</v>
      </c>
      <c r="Y314">
        <f ca="1">IFERROR(IF(0=LEN(ReferenceData!$Y$314),"",ReferenceData!$Y$314),"")</f>
        <v>4.669535057</v>
      </c>
      <c r="Z314">
        <f ca="1">IFERROR(IF(0=LEN(ReferenceData!$Z$314),"",ReferenceData!$Z$314),"")</f>
        <v>4.4601197990000001</v>
      </c>
      <c r="AA314">
        <f ca="1">IFERROR(IF(0=LEN(ReferenceData!$AA$314),"",ReferenceData!$AA$314),"")</f>
        <v>4.2162345180000003</v>
      </c>
      <c r="AB314">
        <f ca="1">IFERROR(IF(0=LEN(ReferenceData!$AB$314),"",ReferenceData!$AB$314),"")</f>
        <v>5.3492631169999996</v>
      </c>
      <c r="AC314">
        <f ca="1">IFERROR(IF(0=LEN(ReferenceData!$AC$314),"",ReferenceData!$AC$314),"")</f>
        <v>5.1718099229999996</v>
      </c>
      <c r="AD314">
        <f ca="1">IFERROR(IF(0=LEN(ReferenceData!$AD$314),"",ReferenceData!$AD$314),"")</f>
        <v>4.8261800260000003</v>
      </c>
      <c r="AE314">
        <f ca="1">IFERROR(IF(0=LEN(ReferenceData!$AE$314),"",ReferenceData!$AE$314),"")</f>
        <v>4.548357545</v>
      </c>
      <c r="AF314">
        <f ca="1">IFERROR(IF(0=LEN(ReferenceData!$AF$314),"",ReferenceData!$AF$314),"")</f>
        <v>5.0840396730000004</v>
      </c>
      <c r="AG314">
        <f ca="1">IFERROR(IF(0=LEN(ReferenceData!$AG$314),"",ReferenceData!$AG$314),"")</f>
        <v>5.6669811909999996</v>
      </c>
      <c r="AH314">
        <f ca="1">IFERROR(IF(0=LEN(ReferenceData!$AH$314),"",ReferenceData!$AH$314),"")</f>
        <v>6.1411284330000004</v>
      </c>
      <c r="AI314">
        <f ca="1">IFERROR(IF(0=LEN(ReferenceData!$AI$314),"",ReferenceData!$AI$314),"")</f>
        <v>6.0889559159999997</v>
      </c>
      <c r="AJ314">
        <f ca="1">IFERROR(IF(0=LEN(ReferenceData!$AJ$314),"",ReferenceData!$AJ$314),"")</f>
        <v>6.7965005789999999</v>
      </c>
      <c r="AK314">
        <f ca="1">IFERROR(IF(0=LEN(ReferenceData!$AK$314),"",ReferenceData!$AK$314),"")</f>
        <v>7.2654557249999998</v>
      </c>
      <c r="AL314">
        <f ca="1">IFERROR(IF(0=LEN(ReferenceData!$AL$314),"",ReferenceData!$AL$314),"")</f>
        <v>7.8609412020000002</v>
      </c>
      <c r="AM314" t="str">
        <f ca="1">IFERROR(IF(0=LEN(ReferenceData!$AM$314),"",ReferenceData!$AM$314),"")</f>
        <v/>
      </c>
      <c r="AN314" t="str">
        <f ca="1">IFERROR(IF(0=LEN(ReferenceData!$AN$314),"",ReferenceData!$AN$314),"")</f>
        <v/>
      </c>
      <c r="AO314" t="str">
        <f ca="1">IFERROR(IF(0=LEN(ReferenceData!$AO$314),"",ReferenceData!$AO$314),"")</f>
        <v/>
      </c>
      <c r="AP314" t="str">
        <f ca="1">IFERROR(IF(0=LEN(ReferenceData!$AP$314),"",ReferenceData!$AP$314),"")</f>
        <v/>
      </c>
      <c r="AQ314" t="str">
        <f ca="1">IFERROR(IF(0=LEN(ReferenceData!$AQ$314),"",ReferenceData!$AQ$314),"")</f>
        <v/>
      </c>
      <c r="AR314" t="str">
        <f ca="1">IFERROR(IF(0=LEN(ReferenceData!$AR$314),"",ReferenceData!$AR$314),"")</f>
        <v/>
      </c>
      <c r="AS314" t="str">
        <f ca="1">IFERROR(IF(0=LEN(ReferenceData!$AS$314),"",ReferenceData!$AS$314),"")</f>
        <v/>
      </c>
      <c r="AT314" t="str">
        <f ca="1">IFERROR(IF(0=LEN(ReferenceData!$AT$314),"",ReferenceData!$AT$314),"")</f>
        <v/>
      </c>
      <c r="AU314" t="str">
        <f ca="1">IFERROR(IF(0=LEN(ReferenceData!$AU$314),"",ReferenceData!$AU$314),"")</f>
        <v/>
      </c>
      <c r="AV314" t="str">
        <f ca="1">IFERROR(IF(0=LEN(ReferenceData!$AV$314),"",ReferenceData!$AV$314),"")</f>
        <v/>
      </c>
      <c r="AW314" t="str">
        <f ca="1">IFERROR(IF(0=LEN(ReferenceData!$AW$314),"",ReferenceData!$AW$314),"")</f>
        <v/>
      </c>
      <c r="AX314" t="str">
        <f ca="1">IFERROR(IF(0=LEN(ReferenceData!$AX$314),"",ReferenceData!$AX$314),"")</f>
        <v/>
      </c>
      <c r="AY314" t="str">
        <f ca="1">IFERROR(IF(0=LEN(ReferenceData!$AY$314),"",ReferenceData!$AY$314),"")</f>
        <v/>
      </c>
      <c r="AZ314" t="str">
        <f ca="1">IFERROR(IF(0=LEN(ReferenceData!$AZ$314),"",ReferenceData!$AZ$314),"")</f>
        <v/>
      </c>
      <c r="BA314" t="str">
        <f ca="1">IFERROR(IF(0=LEN(ReferenceData!$BA$314),"",ReferenceData!$BA$314),"")</f>
        <v/>
      </c>
      <c r="BB314" t="str">
        <f ca="1">IFERROR(IF(0=LEN(ReferenceData!$BB$314),"",ReferenceData!$BB$314),"")</f>
        <v/>
      </c>
      <c r="BC314" t="str">
        <f ca="1">IFERROR(IF(0=LEN(ReferenceData!$BC$314),"",ReferenceData!$BC$314),"")</f>
        <v/>
      </c>
      <c r="BD314" t="str">
        <f ca="1">IFERROR(IF(0=LEN(ReferenceData!$BD$314),"",ReferenceData!$BD$314),"")</f>
        <v/>
      </c>
      <c r="BE314" t="str">
        <f ca="1">IFERROR(IF(0=LEN(ReferenceData!$BE$314),"",ReferenceData!$BE$314),"")</f>
        <v/>
      </c>
      <c r="BF314" t="str">
        <f ca="1">IFERROR(IF(0=LEN(ReferenceData!$BF$314),"",ReferenceData!$BF$314),"")</f>
        <v/>
      </c>
      <c r="BG314" t="str">
        <f ca="1">IFERROR(IF(0=LEN(ReferenceData!$BG$314),"",ReferenceData!$BG$314),"")</f>
        <v/>
      </c>
      <c r="BH314" t="str">
        <f ca="1">IFERROR(IF(0=LEN(ReferenceData!$BH$314),"",ReferenceData!$BH$314),"")</f>
        <v/>
      </c>
      <c r="BI314" t="str">
        <f ca="1">IFERROR(IF(0=LEN(ReferenceData!$BI$314),"",ReferenceData!$BI$314),"")</f>
        <v/>
      </c>
      <c r="BJ314" t="str">
        <f ca="1">IFERROR(IF(0=LEN(ReferenceData!$BJ$314),"",ReferenceData!$BJ$314),"")</f>
        <v/>
      </c>
      <c r="BK314" t="str">
        <f ca="1">IFERROR(IF(0=LEN(ReferenceData!$BK$314),"",ReferenceData!$BK$314),"")</f>
        <v/>
      </c>
      <c r="BL314" t="str">
        <f ca="1">IFERROR(IF(0=LEN(ReferenceData!$BL$314),"",ReferenceData!$BL$314),"")</f>
        <v/>
      </c>
      <c r="BM314" t="str">
        <f ca="1">IFERROR(IF(0=LEN(ReferenceData!$BM$314),"",ReferenceData!$BM$314),"")</f>
        <v/>
      </c>
    </row>
    <row r="315" spans="1:65" x14ac:dyDescent="0.25">
      <c r="A315" t="str">
        <f>IFERROR(IF(0=LEN(ReferenceData!$A$315),"",ReferenceData!$A$315),"")</f>
        <v xml:space="preserve">    Mazda Motor Corp</v>
      </c>
      <c r="B315" t="str">
        <f>IFERROR(IF(0=LEN(ReferenceData!$B$315),"",ReferenceData!$B$315),"")</f>
        <v>7261 JP Equity</v>
      </c>
      <c r="C315" t="str">
        <f>IFERROR(IF(0=LEN(ReferenceData!$C$315),"",ReferenceData!$C$315),"")</f>
        <v>RR474</v>
      </c>
      <c r="D315" t="str">
        <f>IFERROR(IF(0=LEN(ReferenceData!$D$315),"",ReferenceData!$D$315),"")</f>
        <v>EV_TO_T12M_EBITDA</v>
      </c>
      <c r="E315" t="str">
        <f>IFERROR(IF(0=LEN(ReferenceData!$E$315),"",ReferenceData!$E$315),"")</f>
        <v>Dynamic</v>
      </c>
      <c r="F315" t="str">
        <f ca="1">IFERROR(IF(0=LEN(ReferenceData!$F$315),"",ReferenceData!$F$315),"")</f>
        <v/>
      </c>
      <c r="G315">
        <f ca="1">IFERROR(IF(0=LEN(ReferenceData!$G$315),"",ReferenceData!$G$315),"")</f>
        <v>3.557747526</v>
      </c>
      <c r="H315">
        <f ca="1">IFERROR(IF(0=LEN(ReferenceData!$H$315),"",ReferenceData!$H$315),"")</f>
        <v>4.0972451510000001</v>
      </c>
      <c r="I315">
        <f ca="1">IFERROR(IF(0=LEN(ReferenceData!$I$315),"",ReferenceData!$I$315),"")</f>
        <v>3.5140129299999998</v>
      </c>
      <c r="J315">
        <f ca="1">IFERROR(IF(0=LEN(ReferenceData!$J$315),"",ReferenceData!$J$315),"")</f>
        <v>3.4058050309999999</v>
      </c>
      <c r="K315">
        <f ca="1">IFERROR(IF(0=LEN(ReferenceData!$K$315),"",ReferenceData!$K$315),"")</f>
        <v>4.2310715749999996</v>
      </c>
      <c r="L315">
        <f ca="1">IFERROR(IF(0=LEN(ReferenceData!$L$315),"",ReferenceData!$L$315),"")</f>
        <v>4.992501979</v>
      </c>
      <c r="M315">
        <f ca="1">IFERROR(IF(0=LEN(ReferenceData!$M$315),"",ReferenceData!$M$315),"")</f>
        <v>4.7649519749999998</v>
      </c>
      <c r="N315">
        <f ca="1">IFERROR(IF(0=LEN(ReferenceData!$N$315),"",ReferenceData!$N$315),"")</f>
        <v>4.5518711789999999</v>
      </c>
      <c r="O315">
        <f ca="1">IFERROR(IF(0=LEN(ReferenceData!$O$315),"",ReferenceData!$O$315),"")</f>
        <v>5.0180416259999996</v>
      </c>
      <c r="P315">
        <f ca="1">IFERROR(IF(0=LEN(ReferenceData!$P$315),"",ReferenceData!$P$315),"")</f>
        <v>3.4271048980000001</v>
      </c>
      <c r="Q315">
        <f ca="1">IFERROR(IF(0=LEN(ReferenceData!$Q$315),"",ReferenceData!$Q$315),"")</f>
        <v>2.7909880490000001</v>
      </c>
      <c r="R315">
        <f ca="1">IFERROR(IF(0=LEN(ReferenceData!$R$315),"",ReferenceData!$R$315),"")</f>
        <v>3.5489191729999998</v>
      </c>
      <c r="S315">
        <f ca="1">IFERROR(IF(0=LEN(ReferenceData!$S$315),"",ReferenceData!$S$315),"")</f>
        <v>5.3746318730000002</v>
      </c>
      <c r="T315">
        <f ca="1">IFERROR(IF(0=LEN(ReferenceData!$T$315),"",ReferenceData!$T$315),"")</f>
        <v>4.1487414290000002</v>
      </c>
      <c r="U315">
        <f ca="1">IFERROR(IF(0=LEN(ReferenceData!$U$315),"",ReferenceData!$U$315),"")</f>
        <v>5.8982413989999998</v>
      </c>
      <c r="V315">
        <f ca="1">IFERROR(IF(0=LEN(ReferenceData!$V$315),"",ReferenceData!$V$315),"")</f>
        <v>5.9283779069999998</v>
      </c>
      <c r="W315">
        <f ca="1">IFERROR(IF(0=LEN(ReferenceData!$W$315),"",ReferenceData!$W$315),"")</f>
        <v>7.3925865479999997</v>
      </c>
      <c r="X315">
        <f ca="1">IFERROR(IF(0=LEN(ReferenceData!$X$315),"",ReferenceData!$X$315),"")</f>
        <v>6.9430713549999998</v>
      </c>
      <c r="Y315">
        <f ca="1">IFERROR(IF(0=LEN(ReferenceData!$Y$315),"",ReferenceData!$Y$315),"")</f>
        <v>6.4699094529999996</v>
      </c>
      <c r="Z315">
        <f ca="1">IFERROR(IF(0=LEN(ReferenceData!$Z$315),"",ReferenceData!$Z$315),"")</f>
        <v>6.6996929979999997</v>
      </c>
      <c r="AA315">
        <f ca="1">IFERROR(IF(0=LEN(ReferenceData!$AA$315),"",ReferenceData!$AA$315),"")</f>
        <v>9.0671922180000006</v>
      </c>
      <c r="AB315">
        <f ca="1">IFERROR(IF(0=LEN(ReferenceData!$AB$315),"",ReferenceData!$AB$315),"")</f>
        <v>9.4501856340000003</v>
      </c>
      <c r="AC315">
        <f ca="1">IFERROR(IF(0=LEN(ReferenceData!$AC$315),"",ReferenceData!$AC$315),"")</f>
        <v>10.16237639</v>
      </c>
      <c r="AD315">
        <f ca="1">IFERROR(IF(0=LEN(ReferenceData!$AD$315),"",ReferenceData!$AD$315),"")</f>
        <v>9.9204703219999999</v>
      </c>
      <c r="AE315">
        <f ca="1">IFERROR(IF(0=LEN(ReferenceData!$AE$315),"",ReferenceData!$AE$315),"")</f>
        <v>8.9866195139999991</v>
      </c>
      <c r="AF315">
        <f ca="1">IFERROR(IF(0=LEN(ReferenceData!$AF$315),"",ReferenceData!$AF$315),"")</f>
        <v>10.31340153</v>
      </c>
      <c r="AG315">
        <f ca="1">IFERROR(IF(0=LEN(ReferenceData!$AG$315),"",ReferenceData!$AG$315),"")</f>
        <v>12.39541208</v>
      </c>
      <c r="AH315">
        <f ca="1">IFERROR(IF(0=LEN(ReferenceData!$AH$315),"",ReferenceData!$AH$315),"")</f>
        <v>24.557422769999999</v>
      </c>
      <c r="AI315">
        <f ca="1">IFERROR(IF(0=LEN(ReferenceData!$AI$315),"",ReferenceData!$AI$315),"")</f>
        <v>29.221058280000001</v>
      </c>
      <c r="AJ315">
        <f ca="1">IFERROR(IF(0=LEN(ReferenceData!$AJ$315),"",ReferenceData!$AJ$315),"")</f>
        <v>11.74253852</v>
      </c>
      <c r="AK315">
        <f ca="1">IFERROR(IF(0=LEN(ReferenceData!$AK$315),"",ReferenceData!$AK$315),"")</f>
        <v>12.09554662</v>
      </c>
      <c r="AL315">
        <f ca="1">IFERROR(IF(0=LEN(ReferenceData!$AL$315),"",ReferenceData!$AL$315),"")</f>
        <v>7.2879679069999996</v>
      </c>
      <c r="AM315">
        <f ca="1">IFERROR(IF(0=LEN(ReferenceData!$AM$315),"",ReferenceData!$AM$315),"")</f>
        <v>7.8749398419999999</v>
      </c>
      <c r="AN315">
        <f ca="1">IFERROR(IF(0=LEN(ReferenceData!$AN$315),"",ReferenceData!$AN$315),"")</f>
        <v>6.0853707549999996</v>
      </c>
      <c r="AO315">
        <f ca="1">IFERROR(IF(0=LEN(ReferenceData!$AO$315),"",ReferenceData!$AO$315),"")</f>
        <v>6.1316651709999999</v>
      </c>
      <c r="AP315">
        <f ca="1">IFERROR(IF(0=LEN(ReferenceData!$AP$315),"",ReferenceData!$AP$315),"")</f>
        <v>9.587100994</v>
      </c>
      <c r="AQ315">
        <f ca="1">IFERROR(IF(0=LEN(ReferenceData!$AQ$315),"",ReferenceData!$AQ$315),"")</f>
        <v>435.82938159999998</v>
      </c>
      <c r="AR315" t="str">
        <f ca="1">IFERROR(IF(0=LEN(ReferenceData!$AR$315),"",ReferenceData!$AR$315),"")</f>
        <v/>
      </c>
      <c r="AS315">
        <f ca="1">IFERROR(IF(0=LEN(ReferenceData!$AS$315),"",ReferenceData!$AS$315),"")</f>
        <v>12103.779119999999</v>
      </c>
      <c r="AT315">
        <f ca="1">IFERROR(IF(0=LEN(ReferenceData!$AT$315),"",ReferenceData!$AT$315),"")</f>
        <v>13.45578707</v>
      </c>
      <c r="AU315">
        <f ca="1">IFERROR(IF(0=LEN(ReferenceData!$AU$315),"",ReferenceData!$AU$315),"")</f>
        <v>4.4769267810000004</v>
      </c>
      <c r="AV315">
        <f ca="1">IFERROR(IF(0=LEN(ReferenceData!$AV$315),"",ReferenceData!$AV$315),"")</f>
        <v>4.3573764329999998</v>
      </c>
      <c r="AW315">
        <f ca="1">IFERROR(IF(0=LEN(ReferenceData!$AW$315),"",ReferenceData!$AW$315),"")</f>
        <v>5.0638377190000003</v>
      </c>
      <c r="AX315">
        <f ca="1">IFERROR(IF(0=LEN(ReferenceData!$AX$315),"",ReferenceData!$AX$315),"")</f>
        <v>3.412483887</v>
      </c>
      <c r="AY315">
        <f ca="1">IFERROR(IF(0=LEN(ReferenceData!$AY$315),"",ReferenceData!$AY$315),"")</f>
        <v>5.0940770549999996</v>
      </c>
      <c r="AZ315">
        <f ca="1">IFERROR(IF(0=LEN(ReferenceData!$AZ$315),"",ReferenceData!$AZ$315),"")</f>
        <v>5.0525350869999999</v>
      </c>
      <c r="BA315">
        <f ca="1">IFERROR(IF(0=LEN(ReferenceData!$BA$315),"",ReferenceData!$BA$315),"")</f>
        <v>6.1429371379999997</v>
      </c>
      <c r="BB315">
        <f ca="1">IFERROR(IF(0=LEN(ReferenceData!$BB$315),"",ReferenceData!$BB$315),"")</f>
        <v>5.6245790729999996</v>
      </c>
      <c r="BC315" t="str">
        <f ca="1">IFERROR(IF(0=LEN(ReferenceData!$BC$315),"",ReferenceData!$BC$315),"")</f>
        <v/>
      </c>
      <c r="BD315" t="str">
        <f ca="1">IFERROR(IF(0=LEN(ReferenceData!$BD$315),"",ReferenceData!$BD$315),"")</f>
        <v/>
      </c>
      <c r="BE315" t="str">
        <f ca="1">IFERROR(IF(0=LEN(ReferenceData!$BE$315),"",ReferenceData!$BE$315),"")</f>
        <v/>
      </c>
      <c r="BF315" t="str">
        <f ca="1">IFERROR(IF(0=LEN(ReferenceData!$BF$315),"",ReferenceData!$BF$315),"")</f>
        <v/>
      </c>
      <c r="BG315" t="str">
        <f ca="1">IFERROR(IF(0=LEN(ReferenceData!$BG$315),"",ReferenceData!$BG$315),"")</f>
        <v/>
      </c>
      <c r="BH315" t="str">
        <f ca="1">IFERROR(IF(0=LEN(ReferenceData!$BH$315),"",ReferenceData!$BH$315),"")</f>
        <v/>
      </c>
      <c r="BI315" t="str">
        <f ca="1">IFERROR(IF(0=LEN(ReferenceData!$BI$315),"",ReferenceData!$BI$315),"")</f>
        <v/>
      </c>
      <c r="BJ315" t="str">
        <f ca="1">IFERROR(IF(0=LEN(ReferenceData!$BJ$315),"",ReferenceData!$BJ$315),"")</f>
        <v/>
      </c>
      <c r="BK315" t="str">
        <f ca="1">IFERROR(IF(0=LEN(ReferenceData!$BK$315),"",ReferenceData!$BK$315),"")</f>
        <v/>
      </c>
      <c r="BL315" t="str">
        <f ca="1">IFERROR(IF(0=LEN(ReferenceData!$BL$315),"",ReferenceData!$BL$315),"")</f>
        <v/>
      </c>
      <c r="BM315" t="str">
        <f ca="1">IFERROR(IF(0=LEN(ReferenceData!$BM$315),"",ReferenceData!$BM$315),"")</f>
        <v/>
      </c>
    </row>
    <row r="316" spans="1:65" x14ac:dyDescent="0.25">
      <c r="A316" t="str">
        <f>IFERROR(IF(0=LEN(ReferenceData!$A$316),"",ReferenceData!$A$316),"")</f>
        <v xml:space="preserve">    Mitsubishi Motors Corp</v>
      </c>
      <c r="B316" t="str">
        <f>IFERROR(IF(0=LEN(ReferenceData!$B$316),"",ReferenceData!$B$316),"")</f>
        <v>7211 JP Equity</v>
      </c>
      <c r="C316" t="str">
        <f>IFERROR(IF(0=LEN(ReferenceData!$C$316),"",ReferenceData!$C$316),"")</f>
        <v>RR474</v>
      </c>
      <c r="D316" t="str">
        <f>IFERROR(IF(0=LEN(ReferenceData!$D$316),"",ReferenceData!$D$316),"")</f>
        <v>EV_TO_T12M_EBITDA</v>
      </c>
      <c r="E316" t="str">
        <f>IFERROR(IF(0=LEN(ReferenceData!$E$316),"",ReferenceData!$E$316),"")</f>
        <v>Dynamic</v>
      </c>
      <c r="F316" t="str">
        <f ca="1">IFERROR(IF(0=LEN(ReferenceData!$F$316),"",ReferenceData!$F$316),"")</f>
        <v/>
      </c>
      <c r="G316">
        <f ca="1">IFERROR(IF(0=LEN(ReferenceData!$G$316),"",ReferenceData!$G$316),"")</f>
        <v>3.927849004</v>
      </c>
      <c r="H316">
        <f ca="1">IFERROR(IF(0=LEN(ReferenceData!$H$316),"",ReferenceData!$H$316),"")</f>
        <v>5.6661061979999996</v>
      </c>
      <c r="I316">
        <f ca="1">IFERROR(IF(0=LEN(ReferenceData!$I$316),"",ReferenceData!$I$316),"")</f>
        <v>6.793994391</v>
      </c>
      <c r="J316">
        <f ca="1">IFERROR(IF(0=LEN(ReferenceData!$J$316),"",ReferenceData!$J$316),"")</f>
        <v>4.0706900069999996</v>
      </c>
      <c r="K316">
        <f ca="1">IFERROR(IF(0=LEN(ReferenceData!$K$316),"",ReferenceData!$K$316),"")</f>
        <v>5.1268987050000003</v>
      </c>
      <c r="L316">
        <f ca="1">IFERROR(IF(0=LEN(ReferenceData!$L$316),"",ReferenceData!$L$316),"")</f>
        <v>6.6795906819999997</v>
      </c>
      <c r="M316">
        <f ca="1">IFERROR(IF(0=LEN(ReferenceData!$M$316),"",ReferenceData!$M$316),"")</f>
        <v>9.4035372289999994</v>
      </c>
      <c r="N316">
        <f ca="1">IFERROR(IF(0=LEN(ReferenceData!$N$316),"",ReferenceData!$N$316),"")</f>
        <v>9.2299913349999994</v>
      </c>
      <c r="O316">
        <f ca="1">IFERROR(IF(0=LEN(ReferenceData!$O$316),"",ReferenceData!$O$316),"")</f>
        <v>7.4685295070000004</v>
      </c>
      <c r="P316">
        <f ca="1">IFERROR(IF(0=LEN(ReferenceData!$P$316),"",ReferenceData!$P$316),"")</f>
        <v>1.619055868</v>
      </c>
      <c r="Q316">
        <f ca="1">IFERROR(IF(0=LEN(ReferenceData!$Q$316),"",ReferenceData!$Q$316),"")</f>
        <v>0.53534745800000005</v>
      </c>
      <c r="R316">
        <f ca="1">IFERROR(IF(0=LEN(ReferenceData!$R$316),"",ReferenceData!$R$316),"")</f>
        <v>2.1811821770000002</v>
      </c>
      <c r="S316">
        <f ca="1">IFERROR(IF(0=LEN(ReferenceData!$S$316),"",ReferenceData!$S$316),"")</f>
        <v>2.890850908</v>
      </c>
      <c r="T316">
        <f ca="1">IFERROR(IF(0=LEN(ReferenceData!$T$316),"",ReferenceData!$T$316),"")</f>
        <v>2.6951230559999999</v>
      </c>
      <c r="U316">
        <f ca="1">IFERROR(IF(0=LEN(ReferenceData!$U$316),"",ReferenceData!$U$316),"")</f>
        <v>4.0938383649999999</v>
      </c>
      <c r="V316">
        <f ca="1">IFERROR(IF(0=LEN(ReferenceData!$V$316),"",ReferenceData!$V$316),"")</f>
        <v>4.0254912540000003</v>
      </c>
      <c r="W316">
        <f ca="1">IFERROR(IF(0=LEN(ReferenceData!$W$316),"",ReferenceData!$W$316),"")</f>
        <v>4.245621474</v>
      </c>
      <c r="X316">
        <f ca="1">IFERROR(IF(0=LEN(ReferenceData!$X$316),"",ReferenceData!$X$316),"")</f>
        <v>5.5012114959999998</v>
      </c>
      <c r="Y316">
        <f ca="1">IFERROR(IF(0=LEN(ReferenceData!$Y$316),"",ReferenceData!$Y$316),"")</f>
        <v>4.4690411770000003</v>
      </c>
      <c r="Z316">
        <f ca="1">IFERROR(IF(0=LEN(ReferenceData!$Z$316),"",ReferenceData!$Z$316),"")</f>
        <v>4.7868421190000001</v>
      </c>
      <c r="AA316">
        <f ca="1">IFERROR(IF(0=LEN(ReferenceData!$AA$316),"",ReferenceData!$AA$316),"")</f>
        <v>5.1433755879999996</v>
      </c>
      <c r="AB316">
        <f ca="1">IFERROR(IF(0=LEN(ReferenceData!$AB$316),"",ReferenceData!$AB$316),"")</f>
        <v>7.0358454840000002</v>
      </c>
      <c r="AC316">
        <f ca="1">IFERROR(IF(0=LEN(ReferenceData!$AC$316),"",ReferenceData!$AC$316),"")</f>
        <v>9.6741999669999998</v>
      </c>
      <c r="AD316">
        <f ca="1">IFERROR(IF(0=LEN(ReferenceData!$AD$316),"",ReferenceData!$AD$316),"")</f>
        <v>8.1290905129999995</v>
      </c>
      <c r="AE316">
        <f ca="1">IFERROR(IF(0=LEN(ReferenceData!$AE$316),"",ReferenceData!$AE$316),"")</f>
        <v>8.0479929469999991</v>
      </c>
      <c r="AF316">
        <f ca="1">IFERROR(IF(0=LEN(ReferenceData!$AF$316),"",ReferenceData!$AF$316),"")</f>
        <v>7.3859709950000001</v>
      </c>
      <c r="AG316">
        <f ca="1">IFERROR(IF(0=LEN(ReferenceData!$AG$316),"",ReferenceData!$AG$316),"")</f>
        <v>7.3040755879999999</v>
      </c>
      <c r="AH316">
        <f ca="1">IFERROR(IF(0=LEN(ReferenceData!$AH$316),"",ReferenceData!$AH$316),"")</f>
        <v>8.6052713910000005</v>
      </c>
      <c r="AI316">
        <f ca="1">IFERROR(IF(0=LEN(ReferenceData!$AI$316),"",ReferenceData!$AI$316),"")</f>
        <v>8.2688816490000008</v>
      </c>
      <c r="AJ316">
        <f ca="1">IFERROR(IF(0=LEN(ReferenceData!$AJ$316),"",ReferenceData!$AJ$316),"")</f>
        <v>8.3871213040000008</v>
      </c>
      <c r="AK316">
        <f ca="1">IFERROR(IF(0=LEN(ReferenceData!$AK$316),"",ReferenceData!$AK$316),"")</f>
        <v>8.9026659820000003</v>
      </c>
      <c r="AL316">
        <f ca="1">IFERROR(IF(0=LEN(ReferenceData!$AL$316),"",ReferenceData!$AL$316),"")</f>
        <v>10.69127404</v>
      </c>
      <c r="AM316">
        <f ca="1">IFERROR(IF(0=LEN(ReferenceData!$AM$316),"",ReferenceData!$AM$316),"")</f>
        <v>10.35361479</v>
      </c>
      <c r="AN316">
        <f ca="1">IFERROR(IF(0=LEN(ReferenceData!$AN$316),"",ReferenceData!$AN$316),"")</f>
        <v>9.3584827399999995</v>
      </c>
      <c r="AO316">
        <f ca="1">IFERROR(IF(0=LEN(ReferenceData!$AO$316),"",ReferenceData!$AO$316),"")</f>
        <v>10.81149431</v>
      </c>
      <c r="AP316">
        <f ca="1">IFERROR(IF(0=LEN(ReferenceData!$AP$316),"",ReferenceData!$AP$316),"")</f>
        <v>15.30227637</v>
      </c>
      <c r="AQ316">
        <f ca="1">IFERROR(IF(0=LEN(ReferenceData!$AQ$316),"",ReferenceData!$AQ$316),"")</f>
        <v>34.625074120000001</v>
      </c>
      <c r="AR316">
        <f ca="1">IFERROR(IF(0=LEN(ReferenceData!$AR$316),"",ReferenceData!$AR$316),"")</f>
        <v>62.442210699999997</v>
      </c>
      <c r="AS316">
        <f ca="1">IFERROR(IF(0=LEN(ReferenceData!$AS$316),"",ReferenceData!$AS$316),"")</f>
        <v>36.008490889999997</v>
      </c>
      <c r="AT316">
        <f ca="1">IFERROR(IF(0=LEN(ReferenceData!$AT$316),"",ReferenceData!$AT$316),"")</f>
        <v>15.43631856</v>
      </c>
      <c r="AU316" t="str">
        <f ca="1">IFERROR(IF(0=LEN(ReferenceData!$AU$316),"",ReferenceData!$AU$316),"")</f>
        <v/>
      </c>
      <c r="AV316" t="str">
        <f ca="1">IFERROR(IF(0=LEN(ReferenceData!$AV$316),"",ReferenceData!$AV$316),"")</f>
        <v/>
      </c>
      <c r="AW316" t="str">
        <f ca="1">IFERROR(IF(0=LEN(ReferenceData!$AW$316),"",ReferenceData!$AW$316),"")</f>
        <v/>
      </c>
      <c r="AX316" t="str">
        <f ca="1">IFERROR(IF(0=LEN(ReferenceData!$AX$316),"",ReferenceData!$AX$316),"")</f>
        <v/>
      </c>
      <c r="AY316" t="str">
        <f ca="1">IFERROR(IF(0=LEN(ReferenceData!$AY$316),"",ReferenceData!$AY$316),"")</f>
        <v/>
      </c>
      <c r="AZ316" t="str">
        <f ca="1">IFERROR(IF(0=LEN(ReferenceData!$AZ$316),"",ReferenceData!$AZ$316),"")</f>
        <v/>
      </c>
      <c r="BA316" t="str">
        <f ca="1">IFERROR(IF(0=LEN(ReferenceData!$BA$316),"",ReferenceData!$BA$316),"")</f>
        <v/>
      </c>
      <c r="BB316" t="str">
        <f ca="1">IFERROR(IF(0=LEN(ReferenceData!$BB$316),"",ReferenceData!$BB$316),"")</f>
        <v/>
      </c>
      <c r="BC316" t="str">
        <f ca="1">IFERROR(IF(0=LEN(ReferenceData!$BC$316),"",ReferenceData!$BC$316),"")</f>
        <v/>
      </c>
      <c r="BD316" t="str">
        <f ca="1">IFERROR(IF(0=LEN(ReferenceData!$BD$316),"",ReferenceData!$BD$316),"")</f>
        <v/>
      </c>
      <c r="BE316" t="str">
        <f ca="1">IFERROR(IF(0=LEN(ReferenceData!$BE$316),"",ReferenceData!$BE$316),"")</f>
        <v/>
      </c>
      <c r="BF316" t="str">
        <f ca="1">IFERROR(IF(0=LEN(ReferenceData!$BF$316),"",ReferenceData!$BF$316),"")</f>
        <v/>
      </c>
      <c r="BG316" t="str">
        <f ca="1">IFERROR(IF(0=LEN(ReferenceData!$BG$316),"",ReferenceData!$BG$316),"")</f>
        <v/>
      </c>
      <c r="BH316" t="str">
        <f ca="1">IFERROR(IF(0=LEN(ReferenceData!$BH$316),"",ReferenceData!$BH$316),"")</f>
        <v/>
      </c>
      <c r="BI316" t="str">
        <f ca="1">IFERROR(IF(0=LEN(ReferenceData!$BI$316),"",ReferenceData!$BI$316),"")</f>
        <v/>
      </c>
      <c r="BJ316" t="str">
        <f ca="1">IFERROR(IF(0=LEN(ReferenceData!$BJ$316),"",ReferenceData!$BJ$316),"")</f>
        <v/>
      </c>
      <c r="BK316" t="str">
        <f ca="1">IFERROR(IF(0=LEN(ReferenceData!$BK$316),"",ReferenceData!$BK$316),"")</f>
        <v/>
      </c>
      <c r="BL316" t="str">
        <f ca="1">IFERROR(IF(0=LEN(ReferenceData!$BL$316),"",ReferenceData!$BL$316),"")</f>
        <v/>
      </c>
      <c r="BM316" t="str">
        <f ca="1">IFERROR(IF(0=LEN(ReferenceData!$BM$316),"",ReferenceData!$BM$316),"")</f>
        <v/>
      </c>
    </row>
    <row r="317" spans="1:65" x14ac:dyDescent="0.25">
      <c r="A317" t="str">
        <f>IFERROR(IF(0=LEN(ReferenceData!$A$317),"",ReferenceData!$A$317),"")</f>
        <v xml:space="preserve">    Nissan Motor Co Ltd</v>
      </c>
      <c r="B317" t="str">
        <f>IFERROR(IF(0=LEN(ReferenceData!$B$317),"",ReferenceData!$B$317),"")</f>
        <v>7201 JP Equity</v>
      </c>
      <c r="C317" t="str">
        <f>IFERROR(IF(0=LEN(ReferenceData!$C$317),"",ReferenceData!$C$317),"")</f>
        <v>RR474</v>
      </c>
      <c r="D317" t="str">
        <f>IFERROR(IF(0=LEN(ReferenceData!$D$317),"",ReferenceData!$D$317),"")</f>
        <v>EV_TO_T12M_EBITDA</v>
      </c>
      <c r="E317" t="str">
        <f>IFERROR(IF(0=LEN(ReferenceData!$E$317),"",ReferenceData!$E$317),"")</f>
        <v>Dynamic</v>
      </c>
      <c r="F317" t="str">
        <f ca="1">IFERROR(IF(0=LEN(ReferenceData!$F$317),"",ReferenceData!$F$317),"")</f>
        <v/>
      </c>
      <c r="G317">
        <f ca="1">IFERROR(IF(0=LEN(ReferenceData!$G$317),"",ReferenceData!$G$317),"")</f>
        <v>1.687883134</v>
      </c>
      <c r="H317">
        <f ca="1">IFERROR(IF(0=LEN(ReferenceData!$H$317),"",ReferenceData!$H$317),"")</f>
        <v>2.0499125889999998</v>
      </c>
      <c r="I317">
        <f ca="1">IFERROR(IF(0=LEN(ReferenceData!$I$317),"",ReferenceData!$I$317),"")</f>
        <v>2.0495370519999998</v>
      </c>
      <c r="J317">
        <f ca="1">IFERROR(IF(0=LEN(ReferenceData!$J$317),"",ReferenceData!$J$317),"")</f>
        <v>1.947953284</v>
      </c>
      <c r="K317">
        <f ca="1">IFERROR(IF(0=LEN(ReferenceData!$K$317),"",ReferenceData!$K$317),"")</f>
        <v>2.2975601430000001</v>
      </c>
      <c r="L317">
        <f ca="1">IFERROR(IF(0=LEN(ReferenceData!$L$317),"",ReferenceData!$L$317),"")</f>
        <v>1.8705079259999999</v>
      </c>
      <c r="M317">
        <f ca="1">IFERROR(IF(0=LEN(ReferenceData!$M$317),"",ReferenceData!$M$317),"")</f>
        <v>1.9254174420000001</v>
      </c>
      <c r="N317">
        <f ca="1">IFERROR(IF(0=LEN(ReferenceData!$N$317),"",ReferenceData!$N$317),"")</f>
        <v>1.8103109770000001</v>
      </c>
      <c r="O317">
        <f ca="1">IFERROR(IF(0=LEN(ReferenceData!$O$317),"",ReferenceData!$O$317),"")</f>
        <v>2.5438352399999999</v>
      </c>
      <c r="P317">
        <f ca="1">IFERROR(IF(0=LEN(ReferenceData!$P$317),"",ReferenceData!$P$317),"")</f>
        <v>1.919093116</v>
      </c>
      <c r="Q317">
        <f ca="1">IFERROR(IF(0=LEN(ReferenceData!$Q$317),"",ReferenceData!$Q$317),"")</f>
        <v>1.7224414720000001</v>
      </c>
      <c r="R317">
        <f ca="1">IFERROR(IF(0=LEN(ReferenceData!$R$317),"",ReferenceData!$R$317),"")</f>
        <v>2.003160555</v>
      </c>
      <c r="S317">
        <f ca="1">IFERROR(IF(0=LEN(ReferenceData!$S$317),"",ReferenceData!$S$317),"")</f>
        <v>2.7545437979999998</v>
      </c>
      <c r="T317">
        <f ca="1">IFERROR(IF(0=LEN(ReferenceData!$T$317),"",ReferenceData!$T$317),"")</f>
        <v>2.2089978430000001</v>
      </c>
      <c r="U317">
        <f ca="1">IFERROR(IF(0=LEN(ReferenceData!$U$317),"",ReferenceData!$U$317),"")</f>
        <v>3.2305912769999998</v>
      </c>
      <c r="V317">
        <f ca="1">IFERROR(IF(0=LEN(ReferenceData!$V$317),"",ReferenceData!$V$317),"")</f>
        <v>3.027445138</v>
      </c>
      <c r="W317">
        <f ca="1">IFERROR(IF(0=LEN(ReferenceData!$W$317),"",ReferenceData!$W$317),"")</f>
        <v>2.6516463620000001</v>
      </c>
      <c r="X317">
        <f ca="1">IFERROR(IF(0=LEN(ReferenceData!$X$317),"",ReferenceData!$X$317),"")</f>
        <v>2.9561428959999998</v>
      </c>
      <c r="Y317">
        <f ca="1">IFERROR(IF(0=LEN(ReferenceData!$Y$317),"",ReferenceData!$Y$317),"")</f>
        <v>2.8550053599999998</v>
      </c>
      <c r="Z317">
        <f ca="1">IFERROR(IF(0=LEN(ReferenceData!$Z$317),"",ReferenceData!$Z$317),"")</f>
        <v>2.6936468840000001</v>
      </c>
      <c r="AA317">
        <f ca="1">IFERROR(IF(0=LEN(ReferenceData!$AA$317),"",ReferenceData!$AA$317),"")</f>
        <v>3.0211467320000001</v>
      </c>
      <c r="AB317">
        <f ca="1">IFERROR(IF(0=LEN(ReferenceData!$AB$317),"",ReferenceData!$AB$317),"")</f>
        <v>3.501210484</v>
      </c>
      <c r="AC317">
        <f ca="1">IFERROR(IF(0=LEN(ReferenceData!$AC$317),"",ReferenceData!$AC$317),"")</f>
        <v>3.6839021239999998</v>
      </c>
      <c r="AD317">
        <f ca="1">IFERROR(IF(0=LEN(ReferenceData!$AD$317),"",ReferenceData!$AD$317),"")</f>
        <v>3.2314012860000001</v>
      </c>
      <c r="AE317">
        <f ca="1">IFERROR(IF(0=LEN(ReferenceData!$AE$317),"",ReferenceData!$AE$317),"")</f>
        <v>3.5280703120000001</v>
      </c>
      <c r="AF317">
        <f ca="1">IFERROR(IF(0=LEN(ReferenceData!$AF$317),"",ReferenceData!$AF$317),"")</f>
        <v>2.6031573529999998</v>
      </c>
      <c r="AG317">
        <f ca="1">IFERROR(IF(0=LEN(ReferenceData!$AG$317),"",ReferenceData!$AG$317),"")</f>
        <v>2.796838685</v>
      </c>
      <c r="AH317">
        <f ca="1">IFERROR(IF(0=LEN(ReferenceData!$AH$317),"",ReferenceData!$AH$317),"")</f>
        <v>2.9792297849999998</v>
      </c>
      <c r="AI317">
        <f ca="1">IFERROR(IF(0=LEN(ReferenceData!$AI$317),"",ReferenceData!$AI$317),"")</f>
        <v>2.5542029780000002</v>
      </c>
      <c r="AJ317">
        <f ca="1">IFERROR(IF(0=LEN(ReferenceData!$AJ$317),"",ReferenceData!$AJ$317),"")</f>
        <v>2.5769938940000001</v>
      </c>
      <c r="AK317">
        <f ca="1">IFERROR(IF(0=LEN(ReferenceData!$AK$317),"",ReferenceData!$AK$317),"")</f>
        <v>3.0700771630000001</v>
      </c>
      <c r="AL317">
        <f ca="1">IFERROR(IF(0=LEN(ReferenceData!$AL$317),"",ReferenceData!$AL$317),"")</f>
        <v>2.6543495770000001</v>
      </c>
      <c r="AM317">
        <f ca="1">IFERROR(IF(0=LEN(ReferenceData!$AM$317),"",ReferenceData!$AM$317),"")</f>
        <v>3.0199244589999998</v>
      </c>
      <c r="AN317">
        <f ca="1">IFERROR(IF(0=LEN(ReferenceData!$AN$317),"",ReferenceData!$AN$317),"")</f>
        <v>2.7205712690000001</v>
      </c>
      <c r="AO317">
        <f ca="1">IFERROR(IF(0=LEN(ReferenceData!$AO$317),"",ReferenceData!$AO$317),"")</f>
        <v>2.5457570039999999</v>
      </c>
      <c r="AP317">
        <f ca="1">IFERROR(IF(0=LEN(ReferenceData!$AP$317),"",ReferenceData!$AP$317),"")</f>
        <v>3.5775888020000002</v>
      </c>
      <c r="AQ317">
        <f ca="1">IFERROR(IF(0=LEN(ReferenceData!$AQ$317),"",ReferenceData!$AQ$317),"")</f>
        <v>5.4637832319999999</v>
      </c>
      <c r="AR317">
        <f ca="1">IFERROR(IF(0=LEN(ReferenceData!$AR$317),"",ReferenceData!$AR$317),"")</f>
        <v>6.2082641760000001</v>
      </c>
      <c r="AS317">
        <f ca="1">IFERROR(IF(0=LEN(ReferenceData!$AS$317),"",ReferenceData!$AS$317),"")</f>
        <v>5.6826941299999998</v>
      </c>
      <c r="AT317">
        <f ca="1">IFERROR(IF(0=LEN(ReferenceData!$AT$317),"",ReferenceData!$AT$317),"")</f>
        <v>9.0218369599999999</v>
      </c>
      <c r="AU317" t="str">
        <f ca="1">IFERROR(IF(0=LEN(ReferenceData!$AU$317),"",ReferenceData!$AU$317),"")</f>
        <v/>
      </c>
      <c r="AV317" t="str">
        <f ca="1">IFERROR(IF(0=LEN(ReferenceData!$AV$317),"",ReferenceData!$AV$317),"")</f>
        <v/>
      </c>
      <c r="AW317" t="str">
        <f ca="1">IFERROR(IF(0=LEN(ReferenceData!$AW$317),"",ReferenceData!$AW$317),"")</f>
        <v/>
      </c>
      <c r="AX317" t="str">
        <f ca="1">IFERROR(IF(0=LEN(ReferenceData!$AX$317),"",ReferenceData!$AX$317),"")</f>
        <v/>
      </c>
      <c r="AY317" t="str">
        <f ca="1">IFERROR(IF(0=LEN(ReferenceData!$AY$317),"",ReferenceData!$AY$317),"")</f>
        <v/>
      </c>
      <c r="AZ317" t="str">
        <f ca="1">IFERROR(IF(0=LEN(ReferenceData!$AZ$317),"",ReferenceData!$AZ$317),"")</f>
        <v/>
      </c>
      <c r="BA317" t="str">
        <f ca="1">IFERROR(IF(0=LEN(ReferenceData!$BA$317),"",ReferenceData!$BA$317),"")</f>
        <v/>
      </c>
      <c r="BB317" t="str">
        <f ca="1">IFERROR(IF(0=LEN(ReferenceData!$BB$317),"",ReferenceData!$BB$317),"")</f>
        <v/>
      </c>
      <c r="BC317" t="str">
        <f ca="1">IFERROR(IF(0=LEN(ReferenceData!$BC$317),"",ReferenceData!$BC$317),"")</f>
        <v/>
      </c>
      <c r="BD317" t="str">
        <f ca="1">IFERROR(IF(0=LEN(ReferenceData!$BD$317),"",ReferenceData!$BD$317),"")</f>
        <v/>
      </c>
      <c r="BE317" t="str">
        <f ca="1">IFERROR(IF(0=LEN(ReferenceData!$BE$317),"",ReferenceData!$BE$317),"")</f>
        <v/>
      </c>
      <c r="BF317" t="str">
        <f ca="1">IFERROR(IF(0=LEN(ReferenceData!$BF$317),"",ReferenceData!$BF$317),"")</f>
        <v/>
      </c>
      <c r="BG317" t="str">
        <f ca="1">IFERROR(IF(0=LEN(ReferenceData!$BG$317),"",ReferenceData!$BG$317),"")</f>
        <v/>
      </c>
      <c r="BH317" t="str">
        <f ca="1">IFERROR(IF(0=LEN(ReferenceData!$BH$317),"",ReferenceData!$BH$317),"")</f>
        <v/>
      </c>
      <c r="BI317" t="str">
        <f ca="1">IFERROR(IF(0=LEN(ReferenceData!$BI$317),"",ReferenceData!$BI$317),"")</f>
        <v/>
      </c>
      <c r="BJ317" t="str">
        <f ca="1">IFERROR(IF(0=LEN(ReferenceData!$BJ$317),"",ReferenceData!$BJ$317),"")</f>
        <v/>
      </c>
      <c r="BK317" t="str">
        <f ca="1">IFERROR(IF(0=LEN(ReferenceData!$BK$317),"",ReferenceData!$BK$317),"")</f>
        <v/>
      </c>
      <c r="BL317" t="str">
        <f ca="1">IFERROR(IF(0=LEN(ReferenceData!$BL$317),"",ReferenceData!$BL$317),"")</f>
        <v/>
      </c>
      <c r="BM317" t="str">
        <f ca="1">IFERROR(IF(0=LEN(ReferenceData!$BM$317),"",ReferenceData!$BM$317),"")</f>
        <v/>
      </c>
    </row>
    <row r="318" spans="1:65" x14ac:dyDescent="0.25">
      <c r="A318" t="str">
        <f>IFERROR(IF(0=LEN(ReferenceData!$A$318),"",ReferenceData!$A$318),"")</f>
        <v xml:space="preserve">    Peugeot SA</v>
      </c>
      <c r="B318" t="str">
        <f>IFERROR(IF(0=LEN(ReferenceData!$B$318),"",ReferenceData!$B$318),"")</f>
        <v>UG FP Equity</v>
      </c>
      <c r="C318" t="str">
        <f>IFERROR(IF(0=LEN(ReferenceData!$C$318),"",ReferenceData!$C$318),"")</f>
        <v>RR474</v>
      </c>
      <c r="D318" t="str">
        <f>IFERROR(IF(0=LEN(ReferenceData!$D$318),"",ReferenceData!$D$318),"")</f>
        <v>EV_TO_T12M_EBITDA</v>
      </c>
      <c r="E318" t="str">
        <f>IFERROR(IF(0=LEN(ReferenceData!$E$318),"",ReferenceData!$E$318),"")</f>
        <v>Dynamic</v>
      </c>
      <c r="F318" t="str">
        <f ca="1">IFERROR(IF(0=LEN(ReferenceData!$F$318),"",ReferenceData!$F$318),"")</f>
        <v/>
      </c>
      <c r="G318" t="str">
        <f ca="1">IFERROR(IF(0=LEN(ReferenceData!$G$318),"",ReferenceData!$G$318),"")</f>
        <v/>
      </c>
      <c r="H318" t="str">
        <f ca="1">IFERROR(IF(0=LEN(ReferenceData!$H$318),"",ReferenceData!$H$318),"")</f>
        <v/>
      </c>
      <c r="I318" t="str">
        <f ca="1">IFERROR(IF(0=LEN(ReferenceData!$I$318),"",ReferenceData!$I$318),"")</f>
        <v/>
      </c>
      <c r="J318" t="str">
        <f ca="1">IFERROR(IF(0=LEN(ReferenceData!$J$318),"",ReferenceData!$J$318),"")</f>
        <v/>
      </c>
      <c r="K318" t="str">
        <f ca="1">IFERROR(IF(0=LEN(ReferenceData!$K$318),"",ReferenceData!$K$318),"")</f>
        <v/>
      </c>
      <c r="L318" t="str">
        <f ca="1">IFERROR(IF(0=LEN(ReferenceData!$L$318),"",ReferenceData!$L$318),"")</f>
        <v/>
      </c>
      <c r="M318" t="str">
        <f ca="1">IFERROR(IF(0=LEN(ReferenceData!$M$318),"",ReferenceData!$M$318),"")</f>
        <v/>
      </c>
      <c r="N318" t="str">
        <f ca="1">IFERROR(IF(0=LEN(ReferenceData!$N$318),"",ReferenceData!$N$318),"")</f>
        <v/>
      </c>
      <c r="O318" t="str">
        <f ca="1">IFERROR(IF(0=LEN(ReferenceData!$O$318),"",ReferenceData!$O$318),"")</f>
        <v/>
      </c>
      <c r="P318" t="str">
        <f ca="1">IFERROR(IF(0=LEN(ReferenceData!$P$318),"",ReferenceData!$P$318),"")</f>
        <v/>
      </c>
      <c r="Q318" t="str">
        <f ca="1">IFERROR(IF(0=LEN(ReferenceData!$Q$318),"",ReferenceData!$Q$318),"")</f>
        <v/>
      </c>
      <c r="R318" t="str">
        <f ca="1">IFERROR(IF(0=LEN(ReferenceData!$R$318),"",ReferenceData!$R$318),"")</f>
        <v/>
      </c>
      <c r="S318" t="str">
        <f ca="1">IFERROR(IF(0=LEN(ReferenceData!$S$318),"",ReferenceData!$S$318),"")</f>
        <v/>
      </c>
      <c r="T318" t="str">
        <f ca="1">IFERROR(IF(0=LEN(ReferenceData!$T$318),"",ReferenceData!$T$318),"")</f>
        <v/>
      </c>
      <c r="U318" t="str">
        <f ca="1">IFERROR(IF(0=LEN(ReferenceData!$U$318),"",ReferenceData!$U$318),"")</f>
        <v/>
      </c>
      <c r="V318" t="str">
        <f ca="1">IFERROR(IF(0=LEN(ReferenceData!$V$318),"",ReferenceData!$V$318),"")</f>
        <v/>
      </c>
      <c r="W318" t="str">
        <f ca="1">IFERROR(IF(0=LEN(ReferenceData!$W$318),"",ReferenceData!$W$318),"")</f>
        <v/>
      </c>
      <c r="X318" t="str">
        <f ca="1">IFERROR(IF(0=LEN(ReferenceData!$X$318),"",ReferenceData!$X$318),"")</f>
        <v/>
      </c>
      <c r="Y318" t="str">
        <f ca="1">IFERROR(IF(0=LEN(ReferenceData!$Y$318),"",ReferenceData!$Y$318),"")</f>
        <v/>
      </c>
      <c r="Z318" t="str">
        <f ca="1">IFERROR(IF(0=LEN(ReferenceData!$Z$318),"",ReferenceData!$Z$318),"")</f>
        <v/>
      </c>
      <c r="AA318" t="str">
        <f ca="1">IFERROR(IF(0=LEN(ReferenceData!$AA$318),"",ReferenceData!$AA$318),"")</f>
        <v/>
      </c>
      <c r="AB318" t="str">
        <f ca="1">IFERROR(IF(0=LEN(ReferenceData!$AB$318),"",ReferenceData!$AB$318),"")</f>
        <v/>
      </c>
      <c r="AC318" t="str">
        <f ca="1">IFERROR(IF(0=LEN(ReferenceData!$AC$318),"",ReferenceData!$AC$318),"")</f>
        <v/>
      </c>
      <c r="AD318" t="str">
        <f ca="1">IFERROR(IF(0=LEN(ReferenceData!$AD$318),"",ReferenceData!$AD$318),"")</f>
        <v/>
      </c>
      <c r="AE318" t="str">
        <f ca="1">IFERROR(IF(0=LEN(ReferenceData!$AE$318),"",ReferenceData!$AE$318),"")</f>
        <v/>
      </c>
      <c r="AF318" t="str">
        <f ca="1">IFERROR(IF(0=LEN(ReferenceData!$AF$318),"",ReferenceData!$AF$318),"")</f>
        <v/>
      </c>
      <c r="AG318" t="str">
        <f ca="1">IFERROR(IF(0=LEN(ReferenceData!$AG$318),"",ReferenceData!$AG$318),"")</f>
        <v/>
      </c>
      <c r="AH318" t="str">
        <f ca="1">IFERROR(IF(0=LEN(ReferenceData!$AH$318),"",ReferenceData!$AH$318),"")</f>
        <v/>
      </c>
      <c r="AI318" t="str">
        <f ca="1">IFERROR(IF(0=LEN(ReferenceData!$AI$318),"",ReferenceData!$AI$318),"")</f>
        <v/>
      </c>
      <c r="AJ318" t="str">
        <f ca="1">IFERROR(IF(0=LEN(ReferenceData!$AJ$318),"",ReferenceData!$AJ$318),"")</f>
        <v/>
      </c>
      <c r="AK318" t="str">
        <f ca="1">IFERROR(IF(0=LEN(ReferenceData!$AK$318),"",ReferenceData!$AK$318),"")</f>
        <v/>
      </c>
      <c r="AL318" t="str">
        <f ca="1">IFERROR(IF(0=LEN(ReferenceData!$AL$318),"",ReferenceData!$AL$318),"")</f>
        <v/>
      </c>
      <c r="AM318" t="str">
        <f ca="1">IFERROR(IF(0=LEN(ReferenceData!$AM$318),"",ReferenceData!$AM$318),"")</f>
        <v/>
      </c>
      <c r="AN318" t="str">
        <f ca="1">IFERROR(IF(0=LEN(ReferenceData!$AN$318),"",ReferenceData!$AN$318),"")</f>
        <v/>
      </c>
      <c r="AO318" t="str">
        <f ca="1">IFERROR(IF(0=LEN(ReferenceData!$AO$318),"",ReferenceData!$AO$318),"")</f>
        <v/>
      </c>
      <c r="AP318" t="str">
        <f ca="1">IFERROR(IF(0=LEN(ReferenceData!$AP$318),"",ReferenceData!$AP$318),"")</f>
        <v/>
      </c>
      <c r="AQ318" t="str">
        <f ca="1">IFERROR(IF(0=LEN(ReferenceData!$AQ$318),"",ReferenceData!$AQ$318),"")</f>
        <v/>
      </c>
      <c r="AR318" t="str">
        <f ca="1">IFERROR(IF(0=LEN(ReferenceData!$AR$318),"",ReferenceData!$AR$318),"")</f>
        <v/>
      </c>
      <c r="AS318" t="str">
        <f ca="1">IFERROR(IF(0=LEN(ReferenceData!$AS$318),"",ReferenceData!$AS$318),"")</f>
        <v/>
      </c>
      <c r="AT318" t="str">
        <f ca="1">IFERROR(IF(0=LEN(ReferenceData!$AT$318),"",ReferenceData!$AT$318),"")</f>
        <v/>
      </c>
      <c r="AU318" t="str">
        <f ca="1">IFERROR(IF(0=LEN(ReferenceData!$AU$318),"",ReferenceData!$AU$318),"")</f>
        <v/>
      </c>
      <c r="AV318" t="str">
        <f ca="1">IFERROR(IF(0=LEN(ReferenceData!$AV$318),"",ReferenceData!$AV$318),"")</f>
        <v/>
      </c>
      <c r="AW318" t="str">
        <f ca="1">IFERROR(IF(0=LEN(ReferenceData!$AW$318),"",ReferenceData!$AW$318),"")</f>
        <v/>
      </c>
      <c r="AX318" t="str">
        <f ca="1">IFERROR(IF(0=LEN(ReferenceData!$AX$318),"",ReferenceData!$AX$318),"")</f>
        <v/>
      </c>
      <c r="AY318" t="str">
        <f ca="1">IFERROR(IF(0=LEN(ReferenceData!$AY$318),"",ReferenceData!$AY$318),"")</f>
        <v/>
      </c>
      <c r="AZ318" t="str">
        <f ca="1">IFERROR(IF(0=LEN(ReferenceData!$AZ$318),"",ReferenceData!$AZ$318),"")</f>
        <v/>
      </c>
      <c r="BA318" t="str">
        <f ca="1">IFERROR(IF(0=LEN(ReferenceData!$BA$318),"",ReferenceData!$BA$318),"")</f>
        <v/>
      </c>
      <c r="BB318" t="str">
        <f ca="1">IFERROR(IF(0=LEN(ReferenceData!$BB$318),"",ReferenceData!$BB$318),"")</f>
        <v/>
      </c>
      <c r="BC318" t="str">
        <f ca="1">IFERROR(IF(0=LEN(ReferenceData!$BC$318),"",ReferenceData!$BC$318),"")</f>
        <v/>
      </c>
      <c r="BD318" t="str">
        <f ca="1">IFERROR(IF(0=LEN(ReferenceData!$BD$318),"",ReferenceData!$BD$318),"")</f>
        <v/>
      </c>
      <c r="BE318" t="str">
        <f ca="1">IFERROR(IF(0=LEN(ReferenceData!$BE$318),"",ReferenceData!$BE$318),"")</f>
        <v/>
      </c>
      <c r="BF318" t="str">
        <f ca="1">IFERROR(IF(0=LEN(ReferenceData!$BF$318),"",ReferenceData!$BF$318),"")</f>
        <v/>
      </c>
      <c r="BG318" t="str">
        <f ca="1">IFERROR(IF(0=LEN(ReferenceData!$BG$318),"",ReferenceData!$BG$318),"")</f>
        <v/>
      </c>
      <c r="BH318" t="str">
        <f ca="1">IFERROR(IF(0=LEN(ReferenceData!$BH$318),"",ReferenceData!$BH$318),"")</f>
        <v/>
      </c>
      <c r="BI318" t="str">
        <f ca="1">IFERROR(IF(0=LEN(ReferenceData!$BI$318),"",ReferenceData!$BI$318),"")</f>
        <v/>
      </c>
      <c r="BJ318" t="str">
        <f ca="1">IFERROR(IF(0=LEN(ReferenceData!$BJ$318),"",ReferenceData!$BJ$318),"")</f>
        <v/>
      </c>
      <c r="BK318" t="str">
        <f ca="1">IFERROR(IF(0=LEN(ReferenceData!$BK$318),"",ReferenceData!$BK$318),"")</f>
        <v/>
      </c>
      <c r="BL318" t="str">
        <f ca="1">IFERROR(IF(0=LEN(ReferenceData!$BL$318),"",ReferenceData!$BL$318),"")</f>
        <v/>
      </c>
      <c r="BM318" t="str">
        <f ca="1">IFERROR(IF(0=LEN(ReferenceData!$BM$318),"",ReferenceData!$BM$318),"")</f>
        <v/>
      </c>
    </row>
    <row r="319" spans="1:65" x14ac:dyDescent="0.25">
      <c r="A319" t="str">
        <f>IFERROR(IF(0=LEN(ReferenceData!$A$319),"",ReferenceData!$A$319),"")</f>
        <v xml:space="preserve">    Renault SA</v>
      </c>
      <c r="B319" t="str">
        <f>IFERROR(IF(0=LEN(ReferenceData!$B$319),"",ReferenceData!$B$319),"")</f>
        <v>RNO FP Equity</v>
      </c>
      <c r="C319" t="str">
        <f>IFERROR(IF(0=LEN(ReferenceData!$C$319),"",ReferenceData!$C$319),"")</f>
        <v>RR474</v>
      </c>
      <c r="D319" t="str">
        <f>IFERROR(IF(0=LEN(ReferenceData!$D$319),"",ReferenceData!$D$319),"")</f>
        <v>EV_TO_T12M_EBITDA</v>
      </c>
      <c r="E319" t="str">
        <f>IFERROR(IF(0=LEN(ReferenceData!$E$319),"",ReferenceData!$E$319),"")</f>
        <v>Dynamic</v>
      </c>
      <c r="F319" t="str">
        <f ca="1">IFERROR(IF(0=LEN(ReferenceData!$F$319),"",ReferenceData!$F$319),"")</f>
        <v/>
      </c>
      <c r="G319" t="str">
        <f ca="1">IFERROR(IF(0=LEN(ReferenceData!$G$319),"",ReferenceData!$G$319),"")</f>
        <v/>
      </c>
      <c r="H319" t="str">
        <f ca="1">IFERROR(IF(0=LEN(ReferenceData!$H$319),"",ReferenceData!$H$319),"")</f>
        <v/>
      </c>
      <c r="I319" t="str">
        <f ca="1">IFERROR(IF(0=LEN(ReferenceData!$I$319),"",ReferenceData!$I$319),"")</f>
        <v/>
      </c>
      <c r="J319" t="str">
        <f ca="1">IFERROR(IF(0=LEN(ReferenceData!$J$319),"",ReferenceData!$J$319),"")</f>
        <v/>
      </c>
      <c r="K319" t="str">
        <f ca="1">IFERROR(IF(0=LEN(ReferenceData!$K$319),"",ReferenceData!$K$319),"")</f>
        <v/>
      </c>
      <c r="L319" t="str">
        <f ca="1">IFERROR(IF(0=LEN(ReferenceData!$L$319),"",ReferenceData!$L$319),"")</f>
        <v/>
      </c>
      <c r="M319" t="str">
        <f ca="1">IFERROR(IF(0=LEN(ReferenceData!$M$319),"",ReferenceData!$M$319),"")</f>
        <v/>
      </c>
      <c r="N319" t="str">
        <f ca="1">IFERROR(IF(0=LEN(ReferenceData!$N$319),"",ReferenceData!$N$319),"")</f>
        <v/>
      </c>
      <c r="O319" t="str">
        <f ca="1">IFERROR(IF(0=LEN(ReferenceData!$O$319),"",ReferenceData!$O$319),"")</f>
        <v/>
      </c>
      <c r="P319" t="str">
        <f ca="1">IFERROR(IF(0=LEN(ReferenceData!$P$319),"",ReferenceData!$P$319),"")</f>
        <v/>
      </c>
      <c r="Q319" t="str">
        <f ca="1">IFERROR(IF(0=LEN(ReferenceData!$Q$319),"",ReferenceData!$Q$319),"")</f>
        <v/>
      </c>
      <c r="R319" t="str">
        <f ca="1">IFERROR(IF(0=LEN(ReferenceData!$R$319),"",ReferenceData!$R$319),"")</f>
        <v/>
      </c>
      <c r="S319" t="str">
        <f ca="1">IFERROR(IF(0=LEN(ReferenceData!$S$319),"",ReferenceData!$S$319),"")</f>
        <v/>
      </c>
      <c r="T319" t="str">
        <f ca="1">IFERROR(IF(0=LEN(ReferenceData!$T$319),"",ReferenceData!$T$319),"")</f>
        <v/>
      </c>
      <c r="U319" t="str">
        <f ca="1">IFERROR(IF(0=LEN(ReferenceData!$U$319),"",ReferenceData!$U$319),"")</f>
        <v/>
      </c>
      <c r="V319" t="str">
        <f ca="1">IFERROR(IF(0=LEN(ReferenceData!$V$319),"",ReferenceData!$V$319),"")</f>
        <v/>
      </c>
      <c r="W319" t="str">
        <f ca="1">IFERROR(IF(0=LEN(ReferenceData!$W$319),"",ReferenceData!$W$319),"")</f>
        <v/>
      </c>
      <c r="X319" t="str">
        <f ca="1">IFERROR(IF(0=LEN(ReferenceData!$X$319),"",ReferenceData!$X$319),"")</f>
        <v/>
      </c>
      <c r="Y319" t="str">
        <f ca="1">IFERROR(IF(0=LEN(ReferenceData!$Y$319),"",ReferenceData!$Y$319),"")</f>
        <v/>
      </c>
      <c r="Z319" t="str">
        <f ca="1">IFERROR(IF(0=LEN(ReferenceData!$Z$319),"",ReferenceData!$Z$319),"")</f>
        <v/>
      </c>
      <c r="AA319" t="str">
        <f ca="1">IFERROR(IF(0=LEN(ReferenceData!$AA$319),"",ReferenceData!$AA$319),"")</f>
        <v/>
      </c>
      <c r="AB319" t="str">
        <f ca="1">IFERROR(IF(0=LEN(ReferenceData!$AB$319),"",ReferenceData!$AB$319),"")</f>
        <v/>
      </c>
      <c r="AC319" t="str">
        <f ca="1">IFERROR(IF(0=LEN(ReferenceData!$AC$319),"",ReferenceData!$AC$319),"")</f>
        <v/>
      </c>
      <c r="AD319" t="str">
        <f ca="1">IFERROR(IF(0=LEN(ReferenceData!$AD$319),"",ReferenceData!$AD$319),"")</f>
        <v/>
      </c>
      <c r="AE319" t="str">
        <f ca="1">IFERROR(IF(0=LEN(ReferenceData!$AE$319),"",ReferenceData!$AE$319),"")</f>
        <v/>
      </c>
      <c r="AF319" t="str">
        <f ca="1">IFERROR(IF(0=LEN(ReferenceData!$AF$319),"",ReferenceData!$AF$319),"")</f>
        <v/>
      </c>
      <c r="AG319" t="str">
        <f ca="1">IFERROR(IF(0=LEN(ReferenceData!$AG$319),"",ReferenceData!$AG$319),"")</f>
        <v/>
      </c>
      <c r="AH319" t="str">
        <f ca="1">IFERROR(IF(0=LEN(ReferenceData!$AH$319),"",ReferenceData!$AH$319),"")</f>
        <v/>
      </c>
      <c r="AI319" t="str">
        <f ca="1">IFERROR(IF(0=LEN(ReferenceData!$AI$319),"",ReferenceData!$AI$319),"")</f>
        <v/>
      </c>
      <c r="AJ319" t="str">
        <f ca="1">IFERROR(IF(0=LEN(ReferenceData!$AJ$319),"",ReferenceData!$AJ$319),"")</f>
        <v/>
      </c>
      <c r="AK319" t="str">
        <f ca="1">IFERROR(IF(0=LEN(ReferenceData!$AK$319),"",ReferenceData!$AK$319),"")</f>
        <v/>
      </c>
      <c r="AL319" t="str">
        <f ca="1">IFERROR(IF(0=LEN(ReferenceData!$AL$319),"",ReferenceData!$AL$319),"")</f>
        <v/>
      </c>
      <c r="AM319" t="str">
        <f ca="1">IFERROR(IF(0=LEN(ReferenceData!$AM$319),"",ReferenceData!$AM$319),"")</f>
        <v/>
      </c>
      <c r="AN319" t="str">
        <f ca="1">IFERROR(IF(0=LEN(ReferenceData!$AN$319),"",ReferenceData!$AN$319),"")</f>
        <v/>
      </c>
      <c r="AO319" t="str">
        <f ca="1">IFERROR(IF(0=LEN(ReferenceData!$AO$319),"",ReferenceData!$AO$319),"")</f>
        <v/>
      </c>
      <c r="AP319" t="str">
        <f ca="1">IFERROR(IF(0=LEN(ReferenceData!$AP$319),"",ReferenceData!$AP$319),"")</f>
        <v/>
      </c>
      <c r="AQ319" t="str">
        <f ca="1">IFERROR(IF(0=LEN(ReferenceData!$AQ$319),"",ReferenceData!$AQ$319),"")</f>
        <v/>
      </c>
      <c r="AR319" t="str">
        <f ca="1">IFERROR(IF(0=LEN(ReferenceData!$AR$319),"",ReferenceData!$AR$319),"")</f>
        <v/>
      </c>
      <c r="AS319" t="str">
        <f ca="1">IFERROR(IF(0=LEN(ReferenceData!$AS$319),"",ReferenceData!$AS$319),"")</f>
        <v/>
      </c>
      <c r="AT319" t="str">
        <f ca="1">IFERROR(IF(0=LEN(ReferenceData!$AT$319),"",ReferenceData!$AT$319),"")</f>
        <v/>
      </c>
      <c r="AU319" t="str">
        <f ca="1">IFERROR(IF(0=LEN(ReferenceData!$AU$319),"",ReferenceData!$AU$319),"")</f>
        <v/>
      </c>
      <c r="AV319" t="str">
        <f ca="1">IFERROR(IF(0=LEN(ReferenceData!$AV$319),"",ReferenceData!$AV$319),"")</f>
        <v/>
      </c>
      <c r="AW319" t="str">
        <f ca="1">IFERROR(IF(0=LEN(ReferenceData!$AW$319),"",ReferenceData!$AW$319),"")</f>
        <v/>
      </c>
      <c r="AX319" t="str">
        <f ca="1">IFERROR(IF(0=LEN(ReferenceData!$AX$319),"",ReferenceData!$AX$319),"")</f>
        <v/>
      </c>
      <c r="AY319" t="str">
        <f ca="1">IFERROR(IF(0=LEN(ReferenceData!$AY$319),"",ReferenceData!$AY$319),"")</f>
        <v/>
      </c>
      <c r="AZ319" t="str">
        <f ca="1">IFERROR(IF(0=LEN(ReferenceData!$AZ$319),"",ReferenceData!$AZ$319),"")</f>
        <v/>
      </c>
      <c r="BA319" t="str">
        <f ca="1">IFERROR(IF(0=LEN(ReferenceData!$BA$319),"",ReferenceData!$BA$319),"")</f>
        <v/>
      </c>
      <c r="BB319" t="str">
        <f ca="1">IFERROR(IF(0=LEN(ReferenceData!$BB$319),"",ReferenceData!$BB$319),"")</f>
        <v/>
      </c>
      <c r="BC319" t="str">
        <f ca="1">IFERROR(IF(0=LEN(ReferenceData!$BC$319),"",ReferenceData!$BC$319),"")</f>
        <v/>
      </c>
      <c r="BD319" t="str">
        <f ca="1">IFERROR(IF(0=LEN(ReferenceData!$BD$319),"",ReferenceData!$BD$319),"")</f>
        <v/>
      </c>
      <c r="BE319" t="str">
        <f ca="1">IFERROR(IF(0=LEN(ReferenceData!$BE$319),"",ReferenceData!$BE$319),"")</f>
        <v/>
      </c>
      <c r="BF319" t="str">
        <f ca="1">IFERROR(IF(0=LEN(ReferenceData!$BF$319),"",ReferenceData!$BF$319),"")</f>
        <v/>
      </c>
      <c r="BG319" t="str">
        <f ca="1">IFERROR(IF(0=LEN(ReferenceData!$BG$319),"",ReferenceData!$BG$319),"")</f>
        <v/>
      </c>
      <c r="BH319" t="str">
        <f ca="1">IFERROR(IF(0=LEN(ReferenceData!$BH$319),"",ReferenceData!$BH$319),"")</f>
        <v/>
      </c>
      <c r="BI319" t="str">
        <f ca="1">IFERROR(IF(0=LEN(ReferenceData!$BI$319),"",ReferenceData!$BI$319),"")</f>
        <v/>
      </c>
      <c r="BJ319" t="str">
        <f ca="1">IFERROR(IF(0=LEN(ReferenceData!$BJ$319),"",ReferenceData!$BJ$319),"")</f>
        <v/>
      </c>
      <c r="BK319" t="str">
        <f ca="1">IFERROR(IF(0=LEN(ReferenceData!$BK$319),"",ReferenceData!$BK$319),"")</f>
        <v/>
      </c>
      <c r="BL319" t="str">
        <f ca="1">IFERROR(IF(0=LEN(ReferenceData!$BL$319),"",ReferenceData!$BL$319),"")</f>
        <v/>
      </c>
      <c r="BM319" t="str">
        <f ca="1">IFERROR(IF(0=LEN(ReferenceData!$BM$319),"",ReferenceData!$BM$319),"")</f>
        <v/>
      </c>
    </row>
    <row r="320" spans="1:65" x14ac:dyDescent="0.25">
      <c r="A320" t="str">
        <f>IFERROR(IF(0=LEN(ReferenceData!$A$320),"",ReferenceData!$A$320),"")</f>
        <v xml:space="preserve">    SAIC Motor Corp Ltd</v>
      </c>
      <c r="B320" t="str">
        <f>IFERROR(IF(0=LEN(ReferenceData!$B$320),"",ReferenceData!$B$320),"")</f>
        <v>600104 CH Equity</v>
      </c>
      <c r="C320" t="str">
        <f>IFERROR(IF(0=LEN(ReferenceData!$C$320),"",ReferenceData!$C$320),"")</f>
        <v>RR474</v>
      </c>
      <c r="D320" t="str">
        <f>IFERROR(IF(0=LEN(ReferenceData!$D$320),"",ReferenceData!$D$320),"")</f>
        <v>EV_TO_T12M_EBITDA</v>
      </c>
      <c r="E320" t="str">
        <f>IFERROR(IF(0=LEN(ReferenceData!$E$320),"",ReferenceData!$E$320),"")</f>
        <v>Dynamic</v>
      </c>
      <c r="F320" t="str">
        <f ca="1">IFERROR(IF(0=LEN(ReferenceData!$F$320),"",ReferenceData!$F$320),"")</f>
        <v/>
      </c>
      <c r="G320" t="str">
        <f ca="1">IFERROR(IF(0=LEN(ReferenceData!$G$320),"",ReferenceData!$G$320),"")</f>
        <v/>
      </c>
      <c r="H320" t="str">
        <f ca="1">IFERROR(IF(0=LEN(ReferenceData!$H$320),"",ReferenceData!$H$320),"")</f>
        <v/>
      </c>
      <c r="I320" t="str">
        <f ca="1">IFERROR(IF(0=LEN(ReferenceData!$I$320),"",ReferenceData!$I$320),"")</f>
        <v/>
      </c>
      <c r="J320" t="str">
        <f ca="1">IFERROR(IF(0=LEN(ReferenceData!$J$320),"",ReferenceData!$J$320),"")</f>
        <v/>
      </c>
      <c r="K320" t="str">
        <f ca="1">IFERROR(IF(0=LEN(ReferenceData!$K$320),"",ReferenceData!$K$320),"")</f>
        <v/>
      </c>
      <c r="L320" t="str">
        <f ca="1">IFERROR(IF(0=LEN(ReferenceData!$L$320),"",ReferenceData!$L$320),"")</f>
        <v/>
      </c>
      <c r="M320" t="str">
        <f ca="1">IFERROR(IF(0=LEN(ReferenceData!$M$320),"",ReferenceData!$M$320),"")</f>
        <v/>
      </c>
      <c r="N320" t="str">
        <f ca="1">IFERROR(IF(0=LEN(ReferenceData!$N$320),"",ReferenceData!$N$320),"")</f>
        <v/>
      </c>
      <c r="O320" t="str">
        <f ca="1">IFERROR(IF(0=LEN(ReferenceData!$O$320),"",ReferenceData!$O$320),"")</f>
        <v/>
      </c>
      <c r="P320" t="str">
        <f ca="1">IFERROR(IF(0=LEN(ReferenceData!$P$320),"",ReferenceData!$P$320),"")</f>
        <v/>
      </c>
      <c r="Q320" t="str">
        <f ca="1">IFERROR(IF(0=LEN(ReferenceData!$Q$320),"",ReferenceData!$Q$320),"")</f>
        <v/>
      </c>
      <c r="R320" t="str">
        <f ca="1">IFERROR(IF(0=LEN(ReferenceData!$R$320),"",ReferenceData!$R$320),"")</f>
        <v/>
      </c>
      <c r="S320" t="str">
        <f ca="1">IFERROR(IF(0=LEN(ReferenceData!$S$320),"",ReferenceData!$S$320),"")</f>
        <v/>
      </c>
      <c r="T320" t="str">
        <f ca="1">IFERROR(IF(0=LEN(ReferenceData!$T$320),"",ReferenceData!$T$320),"")</f>
        <v/>
      </c>
      <c r="U320" t="str">
        <f ca="1">IFERROR(IF(0=LEN(ReferenceData!$U$320),"",ReferenceData!$U$320),"")</f>
        <v/>
      </c>
      <c r="V320" t="str">
        <f ca="1">IFERROR(IF(0=LEN(ReferenceData!$V$320),"",ReferenceData!$V$320),"")</f>
        <v/>
      </c>
      <c r="W320" t="str">
        <f ca="1">IFERROR(IF(0=LEN(ReferenceData!$W$320),"",ReferenceData!$W$320),"")</f>
        <v/>
      </c>
      <c r="X320" t="str">
        <f ca="1">IFERROR(IF(0=LEN(ReferenceData!$X$320),"",ReferenceData!$X$320),"")</f>
        <v/>
      </c>
      <c r="Y320" t="str">
        <f ca="1">IFERROR(IF(0=LEN(ReferenceData!$Y$320),"",ReferenceData!$Y$320),"")</f>
        <v/>
      </c>
      <c r="Z320" t="str">
        <f ca="1">IFERROR(IF(0=LEN(ReferenceData!$Z$320),"",ReferenceData!$Z$320),"")</f>
        <v/>
      </c>
      <c r="AA320" t="str">
        <f ca="1">IFERROR(IF(0=LEN(ReferenceData!$AA$320),"",ReferenceData!$AA$320),"")</f>
        <v/>
      </c>
      <c r="AB320" t="str">
        <f ca="1">IFERROR(IF(0=LEN(ReferenceData!$AB$320),"",ReferenceData!$AB$320),"")</f>
        <v/>
      </c>
      <c r="AC320" t="str">
        <f ca="1">IFERROR(IF(0=LEN(ReferenceData!$AC$320),"",ReferenceData!$AC$320),"")</f>
        <v/>
      </c>
      <c r="AD320" t="str">
        <f ca="1">IFERROR(IF(0=LEN(ReferenceData!$AD$320),"",ReferenceData!$AD$320),"")</f>
        <v/>
      </c>
      <c r="AE320" t="str">
        <f ca="1">IFERROR(IF(0=LEN(ReferenceData!$AE$320),"",ReferenceData!$AE$320),"")</f>
        <v/>
      </c>
      <c r="AF320" t="str">
        <f ca="1">IFERROR(IF(0=LEN(ReferenceData!$AF$320),"",ReferenceData!$AF$320),"")</f>
        <v/>
      </c>
      <c r="AG320" t="str">
        <f ca="1">IFERROR(IF(0=LEN(ReferenceData!$AG$320),"",ReferenceData!$AG$320),"")</f>
        <v/>
      </c>
      <c r="AH320" t="str">
        <f ca="1">IFERROR(IF(0=LEN(ReferenceData!$AH$320),"",ReferenceData!$AH$320),"")</f>
        <v/>
      </c>
      <c r="AI320" t="str">
        <f ca="1">IFERROR(IF(0=LEN(ReferenceData!$AI$320),"",ReferenceData!$AI$320),"")</f>
        <v/>
      </c>
      <c r="AJ320" t="str">
        <f ca="1">IFERROR(IF(0=LEN(ReferenceData!$AJ$320),"",ReferenceData!$AJ$320),"")</f>
        <v/>
      </c>
      <c r="AK320" t="str">
        <f ca="1">IFERROR(IF(0=LEN(ReferenceData!$AK$320),"",ReferenceData!$AK$320),"")</f>
        <v/>
      </c>
      <c r="AL320" t="str">
        <f ca="1">IFERROR(IF(0=LEN(ReferenceData!$AL$320),"",ReferenceData!$AL$320),"")</f>
        <v/>
      </c>
      <c r="AM320" t="str">
        <f ca="1">IFERROR(IF(0=LEN(ReferenceData!$AM$320),"",ReferenceData!$AM$320),"")</f>
        <v/>
      </c>
      <c r="AN320" t="str">
        <f ca="1">IFERROR(IF(0=LEN(ReferenceData!$AN$320),"",ReferenceData!$AN$320),"")</f>
        <v/>
      </c>
      <c r="AO320" t="str">
        <f ca="1">IFERROR(IF(0=LEN(ReferenceData!$AO$320),"",ReferenceData!$AO$320),"")</f>
        <v/>
      </c>
      <c r="AP320" t="str">
        <f ca="1">IFERROR(IF(0=LEN(ReferenceData!$AP$320),"",ReferenceData!$AP$320),"")</f>
        <v/>
      </c>
      <c r="AQ320" t="str">
        <f ca="1">IFERROR(IF(0=LEN(ReferenceData!$AQ$320),"",ReferenceData!$AQ$320),"")</f>
        <v/>
      </c>
      <c r="AR320" t="str">
        <f ca="1">IFERROR(IF(0=LEN(ReferenceData!$AR$320),"",ReferenceData!$AR$320),"")</f>
        <v/>
      </c>
      <c r="AS320" t="str">
        <f ca="1">IFERROR(IF(0=LEN(ReferenceData!$AS$320),"",ReferenceData!$AS$320),"")</f>
        <v/>
      </c>
      <c r="AT320" t="str">
        <f ca="1">IFERROR(IF(0=LEN(ReferenceData!$AT$320),"",ReferenceData!$AT$320),"")</f>
        <v/>
      </c>
      <c r="AU320" t="str">
        <f ca="1">IFERROR(IF(0=LEN(ReferenceData!$AU$320),"",ReferenceData!$AU$320),"")</f>
        <v/>
      </c>
      <c r="AV320" t="str">
        <f ca="1">IFERROR(IF(0=LEN(ReferenceData!$AV$320),"",ReferenceData!$AV$320),"")</f>
        <v/>
      </c>
      <c r="AW320" t="str">
        <f ca="1">IFERROR(IF(0=LEN(ReferenceData!$AW$320),"",ReferenceData!$AW$320),"")</f>
        <v/>
      </c>
      <c r="AX320" t="str">
        <f ca="1">IFERROR(IF(0=LEN(ReferenceData!$AX$320),"",ReferenceData!$AX$320),"")</f>
        <v/>
      </c>
      <c r="AY320" t="str">
        <f ca="1">IFERROR(IF(0=LEN(ReferenceData!$AY$320),"",ReferenceData!$AY$320),"")</f>
        <v/>
      </c>
      <c r="AZ320" t="str">
        <f ca="1">IFERROR(IF(0=LEN(ReferenceData!$AZ$320),"",ReferenceData!$AZ$320),"")</f>
        <v/>
      </c>
      <c r="BA320" t="str">
        <f ca="1">IFERROR(IF(0=LEN(ReferenceData!$BA$320),"",ReferenceData!$BA$320),"")</f>
        <v/>
      </c>
      <c r="BB320" t="str">
        <f ca="1">IFERROR(IF(0=LEN(ReferenceData!$BB$320),"",ReferenceData!$BB$320),"")</f>
        <v/>
      </c>
      <c r="BC320" t="str">
        <f ca="1">IFERROR(IF(0=LEN(ReferenceData!$BC$320),"",ReferenceData!$BC$320),"")</f>
        <v/>
      </c>
      <c r="BD320" t="str">
        <f ca="1">IFERROR(IF(0=LEN(ReferenceData!$BD$320),"",ReferenceData!$BD$320),"")</f>
        <v/>
      </c>
      <c r="BE320" t="str">
        <f ca="1">IFERROR(IF(0=LEN(ReferenceData!$BE$320),"",ReferenceData!$BE$320),"")</f>
        <v/>
      </c>
      <c r="BF320" t="str">
        <f ca="1">IFERROR(IF(0=LEN(ReferenceData!$BF$320),"",ReferenceData!$BF$320),"")</f>
        <v/>
      </c>
      <c r="BG320">
        <f ca="1">IFERROR(IF(0=LEN(ReferenceData!$BG$320),"",ReferenceData!$BG$320),"")</f>
        <v>13.915251980000001</v>
      </c>
      <c r="BH320">
        <f ca="1">IFERROR(IF(0=LEN(ReferenceData!$BH$320),"",ReferenceData!$BH$320),"")</f>
        <v>20.029180310000001</v>
      </c>
      <c r="BI320">
        <f ca="1">IFERROR(IF(0=LEN(ReferenceData!$BI$320),"",ReferenceData!$BI$320),"")</f>
        <v>15.31882508</v>
      </c>
      <c r="BJ320">
        <f ca="1">IFERROR(IF(0=LEN(ReferenceData!$BJ$320),"",ReferenceData!$BJ$320),"")</f>
        <v>13.177819530000001</v>
      </c>
      <c r="BK320">
        <f ca="1">IFERROR(IF(0=LEN(ReferenceData!$BK$320),"",ReferenceData!$BK$320),"")</f>
        <v>13.416428789999999</v>
      </c>
      <c r="BL320">
        <f ca="1">IFERROR(IF(0=LEN(ReferenceData!$BL$320),"",ReferenceData!$BL$320),"")</f>
        <v>26.976781169999999</v>
      </c>
      <c r="BM320">
        <f ca="1">IFERROR(IF(0=LEN(ReferenceData!$BM$320),"",ReferenceData!$BM$320),"")</f>
        <v>31.680834170000001</v>
      </c>
    </row>
    <row r="321" spans="1:65" x14ac:dyDescent="0.25">
      <c r="A321" t="str">
        <f>IFERROR(IF(0=LEN(ReferenceData!$A$321),"",ReferenceData!$A$321),"")</f>
        <v xml:space="preserve">    Sanyang Motor Co Ltd</v>
      </c>
      <c r="B321" t="str">
        <f>IFERROR(IF(0=LEN(ReferenceData!$B$321),"",ReferenceData!$B$321),"")</f>
        <v>2206 TT Equity</v>
      </c>
      <c r="C321" t="str">
        <f>IFERROR(IF(0=LEN(ReferenceData!$C$321),"",ReferenceData!$C$321),"")</f>
        <v>RR474</v>
      </c>
      <c r="D321" t="str">
        <f>IFERROR(IF(0=LEN(ReferenceData!$D$321),"",ReferenceData!$D$321),"")</f>
        <v>EV_TO_T12M_EBITDA</v>
      </c>
      <c r="E321" t="str">
        <f>IFERROR(IF(0=LEN(ReferenceData!$E$321),"",ReferenceData!$E$321),"")</f>
        <v>Dynamic</v>
      </c>
      <c r="F321" t="str">
        <f ca="1">IFERROR(IF(0=LEN(ReferenceData!$F$321),"",ReferenceData!$F$321),"")</f>
        <v/>
      </c>
      <c r="G321" t="str">
        <f ca="1">IFERROR(IF(0=LEN(ReferenceData!$G$321),"",ReferenceData!$G$321),"")</f>
        <v/>
      </c>
      <c r="H321">
        <f ca="1">IFERROR(IF(0=LEN(ReferenceData!$H$321),"",ReferenceData!$H$321),"")</f>
        <v>22.124307829999999</v>
      </c>
      <c r="I321">
        <f ca="1">IFERROR(IF(0=LEN(ReferenceData!$I$321),"",ReferenceData!$I$321),"")</f>
        <v>21.86521552</v>
      </c>
      <c r="J321">
        <f ca="1">IFERROR(IF(0=LEN(ReferenceData!$J$321),"",ReferenceData!$J$321),"")</f>
        <v>19.16571845</v>
      </c>
      <c r="K321">
        <f ca="1">IFERROR(IF(0=LEN(ReferenceData!$K$321),"",ReferenceData!$K$321),"")</f>
        <v>16.088143939999998</v>
      </c>
      <c r="L321">
        <f ca="1">IFERROR(IF(0=LEN(ReferenceData!$L$321),"",ReferenceData!$L$321),"")</f>
        <v>16.210909959999999</v>
      </c>
      <c r="M321">
        <f ca="1">IFERROR(IF(0=LEN(ReferenceData!$M$321),"",ReferenceData!$M$321),"")</f>
        <v>17.155190229999999</v>
      </c>
      <c r="N321">
        <f ca="1">IFERROR(IF(0=LEN(ReferenceData!$N$321),"",ReferenceData!$N$321),"")</f>
        <v>17.765844340000001</v>
      </c>
      <c r="O321">
        <f ca="1">IFERROR(IF(0=LEN(ReferenceData!$O$321),"",ReferenceData!$O$321),"")</f>
        <v>16.781636030000001</v>
      </c>
      <c r="P321">
        <f ca="1">IFERROR(IF(0=LEN(ReferenceData!$P$321),"",ReferenceData!$P$321),"")</f>
        <v>41.174010869999996</v>
      </c>
      <c r="Q321">
        <f ca="1">IFERROR(IF(0=LEN(ReferenceData!$Q$321),"",ReferenceData!$Q$321),"")</f>
        <v>38.13359045</v>
      </c>
      <c r="R321">
        <f ca="1">IFERROR(IF(0=LEN(ReferenceData!$R$321),"",ReferenceData!$R$321),"")</f>
        <v>51.378028489999998</v>
      </c>
      <c r="S321">
        <f ca="1">IFERROR(IF(0=LEN(ReferenceData!$S$321),"",ReferenceData!$S$321),"")</f>
        <v>49.125513230000003</v>
      </c>
      <c r="T321">
        <f ca="1">IFERROR(IF(0=LEN(ReferenceData!$T$321),"",ReferenceData!$T$321),"")</f>
        <v>37.267336749999998</v>
      </c>
      <c r="U321">
        <f ca="1">IFERROR(IF(0=LEN(ReferenceData!$U$321),"",ReferenceData!$U$321),"")</f>
        <v>51.905838729999999</v>
      </c>
      <c r="V321">
        <f ca="1">IFERROR(IF(0=LEN(ReferenceData!$V$321),"",ReferenceData!$V$321),"")</f>
        <v>77.511389399999999</v>
      </c>
      <c r="W321">
        <f ca="1">IFERROR(IF(0=LEN(ReferenceData!$W$321),"",ReferenceData!$W$321),"")</f>
        <v>139.6297605</v>
      </c>
      <c r="X321">
        <f ca="1">IFERROR(IF(0=LEN(ReferenceData!$X$321),"",ReferenceData!$X$321),"")</f>
        <v>348.38689829999998</v>
      </c>
      <c r="Y321">
        <f ca="1">IFERROR(IF(0=LEN(ReferenceData!$Y$321),"",ReferenceData!$Y$321),"")</f>
        <v>444.51934599999998</v>
      </c>
      <c r="Z321">
        <f ca="1">IFERROR(IF(0=LEN(ReferenceData!$Z$321),"",ReferenceData!$Z$321),"")</f>
        <v>1540.7565300000001</v>
      </c>
      <c r="AA321">
        <f ca="1">IFERROR(IF(0=LEN(ReferenceData!$AA$321),"",ReferenceData!$AA$321),"")</f>
        <v>169.825377</v>
      </c>
      <c r="AB321">
        <f ca="1">IFERROR(IF(0=LEN(ReferenceData!$AB$321),"",ReferenceData!$AB$321),"")</f>
        <v>69.784722209999998</v>
      </c>
      <c r="AC321">
        <f ca="1">IFERROR(IF(0=LEN(ReferenceData!$AC$321),"",ReferenceData!$AC$321),"")</f>
        <v>32.61641504</v>
      </c>
      <c r="AD321">
        <f ca="1">IFERROR(IF(0=LEN(ReferenceData!$AD$321),"",ReferenceData!$AD$321),"")</f>
        <v>23.658270510000001</v>
      </c>
      <c r="AE321">
        <f ca="1">IFERROR(IF(0=LEN(ReferenceData!$AE$321),"",ReferenceData!$AE$321),"")</f>
        <v>16.295608770000001</v>
      </c>
      <c r="AF321">
        <f ca="1">IFERROR(IF(0=LEN(ReferenceData!$AF$321),"",ReferenceData!$AF$321),"")</f>
        <v>16.529384029999999</v>
      </c>
      <c r="AG321">
        <f ca="1">IFERROR(IF(0=LEN(ReferenceData!$AG$321),"",ReferenceData!$AG$321),"")</f>
        <v>13.095198</v>
      </c>
      <c r="AH321">
        <f ca="1">IFERROR(IF(0=LEN(ReferenceData!$AH$321),"",ReferenceData!$AH$321),"")</f>
        <v>10.87949747</v>
      </c>
      <c r="AI321">
        <f ca="1">IFERROR(IF(0=LEN(ReferenceData!$AI$321),"",ReferenceData!$AI$321),"")</f>
        <v>8.1426404649999995</v>
      </c>
      <c r="AJ321">
        <f ca="1">IFERROR(IF(0=LEN(ReferenceData!$AJ$321),"",ReferenceData!$AJ$321),"")</f>
        <v>7.9152964309999998</v>
      </c>
      <c r="AK321">
        <f ca="1">IFERROR(IF(0=LEN(ReferenceData!$AK$321),"",ReferenceData!$AK$321),"")</f>
        <v>8.4568243449999994</v>
      </c>
      <c r="AL321">
        <f ca="1">IFERROR(IF(0=LEN(ReferenceData!$AL$321),"",ReferenceData!$AL$321),"")</f>
        <v>9.1792371589999995</v>
      </c>
      <c r="AM321">
        <f ca="1">IFERROR(IF(0=LEN(ReferenceData!$AM$321),"",ReferenceData!$AM$321),"")</f>
        <v>10.801300619999999</v>
      </c>
      <c r="AN321">
        <f ca="1">IFERROR(IF(0=LEN(ReferenceData!$AN$321),"",ReferenceData!$AN$321),"")</f>
        <v>8.442422487</v>
      </c>
      <c r="AO321">
        <f ca="1">IFERROR(IF(0=LEN(ReferenceData!$AO$321),"",ReferenceData!$AO$321),"")</f>
        <v>7.183959593</v>
      </c>
      <c r="AP321">
        <f ca="1">IFERROR(IF(0=LEN(ReferenceData!$AP$321),"",ReferenceData!$AP$321),"")</f>
        <v>7.0029783209999996</v>
      </c>
      <c r="AQ321">
        <f ca="1">IFERROR(IF(0=LEN(ReferenceData!$AQ$321),"",ReferenceData!$AQ$321),"")</f>
        <v>11.275031780000001</v>
      </c>
      <c r="AR321">
        <f ca="1">IFERROR(IF(0=LEN(ReferenceData!$AR$321),"",ReferenceData!$AR$321),"")</f>
        <v>13.93191683</v>
      </c>
      <c r="AS321">
        <f ca="1">IFERROR(IF(0=LEN(ReferenceData!$AS$321),"",ReferenceData!$AS$321),"")</f>
        <v>33.441012790000002</v>
      </c>
      <c r="AT321">
        <f ca="1">IFERROR(IF(0=LEN(ReferenceData!$AT$321),"",ReferenceData!$AT$321),"")</f>
        <v>14.382505399999999</v>
      </c>
      <c r="AU321">
        <f ca="1">IFERROR(IF(0=LEN(ReferenceData!$AU$321),"",ReferenceData!$AU$321),"")</f>
        <v>8.7572530059999991</v>
      </c>
      <c r="AV321" t="str">
        <f ca="1">IFERROR(IF(0=LEN(ReferenceData!$AV$321),"",ReferenceData!$AV$321),"")</f>
        <v/>
      </c>
      <c r="AW321" t="str">
        <f ca="1">IFERROR(IF(0=LEN(ReferenceData!$AW$321),"",ReferenceData!$AW$321),"")</f>
        <v/>
      </c>
      <c r="AX321" t="str">
        <f ca="1">IFERROR(IF(0=LEN(ReferenceData!$AX$321),"",ReferenceData!$AX$321),"")</f>
        <v/>
      </c>
      <c r="AY321" t="str">
        <f ca="1">IFERROR(IF(0=LEN(ReferenceData!$AY$321),"",ReferenceData!$AY$321),"")</f>
        <v/>
      </c>
      <c r="AZ321" t="str">
        <f ca="1">IFERROR(IF(0=LEN(ReferenceData!$AZ$321),"",ReferenceData!$AZ$321),"")</f>
        <v/>
      </c>
      <c r="BA321" t="str">
        <f ca="1">IFERROR(IF(0=LEN(ReferenceData!$BA$321),"",ReferenceData!$BA$321),"")</f>
        <v/>
      </c>
      <c r="BB321" t="str">
        <f ca="1">IFERROR(IF(0=LEN(ReferenceData!$BB$321),"",ReferenceData!$BB$321),"")</f>
        <v/>
      </c>
      <c r="BC321" t="str">
        <f ca="1">IFERROR(IF(0=LEN(ReferenceData!$BC$321),"",ReferenceData!$BC$321),"")</f>
        <v/>
      </c>
      <c r="BD321" t="str">
        <f ca="1">IFERROR(IF(0=LEN(ReferenceData!$BD$321),"",ReferenceData!$BD$321),"")</f>
        <v/>
      </c>
      <c r="BE321" t="str">
        <f ca="1">IFERROR(IF(0=LEN(ReferenceData!$BE$321),"",ReferenceData!$BE$321),"")</f>
        <v/>
      </c>
      <c r="BF321" t="str">
        <f ca="1">IFERROR(IF(0=LEN(ReferenceData!$BF$321),"",ReferenceData!$BF$321),"")</f>
        <v/>
      </c>
      <c r="BG321" t="str">
        <f ca="1">IFERROR(IF(0=LEN(ReferenceData!$BG$321),"",ReferenceData!$BG$321),"")</f>
        <v/>
      </c>
      <c r="BH321" t="str">
        <f ca="1">IFERROR(IF(0=LEN(ReferenceData!$BH$321),"",ReferenceData!$BH$321),"")</f>
        <v/>
      </c>
      <c r="BI321" t="str">
        <f ca="1">IFERROR(IF(0=LEN(ReferenceData!$BI$321),"",ReferenceData!$BI$321),"")</f>
        <v/>
      </c>
      <c r="BJ321" t="str">
        <f ca="1">IFERROR(IF(0=LEN(ReferenceData!$BJ$321),"",ReferenceData!$BJ$321),"")</f>
        <v/>
      </c>
      <c r="BK321" t="str">
        <f ca="1">IFERROR(IF(0=LEN(ReferenceData!$BK$321),"",ReferenceData!$BK$321),"")</f>
        <v/>
      </c>
      <c r="BL321" t="str">
        <f ca="1">IFERROR(IF(0=LEN(ReferenceData!$BL$321),"",ReferenceData!$BL$321),"")</f>
        <v/>
      </c>
      <c r="BM321" t="str">
        <f ca="1">IFERROR(IF(0=LEN(ReferenceData!$BM$321),"",ReferenceData!$BM$321),"")</f>
        <v/>
      </c>
    </row>
    <row r="322" spans="1:65" x14ac:dyDescent="0.25">
      <c r="A322" t="str">
        <f>IFERROR(IF(0=LEN(ReferenceData!$A$322),"",ReferenceData!$A$322),"")</f>
        <v xml:space="preserve">    Sollers PJSC</v>
      </c>
      <c r="B322" t="str">
        <f>IFERROR(IF(0=LEN(ReferenceData!$B$322),"",ReferenceData!$B$322),"")</f>
        <v>SVAV RM Equity</v>
      </c>
      <c r="C322" t="str">
        <f>IFERROR(IF(0=LEN(ReferenceData!$C$322),"",ReferenceData!$C$322),"")</f>
        <v>RR474</v>
      </c>
      <c r="D322" t="str">
        <f>IFERROR(IF(0=LEN(ReferenceData!$D$322),"",ReferenceData!$D$322),"")</f>
        <v>EV_TO_T12M_EBITDA</v>
      </c>
      <c r="E322" t="str">
        <f>IFERROR(IF(0=LEN(ReferenceData!$E$322),"",ReferenceData!$E$322),"")</f>
        <v>Dynamic</v>
      </c>
      <c r="F322" t="str">
        <f ca="1">IFERROR(IF(0=LEN(ReferenceData!$F$322),"",ReferenceData!$F$322),"")</f>
        <v/>
      </c>
      <c r="G322" t="str">
        <f ca="1">IFERROR(IF(0=LEN(ReferenceData!$G$322),"",ReferenceData!$G$322),"")</f>
        <v/>
      </c>
      <c r="H322" t="str">
        <f ca="1">IFERROR(IF(0=LEN(ReferenceData!$H$322),"",ReferenceData!$H$322),"")</f>
        <v/>
      </c>
      <c r="I322" t="str">
        <f ca="1">IFERROR(IF(0=LEN(ReferenceData!$I$322),"",ReferenceData!$I$322),"")</f>
        <v/>
      </c>
      <c r="J322" t="str">
        <f ca="1">IFERROR(IF(0=LEN(ReferenceData!$J$322),"",ReferenceData!$J$322),"")</f>
        <v/>
      </c>
      <c r="K322" t="str">
        <f ca="1">IFERROR(IF(0=LEN(ReferenceData!$K$322),"",ReferenceData!$K$322),"")</f>
        <v/>
      </c>
      <c r="L322" t="str">
        <f ca="1">IFERROR(IF(0=LEN(ReferenceData!$L$322),"",ReferenceData!$L$322),"")</f>
        <v/>
      </c>
      <c r="M322" t="str">
        <f ca="1">IFERROR(IF(0=LEN(ReferenceData!$M$322),"",ReferenceData!$M$322),"")</f>
        <v/>
      </c>
      <c r="N322" t="str">
        <f ca="1">IFERROR(IF(0=LEN(ReferenceData!$N$322),"",ReferenceData!$N$322),"")</f>
        <v/>
      </c>
      <c r="O322" t="str">
        <f ca="1">IFERROR(IF(0=LEN(ReferenceData!$O$322),"",ReferenceData!$O$322),"")</f>
        <v/>
      </c>
      <c r="P322" t="str">
        <f ca="1">IFERROR(IF(0=LEN(ReferenceData!$P$322),"",ReferenceData!$P$322),"")</f>
        <v/>
      </c>
      <c r="Q322" t="str">
        <f ca="1">IFERROR(IF(0=LEN(ReferenceData!$Q$322),"",ReferenceData!$Q$322),"")</f>
        <v/>
      </c>
      <c r="R322" t="str">
        <f ca="1">IFERROR(IF(0=LEN(ReferenceData!$R$322),"",ReferenceData!$R$322),"")</f>
        <v/>
      </c>
      <c r="S322" t="str">
        <f ca="1">IFERROR(IF(0=LEN(ReferenceData!$S$322),"",ReferenceData!$S$322),"")</f>
        <v/>
      </c>
      <c r="T322" t="str">
        <f ca="1">IFERROR(IF(0=LEN(ReferenceData!$T$322),"",ReferenceData!$T$322),"")</f>
        <v/>
      </c>
      <c r="U322" t="str">
        <f ca="1">IFERROR(IF(0=LEN(ReferenceData!$U$322),"",ReferenceData!$U$322),"")</f>
        <v/>
      </c>
      <c r="V322" t="str">
        <f ca="1">IFERROR(IF(0=LEN(ReferenceData!$V$322),"",ReferenceData!$V$322),"")</f>
        <v/>
      </c>
      <c r="W322" t="str">
        <f ca="1">IFERROR(IF(0=LEN(ReferenceData!$W$322),"",ReferenceData!$W$322),"")</f>
        <v/>
      </c>
      <c r="X322" t="str">
        <f ca="1">IFERROR(IF(0=LEN(ReferenceData!$X$322),"",ReferenceData!$X$322),"")</f>
        <v/>
      </c>
      <c r="Y322" t="str">
        <f ca="1">IFERROR(IF(0=LEN(ReferenceData!$Y$322),"",ReferenceData!$Y$322),"")</f>
        <v/>
      </c>
      <c r="Z322" t="str">
        <f ca="1">IFERROR(IF(0=LEN(ReferenceData!$Z$322),"",ReferenceData!$Z$322),"")</f>
        <v/>
      </c>
      <c r="AA322" t="str">
        <f ca="1">IFERROR(IF(0=LEN(ReferenceData!$AA$322),"",ReferenceData!$AA$322),"")</f>
        <v/>
      </c>
      <c r="AB322" t="str">
        <f ca="1">IFERROR(IF(0=LEN(ReferenceData!$AB$322),"",ReferenceData!$AB$322),"")</f>
        <v/>
      </c>
      <c r="AC322" t="str">
        <f ca="1">IFERROR(IF(0=LEN(ReferenceData!$AC$322),"",ReferenceData!$AC$322),"")</f>
        <v/>
      </c>
      <c r="AD322" t="str">
        <f ca="1">IFERROR(IF(0=LEN(ReferenceData!$AD$322),"",ReferenceData!$AD$322),"")</f>
        <v/>
      </c>
      <c r="AE322" t="str">
        <f ca="1">IFERROR(IF(0=LEN(ReferenceData!$AE$322),"",ReferenceData!$AE$322),"")</f>
        <v/>
      </c>
      <c r="AF322" t="str">
        <f ca="1">IFERROR(IF(0=LEN(ReferenceData!$AF$322),"",ReferenceData!$AF$322),"")</f>
        <v/>
      </c>
      <c r="AG322" t="str">
        <f ca="1">IFERROR(IF(0=LEN(ReferenceData!$AG$322),"",ReferenceData!$AG$322),"")</f>
        <v/>
      </c>
      <c r="AH322" t="str">
        <f ca="1">IFERROR(IF(0=LEN(ReferenceData!$AH$322),"",ReferenceData!$AH$322),"")</f>
        <v/>
      </c>
      <c r="AI322" t="str">
        <f ca="1">IFERROR(IF(0=LEN(ReferenceData!$AI$322),"",ReferenceData!$AI$322),"")</f>
        <v/>
      </c>
      <c r="AJ322" t="str">
        <f ca="1">IFERROR(IF(0=LEN(ReferenceData!$AJ$322),"",ReferenceData!$AJ$322),"")</f>
        <v/>
      </c>
      <c r="AK322" t="str">
        <f ca="1">IFERROR(IF(0=LEN(ReferenceData!$AK$322),"",ReferenceData!$AK$322),"")</f>
        <v/>
      </c>
      <c r="AL322" t="str">
        <f ca="1">IFERROR(IF(0=LEN(ReferenceData!$AL$322),"",ReferenceData!$AL$322),"")</f>
        <v/>
      </c>
      <c r="AM322" t="str">
        <f ca="1">IFERROR(IF(0=LEN(ReferenceData!$AM$322),"",ReferenceData!$AM$322),"")</f>
        <v/>
      </c>
      <c r="AN322" t="str">
        <f ca="1">IFERROR(IF(0=LEN(ReferenceData!$AN$322),"",ReferenceData!$AN$322),"")</f>
        <v/>
      </c>
      <c r="AO322" t="str">
        <f ca="1">IFERROR(IF(0=LEN(ReferenceData!$AO$322),"",ReferenceData!$AO$322),"")</f>
        <v/>
      </c>
      <c r="AP322" t="str">
        <f ca="1">IFERROR(IF(0=LEN(ReferenceData!$AP$322),"",ReferenceData!$AP$322),"")</f>
        <v/>
      </c>
      <c r="AQ322" t="str">
        <f ca="1">IFERROR(IF(0=LEN(ReferenceData!$AQ$322),"",ReferenceData!$AQ$322),"")</f>
        <v/>
      </c>
      <c r="AR322" t="str">
        <f ca="1">IFERROR(IF(0=LEN(ReferenceData!$AR$322),"",ReferenceData!$AR$322),"")</f>
        <v/>
      </c>
      <c r="AS322" t="str">
        <f ca="1">IFERROR(IF(0=LEN(ReferenceData!$AS$322),"",ReferenceData!$AS$322),"")</f>
        <v/>
      </c>
      <c r="AT322" t="str">
        <f ca="1">IFERROR(IF(0=LEN(ReferenceData!$AT$322),"",ReferenceData!$AT$322),"")</f>
        <v/>
      </c>
      <c r="AU322" t="str">
        <f ca="1">IFERROR(IF(0=LEN(ReferenceData!$AU$322),"",ReferenceData!$AU$322),"")</f>
        <v/>
      </c>
      <c r="AV322" t="str">
        <f ca="1">IFERROR(IF(0=LEN(ReferenceData!$AV$322),"",ReferenceData!$AV$322),"")</f>
        <v/>
      </c>
      <c r="AW322" t="str">
        <f ca="1">IFERROR(IF(0=LEN(ReferenceData!$AW$322),"",ReferenceData!$AW$322),"")</f>
        <v/>
      </c>
      <c r="AX322" t="str">
        <f ca="1">IFERROR(IF(0=LEN(ReferenceData!$AX$322),"",ReferenceData!$AX$322),"")</f>
        <v/>
      </c>
      <c r="AY322" t="str">
        <f ca="1">IFERROR(IF(0=LEN(ReferenceData!$AY$322),"",ReferenceData!$AY$322),"")</f>
        <v/>
      </c>
      <c r="AZ322" t="str">
        <f ca="1">IFERROR(IF(0=LEN(ReferenceData!$AZ$322),"",ReferenceData!$AZ$322),"")</f>
        <v/>
      </c>
      <c r="BA322" t="str">
        <f ca="1">IFERROR(IF(0=LEN(ReferenceData!$BA$322),"",ReferenceData!$BA$322),"")</f>
        <v/>
      </c>
      <c r="BB322" t="str">
        <f ca="1">IFERROR(IF(0=LEN(ReferenceData!$BB$322),"",ReferenceData!$BB$322),"")</f>
        <v/>
      </c>
      <c r="BC322" t="str">
        <f ca="1">IFERROR(IF(0=LEN(ReferenceData!$BC$322),"",ReferenceData!$BC$322),"")</f>
        <v/>
      </c>
      <c r="BD322" t="str">
        <f ca="1">IFERROR(IF(0=LEN(ReferenceData!$BD$322),"",ReferenceData!$BD$322),"")</f>
        <v/>
      </c>
      <c r="BE322" t="str">
        <f ca="1">IFERROR(IF(0=LEN(ReferenceData!$BE$322),"",ReferenceData!$BE$322),"")</f>
        <v/>
      </c>
      <c r="BF322" t="str">
        <f ca="1">IFERROR(IF(0=LEN(ReferenceData!$BF$322),"",ReferenceData!$BF$322),"")</f>
        <v/>
      </c>
      <c r="BG322" t="str">
        <f ca="1">IFERROR(IF(0=LEN(ReferenceData!$BG$322),"",ReferenceData!$BG$322),"")</f>
        <v/>
      </c>
      <c r="BH322" t="str">
        <f ca="1">IFERROR(IF(0=LEN(ReferenceData!$BH$322),"",ReferenceData!$BH$322),"")</f>
        <v/>
      </c>
      <c r="BI322" t="str">
        <f ca="1">IFERROR(IF(0=LEN(ReferenceData!$BI$322),"",ReferenceData!$BI$322),"")</f>
        <v/>
      </c>
      <c r="BJ322" t="str">
        <f ca="1">IFERROR(IF(0=LEN(ReferenceData!$BJ$322),"",ReferenceData!$BJ$322),"")</f>
        <v/>
      </c>
      <c r="BK322" t="str">
        <f ca="1">IFERROR(IF(0=LEN(ReferenceData!$BK$322),"",ReferenceData!$BK$322),"")</f>
        <v/>
      </c>
      <c r="BL322" t="str">
        <f ca="1">IFERROR(IF(0=LEN(ReferenceData!$BL$322),"",ReferenceData!$BL$322),"")</f>
        <v/>
      </c>
      <c r="BM322" t="str">
        <f ca="1">IFERROR(IF(0=LEN(ReferenceData!$BM$322),"",ReferenceData!$BM$322),"")</f>
        <v/>
      </c>
    </row>
    <row r="323" spans="1:65" x14ac:dyDescent="0.25">
      <c r="A323" t="str">
        <f>IFERROR(IF(0=LEN(ReferenceData!$A$323),"",ReferenceData!$A$323),"")</f>
        <v xml:space="preserve">    Ssangyong Motor Co</v>
      </c>
      <c r="B323" t="str">
        <f>IFERROR(IF(0=LEN(ReferenceData!$B$323),"",ReferenceData!$B$323),"")</f>
        <v>003620 KS Equity</v>
      </c>
      <c r="C323" t="str">
        <f>IFERROR(IF(0=LEN(ReferenceData!$C$323),"",ReferenceData!$C$323),"")</f>
        <v>RR474</v>
      </c>
      <c r="D323" t="str">
        <f>IFERROR(IF(0=LEN(ReferenceData!$D$323),"",ReferenceData!$D$323),"")</f>
        <v>EV_TO_T12M_EBITDA</v>
      </c>
      <c r="E323" t="str">
        <f>IFERROR(IF(0=LEN(ReferenceData!$E$323),"",ReferenceData!$E$323),"")</f>
        <v>Dynamic</v>
      </c>
      <c r="F323" t="str">
        <f ca="1">IFERROR(IF(0=LEN(ReferenceData!$F$323),"",ReferenceData!$F$323),"")</f>
        <v/>
      </c>
      <c r="G323" t="str">
        <f ca="1">IFERROR(IF(0=LEN(ReferenceData!$G$323),"",ReferenceData!$G$323),"")</f>
        <v/>
      </c>
      <c r="H323">
        <f ca="1">IFERROR(IF(0=LEN(ReferenceData!$H$323),"",ReferenceData!$H$323),"")</f>
        <v>5.6739168930000003</v>
      </c>
      <c r="I323">
        <f ca="1">IFERROR(IF(0=LEN(ReferenceData!$I$323),"",ReferenceData!$I$323),"")</f>
        <v>6.2341824819999996</v>
      </c>
      <c r="J323">
        <f ca="1">IFERROR(IF(0=LEN(ReferenceData!$J$323),"",ReferenceData!$J$323),"")</f>
        <v>6.3315712120000001</v>
      </c>
      <c r="K323">
        <f ca="1">IFERROR(IF(0=LEN(ReferenceData!$K$323),"",ReferenceData!$K$323),"")</f>
        <v>6.3851440019999997</v>
      </c>
      <c r="L323">
        <f ca="1">IFERROR(IF(0=LEN(ReferenceData!$L$323),"",ReferenceData!$L$323),"")</f>
        <v>6.2252812689999999</v>
      </c>
      <c r="M323">
        <f ca="1">IFERROR(IF(0=LEN(ReferenceData!$M$323),"",ReferenceData!$M$323),"")</f>
        <v>7.0517501889999998</v>
      </c>
      <c r="N323">
        <f ca="1">IFERROR(IF(0=LEN(ReferenceData!$N$323),"",ReferenceData!$N$323),"")</f>
        <v>7.0359173310000003</v>
      </c>
      <c r="O323">
        <f ca="1">IFERROR(IF(0=LEN(ReferenceData!$O$323),"",ReferenceData!$O$323),"")</f>
        <v>5.6499949919999999</v>
      </c>
      <c r="P323">
        <f ca="1">IFERROR(IF(0=LEN(ReferenceData!$P$323),"",ReferenceData!$P$323),"")</f>
        <v>5.9523859520000002</v>
      </c>
      <c r="Q323">
        <f ca="1">IFERROR(IF(0=LEN(ReferenceData!$Q$323),"",ReferenceData!$Q$323),"")</f>
        <v>4.8818221959999999</v>
      </c>
      <c r="R323">
        <f ca="1">IFERROR(IF(0=LEN(ReferenceData!$R$323),"",ReferenceData!$R$323),"")</f>
        <v>7.9183863700000003</v>
      </c>
      <c r="S323">
        <f ca="1">IFERROR(IF(0=LEN(ReferenceData!$S$323),"",ReferenceData!$S$323),"")</f>
        <v>9.2148048300000003</v>
      </c>
      <c r="T323">
        <f ca="1">IFERROR(IF(0=LEN(ReferenceData!$T$323),"",ReferenceData!$T$323),"")</f>
        <v>28.056533980000001</v>
      </c>
      <c r="U323">
        <f ca="1">IFERROR(IF(0=LEN(ReferenceData!$U$323),"",ReferenceData!$U$323),"")</f>
        <v>143.0687657</v>
      </c>
      <c r="V323">
        <f ca="1">IFERROR(IF(0=LEN(ReferenceData!$V$323),"",ReferenceData!$V$323),"")</f>
        <v>455.0435895</v>
      </c>
      <c r="W323">
        <f ca="1">IFERROR(IF(0=LEN(ReferenceData!$W$323),"",ReferenceData!$W$323),"")</f>
        <v>42.389877660000003</v>
      </c>
      <c r="X323">
        <f ca="1">IFERROR(IF(0=LEN(ReferenceData!$X$323),"",ReferenceData!$X$323),"")</f>
        <v>12.107324070000001</v>
      </c>
      <c r="Y323">
        <f ca="1">IFERROR(IF(0=LEN(ReferenceData!$Y$323),"",ReferenceData!$Y$323),"")</f>
        <v>9.6075631890000004</v>
      </c>
      <c r="Z323">
        <f ca="1">IFERROR(IF(0=LEN(ReferenceData!$Z$323),"",ReferenceData!$Z$323),"")</f>
        <v>6.948608203</v>
      </c>
      <c r="AA323">
        <f ca="1">IFERROR(IF(0=LEN(ReferenceData!$AA$323),"",ReferenceData!$AA$323),"")</f>
        <v>6.0723349449999997</v>
      </c>
      <c r="AB323">
        <f ca="1">IFERROR(IF(0=LEN(ReferenceData!$AB$323),"",ReferenceData!$AB$323),"")</f>
        <v>10.58351337</v>
      </c>
      <c r="AC323">
        <f ca="1">IFERROR(IF(0=LEN(ReferenceData!$AC$323),"",ReferenceData!$AC$323),"")</f>
        <v>10.949387249999999</v>
      </c>
      <c r="AD323">
        <f ca="1">IFERROR(IF(0=LEN(ReferenceData!$AD$323),"",ReferenceData!$AD$323),"")</f>
        <v>10.3101498</v>
      </c>
      <c r="AE323">
        <f ca="1">IFERROR(IF(0=LEN(ReferenceData!$AE$323),"",ReferenceData!$AE$323),"")</f>
        <v>14.063736949999999</v>
      </c>
      <c r="AF323" t="str">
        <f ca="1">IFERROR(IF(0=LEN(ReferenceData!$AF$323),"",ReferenceData!$AF$323),"")</f>
        <v/>
      </c>
      <c r="AG323" t="str">
        <f ca="1">IFERROR(IF(0=LEN(ReferenceData!$AG$323),"",ReferenceData!$AG$323),"")</f>
        <v/>
      </c>
      <c r="AH323" t="str">
        <f ca="1">IFERROR(IF(0=LEN(ReferenceData!$AH$323),"",ReferenceData!$AH$323),"")</f>
        <v/>
      </c>
      <c r="AI323" t="str">
        <f ca="1">IFERROR(IF(0=LEN(ReferenceData!$AI$323),"",ReferenceData!$AI$323),"")</f>
        <v/>
      </c>
      <c r="AJ323" t="str">
        <f ca="1">IFERROR(IF(0=LEN(ReferenceData!$AJ$323),"",ReferenceData!$AJ$323),"")</f>
        <v/>
      </c>
      <c r="AK323" t="str">
        <f ca="1">IFERROR(IF(0=LEN(ReferenceData!$AK$323),"",ReferenceData!$AK$323),"")</f>
        <v/>
      </c>
      <c r="AL323" t="str">
        <f ca="1">IFERROR(IF(0=LEN(ReferenceData!$AL$323),"",ReferenceData!$AL$323),"")</f>
        <v/>
      </c>
      <c r="AM323" t="str">
        <f ca="1">IFERROR(IF(0=LEN(ReferenceData!$AM$323),"",ReferenceData!$AM$323),"")</f>
        <v/>
      </c>
      <c r="AN323" t="str">
        <f ca="1">IFERROR(IF(0=LEN(ReferenceData!$AN$323),"",ReferenceData!$AN$323),"")</f>
        <v/>
      </c>
      <c r="AO323" t="str">
        <f ca="1">IFERROR(IF(0=LEN(ReferenceData!$AO$323),"",ReferenceData!$AO$323),"")</f>
        <v/>
      </c>
      <c r="AP323" t="str">
        <f ca="1">IFERROR(IF(0=LEN(ReferenceData!$AP$323),"",ReferenceData!$AP$323),"")</f>
        <v/>
      </c>
      <c r="AQ323" t="str">
        <f ca="1">IFERROR(IF(0=LEN(ReferenceData!$AQ$323),"",ReferenceData!$AQ$323),"")</f>
        <v/>
      </c>
      <c r="AR323" t="str">
        <f ca="1">IFERROR(IF(0=LEN(ReferenceData!$AR$323),"",ReferenceData!$AR$323),"")</f>
        <v/>
      </c>
      <c r="AS323" t="str">
        <f ca="1">IFERROR(IF(0=LEN(ReferenceData!$AS$323),"",ReferenceData!$AS$323),"")</f>
        <v/>
      </c>
      <c r="AT323" t="str">
        <f ca="1">IFERROR(IF(0=LEN(ReferenceData!$AT$323),"",ReferenceData!$AT$323),"")</f>
        <v/>
      </c>
      <c r="AU323" t="str">
        <f ca="1">IFERROR(IF(0=LEN(ReferenceData!$AU$323),"",ReferenceData!$AU$323),"")</f>
        <v/>
      </c>
      <c r="AV323" t="str">
        <f ca="1">IFERROR(IF(0=LEN(ReferenceData!$AV$323),"",ReferenceData!$AV$323),"")</f>
        <v/>
      </c>
      <c r="AW323" t="str">
        <f ca="1">IFERROR(IF(0=LEN(ReferenceData!$AW$323),"",ReferenceData!$AW$323),"")</f>
        <v/>
      </c>
      <c r="AX323" t="str">
        <f ca="1">IFERROR(IF(0=LEN(ReferenceData!$AX$323),"",ReferenceData!$AX$323),"")</f>
        <v/>
      </c>
      <c r="AY323" t="str">
        <f ca="1">IFERROR(IF(0=LEN(ReferenceData!$AY$323),"",ReferenceData!$AY$323),"")</f>
        <v/>
      </c>
      <c r="AZ323" t="str">
        <f ca="1">IFERROR(IF(0=LEN(ReferenceData!$AZ$323),"",ReferenceData!$AZ$323),"")</f>
        <v/>
      </c>
      <c r="BA323" t="str">
        <f ca="1">IFERROR(IF(0=LEN(ReferenceData!$BA$323),"",ReferenceData!$BA$323),"")</f>
        <v/>
      </c>
      <c r="BB323" t="str">
        <f ca="1">IFERROR(IF(0=LEN(ReferenceData!$BB$323),"",ReferenceData!$BB$323),"")</f>
        <v/>
      </c>
      <c r="BC323" t="str">
        <f ca="1">IFERROR(IF(0=LEN(ReferenceData!$BC$323),"",ReferenceData!$BC$323),"")</f>
        <v/>
      </c>
      <c r="BD323" t="str">
        <f ca="1">IFERROR(IF(0=LEN(ReferenceData!$BD$323),"",ReferenceData!$BD$323),"")</f>
        <v/>
      </c>
      <c r="BE323" t="str">
        <f ca="1">IFERROR(IF(0=LEN(ReferenceData!$BE$323),"",ReferenceData!$BE$323),"")</f>
        <v/>
      </c>
      <c r="BF323" t="str">
        <f ca="1">IFERROR(IF(0=LEN(ReferenceData!$BF$323),"",ReferenceData!$BF$323),"")</f>
        <v/>
      </c>
      <c r="BG323" t="str">
        <f ca="1">IFERROR(IF(0=LEN(ReferenceData!$BG$323),"",ReferenceData!$BG$323),"")</f>
        <v/>
      </c>
      <c r="BH323" t="str">
        <f ca="1">IFERROR(IF(0=LEN(ReferenceData!$BH$323),"",ReferenceData!$BH$323),"")</f>
        <v/>
      </c>
      <c r="BI323" t="str">
        <f ca="1">IFERROR(IF(0=LEN(ReferenceData!$BI$323),"",ReferenceData!$BI$323),"")</f>
        <v/>
      </c>
      <c r="BJ323" t="str">
        <f ca="1">IFERROR(IF(0=LEN(ReferenceData!$BJ$323),"",ReferenceData!$BJ$323),"")</f>
        <v/>
      </c>
      <c r="BK323" t="str">
        <f ca="1">IFERROR(IF(0=LEN(ReferenceData!$BK$323),"",ReferenceData!$BK$323),"")</f>
        <v/>
      </c>
      <c r="BL323" t="str">
        <f ca="1">IFERROR(IF(0=LEN(ReferenceData!$BL$323),"",ReferenceData!$BL$323),"")</f>
        <v/>
      </c>
      <c r="BM323" t="str">
        <f ca="1">IFERROR(IF(0=LEN(ReferenceData!$BM$323),"",ReferenceData!$BM$323),"")</f>
        <v/>
      </c>
    </row>
    <row r="324" spans="1:65" x14ac:dyDescent="0.25">
      <c r="A324" t="str">
        <f>IFERROR(IF(0=LEN(ReferenceData!$A$324),"",ReferenceData!$A$324),"")</f>
        <v xml:space="preserve">    Subaru Corp</v>
      </c>
      <c r="B324" t="str">
        <f>IFERROR(IF(0=LEN(ReferenceData!$B$324),"",ReferenceData!$B$324),"")</f>
        <v>7270 JP Equity</v>
      </c>
      <c r="C324" t="str">
        <f>IFERROR(IF(0=LEN(ReferenceData!$C$324),"",ReferenceData!$C$324),"")</f>
        <v>RR474</v>
      </c>
      <c r="D324" t="str">
        <f>IFERROR(IF(0=LEN(ReferenceData!$D$324),"",ReferenceData!$D$324),"")</f>
        <v>EV_TO_T12M_EBITDA</v>
      </c>
      <c r="E324" t="str">
        <f>IFERROR(IF(0=LEN(ReferenceData!$E$324),"",ReferenceData!$E$324),"")</f>
        <v>Dynamic</v>
      </c>
      <c r="F324" t="str">
        <f ca="1">IFERROR(IF(0=LEN(ReferenceData!$F$324),"",ReferenceData!$F$324),"")</f>
        <v/>
      </c>
      <c r="G324">
        <f ca="1">IFERROR(IF(0=LEN(ReferenceData!$G$324),"",ReferenceData!$G$324),"")</f>
        <v>2.995427303</v>
      </c>
      <c r="H324">
        <f ca="1">IFERROR(IF(0=LEN(ReferenceData!$H$324),"",ReferenceData!$H$324),"")</f>
        <v>5.4814854459999998</v>
      </c>
      <c r="I324">
        <f ca="1">IFERROR(IF(0=LEN(ReferenceData!$I$324),"",ReferenceData!$I$324),"")</f>
        <v>3.784258023</v>
      </c>
      <c r="J324">
        <f ca="1">IFERROR(IF(0=LEN(ReferenceData!$J$324),"",ReferenceData!$J$324),"")</f>
        <v>3.6660882419999998</v>
      </c>
      <c r="K324">
        <f ca="1">IFERROR(IF(0=LEN(ReferenceData!$K$324),"",ReferenceData!$K$324),"")</f>
        <v>3.6905232020000001</v>
      </c>
      <c r="L324">
        <f ca="1">IFERROR(IF(0=LEN(ReferenceData!$L$324),"",ReferenceData!$L$324),"")</f>
        <v>4.331747086</v>
      </c>
      <c r="M324">
        <f ca="1">IFERROR(IF(0=LEN(ReferenceData!$M$324),"",ReferenceData!$M$324),"")</f>
        <v>3.8928414949999999</v>
      </c>
      <c r="N324">
        <f ca="1">IFERROR(IF(0=LEN(ReferenceData!$N$324),"",ReferenceData!$N$324),"")</f>
        <v>4.6559057529999999</v>
      </c>
      <c r="O324">
        <f ca="1">IFERROR(IF(0=LEN(ReferenceData!$O$324),"",ReferenceData!$O$324),"")</f>
        <v>5.6253200530000003</v>
      </c>
      <c r="P324">
        <f ca="1">IFERROR(IF(0=LEN(ReferenceData!$P$324),"",ReferenceData!$P$324),"")</f>
        <v>3.6499681050000001</v>
      </c>
      <c r="Q324">
        <f ca="1">IFERROR(IF(0=LEN(ReferenceData!$Q$324),"",ReferenceData!$Q$324),"")</f>
        <v>3.2014226950000002</v>
      </c>
      <c r="R324">
        <f ca="1">IFERROR(IF(0=LEN(ReferenceData!$R$324),"",ReferenceData!$R$324),"")</f>
        <v>3.5626160680000001</v>
      </c>
      <c r="S324">
        <f ca="1">IFERROR(IF(0=LEN(ReferenceData!$S$324),"",ReferenceData!$S$324),"")</f>
        <v>5.162119186</v>
      </c>
      <c r="T324">
        <f ca="1">IFERROR(IF(0=LEN(ReferenceData!$T$324),"",ReferenceData!$T$324),"")</f>
        <v>4.503989861</v>
      </c>
      <c r="U324">
        <f ca="1">IFERROR(IF(0=LEN(ReferenceData!$U$324),"",ReferenceData!$U$324),"")</f>
        <v>5.410831033</v>
      </c>
      <c r="V324">
        <f ca="1">IFERROR(IF(0=LEN(ReferenceData!$V$324),"",ReferenceData!$V$324),"")</f>
        <v>5.3949080399999998</v>
      </c>
      <c r="W324">
        <f ca="1">IFERROR(IF(0=LEN(ReferenceData!$W$324),"",ReferenceData!$W$324),"")</f>
        <v>6.3468208720000003</v>
      </c>
      <c r="X324">
        <f ca="1">IFERROR(IF(0=LEN(ReferenceData!$X$324),"",ReferenceData!$X$324),"")</f>
        <v>5.7924310510000003</v>
      </c>
      <c r="Y324">
        <f ca="1">IFERROR(IF(0=LEN(ReferenceData!$Y$324),"",ReferenceData!$Y$324),"")</f>
        <v>4.8488203939999996</v>
      </c>
      <c r="Z324">
        <f ca="1">IFERROR(IF(0=LEN(ReferenceData!$Z$324),"",ReferenceData!$Z$324),"")</f>
        <v>4.8282242310000001</v>
      </c>
      <c r="AA324">
        <f ca="1">IFERROR(IF(0=LEN(ReferenceData!$AA$324),"",ReferenceData!$AA$324),"")</f>
        <v>6.1411082879999999</v>
      </c>
      <c r="AB324">
        <f ca="1">IFERROR(IF(0=LEN(ReferenceData!$AB$324),"",ReferenceData!$AB$324),"")</f>
        <v>6.7214732719999999</v>
      </c>
      <c r="AC324">
        <f ca="1">IFERROR(IF(0=LEN(ReferenceData!$AC$324),"",ReferenceData!$AC$324),"")</f>
        <v>7.6989881359999996</v>
      </c>
      <c r="AD324">
        <f ca="1">IFERROR(IF(0=LEN(ReferenceData!$AD$324),"",ReferenceData!$AD$324),"")</f>
        <v>6.0581969720000002</v>
      </c>
      <c r="AE324">
        <f ca="1">IFERROR(IF(0=LEN(ReferenceData!$AE$324),"",ReferenceData!$AE$324),"")</f>
        <v>5.6578002319999996</v>
      </c>
      <c r="AF324">
        <f ca="1">IFERROR(IF(0=LEN(ReferenceData!$AF$324),"",ReferenceData!$AF$324),"")</f>
        <v>3.941449237</v>
      </c>
      <c r="AG324">
        <f ca="1">IFERROR(IF(0=LEN(ReferenceData!$AG$324),"",ReferenceData!$AG$324),"")</f>
        <v>4.9466991919999996</v>
      </c>
      <c r="AH324">
        <f ca="1">IFERROR(IF(0=LEN(ReferenceData!$AH$324),"",ReferenceData!$AH$324),"")</f>
        <v>5.8262672809999998</v>
      </c>
      <c r="AI324">
        <f ca="1">IFERROR(IF(0=LEN(ReferenceData!$AI$324),"",ReferenceData!$AI$324),"")</f>
        <v>5.0088402189999996</v>
      </c>
      <c r="AJ324">
        <f ca="1">IFERROR(IF(0=LEN(ReferenceData!$AJ$324),"",ReferenceData!$AJ$324),"")</f>
        <v>4.5889735849999997</v>
      </c>
      <c r="AK324">
        <f ca="1">IFERROR(IF(0=LEN(ReferenceData!$AK$324),"",ReferenceData!$AK$324),"")</f>
        <v>4.5529747169999997</v>
      </c>
      <c r="AL324">
        <f ca="1">IFERROR(IF(0=LEN(ReferenceData!$AL$324),"",ReferenceData!$AL$324),"")</f>
        <v>3.7269702649999998</v>
      </c>
      <c r="AM324">
        <f ca="1">IFERROR(IF(0=LEN(ReferenceData!$AM$324),"",ReferenceData!$AM$324),"")</f>
        <v>4.2306048580000004</v>
      </c>
      <c r="AN324">
        <f ca="1">IFERROR(IF(0=LEN(ReferenceData!$AN$324),"",ReferenceData!$AN$324),"")</f>
        <v>3.515996382</v>
      </c>
      <c r="AO324">
        <f ca="1">IFERROR(IF(0=LEN(ReferenceData!$AO$324),"",ReferenceData!$AO$324),"")</f>
        <v>4.1109738079999998</v>
      </c>
      <c r="AP324">
        <f ca="1">IFERROR(IF(0=LEN(ReferenceData!$AP$324),"",ReferenceData!$AP$324),"")</f>
        <v>6.128542307</v>
      </c>
      <c r="AQ324">
        <f ca="1">IFERROR(IF(0=LEN(ReferenceData!$AQ$324),"",ReferenceData!$AQ$324),"")</f>
        <v>10.39350947</v>
      </c>
      <c r="AR324">
        <f ca="1">IFERROR(IF(0=LEN(ReferenceData!$AR$324),"",ReferenceData!$AR$324),"")</f>
        <v>14.227174550000001</v>
      </c>
      <c r="AS324">
        <f ca="1">IFERROR(IF(0=LEN(ReferenceData!$AS$324),"",ReferenceData!$AS$324),"")</f>
        <v>14.36142345</v>
      </c>
      <c r="AT324">
        <f ca="1">IFERROR(IF(0=LEN(ReferenceData!$AT$324),"",ReferenceData!$AT$324),"")</f>
        <v>8.0438362800000007</v>
      </c>
      <c r="AU324" t="str">
        <f ca="1">IFERROR(IF(0=LEN(ReferenceData!$AU$324),"",ReferenceData!$AU$324),"")</f>
        <v/>
      </c>
      <c r="AV324" t="str">
        <f ca="1">IFERROR(IF(0=LEN(ReferenceData!$AV$324),"",ReferenceData!$AV$324),"")</f>
        <v/>
      </c>
      <c r="AW324" t="str">
        <f ca="1">IFERROR(IF(0=LEN(ReferenceData!$AW$324),"",ReferenceData!$AW$324),"")</f>
        <v/>
      </c>
      <c r="AX324" t="str">
        <f ca="1">IFERROR(IF(0=LEN(ReferenceData!$AX$324),"",ReferenceData!$AX$324),"")</f>
        <v/>
      </c>
      <c r="AY324" t="str">
        <f ca="1">IFERROR(IF(0=LEN(ReferenceData!$AY$324),"",ReferenceData!$AY$324),"")</f>
        <v/>
      </c>
      <c r="AZ324" t="str">
        <f ca="1">IFERROR(IF(0=LEN(ReferenceData!$AZ$324),"",ReferenceData!$AZ$324),"")</f>
        <v/>
      </c>
      <c r="BA324" t="str">
        <f ca="1">IFERROR(IF(0=LEN(ReferenceData!$BA$324),"",ReferenceData!$BA$324),"")</f>
        <v/>
      </c>
      <c r="BB324" t="str">
        <f ca="1">IFERROR(IF(0=LEN(ReferenceData!$BB$324),"",ReferenceData!$BB$324),"")</f>
        <v/>
      </c>
      <c r="BC324" t="str">
        <f ca="1">IFERROR(IF(0=LEN(ReferenceData!$BC$324),"",ReferenceData!$BC$324),"")</f>
        <v/>
      </c>
      <c r="BD324" t="str">
        <f ca="1">IFERROR(IF(0=LEN(ReferenceData!$BD$324),"",ReferenceData!$BD$324),"")</f>
        <v/>
      </c>
      <c r="BE324" t="str">
        <f ca="1">IFERROR(IF(0=LEN(ReferenceData!$BE$324),"",ReferenceData!$BE$324),"")</f>
        <v/>
      </c>
      <c r="BF324" t="str">
        <f ca="1">IFERROR(IF(0=LEN(ReferenceData!$BF$324),"",ReferenceData!$BF$324),"")</f>
        <v/>
      </c>
      <c r="BG324" t="str">
        <f ca="1">IFERROR(IF(0=LEN(ReferenceData!$BG$324),"",ReferenceData!$BG$324),"")</f>
        <v/>
      </c>
      <c r="BH324" t="str">
        <f ca="1">IFERROR(IF(0=LEN(ReferenceData!$BH$324),"",ReferenceData!$BH$324),"")</f>
        <v/>
      </c>
      <c r="BI324" t="str">
        <f ca="1">IFERROR(IF(0=LEN(ReferenceData!$BI$324),"",ReferenceData!$BI$324),"")</f>
        <v/>
      </c>
      <c r="BJ324" t="str">
        <f ca="1">IFERROR(IF(0=LEN(ReferenceData!$BJ$324),"",ReferenceData!$BJ$324),"")</f>
        <v/>
      </c>
      <c r="BK324" t="str">
        <f ca="1">IFERROR(IF(0=LEN(ReferenceData!$BK$324),"",ReferenceData!$BK$324),"")</f>
        <v/>
      </c>
      <c r="BL324" t="str">
        <f ca="1">IFERROR(IF(0=LEN(ReferenceData!$BL$324),"",ReferenceData!$BL$324),"")</f>
        <v/>
      </c>
      <c r="BM324" t="str">
        <f ca="1">IFERROR(IF(0=LEN(ReferenceData!$BM$324),"",ReferenceData!$BM$324),"")</f>
        <v/>
      </c>
    </row>
    <row r="325" spans="1:65" x14ac:dyDescent="0.25">
      <c r="A325" t="str">
        <f>IFERROR(IF(0=LEN(ReferenceData!$A$325),"",ReferenceData!$A$325),"")</f>
        <v xml:space="preserve">    Suzuki Motor Corp</v>
      </c>
      <c r="B325" t="str">
        <f>IFERROR(IF(0=LEN(ReferenceData!$B$325),"",ReferenceData!$B$325),"")</f>
        <v>7269 JP Equity</v>
      </c>
      <c r="C325" t="str">
        <f>IFERROR(IF(0=LEN(ReferenceData!$C$325),"",ReferenceData!$C$325),"")</f>
        <v>RR474</v>
      </c>
      <c r="D325" t="str">
        <f>IFERROR(IF(0=LEN(ReferenceData!$D$325),"",ReferenceData!$D$325),"")</f>
        <v>EV_TO_T12M_EBITDA</v>
      </c>
      <c r="E325" t="str">
        <f>IFERROR(IF(0=LEN(ReferenceData!$E$325),"",ReferenceData!$E$325),"")</f>
        <v>Dynamic</v>
      </c>
      <c r="F325" t="str">
        <f ca="1">IFERROR(IF(0=LEN(ReferenceData!$F$325),"",ReferenceData!$F$325),"")</f>
        <v/>
      </c>
      <c r="G325">
        <f ca="1">IFERROR(IF(0=LEN(ReferenceData!$G$325),"",ReferenceData!$G$325),"")</f>
        <v>5.1101809349999998</v>
      </c>
      <c r="H325">
        <f ca="1">IFERROR(IF(0=LEN(ReferenceData!$H$325),"",ReferenceData!$H$325),"")</f>
        <v>5.4272641420000003</v>
      </c>
      <c r="I325">
        <f ca="1">IFERROR(IF(0=LEN(ReferenceData!$I$325),"",ReferenceData!$I$325),"")</f>
        <v>4.8714219410000004</v>
      </c>
      <c r="J325">
        <f ca="1">IFERROR(IF(0=LEN(ReferenceData!$J$325),"",ReferenceData!$J$325),"")</f>
        <v>4.7094830200000004</v>
      </c>
      <c r="K325">
        <f ca="1">IFERROR(IF(0=LEN(ReferenceData!$K$325),"",ReferenceData!$K$325),"")</f>
        <v>5.4111983199999996</v>
      </c>
      <c r="L325">
        <f ca="1">IFERROR(IF(0=LEN(ReferenceData!$L$325),"",ReferenceData!$L$325),"")</f>
        <v>5.075978804</v>
      </c>
      <c r="M325">
        <f ca="1">IFERROR(IF(0=LEN(ReferenceData!$M$325),"",ReferenceData!$M$325),"")</f>
        <v>4.9193177429999997</v>
      </c>
      <c r="N325">
        <f ca="1">IFERROR(IF(0=LEN(ReferenceData!$N$325),"",ReferenceData!$N$325),"")</f>
        <v>4.4784020509999998</v>
      </c>
      <c r="O325">
        <f ca="1">IFERROR(IF(0=LEN(ReferenceData!$O$325),"",ReferenceData!$O$325),"")</f>
        <v>4.5627133339999997</v>
      </c>
      <c r="P325">
        <f ca="1">IFERROR(IF(0=LEN(ReferenceData!$P$325),"",ReferenceData!$P$325),"")</f>
        <v>3.5245762100000002</v>
      </c>
      <c r="Q325">
        <f ca="1">IFERROR(IF(0=LEN(ReferenceData!$Q$325),"",ReferenceData!$Q$325),"")</f>
        <v>3.1036089589999998</v>
      </c>
      <c r="R325">
        <f ca="1">IFERROR(IF(0=LEN(ReferenceData!$R$325),"",ReferenceData!$R$325),"")</f>
        <v>3.6376015050000001</v>
      </c>
      <c r="S325">
        <f ca="1">IFERROR(IF(0=LEN(ReferenceData!$S$325),"",ReferenceData!$S$325),"")</f>
        <v>4.7676197189999998</v>
      </c>
      <c r="T325">
        <f ca="1">IFERROR(IF(0=LEN(ReferenceData!$T$325),"",ReferenceData!$T$325),"")</f>
        <v>5.1088670900000004</v>
      </c>
      <c r="U325">
        <f ca="1">IFERROR(IF(0=LEN(ReferenceData!$U$325),"",ReferenceData!$U$325),"")</f>
        <v>6.0286736330000004</v>
      </c>
      <c r="V325">
        <f ca="1">IFERROR(IF(0=LEN(ReferenceData!$V$325),"",ReferenceData!$V$325),"")</f>
        <v>5.3247190639999999</v>
      </c>
      <c r="W325">
        <f ca="1">IFERROR(IF(0=LEN(ReferenceData!$W$325),"",ReferenceData!$W$325),"")</f>
        <v>5.4744892849999998</v>
      </c>
      <c r="X325">
        <f ca="1">IFERROR(IF(0=LEN(ReferenceData!$X$325),"",ReferenceData!$X$325),"")</f>
        <v>5.3230845770000004</v>
      </c>
      <c r="Y325">
        <f ca="1">IFERROR(IF(0=LEN(ReferenceData!$Y$325),"",ReferenceData!$Y$325),"")</f>
        <v>4.5218211110000004</v>
      </c>
      <c r="Z325">
        <f ca="1">IFERROR(IF(0=LEN(ReferenceData!$Z$325),"",ReferenceData!$Z$325),"")</f>
        <v>3.8253840810000002</v>
      </c>
      <c r="AA325">
        <f ca="1">IFERROR(IF(0=LEN(ReferenceData!$AA$325),"",ReferenceData!$AA$325),"")</f>
        <v>4.3908240019999996</v>
      </c>
      <c r="AB325">
        <f ca="1">IFERROR(IF(0=LEN(ReferenceData!$AB$325),"",ReferenceData!$AB$325),"")</f>
        <v>3.719781936</v>
      </c>
      <c r="AC325">
        <f ca="1">IFERROR(IF(0=LEN(ReferenceData!$AC$325),"",ReferenceData!$AC$325),"")</f>
        <v>4.0473971329999996</v>
      </c>
      <c r="AD325">
        <f ca="1">IFERROR(IF(0=LEN(ReferenceData!$AD$325),"",ReferenceData!$AD$325),"")</f>
        <v>3.9343249029999998</v>
      </c>
      <c r="AE325">
        <f ca="1">IFERROR(IF(0=LEN(ReferenceData!$AE$325),"",ReferenceData!$AE$325),"")</f>
        <v>4.5505239499999997</v>
      </c>
      <c r="AF325">
        <f ca="1">IFERROR(IF(0=LEN(ReferenceData!$AF$325),"",ReferenceData!$AF$325),"")</f>
        <v>2.54681516</v>
      </c>
      <c r="AG325">
        <f ca="1">IFERROR(IF(0=LEN(ReferenceData!$AG$325),"",ReferenceData!$AG$325),"")</f>
        <v>2.6312928040000001</v>
      </c>
      <c r="AH325">
        <f ca="1">IFERROR(IF(0=LEN(ReferenceData!$AH$325),"",ReferenceData!$AH$325),"")</f>
        <v>3.8219452719999998</v>
      </c>
      <c r="AI325">
        <f ca="1">IFERROR(IF(0=LEN(ReferenceData!$AI$325),"",ReferenceData!$AI$325),"")</f>
        <v>3.0044699779999999</v>
      </c>
      <c r="AJ325">
        <f ca="1">IFERROR(IF(0=LEN(ReferenceData!$AJ$325),"",ReferenceData!$AJ$325),"")</f>
        <v>3.1714319350000002</v>
      </c>
      <c r="AK325">
        <f ca="1">IFERROR(IF(0=LEN(ReferenceData!$AK$325),"",ReferenceData!$AK$325),"")</f>
        <v>3.6666363999999998</v>
      </c>
      <c r="AL325">
        <f ca="1">IFERROR(IF(0=LEN(ReferenceData!$AL$325),"",ReferenceData!$AL$325),"")</f>
        <v>3.7901758860000001</v>
      </c>
      <c r="AM325">
        <f ca="1">IFERROR(IF(0=LEN(ReferenceData!$AM$325),"",ReferenceData!$AM$325),"")</f>
        <v>3.9290787900000002</v>
      </c>
      <c r="AN325">
        <f ca="1">IFERROR(IF(0=LEN(ReferenceData!$AN$325),"",ReferenceData!$AN$325),"")</f>
        <v>3.131793966</v>
      </c>
      <c r="AO325">
        <f ca="1">IFERROR(IF(0=LEN(ReferenceData!$AO$325),"",ReferenceData!$AO$325),"")</f>
        <v>3.401585817</v>
      </c>
      <c r="AP325">
        <f ca="1">IFERROR(IF(0=LEN(ReferenceData!$AP$325),"",ReferenceData!$AP$325),"")</f>
        <v>4.9493329140000002</v>
      </c>
      <c r="AQ325">
        <f ca="1">IFERROR(IF(0=LEN(ReferenceData!$AQ$325),"",ReferenceData!$AQ$325),"")</f>
        <v>6.3963918450000001</v>
      </c>
      <c r="AR325">
        <f ca="1">IFERROR(IF(0=LEN(ReferenceData!$AR$325),"",ReferenceData!$AR$325),"")</f>
        <v>6.5316726779999996</v>
      </c>
      <c r="AS325">
        <f ca="1">IFERROR(IF(0=LEN(ReferenceData!$AS$325),"",ReferenceData!$AS$325),"")</f>
        <v>6.8078584329999998</v>
      </c>
      <c r="AT325">
        <f ca="1">IFERROR(IF(0=LEN(ReferenceData!$AT$325),"",ReferenceData!$AT$325),"")</f>
        <v>4.8222356059999996</v>
      </c>
      <c r="AU325">
        <f ca="1">IFERROR(IF(0=LEN(ReferenceData!$AU$325),"",ReferenceData!$AU$325),"")</f>
        <v>3.1841228930000001</v>
      </c>
      <c r="AV325">
        <f ca="1">IFERROR(IF(0=LEN(ReferenceData!$AV$325),"",ReferenceData!$AV$325),"")</f>
        <v>3.4342052359999999</v>
      </c>
      <c r="AW325">
        <f ca="1">IFERROR(IF(0=LEN(ReferenceData!$AW$325),"",ReferenceData!$AW$325),"")</f>
        <v>4.0878985249999999</v>
      </c>
      <c r="AX325">
        <f ca="1">IFERROR(IF(0=LEN(ReferenceData!$AX$325),"",ReferenceData!$AX$325),"")</f>
        <v>3.9674770989999999</v>
      </c>
      <c r="AY325">
        <f ca="1">IFERROR(IF(0=LEN(ReferenceData!$AY$325),"",ReferenceData!$AY$325),"")</f>
        <v>4.9725840769999996</v>
      </c>
      <c r="AZ325">
        <f ca="1">IFERROR(IF(0=LEN(ReferenceData!$AZ$325),"",ReferenceData!$AZ$325),"")</f>
        <v>5.0423391820000001</v>
      </c>
      <c r="BA325">
        <f ca="1">IFERROR(IF(0=LEN(ReferenceData!$BA$325),"",ReferenceData!$BA$325),"")</f>
        <v>5.3309330319999999</v>
      </c>
      <c r="BB325">
        <f ca="1">IFERROR(IF(0=LEN(ReferenceData!$BB$325),"",ReferenceData!$BB$325),"")</f>
        <v>5.0526701149999997</v>
      </c>
      <c r="BC325">
        <f ca="1">IFERROR(IF(0=LEN(ReferenceData!$BC$325),"",ReferenceData!$BC$325),"")</f>
        <v>5.7735542239999997</v>
      </c>
      <c r="BD325">
        <f ca="1">IFERROR(IF(0=LEN(ReferenceData!$BD$325),"",ReferenceData!$BD$325),"")</f>
        <v>5.0411223229999997</v>
      </c>
      <c r="BE325">
        <f ca="1">IFERROR(IF(0=LEN(ReferenceData!$BE$325),"",ReferenceData!$BE$325),"")</f>
        <v>4.2286328270000002</v>
      </c>
      <c r="BF325">
        <f ca="1">IFERROR(IF(0=LEN(ReferenceData!$BF$325),"",ReferenceData!$BF$325),"")</f>
        <v>5.1122110730000001</v>
      </c>
      <c r="BG325">
        <f ca="1">IFERROR(IF(0=LEN(ReferenceData!$BG$325),"",ReferenceData!$BG$325),"")</f>
        <v>4.2354225510000001</v>
      </c>
      <c r="BH325">
        <f ca="1">IFERROR(IF(0=LEN(ReferenceData!$BH$325),"",ReferenceData!$BH$325),"")</f>
        <v>4.0610670100000004</v>
      </c>
      <c r="BI325" t="str">
        <f ca="1">IFERROR(IF(0=LEN(ReferenceData!$BI$325),"",ReferenceData!$BI$325),"")</f>
        <v/>
      </c>
      <c r="BJ325">
        <f ca="1">IFERROR(IF(0=LEN(ReferenceData!$BJ$325),"",ReferenceData!$BJ$325),"")</f>
        <v>4.367212769</v>
      </c>
      <c r="BK325" t="str">
        <f ca="1">IFERROR(IF(0=LEN(ReferenceData!$BK$325),"",ReferenceData!$BK$325),"")</f>
        <v/>
      </c>
      <c r="BL325">
        <f ca="1">IFERROR(IF(0=LEN(ReferenceData!$BL$325),"",ReferenceData!$BL$325),"")</f>
        <v>4.3800245139999996</v>
      </c>
      <c r="BM325" t="str">
        <f ca="1">IFERROR(IF(0=LEN(ReferenceData!$BM$325),"",ReferenceData!$BM$325),"")</f>
        <v/>
      </c>
    </row>
    <row r="326" spans="1:65" x14ac:dyDescent="0.25">
      <c r="A326" t="str">
        <f>IFERROR(IF(0=LEN(ReferenceData!$A$326),"",ReferenceData!$A$326),"")</f>
        <v xml:space="preserve">    Tata Motors Ltd</v>
      </c>
      <c r="B326" t="str">
        <f>IFERROR(IF(0=LEN(ReferenceData!$B$326),"",ReferenceData!$B$326),"")</f>
        <v>TTMT IN Equity</v>
      </c>
      <c r="C326" t="str">
        <f>IFERROR(IF(0=LEN(ReferenceData!$C$326),"",ReferenceData!$C$326),"")</f>
        <v>RR474</v>
      </c>
      <c r="D326" t="str">
        <f>IFERROR(IF(0=LEN(ReferenceData!$D$326),"",ReferenceData!$D$326),"")</f>
        <v>EV_TO_T12M_EBITDA</v>
      </c>
      <c r="E326" t="str">
        <f>IFERROR(IF(0=LEN(ReferenceData!$E$326),"",ReferenceData!$E$326),"")</f>
        <v>Dynamic</v>
      </c>
      <c r="F326" t="str">
        <f ca="1">IFERROR(IF(0=LEN(ReferenceData!$F$326),"",ReferenceData!$F$326),"")</f>
        <v/>
      </c>
      <c r="G326" t="str">
        <f ca="1">IFERROR(IF(0=LEN(ReferenceData!$G$326),"",ReferenceData!$G$326),"")</f>
        <v/>
      </c>
      <c r="H326">
        <f ca="1">IFERROR(IF(0=LEN(ReferenceData!$H$326),"",ReferenceData!$H$326),"")</f>
        <v>4.3360807780000004</v>
      </c>
      <c r="I326" t="str">
        <f ca="1">IFERROR(IF(0=LEN(ReferenceData!$I$326),"",ReferenceData!$I$326),"")</f>
        <v/>
      </c>
      <c r="J326">
        <f ca="1">IFERROR(IF(0=LEN(ReferenceData!$J$326),"",ReferenceData!$J$326),"")</f>
        <v>4.5659647899999998</v>
      </c>
      <c r="K326" t="str">
        <f ca="1">IFERROR(IF(0=LEN(ReferenceData!$K$326),"",ReferenceData!$K$326),"")</f>
        <v/>
      </c>
      <c r="L326">
        <f ca="1">IFERROR(IF(0=LEN(ReferenceData!$L$326),"",ReferenceData!$L$326),"")</f>
        <v>5.6540096330000003</v>
      </c>
      <c r="M326" t="str">
        <f ca="1">IFERROR(IF(0=LEN(ReferenceData!$M$326),"",ReferenceData!$M$326),"")</f>
        <v/>
      </c>
      <c r="N326">
        <f ca="1">IFERROR(IF(0=LEN(ReferenceData!$N$326),"",ReferenceData!$N$326),"")</f>
        <v>5.7552074009999998</v>
      </c>
      <c r="O326" t="str">
        <f ca="1">IFERROR(IF(0=LEN(ReferenceData!$O$326),"",ReferenceData!$O$326),"")</f>
        <v/>
      </c>
      <c r="P326">
        <f ca="1">IFERROR(IF(0=LEN(ReferenceData!$P$326),"",ReferenceData!$P$326),"")</f>
        <v>5.8042918930000003</v>
      </c>
      <c r="Q326" t="str">
        <f ca="1">IFERROR(IF(0=LEN(ReferenceData!$Q$326),"",ReferenceData!$Q$326),"")</f>
        <v/>
      </c>
      <c r="R326">
        <f ca="1">IFERROR(IF(0=LEN(ReferenceData!$R$326),"",ReferenceData!$R$326),"")</f>
        <v>3.9474331459999998</v>
      </c>
      <c r="S326" t="str">
        <f ca="1">IFERROR(IF(0=LEN(ReferenceData!$S$326),"",ReferenceData!$S$326),"")</f>
        <v/>
      </c>
      <c r="T326">
        <f ca="1">IFERROR(IF(0=LEN(ReferenceData!$T$326),"",ReferenceData!$T$326),"")</f>
        <v>3.6695728490000001</v>
      </c>
      <c r="U326" t="str">
        <f ca="1">IFERROR(IF(0=LEN(ReferenceData!$U$326),"",ReferenceData!$U$326),"")</f>
        <v/>
      </c>
      <c r="V326">
        <f ca="1">IFERROR(IF(0=LEN(ReferenceData!$V$326),"",ReferenceData!$V$326),"")</f>
        <v>5.3315154490000003</v>
      </c>
      <c r="W326" t="str">
        <f ca="1">IFERROR(IF(0=LEN(ReferenceData!$W$326),"",ReferenceData!$W$326),"")</f>
        <v/>
      </c>
      <c r="X326">
        <f ca="1">IFERROR(IF(0=LEN(ReferenceData!$X$326),"",ReferenceData!$X$326),"")</f>
        <v>4.4288833869999999</v>
      </c>
      <c r="Y326" t="str">
        <f ca="1">IFERROR(IF(0=LEN(ReferenceData!$Y$326),"",ReferenceData!$Y$326),"")</f>
        <v/>
      </c>
      <c r="Z326">
        <f ca="1">IFERROR(IF(0=LEN(ReferenceData!$Z$326),"",ReferenceData!$Z$326),"")</f>
        <v>4.4637283999999999</v>
      </c>
      <c r="AA326" t="str">
        <f ca="1">IFERROR(IF(0=LEN(ReferenceData!$AA$326),"",ReferenceData!$AA$326),"")</f>
        <v/>
      </c>
      <c r="AB326">
        <f ca="1">IFERROR(IF(0=LEN(ReferenceData!$AB$326),"",ReferenceData!$AB$326),"")</f>
        <v>4.6186072229999997</v>
      </c>
      <c r="AC326" t="str">
        <f ca="1">IFERROR(IF(0=LEN(ReferenceData!$AC$326),"",ReferenceData!$AC$326),"")</f>
        <v/>
      </c>
      <c r="AD326">
        <f ca="1">IFERROR(IF(0=LEN(ReferenceData!$AD$326),"",ReferenceData!$AD$326),"")</f>
        <v>4.7635036079999997</v>
      </c>
      <c r="AE326" t="str">
        <f ca="1">IFERROR(IF(0=LEN(ReferenceData!$AE$326),"",ReferenceData!$AE$326),"")</f>
        <v/>
      </c>
      <c r="AF326">
        <f ca="1">IFERROR(IF(0=LEN(ReferenceData!$AF$326),"",ReferenceData!$AF$326),"")</f>
        <v>4.205799786</v>
      </c>
      <c r="AG326" t="str">
        <f ca="1">IFERROR(IF(0=LEN(ReferenceData!$AG$326),"",ReferenceData!$AG$326),"")</f>
        <v/>
      </c>
      <c r="AH326">
        <f ca="1">IFERROR(IF(0=LEN(ReferenceData!$AH$326),"",ReferenceData!$AH$326),"")</f>
        <v>5.1476757610000003</v>
      </c>
      <c r="AI326" t="str">
        <f ca="1">IFERROR(IF(0=LEN(ReferenceData!$AI$326),"",ReferenceData!$AI$326),"")</f>
        <v/>
      </c>
      <c r="AJ326">
        <f ca="1">IFERROR(IF(0=LEN(ReferenceData!$AJ$326),"",ReferenceData!$AJ$326),"")</f>
        <v>4.8000111759999999</v>
      </c>
      <c r="AK326" t="str">
        <f ca="1">IFERROR(IF(0=LEN(ReferenceData!$AK$326),"",ReferenceData!$AK$326),"")</f>
        <v/>
      </c>
      <c r="AL326">
        <f ca="1">IFERROR(IF(0=LEN(ReferenceData!$AL$326),"",ReferenceData!$AL$326),"")</f>
        <v>6.820481064</v>
      </c>
      <c r="AM326" t="str">
        <f ca="1">IFERROR(IF(0=LEN(ReferenceData!$AM$326),"",ReferenceData!$AM$326),"")</f>
        <v/>
      </c>
      <c r="AN326">
        <f ca="1">IFERROR(IF(0=LEN(ReferenceData!$AN$326),"",ReferenceData!$AN$326),"")</f>
        <v>7.4433132649999996</v>
      </c>
      <c r="AO326" t="str">
        <f ca="1">IFERROR(IF(0=LEN(ReferenceData!$AO$326),"",ReferenceData!$AO$326),"")</f>
        <v/>
      </c>
      <c r="AP326">
        <f ca="1">IFERROR(IF(0=LEN(ReferenceData!$AP$326),"",ReferenceData!$AP$326),"")</f>
        <v>11.70857979</v>
      </c>
      <c r="AQ326" t="str">
        <f ca="1">IFERROR(IF(0=LEN(ReferenceData!$AQ$326),"",ReferenceData!$AQ$326),"")</f>
        <v/>
      </c>
      <c r="AR326" t="str">
        <f ca="1">IFERROR(IF(0=LEN(ReferenceData!$AR$326),"",ReferenceData!$AR$326),"")</f>
        <v/>
      </c>
      <c r="AS326" t="str">
        <f ca="1">IFERROR(IF(0=LEN(ReferenceData!$AS$326),"",ReferenceData!$AS$326),"")</f>
        <v/>
      </c>
      <c r="AT326">
        <f ca="1">IFERROR(IF(0=LEN(ReferenceData!$AT$326),"",ReferenceData!$AT$326),"")</f>
        <v>18.023750799999998</v>
      </c>
      <c r="AU326" t="str">
        <f ca="1">IFERROR(IF(0=LEN(ReferenceData!$AU$326),"",ReferenceData!$AU$326),"")</f>
        <v/>
      </c>
      <c r="AV326" t="str">
        <f ca="1">IFERROR(IF(0=LEN(ReferenceData!$AV$326),"",ReferenceData!$AV$326),"")</f>
        <v/>
      </c>
      <c r="AW326" t="str">
        <f ca="1">IFERROR(IF(0=LEN(ReferenceData!$AW$326),"",ReferenceData!$AW$326),"")</f>
        <v/>
      </c>
      <c r="AX326" t="str">
        <f ca="1">IFERROR(IF(0=LEN(ReferenceData!$AX$326),"",ReferenceData!$AX$326),"")</f>
        <v/>
      </c>
      <c r="AY326" t="str">
        <f ca="1">IFERROR(IF(0=LEN(ReferenceData!$AY$326),"",ReferenceData!$AY$326),"")</f>
        <v/>
      </c>
      <c r="AZ326" t="str">
        <f ca="1">IFERROR(IF(0=LEN(ReferenceData!$AZ$326),"",ReferenceData!$AZ$326),"")</f>
        <v/>
      </c>
      <c r="BA326" t="str">
        <f ca="1">IFERROR(IF(0=LEN(ReferenceData!$BA$326),"",ReferenceData!$BA$326),"")</f>
        <v/>
      </c>
      <c r="BB326" t="str">
        <f ca="1">IFERROR(IF(0=LEN(ReferenceData!$BB$326),"",ReferenceData!$BB$326),"")</f>
        <v/>
      </c>
      <c r="BC326" t="str">
        <f ca="1">IFERROR(IF(0=LEN(ReferenceData!$BC$326),"",ReferenceData!$BC$326),"")</f>
        <v/>
      </c>
      <c r="BD326" t="str">
        <f ca="1">IFERROR(IF(0=LEN(ReferenceData!$BD$326),"",ReferenceData!$BD$326),"")</f>
        <v/>
      </c>
      <c r="BE326" t="str">
        <f ca="1">IFERROR(IF(0=LEN(ReferenceData!$BE$326),"",ReferenceData!$BE$326),"")</f>
        <v/>
      </c>
      <c r="BF326" t="str">
        <f ca="1">IFERROR(IF(0=LEN(ReferenceData!$BF$326),"",ReferenceData!$BF$326),"")</f>
        <v/>
      </c>
      <c r="BG326" t="str">
        <f ca="1">IFERROR(IF(0=LEN(ReferenceData!$BG$326),"",ReferenceData!$BG$326),"")</f>
        <v/>
      </c>
      <c r="BH326" t="str">
        <f ca="1">IFERROR(IF(0=LEN(ReferenceData!$BH$326),"",ReferenceData!$BH$326),"")</f>
        <v/>
      </c>
      <c r="BI326" t="str">
        <f ca="1">IFERROR(IF(0=LEN(ReferenceData!$BI$326),"",ReferenceData!$BI$326),"")</f>
        <v/>
      </c>
      <c r="BJ326" t="str">
        <f ca="1">IFERROR(IF(0=LEN(ReferenceData!$BJ$326),"",ReferenceData!$BJ$326),"")</f>
        <v/>
      </c>
      <c r="BK326" t="str">
        <f ca="1">IFERROR(IF(0=LEN(ReferenceData!$BK$326),"",ReferenceData!$BK$326),"")</f>
        <v/>
      </c>
      <c r="BL326" t="str">
        <f ca="1">IFERROR(IF(0=LEN(ReferenceData!$BL$326),"",ReferenceData!$BL$326),"")</f>
        <v/>
      </c>
      <c r="BM326" t="str">
        <f ca="1">IFERROR(IF(0=LEN(ReferenceData!$BM$326),"",ReferenceData!$BM$326),"")</f>
        <v/>
      </c>
    </row>
    <row r="327" spans="1:65" x14ac:dyDescent="0.25">
      <c r="A327" t="str">
        <f>IFERROR(IF(0=LEN(ReferenceData!$A$327),"",ReferenceData!$A$327),"")</f>
        <v xml:space="preserve">    Tesla Inc</v>
      </c>
      <c r="B327" t="str">
        <f>IFERROR(IF(0=LEN(ReferenceData!$B$327),"",ReferenceData!$B$327),"")</f>
        <v>TSLA US Equity</v>
      </c>
      <c r="C327" t="str">
        <f>IFERROR(IF(0=LEN(ReferenceData!$C$327),"",ReferenceData!$C$327),"")</f>
        <v>RR474</v>
      </c>
      <c r="D327" t="str">
        <f>IFERROR(IF(0=LEN(ReferenceData!$D$327),"",ReferenceData!$D$327),"")</f>
        <v>EV_TO_T12M_EBITDA</v>
      </c>
      <c r="E327" t="str">
        <f>IFERROR(IF(0=LEN(ReferenceData!$E$327),"",ReferenceData!$E$327),"")</f>
        <v>Dynamic</v>
      </c>
      <c r="F327" t="str">
        <f ca="1">IFERROR(IF(0=LEN(ReferenceData!$F$327),"",ReferenceData!$F$327),"")</f>
        <v/>
      </c>
      <c r="G327">
        <f ca="1">IFERROR(IF(0=LEN(ReferenceData!$G$327),"",ReferenceData!$G$327),"")</f>
        <v>44.36180616</v>
      </c>
      <c r="H327">
        <f ca="1">IFERROR(IF(0=LEN(ReferenceData!$H$327),"",ReferenceData!$H$327),"")</f>
        <v>117.22610520000001</v>
      </c>
      <c r="I327" t="str">
        <f ca="1">IFERROR(IF(0=LEN(ReferenceData!$I$327),"",ReferenceData!$I$327),"")</f>
        <v/>
      </c>
      <c r="J327" t="str">
        <f ca="1">IFERROR(IF(0=LEN(ReferenceData!$J$327),"",ReferenceData!$J$327),"")</f>
        <v/>
      </c>
      <c r="K327">
        <f ca="1">IFERROR(IF(0=LEN(ReferenceData!$K$327),"",ReferenceData!$K$327),"")</f>
        <v>15521.286690000001</v>
      </c>
      <c r="L327">
        <f ca="1">IFERROR(IF(0=LEN(ReferenceData!$L$327),"",ReferenceData!$L$327),"")</f>
        <v>338.1288874</v>
      </c>
      <c r="M327">
        <f ca="1">IFERROR(IF(0=LEN(ReferenceData!$M$327),"",ReferenceData!$M$327),"")</f>
        <v>95.359103840000003</v>
      </c>
      <c r="N327">
        <f ca="1">IFERROR(IF(0=LEN(ReferenceData!$N$327),"",ReferenceData!$N$327),"")</f>
        <v>103.6364502</v>
      </c>
      <c r="O327">
        <f ca="1">IFERROR(IF(0=LEN(ReferenceData!$O$327),"",ReferenceData!$O$327),"")</f>
        <v>139.8972512</v>
      </c>
      <c r="P327">
        <f ca="1">IFERROR(IF(0=LEN(ReferenceData!$P$327),"",ReferenceData!$P$327),"")</f>
        <v>293.35648099999997</v>
      </c>
      <c r="Q327" t="str">
        <f ca="1">IFERROR(IF(0=LEN(ReferenceData!$Q$327),"",ReferenceData!$Q$327),"")</f>
        <v/>
      </c>
      <c r="R327" t="str">
        <f ca="1">IFERROR(IF(0=LEN(ReferenceData!$R$327),"",ReferenceData!$R$327),"")</f>
        <v/>
      </c>
      <c r="S327" t="str">
        <f ca="1">IFERROR(IF(0=LEN(ReferenceData!$S$327),"",ReferenceData!$S$327),"")</f>
        <v/>
      </c>
      <c r="T327" t="str">
        <f ca="1">IFERROR(IF(0=LEN(ReferenceData!$T$327),"",ReferenceData!$T$327),"")</f>
        <v/>
      </c>
      <c r="U327" t="str">
        <f ca="1">IFERROR(IF(0=LEN(ReferenceData!$U$327),"",ReferenceData!$U$327),"")</f>
        <v/>
      </c>
      <c r="V327">
        <f ca="1">IFERROR(IF(0=LEN(ReferenceData!$V$327),"",ReferenceData!$V$327),"")</f>
        <v>1268.479012</v>
      </c>
      <c r="W327">
        <f ca="1">IFERROR(IF(0=LEN(ReferenceData!$W$327),"",ReferenceData!$W$327),"")</f>
        <v>630.72556959999997</v>
      </c>
      <c r="X327">
        <f ca="1">IFERROR(IF(0=LEN(ReferenceData!$X$327),"",ReferenceData!$X$327),"")</f>
        <v>399.01210900000001</v>
      </c>
      <c r="Y327">
        <f ca="1">IFERROR(IF(0=LEN(ReferenceData!$Y$327),"",ReferenceData!$Y$327),"")</f>
        <v>613.42717470000002</v>
      </c>
      <c r="Z327">
        <f ca="1">IFERROR(IF(0=LEN(ReferenceData!$Z$327),"",ReferenceData!$Z$327),"")</f>
        <v>501.21510480000001</v>
      </c>
      <c r="AA327">
        <f ca="1">IFERROR(IF(0=LEN(ReferenceData!$AA$327),"",ReferenceData!$AA$327),"")</f>
        <v>291.73892310000002</v>
      </c>
      <c r="AB327" t="str">
        <f ca="1">IFERROR(IF(0=LEN(ReferenceData!$AB$327),"",ReferenceData!$AB$327),"")</f>
        <v/>
      </c>
      <c r="AC327" t="str">
        <f ca="1">IFERROR(IF(0=LEN(ReferenceData!$AC$327),"",ReferenceData!$AC$327),"")</f>
        <v/>
      </c>
      <c r="AD327" t="str">
        <f ca="1">IFERROR(IF(0=LEN(ReferenceData!$AD$327),"",ReferenceData!$AD$327),"")</f>
        <v/>
      </c>
      <c r="AE327" t="str">
        <f ca="1">IFERROR(IF(0=LEN(ReferenceData!$AE$327),"",ReferenceData!$AE$327),"")</f>
        <v/>
      </c>
      <c r="AF327" t="str">
        <f ca="1">IFERROR(IF(0=LEN(ReferenceData!$AF$327),"",ReferenceData!$AF$327),"")</f>
        <v/>
      </c>
      <c r="AG327" t="str">
        <f ca="1">IFERROR(IF(0=LEN(ReferenceData!$AG$327),"",ReferenceData!$AG$327),"")</f>
        <v/>
      </c>
      <c r="AH327" t="str">
        <f ca="1">IFERROR(IF(0=LEN(ReferenceData!$AH$327),"",ReferenceData!$AH$327),"")</f>
        <v/>
      </c>
      <c r="AI327" t="str">
        <f ca="1">IFERROR(IF(0=LEN(ReferenceData!$AI$327),"",ReferenceData!$AI$327),"")</f>
        <v/>
      </c>
      <c r="AJ327" t="str">
        <f ca="1">IFERROR(IF(0=LEN(ReferenceData!$AJ$327),"",ReferenceData!$AJ$327),"")</f>
        <v/>
      </c>
      <c r="AK327" t="str">
        <f ca="1">IFERROR(IF(0=LEN(ReferenceData!$AK$327),"",ReferenceData!$AK$327),"")</f>
        <v/>
      </c>
      <c r="AL327" t="str">
        <f ca="1">IFERROR(IF(0=LEN(ReferenceData!$AL$327),"",ReferenceData!$AL$327),"")</f>
        <v/>
      </c>
      <c r="AM327" t="str">
        <f ca="1">IFERROR(IF(0=LEN(ReferenceData!$AM$327),"",ReferenceData!$AM$327),"")</f>
        <v/>
      </c>
      <c r="AN327" t="str">
        <f ca="1">IFERROR(IF(0=LEN(ReferenceData!$AN$327),"",ReferenceData!$AN$327),"")</f>
        <v/>
      </c>
      <c r="AO327" t="str">
        <f ca="1">IFERROR(IF(0=LEN(ReferenceData!$AO$327),"",ReferenceData!$AO$327),"")</f>
        <v/>
      </c>
      <c r="AP327" t="str">
        <f ca="1">IFERROR(IF(0=LEN(ReferenceData!$AP$327),"",ReferenceData!$AP$327),"")</f>
        <v/>
      </c>
      <c r="AQ327" t="str">
        <f ca="1">IFERROR(IF(0=LEN(ReferenceData!$AQ$327),"",ReferenceData!$AQ$327),"")</f>
        <v/>
      </c>
      <c r="AR327" t="str">
        <f ca="1">IFERROR(IF(0=LEN(ReferenceData!$AR$327),"",ReferenceData!$AR$327),"")</f>
        <v/>
      </c>
      <c r="AS327" t="str">
        <f ca="1">IFERROR(IF(0=LEN(ReferenceData!$AS$327),"",ReferenceData!$AS$327),"")</f>
        <v/>
      </c>
      <c r="AT327" t="str">
        <f ca="1">IFERROR(IF(0=LEN(ReferenceData!$AT$327),"",ReferenceData!$AT$327),"")</f>
        <v/>
      </c>
      <c r="AU327" t="str">
        <f ca="1">IFERROR(IF(0=LEN(ReferenceData!$AU$327),"",ReferenceData!$AU$327),"")</f>
        <v/>
      </c>
      <c r="AV327" t="str">
        <f ca="1">IFERROR(IF(0=LEN(ReferenceData!$AV$327),"",ReferenceData!$AV$327),"")</f>
        <v/>
      </c>
      <c r="AW327" t="str">
        <f ca="1">IFERROR(IF(0=LEN(ReferenceData!$AW$327),"",ReferenceData!$AW$327),"")</f>
        <v/>
      </c>
      <c r="AX327" t="str">
        <f ca="1">IFERROR(IF(0=LEN(ReferenceData!$AX$327),"",ReferenceData!$AX$327),"")</f>
        <v/>
      </c>
      <c r="AY327" t="str">
        <f ca="1">IFERROR(IF(0=LEN(ReferenceData!$AY$327),"",ReferenceData!$AY$327),"")</f>
        <v/>
      </c>
      <c r="AZ327" t="str">
        <f ca="1">IFERROR(IF(0=LEN(ReferenceData!$AZ$327),"",ReferenceData!$AZ$327),"")</f>
        <v/>
      </c>
      <c r="BA327" t="str">
        <f ca="1">IFERROR(IF(0=LEN(ReferenceData!$BA$327),"",ReferenceData!$BA$327),"")</f>
        <v/>
      </c>
      <c r="BB327" t="str">
        <f ca="1">IFERROR(IF(0=LEN(ReferenceData!$BB$327),"",ReferenceData!$BB$327),"")</f>
        <v/>
      </c>
      <c r="BC327" t="str">
        <f ca="1">IFERROR(IF(0=LEN(ReferenceData!$BC$327),"",ReferenceData!$BC$327),"")</f>
        <v/>
      </c>
      <c r="BD327" t="str">
        <f ca="1">IFERROR(IF(0=LEN(ReferenceData!$BD$327),"",ReferenceData!$BD$327),"")</f>
        <v/>
      </c>
      <c r="BE327" t="str">
        <f ca="1">IFERROR(IF(0=LEN(ReferenceData!$BE$327),"",ReferenceData!$BE$327),"")</f>
        <v/>
      </c>
      <c r="BF327" t="str">
        <f ca="1">IFERROR(IF(0=LEN(ReferenceData!$BF$327),"",ReferenceData!$BF$327),"")</f>
        <v/>
      </c>
      <c r="BG327" t="str">
        <f ca="1">IFERROR(IF(0=LEN(ReferenceData!$BG$327),"",ReferenceData!$BG$327),"")</f>
        <v/>
      </c>
      <c r="BH327" t="str">
        <f ca="1">IFERROR(IF(0=LEN(ReferenceData!$BH$327),"",ReferenceData!$BH$327),"")</f>
        <v/>
      </c>
      <c r="BI327" t="str">
        <f ca="1">IFERROR(IF(0=LEN(ReferenceData!$BI$327),"",ReferenceData!$BI$327),"")</f>
        <v/>
      </c>
      <c r="BJ327" t="str">
        <f ca="1">IFERROR(IF(0=LEN(ReferenceData!$BJ$327),"",ReferenceData!$BJ$327),"")</f>
        <v/>
      </c>
      <c r="BK327" t="str">
        <f ca="1">IFERROR(IF(0=LEN(ReferenceData!$BK$327),"",ReferenceData!$BK$327),"")</f>
        <v/>
      </c>
      <c r="BL327" t="str">
        <f ca="1">IFERROR(IF(0=LEN(ReferenceData!$BL$327),"",ReferenceData!$BL$327),"")</f>
        <v/>
      </c>
      <c r="BM327" t="str">
        <f ca="1">IFERROR(IF(0=LEN(ReferenceData!$BM$327),"",ReferenceData!$BM$327),"")</f>
        <v/>
      </c>
    </row>
    <row r="328" spans="1:65" x14ac:dyDescent="0.25">
      <c r="A328" t="str">
        <f>IFERROR(IF(0=LEN(ReferenceData!$A$328),"",ReferenceData!$A$328),"")</f>
        <v xml:space="preserve">    Tianjin Faw Xiali Automobile Co Ltd</v>
      </c>
      <c r="B328" t="str">
        <f>IFERROR(IF(0=LEN(ReferenceData!$B$328),"",ReferenceData!$B$328),"")</f>
        <v>000927 CH Equity</v>
      </c>
      <c r="C328" t="str">
        <f>IFERROR(IF(0=LEN(ReferenceData!$C$328),"",ReferenceData!$C$328),"")</f>
        <v>RR474</v>
      </c>
      <c r="D328" t="str">
        <f>IFERROR(IF(0=LEN(ReferenceData!$D$328),"",ReferenceData!$D$328),"")</f>
        <v>EV_TO_T12M_EBITDA</v>
      </c>
      <c r="E328" t="str">
        <f>IFERROR(IF(0=LEN(ReferenceData!$E$328),"",ReferenceData!$E$328),"")</f>
        <v>Dynamic</v>
      </c>
      <c r="F328" t="str">
        <f ca="1">IFERROR(IF(0=LEN(ReferenceData!$F$328),"",ReferenceData!$F$328),"")</f>
        <v/>
      </c>
      <c r="G328" t="str">
        <f ca="1">IFERROR(IF(0=LEN(ReferenceData!$G$328),"",ReferenceData!$G$328),"")</f>
        <v/>
      </c>
      <c r="H328" t="str">
        <f ca="1">IFERROR(IF(0=LEN(ReferenceData!$H$328),"",ReferenceData!$H$328),"")</f>
        <v/>
      </c>
      <c r="I328" t="str">
        <f ca="1">IFERROR(IF(0=LEN(ReferenceData!$I$328),"",ReferenceData!$I$328),"")</f>
        <v/>
      </c>
      <c r="J328" t="str">
        <f ca="1">IFERROR(IF(0=LEN(ReferenceData!$J$328),"",ReferenceData!$J$328),"")</f>
        <v/>
      </c>
      <c r="K328" t="str">
        <f ca="1">IFERROR(IF(0=LEN(ReferenceData!$K$328),"",ReferenceData!$K$328),"")</f>
        <v/>
      </c>
      <c r="L328" t="str">
        <f ca="1">IFERROR(IF(0=LEN(ReferenceData!$L$328),"",ReferenceData!$L$328),"")</f>
        <v/>
      </c>
      <c r="M328" t="str">
        <f ca="1">IFERROR(IF(0=LEN(ReferenceData!$M$328),"",ReferenceData!$M$328),"")</f>
        <v/>
      </c>
      <c r="N328" t="str">
        <f ca="1">IFERROR(IF(0=LEN(ReferenceData!$N$328),"",ReferenceData!$N$328),"")</f>
        <v/>
      </c>
      <c r="O328" t="str">
        <f ca="1">IFERROR(IF(0=LEN(ReferenceData!$O$328),"",ReferenceData!$O$328),"")</f>
        <v/>
      </c>
      <c r="P328" t="str">
        <f ca="1">IFERROR(IF(0=LEN(ReferenceData!$P$328),"",ReferenceData!$P$328),"")</f>
        <v/>
      </c>
      <c r="Q328" t="str">
        <f ca="1">IFERROR(IF(0=LEN(ReferenceData!$Q$328),"",ReferenceData!$Q$328),"")</f>
        <v/>
      </c>
      <c r="R328" t="str">
        <f ca="1">IFERROR(IF(0=LEN(ReferenceData!$R$328),"",ReferenceData!$R$328),"")</f>
        <v/>
      </c>
      <c r="S328" t="str">
        <f ca="1">IFERROR(IF(0=LEN(ReferenceData!$S$328),"",ReferenceData!$S$328),"")</f>
        <v/>
      </c>
      <c r="T328" t="str">
        <f ca="1">IFERROR(IF(0=LEN(ReferenceData!$T$328),"",ReferenceData!$T$328),"")</f>
        <v/>
      </c>
      <c r="U328" t="str">
        <f ca="1">IFERROR(IF(0=LEN(ReferenceData!$U$328),"",ReferenceData!$U$328),"")</f>
        <v/>
      </c>
      <c r="V328" t="str">
        <f ca="1">IFERROR(IF(0=LEN(ReferenceData!$V$328),"",ReferenceData!$V$328),"")</f>
        <v/>
      </c>
      <c r="W328" t="str">
        <f ca="1">IFERROR(IF(0=LEN(ReferenceData!$W$328),"",ReferenceData!$W$328),"")</f>
        <v/>
      </c>
      <c r="X328" t="str">
        <f ca="1">IFERROR(IF(0=LEN(ReferenceData!$X$328),"",ReferenceData!$X$328),"")</f>
        <v/>
      </c>
      <c r="Y328" t="str">
        <f ca="1">IFERROR(IF(0=LEN(ReferenceData!$Y$328),"",ReferenceData!$Y$328),"")</f>
        <v/>
      </c>
      <c r="Z328" t="str">
        <f ca="1">IFERROR(IF(0=LEN(ReferenceData!$Z$328),"",ReferenceData!$Z$328),"")</f>
        <v/>
      </c>
      <c r="AA328" t="str">
        <f ca="1">IFERROR(IF(0=LEN(ReferenceData!$AA$328),"",ReferenceData!$AA$328),"")</f>
        <v/>
      </c>
      <c r="AB328" t="str">
        <f ca="1">IFERROR(IF(0=LEN(ReferenceData!$AB$328),"",ReferenceData!$AB$328),"")</f>
        <v/>
      </c>
      <c r="AC328" t="str">
        <f ca="1">IFERROR(IF(0=LEN(ReferenceData!$AC$328),"",ReferenceData!$AC$328),"")</f>
        <v/>
      </c>
      <c r="AD328" t="str">
        <f ca="1">IFERROR(IF(0=LEN(ReferenceData!$AD$328),"",ReferenceData!$AD$328),"")</f>
        <v/>
      </c>
      <c r="AE328" t="str">
        <f ca="1">IFERROR(IF(0=LEN(ReferenceData!$AE$328),"",ReferenceData!$AE$328),"")</f>
        <v/>
      </c>
      <c r="AF328" t="str">
        <f ca="1">IFERROR(IF(0=LEN(ReferenceData!$AF$328),"",ReferenceData!$AF$328),"")</f>
        <v/>
      </c>
      <c r="AG328" t="str">
        <f ca="1">IFERROR(IF(0=LEN(ReferenceData!$AG$328),"",ReferenceData!$AG$328),"")</f>
        <v/>
      </c>
      <c r="AH328" t="str">
        <f ca="1">IFERROR(IF(0=LEN(ReferenceData!$AH$328),"",ReferenceData!$AH$328),"")</f>
        <v/>
      </c>
      <c r="AI328" t="str">
        <f ca="1">IFERROR(IF(0=LEN(ReferenceData!$AI$328),"",ReferenceData!$AI$328),"")</f>
        <v/>
      </c>
      <c r="AJ328" t="str">
        <f ca="1">IFERROR(IF(0=LEN(ReferenceData!$AJ$328),"",ReferenceData!$AJ$328),"")</f>
        <v/>
      </c>
      <c r="AK328" t="str">
        <f ca="1">IFERROR(IF(0=LEN(ReferenceData!$AK$328),"",ReferenceData!$AK$328),"")</f>
        <v/>
      </c>
      <c r="AL328" t="str">
        <f ca="1">IFERROR(IF(0=LEN(ReferenceData!$AL$328),"",ReferenceData!$AL$328),"")</f>
        <v/>
      </c>
      <c r="AM328" t="str">
        <f ca="1">IFERROR(IF(0=LEN(ReferenceData!$AM$328),"",ReferenceData!$AM$328),"")</f>
        <v/>
      </c>
      <c r="AN328" t="str">
        <f ca="1">IFERROR(IF(0=LEN(ReferenceData!$AN$328),"",ReferenceData!$AN$328),"")</f>
        <v/>
      </c>
      <c r="AO328" t="str">
        <f ca="1">IFERROR(IF(0=LEN(ReferenceData!$AO$328),"",ReferenceData!$AO$328),"")</f>
        <v/>
      </c>
      <c r="AP328" t="str">
        <f ca="1">IFERROR(IF(0=LEN(ReferenceData!$AP$328),"",ReferenceData!$AP$328),"")</f>
        <v/>
      </c>
      <c r="AQ328" t="str">
        <f ca="1">IFERROR(IF(0=LEN(ReferenceData!$AQ$328),"",ReferenceData!$AQ$328),"")</f>
        <v/>
      </c>
      <c r="AR328" t="str">
        <f ca="1">IFERROR(IF(0=LEN(ReferenceData!$AR$328),"",ReferenceData!$AR$328),"")</f>
        <v/>
      </c>
      <c r="AS328" t="str">
        <f ca="1">IFERROR(IF(0=LEN(ReferenceData!$AS$328),"",ReferenceData!$AS$328),"")</f>
        <v/>
      </c>
      <c r="AT328" t="str">
        <f ca="1">IFERROR(IF(0=LEN(ReferenceData!$AT$328),"",ReferenceData!$AT$328),"")</f>
        <v/>
      </c>
      <c r="AU328" t="str">
        <f ca="1">IFERROR(IF(0=LEN(ReferenceData!$AU$328),"",ReferenceData!$AU$328),"")</f>
        <v/>
      </c>
      <c r="AV328" t="str">
        <f ca="1">IFERROR(IF(0=LEN(ReferenceData!$AV$328),"",ReferenceData!$AV$328),"")</f>
        <v/>
      </c>
      <c r="AW328" t="str">
        <f ca="1">IFERROR(IF(0=LEN(ReferenceData!$AW$328),"",ReferenceData!$AW$328),"")</f>
        <v/>
      </c>
      <c r="AX328" t="str">
        <f ca="1">IFERROR(IF(0=LEN(ReferenceData!$AX$328),"",ReferenceData!$AX$328),"")</f>
        <v/>
      </c>
      <c r="AY328" t="str">
        <f ca="1">IFERROR(IF(0=LEN(ReferenceData!$AY$328),"",ReferenceData!$AY$328),"")</f>
        <v/>
      </c>
      <c r="AZ328" t="str">
        <f ca="1">IFERROR(IF(0=LEN(ReferenceData!$AZ$328),"",ReferenceData!$AZ$328),"")</f>
        <v/>
      </c>
      <c r="BA328" t="str">
        <f ca="1">IFERROR(IF(0=LEN(ReferenceData!$BA$328),"",ReferenceData!$BA$328),"")</f>
        <v/>
      </c>
      <c r="BB328" t="str">
        <f ca="1">IFERROR(IF(0=LEN(ReferenceData!$BB$328),"",ReferenceData!$BB$328),"")</f>
        <v/>
      </c>
      <c r="BC328" t="str">
        <f ca="1">IFERROR(IF(0=LEN(ReferenceData!$BC$328),"",ReferenceData!$BC$328),"")</f>
        <v/>
      </c>
      <c r="BD328" t="str">
        <f ca="1">IFERROR(IF(0=LEN(ReferenceData!$BD$328),"",ReferenceData!$BD$328),"")</f>
        <v/>
      </c>
      <c r="BE328" t="str">
        <f ca="1">IFERROR(IF(0=LEN(ReferenceData!$BE$328),"",ReferenceData!$BE$328),"")</f>
        <v/>
      </c>
      <c r="BF328" t="str">
        <f ca="1">IFERROR(IF(0=LEN(ReferenceData!$BF$328),"",ReferenceData!$BF$328),"")</f>
        <v/>
      </c>
      <c r="BG328">
        <f ca="1">IFERROR(IF(0=LEN(ReferenceData!$BG$328),"",ReferenceData!$BG$328),"")</f>
        <v>19.237508129999998</v>
      </c>
      <c r="BH328">
        <f ca="1">IFERROR(IF(0=LEN(ReferenceData!$BH$328),"",ReferenceData!$BH$328),"")</f>
        <v>19.456955109999999</v>
      </c>
      <c r="BI328">
        <f ca="1">IFERROR(IF(0=LEN(ReferenceData!$BI$328),"",ReferenceData!$BI$328),"")</f>
        <v>21.870207430000001</v>
      </c>
      <c r="BJ328">
        <f ca="1">IFERROR(IF(0=LEN(ReferenceData!$BJ$328),"",ReferenceData!$BJ$328),"")</f>
        <v>23.055213200000001</v>
      </c>
      <c r="BK328">
        <f ca="1">IFERROR(IF(0=LEN(ReferenceData!$BK$328),"",ReferenceData!$BK$328),"")</f>
        <v>28.36024102</v>
      </c>
      <c r="BL328">
        <f ca="1">IFERROR(IF(0=LEN(ReferenceData!$BL$328),"",ReferenceData!$BL$328),"")</f>
        <v>64.399300449999998</v>
      </c>
      <c r="BM328">
        <f ca="1">IFERROR(IF(0=LEN(ReferenceData!$BM$328),"",ReferenceData!$BM$328),"")</f>
        <v>55.769345420000001</v>
      </c>
    </row>
    <row r="329" spans="1:65" x14ac:dyDescent="0.25">
      <c r="A329" t="str">
        <f>IFERROR(IF(0=LEN(ReferenceData!$A$329),"",ReferenceData!$A$329),"")</f>
        <v xml:space="preserve">    Tofas Turk Otomobil Fabrikasi AS</v>
      </c>
      <c r="B329" t="str">
        <f>IFERROR(IF(0=LEN(ReferenceData!$B$329),"",ReferenceData!$B$329),"")</f>
        <v>TOASOTRY EO Equity</v>
      </c>
      <c r="C329" t="str">
        <f>IFERROR(IF(0=LEN(ReferenceData!$C$329),"",ReferenceData!$C$329),"")</f>
        <v>RR474</v>
      </c>
      <c r="D329" t="str">
        <f>IFERROR(IF(0=LEN(ReferenceData!$D$329),"",ReferenceData!$D$329),"")</f>
        <v>EV_TO_T12M_EBITDA</v>
      </c>
      <c r="E329" t="str">
        <f>IFERROR(IF(0=LEN(ReferenceData!$E$329),"",ReferenceData!$E$329),"")</f>
        <v>Dynamic</v>
      </c>
      <c r="F329" t="str">
        <f ca="1">IFERROR(IF(0=LEN(ReferenceData!$F$329),"",ReferenceData!$F$329),"")</f>
        <v/>
      </c>
      <c r="G329">
        <f ca="1">IFERROR(IF(0=LEN(ReferenceData!$G$329),"",ReferenceData!$G$329),"")</f>
        <v>4.5591599629999999</v>
      </c>
      <c r="H329">
        <f ca="1">IFERROR(IF(0=LEN(ReferenceData!$H$329),"",ReferenceData!$H$329),"")</f>
        <v>12.85255145</v>
      </c>
      <c r="I329">
        <f ca="1">IFERROR(IF(0=LEN(ReferenceData!$I$329),"",ReferenceData!$I$329),"")</f>
        <v>16.905908010000001</v>
      </c>
      <c r="J329" t="str">
        <f ca="1">IFERROR(IF(0=LEN(ReferenceData!$J$329),"",ReferenceData!$J$329),"")</f>
        <v/>
      </c>
      <c r="K329" t="str">
        <f ca="1">IFERROR(IF(0=LEN(ReferenceData!$K$329),"",ReferenceData!$K$329),"")</f>
        <v/>
      </c>
      <c r="L329">
        <f ca="1">IFERROR(IF(0=LEN(ReferenceData!$L$329),"",ReferenceData!$L$329),"")</f>
        <v>9.1455568819999993</v>
      </c>
      <c r="M329">
        <f ca="1">IFERROR(IF(0=LEN(ReferenceData!$M$329),"",ReferenceData!$M$329),"")</f>
        <v>9.3646021749999999</v>
      </c>
      <c r="N329">
        <f ca="1">IFERROR(IF(0=LEN(ReferenceData!$N$329),"",ReferenceData!$N$329),"")</f>
        <v>10.339100780000001</v>
      </c>
      <c r="O329">
        <f ca="1">IFERROR(IF(0=LEN(ReferenceData!$O$329),"",ReferenceData!$O$329),"")</f>
        <v>10.91287554</v>
      </c>
      <c r="P329">
        <f ca="1">IFERROR(IF(0=LEN(ReferenceData!$P$329),"",ReferenceData!$P$329),"")</f>
        <v>11.914191779999999</v>
      </c>
      <c r="Q329">
        <f ca="1">IFERROR(IF(0=LEN(ReferenceData!$Q$329),"",ReferenceData!$Q$329),"")</f>
        <v>12.985441639999999</v>
      </c>
      <c r="R329">
        <f ca="1">IFERROR(IF(0=LEN(ReferenceData!$R$329),"",ReferenceData!$R$329),"")</f>
        <v>12.8179406</v>
      </c>
      <c r="S329">
        <f ca="1">IFERROR(IF(0=LEN(ReferenceData!$S$329),"",ReferenceData!$S$329),"")</f>
        <v>10.70121644</v>
      </c>
      <c r="T329">
        <f ca="1">IFERROR(IF(0=LEN(ReferenceData!$T$329),"",ReferenceData!$T$329),"")</f>
        <v>10.930827900000001</v>
      </c>
      <c r="U329">
        <f ca="1">IFERROR(IF(0=LEN(ReferenceData!$U$329),"",ReferenceData!$U$329),"")</f>
        <v>11.89255927</v>
      </c>
      <c r="V329">
        <f ca="1">IFERROR(IF(0=LEN(ReferenceData!$V$329),"",ReferenceData!$V$329),"")</f>
        <v>10.82814731</v>
      </c>
      <c r="W329">
        <f ca="1">IFERROR(IF(0=LEN(ReferenceData!$W$329),"",ReferenceData!$W$329),"")</f>
        <v>10.766241819999999</v>
      </c>
      <c r="X329">
        <f ca="1">IFERROR(IF(0=LEN(ReferenceData!$X$329),"",ReferenceData!$X$329),"")</f>
        <v>8.1390130719999991</v>
      </c>
      <c r="Y329">
        <f ca="1">IFERROR(IF(0=LEN(ReferenceData!$Y$329),"",ReferenceData!$Y$329),"")</f>
        <v>8.3066248839999997</v>
      </c>
      <c r="Z329">
        <f ca="1">IFERROR(IF(0=LEN(ReferenceData!$Z$329),"",ReferenceData!$Z$329),"")</f>
        <v>8.0933417290000005</v>
      </c>
      <c r="AA329">
        <f ca="1">IFERROR(IF(0=LEN(ReferenceData!$AA$329),"",ReferenceData!$AA$329),"")</f>
        <v>8.8359255409999999</v>
      </c>
      <c r="AB329">
        <f ca="1">IFERROR(IF(0=LEN(ReferenceData!$AB$329),"",ReferenceData!$AB$329),"")</f>
        <v>7.5756511260000003</v>
      </c>
      <c r="AC329">
        <f ca="1">IFERROR(IF(0=LEN(ReferenceData!$AC$329),"",ReferenceData!$AC$329),"")</f>
        <v>7.4909999760000003</v>
      </c>
      <c r="AD329">
        <f ca="1">IFERROR(IF(0=LEN(ReferenceData!$AD$329),"",ReferenceData!$AD$329),"")</f>
        <v>8.0303816609999998</v>
      </c>
      <c r="AE329">
        <f ca="1">IFERROR(IF(0=LEN(ReferenceData!$AE$329),"",ReferenceData!$AE$329),"")</f>
        <v>6.9491662920000001</v>
      </c>
      <c r="AF329">
        <f ca="1">IFERROR(IF(0=LEN(ReferenceData!$AF$329),"",ReferenceData!$AF$329),"")</f>
        <v>6.6771196489999998</v>
      </c>
      <c r="AG329">
        <f ca="1">IFERROR(IF(0=LEN(ReferenceData!$AG$329),"",ReferenceData!$AG$329),"")</f>
        <v>5.6239023350000004</v>
      </c>
      <c r="AH329">
        <f ca="1">IFERROR(IF(0=LEN(ReferenceData!$AH$329),"",ReferenceData!$AH$329),"")</f>
        <v>6.0107451660000004</v>
      </c>
      <c r="AI329">
        <f ca="1">IFERROR(IF(0=LEN(ReferenceData!$AI$329),"",ReferenceData!$AI$329),"")</f>
        <v>5.1994056940000002</v>
      </c>
      <c r="AJ329">
        <f ca="1">IFERROR(IF(0=LEN(ReferenceData!$AJ$329),"",ReferenceData!$AJ$329),"")</f>
        <v>5.6824758080000004</v>
      </c>
      <c r="AK329">
        <f ca="1">IFERROR(IF(0=LEN(ReferenceData!$AK$329),"",ReferenceData!$AK$329),"")</f>
        <v>6.3667193830000004</v>
      </c>
      <c r="AL329">
        <f ca="1">IFERROR(IF(0=LEN(ReferenceData!$AL$329),"",ReferenceData!$AL$329),"")</f>
        <v>7.3916188849999998</v>
      </c>
      <c r="AM329">
        <f ca="1">IFERROR(IF(0=LEN(ReferenceData!$AM$329),"",ReferenceData!$AM$329),"")</f>
        <v>7.0821569699999998</v>
      </c>
      <c r="AN329">
        <f ca="1">IFERROR(IF(0=LEN(ReferenceData!$AN$329),"",ReferenceData!$AN$329),"")</f>
        <v>7.7826818619999996</v>
      </c>
      <c r="AO329">
        <f ca="1">IFERROR(IF(0=LEN(ReferenceData!$AO$329),"",ReferenceData!$AO$329),"")</f>
        <v>5.7186899359999996</v>
      </c>
      <c r="AP329">
        <f ca="1">IFERROR(IF(0=LEN(ReferenceData!$AP$329),"",ReferenceData!$AP$329),"")</f>
        <v>6.4025615220000001</v>
      </c>
      <c r="AQ329">
        <f ca="1">IFERROR(IF(0=LEN(ReferenceData!$AQ$329),"",ReferenceData!$AQ$329),"")</f>
        <v>6.6341000149999996</v>
      </c>
      <c r="AR329">
        <f ca="1">IFERROR(IF(0=LEN(ReferenceData!$AR$329),"",ReferenceData!$AR$329),"")</f>
        <v>6.4130647070000002</v>
      </c>
      <c r="AS329">
        <f ca="1">IFERROR(IF(0=LEN(ReferenceData!$AS$329),"",ReferenceData!$AS$329),"")</f>
        <v>5.1579247549999998</v>
      </c>
      <c r="AT329">
        <f ca="1">IFERROR(IF(0=LEN(ReferenceData!$AT$329),"",ReferenceData!$AT$329),"")</f>
        <v>4.13631554</v>
      </c>
      <c r="AU329">
        <f ca="1">IFERROR(IF(0=LEN(ReferenceData!$AU$329),"",ReferenceData!$AU$329),"")</f>
        <v>3.7355870150000001</v>
      </c>
      <c r="AV329">
        <f ca="1">IFERROR(IF(0=LEN(ReferenceData!$AV$329),"",ReferenceData!$AV$329),"")</f>
        <v>4.9367117650000001</v>
      </c>
      <c r="AW329">
        <f ca="1">IFERROR(IF(0=LEN(ReferenceData!$AW$329),"",ReferenceData!$AW$329),"")</f>
        <v>5.8538881099999998</v>
      </c>
      <c r="AX329">
        <f ca="1">IFERROR(IF(0=LEN(ReferenceData!$AX$329),"",ReferenceData!$AX$329),"")</f>
        <v>8.5470005800000006</v>
      </c>
      <c r="AY329">
        <f ca="1">IFERROR(IF(0=LEN(ReferenceData!$AY$329),"",ReferenceData!$AY$329),"")</f>
        <v>13.691523269999999</v>
      </c>
      <c r="AZ329">
        <f ca="1">IFERROR(IF(0=LEN(ReferenceData!$AZ$329),"",ReferenceData!$AZ$329),"")</f>
        <v>14.50154238</v>
      </c>
      <c r="BA329">
        <f ca="1">IFERROR(IF(0=LEN(ReferenceData!$BA$329),"",ReferenceData!$BA$329),"")</f>
        <v>18.027242909999998</v>
      </c>
      <c r="BB329">
        <f ca="1">IFERROR(IF(0=LEN(ReferenceData!$BB$329),"",ReferenceData!$BB$329),"")</f>
        <v>13.60307972</v>
      </c>
      <c r="BC329">
        <f ca="1">IFERROR(IF(0=LEN(ReferenceData!$BC$329),"",ReferenceData!$BC$329),"")</f>
        <v>12.63721696</v>
      </c>
      <c r="BD329">
        <f ca="1">IFERROR(IF(0=LEN(ReferenceData!$BD$329),"",ReferenceData!$BD$329),"")</f>
        <v>10.08988422</v>
      </c>
      <c r="BE329">
        <f ca="1">IFERROR(IF(0=LEN(ReferenceData!$BE$329),"",ReferenceData!$BE$329),"")</f>
        <v>8.9298534689999993</v>
      </c>
      <c r="BF329">
        <f ca="1">IFERROR(IF(0=LEN(ReferenceData!$BF$329),"",ReferenceData!$BF$329),"")</f>
        <v>9.8630603220000008</v>
      </c>
      <c r="BG329">
        <f ca="1">IFERROR(IF(0=LEN(ReferenceData!$BG$329),"",ReferenceData!$BG$329),"")</f>
        <v>7.0499523719999999</v>
      </c>
      <c r="BH329" t="str">
        <f ca="1">IFERROR(IF(0=LEN(ReferenceData!$BH$329),"",ReferenceData!$BH$329),"")</f>
        <v/>
      </c>
      <c r="BI329" t="str">
        <f ca="1">IFERROR(IF(0=LEN(ReferenceData!$BI$329),"",ReferenceData!$BI$329),"")</f>
        <v/>
      </c>
      <c r="BJ329" t="str">
        <f ca="1">IFERROR(IF(0=LEN(ReferenceData!$BJ$329),"",ReferenceData!$BJ$329),"")</f>
        <v/>
      </c>
      <c r="BK329" t="str">
        <f ca="1">IFERROR(IF(0=LEN(ReferenceData!$BK$329),"",ReferenceData!$BK$329),"")</f>
        <v/>
      </c>
      <c r="BL329" t="str">
        <f ca="1">IFERROR(IF(0=LEN(ReferenceData!$BL$329),"",ReferenceData!$BL$329),"")</f>
        <v/>
      </c>
      <c r="BM329" t="str">
        <f ca="1">IFERROR(IF(0=LEN(ReferenceData!$BM$329),"",ReferenceData!$BM$329),"")</f>
        <v/>
      </c>
    </row>
    <row r="330" spans="1:65" x14ac:dyDescent="0.25">
      <c r="A330" t="str">
        <f>IFERROR(IF(0=LEN(ReferenceData!$A$330),"",ReferenceData!$A$330),"")</f>
        <v xml:space="preserve">    Toyota Motor Corp</v>
      </c>
      <c r="B330" t="str">
        <f>IFERROR(IF(0=LEN(ReferenceData!$B$330),"",ReferenceData!$B$330),"")</f>
        <v>7203 JP Equity</v>
      </c>
      <c r="C330" t="str">
        <f>IFERROR(IF(0=LEN(ReferenceData!$C$330),"",ReferenceData!$C$330),"")</f>
        <v>RR474</v>
      </c>
      <c r="D330" t="str">
        <f>IFERROR(IF(0=LEN(ReferenceData!$D$330),"",ReferenceData!$D$330),"")</f>
        <v>EV_TO_T12M_EBITDA</v>
      </c>
      <c r="E330" t="str">
        <f>IFERROR(IF(0=LEN(ReferenceData!$E$330),"",ReferenceData!$E$330),"")</f>
        <v>Dynamic</v>
      </c>
      <c r="F330" t="str">
        <f ca="1">IFERROR(IF(0=LEN(ReferenceData!$F$330),"",ReferenceData!$F$330),"")</f>
        <v/>
      </c>
      <c r="G330">
        <f ca="1">IFERROR(IF(0=LEN(ReferenceData!$G$330),"",ReferenceData!$G$330),"")</f>
        <v>7.9190836490000001</v>
      </c>
      <c r="H330">
        <f ca="1">IFERROR(IF(0=LEN(ReferenceData!$H$330),"",ReferenceData!$H$330),"")</f>
        <v>8.4454494049999997</v>
      </c>
      <c r="I330">
        <f ca="1">IFERROR(IF(0=LEN(ReferenceData!$I$330),"",ReferenceData!$I$330),"")</f>
        <v>8.6040479429999994</v>
      </c>
      <c r="J330">
        <f ca="1">IFERROR(IF(0=LEN(ReferenceData!$J$330),"",ReferenceData!$J$330),"")</f>
        <v>8.3886533889999999</v>
      </c>
      <c r="K330">
        <f ca="1">IFERROR(IF(0=LEN(ReferenceData!$K$330),"",ReferenceData!$K$330),"")</f>
        <v>9.4088937480000006</v>
      </c>
      <c r="L330">
        <f ca="1">IFERROR(IF(0=LEN(ReferenceData!$L$330),"",ReferenceData!$L$330),"")</f>
        <v>9.5433733939999996</v>
      </c>
      <c r="M330">
        <f ca="1">IFERROR(IF(0=LEN(ReferenceData!$M$330),"",ReferenceData!$M$330),"")</f>
        <v>9.0925549439999998</v>
      </c>
      <c r="N330">
        <f ca="1">IFERROR(IF(0=LEN(ReferenceData!$N$330),"",ReferenceData!$N$330),"")</f>
        <v>8.9883972540000006</v>
      </c>
      <c r="O330">
        <f ca="1">IFERROR(IF(0=LEN(ReferenceData!$O$330),"",ReferenceData!$O$330),"")</f>
        <v>9.7558657380000007</v>
      </c>
      <c r="P330">
        <f ca="1">IFERROR(IF(0=LEN(ReferenceData!$P$330),"",ReferenceData!$P$330),"")</f>
        <v>7.510641197</v>
      </c>
      <c r="Q330">
        <f ca="1">IFERROR(IF(0=LEN(ReferenceData!$Q$330),"",ReferenceData!$Q$330),"")</f>
        <v>6.3339399800000002</v>
      </c>
      <c r="R330">
        <f ca="1">IFERROR(IF(0=LEN(ReferenceData!$R$330),"",ReferenceData!$R$330),"")</f>
        <v>7.1949066909999999</v>
      </c>
      <c r="S330">
        <f ca="1">IFERROR(IF(0=LEN(ReferenceData!$S$330),"",ReferenceData!$S$330),"")</f>
        <v>8.4888093560000009</v>
      </c>
      <c r="T330">
        <f ca="1">IFERROR(IF(0=LEN(ReferenceData!$T$330),"",ReferenceData!$T$330),"")</f>
        <v>8.1592307169999998</v>
      </c>
      <c r="U330">
        <f ca="1">IFERROR(IF(0=LEN(ReferenceData!$U$330),"",ReferenceData!$U$330),"")</f>
        <v>9.6647569149999999</v>
      </c>
      <c r="V330">
        <f ca="1">IFERROR(IF(0=LEN(ReferenceData!$V$330),"",ReferenceData!$V$330),"")</f>
        <v>9.8568288650000007</v>
      </c>
      <c r="W330">
        <f ca="1">IFERROR(IF(0=LEN(ReferenceData!$W$330),"",ReferenceData!$W$330),"")</f>
        <v>10.06267454</v>
      </c>
      <c r="X330">
        <f ca="1">IFERROR(IF(0=LEN(ReferenceData!$X$330),"",ReferenceData!$X$330),"")</f>
        <v>9.2959499230000002</v>
      </c>
      <c r="Y330">
        <f ca="1">IFERROR(IF(0=LEN(ReferenceData!$Y$330),"",ReferenceData!$Y$330),"")</f>
        <v>8.9290219539999995</v>
      </c>
      <c r="Z330">
        <f ca="1">IFERROR(IF(0=LEN(ReferenceData!$Z$330),"",ReferenceData!$Z$330),"")</f>
        <v>8.8276442799999995</v>
      </c>
      <c r="AA330">
        <f ca="1">IFERROR(IF(0=LEN(ReferenceData!$AA$330),"",ReferenceData!$AA$330),"")</f>
        <v>9.4499778760000002</v>
      </c>
      <c r="AB330">
        <f ca="1">IFERROR(IF(0=LEN(ReferenceData!$AB$330),"",ReferenceData!$AB$330),"")</f>
        <v>10.3711076</v>
      </c>
      <c r="AC330">
        <f ca="1">IFERROR(IF(0=LEN(ReferenceData!$AC$330),"",ReferenceData!$AC$330),"")</f>
        <v>11.085379440000001</v>
      </c>
      <c r="AD330">
        <f ca="1">IFERROR(IF(0=LEN(ReferenceData!$AD$330),"",ReferenceData!$AD$330),"")</f>
        <v>11.079834780000001</v>
      </c>
      <c r="AE330">
        <f ca="1">IFERROR(IF(0=LEN(ReferenceData!$AE$330),"",ReferenceData!$AE$330),"")</f>
        <v>10.959411960000001</v>
      </c>
      <c r="AF330">
        <f ca="1">IFERROR(IF(0=LEN(ReferenceData!$AF$330),"",ReferenceData!$AF$330),"")</f>
        <v>8.7866552819999999</v>
      </c>
      <c r="AG330">
        <f ca="1">IFERROR(IF(0=LEN(ReferenceData!$AG$330),"",ReferenceData!$AG$330),"")</f>
        <v>10.25126837</v>
      </c>
      <c r="AH330">
        <f ca="1">IFERROR(IF(0=LEN(ReferenceData!$AH$330),"",ReferenceData!$AH$330),"")</f>
        <v>14.6732242</v>
      </c>
      <c r="AI330">
        <f ca="1">IFERROR(IF(0=LEN(ReferenceData!$AI$330),"",ReferenceData!$AI$330),"")</f>
        <v>13.90426998</v>
      </c>
      <c r="AJ330">
        <f ca="1">IFERROR(IF(0=LEN(ReferenceData!$AJ$330),"",ReferenceData!$AJ$330),"")</f>
        <v>14.15329373</v>
      </c>
      <c r="AK330">
        <f ca="1">IFERROR(IF(0=LEN(ReferenceData!$AK$330),"",ReferenceData!$AK$330),"")</f>
        <v>15.020485259999999</v>
      </c>
      <c r="AL330">
        <f ca="1">IFERROR(IF(0=LEN(ReferenceData!$AL$330),"",ReferenceData!$AL$330),"")</f>
        <v>12.15637579</v>
      </c>
      <c r="AM330">
        <f ca="1">IFERROR(IF(0=LEN(ReferenceData!$AM$330),"",ReferenceData!$AM$330),"")</f>
        <v>10.87220026</v>
      </c>
      <c r="AN330">
        <f ca="1">IFERROR(IF(0=LEN(ReferenceData!$AN$330),"",ReferenceData!$AN$330),"")</f>
        <v>9.4306259130000001</v>
      </c>
      <c r="AO330">
        <f ca="1">IFERROR(IF(0=LEN(ReferenceData!$AO$330),"",ReferenceData!$AO$330),"")</f>
        <v>9.575607497</v>
      </c>
      <c r="AP330">
        <f ca="1">IFERROR(IF(0=LEN(ReferenceData!$AP$330),"",ReferenceData!$AP$330),"")</f>
        <v>13.30067972</v>
      </c>
      <c r="AQ330">
        <f ca="1">IFERROR(IF(0=LEN(ReferenceData!$AQ$330),"",ReferenceData!$AQ$330),"")</f>
        <v>26.679256630000001</v>
      </c>
      <c r="AR330">
        <f ca="1">IFERROR(IF(0=LEN(ReferenceData!$AR$330),"",ReferenceData!$AR$330),"")</f>
        <v>77.553506010000007</v>
      </c>
      <c r="AS330">
        <f ca="1">IFERROR(IF(0=LEN(ReferenceData!$AS$330),"",ReferenceData!$AS$330),"")</f>
        <v>52.90054147</v>
      </c>
      <c r="AT330">
        <f ca="1">IFERROR(IF(0=LEN(ReferenceData!$AT$330),"",ReferenceData!$AT$330),"")</f>
        <v>19.29814549</v>
      </c>
      <c r="AU330" t="str">
        <f ca="1">IFERROR(IF(0=LEN(ReferenceData!$AU$330),"",ReferenceData!$AU$330),"")</f>
        <v/>
      </c>
      <c r="AV330" t="str">
        <f ca="1">IFERROR(IF(0=LEN(ReferenceData!$AV$330),"",ReferenceData!$AV$330),"")</f>
        <v/>
      </c>
      <c r="AW330" t="str">
        <f ca="1">IFERROR(IF(0=LEN(ReferenceData!$AW$330),"",ReferenceData!$AW$330),"")</f>
        <v/>
      </c>
      <c r="AX330" t="str">
        <f ca="1">IFERROR(IF(0=LEN(ReferenceData!$AX$330),"",ReferenceData!$AX$330),"")</f>
        <v/>
      </c>
      <c r="AY330" t="str">
        <f ca="1">IFERROR(IF(0=LEN(ReferenceData!$AY$330),"",ReferenceData!$AY$330),"")</f>
        <v/>
      </c>
      <c r="AZ330" t="str">
        <f ca="1">IFERROR(IF(0=LEN(ReferenceData!$AZ$330),"",ReferenceData!$AZ$330),"")</f>
        <v/>
      </c>
      <c r="BA330" t="str">
        <f ca="1">IFERROR(IF(0=LEN(ReferenceData!$BA$330),"",ReferenceData!$BA$330),"")</f>
        <v/>
      </c>
      <c r="BB330" t="str">
        <f ca="1">IFERROR(IF(0=LEN(ReferenceData!$BB$330),"",ReferenceData!$BB$330),"")</f>
        <v/>
      </c>
      <c r="BC330" t="str">
        <f ca="1">IFERROR(IF(0=LEN(ReferenceData!$BC$330),"",ReferenceData!$BC$330),"")</f>
        <v/>
      </c>
      <c r="BD330" t="str">
        <f ca="1">IFERROR(IF(0=LEN(ReferenceData!$BD$330),"",ReferenceData!$BD$330),"")</f>
        <v/>
      </c>
      <c r="BE330" t="str">
        <f ca="1">IFERROR(IF(0=LEN(ReferenceData!$BE$330),"",ReferenceData!$BE$330),"")</f>
        <v/>
      </c>
      <c r="BF330" t="str">
        <f ca="1">IFERROR(IF(0=LEN(ReferenceData!$BF$330),"",ReferenceData!$BF$330),"")</f>
        <v/>
      </c>
      <c r="BG330" t="str">
        <f ca="1">IFERROR(IF(0=LEN(ReferenceData!$BG$330),"",ReferenceData!$BG$330),"")</f>
        <v/>
      </c>
      <c r="BH330" t="str">
        <f ca="1">IFERROR(IF(0=LEN(ReferenceData!$BH$330),"",ReferenceData!$BH$330),"")</f>
        <v/>
      </c>
      <c r="BI330" t="str">
        <f ca="1">IFERROR(IF(0=LEN(ReferenceData!$BI$330),"",ReferenceData!$BI$330),"")</f>
        <v/>
      </c>
      <c r="BJ330" t="str">
        <f ca="1">IFERROR(IF(0=LEN(ReferenceData!$BJ$330),"",ReferenceData!$BJ$330),"")</f>
        <v/>
      </c>
      <c r="BK330" t="str">
        <f ca="1">IFERROR(IF(0=LEN(ReferenceData!$BK$330),"",ReferenceData!$BK$330),"")</f>
        <v/>
      </c>
      <c r="BL330" t="str">
        <f ca="1">IFERROR(IF(0=LEN(ReferenceData!$BL$330),"",ReferenceData!$BL$330),"")</f>
        <v/>
      </c>
      <c r="BM330" t="str">
        <f ca="1">IFERROR(IF(0=LEN(ReferenceData!$BM$330),"",ReferenceData!$BM$330),"")</f>
        <v/>
      </c>
    </row>
    <row r="331" spans="1:65" x14ac:dyDescent="0.25">
      <c r="A331" t="str">
        <f>IFERROR(IF(0=LEN(ReferenceData!$A$331),"",ReferenceData!$A$331),"")</f>
        <v xml:space="preserve">    Volkswagen AG</v>
      </c>
      <c r="B331" t="str">
        <f>IFERROR(IF(0=LEN(ReferenceData!$B$331),"",ReferenceData!$B$331),"")</f>
        <v>VOW GR Equity</v>
      </c>
      <c r="C331" t="str">
        <f>IFERROR(IF(0=LEN(ReferenceData!$C$331),"",ReferenceData!$C$331),"")</f>
        <v>RR474</v>
      </c>
      <c r="D331" t="str">
        <f>IFERROR(IF(0=LEN(ReferenceData!$D$331),"",ReferenceData!$D$331),"")</f>
        <v>EV_TO_T12M_EBITDA</v>
      </c>
      <c r="E331" t="str">
        <f>IFERROR(IF(0=LEN(ReferenceData!$E$331),"",ReferenceData!$E$331),"")</f>
        <v>Dynamic</v>
      </c>
      <c r="F331" t="str">
        <f ca="1">IFERROR(IF(0=LEN(ReferenceData!$F$331),"",ReferenceData!$F$331),"")</f>
        <v/>
      </c>
      <c r="G331" t="str">
        <f ca="1">IFERROR(IF(0=LEN(ReferenceData!$G$331),"",ReferenceData!$G$331),"")</f>
        <v/>
      </c>
      <c r="H331">
        <f ca="1">IFERROR(IF(0=LEN(ReferenceData!$H$331),"",ReferenceData!$H$331),"")</f>
        <v>1.7455979800000001</v>
      </c>
      <c r="I331">
        <f ca="1">IFERROR(IF(0=LEN(ReferenceData!$I$331),"",ReferenceData!$I$331),"")</f>
        <v>2.0327354610000001</v>
      </c>
      <c r="J331">
        <f ca="1">IFERROR(IF(0=LEN(ReferenceData!$J$331),"",ReferenceData!$J$331),"")</f>
        <v>1.9496002219999999</v>
      </c>
      <c r="K331">
        <f ca="1">IFERROR(IF(0=LEN(ReferenceData!$K$331),"",ReferenceData!$K$331),"")</f>
        <v>1.831111352</v>
      </c>
      <c r="L331">
        <f ca="1">IFERROR(IF(0=LEN(ReferenceData!$L$331),"",ReferenceData!$L$331),"")</f>
        <v>1.928737983</v>
      </c>
      <c r="M331">
        <f ca="1">IFERROR(IF(0=LEN(ReferenceData!$M$331),"",ReferenceData!$M$331),"")</f>
        <v>1.8666758539999999</v>
      </c>
      <c r="N331">
        <f ca="1">IFERROR(IF(0=LEN(ReferenceData!$N$331),"",ReferenceData!$N$331),"")</f>
        <v>2.4393508000000002</v>
      </c>
      <c r="O331">
        <f ca="1">IFERROR(IF(0=LEN(ReferenceData!$O$331),"",ReferenceData!$O$331),"")</f>
        <v>1.519540122</v>
      </c>
      <c r="P331">
        <f ca="1">IFERROR(IF(0=LEN(ReferenceData!$P$331),"",ReferenceData!$P$331),"")</f>
        <v>2.0591014510000001</v>
      </c>
      <c r="Q331">
        <f ca="1">IFERROR(IF(0=LEN(ReferenceData!$Q$331),"",ReferenceData!$Q$331),"")</f>
        <v>2.805229642</v>
      </c>
      <c r="R331">
        <f ca="1">IFERROR(IF(0=LEN(ReferenceData!$R$331),"",ReferenceData!$R$331),"")</f>
        <v>2.969088599</v>
      </c>
      <c r="S331">
        <f ca="1">IFERROR(IF(0=LEN(ReferenceData!$S$331),"",ReferenceData!$S$331),"")</f>
        <v>3.5511181430000001</v>
      </c>
      <c r="T331">
        <f ca="1">IFERROR(IF(0=LEN(ReferenceData!$T$331),"",ReferenceData!$T$331),"")</f>
        <v>1.2810196410000001</v>
      </c>
      <c r="U331">
        <f ca="1">IFERROR(IF(0=LEN(ReferenceData!$U$331),"",ReferenceData!$U$331),"")</f>
        <v>2.7812890659999998</v>
      </c>
      <c r="V331">
        <f ca="1">IFERROR(IF(0=LEN(ReferenceData!$V$331),"",ReferenceData!$V$331),"")</f>
        <v>3.363939893</v>
      </c>
      <c r="W331">
        <f ca="1">IFERROR(IF(0=LEN(ReferenceData!$W$331),"",ReferenceData!$W$331),"")</f>
        <v>2.5718978749999999</v>
      </c>
      <c r="X331">
        <f ca="1">IFERROR(IF(0=LEN(ReferenceData!$X$331),"",ReferenceData!$X$331),"")</f>
        <v>2.3618134099999999</v>
      </c>
      <c r="Y331">
        <f ca="1">IFERROR(IF(0=LEN(ReferenceData!$Y$331),"",ReferenceData!$Y$331),"")</f>
        <v>2.990430726</v>
      </c>
      <c r="Z331">
        <f ca="1">IFERROR(IF(0=LEN(ReferenceData!$Z$331),"",ReferenceData!$Z$331),"")</f>
        <v>2.8276748120000001</v>
      </c>
      <c r="AA331">
        <f ca="1">IFERROR(IF(0=LEN(ReferenceData!$AA$331),"",ReferenceData!$AA$331),"")</f>
        <v>3.1950207920000002</v>
      </c>
      <c r="AB331">
        <f ca="1">IFERROR(IF(0=LEN(ReferenceData!$AB$331),"",ReferenceData!$AB$331),"")</f>
        <v>2.6294004989999999</v>
      </c>
      <c r="AC331">
        <f ca="1">IFERROR(IF(0=LEN(ReferenceData!$AC$331),"",ReferenceData!$AC$331),"")</f>
        <v>2.4938955059999999</v>
      </c>
      <c r="AD331">
        <f ca="1">IFERROR(IF(0=LEN(ReferenceData!$AD$331),"",ReferenceData!$AD$331),"")</f>
        <v>2.618072701</v>
      </c>
      <c r="AE331">
        <f ca="1">IFERROR(IF(0=LEN(ReferenceData!$AE$331),"",ReferenceData!$AE$331),"")</f>
        <v>2.9658274859999998</v>
      </c>
      <c r="AF331">
        <f ca="1">IFERROR(IF(0=LEN(ReferenceData!$AF$331),"",ReferenceData!$AF$331),"")</f>
        <v>2.456428072</v>
      </c>
      <c r="AG331">
        <f ca="1">IFERROR(IF(0=LEN(ReferenceData!$AG$331),"",ReferenceData!$AG$331),"")</f>
        <v>1.968653902</v>
      </c>
      <c r="AH331">
        <f ca="1">IFERROR(IF(0=LEN(ReferenceData!$AH$331),"",ReferenceData!$AH$331),"")</f>
        <v>2.094270538</v>
      </c>
      <c r="AI331">
        <f ca="1">IFERROR(IF(0=LEN(ReferenceData!$AI$331),"",ReferenceData!$AI$331),"")</f>
        <v>1.8061192580000001</v>
      </c>
      <c r="AJ331">
        <f ca="1">IFERROR(IF(0=LEN(ReferenceData!$AJ$331),"",ReferenceData!$AJ$331),"")</f>
        <v>1.2775853020000001</v>
      </c>
      <c r="AK331">
        <f ca="1">IFERROR(IF(0=LEN(ReferenceData!$AK$331),"",ReferenceData!$AK$331),"")</f>
        <v>2.2067036710000001</v>
      </c>
      <c r="AL331">
        <f ca="1">IFERROR(IF(0=LEN(ReferenceData!$AL$331),"",ReferenceData!$AL$331),"")</f>
        <v>1.829788269</v>
      </c>
      <c r="AM331">
        <f ca="1">IFERROR(IF(0=LEN(ReferenceData!$AM$331),"",ReferenceData!$AM$331),"")</f>
        <v>2.0342104320000001</v>
      </c>
      <c r="AN331">
        <f ca="1">IFERROR(IF(0=LEN(ReferenceData!$AN$331),"",ReferenceData!$AN$331),"")</f>
        <v>1.5037274810000001</v>
      </c>
      <c r="AO331">
        <f ca="1">IFERROR(IF(0=LEN(ReferenceData!$AO$331),"",ReferenceData!$AO$331),"")</f>
        <v>1.4406662370000001</v>
      </c>
      <c r="AP331">
        <f ca="1">IFERROR(IF(0=LEN(ReferenceData!$AP$331),"",ReferenceData!$AP$331),"")</f>
        <v>1.9427485419999999</v>
      </c>
      <c r="AQ331">
        <f ca="1">IFERROR(IF(0=LEN(ReferenceData!$AQ$331),"",ReferenceData!$AQ$331),"")</f>
        <v>7.9805208729999997</v>
      </c>
      <c r="AR331">
        <f ca="1">IFERROR(IF(0=LEN(ReferenceData!$AR$331),"",ReferenceData!$AR$331),"")</f>
        <v>7.9910163220000001</v>
      </c>
      <c r="AS331">
        <f ca="1">IFERROR(IF(0=LEN(ReferenceData!$AS$331),"",ReferenceData!$AS$331),"")</f>
        <v>11.42170778</v>
      </c>
      <c r="AT331">
        <f ca="1">IFERROR(IF(0=LEN(ReferenceData!$AT$331),"",ReferenceData!$AT$331),"")</f>
        <v>10.4872364</v>
      </c>
      <c r="AU331">
        <f ca="1">IFERROR(IF(0=LEN(ReferenceData!$AU$331),"",ReferenceData!$AU$331),"")</f>
        <v>9.3397981600000008</v>
      </c>
      <c r="AV331">
        <f ca="1">IFERROR(IF(0=LEN(ReferenceData!$AV$331),"",ReferenceData!$AV$331),"")</f>
        <v>11.40578178</v>
      </c>
      <c r="AW331">
        <f ca="1">IFERROR(IF(0=LEN(ReferenceData!$AW$331),"",ReferenceData!$AW$331),"")</f>
        <v>7.2547495169999996</v>
      </c>
      <c r="AX331">
        <f ca="1">IFERROR(IF(0=LEN(ReferenceData!$AX$331),"",ReferenceData!$AX$331),"")</f>
        <v>7.306036443</v>
      </c>
      <c r="AY331">
        <f ca="1">IFERROR(IF(0=LEN(ReferenceData!$AY$331),"",ReferenceData!$AY$331),"")</f>
        <v>6.6393962000000002</v>
      </c>
      <c r="AZ331">
        <f ca="1">IFERROR(IF(0=LEN(ReferenceData!$AZ$331),"",ReferenceData!$AZ$331),"")</f>
        <v>7.0991201110000004</v>
      </c>
      <c r="BA331">
        <f ca="1">IFERROR(IF(0=LEN(ReferenceData!$BA$331),"",ReferenceData!$BA$331),"")</f>
        <v>6.3765467969999996</v>
      </c>
      <c r="BB331">
        <f ca="1">IFERROR(IF(0=LEN(ReferenceData!$BB$331),"",ReferenceData!$BB$331),"")</f>
        <v>6.4683519199999999</v>
      </c>
      <c r="BC331">
        <f ca="1">IFERROR(IF(0=LEN(ReferenceData!$BC$331),"",ReferenceData!$BC$331),"")</f>
        <v>5.9145012799999996</v>
      </c>
      <c r="BD331">
        <f ca="1">IFERROR(IF(0=LEN(ReferenceData!$BD$331),"",ReferenceData!$BD$331),"")</f>
        <v>5.1690390590000002</v>
      </c>
      <c r="BE331">
        <f ca="1">IFERROR(IF(0=LEN(ReferenceData!$BE$331),"",ReferenceData!$BE$331),"")</f>
        <v>5.0938053510000003</v>
      </c>
      <c r="BF331">
        <f ca="1">IFERROR(IF(0=LEN(ReferenceData!$BF$331),"",ReferenceData!$BF$331),"")</f>
        <v>5.9826655820000001</v>
      </c>
      <c r="BG331">
        <f ca="1">IFERROR(IF(0=LEN(ReferenceData!$BG$331),"",ReferenceData!$BG$331),"")</f>
        <v>6.1206547269999998</v>
      </c>
      <c r="BH331">
        <f ca="1">IFERROR(IF(0=LEN(ReferenceData!$BH$331),"",ReferenceData!$BH$331),"")</f>
        <v>6.337911718</v>
      </c>
      <c r="BI331">
        <f ca="1">IFERROR(IF(0=LEN(ReferenceData!$BI$331),"",ReferenceData!$BI$331),"")</f>
        <v>6.0594080440000004</v>
      </c>
      <c r="BJ331">
        <f ca="1">IFERROR(IF(0=LEN(ReferenceData!$BJ$331),"",ReferenceData!$BJ$331),"")</f>
        <v>6.041282152</v>
      </c>
      <c r="BK331">
        <f ca="1">IFERROR(IF(0=LEN(ReferenceData!$BK$331),"",ReferenceData!$BK$331),"")</f>
        <v>5.9118479629999996</v>
      </c>
      <c r="BL331" t="str">
        <f ca="1">IFERROR(IF(0=LEN(ReferenceData!$BL$331),"",ReferenceData!$BL$331),"")</f>
        <v/>
      </c>
      <c r="BM331" t="str">
        <f ca="1">IFERROR(IF(0=LEN(ReferenceData!$BM$331),"",ReferenceData!$BM$331),"")</f>
        <v/>
      </c>
    </row>
    <row r="332" spans="1:65" x14ac:dyDescent="0.25">
      <c r="A332" t="str">
        <f>IFERROR(IF(0=LEN(ReferenceData!$A$332),"",ReferenceData!$A$332),"")</f>
        <v xml:space="preserve">    Yulon Motor Co Ltd</v>
      </c>
      <c r="B332" t="str">
        <f>IFERROR(IF(0=LEN(ReferenceData!$B$332),"",ReferenceData!$B$332),"")</f>
        <v>2201 TT Equity</v>
      </c>
      <c r="C332" t="str">
        <f>IFERROR(IF(0=LEN(ReferenceData!$C$332),"",ReferenceData!$C$332),"")</f>
        <v>RR474</v>
      </c>
      <c r="D332" t="str">
        <f>IFERROR(IF(0=LEN(ReferenceData!$D$332),"",ReferenceData!$D$332),"")</f>
        <v>EV_TO_T12M_EBITDA</v>
      </c>
      <c r="E332" t="str">
        <f>IFERROR(IF(0=LEN(ReferenceData!$E$332),"",ReferenceData!$E$332),"")</f>
        <v>Dynamic</v>
      </c>
      <c r="F332" t="str">
        <f ca="1">IFERROR(IF(0=LEN(ReferenceData!$F$332),"",ReferenceData!$F$332),"")</f>
        <v/>
      </c>
      <c r="G332" t="str">
        <f ca="1">IFERROR(IF(0=LEN(ReferenceData!$G$332),"",ReferenceData!$G$332),"")</f>
        <v/>
      </c>
      <c r="H332">
        <f ca="1">IFERROR(IF(0=LEN(ReferenceData!$H$332),"",ReferenceData!$H$332),"")</f>
        <v>16.33041897</v>
      </c>
      <c r="I332">
        <f ca="1">IFERROR(IF(0=LEN(ReferenceData!$I$332),"",ReferenceData!$I$332),"")</f>
        <v>15.95676327</v>
      </c>
      <c r="J332">
        <f ca="1">IFERROR(IF(0=LEN(ReferenceData!$J$332),"",ReferenceData!$J$332),"")</f>
        <v>15.79061297</v>
      </c>
      <c r="K332">
        <f ca="1">IFERROR(IF(0=LEN(ReferenceData!$K$332),"",ReferenceData!$K$332),"")</f>
        <v>15.697956899999999</v>
      </c>
      <c r="L332">
        <f ca="1">IFERROR(IF(0=LEN(ReferenceData!$L$332),"",ReferenceData!$L$332),"")</f>
        <v>14.050151680000001</v>
      </c>
      <c r="M332">
        <f ca="1">IFERROR(IF(0=LEN(ReferenceData!$M$332),"",ReferenceData!$M$332),"")</f>
        <v>13.4964812</v>
      </c>
      <c r="N332">
        <f ca="1">IFERROR(IF(0=LEN(ReferenceData!$N$332),"",ReferenceData!$N$332),"")</f>
        <v>12.34319846</v>
      </c>
      <c r="O332">
        <f ca="1">IFERROR(IF(0=LEN(ReferenceData!$O$332),"",ReferenceData!$O$332),"")</f>
        <v>12.91021289</v>
      </c>
      <c r="P332">
        <f ca="1">IFERROR(IF(0=LEN(ReferenceData!$P$332),"",ReferenceData!$P$332),"")</f>
        <v>14.54024557</v>
      </c>
      <c r="Q332">
        <f ca="1">IFERROR(IF(0=LEN(ReferenceData!$Q$332),"",ReferenceData!$Q$332),"")</f>
        <v>14.416394909999999</v>
      </c>
      <c r="R332">
        <f ca="1">IFERROR(IF(0=LEN(ReferenceData!$R$332),"",ReferenceData!$R$332),"")</f>
        <v>15.520448679999999</v>
      </c>
      <c r="S332">
        <f ca="1">IFERROR(IF(0=LEN(ReferenceData!$S$332),"",ReferenceData!$S$332),"")</f>
        <v>15.479012490000001</v>
      </c>
      <c r="T332">
        <f ca="1">IFERROR(IF(0=LEN(ReferenceData!$T$332),"",ReferenceData!$T$332),"")</f>
        <v>16.196402280000001</v>
      </c>
      <c r="U332">
        <f ca="1">IFERROR(IF(0=LEN(ReferenceData!$U$332),"",ReferenceData!$U$332),"")</f>
        <v>16.598197379999998</v>
      </c>
      <c r="V332">
        <f ca="1">IFERROR(IF(0=LEN(ReferenceData!$V$332),"",ReferenceData!$V$332),"")</f>
        <v>17.64951688</v>
      </c>
      <c r="W332">
        <f ca="1">IFERROR(IF(0=LEN(ReferenceData!$W$332),"",ReferenceData!$W$332),"")</f>
        <v>19.062458490000001</v>
      </c>
      <c r="X332">
        <f ca="1">IFERROR(IF(0=LEN(ReferenceData!$X$332),"",ReferenceData!$X$332),"")</f>
        <v>17.024195509999998</v>
      </c>
      <c r="Y332">
        <f ca="1">IFERROR(IF(0=LEN(ReferenceData!$Y$332),"",ReferenceData!$Y$332),"")</f>
        <v>21.330757590000001</v>
      </c>
      <c r="Z332">
        <f ca="1">IFERROR(IF(0=LEN(ReferenceData!$Z$332),"",ReferenceData!$Z$332),"")</f>
        <v>21.756890819999999</v>
      </c>
      <c r="AA332">
        <f ca="1">IFERROR(IF(0=LEN(ReferenceData!$AA$332),"",ReferenceData!$AA$332),"")</f>
        <v>22.162646479999999</v>
      </c>
      <c r="AB332">
        <f ca="1">IFERROR(IF(0=LEN(ReferenceData!$AB$332),"",ReferenceData!$AB$332),"")</f>
        <v>18.134174160000001</v>
      </c>
      <c r="AC332">
        <f ca="1">IFERROR(IF(0=LEN(ReferenceData!$AC$332),"",ReferenceData!$AC$332),"")</f>
        <v>16.11024772</v>
      </c>
      <c r="AD332">
        <f ca="1">IFERROR(IF(0=LEN(ReferenceData!$AD$332),"",ReferenceData!$AD$332),"")</f>
        <v>16.106766239999999</v>
      </c>
      <c r="AE332">
        <f ca="1">IFERROR(IF(0=LEN(ReferenceData!$AE$332),"",ReferenceData!$AE$332),"")</f>
        <v>16.07035239</v>
      </c>
      <c r="AF332">
        <f ca="1">IFERROR(IF(0=LEN(ReferenceData!$AF$332),"",ReferenceData!$AF$332),"")</f>
        <v>16.718714810000002</v>
      </c>
      <c r="AG332">
        <f ca="1">IFERROR(IF(0=LEN(ReferenceData!$AG$332),"",ReferenceData!$AG$332),"")</f>
        <v>15.502392560000001</v>
      </c>
      <c r="AH332">
        <f ca="1">IFERROR(IF(0=LEN(ReferenceData!$AH$332),"",ReferenceData!$AH$332),"")</f>
        <v>16.460371949999999</v>
      </c>
      <c r="AI332">
        <f ca="1">IFERROR(IF(0=LEN(ReferenceData!$AI$332),"",ReferenceData!$AI$332),"")</f>
        <v>15.15712553</v>
      </c>
      <c r="AJ332">
        <f ca="1">IFERROR(IF(0=LEN(ReferenceData!$AJ$332),"",ReferenceData!$AJ$332),"")</f>
        <v>16.22686865</v>
      </c>
      <c r="AK332">
        <f ca="1">IFERROR(IF(0=LEN(ReferenceData!$AK$332),"",ReferenceData!$AK$332),"")</f>
        <v>17.547579679999998</v>
      </c>
      <c r="AL332">
        <f ca="1">IFERROR(IF(0=LEN(ReferenceData!$AL$332),"",ReferenceData!$AL$332),"")</f>
        <v>14.191442500000001</v>
      </c>
      <c r="AM332">
        <f ca="1">IFERROR(IF(0=LEN(ReferenceData!$AM$332),"",ReferenceData!$AM$332),"")</f>
        <v>17.0416144</v>
      </c>
      <c r="AN332">
        <f ca="1">IFERROR(IF(0=LEN(ReferenceData!$AN$332),"",ReferenceData!$AN$332),"")</f>
        <v>16.442226059999999</v>
      </c>
      <c r="AO332">
        <f ca="1">IFERROR(IF(0=LEN(ReferenceData!$AO$332),"",ReferenceData!$AO$332),"")</f>
        <v>11.50462007</v>
      </c>
      <c r="AP332">
        <f ca="1">IFERROR(IF(0=LEN(ReferenceData!$AP$332),"",ReferenceData!$AP$332),"")</f>
        <v>13.17977365</v>
      </c>
      <c r="AQ332">
        <f ca="1">IFERROR(IF(0=LEN(ReferenceData!$AQ$332),"",ReferenceData!$AQ$332),"")</f>
        <v>13.99152554</v>
      </c>
      <c r="AR332">
        <f ca="1">IFERROR(IF(0=LEN(ReferenceData!$AR$332),"",ReferenceData!$AR$332),"")</f>
        <v>14.39389293</v>
      </c>
      <c r="AS332">
        <f ca="1">IFERROR(IF(0=LEN(ReferenceData!$AS$332),"",ReferenceData!$AS$332),"")</f>
        <v>14.305444359999999</v>
      </c>
      <c r="AT332">
        <f ca="1">IFERROR(IF(0=LEN(ReferenceData!$AT$332),"",ReferenceData!$AT$332),"")</f>
        <v>10.69221344</v>
      </c>
      <c r="AU332">
        <f ca="1">IFERROR(IF(0=LEN(ReferenceData!$AU$332),"",ReferenceData!$AU$332),"")</f>
        <v>9.1351577880000008</v>
      </c>
      <c r="AV332" t="str">
        <f ca="1">IFERROR(IF(0=LEN(ReferenceData!$AV$332),"",ReferenceData!$AV$332),"")</f>
        <v/>
      </c>
      <c r="AW332" t="str">
        <f ca="1">IFERROR(IF(0=LEN(ReferenceData!$AW$332),"",ReferenceData!$AW$332),"")</f>
        <v/>
      </c>
      <c r="AX332" t="str">
        <f ca="1">IFERROR(IF(0=LEN(ReferenceData!$AX$332),"",ReferenceData!$AX$332),"")</f>
        <v/>
      </c>
      <c r="AY332" t="str">
        <f ca="1">IFERROR(IF(0=LEN(ReferenceData!$AY$332),"",ReferenceData!$AY$332),"")</f>
        <v/>
      </c>
      <c r="AZ332" t="str">
        <f ca="1">IFERROR(IF(0=LEN(ReferenceData!$AZ$332),"",ReferenceData!$AZ$332),"")</f>
        <v/>
      </c>
      <c r="BA332" t="str">
        <f ca="1">IFERROR(IF(0=LEN(ReferenceData!$BA$332),"",ReferenceData!$BA$332),"")</f>
        <v/>
      </c>
      <c r="BB332" t="str">
        <f ca="1">IFERROR(IF(0=LEN(ReferenceData!$BB$332),"",ReferenceData!$BB$332),"")</f>
        <v/>
      </c>
      <c r="BC332" t="str">
        <f ca="1">IFERROR(IF(0=LEN(ReferenceData!$BC$332),"",ReferenceData!$BC$332),"")</f>
        <v/>
      </c>
      <c r="BD332" t="str">
        <f ca="1">IFERROR(IF(0=LEN(ReferenceData!$BD$332),"",ReferenceData!$BD$332),"")</f>
        <v/>
      </c>
      <c r="BE332" t="str">
        <f ca="1">IFERROR(IF(0=LEN(ReferenceData!$BE$332),"",ReferenceData!$BE$332),"")</f>
        <v/>
      </c>
      <c r="BF332" t="str">
        <f ca="1">IFERROR(IF(0=LEN(ReferenceData!$BF$332),"",ReferenceData!$BF$332),"")</f>
        <v/>
      </c>
      <c r="BG332" t="str">
        <f ca="1">IFERROR(IF(0=LEN(ReferenceData!$BG$332),"",ReferenceData!$BG$332),"")</f>
        <v/>
      </c>
      <c r="BH332" t="str">
        <f ca="1">IFERROR(IF(0=LEN(ReferenceData!$BH$332),"",ReferenceData!$BH$332),"")</f>
        <v/>
      </c>
      <c r="BI332" t="str">
        <f ca="1">IFERROR(IF(0=LEN(ReferenceData!$BI$332),"",ReferenceData!$BI$332),"")</f>
        <v/>
      </c>
      <c r="BJ332" t="str">
        <f ca="1">IFERROR(IF(0=LEN(ReferenceData!$BJ$332),"",ReferenceData!$BJ$332),"")</f>
        <v/>
      </c>
      <c r="BK332" t="str">
        <f ca="1">IFERROR(IF(0=LEN(ReferenceData!$BK$332),"",ReferenceData!$BK$332),"")</f>
        <v/>
      </c>
      <c r="BL332" t="str">
        <f ca="1">IFERROR(IF(0=LEN(ReferenceData!$BL$332),"",ReferenceData!$BL$332),"")</f>
        <v/>
      </c>
      <c r="BM332" t="str">
        <f ca="1">IFERROR(IF(0=LEN(ReferenceData!$BM$332),"",ReferenceData!$BM$332),"")</f>
        <v/>
      </c>
    </row>
    <row r="333" spans="1:65" x14ac:dyDescent="0.25">
      <c r="A333" t="str">
        <f>IFERROR(IF(0=LEN(ReferenceData!$A$333),"",ReferenceData!$A$333),"")</f>
        <v>EV / T12M Sales</v>
      </c>
      <c r="B333" t="str">
        <f>IFERROR(IF(0=LEN(ReferenceData!$B$333),"",ReferenceData!$B$333),"")</f>
        <v/>
      </c>
      <c r="C333" t="str">
        <f>IFERROR(IF(0=LEN(ReferenceData!$C$333),"",ReferenceData!$C$333),"")</f>
        <v/>
      </c>
      <c r="D333" t="str">
        <f>IFERROR(IF(0=LEN(ReferenceData!$D$333),"",ReferenceData!$D$333),"")</f>
        <v/>
      </c>
      <c r="E333" t="str">
        <f>IFERROR(IF(0=LEN(ReferenceData!$E$333),"",ReferenceData!$E$333),"")</f>
        <v>Average</v>
      </c>
      <c r="F333" t="str">
        <f ca="1">IFERROR(IF(0=LEN(ReferenceData!$F$333),"",ReferenceData!$F$333),"")</f>
        <v/>
      </c>
      <c r="G333">
        <f ca="1">IFERROR(IF(0=LEN(ReferenceData!$G$333),"",ReferenceData!$G$333),"")</f>
        <v>0.61991432807142854</v>
      </c>
      <c r="H333">
        <f ca="1">IFERROR(IF(0=LEN(ReferenceData!$H$333),"",ReferenceData!$H$333),"")</f>
        <v>0.84896656770967738</v>
      </c>
      <c r="I333">
        <f ca="1">IFERROR(IF(0=LEN(ReferenceData!$I$333),"",ReferenceData!$I$333),"")</f>
        <v>0.94808827910000015</v>
      </c>
      <c r="J333">
        <f ca="1">IFERROR(IF(0=LEN(ReferenceData!$J$333),"",ReferenceData!$J$333),"")</f>
        <v>0.99977268187096779</v>
      </c>
      <c r="K333">
        <f ca="1">IFERROR(IF(0=LEN(ReferenceData!$K$333),"",ReferenceData!$K$333),"")</f>
        <v>1.1164431953</v>
      </c>
      <c r="L333">
        <f ca="1">IFERROR(IF(0=LEN(ReferenceData!$L$333),"",ReferenceData!$L$333),"")</f>
        <v>1.1486952496774192</v>
      </c>
      <c r="M333">
        <f ca="1">IFERROR(IF(0=LEN(ReferenceData!$M$333),"",ReferenceData!$M$333),"")</f>
        <v>1.0790279313</v>
      </c>
      <c r="N333">
        <f ca="1">IFERROR(IF(0=LEN(ReferenceData!$N$333),"",ReferenceData!$N$333),"")</f>
        <v>1.0981805941290321</v>
      </c>
      <c r="O333">
        <f ca="1">IFERROR(IF(0=LEN(ReferenceData!$O$333),"",ReferenceData!$O$333),"")</f>
        <v>1.0299347244666663</v>
      </c>
      <c r="P333">
        <f ca="1">IFERROR(IF(0=LEN(ReferenceData!$P$333),"",ReferenceData!$P$333),"")</f>
        <v>0.9324697863548389</v>
      </c>
      <c r="Q333">
        <f ca="1">IFERROR(IF(0=LEN(ReferenceData!$Q$333),"",ReferenceData!$Q$333),"")</f>
        <v>1.0296968171666667</v>
      </c>
      <c r="R333">
        <f ca="1">IFERROR(IF(0=LEN(ReferenceData!$R$333),"",ReferenceData!$R$333),"")</f>
        <v>1.0988727768064515</v>
      </c>
      <c r="S333">
        <f ca="1">IFERROR(IF(0=LEN(ReferenceData!$S$333),"",ReferenceData!$S$333),"")</f>
        <v>1.1924401623666667</v>
      </c>
      <c r="T333">
        <f ca="1">IFERROR(IF(0=LEN(ReferenceData!$T$333),"",ReferenceData!$T$333),"")</f>
        <v>1.2079378055806456</v>
      </c>
      <c r="U333">
        <f ca="1">IFERROR(IF(0=LEN(ReferenceData!$U$333),"",ReferenceData!$U$333),"")</f>
        <v>1.3661334314666667</v>
      </c>
      <c r="V333">
        <f ca="1">IFERROR(IF(0=LEN(ReferenceData!$V$333),"",ReferenceData!$V$333),"")</f>
        <v>1.2554105457741935</v>
      </c>
      <c r="W333">
        <f ca="1">IFERROR(IF(0=LEN(ReferenceData!$W$333),"",ReferenceData!$W$333),"")</f>
        <v>1.2472734760666668</v>
      </c>
      <c r="X333">
        <f ca="1">IFERROR(IF(0=LEN(ReferenceData!$X$333),"",ReferenceData!$X$333),"")</f>
        <v>1.2228888414333334</v>
      </c>
      <c r="Y333">
        <f ca="1">IFERROR(IF(0=LEN(ReferenceData!$Y$333),"",ReferenceData!$Y$333),"")</f>
        <v>1.2615739048965517</v>
      </c>
      <c r="Z333">
        <f ca="1">IFERROR(IF(0=LEN(ReferenceData!$Z$333),"",ReferenceData!$Z$333),"")</f>
        <v>1.2659790266999997</v>
      </c>
      <c r="AA333">
        <f ca="1">IFERROR(IF(0=LEN(ReferenceData!$AA$333),"",ReferenceData!$AA$333),"")</f>
        <v>1.1994279293103447</v>
      </c>
      <c r="AB333">
        <f ca="1">IFERROR(IF(0=LEN(ReferenceData!$AB$333),"",ReferenceData!$AB$333),"")</f>
        <v>1.3297845766333327</v>
      </c>
      <c r="AC333">
        <f ca="1">IFERROR(IF(0=LEN(ReferenceData!$AC$333),"",ReferenceData!$AC$333),"")</f>
        <v>1.1769957807586209</v>
      </c>
      <c r="AD333">
        <f ca="1">IFERROR(IF(0=LEN(ReferenceData!$AD$333),"",ReferenceData!$AD$333),"")</f>
        <v>0.93853369676666654</v>
      </c>
      <c r="AE333">
        <f ca="1">IFERROR(IF(0=LEN(ReferenceData!$AE$333),"",ReferenceData!$AE$333),"")</f>
        <v>1.1270674477931037</v>
      </c>
      <c r="AF333">
        <f ca="1">IFERROR(IF(0=LEN(ReferenceData!$AF$333),"",ReferenceData!$AF$333),"")</f>
        <v>1.4959535962413795</v>
      </c>
      <c r="AG333">
        <f ca="1">IFERROR(IF(0=LEN(ReferenceData!$AG$333),"",ReferenceData!$AG$333),"")</f>
        <v>1.5910063854285714</v>
      </c>
      <c r="AH333">
        <f ca="1">IFERROR(IF(0=LEN(ReferenceData!$AH$333),"",ReferenceData!$AH$333),"")</f>
        <v>1.5374467187037038</v>
      </c>
      <c r="AI333">
        <f ca="1">IFERROR(IF(0=LEN(ReferenceData!$AI$333),"",ReferenceData!$AI$333),"")</f>
        <v>1.1798499715384616</v>
      </c>
      <c r="AJ333">
        <f ca="1">IFERROR(IF(0=LEN(ReferenceData!$AJ$333),"",ReferenceData!$AJ$333),"")</f>
        <v>1.1040858661481483</v>
      </c>
      <c r="AK333">
        <f ca="1">IFERROR(IF(0=LEN(ReferenceData!$AK$333),"",ReferenceData!$AK$333),"")</f>
        <v>1.42265812412</v>
      </c>
      <c r="AL333">
        <f ca="1">IFERROR(IF(0=LEN(ReferenceData!$AL$333),"",ReferenceData!$AL$333),"")</f>
        <v>1.5403679574400002</v>
      </c>
      <c r="AM333">
        <f ca="1">IFERROR(IF(0=LEN(ReferenceData!$AM$333),"",ReferenceData!$AM$333),"")</f>
        <v>1.7646495535</v>
      </c>
      <c r="AN333">
        <f ca="1">IFERROR(IF(0=LEN(ReferenceData!$AN$333),"",ReferenceData!$AN$333),"")</f>
        <v>1.8012016409600005</v>
      </c>
      <c r="AO333">
        <f ca="1">IFERROR(IF(0=LEN(ReferenceData!$AO$333),"",ReferenceData!$AO$333),"")</f>
        <v>0.74858315304545464</v>
      </c>
      <c r="AP333">
        <f ca="1">IFERROR(IF(0=LEN(ReferenceData!$AP$333),"",ReferenceData!$AP$333),"")</f>
        <v>0.73715705238095242</v>
      </c>
      <c r="AQ333">
        <f ca="1">IFERROR(IF(0=LEN(ReferenceData!$AQ$333),"",ReferenceData!$AQ$333),"")</f>
        <v>0.89376923660000007</v>
      </c>
      <c r="AR333">
        <f ca="1">IFERROR(IF(0=LEN(ReferenceData!$AR$333),"",ReferenceData!$AR$333),"")</f>
        <v>0.79568691280000003</v>
      </c>
      <c r="AS333">
        <f ca="1">IFERROR(IF(0=LEN(ReferenceData!$AS$333),"",ReferenceData!$AS$333),"")</f>
        <v>0.84618607852380934</v>
      </c>
      <c r="AT333">
        <f ca="1">IFERROR(IF(0=LEN(ReferenceData!$AT$333),"",ReferenceData!$AT$333),"")</f>
        <v>0.66830022528571431</v>
      </c>
      <c r="AU333">
        <f ca="1">IFERROR(IF(0=LEN(ReferenceData!$AU$333),"",ReferenceData!$AU$333),"")</f>
        <v>0.57013962215789471</v>
      </c>
      <c r="AV333">
        <f ca="1">IFERROR(IF(0=LEN(ReferenceData!$AV$333),"",ReferenceData!$AV$333),"")</f>
        <v>0.60752668389473674</v>
      </c>
      <c r="AW333">
        <f ca="1">IFERROR(IF(0=LEN(ReferenceData!$AW$333),"",ReferenceData!$AW$333),"")</f>
        <v>0.61515026752631585</v>
      </c>
      <c r="AX333">
        <f ca="1">IFERROR(IF(0=LEN(ReferenceData!$AX$333),"",ReferenceData!$AX$333),"")</f>
        <v>0.7482336565263159</v>
      </c>
      <c r="AY333">
        <f ca="1">IFERROR(IF(0=LEN(ReferenceData!$AY$333),"",ReferenceData!$AY$333),"")</f>
        <v>1.068108922789474</v>
      </c>
      <c r="AZ333">
        <f ca="1">IFERROR(IF(0=LEN(ReferenceData!$AZ$333),"",ReferenceData!$AZ$333),"")</f>
        <v>1.1469306678947369</v>
      </c>
      <c r="BA333">
        <f ca="1">IFERROR(IF(0=LEN(ReferenceData!$BA$333),"",ReferenceData!$BA$333),"")</f>
        <v>0.96153930452631564</v>
      </c>
      <c r="BB333">
        <f ca="1">IFERROR(IF(0=LEN(ReferenceData!$BB$333),"",ReferenceData!$BB$333),"")</f>
        <v>0.95457128415789461</v>
      </c>
      <c r="BC333">
        <f ca="1">IFERROR(IF(0=LEN(ReferenceData!$BC$333),"",ReferenceData!$BC$333),"")</f>
        <v>0.91111806005263174</v>
      </c>
      <c r="BD333">
        <f ca="1">IFERROR(IF(0=LEN(ReferenceData!$BD$333),"",ReferenceData!$BD$333),"")</f>
        <v>0.85408560721052629</v>
      </c>
      <c r="BE333">
        <f ca="1">IFERROR(IF(0=LEN(ReferenceData!$BE$333),"",ReferenceData!$BE$333),"")</f>
        <v>0.84386081152631576</v>
      </c>
      <c r="BF333">
        <f ca="1">IFERROR(IF(0=LEN(ReferenceData!$BF$333),"",ReferenceData!$BF$333),"")</f>
        <v>0.78855977152631573</v>
      </c>
      <c r="BG333">
        <f ca="1">IFERROR(IF(0=LEN(ReferenceData!$BG$333),"",ReferenceData!$BG$333),"")</f>
        <v>0.76406765182352943</v>
      </c>
      <c r="BH333">
        <f ca="1">IFERROR(IF(0=LEN(ReferenceData!$BH$333),"",ReferenceData!$BH$333),"")</f>
        <v>0.79940173621052635</v>
      </c>
      <c r="BI333">
        <f ca="1">IFERROR(IF(0=LEN(ReferenceData!$BI$333),"",ReferenceData!$BI$333),"")</f>
        <v>0.79386195899999978</v>
      </c>
      <c r="BJ333">
        <f ca="1">IFERROR(IF(0=LEN(ReferenceData!$BJ$333),"",ReferenceData!$BJ$333),"")</f>
        <v>0.76666037155555555</v>
      </c>
      <c r="BK333">
        <f ca="1">IFERROR(IF(0=LEN(ReferenceData!$BK$333),"",ReferenceData!$BK$333),"")</f>
        <v>0.86810089983333327</v>
      </c>
      <c r="BL333">
        <f ca="1">IFERROR(IF(0=LEN(ReferenceData!$BL$333),"",ReferenceData!$BL$333),"")</f>
        <v>0.97103208206250002</v>
      </c>
      <c r="BM333">
        <f ca="1">IFERROR(IF(0=LEN(ReferenceData!$BM$333),"",ReferenceData!$BM$333),"")</f>
        <v>1.1282727966363635</v>
      </c>
    </row>
    <row r="334" spans="1:65" x14ac:dyDescent="0.25">
      <c r="A334" t="str">
        <f>IFERROR(IF(0=LEN(ReferenceData!$A$334),"",ReferenceData!$A$334),"")</f>
        <v xml:space="preserve">    AUDI AG</v>
      </c>
      <c r="B334" t="str">
        <f>IFERROR(IF(0=LEN(ReferenceData!$B$334),"",ReferenceData!$B$334),"")</f>
        <v>NSU GR Equity</v>
      </c>
      <c r="C334" t="str">
        <f>IFERROR(IF(0=LEN(ReferenceData!$C$334),"",ReferenceData!$C$334),"")</f>
        <v>RR473</v>
      </c>
      <c r="D334" t="str">
        <f>IFERROR(IF(0=LEN(ReferenceData!$D$334),"",ReferenceData!$D$334),"")</f>
        <v>EV_TO_T12M_SALES</v>
      </c>
      <c r="E334" t="str">
        <f>IFERROR(IF(0=LEN(ReferenceData!$E$334),"",ReferenceData!$E$334),"")</f>
        <v>Dynamic</v>
      </c>
      <c r="F334" t="str">
        <f ca="1">IFERROR(IF(0=LEN(ReferenceData!$F$334),"",ReferenceData!$F$334),"")</f>
        <v/>
      </c>
      <c r="G334" t="str">
        <f ca="1">IFERROR(IF(0=LEN(ReferenceData!$G$334),"",ReferenceData!$G$334),"")</f>
        <v/>
      </c>
      <c r="H334" t="str">
        <f ca="1">IFERROR(IF(0=LEN(ReferenceData!$H$334),"",ReferenceData!$H$334),"")</f>
        <v/>
      </c>
      <c r="I334" t="str">
        <f ca="1">IFERROR(IF(0=LEN(ReferenceData!$I$334),"",ReferenceData!$I$334),"")</f>
        <v/>
      </c>
      <c r="J334" t="str">
        <f ca="1">IFERROR(IF(0=LEN(ReferenceData!$J$334),"",ReferenceData!$J$334),"")</f>
        <v/>
      </c>
      <c r="K334" t="str">
        <f ca="1">IFERROR(IF(0=LEN(ReferenceData!$K$334),"",ReferenceData!$K$334),"")</f>
        <v/>
      </c>
      <c r="L334" t="str">
        <f ca="1">IFERROR(IF(0=LEN(ReferenceData!$L$334),"",ReferenceData!$L$334),"")</f>
        <v/>
      </c>
      <c r="M334" t="str">
        <f ca="1">IFERROR(IF(0=LEN(ReferenceData!$M$334),"",ReferenceData!$M$334),"")</f>
        <v/>
      </c>
      <c r="N334" t="str">
        <f ca="1">IFERROR(IF(0=LEN(ReferenceData!$N$334),"",ReferenceData!$N$334),"")</f>
        <v/>
      </c>
      <c r="O334" t="str">
        <f ca="1">IFERROR(IF(0=LEN(ReferenceData!$O$334),"",ReferenceData!$O$334),"")</f>
        <v/>
      </c>
      <c r="P334" t="str">
        <f ca="1">IFERROR(IF(0=LEN(ReferenceData!$P$334),"",ReferenceData!$P$334),"")</f>
        <v/>
      </c>
      <c r="Q334" t="str">
        <f ca="1">IFERROR(IF(0=LEN(ReferenceData!$Q$334),"",ReferenceData!$Q$334),"")</f>
        <v/>
      </c>
      <c r="R334" t="str">
        <f ca="1">IFERROR(IF(0=LEN(ReferenceData!$R$334),"",ReferenceData!$R$334),"")</f>
        <v/>
      </c>
      <c r="S334" t="str">
        <f ca="1">IFERROR(IF(0=LEN(ReferenceData!$S$334),"",ReferenceData!$S$334),"")</f>
        <v/>
      </c>
      <c r="T334" t="str">
        <f ca="1">IFERROR(IF(0=LEN(ReferenceData!$T$334),"",ReferenceData!$T$334),"")</f>
        <v/>
      </c>
      <c r="U334" t="str">
        <f ca="1">IFERROR(IF(0=LEN(ReferenceData!$U$334),"",ReferenceData!$U$334),"")</f>
        <v/>
      </c>
      <c r="V334" t="str">
        <f ca="1">IFERROR(IF(0=LEN(ReferenceData!$V$334),"",ReferenceData!$V$334),"")</f>
        <v/>
      </c>
      <c r="W334" t="str">
        <f ca="1">IFERROR(IF(0=LEN(ReferenceData!$W$334),"",ReferenceData!$W$334),"")</f>
        <v/>
      </c>
      <c r="X334" t="str">
        <f ca="1">IFERROR(IF(0=LEN(ReferenceData!$X$334),"",ReferenceData!$X$334),"")</f>
        <v/>
      </c>
      <c r="Y334" t="str">
        <f ca="1">IFERROR(IF(0=LEN(ReferenceData!$Y$334),"",ReferenceData!$Y$334),"")</f>
        <v/>
      </c>
      <c r="Z334" t="str">
        <f ca="1">IFERROR(IF(0=LEN(ReferenceData!$Z$334),"",ReferenceData!$Z$334),"")</f>
        <v/>
      </c>
      <c r="AA334" t="str">
        <f ca="1">IFERROR(IF(0=LEN(ReferenceData!$AA$334),"",ReferenceData!$AA$334),"")</f>
        <v/>
      </c>
      <c r="AB334" t="str">
        <f ca="1">IFERROR(IF(0=LEN(ReferenceData!$AB$334),"",ReferenceData!$AB$334),"")</f>
        <v/>
      </c>
      <c r="AC334" t="str">
        <f ca="1">IFERROR(IF(0=LEN(ReferenceData!$AC$334),"",ReferenceData!$AC$334),"")</f>
        <v/>
      </c>
      <c r="AD334" t="str">
        <f ca="1">IFERROR(IF(0=LEN(ReferenceData!$AD$334),"",ReferenceData!$AD$334),"")</f>
        <v/>
      </c>
      <c r="AE334" t="str">
        <f ca="1">IFERROR(IF(0=LEN(ReferenceData!$AE$334),"",ReferenceData!$AE$334),"")</f>
        <v/>
      </c>
      <c r="AF334" t="str">
        <f ca="1">IFERROR(IF(0=LEN(ReferenceData!$AF$334),"",ReferenceData!$AF$334),"")</f>
        <v/>
      </c>
      <c r="AG334" t="str">
        <f ca="1">IFERROR(IF(0=LEN(ReferenceData!$AG$334),"",ReferenceData!$AG$334),"")</f>
        <v/>
      </c>
      <c r="AH334" t="str">
        <f ca="1">IFERROR(IF(0=LEN(ReferenceData!$AH$334),"",ReferenceData!$AH$334),"")</f>
        <v/>
      </c>
      <c r="AI334" t="str">
        <f ca="1">IFERROR(IF(0=LEN(ReferenceData!$AI$334),"",ReferenceData!$AI$334),"")</f>
        <v/>
      </c>
      <c r="AJ334" t="str">
        <f ca="1">IFERROR(IF(0=LEN(ReferenceData!$AJ$334),"",ReferenceData!$AJ$334),"")</f>
        <v/>
      </c>
      <c r="AK334" t="str">
        <f ca="1">IFERROR(IF(0=LEN(ReferenceData!$AK$334),"",ReferenceData!$AK$334),"")</f>
        <v/>
      </c>
      <c r="AL334" t="str">
        <f ca="1">IFERROR(IF(0=LEN(ReferenceData!$AL$334),"",ReferenceData!$AL$334),"")</f>
        <v/>
      </c>
      <c r="AM334" t="str">
        <f ca="1">IFERROR(IF(0=LEN(ReferenceData!$AM$334),"",ReferenceData!$AM$334),"")</f>
        <v/>
      </c>
      <c r="AN334" t="str">
        <f ca="1">IFERROR(IF(0=LEN(ReferenceData!$AN$334),"",ReferenceData!$AN$334),"")</f>
        <v/>
      </c>
      <c r="AO334" t="str">
        <f ca="1">IFERROR(IF(0=LEN(ReferenceData!$AO$334),"",ReferenceData!$AO$334),"")</f>
        <v/>
      </c>
      <c r="AP334" t="str">
        <f ca="1">IFERROR(IF(0=LEN(ReferenceData!$AP$334),"",ReferenceData!$AP$334),"")</f>
        <v/>
      </c>
      <c r="AQ334" t="str">
        <f ca="1">IFERROR(IF(0=LEN(ReferenceData!$AQ$334),"",ReferenceData!$AQ$334),"")</f>
        <v/>
      </c>
      <c r="AR334" t="str">
        <f ca="1">IFERROR(IF(0=LEN(ReferenceData!$AR$334),"",ReferenceData!$AR$334),"")</f>
        <v/>
      </c>
      <c r="AS334" t="str">
        <f ca="1">IFERROR(IF(0=LEN(ReferenceData!$AS$334),"",ReferenceData!$AS$334),"")</f>
        <v/>
      </c>
      <c r="AT334" t="str">
        <f ca="1">IFERROR(IF(0=LEN(ReferenceData!$AT$334),"",ReferenceData!$AT$334),"")</f>
        <v/>
      </c>
      <c r="AU334" t="str">
        <f ca="1">IFERROR(IF(0=LEN(ReferenceData!$AU$334),"",ReferenceData!$AU$334),"")</f>
        <v/>
      </c>
      <c r="AV334" t="str">
        <f ca="1">IFERROR(IF(0=LEN(ReferenceData!$AV$334),"",ReferenceData!$AV$334),"")</f>
        <v/>
      </c>
      <c r="AW334" t="str">
        <f ca="1">IFERROR(IF(0=LEN(ReferenceData!$AW$334),"",ReferenceData!$AW$334),"")</f>
        <v/>
      </c>
      <c r="AX334" t="str">
        <f ca="1">IFERROR(IF(0=LEN(ReferenceData!$AX$334),"",ReferenceData!$AX$334),"")</f>
        <v/>
      </c>
      <c r="AY334" t="str">
        <f ca="1">IFERROR(IF(0=LEN(ReferenceData!$AY$334),"",ReferenceData!$AY$334),"")</f>
        <v/>
      </c>
      <c r="AZ334" t="str">
        <f ca="1">IFERROR(IF(0=LEN(ReferenceData!$AZ$334),"",ReferenceData!$AZ$334),"")</f>
        <v/>
      </c>
      <c r="BA334" t="str">
        <f ca="1">IFERROR(IF(0=LEN(ReferenceData!$BA$334),"",ReferenceData!$BA$334),"")</f>
        <v/>
      </c>
      <c r="BB334" t="str">
        <f ca="1">IFERROR(IF(0=LEN(ReferenceData!$BB$334),"",ReferenceData!$BB$334),"")</f>
        <v/>
      </c>
      <c r="BC334" t="str">
        <f ca="1">IFERROR(IF(0=LEN(ReferenceData!$BC$334),"",ReferenceData!$BC$334),"")</f>
        <v/>
      </c>
      <c r="BD334" t="str">
        <f ca="1">IFERROR(IF(0=LEN(ReferenceData!$BD$334),"",ReferenceData!$BD$334),"")</f>
        <v/>
      </c>
      <c r="BE334" t="str">
        <f ca="1">IFERROR(IF(0=LEN(ReferenceData!$BE$334),"",ReferenceData!$BE$334),"")</f>
        <v/>
      </c>
      <c r="BF334" t="str">
        <f ca="1">IFERROR(IF(0=LEN(ReferenceData!$BF$334),"",ReferenceData!$BF$334),"")</f>
        <v/>
      </c>
      <c r="BG334" t="str">
        <f ca="1">IFERROR(IF(0=LEN(ReferenceData!$BG$334),"",ReferenceData!$BG$334),"")</f>
        <v/>
      </c>
      <c r="BH334" t="str">
        <f ca="1">IFERROR(IF(0=LEN(ReferenceData!$BH$334),"",ReferenceData!$BH$334),"")</f>
        <v/>
      </c>
      <c r="BI334" t="str">
        <f ca="1">IFERROR(IF(0=LEN(ReferenceData!$BI$334),"",ReferenceData!$BI$334),"")</f>
        <v/>
      </c>
      <c r="BJ334" t="str">
        <f ca="1">IFERROR(IF(0=LEN(ReferenceData!$BJ$334),"",ReferenceData!$BJ$334),"")</f>
        <v/>
      </c>
      <c r="BK334" t="str">
        <f ca="1">IFERROR(IF(0=LEN(ReferenceData!$BK$334),"",ReferenceData!$BK$334),"")</f>
        <v/>
      </c>
      <c r="BL334" t="str">
        <f ca="1">IFERROR(IF(0=LEN(ReferenceData!$BL$334),"",ReferenceData!$BL$334),"")</f>
        <v/>
      </c>
      <c r="BM334" t="str">
        <f ca="1">IFERROR(IF(0=LEN(ReferenceData!$BM$334),"",ReferenceData!$BM$334),"")</f>
        <v/>
      </c>
    </row>
    <row r="335" spans="1:65" x14ac:dyDescent="0.25">
      <c r="A335" t="str">
        <f>IFERROR(IF(0=LEN(ReferenceData!$A$335),"",ReferenceData!$A$335),"")</f>
        <v xml:space="preserve">    Avtovaz PJSC</v>
      </c>
      <c r="B335" t="str">
        <f>IFERROR(IF(0=LEN(ReferenceData!$B$335),"",ReferenceData!$B$335),"")</f>
        <v>AVAZ RM Equity</v>
      </c>
      <c r="C335" t="str">
        <f>IFERROR(IF(0=LEN(ReferenceData!$C$335),"",ReferenceData!$C$335),"")</f>
        <v>RR473</v>
      </c>
      <c r="D335" t="str">
        <f>IFERROR(IF(0=LEN(ReferenceData!$D$335),"",ReferenceData!$D$335),"")</f>
        <v>EV_TO_T12M_SALES</v>
      </c>
      <c r="E335" t="str">
        <f>IFERROR(IF(0=LEN(ReferenceData!$E$335),"",ReferenceData!$E$335),"")</f>
        <v>Dynamic</v>
      </c>
      <c r="F335" t="str">
        <f ca="1">IFERROR(IF(0=LEN(ReferenceData!$F$335),"",ReferenceData!$F$335),"")</f>
        <v/>
      </c>
      <c r="G335" t="str">
        <f ca="1">IFERROR(IF(0=LEN(ReferenceData!$G$335),"",ReferenceData!$G$335),"")</f>
        <v/>
      </c>
      <c r="H335">
        <f ca="1">IFERROR(IF(0=LEN(ReferenceData!$H$335),"",ReferenceData!$H$335),"")</f>
        <v>0.48875676699999998</v>
      </c>
      <c r="I335">
        <f ca="1">IFERROR(IF(0=LEN(ReferenceData!$I$335),"",ReferenceData!$I$335),"")</f>
        <v>0.78246742300000005</v>
      </c>
      <c r="J335">
        <f ca="1">IFERROR(IF(0=LEN(ReferenceData!$J$335),"",ReferenceData!$J$335),"")</f>
        <v>0.55854499000000002</v>
      </c>
      <c r="K335">
        <f ca="1">IFERROR(IF(0=LEN(ReferenceData!$K$335),"",ReferenceData!$K$335),"")</f>
        <v>0.62840740900000003</v>
      </c>
      <c r="L335">
        <f ca="1">IFERROR(IF(0=LEN(ReferenceData!$L$335),"",ReferenceData!$L$335),"")</f>
        <v>0.70969131100000005</v>
      </c>
      <c r="M335">
        <f ca="1">IFERROR(IF(0=LEN(ReferenceData!$M$335),"",ReferenceData!$M$335),"")</f>
        <v>0.69871162399999998</v>
      </c>
      <c r="N335">
        <f ca="1">IFERROR(IF(0=LEN(ReferenceData!$N$335),"",ReferenceData!$N$335),"")</f>
        <v>0.75082355199999995</v>
      </c>
      <c r="O335">
        <f ca="1">IFERROR(IF(0=LEN(ReferenceData!$O$335),"",ReferenceData!$O$335),"")</f>
        <v>0.76871356800000001</v>
      </c>
      <c r="P335">
        <f ca="1">IFERROR(IF(0=LEN(ReferenceData!$P$335),"",ReferenceData!$P$335),"")</f>
        <v>0.700850635</v>
      </c>
      <c r="Q335">
        <f ca="1">IFERROR(IF(0=LEN(ReferenceData!$Q$335),"",ReferenceData!$Q$335),"")</f>
        <v>0.69582426600000002</v>
      </c>
      <c r="R335" t="str">
        <f ca="1">IFERROR(IF(0=LEN(ReferenceData!$R$335),"",ReferenceData!$R$335),"")</f>
        <v/>
      </c>
      <c r="S335" t="str">
        <f ca="1">IFERROR(IF(0=LEN(ReferenceData!$S$335),"",ReferenceData!$S$335),"")</f>
        <v/>
      </c>
      <c r="T335" t="str">
        <f ca="1">IFERROR(IF(0=LEN(ReferenceData!$T$335),"",ReferenceData!$T$335),"")</f>
        <v/>
      </c>
      <c r="U335" t="str">
        <f ca="1">IFERROR(IF(0=LEN(ReferenceData!$U$335),"",ReferenceData!$U$335),"")</f>
        <v/>
      </c>
      <c r="V335" t="str">
        <f ca="1">IFERROR(IF(0=LEN(ReferenceData!$V$335),"",ReferenceData!$V$335),"")</f>
        <v/>
      </c>
      <c r="W335" t="str">
        <f ca="1">IFERROR(IF(0=LEN(ReferenceData!$W$335),"",ReferenceData!$W$335),"")</f>
        <v/>
      </c>
      <c r="X335" t="str">
        <f ca="1">IFERROR(IF(0=LEN(ReferenceData!$X$335),"",ReferenceData!$X$335),"")</f>
        <v/>
      </c>
      <c r="Y335" t="str">
        <f ca="1">IFERROR(IF(0=LEN(ReferenceData!$Y$335),"",ReferenceData!$Y$335),"")</f>
        <v/>
      </c>
      <c r="Z335" t="str">
        <f ca="1">IFERROR(IF(0=LEN(ReferenceData!$Z$335),"",ReferenceData!$Z$335),"")</f>
        <v/>
      </c>
      <c r="AA335" t="str">
        <f ca="1">IFERROR(IF(0=LEN(ReferenceData!$AA$335),"",ReferenceData!$AA$335),"")</f>
        <v/>
      </c>
      <c r="AB335" t="str">
        <f ca="1">IFERROR(IF(0=LEN(ReferenceData!$AB$335),"",ReferenceData!$AB$335),"")</f>
        <v/>
      </c>
      <c r="AC335" t="str">
        <f ca="1">IFERROR(IF(0=LEN(ReferenceData!$AC$335),"",ReferenceData!$AC$335),"")</f>
        <v/>
      </c>
      <c r="AD335" t="str">
        <f ca="1">IFERROR(IF(0=LEN(ReferenceData!$AD$335),"",ReferenceData!$AD$335),"")</f>
        <v/>
      </c>
      <c r="AE335" t="str">
        <f ca="1">IFERROR(IF(0=LEN(ReferenceData!$AE$335),"",ReferenceData!$AE$335),"")</f>
        <v/>
      </c>
      <c r="AF335" t="str">
        <f ca="1">IFERROR(IF(0=LEN(ReferenceData!$AF$335),"",ReferenceData!$AF$335),"")</f>
        <v/>
      </c>
      <c r="AG335" t="str">
        <f ca="1">IFERROR(IF(0=LEN(ReferenceData!$AG$335),"",ReferenceData!$AG$335),"")</f>
        <v/>
      </c>
      <c r="AH335" t="str">
        <f ca="1">IFERROR(IF(0=LEN(ReferenceData!$AH$335),"",ReferenceData!$AH$335),"")</f>
        <v/>
      </c>
      <c r="AI335" t="str">
        <f ca="1">IFERROR(IF(0=LEN(ReferenceData!$AI$335),"",ReferenceData!$AI$335),"")</f>
        <v/>
      </c>
      <c r="AJ335" t="str">
        <f ca="1">IFERROR(IF(0=LEN(ReferenceData!$AJ$335),"",ReferenceData!$AJ$335),"")</f>
        <v/>
      </c>
      <c r="AK335" t="str">
        <f ca="1">IFERROR(IF(0=LEN(ReferenceData!$AK$335),"",ReferenceData!$AK$335),"")</f>
        <v/>
      </c>
      <c r="AL335" t="str">
        <f ca="1">IFERROR(IF(0=LEN(ReferenceData!$AL$335),"",ReferenceData!$AL$335),"")</f>
        <v/>
      </c>
      <c r="AM335" t="str">
        <f ca="1">IFERROR(IF(0=LEN(ReferenceData!$AM$335),"",ReferenceData!$AM$335),"")</f>
        <v/>
      </c>
      <c r="AN335" t="str">
        <f ca="1">IFERROR(IF(0=LEN(ReferenceData!$AN$335),"",ReferenceData!$AN$335),"")</f>
        <v/>
      </c>
      <c r="AO335" t="str">
        <f ca="1">IFERROR(IF(0=LEN(ReferenceData!$AO$335),"",ReferenceData!$AO$335),"")</f>
        <v/>
      </c>
      <c r="AP335" t="str">
        <f ca="1">IFERROR(IF(0=LEN(ReferenceData!$AP$335),"",ReferenceData!$AP$335),"")</f>
        <v/>
      </c>
      <c r="AQ335" t="str">
        <f ca="1">IFERROR(IF(0=LEN(ReferenceData!$AQ$335),"",ReferenceData!$AQ$335),"")</f>
        <v/>
      </c>
      <c r="AR335" t="str">
        <f ca="1">IFERROR(IF(0=LEN(ReferenceData!$AR$335),"",ReferenceData!$AR$335),"")</f>
        <v/>
      </c>
      <c r="AS335" t="str">
        <f ca="1">IFERROR(IF(0=LEN(ReferenceData!$AS$335),"",ReferenceData!$AS$335),"")</f>
        <v/>
      </c>
      <c r="AT335" t="str">
        <f ca="1">IFERROR(IF(0=LEN(ReferenceData!$AT$335),"",ReferenceData!$AT$335),"")</f>
        <v/>
      </c>
      <c r="AU335" t="str">
        <f ca="1">IFERROR(IF(0=LEN(ReferenceData!$AU$335),"",ReferenceData!$AU$335),"")</f>
        <v/>
      </c>
      <c r="AV335" t="str">
        <f ca="1">IFERROR(IF(0=LEN(ReferenceData!$AV$335),"",ReferenceData!$AV$335),"")</f>
        <v/>
      </c>
      <c r="AW335" t="str">
        <f ca="1">IFERROR(IF(0=LEN(ReferenceData!$AW$335),"",ReferenceData!$AW$335),"")</f>
        <v/>
      </c>
      <c r="AX335" t="str">
        <f ca="1">IFERROR(IF(0=LEN(ReferenceData!$AX$335),"",ReferenceData!$AX$335),"")</f>
        <v/>
      </c>
      <c r="AY335" t="str">
        <f ca="1">IFERROR(IF(0=LEN(ReferenceData!$AY$335),"",ReferenceData!$AY$335),"")</f>
        <v/>
      </c>
      <c r="AZ335" t="str">
        <f ca="1">IFERROR(IF(0=LEN(ReferenceData!$AZ$335),"",ReferenceData!$AZ$335),"")</f>
        <v/>
      </c>
      <c r="BA335" t="str">
        <f ca="1">IFERROR(IF(0=LEN(ReferenceData!$BA$335),"",ReferenceData!$BA$335),"")</f>
        <v/>
      </c>
      <c r="BB335" t="str">
        <f ca="1">IFERROR(IF(0=LEN(ReferenceData!$BB$335),"",ReferenceData!$BB$335),"")</f>
        <v/>
      </c>
      <c r="BC335" t="str">
        <f ca="1">IFERROR(IF(0=LEN(ReferenceData!$BC$335),"",ReferenceData!$BC$335),"")</f>
        <v/>
      </c>
      <c r="BD335" t="str">
        <f ca="1">IFERROR(IF(0=LEN(ReferenceData!$BD$335),"",ReferenceData!$BD$335),"")</f>
        <v/>
      </c>
      <c r="BE335" t="str">
        <f ca="1">IFERROR(IF(0=LEN(ReferenceData!$BE$335),"",ReferenceData!$BE$335),"")</f>
        <v/>
      </c>
      <c r="BF335" t="str">
        <f ca="1">IFERROR(IF(0=LEN(ReferenceData!$BF$335),"",ReferenceData!$BF$335),"")</f>
        <v/>
      </c>
      <c r="BG335" t="str">
        <f ca="1">IFERROR(IF(0=LEN(ReferenceData!$BG$335),"",ReferenceData!$BG$335),"")</f>
        <v/>
      </c>
      <c r="BH335" t="str">
        <f ca="1">IFERROR(IF(0=LEN(ReferenceData!$BH$335),"",ReferenceData!$BH$335),"")</f>
        <v/>
      </c>
      <c r="BI335" t="str">
        <f ca="1">IFERROR(IF(0=LEN(ReferenceData!$BI$335),"",ReferenceData!$BI$335),"")</f>
        <v/>
      </c>
      <c r="BJ335" t="str">
        <f ca="1">IFERROR(IF(0=LEN(ReferenceData!$BJ$335),"",ReferenceData!$BJ$335),"")</f>
        <v/>
      </c>
      <c r="BK335" t="str">
        <f ca="1">IFERROR(IF(0=LEN(ReferenceData!$BK$335),"",ReferenceData!$BK$335),"")</f>
        <v/>
      </c>
      <c r="BL335" t="str">
        <f ca="1">IFERROR(IF(0=LEN(ReferenceData!$BL$335),"",ReferenceData!$BL$335),"")</f>
        <v/>
      </c>
      <c r="BM335" t="str">
        <f ca="1">IFERROR(IF(0=LEN(ReferenceData!$BM$335),"",ReferenceData!$BM$335),"")</f>
        <v/>
      </c>
    </row>
    <row r="336" spans="1:65" x14ac:dyDescent="0.25">
      <c r="A336" t="str">
        <f>IFERROR(IF(0=LEN(ReferenceData!$A$336),"",ReferenceData!$A$336),"")</f>
        <v xml:space="preserve">    Bayerische Motoren Werke AG</v>
      </c>
      <c r="B336" t="str">
        <f>IFERROR(IF(0=LEN(ReferenceData!$B$336),"",ReferenceData!$B$336),"")</f>
        <v>BMW GR Equity</v>
      </c>
      <c r="C336" t="str">
        <f>IFERROR(IF(0=LEN(ReferenceData!$C$336),"",ReferenceData!$C$336),"")</f>
        <v>RR473</v>
      </c>
      <c r="D336" t="str">
        <f>IFERROR(IF(0=LEN(ReferenceData!$D$336),"",ReferenceData!$D$336),"")</f>
        <v>EV_TO_T12M_SALES</v>
      </c>
      <c r="E336" t="str">
        <f>IFERROR(IF(0=LEN(ReferenceData!$E$336),"",ReferenceData!$E$336),"")</f>
        <v>Dynamic</v>
      </c>
      <c r="F336" t="str">
        <f ca="1">IFERROR(IF(0=LEN(ReferenceData!$F$336),"",ReferenceData!$F$336),"")</f>
        <v/>
      </c>
      <c r="G336" t="str">
        <f ca="1">IFERROR(IF(0=LEN(ReferenceData!$G$336),"",ReferenceData!$G$336),"")</f>
        <v/>
      </c>
      <c r="H336">
        <f ca="1">IFERROR(IF(0=LEN(ReferenceData!$H$336),"",ReferenceData!$H$336),"")</f>
        <v>0.96319626400000002</v>
      </c>
      <c r="I336">
        <f ca="1">IFERROR(IF(0=LEN(ReferenceData!$I$336),"",ReferenceData!$I$336),"")</f>
        <v>0.953560674</v>
      </c>
      <c r="J336">
        <f ca="1">IFERROR(IF(0=LEN(ReferenceData!$J$336),"",ReferenceData!$J$336),"")</f>
        <v>0.99375223999999995</v>
      </c>
      <c r="K336">
        <f ca="1">IFERROR(IF(0=LEN(ReferenceData!$K$336),"",ReferenceData!$K$336),"")</f>
        <v>0.96540314800000004</v>
      </c>
      <c r="L336">
        <f ca="1">IFERROR(IF(0=LEN(ReferenceData!$L$336),"",ReferenceData!$L$336),"")</f>
        <v>0.98531428099999996</v>
      </c>
      <c r="M336">
        <f ca="1">IFERROR(IF(0=LEN(ReferenceData!$M$336),"",ReferenceData!$M$336),"")</f>
        <v>0.97368049899999998</v>
      </c>
      <c r="N336">
        <f ca="1">IFERROR(IF(0=LEN(ReferenceData!$N$336),"",ReferenceData!$N$336),"")</f>
        <v>1.011430059</v>
      </c>
      <c r="O336">
        <f ca="1">IFERROR(IF(0=LEN(ReferenceData!$O$336),"",ReferenceData!$O$336),"")</f>
        <v>1.035358655</v>
      </c>
      <c r="P336">
        <f ca="1">IFERROR(IF(0=LEN(ReferenceData!$P$336),"",ReferenceData!$P$336),"")</f>
        <v>0.958783783</v>
      </c>
      <c r="Q336">
        <f ca="1">IFERROR(IF(0=LEN(ReferenceData!$Q$336),"",ReferenceData!$Q$336),"")</f>
        <v>0.92347164400000004</v>
      </c>
      <c r="R336">
        <f ca="1">IFERROR(IF(0=LEN(ReferenceData!$R$336),"",ReferenceData!$R$336),"")</f>
        <v>1.0242606169999999</v>
      </c>
      <c r="S336">
        <f ca="1">IFERROR(IF(0=LEN(ReferenceData!$S$336),"",ReferenceData!$S$336),"")</f>
        <v>1.110700657</v>
      </c>
      <c r="T336">
        <f ca="1">IFERROR(IF(0=LEN(ReferenceData!$T$336),"",ReferenceData!$T$336),"")</f>
        <v>1.046160711</v>
      </c>
      <c r="U336">
        <f ca="1">IFERROR(IF(0=LEN(ReferenceData!$U$336),"",ReferenceData!$U$336),"")</f>
        <v>1.232819554</v>
      </c>
      <c r="V336">
        <f ca="1">IFERROR(IF(0=LEN(ReferenceData!$V$336),"",ReferenceData!$V$336),"")</f>
        <v>1.4254519370000001</v>
      </c>
      <c r="W336">
        <f ca="1">IFERROR(IF(0=LEN(ReferenceData!$W$336),"",ReferenceData!$W$336),"")</f>
        <v>1.1908002740000001</v>
      </c>
      <c r="X336">
        <f ca="1">IFERROR(IF(0=LEN(ReferenceData!$X$336),"",ReferenceData!$X$336),"")</f>
        <v>1.15561968</v>
      </c>
      <c r="Y336">
        <f ca="1">IFERROR(IF(0=LEN(ReferenceData!$Y$336),"",ReferenceData!$Y$336),"")</f>
        <v>1.1962104689999999</v>
      </c>
      <c r="Z336">
        <f ca="1">IFERROR(IF(0=LEN(ReferenceData!$Z$336),"",ReferenceData!$Z$336),"")</f>
        <v>1.151492787</v>
      </c>
      <c r="AA336">
        <f ca="1">IFERROR(IF(0=LEN(ReferenceData!$AA$336),"",ReferenceData!$AA$336),"")</f>
        <v>1.111124912</v>
      </c>
      <c r="AB336">
        <f ca="1">IFERROR(IF(0=LEN(ReferenceData!$AB$336),"",ReferenceData!$AB$336),"")</f>
        <v>1.0403963679999999</v>
      </c>
      <c r="AC336">
        <f ca="1">IFERROR(IF(0=LEN(ReferenceData!$AC$336),"",ReferenceData!$AC$336),"")</f>
        <v>0.93256878099999996</v>
      </c>
      <c r="AD336">
        <f ca="1">IFERROR(IF(0=LEN(ReferenceData!$AD$336),"",ReferenceData!$AD$336),"")</f>
        <v>0.95134835799999995</v>
      </c>
      <c r="AE336">
        <f ca="1">IFERROR(IF(0=LEN(ReferenceData!$AE$336),"",ReferenceData!$AE$336),"")</f>
        <v>0.97698454000000001</v>
      </c>
      <c r="AF336">
        <f ca="1">IFERROR(IF(0=LEN(ReferenceData!$AF$336),"",ReferenceData!$AF$336),"")</f>
        <v>0.863884761</v>
      </c>
      <c r="AG336">
        <f ca="1">IFERROR(IF(0=LEN(ReferenceData!$AG$336),"",ReferenceData!$AG$336),"")</f>
        <v>0.92199404200000001</v>
      </c>
      <c r="AH336">
        <f ca="1">IFERROR(IF(0=LEN(ReferenceData!$AH$336),"",ReferenceData!$AH$336),"")</f>
        <v>1.008015847</v>
      </c>
      <c r="AI336">
        <f ca="1">IFERROR(IF(0=LEN(ReferenceData!$AI$336),"",ReferenceData!$AI$336),"")</f>
        <v>0.92168270699999999</v>
      </c>
      <c r="AJ336">
        <f ca="1">IFERROR(IF(0=LEN(ReferenceData!$AJ$336),"",ReferenceData!$AJ$336),"")</f>
        <v>0.90913664599999999</v>
      </c>
      <c r="AK336">
        <f ca="1">IFERROR(IF(0=LEN(ReferenceData!$AK$336),"",ReferenceData!$AK$336),"")</f>
        <v>1.035322286</v>
      </c>
      <c r="AL336">
        <f ca="1">IFERROR(IF(0=LEN(ReferenceData!$AL$336),"",ReferenceData!$AL$336),"")</f>
        <v>0.99349829599999995</v>
      </c>
      <c r="AM336">
        <f ca="1">IFERROR(IF(0=LEN(ReferenceData!$AM$336),"",ReferenceData!$AM$336),"")</f>
        <v>1.0935080129999999</v>
      </c>
      <c r="AN336">
        <f ca="1">IFERROR(IF(0=LEN(ReferenceData!$AN$336),"",ReferenceData!$AN$336),"")</f>
        <v>1.0239319360000001</v>
      </c>
      <c r="AO336">
        <f ca="1">IFERROR(IF(0=LEN(ReferenceData!$AO$336),"",ReferenceData!$AO$336),"")</f>
        <v>1.0261399490000001</v>
      </c>
      <c r="AP336">
        <f ca="1">IFERROR(IF(0=LEN(ReferenceData!$AP$336),"",ReferenceData!$AP$336),"")</f>
        <v>0.97550629899999997</v>
      </c>
      <c r="AQ336">
        <f ca="1">IFERROR(IF(0=LEN(ReferenceData!$AQ$336),"",ReferenceData!$AQ$336),"")</f>
        <v>0.98492038500000001</v>
      </c>
      <c r="AR336">
        <f ca="1">IFERROR(IF(0=LEN(ReferenceData!$AR$336),"",ReferenceData!$AR$336),"")</f>
        <v>1.0062534329999999</v>
      </c>
      <c r="AS336">
        <f ca="1">IFERROR(IF(0=LEN(ReferenceData!$AS$336),"",ReferenceData!$AS$336),"")</f>
        <v>0.88152510799999995</v>
      </c>
      <c r="AT336">
        <f ca="1">IFERROR(IF(0=LEN(ReferenceData!$AT$336),"",ReferenceData!$AT$336),"")</f>
        <v>0.817639593</v>
      </c>
      <c r="AU336">
        <f ca="1">IFERROR(IF(0=LEN(ReferenceData!$AU$336),"",ReferenceData!$AU$336),"")</f>
        <v>1.160658583</v>
      </c>
      <c r="AV336">
        <f ca="1">IFERROR(IF(0=LEN(ReferenceData!$AV$336),"",ReferenceData!$AV$336),"")</f>
        <v>1.1512423899999999</v>
      </c>
      <c r="AW336">
        <f ca="1">IFERROR(IF(0=LEN(ReferenceData!$AW$336),"",ReferenceData!$AW$336),"")</f>
        <v>1.044349856</v>
      </c>
      <c r="AX336">
        <f ca="1">IFERROR(IF(0=LEN(ReferenceData!$AX$336),"",ReferenceData!$AX$336),"")</f>
        <v>1.047262758</v>
      </c>
      <c r="AY336">
        <f ca="1">IFERROR(IF(0=LEN(ReferenceData!$AY$336),"",ReferenceData!$AY$336),"")</f>
        <v>1.1757659110000001</v>
      </c>
      <c r="AZ336">
        <f ca="1">IFERROR(IF(0=LEN(ReferenceData!$AZ$336),"",ReferenceData!$AZ$336),"")</f>
        <v>1.2505434849999999</v>
      </c>
      <c r="BA336">
        <f ca="1">IFERROR(IF(0=LEN(ReferenceData!$BA$336),"",ReferenceData!$BA$336),"")</f>
        <v>1.324956639</v>
      </c>
      <c r="BB336">
        <f ca="1">IFERROR(IF(0=LEN(ReferenceData!$BB$336),"",ReferenceData!$BB$336),"")</f>
        <v>1.2599303449999999</v>
      </c>
      <c r="BC336">
        <f ca="1">IFERROR(IF(0=LEN(ReferenceData!$BC$336),"",ReferenceData!$BC$336),"")</f>
        <v>1.254272839</v>
      </c>
      <c r="BD336">
        <f ca="1">IFERROR(IF(0=LEN(ReferenceData!$BD$336),"",ReferenceData!$BD$336),"")</f>
        <v>1.1932021340000001</v>
      </c>
      <c r="BE336">
        <f ca="1">IFERROR(IF(0=LEN(ReferenceData!$BE$336),"",ReferenceData!$BE$336),"")</f>
        <v>1.1052642450000001</v>
      </c>
      <c r="BF336">
        <f ca="1">IFERROR(IF(0=LEN(ReferenceData!$BF$336),"",ReferenceData!$BF$336),"")</f>
        <v>1.219003694</v>
      </c>
      <c r="BG336">
        <f ca="1">IFERROR(IF(0=LEN(ReferenceData!$BG$336),"",ReferenceData!$BG$336),"")</f>
        <v>1.1817965640000001</v>
      </c>
      <c r="BH336">
        <f ca="1">IFERROR(IF(0=LEN(ReferenceData!$BH$336),"",ReferenceData!$BH$336),"")</f>
        <v>1.19949215</v>
      </c>
      <c r="BI336">
        <f ca="1">IFERROR(IF(0=LEN(ReferenceData!$BI$336),"",ReferenceData!$BI$336),"")</f>
        <v>1.204493027</v>
      </c>
      <c r="BJ336">
        <f ca="1">IFERROR(IF(0=LEN(ReferenceData!$BJ$336),"",ReferenceData!$BJ$336),"")</f>
        <v>1.1564856779999999</v>
      </c>
      <c r="BK336">
        <f ca="1">IFERROR(IF(0=LEN(ReferenceData!$BK$336),"",ReferenceData!$BK$336),"")</f>
        <v>1.0429329270000001</v>
      </c>
      <c r="BL336">
        <f ca="1">IFERROR(IF(0=LEN(ReferenceData!$BL$336),"",ReferenceData!$BL$336),"")</f>
        <v>1.0504100869999999</v>
      </c>
      <c r="BM336">
        <f ca="1">IFERROR(IF(0=LEN(ReferenceData!$BM$336),"",ReferenceData!$BM$336),"")</f>
        <v>1.1040497069999999</v>
      </c>
    </row>
    <row r="337" spans="1:65" x14ac:dyDescent="0.25">
      <c r="A337" t="str">
        <f>IFERROR(IF(0=LEN(ReferenceData!$A$337),"",ReferenceData!$A$337),"")</f>
        <v xml:space="preserve">    Brilliance China Automotive Holdings Ltd</v>
      </c>
      <c r="B337" t="str">
        <f>IFERROR(IF(0=LEN(ReferenceData!$B$337),"",ReferenceData!$B$337),"")</f>
        <v>1114 HK Equity</v>
      </c>
      <c r="C337" t="str">
        <f>IFERROR(IF(0=LEN(ReferenceData!$C$337),"",ReferenceData!$C$337),"")</f>
        <v>RR473</v>
      </c>
      <c r="D337" t="str">
        <f>IFERROR(IF(0=LEN(ReferenceData!$D$337),"",ReferenceData!$D$337),"")</f>
        <v>EV_TO_T12M_SALES</v>
      </c>
      <c r="E337" t="str">
        <f>IFERROR(IF(0=LEN(ReferenceData!$E$337),"",ReferenceData!$E$337),"")</f>
        <v>Dynamic</v>
      </c>
      <c r="F337" t="str">
        <f ca="1">IFERROR(IF(0=LEN(ReferenceData!$F$337),"",ReferenceData!$F$337),"")</f>
        <v/>
      </c>
      <c r="G337" t="str">
        <f ca="1">IFERROR(IF(0=LEN(ReferenceData!$G$337),"",ReferenceData!$G$337),"")</f>
        <v/>
      </c>
      <c r="H337" t="str">
        <f ca="1">IFERROR(IF(0=LEN(ReferenceData!$H$337),"",ReferenceData!$H$337),"")</f>
        <v/>
      </c>
      <c r="I337" t="str">
        <f ca="1">IFERROR(IF(0=LEN(ReferenceData!$I$337),"",ReferenceData!$I$337),"")</f>
        <v/>
      </c>
      <c r="J337" t="str">
        <f ca="1">IFERROR(IF(0=LEN(ReferenceData!$J$337),"",ReferenceData!$J$337),"")</f>
        <v/>
      </c>
      <c r="K337" t="str">
        <f ca="1">IFERROR(IF(0=LEN(ReferenceData!$K$337),"",ReferenceData!$K$337),"")</f>
        <v/>
      </c>
      <c r="L337" t="str">
        <f ca="1">IFERROR(IF(0=LEN(ReferenceData!$L$337),"",ReferenceData!$L$337),"")</f>
        <v/>
      </c>
      <c r="M337" t="str">
        <f ca="1">IFERROR(IF(0=LEN(ReferenceData!$M$337),"",ReferenceData!$M$337),"")</f>
        <v/>
      </c>
      <c r="N337" t="str">
        <f ca="1">IFERROR(IF(0=LEN(ReferenceData!$N$337),"",ReferenceData!$N$337),"")</f>
        <v/>
      </c>
      <c r="O337" t="str">
        <f ca="1">IFERROR(IF(0=LEN(ReferenceData!$O$337),"",ReferenceData!$O$337),"")</f>
        <v/>
      </c>
      <c r="P337" t="str">
        <f ca="1">IFERROR(IF(0=LEN(ReferenceData!$P$337),"",ReferenceData!$P$337),"")</f>
        <v/>
      </c>
      <c r="Q337" t="str">
        <f ca="1">IFERROR(IF(0=LEN(ReferenceData!$Q$337),"",ReferenceData!$Q$337),"")</f>
        <v/>
      </c>
      <c r="R337" t="str">
        <f ca="1">IFERROR(IF(0=LEN(ReferenceData!$R$337),"",ReferenceData!$R$337),"")</f>
        <v/>
      </c>
      <c r="S337" t="str">
        <f ca="1">IFERROR(IF(0=LEN(ReferenceData!$S$337),"",ReferenceData!$S$337),"")</f>
        <v/>
      </c>
      <c r="T337" t="str">
        <f ca="1">IFERROR(IF(0=LEN(ReferenceData!$T$337),"",ReferenceData!$T$337),"")</f>
        <v/>
      </c>
      <c r="U337" t="str">
        <f ca="1">IFERROR(IF(0=LEN(ReferenceData!$U$337),"",ReferenceData!$U$337),"")</f>
        <v/>
      </c>
      <c r="V337" t="str">
        <f ca="1">IFERROR(IF(0=LEN(ReferenceData!$V$337),"",ReferenceData!$V$337),"")</f>
        <v/>
      </c>
      <c r="W337" t="str">
        <f ca="1">IFERROR(IF(0=LEN(ReferenceData!$W$337),"",ReferenceData!$W$337),"")</f>
        <v/>
      </c>
      <c r="X337" t="str">
        <f ca="1">IFERROR(IF(0=LEN(ReferenceData!$X$337),"",ReferenceData!$X$337),"")</f>
        <v/>
      </c>
      <c r="Y337" t="str">
        <f ca="1">IFERROR(IF(0=LEN(ReferenceData!$Y$337),"",ReferenceData!$Y$337),"")</f>
        <v/>
      </c>
      <c r="Z337" t="str">
        <f ca="1">IFERROR(IF(0=LEN(ReferenceData!$Z$337),"",ReferenceData!$Z$337),"")</f>
        <v/>
      </c>
      <c r="AA337" t="str">
        <f ca="1">IFERROR(IF(0=LEN(ReferenceData!$AA$337),"",ReferenceData!$AA$337),"")</f>
        <v/>
      </c>
      <c r="AB337" t="str">
        <f ca="1">IFERROR(IF(0=LEN(ReferenceData!$AB$337),"",ReferenceData!$AB$337),"")</f>
        <v/>
      </c>
      <c r="AC337" t="str">
        <f ca="1">IFERROR(IF(0=LEN(ReferenceData!$AC$337),"",ReferenceData!$AC$337),"")</f>
        <v/>
      </c>
      <c r="AD337" t="str">
        <f ca="1">IFERROR(IF(0=LEN(ReferenceData!$AD$337),"",ReferenceData!$AD$337),"")</f>
        <v/>
      </c>
      <c r="AE337" t="str">
        <f ca="1">IFERROR(IF(0=LEN(ReferenceData!$AE$337),"",ReferenceData!$AE$337),"")</f>
        <v/>
      </c>
      <c r="AF337" t="str">
        <f ca="1">IFERROR(IF(0=LEN(ReferenceData!$AF$337),"",ReferenceData!$AF$337),"")</f>
        <v/>
      </c>
      <c r="AG337" t="str">
        <f ca="1">IFERROR(IF(0=LEN(ReferenceData!$AG$337),"",ReferenceData!$AG$337),"")</f>
        <v/>
      </c>
      <c r="AH337" t="str">
        <f ca="1">IFERROR(IF(0=LEN(ReferenceData!$AH$337),"",ReferenceData!$AH$337),"")</f>
        <v/>
      </c>
      <c r="AI337" t="str">
        <f ca="1">IFERROR(IF(0=LEN(ReferenceData!$AI$337),"",ReferenceData!$AI$337),"")</f>
        <v/>
      </c>
      <c r="AJ337" t="str">
        <f ca="1">IFERROR(IF(0=LEN(ReferenceData!$AJ$337),"",ReferenceData!$AJ$337),"")</f>
        <v/>
      </c>
      <c r="AK337" t="str">
        <f ca="1">IFERROR(IF(0=LEN(ReferenceData!$AK$337),"",ReferenceData!$AK$337),"")</f>
        <v/>
      </c>
      <c r="AL337" t="str">
        <f ca="1">IFERROR(IF(0=LEN(ReferenceData!$AL$337),"",ReferenceData!$AL$337),"")</f>
        <v/>
      </c>
      <c r="AM337" t="str">
        <f ca="1">IFERROR(IF(0=LEN(ReferenceData!$AM$337),"",ReferenceData!$AM$337),"")</f>
        <v/>
      </c>
      <c r="AN337" t="str">
        <f ca="1">IFERROR(IF(0=LEN(ReferenceData!$AN$337),"",ReferenceData!$AN$337),"")</f>
        <v/>
      </c>
      <c r="AO337" t="str">
        <f ca="1">IFERROR(IF(0=LEN(ReferenceData!$AO$337),"",ReferenceData!$AO$337),"")</f>
        <v/>
      </c>
      <c r="AP337" t="str">
        <f ca="1">IFERROR(IF(0=LEN(ReferenceData!$AP$337),"",ReferenceData!$AP$337),"")</f>
        <v/>
      </c>
      <c r="AQ337" t="str">
        <f ca="1">IFERROR(IF(0=LEN(ReferenceData!$AQ$337),"",ReferenceData!$AQ$337),"")</f>
        <v/>
      </c>
      <c r="AR337" t="str">
        <f ca="1">IFERROR(IF(0=LEN(ReferenceData!$AR$337),"",ReferenceData!$AR$337),"")</f>
        <v/>
      </c>
      <c r="AS337" t="str">
        <f ca="1">IFERROR(IF(0=LEN(ReferenceData!$AS$337),"",ReferenceData!$AS$337),"")</f>
        <v/>
      </c>
      <c r="AT337" t="str">
        <f ca="1">IFERROR(IF(0=LEN(ReferenceData!$AT$337),"",ReferenceData!$AT$337),"")</f>
        <v/>
      </c>
      <c r="AU337" t="str">
        <f ca="1">IFERROR(IF(0=LEN(ReferenceData!$AU$337),"",ReferenceData!$AU$337),"")</f>
        <v/>
      </c>
      <c r="AV337" t="str">
        <f ca="1">IFERROR(IF(0=LEN(ReferenceData!$AV$337),"",ReferenceData!$AV$337),"")</f>
        <v/>
      </c>
      <c r="AW337" t="str">
        <f ca="1">IFERROR(IF(0=LEN(ReferenceData!$AW$337),"",ReferenceData!$AW$337),"")</f>
        <v/>
      </c>
      <c r="AX337" t="str">
        <f ca="1">IFERROR(IF(0=LEN(ReferenceData!$AX$337),"",ReferenceData!$AX$337),"")</f>
        <v/>
      </c>
      <c r="AY337" t="str">
        <f ca="1">IFERROR(IF(0=LEN(ReferenceData!$AY$337),"",ReferenceData!$AY$337),"")</f>
        <v/>
      </c>
      <c r="AZ337" t="str">
        <f ca="1">IFERROR(IF(0=LEN(ReferenceData!$AZ$337),"",ReferenceData!$AZ$337),"")</f>
        <v/>
      </c>
      <c r="BA337" t="str">
        <f ca="1">IFERROR(IF(0=LEN(ReferenceData!$BA$337),"",ReferenceData!$BA$337),"")</f>
        <v/>
      </c>
      <c r="BB337" t="str">
        <f ca="1">IFERROR(IF(0=LEN(ReferenceData!$BB$337),"",ReferenceData!$BB$337),"")</f>
        <v/>
      </c>
      <c r="BC337" t="str">
        <f ca="1">IFERROR(IF(0=LEN(ReferenceData!$BC$337),"",ReferenceData!$BC$337),"")</f>
        <v/>
      </c>
      <c r="BD337" t="str">
        <f ca="1">IFERROR(IF(0=LEN(ReferenceData!$BD$337),"",ReferenceData!$BD$337),"")</f>
        <v/>
      </c>
      <c r="BE337" t="str">
        <f ca="1">IFERROR(IF(0=LEN(ReferenceData!$BE$337),"",ReferenceData!$BE$337),"")</f>
        <v/>
      </c>
      <c r="BF337" t="str">
        <f ca="1">IFERROR(IF(0=LEN(ReferenceData!$BF$337),"",ReferenceData!$BF$337),"")</f>
        <v/>
      </c>
      <c r="BG337" t="str">
        <f ca="1">IFERROR(IF(0=LEN(ReferenceData!$BG$337),"",ReferenceData!$BG$337),"")</f>
        <v/>
      </c>
      <c r="BH337" t="str">
        <f ca="1">IFERROR(IF(0=LEN(ReferenceData!$BH$337),"",ReferenceData!$BH$337),"")</f>
        <v/>
      </c>
      <c r="BI337" t="str">
        <f ca="1">IFERROR(IF(0=LEN(ReferenceData!$BI$337),"",ReferenceData!$BI$337),"")</f>
        <v/>
      </c>
      <c r="BJ337" t="str">
        <f ca="1">IFERROR(IF(0=LEN(ReferenceData!$BJ$337),"",ReferenceData!$BJ$337),"")</f>
        <v/>
      </c>
      <c r="BK337" t="str">
        <f ca="1">IFERROR(IF(0=LEN(ReferenceData!$BK$337),"",ReferenceData!$BK$337),"")</f>
        <v/>
      </c>
      <c r="BL337" t="str">
        <f ca="1">IFERROR(IF(0=LEN(ReferenceData!$BL$337),"",ReferenceData!$BL$337),"")</f>
        <v/>
      </c>
      <c r="BM337" t="str">
        <f ca="1">IFERROR(IF(0=LEN(ReferenceData!$BM$337),"",ReferenceData!$BM$337),"")</f>
        <v/>
      </c>
    </row>
    <row r="338" spans="1:65" x14ac:dyDescent="0.25">
      <c r="A338" t="str">
        <f>IFERROR(IF(0=LEN(ReferenceData!$A$338),"",ReferenceData!$A$338),"")</f>
        <v xml:space="preserve">    BYD Co Ltd</v>
      </c>
      <c r="B338" t="str">
        <f>IFERROR(IF(0=LEN(ReferenceData!$B$338),"",ReferenceData!$B$338),"")</f>
        <v>1211 HK Equity</v>
      </c>
      <c r="C338" t="str">
        <f>IFERROR(IF(0=LEN(ReferenceData!$C$338),"",ReferenceData!$C$338),"")</f>
        <v>RR473</v>
      </c>
      <c r="D338" t="str">
        <f>IFERROR(IF(0=LEN(ReferenceData!$D$338),"",ReferenceData!$D$338),"")</f>
        <v>EV_TO_T12M_SALES</v>
      </c>
      <c r="E338" t="str">
        <f>IFERROR(IF(0=LEN(ReferenceData!$E$338),"",ReferenceData!$E$338),"")</f>
        <v>Dynamic</v>
      </c>
      <c r="F338" t="str">
        <f ca="1">IFERROR(IF(0=LEN(ReferenceData!$F$338),"",ReferenceData!$F$338),"")</f>
        <v/>
      </c>
      <c r="G338" t="str">
        <f ca="1">IFERROR(IF(0=LEN(ReferenceData!$G$338),"",ReferenceData!$G$338),"")</f>
        <v/>
      </c>
      <c r="H338">
        <f ca="1">IFERROR(IF(0=LEN(ReferenceData!$H$338),"",ReferenceData!$H$338),"")</f>
        <v>1.605165554</v>
      </c>
      <c r="I338">
        <f ca="1">IFERROR(IF(0=LEN(ReferenceData!$I$338),"",ReferenceData!$I$338),"")</f>
        <v>1.653630554</v>
      </c>
      <c r="J338">
        <f ca="1">IFERROR(IF(0=LEN(ReferenceData!$J$338),"",ReferenceData!$J$338),"")</f>
        <v>2.0778840519999999</v>
      </c>
      <c r="K338">
        <f ca="1">IFERROR(IF(0=LEN(ReferenceData!$K$338),"",ReferenceData!$K$338),"")</f>
        <v>2.325559691</v>
      </c>
      <c r="L338">
        <f ca="1">IFERROR(IF(0=LEN(ReferenceData!$L$338),"",ReferenceData!$L$338),"")</f>
        <v>2.4341935320000001</v>
      </c>
      <c r="M338">
        <f ca="1">IFERROR(IF(0=LEN(ReferenceData!$M$338),"",ReferenceData!$M$338),"")</f>
        <v>1.9286809220000001</v>
      </c>
      <c r="N338">
        <f ca="1">IFERROR(IF(0=LEN(ReferenceData!$N$338),"",ReferenceData!$N$338),"")</f>
        <v>1.812009006</v>
      </c>
      <c r="O338">
        <f ca="1">IFERROR(IF(0=LEN(ReferenceData!$O$338),"",ReferenceData!$O$338),"")</f>
        <v>1.7863049559999999</v>
      </c>
      <c r="P338">
        <f ca="1">IFERROR(IF(0=LEN(ReferenceData!$P$338),"",ReferenceData!$P$338),"")</f>
        <v>1.865825748</v>
      </c>
      <c r="Q338">
        <f ca="1">IFERROR(IF(0=LEN(ReferenceData!$Q$338),"",ReferenceData!$Q$338),"")</f>
        <v>2.0875923699999999</v>
      </c>
      <c r="R338">
        <f ca="1">IFERROR(IF(0=LEN(ReferenceData!$R$338),"",ReferenceData!$R$338),"")</f>
        <v>2.1739941869999999</v>
      </c>
      <c r="S338">
        <f ca="1">IFERROR(IF(0=LEN(ReferenceData!$S$338),"",ReferenceData!$S$338),"")</f>
        <v>2.2985374630000002</v>
      </c>
      <c r="T338">
        <f ca="1">IFERROR(IF(0=LEN(ReferenceData!$T$338),"",ReferenceData!$T$338),"")</f>
        <v>2.7103422190000002</v>
      </c>
      <c r="U338">
        <f ca="1">IFERROR(IF(0=LEN(ReferenceData!$U$338),"",ReferenceData!$U$338),"")</f>
        <v>2.692889563</v>
      </c>
      <c r="V338">
        <f ca="1">IFERROR(IF(0=LEN(ReferenceData!$V$338),"",ReferenceData!$V$338),"")</f>
        <v>2.5183534390000002</v>
      </c>
      <c r="W338">
        <f ca="1">IFERROR(IF(0=LEN(ReferenceData!$W$338),"",ReferenceData!$W$338),"")</f>
        <v>2.201109244</v>
      </c>
      <c r="X338">
        <f ca="1">IFERROR(IF(0=LEN(ReferenceData!$X$338),"",ReferenceData!$X$338),"")</f>
        <v>2.8902505860000001</v>
      </c>
      <c r="Y338">
        <f ca="1">IFERROR(IF(0=LEN(ReferenceData!$Y$338),"",ReferenceData!$Y$338),"")</f>
        <v>2.3904059719999999</v>
      </c>
      <c r="Z338">
        <f ca="1">IFERROR(IF(0=LEN(ReferenceData!$Z$338),"",ReferenceData!$Z$338),"")</f>
        <v>2.4784886529999999</v>
      </c>
      <c r="AA338">
        <f ca="1">IFERROR(IF(0=LEN(ReferenceData!$AA$338),"",ReferenceData!$AA$338),"")</f>
        <v>2.054228449</v>
      </c>
      <c r="AB338">
        <f ca="1">IFERROR(IF(0=LEN(ReferenceData!$AB$338),"",ReferenceData!$AB$338),"")</f>
        <v>1.928675089</v>
      </c>
      <c r="AC338">
        <f ca="1">IFERROR(IF(0=LEN(ReferenceData!$AC$338),"",ReferenceData!$AC$338),"")</f>
        <v>1.937978472</v>
      </c>
      <c r="AD338">
        <f ca="1">IFERROR(IF(0=LEN(ReferenceData!$AD$338),"",ReferenceData!$AD$338),"")</f>
        <v>1.6381825219999999</v>
      </c>
      <c r="AE338">
        <f ca="1">IFERROR(IF(0=LEN(ReferenceData!$AE$338),"",ReferenceData!$AE$338),"")</f>
        <v>1.636149369</v>
      </c>
      <c r="AF338">
        <f ca="1">IFERROR(IF(0=LEN(ReferenceData!$AF$338),"",ReferenceData!$AF$338),"")</f>
        <v>1.198125785</v>
      </c>
      <c r="AG338">
        <f ca="1">IFERROR(IF(0=LEN(ReferenceData!$AG$338),"",ReferenceData!$AG$338),"")</f>
        <v>1.450669671</v>
      </c>
      <c r="AH338" t="str">
        <f ca="1">IFERROR(IF(0=LEN(ReferenceData!$AH$338),"",ReferenceData!$AH$338),"")</f>
        <v/>
      </c>
      <c r="AI338" t="str">
        <f ca="1">IFERROR(IF(0=LEN(ReferenceData!$AI$338),"",ReferenceData!$AI$338),"")</f>
        <v/>
      </c>
      <c r="AJ338" t="str">
        <f ca="1">IFERROR(IF(0=LEN(ReferenceData!$AJ$338),"",ReferenceData!$AJ$338),"")</f>
        <v/>
      </c>
      <c r="AK338" t="str">
        <f ca="1">IFERROR(IF(0=LEN(ReferenceData!$AK$338),"",ReferenceData!$AK$338),"")</f>
        <v/>
      </c>
      <c r="AL338" t="str">
        <f ca="1">IFERROR(IF(0=LEN(ReferenceData!$AL$338),"",ReferenceData!$AL$338),"")</f>
        <v/>
      </c>
      <c r="AM338">
        <f ca="1">IFERROR(IF(0=LEN(ReferenceData!$AM$338),"",ReferenceData!$AM$338),"")</f>
        <v>2.0039745870000001</v>
      </c>
      <c r="AN338">
        <f ca="1">IFERROR(IF(0=LEN(ReferenceData!$AN$338),"",ReferenceData!$AN$338),"")</f>
        <v>2.7593615489999999</v>
      </c>
      <c r="AO338">
        <f ca="1">IFERROR(IF(0=LEN(ReferenceData!$AO$338),"",ReferenceData!$AO$338),"")</f>
        <v>2.5770534820000002</v>
      </c>
      <c r="AP338" t="str">
        <f ca="1">IFERROR(IF(0=LEN(ReferenceData!$AP$338),"",ReferenceData!$AP$338),"")</f>
        <v/>
      </c>
      <c r="AQ338" t="str">
        <f ca="1">IFERROR(IF(0=LEN(ReferenceData!$AQ$338),"",ReferenceData!$AQ$338),"")</f>
        <v/>
      </c>
      <c r="AR338" t="str">
        <f ca="1">IFERROR(IF(0=LEN(ReferenceData!$AR$338),"",ReferenceData!$AR$338),"")</f>
        <v/>
      </c>
      <c r="AS338" t="str">
        <f ca="1">IFERROR(IF(0=LEN(ReferenceData!$AS$338),"",ReferenceData!$AS$338),"")</f>
        <v/>
      </c>
      <c r="AT338" t="str">
        <f ca="1">IFERROR(IF(0=LEN(ReferenceData!$AT$338),"",ReferenceData!$AT$338),"")</f>
        <v/>
      </c>
      <c r="AU338" t="str">
        <f ca="1">IFERROR(IF(0=LEN(ReferenceData!$AU$338),"",ReferenceData!$AU$338),"")</f>
        <v/>
      </c>
      <c r="AV338" t="str">
        <f ca="1">IFERROR(IF(0=LEN(ReferenceData!$AV$338),"",ReferenceData!$AV$338),"")</f>
        <v/>
      </c>
      <c r="AW338" t="str">
        <f ca="1">IFERROR(IF(0=LEN(ReferenceData!$AW$338),"",ReferenceData!$AW$338),"")</f>
        <v/>
      </c>
      <c r="AX338" t="str">
        <f ca="1">IFERROR(IF(0=LEN(ReferenceData!$AX$338),"",ReferenceData!$AX$338),"")</f>
        <v/>
      </c>
      <c r="AY338" t="str">
        <f ca="1">IFERROR(IF(0=LEN(ReferenceData!$AY$338),"",ReferenceData!$AY$338),"")</f>
        <v/>
      </c>
      <c r="AZ338" t="str">
        <f ca="1">IFERROR(IF(0=LEN(ReferenceData!$AZ$338),"",ReferenceData!$AZ$338),"")</f>
        <v/>
      </c>
      <c r="BA338" t="str">
        <f ca="1">IFERROR(IF(0=LEN(ReferenceData!$BA$338),"",ReferenceData!$BA$338),"")</f>
        <v/>
      </c>
      <c r="BB338" t="str">
        <f ca="1">IFERROR(IF(0=LEN(ReferenceData!$BB$338),"",ReferenceData!$BB$338),"")</f>
        <v/>
      </c>
      <c r="BC338" t="str">
        <f ca="1">IFERROR(IF(0=LEN(ReferenceData!$BC$338),"",ReferenceData!$BC$338),"")</f>
        <v/>
      </c>
      <c r="BD338" t="str">
        <f ca="1">IFERROR(IF(0=LEN(ReferenceData!$BD$338),"",ReferenceData!$BD$338),"")</f>
        <v/>
      </c>
      <c r="BE338" t="str">
        <f ca="1">IFERROR(IF(0=LEN(ReferenceData!$BE$338),"",ReferenceData!$BE$338),"")</f>
        <v/>
      </c>
      <c r="BF338" t="str">
        <f ca="1">IFERROR(IF(0=LEN(ReferenceData!$BF$338),"",ReferenceData!$BF$338),"")</f>
        <v/>
      </c>
      <c r="BG338" t="str">
        <f ca="1">IFERROR(IF(0=LEN(ReferenceData!$BG$338),"",ReferenceData!$BG$338),"")</f>
        <v/>
      </c>
      <c r="BH338" t="str">
        <f ca="1">IFERROR(IF(0=LEN(ReferenceData!$BH$338),"",ReferenceData!$BH$338),"")</f>
        <v/>
      </c>
      <c r="BI338" t="str">
        <f ca="1">IFERROR(IF(0=LEN(ReferenceData!$BI$338),"",ReferenceData!$BI$338),"")</f>
        <v/>
      </c>
      <c r="BJ338" t="str">
        <f ca="1">IFERROR(IF(0=LEN(ReferenceData!$BJ$338),"",ReferenceData!$BJ$338),"")</f>
        <v/>
      </c>
      <c r="BK338" t="str">
        <f ca="1">IFERROR(IF(0=LEN(ReferenceData!$BK$338),"",ReferenceData!$BK$338),"")</f>
        <v/>
      </c>
      <c r="BL338" t="str">
        <f ca="1">IFERROR(IF(0=LEN(ReferenceData!$BL$338),"",ReferenceData!$BL$338),"")</f>
        <v/>
      </c>
      <c r="BM338" t="str">
        <f ca="1">IFERROR(IF(0=LEN(ReferenceData!$BM$338),"",ReferenceData!$BM$338),"")</f>
        <v/>
      </c>
    </row>
    <row r="339" spans="1:65" x14ac:dyDescent="0.25">
      <c r="A339" t="str">
        <f>IFERROR(IF(0=LEN(ReferenceData!$A$339),"",ReferenceData!$A$339),"")</f>
        <v xml:space="preserve">    Chongqing Changan Automobile Co Ltd</v>
      </c>
      <c r="B339" t="str">
        <f>IFERROR(IF(0=LEN(ReferenceData!$B$339),"",ReferenceData!$B$339),"")</f>
        <v>200625 CH Equity</v>
      </c>
      <c r="C339" t="str">
        <f>IFERROR(IF(0=LEN(ReferenceData!$C$339),"",ReferenceData!$C$339),"")</f>
        <v>RR473</v>
      </c>
      <c r="D339" t="str">
        <f>IFERROR(IF(0=LEN(ReferenceData!$D$339),"",ReferenceData!$D$339),"")</f>
        <v>EV_TO_T12M_SALES</v>
      </c>
      <c r="E339" t="str">
        <f>IFERROR(IF(0=LEN(ReferenceData!$E$339),"",ReferenceData!$E$339),"")</f>
        <v>Dynamic</v>
      </c>
      <c r="F339" t="str">
        <f ca="1">IFERROR(IF(0=LEN(ReferenceData!$F$339),"",ReferenceData!$F$339),"")</f>
        <v/>
      </c>
      <c r="G339" t="str">
        <f ca="1">IFERROR(IF(0=LEN(ReferenceData!$G$339),"",ReferenceData!$G$339),"")</f>
        <v/>
      </c>
      <c r="H339">
        <f ca="1">IFERROR(IF(0=LEN(ReferenceData!$H$339),"",ReferenceData!$H$339),"")</f>
        <v>0.14632594800000001</v>
      </c>
      <c r="I339">
        <f ca="1">IFERROR(IF(0=LEN(ReferenceData!$I$339),"",ReferenceData!$I$339),"")</f>
        <v>0.36218411299999997</v>
      </c>
      <c r="J339">
        <f ca="1">IFERROR(IF(0=LEN(ReferenceData!$J$339),"",ReferenceData!$J$339),"")</f>
        <v>0.34323268099999998</v>
      </c>
      <c r="K339">
        <f ca="1">IFERROR(IF(0=LEN(ReferenceData!$K$339),"",ReferenceData!$K$339),"")</f>
        <v>0.40319449600000001</v>
      </c>
      <c r="L339">
        <f ca="1">IFERROR(IF(0=LEN(ReferenceData!$L$339),"",ReferenceData!$L$339),"")</f>
        <v>0.51969142199999996</v>
      </c>
      <c r="M339">
        <f ca="1">IFERROR(IF(0=LEN(ReferenceData!$M$339),"",ReferenceData!$M$339),"")</f>
        <v>0.53287412000000001</v>
      </c>
      <c r="N339">
        <f ca="1">IFERROR(IF(0=LEN(ReferenceData!$N$339),"",ReferenceData!$N$339),"")</f>
        <v>0.57696127500000005</v>
      </c>
      <c r="O339">
        <f ca="1">IFERROR(IF(0=LEN(ReferenceData!$O$339),"",ReferenceData!$O$339),"")</f>
        <v>0.63532502999999996</v>
      </c>
      <c r="P339">
        <f ca="1">IFERROR(IF(0=LEN(ReferenceData!$P$339),"",ReferenceData!$P$339),"")</f>
        <v>0.70331706100000002</v>
      </c>
      <c r="Q339">
        <f ca="1">IFERROR(IF(0=LEN(ReferenceData!$Q$339),"",ReferenceData!$Q$339),"")</f>
        <v>0.69363237300000002</v>
      </c>
      <c r="R339">
        <f ca="1">IFERROR(IF(0=LEN(ReferenceData!$R$339),"",ReferenceData!$R$339),"")</f>
        <v>0.91904603399999996</v>
      </c>
      <c r="S339">
        <f ca="1">IFERROR(IF(0=LEN(ReferenceData!$S$339),"",ReferenceData!$S$339),"")</f>
        <v>1.0887647949999999</v>
      </c>
      <c r="T339">
        <f ca="1">IFERROR(IF(0=LEN(ReferenceData!$T$339),"",ReferenceData!$T$339),"")</f>
        <v>0.84569261299999998</v>
      </c>
      <c r="U339">
        <f ca="1">IFERROR(IF(0=LEN(ReferenceData!$U$339),"",ReferenceData!$U$339),"")</f>
        <v>1.3499400770000001</v>
      </c>
      <c r="V339">
        <f ca="1">IFERROR(IF(0=LEN(ReferenceData!$V$339),"",ReferenceData!$V$339),"")</f>
        <v>1.4975789070000001</v>
      </c>
      <c r="W339">
        <f ca="1">IFERROR(IF(0=LEN(ReferenceData!$W$339),"",ReferenceData!$W$339),"")</f>
        <v>1.3996870100000001</v>
      </c>
      <c r="X339">
        <f ca="1">IFERROR(IF(0=LEN(ReferenceData!$X$339),"",ReferenceData!$X$339),"")</f>
        <v>1.5104642660000001</v>
      </c>
      <c r="Y339">
        <f ca="1">IFERROR(IF(0=LEN(ReferenceData!$Y$339),"",ReferenceData!$Y$339),"")</f>
        <v>1.5338692119999999</v>
      </c>
      <c r="Z339">
        <f ca="1">IFERROR(IF(0=LEN(ReferenceData!$Z$339),"",ReferenceData!$Z$339),"")</f>
        <v>1.4781704389999999</v>
      </c>
      <c r="AA339">
        <f ca="1">IFERROR(IF(0=LEN(ReferenceData!$AA$339),"",ReferenceData!$AA$339),"")</f>
        <v>1.7057002619999999</v>
      </c>
      <c r="AB339">
        <f ca="1">IFERROR(IF(0=LEN(ReferenceData!$AB$339),"",ReferenceData!$AB$339),"")</f>
        <v>1.4969551489999999</v>
      </c>
      <c r="AC339">
        <f ca="1">IFERROR(IF(0=LEN(ReferenceData!$AC$339),"",ReferenceData!$AC$339),"")</f>
        <v>1.415949479</v>
      </c>
      <c r="AD339">
        <f ca="1">IFERROR(IF(0=LEN(ReferenceData!$AD$339),"",ReferenceData!$AD$339),"")</f>
        <v>1.5790604070000001</v>
      </c>
      <c r="AE339">
        <f ca="1">IFERROR(IF(0=LEN(ReferenceData!$AE$339),"",ReferenceData!$AE$339),"")</f>
        <v>1.2713357510000001</v>
      </c>
      <c r="AF339">
        <f ca="1">IFERROR(IF(0=LEN(ReferenceData!$AF$339),"",ReferenceData!$AF$339),"")</f>
        <v>1.1038499349999999</v>
      </c>
      <c r="AG339">
        <f ca="1">IFERROR(IF(0=LEN(ReferenceData!$AG$339),"",ReferenceData!$AG$339),"")</f>
        <v>1.0443005409999999</v>
      </c>
      <c r="AH339">
        <f ca="1">IFERROR(IF(0=LEN(ReferenceData!$AH$339),"",ReferenceData!$AH$339),"")</f>
        <v>0.66002917299999997</v>
      </c>
      <c r="AI339">
        <f ca="1">IFERROR(IF(0=LEN(ReferenceData!$AI$339),"",ReferenceData!$AI$339),"")</f>
        <v>0.546581294</v>
      </c>
      <c r="AJ339">
        <f ca="1">IFERROR(IF(0=LEN(ReferenceData!$AJ$339),"",ReferenceData!$AJ$339),"")</f>
        <v>0.33772879</v>
      </c>
      <c r="AK339">
        <f ca="1">IFERROR(IF(0=LEN(ReferenceData!$AK$339),"",ReferenceData!$AK$339),"")</f>
        <v>0.37705904299999998</v>
      </c>
      <c r="AL339">
        <f ca="1">IFERROR(IF(0=LEN(ReferenceData!$AL$339),"",ReferenceData!$AL$339),"")</f>
        <v>0.63378995400000004</v>
      </c>
      <c r="AM339">
        <f ca="1">IFERROR(IF(0=LEN(ReferenceData!$AM$339),"",ReferenceData!$AM$339),"")</f>
        <v>0.630265984</v>
      </c>
      <c r="AN339">
        <f ca="1">IFERROR(IF(0=LEN(ReferenceData!$AN$339),"",ReferenceData!$AN$339),"")</f>
        <v>0.73325375199999998</v>
      </c>
      <c r="AO339">
        <f ca="1">IFERROR(IF(0=LEN(ReferenceData!$AO$339),"",ReferenceData!$AO$339),"")</f>
        <v>0.58027941299999997</v>
      </c>
      <c r="AP339">
        <f ca="1">IFERROR(IF(0=LEN(ReferenceData!$AP$339),"",ReferenceData!$AP$339),"")</f>
        <v>0.85185676799999999</v>
      </c>
      <c r="AQ339">
        <f ca="1">IFERROR(IF(0=LEN(ReferenceData!$AQ$339),"",ReferenceData!$AQ$339),"")</f>
        <v>1.139387902</v>
      </c>
      <c r="AR339">
        <f ca="1">IFERROR(IF(0=LEN(ReferenceData!$AR$339),"",ReferenceData!$AR$339),"")</f>
        <v>0.52026466900000001</v>
      </c>
      <c r="AS339">
        <f ca="1">IFERROR(IF(0=LEN(ReferenceData!$AS$339),"",ReferenceData!$AS$339),"")</f>
        <v>1.025674628</v>
      </c>
      <c r="AT339">
        <f ca="1">IFERROR(IF(0=LEN(ReferenceData!$AT$339),"",ReferenceData!$AT$339),"")</f>
        <v>1.1434032839999999</v>
      </c>
      <c r="AU339" t="str">
        <f ca="1">IFERROR(IF(0=LEN(ReferenceData!$AU$339),"",ReferenceData!$AU$339),"")</f>
        <v/>
      </c>
      <c r="AV339">
        <f ca="1">IFERROR(IF(0=LEN(ReferenceData!$AV$339),"",ReferenceData!$AV$339),"")</f>
        <v>0.69762516299999999</v>
      </c>
      <c r="AW339">
        <f ca="1">IFERROR(IF(0=LEN(ReferenceData!$AW$339),"",ReferenceData!$AW$339),"")</f>
        <v>0.80413170899999997</v>
      </c>
      <c r="AX339">
        <f ca="1">IFERROR(IF(0=LEN(ReferenceData!$AX$339),"",ReferenceData!$AX$339),"")</f>
        <v>1.325710269</v>
      </c>
      <c r="AY339">
        <f ca="1">IFERROR(IF(0=LEN(ReferenceData!$AY$339),"",ReferenceData!$AY$339),"")</f>
        <v>2.3573429109999999</v>
      </c>
      <c r="AZ339">
        <f ca="1">IFERROR(IF(0=LEN(ReferenceData!$AZ$339),"",ReferenceData!$AZ$339),"")</f>
        <v>2.317833818</v>
      </c>
      <c r="BA339">
        <f ca="1">IFERROR(IF(0=LEN(ReferenceData!$BA$339),"",ReferenceData!$BA$339),"")</f>
        <v>1.252002866</v>
      </c>
      <c r="BB339">
        <f ca="1">IFERROR(IF(0=LEN(ReferenceData!$BB$339),"",ReferenceData!$BB$339),"")</f>
        <v>1.0849198010000001</v>
      </c>
      <c r="BC339">
        <f ca="1">IFERROR(IF(0=LEN(ReferenceData!$BC$339),"",ReferenceData!$BC$339),"")</f>
        <v>0.62907249399999998</v>
      </c>
      <c r="BD339">
        <f ca="1">IFERROR(IF(0=LEN(ReferenceData!$BD$339),"",ReferenceData!$BD$339),"")</f>
        <v>0.46388232200000001</v>
      </c>
      <c r="BE339">
        <f ca="1">IFERROR(IF(0=LEN(ReferenceData!$BE$339),"",ReferenceData!$BE$339),"")</f>
        <v>0.48691573799999999</v>
      </c>
      <c r="BF339">
        <f ca="1">IFERROR(IF(0=LEN(ReferenceData!$BF$339),"",ReferenceData!$BF$339),"")</f>
        <v>0.46839680299999997</v>
      </c>
      <c r="BG339">
        <f ca="1">IFERROR(IF(0=LEN(ReferenceData!$BG$339),"",ReferenceData!$BG$339),"")</f>
        <v>0.50362285799999995</v>
      </c>
      <c r="BH339">
        <f ca="1">IFERROR(IF(0=LEN(ReferenceData!$BH$339),"",ReferenceData!$BH$339),"")</f>
        <v>0.44137605499999999</v>
      </c>
      <c r="BI339" t="str">
        <f ca="1">IFERROR(IF(0=LEN(ReferenceData!$BI$339),"",ReferenceData!$BI$339),"")</f>
        <v/>
      </c>
      <c r="BJ339" t="str">
        <f ca="1">IFERROR(IF(0=LEN(ReferenceData!$BJ$339),"",ReferenceData!$BJ$339),"")</f>
        <v/>
      </c>
      <c r="BK339" t="str">
        <f ca="1">IFERROR(IF(0=LEN(ReferenceData!$BK$339),"",ReferenceData!$BK$339),"")</f>
        <v/>
      </c>
      <c r="BL339" t="str">
        <f ca="1">IFERROR(IF(0=LEN(ReferenceData!$BL$339),"",ReferenceData!$BL$339),"")</f>
        <v/>
      </c>
      <c r="BM339" t="str">
        <f ca="1">IFERROR(IF(0=LEN(ReferenceData!$BM$339),"",ReferenceData!$BM$339),"")</f>
        <v/>
      </c>
    </row>
    <row r="340" spans="1:65" x14ac:dyDescent="0.25">
      <c r="A340" t="str">
        <f>IFERROR(IF(0=LEN(ReferenceData!$A$340),"",ReferenceData!$A$340),"")</f>
        <v xml:space="preserve">    Daihatsu Motor Co Ltd</v>
      </c>
      <c r="B340" t="str">
        <f>IFERROR(IF(0=LEN(ReferenceData!$B$340),"",ReferenceData!$B$340),"")</f>
        <v>7262 JP Equity</v>
      </c>
      <c r="C340" t="str">
        <f>IFERROR(IF(0=LEN(ReferenceData!$C$340),"",ReferenceData!$C$340),"")</f>
        <v>RR473</v>
      </c>
      <c r="D340" t="str">
        <f>IFERROR(IF(0=LEN(ReferenceData!$D$340),"",ReferenceData!$D$340),"")</f>
        <v>EV_TO_T12M_SALES</v>
      </c>
      <c r="E340" t="str">
        <f>IFERROR(IF(0=LEN(ReferenceData!$E$340),"",ReferenceData!$E$340),"")</f>
        <v>Dynamic</v>
      </c>
      <c r="F340" t="str">
        <f ca="1">IFERROR(IF(0=LEN(ReferenceData!$F$340),"",ReferenceData!$F$340),"")</f>
        <v/>
      </c>
      <c r="G340" t="str">
        <f ca="1">IFERROR(IF(0=LEN(ReferenceData!$G$340),"",ReferenceData!$G$340),"")</f>
        <v/>
      </c>
      <c r="H340" t="str">
        <f ca="1">IFERROR(IF(0=LEN(ReferenceData!$H$340),"",ReferenceData!$H$340),"")</f>
        <v/>
      </c>
      <c r="I340" t="str">
        <f ca="1">IFERROR(IF(0=LEN(ReferenceData!$I$340),"",ReferenceData!$I$340),"")</f>
        <v/>
      </c>
      <c r="J340" t="str">
        <f ca="1">IFERROR(IF(0=LEN(ReferenceData!$J$340),"",ReferenceData!$J$340),"")</f>
        <v/>
      </c>
      <c r="K340" t="str">
        <f ca="1">IFERROR(IF(0=LEN(ReferenceData!$K$340),"",ReferenceData!$K$340),"")</f>
        <v/>
      </c>
      <c r="L340" t="str">
        <f ca="1">IFERROR(IF(0=LEN(ReferenceData!$L$340),"",ReferenceData!$L$340),"")</f>
        <v/>
      </c>
      <c r="M340" t="str">
        <f ca="1">IFERROR(IF(0=LEN(ReferenceData!$M$340),"",ReferenceData!$M$340),"")</f>
        <v/>
      </c>
      <c r="N340" t="str">
        <f ca="1">IFERROR(IF(0=LEN(ReferenceData!$N$340),"",ReferenceData!$N$340),"")</f>
        <v/>
      </c>
      <c r="O340" t="str">
        <f ca="1">IFERROR(IF(0=LEN(ReferenceData!$O$340),"",ReferenceData!$O$340),"")</f>
        <v/>
      </c>
      <c r="P340" t="str">
        <f ca="1">IFERROR(IF(0=LEN(ReferenceData!$P$340),"",ReferenceData!$P$340),"")</f>
        <v/>
      </c>
      <c r="Q340" t="str">
        <f ca="1">IFERROR(IF(0=LEN(ReferenceData!$Q$340),"",ReferenceData!$Q$340),"")</f>
        <v/>
      </c>
      <c r="R340">
        <f ca="1">IFERROR(IF(0=LEN(ReferenceData!$R$340),"",ReferenceData!$R$340),"")</f>
        <v>0.51983141899999996</v>
      </c>
      <c r="S340">
        <f ca="1">IFERROR(IF(0=LEN(ReferenceData!$S$340),"",ReferenceData!$S$340),"")</f>
        <v>0.50585650900000001</v>
      </c>
      <c r="T340">
        <f ca="1">IFERROR(IF(0=LEN(ReferenceData!$T$340),"",ReferenceData!$T$340),"")</f>
        <v>0.44884207599999998</v>
      </c>
      <c r="U340">
        <f ca="1">IFERROR(IF(0=LEN(ReferenceData!$U$340),"",ReferenceData!$U$340),"")</f>
        <v>0.53502245699999995</v>
      </c>
      <c r="V340">
        <f ca="1">IFERROR(IF(0=LEN(ReferenceData!$V$340),"",ReferenceData!$V$340),"")</f>
        <v>0.53487344199999998</v>
      </c>
      <c r="W340">
        <f ca="1">IFERROR(IF(0=LEN(ReferenceData!$W$340),"",ReferenceData!$W$340),"")</f>
        <v>0.46184681900000002</v>
      </c>
      <c r="X340">
        <f ca="1">IFERROR(IF(0=LEN(ReferenceData!$X$340),"",ReferenceData!$X$340),"")</f>
        <v>0.49429596199999998</v>
      </c>
      <c r="Y340">
        <f ca="1">IFERROR(IF(0=LEN(ReferenceData!$Y$340),"",ReferenceData!$Y$340),"")</f>
        <v>0.49705413100000001</v>
      </c>
      <c r="Z340">
        <f ca="1">IFERROR(IF(0=LEN(ReferenceData!$Z$340),"",ReferenceData!$Z$340),"")</f>
        <v>0.47862476999999998</v>
      </c>
      <c r="AA340">
        <f ca="1">IFERROR(IF(0=LEN(ReferenceData!$AA$340),"",ReferenceData!$AA$340),"")</f>
        <v>0.48035861899999999</v>
      </c>
      <c r="AB340">
        <f ca="1">IFERROR(IF(0=LEN(ReferenceData!$AB$340),"",ReferenceData!$AB$340),"")</f>
        <v>0.530063171</v>
      </c>
      <c r="AC340">
        <f ca="1">IFERROR(IF(0=LEN(ReferenceData!$AC$340),"",ReferenceData!$AC$340),"")</f>
        <v>0.537258758</v>
      </c>
      <c r="AD340">
        <f ca="1">IFERROR(IF(0=LEN(ReferenceData!$AD$340),"",ReferenceData!$AD$340),"")</f>
        <v>0.55037133699999996</v>
      </c>
      <c r="AE340">
        <f ca="1">IFERROR(IF(0=LEN(ReferenceData!$AE$340),"",ReferenceData!$AE$340),"")</f>
        <v>0.49617426100000001</v>
      </c>
      <c r="AF340">
        <f ca="1">IFERROR(IF(0=LEN(ReferenceData!$AF$340),"",ReferenceData!$AF$340),"")</f>
        <v>0.395651694</v>
      </c>
      <c r="AG340">
        <f ca="1">IFERROR(IF(0=LEN(ReferenceData!$AG$340),"",ReferenceData!$AG$340),"")</f>
        <v>0.42084100499999999</v>
      </c>
      <c r="AH340">
        <f ca="1">IFERROR(IF(0=LEN(ReferenceData!$AH$340),"",ReferenceData!$AH$340),"")</f>
        <v>0.484184479</v>
      </c>
      <c r="AI340">
        <f ca="1">IFERROR(IF(0=LEN(ReferenceData!$AI$340),"",ReferenceData!$AI$340),"")</f>
        <v>0.475545204</v>
      </c>
      <c r="AJ340">
        <f ca="1">IFERROR(IF(0=LEN(ReferenceData!$AJ$340),"",ReferenceData!$AJ$340),"")</f>
        <v>0.51298916100000003</v>
      </c>
      <c r="AK340">
        <f ca="1">IFERROR(IF(0=LEN(ReferenceData!$AK$340),"",ReferenceData!$AK$340),"")</f>
        <v>0.489750562</v>
      </c>
      <c r="AL340">
        <f ca="1">IFERROR(IF(0=LEN(ReferenceData!$AL$340),"",ReferenceData!$AL$340),"")</f>
        <v>0.43255309400000003</v>
      </c>
      <c r="AM340">
        <f ca="1">IFERROR(IF(0=LEN(ReferenceData!$AM$340),"",ReferenceData!$AM$340),"")</f>
        <v>0.41989975699999998</v>
      </c>
      <c r="AN340">
        <f ca="1">IFERROR(IF(0=LEN(ReferenceData!$AN$340),"",ReferenceData!$AN$340),"")</f>
        <v>0.38276870499999999</v>
      </c>
      <c r="AO340">
        <f ca="1">IFERROR(IF(0=LEN(ReferenceData!$AO$340),"",ReferenceData!$AO$340),"")</f>
        <v>0.32147200500000001</v>
      </c>
      <c r="AP340">
        <f ca="1">IFERROR(IF(0=LEN(ReferenceData!$AP$340),"",ReferenceData!$AP$340),"")</f>
        <v>0.37303940299999999</v>
      </c>
      <c r="AQ340">
        <f ca="1">IFERROR(IF(0=LEN(ReferenceData!$AQ$340),"",ReferenceData!$AQ$340),"")</f>
        <v>0.38822218200000003</v>
      </c>
      <c r="AR340">
        <f ca="1">IFERROR(IF(0=LEN(ReferenceData!$AR$340),"",ReferenceData!$AR$340),"")</f>
        <v>0.40918500800000002</v>
      </c>
      <c r="AS340">
        <f ca="1">IFERROR(IF(0=LEN(ReferenceData!$AS$340),"",ReferenceData!$AS$340),"")</f>
        <v>0.38546657699999998</v>
      </c>
      <c r="AT340">
        <f ca="1">IFERROR(IF(0=LEN(ReferenceData!$AT$340),"",ReferenceData!$AT$340),"")</f>
        <v>0.34030063900000002</v>
      </c>
      <c r="AU340">
        <f ca="1">IFERROR(IF(0=LEN(ReferenceData!$AU$340),"",ReferenceData!$AU$340),"")</f>
        <v>0.29572153099999998</v>
      </c>
      <c r="AV340">
        <f ca="1">IFERROR(IF(0=LEN(ReferenceData!$AV$340),"",ReferenceData!$AV$340),"")</f>
        <v>0.38648638000000002</v>
      </c>
      <c r="AW340">
        <f ca="1">IFERROR(IF(0=LEN(ReferenceData!$AW$340),"",ReferenceData!$AW$340),"")</f>
        <v>0.40737993300000003</v>
      </c>
      <c r="AX340">
        <f ca="1">IFERROR(IF(0=LEN(ReferenceData!$AX$340),"",ReferenceData!$AX$340),"")</f>
        <v>0.41861490400000001</v>
      </c>
      <c r="AY340">
        <f ca="1">IFERROR(IF(0=LEN(ReferenceData!$AY$340),"",ReferenceData!$AY$340),"")</f>
        <v>0.38037833799999998</v>
      </c>
      <c r="AZ340">
        <f ca="1">IFERROR(IF(0=LEN(ReferenceData!$AZ$340),"",ReferenceData!$AZ$340),"")</f>
        <v>0.41821391000000002</v>
      </c>
      <c r="BA340">
        <f ca="1">IFERROR(IF(0=LEN(ReferenceData!$BA$340),"",ReferenceData!$BA$340),"")</f>
        <v>0.40456457200000001</v>
      </c>
      <c r="BB340">
        <f ca="1">IFERROR(IF(0=LEN(ReferenceData!$BB$340),"",ReferenceData!$BB$340),"")</f>
        <v>0.40076220299999998</v>
      </c>
      <c r="BC340">
        <f ca="1">IFERROR(IF(0=LEN(ReferenceData!$BC$340),"",ReferenceData!$BC$340),"")</f>
        <v>0.43261416800000002</v>
      </c>
      <c r="BD340">
        <f ca="1">IFERROR(IF(0=LEN(ReferenceData!$BD$340),"",ReferenceData!$BD$340),"")</f>
        <v>0.42582805800000001</v>
      </c>
      <c r="BE340">
        <f ca="1">IFERROR(IF(0=LEN(ReferenceData!$BE$340),"",ReferenceData!$BE$340),"")</f>
        <v>0.38809526999999999</v>
      </c>
      <c r="BF340">
        <f ca="1">IFERROR(IF(0=LEN(ReferenceData!$BF$340),"",ReferenceData!$BF$340),"")</f>
        <v>0.51162682900000001</v>
      </c>
      <c r="BG340">
        <f ca="1">IFERROR(IF(0=LEN(ReferenceData!$BG$340),"",ReferenceData!$BG$340),"")</f>
        <v>0.55336169800000001</v>
      </c>
      <c r="BH340">
        <f ca="1">IFERROR(IF(0=LEN(ReferenceData!$BH$340),"",ReferenceData!$BH$340),"")</f>
        <v>0.52480755499999998</v>
      </c>
      <c r="BI340" t="str">
        <f ca="1">IFERROR(IF(0=LEN(ReferenceData!$BI$340),"",ReferenceData!$BI$340),"")</f>
        <v/>
      </c>
      <c r="BJ340">
        <f ca="1">IFERROR(IF(0=LEN(ReferenceData!$BJ$340),"",ReferenceData!$BJ$340),"")</f>
        <v>0.43470687000000002</v>
      </c>
      <c r="BK340" t="str">
        <f ca="1">IFERROR(IF(0=LEN(ReferenceData!$BK$340),"",ReferenceData!$BK$340),"")</f>
        <v/>
      </c>
      <c r="BL340" t="str">
        <f ca="1">IFERROR(IF(0=LEN(ReferenceData!$BL$340),"",ReferenceData!$BL$340),"")</f>
        <v/>
      </c>
      <c r="BM340" t="str">
        <f ca="1">IFERROR(IF(0=LEN(ReferenceData!$BM$340),"",ReferenceData!$BM$340),"")</f>
        <v/>
      </c>
    </row>
    <row r="341" spans="1:65" x14ac:dyDescent="0.25">
      <c r="A341" t="str">
        <f>IFERROR(IF(0=LEN(ReferenceData!$A$341),"",ReferenceData!$A$341),"")</f>
        <v xml:space="preserve">    Daimler AG</v>
      </c>
      <c r="B341" t="str">
        <f>IFERROR(IF(0=LEN(ReferenceData!$B$341),"",ReferenceData!$B$341),"")</f>
        <v>DAI GR Equity</v>
      </c>
      <c r="C341" t="str">
        <f>IFERROR(IF(0=LEN(ReferenceData!$C$341),"",ReferenceData!$C$341),"")</f>
        <v>RR473</v>
      </c>
      <c r="D341" t="str">
        <f>IFERROR(IF(0=LEN(ReferenceData!$D$341),"",ReferenceData!$D$341),"")</f>
        <v>EV_TO_T12M_SALES</v>
      </c>
      <c r="E341" t="str">
        <f>IFERROR(IF(0=LEN(ReferenceData!$E$341),"",ReferenceData!$E$341),"")</f>
        <v>Dynamic</v>
      </c>
      <c r="F341" t="str">
        <f ca="1">IFERROR(IF(0=LEN(ReferenceData!$F$341),"",ReferenceData!$F$341),"")</f>
        <v/>
      </c>
      <c r="G341">
        <f ca="1">IFERROR(IF(0=LEN(ReferenceData!$G$341),"",ReferenceData!$G$341),"")</f>
        <v>0.18978441900000001</v>
      </c>
      <c r="H341">
        <f ca="1">IFERROR(IF(0=LEN(ReferenceData!$H$341),"",ReferenceData!$H$341),"")</f>
        <v>0.25513412200000002</v>
      </c>
      <c r="I341">
        <f ca="1">IFERROR(IF(0=LEN(ReferenceData!$I$341),"",ReferenceData!$I$341),"")</f>
        <v>0.25001409400000002</v>
      </c>
      <c r="J341">
        <f ca="1">IFERROR(IF(0=LEN(ReferenceData!$J$341),"",ReferenceData!$J$341),"")</f>
        <v>0.319098557</v>
      </c>
      <c r="K341">
        <f ca="1">IFERROR(IF(0=LEN(ReferenceData!$K$341),"",ReferenceData!$K$341),"")</f>
        <v>0.34683894399999998</v>
      </c>
      <c r="L341">
        <f ca="1">IFERROR(IF(0=LEN(ReferenceData!$L$341),"",ReferenceData!$L$341),"")</f>
        <v>0.29323229899999997</v>
      </c>
      <c r="M341">
        <f ca="1">IFERROR(IF(0=LEN(ReferenceData!$M$341),"",ReferenceData!$M$341),"")</f>
        <v>0.286047781</v>
      </c>
      <c r="N341">
        <f ca="1">IFERROR(IF(0=LEN(ReferenceData!$N$341),"",ReferenceData!$N$341),"")</f>
        <v>0.31337203800000002</v>
      </c>
      <c r="O341">
        <f ca="1">IFERROR(IF(0=LEN(ReferenceData!$O$341),"",ReferenceData!$O$341),"")</f>
        <v>0.35202302000000002</v>
      </c>
      <c r="P341">
        <f ca="1">IFERROR(IF(0=LEN(ReferenceData!$P$341),"",ReferenceData!$P$341),"")</f>
        <v>0.306112255</v>
      </c>
      <c r="Q341">
        <f ca="1">IFERROR(IF(0=LEN(ReferenceData!$Q$341),"",ReferenceData!$Q$341),"")</f>
        <v>0.25185892700000001</v>
      </c>
      <c r="R341">
        <f ca="1">IFERROR(IF(0=LEN(ReferenceData!$R$341),"",ReferenceData!$R$341),"")</f>
        <v>0.34364674499999998</v>
      </c>
      <c r="S341">
        <f ca="1">IFERROR(IF(0=LEN(ReferenceData!$S$341),"",ReferenceData!$S$341),"")</f>
        <v>0.42124080899999999</v>
      </c>
      <c r="T341">
        <f ca="1">IFERROR(IF(0=LEN(ReferenceData!$T$341),"",ReferenceData!$T$341),"")</f>
        <v>0.32855912599999998</v>
      </c>
      <c r="U341">
        <f ca="1">IFERROR(IF(0=LEN(ReferenceData!$U$341),"",ReferenceData!$U$341),"")</f>
        <v>0.477995165</v>
      </c>
      <c r="V341">
        <f ca="1">IFERROR(IF(0=LEN(ReferenceData!$V$341),"",ReferenceData!$V$341),"")</f>
        <v>0.54517642899999996</v>
      </c>
      <c r="W341">
        <f ca="1">IFERROR(IF(0=LEN(ReferenceData!$W$341),"",ReferenceData!$W$341),"")</f>
        <v>0.42289253999999998</v>
      </c>
      <c r="X341">
        <f ca="1">IFERROR(IF(0=LEN(ReferenceData!$X$341),"",ReferenceData!$X$341),"")</f>
        <v>0.350365227</v>
      </c>
      <c r="Y341">
        <f ca="1">IFERROR(IF(0=LEN(ReferenceData!$Y$341),"",ReferenceData!$Y$341),"")</f>
        <v>0.46592419800000001</v>
      </c>
      <c r="Z341">
        <f ca="1">IFERROR(IF(0=LEN(ReferenceData!$Z$341),"",ReferenceData!$Z$341),"")</f>
        <v>0.45943890199999998</v>
      </c>
      <c r="AA341">
        <f ca="1">IFERROR(IF(0=LEN(ReferenceData!$AA$341),"",ReferenceData!$AA$341),"")</f>
        <v>0.43117594199999998</v>
      </c>
      <c r="AB341">
        <f ca="1">IFERROR(IF(0=LEN(ReferenceData!$AB$341),"",ReferenceData!$AB$341),"")</f>
        <v>0.39534253400000002</v>
      </c>
      <c r="AC341">
        <f ca="1">IFERROR(IF(0=LEN(ReferenceData!$AC$341),"",ReferenceData!$AC$341),"")</f>
        <v>0.30555886399999999</v>
      </c>
      <c r="AD341">
        <f ca="1">IFERROR(IF(0=LEN(ReferenceData!$AD$341),"",ReferenceData!$AD$341),"")</f>
        <v>0.29424039600000002</v>
      </c>
      <c r="AE341">
        <f ca="1">IFERROR(IF(0=LEN(ReferenceData!$AE$341),"",ReferenceData!$AE$341),"")</f>
        <v>0.27561731299999997</v>
      </c>
      <c r="AF341">
        <f ca="1">IFERROR(IF(0=LEN(ReferenceData!$AF$341),"",ReferenceData!$AF$341),"")</f>
        <v>0.27102808900000003</v>
      </c>
      <c r="AG341">
        <f ca="1">IFERROR(IF(0=LEN(ReferenceData!$AG$341),"",ReferenceData!$AG$341),"")</f>
        <v>0.24793874799999999</v>
      </c>
      <c r="AH341">
        <f ca="1">IFERROR(IF(0=LEN(ReferenceData!$AH$341),"",ReferenceData!$AH$341),"")</f>
        <v>0.33855176300000001</v>
      </c>
      <c r="AI341">
        <f ca="1">IFERROR(IF(0=LEN(ReferenceData!$AI$341),"",ReferenceData!$AI$341),"")</f>
        <v>0.214087629</v>
      </c>
      <c r="AJ341">
        <f ca="1">IFERROR(IF(0=LEN(ReferenceData!$AJ$341),"",ReferenceData!$AJ$341),"")</f>
        <v>0.23143076000000001</v>
      </c>
      <c r="AK341">
        <f ca="1">IFERROR(IF(0=LEN(ReferenceData!$AK$341),"",ReferenceData!$AK$341),"")</f>
        <v>0.41040833300000001</v>
      </c>
      <c r="AL341">
        <f ca="1">IFERROR(IF(0=LEN(ReferenceData!$AL$341),"",ReferenceData!$AL$341),"")</f>
        <v>0.38833005900000001</v>
      </c>
      <c r="AM341">
        <f ca="1">IFERROR(IF(0=LEN(ReferenceData!$AM$341),"",ReferenceData!$AM$341),"")</f>
        <v>0.42336659799999998</v>
      </c>
      <c r="AN341">
        <f ca="1">IFERROR(IF(0=LEN(ReferenceData!$AN$341),"",ReferenceData!$AN$341),"")</f>
        <v>0.38987829600000001</v>
      </c>
      <c r="AO341">
        <f ca="1">IFERROR(IF(0=LEN(ReferenceData!$AO$341),"",ReferenceData!$AO$341),"")</f>
        <v>0.38923282199999998</v>
      </c>
      <c r="AP341">
        <f ca="1">IFERROR(IF(0=LEN(ReferenceData!$AP$341),"",ReferenceData!$AP$341),"")</f>
        <v>0.34051425699999999</v>
      </c>
      <c r="AQ341">
        <f ca="1">IFERROR(IF(0=LEN(ReferenceData!$AQ$341),"",ReferenceData!$AQ$341),"")</f>
        <v>0.40535506300000002</v>
      </c>
      <c r="AR341">
        <f ca="1">IFERROR(IF(0=LEN(ReferenceData!$AR$341),"",ReferenceData!$AR$341),"")</f>
        <v>0.34902361399999998</v>
      </c>
      <c r="AS341">
        <f ca="1">IFERROR(IF(0=LEN(ReferenceData!$AS$341),"",ReferenceData!$AS$341),"")</f>
        <v>0.244824452</v>
      </c>
      <c r="AT341">
        <f ca="1">IFERROR(IF(0=LEN(ReferenceData!$AT$341),"",ReferenceData!$AT$341),"")</f>
        <v>0.17143218800000001</v>
      </c>
      <c r="AU341">
        <f ca="1">IFERROR(IF(0=LEN(ReferenceData!$AU$341),"",ReferenceData!$AU$341),"")</f>
        <v>0.86972609599999995</v>
      </c>
      <c r="AV341">
        <f ca="1">IFERROR(IF(0=LEN(ReferenceData!$AV$341),"",ReferenceData!$AV$341),"")</f>
        <v>1.0229526010000001</v>
      </c>
      <c r="AW341">
        <f ca="1">IFERROR(IF(0=LEN(ReferenceData!$AW$341),"",ReferenceData!$AW$341),"")</f>
        <v>0.97744902600000005</v>
      </c>
      <c r="AX341">
        <f ca="1">IFERROR(IF(0=LEN(ReferenceData!$AX$341),"",ReferenceData!$AX$341),"")</f>
        <v>1.133774445</v>
      </c>
      <c r="AY341">
        <f ca="1">IFERROR(IF(0=LEN(ReferenceData!$AY$341),"",ReferenceData!$AY$341),"")</f>
        <v>1.275965952</v>
      </c>
      <c r="AZ341">
        <f ca="1">IFERROR(IF(0=LEN(ReferenceData!$AZ$341),"",ReferenceData!$AZ$341),"")</f>
        <v>1.3636689150000001</v>
      </c>
      <c r="BA341">
        <f ca="1">IFERROR(IF(0=LEN(ReferenceData!$BA$341),"",ReferenceData!$BA$341),"")</f>
        <v>1.6212343279999999</v>
      </c>
      <c r="BB341">
        <f ca="1">IFERROR(IF(0=LEN(ReferenceData!$BB$341),"",ReferenceData!$BB$341),"")</f>
        <v>1.7768382579999999</v>
      </c>
      <c r="BC341">
        <f ca="1">IFERROR(IF(0=LEN(ReferenceData!$BC$341),"",ReferenceData!$BC$341),"")</f>
        <v>1.440426518</v>
      </c>
      <c r="BD341">
        <f ca="1">IFERROR(IF(0=LEN(ReferenceData!$BD$341),"",ReferenceData!$BD$341),"")</f>
        <v>0.873650806</v>
      </c>
      <c r="BE341">
        <f ca="1">IFERROR(IF(0=LEN(ReferenceData!$BE$341),"",ReferenceData!$BE$341),"")</f>
        <v>0.77284873799999998</v>
      </c>
      <c r="BF341">
        <f ca="1">IFERROR(IF(0=LEN(ReferenceData!$BF$341),"",ReferenceData!$BF$341),"")</f>
        <v>0.75642982800000003</v>
      </c>
      <c r="BG341">
        <f ca="1">IFERROR(IF(0=LEN(ReferenceData!$BG$341),"",ReferenceData!$BG$341),"")</f>
        <v>0.75353841799999999</v>
      </c>
      <c r="BH341">
        <f ca="1">IFERROR(IF(0=LEN(ReferenceData!$BH$341),"",ReferenceData!$BH$341),"")</f>
        <v>0.76852472999999999</v>
      </c>
      <c r="BI341">
        <f ca="1">IFERROR(IF(0=LEN(ReferenceData!$BI$341),"",ReferenceData!$BI$341),"")</f>
        <v>0.70821457799999998</v>
      </c>
      <c r="BJ341">
        <f ca="1">IFERROR(IF(0=LEN(ReferenceData!$BJ$341),"",ReferenceData!$BJ$341),"")</f>
        <v>0.70766845899999997</v>
      </c>
      <c r="BK341">
        <f ca="1">IFERROR(IF(0=LEN(ReferenceData!$BK$341),"",ReferenceData!$BK$341),"")</f>
        <v>0.71509852200000001</v>
      </c>
      <c r="BL341">
        <f ca="1">IFERROR(IF(0=LEN(ReferenceData!$BL$341),"",ReferenceData!$BL$341),"")</f>
        <v>0.71598887</v>
      </c>
      <c r="BM341">
        <f ca="1">IFERROR(IF(0=LEN(ReferenceData!$BM$341),"",ReferenceData!$BM$341),"")</f>
        <v>0.76242314899999997</v>
      </c>
    </row>
    <row r="342" spans="1:65" x14ac:dyDescent="0.25">
      <c r="A342" t="str">
        <f>IFERROR(IF(0=LEN(ReferenceData!$A$342),"",ReferenceData!$A$342),"")</f>
        <v xml:space="preserve">    Dongfeng Motor Group Co Ltd</v>
      </c>
      <c r="B342" t="str">
        <f>IFERROR(IF(0=LEN(ReferenceData!$B$342),"",ReferenceData!$B$342),"")</f>
        <v>489 HK Equity</v>
      </c>
      <c r="C342" t="str">
        <f>IFERROR(IF(0=LEN(ReferenceData!$C$342),"",ReferenceData!$C$342),"")</f>
        <v>RR473</v>
      </c>
      <c r="D342" t="str">
        <f>IFERROR(IF(0=LEN(ReferenceData!$D$342),"",ReferenceData!$D$342),"")</f>
        <v>EV_TO_T12M_SALES</v>
      </c>
      <c r="E342" t="str">
        <f>IFERROR(IF(0=LEN(ReferenceData!$E$342),"",ReferenceData!$E$342),"")</f>
        <v>Dynamic</v>
      </c>
      <c r="F342" t="str">
        <f ca="1">IFERROR(IF(0=LEN(ReferenceData!$F$342),"",ReferenceData!$F$342),"")</f>
        <v/>
      </c>
      <c r="G342" t="str">
        <f ca="1">IFERROR(IF(0=LEN(ReferenceData!$G$342),"",ReferenceData!$G$342),"")</f>
        <v/>
      </c>
      <c r="H342" t="str">
        <f ca="1">IFERROR(IF(0=LEN(ReferenceData!$H$342),"",ReferenceData!$H$342),"")</f>
        <v/>
      </c>
      <c r="I342" t="str">
        <f ca="1">IFERROR(IF(0=LEN(ReferenceData!$I$342),"",ReferenceData!$I$342),"")</f>
        <v/>
      </c>
      <c r="J342" t="str">
        <f ca="1">IFERROR(IF(0=LEN(ReferenceData!$J$342),"",ReferenceData!$J$342),"")</f>
        <v/>
      </c>
      <c r="K342" t="str">
        <f ca="1">IFERROR(IF(0=LEN(ReferenceData!$K$342),"",ReferenceData!$K$342),"")</f>
        <v/>
      </c>
      <c r="L342" t="str">
        <f ca="1">IFERROR(IF(0=LEN(ReferenceData!$L$342),"",ReferenceData!$L$342),"")</f>
        <v/>
      </c>
      <c r="M342" t="str">
        <f ca="1">IFERROR(IF(0=LEN(ReferenceData!$M$342),"",ReferenceData!$M$342),"")</f>
        <v/>
      </c>
      <c r="N342" t="str">
        <f ca="1">IFERROR(IF(0=LEN(ReferenceData!$N$342),"",ReferenceData!$N$342),"")</f>
        <v/>
      </c>
      <c r="O342" t="str">
        <f ca="1">IFERROR(IF(0=LEN(ReferenceData!$O$342),"",ReferenceData!$O$342),"")</f>
        <v/>
      </c>
      <c r="P342" t="str">
        <f ca="1">IFERROR(IF(0=LEN(ReferenceData!$P$342),"",ReferenceData!$P$342),"")</f>
        <v/>
      </c>
      <c r="Q342" t="str">
        <f ca="1">IFERROR(IF(0=LEN(ReferenceData!$Q$342),"",ReferenceData!$Q$342),"")</f>
        <v/>
      </c>
      <c r="R342" t="str">
        <f ca="1">IFERROR(IF(0=LEN(ReferenceData!$R$342),"",ReferenceData!$R$342),"")</f>
        <v/>
      </c>
      <c r="S342" t="str">
        <f ca="1">IFERROR(IF(0=LEN(ReferenceData!$S$342),"",ReferenceData!$S$342),"")</f>
        <v/>
      </c>
      <c r="T342" t="str">
        <f ca="1">IFERROR(IF(0=LEN(ReferenceData!$T$342),"",ReferenceData!$T$342),"")</f>
        <v/>
      </c>
      <c r="U342" t="str">
        <f ca="1">IFERROR(IF(0=LEN(ReferenceData!$U$342),"",ReferenceData!$U$342),"")</f>
        <v/>
      </c>
      <c r="V342" t="str">
        <f ca="1">IFERROR(IF(0=LEN(ReferenceData!$V$342),"",ReferenceData!$V$342),"")</f>
        <v/>
      </c>
      <c r="W342" t="str">
        <f ca="1">IFERROR(IF(0=LEN(ReferenceData!$W$342),"",ReferenceData!$W$342),"")</f>
        <v/>
      </c>
      <c r="X342" t="str">
        <f ca="1">IFERROR(IF(0=LEN(ReferenceData!$X$342),"",ReferenceData!$X$342),"")</f>
        <v/>
      </c>
      <c r="Y342" t="str">
        <f ca="1">IFERROR(IF(0=LEN(ReferenceData!$Y$342),"",ReferenceData!$Y$342),"")</f>
        <v/>
      </c>
      <c r="Z342" t="str">
        <f ca="1">IFERROR(IF(0=LEN(ReferenceData!$Z$342),"",ReferenceData!$Z$342),"")</f>
        <v/>
      </c>
      <c r="AA342" t="str">
        <f ca="1">IFERROR(IF(0=LEN(ReferenceData!$AA$342),"",ReferenceData!$AA$342),"")</f>
        <v/>
      </c>
      <c r="AB342" t="str">
        <f ca="1">IFERROR(IF(0=LEN(ReferenceData!$AB$342),"",ReferenceData!$AB$342),"")</f>
        <v/>
      </c>
      <c r="AC342" t="str">
        <f ca="1">IFERROR(IF(0=LEN(ReferenceData!$AC$342),"",ReferenceData!$AC$342),"")</f>
        <v/>
      </c>
      <c r="AD342" t="str">
        <f ca="1">IFERROR(IF(0=LEN(ReferenceData!$AD$342),"",ReferenceData!$AD$342),"")</f>
        <v/>
      </c>
      <c r="AE342" t="str">
        <f ca="1">IFERROR(IF(0=LEN(ReferenceData!$AE$342),"",ReferenceData!$AE$342),"")</f>
        <v/>
      </c>
      <c r="AF342" t="str">
        <f ca="1">IFERROR(IF(0=LEN(ReferenceData!$AF$342),"",ReferenceData!$AF$342),"")</f>
        <v/>
      </c>
      <c r="AG342" t="str">
        <f ca="1">IFERROR(IF(0=LEN(ReferenceData!$AG$342),"",ReferenceData!$AG$342),"")</f>
        <v/>
      </c>
      <c r="AH342" t="str">
        <f ca="1">IFERROR(IF(0=LEN(ReferenceData!$AH$342),"",ReferenceData!$AH$342),"")</f>
        <v/>
      </c>
      <c r="AI342" t="str">
        <f ca="1">IFERROR(IF(0=LEN(ReferenceData!$AI$342),"",ReferenceData!$AI$342),"")</f>
        <v/>
      </c>
      <c r="AJ342" t="str">
        <f ca="1">IFERROR(IF(0=LEN(ReferenceData!$AJ$342),"",ReferenceData!$AJ$342),"")</f>
        <v/>
      </c>
      <c r="AK342" t="str">
        <f ca="1">IFERROR(IF(0=LEN(ReferenceData!$AK$342),"",ReferenceData!$AK$342),"")</f>
        <v/>
      </c>
      <c r="AL342" t="str">
        <f ca="1">IFERROR(IF(0=LEN(ReferenceData!$AL$342),"",ReferenceData!$AL$342),"")</f>
        <v/>
      </c>
      <c r="AM342" t="str">
        <f ca="1">IFERROR(IF(0=LEN(ReferenceData!$AM$342),"",ReferenceData!$AM$342),"")</f>
        <v/>
      </c>
      <c r="AN342" t="str">
        <f ca="1">IFERROR(IF(0=LEN(ReferenceData!$AN$342),"",ReferenceData!$AN$342),"")</f>
        <v/>
      </c>
      <c r="AO342" t="str">
        <f ca="1">IFERROR(IF(0=LEN(ReferenceData!$AO$342),"",ReferenceData!$AO$342),"")</f>
        <v/>
      </c>
      <c r="AP342" t="str">
        <f ca="1">IFERROR(IF(0=LEN(ReferenceData!$AP$342),"",ReferenceData!$AP$342),"")</f>
        <v/>
      </c>
      <c r="AQ342" t="str">
        <f ca="1">IFERROR(IF(0=LEN(ReferenceData!$AQ$342),"",ReferenceData!$AQ$342),"")</f>
        <v/>
      </c>
      <c r="AR342" t="str">
        <f ca="1">IFERROR(IF(0=LEN(ReferenceData!$AR$342),"",ReferenceData!$AR$342),"")</f>
        <v/>
      </c>
      <c r="AS342" t="str">
        <f ca="1">IFERROR(IF(0=LEN(ReferenceData!$AS$342),"",ReferenceData!$AS$342),"")</f>
        <v/>
      </c>
      <c r="AT342" t="str">
        <f ca="1">IFERROR(IF(0=LEN(ReferenceData!$AT$342),"",ReferenceData!$AT$342),"")</f>
        <v/>
      </c>
      <c r="AU342" t="str">
        <f ca="1">IFERROR(IF(0=LEN(ReferenceData!$AU$342),"",ReferenceData!$AU$342),"")</f>
        <v/>
      </c>
      <c r="AV342" t="str">
        <f ca="1">IFERROR(IF(0=LEN(ReferenceData!$AV$342),"",ReferenceData!$AV$342),"")</f>
        <v/>
      </c>
      <c r="AW342" t="str">
        <f ca="1">IFERROR(IF(0=LEN(ReferenceData!$AW$342),"",ReferenceData!$AW$342),"")</f>
        <v/>
      </c>
      <c r="AX342" t="str">
        <f ca="1">IFERROR(IF(0=LEN(ReferenceData!$AX$342),"",ReferenceData!$AX$342),"")</f>
        <v/>
      </c>
      <c r="AY342" t="str">
        <f ca="1">IFERROR(IF(0=LEN(ReferenceData!$AY$342),"",ReferenceData!$AY$342),"")</f>
        <v/>
      </c>
      <c r="AZ342" t="str">
        <f ca="1">IFERROR(IF(0=LEN(ReferenceData!$AZ$342),"",ReferenceData!$AZ$342),"")</f>
        <v/>
      </c>
      <c r="BA342" t="str">
        <f ca="1">IFERROR(IF(0=LEN(ReferenceData!$BA$342),"",ReferenceData!$BA$342),"")</f>
        <v/>
      </c>
      <c r="BB342" t="str">
        <f ca="1">IFERROR(IF(0=LEN(ReferenceData!$BB$342),"",ReferenceData!$BB$342),"")</f>
        <v/>
      </c>
      <c r="BC342" t="str">
        <f ca="1">IFERROR(IF(0=LEN(ReferenceData!$BC$342),"",ReferenceData!$BC$342),"")</f>
        <v/>
      </c>
      <c r="BD342" t="str">
        <f ca="1">IFERROR(IF(0=LEN(ReferenceData!$BD$342),"",ReferenceData!$BD$342),"")</f>
        <v/>
      </c>
      <c r="BE342" t="str">
        <f ca="1">IFERROR(IF(0=LEN(ReferenceData!$BE$342),"",ReferenceData!$BE$342),"")</f>
        <v/>
      </c>
      <c r="BF342" t="str">
        <f ca="1">IFERROR(IF(0=LEN(ReferenceData!$BF$342),"",ReferenceData!$BF$342),"")</f>
        <v/>
      </c>
      <c r="BG342" t="str">
        <f ca="1">IFERROR(IF(0=LEN(ReferenceData!$BG$342),"",ReferenceData!$BG$342),"")</f>
        <v/>
      </c>
      <c r="BH342" t="str">
        <f ca="1">IFERROR(IF(0=LEN(ReferenceData!$BH$342),"",ReferenceData!$BH$342),"")</f>
        <v/>
      </c>
      <c r="BI342" t="str">
        <f ca="1">IFERROR(IF(0=LEN(ReferenceData!$BI$342),"",ReferenceData!$BI$342),"")</f>
        <v/>
      </c>
      <c r="BJ342" t="str">
        <f ca="1">IFERROR(IF(0=LEN(ReferenceData!$BJ$342),"",ReferenceData!$BJ$342),"")</f>
        <v/>
      </c>
      <c r="BK342" t="str">
        <f ca="1">IFERROR(IF(0=LEN(ReferenceData!$BK$342),"",ReferenceData!$BK$342),"")</f>
        <v/>
      </c>
      <c r="BL342" t="str">
        <f ca="1">IFERROR(IF(0=LEN(ReferenceData!$BL$342),"",ReferenceData!$BL$342),"")</f>
        <v/>
      </c>
      <c r="BM342" t="str">
        <f ca="1">IFERROR(IF(0=LEN(ReferenceData!$BM$342),"",ReferenceData!$BM$342),"")</f>
        <v/>
      </c>
    </row>
    <row r="343" spans="1:65" x14ac:dyDescent="0.25">
      <c r="A343" t="str">
        <f>IFERROR(IF(0=LEN(ReferenceData!$A$343),"",ReferenceData!$A$343),"")</f>
        <v xml:space="preserve">    DRB-Hicom Bhd</v>
      </c>
      <c r="B343" t="str">
        <f>IFERROR(IF(0=LEN(ReferenceData!$B$343),"",ReferenceData!$B$343),"")</f>
        <v>DRB MK Equity</v>
      </c>
      <c r="C343" t="str">
        <f>IFERROR(IF(0=LEN(ReferenceData!$C$343),"",ReferenceData!$C$343),"")</f>
        <v>RR473</v>
      </c>
      <c r="D343" t="str">
        <f>IFERROR(IF(0=LEN(ReferenceData!$D$343),"",ReferenceData!$D$343),"")</f>
        <v>EV_TO_T12M_SALES</v>
      </c>
      <c r="E343" t="str">
        <f>IFERROR(IF(0=LEN(ReferenceData!$E$343),"",ReferenceData!$E$343),"")</f>
        <v>Dynamic</v>
      </c>
      <c r="F343" t="str">
        <f ca="1">IFERROR(IF(0=LEN(ReferenceData!$F$343),"",ReferenceData!$F$343),"")</f>
        <v/>
      </c>
      <c r="G343" t="str">
        <f ca="1">IFERROR(IF(0=LEN(ReferenceData!$G$343),"",ReferenceData!$G$343),"")</f>
        <v/>
      </c>
      <c r="H343">
        <f ca="1">IFERROR(IF(0=LEN(ReferenceData!$H$343),"",ReferenceData!$H$343),"")</f>
        <v>0.72404123099999995</v>
      </c>
      <c r="I343">
        <f ca="1">IFERROR(IF(0=LEN(ReferenceData!$I$343),"",ReferenceData!$I$343),"")</f>
        <v>0.78928559700000001</v>
      </c>
      <c r="J343">
        <f ca="1">IFERROR(IF(0=LEN(ReferenceData!$J$343),"",ReferenceData!$J$343),"")</f>
        <v>0.72412256500000005</v>
      </c>
      <c r="K343">
        <f ca="1">IFERROR(IF(0=LEN(ReferenceData!$K$343),"",ReferenceData!$K$343),"")</f>
        <v>0.63834687599999995</v>
      </c>
      <c r="L343">
        <f ca="1">IFERROR(IF(0=LEN(ReferenceData!$L$343),"",ReferenceData!$L$343),"")</f>
        <v>0.73304154099999996</v>
      </c>
      <c r="M343">
        <f ca="1">IFERROR(IF(0=LEN(ReferenceData!$M$343),"",ReferenceData!$M$343),"")</f>
        <v>0.77587519100000002</v>
      </c>
      <c r="N343">
        <f ca="1">IFERROR(IF(0=LEN(ReferenceData!$N$343),"",ReferenceData!$N$343),"")</f>
        <v>0.74446111699999995</v>
      </c>
      <c r="O343">
        <f ca="1">IFERROR(IF(0=LEN(ReferenceData!$O$343),"",ReferenceData!$O$343),"")</f>
        <v>0.73686919399999995</v>
      </c>
      <c r="P343">
        <f ca="1">IFERROR(IF(0=LEN(ReferenceData!$P$343),"",ReferenceData!$P$343),"")</f>
        <v>0.75731685400000004</v>
      </c>
      <c r="Q343">
        <f ca="1">IFERROR(IF(0=LEN(ReferenceData!$Q$343),"",ReferenceData!$Q$343),"")</f>
        <v>0.59763829999999996</v>
      </c>
      <c r="R343">
        <f ca="1">IFERROR(IF(0=LEN(ReferenceData!$R$343),"",ReferenceData!$R$343),"")</f>
        <v>0.62372739200000005</v>
      </c>
      <c r="S343">
        <f ca="1">IFERROR(IF(0=LEN(ReferenceData!$S$343),"",ReferenceData!$S$343),"")</f>
        <v>0.53094675300000005</v>
      </c>
      <c r="T343">
        <f ca="1">IFERROR(IF(0=LEN(ReferenceData!$T$343),"",ReferenceData!$T$343),"")</f>
        <v>0.75749791</v>
      </c>
      <c r="U343">
        <f ca="1">IFERROR(IF(0=LEN(ReferenceData!$U$343),"",ReferenceData!$U$343),"")</f>
        <v>0.78104823099999998</v>
      </c>
      <c r="V343">
        <f ca="1">IFERROR(IF(0=LEN(ReferenceData!$V$343),"",ReferenceData!$V$343),"")</f>
        <v>0.57459631799999999</v>
      </c>
      <c r="W343">
        <f ca="1">IFERROR(IF(0=LEN(ReferenceData!$W$343),"",ReferenceData!$W$343),"")</f>
        <v>0.632282346</v>
      </c>
      <c r="X343">
        <f ca="1">IFERROR(IF(0=LEN(ReferenceData!$X$343),"",ReferenceData!$X$343),"")</f>
        <v>0.67481630100000001</v>
      </c>
      <c r="Y343">
        <f ca="1">IFERROR(IF(0=LEN(ReferenceData!$Y$343),"",ReferenceData!$Y$343),"")</f>
        <v>0.63948277399999998</v>
      </c>
      <c r="Z343">
        <f ca="1">IFERROR(IF(0=LEN(ReferenceData!$Z$343),"",ReferenceData!$Z$343),"")</f>
        <v>0.60460611099999995</v>
      </c>
      <c r="AA343">
        <f ca="1">IFERROR(IF(0=LEN(ReferenceData!$AA$343),"",ReferenceData!$AA$343),"")</f>
        <v>0.566030645</v>
      </c>
      <c r="AB343">
        <f ca="1">IFERROR(IF(0=LEN(ReferenceData!$AB$343),"",ReferenceData!$AB$343),"")</f>
        <v>0.58917682699999996</v>
      </c>
      <c r="AC343">
        <f ca="1">IFERROR(IF(0=LEN(ReferenceData!$AC$343),"",ReferenceData!$AC$343),"")</f>
        <v>0.61085901399999998</v>
      </c>
      <c r="AD343">
        <f ca="1">IFERROR(IF(0=LEN(ReferenceData!$AD$343),"",ReferenceData!$AD$343),"")</f>
        <v>0.33062983400000001</v>
      </c>
      <c r="AE343">
        <f ca="1">IFERROR(IF(0=LEN(ReferenceData!$AE$343),"",ReferenceData!$AE$343),"")</f>
        <v>0.61090946999999995</v>
      </c>
      <c r="AF343">
        <f ca="1">IFERROR(IF(0=LEN(ReferenceData!$AF$343),"",ReferenceData!$AF$343),"")</f>
        <v>0.60086521299999995</v>
      </c>
      <c r="AG343">
        <f ca="1">IFERROR(IF(0=LEN(ReferenceData!$AG$343),"",ReferenceData!$AG$343),"")</f>
        <v>0.77157284999999998</v>
      </c>
      <c r="AH343">
        <f ca="1">IFERROR(IF(0=LEN(ReferenceData!$AH$343),"",ReferenceData!$AH$343),"")</f>
        <v>0.377897757</v>
      </c>
      <c r="AI343">
        <f ca="1">IFERROR(IF(0=LEN(ReferenceData!$AI$343),"",ReferenceData!$AI$343),"")</f>
        <v>0.27032593300000002</v>
      </c>
      <c r="AJ343">
        <f ca="1">IFERROR(IF(0=LEN(ReferenceData!$AJ$343),"",ReferenceData!$AJ$343),"")</f>
        <v>0.205396255</v>
      </c>
      <c r="AK343" t="str">
        <f ca="1">IFERROR(IF(0=LEN(ReferenceData!$AK$343),"",ReferenceData!$AK$343),"")</f>
        <v/>
      </c>
      <c r="AL343" t="str">
        <f ca="1">IFERROR(IF(0=LEN(ReferenceData!$AL$343),"",ReferenceData!$AL$343),"")</f>
        <v/>
      </c>
      <c r="AM343">
        <f ca="1">IFERROR(IF(0=LEN(ReferenceData!$AM$343),"",ReferenceData!$AM$343),"")</f>
        <v>1.598826592</v>
      </c>
      <c r="AN343">
        <f ca="1">IFERROR(IF(0=LEN(ReferenceData!$AN$343),"",ReferenceData!$AN$343),"")</f>
        <v>1.7057864170000001</v>
      </c>
      <c r="AO343">
        <f ca="1">IFERROR(IF(0=LEN(ReferenceData!$AO$343),"",ReferenceData!$AO$343),"")</f>
        <v>1.7234572509999999</v>
      </c>
      <c r="AP343" t="str">
        <f ca="1">IFERROR(IF(0=LEN(ReferenceData!$AP$343),"",ReferenceData!$AP$343),"")</f>
        <v/>
      </c>
      <c r="AQ343" t="str">
        <f ca="1">IFERROR(IF(0=LEN(ReferenceData!$AQ$343),"",ReferenceData!$AQ$343),"")</f>
        <v/>
      </c>
      <c r="AR343" t="str">
        <f ca="1">IFERROR(IF(0=LEN(ReferenceData!$AR$343),"",ReferenceData!$AR$343),"")</f>
        <v/>
      </c>
      <c r="AS343">
        <f ca="1">IFERROR(IF(0=LEN(ReferenceData!$AS$343),"",ReferenceData!$AS$343),"")</f>
        <v>1.731033295</v>
      </c>
      <c r="AT343" t="str">
        <f ca="1">IFERROR(IF(0=LEN(ReferenceData!$AT$343),"",ReferenceData!$AT$343),"")</f>
        <v/>
      </c>
      <c r="AU343" t="str">
        <f ca="1">IFERROR(IF(0=LEN(ReferenceData!$AU$343),"",ReferenceData!$AU$343),"")</f>
        <v/>
      </c>
      <c r="AV343">
        <f ca="1">IFERROR(IF(0=LEN(ReferenceData!$AV$343),"",ReferenceData!$AV$343),"")</f>
        <v>0.17507721000000001</v>
      </c>
      <c r="AW343">
        <f ca="1">IFERROR(IF(0=LEN(ReferenceData!$AW$343),"",ReferenceData!$AW$343),"")</f>
        <v>0.19533426200000001</v>
      </c>
      <c r="AX343">
        <f ca="1">IFERROR(IF(0=LEN(ReferenceData!$AX$343),"",ReferenceData!$AX$343),"")</f>
        <v>0.63163571799999996</v>
      </c>
      <c r="AY343">
        <f ca="1">IFERROR(IF(0=LEN(ReferenceData!$AY$343),"",ReferenceData!$AY$343),"")</f>
        <v>0.85017699700000005</v>
      </c>
      <c r="AZ343">
        <f ca="1">IFERROR(IF(0=LEN(ReferenceData!$AZ$343),"",ReferenceData!$AZ$343),"")</f>
        <v>1.014316558</v>
      </c>
      <c r="BA343">
        <f ca="1">IFERROR(IF(0=LEN(ReferenceData!$BA$343),"",ReferenceData!$BA$343),"")</f>
        <v>0.914451872</v>
      </c>
      <c r="BB343">
        <f ca="1">IFERROR(IF(0=LEN(ReferenceData!$BB$343),"",ReferenceData!$BB$343),"")</f>
        <v>1.1805145109999999</v>
      </c>
      <c r="BC343">
        <f ca="1">IFERROR(IF(0=LEN(ReferenceData!$BC$343),"",ReferenceData!$BC$343),"")</f>
        <v>1.1538694730000001</v>
      </c>
      <c r="BD343">
        <f ca="1">IFERROR(IF(0=LEN(ReferenceData!$BD$343),"",ReferenceData!$BD$343),"")</f>
        <v>1.0506784069999999</v>
      </c>
      <c r="BE343">
        <f ca="1">IFERROR(IF(0=LEN(ReferenceData!$BE$343),"",ReferenceData!$BE$343),"")</f>
        <v>1.077492538</v>
      </c>
      <c r="BF343">
        <f ca="1">IFERROR(IF(0=LEN(ReferenceData!$BF$343),"",ReferenceData!$BF$343),"")</f>
        <v>0.97006663100000001</v>
      </c>
      <c r="BG343">
        <f ca="1">IFERROR(IF(0=LEN(ReferenceData!$BG$343),"",ReferenceData!$BG$343),"")</f>
        <v>0.85355262300000001</v>
      </c>
      <c r="BH343">
        <f ca="1">IFERROR(IF(0=LEN(ReferenceData!$BH$343),"",ReferenceData!$BH$343),"")</f>
        <v>0.888626044</v>
      </c>
      <c r="BI343">
        <f ca="1">IFERROR(IF(0=LEN(ReferenceData!$BI$343),"",ReferenceData!$BI$343),"")</f>
        <v>0.79139157100000002</v>
      </c>
      <c r="BJ343">
        <f ca="1">IFERROR(IF(0=LEN(ReferenceData!$BJ$343),"",ReferenceData!$BJ$343),"")</f>
        <v>0.85488137799999997</v>
      </c>
      <c r="BK343">
        <f ca="1">IFERROR(IF(0=LEN(ReferenceData!$BK$343),"",ReferenceData!$BK$343),"")</f>
        <v>0.90938945999999998</v>
      </c>
      <c r="BL343">
        <f ca="1">IFERROR(IF(0=LEN(ReferenceData!$BL$343),"",ReferenceData!$BL$343),"")</f>
        <v>0.93638957099999998</v>
      </c>
      <c r="BM343">
        <f ca="1">IFERROR(IF(0=LEN(ReferenceData!$BM$343),"",ReferenceData!$BM$343),"")</f>
        <v>0.80442731700000003</v>
      </c>
    </row>
    <row r="344" spans="1:65" x14ac:dyDescent="0.25">
      <c r="A344" t="str">
        <f>IFERROR(IF(0=LEN(ReferenceData!$A$344),"",ReferenceData!$A$344),"")</f>
        <v xml:space="preserve">    FAW CAR Co Ltd</v>
      </c>
      <c r="B344" t="str">
        <f>IFERROR(IF(0=LEN(ReferenceData!$B$344),"",ReferenceData!$B$344),"")</f>
        <v>000800 CH Equity</v>
      </c>
      <c r="C344" t="str">
        <f>IFERROR(IF(0=LEN(ReferenceData!$C$344),"",ReferenceData!$C$344),"")</f>
        <v>RR473</v>
      </c>
      <c r="D344" t="str">
        <f>IFERROR(IF(0=LEN(ReferenceData!$D$344),"",ReferenceData!$D$344),"")</f>
        <v>EV_TO_T12M_SALES</v>
      </c>
      <c r="E344" t="str">
        <f>IFERROR(IF(0=LEN(ReferenceData!$E$344),"",ReferenceData!$E$344),"")</f>
        <v>Dynamic</v>
      </c>
      <c r="F344" t="str">
        <f ca="1">IFERROR(IF(0=LEN(ReferenceData!$F$344),"",ReferenceData!$F$344),"")</f>
        <v/>
      </c>
      <c r="G344" t="str">
        <f ca="1">IFERROR(IF(0=LEN(ReferenceData!$G$344),"",ReferenceData!$G$344),"")</f>
        <v/>
      </c>
      <c r="H344">
        <f ca="1">IFERROR(IF(0=LEN(ReferenceData!$H$344),"",ReferenceData!$H$344),"")</f>
        <v>0.39534571699999999</v>
      </c>
      <c r="I344">
        <f ca="1">IFERROR(IF(0=LEN(ReferenceData!$I$344),"",ReferenceData!$I$344),"")</f>
        <v>0.44221296300000001</v>
      </c>
      <c r="J344">
        <f ca="1">IFERROR(IF(0=LEN(ReferenceData!$J$344),"",ReferenceData!$J$344),"")</f>
        <v>0.57145044499999997</v>
      </c>
      <c r="K344">
        <f ca="1">IFERROR(IF(0=LEN(ReferenceData!$K$344),"",ReferenceData!$K$344),"")</f>
        <v>0.62838741099999995</v>
      </c>
      <c r="L344">
        <f ca="1">IFERROR(IF(0=LEN(ReferenceData!$L$344),"",ReferenceData!$L$344),"")</f>
        <v>0.87046905299999999</v>
      </c>
      <c r="M344">
        <f ca="1">IFERROR(IF(0=LEN(ReferenceData!$M$344),"",ReferenceData!$M$344),"")</f>
        <v>0.68003283400000003</v>
      </c>
      <c r="N344">
        <f ca="1">IFERROR(IF(0=LEN(ReferenceData!$N$344),"",ReferenceData!$N$344),"")</f>
        <v>0.83786127200000005</v>
      </c>
      <c r="O344">
        <f ca="1">IFERROR(IF(0=LEN(ReferenceData!$O$344),"",ReferenceData!$O$344),"")</f>
        <v>0.90078717600000002</v>
      </c>
      <c r="P344">
        <f ca="1">IFERROR(IF(0=LEN(ReferenceData!$P$344),"",ReferenceData!$P$344),"")</f>
        <v>0.93498400299999995</v>
      </c>
      <c r="Q344">
        <f ca="1">IFERROR(IF(0=LEN(ReferenceData!$Q$344),"",ReferenceData!$Q$344),"")</f>
        <v>1.0094366480000001</v>
      </c>
      <c r="R344">
        <f ca="1">IFERROR(IF(0=LEN(ReferenceData!$R$344),"",ReferenceData!$R$344),"")</f>
        <v>1.133360782</v>
      </c>
      <c r="S344">
        <f ca="1">IFERROR(IF(0=LEN(ReferenceData!$S$344),"",ReferenceData!$S$344),"")</f>
        <v>1.1203177790000001</v>
      </c>
      <c r="T344">
        <f ca="1">IFERROR(IF(0=LEN(ReferenceData!$T$344),"",ReferenceData!$T$344),"")</f>
        <v>0.94711927900000004</v>
      </c>
      <c r="U344">
        <f ca="1">IFERROR(IF(0=LEN(ReferenceData!$U$344),"",ReferenceData!$U$344),"")</f>
        <v>1.4118564</v>
      </c>
      <c r="V344">
        <f ca="1">IFERROR(IF(0=LEN(ReferenceData!$V$344),"",ReferenceData!$V$344),"")</f>
        <v>1.058967736</v>
      </c>
      <c r="W344">
        <f ca="1">IFERROR(IF(0=LEN(ReferenceData!$W$344),"",ReferenceData!$W$344),"")</f>
        <v>0.80862521499999995</v>
      </c>
      <c r="X344">
        <f ca="1">IFERROR(IF(0=LEN(ReferenceData!$X$344),"",ReferenceData!$X$344),"")</f>
        <v>0.60210074999999996</v>
      </c>
      <c r="Y344">
        <f ca="1">IFERROR(IF(0=LEN(ReferenceData!$Y$344),"",ReferenceData!$Y$344),"")</f>
        <v>0.54270514800000003</v>
      </c>
      <c r="Z344">
        <f ca="1">IFERROR(IF(0=LEN(ReferenceData!$Z$344),"",ReferenceData!$Z$344),"")</f>
        <v>0.58772436100000003</v>
      </c>
      <c r="AA344">
        <f ca="1">IFERROR(IF(0=LEN(ReferenceData!$AA$344),"",ReferenceData!$AA$344),"")</f>
        <v>0.728042042</v>
      </c>
      <c r="AB344">
        <f ca="1">IFERROR(IF(0=LEN(ReferenceData!$AB$344),"",ReferenceData!$AB$344),"")</f>
        <v>0.89131846699999995</v>
      </c>
      <c r="AC344">
        <f ca="1">IFERROR(IF(0=LEN(ReferenceData!$AC$344),"",ReferenceData!$AC$344),"")</f>
        <v>0.90329828300000004</v>
      </c>
      <c r="AD344">
        <f ca="1">IFERROR(IF(0=LEN(ReferenceData!$AD$344),"",ReferenceData!$AD$344),"")</f>
        <v>0.62678670299999995</v>
      </c>
      <c r="AE344">
        <f ca="1">IFERROR(IF(0=LEN(ReferenceData!$AE$344),"",ReferenceData!$AE$344),"")</f>
        <v>0.63772768999999996</v>
      </c>
      <c r="AF344">
        <f ca="1">IFERROR(IF(0=LEN(ReferenceData!$AF$344),"",ReferenceData!$AF$344),"")</f>
        <v>0.47544682100000002</v>
      </c>
      <c r="AG344">
        <f ca="1">IFERROR(IF(0=LEN(ReferenceData!$AG$344),"",ReferenceData!$AG$344),"")</f>
        <v>0.67622124900000002</v>
      </c>
      <c r="AH344">
        <f ca="1">IFERROR(IF(0=LEN(ReferenceData!$AH$344),"",ReferenceData!$AH$344),"")</f>
        <v>0.60358076699999996</v>
      </c>
      <c r="AI344">
        <f ca="1">IFERROR(IF(0=LEN(ReferenceData!$AI$344),"",ReferenceData!$AI$344),"")</f>
        <v>0.45610873699999999</v>
      </c>
      <c r="AJ344">
        <f ca="1">IFERROR(IF(0=LEN(ReferenceData!$AJ$344),"",ReferenceData!$AJ$344),"")</f>
        <v>0.53723655199999998</v>
      </c>
      <c r="AK344">
        <f ca="1">IFERROR(IF(0=LEN(ReferenceData!$AK$344),"",ReferenceData!$AK$344),"")</f>
        <v>0.59006146199999998</v>
      </c>
      <c r="AL344">
        <f ca="1">IFERROR(IF(0=LEN(ReferenceData!$AL$344),"",ReferenceData!$AL$344),"")</f>
        <v>0.68957333499999995</v>
      </c>
      <c r="AM344">
        <f ca="1">IFERROR(IF(0=LEN(ReferenceData!$AM$344),"",ReferenceData!$AM$344),"")</f>
        <v>0.63684865599999996</v>
      </c>
      <c r="AN344">
        <f ca="1">IFERROR(IF(0=LEN(ReferenceData!$AN$344),"",ReferenceData!$AN$344),"")</f>
        <v>0.75129422099999998</v>
      </c>
      <c r="AO344">
        <f ca="1">IFERROR(IF(0=LEN(ReferenceData!$AO$344),"",ReferenceData!$AO$344),"")</f>
        <v>0.65825848399999998</v>
      </c>
      <c r="AP344">
        <f ca="1">IFERROR(IF(0=LEN(ReferenceData!$AP$344),"",ReferenceData!$AP$344),"")</f>
        <v>1.0811159690000001</v>
      </c>
      <c r="AQ344">
        <f ca="1">IFERROR(IF(0=LEN(ReferenceData!$AQ$344),"",ReferenceData!$AQ$344),"")</f>
        <v>1.5096249909999999</v>
      </c>
      <c r="AR344">
        <f ca="1">IFERROR(IF(0=LEN(ReferenceData!$AR$344),"",ReferenceData!$AR$344),"")</f>
        <v>1.084810619</v>
      </c>
      <c r="AS344">
        <f ca="1">IFERROR(IF(0=LEN(ReferenceData!$AS$344),"",ReferenceData!$AS$344),"")</f>
        <v>1.077455582</v>
      </c>
      <c r="AT344">
        <f ca="1">IFERROR(IF(0=LEN(ReferenceData!$AT$344),"",ReferenceData!$AT$344),"")</f>
        <v>0.86701062600000001</v>
      </c>
      <c r="AU344">
        <f ca="1">IFERROR(IF(0=LEN(ReferenceData!$AU$344),"",ReferenceData!$AU$344),"")</f>
        <v>0.50940874000000003</v>
      </c>
      <c r="AV344">
        <f ca="1">IFERROR(IF(0=LEN(ReferenceData!$AV$344),"",ReferenceData!$AV$344),"")</f>
        <v>0.48000261599999999</v>
      </c>
      <c r="AW344">
        <f ca="1">IFERROR(IF(0=LEN(ReferenceData!$AW$344),"",ReferenceData!$AW$344),"")</f>
        <v>0.62440757099999999</v>
      </c>
      <c r="AX344">
        <f ca="1">IFERROR(IF(0=LEN(ReferenceData!$AX$344),"",ReferenceData!$AX$344),"")</f>
        <v>1.264543899</v>
      </c>
      <c r="AY344">
        <f ca="1">IFERROR(IF(0=LEN(ReferenceData!$AY$344),"",ReferenceData!$AY$344),"")</f>
        <v>2.2509330620000001</v>
      </c>
      <c r="AZ344">
        <f ca="1">IFERROR(IF(0=LEN(ReferenceData!$AZ$344),"",ReferenceData!$AZ$344),"")</f>
        <v>2.6726337870000001</v>
      </c>
      <c r="BA344">
        <f ca="1">IFERROR(IF(0=LEN(ReferenceData!$BA$344),"",ReferenceData!$BA$344),"")</f>
        <v>1.4044769399999999</v>
      </c>
      <c r="BB344">
        <f ca="1">IFERROR(IF(0=LEN(ReferenceData!$BB$344),"",ReferenceData!$BB$344),"")</f>
        <v>1.098333606</v>
      </c>
      <c r="BC344">
        <f ca="1">IFERROR(IF(0=LEN(ReferenceData!$BC$344),"",ReferenceData!$BC$344),"")</f>
        <v>0.36646768899999999</v>
      </c>
      <c r="BD344">
        <f ca="1">IFERROR(IF(0=LEN(ReferenceData!$BD$344),"",ReferenceData!$BD$344),"")</f>
        <v>0.69862633500000004</v>
      </c>
      <c r="BE344">
        <f ca="1">IFERROR(IF(0=LEN(ReferenceData!$BE$344),"",ReferenceData!$BE$344),"")</f>
        <v>0.30978210699999997</v>
      </c>
      <c r="BF344">
        <f ca="1">IFERROR(IF(0=LEN(ReferenceData!$BF$344),"",ReferenceData!$BF$344),"")</f>
        <v>0.23957450699999999</v>
      </c>
      <c r="BG344">
        <f ca="1">IFERROR(IF(0=LEN(ReferenceData!$BG$344),"",ReferenceData!$BG$344),"")</f>
        <v>0.225236732</v>
      </c>
      <c r="BH344">
        <f ca="1">IFERROR(IF(0=LEN(ReferenceData!$BH$344),"",ReferenceData!$BH$344),"")</f>
        <v>0.20941881400000001</v>
      </c>
      <c r="BI344">
        <f ca="1">IFERROR(IF(0=LEN(ReferenceData!$BI$344),"",ReferenceData!$BI$344),"")</f>
        <v>0.16746180699999999</v>
      </c>
      <c r="BJ344">
        <f ca="1">IFERROR(IF(0=LEN(ReferenceData!$BJ$344),"",ReferenceData!$BJ$344),"")</f>
        <v>0.47950935500000003</v>
      </c>
      <c r="BK344">
        <f ca="1">IFERROR(IF(0=LEN(ReferenceData!$BK$344),"",ReferenceData!$BK$344),"")</f>
        <v>0.58498104299999998</v>
      </c>
      <c r="BL344">
        <f ca="1">IFERROR(IF(0=LEN(ReferenceData!$BL$344),"",ReferenceData!$BL$344),"")</f>
        <v>0.81241769600000002</v>
      </c>
      <c r="BM344">
        <f ca="1">IFERROR(IF(0=LEN(ReferenceData!$BM$344),"",ReferenceData!$BM$344),"")</f>
        <v>0.67961505700000002</v>
      </c>
    </row>
    <row r="345" spans="1:65" x14ac:dyDescent="0.25">
      <c r="A345" t="str">
        <f>IFERROR(IF(0=LEN(ReferenceData!$A$345),"",ReferenceData!$A$345),"")</f>
        <v xml:space="preserve">    Fiat Chrysler Automobiles NV</v>
      </c>
      <c r="B345" t="str">
        <f>IFERROR(IF(0=LEN(ReferenceData!$B$345),"",ReferenceData!$B$345),"")</f>
        <v>FCAU US Equity</v>
      </c>
      <c r="C345" t="str">
        <f>IFERROR(IF(0=LEN(ReferenceData!$C$345),"",ReferenceData!$C$345),"")</f>
        <v>RR473</v>
      </c>
      <c r="D345" t="str">
        <f>IFERROR(IF(0=LEN(ReferenceData!$D$345),"",ReferenceData!$D$345),"")</f>
        <v>EV_TO_T12M_SALES</v>
      </c>
      <c r="E345" t="str">
        <f>IFERROR(IF(0=LEN(ReferenceData!$E$345),"",ReferenceData!$E$345),"")</f>
        <v>Dynamic</v>
      </c>
      <c r="F345" t="str">
        <f ca="1">IFERROR(IF(0=LEN(ReferenceData!$F$345),"",ReferenceData!$F$345),"")</f>
        <v/>
      </c>
      <c r="G345">
        <f ca="1">IFERROR(IF(0=LEN(ReferenceData!$G$345),"",ReferenceData!$G$345),"")</f>
        <v>0.24172744800000001</v>
      </c>
      <c r="H345">
        <f ca="1">IFERROR(IF(0=LEN(ReferenceData!$H$345),"",ReferenceData!$H$345),"")</f>
        <v>0.29769542100000002</v>
      </c>
      <c r="I345">
        <f ca="1">IFERROR(IF(0=LEN(ReferenceData!$I$345),"",ReferenceData!$I$345),"")</f>
        <v>0.31958151099999998</v>
      </c>
      <c r="J345">
        <f ca="1">IFERROR(IF(0=LEN(ReferenceData!$J$345),"",ReferenceData!$J$345),"")</f>
        <v>0.350070457</v>
      </c>
      <c r="K345">
        <f ca="1">IFERROR(IF(0=LEN(ReferenceData!$K$345),"",ReferenceData!$K$345),"")</f>
        <v>0.32726273900000002</v>
      </c>
      <c r="L345">
        <f ca="1">IFERROR(IF(0=LEN(ReferenceData!$L$345),"",ReferenceData!$L$345),"")</f>
        <v>0.32168964300000003</v>
      </c>
      <c r="M345">
        <f ca="1">IFERROR(IF(0=LEN(ReferenceData!$M$345),"",ReferenceData!$M$345),"")</f>
        <v>0.214771299</v>
      </c>
      <c r="N345">
        <f ca="1">IFERROR(IF(0=LEN(ReferenceData!$N$345),"",ReferenceData!$N$345),"")</f>
        <v>0.235202891</v>
      </c>
      <c r="O345">
        <f ca="1">IFERROR(IF(0=LEN(ReferenceData!$O$345),"",ReferenceData!$O$345),"")</f>
        <v>0.19953031500000001</v>
      </c>
      <c r="P345">
        <f ca="1">IFERROR(IF(0=LEN(ReferenceData!$P$345),"",ReferenceData!$P$345),"")</f>
        <v>0.15796485800000001</v>
      </c>
      <c r="Q345">
        <f ca="1">IFERROR(IF(0=LEN(ReferenceData!$Q$345),"",ReferenceData!$Q$345),"")</f>
        <v>0.14361543399999999</v>
      </c>
      <c r="R345">
        <f ca="1">IFERROR(IF(0=LEN(ReferenceData!$R$345),"",ReferenceData!$R$345),"")</f>
        <v>0.17895604500000001</v>
      </c>
      <c r="S345">
        <f ca="1">IFERROR(IF(0=LEN(ReferenceData!$S$345),"",ReferenceData!$S$345),"")</f>
        <v>0.25158884100000001</v>
      </c>
      <c r="T345">
        <f ca="1">IFERROR(IF(0=LEN(ReferenceData!$T$345),"",ReferenceData!$T$345),"")</f>
        <v>0.28844786100000003</v>
      </c>
      <c r="U345">
        <f ca="1">IFERROR(IF(0=LEN(ReferenceData!$U$345),"",ReferenceData!$U$345),"")</f>
        <v>0.31386840399999999</v>
      </c>
      <c r="V345">
        <f ca="1">IFERROR(IF(0=LEN(ReferenceData!$V$345),"",ReferenceData!$V$345),"")</f>
        <v>0.372799045</v>
      </c>
      <c r="W345">
        <f ca="1">IFERROR(IF(0=LEN(ReferenceData!$W$345),"",ReferenceData!$W$345),"")</f>
        <v>0.27564793300000001</v>
      </c>
      <c r="X345" t="str">
        <f ca="1">IFERROR(IF(0=LEN(ReferenceData!$X$345),"",ReferenceData!$X$345),"")</f>
        <v/>
      </c>
      <c r="Y345" t="str">
        <f ca="1">IFERROR(IF(0=LEN(ReferenceData!$Y$345),"",ReferenceData!$Y$345),"")</f>
        <v/>
      </c>
      <c r="Z345" t="str">
        <f ca="1">IFERROR(IF(0=LEN(ReferenceData!$Z$345),"",ReferenceData!$Z$345),"")</f>
        <v/>
      </c>
      <c r="AA345" t="str">
        <f ca="1">IFERROR(IF(0=LEN(ReferenceData!$AA$345),"",ReferenceData!$AA$345),"")</f>
        <v/>
      </c>
      <c r="AB345" t="str">
        <f ca="1">IFERROR(IF(0=LEN(ReferenceData!$AB$345),"",ReferenceData!$AB$345),"")</f>
        <v/>
      </c>
      <c r="AC345" t="str">
        <f ca="1">IFERROR(IF(0=LEN(ReferenceData!$AC$345),"",ReferenceData!$AC$345),"")</f>
        <v/>
      </c>
      <c r="AD345" t="str">
        <f ca="1">IFERROR(IF(0=LEN(ReferenceData!$AD$345),"",ReferenceData!$AD$345),"")</f>
        <v/>
      </c>
      <c r="AE345" t="str">
        <f ca="1">IFERROR(IF(0=LEN(ReferenceData!$AE$345),"",ReferenceData!$AE$345),"")</f>
        <v/>
      </c>
      <c r="AF345" t="str">
        <f ca="1">IFERROR(IF(0=LEN(ReferenceData!$AF$345),"",ReferenceData!$AF$345),"")</f>
        <v/>
      </c>
      <c r="AG345" t="str">
        <f ca="1">IFERROR(IF(0=LEN(ReferenceData!$AG$345),"",ReferenceData!$AG$345),"")</f>
        <v/>
      </c>
      <c r="AH345" t="str">
        <f ca="1">IFERROR(IF(0=LEN(ReferenceData!$AH$345),"",ReferenceData!$AH$345),"")</f>
        <v/>
      </c>
      <c r="AI345" t="str">
        <f ca="1">IFERROR(IF(0=LEN(ReferenceData!$AI$345),"",ReferenceData!$AI$345),"")</f>
        <v/>
      </c>
      <c r="AJ345" t="str">
        <f ca="1">IFERROR(IF(0=LEN(ReferenceData!$AJ$345),"",ReferenceData!$AJ$345),"")</f>
        <v/>
      </c>
      <c r="AK345" t="str">
        <f ca="1">IFERROR(IF(0=LEN(ReferenceData!$AK$345),"",ReferenceData!$AK$345),"")</f>
        <v/>
      </c>
      <c r="AL345" t="str">
        <f ca="1">IFERROR(IF(0=LEN(ReferenceData!$AL$345),"",ReferenceData!$AL$345),"")</f>
        <v/>
      </c>
      <c r="AM345" t="str">
        <f ca="1">IFERROR(IF(0=LEN(ReferenceData!$AM$345),"",ReferenceData!$AM$345),"")</f>
        <v/>
      </c>
      <c r="AN345" t="str">
        <f ca="1">IFERROR(IF(0=LEN(ReferenceData!$AN$345),"",ReferenceData!$AN$345),"")</f>
        <v/>
      </c>
      <c r="AO345" t="str">
        <f ca="1">IFERROR(IF(0=LEN(ReferenceData!$AO$345),"",ReferenceData!$AO$345),"")</f>
        <v/>
      </c>
      <c r="AP345" t="str">
        <f ca="1">IFERROR(IF(0=LEN(ReferenceData!$AP$345),"",ReferenceData!$AP$345),"")</f>
        <v/>
      </c>
      <c r="AQ345" t="str">
        <f ca="1">IFERROR(IF(0=LEN(ReferenceData!$AQ$345),"",ReferenceData!$AQ$345),"")</f>
        <v/>
      </c>
      <c r="AR345" t="str">
        <f ca="1">IFERROR(IF(0=LEN(ReferenceData!$AR$345),"",ReferenceData!$AR$345),"")</f>
        <v/>
      </c>
      <c r="AS345" t="str">
        <f ca="1">IFERROR(IF(0=LEN(ReferenceData!$AS$345),"",ReferenceData!$AS$345),"")</f>
        <v/>
      </c>
      <c r="AT345" t="str">
        <f ca="1">IFERROR(IF(0=LEN(ReferenceData!$AT$345),"",ReferenceData!$AT$345),"")</f>
        <v/>
      </c>
      <c r="AU345" t="str">
        <f ca="1">IFERROR(IF(0=LEN(ReferenceData!$AU$345),"",ReferenceData!$AU$345),"")</f>
        <v/>
      </c>
      <c r="AV345" t="str">
        <f ca="1">IFERROR(IF(0=LEN(ReferenceData!$AV$345),"",ReferenceData!$AV$345),"")</f>
        <v/>
      </c>
      <c r="AW345" t="str">
        <f ca="1">IFERROR(IF(0=LEN(ReferenceData!$AW$345),"",ReferenceData!$AW$345),"")</f>
        <v/>
      </c>
      <c r="AX345" t="str">
        <f ca="1">IFERROR(IF(0=LEN(ReferenceData!$AX$345),"",ReferenceData!$AX$345),"")</f>
        <v/>
      </c>
      <c r="AY345" t="str">
        <f ca="1">IFERROR(IF(0=LEN(ReferenceData!$AY$345),"",ReferenceData!$AY$345),"")</f>
        <v/>
      </c>
      <c r="AZ345" t="str">
        <f ca="1">IFERROR(IF(0=LEN(ReferenceData!$AZ$345),"",ReferenceData!$AZ$345),"")</f>
        <v/>
      </c>
      <c r="BA345" t="str">
        <f ca="1">IFERROR(IF(0=LEN(ReferenceData!$BA$345),"",ReferenceData!$BA$345),"")</f>
        <v/>
      </c>
      <c r="BB345" t="str">
        <f ca="1">IFERROR(IF(0=LEN(ReferenceData!$BB$345),"",ReferenceData!$BB$345),"")</f>
        <v/>
      </c>
      <c r="BC345" t="str">
        <f ca="1">IFERROR(IF(0=LEN(ReferenceData!$BC$345),"",ReferenceData!$BC$345),"")</f>
        <v/>
      </c>
      <c r="BD345" t="str">
        <f ca="1">IFERROR(IF(0=LEN(ReferenceData!$BD$345),"",ReferenceData!$BD$345),"")</f>
        <v/>
      </c>
      <c r="BE345" t="str">
        <f ca="1">IFERROR(IF(0=LEN(ReferenceData!$BE$345),"",ReferenceData!$BE$345),"")</f>
        <v/>
      </c>
      <c r="BF345" t="str">
        <f ca="1">IFERROR(IF(0=LEN(ReferenceData!$BF$345),"",ReferenceData!$BF$345),"")</f>
        <v/>
      </c>
      <c r="BG345" t="str">
        <f ca="1">IFERROR(IF(0=LEN(ReferenceData!$BG$345),"",ReferenceData!$BG$345),"")</f>
        <v/>
      </c>
      <c r="BH345" t="str">
        <f ca="1">IFERROR(IF(0=LEN(ReferenceData!$BH$345),"",ReferenceData!$BH$345),"")</f>
        <v/>
      </c>
      <c r="BI345" t="str">
        <f ca="1">IFERROR(IF(0=LEN(ReferenceData!$BI$345),"",ReferenceData!$BI$345),"")</f>
        <v/>
      </c>
      <c r="BJ345" t="str">
        <f ca="1">IFERROR(IF(0=LEN(ReferenceData!$BJ$345),"",ReferenceData!$BJ$345),"")</f>
        <v/>
      </c>
      <c r="BK345" t="str">
        <f ca="1">IFERROR(IF(0=LEN(ReferenceData!$BK$345),"",ReferenceData!$BK$345),"")</f>
        <v/>
      </c>
      <c r="BL345" t="str">
        <f ca="1">IFERROR(IF(0=LEN(ReferenceData!$BL$345),"",ReferenceData!$BL$345),"")</f>
        <v/>
      </c>
      <c r="BM345" t="str">
        <f ca="1">IFERROR(IF(0=LEN(ReferenceData!$BM$345),"",ReferenceData!$BM$345),"")</f>
        <v/>
      </c>
    </row>
    <row r="346" spans="1:65" x14ac:dyDescent="0.25">
      <c r="A346" t="str">
        <f>IFERROR(IF(0=LEN(ReferenceData!$A$346),"",ReferenceData!$A$346),"")</f>
        <v xml:space="preserve">    Ford Motor Co</v>
      </c>
      <c r="B346" t="str">
        <f>IFERROR(IF(0=LEN(ReferenceData!$B$346),"",ReferenceData!$B$346),"")</f>
        <v>F US Equity</v>
      </c>
      <c r="C346" t="str">
        <f>IFERROR(IF(0=LEN(ReferenceData!$C$346),"",ReferenceData!$C$346),"")</f>
        <v>RR473</v>
      </c>
      <c r="D346" t="str">
        <f>IFERROR(IF(0=LEN(ReferenceData!$D$346),"",ReferenceData!$D$346),"")</f>
        <v>EV_TO_T12M_SALES</v>
      </c>
      <c r="E346" t="str">
        <f>IFERROR(IF(0=LEN(ReferenceData!$E$346),"",ReferenceData!$E$346),"")</f>
        <v>Dynamic</v>
      </c>
      <c r="F346" t="str">
        <f ca="1">IFERROR(IF(0=LEN(ReferenceData!$F$346),"",ReferenceData!$F$346),"")</f>
        <v/>
      </c>
      <c r="G346">
        <f ca="1">IFERROR(IF(0=LEN(ReferenceData!$G$346),"",ReferenceData!$G$346),"")</f>
        <v>0.13147800800000001</v>
      </c>
      <c r="H346">
        <f ca="1">IFERROR(IF(0=LEN(ReferenceData!$H$346),"",ReferenceData!$H$346),"")</f>
        <v>0.175032409</v>
      </c>
      <c r="I346">
        <f ca="1">IFERROR(IF(0=LEN(ReferenceData!$I$346),"",ReferenceData!$I$346),"")</f>
        <v>0.21901467799999999</v>
      </c>
      <c r="J346">
        <f ca="1">IFERROR(IF(0=LEN(ReferenceData!$J$346),"",ReferenceData!$J$346),"")</f>
        <v>0.20372510999999999</v>
      </c>
      <c r="K346">
        <f ca="1">IFERROR(IF(0=LEN(ReferenceData!$K$346),"",ReferenceData!$K$346),"")</f>
        <v>0.25001379200000001</v>
      </c>
      <c r="L346">
        <f ca="1">IFERROR(IF(0=LEN(ReferenceData!$L$346),"",ReferenceData!$L$346),"")</f>
        <v>0.24470135300000001</v>
      </c>
      <c r="M346">
        <f ca="1">IFERROR(IF(0=LEN(ReferenceData!$M$346),"",ReferenceData!$M$346),"")</f>
        <v>0.210389203</v>
      </c>
      <c r="N346">
        <f ca="1">IFERROR(IF(0=LEN(ReferenceData!$N$346),"",ReferenceData!$N$346),"")</f>
        <v>0.22610306599999999</v>
      </c>
      <c r="O346">
        <f ca="1">IFERROR(IF(0=LEN(ReferenceData!$O$346),"",ReferenceData!$O$346),"")</f>
        <v>0.24214904300000001</v>
      </c>
      <c r="P346">
        <f ca="1">IFERROR(IF(0=LEN(ReferenceData!$P$346),"",ReferenceData!$P$346),"")</f>
        <v>0.240622278</v>
      </c>
      <c r="Q346">
        <f ca="1">IFERROR(IF(0=LEN(ReferenceData!$Q$346),"",ReferenceData!$Q$346),"")</f>
        <v>0.23080397999999999</v>
      </c>
      <c r="R346">
        <f ca="1">IFERROR(IF(0=LEN(ReferenceData!$R$346),"",ReferenceData!$R$346),"")</f>
        <v>0.26190065400000001</v>
      </c>
      <c r="S346">
        <f ca="1">IFERROR(IF(0=LEN(ReferenceData!$S$346),"",ReferenceData!$S$346),"")</f>
        <v>0.302969027</v>
      </c>
      <c r="T346">
        <f ca="1">IFERROR(IF(0=LEN(ReferenceData!$T$346),"",ReferenceData!$T$346),"")</f>
        <v>0.29061980500000001</v>
      </c>
      <c r="U346">
        <f ca="1">IFERROR(IF(0=LEN(ReferenceData!$U$346),"",ReferenceData!$U$346),"")</f>
        <v>0.35145610300000002</v>
      </c>
      <c r="V346">
        <f ca="1">IFERROR(IF(0=LEN(ReferenceData!$V$346),"",ReferenceData!$V$346),"")</f>
        <v>0.395516215</v>
      </c>
      <c r="W346">
        <f ca="1">IFERROR(IF(0=LEN(ReferenceData!$W$346),"",ReferenceData!$W$346),"")</f>
        <v>0.36167534200000001</v>
      </c>
      <c r="X346">
        <f ca="1">IFERROR(IF(0=LEN(ReferenceData!$X$346),"",ReferenceData!$X$346),"")</f>
        <v>0.32514790999999998</v>
      </c>
      <c r="Y346">
        <f ca="1">IFERROR(IF(0=LEN(ReferenceData!$Y$346),"",ReferenceData!$Y$346),"")</f>
        <v>0.37350386800000002</v>
      </c>
      <c r="Z346">
        <f ca="1">IFERROR(IF(0=LEN(ReferenceData!$Z$346),"",ReferenceData!$Z$346),"")</f>
        <v>0.35013612700000002</v>
      </c>
      <c r="AA346">
        <f ca="1">IFERROR(IF(0=LEN(ReferenceData!$AA$346),"",ReferenceData!$AA$346),"")</f>
        <v>0.35160791000000002</v>
      </c>
      <c r="AB346">
        <f ca="1">IFERROR(IF(0=LEN(ReferenceData!$AB$346),"",ReferenceData!$AB$346),"")</f>
        <v>0.37728426500000001</v>
      </c>
      <c r="AC346">
        <f ca="1">IFERROR(IF(0=LEN(ReferenceData!$AC$346),"",ReferenceData!$AC$346),"")</f>
        <v>0.34947278199999998</v>
      </c>
      <c r="AD346">
        <f ca="1">IFERROR(IF(0=LEN(ReferenceData!$AD$346),"",ReferenceData!$AD$346),"")</f>
        <v>0.31333298999999998</v>
      </c>
      <c r="AE346">
        <f ca="1">IFERROR(IF(0=LEN(ReferenceData!$AE$346),"",ReferenceData!$AE$346),"")</f>
        <v>0.29629682200000002</v>
      </c>
      <c r="AF346">
        <f ca="1">IFERROR(IF(0=LEN(ReferenceData!$AF$346),"",ReferenceData!$AF$346),"")</f>
        <v>0.19805177600000001</v>
      </c>
      <c r="AG346">
        <f ca="1">IFERROR(IF(0=LEN(ReferenceData!$AG$346),"",ReferenceData!$AG$346),"")</f>
        <v>0.18858283000000001</v>
      </c>
      <c r="AH346">
        <f ca="1">IFERROR(IF(0=LEN(ReferenceData!$AH$346),"",ReferenceData!$AH$346),"")</f>
        <v>0.273779893</v>
      </c>
      <c r="AI346">
        <f ca="1">IFERROR(IF(0=LEN(ReferenceData!$AI$346),"",ReferenceData!$AI$346),"")</f>
        <v>0.223708723</v>
      </c>
      <c r="AJ346">
        <f ca="1">IFERROR(IF(0=LEN(ReferenceData!$AJ$346),"",ReferenceData!$AJ$346),"")</f>
        <v>0.20267506499999999</v>
      </c>
      <c r="AK346">
        <f ca="1">IFERROR(IF(0=LEN(ReferenceData!$AK$346),"",ReferenceData!$AK$346),"")</f>
        <v>0.32764189799999999</v>
      </c>
      <c r="AL346">
        <f ca="1">IFERROR(IF(0=LEN(ReferenceData!$AL$346),"",ReferenceData!$AL$346),"")</f>
        <v>0.39123491999999999</v>
      </c>
      <c r="AM346">
        <f ca="1">IFERROR(IF(0=LEN(ReferenceData!$AM$346),"",ReferenceData!$AM$346),"")</f>
        <v>0.47171639999999998</v>
      </c>
      <c r="AN346">
        <f ca="1">IFERROR(IF(0=LEN(ReferenceData!$AN$346),"",ReferenceData!$AN$346),"")</f>
        <v>0.33019852599999999</v>
      </c>
      <c r="AO346">
        <f ca="1">IFERROR(IF(0=LEN(ReferenceData!$AO$346),"",ReferenceData!$AO$346),"")</f>
        <v>0.28752109399999998</v>
      </c>
      <c r="AP346">
        <f ca="1">IFERROR(IF(0=LEN(ReferenceData!$AP$346),"",ReferenceData!$AP$346),"")</f>
        <v>0.42448489099999998</v>
      </c>
      <c r="AQ346">
        <f ca="1">IFERROR(IF(0=LEN(ReferenceData!$AQ$346),"",ReferenceData!$AQ$346),"")</f>
        <v>0.349809017</v>
      </c>
      <c r="AR346">
        <f ca="1">IFERROR(IF(0=LEN(ReferenceData!$AR$346),"",ReferenceData!$AR$346),"")</f>
        <v>0.24799628200000001</v>
      </c>
      <c r="AS346">
        <f ca="1">IFERROR(IF(0=LEN(ReferenceData!$AS$346),"",ReferenceData!$AS$346),"")</f>
        <v>0.22710175799999999</v>
      </c>
      <c r="AT346">
        <f ca="1">IFERROR(IF(0=LEN(ReferenceData!$AT$346),"",ReferenceData!$AT$346),"")</f>
        <v>0.15215389000000001</v>
      </c>
      <c r="AU346">
        <f ca="1">IFERROR(IF(0=LEN(ReferenceData!$AU$346),"",ReferenceData!$AU$346),"")</f>
        <v>0.104997276</v>
      </c>
      <c r="AV346">
        <f ca="1">IFERROR(IF(0=LEN(ReferenceData!$AV$346),"",ReferenceData!$AV$346),"")</f>
        <v>0.111908751</v>
      </c>
      <c r="AW346">
        <f ca="1">IFERROR(IF(0=LEN(ReferenceData!$AW$346),"",ReferenceData!$AW$346),"")</f>
        <v>6.3200784999999995E-2</v>
      </c>
      <c r="AX346">
        <f ca="1">IFERROR(IF(0=LEN(ReferenceData!$AX$346),"",ReferenceData!$AX$346),"")</f>
        <v>5.4028531999999997E-2</v>
      </c>
      <c r="AY346">
        <f ca="1">IFERROR(IF(0=LEN(ReferenceData!$AY$346),"",ReferenceData!$AY$346),"")</f>
        <v>5.7140413000000001E-2</v>
      </c>
      <c r="AZ346">
        <f ca="1">IFERROR(IF(0=LEN(ReferenceData!$AZ$346),"",ReferenceData!$AZ$346),"")</f>
        <v>7.8441814999999998E-2</v>
      </c>
      <c r="BA346">
        <f ca="1">IFERROR(IF(0=LEN(ReferenceData!$BA$346),"",ReferenceData!$BA$346),"")</f>
        <v>8.4285826999999994E-2</v>
      </c>
      <c r="BB346">
        <f ca="1">IFERROR(IF(0=LEN(ReferenceData!$BB$346),"",ReferenceData!$BB$346),"")</f>
        <v>7.9812330000000001E-2</v>
      </c>
      <c r="BC346">
        <f ca="1">IFERROR(IF(0=LEN(ReferenceData!$BC$346),"",ReferenceData!$BC$346),"")</f>
        <v>7.9326205999999996E-2</v>
      </c>
      <c r="BD346">
        <f ca="1">IFERROR(IF(0=LEN(ReferenceData!$BD$346),"",ReferenceData!$BD$346),"")</f>
        <v>7.3668224000000004E-2</v>
      </c>
      <c r="BE346">
        <f ca="1">IFERROR(IF(0=LEN(ReferenceData!$BE$346),"",ReferenceData!$BE$346),"")</f>
        <v>4.9343340999999999E-2</v>
      </c>
      <c r="BF346">
        <f ca="1">IFERROR(IF(0=LEN(ReferenceData!$BF$346),"",ReferenceData!$BF$346),"")</f>
        <v>6.8301239E-2</v>
      </c>
      <c r="BG346">
        <f ca="1">IFERROR(IF(0=LEN(ReferenceData!$BG$346),"",ReferenceData!$BG$346),"")</f>
        <v>0.72125046100000001</v>
      </c>
      <c r="BH346">
        <f ca="1">IFERROR(IF(0=LEN(ReferenceData!$BH$346),"",ReferenceData!$BH$346),"")</f>
        <v>0.70743898199999999</v>
      </c>
      <c r="BI346">
        <f ca="1">IFERROR(IF(0=LEN(ReferenceData!$BI$346),"",ReferenceData!$BI$346),"")</f>
        <v>0.79968893100000005</v>
      </c>
      <c r="BJ346">
        <f ca="1">IFERROR(IF(0=LEN(ReferenceData!$BJ$346),"",ReferenceData!$BJ$346),"")</f>
        <v>0.86543190400000003</v>
      </c>
      <c r="BK346">
        <f ca="1">IFERROR(IF(0=LEN(ReferenceData!$BK$346),"",ReferenceData!$BK$346),"")</f>
        <v>0.92777184499999998</v>
      </c>
      <c r="BL346">
        <f ca="1">IFERROR(IF(0=LEN(ReferenceData!$BL$346),"",ReferenceData!$BL$346),"")</f>
        <v>0.93838892399999996</v>
      </c>
      <c r="BM346">
        <f ca="1">IFERROR(IF(0=LEN(ReferenceData!$BM$346),"",ReferenceData!$BM$346),"")</f>
        <v>0.96127188100000005</v>
      </c>
    </row>
    <row r="347" spans="1:65" x14ac:dyDescent="0.25">
      <c r="A347" t="str">
        <f>IFERROR(IF(0=LEN(ReferenceData!$A$347),"",ReferenceData!$A$347),"")</f>
        <v xml:space="preserve">    Ford Otomotiv Sanayi AS</v>
      </c>
      <c r="B347" t="str">
        <f>IFERROR(IF(0=LEN(ReferenceData!$B$347),"",ReferenceData!$B$347),"")</f>
        <v>FROTOTRY EO Equity</v>
      </c>
      <c r="C347" t="str">
        <f>IFERROR(IF(0=LEN(ReferenceData!$C$347),"",ReferenceData!$C$347),"")</f>
        <v>RR473</v>
      </c>
      <c r="D347" t="str">
        <f>IFERROR(IF(0=LEN(ReferenceData!$D$347),"",ReferenceData!$D$347),"")</f>
        <v>EV_TO_T12M_SALES</v>
      </c>
      <c r="E347" t="str">
        <f>IFERROR(IF(0=LEN(ReferenceData!$E$347),"",ReferenceData!$E$347),"")</f>
        <v>Dynamic</v>
      </c>
      <c r="F347" t="str">
        <f ca="1">IFERROR(IF(0=LEN(ReferenceData!$F$347),"",ReferenceData!$F$347),"")</f>
        <v/>
      </c>
      <c r="G347">
        <f ca="1">IFERROR(IF(0=LEN(ReferenceData!$G$347),"",ReferenceData!$G$347),"")</f>
        <v>0.61983438999999996</v>
      </c>
      <c r="H347">
        <f ca="1">IFERROR(IF(0=LEN(ReferenceData!$H$347),"",ReferenceData!$H$347),"")</f>
        <v>0.86043093699999995</v>
      </c>
      <c r="I347">
        <f ca="1">IFERROR(IF(0=LEN(ReferenceData!$I$347),"",ReferenceData!$I$347),"")</f>
        <v>0.83204966300000005</v>
      </c>
      <c r="J347">
        <f ca="1">IFERROR(IF(0=LEN(ReferenceData!$J$347),"",ReferenceData!$J$347),"")</f>
        <v>0.87728407100000005</v>
      </c>
      <c r="K347">
        <f ca="1">IFERROR(IF(0=LEN(ReferenceData!$K$347),"",ReferenceData!$K$347),"")</f>
        <v>0.90525895499999998</v>
      </c>
      <c r="L347">
        <f ca="1">IFERROR(IF(0=LEN(ReferenceData!$L$347),"",ReferenceData!$L$347),"")</f>
        <v>0.79137033899999998</v>
      </c>
      <c r="M347">
        <f ca="1">IFERROR(IF(0=LEN(ReferenceData!$M$347),"",ReferenceData!$M$347),"")</f>
        <v>0.80002658199999999</v>
      </c>
      <c r="N347">
        <f ca="1">IFERROR(IF(0=LEN(ReferenceData!$N$347),"",ReferenceData!$N$347),"")</f>
        <v>0.72819906199999995</v>
      </c>
      <c r="O347">
        <f ca="1">IFERROR(IF(0=LEN(ReferenceData!$O$347),"",ReferenceData!$O$347),"")</f>
        <v>0.67766700599999996</v>
      </c>
      <c r="P347">
        <f ca="1">IFERROR(IF(0=LEN(ReferenceData!$P$347),"",ReferenceData!$P$347),"")</f>
        <v>0.74629992199999995</v>
      </c>
      <c r="Q347">
        <f ca="1">IFERROR(IF(0=LEN(ReferenceData!$Q$347),"",ReferenceData!$Q$347),"")</f>
        <v>0.71133814200000001</v>
      </c>
      <c r="R347">
        <f ca="1">IFERROR(IF(0=LEN(ReferenceData!$R$347),"",ReferenceData!$R$347),"")</f>
        <v>0.85674445600000004</v>
      </c>
      <c r="S347">
        <f ca="1">IFERROR(IF(0=LEN(ReferenceData!$S$347),"",ReferenceData!$S$347),"")</f>
        <v>0.728870778</v>
      </c>
      <c r="T347">
        <f ca="1">IFERROR(IF(0=LEN(ReferenceData!$T$347),"",ReferenceData!$T$347),"")</f>
        <v>0.870512972</v>
      </c>
      <c r="U347">
        <f ca="1">IFERROR(IF(0=LEN(ReferenceData!$U$347),"",ReferenceData!$U$347),"")</f>
        <v>1.0550179749999999</v>
      </c>
      <c r="V347">
        <f ca="1">IFERROR(IF(0=LEN(ReferenceData!$V$347),"",ReferenceData!$V$347),"")</f>
        <v>1.0273952289999999</v>
      </c>
      <c r="W347">
        <f ca="1">IFERROR(IF(0=LEN(ReferenceData!$W$347),"",ReferenceData!$W$347),"")</f>
        <v>1.106484757</v>
      </c>
      <c r="X347">
        <f ca="1">IFERROR(IF(0=LEN(ReferenceData!$X$347),"",ReferenceData!$X$347),"")</f>
        <v>0.99018255700000002</v>
      </c>
      <c r="Y347">
        <f ca="1">IFERROR(IF(0=LEN(ReferenceData!$Y$347),"",ReferenceData!$Y$347),"")</f>
        <v>1.0048950210000001</v>
      </c>
      <c r="Z347">
        <f ca="1">IFERROR(IF(0=LEN(ReferenceData!$Z$347),"",ReferenceData!$Z$347),"")</f>
        <v>0.89830140000000003</v>
      </c>
      <c r="AA347">
        <f ca="1">IFERROR(IF(0=LEN(ReferenceData!$AA$347),"",ReferenceData!$AA$347),"")</f>
        <v>0.87778063399999995</v>
      </c>
      <c r="AB347">
        <f ca="1">IFERROR(IF(0=LEN(ReferenceData!$AB$347),"",ReferenceData!$AB$347),"")</f>
        <v>1.0375673750000001</v>
      </c>
      <c r="AC347">
        <f ca="1">IFERROR(IF(0=LEN(ReferenceData!$AC$347),"",ReferenceData!$AC$347),"")</f>
        <v>1.028109318</v>
      </c>
      <c r="AD347">
        <f ca="1">IFERROR(IF(0=LEN(ReferenceData!$AD$347),"",ReferenceData!$AD$347),"")</f>
        <v>1.010765175</v>
      </c>
      <c r="AE347">
        <f ca="1">IFERROR(IF(0=LEN(ReferenceData!$AE$347),"",ReferenceData!$AE$347),"")</f>
        <v>0.866867685</v>
      </c>
      <c r="AF347">
        <f ca="1">IFERROR(IF(0=LEN(ReferenceData!$AF$347),"",ReferenceData!$AF$347),"")</f>
        <v>0.71464709500000001</v>
      </c>
      <c r="AG347">
        <f ca="1">IFERROR(IF(0=LEN(ReferenceData!$AG$347),"",ReferenceData!$AG$347),"")</f>
        <v>0.58450956600000004</v>
      </c>
      <c r="AH347">
        <f ca="1">IFERROR(IF(0=LEN(ReferenceData!$AH$347),"",ReferenceData!$AH$347),"")</f>
        <v>0.557083263</v>
      </c>
      <c r="AI347">
        <f ca="1">IFERROR(IF(0=LEN(ReferenceData!$AI$347),"",ReferenceData!$AI$347),"")</f>
        <v>0.52053154300000004</v>
      </c>
      <c r="AJ347">
        <f ca="1">IFERROR(IF(0=LEN(ReferenceData!$AJ$347),"",ReferenceData!$AJ$347),"")</f>
        <v>0.44828111199999998</v>
      </c>
      <c r="AK347">
        <f ca="1">IFERROR(IF(0=LEN(ReferenceData!$AK$347),"",ReferenceData!$AK$347),"")</f>
        <v>0.51126245400000003</v>
      </c>
      <c r="AL347">
        <f ca="1">IFERROR(IF(0=LEN(ReferenceData!$AL$347),"",ReferenceData!$AL$347),"")</f>
        <v>0.57441713599999999</v>
      </c>
      <c r="AM347">
        <f ca="1">IFERROR(IF(0=LEN(ReferenceData!$AM$347),"",ReferenceData!$AM$347),"")</f>
        <v>0.599636905</v>
      </c>
      <c r="AN347">
        <f ca="1">IFERROR(IF(0=LEN(ReferenceData!$AN$347),"",ReferenceData!$AN$347),"")</f>
        <v>0.61346990999999995</v>
      </c>
      <c r="AO347">
        <f ca="1">IFERROR(IF(0=LEN(ReferenceData!$AO$347),"",ReferenceData!$AO$347),"")</f>
        <v>0.54446262000000001</v>
      </c>
      <c r="AP347">
        <f ca="1">IFERROR(IF(0=LEN(ReferenceData!$AP$347),"",ReferenceData!$AP$347),"")</f>
        <v>0.60964139799999995</v>
      </c>
      <c r="AQ347">
        <f ca="1">IFERROR(IF(0=LEN(ReferenceData!$AQ$347),"",ReferenceData!$AQ$347),"")</f>
        <v>0.57254266200000004</v>
      </c>
      <c r="AR347">
        <f ca="1">IFERROR(IF(0=LEN(ReferenceData!$AR$347),"",ReferenceData!$AR$347),"")</f>
        <v>0.63560673000000001</v>
      </c>
      <c r="AS347">
        <f ca="1">IFERROR(IF(0=LEN(ReferenceData!$AS$347),"",ReferenceData!$AS$347),"")</f>
        <v>0.38421818600000002</v>
      </c>
      <c r="AT347">
        <f ca="1">IFERROR(IF(0=LEN(ReferenceData!$AT$347),"",ReferenceData!$AT$347),"")</f>
        <v>0.24696342800000001</v>
      </c>
      <c r="AU347">
        <f ca="1">IFERROR(IF(0=LEN(ReferenceData!$AU$347),"",ReferenceData!$AU$347),"")</f>
        <v>0.235137454</v>
      </c>
      <c r="AV347">
        <f ca="1">IFERROR(IF(0=LEN(ReferenceData!$AV$347),"",ReferenceData!$AV$347),"")</f>
        <v>0.27712790399999998</v>
      </c>
      <c r="AW347">
        <f ca="1">IFERROR(IF(0=LEN(ReferenceData!$AW$347),"",ReferenceData!$AW$347),"")</f>
        <v>0.41005722900000002</v>
      </c>
      <c r="AX347">
        <f ca="1">IFERROR(IF(0=LEN(ReferenceData!$AX$347),"",ReferenceData!$AX$347),"")</f>
        <v>0.46812263199999998</v>
      </c>
      <c r="AY347">
        <f ca="1">IFERROR(IF(0=LEN(ReferenceData!$AY$347),"",ReferenceData!$AY$347),"")</f>
        <v>0.59495524099999997</v>
      </c>
      <c r="AZ347">
        <f ca="1">IFERROR(IF(0=LEN(ReferenceData!$AZ$347),"",ReferenceData!$AZ$347),"")</f>
        <v>0.65848563199999999</v>
      </c>
      <c r="BA347">
        <f ca="1">IFERROR(IF(0=LEN(ReferenceData!$BA$347),"",ReferenceData!$BA$347),"")</f>
        <v>0.68376409800000004</v>
      </c>
      <c r="BB347">
        <f ca="1">IFERROR(IF(0=LEN(ReferenceData!$BB$347),"",ReferenceData!$BB$347),"")</f>
        <v>0.67136475399999995</v>
      </c>
      <c r="BC347">
        <f ca="1">IFERROR(IF(0=LEN(ReferenceData!$BC$347),"",ReferenceData!$BC$347),"")</f>
        <v>0.65021753299999996</v>
      </c>
      <c r="BD347">
        <f ca="1">IFERROR(IF(0=LEN(ReferenceData!$BD$347),"",ReferenceData!$BD$347),"")</f>
        <v>0.60116070700000002</v>
      </c>
      <c r="BE347">
        <f ca="1">IFERROR(IF(0=LEN(ReferenceData!$BE$347),"",ReferenceData!$BE$347),"")</f>
        <v>0.60600065299999994</v>
      </c>
      <c r="BF347">
        <f ca="1">IFERROR(IF(0=LEN(ReferenceData!$BF$347),"",ReferenceData!$BF$347),"")</f>
        <v>0.69565954200000002</v>
      </c>
      <c r="BG347">
        <f ca="1">IFERROR(IF(0=LEN(ReferenceData!$BG$347),"",ReferenceData!$BG$347),"")</f>
        <v>0.69956578800000002</v>
      </c>
      <c r="BH347">
        <f ca="1">IFERROR(IF(0=LEN(ReferenceData!$BH$347),"",ReferenceData!$BH$347),"")</f>
        <v>0.55609650099999997</v>
      </c>
      <c r="BI347">
        <f ca="1">IFERROR(IF(0=LEN(ReferenceData!$BI$347),"",ReferenceData!$BI$347),"")</f>
        <v>0.52723146899999995</v>
      </c>
      <c r="BJ347">
        <f ca="1">IFERROR(IF(0=LEN(ReferenceData!$BJ$347),"",ReferenceData!$BJ$347),"")</f>
        <v>0.55171070499999997</v>
      </c>
      <c r="BK347">
        <f ca="1">IFERROR(IF(0=LEN(ReferenceData!$BK$347),"",ReferenceData!$BK$347),"")</f>
        <v>0.57099867199999998</v>
      </c>
      <c r="BL347">
        <f ca="1">IFERROR(IF(0=LEN(ReferenceData!$BL$347),"",ReferenceData!$BL$347),"")</f>
        <v>0.71079827500000003</v>
      </c>
      <c r="BM347">
        <f ca="1">IFERROR(IF(0=LEN(ReferenceData!$BM$347),"",ReferenceData!$BM$347),"")</f>
        <v>0.76523252799999997</v>
      </c>
    </row>
    <row r="348" spans="1:65" x14ac:dyDescent="0.25">
      <c r="A348" t="str">
        <f>IFERROR(IF(0=LEN(ReferenceData!$A$348),"",ReferenceData!$A$348),"")</f>
        <v xml:space="preserve">    GAZ PJSC</v>
      </c>
      <c r="B348" t="str">
        <f>IFERROR(IF(0=LEN(ReferenceData!$B$348),"",ReferenceData!$B$348),"")</f>
        <v>GAZA RM Equity</v>
      </c>
      <c r="C348" t="str">
        <f>IFERROR(IF(0=LEN(ReferenceData!$C$348),"",ReferenceData!$C$348),"")</f>
        <v>RR473</v>
      </c>
      <c r="D348" t="str">
        <f>IFERROR(IF(0=LEN(ReferenceData!$D$348),"",ReferenceData!$D$348),"")</f>
        <v>EV_TO_T12M_SALES</v>
      </c>
      <c r="E348" t="str">
        <f>IFERROR(IF(0=LEN(ReferenceData!$E$348),"",ReferenceData!$E$348),"")</f>
        <v>Dynamic</v>
      </c>
      <c r="F348" t="str">
        <f ca="1">IFERROR(IF(0=LEN(ReferenceData!$F$348),"",ReferenceData!$F$348),"")</f>
        <v/>
      </c>
      <c r="G348" t="str">
        <f ca="1">IFERROR(IF(0=LEN(ReferenceData!$G$348),"",ReferenceData!$G$348),"")</f>
        <v/>
      </c>
      <c r="H348" t="str">
        <f ca="1">IFERROR(IF(0=LEN(ReferenceData!$H$348),"",ReferenceData!$H$348),"")</f>
        <v/>
      </c>
      <c r="I348" t="str">
        <f ca="1">IFERROR(IF(0=LEN(ReferenceData!$I$348),"",ReferenceData!$I$348),"")</f>
        <v/>
      </c>
      <c r="J348" t="str">
        <f ca="1">IFERROR(IF(0=LEN(ReferenceData!$J$348),"",ReferenceData!$J$348),"")</f>
        <v/>
      </c>
      <c r="K348" t="str">
        <f ca="1">IFERROR(IF(0=LEN(ReferenceData!$K$348),"",ReferenceData!$K$348),"")</f>
        <v/>
      </c>
      <c r="L348" t="str">
        <f ca="1">IFERROR(IF(0=LEN(ReferenceData!$L$348),"",ReferenceData!$L$348),"")</f>
        <v/>
      </c>
      <c r="M348" t="str">
        <f ca="1">IFERROR(IF(0=LEN(ReferenceData!$M$348),"",ReferenceData!$M$348),"")</f>
        <v/>
      </c>
      <c r="N348" t="str">
        <f ca="1">IFERROR(IF(0=LEN(ReferenceData!$N$348),"",ReferenceData!$N$348),"")</f>
        <v/>
      </c>
      <c r="O348" t="str">
        <f ca="1">IFERROR(IF(0=LEN(ReferenceData!$O$348),"",ReferenceData!$O$348),"")</f>
        <v/>
      </c>
      <c r="P348" t="str">
        <f ca="1">IFERROR(IF(0=LEN(ReferenceData!$P$348),"",ReferenceData!$P$348),"")</f>
        <v/>
      </c>
      <c r="Q348" t="str">
        <f ca="1">IFERROR(IF(0=LEN(ReferenceData!$Q$348),"",ReferenceData!$Q$348),"")</f>
        <v/>
      </c>
      <c r="R348" t="str">
        <f ca="1">IFERROR(IF(0=LEN(ReferenceData!$R$348),"",ReferenceData!$R$348),"")</f>
        <v/>
      </c>
      <c r="S348" t="str">
        <f ca="1">IFERROR(IF(0=LEN(ReferenceData!$S$348),"",ReferenceData!$S$348),"")</f>
        <v/>
      </c>
      <c r="T348" t="str">
        <f ca="1">IFERROR(IF(0=LEN(ReferenceData!$T$348),"",ReferenceData!$T$348),"")</f>
        <v/>
      </c>
      <c r="U348" t="str">
        <f ca="1">IFERROR(IF(0=LEN(ReferenceData!$U$348),"",ReferenceData!$U$348),"")</f>
        <v/>
      </c>
      <c r="V348" t="str">
        <f ca="1">IFERROR(IF(0=LEN(ReferenceData!$V$348),"",ReferenceData!$V$348),"")</f>
        <v/>
      </c>
      <c r="W348" t="str">
        <f ca="1">IFERROR(IF(0=LEN(ReferenceData!$W$348),"",ReferenceData!$W$348),"")</f>
        <v/>
      </c>
      <c r="X348" t="str">
        <f ca="1">IFERROR(IF(0=LEN(ReferenceData!$X$348),"",ReferenceData!$X$348),"")</f>
        <v/>
      </c>
      <c r="Y348" t="str">
        <f ca="1">IFERROR(IF(0=LEN(ReferenceData!$Y$348),"",ReferenceData!$Y$348),"")</f>
        <v/>
      </c>
      <c r="Z348" t="str">
        <f ca="1">IFERROR(IF(0=LEN(ReferenceData!$Z$348),"",ReferenceData!$Z$348),"")</f>
        <v/>
      </c>
      <c r="AA348" t="str">
        <f ca="1">IFERROR(IF(0=LEN(ReferenceData!$AA$348),"",ReferenceData!$AA$348),"")</f>
        <v/>
      </c>
      <c r="AB348" t="str">
        <f ca="1">IFERROR(IF(0=LEN(ReferenceData!$AB$348),"",ReferenceData!$AB$348),"")</f>
        <v/>
      </c>
      <c r="AC348" t="str">
        <f ca="1">IFERROR(IF(0=LEN(ReferenceData!$AC$348),"",ReferenceData!$AC$348),"")</f>
        <v/>
      </c>
      <c r="AD348" t="str">
        <f ca="1">IFERROR(IF(0=LEN(ReferenceData!$AD$348),"",ReferenceData!$AD$348),"")</f>
        <v/>
      </c>
      <c r="AE348" t="str">
        <f ca="1">IFERROR(IF(0=LEN(ReferenceData!$AE$348),"",ReferenceData!$AE$348),"")</f>
        <v/>
      </c>
      <c r="AF348" t="str">
        <f ca="1">IFERROR(IF(0=LEN(ReferenceData!$AF$348),"",ReferenceData!$AF$348),"")</f>
        <v/>
      </c>
      <c r="AG348" t="str">
        <f ca="1">IFERROR(IF(0=LEN(ReferenceData!$AG$348),"",ReferenceData!$AG$348),"")</f>
        <v/>
      </c>
      <c r="AH348" t="str">
        <f ca="1">IFERROR(IF(0=LEN(ReferenceData!$AH$348),"",ReferenceData!$AH$348),"")</f>
        <v/>
      </c>
      <c r="AI348" t="str">
        <f ca="1">IFERROR(IF(0=LEN(ReferenceData!$AI$348),"",ReferenceData!$AI$348),"")</f>
        <v/>
      </c>
      <c r="AJ348" t="str">
        <f ca="1">IFERROR(IF(0=LEN(ReferenceData!$AJ$348),"",ReferenceData!$AJ$348),"")</f>
        <v/>
      </c>
      <c r="AK348" t="str">
        <f ca="1">IFERROR(IF(0=LEN(ReferenceData!$AK$348),"",ReferenceData!$AK$348),"")</f>
        <v/>
      </c>
      <c r="AL348" t="str">
        <f ca="1">IFERROR(IF(0=LEN(ReferenceData!$AL$348),"",ReferenceData!$AL$348),"")</f>
        <v/>
      </c>
      <c r="AM348" t="str">
        <f ca="1">IFERROR(IF(0=LEN(ReferenceData!$AM$348),"",ReferenceData!$AM$348),"")</f>
        <v/>
      </c>
      <c r="AN348" t="str">
        <f ca="1">IFERROR(IF(0=LEN(ReferenceData!$AN$348),"",ReferenceData!$AN$348),"")</f>
        <v/>
      </c>
      <c r="AO348" t="str">
        <f ca="1">IFERROR(IF(0=LEN(ReferenceData!$AO$348),"",ReferenceData!$AO$348),"")</f>
        <v/>
      </c>
      <c r="AP348" t="str">
        <f ca="1">IFERROR(IF(0=LEN(ReferenceData!$AP$348),"",ReferenceData!$AP$348),"")</f>
        <v/>
      </c>
      <c r="AQ348" t="str">
        <f ca="1">IFERROR(IF(0=LEN(ReferenceData!$AQ$348),"",ReferenceData!$AQ$348),"")</f>
        <v/>
      </c>
      <c r="AR348" t="str">
        <f ca="1">IFERROR(IF(0=LEN(ReferenceData!$AR$348),"",ReferenceData!$AR$348),"")</f>
        <v/>
      </c>
      <c r="AS348" t="str">
        <f ca="1">IFERROR(IF(0=LEN(ReferenceData!$AS$348),"",ReferenceData!$AS$348),"")</f>
        <v/>
      </c>
      <c r="AT348" t="str">
        <f ca="1">IFERROR(IF(0=LEN(ReferenceData!$AT$348),"",ReferenceData!$AT$348),"")</f>
        <v/>
      </c>
      <c r="AU348" t="str">
        <f ca="1">IFERROR(IF(0=LEN(ReferenceData!$AU$348),"",ReferenceData!$AU$348),"")</f>
        <v/>
      </c>
      <c r="AV348" t="str">
        <f ca="1">IFERROR(IF(0=LEN(ReferenceData!$AV$348),"",ReferenceData!$AV$348),"")</f>
        <v/>
      </c>
      <c r="AW348" t="str">
        <f ca="1">IFERROR(IF(0=LEN(ReferenceData!$AW$348),"",ReferenceData!$AW$348),"")</f>
        <v/>
      </c>
      <c r="AX348" t="str">
        <f ca="1">IFERROR(IF(0=LEN(ReferenceData!$AX$348),"",ReferenceData!$AX$348),"")</f>
        <v/>
      </c>
      <c r="AY348" t="str">
        <f ca="1">IFERROR(IF(0=LEN(ReferenceData!$AY$348),"",ReferenceData!$AY$348),"")</f>
        <v/>
      </c>
      <c r="AZ348" t="str">
        <f ca="1">IFERROR(IF(0=LEN(ReferenceData!$AZ$348),"",ReferenceData!$AZ$348),"")</f>
        <v/>
      </c>
      <c r="BA348" t="str">
        <f ca="1">IFERROR(IF(0=LEN(ReferenceData!$BA$348),"",ReferenceData!$BA$348),"")</f>
        <v/>
      </c>
      <c r="BB348" t="str">
        <f ca="1">IFERROR(IF(0=LEN(ReferenceData!$BB$348),"",ReferenceData!$BB$348),"")</f>
        <v/>
      </c>
      <c r="BC348" t="str">
        <f ca="1">IFERROR(IF(0=LEN(ReferenceData!$BC$348),"",ReferenceData!$BC$348),"")</f>
        <v/>
      </c>
      <c r="BD348" t="str">
        <f ca="1">IFERROR(IF(0=LEN(ReferenceData!$BD$348),"",ReferenceData!$BD$348),"")</f>
        <v/>
      </c>
      <c r="BE348" t="str">
        <f ca="1">IFERROR(IF(0=LEN(ReferenceData!$BE$348),"",ReferenceData!$BE$348),"")</f>
        <v/>
      </c>
      <c r="BF348" t="str">
        <f ca="1">IFERROR(IF(0=LEN(ReferenceData!$BF$348),"",ReferenceData!$BF$348),"")</f>
        <v/>
      </c>
      <c r="BG348" t="str">
        <f ca="1">IFERROR(IF(0=LEN(ReferenceData!$BG$348),"",ReferenceData!$BG$348),"")</f>
        <v/>
      </c>
      <c r="BH348" t="str">
        <f ca="1">IFERROR(IF(0=LEN(ReferenceData!$BH$348),"",ReferenceData!$BH$348),"")</f>
        <v/>
      </c>
      <c r="BI348" t="str">
        <f ca="1">IFERROR(IF(0=LEN(ReferenceData!$BI$348),"",ReferenceData!$BI$348),"")</f>
        <v/>
      </c>
      <c r="BJ348" t="str">
        <f ca="1">IFERROR(IF(0=LEN(ReferenceData!$BJ$348),"",ReferenceData!$BJ$348),"")</f>
        <v/>
      </c>
      <c r="BK348" t="str">
        <f ca="1">IFERROR(IF(0=LEN(ReferenceData!$BK$348),"",ReferenceData!$BK$348),"")</f>
        <v/>
      </c>
      <c r="BL348" t="str">
        <f ca="1">IFERROR(IF(0=LEN(ReferenceData!$BL$348),"",ReferenceData!$BL$348),"")</f>
        <v/>
      </c>
      <c r="BM348" t="str">
        <f ca="1">IFERROR(IF(0=LEN(ReferenceData!$BM$348),"",ReferenceData!$BM$348),"")</f>
        <v/>
      </c>
    </row>
    <row r="349" spans="1:65" x14ac:dyDescent="0.25">
      <c r="A349" t="str">
        <f>IFERROR(IF(0=LEN(ReferenceData!$A$349),"",ReferenceData!$A$349),"")</f>
        <v xml:space="preserve">    Geely Automobile Holdings Ltd</v>
      </c>
      <c r="B349" t="str">
        <f>IFERROR(IF(0=LEN(ReferenceData!$B$349),"",ReferenceData!$B$349),"")</f>
        <v>175 HK Equity</v>
      </c>
      <c r="C349" t="str">
        <f>IFERROR(IF(0=LEN(ReferenceData!$C$349),"",ReferenceData!$C$349),"")</f>
        <v>RR473</v>
      </c>
      <c r="D349" t="str">
        <f>IFERROR(IF(0=LEN(ReferenceData!$D$349),"",ReferenceData!$D$349),"")</f>
        <v>EV_TO_T12M_SALES</v>
      </c>
      <c r="E349" t="str">
        <f>IFERROR(IF(0=LEN(ReferenceData!$E$349),"",ReferenceData!$E$349),"")</f>
        <v>Dynamic</v>
      </c>
      <c r="F349" t="str">
        <f ca="1">IFERROR(IF(0=LEN(ReferenceData!$F$349),"",ReferenceData!$F$349),"")</f>
        <v/>
      </c>
      <c r="G349" t="str">
        <f ca="1">IFERROR(IF(0=LEN(ReferenceData!$G$349),"",ReferenceData!$G$349),"")</f>
        <v/>
      </c>
      <c r="H349" t="str">
        <f ca="1">IFERROR(IF(0=LEN(ReferenceData!$H$349),"",ReferenceData!$H$349),"")</f>
        <v/>
      </c>
      <c r="I349" t="str">
        <f ca="1">IFERROR(IF(0=LEN(ReferenceData!$I$349),"",ReferenceData!$I$349),"")</f>
        <v/>
      </c>
      <c r="J349" t="str">
        <f ca="1">IFERROR(IF(0=LEN(ReferenceData!$J$349),"",ReferenceData!$J$349),"")</f>
        <v/>
      </c>
      <c r="K349" t="str">
        <f ca="1">IFERROR(IF(0=LEN(ReferenceData!$K$349),"",ReferenceData!$K$349),"")</f>
        <v/>
      </c>
      <c r="L349" t="str">
        <f ca="1">IFERROR(IF(0=LEN(ReferenceData!$L$349),"",ReferenceData!$L$349),"")</f>
        <v/>
      </c>
      <c r="M349" t="str">
        <f ca="1">IFERROR(IF(0=LEN(ReferenceData!$M$349),"",ReferenceData!$M$349),"")</f>
        <v/>
      </c>
      <c r="N349" t="str">
        <f ca="1">IFERROR(IF(0=LEN(ReferenceData!$N$349),"",ReferenceData!$N$349),"")</f>
        <v/>
      </c>
      <c r="O349" t="str">
        <f ca="1">IFERROR(IF(0=LEN(ReferenceData!$O$349),"",ReferenceData!$O$349),"")</f>
        <v/>
      </c>
      <c r="P349" t="str">
        <f ca="1">IFERROR(IF(0=LEN(ReferenceData!$P$349),"",ReferenceData!$P$349),"")</f>
        <v/>
      </c>
      <c r="Q349" t="str">
        <f ca="1">IFERROR(IF(0=LEN(ReferenceData!$Q$349),"",ReferenceData!$Q$349),"")</f>
        <v/>
      </c>
      <c r="R349" t="str">
        <f ca="1">IFERROR(IF(0=LEN(ReferenceData!$R$349),"",ReferenceData!$R$349),"")</f>
        <v/>
      </c>
      <c r="S349" t="str">
        <f ca="1">IFERROR(IF(0=LEN(ReferenceData!$S$349),"",ReferenceData!$S$349),"")</f>
        <v/>
      </c>
      <c r="T349" t="str">
        <f ca="1">IFERROR(IF(0=LEN(ReferenceData!$T$349),"",ReferenceData!$T$349),"")</f>
        <v/>
      </c>
      <c r="U349" t="str">
        <f ca="1">IFERROR(IF(0=LEN(ReferenceData!$U$349),"",ReferenceData!$U$349),"")</f>
        <v/>
      </c>
      <c r="V349" t="str">
        <f ca="1">IFERROR(IF(0=LEN(ReferenceData!$V$349),"",ReferenceData!$V$349),"")</f>
        <v/>
      </c>
      <c r="W349" t="str">
        <f ca="1">IFERROR(IF(0=LEN(ReferenceData!$W$349),"",ReferenceData!$W$349),"")</f>
        <v/>
      </c>
      <c r="X349" t="str">
        <f ca="1">IFERROR(IF(0=LEN(ReferenceData!$X$349),"",ReferenceData!$X$349),"")</f>
        <v/>
      </c>
      <c r="Y349" t="str">
        <f ca="1">IFERROR(IF(0=LEN(ReferenceData!$Y$349),"",ReferenceData!$Y$349),"")</f>
        <v/>
      </c>
      <c r="Z349" t="str">
        <f ca="1">IFERROR(IF(0=LEN(ReferenceData!$Z$349),"",ReferenceData!$Z$349),"")</f>
        <v/>
      </c>
      <c r="AA349" t="str">
        <f ca="1">IFERROR(IF(0=LEN(ReferenceData!$AA$349),"",ReferenceData!$AA$349),"")</f>
        <v/>
      </c>
      <c r="AB349" t="str">
        <f ca="1">IFERROR(IF(0=LEN(ReferenceData!$AB$349),"",ReferenceData!$AB$349),"")</f>
        <v/>
      </c>
      <c r="AC349" t="str">
        <f ca="1">IFERROR(IF(0=LEN(ReferenceData!$AC$349),"",ReferenceData!$AC$349),"")</f>
        <v/>
      </c>
      <c r="AD349" t="str">
        <f ca="1">IFERROR(IF(0=LEN(ReferenceData!$AD$349),"",ReferenceData!$AD$349),"")</f>
        <v/>
      </c>
      <c r="AE349" t="str">
        <f ca="1">IFERROR(IF(0=LEN(ReferenceData!$AE$349),"",ReferenceData!$AE$349),"")</f>
        <v/>
      </c>
      <c r="AF349" t="str">
        <f ca="1">IFERROR(IF(0=LEN(ReferenceData!$AF$349),"",ReferenceData!$AF$349),"")</f>
        <v/>
      </c>
      <c r="AG349" t="str">
        <f ca="1">IFERROR(IF(0=LEN(ReferenceData!$AG$349),"",ReferenceData!$AG$349),"")</f>
        <v/>
      </c>
      <c r="AH349" t="str">
        <f ca="1">IFERROR(IF(0=LEN(ReferenceData!$AH$349),"",ReferenceData!$AH$349),"")</f>
        <v/>
      </c>
      <c r="AI349" t="str">
        <f ca="1">IFERROR(IF(0=LEN(ReferenceData!$AI$349),"",ReferenceData!$AI$349),"")</f>
        <v/>
      </c>
      <c r="AJ349" t="str">
        <f ca="1">IFERROR(IF(0=LEN(ReferenceData!$AJ$349),"",ReferenceData!$AJ$349),"")</f>
        <v/>
      </c>
      <c r="AK349" t="str">
        <f ca="1">IFERROR(IF(0=LEN(ReferenceData!$AK$349),"",ReferenceData!$AK$349),"")</f>
        <v/>
      </c>
      <c r="AL349" t="str">
        <f ca="1">IFERROR(IF(0=LEN(ReferenceData!$AL$349),"",ReferenceData!$AL$349),"")</f>
        <v/>
      </c>
      <c r="AM349" t="str">
        <f ca="1">IFERROR(IF(0=LEN(ReferenceData!$AM$349),"",ReferenceData!$AM$349),"")</f>
        <v/>
      </c>
      <c r="AN349" t="str">
        <f ca="1">IFERROR(IF(0=LEN(ReferenceData!$AN$349),"",ReferenceData!$AN$349),"")</f>
        <v/>
      </c>
      <c r="AO349" t="str">
        <f ca="1">IFERROR(IF(0=LEN(ReferenceData!$AO$349),"",ReferenceData!$AO$349),"")</f>
        <v/>
      </c>
      <c r="AP349" t="str">
        <f ca="1">IFERROR(IF(0=LEN(ReferenceData!$AP$349),"",ReferenceData!$AP$349),"")</f>
        <v/>
      </c>
      <c r="AQ349" t="str">
        <f ca="1">IFERROR(IF(0=LEN(ReferenceData!$AQ$349),"",ReferenceData!$AQ$349),"")</f>
        <v/>
      </c>
      <c r="AR349" t="str">
        <f ca="1">IFERROR(IF(0=LEN(ReferenceData!$AR$349),"",ReferenceData!$AR$349),"")</f>
        <v/>
      </c>
      <c r="AS349" t="str">
        <f ca="1">IFERROR(IF(0=LEN(ReferenceData!$AS$349),"",ReferenceData!$AS$349),"")</f>
        <v/>
      </c>
      <c r="AT349" t="str">
        <f ca="1">IFERROR(IF(0=LEN(ReferenceData!$AT$349),"",ReferenceData!$AT$349),"")</f>
        <v/>
      </c>
      <c r="AU349" t="str">
        <f ca="1">IFERROR(IF(0=LEN(ReferenceData!$AU$349),"",ReferenceData!$AU$349),"")</f>
        <v/>
      </c>
      <c r="AV349" t="str">
        <f ca="1">IFERROR(IF(0=LEN(ReferenceData!$AV$349),"",ReferenceData!$AV$349),"")</f>
        <v/>
      </c>
      <c r="AW349" t="str">
        <f ca="1">IFERROR(IF(0=LEN(ReferenceData!$AW$349),"",ReferenceData!$AW$349),"")</f>
        <v/>
      </c>
      <c r="AX349" t="str">
        <f ca="1">IFERROR(IF(0=LEN(ReferenceData!$AX$349),"",ReferenceData!$AX$349),"")</f>
        <v/>
      </c>
      <c r="AY349" t="str">
        <f ca="1">IFERROR(IF(0=LEN(ReferenceData!$AY$349),"",ReferenceData!$AY$349),"")</f>
        <v/>
      </c>
      <c r="AZ349" t="str">
        <f ca="1">IFERROR(IF(0=LEN(ReferenceData!$AZ$349),"",ReferenceData!$AZ$349),"")</f>
        <v/>
      </c>
      <c r="BA349" t="str">
        <f ca="1">IFERROR(IF(0=LEN(ReferenceData!$BA$349),"",ReferenceData!$BA$349),"")</f>
        <v/>
      </c>
      <c r="BB349" t="str">
        <f ca="1">IFERROR(IF(0=LEN(ReferenceData!$BB$349),"",ReferenceData!$BB$349),"")</f>
        <v/>
      </c>
      <c r="BC349" t="str">
        <f ca="1">IFERROR(IF(0=LEN(ReferenceData!$BC$349),"",ReferenceData!$BC$349),"")</f>
        <v/>
      </c>
      <c r="BD349" t="str">
        <f ca="1">IFERROR(IF(0=LEN(ReferenceData!$BD$349),"",ReferenceData!$BD$349),"")</f>
        <v/>
      </c>
      <c r="BE349" t="str">
        <f ca="1">IFERROR(IF(0=LEN(ReferenceData!$BE$349),"",ReferenceData!$BE$349),"")</f>
        <v/>
      </c>
      <c r="BF349" t="str">
        <f ca="1">IFERROR(IF(0=LEN(ReferenceData!$BF$349),"",ReferenceData!$BF$349),"")</f>
        <v/>
      </c>
      <c r="BG349" t="str">
        <f ca="1">IFERROR(IF(0=LEN(ReferenceData!$BG$349),"",ReferenceData!$BG$349),"")</f>
        <v/>
      </c>
      <c r="BH349" t="str">
        <f ca="1">IFERROR(IF(0=LEN(ReferenceData!$BH$349),"",ReferenceData!$BH$349),"")</f>
        <v/>
      </c>
      <c r="BI349" t="str">
        <f ca="1">IFERROR(IF(0=LEN(ReferenceData!$BI$349),"",ReferenceData!$BI$349),"")</f>
        <v/>
      </c>
      <c r="BJ349" t="str">
        <f ca="1">IFERROR(IF(0=LEN(ReferenceData!$BJ$349),"",ReferenceData!$BJ$349),"")</f>
        <v/>
      </c>
      <c r="BK349" t="str">
        <f ca="1">IFERROR(IF(0=LEN(ReferenceData!$BK$349),"",ReferenceData!$BK$349),"")</f>
        <v/>
      </c>
      <c r="BL349" t="str">
        <f ca="1">IFERROR(IF(0=LEN(ReferenceData!$BL$349),"",ReferenceData!$BL$349),"")</f>
        <v/>
      </c>
      <c r="BM349" t="str">
        <f ca="1">IFERROR(IF(0=LEN(ReferenceData!$BM$349),"",ReferenceData!$BM$349),"")</f>
        <v/>
      </c>
    </row>
    <row r="350" spans="1:65" x14ac:dyDescent="0.25">
      <c r="A350" t="str">
        <f>IFERROR(IF(0=LEN(ReferenceData!$A$350),"",ReferenceData!$A$350),"")</f>
        <v xml:space="preserve">    General Motors Co</v>
      </c>
      <c r="B350" t="str">
        <f>IFERROR(IF(0=LEN(ReferenceData!$B$350),"",ReferenceData!$B$350),"")</f>
        <v>GM US Equity</v>
      </c>
      <c r="C350" t="str">
        <f>IFERROR(IF(0=LEN(ReferenceData!$C$350),"",ReferenceData!$C$350),"")</f>
        <v>RR473</v>
      </c>
      <c r="D350" t="str">
        <f>IFERROR(IF(0=LEN(ReferenceData!$D$350),"",ReferenceData!$D$350),"")</f>
        <v>EV_TO_T12M_SALES</v>
      </c>
      <c r="E350" t="str">
        <f>IFERROR(IF(0=LEN(ReferenceData!$E$350),"",ReferenceData!$E$350),"")</f>
        <v>Dynamic</v>
      </c>
      <c r="F350" t="str">
        <f ca="1">IFERROR(IF(0=LEN(ReferenceData!$F$350),"",ReferenceData!$F$350),"")</f>
        <v/>
      </c>
      <c r="G350">
        <f ca="1">IFERROR(IF(0=LEN(ReferenceData!$G$350),"",ReferenceData!$G$350),"")</f>
        <v>0.307149318</v>
      </c>
      <c r="H350">
        <f ca="1">IFERROR(IF(0=LEN(ReferenceData!$H$350),"",ReferenceData!$H$350),"")</f>
        <v>0.319099511</v>
      </c>
      <c r="I350">
        <f ca="1">IFERROR(IF(0=LEN(ReferenceData!$I$350),"",ReferenceData!$I$350),"")</f>
        <v>0.37362774500000001</v>
      </c>
      <c r="J350">
        <f ca="1">IFERROR(IF(0=LEN(ReferenceData!$J$350),"",ReferenceData!$J$350),"")</f>
        <v>0.34722097200000002</v>
      </c>
      <c r="K350">
        <f ca="1">IFERROR(IF(0=LEN(ReferenceData!$K$350),"",ReferenceData!$K$350),"")</f>
        <v>0.36095007800000001</v>
      </c>
      <c r="L350">
        <f ca="1">IFERROR(IF(0=LEN(ReferenceData!$L$350),"",ReferenceData!$L$350),"")</f>
        <v>0.369326449</v>
      </c>
      <c r="M350">
        <f ca="1">IFERROR(IF(0=LEN(ReferenceData!$M$350),"",ReferenceData!$M$350),"")</f>
        <v>0.28176560899999997</v>
      </c>
      <c r="N350">
        <f ca="1">IFERROR(IF(0=LEN(ReferenceData!$N$350),"",ReferenceData!$N$350),"")</f>
        <v>0.28549082999999997</v>
      </c>
      <c r="O350">
        <f ca="1">IFERROR(IF(0=LEN(ReferenceData!$O$350),"",ReferenceData!$O$350),"")</f>
        <v>0.27020914699999998</v>
      </c>
      <c r="P350">
        <f ca="1">IFERROR(IF(0=LEN(ReferenceData!$P$350),"",ReferenceData!$P$350),"")</f>
        <v>0.24788127300000001</v>
      </c>
      <c r="Q350">
        <f ca="1">IFERROR(IF(0=LEN(ReferenceData!$Q$350),"",ReferenceData!$Q$350),"")</f>
        <v>0.24373007999999999</v>
      </c>
      <c r="R350">
        <f ca="1">IFERROR(IF(0=LEN(ReferenceData!$R$350),"",ReferenceData!$R$350),"")</f>
        <v>0.264344515</v>
      </c>
      <c r="S350">
        <f ca="1">IFERROR(IF(0=LEN(ReferenceData!$S$350),"",ReferenceData!$S$350),"")</f>
        <v>0.26183412499999997</v>
      </c>
      <c r="T350">
        <f ca="1">IFERROR(IF(0=LEN(ReferenceData!$T$350),"",ReferenceData!$T$350),"")</f>
        <v>0.23735822300000001</v>
      </c>
      <c r="U350">
        <f ca="1">IFERROR(IF(0=LEN(ReferenceData!$U$350),"",ReferenceData!$U$350),"")</f>
        <v>0.26592652700000002</v>
      </c>
      <c r="V350">
        <f ca="1">IFERROR(IF(0=LEN(ReferenceData!$V$350),"",ReferenceData!$V$350),"")</f>
        <v>0.29809444200000002</v>
      </c>
      <c r="W350">
        <f ca="1">IFERROR(IF(0=LEN(ReferenceData!$W$350),"",ReferenceData!$W$350),"")</f>
        <v>0.26018893199999998</v>
      </c>
      <c r="X350">
        <f ca="1">IFERROR(IF(0=LEN(ReferenceData!$X$350),"",ReferenceData!$X$350),"")</f>
        <v>0.229545208</v>
      </c>
      <c r="Y350">
        <f ca="1">IFERROR(IF(0=LEN(ReferenceData!$Y$350),"",ReferenceData!$Y$350),"")</f>
        <v>0.26317201699999998</v>
      </c>
      <c r="Z350">
        <f ca="1">IFERROR(IF(0=LEN(ReferenceData!$Z$350),"",ReferenceData!$Z$350),"")</f>
        <v>0.26116536600000001</v>
      </c>
      <c r="AA350">
        <f ca="1">IFERROR(IF(0=LEN(ReferenceData!$AA$350),"",ReferenceData!$AA$350),"")</f>
        <v>0.25807613899999998</v>
      </c>
      <c r="AB350">
        <f ca="1">IFERROR(IF(0=LEN(ReferenceData!$AB$350),"",ReferenceData!$AB$350),"")</f>
        <v>0.26281531800000002</v>
      </c>
      <c r="AC350">
        <f ca="1">IFERROR(IF(0=LEN(ReferenceData!$AC$350),"",ReferenceData!$AC$350),"")</f>
        <v>0.24482145</v>
      </c>
      <c r="AD350">
        <f ca="1">IFERROR(IF(0=LEN(ReferenceData!$AD$350),"",ReferenceData!$AD$350),"")</f>
        <v>0.20449065599999999</v>
      </c>
      <c r="AE350">
        <f ca="1">IFERROR(IF(0=LEN(ReferenceData!$AE$350),"",ReferenceData!$AE$350),"")</f>
        <v>0.19434734100000001</v>
      </c>
      <c r="AF350">
        <f ca="1">IFERROR(IF(0=LEN(ReferenceData!$AF$350),"",ReferenceData!$AF$350),"")</f>
        <v>0.13683039299999999</v>
      </c>
      <c r="AG350">
        <f ca="1">IFERROR(IF(0=LEN(ReferenceData!$AG$350),"",ReferenceData!$AG$350),"")</f>
        <v>0.16232031499999999</v>
      </c>
      <c r="AH350">
        <f ca="1">IFERROR(IF(0=LEN(ReferenceData!$AH$350),"",ReferenceData!$AH$350),"")</f>
        <v>0.22528741699999999</v>
      </c>
      <c r="AI350">
        <f ca="1">IFERROR(IF(0=LEN(ReferenceData!$AI$350),"",ReferenceData!$AI$350),"")</f>
        <v>0.11064323099999999</v>
      </c>
      <c r="AJ350">
        <f ca="1">IFERROR(IF(0=LEN(ReferenceData!$AJ$350),"",ReferenceData!$AJ$350),"")</f>
        <v>0.15302826</v>
      </c>
      <c r="AK350">
        <f ca="1">IFERROR(IF(0=LEN(ReferenceData!$AK$350),"",ReferenceData!$AK$350),"")</f>
        <v>0.247873071</v>
      </c>
      <c r="AL350">
        <f ca="1">IFERROR(IF(0=LEN(ReferenceData!$AL$350),"",ReferenceData!$AL$350),"")</f>
        <v>0.30598858499999998</v>
      </c>
      <c r="AM350">
        <f ca="1">IFERROR(IF(0=LEN(ReferenceData!$AM$350),"",ReferenceData!$AM$350),"")</f>
        <v>0.38084141999999999</v>
      </c>
      <c r="AN350" t="str">
        <f ca="1">IFERROR(IF(0=LEN(ReferenceData!$AN$350),"",ReferenceData!$AN$350),"")</f>
        <v/>
      </c>
      <c r="AO350" t="str">
        <f ca="1">IFERROR(IF(0=LEN(ReferenceData!$AO$350),"",ReferenceData!$AO$350),"")</f>
        <v/>
      </c>
      <c r="AP350" t="str">
        <f ca="1">IFERROR(IF(0=LEN(ReferenceData!$AP$350),"",ReferenceData!$AP$350),"")</f>
        <v/>
      </c>
      <c r="AQ350" t="str">
        <f ca="1">IFERROR(IF(0=LEN(ReferenceData!$AQ$350),"",ReferenceData!$AQ$350),"")</f>
        <v/>
      </c>
      <c r="AR350" t="str">
        <f ca="1">IFERROR(IF(0=LEN(ReferenceData!$AR$350),"",ReferenceData!$AR$350),"")</f>
        <v/>
      </c>
      <c r="AS350" t="str">
        <f ca="1">IFERROR(IF(0=LEN(ReferenceData!$AS$350),"",ReferenceData!$AS$350),"")</f>
        <v/>
      </c>
      <c r="AT350" t="str">
        <f ca="1">IFERROR(IF(0=LEN(ReferenceData!$AT$350),"",ReferenceData!$AT$350),"")</f>
        <v/>
      </c>
      <c r="AU350" t="str">
        <f ca="1">IFERROR(IF(0=LEN(ReferenceData!$AU$350),"",ReferenceData!$AU$350),"")</f>
        <v/>
      </c>
      <c r="AV350" t="str">
        <f ca="1">IFERROR(IF(0=LEN(ReferenceData!$AV$350),"",ReferenceData!$AV$350),"")</f>
        <v/>
      </c>
      <c r="AW350" t="str">
        <f ca="1">IFERROR(IF(0=LEN(ReferenceData!$AW$350),"",ReferenceData!$AW$350),"")</f>
        <v/>
      </c>
      <c r="AX350" t="str">
        <f ca="1">IFERROR(IF(0=LEN(ReferenceData!$AX$350),"",ReferenceData!$AX$350),"")</f>
        <v/>
      </c>
      <c r="AY350" t="str">
        <f ca="1">IFERROR(IF(0=LEN(ReferenceData!$AY$350),"",ReferenceData!$AY$350),"")</f>
        <v/>
      </c>
      <c r="AZ350" t="str">
        <f ca="1">IFERROR(IF(0=LEN(ReferenceData!$AZ$350),"",ReferenceData!$AZ$350),"")</f>
        <v/>
      </c>
      <c r="BA350" t="str">
        <f ca="1">IFERROR(IF(0=LEN(ReferenceData!$BA$350),"",ReferenceData!$BA$350),"")</f>
        <v/>
      </c>
      <c r="BB350" t="str">
        <f ca="1">IFERROR(IF(0=LEN(ReferenceData!$BB$350),"",ReferenceData!$BB$350),"")</f>
        <v/>
      </c>
      <c r="BC350" t="str">
        <f ca="1">IFERROR(IF(0=LEN(ReferenceData!$BC$350),"",ReferenceData!$BC$350),"")</f>
        <v/>
      </c>
      <c r="BD350" t="str">
        <f ca="1">IFERROR(IF(0=LEN(ReferenceData!$BD$350),"",ReferenceData!$BD$350),"")</f>
        <v/>
      </c>
      <c r="BE350" t="str">
        <f ca="1">IFERROR(IF(0=LEN(ReferenceData!$BE$350),"",ReferenceData!$BE$350),"")</f>
        <v/>
      </c>
      <c r="BF350" t="str">
        <f ca="1">IFERROR(IF(0=LEN(ReferenceData!$BF$350),"",ReferenceData!$BF$350),"")</f>
        <v/>
      </c>
      <c r="BG350" t="str">
        <f ca="1">IFERROR(IF(0=LEN(ReferenceData!$BG$350),"",ReferenceData!$BG$350),"")</f>
        <v/>
      </c>
      <c r="BH350" t="str">
        <f ca="1">IFERROR(IF(0=LEN(ReferenceData!$BH$350),"",ReferenceData!$BH$350),"")</f>
        <v/>
      </c>
      <c r="BI350" t="str">
        <f ca="1">IFERROR(IF(0=LEN(ReferenceData!$BI$350),"",ReferenceData!$BI$350),"")</f>
        <v/>
      </c>
      <c r="BJ350" t="str">
        <f ca="1">IFERROR(IF(0=LEN(ReferenceData!$BJ$350),"",ReferenceData!$BJ$350),"")</f>
        <v/>
      </c>
      <c r="BK350" t="str">
        <f ca="1">IFERROR(IF(0=LEN(ReferenceData!$BK$350),"",ReferenceData!$BK$350),"")</f>
        <v/>
      </c>
      <c r="BL350" t="str">
        <f ca="1">IFERROR(IF(0=LEN(ReferenceData!$BL$350),"",ReferenceData!$BL$350),"")</f>
        <v/>
      </c>
      <c r="BM350" t="str">
        <f ca="1">IFERROR(IF(0=LEN(ReferenceData!$BM$350),"",ReferenceData!$BM$350),"")</f>
        <v/>
      </c>
    </row>
    <row r="351" spans="1:65" x14ac:dyDescent="0.25">
      <c r="A351" t="str">
        <f>IFERROR(IF(0=LEN(ReferenceData!$A$351),"",ReferenceData!$A$351),"")</f>
        <v xml:space="preserve">    Great Wall Motor Co Ltd</v>
      </c>
      <c r="B351" t="str">
        <f>IFERROR(IF(0=LEN(ReferenceData!$B$351),"",ReferenceData!$B$351),"")</f>
        <v>2333 HK Equity</v>
      </c>
      <c r="C351" t="str">
        <f>IFERROR(IF(0=LEN(ReferenceData!$C$351),"",ReferenceData!$C$351),"")</f>
        <v>RR473</v>
      </c>
      <c r="D351" t="str">
        <f>IFERROR(IF(0=LEN(ReferenceData!$D$351),"",ReferenceData!$D$351),"")</f>
        <v>EV_TO_T12M_SALES</v>
      </c>
      <c r="E351" t="str">
        <f>IFERROR(IF(0=LEN(ReferenceData!$E$351),"",ReferenceData!$E$351),"")</f>
        <v>Dynamic</v>
      </c>
      <c r="F351" t="str">
        <f ca="1">IFERROR(IF(0=LEN(ReferenceData!$F$351),"",ReferenceData!$F$351),"")</f>
        <v/>
      </c>
      <c r="G351" t="str">
        <f ca="1">IFERROR(IF(0=LEN(ReferenceData!$G$351),"",ReferenceData!$G$351),"")</f>
        <v/>
      </c>
      <c r="H351">
        <f ca="1">IFERROR(IF(0=LEN(ReferenceData!$H$351),"",ReferenceData!$H$351),"")</f>
        <v>0.41342480599999998</v>
      </c>
      <c r="I351">
        <f ca="1">IFERROR(IF(0=LEN(ReferenceData!$I$351),"",ReferenceData!$I$351),"")</f>
        <v>0.50257435900000003</v>
      </c>
      <c r="J351">
        <f ca="1">IFERROR(IF(0=LEN(ReferenceData!$J$351),"",ReferenceData!$J$351),"")</f>
        <v>1.0700494709999999</v>
      </c>
      <c r="K351">
        <f ca="1">IFERROR(IF(0=LEN(ReferenceData!$K$351),"",ReferenceData!$K$351),"")</f>
        <v>1.086403453</v>
      </c>
      <c r="L351">
        <f ca="1">IFERROR(IF(0=LEN(ReferenceData!$L$351),"",ReferenceData!$L$351),"")</f>
        <v>1.1167088119999999</v>
      </c>
      <c r="M351">
        <f ca="1">IFERROR(IF(0=LEN(ReferenceData!$M$351),"",ReferenceData!$M$351),"")</f>
        <v>1.127098948</v>
      </c>
      <c r="N351">
        <f ca="1">IFERROR(IF(0=LEN(ReferenceData!$N$351),"",ReferenceData!$N$351),"")</f>
        <v>1.1184448819999999</v>
      </c>
      <c r="O351">
        <f ca="1">IFERROR(IF(0=LEN(ReferenceData!$O$351),"",ReferenceData!$O$351),"")</f>
        <v>0.92931055500000004</v>
      </c>
      <c r="P351">
        <f ca="1">IFERROR(IF(0=LEN(ReferenceData!$P$351),"",ReferenceData!$P$351),"")</f>
        <v>1.023181414</v>
      </c>
      <c r="Q351">
        <f ca="1">IFERROR(IF(0=LEN(ReferenceData!$Q$351),"",ReferenceData!$Q$351),"")</f>
        <v>0.89914126299999997</v>
      </c>
      <c r="R351">
        <f ca="1">IFERROR(IF(0=LEN(ReferenceData!$R$351),"",ReferenceData!$R$351),"")</f>
        <v>0.98425965999999998</v>
      </c>
      <c r="S351">
        <f ca="1">IFERROR(IF(0=LEN(ReferenceData!$S$351),"",ReferenceData!$S$351),"")</f>
        <v>1.346119861</v>
      </c>
      <c r="T351">
        <f ca="1">IFERROR(IF(0=LEN(ReferenceData!$T$351),"",ReferenceData!$T$351),"")</f>
        <v>0.91995708899999995</v>
      </c>
      <c r="U351">
        <f ca="1">IFERROR(IF(0=LEN(ReferenceData!$U$351),"",ReferenceData!$U$351),"")</f>
        <v>1.7181950699999999</v>
      </c>
      <c r="V351">
        <f ca="1">IFERROR(IF(0=LEN(ReferenceData!$V$351),"",ReferenceData!$V$351),"")</f>
        <v>3.73865113</v>
      </c>
      <c r="W351">
        <f ca="1">IFERROR(IF(0=LEN(ReferenceData!$W$351),"",ReferenceData!$W$351),"")</f>
        <v>2.0086818160000002</v>
      </c>
      <c r="X351">
        <f ca="1">IFERROR(IF(0=LEN(ReferenceData!$X$351),"",ReferenceData!$X$351),"")</f>
        <v>1.2658120610000001</v>
      </c>
      <c r="Y351">
        <f ca="1">IFERROR(IF(0=LEN(ReferenceData!$Y$351),"",ReferenceData!$Y$351),"")</f>
        <v>1.2400414829999999</v>
      </c>
      <c r="Z351">
        <f ca="1">IFERROR(IF(0=LEN(ReferenceData!$Z$351),"",ReferenceData!$Z$351),"")</f>
        <v>1.6400108680000001</v>
      </c>
      <c r="AA351">
        <f ca="1">IFERROR(IF(0=LEN(ReferenceData!$AA$351),"",ReferenceData!$AA$351),"")</f>
        <v>1.844111316</v>
      </c>
      <c r="AB351">
        <f ca="1">IFERROR(IF(0=LEN(ReferenceData!$AB$351),"",ReferenceData!$AB$351),"")</f>
        <v>1.8509525170000001</v>
      </c>
      <c r="AC351">
        <f ca="1">IFERROR(IF(0=LEN(ReferenceData!$AC$351),"",ReferenceData!$AC$351),"")</f>
        <v>1.5830762110000001</v>
      </c>
      <c r="AD351">
        <f ca="1">IFERROR(IF(0=LEN(ReferenceData!$AD$351),"",ReferenceData!$AD$351),"")</f>
        <v>1.358157708</v>
      </c>
      <c r="AE351">
        <f ca="1">IFERROR(IF(0=LEN(ReferenceData!$AE$351),"",ReferenceData!$AE$351),"")</f>
        <v>1.608719531</v>
      </c>
      <c r="AF351">
        <f ca="1">IFERROR(IF(0=LEN(ReferenceData!$AF$351),"",ReferenceData!$AF$351),"")</f>
        <v>1.3266953210000001</v>
      </c>
      <c r="AG351">
        <f ca="1">IFERROR(IF(0=LEN(ReferenceData!$AG$351),"",ReferenceData!$AG$351),"")</f>
        <v>1.46826425</v>
      </c>
      <c r="AH351" t="str">
        <f ca="1">IFERROR(IF(0=LEN(ReferenceData!$AH$351),"",ReferenceData!$AH$351),"")</f>
        <v/>
      </c>
      <c r="AI351" t="str">
        <f ca="1">IFERROR(IF(0=LEN(ReferenceData!$AI$351),"",ReferenceData!$AI$351),"")</f>
        <v/>
      </c>
      <c r="AJ351" t="str">
        <f ca="1">IFERROR(IF(0=LEN(ReferenceData!$AJ$351),"",ReferenceData!$AJ$351),"")</f>
        <v/>
      </c>
      <c r="AK351" t="str">
        <f ca="1">IFERROR(IF(0=LEN(ReferenceData!$AK$351),"",ReferenceData!$AK$351),"")</f>
        <v/>
      </c>
      <c r="AL351" t="str">
        <f ca="1">IFERROR(IF(0=LEN(ReferenceData!$AL$351),"",ReferenceData!$AL$351),"")</f>
        <v/>
      </c>
      <c r="AM351" t="str">
        <f ca="1">IFERROR(IF(0=LEN(ReferenceData!$AM$351),"",ReferenceData!$AM$351),"")</f>
        <v/>
      </c>
      <c r="AN351" t="str">
        <f ca="1">IFERROR(IF(0=LEN(ReferenceData!$AN$351),"",ReferenceData!$AN$351),"")</f>
        <v/>
      </c>
      <c r="AO351" t="str">
        <f ca="1">IFERROR(IF(0=LEN(ReferenceData!$AO$351),"",ReferenceData!$AO$351),"")</f>
        <v/>
      </c>
      <c r="AP351" t="str">
        <f ca="1">IFERROR(IF(0=LEN(ReferenceData!$AP$351),"",ReferenceData!$AP$351),"")</f>
        <v/>
      </c>
      <c r="AQ351" t="str">
        <f ca="1">IFERROR(IF(0=LEN(ReferenceData!$AQ$351),"",ReferenceData!$AQ$351),"")</f>
        <v/>
      </c>
      <c r="AR351" t="str">
        <f ca="1">IFERROR(IF(0=LEN(ReferenceData!$AR$351),"",ReferenceData!$AR$351),"")</f>
        <v/>
      </c>
      <c r="AS351" t="str">
        <f ca="1">IFERROR(IF(0=LEN(ReferenceData!$AS$351),"",ReferenceData!$AS$351),"")</f>
        <v/>
      </c>
      <c r="AT351" t="str">
        <f ca="1">IFERROR(IF(0=LEN(ReferenceData!$AT$351),"",ReferenceData!$AT$351),"")</f>
        <v/>
      </c>
      <c r="AU351" t="str">
        <f ca="1">IFERROR(IF(0=LEN(ReferenceData!$AU$351),"",ReferenceData!$AU$351),"")</f>
        <v/>
      </c>
      <c r="AV351" t="str">
        <f ca="1">IFERROR(IF(0=LEN(ReferenceData!$AV$351),"",ReferenceData!$AV$351),"")</f>
        <v/>
      </c>
      <c r="AW351" t="str">
        <f ca="1">IFERROR(IF(0=LEN(ReferenceData!$AW$351),"",ReferenceData!$AW$351),"")</f>
        <v/>
      </c>
      <c r="AX351" t="str">
        <f ca="1">IFERROR(IF(0=LEN(ReferenceData!$AX$351),"",ReferenceData!$AX$351),"")</f>
        <v/>
      </c>
      <c r="AY351" t="str">
        <f ca="1">IFERROR(IF(0=LEN(ReferenceData!$AY$351),"",ReferenceData!$AY$351),"")</f>
        <v/>
      </c>
      <c r="AZ351" t="str">
        <f ca="1">IFERROR(IF(0=LEN(ReferenceData!$AZ$351),"",ReferenceData!$AZ$351),"")</f>
        <v/>
      </c>
      <c r="BA351" t="str">
        <f ca="1">IFERROR(IF(0=LEN(ReferenceData!$BA$351),"",ReferenceData!$BA$351),"")</f>
        <v/>
      </c>
      <c r="BB351" t="str">
        <f ca="1">IFERROR(IF(0=LEN(ReferenceData!$BB$351),"",ReferenceData!$BB$351),"")</f>
        <v/>
      </c>
      <c r="BC351" t="str">
        <f ca="1">IFERROR(IF(0=LEN(ReferenceData!$BC$351),"",ReferenceData!$BC$351),"")</f>
        <v/>
      </c>
      <c r="BD351" t="str">
        <f ca="1">IFERROR(IF(0=LEN(ReferenceData!$BD$351),"",ReferenceData!$BD$351),"")</f>
        <v/>
      </c>
      <c r="BE351" t="str">
        <f ca="1">IFERROR(IF(0=LEN(ReferenceData!$BE$351),"",ReferenceData!$BE$351),"")</f>
        <v/>
      </c>
      <c r="BF351" t="str">
        <f ca="1">IFERROR(IF(0=LEN(ReferenceData!$BF$351),"",ReferenceData!$BF$351),"")</f>
        <v/>
      </c>
      <c r="BG351" t="str">
        <f ca="1">IFERROR(IF(0=LEN(ReferenceData!$BG$351),"",ReferenceData!$BG$351),"")</f>
        <v/>
      </c>
      <c r="BH351" t="str">
        <f ca="1">IFERROR(IF(0=LEN(ReferenceData!$BH$351),"",ReferenceData!$BH$351),"")</f>
        <v/>
      </c>
      <c r="BI351" t="str">
        <f ca="1">IFERROR(IF(0=LEN(ReferenceData!$BI$351),"",ReferenceData!$BI$351),"")</f>
        <v/>
      </c>
      <c r="BJ351" t="str">
        <f ca="1">IFERROR(IF(0=LEN(ReferenceData!$BJ$351),"",ReferenceData!$BJ$351),"")</f>
        <v/>
      </c>
      <c r="BK351" t="str">
        <f ca="1">IFERROR(IF(0=LEN(ReferenceData!$BK$351),"",ReferenceData!$BK$351),"")</f>
        <v/>
      </c>
      <c r="BL351" t="str">
        <f ca="1">IFERROR(IF(0=LEN(ReferenceData!$BL$351),"",ReferenceData!$BL$351),"")</f>
        <v/>
      </c>
      <c r="BM351" t="str">
        <f ca="1">IFERROR(IF(0=LEN(ReferenceData!$BM$351),"",ReferenceData!$BM$351),"")</f>
        <v/>
      </c>
    </row>
    <row r="352" spans="1:65" x14ac:dyDescent="0.25">
      <c r="A352" t="str">
        <f>IFERROR(IF(0=LEN(ReferenceData!$A$352),"",ReferenceData!$A$352),"")</f>
        <v xml:space="preserve">    Guangzhou Automobile Group Co Ltd</v>
      </c>
      <c r="B352" t="str">
        <f>IFERROR(IF(0=LEN(ReferenceData!$B$352),"",ReferenceData!$B$352),"")</f>
        <v>2238 HK Equity</v>
      </c>
      <c r="C352" t="str">
        <f>IFERROR(IF(0=LEN(ReferenceData!$C$352),"",ReferenceData!$C$352),"")</f>
        <v>RR473</v>
      </c>
      <c r="D352" t="str">
        <f>IFERROR(IF(0=LEN(ReferenceData!$D$352),"",ReferenceData!$D$352),"")</f>
        <v>EV_TO_T12M_SALES</v>
      </c>
      <c r="E352" t="str">
        <f>IFERROR(IF(0=LEN(ReferenceData!$E$352),"",ReferenceData!$E$352),"")</f>
        <v>Dynamic</v>
      </c>
      <c r="F352" t="str">
        <f ca="1">IFERROR(IF(0=LEN(ReferenceData!$F$352),"",ReferenceData!$F$352),"")</f>
        <v/>
      </c>
      <c r="G352" t="str">
        <f ca="1">IFERROR(IF(0=LEN(ReferenceData!$G$352),"",ReferenceData!$G$352),"")</f>
        <v/>
      </c>
      <c r="H352">
        <f ca="1">IFERROR(IF(0=LEN(ReferenceData!$H$352),"",ReferenceData!$H$352),"")</f>
        <v>0.77579951000000003</v>
      </c>
      <c r="I352">
        <f ca="1">IFERROR(IF(0=LEN(ReferenceData!$I$352),"",ReferenceData!$I$352),"")</f>
        <v>0.61614435899999997</v>
      </c>
      <c r="J352">
        <f ca="1">IFERROR(IF(0=LEN(ReferenceData!$J$352),"",ReferenceData!$J$352),"")</f>
        <v>2.318995814</v>
      </c>
      <c r="K352">
        <f ca="1">IFERROR(IF(0=LEN(ReferenceData!$K$352),"",ReferenceData!$K$352),"")</f>
        <v>2.8257658069999998</v>
      </c>
      <c r="L352">
        <f ca="1">IFERROR(IF(0=LEN(ReferenceData!$L$352),"",ReferenceData!$L$352),"")</f>
        <v>3.0662278729999999</v>
      </c>
      <c r="M352">
        <f ca="1">IFERROR(IF(0=LEN(ReferenceData!$M$352),"",ReferenceData!$M$352),"")</f>
        <v>2.1097565060000001</v>
      </c>
      <c r="N352">
        <f ca="1">IFERROR(IF(0=LEN(ReferenceData!$N$352),"",ReferenceData!$N$352),"")</f>
        <v>2.4125792650000002</v>
      </c>
      <c r="O352">
        <f ca="1">IFERROR(IF(0=LEN(ReferenceData!$O$352),"",ReferenceData!$O$352),"")</f>
        <v>2.308500531</v>
      </c>
      <c r="P352">
        <f ca="1">IFERROR(IF(0=LEN(ReferenceData!$P$352),"",ReferenceData!$P$352),"")</f>
        <v>2.6013231060000002</v>
      </c>
      <c r="Q352">
        <f ca="1">IFERROR(IF(0=LEN(ReferenceData!$Q$352),"",ReferenceData!$Q$352),"")</f>
        <v>2.893597733</v>
      </c>
      <c r="R352">
        <f ca="1">IFERROR(IF(0=LEN(ReferenceData!$R$352),"",ReferenceData!$R$352),"")</f>
        <v>2.975985922</v>
      </c>
      <c r="S352">
        <f ca="1">IFERROR(IF(0=LEN(ReferenceData!$S$352),"",ReferenceData!$S$352),"")</f>
        <v>3.6920153070000001</v>
      </c>
      <c r="T352">
        <f ca="1">IFERROR(IF(0=LEN(ReferenceData!$T$352),"",ReferenceData!$T$352),"")</f>
        <v>4.7936966380000001</v>
      </c>
      <c r="U352">
        <f ca="1">IFERROR(IF(0=LEN(ReferenceData!$U$352),"",ReferenceData!$U$352),"")</f>
        <v>3.3569881829999999</v>
      </c>
      <c r="V352">
        <f ca="1">IFERROR(IF(0=LEN(ReferenceData!$V$352),"",ReferenceData!$V$352),"")</f>
        <v>1.4871892499999999</v>
      </c>
      <c r="W352">
        <f ca="1">IFERROR(IF(0=LEN(ReferenceData!$W$352),"",ReferenceData!$W$352),"")</f>
        <v>2.1819843630000002</v>
      </c>
      <c r="X352">
        <f ca="1">IFERROR(IF(0=LEN(ReferenceData!$X$352),"",ReferenceData!$X$352),"")</f>
        <v>1.683160542</v>
      </c>
      <c r="Y352">
        <f ca="1">IFERROR(IF(0=LEN(ReferenceData!$Y$352),"",ReferenceData!$Y$352),"")</f>
        <v>2.053668874</v>
      </c>
      <c r="Z352">
        <f ca="1">IFERROR(IF(0=LEN(ReferenceData!$Z$352),"",ReferenceData!$Z$352),"")</f>
        <v>2.0360005029999999</v>
      </c>
      <c r="AA352">
        <f ca="1">IFERROR(IF(0=LEN(ReferenceData!$AA$352),"",ReferenceData!$AA$352),"")</f>
        <v>2.1731466400000001</v>
      </c>
      <c r="AB352">
        <f ca="1">IFERROR(IF(0=LEN(ReferenceData!$AB$352),"",ReferenceData!$AB$352),"")</f>
        <v>2.3998284540000001</v>
      </c>
      <c r="AC352">
        <f ca="1">IFERROR(IF(0=LEN(ReferenceData!$AC$352),"",ReferenceData!$AC$352),"")</f>
        <v>2.580660301</v>
      </c>
      <c r="AD352">
        <f ca="1">IFERROR(IF(0=LEN(ReferenceData!$AD$352),"",ReferenceData!$AD$352),"")</f>
        <v>2.201692929</v>
      </c>
      <c r="AE352">
        <f ca="1">IFERROR(IF(0=LEN(ReferenceData!$AE$352),"",ReferenceData!$AE$352),"")</f>
        <v>2.8123514890000001</v>
      </c>
      <c r="AF352">
        <f ca="1">IFERROR(IF(0=LEN(ReferenceData!$AF$352),"",ReferenceData!$AF$352),"")</f>
        <v>1.9973393020000001</v>
      </c>
      <c r="AG352">
        <f ca="1">IFERROR(IF(0=LEN(ReferenceData!$AG$352),"",ReferenceData!$AG$352),"")</f>
        <v>3.6202902969999999</v>
      </c>
      <c r="AH352">
        <f ca="1">IFERROR(IF(0=LEN(ReferenceData!$AH$352),"",ReferenceData!$AH$352),"")</f>
        <v>3.6591253959999999</v>
      </c>
      <c r="AI352">
        <f ca="1">IFERROR(IF(0=LEN(ReferenceData!$AI$352),"",ReferenceData!$AI$352),"")</f>
        <v>2.6325324569999999</v>
      </c>
      <c r="AJ352">
        <f ca="1">IFERROR(IF(0=LEN(ReferenceData!$AJ$352),"",ReferenceData!$AJ$352),"")</f>
        <v>3.3356763819999999</v>
      </c>
      <c r="AK352">
        <f ca="1">IFERROR(IF(0=LEN(ReferenceData!$AK$352),"",ReferenceData!$AK$352),"")</f>
        <v>4.4372411219999996</v>
      </c>
      <c r="AL352">
        <f ca="1">IFERROR(IF(0=LEN(ReferenceData!$AL$352),"",ReferenceData!$AL$352),"")</f>
        <v>4.7487032850000004</v>
      </c>
      <c r="AM352">
        <f ca="1">IFERROR(IF(0=LEN(ReferenceData!$AM$352),"",ReferenceData!$AM$352),"")</f>
        <v>5.801690743</v>
      </c>
      <c r="AN352">
        <f ca="1">IFERROR(IF(0=LEN(ReferenceData!$AN$352),"",ReferenceData!$AN$352),"")</f>
        <v>7.5405255499999999</v>
      </c>
      <c r="AO352" t="str">
        <f ca="1">IFERROR(IF(0=LEN(ReferenceData!$AO$352),"",ReferenceData!$AO$352),"")</f>
        <v/>
      </c>
      <c r="AP352" t="str">
        <f ca="1">IFERROR(IF(0=LEN(ReferenceData!$AP$352),"",ReferenceData!$AP$352),"")</f>
        <v/>
      </c>
      <c r="AQ352" t="str">
        <f ca="1">IFERROR(IF(0=LEN(ReferenceData!$AQ$352),"",ReferenceData!$AQ$352),"")</f>
        <v/>
      </c>
      <c r="AR352" t="str">
        <f ca="1">IFERROR(IF(0=LEN(ReferenceData!$AR$352),"",ReferenceData!$AR$352),"")</f>
        <v/>
      </c>
      <c r="AS352" t="str">
        <f ca="1">IFERROR(IF(0=LEN(ReferenceData!$AS$352),"",ReferenceData!$AS$352),"")</f>
        <v/>
      </c>
      <c r="AT352" t="str">
        <f ca="1">IFERROR(IF(0=LEN(ReferenceData!$AT$352),"",ReferenceData!$AT$352),"")</f>
        <v/>
      </c>
      <c r="AU352" t="str">
        <f ca="1">IFERROR(IF(0=LEN(ReferenceData!$AU$352),"",ReferenceData!$AU$352),"")</f>
        <v/>
      </c>
      <c r="AV352" t="str">
        <f ca="1">IFERROR(IF(0=LEN(ReferenceData!$AV$352),"",ReferenceData!$AV$352),"")</f>
        <v/>
      </c>
      <c r="AW352" t="str">
        <f ca="1">IFERROR(IF(0=LEN(ReferenceData!$AW$352),"",ReferenceData!$AW$352),"")</f>
        <v/>
      </c>
      <c r="AX352" t="str">
        <f ca="1">IFERROR(IF(0=LEN(ReferenceData!$AX$352),"",ReferenceData!$AX$352),"")</f>
        <v/>
      </c>
      <c r="AY352" t="str">
        <f ca="1">IFERROR(IF(0=LEN(ReferenceData!$AY$352),"",ReferenceData!$AY$352),"")</f>
        <v/>
      </c>
      <c r="AZ352" t="str">
        <f ca="1">IFERROR(IF(0=LEN(ReferenceData!$AZ$352),"",ReferenceData!$AZ$352),"")</f>
        <v/>
      </c>
      <c r="BA352" t="str">
        <f ca="1">IFERROR(IF(0=LEN(ReferenceData!$BA$352),"",ReferenceData!$BA$352),"")</f>
        <v/>
      </c>
      <c r="BB352" t="str">
        <f ca="1">IFERROR(IF(0=LEN(ReferenceData!$BB$352),"",ReferenceData!$BB$352),"")</f>
        <v/>
      </c>
      <c r="BC352" t="str">
        <f ca="1">IFERROR(IF(0=LEN(ReferenceData!$BC$352),"",ReferenceData!$BC$352),"")</f>
        <v/>
      </c>
      <c r="BD352" t="str">
        <f ca="1">IFERROR(IF(0=LEN(ReferenceData!$BD$352),"",ReferenceData!$BD$352),"")</f>
        <v/>
      </c>
      <c r="BE352" t="str">
        <f ca="1">IFERROR(IF(0=LEN(ReferenceData!$BE$352),"",ReferenceData!$BE$352),"")</f>
        <v/>
      </c>
      <c r="BF352" t="str">
        <f ca="1">IFERROR(IF(0=LEN(ReferenceData!$BF$352),"",ReferenceData!$BF$352),"")</f>
        <v/>
      </c>
      <c r="BG352" t="str">
        <f ca="1">IFERROR(IF(0=LEN(ReferenceData!$BG$352),"",ReferenceData!$BG$352),"")</f>
        <v/>
      </c>
      <c r="BH352" t="str">
        <f ca="1">IFERROR(IF(0=LEN(ReferenceData!$BH$352),"",ReferenceData!$BH$352),"")</f>
        <v/>
      </c>
      <c r="BI352" t="str">
        <f ca="1">IFERROR(IF(0=LEN(ReferenceData!$BI$352),"",ReferenceData!$BI$352),"")</f>
        <v/>
      </c>
      <c r="BJ352" t="str">
        <f ca="1">IFERROR(IF(0=LEN(ReferenceData!$BJ$352),"",ReferenceData!$BJ$352),"")</f>
        <v/>
      </c>
      <c r="BK352" t="str">
        <f ca="1">IFERROR(IF(0=LEN(ReferenceData!$BK$352),"",ReferenceData!$BK$352),"")</f>
        <v/>
      </c>
      <c r="BL352" t="str">
        <f ca="1">IFERROR(IF(0=LEN(ReferenceData!$BL$352),"",ReferenceData!$BL$352),"")</f>
        <v/>
      </c>
      <c r="BM352" t="str">
        <f ca="1">IFERROR(IF(0=LEN(ReferenceData!$BM$352),"",ReferenceData!$BM$352),"")</f>
        <v/>
      </c>
    </row>
    <row r="353" spans="1:65" x14ac:dyDescent="0.25">
      <c r="A353" t="str">
        <f>IFERROR(IF(0=LEN(ReferenceData!$A$353),"",ReferenceData!$A$353),"")</f>
        <v xml:space="preserve">    Honda Motor Co Ltd</v>
      </c>
      <c r="B353" t="str">
        <f>IFERROR(IF(0=LEN(ReferenceData!$B$353),"",ReferenceData!$B$353),"")</f>
        <v>7267 JP Equity</v>
      </c>
      <c r="C353" t="str">
        <f>IFERROR(IF(0=LEN(ReferenceData!$C$353),"",ReferenceData!$C$353),"")</f>
        <v>RR473</v>
      </c>
      <c r="D353" t="str">
        <f>IFERROR(IF(0=LEN(ReferenceData!$D$353),"",ReferenceData!$D$353),"")</f>
        <v>EV_TO_T12M_SALES</v>
      </c>
      <c r="E353" t="str">
        <f>IFERROR(IF(0=LEN(ReferenceData!$E$353),"",ReferenceData!$E$353),"")</f>
        <v>Dynamic</v>
      </c>
      <c r="F353" t="str">
        <f ca="1">IFERROR(IF(0=LEN(ReferenceData!$F$353),"",ReferenceData!$F$353),"")</f>
        <v/>
      </c>
      <c r="G353">
        <f ca="1">IFERROR(IF(0=LEN(ReferenceData!$G$353),"",ReferenceData!$G$353),"")</f>
        <v>0.65510868600000005</v>
      </c>
      <c r="H353">
        <f ca="1">IFERROR(IF(0=LEN(ReferenceData!$H$353),"",ReferenceData!$H$353),"")</f>
        <v>0.72254756099999995</v>
      </c>
      <c r="I353">
        <f ca="1">IFERROR(IF(0=LEN(ReferenceData!$I$353),"",ReferenceData!$I$353),"")</f>
        <v>0.693031124</v>
      </c>
      <c r="J353">
        <f ca="1">IFERROR(IF(0=LEN(ReferenceData!$J$353),"",ReferenceData!$J$353),"")</f>
        <v>0.74370745500000002</v>
      </c>
      <c r="K353">
        <f ca="1">IFERROR(IF(0=LEN(ReferenceData!$K$353),"",ReferenceData!$K$353),"")</f>
        <v>0.79487732700000002</v>
      </c>
      <c r="L353">
        <f ca="1">IFERROR(IF(0=LEN(ReferenceData!$L$353),"",ReferenceData!$L$353),"")</f>
        <v>0.74961808500000005</v>
      </c>
      <c r="M353">
        <f ca="1">IFERROR(IF(0=LEN(ReferenceData!$M$353),"",ReferenceData!$M$353),"")</f>
        <v>0.74512263300000003</v>
      </c>
      <c r="N353">
        <f ca="1">IFERROR(IF(0=LEN(ReferenceData!$N$353),"",ReferenceData!$N$353),"")</f>
        <v>0.79192222400000001</v>
      </c>
      <c r="O353">
        <f ca="1">IFERROR(IF(0=LEN(ReferenceData!$O$353),"",ReferenceData!$O$353),"")</f>
        <v>0.83191043899999995</v>
      </c>
      <c r="P353">
        <f ca="1">IFERROR(IF(0=LEN(ReferenceData!$P$353),"",ReferenceData!$P$353),"")</f>
        <v>0.70178318900000003</v>
      </c>
      <c r="Q353">
        <f ca="1">IFERROR(IF(0=LEN(ReferenceData!$Q$353),"",ReferenceData!$Q$353),"")</f>
        <v>0.64923942599999995</v>
      </c>
      <c r="R353">
        <f ca="1">IFERROR(IF(0=LEN(ReferenceData!$R$353),"",ReferenceData!$R$353),"")</f>
        <v>0.73077800100000001</v>
      </c>
      <c r="S353">
        <f ca="1">IFERROR(IF(0=LEN(ReferenceData!$S$353),"",ReferenceData!$S$353),"")</f>
        <v>0.87630606200000005</v>
      </c>
      <c r="T353">
        <f ca="1">IFERROR(IF(0=LEN(ReferenceData!$T$353),"",ReferenceData!$T$353),"")</f>
        <v>0.83167169299999999</v>
      </c>
      <c r="U353">
        <f ca="1">IFERROR(IF(0=LEN(ReferenceData!$U$353),"",ReferenceData!$U$353),"")</f>
        <v>0.92804734499999997</v>
      </c>
      <c r="V353">
        <f ca="1">IFERROR(IF(0=LEN(ReferenceData!$V$353),"",ReferenceData!$V$353),"")</f>
        <v>0.95497694600000005</v>
      </c>
      <c r="W353">
        <f ca="1">IFERROR(IF(0=LEN(ReferenceData!$W$353),"",ReferenceData!$W$353),"")</f>
        <v>0.94104496900000001</v>
      </c>
      <c r="X353">
        <f ca="1">IFERROR(IF(0=LEN(ReferenceData!$X$353),"",ReferenceData!$X$353),"")</f>
        <v>0.97734027099999998</v>
      </c>
      <c r="Y353">
        <f ca="1">IFERROR(IF(0=LEN(ReferenceData!$Y$353),"",ReferenceData!$Y$353),"")</f>
        <v>0.92512920700000001</v>
      </c>
      <c r="Z353">
        <f ca="1">IFERROR(IF(0=LEN(ReferenceData!$Z$353),"",ReferenceData!$Z$353),"")</f>
        <v>0.96533270100000002</v>
      </c>
      <c r="AA353">
        <f ca="1">IFERROR(IF(0=LEN(ReferenceData!$AA$353),"",ReferenceData!$AA$353),"")</f>
        <v>1.111025242</v>
      </c>
      <c r="AB353">
        <f ca="1">IFERROR(IF(0=LEN(ReferenceData!$AB$353),"",ReferenceData!$AB$353),"")</f>
        <v>1.0250508250000001</v>
      </c>
      <c r="AC353">
        <f ca="1">IFERROR(IF(0=LEN(ReferenceData!$AC$353),"",ReferenceData!$AC$353),"")</f>
        <v>1.060024235</v>
      </c>
      <c r="AD353">
        <f ca="1">IFERROR(IF(0=LEN(ReferenceData!$AD$353),"",ReferenceData!$AD$353),"")</f>
        <v>1.0382209849999999</v>
      </c>
      <c r="AE353">
        <f ca="1">IFERROR(IF(0=LEN(ReferenceData!$AE$353),"",ReferenceData!$AE$353),"")</f>
        <v>0.967595871</v>
      </c>
      <c r="AF353">
        <f ca="1">IFERROR(IF(0=LEN(ReferenceData!$AF$353),"",ReferenceData!$AF$353),"")</f>
        <v>0.82637097100000001</v>
      </c>
      <c r="AG353">
        <f ca="1">IFERROR(IF(0=LEN(ReferenceData!$AG$353),"",ReferenceData!$AG$353),"")</f>
        <v>0.91558525599999996</v>
      </c>
      <c r="AH353">
        <f ca="1">IFERROR(IF(0=LEN(ReferenceData!$AH$353),"",ReferenceData!$AH$353),"")</f>
        <v>1.0893225499999999</v>
      </c>
      <c r="AI353">
        <f ca="1">IFERROR(IF(0=LEN(ReferenceData!$AI$353),"",ReferenceData!$AI$353),"")</f>
        <v>0.90750815200000001</v>
      </c>
      <c r="AJ353">
        <f ca="1">IFERROR(IF(0=LEN(ReferenceData!$AJ$353),"",ReferenceData!$AJ$353),"")</f>
        <v>0.84536477300000001</v>
      </c>
      <c r="AK353">
        <f ca="1">IFERROR(IF(0=LEN(ReferenceData!$AK$353),"",ReferenceData!$AK$353),"")</f>
        <v>1.0196863759999999</v>
      </c>
      <c r="AL353">
        <f ca="1">IFERROR(IF(0=LEN(ReferenceData!$AL$353),"",ReferenceData!$AL$353),"")</f>
        <v>0.96079989300000002</v>
      </c>
      <c r="AM353">
        <f ca="1">IFERROR(IF(0=LEN(ReferenceData!$AM$353),"",ReferenceData!$AM$353),"")</f>
        <v>0.97922219300000002</v>
      </c>
      <c r="AN353">
        <f ca="1">IFERROR(IF(0=LEN(ReferenceData!$AN$353),"",ReferenceData!$AN$353),"")</f>
        <v>0.90496096999999998</v>
      </c>
      <c r="AO353">
        <f ca="1">IFERROR(IF(0=LEN(ReferenceData!$AO$353),"",ReferenceData!$AO$353),"")</f>
        <v>0.87004792799999997</v>
      </c>
      <c r="AP353">
        <f ca="1">IFERROR(IF(0=LEN(ReferenceData!$AP$353),"",ReferenceData!$AP$353),"")</f>
        <v>1.060170598</v>
      </c>
      <c r="AQ353">
        <f ca="1">IFERROR(IF(0=LEN(ReferenceData!$AQ$353),"",ReferenceData!$AQ$353),"")</f>
        <v>1.1071424160000001</v>
      </c>
      <c r="AR353">
        <f ca="1">IFERROR(IF(0=LEN(ReferenceData!$AR$353),"",ReferenceData!$AR$353),"")</f>
        <v>0.99974379800000002</v>
      </c>
      <c r="AS353">
        <f ca="1">IFERROR(IF(0=LEN(ReferenceData!$AS$353),"",ReferenceData!$AS$353),"")</f>
        <v>0.95392085400000004</v>
      </c>
      <c r="AT353">
        <f ca="1">IFERROR(IF(0=LEN(ReferenceData!$AT$353),"",ReferenceData!$AT$353),"")</f>
        <v>0.82412218800000003</v>
      </c>
      <c r="AU353">
        <f ca="1">IFERROR(IF(0=LEN(ReferenceData!$AU$353),"",ReferenceData!$AU$353),"")</f>
        <v>0.65469993400000004</v>
      </c>
      <c r="AV353">
        <f ca="1">IFERROR(IF(0=LEN(ReferenceData!$AV$353),"",ReferenceData!$AV$353),"")</f>
        <v>0.82605303399999996</v>
      </c>
      <c r="AW353">
        <f ca="1">IFERROR(IF(0=LEN(ReferenceData!$AW$353),"",ReferenceData!$AW$353),"")</f>
        <v>0.87825873300000001</v>
      </c>
      <c r="AX353">
        <f ca="1">IFERROR(IF(0=LEN(ReferenceData!$AX$353),"",ReferenceData!$AX$353),"")</f>
        <v>0.720290502</v>
      </c>
      <c r="AY353">
        <f ca="1">IFERROR(IF(0=LEN(ReferenceData!$AY$353),"",ReferenceData!$AY$353),"")</f>
        <v>0.88020541100000005</v>
      </c>
      <c r="AZ353">
        <f ca="1">IFERROR(IF(0=LEN(ReferenceData!$AZ$353),"",ReferenceData!$AZ$353),"")</f>
        <v>0.89818769099999995</v>
      </c>
      <c r="BA353">
        <f ca="1">IFERROR(IF(0=LEN(ReferenceData!$BA$353),"",ReferenceData!$BA$353),"")</f>
        <v>1.0292281889999999</v>
      </c>
      <c r="BB353">
        <f ca="1">IFERROR(IF(0=LEN(ReferenceData!$BB$353),"",ReferenceData!$BB$353),"")</f>
        <v>0.95313749599999997</v>
      </c>
      <c r="BC353">
        <f ca="1">IFERROR(IF(0=LEN(ReferenceData!$BC$353),"",ReferenceData!$BC$353),"")</f>
        <v>1.0659421579999999</v>
      </c>
      <c r="BD353">
        <f ca="1">IFERROR(IF(0=LEN(ReferenceData!$BD$353),"",ReferenceData!$BD$353),"")</f>
        <v>0.94958606599999995</v>
      </c>
      <c r="BE353">
        <f ca="1">IFERROR(IF(0=LEN(ReferenceData!$BE$353),"",ReferenceData!$BE$353),"")</f>
        <v>0.90253685299999997</v>
      </c>
      <c r="BF353">
        <f ca="1">IFERROR(IF(0=LEN(ReferenceData!$BF$353),"",ReferenceData!$BF$353),"")</f>
        <v>0.91467326000000004</v>
      </c>
      <c r="BG353">
        <f ca="1">IFERROR(IF(0=LEN(ReferenceData!$BG$353),"",ReferenceData!$BG$353),"")</f>
        <v>0.92780584099999996</v>
      </c>
      <c r="BH353">
        <f ca="1">IFERROR(IF(0=LEN(ReferenceData!$BH$353),"",ReferenceData!$BH$353),"")</f>
        <v>0.90699598599999998</v>
      </c>
      <c r="BI353" t="str">
        <f ca="1">IFERROR(IF(0=LEN(ReferenceData!$BI$353),"",ReferenceData!$BI$353),"")</f>
        <v/>
      </c>
      <c r="BJ353">
        <f ca="1">IFERROR(IF(0=LEN(ReferenceData!$BJ$353),"",ReferenceData!$BJ$353),"")</f>
        <v>0.81458269800000005</v>
      </c>
      <c r="BK353" t="str">
        <f ca="1">IFERROR(IF(0=LEN(ReferenceData!$BK$353),"",ReferenceData!$BK$353),"")</f>
        <v/>
      </c>
      <c r="BL353">
        <f ca="1">IFERROR(IF(0=LEN(ReferenceData!$BL$353),"",ReferenceData!$BL$353),"")</f>
        <v>0.86145653899999997</v>
      </c>
      <c r="BM353" t="str">
        <f ca="1">IFERROR(IF(0=LEN(ReferenceData!$BM$353),"",ReferenceData!$BM$353),"")</f>
        <v/>
      </c>
    </row>
    <row r="354" spans="1:65" x14ac:dyDescent="0.25">
      <c r="A354" t="str">
        <f>IFERROR(IF(0=LEN(ReferenceData!$A$354),"",ReferenceData!$A$354),"")</f>
        <v xml:space="preserve">    Hyundai Motor Co</v>
      </c>
      <c r="B354" t="str">
        <f>IFERROR(IF(0=LEN(ReferenceData!$B$354),"",ReferenceData!$B$354),"")</f>
        <v>005380 KS Equity</v>
      </c>
      <c r="C354" t="str">
        <f>IFERROR(IF(0=LEN(ReferenceData!$C$354),"",ReferenceData!$C$354),"")</f>
        <v>RR473</v>
      </c>
      <c r="D354" t="str">
        <f>IFERROR(IF(0=LEN(ReferenceData!$D$354),"",ReferenceData!$D$354),"")</f>
        <v>EV_TO_T12M_SALES</v>
      </c>
      <c r="E354" t="str">
        <f>IFERROR(IF(0=LEN(ReferenceData!$E$354),"",ReferenceData!$E$354),"")</f>
        <v>Dynamic</v>
      </c>
      <c r="F354" t="str">
        <f ca="1">IFERROR(IF(0=LEN(ReferenceData!$F$354),"",ReferenceData!$F$354),"")</f>
        <v/>
      </c>
      <c r="G354" t="str">
        <f ca="1">IFERROR(IF(0=LEN(ReferenceData!$G$354),"",ReferenceData!$G$354),"")</f>
        <v/>
      </c>
      <c r="H354">
        <f ca="1">IFERROR(IF(0=LEN(ReferenceData!$H$354),"",ReferenceData!$H$354),"")</f>
        <v>0.80841880099999996</v>
      </c>
      <c r="I354">
        <f ca="1">IFERROR(IF(0=LEN(ReferenceData!$I$354),"",ReferenceData!$I$354),"")</f>
        <v>0.80494660200000001</v>
      </c>
      <c r="J354">
        <f ca="1">IFERROR(IF(0=LEN(ReferenceData!$J$354),"",ReferenceData!$J$354),"")</f>
        <v>0.82897855799999998</v>
      </c>
      <c r="K354">
        <f ca="1">IFERROR(IF(0=LEN(ReferenceData!$K$354),"",ReferenceData!$K$354),"")</f>
        <v>0.81394761400000004</v>
      </c>
      <c r="L354">
        <f ca="1">IFERROR(IF(0=LEN(ReferenceData!$L$354),"",ReferenceData!$L$354),"")</f>
        <v>0.83260918699999997</v>
      </c>
      <c r="M354">
        <f ca="1">IFERROR(IF(0=LEN(ReferenceData!$M$354),"",ReferenceData!$M$354),"")</f>
        <v>0.85268993000000004</v>
      </c>
      <c r="N354">
        <f ca="1">IFERROR(IF(0=LEN(ReferenceData!$N$354),"",ReferenceData!$N$354),"")</f>
        <v>0.826903159</v>
      </c>
      <c r="O354">
        <f ca="1">IFERROR(IF(0=LEN(ReferenceData!$O$354),"",ReferenceData!$O$354),"")</f>
        <v>0.84396228100000004</v>
      </c>
      <c r="P354">
        <f ca="1">IFERROR(IF(0=LEN(ReferenceData!$P$354),"",ReferenceData!$P$354),"")</f>
        <v>0.771132119</v>
      </c>
      <c r="Q354">
        <f ca="1">IFERROR(IF(0=LEN(ReferenceData!$Q$354),"",ReferenceData!$Q$354),"")</f>
        <v>0.77305044999999994</v>
      </c>
      <c r="R354">
        <f ca="1">IFERROR(IF(0=LEN(ReferenceData!$R$354),"",ReferenceData!$R$354),"")</f>
        <v>0.817355006</v>
      </c>
      <c r="S354">
        <f ca="1">IFERROR(IF(0=LEN(ReferenceData!$S$354),"",ReferenceData!$S$354),"")</f>
        <v>0.80467685799999999</v>
      </c>
      <c r="T354">
        <f ca="1">IFERROR(IF(0=LEN(ReferenceData!$T$354),"",ReferenceData!$T$354),"")</f>
        <v>0.831614568</v>
      </c>
      <c r="U354">
        <f ca="1">IFERROR(IF(0=LEN(ReferenceData!$U$354),"",ReferenceData!$U$354),"")</f>
        <v>0.72927786400000005</v>
      </c>
      <c r="V354">
        <f ca="1">IFERROR(IF(0=LEN(ReferenceData!$V$354),"",ReferenceData!$V$354),"")</f>
        <v>0.77445590099999995</v>
      </c>
      <c r="W354">
        <f ca="1">IFERROR(IF(0=LEN(ReferenceData!$W$354),"",ReferenceData!$W$354),"")</f>
        <v>0.74619045299999998</v>
      </c>
      <c r="X354">
        <f ca="1">IFERROR(IF(0=LEN(ReferenceData!$X$354),"",ReferenceData!$X$354),"")</f>
        <v>0.76858531200000002</v>
      </c>
      <c r="Y354">
        <f ca="1">IFERROR(IF(0=LEN(ReferenceData!$Y$354),"",ReferenceData!$Y$354),"")</f>
        <v>0.84853435499999996</v>
      </c>
      <c r="Z354">
        <f ca="1">IFERROR(IF(0=LEN(ReferenceData!$Z$354),"",ReferenceData!$Z$354),"")</f>
        <v>0.91337514500000005</v>
      </c>
      <c r="AA354">
        <f ca="1">IFERROR(IF(0=LEN(ReferenceData!$AA$354),"",ReferenceData!$AA$354),"")</f>
        <v>0.89092114899999997</v>
      </c>
      <c r="AB354">
        <f ca="1">IFERROR(IF(0=LEN(ReferenceData!$AB$354),"",ReferenceData!$AB$354),"")</f>
        <v>0.90789323200000005</v>
      </c>
      <c r="AC354">
        <f ca="1">IFERROR(IF(0=LEN(ReferenceData!$AC$354),"",ReferenceData!$AC$354),"")</f>
        <v>0.85940215099999995</v>
      </c>
      <c r="AD354">
        <f ca="1">IFERROR(IF(0=LEN(ReferenceData!$AD$354),"",ReferenceData!$AD$354),"")</f>
        <v>0.88498990499999997</v>
      </c>
      <c r="AE354">
        <f ca="1">IFERROR(IF(0=LEN(ReferenceData!$AE$354),"",ReferenceData!$AE$354),"")</f>
        <v>0.88059803699999994</v>
      </c>
      <c r="AF354">
        <f ca="1">IFERROR(IF(0=LEN(ReferenceData!$AF$354),"",ReferenceData!$AF$354),"")</f>
        <v>0.98333939800000003</v>
      </c>
      <c r="AG354">
        <f ca="1">IFERROR(IF(0=LEN(ReferenceData!$AG$354),"",ReferenceData!$AG$354),"")</f>
        <v>0.94613395099999997</v>
      </c>
      <c r="AH354">
        <f ca="1">IFERROR(IF(0=LEN(ReferenceData!$AH$354),"",ReferenceData!$AH$354),"")</f>
        <v>0.97685045199999998</v>
      </c>
      <c r="AI354">
        <f ca="1">IFERROR(IF(0=LEN(ReferenceData!$AI$354),"",ReferenceData!$AI$354),"")</f>
        <v>0.95539242800000002</v>
      </c>
      <c r="AJ354">
        <f ca="1">IFERROR(IF(0=LEN(ReferenceData!$AJ$354),"",ReferenceData!$AJ$354),"")</f>
        <v>0.97263171599999998</v>
      </c>
      <c r="AK354">
        <f ca="1">IFERROR(IF(0=LEN(ReferenceData!$AK$354),"",ReferenceData!$AK$354),"")</f>
        <v>1.0420167309999999</v>
      </c>
      <c r="AL354">
        <f ca="1">IFERROR(IF(0=LEN(ReferenceData!$AL$354),"",ReferenceData!$AL$354),"")</f>
        <v>0.95750330900000002</v>
      </c>
      <c r="AM354">
        <f ca="1">IFERROR(IF(0=LEN(ReferenceData!$AM$354),"",ReferenceData!$AM$354),"")</f>
        <v>0.936014134</v>
      </c>
      <c r="AN354" t="str">
        <f ca="1">IFERROR(IF(0=LEN(ReferenceData!$AN$354),"",ReferenceData!$AN$354),"")</f>
        <v/>
      </c>
      <c r="AO354" t="str">
        <f ca="1">IFERROR(IF(0=LEN(ReferenceData!$AO$354),"",ReferenceData!$AO$354),"")</f>
        <v/>
      </c>
      <c r="AP354" t="str">
        <f ca="1">IFERROR(IF(0=LEN(ReferenceData!$AP$354),"",ReferenceData!$AP$354),"")</f>
        <v/>
      </c>
      <c r="AQ354" t="str">
        <f ca="1">IFERROR(IF(0=LEN(ReferenceData!$AQ$354),"",ReferenceData!$AQ$354),"")</f>
        <v/>
      </c>
      <c r="AR354" t="str">
        <f ca="1">IFERROR(IF(0=LEN(ReferenceData!$AR$354),"",ReferenceData!$AR$354),"")</f>
        <v/>
      </c>
      <c r="AS354" t="str">
        <f ca="1">IFERROR(IF(0=LEN(ReferenceData!$AS$354),"",ReferenceData!$AS$354),"")</f>
        <v/>
      </c>
      <c r="AT354" t="str">
        <f ca="1">IFERROR(IF(0=LEN(ReferenceData!$AT$354),"",ReferenceData!$AT$354),"")</f>
        <v/>
      </c>
      <c r="AU354" t="str">
        <f ca="1">IFERROR(IF(0=LEN(ReferenceData!$AU$354),"",ReferenceData!$AU$354),"")</f>
        <v/>
      </c>
      <c r="AV354" t="str">
        <f ca="1">IFERROR(IF(0=LEN(ReferenceData!$AV$354),"",ReferenceData!$AV$354),"")</f>
        <v/>
      </c>
      <c r="AW354" t="str">
        <f ca="1">IFERROR(IF(0=LEN(ReferenceData!$AW$354),"",ReferenceData!$AW$354),"")</f>
        <v/>
      </c>
      <c r="AX354" t="str">
        <f ca="1">IFERROR(IF(0=LEN(ReferenceData!$AX$354),"",ReferenceData!$AX$354),"")</f>
        <v/>
      </c>
      <c r="AY354" t="str">
        <f ca="1">IFERROR(IF(0=LEN(ReferenceData!$AY$354),"",ReferenceData!$AY$354),"")</f>
        <v/>
      </c>
      <c r="AZ354" t="str">
        <f ca="1">IFERROR(IF(0=LEN(ReferenceData!$AZ$354),"",ReferenceData!$AZ$354),"")</f>
        <v/>
      </c>
      <c r="BA354" t="str">
        <f ca="1">IFERROR(IF(0=LEN(ReferenceData!$BA$354),"",ReferenceData!$BA$354),"")</f>
        <v/>
      </c>
      <c r="BB354" t="str">
        <f ca="1">IFERROR(IF(0=LEN(ReferenceData!$BB$354),"",ReferenceData!$BB$354),"")</f>
        <v/>
      </c>
      <c r="BC354" t="str">
        <f ca="1">IFERROR(IF(0=LEN(ReferenceData!$BC$354),"",ReferenceData!$BC$354),"")</f>
        <v/>
      </c>
      <c r="BD354" t="str">
        <f ca="1">IFERROR(IF(0=LEN(ReferenceData!$BD$354),"",ReferenceData!$BD$354),"")</f>
        <v/>
      </c>
      <c r="BE354" t="str">
        <f ca="1">IFERROR(IF(0=LEN(ReferenceData!$BE$354),"",ReferenceData!$BE$354),"")</f>
        <v/>
      </c>
      <c r="BF354" t="str">
        <f ca="1">IFERROR(IF(0=LEN(ReferenceData!$BF$354),"",ReferenceData!$BF$354),"")</f>
        <v/>
      </c>
      <c r="BG354" t="str">
        <f ca="1">IFERROR(IF(0=LEN(ReferenceData!$BG$354),"",ReferenceData!$BG$354),"")</f>
        <v/>
      </c>
      <c r="BH354" t="str">
        <f ca="1">IFERROR(IF(0=LEN(ReferenceData!$BH$354),"",ReferenceData!$BH$354),"")</f>
        <v/>
      </c>
      <c r="BI354" t="str">
        <f ca="1">IFERROR(IF(0=LEN(ReferenceData!$BI$354),"",ReferenceData!$BI$354),"")</f>
        <v/>
      </c>
      <c r="BJ354" t="str">
        <f ca="1">IFERROR(IF(0=LEN(ReferenceData!$BJ$354),"",ReferenceData!$BJ$354),"")</f>
        <v/>
      </c>
      <c r="BK354" t="str">
        <f ca="1">IFERROR(IF(0=LEN(ReferenceData!$BK$354),"",ReferenceData!$BK$354),"")</f>
        <v/>
      </c>
      <c r="BL354" t="str">
        <f ca="1">IFERROR(IF(0=LEN(ReferenceData!$BL$354),"",ReferenceData!$BL$354),"")</f>
        <v/>
      </c>
      <c r="BM354" t="str">
        <f ca="1">IFERROR(IF(0=LEN(ReferenceData!$BM$354),"",ReferenceData!$BM$354),"")</f>
        <v/>
      </c>
    </row>
    <row r="355" spans="1:65" x14ac:dyDescent="0.25">
      <c r="A355" t="str">
        <f>IFERROR(IF(0=LEN(ReferenceData!$A$355),"",ReferenceData!$A$355),"")</f>
        <v xml:space="preserve">    Kia Motors Corp</v>
      </c>
      <c r="B355" t="str">
        <f>IFERROR(IF(0=LEN(ReferenceData!$B$355),"",ReferenceData!$B$355),"")</f>
        <v>000270 KS Equity</v>
      </c>
      <c r="C355" t="str">
        <f>IFERROR(IF(0=LEN(ReferenceData!$C$355),"",ReferenceData!$C$355),"")</f>
        <v>RR473</v>
      </c>
      <c r="D355" t="str">
        <f>IFERROR(IF(0=LEN(ReferenceData!$D$355),"",ReferenceData!$D$355),"")</f>
        <v>EV_TO_T12M_SALES</v>
      </c>
      <c r="E355" t="str">
        <f>IFERROR(IF(0=LEN(ReferenceData!$E$355),"",ReferenceData!$E$355),"")</f>
        <v>Dynamic</v>
      </c>
      <c r="F355" t="str">
        <f ca="1">IFERROR(IF(0=LEN(ReferenceData!$F$355),"",ReferenceData!$F$355),"")</f>
        <v/>
      </c>
      <c r="G355" t="str">
        <f ca="1">IFERROR(IF(0=LEN(ReferenceData!$G$355),"",ReferenceData!$G$355),"")</f>
        <v/>
      </c>
      <c r="H355">
        <f ca="1">IFERROR(IF(0=LEN(ReferenceData!$H$355),"",ReferenceData!$H$355),"")</f>
        <v>0.19686595700000001</v>
      </c>
      <c r="I355">
        <f ca="1">IFERROR(IF(0=LEN(ReferenceData!$I$355),"",ReferenceData!$I$355),"")</f>
        <v>0.1780871</v>
      </c>
      <c r="J355">
        <f ca="1">IFERROR(IF(0=LEN(ReferenceData!$J$355),"",ReferenceData!$J$355),"")</f>
        <v>0.20247341399999999</v>
      </c>
      <c r="K355">
        <f ca="1">IFERROR(IF(0=LEN(ReferenceData!$K$355),"",ReferenceData!$K$355),"")</f>
        <v>0.22796796999999999</v>
      </c>
      <c r="L355">
        <f ca="1">IFERROR(IF(0=LEN(ReferenceData!$L$355),"",ReferenceData!$L$355),"")</f>
        <v>0.19176380400000001</v>
      </c>
      <c r="M355">
        <f ca="1">IFERROR(IF(0=LEN(ReferenceData!$M$355),"",ReferenceData!$M$355),"")</f>
        <v>0.26744826300000002</v>
      </c>
      <c r="N355">
        <f ca="1">IFERROR(IF(0=LEN(ReferenceData!$N$355),"",ReferenceData!$N$355),"")</f>
        <v>0.2594243</v>
      </c>
      <c r="O355">
        <f ca="1">IFERROR(IF(0=LEN(ReferenceData!$O$355),"",ReferenceData!$O$355),"")</f>
        <v>0.28221941299999997</v>
      </c>
      <c r="P355">
        <f ca="1">IFERROR(IF(0=LEN(ReferenceData!$P$355),"",ReferenceData!$P$355),"")</f>
        <v>0.26817854000000002</v>
      </c>
      <c r="Q355">
        <f ca="1">IFERROR(IF(0=LEN(ReferenceData!$Q$355),"",ReferenceData!$Q$355),"")</f>
        <v>0.28710597199999999</v>
      </c>
      <c r="R355">
        <f ca="1">IFERROR(IF(0=LEN(ReferenceData!$R$355),"",ReferenceData!$R$355),"")</f>
        <v>0.38104536</v>
      </c>
      <c r="S355">
        <f ca="1">IFERROR(IF(0=LEN(ReferenceData!$S$355),"",ReferenceData!$S$355),"")</f>
        <v>0.39637535299999999</v>
      </c>
      <c r="T355">
        <f ca="1">IFERROR(IF(0=LEN(ReferenceData!$T$355),"",ReferenceData!$T$355),"")</f>
        <v>0.38428912399999998</v>
      </c>
      <c r="U355">
        <f ca="1">IFERROR(IF(0=LEN(ReferenceData!$U$355),"",ReferenceData!$U$355),"")</f>
        <v>0.33401458699999997</v>
      </c>
      <c r="V355">
        <f ca="1">IFERROR(IF(0=LEN(ReferenceData!$V$355),"",ReferenceData!$V$355),"")</f>
        <v>0.33583160099999998</v>
      </c>
      <c r="W355">
        <f ca="1">IFERROR(IF(0=LEN(ReferenceData!$W$355),"",ReferenceData!$W$355),"")</f>
        <v>0.36780881100000001</v>
      </c>
      <c r="X355">
        <f ca="1">IFERROR(IF(0=LEN(ReferenceData!$X$355),"",ReferenceData!$X$355),"")</f>
        <v>0.36859292700000001</v>
      </c>
      <c r="Y355">
        <f ca="1">IFERROR(IF(0=LEN(ReferenceData!$Y$355),"",ReferenceData!$Y$355),"")</f>
        <v>0.40445843799999998</v>
      </c>
      <c r="Z355">
        <f ca="1">IFERROR(IF(0=LEN(ReferenceData!$Z$355),"",ReferenceData!$Z$355),"")</f>
        <v>0.40876912500000001</v>
      </c>
      <c r="AA355">
        <f ca="1">IFERROR(IF(0=LEN(ReferenceData!$AA$355),"",ReferenceData!$AA$355),"")</f>
        <v>0.38798086900000001</v>
      </c>
      <c r="AB355">
        <f ca="1">IFERROR(IF(0=LEN(ReferenceData!$AB$355),"",ReferenceData!$AB$355),"")</f>
        <v>0.46653519799999998</v>
      </c>
      <c r="AC355">
        <f ca="1">IFERROR(IF(0=LEN(ReferenceData!$AC$355),"",ReferenceData!$AC$355),"")</f>
        <v>0.45694801899999998</v>
      </c>
      <c r="AD355">
        <f ca="1">IFERROR(IF(0=LEN(ReferenceData!$AD$355),"",ReferenceData!$AD$355),"")</f>
        <v>0.43836644600000002</v>
      </c>
      <c r="AE355">
        <f ca="1">IFERROR(IF(0=LEN(ReferenceData!$AE$355),"",ReferenceData!$AE$355),"")</f>
        <v>0.44159181600000003</v>
      </c>
      <c r="AF355">
        <f ca="1">IFERROR(IF(0=LEN(ReferenceData!$AF$355),"",ReferenceData!$AF$355),"")</f>
        <v>0.53859910499999997</v>
      </c>
      <c r="AG355">
        <f ca="1">IFERROR(IF(0=LEN(ReferenceData!$AG$355),"",ReferenceData!$AG$355),"")</f>
        <v>0.62789196300000005</v>
      </c>
      <c r="AH355">
        <f ca="1">IFERROR(IF(0=LEN(ReferenceData!$AH$355),"",ReferenceData!$AH$355),"")</f>
        <v>0.66414097999999999</v>
      </c>
      <c r="AI355">
        <f ca="1">IFERROR(IF(0=LEN(ReferenceData!$AI$355),"",ReferenceData!$AI$355),"")</f>
        <v>0.63316540899999996</v>
      </c>
      <c r="AJ355">
        <f ca="1">IFERROR(IF(0=LEN(ReferenceData!$AJ$355),"",ReferenceData!$AJ$355),"")</f>
        <v>0.68920637699999998</v>
      </c>
      <c r="AK355">
        <f ca="1">IFERROR(IF(0=LEN(ReferenceData!$AK$355),"",ReferenceData!$AK$355),"")</f>
        <v>0.72799176600000004</v>
      </c>
      <c r="AL355">
        <f ca="1">IFERROR(IF(0=LEN(ReferenceData!$AL$355),"",ReferenceData!$AL$355),"")</f>
        <v>0.75171143200000001</v>
      </c>
      <c r="AM355" t="str">
        <f ca="1">IFERROR(IF(0=LEN(ReferenceData!$AM$355),"",ReferenceData!$AM$355),"")</f>
        <v/>
      </c>
      <c r="AN355" t="str">
        <f ca="1">IFERROR(IF(0=LEN(ReferenceData!$AN$355),"",ReferenceData!$AN$355),"")</f>
        <v/>
      </c>
      <c r="AO355" t="str">
        <f ca="1">IFERROR(IF(0=LEN(ReferenceData!$AO$355),"",ReferenceData!$AO$355),"")</f>
        <v/>
      </c>
      <c r="AP355" t="str">
        <f ca="1">IFERROR(IF(0=LEN(ReferenceData!$AP$355),"",ReferenceData!$AP$355),"")</f>
        <v/>
      </c>
      <c r="AQ355" t="str">
        <f ca="1">IFERROR(IF(0=LEN(ReferenceData!$AQ$355),"",ReferenceData!$AQ$355),"")</f>
        <v/>
      </c>
      <c r="AR355" t="str">
        <f ca="1">IFERROR(IF(0=LEN(ReferenceData!$AR$355),"",ReferenceData!$AR$355),"")</f>
        <v/>
      </c>
      <c r="AS355" t="str">
        <f ca="1">IFERROR(IF(0=LEN(ReferenceData!$AS$355),"",ReferenceData!$AS$355),"")</f>
        <v/>
      </c>
      <c r="AT355" t="str">
        <f ca="1">IFERROR(IF(0=LEN(ReferenceData!$AT$355),"",ReferenceData!$AT$355),"")</f>
        <v/>
      </c>
      <c r="AU355" t="str">
        <f ca="1">IFERROR(IF(0=LEN(ReferenceData!$AU$355),"",ReferenceData!$AU$355),"")</f>
        <v/>
      </c>
      <c r="AV355" t="str">
        <f ca="1">IFERROR(IF(0=LEN(ReferenceData!$AV$355),"",ReferenceData!$AV$355),"")</f>
        <v/>
      </c>
      <c r="AW355" t="str">
        <f ca="1">IFERROR(IF(0=LEN(ReferenceData!$AW$355),"",ReferenceData!$AW$355),"")</f>
        <v/>
      </c>
      <c r="AX355" t="str">
        <f ca="1">IFERROR(IF(0=LEN(ReferenceData!$AX$355),"",ReferenceData!$AX$355),"")</f>
        <v/>
      </c>
      <c r="AY355" t="str">
        <f ca="1">IFERROR(IF(0=LEN(ReferenceData!$AY$355),"",ReferenceData!$AY$355),"")</f>
        <v/>
      </c>
      <c r="AZ355" t="str">
        <f ca="1">IFERROR(IF(0=LEN(ReferenceData!$AZ$355),"",ReferenceData!$AZ$355),"")</f>
        <v/>
      </c>
      <c r="BA355" t="str">
        <f ca="1">IFERROR(IF(0=LEN(ReferenceData!$BA$355),"",ReferenceData!$BA$355),"")</f>
        <v/>
      </c>
      <c r="BB355" t="str">
        <f ca="1">IFERROR(IF(0=LEN(ReferenceData!$BB$355),"",ReferenceData!$BB$355),"")</f>
        <v/>
      </c>
      <c r="BC355" t="str">
        <f ca="1">IFERROR(IF(0=LEN(ReferenceData!$BC$355),"",ReferenceData!$BC$355),"")</f>
        <v/>
      </c>
      <c r="BD355" t="str">
        <f ca="1">IFERROR(IF(0=LEN(ReferenceData!$BD$355),"",ReferenceData!$BD$355),"")</f>
        <v/>
      </c>
      <c r="BE355" t="str">
        <f ca="1">IFERROR(IF(0=LEN(ReferenceData!$BE$355),"",ReferenceData!$BE$355),"")</f>
        <v/>
      </c>
      <c r="BF355" t="str">
        <f ca="1">IFERROR(IF(0=LEN(ReferenceData!$BF$355),"",ReferenceData!$BF$355),"")</f>
        <v/>
      </c>
      <c r="BG355" t="str">
        <f ca="1">IFERROR(IF(0=LEN(ReferenceData!$BG$355),"",ReferenceData!$BG$355),"")</f>
        <v/>
      </c>
      <c r="BH355" t="str">
        <f ca="1">IFERROR(IF(0=LEN(ReferenceData!$BH$355),"",ReferenceData!$BH$355),"")</f>
        <v/>
      </c>
      <c r="BI355" t="str">
        <f ca="1">IFERROR(IF(0=LEN(ReferenceData!$BI$355),"",ReferenceData!$BI$355),"")</f>
        <v/>
      </c>
      <c r="BJ355" t="str">
        <f ca="1">IFERROR(IF(0=LEN(ReferenceData!$BJ$355),"",ReferenceData!$BJ$355),"")</f>
        <v/>
      </c>
      <c r="BK355" t="str">
        <f ca="1">IFERROR(IF(0=LEN(ReferenceData!$BK$355),"",ReferenceData!$BK$355),"")</f>
        <v/>
      </c>
      <c r="BL355" t="str">
        <f ca="1">IFERROR(IF(0=LEN(ReferenceData!$BL$355),"",ReferenceData!$BL$355),"")</f>
        <v/>
      </c>
      <c r="BM355" t="str">
        <f ca="1">IFERROR(IF(0=LEN(ReferenceData!$BM$355),"",ReferenceData!$BM$355),"")</f>
        <v/>
      </c>
    </row>
    <row r="356" spans="1:65" x14ac:dyDescent="0.25">
      <c r="A356" t="str">
        <f>IFERROR(IF(0=LEN(ReferenceData!$A$356),"",ReferenceData!$A$356),"")</f>
        <v xml:space="preserve">    Mazda Motor Corp</v>
      </c>
      <c r="B356" t="str">
        <f>IFERROR(IF(0=LEN(ReferenceData!$B$356),"",ReferenceData!$B$356),"")</f>
        <v>7261 JP Equity</v>
      </c>
      <c r="C356" t="str">
        <f>IFERROR(IF(0=LEN(ReferenceData!$C$356),"",ReferenceData!$C$356),"")</f>
        <v>RR473</v>
      </c>
      <c r="D356" t="str">
        <f>IFERROR(IF(0=LEN(ReferenceData!$D$356),"",ReferenceData!$D$356),"")</f>
        <v>EV_TO_T12M_SALES</v>
      </c>
      <c r="E356" t="str">
        <f>IFERROR(IF(0=LEN(ReferenceData!$E$356),"",ReferenceData!$E$356),"")</f>
        <v>Dynamic</v>
      </c>
      <c r="F356" t="str">
        <f ca="1">IFERROR(IF(0=LEN(ReferenceData!$F$356),"",ReferenceData!$F$356),"")</f>
        <v/>
      </c>
      <c r="G356">
        <f ca="1">IFERROR(IF(0=LEN(ReferenceData!$G$356),"",ReferenceData!$G$356),"")</f>
        <v>0.18822911000000001</v>
      </c>
      <c r="H356">
        <f ca="1">IFERROR(IF(0=LEN(ReferenceData!$H$356),"",ReferenceData!$H$356),"")</f>
        <v>0.217558688</v>
      </c>
      <c r="I356">
        <f ca="1">IFERROR(IF(0=LEN(ReferenceData!$I$356),"",ReferenceData!$I$356),"")</f>
        <v>0.22465908800000001</v>
      </c>
      <c r="J356">
        <f ca="1">IFERROR(IF(0=LEN(ReferenceData!$J$356),"",ReferenceData!$J$356),"")</f>
        <v>0.22879224500000001</v>
      </c>
      <c r="K356">
        <f ca="1">IFERROR(IF(0=LEN(ReferenceData!$K$356),"",ReferenceData!$K$356),"")</f>
        <v>0.270184853</v>
      </c>
      <c r="L356">
        <f ca="1">IFERROR(IF(0=LEN(ReferenceData!$L$356),"",ReferenceData!$L$356),"")</f>
        <v>0.30019574300000001</v>
      </c>
      <c r="M356">
        <f ca="1">IFERROR(IF(0=LEN(ReferenceData!$M$356),"",ReferenceData!$M$356),"")</f>
        <v>0.29065904999999997</v>
      </c>
      <c r="N356">
        <f ca="1">IFERROR(IF(0=LEN(ReferenceData!$N$356),"",ReferenceData!$N$356),"")</f>
        <v>0.29469541799999999</v>
      </c>
      <c r="O356">
        <f ca="1">IFERROR(IF(0=LEN(ReferenceData!$O$356),"",ReferenceData!$O$356),"")</f>
        <v>0.368894365</v>
      </c>
      <c r="P356">
        <f ca="1">IFERROR(IF(0=LEN(ReferenceData!$P$356),"",ReferenceData!$P$356),"")</f>
        <v>0.28321691900000001</v>
      </c>
      <c r="Q356">
        <f ca="1">IFERROR(IF(0=LEN(ReferenceData!$Q$356),"",ReferenceData!$Q$356),"")</f>
        <v>0.25224108299999998</v>
      </c>
      <c r="R356">
        <f ca="1">IFERROR(IF(0=LEN(ReferenceData!$R$356),"",ReferenceData!$R$356),"")</f>
        <v>0.31852005999999999</v>
      </c>
      <c r="S356">
        <f ca="1">IFERROR(IF(0=LEN(ReferenceData!$S$356),"",ReferenceData!$S$356),"")</f>
        <v>0.47885000500000002</v>
      </c>
      <c r="T356">
        <f ca="1">IFERROR(IF(0=LEN(ReferenceData!$T$356),"",ReferenceData!$T$356),"")</f>
        <v>0.37984774500000001</v>
      </c>
      <c r="U356">
        <f ca="1">IFERROR(IF(0=LEN(ReferenceData!$U$356),"",ReferenceData!$U$356),"")</f>
        <v>0.51168813199999996</v>
      </c>
      <c r="V356">
        <f ca="1">IFERROR(IF(0=LEN(ReferenceData!$V$356),"",ReferenceData!$V$356),"")</f>
        <v>0.53103151400000004</v>
      </c>
      <c r="W356">
        <f ca="1">IFERROR(IF(0=LEN(ReferenceData!$W$356),"",ReferenceData!$W$356),"")</f>
        <v>0.693256867</v>
      </c>
      <c r="X356">
        <f ca="1">IFERROR(IF(0=LEN(ReferenceData!$X$356),"",ReferenceData!$X$356),"")</f>
        <v>0.66058416900000005</v>
      </c>
      <c r="Y356">
        <f ca="1">IFERROR(IF(0=LEN(ReferenceData!$Y$356),"",ReferenceData!$Y$356),"")</f>
        <v>0.61027978500000002</v>
      </c>
      <c r="Z356">
        <f ca="1">IFERROR(IF(0=LEN(ReferenceData!$Z$356),"",ReferenceData!$Z$356),"")</f>
        <v>0.59669029600000001</v>
      </c>
      <c r="AA356">
        <f ca="1">IFERROR(IF(0=LEN(ReferenceData!$AA$356),"",ReferenceData!$AA$356),"")</f>
        <v>0.74593787199999995</v>
      </c>
      <c r="AB356">
        <f ca="1">IFERROR(IF(0=LEN(ReferenceData!$AB$356),"",ReferenceData!$AB$356),"")</f>
        <v>0.67251114199999995</v>
      </c>
      <c r="AC356">
        <f ca="1">IFERROR(IF(0=LEN(ReferenceData!$AC$356),"",ReferenceData!$AC$356),"")</f>
        <v>0.64376039699999998</v>
      </c>
      <c r="AD356">
        <f ca="1">IFERROR(IF(0=LEN(ReferenceData!$AD$356),"",ReferenceData!$AD$356),"")</f>
        <v>0.51233742999999998</v>
      </c>
      <c r="AE356">
        <f ca="1">IFERROR(IF(0=LEN(ReferenceData!$AE$356),"",ReferenceData!$AE$356),"")</f>
        <v>0.406874193</v>
      </c>
      <c r="AF356">
        <f ca="1">IFERROR(IF(0=LEN(ReferenceData!$AF$356),"",ReferenceData!$AF$356),"")</f>
        <v>0.28635020100000003</v>
      </c>
      <c r="AG356">
        <f ca="1">IFERROR(IF(0=LEN(ReferenceData!$AG$356),"",ReferenceData!$AG$356),"")</f>
        <v>0.30645126</v>
      </c>
      <c r="AH356">
        <f ca="1">IFERROR(IF(0=LEN(ReferenceData!$AH$356),"",ReferenceData!$AH$356),"")</f>
        <v>0.36325347099999999</v>
      </c>
      <c r="AI356">
        <f ca="1">IFERROR(IF(0=LEN(ReferenceData!$AI$356),"",ReferenceData!$AI$356),"")</f>
        <v>0.36844053399999999</v>
      </c>
      <c r="AJ356">
        <f ca="1">IFERROR(IF(0=LEN(ReferenceData!$AJ$356),"",ReferenceData!$AJ$356),"")</f>
        <v>0.33241083199999999</v>
      </c>
      <c r="AK356">
        <f ca="1">IFERROR(IF(0=LEN(ReferenceData!$AK$356),"",ReferenceData!$AK$356),"")</f>
        <v>0.36575862399999998</v>
      </c>
      <c r="AL356">
        <f ca="1">IFERROR(IF(0=LEN(ReferenceData!$AL$356),"",ReferenceData!$AL$356),"")</f>
        <v>0.29898765700000002</v>
      </c>
      <c r="AM356">
        <f ca="1">IFERROR(IF(0=LEN(ReferenceData!$AM$356),"",ReferenceData!$AM$356),"")</f>
        <v>0.35962179100000002</v>
      </c>
      <c r="AN356">
        <f ca="1">IFERROR(IF(0=LEN(ReferenceData!$AN$356),"",ReferenceData!$AN$356),"")</f>
        <v>0.30761034100000001</v>
      </c>
      <c r="AO356">
        <f ca="1">IFERROR(IF(0=LEN(ReferenceData!$AO$356),"",ReferenceData!$AO$356),"")</f>
        <v>0.31605201900000002</v>
      </c>
      <c r="AP356">
        <f ca="1">IFERROR(IF(0=LEN(ReferenceData!$AP$356),"",ReferenceData!$AP$356),"")</f>
        <v>0.38050700599999998</v>
      </c>
      <c r="AQ356">
        <f ca="1">IFERROR(IF(0=LEN(ReferenceData!$AQ$356),"",ReferenceData!$AQ$356),"")</f>
        <v>0.39829130000000001</v>
      </c>
      <c r="AR356">
        <f ca="1">IFERROR(IF(0=LEN(ReferenceData!$AR$356),"",ReferenceData!$AR$356),"")</f>
        <v>0.40311394499999997</v>
      </c>
      <c r="AS356">
        <f ca="1">IFERROR(IF(0=LEN(ReferenceData!$AS$356),"",ReferenceData!$AS$356),"")</f>
        <v>0.397514439</v>
      </c>
      <c r="AT356">
        <f ca="1">IFERROR(IF(0=LEN(ReferenceData!$AT$356),"",ReferenceData!$AT$356),"")</f>
        <v>0.29534896100000002</v>
      </c>
      <c r="AU356">
        <f ca="1">IFERROR(IF(0=LEN(ReferenceData!$AU$356),"",ReferenceData!$AU$356),"")</f>
        <v>0.25076351899999999</v>
      </c>
      <c r="AV356">
        <f ca="1">IFERROR(IF(0=LEN(ReferenceData!$AV$356),"",ReferenceData!$AV$356),"")</f>
        <v>0.28432044000000001</v>
      </c>
      <c r="AW356">
        <f ca="1">IFERROR(IF(0=LEN(ReferenceData!$AW$356),"",ReferenceData!$AW$356),"")</f>
        <v>0.33286199799999999</v>
      </c>
      <c r="AX356">
        <f ca="1">IFERROR(IF(0=LEN(ReferenceData!$AX$356),"",ReferenceData!$AX$356),"")</f>
        <v>0.224482615</v>
      </c>
      <c r="AY356">
        <f ca="1">IFERROR(IF(0=LEN(ReferenceData!$AY$356),"",ReferenceData!$AY$356),"")</f>
        <v>0.32743624799999999</v>
      </c>
      <c r="AZ356">
        <f ca="1">IFERROR(IF(0=LEN(ReferenceData!$AZ$356),"",ReferenceData!$AZ$356),"")</f>
        <v>0.32752899000000002</v>
      </c>
      <c r="BA356">
        <f ca="1">IFERROR(IF(0=LEN(ReferenceData!$BA$356),"",ReferenceData!$BA$356),"")</f>
        <v>0.39559520100000001</v>
      </c>
      <c r="BB356">
        <f ca="1">IFERROR(IF(0=LEN(ReferenceData!$BB$356),"",ReferenceData!$BB$356),"")</f>
        <v>0.35597731399999999</v>
      </c>
      <c r="BC356">
        <f ca="1">IFERROR(IF(0=LEN(ReferenceData!$BC$356),"",ReferenceData!$BC$356),"")</f>
        <v>0.47102800700000003</v>
      </c>
      <c r="BD356">
        <f ca="1">IFERROR(IF(0=LEN(ReferenceData!$BD$356),"",ReferenceData!$BD$356),"")</f>
        <v>0.41311537999999998</v>
      </c>
      <c r="BE356">
        <f ca="1">IFERROR(IF(0=LEN(ReferenceData!$BE$356),"",ReferenceData!$BE$356),"")</f>
        <v>0.43587633799999997</v>
      </c>
      <c r="BF356">
        <f ca="1">IFERROR(IF(0=LEN(ReferenceData!$BF$356),"",ReferenceData!$BF$356),"")</f>
        <v>0.43046965700000001</v>
      </c>
      <c r="BG356">
        <f ca="1">IFERROR(IF(0=LEN(ReferenceData!$BG$356),"",ReferenceData!$BG$356),"")</f>
        <v>0.37819176799999998</v>
      </c>
      <c r="BH356">
        <f ca="1">IFERROR(IF(0=LEN(ReferenceData!$BH$356),"",ReferenceData!$BH$356),"")</f>
        <v>0.35202407499999999</v>
      </c>
      <c r="BI356">
        <f ca="1">IFERROR(IF(0=LEN(ReferenceData!$BI$356),"",ReferenceData!$BI$356),"")</f>
        <v>0.31729084800000001</v>
      </c>
      <c r="BJ356">
        <f ca="1">IFERROR(IF(0=LEN(ReferenceData!$BJ$356),"",ReferenceData!$BJ$356),"")</f>
        <v>0.28280387299999998</v>
      </c>
      <c r="BK356">
        <f ca="1">IFERROR(IF(0=LEN(ReferenceData!$BK$356),"",ReferenceData!$BK$356),"")</f>
        <v>0.25706918200000001</v>
      </c>
      <c r="BL356">
        <f ca="1">IFERROR(IF(0=LEN(ReferenceData!$BL$356),"",ReferenceData!$BL$356),"")</f>
        <v>0.25938847199999998</v>
      </c>
      <c r="BM356">
        <f ca="1">IFERROR(IF(0=LEN(ReferenceData!$BM$356),"",ReferenceData!$BM$356),"")</f>
        <v>0.28098784799999998</v>
      </c>
    </row>
    <row r="357" spans="1:65" x14ac:dyDescent="0.25">
      <c r="A357" t="str">
        <f>IFERROR(IF(0=LEN(ReferenceData!$A$357),"",ReferenceData!$A$357),"")</f>
        <v xml:space="preserve">    Mitsubishi Motors Corp</v>
      </c>
      <c r="B357" t="str">
        <f>IFERROR(IF(0=LEN(ReferenceData!$B$357),"",ReferenceData!$B$357),"")</f>
        <v>7211 JP Equity</v>
      </c>
      <c r="C357" t="str">
        <f>IFERROR(IF(0=LEN(ReferenceData!$C$357),"",ReferenceData!$C$357),"")</f>
        <v>RR473</v>
      </c>
      <c r="D357" t="str">
        <f>IFERROR(IF(0=LEN(ReferenceData!$D$357),"",ReferenceData!$D$357),"")</f>
        <v>EV_TO_T12M_SALES</v>
      </c>
      <c r="E357" t="str">
        <f>IFERROR(IF(0=LEN(ReferenceData!$E$357),"",ReferenceData!$E$357),"")</f>
        <v>Dynamic</v>
      </c>
      <c r="F357" t="str">
        <f ca="1">IFERROR(IF(0=LEN(ReferenceData!$F$357),"",ReferenceData!$F$357),"")</f>
        <v/>
      </c>
      <c r="G357">
        <f ca="1">IFERROR(IF(0=LEN(ReferenceData!$G$357),"",ReferenceData!$G$357),"")</f>
        <v>0.283658835</v>
      </c>
      <c r="H357">
        <f ca="1">IFERROR(IF(0=LEN(ReferenceData!$H$357),"",ReferenceData!$H$357),"")</f>
        <v>0.39602015600000001</v>
      </c>
      <c r="I357">
        <f ca="1">IFERROR(IF(0=LEN(ReferenceData!$I$357),"",ReferenceData!$I$357),"")</f>
        <v>0.474300361</v>
      </c>
      <c r="J357">
        <f ca="1">IFERROR(IF(0=LEN(ReferenceData!$J$357),"",ReferenceData!$J$357),"")</f>
        <v>0.27990683199999999</v>
      </c>
      <c r="K357">
        <f ca="1">IFERROR(IF(0=LEN(ReferenceData!$K$357),"",ReferenceData!$K$357),"")</f>
        <v>0.34996907900000002</v>
      </c>
      <c r="L357">
        <f ca="1">IFERROR(IF(0=LEN(ReferenceData!$L$357),"",ReferenceData!$L$357),"")</f>
        <v>0.427194876</v>
      </c>
      <c r="M357">
        <f ca="1">IFERROR(IF(0=LEN(ReferenceData!$M$357),"",ReferenceData!$M$357),"")</f>
        <v>0.32928028300000001</v>
      </c>
      <c r="N357">
        <f ca="1">IFERROR(IF(0=LEN(ReferenceData!$N$357),"",ReferenceData!$N$357),"")</f>
        <v>0.25140726699999999</v>
      </c>
      <c r="O357">
        <f ca="1">IFERROR(IF(0=LEN(ReferenceData!$O$357),"",ReferenceData!$O$357),"")</f>
        <v>0.238371888</v>
      </c>
      <c r="P357">
        <f ca="1">IFERROR(IF(0=LEN(ReferenceData!$P$357),"",ReferenceData!$P$357),"")</f>
        <v>7.8939686999999994E-2</v>
      </c>
      <c r="Q357">
        <f ca="1">IFERROR(IF(0=LEN(ReferenceData!$Q$357),"",ReferenceData!$Q$357),"")</f>
        <v>4.3757608000000003E-2</v>
      </c>
      <c r="R357">
        <f ca="1">IFERROR(IF(0=LEN(ReferenceData!$R$357),"",ReferenceData!$R$357),"")</f>
        <v>0.189561968</v>
      </c>
      <c r="S357">
        <f ca="1">IFERROR(IF(0=LEN(ReferenceData!$S$357),"",ReferenceData!$S$357),"")</f>
        <v>0.25537706300000002</v>
      </c>
      <c r="T357">
        <f ca="1">IFERROR(IF(0=LEN(ReferenceData!$T$357),"",ReferenceData!$T$357),"")</f>
        <v>0.23768761699999999</v>
      </c>
      <c r="U357">
        <f ca="1">IFERROR(IF(0=LEN(ReferenceData!$U$357),"",ReferenceData!$U$357),"")</f>
        <v>0.353455238</v>
      </c>
      <c r="V357">
        <f ca="1">IFERROR(IF(0=LEN(ReferenceData!$V$357),"",ReferenceData!$V$357),"")</f>
        <v>0.36608481199999998</v>
      </c>
      <c r="W357">
        <f ca="1">IFERROR(IF(0=LEN(ReferenceData!$W$357),"",ReferenceData!$W$357),"")</f>
        <v>0.36987966700000002</v>
      </c>
      <c r="X357">
        <f ca="1">IFERROR(IF(0=LEN(ReferenceData!$X$357),"",ReferenceData!$X$357),"")</f>
        <v>0.48707794100000001</v>
      </c>
      <c r="Y357">
        <f ca="1">IFERROR(IF(0=LEN(ReferenceData!$Y$357),"",ReferenceData!$Y$357),"")</f>
        <v>0.40132614900000002</v>
      </c>
      <c r="Z357">
        <f ca="1">IFERROR(IF(0=LEN(ReferenceData!$Z$357),"",ReferenceData!$Z$357),"")</f>
        <v>0.41764068999999998</v>
      </c>
      <c r="AA357">
        <f ca="1">IFERROR(IF(0=LEN(ReferenceData!$AA$357),"",ReferenceData!$AA$357),"")</f>
        <v>0.45566532900000001</v>
      </c>
      <c r="AB357">
        <f ca="1">IFERROR(IF(0=LEN(ReferenceData!$AB$357),"",ReferenceData!$AB$357),"")</f>
        <v>0.54017272900000002</v>
      </c>
      <c r="AC357">
        <f ca="1">IFERROR(IF(0=LEN(ReferenceData!$AC$357),"",ReferenceData!$AC$357),"")</f>
        <v>0.66595124400000005</v>
      </c>
      <c r="AD357">
        <f ca="1">IFERROR(IF(0=LEN(ReferenceData!$AD$357),"",ReferenceData!$AD$357),"")</f>
        <v>0.54506749200000004</v>
      </c>
      <c r="AE357">
        <f ca="1">IFERROR(IF(0=LEN(ReferenceData!$AE$357),"",ReferenceData!$AE$357),"")</f>
        <v>0.53526379999999996</v>
      </c>
      <c r="AF357">
        <f ca="1">IFERROR(IF(0=LEN(ReferenceData!$AF$357),"",ReferenceData!$AF$357),"")</f>
        <v>0.48066137199999998</v>
      </c>
      <c r="AG357">
        <f ca="1">IFERROR(IF(0=LEN(ReferenceData!$AG$357),"",ReferenceData!$AG$357),"")</f>
        <v>0.495686028</v>
      </c>
      <c r="AH357">
        <f ca="1">IFERROR(IF(0=LEN(ReferenceData!$AH$357),"",ReferenceData!$AH$357),"")</f>
        <v>0.57360762499999995</v>
      </c>
      <c r="AI357">
        <f ca="1">IFERROR(IF(0=LEN(ReferenceData!$AI$357),"",ReferenceData!$AI$357),"")</f>
        <v>0.57124556699999995</v>
      </c>
      <c r="AJ357">
        <f ca="1">IFERROR(IF(0=LEN(ReferenceData!$AJ$357),"",ReferenceData!$AJ$357),"")</f>
        <v>0.58018869399999995</v>
      </c>
      <c r="AK357">
        <f ca="1">IFERROR(IF(0=LEN(ReferenceData!$AK$357),"",ReferenceData!$AK$357),"")</f>
        <v>0.57578544300000001</v>
      </c>
      <c r="AL357">
        <f ca="1">IFERROR(IF(0=LEN(ReferenceData!$AL$357),"",ReferenceData!$AL$357),"")</f>
        <v>0.61658118500000003</v>
      </c>
      <c r="AM357">
        <f ca="1">IFERROR(IF(0=LEN(ReferenceData!$AM$357),"",ReferenceData!$AM$357),"")</f>
        <v>0.65285523899999998</v>
      </c>
      <c r="AN357">
        <f ca="1">IFERROR(IF(0=LEN(ReferenceData!$AN$357),"",ReferenceData!$AN$357),"")</f>
        <v>0.65571070099999995</v>
      </c>
      <c r="AO357">
        <f ca="1">IFERROR(IF(0=LEN(ReferenceData!$AO$357),"",ReferenceData!$AO$357),"")</f>
        <v>0.74537390400000003</v>
      </c>
      <c r="AP357">
        <f ca="1">IFERROR(IF(0=LEN(ReferenceData!$AP$357),"",ReferenceData!$AP$357),"")</f>
        <v>0.90240787700000002</v>
      </c>
      <c r="AQ357">
        <f ca="1">IFERROR(IF(0=LEN(ReferenceData!$AQ$357),"",ReferenceData!$AQ$357),"")</f>
        <v>1.0486693739999999</v>
      </c>
      <c r="AR357">
        <f ca="1">IFERROR(IF(0=LEN(ReferenceData!$AR$357),"",ReferenceData!$AR$357),"")</f>
        <v>1.104875804</v>
      </c>
      <c r="AS357">
        <f ca="1">IFERROR(IF(0=LEN(ReferenceData!$AS$357),"",ReferenceData!$AS$357),"")</f>
        <v>1.019744473</v>
      </c>
      <c r="AT357">
        <f ca="1">IFERROR(IF(0=LEN(ReferenceData!$AT$357),"",ReferenceData!$AT$357),"")</f>
        <v>0.69058482499999996</v>
      </c>
      <c r="AU357">
        <f ca="1">IFERROR(IF(0=LEN(ReferenceData!$AU$357),"",ReferenceData!$AU$357),"")</f>
        <v>0.50715869099999999</v>
      </c>
      <c r="AV357">
        <f ca="1">IFERROR(IF(0=LEN(ReferenceData!$AV$357),"",ReferenceData!$AV$357),"")</f>
        <v>0.55312490199999997</v>
      </c>
      <c r="AW357">
        <f ca="1">IFERROR(IF(0=LEN(ReferenceData!$AW$357),"",ReferenceData!$AW$357),"")</f>
        <v>0.55801750000000006</v>
      </c>
      <c r="AX357">
        <f ca="1">IFERROR(IF(0=LEN(ReferenceData!$AX$357),"",ReferenceData!$AX$357),"")</f>
        <v>0.50481956299999997</v>
      </c>
      <c r="AY357">
        <f ca="1">IFERROR(IF(0=LEN(ReferenceData!$AY$357),"",ReferenceData!$AY$357),"")</f>
        <v>0.59860761299999998</v>
      </c>
      <c r="AZ357">
        <f ca="1">IFERROR(IF(0=LEN(ReferenceData!$AZ$357),"",ReferenceData!$AZ$357),"")</f>
        <v>0.57410696999999999</v>
      </c>
      <c r="BA357">
        <f ca="1">IFERROR(IF(0=LEN(ReferenceData!$BA$357),"",ReferenceData!$BA$357),"")</f>
        <v>0.65826718500000003</v>
      </c>
      <c r="BB357">
        <f ca="1">IFERROR(IF(0=LEN(ReferenceData!$BB$357),"",ReferenceData!$BB$357),"")</f>
        <v>0.72565091699999995</v>
      </c>
      <c r="BC357">
        <f ca="1">IFERROR(IF(0=LEN(ReferenceData!$BC$357),"",ReferenceData!$BC$357),"")</f>
        <v>0.81540183499999996</v>
      </c>
      <c r="BD357">
        <f ca="1">IFERROR(IF(0=LEN(ReferenceData!$BD$357),"",ReferenceData!$BD$357),"")</f>
        <v>0.822287451</v>
      </c>
      <c r="BE357">
        <f ca="1">IFERROR(IF(0=LEN(ReferenceData!$BE$357),"",ReferenceData!$BE$357),"")</f>
        <v>0.84902542400000003</v>
      </c>
      <c r="BF357">
        <f ca="1">IFERROR(IF(0=LEN(ReferenceData!$BF$357),"",ReferenceData!$BF$357),"")</f>
        <v>0.94613349599999996</v>
      </c>
      <c r="BG357" t="str">
        <f ca="1">IFERROR(IF(0=LEN(ReferenceData!$BG$357),"",ReferenceData!$BG$357),"")</f>
        <v/>
      </c>
      <c r="BH357">
        <f ca="1">IFERROR(IF(0=LEN(ReferenceData!$BH$357),"",ReferenceData!$BH$357),"")</f>
        <v>0.65798529299999997</v>
      </c>
      <c r="BI357" t="str">
        <f ca="1">IFERROR(IF(0=LEN(ReferenceData!$BI$357),"",ReferenceData!$BI$357),"")</f>
        <v/>
      </c>
      <c r="BJ357">
        <f ca="1">IFERROR(IF(0=LEN(ReferenceData!$BJ$357),"",ReferenceData!$BJ$357),"")</f>
        <v>0.61268205799999997</v>
      </c>
      <c r="BK357" t="str">
        <f ca="1">IFERROR(IF(0=LEN(ReferenceData!$BK$357),"",ReferenceData!$BK$357),"")</f>
        <v/>
      </c>
      <c r="BL357">
        <f ca="1">IFERROR(IF(0=LEN(ReferenceData!$BL$357),"",ReferenceData!$BL$357),"")</f>
        <v>0.53376093199999997</v>
      </c>
      <c r="BM357" t="str">
        <f ca="1">IFERROR(IF(0=LEN(ReferenceData!$BM$357),"",ReferenceData!$BM$357),"")</f>
        <v/>
      </c>
    </row>
    <row r="358" spans="1:65" x14ac:dyDescent="0.25">
      <c r="A358" t="str">
        <f>IFERROR(IF(0=LEN(ReferenceData!$A$358),"",ReferenceData!$A$358),"")</f>
        <v xml:space="preserve">    Nissan Motor Co Ltd</v>
      </c>
      <c r="B358" t="str">
        <f>IFERROR(IF(0=LEN(ReferenceData!$B$358),"",ReferenceData!$B$358),"")</f>
        <v>7201 JP Equity</v>
      </c>
      <c r="C358" t="str">
        <f>IFERROR(IF(0=LEN(ReferenceData!$C$358),"",ReferenceData!$C$358),"")</f>
        <v>RR473</v>
      </c>
      <c r="D358" t="str">
        <f>IFERROR(IF(0=LEN(ReferenceData!$D$358),"",ReferenceData!$D$358),"")</f>
        <v>EV_TO_T12M_SALES</v>
      </c>
      <c r="E358" t="str">
        <f>IFERROR(IF(0=LEN(ReferenceData!$E$358),"",ReferenceData!$E$358),"")</f>
        <v>Dynamic</v>
      </c>
      <c r="F358" t="str">
        <f ca="1">IFERROR(IF(0=LEN(ReferenceData!$F$358),"",ReferenceData!$F$358),"")</f>
        <v/>
      </c>
      <c r="G358">
        <f ca="1">IFERROR(IF(0=LEN(ReferenceData!$G$358),"",ReferenceData!$G$358),"")</f>
        <v>0.200960371</v>
      </c>
      <c r="H358">
        <f ca="1">IFERROR(IF(0=LEN(ReferenceData!$H$358),"",ReferenceData!$H$358),"")</f>
        <v>0.24472265700000001</v>
      </c>
      <c r="I358">
        <f ca="1">IFERROR(IF(0=LEN(ReferenceData!$I$358),"",ReferenceData!$I$358),"")</f>
        <v>0.24819686199999999</v>
      </c>
      <c r="J358">
        <f ca="1">IFERROR(IF(0=LEN(ReferenceData!$J$358),"",ReferenceData!$J$358),"")</f>
        <v>0.238620007</v>
      </c>
      <c r="K358">
        <f ca="1">IFERROR(IF(0=LEN(ReferenceData!$K$358),"",ReferenceData!$K$358),"")</f>
        <v>0.28134488200000002</v>
      </c>
      <c r="L358">
        <f ca="1">IFERROR(IF(0=LEN(ReferenceData!$L$358),"",ReferenceData!$L$358),"")</f>
        <v>0.23938688499999999</v>
      </c>
      <c r="M358">
        <f ca="1">IFERROR(IF(0=LEN(ReferenceData!$M$358),"",ReferenceData!$M$358),"")</f>
        <v>0.25533906000000001</v>
      </c>
      <c r="N358">
        <f ca="1">IFERROR(IF(0=LEN(ReferenceData!$N$358),"",ReferenceData!$N$358),"")</f>
        <v>0.24455871900000001</v>
      </c>
      <c r="O358">
        <f ca="1">IFERROR(IF(0=LEN(ReferenceData!$O$358),"",ReferenceData!$O$358),"")</f>
        <v>0.34322304599999998</v>
      </c>
      <c r="P358">
        <f ca="1">IFERROR(IF(0=LEN(ReferenceData!$P$358),"",ReferenceData!$P$358),"")</f>
        <v>0.25924013299999998</v>
      </c>
      <c r="Q358">
        <f ca="1">IFERROR(IF(0=LEN(ReferenceData!$Q$358),"",ReferenceData!$Q$358),"")</f>
        <v>0.23222489399999999</v>
      </c>
      <c r="R358">
        <f ca="1">IFERROR(IF(0=LEN(ReferenceData!$R$358),"",ReferenceData!$R$358),"")</f>
        <v>0.26723528499999999</v>
      </c>
      <c r="S358">
        <f ca="1">IFERROR(IF(0=LEN(ReferenceData!$S$358),"",ReferenceData!$S$358),"")</f>
        <v>0.35750812500000001</v>
      </c>
      <c r="T358">
        <f ca="1">IFERROR(IF(0=LEN(ReferenceData!$T$358),"",ReferenceData!$T$358),"")</f>
        <v>0.28338352700000002</v>
      </c>
      <c r="U358">
        <f ca="1">IFERROR(IF(0=LEN(ReferenceData!$U$358),"",ReferenceData!$U$358),"")</f>
        <v>0.40200291100000002</v>
      </c>
      <c r="V358">
        <f ca="1">IFERROR(IF(0=LEN(ReferenceData!$V$358),"",ReferenceData!$V$358),"")</f>
        <v>0.36510643300000001</v>
      </c>
      <c r="W358">
        <f ca="1">IFERROR(IF(0=LEN(ReferenceData!$W$358),"",ReferenceData!$W$358),"")</f>
        <v>0.32300679700000001</v>
      </c>
      <c r="X358">
        <f ca="1">IFERROR(IF(0=LEN(ReferenceData!$X$358),"",ReferenceData!$X$358),"")</f>
        <v>0.34232591600000001</v>
      </c>
      <c r="Y358">
        <f ca="1">IFERROR(IF(0=LEN(ReferenceData!$Y$358),"",ReferenceData!$Y$358),"")</f>
        <v>0.32240311100000002</v>
      </c>
      <c r="Z358">
        <f ca="1">IFERROR(IF(0=LEN(ReferenceData!$Z$358),"",ReferenceData!$Z$358),"")</f>
        <v>0.30210236099999999</v>
      </c>
      <c r="AA358">
        <f ca="1">IFERROR(IF(0=LEN(ReferenceData!$AA$358),"",ReferenceData!$AA$358),"")</f>
        <v>0.339816795</v>
      </c>
      <c r="AB358">
        <f ca="1">IFERROR(IF(0=LEN(ReferenceData!$AB$358),"",ReferenceData!$AB$358),"")</f>
        <v>0.39269040900000002</v>
      </c>
      <c r="AC358">
        <f ca="1">IFERROR(IF(0=LEN(ReferenceData!$AC$358),"",ReferenceData!$AC$358),"")</f>
        <v>0.429234687</v>
      </c>
      <c r="AD358">
        <f ca="1">IFERROR(IF(0=LEN(ReferenceData!$AD$358),"",ReferenceData!$AD$358),"")</f>
        <v>0.372937095</v>
      </c>
      <c r="AE358">
        <f ca="1">IFERROR(IF(0=LEN(ReferenceData!$AE$358),"",ReferenceData!$AE$358),"")</f>
        <v>0.38521903299999999</v>
      </c>
      <c r="AF358">
        <f ca="1">IFERROR(IF(0=LEN(ReferenceData!$AF$358),"",ReferenceData!$AF$358),"")</f>
        <v>0.29246328500000002</v>
      </c>
      <c r="AG358">
        <f ca="1">IFERROR(IF(0=LEN(ReferenceData!$AG$358),"",ReferenceData!$AG$358),"")</f>
        <v>0.31717952900000002</v>
      </c>
      <c r="AH358">
        <f ca="1">IFERROR(IF(0=LEN(ReferenceData!$AH$358),"",ReferenceData!$AH$358),"")</f>
        <v>0.35825194599999999</v>
      </c>
      <c r="AI358">
        <f ca="1">IFERROR(IF(0=LEN(ReferenceData!$AI$358),"",ReferenceData!$AI$358),"")</f>
        <v>0.315505496</v>
      </c>
      <c r="AJ358">
        <f ca="1">IFERROR(IF(0=LEN(ReferenceData!$AJ$358),"",ReferenceData!$AJ$358),"")</f>
        <v>0.32970502499999998</v>
      </c>
      <c r="AK358">
        <f ca="1">IFERROR(IF(0=LEN(ReferenceData!$AK$358),"",ReferenceData!$AK$358),"")</f>
        <v>0.40219223900000001</v>
      </c>
      <c r="AL358">
        <f ca="1">IFERROR(IF(0=LEN(ReferenceData!$AL$358),"",ReferenceData!$AL$358),"")</f>
        <v>0.35571542</v>
      </c>
      <c r="AM358">
        <f ca="1">IFERROR(IF(0=LEN(ReferenceData!$AM$358),"",ReferenceData!$AM$358),"")</f>
        <v>0.410063599</v>
      </c>
      <c r="AN358">
        <f ca="1">IFERROR(IF(0=LEN(ReferenceData!$AN$358),"",ReferenceData!$AN$358),"")</f>
        <v>0.38264653500000001</v>
      </c>
      <c r="AO358">
        <f ca="1">IFERROR(IF(0=LEN(ReferenceData!$AO$358),"",ReferenceData!$AO$358),"")</f>
        <v>0.35446241000000001</v>
      </c>
      <c r="AP358">
        <f ca="1">IFERROR(IF(0=LEN(ReferenceData!$AP$358),"",ReferenceData!$AP$358),"")</f>
        <v>0.46584711400000001</v>
      </c>
      <c r="AQ358">
        <f ca="1">IFERROR(IF(0=LEN(ReferenceData!$AQ$358),"",ReferenceData!$AQ$358),"")</f>
        <v>0.52978903700000002</v>
      </c>
      <c r="AR358">
        <f ca="1">IFERROR(IF(0=LEN(ReferenceData!$AR$358),"",ReferenceData!$AR$358),"")</f>
        <v>0.43037142499999997</v>
      </c>
      <c r="AS358">
        <f ca="1">IFERROR(IF(0=LEN(ReferenceData!$AS$358),"",ReferenceData!$AS$358),"")</f>
        <v>0.403672639</v>
      </c>
      <c r="AT358">
        <f ca="1">IFERROR(IF(0=LEN(ReferenceData!$AT$358),"",ReferenceData!$AT$358),"")</f>
        <v>0.678949672</v>
      </c>
      <c r="AU358">
        <f ca="1">IFERROR(IF(0=LEN(ReferenceData!$AU$358),"",ReferenceData!$AU$358),"")</f>
        <v>0.61429789599999995</v>
      </c>
      <c r="AV358">
        <f ca="1">IFERROR(IF(0=LEN(ReferenceData!$AV$358),"",ReferenceData!$AV$358),"")</f>
        <v>0.72472567600000004</v>
      </c>
      <c r="AW358">
        <f ca="1">IFERROR(IF(0=LEN(ReferenceData!$AW$358),"",ReferenceData!$AW$358),"")</f>
        <v>0.79667090200000001</v>
      </c>
      <c r="AX358">
        <f ca="1">IFERROR(IF(0=LEN(ReferenceData!$AX$358),"",ReferenceData!$AX$358),"")</f>
        <v>0.72495179200000004</v>
      </c>
      <c r="AY358">
        <f ca="1">IFERROR(IF(0=LEN(ReferenceData!$AY$358),"",ReferenceData!$AY$358),"")</f>
        <v>0.88922434400000006</v>
      </c>
      <c r="AZ358">
        <f ca="1">IFERROR(IF(0=LEN(ReferenceData!$AZ$358),"",ReferenceData!$AZ$358),"")</f>
        <v>0.88205092799999996</v>
      </c>
      <c r="BA358">
        <f ca="1">IFERROR(IF(0=LEN(ReferenceData!$BA$358),"",ReferenceData!$BA$358),"")</f>
        <v>0.99231637800000005</v>
      </c>
      <c r="BB358">
        <f ca="1">IFERROR(IF(0=LEN(ReferenceData!$BB$358),"",ReferenceData!$BB$358),"")</f>
        <v>0.96862014600000002</v>
      </c>
      <c r="BC358">
        <f ca="1">IFERROR(IF(0=LEN(ReferenceData!$BC$358),"",ReferenceData!$BC$358),"")</f>
        <v>1.153840325</v>
      </c>
      <c r="BD358">
        <f ca="1">IFERROR(IF(0=LEN(ReferenceData!$BD$358),"",ReferenceData!$BD$358),"")</f>
        <v>1.0853931960000001</v>
      </c>
      <c r="BE358">
        <f ca="1">IFERROR(IF(0=LEN(ReferenceData!$BE$358),"",ReferenceData!$BE$358),"")</f>
        <v>1.0574750639999999</v>
      </c>
      <c r="BF358">
        <f ca="1">IFERROR(IF(0=LEN(ReferenceData!$BF$358),"",ReferenceData!$BF$358),"")</f>
        <v>1.103737821</v>
      </c>
      <c r="BG358" t="str">
        <f ca="1">IFERROR(IF(0=LEN(ReferenceData!$BG$358),"",ReferenceData!$BG$358),"")</f>
        <v/>
      </c>
      <c r="BH358">
        <f ca="1">IFERROR(IF(0=LEN(ReferenceData!$BH$358),"",ReferenceData!$BH$358),"")</f>
        <v>1.0677037869999999</v>
      </c>
      <c r="BI358" t="str">
        <f ca="1">IFERROR(IF(0=LEN(ReferenceData!$BI$358),"",ReferenceData!$BI$358),"")</f>
        <v/>
      </c>
      <c r="BJ358">
        <f ca="1">IFERROR(IF(0=LEN(ReferenceData!$BJ$358),"",ReferenceData!$BJ$358),"")</f>
        <v>0.95817228200000004</v>
      </c>
      <c r="BK358" t="str">
        <f ca="1">IFERROR(IF(0=LEN(ReferenceData!$BK$358),"",ReferenceData!$BK$358),"")</f>
        <v/>
      </c>
      <c r="BL358">
        <f ca="1">IFERROR(IF(0=LEN(ReferenceData!$BL$358),"",ReferenceData!$BL$358),"")</f>
        <v>1.064814079</v>
      </c>
      <c r="BM358" t="str">
        <f ca="1">IFERROR(IF(0=LEN(ReferenceData!$BM$358),"",ReferenceData!$BM$358),"")</f>
        <v/>
      </c>
    </row>
    <row r="359" spans="1:65" x14ac:dyDescent="0.25">
      <c r="A359" t="str">
        <f>IFERROR(IF(0=LEN(ReferenceData!$A$359),"",ReferenceData!$A$359),"")</f>
        <v xml:space="preserve">    Peugeot SA</v>
      </c>
      <c r="B359" t="str">
        <f>IFERROR(IF(0=LEN(ReferenceData!$B$359),"",ReferenceData!$B$359),"")</f>
        <v>UG FP Equity</v>
      </c>
      <c r="C359" t="str">
        <f>IFERROR(IF(0=LEN(ReferenceData!$C$359),"",ReferenceData!$C$359),"")</f>
        <v>RR473</v>
      </c>
      <c r="D359" t="str">
        <f>IFERROR(IF(0=LEN(ReferenceData!$D$359),"",ReferenceData!$D$359),"")</f>
        <v>EV_TO_T12M_SALES</v>
      </c>
      <c r="E359" t="str">
        <f>IFERROR(IF(0=LEN(ReferenceData!$E$359),"",ReferenceData!$E$359),"")</f>
        <v>Dynamic</v>
      </c>
      <c r="F359" t="str">
        <f ca="1">IFERROR(IF(0=LEN(ReferenceData!$F$359),"",ReferenceData!$F$359),"")</f>
        <v/>
      </c>
      <c r="G359" t="str">
        <f ca="1">IFERROR(IF(0=LEN(ReferenceData!$G$359),"",ReferenceData!$G$359),"")</f>
        <v/>
      </c>
      <c r="H359" t="str">
        <f ca="1">IFERROR(IF(0=LEN(ReferenceData!$H$359),"",ReferenceData!$H$359),"")</f>
        <v/>
      </c>
      <c r="I359" t="str">
        <f ca="1">IFERROR(IF(0=LEN(ReferenceData!$I$359),"",ReferenceData!$I$359),"")</f>
        <v/>
      </c>
      <c r="J359" t="str">
        <f ca="1">IFERROR(IF(0=LEN(ReferenceData!$J$359),"",ReferenceData!$J$359),"")</f>
        <v/>
      </c>
      <c r="K359" t="str">
        <f ca="1">IFERROR(IF(0=LEN(ReferenceData!$K$359),"",ReferenceData!$K$359),"")</f>
        <v/>
      </c>
      <c r="L359" t="str">
        <f ca="1">IFERROR(IF(0=LEN(ReferenceData!$L$359),"",ReferenceData!$L$359),"")</f>
        <v/>
      </c>
      <c r="M359" t="str">
        <f ca="1">IFERROR(IF(0=LEN(ReferenceData!$M$359),"",ReferenceData!$M$359),"")</f>
        <v/>
      </c>
      <c r="N359" t="str">
        <f ca="1">IFERROR(IF(0=LEN(ReferenceData!$N$359),"",ReferenceData!$N$359),"")</f>
        <v/>
      </c>
      <c r="O359" t="str">
        <f ca="1">IFERROR(IF(0=LEN(ReferenceData!$O$359),"",ReferenceData!$O$359),"")</f>
        <v/>
      </c>
      <c r="P359" t="str">
        <f ca="1">IFERROR(IF(0=LEN(ReferenceData!$P$359),"",ReferenceData!$P$359),"")</f>
        <v/>
      </c>
      <c r="Q359" t="str">
        <f ca="1">IFERROR(IF(0=LEN(ReferenceData!$Q$359),"",ReferenceData!$Q$359),"")</f>
        <v/>
      </c>
      <c r="R359" t="str">
        <f ca="1">IFERROR(IF(0=LEN(ReferenceData!$R$359),"",ReferenceData!$R$359),"")</f>
        <v/>
      </c>
      <c r="S359" t="str">
        <f ca="1">IFERROR(IF(0=LEN(ReferenceData!$S$359),"",ReferenceData!$S$359),"")</f>
        <v/>
      </c>
      <c r="T359" t="str">
        <f ca="1">IFERROR(IF(0=LEN(ReferenceData!$T$359),"",ReferenceData!$T$359),"")</f>
        <v/>
      </c>
      <c r="U359" t="str">
        <f ca="1">IFERROR(IF(0=LEN(ReferenceData!$U$359),"",ReferenceData!$U$359),"")</f>
        <v/>
      </c>
      <c r="V359" t="str">
        <f ca="1">IFERROR(IF(0=LEN(ReferenceData!$V$359),"",ReferenceData!$V$359),"")</f>
        <v/>
      </c>
      <c r="W359" t="str">
        <f ca="1">IFERROR(IF(0=LEN(ReferenceData!$W$359),"",ReferenceData!$W$359),"")</f>
        <v/>
      </c>
      <c r="X359" t="str">
        <f ca="1">IFERROR(IF(0=LEN(ReferenceData!$X$359),"",ReferenceData!$X$359),"")</f>
        <v/>
      </c>
      <c r="Y359" t="str">
        <f ca="1">IFERROR(IF(0=LEN(ReferenceData!$Y$359),"",ReferenceData!$Y$359),"")</f>
        <v/>
      </c>
      <c r="Z359" t="str">
        <f ca="1">IFERROR(IF(0=LEN(ReferenceData!$Z$359),"",ReferenceData!$Z$359),"")</f>
        <v/>
      </c>
      <c r="AA359" t="str">
        <f ca="1">IFERROR(IF(0=LEN(ReferenceData!$AA$359),"",ReferenceData!$AA$359),"")</f>
        <v/>
      </c>
      <c r="AB359" t="str">
        <f ca="1">IFERROR(IF(0=LEN(ReferenceData!$AB$359),"",ReferenceData!$AB$359),"")</f>
        <v/>
      </c>
      <c r="AC359" t="str">
        <f ca="1">IFERROR(IF(0=LEN(ReferenceData!$AC$359),"",ReferenceData!$AC$359),"")</f>
        <v/>
      </c>
      <c r="AD359" t="str">
        <f ca="1">IFERROR(IF(0=LEN(ReferenceData!$AD$359),"",ReferenceData!$AD$359),"")</f>
        <v/>
      </c>
      <c r="AE359" t="str">
        <f ca="1">IFERROR(IF(0=LEN(ReferenceData!$AE$359),"",ReferenceData!$AE$359),"")</f>
        <v/>
      </c>
      <c r="AF359" t="str">
        <f ca="1">IFERROR(IF(0=LEN(ReferenceData!$AF$359),"",ReferenceData!$AF$359),"")</f>
        <v/>
      </c>
      <c r="AG359" t="str">
        <f ca="1">IFERROR(IF(0=LEN(ReferenceData!$AG$359),"",ReferenceData!$AG$359),"")</f>
        <v/>
      </c>
      <c r="AH359" t="str">
        <f ca="1">IFERROR(IF(0=LEN(ReferenceData!$AH$359),"",ReferenceData!$AH$359),"")</f>
        <v/>
      </c>
      <c r="AI359" t="str">
        <f ca="1">IFERROR(IF(0=LEN(ReferenceData!$AI$359),"",ReferenceData!$AI$359),"")</f>
        <v/>
      </c>
      <c r="AJ359" t="str">
        <f ca="1">IFERROR(IF(0=LEN(ReferenceData!$AJ$359),"",ReferenceData!$AJ$359),"")</f>
        <v/>
      </c>
      <c r="AK359" t="str">
        <f ca="1">IFERROR(IF(0=LEN(ReferenceData!$AK$359),"",ReferenceData!$AK$359),"")</f>
        <v/>
      </c>
      <c r="AL359" t="str">
        <f ca="1">IFERROR(IF(0=LEN(ReferenceData!$AL$359),"",ReferenceData!$AL$359),"")</f>
        <v/>
      </c>
      <c r="AM359" t="str">
        <f ca="1">IFERROR(IF(0=LEN(ReferenceData!$AM$359),"",ReferenceData!$AM$359),"")</f>
        <v/>
      </c>
      <c r="AN359" t="str">
        <f ca="1">IFERROR(IF(0=LEN(ReferenceData!$AN$359),"",ReferenceData!$AN$359),"")</f>
        <v/>
      </c>
      <c r="AO359" t="str">
        <f ca="1">IFERROR(IF(0=LEN(ReferenceData!$AO$359),"",ReferenceData!$AO$359),"")</f>
        <v/>
      </c>
      <c r="AP359" t="str">
        <f ca="1">IFERROR(IF(0=LEN(ReferenceData!$AP$359),"",ReferenceData!$AP$359),"")</f>
        <v/>
      </c>
      <c r="AQ359" t="str">
        <f ca="1">IFERROR(IF(0=LEN(ReferenceData!$AQ$359),"",ReferenceData!$AQ$359),"")</f>
        <v/>
      </c>
      <c r="AR359" t="str">
        <f ca="1">IFERROR(IF(0=LEN(ReferenceData!$AR$359),"",ReferenceData!$AR$359),"")</f>
        <v/>
      </c>
      <c r="AS359" t="str">
        <f ca="1">IFERROR(IF(0=LEN(ReferenceData!$AS$359),"",ReferenceData!$AS$359),"")</f>
        <v/>
      </c>
      <c r="AT359" t="str">
        <f ca="1">IFERROR(IF(0=LEN(ReferenceData!$AT$359),"",ReferenceData!$AT$359),"")</f>
        <v/>
      </c>
      <c r="AU359" t="str">
        <f ca="1">IFERROR(IF(0=LEN(ReferenceData!$AU$359),"",ReferenceData!$AU$359),"")</f>
        <v/>
      </c>
      <c r="AV359" t="str">
        <f ca="1">IFERROR(IF(0=LEN(ReferenceData!$AV$359),"",ReferenceData!$AV$359),"")</f>
        <v/>
      </c>
      <c r="AW359" t="str">
        <f ca="1">IFERROR(IF(0=LEN(ReferenceData!$AW$359),"",ReferenceData!$AW$359),"")</f>
        <v/>
      </c>
      <c r="AX359" t="str">
        <f ca="1">IFERROR(IF(0=LEN(ReferenceData!$AX$359),"",ReferenceData!$AX$359),"")</f>
        <v/>
      </c>
      <c r="AY359" t="str">
        <f ca="1">IFERROR(IF(0=LEN(ReferenceData!$AY$359),"",ReferenceData!$AY$359),"")</f>
        <v/>
      </c>
      <c r="AZ359" t="str">
        <f ca="1">IFERROR(IF(0=LEN(ReferenceData!$AZ$359),"",ReferenceData!$AZ$359),"")</f>
        <v/>
      </c>
      <c r="BA359" t="str">
        <f ca="1">IFERROR(IF(0=LEN(ReferenceData!$BA$359),"",ReferenceData!$BA$359),"")</f>
        <v/>
      </c>
      <c r="BB359" t="str">
        <f ca="1">IFERROR(IF(0=LEN(ReferenceData!$BB$359),"",ReferenceData!$BB$359),"")</f>
        <v/>
      </c>
      <c r="BC359" t="str">
        <f ca="1">IFERROR(IF(0=LEN(ReferenceData!$BC$359),"",ReferenceData!$BC$359),"")</f>
        <v/>
      </c>
      <c r="BD359" t="str">
        <f ca="1">IFERROR(IF(0=LEN(ReferenceData!$BD$359),"",ReferenceData!$BD$359),"")</f>
        <v/>
      </c>
      <c r="BE359" t="str">
        <f ca="1">IFERROR(IF(0=LEN(ReferenceData!$BE$359),"",ReferenceData!$BE$359),"")</f>
        <v/>
      </c>
      <c r="BF359" t="str">
        <f ca="1">IFERROR(IF(0=LEN(ReferenceData!$BF$359),"",ReferenceData!$BF$359),"")</f>
        <v/>
      </c>
      <c r="BG359" t="str">
        <f ca="1">IFERROR(IF(0=LEN(ReferenceData!$BG$359),"",ReferenceData!$BG$359),"")</f>
        <v/>
      </c>
      <c r="BH359" t="str">
        <f ca="1">IFERROR(IF(0=LEN(ReferenceData!$BH$359),"",ReferenceData!$BH$359),"")</f>
        <v/>
      </c>
      <c r="BI359" t="str">
        <f ca="1">IFERROR(IF(0=LEN(ReferenceData!$BI$359),"",ReferenceData!$BI$359),"")</f>
        <v/>
      </c>
      <c r="BJ359" t="str">
        <f ca="1">IFERROR(IF(0=LEN(ReferenceData!$BJ$359),"",ReferenceData!$BJ$359),"")</f>
        <v/>
      </c>
      <c r="BK359" t="str">
        <f ca="1">IFERROR(IF(0=LEN(ReferenceData!$BK$359),"",ReferenceData!$BK$359),"")</f>
        <v/>
      </c>
      <c r="BL359" t="str">
        <f ca="1">IFERROR(IF(0=LEN(ReferenceData!$BL$359),"",ReferenceData!$BL$359),"")</f>
        <v/>
      </c>
      <c r="BM359" t="str">
        <f ca="1">IFERROR(IF(0=LEN(ReferenceData!$BM$359),"",ReferenceData!$BM$359),"")</f>
        <v/>
      </c>
    </row>
    <row r="360" spans="1:65" x14ac:dyDescent="0.25">
      <c r="A360" t="str">
        <f>IFERROR(IF(0=LEN(ReferenceData!$A$360),"",ReferenceData!$A$360),"")</f>
        <v xml:space="preserve">    Renault SA</v>
      </c>
      <c r="B360" t="str">
        <f>IFERROR(IF(0=LEN(ReferenceData!$B$360),"",ReferenceData!$B$360),"")</f>
        <v>RNO FP Equity</v>
      </c>
      <c r="C360" t="str">
        <f>IFERROR(IF(0=LEN(ReferenceData!$C$360),"",ReferenceData!$C$360),"")</f>
        <v>RR473</v>
      </c>
      <c r="D360" t="str">
        <f>IFERROR(IF(0=LEN(ReferenceData!$D$360),"",ReferenceData!$D$360),"")</f>
        <v>EV_TO_T12M_SALES</v>
      </c>
      <c r="E360" t="str">
        <f>IFERROR(IF(0=LEN(ReferenceData!$E$360),"",ReferenceData!$E$360),"")</f>
        <v>Dynamic</v>
      </c>
      <c r="F360" t="str">
        <f ca="1">IFERROR(IF(0=LEN(ReferenceData!$F$360),"",ReferenceData!$F$360),"")</f>
        <v/>
      </c>
      <c r="G360" t="str">
        <f ca="1">IFERROR(IF(0=LEN(ReferenceData!$G$360),"",ReferenceData!$G$360),"")</f>
        <v/>
      </c>
      <c r="H360" t="str">
        <f ca="1">IFERROR(IF(0=LEN(ReferenceData!$H$360),"",ReferenceData!$H$360),"")</f>
        <v/>
      </c>
      <c r="I360" t="str">
        <f ca="1">IFERROR(IF(0=LEN(ReferenceData!$I$360),"",ReferenceData!$I$360),"")</f>
        <v/>
      </c>
      <c r="J360" t="str">
        <f ca="1">IFERROR(IF(0=LEN(ReferenceData!$J$360),"",ReferenceData!$J$360),"")</f>
        <v/>
      </c>
      <c r="K360" t="str">
        <f ca="1">IFERROR(IF(0=LEN(ReferenceData!$K$360),"",ReferenceData!$K$360),"")</f>
        <v/>
      </c>
      <c r="L360" t="str">
        <f ca="1">IFERROR(IF(0=LEN(ReferenceData!$L$360),"",ReferenceData!$L$360),"")</f>
        <v/>
      </c>
      <c r="M360" t="str">
        <f ca="1">IFERROR(IF(0=LEN(ReferenceData!$M$360),"",ReferenceData!$M$360),"")</f>
        <v/>
      </c>
      <c r="N360" t="str">
        <f ca="1">IFERROR(IF(0=LEN(ReferenceData!$N$360),"",ReferenceData!$N$360),"")</f>
        <v/>
      </c>
      <c r="O360" t="str">
        <f ca="1">IFERROR(IF(0=LEN(ReferenceData!$O$360),"",ReferenceData!$O$360),"")</f>
        <v/>
      </c>
      <c r="P360" t="str">
        <f ca="1">IFERROR(IF(0=LEN(ReferenceData!$P$360),"",ReferenceData!$P$360),"")</f>
        <v/>
      </c>
      <c r="Q360" t="str">
        <f ca="1">IFERROR(IF(0=LEN(ReferenceData!$Q$360),"",ReferenceData!$Q$360),"")</f>
        <v/>
      </c>
      <c r="R360" t="str">
        <f ca="1">IFERROR(IF(0=LEN(ReferenceData!$R$360),"",ReferenceData!$R$360),"")</f>
        <v/>
      </c>
      <c r="S360" t="str">
        <f ca="1">IFERROR(IF(0=LEN(ReferenceData!$S$360),"",ReferenceData!$S$360),"")</f>
        <v/>
      </c>
      <c r="T360" t="str">
        <f ca="1">IFERROR(IF(0=LEN(ReferenceData!$T$360),"",ReferenceData!$T$360),"")</f>
        <v/>
      </c>
      <c r="U360" t="str">
        <f ca="1">IFERROR(IF(0=LEN(ReferenceData!$U$360),"",ReferenceData!$U$360),"")</f>
        <v/>
      </c>
      <c r="V360" t="str">
        <f ca="1">IFERROR(IF(0=LEN(ReferenceData!$V$360),"",ReferenceData!$V$360),"")</f>
        <v/>
      </c>
      <c r="W360" t="str">
        <f ca="1">IFERROR(IF(0=LEN(ReferenceData!$W$360),"",ReferenceData!$W$360),"")</f>
        <v/>
      </c>
      <c r="X360" t="str">
        <f ca="1">IFERROR(IF(0=LEN(ReferenceData!$X$360),"",ReferenceData!$X$360),"")</f>
        <v/>
      </c>
      <c r="Y360" t="str">
        <f ca="1">IFERROR(IF(0=LEN(ReferenceData!$Y$360),"",ReferenceData!$Y$360),"")</f>
        <v/>
      </c>
      <c r="Z360" t="str">
        <f ca="1">IFERROR(IF(0=LEN(ReferenceData!$Z$360),"",ReferenceData!$Z$360),"")</f>
        <v/>
      </c>
      <c r="AA360" t="str">
        <f ca="1">IFERROR(IF(0=LEN(ReferenceData!$AA$360),"",ReferenceData!$AA$360),"")</f>
        <v/>
      </c>
      <c r="AB360" t="str">
        <f ca="1">IFERROR(IF(0=LEN(ReferenceData!$AB$360),"",ReferenceData!$AB$360),"")</f>
        <v/>
      </c>
      <c r="AC360" t="str">
        <f ca="1">IFERROR(IF(0=LEN(ReferenceData!$AC$360),"",ReferenceData!$AC$360),"")</f>
        <v/>
      </c>
      <c r="AD360" t="str">
        <f ca="1">IFERROR(IF(0=LEN(ReferenceData!$AD$360),"",ReferenceData!$AD$360),"")</f>
        <v/>
      </c>
      <c r="AE360" t="str">
        <f ca="1">IFERROR(IF(0=LEN(ReferenceData!$AE$360),"",ReferenceData!$AE$360),"")</f>
        <v/>
      </c>
      <c r="AF360" t="str">
        <f ca="1">IFERROR(IF(0=LEN(ReferenceData!$AF$360),"",ReferenceData!$AF$360),"")</f>
        <v/>
      </c>
      <c r="AG360" t="str">
        <f ca="1">IFERROR(IF(0=LEN(ReferenceData!$AG$360),"",ReferenceData!$AG$360),"")</f>
        <v/>
      </c>
      <c r="AH360" t="str">
        <f ca="1">IFERROR(IF(0=LEN(ReferenceData!$AH$360),"",ReferenceData!$AH$360),"")</f>
        <v/>
      </c>
      <c r="AI360" t="str">
        <f ca="1">IFERROR(IF(0=LEN(ReferenceData!$AI$360),"",ReferenceData!$AI$360),"")</f>
        <v/>
      </c>
      <c r="AJ360" t="str">
        <f ca="1">IFERROR(IF(0=LEN(ReferenceData!$AJ$360),"",ReferenceData!$AJ$360),"")</f>
        <v/>
      </c>
      <c r="AK360" t="str">
        <f ca="1">IFERROR(IF(0=LEN(ReferenceData!$AK$360),"",ReferenceData!$AK$360),"")</f>
        <v/>
      </c>
      <c r="AL360" t="str">
        <f ca="1">IFERROR(IF(0=LEN(ReferenceData!$AL$360),"",ReferenceData!$AL$360),"")</f>
        <v/>
      </c>
      <c r="AM360" t="str">
        <f ca="1">IFERROR(IF(0=LEN(ReferenceData!$AM$360),"",ReferenceData!$AM$360),"")</f>
        <v/>
      </c>
      <c r="AN360" t="str">
        <f ca="1">IFERROR(IF(0=LEN(ReferenceData!$AN$360),"",ReferenceData!$AN$360),"")</f>
        <v/>
      </c>
      <c r="AO360" t="str">
        <f ca="1">IFERROR(IF(0=LEN(ReferenceData!$AO$360),"",ReferenceData!$AO$360),"")</f>
        <v/>
      </c>
      <c r="AP360" t="str">
        <f ca="1">IFERROR(IF(0=LEN(ReferenceData!$AP$360),"",ReferenceData!$AP$360),"")</f>
        <v/>
      </c>
      <c r="AQ360" t="str">
        <f ca="1">IFERROR(IF(0=LEN(ReferenceData!$AQ$360),"",ReferenceData!$AQ$360),"")</f>
        <v/>
      </c>
      <c r="AR360" t="str">
        <f ca="1">IFERROR(IF(0=LEN(ReferenceData!$AR$360),"",ReferenceData!$AR$360),"")</f>
        <v/>
      </c>
      <c r="AS360" t="str">
        <f ca="1">IFERROR(IF(0=LEN(ReferenceData!$AS$360),"",ReferenceData!$AS$360),"")</f>
        <v/>
      </c>
      <c r="AT360" t="str">
        <f ca="1">IFERROR(IF(0=LEN(ReferenceData!$AT$360),"",ReferenceData!$AT$360),"")</f>
        <v/>
      </c>
      <c r="AU360" t="str">
        <f ca="1">IFERROR(IF(0=LEN(ReferenceData!$AU$360),"",ReferenceData!$AU$360),"")</f>
        <v/>
      </c>
      <c r="AV360" t="str">
        <f ca="1">IFERROR(IF(0=LEN(ReferenceData!$AV$360),"",ReferenceData!$AV$360),"")</f>
        <v/>
      </c>
      <c r="AW360" t="str">
        <f ca="1">IFERROR(IF(0=LEN(ReferenceData!$AW$360),"",ReferenceData!$AW$360),"")</f>
        <v/>
      </c>
      <c r="AX360" t="str">
        <f ca="1">IFERROR(IF(0=LEN(ReferenceData!$AX$360),"",ReferenceData!$AX$360),"")</f>
        <v/>
      </c>
      <c r="AY360" t="str">
        <f ca="1">IFERROR(IF(0=LEN(ReferenceData!$AY$360),"",ReferenceData!$AY$360),"")</f>
        <v/>
      </c>
      <c r="AZ360" t="str">
        <f ca="1">IFERROR(IF(0=LEN(ReferenceData!$AZ$360),"",ReferenceData!$AZ$360),"")</f>
        <v/>
      </c>
      <c r="BA360" t="str">
        <f ca="1">IFERROR(IF(0=LEN(ReferenceData!$BA$360),"",ReferenceData!$BA$360),"")</f>
        <v/>
      </c>
      <c r="BB360" t="str">
        <f ca="1">IFERROR(IF(0=LEN(ReferenceData!$BB$360),"",ReferenceData!$BB$360),"")</f>
        <v/>
      </c>
      <c r="BC360" t="str">
        <f ca="1">IFERROR(IF(0=LEN(ReferenceData!$BC$360),"",ReferenceData!$BC$360),"")</f>
        <v/>
      </c>
      <c r="BD360" t="str">
        <f ca="1">IFERROR(IF(0=LEN(ReferenceData!$BD$360),"",ReferenceData!$BD$360),"")</f>
        <v/>
      </c>
      <c r="BE360" t="str">
        <f ca="1">IFERROR(IF(0=LEN(ReferenceData!$BE$360),"",ReferenceData!$BE$360),"")</f>
        <v/>
      </c>
      <c r="BF360" t="str">
        <f ca="1">IFERROR(IF(0=LEN(ReferenceData!$BF$360),"",ReferenceData!$BF$360),"")</f>
        <v/>
      </c>
      <c r="BG360" t="str">
        <f ca="1">IFERROR(IF(0=LEN(ReferenceData!$BG$360),"",ReferenceData!$BG$360),"")</f>
        <v/>
      </c>
      <c r="BH360" t="str">
        <f ca="1">IFERROR(IF(0=LEN(ReferenceData!$BH$360),"",ReferenceData!$BH$360),"")</f>
        <v/>
      </c>
      <c r="BI360" t="str">
        <f ca="1">IFERROR(IF(0=LEN(ReferenceData!$BI$360),"",ReferenceData!$BI$360),"")</f>
        <v/>
      </c>
      <c r="BJ360" t="str">
        <f ca="1">IFERROR(IF(0=LEN(ReferenceData!$BJ$360),"",ReferenceData!$BJ$360),"")</f>
        <v/>
      </c>
      <c r="BK360" t="str">
        <f ca="1">IFERROR(IF(0=LEN(ReferenceData!$BK$360),"",ReferenceData!$BK$360),"")</f>
        <v/>
      </c>
      <c r="BL360" t="str">
        <f ca="1">IFERROR(IF(0=LEN(ReferenceData!$BL$360),"",ReferenceData!$BL$360),"")</f>
        <v/>
      </c>
      <c r="BM360" t="str">
        <f ca="1">IFERROR(IF(0=LEN(ReferenceData!$BM$360),"",ReferenceData!$BM$360),"")</f>
        <v/>
      </c>
    </row>
    <row r="361" spans="1:65" x14ac:dyDescent="0.25">
      <c r="A361" t="str">
        <f>IFERROR(IF(0=LEN(ReferenceData!$A$361),"",ReferenceData!$A$361),"")</f>
        <v xml:space="preserve">    SAIC Motor Corp Ltd</v>
      </c>
      <c r="B361" t="str">
        <f>IFERROR(IF(0=LEN(ReferenceData!$B$361),"",ReferenceData!$B$361),"")</f>
        <v>600104 CH Equity</v>
      </c>
      <c r="C361" t="str">
        <f>IFERROR(IF(0=LEN(ReferenceData!$C$361),"",ReferenceData!$C$361),"")</f>
        <v>RR473</v>
      </c>
      <c r="D361" t="str">
        <f>IFERROR(IF(0=LEN(ReferenceData!$D$361),"",ReferenceData!$D$361),"")</f>
        <v>EV_TO_T12M_SALES</v>
      </c>
      <c r="E361" t="str">
        <f>IFERROR(IF(0=LEN(ReferenceData!$E$361),"",ReferenceData!$E$361),"")</f>
        <v>Dynamic</v>
      </c>
      <c r="F361" t="str">
        <f ca="1">IFERROR(IF(0=LEN(ReferenceData!$F$361),"",ReferenceData!$F$361),"")</f>
        <v/>
      </c>
      <c r="G361" t="str">
        <f ca="1">IFERROR(IF(0=LEN(ReferenceData!$G$361),"",ReferenceData!$G$361),"")</f>
        <v/>
      </c>
      <c r="H361">
        <f ca="1">IFERROR(IF(0=LEN(ReferenceData!$H$361),"",ReferenceData!$H$361),"")</f>
        <v>0.511895294</v>
      </c>
      <c r="I361">
        <f ca="1">IFERROR(IF(0=LEN(ReferenceData!$I$361),"",ReferenceData!$I$361),"")</f>
        <v>0.47948343999999998</v>
      </c>
      <c r="J361">
        <f ca="1">IFERROR(IF(0=LEN(ReferenceData!$J$361),"",ReferenceData!$J$361),"")</f>
        <v>0.55056191499999996</v>
      </c>
      <c r="K361">
        <f ca="1">IFERROR(IF(0=LEN(ReferenceData!$K$361),"",ReferenceData!$K$361),"")</f>
        <v>0.555273236</v>
      </c>
      <c r="L361">
        <f ca="1">IFERROR(IF(0=LEN(ReferenceData!$L$361),"",ReferenceData!$L$361),"")</f>
        <v>0.51045172800000005</v>
      </c>
      <c r="M361">
        <f ca="1">IFERROR(IF(0=LEN(ReferenceData!$M$361),"",ReferenceData!$M$361),"")</f>
        <v>0.43673318500000002</v>
      </c>
      <c r="N361">
        <f ca="1">IFERROR(IF(0=LEN(ReferenceData!$N$361),"",ReferenceData!$N$361),"")</f>
        <v>0.47974874299999998</v>
      </c>
      <c r="O361">
        <f ca="1">IFERROR(IF(0=LEN(ReferenceData!$O$361),"",ReferenceData!$O$361),"")</f>
        <v>0.43242800100000001</v>
      </c>
      <c r="P361">
        <f ca="1">IFERROR(IF(0=LEN(ReferenceData!$P$361),"",ReferenceData!$P$361),"")</f>
        <v>0.41814050800000002</v>
      </c>
      <c r="Q361">
        <f ca="1">IFERROR(IF(0=LEN(ReferenceData!$Q$361),"",ReferenceData!$Q$361),"")</f>
        <v>0.41365299900000002</v>
      </c>
      <c r="R361">
        <f ca="1">IFERROR(IF(0=LEN(ReferenceData!$R$361),"",ReferenceData!$R$361),"")</f>
        <v>0.399102866</v>
      </c>
      <c r="S361">
        <f ca="1">IFERROR(IF(0=LEN(ReferenceData!$S$361),"",ReferenceData!$S$361),"")</f>
        <v>0.45274725700000001</v>
      </c>
      <c r="T361">
        <f ca="1">IFERROR(IF(0=LEN(ReferenceData!$T$361),"",ReferenceData!$T$361),"")</f>
        <v>0.38530245699999999</v>
      </c>
      <c r="U361">
        <f ca="1">IFERROR(IF(0=LEN(ReferenceData!$U$361),"",ReferenceData!$U$361),"")</f>
        <v>0.47966172600000001</v>
      </c>
      <c r="V361">
        <f ca="1">IFERROR(IF(0=LEN(ReferenceData!$V$361),"",ReferenceData!$V$361),"")</f>
        <v>0.54272221899999995</v>
      </c>
      <c r="W361">
        <f ca="1">IFERROR(IF(0=LEN(ReferenceData!$W$361),"",ReferenceData!$W$361),"")</f>
        <v>0.38754881899999999</v>
      </c>
      <c r="X361">
        <f ca="1">IFERROR(IF(0=LEN(ReferenceData!$X$361),"",ReferenceData!$X$361),"")</f>
        <v>0.32151887000000001</v>
      </c>
      <c r="Y361">
        <f ca="1">IFERROR(IF(0=LEN(ReferenceData!$Y$361),"",ReferenceData!$Y$361),"")</f>
        <v>0.25500973599999999</v>
      </c>
      <c r="Z361">
        <f ca="1">IFERROR(IF(0=LEN(ReferenceData!$Z$361),"",ReferenceData!$Z$361),"")</f>
        <v>0.28529545099999998</v>
      </c>
      <c r="AA361">
        <f ca="1">IFERROR(IF(0=LEN(ReferenceData!$AA$361),"",ReferenceData!$AA$361),"")</f>
        <v>0.27855868099999997</v>
      </c>
      <c r="AB361">
        <f ca="1">IFERROR(IF(0=LEN(ReferenceData!$AB$361),"",ReferenceData!$AB$361),"")</f>
        <v>0.29289262300000002</v>
      </c>
      <c r="AC361">
        <f ca="1">IFERROR(IF(0=LEN(ReferenceData!$AC$361),"",ReferenceData!$AC$361),"")</f>
        <v>0.240451785</v>
      </c>
      <c r="AD361">
        <f ca="1">IFERROR(IF(0=LEN(ReferenceData!$AD$361),"",ReferenceData!$AD$361),"")</f>
        <v>0.37806051099999999</v>
      </c>
      <c r="AE361">
        <f ca="1">IFERROR(IF(0=LEN(ReferenceData!$AE$361),"",ReferenceData!$AE$361),"")</f>
        <v>0.42190720900000001</v>
      </c>
      <c r="AF361">
        <f ca="1">IFERROR(IF(0=LEN(ReferenceData!$AF$361),"",ReferenceData!$AF$361),"")</f>
        <v>0.28821035299999997</v>
      </c>
      <c r="AG361">
        <f ca="1">IFERROR(IF(0=LEN(ReferenceData!$AG$361),"",ReferenceData!$AG$361),"")</f>
        <v>0.29594400500000001</v>
      </c>
      <c r="AH361">
        <f ca="1">IFERROR(IF(0=LEN(ReferenceData!$AH$361),"",ReferenceData!$AH$361),"")</f>
        <v>0.32716492400000002</v>
      </c>
      <c r="AI361">
        <f ca="1">IFERROR(IF(0=LEN(ReferenceData!$AI$361),"",ReferenceData!$AI$361),"")</f>
        <v>0.345407819</v>
      </c>
      <c r="AJ361">
        <f ca="1">IFERROR(IF(0=LEN(ReferenceData!$AJ$361),"",ReferenceData!$AJ$361),"")</f>
        <v>0.33053114900000002</v>
      </c>
      <c r="AK361">
        <f ca="1">IFERROR(IF(0=LEN(ReferenceData!$AK$361),"",ReferenceData!$AK$361),"")</f>
        <v>0.40362784899999998</v>
      </c>
      <c r="AL361" t="str">
        <f ca="1">IFERROR(IF(0=LEN(ReferenceData!$AL$361),"",ReferenceData!$AL$361),"")</f>
        <v/>
      </c>
      <c r="AM361">
        <f ca="1">IFERROR(IF(0=LEN(ReferenceData!$AM$361),"",ReferenceData!$AM$361),"")</f>
        <v>0.364686872</v>
      </c>
      <c r="AN361">
        <f ca="1">IFERROR(IF(0=LEN(ReferenceData!$AN$361),"",ReferenceData!$AN$361),"")</f>
        <v>0.59094153599999999</v>
      </c>
      <c r="AO361">
        <f ca="1">IFERROR(IF(0=LEN(ReferenceData!$AO$361),"",ReferenceData!$AO$361),"")</f>
        <v>0.53673349699999995</v>
      </c>
      <c r="AP361">
        <f ca="1">IFERROR(IF(0=LEN(ReferenceData!$AP$361),"",ReferenceData!$AP$361),"")</f>
        <v>0.79439979900000002</v>
      </c>
      <c r="AQ361">
        <f ca="1">IFERROR(IF(0=LEN(ReferenceData!$AQ$361),"",ReferenceData!$AQ$361),"")</f>
        <v>1.392688779</v>
      </c>
      <c r="AR361">
        <f ca="1">IFERROR(IF(0=LEN(ReferenceData!$AR$361),"",ReferenceData!$AR$361),"")</f>
        <v>1.143600232</v>
      </c>
      <c r="AS361">
        <f ca="1">IFERROR(IF(0=LEN(ReferenceData!$AS$361),"",ReferenceData!$AS$361),"")</f>
        <v>1.051362414</v>
      </c>
      <c r="AT361">
        <f ca="1">IFERROR(IF(0=LEN(ReferenceData!$AT$361),"",ReferenceData!$AT$361),"")</f>
        <v>0.69624473899999995</v>
      </c>
      <c r="AU361">
        <f ca="1">IFERROR(IF(0=LEN(ReferenceData!$AU$361),"",ReferenceData!$AU$361),"")</f>
        <v>0.29437591699999999</v>
      </c>
      <c r="AV361">
        <f ca="1">IFERROR(IF(0=LEN(ReferenceData!$AV$361),"",ReferenceData!$AV$361),"")</f>
        <v>0.45267213000000001</v>
      </c>
      <c r="AW361">
        <f ca="1">IFERROR(IF(0=LEN(ReferenceData!$AW$361),"",ReferenceData!$AW$361),"")</f>
        <v>0.49228531399999997</v>
      </c>
      <c r="AX361">
        <f ca="1">IFERROR(IF(0=LEN(ReferenceData!$AX$361),"",ReferenceData!$AX$361),"")</f>
        <v>0.74234929199999999</v>
      </c>
      <c r="AY361">
        <f ca="1">IFERROR(IF(0=LEN(ReferenceData!$AY$361),"",ReferenceData!$AY$361),"")</f>
        <v>1.6987447229999999</v>
      </c>
      <c r="AZ361">
        <f ca="1">IFERROR(IF(0=LEN(ReferenceData!$AZ$361),"",ReferenceData!$AZ$361),"")</f>
        <v>2.0324725680000002</v>
      </c>
      <c r="BA361">
        <f ca="1">IFERROR(IF(0=LEN(ReferenceData!$BA$361),"",ReferenceData!$BA$361),"")</f>
        <v>1.6050790779999999</v>
      </c>
      <c r="BB361">
        <f ca="1">IFERROR(IF(0=LEN(ReferenceData!$BB$361),"",ReferenceData!$BB$361),"")</f>
        <v>1.840051613</v>
      </c>
      <c r="BC361">
        <f ca="1">IFERROR(IF(0=LEN(ReferenceData!$BC$361),"",ReferenceData!$BC$361),"")</f>
        <v>2.693346279</v>
      </c>
      <c r="BD361">
        <f ca="1">IFERROR(IF(0=LEN(ReferenceData!$BD$361),"",ReferenceData!$BD$361),"")</f>
        <v>3.1356431640000002</v>
      </c>
      <c r="BE361">
        <f ca="1">IFERROR(IF(0=LEN(ReferenceData!$BE$361),"",ReferenceData!$BE$361),"")</f>
        <v>3.0230113520000002</v>
      </c>
      <c r="BF361">
        <f ca="1">IFERROR(IF(0=LEN(ReferenceData!$BF$361),"",ReferenceData!$BF$361),"")</f>
        <v>1.5988240890000001</v>
      </c>
      <c r="BG361">
        <f ca="1">IFERROR(IF(0=LEN(ReferenceData!$BG$361),"",ReferenceData!$BG$361),"")</f>
        <v>1.44059622</v>
      </c>
      <c r="BH361">
        <f ca="1">IFERROR(IF(0=LEN(ReferenceData!$BH$361),"",ReferenceData!$BH$361),"")</f>
        <v>2.3261634230000001</v>
      </c>
      <c r="BI361">
        <f ca="1">IFERROR(IF(0=LEN(ReferenceData!$BI$361),"",ReferenceData!$BI$361),"")</f>
        <v>2.0887858989999999</v>
      </c>
      <c r="BJ361">
        <f ca="1">IFERROR(IF(0=LEN(ReferenceData!$BJ$361),"",ReferenceData!$BJ$361),"")</f>
        <v>1.797149721</v>
      </c>
      <c r="BK361">
        <f ca="1">IFERROR(IF(0=LEN(ReferenceData!$BK$361),"",ReferenceData!$BK$361),"")</f>
        <v>1.869931121</v>
      </c>
      <c r="BL361">
        <f ca="1">IFERROR(IF(0=LEN(ReferenceData!$BL$361),"",ReferenceData!$BL$361),"")</f>
        <v>3.3463912379999998</v>
      </c>
      <c r="BM361">
        <f ca="1">IFERROR(IF(0=LEN(ReferenceData!$BM$361),"",ReferenceData!$BM$361),"")</f>
        <v>3.4647885650000001</v>
      </c>
    </row>
    <row r="362" spans="1:65" x14ac:dyDescent="0.25">
      <c r="A362" t="str">
        <f>IFERROR(IF(0=LEN(ReferenceData!$A$362),"",ReferenceData!$A$362),"")</f>
        <v xml:space="preserve">    Sanyang Motor Co Ltd</v>
      </c>
      <c r="B362" t="str">
        <f>IFERROR(IF(0=LEN(ReferenceData!$B$362),"",ReferenceData!$B$362),"")</f>
        <v>2206 TT Equity</v>
      </c>
      <c r="C362" t="str">
        <f>IFERROR(IF(0=LEN(ReferenceData!$C$362),"",ReferenceData!$C$362),"")</f>
        <v>RR473</v>
      </c>
      <c r="D362" t="str">
        <f>IFERROR(IF(0=LEN(ReferenceData!$D$362),"",ReferenceData!$D$362),"")</f>
        <v>EV_TO_T12M_SALES</v>
      </c>
      <c r="E362" t="str">
        <f>IFERROR(IF(0=LEN(ReferenceData!$E$362),"",ReferenceData!$E$362),"")</f>
        <v>Dynamic</v>
      </c>
      <c r="F362" t="str">
        <f ca="1">IFERROR(IF(0=LEN(ReferenceData!$F$362),"",ReferenceData!$F$362),"")</f>
        <v/>
      </c>
      <c r="G362" t="str">
        <f ca="1">IFERROR(IF(0=LEN(ReferenceData!$G$362),"",ReferenceData!$G$362),"")</f>
        <v/>
      </c>
      <c r="H362">
        <f ca="1">IFERROR(IF(0=LEN(ReferenceData!$H$362),"",ReferenceData!$H$362),"")</f>
        <v>0.87863205700000002</v>
      </c>
      <c r="I362">
        <f ca="1">IFERROR(IF(0=LEN(ReferenceData!$I$362),"",ReferenceData!$I$362),"")</f>
        <v>0.96206247300000003</v>
      </c>
      <c r="J362">
        <f ca="1">IFERROR(IF(0=LEN(ReferenceData!$J$362),"",ReferenceData!$J$362),"")</f>
        <v>0.96744665100000005</v>
      </c>
      <c r="K362">
        <f ca="1">IFERROR(IF(0=LEN(ReferenceData!$K$362),"",ReferenceData!$K$362),"")</f>
        <v>0.76935440799999999</v>
      </c>
      <c r="L362">
        <f ca="1">IFERROR(IF(0=LEN(ReferenceData!$L$362),"",ReferenceData!$L$362),"")</f>
        <v>0.835271235</v>
      </c>
      <c r="M362">
        <f ca="1">IFERROR(IF(0=LEN(ReferenceData!$M$362),"",ReferenceData!$M$362),"")</f>
        <v>0.86548872799999998</v>
      </c>
      <c r="N362">
        <f ca="1">IFERROR(IF(0=LEN(ReferenceData!$N$362),"",ReferenceData!$N$362),"")</f>
        <v>0.81783562200000004</v>
      </c>
      <c r="O362">
        <f ca="1">IFERROR(IF(0=LEN(ReferenceData!$O$362),"",ReferenceData!$O$362),"")</f>
        <v>0.68962676300000003</v>
      </c>
      <c r="P362">
        <f ca="1">IFERROR(IF(0=LEN(ReferenceData!$P$362),"",ReferenceData!$P$362),"")</f>
        <v>0.99855576499999998</v>
      </c>
      <c r="Q362">
        <f ca="1">IFERROR(IF(0=LEN(ReferenceData!$Q$362),"",ReferenceData!$Q$362),"")</f>
        <v>0.92602310700000001</v>
      </c>
      <c r="R362">
        <f ca="1">IFERROR(IF(0=LEN(ReferenceData!$R$362),"",ReferenceData!$R$362),"")</f>
        <v>1.014289843</v>
      </c>
      <c r="S362">
        <f ca="1">IFERROR(IF(0=LEN(ReferenceData!$S$362),"",ReferenceData!$S$362),"")</f>
        <v>0.97838749300000005</v>
      </c>
      <c r="T362">
        <f ca="1">IFERROR(IF(0=LEN(ReferenceData!$T$362),"",ReferenceData!$T$362),"")</f>
        <v>1.0093112639999999</v>
      </c>
      <c r="U362">
        <f ca="1">IFERROR(IF(0=LEN(ReferenceData!$U$362),"",ReferenceData!$U$362),"")</f>
        <v>0.89663514700000002</v>
      </c>
      <c r="V362">
        <f ca="1">IFERROR(IF(0=LEN(ReferenceData!$V$362),"",ReferenceData!$V$362),"")</f>
        <v>0.99377807100000004</v>
      </c>
      <c r="W362">
        <f ca="1">IFERROR(IF(0=LEN(ReferenceData!$W$362),"",ReferenceData!$W$362),"")</f>
        <v>1.022051335</v>
      </c>
      <c r="X362">
        <f ca="1">IFERROR(IF(0=LEN(ReferenceData!$X$362),"",ReferenceData!$X$362),"")</f>
        <v>0.94122599299999998</v>
      </c>
      <c r="Y362">
        <f ca="1">IFERROR(IF(0=LEN(ReferenceData!$Y$362),"",ReferenceData!$Y$362),"")</f>
        <v>1.0693360519999999</v>
      </c>
      <c r="Z362">
        <f ca="1">IFERROR(IF(0=LEN(ReferenceData!$Z$362),"",ReferenceData!$Z$362),"")</f>
        <v>1.5903954680000001</v>
      </c>
      <c r="AA362">
        <f ca="1">IFERROR(IF(0=LEN(ReferenceData!$AA$362),"",ReferenceData!$AA$362),"")</f>
        <v>1.612613831</v>
      </c>
      <c r="AB362">
        <f ca="1">IFERROR(IF(0=LEN(ReferenceData!$AB$362),"",ReferenceData!$AB$362),"")</f>
        <v>1.3173941570000001</v>
      </c>
      <c r="AC362">
        <f ca="1">IFERROR(IF(0=LEN(ReferenceData!$AC$362),"",ReferenceData!$AC$362),"")</f>
        <v>0.86582334900000002</v>
      </c>
      <c r="AD362">
        <f ca="1">IFERROR(IF(0=LEN(ReferenceData!$AD$362),"",ReferenceData!$AD$362),"")</f>
        <v>0.80829791799999995</v>
      </c>
      <c r="AE362">
        <f ca="1">IFERROR(IF(0=LEN(ReferenceData!$AE$362),"",ReferenceData!$AE$362),"")</f>
        <v>0.64193654499999997</v>
      </c>
      <c r="AF362">
        <f ca="1">IFERROR(IF(0=LEN(ReferenceData!$AF$362),"",ReferenceData!$AF$362),"")</f>
        <v>0.71219679199999997</v>
      </c>
      <c r="AG362">
        <f ca="1">IFERROR(IF(0=LEN(ReferenceData!$AG$362),"",ReferenceData!$AG$362),"")</f>
        <v>0.70116820800000002</v>
      </c>
      <c r="AH362">
        <f ca="1">IFERROR(IF(0=LEN(ReferenceData!$AH$362),"",ReferenceData!$AH$362),"")</f>
        <v>0.66513944000000003</v>
      </c>
      <c r="AI362">
        <f ca="1">IFERROR(IF(0=LEN(ReferenceData!$AI$362),"",ReferenceData!$AI$362),"")</f>
        <v>0.55901092600000002</v>
      </c>
      <c r="AJ362">
        <f ca="1">IFERROR(IF(0=LEN(ReferenceData!$AJ$362),"",ReferenceData!$AJ$362),"")</f>
        <v>0.56981178300000002</v>
      </c>
      <c r="AK362">
        <f ca="1">IFERROR(IF(0=LEN(ReferenceData!$AK$362),"",ReferenceData!$AK$362),"")</f>
        <v>0.57071391699999996</v>
      </c>
      <c r="AL362">
        <f ca="1">IFERROR(IF(0=LEN(ReferenceData!$AL$362),"",ReferenceData!$AL$362),"")</f>
        <v>0.58673001599999997</v>
      </c>
      <c r="AM362">
        <f ca="1">IFERROR(IF(0=LEN(ReferenceData!$AM$362),"",ReferenceData!$AM$362),"")</f>
        <v>0.65782521900000002</v>
      </c>
      <c r="AN362">
        <f ca="1">IFERROR(IF(0=LEN(ReferenceData!$AN$362),"",ReferenceData!$AN$362),"")</f>
        <v>0.60412865400000004</v>
      </c>
      <c r="AO362">
        <f ca="1">IFERROR(IF(0=LEN(ReferenceData!$AO$362),"",ReferenceData!$AO$362),"")</f>
        <v>0.56931455900000005</v>
      </c>
      <c r="AP362">
        <f ca="1">IFERROR(IF(0=LEN(ReferenceData!$AP$362),"",ReferenceData!$AP$362),"")</f>
        <v>0.49797139800000001</v>
      </c>
      <c r="AQ362">
        <f ca="1">IFERROR(IF(0=LEN(ReferenceData!$AQ$362),"",ReferenceData!$AQ$362),"")</f>
        <v>0.58141570300000001</v>
      </c>
      <c r="AR362">
        <f ca="1">IFERROR(IF(0=LEN(ReferenceData!$AR$362),"",ReferenceData!$AR$362),"")</f>
        <v>0.62093451899999996</v>
      </c>
      <c r="AS362">
        <f ca="1">IFERROR(IF(0=LEN(ReferenceData!$AS$362),"",ReferenceData!$AS$362),"")</f>
        <v>0.675852546</v>
      </c>
      <c r="AT362">
        <f ca="1">IFERROR(IF(0=LEN(ReferenceData!$AT$362),"",ReferenceData!$AT$362),"")</f>
        <v>0.401604607</v>
      </c>
      <c r="AU362">
        <f ca="1">IFERROR(IF(0=LEN(ReferenceData!$AU$362),"",ReferenceData!$AU$362),"")</f>
        <v>0.39772608700000001</v>
      </c>
      <c r="AV362" t="str">
        <f ca="1">IFERROR(IF(0=LEN(ReferenceData!$AV$362),"",ReferenceData!$AV$362),"")</f>
        <v/>
      </c>
      <c r="AW362" t="str">
        <f ca="1">IFERROR(IF(0=LEN(ReferenceData!$AW$362),"",ReferenceData!$AW$362),"")</f>
        <v/>
      </c>
      <c r="AX362" t="str">
        <f ca="1">IFERROR(IF(0=LEN(ReferenceData!$AX$362),"",ReferenceData!$AX$362),"")</f>
        <v/>
      </c>
      <c r="AY362" t="str">
        <f ca="1">IFERROR(IF(0=LEN(ReferenceData!$AY$362),"",ReferenceData!$AY$362),"")</f>
        <v/>
      </c>
      <c r="AZ362" t="str">
        <f ca="1">IFERROR(IF(0=LEN(ReferenceData!$AZ$362),"",ReferenceData!$AZ$362),"")</f>
        <v/>
      </c>
      <c r="BA362" t="str">
        <f ca="1">IFERROR(IF(0=LEN(ReferenceData!$BA$362),"",ReferenceData!$BA$362),"")</f>
        <v/>
      </c>
      <c r="BB362" t="str">
        <f ca="1">IFERROR(IF(0=LEN(ReferenceData!$BB$362),"",ReferenceData!$BB$362),"")</f>
        <v/>
      </c>
      <c r="BC362" t="str">
        <f ca="1">IFERROR(IF(0=LEN(ReferenceData!$BC$362),"",ReferenceData!$BC$362),"")</f>
        <v/>
      </c>
      <c r="BD362" t="str">
        <f ca="1">IFERROR(IF(0=LEN(ReferenceData!$BD$362),"",ReferenceData!$BD$362),"")</f>
        <v/>
      </c>
      <c r="BE362" t="str">
        <f ca="1">IFERROR(IF(0=LEN(ReferenceData!$BE$362),"",ReferenceData!$BE$362),"")</f>
        <v/>
      </c>
      <c r="BF362" t="str">
        <f ca="1">IFERROR(IF(0=LEN(ReferenceData!$BF$362),"",ReferenceData!$BF$362),"")</f>
        <v/>
      </c>
      <c r="BG362" t="str">
        <f ca="1">IFERROR(IF(0=LEN(ReferenceData!$BG$362),"",ReferenceData!$BG$362),"")</f>
        <v/>
      </c>
      <c r="BH362" t="str">
        <f ca="1">IFERROR(IF(0=LEN(ReferenceData!$BH$362),"",ReferenceData!$BH$362),"")</f>
        <v/>
      </c>
      <c r="BI362" t="str">
        <f ca="1">IFERROR(IF(0=LEN(ReferenceData!$BI$362),"",ReferenceData!$BI$362),"")</f>
        <v/>
      </c>
      <c r="BJ362" t="str">
        <f ca="1">IFERROR(IF(0=LEN(ReferenceData!$BJ$362),"",ReferenceData!$BJ$362),"")</f>
        <v/>
      </c>
      <c r="BK362" t="str">
        <f ca="1">IFERROR(IF(0=LEN(ReferenceData!$BK$362),"",ReferenceData!$BK$362),"")</f>
        <v/>
      </c>
      <c r="BL362" t="str">
        <f ca="1">IFERROR(IF(0=LEN(ReferenceData!$BL$362),"",ReferenceData!$BL$362),"")</f>
        <v/>
      </c>
      <c r="BM362" t="str">
        <f ca="1">IFERROR(IF(0=LEN(ReferenceData!$BM$362),"",ReferenceData!$BM$362),"")</f>
        <v/>
      </c>
    </row>
    <row r="363" spans="1:65" x14ac:dyDescent="0.25">
      <c r="A363" t="str">
        <f>IFERROR(IF(0=LEN(ReferenceData!$A$363),"",ReferenceData!$A$363),"")</f>
        <v xml:space="preserve">    Sollers PJSC</v>
      </c>
      <c r="B363" t="str">
        <f>IFERROR(IF(0=LEN(ReferenceData!$B$363),"",ReferenceData!$B$363),"")</f>
        <v>SVAV RM Equity</v>
      </c>
      <c r="C363" t="str">
        <f>IFERROR(IF(0=LEN(ReferenceData!$C$363),"",ReferenceData!$C$363),"")</f>
        <v>RR473</v>
      </c>
      <c r="D363" t="str">
        <f>IFERROR(IF(0=LEN(ReferenceData!$D$363),"",ReferenceData!$D$363),"")</f>
        <v>EV_TO_T12M_SALES</v>
      </c>
      <c r="E363" t="str">
        <f>IFERROR(IF(0=LEN(ReferenceData!$E$363),"",ReferenceData!$E$363),"")</f>
        <v>Dynamic</v>
      </c>
      <c r="F363" t="str">
        <f ca="1">IFERROR(IF(0=LEN(ReferenceData!$F$363),"",ReferenceData!$F$363),"")</f>
        <v/>
      </c>
      <c r="G363" t="str">
        <f ca="1">IFERROR(IF(0=LEN(ReferenceData!$G$363),"",ReferenceData!$G$363),"")</f>
        <v/>
      </c>
      <c r="H363" t="str">
        <f ca="1">IFERROR(IF(0=LEN(ReferenceData!$H$363),"",ReferenceData!$H$363),"")</f>
        <v/>
      </c>
      <c r="I363" t="str">
        <f ca="1">IFERROR(IF(0=LEN(ReferenceData!$I$363),"",ReferenceData!$I$363),"")</f>
        <v/>
      </c>
      <c r="J363" t="str">
        <f ca="1">IFERROR(IF(0=LEN(ReferenceData!$J$363),"",ReferenceData!$J$363),"")</f>
        <v/>
      </c>
      <c r="K363" t="str">
        <f ca="1">IFERROR(IF(0=LEN(ReferenceData!$K$363),"",ReferenceData!$K$363),"")</f>
        <v/>
      </c>
      <c r="L363" t="str">
        <f ca="1">IFERROR(IF(0=LEN(ReferenceData!$L$363),"",ReferenceData!$L$363),"")</f>
        <v/>
      </c>
      <c r="M363" t="str">
        <f ca="1">IFERROR(IF(0=LEN(ReferenceData!$M$363),"",ReferenceData!$M$363),"")</f>
        <v/>
      </c>
      <c r="N363" t="str">
        <f ca="1">IFERROR(IF(0=LEN(ReferenceData!$N$363),"",ReferenceData!$N$363),"")</f>
        <v/>
      </c>
      <c r="O363" t="str">
        <f ca="1">IFERROR(IF(0=LEN(ReferenceData!$O$363),"",ReferenceData!$O$363),"")</f>
        <v/>
      </c>
      <c r="P363" t="str">
        <f ca="1">IFERROR(IF(0=LEN(ReferenceData!$P$363),"",ReferenceData!$P$363),"")</f>
        <v/>
      </c>
      <c r="Q363" t="str">
        <f ca="1">IFERROR(IF(0=LEN(ReferenceData!$Q$363),"",ReferenceData!$Q$363),"")</f>
        <v/>
      </c>
      <c r="R363" t="str">
        <f ca="1">IFERROR(IF(0=LEN(ReferenceData!$R$363),"",ReferenceData!$R$363),"")</f>
        <v/>
      </c>
      <c r="S363" t="str">
        <f ca="1">IFERROR(IF(0=LEN(ReferenceData!$S$363),"",ReferenceData!$S$363),"")</f>
        <v/>
      </c>
      <c r="T363" t="str">
        <f ca="1">IFERROR(IF(0=LEN(ReferenceData!$T$363),"",ReferenceData!$T$363),"")</f>
        <v/>
      </c>
      <c r="U363" t="str">
        <f ca="1">IFERROR(IF(0=LEN(ReferenceData!$U$363),"",ReferenceData!$U$363),"")</f>
        <v/>
      </c>
      <c r="V363" t="str">
        <f ca="1">IFERROR(IF(0=LEN(ReferenceData!$V$363),"",ReferenceData!$V$363),"")</f>
        <v/>
      </c>
      <c r="W363" t="str">
        <f ca="1">IFERROR(IF(0=LEN(ReferenceData!$W$363),"",ReferenceData!$W$363),"")</f>
        <v/>
      </c>
      <c r="X363" t="str">
        <f ca="1">IFERROR(IF(0=LEN(ReferenceData!$X$363),"",ReferenceData!$X$363),"")</f>
        <v/>
      </c>
      <c r="Y363" t="str">
        <f ca="1">IFERROR(IF(0=LEN(ReferenceData!$Y$363),"",ReferenceData!$Y$363),"")</f>
        <v/>
      </c>
      <c r="Z363" t="str">
        <f ca="1">IFERROR(IF(0=LEN(ReferenceData!$Z$363),"",ReferenceData!$Z$363),"")</f>
        <v/>
      </c>
      <c r="AA363" t="str">
        <f ca="1">IFERROR(IF(0=LEN(ReferenceData!$AA$363),"",ReferenceData!$AA$363),"")</f>
        <v/>
      </c>
      <c r="AB363" t="str">
        <f ca="1">IFERROR(IF(0=LEN(ReferenceData!$AB$363),"",ReferenceData!$AB$363),"")</f>
        <v/>
      </c>
      <c r="AC363" t="str">
        <f ca="1">IFERROR(IF(0=LEN(ReferenceData!$AC$363),"",ReferenceData!$AC$363),"")</f>
        <v/>
      </c>
      <c r="AD363" t="str">
        <f ca="1">IFERROR(IF(0=LEN(ReferenceData!$AD$363),"",ReferenceData!$AD$363),"")</f>
        <v/>
      </c>
      <c r="AE363" t="str">
        <f ca="1">IFERROR(IF(0=LEN(ReferenceData!$AE$363),"",ReferenceData!$AE$363),"")</f>
        <v/>
      </c>
      <c r="AF363" t="str">
        <f ca="1">IFERROR(IF(0=LEN(ReferenceData!$AF$363),"",ReferenceData!$AF$363),"")</f>
        <v/>
      </c>
      <c r="AG363" t="str">
        <f ca="1">IFERROR(IF(0=LEN(ReferenceData!$AG$363),"",ReferenceData!$AG$363),"")</f>
        <v/>
      </c>
      <c r="AH363" t="str">
        <f ca="1">IFERROR(IF(0=LEN(ReferenceData!$AH$363),"",ReferenceData!$AH$363),"")</f>
        <v/>
      </c>
      <c r="AI363" t="str">
        <f ca="1">IFERROR(IF(0=LEN(ReferenceData!$AI$363),"",ReferenceData!$AI$363),"")</f>
        <v/>
      </c>
      <c r="AJ363" t="str">
        <f ca="1">IFERROR(IF(0=LEN(ReferenceData!$AJ$363),"",ReferenceData!$AJ$363),"")</f>
        <v/>
      </c>
      <c r="AK363" t="str">
        <f ca="1">IFERROR(IF(0=LEN(ReferenceData!$AK$363),"",ReferenceData!$AK$363),"")</f>
        <v/>
      </c>
      <c r="AL363" t="str">
        <f ca="1">IFERROR(IF(0=LEN(ReferenceData!$AL$363),"",ReferenceData!$AL$363),"")</f>
        <v/>
      </c>
      <c r="AM363" t="str">
        <f ca="1">IFERROR(IF(0=LEN(ReferenceData!$AM$363),"",ReferenceData!$AM$363),"")</f>
        <v/>
      </c>
      <c r="AN363" t="str">
        <f ca="1">IFERROR(IF(0=LEN(ReferenceData!$AN$363),"",ReferenceData!$AN$363),"")</f>
        <v/>
      </c>
      <c r="AO363" t="str">
        <f ca="1">IFERROR(IF(0=LEN(ReferenceData!$AO$363),"",ReferenceData!$AO$363),"")</f>
        <v/>
      </c>
      <c r="AP363" t="str">
        <f ca="1">IFERROR(IF(0=LEN(ReferenceData!$AP$363),"",ReferenceData!$AP$363),"")</f>
        <v/>
      </c>
      <c r="AQ363" t="str">
        <f ca="1">IFERROR(IF(0=LEN(ReferenceData!$AQ$363),"",ReferenceData!$AQ$363),"")</f>
        <v/>
      </c>
      <c r="AR363" t="str">
        <f ca="1">IFERROR(IF(0=LEN(ReferenceData!$AR$363),"",ReferenceData!$AR$363),"")</f>
        <v/>
      </c>
      <c r="AS363" t="str">
        <f ca="1">IFERROR(IF(0=LEN(ReferenceData!$AS$363),"",ReferenceData!$AS$363),"")</f>
        <v/>
      </c>
      <c r="AT363" t="str">
        <f ca="1">IFERROR(IF(0=LEN(ReferenceData!$AT$363),"",ReferenceData!$AT$363),"")</f>
        <v/>
      </c>
      <c r="AU363" t="str">
        <f ca="1">IFERROR(IF(0=LEN(ReferenceData!$AU$363),"",ReferenceData!$AU$363),"")</f>
        <v/>
      </c>
      <c r="AV363" t="str">
        <f ca="1">IFERROR(IF(0=LEN(ReferenceData!$AV$363),"",ReferenceData!$AV$363),"")</f>
        <v/>
      </c>
      <c r="AW363" t="str">
        <f ca="1">IFERROR(IF(0=LEN(ReferenceData!$AW$363),"",ReferenceData!$AW$363),"")</f>
        <v/>
      </c>
      <c r="AX363" t="str">
        <f ca="1">IFERROR(IF(0=LEN(ReferenceData!$AX$363),"",ReferenceData!$AX$363),"")</f>
        <v/>
      </c>
      <c r="AY363" t="str">
        <f ca="1">IFERROR(IF(0=LEN(ReferenceData!$AY$363),"",ReferenceData!$AY$363),"")</f>
        <v/>
      </c>
      <c r="AZ363" t="str">
        <f ca="1">IFERROR(IF(0=LEN(ReferenceData!$AZ$363),"",ReferenceData!$AZ$363),"")</f>
        <v/>
      </c>
      <c r="BA363" t="str">
        <f ca="1">IFERROR(IF(0=LEN(ReferenceData!$BA$363),"",ReferenceData!$BA$363),"")</f>
        <v/>
      </c>
      <c r="BB363" t="str">
        <f ca="1">IFERROR(IF(0=LEN(ReferenceData!$BB$363),"",ReferenceData!$BB$363),"")</f>
        <v/>
      </c>
      <c r="BC363" t="str">
        <f ca="1">IFERROR(IF(0=LEN(ReferenceData!$BC$363),"",ReferenceData!$BC$363),"")</f>
        <v/>
      </c>
      <c r="BD363" t="str">
        <f ca="1">IFERROR(IF(0=LEN(ReferenceData!$BD$363),"",ReferenceData!$BD$363),"")</f>
        <v/>
      </c>
      <c r="BE363" t="str">
        <f ca="1">IFERROR(IF(0=LEN(ReferenceData!$BE$363),"",ReferenceData!$BE$363),"")</f>
        <v/>
      </c>
      <c r="BF363" t="str">
        <f ca="1">IFERROR(IF(0=LEN(ReferenceData!$BF$363),"",ReferenceData!$BF$363),"")</f>
        <v/>
      </c>
      <c r="BG363" t="str">
        <f ca="1">IFERROR(IF(0=LEN(ReferenceData!$BG$363),"",ReferenceData!$BG$363),"")</f>
        <v/>
      </c>
      <c r="BH363" t="str">
        <f ca="1">IFERROR(IF(0=LEN(ReferenceData!$BH$363),"",ReferenceData!$BH$363),"")</f>
        <v/>
      </c>
      <c r="BI363" t="str">
        <f ca="1">IFERROR(IF(0=LEN(ReferenceData!$BI$363),"",ReferenceData!$BI$363),"")</f>
        <v/>
      </c>
      <c r="BJ363" t="str">
        <f ca="1">IFERROR(IF(0=LEN(ReferenceData!$BJ$363),"",ReferenceData!$BJ$363),"")</f>
        <v/>
      </c>
      <c r="BK363" t="str">
        <f ca="1">IFERROR(IF(0=LEN(ReferenceData!$BK$363),"",ReferenceData!$BK$363),"")</f>
        <v/>
      </c>
      <c r="BL363" t="str">
        <f ca="1">IFERROR(IF(0=LEN(ReferenceData!$BL$363),"",ReferenceData!$BL$363),"")</f>
        <v/>
      </c>
      <c r="BM363" t="str">
        <f ca="1">IFERROR(IF(0=LEN(ReferenceData!$BM$363),"",ReferenceData!$BM$363),"")</f>
        <v/>
      </c>
    </row>
    <row r="364" spans="1:65" x14ac:dyDescent="0.25">
      <c r="A364" t="str">
        <f>IFERROR(IF(0=LEN(ReferenceData!$A$364),"",ReferenceData!$A$364),"")</f>
        <v xml:space="preserve">    Ssangyong Motor Co</v>
      </c>
      <c r="B364" t="str">
        <f>IFERROR(IF(0=LEN(ReferenceData!$B$364),"",ReferenceData!$B$364),"")</f>
        <v>003620 KS Equity</v>
      </c>
      <c r="C364" t="str">
        <f>IFERROR(IF(0=LEN(ReferenceData!$C$364),"",ReferenceData!$C$364),"")</f>
        <v>RR473</v>
      </c>
      <c r="D364" t="str">
        <f>IFERROR(IF(0=LEN(ReferenceData!$D$364),"",ReferenceData!$D$364),"")</f>
        <v>EV_TO_T12M_SALES</v>
      </c>
      <c r="E364" t="str">
        <f>IFERROR(IF(0=LEN(ReferenceData!$E$364),"",ReferenceData!$E$364),"")</f>
        <v>Dynamic</v>
      </c>
      <c r="F364" t="str">
        <f ca="1">IFERROR(IF(0=LEN(ReferenceData!$F$364),"",ReferenceData!$F$364),"")</f>
        <v/>
      </c>
      <c r="G364" t="str">
        <f ca="1">IFERROR(IF(0=LEN(ReferenceData!$G$364),"",ReferenceData!$G$364),"")</f>
        <v/>
      </c>
      <c r="H364">
        <f ca="1">IFERROR(IF(0=LEN(ReferenceData!$H$364),"",ReferenceData!$H$364),"")</f>
        <v>0.19317769000000001</v>
      </c>
      <c r="I364">
        <f ca="1">IFERROR(IF(0=LEN(ReferenceData!$I$364),"",ReferenceData!$I$364),"")</f>
        <v>0.211375219</v>
      </c>
      <c r="J364">
        <f ca="1">IFERROR(IF(0=LEN(ReferenceData!$J$364),"",ReferenceData!$J$364),"")</f>
        <v>0.20424931599999999</v>
      </c>
      <c r="K364">
        <f ca="1">IFERROR(IF(0=LEN(ReferenceData!$K$364),"",ReferenceData!$K$364),"")</f>
        <v>0.20771498399999999</v>
      </c>
      <c r="L364">
        <f ca="1">IFERROR(IF(0=LEN(ReferenceData!$L$364),"",ReferenceData!$L$364),"")</f>
        <v>0.23439109399999999</v>
      </c>
      <c r="M364">
        <f ca="1">IFERROR(IF(0=LEN(ReferenceData!$M$364),"",ReferenceData!$M$364),"")</f>
        <v>0.26939122100000001</v>
      </c>
      <c r="N364">
        <f ca="1">IFERROR(IF(0=LEN(ReferenceData!$N$364),"",ReferenceData!$N$364),"")</f>
        <v>0.30833547700000002</v>
      </c>
      <c r="O364">
        <f ca="1">IFERROR(IF(0=LEN(ReferenceData!$O$364),"",ReferenceData!$O$364),"")</f>
        <v>0.28626763399999999</v>
      </c>
      <c r="P364">
        <f ca="1">IFERROR(IF(0=LEN(ReferenceData!$P$364),"",ReferenceData!$P$364),"")</f>
        <v>0.329743811</v>
      </c>
      <c r="Q364">
        <f ca="1">IFERROR(IF(0=LEN(ReferenceData!$Q$364),"",ReferenceData!$Q$364),"")</f>
        <v>0.27793961</v>
      </c>
      <c r="R364">
        <f ca="1">IFERROR(IF(0=LEN(ReferenceData!$R$364),"",ReferenceData!$R$364),"")</f>
        <v>0.36745050699999998</v>
      </c>
      <c r="S364">
        <f ca="1">IFERROR(IF(0=LEN(ReferenceData!$S$364),"",ReferenceData!$S$364),"")</f>
        <v>0.31158645200000001</v>
      </c>
      <c r="T364">
        <f ca="1">IFERROR(IF(0=LEN(ReferenceData!$T$364),"",ReferenceData!$T$364),"")</f>
        <v>0.40613348199999999</v>
      </c>
      <c r="U364">
        <f ca="1">IFERROR(IF(0=LEN(ReferenceData!$U$364),"",ReferenceData!$U$364),"")</f>
        <v>0.39727641699999999</v>
      </c>
      <c r="V364">
        <f ca="1">IFERROR(IF(0=LEN(ReferenceData!$V$364),"",ReferenceData!$V$364),"")</f>
        <v>0.37769963499999998</v>
      </c>
      <c r="W364">
        <f ca="1">IFERROR(IF(0=LEN(ReferenceData!$W$364),"",ReferenceData!$W$364),"")</f>
        <v>0.37228303099999999</v>
      </c>
      <c r="X364">
        <f ca="1">IFERROR(IF(0=LEN(ReferenceData!$X$364),"",ReferenceData!$X$364),"")</f>
        <v>0.26017075499999998</v>
      </c>
      <c r="Y364">
        <f ca="1">IFERROR(IF(0=LEN(ReferenceData!$Y$364),"",ReferenceData!$Y$364),"")</f>
        <v>0.30833711899999999</v>
      </c>
      <c r="Z364">
        <f ca="1">IFERROR(IF(0=LEN(ReferenceData!$Z$364),"",ReferenceData!$Z$364),"")</f>
        <v>0.27967054099999999</v>
      </c>
      <c r="AA364">
        <f ca="1">IFERROR(IF(0=LEN(ReferenceData!$AA$364),"",ReferenceData!$AA$364),"")</f>
        <v>0.23422209899999999</v>
      </c>
      <c r="AB364">
        <f ca="1">IFERROR(IF(0=LEN(ReferenceData!$AB$364),"",ReferenceData!$AB$364),"")</f>
        <v>0.32103275799999997</v>
      </c>
      <c r="AC364">
        <f ca="1">IFERROR(IF(0=LEN(ReferenceData!$AC$364),"",ReferenceData!$AC$364),"")</f>
        <v>0.2839701</v>
      </c>
      <c r="AD364">
        <f ca="1">IFERROR(IF(0=LEN(ReferenceData!$AD$364),"",ReferenceData!$AD$364),"")</f>
        <v>0.19344009400000001</v>
      </c>
      <c r="AE364">
        <f ca="1">IFERROR(IF(0=LEN(ReferenceData!$AE$364),"",ReferenceData!$AE$364),"")</f>
        <v>0.19941250499999999</v>
      </c>
      <c r="AF364" t="str">
        <f ca="1">IFERROR(IF(0=LEN(ReferenceData!$AF$364),"",ReferenceData!$AF$364),"")</f>
        <v/>
      </c>
      <c r="AG364" t="str">
        <f ca="1">IFERROR(IF(0=LEN(ReferenceData!$AG$364),"",ReferenceData!$AG$364),"")</f>
        <v/>
      </c>
      <c r="AH364" t="str">
        <f ca="1">IFERROR(IF(0=LEN(ReferenceData!$AH$364),"",ReferenceData!$AH$364),"")</f>
        <v/>
      </c>
      <c r="AI364" t="str">
        <f ca="1">IFERROR(IF(0=LEN(ReferenceData!$AI$364),"",ReferenceData!$AI$364),"")</f>
        <v/>
      </c>
      <c r="AJ364" t="str">
        <f ca="1">IFERROR(IF(0=LEN(ReferenceData!$AJ$364),"",ReferenceData!$AJ$364),"")</f>
        <v/>
      </c>
      <c r="AK364" t="str">
        <f ca="1">IFERROR(IF(0=LEN(ReferenceData!$AK$364),"",ReferenceData!$AK$364),"")</f>
        <v/>
      </c>
      <c r="AL364" t="str">
        <f ca="1">IFERROR(IF(0=LEN(ReferenceData!$AL$364),"",ReferenceData!$AL$364),"")</f>
        <v/>
      </c>
      <c r="AM364" t="str">
        <f ca="1">IFERROR(IF(0=LEN(ReferenceData!$AM$364),"",ReferenceData!$AM$364),"")</f>
        <v/>
      </c>
      <c r="AN364" t="str">
        <f ca="1">IFERROR(IF(0=LEN(ReferenceData!$AN$364),"",ReferenceData!$AN$364),"")</f>
        <v/>
      </c>
      <c r="AO364" t="str">
        <f ca="1">IFERROR(IF(0=LEN(ReferenceData!$AO$364),"",ReferenceData!$AO$364),"")</f>
        <v/>
      </c>
      <c r="AP364" t="str">
        <f ca="1">IFERROR(IF(0=LEN(ReferenceData!$AP$364),"",ReferenceData!$AP$364),"")</f>
        <v/>
      </c>
      <c r="AQ364" t="str">
        <f ca="1">IFERROR(IF(0=LEN(ReferenceData!$AQ$364),"",ReferenceData!$AQ$364),"")</f>
        <v/>
      </c>
      <c r="AR364" t="str">
        <f ca="1">IFERROR(IF(0=LEN(ReferenceData!$AR$364),"",ReferenceData!$AR$364),"")</f>
        <v/>
      </c>
      <c r="AS364" t="str">
        <f ca="1">IFERROR(IF(0=LEN(ReferenceData!$AS$364),"",ReferenceData!$AS$364),"")</f>
        <v/>
      </c>
      <c r="AT364" t="str">
        <f ca="1">IFERROR(IF(0=LEN(ReferenceData!$AT$364),"",ReferenceData!$AT$364),"")</f>
        <v/>
      </c>
      <c r="AU364" t="str">
        <f ca="1">IFERROR(IF(0=LEN(ReferenceData!$AU$364),"",ReferenceData!$AU$364),"")</f>
        <v/>
      </c>
      <c r="AV364" t="str">
        <f ca="1">IFERROR(IF(0=LEN(ReferenceData!$AV$364),"",ReferenceData!$AV$364),"")</f>
        <v/>
      </c>
      <c r="AW364" t="str">
        <f ca="1">IFERROR(IF(0=LEN(ReferenceData!$AW$364),"",ReferenceData!$AW$364),"")</f>
        <v/>
      </c>
      <c r="AX364" t="str">
        <f ca="1">IFERROR(IF(0=LEN(ReferenceData!$AX$364),"",ReferenceData!$AX$364),"")</f>
        <v/>
      </c>
      <c r="AY364" t="str">
        <f ca="1">IFERROR(IF(0=LEN(ReferenceData!$AY$364),"",ReferenceData!$AY$364),"")</f>
        <v/>
      </c>
      <c r="AZ364" t="str">
        <f ca="1">IFERROR(IF(0=LEN(ReferenceData!$AZ$364),"",ReferenceData!$AZ$364),"")</f>
        <v/>
      </c>
      <c r="BA364" t="str">
        <f ca="1">IFERROR(IF(0=LEN(ReferenceData!$BA$364),"",ReferenceData!$BA$364),"")</f>
        <v/>
      </c>
      <c r="BB364" t="str">
        <f ca="1">IFERROR(IF(0=LEN(ReferenceData!$BB$364),"",ReferenceData!$BB$364),"")</f>
        <v/>
      </c>
      <c r="BC364" t="str">
        <f ca="1">IFERROR(IF(0=LEN(ReferenceData!$BC$364),"",ReferenceData!$BC$364),"")</f>
        <v/>
      </c>
      <c r="BD364" t="str">
        <f ca="1">IFERROR(IF(0=LEN(ReferenceData!$BD$364),"",ReferenceData!$BD$364),"")</f>
        <v/>
      </c>
      <c r="BE364" t="str">
        <f ca="1">IFERROR(IF(0=LEN(ReferenceData!$BE$364),"",ReferenceData!$BE$364),"")</f>
        <v/>
      </c>
      <c r="BF364" t="str">
        <f ca="1">IFERROR(IF(0=LEN(ReferenceData!$BF$364),"",ReferenceData!$BF$364),"")</f>
        <v/>
      </c>
      <c r="BG364" t="str">
        <f ca="1">IFERROR(IF(0=LEN(ReferenceData!$BG$364),"",ReferenceData!$BG$364),"")</f>
        <v/>
      </c>
      <c r="BH364" t="str">
        <f ca="1">IFERROR(IF(0=LEN(ReferenceData!$BH$364),"",ReferenceData!$BH$364),"")</f>
        <v/>
      </c>
      <c r="BI364" t="str">
        <f ca="1">IFERROR(IF(0=LEN(ReferenceData!$BI$364),"",ReferenceData!$BI$364),"")</f>
        <v/>
      </c>
      <c r="BJ364" t="str">
        <f ca="1">IFERROR(IF(0=LEN(ReferenceData!$BJ$364),"",ReferenceData!$BJ$364),"")</f>
        <v/>
      </c>
      <c r="BK364" t="str">
        <f ca="1">IFERROR(IF(0=LEN(ReferenceData!$BK$364),"",ReferenceData!$BK$364),"")</f>
        <v/>
      </c>
      <c r="BL364" t="str">
        <f ca="1">IFERROR(IF(0=LEN(ReferenceData!$BL$364),"",ReferenceData!$BL$364),"")</f>
        <v/>
      </c>
      <c r="BM364" t="str">
        <f ca="1">IFERROR(IF(0=LEN(ReferenceData!$BM$364),"",ReferenceData!$BM$364),"")</f>
        <v/>
      </c>
    </row>
    <row r="365" spans="1:65" x14ac:dyDescent="0.25">
      <c r="A365" t="str">
        <f>IFERROR(IF(0=LEN(ReferenceData!$A$365),"",ReferenceData!$A$365),"")</f>
        <v xml:space="preserve">    Subaru Corp</v>
      </c>
      <c r="B365" t="str">
        <f>IFERROR(IF(0=LEN(ReferenceData!$B$365),"",ReferenceData!$B$365),"")</f>
        <v>7270 JP Equity</v>
      </c>
      <c r="C365" t="str">
        <f>IFERROR(IF(0=LEN(ReferenceData!$C$365),"",ReferenceData!$C$365),"")</f>
        <v>RR473</v>
      </c>
      <c r="D365" t="str">
        <f>IFERROR(IF(0=LEN(ReferenceData!$D$365),"",ReferenceData!$D$365),"")</f>
        <v>EV_TO_T12M_SALES</v>
      </c>
      <c r="E365" t="str">
        <f>IFERROR(IF(0=LEN(ReferenceData!$E$365),"",ReferenceData!$E$365),"")</f>
        <v>Dynamic</v>
      </c>
      <c r="F365" t="str">
        <f ca="1">IFERROR(IF(0=LEN(ReferenceData!$F$365),"",ReferenceData!$F$365),"")</f>
        <v/>
      </c>
      <c r="G365">
        <f ca="1">IFERROR(IF(0=LEN(ReferenceData!$G$365),"",ReferenceData!$G$365),"")</f>
        <v>0.30947307099999999</v>
      </c>
      <c r="H365">
        <f ca="1">IFERROR(IF(0=LEN(ReferenceData!$H$365),"",ReferenceData!$H$365),"")</f>
        <v>0.55966955399999996</v>
      </c>
      <c r="I365">
        <f ca="1">IFERROR(IF(0=LEN(ReferenceData!$I$365),"",ReferenceData!$I$365),"")</f>
        <v>0.489299494</v>
      </c>
      <c r="J365">
        <f ca="1">IFERROR(IF(0=LEN(ReferenceData!$J$365),"",ReferenceData!$J$365),"")</f>
        <v>0.51843951600000004</v>
      </c>
      <c r="K365">
        <f ca="1">IFERROR(IF(0=LEN(ReferenceData!$K$365),"",ReferenceData!$K$365),"")</f>
        <v>0.54383025100000004</v>
      </c>
      <c r="L365">
        <f ca="1">IFERROR(IF(0=LEN(ReferenceData!$L$365),"",ReferenceData!$L$365),"")</f>
        <v>0.64408752499999999</v>
      </c>
      <c r="M365">
        <f ca="1">IFERROR(IF(0=LEN(ReferenceData!$M$365),"",ReferenceData!$M$365),"")</f>
        <v>0.59281153900000005</v>
      </c>
      <c r="N365">
        <f ca="1">IFERROR(IF(0=LEN(ReferenceData!$N$365),"",ReferenceData!$N$365),"")</f>
        <v>0.69497609699999996</v>
      </c>
      <c r="O365">
        <f ca="1">IFERROR(IF(0=LEN(ReferenceData!$O$365),"",ReferenceData!$O$365),"")</f>
        <v>0.89626797499999999</v>
      </c>
      <c r="P365">
        <f ca="1">IFERROR(IF(0=LEN(ReferenceData!$P$365),"",ReferenceData!$P$365),"")</f>
        <v>0.64176009700000003</v>
      </c>
      <c r="Q365">
        <f ca="1">IFERROR(IF(0=LEN(ReferenceData!$Q$365),"",ReferenceData!$Q$365),"")</f>
        <v>0.59970550700000003</v>
      </c>
      <c r="R365">
        <f ca="1">IFERROR(IF(0=LEN(ReferenceData!$R$365),"",ReferenceData!$R$365),"")</f>
        <v>0.70378866699999998</v>
      </c>
      <c r="S365">
        <f ca="1">IFERROR(IF(0=LEN(ReferenceData!$S$365),"",ReferenceData!$S$365),"")</f>
        <v>0.99563641599999997</v>
      </c>
      <c r="T365">
        <f ca="1">IFERROR(IF(0=LEN(ReferenceData!$T$365),"",ReferenceData!$T$365),"")</f>
        <v>0.85061777400000005</v>
      </c>
      <c r="U365">
        <f ca="1">IFERROR(IF(0=LEN(ReferenceData!$U$365),"",ReferenceData!$U$365),"")</f>
        <v>0.98180136399999995</v>
      </c>
      <c r="V365">
        <f ca="1">IFERROR(IF(0=LEN(ReferenceData!$V$365),"",ReferenceData!$V$365),"")</f>
        <v>0.92767104600000005</v>
      </c>
      <c r="W365">
        <f ca="1">IFERROR(IF(0=LEN(ReferenceData!$W$365),"",ReferenceData!$W$365),"")</f>
        <v>1.0811225659999999</v>
      </c>
      <c r="X365">
        <f ca="1">IFERROR(IF(0=LEN(ReferenceData!$X$365),"",ReferenceData!$X$365),"")</f>
        <v>0.94891485499999995</v>
      </c>
      <c r="Y365">
        <f ca="1">IFERROR(IF(0=LEN(ReferenceData!$Y$365),"",ReferenceData!$Y$365),"")</f>
        <v>0.78316849300000002</v>
      </c>
      <c r="Z365">
        <f ca="1">IFERROR(IF(0=LEN(ReferenceData!$Z$365),"",ReferenceData!$Z$365),"")</f>
        <v>0.77787788599999996</v>
      </c>
      <c r="AA365">
        <f ca="1">IFERROR(IF(0=LEN(ReferenceData!$AA$365),"",ReferenceData!$AA$365),"")</f>
        <v>0.93677095300000002</v>
      </c>
      <c r="AB365">
        <f ca="1">IFERROR(IF(0=LEN(ReferenceData!$AB$365),"",ReferenceData!$AB$365),"")</f>
        <v>0.91501622400000004</v>
      </c>
      <c r="AC365">
        <f ca="1">IFERROR(IF(0=LEN(ReferenceData!$AC$365),"",ReferenceData!$AC$365),"")</f>
        <v>0.89443750600000005</v>
      </c>
      <c r="AD365">
        <f ca="1">IFERROR(IF(0=LEN(ReferenceData!$AD$365),"",ReferenceData!$AD$365),"")</f>
        <v>0.57623506000000002</v>
      </c>
      <c r="AE365">
        <f ca="1">IFERROR(IF(0=LEN(ReferenceData!$AE$365),"",ReferenceData!$AE$365),"")</f>
        <v>0.452825437</v>
      </c>
      <c r="AF365">
        <f ca="1">IFERROR(IF(0=LEN(ReferenceData!$AF$365),"",ReferenceData!$AF$365),"")</f>
        <v>0.28433668899999998</v>
      </c>
      <c r="AG365">
        <f ca="1">IFERROR(IF(0=LEN(ReferenceData!$AG$365),"",ReferenceData!$AG$365),"")</f>
        <v>0.32962022699999999</v>
      </c>
      <c r="AH365">
        <f ca="1">IFERROR(IF(0=LEN(ReferenceData!$AH$365),"",ReferenceData!$AH$365),"")</f>
        <v>0.39390828900000002</v>
      </c>
      <c r="AI365">
        <f ca="1">IFERROR(IF(0=LEN(ReferenceData!$AI$365),"",ReferenceData!$AI$365),"")</f>
        <v>0.33306608900000001</v>
      </c>
      <c r="AJ365">
        <f ca="1">IFERROR(IF(0=LEN(ReferenceData!$AJ$365),"",ReferenceData!$AJ$365),"")</f>
        <v>0.32648697199999999</v>
      </c>
      <c r="AK365">
        <f ca="1">IFERROR(IF(0=LEN(ReferenceData!$AK$365),"",ReferenceData!$AK$365),"")</f>
        <v>0.38519768900000001</v>
      </c>
      <c r="AL365">
        <f ca="1">IFERROR(IF(0=LEN(ReferenceData!$AL$365),"",ReferenceData!$AL$365),"")</f>
        <v>0.33037018800000001</v>
      </c>
      <c r="AM365">
        <f ca="1">IFERROR(IF(0=LEN(ReferenceData!$AM$365),"",ReferenceData!$AM$365),"")</f>
        <v>0.41058756600000001</v>
      </c>
      <c r="AN365">
        <f ca="1">IFERROR(IF(0=LEN(ReferenceData!$AN$365),"",ReferenceData!$AN$365),"")</f>
        <v>0.34314742500000001</v>
      </c>
      <c r="AO365">
        <f ca="1">IFERROR(IF(0=LEN(ReferenceData!$AO$365),"",ReferenceData!$AO$365),"")</f>
        <v>0.354353325</v>
      </c>
      <c r="AP365">
        <f ca="1">IFERROR(IF(0=LEN(ReferenceData!$AP$365),"",ReferenceData!$AP$365),"")</f>
        <v>0.39938969299999999</v>
      </c>
      <c r="AQ365">
        <f ca="1">IFERROR(IF(0=LEN(ReferenceData!$AQ$365),"",ReferenceData!$AQ$365),"")</f>
        <v>0.43353341000000001</v>
      </c>
      <c r="AR365">
        <f ca="1">IFERROR(IF(0=LEN(ReferenceData!$AR$365),"",ReferenceData!$AR$365),"")</f>
        <v>0.37324096899999998</v>
      </c>
      <c r="AS365">
        <f ca="1">IFERROR(IF(0=LEN(ReferenceData!$AS$365),"",ReferenceData!$AS$365),"")</f>
        <v>0.42154050700000001</v>
      </c>
      <c r="AT365">
        <f ca="1">IFERROR(IF(0=LEN(ReferenceData!$AT$365),"",ReferenceData!$AT$365),"")</f>
        <v>0.37951725200000003</v>
      </c>
      <c r="AU365">
        <f ca="1">IFERROR(IF(0=LEN(ReferenceData!$AU$365),"",ReferenceData!$AU$365),"")</f>
        <v>0.25827156400000001</v>
      </c>
      <c r="AV365">
        <f ca="1">IFERROR(IF(0=LEN(ReferenceData!$AV$365),"",ReferenceData!$AV$365),"")</f>
        <v>0.37105763600000002</v>
      </c>
      <c r="AW365">
        <f ca="1">IFERROR(IF(0=LEN(ReferenceData!$AW$365),"",ReferenceData!$AW$365),"")</f>
        <v>0.37896576300000001</v>
      </c>
      <c r="AX365">
        <f ca="1">IFERROR(IF(0=LEN(ReferenceData!$AX$365),"",ReferenceData!$AX$365),"")</f>
        <v>0.32131657899999999</v>
      </c>
      <c r="AY365">
        <f ca="1">IFERROR(IF(0=LEN(ReferenceData!$AY$365),"",ReferenceData!$AY$365),"")</f>
        <v>0.41604244099999999</v>
      </c>
      <c r="AZ365">
        <f ca="1">IFERROR(IF(0=LEN(ReferenceData!$AZ$365),"",ReferenceData!$AZ$365),"")</f>
        <v>0.403431013</v>
      </c>
      <c r="BA365">
        <f ca="1">IFERROR(IF(0=LEN(ReferenceData!$BA$365),"",ReferenceData!$BA$365),"")</f>
        <v>0.479581217</v>
      </c>
      <c r="BB365">
        <f ca="1">IFERROR(IF(0=LEN(ReferenceData!$BB$365),"",ReferenceData!$BB$365),"")</f>
        <v>0.46874285599999999</v>
      </c>
      <c r="BC365">
        <f ca="1">IFERROR(IF(0=LEN(ReferenceData!$BC$365),"",ReferenceData!$BC$365),"")</f>
        <v>0.49844718900000001</v>
      </c>
      <c r="BD365">
        <f ca="1">IFERROR(IF(0=LEN(ReferenceData!$BD$365),"",ReferenceData!$BD$365),"")</f>
        <v>0.51135257000000001</v>
      </c>
      <c r="BE365">
        <f ca="1">IFERROR(IF(0=LEN(ReferenceData!$BE$365),"",ReferenceData!$BE$365),"")</f>
        <v>0.51422938299999998</v>
      </c>
      <c r="BF365">
        <f ca="1">IFERROR(IF(0=LEN(ReferenceData!$BF$365),"",ReferenceData!$BF$365),"")</f>
        <v>0.52108464700000001</v>
      </c>
      <c r="BG365">
        <f ca="1">IFERROR(IF(0=LEN(ReferenceData!$BG$365),"",ReferenceData!$BG$365),"")</f>
        <v>0.535372026</v>
      </c>
      <c r="BH365">
        <f ca="1">IFERROR(IF(0=LEN(ReferenceData!$BH$365),"",ReferenceData!$BH$365),"")</f>
        <v>0.46846063900000001</v>
      </c>
      <c r="BI365">
        <f ca="1">IFERROR(IF(0=LEN(ReferenceData!$BI$365),"",ReferenceData!$BI$365),"")</f>
        <v>0.42256610300000003</v>
      </c>
      <c r="BJ365">
        <f ca="1">IFERROR(IF(0=LEN(ReferenceData!$BJ$365),"",ReferenceData!$BJ$365),"")</f>
        <v>0.48131443400000001</v>
      </c>
      <c r="BK365" t="str">
        <f ca="1">IFERROR(IF(0=LEN(ReferenceData!$BK$365),"",ReferenceData!$BK$365),"")</f>
        <v/>
      </c>
      <c r="BL365">
        <f ca="1">IFERROR(IF(0=LEN(ReferenceData!$BL$365),"",ReferenceData!$BL$365),"")</f>
        <v>0.46459826100000001</v>
      </c>
      <c r="BM365" t="str">
        <f ca="1">IFERROR(IF(0=LEN(ReferenceData!$BM$365),"",ReferenceData!$BM$365),"")</f>
        <v/>
      </c>
    </row>
    <row r="366" spans="1:65" x14ac:dyDescent="0.25">
      <c r="A366" t="str">
        <f>IFERROR(IF(0=LEN(ReferenceData!$A$366),"",ReferenceData!$A$366),"")</f>
        <v xml:space="preserve">    Suzuki Motor Corp</v>
      </c>
      <c r="B366" t="str">
        <f>IFERROR(IF(0=LEN(ReferenceData!$B$366),"",ReferenceData!$B$366),"")</f>
        <v>7269 JP Equity</v>
      </c>
      <c r="C366" t="str">
        <f>IFERROR(IF(0=LEN(ReferenceData!$C$366),"",ReferenceData!$C$366),"")</f>
        <v>RR473</v>
      </c>
      <c r="D366" t="str">
        <f>IFERROR(IF(0=LEN(ReferenceData!$D$366),"",ReferenceData!$D$366),"")</f>
        <v>EV_TO_T12M_SALES</v>
      </c>
      <c r="E366" t="str">
        <f>IFERROR(IF(0=LEN(ReferenceData!$E$366),"",ReferenceData!$E$366),"")</f>
        <v>Dynamic</v>
      </c>
      <c r="F366" t="str">
        <f ca="1">IFERROR(IF(0=LEN(ReferenceData!$F$366),"",ReferenceData!$F$366),"")</f>
        <v/>
      </c>
      <c r="G366">
        <f ca="1">IFERROR(IF(0=LEN(ReferenceData!$G$366),"",ReferenceData!$G$366),"")</f>
        <v>0.67797431699999999</v>
      </c>
      <c r="H366">
        <f ca="1">IFERROR(IF(0=LEN(ReferenceData!$H$366),"",ReferenceData!$H$366),"")</f>
        <v>0.76078848200000004</v>
      </c>
      <c r="I366">
        <f ca="1">IFERROR(IF(0=LEN(ReferenceData!$I$366),"",ReferenceData!$I$366),"")</f>
        <v>0.68999811499999997</v>
      </c>
      <c r="J366">
        <f ca="1">IFERROR(IF(0=LEN(ReferenceData!$J$366),"",ReferenceData!$J$366),"")</f>
        <v>0.65813476500000001</v>
      </c>
      <c r="K366">
        <f ca="1">IFERROR(IF(0=LEN(ReferenceData!$K$366),"",ReferenceData!$K$366),"")</f>
        <v>0.772414147</v>
      </c>
      <c r="L366">
        <f ca="1">IFERROR(IF(0=LEN(ReferenceData!$L$366),"",ReferenceData!$L$366),"")</f>
        <v>0.70348679199999997</v>
      </c>
      <c r="M366">
        <f ca="1">IFERROR(IF(0=LEN(ReferenceData!$M$366),"",ReferenceData!$M$366),"")</f>
        <v>0.68736210499999995</v>
      </c>
      <c r="N366">
        <f ca="1">IFERROR(IF(0=LEN(ReferenceData!$N$366),"",ReferenceData!$N$366),"")</f>
        <v>0.607684047</v>
      </c>
      <c r="O366">
        <f ca="1">IFERROR(IF(0=LEN(ReferenceData!$O$366),"",ReferenceData!$O$366),"")</f>
        <v>0.56712847300000002</v>
      </c>
      <c r="P366">
        <f ca="1">IFERROR(IF(0=LEN(ReferenceData!$P$366),"",ReferenceData!$P$366),"")</f>
        <v>0.426097748</v>
      </c>
      <c r="Q366">
        <f ca="1">IFERROR(IF(0=LEN(ReferenceData!$Q$366),"",ReferenceData!$Q$366),"")</f>
        <v>0.36050639600000001</v>
      </c>
      <c r="R366">
        <f ca="1">IFERROR(IF(0=LEN(ReferenceData!$R$366),"",ReferenceData!$R$366),"")</f>
        <v>0.41586211299999998</v>
      </c>
      <c r="S366">
        <f ca="1">IFERROR(IF(0=LEN(ReferenceData!$S$366),"",ReferenceData!$S$366),"")</f>
        <v>0.51339016199999998</v>
      </c>
      <c r="T366">
        <f ca="1">IFERROR(IF(0=LEN(ReferenceData!$T$366),"",ReferenceData!$T$366),"")</f>
        <v>0.54797556400000003</v>
      </c>
      <c r="U366">
        <f ca="1">IFERROR(IF(0=LEN(ReferenceData!$U$366),"",ReferenceData!$U$366),"")</f>
        <v>0.63599036799999997</v>
      </c>
      <c r="V366">
        <f ca="1">IFERROR(IF(0=LEN(ReferenceData!$V$366),"",ReferenceData!$V$366),"")</f>
        <v>0.55411168200000005</v>
      </c>
      <c r="W366">
        <f ca="1">IFERROR(IF(0=LEN(ReferenceData!$W$366),"",ReferenceData!$W$366),"")</f>
        <v>0.57781275899999995</v>
      </c>
      <c r="X366">
        <f ca="1">IFERROR(IF(0=LEN(ReferenceData!$X$366),"",ReferenceData!$X$366),"")</f>
        <v>0.56425001100000005</v>
      </c>
      <c r="Y366">
        <f ca="1">IFERROR(IF(0=LEN(ReferenceData!$Y$366),"",ReferenceData!$Y$366),"")</f>
        <v>0.48499840999999999</v>
      </c>
      <c r="Z366">
        <f ca="1">IFERROR(IF(0=LEN(ReferenceData!$Z$366),"",ReferenceData!$Z$366),"")</f>
        <v>0.39699415900000001</v>
      </c>
      <c r="AA366">
        <f ca="1">IFERROR(IF(0=LEN(ReferenceData!$AA$366),"",ReferenceData!$AA$366),"")</f>
        <v>0.45655259799999998</v>
      </c>
      <c r="AB366">
        <f ca="1">IFERROR(IF(0=LEN(ReferenceData!$AB$366),"",ReferenceData!$AB$366),"")</f>
        <v>0.36660683900000002</v>
      </c>
      <c r="AC366">
        <f ca="1">IFERROR(IF(0=LEN(ReferenceData!$AC$366),"",ReferenceData!$AC$366),"")</f>
        <v>0.38299436399999998</v>
      </c>
      <c r="AD366">
        <f ca="1">IFERROR(IF(0=LEN(ReferenceData!$AD$366),"",ReferenceData!$AD$366),"")</f>
        <v>0.36354308000000002</v>
      </c>
      <c r="AE366">
        <f ca="1">IFERROR(IF(0=LEN(ReferenceData!$AE$366),"",ReferenceData!$AE$366),"")</f>
        <v>0.40857326900000002</v>
      </c>
      <c r="AF366">
        <f ca="1">IFERROR(IF(0=LEN(ReferenceData!$AF$366),"",ReferenceData!$AF$366),"")</f>
        <v>0.225036872</v>
      </c>
      <c r="AG366">
        <f ca="1">IFERROR(IF(0=LEN(ReferenceData!$AG$366),"",ReferenceData!$AG$366),"")</f>
        <v>0.238509468</v>
      </c>
      <c r="AH366">
        <f ca="1">IFERROR(IF(0=LEN(ReferenceData!$AH$366),"",ReferenceData!$AH$366),"")</f>
        <v>0.33838294200000002</v>
      </c>
      <c r="AI366">
        <f ca="1">IFERROR(IF(0=LEN(ReferenceData!$AI$366),"",ReferenceData!$AI$366),"")</f>
        <v>0.26292336799999999</v>
      </c>
      <c r="AJ366">
        <f ca="1">IFERROR(IF(0=LEN(ReferenceData!$AJ$366),"",ReferenceData!$AJ$366),"")</f>
        <v>0.285384321</v>
      </c>
      <c r="AK366">
        <f ca="1">IFERROR(IF(0=LEN(ReferenceData!$AK$366),"",ReferenceData!$AK$366),"")</f>
        <v>0.33436954200000002</v>
      </c>
      <c r="AL366">
        <f ca="1">IFERROR(IF(0=LEN(ReferenceData!$AL$366),"",ReferenceData!$AL$366),"")</f>
        <v>0.35646341300000001</v>
      </c>
      <c r="AM366">
        <f ca="1">IFERROR(IF(0=LEN(ReferenceData!$AM$366),"",ReferenceData!$AM$366),"")</f>
        <v>0.39765319500000001</v>
      </c>
      <c r="AN366">
        <f ca="1">IFERROR(IF(0=LEN(ReferenceData!$AN$366),"",ReferenceData!$AN$366),"")</f>
        <v>0.31554146300000002</v>
      </c>
      <c r="AO366">
        <f ca="1">IFERROR(IF(0=LEN(ReferenceData!$AO$366),"",ReferenceData!$AO$366),"")</f>
        <v>0.33044694299999999</v>
      </c>
      <c r="AP366">
        <f ca="1">IFERROR(IF(0=LEN(ReferenceData!$AP$366),"",ReferenceData!$AP$366),"")</f>
        <v>0.443430251</v>
      </c>
      <c r="AQ366">
        <f ca="1">IFERROR(IF(0=LEN(ReferenceData!$AQ$366),"",ReferenceData!$AQ$366),"")</f>
        <v>0.49258285099999999</v>
      </c>
      <c r="AR366">
        <f ca="1">IFERROR(IF(0=LEN(ReferenceData!$AR$366),"",ReferenceData!$AR$366),"")</f>
        <v>0.463293022</v>
      </c>
      <c r="AS366">
        <f ca="1">IFERROR(IF(0=LEN(ReferenceData!$AS$366),"",ReferenceData!$AS$366),"")</f>
        <v>0.46421994500000002</v>
      </c>
      <c r="AT366">
        <f ca="1">IFERROR(IF(0=LEN(ReferenceData!$AT$366),"",ReferenceData!$AT$366),"")</f>
        <v>0.35004969800000002</v>
      </c>
      <c r="AU366">
        <f ca="1">IFERROR(IF(0=LEN(ReferenceData!$AU$366),"",ReferenceData!$AU$366),"")</f>
        <v>0.243763807</v>
      </c>
      <c r="AV366">
        <f ca="1">IFERROR(IF(0=LEN(ReferenceData!$AV$366),"",ReferenceData!$AV$366),"")</f>
        <v>0.27776769899999998</v>
      </c>
      <c r="AW366">
        <f ca="1">IFERROR(IF(0=LEN(ReferenceData!$AW$366),"",ReferenceData!$AW$366),"")</f>
        <v>0.34880069699999999</v>
      </c>
      <c r="AX366">
        <f ca="1">IFERROR(IF(0=LEN(ReferenceData!$AX$366),"",ReferenceData!$AX$366),"")</f>
        <v>0.35230085700000002</v>
      </c>
      <c r="AY366">
        <f ca="1">IFERROR(IF(0=LEN(ReferenceData!$AY$366),"",ReferenceData!$AY$366),"")</f>
        <v>0.446076378</v>
      </c>
      <c r="AZ366">
        <f ca="1">IFERROR(IF(0=LEN(ReferenceData!$AZ$366),"",ReferenceData!$AZ$366),"")</f>
        <v>0.45154373599999997</v>
      </c>
      <c r="BA366">
        <f ca="1">IFERROR(IF(0=LEN(ReferenceData!$BA$366),"",ReferenceData!$BA$366),"")</f>
        <v>0.48215928200000002</v>
      </c>
      <c r="BB366">
        <f ca="1">IFERROR(IF(0=LEN(ReferenceData!$BB$366),"",ReferenceData!$BB$366),"")</f>
        <v>0.451673559</v>
      </c>
      <c r="BC366">
        <f ca="1">IFERROR(IF(0=LEN(ReferenceData!$BC$366),"",ReferenceData!$BC$366),"")</f>
        <v>0.50910830600000001</v>
      </c>
      <c r="BD366">
        <f ca="1">IFERROR(IF(0=LEN(ReferenceData!$BD$366),"",ReferenceData!$BD$366),"")</f>
        <v>0.44903122400000001</v>
      </c>
      <c r="BE366">
        <f ca="1">IFERROR(IF(0=LEN(ReferenceData!$BE$366),"",ReferenceData!$BE$366),"")</f>
        <v>0.37357258300000001</v>
      </c>
      <c r="BF366">
        <f ca="1">IFERROR(IF(0=LEN(ReferenceData!$BF$366),"",ReferenceData!$BF$366),"")</f>
        <v>0.447449441</v>
      </c>
      <c r="BG366">
        <f ca="1">IFERROR(IF(0=LEN(ReferenceData!$BG$366),"",ReferenceData!$BG$366),"")</f>
        <v>0.38269531400000001</v>
      </c>
      <c r="BH366">
        <f ca="1">IFERROR(IF(0=LEN(ReferenceData!$BH$366),"",ReferenceData!$BH$366),"")</f>
        <v>0.37209790399999998</v>
      </c>
      <c r="BI366" t="str">
        <f ca="1">IFERROR(IF(0=LEN(ReferenceData!$BI$366),"",ReferenceData!$BI$366),"")</f>
        <v/>
      </c>
      <c r="BJ366">
        <f ca="1">IFERROR(IF(0=LEN(ReferenceData!$BJ$366),"",ReferenceData!$BJ$366),"")</f>
        <v>0.37896595199999999</v>
      </c>
      <c r="BK366" t="str">
        <f ca="1">IFERROR(IF(0=LEN(ReferenceData!$BK$366),"",ReferenceData!$BK$366),"")</f>
        <v/>
      </c>
      <c r="BL366">
        <f ca="1">IFERROR(IF(0=LEN(ReferenceData!$BL$366),"",ReferenceData!$BL$366),"")</f>
        <v>0.36455697799999998</v>
      </c>
      <c r="BM366" t="str">
        <f ca="1">IFERROR(IF(0=LEN(ReferenceData!$BM$366),"",ReferenceData!$BM$366),"")</f>
        <v/>
      </c>
    </row>
    <row r="367" spans="1:65" x14ac:dyDescent="0.25">
      <c r="A367" t="str">
        <f>IFERROR(IF(0=LEN(ReferenceData!$A$367),"",ReferenceData!$A$367),"")</f>
        <v xml:space="preserve">    Tata Motors Ltd</v>
      </c>
      <c r="B367" t="str">
        <f>IFERROR(IF(0=LEN(ReferenceData!$B$367),"",ReferenceData!$B$367),"")</f>
        <v>TTMT IN Equity</v>
      </c>
      <c r="C367" t="str">
        <f>IFERROR(IF(0=LEN(ReferenceData!$C$367),"",ReferenceData!$C$367),"")</f>
        <v>RR473</v>
      </c>
      <c r="D367" t="str">
        <f>IFERROR(IF(0=LEN(ReferenceData!$D$367),"",ReferenceData!$D$367),"")</f>
        <v>EV_TO_T12M_SALES</v>
      </c>
      <c r="E367" t="str">
        <f>IFERROR(IF(0=LEN(ReferenceData!$E$367),"",ReferenceData!$E$367),"")</f>
        <v>Dynamic</v>
      </c>
      <c r="F367" t="str">
        <f ca="1">IFERROR(IF(0=LEN(ReferenceData!$F$367),"",ReferenceData!$F$367),"")</f>
        <v/>
      </c>
      <c r="G367" t="str">
        <f ca="1">IFERROR(IF(0=LEN(ReferenceData!$G$367),"",ReferenceData!$G$367),"")</f>
        <v/>
      </c>
      <c r="H367">
        <f ca="1">IFERROR(IF(0=LEN(ReferenceData!$H$367),"",ReferenceData!$H$367),"")</f>
        <v>0.45123797799999998</v>
      </c>
      <c r="I367" t="str">
        <f ca="1">IFERROR(IF(0=LEN(ReferenceData!$I$367),"",ReferenceData!$I$367),"")</f>
        <v/>
      </c>
      <c r="J367">
        <f ca="1">IFERROR(IF(0=LEN(ReferenceData!$J$367),"",ReferenceData!$J$367),"")</f>
        <v>0.51266307799999999</v>
      </c>
      <c r="K367" t="str">
        <f ca="1">IFERROR(IF(0=LEN(ReferenceData!$K$367),"",ReferenceData!$K$367),"")</f>
        <v/>
      </c>
      <c r="L367">
        <f ca="1">IFERROR(IF(0=LEN(ReferenceData!$L$367),"",ReferenceData!$L$367),"")</f>
        <v>0.64195961800000001</v>
      </c>
      <c r="M367" t="str">
        <f ca="1">IFERROR(IF(0=LEN(ReferenceData!$M$367),"",ReferenceData!$M$367),"")</f>
        <v/>
      </c>
      <c r="N367">
        <f ca="1">IFERROR(IF(0=LEN(ReferenceData!$N$367),"",ReferenceData!$N$367),"")</f>
        <v>0.68629870199999998</v>
      </c>
      <c r="O367" t="str">
        <f ca="1">IFERROR(IF(0=LEN(ReferenceData!$O$367),"",ReferenceData!$O$367),"")</f>
        <v/>
      </c>
      <c r="P367">
        <f ca="1">IFERROR(IF(0=LEN(ReferenceData!$P$367),"",ReferenceData!$P$367),"")</f>
        <v>0.75761417600000003</v>
      </c>
      <c r="Q367" t="str">
        <f ca="1">IFERROR(IF(0=LEN(ReferenceData!$Q$367),"",ReferenceData!$Q$367),"")</f>
        <v/>
      </c>
      <c r="R367">
        <f ca="1">IFERROR(IF(0=LEN(ReferenceData!$R$367),"",ReferenceData!$R$367),"")</f>
        <v>0.56738451099999998</v>
      </c>
      <c r="S367" t="str">
        <f ca="1">IFERROR(IF(0=LEN(ReferenceData!$S$367),"",ReferenceData!$S$367),"")</f>
        <v/>
      </c>
      <c r="T367">
        <f ca="1">IFERROR(IF(0=LEN(ReferenceData!$T$367),"",ReferenceData!$T$367),"")</f>
        <v>0.51542052599999999</v>
      </c>
      <c r="U367" t="str">
        <f ca="1">IFERROR(IF(0=LEN(ReferenceData!$U$367),"",ReferenceData!$U$367),"")</f>
        <v/>
      </c>
      <c r="V367">
        <f ca="1">IFERROR(IF(0=LEN(ReferenceData!$V$367),"",ReferenceData!$V$367),"")</f>
        <v>0.80158319499999997</v>
      </c>
      <c r="W367" t="str">
        <f ca="1">IFERROR(IF(0=LEN(ReferenceData!$W$367),"",ReferenceData!$W$367),"")</f>
        <v/>
      </c>
      <c r="X367">
        <f ca="1">IFERROR(IF(0=LEN(ReferenceData!$X$367),"",ReferenceData!$X$367),"")</f>
        <v>0.71317980599999997</v>
      </c>
      <c r="Y367" t="str">
        <f ca="1">IFERROR(IF(0=LEN(ReferenceData!$Y$367),"",ReferenceData!$Y$367),"")</f>
        <v/>
      </c>
      <c r="Z367">
        <f ca="1">IFERROR(IF(0=LEN(ReferenceData!$Z$367),"",ReferenceData!$Z$367),"")</f>
        <v>0.67412860200000002</v>
      </c>
      <c r="AA367" t="str">
        <f ca="1">IFERROR(IF(0=LEN(ReferenceData!$AA$367),"",ReferenceData!$AA$367),"")</f>
        <v/>
      </c>
      <c r="AB367">
        <f ca="1">IFERROR(IF(0=LEN(ReferenceData!$AB$367),"",ReferenceData!$AB$367),"")</f>
        <v>0.641511473</v>
      </c>
      <c r="AC367" t="str">
        <f ca="1">IFERROR(IF(0=LEN(ReferenceData!$AC$367),"",ReferenceData!$AC$367),"")</f>
        <v/>
      </c>
      <c r="AD367">
        <f ca="1">IFERROR(IF(0=LEN(ReferenceData!$AD$367),"",ReferenceData!$AD$367),"")</f>
        <v>0.62342755500000002</v>
      </c>
      <c r="AE367" t="str">
        <f ca="1">IFERROR(IF(0=LEN(ReferenceData!$AE$367),"",ReferenceData!$AE$367),"")</f>
        <v/>
      </c>
      <c r="AF367">
        <f ca="1">IFERROR(IF(0=LEN(ReferenceData!$AF$367),"",ReferenceData!$AF$367),"")</f>
        <v>0.57049514999999995</v>
      </c>
      <c r="AG367" t="str">
        <f ca="1">IFERROR(IF(0=LEN(ReferenceData!$AG$367),"",ReferenceData!$AG$367),"")</f>
        <v/>
      </c>
      <c r="AH367">
        <f ca="1">IFERROR(IF(0=LEN(ReferenceData!$AH$367),"",ReferenceData!$AH$367),"")</f>
        <v>0.695484408</v>
      </c>
      <c r="AI367" t="str">
        <f ca="1">IFERROR(IF(0=LEN(ReferenceData!$AI$367),"",ReferenceData!$AI$367),"")</f>
        <v/>
      </c>
      <c r="AJ367">
        <f ca="1">IFERROR(IF(0=LEN(ReferenceData!$AJ$367),"",ReferenceData!$AJ$367),"")</f>
        <v>0.58649681899999995</v>
      </c>
      <c r="AK367" t="str">
        <f ca="1">IFERROR(IF(0=LEN(ReferenceData!$AK$367),"",ReferenceData!$AK$367),"")</f>
        <v/>
      </c>
      <c r="AL367">
        <f ca="1">IFERROR(IF(0=LEN(ReferenceData!$AL$367),"",ReferenceData!$AL$367),"")</f>
        <v>0.87961957499999999</v>
      </c>
      <c r="AM367" t="str">
        <f ca="1">IFERROR(IF(0=LEN(ReferenceData!$AM$367),"",ReferenceData!$AM$367),"")</f>
        <v/>
      </c>
      <c r="AN367">
        <f ca="1">IFERROR(IF(0=LEN(ReferenceData!$AN$367),"",ReferenceData!$AN$367),"")</f>
        <v>0.83293072700000004</v>
      </c>
      <c r="AO367" t="str">
        <f ca="1">IFERROR(IF(0=LEN(ReferenceData!$AO$367),"",ReferenceData!$AO$367),"")</f>
        <v/>
      </c>
      <c r="AP367">
        <f ca="1">IFERROR(IF(0=LEN(ReferenceData!$AP$367),"",ReferenceData!$AP$367),"")</f>
        <v>0.81786801399999998</v>
      </c>
      <c r="AQ367" t="str">
        <f ca="1">IFERROR(IF(0=LEN(ReferenceData!$AQ$367),"",ReferenceData!$AQ$367),"")</f>
        <v/>
      </c>
      <c r="AR367" t="str">
        <f ca="1">IFERROR(IF(0=LEN(ReferenceData!$AR$367),"",ReferenceData!$AR$367),"")</f>
        <v/>
      </c>
      <c r="AS367" t="str">
        <f ca="1">IFERROR(IF(0=LEN(ReferenceData!$AS$367),"",ReferenceData!$AS$367),"")</f>
        <v/>
      </c>
      <c r="AT367">
        <f ca="1">IFERROR(IF(0=LEN(ReferenceData!$AT$367),"",ReferenceData!$AT$367),"")</f>
        <v>0.63922590300000004</v>
      </c>
      <c r="AU367" t="str">
        <f ca="1">IFERROR(IF(0=LEN(ReferenceData!$AU$367),"",ReferenceData!$AU$367),"")</f>
        <v/>
      </c>
      <c r="AV367" t="str">
        <f ca="1">IFERROR(IF(0=LEN(ReferenceData!$AV$367),"",ReferenceData!$AV$367),"")</f>
        <v/>
      </c>
      <c r="AW367" t="str">
        <f ca="1">IFERROR(IF(0=LEN(ReferenceData!$AW$367),"",ReferenceData!$AW$367),"")</f>
        <v/>
      </c>
      <c r="AX367" t="str">
        <f ca="1">IFERROR(IF(0=LEN(ReferenceData!$AX$367),"",ReferenceData!$AX$367),"")</f>
        <v/>
      </c>
      <c r="AY367" t="str">
        <f ca="1">IFERROR(IF(0=LEN(ReferenceData!$AY$367),"",ReferenceData!$AY$367),"")</f>
        <v/>
      </c>
      <c r="AZ367" t="str">
        <f ca="1">IFERROR(IF(0=LEN(ReferenceData!$AZ$367),"",ReferenceData!$AZ$367),"")</f>
        <v/>
      </c>
      <c r="BA367" t="str">
        <f ca="1">IFERROR(IF(0=LEN(ReferenceData!$BA$367),"",ReferenceData!$BA$367),"")</f>
        <v/>
      </c>
      <c r="BB367" t="str">
        <f ca="1">IFERROR(IF(0=LEN(ReferenceData!$BB$367),"",ReferenceData!$BB$367),"")</f>
        <v/>
      </c>
      <c r="BC367" t="str">
        <f ca="1">IFERROR(IF(0=LEN(ReferenceData!$BC$367),"",ReferenceData!$BC$367),"")</f>
        <v/>
      </c>
      <c r="BD367" t="str">
        <f ca="1">IFERROR(IF(0=LEN(ReferenceData!$BD$367),"",ReferenceData!$BD$367),"")</f>
        <v/>
      </c>
      <c r="BE367" t="str">
        <f ca="1">IFERROR(IF(0=LEN(ReferenceData!$BE$367),"",ReferenceData!$BE$367),"")</f>
        <v/>
      </c>
      <c r="BF367" t="str">
        <f ca="1">IFERROR(IF(0=LEN(ReferenceData!$BF$367),"",ReferenceData!$BF$367),"")</f>
        <v/>
      </c>
      <c r="BG367" t="str">
        <f ca="1">IFERROR(IF(0=LEN(ReferenceData!$BG$367),"",ReferenceData!$BG$367),"")</f>
        <v/>
      </c>
      <c r="BH367" t="str">
        <f ca="1">IFERROR(IF(0=LEN(ReferenceData!$BH$367),"",ReferenceData!$BH$367),"")</f>
        <v/>
      </c>
      <c r="BI367" t="str">
        <f ca="1">IFERROR(IF(0=LEN(ReferenceData!$BI$367),"",ReferenceData!$BI$367),"")</f>
        <v/>
      </c>
      <c r="BJ367" t="str">
        <f ca="1">IFERROR(IF(0=LEN(ReferenceData!$BJ$367),"",ReferenceData!$BJ$367),"")</f>
        <v/>
      </c>
      <c r="BK367" t="str">
        <f ca="1">IFERROR(IF(0=LEN(ReferenceData!$BK$367),"",ReferenceData!$BK$367),"")</f>
        <v/>
      </c>
      <c r="BL367" t="str">
        <f ca="1">IFERROR(IF(0=LEN(ReferenceData!$BL$367),"",ReferenceData!$BL$367),"")</f>
        <v/>
      </c>
      <c r="BM367" t="str">
        <f ca="1">IFERROR(IF(0=LEN(ReferenceData!$BM$367),"",ReferenceData!$BM$367),"")</f>
        <v/>
      </c>
    </row>
    <row r="368" spans="1:65" x14ac:dyDescent="0.25">
      <c r="A368" t="str">
        <f>IFERROR(IF(0=LEN(ReferenceData!$A$368),"",ReferenceData!$A$368),"")</f>
        <v xml:space="preserve">    Tesla Inc</v>
      </c>
      <c r="B368" t="str">
        <f>IFERROR(IF(0=LEN(ReferenceData!$B$368),"",ReferenceData!$B$368),"")</f>
        <v>TSLA US Equity</v>
      </c>
      <c r="C368" t="str">
        <f>IFERROR(IF(0=LEN(ReferenceData!$C$368),"",ReferenceData!$C$368),"")</f>
        <v>RR473</v>
      </c>
      <c r="D368" t="str">
        <f>IFERROR(IF(0=LEN(ReferenceData!$D$368),"",ReferenceData!$D$368),"")</f>
        <v>EV_TO_T12M_SALES</v>
      </c>
      <c r="E368" t="str">
        <f>IFERROR(IF(0=LEN(ReferenceData!$E$368),"",ReferenceData!$E$368),"")</f>
        <v>Dynamic</v>
      </c>
      <c r="F368" t="str">
        <f ca="1">IFERROR(IF(0=LEN(ReferenceData!$F$368),"",ReferenceData!$F$368),"")</f>
        <v/>
      </c>
      <c r="G368">
        <f ca="1">IFERROR(IF(0=LEN(ReferenceData!$G$368),"",ReferenceData!$G$368),"")</f>
        <v>3.1274197030000002</v>
      </c>
      <c r="H368">
        <f ca="1">IFERROR(IF(0=LEN(ReferenceData!$H$368),"",ReferenceData!$H$368),"")</f>
        <v>3.1719992179999998</v>
      </c>
      <c r="I368">
        <f ca="1">IFERROR(IF(0=LEN(ReferenceData!$I$368),"",ReferenceData!$I$368),"")</f>
        <v>5.012449749</v>
      </c>
      <c r="J368">
        <f ca="1">IFERROR(IF(0=LEN(ReferenceData!$J$368),"",ReferenceData!$J$368),"")</f>
        <v>4.3667507350000001</v>
      </c>
      <c r="K368">
        <f ca="1">IFERROR(IF(0=LEN(ReferenceData!$K$368),"",ReferenceData!$K$368),"")</f>
        <v>5.1703518470000001</v>
      </c>
      <c r="L368">
        <f ca="1">IFERROR(IF(0=LEN(ReferenceData!$L$368),"",ReferenceData!$L$368),"")</f>
        <v>6.0580440710000003</v>
      </c>
      <c r="M368">
        <f ca="1">IFERROR(IF(0=LEN(ReferenceData!$M$368),"",ReferenceData!$M$368),"")</f>
        <v>6.5692213490000002</v>
      </c>
      <c r="N368">
        <f ca="1">IFERROR(IF(0=LEN(ReferenceData!$N$368),"",ReferenceData!$N$368),"")</f>
        <v>5.9468300410000001</v>
      </c>
      <c r="O368">
        <f ca="1">IFERROR(IF(0=LEN(ReferenceData!$O$368),"",ReferenceData!$O$368),"")</f>
        <v>5.5909681549999997</v>
      </c>
      <c r="P368">
        <f ca="1">IFERROR(IF(0=LEN(ReferenceData!$P$368),"",ReferenceData!$P$368),"")</f>
        <v>5.0909510390000001</v>
      </c>
      <c r="Q368">
        <f ca="1">IFERROR(IF(0=LEN(ReferenceData!$Q$368),"",ReferenceData!$Q$368),"")</f>
        <v>6.8781848910000001</v>
      </c>
      <c r="R368">
        <f ca="1">IFERROR(IF(0=LEN(ReferenceData!$R$368),"",ReferenceData!$R$368),"")</f>
        <v>7.6359129000000001</v>
      </c>
      <c r="S368">
        <f ca="1">IFERROR(IF(0=LEN(ReferenceData!$S$368),"",ReferenceData!$S$368),"")</f>
        <v>8.155024847</v>
      </c>
      <c r="T368">
        <f ca="1">IFERROR(IF(0=LEN(ReferenceData!$T$368),"",ReferenceData!$T$368),"")</f>
        <v>8.9018615180000005</v>
      </c>
      <c r="U368">
        <f ca="1">IFERROR(IF(0=LEN(ReferenceData!$U$368),"",ReferenceData!$U$368),"")</f>
        <v>9.6219901120000007</v>
      </c>
      <c r="V368">
        <f ca="1">IFERROR(IF(0=LEN(ReferenceData!$V$368),"",ReferenceData!$V$368),"")</f>
        <v>7.0709973460000004</v>
      </c>
      <c r="W368">
        <f ca="1">IFERROR(IF(0=LEN(ReferenceData!$W$368),"",ReferenceData!$W$368),"")</f>
        <v>8.9222549559999997</v>
      </c>
      <c r="X368">
        <f ca="1">IFERROR(IF(0=LEN(ReferenceData!$X$368),"",ReferenceData!$X$368),"")</f>
        <v>10.66177924</v>
      </c>
      <c r="Y368">
        <f ca="1">IFERROR(IF(0=LEN(ReferenceData!$Y$368),"",ReferenceData!$Y$368),"")</f>
        <v>12.18341493</v>
      </c>
      <c r="Z368">
        <f ca="1">IFERROR(IF(0=LEN(ReferenceData!$Z$368),"",ReferenceData!$Z$368),"")</f>
        <v>12.25920455</v>
      </c>
      <c r="AA368">
        <f ca="1">IFERROR(IF(0=LEN(ReferenceData!$AA$368),"",ReferenceData!$AA$368),"")</f>
        <v>9.0774670200000003</v>
      </c>
      <c r="AB368">
        <f ca="1">IFERROR(IF(0=LEN(ReferenceData!$AB$368),"",ReferenceData!$AB$368),"")</f>
        <v>13.78902398</v>
      </c>
      <c r="AC368">
        <f ca="1">IFERROR(IF(0=LEN(ReferenceData!$AC$368),"",ReferenceData!$AC$368),"")</f>
        <v>9.7360111249999992</v>
      </c>
      <c r="AD368">
        <f ca="1">IFERROR(IF(0=LEN(ReferenceData!$AD$368),"",ReferenceData!$AD$368),"")</f>
        <v>4.8731774750000003</v>
      </c>
      <c r="AE368">
        <f ca="1">IFERROR(IF(0=LEN(ReferenceData!$AE$368),"",ReferenceData!$AE$368),"")</f>
        <v>10.001581249999999</v>
      </c>
      <c r="AF368">
        <f ca="1">IFERROR(IF(0=LEN(ReferenceData!$AF$368),"",ReferenceData!$AF$368),"")</f>
        <v>23.826805239999999</v>
      </c>
      <c r="AG368">
        <f ca="1">IFERROR(IF(0=LEN(ReferenceData!$AG$368),"",ReferenceData!$AG$368),"")</f>
        <v>22.90370304</v>
      </c>
      <c r="AH368">
        <f ca="1">IFERROR(IF(0=LEN(ReferenceData!$AH$368),"",ReferenceData!$AH$368),"")</f>
        <v>21.785989969999999</v>
      </c>
      <c r="AI368">
        <f ca="1">IFERROR(IF(0=LEN(ReferenceData!$AI$368),"",ReferenceData!$AI$368),"")</f>
        <v>14.61602663</v>
      </c>
      <c r="AJ368">
        <f ca="1">IFERROR(IF(0=LEN(ReferenceData!$AJ$368),"",ReferenceData!$AJ$368),"")</f>
        <v>12.372803729999999</v>
      </c>
      <c r="AK368">
        <f ca="1">IFERROR(IF(0=LEN(ReferenceData!$AK$368),"",ReferenceData!$AK$368),"")</f>
        <v>16.279069239999998</v>
      </c>
      <c r="AL368">
        <f ca="1">IFERROR(IF(0=LEN(ReferenceData!$AL$368),"",ReferenceData!$AL$368),"")</f>
        <v>18.30943151</v>
      </c>
      <c r="AM368">
        <f ca="1">IFERROR(IF(0=LEN(ReferenceData!$AM$368),"",ReferenceData!$AM$368),"")</f>
        <v>21.418273259999999</v>
      </c>
      <c r="AN368">
        <f ca="1">IFERROR(IF(0=LEN(ReferenceData!$AN$368),"",ReferenceData!$AN$368),"")</f>
        <v>18.816944020000001</v>
      </c>
      <c r="AO368" t="str">
        <f ca="1">IFERROR(IF(0=LEN(ReferenceData!$AO$368),"",ReferenceData!$AO$368),"")</f>
        <v/>
      </c>
      <c r="AP368" t="str">
        <f ca="1">IFERROR(IF(0=LEN(ReferenceData!$AP$368),"",ReferenceData!$AP$368),"")</f>
        <v/>
      </c>
      <c r="AQ368" t="str">
        <f ca="1">IFERROR(IF(0=LEN(ReferenceData!$AQ$368),"",ReferenceData!$AQ$368),"")</f>
        <v/>
      </c>
      <c r="AR368" t="str">
        <f ca="1">IFERROR(IF(0=LEN(ReferenceData!$AR$368),"",ReferenceData!$AR$368),"")</f>
        <v/>
      </c>
      <c r="AS368" t="str">
        <f ca="1">IFERROR(IF(0=LEN(ReferenceData!$AS$368),"",ReferenceData!$AS$368),"")</f>
        <v/>
      </c>
      <c r="AT368" t="str">
        <f ca="1">IFERROR(IF(0=LEN(ReferenceData!$AT$368),"",ReferenceData!$AT$368),"")</f>
        <v/>
      </c>
      <c r="AU368" t="str">
        <f ca="1">IFERROR(IF(0=LEN(ReferenceData!$AU$368),"",ReferenceData!$AU$368),"")</f>
        <v/>
      </c>
      <c r="AV368" t="str">
        <f ca="1">IFERROR(IF(0=LEN(ReferenceData!$AV$368),"",ReferenceData!$AV$368),"")</f>
        <v/>
      </c>
      <c r="AW368" t="str">
        <f ca="1">IFERROR(IF(0=LEN(ReferenceData!$AW$368),"",ReferenceData!$AW$368),"")</f>
        <v/>
      </c>
      <c r="AX368" t="str">
        <f ca="1">IFERROR(IF(0=LEN(ReferenceData!$AX$368),"",ReferenceData!$AX$368),"")</f>
        <v/>
      </c>
      <c r="AY368" t="str">
        <f ca="1">IFERROR(IF(0=LEN(ReferenceData!$AY$368),"",ReferenceData!$AY$368),"")</f>
        <v/>
      </c>
      <c r="AZ368" t="str">
        <f ca="1">IFERROR(IF(0=LEN(ReferenceData!$AZ$368),"",ReferenceData!$AZ$368),"")</f>
        <v/>
      </c>
      <c r="BA368" t="str">
        <f ca="1">IFERROR(IF(0=LEN(ReferenceData!$BA$368),"",ReferenceData!$BA$368),"")</f>
        <v/>
      </c>
      <c r="BB368" t="str">
        <f ca="1">IFERROR(IF(0=LEN(ReferenceData!$BB$368),"",ReferenceData!$BB$368),"")</f>
        <v/>
      </c>
      <c r="BC368" t="str">
        <f ca="1">IFERROR(IF(0=LEN(ReferenceData!$BC$368),"",ReferenceData!$BC$368),"")</f>
        <v/>
      </c>
      <c r="BD368" t="str">
        <f ca="1">IFERROR(IF(0=LEN(ReferenceData!$BD$368),"",ReferenceData!$BD$368),"")</f>
        <v/>
      </c>
      <c r="BE368" t="str">
        <f ca="1">IFERROR(IF(0=LEN(ReferenceData!$BE$368),"",ReferenceData!$BE$368),"")</f>
        <v/>
      </c>
      <c r="BF368" t="str">
        <f ca="1">IFERROR(IF(0=LEN(ReferenceData!$BF$368),"",ReferenceData!$BF$368),"")</f>
        <v/>
      </c>
      <c r="BG368" t="str">
        <f ca="1">IFERROR(IF(0=LEN(ReferenceData!$BG$368),"",ReferenceData!$BG$368),"")</f>
        <v/>
      </c>
      <c r="BH368" t="str">
        <f ca="1">IFERROR(IF(0=LEN(ReferenceData!$BH$368),"",ReferenceData!$BH$368),"")</f>
        <v/>
      </c>
      <c r="BI368" t="str">
        <f ca="1">IFERROR(IF(0=LEN(ReferenceData!$BI$368),"",ReferenceData!$BI$368),"")</f>
        <v/>
      </c>
      <c r="BJ368" t="str">
        <f ca="1">IFERROR(IF(0=LEN(ReferenceData!$BJ$368),"",ReferenceData!$BJ$368),"")</f>
        <v/>
      </c>
      <c r="BK368" t="str">
        <f ca="1">IFERROR(IF(0=LEN(ReferenceData!$BK$368),"",ReferenceData!$BK$368),"")</f>
        <v/>
      </c>
      <c r="BL368" t="str">
        <f ca="1">IFERROR(IF(0=LEN(ReferenceData!$BL$368),"",ReferenceData!$BL$368),"")</f>
        <v/>
      </c>
      <c r="BM368" t="str">
        <f ca="1">IFERROR(IF(0=LEN(ReferenceData!$BM$368),"",ReferenceData!$BM$368),"")</f>
        <v/>
      </c>
    </row>
    <row r="369" spans="1:65" x14ac:dyDescent="0.25">
      <c r="A369" t="str">
        <f>IFERROR(IF(0=LEN(ReferenceData!$A$369),"",ReferenceData!$A$369),"")</f>
        <v xml:space="preserve">    Tianjin Faw Xiali Automobile Co Ltd</v>
      </c>
      <c r="B369" t="str">
        <f>IFERROR(IF(0=LEN(ReferenceData!$B$369),"",ReferenceData!$B$369),"")</f>
        <v>000927 CH Equity</v>
      </c>
      <c r="C369" t="str">
        <f>IFERROR(IF(0=LEN(ReferenceData!$C$369),"",ReferenceData!$C$369),"")</f>
        <v>RR473</v>
      </c>
      <c r="D369" t="str">
        <f>IFERROR(IF(0=LEN(ReferenceData!$D$369),"",ReferenceData!$D$369),"")</f>
        <v>EV_TO_T12M_SALES</v>
      </c>
      <c r="E369" t="str">
        <f>IFERROR(IF(0=LEN(ReferenceData!$E$369),"",ReferenceData!$E$369),"")</f>
        <v>Dynamic</v>
      </c>
      <c r="F369" t="str">
        <f ca="1">IFERROR(IF(0=LEN(ReferenceData!$F$369),"",ReferenceData!$F$369),"")</f>
        <v/>
      </c>
      <c r="G369" t="str">
        <f ca="1">IFERROR(IF(0=LEN(ReferenceData!$G$369),"",ReferenceData!$G$369),"")</f>
        <v/>
      </c>
      <c r="H369">
        <f ca="1">IFERROR(IF(0=LEN(ReferenceData!$H$369),"",ReferenceData!$H$369),"")</f>
        <v>5.6276410620000004</v>
      </c>
      <c r="I369">
        <f ca="1">IFERROR(IF(0=LEN(ReferenceData!$I$369),"",ReferenceData!$I$369),"")</f>
        <v>5.8170630460000003</v>
      </c>
      <c r="J369">
        <f ca="1">IFERROR(IF(0=LEN(ReferenceData!$J$369),"",ReferenceData!$J$369),"")</f>
        <v>5.9388832469999997</v>
      </c>
      <c r="K369">
        <f ca="1">IFERROR(IF(0=LEN(ReferenceData!$K$369),"",ReferenceData!$K$369),"")</f>
        <v>6.8745417980000001</v>
      </c>
      <c r="L369">
        <f ca="1">IFERROR(IF(0=LEN(ReferenceData!$L$369),"",ReferenceData!$L$369),"")</f>
        <v>6.8584523610000003</v>
      </c>
      <c r="M369">
        <f ca="1">IFERROR(IF(0=LEN(ReferenceData!$M$369),"",ReferenceData!$M$369),"")</f>
        <v>5.8433238010000004</v>
      </c>
      <c r="N369">
        <f ca="1">IFERROR(IF(0=LEN(ReferenceData!$N$369),"",ReferenceData!$N$369),"")</f>
        <v>7.0850147239999997</v>
      </c>
      <c r="O369">
        <f ca="1">IFERROR(IF(0=LEN(ReferenceData!$O$369),"",ReferenceData!$O$369),"")</f>
        <v>5.0214274730000001</v>
      </c>
      <c r="P369">
        <f ca="1">IFERROR(IF(0=LEN(ReferenceData!$P$369),"",ReferenceData!$P$369),"")</f>
        <v>3.1824397250000001</v>
      </c>
      <c r="Q369">
        <f ca="1">IFERROR(IF(0=LEN(ReferenceData!$Q$369),"",ReferenceData!$Q$369),"")</f>
        <v>4.3966207879999999</v>
      </c>
      <c r="R369">
        <f ca="1">IFERROR(IF(0=LEN(ReferenceData!$R$369),"",ReferenceData!$R$369),"")</f>
        <v>4.3648648010000004</v>
      </c>
      <c r="S369">
        <f ca="1">IFERROR(IF(0=LEN(ReferenceData!$S$369),"",ReferenceData!$S$369),"")</f>
        <v>3.8374867469999998</v>
      </c>
      <c r="T369">
        <f ca="1">IFERROR(IF(0=LEN(ReferenceData!$T$369),"",ReferenceData!$T$369),"")</f>
        <v>3.8722756170000001</v>
      </c>
      <c r="U369">
        <f ca="1">IFERROR(IF(0=LEN(ReferenceData!$U$369),"",ReferenceData!$U$369),"")</f>
        <v>5.0548996060000002</v>
      </c>
      <c r="V369">
        <f ca="1">IFERROR(IF(0=LEN(ReferenceData!$V$369),"",ReferenceData!$V$369),"")</f>
        <v>4.6592382289999996</v>
      </c>
      <c r="W369">
        <f ca="1">IFERROR(IF(0=LEN(ReferenceData!$W$369),"",ReferenceData!$W$369),"")</f>
        <v>4.1462310320000002</v>
      </c>
      <c r="X369">
        <f ca="1">IFERROR(IF(0=LEN(ReferenceData!$X$369),"",ReferenceData!$X$369),"")</f>
        <v>2.7503606490000001</v>
      </c>
      <c r="Y369">
        <f ca="1">IFERROR(IF(0=LEN(ReferenceData!$Y$369),"",ReferenceData!$Y$369),"")</f>
        <v>1.8702780530000001</v>
      </c>
      <c r="Z369">
        <f ca="1">IFERROR(IF(0=LEN(ReferenceData!$Z$369),"",ReferenceData!$Z$369),"")</f>
        <v>1.776770985</v>
      </c>
      <c r="AA369">
        <f ca="1">IFERROR(IF(0=LEN(ReferenceData!$AA$369),"",ReferenceData!$AA$369),"")</f>
        <v>1.397383166</v>
      </c>
      <c r="AB369">
        <f ca="1">IFERROR(IF(0=LEN(ReferenceData!$AB$369),"",ReferenceData!$AB$369),"")</f>
        <v>1.267570273</v>
      </c>
      <c r="AC369">
        <f ca="1">IFERROR(IF(0=LEN(ReferenceData!$AC$369),"",ReferenceData!$AC$369),"")</f>
        <v>1.030551107</v>
      </c>
      <c r="AD369">
        <f ca="1">IFERROR(IF(0=LEN(ReferenceData!$AD$369),"",ReferenceData!$AD$369),"")</f>
        <v>1.2253092969999999</v>
      </c>
      <c r="AE369">
        <f ca="1">IFERROR(IF(0=LEN(ReferenceData!$AE$369),"",ReferenceData!$AE$369),"")</f>
        <v>1.271631596</v>
      </c>
      <c r="AF369">
        <f ca="1">IFERROR(IF(0=LEN(ReferenceData!$AF$369),"",ReferenceData!$AF$369),"")</f>
        <v>1.153974359</v>
      </c>
      <c r="AG369">
        <f ca="1">IFERROR(IF(0=LEN(ReferenceData!$AG$369),"",ReferenceData!$AG$369),"")</f>
        <v>1.47218654</v>
      </c>
      <c r="AH369">
        <f ca="1">IFERROR(IF(0=LEN(ReferenceData!$AH$369),"",ReferenceData!$AH$369),"")</f>
        <v>1.3613793780000001</v>
      </c>
      <c r="AI369">
        <f ca="1">IFERROR(IF(0=LEN(ReferenceData!$AI$369),"",ReferenceData!$AI$369),"")</f>
        <v>1.0810588759999999</v>
      </c>
      <c r="AJ369">
        <f ca="1">IFERROR(IF(0=LEN(ReferenceData!$AJ$369),"",ReferenceData!$AJ$369),"")</f>
        <v>1.1574389700000001</v>
      </c>
      <c r="AK369">
        <f ca="1">IFERROR(IF(0=LEN(ReferenceData!$AK$369),"",ReferenceData!$AK$369),"")</f>
        <v>1.027867879</v>
      </c>
      <c r="AL369">
        <f ca="1">IFERROR(IF(0=LEN(ReferenceData!$AL$369),"",ReferenceData!$AL$369),"")</f>
        <v>1.2784820619999999</v>
      </c>
      <c r="AM369">
        <f ca="1">IFERROR(IF(0=LEN(ReferenceData!$AM$369),"",ReferenceData!$AM$369),"")</f>
        <v>1.349325433</v>
      </c>
      <c r="AN369">
        <f ca="1">IFERROR(IF(0=LEN(ReferenceData!$AN$369),"",ReferenceData!$AN$369),"")</f>
        <v>1.473644207</v>
      </c>
      <c r="AO369">
        <f ca="1">IFERROR(IF(0=LEN(ReferenceData!$AO$369),"",ReferenceData!$AO$369),"")</f>
        <v>1.3881014739999999</v>
      </c>
      <c r="AP369">
        <f ca="1">IFERROR(IF(0=LEN(ReferenceData!$AP$369),"",ReferenceData!$AP$369),"")</f>
        <v>1.7741863149999999</v>
      </c>
      <c r="AQ369">
        <f ca="1">IFERROR(IF(0=LEN(ReferenceData!$AQ$369),"",ReferenceData!$AQ$369),"")</f>
        <v>2.2865149790000001</v>
      </c>
      <c r="AR369">
        <f ca="1">IFERROR(IF(0=LEN(ReferenceData!$AR$369),"",ReferenceData!$AR$369),"")</f>
        <v>1.444186403</v>
      </c>
      <c r="AS369">
        <f ca="1">IFERROR(IF(0=LEN(ReferenceData!$AS$369),"",ReferenceData!$AS$369),"")</f>
        <v>1.5525032599999999</v>
      </c>
      <c r="AT369">
        <f ca="1">IFERROR(IF(0=LEN(ReferenceData!$AT$369),"",ReferenceData!$AT$369),"")</f>
        <v>1.2505283599999999</v>
      </c>
      <c r="AU369">
        <f ca="1">IFERROR(IF(0=LEN(ReferenceData!$AU$369),"",ReferenceData!$AU$369),"")</f>
        <v>0.97096822599999999</v>
      </c>
      <c r="AV369">
        <f ca="1">IFERROR(IF(0=LEN(ReferenceData!$AV$369),"",ReferenceData!$AV$369),"")</f>
        <v>0.88726601999999999</v>
      </c>
      <c r="AW369">
        <f ca="1">IFERROR(IF(0=LEN(ReferenceData!$AW$369),"",ReferenceData!$AW$369),"")</f>
        <v>0.860999933</v>
      </c>
      <c r="AX369">
        <f ca="1">IFERROR(IF(0=LEN(ReferenceData!$AX$369),"",ReferenceData!$AX$369),"")</f>
        <v>1.6593657989999999</v>
      </c>
      <c r="AY369">
        <f ca="1">IFERROR(IF(0=LEN(ReferenceData!$AY$369),"",ReferenceData!$AY$369),"")</f>
        <v>3.0428635540000002</v>
      </c>
      <c r="AZ369">
        <f ca="1">IFERROR(IF(0=LEN(ReferenceData!$AZ$369),"",ReferenceData!$AZ$369),"")</f>
        <v>3.2683995559999999</v>
      </c>
      <c r="BA369">
        <f ca="1">IFERROR(IF(0=LEN(ReferenceData!$BA$369),"",ReferenceData!$BA$369),"")</f>
        <v>1.6482949140000001</v>
      </c>
      <c r="BB369">
        <f ca="1">IFERROR(IF(0=LEN(ReferenceData!$BB$369),"",ReferenceData!$BB$369),"")</f>
        <v>1.8920726269999999</v>
      </c>
      <c r="BC369">
        <f ca="1">IFERROR(IF(0=LEN(ReferenceData!$BC$369),"",ReferenceData!$BC$369),"")</f>
        <v>1.06285279</v>
      </c>
      <c r="BD369">
        <f ca="1">IFERROR(IF(0=LEN(ReferenceData!$BD$369),"",ReferenceData!$BD$369),"")</f>
        <v>0.84738864999999997</v>
      </c>
      <c r="BE369">
        <f ca="1">IFERROR(IF(0=LEN(ReferenceData!$BE$369),"",ReferenceData!$BE$369),"")</f>
        <v>1.486995906</v>
      </c>
      <c r="BF369">
        <f ca="1">IFERROR(IF(0=LEN(ReferenceData!$BF$369),"",ReferenceData!$BF$369),"")</f>
        <v>1.1880445719999999</v>
      </c>
      <c r="BG369">
        <f ca="1">IFERROR(IF(0=LEN(ReferenceData!$BG$369),"",ReferenceData!$BG$369),"")</f>
        <v>1.225047647</v>
      </c>
      <c r="BH369">
        <f ca="1">IFERROR(IF(0=LEN(ReferenceData!$BH$369),"",ReferenceData!$BH$369),"")</f>
        <v>1.361126276</v>
      </c>
      <c r="BI369">
        <f ca="1">IFERROR(IF(0=LEN(ReferenceData!$BI$369),"",ReferenceData!$BI$369),"")</f>
        <v>1.1595549030000001</v>
      </c>
      <c r="BJ369">
        <f ca="1">IFERROR(IF(0=LEN(ReferenceData!$BJ$369),"",ReferenceData!$BJ$369),"")</f>
        <v>1.2078055480000001</v>
      </c>
      <c r="BK369">
        <f ca="1">IFERROR(IF(0=LEN(ReferenceData!$BK$369),"",ReferenceData!$BK$369),"")</f>
        <v>1.3437975049999999</v>
      </c>
      <c r="BL369">
        <f ca="1">IFERROR(IF(0=LEN(ReferenceData!$BL$369),"",ReferenceData!$BL$369),"")</f>
        <v>1.7654483009999999</v>
      </c>
      <c r="BM369">
        <f ca="1">IFERROR(IF(0=LEN(ReferenceData!$BM$369),"",ReferenceData!$BM$369),"")</f>
        <v>2.0018462920000002</v>
      </c>
    </row>
    <row r="370" spans="1:65" x14ac:dyDescent="0.25">
      <c r="A370" t="str">
        <f>IFERROR(IF(0=LEN(ReferenceData!$A$370),"",ReferenceData!$A$370),"")</f>
        <v xml:space="preserve">    Tofas Turk Otomobil Fabrikasi AS</v>
      </c>
      <c r="B370" t="str">
        <f>IFERROR(IF(0=LEN(ReferenceData!$B$370),"",ReferenceData!$B$370),"")</f>
        <v>TOASOTRY EO Equity</v>
      </c>
      <c r="C370" t="str">
        <f>IFERROR(IF(0=LEN(ReferenceData!$C$370),"",ReferenceData!$C$370),"")</f>
        <v>RR473</v>
      </c>
      <c r="D370" t="str">
        <f>IFERROR(IF(0=LEN(ReferenceData!$D$370),"",ReferenceData!$D$370),"")</f>
        <v>EV_TO_T12M_SALES</v>
      </c>
      <c r="E370" t="str">
        <f>IFERROR(IF(0=LEN(ReferenceData!$E$370),"",ReferenceData!$E$370),"")</f>
        <v>Dynamic</v>
      </c>
      <c r="F370" t="str">
        <f ca="1">IFERROR(IF(0=LEN(ReferenceData!$F$370),"",ReferenceData!$F$370),"")</f>
        <v/>
      </c>
      <c r="G370">
        <f ca="1">IFERROR(IF(0=LEN(ReferenceData!$G$370),"",ReferenceData!$G$370),"")</f>
        <v>0.60196435800000003</v>
      </c>
      <c r="H370">
        <f ca="1">IFERROR(IF(0=LEN(ReferenceData!$H$370),"",ReferenceData!$H$370),"")</f>
        <v>0.76459224299999995</v>
      </c>
      <c r="I370">
        <f ca="1">IFERROR(IF(0=LEN(ReferenceData!$I$370),"",ReferenceData!$I$370),"")</f>
        <v>0.78994787799999999</v>
      </c>
      <c r="J370">
        <f ca="1">IFERROR(IF(0=LEN(ReferenceData!$J$370),"",ReferenceData!$J$370),"")</f>
        <v>0.89441673700000002</v>
      </c>
      <c r="K370">
        <f ca="1">IFERROR(IF(0=LEN(ReferenceData!$K$370),"",ReferenceData!$K$370),"")</f>
        <v>1.0678715270000001</v>
      </c>
      <c r="L370">
        <f ca="1">IFERROR(IF(0=LEN(ReferenceData!$L$370),"",ReferenceData!$L$370),"")</f>
        <v>1.031842269</v>
      </c>
      <c r="M370">
        <f ca="1">IFERROR(IF(0=LEN(ReferenceData!$M$370),"",ReferenceData!$M$370),"")</f>
        <v>1.016039275</v>
      </c>
      <c r="N370">
        <f ca="1">IFERROR(IF(0=LEN(ReferenceData!$N$370),"",ReferenceData!$N$370),"")</f>
        <v>0.98640808499999999</v>
      </c>
      <c r="O370">
        <f ca="1">IFERROR(IF(0=LEN(ReferenceData!$O$370),"",ReferenceData!$O$370),"")</f>
        <v>1.0237948180000001</v>
      </c>
      <c r="P370">
        <f ca="1">IFERROR(IF(0=LEN(ReferenceData!$P$370),"",ReferenceData!$P$370),"")</f>
        <v>1.1067163959999999</v>
      </c>
      <c r="Q370">
        <f ca="1">IFERROR(IF(0=LEN(ReferenceData!$Q$370),"",ReferenceData!$Q$370),"")</f>
        <v>1.260535312</v>
      </c>
      <c r="R370">
        <f ca="1">IFERROR(IF(0=LEN(ReferenceData!$R$370),"",ReferenceData!$R$370),"")</f>
        <v>1.2916875109999999</v>
      </c>
      <c r="S370">
        <f ca="1">IFERROR(IF(0=LEN(ReferenceData!$S$370),"",ReferenceData!$S$370),"")</f>
        <v>1.1205938</v>
      </c>
      <c r="T370">
        <f ca="1">IFERROR(IF(0=LEN(ReferenceData!$T$370),"",ReferenceData!$T$370),"")</f>
        <v>1.1374541419999999</v>
      </c>
      <c r="U370">
        <f ca="1">IFERROR(IF(0=LEN(ReferenceData!$U$370),"",ReferenceData!$U$370),"")</f>
        <v>1.214570763</v>
      </c>
      <c r="V370">
        <f ca="1">IFERROR(IF(0=LEN(ReferenceData!$V$370),"",ReferenceData!$V$370),"")</f>
        <v>1.133073059</v>
      </c>
      <c r="W370">
        <f ca="1">IFERROR(IF(0=LEN(ReferenceData!$W$370),"",ReferenceData!$W$370),"")</f>
        <v>1.1622531920000001</v>
      </c>
      <c r="X370">
        <f ca="1">IFERROR(IF(0=LEN(ReferenceData!$X$370),"",ReferenceData!$X$370),"")</f>
        <v>0.95337066599999998</v>
      </c>
      <c r="Y370">
        <f ca="1">IFERROR(IF(0=LEN(ReferenceData!$Y$370),"",ReferenceData!$Y$370),"")</f>
        <v>0.98811022199999998</v>
      </c>
      <c r="Z370">
        <f ca="1">IFERROR(IF(0=LEN(ReferenceData!$Z$370),"",ReferenceData!$Z$370),"")</f>
        <v>0.94295955300000001</v>
      </c>
      <c r="AA370">
        <f ca="1">IFERROR(IF(0=LEN(ReferenceData!$AA$370),"",ReferenceData!$AA$370),"")</f>
        <v>1.002979394</v>
      </c>
      <c r="AB370">
        <f ca="1">IFERROR(IF(0=LEN(ReferenceData!$AB$370),"",ReferenceData!$AB$370),"")</f>
        <v>0.92371684799999998</v>
      </c>
      <c r="AC370">
        <f ca="1">IFERROR(IF(0=LEN(ReferenceData!$AC$370),"",ReferenceData!$AC$370),"")</f>
        <v>0.90944554399999999</v>
      </c>
      <c r="AD370">
        <f ca="1">IFERROR(IF(0=LEN(ReferenceData!$AD$370),"",ReferenceData!$AD$370),"")</f>
        <v>0.98885906499999998</v>
      </c>
      <c r="AE370">
        <f ca="1">IFERROR(IF(0=LEN(ReferenceData!$AE$370),"",ReferenceData!$AE$370),"")</f>
        <v>0.85197830799999996</v>
      </c>
      <c r="AF370">
        <f ca="1">IFERROR(IF(0=LEN(ReferenceData!$AF$370),"",ReferenceData!$AF$370),"")</f>
        <v>0.77657801599999998</v>
      </c>
      <c r="AG370">
        <f ca="1">IFERROR(IF(0=LEN(ReferenceData!$AG$370),"",ReferenceData!$AG$370),"")</f>
        <v>0.66146197200000001</v>
      </c>
      <c r="AH370">
        <f ca="1">IFERROR(IF(0=LEN(ReferenceData!$AH$370),"",ReferenceData!$AH$370),"")</f>
        <v>0.67960722299999998</v>
      </c>
      <c r="AI370">
        <f ca="1">IFERROR(IF(0=LEN(ReferenceData!$AI$370),"",ReferenceData!$AI$370),"")</f>
        <v>0.54968553099999995</v>
      </c>
      <c r="AJ370">
        <f ca="1">IFERROR(IF(0=LEN(ReferenceData!$AJ$370),"",ReferenceData!$AJ$370),"")</f>
        <v>0.58612114400000004</v>
      </c>
      <c r="AK370">
        <f ca="1">IFERROR(IF(0=LEN(ReferenceData!$AK$370),"",ReferenceData!$AK$370),"")</f>
        <v>0.62784940700000003</v>
      </c>
      <c r="AL370">
        <f ca="1">IFERROR(IF(0=LEN(ReferenceData!$AL$370),"",ReferenceData!$AL$370),"")</f>
        <v>0.72793951700000004</v>
      </c>
      <c r="AM370">
        <f ca="1">IFERROR(IF(0=LEN(ReferenceData!$AM$370),"",ReferenceData!$AM$370),"")</f>
        <v>0.71391058799999996</v>
      </c>
      <c r="AN370">
        <f ca="1">IFERROR(IF(0=LEN(ReferenceData!$AN$370),"",ReferenceData!$AN$370),"")</f>
        <v>0.741731264</v>
      </c>
      <c r="AO370">
        <f ca="1">IFERROR(IF(0=LEN(ReferenceData!$AO$370),"",ReferenceData!$AO$370),"")</f>
        <v>0.55742435499999998</v>
      </c>
      <c r="AP370">
        <f ca="1">IFERROR(IF(0=LEN(ReferenceData!$AP$370),"",ReferenceData!$AP$370),"")</f>
        <v>0.58726867000000005</v>
      </c>
      <c r="AQ370">
        <f ca="1">IFERROR(IF(0=LEN(ReferenceData!$AQ$370),"",ReferenceData!$AQ$370),"")</f>
        <v>0.60704501200000005</v>
      </c>
      <c r="AR370">
        <f ca="1">IFERROR(IF(0=LEN(ReferenceData!$AR$370),"",ReferenceData!$AR$370),"")</f>
        <v>0.66601948600000005</v>
      </c>
      <c r="AS370">
        <f ca="1">IFERROR(IF(0=LEN(ReferenceData!$AS$370),"",ReferenceData!$AS$370),"")</f>
        <v>0.50671689399999997</v>
      </c>
      <c r="AT370">
        <f ca="1">IFERROR(IF(0=LEN(ReferenceData!$AT$370),"",ReferenceData!$AT$370),"")</f>
        <v>0.44100904600000002</v>
      </c>
      <c r="AU370">
        <f ca="1">IFERROR(IF(0=LEN(ReferenceData!$AU$370),"",ReferenceData!$AU$370),"")</f>
        <v>0.37467157400000001</v>
      </c>
      <c r="AV370">
        <f ca="1">IFERROR(IF(0=LEN(ReferenceData!$AV$370),"",ReferenceData!$AV$370),"")</f>
        <v>0.43256663899999998</v>
      </c>
      <c r="AW370">
        <f ca="1">IFERROR(IF(0=LEN(ReferenceData!$AW$370),"",ReferenceData!$AW$370),"")</f>
        <v>0.50417672899999999</v>
      </c>
      <c r="AX370">
        <f ca="1">IFERROR(IF(0=LEN(ReferenceData!$AX$370),"",ReferenceData!$AX$370),"")</f>
        <v>0.65626159399999995</v>
      </c>
      <c r="AY370">
        <f ca="1">IFERROR(IF(0=LEN(ReferenceData!$AY$370),"",ReferenceData!$AY$370),"")</f>
        <v>0.97363033899999996</v>
      </c>
      <c r="AZ370">
        <f ca="1">IFERROR(IF(0=LEN(ReferenceData!$AZ$370),"",ReferenceData!$AZ$370),"")</f>
        <v>1.014079881</v>
      </c>
      <c r="BA370">
        <f ca="1">IFERROR(IF(0=LEN(ReferenceData!$BA$370),"",ReferenceData!$BA$370),"")</f>
        <v>1.0558757540000001</v>
      </c>
      <c r="BB370">
        <f ca="1">IFERROR(IF(0=LEN(ReferenceData!$BB$370),"",ReferenceData!$BB$370),"")</f>
        <v>0.85294513599999999</v>
      </c>
      <c r="BC370">
        <f ca="1">IFERROR(IF(0=LEN(ReferenceData!$BC$370),"",ReferenceData!$BC$370),"")</f>
        <v>0.77893561600000005</v>
      </c>
      <c r="BD370">
        <f ca="1">IFERROR(IF(0=LEN(ReferenceData!$BD$370),"",ReferenceData!$BD$370),"")</f>
        <v>0.64138922700000001</v>
      </c>
      <c r="BE370">
        <f ca="1">IFERROR(IF(0=LEN(ReferenceData!$BE$370),"",ReferenceData!$BE$370),"")</f>
        <v>0.65182954100000001</v>
      </c>
      <c r="BF370">
        <f ca="1">IFERROR(IF(0=LEN(ReferenceData!$BF$370),"",ReferenceData!$BF$370),"")</f>
        <v>0.69654125099999997</v>
      </c>
      <c r="BG370">
        <f ca="1">IFERROR(IF(0=LEN(ReferenceData!$BG$370),"",ReferenceData!$BG$370),"")</f>
        <v>0.46885531899999999</v>
      </c>
      <c r="BH370">
        <f ca="1">IFERROR(IF(0=LEN(ReferenceData!$BH$370),"",ReferenceData!$BH$370),"")</f>
        <v>0.346568353</v>
      </c>
      <c r="BI370">
        <f ca="1">IFERROR(IF(0=LEN(ReferenceData!$BI$370),"",ReferenceData!$BI$370),"")</f>
        <v>0.32358119499999999</v>
      </c>
      <c r="BJ370">
        <f ca="1">IFERROR(IF(0=LEN(ReferenceData!$BJ$370),"",ReferenceData!$BJ$370),"")</f>
        <v>0.417717852</v>
      </c>
      <c r="BK370">
        <f ca="1">IFERROR(IF(0=LEN(ReferenceData!$BK$370),"",ReferenceData!$BK$370),"")</f>
        <v>0.38889117200000001</v>
      </c>
      <c r="BL370">
        <f ca="1">IFERROR(IF(0=LEN(ReferenceData!$BL$370),"",ReferenceData!$BL$370),"")</f>
        <v>0.58597899799999997</v>
      </c>
      <c r="BM370">
        <f ca="1">IFERROR(IF(0=LEN(ReferenceData!$BM$370),"",ReferenceData!$BM$370),"")</f>
        <v>0.424988229</v>
      </c>
    </row>
    <row r="371" spans="1:65" x14ac:dyDescent="0.25">
      <c r="A371" t="str">
        <f>IFERROR(IF(0=LEN(ReferenceData!$A$371),"",ReferenceData!$A$371),"")</f>
        <v xml:space="preserve">    Toyota Motor Corp</v>
      </c>
      <c r="B371" t="str">
        <f>IFERROR(IF(0=LEN(ReferenceData!$B$371),"",ReferenceData!$B$371),"")</f>
        <v>7203 JP Equity</v>
      </c>
      <c r="C371" t="str">
        <f>IFERROR(IF(0=LEN(ReferenceData!$C$371),"",ReferenceData!$C$371),"")</f>
        <v>RR473</v>
      </c>
      <c r="D371" t="str">
        <f>IFERROR(IF(0=LEN(ReferenceData!$D$371),"",ReferenceData!$D$371),"")</f>
        <v>EV_TO_T12M_SALES</v>
      </c>
      <c r="E371" t="str">
        <f>IFERROR(IF(0=LEN(ReferenceData!$E$371),"",ReferenceData!$E$371),"")</f>
        <v>Dynamic</v>
      </c>
      <c r="F371" t="str">
        <f ca="1">IFERROR(IF(0=LEN(ReferenceData!$F$371),"",ReferenceData!$F$371),"")</f>
        <v/>
      </c>
      <c r="G371">
        <f ca="1">IFERROR(IF(0=LEN(ReferenceData!$G$371),"",ReferenceData!$G$371),"")</f>
        <v>1.144038559</v>
      </c>
      <c r="H371">
        <f ca="1">IFERROR(IF(0=LEN(ReferenceData!$H$371),"",ReferenceData!$H$371),"")</f>
        <v>1.22464565</v>
      </c>
      <c r="I371">
        <f ca="1">IFERROR(IF(0=LEN(ReferenceData!$I$371),"",ReferenceData!$I$371),"")</f>
        <v>1.23292603</v>
      </c>
      <c r="J371">
        <f ca="1">IFERROR(IF(0=LEN(ReferenceData!$J$371),"",ReferenceData!$J$371),"")</f>
        <v>1.1803400500000001</v>
      </c>
      <c r="K371">
        <f ca="1">IFERROR(IF(0=LEN(ReferenceData!$K$371),"",ReferenceData!$K$371),"")</f>
        <v>1.263414686</v>
      </c>
      <c r="L371">
        <f ca="1">IFERROR(IF(0=LEN(ReferenceData!$L$371),"",ReferenceData!$L$371),"")</f>
        <v>1.2136898979999999</v>
      </c>
      <c r="M371">
        <f ca="1">IFERROR(IF(0=LEN(ReferenceData!$M$371),"",ReferenceData!$M$371),"")</f>
        <v>1.152370111</v>
      </c>
      <c r="N371">
        <f ca="1">IFERROR(IF(0=LEN(ReferenceData!$N$371),"",ReferenceData!$N$371),"")</f>
        <v>1.1742522639999999</v>
      </c>
      <c r="O371">
        <f ca="1">IFERROR(IF(0=LEN(ReferenceData!$O$371),"",ReferenceData!$O$371),"")</f>
        <v>1.3216556800000001</v>
      </c>
      <c r="P371">
        <f ca="1">IFERROR(IF(0=LEN(ReferenceData!$P$371),"",ReferenceData!$P$371),"")</f>
        <v>1.09595325</v>
      </c>
      <c r="Q371">
        <f ca="1">IFERROR(IF(0=LEN(ReferenceData!$Q$371),"",ReferenceData!$Q$371),"")</f>
        <v>0.98766152299999999</v>
      </c>
      <c r="R371">
        <f ca="1">IFERROR(IF(0=LEN(ReferenceData!$R$371),"",ReferenceData!$R$371),"")</f>
        <v>1.1347979669999999</v>
      </c>
      <c r="S371">
        <f ca="1">IFERROR(IF(0=LEN(ReferenceData!$S$371),"",ReferenceData!$S$371),"")</f>
        <v>1.3564947089999999</v>
      </c>
      <c r="T371">
        <f ca="1">IFERROR(IF(0=LEN(ReferenceData!$T$371),"",ReferenceData!$T$371),"")</f>
        <v>1.301654402</v>
      </c>
      <c r="U371">
        <f ca="1">IFERROR(IF(0=LEN(ReferenceData!$U$371),"",ReferenceData!$U$371),"")</f>
        <v>1.4892011009999999</v>
      </c>
      <c r="V371">
        <f ca="1">IFERROR(IF(0=LEN(ReferenceData!$V$371),"",ReferenceData!$V$371),"")</f>
        <v>1.505473504</v>
      </c>
      <c r="W371">
        <f ca="1">IFERROR(IF(0=LEN(ReferenceData!$W$371),"",ReferenceData!$W$371),"")</f>
        <v>1.4725860019999999</v>
      </c>
      <c r="X371">
        <f ca="1">IFERROR(IF(0=LEN(ReferenceData!$X$371),"",ReferenceData!$X$371),"")</f>
        <v>1.315139973</v>
      </c>
      <c r="Y371">
        <f ca="1">IFERROR(IF(0=LEN(ReferenceData!$Y$371),"",ReferenceData!$Y$371),"")</f>
        <v>1.244819806</v>
      </c>
      <c r="Z371">
        <f ca="1">IFERROR(IF(0=LEN(ReferenceData!$Z$371),"",ReferenceData!$Z$371),"")</f>
        <v>1.2173494890000001</v>
      </c>
      <c r="AA371">
        <f ca="1">IFERROR(IF(0=LEN(ReferenceData!$AA$371),"",ReferenceData!$AA$371),"")</f>
        <v>1.3550038579999999</v>
      </c>
      <c r="AB371">
        <f ca="1">IFERROR(IF(0=LEN(ReferenceData!$AB$371),"",ReferenceData!$AB$371),"")</f>
        <v>1.3437735289999999</v>
      </c>
      <c r="AC371">
        <f ca="1">IFERROR(IF(0=LEN(ReferenceData!$AC$371),"",ReferenceData!$AC$371),"")</f>
        <v>1.34608975</v>
      </c>
      <c r="AD371">
        <f ca="1">IFERROR(IF(0=LEN(ReferenceData!$AD$371),"",ReferenceData!$AD$371),"")</f>
        <v>1.2182474640000001</v>
      </c>
      <c r="AE371">
        <f ca="1">IFERROR(IF(0=LEN(ReferenceData!$AE$371),"",ReferenceData!$AE$371),"")</f>
        <v>1.0654401360000001</v>
      </c>
      <c r="AF371">
        <f ca="1">IFERROR(IF(0=LEN(ReferenceData!$AF$371),"",ReferenceData!$AF$371),"")</f>
        <v>0.87604521199999996</v>
      </c>
      <c r="AG371">
        <f ca="1">IFERROR(IF(0=LEN(ReferenceData!$AG$371),"",ReferenceData!$AG$371),"")</f>
        <v>0.934286595</v>
      </c>
      <c r="AH371">
        <f ca="1">IFERROR(IF(0=LEN(ReferenceData!$AH$371),"",ReferenceData!$AH$371),"")</f>
        <v>1.123928848</v>
      </c>
      <c r="AI371">
        <f ca="1">IFERROR(IF(0=LEN(ReferenceData!$AI$371),"",ReferenceData!$AI$371),"")</f>
        <v>0.99231561499999998</v>
      </c>
      <c r="AJ371">
        <f ca="1">IFERROR(IF(0=LEN(ReferenceData!$AJ$371),"",ReferenceData!$AJ$371),"")</f>
        <v>0.99995838699999995</v>
      </c>
      <c r="AK371">
        <f ca="1">IFERROR(IF(0=LEN(ReferenceData!$AK$371),"",ReferenceData!$AK$371),"")</f>
        <v>1.101022503</v>
      </c>
      <c r="AL371">
        <f ca="1">IFERROR(IF(0=LEN(ReferenceData!$AL$371),"",ReferenceData!$AL$371),"")</f>
        <v>1.0521012380000001</v>
      </c>
      <c r="AM371">
        <f ca="1">IFERROR(IF(0=LEN(ReferenceData!$AM$371),"",ReferenceData!$AM$371),"")</f>
        <v>0.97766729799999996</v>
      </c>
      <c r="AN371">
        <f ca="1">IFERROR(IF(0=LEN(ReferenceData!$AN$371),"",ReferenceData!$AN$371),"")</f>
        <v>0.89447003999999997</v>
      </c>
      <c r="AO371">
        <f ca="1">IFERROR(IF(0=LEN(ReferenceData!$AO$371),"",ReferenceData!$AO$371),"")</f>
        <v>0.92319975899999995</v>
      </c>
      <c r="AP371">
        <f ca="1">IFERROR(IF(0=LEN(ReferenceData!$AP$371),"",ReferenceData!$AP$371),"")</f>
        <v>1.096344355</v>
      </c>
      <c r="AQ371">
        <f ca="1">IFERROR(IF(0=LEN(ReferenceData!$AQ$371),"",ReferenceData!$AQ$371),"")</f>
        <v>1.243826358</v>
      </c>
      <c r="AR371">
        <f ca="1">IFERROR(IF(0=LEN(ReferenceData!$AR$371),"",ReferenceData!$AR$371),"")</f>
        <v>1.2057651190000001</v>
      </c>
      <c r="AS371">
        <f ca="1">IFERROR(IF(0=LEN(ReferenceData!$AS$371),"",ReferenceData!$AS$371),"")</f>
        <v>1.188430004</v>
      </c>
      <c r="AT371">
        <f ca="1">IFERROR(IF(0=LEN(ReferenceData!$AT$371),"",ReferenceData!$AT$371),"")</f>
        <v>0.97212707499999995</v>
      </c>
      <c r="AU371">
        <f ca="1">IFERROR(IF(0=LEN(ReferenceData!$AU$371),"",ReferenceData!$AU$371),"")</f>
        <v>0.81117659600000003</v>
      </c>
      <c r="AV371">
        <f ca="1">IFERROR(IF(0=LEN(ReferenceData!$AV$371),"",ReferenceData!$AV$371),"")</f>
        <v>0.96590732899999998</v>
      </c>
      <c r="AW371">
        <f ca="1">IFERROR(IF(0=LEN(ReferenceData!$AW$371),"",ReferenceData!$AW$371),"")</f>
        <v>1.0509730829999999</v>
      </c>
      <c r="AX371">
        <f ca="1">IFERROR(IF(0=LEN(ReferenceData!$AX$371),"",ReferenceData!$AX$371),"")</f>
        <v>0.99710531300000005</v>
      </c>
      <c r="AY371">
        <f ca="1">IFERROR(IF(0=LEN(ReferenceData!$AY$371),"",ReferenceData!$AY$371),"")</f>
        <v>1.18494962</v>
      </c>
      <c r="AZ371">
        <f ca="1">IFERROR(IF(0=LEN(ReferenceData!$AZ$371),"",ReferenceData!$AZ$371),"")</f>
        <v>1.2778559110000001</v>
      </c>
      <c r="BA371">
        <f ca="1">IFERROR(IF(0=LEN(ReferenceData!$BA$371),"",ReferenceData!$BA$371),"")</f>
        <v>1.44984413</v>
      </c>
      <c r="BB371">
        <f ca="1">IFERROR(IF(0=LEN(ReferenceData!$BB$371),"",ReferenceData!$BB$371),"")</f>
        <v>1.282329979</v>
      </c>
      <c r="BC371">
        <f ca="1">IFERROR(IF(0=LEN(ReferenceData!$BC$371),"",ReferenceData!$BC$371),"")</f>
        <v>1.5408631770000001</v>
      </c>
      <c r="BD371">
        <f ca="1">IFERROR(IF(0=LEN(ReferenceData!$BD$371),"",ReferenceData!$BD$371),"")</f>
        <v>1.3389941320000001</v>
      </c>
      <c r="BE371">
        <f ca="1">IFERROR(IF(0=LEN(ReferenceData!$BE$371),"",ReferenceData!$BE$371),"")</f>
        <v>1.314157295</v>
      </c>
      <c r="BF371">
        <f ca="1">IFERROR(IF(0=LEN(ReferenceData!$BF$371),"",ReferenceData!$BF$371),"")</f>
        <v>1.5060240789999999</v>
      </c>
      <c r="BG371">
        <f ca="1">IFERROR(IF(0=LEN(ReferenceData!$BG$371),"",ReferenceData!$BG$371),"")</f>
        <v>1.4176300180000001</v>
      </c>
      <c r="BH371">
        <f ca="1">IFERROR(IF(0=LEN(ReferenceData!$BH$371),"",ReferenceData!$BH$371),"")</f>
        <v>1.27260368</v>
      </c>
      <c r="BI371">
        <f ca="1">IFERROR(IF(0=LEN(ReferenceData!$BI$371),"",ReferenceData!$BI$371),"")</f>
        <v>1.0739983879999999</v>
      </c>
      <c r="BJ371">
        <f ca="1">IFERROR(IF(0=LEN(ReferenceData!$BJ$371),"",ReferenceData!$BJ$371),"")</f>
        <v>1.0781727590000001</v>
      </c>
      <c r="BK371">
        <f ca="1">IFERROR(IF(0=LEN(ReferenceData!$BK$371),"",ReferenceData!$BK$371),"")</f>
        <v>1.1160367849999999</v>
      </c>
      <c r="BL371">
        <f ca="1">IFERROR(IF(0=LEN(ReferenceData!$BL$371),"",ReferenceData!$BL$371),"")</f>
        <v>1.1257260920000001</v>
      </c>
      <c r="BM371">
        <f ca="1">IFERROR(IF(0=LEN(ReferenceData!$BM$371),"",ReferenceData!$BM$371),"")</f>
        <v>1.16137019</v>
      </c>
    </row>
    <row r="372" spans="1:65" x14ac:dyDescent="0.25">
      <c r="A372" t="str">
        <f>IFERROR(IF(0=LEN(ReferenceData!$A$372),"",ReferenceData!$A$372),"")</f>
        <v xml:space="preserve">    Volkswagen AG</v>
      </c>
      <c r="B372" t="str">
        <f>IFERROR(IF(0=LEN(ReferenceData!$B$372),"",ReferenceData!$B$372),"")</f>
        <v>VOW GR Equity</v>
      </c>
      <c r="C372" t="str">
        <f>IFERROR(IF(0=LEN(ReferenceData!$C$372),"",ReferenceData!$C$372),"")</f>
        <v>RR473</v>
      </c>
      <c r="D372" t="str">
        <f>IFERROR(IF(0=LEN(ReferenceData!$D$372),"",ReferenceData!$D$372),"")</f>
        <v>EV_TO_T12M_SALES</v>
      </c>
      <c r="E372" t="str">
        <f>IFERROR(IF(0=LEN(ReferenceData!$E$372),"",ReferenceData!$E$372),"")</f>
        <v>Dynamic</v>
      </c>
      <c r="F372" t="str">
        <f ca="1">IFERROR(IF(0=LEN(ReferenceData!$F$372),"",ReferenceData!$F$372),"")</f>
        <v/>
      </c>
      <c r="G372" t="str">
        <f ca="1">IFERROR(IF(0=LEN(ReferenceData!$G$372),"",ReferenceData!$G$372),"")</f>
        <v/>
      </c>
      <c r="H372">
        <f ca="1">IFERROR(IF(0=LEN(ReferenceData!$H$372),"",ReferenceData!$H$372),"")</f>
        <v>0.27003610500000003</v>
      </c>
      <c r="I372">
        <f ca="1">IFERROR(IF(0=LEN(ReferenceData!$I$372),"",ReferenceData!$I$372),"")</f>
        <v>0.30456444999999999</v>
      </c>
      <c r="J372">
        <f ca="1">IFERROR(IF(0=LEN(ReferenceData!$J$372),"",ReferenceData!$J$372),"")</f>
        <v>0.30073517599999999</v>
      </c>
      <c r="K372">
        <f ca="1">IFERROR(IF(0=LEN(ReferenceData!$K$372),"",ReferenceData!$K$372),"")</f>
        <v>0.28555182800000001</v>
      </c>
      <c r="L372">
        <f ca="1">IFERROR(IF(0=LEN(ReferenceData!$L$372),"",ReferenceData!$L$372),"")</f>
        <v>0.26266120399999998</v>
      </c>
      <c r="M372">
        <f ca="1">IFERROR(IF(0=LEN(ReferenceData!$M$372),"",ReferenceData!$M$372),"")</f>
        <v>0.26799490399999998</v>
      </c>
      <c r="N372">
        <f ca="1">IFERROR(IF(0=LEN(ReferenceData!$N$372),"",ReferenceData!$N$372),"")</f>
        <v>0.32169829500000002</v>
      </c>
      <c r="O372">
        <f ca="1">IFERROR(IF(0=LEN(ReferenceData!$O$372),"",ReferenceData!$O$372),"")</f>
        <v>0.19510137899999999</v>
      </c>
      <c r="P372">
        <f ca="1">IFERROR(IF(0=LEN(ReferenceData!$P$372),"",ReferenceData!$P$372),"")</f>
        <v>0.20817170400000001</v>
      </c>
      <c r="Q372">
        <f ca="1">IFERROR(IF(0=LEN(ReferenceData!$Q$372),"",ReferenceData!$Q$372),"")</f>
        <v>0.200253766</v>
      </c>
      <c r="R372">
        <f ca="1">IFERROR(IF(0=LEN(ReferenceData!$R$372),"",ReferenceData!$R$372),"")</f>
        <v>0.225656404</v>
      </c>
      <c r="S372">
        <f ca="1">IFERROR(IF(0=LEN(ReferenceData!$S$372),"",ReferenceData!$S$372),"")</f>
        <v>0.259509398</v>
      </c>
      <c r="T372">
        <f ca="1">IFERROR(IF(0=LEN(ReferenceData!$T$372),"",ReferenceData!$T$372),"")</f>
        <v>0.153267393</v>
      </c>
      <c r="U372">
        <f ca="1">IFERROR(IF(0=LEN(ReferenceData!$U$372),"",ReferenceData!$U$372),"")</f>
        <v>0.40912939399999998</v>
      </c>
      <c r="V372">
        <f ca="1">IFERROR(IF(0=LEN(ReferenceData!$V$372),"",ReferenceData!$V$372),"")</f>
        <v>0.49468559200000001</v>
      </c>
      <c r="W372">
        <f ca="1">IFERROR(IF(0=LEN(ReferenceData!$W$372),"",ReferenceData!$W$372),"")</f>
        <v>0.37459497800000002</v>
      </c>
      <c r="X372">
        <f ca="1">IFERROR(IF(0=LEN(ReferenceData!$X$372),"",ReferenceData!$X$372),"")</f>
        <v>0.34018684500000002</v>
      </c>
      <c r="Y372">
        <f ca="1">IFERROR(IF(0=LEN(ReferenceData!$Y$372),"",ReferenceData!$Y$372),"")</f>
        <v>0.41703621000000002</v>
      </c>
      <c r="Z372">
        <f ca="1">IFERROR(IF(0=LEN(ReferenceData!$Z$372),"",ReferenceData!$Z$372),"")</f>
        <v>0.387273592</v>
      </c>
      <c r="AA372">
        <f ca="1">IFERROR(IF(0=LEN(ReferenceData!$AA$372),"",ReferenceData!$AA$372),"")</f>
        <v>0.42686663600000002</v>
      </c>
      <c r="AB372">
        <f ca="1">IFERROR(IF(0=LEN(ReferenceData!$AB$372),"",ReferenceData!$AB$372),"")</f>
        <v>0.346766134</v>
      </c>
      <c r="AC372">
        <f ca="1">IFERROR(IF(0=LEN(ReferenceData!$AC$372),"",ReferenceData!$AC$372),"")</f>
        <v>0.317523571</v>
      </c>
      <c r="AD372">
        <f ca="1">IFERROR(IF(0=LEN(ReferenceData!$AD$372),"",ReferenceData!$AD$372),"")</f>
        <v>0.33168584000000001</v>
      </c>
      <c r="AE372">
        <f ca="1">IFERROR(IF(0=LEN(ReferenceData!$AE$372),"",ReferenceData!$AE$372),"")</f>
        <v>0.37884814999999999</v>
      </c>
      <c r="AF372">
        <f ca="1">IFERROR(IF(0=LEN(ReferenceData!$AF$372),"",ReferenceData!$AF$372),"")</f>
        <v>0.30981444000000002</v>
      </c>
      <c r="AG372">
        <f ca="1">IFERROR(IF(0=LEN(ReferenceData!$AG$372),"",ReferenceData!$AG$372),"")</f>
        <v>0.25944915499999999</v>
      </c>
      <c r="AH372">
        <f ca="1">IFERROR(IF(0=LEN(ReferenceData!$AH$372),"",ReferenceData!$AH$372),"")</f>
        <v>0.27985249200000001</v>
      </c>
      <c r="AI372">
        <f ca="1">IFERROR(IF(0=LEN(ReferenceData!$AI$372),"",ReferenceData!$AI$372),"")</f>
        <v>0.24488599899999999</v>
      </c>
      <c r="AJ372">
        <f ca="1">IFERROR(IF(0=LEN(ReferenceData!$AJ$372),"",ReferenceData!$AJ$372),"")</f>
        <v>0.17959893299999999</v>
      </c>
      <c r="AK372">
        <f ca="1">IFERROR(IF(0=LEN(ReferenceData!$AK$372),"",ReferenceData!$AK$372),"")</f>
        <v>0.30912761500000002</v>
      </c>
      <c r="AL372">
        <f ca="1">IFERROR(IF(0=LEN(ReferenceData!$AL$372),"",ReferenceData!$AL$372),"")</f>
        <v>0.26011153999999997</v>
      </c>
      <c r="AM372">
        <f ca="1">IFERROR(IF(0=LEN(ReferenceData!$AM$372),"",ReferenceData!$AM$372),"")</f>
        <v>0.27624961199999998</v>
      </c>
      <c r="AN372">
        <f ca="1">IFERROR(IF(0=LEN(ReferenceData!$AN$372),"",ReferenceData!$AN$372),"")</f>
        <v>0.186631517</v>
      </c>
      <c r="AO372">
        <f ca="1">IFERROR(IF(0=LEN(ReferenceData!$AO$372),"",ReferenceData!$AO$372),"")</f>
        <v>0.16374430800000001</v>
      </c>
      <c r="AP372">
        <f ca="1">IFERROR(IF(0=LEN(ReferenceData!$AP$372),"",ReferenceData!$AP$372),"")</f>
        <v>0.20321607899999999</v>
      </c>
      <c r="AQ372">
        <f ca="1">IFERROR(IF(0=LEN(ReferenceData!$AQ$372),"",ReferenceData!$AQ$372),"")</f>
        <v>0.81302120700000002</v>
      </c>
      <c r="AR372">
        <f ca="1">IFERROR(IF(0=LEN(ReferenceData!$AR$372),"",ReferenceData!$AR$372),"")</f>
        <v>0.91999590899999995</v>
      </c>
      <c r="AS372">
        <f ca="1">IFERROR(IF(0=LEN(ReferenceData!$AS$372),"",ReferenceData!$AS$372),"")</f>
        <v>1.3820571669999999</v>
      </c>
      <c r="AT372">
        <f ca="1">IFERROR(IF(0=LEN(ReferenceData!$AT$372),"",ReferenceData!$AT$372),"")</f>
        <v>1.33284091</v>
      </c>
      <c r="AU372">
        <f ca="1">IFERROR(IF(0=LEN(ReferenceData!$AU$372),"",ReferenceData!$AU$372),"")</f>
        <v>1.2190123879999999</v>
      </c>
      <c r="AV372">
        <f ca="1">IFERROR(IF(0=LEN(ReferenceData!$AV$372),"",ReferenceData!$AV$372),"")</f>
        <v>1.465122474</v>
      </c>
      <c r="AW372">
        <f ca="1">IFERROR(IF(0=LEN(ReferenceData!$AW$372),"",ReferenceData!$AW$372),"")</f>
        <v>0.95953405999999997</v>
      </c>
      <c r="AX372">
        <f ca="1">IFERROR(IF(0=LEN(ReferenceData!$AX$372),"",ReferenceData!$AX$372),"")</f>
        <v>0.96950241100000001</v>
      </c>
      <c r="AY372">
        <f ca="1">IFERROR(IF(0=LEN(ReferenceData!$AY$372),"",ReferenceData!$AY$372),"")</f>
        <v>0.89363003699999999</v>
      </c>
      <c r="AZ372">
        <f ca="1">IFERROR(IF(0=LEN(ReferenceData!$AZ$372),"",ReferenceData!$AZ$372),"")</f>
        <v>0.88788752599999998</v>
      </c>
      <c r="BA372">
        <f ca="1">IFERROR(IF(0=LEN(ReferenceData!$BA$372),"",ReferenceData!$BA$372),"")</f>
        <v>0.78326831600000002</v>
      </c>
      <c r="BB372">
        <f ca="1">IFERROR(IF(0=LEN(ReferenceData!$BB$372),"",ReferenceData!$BB$372),"")</f>
        <v>0.79317694800000005</v>
      </c>
      <c r="BC372">
        <f ca="1">IFERROR(IF(0=LEN(ReferenceData!$BC$372),"",ReferenceData!$BC$372),"")</f>
        <v>0.71521053899999998</v>
      </c>
      <c r="BD372">
        <f ca="1">IFERROR(IF(0=LEN(ReferenceData!$BD$372),"",ReferenceData!$BD$372),"")</f>
        <v>0.65274848399999996</v>
      </c>
      <c r="BE372">
        <f ca="1">IFERROR(IF(0=LEN(ReferenceData!$BE$372),"",ReferenceData!$BE$372),"")</f>
        <v>0.62890305000000002</v>
      </c>
      <c r="BF372">
        <f ca="1">IFERROR(IF(0=LEN(ReferenceData!$BF$372),"",ReferenceData!$BF$372),"")</f>
        <v>0.70059427299999999</v>
      </c>
      <c r="BG372">
        <f ca="1">IFERROR(IF(0=LEN(ReferenceData!$BG$372),"",ReferenceData!$BG$372),"")</f>
        <v>0.72103078600000003</v>
      </c>
      <c r="BH372">
        <f ca="1">IFERROR(IF(0=LEN(ReferenceData!$BH$372),"",ReferenceData!$BH$372),"")</f>
        <v>0.76112274099999999</v>
      </c>
      <c r="BI372">
        <f ca="1">IFERROR(IF(0=LEN(ReferenceData!$BI$372),"",ReferenceData!$BI$372),"")</f>
        <v>0.73594674800000004</v>
      </c>
      <c r="BJ372">
        <f ca="1">IFERROR(IF(0=LEN(ReferenceData!$BJ$372),"",ReferenceData!$BJ$372),"")</f>
        <v>0.72012516199999999</v>
      </c>
      <c r="BK372">
        <f ca="1">IFERROR(IF(0=LEN(ReferenceData!$BK$372),"",ReferenceData!$BK$372),"")</f>
        <v>0.69031256399999996</v>
      </c>
      <c r="BL372" t="str">
        <f ca="1">IFERROR(IF(0=LEN(ReferenceData!$BL$372),"",ReferenceData!$BL$372),"")</f>
        <v/>
      </c>
      <c r="BM372" t="str">
        <f ca="1">IFERROR(IF(0=LEN(ReferenceData!$BM$372),"",ReferenceData!$BM$372),"")</f>
        <v/>
      </c>
    </row>
    <row r="373" spans="1:65" x14ac:dyDescent="0.25">
      <c r="A373" t="str">
        <f>IFERROR(IF(0=LEN(ReferenceData!$A$373),"",ReferenceData!$A$373),"")</f>
        <v xml:space="preserve">    Yulon Motor Co Ltd</v>
      </c>
      <c r="B373" t="str">
        <f>IFERROR(IF(0=LEN(ReferenceData!$B$373),"",ReferenceData!$B$373),"")</f>
        <v>2201 TT Equity</v>
      </c>
      <c r="C373" t="str">
        <f>IFERROR(IF(0=LEN(ReferenceData!$C$373),"",ReferenceData!$C$373),"")</f>
        <v>RR473</v>
      </c>
      <c r="D373" t="str">
        <f>IFERROR(IF(0=LEN(ReferenceData!$D$373),"",ReferenceData!$D$373),"")</f>
        <v>EV_TO_T12M_SALES</v>
      </c>
      <c r="E373" t="str">
        <f>IFERROR(IF(0=LEN(ReferenceData!$E$373),"",ReferenceData!$E$373),"")</f>
        <v>Dynamic</v>
      </c>
      <c r="F373" t="str">
        <f ca="1">IFERROR(IF(0=LEN(ReferenceData!$F$373),"",ReferenceData!$F$373),"")</f>
        <v/>
      </c>
      <c r="G373" t="str">
        <f ca="1">IFERROR(IF(0=LEN(ReferenceData!$G$373),"",ReferenceData!$G$373),"")</f>
        <v/>
      </c>
      <c r="H373">
        <f ca="1">IFERROR(IF(0=LEN(ReferenceData!$H$373),"",ReferenceData!$H$373),"")</f>
        <v>1.898066249</v>
      </c>
      <c r="I373">
        <f ca="1">IFERROR(IF(0=LEN(ReferenceData!$I$373),"",ReferenceData!$I$373),"")</f>
        <v>1.7339096089999999</v>
      </c>
      <c r="J373">
        <f ca="1">IFERROR(IF(0=LEN(ReferenceData!$J$373),"",ReferenceData!$J$373),"")</f>
        <v>1.622422016</v>
      </c>
      <c r="K373">
        <f ca="1">IFERROR(IF(0=LEN(ReferenceData!$K$373),"",ReferenceData!$K$373),"")</f>
        <v>1.552892623</v>
      </c>
      <c r="L373">
        <f ca="1">IFERROR(IF(0=LEN(ReferenceData!$L$373),"",ReferenceData!$L$373),"")</f>
        <v>1.418788457</v>
      </c>
      <c r="M373">
        <f ca="1">IFERROR(IF(0=LEN(ReferenceData!$M$373),"",ReferenceData!$M$373),"")</f>
        <v>1.3098513839999999</v>
      </c>
      <c r="N373">
        <f ca="1">IFERROR(IF(0=LEN(ReferenceData!$N$373),"",ReferenceData!$N$373),"")</f>
        <v>1.2126669189999999</v>
      </c>
      <c r="O373">
        <f ca="1">IFERROR(IF(0=LEN(ReferenceData!$O$373),"",ReferenceData!$O$373),"")</f>
        <v>1.122045755</v>
      </c>
      <c r="P373">
        <f ca="1">IFERROR(IF(0=LEN(ReferenceData!$P$373),"",ReferenceData!$P$373),"")</f>
        <v>1.0434653810000001</v>
      </c>
      <c r="Q373">
        <f ca="1">IFERROR(IF(0=LEN(ReferenceData!$Q$373),"",ReferenceData!$Q$373),"")</f>
        <v>0.97052002299999995</v>
      </c>
      <c r="R373">
        <f ca="1">IFERROR(IF(0=LEN(ReferenceData!$R$373),"",ReferenceData!$R$373),"")</f>
        <v>0.979703883</v>
      </c>
      <c r="S373">
        <f ca="1">IFERROR(IF(0=LEN(ReferenceData!$S$373),"",ReferenceData!$S$373),"")</f>
        <v>0.96349141999999999</v>
      </c>
      <c r="T373">
        <f ca="1">IFERROR(IF(0=LEN(ReferenceData!$T$373),"",ReferenceData!$T$373),"")</f>
        <v>0.93149703800000005</v>
      </c>
      <c r="U373">
        <f ca="1">IFERROR(IF(0=LEN(ReferenceData!$U$373),"",ReferenceData!$U$373),"")</f>
        <v>1.0013371600000001</v>
      </c>
      <c r="V373">
        <f ca="1">IFERROR(IF(0=LEN(ReferenceData!$V$373),"",ReferenceData!$V$373),"")</f>
        <v>1.054562615</v>
      </c>
      <c r="W373">
        <f ca="1">IFERROR(IF(0=LEN(ReferenceData!$W$373),"",ReferenceData!$W$373),"")</f>
        <v>1.1463714570000001</v>
      </c>
      <c r="X373">
        <f ca="1">IFERROR(IF(0=LEN(ReferenceData!$X$373),"",ReferenceData!$X$373),"")</f>
        <v>1.140299994</v>
      </c>
      <c r="Y373">
        <f ca="1">IFERROR(IF(0=LEN(ReferenceData!$Y$373),"",ReferenceData!$Y$373),"")</f>
        <v>1.2680699989999999</v>
      </c>
      <c r="Z373">
        <f ca="1">IFERROR(IF(0=LEN(ReferenceData!$Z$373),"",ReferenceData!$Z$373),"")</f>
        <v>1.3633799200000001</v>
      </c>
      <c r="AA373">
        <f ca="1">IFERROR(IF(0=LEN(ReferenceData!$AA$373),"",ReferenceData!$AA$373),"")</f>
        <v>1.492260948</v>
      </c>
      <c r="AB373">
        <f ca="1">IFERROR(IF(0=LEN(ReferenceData!$AB$373),"",ReferenceData!$AB$373),"")</f>
        <v>1.5630033919999999</v>
      </c>
      <c r="AC373">
        <f ca="1">IFERROR(IF(0=LEN(ReferenceData!$AC$373),"",ReferenceData!$AC$373),"")</f>
        <v>1.5806469949999999</v>
      </c>
      <c r="AD373">
        <f ca="1">IFERROR(IF(0=LEN(ReferenceData!$AD$373),"",ReferenceData!$AD$373),"")</f>
        <v>1.724749176</v>
      </c>
      <c r="AE373">
        <f ca="1">IFERROR(IF(0=LEN(ReferenceData!$AE$373),"",ReferenceData!$AE$373),"")</f>
        <v>1.690197569</v>
      </c>
      <c r="AF373">
        <f ca="1">IFERROR(IF(0=LEN(ReferenceData!$AF$373),"",ReferenceData!$AF$373),"")</f>
        <v>1.6689606509999999</v>
      </c>
      <c r="AG373">
        <f ca="1">IFERROR(IF(0=LEN(ReferenceData!$AG$373),"",ReferenceData!$AG$373),"")</f>
        <v>1.585416231</v>
      </c>
      <c r="AH373">
        <f ca="1">IFERROR(IF(0=LEN(ReferenceData!$AH$373),"",ReferenceData!$AH$373),"")</f>
        <v>1.647260712</v>
      </c>
      <c r="AI373">
        <f ca="1">IFERROR(IF(0=LEN(ReferenceData!$AI$373),"",ReferenceData!$AI$373),"")</f>
        <v>1.5687133630000001</v>
      </c>
      <c r="AJ373">
        <f ca="1">IFERROR(IF(0=LEN(ReferenceData!$AJ$373),"",ReferenceData!$AJ$373),"")</f>
        <v>1.792599778</v>
      </c>
      <c r="AK373">
        <f ca="1">IFERROR(IF(0=LEN(ReferenceData!$AK$373),"",ReferenceData!$AK$373),"")</f>
        <v>1.9675560519999999</v>
      </c>
      <c r="AL373">
        <f ca="1">IFERROR(IF(0=LEN(ReferenceData!$AL$373),"",ReferenceData!$AL$373),"")</f>
        <v>1.6285623170000001</v>
      </c>
      <c r="AM373">
        <f ca="1">IFERROR(IF(0=LEN(ReferenceData!$AM$373),"",ReferenceData!$AM$373),"")</f>
        <v>1.9163567370000001</v>
      </c>
      <c r="AN373">
        <f ca="1">IFERROR(IF(0=LEN(ReferenceData!$AN$373),"",ReferenceData!$AN$373),"")</f>
        <v>1.748532762</v>
      </c>
      <c r="AO373">
        <f ca="1">IFERROR(IF(0=LEN(ReferenceData!$AO$373),"",ReferenceData!$AO$373),"")</f>
        <v>1.2516977659999999</v>
      </c>
      <c r="AP373">
        <f ca="1">IFERROR(IF(0=LEN(ReferenceData!$AP$373),"",ReferenceData!$AP$373),"")</f>
        <v>1.401131946</v>
      </c>
      <c r="AQ373">
        <f ca="1">IFERROR(IF(0=LEN(ReferenceData!$AQ$373),"",ReferenceData!$AQ$373),"")</f>
        <v>1.591002104</v>
      </c>
      <c r="AR373">
        <f ca="1">IFERROR(IF(0=LEN(ReferenceData!$AR$373),"",ReferenceData!$AR$373),"")</f>
        <v>1.8854572700000001</v>
      </c>
      <c r="AS373">
        <f ca="1">IFERROR(IF(0=LEN(ReferenceData!$AS$373),"",ReferenceData!$AS$373),"")</f>
        <v>1.795072921</v>
      </c>
      <c r="AT373">
        <f ca="1">IFERROR(IF(0=LEN(ReferenceData!$AT$373),"",ReferenceData!$AT$373),"")</f>
        <v>1.343247847</v>
      </c>
      <c r="AU373">
        <f ca="1">IFERROR(IF(0=LEN(ReferenceData!$AU$373),"",ReferenceData!$AU$373),"")</f>
        <v>1.0601169420000001</v>
      </c>
      <c r="AV373" t="str">
        <f ca="1">IFERROR(IF(0=LEN(ReferenceData!$AV$373),"",ReferenceData!$AV$373),"")</f>
        <v/>
      </c>
      <c r="AW373" t="str">
        <f ca="1">IFERROR(IF(0=LEN(ReferenceData!$AW$373),"",ReferenceData!$AW$373),"")</f>
        <v/>
      </c>
      <c r="AX373" t="str">
        <f ca="1">IFERROR(IF(0=LEN(ReferenceData!$AX$373),"",ReferenceData!$AX$373),"")</f>
        <v/>
      </c>
      <c r="AY373" t="str">
        <f ca="1">IFERROR(IF(0=LEN(ReferenceData!$AY$373),"",ReferenceData!$AY$373),"")</f>
        <v/>
      </c>
      <c r="AZ373" t="str">
        <f ca="1">IFERROR(IF(0=LEN(ReferenceData!$AZ$373),"",ReferenceData!$AZ$373),"")</f>
        <v/>
      </c>
      <c r="BA373" t="str">
        <f ca="1">IFERROR(IF(0=LEN(ReferenceData!$BA$373),"",ReferenceData!$BA$373),"")</f>
        <v/>
      </c>
      <c r="BB373" t="str">
        <f ca="1">IFERROR(IF(0=LEN(ReferenceData!$BB$373),"",ReferenceData!$BB$373),"")</f>
        <v/>
      </c>
      <c r="BC373" t="str">
        <f ca="1">IFERROR(IF(0=LEN(ReferenceData!$BC$373),"",ReferenceData!$BC$373),"")</f>
        <v/>
      </c>
      <c r="BD373" t="str">
        <f ca="1">IFERROR(IF(0=LEN(ReferenceData!$BD$373),"",ReferenceData!$BD$373),"")</f>
        <v/>
      </c>
      <c r="BE373" t="str">
        <f ca="1">IFERROR(IF(0=LEN(ReferenceData!$BE$373),"",ReferenceData!$BE$373),"")</f>
        <v/>
      </c>
      <c r="BF373" t="str">
        <f ca="1">IFERROR(IF(0=LEN(ReferenceData!$BF$373),"",ReferenceData!$BF$373),"")</f>
        <v/>
      </c>
      <c r="BG373" t="str">
        <f ca="1">IFERROR(IF(0=LEN(ReferenceData!$BG$373),"",ReferenceData!$BG$373),"")</f>
        <v/>
      </c>
      <c r="BH373" t="str">
        <f ca="1">IFERROR(IF(0=LEN(ReferenceData!$BH$373),"",ReferenceData!$BH$373),"")</f>
        <v/>
      </c>
      <c r="BI373" t="str">
        <f ca="1">IFERROR(IF(0=LEN(ReferenceData!$BI$373),"",ReferenceData!$BI$373),"")</f>
        <v/>
      </c>
      <c r="BJ373" t="str">
        <f ca="1">IFERROR(IF(0=LEN(ReferenceData!$BJ$373),"",ReferenceData!$BJ$373),"")</f>
        <v/>
      </c>
      <c r="BK373" t="str">
        <f ca="1">IFERROR(IF(0=LEN(ReferenceData!$BK$373),"",ReferenceData!$BK$373),"")</f>
        <v/>
      </c>
      <c r="BL373" t="str">
        <f ca="1">IFERROR(IF(0=LEN(ReferenceData!$BL$373),"",ReferenceData!$BL$373),"")</f>
        <v/>
      </c>
      <c r="BM373" t="str">
        <f ca="1">IFERROR(IF(0=LEN(ReferenceData!$BM$373),"",ReferenceData!$BM$373),"")</f>
        <v/>
      </c>
    </row>
    <row r="374" spans="1:65" x14ac:dyDescent="0.25">
      <c r="A374" t="str">
        <f>IFERROR(IF(0=LEN(ReferenceData!$A$374),"",ReferenceData!$A$374),"")</f>
        <v>EV / Market Cap</v>
      </c>
      <c r="B374" t="str">
        <f>IFERROR(IF(0=LEN(ReferenceData!$B$374),"",ReferenceData!$B$374),"")</f>
        <v/>
      </c>
      <c r="C374" t="str">
        <f>IFERROR(IF(0=LEN(ReferenceData!$C$374),"",ReferenceData!$C$374),"")</f>
        <v/>
      </c>
      <c r="D374" t="str">
        <f>IFERROR(IF(0=LEN(ReferenceData!$D$374),"",ReferenceData!$D$374),"")</f>
        <v/>
      </c>
      <c r="E374" t="str">
        <f>IFERROR(IF(0=LEN(ReferenceData!$E$374),"",ReferenceData!$E$374),"")</f>
        <v>Average</v>
      </c>
      <c r="F374" t="str">
        <f ca="1">IFERROR(IF(0=LEN(ReferenceData!$F$374),"",ReferenceData!$F$374),"")</f>
        <v/>
      </c>
      <c r="G374">
        <f ca="1">IFERROR(IF(0=LEN(ReferenceData!$G$374),"",ReferenceData!$G$374),"")</f>
        <v>1.0705808947857145</v>
      </c>
      <c r="H374">
        <f ca="1">IFERROR(IF(0=LEN(ReferenceData!$H$374),"",ReferenceData!$H$374),"")</f>
        <v>1.3729261479354837</v>
      </c>
      <c r="I374">
        <f ca="1">IFERROR(IF(0=LEN(ReferenceData!$I$374),"",ReferenceData!$I$374),"")</f>
        <v>1.3683483927</v>
      </c>
      <c r="J374">
        <f ca="1">IFERROR(IF(0=LEN(ReferenceData!$J$374),"",ReferenceData!$J$374),"")</f>
        <v>1.3155621234516128</v>
      </c>
      <c r="K374">
        <f ca="1">IFERROR(IF(0=LEN(ReferenceData!$K$374),"",ReferenceData!$K$374),"")</f>
        <v>1.3258950401</v>
      </c>
      <c r="L374">
        <f ca="1">IFERROR(IF(0=LEN(ReferenceData!$L$374),"",ReferenceData!$L$374),"")</f>
        <v>1.3407181642903225</v>
      </c>
      <c r="M374">
        <f ca="1">IFERROR(IF(0=LEN(ReferenceData!$M$374),"",ReferenceData!$M$374),"")</f>
        <v>1.3323209938666665</v>
      </c>
      <c r="N374">
        <f ca="1">IFERROR(IF(0=LEN(ReferenceData!$N$374),"",ReferenceData!$N$374),"")</f>
        <v>1.3402008846774194</v>
      </c>
      <c r="O374">
        <f ca="1">IFERROR(IF(0=LEN(ReferenceData!$O$374),"",ReferenceData!$O$374),"")</f>
        <v>1.3539203180000001</v>
      </c>
      <c r="P374">
        <f ca="1">IFERROR(IF(0=LEN(ReferenceData!$P$374),"",ReferenceData!$P$374),"")</f>
        <v>1.4371147819999999</v>
      </c>
      <c r="Q374">
        <f ca="1">IFERROR(IF(0=LEN(ReferenceData!$Q$374),"",ReferenceData!$Q$374),"")</f>
        <v>1.5858870705000003</v>
      </c>
      <c r="R374">
        <f ca="1">IFERROR(IF(0=LEN(ReferenceData!$R$374),"",ReferenceData!$R$374),"")</f>
        <v>1.5054493684374999</v>
      </c>
      <c r="S374">
        <f ca="1">IFERROR(IF(0=LEN(ReferenceData!$S$374),"",ReferenceData!$S$374),"")</f>
        <v>1.4282537407741935</v>
      </c>
      <c r="T374">
        <f ca="1">IFERROR(IF(0=LEN(ReferenceData!$T$374),"",ReferenceData!$T$374),"")</f>
        <v>1.4494235862187501</v>
      </c>
      <c r="U374">
        <f ca="1">IFERROR(IF(0=LEN(ReferenceData!$U$374),"",ReferenceData!$U$374),"")</f>
        <v>1.2655975065999998</v>
      </c>
      <c r="V374">
        <f ca="1">IFERROR(IF(0=LEN(ReferenceData!$V$374),"",ReferenceData!$V$374),"")</f>
        <v>1.1933703618064513</v>
      </c>
      <c r="W374">
        <f ca="1">IFERROR(IF(0=LEN(ReferenceData!$W$374),"",ReferenceData!$W$374),"")</f>
        <v>1.2229144980333333</v>
      </c>
      <c r="X374">
        <f ca="1">IFERROR(IF(0=LEN(ReferenceData!$X$374),"",ReferenceData!$X$374),"")</f>
        <v>1.1651603677666669</v>
      </c>
      <c r="Y374">
        <f ca="1">IFERROR(IF(0=LEN(ReferenceData!$Y$374),"",ReferenceData!$Y$374),"")</f>
        <v>1.1588506583448275</v>
      </c>
      <c r="Z374">
        <f ca="1">IFERROR(IF(0=LEN(ReferenceData!$Z$374),"",ReferenceData!$Z$374),"")</f>
        <v>1.1443537394333334</v>
      </c>
      <c r="AA374">
        <f ca="1">IFERROR(IF(0=LEN(ReferenceData!$AA$374),"",ReferenceData!$AA$374),"")</f>
        <v>1.1449279888965518</v>
      </c>
      <c r="AB374">
        <f ca="1">IFERROR(IF(0=LEN(ReferenceData!$AB$374),"",ReferenceData!$AB$374),"")</f>
        <v>1.1521059083000003</v>
      </c>
      <c r="AC374">
        <f ca="1">IFERROR(IF(0=LEN(ReferenceData!$AC$374),"",ReferenceData!$AC$374),"")</f>
        <v>1.1395065147586205</v>
      </c>
      <c r="AD374">
        <f ca="1">IFERROR(IF(0=LEN(ReferenceData!$AD$374),"",ReferenceData!$AD$374),"")</f>
        <v>1.1656165001000001</v>
      </c>
      <c r="AE374">
        <f ca="1">IFERROR(IF(0=LEN(ReferenceData!$AE$374),"",ReferenceData!$AE$374),"")</f>
        <v>1.203805574275862</v>
      </c>
      <c r="AF374">
        <f ca="1">IFERROR(IF(0=LEN(ReferenceData!$AF$374),"",ReferenceData!$AF$374),"")</f>
        <v>1.2590745383103448</v>
      </c>
      <c r="AG374">
        <f ca="1">IFERROR(IF(0=LEN(ReferenceData!$AG$374),"",ReferenceData!$AG$374),"")</f>
        <v>1.229137629928571</v>
      </c>
      <c r="AH374">
        <f ca="1">IFERROR(IF(0=LEN(ReferenceData!$AH$374),"",ReferenceData!$AH$374),"")</f>
        <v>1.1923470623103447</v>
      </c>
      <c r="AI374">
        <f ca="1">IFERROR(IF(0=LEN(ReferenceData!$AI$374),"",ReferenceData!$AI$374),"")</f>
        <v>1.2619247374444442</v>
      </c>
      <c r="AJ374">
        <f ca="1">IFERROR(IF(0=LEN(ReferenceData!$AJ$374),"",ReferenceData!$AJ$374),"")</f>
        <v>1.237643803103448</v>
      </c>
      <c r="AK374">
        <f ca="1">IFERROR(IF(0=LEN(ReferenceData!$AK$374),"",ReferenceData!$AK$374),"")</f>
        <v>1.1841240820000001</v>
      </c>
      <c r="AL374">
        <f ca="1">IFERROR(IF(0=LEN(ReferenceData!$AL$374),"",ReferenceData!$AL$374),"")</f>
        <v>1.2129238471923076</v>
      </c>
      <c r="AM374">
        <f ca="1">IFERROR(IF(0=LEN(ReferenceData!$AM$374),"",ReferenceData!$AM$374),"")</f>
        <v>1.2774207275</v>
      </c>
      <c r="AN374">
        <f ca="1">IFERROR(IF(0=LEN(ReferenceData!$AN$374),"",ReferenceData!$AN$374),"")</f>
        <v>1.3476153382800005</v>
      </c>
      <c r="AO374">
        <f ca="1">IFERROR(IF(0=LEN(ReferenceData!$AO$374),"",ReferenceData!$AO$374),"")</f>
        <v>1.5359634664782607</v>
      </c>
      <c r="AP374">
        <f ca="1">IFERROR(IF(0=LEN(ReferenceData!$AP$374),"",ReferenceData!$AP$374),"")</f>
        <v>1.3056517716363638</v>
      </c>
      <c r="AQ374">
        <f ca="1">IFERROR(IF(0=LEN(ReferenceData!$AQ$374),"",ReferenceData!$AQ$374),"")</f>
        <v>1.4548086843809522</v>
      </c>
      <c r="AR374">
        <f ca="1">IFERROR(IF(0=LEN(ReferenceData!$AR$374),"",ReferenceData!$AR$374),"")</f>
        <v>1.4647362430000004</v>
      </c>
      <c r="AS374">
        <f ca="1">IFERROR(IF(0=LEN(ReferenceData!$AS$374),"",ReferenceData!$AS$374),"")</f>
        <v>1.6790340105238097</v>
      </c>
      <c r="AT374">
        <f ca="1">IFERROR(IF(0=LEN(ReferenceData!$AT$374),"",ReferenceData!$AT$374),"")</f>
        <v>2.0439278173333335</v>
      </c>
      <c r="AU374">
        <f ca="1">IFERROR(IF(0=LEN(ReferenceData!$AU$374),"",ReferenceData!$AU$374),"")</f>
        <v>2.2903433080526314</v>
      </c>
      <c r="AV374">
        <f ca="1">IFERROR(IF(0=LEN(ReferenceData!$AV$374),"",ReferenceData!$AV$374),"")</f>
        <v>1.6511392628095243</v>
      </c>
      <c r="AW374">
        <f ca="1">IFERROR(IF(0=LEN(ReferenceData!$AW$374),"",ReferenceData!$AW$374),"")</f>
        <v>1.4959438437619046</v>
      </c>
      <c r="AX374">
        <f ca="1">IFERROR(IF(0=LEN(ReferenceData!$AX$374),"",ReferenceData!$AX$374),"")</f>
        <v>1.4438728041363638</v>
      </c>
      <c r="AY374">
        <f ca="1">IFERROR(IF(0=LEN(ReferenceData!$AY$374),"",ReferenceData!$AY$374),"")</f>
        <v>1.3969862364210528</v>
      </c>
      <c r="AZ374">
        <f ca="1">IFERROR(IF(0=LEN(ReferenceData!$AZ$374),"",ReferenceData!$AZ$374),"")</f>
        <v>1.3626905419473685</v>
      </c>
      <c r="BA374">
        <f ca="1">IFERROR(IF(0=LEN(ReferenceData!$BA$374),"",ReferenceData!$BA$374),"")</f>
        <v>1.3728691948421052</v>
      </c>
      <c r="BB374">
        <f ca="1">IFERROR(IF(0=LEN(ReferenceData!$BB$374),"",ReferenceData!$BB$374),"")</f>
        <v>1.4067175593157895</v>
      </c>
      <c r="BC374">
        <f ca="1">IFERROR(IF(0=LEN(ReferenceData!$BC$374),"",ReferenceData!$BC$374),"")</f>
        <v>1.4620066352105265</v>
      </c>
      <c r="BD374">
        <f ca="1">IFERROR(IF(0=LEN(ReferenceData!$BD$374),"",ReferenceData!$BD$374),"")</f>
        <v>1.5003552943684213</v>
      </c>
      <c r="BE374">
        <f ca="1">IFERROR(IF(0=LEN(ReferenceData!$BE$374),"",ReferenceData!$BE$374),"")</f>
        <v>1.4996380559473681</v>
      </c>
      <c r="BF374">
        <f ca="1">IFERROR(IF(0=LEN(ReferenceData!$BF$374),"",ReferenceData!$BF$374),"")</f>
        <v>1.4530520465263159</v>
      </c>
      <c r="BG374">
        <f ca="1">IFERROR(IF(0=LEN(ReferenceData!$BG$374),"",ReferenceData!$BG$374),"")</f>
        <v>2.0007458929999999</v>
      </c>
      <c r="BH374">
        <f ca="1">IFERROR(IF(0=LEN(ReferenceData!$BH$374),"",ReferenceData!$BH$374),"")</f>
        <v>1.8298933913157891</v>
      </c>
      <c r="BI374">
        <f ca="1">IFERROR(IF(0=LEN(ReferenceData!$BI$374),"",ReferenceData!$BI$374),"")</f>
        <v>2.1181796835000002</v>
      </c>
      <c r="BJ374">
        <f ca="1">IFERROR(IF(0=LEN(ReferenceData!$BJ$374),"",ReferenceData!$BJ$374),"")</f>
        <v>1.964511476631579</v>
      </c>
      <c r="BK374">
        <f ca="1">IFERROR(IF(0=LEN(ReferenceData!$BK$374),"",ReferenceData!$BK$374),"")</f>
        <v>2.0835368891538457</v>
      </c>
      <c r="BL374">
        <f ca="1">IFERROR(IF(0=LEN(ReferenceData!$BL$374),"",ReferenceData!$BL$374),"")</f>
        <v>1.9548082785882352</v>
      </c>
      <c r="BM374">
        <f ca="1">IFERROR(IF(0=LEN(ReferenceData!$BM$374),"",ReferenceData!$BM$374),"")</f>
        <v>1.9159136162727277</v>
      </c>
    </row>
    <row r="375" spans="1:65" x14ac:dyDescent="0.25">
      <c r="A375" t="str">
        <f>IFERROR(IF(0=LEN(ReferenceData!$A$375),"",ReferenceData!$A$375),"")</f>
        <v xml:space="preserve">    AUDI AG</v>
      </c>
      <c r="B375" t="str">
        <f>IFERROR(IF(0=LEN(ReferenceData!$B$375),"",ReferenceData!$B$375),"")</f>
        <v>NSU GR Equity</v>
      </c>
      <c r="C375" t="str">
        <f>IFERROR(IF(0=LEN(ReferenceData!$C$375),"",ReferenceData!$C$375),"")</f>
        <v>RR480</v>
      </c>
      <c r="D375" t="str">
        <f>IFERROR(IF(0=LEN(ReferenceData!$D$375),"",ReferenceData!$D$375),"")</f>
        <v>EV_TO_MKT_CAP</v>
      </c>
      <c r="E375" t="str">
        <f>IFERROR(IF(0=LEN(ReferenceData!$E$375),"",ReferenceData!$E$375),"")</f>
        <v>Dynamic</v>
      </c>
      <c r="F375" t="str">
        <f ca="1">IFERROR(IF(0=LEN(ReferenceData!$F$375),"",ReferenceData!$F$375),"")</f>
        <v/>
      </c>
      <c r="G375" t="str">
        <f ca="1">IFERROR(IF(0=LEN(ReferenceData!$G$375),"",ReferenceData!$G$375),"")</f>
        <v/>
      </c>
      <c r="H375" t="str">
        <f ca="1">IFERROR(IF(0=LEN(ReferenceData!$H$375),"",ReferenceData!$H$375),"")</f>
        <v/>
      </c>
      <c r="I375" t="str">
        <f ca="1">IFERROR(IF(0=LEN(ReferenceData!$I$375),"",ReferenceData!$I$375),"")</f>
        <v/>
      </c>
      <c r="J375" t="str">
        <f ca="1">IFERROR(IF(0=LEN(ReferenceData!$J$375),"",ReferenceData!$J$375),"")</f>
        <v/>
      </c>
      <c r="K375" t="str">
        <f ca="1">IFERROR(IF(0=LEN(ReferenceData!$K$375),"",ReferenceData!$K$375),"")</f>
        <v/>
      </c>
      <c r="L375" t="str">
        <f ca="1">IFERROR(IF(0=LEN(ReferenceData!$L$375),"",ReferenceData!$L$375),"")</f>
        <v/>
      </c>
      <c r="M375" t="str">
        <f ca="1">IFERROR(IF(0=LEN(ReferenceData!$M$375),"",ReferenceData!$M$375),"")</f>
        <v/>
      </c>
      <c r="N375" t="str">
        <f ca="1">IFERROR(IF(0=LEN(ReferenceData!$N$375),"",ReferenceData!$N$375),"")</f>
        <v/>
      </c>
      <c r="O375" t="str">
        <f ca="1">IFERROR(IF(0=LEN(ReferenceData!$O$375),"",ReferenceData!$O$375),"")</f>
        <v/>
      </c>
      <c r="P375" t="str">
        <f ca="1">IFERROR(IF(0=LEN(ReferenceData!$P$375),"",ReferenceData!$P$375),"")</f>
        <v/>
      </c>
      <c r="Q375" t="str">
        <f ca="1">IFERROR(IF(0=LEN(ReferenceData!$Q$375),"",ReferenceData!$Q$375),"")</f>
        <v/>
      </c>
      <c r="R375" t="str">
        <f ca="1">IFERROR(IF(0=LEN(ReferenceData!$R$375),"",ReferenceData!$R$375),"")</f>
        <v/>
      </c>
      <c r="S375" t="str">
        <f ca="1">IFERROR(IF(0=LEN(ReferenceData!$S$375),"",ReferenceData!$S$375),"")</f>
        <v/>
      </c>
      <c r="T375" t="str">
        <f ca="1">IFERROR(IF(0=LEN(ReferenceData!$T$375),"",ReferenceData!$T$375),"")</f>
        <v/>
      </c>
      <c r="U375" t="str">
        <f ca="1">IFERROR(IF(0=LEN(ReferenceData!$U$375),"",ReferenceData!$U$375),"")</f>
        <v/>
      </c>
      <c r="V375" t="str">
        <f ca="1">IFERROR(IF(0=LEN(ReferenceData!$V$375),"",ReferenceData!$V$375),"")</f>
        <v/>
      </c>
      <c r="W375" t="str">
        <f ca="1">IFERROR(IF(0=LEN(ReferenceData!$W$375),"",ReferenceData!$W$375),"")</f>
        <v/>
      </c>
      <c r="X375" t="str">
        <f ca="1">IFERROR(IF(0=LEN(ReferenceData!$X$375),"",ReferenceData!$X$375),"")</f>
        <v/>
      </c>
      <c r="Y375" t="str">
        <f ca="1">IFERROR(IF(0=LEN(ReferenceData!$Y$375),"",ReferenceData!$Y$375),"")</f>
        <v/>
      </c>
      <c r="Z375" t="str">
        <f ca="1">IFERROR(IF(0=LEN(ReferenceData!$Z$375),"",ReferenceData!$Z$375),"")</f>
        <v/>
      </c>
      <c r="AA375" t="str">
        <f ca="1">IFERROR(IF(0=LEN(ReferenceData!$AA$375),"",ReferenceData!$AA$375),"")</f>
        <v/>
      </c>
      <c r="AB375" t="str">
        <f ca="1">IFERROR(IF(0=LEN(ReferenceData!$AB$375),"",ReferenceData!$AB$375),"")</f>
        <v/>
      </c>
      <c r="AC375" t="str">
        <f ca="1">IFERROR(IF(0=LEN(ReferenceData!$AC$375),"",ReferenceData!$AC$375),"")</f>
        <v/>
      </c>
      <c r="AD375" t="str">
        <f ca="1">IFERROR(IF(0=LEN(ReferenceData!$AD$375),"",ReferenceData!$AD$375),"")</f>
        <v/>
      </c>
      <c r="AE375" t="str">
        <f ca="1">IFERROR(IF(0=LEN(ReferenceData!$AE$375),"",ReferenceData!$AE$375),"")</f>
        <v/>
      </c>
      <c r="AF375" t="str">
        <f ca="1">IFERROR(IF(0=LEN(ReferenceData!$AF$375),"",ReferenceData!$AF$375),"")</f>
        <v/>
      </c>
      <c r="AG375" t="str">
        <f ca="1">IFERROR(IF(0=LEN(ReferenceData!$AG$375),"",ReferenceData!$AG$375),"")</f>
        <v/>
      </c>
      <c r="AH375" t="str">
        <f ca="1">IFERROR(IF(0=LEN(ReferenceData!$AH$375),"",ReferenceData!$AH$375),"")</f>
        <v/>
      </c>
      <c r="AI375" t="str">
        <f ca="1">IFERROR(IF(0=LEN(ReferenceData!$AI$375),"",ReferenceData!$AI$375),"")</f>
        <v/>
      </c>
      <c r="AJ375" t="str">
        <f ca="1">IFERROR(IF(0=LEN(ReferenceData!$AJ$375),"",ReferenceData!$AJ$375),"")</f>
        <v/>
      </c>
      <c r="AK375" t="str">
        <f ca="1">IFERROR(IF(0=LEN(ReferenceData!$AK$375),"",ReferenceData!$AK$375),"")</f>
        <v/>
      </c>
      <c r="AL375" t="str">
        <f ca="1">IFERROR(IF(0=LEN(ReferenceData!$AL$375),"",ReferenceData!$AL$375),"")</f>
        <v/>
      </c>
      <c r="AM375" t="str">
        <f ca="1">IFERROR(IF(0=LEN(ReferenceData!$AM$375),"",ReferenceData!$AM$375),"")</f>
        <v/>
      </c>
      <c r="AN375" t="str">
        <f ca="1">IFERROR(IF(0=LEN(ReferenceData!$AN$375),"",ReferenceData!$AN$375),"")</f>
        <v/>
      </c>
      <c r="AO375" t="str">
        <f ca="1">IFERROR(IF(0=LEN(ReferenceData!$AO$375),"",ReferenceData!$AO$375),"")</f>
        <v/>
      </c>
      <c r="AP375" t="str">
        <f ca="1">IFERROR(IF(0=LEN(ReferenceData!$AP$375),"",ReferenceData!$AP$375),"")</f>
        <v/>
      </c>
      <c r="AQ375" t="str">
        <f ca="1">IFERROR(IF(0=LEN(ReferenceData!$AQ$375),"",ReferenceData!$AQ$375),"")</f>
        <v/>
      </c>
      <c r="AR375" t="str">
        <f ca="1">IFERROR(IF(0=LEN(ReferenceData!$AR$375),"",ReferenceData!$AR$375),"")</f>
        <v/>
      </c>
      <c r="AS375" t="str">
        <f ca="1">IFERROR(IF(0=LEN(ReferenceData!$AS$375),"",ReferenceData!$AS$375),"")</f>
        <v/>
      </c>
      <c r="AT375" t="str">
        <f ca="1">IFERROR(IF(0=LEN(ReferenceData!$AT$375),"",ReferenceData!$AT$375),"")</f>
        <v/>
      </c>
      <c r="AU375" t="str">
        <f ca="1">IFERROR(IF(0=LEN(ReferenceData!$AU$375),"",ReferenceData!$AU$375),"")</f>
        <v/>
      </c>
      <c r="AV375" t="str">
        <f ca="1">IFERROR(IF(0=LEN(ReferenceData!$AV$375),"",ReferenceData!$AV$375),"")</f>
        <v/>
      </c>
      <c r="AW375" t="str">
        <f ca="1">IFERROR(IF(0=LEN(ReferenceData!$AW$375),"",ReferenceData!$AW$375),"")</f>
        <v/>
      </c>
      <c r="AX375" t="str">
        <f ca="1">IFERROR(IF(0=LEN(ReferenceData!$AX$375),"",ReferenceData!$AX$375),"")</f>
        <v/>
      </c>
      <c r="AY375" t="str">
        <f ca="1">IFERROR(IF(0=LEN(ReferenceData!$AY$375),"",ReferenceData!$AY$375),"")</f>
        <v/>
      </c>
      <c r="AZ375" t="str">
        <f ca="1">IFERROR(IF(0=LEN(ReferenceData!$AZ$375),"",ReferenceData!$AZ$375),"")</f>
        <v/>
      </c>
      <c r="BA375" t="str">
        <f ca="1">IFERROR(IF(0=LEN(ReferenceData!$BA$375),"",ReferenceData!$BA$375),"")</f>
        <v/>
      </c>
      <c r="BB375" t="str">
        <f ca="1">IFERROR(IF(0=LEN(ReferenceData!$BB$375),"",ReferenceData!$BB$375),"")</f>
        <v/>
      </c>
      <c r="BC375" t="str">
        <f ca="1">IFERROR(IF(0=LEN(ReferenceData!$BC$375),"",ReferenceData!$BC$375),"")</f>
        <v/>
      </c>
      <c r="BD375" t="str">
        <f ca="1">IFERROR(IF(0=LEN(ReferenceData!$BD$375),"",ReferenceData!$BD$375),"")</f>
        <v/>
      </c>
      <c r="BE375" t="str">
        <f ca="1">IFERROR(IF(0=LEN(ReferenceData!$BE$375),"",ReferenceData!$BE$375),"")</f>
        <v/>
      </c>
      <c r="BF375" t="str">
        <f ca="1">IFERROR(IF(0=LEN(ReferenceData!$BF$375),"",ReferenceData!$BF$375),"")</f>
        <v/>
      </c>
      <c r="BG375" t="str">
        <f ca="1">IFERROR(IF(0=LEN(ReferenceData!$BG$375),"",ReferenceData!$BG$375),"")</f>
        <v/>
      </c>
      <c r="BH375" t="str">
        <f ca="1">IFERROR(IF(0=LEN(ReferenceData!$BH$375),"",ReferenceData!$BH$375),"")</f>
        <v/>
      </c>
      <c r="BI375" t="str">
        <f ca="1">IFERROR(IF(0=LEN(ReferenceData!$BI$375),"",ReferenceData!$BI$375),"")</f>
        <v/>
      </c>
      <c r="BJ375" t="str">
        <f ca="1">IFERROR(IF(0=LEN(ReferenceData!$BJ$375),"",ReferenceData!$BJ$375),"")</f>
        <v/>
      </c>
      <c r="BK375" t="str">
        <f ca="1">IFERROR(IF(0=LEN(ReferenceData!$BK$375),"",ReferenceData!$BK$375),"")</f>
        <v/>
      </c>
      <c r="BL375" t="str">
        <f ca="1">IFERROR(IF(0=LEN(ReferenceData!$BL$375),"",ReferenceData!$BL$375),"")</f>
        <v/>
      </c>
      <c r="BM375" t="str">
        <f ca="1">IFERROR(IF(0=LEN(ReferenceData!$BM$375),"",ReferenceData!$BM$375),"")</f>
        <v/>
      </c>
    </row>
    <row r="376" spans="1:65" x14ac:dyDescent="0.25">
      <c r="A376" t="str">
        <f>IFERROR(IF(0=LEN(ReferenceData!$A$376),"",ReferenceData!$A$376),"")</f>
        <v xml:space="preserve">    Avtovaz PJSC</v>
      </c>
      <c r="B376" t="str">
        <f>IFERROR(IF(0=LEN(ReferenceData!$B$376),"",ReferenceData!$B$376),"")</f>
        <v>AVAZ RM Equity</v>
      </c>
      <c r="C376" t="str">
        <f>IFERROR(IF(0=LEN(ReferenceData!$C$376),"",ReferenceData!$C$376),"")</f>
        <v>RR480</v>
      </c>
      <c r="D376" t="str">
        <f>IFERROR(IF(0=LEN(ReferenceData!$D$376),"",ReferenceData!$D$376),"")</f>
        <v>EV_TO_MKT_CAP</v>
      </c>
      <c r="E376" t="str">
        <f>IFERROR(IF(0=LEN(ReferenceData!$E$376),"",ReferenceData!$E$376),"")</f>
        <v>Dynamic</v>
      </c>
      <c r="F376" t="str">
        <f ca="1">IFERROR(IF(0=LEN(ReferenceData!$F$376),"",ReferenceData!$F$376),"")</f>
        <v/>
      </c>
      <c r="G376" t="str">
        <f ca="1">IFERROR(IF(0=LEN(ReferenceData!$G$376),"",ReferenceData!$G$376),"")</f>
        <v/>
      </c>
      <c r="H376">
        <f ca="1">IFERROR(IF(0=LEN(ReferenceData!$H$376),"",ReferenceData!$H$376),"")</f>
        <v>2.3194188590000002</v>
      </c>
      <c r="I376">
        <f ca="1">IFERROR(IF(0=LEN(ReferenceData!$I$376),"",ReferenceData!$I$376),"")</f>
        <v>1.6137796600000001</v>
      </c>
      <c r="J376">
        <f ca="1">IFERROR(IF(0=LEN(ReferenceData!$J$376),"",ReferenceData!$J$376),"")</f>
        <v>2.2199073930000002</v>
      </c>
      <c r="K376">
        <f ca="1">IFERROR(IF(0=LEN(ReferenceData!$K$376),"",ReferenceData!$K$376),"")</f>
        <v>2.9997720870000002</v>
      </c>
      <c r="L376">
        <f ca="1">IFERROR(IF(0=LEN(ReferenceData!$L$376),"",ReferenceData!$L$376),"")</f>
        <v>2.7333999370000002</v>
      </c>
      <c r="M376">
        <f ca="1">IFERROR(IF(0=LEN(ReferenceData!$M$376),"",ReferenceData!$M$376),"")</f>
        <v>3.156176002</v>
      </c>
      <c r="N376">
        <f ca="1">IFERROR(IF(0=LEN(ReferenceData!$N$376),"",ReferenceData!$N$376),"")</f>
        <v>3.1949597710000002</v>
      </c>
      <c r="O376">
        <f ca="1">IFERROR(IF(0=LEN(ReferenceData!$O$376),"",ReferenceData!$O$376),"")</f>
        <v>3.1100205999999999</v>
      </c>
      <c r="P376">
        <f ca="1">IFERROR(IF(0=LEN(ReferenceData!$P$376),"",ReferenceData!$P$376),"")</f>
        <v>6.3573612510000004</v>
      </c>
      <c r="Q376">
        <f ca="1">IFERROR(IF(0=LEN(ReferenceData!$Q$376),"",ReferenceData!$Q$376),"")</f>
        <v>9.0442858469999994</v>
      </c>
      <c r="R376">
        <f ca="1">IFERROR(IF(0=LEN(ReferenceData!$R$376),"",ReferenceData!$R$376),"")</f>
        <v>7.5582796200000004</v>
      </c>
      <c r="S376">
        <f ca="1">IFERROR(IF(0=LEN(ReferenceData!$S$376),"",ReferenceData!$S$376),"")</f>
        <v>6.7006726969999999</v>
      </c>
      <c r="T376">
        <f ca="1">IFERROR(IF(0=LEN(ReferenceData!$T$376),"",ReferenceData!$T$376),"")</f>
        <v>5.8751664080000001</v>
      </c>
      <c r="U376" t="str">
        <f ca="1">IFERROR(IF(0=LEN(ReferenceData!$U$376),"",ReferenceData!$U$376),"")</f>
        <v/>
      </c>
      <c r="V376" t="str">
        <f ca="1">IFERROR(IF(0=LEN(ReferenceData!$V$376),"",ReferenceData!$V$376),"")</f>
        <v/>
      </c>
      <c r="W376" t="str">
        <f ca="1">IFERROR(IF(0=LEN(ReferenceData!$W$376),"",ReferenceData!$W$376),"")</f>
        <v/>
      </c>
      <c r="X376" t="str">
        <f ca="1">IFERROR(IF(0=LEN(ReferenceData!$X$376),"",ReferenceData!$X$376),"")</f>
        <v/>
      </c>
      <c r="Y376" t="str">
        <f ca="1">IFERROR(IF(0=LEN(ReferenceData!$Y$376),"",ReferenceData!$Y$376),"")</f>
        <v/>
      </c>
      <c r="Z376" t="str">
        <f ca="1">IFERROR(IF(0=LEN(ReferenceData!$Z$376),"",ReferenceData!$Z$376),"")</f>
        <v/>
      </c>
      <c r="AA376" t="str">
        <f ca="1">IFERROR(IF(0=LEN(ReferenceData!$AA$376),"",ReferenceData!$AA$376),"")</f>
        <v/>
      </c>
      <c r="AB376" t="str">
        <f ca="1">IFERROR(IF(0=LEN(ReferenceData!$AB$376),"",ReferenceData!$AB$376),"")</f>
        <v/>
      </c>
      <c r="AC376" t="str">
        <f ca="1">IFERROR(IF(0=LEN(ReferenceData!$AC$376),"",ReferenceData!$AC$376),"")</f>
        <v/>
      </c>
      <c r="AD376" t="str">
        <f ca="1">IFERROR(IF(0=LEN(ReferenceData!$AD$376),"",ReferenceData!$AD$376),"")</f>
        <v/>
      </c>
      <c r="AE376" t="str">
        <f ca="1">IFERROR(IF(0=LEN(ReferenceData!$AE$376),"",ReferenceData!$AE$376),"")</f>
        <v/>
      </c>
      <c r="AF376" t="str">
        <f ca="1">IFERROR(IF(0=LEN(ReferenceData!$AF$376),"",ReferenceData!$AF$376),"")</f>
        <v/>
      </c>
      <c r="AG376" t="str">
        <f ca="1">IFERROR(IF(0=LEN(ReferenceData!$AG$376),"",ReferenceData!$AG$376),"")</f>
        <v/>
      </c>
      <c r="AH376" t="str">
        <f ca="1">IFERROR(IF(0=LEN(ReferenceData!$AH$376),"",ReferenceData!$AH$376),"")</f>
        <v/>
      </c>
      <c r="AI376" t="str">
        <f ca="1">IFERROR(IF(0=LEN(ReferenceData!$AI$376),"",ReferenceData!$AI$376),"")</f>
        <v/>
      </c>
      <c r="AJ376" t="str">
        <f ca="1">IFERROR(IF(0=LEN(ReferenceData!$AJ$376),"",ReferenceData!$AJ$376),"")</f>
        <v/>
      </c>
      <c r="AK376" t="str">
        <f ca="1">IFERROR(IF(0=LEN(ReferenceData!$AK$376),"",ReferenceData!$AK$376),"")</f>
        <v/>
      </c>
      <c r="AL376" t="str">
        <f ca="1">IFERROR(IF(0=LEN(ReferenceData!$AL$376),"",ReferenceData!$AL$376),"")</f>
        <v/>
      </c>
      <c r="AM376" t="str">
        <f ca="1">IFERROR(IF(0=LEN(ReferenceData!$AM$376),"",ReferenceData!$AM$376),"")</f>
        <v/>
      </c>
      <c r="AN376" t="str">
        <f ca="1">IFERROR(IF(0=LEN(ReferenceData!$AN$376),"",ReferenceData!$AN$376),"")</f>
        <v/>
      </c>
      <c r="AO376" t="str">
        <f ca="1">IFERROR(IF(0=LEN(ReferenceData!$AO$376),"",ReferenceData!$AO$376),"")</f>
        <v/>
      </c>
      <c r="AP376" t="str">
        <f ca="1">IFERROR(IF(0=LEN(ReferenceData!$AP$376),"",ReferenceData!$AP$376),"")</f>
        <v/>
      </c>
      <c r="AQ376" t="str">
        <f ca="1">IFERROR(IF(0=LEN(ReferenceData!$AQ$376),"",ReferenceData!$AQ$376),"")</f>
        <v/>
      </c>
      <c r="AR376" t="str">
        <f ca="1">IFERROR(IF(0=LEN(ReferenceData!$AR$376),"",ReferenceData!$AR$376),"")</f>
        <v/>
      </c>
      <c r="AS376" t="str">
        <f ca="1">IFERROR(IF(0=LEN(ReferenceData!$AS$376),"",ReferenceData!$AS$376),"")</f>
        <v/>
      </c>
      <c r="AT376" t="str">
        <f ca="1">IFERROR(IF(0=LEN(ReferenceData!$AT$376),"",ReferenceData!$AT$376),"")</f>
        <v/>
      </c>
      <c r="AU376" t="str">
        <f ca="1">IFERROR(IF(0=LEN(ReferenceData!$AU$376),"",ReferenceData!$AU$376),"")</f>
        <v/>
      </c>
      <c r="AV376" t="str">
        <f ca="1">IFERROR(IF(0=LEN(ReferenceData!$AV$376),"",ReferenceData!$AV$376),"")</f>
        <v/>
      </c>
      <c r="AW376" t="str">
        <f ca="1">IFERROR(IF(0=LEN(ReferenceData!$AW$376),"",ReferenceData!$AW$376),"")</f>
        <v/>
      </c>
      <c r="AX376" t="str">
        <f ca="1">IFERROR(IF(0=LEN(ReferenceData!$AX$376),"",ReferenceData!$AX$376),"")</f>
        <v/>
      </c>
      <c r="AY376" t="str">
        <f ca="1">IFERROR(IF(0=LEN(ReferenceData!$AY$376),"",ReferenceData!$AY$376),"")</f>
        <v/>
      </c>
      <c r="AZ376" t="str">
        <f ca="1">IFERROR(IF(0=LEN(ReferenceData!$AZ$376),"",ReferenceData!$AZ$376),"")</f>
        <v/>
      </c>
      <c r="BA376" t="str">
        <f ca="1">IFERROR(IF(0=LEN(ReferenceData!$BA$376),"",ReferenceData!$BA$376),"")</f>
        <v/>
      </c>
      <c r="BB376" t="str">
        <f ca="1">IFERROR(IF(0=LEN(ReferenceData!$BB$376),"",ReferenceData!$BB$376),"")</f>
        <v/>
      </c>
      <c r="BC376" t="str">
        <f ca="1">IFERROR(IF(0=LEN(ReferenceData!$BC$376),"",ReferenceData!$BC$376),"")</f>
        <v/>
      </c>
      <c r="BD376" t="str">
        <f ca="1">IFERROR(IF(0=LEN(ReferenceData!$BD$376),"",ReferenceData!$BD$376),"")</f>
        <v/>
      </c>
      <c r="BE376" t="str">
        <f ca="1">IFERROR(IF(0=LEN(ReferenceData!$BE$376),"",ReferenceData!$BE$376),"")</f>
        <v/>
      </c>
      <c r="BF376" t="str">
        <f ca="1">IFERROR(IF(0=LEN(ReferenceData!$BF$376),"",ReferenceData!$BF$376),"")</f>
        <v/>
      </c>
      <c r="BG376" t="str">
        <f ca="1">IFERROR(IF(0=LEN(ReferenceData!$BG$376),"",ReferenceData!$BG$376),"")</f>
        <v/>
      </c>
      <c r="BH376" t="str">
        <f ca="1">IFERROR(IF(0=LEN(ReferenceData!$BH$376),"",ReferenceData!$BH$376),"")</f>
        <v/>
      </c>
      <c r="BI376" t="str">
        <f ca="1">IFERROR(IF(0=LEN(ReferenceData!$BI$376),"",ReferenceData!$BI$376),"")</f>
        <v/>
      </c>
      <c r="BJ376" t="str">
        <f ca="1">IFERROR(IF(0=LEN(ReferenceData!$BJ$376),"",ReferenceData!$BJ$376),"")</f>
        <v/>
      </c>
      <c r="BK376" t="str">
        <f ca="1">IFERROR(IF(0=LEN(ReferenceData!$BK$376),"",ReferenceData!$BK$376),"")</f>
        <v/>
      </c>
      <c r="BL376" t="str">
        <f ca="1">IFERROR(IF(0=LEN(ReferenceData!$BL$376),"",ReferenceData!$BL$376),"")</f>
        <v/>
      </c>
      <c r="BM376" t="str">
        <f ca="1">IFERROR(IF(0=LEN(ReferenceData!$BM$376),"",ReferenceData!$BM$376),"")</f>
        <v/>
      </c>
    </row>
    <row r="377" spans="1:65" x14ac:dyDescent="0.25">
      <c r="A377" t="str">
        <f>IFERROR(IF(0=LEN(ReferenceData!$A$377),"",ReferenceData!$A$377),"")</f>
        <v xml:space="preserve">    Bayerische Motoren Werke AG</v>
      </c>
      <c r="B377" t="str">
        <f>IFERROR(IF(0=LEN(ReferenceData!$B$377),"",ReferenceData!$B$377),"")</f>
        <v>BMW GR Equity</v>
      </c>
      <c r="C377" t="str">
        <f>IFERROR(IF(0=LEN(ReferenceData!$C$377),"",ReferenceData!$C$377),"")</f>
        <v>RR480</v>
      </c>
      <c r="D377" t="str">
        <f>IFERROR(IF(0=LEN(ReferenceData!$D$377),"",ReferenceData!$D$377),"")</f>
        <v>EV_TO_MKT_CAP</v>
      </c>
      <c r="E377" t="str">
        <f>IFERROR(IF(0=LEN(ReferenceData!$E$377),"",ReferenceData!$E$377),"")</f>
        <v>Dynamic</v>
      </c>
      <c r="F377" t="str">
        <f ca="1">IFERROR(IF(0=LEN(ReferenceData!$F$377),"",ReferenceData!$F$377),"")</f>
        <v/>
      </c>
      <c r="G377" t="str">
        <f ca="1">IFERROR(IF(0=LEN(ReferenceData!$G$377),"",ReferenceData!$G$377),"")</f>
        <v/>
      </c>
      <c r="H377">
        <f ca="1">IFERROR(IF(0=LEN(ReferenceData!$H$377),"",ReferenceData!$H$377),"")</f>
        <v>1.8609795140000001</v>
      </c>
      <c r="I377">
        <f ca="1">IFERROR(IF(0=LEN(ReferenceData!$I$377),"",ReferenceData!$I$377),"")</f>
        <v>1.819246688</v>
      </c>
      <c r="J377">
        <f ca="1">IFERROR(IF(0=LEN(ReferenceData!$J$377),"",ReferenceData!$J$377),"")</f>
        <v>1.680212536</v>
      </c>
      <c r="K377">
        <f ca="1">IFERROR(IF(0=LEN(ReferenceData!$K$377),"",ReferenceData!$K$377),"")</f>
        <v>1.6794284909999999</v>
      </c>
      <c r="L377">
        <f ca="1">IFERROR(IF(0=LEN(ReferenceData!$L$377),"",ReferenceData!$L$377),"")</f>
        <v>1.7214002399999999</v>
      </c>
      <c r="M377">
        <f ca="1">IFERROR(IF(0=LEN(ReferenceData!$M$377),"",ReferenceData!$M$377),"")</f>
        <v>1.78059751</v>
      </c>
      <c r="N377">
        <f ca="1">IFERROR(IF(0=LEN(ReferenceData!$N$377),"",ReferenceData!$N$377),"")</f>
        <v>1.7502213879999999</v>
      </c>
      <c r="O377">
        <f ca="1">IFERROR(IF(0=LEN(ReferenceData!$O$377),"",ReferenceData!$O$377),"")</f>
        <v>1.671725361</v>
      </c>
      <c r="P377">
        <f ca="1">IFERROR(IF(0=LEN(ReferenceData!$P$377),"",ReferenceData!$P$377),"")</f>
        <v>1.8397400850000001</v>
      </c>
      <c r="Q377">
        <f ca="1">IFERROR(IF(0=LEN(ReferenceData!$Q$377),"",ReferenceData!$Q$377),"")</f>
        <v>1.981845643</v>
      </c>
      <c r="R377">
        <f ca="1">IFERROR(IF(0=LEN(ReferenceData!$R$377),"",ReferenceData!$R$377),"")</f>
        <v>1.779681541</v>
      </c>
      <c r="S377">
        <f ca="1">IFERROR(IF(0=LEN(ReferenceData!$S$377),"",ReferenceData!$S$377),"")</f>
        <v>1.5965800569999999</v>
      </c>
      <c r="T377">
        <f ca="1">IFERROR(IF(0=LEN(ReferenceData!$T$377),"",ReferenceData!$T$377),"")</f>
        <v>1.8114319729999999</v>
      </c>
      <c r="U377">
        <f ca="1">IFERROR(IF(0=LEN(ReferenceData!$U$377),"",ReferenceData!$U$377),"")</f>
        <v>1.660588773</v>
      </c>
      <c r="V377">
        <f ca="1">IFERROR(IF(0=LEN(ReferenceData!$V$377),"",ReferenceData!$V$377),"")</f>
        <v>1.5588166999999999</v>
      </c>
      <c r="W377">
        <f ca="1">IFERROR(IF(0=LEN(ReferenceData!$W$377),"",ReferenceData!$W$377),"")</f>
        <v>1.6245680220000001</v>
      </c>
      <c r="X377">
        <f ca="1">IFERROR(IF(0=LEN(ReferenceData!$X$377),"",ReferenceData!$X$377),"")</f>
        <v>1.594245806</v>
      </c>
      <c r="Y377">
        <f ca="1">IFERROR(IF(0=LEN(ReferenceData!$Y$377),"",ReferenceData!$Y$377),"")</f>
        <v>1.519498292</v>
      </c>
      <c r="Z377">
        <f ca="1">IFERROR(IF(0=LEN(ReferenceData!$Z$377),"",ReferenceData!$Z$377),"")</f>
        <v>1.4719126810000001</v>
      </c>
      <c r="AA377">
        <f ca="1">IFERROR(IF(0=LEN(ReferenceData!$AA$377),"",ReferenceData!$AA$377),"")</f>
        <v>1.5111213859999999</v>
      </c>
      <c r="AB377">
        <f ca="1">IFERROR(IF(0=LEN(ReferenceData!$AB$377),"",ReferenceData!$AB$377),"")</f>
        <v>1.5206009680000001</v>
      </c>
      <c r="AC377">
        <f ca="1">IFERROR(IF(0=LEN(ReferenceData!$AC$377),"",ReferenceData!$AC$377),"")</f>
        <v>1.61581256</v>
      </c>
      <c r="AD377">
        <f ca="1">IFERROR(IF(0=LEN(ReferenceData!$AD$377),"",ReferenceData!$AD$377),"")</f>
        <v>1.625890421</v>
      </c>
      <c r="AE377">
        <f ca="1">IFERROR(IF(0=LEN(ReferenceData!$AE$377),"",ReferenceData!$AE$377),"")</f>
        <v>1.5693406219999999</v>
      </c>
      <c r="AF377">
        <f ca="1">IFERROR(IF(0=LEN(ReferenceData!$AF$377),"",ReferenceData!$AF$377),"")</f>
        <v>1.765461833</v>
      </c>
      <c r="AG377">
        <f ca="1">IFERROR(IF(0=LEN(ReferenceData!$AG$377),"",ReferenceData!$AG$377),"")</f>
        <v>1.7902458050000001</v>
      </c>
      <c r="AH377">
        <f ca="1">IFERROR(IF(0=LEN(ReferenceData!$AH$377),"",ReferenceData!$AH$377),"")</f>
        <v>1.6212699150000001</v>
      </c>
      <c r="AI377">
        <f ca="1">IFERROR(IF(0=LEN(ReferenceData!$AI$377),"",ReferenceData!$AI$377),"")</f>
        <v>1.8693531430000001</v>
      </c>
      <c r="AJ377">
        <f ca="1">IFERROR(IF(0=LEN(ReferenceData!$AJ$377),"",ReferenceData!$AJ$377),"")</f>
        <v>1.8733812649999999</v>
      </c>
      <c r="AK377">
        <f ca="1">IFERROR(IF(0=LEN(ReferenceData!$AK$377),"",ReferenceData!$AK$377),"")</f>
        <v>1.545482829</v>
      </c>
      <c r="AL377">
        <f ca="1">IFERROR(IF(0=LEN(ReferenceData!$AL$377),"",ReferenceData!$AL$377),"")</f>
        <v>1.651798842</v>
      </c>
      <c r="AM377">
        <f ca="1">IFERROR(IF(0=LEN(ReferenceData!$AM$377),"",ReferenceData!$AM$377),"")</f>
        <v>1.715217861</v>
      </c>
      <c r="AN377">
        <f ca="1">IFERROR(IF(0=LEN(ReferenceData!$AN$377),"",ReferenceData!$AN$377),"")</f>
        <v>1.769130415</v>
      </c>
      <c r="AO377">
        <f ca="1">IFERROR(IF(0=LEN(ReferenceData!$AO$377),"",ReferenceData!$AO$377),"")</f>
        <v>2.1080862319999998</v>
      </c>
      <c r="AP377">
        <f ca="1">IFERROR(IF(0=LEN(ReferenceData!$AP$377),"",ReferenceData!$AP$377),"")</f>
        <v>2.2472240619999999</v>
      </c>
      <c r="AQ377">
        <f ca="1">IFERROR(IF(0=LEN(ReferenceData!$AQ$377),"",ReferenceData!$AQ$377),"")</f>
        <v>2.4523391330000002</v>
      </c>
      <c r="AR377">
        <f ca="1">IFERROR(IF(0=LEN(ReferenceData!$AR$377),"",ReferenceData!$AR$377),"")</f>
        <v>2.2919724330000002</v>
      </c>
      <c r="AS377">
        <f ca="1">IFERROR(IF(0=LEN(ReferenceData!$AS$377),"",ReferenceData!$AS$377),"")</f>
        <v>2.504542356</v>
      </c>
      <c r="AT377">
        <f ca="1">IFERROR(IF(0=LEN(ReferenceData!$AT$377),"",ReferenceData!$AT$377),"")</f>
        <v>3.059548699</v>
      </c>
      <c r="AU377">
        <f ca="1">IFERROR(IF(0=LEN(ReferenceData!$AU$377),"",ReferenceData!$AU$377),"")</f>
        <v>4.4961448409999996</v>
      </c>
      <c r="AV377">
        <f ca="1">IFERROR(IF(0=LEN(ReferenceData!$AV$377),"",ReferenceData!$AV$377),"")</f>
        <v>3.5855654079999999</v>
      </c>
      <c r="AW377">
        <f ca="1">IFERROR(IF(0=LEN(ReferenceData!$AW$377),"",ReferenceData!$AW$377),"")</f>
        <v>2.9935136039999999</v>
      </c>
      <c r="AX377">
        <f ca="1">IFERROR(IF(0=LEN(ReferenceData!$AX$377),"",ReferenceData!$AX$377),"")</f>
        <v>2.624699686</v>
      </c>
      <c r="AY377">
        <f ca="1">IFERROR(IF(0=LEN(ReferenceData!$AY$377),"",ReferenceData!$AY$377),"")</f>
        <v>2.356744038</v>
      </c>
      <c r="AZ377">
        <f ca="1">IFERROR(IF(0=LEN(ReferenceData!$AZ$377),"",ReferenceData!$AZ$377),"")</f>
        <v>2.2358609079999998</v>
      </c>
      <c r="BA377">
        <f ca="1">IFERROR(IF(0=LEN(ReferenceData!$BA$377),"",ReferenceData!$BA$377),"")</f>
        <v>2.1630922730000002</v>
      </c>
      <c r="BB377">
        <f ca="1">IFERROR(IF(0=LEN(ReferenceData!$BB$377),"",ReferenceData!$BB$377),"")</f>
        <v>2.14809516</v>
      </c>
      <c r="BC377">
        <f ca="1">IFERROR(IF(0=LEN(ReferenceData!$BC$377),"",ReferenceData!$BC$377),"")</f>
        <v>2.085580132</v>
      </c>
      <c r="BD377">
        <f ca="1">IFERROR(IF(0=LEN(ReferenceData!$BD$377),"",ReferenceData!$BD$377),"")</f>
        <v>2.1041449160000001</v>
      </c>
      <c r="BE377">
        <f ca="1">IFERROR(IF(0=LEN(ReferenceData!$BE$377),"",ReferenceData!$BE$377),"")</f>
        <v>2.1204042649999999</v>
      </c>
      <c r="BF377">
        <f ca="1">IFERROR(IF(0=LEN(ReferenceData!$BF$377),"",ReferenceData!$BF$377),"")</f>
        <v>1.962933091</v>
      </c>
      <c r="BG377">
        <f ca="1">IFERROR(IF(0=LEN(ReferenceData!$BG$377),"",ReferenceData!$BG$377),"")</f>
        <v>2.2282530710000001</v>
      </c>
      <c r="BH377">
        <f ca="1">IFERROR(IF(0=LEN(ReferenceData!$BH$377),"",ReferenceData!$BH$377),"")</f>
        <v>2.0885802779999998</v>
      </c>
      <c r="BI377">
        <f ca="1">IFERROR(IF(0=LEN(ReferenceData!$BI$377),"",ReferenceData!$BI$377),"")</f>
        <v>2.1133990059999999</v>
      </c>
      <c r="BJ377">
        <f ca="1">IFERROR(IF(0=LEN(ReferenceData!$BJ$377),"",ReferenceData!$BJ$377),"")</f>
        <v>2.1834023259999999</v>
      </c>
      <c r="BK377">
        <f ca="1">IFERROR(IF(0=LEN(ReferenceData!$BK$377),"",ReferenceData!$BK$377),"")</f>
        <v>2.1063011500000002</v>
      </c>
      <c r="BL377">
        <f ca="1">IFERROR(IF(0=LEN(ReferenceData!$BL$377),"",ReferenceData!$BL$377),"")</f>
        <v>2.1340517339999998</v>
      </c>
      <c r="BM377">
        <f ca="1">IFERROR(IF(0=LEN(ReferenceData!$BM$377),"",ReferenceData!$BM$377),"")</f>
        <v>2.0174782570000001</v>
      </c>
    </row>
    <row r="378" spans="1:65" x14ac:dyDescent="0.25">
      <c r="A378" t="str">
        <f>IFERROR(IF(0=LEN(ReferenceData!$A$378),"",ReferenceData!$A$378),"")</f>
        <v xml:space="preserve">    Brilliance China Automotive Holdings Ltd</v>
      </c>
      <c r="B378" t="str">
        <f>IFERROR(IF(0=LEN(ReferenceData!$B$378),"",ReferenceData!$B$378),"")</f>
        <v>1114 HK Equity</v>
      </c>
      <c r="C378" t="str">
        <f>IFERROR(IF(0=LEN(ReferenceData!$C$378),"",ReferenceData!$C$378),"")</f>
        <v>RR480</v>
      </c>
      <c r="D378" t="str">
        <f>IFERROR(IF(0=LEN(ReferenceData!$D$378),"",ReferenceData!$D$378),"")</f>
        <v>EV_TO_MKT_CAP</v>
      </c>
      <c r="E378" t="str">
        <f>IFERROR(IF(0=LEN(ReferenceData!$E$378),"",ReferenceData!$E$378),"")</f>
        <v>Dynamic</v>
      </c>
      <c r="F378" t="str">
        <f ca="1">IFERROR(IF(0=LEN(ReferenceData!$F$378),"",ReferenceData!$F$378),"")</f>
        <v/>
      </c>
      <c r="G378" t="str">
        <f ca="1">IFERROR(IF(0=LEN(ReferenceData!$G$378),"",ReferenceData!$G$378),"")</f>
        <v/>
      </c>
      <c r="H378" t="str">
        <f ca="1">IFERROR(IF(0=LEN(ReferenceData!$H$378),"",ReferenceData!$H$378),"")</f>
        <v/>
      </c>
      <c r="I378" t="str">
        <f ca="1">IFERROR(IF(0=LEN(ReferenceData!$I$378),"",ReferenceData!$I$378),"")</f>
        <v/>
      </c>
      <c r="J378" t="str">
        <f ca="1">IFERROR(IF(0=LEN(ReferenceData!$J$378),"",ReferenceData!$J$378),"")</f>
        <v/>
      </c>
      <c r="K378" t="str">
        <f ca="1">IFERROR(IF(0=LEN(ReferenceData!$K$378),"",ReferenceData!$K$378),"")</f>
        <v/>
      </c>
      <c r="L378" t="str">
        <f ca="1">IFERROR(IF(0=LEN(ReferenceData!$L$378),"",ReferenceData!$L$378),"")</f>
        <v/>
      </c>
      <c r="M378" t="str">
        <f ca="1">IFERROR(IF(0=LEN(ReferenceData!$M$378),"",ReferenceData!$M$378),"")</f>
        <v/>
      </c>
      <c r="N378" t="str">
        <f ca="1">IFERROR(IF(0=LEN(ReferenceData!$N$378),"",ReferenceData!$N$378),"")</f>
        <v/>
      </c>
      <c r="O378" t="str">
        <f ca="1">IFERROR(IF(0=LEN(ReferenceData!$O$378),"",ReferenceData!$O$378),"")</f>
        <v/>
      </c>
      <c r="P378" t="str">
        <f ca="1">IFERROR(IF(0=LEN(ReferenceData!$P$378),"",ReferenceData!$P$378),"")</f>
        <v/>
      </c>
      <c r="Q378" t="str">
        <f ca="1">IFERROR(IF(0=LEN(ReferenceData!$Q$378),"",ReferenceData!$Q$378),"")</f>
        <v/>
      </c>
      <c r="R378" t="str">
        <f ca="1">IFERROR(IF(0=LEN(ReferenceData!$R$378),"",ReferenceData!$R$378),"")</f>
        <v/>
      </c>
      <c r="S378" t="str">
        <f ca="1">IFERROR(IF(0=LEN(ReferenceData!$S$378),"",ReferenceData!$S$378),"")</f>
        <v/>
      </c>
      <c r="T378" t="str">
        <f ca="1">IFERROR(IF(0=LEN(ReferenceData!$T$378),"",ReferenceData!$T$378),"")</f>
        <v/>
      </c>
      <c r="U378" t="str">
        <f ca="1">IFERROR(IF(0=LEN(ReferenceData!$U$378),"",ReferenceData!$U$378),"")</f>
        <v/>
      </c>
      <c r="V378" t="str">
        <f ca="1">IFERROR(IF(0=LEN(ReferenceData!$V$378),"",ReferenceData!$V$378),"")</f>
        <v/>
      </c>
      <c r="W378" t="str">
        <f ca="1">IFERROR(IF(0=LEN(ReferenceData!$W$378),"",ReferenceData!$W$378),"")</f>
        <v/>
      </c>
      <c r="X378" t="str">
        <f ca="1">IFERROR(IF(0=LEN(ReferenceData!$X$378),"",ReferenceData!$X$378),"")</f>
        <v/>
      </c>
      <c r="Y378" t="str">
        <f ca="1">IFERROR(IF(0=LEN(ReferenceData!$Y$378),"",ReferenceData!$Y$378),"")</f>
        <v/>
      </c>
      <c r="Z378" t="str">
        <f ca="1">IFERROR(IF(0=LEN(ReferenceData!$Z$378),"",ReferenceData!$Z$378),"")</f>
        <v/>
      </c>
      <c r="AA378" t="str">
        <f ca="1">IFERROR(IF(0=LEN(ReferenceData!$AA$378),"",ReferenceData!$AA$378),"")</f>
        <v/>
      </c>
      <c r="AB378" t="str">
        <f ca="1">IFERROR(IF(0=LEN(ReferenceData!$AB$378),"",ReferenceData!$AB$378),"")</f>
        <v/>
      </c>
      <c r="AC378" t="str">
        <f ca="1">IFERROR(IF(0=LEN(ReferenceData!$AC$378),"",ReferenceData!$AC$378),"")</f>
        <v/>
      </c>
      <c r="AD378" t="str">
        <f ca="1">IFERROR(IF(0=LEN(ReferenceData!$AD$378),"",ReferenceData!$AD$378),"")</f>
        <v/>
      </c>
      <c r="AE378" t="str">
        <f ca="1">IFERROR(IF(0=LEN(ReferenceData!$AE$378),"",ReferenceData!$AE$378),"")</f>
        <v/>
      </c>
      <c r="AF378" t="str">
        <f ca="1">IFERROR(IF(0=LEN(ReferenceData!$AF$378),"",ReferenceData!$AF$378),"")</f>
        <v/>
      </c>
      <c r="AG378" t="str">
        <f ca="1">IFERROR(IF(0=LEN(ReferenceData!$AG$378),"",ReferenceData!$AG$378),"")</f>
        <v/>
      </c>
      <c r="AH378" t="str">
        <f ca="1">IFERROR(IF(0=LEN(ReferenceData!$AH$378),"",ReferenceData!$AH$378),"")</f>
        <v/>
      </c>
      <c r="AI378" t="str">
        <f ca="1">IFERROR(IF(0=LEN(ReferenceData!$AI$378),"",ReferenceData!$AI$378),"")</f>
        <v/>
      </c>
      <c r="AJ378" t="str">
        <f ca="1">IFERROR(IF(0=LEN(ReferenceData!$AJ$378),"",ReferenceData!$AJ$378),"")</f>
        <v/>
      </c>
      <c r="AK378" t="str">
        <f ca="1">IFERROR(IF(0=LEN(ReferenceData!$AK$378),"",ReferenceData!$AK$378),"")</f>
        <v/>
      </c>
      <c r="AL378" t="str">
        <f ca="1">IFERROR(IF(0=LEN(ReferenceData!$AL$378),"",ReferenceData!$AL$378),"")</f>
        <v/>
      </c>
      <c r="AM378" t="str">
        <f ca="1">IFERROR(IF(0=LEN(ReferenceData!$AM$378),"",ReferenceData!$AM$378),"")</f>
        <v/>
      </c>
      <c r="AN378" t="str">
        <f ca="1">IFERROR(IF(0=LEN(ReferenceData!$AN$378),"",ReferenceData!$AN$378),"")</f>
        <v/>
      </c>
      <c r="AO378" t="str">
        <f ca="1">IFERROR(IF(0=LEN(ReferenceData!$AO$378),"",ReferenceData!$AO$378),"")</f>
        <v/>
      </c>
      <c r="AP378" t="str">
        <f ca="1">IFERROR(IF(0=LEN(ReferenceData!$AP$378),"",ReferenceData!$AP$378),"")</f>
        <v/>
      </c>
      <c r="AQ378" t="str">
        <f ca="1">IFERROR(IF(0=LEN(ReferenceData!$AQ$378),"",ReferenceData!$AQ$378),"")</f>
        <v/>
      </c>
      <c r="AR378" t="str">
        <f ca="1">IFERROR(IF(0=LEN(ReferenceData!$AR$378),"",ReferenceData!$AR$378),"")</f>
        <v/>
      </c>
      <c r="AS378" t="str">
        <f ca="1">IFERROR(IF(0=LEN(ReferenceData!$AS$378),"",ReferenceData!$AS$378),"")</f>
        <v/>
      </c>
      <c r="AT378" t="str">
        <f ca="1">IFERROR(IF(0=LEN(ReferenceData!$AT$378),"",ReferenceData!$AT$378),"")</f>
        <v/>
      </c>
      <c r="AU378" t="str">
        <f ca="1">IFERROR(IF(0=LEN(ReferenceData!$AU$378),"",ReferenceData!$AU$378),"")</f>
        <v/>
      </c>
      <c r="AV378" t="str">
        <f ca="1">IFERROR(IF(0=LEN(ReferenceData!$AV$378),"",ReferenceData!$AV$378),"")</f>
        <v/>
      </c>
      <c r="AW378" t="str">
        <f ca="1">IFERROR(IF(0=LEN(ReferenceData!$AW$378),"",ReferenceData!$AW$378),"")</f>
        <v/>
      </c>
      <c r="AX378" t="str">
        <f ca="1">IFERROR(IF(0=LEN(ReferenceData!$AX$378),"",ReferenceData!$AX$378),"")</f>
        <v/>
      </c>
      <c r="AY378" t="str">
        <f ca="1">IFERROR(IF(0=LEN(ReferenceData!$AY$378),"",ReferenceData!$AY$378),"")</f>
        <v/>
      </c>
      <c r="AZ378" t="str">
        <f ca="1">IFERROR(IF(0=LEN(ReferenceData!$AZ$378),"",ReferenceData!$AZ$378),"")</f>
        <v/>
      </c>
      <c r="BA378" t="str">
        <f ca="1">IFERROR(IF(0=LEN(ReferenceData!$BA$378),"",ReferenceData!$BA$378),"")</f>
        <v/>
      </c>
      <c r="BB378" t="str">
        <f ca="1">IFERROR(IF(0=LEN(ReferenceData!$BB$378),"",ReferenceData!$BB$378),"")</f>
        <v/>
      </c>
      <c r="BC378" t="str">
        <f ca="1">IFERROR(IF(0=LEN(ReferenceData!$BC$378),"",ReferenceData!$BC$378),"")</f>
        <v/>
      </c>
      <c r="BD378" t="str">
        <f ca="1">IFERROR(IF(0=LEN(ReferenceData!$BD$378),"",ReferenceData!$BD$378),"")</f>
        <v/>
      </c>
      <c r="BE378" t="str">
        <f ca="1">IFERROR(IF(0=LEN(ReferenceData!$BE$378),"",ReferenceData!$BE$378),"")</f>
        <v/>
      </c>
      <c r="BF378" t="str">
        <f ca="1">IFERROR(IF(0=LEN(ReferenceData!$BF$378),"",ReferenceData!$BF$378),"")</f>
        <v/>
      </c>
      <c r="BG378" t="str">
        <f ca="1">IFERROR(IF(0=LEN(ReferenceData!$BG$378),"",ReferenceData!$BG$378),"")</f>
        <v/>
      </c>
      <c r="BH378" t="str">
        <f ca="1">IFERROR(IF(0=LEN(ReferenceData!$BH$378),"",ReferenceData!$BH$378),"")</f>
        <v/>
      </c>
      <c r="BI378" t="str">
        <f ca="1">IFERROR(IF(0=LEN(ReferenceData!$BI$378),"",ReferenceData!$BI$378),"")</f>
        <v/>
      </c>
      <c r="BJ378" t="str">
        <f ca="1">IFERROR(IF(0=LEN(ReferenceData!$BJ$378),"",ReferenceData!$BJ$378),"")</f>
        <v/>
      </c>
      <c r="BK378" t="str">
        <f ca="1">IFERROR(IF(0=LEN(ReferenceData!$BK$378),"",ReferenceData!$BK$378),"")</f>
        <v/>
      </c>
      <c r="BL378" t="str">
        <f ca="1">IFERROR(IF(0=LEN(ReferenceData!$BL$378),"",ReferenceData!$BL$378),"")</f>
        <v/>
      </c>
      <c r="BM378" t="str">
        <f ca="1">IFERROR(IF(0=LEN(ReferenceData!$BM$378),"",ReferenceData!$BM$378),"")</f>
        <v/>
      </c>
    </row>
    <row r="379" spans="1:65" x14ac:dyDescent="0.25">
      <c r="A379" t="str">
        <f>IFERROR(IF(0=LEN(ReferenceData!$A$379),"",ReferenceData!$A$379),"")</f>
        <v xml:space="preserve">    BYD Co Ltd</v>
      </c>
      <c r="B379" t="str">
        <f>IFERROR(IF(0=LEN(ReferenceData!$B$379),"",ReferenceData!$B$379),"")</f>
        <v>1211 HK Equity</v>
      </c>
      <c r="C379" t="str">
        <f>IFERROR(IF(0=LEN(ReferenceData!$C$379),"",ReferenceData!$C$379),"")</f>
        <v>RR480</v>
      </c>
      <c r="D379" t="str">
        <f>IFERROR(IF(0=LEN(ReferenceData!$D$379),"",ReferenceData!$D$379),"")</f>
        <v>EV_TO_MKT_CAP</v>
      </c>
      <c r="E379" t="str">
        <f>IFERROR(IF(0=LEN(ReferenceData!$E$379),"",ReferenceData!$E$379),"")</f>
        <v>Dynamic</v>
      </c>
      <c r="F379" t="str">
        <f ca="1">IFERROR(IF(0=LEN(ReferenceData!$F$379),"",ReferenceData!$F$379),"")</f>
        <v/>
      </c>
      <c r="G379" t="str">
        <f ca="1">IFERROR(IF(0=LEN(ReferenceData!$G$379),"",ReferenceData!$G$379),"")</f>
        <v/>
      </c>
      <c r="H379">
        <f ca="1">IFERROR(IF(0=LEN(ReferenceData!$H$379),"",ReferenceData!$H$379),"")</f>
        <v>1.419487196</v>
      </c>
      <c r="I379">
        <f ca="1">IFERROR(IF(0=LEN(ReferenceData!$I$379),"",ReferenceData!$I$379),"")</f>
        <v>1.7124859990000001</v>
      </c>
      <c r="J379">
        <f ca="1">IFERROR(IF(0=LEN(ReferenceData!$J$379),"",ReferenceData!$J$379),"")</f>
        <v>1.528061348</v>
      </c>
      <c r="K379">
        <f ca="1">IFERROR(IF(0=LEN(ReferenceData!$K$379),"",ReferenceData!$K$379),"")</f>
        <v>1.432024575</v>
      </c>
      <c r="L379">
        <f ca="1">IFERROR(IF(0=LEN(ReferenceData!$L$379),"",ReferenceData!$L$379),"")</f>
        <v>1.394088752</v>
      </c>
      <c r="M379">
        <f ca="1">IFERROR(IF(0=LEN(ReferenceData!$M$379),"",ReferenceData!$M$379),"")</f>
        <v>1.531880704</v>
      </c>
      <c r="N379">
        <f ca="1">IFERROR(IF(0=LEN(ReferenceData!$N$379),"",ReferenceData!$N$379),"")</f>
        <v>1.5258636370000001</v>
      </c>
      <c r="O379">
        <f ca="1">IFERROR(IF(0=LEN(ReferenceData!$O$379),"",ReferenceData!$O$379),"")</f>
        <v>1.474369273</v>
      </c>
      <c r="P379">
        <f ca="1">IFERROR(IF(0=LEN(ReferenceData!$P$379),"",ReferenceData!$P$379),"")</f>
        <v>1.3646890899999999</v>
      </c>
      <c r="Q379">
        <f ca="1">IFERROR(IF(0=LEN(ReferenceData!$Q$379),"",ReferenceData!$Q$379),"")</f>
        <v>1.460874746</v>
      </c>
      <c r="R379">
        <f ca="1">IFERROR(IF(0=LEN(ReferenceData!$R$379),"",ReferenceData!$R$379),"")</f>
        <v>1.4490957879999999</v>
      </c>
      <c r="S379">
        <f ca="1">IFERROR(IF(0=LEN(ReferenceData!$S$379),"",ReferenceData!$S$379),"")</f>
        <v>1.3588345959999999</v>
      </c>
      <c r="T379">
        <f ca="1">IFERROR(IF(0=LEN(ReferenceData!$T$379),"",ReferenceData!$T$379),"")</f>
        <v>1.418984252</v>
      </c>
      <c r="U379">
        <f ca="1">IFERROR(IF(0=LEN(ReferenceData!$U$379),"",ReferenceData!$U$379),"")</f>
        <v>1.386130093</v>
      </c>
      <c r="V379">
        <f ca="1">IFERROR(IF(0=LEN(ReferenceData!$V$379),"",ReferenceData!$V$379),"")</f>
        <v>1.376731632</v>
      </c>
      <c r="W379">
        <f ca="1">IFERROR(IF(0=LEN(ReferenceData!$W$379),"",ReferenceData!$W$379),"")</f>
        <v>1.5405037720000001</v>
      </c>
      <c r="X379">
        <f ca="1">IFERROR(IF(0=LEN(ReferenceData!$X$379),"",ReferenceData!$X$379),"")</f>
        <v>1.3640351900000001</v>
      </c>
      <c r="Y379">
        <f ca="1">IFERROR(IF(0=LEN(ReferenceData!$Y$379),"",ReferenceData!$Y$379),"")</f>
        <v>1.42134742</v>
      </c>
      <c r="Z379">
        <f ca="1">IFERROR(IF(0=LEN(ReferenceData!$Z$379),"",ReferenceData!$Z$379),"")</f>
        <v>1.3869341559999999</v>
      </c>
      <c r="AA379">
        <f ca="1">IFERROR(IF(0=LEN(ReferenceData!$AA$379),"",ReferenceData!$AA$379),"")</f>
        <v>1.5197757430000001</v>
      </c>
      <c r="AB379">
        <f ca="1">IFERROR(IF(0=LEN(ReferenceData!$AB$379),"",ReferenceData!$AB$379),"")</f>
        <v>1.5397473450000001</v>
      </c>
      <c r="AC379">
        <f ca="1">IFERROR(IF(0=LEN(ReferenceData!$AC$379),"",ReferenceData!$AC$379),"")</f>
        <v>1.517985938</v>
      </c>
      <c r="AD379">
        <f ca="1">IFERROR(IF(0=LEN(ReferenceData!$AD$379),"",ReferenceData!$AD$379),"")</f>
        <v>1.648366894</v>
      </c>
      <c r="AE379">
        <f ca="1">IFERROR(IF(0=LEN(ReferenceData!$AE$379),"",ReferenceData!$AE$379),"")</f>
        <v>1.607903498</v>
      </c>
      <c r="AF379">
        <f ca="1">IFERROR(IF(0=LEN(ReferenceData!$AF$379),"",ReferenceData!$AF$379),"")</f>
        <v>2.1550388570000001</v>
      </c>
      <c r="AG379">
        <f ca="1">IFERROR(IF(0=LEN(ReferenceData!$AG$379),"",ReferenceData!$AG$379),"")</f>
        <v>1.7072294450000001</v>
      </c>
      <c r="AH379">
        <f ca="1">IFERROR(IF(0=LEN(ReferenceData!$AH$379),"",ReferenceData!$AH$379),"")</f>
        <v>1.6386648370000001</v>
      </c>
      <c r="AI379">
        <f ca="1">IFERROR(IF(0=LEN(ReferenceData!$AI$379),"",ReferenceData!$AI$379),"")</f>
        <v>1.5588231180000001</v>
      </c>
      <c r="AJ379">
        <f ca="1">IFERROR(IF(0=LEN(ReferenceData!$AJ$379),"",ReferenceData!$AJ$379),"")</f>
        <v>2.022273599</v>
      </c>
      <c r="AK379" t="str">
        <f ca="1">IFERROR(IF(0=LEN(ReferenceData!$AK$379),"",ReferenceData!$AK$379),"")</f>
        <v/>
      </c>
      <c r="AL379" t="str">
        <f ca="1">IFERROR(IF(0=LEN(ReferenceData!$AL$379),"",ReferenceData!$AL$379),"")</f>
        <v/>
      </c>
      <c r="AM379">
        <f ca="1">IFERROR(IF(0=LEN(ReferenceData!$AM$379),"",ReferenceData!$AM$379),"")</f>
        <v>1.187386544</v>
      </c>
      <c r="AN379">
        <f ca="1">IFERROR(IF(0=LEN(ReferenceData!$AN$379),"",ReferenceData!$AN$379),"")</f>
        <v>1.074242814</v>
      </c>
      <c r="AO379">
        <f ca="1">IFERROR(IF(0=LEN(ReferenceData!$AO$379),"",ReferenceData!$AO$379),"")</f>
        <v>1.061502714</v>
      </c>
      <c r="AP379">
        <f ca="1">IFERROR(IF(0=LEN(ReferenceData!$AP$379),"",ReferenceData!$AP$379),"")</f>
        <v>1.025164076</v>
      </c>
      <c r="AQ379">
        <f ca="1">IFERROR(IF(0=LEN(ReferenceData!$AQ$379),"",ReferenceData!$AQ$379),"")</f>
        <v>1.0268483159999999</v>
      </c>
      <c r="AR379">
        <f ca="1">IFERROR(IF(0=LEN(ReferenceData!$AR$379),"",ReferenceData!$AR$379),"")</f>
        <v>1.033252974</v>
      </c>
      <c r="AS379" t="str">
        <f ca="1">IFERROR(IF(0=LEN(ReferenceData!$AS$379),"",ReferenceData!$AS$379),"")</f>
        <v/>
      </c>
      <c r="AT379" t="str">
        <f ca="1">IFERROR(IF(0=LEN(ReferenceData!$AT$379),"",ReferenceData!$AT$379),"")</f>
        <v/>
      </c>
      <c r="AU379" t="str">
        <f ca="1">IFERROR(IF(0=LEN(ReferenceData!$AU$379),"",ReferenceData!$AU$379),"")</f>
        <v/>
      </c>
      <c r="AV379" t="str">
        <f ca="1">IFERROR(IF(0=LEN(ReferenceData!$AV$379),"",ReferenceData!$AV$379),"")</f>
        <v/>
      </c>
      <c r="AW379" t="str">
        <f ca="1">IFERROR(IF(0=LEN(ReferenceData!$AW$379),"",ReferenceData!$AW$379),"")</f>
        <v/>
      </c>
      <c r="AX379" t="str">
        <f ca="1">IFERROR(IF(0=LEN(ReferenceData!$AX$379),"",ReferenceData!$AX$379),"")</f>
        <v/>
      </c>
      <c r="AY379" t="str">
        <f ca="1">IFERROR(IF(0=LEN(ReferenceData!$AY$379),"",ReferenceData!$AY$379),"")</f>
        <v/>
      </c>
      <c r="AZ379" t="str">
        <f ca="1">IFERROR(IF(0=LEN(ReferenceData!$AZ$379),"",ReferenceData!$AZ$379),"")</f>
        <v/>
      </c>
      <c r="BA379" t="str">
        <f ca="1">IFERROR(IF(0=LEN(ReferenceData!$BA$379),"",ReferenceData!$BA$379),"")</f>
        <v/>
      </c>
      <c r="BB379" t="str">
        <f ca="1">IFERROR(IF(0=LEN(ReferenceData!$BB$379),"",ReferenceData!$BB$379),"")</f>
        <v/>
      </c>
      <c r="BC379" t="str">
        <f ca="1">IFERROR(IF(0=LEN(ReferenceData!$BC$379),"",ReferenceData!$BC$379),"")</f>
        <v/>
      </c>
      <c r="BD379" t="str">
        <f ca="1">IFERROR(IF(0=LEN(ReferenceData!$BD$379),"",ReferenceData!$BD$379),"")</f>
        <v/>
      </c>
      <c r="BE379" t="str">
        <f ca="1">IFERROR(IF(0=LEN(ReferenceData!$BE$379),"",ReferenceData!$BE$379),"")</f>
        <v/>
      </c>
      <c r="BF379" t="str">
        <f ca="1">IFERROR(IF(0=LEN(ReferenceData!$BF$379),"",ReferenceData!$BF$379),"")</f>
        <v/>
      </c>
      <c r="BG379" t="str">
        <f ca="1">IFERROR(IF(0=LEN(ReferenceData!$BG$379),"",ReferenceData!$BG$379),"")</f>
        <v/>
      </c>
      <c r="BH379" t="str">
        <f ca="1">IFERROR(IF(0=LEN(ReferenceData!$BH$379),"",ReferenceData!$BH$379),"")</f>
        <v/>
      </c>
      <c r="BI379" t="str">
        <f ca="1">IFERROR(IF(0=LEN(ReferenceData!$BI$379),"",ReferenceData!$BI$379),"")</f>
        <v/>
      </c>
      <c r="BJ379" t="str">
        <f ca="1">IFERROR(IF(0=LEN(ReferenceData!$BJ$379),"",ReferenceData!$BJ$379),"")</f>
        <v/>
      </c>
      <c r="BK379" t="str">
        <f ca="1">IFERROR(IF(0=LEN(ReferenceData!$BK$379),"",ReferenceData!$BK$379),"")</f>
        <v/>
      </c>
      <c r="BL379" t="str">
        <f ca="1">IFERROR(IF(0=LEN(ReferenceData!$BL$379),"",ReferenceData!$BL$379),"")</f>
        <v/>
      </c>
      <c r="BM379" t="str">
        <f ca="1">IFERROR(IF(0=LEN(ReferenceData!$BM$379),"",ReferenceData!$BM$379),"")</f>
        <v/>
      </c>
    </row>
    <row r="380" spans="1:65" x14ac:dyDescent="0.25">
      <c r="A380" t="str">
        <f>IFERROR(IF(0=LEN(ReferenceData!$A$380),"",ReferenceData!$A$380),"")</f>
        <v xml:space="preserve">    Chongqing Changan Automobile Co Ltd</v>
      </c>
      <c r="B380" t="str">
        <f>IFERROR(IF(0=LEN(ReferenceData!$B$380),"",ReferenceData!$B$380),"")</f>
        <v>200625 CH Equity</v>
      </c>
      <c r="C380" t="str">
        <f>IFERROR(IF(0=LEN(ReferenceData!$C$380),"",ReferenceData!$C$380),"")</f>
        <v>RR480</v>
      </c>
      <c r="D380" t="str">
        <f>IFERROR(IF(0=LEN(ReferenceData!$D$380),"",ReferenceData!$D$380),"")</f>
        <v>EV_TO_MKT_CAP</v>
      </c>
      <c r="E380" t="str">
        <f>IFERROR(IF(0=LEN(ReferenceData!$E$380),"",ReferenceData!$E$380),"")</f>
        <v>Dynamic</v>
      </c>
      <c r="F380" t="str">
        <f ca="1">IFERROR(IF(0=LEN(ReferenceData!$F$380),"",ReferenceData!$F$380),"")</f>
        <v/>
      </c>
      <c r="G380" t="str">
        <f ca="1">IFERROR(IF(0=LEN(ReferenceData!$G$380),"",ReferenceData!$G$380),"")</f>
        <v/>
      </c>
      <c r="H380">
        <f ca="1">IFERROR(IF(0=LEN(ReferenceData!$H$380),"",ReferenceData!$H$380),"")</f>
        <v>0.41540238400000001</v>
      </c>
      <c r="I380">
        <f ca="1">IFERROR(IF(0=LEN(ReferenceData!$I$380),"",ReferenceData!$I$380),"")</f>
        <v>0.89197194899999999</v>
      </c>
      <c r="J380">
        <f ca="1">IFERROR(IF(0=LEN(ReferenceData!$J$380),"",ReferenceData!$J$380),"")</f>
        <v>0.87088735100000003</v>
      </c>
      <c r="K380">
        <f ca="1">IFERROR(IF(0=LEN(ReferenceData!$K$380),"",ReferenceData!$K$380),"")</f>
        <v>0.90176914900000005</v>
      </c>
      <c r="L380">
        <f ca="1">IFERROR(IF(0=LEN(ReferenceData!$L$380),"",ReferenceData!$L$380),"")</f>
        <v>0.901019075</v>
      </c>
      <c r="M380">
        <f ca="1">IFERROR(IF(0=LEN(ReferenceData!$M$380),"",ReferenceData!$M$380),"")</f>
        <v>0.90491279800000002</v>
      </c>
      <c r="N380">
        <f ca="1">IFERROR(IF(0=LEN(ReferenceData!$N$380),"",ReferenceData!$N$380),"")</f>
        <v>0.92131896199999996</v>
      </c>
      <c r="O380">
        <f ca="1">IFERROR(IF(0=LEN(ReferenceData!$O$380),"",ReferenceData!$O$380),"")</f>
        <v>0.99843381200000003</v>
      </c>
      <c r="P380">
        <f ca="1">IFERROR(IF(0=LEN(ReferenceData!$P$380),"",ReferenceData!$P$380),"")</f>
        <v>0.95935629600000005</v>
      </c>
      <c r="Q380">
        <f ca="1">IFERROR(IF(0=LEN(ReferenceData!$Q$380),"",ReferenceData!$Q$380),"")</f>
        <v>1.068806666</v>
      </c>
      <c r="R380">
        <f ca="1">IFERROR(IF(0=LEN(ReferenceData!$R$380),"",ReferenceData!$R$380),"")</f>
        <v>1.059068876</v>
      </c>
      <c r="S380">
        <f ca="1">IFERROR(IF(0=LEN(ReferenceData!$S$380),"",ReferenceData!$S$380),"")</f>
        <v>1.041209099</v>
      </c>
      <c r="T380">
        <f ca="1">IFERROR(IF(0=LEN(ReferenceData!$T$380),"",ReferenceData!$T$380),"")</f>
        <v>1.038528903</v>
      </c>
      <c r="U380">
        <f ca="1">IFERROR(IF(0=LEN(ReferenceData!$U$380),"",ReferenceData!$U$380),"")</f>
        <v>1.078612653</v>
      </c>
      <c r="V380">
        <f ca="1">IFERROR(IF(0=LEN(ReferenceData!$V$380),"",ReferenceData!$V$380),"")</f>
        <v>1.0614753290000001</v>
      </c>
      <c r="W380">
        <f ca="1">IFERROR(IF(0=LEN(ReferenceData!$W$380),"",ReferenceData!$W$380),"")</f>
        <v>1.08581416</v>
      </c>
      <c r="X380">
        <f ca="1">IFERROR(IF(0=LEN(ReferenceData!$X$380),"",ReferenceData!$X$380),"")</f>
        <v>1.117215689</v>
      </c>
      <c r="Y380">
        <f ca="1">IFERROR(IF(0=LEN(ReferenceData!$Y$380),"",ReferenceData!$Y$380),"")</f>
        <v>1.116994016</v>
      </c>
      <c r="Z380">
        <f ca="1">IFERROR(IF(0=LEN(ReferenceData!$Z$380),"",ReferenceData!$Z$380),"")</f>
        <v>1.2210253630000001</v>
      </c>
      <c r="AA380">
        <f ca="1">IFERROR(IF(0=LEN(ReferenceData!$AA$380),"",ReferenceData!$AA$380),"")</f>
        <v>1.1996537270000001</v>
      </c>
      <c r="AB380">
        <f ca="1">IFERROR(IF(0=LEN(ReferenceData!$AB$380),"",ReferenceData!$AB$380),"")</f>
        <v>1.1648233889999999</v>
      </c>
      <c r="AC380">
        <f ca="1">IFERROR(IF(0=LEN(ReferenceData!$AC$380),"",ReferenceData!$AC$380),"")</f>
        <v>1.17918542</v>
      </c>
      <c r="AD380">
        <f ca="1">IFERROR(IF(0=LEN(ReferenceData!$AD$380),"",ReferenceData!$AD$380),"")</f>
        <v>1.215865193</v>
      </c>
      <c r="AE380">
        <f ca="1">IFERROR(IF(0=LEN(ReferenceData!$AE$380),"",ReferenceData!$AE$380),"")</f>
        <v>1.295560982</v>
      </c>
      <c r="AF380">
        <f ca="1">IFERROR(IF(0=LEN(ReferenceData!$AF$380),"",ReferenceData!$AF$380),"")</f>
        <v>1.328545892</v>
      </c>
      <c r="AG380">
        <f ca="1">IFERROR(IF(0=LEN(ReferenceData!$AG$380),"",ReferenceData!$AG$380),"")</f>
        <v>1.288357719</v>
      </c>
      <c r="AH380">
        <f ca="1">IFERROR(IF(0=LEN(ReferenceData!$AH$380),"",ReferenceData!$AH$380),"")</f>
        <v>1.377254516</v>
      </c>
      <c r="AI380">
        <f ca="1">IFERROR(IF(0=LEN(ReferenceData!$AI$380),"",ReferenceData!$AI$380),"")</f>
        <v>1.3043079639999999</v>
      </c>
      <c r="AJ380">
        <f ca="1">IFERROR(IF(0=LEN(ReferenceData!$AJ$380),"",ReferenceData!$AJ$380),"")</f>
        <v>1.1985933870000001</v>
      </c>
      <c r="AK380">
        <f ca="1">IFERROR(IF(0=LEN(ReferenceData!$AK$380),"",ReferenceData!$AK$380),"")</f>
        <v>0.93549578499999997</v>
      </c>
      <c r="AL380">
        <f ca="1">IFERROR(IF(0=LEN(ReferenceData!$AL$380),"",ReferenceData!$AL$380),"")</f>
        <v>0.88820997499999998</v>
      </c>
      <c r="AM380">
        <f ca="1">IFERROR(IF(0=LEN(ReferenceData!$AM$380),"",ReferenceData!$AM$380),"")</f>
        <v>1.0468239560000001</v>
      </c>
      <c r="AN380">
        <f ca="1">IFERROR(IF(0=LEN(ReferenceData!$AN$380),"",ReferenceData!$AN$380),"")</f>
        <v>0.976551277</v>
      </c>
      <c r="AO380">
        <f ca="1">IFERROR(IF(0=LEN(ReferenceData!$AO$380),"",ReferenceData!$AO$380),"")</f>
        <v>1.0054188529999999</v>
      </c>
      <c r="AP380">
        <f ca="1">IFERROR(IF(0=LEN(ReferenceData!$AP$380),"",ReferenceData!$AP$380),"")</f>
        <v>1.0061885269999999</v>
      </c>
      <c r="AQ380">
        <f ca="1">IFERROR(IF(0=LEN(ReferenceData!$AQ$380),"",ReferenceData!$AQ$380),"")</f>
        <v>1.004810403</v>
      </c>
      <c r="AR380">
        <f ca="1">IFERROR(IF(0=LEN(ReferenceData!$AR$380),"",ReferenceData!$AR$380),"")</f>
        <v>1.118431247</v>
      </c>
      <c r="AS380">
        <f ca="1">IFERROR(IF(0=LEN(ReferenceData!$AS$380),"",ReferenceData!$AS$380),"")</f>
        <v>1.0674381129999999</v>
      </c>
      <c r="AT380">
        <f ca="1">IFERROR(IF(0=LEN(ReferenceData!$AT$380),"",ReferenceData!$AT$380),"")</f>
        <v>1.1157682769999999</v>
      </c>
      <c r="AU380" t="str">
        <f ca="1">IFERROR(IF(0=LEN(ReferenceData!$AU$380),"",ReferenceData!$AU$380),"")</f>
        <v/>
      </c>
      <c r="AV380">
        <f ca="1">IFERROR(IF(0=LEN(ReferenceData!$AV$380),"",ReferenceData!$AV$380),"")</f>
        <v>1.1894001780000001</v>
      </c>
      <c r="AW380">
        <f ca="1">IFERROR(IF(0=LEN(ReferenceData!$AW$380),"",ReferenceData!$AW$380),"")</f>
        <v>1.0935470549999999</v>
      </c>
      <c r="AX380">
        <f ca="1">IFERROR(IF(0=LEN(ReferenceData!$AX$380),"",ReferenceData!$AX$380),"")</f>
        <v>1.1119196689999999</v>
      </c>
      <c r="AY380">
        <f ca="1">IFERROR(IF(0=LEN(ReferenceData!$AY$380),"",ReferenceData!$AY$380),"")</f>
        <v>1.019702434</v>
      </c>
      <c r="AZ380">
        <f ca="1">IFERROR(IF(0=LEN(ReferenceData!$AZ$380),"",ReferenceData!$AZ$380),"")</f>
        <v>1.050170093</v>
      </c>
      <c r="BA380">
        <f ca="1">IFERROR(IF(0=LEN(ReferenceData!$BA$380),"",ReferenceData!$BA$380),"")</f>
        <v>1.069756299</v>
      </c>
      <c r="BB380">
        <f ca="1">IFERROR(IF(0=LEN(ReferenceData!$BB$380),"",ReferenceData!$BB$380),"")</f>
        <v>1.157317997</v>
      </c>
      <c r="BC380">
        <f ca="1">IFERROR(IF(0=LEN(ReferenceData!$BC$380),"",ReferenceData!$BC$380),"")</f>
        <v>1.153833213</v>
      </c>
      <c r="BD380">
        <f ca="1">IFERROR(IF(0=LEN(ReferenceData!$BD$380),"",ReferenceData!$BD$380),"")</f>
        <v>1.3985623789999999</v>
      </c>
      <c r="BE380">
        <f ca="1">IFERROR(IF(0=LEN(ReferenceData!$BE$380),"",ReferenceData!$BE$380),"")</f>
        <v>1.265375022</v>
      </c>
      <c r="BF380">
        <f ca="1">IFERROR(IF(0=LEN(ReferenceData!$BF$380),"",ReferenceData!$BF$380),"")</f>
        <v>1.2309990559999999</v>
      </c>
      <c r="BG380">
        <f ca="1">IFERROR(IF(0=LEN(ReferenceData!$BG$380),"",ReferenceData!$BG$380),"")</f>
        <v>1.212572443</v>
      </c>
      <c r="BH380">
        <f ca="1">IFERROR(IF(0=LEN(ReferenceData!$BH$380),"",ReferenceData!$BH$380),"")</f>
        <v>1.1390030090000001</v>
      </c>
      <c r="BI380">
        <f ca="1">IFERROR(IF(0=LEN(ReferenceData!$BI$380),"",ReferenceData!$BI$380),"")</f>
        <v>0.98053367800000002</v>
      </c>
      <c r="BJ380">
        <f ca="1">IFERROR(IF(0=LEN(ReferenceData!$BJ$380),"",ReferenceData!$BJ$380),"")</f>
        <v>0.77362665600000002</v>
      </c>
      <c r="BK380">
        <f ca="1">IFERROR(IF(0=LEN(ReferenceData!$BK$380),"",ReferenceData!$BK$380),"")</f>
        <v>0.78778230000000005</v>
      </c>
      <c r="BL380" t="str">
        <f ca="1">IFERROR(IF(0=LEN(ReferenceData!$BL$380),"",ReferenceData!$BL$380),"")</f>
        <v/>
      </c>
      <c r="BM380" t="str">
        <f ca="1">IFERROR(IF(0=LEN(ReferenceData!$BM$380),"",ReferenceData!$BM$380),"")</f>
        <v/>
      </c>
    </row>
    <row r="381" spans="1:65" x14ac:dyDescent="0.25">
      <c r="A381" t="str">
        <f>IFERROR(IF(0=LEN(ReferenceData!$A$381),"",ReferenceData!$A$381),"")</f>
        <v xml:space="preserve">    Daihatsu Motor Co Ltd</v>
      </c>
      <c r="B381" t="str">
        <f>IFERROR(IF(0=LEN(ReferenceData!$B$381),"",ReferenceData!$B$381),"")</f>
        <v>7262 JP Equity</v>
      </c>
      <c r="C381" t="str">
        <f>IFERROR(IF(0=LEN(ReferenceData!$C$381),"",ReferenceData!$C$381),"")</f>
        <v>RR480</v>
      </c>
      <c r="D381" t="str">
        <f>IFERROR(IF(0=LEN(ReferenceData!$D$381),"",ReferenceData!$D$381),"")</f>
        <v>EV_TO_MKT_CAP</v>
      </c>
      <c r="E381" t="str">
        <f>IFERROR(IF(0=LEN(ReferenceData!$E$381),"",ReferenceData!$E$381),"")</f>
        <v>Dynamic</v>
      </c>
      <c r="F381" t="str">
        <f ca="1">IFERROR(IF(0=LEN(ReferenceData!$F$381),"",ReferenceData!$F$381),"")</f>
        <v/>
      </c>
      <c r="G381" t="str">
        <f ca="1">IFERROR(IF(0=LEN(ReferenceData!$G$381),"",ReferenceData!$G$381),"")</f>
        <v/>
      </c>
      <c r="H381" t="str">
        <f ca="1">IFERROR(IF(0=LEN(ReferenceData!$H$381),"",ReferenceData!$H$381),"")</f>
        <v/>
      </c>
      <c r="I381" t="str">
        <f ca="1">IFERROR(IF(0=LEN(ReferenceData!$I$381),"",ReferenceData!$I$381),"")</f>
        <v/>
      </c>
      <c r="J381" t="str">
        <f ca="1">IFERROR(IF(0=LEN(ReferenceData!$J$381),"",ReferenceData!$J$381),"")</f>
        <v/>
      </c>
      <c r="K381" t="str">
        <f ca="1">IFERROR(IF(0=LEN(ReferenceData!$K$381),"",ReferenceData!$K$381),"")</f>
        <v/>
      </c>
      <c r="L381" t="str">
        <f ca="1">IFERROR(IF(0=LEN(ReferenceData!$L$381),"",ReferenceData!$L$381),"")</f>
        <v/>
      </c>
      <c r="M381" t="str">
        <f ca="1">IFERROR(IF(0=LEN(ReferenceData!$M$381),"",ReferenceData!$M$381),"")</f>
        <v/>
      </c>
      <c r="N381" t="str">
        <f ca="1">IFERROR(IF(0=LEN(ReferenceData!$N$381),"",ReferenceData!$N$381),"")</f>
        <v/>
      </c>
      <c r="O381" t="str">
        <f ca="1">IFERROR(IF(0=LEN(ReferenceData!$O$381),"",ReferenceData!$O$381),"")</f>
        <v/>
      </c>
      <c r="P381" t="str">
        <f ca="1">IFERROR(IF(0=LEN(ReferenceData!$P$381),"",ReferenceData!$P$381),"")</f>
        <v/>
      </c>
      <c r="Q381" t="str">
        <f ca="1">IFERROR(IF(0=LEN(ReferenceData!$Q$381),"",ReferenceData!$Q$381),"")</f>
        <v/>
      </c>
      <c r="R381">
        <f ca="1">IFERROR(IF(0=LEN(ReferenceData!$R$381),"",ReferenceData!$R$381),"")</f>
        <v>1.299993843</v>
      </c>
      <c r="S381">
        <f ca="1">IFERROR(IF(0=LEN(ReferenceData!$S$381),"",ReferenceData!$S$381),"")</f>
        <v>1.2836284339999999</v>
      </c>
      <c r="T381">
        <f ca="1">IFERROR(IF(0=LEN(ReferenceData!$T$381),"",ReferenceData!$T$381),"")</f>
        <v>1.365157255</v>
      </c>
      <c r="U381">
        <f ca="1">IFERROR(IF(0=LEN(ReferenceData!$U$381),"",ReferenceData!$U$381),"")</f>
        <v>1.2953275019999999</v>
      </c>
      <c r="V381">
        <f ca="1">IFERROR(IF(0=LEN(ReferenceData!$V$381),"",ReferenceData!$V$381),"")</f>
        <v>1.240795358</v>
      </c>
      <c r="W381">
        <f ca="1">IFERROR(IF(0=LEN(ReferenceData!$W$381),"",ReferenceData!$W$381),"")</f>
        <v>1.254421684</v>
      </c>
      <c r="X381">
        <f ca="1">IFERROR(IF(0=LEN(ReferenceData!$X$381),"",ReferenceData!$X$381),"")</f>
        <v>1.2403200839999999</v>
      </c>
      <c r="Y381">
        <f ca="1">IFERROR(IF(0=LEN(ReferenceData!$Y$381),"",ReferenceData!$Y$381),"")</f>
        <v>1.224663077</v>
      </c>
      <c r="Z381">
        <f ca="1">IFERROR(IF(0=LEN(ReferenceData!$Z$381),"",ReferenceData!$Z$381),"")</f>
        <v>1.1787087999999999</v>
      </c>
      <c r="AA381">
        <f ca="1">IFERROR(IF(0=LEN(ReferenceData!$AA$381),"",ReferenceData!$AA$381),"")</f>
        <v>1.178922786</v>
      </c>
      <c r="AB381">
        <f ca="1">IFERROR(IF(0=LEN(ReferenceData!$AB$381),"",ReferenceData!$AB$381),"")</f>
        <v>1.179936026</v>
      </c>
      <c r="AC381">
        <f ca="1">IFERROR(IF(0=LEN(ReferenceData!$AC$381),"",ReferenceData!$AC$381),"")</f>
        <v>1.185838682</v>
      </c>
      <c r="AD381">
        <f ca="1">IFERROR(IF(0=LEN(ReferenceData!$AD$381),"",ReferenceData!$AD$381),"")</f>
        <v>1.1678935619999999</v>
      </c>
      <c r="AE381">
        <f ca="1">IFERROR(IF(0=LEN(ReferenceData!$AE$381),"",ReferenceData!$AE$381),"")</f>
        <v>1.2045978470000001</v>
      </c>
      <c r="AF381">
        <f ca="1">IFERROR(IF(0=LEN(ReferenceData!$AF$381),"",ReferenceData!$AF$381),"")</f>
        <v>1.2713988949999999</v>
      </c>
      <c r="AG381">
        <f ca="1">IFERROR(IF(0=LEN(ReferenceData!$AG$381),"",ReferenceData!$AG$381),"")</f>
        <v>1.246262558</v>
      </c>
      <c r="AH381">
        <f ca="1">IFERROR(IF(0=LEN(ReferenceData!$AH$381),"",ReferenceData!$AH$381),"")</f>
        <v>1.2227143789999999</v>
      </c>
      <c r="AI381">
        <f ca="1">IFERROR(IF(0=LEN(ReferenceData!$AI$381),"",ReferenceData!$AI$381),"")</f>
        <v>1.2273800989999999</v>
      </c>
      <c r="AJ381">
        <f ca="1">IFERROR(IF(0=LEN(ReferenceData!$AJ$381),"",ReferenceData!$AJ$381),"")</f>
        <v>1.24535087</v>
      </c>
      <c r="AK381">
        <f ca="1">IFERROR(IF(0=LEN(ReferenceData!$AK$381),"",ReferenceData!$AK$381),"")</f>
        <v>1.245194379</v>
      </c>
      <c r="AL381">
        <f ca="1">IFERROR(IF(0=LEN(ReferenceData!$AL$381),"",ReferenceData!$AL$381),"")</f>
        <v>1.3060908040000001</v>
      </c>
      <c r="AM381">
        <f ca="1">IFERROR(IF(0=LEN(ReferenceData!$AM$381),"",ReferenceData!$AM$381),"")</f>
        <v>1.28837563</v>
      </c>
      <c r="AN381">
        <f ca="1">IFERROR(IF(0=LEN(ReferenceData!$AN$381),"",ReferenceData!$AN$381),"")</f>
        <v>1.342143404</v>
      </c>
      <c r="AO381">
        <f ca="1">IFERROR(IF(0=LEN(ReferenceData!$AO$381),"",ReferenceData!$AO$381),"")</f>
        <v>1.48226061</v>
      </c>
      <c r="AP381">
        <f ca="1">IFERROR(IF(0=LEN(ReferenceData!$AP$381),"",ReferenceData!$AP$381),"")</f>
        <v>1.544073606</v>
      </c>
      <c r="AQ381">
        <f ca="1">IFERROR(IF(0=LEN(ReferenceData!$AQ$381),"",ReferenceData!$AQ$381),"")</f>
        <v>1.4718981259999999</v>
      </c>
      <c r="AR381">
        <f ca="1">IFERROR(IF(0=LEN(ReferenceData!$AR$381),"",ReferenceData!$AR$381),"")</f>
        <v>1.538955171</v>
      </c>
      <c r="AS381">
        <f ca="1">IFERROR(IF(0=LEN(ReferenceData!$AS$381),"",ReferenceData!$AS$381),"")</f>
        <v>1.5526605309999999</v>
      </c>
      <c r="AT381">
        <f ca="1">IFERROR(IF(0=LEN(ReferenceData!$AT$381),"",ReferenceData!$AT$381),"")</f>
        <v>1.694333766</v>
      </c>
      <c r="AU381">
        <f ca="1">IFERROR(IF(0=LEN(ReferenceData!$AU$381),"",ReferenceData!$AU$381),"")</f>
        <v>1.532299055</v>
      </c>
      <c r="AV381">
        <f ca="1">IFERROR(IF(0=LEN(ReferenceData!$AV$381),"",ReferenceData!$AV$381),"")</f>
        <v>1.4038268810000001</v>
      </c>
      <c r="AW381">
        <f ca="1">IFERROR(IF(0=LEN(ReferenceData!$AW$381),"",ReferenceData!$AW$381),"")</f>
        <v>1.371845558</v>
      </c>
      <c r="AX381">
        <f ca="1">IFERROR(IF(0=LEN(ReferenceData!$AX$381),"",ReferenceData!$AX$381),"")</f>
        <v>1.397128441</v>
      </c>
      <c r="AY381">
        <f ca="1">IFERROR(IF(0=LEN(ReferenceData!$AY$381),"",ReferenceData!$AY$381),"")</f>
        <v>1.4384591769999999</v>
      </c>
      <c r="AZ381">
        <f ca="1">IFERROR(IF(0=LEN(ReferenceData!$AZ$381),"",ReferenceData!$AZ$381),"")</f>
        <v>1.3937807250000001</v>
      </c>
      <c r="BA381">
        <f ca="1">IFERROR(IF(0=LEN(ReferenceData!$BA$381),"",ReferenceData!$BA$381),"")</f>
        <v>1.4024671</v>
      </c>
      <c r="BB381">
        <f ca="1">IFERROR(IF(0=LEN(ReferenceData!$BB$381),"",ReferenceData!$BB$381),"")</f>
        <v>1.3698151270000001</v>
      </c>
      <c r="BC381">
        <f ca="1">IFERROR(IF(0=LEN(ReferenceData!$BC$381),"",ReferenceData!$BC$381),"")</f>
        <v>1.3283452790000001</v>
      </c>
      <c r="BD381">
        <f ca="1">IFERROR(IF(0=LEN(ReferenceData!$BD$381),"",ReferenceData!$BD$381),"")</f>
        <v>1.37761098</v>
      </c>
      <c r="BE381">
        <f ca="1">IFERROR(IF(0=LEN(ReferenceData!$BE$381),"",ReferenceData!$BE$381),"")</f>
        <v>1.2624262509999999</v>
      </c>
      <c r="BF381">
        <f ca="1">IFERROR(IF(0=LEN(ReferenceData!$BF$381),"",ReferenceData!$BF$381),"")</f>
        <v>1.335031023</v>
      </c>
      <c r="BG381">
        <f ca="1">IFERROR(IF(0=LEN(ReferenceData!$BG$381),"",ReferenceData!$BG$381),"")</f>
        <v>1.2933207529999999</v>
      </c>
      <c r="BH381">
        <f ca="1">IFERROR(IF(0=LEN(ReferenceData!$BH$381),"",ReferenceData!$BH$381),"")</f>
        <v>1.321595546</v>
      </c>
      <c r="BI381" t="str">
        <f ca="1">IFERROR(IF(0=LEN(ReferenceData!$BI$381),"",ReferenceData!$BI$381),"")</f>
        <v/>
      </c>
      <c r="BJ381">
        <f ca="1">IFERROR(IF(0=LEN(ReferenceData!$BJ$381),"",ReferenceData!$BJ$381),"")</f>
        <v>1.4416393780000001</v>
      </c>
      <c r="BK381" t="str">
        <f ca="1">IFERROR(IF(0=LEN(ReferenceData!$BK$381),"",ReferenceData!$BK$381),"")</f>
        <v/>
      </c>
      <c r="BL381">
        <f ca="1">IFERROR(IF(0=LEN(ReferenceData!$BL$381),"",ReferenceData!$BL$381),"")</f>
        <v>1.4074323660000001</v>
      </c>
      <c r="BM381" t="str">
        <f ca="1">IFERROR(IF(0=LEN(ReferenceData!$BM$381),"",ReferenceData!$BM$381),"")</f>
        <v/>
      </c>
    </row>
    <row r="382" spans="1:65" x14ac:dyDescent="0.25">
      <c r="A382" t="str">
        <f>IFERROR(IF(0=LEN(ReferenceData!$A$382),"",ReferenceData!$A$382),"")</f>
        <v xml:space="preserve">    Daimler AG</v>
      </c>
      <c r="B382" t="str">
        <f>IFERROR(IF(0=LEN(ReferenceData!$B$382),"",ReferenceData!$B$382),"")</f>
        <v>DAI GR Equity</v>
      </c>
      <c r="C382" t="str">
        <f>IFERROR(IF(0=LEN(ReferenceData!$C$382),"",ReferenceData!$C$382),"")</f>
        <v>RR480</v>
      </c>
      <c r="D382" t="str">
        <f>IFERROR(IF(0=LEN(ReferenceData!$D$382),"",ReferenceData!$D$382),"")</f>
        <v>EV_TO_MKT_CAP</v>
      </c>
      <c r="E382" t="str">
        <f>IFERROR(IF(0=LEN(ReferenceData!$E$382),"",ReferenceData!$E$382),"")</f>
        <v>Dynamic</v>
      </c>
      <c r="F382" t="str">
        <f ca="1">IFERROR(IF(0=LEN(ReferenceData!$F$382),"",ReferenceData!$F$382),"")</f>
        <v/>
      </c>
      <c r="G382">
        <f ca="1">IFERROR(IF(0=LEN(ReferenceData!$G$382),"",ReferenceData!$G$382),"")</f>
        <v>0.64658606699999999</v>
      </c>
      <c r="H382">
        <f ca="1">IFERROR(IF(0=LEN(ReferenceData!$H$382),"",ReferenceData!$H$382),"")</f>
        <v>0.72057036500000005</v>
      </c>
      <c r="I382">
        <f ca="1">IFERROR(IF(0=LEN(ReferenceData!$I$382),"",ReferenceData!$I$382),"")</f>
        <v>0.69902374199999995</v>
      </c>
      <c r="J382">
        <f ca="1">IFERROR(IF(0=LEN(ReferenceData!$J$382),"",ReferenceData!$J$382),"")</f>
        <v>0.71378395800000005</v>
      </c>
      <c r="K382">
        <f ca="1">IFERROR(IF(0=LEN(ReferenceData!$K$382),"",ReferenceData!$K$382),"")</f>
        <v>0.75155763200000003</v>
      </c>
      <c r="L382">
        <f ca="1">IFERROR(IF(0=LEN(ReferenceData!$L$382),"",ReferenceData!$L$382),"")</f>
        <v>0.65753905700000004</v>
      </c>
      <c r="M382">
        <f ca="1">IFERROR(IF(0=LEN(ReferenceData!$M$382),"",ReferenceData!$M$382),"")</f>
        <v>0.67117262300000002</v>
      </c>
      <c r="N382">
        <f ca="1">IFERROR(IF(0=LEN(ReferenceData!$N$382),"",ReferenceData!$N$382),"")</f>
        <v>0.66477921799999995</v>
      </c>
      <c r="O382">
        <f ca="1">IFERROR(IF(0=LEN(ReferenceData!$O$382),"",ReferenceData!$O$382),"")</f>
        <v>0.71297891899999999</v>
      </c>
      <c r="P382">
        <f ca="1">IFERROR(IF(0=LEN(ReferenceData!$P$382),"",ReferenceData!$P$382),"")</f>
        <v>0.697256608</v>
      </c>
      <c r="Q382">
        <f ca="1">IFERROR(IF(0=LEN(ReferenceData!$Q$382),"",ReferenceData!$Q$382),"")</f>
        <v>0.65993360099999998</v>
      </c>
      <c r="R382">
        <f ca="1">IFERROR(IF(0=LEN(ReferenceData!$R$382),"",ReferenceData!$R$382),"")</f>
        <v>0.715453585</v>
      </c>
      <c r="S382">
        <f ca="1">IFERROR(IF(0=LEN(ReferenceData!$S$382),"",ReferenceData!$S$382),"")</f>
        <v>0.75847662800000004</v>
      </c>
      <c r="T382">
        <f ca="1">IFERROR(IF(0=LEN(ReferenceData!$T$382),"",ReferenceData!$T$382),"")</f>
        <v>0.68405349699999995</v>
      </c>
      <c r="U382">
        <f ca="1">IFERROR(IF(0=LEN(ReferenceData!$U$382),"",ReferenceData!$U$382),"")</f>
        <v>0.76499137900000003</v>
      </c>
      <c r="V382">
        <f ca="1">IFERROR(IF(0=LEN(ReferenceData!$V$382),"",ReferenceData!$V$382),"")</f>
        <v>0.76419040199999999</v>
      </c>
      <c r="W382">
        <f ca="1">IFERROR(IF(0=LEN(ReferenceData!$W$382),"",ReferenceData!$W$382),"")</f>
        <v>0.74422036400000002</v>
      </c>
      <c r="X382">
        <f ca="1">IFERROR(IF(0=LEN(ReferenceData!$X$382),"",ReferenceData!$X$382),"")</f>
        <v>0.68299910200000002</v>
      </c>
      <c r="Y382">
        <f ca="1">IFERROR(IF(0=LEN(ReferenceData!$Y$382),"",ReferenceData!$Y$382),"")</f>
        <v>0.78530207500000004</v>
      </c>
      <c r="Z382">
        <f ca="1">IFERROR(IF(0=LEN(ReferenceData!$Z$382),"",ReferenceData!$Z$382),"")</f>
        <v>0.757298099</v>
      </c>
      <c r="AA382">
        <f ca="1">IFERROR(IF(0=LEN(ReferenceData!$AA$382),"",ReferenceData!$AA$382),"")</f>
        <v>0.75585040800000003</v>
      </c>
      <c r="AB382">
        <f ca="1">IFERROR(IF(0=LEN(ReferenceData!$AB$382),"",ReferenceData!$AB$382),"")</f>
        <v>0.74143194099999998</v>
      </c>
      <c r="AC382">
        <f ca="1">IFERROR(IF(0=LEN(ReferenceData!$AC$382),"",ReferenceData!$AC$382),"")</f>
        <v>0.703477307</v>
      </c>
      <c r="AD382">
        <f ca="1">IFERROR(IF(0=LEN(ReferenceData!$AD$382),"",ReferenceData!$AD$382),"")</f>
        <v>0.73166272399999999</v>
      </c>
      <c r="AE382">
        <f ca="1">IFERROR(IF(0=LEN(ReferenceData!$AE$382),"",ReferenceData!$AE$382),"")</f>
        <v>0.71412205799999995</v>
      </c>
      <c r="AF382">
        <f ca="1">IFERROR(IF(0=LEN(ReferenceData!$AF$382),"",ReferenceData!$AF$382),"")</f>
        <v>0.76190141300000003</v>
      </c>
      <c r="AG382">
        <f ca="1">IFERROR(IF(0=LEN(ReferenceData!$AG$382),"",ReferenceData!$AG$382),"")</f>
        <v>0.73251408299999998</v>
      </c>
      <c r="AH382">
        <f ca="1">IFERROR(IF(0=LEN(ReferenceData!$AH$382),"",ReferenceData!$AH$382),"")</f>
        <v>0.76012980100000005</v>
      </c>
      <c r="AI382">
        <f ca="1">IFERROR(IF(0=LEN(ReferenceData!$AI$382),"",ReferenceData!$AI$382),"")</f>
        <v>0.63062184700000001</v>
      </c>
      <c r="AJ382">
        <f ca="1">IFERROR(IF(0=LEN(ReferenceData!$AJ$382),"",ReferenceData!$AJ$382),"")</f>
        <v>0.67275568299999999</v>
      </c>
      <c r="AK382">
        <f ca="1">IFERROR(IF(0=LEN(ReferenceData!$AK$382),"",ReferenceData!$AK$382),"")</f>
        <v>0.762805976</v>
      </c>
      <c r="AL382">
        <f ca="1">IFERROR(IF(0=LEN(ReferenceData!$AL$382),"",ReferenceData!$AL$382),"")</f>
        <v>0.73827531199999996</v>
      </c>
      <c r="AM382">
        <f ca="1">IFERROR(IF(0=LEN(ReferenceData!$AM$382),"",ReferenceData!$AM$382),"")</f>
        <v>0.76578115000000002</v>
      </c>
      <c r="AN382">
        <f ca="1">IFERROR(IF(0=LEN(ReferenceData!$AN$382),"",ReferenceData!$AN$382),"")</f>
        <v>0.73300224199999997</v>
      </c>
      <c r="AO382">
        <f ca="1">IFERROR(IF(0=LEN(ReferenceData!$AO$382),"",ReferenceData!$AO$382),"")</f>
        <v>0.76052421999999997</v>
      </c>
      <c r="AP382">
        <f ca="1">IFERROR(IF(0=LEN(ReferenceData!$AP$382),"",ReferenceData!$AP$382),"")</f>
        <v>0.77455154199999998</v>
      </c>
      <c r="AQ382">
        <f ca="1">IFERROR(IF(0=LEN(ReferenceData!$AQ$382),"",ReferenceData!$AQ$382),"")</f>
        <v>0.83909143399999997</v>
      </c>
      <c r="AR382">
        <f ca="1">IFERROR(IF(0=LEN(ReferenceData!$AR$382),"",ReferenceData!$AR$382),"")</f>
        <v>0.79597949800000001</v>
      </c>
      <c r="AS382">
        <f ca="1">IFERROR(IF(0=LEN(ReferenceData!$AS$382),"",ReferenceData!$AS$382),"")</f>
        <v>0.79333237499999998</v>
      </c>
      <c r="AT382">
        <f ca="1">IFERROR(IF(0=LEN(ReferenceData!$AT$382),"",ReferenceData!$AT$382),"")</f>
        <v>0.78587917699999998</v>
      </c>
      <c r="AU382">
        <f ca="1">IFERROR(IF(0=LEN(ReferenceData!$AU$382),"",ReferenceData!$AU$382),"")</f>
        <v>3.3670815790000002</v>
      </c>
      <c r="AV382">
        <f ca="1">IFERROR(IF(0=LEN(ReferenceData!$AV$382),"",ReferenceData!$AV$382),"")</f>
        <v>2.5654344390000001</v>
      </c>
      <c r="AW382">
        <f ca="1">IFERROR(IF(0=LEN(ReferenceData!$AW$382),"",ReferenceData!$AW$382),"")</f>
        <v>2.3016450850000001</v>
      </c>
      <c r="AX382">
        <f ca="1">IFERROR(IF(0=LEN(ReferenceData!$AX$382),"",ReferenceData!$AX$382),"")</f>
        <v>1.801906483</v>
      </c>
      <c r="AY382">
        <f ca="1">IFERROR(IF(0=LEN(ReferenceData!$AY$382),"",ReferenceData!$AY$382),"")</f>
        <v>1.6609371550000001</v>
      </c>
      <c r="AZ382">
        <f ca="1">IFERROR(IF(0=LEN(ReferenceData!$AZ$382),"",ReferenceData!$AZ$382),"")</f>
        <v>1.5656731939999999</v>
      </c>
      <c r="BA382">
        <f ca="1">IFERROR(IF(0=LEN(ReferenceData!$BA$382),"",ReferenceData!$BA$382),"")</f>
        <v>1.9025215419999999</v>
      </c>
      <c r="BB382">
        <f ca="1">IFERROR(IF(0=LEN(ReferenceData!$BB$382),"",ReferenceData!$BB$382),"")</f>
        <v>2.3817526290000002</v>
      </c>
      <c r="BC382">
        <f ca="1">IFERROR(IF(0=LEN(ReferenceData!$BC$382),"",ReferenceData!$BC$382),"")</f>
        <v>2.9580677209999999</v>
      </c>
      <c r="BD382">
        <f ca="1">IFERROR(IF(0=LEN(ReferenceData!$BD$382),"",ReferenceData!$BD$382),"")</f>
        <v>2.7600018519999998</v>
      </c>
      <c r="BE382">
        <f ca="1">IFERROR(IF(0=LEN(ReferenceData!$BE$382),"",ReferenceData!$BE$382),"")</f>
        <v>2.7772247349999999</v>
      </c>
      <c r="BF382">
        <f ca="1">IFERROR(IF(0=LEN(ReferenceData!$BF$382),"",ReferenceData!$BF$382),"")</f>
        <v>2.4338283409999999</v>
      </c>
      <c r="BG382">
        <f ca="1">IFERROR(IF(0=LEN(ReferenceData!$BG$382),"",ReferenceData!$BG$382),"")</f>
        <v>2.5694847219999999</v>
      </c>
      <c r="BH382">
        <f ca="1">IFERROR(IF(0=LEN(ReferenceData!$BH$382),"",ReferenceData!$BH$382),"")</f>
        <v>2.4984052760000002</v>
      </c>
      <c r="BI382">
        <f ca="1">IFERROR(IF(0=LEN(ReferenceData!$BI$382),"",ReferenceData!$BI$382),"")</f>
        <v>2.9724509690000001</v>
      </c>
      <c r="BJ382">
        <f ca="1">IFERROR(IF(0=LEN(ReferenceData!$BJ$382),"",ReferenceData!$BJ$382),"")</f>
        <v>2.8559423499999999</v>
      </c>
      <c r="BK382">
        <f ca="1">IFERROR(IF(0=LEN(ReferenceData!$BK$382),"",ReferenceData!$BK$382),"")</f>
        <v>2.8445807059999999</v>
      </c>
      <c r="BL382">
        <f ca="1">IFERROR(IF(0=LEN(ReferenceData!$BL$382),"",ReferenceData!$BL$382),"")</f>
        <v>2.9467012129999999</v>
      </c>
      <c r="BM382">
        <f ca="1">IFERROR(IF(0=LEN(ReferenceData!$BM$382),"",ReferenceData!$BM$382),"")</f>
        <v>2.695713295</v>
      </c>
    </row>
    <row r="383" spans="1:65" x14ac:dyDescent="0.25">
      <c r="A383" t="str">
        <f>IFERROR(IF(0=LEN(ReferenceData!$A$383),"",ReferenceData!$A$383),"")</f>
        <v xml:space="preserve">    Dongfeng Motor Group Co Ltd</v>
      </c>
      <c r="B383" t="str">
        <f>IFERROR(IF(0=LEN(ReferenceData!$B$383),"",ReferenceData!$B$383),"")</f>
        <v>489 HK Equity</v>
      </c>
      <c r="C383" t="str">
        <f>IFERROR(IF(0=LEN(ReferenceData!$C$383),"",ReferenceData!$C$383),"")</f>
        <v>RR480</v>
      </c>
      <c r="D383" t="str">
        <f>IFERROR(IF(0=LEN(ReferenceData!$D$383),"",ReferenceData!$D$383),"")</f>
        <v>EV_TO_MKT_CAP</v>
      </c>
      <c r="E383" t="str">
        <f>IFERROR(IF(0=LEN(ReferenceData!$E$383),"",ReferenceData!$E$383),"")</f>
        <v>Dynamic</v>
      </c>
      <c r="F383" t="str">
        <f ca="1">IFERROR(IF(0=LEN(ReferenceData!$F$383),"",ReferenceData!$F$383),"")</f>
        <v/>
      </c>
      <c r="G383" t="str">
        <f ca="1">IFERROR(IF(0=LEN(ReferenceData!$G$383),"",ReferenceData!$G$383),"")</f>
        <v/>
      </c>
      <c r="H383" t="str">
        <f ca="1">IFERROR(IF(0=LEN(ReferenceData!$H$383),"",ReferenceData!$H$383),"")</f>
        <v/>
      </c>
      <c r="I383" t="str">
        <f ca="1">IFERROR(IF(0=LEN(ReferenceData!$I$383),"",ReferenceData!$I$383),"")</f>
        <v/>
      </c>
      <c r="J383" t="str">
        <f ca="1">IFERROR(IF(0=LEN(ReferenceData!$J$383),"",ReferenceData!$J$383),"")</f>
        <v/>
      </c>
      <c r="K383" t="str">
        <f ca="1">IFERROR(IF(0=LEN(ReferenceData!$K$383),"",ReferenceData!$K$383),"")</f>
        <v/>
      </c>
      <c r="L383" t="str">
        <f ca="1">IFERROR(IF(0=LEN(ReferenceData!$L$383),"",ReferenceData!$L$383),"")</f>
        <v/>
      </c>
      <c r="M383" t="str">
        <f ca="1">IFERROR(IF(0=LEN(ReferenceData!$M$383),"",ReferenceData!$M$383),"")</f>
        <v/>
      </c>
      <c r="N383" t="str">
        <f ca="1">IFERROR(IF(0=LEN(ReferenceData!$N$383),"",ReferenceData!$N$383),"")</f>
        <v/>
      </c>
      <c r="O383" t="str">
        <f ca="1">IFERROR(IF(0=LEN(ReferenceData!$O$383),"",ReferenceData!$O$383),"")</f>
        <v/>
      </c>
      <c r="P383" t="str">
        <f ca="1">IFERROR(IF(0=LEN(ReferenceData!$P$383),"",ReferenceData!$P$383),"")</f>
        <v/>
      </c>
      <c r="Q383" t="str">
        <f ca="1">IFERROR(IF(0=LEN(ReferenceData!$Q$383),"",ReferenceData!$Q$383),"")</f>
        <v/>
      </c>
      <c r="R383" t="str">
        <f ca="1">IFERROR(IF(0=LEN(ReferenceData!$R$383),"",ReferenceData!$R$383),"")</f>
        <v/>
      </c>
      <c r="S383" t="str">
        <f ca="1">IFERROR(IF(0=LEN(ReferenceData!$S$383),"",ReferenceData!$S$383),"")</f>
        <v/>
      </c>
      <c r="T383" t="str">
        <f ca="1">IFERROR(IF(0=LEN(ReferenceData!$T$383),"",ReferenceData!$T$383),"")</f>
        <v/>
      </c>
      <c r="U383" t="str">
        <f ca="1">IFERROR(IF(0=LEN(ReferenceData!$U$383),"",ReferenceData!$U$383),"")</f>
        <v/>
      </c>
      <c r="V383" t="str">
        <f ca="1">IFERROR(IF(0=LEN(ReferenceData!$V$383),"",ReferenceData!$V$383),"")</f>
        <v/>
      </c>
      <c r="W383" t="str">
        <f ca="1">IFERROR(IF(0=LEN(ReferenceData!$W$383),"",ReferenceData!$W$383),"")</f>
        <v/>
      </c>
      <c r="X383" t="str">
        <f ca="1">IFERROR(IF(0=LEN(ReferenceData!$X$383),"",ReferenceData!$X$383),"")</f>
        <v/>
      </c>
      <c r="Y383" t="str">
        <f ca="1">IFERROR(IF(0=LEN(ReferenceData!$Y$383),"",ReferenceData!$Y$383),"")</f>
        <v/>
      </c>
      <c r="Z383" t="str">
        <f ca="1">IFERROR(IF(0=LEN(ReferenceData!$Z$383),"",ReferenceData!$Z$383),"")</f>
        <v/>
      </c>
      <c r="AA383" t="str">
        <f ca="1">IFERROR(IF(0=LEN(ReferenceData!$AA$383),"",ReferenceData!$AA$383),"")</f>
        <v/>
      </c>
      <c r="AB383" t="str">
        <f ca="1">IFERROR(IF(0=LEN(ReferenceData!$AB$383),"",ReferenceData!$AB$383),"")</f>
        <v/>
      </c>
      <c r="AC383" t="str">
        <f ca="1">IFERROR(IF(0=LEN(ReferenceData!$AC$383),"",ReferenceData!$AC$383),"")</f>
        <v/>
      </c>
      <c r="AD383" t="str">
        <f ca="1">IFERROR(IF(0=LEN(ReferenceData!$AD$383),"",ReferenceData!$AD$383),"")</f>
        <v/>
      </c>
      <c r="AE383" t="str">
        <f ca="1">IFERROR(IF(0=LEN(ReferenceData!$AE$383),"",ReferenceData!$AE$383),"")</f>
        <v/>
      </c>
      <c r="AF383" t="str">
        <f ca="1">IFERROR(IF(0=LEN(ReferenceData!$AF$383),"",ReferenceData!$AF$383),"")</f>
        <v/>
      </c>
      <c r="AG383" t="str">
        <f ca="1">IFERROR(IF(0=LEN(ReferenceData!$AG$383),"",ReferenceData!$AG$383),"")</f>
        <v/>
      </c>
      <c r="AH383" t="str">
        <f ca="1">IFERROR(IF(0=LEN(ReferenceData!$AH$383),"",ReferenceData!$AH$383),"")</f>
        <v/>
      </c>
      <c r="AI383" t="str">
        <f ca="1">IFERROR(IF(0=LEN(ReferenceData!$AI$383),"",ReferenceData!$AI$383),"")</f>
        <v/>
      </c>
      <c r="AJ383" t="str">
        <f ca="1">IFERROR(IF(0=LEN(ReferenceData!$AJ$383),"",ReferenceData!$AJ$383),"")</f>
        <v/>
      </c>
      <c r="AK383" t="str">
        <f ca="1">IFERROR(IF(0=LEN(ReferenceData!$AK$383),"",ReferenceData!$AK$383),"")</f>
        <v/>
      </c>
      <c r="AL383" t="str">
        <f ca="1">IFERROR(IF(0=LEN(ReferenceData!$AL$383),"",ReferenceData!$AL$383),"")</f>
        <v/>
      </c>
      <c r="AM383" t="str">
        <f ca="1">IFERROR(IF(0=LEN(ReferenceData!$AM$383),"",ReferenceData!$AM$383),"")</f>
        <v/>
      </c>
      <c r="AN383" t="str">
        <f ca="1">IFERROR(IF(0=LEN(ReferenceData!$AN$383),"",ReferenceData!$AN$383),"")</f>
        <v/>
      </c>
      <c r="AO383" t="str">
        <f ca="1">IFERROR(IF(0=LEN(ReferenceData!$AO$383),"",ReferenceData!$AO$383),"")</f>
        <v/>
      </c>
      <c r="AP383" t="str">
        <f ca="1">IFERROR(IF(0=LEN(ReferenceData!$AP$383),"",ReferenceData!$AP$383),"")</f>
        <v/>
      </c>
      <c r="AQ383" t="str">
        <f ca="1">IFERROR(IF(0=LEN(ReferenceData!$AQ$383),"",ReferenceData!$AQ$383),"")</f>
        <v/>
      </c>
      <c r="AR383" t="str">
        <f ca="1">IFERROR(IF(0=LEN(ReferenceData!$AR$383),"",ReferenceData!$AR$383),"")</f>
        <v/>
      </c>
      <c r="AS383" t="str">
        <f ca="1">IFERROR(IF(0=LEN(ReferenceData!$AS$383),"",ReferenceData!$AS$383),"")</f>
        <v/>
      </c>
      <c r="AT383" t="str">
        <f ca="1">IFERROR(IF(0=LEN(ReferenceData!$AT$383),"",ReferenceData!$AT$383),"")</f>
        <v/>
      </c>
      <c r="AU383" t="str">
        <f ca="1">IFERROR(IF(0=LEN(ReferenceData!$AU$383),"",ReferenceData!$AU$383),"")</f>
        <v/>
      </c>
      <c r="AV383" t="str">
        <f ca="1">IFERROR(IF(0=LEN(ReferenceData!$AV$383),"",ReferenceData!$AV$383),"")</f>
        <v/>
      </c>
      <c r="AW383" t="str">
        <f ca="1">IFERROR(IF(0=LEN(ReferenceData!$AW$383),"",ReferenceData!$AW$383),"")</f>
        <v/>
      </c>
      <c r="AX383" t="str">
        <f ca="1">IFERROR(IF(0=LEN(ReferenceData!$AX$383),"",ReferenceData!$AX$383),"")</f>
        <v/>
      </c>
      <c r="AY383" t="str">
        <f ca="1">IFERROR(IF(0=LEN(ReferenceData!$AY$383),"",ReferenceData!$AY$383),"")</f>
        <v/>
      </c>
      <c r="AZ383" t="str">
        <f ca="1">IFERROR(IF(0=LEN(ReferenceData!$AZ$383),"",ReferenceData!$AZ$383),"")</f>
        <v/>
      </c>
      <c r="BA383" t="str">
        <f ca="1">IFERROR(IF(0=LEN(ReferenceData!$BA$383),"",ReferenceData!$BA$383),"")</f>
        <v/>
      </c>
      <c r="BB383" t="str">
        <f ca="1">IFERROR(IF(0=LEN(ReferenceData!$BB$383),"",ReferenceData!$BB$383),"")</f>
        <v/>
      </c>
      <c r="BC383" t="str">
        <f ca="1">IFERROR(IF(0=LEN(ReferenceData!$BC$383),"",ReferenceData!$BC$383),"")</f>
        <v/>
      </c>
      <c r="BD383" t="str">
        <f ca="1">IFERROR(IF(0=LEN(ReferenceData!$BD$383),"",ReferenceData!$BD$383),"")</f>
        <v/>
      </c>
      <c r="BE383" t="str">
        <f ca="1">IFERROR(IF(0=LEN(ReferenceData!$BE$383),"",ReferenceData!$BE$383),"")</f>
        <v/>
      </c>
      <c r="BF383" t="str">
        <f ca="1">IFERROR(IF(0=LEN(ReferenceData!$BF$383),"",ReferenceData!$BF$383),"")</f>
        <v/>
      </c>
      <c r="BG383" t="str">
        <f ca="1">IFERROR(IF(0=LEN(ReferenceData!$BG$383),"",ReferenceData!$BG$383),"")</f>
        <v/>
      </c>
      <c r="BH383" t="str">
        <f ca="1">IFERROR(IF(0=LEN(ReferenceData!$BH$383),"",ReferenceData!$BH$383),"")</f>
        <v/>
      </c>
      <c r="BI383" t="str">
        <f ca="1">IFERROR(IF(0=LEN(ReferenceData!$BI$383),"",ReferenceData!$BI$383),"")</f>
        <v/>
      </c>
      <c r="BJ383" t="str">
        <f ca="1">IFERROR(IF(0=LEN(ReferenceData!$BJ$383),"",ReferenceData!$BJ$383),"")</f>
        <v/>
      </c>
      <c r="BK383" t="str">
        <f ca="1">IFERROR(IF(0=LEN(ReferenceData!$BK$383),"",ReferenceData!$BK$383),"")</f>
        <v/>
      </c>
      <c r="BL383" t="str">
        <f ca="1">IFERROR(IF(0=LEN(ReferenceData!$BL$383),"",ReferenceData!$BL$383),"")</f>
        <v/>
      </c>
      <c r="BM383" t="str">
        <f ca="1">IFERROR(IF(0=LEN(ReferenceData!$BM$383),"",ReferenceData!$BM$383),"")</f>
        <v/>
      </c>
    </row>
    <row r="384" spans="1:65" x14ac:dyDescent="0.25">
      <c r="A384" t="str">
        <f>IFERROR(IF(0=LEN(ReferenceData!$A$384),"",ReferenceData!$A$384),"")</f>
        <v xml:space="preserve">    DRB-Hicom Bhd</v>
      </c>
      <c r="B384" t="str">
        <f>IFERROR(IF(0=LEN(ReferenceData!$B$384),"",ReferenceData!$B$384),"")</f>
        <v>DRB MK Equity</v>
      </c>
      <c r="C384" t="str">
        <f>IFERROR(IF(0=LEN(ReferenceData!$C$384),"",ReferenceData!$C$384),"")</f>
        <v>RR480</v>
      </c>
      <c r="D384" t="str">
        <f>IFERROR(IF(0=LEN(ReferenceData!$D$384),"",ReferenceData!$D$384),"")</f>
        <v>EV_TO_MKT_CAP</v>
      </c>
      <c r="E384" t="str">
        <f>IFERROR(IF(0=LEN(ReferenceData!$E$384),"",ReferenceData!$E$384),"")</f>
        <v>Dynamic</v>
      </c>
      <c r="F384" t="str">
        <f ca="1">IFERROR(IF(0=LEN(ReferenceData!$F$384),"",ReferenceData!$F$384),"")</f>
        <v/>
      </c>
      <c r="G384" t="str">
        <f ca="1">IFERROR(IF(0=LEN(ReferenceData!$G$384),"",ReferenceData!$G$384),"")</f>
        <v/>
      </c>
      <c r="H384">
        <f ca="1">IFERROR(IF(0=LEN(ReferenceData!$H$384),"",ReferenceData!$H$384),"")</f>
        <v>2.0621659079999999</v>
      </c>
      <c r="I384">
        <f ca="1">IFERROR(IF(0=LEN(ReferenceData!$I$384),"",ReferenceData!$I$384),"")</f>
        <v>2.5006215699999998</v>
      </c>
      <c r="J384">
        <f ca="1">IFERROR(IF(0=LEN(ReferenceData!$J$384),"",ReferenceData!$J$384),"")</f>
        <v>1.915716982</v>
      </c>
      <c r="K384">
        <f ca="1">IFERROR(IF(0=LEN(ReferenceData!$K$384),"",ReferenceData!$K$384),"")</f>
        <v>2.3274296250000002</v>
      </c>
      <c r="L384">
        <f ca="1">IFERROR(IF(0=LEN(ReferenceData!$L$384),"",ReferenceData!$L$384),"")</f>
        <v>3.0900706119999999</v>
      </c>
      <c r="M384">
        <f ca="1">IFERROR(IF(0=LEN(ReferenceData!$M$384),"",ReferenceData!$M$384),"")</f>
        <v>2.8604751130000001</v>
      </c>
      <c r="N384">
        <f ca="1">IFERROR(IF(0=LEN(ReferenceData!$N$384),"",ReferenceData!$N$384),"")</f>
        <v>3.3167764000000002</v>
      </c>
      <c r="O384">
        <f ca="1">IFERROR(IF(0=LEN(ReferenceData!$O$384),"",ReferenceData!$O$384),"")</f>
        <v>3.7153030629999999</v>
      </c>
      <c r="P384">
        <f ca="1">IFERROR(IF(0=LEN(ReferenceData!$P$384),"",ReferenceData!$P$384),"")</f>
        <v>3.0024674359999999</v>
      </c>
      <c r="Q384">
        <f ca="1">IFERROR(IF(0=LEN(ReferenceData!$Q$384),"",ReferenceData!$Q$384),"")</f>
        <v>4.026803117</v>
      </c>
      <c r="R384">
        <f ca="1">IFERROR(IF(0=LEN(ReferenceData!$R$384),"",ReferenceData!$R$384),"")</f>
        <v>3.8503930419999999</v>
      </c>
      <c r="S384">
        <f ca="1">IFERROR(IF(0=LEN(ReferenceData!$S$384),"",ReferenceData!$S$384),"")</f>
        <v>2.823934876</v>
      </c>
      <c r="T384">
        <f ca="1">IFERROR(IF(0=LEN(ReferenceData!$T$384),"",ReferenceData!$T$384),"")</f>
        <v>3.8129855099999999</v>
      </c>
      <c r="U384">
        <f ca="1">IFERROR(IF(0=LEN(ReferenceData!$U$384),"",ReferenceData!$U$384),"")</f>
        <v>3.2812050789999998</v>
      </c>
      <c r="V384">
        <f ca="1">IFERROR(IF(0=LEN(ReferenceData!$V$384),"",ReferenceData!$V$384),"")</f>
        <v>2.0651252759999998</v>
      </c>
      <c r="W384">
        <f ca="1">IFERROR(IF(0=LEN(ReferenceData!$W$384),"",ReferenceData!$W$384),"")</f>
        <v>2.737116409</v>
      </c>
      <c r="X384">
        <f ca="1">IFERROR(IF(0=LEN(ReferenceData!$X$384),"",ReferenceData!$X$384),"")</f>
        <v>2.2116790229999999</v>
      </c>
      <c r="Y384">
        <f ca="1">IFERROR(IF(0=LEN(ReferenceData!$Y$384),"",ReferenceData!$Y$384),"")</f>
        <v>2.2258185300000002</v>
      </c>
      <c r="Z384">
        <f ca="1">IFERROR(IF(0=LEN(ReferenceData!$Z$384),"",ReferenceData!$Z$384),"")</f>
        <v>1.798048979</v>
      </c>
      <c r="AA384">
        <f ca="1">IFERROR(IF(0=LEN(ReferenceData!$AA$384),"",ReferenceData!$AA$384),"")</f>
        <v>1.390668402</v>
      </c>
      <c r="AB384">
        <f ca="1">IFERROR(IF(0=LEN(ReferenceData!$AB$384),"",ReferenceData!$AB$384),"")</f>
        <v>1.471123229</v>
      </c>
      <c r="AC384">
        <f ca="1">IFERROR(IF(0=LEN(ReferenceData!$AC$384),"",ReferenceData!$AC$384),"")</f>
        <v>1.494870063</v>
      </c>
      <c r="AD384">
        <f ca="1">IFERROR(IF(0=LEN(ReferenceData!$AD$384),"",ReferenceData!$AD$384),"")</f>
        <v>0.887886536</v>
      </c>
      <c r="AE384">
        <f ca="1">IFERROR(IF(0=LEN(ReferenceData!$AE$384),"",ReferenceData!$AE$384),"")</f>
        <v>1.3772057980000001</v>
      </c>
      <c r="AF384">
        <f ca="1">IFERROR(IF(0=LEN(ReferenceData!$AF$384),"",ReferenceData!$AF$384),"")</f>
        <v>1.4429534020000001</v>
      </c>
      <c r="AG384">
        <f ca="1">IFERROR(IF(0=LEN(ReferenceData!$AG$384),"",ReferenceData!$AG$384),"")</f>
        <v>1.387176722</v>
      </c>
      <c r="AH384">
        <f ca="1">IFERROR(IF(0=LEN(ReferenceData!$AH$384),"",ReferenceData!$AH$384),"")</f>
        <v>0.53353607599999997</v>
      </c>
      <c r="AI384">
        <f ca="1">IFERROR(IF(0=LEN(ReferenceData!$AI$384),"",ReferenceData!$AI$384),"")</f>
        <v>0.46280563699999999</v>
      </c>
      <c r="AJ384">
        <f ca="1">IFERROR(IF(0=LEN(ReferenceData!$AJ$384),"",ReferenceData!$AJ$384),"")</f>
        <v>0.40679802799999998</v>
      </c>
      <c r="AK384" t="str">
        <f ca="1">IFERROR(IF(0=LEN(ReferenceData!$AK$384),"",ReferenceData!$AK$384),"")</f>
        <v/>
      </c>
      <c r="AL384" t="str">
        <f ca="1">IFERROR(IF(0=LEN(ReferenceData!$AL$384),"",ReferenceData!$AL$384),"")</f>
        <v/>
      </c>
      <c r="AM384">
        <f ca="1">IFERROR(IF(0=LEN(ReferenceData!$AM$384),"",ReferenceData!$AM$384),"")</f>
        <v>2.726719348</v>
      </c>
      <c r="AN384">
        <f ca="1">IFERROR(IF(0=LEN(ReferenceData!$AN$384),"",ReferenceData!$AN$384),"")</f>
        <v>4.4924980229999996</v>
      </c>
      <c r="AO384">
        <f ca="1">IFERROR(IF(0=LEN(ReferenceData!$AO$384),"",ReferenceData!$AO$384),"")</f>
        <v>5.3561857249999996</v>
      </c>
      <c r="AP384" t="str">
        <f ca="1">IFERROR(IF(0=LEN(ReferenceData!$AP$384),"",ReferenceData!$AP$384),"")</f>
        <v/>
      </c>
      <c r="AQ384" t="str">
        <f ca="1">IFERROR(IF(0=LEN(ReferenceData!$AQ$384),"",ReferenceData!$AQ$384),"")</f>
        <v/>
      </c>
      <c r="AR384" t="str">
        <f ca="1">IFERROR(IF(0=LEN(ReferenceData!$AR$384),"",ReferenceData!$AR$384),"")</f>
        <v/>
      </c>
      <c r="AS384">
        <f ca="1">IFERROR(IF(0=LEN(ReferenceData!$AS$384),"",ReferenceData!$AS$384),"")</f>
        <v>5.3194895999999998</v>
      </c>
      <c r="AT384" t="str">
        <f ca="1">IFERROR(IF(0=LEN(ReferenceData!$AT$384),"",ReferenceData!$AT$384),"")</f>
        <v/>
      </c>
      <c r="AU384" t="str">
        <f ca="1">IFERROR(IF(0=LEN(ReferenceData!$AU$384),"",ReferenceData!$AU$384),"")</f>
        <v/>
      </c>
      <c r="AV384">
        <f ca="1">IFERROR(IF(0=LEN(ReferenceData!$AV$384),"",ReferenceData!$AV$384),"")</f>
        <v>1.084964971</v>
      </c>
      <c r="AW384">
        <f ca="1">IFERROR(IF(0=LEN(ReferenceData!$AW$384),"",ReferenceData!$AW$384),"")</f>
        <v>0.96172966400000004</v>
      </c>
      <c r="AX384">
        <f ca="1">IFERROR(IF(0=LEN(ReferenceData!$AX$384),"",ReferenceData!$AX$384),"")</f>
        <v>1.980494918</v>
      </c>
      <c r="AY384">
        <f ca="1">IFERROR(IF(0=LEN(ReferenceData!$AY$384),"",ReferenceData!$AY$384),"")</f>
        <v>1.7660056989999999</v>
      </c>
      <c r="AZ384">
        <f ca="1">IFERROR(IF(0=LEN(ReferenceData!$AZ$384),"",ReferenceData!$AZ$384),"")</f>
        <v>1.551691822</v>
      </c>
      <c r="BA384">
        <f ca="1">IFERROR(IF(0=LEN(ReferenceData!$BA$384),"",ReferenceData!$BA$384),"")</f>
        <v>1.448200376</v>
      </c>
      <c r="BB384">
        <f ca="1">IFERROR(IF(0=LEN(ReferenceData!$BB$384),"",ReferenceData!$BB$384),"")</f>
        <v>1.745639714</v>
      </c>
      <c r="BC384">
        <f ca="1">IFERROR(IF(0=LEN(ReferenceData!$BC$384),"",ReferenceData!$BC$384),"")</f>
        <v>1.9986910520000001</v>
      </c>
      <c r="BD384">
        <f ca="1">IFERROR(IF(0=LEN(ReferenceData!$BD$384),"",ReferenceData!$BD$384),"")</f>
        <v>2.3053222510000002</v>
      </c>
      <c r="BE384">
        <f ca="1">IFERROR(IF(0=LEN(ReferenceData!$BE$384),"",ReferenceData!$BE$384),"")</f>
        <v>2.4767200699999998</v>
      </c>
      <c r="BF384">
        <f ca="1">IFERROR(IF(0=LEN(ReferenceData!$BF$384),"",ReferenceData!$BF$384),"")</f>
        <v>2.3737250150000002</v>
      </c>
      <c r="BG384">
        <f ca="1">IFERROR(IF(0=LEN(ReferenceData!$BG$384),"",ReferenceData!$BG$384),"")</f>
        <v>2.7789529380000002</v>
      </c>
      <c r="BH384">
        <f ca="1">IFERROR(IF(0=LEN(ReferenceData!$BH$384),"",ReferenceData!$BH$384),"")</f>
        <v>2.366937869</v>
      </c>
      <c r="BI384">
        <f ca="1">IFERROR(IF(0=LEN(ReferenceData!$BI$384),"",ReferenceData!$BI$384),"")</f>
        <v>2.3453703720000001</v>
      </c>
      <c r="BJ384">
        <f ca="1">IFERROR(IF(0=LEN(ReferenceData!$BJ$384),"",ReferenceData!$BJ$384),"")</f>
        <v>2.1014057159999999</v>
      </c>
      <c r="BK384">
        <f ca="1">IFERROR(IF(0=LEN(ReferenceData!$BK$384),"",ReferenceData!$BK$384),"")</f>
        <v>1.981216036</v>
      </c>
      <c r="BL384">
        <f ca="1">IFERROR(IF(0=LEN(ReferenceData!$BL$384),"",ReferenceData!$BL$384),"")</f>
        <v>2.0647357959999999</v>
      </c>
      <c r="BM384">
        <f ca="1">IFERROR(IF(0=LEN(ReferenceData!$BM$384),"",ReferenceData!$BM$384),"")</f>
        <v>2.408905018</v>
      </c>
    </row>
    <row r="385" spans="1:65" x14ac:dyDescent="0.25">
      <c r="A385" t="str">
        <f>IFERROR(IF(0=LEN(ReferenceData!$A$385),"",ReferenceData!$A$385),"")</f>
        <v xml:space="preserve">    FAW CAR Co Ltd</v>
      </c>
      <c r="B385" t="str">
        <f>IFERROR(IF(0=LEN(ReferenceData!$B$385),"",ReferenceData!$B$385),"")</f>
        <v>000800 CH Equity</v>
      </c>
      <c r="C385" t="str">
        <f>IFERROR(IF(0=LEN(ReferenceData!$C$385),"",ReferenceData!$C$385),"")</f>
        <v>RR480</v>
      </c>
      <c r="D385" t="str">
        <f>IFERROR(IF(0=LEN(ReferenceData!$D$385),"",ReferenceData!$D$385),"")</f>
        <v>EV_TO_MKT_CAP</v>
      </c>
      <c r="E385" t="str">
        <f>IFERROR(IF(0=LEN(ReferenceData!$E$385),"",ReferenceData!$E$385),"")</f>
        <v>Dynamic</v>
      </c>
      <c r="F385" t="str">
        <f ca="1">IFERROR(IF(0=LEN(ReferenceData!$F$385),"",ReferenceData!$F$385),"")</f>
        <v/>
      </c>
      <c r="G385" t="str">
        <f ca="1">IFERROR(IF(0=LEN(ReferenceData!$G$385),"",ReferenceData!$G$385),"")</f>
        <v/>
      </c>
      <c r="H385">
        <f ca="1">IFERROR(IF(0=LEN(ReferenceData!$H$385),"",ReferenceData!$H$385),"")</f>
        <v>0.94341223500000004</v>
      </c>
      <c r="I385">
        <f ca="1">IFERROR(IF(0=LEN(ReferenceData!$I$385),"",ReferenceData!$I$385),"")</f>
        <v>0.95770720099999995</v>
      </c>
      <c r="J385">
        <f ca="1">IFERROR(IF(0=LEN(ReferenceData!$J$385),"",ReferenceData!$J$385),"")</f>
        <v>0.90627319799999995</v>
      </c>
      <c r="K385">
        <f ca="1">IFERROR(IF(0=LEN(ReferenceData!$K$385),"",ReferenceData!$K$385),"")</f>
        <v>0.94075877299999999</v>
      </c>
      <c r="L385">
        <f ca="1">IFERROR(IF(0=LEN(ReferenceData!$L$385),"",ReferenceData!$L$385),"")</f>
        <v>1.005353615</v>
      </c>
      <c r="M385">
        <f ca="1">IFERROR(IF(0=LEN(ReferenceData!$M$385),"",ReferenceData!$M$385),"")</f>
        <v>1.0662654410000001</v>
      </c>
      <c r="N385">
        <f ca="1">IFERROR(IF(0=LEN(ReferenceData!$N$385),"",ReferenceData!$N$385),"")</f>
        <v>1.0488895730000001</v>
      </c>
      <c r="O385">
        <f ca="1">IFERROR(IF(0=LEN(ReferenceData!$O$385),"",ReferenceData!$O$385),"")</f>
        <v>1.088552041</v>
      </c>
      <c r="P385">
        <f ca="1">IFERROR(IF(0=LEN(ReferenceData!$P$385),"",ReferenceData!$P$385),"")</f>
        <v>1.165554499</v>
      </c>
      <c r="Q385">
        <f ca="1">IFERROR(IF(0=LEN(ReferenceData!$Q$385),"",ReferenceData!$Q$385),"")</f>
        <v>1.15232621</v>
      </c>
      <c r="R385">
        <f ca="1">IFERROR(IF(0=LEN(ReferenceData!$R$385),"",ReferenceData!$R$385),"")</f>
        <v>1.1103385459999999</v>
      </c>
      <c r="S385">
        <f ca="1">IFERROR(IF(0=LEN(ReferenceData!$S$385),"",ReferenceData!$S$385),"")</f>
        <v>1.0619693459999999</v>
      </c>
      <c r="T385">
        <f ca="1">IFERROR(IF(0=LEN(ReferenceData!$T$385),"",ReferenceData!$T$385),"")</f>
        <v>1.0906426410000001</v>
      </c>
      <c r="U385">
        <f ca="1">IFERROR(IF(0=LEN(ReferenceData!$U$385),"",ReferenceData!$U$385),"")</f>
        <v>1.0516295579999999</v>
      </c>
      <c r="V385">
        <f ca="1">IFERROR(IF(0=LEN(ReferenceData!$V$385),"",ReferenceData!$V$385),"")</f>
        <v>1.043403021</v>
      </c>
      <c r="W385">
        <f ca="1">IFERROR(IF(0=LEN(ReferenceData!$W$385),"",ReferenceData!$W$385),"")</f>
        <v>1.0563327689999999</v>
      </c>
      <c r="X385">
        <f ca="1">IFERROR(IF(0=LEN(ReferenceData!$X$385),"",ReferenceData!$X$385),"")</f>
        <v>1.0445589239999999</v>
      </c>
      <c r="Y385">
        <f ca="1">IFERROR(IF(0=LEN(ReferenceData!$Y$385),"",ReferenceData!$Y$385),"")</f>
        <v>1.0601752959999999</v>
      </c>
      <c r="Z385">
        <f ca="1">IFERROR(IF(0=LEN(ReferenceData!$Z$385),"",ReferenceData!$Z$385),"")</f>
        <v>1.0610415209999999</v>
      </c>
      <c r="AA385">
        <f ca="1">IFERROR(IF(0=LEN(ReferenceData!$AA$385),"",ReferenceData!$AA$385),"")</f>
        <v>1.0616814779999999</v>
      </c>
      <c r="AB385">
        <f ca="1">IFERROR(IF(0=LEN(ReferenceData!$AB$385),"",ReferenceData!$AB$385),"")</f>
        <v>1.0325539239999999</v>
      </c>
      <c r="AC385">
        <f ca="1">IFERROR(IF(0=LEN(ReferenceData!$AC$385),"",ReferenceData!$AC$385),"")</f>
        <v>1.051366271</v>
      </c>
      <c r="AD385">
        <f ca="1">IFERROR(IF(0=LEN(ReferenceData!$AD$385),"",ReferenceData!$AD$385),"")</f>
        <v>1.103947663</v>
      </c>
      <c r="AE385">
        <f ca="1">IFERROR(IF(0=LEN(ReferenceData!$AE$385),"",ReferenceData!$AE$385),"")</f>
        <v>1.0523859980000001</v>
      </c>
      <c r="AF385">
        <f ca="1">IFERROR(IF(0=LEN(ReferenceData!$AF$385),"",ReferenceData!$AF$385),"")</f>
        <v>1.023437951</v>
      </c>
      <c r="AG385">
        <f ca="1">IFERROR(IF(0=LEN(ReferenceData!$AG$385),"",ReferenceData!$AG$385),"")</f>
        <v>0.94859678999999997</v>
      </c>
      <c r="AH385">
        <f ca="1">IFERROR(IF(0=LEN(ReferenceData!$AH$385),"",ReferenceData!$AH$385),"")</f>
        <v>0.98652802399999995</v>
      </c>
      <c r="AI385">
        <f ca="1">IFERROR(IF(0=LEN(ReferenceData!$AI$385),"",ReferenceData!$AI$385),"")</f>
        <v>0.98455965999999995</v>
      </c>
      <c r="AJ385">
        <f ca="1">IFERROR(IF(0=LEN(ReferenceData!$AJ$385),"",ReferenceData!$AJ$385),"")</f>
        <v>0.99555364800000001</v>
      </c>
      <c r="AK385">
        <f ca="1">IFERROR(IF(0=LEN(ReferenceData!$AK$385),"",ReferenceData!$AK$385),"")</f>
        <v>0.93778010300000003</v>
      </c>
      <c r="AL385">
        <f ca="1">IFERROR(IF(0=LEN(ReferenceData!$AL$385),"",ReferenceData!$AL$385),"")</f>
        <v>0.926839093</v>
      </c>
      <c r="AM385">
        <f ca="1">IFERROR(IF(0=LEN(ReferenceData!$AM$385),"",ReferenceData!$AM$385),"")</f>
        <v>0.86583544300000004</v>
      </c>
      <c r="AN385">
        <f ca="1">IFERROR(IF(0=LEN(ReferenceData!$AN$385),"",ReferenceData!$AN$385),"")</f>
        <v>0.83789042000000002</v>
      </c>
      <c r="AO385">
        <f ca="1">IFERROR(IF(0=LEN(ReferenceData!$AO$385),"",ReferenceData!$AO$385),"")</f>
        <v>0.86048744399999999</v>
      </c>
      <c r="AP385">
        <f ca="1">IFERROR(IF(0=LEN(ReferenceData!$AP$385),"",ReferenceData!$AP$385),"")</f>
        <v>0.88997371999999997</v>
      </c>
      <c r="AQ385">
        <f ca="1">IFERROR(IF(0=LEN(ReferenceData!$AQ$385),"",ReferenceData!$AQ$385),"")</f>
        <v>0.94004749300000001</v>
      </c>
      <c r="AR385">
        <f ca="1">IFERROR(IF(0=LEN(ReferenceData!$AR$385),"",ReferenceData!$AR$385),"")</f>
        <v>0.87813344299999996</v>
      </c>
      <c r="AS385">
        <f ca="1">IFERROR(IF(0=LEN(ReferenceData!$AS$385),"",ReferenceData!$AS$385),"")</f>
        <v>0.87584021300000003</v>
      </c>
      <c r="AT385">
        <f ca="1">IFERROR(IF(0=LEN(ReferenceData!$AT$385),"",ReferenceData!$AT$385),"")</f>
        <v>0.84266117200000001</v>
      </c>
      <c r="AU385">
        <f ca="1">IFERROR(IF(0=LEN(ReferenceData!$AU$385),"",ReferenceData!$AU$385),"")</f>
        <v>0.839572977</v>
      </c>
      <c r="AV385">
        <f ca="1">IFERROR(IF(0=LEN(ReferenceData!$AV$385),"",ReferenceData!$AV$385),"")</f>
        <v>0.81258268199999995</v>
      </c>
      <c r="AW385">
        <f ca="1">IFERROR(IF(0=LEN(ReferenceData!$AW$385),"",ReferenceData!$AW$385),"")</f>
        <v>0.82830577100000002</v>
      </c>
      <c r="AX385">
        <f ca="1">IFERROR(IF(0=LEN(ReferenceData!$AX$385),"",ReferenceData!$AX$385),"")</f>
        <v>0.86555032300000001</v>
      </c>
      <c r="AY385">
        <f ca="1">IFERROR(IF(0=LEN(ReferenceData!$AY$385),"",ReferenceData!$AY$385),"")</f>
        <v>0.92776623400000002</v>
      </c>
      <c r="AZ385">
        <f ca="1">IFERROR(IF(0=LEN(ReferenceData!$AZ$385),"",ReferenceData!$AZ$385),"")</f>
        <v>0.92385964399999998</v>
      </c>
      <c r="BA385">
        <f ca="1">IFERROR(IF(0=LEN(ReferenceData!$BA$385),"",ReferenceData!$BA$385),"")</f>
        <v>0.84718320499999999</v>
      </c>
      <c r="BB385">
        <f ca="1">IFERROR(IF(0=LEN(ReferenceData!$BB$385),"",ReferenceData!$BB$385),"")</f>
        <v>0.80033449800000001</v>
      </c>
      <c r="BC385">
        <f ca="1">IFERROR(IF(0=LEN(ReferenceData!$BC$385),"",ReferenceData!$BC$385),"")</f>
        <v>0.58984053700000005</v>
      </c>
      <c r="BD385">
        <f ca="1">IFERROR(IF(0=LEN(ReferenceData!$BD$385),"",ReferenceData!$BD$385),"")</f>
        <v>0.739210178</v>
      </c>
      <c r="BE385">
        <f ca="1">IFERROR(IF(0=LEN(ReferenceData!$BE$385),"",ReferenceData!$BE$385),"")</f>
        <v>0.55891504599999997</v>
      </c>
      <c r="BF385">
        <f ca="1">IFERROR(IF(0=LEN(ReferenceData!$BF$385),"",ReferenceData!$BF$385),"")</f>
        <v>0.46032989000000002</v>
      </c>
      <c r="BG385">
        <f ca="1">IFERROR(IF(0=LEN(ReferenceData!$BG$385),"",ReferenceData!$BG$385),"")</f>
        <v>0.429185973</v>
      </c>
      <c r="BH385">
        <f ca="1">IFERROR(IF(0=LEN(ReferenceData!$BH$385),"",ReferenceData!$BH$385),"")</f>
        <v>0.38520241199999999</v>
      </c>
      <c r="BI385">
        <f ca="1">IFERROR(IF(0=LEN(ReferenceData!$BI$385),"",ReferenceData!$BI$385),"")</f>
        <v>0.32083862099999999</v>
      </c>
      <c r="BJ385">
        <f ca="1">IFERROR(IF(0=LEN(ReferenceData!$BJ$385),"",ReferenceData!$BJ$385),"")</f>
        <v>0.69131907599999998</v>
      </c>
      <c r="BK385">
        <f ca="1">IFERROR(IF(0=LEN(ReferenceData!$BK$385),"",ReferenceData!$BK$385),"")</f>
        <v>0.89530711200000002</v>
      </c>
      <c r="BL385">
        <f ca="1">IFERROR(IF(0=LEN(ReferenceData!$BL$385),"",ReferenceData!$BL$385),"")</f>
        <v>0.86280946800000002</v>
      </c>
      <c r="BM385">
        <f ca="1">IFERROR(IF(0=LEN(ReferenceData!$BM$385),"",ReferenceData!$BM$385),"")</f>
        <v>0.75620119699999999</v>
      </c>
    </row>
    <row r="386" spans="1:65" x14ac:dyDescent="0.25">
      <c r="A386" t="str">
        <f>IFERROR(IF(0=LEN(ReferenceData!$A$386),"",ReferenceData!$A$386),"")</f>
        <v xml:space="preserve">    Fiat Chrysler Automobiles NV</v>
      </c>
      <c r="B386" t="str">
        <f>IFERROR(IF(0=LEN(ReferenceData!$B$386),"",ReferenceData!$B$386),"")</f>
        <v>FCAU US Equity</v>
      </c>
      <c r="C386" t="str">
        <f>IFERROR(IF(0=LEN(ReferenceData!$C$386),"",ReferenceData!$C$386),"")</f>
        <v>RR480</v>
      </c>
      <c r="D386" t="str">
        <f>IFERROR(IF(0=LEN(ReferenceData!$D$386),"",ReferenceData!$D$386),"")</f>
        <v>EV_TO_MKT_CAP</v>
      </c>
      <c r="E386" t="str">
        <f>IFERROR(IF(0=LEN(ReferenceData!$E$386),"",ReferenceData!$E$386),"")</f>
        <v>Dynamic</v>
      </c>
      <c r="F386" t="str">
        <f ca="1">IFERROR(IF(0=LEN(ReferenceData!$F$386),"",ReferenceData!$F$386),"")</f>
        <v/>
      </c>
      <c r="G386">
        <f ca="1">IFERROR(IF(0=LEN(ReferenceData!$G$386),"",ReferenceData!$G$386),"")</f>
        <v>1.078690159</v>
      </c>
      <c r="H386">
        <f ca="1">IFERROR(IF(0=LEN(ReferenceData!$H$386),"",ReferenceData!$H$386),"")</f>
        <v>1.081066761</v>
      </c>
      <c r="I386">
        <f ca="1">IFERROR(IF(0=LEN(ReferenceData!$I$386),"",ReferenceData!$I$386),"")</f>
        <v>1.0573817270000001</v>
      </c>
      <c r="J386">
        <f ca="1">IFERROR(IF(0=LEN(ReferenceData!$J$386),"",ReferenceData!$J$386),"")</f>
        <v>1.1114410079999999</v>
      </c>
      <c r="K386">
        <f ca="1">IFERROR(IF(0=LEN(ReferenceData!$K$386),"",ReferenceData!$K$386),"")</f>
        <v>1.1825217889999999</v>
      </c>
      <c r="L386">
        <f ca="1">IFERROR(IF(0=LEN(ReferenceData!$L$386),"",ReferenceData!$L$386),"")</f>
        <v>1.2042502580000001</v>
      </c>
      <c r="M386">
        <f ca="1">IFERROR(IF(0=LEN(ReferenceData!$M$386),"",ReferenceData!$M$386),"")</f>
        <v>1.3293406990000001</v>
      </c>
      <c r="N386">
        <f ca="1">IFERROR(IF(0=LEN(ReferenceData!$N$386),"",ReferenceData!$N$386),"")</f>
        <v>1.3266619289999999</v>
      </c>
      <c r="O386">
        <f ca="1">IFERROR(IF(0=LEN(ReferenceData!$O$386),"",ReferenceData!$O$386),"")</f>
        <v>1.322596892</v>
      </c>
      <c r="P386">
        <f ca="1">IFERROR(IF(0=LEN(ReferenceData!$P$386),"",ReferenceData!$P$386),"")</f>
        <v>1.806921274</v>
      </c>
      <c r="Q386">
        <f ca="1">IFERROR(IF(0=LEN(ReferenceData!$Q$386),"",ReferenceData!$Q$386),"")</f>
        <v>1.6936868430000001</v>
      </c>
      <c r="R386">
        <f ca="1">IFERROR(IF(0=LEN(ReferenceData!$R$386),"",ReferenceData!$R$386),"")</f>
        <v>1.656729114</v>
      </c>
      <c r="S386">
        <f ca="1">IFERROR(IF(0=LEN(ReferenceData!$S$386),"",ReferenceData!$S$386),"")</f>
        <v>1.272821242</v>
      </c>
      <c r="T386">
        <f ca="1">IFERROR(IF(0=LEN(ReferenceData!$T$386),"",ReferenceData!$T$386),"")</f>
        <v>1.5216842349999999</v>
      </c>
      <c r="U386">
        <f ca="1">IFERROR(IF(0=LEN(ReferenceData!$U$386),"",ReferenceData!$U$386),"")</f>
        <v>1.4554356159999999</v>
      </c>
      <c r="V386">
        <f ca="1">IFERROR(IF(0=LEN(ReferenceData!$V$386),"",ReferenceData!$V$386),"")</f>
        <v>1.407438051</v>
      </c>
      <c r="W386">
        <f ca="1">IFERROR(IF(0=LEN(ReferenceData!$W$386),"",ReferenceData!$W$386),"")</f>
        <v>1.592264141</v>
      </c>
      <c r="X386" t="str">
        <f ca="1">IFERROR(IF(0=LEN(ReferenceData!$X$386),"",ReferenceData!$X$386),"")</f>
        <v/>
      </c>
      <c r="Y386" t="str">
        <f ca="1">IFERROR(IF(0=LEN(ReferenceData!$Y$386),"",ReferenceData!$Y$386),"")</f>
        <v/>
      </c>
      <c r="Z386" t="str">
        <f ca="1">IFERROR(IF(0=LEN(ReferenceData!$Z$386),"",ReferenceData!$Z$386),"")</f>
        <v/>
      </c>
      <c r="AA386" t="str">
        <f ca="1">IFERROR(IF(0=LEN(ReferenceData!$AA$386),"",ReferenceData!$AA$386),"")</f>
        <v/>
      </c>
      <c r="AB386" t="str">
        <f ca="1">IFERROR(IF(0=LEN(ReferenceData!$AB$386),"",ReferenceData!$AB$386),"")</f>
        <v/>
      </c>
      <c r="AC386" t="str">
        <f ca="1">IFERROR(IF(0=LEN(ReferenceData!$AC$386),"",ReferenceData!$AC$386),"")</f>
        <v/>
      </c>
      <c r="AD386" t="str">
        <f ca="1">IFERROR(IF(0=LEN(ReferenceData!$AD$386),"",ReferenceData!$AD$386),"")</f>
        <v/>
      </c>
      <c r="AE386" t="str">
        <f ca="1">IFERROR(IF(0=LEN(ReferenceData!$AE$386),"",ReferenceData!$AE$386),"")</f>
        <v/>
      </c>
      <c r="AF386" t="str">
        <f ca="1">IFERROR(IF(0=LEN(ReferenceData!$AF$386),"",ReferenceData!$AF$386),"")</f>
        <v/>
      </c>
      <c r="AG386" t="str">
        <f ca="1">IFERROR(IF(0=LEN(ReferenceData!$AG$386),"",ReferenceData!$AG$386),"")</f>
        <v/>
      </c>
      <c r="AH386" t="str">
        <f ca="1">IFERROR(IF(0=LEN(ReferenceData!$AH$386),"",ReferenceData!$AH$386),"")</f>
        <v/>
      </c>
      <c r="AI386" t="str">
        <f ca="1">IFERROR(IF(0=LEN(ReferenceData!$AI$386),"",ReferenceData!$AI$386),"")</f>
        <v/>
      </c>
      <c r="AJ386" t="str">
        <f ca="1">IFERROR(IF(0=LEN(ReferenceData!$AJ$386),"",ReferenceData!$AJ$386),"")</f>
        <v/>
      </c>
      <c r="AK386" t="str">
        <f ca="1">IFERROR(IF(0=LEN(ReferenceData!$AK$386),"",ReferenceData!$AK$386),"")</f>
        <v/>
      </c>
      <c r="AL386" t="str">
        <f ca="1">IFERROR(IF(0=LEN(ReferenceData!$AL$386),"",ReferenceData!$AL$386),"")</f>
        <v/>
      </c>
      <c r="AM386" t="str">
        <f ca="1">IFERROR(IF(0=LEN(ReferenceData!$AM$386),"",ReferenceData!$AM$386),"")</f>
        <v/>
      </c>
      <c r="AN386" t="str">
        <f ca="1">IFERROR(IF(0=LEN(ReferenceData!$AN$386),"",ReferenceData!$AN$386),"")</f>
        <v/>
      </c>
      <c r="AO386" t="str">
        <f ca="1">IFERROR(IF(0=LEN(ReferenceData!$AO$386),"",ReferenceData!$AO$386),"")</f>
        <v/>
      </c>
      <c r="AP386" t="str">
        <f ca="1">IFERROR(IF(0=LEN(ReferenceData!$AP$386),"",ReferenceData!$AP$386),"")</f>
        <v/>
      </c>
      <c r="AQ386" t="str">
        <f ca="1">IFERROR(IF(0=LEN(ReferenceData!$AQ$386),"",ReferenceData!$AQ$386),"")</f>
        <v/>
      </c>
      <c r="AR386" t="str">
        <f ca="1">IFERROR(IF(0=LEN(ReferenceData!$AR$386),"",ReferenceData!$AR$386),"")</f>
        <v/>
      </c>
      <c r="AS386" t="str">
        <f ca="1">IFERROR(IF(0=LEN(ReferenceData!$AS$386),"",ReferenceData!$AS$386),"")</f>
        <v/>
      </c>
      <c r="AT386" t="str">
        <f ca="1">IFERROR(IF(0=LEN(ReferenceData!$AT$386),"",ReferenceData!$AT$386),"")</f>
        <v/>
      </c>
      <c r="AU386" t="str">
        <f ca="1">IFERROR(IF(0=LEN(ReferenceData!$AU$386),"",ReferenceData!$AU$386),"")</f>
        <v/>
      </c>
      <c r="AV386" t="str">
        <f ca="1">IFERROR(IF(0=LEN(ReferenceData!$AV$386),"",ReferenceData!$AV$386),"")</f>
        <v/>
      </c>
      <c r="AW386" t="str">
        <f ca="1">IFERROR(IF(0=LEN(ReferenceData!$AW$386),"",ReferenceData!$AW$386),"")</f>
        <v/>
      </c>
      <c r="AX386" t="str">
        <f ca="1">IFERROR(IF(0=LEN(ReferenceData!$AX$386),"",ReferenceData!$AX$386),"")</f>
        <v/>
      </c>
      <c r="AY386" t="str">
        <f ca="1">IFERROR(IF(0=LEN(ReferenceData!$AY$386),"",ReferenceData!$AY$386),"")</f>
        <v/>
      </c>
      <c r="AZ386" t="str">
        <f ca="1">IFERROR(IF(0=LEN(ReferenceData!$AZ$386),"",ReferenceData!$AZ$386),"")</f>
        <v/>
      </c>
      <c r="BA386" t="str">
        <f ca="1">IFERROR(IF(0=LEN(ReferenceData!$BA$386),"",ReferenceData!$BA$386),"")</f>
        <v/>
      </c>
      <c r="BB386" t="str">
        <f ca="1">IFERROR(IF(0=LEN(ReferenceData!$BB$386),"",ReferenceData!$BB$386),"")</f>
        <v/>
      </c>
      <c r="BC386" t="str">
        <f ca="1">IFERROR(IF(0=LEN(ReferenceData!$BC$386),"",ReferenceData!$BC$386),"")</f>
        <v/>
      </c>
      <c r="BD386" t="str">
        <f ca="1">IFERROR(IF(0=LEN(ReferenceData!$BD$386),"",ReferenceData!$BD$386),"")</f>
        <v/>
      </c>
      <c r="BE386" t="str">
        <f ca="1">IFERROR(IF(0=LEN(ReferenceData!$BE$386),"",ReferenceData!$BE$386),"")</f>
        <v/>
      </c>
      <c r="BF386" t="str">
        <f ca="1">IFERROR(IF(0=LEN(ReferenceData!$BF$386),"",ReferenceData!$BF$386),"")</f>
        <v/>
      </c>
      <c r="BG386" t="str">
        <f ca="1">IFERROR(IF(0=LEN(ReferenceData!$BG$386),"",ReferenceData!$BG$386),"")</f>
        <v/>
      </c>
      <c r="BH386" t="str">
        <f ca="1">IFERROR(IF(0=LEN(ReferenceData!$BH$386),"",ReferenceData!$BH$386),"")</f>
        <v/>
      </c>
      <c r="BI386" t="str">
        <f ca="1">IFERROR(IF(0=LEN(ReferenceData!$BI$386),"",ReferenceData!$BI$386),"")</f>
        <v/>
      </c>
      <c r="BJ386" t="str">
        <f ca="1">IFERROR(IF(0=LEN(ReferenceData!$BJ$386),"",ReferenceData!$BJ$386),"")</f>
        <v/>
      </c>
      <c r="BK386" t="str">
        <f ca="1">IFERROR(IF(0=LEN(ReferenceData!$BK$386),"",ReferenceData!$BK$386),"")</f>
        <v/>
      </c>
      <c r="BL386" t="str">
        <f ca="1">IFERROR(IF(0=LEN(ReferenceData!$BL$386),"",ReferenceData!$BL$386),"")</f>
        <v/>
      </c>
      <c r="BM386" t="str">
        <f ca="1">IFERROR(IF(0=LEN(ReferenceData!$BM$386),"",ReferenceData!$BM$386),"")</f>
        <v/>
      </c>
    </row>
    <row r="387" spans="1:65" x14ac:dyDescent="0.25">
      <c r="A387" t="str">
        <f>IFERROR(IF(0=LEN(ReferenceData!$A$387),"",ReferenceData!$A$387),"")</f>
        <v xml:space="preserve">    Ford Motor Co</v>
      </c>
      <c r="B387" t="str">
        <f>IFERROR(IF(0=LEN(ReferenceData!$B$387),"",ReferenceData!$B$387),"")</f>
        <v>F US Equity</v>
      </c>
      <c r="C387" t="str">
        <f>IFERROR(IF(0=LEN(ReferenceData!$C$387),"",ReferenceData!$C$387),"")</f>
        <v>RR480</v>
      </c>
      <c r="D387" t="str">
        <f>IFERROR(IF(0=LEN(ReferenceData!$D$387),"",ReferenceData!$D$387),"")</f>
        <v>EV_TO_MKT_CAP</v>
      </c>
      <c r="E387" t="str">
        <f>IFERROR(IF(0=LEN(ReferenceData!$E$387),"",ReferenceData!$E$387),"")</f>
        <v>Dynamic</v>
      </c>
      <c r="F387" t="str">
        <f ca="1">IFERROR(IF(0=LEN(ReferenceData!$F$387),"",ReferenceData!$F$387),"")</f>
        <v/>
      </c>
      <c r="G387">
        <f ca="1">IFERROR(IF(0=LEN(ReferenceData!$G$387),"",ReferenceData!$G$387),"")</f>
        <v>0.69263292300000001</v>
      </c>
      <c r="H387">
        <f ca="1">IFERROR(IF(0=LEN(ReferenceData!$H$387),"",ReferenceData!$H$387),"")</f>
        <v>0.76048770799999998</v>
      </c>
      <c r="I387">
        <f ca="1">IFERROR(IF(0=LEN(ReferenceData!$I$387),"",ReferenceData!$I$387),"")</f>
        <v>0.78754359399999996</v>
      </c>
      <c r="J387">
        <f ca="1">IFERROR(IF(0=LEN(ReferenceData!$J$387),"",ReferenceData!$J$387),"")</f>
        <v>0.73635031699999998</v>
      </c>
      <c r="K387">
        <f ca="1">IFERROR(IF(0=LEN(ReferenceData!$K$387),"",ReferenceData!$K$387),"")</f>
        <v>0.78981268400000004</v>
      </c>
      <c r="L387">
        <f ca="1">IFERROR(IF(0=LEN(ReferenceData!$L$387),"",ReferenceData!$L$387),"")</f>
        <v>0.79307425399999998</v>
      </c>
      <c r="M387">
        <f ca="1">IFERROR(IF(0=LEN(ReferenceData!$M$387),"",ReferenceData!$M$387),"")</f>
        <v>0.72709440299999994</v>
      </c>
      <c r="N387">
        <f ca="1">IFERROR(IF(0=LEN(ReferenceData!$N$387),"",ReferenceData!$N$387),"")</f>
        <v>0.74746668800000005</v>
      </c>
      <c r="O387">
        <f ca="1">IFERROR(IF(0=LEN(ReferenceData!$O$387),"",ReferenceData!$O$387),"")</f>
        <v>0.76248866100000001</v>
      </c>
      <c r="P387">
        <f ca="1">IFERROR(IF(0=LEN(ReferenceData!$P$387),"",ReferenceData!$P$387),"")</f>
        <v>0.76957110799999995</v>
      </c>
      <c r="Q387">
        <f ca="1">IFERROR(IF(0=LEN(ReferenceData!$Q$387),"",ReferenceData!$Q$387),"")</f>
        <v>0.71906331499999998</v>
      </c>
      <c r="R387">
        <f ca="1">IFERROR(IF(0=LEN(ReferenceData!$R$387),"",ReferenceData!$R$387),"")</f>
        <v>0.74896181399999995</v>
      </c>
      <c r="S387">
        <f ca="1">IFERROR(IF(0=LEN(ReferenceData!$S$387),"",ReferenceData!$S$387),"")</f>
        <v>0.81013917199999996</v>
      </c>
      <c r="T387">
        <f ca="1">IFERROR(IF(0=LEN(ReferenceData!$T$387),"",ReferenceData!$T$387),"")</f>
        <v>0.78343423800000001</v>
      </c>
      <c r="U387">
        <f ca="1">IFERROR(IF(0=LEN(ReferenceData!$U$387),"",ReferenceData!$U$387),"")</f>
        <v>0.83768558299999996</v>
      </c>
      <c r="V387">
        <f ca="1">IFERROR(IF(0=LEN(ReferenceData!$V$387),"",ReferenceData!$V$387),"")</f>
        <v>0.87595509800000004</v>
      </c>
      <c r="W387">
        <f ca="1">IFERROR(IF(0=LEN(ReferenceData!$W$387),"",ReferenceData!$W$387),"")</f>
        <v>0.84982981499999999</v>
      </c>
      <c r="X387">
        <f ca="1">IFERROR(IF(0=LEN(ReferenceData!$X$387),"",ReferenceData!$X$387),"")</f>
        <v>0.83270114399999995</v>
      </c>
      <c r="Y387">
        <f ca="1">IFERROR(IF(0=LEN(ReferenceData!$Y$387),"",ReferenceData!$Y$387),"")</f>
        <v>0.81908219699999996</v>
      </c>
      <c r="Z387">
        <f ca="1">IFERROR(IF(0=LEN(ReferenceData!$Z$387),"",ReferenceData!$Z$387),"")</f>
        <v>0.83519876299999996</v>
      </c>
      <c r="AA387">
        <f ca="1">IFERROR(IF(0=LEN(ReferenceData!$AA$387),"",ReferenceData!$AA$387),"")</f>
        <v>0.84888217700000002</v>
      </c>
      <c r="AB387">
        <f ca="1">IFERROR(IF(0=LEN(ReferenceData!$AB$387),"",ReferenceData!$AB$387),"")</f>
        <v>0.82256491700000001</v>
      </c>
      <c r="AC387">
        <f ca="1">IFERROR(IF(0=LEN(ReferenceData!$AC$387),"",ReferenceData!$AC$387),"")</f>
        <v>0.81122838100000005</v>
      </c>
      <c r="AD387">
        <f ca="1">IFERROR(IF(0=LEN(ReferenceData!$AD$387),"",ReferenceData!$AD$387),"")</f>
        <v>0.82894015899999995</v>
      </c>
      <c r="AE387">
        <f ca="1">IFERROR(IF(0=LEN(ReferenceData!$AE$387),"",ReferenceData!$AE$387),"")</f>
        <v>0.77910388600000002</v>
      </c>
      <c r="AF387">
        <f ca="1">IFERROR(IF(0=LEN(ReferenceData!$AF$387),"",ReferenceData!$AF$387),"")</f>
        <v>0.69754884699999997</v>
      </c>
      <c r="AG387">
        <f ca="1">IFERROR(IF(0=LEN(ReferenceData!$AG$387),"",ReferenceData!$AG$387),"")</f>
        <v>0.68717303699999999</v>
      </c>
      <c r="AH387">
        <f ca="1">IFERROR(IF(0=LEN(ReferenceData!$AH$387),"",ReferenceData!$AH$387),"")</f>
        <v>0.77974838000000002</v>
      </c>
      <c r="AI387">
        <f ca="1">IFERROR(IF(0=LEN(ReferenceData!$AI$387),"",ReferenceData!$AI$387),"")</f>
        <v>0.73187004899999997</v>
      </c>
      <c r="AJ387">
        <f ca="1">IFERROR(IF(0=LEN(ReferenceData!$AJ$387),"",ReferenceData!$AJ$387),"")</f>
        <v>0.739706423</v>
      </c>
      <c r="AK387">
        <f ca="1">IFERROR(IF(0=LEN(ReferenceData!$AK$387),"",ReferenceData!$AK$387),"")</f>
        <v>0.81887279499999999</v>
      </c>
      <c r="AL387">
        <f ca="1">IFERROR(IF(0=LEN(ReferenceData!$AL$387),"",ReferenceData!$AL$387),"")</f>
        <v>0.901573238</v>
      </c>
      <c r="AM387">
        <f ca="1">IFERROR(IF(0=LEN(ReferenceData!$AM$387),"",ReferenceData!$AM$387),"")</f>
        <v>0.95777157099999999</v>
      </c>
      <c r="AN387">
        <f ca="1">IFERROR(IF(0=LEN(ReferenceData!$AN$387),"",ReferenceData!$AN$387),"")</f>
        <v>1.0095046969999999</v>
      </c>
      <c r="AO387">
        <f ca="1">IFERROR(IF(0=LEN(ReferenceData!$AO$387),"",ReferenceData!$AO$387),"")</f>
        <v>1.080880719</v>
      </c>
      <c r="AP387">
        <f ca="1">IFERROR(IF(0=LEN(ReferenceData!$AP$387),"",ReferenceData!$AP$387),"")</f>
        <v>1.2101085659999999</v>
      </c>
      <c r="AQ387">
        <f ca="1">IFERROR(IF(0=LEN(ReferenceData!$AQ$387),"",ReferenceData!$AQ$387),"")</f>
        <v>1.193244851</v>
      </c>
      <c r="AR387">
        <f ca="1">IFERROR(IF(0=LEN(ReferenceData!$AR$387),"",ReferenceData!$AR$387),"")</f>
        <v>1.148715428</v>
      </c>
      <c r="AS387">
        <f ca="1">IFERROR(IF(0=LEN(ReferenceData!$AS$387),"",ReferenceData!$AS$387),"")</f>
        <v>1.2998993190000001</v>
      </c>
      <c r="AT387">
        <f ca="1">IFERROR(IF(0=LEN(ReferenceData!$AT$387),"",ReferenceData!$AT$387),"")</f>
        <v>2.5412921009999998</v>
      </c>
      <c r="AU387">
        <f ca="1">IFERROR(IF(0=LEN(ReferenceData!$AU$387),"",ReferenceData!$AU$387),"")</f>
        <v>2.776558954</v>
      </c>
      <c r="AV387">
        <f ca="1">IFERROR(IF(0=LEN(ReferenceData!$AV$387),"",ReferenceData!$AV$387),"")</f>
        <v>1.443727126</v>
      </c>
      <c r="AW387">
        <f ca="1">IFERROR(IF(0=LEN(ReferenceData!$AW$387),"",ReferenceData!$AW$387),"")</f>
        <v>0.98538212599999997</v>
      </c>
      <c r="AX387">
        <f ca="1">IFERROR(IF(0=LEN(ReferenceData!$AX$387),"",ReferenceData!$AX$387),"")</f>
        <v>0.72770316999999995</v>
      </c>
      <c r="AY387">
        <f ca="1">IFERROR(IF(0=LEN(ReferenceData!$AY$387),"",ReferenceData!$AY$387),"")</f>
        <v>0.66701303499999998</v>
      </c>
      <c r="AZ387">
        <f ca="1">IFERROR(IF(0=LEN(ReferenceData!$AZ$387),"",ReferenceData!$AZ$387),"")</f>
        <v>0.73444088500000004</v>
      </c>
      <c r="BA387">
        <f ca="1">IFERROR(IF(0=LEN(ReferenceData!$BA$387),"",ReferenceData!$BA$387),"")</f>
        <v>0.76954921499999995</v>
      </c>
      <c r="BB387">
        <f ca="1">IFERROR(IF(0=LEN(ReferenceData!$BB$387),"",ReferenceData!$BB$387),"")</f>
        <v>0.85886525800000002</v>
      </c>
      <c r="BC387">
        <f ca="1">IFERROR(IF(0=LEN(ReferenceData!$BC$387),"",ReferenceData!$BC$387),"")</f>
        <v>0.88603594900000004</v>
      </c>
      <c r="BD387">
        <f ca="1">IFERROR(IF(0=LEN(ReferenceData!$BD$387),"",ReferenceData!$BD$387),"")</f>
        <v>0.793789988</v>
      </c>
      <c r="BE387">
        <f ca="1">IFERROR(IF(0=LEN(ReferenceData!$BE$387),"",ReferenceData!$BE$387),"")</f>
        <v>0.63342620599999999</v>
      </c>
      <c r="BF387">
        <f ca="1">IFERROR(IF(0=LEN(ReferenceData!$BF$387),"",ReferenceData!$BF$387),"")</f>
        <v>0.77534422599999997</v>
      </c>
      <c r="BG387">
        <f ca="1">IFERROR(IF(0=LEN(ReferenceData!$BG$387),"",ReferenceData!$BG$387),"")</f>
        <v>8.8458642370000007</v>
      </c>
      <c r="BH387">
        <f ca="1">IFERROR(IF(0=LEN(ReferenceData!$BH$387),"",ReferenceData!$BH$387),"")</f>
        <v>6.7546791859999997</v>
      </c>
      <c r="BI387">
        <f ca="1">IFERROR(IF(0=LEN(ReferenceData!$BI$387),"",ReferenceData!$BI$387),"")</f>
        <v>7.3117016570000004</v>
      </c>
      <c r="BJ387">
        <f ca="1">IFERROR(IF(0=LEN(ReferenceData!$BJ$387),"",ReferenceData!$BJ$387),"")</f>
        <v>7.1284246519999996</v>
      </c>
      <c r="BK387">
        <f ca="1">IFERROR(IF(0=LEN(ReferenceData!$BK$387),"",ReferenceData!$BK$387),"")</f>
        <v>5.9387074000000002</v>
      </c>
      <c r="BL387">
        <f ca="1">IFERROR(IF(0=LEN(ReferenceData!$BL$387),"",ReferenceData!$BL$387),"")</f>
        <v>6.3094442629999996</v>
      </c>
      <c r="BM387">
        <f ca="1">IFERROR(IF(0=LEN(ReferenceData!$BM$387),"",ReferenceData!$BM$387),"")</f>
        <v>5.7222791480000001</v>
      </c>
    </row>
    <row r="388" spans="1:65" x14ac:dyDescent="0.25">
      <c r="A388" t="str">
        <f>IFERROR(IF(0=LEN(ReferenceData!$A$388),"",ReferenceData!$A$388),"")</f>
        <v xml:space="preserve">    Ford Otomotiv Sanayi AS</v>
      </c>
      <c r="B388" t="str">
        <f>IFERROR(IF(0=LEN(ReferenceData!$B$388),"",ReferenceData!$B$388),"")</f>
        <v>FROTOTRY EO Equity</v>
      </c>
      <c r="C388" t="str">
        <f>IFERROR(IF(0=LEN(ReferenceData!$C$388),"",ReferenceData!$C$388),"")</f>
        <v>RR480</v>
      </c>
      <c r="D388" t="str">
        <f>IFERROR(IF(0=LEN(ReferenceData!$D$388),"",ReferenceData!$D$388),"")</f>
        <v>EV_TO_MKT_CAP</v>
      </c>
      <c r="E388" t="str">
        <f>IFERROR(IF(0=LEN(ReferenceData!$E$388),"",ReferenceData!$E$388),"")</f>
        <v>Dynamic</v>
      </c>
      <c r="F388" t="str">
        <f ca="1">IFERROR(IF(0=LEN(ReferenceData!$F$388),"",ReferenceData!$F$388),"")</f>
        <v/>
      </c>
      <c r="G388">
        <f ca="1">IFERROR(IF(0=LEN(ReferenceData!$G$388),"",ReferenceData!$G$388),"")</f>
        <v>1.1761160980000001</v>
      </c>
      <c r="H388">
        <f ca="1">IFERROR(IF(0=LEN(ReferenceData!$H$388),"",ReferenceData!$H$388),"")</f>
        <v>1.1718703749999999</v>
      </c>
      <c r="I388">
        <f ca="1">IFERROR(IF(0=LEN(ReferenceData!$I$388),"",ReferenceData!$I$388),"")</f>
        <v>1.127966053</v>
      </c>
      <c r="J388">
        <f ca="1">IFERROR(IF(0=LEN(ReferenceData!$J$388),"",ReferenceData!$J$388),"")</f>
        <v>1.0926446089999999</v>
      </c>
      <c r="K388">
        <f ca="1">IFERROR(IF(0=LEN(ReferenceData!$K$388),"",ReferenceData!$K$388),"")</f>
        <v>1.085047495</v>
      </c>
      <c r="L388">
        <f ca="1">IFERROR(IF(0=LEN(ReferenceData!$L$388),"",ReferenceData!$L$388),"")</f>
        <v>1.1269828770000001</v>
      </c>
      <c r="M388">
        <f ca="1">IFERROR(IF(0=LEN(ReferenceData!$M$388),"",ReferenceData!$M$388),"")</f>
        <v>1.1219873869999999</v>
      </c>
      <c r="N388">
        <f ca="1">IFERROR(IF(0=LEN(ReferenceData!$N$388),"",ReferenceData!$N$388),"")</f>
        <v>1.1365985709999999</v>
      </c>
      <c r="O388">
        <f ca="1">IFERROR(IF(0=LEN(ReferenceData!$O$388),"",ReferenceData!$O$388),"")</f>
        <v>1.1549830999999999</v>
      </c>
      <c r="P388">
        <f ca="1">IFERROR(IF(0=LEN(ReferenceData!$P$388),"",ReferenceData!$P$388),"")</f>
        <v>1.1860103790000001</v>
      </c>
      <c r="Q388">
        <f ca="1">IFERROR(IF(0=LEN(ReferenceData!$Q$388),"",ReferenceData!$Q$388),"")</f>
        <v>1.1937913739999999</v>
      </c>
      <c r="R388">
        <f ca="1">IFERROR(IF(0=LEN(ReferenceData!$R$388),"",ReferenceData!$R$388),"")</f>
        <v>1.1417617410000001</v>
      </c>
      <c r="S388">
        <f ca="1">IFERROR(IF(0=LEN(ReferenceData!$S$388),"",ReferenceData!$S$388),"")</f>
        <v>1.148736202</v>
      </c>
      <c r="T388">
        <f ca="1">IFERROR(IF(0=LEN(ReferenceData!$T$388),"",ReferenceData!$T$388),"")</f>
        <v>1.1944604430000001</v>
      </c>
      <c r="U388">
        <f ca="1">IFERROR(IF(0=LEN(ReferenceData!$U$388),"",ReferenceData!$U$388),"")</f>
        <v>1.1939254459999999</v>
      </c>
      <c r="V388">
        <f ca="1">IFERROR(IF(0=LEN(ReferenceData!$V$388),"",ReferenceData!$V$388),"")</f>
        <v>1.17308816</v>
      </c>
      <c r="W388">
        <f ca="1">IFERROR(IF(0=LEN(ReferenceData!$W$388),"",ReferenceData!$W$388),"")</f>
        <v>1.1551839049999999</v>
      </c>
      <c r="X388">
        <f ca="1">IFERROR(IF(0=LEN(ReferenceData!$X$388),"",ReferenceData!$X$388),"")</f>
        <v>1.233432724</v>
      </c>
      <c r="Y388">
        <f ca="1">IFERROR(IF(0=LEN(ReferenceData!$Y$388),"",ReferenceData!$Y$388),"")</f>
        <v>1.2080045580000001</v>
      </c>
      <c r="Z388">
        <f ca="1">IFERROR(IF(0=LEN(ReferenceData!$Z$388),"",ReferenceData!$Z$388),"")</f>
        <v>1.2746892460000001</v>
      </c>
      <c r="AA388">
        <f ca="1">IFERROR(IF(0=LEN(ReferenceData!$AA$388),"",ReferenceData!$AA$388),"")</f>
        <v>1.2567716259999999</v>
      </c>
      <c r="AB388">
        <f ca="1">IFERROR(IF(0=LEN(ReferenceData!$AB$388),"",ReferenceData!$AB$388),"")</f>
        <v>1.158995011</v>
      </c>
      <c r="AC388">
        <f ca="1">IFERROR(IF(0=LEN(ReferenceData!$AC$388),"",ReferenceData!$AC$388),"")</f>
        <v>1.1328582119999999</v>
      </c>
      <c r="AD388">
        <f ca="1">IFERROR(IF(0=LEN(ReferenceData!$AD$388),"",ReferenceData!$AD$388),"")</f>
        <v>1.0874570960000001</v>
      </c>
      <c r="AE388">
        <f ca="1">IFERROR(IF(0=LEN(ReferenceData!$AE$388),"",ReferenceData!$AE$388),"")</f>
        <v>1.127576873</v>
      </c>
      <c r="AF388">
        <f ca="1">IFERROR(IF(0=LEN(ReferenceData!$AF$388),"",ReferenceData!$AF$388),"")</f>
        <v>1.096931538</v>
      </c>
      <c r="AG388">
        <f ca="1">IFERROR(IF(0=LEN(ReferenceData!$AG$388),"",ReferenceData!$AG$388),"")</f>
        <v>1.0578307659999999</v>
      </c>
      <c r="AH388">
        <f ca="1">IFERROR(IF(0=LEN(ReferenceData!$AH$388),"",ReferenceData!$AH$388),"")</f>
        <v>1.003993533</v>
      </c>
      <c r="AI388">
        <f ca="1">IFERROR(IF(0=LEN(ReferenceData!$AI$388),"",ReferenceData!$AI$388),"")</f>
        <v>1.0126730930000001</v>
      </c>
      <c r="AJ388">
        <f ca="1">IFERROR(IF(0=LEN(ReferenceData!$AJ$388),"",ReferenceData!$AJ$388),"")</f>
        <v>0.97990761599999998</v>
      </c>
      <c r="AK388">
        <f ca="1">IFERROR(IF(0=LEN(ReferenceData!$AK$388),"",ReferenceData!$AK$388),"")</f>
        <v>0.97816711599999995</v>
      </c>
      <c r="AL388">
        <f ca="1">IFERROR(IF(0=LEN(ReferenceData!$AL$388),"",ReferenceData!$AL$388),"")</f>
        <v>0.94161659900000005</v>
      </c>
      <c r="AM388">
        <f ca="1">IFERROR(IF(0=LEN(ReferenceData!$AM$388),"",ReferenceData!$AM$388),"")</f>
        <v>1.0016364760000001</v>
      </c>
      <c r="AN388">
        <f ca="1">IFERROR(IF(0=LEN(ReferenceData!$AN$388),"",ReferenceData!$AN$388),"")</f>
        <v>0.95807203900000004</v>
      </c>
      <c r="AO388">
        <f ca="1">IFERROR(IF(0=LEN(ReferenceData!$AO$388),"",ReferenceData!$AO$388),"")</f>
        <v>0.994364005</v>
      </c>
      <c r="AP388">
        <f ca="1">IFERROR(IF(0=LEN(ReferenceData!$AP$388),"",ReferenceData!$AP$388),"")</f>
        <v>0.96817578299999996</v>
      </c>
      <c r="AQ388">
        <f ca="1">IFERROR(IF(0=LEN(ReferenceData!$AQ$388),"",ReferenceData!$AQ$388),"")</f>
        <v>1.0049818720000001</v>
      </c>
      <c r="AR388">
        <f ca="1">IFERROR(IF(0=LEN(ReferenceData!$AR$388),"",ReferenceData!$AR$388),"")</f>
        <v>0.95840103700000001</v>
      </c>
      <c r="AS388">
        <f ca="1">IFERROR(IF(0=LEN(ReferenceData!$AS$388),"",ReferenceData!$AS$388),"")</f>
        <v>0.92899935600000005</v>
      </c>
      <c r="AT388">
        <f ca="1">IFERROR(IF(0=LEN(ReferenceData!$AT$388),"",ReferenceData!$AT$388),"")</f>
        <v>0.90230144899999998</v>
      </c>
      <c r="AU388">
        <f ca="1">IFERROR(IF(0=LEN(ReferenceData!$AU$388),"",ReferenceData!$AU$388),"")</f>
        <v>1.0768705059999999</v>
      </c>
      <c r="AV388">
        <f ca="1">IFERROR(IF(0=LEN(ReferenceData!$AV$388),"",ReferenceData!$AV$388),"")</f>
        <v>0.91950533099999998</v>
      </c>
      <c r="AW388">
        <f ca="1">IFERROR(IF(0=LEN(ReferenceData!$AW$388),"",ReferenceData!$AW$388),"")</f>
        <v>1.077013655</v>
      </c>
      <c r="AX388">
        <f ca="1">IFERROR(IF(0=LEN(ReferenceData!$AX$388),"",ReferenceData!$AX$388),"")</f>
        <v>0.98417128799999998</v>
      </c>
      <c r="AY388">
        <f ca="1">IFERROR(IF(0=LEN(ReferenceData!$AY$388),"",ReferenceData!$AY$388),"")</f>
        <v>1.013163005</v>
      </c>
      <c r="AZ388">
        <f ca="1">IFERROR(IF(0=LEN(ReferenceData!$AZ$388),"",ReferenceData!$AZ$388),"")</f>
        <v>1.018194153</v>
      </c>
      <c r="BA388">
        <f ca="1">IFERROR(IF(0=LEN(ReferenceData!$BA$388),"",ReferenceData!$BA$388),"")</f>
        <v>1.0671451510000001</v>
      </c>
      <c r="BB388">
        <f ca="1">IFERROR(IF(0=LEN(ReferenceData!$BB$388),"",ReferenceData!$BB$388),"")</f>
        <v>1.0513260719999999</v>
      </c>
      <c r="BC388">
        <f ca="1">IFERROR(IF(0=LEN(ReferenceData!$BC$388),"",ReferenceData!$BC$388),"")</f>
        <v>1.059966674</v>
      </c>
      <c r="BD388">
        <f ca="1">IFERROR(IF(0=LEN(ReferenceData!$BD$388),"",ReferenceData!$BD$388),"")</f>
        <v>1.0936866890000001</v>
      </c>
      <c r="BE388">
        <f ca="1">IFERROR(IF(0=LEN(ReferenceData!$BE$388),"",ReferenceData!$BE$388),"")</f>
        <v>1.0173043319999999</v>
      </c>
      <c r="BF388">
        <f ca="1">IFERROR(IF(0=LEN(ReferenceData!$BF$388),"",ReferenceData!$BF$388),"")</f>
        <v>1.012191874</v>
      </c>
      <c r="BG388">
        <f ca="1">IFERROR(IF(0=LEN(ReferenceData!$BG$388),"",ReferenceData!$BG$388),"")</f>
        <v>1.023676904</v>
      </c>
      <c r="BH388">
        <f ca="1">IFERROR(IF(0=LEN(ReferenceData!$BH$388),"",ReferenceData!$BH$388),"")</f>
        <v>1.005004612</v>
      </c>
      <c r="BI388">
        <f ca="1">IFERROR(IF(0=LEN(ReferenceData!$BI$388),"",ReferenceData!$BI$388),"")</f>
        <v>0.99474159399999995</v>
      </c>
      <c r="BJ388">
        <f ca="1">IFERROR(IF(0=LEN(ReferenceData!$BJ$388),"",ReferenceData!$BJ$388),"")</f>
        <v>1.0630924390000001</v>
      </c>
      <c r="BK388">
        <f ca="1">IFERROR(IF(0=LEN(ReferenceData!$BK$388),"",ReferenceData!$BK$388),"")</f>
        <v>1.0144984909999999</v>
      </c>
      <c r="BL388">
        <f ca="1">IFERROR(IF(0=LEN(ReferenceData!$BL$388),"",ReferenceData!$BL$388),"")</f>
        <v>1.047648028</v>
      </c>
      <c r="BM388">
        <f ca="1">IFERROR(IF(0=LEN(ReferenceData!$BM$388),"",ReferenceData!$BM$388),"")</f>
        <v>1.0779500360000001</v>
      </c>
    </row>
    <row r="389" spans="1:65" x14ac:dyDescent="0.25">
      <c r="A389" t="str">
        <f>IFERROR(IF(0=LEN(ReferenceData!$A$389),"",ReferenceData!$A$389),"")</f>
        <v xml:space="preserve">    GAZ PJSC</v>
      </c>
      <c r="B389" t="str">
        <f>IFERROR(IF(0=LEN(ReferenceData!$B$389),"",ReferenceData!$B$389),"")</f>
        <v>GAZA RM Equity</v>
      </c>
      <c r="C389" t="str">
        <f>IFERROR(IF(0=LEN(ReferenceData!$C$389),"",ReferenceData!$C$389),"")</f>
        <v>RR480</v>
      </c>
      <c r="D389" t="str">
        <f>IFERROR(IF(0=LEN(ReferenceData!$D$389),"",ReferenceData!$D$389),"")</f>
        <v>EV_TO_MKT_CAP</v>
      </c>
      <c r="E389" t="str">
        <f>IFERROR(IF(0=LEN(ReferenceData!$E$389),"",ReferenceData!$E$389),"")</f>
        <v>Dynamic</v>
      </c>
      <c r="F389" t="str">
        <f ca="1">IFERROR(IF(0=LEN(ReferenceData!$F$389),"",ReferenceData!$F$389),"")</f>
        <v/>
      </c>
      <c r="G389" t="str">
        <f ca="1">IFERROR(IF(0=LEN(ReferenceData!$G$389),"",ReferenceData!$G$389),"")</f>
        <v/>
      </c>
      <c r="H389" t="str">
        <f ca="1">IFERROR(IF(0=LEN(ReferenceData!$H$389),"",ReferenceData!$H$389),"")</f>
        <v/>
      </c>
      <c r="I389" t="str">
        <f ca="1">IFERROR(IF(0=LEN(ReferenceData!$I$389),"",ReferenceData!$I$389),"")</f>
        <v/>
      </c>
      <c r="J389" t="str">
        <f ca="1">IFERROR(IF(0=LEN(ReferenceData!$J$389),"",ReferenceData!$J$389),"")</f>
        <v/>
      </c>
      <c r="K389" t="str">
        <f ca="1">IFERROR(IF(0=LEN(ReferenceData!$K$389),"",ReferenceData!$K$389),"")</f>
        <v/>
      </c>
      <c r="L389" t="str">
        <f ca="1">IFERROR(IF(0=LEN(ReferenceData!$L$389),"",ReferenceData!$L$389),"")</f>
        <v/>
      </c>
      <c r="M389" t="str">
        <f ca="1">IFERROR(IF(0=LEN(ReferenceData!$M$389),"",ReferenceData!$M$389),"")</f>
        <v/>
      </c>
      <c r="N389" t="str">
        <f ca="1">IFERROR(IF(0=LEN(ReferenceData!$N$389),"",ReferenceData!$N$389),"")</f>
        <v/>
      </c>
      <c r="O389" t="str">
        <f ca="1">IFERROR(IF(0=LEN(ReferenceData!$O$389),"",ReferenceData!$O$389),"")</f>
        <v/>
      </c>
      <c r="P389" t="str">
        <f ca="1">IFERROR(IF(0=LEN(ReferenceData!$P$389),"",ReferenceData!$P$389),"")</f>
        <v/>
      </c>
      <c r="Q389" t="str">
        <f ca="1">IFERROR(IF(0=LEN(ReferenceData!$Q$389),"",ReferenceData!$Q$389),"")</f>
        <v/>
      </c>
      <c r="R389" t="str">
        <f ca="1">IFERROR(IF(0=LEN(ReferenceData!$R$389),"",ReferenceData!$R$389),"")</f>
        <v/>
      </c>
      <c r="S389" t="str">
        <f ca="1">IFERROR(IF(0=LEN(ReferenceData!$S$389),"",ReferenceData!$S$389),"")</f>
        <v/>
      </c>
      <c r="T389" t="str">
        <f ca="1">IFERROR(IF(0=LEN(ReferenceData!$T$389),"",ReferenceData!$T$389),"")</f>
        <v/>
      </c>
      <c r="U389" t="str">
        <f ca="1">IFERROR(IF(0=LEN(ReferenceData!$U$389),"",ReferenceData!$U$389),"")</f>
        <v/>
      </c>
      <c r="V389" t="str">
        <f ca="1">IFERROR(IF(0=LEN(ReferenceData!$V$389),"",ReferenceData!$V$389),"")</f>
        <v/>
      </c>
      <c r="W389" t="str">
        <f ca="1">IFERROR(IF(0=LEN(ReferenceData!$W$389),"",ReferenceData!$W$389),"")</f>
        <v/>
      </c>
      <c r="X389" t="str">
        <f ca="1">IFERROR(IF(0=LEN(ReferenceData!$X$389),"",ReferenceData!$X$389),"")</f>
        <v/>
      </c>
      <c r="Y389" t="str">
        <f ca="1">IFERROR(IF(0=LEN(ReferenceData!$Y$389),"",ReferenceData!$Y$389),"")</f>
        <v/>
      </c>
      <c r="Z389" t="str">
        <f ca="1">IFERROR(IF(0=LEN(ReferenceData!$Z$389),"",ReferenceData!$Z$389),"")</f>
        <v/>
      </c>
      <c r="AA389" t="str">
        <f ca="1">IFERROR(IF(0=LEN(ReferenceData!$AA$389),"",ReferenceData!$AA$389),"")</f>
        <v/>
      </c>
      <c r="AB389" t="str">
        <f ca="1">IFERROR(IF(0=LEN(ReferenceData!$AB$389),"",ReferenceData!$AB$389),"")</f>
        <v/>
      </c>
      <c r="AC389" t="str">
        <f ca="1">IFERROR(IF(0=LEN(ReferenceData!$AC$389),"",ReferenceData!$AC$389),"")</f>
        <v/>
      </c>
      <c r="AD389" t="str">
        <f ca="1">IFERROR(IF(0=LEN(ReferenceData!$AD$389),"",ReferenceData!$AD$389),"")</f>
        <v/>
      </c>
      <c r="AE389" t="str">
        <f ca="1">IFERROR(IF(0=LEN(ReferenceData!$AE$389),"",ReferenceData!$AE$389),"")</f>
        <v/>
      </c>
      <c r="AF389" t="str">
        <f ca="1">IFERROR(IF(0=LEN(ReferenceData!$AF$389),"",ReferenceData!$AF$389),"")</f>
        <v/>
      </c>
      <c r="AG389" t="str">
        <f ca="1">IFERROR(IF(0=LEN(ReferenceData!$AG$389),"",ReferenceData!$AG$389),"")</f>
        <v/>
      </c>
      <c r="AH389" t="str">
        <f ca="1">IFERROR(IF(0=LEN(ReferenceData!$AH$389),"",ReferenceData!$AH$389),"")</f>
        <v/>
      </c>
      <c r="AI389" t="str">
        <f ca="1">IFERROR(IF(0=LEN(ReferenceData!$AI$389),"",ReferenceData!$AI$389),"")</f>
        <v/>
      </c>
      <c r="AJ389" t="str">
        <f ca="1">IFERROR(IF(0=LEN(ReferenceData!$AJ$389),"",ReferenceData!$AJ$389),"")</f>
        <v/>
      </c>
      <c r="AK389" t="str">
        <f ca="1">IFERROR(IF(0=LEN(ReferenceData!$AK$389),"",ReferenceData!$AK$389),"")</f>
        <v/>
      </c>
      <c r="AL389" t="str">
        <f ca="1">IFERROR(IF(0=LEN(ReferenceData!$AL$389),"",ReferenceData!$AL$389),"")</f>
        <v/>
      </c>
      <c r="AM389" t="str">
        <f ca="1">IFERROR(IF(0=LEN(ReferenceData!$AM$389),"",ReferenceData!$AM$389),"")</f>
        <v/>
      </c>
      <c r="AN389" t="str">
        <f ca="1">IFERROR(IF(0=LEN(ReferenceData!$AN$389),"",ReferenceData!$AN$389),"")</f>
        <v/>
      </c>
      <c r="AO389" t="str">
        <f ca="1">IFERROR(IF(0=LEN(ReferenceData!$AO$389),"",ReferenceData!$AO$389),"")</f>
        <v/>
      </c>
      <c r="AP389" t="str">
        <f ca="1">IFERROR(IF(0=LEN(ReferenceData!$AP$389),"",ReferenceData!$AP$389),"")</f>
        <v/>
      </c>
      <c r="AQ389" t="str">
        <f ca="1">IFERROR(IF(0=LEN(ReferenceData!$AQ$389),"",ReferenceData!$AQ$389),"")</f>
        <v/>
      </c>
      <c r="AR389" t="str">
        <f ca="1">IFERROR(IF(0=LEN(ReferenceData!$AR$389),"",ReferenceData!$AR$389),"")</f>
        <v/>
      </c>
      <c r="AS389" t="str">
        <f ca="1">IFERROR(IF(0=LEN(ReferenceData!$AS$389),"",ReferenceData!$AS$389),"")</f>
        <v/>
      </c>
      <c r="AT389" t="str">
        <f ca="1">IFERROR(IF(0=LEN(ReferenceData!$AT$389),"",ReferenceData!$AT$389),"")</f>
        <v/>
      </c>
      <c r="AU389" t="str">
        <f ca="1">IFERROR(IF(0=LEN(ReferenceData!$AU$389),"",ReferenceData!$AU$389),"")</f>
        <v/>
      </c>
      <c r="AV389" t="str">
        <f ca="1">IFERROR(IF(0=LEN(ReferenceData!$AV$389),"",ReferenceData!$AV$389),"")</f>
        <v/>
      </c>
      <c r="AW389" t="str">
        <f ca="1">IFERROR(IF(0=LEN(ReferenceData!$AW$389),"",ReferenceData!$AW$389),"")</f>
        <v/>
      </c>
      <c r="AX389" t="str">
        <f ca="1">IFERROR(IF(0=LEN(ReferenceData!$AX$389),"",ReferenceData!$AX$389),"")</f>
        <v/>
      </c>
      <c r="AY389" t="str">
        <f ca="1">IFERROR(IF(0=LEN(ReferenceData!$AY$389),"",ReferenceData!$AY$389),"")</f>
        <v/>
      </c>
      <c r="AZ389" t="str">
        <f ca="1">IFERROR(IF(0=LEN(ReferenceData!$AZ$389),"",ReferenceData!$AZ$389),"")</f>
        <v/>
      </c>
      <c r="BA389" t="str">
        <f ca="1">IFERROR(IF(0=LEN(ReferenceData!$BA$389),"",ReferenceData!$BA$389),"")</f>
        <v/>
      </c>
      <c r="BB389" t="str">
        <f ca="1">IFERROR(IF(0=LEN(ReferenceData!$BB$389),"",ReferenceData!$BB$389),"")</f>
        <v/>
      </c>
      <c r="BC389" t="str">
        <f ca="1">IFERROR(IF(0=LEN(ReferenceData!$BC$389),"",ReferenceData!$BC$389),"")</f>
        <v/>
      </c>
      <c r="BD389" t="str">
        <f ca="1">IFERROR(IF(0=LEN(ReferenceData!$BD$389),"",ReferenceData!$BD$389),"")</f>
        <v/>
      </c>
      <c r="BE389" t="str">
        <f ca="1">IFERROR(IF(0=LEN(ReferenceData!$BE$389),"",ReferenceData!$BE$389),"")</f>
        <v/>
      </c>
      <c r="BF389" t="str">
        <f ca="1">IFERROR(IF(0=LEN(ReferenceData!$BF$389),"",ReferenceData!$BF$389),"")</f>
        <v/>
      </c>
      <c r="BG389" t="str">
        <f ca="1">IFERROR(IF(0=LEN(ReferenceData!$BG$389),"",ReferenceData!$BG$389),"")</f>
        <v/>
      </c>
      <c r="BH389" t="str">
        <f ca="1">IFERROR(IF(0=LEN(ReferenceData!$BH$389),"",ReferenceData!$BH$389),"")</f>
        <v/>
      </c>
      <c r="BI389" t="str">
        <f ca="1">IFERROR(IF(0=LEN(ReferenceData!$BI$389),"",ReferenceData!$BI$389),"")</f>
        <v/>
      </c>
      <c r="BJ389" t="str">
        <f ca="1">IFERROR(IF(0=LEN(ReferenceData!$BJ$389),"",ReferenceData!$BJ$389),"")</f>
        <v/>
      </c>
      <c r="BK389" t="str">
        <f ca="1">IFERROR(IF(0=LEN(ReferenceData!$BK$389),"",ReferenceData!$BK$389),"")</f>
        <v/>
      </c>
      <c r="BL389" t="str">
        <f ca="1">IFERROR(IF(0=LEN(ReferenceData!$BL$389),"",ReferenceData!$BL$389),"")</f>
        <v/>
      </c>
      <c r="BM389" t="str">
        <f ca="1">IFERROR(IF(0=LEN(ReferenceData!$BM$389),"",ReferenceData!$BM$389),"")</f>
        <v/>
      </c>
    </row>
    <row r="390" spans="1:65" x14ac:dyDescent="0.25">
      <c r="A390" t="str">
        <f>IFERROR(IF(0=LEN(ReferenceData!$A$390),"",ReferenceData!$A$390),"")</f>
        <v xml:space="preserve">    Geely Automobile Holdings Ltd</v>
      </c>
      <c r="B390" t="str">
        <f>IFERROR(IF(0=LEN(ReferenceData!$B$390),"",ReferenceData!$B$390),"")</f>
        <v>175 HK Equity</v>
      </c>
      <c r="C390" t="str">
        <f>IFERROR(IF(0=LEN(ReferenceData!$C$390),"",ReferenceData!$C$390),"")</f>
        <v>RR480</v>
      </c>
      <c r="D390" t="str">
        <f>IFERROR(IF(0=LEN(ReferenceData!$D$390),"",ReferenceData!$D$390),"")</f>
        <v>EV_TO_MKT_CAP</v>
      </c>
      <c r="E390" t="str">
        <f>IFERROR(IF(0=LEN(ReferenceData!$E$390),"",ReferenceData!$E$390),"")</f>
        <v>Dynamic</v>
      </c>
      <c r="F390" t="str">
        <f ca="1">IFERROR(IF(0=LEN(ReferenceData!$F$390),"",ReferenceData!$F$390),"")</f>
        <v/>
      </c>
      <c r="G390" t="str">
        <f ca="1">IFERROR(IF(0=LEN(ReferenceData!$G$390),"",ReferenceData!$G$390),"")</f>
        <v/>
      </c>
      <c r="H390" t="str">
        <f ca="1">IFERROR(IF(0=LEN(ReferenceData!$H$390),"",ReferenceData!$H$390),"")</f>
        <v/>
      </c>
      <c r="I390" t="str">
        <f ca="1">IFERROR(IF(0=LEN(ReferenceData!$I$390),"",ReferenceData!$I$390),"")</f>
        <v/>
      </c>
      <c r="J390" t="str">
        <f ca="1">IFERROR(IF(0=LEN(ReferenceData!$J$390),"",ReferenceData!$J$390),"")</f>
        <v/>
      </c>
      <c r="K390" t="str">
        <f ca="1">IFERROR(IF(0=LEN(ReferenceData!$K$390),"",ReferenceData!$K$390),"")</f>
        <v/>
      </c>
      <c r="L390" t="str">
        <f ca="1">IFERROR(IF(0=LEN(ReferenceData!$L$390),"",ReferenceData!$L$390),"")</f>
        <v/>
      </c>
      <c r="M390" t="str">
        <f ca="1">IFERROR(IF(0=LEN(ReferenceData!$M$390),"",ReferenceData!$M$390),"")</f>
        <v/>
      </c>
      <c r="N390" t="str">
        <f ca="1">IFERROR(IF(0=LEN(ReferenceData!$N$390),"",ReferenceData!$N$390),"")</f>
        <v/>
      </c>
      <c r="O390" t="str">
        <f ca="1">IFERROR(IF(0=LEN(ReferenceData!$O$390),"",ReferenceData!$O$390),"")</f>
        <v/>
      </c>
      <c r="P390" t="str">
        <f ca="1">IFERROR(IF(0=LEN(ReferenceData!$P$390),"",ReferenceData!$P$390),"")</f>
        <v/>
      </c>
      <c r="Q390" t="str">
        <f ca="1">IFERROR(IF(0=LEN(ReferenceData!$Q$390),"",ReferenceData!$Q$390),"")</f>
        <v/>
      </c>
      <c r="R390" t="str">
        <f ca="1">IFERROR(IF(0=LEN(ReferenceData!$R$390),"",ReferenceData!$R$390),"")</f>
        <v/>
      </c>
      <c r="S390" t="str">
        <f ca="1">IFERROR(IF(0=LEN(ReferenceData!$S$390),"",ReferenceData!$S$390),"")</f>
        <v/>
      </c>
      <c r="T390" t="str">
        <f ca="1">IFERROR(IF(0=LEN(ReferenceData!$T$390),"",ReferenceData!$T$390),"")</f>
        <v/>
      </c>
      <c r="U390" t="str">
        <f ca="1">IFERROR(IF(0=LEN(ReferenceData!$U$390),"",ReferenceData!$U$390),"")</f>
        <v/>
      </c>
      <c r="V390" t="str">
        <f ca="1">IFERROR(IF(0=LEN(ReferenceData!$V$390),"",ReferenceData!$V$390),"")</f>
        <v/>
      </c>
      <c r="W390" t="str">
        <f ca="1">IFERROR(IF(0=LEN(ReferenceData!$W$390),"",ReferenceData!$W$390),"")</f>
        <v/>
      </c>
      <c r="X390" t="str">
        <f ca="1">IFERROR(IF(0=LEN(ReferenceData!$X$390),"",ReferenceData!$X$390),"")</f>
        <v/>
      </c>
      <c r="Y390" t="str">
        <f ca="1">IFERROR(IF(0=LEN(ReferenceData!$Y$390),"",ReferenceData!$Y$390),"")</f>
        <v/>
      </c>
      <c r="Z390" t="str">
        <f ca="1">IFERROR(IF(0=LEN(ReferenceData!$Z$390),"",ReferenceData!$Z$390),"")</f>
        <v/>
      </c>
      <c r="AA390" t="str">
        <f ca="1">IFERROR(IF(0=LEN(ReferenceData!$AA$390),"",ReferenceData!$AA$390),"")</f>
        <v/>
      </c>
      <c r="AB390" t="str">
        <f ca="1">IFERROR(IF(0=LEN(ReferenceData!$AB$390),"",ReferenceData!$AB$390),"")</f>
        <v/>
      </c>
      <c r="AC390" t="str">
        <f ca="1">IFERROR(IF(0=LEN(ReferenceData!$AC$390),"",ReferenceData!$AC$390),"")</f>
        <v/>
      </c>
      <c r="AD390" t="str">
        <f ca="1">IFERROR(IF(0=LEN(ReferenceData!$AD$390),"",ReferenceData!$AD$390),"")</f>
        <v/>
      </c>
      <c r="AE390" t="str">
        <f ca="1">IFERROR(IF(0=LEN(ReferenceData!$AE$390),"",ReferenceData!$AE$390),"")</f>
        <v/>
      </c>
      <c r="AF390" t="str">
        <f ca="1">IFERROR(IF(0=LEN(ReferenceData!$AF$390),"",ReferenceData!$AF$390),"")</f>
        <v/>
      </c>
      <c r="AG390" t="str">
        <f ca="1">IFERROR(IF(0=LEN(ReferenceData!$AG$390),"",ReferenceData!$AG$390),"")</f>
        <v/>
      </c>
      <c r="AH390" t="str">
        <f ca="1">IFERROR(IF(0=LEN(ReferenceData!$AH$390),"",ReferenceData!$AH$390),"")</f>
        <v/>
      </c>
      <c r="AI390" t="str">
        <f ca="1">IFERROR(IF(0=LEN(ReferenceData!$AI$390),"",ReferenceData!$AI$390),"")</f>
        <v/>
      </c>
      <c r="AJ390" t="str">
        <f ca="1">IFERROR(IF(0=LEN(ReferenceData!$AJ$390),"",ReferenceData!$AJ$390),"")</f>
        <v/>
      </c>
      <c r="AK390" t="str">
        <f ca="1">IFERROR(IF(0=LEN(ReferenceData!$AK$390),"",ReferenceData!$AK$390),"")</f>
        <v/>
      </c>
      <c r="AL390" t="str">
        <f ca="1">IFERROR(IF(0=LEN(ReferenceData!$AL$390),"",ReferenceData!$AL$390),"")</f>
        <v/>
      </c>
      <c r="AM390" t="str">
        <f ca="1">IFERROR(IF(0=LEN(ReferenceData!$AM$390),"",ReferenceData!$AM$390),"")</f>
        <v/>
      </c>
      <c r="AN390" t="str">
        <f ca="1">IFERROR(IF(0=LEN(ReferenceData!$AN$390),"",ReferenceData!$AN$390),"")</f>
        <v/>
      </c>
      <c r="AO390" t="str">
        <f ca="1">IFERROR(IF(0=LEN(ReferenceData!$AO$390),"",ReferenceData!$AO$390),"")</f>
        <v/>
      </c>
      <c r="AP390" t="str">
        <f ca="1">IFERROR(IF(0=LEN(ReferenceData!$AP$390),"",ReferenceData!$AP$390),"")</f>
        <v/>
      </c>
      <c r="AQ390" t="str">
        <f ca="1">IFERROR(IF(0=LEN(ReferenceData!$AQ$390),"",ReferenceData!$AQ$390),"")</f>
        <v/>
      </c>
      <c r="AR390" t="str">
        <f ca="1">IFERROR(IF(0=LEN(ReferenceData!$AR$390),"",ReferenceData!$AR$390),"")</f>
        <v/>
      </c>
      <c r="AS390" t="str">
        <f ca="1">IFERROR(IF(0=LEN(ReferenceData!$AS$390),"",ReferenceData!$AS$390),"")</f>
        <v/>
      </c>
      <c r="AT390" t="str">
        <f ca="1">IFERROR(IF(0=LEN(ReferenceData!$AT$390),"",ReferenceData!$AT$390),"")</f>
        <v/>
      </c>
      <c r="AU390" t="str">
        <f ca="1">IFERROR(IF(0=LEN(ReferenceData!$AU$390),"",ReferenceData!$AU$390),"")</f>
        <v/>
      </c>
      <c r="AV390" t="str">
        <f ca="1">IFERROR(IF(0=LEN(ReferenceData!$AV$390),"",ReferenceData!$AV$390),"")</f>
        <v/>
      </c>
      <c r="AW390" t="str">
        <f ca="1">IFERROR(IF(0=LEN(ReferenceData!$AW$390),"",ReferenceData!$AW$390),"")</f>
        <v/>
      </c>
      <c r="AX390" t="str">
        <f ca="1">IFERROR(IF(0=LEN(ReferenceData!$AX$390),"",ReferenceData!$AX$390),"")</f>
        <v/>
      </c>
      <c r="AY390" t="str">
        <f ca="1">IFERROR(IF(0=LEN(ReferenceData!$AY$390),"",ReferenceData!$AY$390),"")</f>
        <v/>
      </c>
      <c r="AZ390" t="str">
        <f ca="1">IFERROR(IF(0=LEN(ReferenceData!$AZ$390),"",ReferenceData!$AZ$390),"")</f>
        <v/>
      </c>
      <c r="BA390" t="str">
        <f ca="1">IFERROR(IF(0=LEN(ReferenceData!$BA$390),"",ReferenceData!$BA$390),"")</f>
        <v/>
      </c>
      <c r="BB390" t="str">
        <f ca="1">IFERROR(IF(0=LEN(ReferenceData!$BB$390),"",ReferenceData!$BB$390),"")</f>
        <v/>
      </c>
      <c r="BC390" t="str">
        <f ca="1">IFERROR(IF(0=LEN(ReferenceData!$BC$390),"",ReferenceData!$BC$390),"")</f>
        <v/>
      </c>
      <c r="BD390" t="str">
        <f ca="1">IFERROR(IF(0=LEN(ReferenceData!$BD$390),"",ReferenceData!$BD$390),"")</f>
        <v/>
      </c>
      <c r="BE390" t="str">
        <f ca="1">IFERROR(IF(0=LEN(ReferenceData!$BE$390),"",ReferenceData!$BE$390),"")</f>
        <v/>
      </c>
      <c r="BF390" t="str">
        <f ca="1">IFERROR(IF(0=LEN(ReferenceData!$BF$390),"",ReferenceData!$BF$390),"")</f>
        <v/>
      </c>
      <c r="BG390" t="str">
        <f ca="1">IFERROR(IF(0=LEN(ReferenceData!$BG$390),"",ReferenceData!$BG$390),"")</f>
        <v/>
      </c>
      <c r="BH390" t="str">
        <f ca="1">IFERROR(IF(0=LEN(ReferenceData!$BH$390),"",ReferenceData!$BH$390),"")</f>
        <v/>
      </c>
      <c r="BI390" t="str">
        <f ca="1">IFERROR(IF(0=LEN(ReferenceData!$BI$390),"",ReferenceData!$BI$390),"")</f>
        <v/>
      </c>
      <c r="BJ390" t="str">
        <f ca="1">IFERROR(IF(0=LEN(ReferenceData!$BJ$390),"",ReferenceData!$BJ$390),"")</f>
        <v/>
      </c>
      <c r="BK390" t="str">
        <f ca="1">IFERROR(IF(0=LEN(ReferenceData!$BK$390),"",ReferenceData!$BK$390),"")</f>
        <v/>
      </c>
      <c r="BL390" t="str">
        <f ca="1">IFERROR(IF(0=LEN(ReferenceData!$BL$390),"",ReferenceData!$BL$390),"")</f>
        <v/>
      </c>
      <c r="BM390" t="str">
        <f ca="1">IFERROR(IF(0=LEN(ReferenceData!$BM$390),"",ReferenceData!$BM$390),"")</f>
        <v/>
      </c>
    </row>
    <row r="391" spans="1:65" x14ac:dyDescent="0.25">
      <c r="A391" t="str">
        <f>IFERROR(IF(0=LEN(ReferenceData!$A$391),"",ReferenceData!$A$391),"")</f>
        <v xml:space="preserve">    General Motors Co</v>
      </c>
      <c r="B391" t="str">
        <f>IFERROR(IF(0=LEN(ReferenceData!$B$391),"",ReferenceData!$B$391),"")</f>
        <v>GM US Equity</v>
      </c>
      <c r="C391" t="str">
        <f>IFERROR(IF(0=LEN(ReferenceData!$C$391),"",ReferenceData!$C$391),"")</f>
        <v>RR480</v>
      </c>
      <c r="D391" t="str">
        <f>IFERROR(IF(0=LEN(ReferenceData!$D$391),"",ReferenceData!$D$391),"")</f>
        <v>EV_TO_MKT_CAP</v>
      </c>
      <c r="E391" t="str">
        <f>IFERROR(IF(0=LEN(ReferenceData!$E$391),"",ReferenceData!$E$391),"")</f>
        <v>Dynamic</v>
      </c>
      <c r="F391" t="str">
        <f ca="1">IFERROR(IF(0=LEN(ReferenceData!$F$391),"",ReferenceData!$F$391),"")</f>
        <v/>
      </c>
      <c r="G391">
        <f ca="1">IFERROR(IF(0=LEN(ReferenceData!$G$391),"",ReferenceData!$G$391),"")</f>
        <v>0.96446722200000001</v>
      </c>
      <c r="H391">
        <f ca="1">IFERROR(IF(0=LEN(ReferenceData!$H$391),"",ReferenceData!$H$391),"")</f>
        <v>0.99081420499999995</v>
      </c>
      <c r="I391">
        <f ca="1">IFERROR(IF(0=LEN(ReferenceData!$I$391),"",ReferenceData!$I$391),"")</f>
        <v>0.97672226299999998</v>
      </c>
      <c r="J391">
        <f ca="1">IFERROR(IF(0=LEN(ReferenceData!$J$391),"",ReferenceData!$J$391),"")</f>
        <v>0.98565138799999996</v>
      </c>
      <c r="K391">
        <f ca="1">IFERROR(IF(0=LEN(ReferenceData!$K$391),"",ReferenceData!$K$391),"")</f>
        <v>0.91572857500000004</v>
      </c>
      <c r="L391">
        <f ca="1">IFERROR(IF(0=LEN(ReferenceData!$L$391),"",ReferenceData!$L$391),"")</f>
        <v>0.96538243800000001</v>
      </c>
      <c r="M391">
        <f ca="1">IFERROR(IF(0=LEN(ReferenceData!$M$391),"",ReferenceData!$M$391),"")</f>
        <v>0.82297929199999997</v>
      </c>
      <c r="N391">
        <f ca="1">IFERROR(IF(0=LEN(ReferenceData!$N$391),"",ReferenceData!$N$391),"")</f>
        <v>0.82586727000000004</v>
      </c>
      <c r="O391">
        <f ca="1">IFERROR(IF(0=LEN(ReferenceData!$O$391),"",ReferenceData!$O$391),"")</f>
        <v>0.79332185200000005</v>
      </c>
      <c r="P391">
        <f ca="1">IFERROR(IF(0=LEN(ReferenceData!$P$391),"",ReferenceData!$P$391),"")</f>
        <v>0.79666351899999999</v>
      </c>
      <c r="Q391">
        <f ca="1">IFERROR(IF(0=LEN(ReferenceData!$Q$391),"",ReferenceData!$Q$391),"")</f>
        <v>0.82416077700000001</v>
      </c>
      <c r="R391">
        <f ca="1">IFERROR(IF(0=LEN(ReferenceData!$R$391),"",ReferenceData!$R$391),"")</f>
        <v>0.86297592499999998</v>
      </c>
      <c r="S391">
        <f ca="1">IFERROR(IF(0=LEN(ReferenceData!$S$391),"",ReferenceData!$S$391),"")</f>
        <v>0.781966088</v>
      </c>
      <c r="T391">
        <f ca="1">IFERROR(IF(0=LEN(ReferenceData!$T$391),"",ReferenceData!$T$391),"")</f>
        <v>0.75287308500000005</v>
      </c>
      <c r="U391">
        <f ca="1">IFERROR(IF(0=LEN(ReferenceData!$U$391),"",ReferenceData!$U$391),"")</f>
        <v>0.76177617799999997</v>
      </c>
      <c r="V391">
        <f ca="1">IFERROR(IF(0=LEN(ReferenceData!$V$391),"",ReferenceData!$V$391),"")</f>
        <v>0.76626666700000001</v>
      </c>
      <c r="W391">
        <f ca="1">IFERROR(IF(0=LEN(ReferenceData!$W$391),"",ReferenceData!$W$391),"")</f>
        <v>0.72634989999999999</v>
      </c>
      <c r="X391">
        <f ca="1">IFERROR(IF(0=LEN(ReferenceData!$X$391),"",ReferenceData!$X$391),"")</f>
        <v>0.70428929200000001</v>
      </c>
      <c r="Y391">
        <f ca="1">IFERROR(IF(0=LEN(ReferenceData!$Y$391),"",ReferenceData!$Y$391),"")</f>
        <v>0.709245868</v>
      </c>
      <c r="Z391">
        <f ca="1">IFERROR(IF(0=LEN(ReferenceData!$Z$391),"",ReferenceData!$Z$391),"")</f>
        <v>0.73955912300000004</v>
      </c>
      <c r="AA391">
        <f ca="1">IFERROR(IF(0=LEN(ReferenceData!$AA$391),"",ReferenceData!$AA$391),"")</f>
        <v>0.70103813500000001</v>
      </c>
      <c r="AB391">
        <f ca="1">IFERROR(IF(0=LEN(ReferenceData!$AB$391),"",ReferenceData!$AB$391),"")</f>
        <v>0.80501608499999999</v>
      </c>
      <c r="AC391">
        <f ca="1">IFERROR(IF(0=LEN(ReferenceData!$AC$391),"",ReferenceData!$AC$391),"")</f>
        <v>0.80239739300000001</v>
      </c>
      <c r="AD391">
        <f ca="1">IFERROR(IF(0=LEN(ReferenceData!$AD$391),"",ReferenceData!$AD$391),"")</f>
        <v>0.79480332799999998</v>
      </c>
      <c r="AE391">
        <f ca="1">IFERROR(IF(0=LEN(ReferenceData!$AE$391),"",ReferenceData!$AE$391),"")</f>
        <v>0.75117121600000003</v>
      </c>
      <c r="AF391">
        <f ca="1">IFERROR(IF(0=LEN(ReferenceData!$AF$391),"",ReferenceData!$AF$391),"")</f>
        <v>0.57971756299999999</v>
      </c>
      <c r="AG391">
        <f ca="1">IFERROR(IF(0=LEN(ReferenceData!$AG$391),"",ReferenceData!$AG$391),"")</f>
        <v>0.78889493099999997</v>
      </c>
      <c r="AH391">
        <f ca="1">IFERROR(IF(0=LEN(ReferenceData!$AH$391),"",ReferenceData!$AH$391),"")</f>
        <v>0.85170750500000003</v>
      </c>
      <c r="AI391">
        <f ca="1">IFERROR(IF(0=LEN(ReferenceData!$AI$391),"",ReferenceData!$AI$391),"")</f>
        <v>0.52423024100000004</v>
      </c>
      <c r="AJ391">
        <f ca="1">IFERROR(IF(0=LEN(ReferenceData!$AJ$391),"",ReferenceData!$AJ$391),"")</f>
        <v>0.72308206500000005</v>
      </c>
      <c r="AK391">
        <f ca="1">IFERROR(IF(0=LEN(ReferenceData!$AK$391),"",ReferenceData!$AK$391),"")</f>
        <v>0.79699613899999999</v>
      </c>
      <c r="AL391">
        <f ca="1">IFERROR(IF(0=LEN(ReferenceData!$AL$391),"",ReferenceData!$AL$391),"")</f>
        <v>0.88649657900000001</v>
      </c>
      <c r="AM391">
        <f ca="1">IFERROR(IF(0=LEN(ReferenceData!$AM$391),"",ReferenceData!$AM$391),"")</f>
        <v>0.93388196599999995</v>
      </c>
      <c r="AN391" t="str">
        <f ca="1">IFERROR(IF(0=LEN(ReferenceData!$AN$391),"",ReferenceData!$AN$391),"")</f>
        <v/>
      </c>
      <c r="AO391" t="str">
        <f ca="1">IFERROR(IF(0=LEN(ReferenceData!$AO$391),"",ReferenceData!$AO$391),"")</f>
        <v/>
      </c>
      <c r="AP391" t="str">
        <f ca="1">IFERROR(IF(0=LEN(ReferenceData!$AP$391),"",ReferenceData!$AP$391),"")</f>
        <v/>
      </c>
      <c r="AQ391" t="str">
        <f ca="1">IFERROR(IF(0=LEN(ReferenceData!$AQ$391),"",ReferenceData!$AQ$391),"")</f>
        <v/>
      </c>
      <c r="AR391" t="str">
        <f ca="1">IFERROR(IF(0=LEN(ReferenceData!$AR$391),"",ReferenceData!$AR$391),"")</f>
        <v/>
      </c>
      <c r="AS391" t="str">
        <f ca="1">IFERROR(IF(0=LEN(ReferenceData!$AS$391),"",ReferenceData!$AS$391),"")</f>
        <v/>
      </c>
      <c r="AT391" t="str">
        <f ca="1">IFERROR(IF(0=LEN(ReferenceData!$AT$391),"",ReferenceData!$AT$391),"")</f>
        <v/>
      </c>
      <c r="AU391" t="str">
        <f ca="1">IFERROR(IF(0=LEN(ReferenceData!$AU$391),"",ReferenceData!$AU$391),"")</f>
        <v/>
      </c>
      <c r="AV391" t="str">
        <f ca="1">IFERROR(IF(0=LEN(ReferenceData!$AV$391),"",ReferenceData!$AV$391),"")</f>
        <v/>
      </c>
      <c r="AW391" t="str">
        <f ca="1">IFERROR(IF(0=LEN(ReferenceData!$AW$391),"",ReferenceData!$AW$391),"")</f>
        <v/>
      </c>
      <c r="AX391" t="str">
        <f ca="1">IFERROR(IF(0=LEN(ReferenceData!$AX$391),"",ReferenceData!$AX$391),"")</f>
        <v/>
      </c>
      <c r="AY391" t="str">
        <f ca="1">IFERROR(IF(0=LEN(ReferenceData!$AY$391),"",ReferenceData!$AY$391),"")</f>
        <v/>
      </c>
      <c r="AZ391" t="str">
        <f ca="1">IFERROR(IF(0=LEN(ReferenceData!$AZ$391),"",ReferenceData!$AZ$391),"")</f>
        <v/>
      </c>
      <c r="BA391" t="str">
        <f ca="1">IFERROR(IF(0=LEN(ReferenceData!$BA$391),"",ReferenceData!$BA$391),"")</f>
        <v/>
      </c>
      <c r="BB391" t="str">
        <f ca="1">IFERROR(IF(0=LEN(ReferenceData!$BB$391),"",ReferenceData!$BB$391),"")</f>
        <v/>
      </c>
      <c r="BC391" t="str">
        <f ca="1">IFERROR(IF(0=LEN(ReferenceData!$BC$391),"",ReferenceData!$BC$391),"")</f>
        <v/>
      </c>
      <c r="BD391" t="str">
        <f ca="1">IFERROR(IF(0=LEN(ReferenceData!$BD$391),"",ReferenceData!$BD$391),"")</f>
        <v/>
      </c>
      <c r="BE391" t="str">
        <f ca="1">IFERROR(IF(0=LEN(ReferenceData!$BE$391),"",ReferenceData!$BE$391),"")</f>
        <v/>
      </c>
      <c r="BF391" t="str">
        <f ca="1">IFERROR(IF(0=LEN(ReferenceData!$BF$391),"",ReferenceData!$BF$391),"")</f>
        <v/>
      </c>
      <c r="BG391" t="str">
        <f ca="1">IFERROR(IF(0=LEN(ReferenceData!$BG$391),"",ReferenceData!$BG$391),"")</f>
        <v/>
      </c>
      <c r="BH391" t="str">
        <f ca="1">IFERROR(IF(0=LEN(ReferenceData!$BH$391),"",ReferenceData!$BH$391),"")</f>
        <v/>
      </c>
      <c r="BI391" t="str">
        <f ca="1">IFERROR(IF(0=LEN(ReferenceData!$BI$391),"",ReferenceData!$BI$391),"")</f>
        <v/>
      </c>
      <c r="BJ391" t="str">
        <f ca="1">IFERROR(IF(0=LEN(ReferenceData!$BJ$391),"",ReferenceData!$BJ$391),"")</f>
        <v/>
      </c>
      <c r="BK391" t="str">
        <f ca="1">IFERROR(IF(0=LEN(ReferenceData!$BK$391),"",ReferenceData!$BK$391),"")</f>
        <v/>
      </c>
      <c r="BL391" t="str">
        <f ca="1">IFERROR(IF(0=LEN(ReferenceData!$BL$391),"",ReferenceData!$BL$391),"")</f>
        <v/>
      </c>
      <c r="BM391" t="str">
        <f ca="1">IFERROR(IF(0=LEN(ReferenceData!$BM$391),"",ReferenceData!$BM$391),"")</f>
        <v/>
      </c>
    </row>
    <row r="392" spans="1:65" x14ac:dyDescent="0.25">
      <c r="A392" t="str">
        <f>IFERROR(IF(0=LEN(ReferenceData!$A$392),"",ReferenceData!$A$392),"")</f>
        <v xml:space="preserve">    Great Wall Motor Co Ltd</v>
      </c>
      <c r="B392" t="str">
        <f>IFERROR(IF(0=LEN(ReferenceData!$B$392),"",ReferenceData!$B$392),"")</f>
        <v>2333 HK Equity</v>
      </c>
      <c r="C392" t="str">
        <f>IFERROR(IF(0=LEN(ReferenceData!$C$392),"",ReferenceData!$C$392),"")</f>
        <v>RR480</v>
      </c>
      <c r="D392" t="str">
        <f>IFERROR(IF(0=LEN(ReferenceData!$D$392),"",ReferenceData!$D$392),"")</f>
        <v>EV_TO_MKT_CAP</v>
      </c>
      <c r="E392" t="str">
        <f>IFERROR(IF(0=LEN(ReferenceData!$E$392),"",ReferenceData!$E$392),"")</f>
        <v>Dynamic</v>
      </c>
      <c r="F392" t="str">
        <f ca="1">IFERROR(IF(0=LEN(ReferenceData!$F$392),"",ReferenceData!$F$392),"")</f>
        <v/>
      </c>
      <c r="G392" t="str">
        <f ca="1">IFERROR(IF(0=LEN(ReferenceData!$G$392),"",ReferenceData!$G$392),"")</f>
        <v/>
      </c>
      <c r="H392">
        <f ca="1">IFERROR(IF(0=LEN(ReferenceData!$H$392),"",ReferenceData!$H$392),"")</f>
        <v>1.0371007809999999</v>
      </c>
      <c r="I392">
        <f ca="1">IFERROR(IF(0=LEN(ReferenceData!$I$392),"",ReferenceData!$I$392),"")</f>
        <v>1.1339312669999999</v>
      </c>
      <c r="J392">
        <f ca="1">IFERROR(IF(0=LEN(ReferenceData!$J$392),"",ReferenceData!$J$392),"")</f>
        <v>1.216855743</v>
      </c>
      <c r="K392">
        <f ca="1">IFERROR(IF(0=LEN(ReferenceData!$K$392),"",ReferenceData!$K$392),"")</f>
        <v>1.1440432730000001</v>
      </c>
      <c r="L392">
        <f ca="1">IFERROR(IF(0=LEN(ReferenceData!$L$392),"",ReferenceData!$L$392),"")</f>
        <v>1.0666658010000001</v>
      </c>
      <c r="M392">
        <f ca="1">IFERROR(IF(0=LEN(ReferenceData!$M$392),"",ReferenceData!$M$392),"")</f>
        <v>1.004735691</v>
      </c>
      <c r="N392">
        <f ca="1">IFERROR(IF(0=LEN(ReferenceData!$N$392),"",ReferenceData!$N$392),"")</f>
        <v>1.0862353819999999</v>
      </c>
      <c r="O392">
        <f ca="1">IFERROR(IF(0=LEN(ReferenceData!$O$392),"",ReferenceData!$O$392),"")</f>
        <v>1.0153517729999999</v>
      </c>
      <c r="P392">
        <f ca="1">IFERROR(IF(0=LEN(ReferenceData!$P$392),"",ReferenceData!$P$392),"")</f>
        <v>1.011524573</v>
      </c>
      <c r="Q392">
        <f ca="1">IFERROR(IF(0=LEN(ReferenceData!$Q$392),"",ReferenceData!$Q$392),"")</f>
        <v>1.0251238600000001</v>
      </c>
      <c r="R392">
        <f ca="1">IFERROR(IF(0=LEN(ReferenceData!$R$392),"",ReferenceData!$R$392),"")</f>
        <v>1.0311533369999999</v>
      </c>
      <c r="S392">
        <f ca="1">IFERROR(IF(0=LEN(ReferenceData!$S$392),"",ReferenceData!$S$392),"")</f>
        <v>1.0256399430000001</v>
      </c>
      <c r="T392">
        <f ca="1">IFERROR(IF(0=LEN(ReferenceData!$T$392),"",ReferenceData!$T$392),"")</f>
        <v>1.0034129510000001</v>
      </c>
      <c r="U392">
        <f ca="1">IFERROR(IF(0=LEN(ReferenceData!$U$392),"",ReferenceData!$U$392),"")</f>
        <v>1.0047337810000001</v>
      </c>
      <c r="V392">
        <f ca="1">IFERROR(IF(0=LEN(ReferenceData!$V$392),"",ReferenceData!$V$392),"")</f>
        <v>1.0069628669999999</v>
      </c>
      <c r="W392">
        <f ca="1">IFERROR(IF(0=LEN(ReferenceData!$W$392),"",ReferenceData!$W$392),"")</f>
        <v>1.009993927</v>
      </c>
      <c r="X392">
        <f ca="1">IFERROR(IF(0=LEN(ReferenceData!$X$392),"",ReferenceData!$X$392),"")</f>
        <v>0.98638478699999999</v>
      </c>
      <c r="Y392">
        <f ca="1">IFERROR(IF(0=LEN(ReferenceData!$Y$392),"",ReferenceData!$Y$392),"")</f>
        <v>1.004320696</v>
      </c>
      <c r="Z392">
        <f ca="1">IFERROR(IF(0=LEN(ReferenceData!$Z$392),"",ReferenceData!$Z$392),"")</f>
        <v>0.97946695500000003</v>
      </c>
      <c r="AA392">
        <f ca="1">IFERROR(IF(0=LEN(ReferenceData!$AA$392),"",ReferenceData!$AA$392),"")</f>
        <v>0.99292072499999995</v>
      </c>
      <c r="AB392">
        <f ca="1">IFERROR(IF(0=LEN(ReferenceData!$AB$392),"",ReferenceData!$AB$392),"")</f>
        <v>0.96213271899999997</v>
      </c>
      <c r="AC392">
        <f ca="1">IFERROR(IF(0=LEN(ReferenceData!$AC$392),"",ReferenceData!$AC$392),"")</f>
        <v>0.971139855</v>
      </c>
      <c r="AD392">
        <f ca="1">IFERROR(IF(0=LEN(ReferenceData!$AD$392),"",ReferenceData!$AD$392),"")</f>
        <v>0.962887296</v>
      </c>
      <c r="AE392">
        <f ca="1">IFERROR(IF(0=LEN(ReferenceData!$AE$392),"",ReferenceData!$AE$392),"")</f>
        <v>0.98420611199999997</v>
      </c>
      <c r="AF392">
        <f ca="1">IFERROR(IF(0=LEN(ReferenceData!$AF$392),"",ReferenceData!$AF$392),"")</f>
        <v>0.96710596000000004</v>
      </c>
      <c r="AG392">
        <f ca="1">IFERROR(IF(0=LEN(ReferenceData!$AG$392),"",ReferenceData!$AG$392),"")</f>
        <v>0.993014018</v>
      </c>
      <c r="AH392">
        <f ca="1">IFERROR(IF(0=LEN(ReferenceData!$AH$392),"",ReferenceData!$AH$392),"")</f>
        <v>0.95016073199999995</v>
      </c>
      <c r="AI392" t="str">
        <f ca="1">IFERROR(IF(0=LEN(ReferenceData!$AI$392),"",ReferenceData!$AI$392),"")</f>
        <v/>
      </c>
      <c r="AJ392">
        <f ca="1">IFERROR(IF(0=LEN(ReferenceData!$AJ$392),"",ReferenceData!$AJ$392),"")</f>
        <v>0.88275795400000001</v>
      </c>
      <c r="AK392" t="str">
        <f ca="1">IFERROR(IF(0=LEN(ReferenceData!$AK$392),"",ReferenceData!$AK$392),"")</f>
        <v/>
      </c>
      <c r="AL392">
        <f ca="1">IFERROR(IF(0=LEN(ReferenceData!$AL$392),"",ReferenceData!$AL$392),"")</f>
        <v>1.0756744600000001</v>
      </c>
      <c r="AM392" t="str">
        <f ca="1">IFERROR(IF(0=LEN(ReferenceData!$AM$392),"",ReferenceData!$AM$392),"")</f>
        <v/>
      </c>
      <c r="AN392" t="str">
        <f ca="1">IFERROR(IF(0=LEN(ReferenceData!$AN$392),"",ReferenceData!$AN$392),"")</f>
        <v/>
      </c>
      <c r="AO392" t="str">
        <f ca="1">IFERROR(IF(0=LEN(ReferenceData!$AO$392),"",ReferenceData!$AO$392),"")</f>
        <v/>
      </c>
      <c r="AP392" t="str">
        <f ca="1">IFERROR(IF(0=LEN(ReferenceData!$AP$392),"",ReferenceData!$AP$392),"")</f>
        <v/>
      </c>
      <c r="AQ392" t="str">
        <f ca="1">IFERROR(IF(0=LEN(ReferenceData!$AQ$392),"",ReferenceData!$AQ$392),"")</f>
        <v/>
      </c>
      <c r="AR392" t="str">
        <f ca="1">IFERROR(IF(0=LEN(ReferenceData!$AR$392),"",ReferenceData!$AR$392),"")</f>
        <v/>
      </c>
      <c r="AS392" t="str">
        <f ca="1">IFERROR(IF(0=LEN(ReferenceData!$AS$392),"",ReferenceData!$AS$392),"")</f>
        <v/>
      </c>
      <c r="AT392" t="str">
        <f ca="1">IFERROR(IF(0=LEN(ReferenceData!$AT$392),"",ReferenceData!$AT$392),"")</f>
        <v/>
      </c>
      <c r="AU392" t="str">
        <f ca="1">IFERROR(IF(0=LEN(ReferenceData!$AU$392),"",ReferenceData!$AU$392),"")</f>
        <v/>
      </c>
      <c r="AV392" t="str">
        <f ca="1">IFERROR(IF(0=LEN(ReferenceData!$AV$392),"",ReferenceData!$AV$392),"")</f>
        <v/>
      </c>
      <c r="AW392" t="str">
        <f ca="1">IFERROR(IF(0=LEN(ReferenceData!$AW$392),"",ReferenceData!$AW$392),"")</f>
        <v/>
      </c>
      <c r="AX392" t="str">
        <f ca="1">IFERROR(IF(0=LEN(ReferenceData!$AX$392),"",ReferenceData!$AX$392),"")</f>
        <v/>
      </c>
      <c r="AY392" t="str">
        <f ca="1">IFERROR(IF(0=LEN(ReferenceData!$AY$392),"",ReferenceData!$AY$392),"")</f>
        <v/>
      </c>
      <c r="AZ392" t="str">
        <f ca="1">IFERROR(IF(0=LEN(ReferenceData!$AZ$392),"",ReferenceData!$AZ$392),"")</f>
        <v/>
      </c>
      <c r="BA392" t="str">
        <f ca="1">IFERROR(IF(0=LEN(ReferenceData!$BA$392),"",ReferenceData!$BA$392),"")</f>
        <v/>
      </c>
      <c r="BB392" t="str">
        <f ca="1">IFERROR(IF(0=LEN(ReferenceData!$BB$392),"",ReferenceData!$BB$392),"")</f>
        <v/>
      </c>
      <c r="BC392" t="str">
        <f ca="1">IFERROR(IF(0=LEN(ReferenceData!$BC$392),"",ReferenceData!$BC$392),"")</f>
        <v/>
      </c>
      <c r="BD392" t="str">
        <f ca="1">IFERROR(IF(0=LEN(ReferenceData!$BD$392),"",ReferenceData!$BD$392),"")</f>
        <v/>
      </c>
      <c r="BE392" t="str">
        <f ca="1">IFERROR(IF(0=LEN(ReferenceData!$BE$392),"",ReferenceData!$BE$392),"")</f>
        <v/>
      </c>
      <c r="BF392" t="str">
        <f ca="1">IFERROR(IF(0=LEN(ReferenceData!$BF$392),"",ReferenceData!$BF$392),"")</f>
        <v/>
      </c>
      <c r="BG392" t="str">
        <f ca="1">IFERROR(IF(0=LEN(ReferenceData!$BG$392),"",ReferenceData!$BG$392),"")</f>
        <v/>
      </c>
      <c r="BH392" t="str">
        <f ca="1">IFERROR(IF(0=LEN(ReferenceData!$BH$392),"",ReferenceData!$BH$392),"")</f>
        <v/>
      </c>
      <c r="BI392" t="str">
        <f ca="1">IFERROR(IF(0=LEN(ReferenceData!$BI$392),"",ReferenceData!$BI$392),"")</f>
        <v/>
      </c>
      <c r="BJ392" t="str">
        <f ca="1">IFERROR(IF(0=LEN(ReferenceData!$BJ$392),"",ReferenceData!$BJ$392),"")</f>
        <v/>
      </c>
      <c r="BK392" t="str">
        <f ca="1">IFERROR(IF(0=LEN(ReferenceData!$BK$392),"",ReferenceData!$BK$392),"")</f>
        <v/>
      </c>
      <c r="BL392" t="str">
        <f ca="1">IFERROR(IF(0=LEN(ReferenceData!$BL$392),"",ReferenceData!$BL$392),"")</f>
        <v/>
      </c>
      <c r="BM392" t="str">
        <f ca="1">IFERROR(IF(0=LEN(ReferenceData!$BM$392),"",ReferenceData!$BM$392),"")</f>
        <v/>
      </c>
    </row>
    <row r="393" spans="1:65" x14ac:dyDescent="0.25">
      <c r="A393" t="str">
        <f>IFERROR(IF(0=LEN(ReferenceData!$A$393),"",ReferenceData!$A$393),"")</f>
        <v xml:space="preserve">    Guangzhou Automobile Group Co Ltd</v>
      </c>
      <c r="B393" t="str">
        <f>IFERROR(IF(0=LEN(ReferenceData!$B$393),"",ReferenceData!$B$393),"")</f>
        <v>2238 HK Equity</v>
      </c>
      <c r="C393" t="str">
        <f>IFERROR(IF(0=LEN(ReferenceData!$C$393),"",ReferenceData!$C$393),"")</f>
        <v>RR480</v>
      </c>
      <c r="D393" t="str">
        <f>IFERROR(IF(0=LEN(ReferenceData!$D$393),"",ReferenceData!$D$393),"")</f>
        <v>EV_TO_MKT_CAP</v>
      </c>
      <c r="E393" t="str">
        <f>IFERROR(IF(0=LEN(ReferenceData!$E$393),"",ReferenceData!$E$393),"")</f>
        <v>Dynamic</v>
      </c>
      <c r="F393" t="str">
        <f ca="1">IFERROR(IF(0=LEN(ReferenceData!$F$393),"",ReferenceData!$F$393),"")</f>
        <v/>
      </c>
      <c r="G393" t="str">
        <f ca="1">IFERROR(IF(0=LEN(ReferenceData!$G$393),"",ReferenceData!$G$393),"")</f>
        <v/>
      </c>
      <c r="H393">
        <f ca="1">IFERROR(IF(0=LEN(ReferenceData!$H$393),"",ReferenceData!$H$393),"")</f>
        <v>0.70782977499999999</v>
      </c>
      <c r="I393">
        <f ca="1">IFERROR(IF(0=LEN(ReferenceData!$I$393),"",ReferenceData!$I$393),"")</f>
        <v>0.66576871400000004</v>
      </c>
      <c r="J393">
        <f ca="1">IFERROR(IF(0=LEN(ReferenceData!$J$393),"",ReferenceData!$J$393),"")</f>
        <v>0.85508055599999999</v>
      </c>
      <c r="K393">
        <f ca="1">IFERROR(IF(0=LEN(ReferenceData!$K$393),"",ReferenceData!$K$393),"")</f>
        <v>0.87544532100000005</v>
      </c>
      <c r="L393">
        <f ca="1">IFERROR(IF(0=LEN(ReferenceData!$L$393),"",ReferenceData!$L$393),"")</f>
        <v>0.94448472999999999</v>
      </c>
      <c r="M393">
        <f ca="1">IFERROR(IF(0=LEN(ReferenceData!$M$393),"",ReferenceData!$M$393),"")</f>
        <v>0.92653219499999995</v>
      </c>
      <c r="N393">
        <f ca="1">IFERROR(IF(0=LEN(ReferenceData!$N$393),"",ReferenceData!$N$393),"")</f>
        <v>0.96292874100000003</v>
      </c>
      <c r="O393">
        <f ca="1">IFERROR(IF(0=LEN(ReferenceData!$O$393),"",ReferenceData!$O$393),"")</f>
        <v>0.94651332600000004</v>
      </c>
      <c r="P393">
        <f ca="1">IFERROR(IF(0=LEN(ReferenceData!$P$393),"",ReferenceData!$P$393),"")</f>
        <v>0.99721526500000002</v>
      </c>
      <c r="Q393">
        <f ca="1">IFERROR(IF(0=LEN(ReferenceData!$Q$393),"",ReferenceData!$Q$393),"")</f>
        <v>0.94671001600000004</v>
      </c>
      <c r="R393">
        <f ca="1">IFERROR(IF(0=LEN(ReferenceData!$R$393),"",ReferenceData!$R$393),"")</f>
        <v>0.97647269599999997</v>
      </c>
      <c r="S393">
        <f ca="1">IFERROR(IF(0=LEN(ReferenceData!$S$393),"",ReferenceData!$S$393),"")</f>
        <v>0.97330840699999999</v>
      </c>
      <c r="T393">
        <f ca="1">IFERROR(IF(0=LEN(ReferenceData!$T$393),"",ReferenceData!$T$393),"")</f>
        <v>0.96471324199999997</v>
      </c>
      <c r="U393">
        <f ca="1">IFERROR(IF(0=LEN(ReferenceData!$U$393),"",ReferenceData!$U$393),"")</f>
        <v>0.96745157599999998</v>
      </c>
      <c r="V393">
        <f ca="1">IFERROR(IF(0=LEN(ReferenceData!$V$393),"",ReferenceData!$V$393),"")</f>
        <v>0.88948281600000001</v>
      </c>
      <c r="W393">
        <f ca="1">IFERROR(IF(0=LEN(ReferenceData!$W$393),"",ReferenceData!$W$393),"")</f>
        <v>0.95873608099999996</v>
      </c>
      <c r="X393">
        <f ca="1">IFERROR(IF(0=LEN(ReferenceData!$X$393),"",ReferenceData!$X$393),"")</f>
        <v>0.93691860599999999</v>
      </c>
      <c r="Y393">
        <f ca="1">IFERROR(IF(0=LEN(ReferenceData!$Y$393),"",ReferenceData!$Y$393),"")</f>
        <v>0.914992425</v>
      </c>
      <c r="Z393">
        <f ca="1">IFERROR(IF(0=LEN(ReferenceData!$Z$393),"",ReferenceData!$Z$393),"")</f>
        <v>0.91622289499999998</v>
      </c>
      <c r="AA393">
        <f ca="1">IFERROR(IF(0=LEN(ReferenceData!$AA$393),"",ReferenceData!$AA$393),"")</f>
        <v>0.926250821</v>
      </c>
      <c r="AB393">
        <f ca="1">IFERROR(IF(0=LEN(ReferenceData!$AB$393),"",ReferenceData!$AB$393),"")</f>
        <v>0.90774207100000004</v>
      </c>
      <c r="AC393">
        <f ca="1">IFERROR(IF(0=LEN(ReferenceData!$AC$393),"",ReferenceData!$AC$393),"")</f>
        <v>0.89193289499999995</v>
      </c>
      <c r="AD393">
        <f ca="1">IFERROR(IF(0=LEN(ReferenceData!$AD$393),"",ReferenceData!$AD$393),"")</f>
        <v>0.91202912000000003</v>
      </c>
      <c r="AE393">
        <f ca="1">IFERROR(IF(0=LEN(ReferenceData!$AE$393),"",ReferenceData!$AE$393),"")</f>
        <v>0.932040337</v>
      </c>
      <c r="AF393">
        <f ca="1">IFERROR(IF(0=LEN(ReferenceData!$AF$393),"",ReferenceData!$AF$393),"")</f>
        <v>0.87819951500000004</v>
      </c>
      <c r="AG393">
        <f ca="1">IFERROR(IF(0=LEN(ReferenceData!$AG$393),"",ReferenceData!$AG$393),"")</f>
        <v>0.90860083599999997</v>
      </c>
      <c r="AH393">
        <f ca="1">IFERROR(IF(0=LEN(ReferenceData!$AH$393),"",ReferenceData!$AH$393),"")</f>
        <v>0.958887936</v>
      </c>
      <c r="AI393">
        <f ca="1">IFERROR(IF(0=LEN(ReferenceData!$AI$393),"",ReferenceData!$AI$393),"")</f>
        <v>0.84170511400000003</v>
      </c>
      <c r="AJ393">
        <f ca="1">IFERROR(IF(0=LEN(ReferenceData!$AJ$393),"",ReferenceData!$AJ$393),"")</f>
        <v>0.87285449999999998</v>
      </c>
      <c r="AK393">
        <f ca="1">IFERROR(IF(0=LEN(ReferenceData!$AK$393),"",ReferenceData!$AK$393),"")</f>
        <v>0.88624937000000004</v>
      </c>
      <c r="AL393">
        <f ca="1">IFERROR(IF(0=LEN(ReferenceData!$AL$393),"",ReferenceData!$AL$393),"")</f>
        <v>0.90552869199999997</v>
      </c>
      <c r="AM393">
        <f ca="1">IFERROR(IF(0=LEN(ReferenceData!$AM$393),"",ReferenceData!$AM$393),"")</f>
        <v>0.90304250399999997</v>
      </c>
      <c r="AN393">
        <f ca="1">IFERROR(IF(0=LEN(ReferenceData!$AN$393),"",ReferenceData!$AN$393),"")</f>
        <v>0.91885698900000001</v>
      </c>
      <c r="AO393" t="str">
        <f ca="1">IFERROR(IF(0=LEN(ReferenceData!$AO$393),"",ReferenceData!$AO$393),"")</f>
        <v/>
      </c>
      <c r="AP393" t="str">
        <f ca="1">IFERROR(IF(0=LEN(ReferenceData!$AP$393),"",ReferenceData!$AP$393),"")</f>
        <v/>
      </c>
      <c r="AQ393" t="str">
        <f ca="1">IFERROR(IF(0=LEN(ReferenceData!$AQ$393),"",ReferenceData!$AQ$393),"")</f>
        <v/>
      </c>
      <c r="AR393" t="str">
        <f ca="1">IFERROR(IF(0=LEN(ReferenceData!$AR$393),"",ReferenceData!$AR$393),"")</f>
        <v/>
      </c>
      <c r="AS393" t="str">
        <f ca="1">IFERROR(IF(0=LEN(ReferenceData!$AS$393),"",ReferenceData!$AS$393),"")</f>
        <v/>
      </c>
      <c r="AT393" t="str">
        <f ca="1">IFERROR(IF(0=LEN(ReferenceData!$AT$393),"",ReferenceData!$AT$393),"")</f>
        <v/>
      </c>
      <c r="AU393" t="str">
        <f ca="1">IFERROR(IF(0=LEN(ReferenceData!$AU$393),"",ReferenceData!$AU$393),"")</f>
        <v/>
      </c>
      <c r="AV393" t="str">
        <f ca="1">IFERROR(IF(0=LEN(ReferenceData!$AV$393),"",ReferenceData!$AV$393),"")</f>
        <v/>
      </c>
      <c r="AW393" t="str">
        <f ca="1">IFERROR(IF(0=LEN(ReferenceData!$AW$393),"",ReferenceData!$AW$393),"")</f>
        <v/>
      </c>
      <c r="AX393" t="str">
        <f ca="1">IFERROR(IF(0=LEN(ReferenceData!$AX$393),"",ReferenceData!$AX$393),"")</f>
        <v/>
      </c>
      <c r="AY393" t="str">
        <f ca="1">IFERROR(IF(0=LEN(ReferenceData!$AY$393),"",ReferenceData!$AY$393),"")</f>
        <v/>
      </c>
      <c r="AZ393" t="str">
        <f ca="1">IFERROR(IF(0=LEN(ReferenceData!$AZ$393),"",ReferenceData!$AZ$393),"")</f>
        <v/>
      </c>
      <c r="BA393" t="str">
        <f ca="1">IFERROR(IF(0=LEN(ReferenceData!$BA$393),"",ReferenceData!$BA$393),"")</f>
        <v/>
      </c>
      <c r="BB393" t="str">
        <f ca="1">IFERROR(IF(0=LEN(ReferenceData!$BB$393),"",ReferenceData!$BB$393),"")</f>
        <v/>
      </c>
      <c r="BC393" t="str">
        <f ca="1">IFERROR(IF(0=LEN(ReferenceData!$BC$393),"",ReferenceData!$BC$393),"")</f>
        <v/>
      </c>
      <c r="BD393" t="str">
        <f ca="1">IFERROR(IF(0=LEN(ReferenceData!$BD$393),"",ReferenceData!$BD$393),"")</f>
        <v/>
      </c>
      <c r="BE393" t="str">
        <f ca="1">IFERROR(IF(0=LEN(ReferenceData!$BE$393),"",ReferenceData!$BE$393),"")</f>
        <v/>
      </c>
      <c r="BF393" t="str">
        <f ca="1">IFERROR(IF(0=LEN(ReferenceData!$BF$393),"",ReferenceData!$BF$393),"")</f>
        <v/>
      </c>
      <c r="BG393" t="str">
        <f ca="1">IFERROR(IF(0=LEN(ReferenceData!$BG$393),"",ReferenceData!$BG$393),"")</f>
        <v/>
      </c>
      <c r="BH393" t="str">
        <f ca="1">IFERROR(IF(0=LEN(ReferenceData!$BH$393),"",ReferenceData!$BH$393),"")</f>
        <v/>
      </c>
      <c r="BI393" t="str">
        <f ca="1">IFERROR(IF(0=LEN(ReferenceData!$BI$393),"",ReferenceData!$BI$393),"")</f>
        <v/>
      </c>
      <c r="BJ393" t="str">
        <f ca="1">IFERROR(IF(0=LEN(ReferenceData!$BJ$393),"",ReferenceData!$BJ$393),"")</f>
        <v/>
      </c>
      <c r="BK393" t="str">
        <f ca="1">IFERROR(IF(0=LEN(ReferenceData!$BK$393),"",ReferenceData!$BK$393),"")</f>
        <v/>
      </c>
      <c r="BL393" t="str">
        <f ca="1">IFERROR(IF(0=LEN(ReferenceData!$BL$393),"",ReferenceData!$BL$393),"")</f>
        <v/>
      </c>
      <c r="BM393" t="str">
        <f ca="1">IFERROR(IF(0=LEN(ReferenceData!$BM$393),"",ReferenceData!$BM$393),"")</f>
        <v/>
      </c>
    </row>
    <row r="394" spans="1:65" x14ac:dyDescent="0.25">
      <c r="A394" t="str">
        <f>IFERROR(IF(0=LEN(ReferenceData!$A$394),"",ReferenceData!$A$394),"")</f>
        <v xml:space="preserve">    Honda Motor Co Ltd</v>
      </c>
      <c r="B394" t="str">
        <f>IFERROR(IF(0=LEN(ReferenceData!$B$394),"",ReferenceData!$B$394),"")</f>
        <v>7267 JP Equity</v>
      </c>
      <c r="C394" t="str">
        <f>IFERROR(IF(0=LEN(ReferenceData!$C$394),"",ReferenceData!$C$394),"")</f>
        <v>RR480</v>
      </c>
      <c r="D394" t="str">
        <f>IFERROR(IF(0=LEN(ReferenceData!$D$394),"",ReferenceData!$D$394),"")</f>
        <v>EV_TO_MKT_CAP</v>
      </c>
      <c r="E394" t="str">
        <f>IFERROR(IF(0=LEN(ReferenceData!$E$394),"",ReferenceData!$E$394),"")</f>
        <v>Dynamic</v>
      </c>
      <c r="F394" t="str">
        <f ca="1">IFERROR(IF(0=LEN(ReferenceData!$F$394),"",ReferenceData!$F$394),"")</f>
        <v/>
      </c>
      <c r="G394">
        <f ca="1">IFERROR(IF(0=LEN(ReferenceData!$G$394),"",ReferenceData!$G$394),"")</f>
        <v>2.0264337389999998</v>
      </c>
      <c r="H394">
        <f ca="1">IFERROR(IF(0=LEN(ReferenceData!$H$394),"",ReferenceData!$H$394),"")</f>
        <v>1.879189666</v>
      </c>
      <c r="I394">
        <f ca="1">IFERROR(IF(0=LEN(ReferenceData!$I$394),"",ReferenceData!$I$394),"")</f>
        <v>1.8906107969999999</v>
      </c>
      <c r="J394">
        <f ca="1">IFERROR(IF(0=LEN(ReferenceData!$J$394),"",ReferenceData!$J$394),"")</f>
        <v>1.7552745510000001</v>
      </c>
      <c r="K394">
        <f ca="1">IFERROR(IF(0=LEN(ReferenceData!$K$394),"",ReferenceData!$K$394),"")</f>
        <v>1.760407125</v>
      </c>
      <c r="L394">
        <f ca="1">IFERROR(IF(0=LEN(ReferenceData!$L$394),"",ReferenceData!$L$394),"")</f>
        <v>1.8416912009999999</v>
      </c>
      <c r="M394">
        <f ca="1">IFERROR(IF(0=LEN(ReferenceData!$M$394),"",ReferenceData!$M$394),"")</f>
        <v>1.921516553</v>
      </c>
      <c r="N394">
        <f ca="1">IFERROR(IF(0=LEN(ReferenceData!$N$394),"",ReferenceData!$N$394),"")</f>
        <v>1.8356461289999999</v>
      </c>
      <c r="O394">
        <f ca="1">IFERROR(IF(0=LEN(ReferenceData!$O$394),"",ReferenceData!$O$394),"")</f>
        <v>1.877931732</v>
      </c>
      <c r="P394">
        <f ca="1">IFERROR(IF(0=LEN(ReferenceData!$P$394),"",ReferenceData!$P$394),"")</f>
        <v>1.8892541979999999</v>
      </c>
      <c r="Q394">
        <f ca="1">IFERROR(IF(0=LEN(ReferenceData!$Q$394),"",ReferenceData!$Q$394),"")</f>
        <v>2.01199314</v>
      </c>
      <c r="R394">
        <f ca="1">IFERROR(IF(0=LEN(ReferenceData!$R$394),"",ReferenceData!$R$394),"")</f>
        <v>1.9184634270000001</v>
      </c>
      <c r="S394">
        <f ca="1">IFERROR(IF(0=LEN(ReferenceData!$S$394),"",ReferenceData!$S$394),"")</f>
        <v>1.7778716720000001</v>
      </c>
      <c r="T394">
        <f ca="1">IFERROR(IF(0=LEN(ReferenceData!$T$394),"",ReferenceData!$T$394),"")</f>
        <v>1.8486419220000001</v>
      </c>
      <c r="U394">
        <f ca="1">IFERROR(IF(0=LEN(ReferenceData!$U$394),"",ReferenceData!$U$394),"")</f>
        <v>1.779251363</v>
      </c>
      <c r="V394">
        <f ca="1">IFERROR(IF(0=LEN(ReferenceData!$V$394),"",ReferenceData!$V$394),"")</f>
        <v>1.79071088</v>
      </c>
      <c r="W394">
        <f ca="1">IFERROR(IF(0=LEN(ReferenceData!$W$394),"",ReferenceData!$W$394),"")</f>
        <v>1.915274149</v>
      </c>
      <c r="X394">
        <f ca="1">IFERROR(IF(0=LEN(ReferenceData!$X$394),"",ReferenceData!$X$394),"")</f>
        <v>1.7776434619999999</v>
      </c>
      <c r="Y394">
        <f ca="1">IFERROR(IF(0=LEN(ReferenceData!$Y$394),"",ReferenceData!$Y$394),"")</f>
        <v>1.7727173940000001</v>
      </c>
      <c r="Z394">
        <f ca="1">IFERROR(IF(0=LEN(ReferenceData!$Z$394),"",ReferenceData!$Z$394),"")</f>
        <v>1.745455296</v>
      </c>
      <c r="AA394">
        <f ca="1">IFERROR(IF(0=LEN(ReferenceData!$AA$394),"",ReferenceData!$AA$394),"")</f>
        <v>1.6358259180000001</v>
      </c>
      <c r="AB394">
        <f ca="1">IFERROR(IF(0=LEN(ReferenceData!$AB$394),"",ReferenceData!$AB$394),"")</f>
        <v>1.6590477480000001</v>
      </c>
      <c r="AC394">
        <f ca="1">IFERROR(IF(0=LEN(ReferenceData!$AC$394),"",ReferenceData!$AC$394),"")</f>
        <v>1.6401438820000001</v>
      </c>
      <c r="AD394">
        <f ca="1">IFERROR(IF(0=LEN(ReferenceData!$AD$394),"",ReferenceData!$AD$394),"")</f>
        <v>1.6006281840000001</v>
      </c>
      <c r="AE394">
        <f ca="1">IFERROR(IF(0=LEN(ReferenceData!$AE$394),"",ReferenceData!$AE$394),"")</f>
        <v>1.628194116</v>
      </c>
      <c r="AF394">
        <f ca="1">IFERROR(IF(0=LEN(ReferenceData!$AF$394),"",ReferenceData!$AF$394),"")</f>
        <v>1.732044929</v>
      </c>
      <c r="AG394">
        <f ca="1">IFERROR(IF(0=LEN(ReferenceData!$AG$394),"",ReferenceData!$AG$394),"")</f>
        <v>1.602088661</v>
      </c>
      <c r="AH394">
        <f ca="1">IFERROR(IF(0=LEN(ReferenceData!$AH$394),"",ReferenceData!$AH$394),"")</f>
        <v>1.5274672840000001</v>
      </c>
      <c r="AI394">
        <f ca="1">IFERROR(IF(0=LEN(ReferenceData!$AI$394),"",ReferenceData!$AI$394),"")</f>
        <v>1.6632953880000001</v>
      </c>
      <c r="AJ394">
        <f ca="1">IFERROR(IF(0=LEN(ReferenceData!$AJ$394),"",ReferenceData!$AJ$394),"")</f>
        <v>1.6166698530000001</v>
      </c>
      <c r="AK394">
        <f ca="1">IFERROR(IF(0=LEN(ReferenceData!$AK$394),"",ReferenceData!$AK$394),"")</f>
        <v>1.520332636</v>
      </c>
      <c r="AL394">
        <f ca="1">IFERROR(IF(0=LEN(ReferenceData!$AL$394),"",ReferenceData!$AL$394),"")</f>
        <v>1.524546669</v>
      </c>
      <c r="AM394">
        <f ca="1">IFERROR(IF(0=LEN(ReferenceData!$AM$394),"",ReferenceData!$AM$394),"")</f>
        <v>1.521517137</v>
      </c>
      <c r="AN394">
        <f ca="1">IFERROR(IF(0=LEN(ReferenceData!$AN$394),"",ReferenceData!$AN$394),"")</f>
        <v>1.547802624</v>
      </c>
      <c r="AO394">
        <f ca="1">IFERROR(IF(0=LEN(ReferenceData!$AO$394),"",ReferenceData!$AO$394),"")</f>
        <v>1.653443252</v>
      </c>
      <c r="AP394">
        <f ca="1">IFERROR(IF(0=LEN(ReferenceData!$AP$394),"",ReferenceData!$AP$394),"")</f>
        <v>1.5188879280000001</v>
      </c>
      <c r="AQ394">
        <f ca="1">IFERROR(IF(0=LEN(ReferenceData!$AQ$394),"",ReferenceData!$AQ$394),"")</f>
        <v>1.585845258</v>
      </c>
      <c r="AR394">
        <f ca="1">IFERROR(IF(0=LEN(ReferenceData!$AR$394),"",ReferenceData!$AR$394),"")</f>
        <v>1.668972178</v>
      </c>
      <c r="AS394">
        <f ca="1">IFERROR(IF(0=LEN(ReferenceData!$AS$394),"",ReferenceData!$AS$394),"")</f>
        <v>1.807550145</v>
      </c>
      <c r="AT394">
        <f ca="1">IFERROR(IF(0=LEN(ReferenceData!$AT$394),"",ReferenceData!$AT$394),"")</f>
        <v>1.964018015</v>
      </c>
      <c r="AU394">
        <f ca="1">IFERROR(IF(0=LEN(ReferenceData!$AU$394),"",ReferenceData!$AU$394),"")</f>
        <v>2.1357796599999999</v>
      </c>
      <c r="AV394">
        <f ca="1">IFERROR(IF(0=LEN(ReferenceData!$AV$394),"",ReferenceData!$AV$394),"")</f>
        <v>1.7376469059999999</v>
      </c>
      <c r="AW394">
        <f ca="1">IFERROR(IF(0=LEN(ReferenceData!$AW$394),"",ReferenceData!$AW$394),"")</f>
        <v>1.600716958</v>
      </c>
      <c r="AX394">
        <f ca="1">IFERROR(IF(0=LEN(ReferenceData!$AX$394),"",ReferenceData!$AX$394),"")</f>
        <v>1.674723728</v>
      </c>
      <c r="AY394">
        <f ca="1">IFERROR(IF(0=LEN(ReferenceData!$AY$394),"",ReferenceData!$AY$394),"")</f>
        <v>1.5567680740000001</v>
      </c>
      <c r="AZ394">
        <f ca="1">IFERROR(IF(0=LEN(ReferenceData!$AZ$394),"",ReferenceData!$AZ$394),"")</f>
        <v>1.5085693899999999</v>
      </c>
      <c r="BA394">
        <f ca="1">IFERROR(IF(0=LEN(ReferenceData!$BA$394),"",ReferenceData!$BA$394),"")</f>
        <v>1.4398710109999999</v>
      </c>
      <c r="BB394">
        <f ca="1">IFERROR(IF(0=LEN(ReferenceData!$BB$394),"",ReferenceData!$BB$394),"")</f>
        <v>1.411193548</v>
      </c>
      <c r="BC394">
        <f ca="1">IFERROR(IF(0=LEN(ReferenceData!$BC$394),"",ReferenceData!$BC$394),"")</f>
        <v>1.3655068850000001</v>
      </c>
      <c r="BD394">
        <f ca="1">IFERROR(IF(0=LEN(ReferenceData!$BD$394),"",ReferenceData!$BD$394),"")</f>
        <v>1.4000284000000001</v>
      </c>
      <c r="BE394">
        <f ca="1">IFERROR(IF(0=LEN(ReferenceData!$BE$394),"",ReferenceData!$BE$394),"")</f>
        <v>1.4124425759999999</v>
      </c>
      <c r="BF394">
        <f ca="1">IFERROR(IF(0=LEN(ReferenceData!$BF$394),"",ReferenceData!$BF$394),"")</f>
        <v>1.380466395</v>
      </c>
      <c r="BG394">
        <f ca="1">IFERROR(IF(0=LEN(ReferenceData!$BG$394),"",ReferenceData!$BG$394),"")</f>
        <v>1.4162455089999999</v>
      </c>
      <c r="BH394">
        <f ca="1">IFERROR(IF(0=LEN(ReferenceData!$BH$394),"",ReferenceData!$BH$394),"")</f>
        <v>1.3936603000000001</v>
      </c>
      <c r="BI394" t="str">
        <f ca="1">IFERROR(IF(0=LEN(ReferenceData!$BI$394),"",ReferenceData!$BI$394),"")</f>
        <v/>
      </c>
      <c r="BJ394">
        <f ca="1">IFERROR(IF(0=LEN(ReferenceData!$BJ$394),"",ReferenceData!$BJ$394),"")</f>
        <v>1.418735987</v>
      </c>
      <c r="BK394" t="str">
        <f ca="1">IFERROR(IF(0=LEN(ReferenceData!$BK$394),"",ReferenceData!$BK$394),"")</f>
        <v/>
      </c>
      <c r="BL394">
        <f ca="1">IFERROR(IF(0=LEN(ReferenceData!$BL$394),"",ReferenceData!$BL$394),"")</f>
        <v>1.434050933</v>
      </c>
      <c r="BM394" t="str">
        <f ca="1">IFERROR(IF(0=LEN(ReferenceData!$BM$394),"",ReferenceData!$BM$394),"")</f>
        <v/>
      </c>
    </row>
    <row r="395" spans="1:65" x14ac:dyDescent="0.25">
      <c r="A395" t="str">
        <f>IFERROR(IF(0=LEN(ReferenceData!$A$395),"",ReferenceData!$A$395),"")</f>
        <v xml:space="preserve">    Hyundai Motor Co</v>
      </c>
      <c r="B395" t="str">
        <f>IFERROR(IF(0=LEN(ReferenceData!$B$395),"",ReferenceData!$B$395),"")</f>
        <v>005380 KS Equity</v>
      </c>
      <c r="C395" t="str">
        <f>IFERROR(IF(0=LEN(ReferenceData!$C$395),"",ReferenceData!$C$395),"")</f>
        <v>RR480</v>
      </c>
      <c r="D395" t="str">
        <f>IFERROR(IF(0=LEN(ReferenceData!$D$395),"",ReferenceData!$D$395),"")</f>
        <v>EV_TO_MKT_CAP</v>
      </c>
      <c r="E395" t="str">
        <f>IFERROR(IF(0=LEN(ReferenceData!$E$395),"",ReferenceData!$E$395),"")</f>
        <v>Dynamic</v>
      </c>
      <c r="F395" t="str">
        <f ca="1">IFERROR(IF(0=LEN(ReferenceData!$F$395),"",ReferenceData!$F$395),"")</f>
        <v/>
      </c>
      <c r="G395" t="str">
        <f ca="1">IFERROR(IF(0=LEN(ReferenceData!$G$395),"",ReferenceData!$G$395),"")</f>
        <v/>
      </c>
      <c r="H395">
        <f ca="1">IFERROR(IF(0=LEN(ReferenceData!$H$395),"",ReferenceData!$H$395),"")</f>
        <v>2.9280225620000002</v>
      </c>
      <c r="I395">
        <f ca="1">IFERROR(IF(0=LEN(ReferenceData!$I$395),"",ReferenceData!$I$395),"")</f>
        <v>3.000132056</v>
      </c>
      <c r="J395">
        <f ca="1">IFERROR(IF(0=LEN(ReferenceData!$J$395),"",ReferenceData!$J$395),"")</f>
        <v>2.6629847290000002</v>
      </c>
      <c r="K395">
        <f ca="1">IFERROR(IF(0=LEN(ReferenceData!$K$395),"",ReferenceData!$K$395),"")</f>
        <v>2.4286087639999998</v>
      </c>
      <c r="L395">
        <f ca="1">IFERROR(IF(0=LEN(ReferenceData!$L$395),"",ReferenceData!$L$395),"")</f>
        <v>2.5760709249999998</v>
      </c>
      <c r="M395">
        <f ca="1">IFERROR(IF(0=LEN(ReferenceData!$M$395),"",ReferenceData!$M$395),"")</f>
        <v>2.4346609199999998</v>
      </c>
      <c r="N395">
        <f ca="1">IFERROR(IF(0=LEN(ReferenceData!$N$395),"",ReferenceData!$N$395),"")</f>
        <v>2.4003636419999999</v>
      </c>
      <c r="O395">
        <f ca="1">IFERROR(IF(0=LEN(ReferenceData!$O$395),"",ReferenceData!$O$395),"")</f>
        <v>2.6145074610000001</v>
      </c>
      <c r="P395">
        <f ca="1">IFERROR(IF(0=LEN(ReferenceData!$P$395),"",ReferenceData!$P$395),"")</f>
        <v>2.5802342760000001</v>
      </c>
      <c r="Q395">
        <f ca="1">IFERROR(IF(0=LEN(ReferenceData!$Q$395),"",ReferenceData!$Q$395),"")</f>
        <v>2.6237383030000001</v>
      </c>
      <c r="R395">
        <f ca="1">IFERROR(IF(0=LEN(ReferenceData!$R$395),"",ReferenceData!$R$395),"")</f>
        <v>2.416843198</v>
      </c>
      <c r="S395">
        <f ca="1">IFERROR(IF(0=LEN(ReferenceData!$S$395),"",ReferenceData!$S$395),"")</f>
        <v>2.3983763570000001</v>
      </c>
      <c r="T395">
        <f ca="1">IFERROR(IF(0=LEN(ReferenceData!$T$395),"",ReferenceData!$T$395),"")</f>
        <v>2.2228031060000002</v>
      </c>
      <c r="U395">
        <f ca="1">IFERROR(IF(0=LEN(ReferenceData!$U$395),"",ReferenceData!$U$395),"")</f>
        <v>2.2949346639999999</v>
      </c>
      <c r="V395">
        <f ca="1">IFERROR(IF(0=LEN(ReferenceData!$V$395),"",ReferenceData!$V$395),"")</f>
        <v>1.965507106</v>
      </c>
      <c r="W395">
        <f ca="1">IFERROR(IF(0=LEN(ReferenceData!$W$395),"",ReferenceData!$W$395),"")</f>
        <v>1.8888420189999999</v>
      </c>
      <c r="X395">
        <f ca="1">IFERROR(IF(0=LEN(ReferenceData!$X$395),"",ReferenceData!$X$395),"")</f>
        <v>1.6892458020000001</v>
      </c>
      <c r="Y395">
        <f ca="1">IFERROR(IF(0=LEN(ReferenceData!$Y$395),"",ReferenceData!$Y$395),"")</f>
        <v>1.5398960079999999</v>
      </c>
      <c r="Z395">
        <f ca="1">IFERROR(IF(0=LEN(ReferenceData!$Z$395),"",ReferenceData!$Z$395),"")</f>
        <v>1.523076106</v>
      </c>
      <c r="AA395">
        <f ca="1">IFERROR(IF(0=LEN(ReferenceData!$AA$395),"",ReferenceData!$AA$395),"")</f>
        <v>1.571642837</v>
      </c>
      <c r="AB395">
        <f ca="1">IFERROR(IF(0=LEN(ReferenceData!$AB$395),"",ReferenceData!$AB$395),"")</f>
        <v>1.5225648810000001</v>
      </c>
      <c r="AC395">
        <f ca="1">IFERROR(IF(0=LEN(ReferenceData!$AC$395),"",ReferenceData!$AC$395),"")</f>
        <v>1.582846132</v>
      </c>
      <c r="AD395">
        <f ca="1">IFERROR(IF(0=LEN(ReferenceData!$AD$395),"",ReferenceData!$AD$395),"")</f>
        <v>1.617416985</v>
      </c>
      <c r="AE395">
        <f ca="1">IFERROR(IF(0=LEN(ReferenceData!$AE$395),"",ReferenceData!$AE$395),"")</f>
        <v>1.6267500800000001</v>
      </c>
      <c r="AF395">
        <f ca="1">IFERROR(IF(0=LEN(ReferenceData!$AF$395),"",ReferenceData!$AF$395),"")</f>
        <v>1.5340392279999999</v>
      </c>
      <c r="AG395">
        <f ca="1">IFERROR(IF(0=LEN(ReferenceData!$AG$395),"",ReferenceData!$AG$395),"")</f>
        <v>1.586340957</v>
      </c>
      <c r="AH395">
        <f ca="1">IFERROR(IF(0=LEN(ReferenceData!$AH$395),"",ReferenceData!$AH$395),"")</f>
        <v>1.5972925120000001</v>
      </c>
      <c r="AI395">
        <f ca="1">IFERROR(IF(0=LEN(ReferenceData!$AI$395),"",ReferenceData!$AI$395),"")</f>
        <v>1.6674911699999999</v>
      </c>
      <c r="AJ395">
        <f ca="1">IFERROR(IF(0=LEN(ReferenceData!$AJ$395),"",ReferenceData!$AJ$395),"")</f>
        <v>1.67710618</v>
      </c>
      <c r="AK395">
        <f ca="1">IFERROR(IF(0=LEN(ReferenceData!$AK$395),"",ReferenceData!$AK$395),"")</f>
        <v>1.542478802</v>
      </c>
      <c r="AL395">
        <f ca="1">IFERROR(IF(0=LEN(ReferenceData!$AL$395),"",ReferenceData!$AL$395),"")</f>
        <v>1.5821733760000001</v>
      </c>
      <c r="AM395">
        <f ca="1">IFERROR(IF(0=LEN(ReferenceData!$AM$395),"",ReferenceData!$AM$395),"")</f>
        <v>1.7268406549999999</v>
      </c>
      <c r="AN395" t="str">
        <f ca="1">IFERROR(IF(0=LEN(ReferenceData!$AN$395),"",ReferenceData!$AN$395),"")</f>
        <v/>
      </c>
      <c r="AO395" t="str">
        <f ca="1">IFERROR(IF(0=LEN(ReferenceData!$AO$395),"",ReferenceData!$AO$395),"")</f>
        <v/>
      </c>
      <c r="AP395" t="str">
        <f ca="1">IFERROR(IF(0=LEN(ReferenceData!$AP$395),"",ReferenceData!$AP$395),"")</f>
        <v/>
      </c>
      <c r="AQ395" t="str">
        <f ca="1">IFERROR(IF(0=LEN(ReferenceData!$AQ$395),"",ReferenceData!$AQ$395),"")</f>
        <v/>
      </c>
      <c r="AR395" t="str">
        <f ca="1">IFERROR(IF(0=LEN(ReferenceData!$AR$395),"",ReferenceData!$AR$395),"")</f>
        <v/>
      </c>
      <c r="AS395" t="str">
        <f ca="1">IFERROR(IF(0=LEN(ReferenceData!$AS$395),"",ReferenceData!$AS$395),"")</f>
        <v/>
      </c>
      <c r="AT395" t="str">
        <f ca="1">IFERROR(IF(0=LEN(ReferenceData!$AT$395),"",ReferenceData!$AT$395),"")</f>
        <v/>
      </c>
      <c r="AU395" t="str">
        <f ca="1">IFERROR(IF(0=LEN(ReferenceData!$AU$395),"",ReferenceData!$AU$395),"")</f>
        <v/>
      </c>
      <c r="AV395" t="str">
        <f ca="1">IFERROR(IF(0=LEN(ReferenceData!$AV$395),"",ReferenceData!$AV$395),"")</f>
        <v/>
      </c>
      <c r="AW395" t="str">
        <f ca="1">IFERROR(IF(0=LEN(ReferenceData!$AW$395),"",ReferenceData!$AW$395),"")</f>
        <v/>
      </c>
      <c r="AX395" t="str">
        <f ca="1">IFERROR(IF(0=LEN(ReferenceData!$AX$395),"",ReferenceData!$AX$395),"")</f>
        <v/>
      </c>
      <c r="AY395" t="str">
        <f ca="1">IFERROR(IF(0=LEN(ReferenceData!$AY$395),"",ReferenceData!$AY$395),"")</f>
        <v/>
      </c>
      <c r="AZ395" t="str">
        <f ca="1">IFERROR(IF(0=LEN(ReferenceData!$AZ$395),"",ReferenceData!$AZ$395),"")</f>
        <v/>
      </c>
      <c r="BA395" t="str">
        <f ca="1">IFERROR(IF(0=LEN(ReferenceData!$BA$395),"",ReferenceData!$BA$395),"")</f>
        <v/>
      </c>
      <c r="BB395" t="str">
        <f ca="1">IFERROR(IF(0=LEN(ReferenceData!$BB$395),"",ReferenceData!$BB$395),"")</f>
        <v/>
      </c>
      <c r="BC395" t="str">
        <f ca="1">IFERROR(IF(0=LEN(ReferenceData!$BC$395),"",ReferenceData!$BC$395),"")</f>
        <v/>
      </c>
      <c r="BD395" t="str">
        <f ca="1">IFERROR(IF(0=LEN(ReferenceData!$BD$395),"",ReferenceData!$BD$395),"")</f>
        <v/>
      </c>
      <c r="BE395" t="str">
        <f ca="1">IFERROR(IF(0=LEN(ReferenceData!$BE$395),"",ReferenceData!$BE$395),"")</f>
        <v/>
      </c>
      <c r="BF395" t="str">
        <f ca="1">IFERROR(IF(0=LEN(ReferenceData!$BF$395),"",ReferenceData!$BF$395),"")</f>
        <v/>
      </c>
      <c r="BG395" t="str">
        <f ca="1">IFERROR(IF(0=LEN(ReferenceData!$BG$395),"",ReferenceData!$BG$395),"")</f>
        <v/>
      </c>
      <c r="BH395" t="str">
        <f ca="1">IFERROR(IF(0=LEN(ReferenceData!$BH$395),"",ReferenceData!$BH$395),"")</f>
        <v/>
      </c>
      <c r="BI395" t="str">
        <f ca="1">IFERROR(IF(0=LEN(ReferenceData!$BI$395),"",ReferenceData!$BI$395),"")</f>
        <v/>
      </c>
      <c r="BJ395" t="str">
        <f ca="1">IFERROR(IF(0=LEN(ReferenceData!$BJ$395),"",ReferenceData!$BJ$395),"")</f>
        <v/>
      </c>
      <c r="BK395" t="str">
        <f ca="1">IFERROR(IF(0=LEN(ReferenceData!$BK$395),"",ReferenceData!$BK$395),"")</f>
        <v/>
      </c>
      <c r="BL395" t="str">
        <f ca="1">IFERROR(IF(0=LEN(ReferenceData!$BL$395),"",ReferenceData!$BL$395),"")</f>
        <v/>
      </c>
      <c r="BM395" t="str">
        <f ca="1">IFERROR(IF(0=LEN(ReferenceData!$BM$395),"",ReferenceData!$BM$395),"")</f>
        <v/>
      </c>
    </row>
    <row r="396" spans="1:65" x14ac:dyDescent="0.25">
      <c r="A396" t="str">
        <f>IFERROR(IF(0=LEN(ReferenceData!$A$396),"",ReferenceData!$A$396),"")</f>
        <v xml:space="preserve">    Kia Motors Corp</v>
      </c>
      <c r="B396" t="str">
        <f>IFERROR(IF(0=LEN(ReferenceData!$B$396),"",ReferenceData!$B$396),"")</f>
        <v>000270 KS Equity</v>
      </c>
      <c r="C396" t="str">
        <f>IFERROR(IF(0=LEN(ReferenceData!$C$396),"",ReferenceData!$C$396),"")</f>
        <v>RR480</v>
      </c>
      <c r="D396" t="str">
        <f>IFERROR(IF(0=LEN(ReferenceData!$D$396),"",ReferenceData!$D$396),"")</f>
        <v>EV_TO_MKT_CAP</v>
      </c>
      <c r="E396" t="str">
        <f>IFERROR(IF(0=LEN(ReferenceData!$E$396),"",ReferenceData!$E$396),"")</f>
        <v>Dynamic</v>
      </c>
      <c r="F396" t="str">
        <f ca="1">IFERROR(IF(0=LEN(ReferenceData!$F$396),"",ReferenceData!$F$396),"")</f>
        <v/>
      </c>
      <c r="G396" t="str">
        <f ca="1">IFERROR(IF(0=LEN(ReferenceData!$G$396),"",ReferenceData!$G$396),"")</f>
        <v/>
      </c>
      <c r="H396">
        <f ca="1">IFERROR(IF(0=LEN(ReferenceData!$H$396),"",ReferenceData!$H$396),"")</f>
        <v>0.75125319599999996</v>
      </c>
      <c r="I396">
        <f ca="1">IFERROR(IF(0=LEN(ReferenceData!$I$396),"",ReferenceData!$I$396),"")</f>
        <v>0.77369542999999996</v>
      </c>
      <c r="J396">
        <f ca="1">IFERROR(IF(0=LEN(ReferenceData!$J$396),"",ReferenceData!$J$396),"")</f>
        <v>0.86753798900000001</v>
      </c>
      <c r="K396">
        <f ca="1">IFERROR(IF(0=LEN(ReferenceData!$K$396),"",ReferenceData!$K$396),"")</f>
        <v>0.90866212700000004</v>
      </c>
      <c r="L396">
        <f ca="1">IFERROR(IF(0=LEN(ReferenceData!$L$396),"",ReferenceData!$L$396),"")</f>
        <v>0.80765878000000002</v>
      </c>
      <c r="M396">
        <f ca="1">IFERROR(IF(0=LEN(ReferenceData!$M$396),"",ReferenceData!$M$396),"")</f>
        <v>0.90867701199999995</v>
      </c>
      <c r="N396">
        <f ca="1">IFERROR(IF(0=LEN(ReferenceData!$N$396),"",ReferenceData!$N$396),"")</f>
        <v>0.92399416000000001</v>
      </c>
      <c r="O396">
        <f ca="1">IFERROR(IF(0=LEN(ReferenceData!$O$396),"",ReferenceData!$O$396),"")</f>
        <v>0.93501742499999996</v>
      </c>
      <c r="P396">
        <f ca="1">IFERROR(IF(0=LEN(ReferenceData!$P$396),"",ReferenceData!$P$396),"")</f>
        <v>0.83456328800000001</v>
      </c>
      <c r="Q396">
        <f ca="1">IFERROR(IF(0=LEN(ReferenceData!$Q$396),"",ReferenceData!$Q$396),"")</f>
        <v>0.87857892000000004</v>
      </c>
      <c r="R396">
        <f ca="1">IFERROR(IF(0=LEN(ReferenceData!$R$396),"",ReferenceData!$R$396),"")</f>
        <v>0.99242312600000004</v>
      </c>
      <c r="S396">
        <f ca="1">IFERROR(IF(0=LEN(ReferenceData!$S$396),"",ReferenceData!$S$396),"")</f>
        <v>0.930773348</v>
      </c>
      <c r="T396">
        <f ca="1">IFERROR(IF(0=LEN(ReferenceData!$T$396),"",ReferenceData!$T$396),"")</f>
        <v>0.86606775800000002</v>
      </c>
      <c r="U396">
        <f ca="1">IFERROR(IF(0=LEN(ReferenceData!$U$396),"",ReferenceData!$U$396),"")</f>
        <v>0.85949621700000001</v>
      </c>
      <c r="V396">
        <f ca="1">IFERROR(IF(0=LEN(ReferenceData!$V$396),"",ReferenceData!$V$396),"")</f>
        <v>0.84952863700000003</v>
      </c>
      <c r="W396">
        <f ca="1">IFERROR(IF(0=LEN(ReferenceData!$W$396),"",ReferenceData!$W$396),"")</f>
        <v>0.81785243299999999</v>
      </c>
      <c r="X396">
        <f ca="1">IFERROR(IF(0=LEN(ReferenceData!$X$396),"",ReferenceData!$X$396),"")</f>
        <v>0.79932463600000003</v>
      </c>
      <c r="Y396">
        <f ca="1">IFERROR(IF(0=LEN(ReferenceData!$Y$396),"",ReferenceData!$Y$396),"")</f>
        <v>0.83602739299999995</v>
      </c>
      <c r="Z396">
        <f ca="1">IFERROR(IF(0=LEN(ReferenceData!$Z$396),"",ReferenceData!$Z$396),"")</f>
        <v>0.82447689199999996</v>
      </c>
      <c r="AA396">
        <f ca="1">IFERROR(IF(0=LEN(ReferenceData!$AA$396),"",ReferenceData!$AA$396),"")</f>
        <v>0.81282308599999997</v>
      </c>
      <c r="AB396">
        <f ca="1">IFERROR(IF(0=LEN(ReferenceData!$AB$396),"",ReferenceData!$AB$396),"")</f>
        <v>0.83105496199999995</v>
      </c>
      <c r="AC396">
        <f ca="1">IFERROR(IF(0=LEN(ReferenceData!$AC$396),"",ReferenceData!$AC$396),"")</f>
        <v>0.85575975500000001</v>
      </c>
      <c r="AD396">
        <f ca="1">IFERROR(IF(0=LEN(ReferenceData!$AD$396),"",ReferenceData!$AD$396),"")</f>
        <v>0.90600034699999998</v>
      </c>
      <c r="AE396">
        <f ca="1">IFERROR(IF(0=LEN(ReferenceData!$AE$396),"",ReferenceData!$AE$396),"")</f>
        <v>0.91173837400000002</v>
      </c>
      <c r="AF396">
        <f ca="1">IFERROR(IF(0=LEN(ReferenceData!$AF$396),"",ReferenceData!$AF$396),"")</f>
        <v>0.899298245</v>
      </c>
      <c r="AG396">
        <f ca="1">IFERROR(IF(0=LEN(ReferenceData!$AG$396),"",ReferenceData!$AG$396),"")</f>
        <v>0.94007188900000005</v>
      </c>
      <c r="AH396">
        <f ca="1">IFERROR(IF(0=LEN(ReferenceData!$AH$396),"",ReferenceData!$AH$396),"")</f>
        <v>0.98091991499999998</v>
      </c>
      <c r="AI396">
        <f ca="1">IFERROR(IF(0=LEN(ReferenceData!$AI$396),"",ReferenceData!$AI$396),"")</f>
        <v>1.015826637</v>
      </c>
      <c r="AJ396">
        <f ca="1">IFERROR(IF(0=LEN(ReferenceData!$AJ$396),"",ReferenceData!$AJ$396),"")</f>
        <v>1.0219546239999999</v>
      </c>
      <c r="AK396">
        <f ca="1">IFERROR(IF(0=LEN(ReferenceData!$AK$396),"",ReferenceData!$AK$396),"")</f>
        <v>1.0359353229999999</v>
      </c>
      <c r="AL396">
        <f ca="1">IFERROR(IF(0=LEN(ReferenceData!$AL$396),"",ReferenceData!$AL$396),"")</f>
        <v>1.058809267</v>
      </c>
      <c r="AM396" t="str">
        <f ca="1">IFERROR(IF(0=LEN(ReferenceData!$AM$396),"",ReferenceData!$AM$396),"")</f>
        <v/>
      </c>
      <c r="AN396" t="str">
        <f ca="1">IFERROR(IF(0=LEN(ReferenceData!$AN$396),"",ReferenceData!$AN$396),"")</f>
        <v/>
      </c>
      <c r="AO396" t="str">
        <f ca="1">IFERROR(IF(0=LEN(ReferenceData!$AO$396),"",ReferenceData!$AO$396),"")</f>
        <v/>
      </c>
      <c r="AP396" t="str">
        <f ca="1">IFERROR(IF(0=LEN(ReferenceData!$AP$396),"",ReferenceData!$AP$396),"")</f>
        <v/>
      </c>
      <c r="AQ396" t="str">
        <f ca="1">IFERROR(IF(0=LEN(ReferenceData!$AQ$396),"",ReferenceData!$AQ$396),"")</f>
        <v/>
      </c>
      <c r="AR396" t="str">
        <f ca="1">IFERROR(IF(0=LEN(ReferenceData!$AR$396),"",ReferenceData!$AR$396),"")</f>
        <v/>
      </c>
      <c r="AS396" t="str">
        <f ca="1">IFERROR(IF(0=LEN(ReferenceData!$AS$396),"",ReferenceData!$AS$396),"")</f>
        <v/>
      </c>
      <c r="AT396" t="str">
        <f ca="1">IFERROR(IF(0=LEN(ReferenceData!$AT$396),"",ReferenceData!$AT$396),"")</f>
        <v/>
      </c>
      <c r="AU396" t="str">
        <f ca="1">IFERROR(IF(0=LEN(ReferenceData!$AU$396),"",ReferenceData!$AU$396),"")</f>
        <v/>
      </c>
      <c r="AV396" t="str">
        <f ca="1">IFERROR(IF(0=LEN(ReferenceData!$AV$396),"",ReferenceData!$AV$396),"")</f>
        <v/>
      </c>
      <c r="AW396" t="str">
        <f ca="1">IFERROR(IF(0=LEN(ReferenceData!$AW$396),"",ReferenceData!$AW$396),"")</f>
        <v/>
      </c>
      <c r="AX396" t="str">
        <f ca="1">IFERROR(IF(0=LEN(ReferenceData!$AX$396),"",ReferenceData!$AX$396),"")</f>
        <v/>
      </c>
      <c r="AY396" t="str">
        <f ca="1">IFERROR(IF(0=LEN(ReferenceData!$AY$396),"",ReferenceData!$AY$396),"")</f>
        <v/>
      </c>
      <c r="AZ396" t="str">
        <f ca="1">IFERROR(IF(0=LEN(ReferenceData!$AZ$396),"",ReferenceData!$AZ$396),"")</f>
        <v/>
      </c>
      <c r="BA396" t="str">
        <f ca="1">IFERROR(IF(0=LEN(ReferenceData!$BA$396),"",ReferenceData!$BA$396),"")</f>
        <v/>
      </c>
      <c r="BB396" t="str">
        <f ca="1">IFERROR(IF(0=LEN(ReferenceData!$BB$396),"",ReferenceData!$BB$396),"")</f>
        <v/>
      </c>
      <c r="BC396" t="str">
        <f ca="1">IFERROR(IF(0=LEN(ReferenceData!$BC$396),"",ReferenceData!$BC$396),"")</f>
        <v/>
      </c>
      <c r="BD396" t="str">
        <f ca="1">IFERROR(IF(0=LEN(ReferenceData!$BD$396),"",ReferenceData!$BD$396),"")</f>
        <v/>
      </c>
      <c r="BE396" t="str">
        <f ca="1">IFERROR(IF(0=LEN(ReferenceData!$BE$396),"",ReferenceData!$BE$396),"")</f>
        <v/>
      </c>
      <c r="BF396" t="str">
        <f ca="1">IFERROR(IF(0=LEN(ReferenceData!$BF$396),"",ReferenceData!$BF$396),"")</f>
        <v/>
      </c>
      <c r="BG396" t="str">
        <f ca="1">IFERROR(IF(0=LEN(ReferenceData!$BG$396),"",ReferenceData!$BG$396),"")</f>
        <v/>
      </c>
      <c r="BH396" t="str">
        <f ca="1">IFERROR(IF(0=LEN(ReferenceData!$BH$396),"",ReferenceData!$BH$396),"")</f>
        <v/>
      </c>
      <c r="BI396" t="str">
        <f ca="1">IFERROR(IF(0=LEN(ReferenceData!$BI$396),"",ReferenceData!$BI$396),"")</f>
        <v/>
      </c>
      <c r="BJ396" t="str">
        <f ca="1">IFERROR(IF(0=LEN(ReferenceData!$BJ$396),"",ReferenceData!$BJ$396),"")</f>
        <v/>
      </c>
      <c r="BK396" t="str">
        <f ca="1">IFERROR(IF(0=LEN(ReferenceData!$BK$396),"",ReferenceData!$BK$396),"")</f>
        <v/>
      </c>
      <c r="BL396" t="str">
        <f ca="1">IFERROR(IF(0=LEN(ReferenceData!$BL$396),"",ReferenceData!$BL$396),"")</f>
        <v/>
      </c>
      <c r="BM396" t="str">
        <f ca="1">IFERROR(IF(0=LEN(ReferenceData!$BM$396),"",ReferenceData!$BM$396),"")</f>
        <v/>
      </c>
    </row>
    <row r="397" spans="1:65" x14ac:dyDescent="0.25">
      <c r="A397" t="str">
        <f>IFERROR(IF(0=LEN(ReferenceData!$A$397),"",ReferenceData!$A$397),"")</f>
        <v xml:space="preserve">    Mazda Motor Corp</v>
      </c>
      <c r="B397" t="str">
        <f>IFERROR(IF(0=LEN(ReferenceData!$B$397),"",ReferenceData!$B$397),"")</f>
        <v>7261 JP Equity</v>
      </c>
      <c r="C397" t="str">
        <f>IFERROR(IF(0=LEN(ReferenceData!$C$397),"",ReferenceData!$C$397),"")</f>
        <v>RR480</v>
      </c>
      <c r="D397" t="str">
        <f>IFERROR(IF(0=LEN(ReferenceData!$D$397),"",ReferenceData!$D$397),"")</f>
        <v>EV_TO_MKT_CAP</v>
      </c>
      <c r="E397" t="str">
        <f>IFERROR(IF(0=LEN(ReferenceData!$E$397),"",ReferenceData!$E$397),"")</f>
        <v>Dynamic</v>
      </c>
      <c r="F397" t="str">
        <f ca="1">IFERROR(IF(0=LEN(ReferenceData!$F$397),"",ReferenceData!$F$397),"")</f>
        <v/>
      </c>
      <c r="G397">
        <f ca="1">IFERROR(IF(0=LEN(ReferenceData!$G$397),"",ReferenceData!$G$397),"")</f>
        <v>0.934499941</v>
      </c>
      <c r="H397">
        <f ca="1">IFERROR(IF(0=LEN(ReferenceData!$H$397),"",ReferenceData!$H$397),"")</f>
        <v>0.89822392399999995</v>
      </c>
      <c r="I397">
        <f ca="1">IFERROR(IF(0=LEN(ReferenceData!$I$397),"",ReferenceData!$I$397),"")</f>
        <v>0.92989287099999995</v>
      </c>
      <c r="J397">
        <f ca="1">IFERROR(IF(0=LEN(ReferenceData!$J$397),"",ReferenceData!$J$397),"")</f>
        <v>0.89736465399999998</v>
      </c>
      <c r="K397">
        <f ca="1">IFERROR(IF(0=LEN(ReferenceData!$K$397),"",ReferenceData!$K$397),"")</f>
        <v>0.96897134500000004</v>
      </c>
      <c r="L397">
        <f ca="1">IFERROR(IF(0=LEN(ReferenceData!$L$397),"",ReferenceData!$L$397),"")</f>
        <v>0.96781438500000005</v>
      </c>
      <c r="M397">
        <f ca="1">IFERROR(IF(0=LEN(ReferenceData!$M$397),"",ReferenceData!$M$397),"")</f>
        <v>1.004712067</v>
      </c>
      <c r="N397">
        <f ca="1">IFERROR(IF(0=LEN(ReferenceData!$N$397),"",ReferenceData!$N$397),"")</f>
        <v>0.98847854400000001</v>
      </c>
      <c r="O397">
        <f ca="1">IFERROR(IF(0=LEN(ReferenceData!$O$397),"",ReferenceData!$O$397),"")</f>
        <v>1.0351427129999999</v>
      </c>
      <c r="P397">
        <f ca="1">IFERROR(IF(0=LEN(ReferenceData!$P$397),"",ReferenceData!$P$397),"")</f>
        <v>1.0060957479999999</v>
      </c>
      <c r="Q397">
        <f ca="1">IFERROR(IF(0=LEN(ReferenceData!$Q$397),"",ReferenceData!$Q$397),"")</f>
        <v>1.048415028</v>
      </c>
      <c r="R397">
        <f ca="1">IFERROR(IF(0=LEN(ReferenceData!$R$397),"",ReferenceData!$R$397),"")</f>
        <v>1.039253419</v>
      </c>
      <c r="S397">
        <f ca="1">IFERROR(IF(0=LEN(ReferenceData!$S$397),"",ReferenceData!$S$397),"")</f>
        <v>1.0752339500000001</v>
      </c>
      <c r="T397">
        <f ca="1">IFERROR(IF(0=LEN(ReferenceData!$T$397),"",ReferenceData!$T$397),"")</f>
        <v>1.1087427729999999</v>
      </c>
      <c r="U397">
        <f ca="1">IFERROR(IF(0=LEN(ReferenceData!$U$397),"",ReferenceData!$U$397),"")</f>
        <v>1.118720911</v>
      </c>
      <c r="V397">
        <f ca="1">IFERROR(IF(0=LEN(ReferenceData!$V$397),"",ReferenceData!$V$397),"")</f>
        <v>1.104941215</v>
      </c>
      <c r="W397">
        <f ca="1">IFERROR(IF(0=LEN(ReferenceData!$W$397),"",ReferenceData!$W$397),"")</f>
        <v>1.166786828</v>
      </c>
      <c r="X397">
        <f ca="1">IFERROR(IF(0=LEN(ReferenceData!$X$397),"",ReferenceData!$X$397),"")</f>
        <v>1.1623792399999999</v>
      </c>
      <c r="Y397">
        <f ca="1">IFERROR(IF(0=LEN(ReferenceData!$Y$397),"",ReferenceData!$Y$397),"")</f>
        <v>1.195780893</v>
      </c>
      <c r="Z397">
        <f ca="1">IFERROR(IF(0=LEN(ReferenceData!$Z$397),"",ReferenceData!$Z$397),"")</f>
        <v>1.1734140159999999</v>
      </c>
      <c r="AA397">
        <f ca="1">IFERROR(IF(0=LEN(ReferenceData!$AA$397),"",ReferenceData!$AA$397),"")</f>
        <v>1.1974364</v>
      </c>
      <c r="AB397">
        <f ca="1">IFERROR(IF(0=LEN(ReferenceData!$AB$397),"",ReferenceData!$AB$397),"")</f>
        <v>1.2541877939999999</v>
      </c>
      <c r="AC397">
        <f ca="1">IFERROR(IF(0=LEN(ReferenceData!$AC$397),"",ReferenceData!$AC$397),"")</f>
        <v>1.2748442090000001</v>
      </c>
      <c r="AD397">
        <f ca="1">IFERROR(IF(0=LEN(ReferenceData!$AD$397),"",ReferenceData!$AD$397),"")</f>
        <v>1.34512191</v>
      </c>
      <c r="AE397">
        <f ca="1">IFERROR(IF(0=LEN(ReferenceData!$AE$397),"",ReferenceData!$AE$397),"")</f>
        <v>1.681852339</v>
      </c>
      <c r="AF397">
        <f ca="1">IFERROR(IF(0=LEN(ReferenceData!$AF$397),"",ReferenceData!$AF$397),"")</f>
        <v>2.2079350529999999</v>
      </c>
      <c r="AG397">
        <f ca="1">IFERROR(IF(0=LEN(ReferenceData!$AG$397),"",ReferenceData!$AG$397),"")</f>
        <v>2.0423040069999998</v>
      </c>
      <c r="AH397">
        <f ca="1">IFERROR(IF(0=LEN(ReferenceData!$AH$397),"",ReferenceData!$AH$397),"")</f>
        <v>1.7038846780000001</v>
      </c>
      <c r="AI397">
        <f ca="1">IFERROR(IF(0=LEN(ReferenceData!$AI$397),"",ReferenceData!$AI$397),"")</f>
        <v>3.1007239009999998</v>
      </c>
      <c r="AJ397">
        <f ca="1">IFERROR(IF(0=LEN(ReferenceData!$AJ$397),"",ReferenceData!$AJ$397),"")</f>
        <v>2.528127526</v>
      </c>
      <c r="AK397">
        <f ca="1">IFERROR(IF(0=LEN(ReferenceData!$AK$397),"",ReferenceData!$AK$397),"")</f>
        <v>2.111053434</v>
      </c>
      <c r="AL397">
        <f ca="1">IFERROR(IF(0=LEN(ReferenceData!$AL$397),"",ReferenceData!$AL$397),"")</f>
        <v>2.1465246950000001</v>
      </c>
      <c r="AM397">
        <f ca="1">IFERROR(IF(0=LEN(ReferenceData!$AM$397),"",ReferenceData!$AM$397),"")</f>
        <v>2.0350382960000002</v>
      </c>
      <c r="AN397">
        <f ca="1">IFERROR(IF(0=LEN(ReferenceData!$AN$397),"",ReferenceData!$AN$397),"")</f>
        <v>2.0155009380000002</v>
      </c>
      <c r="AO397">
        <f ca="1">IFERROR(IF(0=LEN(ReferenceData!$AO$397),"",ReferenceData!$AO$397),"")</f>
        <v>1.9671265630000001</v>
      </c>
      <c r="AP397">
        <f ca="1">IFERROR(IF(0=LEN(ReferenceData!$AP$397),"",ReferenceData!$AP$397),"")</f>
        <v>1.768596048</v>
      </c>
      <c r="AQ397">
        <f ca="1">IFERROR(IF(0=LEN(ReferenceData!$AQ$397),"",ReferenceData!$AQ$397),"")</f>
        <v>2.118259761</v>
      </c>
      <c r="AR397">
        <f ca="1">IFERROR(IF(0=LEN(ReferenceData!$AR$397),"",ReferenceData!$AR$397),"")</f>
        <v>2.9828834070000001</v>
      </c>
      <c r="AS397">
        <f ca="1">IFERROR(IF(0=LEN(ReferenceData!$AS$397),"",ReferenceData!$AS$397),"")</f>
        <v>2.6901181219999999</v>
      </c>
      <c r="AT397">
        <f ca="1">IFERROR(IF(0=LEN(ReferenceData!$AT$397),"",ReferenceData!$AT$397),"")</f>
        <v>3.4820704820000001</v>
      </c>
      <c r="AU397">
        <f ca="1">IFERROR(IF(0=LEN(ReferenceData!$AU$397),"",ReferenceData!$AU$397),"")</f>
        <v>3.9232357919999998</v>
      </c>
      <c r="AV397">
        <f ca="1">IFERROR(IF(0=LEN(ReferenceData!$AV$397),"",ReferenceData!$AV$397),"")</f>
        <v>1.639724811</v>
      </c>
      <c r="AW397">
        <f ca="1">IFERROR(IF(0=LEN(ReferenceData!$AW$397),"",ReferenceData!$AW$397),"")</f>
        <v>1.471309449</v>
      </c>
      <c r="AX397">
        <f ca="1">IFERROR(IF(0=LEN(ReferenceData!$AX$397),"",ReferenceData!$AX$397),"")</f>
        <v>1.5683999580000001</v>
      </c>
      <c r="AY397">
        <f ca="1">IFERROR(IF(0=LEN(ReferenceData!$AY$397),"",ReferenceData!$AY$397),"")</f>
        <v>1.4420394240000001</v>
      </c>
      <c r="AZ397">
        <f ca="1">IFERROR(IF(0=LEN(ReferenceData!$AZ$397),"",ReferenceData!$AZ$397),"")</f>
        <v>1.353142278</v>
      </c>
      <c r="BA397">
        <f ca="1">IFERROR(IF(0=LEN(ReferenceData!$BA$397),"",ReferenceData!$BA$397),"")</f>
        <v>1.329576868</v>
      </c>
      <c r="BB397">
        <f ca="1">IFERROR(IF(0=LEN(ReferenceData!$BB$397),"",ReferenceData!$BB$397),"")</f>
        <v>1.2531487809999999</v>
      </c>
      <c r="BC397">
        <f ca="1">IFERROR(IF(0=LEN(ReferenceData!$BC$397),"",ReferenceData!$BC$397),"")</f>
        <v>1.2873206660000001</v>
      </c>
      <c r="BD397">
        <f ca="1">IFERROR(IF(0=LEN(ReferenceData!$BD$397),"",ReferenceData!$BD$397),"")</f>
        <v>1.2723536310000001</v>
      </c>
      <c r="BE397">
        <f ca="1">IFERROR(IF(0=LEN(ReferenceData!$BE$397),"",ReferenceData!$BE$397),"")</f>
        <v>1.2941921999999999</v>
      </c>
      <c r="BF397">
        <f ca="1">IFERROR(IF(0=LEN(ReferenceData!$BF$397),"",ReferenceData!$BF$397),"")</f>
        <v>1.2555552699999999</v>
      </c>
      <c r="BG397">
        <f ca="1">IFERROR(IF(0=LEN(ReferenceData!$BG$397),"",ReferenceData!$BG$397),"")</f>
        <v>1.4410071550000001</v>
      </c>
      <c r="BH397">
        <f ca="1">IFERROR(IF(0=LEN(ReferenceData!$BH$397),"",ReferenceData!$BH$397),"")</f>
        <v>1.460086145</v>
      </c>
      <c r="BI397">
        <f ca="1">IFERROR(IF(0=LEN(ReferenceData!$BI$397),"",ReferenceData!$BI$397),"")</f>
        <v>1.6925115989999999</v>
      </c>
      <c r="BJ397">
        <f ca="1">IFERROR(IF(0=LEN(ReferenceData!$BJ$397),"",ReferenceData!$BJ$397),"")</f>
        <v>1.712669496</v>
      </c>
      <c r="BK397">
        <f ca="1">IFERROR(IF(0=LEN(ReferenceData!$BK$397),"",ReferenceData!$BK$397),"")</f>
        <v>2.0161109310000001</v>
      </c>
      <c r="BL397">
        <f ca="1">IFERROR(IF(0=LEN(ReferenceData!$BL$397),"",ReferenceData!$BL$397),"")</f>
        <v>1.8920991659999999</v>
      </c>
      <c r="BM397">
        <f ca="1">IFERROR(IF(0=LEN(ReferenceData!$BM$397),"",ReferenceData!$BM$397),"")</f>
        <v>1.795657056</v>
      </c>
    </row>
    <row r="398" spans="1:65" x14ac:dyDescent="0.25">
      <c r="A398" t="str">
        <f>IFERROR(IF(0=LEN(ReferenceData!$A$398),"",ReferenceData!$A$398),"")</f>
        <v xml:space="preserve">    Mitsubishi Motors Corp</v>
      </c>
      <c r="B398" t="str">
        <f>IFERROR(IF(0=LEN(ReferenceData!$B$398),"",ReferenceData!$B$398),"")</f>
        <v>7211 JP Equity</v>
      </c>
      <c r="C398" t="str">
        <f>IFERROR(IF(0=LEN(ReferenceData!$C$398),"",ReferenceData!$C$398),"")</f>
        <v>RR480</v>
      </c>
      <c r="D398" t="str">
        <f>IFERROR(IF(0=LEN(ReferenceData!$D$398),"",ReferenceData!$D$398),"")</f>
        <v>EV_TO_MKT_CAP</v>
      </c>
      <c r="E398" t="str">
        <f>IFERROR(IF(0=LEN(ReferenceData!$E$398),"",ReferenceData!$E$398),"")</f>
        <v>Dynamic</v>
      </c>
      <c r="F398" t="str">
        <f ca="1">IFERROR(IF(0=LEN(ReferenceData!$F$398),"",ReferenceData!$F$398),"")</f>
        <v/>
      </c>
      <c r="G398">
        <f ca="1">IFERROR(IF(0=LEN(ReferenceData!$G$398),"",ReferenceData!$G$398),"")</f>
        <v>0.78148014799999999</v>
      </c>
      <c r="H398">
        <f ca="1">IFERROR(IF(0=LEN(ReferenceData!$H$398),"",ReferenceData!$H$398),"")</f>
        <v>0.80092693999999998</v>
      </c>
      <c r="I398">
        <f ca="1">IFERROR(IF(0=LEN(ReferenceData!$I$398),"",ReferenceData!$I$398),"")</f>
        <v>0.83425411800000004</v>
      </c>
      <c r="J398">
        <f ca="1">IFERROR(IF(0=LEN(ReferenceData!$J$398),"",ReferenceData!$J$398),"")</f>
        <v>0.54118119899999995</v>
      </c>
      <c r="K398">
        <f ca="1">IFERROR(IF(0=LEN(ReferenceData!$K$398),"",ReferenceData!$K$398),"")</f>
        <v>0.60100801999999998</v>
      </c>
      <c r="L398">
        <f ca="1">IFERROR(IF(0=LEN(ReferenceData!$L$398),"",ReferenceData!$L$398),"")</f>
        <v>0.64085913100000003</v>
      </c>
      <c r="M398">
        <f ca="1">IFERROR(IF(0=LEN(ReferenceData!$M$398),"",ReferenceData!$M$398),"")</f>
        <v>0.57300750199999995</v>
      </c>
      <c r="N398">
        <f ca="1">IFERROR(IF(0=LEN(ReferenceData!$N$398),"",ReferenceData!$N$398),"")</f>
        <v>0.48085576800000002</v>
      </c>
      <c r="O398">
        <f ca="1">IFERROR(IF(0=LEN(ReferenceData!$O$398),"",ReferenceData!$O$398),"")</f>
        <v>0.46783097800000001</v>
      </c>
      <c r="P398">
        <f ca="1">IFERROR(IF(0=LEN(ReferenceData!$P$398),"",ReferenceData!$P$398),"")</f>
        <v>0.353067034</v>
      </c>
      <c r="Q398">
        <f ca="1">IFERROR(IF(0=LEN(ReferenceData!$Q$398),"",ReferenceData!$Q$398),"")</f>
        <v>0.20834212599999999</v>
      </c>
      <c r="R398">
        <f ca="1">IFERROR(IF(0=LEN(ReferenceData!$R$398),"",ReferenceData!$R$398),"")</f>
        <v>0.518549119</v>
      </c>
      <c r="S398">
        <f ca="1">IFERROR(IF(0=LEN(ReferenceData!$S$398),"",ReferenceData!$S$398),"")</f>
        <v>0.56829956000000004</v>
      </c>
      <c r="T398">
        <f ca="1">IFERROR(IF(0=LEN(ReferenceData!$T$398),"",ReferenceData!$T$398),"")</f>
        <v>0.58711434399999995</v>
      </c>
      <c r="U398">
        <f ca="1">IFERROR(IF(0=LEN(ReferenceData!$U$398),"",ReferenceData!$U$398),"")</f>
        <v>0.74760146100000002</v>
      </c>
      <c r="V398">
        <f ca="1">IFERROR(IF(0=LEN(ReferenceData!$V$398),"",ReferenceData!$V$398),"")</f>
        <v>0.74817915599999996</v>
      </c>
      <c r="W398">
        <f ca="1">IFERROR(IF(0=LEN(ReferenceData!$W$398),"",ReferenceData!$W$398),"")</f>
        <v>0.73298731699999997</v>
      </c>
      <c r="X398">
        <f ca="1">IFERROR(IF(0=LEN(ReferenceData!$X$398),"",ReferenceData!$X$398),"")</f>
        <v>0.81845801699999998</v>
      </c>
      <c r="Y398">
        <f ca="1">IFERROR(IF(0=LEN(ReferenceData!$Y$398),"",ReferenceData!$Y$398),"")</f>
        <v>0.802214011</v>
      </c>
      <c r="Z398">
        <f ca="1">IFERROR(IF(0=LEN(ReferenceData!$Z$398),"",ReferenceData!$Z$398),"")</f>
        <v>0.82316146300000004</v>
      </c>
      <c r="AA398">
        <f ca="1">IFERROR(IF(0=LEN(ReferenceData!$AA$398),"",ReferenceData!$AA$398),"")</f>
        <v>1.329534668</v>
      </c>
      <c r="AB398">
        <f ca="1">IFERROR(IF(0=LEN(ReferenceData!$AB$398),"",ReferenceData!$AB$398),"")</f>
        <v>1.5078586140000001</v>
      </c>
      <c r="AC398">
        <f ca="1">IFERROR(IF(0=LEN(ReferenceData!$AC$398),"",ReferenceData!$AC$398),"")</f>
        <v>1.4311309299999999</v>
      </c>
      <c r="AD398">
        <f ca="1">IFERROR(IF(0=LEN(ReferenceData!$AD$398),"",ReferenceData!$AD$398),"")</f>
        <v>1.6607979690000001</v>
      </c>
      <c r="AE398">
        <f ca="1">IFERROR(IF(0=LEN(ReferenceData!$AE$398),"",ReferenceData!$AE$398),"")</f>
        <v>1.799393298</v>
      </c>
      <c r="AF398">
        <f ca="1">IFERROR(IF(0=LEN(ReferenceData!$AF$398),"",ReferenceData!$AF$398),"")</f>
        <v>2.0573635970000002</v>
      </c>
      <c r="AG398">
        <f ca="1">IFERROR(IF(0=LEN(ReferenceData!$AG$398),"",ReferenceData!$AG$398),"")</f>
        <v>2.0087070800000002</v>
      </c>
      <c r="AH398">
        <f ca="1">IFERROR(IF(0=LEN(ReferenceData!$AH$398),"",ReferenceData!$AH$398),"")</f>
        <v>1.9914687019999999</v>
      </c>
      <c r="AI398">
        <f ca="1">IFERROR(IF(0=LEN(ReferenceData!$AI$398),"",ReferenceData!$AI$398),"")</f>
        <v>2.0525781460000001</v>
      </c>
      <c r="AJ398">
        <f ca="1">IFERROR(IF(0=LEN(ReferenceData!$AJ$398),"",ReferenceData!$AJ$398),"")</f>
        <v>1.9033939849999999</v>
      </c>
      <c r="AK398">
        <f ca="1">IFERROR(IF(0=LEN(ReferenceData!$AK$398),"",ReferenceData!$AK$398),"")</f>
        <v>1.96986656</v>
      </c>
      <c r="AL398">
        <f ca="1">IFERROR(IF(0=LEN(ReferenceData!$AL$398),"",ReferenceData!$AL$398),"")</f>
        <v>1.995913641</v>
      </c>
      <c r="AM398">
        <f ca="1">IFERROR(IF(0=LEN(ReferenceData!$AM$398),"",ReferenceData!$AM$398),"")</f>
        <v>1.802646594</v>
      </c>
      <c r="AN398">
        <f ca="1">IFERROR(IF(0=LEN(ReferenceData!$AN$398),"",ReferenceData!$AN$398),"")</f>
        <v>1.8871612310000001</v>
      </c>
      <c r="AO398">
        <f ca="1">IFERROR(IF(0=LEN(ReferenceData!$AO$398),"",ReferenceData!$AO$398),"")</f>
        <v>1.8941476779999999</v>
      </c>
      <c r="AP398">
        <f ca="1">IFERROR(IF(0=LEN(ReferenceData!$AP$398),"",ReferenceData!$AP$398),"")</f>
        <v>1.8548514089999999</v>
      </c>
      <c r="AQ398">
        <f ca="1">IFERROR(IF(0=LEN(ReferenceData!$AQ$398),"",ReferenceData!$AQ$398),"")</f>
        <v>1.875236093</v>
      </c>
      <c r="AR398">
        <f ca="1">IFERROR(IF(0=LEN(ReferenceData!$AR$398),"",ReferenceData!$AR$398),"")</f>
        <v>1.796458951</v>
      </c>
      <c r="AS398">
        <f ca="1">IFERROR(IF(0=LEN(ReferenceData!$AS$398),"",ReferenceData!$AS$398),"")</f>
        <v>1.6507384039999999</v>
      </c>
      <c r="AT398">
        <f ca="1">IFERROR(IF(0=LEN(ReferenceData!$AT$398),"",ReferenceData!$AT$398),"")</f>
        <v>1.9688904380000001</v>
      </c>
      <c r="AU398">
        <f ca="1">IFERROR(IF(0=LEN(ReferenceData!$AU$398),"",ReferenceData!$AU$398),"")</f>
        <v>1.796265851</v>
      </c>
      <c r="AV398">
        <f ca="1">IFERROR(IF(0=LEN(ReferenceData!$AV$398),"",ReferenceData!$AV$398),"")</f>
        <v>1.4825318160000001</v>
      </c>
      <c r="AW398">
        <f ca="1">IFERROR(IF(0=LEN(ReferenceData!$AW$398),"",ReferenceData!$AW$398),"")</f>
        <v>1.389514889</v>
      </c>
      <c r="AX398">
        <f ca="1">IFERROR(IF(0=LEN(ReferenceData!$AX$398),"",ReferenceData!$AX$398),"")</f>
        <v>1.4908335020000001</v>
      </c>
      <c r="AY398">
        <f ca="1">IFERROR(IF(0=LEN(ReferenceData!$AY$398),"",ReferenceData!$AY$398),"")</f>
        <v>1.4310080860000001</v>
      </c>
      <c r="AZ398">
        <f ca="1">IFERROR(IF(0=LEN(ReferenceData!$AZ$398),"",ReferenceData!$AZ$398),"")</f>
        <v>1.5000244220000001</v>
      </c>
      <c r="BA398">
        <f ca="1">IFERROR(IF(0=LEN(ReferenceData!$BA$398),"",ReferenceData!$BA$398),"")</f>
        <v>1.510309342</v>
      </c>
      <c r="BB398">
        <f ca="1">IFERROR(IF(0=LEN(ReferenceData!$BB$398),"",ReferenceData!$BB$398),"")</f>
        <v>1.5820214909999999</v>
      </c>
      <c r="BC398">
        <f ca="1">IFERROR(IF(0=LEN(ReferenceData!$BC$398),"",ReferenceData!$BC$398),"")</f>
        <v>1.614472538</v>
      </c>
      <c r="BD398">
        <f ca="1">IFERROR(IF(0=LEN(ReferenceData!$BD$398),"",ReferenceData!$BD$398),"")</f>
        <v>1.6304691870000001</v>
      </c>
      <c r="BE398">
        <f ca="1">IFERROR(IF(0=LEN(ReferenceData!$BE$398),"",ReferenceData!$BE$398),"")</f>
        <v>1.5447666790000001</v>
      </c>
      <c r="BF398">
        <f ca="1">IFERROR(IF(0=LEN(ReferenceData!$BF$398),"",ReferenceData!$BF$398),"")</f>
        <v>1.466970737</v>
      </c>
      <c r="BG398" t="str">
        <f ca="1">IFERROR(IF(0=LEN(ReferenceData!$BG$398),"",ReferenceData!$BG$398),"")</f>
        <v/>
      </c>
      <c r="BH398">
        <f ca="1">IFERROR(IF(0=LEN(ReferenceData!$BH$398),"",ReferenceData!$BH$398),"")</f>
        <v>2.1792216600000001</v>
      </c>
      <c r="BI398" t="str">
        <f ca="1">IFERROR(IF(0=LEN(ReferenceData!$BI$398),"",ReferenceData!$BI$398),"")</f>
        <v/>
      </c>
      <c r="BJ398">
        <f ca="1">IFERROR(IF(0=LEN(ReferenceData!$BJ$398),"",ReferenceData!$BJ$398),"")</f>
        <v>2.1682100320000002</v>
      </c>
      <c r="BK398" t="str">
        <f ca="1">IFERROR(IF(0=LEN(ReferenceData!$BK$398),"",ReferenceData!$BK$398),"")</f>
        <v/>
      </c>
      <c r="BL398">
        <f ca="1">IFERROR(IF(0=LEN(ReferenceData!$BL$398),"",ReferenceData!$BL$398),"")</f>
        <v>4.1783390850000002</v>
      </c>
      <c r="BM398" t="str">
        <f ca="1">IFERROR(IF(0=LEN(ReferenceData!$BM$398),"",ReferenceData!$BM$398),"")</f>
        <v/>
      </c>
    </row>
    <row r="399" spans="1:65" x14ac:dyDescent="0.25">
      <c r="A399" t="str">
        <f>IFERROR(IF(0=LEN(ReferenceData!$A$399),"",ReferenceData!$A$399),"")</f>
        <v xml:space="preserve">    Nissan Motor Co Ltd</v>
      </c>
      <c r="B399" t="str">
        <f>IFERROR(IF(0=LEN(ReferenceData!$B$399),"",ReferenceData!$B$399),"")</f>
        <v>7201 JP Equity</v>
      </c>
      <c r="C399" t="str">
        <f>IFERROR(IF(0=LEN(ReferenceData!$C$399),"",ReferenceData!$C$399),"")</f>
        <v>RR480</v>
      </c>
      <c r="D399" t="str">
        <f>IFERROR(IF(0=LEN(ReferenceData!$D$399),"",ReferenceData!$D$399),"")</f>
        <v>EV_TO_MKT_CAP</v>
      </c>
      <c r="E399" t="str">
        <f>IFERROR(IF(0=LEN(ReferenceData!$E$399),"",ReferenceData!$E$399),"")</f>
        <v>Dynamic</v>
      </c>
      <c r="F399" t="str">
        <f ca="1">IFERROR(IF(0=LEN(ReferenceData!$F$399),"",ReferenceData!$F$399),"")</f>
        <v/>
      </c>
      <c r="G399">
        <f ca="1">IFERROR(IF(0=LEN(ReferenceData!$G$399),"",ReferenceData!$G$399),"")</f>
        <v>0.70024378799999998</v>
      </c>
      <c r="H399">
        <f ca="1">IFERROR(IF(0=LEN(ReferenceData!$H$399),"",ReferenceData!$H$399),"")</f>
        <v>0.69606987899999995</v>
      </c>
      <c r="I399">
        <f ca="1">IFERROR(IF(0=LEN(ReferenceData!$I$399),"",ReferenceData!$I$399),"")</f>
        <v>0.700926084</v>
      </c>
      <c r="J399">
        <f ca="1">IFERROR(IF(0=LEN(ReferenceData!$J$399),"",ReferenceData!$J$399),"")</f>
        <v>0.66058981000000006</v>
      </c>
      <c r="K399">
        <f ca="1">IFERROR(IF(0=LEN(ReferenceData!$K$399),"",ReferenceData!$K$399),"")</f>
        <v>0.76740982700000004</v>
      </c>
      <c r="L399">
        <f ca="1">IFERROR(IF(0=LEN(ReferenceData!$L$399),"",ReferenceData!$L$399),"")</f>
        <v>0.66177887599999996</v>
      </c>
      <c r="M399">
        <f ca="1">IFERROR(IF(0=LEN(ReferenceData!$M$399),"",ReferenceData!$M$399),"")</f>
        <v>0.69055926099999998</v>
      </c>
      <c r="N399">
        <f ca="1">IFERROR(IF(0=LEN(ReferenceData!$N$399),"",ReferenceData!$N$399),"")</f>
        <v>0.68256781099999997</v>
      </c>
      <c r="O399">
        <f ca="1">IFERROR(IF(0=LEN(ReferenceData!$O$399),"",ReferenceData!$O$399),"")</f>
        <v>0.859256464</v>
      </c>
      <c r="P399">
        <f ca="1">IFERROR(IF(0=LEN(ReferenceData!$P$399),"",ReferenceData!$P$399),"")</f>
        <v>0.76945553099999997</v>
      </c>
      <c r="Q399">
        <f ca="1">IFERROR(IF(0=LEN(ReferenceData!$Q$399),"",ReferenceData!$Q$399),"")</f>
        <v>0.74223686300000002</v>
      </c>
      <c r="R399">
        <f ca="1">IFERROR(IF(0=LEN(ReferenceData!$R$399),"",ReferenceData!$R$399),"")</f>
        <v>0.75031167799999998</v>
      </c>
      <c r="S399">
        <f ca="1">IFERROR(IF(0=LEN(ReferenceData!$S$399),"",ReferenceData!$S$399),"")</f>
        <v>0.81502425499999998</v>
      </c>
      <c r="T399">
        <f ca="1">IFERROR(IF(0=LEN(ReferenceData!$T$399),"",ReferenceData!$T$399),"")</f>
        <v>0.75155157400000006</v>
      </c>
      <c r="U399">
        <f ca="1">IFERROR(IF(0=LEN(ReferenceData!$U$399),"",ReferenceData!$U$399),"")</f>
        <v>0.88815079200000002</v>
      </c>
      <c r="V399">
        <f ca="1">IFERROR(IF(0=LEN(ReferenceData!$V$399),"",ReferenceData!$V$399),"")</f>
        <v>0.80913085200000001</v>
      </c>
      <c r="W399">
        <f ca="1">IFERROR(IF(0=LEN(ReferenceData!$W$399),"",ReferenceData!$W$399),"")</f>
        <v>0.82307701</v>
      </c>
      <c r="X399">
        <f ca="1">IFERROR(IF(0=LEN(ReferenceData!$X$399),"",ReferenceData!$X$399),"")</f>
        <v>0.83035605899999998</v>
      </c>
      <c r="Y399">
        <f ca="1">IFERROR(IF(0=LEN(ReferenceData!$Y$399),"",ReferenceData!$Y$399),"")</f>
        <v>0.85768292899999998</v>
      </c>
      <c r="Z399">
        <f ca="1">IFERROR(IF(0=LEN(ReferenceData!$Z$399),"",ReferenceData!$Z$399),"")</f>
        <v>0.82118904299999995</v>
      </c>
      <c r="AA399">
        <f ca="1">IFERROR(IF(0=LEN(ReferenceData!$AA$399),"",ReferenceData!$AA$399),"")</f>
        <v>0.91124411900000002</v>
      </c>
      <c r="AB399">
        <f ca="1">IFERROR(IF(0=LEN(ReferenceData!$AB$399),"",ReferenceData!$AB$399),"")</f>
        <v>0.89784212799999996</v>
      </c>
      <c r="AC399">
        <f ca="1">IFERROR(IF(0=LEN(ReferenceData!$AC$399),"",ReferenceData!$AC$399),"")</f>
        <v>0.92472497799999998</v>
      </c>
      <c r="AD399">
        <f ca="1">IFERROR(IF(0=LEN(ReferenceData!$AD$399),"",ReferenceData!$AD$399),"")</f>
        <v>0.85904881899999996</v>
      </c>
      <c r="AE399">
        <f ca="1">IFERROR(IF(0=LEN(ReferenceData!$AE$399),"",ReferenceData!$AE$399),"")</f>
        <v>0.99624286900000003</v>
      </c>
      <c r="AF399">
        <f ca="1">IFERROR(IF(0=LEN(ReferenceData!$AF$399),"",ReferenceData!$AF$399),"")</f>
        <v>0.955417772</v>
      </c>
      <c r="AG399">
        <f ca="1">IFERROR(IF(0=LEN(ReferenceData!$AG$399),"",ReferenceData!$AG$399),"")</f>
        <v>0.93303635200000001</v>
      </c>
      <c r="AH399">
        <f ca="1">IFERROR(IF(0=LEN(ReferenceData!$AH$399),"",ReferenceData!$AH$399),"")</f>
        <v>0.91286662100000004</v>
      </c>
      <c r="AI399">
        <f ca="1">IFERROR(IF(0=LEN(ReferenceData!$AI$399),"",ReferenceData!$AI$399),"")</f>
        <v>0.98942832700000005</v>
      </c>
      <c r="AJ399">
        <f ca="1">IFERROR(IF(0=LEN(ReferenceData!$AJ$399),"",ReferenceData!$AJ$399),"")</f>
        <v>1.0033008940000001</v>
      </c>
      <c r="AK399">
        <f ca="1">IFERROR(IF(0=LEN(ReferenceData!$AK$399),"",ReferenceData!$AK$399),"")</f>
        <v>1.0054133789999999</v>
      </c>
      <c r="AL399">
        <f ca="1">IFERROR(IF(0=LEN(ReferenceData!$AL$399),"",ReferenceData!$AL$399),"")</f>
        <v>1.0108737649999999</v>
      </c>
      <c r="AM399">
        <f ca="1">IFERROR(IF(0=LEN(ReferenceData!$AM$399),"",ReferenceData!$AM$399),"")</f>
        <v>1.085163283</v>
      </c>
      <c r="AN399">
        <f ca="1">IFERROR(IF(0=LEN(ReferenceData!$AN$399),"",ReferenceData!$AN$399),"")</f>
        <v>1.0603582330000001</v>
      </c>
      <c r="AO399">
        <f ca="1">IFERROR(IF(0=LEN(ReferenceData!$AO$399),"",ReferenceData!$AO$399),"")</f>
        <v>1.0896899419999999</v>
      </c>
      <c r="AP399">
        <f ca="1">IFERROR(IF(0=LEN(ReferenceData!$AP$399),"",ReferenceData!$AP$399),"")</f>
        <v>1.0720901439999999</v>
      </c>
      <c r="AQ399">
        <f ca="1">IFERROR(IF(0=LEN(ReferenceData!$AQ$399),"",ReferenceData!$AQ$399),"")</f>
        <v>1.143692887</v>
      </c>
      <c r="AR399">
        <f ca="1">IFERROR(IF(0=LEN(ReferenceData!$AR$399),"",ReferenceData!$AR$399),"")</f>
        <v>1.209917055</v>
      </c>
      <c r="AS399">
        <f ca="1">IFERROR(IF(0=LEN(ReferenceData!$AS$399),"",ReferenceData!$AS$399),"")</f>
        <v>1.286049309</v>
      </c>
      <c r="AT399">
        <f ca="1">IFERROR(IF(0=LEN(ReferenceData!$AT$399),"",ReferenceData!$AT$399),"")</f>
        <v>4.0179958200000003</v>
      </c>
      <c r="AU399">
        <f ca="1">IFERROR(IF(0=LEN(ReferenceData!$AU$399),"",ReferenceData!$AU$399),"")</f>
        <v>4.5599894949999999</v>
      </c>
      <c r="AV399">
        <f ca="1">IFERROR(IF(0=LEN(ReferenceData!$AV$399),"",ReferenceData!$AV$399),"")</f>
        <v>2.7133136549999999</v>
      </c>
      <c r="AW399">
        <f ca="1">IFERROR(IF(0=LEN(ReferenceData!$AW$399),"",ReferenceData!$AW$399),"")</f>
        <v>2.3920248079999999</v>
      </c>
      <c r="AX399">
        <f ca="1">IFERROR(IF(0=LEN(ReferenceData!$AX$399),"",ReferenceData!$AX$399),"")</f>
        <v>2.337122189</v>
      </c>
      <c r="AY399">
        <f ca="1">IFERROR(IF(0=LEN(ReferenceData!$AY$399),"",ReferenceData!$AY$399),"")</f>
        <v>2.0179603730000002</v>
      </c>
      <c r="AZ399">
        <f ca="1">IFERROR(IF(0=LEN(ReferenceData!$AZ$399),"",ReferenceData!$AZ$399),"")</f>
        <v>2.0607130210000002</v>
      </c>
      <c r="BA399">
        <f ca="1">IFERROR(IF(0=LEN(ReferenceData!$BA$399),"",ReferenceData!$BA$399),"")</f>
        <v>1.9574488189999999</v>
      </c>
      <c r="BB399">
        <f ca="1">IFERROR(IF(0=LEN(ReferenceData!$BB$399),"",ReferenceData!$BB$399),"")</f>
        <v>1.952748785</v>
      </c>
      <c r="BC399">
        <f ca="1">IFERROR(IF(0=LEN(ReferenceData!$BC$399),"",ReferenceData!$BC$399),"")</f>
        <v>1.8602720079999999</v>
      </c>
      <c r="BD399">
        <f ca="1">IFERROR(IF(0=LEN(ReferenceData!$BD$399),"",ReferenceData!$BD$399),"")</f>
        <v>1.889770868</v>
      </c>
      <c r="BE399">
        <f ca="1">IFERROR(IF(0=LEN(ReferenceData!$BE$399),"",ReferenceData!$BE$399),"")</f>
        <v>1.954756164</v>
      </c>
      <c r="BF399">
        <f ca="1">IFERROR(IF(0=LEN(ReferenceData!$BF$399),"",ReferenceData!$BF$399),"")</f>
        <v>1.816455618</v>
      </c>
      <c r="BG399" t="str">
        <f ca="1">IFERROR(IF(0=LEN(ReferenceData!$BG$399),"",ReferenceData!$BG$399),"")</f>
        <v/>
      </c>
      <c r="BH399">
        <f ca="1">IFERROR(IF(0=LEN(ReferenceData!$BH$399),"",ReferenceData!$BH$399),"")</f>
        <v>1.8336421430000001</v>
      </c>
      <c r="BI399" t="str">
        <f ca="1">IFERROR(IF(0=LEN(ReferenceData!$BI$399),"",ReferenceData!$BI$399),"")</f>
        <v/>
      </c>
      <c r="BJ399">
        <f ca="1">IFERROR(IF(0=LEN(ReferenceData!$BJ$399),"",ReferenceData!$BJ$399),"")</f>
        <v>1.8333982010000001</v>
      </c>
      <c r="BK399" t="str">
        <f ca="1">IFERROR(IF(0=LEN(ReferenceData!$BK$399),"",ReferenceData!$BK$399),"")</f>
        <v/>
      </c>
      <c r="BL399">
        <f ca="1">IFERROR(IF(0=LEN(ReferenceData!$BL$399),"",ReferenceData!$BL$399),"")</f>
        <v>1.7072340800000001</v>
      </c>
      <c r="BM399" t="str">
        <f ca="1">IFERROR(IF(0=LEN(ReferenceData!$BM$399),"",ReferenceData!$BM$399),"")</f>
        <v/>
      </c>
    </row>
    <row r="400" spans="1:65" x14ac:dyDescent="0.25">
      <c r="A400" t="str">
        <f>IFERROR(IF(0=LEN(ReferenceData!$A$400),"",ReferenceData!$A$400),"")</f>
        <v xml:space="preserve">    Peugeot SA</v>
      </c>
      <c r="B400" t="str">
        <f>IFERROR(IF(0=LEN(ReferenceData!$B$400),"",ReferenceData!$B$400),"")</f>
        <v>UG FP Equity</v>
      </c>
      <c r="C400" t="str">
        <f>IFERROR(IF(0=LEN(ReferenceData!$C$400),"",ReferenceData!$C$400),"")</f>
        <v>RR480</v>
      </c>
      <c r="D400" t="str">
        <f>IFERROR(IF(0=LEN(ReferenceData!$D$400),"",ReferenceData!$D$400),"")</f>
        <v>EV_TO_MKT_CAP</v>
      </c>
      <c r="E400" t="str">
        <f>IFERROR(IF(0=LEN(ReferenceData!$E$400),"",ReferenceData!$E$400),"")</f>
        <v>Dynamic</v>
      </c>
      <c r="F400" t="str">
        <f ca="1">IFERROR(IF(0=LEN(ReferenceData!$F$400),"",ReferenceData!$F$400),"")</f>
        <v/>
      </c>
      <c r="G400" t="str">
        <f ca="1">IFERROR(IF(0=LEN(ReferenceData!$G$400),"",ReferenceData!$G$400),"")</f>
        <v/>
      </c>
      <c r="H400" t="str">
        <f ca="1">IFERROR(IF(0=LEN(ReferenceData!$H$400),"",ReferenceData!$H$400),"")</f>
        <v/>
      </c>
      <c r="I400" t="str">
        <f ca="1">IFERROR(IF(0=LEN(ReferenceData!$I$400),"",ReferenceData!$I$400),"")</f>
        <v/>
      </c>
      <c r="J400" t="str">
        <f ca="1">IFERROR(IF(0=LEN(ReferenceData!$J$400),"",ReferenceData!$J$400),"")</f>
        <v/>
      </c>
      <c r="K400" t="str">
        <f ca="1">IFERROR(IF(0=LEN(ReferenceData!$K$400),"",ReferenceData!$K$400),"")</f>
        <v/>
      </c>
      <c r="L400" t="str">
        <f ca="1">IFERROR(IF(0=LEN(ReferenceData!$L$400),"",ReferenceData!$L$400),"")</f>
        <v/>
      </c>
      <c r="M400" t="str">
        <f ca="1">IFERROR(IF(0=LEN(ReferenceData!$M$400),"",ReferenceData!$M$400),"")</f>
        <v/>
      </c>
      <c r="N400" t="str">
        <f ca="1">IFERROR(IF(0=LEN(ReferenceData!$N$400),"",ReferenceData!$N$400),"")</f>
        <v/>
      </c>
      <c r="O400" t="str">
        <f ca="1">IFERROR(IF(0=LEN(ReferenceData!$O$400),"",ReferenceData!$O$400),"")</f>
        <v/>
      </c>
      <c r="P400" t="str">
        <f ca="1">IFERROR(IF(0=LEN(ReferenceData!$P$400),"",ReferenceData!$P$400),"")</f>
        <v/>
      </c>
      <c r="Q400" t="str">
        <f ca="1">IFERROR(IF(0=LEN(ReferenceData!$Q$400),"",ReferenceData!$Q$400),"")</f>
        <v/>
      </c>
      <c r="R400" t="str">
        <f ca="1">IFERROR(IF(0=LEN(ReferenceData!$R$400),"",ReferenceData!$R$400),"")</f>
        <v/>
      </c>
      <c r="S400" t="str">
        <f ca="1">IFERROR(IF(0=LEN(ReferenceData!$S$400),"",ReferenceData!$S$400),"")</f>
        <v/>
      </c>
      <c r="T400" t="str">
        <f ca="1">IFERROR(IF(0=LEN(ReferenceData!$T$400),"",ReferenceData!$T$400),"")</f>
        <v/>
      </c>
      <c r="U400" t="str">
        <f ca="1">IFERROR(IF(0=LEN(ReferenceData!$U$400),"",ReferenceData!$U$400),"")</f>
        <v/>
      </c>
      <c r="V400" t="str">
        <f ca="1">IFERROR(IF(0=LEN(ReferenceData!$V$400),"",ReferenceData!$V$400),"")</f>
        <v/>
      </c>
      <c r="W400" t="str">
        <f ca="1">IFERROR(IF(0=LEN(ReferenceData!$W$400),"",ReferenceData!$W$400),"")</f>
        <v/>
      </c>
      <c r="X400" t="str">
        <f ca="1">IFERROR(IF(0=LEN(ReferenceData!$X$400),"",ReferenceData!$X$400),"")</f>
        <v/>
      </c>
      <c r="Y400" t="str">
        <f ca="1">IFERROR(IF(0=LEN(ReferenceData!$Y$400),"",ReferenceData!$Y$400),"")</f>
        <v/>
      </c>
      <c r="Z400" t="str">
        <f ca="1">IFERROR(IF(0=LEN(ReferenceData!$Z$400),"",ReferenceData!$Z$400),"")</f>
        <v/>
      </c>
      <c r="AA400" t="str">
        <f ca="1">IFERROR(IF(0=LEN(ReferenceData!$AA$400),"",ReferenceData!$AA$400),"")</f>
        <v/>
      </c>
      <c r="AB400" t="str">
        <f ca="1">IFERROR(IF(0=LEN(ReferenceData!$AB$400),"",ReferenceData!$AB$400),"")</f>
        <v/>
      </c>
      <c r="AC400" t="str">
        <f ca="1">IFERROR(IF(0=LEN(ReferenceData!$AC$400),"",ReferenceData!$AC$400),"")</f>
        <v/>
      </c>
      <c r="AD400" t="str">
        <f ca="1">IFERROR(IF(0=LEN(ReferenceData!$AD$400),"",ReferenceData!$AD$400),"")</f>
        <v/>
      </c>
      <c r="AE400" t="str">
        <f ca="1">IFERROR(IF(0=LEN(ReferenceData!$AE$400),"",ReferenceData!$AE$400),"")</f>
        <v/>
      </c>
      <c r="AF400" t="str">
        <f ca="1">IFERROR(IF(0=LEN(ReferenceData!$AF$400),"",ReferenceData!$AF$400),"")</f>
        <v/>
      </c>
      <c r="AG400" t="str">
        <f ca="1">IFERROR(IF(0=LEN(ReferenceData!$AG$400),"",ReferenceData!$AG$400),"")</f>
        <v/>
      </c>
      <c r="AH400" t="str">
        <f ca="1">IFERROR(IF(0=LEN(ReferenceData!$AH$400),"",ReferenceData!$AH$400),"")</f>
        <v/>
      </c>
      <c r="AI400" t="str">
        <f ca="1">IFERROR(IF(0=LEN(ReferenceData!$AI$400),"",ReferenceData!$AI$400),"")</f>
        <v/>
      </c>
      <c r="AJ400" t="str">
        <f ca="1">IFERROR(IF(0=LEN(ReferenceData!$AJ$400),"",ReferenceData!$AJ$400),"")</f>
        <v/>
      </c>
      <c r="AK400" t="str">
        <f ca="1">IFERROR(IF(0=LEN(ReferenceData!$AK$400),"",ReferenceData!$AK$400),"")</f>
        <v/>
      </c>
      <c r="AL400" t="str">
        <f ca="1">IFERROR(IF(0=LEN(ReferenceData!$AL$400),"",ReferenceData!$AL$400),"")</f>
        <v/>
      </c>
      <c r="AM400" t="str">
        <f ca="1">IFERROR(IF(0=LEN(ReferenceData!$AM$400),"",ReferenceData!$AM$400),"")</f>
        <v/>
      </c>
      <c r="AN400" t="str">
        <f ca="1">IFERROR(IF(0=LEN(ReferenceData!$AN$400),"",ReferenceData!$AN$400),"")</f>
        <v/>
      </c>
      <c r="AO400" t="str">
        <f ca="1">IFERROR(IF(0=LEN(ReferenceData!$AO$400),"",ReferenceData!$AO$400),"")</f>
        <v/>
      </c>
      <c r="AP400" t="str">
        <f ca="1">IFERROR(IF(0=LEN(ReferenceData!$AP$400),"",ReferenceData!$AP$400),"")</f>
        <v/>
      </c>
      <c r="AQ400" t="str">
        <f ca="1">IFERROR(IF(0=LEN(ReferenceData!$AQ$400),"",ReferenceData!$AQ$400),"")</f>
        <v/>
      </c>
      <c r="AR400" t="str">
        <f ca="1">IFERROR(IF(0=LEN(ReferenceData!$AR$400),"",ReferenceData!$AR$400),"")</f>
        <v/>
      </c>
      <c r="AS400" t="str">
        <f ca="1">IFERROR(IF(0=LEN(ReferenceData!$AS$400),"",ReferenceData!$AS$400),"")</f>
        <v/>
      </c>
      <c r="AT400" t="str">
        <f ca="1">IFERROR(IF(0=LEN(ReferenceData!$AT$400),"",ReferenceData!$AT$400),"")</f>
        <v/>
      </c>
      <c r="AU400" t="str">
        <f ca="1">IFERROR(IF(0=LEN(ReferenceData!$AU$400),"",ReferenceData!$AU$400),"")</f>
        <v/>
      </c>
      <c r="AV400" t="str">
        <f ca="1">IFERROR(IF(0=LEN(ReferenceData!$AV$400),"",ReferenceData!$AV$400),"")</f>
        <v/>
      </c>
      <c r="AW400" t="str">
        <f ca="1">IFERROR(IF(0=LEN(ReferenceData!$AW$400),"",ReferenceData!$AW$400),"")</f>
        <v/>
      </c>
      <c r="AX400" t="str">
        <f ca="1">IFERROR(IF(0=LEN(ReferenceData!$AX$400),"",ReferenceData!$AX$400),"")</f>
        <v/>
      </c>
      <c r="AY400" t="str">
        <f ca="1">IFERROR(IF(0=LEN(ReferenceData!$AY$400),"",ReferenceData!$AY$400),"")</f>
        <v/>
      </c>
      <c r="AZ400" t="str">
        <f ca="1">IFERROR(IF(0=LEN(ReferenceData!$AZ$400),"",ReferenceData!$AZ$400),"")</f>
        <v/>
      </c>
      <c r="BA400" t="str">
        <f ca="1">IFERROR(IF(0=LEN(ReferenceData!$BA$400),"",ReferenceData!$BA$400),"")</f>
        <v/>
      </c>
      <c r="BB400" t="str">
        <f ca="1">IFERROR(IF(0=LEN(ReferenceData!$BB$400),"",ReferenceData!$BB$400),"")</f>
        <v/>
      </c>
      <c r="BC400" t="str">
        <f ca="1">IFERROR(IF(0=LEN(ReferenceData!$BC$400),"",ReferenceData!$BC$400),"")</f>
        <v/>
      </c>
      <c r="BD400" t="str">
        <f ca="1">IFERROR(IF(0=LEN(ReferenceData!$BD$400),"",ReferenceData!$BD$400),"")</f>
        <v/>
      </c>
      <c r="BE400" t="str">
        <f ca="1">IFERROR(IF(0=LEN(ReferenceData!$BE$400),"",ReferenceData!$BE$400),"")</f>
        <v/>
      </c>
      <c r="BF400" t="str">
        <f ca="1">IFERROR(IF(0=LEN(ReferenceData!$BF$400),"",ReferenceData!$BF$400),"")</f>
        <v/>
      </c>
      <c r="BG400" t="str">
        <f ca="1">IFERROR(IF(0=LEN(ReferenceData!$BG$400),"",ReferenceData!$BG$400),"")</f>
        <v/>
      </c>
      <c r="BH400" t="str">
        <f ca="1">IFERROR(IF(0=LEN(ReferenceData!$BH$400),"",ReferenceData!$BH$400),"")</f>
        <v/>
      </c>
      <c r="BI400" t="str">
        <f ca="1">IFERROR(IF(0=LEN(ReferenceData!$BI$400),"",ReferenceData!$BI$400),"")</f>
        <v/>
      </c>
      <c r="BJ400" t="str">
        <f ca="1">IFERROR(IF(0=LEN(ReferenceData!$BJ$400),"",ReferenceData!$BJ$400),"")</f>
        <v/>
      </c>
      <c r="BK400" t="str">
        <f ca="1">IFERROR(IF(0=LEN(ReferenceData!$BK$400),"",ReferenceData!$BK$400),"")</f>
        <v/>
      </c>
      <c r="BL400" t="str">
        <f ca="1">IFERROR(IF(0=LEN(ReferenceData!$BL$400),"",ReferenceData!$BL$400),"")</f>
        <v/>
      </c>
      <c r="BM400" t="str">
        <f ca="1">IFERROR(IF(0=LEN(ReferenceData!$BM$400),"",ReferenceData!$BM$400),"")</f>
        <v/>
      </c>
    </row>
    <row r="401" spans="1:65" x14ac:dyDescent="0.25">
      <c r="A401" t="str">
        <f>IFERROR(IF(0=LEN(ReferenceData!$A$401),"",ReferenceData!$A$401),"")</f>
        <v xml:space="preserve">    Renault SA</v>
      </c>
      <c r="B401" t="str">
        <f>IFERROR(IF(0=LEN(ReferenceData!$B$401),"",ReferenceData!$B$401),"")</f>
        <v>RNO FP Equity</v>
      </c>
      <c r="C401" t="str">
        <f>IFERROR(IF(0=LEN(ReferenceData!$C$401),"",ReferenceData!$C$401),"")</f>
        <v>RR480</v>
      </c>
      <c r="D401" t="str">
        <f>IFERROR(IF(0=LEN(ReferenceData!$D$401),"",ReferenceData!$D$401),"")</f>
        <v>EV_TO_MKT_CAP</v>
      </c>
      <c r="E401" t="str">
        <f>IFERROR(IF(0=LEN(ReferenceData!$E$401),"",ReferenceData!$E$401),"")</f>
        <v>Dynamic</v>
      </c>
      <c r="F401" t="str">
        <f ca="1">IFERROR(IF(0=LEN(ReferenceData!$F$401),"",ReferenceData!$F$401),"")</f>
        <v/>
      </c>
      <c r="G401" t="str">
        <f ca="1">IFERROR(IF(0=LEN(ReferenceData!$G$401),"",ReferenceData!$G$401),"")</f>
        <v/>
      </c>
      <c r="H401" t="str">
        <f ca="1">IFERROR(IF(0=LEN(ReferenceData!$H$401),"",ReferenceData!$H$401),"")</f>
        <v/>
      </c>
      <c r="I401" t="str">
        <f ca="1">IFERROR(IF(0=LEN(ReferenceData!$I$401),"",ReferenceData!$I$401),"")</f>
        <v/>
      </c>
      <c r="J401" t="str">
        <f ca="1">IFERROR(IF(0=LEN(ReferenceData!$J$401),"",ReferenceData!$J$401),"")</f>
        <v/>
      </c>
      <c r="K401" t="str">
        <f ca="1">IFERROR(IF(0=LEN(ReferenceData!$K$401),"",ReferenceData!$K$401),"")</f>
        <v/>
      </c>
      <c r="L401" t="str">
        <f ca="1">IFERROR(IF(0=LEN(ReferenceData!$L$401),"",ReferenceData!$L$401),"")</f>
        <v/>
      </c>
      <c r="M401" t="str">
        <f ca="1">IFERROR(IF(0=LEN(ReferenceData!$M$401),"",ReferenceData!$M$401),"")</f>
        <v/>
      </c>
      <c r="N401" t="str">
        <f ca="1">IFERROR(IF(0=LEN(ReferenceData!$N$401),"",ReferenceData!$N$401),"")</f>
        <v/>
      </c>
      <c r="O401" t="str">
        <f ca="1">IFERROR(IF(0=LEN(ReferenceData!$O$401),"",ReferenceData!$O$401),"")</f>
        <v/>
      </c>
      <c r="P401" t="str">
        <f ca="1">IFERROR(IF(0=LEN(ReferenceData!$P$401),"",ReferenceData!$P$401),"")</f>
        <v/>
      </c>
      <c r="Q401" t="str">
        <f ca="1">IFERROR(IF(0=LEN(ReferenceData!$Q$401),"",ReferenceData!$Q$401),"")</f>
        <v/>
      </c>
      <c r="R401" t="str">
        <f ca="1">IFERROR(IF(0=LEN(ReferenceData!$R$401),"",ReferenceData!$R$401),"")</f>
        <v/>
      </c>
      <c r="S401" t="str">
        <f ca="1">IFERROR(IF(0=LEN(ReferenceData!$S$401),"",ReferenceData!$S$401),"")</f>
        <v/>
      </c>
      <c r="T401" t="str">
        <f ca="1">IFERROR(IF(0=LEN(ReferenceData!$T$401),"",ReferenceData!$T$401),"")</f>
        <v/>
      </c>
      <c r="U401" t="str">
        <f ca="1">IFERROR(IF(0=LEN(ReferenceData!$U$401),"",ReferenceData!$U$401),"")</f>
        <v/>
      </c>
      <c r="V401" t="str">
        <f ca="1">IFERROR(IF(0=LEN(ReferenceData!$V$401),"",ReferenceData!$V$401),"")</f>
        <v/>
      </c>
      <c r="W401" t="str">
        <f ca="1">IFERROR(IF(0=LEN(ReferenceData!$W$401),"",ReferenceData!$W$401),"")</f>
        <v/>
      </c>
      <c r="X401" t="str">
        <f ca="1">IFERROR(IF(0=LEN(ReferenceData!$X$401),"",ReferenceData!$X$401),"")</f>
        <v/>
      </c>
      <c r="Y401" t="str">
        <f ca="1">IFERROR(IF(0=LEN(ReferenceData!$Y$401),"",ReferenceData!$Y$401),"")</f>
        <v/>
      </c>
      <c r="Z401" t="str">
        <f ca="1">IFERROR(IF(0=LEN(ReferenceData!$Z$401),"",ReferenceData!$Z$401),"")</f>
        <v/>
      </c>
      <c r="AA401" t="str">
        <f ca="1">IFERROR(IF(0=LEN(ReferenceData!$AA$401),"",ReferenceData!$AA$401),"")</f>
        <v/>
      </c>
      <c r="AB401" t="str">
        <f ca="1">IFERROR(IF(0=LEN(ReferenceData!$AB$401),"",ReferenceData!$AB$401),"")</f>
        <v/>
      </c>
      <c r="AC401" t="str">
        <f ca="1">IFERROR(IF(0=LEN(ReferenceData!$AC$401),"",ReferenceData!$AC$401),"")</f>
        <v/>
      </c>
      <c r="AD401" t="str">
        <f ca="1">IFERROR(IF(0=LEN(ReferenceData!$AD$401),"",ReferenceData!$AD$401),"")</f>
        <v/>
      </c>
      <c r="AE401" t="str">
        <f ca="1">IFERROR(IF(0=LEN(ReferenceData!$AE$401),"",ReferenceData!$AE$401),"")</f>
        <v/>
      </c>
      <c r="AF401" t="str">
        <f ca="1">IFERROR(IF(0=LEN(ReferenceData!$AF$401),"",ReferenceData!$AF$401),"")</f>
        <v/>
      </c>
      <c r="AG401" t="str">
        <f ca="1">IFERROR(IF(0=LEN(ReferenceData!$AG$401),"",ReferenceData!$AG$401),"")</f>
        <v/>
      </c>
      <c r="AH401" t="str">
        <f ca="1">IFERROR(IF(0=LEN(ReferenceData!$AH$401),"",ReferenceData!$AH$401),"")</f>
        <v/>
      </c>
      <c r="AI401" t="str">
        <f ca="1">IFERROR(IF(0=LEN(ReferenceData!$AI$401),"",ReferenceData!$AI$401),"")</f>
        <v/>
      </c>
      <c r="AJ401" t="str">
        <f ca="1">IFERROR(IF(0=LEN(ReferenceData!$AJ$401),"",ReferenceData!$AJ$401),"")</f>
        <v/>
      </c>
      <c r="AK401" t="str">
        <f ca="1">IFERROR(IF(0=LEN(ReferenceData!$AK$401),"",ReferenceData!$AK$401),"")</f>
        <v/>
      </c>
      <c r="AL401" t="str">
        <f ca="1">IFERROR(IF(0=LEN(ReferenceData!$AL$401),"",ReferenceData!$AL$401),"")</f>
        <v/>
      </c>
      <c r="AM401" t="str">
        <f ca="1">IFERROR(IF(0=LEN(ReferenceData!$AM$401),"",ReferenceData!$AM$401),"")</f>
        <v/>
      </c>
      <c r="AN401" t="str">
        <f ca="1">IFERROR(IF(0=LEN(ReferenceData!$AN$401),"",ReferenceData!$AN$401),"")</f>
        <v/>
      </c>
      <c r="AO401" t="str">
        <f ca="1">IFERROR(IF(0=LEN(ReferenceData!$AO$401),"",ReferenceData!$AO$401),"")</f>
        <v/>
      </c>
      <c r="AP401" t="str">
        <f ca="1">IFERROR(IF(0=LEN(ReferenceData!$AP$401),"",ReferenceData!$AP$401),"")</f>
        <v/>
      </c>
      <c r="AQ401" t="str">
        <f ca="1">IFERROR(IF(0=LEN(ReferenceData!$AQ$401),"",ReferenceData!$AQ$401),"")</f>
        <v/>
      </c>
      <c r="AR401" t="str">
        <f ca="1">IFERROR(IF(0=LEN(ReferenceData!$AR$401),"",ReferenceData!$AR$401),"")</f>
        <v/>
      </c>
      <c r="AS401" t="str">
        <f ca="1">IFERROR(IF(0=LEN(ReferenceData!$AS$401),"",ReferenceData!$AS$401),"")</f>
        <v/>
      </c>
      <c r="AT401" t="str">
        <f ca="1">IFERROR(IF(0=LEN(ReferenceData!$AT$401),"",ReferenceData!$AT$401),"")</f>
        <v/>
      </c>
      <c r="AU401" t="str">
        <f ca="1">IFERROR(IF(0=LEN(ReferenceData!$AU$401),"",ReferenceData!$AU$401),"")</f>
        <v/>
      </c>
      <c r="AV401" t="str">
        <f ca="1">IFERROR(IF(0=LEN(ReferenceData!$AV$401),"",ReferenceData!$AV$401),"")</f>
        <v/>
      </c>
      <c r="AW401" t="str">
        <f ca="1">IFERROR(IF(0=LEN(ReferenceData!$AW$401),"",ReferenceData!$AW$401),"")</f>
        <v/>
      </c>
      <c r="AX401" t="str">
        <f ca="1">IFERROR(IF(0=LEN(ReferenceData!$AX$401),"",ReferenceData!$AX$401),"")</f>
        <v/>
      </c>
      <c r="AY401" t="str">
        <f ca="1">IFERROR(IF(0=LEN(ReferenceData!$AY$401),"",ReferenceData!$AY$401),"")</f>
        <v/>
      </c>
      <c r="AZ401" t="str">
        <f ca="1">IFERROR(IF(0=LEN(ReferenceData!$AZ$401),"",ReferenceData!$AZ$401),"")</f>
        <v/>
      </c>
      <c r="BA401" t="str">
        <f ca="1">IFERROR(IF(0=LEN(ReferenceData!$BA$401),"",ReferenceData!$BA$401),"")</f>
        <v/>
      </c>
      <c r="BB401" t="str">
        <f ca="1">IFERROR(IF(0=LEN(ReferenceData!$BB$401),"",ReferenceData!$BB$401),"")</f>
        <v/>
      </c>
      <c r="BC401" t="str">
        <f ca="1">IFERROR(IF(0=LEN(ReferenceData!$BC$401),"",ReferenceData!$BC$401),"")</f>
        <v/>
      </c>
      <c r="BD401" t="str">
        <f ca="1">IFERROR(IF(0=LEN(ReferenceData!$BD$401),"",ReferenceData!$BD$401),"")</f>
        <v/>
      </c>
      <c r="BE401" t="str">
        <f ca="1">IFERROR(IF(0=LEN(ReferenceData!$BE$401),"",ReferenceData!$BE$401),"")</f>
        <v/>
      </c>
      <c r="BF401" t="str">
        <f ca="1">IFERROR(IF(0=LEN(ReferenceData!$BF$401),"",ReferenceData!$BF$401),"")</f>
        <v/>
      </c>
      <c r="BG401" t="str">
        <f ca="1">IFERROR(IF(0=LEN(ReferenceData!$BG$401),"",ReferenceData!$BG$401),"")</f>
        <v/>
      </c>
      <c r="BH401" t="str">
        <f ca="1">IFERROR(IF(0=LEN(ReferenceData!$BH$401),"",ReferenceData!$BH$401),"")</f>
        <v/>
      </c>
      <c r="BI401" t="str">
        <f ca="1">IFERROR(IF(0=LEN(ReferenceData!$BI$401),"",ReferenceData!$BI$401),"")</f>
        <v/>
      </c>
      <c r="BJ401" t="str">
        <f ca="1">IFERROR(IF(0=LEN(ReferenceData!$BJ$401),"",ReferenceData!$BJ$401),"")</f>
        <v/>
      </c>
      <c r="BK401" t="str">
        <f ca="1">IFERROR(IF(0=LEN(ReferenceData!$BK$401),"",ReferenceData!$BK$401),"")</f>
        <v/>
      </c>
      <c r="BL401" t="str">
        <f ca="1">IFERROR(IF(0=LEN(ReferenceData!$BL$401),"",ReferenceData!$BL$401),"")</f>
        <v/>
      </c>
      <c r="BM401" t="str">
        <f ca="1">IFERROR(IF(0=LEN(ReferenceData!$BM$401),"",ReferenceData!$BM$401),"")</f>
        <v/>
      </c>
    </row>
    <row r="402" spans="1:65" x14ac:dyDescent="0.25">
      <c r="A402" t="str">
        <f>IFERROR(IF(0=LEN(ReferenceData!$A$402),"",ReferenceData!$A$402),"")</f>
        <v xml:space="preserve">    SAIC Motor Corp Ltd</v>
      </c>
      <c r="B402" t="str">
        <f>IFERROR(IF(0=LEN(ReferenceData!$B$402),"",ReferenceData!$B$402),"")</f>
        <v>600104 CH Equity</v>
      </c>
      <c r="C402" t="str">
        <f>IFERROR(IF(0=LEN(ReferenceData!$C$402),"",ReferenceData!$C$402),"")</f>
        <v>RR480</v>
      </c>
      <c r="D402" t="str">
        <f>IFERROR(IF(0=LEN(ReferenceData!$D$402),"",ReferenceData!$D$402),"")</f>
        <v>EV_TO_MKT_CAP</v>
      </c>
      <c r="E402" t="str">
        <f>IFERROR(IF(0=LEN(ReferenceData!$E$402),"",ReferenceData!$E$402),"")</f>
        <v>Dynamic</v>
      </c>
      <c r="F402" t="str">
        <f ca="1">IFERROR(IF(0=LEN(ReferenceData!$F$402),"",ReferenceData!$F$402),"")</f>
        <v/>
      </c>
      <c r="G402" t="str">
        <f ca="1">IFERROR(IF(0=LEN(ReferenceData!$G$402),"",ReferenceData!$G$402),"")</f>
        <v/>
      </c>
      <c r="H402">
        <f ca="1">IFERROR(IF(0=LEN(ReferenceData!$H$402),"",ReferenceData!$H$402),"")</f>
        <v>1.223042191</v>
      </c>
      <c r="I402">
        <f ca="1">IFERROR(IF(0=LEN(ReferenceData!$I$402),"",ReferenceData!$I$402),"")</f>
        <v>1.0915301959999999</v>
      </c>
      <c r="J402">
        <f ca="1">IFERROR(IF(0=LEN(ReferenceData!$J$402),"",ReferenceData!$J$402),"")</f>
        <v>1.254062845</v>
      </c>
      <c r="K402">
        <f ca="1">IFERROR(IF(0=LEN(ReferenceData!$K$402),"",ReferenceData!$K$402),"")</f>
        <v>1.2797689720000001</v>
      </c>
      <c r="L402">
        <f ca="1">IFERROR(IF(0=LEN(ReferenceData!$L$402),"",ReferenceData!$L$402),"")</f>
        <v>1.1931840119999999</v>
      </c>
      <c r="M402">
        <f ca="1">IFERROR(IF(0=LEN(ReferenceData!$M$402),"",ReferenceData!$M$402),"")</f>
        <v>0.95594543899999995</v>
      </c>
      <c r="N402">
        <f ca="1">IFERROR(IF(0=LEN(ReferenceData!$N$402),"",ReferenceData!$N$402),"")</f>
        <v>1.2295085569999999</v>
      </c>
      <c r="O402">
        <f ca="1">IFERROR(IF(0=LEN(ReferenceData!$O$402),"",ReferenceData!$O$402),"")</f>
        <v>1.252535411</v>
      </c>
      <c r="P402">
        <f ca="1">IFERROR(IF(0=LEN(ReferenceData!$P$402),"",ReferenceData!$P$402),"")</f>
        <v>1.249247287</v>
      </c>
      <c r="Q402">
        <f ca="1">IFERROR(IF(0=LEN(ReferenceData!$Q$402),"",ReferenceData!$Q$402),"")</f>
        <v>1.27842104</v>
      </c>
      <c r="R402">
        <f ca="1">IFERROR(IF(0=LEN(ReferenceData!$R$402),"",ReferenceData!$R$402),"")</f>
        <v>1.2450223279999999</v>
      </c>
      <c r="S402">
        <f ca="1">IFERROR(IF(0=LEN(ReferenceData!$S$402),"",ReferenceData!$S$402),"")</f>
        <v>1.28656901</v>
      </c>
      <c r="T402">
        <f ca="1">IFERROR(IF(0=LEN(ReferenceData!$T$402),"",ReferenceData!$T$402),"")</f>
        <v>1.3105484540000001</v>
      </c>
      <c r="U402">
        <f ca="1">IFERROR(IF(0=LEN(ReferenceData!$U$402),"",ReferenceData!$U$402),"")</f>
        <v>1.2115459550000001</v>
      </c>
      <c r="V402">
        <f ca="1">IFERROR(IF(0=LEN(ReferenceData!$V$402),"",ReferenceData!$V$402),"")</f>
        <v>1.242195264</v>
      </c>
      <c r="W402">
        <f ca="1">IFERROR(IF(0=LEN(ReferenceData!$W$402),"",ReferenceData!$W$402),"")</f>
        <v>1.0252670509999999</v>
      </c>
      <c r="X402">
        <f ca="1">IFERROR(IF(0=LEN(ReferenceData!$X$402),"",ReferenceData!$X$402),"")</f>
        <v>0.98674378500000004</v>
      </c>
      <c r="Y402">
        <f ca="1">IFERROR(IF(0=LEN(ReferenceData!$Y$402),"",ReferenceData!$Y$402),"")</f>
        <v>0.90892468900000001</v>
      </c>
      <c r="Z402">
        <f ca="1">IFERROR(IF(0=LEN(ReferenceData!$Z$402),"",ReferenceData!$Z$402),"")</f>
        <v>1.0937350509999999</v>
      </c>
      <c r="AA402">
        <f ca="1">IFERROR(IF(0=LEN(ReferenceData!$AA$402),"",ReferenceData!$AA$402),"")</f>
        <v>1.004816189</v>
      </c>
      <c r="AB402">
        <f ca="1">IFERROR(IF(0=LEN(ReferenceData!$AB$402),"",ReferenceData!$AB$402),"")</f>
        <v>1.072397743</v>
      </c>
      <c r="AC402">
        <f ca="1">IFERROR(IF(0=LEN(ReferenceData!$AC$402),"",ReferenceData!$AC$402),"")</f>
        <v>0.86167511699999999</v>
      </c>
      <c r="AD402">
        <f ca="1">IFERROR(IF(0=LEN(ReferenceData!$AD$402),"",ReferenceData!$AD$402),"")</f>
        <v>1.1495491600000001</v>
      </c>
      <c r="AE402">
        <f ca="1">IFERROR(IF(0=LEN(ReferenceData!$AE$402),"",ReferenceData!$AE$402),"")</f>
        <v>1.026083077</v>
      </c>
      <c r="AF402">
        <f ca="1">IFERROR(IF(0=LEN(ReferenceData!$AF$402),"",ReferenceData!$AF$402),"")</f>
        <v>0.95894821699999999</v>
      </c>
      <c r="AG402">
        <f ca="1">IFERROR(IF(0=LEN(ReferenceData!$AG$402),"",ReferenceData!$AG$402),"")</f>
        <v>0.920982364</v>
      </c>
      <c r="AH402">
        <f ca="1">IFERROR(IF(0=LEN(ReferenceData!$AH$402),"",ReferenceData!$AH$402),"")</f>
        <v>0.96731751200000005</v>
      </c>
      <c r="AI402">
        <f ca="1">IFERROR(IF(0=LEN(ReferenceData!$AI$402),"",ReferenceData!$AI$402),"")</f>
        <v>1.0374030219999999</v>
      </c>
      <c r="AJ402">
        <f ca="1">IFERROR(IF(0=LEN(ReferenceData!$AJ$402),"",ReferenceData!$AJ$402),"")</f>
        <v>1.010499665</v>
      </c>
      <c r="AK402">
        <f ca="1">IFERROR(IF(0=LEN(ReferenceData!$AK$402),"",ReferenceData!$AK$402),"")</f>
        <v>0.98266898899999999</v>
      </c>
      <c r="AL402" t="str">
        <f ca="1">IFERROR(IF(0=LEN(ReferenceData!$AL$402),"",ReferenceData!$AL$402),"")</f>
        <v/>
      </c>
      <c r="AM402">
        <f ca="1">IFERROR(IF(0=LEN(ReferenceData!$AM$402),"",ReferenceData!$AM$402),"")</f>
        <v>0.96035071599999999</v>
      </c>
      <c r="AN402">
        <f ca="1">IFERROR(IF(0=LEN(ReferenceData!$AN$402),"",ReferenceData!$AN$402),"")</f>
        <v>1.0838544939999999</v>
      </c>
      <c r="AO402">
        <f ca="1">IFERROR(IF(0=LEN(ReferenceData!$AO$402),"",ReferenceData!$AO$402),"")</f>
        <v>1.1368077459999999</v>
      </c>
      <c r="AP402">
        <f ca="1">IFERROR(IF(0=LEN(ReferenceData!$AP$402),"",ReferenceData!$AP$402),"")</f>
        <v>1.023467755</v>
      </c>
      <c r="AQ402">
        <f ca="1">IFERROR(IF(0=LEN(ReferenceData!$AQ$402),"",ReferenceData!$AQ$402),"")</f>
        <v>1.126690763</v>
      </c>
      <c r="AR402">
        <f ca="1">IFERROR(IF(0=LEN(ReferenceData!$AR$402),"",ReferenceData!$AR$402),"")</f>
        <v>1.0779515980000001</v>
      </c>
      <c r="AS402">
        <f ca="1">IFERROR(IF(0=LEN(ReferenceData!$AS$402),"",ReferenceData!$AS$402),"")</f>
        <v>1.164356028</v>
      </c>
      <c r="AT402">
        <f ca="1">IFERROR(IF(0=LEN(ReferenceData!$AT$402),"",ReferenceData!$AT$402),"")</f>
        <v>1.113275357</v>
      </c>
      <c r="AU402">
        <f ca="1">IFERROR(IF(0=LEN(ReferenceData!$AU$402),"",ReferenceData!$AU$402),"")</f>
        <v>0.87827216900000005</v>
      </c>
      <c r="AV402">
        <f ca="1">IFERROR(IF(0=LEN(ReferenceData!$AV$402),"",ReferenceData!$AV$402),"")</f>
        <v>1.101043993</v>
      </c>
      <c r="AW402">
        <f ca="1">IFERROR(IF(0=LEN(ReferenceData!$AW$402),"",ReferenceData!$AW$402),"")</f>
        <v>1.055121832</v>
      </c>
      <c r="AX402">
        <f ca="1">IFERROR(IF(0=LEN(ReferenceData!$AX$402),"",ReferenceData!$AX$402),"")</f>
        <v>0.88290477199999995</v>
      </c>
      <c r="AY402">
        <f ca="1">IFERROR(IF(0=LEN(ReferenceData!$AY$402),"",ReferenceData!$AY$402),"")</f>
        <v>1.0226437930000001</v>
      </c>
      <c r="AZ402">
        <f ca="1">IFERROR(IF(0=LEN(ReferenceData!$AZ$402),"",ReferenceData!$AZ$402),"")</f>
        <v>0.97141289099999995</v>
      </c>
      <c r="BA402">
        <f ca="1">IFERROR(IF(0=LEN(ReferenceData!$BA$402),"",ReferenceData!$BA$402),"")</f>
        <v>0.96392694499999998</v>
      </c>
      <c r="BB402">
        <f ca="1">IFERROR(IF(0=LEN(ReferenceData!$BB$402),"",ReferenceData!$BB$402),"")</f>
        <v>0.99180670900000001</v>
      </c>
      <c r="BC402">
        <f ca="1">IFERROR(IF(0=LEN(ReferenceData!$BC$402),"",ReferenceData!$BC$402),"")</f>
        <v>0.98047149600000005</v>
      </c>
      <c r="BD402">
        <f ca="1">IFERROR(IF(0=LEN(ReferenceData!$BD$402),"",ReferenceData!$BD$402),"")</f>
        <v>0.90624898399999998</v>
      </c>
      <c r="BE402">
        <f ca="1">IFERROR(IF(0=LEN(ReferenceData!$BE$402),"",ReferenceData!$BE$402),"")</f>
        <v>0.89768682799999999</v>
      </c>
      <c r="BF402">
        <f ca="1">IFERROR(IF(0=LEN(ReferenceData!$BF$402),"",ReferenceData!$BF$402),"")</f>
        <v>0.83257690600000001</v>
      </c>
      <c r="BG402">
        <f ca="1">IFERROR(IF(0=LEN(ReferenceData!$BG$402),"",ReferenceData!$BG$402),"")</f>
        <v>0.84632775299999996</v>
      </c>
      <c r="BH402">
        <f ca="1">IFERROR(IF(0=LEN(ReferenceData!$BH$402),"",ReferenceData!$BH$402),"")</f>
        <v>0.90292444999999999</v>
      </c>
      <c r="BI402">
        <f ca="1">IFERROR(IF(0=LEN(ReferenceData!$BI$402),"",ReferenceData!$BI$402),"")</f>
        <v>0.91612285900000001</v>
      </c>
      <c r="BJ402">
        <f ca="1">IFERROR(IF(0=LEN(ReferenceData!$BJ$402),"",ReferenceData!$BJ$402),"")</f>
        <v>0.87920754899999998</v>
      </c>
      <c r="BK402">
        <f ca="1">IFERROR(IF(0=LEN(ReferenceData!$BK$402),"",ReferenceData!$BK$402),"")</f>
        <v>0.89729535400000004</v>
      </c>
      <c r="BL402">
        <f ca="1">IFERROR(IF(0=LEN(ReferenceData!$BL$402),"",ReferenceData!$BL$402),"")</f>
        <v>0.94482345199999995</v>
      </c>
      <c r="BM402">
        <f ca="1">IFERROR(IF(0=LEN(ReferenceData!$BM$402),"",ReferenceData!$BM$402),"")</f>
        <v>0.93181329700000004</v>
      </c>
    </row>
    <row r="403" spans="1:65" x14ac:dyDescent="0.25">
      <c r="A403" t="str">
        <f>IFERROR(IF(0=LEN(ReferenceData!$A$403),"",ReferenceData!$A$403),"")</f>
        <v xml:space="preserve">    Sanyang Motor Co Ltd</v>
      </c>
      <c r="B403" t="str">
        <f>IFERROR(IF(0=LEN(ReferenceData!$B$403),"",ReferenceData!$B$403),"")</f>
        <v>2206 TT Equity</v>
      </c>
      <c r="C403" t="str">
        <f>IFERROR(IF(0=LEN(ReferenceData!$C$403),"",ReferenceData!$C$403),"")</f>
        <v>RR480</v>
      </c>
      <c r="D403" t="str">
        <f>IFERROR(IF(0=LEN(ReferenceData!$D$403),"",ReferenceData!$D$403),"")</f>
        <v>EV_TO_MKT_CAP</v>
      </c>
      <c r="E403" t="str">
        <f>IFERROR(IF(0=LEN(ReferenceData!$E$403),"",ReferenceData!$E$403),"")</f>
        <v>Dynamic</v>
      </c>
      <c r="F403" t="str">
        <f ca="1">IFERROR(IF(0=LEN(ReferenceData!$F$403),"",ReferenceData!$F$403),"")</f>
        <v/>
      </c>
      <c r="G403" t="str">
        <f ca="1">IFERROR(IF(0=LEN(ReferenceData!$G$403),"",ReferenceData!$G$403),"")</f>
        <v/>
      </c>
      <c r="H403">
        <f ca="1">IFERROR(IF(0=LEN(ReferenceData!$H$403),"",ReferenceData!$H$403),"")</f>
        <v>1.6030614489999999</v>
      </c>
      <c r="I403">
        <f ca="1">IFERROR(IF(0=LEN(ReferenceData!$I$403),"",ReferenceData!$I$403),"")</f>
        <v>1.6488160249999999</v>
      </c>
      <c r="J403">
        <f ca="1">IFERROR(IF(0=LEN(ReferenceData!$J$403),"",ReferenceData!$J$403),"")</f>
        <v>1.6765222319999999</v>
      </c>
      <c r="K403">
        <f ca="1">IFERROR(IF(0=LEN(ReferenceData!$K$403),"",ReferenceData!$K$403),"")</f>
        <v>1.3192698940000001</v>
      </c>
      <c r="L403">
        <f ca="1">IFERROR(IF(0=LEN(ReferenceData!$L$403),"",ReferenceData!$L$403),"")</f>
        <v>1.6638279119999999</v>
      </c>
      <c r="M403">
        <f ca="1">IFERROR(IF(0=LEN(ReferenceData!$M$403),"",ReferenceData!$M$403),"")</f>
        <v>1.6145355770000001</v>
      </c>
      <c r="N403">
        <f ca="1">IFERROR(IF(0=LEN(ReferenceData!$N$403),"",ReferenceData!$N$403),"")</f>
        <v>1.565916431</v>
      </c>
      <c r="O403">
        <f ca="1">IFERROR(IF(0=LEN(ReferenceData!$O$403),"",ReferenceData!$O$403),"")</f>
        <v>1.3502105069999999</v>
      </c>
      <c r="P403">
        <f ca="1">IFERROR(IF(0=LEN(ReferenceData!$P$403),"",ReferenceData!$P$403),"")</f>
        <v>1.6744194530000001</v>
      </c>
      <c r="Q403">
        <f ca="1">IFERROR(IF(0=LEN(ReferenceData!$Q$403),"",ReferenceData!$Q$403),"")</f>
        <v>1.6065650849999999</v>
      </c>
      <c r="R403">
        <f ca="1">IFERROR(IF(0=LEN(ReferenceData!$R$403),"",ReferenceData!$R$403),"")</f>
        <v>1.6897182580000001</v>
      </c>
      <c r="S403">
        <f ca="1">IFERROR(IF(0=LEN(ReferenceData!$S$403),"",ReferenceData!$S$403),"")</f>
        <v>1.6719074389999999</v>
      </c>
      <c r="T403">
        <f ca="1">IFERROR(IF(0=LEN(ReferenceData!$T$403),"",ReferenceData!$T$403),"")</f>
        <v>1.690742255</v>
      </c>
      <c r="U403">
        <f ca="1">IFERROR(IF(0=LEN(ReferenceData!$U$403),"",ReferenceData!$U$403),"")</f>
        <v>1.4281507490000001</v>
      </c>
      <c r="V403">
        <f ca="1">IFERROR(IF(0=LEN(ReferenceData!$V$403),"",ReferenceData!$V$403),"")</f>
        <v>1.574243294</v>
      </c>
      <c r="W403">
        <f ca="1">IFERROR(IF(0=LEN(ReferenceData!$W$403),"",ReferenceData!$W$403),"")</f>
        <v>1.461263277</v>
      </c>
      <c r="X403">
        <f ca="1">IFERROR(IF(0=LEN(ReferenceData!$X$403),"",ReferenceData!$X$403),"")</f>
        <v>1.3541474179999999</v>
      </c>
      <c r="Y403">
        <f ca="1">IFERROR(IF(0=LEN(ReferenceData!$Y$403),"",ReferenceData!$Y$403),"")</f>
        <v>1.317937814</v>
      </c>
      <c r="Z403">
        <f ca="1">IFERROR(IF(0=LEN(ReferenceData!$Z$403),"",ReferenceData!$Z$403),"")</f>
        <v>1.225393352</v>
      </c>
      <c r="AA403">
        <f ca="1">IFERROR(IF(0=LEN(ReferenceData!$AA$403),"",ReferenceData!$AA$403),"")</f>
        <v>1.291864243</v>
      </c>
      <c r="AB403">
        <f ca="1">IFERROR(IF(0=LEN(ReferenceData!$AB$403),"",ReferenceData!$AB$403),"")</f>
        <v>1.212520896</v>
      </c>
      <c r="AC403">
        <f ca="1">IFERROR(IF(0=LEN(ReferenceData!$AC$403),"",ReferenceData!$AC$403),"")</f>
        <v>1.2738110359999999</v>
      </c>
      <c r="AD403">
        <f ca="1">IFERROR(IF(0=LEN(ReferenceData!$AD$403),"",ReferenceData!$AD$403),"")</f>
        <v>1.3411973230000001</v>
      </c>
      <c r="AE403">
        <f ca="1">IFERROR(IF(0=LEN(ReferenceData!$AE$403),"",ReferenceData!$AE$403),"")</f>
        <v>1.4011582300000001</v>
      </c>
      <c r="AF403">
        <f ca="1">IFERROR(IF(0=LEN(ReferenceData!$AF$403),"",ReferenceData!$AF$403),"")</f>
        <v>1.400625944</v>
      </c>
      <c r="AG403">
        <f ca="1">IFERROR(IF(0=LEN(ReferenceData!$AG$403),"",ReferenceData!$AG$403),"")</f>
        <v>1.433560462</v>
      </c>
      <c r="AH403">
        <f ca="1">IFERROR(IF(0=LEN(ReferenceData!$AH$403),"",ReferenceData!$AH$403),"")</f>
        <v>1.360746714</v>
      </c>
      <c r="AI403">
        <f ca="1">IFERROR(IF(0=LEN(ReferenceData!$AI$403),"",ReferenceData!$AI$403),"")</f>
        <v>1.4334037930000001</v>
      </c>
      <c r="AJ403">
        <f ca="1">IFERROR(IF(0=LEN(ReferenceData!$AJ$403),"",ReferenceData!$AJ$403),"")</f>
        <v>1.415758388</v>
      </c>
      <c r="AK403">
        <f ca="1">IFERROR(IF(0=LEN(ReferenceData!$AK$403),"",ReferenceData!$AK$403),"")</f>
        <v>1.4381520249999999</v>
      </c>
      <c r="AL403">
        <f ca="1">IFERROR(IF(0=LEN(ReferenceData!$AL$403),"",ReferenceData!$AL$403),"")</f>
        <v>1.4085103370000001</v>
      </c>
      <c r="AM403">
        <f ca="1">IFERROR(IF(0=LEN(ReferenceData!$AM$403),"",ReferenceData!$AM$403),"")</f>
        <v>1.3746566330000001</v>
      </c>
      <c r="AN403">
        <f ca="1">IFERROR(IF(0=LEN(ReferenceData!$AN$403),"",ReferenceData!$AN$403),"")</f>
        <v>1.3955145920000001</v>
      </c>
      <c r="AO403">
        <f ca="1">IFERROR(IF(0=LEN(ReferenceData!$AO$403),"",ReferenceData!$AO$403),"")</f>
        <v>1.6307027780000001</v>
      </c>
      <c r="AP403">
        <f ca="1">IFERROR(IF(0=LEN(ReferenceData!$AP$403),"",ReferenceData!$AP$403),"")</f>
        <v>1.474277391</v>
      </c>
      <c r="AQ403">
        <f ca="1">IFERROR(IF(0=LEN(ReferenceData!$AQ$403),"",ReferenceData!$AQ$403),"")</f>
        <v>1.563554476</v>
      </c>
      <c r="AR403">
        <f ca="1">IFERROR(IF(0=LEN(ReferenceData!$AR$403),"",ReferenceData!$AR$403),"")</f>
        <v>1.4054920150000001</v>
      </c>
      <c r="AS403">
        <f ca="1">IFERROR(IF(0=LEN(ReferenceData!$AS$403),"",ReferenceData!$AS$403),"")</f>
        <v>1.6450580319999999</v>
      </c>
      <c r="AT403">
        <f ca="1">IFERROR(IF(0=LEN(ReferenceData!$AT$403),"",ReferenceData!$AT$403),"")</f>
        <v>1.9506355950000001</v>
      </c>
      <c r="AU403">
        <f ca="1">IFERROR(IF(0=LEN(ReferenceData!$AU$403),"",ReferenceData!$AU$403),"")</f>
        <v>2.6108208300000002</v>
      </c>
      <c r="AV403">
        <f ca="1">IFERROR(IF(0=LEN(ReferenceData!$AV$403),"",ReferenceData!$AV$403),"")</f>
        <v>2.5870245340000002</v>
      </c>
      <c r="AW403">
        <f ca="1">IFERROR(IF(0=LEN(ReferenceData!$AW$403),"",ReferenceData!$AW$403),"")</f>
        <v>2.0270640950000001</v>
      </c>
      <c r="AX403">
        <f ca="1">IFERROR(IF(0=LEN(ReferenceData!$AX$403),"",ReferenceData!$AX$403),"")</f>
        <v>1.385668253</v>
      </c>
      <c r="AY403" t="str">
        <f ca="1">IFERROR(IF(0=LEN(ReferenceData!$AY$403),"",ReferenceData!$AY$403),"")</f>
        <v/>
      </c>
      <c r="AZ403" t="str">
        <f ca="1">IFERROR(IF(0=LEN(ReferenceData!$AZ$403),"",ReferenceData!$AZ$403),"")</f>
        <v/>
      </c>
      <c r="BA403" t="str">
        <f ca="1">IFERROR(IF(0=LEN(ReferenceData!$BA$403),"",ReferenceData!$BA$403),"")</f>
        <v/>
      </c>
      <c r="BB403" t="str">
        <f ca="1">IFERROR(IF(0=LEN(ReferenceData!$BB$403),"",ReferenceData!$BB$403),"")</f>
        <v/>
      </c>
      <c r="BC403" t="str">
        <f ca="1">IFERROR(IF(0=LEN(ReferenceData!$BC$403),"",ReferenceData!$BC$403),"")</f>
        <v/>
      </c>
      <c r="BD403" t="str">
        <f ca="1">IFERROR(IF(0=LEN(ReferenceData!$BD$403),"",ReferenceData!$BD$403),"")</f>
        <v/>
      </c>
      <c r="BE403" t="str">
        <f ca="1">IFERROR(IF(0=LEN(ReferenceData!$BE$403),"",ReferenceData!$BE$403),"")</f>
        <v/>
      </c>
      <c r="BF403" t="str">
        <f ca="1">IFERROR(IF(0=LEN(ReferenceData!$BF$403),"",ReferenceData!$BF$403),"")</f>
        <v/>
      </c>
      <c r="BG403" t="str">
        <f ca="1">IFERROR(IF(0=LEN(ReferenceData!$BG$403),"",ReferenceData!$BG$403),"")</f>
        <v/>
      </c>
      <c r="BH403" t="str">
        <f ca="1">IFERROR(IF(0=LEN(ReferenceData!$BH$403),"",ReferenceData!$BH$403),"")</f>
        <v/>
      </c>
      <c r="BI403" t="str">
        <f ca="1">IFERROR(IF(0=LEN(ReferenceData!$BI$403),"",ReferenceData!$BI$403),"")</f>
        <v/>
      </c>
      <c r="BJ403" t="str">
        <f ca="1">IFERROR(IF(0=LEN(ReferenceData!$BJ$403),"",ReferenceData!$BJ$403),"")</f>
        <v/>
      </c>
      <c r="BK403" t="str">
        <f ca="1">IFERROR(IF(0=LEN(ReferenceData!$BK$403),"",ReferenceData!$BK$403),"")</f>
        <v/>
      </c>
      <c r="BL403" t="str">
        <f ca="1">IFERROR(IF(0=LEN(ReferenceData!$BL$403),"",ReferenceData!$BL$403),"")</f>
        <v/>
      </c>
      <c r="BM403" t="str">
        <f ca="1">IFERROR(IF(0=LEN(ReferenceData!$BM$403),"",ReferenceData!$BM$403),"")</f>
        <v/>
      </c>
    </row>
    <row r="404" spans="1:65" x14ac:dyDescent="0.25">
      <c r="A404" t="str">
        <f>IFERROR(IF(0=LEN(ReferenceData!$A$404),"",ReferenceData!$A$404),"")</f>
        <v xml:space="preserve">    Sollers PJSC</v>
      </c>
      <c r="B404" t="str">
        <f>IFERROR(IF(0=LEN(ReferenceData!$B$404),"",ReferenceData!$B$404),"")</f>
        <v>SVAV RM Equity</v>
      </c>
      <c r="C404" t="str">
        <f>IFERROR(IF(0=LEN(ReferenceData!$C$404),"",ReferenceData!$C$404),"")</f>
        <v>RR480</v>
      </c>
      <c r="D404" t="str">
        <f>IFERROR(IF(0=LEN(ReferenceData!$D$404),"",ReferenceData!$D$404),"")</f>
        <v>EV_TO_MKT_CAP</v>
      </c>
      <c r="E404" t="str">
        <f>IFERROR(IF(0=LEN(ReferenceData!$E$404),"",ReferenceData!$E$404),"")</f>
        <v>Dynamic</v>
      </c>
      <c r="F404" t="str">
        <f ca="1">IFERROR(IF(0=LEN(ReferenceData!$F$404),"",ReferenceData!$F$404),"")</f>
        <v/>
      </c>
      <c r="G404" t="str">
        <f ca="1">IFERROR(IF(0=LEN(ReferenceData!$G$404),"",ReferenceData!$G$404),"")</f>
        <v/>
      </c>
      <c r="H404" t="str">
        <f ca="1">IFERROR(IF(0=LEN(ReferenceData!$H$404),"",ReferenceData!$H$404),"")</f>
        <v/>
      </c>
      <c r="I404" t="str">
        <f ca="1">IFERROR(IF(0=LEN(ReferenceData!$I$404),"",ReferenceData!$I$404),"")</f>
        <v/>
      </c>
      <c r="J404" t="str">
        <f ca="1">IFERROR(IF(0=LEN(ReferenceData!$J$404),"",ReferenceData!$J$404),"")</f>
        <v/>
      </c>
      <c r="K404" t="str">
        <f ca="1">IFERROR(IF(0=LEN(ReferenceData!$K$404),"",ReferenceData!$K$404),"")</f>
        <v/>
      </c>
      <c r="L404" t="str">
        <f ca="1">IFERROR(IF(0=LEN(ReferenceData!$L$404),"",ReferenceData!$L$404),"")</f>
        <v/>
      </c>
      <c r="M404" t="str">
        <f ca="1">IFERROR(IF(0=LEN(ReferenceData!$M$404),"",ReferenceData!$M$404),"")</f>
        <v/>
      </c>
      <c r="N404" t="str">
        <f ca="1">IFERROR(IF(0=LEN(ReferenceData!$N$404),"",ReferenceData!$N$404),"")</f>
        <v/>
      </c>
      <c r="O404" t="str">
        <f ca="1">IFERROR(IF(0=LEN(ReferenceData!$O$404),"",ReferenceData!$O$404),"")</f>
        <v/>
      </c>
      <c r="P404" t="str">
        <f ca="1">IFERROR(IF(0=LEN(ReferenceData!$P$404),"",ReferenceData!$P$404),"")</f>
        <v/>
      </c>
      <c r="Q404" t="str">
        <f ca="1">IFERROR(IF(0=LEN(ReferenceData!$Q$404),"",ReferenceData!$Q$404),"")</f>
        <v/>
      </c>
      <c r="R404" t="str">
        <f ca="1">IFERROR(IF(0=LEN(ReferenceData!$R$404),"",ReferenceData!$R$404),"")</f>
        <v/>
      </c>
      <c r="S404" t="str">
        <f ca="1">IFERROR(IF(0=LEN(ReferenceData!$S$404),"",ReferenceData!$S$404),"")</f>
        <v/>
      </c>
      <c r="T404" t="str">
        <f ca="1">IFERROR(IF(0=LEN(ReferenceData!$T$404),"",ReferenceData!$T$404),"")</f>
        <v/>
      </c>
      <c r="U404" t="str">
        <f ca="1">IFERROR(IF(0=LEN(ReferenceData!$U$404),"",ReferenceData!$U$404),"")</f>
        <v/>
      </c>
      <c r="V404" t="str">
        <f ca="1">IFERROR(IF(0=LEN(ReferenceData!$V$404),"",ReferenceData!$V$404),"")</f>
        <v/>
      </c>
      <c r="W404" t="str">
        <f ca="1">IFERROR(IF(0=LEN(ReferenceData!$W$404),"",ReferenceData!$W$404),"")</f>
        <v/>
      </c>
      <c r="X404" t="str">
        <f ca="1">IFERROR(IF(0=LEN(ReferenceData!$X$404),"",ReferenceData!$X$404),"")</f>
        <v/>
      </c>
      <c r="Y404" t="str">
        <f ca="1">IFERROR(IF(0=LEN(ReferenceData!$Y$404),"",ReferenceData!$Y$404),"")</f>
        <v/>
      </c>
      <c r="Z404" t="str">
        <f ca="1">IFERROR(IF(0=LEN(ReferenceData!$Z$404),"",ReferenceData!$Z$404),"")</f>
        <v/>
      </c>
      <c r="AA404" t="str">
        <f ca="1">IFERROR(IF(0=LEN(ReferenceData!$AA$404),"",ReferenceData!$AA$404),"")</f>
        <v/>
      </c>
      <c r="AB404" t="str">
        <f ca="1">IFERROR(IF(0=LEN(ReferenceData!$AB$404),"",ReferenceData!$AB$404),"")</f>
        <v/>
      </c>
      <c r="AC404" t="str">
        <f ca="1">IFERROR(IF(0=LEN(ReferenceData!$AC$404),"",ReferenceData!$AC$404),"")</f>
        <v/>
      </c>
      <c r="AD404" t="str">
        <f ca="1">IFERROR(IF(0=LEN(ReferenceData!$AD$404),"",ReferenceData!$AD$404),"")</f>
        <v/>
      </c>
      <c r="AE404" t="str">
        <f ca="1">IFERROR(IF(0=LEN(ReferenceData!$AE$404),"",ReferenceData!$AE$404),"")</f>
        <v/>
      </c>
      <c r="AF404" t="str">
        <f ca="1">IFERROR(IF(0=LEN(ReferenceData!$AF$404),"",ReferenceData!$AF$404),"")</f>
        <v/>
      </c>
      <c r="AG404" t="str">
        <f ca="1">IFERROR(IF(0=LEN(ReferenceData!$AG$404),"",ReferenceData!$AG$404),"")</f>
        <v/>
      </c>
      <c r="AH404" t="str">
        <f ca="1">IFERROR(IF(0=LEN(ReferenceData!$AH$404),"",ReferenceData!$AH$404),"")</f>
        <v/>
      </c>
      <c r="AI404" t="str">
        <f ca="1">IFERROR(IF(0=LEN(ReferenceData!$AI$404),"",ReferenceData!$AI$404),"")</f>
        <v/>
      </c>
      <c r="AJ404" t="str">
        <f ca="1">IFERROR(IF(0=LEN(ReferenceData!$AJ$404),"",ReferenceData!$AJ$404),"")</f>
        <v/>
      </c>
      <c r="AK404" t="str">
        <f ca="1">IFERROR(IF(0=LEN(ReferenceData!$AK$404),"",ReferenceData!$AK$404),"")</f>
        <v/>
      </c>
      <c r="AL404" t="str">
        <f ca="1">IFERROR(IF(0=LEN(ReferenceData!$AL$404),"",ReferenceData!$AL$404),"")</f>
        <v/>
      </c>
      <c r="AM404" t="str">
        <f ca="1">IFERROR(IF(0=LEN(ReferenceData!$AM$404),"",ReferenceData!$AM$404),"")</f>
        <v/>
      </c>
      <c r="AN404" t="str">
        <f ca="1">IFERROR(IF(0=LEN(ReferenceData!$AN$404),"",ReferenceData!$AN$404),"")</f>
        <v/>
      </c>
      <c r="AO404" t="str">
        <f ca="1">IFERROR(IF(0=LEN(ReferenceData!$AO$404),"",ReferenceData!$AO$404),"")</f>
        <v/>
      </c>
      <c r="AP404" t="str">
        <f ca="1">IFERROR(IF(0=LEN(ReferenceData!$AP$404),"",ReferenceData!$AP$404),"")</f>
        <v/>
      </c>
      <c r="AQ404" t="str">
        <f ca="1">IFERROR(IF(0=LEN(ReferenceData!$AQ$404),"",ReferenceData!$AQ$404),"")</f>
        <v/>
      </c>
      <c r="AR404" t="str">
        <f ca="1">IFERROR(IF(0=LEN(ReferenceData!$AR$404),"",ReferenceData!$AR$404),"")</f>
        <v/>
      </c>
      <c r="AS404" t="str">
        <f ca="1">IFERROR(IF(0=LEN(ReferenceData!$AS$404),"",ReferenceData!$AS$404),"")</f>
        <v/>
      </c>
      <c r="AT404" t="str">
        <f ca="1">IFERROR(IF(0=LEN(ReferenceData!$AT$404),"",ReferenceData!$AT$404),"")</f>
        <v/>
      </c>
      <c r="AU404" t="str">
        <f ca="1">IFERROR(IF(0=LEN(ReferenceData!$AU$404),"",ReferenceData!$AU$404),"")</f>
        <v/>
      </c>
      <c r="AV404" t="str">
        <f ca="1">IFERROR(IF(0=LEN(ReferenceData!$AV$404),"",ReferenceData!$AV$404),"")</f>
        <v/>
      </c>
      <c r="AW404" t="str">
        <f ca="1">IFERROR(IF(0=LEN(ReferenceData!$AW$404),"",ReferenceData!$AW$404),"")</f>
        <v/>
      </c>
      <c r="AX404" t="str">
        <f ca="1">IFERROR(IF(0=LEN(ReferenceData!$AX$404),"",ReferenceData!$AX$404),"")</f>
        <v/>
      </c>
      <c r="AY404" t="str">
        <f ca="1">IFERROR(IF(0=LEN(ReferenceData!$AY$404),"",ReferenceData!$AY$404),"")</f>
        <v/>
      </c>
      <c r="AZ404" t="str">
        <f ca="1">IFERROR(IF(0=LEN(ReferenceData!$AZ$404),"",ReferenceData!$AZ$404),"")</f>
        <v/>
      </c>
      <c r="BA404" t="str">
        <f ca="1">IFERROR(IF(0=LEN(ReferenceData!$BA$404),"",ReferenceData!$BA$404),"")</f>
        <v/>
      </c>
      <c r="BB404" t="str">
        <f ca="1">IFERROR(IF(0=LEN(ReferenceData!$BB$404),"",ReferenceData!$BB$404),"")</f>
        <v/>
      </c>
      <c r="BC404" t="str">
        <f ca="1">IFERROR(IF(0=LEN(ReferenceData!$BC$404),"",ReferenceData!$BC$404),"")</f>
        <v/>
      </c>
      <c r="BD404" t="str">
        <f ca="1">IFERROR(IF(0=LEN(ReferenceData!$BD$404),"",ReferenceData!$BD$404),"")</f>
        <v/>
      </c>
      <c r="BE404" t="str">
        <f ca="1">IFERROR(IF(0=LEN(ReferenceData!$BE$404),"",ReferenceData!$BE$404),"")</f>
        <v/>
      </c>
      <c r="BF404" t="str">
        <f ca="1">IFERROR(IF(0=LEN(ReferenceData!$BF$404),"",ReferenceData!$BF$404),"")</f>
        <v/>
      </c>
      <c r="BG404" t="str">
        <f ca="1">IFERROR(IF(0=LEN(ReferenceData!$BG$404),"",ReferenceData!$BG$404),"")</f>
        <v/>
      </c>
      <c r="BH404" t="str">
        <f ca="1">IFERROR(IF(0=LEN(ReferenceData!$BH$404),"",ReferenceData!$BH$404),"")</f>
        <v/>
      </c>
      <c r="BI404" t="str">
        <f ca="1">IFERROR(IF(0=LEN(ReferenceData!$BI$404),"",ReferenceData!$BI$404),"")</f>
        <v/>
      </c>
      <c r="BJ404" t="str">
        <f ca="1">IFERROR(IF(0=LEN(ReferenceData!$BJ$404),"",ReferenceData!$BJ$404),"")</f>
        <v/>
      </c>
      <c r="BK404" t="str">
        <f ca="1">IFERROR(IF(0=LEN(ReferenceData!$BK$404),"",ReferenceData!$BK$404),"")</f>
        <v/>
      </c>
      <c r="BL404" t="str">
        <f ca="1">IFERROR(IF(0=LEN(ReferenceData!$BL$404),"",ReferenceData!$BL$404),"")</f>
        <v/>
      </c>
      <c r="BM404" t="str">
        <f ca="1">IFERROR(IF(0=LEN(ReferenceData!$BM$404),"",ReferenceData!$BM$404),"")</f>
        <v/>
      </c>
    </row>
    <row r="405" spans="1:65" x14ac:dyDescent="0.25">
      <c r="A405" t="str">
        <f>IFERROR(IF(0=LEN(ReferenceData!$A$405),"",ReferenceData!$A$405),"")</f>
        <v xml:space="preserve">    Ssangyong Motor Co</v>
      </c>
      <c r="B405" t="str">
        <f>IFERROR(IF(0=LEN(ReferenceData!$B$405),"",ReferenceData!$B$405),"")</f>
        <v>003620 KS Equity</v>
      </c>
      <c r="C405" t="str">
        <f>IFERROR(IF(0=LEN(ReferenceData!$C$405),"",ReferenceData!$C$405),"")</f>
        <v>RR480</v>
      </c>
      <c r="D405" t="str">
        <f>IFERROR(IF(0=LEN(ReferenceData!$D$405),"",ReferenceData!$D$405),"")</f>
        <v>EV_TO_MKT_CAP</v>
      </c>
      <c r="E405" t="str">
        <f>IFERROR(IF(0=LEN(ReferenceData!$E$405),"",ReferenceData!$E$405),"")</f>
        <v>Dynamic</v>
      </c>
      <c r="F405" t="str">
        <f ca="1">IFERROR(IF(0=LEN(ReferenceData!$F$405),"",ReferenceData!$F$405),"")</f>
        <v/>
      </c>
      <c r="G405" t="str">
        <f ca="1">IFERROR(IF(0=LEN(ReferenceData!$G$405),"",ReferenceData!$G$405),"")</f>
        <v/>
      </c>
      <c r="H405">
        <f ca="1">IFERROR(IF(0=LEN(ReferenceData!$H$405),"",ReferenceData!$H$405),"")</f>
        <v>1.0903022120000001</v>
      </c>
      <c r="I405">
        <f ca="1">IFERROR(IF(0=LEN(ReferenceData!$I$405),"",ReferenceData!$I$405),"")</f>
        <v>1.191426541</v>
      </c>
      <c r="J405">
        <f ca="1">IFERROR(IF(0=LEN(ReferenceData!$J$405),"",ReferenceData!$J$405),"")</f>
        <v>1.048113302</v>
      </c>
      <c r="K405">
        <f ca="1">IFERROR(IF(0=LEN(ReferenceData!$K$405),"",ReferenceData!$K$405),"")</f>
        <v>1.027732791</v>
      </c>
      <c r="L405">
        <f ca="1">IFERROR(IF(0=LEN(ReferenceData!$L$405),"",ReferenceData!$L$405),"")</f>
        <v>1.1785763060000001</v>
      </c>
      <c r="M405">
        <f ca="1">IFERROR(IF(0=LEN(ReferenceData!$M$405),"",ReferenceData!$M$405),"")</f>
        <v>1.011580208</v>
      </c>
      <c r="N405">
        <f ca="1">IFERROR(IF(0=LEN(ReferenceData!$N$405),"",ReferenceData!$N$405),"")</f>
        <v>1.013288784</v>
      </c>
      <c r="O405">
        <f ca="1">IFERROR(IF(0=LEN(ReferenceData!$O$405),"",ReferenceData!$O$405),"")</f>
        <v>0.959420575</v>
      </c>
      <c r="P405">
        <f ca="1">IFERROR(IF(0=LEN(ReferenceData!$P$405),"",ReferenceData!$P$405),"")</f>
        <v>1.0986464949999999</v>
      </c>
      <c r="Q405">
        <f ca="1">IFERROR(IF(0=LEN(ReferenceData!$Q$405),"",ReferenceData!$Q$405),"")</f>
        <v>1.0333991810000001</v>
      </c>
      <c r="R405">
        <f ca="1">IFERROR(IF(0=LEN(ReferenceData!$R$405),"",ReferenceData!$R$405),"")</f>
        <v>1.1161398840000001</v>
      </c>
      <c r="S405">
        <f ca="1">IFERROR(IF(0=LEN(ReferenceData!$S$405),"",ReferenceData!$S$405),"")</f>
        <v>0.993269717</v>
      </c>
      <c r="T405">
        <f ca="1">IFERROR(IF(0=LEN(ReferenceData!$T$405),"",ReferenceData!$T$405),"")</f>
        <v>1.0991665669999999</v>
      </c>
      <c r="U405">
        <f ca="1">IFERROR(IF(0=LEN(ReferenceData!$U$405),"",ReferenceData!$U$405),"")</f>
        <v>1.0629390679999999</v>
      </c>
      <c r="V405">
        <f ca="1">IFERROR(IF(0=LEN(ReferenceData!$V$405),"",ReferenceData!$V$405),"")</f>
        <v>0.978522691</v>
      </c>
      <c r="W405">
        <f ca="1">IFERROR(IF(0=LEN(ReferenceData!$W$405),"",ReferenceData!$W$405),"")</f>
        <v>0.97463889400000003</v>
      </c>
      <c r="X405">
        <f ca="1">IFERROR(IF(0=LEN(ReferenceData!$X$405),"",ReferenceData!$X$405),"")</f>
        <v>1.002234321</v>
      </c>
      <c r="Y405">
        <f ca="1">IFERROR(IF(0=LEN(ReferenceData!$Y$405),"",ReferenceData!$Y$405),"")</f>
        <v>0.91247418199999997</v>
      </c>
      <c r="Z405">
        <f ca="1">IFERROR(IF(0=LEN(ReferenceData!$Z$405),"",ReferenceData!$Z$405),"")</f>
        <v>0.83819627900000004</v>
      </c>
      <c r="AA405">
        <f ca="1">IFERROR(IF(0=LEN(ReferenceData!$AA$405),"",ReferenceData!$AA$405),"")</f>
        <v>0.78786144400000002</v>
      </c>
      <c r="AB405">
        <f ca="1">IFERROR(IF(0=LEN(ReferenceData!$AB$405),"",ReferenceData!$AB$405),"")</f>
        <v>0.90763880500000005</v>
      </c>
      <c r="AC405">
        <f ca="1">IFERROR(IF(0=LEN(ReferenceData!$AC$405),"",ReferenceData!$AC$405),"")</f>
        <v>0.73560375099999997</v>
      </c>
      <c r="AD405">
        <f ca="1">IFERROR(IF(0=LEN(ReferenceData!$AD$405),"",ReferenceData!$AD$405),"")</f>
        <v>0.771915766</v>
      </c>
      <c r="AE405">
        <f ca="1">IFERROR(IF(0=LEN(ReferenceData!$AE$405),"",ReferenceData!$AE$405),"")</f>
        <v>0.87985647</v>
      </c>
      <c r="AF405" t="str">
        <f ca="1">IFERROR(IF(0=LEN(ReferenceData!$AF$405),"",ReferenceData!$AF$405),"")</f>
        <v/>
      </c>
      <c r="AG405" t="str">
        <f ca="1">IFERROR(IF(0=LEN(ReferenceData!$AG$405),"",ReferenceData!$AG$405),"")</f>
        <v/>
      </c>
      <c r="AH405" t="str">
        <f ca="1">IFERROR(IF(0=LEN(ReferenceData!$AH$405),"",ReferenceData!$AH$405),"")</f>
        <v/>
      </c>
      <c r="AI405" t="str">
        <f ca="1">IFERROR(IF(0=LEN(ReferenceData!$AI$405),"",ReferenceData!$AI$405),"")</f>
        <v/>
      </c>
      <c r="AJ405" t="str">
        <f ca="1">IFERROR(IF(0=LEN(ReferenceData!$AJ$405),"",ReferenceData!$AJ$405),"")</f>
        <v/>
      </c>
      <c r="AK405" t="str">
        <f ca="1">IFERROR(IF(0=LEN(ReferenceData!$AK$405),"",ReferenceData!$AK$405),"")</f>
        <v/>
      </c>
      <c r="AL405" t="str">
        <f ca="1">IFERROR(IF(0=LEN(ReferenceData!$AL$405),"",ReferenceData!$AL$405),"")</f>
        <v/>
      </c>
      <c r="AM405" t="str">
        <f ca="1">IFERROR(IF(0=LEN(ReferenceData!$AM$405),"",ReferenceData!$AM$405),"")</f>
        <v/>
      </c>
      <c r="AN405" t="str">
        <f ca="1">IFERROR(IF(0=LEN(ReferenceData!$AN$405),"",ReferenceData!$AN$405),"")</f>
        <v/>
      </c>
      <c r="AO405" t="str">
        <f ca="1">IFERROR(IF(0=LEN(ReferenceData!$AO$405),"",ReferenceData!$AO$405),"")</f>
        <v/>
      </c>
      <c r="AP405" t="str">
        <f ca="1">IFERROR(IF(0=LEN(ReferenceData!$AP$405),"",ReferenceData!$AP$405),"")</f>
        <v/>
      </c>
      <c r="AQ405" t="str">
        <f ca="1">IFERROR(IF(0=LEN(ReferenceData!$AQ$405),"",ReferenceData!$AQ$405),"")</f>
        <v/>
      </c>
      <c r="AR405" t="str">
        <f ca="1">IFERROR(IF(0=LEN(ReferenceData!$AR$405),"",ReferenceData!$AR$405),"")</f>
        <v/>
      </c>
      <c r="AS405" t="str">
        <f ca="1">IFERROR(IF(0=LEN(ReferenceData!$AS$405),"",ReferenceData!$AS$405),"")</f>
        <v/>
      </c>
      <c r="AT405" t="str">
        <f ca="1">IFERROR(IF(0=LEN(ReferenceData!$AT$405),"",ReferenceData!$AT$405),"")</f>
        <v/>
      </c>
      <c r="AU405" t="str">
        <f ca="1">IFERROR(IF(0=LEN(ReferenceData!$AU$405),"",ReferenceData!$AU$405),"")</f>
        <v/>
      </c>
      <c r="AV405" t="str">
        <f ca="1">IFERROR(IF(0=LEN(ReferenceData!$AV$405),"",ReferenceData!$AV$405),"")</f>
        <v/>
      </c>
      <c r="AW405" t="str">
        <f ca="1">IFERROR(IF(0=LEN(ReferenceData!$AW$405),"",ReferenceData!$AW$405),"")</f>
        <v/>
      </c>
      <c r="AX405" t="str">
        <f ca="1">IFERROR(IF(0=LEN(ReferenceData!$AX$405),"",ReferenceData!$AX$405),"")</f>
        <v/>
      </c>
      <c r="AY405" t="str">
        <f ca="1">IFERROR(IF(0=LEN(ReferenceData!$AY$405),"",ReferenceData!$AY$405),"")</f>
        <v/>
      </c>
      <c r="AZ405" t="str">
        <f ca="1">IFERROR(IF(0=LEN(ReferenceData!$AZ$405),"",ReferenceData!$AZ$405),"")</f>
        <v/>
      </c>
      <c r="BA405" t="str">
        <f ca="1">IFERROR(IF(0=LEN(ReferenceData!$BA$405),"",ReferenceData!$BA$405),"")</f>
        <v/>
      </c>
      <c r="BB405" t="str">
        <f ca="1">IFERROR(IF(0=LEN(ReferenceData!$BB$405),"",ReferenceData!$BB$405),"")</f>
        <v/>
      </c>
      <c r="BC405" t="str">
        <f ca="1">IFERROR(IF(0=LEN(ReferenceData!$BC$405),"",ReferenceData!$BC$405),"")</f>
        <v/>
      </c>
      <c r="BD405" t="str">
        <f ca="1">IFERROR(IF(0=LEN(ReferenceData!$BD$405),"",ReferenceData!$BD$405),"")</f>
        <v/>
      </c>
      <c r="BE405" t="str">
        <f ca="1">IFERROR(IF(0=LEN(ReferenceData!$BE$405),"",ReferenceData!$BE$405),"")</f>
        <v/>
      </c>
      <c r="BF405" t="str">
        <f ca="1">IFERROR(IF(0=LEN(ReferenceData!$BF$405),"",ReferenceData!$BF$405),"")</f>
        <v/>
      </c>
      <c r="BG405" t="str">
        <f ca="1">IFERROR(IF(0=LEN(ReferenceData!$BG$405),"",ReferenceData!$BG$405),"")</f>
        <v/>
      </c>
      <c r="BH405" t="str">
        <f ca="1">IFERROR(IF(0=LEN(ReferenceData!$BH$405),"",ReferenceData!$BH$405),"")</f>
        <v/>
      </c>
      <c r="BI405" t="str">
        <f ca="1">IFERROR(IF(0=LEN(ReferenceData!$BI$405),"",ReferenceData!$BI$405),"")</f>
        <v/>
      </c>
      <c r="BJ405" t="str">
        <f ca="1">IFERROR(IF(0=LEN(ReferenceData!$BJ$405),"",ReferenceData!$BJ$405),"")</f>
        <v/>
      </c>
      <c r="BK405" t="str">
        <f ca="1">IFERROR(IF(0=LEN(ReferenceData!$BK$405),"",ReferenceData!$BK$405),"")</f>
        <v/>
      </c>
      <c r="BL405" t="str">
        <f ca="1">IFERROR(IF(0=LEN(ReferenceData!$BL$405),"",ReferenceData!$BL$405),"")</f>
        <v/>
      </c>
      <c r="BM405" t="str">
        <f ca="1">IFERROR(IF(0=LEN(ReferenceData!$BM$405),"",ReferenceData!$BM$405),"")</f>
        <v/>
      </c>
    </row>
    <row r="406" spans="1:65" x14ac:dyDescent="0.25">
      <c r="A406" t="str">
        <f>IFERROR(IF(0=LEN(ReferenceData!$A$406),"",ReferenceData!$A$406),"")</f>
        <v xml:space="preserve">    Subaru Corp</v>
      </c>
      <c r="B406" t="str">
        <f>IFERROR(IF(0=LEN(ReferenceData!$B$406),"",ReferenceData!$B$406),"")</f>
        <v>7270 JP Equity</v>
      </c>
      <c r="C406" t="str">
        <f>IFERROR(IF(0=LEN(ReferenceData!$C$406),"",ReferenceData!$C$406),"")</f>
        <v>RR480</v>
      </c>
      <c r="D406" t="str">
        <f>IFERROR(IF(0=LEN(ReferenceData!$D$406),"",ReferenceData!$D$406),"")</f>
        <v>EV_TO_MKT_CAP</v>
      </c>
      <c r="E406" t="str">
        <f>IFERROR(IF(0=LEN(ReferenceData!$E$406),"",ReferenceData!$E$406),"")</f>
        <v>Dynamic</v>
      </c>
      <c r="F406" t="str">
        <f ca="1">IFERROR(IF(0=LEN(ReferenceData!$F$406),"",ReferenceData!$F$406),"")</f>
        <v/>
      </c>
      <c r="G406">
        <f ca="1">IFERROR(IF(0=LEN(ReferenceData!$G$406),"",ReferenceData!$G$406),"")</f>
        <v>0.55034678400000003</v>
      </c>
      <c r="H406">
        <f ca="1">IFERROR(IF(0=LEN(ReferenceData!$H$406),"",ReferenceData!$H$406),"")</f>
        <v>0.67238472299999996</v>
      </c>
      <c r="I406">
        <f ca="1">IFERROR(IF(0=LEN(ReferenceData!$I$406),"",ReferenceData!$I$406),"")</f>
        <v>0.645035095</v>
      </c>
      <c r="J406">
        <f ca="1">IFERROR(IF(0=LEN(ReferenceData!$J$406),"",ReferenceData!$J$406),"")</f>
        <v>0.66031945599999997</v>
      </c>
      <c r="K406">
        <f ca="1">IFERROR(IF(0=LEN(ReferenceData!$K$406),"",ReferenceData!$K$406),"")</f>
        <v>0.68548573199999996</v>
      </c>
      <c r="L406">
        <f ca="1">IFERROR(IF(0=LEN(ReferenceData!$L$406),"",ReferenceData!$L$406),"")</f>
        <v>0.71066180800000001</v>
      </c>
      <c r="M406">
        <f ca="1">IFERROR(IF(0=LEN(ReferenceData!$M$406),"",ReferenceData!$M$406),"")</f>
        <v>0.69670587500000003</v>
      </c>
      <c r="N406">
        <f ca="1">IFERROR(IF(0=LEN(ReferenceData!$N$406),"",ReferenceData!$N$406),"")</f>
        <v>0.73840419400000001</v>
      </c>
      <c r="O406">
        <f ca="1">IFERROR(IF(0=LEN(ReferenceData!$O$406),"",ReferenceData!$O$406),"")</f>
        <v>0.79408749000000001</v>
      </c>
      <c r="P406">
        <f ca="1">IFERROR(IF(0=LEN(ReferenceData!$P$406),"",ReferenceData!$P$406),"")</f>
        <v>0.71521717399999996</v>
      </c>
      <c r="Q406">
        <f ca="1">IFERROR(IF(0=LEN(ReferenceData!$Q$406),"",ReferenceData!$Q$406),"")</f>
        <v>0.715091692</v>
      </c>
      <c r="R406">
        <f ca="1">IFERROR(IF(0=LEN(ReferenceData!$R$406),"",ReferenceData!$R$406),"")</f>
        <v>0.73334128899999995</v>
      </c>
      <c r="S406">
        <f ca="1">IFERROR(IF(0=LEN(ReferenceData!$S$406),"",ReferenceData!$S$406),"")</f>
        <v>0.82124104200000003</v>
      </c>
      <c r="T406">
        <f ca="1">IFERROR(IF(0=LEN(ReferenceData!$T$406),"",ReferenceData!$T$406),"")</f>
        <v>0.80653506900000005</v>
      </c>
      <c r="U406">
        <f ca="1">IFERROR(IF(0=LEN(ReferenceData!$U$406),"",ReferenceData!$U$406),"")</f>
        <v>0.85114380099999998</v>
      </c>
      <c r="V406">
        <f ca="1">IFERROR(IF(0=LEN(ReferenceData!$V$406),"",ReferenceData!$V$406),"")</f>
        <v>0.85720104399999997</v>
      </c>
      <c r="W406">
        <f ca="1">IFERROR(IF(0=LEN(ReferenceData!$W$406),"",ReferenceData!$W$406),"")</f>
        <v>0.88932278799999998</v>
      </c>
      <c r="X406">
        <f ca="1">IFERROR(IF(0=LEN(ReferenceData!$X$406),"",ReferenceData!$X$406),"")</f>
        <v>0.86945445799999999</v>
      </c>
      <c r="Y406">
        <f ca="1">IFERROR(IF(0=LEN(ReferenceData!$Y$406),"",ReferenceData!$Y$406),"")</f>
        <v>0.878193008</v>
      </c>
      <c r="Z406">
        <f ca="1">IFERROR(IF(0=LEN(ReferenceData!$Z$406),"",ReferenceData!$Z$406),"")</f>
        <v>0.85973612700000002</v>
      </c>
      <c r="AA406">
        <f ca="1">IFERROR(IF(0=LEN(ReferenceData!$AA$406),"",ReferenceData!$AA$406),"")</f>
        <v>0.89611612900000004</v>
      </c>
      <c r="AB406">
        <f ca="1">IFERROR(IF(0=LEN(ReferenceData!$AB$406),"",ReferenceData!$AB$406),"")</f>
        <v>0.92614337800000002</v>
      </c>
      <c r="AC406">
        <f ca="1">IFERROR(IF(0=LEN(ReferenceData!$AC$406),"",ReferenceData!$AC$406),"")</f>
        <v>0.95204372199999998</v>
      </c>
      <c r="AD406">
        <f ca="1">IFERROR(IF(0=LEN(ReferenceData!$AD$406),"",ReferenceData!$AD$406),"")</f>
        <v>0.96677010500000005</v>
      </c>
      <c r="AE406">
        <f ca="1">IFERROR(IF(0=LEN(ReferenceData!$AE$406),"",ReferenceData!$AE$406),"")</f>
        <v>1.00211965</v>
      </c>
      <c r="AF406">
        <f ca="1">IFERROR(IF(0=LEN(ReferenceData!$AF$406),"",ReferenceData!$AF$406),"")</f>
        <v>0.98957162600000004</v>
      </c>
      <c r="AG406">
        <f ca="1">IFERROR(IF(0=LEN(ReferenceData!$AG$406),"",ReferenceData!$AG$406),"")</f>
        <v>1.0910624449999999</v>
      </c>
      <c r="AH406">
        <f ca="1">IFERROR(IF(0=LEN(ReferenceData!$AH$406),"",ReferenceData!$AH$406),"")</f>
        <v>1.1514339250000001</v>
      </c>
      <c r="AI406">
        <f ca="1">IFERROR(IF(0=LEN(ReferenceData!$AI$406),"",ReferenceData!$AI$406),"")</f>
        <v>1.317289395</v>
      </c>
      <c r="AJ406">
        <f ca="1">IFERROR(IF(0=LEN(ReferenceData!$AJ$406),"",ReferenceData!$AJ$406),"")</f>
        <v>1.3075805009999999</v>
      </c>
      <c r="AK406">
        <f ca="1">IFERROR(IF(0=LEN(ReferenceData!$AK$406),"",ReferenceData!$AK$406),"")</f>
        <v>1.199002487</v>
      </c>
      <c r="AL406">
        <f ca="1">IFERROR(IF(0=LEN(ReferenceData!$AL$406),"",ReferenceData!$AL$406),"")</f>
        <v>1.2485558459999999</v>
      </c>
      <c r="AM406">
        <f ca="1">IFERROR(IF(0=LEN(ReferenceData!$AM$406),"",ReferenceData!$AM$406),"")</f>
        <v>1.33006997</v>
      </c>
      <c r="AN406">
        <f ca="1">IFERROR(IF(0=LEN(ReferenceData!$AN$406),"",ReferenceData!$AN$406),"")</f>
        <v>1.3212691299999999</v>
      </c>
      <c r="AO406">
        <f ca="1">IFERROR(IF(0=LEN(ReferenceData!$AO$406),"",ReferenceData!$AO$406),"")</f>
        <v>1.447798693</v>
      </c>
      <c r="AP406">
        <f ca="1">IFERROR(IF(0=LEN(ReferenceData!$AP$406),"",ReferenceData!$AP$406),"")</f>
        <v>1.5134621049999999</v>
      </c>
      <c r="AQ406">
        <f ca="1">IFERROR(IF(0=LEN(ReferenceData!$AQ$406),"",ReferenceData!$AQ$406),"")</f>
        <v>1.6706018380000001</v>
      </c>
      <c r="AR406">
        <f ca="1">IFERROR(IF(0=LEN(ReferenceData!$AR$406),"",ReferenceData!$AR$406),"")</f>
        <v>1.8353067080000001</v>
      </c>
      <c r="AS406">
        <f ca="1">IFERROR(IF(0=LEN(ReferenceData!$AS$406),"",ReferenceData!$AS$406),"")</f>
        <v>1.9039198820000001</v>
      </c>
      <c r="AT406">
        <f ca="1">IFERROR(IF(0=LEN(ReferenceData!$AT$406),"",ReferenceData!$AT$406),"")</f>
        <v>2.18696001</v>
      </c>
      <c r="AU406">
        <f ca="1">IFERROR(IF(0=LEN(ReferenceData!$AU$406),"",ReferenceData!$AU$406),"")</f>
        <v>2.1825741349999999</v>
      </c>
      <c r="AV406">
        <f ca="1">IFERROR(IF(0=LEN(ReferenceData!$AV$406),"",ReferenceData!$AV$406),"")</f>
        <v>1.469500195</v>
      </c>
      <c r="AW406">
        <f ca="1">IFERROR(IF(0=LEN(ReferenceData!$AW$406),"",ReferenceData!$AW$406),"")</f>
        <v>1.6188006159999999</v>
      </c>
      <c r="AX406">
        <f ca="1">IFERROR(IF(0=LEN(ReferenceData!$AX$406),"",ReferenceData!$AX$406),"")</f>
        <v>1.687017027</v>
      </c>
      <c r="AY406">
        <f ca="1">IFERROR(IF(0=LEN(ReferenceData!$AY$406),"",ReferenceData!$AY$406),"")</f>
        <v>1.710563345</v>
      </c>
      <c r="AZ406">
        <f ca="1">IFERROR(IF(0=LEN(ReferenceData!$AZ$406),"",ReferenceData!$AZ$406),"")</f>
        <v>1.6739790560000001</v>
      </c>
      <c r="BA406">
        <f ca="1">IFERROR(IF(0=LEN(ReferenceData!$BA$406),"",ReferenceData!$BA$406),"")</f>
        <v>1.678940265</v>
      </c>
      <c r="BB406">
        <f ca="1">IFERROR(IF(0=LEN(ReferenceData!$BB$406),"",ReferenceData!$BB$406),"")</f>
        <v>1.5940783860000001</v>
      </c>
      <c r="BC406">
        <f ca="1">IFERROR(IF(0=LEN(ReferenceData!$BC$406),"",ReferenceData!$BC$406),"")</f>
        <v>1.698750191</v>
      </c>
      <c r="BD406">
        <f ca="1">IFERROR(IF(0=LEN(ReferenceData!$BD$406),"",ReferenceData!$BD$406),"")</f>
        <v>1.6008744399999999</v>
      </c>
      <c r="BE406">
        <f ca="1">IFERROR(IF(0=LEN(ReferenceData!$BE$406),"",ReferenceData!$BE$406),"")</f>
        <v>1.615132835</v>
      </c>
      <c r="BF406">
        <f ca="1">IFERROR(IF(0=LEN(ReferenceData!$BF$406),"",ReferenceData!$BF$406),"")</f>
        <v>1.5512285130000001</v>
      </c>
      <c r="BG406">
        <f ca="1">IFERROR(IF(0=LEN(ReferenceData!$BG$406),"",ReferenceData!$BG$406),"")</f>
        <v>1.6756791010000001</v>
      </c>
      <c r="BH406">
        <f ca="1">IFERROR(IF(0=LEN(ReferenceData!$BH$406),"",ReferenceData!$BH$406),"")</f>
        <v>1.6675060420000001</v>
      </c>
      <c r="BI406">
        <f ca="1">IFERROR(IF(0=LEN(ReferenceData!$BI$406),"",ReferenceData!$BI$406),"")</f>
        <v>1.844922532</v>
      </c>
      <c r="BJ406">
        <f ca="1">IFERROR(IF(0=LEN(ReferenceData!$BJ$406),"",ReferenceData!$BJ$406),"")</f>
        <v>1.7051395469999999</v>
      </c>
      <c r="BK406" t="str">
        <f ca="1">IFERROR(IF(0=LEN(ReferenceData!$BK$406),"",ReferenceData!$BK$406),"")</f>
        <v/>
      </c>
      <c r="BL406">
        <f ca="1">IFERROR(IF(0=LEN(ReferenceData!$BL$406),"",ReferenceData!$BL$406),"")</f>
        <v>1.5679445750000001</v>
      </c>
      <c r="BM406" t="str">
        <f ca="1">IFERROR(IF(0=LEN(ReferenceData!$BM$406),"",ReferenceData!$BM$406),"")</f>
        <v/>
      </c>
    </row>
    <row r="407" spans="1:65" x14ac:dyDescent="0.25">
      <c r="A407" t="str">
        <f>IFERROR(IF(0=LEN(ReferenceData!$A$407),"",ReferenceData!$A$407),"")</f>
        <v xml:space="preserve">    Suzuki Motor Corp</v>
      </c>
      <c r="B407" t="str">
        <f>IFERROR(IF(0=LEN(ReferenceData!$B$407),"",ReferenceData!$B$407),"")</f>
        <v>7269 JP Equity</v>
      </c>
      <c r="C407" t="str">
        <f>IFERROR(IF(0=LEN(ReferenceData!$C$407),"",ReferenceData!$C$407),"")</f>
        <v>RR480</v>
      </c>
      <c r="D407" t="str">
        <f>IFERROR(IF(0=LEN(ReferenceData!$D$407),"",ReferenceData!$D$407),"")</f>
        <v>EV_TO_MKT_CAP</v>
      </c>
      <c r="E407" t="str">
        <f>IFERROR(IF(0=LEN(ReferenceData!$E$407),"",ReferenceData!$E$407),"")</f>
        <v>Dynamic</v>
      </c>
      <c r="F407" t="str">
        <f ca="1">IFERROR(IF(0=LEN(ReferenceData!$F$407),"",ReferenceData!$F$407),"")</f>
        <v/>
      </c>
      <c r="G407">
        <f ca="1">IFERROR(IF(0=LEN(ReferenceData!$G$407),"",ReferenceData!$G$407),"")</f>
        <v>1.0221455850000001</v>
      </c>
      <c r="H407">
        <f ca="1">IFERROR(IF(0=LEN(ReferenceData!$H$407),"",ReferenceData!$H$407),"")</f>
        <v>0.97865371300000004</v>
      </c>
      <c r="I407">
        <f ca="1">IFERROR(IF(0=LEN(ReferenceData!$I$407),"",ReferenceData!$I$407),"")</f>
        <v>0.98941833599999995</v>
      </c>
      <c r="J407">
        <f ca="1">IFERROR(IF(0=LEN(ReferenceData!$J$407),"",ReferenceData!$J$407),"")</f>
        <v>0.97692792799999995</v>
      </c>
      <c r="K407">
        <f ca="1">IFERROR(IF(0=LEN(ReferenceData!$K$407),"",ReferenceData!$K$407),"")</f>
        <v>0.97587681599999998</v>
      </c>
      <c r="L407">
        <f ca="1">IFERROR(IF(0=LEN(ReferenceData!$L$407),"",ReferenceData!$L$407),"")</f>
        <v>0.94593868599999997</v>
      </c>
      <c r="M407">
        <f ca="1">IFERROR(IF(0=LEN(ReferenceData!$M$407),"",ReferenceData!$M$407),"")</f>
        <v>0.96010231899999998</v>
      </c>
      <c r="N407">
        <f ca="1">IFERROR(IF(0=LEN(ReferenceData!$N$407),"",ReferenceData!$N$407),"")</f>
        <v>0.94447678400000001</v>
      </c>
      <c r="O407">
        <f ca="1">IFERROR(IF(0=LEN(ReferenceData!$O$407),"",ReferenceData!$O$407),"")</f>
        <v>0.96138216300000001</v>
      </c>
      <c r="P407">
        <f ca="1">IFERROR(IF(0=LEN(ReferenceData!$P$407),"",ReferenceData!$P$407),"")</f>
        <v>0.89792538700000002</v>
      </c>
      <c r="Q407">
        <f ca="1">IFERROR(IF(0=LEN(ReferenceData!$Q$407),"",ReferenceData!$Q$407),"")</f>
        <v>0.93830632400000002</v>
      </c>
      <c r="R407">
        <f ca="1">IFERROR(IF(0=LEN(ReferenceData!$R$407),"",ReferenceData!$R$407),"")</f>
        <v>0.99570992400000002</v>
      </c>
      <c r="S407">
        <f ca="1">IFERROR(IF(0=LEN(ReferenceData!$S$407),"",ReferenceData!$S$407),"")</f>
        <v>1.0144064100000001</v>
      </c>
      <c r="T407">
        <f ca="1">IFERROR(IF(0=LEN(ReferenceData!$T$407),"",ReferenceData!$T$407),"")</f>
        <v>1.0650978099999999</v>
      </c>
      <c r="U407">
        <f ca="1">IFERROR(IF(0=LEN(ReferenceData!$U$407),"",ReferenceData!$U$407),"")</f>
        <v>0.84389336800000003</v>
      </c>
      <c r="V407">
        <f ca="1">IFERROR(IF(0=LEN(ReferenceData!$V$407),"",ReferenceData!$V$407),"")</f>
        <v>0.82451627999999999</v>
      </c>
      <c r="W407">
        <f ca="1">IFERROR(IF(0=LEN(ReferenceData!$W$407),"",ReferenceData!$W$407),"")</f>
        <v>0.85048524700000006</v>
      </c>
      <c r="X407">
        <f ca="1">IFERROR(IF(0=LEN(ReferenceData!$X$407),"",ReferenceData!$X$407),"")</f>
        <v>0.82968328000000002</v>
      </c>
      <c r="Y407">
        <f ca="1">IFERROR(IF(0=LEN(ReferenceData!$Y$407),"",ReferenceData!$Y$407),"")</f>
        <v>0.81004275999999997</v>
      </c>
      <c r="Z407">
        <f ca="1">IFERROR(IF(0=LEN(ReferenceData!$Z$407),"",ReferenceData!$Z$407),"")</f>
        <v>0.77186332300000005</v>
      </c>
      <c r="AA407">
        <f ca="1">IFERROR(IF(0=LEN(ReferenceData!$AA$407),"",ReferenceData!$AA$407),"")</f>
        <v>0.81480508200000001</v>
      </c>
      <c r="AB407">
        <f ca="1">IFERROR(IF(0=LEN(ReferenceData!$AB$407),"",ReferenceData!$AB$407),"")</f>
        <v>0.75624697699999999</v>
      </c>
      <c r="AC407">
        <f ca="1">IFERROR(IF(0=LEN(ReferenceData!$AC$407),"",ReferenceData!$AC$407),"")</f>
        <v>0.77897176400000001</v>
      </c>
      <c r="AD407">
        <f ca="1">IFERROR(IF(0=LEN(ReferenceData!$AD$407),"",ReferenceData!$AD$407),"")</f>
        <v>0.79153670799999998</v>
      </c>
      <c r="AE407">
        <f ca="1">IFERROR(IF(0=LEN(ReferenceData!$AE$407),"",ReferenceData!$AE$407),"")</f>
        <v>0.82416391499999997</v>
      </c>
      <c r="AF407">
        <f ca="1">IFERROR(IF(0=LEN(ReferenceData!$AF$407),"",ReferenceData!$AF$407),"")</f>
        <v>0.66538257499999998</v>
      </c>
      <c r="AG407">
        <f ca="1">IFERROR(IF(0=LEN(ReferenceData!$AG$407),"",ReferenceData!$AG$407),"")</f>
        <v>0.66874790699999997</v>
      </c>
      <c r="AH407">
        <f ca="1">IFERROR(IF(0=LEN(ReferenceData!$AH$407),"",ReferenceData!$AH$407),"")</f>
        <v>0.766511312</v>
      </c>
      <c r="AI407">
        <f ca="1">IFERROR(IF(0=LEN(ReferenceData!$AI$407),"",ReferenceData!$AI$407),"")</f>
        <v>0.72969093699999998</v>
      </c>
      <c r="AJ407">
        <f ca="1">IFERROR(IF(0=LEN(ReferenceData!$AJ$407),"",ReferenceData!$AJ$407),"")</f>
        <v>0.74320308199999996</v>
      </c>
      <c r="AK407">
        <f ca="1">IFERROR(IF(0=LEN(ReferenceData!$AK$407),"",ReferenceData!$AK$407),"")</f>
        <v>0.845141331</v>
      </c>
      <c r="AL407">
        <f ca="1">IFERROR(IF(0=LEN(ReferenceData!$AL$407),"",ReferenceData!$AL$407),"")</f>
        <v>0.89154553199999997</v>
      </c>
      <c r="AM407">
        <f ca="1">IFERROR(IF(0=LEN(ReferenceData!$AM$407),"",ReferenceData!$AM$407),"")</f>
        <v>0.92789147999999999</v>
      </c>
      <c r="AN407">
        <f ca="1">IFERROR(IF(0=LEN(ReferenceData!$AN$407),"",ReferenceData!$AN$407),"")</f>
        <v>0.83484913900000002</v>
      </c>
      <c r="AO407">
        <f ca="1">IFERROR(IF(0=LEN(ReferenceData!$AO$407),"",ReferenceData!$AO$407),"")</f>
        <v>0.85432255099999999</v>
      </c>
      <c r="AP407">
        <f ca="1">IFERROR(IF(0=LEN(ReferenceData!$AP$407),"",ReferenceData!$AP$407),"")</f>
        <v>0.95226567900000003</v>
      </c>
      <c r="AQ407">
        <f ca="1">IFERROR(IF(0=LEN(ReferenceData!$AQ$407),"",ReferenceData!$AQ$407),"")</f>
        <v>1.217325422</v>
      </c>
      <c r="AR407">
        <f ca="1">IFERROR(IF(0=LEN(ReferenceData!$AR$407),"",ReferenceData!$AR$407),"")</f>
        <v>1.255002325</v>
      </c>
      <c r="AS407">
        <f ca="1">IFERROR(IF(0=LEN(ReferenceData!$AS$407),"",ReferenceData!$AS$407),"")</f>
        <v>1.3149730829999999</v>
      </c>
      <c r="AT407">
        <f ca="1">IFERROR(IF(0=LEN(ReferenceData!$AT$407),"",ReferenceData!$AT$407),"")</f>
        <v>1.485638244</v>
      </c>
      <c r="AU407">
        <f ca="1">IFERROR(IF(0=LEN(ReferenceData!$AU$407),"",ReferenceData!$AU$407),"")</f>
        <v>1.4881766649999999</v>
      </c>
      <c r="AV407">
        <f ca="1">IFERROR(IF(0=LEN(ReferenceData!$AV$407),"",ReferenceData!$AV$407),"")</f>
        <v>1.121674152</v>
      </c>
      <c r="AW407">
        <f ca="1">IFERROR(IF(0=LEN(ReferenceData!$AW$407),"",ReferenceData!$AW$407),"")</f>
        <v>1.0838167940000001</v>
      </c>
      <c r="AX407">
        <f ca="1">IFERROR(IF(0=LEN(ReferenceData!$AX$407),"",ReferenceData!$AX$407),"")</f>
        <v>1.0877197919999999</v>
      </c>
      <c r="AY407">
        <f ca="1">IFERROR(IF(0=LEN(ReferenceData!$AY$407),"",ReferenceData!$AY$407),"")</f>
        <v>1.028328073</v>
      </c>
      <c r="AZ407">
        <f ca="1">IFERROR(IF(0=LEN(ReferenceData!$AZ$407),"",ReferenceData!$AZ$407),"")</f>
        <v>1.004306675</v>
      </c>
      <c r="BA407">
        <f ca="1">IFERROR(IF(0=LEN(ReferenceData!$BA$407),"",ReferenceData!$BA$407),"")</f>
        <v>1.006410749</v>
      </c>
      <c r="BB407">
        <f ca="1">IFERROR(IF(0=LEN(ReferenceData!$BB$407),"",ReferenceData!$BB$407),"")</f>
        <v>1.035664752</v>
      </c>
      <c r="BC407">
        <f ca="1">IFERROR(IF(0=LEN(ReferenceData!$BC$407),"",ReferenceData!$BC$407),"")</f>
        <v>1.040971018</v>
      </c>
      <c r="BD407">
        <f ca="1">IFERROR(IF(0=LEN(ReferenceData!$BD$407),"",ReferenceData!$BD$407),"")</f>
        <v>1.0024708710000001</v>
      </c>
      <c r="BE407">
        <f ca="1">IFERROR(IF(0=LEN(ReferenceData!$BE$407),"",ReferenceData!$BE$407),"")</f>
        <v>0.98252621500000004</v>
      </c>
      <c r="BF407">
        <f ca="1">IFERROR(IF(0=LEN(ReferenceData!$BF$407),"",ReferenceData!$BF$407),"")</f>
        <v>1.029531298</v>
      </c>
      <c r="BG407">
        <f ca="1">IFERROR(IF(0=LEN(ReferenceData!$BG$407),"",ReferenceData!$BG$407),"")</f>
        <v>0.84944333400000005</v>
      </c>
      <c r="BH407">
        <f ca="1">IFERROR(IF(0=LEN(ReferenceData!$BH$407),"",ReferenceData!$BH$407),"")</f>
        <v>0.83199156399999996</v>
      </c>
      <c r="BI407" t="str">
        <f ca="1">IFERROR(IF(0=LEN(ReferenceData!$BI$407),"",ReferenceData!$BI$407),"")</f>
        <v/>
      </c>
      <c r="BJ407">
        <f ca="1">IFERROR(IF(0=LEN(ReferenceData!$BJ$407),"",ReferenceData!$BJ$407),"")</f>
        <v>0.87778212499999997</v>
      </c>
      <c r="BK407" t="str">
        <f ca="1">IFERROR(IF(0=LEN(ReferenceData!$BK$407),"",ReferenceData!$BK$407),"")</f>
        <v/>
      </c>
      <c r="BL407">
        <f ca="1">IFERROR(IF(0=LEN(ReferenceData!$BL$407),"",ReferenceData!$BL$407),"")</f>
        <v>0.86353472099999995</v>
      </c>
      <c r="BM407" t="str">
        <f ca="1">IFERROR(IF(0=LEN(ReferenceData!$BM$407),"",ReferenceData!$BM$407),"")</f>
        <v/>
      </c>
    </row>
    <row r="408" spans="1:65" x14ac:dyDescent="0.25">
      <c r="A408" t="str">
        <f>IFERROR(IF(0=LEN(ReferenceData!$A$408),"",ReferenceData!$A$408),"")</f>
        <v xml:space="preserve">    Tata Motors Ltd</v>
      </c>
      <c r="B408" t="str">
        <f>IFERROR(IF(0=LEN(ReferenceData!$B$408),"",ReferenceData!$B$408),"")</f>
        <v>TTMT IN Equity</v>
      </c>
      <c r="C408" t="str">
        <f>IFERROR(IF(0=LEN(ReferenceData!$C$408),"",ReferenceData!$C$408),"")</f>
        <v>RR480</v>
      </c>
      <c r="D408" t="str">
        <f>IFERROR(IF(0=LEN(ReferenceData!$D$408),"",ReferenceData!$D$408),"")</f>
        <v>EV_TO_MKT_CAP</v>
      </c>
      <c r="E408" t="str">
        <f>IFERROR(IF(0=LEN(ReferenceData!$E$408),"",ReferenceData!$E$408),"")</f>
        <v>Dynamic</v>
      </c>
      <c r="F408" t="str">
        <f ca="1">IFERROR(IF(0=LEN(ReferenceData!$F$408),"",ReferenceData!$F$408),"")</f>
        <v/>
      </c>
      <c r="G408" t="str">
        <f ca="1">IFERROR(IF(0=LEN(ReferenceData!$G$408),"",ReferenceData!$G$408),"")</f>
        <v/>
      </c>
      <c r="H408">
        <f ca="1">IFERROR(IF(0=LEN(ReferenceData!$H$408),"",ReferenceData!$H$408),"")</f>
        <v>1.8045136369999999</v>
      </c>
      <c r="I408" t="str">
        <f ca="1">IFERROR(IF(0=LEN(ReferenceData!$I$408),"",ReferenceData!$I$408),"")</f>
        <v/>
      </c>
      <c r="J408">
        <f ca="1">IFERROR(IF(0=LEN(ReferenceData!$J$408),"",ReferenceData!$J$408),"")</f>
        <v>1.357807202</v>
      </c>
      <c r="K408" t="str">
        <f ca="1">IFERROR(IF(0=LEN(ReferenceData!$K$408),"",ReferenceData!$K$408),"")</f>
        <v/>
      </c>
      <c r="L408">
        <f ca="1">IFERROR(IF(0=LEN(ReferenceData!$L$408),"",ReferenceData!$L$408),"")</f>
        <v>1.269989791</v>
      </c>
      <c r="M408" t="str">
        <f ca="1">IFERROR(IF(0=LEN(ReferenceData!$M$408),"",ReferenceData!$M$408),"")</f>
        <v/>
      </c>
      <c r="N408">
        <f ca="1">IFERROR(IF(0=LEN(ReferenceData!$N$408),"",ReferenceData!$N$408),"")</f>
        <v>1.176706716</v>
      </c>
      <c r="O408" t="str">
        <f ca="1">IFERROR(IF(0=LEN(ReferenceData!$O$408),"",ReferenceData!$O$408),"")</f>
        <v/>
      </c>
      <c r="P408">
        <f ca="1">IFERROR(IF(0=LEN(ReferenceData!$P$408),"",ReferenceData!$P$408),"")</f>
        <v>1.1597148930000001</v>
      </c>
      <c r="Q408" t="str">
        <f ca="1">IFERROR(IF(0=LEN(ReferenceData!$Q$408),"",ReferenceData!$Q$408),"")</f>
        <v/>
      </c>
      <c r="R408">
        <f ca="1">IFERROR(IF(0=LEN(ReferenceData!$R$408),"",ReferenceData!$R$408),"")</f>
        <v>1.157544165</v>
      </c>
      <c r="S408" t="str">
        <f ca="1">IFERROR(IF(0=LEN(ReferenceData!$S$408),"",ReferenceData!$S$408),"")</f>
        <v/>
      </c>
      <c r="T408">
        <f ca="1">IFERROR(IF(0=LEN(ReferenceData!$T$408),"",ReferenceData!$T$408),"")</f>
        <v>1.303427243</v>
      </c>
      <c r="U408" t="str">
        <f ca="1">IFERROR(IF(0=LEN(ReferenceData!$U$408),"",ReferenceData!$U$408),"")</f>
        <v/>
      </c>
      <c r="V408">
        <f ca="1">IFERROR(IF(0=LEN(ReferenceData!$V$408),"",ReferenceData!$V$408),"")</f>
        <v>1.180180472</v>
      </c>
      <c r="W408" t="str">
        <f ca="1">IFERROR(IF(0=LEN(ReferenceData!$W$408),"",ReferenceData!$W$408),"")</f>
        <v/>
      </c>
      <c r="X408">
        <f ca="1">IFERROR(IF(0=LEN(ReferenceData!$X$408),"",ReferenceData!$X$408),"")</f>
        <v>1.1142778739999999</v>
      </c>
      <c r="Y408" t="str">
        <f ca="1">IFERROR(IF(0=LEN(ReferenceData!$Y$408),"",ReferenceData!$Y$408),"")</f>
        <v/>
      </c>
      <c r="Z408">
        <f ca="1">IFERROR(IF(0=LEN(ReferenceData!$Z$408),"",ReferenceData!$Z$408),"")</f>
        <v>1.211930339</v>
      </c>
      <c r="AA408" t="str">
        <f ca="1">IFERROR(IF(0=LEN(ReferenceData!$AA$408),"",ReferenceData!$AA$408),"")</f>
        <v/>
      </c>
      <c r="AB408">
        <f ca="1">IFERROR(IF(0=LEN(ReferenceData!$AB$408),"",ReferenceData!$AB$408),"")</f>
        <v>1.2234138269999999</v>
      </c>
      <c r="AC408" t="str">
        <f ca="1">IFERROR(IF(0=LEN(ReferenceData!$AC$408),"",ReferenceData!$AC$408),"")</f>
        <v/>
      </c>
      <c r="AD408">
        <f ca="1">IFERROR(IF(0=LEN(ReferenceData!$AD$408),"",ReferenceData!$AD$408),"")</f>
        <v>1.3625133629999999</v>
      </c>
      <c r="AE408" t="str">
        <f ca="1">IFERROR(IF(0=LEN(ReferenceData!$AE$408),"",ReferenceData!$AE$408),"")</f>
        <v/>
      </c>
      <c r="AF408">
        <f ca="1">IFERROR(IF(0=LEN(ReferenceData!$AF$408),"",ReferenceData!$AF$408),"")</f>
        <v>1.215231277</v>
      </c>
      <c r="AG408" t="str">
        <f ca="1">IFERROR(IF(0=LEN(ReferenceData!$AG$408),"",ReferenceData!$AG$408),"")</f>
        <v/>
      </c>
      <c r="AH408">
        <f ca="1">IFERROR(IF(0=LEN(ReferenceData!$AH$408),"",ReferenceData!$AH$408),"")</f>
        <v>1.3148090610000001</v>
      </c>
      <c r="AI408" t="str">
        <f ca="1">IFERROR(IF(0=LEN(ReferenceData!$AI$408),"",ReferenceData!$AI$408),"")</f>
        <v/>
      </c>
      <c r="AJ408">
        <f ca="1">IFERROR(IF(0=LEN(ReferenceData!$AJ$408),"",ReferenceData!$AJ$408),"")</f>
        <v>1.5848777270000001</v>
      </c>
      <c r="AK408" t="str">
        <f ca="1">IFERROR(IF(0=LEN(ReferenceData!$AK$408),"",ReferenceData!$AK$408),"")</f>
        <v/>
      </c>
      <c r="AL408">
        <f ca="1">IFERROR(IF(0=LEN(ReferenceData!$AL$408),"",ReferenceData!$AL$408),"")</f>
        <v>1.33185968</v>
      </c>
      <c r="AM408" t="str">
        <f ca="1">IFERROR(IF(0=LEN(ReferenceData!$AM$408),"",ReferenceData!$AM$408),"")</f>
        <v/>
      </c>
      <c r="AN408">
        <f ca="1">IFERROR(IF(0=LEN(ReferenceData!$AN$408),"",ReferenceData!$AN$408),"")</f>
        <v>1.4453425639999999</v>
      </c>
      <c r="AO408" t="str">
        <f ca="1">IFERROR(IF(0=LEN(ReferenceData!$AO$408),"",ReferenceData!$AO$408),"")</f>
        <v/>
      </c>
      <c r="AP408">
        <f ca="1">IFERROR(IF(0=LEN(ReferenceData!$AP$408),"",ReferenceData!$AP$408),"")</f>
        <v>1.791629132</v>
      </c>
      <c r="AQ408" t="str">
        <f ca="1">IFERROR(IF(0=LEN(ReferenceData!$AQ$408),"",ReferenceData!$AQ$408),"")</f>
        <v/>
      </c>
      <c r="AR408" t="str">
        <f ca="1">IFERROR(IF(0=LEN(ReferenceData!$AR$408),"",ReferenceData!$AR$408),"")</f>
        <v/>
      </c>
      <c r="AS408" t="str">
        <f ca="1">IFERROR(IF(0=LEN(ReferenceData!$AS$408),"",ReferenceData!$AS$408),"")</f>
        <v/>
      </c>
      <c r="AT408">
        <f ca="1">IFERROR(IF(0=LEN(ReferenceData!$AT$408),"",ReferenceData!$AT$408),"")</f>
        <v>4.8213437150000003</v>
      </c>
      <c r="AU408" t="str">
        <f ca="1">IFERROR(IF(0=LEN(ReferenceData!$AU$408),"",ReferenceData!$AU$408),"")</f>
        <v/>
      </c>
      <c r="AV408" t="str">
        <f ca="1">IFERROR(IF(0=LEN(ReferenceData!$AV$408),"",ReferenceData!$AV$408),"")</f>
        <v/>
      </c>
      <c r="AW408" t="str">
        <f ca="1">IFERROR(IF(0=LEN(ReferenceData!$AW$408),"",ReferenceData!$AW$408),"")</f>
        <v/>
      </c>
      <c r="AX408">
        <f ca="1">IFERROR(IF(0=LEN(ReferenceData!$AX$408),"",ReferenceData!$AX$408),"")</f>
        <v>1.290061401</v>
      </c>
      <c r="AY408" t="str">
        <f ca="1">IFERROR(IF(0=LEN(ReferenceData!$AY$408),"",ReferenceData!$AY$408),"")</f>
        <v/>
      </c>
      <c r="AZ408" t="str">
        <f ca="1">IFERROR(IF(0=LEN(ReferenceData!$AZ$408),"",ReferenceData!$AZ$408),"")</f>
        <v/>
      </c>
      <c r="BA408" t="str">
        <f ca="1">IFERROR(IF(0=LEN(ReferenceData!$BA$408),"",ReferenceData!$BA$408),"")</f>
        <v/>
      </c>
      <c r="BB408" t="str">
        <f ca="1">IFERROR(IF(0=LEN(ReferenceData!$BB$408),"",ReferenceData!$BB$408),"")</f>
        <v/>
      </c>
      <c r="BC408" t="str">
        <f ca="1">IFERROR(IF(0=LEN(ReferenceData!$BC$408),"",ReferenceData!$BC$408),"")</f>
        <v/>
      </c>
      <c r="BD408" t="str">
        <f ca="1">IFERROR(IF(0=LEN(ReferenceData!$BD$408),"",ReferenceData!$BD$408),"")</f>
        <v/>
      </c>
      <c r="BE408" t="str">
        <f ca="1">IFERROR(IF(0=LEN(ReferenceData!$BE$408),"",ReferenceData!$BE$408),"")</f>
        <v/>
      </c>
      <c r="BF408" t="str">
        <f ca="1">IFERROR(IF(0=LEN(ReferenceData!$BF$408),"",ReferenceData!$BF$408),"")</f>
        <v/>
      </c>
      <c r="BG408" t="str">
        <f ca="1">IFERROR(IF(0=LEN(ReferenceData!$BG$408),"",ReferenceData!$BG$408),"")</f>
        <v/>
      </c>
      <c r="BH408" t="str">
        <f ca="1">IFERROR(IF(0=LEN(ReferenceData!$BH$408),"",ReferenceData!$BH$408),"")</f>
        <v/>
      </c>
      <c r="BI408" t="str">
        <f ca="1">IFERROR(IF(0=LEN(ReferenceData!$BI$408),"",ReferenceData!$BI$408),"")</f>
        <v/>
      </c>
      <c r="BJ408" t="str">
        <f ca="1">IFERROR(IF(0=LEN(ReferenceData!$BJ$408),"",ReferenceData!$BJ$408),"")</f>
        <v/>
      </c>
      <c r="BK408" t="str">
        <f ca="1">IFERROR(IF(0=LEN(ReferenceData!$BK$408),"",ReferenceData!$BK$408),"")</f>
        <v/>
      </c>
      <c r="BL408" t="str">
        <f ca="1">IFERROR(IF(0=LEN(ReferenceData!$BL$408),"",ReferenceData!$BL$408),"")</f>
        <v/>
      </c>
      <c r="BM408" t="str">
        <f ca="1">IFERROR(IF(0=LEN(ReferenceData!$BM$408),"",ReferenceData!$BM$408),"")</f>
        <v/>
      </c>
    </row>
    <row r="409" spans="1:65" x14ac:dyDescent="0.25">
      <c r="A409" t="str">
        <f>IFERROR(IF(0=LEN(ReferenceData!$A$409),"",ReferenceData!$A$409),"")</f>
        <v xml:space="preserve">    Tesla Inc</v>
      </c>
      <c r="B409" t="str">
        <f>IFERROR(IF(0=LEN(ReferenceData!$B$409),"",ReferenceData!$B$409),"")</f>
        <v>TSLA US Equity</v>
      </c>
      <c r="C409" t="str">
        <f>IFERROR(IF(0=LEN(ReferenceData!$C$409),"",ReferenceData!$C$409),"")</f>
        <v>RR480</v>
      </c>
      <c r="D409" t="str">
        <f>IFERROR(IF(0=LEN(ReferenceData!$D$409),"",ReferenceData!$D$409),"")</f>
        <v>EV_TO_MKT_CAP</v>
      </c>
      <c r="E409" t="str">
        <f>IFERROR(IF(0=LEN(ReferenceData!$E$409),"",ReferenceData!$E$409),"")</f>
        <v>Dynamic</v>
      </c>
      <c r="F409" t="str">
        <f ca="1">IFERROR(IF(0=LEN(ReferenceData!$F$409),"",ReferenceData!$F$409),"")</f>
        <v/>
      </c>
      <c r="G409">
        <f ca="1">IFERROR(IF(0=LEN(ReferenceData!$G$409),"",ReferenceData!$G$409),"")</f>
        <v>1.1684493419999999</v>
      </c>
      <c r="H409">
        <f ca="1">IFERROR(IF(0=LEN(ReferenceData!$H$409),"",ReferenceData!$H$409),"")</f>
        <v>1.2235651999999999</v>
      </c>
      <c r="I409">
        <f ca="1">IFERROR(IF(0=LEN(ReferenceData!$I$409),"",ReferenceData!$I$409),"")</f>
        <v>1.1729086</v>
      </c>
      <c r="J409">
        <f ca="1">IFERROR(IF(0=LEN(ReferenceData!$J$409),"",ReferenceData!$J$409),"")</f>
        <v>1.2054914750000001</v>
      </c>
      <c r="K409">
        <f ca="1">IFERROR(IF(0=LEN(ReferenceData!$K$409),"",ReferenceData!$K$409),"")</f>
        <v>1.1568250879999999</v>
      </c>
      <c r="L409">
        <f ca="1">IFERROR(IF(0=LEN(ReferenceData!$L$409),"",ReferenceData!$L$409),"")</f>
        <v>1.136876445</v>
      </c>
      <c r="M409">
        <f ca="1">IFERROR(IF(0=LEN(ReferenceData!$M$409),"",ReferenceData!$M$409),"")</f>
        <v>1.0962135980000001</v>
      </c>
      <c r="N409">
        <f ca="1">IFERROR(IF(0=LEN(ReferenceData!$N$409),"",ReferenceData!$N$409),"")</f>
        <v>1.112827104</v>
      </c>
      <c r="O409">
        <f ca="1">IFERROR(IF(0=LEN(ReferenceData!$O$409),"",ReferenceData!$O$409),"")</f>
        <v>1.1336330960000001</v>
      </c>
      <c r="P409">
        <f ca="1">IFERROR(IF(0=LEN(ReferenceData!$P$409),"",ReferenceData!$P$409),"")</f>
        <v>0.98756686299999996</v>
      </c>
      <c r="Q409">
        <f ca="1">IFERROR(IF(0=LEN(ReferenceData!$Q$409),"",ReferenceData!$Q$409),"")</f>
        <v>1.0000167719999999</v>
      </c>
      <c r="R409">
        <f ca="1">IFERROR(IF(0=LEN(ReferenceData!$R$409),"",ReferenceData!$R$409),"")</f>
        <v>1.0559377059999999</v>
      </c>
      <c r="S409">
        <f ca="1">IFERROR(IF(0=LEN(ReferenceData!$S$409),"",ReferenceData!$S$409),"")</f>
        <v>1.0460354919999999</v>
      </c>
      <c r="T409">
        <f ca="1">IFERROR(IF(0=LEN(ReferenceData!$T$409),"",ReferenceData!$T$409),"")</f>
        <v>1.0371255420000001</v>
      </c>
      <c r="U409">
        <f ca="1">IFERROR(IF(0=LEN(ReferenceData!$U$409),"",ReferenceData!$U$409),"")</f>
        <v>1.045084863</v>
      </c>
      <c r="V409">
        <f ca="1">IFERROR(IF(0=LEN(ReferenceData!$V$409),"",ReferenceData!$V$409),"")</f>
        <v>1.0427692690000001</v>
      </c>
      <c r="W409">
        <f ca="1">IFERROR(IF(0=LEN(ReferenceData!$W$409),"",ReferenceData!$W$409),"")</f>
        <v>1.020832913</v>
      </c>
      <c r="X409">
        <f ca="1">IFERROR(IF(0=LEN(ReferenceData!$X$409),"",ReferenceData!$X$409),"")</f>
        <v>1.001180784</v>
      </c>
      <c r="Y409">
        <f ca="1">IFERROR(IF(0=LEN(ReferenceData!$Y$409),"",ReferenceData!$Y$409),"")</f>
        <v>0.99250076399999998</v>
      </c>
      <c r="Z409">
        <f ca="1">IFERROR(IF(0=LEN(ReferenceData!$Z$409),"",ReferenceData!$Z$409),"")</f>
        <v>0.98251071999999995</v>
      </c>
      <c r="AA409">
        <f ca="1">IFERROR(IF(0=LEN(ReferenceData!$AA$409),"",ReferenceData!$AA$409),"")</f>
        <v>0.98709196700000001</v>
      </c>
      <c r="AB409">
        <f ca="1">IFERROR(IF(0=LEN(ReferenceData!$AB$409),"",ReferenceData!$AB$409),"")</f>
        <v>0.99174232100000004</v>
      </c>
      <c r="AC409">
        <f ca="1">IFERROR(IF(0=LEN(ReferenceData!$AC$409),"",ReferenceData!$AC$409),"")</f>
        <v>0.98831198600000003</v>
      </c>
      <c r="AD409">
        <f ca="1">IFERROR(IF(0=LEN(ReferenceData!$AD$409),"",ReferenceData!$AD$409),"")</f>
        <v>1.0552592329999999</v>
      </c>
      <c r="AE409">
        <f ca="1">IFERROR(IF(0=LEN(ReferenceData!$AE$409),"",ReferenceData!$AE$409),"")</f>
        <v>1.068445206</v>
      </c>
      <c r="AF409">
        <f ca="1">IFERROR(IF(0=LEN(ReferenceData!$AF$409),"",ReferenceData!$AF$409),"")</f>
        <v>1.1255469469999999</v>
      </c>
      <c r="AG409">
        <f ca="1">IFERROR(IF(0=LEN(ReferenceData!$AG$409),"",ReferenceData!$AG$409),"")</f>
        <v>1.0693109730000001</v>
      </c>
      <c r="AH409">
        <f ca="1">IFERROR(IF(0=LEN(ReferenceData!$AH$409),"",ReferenceData!$AH$409),"")</f>
        <v>1.031235573</v>
      </c>
      <c r="AI409">
        <f ca="1">IFERROR(IF(0=LEN(ReferenceData!$AI$409),"",ReferenceData!$AI$409),"")</f>
        <v>0.999940041</v>
      </c>
      <c r="AJ409">
        <f ca="1">IFERROR(IF(0=LEN(ReferenceData!$AJ$409),"",ReferenceData!$AJ$409),"")</f>
        <v>0.97940354600000001</v>
      </c>
      <c r="AK409">
        <f ca="1">IFERROR(IF(0=LEN(ReferenceData!$AK$409),"",ReferenceData!$AK$409),"")</f>
        <v>0.93906931000000005</v>
      </c>
      <c r="AL409">
        <f ca="1">IFERROR(IF(0=LEN(ReferenceData!$AL$409),"",ReferenceData!$AL$409),"")</f>
        <v>1.000952238</v>
      </c>
      <c r="AM409">
        <f ca="1">IFERROR(IF(0=LEN(ReferenceData!$AM$409),"",ReferenceData!$AM$409),"")</f>
        <v>0.98933493100000003</v>
      </c>
      <c r="AN409">
        <f ca="1">IFERROR(IF(0=LEN(ReferenceData!$AN$409),"",ReferenceData!$AN$409),"")</f>
        <v>0.97942596800000004</v>
      </c>
      <c r="AO409">
        <f ca="1">IFERROR(IF(0=LEN(ReferenceData!$AO$409),"",ReferenceData!$AO$409),"")</f>
        <v>2.7340749529999999</v>
      </c>
      <c r="AP409" t="str">
        <f ca="1">IFERROR(IF(0=LEN(ReferenceData!$AP$409),"",ReferenceData!$AP$409),"")</f>
        <v/>
      </c>
      <c r="AQ409" t="str">
        <f ca="1">IFERROR(IF(0=LEN(ReferenceData!$AQ$409),"",ReferenceData!$AQ$409),"")</f>
        <v/>
      </c>
      <c r="AR409" t="str">
        <f ca="1">IFERROR(IF(0=LEN(ReferenceData!$AR$409),"",ReferenceData!$AR$409),"")</f>
        <v/>
      </c>
      <c r="AS409" t="str">
        <f ca="1">IFERROR(IF(0=LEN(ReferenceData!$AS$409),"",ReferenceData!$AS$409),"")</f>
        <v/>
      </c>
      <c r="AT409" t="str">
        <f ca="1">IFERROR(IF(0=LEN(ReferenceData!$AT$409),"",ReferenceData!$AT$409),"")</f>
        <v/>
      </c>
      <c r="AU409" t="str">
        <f ca="1">IFERROR(IF(0=LEN(ReferenceData!$AU$409),"",ReferenceData!$AU$409),"")</f>
        <v/>
      </c>
      <c r="AV409" t="str">
        <f ca="1">IFERROR(IF(0=LEN(ReferenceData!$AV$409),"",ReferenceData!$AV$409),"")</f>
        <v/>
      </c>
      <c r="AW409" t="str">
        <f ca="1">IFERROR(IF(0=LEN(ReferenceData!$AW$409),"",ReferenceData!$AW$409),"")</f>
        <v/>
      </c>
      <c r="AX409" t="str">
        <f ca="1">IFERROR(IF(0=LEN(ReferenceData!$AX$409),"",ReferenceData!$AX$409),"")</f>
        <v/>
      </c>
      <c r="AY409" t="str">
        <f ca="1">IFERROR(IF(0=LEN(ReferenceData!$AY$409),"",ReferenceData!$AY$409),"")</f>
        <v/>
      </c>
      <c r="AZ409" t="str">
        <f ca="1">IFERROR(IF(0=LEN(ReferenceData!$AZ$409),"",ReferenceData!$AZ$409),"")</f>
        <v/>
      </c>
      <c r="BA409" t="str">
        <f ca="1">IFERROR(IF(0=LEN(ReferenceData!$BA$409),"",ReferenceData!$BA$409),"")</f>
        <v/>
      </c>
      <c r="BB409" t="str">
        <f ca="1">IFERROR(IF(0=LEN(ReferenceData!$BB$409),"",ReferenceData!$BB$409),"")</f>
        <v/>
      </c>
      <c r="BC409" t="str">
        <f ca="1">IFERROR(IF(0=LEN(ReferenceData!$BC$409),"",ReferenceData!$BC$409),"")</f>
        <v/>
      </c>
      <c r="BD409" t="str">
        <f ca="1">IFERROR(IF(0=LEN(ReferenceData!$BD$409),"",ReferenceData!$BD$409),"")</f>
        <v/>
      </c>
      <c r="BE409" t="str">
        <f ca="1">IFERROR(IF(0=LEN(ReferenceData!$BE$409),"",ReferenceData!$BE$409),"")</f>
        <v/>
      </c>
      <c r="BF409" t="str">
        <f ca="1">IFERROR(IF(0=LEN(ReferenceData!$BF$409),"",ReferenceData!$BF$409),"")</f>
        <v/>
      </c>
      <c r="BG409" t="str">
        <f ca="1">IFERROR(IF(0=LEN(ReferenceData!$BG$409),"",ReferenceData!$BG$409),"")</f>
        <v/>
      </c>
      <c r="BH409" t="str">
        <f ca="1">IFERROR(IF(0=LEN(ReferenceData!$BH$409),"",ReferenceData!$BH$409),"")</f>
        <v/>
      </c>
      <c r="BI409" t="str">
        <f ca="1">IFERROR(IF(0=LEN(ReferenceData!$BI$409),"",ReferenceData!$BI$409),"")</f>
        <v/>
      </c>
      <c r="BJ409" t="str">
        <f ca="1">IFERROR(IF(0=LEN(ReferenceData!$BJ$409),"",ReferenceData!$BJ$409),"")</f>
        <v/>
      </c>
      <c r="BK409" t="str">
        <f ca="1">IFERROR(IF(0=LEN(ReferenceData!$BK$409),"",ReferenceData!$BK$409),"")</f>
        <v/>
      </c>
      <c r="BL409" t="str">
        <f ca="1">IFERROR(IF(0=LEN(ReferenceData!$BL$409),"",ReferenceData!$BL$409),"")</f>
        <v/>
      </c>
      <c r="BM409" t="str">
        <f ca="1">IFERROR(IF(0=LEN(ReferenceData!$BM$409),"",ReferenceData!$BM$409),"")</f>
        <v/>
      </c>
    </row>
    <row r="410" spans="1:65" x14ac:dyDescent="0.25">
      <c r="A410" t="str">
        <f>IFERROR(IF(0=LEN(ReferenceData!$A$410),"",ReferenceData!$A$410),"")</f>
        <v xml:space="preserve">    Tianjin Faw Xiali Automobile Co Ltd</v>
      </c>
      <c r="B410" t="str">
        <f>IFERROR(IF(0=LEN(ReferenceData!$B$410),"",ReferenceData!$B$410),"")</f>
        <v>000927 CH Equity</v>
      </c>
      <c r="C410" t="str">
        <f>IFERROR(IF(0=LEN(ReferenceData!$C$410),"",ReferenceData!$C$410),"")</f>
        <v>RR480</v>
      </c>
      <c r="D410" t="str">
        <f>IFERROR(IF(0=LEN(ReferenceData!$D$410),"",ReferenceData!$D$410),"")</f>
        <v>EV_TO_MKT_CAP</v>
      </c>
      <c r="E410" t="str">
        <f>IFERROR(IF(0=LEN(ReferenceData!$E$410),"",ReferenceData!$E$410),"")</f>
        <v>Dynamic</v>
      </c>
      <c r="F410" t="str">
        <f ca="1">IFERROR(IF(0=LEN(ReferenceData!$F$410),"",ReferenceData!$F$410),"")</f>
        <v/>
      </c>
      <c r="G410" t="str">
        <f ca="1">IFERROR(IF(0=LEN(ReferenceData!$G$410),"",ReferenceData!$G$410),"")</f>
        <v/>
      </c>
      <c r="H410">
        <f ca="1">IFERROR(IF(0=LEN(ReferenceData!$H$410),"",ReferenceData!$H$410),"")</f>
        <v>1.423758455</v>
      </c>
      <c r="I410">
        <f ca="1">IFERROR(IF(0=LEN(ReferenceData!$I$410),"",ReferenceData!$I$410),"")</f>
        <v>1.4089266009999999</v>
      </c>
      <c r="J410">
        <f ca="1">IFERROR(IF(0=LEN(ReferenceData!$J$410),"",ReferenceData!$J$410),"")</f>
        <v>1.3045753849999999</v>
      </c>
      <c r="K410">
        <f ca="1">IFERROR(IF(0=LEN(ReferenceData!$K$410),"",ReferenceData!$K$410),"")</f>
        <v>1.3200011650000001</v>
      </c>
      <c r="L410">
        <f ca="1">IFERROR(IF(0=LEN(ReferenceData!$L$410),"",ReferenceData!$L$410),"")</f>
        <v>1.110604146</v>
      </c>
      <c r="M410">
        <f ca="1">IFERROR(IF(0=LEN(ReferenceData!$M$410),"",ReferenceData!$M$410),"")</f>
        <v>1.1035555180000001</v>
      </c>
      <c r="N410">
        <f ca="1">IFERROR(IF(0=LEN(ReferenceData!$N$410),"",ReferenceData!$N$410),"")</f>
        <v>1.003658224</v>
      </c>
      <c r="O410">
        <f ca="1">IFERROR(IF(0=LEN(ReferenceData!$O$410),"",ReferenceData!$O$410),"")</f>
        <v>1.0253925100000001</v>
      </c>
      <c r="P410">
        <f ca="1">IFERROR(IF(0=LEN(ReferenceData!$P$410),"",ReferenceData!$P$410),"")</f>
        <v>0.87673707499999998</v>
      </c>
      <c r="Q410">
        <f ca="1">IFERROR(IF(0=LEN(ReferenceData!$Q$410),"",ReferenceData!$Q$410),"")</f>
        <v>1.2008657890000001</v>
      </c>
      <c r="R410">
        <f ca="1">IFERROR(IF(0=LEN(ReferenceData!$R$410),"",ReferenceData!$R$410),"")</f>
        <v>1.1397890390000001</v>
      </c>
      <c r="S410">
        <f ca="1">IFERROR(IF(0=LEN(ReferenceData!$S$410),"",ReferenceData!$S$410),"")</f>
        <v>1.0739367609999999</v>
      </c>
      <c r="T410">
        <f ca="1">IFERROR(IF(0=LEN(ReferenceData!$T$410),"",ReferenceData!$T$410),"")</f>
        <v>1.3334220569999999</v>
      </c>
      <c r="U410">
        <f ca="1">IFERROR(IF(0=LEN(ReferenceData!$U$410),"",ReferenceData!$U$410),"")</f>
        <v>1.179371918</v>
      </c>
      <c r="V410">
        <f ca="1">IFERROR(IF(0=LEN(ReferenceData!$V$410),"",ReferenceData!$V$410),"")</f>
        <v>1.184210253</v>
      </c>
      <c r="W410">
        <f ca="1">IFERROR(IF(0=LEN(ReferenceData!$W$410),"",ReferenceData!$W$410),"")</f>
        <v>1.2404121910000001</v>
      </c>
      <c r="X410">
        <f ca="1">IFERROR(IF(0=LEN(ReferenceData!$X$410),"",ReferenceData!$X$410),"")</f>
        <v>1.2960709340000001</v>
      </c>
      <c r="Y410">
        <f ca="1">IFERROR(IF(0=LEN(ReferenceData!$Y$410),"",ReferenceData!$Y$410),"")</f>
        <v>1.330010761</v>
      </c>
      <c r="Z410">
        <f ca="1">IFERROR(IF(0=LEN(ReferenceData!$Z$410),"",ReferenceData!$Z$410),"")</f>
        <v>1.396097932</v>
      </c>
      <c r="AA410">
        <f ca="1">IFERROR(IF(0=LEN(ReferenceData!$AA$410),"",ReferenceData!$AA$410),"")</f>
        <v>1.3470868069999999</v>
      </c>
      <c r="AB410">
        <f ca="1">IFERROR(IF(0=LEN(ReferenceData!$AB$410),"",ReferenceData!$AB$410),"")</f>
        <v>1.2843879600000001</v>
      </c>
      <c r="AC410">
        <f ca="1">IFERROR(IF(0=LEN(ReferenceData!$AC$410),"",ReferenceData!$AC$410),"")</f>
        <v>1.1464333200000001</v>
      </c>
      <c r="AD410">
        <f ca="1">IFERROR(IF(0=LEN(ReferenceData!$AD$410),"",ReferenceData!$AD$410),"")</f>
        <v>1.2273282679999999</v>
      </c>
      <c r="AE410">
        <f ca="1">IFERROR(IF(0=LEN(ReferenceData!$AE$410),"",ReferenceData!$AE$410),"")</f>
        <v>1.177398443</v>
      </c>
      <c r="AF410">
        <f ca="1">IFERROR(IF(0=LEN(ReferenceData!$AF$410),"",ReferenceData!$AF$410),"")</f>
        <v>1.182573396</v>
      </c>
      <c r="AG410">
        <f ca="1">IFERROR(IF(0=LEN(ReferenceData!$AG$410),"",ReferenceData!$AG$410),"")</f>
        <v>1.053790078</v>
      </c>
      <c r="AH410">
        <f ca="1">IFERROR(IF(0=LEN(ReferenceData!$AH$410),"",ReferenceData!$AH$410),"")</f>
        <v>1.135690834</v>
      </c>
      <c r="AI410">
        <f ca="1">IFERROR(IF(0=LEN(ReferenceData!$AI$410),"",ReferenceData!$AI$410),"")</f>
        <v>1.081684673</v>
      </c>
      <c r="AJ410">
        <f ca="1">IFERROR(IF(0=LEN(ReferenceData!$AJ$410),"",ReferenceData!$AJ$410),"")</f>
        <v>1.036284725</v>
      </c>
      <c r="AK410">
        <f ca="1">IFERROR(IF(0=LEN(ReferenceData!$AK$410),"",ReferenceData!$AK$410),"")</f>
        <v>0.936461353</v>
      </c>
      <c r="AL410">
        <f ca="1">IFERROR(IF(0=LEN(ReferenceData!$AL$410),"",ReferenceData!$AL$410),"")</f>
        <v>1.0218845400000001</v>
      </c>
      <c r="AM410">
        <f ca="1">IFERROR(IF(0=LEN(ReferenceData!$AM$410),"",ReferenceData!$AM$410),"")</f>
        <v>1.0063760850000001</v>
      </c>
      <c r="AN410">
        <f ca="1">IFERROR(IF(0=LEN(ReferenceData!$AN$410),"",ReferenceData!$AN$410),"")</f>
        <v>1.0058261580000001</v>
      </c>
      <c r="AO410">
        <f ca="1">IFERROR(IF(0=LEN(ReferenceData!$AO$410),"",ReferenceData!$AO$410),"")</f>
        <v>0.999234438</v>
      </c>
      <c r="AP410">
        <f ca="1">IFERROR(IF(0=LEN(ReferenceData!$AP$410),"",ReferenceData!$AP$410),"")</f>
        <v>1.024374833</v>
      </c>
      <c r="AQ410">
        <f ca="1">IFERROR(IF(0=LEN(ReferenceData!$AQ$410),"",ReferenceData!$AQ$410),"")</f>
        <v>1.0130891200000001</v>
      </c>
      <c r="AR410">
        <f ca="1">IFERROR(IF(0=LEN(ReferenceData!$AR$410),"",ReferenceData!$AR$410),"")</f>
        <v>1.0502730979999999</v>
      </c>
      <c r="AS410">
        <f ca="1">IFERROR(IF(0=LEN(ReferenceData!$AS$410),"",ReferenceData!$AS$410),"")</f>
        <v>1.03416281</v>
      </c>
      <c r="AT410">
        <f ca="1">IFERROR(IF(0=LEN(ReferenceData!$AT$410),"",ReferenceData!$AT$410),"")</f>
        <v>1.0987174070000001</v>
      </c>
      <c r="AU410">
        <f ca="1">IFERROR(IF(0=LEN(ReferenceData!$AU$410),"",ReferenceData!$AU$410),"")</f>
        <v>1.1331758240000001</v>
      </c>
      <c r="AV410">
        <f ca="1">IFERROR(IF(0=LEN(ReferenceData!$AV$410),"",ReferenceData!$AV$410),"")</f>
        <v>1.149508373</v>
      </c>
      <c r="AW410">
        <f ca="1">IFERROR(IF(0=LEN(ReferenceData!$AW$410),"",ReferenceData!$AW$410),"")</f>
        <v>0.99223820699999998</v>
      </c>
      <c r="AX410">
        <f ca="1">IFERROR(IF(0=LEN(ReferenceData!$AX$410),"",ReferenceData!$AX$410),"")</f>
        <v>1.0114184930000001</v>
      </c>
      <c r="AY410">
        <f ca="1">IFERROR(IF(0=LEN(ReferenceData!$AY$410),"",ReferenceData!$AY$410),"")</f>
        <v>1.0023765979999999</v>
      </c>
      <c r="AZ410">
        <f ca="1">IFERROR(IF(0=LEN(ReferenceData!$AZ$410),"",ReferenceData!$AZ$410),"")</f>
        <v>1.022222663</v>
      </c>
      <c r="BA410">
        <f ca="1">IFERROR(IF(0=LEN(ReferenceData!$BA$410),"",ReferenceData!$BA$410),"")</f>
        <v>1.014584259</v>
      </c>
      <c r="BB410">
        <f ca="1">IFERROR(IF(0=LEN(ReferenceData!$BB$410),"",ReferenceData!$BB$410),"")</f>
        <v>1.0190606529999999</v>
      </c>
      <c r="BC410">
        <f ca="1">IFERROR(IF(0=LEN(ReferenceData!$BC$410),"",ReferenceData!$BC$410),"")</f>
        <v>1.0373125270000001</v>
      </c>
      <c r="BD410">
        <f ca="1">IFERROR(IF(0=LEN(ReferenceData!$BD$410),"",ReferenceData!$BD$410),"")</f>
        <v>1.0793510319999999</v>
      </c>
      <c r="BE410">
        <f ca="1">IFERROR(IF(0=LEN(ReferenceData!$BE$410),"",ReferenceData!$BE$410),"")</f>
        <v>1.082864319</v>
      </c>
      <c r="BF410">
        <f ca="1">IFERROR(IF(0=LEN(ReferenceData!$BF$410),"",ReferenceData!$BF$410),"")</f>
        <v>1.192540701</v>
      </c>
      <c r="BG410">
        <f ca="1">IFERROR(IF(0=LEN(ReferenceData!$BG$410),"",ReferenceData!$BG$410),"")</f>
        <v>1.298011002</v>
      </c>
      <c r="BH410">
        <f ca="1">IFERROR(IF(0=LEN(ReferenceData!$BH$410),"",ReferenceData!$BH$410),"")</f>
        <v>1.316471159</v>
      </c>
      <c r="BI410">
        <f ca="1">IFERROR(IF(0=LEN(ReferenceData!$BI$410),"",ReferenceData!$BI$410),"")</f>
        <v>1.4762665939999999</v>
      </c>
      <c r="BJ410">
        <f ca="1">IFERROR(IF(0=LEN(ReferenceData!$BJ$410),"",ReferenceData!$BJ$410),"")</f>
        <v>1.6886844320000001</v>
      </c>
      <c r="BK410">
        <f ca="1">IFERROR(IF(0=LEN(ReferenceData!$BK$410),"",ReferenceData!$BK$410),"")</f>
        <v>1.643125993</v>
      </c>
      <c r="BL410">
        <f ca="1">IFERROR(IF(0=LEN(ReferenceData!$BL$410),"",ReferenceData!$BL$410),"")</f>
        <v>1.407083868</v>
      </c>
      <c r="BM410">
        <f ca="1">IFERROR(IF(0=LEN(ReferenceData!$BM$410),"",ReferenceData!$BM$410),"")</f>
        <v>1.2754706790000001</v>
      </c>
    </row>
    <row r="411" spans="1:65" x14ac:dyDescent="0.25">
      <c r="A411" t="str">
        <f>IFERROR(IF(0=LEN(ReferenceData!$A$411),"",ReferenceData!$A$411),"")</f>
        <v xml:space="preserve">    Tofas Turk Otomobil Fabrikasi AS</v>
      </c>
      <c r="B411" t="str">
        <f>IFERROR(IF(0=LEN(ReferenceData!$B$411),"",ReferenceData!$B$411),"")</f>
        <v>TOASOTRY EO Equity</v>
      </c>
      <c r="C411" t="str">
        <f>IFERROR(IF(0=LEN(ReferenceData!$C$411),"",ReferenceData!$C$411),"")</f>
        <v>RR480</v>
      </c>
      <c r="D411" t="str">
        <f>IFERROR(IF(0=LEN(ReferenceData!$D$411),"",ReferenceData!$D$411),"")</f>
        <v>EV_TO_MKT_CAP</v>
      </c>
      <c r="E411" t="str">
        <f>IFERROR(IF(0=LEN(ReferenceData!$E$411),"",ReferenceData!$E$411),"")</f>
        <v>Dynamic</v>
      </c>
      <c r="F411" t="str">
        <f ca="1">IFERROR(IF(0=LEN(ReferenceData!$F$411),"",ReferenceData!$F$411),"")</f>
        <v/>
      </c>
      <c r="G411">
        <f ca="1">IFERROR(IF(0=LEN(ReferenceData!$G$411),"",ReferenceData!$G$411),"")</f>
        <v>1.3605763310000001</v>
      </c>
      <c r="H411">
        <f ca="1">IFERROR(IF(0=LEN(ReferenceData!$H$411),"",ReferenceData!$H$411),"")</f>
        <v>1.3850529469999999</v>
      </c>
      <c r="I411">
        <f ca="1">IFERROR(IF(0=LEN(ReferenceData!$I$411),"",ReferenceData!$I$411),"")</f>
        <v>1.2350728179999999</v>
      </c>
      <c r="J411">
        <f ca="1">IFERROR(IF(0=LEN(ReferenceData!$J$411),"",ReferenceData!$J$411),"")</f>
        <v>1.2061644970000001</v>
      </c>
      <c r="K411">
        <f ca="1">IFERROR(IF(0=LEN(ReferenceData!$K$411),"",ReferenceData!$K$411),"")</f>
        <v>1.1557491820000001</v>
      </c>
      <c r="L411">
        <f ca="1">IFERROR(IF(0=LEN(ReferenceData!$L$411),"",ReferenceData!$L$411),"")</f>
        <v>1.1725652200000001</v>
      </c>
      <c r="M411">
        <f ca="1">IFERROR(IF(0=LEN(ReferenceData!$M$411),"",ReferenceData!$M$411),"")</f>
        <v>1.1846856750000001</v>
      </c>
      <c r="N411">
        <f ca="1">IFERROR(IF(0=LEN(ReferenceData!$N$411),"",ReferenceData!$N$411),"")</f>
        <v>1.1594849380000001</v>
      </c>
      <c r="O411">
        <f ca="1">IFERROR(IF(0=LEN(ReferenceData!$O$411),"",ReferenceData!$O$411),"")</f>
        <v>1.213702192</v>
      </c>
      <c r="P411">
        <f ca="1">IFERROR(IF(0=LEN(ReferenceData!$P$411),"",ReferenceData!$P$411),"")</f>
        <v>1.292794247</v>
      </c>
      <c r="Q411">
        <f ca="1">IFERROR(IF(0=LEN(ReferenceData!$Q$411),"",ReferenceData!$Q$411),"")</f>
        <v>1.2711362939999999</v>
      </c>
      <c r="R411">
        <f ca="1">IFERROR(IF(0=LEN(ReferenceData!$R$411),"",ReferenceData!$R$411),"")</f>
        <v>1.2187315839999999</v>
      </c>
      <c r="S411">
        <f ca="1">IFERROR(IF(0=LEN(ReferenceData!$S$411),"",ReferenceData!$S$411),"")</f>
        <v>1.2026179420000001</v>
      </c>
      <c r="T411">
        <f ca="1">IFERROR(IF(0=LEN(ReferenceData!$T$411),"",ReferenceData!$T$411),"")</f>
        <v>1.1961224509999999</v>
      </c>
      <c r="U411">
        <f ca="1">IFERROR(IF(0=LEN(ReferenceData!$U$411),"",ReferenceData!$U$411),"")</f>
        <v>1.1724256829999999</v>
      </c>
      <c r="V411">
        <f ca="1">IFERROR(IF(0=LEN(ReferenceData!$V$411),"",ReferenceData!$V$411),"")</f>
        <v>1.1636497779999999</v>
      </c>
      <c r="W411">
        <f ca="1">IFERROR(IF(0=LEN(ReferenceData!$W$411),"",ReferenceData!$W$411),"")</f>
        <v>1.1107021939999999</v>
      </c>
      <c r="X411">
        <f ca="1">IFERROR(IF(0=LEN(ReferenceData!$X$411),"",ReferenceData!$X$411),"")</f>
        <v>1.079141562</v>
      </c>
      <c r="Y411">
        <f ca="1">IFERROR(IF(0=LEN(ReferenceData!$Y$411),"",ReferenceData!$Y$411),"")</f>
        <v>1.084761825</v>
      </c>
      <c r="Z411">
        <f ca="1">IFERROR(IF(0=LEN(ReferenceData!$Z$411),"",ReferenceData!$Z$411),"")</f>
        <v>1.1140541559999999</v>
      </c>
      <c r="AA411">
        <f ca="1">IFERROR(IF(0=LEN(ReferenceData!$AA$411),"",ReferenceData!$AA$411),"")</f>
        <v>1.0802143280000001</v>
      </c>
      <c r="AB411">
        <f ca="1">IFERROR(IF(0=LEN(ReferenceData!$AB$411),"",ReferenceData!$AB$411),"")</f>
        <v>1.066825366</v>
      </c>
      <c r="AC411">
        <f ca="1">IFERROR(IF(0=LEN(ReferenceData!$AC$411),"",ReferenceData!$AC$411),"")</f>
        <v>1.0544082990000001</v>
      </c>
      <c r="AD411">
        <f ca="1">IFERROR(IF(0=LEN(ReferenceData!$AD$411),"",ReferenceData!$AD$411),"")</f>
        <v>1.0729439080000001</v>
      </c>
      <c r="AE411">
        <f ca="1">IFERROR(IF(0=LEN(ReferenceData!$AE$411),"",ReferenceData!$AE$411),"")</f>
        <v>1.1240599040000001</v>
      </c>
      <c r="AF411">
        <f ca="1">IFERROR(IF(0=LEN(ReferenceData!$AF$411),"",ReferenceData!$AF$411),"")</f>
        <v>1.1769982379999999</v>
      </c>
      <c r="AG411">
        <f ca="1">IFERROR(IF(0=LEN(ReferenceData!$AG$411),"",ReferenceData!$AG$411),"")</f>
        <v>1.1961211890000001</v>
      </c>
      <c r="AH411">
        <f ca="1">IFERROR(IF(0=LEN(ReferenceData!$AH$411),"",ReferenceData!$AH$411),"")</f>
        <v>1.2782314960000001</v>
      </c>
      <c r="AI411">
        <f ca="1">IFERROR(IF(0=LEN(ReferenceData!$AI$411),"",ReferenceData!$AI$411),"")</f>
        <v>1.383798986</v>
      </c>
      <c r="AJ411">
        <f ca="1">IFERROR(IF(0=LEN(ReferenceData!$AJ$411),"",ReferenceData!$AJ$411),"")</f>
        <v>1.344371084</v>
      </c>
      <c r="AK411">
        <f ca="1">IFERROR(IF(0=LEN(ReferenceData!$AK$411),"",ReferenceData!$AK$411),"")</f>
        <v>1.2351194590000001</v>
      </c>
      <c r="AL411">
        <f ca="1">IFERROR(IF(0=LEN(ReferenceData!$AL$411),"",ReferenceData!$AL$411),"")</f>
        <v>1.1327096329999999</v>
      </c>
      <c r="AM411">
        <f ca="1">IFERROR(IF(0=LEN(ReferenceData!$AM$411),"",ReferenceData!$AM$411),"")</f>
        <v>1.1647567839999999</v>
      </c>
      <c r="AN411">
        <f ca="1">IFERROR(IF(0=LEN(ReferenceData!$AN$411),"",ReferenceData!$AN$411),"")</f>
        <v>1.191549333</v>
      </c>
      <c r="AO411">
        <f ca="1">IFERROR(IF(0=LEN(ReferenceData!$AO$411),"",ReferenceData!$AO$411),"")</f>
        <v>1.2336781480000001</v>
      </c>
      <c r="AP411">
        <f ca="1">IFERROR(IF(0=LEN(ReferenceData!$AP$411),"",ReferenceData!$AP$411),"")</f>
        <v>1.213433684</v>
      </c>
      <c r="AQ411">
        <f ca="1">IFERROR(IF(0=LEN(ReferenceData!$AQ$411),"",ReferenceData!$AQ$411),"")</f>
        <v>1.339905508</v>
      </c>
      <c r="AR411">
        <f ca="1">IFERROR(IF(0=LEN(ReferenceData!$AR$411),"",ReferenceData!$AR$411),"")</f>
        <v>1.4712889950000001</v>
      </c>
      <c r="AS411">
        <f ca="1">IFERROR(IF(0=LEN(ReferenceData!$AS$411),"",ReferenceData!$AS$411),"")</f>
        <v>1.6521444439999999</v>
      </c>
      <c r="AT411">
        <f ca="1">IFERROR(IF(0=LEN(ReferenceData!$AT$411),"",ReferenceData!$AT$411),"")</f>
        <v>2.6434342470000001</v>
      </c>
      <c r="AU411">
        <f ca="1">IFERROR(IF(0=LEN(ReferenceData!$AU$411),"",ReferenceData!$AU$411),"")</f>
        <v>3.1264069569999999</v>
      </c>
      <c r="AV411">
        <f ca="1">IFERROR(IF(0=LEN(ReferenceData!$AV$411),"",ReferenceData!$AV$411),"")</f>
        <v>1.6242186759999999</v>
      </c>
      <c r="AW411">
        <f ca="1">IFERROR(IF(0=LEN(ReferenceData!$AW$411),"",ReferenceData!$AW$411),"")</f>
        <v>1.343687638</v>
      </c>
      <c r="AX411">
        <f ca="1">IFERROR(IF(0=LEN(ReferenceData!$AX$411),"",ReferenceData!$AX$411),"")</f>
        <v>1.270998606</v>
      </c>
      <c r="AY411">
        <f ca="1">IFERROR(IF(0=LEN(ReferenceData!$AY$411),"",ReferenceData!$AY$411),"")</f>
        <v>1.1307239120000001</v>
      </c>
      <c r="AZ411">
        <f ca="1">IFERROR(IF(0=LEN(ReferenceData!$AZ$411),"",ReferenceData!$AZ$411),"")</f>
        <v>1.0986128930000001</v>
      </c>
      <c r="BA411">
        <f ca="1">IFERROR(IF(0=LEN(ReferenceData!$BA$411),"",ReferenceData!$BA$411),"")</f>
        <v>1.0547896059999999</v>
      </c>
      <c r="BB411">
        <f ca="1">IFERROR(IF(0=LEN(ReferenceData!$BB$411),"",ReferenceData!$BB$411),"")</f>
        <v>1.0190811319999999</v>
      </c>
      <c r="BC411">
        <f ca="1">IFERROR(IF(0=LEN(ReferenceData!$BC$411),"",ReferenceData!$BC$411),"")</f>
        <v>0.97101795899999999</v>
      </c>
      <c r="BD411">
        <f ca="1">IFERROR(IF(0=LEN(ReferenceData!$BD$411),"",ReferenceData!$BD$411),"")</f>
        <v>0.92258817699999995</v>
      </c>
      <c r="BE411">
        <f ca="1">IFERROR(IF(0=LEN(ReferenceData!$BE$411),"",ReferenceData!$BE$411),"")</f>
        <v>0.87580290299999997</v>
      </c>
      <c r="BF411">
        <f ca="1">IFERROR(IF(0=LEN(ReferenceData!$BF$411),"",ReferenceData!$BF$411),"")</f>
        <v>0.85513193099999996</v>
      </c>
      <c r="BG411">
        <f ca="1">IFERROR(IF(0=LEN(ReferenceData!$BG$411),"",ReferenceData!$BG$411),"")</f>
        <v>0.83974364700000004</v>
      </c>
      <c r="BH411">
        <f ca="1">IFERROR(IF(0=LEN(ReferenceData!$BH$411),"",ReferenceData!$BH$411),"")</f>
        <v>0.74835822100000005</v>
      </c>
      <c r="BI411">
        <f ca="1">IFERROR(IF(0=LEN(ReferenceData!$BI$411),"",ReferenceData!$BI$411),"")</f>
        <v>0.76133136999999995</v>
      </c>
      <c r="BJ411">
        <f ca="1">IFERROR(IF(0=LEN(ReferenceData!$BJ$411),"",ReferenceData!$BJ$411),"")</f>
        <v>0.94230769800000003</v>
      </c>
      <c r="BK411">
        <f ca="1">IFERROR(IF(0=LEN(ReferenceData!$BK$411),"",ReferenceData!$BK$411),"")</f>
        <v>0.83237510000000003</v>
      </c>
      <c r="BL411">
        <f ca="1">IFERROR(IF(0=LEN(ReferenceData!$BL$411),"",ReferenceData!$BL$411),"")</f>
        <v>0.99294568900000002</v>
      </c>
      <c r="BM411">
        <f ca="1">IFERROR(IF(0=LEN(ReferenceData!$BM$411),"",ReferenceData!$BM$411),"")</f>
        <v>0.98791547499999999</v>
      </c>
    </row>
    <row r="412" spans="1:65" x14ac:dyDescent="0.25">
      <c r="A412" t="str">
        <f>IFERROR(IF(0=LEN(ReferenceData!$A$412),"",ReferenceData!$A$412),"")</f>
        <v xml:space="preserve">    Toyota Motor Corp</v>
      </c>
      <c r="B412" t="str">
        <f>IFERROR(IF(0=LEN(ReferenceData!$B$412),"",ReferenceData!$B$412),"")</f>
        <v>7203 JP Equity</v>
      </c>
      <c r="C412" t="str">
        <f>IFERROR(IF(0=LEN(ReferenceData!$C$412),"",ReferenceData!$C$412),"")</f>
        <v>RR480</v>
      </c>
      <c r="D412" t="str">
        <f>IFERROR(IF(0=LEN(ReferenceData!$D$412),"",ReferenceData!$D$412),"")</f>
        <v>EV_TO_MKT_CAP</v>
      </c>
      <c r="E412" t="str">
        <f>IFERROR(IF(0=LEN(ReferenceData!$E$412),"",ReferenceData!$E$412),"")</f>
        <v>Dynamic</v>
      </c>
      <c r="F412" t="str">
        <f ca="1">IFERROR(IF(0=LEN(ReferenceData!$F$412),"",ReferenceData!$F$412),"")</f>
        <v/>
      </c>
      <c r="G412">
        <f ca="1">IFERROR(IF(0=LEN(ReferenceData!$G$412),"",ReferenceData!$G$412),"")</f>
        <v>1.8854644</v>
      </c>
      <c r="H412">
        <f ca="1">IFERROR(IF(0=LEN(ReferenceData!$H$412),"",ReferenceData!$H$412),"")</f>
        <v>1.7964348859999999</v>
      </c>
      <c r="I412">
        <f ca="1">IFERROR(IF(0=LEN(ReferenceData!$I$412),"",ReferenceData!$I$412),"")</f>
        <v>1.7652547190000001</v>
      </c>
      <c r="J412">
        <f ca="1">IFERROR(IF(0=LEN(ReferenceData!$J$412),"",ReferenceData!$J$412),"")</f>
        <v>1.7460930729999999</v>
      </c>
      <c r="K412">
        <f ca="1">IFERROR(IF(0=LEN(ReferenceData!$K$412),"",ReferenceData!$K$412),"")</f>
        <v>1.7430216670000001</v>
      </c>
      <c r="L412">
        <f ca="1">IFERROR(IF(0=LEN(ReferenceData!$L$412),"",ReferenceData!$L$412),"")</f>
        <v>1.769950556</v>
      </c>
      <c r="M412">
        <f ca="1">IFERROR(IF(0=LEN(ReferenceData!$M$412),"",ReferenceData!$M$412),"")</f>
        <v>1.844293014</v>
      </c>
      <c r="N412">
        <f ca="1">IFERROR(IF(0=LEN(ReferenceData!$N$412),"",ReferenceData!$N$412),"")</f>
        <v>1.8030138579999999</v>
      </c>
      <c r="O412">
        <f ca="1">IFERROR(IF(0=LEN(ReferenceData!$O$412),"",ReferenceData!$O$412),"")</f>
        <v>1.744319486</v>
      </c>
      <c r="P412">
        <f ca="1">IFERROR(IF(0=LEN(ReferenceData!$P$412),"",ReferenceData!$P$412),"")</f>
        <v>1.7290455</v>
      </c>
      <c r="Q412">
        <f ca="1">IFERROR(IF(0=LEN(ReferenceData!$Q$412),"",ReferenceData!$Q$412),"")</f>
        <v>1.8181032859999999</v>
      </c>
      <c r="R412">
        <f ca="1">IFERROR(IF(0=LEN(ReferenceData!$R$412),"",ReferenceData!$R$412),"")</f>
        <v>1.782707923</v>
      </c>
      <c r="S412">
        <f ca="1">IFERROR(IF(0=LEN(ReferenceData!$S$412),"",ReferenceData!$S$412),"")</f>
        <v>1.6823934519999999</v>
      </c>
      <c r="T412">
        <f ca="1">IFERROR(IF(0=LEN(ReferenceData!$T$412),"",ReferenceData!$T$412),"")</f>
        <v>1.70190018</v>
      </c>
      <c r="U412">
        <f ca="1">IFERROR(IF(0=LEN(ReferenceData!$U$412),"",ReferenceData!$U$412),"")</f>
        <v>1.6054499</v>
      </c>
      <c r="V412">
        <f ca="1">IFERROR(IF(0=LEN(ReferenceData!$V$412),"",ReferenceData!$V$412),"")</f>
        <v>1.5542551600000001</v>
      </c>
      <c r="W412">
        <f ca="1">IFERROR(IF(0=LEN(ReferenceData!$W$412),"",ReferenceData!$W$412),"")</f>
        <v>1.6528769969999999</v>
      </c>
      <c r="X412">
        <f ca="1">IFERROR(IF(0=LEN(ReferenceData!$X$412),"",ReferenceData!$X$412),"")</f>
        <v>1.673950534</v>
      </c>
      <c r="Y412">
        <f ca="1">IFERROR(IF(0=LEN(ReferenceData!$Y$412),"",ReferenceData!$Y$412),"")</f>
        <v>1.667082537</v>
      </c>
      <c r="Z412">
        <f ca="1">IFERROR(IF(0=LEN(ReferenceData!$Z$412),"",ReferenceData!$Z$412),"")</f>
        <v>1.6936123169999999</v>
      </c>
      <c r="AA412">
        <f ca="1">IFERROR(IF(0=LEN(ReferenceData!$AA$412),"",ReferenceData!$AA$412),"")</f>
        <v>1.6621711180000001</v>
      </c>
      <c r="AB412">
        <f ca="1">IFERROR(IF(0=LEN(ReferenceData!$AB$412),"",ReferenceData!$AB$412),"")</f>
        <v>1.602376738</v>
      </c>
      <c r="AC412">
        <f ca="1">IFERROR(IF(0=LEN(ReferenceData!$AC$412),"",ReferenceData!$AC$412),"")</f>
        <v>1.6182976549999999</v>
      </c>
      <c r="AD412">
        <f ca="1">IFERROR(IF(0=LEN(ReferenceData!$AD$412),"",ReferenceData!$AD$412),"")</f>
        <v>1.746145327</v>
      </c>
      <c r="AE412">
        <f ca="1">IFERROR(IF(0=LEN(ReferenceData!$AE$412),"",ReferenceData!$AE$412),"")</f>
        <v>1.8421651990000001</v>
      </c>
      <c r="AF412">
        <f ca="1">IFERROR(IF(0=LEN(ReferenceData!$AF$412),"",ReferenceData!$AF$412),"")</f>
        <v>1.954279485</v>
      </c>
      <c r="AG412">
        <f ca="1">IFERROR(IF(0=LEN(ReferenceData!$AG$412),"",ReferenceData!$AG$412),"")</f>
        <v>1.9092616650000001</v>
      </c>
      <c r="AH412">
        <f ca="1">IFERROR(IF(0=LEN(ReferenceData!$AH$412),"",ReferenceData!$AH$412),"")</f>
        <v>1.8474797300000001</v>
      </c>
      <c r="AI412">
        <f ca="1">IFERROR(IF(0=LEN(ReferenceData!$AI$412),"",ReferenceData!$AI$412),"")</f>
        <v>2.161942732</v>
      </c>
      <c r="AJ412">
        <f ca="1">IFERROR(IF(0=LEN(ReferenceData!$AJ$412),"",ReferenceData!$AJ$412),"")</f>
        <v>2.0561118469999999</v>
      </c>
      <c r="AK412">
        <f ca="1">IFERROR(IF(0=LEN(ReferenceData!$AK$412),"",ReferenceData!$AK$412),"")</f>
        <v>1.8974747729999999</v>
      </c>
      <c r="AL412">
        <f ca="1">IFERROR(IF(0=LEN(ReferenceData!$AL$412),"",ReferenceData!$AL$412),"")</f>
        <v>1.902337884</v>
      </c>
      <c r="AM412">
        <f ca="1">IFERROR(IF(0=LEN(ReferenceData!$AM$412),"",ReferenceData!$AM$412),"")</f>
        <v>1.9009129760000001</v>
      </c>
      <c r="AN412">
        <f ca="1">IFERROR(IF(0=LEN(ReferenceData!$AN$412),"",ReferenceData!$AN$412),"")</f>
        <v>1.9267464700000001</v>
      </c>
      <c r="AO412">
        <f ca="1">IFERROR(IF(0=LEN(ReferenceData!$AO$412),"",ReferenceData!$AO$412),"")</f>
        <v>1.910344821</v>
      </c>
      <c r="AP412">
        <f ca="1">IFERROR(IF(0=LEN(ReferenceData!$AP$412),"",ReferenceData!$AP$412),"")</f>
        <v>1.769095648</v>
      </c>
      <c r="AQ412">
        <f ca="1">IFERROR(IF(0=LEN(ReferenceData!$AQ$412),"",ReferenceData!$AQ$412),"")</f>
        <v>1.758946195</v>
      </c>
      <c r="AR412">
        <f ca="1">IFERROR(IF(0=LEN(ReferenceData!$AR$412),"",ReferenceData!$AR$412),"")</f>
        <v>1.8004035540000001</v>
      </c>
      <c r="AS412">
        <f ca="1">IFERROR(IF(0=LEN(ReferenceData!$AS$412),"",ReferenceData!$AS$412),"")</f>
        <v>1.8742571189999999</v>
      </c>
      <c r="AT412">
        <f ca="1">IFERROR(IF(0=LEN(ReferenceData!$AT$412),"",ReferenceData!$AT$412),"")</f>
        <v>2.0398046889999999</v>
      </c>
      <c r="AU412">
        <f ca="1">IFERROR(IF(0=LEN(ReferenceData!$AU$412),"",ReferenceData!$AU$412),"")</f>
        <v>2.1343562230000002</v>
      </c>
      <c r="AV412">
        <f ca="1">IFERROR(IF(0=LEN(ReferenceData!$AV$412),"",ReferenceData!$AV$412),"")</f>
        <v>1.7912873359999999</v>
      </c>
      <c r="AW412">
        <f ca="1">IFERROR(IF(0=LEN(ReferenceData!$AW$412),"",ReferenceData!$AW$412),"")</f>
        <v>1.7306426340000001</v>
      </c>
      <c r="AX412">
        <f ca="1">IFERROR(IF(0=LEN(ReferenceData!$AX$412),"",ReferenceData!$AX$412),"")</f>
        <v>1.6747555199999999</v>
      </c>
      <c r="AY412">
        <f ca="1">IFERROR(IF(0=LEN(ReferenceData!$AY$412),"",ReferenceData!$AY$412),"")</f>
        <v>1.612346614</v>
      </c>
      <c r="AZ412">
        <f ca="1">IFERROR(IF(0=LEN(ReferenceData!$AZ$412),"",ReferenceData!$AZ$412),"")</f>
        <v>1.5084444770000001</v>
      </c>
      <c r="BA412">
        <f ca="1">IFERROR(IF(0=LEN(ReferenceData!$BA$412),"",ReferenceData!$BA$412),"")</f>
        <v>1.447256737</v>
      </c>
      <c r="BB412">
        <f ca="1">IFERROR(IF(0=LEN(ReferenceData!$BB$412),"",ReferenceData!$BB$412),"")</f>
        <v>1.271902678</v>
      </c>
      <c r="BC412">
        <f ca="1">IFERROR(IF(0=LEN(ReferenceData!$BC$412),"",ReferenceData!$BC$412),"")</f>
        <v>1.414732581</v>
      </c>
      <c r="BD412">
        <f ca="1">IFERROR(IF(0=LEN(ReferenceData!$BD$412),"",ReferenceData!$BD$412),"")</f>
        <v>1.46275792</v>
      </c>
      <c r="BE412">
        <f ca="1">IFERROR(IF(0=LEN(ReferenceData!$BE$412),"",ReferenceData!$BE$412),"")</f>
        <v>1.4799756420000001</v>
      </c>
      <c r="BF412">
        <f ca="1">IFERROR(IF(0=LEN(ReferenceData!$BF$412),"",ReferenceData!$BF$412),"")</f>
        <v>1.519925894</v>
      </c>
      <c r="BG412">
        <f ca="1">IFERROR(IF(0=LEN(ReferenceData!$BG$412),"",ReferenceData!$BG$412),"")</f>
        <v>1.4360899730000001</v>
      </c>
      <c r="BH412">
        <f ca="1">IFERROR(IF(0=LEN(ReferenceData!$BH$412),"",ReferenceData!$BH$412),"")</f>
        <v>1.4655919829999999</v>
      </c>
      <c r="BI412">
        <f ca="1">IFERROR(IF(0=LEN(ReferenceData!$BI$412),"",ReferenceData!$BI$412),"")</f>
        <v>1.582438405</v>
      </c>
      <c r="BJ412">
        <f ca="1">IFERROR(IF(0=LEN(ReferenceData!$BJ$412),"",ReferenceData!$BJ$412),"")</f>
        <v>1.5339194709999999</v>
      </c>
      <c r="BK412">
        <f ca="1">IFERROR(IF(0=LEN(ReferenceData!$BK$412),"",ReferenceData!$BK$412),"")</f>
        <v>1.496683569</v>
      </c>
      <c r="BL412">
        <f ca="1">IFERROR(IF(0=LEN(ReferenceData!$BL$412),"",ReferenceData!$BL$412),"")</f>
        <v>1.470862299</v>
      </c>
      <c r="BM412">
        <f ca="1">IFERROR(IF(0=LEN(ReferenceData!$BM$412),"",ReferenceData!$BM$412),"")</f>
        <v>1.405666321</v>
      </c>
    </row>
    <row r="413" spans="1:65" x14ac:dyDescent="0.25">
      <c r="A413" t="str">
        <f>IFERROR(IF(0=LEN(ReferenceData!$A$413),"",ReferenceData!$A$413),"")</f>
        <v xml:space="preserve">    Volkswagen AG</v>
      </c>
      <c r="B413" t="str">
        <f>IFERROR(IF(0=LEN(ReferenceData!$B$413),"",ReferenceData!$B$413),"")</f>
        <v>VOW GR Equity</v>
      </c>
      <c r="C413" t="str">
        <f>IFERROR(IF(0=LEN(ReferenceData!$C$413),"",ReferenceData!$C$413),"")</f>
        <v>RR480</v>
      </c>
      <c r="D413" t="str">
        <f>IFERROR(IF(0=LEN(ReferenceData!$D$413),"",ReferenceData!$D$413),"")</f>
        <v>EV_TO_MKT_CAP</v>
      </c>
      <c r="E413" t="str">
        <f>IFERROR(IF(0=LEN(ReferenceData!$E$413),"",ReferenceData!$E$413),"")</f>
        <v>Dynamic</v>
      </c>
      <c r="F413" t="str">
        <f ca="1">IFERROR(IF(0=LEN(ReferenceData!$F$413),"",ReferenceData!$F$413),"")</f>
        <v/>
      </c>
      <c r="G413" t="str">
        <f ca="1">IFERROR(IF(0=LEN(ReferenceData!$G$413),"",ReferenceData!$G$413),"")</f>
        <v/>
      </c>
      <c r="H413">
        <f ca="1">IFERROR(IF(0=LEN(ReferenceData!$H$413),"",ReferenceData!$H$413),"")</f>
        <v>0.84570446200000005</v>
      </c>
      <c r="I413">
        <f ca="1">IFERROR(IF(0=LEN(ReferenceData!$I$413),"",ReferenceData!$I$413),"")</f>
        <v>1.004342109</v>
      </c>
      <c r="J413">
        <f ca="1">IFERROR(IF(0=LEN(ReferenceData!$J$413),"",ReferenceData!$J$413),"")</f>
        <v>0.85407966800000001</v>
      </c>
      <c r="K413">
        <f ca="1">IFERROR(IF(0=LEN(ReferenceData!$K$413),"",ReferenceData!$K$413),"")</f>
        <v>0.77621694200000002</v>
      </c>
      <c r="L413">
        <f ca="1">IFERROR(IF(0=LEN(ReferenceData!$L$413),"",ReferenceData!$L$413),"")</f>
        <v>0.83350580900000004</v>
      </c>
      <c r="M413">
        <f ca="1">IFERROR(IF(0=LEN(ReferenceData!$M$413),"",ReferenceData!$M$413),"")</f>
        <v>0.88216483199999995</v>
      </c>
      <c r="N413">
        <f ca="1">IFERROR(IF(0=LEN(ReferenceData!$N$413),"",ReferenceData!$N$413),"")</f>
        <v>1.022528291</v>
      </c>
      <c r="O413">
        <f ca="1">IFERROR(IF(0=LEN(ReferenceData!$O$413),"",ReferenceData!$O$413),"")</f>
        <v>0.61834862300000004</v>
      </c>
      <c r="P413">
        <f ca="1">IFERROR(IF(0=LEN(ReferenceData!$P$413),"",ReferenceData!$P$413),"")</f>
        <v>0.68816289200000003</v>
      </c>
      <c r="Q413">
        <f ca="1">IFERROR(IF(0=LEN(ReferenceData!$Q$413),"",ReferenceData!$Q$413),"")</f>
        <v>0.69524348199999997</v>
      </c>
      <c r="R413">
        <f ca="1">IFERROR(IF(0=LEN(ReferenceData!$R$413),"",ReferenceData!$R$413),"")</f>
        <v>0.74713966200000004</v>
      </c>
      <c r="S413">
        <f ca="1">IFERROR(IF(0=LEN(ReferenceData!$S$413),"",ReferenceData!$S$413),"")</f>
        <v>0.77594222099999999</v>
      </c>
      <c r="T413">
        <f ca="1">IFERROR(IF(0=LEN(ReferenceData!$T$413),"",ReferenceData!$T$413),"")</f>
        <v>0.64827239000000003</v>
      </c>
      <c r="U413">
        <f ca="1">IFERROR(IF(0=LEN(ReferenceData!$U$413),"",ReferenceData!$U$413),"")</f>
        <v>0.87978019600000001</v>
      </c>
      <c r="V413">
        <f ca="1">IFERROR(IF(0=LEN(ReferenceData!$V$413),"",ReferenceData!$V$413),"")</f>
        <v>0.90158817999999996</v>
      </c>
      <c r="W413">
        <f ca="1">IFERROR(IF(0=LEN(ReferenceData!$W$413),"",ReferenceData!$W$413),"")</f>
        <v>0.87675304700000001</v>
      </c>
      <c r="X413">
        <f ca="1">IFERROR(IF(0=LEN(ReferenceData!$X$413),"",ReferenceData!$X$413),"")</f>
        <v>0.87068702600000003</v>
      </c>
      <c r="Y413">
        <f ca="1">IFERROR(IF(0=LEN(ReferenceData!$Y$413),"",ReferenceData!$Y$413),"")</f>
        <v>0.91787055699999998</v>
      </c>
      <c r="Z413">
        <f ca="1">IFERROR(IF(0=LEN(ReferenceData!$Z$413),"",ReferenceData!$Z$413),"")</f>
        <v>0.89689590900000005</v>
      </c>
      <c r="AA413">
        <f ca="1">IFERROR(IF(0=LEN(ReferenceData!$AA$413),"",ReferenceData!$AA$413),"")</f>
        <v>0.88539830399999997</v>
      </c>
      <c r="AB413">
        <f ca="1">IFERROR(IF(0=LEN(ReferenceData!$AB$413),"",ReferenceData!$AB$413),"")</f>
        <v>0.86232787799999999</v>
      </c>
      <c r="AC413">
        <f ca="1">IFERROR(IF(0=LEN(ReferenceData!$AC$413),"",ReferenceData!$AC$413),"")</f>
        <v>0.89232737500000003</v>
      </c>
      <c r="AD413">
        <f ca="1">IFERROR(IF(0=LEN(ReferenceData!$AD$413),"",ReferenceData!$AD$413),"")</f>
        <v>0.93330383400000005</v>
      </c>
      <c r="AE413">
        <f ca="1">IFERROR(IF(0=LEN(ReferenceData!$AE$413),"",ReferenceData!$AE$413),"")</f>
        <v>0.94411243499999997</v>
      </c>
      <c r="AF413">
        <f ca="1">IFERROR(IF(0=LEN(ReferenceData!$AF$413),"",ReferenceData!$AF$413),"")</f>
        <v>0.95621312800000002</v>
      </c>
      <c r="AG413">
        <f ca="1">IFERROR(IF(0=LEN(ReferenceData!$AG$413),"",ReferenceData!$AG$413),"")</f>
        <v>0.83740403600000002</v>
      </c>
      <c r="AH413">
        <f ca="1">IFERROR(IF(0=LEN(ReferenceData!$AH$413),"",ReferenceData!$AH$413),"")</f>
        <v>0.84056555700000002</v>
      </c>
      <c r="AI413">
        <f ca="1">IFERROR(IF(0=LEN(ReferenceData!$AI$413),"",ReferenceData!$AI$413),"")</f>
        <v>0.80917186299999999</v>
      </c>
      <c r="AJ413">
        <f ca="1">IFERROR(IF(0=LEN(ReferenceData!$AJ$413),"",ReferenceData!$AJ$413),"")</f>
        <v>0.61931069000000005</v>
      </c>
      <c r="AK413">
        <f ca="1">IFERROR(IF(0=LEN(ReferenceData!$AK$413),"",ReferenceData!$AK$413),"")</f>
        <v>0.74618463099999999</v>
      </c>
      <c r="AL413">
        <f ca="1">IFERROR(IF(0=LEN(ReferenceData!$AL$413),"",ReferenceData!$AL$413),"")</f>
        <v>0.70054351299999995</v>
      </c>
      <c r="AM413">
        <f ca="1">IFERROR(IF(0=LEN(ReferenceData!$AM$413),"",ReferenceData!$AM$413),"")</f>
        <v>0.71146963500000004</v>
      </c>
      <c r="AN413">
        <f ca="1">IFERROR(IF(0=LEN(ReferenceData!$AN$413),"",ReferenceData!$AN$413),"")</f>
        <v>0.59840747599999999</v>
      </c>
      <c r="AO413">
        <f ca="1">IFERROR(IF(0=LEN(ReferenceData!$AO$413),"",ReferenceData!$AO$413),"")</f>
        <v>0.585319429</v>
      </c>
      <c r="AP413">
        <f ca="1">IFERROR(IF(0=LEN(ReferenceData!$AP$413),"",ReferenceData!$AP$413),"")</f>
        <v>0.68298884500000001</v>
      </c>
      <c r="AQ413">
        <f ca="1">IFERROR(IF(0=LEN(ReferenceData!$AQ$413),"",ReferenceData!$AQ$413),"")</f>
        <v>2.8852397669999998</v>
      </c>
      <c r="AR413">
        <f ca="1">IFERROR(IF(0=LEN(ReferenceData!$AR$413),"",ReferenceData!$AR$413),"")</f>
        <v>2.150556505</v>
      </c>
      <c r="AS413">
        <f ca="1">IFERROR(IF(0=LEN(ReferenceData!$AS$413),"",ReferenceData!$AS$413),"")</f>
        <v>1.5539010170000001</v>
      </c>
      <c r="AT413">
        <f ca="1">IFERROR(IF(0=LEN(ReferenceData!$AT$413),"",ReferenceData!$AT$413),"")</f>
        <v>1.6065529709999999</v>
      </c>
      <c r="AU413">
        <f ca="1">IFERROR(IF(0=LEN(ReferenceData!$AU$413),"",ReferenceData!$AU$413),"")</f>
        <v>1.729403341</v>
      </c>
      <c r="AV413">
        <f ca="1">IFERROR(IF(0=LEN(ReferenceData!$AV$413),"",ReferenceData!$AV$413),"")</f>
        <v>1.494245305</v>
      </c>
      <c r="AW413">
        <f ca="1">IFERROR(IF(0=LEN(ReferenceData!$AW$413),"",ReferenceData!$AW$413),"")</f>
        <v>1.6852105959999999</v>
      </c>
      <c r="AX413">
        <f ca="1">IFERROR(IF(0=LEN(ReferenceData!$AX$413),"",ReferenceData!$AX$413),"")</f>
        <v>1.6395057200000001</v>
      </c>
      <c r="AY413">
        <f ca="1">IFERROR(IF(0=LEN(ReferenceData!$AY$413),"",ReferenceData!$AY$413),"")</f>
        <v>1.7381894229999999</v>
      </c>
      <c r="AZ413">
        <f ca="1">IFERROR(IF(0=LEN(ReferenceData!$AZ$413),"",ReferenceData!$AZ$413),"")</f>
        <v>1.716021107</v>
      </c>
      <c r="BA413">
        <f ca="1">IFERROR(IF(0=LEN(ReferenceData!$BA$413),"",ReferenceData!$BA$413),"")</f>
        <v>2.0114849399999999</v>
      </c>
      <c r="BB413">
        <f ca="1">IFERROR(IF(0=LEN(ReferenceData!$BB$413),"",ReferenceData!$BB$413),"")</f>
        <v>2.0837802569999999</v>
      </c>
      <c r="BC413">
        <f ca="1">IFERROR(IF(0=LEN(ReferenceData!$BC$413),"",ReferenceData!$BC$413),"")</f>
        <v>2.4469376430000001</v>
      </c>
      <c r="BD413">
        <f ca="1">IFERROR(IF(0=LEN(ReferenceData!$BD$413),"",ReferenceData!$BD$413),"")</f>
        <v>2.7675078499999999</v>
      </c>
      <c r="BE413">
        <f ca="1">IFERROR(IF(0=LEN(ReferenceData!$BE$413),"",ReferenceData!$BE$413),"")</f>
        <v>3.2411807750000001</v>
      </c>
      <c r="BF413">
        <f ca="1">IFERROR(IF(0=LEN(ReferenceData!$BF$413),"",ReferenceData!$BF$413),"")</f>
        <v>3.1232231050000001</v>
      </c>
      <c r="BG413">
        <f ca="1">IFERROR(IF(0=LEN(ReferenceData!$BG$413),"",ReferenceData!$BG$413),"")</f>
        <v>3.8288216660000001</v>
      </c>
      <c r="BH413">
        <f ca="1">IFERROR(IF(0=LEN(ReferenceData!$BH$413),"",ReferenceData!$BH$413),"")</f>
        <v>3.4091125799999999</v>
      </c>
      <c r="BI413">
        <f ca="1">IFERROR(IF(0=LEN(ReferenceData!$BI$413),"",ReferenceData!$BI$413),"")</f>
        <v>4.3418863129999998</v>
      </c>
      <c r="BJ413">
        <f ca="1">IFERROR(IF(0=LEN(ReferenceData!$BJ$413),"",ReferenceData!$BJ$413),"")</f>
        <v>4.3268109250000002</v>
      </c>
      <c r="BK413">
        <f ca="1">IFERROR(IF(0=LEN(ReferenceData!$BK$413),"",ReferenceData!$BK$413),"")</f>
        <v>4.6319954169999997</v>
      </c>
      <c r="BL413" t="str">
        <f ca="1">IFERROR(IF(0=LEN(ReferenceData!$BL$413),"",ReferenceData!$BL$413),"")</f>
        <v/>
      </c>
      <c r="BM413" t="str">
        <f ca="1">IFERROR(IF(0=LEN(ReferenceData!$BM$413),"",ReferenceData!$BM$413),"")</f>
        <v/>
      </c>
    </row>
    <row r="414" spans="1:65" x14ac:dyDescent="0.25">
      <c r="A414" t="str">
        <f>IFERROR(IF(0=LEN(ReferenceData!$A$414),"",ReferenceData!$A$414),"")</f>
        <v xml:space="preserve">    Yulon Motor Co Ltd</v>
      </c>
      <c r="B414" t="str">
        <f>IFERROR(IF(0=LEN(ReferenceData!$B$414),"",ReferenceData!$B$414),"")</f>
        <v>2201 TT Equity</v>
      </c>
      <c r="C414" t="str">
        <f>IFERROR(IF(0=LEN(ReferenceData!$C$414),"",ReferenceData!$C$414),"")</f>
        <v>RR480</v>
      </c>
      <c r="D414" t="str">
        <f>IFERROR(IF(0=LEN(ReferenceData!$D$414),"",ReferenceData!$D$414),"")</f>
        <v>EV_TO_MKT_CAP</v>
      </c>
      <c r="E414" t="str">
        <f>IFERROR(IF(0=LEN(ReferenceData!$E$414),"",ReferenceData!$E$414),"")</f>
        <v>Dynamic</v>
      </c>
      <c r="F414" t="str">
        <f ca="1">IFERROR(IF(0=LEN(ReferenceData!$F$414),"",ReferenceData!$F$414),"")</f>
        <v/>
      </c>
      <c r="G414" t="str">
        <f ca="1">IFERROR(IF(0=LEN(ReferenceData!$G$414),"",ReferenceData!$G$414),"")</f>
        <v/>
      </c>
      <c r="H414">
        <f ca="1">IFERROR(IF(0=LEN(ReferenceData!$H$414),"",ReferenceData!$H$414),"")</f>
        <v>5.069944478</v>
      </c>
      <c r="I414">
        <f ca="1">IFERROR(IF(0=LEN(ReferenceData!$I$414),"",ReferenceData!$I$414),"")</f>
        <v>4.8240589580000002</v>
      </c>
      <c r="J414">
        <f ca="1">IFERROR(IF(0=LEN(ReferenceData!$J$414),"",ReferenceData!$J$414),"")</f>
        <v>4.2744694450000003</v>
      </c>
      <c r="K414">
        <f ca="1">IFERROR(IF(0=LEN(ReferenceData!$K$414),"",ReferenceData!$K$414),"")</f>
        <v>3.8764962770000002</v>
      </c>
      <c r="L414">
        <f ca="1">IFERROR(IF(0=LEN(ReferenceData!$L$414),"",ReferenceData!$L$414),"")</f>
        <v>3.476997458</v>
      </c>
      <c r="M414">
        <f ca="1">IFERROR(IF(0=LEN(ReferenceData!$M$414),"",ReferenceData!$M$414),"")</f>
        <v>3.182564588</v>
      </c>
      <c r="N414">
        <f ca="1">IFERROR(IF(0=LEN(ReferenceData!$N$414),"",ReferenceData!$N$414),"")</f>
        <v>2.9559399599999998</v>
      </c>
      <c r="O414">
        <f ca="1">IFERROR(IF(0=LEN(ReferenceData!$O$414),"",ReferenceData!$O$414),"")</f>
        <v>3.008252041</v>
      </c>
      <c r="P414">
        <f ca="1">IFERROR(IF(0=LEN(ReferenceData!$P$414),"",ReferenceData!$P$414),"")</f>
        <v>2.7940795180000002</v>
      </c>
      <c r="Q414">
        <f ca="1">IFERROR(IF(0=LEN(ReferenceData!$Q$414),"",ReferenceData!$Q$414),"")</f>
        <v>2.7087467749999998</v>
      </c>
      <c r="R414">
        <f ca="1">IFERROR(IF(0=LEN(ReferenceData!$R$414),"",ReferenceData!$R$414),"")</f>
        <v>2.4163945930000001</v>
      </c>
      <c r="S414">
        <f ca="1">IFERROR(IF(0=LEN(ReferenceData!$S$414),"",ReferenceData!$S$414),"")</f>
        <v>2.504050549</v>
      </c>
      <c r="T414">
        <f ca="1">IFERROR(IF(0=LEN(ReferenceData!$T$414),"",ReferenceData!$T$414),"")</f>
        <v>2.4867446310000001</v>
      </c>
      <c r="U414">
        <f ca="1">IFERROR(IF(0=LEN(ReferenceData!$U$414),"",ReferenceData!$U$414),"")</f>
        <v>2.2604910720000002</v>
      </c>
      <c r="V414">
        <f ca="1">IFERROR(IF(0=LEN(ReferenceData!$V$414),"",ReferenceData!$V$414),"")</f>
        <v>1.9934203079999999</v>
      </c>
      <c r="W414">
        <f ca="1">IFERROR(IF(0=LEN(ReferenceData!$W$414),"",ReferenceData!$W$414),"")</f>
        <v>1.9047256370000001</v>
      </c>
      <c r="X414">
        <f ca="1">IFERROR(IF(0=LEN(ReferenceData!$X$414),"",ReferenceData!$X$414),"")</f>
        <v>1.85105147</v>
      </c>
      <c r="Y414">
        <f ca="1">IFERROR(IF(0=LEN(ReferenceData!$Y$414),"",ReferenceData!$Y$414),"")</f>
        <v>1.7731071169999999</v>
      </c>
      <c r="Z414">
        <f ca="1">IFERROR(IF(0=LEN(ReferenceData!$Z$414),"",ReferenceData!$Z$414),"")</f>
        <v>1.715707281</v>
      </c>
      <c r="AA414">
        <f ca="1">IFERROR(IF(0=LEN(ReferenceData!$AA$414),"",ReferenceData!$AA$414),"")</f>
        <v>1.6434416249999999</v>
      </c>
      <c r="AB414">
        <f ca="1">IFERROR(IF(0=LEN(ReferenceData!$AB$414),"",ReferenceData!$AB$414),"")</f>
        <v>1.677931608</v>
      </c>
      <c r="AC414">
        <f ca="1">IFERROR(IF(0=LEN(ReferenceData!$AC$414),"",ReferenceData!$AC$414),"")</f>
        <v>1.6762620399999999</v>
      </c>
      <c r="AD414">
        <f ca="1">IFERROR(IF(0=LEN(ReferenceData!$AD$414),"",ReferenceData!$AD$414),"")</f>
        <v>1.5933878020000001</v>
      </c>
      <c r="AE414">
        <f ca="1">IFERROR(IF(0=LEN(ReferenceData!$AE$414),"",ReferenceData!$AE$414),"")</f>
        <v>1.5814128220000001</v>
      </c>
      <c r="AF414">
        <f ca="1">IFERROR(IF(0=LEN(ReferenceData!$AF$414),"",ReferenceData!$AF$414),"")</f>
        <v>1.5334502880000001</v>
      </c>
      <c r="AG414">
        <f ca="1">IFERROR(IF(0=LEN(ReferenceData!$AG$414),"",ReferenceData!$AG$414),"")</f>
        <v>1.587166863</v>
      </c>
      <c r="AH414">
        <f ca="1">IFERROR(IF(0=LEN(ReferenceData!$AH$414),"",ReferenceData!$AH$414),"")</f>
        <v>1.485547747</v>
      </c>
      <c r="AI414">
        <f ca="1">IFERROR(IF(0=LEN(ReferenceData!$AI$414),"",ReferenceData!$AI$414),"")</f>
        <v>1.479968935</v>
      </c>
      <c r="AJ414">
        <f ca="1">IFERROR(IF(0=LEN(ReferenceData!$AJ$414),"",ReferenceData!$AJ$414),"")</f>
        <v>1.430700935</v>
      </c>
      <c r="AK414">
        <f ca="1">IFERROR(IF(0=LEN(ReferenceData!$AK$414),"",ReferenceData!$AK$414),"")</f>
        <v>1.291703066</v>
      </c>
      <c r="AL414">
        <f ca="1">IFERROR(IF(0=LEN(ReferenceData!$AL$414),"",ReferenceData!$AL$414),"")</f>
        <v>1.356175817</v>
      </c>
      <c r="AM414">
        <f ca="1">IFERROR(IF(0=LEN(ReferenceData!$AM$414),"",ReferenceData!$AM$414),"")</f>
        <v>1.2834412909999999</v>
      </c>
      <c r="AN414">
        <f ca="1">IFERROR(IF(0=LEN(ReferenceData!$AN$414),"",ReferenceData!$AN$414),"")</f>
        <v>1.2848827869999999</v>
      </c>
      <c r="AO414">
        <f ca="1">IFERROR(IF(0=LEN(ReferenceData!$AO$414),"",ReferenceData!$AO$414),"")</f>
        <v>1.480758215</v>
      </c>
      <c r="AP414">
        <f ca="1">IFERROR(IF(0=LEN(ReferenceData!$AP$414),"",ReferenceData!$AP$414),"")</f>
        <v>1.399458493</v>
      </c>
      <c r="AQ414">
        <f ca="1">IFERROR(IF(0=LEN(ReferenceData!$AQ$414),"",ReferenceData!$AQ$414),"")</f>
        <v>1.319333656</v>
      </c>
      <c r="AR414">
        <f ca="1">IFERROR(IF(0=LEN(ReferenceData!$AR$414),"",ReferenceData!$AR$414),"")</f>
        <v>1.291113483</v>
      </c>
      <c r="AS414">
        <f ca="1">IFERROR(IF(0=LEN(ReferenceData!$AS$414),"",ReferenceData!$AS$414),"")</f>
        <v>1.3402839630000001</v>
      </c>
      <c r="AT414">
        <f ca="1">IFERROR(IF(0=LEN(ReferenceData!$AT$414),"",ReferenceData!$AT$414),"")</f>
        <v>1.6013625330000001</v>
      </c>
      <c r="AU414">
        <f ca="1">IFERROR(IF(0=LEN(ReferenceData!$AU$414),"",ReferenceData!$AU$414),"")</f>
        <v>1.7295379989999999</v>
      </c>
      <c r="AV414">
        <f ca="1">IFERROR(IF(0=LEN(ReferenceData!$AV$414),"",ReferenceData!$AV$414),"")</f>
        <v>1.7571977510000001</v>
      </c>
      <c r="AW414">
        <f ca="1">IFERROR(IF(0=LEN(ReferenceData!$AW$414),"",ReferenceData!$AW$414),"")</f>
        <v>1.411689685</v>
      </c>
      <c r="AX414">
        <f ca="1">IFERROR(IF(0=LEN(ReferenceData!$AX$414),"",ReferenceData!$AX$414),"")</f>
        <v>1.270498752</v>
      </c>
      <c r="AY414" t="str">
        <f ca="1">IFERROR(IF(0=LEN(ReferenceData!$AY$414),"",ReferenceData!$AY$414),"")</f>
        <v/>
      </c>
      <c r="AZ414" t="str">
        <f ca="1">IFERROR(IF(0=LEN(ReferenceData!$AZ$414),"",ReferenceData!$AZ$414),"")</f>
        <v/>
      </c>
      <c r="BA414" t="str">
        <f ca="1">IFERROR(IF(0=LEN(ReferenceData!$BA$414),"",ReferenceData!$BA$414),"")</f>
        <v/>
      </c>
      <c r="BB414" t="str">
        <f ca="1">IFERROR(IF(0=LEN(ReferenceData!$BB$414),"",ReferenceData!$BB$414),"")</f>
        <v/>
      </c>
      <c r="BC414" t="str">
        <f ca="1">IFERROR(IF(0=LEN(ReferenceData!$BC$414),"",ReferenceData!$BC$414),"")</f>
        <v/>
      </c>
      <c r="BD414" t="str">
        <f ca="1">IFERROR(IF(0=LEN(ReferenceData!$BD$414),"",ReferenceData!$BD$414),"")</f>
        <v/>
      </c>
      <c r="BE414" t="str">
        <f ca="1">IFERROR(IF(0=LEN(ReferenceData!$BE$414),"",ReferenceData!$BE$414),"")</f>
        <v/>
      </c>
      <c r="BF414" t="str">
        <f ca="1">IFERROR(IF(0=LEN(ReferenceData!$BF$414),"",ReferenceData!$BF$414),"")</f>
        <v/>
      </c>
      <c r="BG414" t="str">
        <f ca="1">IFERROR(IF(0=LEN(ReferenceData!$BG$414),"",ReferenceData!$BG$414),"")</f>
        <v/>
      </c>
      <c r="BH414" t="str">
        <f ca="1">IFERROR(IF(0=LEN(ReferenceData!$BH$414),"",ReferenceData!$BH$414),"")</f>
        <v/>
      </c>
      <c r="BI414" t="str">
        <f ca="1">IFERROR(IF(0=LEN(ReferenceData!$BI$414),"",ReferenceData!$BI$414),"")</f>
        <v/>
      </c>
      <c r="BJ414" t="str">
        <f ca="1">IFERROR(IF(0=LEN(ReferenceData!$BJ$414),"",ReferenceData!$BJ$414),"")</f>
        <v/>
      </c>
      <c r="BK414" t="str">
        <f ca="1">IFERROR(IF(0=LEN(ReferenceData!$BK$414),"",ReferenceData!$BK$414),"")</f>
        <v/>
      </c>
      <c r="BL414" t="str">
        <f ca="1">IFERROR(IF(0=LEN(ReferenceData!$BL$414),"",ReferenceData!$BL$414),"")</f>
        <v/>
      </c>
      <c r="BM414" t="str">
        <f ca="1">IFERROR(IF(0=LEN(ReferenceData!$BM$414),"",ReferenceData!$BM$414),"")</f>
        <v/>
      </c>
    </row>
    <row r="415" spans="1:65" x14ac:dyDescent="0.25">
      <c r="A415" t="str">
        <f>IFERROR(IF(0=LEN(ReferenceData!$A$415),"",ReferenceData!$A$415),"")</f>
        <v>EV / T12M Cash Flow</v>
      </c>
      <c r="B415" t="str">
        <f>IFERROR(IF(0=LEN(ReferenceData!$B$415),"",ReferenceData!$B$415),"")</f>
        <v/>
      </c>
      <c r="C415" t="str">
        <f>IFERROR(IF(0=LEN(ReferenceData!$C$415),"",ReferenceData!$C$415),"")</f>
        <v/>
      </c>
      <c r="D415" t="str">
        <f>IFERROR(IF(0=LEN(ReferenceData!$D$415),"",ReferenceData!$D$415),"")</f>
        <v/>
      </c>
      <c r="E415" t="str">
        <f>IFERROR(IF(0=LEN(ReferenceData!$E$415),"",ReferenceData!$E$415),"")</f>
        <v>Average</v>
      </c>
      <c r="F415" t="str">
        <f ca="1">IFERROR(IF(0=LEN(ReferenceData!$F$415),"",ReferenceData!$F$415),"")</f>
        <v/>
      </c>
      <c r="G415">
        <f ca="1">IFERROR(IF(0=LEN(ReferenceData!$G$415),"",ReferenceData!$G$415),"")</f>
        <v>14.28824987346154</v>
      </c>
      <c r="H415">
        <f ca="1">IFERROR(IF(0=LEN(ReferenceData!$H$415),"",ReferenceData!$H$415),"")</f>
        <v>14.944604007041669</v>
      </c>
      <c r="I415">
        <f ca="1">IFERROR(IF(0=LEN(ReferenceData!$I$415),"",ReferenceData!$I$415),"")</f>
        <v>12.228509532833334</v>
      </c>
      <c r="J415">
        <f ca="1">IFERROR(IF(0=LEN(ReferenceData!$J$415),"",ReferenceData!$J$415),"")</f>
        <v>14.750319974291671</v>
      </c>
      <c r="K415">
        <f ca="1">IFERROR(IF(0=LEN(ReferenceData!$K$415),"",ReferenceData!$K$415),"")</f>
        <v>10.813277322999998</v>
      </c>
      <c r="L415">
        <f ca="1">IFERROR(IF(0=LEN(ReferenceData!$L$415),"",ReferenceData!$L$415),"")</f>
        <v>9.3158207702727278</v>
      </c>
      <c r="M415">
        <f ca="1">IFERROR(IF(0=LEN(ReferenceData!$M$415),"",ReferenceData!$M$415),"")</f>
        <v>10.356850179739132</v>
      </c>
      <c r="N415">
        <f ca="1">IFERROR(IF(0=LEN(ReferenceData!$N$415),"",ReferenceData!$N$415),"")</f>
        <v>47.671021838999998</v>
      </c>
      <c r="O415">
        <f ca="1">IFERROR(IF(0=LEN(ReferenceData!$O$415),"",ReferenceData!$O$415),"")</f>
        <v>12.283624021130436</v>
      </c>
      <c r="P415">
        <f ca="1">IFERROR(IF(0=LEN(ReferenceData!$P$415),"",ReferenceData!$P$415),"")</f>
        <v>33.06609198428</v>
      </c>
      <c r="Q415">
        <f ca="1">IFERROR(IF(0=LEN(ReferenceData!$Q$415),"",ReferenceData!$Q$415),"")</f>
        <v>11.947911415869566</v>
      </c>
      <c r="R415">
        <f ca="1">IFERROR(IF(0=LEN(ReferenceData!$R$415),"",ReferenceData!$R$415),"")</f>
        <v>11.039017739400002</v>
      </c>
      <c r="S415">
        <f ca="1">IFERROR(IF(0=LEN(ReferenceData!$S$415),"",ReferenceData!$S$415),"")</f>
        <v>31.658037876478271</v>
      </c>
      <c r="T415">
        <f ca="1">IFERROR(IF(0=LEN(ReferenceData!$T$415),"",ReferenceData!$T$415),"")</f>
        <v>44.636191093500003</v>
      </c>
      <c r="U415">
        <f ca="1">IFERROR(IF(0=LEN(ReferenceData!$U$415),"",ReferenceData!$U$415),"")</f>
        <v>73.789423716863624</v>
      </c>
      <c r="V415">
        <f ca="1">IFERROR(IF(0=LEN(ReferenceData!$V$415),"",ReferenceData!$V$415),"")</f>
        <v>21.508546798913045</v>
      </c>
      <c r="W415">
        <f ca="1">IFERROR(IF(0=LEN(ReferenceData!$W$415),"",ReferenceData!$W$415),"")</f>
        <v>15.717389455363632</v>
      </c>
      <c r="X415">
        <f ca="1">IFERROR(IF(0=LEN(ReferenceData!$X$415),"",ReferenceData!$X$415),"")</f>
        <v>20.07010332659091</v>
      </c>
      <c r="Y415">
        <f ca="1">IFERROR(IF(0=LEN(ReferenceData!$Y$415),"",ReferenceData!$Y$415),"")</f>
        <v>31.342298211681818</v>
      </c>
      <c r="Z415">
        <f ca="1">IFERROR(IF(0=LEN(ReferenceData!$Z$415),"",ReferenceData!$Z$415),"")</f>
        <v>17.021185042347827</v>
      </c>
      <c r="AA415">
        <f ca="1">IFERROR(IF(0=LEN(ReferenceData!$AA$415),"",ReferenceData!$AA$415),"")</f>
        <v>17.519569883079999</v>
      </c>
      <c r="AB415">
        <f ca="1">IFERROR(IF(0=LEN(ReferenceData!$AB$415),"",ReferenceData!$AB$415),"")</f>
        <v>17.375261509560001</v>
      </c>
      <c r="AC415">
        <f ca="1">IFERROR(IF(0=LEN(ReferenceData!$AC$415),"",ReferenceData!$AC$415),"")</f>
        <v>16.144310025423074</v>
      </c>
      <c r="AD415">
        <f ca="1">IFERROR(IF(0=LEN(ReferenceData!$AD$415),"",ReferenceData!$AD$415),"")</f>
        <v>12.807447089399998</v>
      </c>
      <c r="AE415">
        <f ca="1">IFERROR(IF(0=LEN(ReferenceData!$AE$415),"",ReferenceData!$AE$415),"")</f>
        <v>13.809196909500001</v>
      </c>
      <c r="AF415">
        <f ca="1">IFERROR(IF(0=LEN(ReferenceData!$AF$415),"",ReferenceData!$AF$415),"")</f>
        <v>164.05902468868183</v>
      </c>
      <c r="AG415">
        <f ca="1">IFERROR(IF(0=LEN(ReferenceData!$AG$415),"",ReferenceData!$AG$415),"")</f>
        <v>26.356897741421047</v>
      </c>
      <c r="AH415">
        <f ca="1">IFERROR(IF(0=LEN(ReferenceData!$AH$415),"",ReferenceData!$AH$415),"")</f>
        <v>18.984096257650002</v>
      </c>
      <c r="AI415">
        <f ca="1">IFERROR(IF(0=LEN(ReferenceData!$AI$415),"",ReferenceData!$AI$415),"")</f>
        <v>14.662907828578948</v>
      </c>
      <c r="AJ415">
        <f ca="1">IFERROR(IF(0=LEN(ReferenceData!$AJ$415),"",ReferenceData!$AJ$415),"")</f>
        <v>11.742975799055554</v>
      </c>
      <c r="AK415">
        <f ca="1">IFERROR(IF(0=LEN(ReferenceData!$AK$415),"",ReferenceData!$AK$415),"")</f>
        <v>87.282970560050003</v>
      </c>
      <c r="AL415">
        <f ca="1">IFERROR(IF(0=LEN(ReferenceData!$AL$415),"",ReferenceData!$AL$415),"")</f>
        <v>12.424159553952382</v>
      </c>
      <c r="AM415">
        <f ca="1">IFERROR(IF(0=LEN(ReferenceData!$AM$415),"",ReferenceData!$AM$415),"")</f>
        <v>152.15520782815997</v>
      </c>
      <c r="AN415">
        <f ca="1">IFERROR(IF(0=LEN(ReferenceData!$AN$415),"",ReferenceData!$AN$415),"")</f>
        <v>7.6404540022727279</v>
      </c>
      <c r="AO415">
        <f ca="1">IFERROR(IF(0=LEN(ReferenceData!$AO$415),"",ReferenceData!$AO$415),"")</f>
        <v>6.9905305395000008</v>
      </c>
      <c r="AP415">
        <f ca="1">IFERROR(IF(0=LEN(ReferenceData!$AP$415),"",ReferenceData!$AP$415),"")</f>
        <v>7.5597604311499991</v>
      </c>
      <c r="AQ415">
        <f ca="1">IFERROR(IF(0=LEN(ReferenceData!$AQ$415),"",ReferenceData!$AQ$415),"")</f>
        <v>9.1531382485789461</v>
      </c>
      <c r="AR415">
        <f ca="1">IFERROR(IF(0=LEN(ReferenceData!$AR$415),"",ReferenceData!$AR$415),"")</f>
        <v>9.0832053081250006</v>
      </c>
      <c r="AS415">
        <f ca="1">IFERROR(IF(0=LEN(ReferenceData!$AS$415),"",ReferenceData!$AS$415),"")</f>
        <v>28.442791964466668</v>
      </c>
      <c r="AT415">
        <f ca="1">IFERROR(IF(0=LEN(ReferenceData!$AT$415),"",ReferenceData!$AT$415),"")</f>
        <v>12.492835956642859</v>
      </c>
      <c r="AU415">
        <f ca="1">IFERROR(IF(0=LEN(ReferenceData!$AU$415),"",ReferenceData!$AU$415),"")</f>
        <v>16.237390426000001</v>
      </c>
      <c r="AV415">
        <f ca="1">IFERROR(IF(0=LEN(ReferenceData!$AV$415),"",ReferenceData!$AV$415),"")</f>
        <v>7.9104876759230782</v>
      </c>
      <c r="AW415">
        <f ca="1">IFERROR(IF(0=LEN(ReferenceData!$AW$415),"",ReferenceData!$AW$415),"")</f>
        <v>14.943183505285715</v>
      </c>
      <c r="AX415">
        <f ca="1">IFERROR(IF(0=LEN(ReferenceData!$AX$415),"",ReferenceData!$AX$415),"")</f>
        <v>13.887765148142858</v>
      </c>
      <c r="AY415">
        <f ca="1">IFERROR(IF(0=LEN(ReferenceData!$AY$415),"",ReferenceData!$AY$415),"")</f>
        <v>38.244032276214284</v>
      </c>
      <c r="AZ415">
        <f ca="1">IFERROR(IF(0=LEN(ReferenceData!$AZ$415),"",ReferenceData!$AZ$415),"")</f>
        <v>44.160807001714282</v>
      </c>
      <c r="BA415">
        <f ca="1">IFERROR(IF(0=LEN(ReferenceData!$BA$415),"",ReferenceData!$BA$415),"")</f>
        <v>14.243960120142857</v>
      </c>
      <c r="BB415">
        <f ca="1">IFERROR(IF(0=LEN(ReferenceData!$BB$415),"",ReferenceData!$BB$415),"")</f>
        <v>9.5218731892857136</v>
      </c>
      <c r="BC415">
        <f ca="1">IFERROR(IF(0=LEN(ReferenceData!$BC$415),"",ReferenceData!$BC$415),"")</f>
        <v>7.3881736550714274</v>
      </c>
      <c r="BD415">
        <f ca="1">IFERROR(IF(0=LEN(ReferenceData!$BD$415),"",ReferenceData!$BD$415),"")</f>
        <v>9.9393593115000005</v>
      </c>
      <c r="BE415">
        <f ca="1">IFERROR(IF(0=LEN(ReferenceData!$BE$415),"",ReferenceData!$BE$415),"")</f>
        <v>7.9121345715384628</v>
      </c>
      <c r="BF415">
        <f ca="1">IFERROR(IF(0=LEN(ReferenceData!$BF$415),"",ReferenceData!$BF$415),"")</f>
        <v>10.441537041285716</v>
      </c>
      <c r="BG415">
        <f ca="1">IFERROR(IF(0=LEN(ReferenceData!$BG$415),"",ReferenceData!$BG$415),"")</f>
        <v>7.5141499989285725</v>
      </c>
      <c r="BH415">
        <f ca="1">IFERROR(IF(0=LEN(ReferenceData!$BH$415),"",ReferenceData!$BH$415),"")</f>
        <v>7.0120623560000004</v>
      </c>
      <c r="BI415">
        <f ca="1">IFERROR(IF(0=LEN(ReferenceData!$BI$415),"",ReferenceData!$BI$415),"")</f>
        <v>8.570617211750001</v>
      </c>
      <c r="BJ415">
        <f ca="1">IFERROR(IF(0=LEN(ReferenceData!$BJ$415),"",ReferenceData!$BJ$415),"")</f>
        <v>7.7820685382000008</v>
      </c>
      <c r="BK415">
        <f ca="1">IFERROR(IF(0=LEN(ReferenceData!$BK$415),"",ReferenceData!$BK$415),"")</f>
        <v>22.719984307000001</v>
      </c>
      <c r="BL415">
        <f ca="1">IFERROR(IF(0=LEN(ReferenceData!$BL$415),"",ReferenceData!$BL$415),"")</f>
        <v>8.2173922838333322</v>
      </c>
      <c r="BM415">
        <f ca="1">IFERROR(IF(0=LEN(ReferenceData!$BM$415),"",ReferenceData!$BM$415),"")</f>
        <v>34.329920968428574</v>
      </c>
    </row>
    <row r="416" spans="1:65" x14ac:dyDescent="0.25">
      <c r="A416" t="str">
        <f>IFERROR(IF(0=LEN(ReferenceData!$A$416),"",ReferenceData!$A$416),"")</f>
        <v xml:space="preserve">    AUDI AG</v>
      </c>
      <c r="B416" t="str">
        <f>IFERROR(IF(0=LEN(ReferenceData!$B$416),"",ReferenceData!$B$416),"")</f>
        <v>NSU GR Equity</v>
      </c>
      <c r="C416" t="str">
        <f>IFERROR(IF(0=LEN(ReferenceData!$C$416),"",ReferenceData!$C$416),"")</f>
        <v>RR477</v>
      </c>
      <c r="D416" t="str">
        <f>IFERROR(IF(0=LEN(ReferenceData!$D$416),"",ReferenceData!$D$416),"")</f>
        <v>EV_TO_T12M_CASH_FLOW</v>
      </c>
      <c r="E416" t="str">
        <f>IFERROR(IF(0=LEN(ReferenceData!$E$416),"",ReferenceData!$E$416),"")</f>
        <v>Dynamic</v>
      </c>
      <c r="F416" t="str">
        <f ca="1">IFERROR(IF(0=LEN(ReferenceData!$F$416),"",ReferenceData!$F$416),"")</f>
        <v/>
      </c>
      <c r="G416" t="str">
        <f ca="1">IFERROR(IF(0=LEN(ReferenceData!$G$416),"",ReferenceData!$G$416),"")</f>
        <v/>
      </c>
      <c r="H416" t="str">
        <f ca="1">IFERROR(IF(0=LEN(ReferenceData!$H$416),"",ReferenceData!$H$416),"")</f>
        <v/>
      </c>
      <c r="I416" t="str">
        <f ca="1">IFERROR(IF(0=LEN(ReferenceData!$I$416),"",ReferenceData!$I$416),"")</f>
        <v/>
      </c>
      <c r="J416" t="str">
        <f ca="1">IFERROR(IF(0=LEN(ReferenceData!$J$416),"",ReferenceData!$J$416),"")</f>
        <v/>
      </c>
      <c r="K416" t="str">
        <f ca="1">IFERROR(IF(0=LEN(ReferenceData!$K$416),"",ReferenceData!$K$416),"")</f>
        <v/>
      </c>
      <c r="L416" t="str">
        <f ca="1">IFERROR(IF(0=LEN(ReferenceData!$L$416),"",ReferenceData!$L$416),"")</f>
        <v/>
      </c>
      <c r="M416" t="str">
        <f ca="1">IFERROR(IF(0=LEN(ReferenceData!$M$416),"",ReferenceData!$M$416),"")</f>
        <v/>
      </c>
      <c r="N416" t="str">
        <f ca="1">IFERROR(IF(0=LEN(ReferenceData!$N$416),"",ReferenceData!$N$416),"")</f>
        <v/>
      </c>
      <c r="O416" t="str">
        <f ca="1">IFERROR(IF(0=LEN(ReferenceData!$O$416),"",ReferenceData!$O$416),"")</f>
        <v/>
      </c>
      <c r="P416" t="str">
        <f ca="1">IFERROR(IF(0=LEN(ReferenceData!$P$416),"",ReferenceData!$P$416),"")</f>
        <v/>
      </c>
      <c r="Q416" t="str">
        <f ca="1">IFERROR(IF(0=LEN(ReferenceData!$Q$416),"",ReferenceData!$Q$416),"")</f>
        <v/>
      </c>
      <c r="R416" t="str">
        <f ca="1">IFERROR(IF(0=LEN(ReferenceData!$R$416),"",ReferenceData!$R$416),"")</f>
        <v/>
      </c>
      <c r="S416" t="str">
        <f ca="1">IFERROR(IF(0=LEN(ReferenceData!$S$416),"",ReferenceData!$S$416),"")</f>
        <v/>
      </c>
      <c r="T416" t="str">
        <f ca="1">IFERROR(IF(0=LEN(ReferenceData!$T$416),"",ReferenceData!$T$416),"")</f>
        <v/>
      </c>
      <c r="U416" t="str">
        <f ca="1">IFERROR(IF(0=LEN(ReferenceData!$U$416),"",ReferenceData!$U$416),"")</f>
        <v/>
      </c>
      <c r="V416" t="str">
        <f ca="1">IFERROR(IF(0=LEN(ReferenceData!$V$416),"",ReferenceData!$V$416),"")</f>
        <v/>
      </c>
      <c r="W416" t="str">
        <f ca="1">IFERROR(IF(0=LEN(ReferenceData!$W$416),"",ReferenceData!$W$416),"")</f>
        <v/>
      </c>
      <c r="X416" t="str">
        <f ca="1">IFERROR(IF(0=LEN(ReferenceData!$X$416),"",ReferenceData!$X$416),"")</f>
        <v/>
      </c>
      <c r="Y416" t="str">
        <f ca="1">IFERROR(IF(0=LEN(ReferenceData!$Y$416),"",ReferenceData!$Y$416),"")</f>
        <v/>
      </c>
      <c r="Z416" t="str">
        <f ca="1">IFERROR(IF(0=LEN(ReferenceData!$Z$416),"",ReferenceData!$Z$416),"")</f>
        <v/>
      </c>
      <c r="AA416" t="str">
        <f ca="1">IFERROR(IF(0=LEN(ReferenceData!$AA$416),"",ReferenceData!$AA$416),"")</f>
        <v/>
      </c>
      <c r="AB416" t="str">
        <f ca="1">IFERROR(IF(0=LEN(ReferenceData!$AB$416),"",ReferenceData!$AB$416),"")</f>
        <v/>
      </c>
      <c r="AC416" t="str">
        <f ca="1">IFERROR(IF(0=LEN(ReferenceData!$AC$416),"",ReferenceData!$AC$416),"")</f>
        <v/>
      </c>
      <c r="AD416" t="str">
        <f ca="1">IFERROR(IF(0=LEN(ReferenceData!$AD$416),"",ReferenceData!$AD$416),"")</f>
        <v/>
      </c>
      <c r="AE416" t="str">
        <f ca="1">IFERROR(IF(0=LEN(ReferenceData!$AE$416),"",ReferenceData!$AE$416),"")</f>
        <v/>
      </c>
      <c r="AF416" t="str">
        <f ca="1">IFERROR(IF(0=LEN(ReferenceData!$AF$416),"",ReferenceData!$AF$416),"")</f>
        <v/>
      </c>
      <c r="AG416" t="str">
        <f ca="1">IFERROR(IF(0=LEN(ReferenceData!$AG$416),"",ReferenceData!$AG$416),"")</f>
        <v/>
      </c>
      <c r="AH416" t="str">
        <f ca="1">IFERROR(IF(0=LEN(ReferenceData!$AH$416),"",ReferenceData!$AH$416),"")</f>
        <v/>
      </c>
      <c r="AI416" t="str">
        <f ca="1">IFERROR(IF(0=LEN(ReferenceData!$AI$416),"",ReferenceData!$AI$416),"")</f>
        <v/>
      </c>
      <c r="AJ416" t="str">
        <f ca="1">IFERROR(IF(0=LEN(ReferenceData!$AJ$416),"",ReferenceData!$AJ$416),"")</f>
        <v/>
      </c>
      <c r="AK416" t="str">
        <f ca="1">IFERROR(IF(0=LEN(ReferenceData!$AK$416),"",ReferenceData!$AK$416),"")</f>
        <v/>
      </c>
      <c r="AL416" t="str">
        <f ca="1">IFERROR(IF(0=LEN(ReferenceData!$AL$416),"",ReferenceData!$AL$416),"")</f>
        <v/>
      </c>
      <c r="AM416" t="str">
        <f ca="1">IFERROR(IF(0=LEN(ReferenceData!$AM$416),"",ReferenceData!$AM$416),"")</f>
        <v/>
      </c>
      <c r="AN416" t="str">
        <f ca="1">IFERROR(IF(0=LEN(ReferenceData!$AN$416),"",ReferenceData!$AN$416),"")</f>
        <v/>
      </c>
      <c r="AO416" t="str">
        <f ca="1">IFERROR(IF(0=LEN(ReferenceData!$AO$416),"",ReferenceData!$AO$416),"")</f>
        <v/>
      </c>
      <c r="AP416" t="str">
        <f ca="1">IFERROR(IF(0=LEN(ReferenceData!$AP$416),"",ReferenceData!$AP$416),"")</f>
        <v/>
      </c>
      <c r="AQ416" t="str">
        <f ca="1">IFERROR(IF(0=LEN(ReferenceData!$AQ$416),"",ReferenceData!$AQ$416),"")</f>
        <v/>
      </c>
      <c r="AR416" t="str">
        <f ca="1">IFERROR(IF(0=LEN(ReferenceData!$AR$416),"",ReferenceData!$AR$416),"")</f>
        <v/>
      </c>
      <c r="AS416" t="str">
        <f ca="1">IFERROR(IF(0=LEN(ReferenceData!$AS$416),"",ReferenceData!$AS$416),"")</f>
        <v/>
      </c>
      <c r="AT416" t="str">
        <f ca="1">IFERROR(IF(0=LEN(ReferenceData!$AT$416),"",ReferenceData!$AT$416),"")</f>
        <v/>
      </c>
      <c r="AU416" t="str">
        <f ca="1">IFERROR(IF(0=LEN(ReferenceData!$AU$416),"",ReferenceData!$AU$416),"")</f>
        <v/>
      </c>
      <c r="AV416" t="str">
        <f ca="1">IFERROR(IF(0=LEN(ReferenceData!$AV$416),"",ReferenceData!$AV$416),"")</f>
        <v/>
      </c>
      <c r="AW416" t="str">
        <f ca="1">IFERROR(IF(0=LEN(ReferenceData!$AW$416),"",ReferenceData!$AW$416),"")</f>
        <v/>
      </c>
      <c r="AX416" t="str">
        <f ca="1">IFERROR(IF(0=LEN(ReferenceData!$AX$416),"",ReferenceData!$AX$416),"")</f>
        <v/>
      </c>
      <c r="AY416" t="str">
        <f ca="1">IFERROR(IF(0=LEN(ReferenceData!$AY$416),"",ReferenceData!$AY$416),"")</f>
        <v/>
      </c>
      <c r="AZ416" t="str">
        <f ca="1">IFERROR(IF(0=LEN(ReferenceData!$AZ$416),"",ReferenceData!$AZ$416),"")</f>
        <v/>
      </c>
      <c r="BA416" t="str">
        <f ca="1">IFERROR(IF(0=LEN(ReferenceData!$BA$416),"",ReferenceData!$BA$416),"")</f>
        <v/>
      </c>
      <c r="BB416" t="str">
        <f ca="1">IFERROR(IF(0=LEN(ReferenceData!$BB$416),"",ReferenceData!$BB$416),"")</f>
        <v/>
      </c>
      <c r="BC416" t="str">
        <f ca="1">IFERROR(IF(0=LEN(ReferenceData!$BC$416),"",ReferenceData!$BC$416),"")</f>
        <v/>
      </c>
      <c r="BD416" t="str">
        <f ca="1">IFERROR(IF(0=LEN(ReferenceData!$BD$416),"",ReferenceData!$BD$416),"")</f>
        <v/>
      </c>
      <c r="BE416" t="str">
        <f ca="1">IFERROR(IF(0=LEN(ReferenceData!$BE$416),"",ReferenceData!$BE$416),"")</f>
        <v/>
      </c>
      <c r="BF416" t="str">
        <f ca="1">IFERROR(IF(0=LEN(ReferenceData!$BF$416),"",ReferenceData!$BF$416),"")</f>
        <v/>
      </c>
      <c r="BG416" t="str">
        <f ca="1">IFERROR(IF(0=LEN(ReferenceData!$BG$416),"",ReferenceData!$BG$416),"")</f>
        <v/>
      </c>
      <c r="BH416" t="str">
        <f ca="1">IFERROR(IF(0=LEN(ReferenceData!$BH$416),"",ReferenceData!$BH$416),"")</f>
        <v/>
      </c>
      <c r="BI416" t="str">
        <f ca="1">IFERROR(IF(0=LEN(ReferenceData!$BI$416),"",ReferenceData!$BI$416),"")</f>
        <v/>
      </c>
      <c r="BJ416" t="str">
        <f ca="1">IFERROR(IF(0=LEN(ReferenceData!$BJ$416),"",ReferenceData!$BJ$416),"")</f>
        <v/>
      </c>
      <c r="BK416" t="str">
        <f ca="1">IFERROR(IF(0=LEN(ReferenceData!$BK$416),"",ReferenceData!$BK$416),"")</f>
        <v/>
      </c>
      <c r="BL416" t="str">
        <f ca="1">IFERROR(IF(0=LEN(ReferenceData!$BL$416),"",ReferenceData!$BL$416),"")</f>
        <v/>
      </c>
      <c r="BM416" t="str">
        <f ca="1">IFERROR(IF(0=LEN(ReferenceData!$BM$416),"",ReferenceData!$BM$416),"")</f>
        <v/>
      </c>
    </row>
    <row r="417" spans="1:65" x14ac:dyDescent="0.25">
      <c r="A417" t="str">
        <f>IFERROR(IF(0=LEN(ReferenceData!$A$417),"",ReferenceData!$A$417),"")</f>
        <v xml:space="preserve">    Avtovaz PJSC</v>
      </c>
      <c r="B417" t="str">
        <f>IFERROR(IF(0=LEN(ReferenceData!$B$417),"",ReferenceData!$B$417),"")</f>
        <v>AVAZ RM Equity</v>
      </c>
      <c r="C417" t="str">
        <f>IFERROR(IF(0=LEN(ReferenceData!$C$417),"",ReferenceData!$C$417),"")</f>
        <v>RR477</v>
      </c>
      <c r="D417" t="str">
        <f>IFERROR(IF(0=LEN(ReferenceData!$D$417),"",ReferenceData!$D$417),"")</f>
        <v>EV_TO_T12M_CASH_FLOW</v>
      </c>
      <c r="E417" t="str">
        <f>IFERROR(IF(0=LEN(ReferenceData!$E$417),"",ReferenceData!$E$417),"")</f>
        <v>Dynamic</v>
      </c>
      <c r="F417" t="str">
        <f ca="1">IFERROR(IF(0=LEN(ReferenceData!$F$417),"",ReferenceData!$F$417),"")</f>
        <v/>
      </c>
      <c r="G417" t="str">
        <f ca="1">IFERROR(IF(0=LEN(ReferenceData!$G$417),"",ReferenceData!$G$417),"")</f>
        <v/>
      </c>
      <c r="H417" t="str">
        <f ca="1">IFERROR(IF(0=LEN(ReferenceData!$H$417),"",ReferenceData!$H$417),"")</f>
        <v/>
      </c>
      <c r="I417" t="str">
        <f ca="1">IFERROR(IF(0=LEN(ReferenceData!$I$417),"",ReferenceData!$I$417),"")</f>
        <v/>
      </c>
      <c r="J417" t="str">
        <f ca="1">IFERROR(IF(0=LEN(ReferenceData!$J$417),"",ReferenceData!$J$417),"")</f>
        <v/>
      </c>
      <c r="K417" t="str">
        <f ca="1">IFERROR(IF(0=LEN(ReferenceData!$K$417),"",ReferenceData!$K$417),"")</f>
        <v/>
      </c>
      <c r="L417" t="str">
        <f ca="1">IFERROR(IF(0=LEN(ReferenceData!$L$417),"",ReferenceData!$L$417),"")</f>
        <v/>
      </c>
      <c r="M417" t="str">
        <f ca="1">IFERROR(IF(0=LEN(ReferenceData!$M$417),"",ReferenceData!$M$417),"")</f>
        <v/>
      </c>
      <c r="N417" t="str">
        <f ca="1">IFERROR(IF(0=LEN(ReferenceData!$N$417),"",ReferenceData!$N$417),"")</f>
        <v/>
      </c>
      <c r="O417" t="str">
        <f ca="1">IFERROR(IF(0=LEN(ReferenceData!$O$417),"",ReferenceData!$O$417),"")</f>
        <v/>
      </c>
      <c r="P417" t="str">
        <f ca="1">IFERROR(IF(0=LEN(ReferenceData!$P$417),"",ReferenceData!$P$417),"")</f>
        <v/>
      </c>
      <c r="Q417" t="str">
        <f ca="1">IFERROR(IF(0=LEN(ReferenceData!$Q$417),"",ReferenceData!$Q$417),"")</f>
        <v/>
      </c>
      <c r="R417" t="str">
        <f ca="1">IFERROR(IF(0=LEN(ReferenceData!$R$417),"",ReferenceData!$R$417),"")</f>
        <v/>
      </c>
      <c r="S417" t="str">
        <f ca="1">IFERROR(IF(0=LEN(ReferenceData!$S$417),"",ReferenceData!$S$417),"")</f>
        <v/>
      </c>
      <c r="T417" t="str">
        <f ca="1">IFERROR(IF(0=LEN(ReferenceData!$T$417),"",ReferenceData!$T$417),"")</f>
        <v/>
      </c>
      <c r="U417" t="str">
        <f ca="1">IFERROR(IF(0=LEN(ReferenceData!$U$417),"",ReferenceData!$U$417),"")</f>
        <v/>
      </c>
      <c r="V417" t="str">
        <f ca="1">IFERROR(IF(0=LEN(ReferenceData!$V$417),"",ReferenceData!$V$417),"")</f>
        <v/>
      </c>
      <c r="W417" t="str">
        <f ca="1">IFERROR(IF(0=LEN(ReferenceData!$W$417),"",ReferenceData!$W$417),"")</f>
        <v/>
      </c>
      <c r="X417" t="str">
        <f ca="1">IFERROR(IF(0=LEN(ReferenceData!$X$417),"",ReferenceData!$X$417),"")</f>
        <v/>
      </c>
      <c r="Y417" t="str">
        <f ca="1">IFERROR(IF(0=LEN(ReferenceData!$Y$417),"",ReferenceData!$Y$417),"")</f>
        <v/>
      </c>
      <c r="Z417" t="str">
        <f ca="1">IFERROR(IF(0=LEN(ReferenceData!$Z$417),"",ReferenceData!$Z$417),"")</f>
        <v/>
      </c>
      <c r="AA417" t="str">
        <f ca="1">IFERROR(IF(0=LEN(ReferenceData!$AA$417),"",ReferenceData!$AA$417),"")</f>
        <v/>
      </c>
      <c r="AB417" t="str">
        <f ca="1">IFERROR(IF(0=LEN(ReferenceData!$AB$417),"",ReferenceData!$AB$417),"")</f>
        <v/>
      </c>
      <c r="AC417" t="str">
        <f ca="1">IFERROR(IF(0=LEN(ReferenceData!$AC$417),"",ReferenceData!$AC$417),"")</f>
        <v/>
      </c>
      <c r="AD417" t="str">
        <f ca="1">IFERROR(IF(0=LEN(ReferenceData!$AD$417),"",ReferenceData!$AD$417),"")</f>
        <v/>
      </c>
      <c r="AE417" t="str">
        <f ca="1">IFERROR(IF(0=LEN(ReferenceData!$AE$417),"",ReferenceData!$AE$417),"")</f>
        <v/>
      </c>
      <c r="AF417" t="str">
        <f ca="1">IFERROR(IF(0=LEN(ReferenceData!$AF$417),"",ReferenceData!$AF$417),"")</f>
        <v/>
      </c>
      <c r="AG417" t="str">
        <f ca="1">IFERROR(IF(0=LEN(ReferenceData!$AG$417),"",ReferenceData!$AG$417),"")</f>
        <v/>
      </c>
      <c r="AH417" t="str">
        <f ca="1">IFERROR(IF(0=LEN(ReferenceData!$AH$417),"",ReferenceData!$AH$417),"")</f>
        <v/>
      </c>
      <c r="AI417" t="str">
        <f ca="1">IFERROR(IF(0=LEN(ReferenceData!$AI$417),"",ReferenceData!$AI$417),"")</f>
        <v/>
      </c>
      <c r="AJ417" t="str">
        <f ca="1">IFERROR(IF(0=LEN(ReferenceData!$AJ$417),"",ReferenceData!$AJ$417),"")</f>
        <v/>
      </c>
      <c r="AK417" t="str">
        <f ca="1">IFERROR(IF(0=LEN(ReferenceData!$AK$417),"",ReferenceData!$AK$417),"")</f>
        <v/>
      </c>
      <c r="AL417" t="str">
        <f ca="1">IFERROR(IF(0=LEN(ReferenceData!$AL$417),"",ReferenceData!$AL$417),"")</f>
        <v/>
      </c>
      <c r="AM417" t="str">
        <f ca="1">IFERROR(IF(0=LEN(ReferenceData!$AM$417),"",ReferenceData!$AM$417),"")</f>
        <v/>
      </c>
      <c r="AN417" t="str">
        <f ca="1">IFERROR(IF(0=LEN(ReferenceData!$AN$417),"",ReferenceData!$AN$417),"")</f>
        <v/>
      </c>
      <c r="AO417" t="str">
        <f ca="1">IFERROR(IF(0=LEN(ReferenceData!$AO$417),"",ReferenceData!$AO$417),"")</f>
        <v/>
      </c>
      <c r="AP417" t="str">
        <f ca="1">IFERROR(IF(0=LEN(ReferenceData!$AP$417),"",ReferenceData!$AP$417),"")</f>
        <v/>
      </c>
      <c r="AQ417" t="str">
        <f ca="1">IFERROR(IF(0=LEN(ReferenceData!$AQ$417),"",ReferenceData!$AQ$417),"")</f>
        <v/>
      </c>
      <c r="AR417" t="str">
        <f ca="1">IFERROR(IF(0=LEN(ReferenceData!$AR$417),"",ReferenceData!$AR$417),"")</f>
        <v/>
      </c>
      <c r="AS417" t="str">
        <f ca="1">IFERROR(IF(0=LEN(ReferenceData!$AS$417),"",ReferenceData!$AS$417),"")</f>
        <v/>
      </c>
      <c r="AT417" t="str">
        <f ca="1">IFERROR(IF(0=LEN(ReferenceData!$AT$417),"",ReferenceData!$AT$417),"")</f>
        <v/>
      </c>
      <c r="AU417" t="str">
        <f ca="1">IFERROR(IF(0=LEN(ReferenceData!$AU$417),"",ReferenceData!$AU$417),"")</f>
        <v/>
      </c>
      <c r="AV417" t="str">
        <f ca="1">IFERROR(IF(0=LEN(ReferenceData!$AV$417),"",ReferenceData!$AV$417),"")</f>
        <v/>
      </c>
      <c r="AW417" t="str">
        <f ca="1">IFERROR(IF(0=LEN(ReferenceData!$AW$417),"",ReferenceData!$AW$417),"")</f>
        <v/>
      </c>
      <c r="AX417" t="str">
        <f ca="1">IFERROR(IF(0=LEN(ReferenceData!$AX$417),"",ReferenceData!$AX$417),"")</f>
        <v/>
      </c>
      <c r="AY417" t="str">
        <f ca="1">IFERROR(IF(0=LEN(ReferenceData!$AY$417),"",ReferenceData!$AY$417),"")</f>
        <v/>
      </c>
      <c r="AZ417" t="str">
        <f ca="1">IFERROR(IF(0=LEN(ReferenceData!$AZ$417),"",ReferenceData!$AZ$417),"")</f>
        <v/>
      </c>
      <c r="BA417" t="str">
        <f ca="1">IFERROR(IF(0=LEN(ReferenceData!$BA$417),"",ReferenceData!$BA$417),"")</f>
        <v/>
      </c>
      <c r="BB417" t="str">
        <f ca="1">IFERROR(IF(0=LEN(ReferenceData!$BB$417),"",ReferenceData!$BB$417),"")</f>
        <v/>
      </c>
      <c r="BC417" t="str">
        <f ca="1">IFERROR(IF(0=LEN(ReferenceData!$BC$417),"",ReferenceData!$BC$417),"")</f>
        <v/>
      </c>
      <c r="BD417" t="str">
        <f ca="1">IFERROR(IF(0=LEN(ReferenceData!$BD$417),"",ReferenceData!$BD$417),"")</f>
        <v/>
      </c>
      <c r="BE417" t="str">
        <f ca="1">IFERROR(IF(0=LEN(ReferenceData!$BE$417),"",ReferenceData!$BE$417),"")</f>
        <v/>
      </c>
      <c r="BF417" t="str">
        <f ca="1">IFERROR(IF(0=LEN(ReferenceData!$BF$417),"",ReferenceData!$BF$417),"")</f>
        <v/>
      </c>
      <c r="BG417" t="str">
        <f ca="1">IFERROR(IF(0=LEN(ReferenceData!$BG$417),"",ReferenceData!$BG$417),"")</f>
        <v/>
      </c>
      <c r="BH417" t="str">
        <f ca="1">IFERROR(IF(0=LEN(ReferenceData!$BH$417),"",ReferenceData!$BH$417),"")</f>
        <v/>
      </c>
      <c r="BI417" t="str">
        <f ca="1">IFERROR(IF(0=LEN(ReferenceData!$BI$417),"",ReferenceData!$BI$417),"")</f>
        <v/>
      </c>
      <c r="BJ417" t="str">
        <f ca="1">IFERROR(IF(0=LEN(ReferenceData!$BJ$417),"",ReferenceData!$BJ$417),"")</f>
        <v/>
      </c>
      <c r="BK417" t="str">
        <f ca="1">IFERROR(IF(0=LEN(ReferenceData!$BK$417),"",ReferenceData!$BK$417),"")</f>
        <v/>
      </c>
      <c r="BL417" t="str">
        <f ca="1">IFERROR(IF(0=LEN(ReferenceData!$BL$417),"",ReferenceData!$BL$417),"")</f>
        <v/>
      </c>
      <c r="BM417" t="str">
        <f ca="1">IFERROR(IF(0=LEN(ReferenceData!$BM$417),"",ReferenceData!$BM$417),"")</f>
        <v/>
      </c>
    </row>
    <row r="418" spans="1:65" x14ac:dyDescent="0.25">
      <c r="A418" t="str">
        <f>IFERROR(IF(0=LEN(ReferenceData!$A$418),"",ReferenceData!$A$418),"")</f>
        <v xml:space="preserve">    Bayerische Motoren Werke AG</v>
      </c>
      <c r="B418" t="str">
        <f>IFERROR(IF(0=LEN(ReferenceData!$B$418),"",ReferenceData!$B$418),"")</f>
        <v>BMW GR Equity</v>
      </c>
      <c r="C418" t="str">
        <f>IFERROR(IF(0=LEN(ReferenceData!$C$418),"",ReferenceData!$C$418),"")</f>
        <v>RR477</v>
      </c>
      <c r="D418" t="str">
        <f>IFERROR(IF(0=LEN(ReferenceData!$D$418),"",ReferenceData!$D$418),"")</f>
        <v>EV_TO_T12M_CASH_FLOW</v>
      </c>
      <c r="E418" t="str">
        <f>IFERROR(IF(0=LEN(ReferenceData!$E$418),"",ReferenceData!$E$418),"")</f>
        <v>Dynamic</v>
      </c>
      <c r="F418" t="str">
        <f ca="1">IFERROR(IF(0=LEN(ReferenceData!$F$418),"",ReferenceData!$F$418),"")</f>
        <v/>
      </c>
      <c r="G418" t="str">
        <f ca="1">IFERROR(IF(0=LEN(ReferenceData!$G$418),"",ReferenceData!$G$418),"")</f>
        <v/>
      </c>
      <c r="H418">
        <f ca="1">IFERROR(IF(0=LEN(ReferenceData!$H$418),"",ReferenceData!$H$418),"")</f>
        <v>24.145378440000002</v>
      </c>
      <c r="I418">
        <f ca="1">IFERROR(IF(0=LEN(ReferenceData!$I$418),"",ReferenceData!$I$418),"")</f>
        <v>19.352888589999999</v>
      </c>
      <c r="J418">
        <f ca="1">IFERROR(IF(0=LEN(ReferenceData!$J$418),"",ReferenceData!$J$418),"")</f>
        <v>23.18889175</v>
      </c>
      <c r="K418">
        <f ca="1">IFERROR(IF(0=LEN(ReferenceData!$K$418),"",ReferenceData!$K$418),"")</f>
        <v>23.71863965</v>
      </c>
      <c r="L418">
        <f ca="1">IFERROR(IF(0=LEN(ReferenceData!$L$418),"",ReferenceData!$L$418),"")</f>
        <v>16.35941377</v>
      </c>
      <c r="M418">
        <f ca="1">IFERROR(IF(0=LEN(ReferenceData!$M$418),"",ReferenceData!$M$418),"")</f>
        <v>25.36772959</v>
      </c>
      <c r="N418">
        <f ca="1">IFERROR(IF(0=LEN(ReferenceData!$N$418),"",ReferenceData!$N$418),"")</f>
        <v>28.350364150000001</v>
      </c>
      <c r="O418">
        <f ca="1">IFERROR(IF(0=LEN(ReferenceData!$O$418),"",ReferenceData!$O$418),"")</f>
        <v>31.912431099999999</v>
      </c>
      <c r="P418">
        <f ca="1">IFERROR(IF(0=LEN(ReferenceData!$P$418),"",ReferenceData!$P$418),"")</f>
        <v>76.610809029999999</v>
      </c>
      <c r="Q418">
        <f ca="1">IFERROR(IF(0=LEN(ReferenceData!$Q$418),"",ReferenceData!$Q$418),"")</f>
        <v>76.632522280000003</v>
      </c>
      <c r="R418" t="str">
        <f ca="1">IFERROR(IF(0=LEN(ReferenceData!$R$418),"",ReferenceData!$R$418),"")</f>
        <v/>
      </c>
      <c r="S418">
        <f ca="1">IFERROR(IF(0=LEN(ReferenceData!$S$418),"",ReferenceData!$S$418),"")</f>
        <v>147.09602459999999</v>
      </c>
      <c r="T418">
        <f ca="1">IFERROR(IF(0=LEN(ReferenceData!$T$418),"",ReferenceData!$T$418),"")</f>
        <v>76.489755250000002</v>
      </c>
      <c r="U418">
        <f ca="1">IFERROR(IF(0=LEN(ReferenceData!$U$418),"",ReferenceData!$U$418),"")</f>
        <v>63.247708969999998</v>
      </c>
      <c r="V418">
        <f ca="1">IFERROR(IF(0=LEN(ReferenceData!$V$418),"",ReferenceData!$V$418),"")</f>
        <v>50.034145870000003</v>
      </c>
      <c r="W418">
        <f ca="1">IFERROR(IF(0=LEN(ReferenceData!$W$418),"",ReferenceData!$W$418),"")</f>
        <v>34.451793019999997</v>
      </c>
      <c r="X418">
        <f ca="1">IFERROR(IF(0=LEN(ReferenceData!$X$418),"",ReferenceData!$X$418),"")</f>
        <v>25.70792067</v>
      </c>
      <c r="Y418">
        <f ca="1">IFERROR(IF(0=LEN(ReferenceData!$Y$418),"",ReferenceData!$Y$418),"")</f>
        <v>25.491714590000001</v>
      </c>
      <c r="Z418">
        <f ca="1">IFERROR(IF(0=LEN(ReferenceData!$Z$418),"",ReferenceData!$Z$418),"")</f>
        <v>18.719501879999999</v>
      </c>
      <c r="AA418">
        <f ca="1">IFERROR(IF(0=LEN(ReferenceData!$AA$418),"",ReferenceData!$AA$418),"")</f>
        <v>21.10138568</v>
      </c>
      <c r="AB418">
        <f ca="1">IFERROR(IF(0=LEN(ReferenceData!$AB$418),"",ReferenceData!$AB$418),"")</f>
        <v>16.535721290000001</v>
      </c>
      <c r="AC418">
        <f ca="1">IFERROR(IF(0=LEN(ReferenceData!$AC$418),"",ReferenceData!$AC$418),"")</f>
        <v>19.613704510000002</v>
      </c>
      <c r="AD418">
        <f ca="1">IFERROR(IF(0=LEN(ReferenceData!$AD$418),"",ReferenceData!$AD$418),"")</f>
        <v>21.496009900000001</v>
      </c>
      <c r="AE418">
        <f ca="1">IFERROR(IF(0=LEN(ReferenceData!$AE$418),"",ReferenceData!$AE$418),"")</f>
        <v>15.09435221</v>
      </c>
      <c r="AF418">
        <f ca="1">IFERROR(IF(0=LEN(ReferenceData!$AF$418),"",ReferenceData!$AF$418),"")</f>
        <v>25.40311153</v>
      </c>
      <c r="AG418">
        <f ca="1">IFERROR(IF(0=LEN(ReferenceData!$AG$418),"",ReferenceData!$AG$418),"")</f>
        <v>13.744660359999999</v>
      </c>
      <c r="AH418">
        <f ca="1">IFERROR(IF(0=LEN(ReferenceData!$AH$418),"",ReferenceData!$AH$418),"")</f>
        <v>12.355016790000001</v>
      </c>
      <c r="AI418">
        <f ca="1">IFERROR(IF(0=LEN(ReferenceData!$AI$418),"",ReferenceData!$AI$418),"")</f>
        <v>11.26462894</v>
      </c>
      <c r="AJ418">
        <f ca="1">IFERROR(IF(0=LEN(ReferenceData!$AJ$418),"",ReferenceData!$AJ$418),"")</f>
        <v>27.208524969999999</v>
      </c>
      <c r="AK418">
        <f ca="1">IFERROR(IF(0=LEN(ReferenceData!$AK$418),"",ReferenceData!$AK$418),"")</f>
        <v>24.071152810000001</v>
      </c>
      <c r="AL418">
        <f ca="1">IFERROR(IF(0=LEN(ReferenceData!$AL$418),"",ReferenceData!$AL$418),"")</f>
        <v>14.7348216</v>
      </c>
      <c r="AM418">
        <f ca="1">IFERROR(IF(0=LEN(ReferenceData!$AM$418),"",ReferenceData!$AM$418),"")</f>
        <v>16.145528339999998</v>
      </c>
      <c r="AN418">
        <f ca="1">IFERROR(IF(0=LEN(ReferenceData!$AN$418),"",ReferenceData!$AN$418),"")</f>
        <v>5.2735894200000004</v>
      </c>
      <c r="AO418">
        <f ca="1">IFERROR(IF(0=LEN(ReferenceData!$AO$418),"",ReferenceData!$AO$418),"")</f>
        <v>5.2385919159999998</v>
      </c>
      <c r="AP418">
        <f ca="1">IFERROR(IF(0=LEN(ReferenceData!$AP$418),"",ReferenceData!$AP$418),"")</f>
        <v>5.2889451259999998</v>
      </c>
      <c r="AQ418">
        <f ca="1">IFERROR(IF(0=LEN(ReferenceData!$AQ$418),"",ReferenceData!$AQ$418),"")</f>
        <v>4.9683238799999998</v>
      </c>
      <c r="AR418">
        <f ca="1">IFERROR(IF(0=LEN(ReferenceData!$AR$418),"",ReferenceData!$AR$418),"")</f>
        <v>5.381655061</v>
      </c>
      <c r="AS418">
        <f ca="1">IFERROR(IF(0=LEN(ReferenceData!$AS$418),"",ReferenceData!$AS$418),"")</f>
        <v>2.8111338770000001</v>
      </c>
      <c r="AT418">
        <f ca="1">IFERROR(IF(0=LEN(ReferenceData!$AT$418),"",ReferenceData!$AT$418),"")</f>
        <v>2.4705515039999999</v>
      </c>
      <c r="AU418">
        <f ca="1">IFERROR(IF(0=LEN(ReferenceData!$AU$418),"",ReferenceData!$AU$418),"")</f>
        <v>3.750215903</v>
      </c>
      <c r="AV418">
        <f ca="1">IFERROR(IF(0=LEN(ReferenceData!$AV$418),"",ReferenceData!$AV$418),"")</f>
        <v>3.4967887649999998</v>
      </c>
      <c r="AW418">
        <f ca="1">IFERROR(IF(0=LEN(ReferenceData!$AW$418),"",ReferenceData!$AW$418),"")</f>
        <v>4.9220610440000003</v>
      </c>
      <c r="AX418">
        <f ca="1">IFERROR(IF(0=LEN(ReferenceData!$AX$418),"",ReferenceData!$AX$418),"")</f>
        <v>5.3627333659999996</v>
      </c>
      <c r="AY418">
        <f ca="1">IFERROR(IF(0=LEN(ReferenceData!$AY$418),"",ReferenceData!$AY$418),"")</f>
        <v>5.584539157</v>
      </c>
      <c r="AZ418">
        <f ca="1">IFERROR(IF(0=LEN(ReferenceData!$AZ$418),"",ReferenceData!$AZ$418),"")</f>
        <v>7.0664299650000002</v>
      </c>
      <c r="BA418">
        <f ca="1">IFERROR(IF(0=LEN(ReferenceData!$BA$418),"",ReferenceData!$BA$418),"")</f>
        <v>7.1180704329999998</v>
      </c>
      <c r="BB418">
        <f ca="1">IFERROR(IF(0=LEN(ReferenceData!$BB$418),"",ReferenceData!$BB$418),"")</f>
        <v>6.2323156290000004</v>
      </c>
      <c r="BC418">
        <f ca="1">IFERROR(IF(0=LEN(ReferenceData!$BC$418),"",ReferenceData!$BC$418),"")</f>
        <v>6.1581277390000002</v>
      </c>
      <c r="BD418">
        <f ca="1">IFERROR(IF(0=LEN(ReferenceData!$BD$418),"",ReferenceData!$BD$418),"")</f>
        <v>5.8148788859999998</v>
      </c>
      <c r="BE418">
        <f ca="1">IFERROR(IF(0=LEN(ReferenceData!$BE$418),"",ReferenceData!$BE$418),"")</f>
        <v>4.7951599800000002</v>
      </c>
      <c r="BF418">
        <f ca="1">IFERROR(IF(0=LEN(ReferenceData!$BF$418),"",ReferenceData!$BF$418),"")</f>
        <v>5.3934441370000004</v>
      </c>
      <c r="BG418">
        <f ca="1">IFERROR(IF(0=LEN(ReferenceData!$BG$418),"",ReferenceData!$BG$418),"")</f>
        <v>5.1574128210000003</v>
      </c>
      <c r="BH418">
        <f ca="1">IFERROR(IF(0=LEN(ReferenceData!$BH$418),"",ReferenceData!$BH$418),"")</f>
        <v>5.0490484550000003</v>
      </c>
      <c r="BI418">
        <f ca="1">IFERROR(IF(0=LEN(ReferenceData!$BI$418),"",ReferenceData!$BI$418),"")</f>
        <v>5.7249089189999998</v>
      </c>
      <c r="BJ418">
        <f ca="1">IFERROR(IF(0=LEN(ReferenceData!$BJ$418),"",ReferenceData!$BJ$418),"")</f>
        <v>5.6057750100000003</v>
      </c>
      <c r="BK418">
        <f ca="1">IFERROR(IF(0=LEN(ReferenceData!$BK$418),"",ReferenceData!$BK$418),"")</f>
        <v>4.9660005690000002</v>
      </c>
      <c r="BL418">
        <f ca="1">IFERROR(IF(0=LEN(ReferenceData!$BL$418),"",ReferenceData!$BL$418),"")</f>
        <v>4.8427515830000001</v>
      </c>
      <c r="BM418">
        <f ca="1">IFERROR(IF(0=LEN(ReferenceData!$BM$418),"",ReferenceData!$BM$418),"")</f>
        <v>5.1290258279999996</v>
      </c>
    </row>
    <row r="419" spans="1:65" x14ac:dyDescent="0.25">
      <c r="A419" t="str">
        <f>IFERROR(IF(0=LEN(ReferenceData!$A$419),"",ReferenceData!$A$419),"")</f>
        <v xml:space="preserve">    Brilliance China Automotive Holdings Ltd</v>
      </c>
      <c r="B419" t="str">
        <f>IFERROR(IF(0=LEN(ReferenceData!$B$419),"",ReferenceData!$B$419),"")</f>
        <v>1114 HK Equity</v>
      </c>
      <c r="C419" t="str">
        <f>IFERROR(IF(0=LEN(ReferenceData!$C$419),"",ReferenceData!$C$419),"")</f>
        <v>RR477</v>
      </c>
      <c r="D419" t="str">
        <f>IFERROR(IF(0=LEN(ReferenceData!$D$419),"",ReferenceData!$D$419),"")</f>
        <v>EV_TO_T12M_CASH_FLOW</v>
      </c>
      <c r="E419" t="str">
        <f>IFERROR(IF(0=LEN(ReferenceData!$E$419),"",ReferenceData!$E$419),"")</f>
        <v>Dynamic</v>
      </c>
      <c r="F419" t="str">
        <f ca="1">IFERROR(IF(0=LEN(ReferenceData!$F$419),"",ReferenceData!$F$419),"")</f>
        <v/>
      </c>
      <c r="G419" t="str">
        <f ca="1">IFERROR(IF(0=LEN(ReferenceData!$G$419),"",ReferenceData!$G$419),"")</f>
        <v/>
      </c>
      <c r="H419" t="str">
        <f ca="1">IFERROR(IF(0=LEN(ReferenceData!$H$419),"",ReferenceData!$H$419),"")</f>
        <v/>
      </c>
      <c r="I419" t="str">
        <f ca="1">IFERROR(IF(0=LEN(ReferenceData!$I$419),"",ReferenceData!$I$419),"")</f>
        <v/>
      </c>
      <c r="J419" t="str">
        <f ca="1">IFERROR(IF(0=LEN(ReferenceData!$J$419),"",ReferenceData!$J$419),"")</f>
        <v/>
      </c>
      <c r="K419" t="str">
        <f ca="1">IFERROR(IF(0=LEN(ReferenceData!$K$419),"",ReferenceData!$K$419),"")</f>
        <v/>
      </c>
      <c r="L419" t="str">
        <f ca="1">IFERROR(IF(0=LEN(ReferenceData!$L$419),"",ReferenceData!$L$419),"")</f>
        <v/>
      </c>
      <c r="M419" t="str">
        <f ca="1">IFERROR(IF(0=LEN(ReferenceData!$M$419),"",ReferenceData!$M$419),"")</f>
        <v/>
      </c>
      <c r="N419" t="str">
        <f ca="1">IFERROR(IF(0=LEN(ReferenceData!$N$419),"",ReferenceData!$N$419),"")</f>
        <v/>
      </c>
      <c r="O419" t="str">
        <f ca="1">IFERROR(IF(0=LEN(ReferenceData!$O$419),"",ReferenceData!$O$419),"")</f>
        <v/>
      </c>
      <c r="P419" t="str">
        <f ca="1">IFERROR(IF(0=LEN(ReferenceData!$P$419),"",ReferenceData!$P$419),"")</f>
        <v/>
      </c>
      <c r="Q419" t="str">
        <f ca="1">IFERROR(IF(0=LEN(ReferenceData!$Q$419),"",ReferenceData!$Q$419),"")</f>
        <v/>
      </c>
      <c r="R419" t="str">
        <f ca="1">IFERROR(IF(0=LEN(ReferenceData!$R$419),"",ReferenceData!$R$419),"")</f>
        <v/>
      </c>
      <c r="S419" t="str">
        <f ca="1">IFERROR(IF(0=LEN(ReferenceData!$S$419),"",ReferenceData!$S$419),"")</f>
        <v/>
      </c>
      <c r="T419" t="str">
        <f ca="1">IFERROR(IF(0=LEN(ReferenceData!$T$419),"",ReferenceData!$T$419),"")</f>
        <v/>
      </c>
      <c r="U419" t="str">
        <f ca="1">IFERROR(IF(0=LEN(ReferenceData!$U$419),"",ReferenceData!$U$419),"")</f>
        <v/>
      </c>
      <c r="V419" t="str">
        <f ca="1">IFERROR(IF(0=LEN(ReferenceData!$V$419),"",ReferenceData!$V$419),"")</f>
        <v/>
      </c>
      <c r="W419" t="str">
        <f ca="1">IFERROR(IF(0=LEN(ReferenceData!$W$419),"",ReferenceData!$W$419),"")</f>
        <v/>
      </c>
      <c r="X419" t="str">
        <f ca="1">IFERROR(IF(0=LEN(ReferenceData!$X$419),"",ReferenceData!$X$419),"")</f>
        <v/>
      </c>
      <c r="Y419" t="str">
        <f ca="1">IFERROR(IF(0=LEN(ReferenceData!$Y$419),"",ReferenceData!$Y$419),"")</f>
        <v/>
      </c>
      <c r="Z419" t="str">
        <f ca="1">IFERROR(IF(0=LEN(ReferenceData!$Z$419),"",ReferenceData!$Z$419),"")</f>
        <v/>
      </c>
      <c r="AA419" t="str">
        <f ca="1">IFERROR(IF(0=LEN(ReferenceData!$AA$419),"",ReferenceData!$AA$419),"")</f>
        <v/>
      </c>
      <c r="AB419" t="str">
        <f ca="1">IFERROR(IF(0=LEN(ReferenceData!$AB$419),"",ReferenceData!$AB$419),"")</f>
        <v/>
      </c>
      <c r="AC419" t="str">
        <f ca="1">IFERROR(IF(0=LEN(ReferenceData!$AC$419),"",ReferenceData!$AC$419),"")</f>
        <v/>
      </c>
      <c r="AD419" t="str">
        <f ca="1">IFERROR(IF(0=LEN(ReferenceData!$AD$419),"",ReferenceData!$AD$419),"")</f>
        <v/>
      </c>
      <c r="AE419" t="str">
        <f ca="1">IFERROR(IF(0=LEN(ReferenceData!$AE$419),"",ReferenceData!$AE$419),"")</f>
        <v/>
      </c>
      <c r="AF419" t="str">
        <f ca="1">IFERROR(IF(0=LEN(ReferenceData!$AF$419),"",ReferenceData!$AF$419),"")</f>
        <v/>
      </c>
      <c r="AG419" t="str">
        <f ca="1">IFERROR(IF(0=LEN(ReferenceData!$AG$419),"",ReferenceData!$AG$419),"")</f>
        <v/>
      </c>
      <c r="AH419" t="str">
        <f ca="1">IFERROR(IF(0=LEN(ReferenceData!$AH$419),"",ReferenceData!$AH$419),"")</f>
        <v/>
      </c>
      <c r="AI419" t="str">
        <f ca="1">IFERROR(IF(0=LEN(ReferenceData!$AI$419),"",ReferenceData!$AI$419),"")</f>
        <v/>
      </c>
      <c r="AJ419" t="str">
        <f ca="1">IFERROR(IF(0=LEN(ReferenceData!$AJ$419),"",ReferenceData!$AJ$419),"")</f>
        <v/>
      </c>
      <c r="AK419" t="str">
        <f ca="1">IFERROR(IF(0=LEN(ReferenceData!$AK$419),"",ReferenceData!$AK$419),"")</f>
        <v/>
      </c>
      <c r="AL419" t="str">
        <f ca="1">IFERROR(IF(0=LEN(ReferenceData!$AL$419),"",ReferenceData!$AL$419),"")</f>
        <v/>
      </c>
      <c r="AM419" t="str">
        <f ca="1">IFERROR(IF(0=LEN(ReferenceData!$AM$419),"",ReferenceData!$AM$419),"")</f>
        <v/>
      </c>
      <c r="AN419" t="str">
        <f ca="1">IFERROR(IF(0=LEN(ReferenceData!$AN$419),"",ReferenceData!$AN$419),"")</f>
        <v/>
      </c>
      <c r="AO419" t="str">
        <f ca="1">IFERROR(IF(0=LEN(ReferenceData!$AO$419),"",ReferenceData!$AO$419),"")</f>
        <v/>
      </c>
      <c r="AP419" t="str">
        <f ca="1">IFERROR(IF(0=LEN(ReferenceData!$AP$419),"",ReferenceData!$AP$419),"")</f>
        <v/>
      </c>
      <c r="AQ419" t="str">
        <f ca="1">IFERROR(IF(0=LEN(ReferenceData!$AQ$419),"",ReferenceData!$AQ$419),"")</f>
        <v/>
      </c>
      <c r="AR419" t="str">
        <f ca="1">IFERROR(IF(0=LEN(ReferenceData!$AR$419),"",ReferenceData!$AR$419),"")</f>
        <v/>
      </c>
      <c r="AS419" t="str">
        <f ca="1">IFERROR(IF(0=LEN(ReferenceData!$AS$419),"",ReferenceData!$AS$419),"")</f>
        <v/>
      </c>
      <c r="AT419" t="str">
        <f ca="1">IFERROR(IF(0=LEN(ReferenceData!$AT$419),"",ReferenceData!$AT$419),"")</f>
        <v/>
      </c>
      <c r="AU419" t="str">
        <f ca="1">IFERROR(IF(0=LEN(ReferenceData!$AU$419),"",ReferenceData!$AU$419),"")</f>
        <v/>
      </c>
      <c r="AV419" t="str">
        <f ca="1">IFERROR(IF(0=LEN(ReferenceData!$AV$419),"",ReferenceData!$AV$419),"")</f>
        <v/>
      </c>
      <c r="AW419" t="str">
        <f ca="1">IFERROR(IF(0=LEN(ReferenceData!$AW$419),"",ReferenceData!$AW$419),"")</f>
        <v/>
      </c>
      <c r="AX419" t="str">
        <f ca="1">IFERROR(IF(0=LEN(ReferenceData!$AX$419),"",ReferenceData!$AX$419),"")</f>
        <v/>
      </c>
      <c r="AY419" t="str">
        <f ca="1">IFERROR(IF(0=LEN(ReferenceData!$AY$419),"",ReferenceData!$AY$419),"")</f>
        <v/>
      </c>
      <c r="AZ419" t="str">
        <f ca="1">IFERROR(IF(0=LEN(ReferenceData!$AZ$419),"",ReferenceData!$AZ$419),"")</f>
        <v/>
      </c>
      <c r="BA419" t="str">
        <f ca="1">IFERROR(IF(0=LEN(ReferenceData!$BA$419),"",ReferenceData!$BA$419),"")</f>
        <v/>
      </c>
      <c r="BB419" t="str">
        <f ca="1">IFERROR(IF(0=LEN(ReferenceData!$BB$419),"",ReferenceData!$BB$419),"")</f>
        <v/>
      </c>
      <c r="BC419" t="str">
        <f ca="1">IFERROR(IF(0=LEN(ReferenceData!$BC$419),"",ReferenceData!$BC$419),"")</f>
        <v/>
      </c>
      <c r="BD419" t="str">
        <f ca="1">IFERROR(IF(0=LEN(ReferenceData!$BD$419),"",ReferenceData!$BD$419),"")</f>
        <v/>
      </c>
      <c r="BE419" t="str">
        <f ca="1">IFERROR(IF(0=LEN(ReferenceData!$BE$419),"",ReferenceData!$BE$419),"")</f>
        <v/>
      </c>
      <c r="BF419" t="str">
        <f ca="1">IFERROR(IF(0=LEN(ReferenceData!$BF$419),"",ReferenceData!$BF$419),"")</f>
        <v/>
      </c>
      <c r="BG419" t="str">
        <f ca="1">IFERROR(IF(0=LEN(ReferenceData!$BG$419),"",ReferenceData!$BG$419),"")</f>
        <v/>
      </c>
      <c r="BH419" t="str">
        <f ca="1">IFERROR(IF(0=LEN(ReferenceData!$BH$419),"",ReferenceData!$BH$419),"")</f>
        <v/>
      </c>
      <c r="BI419" t="str">
        <f ca="1">IFERROR(IF(0=LEN(ReferenceData!$BI$419),"",ReferenceData!$BI$419),"")</f>
        <v/>
      </c>
      <c r="BJ419" t="str">
        <f ca="1">IFERROR(IF(0=LEN(ReferenceData!$BJ$419),"",ReferenceData!$BJ$419),"")</f>
        <v/>
      </c>
      <c r="BK419" t="str">
        <f ca="1">IFERROR(IF(0=LEN(ReferenceData!$BK$419),"",ReferenceData!$BK$419),"")</f>
        <v/>
      </c>
      <c r="BL419" t="str">
        <f ca="1">IFERROR(IF(0=LEN(ReferenceData!$BL$419),"",ReferenceData!$BL$419),"")</f>
        <v/>
      </c>
      <c r="BM419" t="str">
        <f ca="1">IFERROR(IF(0=LEN(ReferenceData!$BM$419),"",ReferenceData!$BM$419),"")</f>
        <v/>
      </c>
    </row>
    <row r="420" spans="1:65" x14ac:dyDescent="0.25">
      <c r="A420" t="str">
        <f>IFERROR(IF(0=LEN(ReferenceData!$A$420),"",ReferenceData!$A$420),"")</f>
        <v xml:space="preserve">    BYD Co Ltd</v>
      </c>
      <c r="B420" t="str">
        <f>IFERROR(IF(0=LEN(ReferenceData!$B$420),"",ReferenceData!$B$420),"")</f>
        <v>1211 HK Equity</v>
      </c>
      <c r="C420" t="str">
        <f>IFERROR(IF(0=LEN(ReferenceData!$C$420),"",ReferenceData!$C$420),"")</f>
        <v>RR477</v>
      </c>
      <c r="D420" t="str">
        <f>IFERROR(IF(0=LEN(ReferenceData!$D$420),"",ReferenceData!$D$420),"")</f>
        <v>EV_TO_T12M_CASH_FLOW</v>
      </c>
      <c r="E420" t="str">
        <f>IFERROR(IF(0=LEN(ReferenceData!$E$420),"",ReferenceData!$E$420),"")</f>
        <v>Dynamic</v>
      </c>
      <c r="F420" t="str">
        <f ca="1">IFERROR(IF(0=LEN(ReferenceData!$F$420),"",ReferenceData!$F$420),"")</f>
        <v/>
      </c>
      <c r="G420" t="str">
        <f ca="1">IFERROR(IF(0=LEN(ReferenceData!$G$420),"",ReferenceData!$G$420),"")</f>
        <v/>
      </c>
      <c r="H420">
        <f ca="1">IFERROR(IF(0=LEN(ReferenceData!$H$420),"",ReferenceData!$H$420),"")</f>
        <v>21.512232999999998</v>
      </c>
      <c r="I420">
        <f ca="1">IFERROR(IF(0=LEN(ReferenceData!$I$420),"",ReferenceData!$I$420),"")</f>
        <v>34.05668661</v>
      </c>
      <c r="J420">
        <f ca="1">IFERROR(IF(0=LEN(ReferenceData!$J$420),"",ReferenceData!$J$420),"")</f>
        <v>37.526756659999997</v>
      </c>
      <c r="K420">
        <f ca="1">IFERROR(IF(0=LEN(ReferenceData!$K$420),"",ReferenceData!$K$420),"")</f>
        <v>60.967655729999997</v>
      </c>
      <c r="L420" t="str">
        <f ca="1">IFERROR(IF(0=LEN(ReferenceData!$L$420),"",ReferenceData!$L$420),"")</f>
        <v/>
      </c>
      <c r="M420" t="str">
        <f ca="1">IFERROR(IF(0=LEN(ReferenceData!$M$420),"",ReferenceData!$M$420),"")</f>
        <v/>
      </c>
      <c r="N420" t="str">
        <f ca="1">IFERROR(IF(0=LEN(ReferenceData!$N$420),"",ReferenceData!$N$420),"")</f>
        <v/>
      </c>
      <c r="O420" t="str">
        <f ca="1">IFERROR(IF(0=LEN(ReferenceData!$O$420),"",ReferenceData!$O$420),"")</f>
        <v/>
      </c>
      <c r="P420">
        <f ca="1">IFERROR(IF(0=LEN(ReferenceData!$P$420),"",ReferenceData!$P$420),"")</f>
        <v>367.34761909999997</v>
      </c>
      <c r="Q420" t="str">
        <f ca="1">IFERROR(IF(0=LEN(ReferenceData!$Q$420),"",ReferenceData!$Q$420),"")</f>
        <v/>
      </c>
      <c r="R420" t="str">
        <f ca="1">IFERROR(IF(0=LEN(ReferenceData!$R$420),"",ReferenceData!$R$420),"")</f>
        <v/>
      </c>
      <c r="S420">
        <f ca="1">IFERROR(IF(0=LEN(ReferenceData!$S$420),"",ReferenceData!$S$420),"")</f>
        <v>86.436879450000006</v>
      </c>
      <c r="T420" t="str">
        <f ca="1">IFERROR(IF(0=LEN(ReferenceData!$T$420),"",ReferenceData!$T$420),"")</f>
        <v/>
      </c>
      <c r="U420">
        <f ca="1">IFERROR(IF(0=LEN(ReferenceData!$U$420),"",ReferenceData!$U$420),"")</f>
        <v>87.535142930000006</v>
      </c>
      <c r="V420">
        <f ca="1">IFERROR(IF(0=LEN(ReferenceData!$V$420),"",ReferenceData!$V$420),"")</f>
        <v>45.220940710000001</v>
      </c>
      <c r="W420" t="str">
        <f ca="1">IFERROR(IF(0=LEN(ReferenceData!$W$420),"",ReferenceData!$W$420),"")</f>
        <v/>
      </c>
      <c r="X420" t="str">
        <f ca="1">IFERROR(IF(0=LEN(ReferenceData!$X$420),"",ReferenceData!$X$420),"")</f>
        <v/>
      </c>
      <c r="Y420" t="str">
        <f ca="1">IFERROR(IF(0=LEN(ReferenceData!$Y$420),"",ReferenceData!$Y$420),"")</f>
        <v/>
      </c>
      <c r="Z420" t="str">
        <f ca="1">IFERROR(IF(0=LEN(ReferenceData!$Z$420),"",ReferenceData!$Z$420),"")</f>
        <v/>
      </c>
      <c r="AA420">
        <f ca="1">IFERROR(IF(0=LEN(ReferenceData!$AA$420),"",ReferenceData!$AA$420),"")</f>
        <v>88.867409460000005</v>
      </c>
      <c r="AB420">
        <f ca="1">IFERROR(IF(0=LEN(ReferenceData!$AB$420),"",ReferenceData!$AB$420),"")</f>
        <v>33.151256150000002</v>
      </c>
      <c r="AC420">
        <f ca="1">IFERROR(IF(0=LEN(ReferenceData!$AC$420),"",ReferenceData!$AC$420),"")</f>
        <v>43.331458390000002</v>
      </c>
      <c r="AD420">
        <f ca="1">IFERROR(IF(0=LEN(ReferenceData!$AD$420),"",ReferenceData!$AD$420),"")</f>
        <v>37.316838410000003</v>
      </c>
      <c r="AE420">
        <f ca="1">IFERROR(IF(0=LEN(ReferenceData!$AE$420),"",ReferenceData!$AE$420),"")</f>
        <v>17.065492880000001</v>
      </c>
      <c r="AF420">
        <f ca="1">IFERROR(IF(0=LEN(ReferenceData!$AF$420),"",ReferenceData!$AF$420),"")</f>
        <v>15.63435136</v>
      </c>
      <c r="AG420">
        <f ca="1">IFERROR(IF(0=LEN(ReferenceData!$AG$420),"",ReferenceData!$AG$420),"")</f>
        <v>15.33899252</v>
      </c>
      <c r="AH420" t="str">
        <f ca="1">IFERROR(IF(0=LEN(ReferenceData!$AH$420),"",ReferenceData!$AH$420),"")</f>
        <v/>
      </c>
      <c r="AI420" t="str">
        <f ca="1">IFERROR(IF(0=LEN(ReferenceData!$AI$420),"",ReferenceData!$AI$420),"")</f>
        <v/>
      </c>
      <c r="AJ420" t="str">
        <f ca="1">IFERROR(IF(0=LEN(ReferenceData!$AJ$420),"",ReferenceData!$AJ$420),"")</f>
        <v/>
      </c>
      <c r="AK420" t="str">
        <f ca="1">IFERROR(IF(0=LEN(ReferenceData!$AK$420),"",ReferenceData!$AK$420),"")</f>
        <v/>
      </c>
      <c r="AL420" t="str">
        <f ca="1">IFERROR(IF(0=LEN(ReferenceData!$AL$420),"",ReferenceData!$AL$420),"")</f>
        <v/>
      </c>
      <c r="AM420">
        <f ca="1">IFERROR(IF(0=LEN(ReferenceData!$AM$420),"",ReferenceData!$AM$420),"")</f>
        <v>34.226486629999997</v>
      </c>
      <c r="AN420">
        <f ca="1">IFERROR(IF(0=LEN(ReferenceData!$AN$420),"",ReferenceData!$AN$420),"")</f>
        <v>15.395956630000001</v>
      </c>
      <c r="AO420">
        <f ca="1">IFERROR(IF(0=LEN(ReferenceData!$AO$420),"",ReferenceData!$AO$420),"")</f>
        <v>12.38004039</v>
      </c>
      <c r="AP420" t="str">
        <f ca="1">IFERROR(IF(0=LEN(ReferenceData!$AP$420),"",ReferenceData!$AP$420),"")</f>
        <v/>
      </c>
      <c r="AQ420" t="str">
        <f ca="1">IFERROR(IF(0=LEN(ReferenceData!$AQ$420),"",ReferenceData!$AQ$420),"")</f>
        <v/>
      </c>
      <c r="AR420" t="str">
        <f ca="1">IFERROR(IF(0=LEN(ReferenceData!$AR$420),"",ReferenceData!$AR$420),"")</f>
        <v/>
      </c>
      <c r="AS420" t="str">
        <f ca="1">IFERROR(IF(0=LEN(ReferenceData!$AS$420),"",ReferenceData!$AS$420),"")</f>
        <v/>
      </c>
      <c r="AT420" t="str">
        <f ca="1">IFERROR(IF(0=LEN(ReferenceData!$AT$420),"",ReferenceData!$AT$420),"")</f>
        <v/>
      </c>
      <c r="AU420" t="str">
        <f ca="1">IFERROR(IF(0=LEN(ReferenceData!$AU$420),"",ReferenceData!$AU$420),"")</f>
        <v/>
      </c>
      <c r="AV420" t="str">
        <f ca="1">IFERROR(IF(0=LEN(ReferenceData!$AV$420),"",ReferenceData!$AV$420),"")</f>
        <v/>
      </c>
      <c r="AW420" t="str">
        <f ca="1">IFERROR(IF(0=LEN(ReferenceData!$AW$420),"",ReferenceData!$AW$420),"")</f>
        <v/>
      </c>
      <c r="AX420" t="str">
        <f ca="1">IFERROR(IF(0=LEN(ReferenceData!$AX$420),"",ReferenceData!$AX$420),"")</f>
        <v/>
      </c>
      <c r="AY420" t="str">
        <f ca="1">IFERROR(IF(0=LEN(ReferenceData!$AY$420),"",ReferenceData!$AY$420),"")</f>
        <v/>
      </c>
      <c r="AZ420" t="str">
        <f ca="1">IFERROR(IF(0=LEN(ReferenceData!$AZ$420),"",ReferenceData!$AZ$420),"")</f>
        <v/>
      </c>
      <c r="BA420" t="str">
        <f ca="1">IFERROR(IF(0=LEN(ReferenceData!$BA$420),"",ReferenceData!$BA$420),"")</f>
        <v/>
      </c>
      <c r="BB420" t="str">
        <f ca="1">IFERROR(IF(0=LEN(ReferenceData!$BB$420),"",ReferenceData!$BB$420),"")</f>
        <v/>
      </c>
      <c r="BC420" t="str">
        <f ca="1">IFERROR(IF(0=LEN(ReferenceData!$BC$420),"",ReferenceData!$BC$420),"")</f>
        <v/>
      </c>
      <c r="BD420" t="str">
        <f ca="1">IFERROR(IF(0=LEN(ReferenceData!$BD$420),"",ReferenceData!$BD$420),"")</f>
        <v/>
      </c>
      <c r="BE420" t="str">
        <f ca="1">IFERROR(IF(0=LEN(ReferenceData!$BE$420),"",ReferenceData!$BE$420),"")</f>
        <v/>
      </c>
      <c r="BF420" t="str">
        <f ca="1">IFERROR(IF(0=LEN(ReferenceData!$BF$420),"",ReferenceData!$BF$420),"")</f>
        <v/>
      </c>
      <c r="BG420" t="str">
        <f ca="1">IFERROR(IF(0=LEN(ReferenceData!$BG$420),"",ReferenceData!$BG$420),"")</f>
        <v/>
      </c>
      <c r="BH420" t="str">
        <f ca="1">IFERROR(IF(0=LEN(ReferenceData!$BH$420),"",ReferenceData!$BH$420),"")</f>
        <v/>
      </c>
      <c r="BI420" t="str">
        <f ca="1">IFERROR(IF(0=LEN(ReferenceData!$BI$420),"",ReferenceData!$BI$420),"")</f>
        <v/>
      </c>
      <c r="BJ420" t="str">
        <f ca="1">IFERROR(IF(0=LEN(ReferenceData!$BJ$420),"",ReferenceData!$BJ$420),"")</f>
        <v/>
      </c>
      <c r="BK420" t="str">
        <f ca="1">IFERROR(IF(0=LEN(ReferenceData!$BK$420),"",ReferenceData!$BK$420),"")</f>
        <v/>
      </c>
      <c r="BL420" t="str">
        <f ca="1">IFERROR(IF(0=LEN(ReferenceData!$BL$420),"",ReferenceData!$BL$420),"")</f>
        <v/>
      </c>
      <c r="BM420" t="str">
        <f ca="1">IFERROR(IF(0=LEN(ReferenceData!$BM$420),"",ReferenceData!$BM$420),"")</f>
        <v/>
      </c>
    </row>
    <row r="421" spans="1:65" x14ac:dyDescent="0.25">
      <c r="A421" t="str">
        <f>IFERROR(IF(0=LEN(ReferenceData!$A$421),"",ReferenceData!$A$421),"")</f>
        <v xml:space="preserve">    Chongqing Changan Automobile Co Ltd</v>
      </c>
      <c r="B421" t="str">
        <f>IFERROR(IF(0=LEN(ReferenceData!$B$421),"",ReferenceData!$B$421),"")</f>
        <v>200625 CH Equity</v>
      </c>
      <c r="C421" t="str">
        <f>IFERROR(IF(0=LEN(ReferenceData!$C$421),"",ReferenceData!$C$421),"")</f>
        <v>RR477</v>
      </c>
      <c r="D421" t="str">
        <f>IFERROR(IF(0=LEN(ReferenceData!$D$421),"",ReferenceData!$D$421),"")</f>
        <v>EV_TO_T12M_CASH_FLOW</v>
      </c>
      <c r="E421" t="str">
        <f>IFERROR(IF(0=LEN(ReferenceData!$E$421),"",ReferenceData!$E$421),"")</f>
        <v>Dynamic</v>
      </c>
      <c r="F421" t="str">
        <f ca="1">IFERROR(IF(0=LEN(ReferenceData!$F$421),"",ReferenceData!$F$421),"")</f>
        <v/>
      </c>
      <c r="G421" t="str">
        <f ca="1">IFERROR(IF(0=LEN(ReferenceData!$G$421),"",ReferenceData!$G$421),"")</f>
        <v/>
      </c>
      <c r="H421">
        <f ca="1">IFERROR(IF(0=LEN(ReferenceData!$H$421),"",ReferenceData!$H$421),"")</f>
        <v>9.6819110310000003</v>
      </c>
      <c r="I421">
        <f ca="1">IFERROR(IF(0=LEN(ReferenceData!$I$421),"",ReferenceData!$I$421),"")</f>
        <v>11.858389730000001</v>
      </c>
      <c r="J421">
        <f ca="1">IFERROR(IF(0=LEN(ReferenceData!$J$421),"",ReferenceData!$J$421),"")</f>
        <v>4.9109523429999999</v>
      </c>
      <c r="K421">
        <f ca="1">IFERROR(IF(0=LEN(ReferenceData!$K$421),"",ReferenceData!$K$421),"")</f>
        <v>4.2862860209999996</v>
      </c>
      <c r="L421">
        <f ca="1">IFERROR(IF(0=LEN(ReferenceData!$L$421),"",ReferenceData!$L$421),"")</f>
        <v>5.8012477010000003</v>
      </c>
      <c r="M421">
        <f ca="1">IFERROR(IF(0=LEN(ReferenceData!$M$421),"",ReferenceData!$M$421),"")</f>
        <v>3.1182852310000002</v>
      </c>
      <c r="N421">
        <f ca="1">IFERROR(IF(0=LEN(ReferenceData!$N$421),"",ReferenceData!$N$421),"")</f>
        <v>2.8823013280000001</v>
      </c>
      <c r="O421">
        <f ca="1">IFERROR(IF(0=LEN(ReferenceData!$O$421),"",ReferenceData!$O$421),"")</f>
        <v>3.9785009570000001</v>
      </c>
      <c r="P421">
        <f ca="1">IFERROR(IF(0=LEN(ReferenceData!$P$421),"",ReferenceData!$P$421),"")</f>
        <v>3.645194493</v>
      </c>
      <c r="Q421">
        <f ca="1">IFERROR(IF(0=LEN(ReferenceData!$Q$421),"",ReferenceData!$Q$421),"")</f>
        <v>2.8635008919999998</v>
      </c>
      <c r="R421">
        <f ca="1">IFERROR(IF(0=LEN(ReferenceData!$R$421),"",ReferenceData!$R$421),"")</f>
        <v>4.7761412500000002</v>
      </c>
      <c r="S421">
        <f ca="1">IFERROR(IF(0=LEN(ReferenceData!$S$421),"",ReferenceData!$S$421),"")</f>
        <v>5.0881017929999999</v>
      </c>
      <c r="T421">
        <f ca="1">IFERROR(IF(0=LEN(ReferenceData!$T$421),"",ReferenceData!$T$421),"")</f>
        <v>3.5804581980000001</v>
      </c>
      <c r="U421">
        <f ca="1">IFERROR(IF(0=LEN(ReferenceData!$U$421),"",ReferenceData!$U$421),"")</f>
        <v>7.805403053</v>
      </c>
      <c r="V421">
        <f ca="1">IFERROR(IF(0=LEN(ReferenceData!$V$421),"",ReferenceData!$V$421),"")</f>
        <v>6.1740806780000002</v>
      </c>
      <c r="W421">
        <f ca="1">IFERROR(IF(0=LEN(ReferenceData!$W$421),"",ReferenceData!$W$421),"")</f>
        <v>6.3173216319999996</v>
      </c>
      <c r="X421">
        <f ca="1">IFERROR(IF(0=LEN(ReferenceData!$X$421),"",ReferenceData!$X$421),"")</f>
        <v>8.7606265899999993</v>
      </c>
      <c r="Y421">
        <f ca="1">IFERROR(IF(0=LEN(ReferenceData!$Y$421),"",ReferenceData!$Y$421),"")</f>
        <v>11.437868480000001</v>
      </c>
      <c r="Z421">
        <f ca="1">IFERROR(IF(0=LEN(ReferenceData!$Z$421),"",ReferenceData!$Z$421),"")</f>
        <v>32.111829829999998</v>
      </c>
      <c r="AA421">
        <f ca="1">IFERROR(IF(0=LEN(ReferenceData!$AA$421),"",ReferenceData!$AA$421),"")</f>
        <v>21.819084010000001</v>
      </c>
      <c r="AB421">
        <f ca="1">IFERROR(IF(0=LEN(ReferenceData!$AB$421),"",ReferenceData!$AB$421),"")</f>
        <v>10.370040270000001</v>
      </c>
      <c r="AC421">
        <f ca="1">IFERROR(IF(0=LEN(ReferenceData!$AC$421),"",ReferenceData!$AC$421),"")</f>
        <v>7.6076668390000002</v>
      </c>
      <c r="AD421">
        <f ca="1">IFERROR(IF(0=LEN(ReferenceData!$AD$421),"",ReferenceData!$AD$421),"")</f>
        <v>12.32918357</v>
      </c>
      <c r="AE421">
        <f ca="1">IFERROR(IF(0=LEN(ReferenceData!$AE$421),"",ReferenceData!$AE$421),"")</f>
        <v>16.17315717</v>
      </c>
      <c r="AF421" t="str">
        <f ca="1">IFERROR(IF(0=LEN(ReferenceData!$AF$421),"",ReferenceData!$AF$421),"")</f>
        <v/>
      </c>
      <c r="AG421" t="str">
        <f ca="1">IFERROR(IF(0=LEN(ReferenceData!$AG$421),"",ReferenceData!$AG$421),"")</f>
        <v/>
      </c>
      <c r="AH421" t="str">
        <f ca="1">IFERROR(IF(0=LEN(ReferenceData!$AH$421),"",ReferenceData!$AH$421),"")</f>
        <v/>
      </c>
      <c r="AI421">
        <f ca="1">IFERROR(IF(0=LEN(ReferenceData!$AI$421),"",ReferenceData!$AI$421),"")</f>
        <v>63.194505319999998</v>
      </c>
      <c r="AJ421">
        <f ca="1">IFERROR(IF(0=LEN(ReferenceData!$AJ$421),"",ReferenceData!$AJ$421),"")</f>
        <v>8.9028463470000005</v>
      </c>
      <c r="AK421">
        <f ca="1">IFERROR(IF(0=LEN(ReferenceData!$AK$421),"",ReferenceData!$AK$421),"")</f>
        <v>4.6432296019999999</v>
      </c>
      <c r="AL421">
        <f ca="1">IFERROR(IF(0=LEN(ReferenceData!$AL$421),"",ReferenceData!$AL$421),"")</f>
        <v>4.1672002030000002</v>
      </c>
      <c r="AM421">
        <f ca="1">IFERROR(IF(0=LEN(ReferenceData!$AM$421),"",ReferenceData!$AM$421),"")</f>
        <v>5.7265630249999999</v>
      </c>
      <c r="AN421">
        <f ca="1">IFERROR(IF(0=LEN(ReferenceData!$AN$421),"",ReferenceData!$AN$421),"")</f>
        <v>4.3938621260000001</v>
      </c>
      <c r="AO421">
        <f ca="1">IFERROR(IF(0=LEN(ReferenceData!$AO$421),"",ReferenceData!$AO$421),"")</f>
        <v>3.3594000999999998</v>
      </c>
      <c r="AP421">
        <f ca="1">IFERROR(IF(0=LEN(ReferenceData!$AP$421),"",ReferenceData!$AP$421),"")</f>
        <v>6.7782033110000004</v>
      </c>
      <c r="AQ421">
        <f ca="1">IFERROR(IF(0=LEN(ReferenceData!$AQ$421),"",ReferenceData!$AQ$421),"")</f>
        <v>7.643857627</v>
      </c>
      <c r="AR421">
        <f ca="1">IFERROR(IF(0=LEN(ReferenceData!$AR$421),"",ReferenceData!$AR$421),"")</f>
        <v>2.9577132900000001</v>
      </c>
      <c r="AS421">
        <f ca="1">IFERROR(IF(0=LEN(ReferenceData!$AS$421),"",ReferenceData!$AS$421),"")</f>
        <v>6.5616117889999996</v>
      </c>
      <c r="AT421">
        <f ca="1">IFERROR(IF(0=LEN(ReferenceData!$AT$421),"",ReferenceData!$AT$421),"")</f>
        <v>6.9464782229999997</v>
      </c>
      <c r="AU421" t="str">
        <f ca="1">IFERROR(IF(0=LEN(ReferenceData!$AU$421),"",ReferenceData!$AU$421),"")</f>
        <v/>
      </c>
      <c r="AV421">
        <f ca="1">IFERROR(IF(0=LEN(ReferenceData!$AV$421),"",ReferenceData!$AV$421),"")</f>
        <v>10.125588499999999</v>
      </c>
      <c r="AW421">
        <f ca="1">IFERROR(IF(0=LEN(ReferenceData!$AW$421),"",ReferenceData!$AW$421),"")</f>
        <v>54.054732260000002</v>
      </c>
      <c r="AX421">
        <f ca="1">IFERROR(IF(0=LEN(ReferenceData!$AX$421),"",ReferenceData!$AX$421),"")</f>
        <v>46.938885990000003</v>
      </c>
      <c r="AY421">
        <f ca="1">IFERROR(IF(0=LEN(ReferenceData!$AY$421),"",ReferenceData!$AY$421),"")</f>
        <v>26.849811540000001</v>
      </c>
      <c r="AZ421">
        <f ca="1">IFERROR(IF(0=LEN(ReferenceData!$AZ$421),"",ReferenceData!$AZ$421),"")</f>
        <v>13.567292419999999</v>
      </c>
      <c r="BA421">
        <f ca="1">IFERROR(IF(0=LEN(ReferenceData!$BA$421),"",ReferenceData!$BA$421),"")</f>
        <v>6.6578549269999998</v>
      </c>
      <c r="BB421">
        <f ca="1">IFERROR(IF(0=LEN(ReferenceData!$BB$421),"",ReferenceData!$BB$421),"")</f>
        <v>9.0764669470000001</v>
      </c>
      <c r="BC421">
        <f ca="1">IFERROR(IF(0=LEN(ReferenceData!$BC$421),"",ReferenceData!$BC$421),"")</f>
        <v>7.237943434</v>
      </c>
      <c r="BD421">
        <f ca="1">IFERROR(IF(0=LEN(ReferenceData!$BD$421),"",ReferenceData!$BD$421),"")</f>
        <v>6.7344013680000003</v>
      </c>
      <c r="BE421">
        <f ca="1">IFERROR(IF(0=LEN(ReferenceData!$BE$421),"",ReferenceData!$BE$421),"")</f>
        <v>14.50173985</v>
      </c>
      <c r="BF421">
        <f ca="1">IFERROR(IF(0=LEN(ReferenceData!$BF$421),"",ReferenceData!$BF$421),"")</f>
        <v>55.81870456</v>
      </c>
      <c r="BG421">
        <f ca="1">IFERROR(IF(0=LEN(ReferenceData!$BG$421),"",ReferenceData!$BG$421),"")</f>
        <v>7.200793343</v>
      </c>
      <c r="BH421">
        <f ca="1">IFERROR(IF(0=LEN(ReferenceData!$BH$421),"",ReferenceData!$BH$421),"")</f>
        <v>6.9673640710000004</v>
      </c>
      <c r="BI421" t="str">
        <f ca="1">IFERROR(IF(0=LEN(ReferenceData!$BI$421),"",ReferenceData!$BI$421),"")</f>
        <v/>
      </c>
      <c r="BJ421" t="str">
        <f ca="1">IFERROR(IF(0=LEN(ReferenceData!$BJ$421),"",ReferenceData!$BJ$421),"")</f>
        <v/>
      </c>
      <c r="BK421" t="str">
        <f ca="1">IFERROR(IF(0=LEN(ReferenceData!$BK$421),"",ReferenceData!$BK$421),"")</f>
        <v/>
      </c>
      <c r="BL421" t="str">
        <f ca="1">IFERROR(IF(0=LEN(ReferenceData!$BL$421),"",ReferenceData!$BL$421),"")</f>
        <v/>
      </c>
      <c r="BM421" t="str">
        <f ca="1">IFERROR(IF(0=LEN(ReferenceData!$BM$421),"",ReferenceData!$BM$421),"")</f>
        <v/>
      </c>
    </row>
    <row r="422" spans="1:65" x14ac:dyDescent="0.25">
      <c r="A422" t="str">
        <f>IFERROR(IF(0=LEN(ReferenceData!$A$422),"",ReferenceData!$A$422),"")</f>
        <v xml:space="preserve">    Daihatsu Motor Co Ltd</v>
      </c>
      <c r="B422" t="str">
        <f>IFERROR(IF(0=LEN(ReferenceData!$B$422),"",ReferenceData!$B$422),"")</f>
        <v>7262 JP Equity</v>
      </c>
      <c r="C422" t="str">
        <f>IFERROR(IF(0=LEN(ReferenceData!$C$422),"",ReferenceData!$C$422),"")</f>
        <v>RR477</v>
      </c>
      <c r="D422" t="str">
        <f>IFERROR(IF(0=LEN(ReferenceData!$D$422),"",ReferenceData!$D$422),"")</f>
        <v>EV_TO_T12M_CASH_FLOW</v>
      </c>
      <c r="E422" t="str">
        <f>IFERROR(IF(0=LEN(ReferenceData!$E$422),"",ReferenceData!$E$422),"")</f>
        <v>Dynamic</v>
      </c>
      <c r="F422" t="str">
        <f ca="1">IFERROR(IF(0=LEN(ReferenceData!$F$422),"",ReferenceData!$F$422),"")</f>
        <v/>
      </c>
      <c r="G422" t="str">
        <f ca="1">IFERROR(IF(0=LEN(ReferenceData!$G$422),"",ReferenceData!$G$422),"")</f>
        <v/>
      </c>
      <c r="H422" t="str">
        <f ca="1">IFERROR(IF(0=LEN(ReferenceData!$H$422),"",ReferenceData!$H$422),"")</f>
        <v/>
      </c>
      <c r="I422" t="str">
        <f ca="1">IFERROR(IF(0=LEN(ReferenceData!$I$422),"",ReferenceData!$I$422),"")</f>
        <v/>
      </c>
      <c r="J422" t="str">
        <f ca="1">IFERROR(IF(0=LEN(ReferenceData!$J$422),"",ReferenceData!$J$422),"")</f>
        <v/>
      </c>
      <c r="K422" t="str">
        <f ca="1">IFERROR(IF(0=LEN(ReferenceData!$K$422),"",ReferenceData!$K$422),"")</f>
        <v/>
      </c>
      <c r="L422" t="str">
        <f ca="1">IFERROR(IF(0=LEN(ReferenceData!$L$422),"",ReferenceData!$L$422),"")</f>
        <v/>
      </c>
      <c r="M422" t="str">
        <f ca="1">IFERROR(IF(0=LEN(ReferenceData!$M$422),"",ReferenceData!$M$422),"")</f>
        <v/>
      </c>
      <c r="N422" t="str">
        <f ca="1">IFERROR(IF(0=LEN(ReferenceData!$N$422),"",ReferenceData!$N$422),"")</f>
        <v/>
      </c>
      <c r="O422" t="str">
        <f ca="1">IFERROR(IF(0=LEN(ReferenceData!$O$422),"",ReferenceData!$O$422),"")</f>
        <v/>
      </c>
      <c r="P422" t="str">
        <f ca="1">IFERROR(IF(0=LEN(ReferenceData!$P$422),"",ReferenceData!$P$422),"")</f>
        <v/>
      </c>
      <c r="Q422" t="str">
        <f ca="1">IFERROR(IF(0=LEN(ReferenceData!$Q$422),"",ReferenceData!$Q$422),"")</f>
        <v/>
      </c>
      <c r="R422" t="str">
        <f ca="1">IFERROR(IF(0=LEN(ReferenceData!$R$422),"",ReferenceData!$R$422),"")</f>
        <v/>
      </c>
      <c r="S422" t="str">
        <f ca="1">IFERROR(IF(0=LEN(ReferenceData!$S$422),"",ReferenceData!$S$422),"")</f>
        <v/>
      </c>
      <c r="T422" t="str">
        <f ca="1">IFERROR(IF(0=LEN(ReferenceData!$T$422),"",ReferenceData!$T$422),"")</f>
        <v/>
      </c>
      <c r="U422" t="str">
        <f ca="1">IFERROR(IF(0=LEN(ReferenceData!$U$422),"",ReferenceData!$U$422),"")</f>
        <v/>
      </c>
      <c r="V422" t="str">
        <f ca="1">IFERROR(IF(0=LEN(ReferenceData!$V$422),"",ReferenceData!$V$422),"")</f>
        <v/>
      </c>
      <c r="W422" t="str">
        <f ca="1">IFERROR(IF(0=LEN(ReferenceData!$W$422),"",ReferenceData!$W$422),"")</f>
        <v/>
      </c>
      <c r="X422" t="str">
        <f ca="1">IFERROR(IF(0=LEN(ReferenceData!$X$422),"",ReferenceData!$X$422),"")</f>
        <v/>
      </c>
      <c r="Y422" t="str">
        <f ca="1">IFERROR(IF(0=LEN(ReferenceData!$Y$422),"",ReferenceData!$Y$422),"")</f>
        <v/>
      </c>
      <c r="Z422" t="str">
        <f ca="1">IFERROR(IF(0=LEN(ReferenceData!$Z$422),"",ReferenceData!$Z$422),"")</f>
        <v/>
      </c>
      <c r="AA422" t="str">
        <f ca="1">IFERROR(IF(0=LEN(ReferenceData!$AA$422),"",ReferenceData!$AA$422),"")</f>
        <v/>
      </c>
      <c r="AB422" t="str">
        <f ca="1">IFERROR(IF(0=LEN(ReferenceData!$AB$422),"",ReferenceData!$AB$422),"")</f>
        <v/>
      </c>
      <c r="AC422" t="str">
        <f ca="1">IFERROR(IF(0=LEN(ReferenceData!$AC$422),"",ReferenceData!$AC$422),"")</f>
        <v/>
      </c>
      <c r="AD422" t="str">
        <f ca="1">IFERROR(IF(0=LEN(ReferenceData!$AD$422),"",ReferenceData!$AD$422),"")</f>
        <v/>
      </c>
      <c r="AE422" t="str">
        <f ca="1">IFERROR(IF(0=LEN(ReferenceData!$AE$422),"",ReferenceData!$AE$422),"")</f>
        <v/>
      </c>
      <c r="AF422" t="str">
        <f ca="1">IFERROR(IF(0=LEN(ReferenceData!$AF$422),"",ReferenceData!$AF$422),"")</f>
        <v/>
      </c>
      <c r="AG422" t="str">
        <f ca="1">IFERROR(IF(0=LEN(ReferenceData!$AG$422),"",ReferenceData!$AG$422),"")</f>
        <v/>
      </c>
      <c r="AH422" t="str">
        <f ca="1">IFERROR(IF(0=LEN(ReferenceData!$AH$422),"",ReferenceData!$AH$422),"")</f>
        <v/>
      </c>
      <c r="AI422" t="str">
        <f ca="1">IFERROR(IF(0=LEN(ReferenceData!$AI$422),"",ReferenceData!$AI$422),"")</f>
        <v/>
      </c>
      <c r="AJ422" t="str">
        <f ca="1">IFERROR(IF(0=LEN(ReferenceData!$AJ$422),"",ReferenceData!$AJ$422),"")</f>
        <v/>
      </c>
      <c r="AK422" t="str">
        <f ca="1">IFERROR(IF(0=LEN(ReferenceData!$AK$422),"",ReferenceData!$AK$422),"")</f>
        <v/>
      </c>
      <c r="AL422">
        <f ca="1">IFERROR(IF(0=LEN(ReferenceData!$AL$422),"",ReferenceData!$AL$422),"")</f>
        <v>4.6807445369999998</v>
      </c>
      <c r="AM422">
        <f ca="1">IFERROR(IF(0=LEN(ReferenceData!$AM$422),"",ReferenceData!$AM$422),"")</f>
        <v>4.0763087980000003</v>
      </c>
      <c r="AN422">
        <f ca="1">IFERROR(IF(0=LEN(ReferenceData!$AN$422),"",ReferenceData!$AN$422),"")</f>
        <v>3.3186113320000001</v>
      </c>
      <c r="AO422">
        <f ca="1">IFERROR(IF(0=LEN(ReferenceData!$AO$422),"",ReferenceData!$AO$422),"")</f>
        <v>2.948491352</v>
      </c>
      <c r="AP422">
        <f ca="1">IFERROR(IF(0=LEN(ReferenceData!$AP$422),"",ReferenceData!$AP$422),"")</f>
        <v>4.4498931690000001</v>
      </c>
      <c r="AQ422">
        <f ca="1">IFERROR(IF(0=LEN(ReferenceData!$AQ$422),"",ReferenceData!$AQ$422),"")</f>
        <v>6.7194486920000003</v>
      </c>
      <c r="AR422">
        <f ca="1">IFERROR(IF(0=LEN(ReferenceData!$AR$422),"",ReferenceData!$AR$422),"")</f>
        <v>12.83802674</v>
      </c>
      <c r="AS422">
        <f ca="1">IFERROR(IF(0=LEN(ReferenceData!$AS$422),"",ReferenceData!$AS$422),"")</f>
        <v>12.07851702</v>
      </c>
      <c r="AT422">
        <f ca="1">IFERROR(IF(0=LEN(ReferenceData!$AT$422),"",ReferenceData!$AT$422),"")</f>
        <v>7.2964425080000002</v>
      </c>
      <c r="AU422">
        <f ca="1">IFERROR(IF(0=LEN(ReferenceData!$AU$422),"",ReferenceData!$AU$422),"")</f>
        <v>4.9637658609999997</v>
      </c>
      <c r="AV422">
        <f ca="1">IFERROR(IF(0=LEN(ReferenceData!$AV$422),"",ReferenceData!$AV$422),"")</f>
        <v>8.7453181430000004</v>
      </c>
      <c r="AW422">
        <f ca="1">IFERROR(IF(0=LEN(ReferenceData!$AW$422),"",ReferenceData!$AW$422),"")</f>
        <v>8.1722110010000009</v>
      </c>
      <c r="AX422">
        <f ca="1">IFERROR(IF(0=LEN(ReferenceData!$AX$422),"",ReferenceData!$AX$422),"")</f>
        <v>9.6218242800000002</v>
      </c>
      <c r="AY422">
        <f ca="1">IFERROR(IF(0=LEN(ReferenceData!$AY$422),"",ReferenceData!$AY$422),"")</f>
        <v>8.692131324</v>
      </c>
      <c r="AZ422">
        <f ca="1">IFERROR(IF(0=LEN(ReferenceData!$AZ$422),"",ReferenceData!$AZ$422),"")</f>
        <v>8.2601004689999993</v>
      </c>
      <c r="BA422">
        <f ca="1">IFERROR(IF(0=LEN(ReferenceData!$BA$422),"",ReferenceData!$BA$422),"")</f>
        <v>6.6450733919999996</v>
      </c>
      <c r="BB422">
        <f ca="1">IFERROR(IF(0=LEN(ReferenceData!$BB$422),"",ReferenceData!$BB$422),"")</f>
        <v>6.107441176</v>
      </c>
      <c r="BC422">
        <f ca="1">IFERROR(IF(0=LEN(ReferenceData!$BC$422),"",ReferenceData!$BC$422),"")</f>
        <v>6.6396107110000004</v>
      </c>
      <c r="BD422">
        <f ca="1">IFERROR(IF(0=LEN(ReferenceData!$BD$422),"",ReferenceData!$BD$422),"")</f>
        <v>5.8589238090000002</v>
      </c>
      <c r="BE422">
        <f ca="1">IFERROR(IF(0=LEN(ReferenceData!$BE$422),"",ReferenceData!$BE$422),"")</f>
        <v>7.7995587879999997</v>
      </c>
      <c r="BF422">
        <f ca="1">IFERROR(IF(0=LEN(ReferenceData!$BF$422),"",ReferenceData!$BF$422),"")</f>
        <v>10.72516534</v>
      </c>
      <c r="BG422">
        <f ca="1">IFERROR(IF(0=LEN(ReferenceData!$BG$422),"",ReferenceData!$BG$422),"")</f>
        <v>11.302763929999999</v>
      </c>
      <c r="BH422">
        <f ca="1">IFERROR(IF(0=LEN(ReferenceData!$BH$422),"",ReferenceData!$BH$422),"")</f>
        <v>8.2525041530000003</v>
      </c>
      <c r="BI422" t="str">
        <f ca="1">IFERROR(IF(0=LEN(ReferenceData!$BI$422),"",ReferenceData!$BI$422),"")</f>
        <v/>
      </c>
      <c r="BJ422">
        <f ca="1">IFERROR(IF(0=LEN(ReferenceData!$BJ$422),"",ReferenceData!$BJ$422),"")</f>
        <v>5.7659849789999997</v>
      </c>
      <c r="BK422" t="str">
        <f ca="1">IFERROR(IF(0=LEN(ReferenceData!$BK$422),"",ReferenceData!$BK$422),"")</f>
        <v/>
      </c>
      <c r="BL422" t="str">
        <f ca="1">IFERROR(IF(0=LEN(ReferenceData!$BL$422),"",ReferenceData!$BL$422),"")</f>
        <v/>
      </c>
      <c r="BM422" t="str">
        <f ca="1">IFERROR(IF(0=LEN(ReferenceData!$BM$422),"",ReferenceData!$BM$422),"")</f>
        <v/>
      </c>
    </row>
    <row r="423" spans="1:65" x14ac:dyDescent="0.25">
      <c r="A423" t="str">
        <f>IFERROR(IF(0=LEN(ReferenceData!$A$423),"",ReferenceData!$A$423),"")</f>
        <v xml:space="preserve">    Daimler AG</v>
      </c>
      <c r="B423" t="str">
        <f>IFERROR(IF(0=LEN(ReferenceData!$B$423),"",ReferenceData!$B$423),"")</f>
        <v>DAI GR Equity</v>
      </c>
      <c r="C423" t="str">
        <f>IFERROR(IF(0=LEN(ReferenceData!$C$423),"",ReferenceData!$C$423),"")</f>
        <v>RR477</v>
      </c>
      <c r="D423" t="str">
        <f>IFERROR(IF(0=LEN(ReferenceData!$D$423),"",ReferenceData!$D$423),"")</f>
        <v>EV_TO_T12M_CASH_FLOW</v>
      </c>
      <c r="E423" t="str">
        <f>IFERROR(IF(0=LEN(ReferenceData!$E$423),"",ReferenceData!$E$423),"")</f>
        <v>Dynamic</v>
      </c>
      <c r="F423" t="str">
        <f ca="1">IFERROR(IF(0=LEN(ReferenceData!$F$423),"",ReferenceData!$F$423),"")</f>
        <v/>
      </c>
      <c r="G423">
        <f ca="1">IFERROR(IF(0=LEN(ReferenceData!$G$423),"",ReferenceData!$G$423),"")</f>
        <v>92.602623910000005</v>
      </c>
      <c r="H423" t="str">
        <f ca="1">IFERROR(IF(0=LEN(ReferenceData!$H$423),"",ReferenceData!$H$423),"")</f>
        <v/>
      </c>
      <c r="I423" t="str">
        <f ca="1">IFERROR(IF(0=LEN(ReferenceData!$I$423),"",ReferenceData!$I$423),"")</f>
        <v/>
      </c>
      <c r="J423" t="str">
        <f ca="1">IFERROR(IF(0=LEN(ReferenceData!$J$423),"",ReferenceData!$J$423),"")</f>
        <v/>
      </c>
      <c r="K423" t="str">
        <f ca="1">IFERROR(IF(0=LEN(ReferenceData!$K$423),"",ReferenceData!$K$423),"")</f>
        <v/>
      </c>
      <c r="L423">
        <f ca="1">IFERROR(IF(0=LEN(ReferenceData!$L$423),"",ReferenceData!$L$423),"")</f>
        <v>11.55913421</v>
      </c>
      <c r="M423">
        <f ca="1">IFERROR(IF(0=LEN(ReferenceData!$M$423),"",ReferenceData!$M$423),"")</f>
        <v>12.64400998</v>
      </c>
      <c r="N423">
        <f ca="1">IFERROR(IF(0=LEN(ReferenceData!$N$423),"",ReferenceData!$N$423),"")</f>
        <v>10.84907971</v>
      </c>
      <c r="O423">
        <f ca="1">IFERROR(IF(0=LEN(ReferenceData!$O$423),"",ReferenceData!$O$423),"")</f>
        <v>14.538237669999999</v>
      </c>
      <c r="P423">
        <f ca="1">IFERROR(IF(0=LEN(ReferenceData!$P$423),"",ReferenceData!$P$423),"")</f>
        <v>21.489502529999999</v>
      </c>
      <c r="Q423">
        <f ca="1">IFERROR(IF(0=LEN(ReferenceData!$Q$423),"",ReferenceData!$Q$423),"")</f>
        <v>20.696596199999998</v>
      </c>
      <c r="R423" t="str">
        <f ca="1">IFERROR(IF(0=LEN(ReferenceData!$R$423),"",ReferenceData!$R$423),"")</f>
        <v/>
      </c>
      <c r="S423">
        <f ca="1">IFERROR(IF(0=LEN(ReferenceData!$S$423),"",ReferenceData!$S$423),"")</f>
        <v>283.61081080000002</v>
      </c>
      <c r="T423" t="str">
        <f ca="1">IFERROR(IF(0=LEN(ReferenceData!$T$423),"",ReferenceData!$T$423),"")</f>
        <v/>
      </c>
      <c r="U423" t="str">
        <f ca="1">IFERROR(IF(0=LEN(ReferenceData!$U$423),"",ReferenceData!$U$423),"")</f>
        <v/>
      </c>
      <c r="V423" t="str">
        <f ca="1">IFERROR(IF(0=LEN(ReferenceData!$V$423),"",ReferenceData!$V$423),"")</f>
        <v/>
      </c>
      <c r="W423" t="str">
        <f ca="1">IFERROR(IF(0=LEN(ReferenceData!$W$423),"",ReferenceData!$W$423),"")</f>
        <v/>
      </c>
      <c r="X423">
        <f ca="1">IFERROR(IF(0=LEN(ReferenceData!$X$423),"",ReferenceData!$X$423),"")</f>
        <v>13.025124010000001</v>
      </c>
      <c r="Y423">
        <f ca="1">IFERROR(IF(0=LEN(ReferenceData!$Y$423),"",ReferenceData!$Y$423),"")</f>
        <v>17.102722289999999</v>
      </c>
      <c r="Z423">
        <f ca="1">IFERROR(IF(0=LEN(ReferenceData!$Z$423),"",ReferenceData!$Z$423),"")</f>
        <v>12.268252199999999</v>
      </c>
      <c r="AA423">
        <f ca="1">IFERROR(IF(0=LEN(ReferenceData!$AA$423),"",ReferenceData!$AA$423),"")</f>
        <v>15.48584475</v>
      </c>
      <c r="AB423">
        <f ca="1">IFERROR(IF(0=LEN(ReferenceData!$AB$423),"",ReferenceData!$AB$423),"")</f>
        <v>18.48493899</v>
      </c>
      <c r="AC423">
        <f ca="1">IFERROR(IF(0=LEN(ReferenceData!$AC$423),"",ReferenceData!$AC$423),"")</f>
        <v>80.959628769999995</v>
      </c>
      <c r="AD423" t="str">
        <f ca="1">IFERROR(IF(0=LEN(ReferenceData!$AD$423),"",ReferenceData!$AD$423),"")</f>
        <v/>
      </c>
      <c r="AE423" t="str">
        <f ca="1">IFERROR(IF(0=LEN(ReferenceData!$AE$423),"",ReferenceData!$AE$423),"")</f>
        <v/>
      </c>
      <c r="AF423" t="str">
        <f ca="1">IFERROR(IF(0=LEN(ReferenceData!$AF$423),"",ReferenceData!$AF$423),"")</f>
        <v/>
      </c>
      <c r="AG423" t="str">
        <f ca="1">IFERROR(IF(0=LEN(ReferenceData!$AG$423),"",ReferenceData!$AG$423),"")</f>
        <v/>
      </c>
      <c r="AH423" t="str">
        <f ca="1">IFERROR(IF(0=LEN(ReferenceData!$AH$423),"",ReferenceData!$AH$423),"")</f>
        <v/>
      </c>
      <c r="AI423" t="str">
        <f ca="1">IFERROR(IF(0=LEN(ReferenceData!$AI$423),"",ReferenceData!$AI$423),"")</f>
        <v/>
      </c>
      <c r="AJ423">
        <f ca="1">IFERROR(IF(0=LEN(ReferenceData!$AJ$423),"",ReferenceData!$AJ$423),"")</f>
        <v>36.869191720000003</v>
      </c>
      <c r="AK423">
        <f ca="1">IFERROR(IF(0=LEN(ReferenceData!$AK$423),"",ReferenceData!$AK$423),"")</f>
        <v>9.8296678350000004</v>
      </c>
      <c r="AL423">
        <f ca="1">IFERROR(IF(0=LEN(ReferenceData!$AL$423),"",ReferenceData!$AL$423),"")</f>
        <v>6.484094281</v>
      </c>
      <c r="AM423">
        <f ca="1">IFERROR(IF(0=LEN(ReferenceData!$AM$423),"",ReferenceData!$AM$423),"")</f>
        <v>4.844187968</v>
      </c>
      <c r="AN423">
        <f ca="1">IFERROR(IF(0=LEN(ReferenceData!$AN$423),"",ReferenceData!$AN$423),"")</f>
        <v>3.7923223319999999</v>
      </c>
      <c r="AO423">
        <f ca="1">IFERROR(IF(0=LEN(ReferenceData!$AO$423),"",ReferenceData!$AO$423),"")</f>
        <v>3.7042743050000002</v>
      </c>
      <c r="AP423">
        <f ca="1">IFERROR(IF(0=LEN(ReferenceData!$AP$423),"",ReferenceData!$AP$423),"")</f>
        <v>2.6682791570000002</v>
      </c>
      <c r="AQ423">
        <f ca="1">IFERROR(IF(0=LEN(ReferenceData!$AQ$423),"",ReferenceData!$AQ$423),"")</f>
        <v>2.918733966</v>
      </c>
      <c r="AR423">
        <f ca="1">IFERROR(IF(0=LEN(ReferenceData!$AR$423),"",ReferenceData!$AR$423),"")</f>
        <v>3.3782828070000002</v>
      </c>
      <c r="AS423">
        <f ca="1">IFERROR(IF(0=LEN(ReferenceData!$AS$423),"",ReferenceData!$AS$423),"")</f>
        <v>3.4072966889999998</v>
      </c>
      <c r="AT423">
        <f ca="1">IFERROR(IF(0=LEN(ReferenceData!$AT$423),"",ReferenceData!$AT$423),"")</f>
        <v>4.1424291780000004</v>
      </c>
      <c r="AU423">
        <f ca="1">IFERROR(IF(0=LEN(ReferenceData!$AU$423),"",ReferenceData!$AU$423),"")</f>
        <v>26.016614659999998</v>
      </c>
      <c r="AV423">
        <f ca="1">IFERROR(IF(0=LEN(ReferenceData!$AV$423),"",ReferenceData!$AV$423),"")</f>
        <v>13.73350508</v>
      </c>
      <c r="AW423">
        <f ca="1">IFERROR(IF(0=LEN(ReferenceData!$AW$423),"",ReferenceData!$AW$423),"")</f>
        <v>9.6561594910000004</v>
      </c>
      <c r="AX423">
        <f ca="1">IFERROR(IF(0=LEN(ReferenceData!$AX$423),"",ReferenceData!$AX$423),"")</f>
        <v>8.8820791549999996</v>
      </c>
      <c r="AY423">
        <f ca="1">IFERROR(IF(0=LEN(ReferenceData!$AY$423),"",ReferenceData!$AY$423),"")</f>
        <v>8.5213233499999994</v>
      </c>
      <c r="AZ423">
        <f ca="1">IFERROR(IF(0=LEN(ReferenceData!$AZ$423),"",ReferenceData!$AZ$423),"")</f>
        <v>7.8993959159999996</v>
      </c>
      <c r="BA423">
        <f ca="1">IFERROR(IF(0=LEN(ReferenceData!$BA$423),"",ReferenceData!$BA$423),"")</f>
        <v>9.5249209780000008</v>
      </c>
      <c r="BB423">
        <f ca="1">IFERROR(IF(0=LEN(ReferenceData!$BB$423),"",ReferenceData!$BB$423),"")</f>
        <v>10.955410860000001</v>
      </c>
      <c r="BC423">
        <f ca="1">IFERROR(IF(0=LEN(ReferenceData!$BC$423),"",ReferenceData!$BC$423),"")</f>
        <v>9.9687521799999992</v>
      </c>
      <c r="BD423">
        <f ca="1">IFERROR(IF(0=LEN(ReferenceData!$BD$423),"",ReferenceData!$BD$423),"")</f>
        <v>9.2556118440000006</v>
      </c>
      <c r="BE423">
        <f ca="1">IFERROR(IF(0=LEN(ReferenceData!$BE$423),"",ReferenceData!$BE$423),"")</f>
        <v>8.4846848020000003</v>
      </c>
      <c r="BF423">
        <f ca="1">IFERROR(IF(0=LEN(ReferenceData!$BF$423),"",ReferenceData!$BF$423),"")</f>
        <v>8.8485955910000005</v>
      </c>
      <c r="BG423">
        <f ca="1">IFERROR(IF(0=LEN(ReferenceData!$BG$423),"",ReferenceData!$BG$423),"")</f>
        <v>9.1586440079999996</v>
      </c>
      <c r="BH423">
        <f ca="1">IFERROR(IF(0=LEN(ReferenceData!$BH$423),"",ReferenceData!$BH$423),"")</f>
        <v>9.8065957719999997</v>
      </c>
      <c r="BI423">
        <f ca="1">IFERROR(IF(0=LEN(ReferenceData!$BI$423),"",ReferenceData!$BI$423),"")</f>
        <v>5.7164349080000001</v>
      </c>
      <c r="BJ423">
        <f ca="1">IFERROR(IF(0=LEN(ReferenceData!$BJ$423),"",ReferenceData!$BJ$423),"")</f>
        <v>5.6113638029999997</v>
      </c>
      <c r="BK423">
        <f ca="1">IFERROR(IF(0=LEN(ReferenceData!$BK$423),"",ReferenceData!$BK$423),"")</f>
        <v>5.5306065430000002</v>
      </c>
      <c r="BL423">
        <f ca="1">IFERROR(IF(0=LEN(ReferenceData!$BL$423),"",ReferenceData!$BL$423),"")</f>
        <v>4.8811126949999997</v>
      </c>
      <c r="BM423">
        <f ca="1">IFERROR(IF(0=LEN(ReferenceData!$BM$423),"",ReferenceData!$BM$423),"")</f>
        <v>4.3560039289999999</v>
      </c>
    </row>
    <row r="424" spans="1:65" x14ac:dyDescent="0.25">
      <c r="A424" t="str">
        <f>IFERROR(IF(0=LEN(ReferenceData!$A$424),"",ReferenceData!$A$424),"")</f>
        <v xml:space="preserve">    Dongfeng Motor Group Co Ltd</v>
      </c>
      <c r="B424" t="str">
        <f>IFERROR(IF(0=LEN(ReferenceData!$B$424),"",ReferenceData!$B$424),"")</f>
        <v>489 HK Equity</v>
      </c>
      <c r="C424" t="str">
        <f>IFERROR(IF(0=LEN(ReferenceData!$C$424),"",ReferenceData!$C$424),"")</f>
        <v>RR477</v>
      </c>
      <c r="D424" t="str">
        <f>IFERROR(IF(0=LEN(ReferenceData!$D$424),"",ReferenceData!$D$424),"")</f>
        <v>EV_TO_T12M_CASH_FLOW</v>
      </c>
      <c r="E424" t="str">
        <f>IFERROR(IF(0=LEN(ReferenceData!$E$424),"",ReferenceData!$E$424),"")</f>
        <v>Dynamic</v>
      </c>
      <c r="F424" t="str">
        <f ca="1">IFERROR(IF(0=LEN(ReferenceData!$F$424),"",ReferenceData!$F$424),"")</f>
        <v/>
      </c>
      <c r="G424" t="str">
        <f ca="1">IFERROR(IF(0=LEN(ReferenceData!$G$424),"",ReferenceData!$G$424),"")</f>
        <v/>
      </c>
      <c r="H424" t="str">
        <f ca="1">IFERROR(IF(0=LEN(ReferenceData!$H$424),"",ReferenceData!$H$424),"")</f>
        <v/>
      </c>
      <c r="I424" t="str">
        <f ca="1">IFERROR(IF(0=LEN(ReferenceData!$I$424),"",ReferenceData!$I$424),"")</f>
        <v/>
      </c>
      <c r="J424" t="str">
        <f ca="1">IFERROR(IF(0=LEN(ReferenceData!$J$424),"",ReferenceData!$J$424),"")</f>
        <v/>
      </c>
      <c r="K424" t="str">
        <f ca="1">IFERROR(IF(0=LEN(ReferenceData!$K$424),"",ReferenceData!$K$424),"")</f>
        <v/>
      </c>
      <c r="L424" t="str">
        <f ca="1">IFERROR(IF(0=LEN(ReferenceData!$L$424),"",ReferenceData!$L$424),"")</f>
        <v/>
      </c>
      <c r="M424" t="str">
        <f ca="1">IFERROR(IF(0=LEN(ReferenceData!$M$424),"",ReferenceData!$M$424),"")</f>
        <v/>
      </c>
      <c r="N424" t="str">
        <f ca="1">IFERROR(IF(0=LEN(ReferenceData!$N$424),"",ReferenceData!$N$424),"")</f>
        <v/>
      </c>
      <c r="O424" t="str">
        <f ca="1">IFERROR(IF(0=LEN(ReferenceData!$O$424),"",ReferenceData!$O$424),"")</f>
        <v/>
      </c>
      <c r="P424" t="str">
        <f ca="1">IFERROR(IF(0=LEN(ReferenceData!$P$424),"",ReferenceData!$P$424),"")</f>
        <v/>
      </c>
      <c r="Q424" t="str">
        <f ca="1">IFERROR(IF(0=LEN(ReferenceData!$Q$424),"",ReferenceData!$Q$424),"")</f>
        <v/>
      </c>
      <c r="R424" t="str">
        <f ca="1">IFERROR(IF(0=LEN(ReferenceData!$R$424),"",ReferenceData!$R$424),"")</f>
        <v/>
      </c>
      <c r="S424" t="str">
        <f ca="1">IFERROR(IF(0=LEN(ReferenceData!$S$424),"",ReferenceData!$S$424),"")</f>
        <v/>
      </c>
      <c r="T424" t="str">
        <f ca="1">IFERROR(IF(0=LEN(ReferenceData!$T$424),"",ReferenceData!$T$424),"")</f>
        <v/>
      </c>
      <c r="U424" t="str">
        <f ca="1">IFERROR(IF(0=LEN(ReferenceData!$U$424),"",ReferenceData!$U$424),"")</f>
        <v/>
      </c>
      <c r="V424" t="str">
        <f ca="1">IFERROR(IF(0=LEN(ReferenceData!$V$424),"",ReferenceData!$V$424),"")</f>
        <v/>
      </c>
      <c r="W424" t="str">
        <f ca="1">IFERROR(IF(0=LEN(ReferenceData!$W$424),"",ReferenceData!$W$424),"")</f>
        <v/>
      </c>
      <c r="X424" t="str">
        <f ca="1">IFERROR(IF(0=LEN(ReferenceData!$X$424),"",ReferenceData!$X$424),"")</f>
        <v/>
      </c>
      <c r="Y424" t="str">
        <f ca="1">IFERROR(IF(0=LEN(ReferenceData!$Y$424),"",ReferenceData!$Y$424),"")</f>
        <v/>
      </c>
      <c r="Z424" t="str">
        <f ca="1">IFERROR(IF(0=LEN(ReferenceData!$Z$424),"",ReferenceData!$Z$424),"")</f>
        <v/>
      </c>
      <c r="AA424" t="str">
        <f ca="1">IFERROR(IF(0=LEN(ReferenceData!$AA$424),"",ReferenceData!$AA$424),"")</f>
        <v/>
      </c>
      <c r="AB424" t="str">
        <f ca="1">IFERROR(IF(0=LEN(ReferenceData!$AB$424),"",ReferenceData!$AB$424),"")</f>
        <v/>
      </c>
      <c r="AC424" t="str">
        <f ca="1">IFERROR(IF(0=LEN(ReferenceData!$AC$424),"",ReferenceData!$AC$424),"")</f>
        <v/>
      </c>
      <c r="AD424" t="str">
        <f ca="1">IFERROR(IF(0=LEN(ReferenceData!$AD$424),"",ReferenceData!$AD$424),"")</f>
        <v/>
      </c>
      <c r="AE424" t="str">
        <f ca="1">IFERROR(IF(0=LEN(ReferenceData!$AE$424),"",ReferenceData!$AE$424),"")</f>
        <v/>
      </c>
      <c r="AF424" t="str">
        <f ca="1">IFERROR(IF(0=LEN(ReferenceData!$AF$424),"",ReferenceData!$AF$424),"")</f>
        <v/>
      </c>
      <c r="AG424" t="str">
        <f ca="1">IFERROR(IF(0=LEN(ReferenceData!$AG$424),"",ReferenceData!$AG$424),"")</f>
        <v/>
      </c>
      <c r="AH424" t="str">
        <f ca="1">IFERROR(IF(0=LEN(ReferenceData!$AH$424),"",ReferenceData!$AH$424),"")</f>
        <v/>
      </c>
      <c r="AI424" t="str">
        <f ca="1">IFERROR(IF(0=LEN(ReferenceData!$AI$424),"",ReferenceData!$AI$424),"")</f>
        <v/>
      </c>
      <c r="AJ424" t="str">
        <f ca="1">IFERROR(IF(0=LEN(ReferenceData!$AJ$424),"",ReferenceData!$AJ$424),"")</f>
        <v/>
      </c>
      <c r="AK424" t="str">
        <f ca="1">IFERROR(IF(0=LEN(ReferenceData!$AK$424),"",ReferenceData!$AK$424),"")</f>
        <v/>
      </c>
      <c r="AL424" t="str">
        <f ca="1">IFERROR(IF(0=LEN(ReferenceData!$AL$424),"",ReferenceData!$AL$424),"")</f>
        <v/>
      </c>
      <c r="AM424" t="str">
        <f ca="1">IFERROR(IF(0=LEN(ReferenceData!$AM$424),"",ReferenceData!$AM$424),"")</f>
        <v/>
      </c>
      <c r="AN424" t="str">
        <f ca="1">IFERROR(IF(0=LEN(ReferenceData!$AN$424),"",ReferenceData!$AN$424),"")</f>
        <v/>
      </c>
      <c r="AO424" t="str">
        <f ca="1">IFERROR(IF(0=LEN(ReferenceData!$AO$424),"",ReferenceData!$AO$424),"")</f>
        <v/>
      </c>
      <c r="AP424" t="str">
        <f ca="1">IFERROR(IF(0=LEN(ReferenceData!$AP$424),"",ReferenceData!$AP$424),"")</f>
        <v/>
      </c>
      <c r="AQ424" t="str">
        <f ca="1">IFERROR(IF(0=LEN(ReferenceData!$AQ$424),"",ReferenceData!$AQ$424),"")</f>
        <v/>
      </c>
      <c r="AR424" t="str">
        <f ca="1">IFERROR(IF(0=LEN(ReferenceData!$AR$424),"",ReferenceData!$AR$424),"")</f>
        <v/>
      </c>
      <c r="AS424" t="str">
        <f ca="1">IFERROR(IF(0=LEN(ReferenceData!$AS$424),"",ReferenceData!$AS$424),"")</f>
        <v/>
      </c>
      <c r="AT424" t="str">
        <f ca="1">IFERROR(IF(0=LEN(ReferenceData!$AT$424),"",ReferenceData!$AT$424),"")</f>
        <v/>
      </c>
      <c r="AU424" t="str">
        <f ca="1">IFERROR(IF(0=LEN(ReferenceData!$AU$424),"",ReferenceData!$AU$424),"")</f>
        <v/>
      </c>
      <c r="AV424" t="str">
        <f ca="1">IFERROR(IF(0=LEN(ReferenceData!$AV$424),"",ReferenceData!$AV$424),"")</f>
        <v/>
      </c>
      <c r="AW424" t="str">
        <f ca="1">IFERROR(IF(0=LEN(ReferenceData!$AW$424),"",ReferenceData!$AW$424),"")</f>
        <v/>
      </c>
      <c r="AX424" t="str">
        <f ca="1">IFERROR(IF(0=LEN(ReferenceData!$AX$424),"",ReferenceData!$AX$424),"")</f>
        <v/>
      </c>
      <c r="AY424" t="str">
        <f ca="1">IFERROR(IF(0=LEN(ReferenceData!$AY$424),"",ReferenceData!$AY$424),"")</f>
        <v/>
      </c>
      <c r="AZ424" t="str">
        <f ca="1">IFERROR(IF(0=LEN(ReferenceData!$AZ$424),"",ReferenceData!$AZ$424),"")</f>
        <v/>
      </c>
      <c r="BA424" t="str">
        <f ca="1">IFERROR(IF(0=LEN(ReferenceData!$BA$424),"",ReferenceData!$BA$424),"")</f>
        <v/>
      </c>
      <c r="BB424" t="str">
        <f ca="1">IFERROR(IF(0=LEN(ReferenceData!$BB$424),"",ReferenceData!$BB$424),"")</f>
        <v/>
      </c>
      <c r="BC424" t="str">
        <f ca="1">IFERROR(IF(0=LEN(ReferenceData!$BC$424),"",ReferenceData!$BC$424),"")</f>
        <v/>
      </c>
      <c r="BD424" t="str">
        <f ca="1">IFERROR(IF(0=LEN(ReferenceData!$BD$424),"",ReferenceData!$BD$424),"")</f>
        <v/>
      </c>
      <c r="BE424" t="str">
        <f ca="1">IFERROR(IF(0=LEN(ReferenceData!$BE$424),"",ReferenceData!$BE$424),"")</f>
        <v/>
      </c>
      <c r="BF424" t="str">
        <f ca="1">IFERROR(IF(0=LEN(ReferenceData!$BF$424),"",ReferenceData!$BF$424),"")</f>
        <v/>
      </c>
      <c r="BG424" t="str">
        <f ca="1">IFERROR(IF(0=LEN(ReferenceData!$BG$424),"",ReferenceData!$BG$424),"")</f>
        <v/>
      </c>
      <c r="BH424" t="str">
        <f ca="1">IFERROR(IF(0=LEN(ReferenceData!$BH$424),"",ReferenceData!$BH$424),"")</f>
        <v/>
      </c>
      <c r="BI424" t="str">
        <f ca="1">IFERROR(IF(0=LEN(ReferenceData!$BI$424),"",ReferenceData!$BI$424),"")</f>
        <v/>
      </c>
      <c r="BJ424" t="str">
        <f ca="1">IFERROR(IF(0=LEN(ReferenceData!$BJ$424),"",ReferenceData!$BJ$424),"")</f>
        <v/>
      </c>
      <c r="BK424" t="str">
        <f ca="1">IFERROR(IF(0=LEN(ReferenceData!$BK$424),"",ReferenceData!$BK$424),"")</f>
        <v/>
      </c>
      <c r="BL424" t="str">
        <f ca="1">IFERROR(IF(0=LEN(ReferenceData!$BL$424),"",ReferenceData!$BL$424),"")</f>
        <v/>
      </c>
      <c r="BM424" t="str">
        <f ca="1">IFERROR(IF(0=LEN(ReferenceData!$BM$424),"",ReferenceData!$BM$424),"")</f>
        <v/>
      </c>
    </row>
    <row r="425" spans="1:65" x14ac:dyDescent="0.25">
      <c r="A425" t="str">
        <f>IFERROR(IF(0=LEN(ReferenceData!$A$425),"",ReferenceData!$A$425),"")</f>
        <v xml:space="preserve">    DRB-Hicom Bhd</v>
      </c>
      <c r="B425" t="str">
        <f>IFERROR(IF(0=LEN(ReferenceData!$B$425),"",ReferenceData!$B$425),"")</f>
        <v>DRB MK Equity</v>
      </c>
      <c r="C425" t="str">
        <f>IFERROR(IF(0=LEN(ReferenceData!$C$425),"",ReferenceData!$C$425),"")</f>
        <v>RR477</v>
      </c>
      <c r="D425" t="str">
        <f>IFERROR(IF(0=LEN(ReferenceData!$D$425),"",ReferenceData!$D$425),"")</f>
        <v>EV_TO_T12M_CASH_FLOW</v>
      </c>
      <c r="E425" t="str">
        <f>IFERROR(IF(0=LEN(ReferenceData!$E$425),"",ReferenceData!$E$425),"")</f>
        <v>Dynamic</v>
      </c>
      <c r="F425" t="str">
        <f ca="1">IFERROR(IF(0=LEN(ReferenceData!$F$425),"",ReferenceData!$F$425),"")</f>
        <v/>
      </c>
      <c r="G425" t="str">
        <f ca="1">IFERROR(IF(0=LEN(ReferenceData!$G$425),"",ReferenceData!$G$425),"")</f>
        <v/>
      </c>
      <c r="H425">
        <f ca="1">IFERROR(IF(0=LEN(ReferenceData!$H$425),"",ReferenceData!$H$425),"")</f>
        <v>3.3476402709999999</v>
      </c>
      <c r="I425">
        <f ca="1">IFERROR(IF(0=LEN(ReferenceData!$I$425),"",ReferenceData!$I$425),"")</f>
        <v>7.0370534320000004</v>
      </c>
      <c r="J425">
        <f ca="1">IFERROR(IF(0=LEN(ReferenceData!$J$425),"",ReferenceData!$J$425),"")</f>
        <v>8.1681027470000007</v>
      </c>
      <c r="K425">
        <f ca="1">IFERROR(IF(0=LEN(ReferenceData!$K$425),"",ReferenceData!$K$425),"")</f>
        <v>6.9095508219999999</v>
      </c>
      <c r="L425" t="str">
        <f ca="1">IFERROR(IF(0=LEN(ReferenceData!$L$425),"",ReferenceData!$L$425),"")</f>
        <v/>
      </c>
      <c r="M425" t="str">
        <f ca="1">IFERROR(IF(0=LEN(ReferenceData!$M$425),"",ReferenceData!$M$425),"")</f>
        <v/>
      </c>
      <c r="N425">
        <f ca="1">IFERROR(IF(0=LEN(ReferenceData!$N$425),"",ReferenceData!$N$425),"")</f>
        <v>38.699801690000001</v>
      </c>
      <c r="O425" t="str">
        <f ca="1">IFERROR(IF(0=LEN(ReferenceData!$O$425),"",ReferenceData!$O$425),"")</f>
        <v/>
      </c>
      <c r="P425">
        <f ca="1">IFERROR(IF(0=LEN(ReferenceData!$P$425),"",ReferenceData!$P$425),"")</f>
        <v>49.605394330000003</v>
      </c>
      <c r="Q425">
        <f ca="1">IFERROR(IF(0=LEN(ReferenceData!$Q$425),"",ReferenceData!$Q$425),"")</f>
        <v>6.239908926</v>
      </c>
      <c r="R425" t="str">
        <f ca="1">IFERROR(IF(0=LEN(ReferenceData!$R$425),"",ReferenceData!$R$425),"")</f>
        <v/>
      </c>
      <c r="S425" t="str">
        <f ca="1">IFERROR(IF(0=LEN(ReferenceData!$S$425),"",ReferenceData!$S$425),"")</f>
        <v/>
      </c>
      <c r="T425" t="str">
        <f ca="1">IFERROR(IF(0=LEN(ReferenceData!$T$425),"",ReferenceData!$T$425),"")</f>
        <v/>
      </c>
      <c r="U425" t="str">
        <f ca="1">IFERROR(IF(0=LEN(ReferenceData!$U$425),"",ReferenceData!$U$425),"")</f>
        <v/>
      </c>
      <c r="V425">
        <f ca="1">IFERROR(IF(0=LEN(ReferenceData!$V$425),"",ReferenceData!$V$425),"")</f>
        <v>8.9056518350000005</v>
      </c>
      <c r="W425">
        <f ca="1">IFERROR(IF(0=LEN(ReferenceData!$W$425),"",ReferenceData!$W$425),"")</f>
        <v>7.8234621090000003</v>
      </c>
      <c r="X425" t="str">
        <f ca="1">IFERROR(IF(0=LEN(ReferenceData!$X$425),"",ReferenceData!$X$425),"")</f>
        <v/>
      </c>
      <c r="Y425" t="str">
        <f ca="1">IFERROR(IF(0=LEN(ReferenceData!$Y$425),"",ReferenceData!$Y$425),"")</f>
        <v/>
      </c>
      <c r="Z425" t="str">
        <f ca="1">IFERROR(IF(0=LEN(ReferenceData!$Z$425),"",ReferenceData!$Z$425),"")</f>
        <v/>
      </c>
      <c r="AA425">
        <f ca="1">IFERROR(IF(0=LEN(ReferenceData!$AA$425),"",ReferenceData!$AA$425),"")</f>
        <v>3.9267160809999999</v>
      </c>
      <c r="AB425">
        <f ca="1">IFERROR(IF(0=LEN(ReferenceData!$AB$425),"",ReferenceData!$AB$425),"")</f>
        <v>2.102211558</v>
      </c>
      <c r="AC425">
        <f ca="1">IFERROR(IF(0=LEN(ReferenceData!$AC$425),"",ReferenceData!$AC$425),"")</f>
        <v>2.698851409</v>
      </c>
      <c r="AD425">
        <f ca="1">IFERROR(IF(0=LEN(ReferenceData!$AD$425),"",ReferenceData!$AD$425),"")</f>
        <v>8.9694376150000004</v>
      </c>
      <c r="AE425" t="str">
        <f ca="1">IFERROR(IF(0=LEN(ReferenceData!$AE$425),"",ReferenceData!$AE$425),"")</f>
        <v/>
      </c>
      <c r="AF425">
        <f ca="1">IFERROR(IF(0=LEN(ReferenceData!$AF$425),"",ReferenceData!$AF$425),"")</f>
        <v>23.449891439999998</v>
      </c>
      <c r="AG425" t="str">
        <f ca="1">IFERROR(IF(0=LEN(ReferenceData!$AG$425),"",ReferenceData!$AG$425),"")</f>
        <v/>
      </c>
      <c r="AH425">
        <f ca="1">IFERROR(IF(0=LEN(ReferenceData!$AH$425),"",ReferenceData!$AH$425),"")</f>
        <v>19.723475659999998</v>
      </c>
      <c r="AI425">
        <f ca="1">IFERROR(IF(0=LEN(ReferenceData!$AI$425),"",ReferenceData!$AI$425),"")</f>
        <v>2.41821047</v>
      </c>
      <c r="AJ425" t="str">
        <f ca="1">IFERROR(IF(0=LEN(ReferenceData!$AJ$425),"",ReferenceData!$AJ$425),"")</f>
        <v/>
      </c>
      <c r="AK425" t="str">
        <f ca="1">IFERROR(IF(0=LEN(ReferenceData!$AK$425),"",ReferenceData!$AK$425),"")</f>
        <v/>
      </c>
      <c r="AL425" t="str">
        <f ca="1">IFERROR(IF(0=LEN(ReferenceData!$AL$425),"",ReferenceData!$AL$425),"")</f>
        <v/>
      </c>
      <c r="AM425">
        <f ca="1">IFERROR(IF(0=LEN(ReferenceData!$AM$425),"",ReferenceData!$AM$425),"")</f>
        <v>35.334115740000001</v>
      </c>
      <c r="AN425">
        <f ca="1">IFERROR(IF(0=LEN(ReferenceData!$AN$425),"",ReferenceData!$AN$425),"")</f>
        <v>10.32259926</v>
      </c>
      <c r="AO425">
        <f ca="1">IFERROR(IF(0=LEN(ReferenceData!$AO$425),"",ReferenceData!$AO$425),"")</f>
        <v>4.4884668190000001</v>
      </c>
      <c r="AP425" t="str">
        <f ca="1">IFERROR(IF(0=LEN(ReferenceData!$AP$425),"",ReferenceData!$AP$425),"")</f>
        <v/>
      </c>
      <c r="AQ425" t="str">
        <f ca="1">IFERROR(IF(0=LEN(ReferenceData!$AQ$425),"",ReferenceData!$AQ$425),"")</f>
        <v/>
      </c>
      <c r="AR425" t="str">
        <f ca="1">IFERROR(IF(0=LEN(ReferenceData!$AR$425),"",ReferenceData!$AR$425),"")</f>
        <v/>
      </c>
      <c r="AS425" t="str">
        <f ca="1">IFERROR(IF(0=LEN(ReferenceData!$AS$425),"",ReferenceData!$AS$425),"")</f>
        <v/>
      </c>
      <c r="AT425" t="str">
        <f ca="1">IFERROR(IF(0=LEN(ReferenceData!$AT$425),"",ReferenceData!$AT$425),"")</f>
        <v/>
      </c>
      <c r="AU425" t="str">
        <f ca="1">IFERROR(IF(0=LEN(ReferenceData!$AU$425),"",ReferenceData!$AU$425),"")</f>
        <v/>
      </c>
      <c r="AV425">
        <f ca="1">IFERROR(IF(0=LEN(ReferenceData!$AV$425),"",ReferenceData!$AV$425),"")</f>
        <v>2.22043306</v>
      </c>
      <c r="AW425">
        <f ca="1">IFERROR(IF(0=LEN(ReferenceData!$AW$425),"",ReferenceData!$AW$425),"")</f>
        <v>2.8534997469999999</v>
      </c>
      <c r="AX425">
        <f ca="1">IFERROR(IF(0=LEN(ReferenceData!$AX$425),"",ReferenceData!$AX$425),"")</f>
        <v>3.6319524470000002</v>
      </c>
      <c r="AY425">
        <f ca="1">IFERROR(IF(0=LEN(ReferenceData!$AY$425),"",ReferenceData!$AY$425),"")</f>
        <v>3.5768491390000001</v>
      </c>
      <c r="AZ425">
        <f ca="1">IFERROR(IF(0=LEN(ReferenceData!$AZ$425),"",ReferenceData!$AZ$425),"")</f>
        <v>2.9827680349999999</v>
      </c>
      <c r="BA425">
        <f ca="1">IFERROR(IF(0=LEN(ReferenceData!$BA$425),"",ReferenceData!$BA$425),"")</f>
        <v>3.0568435389999999</v>
      </c>
      <c r="BB425">
        <f ca="1">IFERROR(IF(0=LEN(ReferenceData!$BB$425),"",ReferenceData!$BB$425),"")</f>
        <v>5.2329285949999997</v>
      </c>
      <c r="BC425">
        <f ca="1">IFERROR(IF(0=LEN(ReferenceData!$BC$425),"",ReferenceData!$BC$425),"")</f>
        <v>5.1201730059999999</v>
      </c>
      <c r="BD425">
        <f ca="1">IFERROR(IF(0=LEN(ReferenceData!$BD$425),"",ReferenceData!$BD$425),"")</f>
        <v>8.7436653520000007</v>
      </c>
      <c r="BE425">
        <f ca="1">IFERROR(IF(0=LEN(ReferenceData!$BE$425),"",ReferenceData!$BE$425),"")</f>
        <v>15.45453715</v>
      </c>
      <c r="BF425">
        <f ca="1">IFERROR(IF(0=LEN(ReferenceData!$BF$425),"",ReferenceData!$BF$425),"")</f>
        <v>11.12857374</v>
      </c>
      <c r="BG425">
        <f ca="1">IFERROR(IF(0=LEN(ReferenceData!$BG$425),"",ReferenceData!$BG$425),"")</f>
        <v>9.9058860430000006</v>
      </c>
      <c r="BH425">
        <f ca="1">IFERROR(IF(0=LEN(ReferenceData!$BH$425),"",ReferenceData!$BH$425),"")</f>
        <v>6.1715572930000002</v>
      </c>
      <c r="BI425">
        <f ca="1">IFERROR(IF(0=LEN(ReferenceData!$BI$425),"",ReferenceData!$BI$425),"")</f>
        <v>4.5347967269999998</v>
      </c>
      <c r="BJ425">
        <f ca="1">IFERROR(IF(0=LEN(ReferenceData!$BJ$425),"",ReferenceData!$BJ$425),"")</f>
        <v>4.9596085619999997</v>
      </c>
      <c r="BK425">
        <f ca="1">IFERROR(IF(0=LEN(ReferenceData!$BK$425),"",ReferenceData!$BK$425),"")</f>
        <v>6.4140546069999997</v>
      </c>
      <c r="BL425">
        <f ca="1">IFERROR(IF(0=LEN(ReferenceData!$BL$425),"",ReferenceData!$BL$425),"")</f>
        <v>8.2944619419999999</v>
      </c>
      <c r="BM425">
        <f ca="1">IFERROR(IF(0=LEN(ReferenceData!$BM$425),"",ReferenceData!$BM$425),"")</f>
        <v>9.8352933189999998</v>
      </c>
    </row>
    <row r="426" spans="1:65" x14ac:dyDescent="0.25">
      <c r="A426" t="str">
        <f>IFERROR(IF(0=LEN(ReferenceData!$A$426),"",ReferenceData!$A$426),"")</f>
        <v xml:space="preserve">    FAW CAR Co Ltd</v>
      </c>
      <c r="B426" t="str">
        <f>IFERROR(IF(0=LEN(ReferenceData!$B$426),"",ReferenceData!$B$426),"")</f>
        <v>000800 CH Equity</v>
      </c>
      <c r="C426" t="str">
        <f>IFERROR(IF(0=LEN(ReferenceData!$C$426),"",ReferenceData!$C$426),"")</f>
        <v>RR477</v>
      </c>
      <c r="D426" t="str">
        <f>IFERROR(IF(0=LEN(ReferenceData!$D$426),"",ReferenceData!$D$426),"")</f>
        <v>EV_TO_T12M_CASH_FLOW</v>
      </c>
      <c r="E426" t="str">
        <f>IFERROR(IF(0=LEN(ReferenceData!$E$426),"",ReferenceData!$E$426),"")</f>
        <v>Dynamic</v>
      </c>
      <c r="F426" t="str">
        <f ca="1">IFERROR(IF(0=LEN(ReferenceData!$F$426),"",ReferenceData!$F$426),"")</f>
        <v/>
      </c>
      <c r="G426" t="str">
        <f ca="1">IFERROR(IF(0=LEN(ReferenceData!$G$426),"",ReferenceData!$G$426),"")</f>
        <v/>
      </c>
      <c r="H426">
        <f ca="1">IFERROR(IF(0=LEN(ReferenceData!$H$426),"",ReferenceData!$H$426),"")</f>
        <v>6.1958011170000002</v>
      </c>
      <c r="I426">
        <f ca="1">IFERROR(IF(0=LEN(ReferenceData!$I$426),"",ReferenceData!$I$426),"")</f>
        <v>4.3177351169999998</v>
      </c>
      <c r="J426">
        <f ca="1">IFERROR(IF(0=LEN(ReferenceData!$J$426),"",ReferenceData!$J$426),"")</f>
        <v>5.9878053480000002</v>
      </c>
      <c r="K426">
        <f ca="1">IFERROR(IF(0=LEN(ReferenceData!$K$426),"",ReferenceData!$K$426),"")</f>
        <v>6.9134022020000003</v>
      </c>
      <c r="L426">
        <f ca="1">IFERROR(IF(0=LEN(ReferenceData!$L$426),"",ReferenceData!$L$426),"")</f>
        <v>9.6336071299999997</v>
      </c>
      <c r="M426">
        <f ca="1">IFERROR(IF(0=LEN(ReferenceData!$M$426),"",ReferenceData!$M$426),"")</f>
        <v>15.418660490000001</v>
      </c>
      <c r="N426">
        <f ca="1">IFERROR(IF(0=LEN(ReferenceData!$N$426),"",ReferenceData!$N$426),"")</f>
        <v>13.31867961</v>
      </c>
      <c r="O426">
        <f ca="1">IFERROR(IF(0=LEN(ReferenceData!$O$426),"",ReferenceData!$O$426),"")</f>
        <v>30.766367129999999</v>
      </c>
      <c r="P426">
        <f ca="1">IFERROR(IF(0=LEN(ReferenceData!$P$426),"",ReferenceData!$P$426),"")</f>
        <v>92.778790860000001</v>
      </c>
      <c r="Q426">
        <f ca="1">IFERROR(IF(0=LEN(ReferenceData!$Q$426),"",ReferenceData!$Q$426),"")</f>
        <v>31.40886763</v>
      </c>
      <c r="R426">
        <f ca="1">IFERROR(IF(0=LEN(ReferenceData!$R$426),"",ReferenceData!$R$426),"")</f>
        <v>69.717886669999999</v>
      </c>
      <c r="S426">
        <f ca="1">IFERROR(IF(0=LEN(ReferenceData!$S$426),"",ReferenceData!$S$426),"")</f>
        <v>30.334227129999999</v>
      </c>
      <c r="T426">
        <f ca="1">IFERROR(IF(0=LEN(ReferenceData!$T$426),"",ReferenceData!$T$426),"")</f>
        <v>681.78529189999995</v>
      </c>
      <c r="U426">
        <f ca="1">IFERROR(IF(0=LEN(ReferenceData!$U$426),"",ReferenceData!$U$426),"")</f>
        <v>1188.0809589999999</v>
      </c>
      <c r="V426">
        <f ca="1">IFERROR(IF(0=LEN(ReferenceData!$V$426),"",ReferenceData!$V$426),"")</f>
        <v>101.9186098</v>
      </c>
      <c r="W426">
        <f ca="1">IFERROR(IF(0=LEN(ReferenceData!$W$426),"",ReferenceData!$W$426),"")</f>
        <v>90.62373667</v>
      </c>
      <c r="X426">
        <f ca="1">IFERROR(IF(0=LEN(ReferenceData!$X$426),"",ReferenceData!$X$426),"")</f>
        <v>23.76832259</v>
      </c>
      <c r="Y426">
        <f ca="1">IFERROR(IF(0=LEN(ReferenceData!$Y$426),"",ReferenceData!$Y$426),"")</f>
        <v>13.79411387</v>
      </c>
      <c r="Z426">
        <f ca="1">IFERROR(IF(0=LEN(ReferenceData!$Z$426),"",ReferenceData!$Z$426),"")</f>
        <v>10.304301600000001</v>
      </c>
      <c r="AA426">
        <f ca="1">IFERROR(IF(0=LEN(ReferenceData!$AA$426),"",ReferenceData!$AA$426),"")</f>
        <v>14.71675258</v>
      </c>
      <c r="AB426">
        <f ca="1">IFERROR(IF(0=LEN(ReferenceData!$AB$426),"",ReferenceData!$AB$426),"")</f>
        <v>15.09397976</v>
      </c>
      <c r="AC426">
        <f ca="1">IFERROR(IF(0=LEN(ReferenceData!$AC$426),"",ReferenceData!$AC$426),"")</f>
        <v>56.739041829999998</v>
      </c>
      <c r="AD426">
        <f ca="1">IFERROR(IF(0=LEN(ReferenceData!$AD$426),"",ReferenceData!$AD$426),"")</f>
        <v>16.959255129999999</v>
      </c>
      <c r="AE426">
        <f ca="1">IFERROR(IF(0=LEN(ReferenceData!$AE$426),"",ReferenceData!$AE$426),"")</f>
        <v>9.1930614469999998</v>
      </c>
      <c r="AF426">
        <f ca="1">IFERROR(IF(0=LEN(ReferenceData!$AF$426),"",ReferenceData!$AF$426),"")</f>
        <v>4.0450469140000003</v>
      </c>
      <c r="AG426">
        <f ca="1">IFERROR(IF(0=LEN(ReferenceData!$AG$426),"",ReferenceData!$AG$426),"")</f>
        <v>6.6980991139999997</v>
      </c>
      <c r="AH426">
        <f ca="1">IFERROR(IF(0=LEN(ReferenceData!$AH$426),"",ReferenceData!$AH$426),"")</f>
        <v>12.24358926</v>
      </c>
      <c r="AI426" t="str">
        <f ca="1">IFERROR(IF(0=LEN(ReferenceData!$AI$426),"",ReferenceData!$AI$426),"")</f>
        <v/>
      </c>
      <c r="AJ426" t="str">
        <f ca="1">IFERROR(IF(0=LEN(ReferenceData!$AJ$426),"",ReferenceData!$AJ$426),"")</f>
        <v/>
      </c>
      <c r="AK426" t="str">
        <f ca="1">IFERROR(IF(0=LEN(ReferenceData!$AK$426),"",ReferenceData!$AK$426),"")</f>
        <v/>
      </c>
      <c r="AL426" t="str">
        <f ca="1">IFERROR(IF(0=LEN(ReferenceData!$AL$426),"",ReferenceData!$AL$426),"")</f>
        <v/>
      </c>
      <c r="AM426">
        <f ca="1">IFERROR(IF(0=LEN(ReferenceData!$AM$426),"",ReferenceData!$AM$426),"")</f>
        <v>9.4898585660000006</v>
      </c>
      <c r="AN426">
        <f ca="1">IFERROR(IF(0=LEN(ReferenceData!$AN$426),"",ReferenceData!$AN$426),"")</f>
        <v>7.668194884</v>
      </c>
      <c r="AO426">
        <f ca="1">IFERROR(IF(0=LEN(ReferenceData!$AO$426),"",ReferenceData!$AO$426),"")</f>
        <v>10.64413087</v>
      </c>
      <c r="AP426">
        <f ca="1">IFERROR(IF(0=LEN(ReferenceData!$AP$426),"",ReferenceData!$AP$426),"")</f>
        <v>14.348614789999999</v>
      </c>
      <c r="AQ426">
        <f ca="1">IFERROR(IF(0=LEN(ReferenceData!$AQ$426),"",ReferenceData!$AQ$426),"")</f>
        <v>17.99443681</v>
      </c>
      <c r="AR426">
        <f ca="1">IFERROR(IF(0=LEN(ReferenceData!$AR$426),"",ReferenceData!$AR$426),"")</f>
        <v>7.5623460370000002</v>
      </c>
      <c r="AS426">
        <f ca="1">IFERROR(IF(0=LEN(ReferenceData!$AS$426),"",ReferenceData!$AS$426),"")</f>
        <v>8.5432082789999999</v>
      </c>
      <c r="AT426">
        <f ca="1">IFERROR(IF(0=LEN(ReferenceData!$AT$426),"",ReferenceData!$AT$426),"")</f>
        <v>7.8995290420000002</v>
      </c>
      <c r="AU426">
        <f ca="1">IFERROR(IF(0=LEN(ReferenceData!$AU$426),"",ReferenceData!$AU$426),"")</f>
        <v>6.2133593490000001</v>
      </c>
      <c r="AV426">
        <f ca="1">IFERROR(IF(0=LEN(ReferenceData!$AV$426),"",ReferenceData!$AV$426),"")</f>
        <v>11.22423028</v>
      </c>
      <c r="AW426">
        <f ca="1">IFERROR(IF(0=LEN(ReferenceData!$AW$426),"",ReferenceData!$AW$426),"")</f>
        <v>13.281808460000001</v>
      </c>
      <c r="AX426">
        <f ca="1">IFERROR(IF(0=LEN(ReferenceData!$AX$426),"",ReferenceData!$AX$426),"")</f>
        <v>25.79665756</v>
      </c>
      <c r="AY426">
        <f ca="1">IFERROR(IF(0=LEN(ReferenceData!$AY$426),"",ReferenceData!$AY$426),"")</f>
        <v>237.3535947</v>
      </c>
      <c r="AZ426">
        <f ca="1">IFERROR(IF(0=LEN(ReferenceData!$AZ$426),"",ReferenceData!$AZ$426),"")</f>
        <v>49.667430209999999</v>
      </c>
      <c r="BA426">
        <f ca="1">IFERROR(IF(0=LEN(ReferenceData!$BA$426),"",ReferenceData!$BA$426),"")</f>
        <v>18.960296490000001</v>
      </c>
      <c r="BB426">
        <f ca="1">IFERROR(IF(0=LEN(ReferenceData!$BB$426),"",ReferenceData!$BB$426),"")</f>
        <v>24.28197157</v>
      </c>
      <c r="BC426">
        <f ca="1">IFERROR(IF(0=LEN(ReferenceData!$BC$426),"",ReferenceData!$BC$426),"")</f>
        <v>11.41203722</v>
      </c>
      <c r="BD426">
        <f ca="1">IFERROR(IF(0=LEN(ReferenceData!$BD$426),"",ReferenceData!$BD$426),"")</f>
        <v>49.717428089999999</v>
      </c>
      <c r="BE426" t="str">
        <f ca="1">IFERROR(IF(0=LEN(ReferenceData!$BE$426),"",ReferenceData!$BE$426),"")</f>
        <v/>
      </c>
      <c r="BF426">
        <f ca="1">IFERROR(IF(0=LEN(ReferenceData!$BF$426),"",ReferenceData!$BF$426),"")</f>
        <v>1.400088129</v>
      </c>
      <c r="BG426">
        <f ca="1">IFERROR(IF(0=LEN(ReferenceData!$BG$426),"",ReferenceData!$BG$426),"")</f>
        <v>0.76436718999999997</v>
      </c>
      <c r="BH426">
        <f ca="1">IFERROR(IF(0=LEN(ReferenceData!$BH$426),"",ReferenceData!$BH$426),"")</f>
        <v>0.73965710699999998</v>
      </c>
      <c r="BI426">
        <f ca="1">IFERROR(IF(0=LEN(ReferenceData!$BI$426),"",ReferenceData!$BI$426),"")</f>
        <v>0.81516880000000003</v>
      </c>
      <c r="BJ426" t="str">
        <f ca="1">IFERROR(IF(0=LEN(ReferenceData!$BJ$426),"",ReferenceData!$BJ$426),"")</f>
        <v/>
      </c>
      <c r="BK426" t="str">
        <f ca="1">IFERROR(IF(0=LEN(ReferenceData!$BK$426),"",ReferenceData!$BK$426),"")</f>
        <v/>
      </c>
      <c r="BL426" t="str">
        <f ca="1">IFERROR(IF(0=LEN(ReferenceData!$BL$426),"",ReferenceData!$BL$426),"")</f>
        <v/>
      </c>
      <c r="BM426">
        <f ca="1">IFERROR(IF(0=LEN(ReferenceData!$BM$426),"",ReferenceData!$BM$426),"")</f>
        <v>9.5917962130000003</v>
      </c>
    </row>
    <row r="427" spans="1:65" x14ac:dyDescent="0.25">
      <c r="A427" t="str">
        <f>IFERROR(IF(0=LEN(ReferenceData!$A$427),"",ReferenceData!$A$427),"")</f>
        <v xml:space="preserve">    Fiat Chrysler Automobiles NV</v>
      </c>
      <c r="B427" t="str">
        <f>IFERROR(IF(0=LEN(ReferenceData!$B$427),"",ReferenceData!$B$427),"")</f>
        <v>FCAU US Equity</v>
      </c>
      <c r="C427" t="str">
        <f>IFERROR(IF(0=LEN(ReferenceData!$C$427),"",ReferenceData!$C$427),"")</f>
        <v>RR477</v>
      </c>
      <c r="D427" t="str">
        <f>IFERROR(IF(0=LEN(ReferenceData!$D$427),"",ReferenceData!$D$427),"")</f>
        <v>EV_TO_T12M_CASH_FLOW</v>
      </c>
      <c r="E427" t="str">
        <f>IFERROR(IF(0=LEN(ReferenceData!$E$427),"",ReferenceData!$E$427),"")</f>
        <v>Dynamic</v>
      </c>
      <c r="F427" t="str">
        <f ca="1">IFERROR(IF(0=LEN(ReferenceData!$F$427),"",ReferenceData!$F$427),"")</f>
        <v/>
      </c>
      <c r="G427">
        <f ca="1">IFERROR(IF(0=LEN(ReferenceData!$G$427),"",ReferenceData!$G$427),"")</f>
        <v>2.6829122459999999</v>
      </c>
      <c r="H427">
        <f ca="1">IFERROR(IF(0=LEN(ReferenceData!$H$427),"",ReferenceData!$H$427),"")</f>
        <v>3.2660344600000002</v>
      </c>
      <c r="I427">
        <f ca="1">IFERROR(IF(0=LEN(ReferenceData!$I$427),"",ReferenceData!$I$427),"")</f>
        <v>3.0331180199999999</v>
      </c>
      <c r="J427">
        <f ca="1">IFERROR(IF(0=LEN(ReferenceData!$J$427),"",ReferenceData!$J$427),"")</f>
        <v>3.2577012029999999</v>
      </c>
      <c r="K427">
        <f ca="1">IFERROR(IF(0=LEN(ReferenceData!$K$427),"",ReferenceData!$K$427),"")</f>
        <v>3.2933629610000001</v>
      </c>
      <c r="L427">
        <f ca="1">IFERROR(IF(0=LEN(ReferenceData!$L$427),"",ReferenceData!$L$427),"")</f>
        <v>3.05509823</v>
      </c>
      <c r="M427">
        <f ca="1">IFERROR(IF(0=LEN(ReferenceData!$M$427),"",ReferenceData!$M$427),"")</f>
        <v>2.3039606969999999</v>
      </c>
      <c r="N427">
        <f ca="1">IFERROR(IF(0=LEN(ReferenceData!$N$427),"",ReferenceData!$N$427),"")</f>
        <v>2.3140077790000002</v>
      </c>
      <c r="O427">
        <f ca="1">IFERROR(IF(0=LEN(ReferenceData!$O$427),"",ReferenceData!$O$427),"")</f>
        <v>2.0909435969999999</v>
      </c>
      <c r="P427">
        <f ca="1">IFERROR(IF(0=LEN(ReferenceData!$P$427),"",ReferenceData!$P$427),"")</f>
        <v>1.7845676829999999</v>
      </c>
      <c r="Q427">
        <f ca="1">IFERROR(IF(0=LEN(ReferenceData!$Q$427),"",ReferenceData!$Q$427),"")</f>
        <v>1.537942731</v>
      </c>
      <c r="R427">
        <f ca="1">IFERROR(IF(0=LEN(ReferenceData!$R$427),"",ReferenceData!$R$427),"")</f>
        <v>2.083210791</v>
      </c>
      <c r="S427">
        <f ca="1">IFERROR(IF(0=LEN(ReferenceData!$S$427),"",ReferenceData!$S$427),"")</f>
        <v>2.8534989080000002</v>
      </c>
      <c r="T427">
        <f ca="1">IFERROR(IF(0=LEN(ReferenceData!$T$427),"",ReferenceData!$T$427),"")</f>
        <v>3.249798813</v>
      </c>
      <c r="U427">
        <f ca="1">IFERROR(IF(0=LEN(ReferenceData!$U$427),"",ReferenceData!$U$427),"")</f>
        <v>3.805376147</v>
      </c>
      <c r="V427">
        <f ca="1">IFERROR(IF(0=LEN(ReferenceData!$V$427),"",ReferenceData!$V$427),"")</f>
        <v>4.6947315209999996</v>
      </c>
      <c r="W427">
        <f ca="1">IFERROR(IF(0=LEN(ReferenceData!$W$427),"",ReferenceData!$W$427),"")</f>
        <v>3.1597101790000002</v>
      </c>
      <c r="X427" t="str">
        <f ca="1">IFERROR(IF(0=LEN(ReferenceData!$X$427),"",ReferenceData!$X$427),"")</f>
        <v/>
      </c>
      <c r="Y427" t="str">
        <f ca="1">IFERROR(IF(0=LEN(ReferenceData!$Y$427),"",ReferenceData!$Y$427),"")</f>
        <v/>
      </c>
      <c r="Z427" t="str">
        <f ca="1">IFERROR(IF(0=LEN(ReferenceData!$Z$427),"",ReferenceData!$Z$427),"")</f>
        <v/>
      </c>
      <c r="AA427" t="str">
        <f ca="1">IFERROR(IF(0=LEN(ReferenceData!$AA$427),"",ReferenceData!$AA$427),"")</f>
        <v/>
      </c>
      <c r="AB427" t="str">
        <f ca="1">IFERROR(IF(0=LEN(ReferenceData!$AB$427),"",ReferenceData!$AB$427),"")</f>
        <v/>
      </c>
      <c r="AC427" t="str">
        <f ca="1">IFERROR(IF(0=LEN(ReferenceData!$AC$427),"",ReferenceData!$AC$427),"")</f>
        <v/>
      </c>
      <c r="AD427" t="str">
        <f ca="1">IFERROR(IF(0=LEN(ReferenceData!$AD$427),"",ReferenceData!$AD$427),"")</f>
        <v/>
      </c>
      <c r="AE427" t="str">
        <f ca="1">IFERROR(IF(0=LEN(ReferenceData!$AE$427),"",ReferenceData!$AE$427),"")</f>
        <v/>
      </c>
      <c r="AF427" t="str">
        <f ca="1">IFERROR(IF(0=LEN(ReferenceData!$AF$427),"",ReferenceData!$AF$427),"")</f>
        <v/>
      </c>
      <c r="AG427" t="str">
        <f ca="1">IFERROR(IF(0=LEN(ReferenceData!$AG$427),"",ReferenceData!$AG$427),"")</f>
        <v/>
      </c>
      <c r="AH427" t="str">
        <f ca="1">IFERROR(IF(0=LEN(ReferenceData!$AH$427),"",ReferenceData!$AH$427),"")</f>
        <v/>
      </c>
      <c r="AI427" t="str">
        <f ca="1">IFERROR(IF(0=LEN(ReferenceData!$AI$427),"",ReferenceData!$AI$427),"")</f>
        <v/>
      </c>
      <c r="AJ427" t="str">
        <f ca="1">IFERROR(IF(0=LEN(ReferenceData!$AJ$427),"",ReferenceData!$AJ$427),"")</f>
        <v/>
      </c>
      <c r="AK427" t="str">
        <f ca="1">IFERROR(IF(0=LEN(ReferenceData!$AK$427),"",ReferenceData!$AK$427),"")</f>
        <v/>
      </c>
      <c r="AL427" t="str">
        <f ca="1">IFERROR(IF(0=LEN(ReferenceData!$AL$427),"",ReferenceData!$AL$427),"")</f>
        <v/>
      </c>
      <c r="AM427" t="str">
        <f ca="1">IFERROR(IF(0=LEN(ReferenceData!$AM$427),"",ReferenceData!$AM$427),"")</f>
        <v/>
      </c>
      <c r="AN427" t="str">
        <f ca="1">IFERROR(IF(0=LEN(ReferenceData!$AN$427),"",ReferenceData!$AN$427),"")</f>
        <v/>
      </c>
      <c r="AO427" t="str">
        <f ca="1">IFERROR(IF(0=LEN(ReferenceData!$AO$427),"",ReferenceData!$AO$427),"")</f>
        <v/>
      </c>
      <c r="AP427" t="str">
        <f ca="1">IFERROR(IF(0=LEN(ReferenceData!$AP$427),"",ReferenceData!$AP$427),"")</f>
        <v/>
      </c>
      <c r="AQ427" t="str">
        <f ca="1">IFERROR(IF(0=LEN(ReferenceData!$AQ$427),"",ReferenceData!$AQ$427),"")</f>
        <v/>
      </c>
      <c r="AR427" t="str">
        <f ca="1">IFERROR(IF(0=LEN(ReferenceData!$AR$427),"",ReferenceData!$AR$427),"")</f>
        <v/>
      </c>
      <c r="AS427" t="str">
        <f ca="1">IFERROR(IF(0=LEN(ReferenceData!$AS$427),"",ReferenceData!$AS$427),"")</f>
        <v/>
      </c>
      <c r="AT427" t="str">
        <f ca="1">IFERROR(IF(0=LEN(ReferenceData!$AT$427),"",ReferenceData!$AT$427),"")</f>
        <v/>
      </c>
      <c r="AU427" t="str">
        <f ca="1">IFERROR(IF(0=LEN(ReferenceData!$AU$427),"",ReferenceData!$AU$427),"")</f>
        <v/>
      </c>
      <c r="AV427" t="str">
        <f ca="1">IFERROR(IF(0=LEN(ReferenceData!$AV$427),"",ReferenceData!$AV$427),"")</f>
        <v/>
      </c>
      <c r="AW427" t="str">
        <f ca="1">IFERROR(IF(0=LEN(ReferenceData!$AW$427),"",ReferenceData!$AW$427),"")</f>
        <v/>
      </c>
      <c r="AX427" t="str">
        <f ca="1">IFERROR(IF(0=LEN(ReferenceData!$AX$427),"",ReferenceData!$AX$427),"")</f>
        <v/>
      </c>
      <c r="AY427" t="str">
        <f ca="1">IFERROR(IF(0=LEN(ReferenceData!$AY$427),"",ReferenceData!$AY$427),"")</f>
        <v/>
      </c>
      <c r="AZ427" t="str">
        <f ca="1">IFERROR(IF(0=LEN(ReferenceData!$AZ$427),"",ReferenceData!$AZ$427),"")</f>
        <v/>
      </c>
      <c r="BA427" t="str">
        <f ca="1">IFERROR(IF(0=LEN(ReferenceData!$BA$427),"",ReferenceData!$BA$427),"")</f>
        <v/>
      </c>
      <c r="BB427" t="str">
        <f ca="1">IFERROR(IF(0=LEN(ReferenceData!$BB$427),"",ReferenceData!$BB$427),"")</f>
        <v/>
      </c>
      <c r="BC427" t="str">
        <f ca="1">IFERROR(IF(0=LEN(ReferenceData!$BC$427),"",ReferenceData!$BC$427),"")</f>
        <v/>
      </c>
      <c r="BD427" t="str">
        <f ca="1">IFERROR(IF(0=LEN(ReferenceData!$BD$427),"",ReferenceData!$BD$427),"")</f>
        <v/>
      </c>
      <c r="BE427" t="str">
        <f ca="1">IFERROR(IF(0=LEN(ReferenceData!$BE$427),"",ReferenceData!$BE$427),"")</f>
        <v/>
      </c>
      <c r="BF427" t="str">
        <f ca="1">IFERROR(IF(0=LEN(ReferenceData!$BF$427),"",ReferenceData!$BF$427),"")</f>
        <v/>
      </c>
      <c r="BG427" t="str">
        <f ca="1">IFERROR(IF(0=LEN(ReferenceData!$BG$427),"",ReferenceData!$BG$427),"")</f>
        <v/>
      </c>
      <c r="BH427" t="str">
        <f ca="1">IFERROR(IF(0=LEN(ReferenceData!$BH$427),"",ReferenceData!$BH$427),"")</f>
        <v/>
      </c>
      <c r="BI427" t="str">
        <f ca="1">IFERROR(IF(0=LEN(ReferenceData!$BI$427),"",ReferenceData!$BI$427),"")</f>
        <v/>
      </c>
      <c r="BJ427" t="str">
        <f ca="1">IFERROR(IF(0=LEN(ReferenceData!$BJ$427),"",ReferenceData!$BJ$427),"")</f>
        <v/>
      </c>
      <c r="BK427" t="str">
        <f ca="1">IFERROR(IF(0=LEN(ReferenceData!$BK$427),"",ReferenceData!$BK$427),"")</f>
        <v/>
      </c>
      <c r="BL427" t="str">
        <f ca="1">IFERROR(IF(0=LEN(ReferenceData!$BL$427),"",ReferenceData!$BL$427),"")</f>
        <v/>
      </c>
      <c r="BM427" t="str">
        <f ca="1">IFERROR(IF(0=LEN(ReferenceData!$BM$427),"",ReferenceData!$BM$427),"")</f>
        <v/>
      </c>
    </row>
    <row r="428" spans="1:65" x14ac:dyDescent="0.25">
      <c r="A428" t="str">
        <f>IFERROR(IF(0=LEN(ReferenceData!$A$428),"",ReferenceData!$A$428),"")</f>
        <v xml:space="preserve">    Ford Motor Co</v>
      </c>
      <c r="B428" t="str">
        <f>IFERROR(IF(0=LEN(ReferenceData!$B$428),"",ReferenceData!$B$428),"")</f>
        <v>F US Equity</v>
      </c>
      <c r="C428" t="str">
        <f>IFERROR(IF(0=LEN(ReferenceData!$C$428),"",ReferenceData!$C$428),"")</f>
        <v>RR477</v>
      </c>
      <c r="D428" t="str">
        <f>IFERROR(IF(0=LEN(ReferenceData!$D$428),"",ReferenceData!$D$428),"")</f>
        <v>EV_TO_T12M_CASH_FLOW</v>
      </c>
      <c r="E428" t="str">
        <f>IFERROR(IF(0=LEN(ReferenceData!$E$428),"",ReferenceData!$E$428),"")</f>
        <v>Dynamic</v>
      </c>
      <c r="F428" t="str">
        <f ca="1">IFERROR(IF(0=LEN(ReferenceData!$F$428),"",ReferenceData!$F$428),"")</f>
        <v/>
      </c>
      <c r="G428">
        <f ca="1">IFERROR(IF(0=LEN(ReferenceData!$G$428),"",ReferenceData!$G$428),"")</f>
        <v>1.403336492</v>
      </c>
      <c r="H428">
        <f ca="1">IFERROR(IF(0=LEN(ReferenceData!$H$428),"",ReferenceData!$H$428),"")</f>
        <v>1.6644424410000001</v>
      </c>
      <c r="I428">
        <f ca="1">IFERROR(IF(0=LEN(ReferenceData!$I$428),"",ReferenceData!$I$428),"")</f>
        <v>2.0893507769999999</v>
      </c>
      <c r="J428">
        <f ca="1">IFERROR(IF(0=LEN(ReferenceData!$J$428),"",ReferenceData!$J$428),"")</f>
        <v>1.882151592</v>
      </c>
      <c r="K428">
        <f ca="1">IFERROR(IF(0=LEN(ReferenceData!$K$428),"",ReferenceData!$K$428),"")</f>
        <v>2.1660124989999998</v>
      </c>
      <c r="L428">
        <f ca="1">IFERROR(IF(0=LEN(ReferenceData!$L$428),"",ReferenceData!$L$428),"")</f>
        <v>2.1248355910000001</v>
      </c>
      <c r="M428">
        <f ca="1">IFERROR(IF(0=LEN(ReferenceData!$M$428),"",ReferenceData!$M$428),"")</f>
        <v>1.804295926</v>
      </c>
      <c r="N428">
        <f ca="1">IFERROR(IF(0=LEN(ReferenceData!$N$428),"",ReferenceData!$N$428),"")</f>
        <v>1.729067256</v>
      </c>
      <c r="O428">
        <f ca="1">IFERROR(IF(0=LEN(ReferenceData!$O$428),"",ReferenceData!$O$428),"")</f>
        <v>1.8517997310000001</v>
      </c>
      <c r="P428">
        <f ca="1">IFERROR(IF(0=LEN(ReferenceData!$P$428),"",ReferenceData!$P$428),"")</f>
        <v>1.9224341410000001</v>
      </c>
      <c r="Q428">
        <f ca="1">IFERROR(IF(0=LEN(ReferenceData!$Q$428),"",ReferenceData!$Q$428),"")</f>
        <v>1.752348869</v>
      </c>
      <c r="R428">
        <f ca="1">IFERROR(IF(0=LEN(ReferenceData!$R$428),"",ReferenceData!$R$428),"")</f>
        <v>2.2765244899999999</v>
      </c>
      <c r="S428">
        <f ca="1">IFERROR(IF(0=LEN(ReferenceData!$S$428),"",ReferenceData!$S$428),"")</f>
        <v>2.792520755</v>
      </c>
      <c r="T428">
        <f ca="1">IFERROR(IF(0=LEN(ReferenceData!$T$428),"",ReferenceData!$T$428),"")</f>
        <v>2.5970276659999998</v>
      </c>
      <c r="U428">
        <f ca="1">IFERROR(IF(0=LEN(ReferenceData!$U$428),"",ReferenceData!$U$428),"")</f>
        <v>3.7040796029999998</v>
      </c>
      <c r="V428">
        <f ca="1">IFERROR(IF(0=LEN(ReferenceData!$V$428),"",ReferenceData!$V$428),"")</f>
        <v>4.159198526</v>
      </c>
      <c r="W428">
        <f ca="1">IFERROR(IF(0=LEN(ReferenceData!$W$428),"",ReferenceData!$W$428),"")</f>
        <v>3.591996849</v>
      </c>
      <c r="X428">
        <f ca="1">IFERROR(IF(0=LEN(ReferenceData!$X$428),"",ReferenceData!$X$428),"")</f>
        <v>3.745778955</v>
      </c>
      <c r="Y428">
        <f ca="1">IFERROR(IF(0=LEN(ReferenceData!$Y$428),"",ReferenceData!$Y$428),"")</f>
        <v>4.4142515659999999</v>
      </c>
      <c r="Z428">
        <f ca="1">IFERROR(IF(0=LEN(ReferenceData!$Z$428),"",ReferenceData!$Z$428),"")</f>
        <v>4.1575557009999997</v>
      </c>
      <c r="AA428">
        <f ca="1">IFERROR(IF(0=LEN(ReferenceData!$AA$428),"",ReferenceData!$AA$428),"")</f>
        <v>4.9201999499999998</v>
      </c>
      <c r="AB428">
        <f ca="1">IFERROR(IF(0=LEN(ReferenceData!$AB$428),"",ReferenceData!$AB$428),"")</f>
        <v>4.7629347910000002</v>
      </c>
      <c r="AC428">
        <f ca="1">IFERROR(IF(0=LEN(ReferenceData!$AC$428),"",ReferenceData!$AC$428),"")</f>
        <v>4.7011183660000002</v>
      </c>
      <c r="AD428">
        <f ca="1">IFERROR(IF(0=LEN(ReferenceData!$AD$428),"",ReferenceData!$AD$428),"")</f>
        <v>4.9075079840000004</v>
      </c>
      <c r="AE428">
        <f ca="1">IFERROR(IF(0=LEN(ReferenceData!$AE$428),"",ReferenceData!$AE$428),"")</f>
        <v>4.3751362399999998</v>
      </c>
      <c r="AF428">
        <f ca="1">IFERROR(IF(0=LEN(ReferenceData!$AF$428),"",ReferenceData!$AF$428),"")</f>
        <v>2.7507444959999998</v>
      </c>
      <c r="AG428">
        <f ca="1">IFERROR(IF(0=LEN(ReferenceData!$AG$428),"",ReferenceData!$AG$428),"")</f>
        <v>2.7388178089999999</v>
      </c>
      <c r="AH428">
        <f ca="1">IFERROR(IF(0=LEN(ReferenceData!$AH$428),"",ReferenceData!$AH$428),"")</f>
        <v>3.7426337869999999</v>
      </c>
      <c r="AI428">
        <f ca="1">IFERROR(IF(0=LEN(ReferenceData!$AI$428),"",ReferenceData!$AI$428),"")</f>
        <v>2.5892674219999998</v>
      </c>
      <c r="AJ428">
        <f ca="1">IFERROR(IF(0=LEN(ReferenceData!$AJ$428),"",ReferenceData!$AJ$428),"")</f>
        <v>2.26271281</v>
      </c>
      <c r="AK428">
        <f ca="1">IFERROR(IF(0=LEN(ReferenceData!$AK$428),"",ReferenceData!$AK$428),"")</f>
        <v>3.3321921429999999</v>
      </c>
      <c r="AL428">
        <f ca="1">IFERROR(IF(0=LEN(ReferenceData!$AL$428),"",ReferenceData!$AL$428),"")</f>
        <v>4.2307705970000002</v>
      </c>
      <c r="AM428">
        <f ca="1">IFERROR(IF(0=LEN(ReferenceData!$AM$428),"",ReferenceData!$AM$428),"")</f>
        <v>5.9865876</v>
      </c>
      <c r="AN428">
        <f ca="1">IFERROR(IF(0=LEN(ReferenceData!$AN$428),"",ReferenceData!$AN$428),"")</f>
        <v>2.740582388</v>
      </c>
      <c r="AO428">
        <f ca="1">IFERROR(IF(0=LEN(ReferenceData!$AO$428),"",ReferenceData!$AO$428),"")</f>
        <v>2.181033507</v>
      </c>
      <c r="AP428">
        <f ca="1">IFERROR(IF(0=LEN(ReferenceData!$AP$428),"",ReferenceData!$AP$428),"")</f>
        <v>3.4364161809999998</v>
      </c>
      <c r="AQ428">
        <f ca="1">IFERROR(IF(0=LEN(ReferenceData!$AQ$428),"",ReferenceData!$AQ$428),"")</f>
        <v>3.2181645300000001</v>
      </c>
      <c r="AR428" t="str">
        <f ca="1">IFERROR(IF(0=LEN(ReferenceData!$AR$428),"",ReferenceData!$AR$428),"")</f>
        <v/>
      </c>
      <c r="AS428" t="str">
        <f ca="1">IFERROR(IF(0=LEN(ReferenceData!$AS$428),"",ReferenceData!$AS$428),"")</f>
        <v/>
      </c>
      <c r="AT428" t="str">
        <f ca="1">IFERROR(IF(0=LEN(ReferenceData!$AT$428),"",ReferenceData!$AT$428),"")</f>
        <v/>
      </c>
      <c r="AU428" t="str">
        <f ca="1">IFERROR(IF(0=LEN(ReferenceData!$AU$428),"",ReferenceData!$AU$428),"")</f>
        <v/>
      </c>
      <c r="AV428">
        <f ca="1">IFERROR(IF(0=LEN(ReferenceData!$AV$428),"",ReferenceData!$AV$428),"")</f>
        <v>1.5708197230000001</v>
      </c>
      <c r="AW428">
        <f ca="1">IFERROR(IF(0=LEN(ReferenceData!$AW$428),"",ReferenceData!$AW$428),"")</f>
        <v>0.85457620000000001</v>
      </c>
      <c r="AX428">
        <f ca="1">IFERROR(IF(0=LEN(ReferenceData!$AX$428),"",ReferenceData!$AX$428),"")</f>
        <v>0.57499940599999999</v>
      </c>
      <c r="AY428">
        <f ca="1">IFERROR(IF(0=LEN(ReferenceData!$AY$428),"",ReferenceData!$AY$428),"")</f>
        <v>0.64948586100000005</v>
      </c>
      <c r="AZ428">
        <f ca="1">IFERROR(IF(0=LEN(ReferenceData!$AZ$428),"",ReferenceData!$AZ$428),"")</f>
        <v>3.4485762709999999</v>
      </c>
      <c r="BA428">
        <f ca="1">IFERROR(IF(0=LEN(ReferenceData!$BA$428),"",ReferenceData!$BA$428),"")</f>
        <v>36.417007869999999</v>
      </c>
      <c r="BB428">
        <f ca="1">IFERROR(IF(0=LEN(ReferenceData!$BB$428),"",ReferenceData!$BB$428),"")</f>
        <v>2.762916578</v>
      </c>
      <c r="BC428">
        <f ca="1">IFERROR(IF(0=LEN(ReferenceData!$BC$428),"",ReferenceData!$BC$428),"")</f>
        <v>4.0523715290000002</v>
      </c>
      <c r="BD428">
        <f ca="1">IFERROR(IF(0=LEN(ReferenceData!$BD$428),"",ReferenceData!$BD$428),"")</f>
        <v>1.0109504949999999</v>
      </c>
      <c r="BE428">
        <f ca="1">IFERROR(IF(0=LEN(ReferenceData!$BE$428),"",ReferenceData!$BE$428),"")</f>
        <v>0.70305044900000002</v>
      </c>
      <c r="BF428">
        <f ca="1">IFERROR(IF(0=LEN(ReferenceData!$BF$428),"",ReferenceData!$BF$428),"")</f>
        <v>1.3538376640000001</v>
      </c>
      <c r="BG428">
        <f ca="1">IFERROR(IF(0=LEN(ReferenceData!$BG$428),"",ReferenceData!$BG$428),"")</f>
        <v>10.53041185</v>
      </c>
      <c r="BH428">
        <f ca="1">IFERROR(IF(0=LEN(ReferenceData!$BH$428),"",ReferenceData!$BH$428),"")</f>
        <v>7.2711755179999997</v>
      </c>
      <c r="BI428">
        <f ca="1">IFERROR(IF(0=LEN(ReferenceData!$BI$428),"",ReferenceData!$BI$428),"")</f>
        <v>6.0204483179999997</v>
      </c>
      <c r="BJ428">
        <f ca="1">IFERROR(IF(0=LEN(ReferenceData!$BJ$428),"",ReferenceData!$BJ$428),"")</f>
        <v>6.0586230250000002</v>
      </c>
      <c r="BK428">
        <f ca="1">IFERROR(IF(0=LEN(ReferenceData!$BK$428),"",ReferenceData!$BK$428),"")</f>
        <v>6.0210069620000004</v>
      </c>
      <c r="BL428">
        <f ca="1">IFERROR(IF(0=LEN(ReferenceData!$BL$428),"",ReferenceData!$BL$428),"")</f>
        <v>8.1661380309999991</v>
      </c>
      <c r="BM428">
        <f ca="1">IFERROR(IF(0=LEN(ReferenceData!$BM$428),"",ReferenceData!$BM$428),"")</f>
        <v>9.01739888</v>
      </c>
    </row>
    <row r="429" spans="1:65" x14ac:dyDescent="0.25">
      <c r="A429" t="str">
        <f>IFERROR(IF(0=LEN(ReferenceData!$A$429),"",ReferenceData!$A$429),"")</f>
        <v xml:space="preserve">    Ford Otomotiv Sanayi AS</v>
      </c>
      <c r="B429" t="str">
        <f>IFERROR(IF(0=LEN(ReferenceData!$B$429),"",ReferenceData!$B$429),"")</f>
        <v>FROTOTRY EO Equity</v>
      </c>
      <c r="C429" t="str">
        <f>IFERROR(IF(0=LEN(ReferenceData!$C$429),"",ReferenceData!$C$429),"")</f>
        <v>RR477</v>
      </c>
      <c r="D429" t="str">
        <f>IFERROR(IF(0=LEN(ReferenceData!$D$429),"",ReferenceData!$D$429),"")</f>
        <v>EV_TO_T12M_CASH_FLOW</v>
      </c>
      <c r="E429" t="str">
        <f>IFERROR(IF(0=LEN(ReferenceData!$E$429),"",ReferenceData!$E$429),"")</f>
        <v>Dynamic</v>
      </c>
      <c r="F429" t="str">
        <f ca="1">IFERROR(IF(0=LEN(ReferenceData!$F$429),"",ReferenceData!$F$429),"")</f>
        <v/>
      </c>
      <c r="G429">
        <f ca="1">IFERROR(IF(0=LEN(ReferenceData!$G$429),"",ReferenceData!$G$429),"")</f>
        <v>9.2576386480000004</v>
      </c>
      <c r="H429">
        <f ca="1">IFERROR(IF(0=LEN(ReferenceData!$H$429),"",ReferenceData!$H$429),"")</f>
        <v>10.666863380000001</v>
      </c>
      <c r="I429">
        <f ca="1">IFERROR(IF(0=LEN(ReferenceData!$I$429),"",ReferenceData!$I$429),"")</f>
        <v>10.81723929</v>
      </c>
      <c r="J429">
        <f ca="1">IFERROR(IF(0=LEN(ReferenceData!$J$429),"",ReferenceData!$J$429),"")</f>
        <v>11.021578119999999</v>
      </c>
      <c r="K429">
        <f ca="1">IFERROR(IF(0=LEN(ReferenceData!$K$429),"",ReferenceData!$K$429),"")</f>
        <v>10.527817300000001</v>
      </c>
      <c r="L429">
        <f ca="1">IFERROR(IF(0=LEN(ReferenceData!$L$429),"",ReferenceData!$L$429),"")</f>
        <v>8.5724912920000005</v>
      </c>
      <c r="M429">
        <f ca="1">IFERROR(IF(0=LEN(ReferenceData!$M$429),"",ReferenceData!$M$429),"")</f>
        <v>7.5240820279999996</v>
      </c>
      <c r="N429">
        <f ca="1">IFERROR(IF(0=LEN(ReferenceData!$N$429),"",ReferenceData!$N$429),"")</f>
        <v>7.1209628360000004</v>
      </c>
      <c r="O429">
        <f ca="1">IFERROR(IF(0=LEN(ReferenceData!$O$429),"",ReferenceData!$O$429),"")</f>
        <v>7.791607602</v>
      </c>
      <c r="P429">
        <f ca="1">IFERROR(IF(0=LEN(ReferenceData!$P$429),"",ReferenceData!$P$429),"")</f>
        <v>10.94595642</v>
      </c>
      <c r="Q429">
        <f ca="1">IFERROR(IF(0=LEN(ReferenceData!$Q$429),"",ReferenceData!$Q$429),"")</f>
        <v>7.9362812529999998</v>
      </c>
      <c r="R429">
        <f ca="1">IFERROR(IF(0=LEN(ReferenceData!$R$429),"",ReferenceData!$R$429),"")</f>
        <v>12.65476314</v>
      </c>
      <c r="S429">
        <f ca="1">IFERROR(IF(0=LEN(ReferenceData!$S$429),"",ReferenceData!$S$429),"")</f>
        <v>8.9845501399999996</v>
      </c>
      <c r="T429">
        <f ca="1">IFERROR(IF(0=LEN(ReferenceData!$T$429),"",ReferenceData!$T$429),"")</f>
        <v>10.45992665</v>
      </c>
      <c r="U429">
        <f ca="1">IFERROR(IF(0=LEN(ReferenceData!$U$429),"",ReferenceData!$U$429),"")</f>
        <v>28.669946209999999</v>
      </c>
      <c r="V429">
        <f ca="1">IFERROR(IF(0=LEN(ReferenceData!$V$429),"",ReferenceData!$V$429),"")</f>
        <v>13.27504982</v>
      </c>
      <c r="W429">
        <f ca="1">IFERROR(IF(0=LEN(ReferenceData!$W$429),"",ReferenceData!$W$429),"")</f>
        <v>10.664891430000001</v>
      </c>
      <c r="X429">
        <f ca="1">IFERROR(IF(0=LEN(ReferenceData!$X$429),"",ReferenceData!$X$429),"")</f>
        <v>21.779432320000002</v>
      </c>
      <c r="Y429">
        <f ca="1">IFERROR(IF(0=LEN(ReferenceData!$Y$429),"",ReferenceData!$Y$429),"")</f>
        <v>15.99063039</v>
      </c>
      <c r="Z429">
        <f ca="1">IFERROR(IF(0=LEN(ReferenceData!$Z$429),"",ReferenceData!$Z$429),"")</f>
        <v>25.163484480000001</v>
      </c>
      <c r="AA429">
        <f ca="1">IFERROR(IF(0=LEN(ReferenceData!$AA$429),"",ReferenceData!$AA$429),"")</f>
        <v>11.71324495</v>
      </c>
      <c r="AB429">
        <f ca="1">IFERROR(IF(0=LEN(ReferenceData!$AB$429),"",ReferenceData!$AB$429),"")</f>
        <v>10.08538581</v>
      </c>
      <c r="AC429">
        <f ca="1">IFERROR(IF(0=LEN(ReferenceData!$AC$429),"",ReferenceData!$AC$429),"")</f>
        <v>10.90360132</v>
      </c>
      <c r="AD429">
        <f ca="1">IFERROR(IF(0=LEN(ReferenceData!$AD$429),"",ReferenceData!$AD$429),"")</f>
        <v>11.61905076</v>
      </c>
      <c r="AE429">
        <f ca="1">IFERROR(IF(0=LEN(ReferenceData!$AE$429),"",ReferenceData!$AE$429),"")</f>
        <v>13.93283194</v>
      </c>
      <c r="AF429">
        <f ca="1">IFERROR(IF(0=LEN(ReferenceData!$AF$429),"",ReferenceData!$AF$429),"")</f>
        <v>14.21447296</v>
      </c>
      <c r="AG429">
        <f ca="1">IFERROR(IF(0=LEN(ReferenceData!$AG$429),"",ReferenceData!$AG$429),"")</f>
        <v>10.543016079999999</v>
      </c>
      <c r="AH429">
        <f ca="1">IFERROR(IF(0=LEN(ReferenceData!$AH$429),"",ReferenceData!$AH$429),"")</f>
        <v>11.07159111</v>
      </c>
      <c r="AI429">
        <f ca="1">IFERROR(IF(0=LEN(ReferenceData!$AI$429),"",ReferenceData!$AI$429),"")</f>
        <v>7.2546700709999996</v>
      </c>
      <c r="AJ429">
        <f ca="1">IFERROR(IF(0=LEN(ReferenceData!$AJ$429),"",ReferenceData!$AJ$429),"")</f>
        <v>7.1434540200000001</v>
      </c>
      <c r="AK429">
        <f ca="1">IFERROR(IF(0=LEN(ReferenceData!$AK$429),"",ReferenceData!$AK$429),"")</f>
        <v>6.5024953290000003</v>
      </c>
      <c r="AL429">
        <f ca="1">IFERROR(IF(0=LEN(ReferenceData!$AL$429),"",ReferenceData!$AL$429),"")</f>
        <v>6.5397473310000001</v>
      </c>
      <c r="AM429">
        <f ca="1">IFERROR(IF(0=LEN(ReferenceData!$AM$429),"",ReferenceData!$AM$429),"")</f>
        <v>9.6729105420000003</v>
      </c>
      <c r="AN429">
        <f ca="1">IFERROR(IF(0=LEN(ReferenceData!$AN$429),"",ReferenceData!$AN$429),"")</f>
        <v>6.3377301020000001</v>
      </c>
      <c r="AO429">
        <f ca="1">IFERROR(IF(0=LEN(ReferenceData!$AO$429),"",ReferenceData!$AO$429),"")</f>
        <v>8.0419263589999996</v>
      </c>
      <c r="AP429">
        <f ca="1">IFERROR(IF(0=LEN(ReferenceData!$AP$429),"",ReferenceData!$AP$429),"")</f>
        <v>6.5019637599999998</v>
      </c>
      <c r="AQ429">
        <f ca="1">IFERROR(IF(0=LEN(ReferenceData!$AQ$429),"",ReferenceData!$AQ$429),"")</f>
        <v>5.533477467</v>
      </c>
      <c r="AR429">
        <f ca="1">IFERROR(IF(0=LEN(ReferenceData!$AR$429),"",ReferenceData!$AR$429),"")</f>
        <v>9.0247609989999997</v>
      </c>
      <c r="AS429">
        <f ca="1">IFERROR(IF(0=LEN(ReferenceData!$AS$429),"",ReferenceData!$AS$429),"")</f>
        <v>2.4646028250000001</v>
      </c>
      <c r="AT429">
        <f ca="1">IFERROR(IF(0=LEN(ReferenceData!$AT$429),"",ReferenceData!$AT$429),"")</f>
        <v>1.9802740400000001</v>
      </c>
      <c r="AU429">
        <f ca="1">IFERROR(IF(0=LEN(ReferenceData!$AU$429),"",ReferenceData!$AU$429),"")</f>
        <v>3.1551604069999999</v>
      </c>
      <c r="AV429">
        <f ca="1">IFERROR(IF(0=LEN(ReferenceData!$AV$429),"",ReferenceData!$AV$429),"")</f>
        <v>2.6221120510000002</v>
      </c>
      <c r="AW429">
        <f ca="1">IFERROR(IF(0=LEN(ReferenceData!$AW$429),"",ReferenceData!$AW$429),"")</f>
        <v>4.9993459920000003</v>
      </c>
      <c r="AX429">
        <f ca="1">IFERROR(IF(0=LEN(ReferenceData!$AX$429),"",ReferenceData!$AX$429),"")</f>
        <v>4.2558331970000003</v>
      </c>
      <c r="AY429">
        <f ca="1">IFERROR(IF(0=LEN(ReferenceData!$AY$429),"",ReferenceData!$AY$429),"")</f>
        <v>5.9959886789999999</v>
      </c>
      <c r="AZ429">
        <f ca="1">IFERROR(IF(0=LEN(ReferenceData!$AZ$429),"",ReferenceData!$AZ$429),"")</f>
        <v>7.6971332559999999</v>
      </c>
      <c r="BA429">
        <f ca="1">IFERROR(IF(0=LEN(ReferenceData!$BA$429),"",ReferenceData!$BA$429),"")</f>
        <v>9.8976926390000006</v>
      </c>
      <c r="BB429">
        <f ca="1">IFERROR(IF(0=LEN(ReferenceData!$BB$429),"",ReferenceData!$BB$429),"")</f>
        <v>11.738697910000001</v>
      </c>
      <c r="BC429">
        <f ca="1">IFERROR(IF(0=LEN(ReferenceData!$BC$429),"",ReferenceData!$BC$429),"")</f>
        <v>7.7836399610000004</v>
      </c>
      <c r="BD429">
        <f ca="1">IFERROR(IF(0=LEN(ReferenceData!$BD$429),"",ReferenceData!$BD$429),"")</f>
        <v>7.7650798060000001</v>
      </c>
      <c r="BE429">
        <f ca="1">IFERROR(IF(0=LEN(ReferenceData!$BE$429),"",ReferenceData!$BE$429),"")</f>
        <v>6.4655520800000001</v>
      </c>
      <c r="BF429">
        <f ca="1">IFERROR(IF(0=LEN(ReferenceData!$BF$429),"",ReferenceData!$BF$429),"")</f>
        <v>5.4235735969999999</v>
      </c>
      <c r="BG429">
        <f ca="1">IFERROR(IF(0=LEN(ReferenceData!$BG$429),"",ReferenceData!$BG$429),"")</f>
        <v>6.7813286829999999</v>
      </c>
      <c r="BH429" t="str">
        <f ca="1">IFERROR(IF(0=LEN(ReferenceData!$BH$429),"",ReferenceData!$BH$429),"")</f>
        <v/>
      </c>
      <c r="BI429" t="str">
        <f ca="1">IFERROR(IF(0=LEN(ReferenceData!$BI$429),"",ReferenceData!$BI$429),"")</f>
        <v/>
      </c>
      <c r="BJ429" t="str">
        <f ca="1">IFERROR(IF(0=LEN(ReferenceData!$BJ$429),"",ReferenceData!$BJ$429),"")</f>
        <v/>
      </c>
      <c r="BK429" t="str">
        <f ca="1">IFERROR(IF(0=LEN(ReferenceData!$BK$429),"",ReferenceData!$BK$429),"")</f>
        <v/>
      </c>
      <c r="BL429" t="str">
        <f ca="1">IFERROR(IF(0=LEN(ReferenceData!$BL$429),"",ReferenceData!$BL$429),"")</f>
        <v/>
      </c>
      <c r="BM429" t="str">
        <f ca="1">IFERROR(IF(0=LEN(ReferenceData!$BM$429),"",ReferenceData!$BM$429),"")</f>
        <v/>
      </c>
    </row>
    <row r="430" spans="1:65" x14ac:dyDescent="0.25">
      <c r="A430" t="str">
        <f>IFERROR(IF(0=LEN(ReferenceData!$A$430),"",ReferenceData!$A$430),"")</f>
        <v xml:space="preserve">    GAZ PJSC</v>
      </c>
      <c r="B430" t="str">
        <f>IFERROR(IF(0=LEN(ReferenceData!$B$430),"",ReferenceData!$B$430),"")</f>
        <v>GAZA RM Equity</v>
      </c>
      <c r="C430" t="str">
        <f>IFERROR(IF(0=LEN(ReferenceData!$C$430),"",ReferenceData!$C$430),"")</f>
        <v>RR477</v>
      </c>
      <c r="D430" t="str">
        <f>IFERROR(IF(0=LEN(ReferenceData!$D$430),"",ReferenceData!$D$430),"")</f>
        <v>EV_TO_T12M_CASH_FLOW</v>
      </c>
      <c r="E430" t="str">
        <f>IFERROR(IF(0=LEN(ReferenceData!$E$430),"",ReferenceData!$E$430),"")</f>
        <v>Dynamic</v>
      </c>
      <c r="F430" t="str">
        <f ca="1">IFERROR(IF(0=LEN(ReferenceData!$F$430),"",ReferenceData!$F$430),"")</f>
        <v/>
      </c>
      <c r="G430" t="str">
        <f ca="1">IFERROR(IF(0=LEN(ReferenceData!$G$430),"",ReferenceData!$G$430),"")</f>
        <v/>
      </c>
      <c r="H430" t="str">
        <f ca="1">IFERROR(IF(0=LEN(ReferenceData!$H$430),"",ReferenceData!$H$430),"")</f>
        <v/>
      </c>
      <c r="I430" t="str">
        <f ca="1">IFERROR(IF(0=LEN(ReferenceData!$I$430),"",ReferenceData!$I$430),"")</f>
        <v/>
      </c>
      <c r="J430" t="str">
        <f ca="1">IFERROR(IF(0=LEN(ReferenceData!$J$430),"",ReferenceData!$J$430),"")</f>
        <v/>
      </c>
      <c r="K430" t="str">
        <f ca="1">IFERROR(IF(0=LEN(ReferenceData!$K$430),"",ReferenceData!$K$430),"")</f>
        <v/>
      </c>
      <c r="L430" t="str">
        <f ca="1">IFERROR(IF(0=LEN(ReferenceData!$L$430),"",ReferenceData!$L$430),"")</f>
        <v/>
      </c>
      <c r="M430" t="str">
        <f ca="1">IFERROR(IF(0=LEN(ReferenceData!$M$430),"",ReferenceData!$M$430),"")</f>
        <v/>
      </c>
      <c r="N430" t="str">
        <f ca="1">IFERROR(IF(0=LEN(ReferenceData!$N$430),"",ReferenceData!$N$430),"")</f>
        <v/>
      </c>
      <c r="O430" t="str">
        <f ca="1">IFERROR(IF(0=LEN(ReferenceData!$O$430),"",ReferenceData!$O$430),"")</f>
        <v/>
      </c>
      <c r="P430" t="str">
        <f ca="1">IFERROR(IF(0=LEN(ReferenceData!$P$430),"",ReferenceData!$P$430),"")</f>
        <v/>
      </c>
      <c r="Q430" t="str">
        <f ca="1">IFERROR(IF(0=LEN(ReferenceData!$Q$430),"",ReferenceData!$Q$430),"")</f>
        <v/>
      </c>
      <c r="R430" t="str">
        <f ca="1">IFERROR(IF(0=LEN(ReferenceData!$R$430),"",ReferenceData!$R$430),"")</f>
        <v/>
      </c>
      <c r="S430" t="str">
        <f ca="1">IFERROR(IF(0=LEN(ReferenceData!$S$430),"",ReferenceData!$S$430),"")</f>
        <v/>
      </c>
      <c r="T430" t="str">
        <f ca="1">IFERROR(IF(0=LEN(ReferenceData!$T$430),"",ReferenceData!$T$430),"")</f>
        <v/>
      </c>
      <c r="U430" t="str">
        <f ca="1">IFERROR(IF(0=LEN(ReferenceData!$U$430),"",ReferenceData!$U$430),"")</f>
        <v/>
      </c>
      <c r="V430" t="str">
        <f ca="1">IFERROR(IF(0=LEN(ReferenceData!$V$430),"",ReferenceData!$V$430),"")</f>
        <v/>
      </c>
      <c r="W430" t="str">
        <f ca="1">IFERROR(IF(0=LEN(ReferenceData!$W$430),"",ReferenceData!$W$430),"")</f>
        <v/>
      </c>
      <c r="X430" t="str">
        <f ca="1">IFERROR(IF(0=LEN(ReferenceData!$X$430),"",ReferenceData!$X$430),"")</f>
        <v/>
      </c>
      <c r="Y430" t="str">
        <f ca="1">IFERROR(IF(0=LEN(ReferenceData!$Y$430),"",ReferenceData!$Y$430),"")</f>
        <v/>
      </c>
      <c r="Z430" t="str">
        <f ca="1">IFERROR(IF(0=LEN(ReferenceData!$Z$430),"",ReferenceData!$Z$430),"")</f>
        <v/>
      </c>
      <c r="AA430" t="str">
        <f ca="1">IFERROR(IF(0=LEN(ReferenceData!$AA$430),"",ReferenceData!$AA$430),"")</f>
        <v/>
      </c>
      <c r="AB430" t="str">
        <f ca="1">IFERROR(IF(0=LEN(ReferenceData!$AB$430),"",ReferenceData!$AB$430),"")</f>
        <v/>
      </c>
      <c r="AC430" t="str">
        <f ca="1">IFERROR(IF(0=LEN(ReferenceData!$AC$430),"",ReferenceData!$AC$430),"")</f>
        <v/>
      </c>
      <c r="AD430" t="str">
        <f ca="1">IFERROR(IF(0=LEN(ReferenceData!$AD$430),"",ReferenceData!$AD$430),"")</f>
        <v/>
      </c>
      <c r="AE430" t="str">
        <f ca="1">IFERROR(IF(0=LEN(ReferenceData!$AE$430),"",ReferenceData!$AE$430),"")</f>
        <v/>
      </c>
      <c r="AF430" t="str">
        <f ca="1">IFERROR(IF(0=LEN(ReferenceData!$AF$430),"",ReferenceData!$AF$430),"")</f>
        <v/>
      </c>
      <c r="AG430" t="str">
        <f ca="1">IFERROR(IF(0=LEN(ReferenceData!$AG$430),"",ReferenceData!$AG$430),"")</f>
        <v/>
      </c>
      <c r="AH430" t="str">
        <f ca="1">IFERROR(IF(0=LEN(ReferenceData!$AH$430),"",ReferenceData!$AH$430),"")</f>
        <v/>
      </c>
      <c r="AI430" t="str">
        <f ca="1">IFERROR(IF(0=LEN(ReferenceData!$AI$430),"",ReferenceData!$AI$430),"")</f>
        <v/>
      </c>
      <c r="AJ430" t="str">
        <f ca="1">IFERROR(IF(0=LEN(ReferenceData!$AJ$430),"",ReferenceData!$AJ$430),"")</f>
        <v/>
      </c>
      <c r="AK430" t="str">
        <f ca="1">IFERROR(IF(0=LEN(ReferenceData!$AK$430),"",ReferenceData!$AK$430),"")</f>
        <v/>
      </c>
      <c r="AL430" t="str">
        <f ca="1">IFERROR(IF(0=LEN(ReferenceData!$AL$430),"",ReferenceData!$AL$430),"")</f>
        <v/>
      </c>
      <c r="AM430" t="str">
        <f ca="1">IFERROR(IF(0=LEN(ReferenceData!$AM$430),"",ReferenceData!$AM$430),"")</f>
        <v/>
      </c>
      <c r="AN430" t="str">
        <f ca="1">IFERROR(IF(0=LEN(ReferenceData!$AN$430),"",ReferenceData!$AN$430),"")</f>
        <v/>
      </c>
      <c r="AO430" t="str">
        <f ca="1">IFERROR(IF(0=LEN(ReferenceData!$AO$430),"",ReferenceData!$AO$430),"")</f>
        <v/>
      </c>
      <c r="AP430" t="str">
        <f ca="1">IFERROR(IF(0=LEN(ReferenceData!$AP$430),"",ReferenceData!$AP$430),"")</f>
        <v/>
      </c>
      <c r="AQ430" t="str">
        <f ca="1">IFERROR(IF(0=LEN(ReferenceData!$AQ$430),"",ReferenceData!$AQ$430),"")</f>
        <v/>
      </c>
      <c r="AR430" t="str">
        <f ca="1">IFERROR(IF(0=LEN(ReferenceData!$AR$430),"",ReferenceData!$AR$430),"")</f>
        <v/>
      </c>
      <c r="AS430" t="str">
        <f ca="1">IFERROR(IF(0=LEN(ReferenceData!$AS$430),"",ReferenceData!$AS$430),"")</f>
        <v/>
      </c>
      <c r="AT430" t="str">
        <f ca="1">IFERROR(IF(0=LEN(ReferenceData!$AT$430),"",ReferenceData!$AT$430),"")</f>
        <v/>
      </c>
      <c r="AU430" t="str">
        <f ca="1">IFERROR(IF(0=LEN(ReferenceData!$AU$430),"",ReferenceData!$AU$430),"")</f>
        <v/>
      </c>
      <c r="AV430" t="str">
        <f ca="1">IFERROR(IF(0=LEN(ReferenceData!$AV$430),"",ReferenceData!$AV$430),"")</f>
        <v/>
      </c>
      <c r="AW430" t="str">
        <f ca="1">IFERROR(IF(0=LEN(ReferenceData!$AW$430),"",ReferenceData!$AW$430),"")</f>
        <v/>
      </c>
      <c r="AX430" t="str">
        <f ca="1">IFERROR(IF(0=LEN(ReferenceData!$AX$430),"",ReferenceData!$AX$430),"")</f>
        <v/>
      </c>
      <c r="AY430" t="str">
        <f ca="1">IFERROR(IF(0=LEN(ReferenceData!$AY$430),"",ReferenceData!$AY$430),"")</f>
        <v/>
      </c>
      <c r="AZ430" t="str">
        <f ca="1">IFERROR(IF(0=LEN(ReferenceData!$AZ$430),"",ReferenceData!$AZ$430),"")</f>
        <v/>
      </c>
      <c r="BA430" t="str">
        <f ca="1">IFERROR(IF(0=LEN(ReferenceData!$BA$430),"",ReferenceData!$BA$430),"")</f>
        <v/>
      </c>
      <c r="BB430" t="str">
        <f ca="1">IFERROR(IF(0=LEN(ReferenceData!$BB$430),"",ReferenceData!$BB$430),"")</f>
        <v/>
      </c>
      <c r="BC430" t="str">
        <f ca="1">IFERROR(IF(0=LEN(ReferenceData!$BC$430),"",ReferenceData!$BC$430),"")</f>
        <v/>
      </c>
      <c r="BD430" t="str">
        <f ca="1">IFERROR(IF(0=LEN(ReferenceData!$BD$430),"",ReferenceData!$BD$430),"")</f>
        <v/>
      </c>
      <c r="BE430" t="str">
        <f ca="1">IFERROR(IF(0=LEN(ReferenceData!$BE$430),"",ReferenceData!$BE$430),"")</f>
        <v/>
      </c>
      <c r="BF430" t="str">
        <f ca="1">IFERROR(IF(0=LEN(ReferenceData!$BF$430),"",ReferenceData!$BF$430),"")</f>
        <v/>
      </c>
      <c r="BG430" t="str">
        <f ca="1">IFERROR(IF(0=LEN(ReferenceData!$BG$430),"",ReferenceData!$BG$430),"")</f>
        <v/>
      </c>
      <c r="BH430" t="str">
        <f ca="1">IFERROR(IF(0=LEN(ReferenceData!$BH$430),"",ReferenceData!$BH$430),"")</f>
        <v/>
      </c>
      <c r="BI430" t="str">
        <f ca="1">IFERROR(IF(0=LEN(ReferenceData!$BI$430),"",ReferenceData!$BI$430),"")</f>
        <v/>
      </c>
      <c r="BJ430" t="str">
        <f ca="1">IFERROR(IF(0=LEN(ReferenceData!$BJ$430),"",ReferenceData!$BJ$430),"")</f>
        <v/>
      </c>
      <c r="BK430" t="str">
        <f ca="1">IFERROR(IF(0=LEN(ReferenceData!$BK$430),"",ReferenceData!$BK$430),"")</f>
        <v/>
      </c>
      <c r="BL430" t="str">
        <f ca="1">IFERROR(IF(0=LEN(ReferenceData!$BL$430),"",ReferenceData!$BL$430),"")</f>
        <v/>
      </c>
      <c r="BM430" t="str">
        <f ca="1">IFERROR(IF(0=LEN(ReferenceData!$BM$430),"",ReferenceData!$BM$430),"")</f>
        <v/>
      </c>
    </row>
    <row r="431" spans="1:65" x14ac:dyDescent="0.25">
      <c r="A431" t="str">
        <f>IFERROR(IF(0=LEN(ReferenceData!$A$431),"",ReferenceData!$A$431),"")</f>
        <v xml:space="preserve">    Geely Automobile Holdings Ltd</v>
      </c>
      <c r="B431" t="str">
        <f>IFERROR(IF(0=LEN(ReferenceData!$B$431),"",ReferenceData!$B$431),"")</f>
        <v>175 HK Equity</v>
      </c>
      <c r="C431" t="str">
        <f>IFERROR(IF(0=LEN(ReferenceData!$C$431),"",ReferenceData!$C$431),"")</f>
        <v>RR477</v>
      </c>
      <c r="D431" t="str">
        <f>IFERROR(IF(0=LEN(ReferenceData!$D$431),"",ReferenceData!$D$431),"")</f>
        <v>EV_TO_T12M_CASH_FLOW</v>
      </c>
      <c r="E431" t="str">
        <f>IFERROR(IF(0=LEN(ReferenceData!$E$431),"",ReferenceData!$E$431),"")</f>
        <v>Dynamic</v>
      </c>
      <c r="F431" t="str">
        <f ca="1">IFERROR(IF(0=LEN(ReferenceData!$F$431),"",ReferenceData!$F$431),"")</f>
        <v/>
      </c>
      <c r="G431" t="str">
        <f ca="1">IFERROR(IF(0=LEN(ReferenceData!$G$431),"",ReferenceData!$G$431),"")</f>
        <v/>
      </c>
      <c r="H431" t="str">
        <f ca="1">IFERROR(IF(0=LEN(ReferenceData!$H$431),"",ReferenceData!$H$431),"")</f>
        <v/>
      </c>
      <c r="I431" t="str">
        <f ca="1">IFERROR(IF(0=LEN(ReferenceData!$I$431),"",ReferenceData!$I$431),"")</f>
        <v/>
      </c>
      <c r="J431" t="str">
        <f ca="1">IFERROR(IF(0=LEN(ReferenceData!$J$431),"",ReferenceData!$J$431),"")</f>
        <v/>
      </c>
      <c r="K431" t="str">
        <f ca="1">IFERROR(IF(0=LEN(ReferenceData!$K$431),"",ReferenceData!$K$431),"")</f>
        <v/>
      </c>
      <c r="L431" t="str">
        <f ca="1">IFERROR(IF(0=LEN(ReferenceData!$L$431),"",ReferenceData!$L$431),"")</f>
        <v/>
      </c>
      <c r="M431" t="str">
        <f ca="1">IFERROR(IF(0=LEN(ReferenceData!$M$431),"",ReferenceData!$M$431),"")</f>
        <v/>
      </c>
      <c r="N431" t="str">
        <f ca="1">IFERROR(IF(0=LEN(ReferenceData!$N$431),"",ReferenceData!$N$431),"")</f>
        <v/>
      </c>
      <c r="O431" t="str">
        <f ca="1">IFERROR(IF(0=LEN(ReferenceData!$O$431),"",ReferenceData!$O$431),"")</f>
        <v/>
      </c>
      <c r="P431" t="str">
        <f ca="1">IFERROR(IF(0=LEN(ReferenceData!$P$431),"",ReferenceData!$P$431),"")</f>
        <v/>
      </c>
      <c r="Q431" t="str">
        <f ca="1">IFERROR(IF(0=LEN(ReferenceData!$Q$431),"",ReferenceData!$Q$431),"")</f>
        <v/>
      </c>
      <c r="R431" t="str">
        <f ca="1">IFERROR(IF(0=LEN(ReferenceData!$R$431),"",ReferenceData!$R$431),"")</f>
        <v/>
      </c>
      <c r="S431" t="str">
        <f ca="1">IFERROR(IF(0=LEN(ReferenceData!$S$431),"",ReferenceData!$S$431),"")</f>
        <v/>
      </c>
      <c r="T431" t="str">
        <f ca="1">IFERROR(IF(0=LEN(ReferenceData!$T$431),"",ReferenceData!$T$431),"")</f>
        <v/>
      </c>
      <c r="U431" t="str">
        <f ca="1">IFERROR(IF(0=LEN(ReferenceData!$U$431),"",ReferenceData!$U$431),"")</f>
        <v/>
      </c>
      <c r="V431" t="str">
        <f ca="1">IFERROR(IF(0=LEN(ReferenceData!$V$431),"",ReferenceData!$V$431),"")</f>
        <v/>
      </c>
      <c r="W431" t="str">
        <f ca="1">IFERROR(IF(0=LEN(ReferenceData!$W$431),"",ReferenceData!$W$431),"")</f>
        <v/>
      </c>
      <c r="X431" t="str">
        <f ca="1">IFERROR(IF(0=LEN(ReferenceData!$X$431),"",ReferenceData!$X$431),"")</f>
        <v/>
      </c>
      <c r="Y431" t="str">
        <f ca="1">IFERROR(IF(0=LEN(ReferenceData!$Y$431),"",ReferenceData!$Y$431),"")</f>
        <v/>
      </c>
      <c r="Z431" t="str">
        <f ca="1">IFERROR(IF(0=LEN(ReferenceData!$Z$431),"",ReferenceData!$Z$431),"")</f>
        <v/>
      </c>
      <c r="AA431" t="str">
        <f ca="1">IFERROR(IF(0=LEN(ReferenceData!$AA$431),"",ReferenceData!$AA$431),"")</f>
        <v/>
      </c>
      <c r="AB431" t="str">
        <f ca="1">IFERROR(IF(0=LEN(ReferenceData!$AB$431),"",ReferenceData!$AB$431),"")</f>
        <v/>
      </c>
      <c r="AC431" t="str">
        <f ca="1">IFERROR(IF(0=LEN(ReferenceData!$AC$431),"",ReferenceData!$AC$431),"")</f>
        <v/>
      </c>
      <c r="AD431" t="str">
        <f ca="1">IFERROR(IF(0=LEN(ReferenceData!$AD$431),"",ReferenceData!$AD$431),"")</f>
        <v/>
      </c>
      <c r="AE431" t="str">
        <f ca="1">IFERROR(IF(0=LEN(ReferenceData!$AE$431),"",ReferenceData!$AE$431),"")</f>
        <v/>
      </c>
      <c r="AF431" t="str">
        <f ca="1">IFERROR(IF(0=LEN(ReferenceData!$AF$431),"",ReferenceData!$AF$431),"")</f>
        <v/>
      </c>
      <c r="AG431" t="str">
        <f ca="1">IFERROR(IF(0=LEN(ReferenceData!$AG$431),"",ReferenceData!$AG$431),"")</f>
        <v/>
      </c>
      <c r="AH431" t="str">
        <f ca="1">IFERROR(IF(0=LEN(ReferenceData!$AH$431),"",ReferenceData!$AH$431),"")</f>
        <v/>
      </c>
      <c r="AI431" t="str">
        <f ca="1">IFERROR(IF(0=LEN(ReferenceData!$AI$431),"",ReferenceData!$AI$431),"")</f>
        <v/>
      </c>
      <c r="AJ431" t="str">
        <f ca="1">IFERROR(IF(0=LEN(ReferenceData!$AJ$431),"",ReferenceData!$AJ$431),"")</f>
        <v/>
      </c>
      <c r="AK431" t="str">
        <f ca="1">IFERROR(IF(0=LEN(ReferenceData!$AK$431),"",ReferenceData!$AK$431),"")</f>
        <v/>
      </c>
      <c r="AL431" t="str">
        <f ca="1">IFERROR(IF(0=LEN(ReferenceData!$AL$431),"",ReferenceData!$AL$431),"")</f>
        <v/>
      </c>
      <c r="AM431" t="str">
        <f ca="1">IFERROR(IF(0=LEN(ReferenceData!$AM$431),"",ReferenceData!$AM$431),"")</f>
        <v/>
      </c>
      <c r="AN431" t="str">
        <f ca="1">IFERROR(IF(0=LEN(ReferenceData!$AN$431),"",ReferenceData!$AN$431),"")</f>
        <v/>
      </c>
      <c r="AO431" t="str">
        <f ca="1">IFERROR(IF(0=LEN(ReferenceData!$AO$431),"",ReferenceData!$AO$431),"")</f>
        <v/>
      </c>
      <c r="AP431" t="str">
        <f ca="1">IFERROR(IF(0=LEN(ReferenceData!$AP$431),"",ReferenceData!$AP$431),"")</f>
        <v/>
      </c>
      <c r="AQ431" t="str">
        <f ca="1">IFERROR(IF(0=LEN(ReferenceData!$AQ$431),"",ReferenceData!$AQ$431),"")</f>
        <v/>
      </c>
      <c r="AR431" t="str">
        <f ca="1">IFERROR(IF(0=LEN(ReferenceData!$AR$431),"",ReferenceData!$AR$431),"")</f>
        <v/>
      </c>
      <c r="AS431" t="str">
        <f ca="1">IFERROR(IF(0=LEN(ReferenceData!$AS$431),"",ReferenceData!$AS$431),"")</f>
        <v/>
      </c>
      <c r="AT431" t="str">
        <f ca="1">IFERROR(IF(0=LEN(ReferenceData!$AT$431),"",ReferenceData!$AT$431),"")</f>
        <v/>
      </c>
      <c r="AU431" t="str">
        <f ca="1">IFERROR(IF(0=LEN(ReferenceData!$AU$431),"",ReferenceData!$AU$431),"")</f>
        <v/>
      </c>
      <c r="AV431" t="str">
        <f ca="1">IFERROR(IF(0=LEN(ReferenceData!$AV$431),"",ReferenceData!$AV$431),"")</f>
        <v/>
      </c>
      <c r="AW431" t="str">
        <f ca="1">IFERROR(IF(0=LEN(ReferenceData!$AW$431),"",ReferenceData!$AW$431),"")</f>
        <v/>
      </c>
      <c r="AX431" t="str">
        <f ca="1">IFERROR(IF(0=LEN(ReferenceData!$AX$431),"",ReferenceData!$AX$431),"")</f>
        <v/>
      </c>
      <c r="AY431" t="str">
        <f ca="1">IFERROR(IF(0=LEN(ReferenceData!$AY$431),"",ReferenceData!$AY$431),"")</f>
        <v/>
      </c>
      <c r="AZ431" t="str">
        <f ca="1">IFERROR(IF(0=LEN(ReferenceData!$AZ$431),"",ReferenceData!$AZ$431),"")</f>
        <v/>
      </c>
      <c r="BA431" t="str">
        <f ca="1">IFERROR(IF(0=LEN(ReferenceData!$BA$431),"",ReferenceData!$BA$431),"")</f>
        <v/>
      </c>
      <c r="BB431" t="str">
        <f ca="1">IFERROR(IF(0=LEN(ReferenceData!$BB$431),"",ReferenceData!$BB$431),"")</f>
        <v/>
      </c>
      <c r="BC431" t="str">
        <f ca="1">IFERROR(IF(0=LEN(ReferenceData!$BC$431),"",ReferenceData!$BC$431),"")</f>
        <v/>
      </c>
      <c r="BD431" t="str">
        <f ca="1">IFERROR(IF(0=LEN(ReferenceData!$BD$431),"",ReferenceData!$BD$431),"")</f>
        <v/>
      </c>
      <c r="BE431" t="str">
        <f ca="1">IFERROR(IF(0=LEN(ReferenceData!$BE$431),"",ReferenceData!$BE$431),"")</f>
        <v/>
      </c>
      <c r="BF431" t="str">
        <f ca="1">IFERROR(IF(0=LEN(ReferenceData!$BF$431),"",ReferenceData!$BF$431),"")</f>
        <v/>
      </c>
      <c r="BG431" t="str">
        <f ca="1">IFERROR(IF(0=LEN(ReferenceData!$BG$431),"",ReferenceData!$BG$431),"")</f>
        <v/>
      </c>
      <c r="BH431" t="str">
        <f ca="1">IFERROR(IF(0=LEN(ReferenceData!$BH$431),"",ReferenceData!$BH$431),"")</f>
        <v/>
      </c>
      <c r="BI431" t="str">
        <f ca="1">IFERROR(IF(0=LEN(ReferenceData!$BI$431),"",ReferenceData!$BI$431),"")</f>
        <v/>
      </c>
      <c r="BJ431" t="str">
        <f ca="1">IFERROR(IF(0=LEN(ReferenceData!$BJ$431),"",ReferenceData!$BJ$431),"")</f>
        <v/>
      </c>
      <c r="BK431" t="str">
        <f ca="1">IFERROR(IF(0=LEN(ReferenceData!$BK$431),"",ReferenceData!$BK$431),"")</f>
        <v/>
      </c>
      <c r="BL431" t="str">
        <f ca="1">IFERROR(IF(0=LEN(ReferenceData!$BL$431),"",ReferenceData!$BL$431),"")</f>
        <v/>
      </c>
      <c r="BM431" t="str">
        <f ca="1">IFERROR(IF(0=LEN(ReferenceData!$BM$431),"",ReferenceData!$BM$431),"")</f>
        <v/>
      </c>
    </row>
    <row r="432" spans="1:65" x14ac:dyDescent="0.25">
      <c r="A432" t="str">
        <f>IFERROR(IF(0=LEN(ReferenceData!$A$432),"",ReferenceData!$A$432),"")</f>
        <v xml:space="preserve">    General Motors Co</v>
      </c>
      <c r="B432" t="str">
        <f>IFERROR(IF(0=LEN(ReferenceData!$B$432),"",ReferenceData!$B$432),"")</f>
        <v>GM US Equity</v>
      </c>
      <c r="C432" t="str">
        <f>IFERROR(IF(0=LEN(ReferenceData!$C$432),"",ReferenceData!$C$432),"")</f>
        <v>RR477</v>
      </c>
      <c r="D432" t="str">
        <f>IFERROR(IF(0=LEN(ReferenceData!$D$432),"",ReferenceData!$D$432),"")</f>
        <v>EV_TO_T12M_CASH_FLOW</v>
      </c>
      <c r="E432" t="str">
        <f>IFERROR(IF(0=LEN(ReferenceData!$E$432),"",ReferenceData!$E$432),"")</f>
        <v>Dynamic</v>
      </c>
      <c r="F432" t="str">
        <f ca="1">IFERROR(IF(0=LEN(ReferenceData!$F$432),"",ReferenceData!$F$432),"")</f>
        <v/>
      </c>
      <c r="G432">
        <f ca="1">IFERROR(IF(0=LEN(ReferenceData!$G$432),"",ReferenceData!$G$432),"")</f>
        <v>2.9605401150000001</v>
      </c>
      <c r="H432">
        <f ca="1">IFERROR(IF(0=LEN(ReferenceData!$H$432),"",ReferenceData!$H$432),"")</f>
        <v>2.898411319</v>
      </c>
      <c r="I432">
        <f ca="1">IFERROR(IF(0=LEN(ReferenceData!$I$432),"",ReferenceData!$I$432),"")</f>
        <v>3.5162511420000002</v>
      </c>
      <c r="J432">
        <f ca="1">IFERROR(IF(0=LEN(ReferenceData!$J$432),"",ReferenceData!$J$432),"")</f>
        <v>3.1869081669999999</v>
      </c>
      <c r="K432">
        <f ca="1">IFERROR(IF(0=LEN(ReferenceData!$K$432),"",ReferenceData!$K$432),"")</f>
        <v>3.0326638969999999</v>
      </c>
      <c r="L432">
        <f ca="1">IFERROR(IF(0=LEN(ReferenceData!$L$432),"",ReferenceData!$L$432),"")</f>
        <v>3.7747267949999999</v>
      </c>
      <c r="M432">
        <f ca="1">IFERROR(IF(0=LEN(ReferenceData!$M$432),"",ReferenceData!$M$432),"")</f>
        <v>2.3835056109999999</v>
      </c>
      <c r="N432">
        <f ca="1">IFERROR(IF(0=LEN(ReferenceData!$N$432),"",ReferenceData!$N$432),"")</f>
        <v>2.3354659839999998</v>
      </c>
      <c r="O432">
        <f ca="1">IFERROR(IF(0=LEN(ReferenceData!$O$432),"",ReferenceData!$O$432),"")</f>
        <v>2.4964773889999998</v>
      </c>
      <c r="P432">
        <f ca="1">IFERROR(IF(0=LEN(ReferenceData!$P$432),"",ReferenceData!$P$432),"")</f>
        <v>2.5632975490000001</v>
      </c>
      <c r="Q432">
        <f ca="1">IFERROR(IF(0=LEN(ReferenceData!$Q$432),"",ReferenceData!$Q$432),"")</f>
        <v>3.215682895</v>
      </c>
      <c r="R432">
        <f ca="1">IFERROR(IF(0=LEN(ReferenceData!$R$432),"",ReferenceData!$R$432),"")</f>
        <v>3.6299964309999999</v>
      </c>
      <c r="S432">
        <f ca="1">IFERROR(IF(0=LEN(ReferenceData!$S$432),"",ReferenceData!$S$432),"")</f>
        <v>3.4121974169999998</v>
      </c>
      <c r="T432">
        <f ca="1">IFERROR(IF(0=LEN(ReferenceData!$T$432),"",ReferenceData!$T$432),"")</f>
        <v>2.861823362</v>
      </c>
      <c r="U432">
        <f ca="1">IFERROR(IF(0=LEN(ReferenceData!$U$432),"",ReferenceData!$U$432),"")</f>
        <v>3.9001536099999998</v>
      </c>
      <c r="V432">
        <f ca="1">IFERROR(IF(0=LEN(ReferenceData!$V$432),"",ReferenceData!$V$432),"")</f>
        <v>5.4345153660000003</v>
      </c>
      <c r="W432">
        <f ca="1">IFERROR(IF(0=LEN(ReferenceData!$W$432),"",ReferenceData!$W$432),"")</f>
        <v>4.0325017389999998</v>
      </c>
      <c r="X432">
        <f ca="1">IFERROR(IF(0=LEN(ReferenceData!$X$432),"",ReferenceData!$X$432),"")</f>
        <v>3.6165594859999999</v>
      </c>
      <c r="Y432">
        <f ca="1">IFERROR(IF(0=LEN(ReferenceData!$Y$432),"",ReferenceData!$Y$432),"")</f>
        <v>3.237425338</v>
      </c>
      <c r="Z432">
        <f ca="1">IFERROR(IF(0=LEN(ReferenceData!$Z$432),"",ReferenceData!$Z$432),"")</f>
        <v>2.9541597159999999</v>
      </c>
      <c r="AA432">
        <f ca="1">IFERROR(IF(0=LEN(ReferenceData!$AA$432),"",ReferenceData!$AA$432),"")</f>
        <v>3.1759303249999999</v>
      </c>
      <c r="AB432">
        <f ca="1">IFERROR(IF(0=LEN(ReferenceData!$AB$432),"",ReferenceData!$AB$432),"")</f>
        <v>3.9156766150000002</v>
      </c>
      <c r="AC432">
        <f ca="1">IFERROR(IF(0=LEN(ReferenceData!$AC$432),"",ReferenceData!$AC$432),"")</f>
        <v>3.788882139</v>
      </c>
      <c r="AD432">
        <f ca="1">IFERROR(IF(0=LEN(ReferenceData!$AD$432),"",ReferenceData!$AD$432),"")</f>
        <v>3.468459384</v>
      </c>
      <c r="AE432">
        <f ca="1">IFERROR(IF(0=LEN(ReferenceData!$AE$432),"",ReferenceData!$AE$432),"")</f>
        <v>2.7902450499999998</v>
      </c>
      <c r="AF432">
        <f ca="1">IFERROR(IF(0=LEN(ReferenceData!$AF$432),"",ReferenceData!$AF$432),"")</f>
        <v>1.833218765</v>
      </c>
      <c r="AG432">
        <f ca="1">IFERROR(IF(0=LEN(ReferenceData!$AG$432),"",ReferenceData!$AG$432),"")</f>
        <v>2.4557820029999999</v>
      </c>
      <c r="AH432">
        <f ca="1">IFERROR(IF(0=LEN(ReferenceData!$AH$432),"",ReferenceData!$AH$432),"")</f>
        <v>3.0979774259999999</v>
      </c>
      <c r="AI432">
        <f ca="1">IFERROR(IF(0=LEN(ReferenceData!$AI$432),"",ReferenceData!$AI$432),"")</f>
        <v>2.0361281099999999</v>
      </c>
      <c r="AJ432">
        <f ca="1">IFERROR(IF(0=LEN(ReferenceData!$AJ$432),"",ReferenceData!$AJ$432),"")</f>
        <v>4.4024916989999996</v>
      </c>
      <c r="AK432">
        <f ca="1">IFERROR(IF(0=LEN(ReferenceData!$AK$432),"",ReferenceData!$AK$432),"")</f>
        <v>6.2916901940000001</v>
      </c>
      <c r="AL432">
        <f ca="1">IFERROR(IF(0=LEN(ReferenceData!$AL$432),"",ReferenceData!$AL$432),"")</f>
        <v>9.4296635930000008</v>
      </c>
      <c r="AM432">
        <f ca="1">IFERROR(IF(0=LEN(ReferenceData!$AM$432),"",ReferenceData!$AM$432),"")</f>
        <v>7.616379019</v>
      </c>
      <c r="AN432" t="str">
        <f ca="1">IFERROR(IF(0=LEN(ReferenceData!$AN$432),"",ReferenceData!$AN$432),"")</f>
        <v/>
      </c>
      <c r="AO432" t="str">
        <f ca="1">IFERROR(IF(0=LEN(ReferenceData!$AO$432),"",ReferenceData!$AO$432),"")</f>
        <v/>
      </c>
      <c r="AP432" t="str">
        <f ca="1">IFERROR(IF(0=LEN(ReferenceData!$AP$432),"",ReferenceData!$AP$432),"")</f>
        <v/>
      </c>
      <c r="AQ432" t="str">
        <f ca="1">IFERROR(IF(0=LEN(ReferenceData!$AQ$432),"",ReferenceData!$AQ$432),"")</f>
        <v/>
      </c>
      <c r="AR432" t="str">
        <f ca="1">IFERROR(IF(0=LEN(ReferenceData!$AR$432),"",ReferenceData!$AR$432),"")</f>
        <v/>
      </c>
      <c r="AS432" t="str">
        <f ca="1">IFERROR(IF(0=LEN(ReferenceData!$AS$432),"",ReferenceData!$AS$432),"")</f>
        <v/>
      </c>
      <c r="AT432" t="str">
        <f ca="1">IFERROR(IF(0=LEN(ReferenceData!$AT$432),"",ReferenceData!$AT$432),"")</f>
        <v/>
      </c>
      <c r="AU432" t="str">
        <f ca="1">IFERROR(IF(0=LEN(ReferenceData!$AU$432),"",ReferenceData!$AU$432),"")</f>
        <v/>
      </c>
      <c r="AV432" t="str">
        <f ca="1">IFERROR(IF(0=LEN(ReferenceData!$AV$432),"",ReferenceData!$AV$432),"")</f>
        <v/>
      </c>
      <c r="AW432" t="str">
        <f ca="1">IFERROR(IF(0=LEN(ReferenceData!$AW$432),"",ReferenceData!$AW$432),"")</f>
        <v/>
      </c>
      <c r="AX432" t="str">
        <f ca="1">IFERROR(IF(0=LEN(ReferenceData!$AX$432),"",ReferenceData!$AX$432),"")</f>
        <v/>
      </c>
      <c r="AY432" t="str">
        <f ca="1">IFERROR(IF(0=LEN(ReferenceData!$AY$432),"",ReferenceData!$AY$432),"")</f>
        <v/>
      </c>
      <c r="AZ432" t="str">
        <f ca="1">IFERROR(IF(0=LEN(ReferenceData!$AZ$432),"",ReferenceData!$AZ$432),"")</f>
        <v/>
      </c>
      <c r="BA432" t="str">
        <f ca="1">IFERROR(IF(0=LEN(ReferenceData!$BA$432),"",ReferenceData!$BA$432),"")</f>
        <v/>
      </c>
      <c r="BB432" t="str">
        <f ca="1">IFERROR(IF(0=LEN(ReferenceData!$BB$432),"",ReferenceData!$BB$432),"")</f>
        <v/>
      </c>
      <c r="BC432" t="str">
        <f ca="1">IFERROR(IF(0=LEN(ReferenceData!$BC$432),"",ReferenceData!$BC$432),"")</f>
        <v/>
      </c>
      <c r="BD432" t="str">
        <f ca="1">IFERROR(IF(0=LEN(ReferenceData!$BD$432),"",ReferenceData!$BD$432),"")</f>
        <v/>
      </c>
      <c r="BE432" t="str">
        <f ca="1">IFERROR(IF(0=LEN(ReferenceData!$BE$432),"",ReferenceData!$BE$432),"")</f>
        <v/>
      </c>
      <c r="BF432" t="str">
        <f ca="1">IFERROR(IF(0=LEN(ReferenceData!$BF$432),"",ReferenceData!$BF$432),"")</f>
        <v/>
      </c>
      <c r="BG432" t="str">
        <f ca="1">IFERROR(IF(0=LEN(ReferenceData!$BG$432),"",ReferenceData!$BG$432),"")</f>
        <v/>
      </c>
      <c r="BH432" t="str">
        <f ca="1">IFERROR(IF(0=LEN(ReferenceData!$BH$432),"",ReferenceData!$BH$432),"")</f>
        <v/>
      </c>
      <c r="BI432" t="str">
        <f ca="1">IFERROR(IF(0=LEN(ReferenceData!$BI$432),"",ReferenceData!$BI$432),"")</f>
        <v/>
      </c>
      <c r="BJ432" t="str">
        <f ca="1">IFERROR(IF(0=LEN(ReferenceData!$BJ$432),"",ReferenceData!$BJ$432),"")</f>
        <v/>
      </c>
      <c r="BK432" t="str">
        <f ca="1">IFERROR(IF(0=LEN(ReferenceData!$BK$432),"",ReferenceData!$BK$432),"")</f>
        <v/>
      </c>
      <c r="BL432" t="str">
        <f ca="1">IFERROR(IF(0=LEN(ReferenceData!$BL$432),"",ReferenceData!$BL$432),"")</f>
        <v/>
      </c>
      <c r="BM432" t="str">
        <f ca="1">IFERROR(IF(0=LEN(ReferenceData!$BM$432),"",ReferenceData!$BM$432),"")</f>
        <v/>
      </c>
    </row>
    <row r="433" spans="1:65" x14ac:dyDescent="0.25">
      <c r="A433" t="str">
        <f>IFERROR(IF(0=LEN(ReferenceData!$A$433),"",ReferenceData!$A$433),"")</f>
        <v xml:space="preserve">    Great Wall Motor Co Ltd</v>
      </c>
      <c r="B433" t="str">
        <f>IFERROR(IF(0=LEN(ReferenceData!$B$433),"",ReferenceData!$B$433),"")</f>
        <v>2333 HK Equity</v>
      </c>
      <c r="C433" t="str">
        <f>IFERROR(IF(0=LEN(ReferenceData!$C$433),"",ReferenceData!$C$433),"")</f>
        <v>RR477</v>
      </c>
      <c r="D433" t="str">
        <f>IFERROR(IF(0=LEN(ReferenceData!$D$433),"",ReferenceData!$D$433),"")</f>
        <v>EV_TO_T12M_CASH_FLOW</v>
      </c>
      <c r="E433" t="str">
        <f>IFERROR(IF(0=LEN(ReferenceData!$E$433),"",ReferenceData!$E$433),"")</f>
        <v>Dynamic</v>
      </c>
      <c r="F433" t="str">
        <f ca="1">IFERROR(IF(0=LEN(ReferenceData!$F$433),"",ReferenceData!$F$433),"")</f>
        <v/>
      </c>
      <c r="G433" t="str">
        <f ca="1">IFERROR(IF(0=LEN(ReferenceData!$G$433),"",ReferenceData!$G$433),"")</f>
        <v/>
      </c>
      <c r="H433">
        <f ca="1">IFERROR(IF(0=LEN(ReferenceData!$H$433),"",ReferenceData!$H$433),"")</f>
        <v>8.4951544279999993</v>
      </c>
      <c r="I433">
        <f ca="1">IFERROR(IF(0=LEN(ReferenceData!$I$433),"",ReferenceData!$I$433),"")</f>
        <v>17.78064183</v>
      </c>
      <c r="J433">
        <f ca="1">IFERROR(IF(0=LEN(ReferenceData!$J$433),"",ReferenceData!$J$433),"")</f>
        <v>99.092124699999999</v>
      </c>
      <c r="K433" t="str">
        <f ca="1">IFERROR(IF(0=LEN(ReferenceData!$K$433),"",ReferenceData!$K$433),"")</f>
        <v/>
      </c>
      <c r="L433">
        <f ca="1">IFERROR(IF(0=LEN(ReferenceData!$L$433),"",ReferenceData!$L$433),"")</f>
        <v>17.0107076</v>
      </c>
      <c r="M433">
        <f ca="1">IFERROR(IF(0=LEN(ReferenceData!$M$433),"",ReferenceData!$M$433),"")</f>
        <v>9.6184809399999995</v>
      </c>
      <c r="N433">
        <f ca="1">IFERROR(IF(0=LEN(ReferenceData!$N$433),"",ReferenceData!$N$433),"")</f>
        <v>56.769181670000002</v>
      </c>
      <c r="O433">
        <f ca="1">IFERROR(IF(0=LEN(ReferenceData!$O$433),"",ReferenceData!$O$433),"")</f>
        <v>12.346042450000001</v>
      </c>
      <c r="P433">
        <f ca="1">IFERROR(IF(0=LEN(ReferenceData!$P$433),"",ReferenceData!$P$433),"")</f>
        <v>11.708619430000001</v>
      </c>
      <c r="Q433">
        <f ca="1">IFERROR(IF(0=LEN(ReferenceData!$Q$433),"",ReferenceData!$Q$433),"")</f>
        <v>10.79888768</v>
      </c>
      <c r="R433">
        <f ca="1">IFERROR(IF(0=LEN(ReferenceData!$R$433),"",ReferenceData!$R$433),"")</f>
        <v>9.6556793449999994</v>
      </c>
      <c r="S433">
        <f ca="1">IFERROR(IF(0=LEN(ReferenceData!$S$433),"",ReferenceData!$S$433),"")</f>
        <v>10.499388290000001</v>
      </c>
      <c r="T433">
        <f ca="1">IFERROR(IF(0=LEN(ReferenceData!$T$433),"",ReferenceData!$T$433),"")</f>
        <v>6.7190103539999999</v>
      </c>
      <c r="U433">
        <f ca="1">IFERROR(IF(0=LEN(ReferenceData!$U$433),"",ReferenceData!$U$433),"")</f>
        <v>14.817050200000001</v>
      </c>
      <c r="V433">
        <f ca="1">IFERROR(IF(0=LEN(ReferenceData!$V$433),"",ReferenceData!$V$433),"")</f>
        <v>66.537447290000003</v>
      </c>
      <c r="W433">
        <f ca="1">IFERROR(IF(0=LEN(ReferenceData!$W$433),"",ReferenceData!$W$433),"")</f>
        <v>33.62873432</v>
      </c>
      <c r="X433">
        <f ca="1">IFERROR(IF(0=LEN(ReferenceData!$X$433),"",ReferenceData!$X$433),"")</f>
        <v>13.19043853</v>
      </c>
      <c r="Y433">
        <f ca="1">IFERROR(IF(0=LEN(ReferenceData!$Y$433),"",ReferenceData!$Y$433),"")</f>
        <v>9.8184598160000007</v>
      </c>
      <c r="Z433">
        <f ca="1">IFERROR(IF(0=LEN(ReferenceData!$Z$433),"",ReferenceData!$Z$433),"")</f>
        <v>10.171561909999999</v>
      </c>
      <c r="AA433">
        <f ca="1">IFERROR(IF(0=LEN(ReferenceData!$AA$433),"",ReferenceData!$AA$433),"")</f>
        <v>11.105456179999999</v>
      </c>
      <c r="AB433">
        <f ca="1">IFERROR(IF(0=LEN(ReferenceData!$AB$433),"",ReferenceData!$AB$433),"")</f>
        <v>11.98635752</v>
      </c>
      <c r="AC433">
        <f ca="1">IFERROR(IF(0=LEN(ReferenceData!$AC$433),"",ReferenceData!$AC$433),"")</f>
        <v>11.5029845</v>
      </c>
      <c r="AD433">
        <f ca="1">IFERROR(IF(0=LEN(ReferenceData!$AD$433),"",ReferenceData!$AD$433),"")</f>
        <v>13.8140248</v>
      </c>
      <c r="AE433">
        <f ca="1">IFERROR(IF(0=LEN(ReferenceData!$AE$433),"",ReferenceData!$AE$433),"")</f>
        <v>19.435668799999998</v>
      </c>
      <c r="AF433" t="str">
        <f ca="1">IFERROR(IF(0=LEN(ReferenceData!$AF$433),"",ReferenceData!$AF$433),"")</f>
        <v/>
      </c>
      <c r="AG433" t="str">
        <f ca="1">IFERROR(IF(0=LEN(ReferenceData!$AG$433),"",ReferenceData!$AG$433),"")</f>
        <v/>
      </c>
      <c r="AH433" t="str">
        <f ca="1">IFERROR(IF(0=LEN(ReferenceData!$AH$433),"",ReferenceData!$AH$433),"")</f>
        <v/>
      </c>
      <c r="AI433" t="str">
        <f ca="1">IFERROR(IF(0=LEN(ReferenceData!$AI$433),"",ReferenceData!$AI$433),"")</f>
        <v/>
      </c>
      <c r="AJ433" t="str">
        <f ca="1">IFERROR(IF(0=LEN(ReferenceData!$AJ$433),"",ReferenceData!$AJ$433),"")</f>
        <v/>
      </c>
      <c r="AK433" t="str">
        <f ca="1">IFERROR(IF(0=LEN(ReferenceData!$AK$433),"",ReferenceData!$AK$433),"")</f>
        <v/>
      </c>
      <c r="AL433" t="str">
        <f ca="1">IFERROR(IF(0=LEN(ReferenceData!$AL$433),"",ReferenceData!$AL$433),"")</f>
        <v/>
      </c>
      <c r="AM433" t="str">
        <f ca="1">IFERROR(IF(0=LEN(ReferenceData!$AM$433),"",ReferenceData!$AM$433),"")</f>
        <v/>
      </c>
      <c r="AN433" t="str">
        <f ca="1">IFERROR(IF(0=LEN(ReferenceData!$AN$433),"",ReferenceData!$AN$433),"")</f>
        <v/>
      </c>
      <c r="AO433" t="str">
        <f ca="1">IFERROR(IF(0=LEN(ReferenceData!$AO$433),"",ReferenceData!$AO$433),"")</f>
        <v/>
      </c>
      <c r="AP433" t="str">
        <f ca="1">IFERROR(IF(0=LEN(ReferenceData!$AP$433),"",ReferenceData!$AP$433),"")</f>
        <v/>
      </c>
      <c r="AQ433" t="str">
        <f ca="1">IFERROR(IF(0=LEN(ReferenceData!$AQ$433),"",ReferenceData!$AQ$433),"")</f>
        <v/>
      </c>
      <c r="AR433" t="str">
        <f ca="1">IFERROR(IF(0=LEN(ReferenceData!$AR$433),"",ReferenceData!$AR$433),"")</f>
        <v/>
      </c>
      <c r="AS433" t="str">
        <f ca="1">IFERROR(IF(0=LEN(ReferenceData!$AS$433),"",ReferenceData!$AS$433),"")</f>
        <v/>
      </c>
      <c r="AT433" t="str">
        <f ca="1">IFERROR(IF(0=LEN(ReferenceData!$AT$433),"",ReferenceData!$AT$433),"")</f>
        <v/>
      </c>
      <c r="AU433" t="str">
        <f ca="1">IFERROR(IF(0=LEN(ReferenceData!$AU$433),"",ReferenceData!$AU$433),"")</f>
        <v/>
      </c>
      <c r="AV433" t="str">
        <f ca="1">IFERROR(IF(0=LEN(ReferenceData!$AV$433),"",ReferenceData!$AV$433),"")</f>
        <v/>
      </c>
      <c r="AW433" t="str">
        <f ca="1">IFERROR(IF(0=LEN(ReferenceData!$AW$433),"",ReferenceData!$AW$433),"")</f>
        <v/>
      </c>
      <c r="AX433" t="str">
        <f ca="1">IFERROR(IF(0=LEN(ReferenceData!$AX$433),"",ReferenceData!$AX$433),"")</f>
        <v/>
      </c>
      <c r="AY433" t="str">
        <f ca="1">IFERROR(IF(0=LEN(ReferenceData!$AY$433),"",ReferenceData!$AY$433),"")</f>
        <v/>
      </c>
      <c r="AZ433" t="str">
        <f ca="1">IFERROR(IF(0=LEN(ReferenceData!$AZ$433),"",ReferenceData!$AZ$433),"")</f>
        <v/>
      </c>
      <c r="BA433" t="str">
        <f ca="1">IFERROR(IF(0=LEN(ReferenceData!$BA$433),"",ReferenceData!$BA$433),"")</f>
        <v/>
      </c>
      <c r="BB433" t="str">
        <f ca="1">IFERROR(IF(0=LEN(ReferenceData!$BB$433),"",ReferenceData!$BB$433),"")</f>
        <v/>
      </c>
      <c r="BC433" t="str">
        <f ca="1">IFERROR(IF(0=LEN(ReferenceData!$BC$433),"",ReferenceData!$BC$433),"")</f>
        <v/>
      </c>
      <c r="BD433" t="str">
        <f ca="1">IFERROR(IF(0=LEN(ReferenceData!$BD$433),"",ReferenceData!$BD$433),"")</f>
        <v/>
      </c>
      <c r="BE433" t="str">
        <f ca="1">IFERROR(IF(0=LEN(ReferenceData!$BE$433),"",ReferenceData!$BE$433),"")</f>
        <v/>
      </c>
      <c r="BF433" t="str">
        <f ca="1">IFERROR(IF(0=LEN(ReferenceData!$BF$433),"",ReferenceData!$BF$433),"")</f>
        <v/>
      </c>
      <c r="BG433" t="str">
        <f ca="1">IFERROR(IF(0=LEN(ReferenceData!$BG$433),"",ReferenceData!$BG$433),"")</f>
        <v/>
      </c>
      <c r="BH433" t="str">
        <f ca="1">IFERROR(IF(0=LEN(ReferenceData!$BH$433),"",ReferenceData!$BH$433),"")</f>
        <v/>
      </c>
      <c r="BI433" t="str">
        <f ca="1">IFERROR(IF(0=LEN(ReferenceData!$BI$433),"",ReferenceData!$BI$433),"")</f>
        <v/>
      </c>
      <c r="BJ433" t="str">
        <f ca="1">IFERROR(IF(0=LEN(ReferenceData!$BJ$433),"",ReferenceData!$BJ$433),"")</f>
        <v/>
      </c>
      <c r="BK433" t="str">
        <f ca="1">IFERROR(IF(0=LEN(ReferenceData!$BK$433),"",ReferenceData!$BK$433),"")</f>
        <v/>
      </c>
      <c r="BL433" t="str">
        <f ca="1">IFERROR(IF(0=LEN(ReferenceData!$BL$433),"",ReferenceData!$BL$433),"")</f>
        <v/>
      </c>
      <c r="BM433" t="str">
        <f ca="1">IFERROR(IF(0=LEN(ReferenceData!$BM$433),"",ReferenceData!$BM$433),"")</f>
        <v/>
      </c>
    </row>
    <row r="434" spans="1:65" x14ac:dyDescent="0.25">
      <c r="A434" t="str">
        <f>IFERROR(IF(0=LEN(ReferenceData!$A$434),"",ReferenceData!$A$434),"")</f>
        <v xml:space="preserve">    Guangzhou Automobile Group Co Ltd</v>
      </c>
      <c r="B434" t="str">
        <f>IFERROR(IF(0=LEN(ReferenceData!$B$434),"",ReferenceData!$B$434),"")</f>
        <v>2238 HK Equity</v>
      </c>
      <c r="C434" t="str">
        <f>IFERROR(IF(0=LEN(ReferenceData!$C$434),"",ReferenceData!$C$434),"")</f>
        <v>RR477</v>
      </c>
      <c r="D434" t="str">
        <f>IFERROR(IF(0=LEN(ReferenceData!$D$434),"",ReferenceData!$D$434),"")</f>
        <v>EV_TO_T12M_CASH_FLOW</v>
      </c>
      <c r="E434" t="str">
        <f>IFERROR(IF(0=LEN(ReferenceData!$E$434),"",ReferenceData!$E$434),"")</f>
        <v>Dynamic</v>
      </c>
      <c r="F434" t="str">
        <f ca="1">IFERROR(IF(0=LEN(ReferenceData!$F$434),"",ReferenceData!$F$434),"")</f>
        <v/>
      </c>
      <c r="G434" t="str">
        <f ca="1">IFERROR(IF(0=LEN(ReferenceData!$G$434),"",ReferenceData!$G$434),"")</f>
        <v/>
      </c>
      <c r="H434">
        <f ca="1">IFERROR(IF(0=LEN(ReferenceData!$H$434),"",ReferenceData!$H$434),"")</f>
        <v>7.4541257730000003</v>
      </c>
      <c r="I434">
        <f ca="1">IFERROR(IF(0=LEN(ReferenceData!$I$434),"",ReferenceData!$I$434),"")</f>
        <v>4.3242341230000001</v>
      </c>
      <c r="J434">
        <f ca="1">IFERROR(IF(0=LEN(ReferenceData!$J$434),"",ReferenceData!$J$434),"")</f>
        <v>12.622780029999999</v>
      </c>
      <c r="K434">
        <f ca="1">IFERROR(IF(0=LEN(ReferenceData!$K$434),"",ReferenceData!$K$434),"")</f>
        <v>10.95405508</v>
      </c>
      <c r="L434">
        <f ca="1">IFERROR(IF(0=LEN(ReferenceData!$L$434),"",ReferenceData!$L$434),"")</f>
        <v>24.619885050000001</v>
      </c>
      <c r="M434">
        <f ca="1">IFERROR(IF(0=LEN(ReferenceData!$M$434),"",ReferenceData!$M$434),"")</f>
        <v>11.59296646</v>
      </c>
      <c r="N434">
        <f ca="1">IFERROR(IF(0=LEN(ReferenceData!$N$434),"",ReferenceData!$N$434),"")</f>
        <v>10.812717790000001</v>
      </c>
      <c r="O434">
        <f ca="1">IFERROR(IF(0=LEN(ReferenceData!$O$434),"",ReferenceData!$O$434),"")</f>
        <v>11.073405340000001</v>
      </c>
      <c r="P434">
        <f ca="1">IFERROR(IF(0=LEN(ReferenceData!$P$434),"",ReferenceData!$P$434),"")</f>
        <v>8.650870136</v>
      </c>
      <c r="Q434">
        <f ca="1">IFERROR(IF(0=LEN(ReferenceData!$Q$434),"",ReferenceData!$Q$434),"")</f>
        <v>9.1244024750000001</v>
      </c>
      <c r="R434">
        <f ca="1">IFERROR(IF(0=LEN(ReferenceData!$R$434),"",ReferenceData!$R$434),"")</f>
        <v>9.4386180320000008</v>
      </c>
      <c r="S434">
        <f ca="1">IFERROR(IF(0=LEN(ReferenceData!$S$434),"",ReferenceData!$S$434),"")</f>
        <v>12.01184612</v>
      </c>
      <c r="T434">
        <f ca="1">IFERROR(IF(0=LEN(ReferenceData!$T$434),"",ReferenceData!$T$434),"")</f>
        <v>15.2550525</v>
      </c>
      <c r="U434">
        <f ca="1">IFERROR(IF(0=LEN(ReferenceData!$U$434),"",ReferenceData!$U$434),"")</f>
        <v>14.37800895</v>
      </c>
      <c r="V434">
        <f ca="1">IFERROR(IF(0=LEN(ReferenceData!$V$434),"",ReferenceData!$V$434),"")</f>
        <v>7.8191126989999997</v>
      </c>
      <c r="W434">
        <f ca="1">IFERROR(IF(0=LEN(ReferenceData!$W$434),"",ReferenceData!$W$434),"")</f>
        <v>10.01190347</v>
      </c>
      <c r="X434">
        <f ca="1">IFERROR(IF(0=LEN(ReferenceData!$X$434),"",ReferenceData!$X$434),"")</f>
        <v>13.339013700000001</v>
      </c>
      <c r="Y434">
        <f ca="1">IFERROR(IF(0=LEN(ReferenceData!$Y$434),"",ReferenceData!$Y$434),"")</f>
        <v>13.00196283</v>
      </c>
      <c r="Z434">
        <f ca="1">IFERROR(IF(0=LEN(ReferenceData!$Z$434),"",ReferenceData!$Z$434),"")</f>
        <v>10.75908922</v>
      </c>
      <c r="AA434">
        <f ca="1">IFERROR(IF(0=LEN(ReferenceData!$AA$434),"",ReferenceData!$AA$434),"")</f>
        <v>10.7446985</v>
      </c>
      <c r="AB434">
        <f ca="1">IFERROR(IF(0=LEN(ReferenceData!$AB$434),"",ReferenceData!$AB$434),"")</f>
        <v>8.2858081380000002</v>
      </c>
      <c r="AC434">
        <f ca="1">IFERROR(IF(0=LEN(ReferenceData!$AC$434),"",ReferenceData!$AC$434),"")</f>
        <v>10.142511839999999</v>
      </c>
      <c r="AD434">
        <f ca="1">IFERROR(IF(0=LEN(ReferenceData!$AD$434),"",ReferenceData!$AD$434),"")</f>
        <v>6.9835189910000004</v>
      </c>
      <c r="AE434">
        <f ca="1">IFERROR(IF(0=LEN(ReferenceData!$AE$434),"",ReferenceData!$AE$434),"")</f>
        <v>8.525896886</v>
      </c>
      <c r="AF434">
        <f ca="1">IFERROR(IF(0=LEN(ReferenceData!$AF$434),"",ReferenceData!$AF$434),"")</f>
        <v>4.2380535210000003</v>
      </c>
      <c r="AG434">
        <f ca="1">IFERROR(IF(0=LEN(ReferenceData!$AG$434),"",ReferenceData!$AG$434),"")</f>
        <v>7.4259532320000003</v>
      </c>
      <c r="AH434">
        <f ca="1">IFERROR(IF(0=LEN(ReferenceData!$AH$434),"",ReferenceData!$AH$434),"")</f>
        <v>8.2422157879999993</v>
      </c>
      <c r="AI434">
        <f ca="1">IFERROR(IF(0=LEN(ReferenceData!$AI$434),"",ReferenceData!$AI$434),"")</f>
        <v>5.347003698</v>
      </c>
      <c r="AJ434">
        <f ca="1">IFERROR(IF(0=LEN(ReferenceData!$AJ$434),"",ReferenceData!$AJ$434),"")</f>
        <v>12.65028519</v>
      </c>
      <c r="AK434">
        <f ca="1">IFERROR(IF(0=LEN(ReferenceData!$AK$434),"",ReferenceData!$AK$434),"")</f>
        <v>7.4816222779999997</v>
      </c>
      <c r="AL434">
        <f ca="1">IFERROR(IF(0=LEN(ReferenceData!$AL$434),"",ReferenceData!$AL$434),"")</f>
        <v>10.699020109999999</v>
      </c>
      <c r="AM434">
        <f ca="1">IFERROR(IF(0=LEN(ReferenceData!$AM$434),"",ReferenceData!$AM$434),"")</f>
        <v>14.21819024</v>
      </c>
      <c r="AN434">
        <f ca="1">IFERROR(IF(0=LEN(ReferenceData!$AN$434),"",ReferenceData!$AN$434),"")</f>
        <v>9.7228384989999999</v>
      </c>
      <c r="AO434" t="str">
        <f ca="1">IFERROR(IF(0=LEN(ReferenceData!$AO$434),"",ReferenceData!$AO$434),"")</f>
        <v/>
      </c>
      <c r="AP434" t="str">
        <f ca="1">IFERROR(IF(0=LEN(ReferenceData!$AP$434),"",ReferenceData!$AP$434),"")</f>
        <v/>
      </c>
      <c r="AQ434" t="str">
        <f ca="1">IFERROR(IF(0=LEN(ReferenceData!$AQ$434),"",ReferenceData!$AQ$434),"")</f>
        <v/>
      </c>
      <c r="AR434" t="str">
        <f ca="1">IFERROR(IF(0=LEN(ReferenceData!$AR$434),"",ReferenceData!$AR$434),"")</f>
        <v/>
      </c>
      <c r="AS434" t="str">
        <f ca="1">IFERROR(IF(0=LEN(ReferenceData!$AS$434),"",ReferenceData!$AS$434),"")</f>
        <v/>
      </c>
      <c r="AT434" t="str">
        <f ca="1">IFERROR(IF(0=LEN(ReferenceData!$AT$434),"",ReferenceData!$AT$434),"")</f>
        <v/>
      </c>
      <c r="AU434" t="str">
        <f ca="1">IFERROR(IF(0=LEN(ReferenceData!$AU$434),"",ReferenceData!$AU$434),"")</f>
        <v/>
      </c>
      <c r="AV434" t="str">
        <f ca="1">IFERROR(IF(0=LEN(ReferenceData!$AV$434),"",ReferenceData!$AV$434),"")</f>
        <v/>
      </c>
      <c r="AW434" t="str">
        <f ca="1">IFERROR(IF(0=LEN(ReferenceData!$AW$434),"",ReferenceData!$AW$434),"")</f>
        <v/>
      </c>
      <c r="AX434" t="str">
        <f ca="1">IFERROR(IF(0=LEN(ReferenceData!$AX$434),"",ReferenceData!$AX$434),"")</f>
        <v/>
      </c>
      <c r="AY434" t="str">
        <f ca="1">IFERROR(IF(0=LEN(ReferenceData!$AY$434),"",ReferenceData!$AY$434),"")</f>
        <v/>
      </c>
      <c r="AZ434" t="str">
        <f ca="1">IFERROR(IF(0=LEN(ReferenceData!$AZ$434),"",ReferenceData!$AZ$434),"")</f>
        <v/>
      </c>
      <c r="BA434" t="str">
        <f ca="1">IFERROR(IF(0=LEN(ReferenceData!$BA$434),"",ReferenceData!$BA$434),"")</f>
        <v/>
      </c>
      <c r="BB434" t="str">
        <f ca="1">IFERROR(IF(0=LEN(ReferenceData!$BB$434),"",ReferenceData!$BB$434),"")</f>
        <v/>
      </c>
      <c r="BC434" t="str">
        <f ca="1">IFERROR(IF(0=LEN(ReferenceData!$BC$434),"",ReferenceData!$BC$434),"")</f>
        <v/>
      </c>
      <c r="BD434" t="str">
        <f ca="1">IFERROR(IF(0=LEN(ReferenceData!$BD$434),"",ReferenceData!$BD$434),"")</f>
        <v/>
      </c>
      <c r="BE434" t="str">
        <f ca="1">IFERROR(IF(0=LEN(ReferenceData!$BE$434),"",ReferenceData!$BE$434),"")</f>
        <v/>
      </c>
      <c r="BF434" t="str">
        <f ca="1">IFERROR(IF(0=LEN(ReferenceData!$BF$434),"",ReferenceData!$BF$434),"")</f>
        <v/>
      </c>
      <c r="BG434" t="str">
        <f ca="1">IFERROR(IF(0=LEN(ReferenceData!$BG$434),"",ReferenceData!$BG$434),"")</f>
        <v/>
      </c>
      <c r="BH434" t="str">
        <f ca="1">IFERROR(IF(0=LEN(ReferenceData!$BH$434),"",ReferenceData!$BH$434),"")</f>
        <v/>
      </c>
      <c r="BI434" t="str">
        <f ca="1">IFERROR(IF(0=LEN(ReferenceData!$BI$434),"",ReferenceData!$BI$434),"")</f>
        <v/>
      </c>
      <c r="BJ434" t="str">
        <f ca="1">IFERROR(IF(0=LEN(ReferenceData!$BJ$434),"",ReferenceData!$BJ$434),"")</f>
        <v/>
      </c>
      <c r="BK434" t="str">
        <f ca="1">IFERROR(IF(0=LEN(ReferenceData!$BK$434),"",ReferenceData!$BK$434),"")</f>
        <v/>
      </c>
      <c r="BL434" t="str">
        <f ca="1">IFERROR(IF(0=LEN(ReferenceData!$BL$434),"",ReferenceData!$BL$434),"")</f>
        <v/>
      </c>
      <c r="BM434" t="str">
        <f ca="1">IFERROR(IF(0=LEN(ReferenceData!$BM$434),"",ReferenceData!$BM$434),"")</f>
        <v/>
      </c>
    </row>
    <row r="435" spans="1:65" x14ac:dyDescent="0.25">
      <c r="A435" t="str">
        <f>IFERROR(IF(0=LEN(ReferenceData!$A$435),"",ReferenceData!$A$435),"")</f>
        <v xml:space="preserve">    Honda Motor Co Ltd</v>
      </c>
      <c r="B435" t="str">
        <f>IFERROR(IF(0=LEN(ReferenceData!$B$435),"",ReferenceData!$B$435),"")</f>
        <v>7267 JP Equity</v>
      </c>
      <c r="C435" t="str">
        <f>IFERROR(IF(0=LEN(ReferenceData!$C$435),"",ReferenceData!$C$435),"")</f>
        <v>RR477</v>
      </c>
      <c r="D435" t="str">
        <f>IFERROR(IF(0=LEN(ReferenceData!$D$435),"",ReferenceData!$D$435),"")</f>
        <v>EV_TO_T12M_CASH_FLOW</v>
      </c>
      <c r="E435" t="str">
        <f>IFERROR(IF(0=LEN(ReferenceData!$E$435),"",ReferenceData!$E$435),"")</f>
        <v>Dynamic</v>
      </c>
      <c r="F435" t="str">
        <f ca="1">IFERROR(IF(0=LEN(ReferenceData!$F$435),"",ReferenceData!$F$435),"")</f>
        <v/>
      </c>
      <c r="G435">
        <f ca="1">IFERROR(IF(0=LEN(ReferenceData!$G$435),"",ReferenceData!$G$435),"")</f>
        <v>11.9497447</v>
      </c>
      <c r="H435">
        <f ca="1">IFERROR(IF(0=LEN(ReferenceData!$H$435),"",ReferenceData!$H$435),"")</f>
        <v>12.722888040000001</v>
      </c>
      <c r="I435">
        <f ca="1">IFERROR(IF(0=LEN(ReferenceData!$I$435),"",ReferenceData!$I$435),"")</f>
        <v>10.591481999999999</v>
      </c>
      <c r="J435">
        <f ca="1">IFERROR(IF(0=LEN(ReferenceData!$J$435),"",ReferenceData!$J$435),"")</f>
        <v>11.566805949999999</v>
      </c>
      <c r="K435">
        <f ca="1">IFERROR(IF(0=LEN(ReferenceData!$K$435),"",ReferenceData!$K$435),"")</f>
        <v>11.520299229999999</v>
      </c>
      <c r="L435">
        <f ca="1">IFERROR(IF(0=LEN(ReferenceData!$L$435),"",ReferenceData!$L$435),"")</f>
        <v>11.23918029</v>
      </c>
      <c r="M435">
        <f ca="1">IFERROR(IF(0=LEN(ReferenceData!$M$435),"",ReferenceData!$M$435),"")</f>
        <v>11.918097270000001</v>
      </c>
      <c r="N435">
        <f ca="1">IFERROR(IF(0=LEN(ReferenceData!$N$435),"",ReferenceData!$N$435),"")</f>
        <v>12.525834140000001</v>
      </c>
      <c r="O435">
        <f ca="1">IFERROR(IF(0=LEN(ReferenceData!$O$435),"",ReferenceData!$O$435),"")</f>
        <v>12.97784526</v>
      </c>
      <c r="P435">
        <f ca="1">IFERROR(IF(0=LEN(ReferenceData!$P$435),"",ReferenceData!$P$435),"")</f>
        <v>9.1236190809999993</v>
      </c>
      <c r="Q435">
        <f ca="1">IFERROR(IF(0=LEN(ReferenceData!$Q$435),"",ReferenceData!$Q$435),"")</f>
        <v>8.136477438</v>
      </c>
      <c r="R435">
        <f ca="1">IFERROR(IF(0=LEN(ReferenceData!$R$435),"",ReferenceData!$R$435),"")</f>
        <v>7.6709117859999996</v>
      </c>
      <c r="S435">
        <f ca="1">IFERROR(IF(0=LEN(ReferenceData!$S$435),"",ReferenceData!$S$435),"")</f>
        <v>8.5830899570000003</v>
      </c>
      <c r="T435">
        <f ca="1">IFERROR(IF(0=LEN(ReferenceData!$T$435),"",ReferenceData!$T$435),"")</f>
        <v>8.3263913400000007</v>
      </c>
      <c r="U435">
        <f ca="1">IFERROR(IF(0=LEN(ReferenceData!$U$435),"",ReferenceData!$U$435),"")</f>
        <v>9.4437698599999997</v>
      </c>
      <c r="V435">
        <f ca="1">IFERROR(IF(0=LEN(ReferenceData!$V$435),"",ReferenceData!$V$435),"")</f>
        <v>11.85680455</v>
      </c>
      <c r="W435">
        <f ca="1">IFERROR(IF(0=LEN(ReferenceData!$W$435),"",ReferenceData!$W$435),"")</f>
        <v>13.22892882</v>
      </c>
      <c r="X435">
        <f ca="1">IFERROR(IF(0=LEN(ReferenceData!$X$435),"",ReferenceData!$X$435),"")</f>
        <v>13.386505680000001</v>
      </c>
      <c r="Y435">
        <f ca="1">IFERROR(IF(0=LEN(ReferenceData!$Y$435),"",ReferenceData!$Y$435),"")</f>
        <v>10.414413639999999</v>
      </c>
      <c r="Z435">
        <f ca="1">IFERROR(IF(0=LEN(ReferenceData!$Z$435),"",ReferenceData!$Z$435),"")</f>
        <v>9.1006470539999995</v>
      </c>
      <c r="AA435">
        <f ca="1">IFERROR(IF(0=LEN(ReferenceData!$AA$435),"",ReferenceData!$AA$435),"")</f>
        <v>10.76348853</v>
      </c>
      <c r="AB435">
        <f ca="1">IFERROR(IF(0=LEN(ReferenceData!$AB$435),"",ReferenceData!$AB$435),"")</f>
        <v>9.3895121659999994</v>
      </c>
      <c r="AC435">
        <f ca="1">IFERROR(IF(0=LEN(ReferenceData!$AC$435),"",ReferenceData!$AC$435),"")</f>
        <v>11.73201177</v>
      </c>
      <c r="AD435">
        <f ca="1">IFERROR(IF(0=LEN(ReferenceData!$AD$435),"",ReferenceData!$AD$435),"")</f>
        <v>12.807453900000001</v>
      </c>
      <c r="AE435">
        <f ca="1">IFERROR(IF(0=LEN(ReferenceData!$AE$435),"",ReferenceData!$AE$435),"")</f>
        <v>12.44387746</v>
      </c>
      <c r="AF435">
        <f ca="1">IFERROR(IF(0=LEN(ReferenceData!$AF$435),"",ReferenceData!$AF$435),"")</f>
        <v>13.516376579999999</v>
      </c>
      <c r="AG435">
        <f ca="1">IFERROR(IF(0=LEN(ReferenceData!$AG$435),"",ReferenceData!$AG$435),"")</f>
        <v>11.14540925</v>
      </c>
      <c r="AH435">
        <f ca="1">IFERROR(IF(0=LEN(ReferenceData!$AH$435),"",ReferenceData!$AH$435),"")</f>
        <v>11.740844360000001</v>
      </c>
      <c r="AI435">
        <f ca="1">IFERROR(IF(0=LEN(ReferenceData!$AI$435),"",ReferenceData!$AI$435),"")</f>
        <v>8.6559417819999993</v>
      </c>
      <c r="AJ435">
        <f ca="1">IFERROR(IF(0=LEN(ReferenceData!$AJ$435),"",ReferenceData!$AJ$435),"")</f>
        <v>7.5984042399999998</v>
      </c>
      <c r="AK435">
        <f ca="1">IFERROR(IF(0=LEN(ReferenceData!$AK$435),"",ReferenceData!$AK$435),"")</f>
        <v>9.0448992780000008</v>
      </c>
      <c r="AL435">
        <f ca="1">IFERROR(IF(0=LEN(ReferenceData!$AL$435),"",ReferenceData!$AL$435),"")</f>
        <v>8.0185320979999997</v>
      </c>
      <c r="AM435">
        <f ca="1">IFERROR(IF(0=LEN(ReferenceData!$AM$435),"",ReferenceData!$AM$435),"")</f>
        <v>7.9826417799999998</v>
      </c>
      <c r="AN435">
        <f ca="1">IFERROR(IF(0=LEN(ReferenceData!$AN$435),"",ReferenceData!$AN$435),"")</f>
        <v>6.601398938</v>
      </c>
      <c r="AO435">
        <f ca="1">IFERROR(IF(0=LEN(ReferenceData!$AO$435),"",ReferenceData!$AO$435),"")</f>
        <v>5.2687598600000003</v>
      </c>
      <c r="AP435">
        <f ca="1">IFERROR(IF(0=LEN(ReferenceData!$AP$435),"",ReferenceData!$AP$435),"")</f>
        <v>5.8899866269999999</v>
      </c>
      <c r="AQ435">
        <f ca="1">IFERROR(IF(0=LEN(ReferenceData!$AQ$435),"",ReferenceData!$AQ$435),"")</f>
        <v>7.3789457599999997</v>
      </c>
      <c r="AR435">
        <f ca="1">IFERROR(IF(0=LEN(ReferenceData!$AR$435),"",ReferenceData!$AR$435),"")</f>
        <v>9.6031789869999997</v>
      </c>
      <c r="AS435">
        <f ca="1">IFERROR(IF(0=LEN(ReferenceData!$AS$435),"",ReferenceData!$AS$435),"")</f>
        <v>18.998387409999999</v>
      </c>
      <c r="AT435">
        <f ca="1">IFERROR(IF(0=LEN(ReferenceData!$AT$435),"",ReferenceData!$AT$435),"")</f>
        <v>21.505745829999999</v>
      </c>
      <c r="AU435">
        <f ca="1">IFERROR(IF(0=LEN(ReferenceData!$AU$435),"",ReferenceData!$AU$435),"")</f>
        <v>9.2841081780000003</v>
      </c>
      <c r="AV435">
        <f ca="1">IFERROR(IF(0=LEN(ReferenceData!$AV$435),"",ReferenceData!$AV$435),"")</f>
        <v>9.139420908</v>
      </c>
      <c r="AW435">
        <f ca="1">IFERROR(IF(0=LEN(ReferenceData!$AW$435),"",ReferenceData!$AW$435),"")</f>
        <v>8.6218569190000007</v>
      </c>
      <c r="AX435">
        <f ca="1">IFERROR(IF(0=LEN(ReferenceData!$AX$435),"",ReferenceData!$AX$435),"")</f>
        <v>7.6718335519999998</v>
      </c>
      <c r="AY435">
        <f ca="1">IFERROR(IF(0=LEN(ReferenceData!$AY$435),"",ReferenceData!$AY$435),"")</f>
        <v>9.4956085980000005</v>
      </c>
      <c r="AZ435">
        <f ca="1">IFERROR(IF(0=LEN(ReferenceData!$AZ$435),"",ReferenceData!$AZ$435),"")</f>
        <v>10.592432260000001</v>
      </c>
      <c r="BA435">
        <f ca="1">IFERROR(IF(0=LEN(ReferenceData!$BA$435),"",ReferenceData!$BA$435),"")</f>
        <v>12.03610563</v>
      </c>
      <c r="BB435">
        <f ca="1">IFERROR(IF(0=LEN(ReferenceData!$BB$435),"",ReferenceData!$BB$435),"")</f>
        <v>11.683003619999999</v>
      </c>
      <c r="BC435">
        <f ca="1">IFERROR(IF(0=LEN(ReferenceData!$BC$435),"",ReferenceData!$BC$435),"")</f>
        <v>14.86069299</v>
      </c>
      <c r="BD435">
        <f ca="1">IFERROR(IF(0=LEN(ReferenceData!$BD$435),"",ReferenceData!$BD$435),"")</f>
        <v>13.716841280000001</v>
      </c>
      <c r="BE435">
        <f ca="1">IFERROR(IF(0=LEN(ReferenceData!$BE$435),"",ReferenceData!$BE$435),"")</f>
        <v>14.42387899</v>
      </c>
      <c r="BF435">
        <f ca="1">IFERROR(IF(0=LEN(ReferenceData!$BF$435),"",ReferenceData!$BF$435),"")</f>
        <v>15.825328170000001</v>
      </c>
      <c r="BG435">
        <f ca="1">IFERROR(IF(0=LEN(ReferenceData!$BG$435),"",ReferenceData!$BG$435),"")</f>
        <v>14.50684661</v>
      </c>
      <c r="BH435">
        <f ca="1">IFERROR(IF(0=LEN(ReferenceData!$BH$435),"",ReferenceData!$BH$435),"")</f>
        <v>11.59710375</v>
      </c>
      <c r="BI435" t="str">
        <f ca="1">IFERROR(IF(0=LEN(ReferenceData!$BI$435),"",ReferenceData!$BI$435),"")</f>
        <v/>
      </c>
      <c r="BJ435">
        <f ca="1">IFERROR(IF(0=LEN(ReferenceData!$BJ$435),"",ReferenceData!$BJ$435),"")</f>
        <v>9.4374489340000007</v>
      </c>
      <c r="BK435" t="str">
        <f ca="1">IFERROR(IF(0=LEN(ReferenceData!$BK$435),"",ReferenceData!$BK$435),"")</f>
        <v/>
      </c>
      <c r="BL435" t="str">
        <f ca="1">IFERROR(IF(0=LEN(ReferenceData!$BL$435),"",ReferenceData!$BL$435),"")</f>
        <v/>
      </c>
      <c r="BM435" t="str">
        <f ca="1">IFERROR(IF(0=LEN(ReferenceData!$BM$435),"",ReferenceData!$BM$435),"")</f>
        <v/>
      </c>
    </row>
    <row r="436" spans="1:65" x14ac:dyDescent="0.25">
      <c r="A436" t="str">
        <f>IFERROR(IF(0=LEN(ReferenceData!$A$436),"",ReferenceData!$A$436),"")</f>
        <v xml:space="preserve">    Hyundai Motor Co</v>
      </c>
      <c r="B436" t="str">
        <f>IFERROR(IF(0=LEN(ReferenceData!$B$436),"",ReferenceData!$B$436),"")</f>
        <v>005380 KS Equity</v>
      </c>
      <c r="C436" t="str">
        <f>IFERROR(IF(0=LEN(ReferenceData!$C$436),"",ReferenceData!$C$436),"")</f>
        <v>RR477</v>
      </c>
      <c r="D436" t="str">
        <f>IFERROR(IF(0=LEN(ReferenceData!$D$436),"",ReferenceData!$D$436),"")</f>
        <v>EV_TO_T12M_CASH_FLOW</v>
      </c>
      <c r="E436" t="str">
        <f>IFERROR(IF(0=LEN(ReferenceData!$E$436),"",ReferenceData!$E$436),"")</f>
        <v>Dynamic</v>
      </c>
      <c r="F436" t="str">
        <f ca="1">IFERROR(IF(0=LEN(ReferenceData!$F$436),"",ReferenceData!$F$436),"")</f>
        <v/>
      </c>
      <c r="G436" t="str">
        <f ca="1">IFERROR(IF(0=LEN(ReferenceData!$G$436),"",ReferenceData!$G$436),"")</f>
        <v/>
      </c>
      <c r="H436">
        <f ca="1">IFERROR(IF(0=LEN(ReferenceData!$H$436),"",ReferenceData!$H$436),"")</f>
        <v>15.336768559999999</v>
      </c>
      <c r="I436">
        <f ca="1">IFERROR(IF(0=LEN(ReferenceData!$I$436),"",ReferenceData!$I$436),"")</f>
        <v>16.708973149999998</v>
      </c>
      <c r="J436">
        <f ca="1">IFERROR(IF(0=LEN(ReferenceData!$J$436),"",ReferenceData!$J$436),"")</f>
        <v>18.55486522</v>
      </c>
      <c r="K436">
        <f ca="1">IFERROR(IF(0=LEN(ReferenceData!$K$436),"",ReferenceData!$K$436),"")</f>
        <v>19.99914837</v>
      </c>
      <c r="L436">
        <f ca="1">IFERROR(IF(0=LEN(ReferenceData!$L$436),"",ReferenceData!$L$436),"")</f>
        <v>28.411364089999999</v>
      </c>
      <c r="M436">
        <f ca="1">IFERROR(IF(0=LEN(ReferenceData!$M$436),"",ReferenceData!$M$436),"")</f>
        <v>30.237298729999999</v>
      </c>
      <c r="N436">
        <f ca="1">IFERROR(IF(0=LEN(ReferenceData!$N$436),"",ReferenceData!$N$436),"")</f>
        <v>28.25893147</v>
      </c>
      <c r="O436">
        <f ca="1">IFERROR(IF(0=LEN(ReferenceData!$O$436),"",ReferenceData!$O$436),"")</f>
        <v>79.276928650000002</v>
      </c>
      <c r="P436" t="str">
        <f ca="1">IFERROR(IF(0=LEN(ReferenceData!$P$436),"",ReferenceData!$P$436),"")</f>
        <v/>
      </c>
      <c r="Q436" t="str">
        <f ca="1">IFERROR(IF(0=LEN(ReferenceData!$Q$436),"",ReferenceData!$Q$436),"")</f>
        <v/>
      </c>
      <c r="R436" t="str">
        <f ca="1">IFERROR(IF(0=LEN(ReferenceData!$R$436),"",ReferenceData!$R$436),"")</f>
        <v/>
      </c>
      <c r="S436">
        <f ca="1">IFERROR(IF(0=LEN(ReferenceData!$S$436),"",ReferenceData!$S$436),"")</f>
        <v>59.272811320000002</v>
      </c>
      <c r="T436" t="str">
        <f ca="1">IFERROR(IF(0=LEN(ReferenceData!$T$436),"",ReferenceData!$T$436),"")</f>
        <v/>
      </c>
      <c r="U436">
        <f ca="1">IFERROR(IF(0=LEN(ReferenceData!$U$436),"",ReferenceData!$U$436),"")</f>
        <v>101.4439532</v>
      </c>
      <c r="V436">
        <f ca="1">IFERROR(IF(0=LEN(ReferenceData!$V$436),"",ReferenceData!$V$436),"")</f>
        <v>61.944183959999997</v>
      </c>
      <c r="W436">
        <f ca="1">IFERROR(IF(0=LEN(ReferenceData!$W$436),"",ReferenceData!$W$436),"")</f>
        <v>31.403621260000001</v>
      </c>
      <c r="X436">
        <f ca="1">IFERROR(IF(0=LEN(ReferenceData!$X$436),"",ReferenceData!$X$436),"")</f>
        <v>40.645055739999997</v>
      </c>
      <c r="Y436">
        <f ca="1">IFERROR(IF(0=LEN(ReferenceData!$Y$436),"",ReferenceData!$Y$436),"")</f>
        <v>356.85027739999998</v>
      </c>
      <c r="Z436">
        <f ca="1">IFERROR(IF(0=LEN(ReferenceData!$Z$436),"",ReferenceData!$Z$436),"")</f>
        <v>33.839264499999999</v>
      </c>
      <c r="AA436">
        <f ca="1">IFERROR(IF(0=LEN(ReferenceData!$AA$436),"",ReferenceData!$AA$436),"")</f>
        <v>64.366080109999999</v>
      </c>
      <c r="AB436">
        <f ca="1">IFERROR(IF(0=LEN(ReferenceData!$AB$436),"",ReferenceData!$AB$436),"")</f>
        <v>16.953562170000001</v>
      </c>
      <c r="AC436">
        <f ca="1">IFERROR(IF(0=LEN(ReferenceData!$AC$436),"",ReferenceData!$AC$436),"")</f>
        <v>10.70327726</v>
      </c>
      <c r="AD436">
        <f ca="1">IFERROR(IF(0=LEN(ReferenceData!$AD$436),"",ReferenceData!$AD$436),"")</f>
        <v>14.9278063</v>
      </c>
      <c r="AE436">
        <f ca="1">IFERROR(IF(0=LEN(ReferenceData!$AE$436),"",ReferenceData!$AE$436),"")</f>
        <v>13.9303829</v>
      </c>
      <c r="AF436">
        <f ca="1">IFERROR(IF(0=LEN(ReferenceData!$AF$436),"",ReferenceData!$AF$436),"")</f>
        <v>14.06089268</v>
      </c>
      <c r="AG436">
        <f ca="1">IFERROR(IF(0=LEN(ReferenceData!$AG$436),"",ReferenceData!$AG$436),"")</f>
        <v>18.291557709999999</v>
      </c>
      <c r="AH436">
        <f ca="1">IFERROR(IF(0=LEN(ReferenceData!$AH$436),"",ReferenceData!$AH$436),"")</f>
        <v>16.36004333</v>
      </c>
      <c r="AI436">
        <f ca="1">IFERROR(IF(0=LEN(ReferenceData!$AI$436),"",ReferenceData!$AI$436),"")</f>
        <v>17.987749090000001</v>
      </c>
      <c r="AJ436">
        <f ca="1">IFERROR(IF(0=LEN(ReferenceData!$AJ$436),"",ReferenceData!$AJ$436),"")</f>
        <v>18.080474110000001</v>
      </c>
      <c r="AK436">
        <f ca="1">IFERROR(IF(0=LEN(ReferenceData!$AK$436),"",ReferenceData!$AK$436),"")</f>
        <v>19.797446099999998</v>
      </c>
      <c r="AL436">
        <f ca="1">IFERROR(IF(0=LEN(ReferenceData!$AL$436),"",ReferenceData!$AL$436),"")</f>
        <v>16.58044847</v>
      </c>
      <c r="AM436">
        <f ca="1">IFERROR(IF(0=LEN(ReferenceData!$AM$436),"",ReferenceData!$AM$436),"")</f>
        <v>14.32718903</v>
      </c>
      <c r="AN436" t="str">
        <f ca="1">IFERROR(IF(0=LEN(ReferenceData!$AN$436),"",ReferenceData!$AN$436),"")</f>
        <v/>
      </c>
      <c r="AO436" t="str">
        <f ca="1">IFERROR(IF(0=LEN(ReferenceData!$AO$436),"",ReferenceData!$AO$436),"")</f>
        <v/>
      </c>
      <c r="AP436" t="str">
        <f ca="1">IFERROR(IF(0=LEN(ReferenceData!$AP$436),"",ReferenceData!$AP$436),"")</f>
        <v/>
      </c>
      <c r="AQ436" t="str">
        <f ca="1">IFERROR(IF(0=LEN(ReferenceData!$AQ$436),"",ReferenceData!$AQ$436),"")</f>
        <v/>
      </c>
      <c r="AR436" t="str">
        <f ca="1">IFERROR(IF(0=LEN(ReferenceData!$AR$436),"",ReferenceData!$AR$436),"")</f>
        <v/>
      </c>
      <c r="AS436" t="str">
        <f ca="1">IFERROR(IF(0=LEN(ReferenceData!$AS$436),"",ReferenceData!$AS$436),"")</f>
        <v/>
      </c>
      <c r="AT436" t="str">
        <f ca="1">IFERROR(IF(0=LEN(ReferenceData!$AT$436),"",ReferenceData!$AT$436),"")</f>
        <v/>
      </c>
      <c r="AU436" t="str">
        <f ca="1">IFERROR(IF(0=LEN(ReferenceData!$AU$436),"",ReferenceData!$AU$436),"")</f>
        <v/>
      </c>
      <c r="AV436" t="str">
        <f ca="1">IFERROR(IF(0=LEN(ReferenceData!$AV$436),"",ReferenceData!$AV$436),"")</f>
        <v/>
      </c>
      <c r="AW436" t="str">
        <f ca="1">IFERROR(IF(0=LEN(ReferenceData!$AW$436),"",ReferenceData!$AW$436),"")</f>
        <v/>
      </c>
      <c r="AX436" t="str">
        <f ca="1">IFERROR(IF(0=LEN(ReferenceData!$AX$436),"",ReferenceData!$AX$436),"")</f>
        <v/>
      </c>
      <c r="AY436" t="str">
        <f ca="1">IFERROR(IF(0=LEN(ReferenceData!$AY$436),"",ReferenceData!$AY$436),"")</f>
        <v/>
      </c>
      <c r="AZ436" t="str">
        <f ca="1">IFERROR(IF(0=LEN(ReferenceData!$AZ$436),"",ReferenceData!$AZ$436),"")</f>
        <v/>
      </c>
      <c r="BA436" t="str">
        <f ca="1">IFERROR(IF(0=LEN(ReferenceData!$BA$436),"",ReferenceData!$BA$436),"")</f>
        <v/>
      </c>
      <c r="BB436" t="str">
        <f ca="1">IFERROR(IF(0=LEN(ReferenceData!$BB$436),"",ReferenceData!$BB$436),"")</f>
        <v/>
      </c>
      <c r="BC436" t="str">
        <f ca="1">IFERROR(IF(0=LEN(ReferenceData!$BC$436),"",ReferenceData!$BC$436),"")</f>
        <v/>
      </c>
      <c r="BD436" t="str">
        <f ca="1">IFERROR(IF(0=LEN(ReferenceData!$BD$436),"",ReferenceData!$BD$436),"")</f>
        <v/>
      </c>
      <c r="BE436" t="str">
        <f ca="1">IFERROR(IF(0=LEN(ReferenceData!$BE$436),"",ReferenceData!$BE$436),"")</f>
        <v/>
      </c>
      <c r="BF436" t="str">
        <f ca="1">IFERROR(IF(0=LEN(ReferenceData!$BF$436),"",ReferenceData!$BF$436),"")</f>
        <v/>
      </c>
      <c r="BG436" t="str">
        <f ca="1">IFERROR(IF(0=LEN(ReferenceData!$BG$436),"",ReferenceData!$BG$436),"")</f>
        <v/>
      </c>
      <c r="BH436" t="str">
        <f ca="1">IFERROR(IF(0=LEN(ReferenceData!$BH$436),"",ReferenceData!$BH$436),"")</f>
        <v/>
      </c>
      <c r="BI436" t="str">
        <f ca="1">IFERROR(IF(0=LEN(ReferenceData!$BI$436),"",ReferenceData!$BI$436),"")</f>
        <v/>
      </c>
      <c r="BJ436" t="str">
        <f ca="1">IFERROR(IF(0=LEN(ReferenceData!$BJ$436),"",ReferenceData!$BJ$436),"")</f>
        <v/>
      </c>
      <c r="BK436" t="str">
        <f ca="1">IFERROR(IF(0=LEN(ReferenceData!$BK$436),"",ReferenceData!$BK$436),"")</f>
        <v/>
      </c>
      <c r="BL436" t="str">
        <f ca="1">IFERROR(IF(0=LEN(ReferenceData!$BL$436),"",ReferenceData!$BL$436),"")</f>
        <v/>
      </c>
      <c r="BM436" t="str">
        <f ca="1">IFERROR(IF(0=LEN(ReferenceData!$BM$436),"",ReferenceData!$BM$436),"")</f>
        <v/>
      </c>
    </row>
    <row r="437" spans="1:65" x14ac:dyDescent="0.25">
      <c r="A437" t="str">
        <f>IFERROR(IF(0=LEN(ReferenceData!$A$437),"",ReferenceData!$A$437),"")</f>
        <v xml:space="preserve">    Kia Motors Corp</v>
      </c>
      <c r="B437" t="str">
        <f>IFERROR(IF(0=LEN(ReferenceData!$B$437),"",ReferenceData!$B$437),"")</f>
        <v>000270 KS Equity</v>
      </c>
      <c r="C437" t="str">
        <f>IFERROR(IF(0=LEN(ReferenceData!$C$437),"",ReferenceData!$C$437),"")</f>
        <v>RR477</v>
      </c>
      <c r="D437" t="str">
        <f>IFERROR(IF(0=LEN(ReferenceData!$D$437),"",ReferenceData!$D$437),"")</f>
        <v>EV_TO_T12M_CASH_FLOW</v>
      </c>
      <c r="E437" t="str">
        <f>IFERROR(IF(0=LEN(ReferenceData!$E$437),"",ReferenceData!$E$437),"")</f>
        <v>Dynamic</v>
      </c>
      <c r="F437" t="str">
        <f ca="1">IFERROR(IF(0=LEN(ReferenceData!$F$437),"",ReferenceData!$F$437),"")</f>
        <v/>
      </c>
      <c r="G437" t="str">
        <f ca="1">IFERROR(IF(0=LEN(ReferenceData!$G$437),"",ReferenceData!$G$437),"")</f>
        <v/>
      </c>
      <c r="H437">
        <f ca="1">IFERROR(IF(0=LEN(ReferenceData!$H$437),"",ReferenceData!$H$437),"")</f>
        <v>2.3177162299999998</v>
      </c>
      <c r="I437">
        <f ca="1">IFERROR(IF(0=LEN(ReferenceData!$I$437),"",ReferenceData!$I$437),"")</f>
        <v>2.1350676609999999</v>
      </c>
      <c r="J437">
        <f ca="1">IFERROR(IF(0=LEN(ReferenceData!$J$437),"",ReferenceData!$J$437),"")</f>
        <v>3.001050443</v>
      </c>
      <c r="K437">
        <f ca="1">IFERROR(IF(0=LEN(ReferenceData!$K$437),"",ReferenceData!$K$437),"")</f>
        <v>4.704520606</v>
      </c>
      <c r="L437">
        <f ca="1">IFERROR(IF(0=LEN(ReferenceData!$L$437),"",ReferenceData!$L$437),"")</f>
        <v>4.6756810089999998</v>
      </c>
      <c r="M437">
        <f ca="1">IFERROR(IF(0=LEN(ReferenceData!$M$437),"",ReferenceData!$M$437),"")</f>
        <v>7.5331802799999998</v>
      </c>
      <c r="N437">
        <f ca="1">IFERROR(IF(0=LEN(ReferenceData!$N$437),"",ReferenceData!$N$437),"")</f>
        <v>3.6763140239999998</v>
      </c>
      <c r="O437">
        <f ca="1">IFERROR(IF(0=LEN(ReferenceData!$O$437),"",ReferenceData!$O$437),"")</f>
        <v>4.5412519040000001</v>
      </c>
      <c r="P437">
        <f ca="1">IFERROR(IF(0=LEN(ReferenceData!$P$437),"",ReferenceData!$P$437),"")</f>
        <v>3.6487668549999999</v>
      </c>
      <c r="Q437">
        <f ca="1">IFERROR(IF(0=LEN(ReferenceData!$Q$437),"",ReferenceData!$Q$437),"")</f>
        <v>3.4530010120000001</v>
      </c>
      <c r="R437">
        <f ca="1">IFERROR(IF(0=LEN(ReferenceData!$R$437),"",ReferenceData!$R$437),"")</f>
        <v>6.7207448589999998</v>
      </c>
      <c r="S437">
        <f ca="1">IFERROR(IF(0=LEN(ReferenceData!$S$437),"",ReferenceData!$S$437),"")</f>
        <v>5.8155966780000004</v>
      </c>
      <c r="T437">
        <f ca="1">IFERROR(IF(0=LEN(ReferenceData!$T$437),"",ReferenceData!$T$437),"")</f>
        <v>5.1442404960000001</v>
      </c>
      <c r="U437">
        <f ca="1">IFERROR(IF(0=LEN(ReferenceData!$U$437),"",ReferenceData!$U$437),"")</f>
        <v>5.038902437</v>
      </c>
      <c r="V437">
        <f ca="1">IFERROR(IF(0=LEN(ReferenceData!$V$437),"",ReferenceData!$V$437),"")</f>
        <v>7.3804337220000003</v>
      </c>
      <c r="W437">
        <f ca="1">IFERROR(IF(0=LEN(ReferenceData!$W$437),"",ReferenceData!$W$437),"")</f>
        <v>7.3282538180000003</v>
      </c>
      <c r="X437">
        <f ca="1">IFERROR(IF(0=LEN(ReferenceData!$X$437),"",ReferenceData!$X$437),"")</f>
        <v>5.1216827770000002</v>
      </c>
      <c r="Y437">
        <f ca="1">IFERROR(IF(0=LEN(ReferenceData!$Y$437),"",ReferenceData!$Y$437),"")</f>
        <v>6.280857943</v>
      </c>
      <c r="Z437">
        <f ca="1">IFERROR(IF(0=LEN(ReferenceData!$Z$437),"",ReferenceData!$Z$437),"")</f>
        <v>4.2287861959999997</v>
      </c>
      <c r="AA437">
        <f ca="1">IFERROR(IF(0=LEN(ReferenceData!$AA$437),"",ReferenceData!$AA$437),"")</f>
        <v>3.8661601390000002</v>
      </c>
      <c r="AB437">
        <f ca="1">IFERROR(IF(0=LEN(ReferenceData!$AB$437),"",ReferenceData!$AB$437),"")</f>
        <v>5.8356901810000004</v>
      </c>
      <c r="AC437">
        <f ca="1">IFERROR(IF(0=LEN(ReferenceData!$AC$437),"",ReferenceData!$AC$437),"")</f>
        <v>5.2510128600000003</v>
      </c>
      <c r="AD437">
        <f ca="1">IFERROR(IF(0=LEN(ReferenceData!$AD$437),"",ReferenceData!$AD$437),"")</f>
        <v>5.485949196</v>
      </c>
      <c r="AE437">
        <f ca="1">IFERROR(IF(0=LEN(ReferenceData!$AE$437),"",ReferenceData!$AE$437),"")</f>
        <v>4.8009326019999996</v>
      </c>
      <c r="AF437">
        <f ca="1">IFERROR(IF(0=LEN(ReferenceData!$AF$437),"",ReferenceData!$AF$437),"")</f>
        <v>4.9062201559999998</v>
      </c>
      <c r="AG437">
        <f ca="1">IFERROR(IF(0=LEN(ReferenceData!$AG$437),"",ReferenceData!$AG$437),"")</f>
        <v>5.3725917790000004</v>
      </c>
      <c r="AH437">
        <f ca="1">IFERROR(IF(0=LEN(ReferenceData!$AH$437),"",ReferenceData!$AH$437),"")</f>
        <v>6.0279127429999999</v>
      </c>
      <c r="AI437">
        <f ca="1">IFERROR(IF(0=LEN(ReferenceData!$AI$437),"",ReferenceData!$AI$437),"")</f>
        <v>5.7631026030000001</v>
      </c>
      <c r="AJ437">
        <f ca="1">IFERROR(IF(0=LEN(ReferenceData!$AJ$437),"",ReferenceData!$AJ$437),"")</f>
        <v>5.9388586170000002</v>
      </c>
      <c r="AK437">
        <f ca="1">IFERROR(IF(0=LEN(ReferenceData!$AK$437),"",ReferenceData!$AK$437),"")</f>
        <v>6.0702215559999999</v>
      </c>
      <c r="AL437">
        <f ca="1">IFERROR(IF(0=LEN(ReferenceData!$AL$437),"",ReferenceData!$AL$437),"")</f>
        <v>5.4465271690000003</v>
      </c>
      <c r="AM437" t="str">
        <f ca="1">IFERROR(IF(0=LEN(ReferenceData!$AM$437),"",ReferenceData!$AM$437),"")</f>
        <v/>
      </c>
      <c r="AN437" t="str">
        <f ca="1">IFERROR(IF(0=LEN(ReferenceData!$AN$437),"",ReferenceData!$AN$437),"")</f>
        <v/>
      </c>
      <c r="AO437" t="str">
        <f ca="1">IFERROR(IF(0=LEN(ReferenceData!$AO$437),"",ReferenceData!$AO$437),"")</f>
        <v/>
      </c>
      <c r="AP437" t="str">
        <f ca="1">IFERROR(IF(0=LEN(ReferenceData!$AP$437),"",ReferenceData!$AP$437),"")</f>
        <v/>
      </c>
      <c r="AQ437" t="str">
        <f ca="1">IFERROR(IF(0=LEN(ReferenceData!$AQ$437),"",ReferenceData!$AQ$437),"")</f>
        <v/>
      </c>
      <c r="AR437" t="str">
        <f ca="1">IFERROR(IF(0=LEN(ReferenceData!$AR$437),"",ReferenceData!$AR$437),"")</f>
        <v/>
      </c>
      <c r="AS437" t="str">
        <f ca="1">IFERROR(IF(0=LEN(ReferenceData!$AS$437),"",ReferenceData!$AS$437),"")</f>
        <v/>
      </c>
      <c r="AT437" t="str">
        <f ca="1">IFERROR(IF(0=LEN(ReferenceData!$AT$437),"",ReferenceData!$AT$437),"")</f>
        <v/>
      </c>
      <c r="AU437" t="str">
        <f ca="1">IFERROR(IF(0=LEN(ReferenceData!$AU$437),"",ReferenceData!$AU$437),"")</f>
        <v/>
      </c>
      <c r="AV437" t="str">
        <f ca="1">IFERROR(IF(0=LEN(ReferenceData!$AV$437),"",ReferenceData!$AV$437),"")</f>
        <v/>
      </c>
      <c r="AW437" t="str">
        <f ca="1">IFERROR(IF(0=LEN(ReferenceData!$AW$437),"",ReferenceData!$AW$437),"")</f>
        <v/>
      </c>
      <c r="AX437" t="str">
        <f ca="1">IFERROR(IF(0=LEN(ReferenceData!$AX$437),"",ReferenceData!$AX$437),"")</f>
        <v/>
      </c>
      <c r="AY437" t="str">
        <f ca="1">IFERROR(IF(0=LEN(ReferenceData!$AY$437),"",ReferenceData!$AY$437),"")</f>
        <v/>
      </c>
      <c r="AZ437" t="str">
        <f ca="1">IFERROR(IF(0=LEN(ReferenceData!$AZ$437),"",ReferenceData!$AZ$437),"")</f>
        <v/>
      </c>
      <c r="BA437" t="str">
        <f ca="1">IFERROR(IF(0=LEN(ReferenceData!$BA$437),"",ReferenceData!$BA$437),"")</f>
        <v/>
      </c>
      <c r="BB437" t="str">
        <f ca="1">IFERROR(IF(0=LEN(ReferenceData!$BB$437),"",ReferenceData!$BB$437),"")</f>
        <v/>
      </c>
      <c r="BC437" t="str">
        <f ca="1">IFERROR(IF(0=LEN(ReferenceData!$BC$437),"",ReferenceData!$BC$437),"")</f>
        <v/>
      </c>
      <c r="BD437" t="str">
        <f ca="1">IFERROR(IF(0=LEN(ReferenceData!$BD$437),"",ReferenceData!$BD$437),"")</f>
        <v/>
      </c>
      <c r="BE437" t="str">
        <f ca="1">IFERROR(IF(0=LEN(ReferenceData!$BE$437),"",ReferenceData!$BE$437),"")</f>
        <v/>
      </c>
      <c r="BF437" t="str">
        <f ca="1">IFERROR(IF(0=LEN(ReferenceData!$BF$437),"",ReferenceData!$BF$437),"")</f>
        <v/>
      </c>
      <c r="BG437" t="str">
        <f ca="1">IFERROR(IF(0=LEN(ReferenceData!$BG$437),"",ReferenceData!$BG$437),"")</f>
        <v/>
      </c>
      <c r="BH437" t="str">
        <f ca="1">IFERROR(IF(0=LEN(ReferenceData!$BH$437),"",ReferenceData!$BH$437),"")</f>
        <v/>
      </c>
      <c r="BI437" t="str">
        <f ca="1">IFERROR(IF(0=LEN(ReferenceData!$BI$437),"",ReferenceData!$BI$437),"")</f>
        <v/>
      </c>
      <c r="BJ437" t="str">
        <f ca="1">IFERROR(IF(0=LEN(ReferenceData!$BJ$437),"",ReferenceData!$BJ$437),"")</f>
        <v/>
      </c>
      <c r="BK437" t="str">
        <f ca="1">IFERROR(IF(0=LEN(ReferenceData!$BK$437),"",ReferenceData!$BK$437),"")</f>
        <v/>
      </c>
      <c r="BL437" t="str">
        <f ca="1">IFERROR(IF(0=LEN(ReferenceData!$BL$437),"",ReferenceData!$BL$437),"")</f>
        <v/>
      </c>
      <c r="BM437" t="str">
        <f ca="1">IFERROR(IF(0=LEN(ReferenceData!$BM$437),"",ReferenceData!$BM$437),"")</f>
        <v/>
      </c>
    </row>
    <row r="438" spans="1:65" x14ac:dyDescent="0.25">
      <c r="A438" t="str">
        <f>IFERROR(IF(0=LEN(ReferenceData!$A$438),"",ReferenceData!$A$438),"")</f>
        <v xml:space="preserve">    Mazda Motor Corp</v>
      </c>
      <c r="B438" t="str">
        <f>IFERROR(IF(0=LEN(ReferenceData!$B$438),"",ReferenceData!$B$438),"")</f>
        <v>7261 JP Equity</v>
      </c>
      <c r="C438" t="str">
        <f>IFERROR(IF(0=LEN(ReferenceData!$C$438),"",ReferenceData!$C$438),"")</f>
        <v>RR477</v>
      </c>
      <c r="D438" t="str">
        <f>IFERROR(IF(0=LEN(ReferenceData!$D$438),"",ReferenceData!$D$438),"")</f>
        <v>EV_TO_T12M_CASH_FLOW</v>
      </c>
      <c r="E438" t="str">
        <f>IFERROR(IF(0=LEN(ReferenceData!$E$438),"",ReferenceData!$E$438),"")</f>
        <v>Dynamic</v>
      </c>
      <c r="F438" t="str">
        <f ca="1">IFERROR(IF(0=LEN(ReferenceData!$F$438),"",ReferenceData!$F$438),"")</f>
        <v/>
      </c>
      <c r="G438">
        <f ca="1">IFERROR(IF(0=LEN(ReferenceData!$G$438),"",ReferenceData!$G$438),"")</f>
        <v>4.2533843329999996</v>
      </c>
      <c r="H438">
        <f ca="1">IFERROR(IF(0=LEN(ReferenceData!$H$438),"",ReferenceData!$H$438),"")</f>
        <v>4.3042833900000002</v>
      </c>
      <c r="I438">
        <f ca="1">IFERROR(IF(0=LEN(ReferenceData!$I$438),"",ReferenceData!$I$438),"")</f>
        <v>4.2933997469999996</v>
      </c>
      <c r="J438">
        <f ca="1">IFERROR(IF(0=LEN(ReferenceData!$J$438),"",ReferenceData!$J$438),"")</f>
        <v>3.8250667680000001</v>
      </c>
      <c r="K438">
        <f ca="1">IFERROR(IF(0=LEN(ReferenceData!$K$438),"",ReferenceData!$K$438),"")</f>
        <v>4.7941983820000003</v>
      </c>
      <c r="L438">
        <f ca="1">IFERROR(IF(0=LEN(ReferenceData!$L$438),"",ReferenceData!$L$438),"")</f>
        <v>5.8862674540000004</v>
      </c>
      <c r="M438">
        <f ca="1">IFERROR(IF(0=LEN(ReferenceData!$M$438),"",ReferenceData!$M$438),"")</f>
        <v>5.6699609449999997</v>
      </c>
      <c r="N438">
        <f ca="1">IFERROR(IF(0=LEN(ReferenceData!$N$438),"",ReferenceData!$N$438),"")</f>
        <v>5.8800477229999997</v>
      </c>
      <c r="O438">
        <f ca="1">IFERROR(IF(0=LEN(ReferenceData!$O$438),"",ReferenceData!$O$438),"")</f>
        <v>6.6405913190000003</v>
      </c>
      <c r="P438">
        <f ca="1">IFERROR(IF(0=LEN(ReferenceData!$P$438),"",ReferenceData!$P$438),"")</f>
        <v>4.5405296719999999</v>
      </c>
      <c r="Q438">
        <f ca="1">IFERROR(IF(0=LEN(ReferenceData!$Q$438),"",ReferenceData!$Q$438),"")</f>
        <v>3.6989312189999999</v>
      </c>
      <c r="R438">
        <f ca="1">IFERROR(IF(0=LEN(ReferenceData!$R$438),"",ReferenceData!$R$438),"")</f>
        <v>4.1293579579999999</v>
      </c>
      <c r="S438">
        <f ca="1">IFERROR(IF(0=LEN(ReferenceData!$S$438),"",ReferenceData!$S$438),"")</f>
        <v>6.1248334230000001</v>
      </c>
      <c r="T438">
        <f ca="1">IFERROR(IF(0=LEN(ReferenceData!$T$438),"",ReferenceData!$T$438),"")</f>
        <v>4.7463852199999996</v>
      </c>
      <c r="U438">
        <f ca="1">IFERROR(IF(0=LEN(ReferenceData!$U$438),"",ReferenceData!$U$438),"")</f>
        <v>6.9923884640000002</v>
      </c>
      <c r="V438">
        <f ca="1">IFERROR(IF(0=LEN(ReferenceData!$V$438),"",ReferenceData!$V$438),"")</f>
        <v>7.8797997640000004</v>
      </c>
      <c r="W438">
        <f ca="1">IFERROR(IF(0=LEN(ReferenceData!$W$438),"",ReferenceData!$W$438),"")</f>
        <v>10.135589510000001</v>
      </c>
      <c r="X438">
        <f ca="1">IFERROR(IF(0=LEN(ReferenceData!$X$438),"",ReferenceData!$X$438),"")</f>
        <v>9.0423465679999993</v>
      </c>
      <c r="Y438">
        <f ca="1">IFERROR(IF(0=LEN(ReferenceData!$Y$438),"",ReferenceData!$Y$438),"")</f>
        <v>9.3506905220000007</v>
      </c>
      <c r="Z438">
        <f ca="1">IFERROR(IF(0=LEN(ReferenceData!$Z$438),"",ReferenceData!$Z$438),"")</f>
        <v>11.779176319999999</v>
      </c>
      <c r="AA438">
        <f ca="1">IFERROR(IF(0=LEN(ReferenceData!$AA$438),"",ReferenceData!$AA$438),"")</f>
        <v>16.521235560000001</v>
      </c>
      <c r="AB438">
        <f ca="1">IFERROR(IF(0=LEN(ReferenceData!$AB$438),"",ReferenceData!$AB$438),"")</f>
        <v>23.931368599999999</v>
      </c>
      <c r="AC438">
        <f ca="1">IFERROR(IF(0=LEN(ReferenceData!$AC$438),"",ReferenceData!$AC$438),"")</f>
        <v>26.475484229999999</v>
      </c>
      <c r="AD438">
        <f ca="1">IFERROR(IF(0=LEN(ReferenceData!$AD$438),"",ReferenceData!$AD$438),"")</f>
        <v>23.04248904</v>
      </c>
      <c r="AE438">
        <f ca="1">IFERROR(IF(0=LEN(ReferenceData!$AE$438),"",ReferenceData!$AE$438),"")</f>
        <v>18.707389719999998</v>
      </c>
      <c r="AF438">
        <f ca="1">IFERROR(IF(0=LEN(ReferenceData!$AF$438),"",ReferenceData!$AF$438),"")</f>
        <v>3318.1802459999999</v>
      </c>
      <c r="AG438">
        <f ca="1">IFERROR(IF(0=LEN(ReferenceData!$AG$438),"",ReferenceData!$AG$438),"")</f>
        <v>108.20166070000001</v>
      </c>
      <c r="AH438" t="str">
        <f ca="1">IFERROR(IF(0=LEN(ReferenceData!$AH$438),"",ReferenceData!$AH$438),"")</f>
        <v/>
      </c>
      <c r="AI438" t="str">
        <f ca="1">IFERROR(IF(0=LEN(ReferenceData!$AI$438),"",ReferenceData!$AI$438),"")</f>
        <v/>
      </c>
      <c r="AJ438" t="str">
        <f ca="1">IFERROR(IF(0=LEN(ReferenceData!$AJ$438),"",ReferenceData!$AJ$438),"")</f>
        <v/>
      </c>
      <c r="AK438" t="str">
        <f ca="1">IFERROR(IF(0=LEN(ReferenceData!$AK$438),"",ReferenceData!$AK$438),"")</f>
        <v/>
      </c>
      <c r="AL438">
        <f ca="1">IFERROR(IF(0=LEN(ReferenceData!$AL$438),"",ReferenceData!$AL$438),"")</f>
        <v>45.31753819</v>
      </c>
      <c r="AM438">
        <f ca="1">IFERROR(IF(0=LEN(ReferenceData!$AM$438),"",ReferenceData!$AM$438),"")</f>
        <v>29.403711130000001</v>
      </c>
      <c r="AN438">
        <f ca="1">IFERROR(IF(0=LEN(ReferenceData!$AN$438),"",ReferenceData!$AN$438),"")</f>
        <v>6.8963399819999998</v>
      </c>
      <c r="AO438">
        <f ca="1">IFERROR(IF(0=LEN(ReferenceData!$AO$438),"",ReferenceData!$AO$438),"")</f>
        <v>6.0376036790000001</v>
      </c>
      <c r="AP438">
        <f ca="1">IFERROR(IF(0=LEN(ReferenceData!$AP$438),"",ReferenceData!$AP$438),"")</f>
        <v>7.3750761870000003</v>
      </c>
      <c r="AQ438">
        <f ca="1">IFERROR(IF(0=LEN(ReferenceData!$AQ$438),"",ReferenceData!$AQ$438),"")</f>
        <v>6.1975441609999997</v>
      </c>
      <c r="AR438" t="str">
        <f ca="1">IFERROR(IF(0=LEN(ReferenceData!$AR$438),"",ReferenceData!$AR$438),"")</f>
        <v/>
      </c>
      <c r="AS438" t="str">
        <f ca="1">IFERROR(IF(0=LEN(ReferenceData!$AS$438),"",ReferenceData!$AS$438),"")</f>
        <v/>
      </c>
      <c r="AT438" t="str">
        <f ca="1">IFERROR(IF(0=LEN(ReferenceData!$AT$438),"",ReferenceData!$AT$438),"")</f>
        <v/>
      </c>
      <c r="AU438" t="str">
        <f ca="1">IFERROR(IF(0=LEN(ReferenceData!$AU$438),"",ReferenceData!$AU$438),"")</f>
        <v/>
      </c>
      <c r="AV438" t="str">
        <f ca="1">IFERROR(IF(0=LEN(ReferenceData!$AV$438),"",ReferenceData!$AV$438),"")</f>
        <v/>
      </c>
      <c r="AW438" t="str">
        <f ca="1">IFERROR(IF(0=LEN(ReferenceData!$AW$438),"",ReferenceData!$AW$438),"")</f>
        <v/>
      </c>
      <c r="AX438" t="str">
        <f ca="1">IFERROR(IF(0=LEN(ReferenceData!$AX$438),"",ReferenceData!$AX$438),"")</f>
        <v/>
      </c>
      <c r="AY438" t="str">
        <f ca="1">IFERROR(IF(0=LEN(ReferenceData!$AY$438),"",ReferenceData!$AY$438),"")</f>
        <v/>
      </c>
      <c r="AZ438" t="str">
        <f ca="1">IFERROR(IF(0=LEN(ReferenceData!$AZ$438),"",ReferenceData!$AZ$438),"")</f>
        <v/>
      </c>
      <c r="BA438" t="str">
        <f ca="1">IFERROR(IF(0=LEN(ReferenceData!$BA$438),"",ReferenceData!$BA$438),"")</f>
        <v/>
      </c>
      <c r="BB438" t="str">
        <f ca="1">IFERROR(IF(0=LEN(ReferenceData!$BB$438),"",ReferenceData!$BB$438),"")</f>
        <v/>
      </c>
      <c r="BC438" t="str">
        <f ca="1">IFERROR(IF(0=LEN(ReferenceData!$BC$438),"",ReferenceData!$BC$438),"")</f>
        <v/>
      </c>
      <c r="BD438" t="str">
        <f ca="1">IFERROR(IF(0=LEN(ReferenceData!$BD$438),"",ReferenceData!$BD$438),"")</f>
        <v/>
      </c>
      <c r="BE438" t="str">
        <f ca="1">IFERROR(IF(0=LEN(ReferenceData!$BE$438),"",ReferenceData!$BE$438),"")</f>
        <v/>
      </c>
      <c r="BF438" t="str">
        <f ca="1">IFERROR(IF(0=LEN(ReferenceData!$BF$438),"",ReferenceData!$BF$438),"")</f>
        <v/>
      </c>
      <c r="BG438" t="str">
        <f ca="1">IFERROR(IF(0=LEN(ReferenceData!$BG$438),"",ReferenceData!$BG$438),"")</f>
        <v/>
      </c>
      <c r="BH438" t="str">
        <f ca="1">IFERROR(IF(0=LEN(ReferenceData!$BH$438),"",ReferenceData!$BH$438),"")</f>
        <v/>
      </c>
      <c r="BI438" t="str">
        <f ca="1">IFERROR(IF(0=LEN(ReferenceData!$BI$438),"",ReferenceData!$BI$438),"")</f>
        <v/>
      </c>
      <c r="BJ438" t="str">
        <f ca="1">IFERROR(IF(0=LEN(ReferenceData!$BJ$438),"",ReferenceData!$BJ$438),"")</f>
        <v/>
      </c>
      <c r="BK438" t="str">
        <f ca="1">IFERROR(IF(0=LEN(ReferenceData!$BK$438),"",ReferenceData!$BK$438),"")</f>
        <v/>
      </c>
      <c r="BL438" t="str">
        <f ca="1">IFERROR(IF(0=LEN(ReferenceData!$BL$438),"",ReferenceData!$BL$438),"")</f>
        <v/>
      </c>
      <c r="BM438" t="str">
        <f ca="1">IFERROR(IF(0=LEN(ReferenceData!$BM$438),"",ReferenceData!$BM$438),"")</f>
        <v/>
      </c>
    </row>
    <row r="439" spans="1:65" x14ac:dyDescent="0.25">
      <c r="A439" t="str">
        <f>IFERROR(IF(0=LEN(ReferenceData!$A$439),"",ReferenceData!$A$439),"")</f>
        <v xml:space="preserve">    Mitsubishi Motors Corp</v>
      </c>
      <c r="B439" t="str">
        <f>IFERROR(IF(0=LEN(ReferenceData!$B$439),"",ReferenceData!$B$439),"")</f>
        <v>7211 JP Equity</v>
      </c>
      <c r="C439" t="str">
        <f>IFERROR(IF(0=LEN(ReferenceData!$C$439),"",ReferenceData!$C$439),"")</f>
        <v>RR477</v>
      </c>
      <c r="D439" t="str">
        <f>IFERROR(IF(0=LEN(ReferenceData!$D$439),"",ReferenceData!$D$439),"")</f>
        <v>EV_TO_T12M_CASH_FLOW</v>
      </c>
      <c r="E439" t="str">
        <f>IFERROR(IF(0=LEN(ReferenceData!$E$439),"",ReferenceData!$E$439),"")</f>
        <v>Dynamic</v>
      </c>
      <c r="F439" t="str">
        <f ca="1">IFERROR(IF(0=LEN(ReferenceData!$F$439),"",ReferenceData!$F$439),"")</f>
        <v/>
      </c>
      <c r="G439" t="str">
        <f ca="1">IFERROR(IF(0=LEN(ReferenceData!$G$439),"",ReferenceData!$G$439),"")</f>
        <v/>
      </c>
      <c r="H439" t="str">
        <f ca="1">IFERROR(IF(0=LEN(ReferenceData!$H$439),"",ReferenceData!$H$439),"")</f>
        <v/>
      </c>
      <c r="I439" t="str">
        <f ca="1">IFERROR(IF(0=LEN(ReferenceData!$I$439),"",ReferenceData!$I$439),"")</f>
        <v/>
      </c>
      <c r="J439" t="str">
        <f ca="1">IFERROR(IF(0=LEN(ReferenceData!$J$439),"",ReferenceData!$J$439),"")</f>
        <v/>
      </c>
      <c r="K439" t="str">
        <f ca="1">IFERROR(IF(0=LEN(ReferenceData!$K$439),"",ReferenceData!$K$439),"")</f>
        <v/>
      </c>
      <c r="L439" t="str">
        <f ca="1">IFERROR(IF(0=LEN(ReferenceData!$L$439),"",ReferenceData!$L$439),"")</f>
        <v/>
      </c>
      <c r="M439" t="str">
        <f ca="1">IFERROR(IF(0=LEN(ReferenceData!$M$439),"",ReferenceData!$M$439),"")</f>
        <v/>
      </c>
      <c r="N439" t="str">
        <f ca="1">IFERROR(IF(0=LEN(ReferenceData!$N$439),"",ReferenceData!$N$439),"")</f>
        <v/>
      </c>
      <c r="O439" t="str">
        <f ca="1">IFERROR(IF(0=LEN(ReferenceData!$O$439),"",ReferenceData!$O$439),"")</f>
        <v/>
      </c>
      <c r="P439" t="str">
        <f ca="1">IFERROR(IF(0=LEN(ReferenceData!$P$439),"",ReferenceData!$P$439),"")</f>
        <v/>
      </c>
      <c r="Q439" t="str">
        <f ca="1">IFERROR(IF(0=LEN(ReferenceData!$Q$439),"",ReferenceData!$Q$439),"")</f>
        <v/>
      </c>
      <c r="R439" t="str">
        <f ca="1">IFERROR(IF(0=LEN(ReferenceData!$R$439),"",ReferenceData!$R$439),"")</f>
        <v/>
      </c>
      <c r="S439" t="str">
        <f ca="1">IFERROR(IF(0=LEN(ReferenceData!$S$439),"",ReferenceData!$S$439),"")</f>
        <v/>
      </c>
      <c r="T439" t="str">
        <f ca="1">IFERROR(IF(0=LEN(ReferenceData!$T$439),"",ReferenceData!$T$439),"")</f>
        <v/>
      </c>
      <c r="U439" t="str">
        <f ca="1">IFERROR(IF(0=LEN(ReferenceData!$U$439),"",ReferenceData!$U$439),"")</f>
        <v/>
      </c>
      <c r="V439" t="str">
        <f ca="1">IFERROR(IF(0=LEN(ReferenceData!$V$439),"",ReferenceData!$V$439),"")</f>
        <v/>
      </c>
      <c r="W439" t="str">
        <f ca="1">IFERROR(IF(0=LEN(ReferenceData!$W$439),"",ReferenceData!$W$439),"")</f>
        <v/>
      </c>
      <c r="X439" t="str">
        <f ca="1">IFERROR(IF(0=LEN(ReferenceData!$X$439),"",ReferenceData!$X$439),"")</f>
        <v/>
      </c>
      <c r="Y439" t="str">
        <f ca="1">IFERROR(IF(0=LEN(ReferenceData!$Y$439),"",ReferenceData!$Y$439),"")</f>
        <v/>
      </c>
      <c r="Z439" t="str">
        <f ca="1">IFERROR(IF(0=LEN(ReferenceData!$Z$439),"",ReferenceData!$Z$439),"")</f>
        <v/>
      </c>
      <c r="AA439" t="str">
        <f ca="1">IFERROR(IF(0=LEN(ReferenceData!$AA$439),"",ReferenceData!$AA$439),"")</f>
        <v/>
      </c>
      <c r="AB439" t="str">
        <f ca="1">IFERROR(IF(0=LEN(ReferenceData!$AB$439),"",ReferenceData!$AB$439),"")</f>
        <v/>
      </c>
      <c r="AC439" t="str">
        <f ca="1">IFERROR(IF(0=LEN(ReferenceData!$AC$439),"",ReferenceData!$AC$439),"")</f>
        <v/>
      </c>
      <c r="AD439" t="str">
        <f ca="1">IFERROR(IF(0=LEN(ReferenceData!$AD$439),"",ReferenceData!$AD$439),"")</f>
        <v/>
      </c>
      <c r="AE439" t="str">
        <f ca="1">IFERROR(IF(0=LEN(ReferenceData!$AE$439),"",ReferenceData!$AE$439),"")</f>
        <v/>
      </c>
      <c r="AF439" t="str">
        <f ca="1">IFERROR(IF(0=LEN(ReferenceData!$AF$439),"",ReferenceData!$AF$439),"")</f>
        <v/>
      </c>
      <c r="AG439" t="str">
        <f ca="1">IFERROR(IF(0=LEN(ReferenceData!$AG$439),"",ReferenceData!$AG$439),"")</f>
        <v/>
      </c>
      <c r="AH439" t="str">
        <f ca="1">IFERROR(IF(0=LEN(ReferenceData!$AH$439),"",ReferenceData!$AH$439),"")</f>
        <v/>
      </c>
      <c r="AI439" t="str">
        <f ca="1">IFERROR(IF(0=LEN(ReferenceData!$AI$439),"",ReferenceData!$AI$439),"")</f>
        <v/>
      </c>
      <c r="AJ439" t="str">
        <f ca="1">IFERROR(IF(0=LEN(ReferenceData!$AJ$439),"",ReferenceData!$AJ$439),"")</f>
        <v/>
      </c>
      <c r="AK439" t="str">
        <f ca="1">IFERROR(IF(0=LEN(ReferenceData!$AK$439),"",ReferenceData!$AK$439),"")</f>
        <v/>
      </c>
      <c r="AL439">
        <f ca="1">IFERROR(IF(0=LEN(ReferenceData!$AL$439),"",ReferenceData!$AL$439),"")</f>
        <v>10.860381759999999</v>
      </c>
      <c r="AM439">
        <f ca="1">IFERROR(IF(0=LEN(ReferenceData!$AM$439),"",ReferenceData!$AM$439),"")</f>
        <v>8.3063418030000005</v>
      </c>
      <c r="AN439">
        <f ca="1">IFERROR(IF(0=LEN(ReferenceData!$AN$439),"",ReferenceData!$AN$439),"")</f>
        <v>7.0017922989999999</v>
      </c>
      <c r="AO439">
        <f ca="1">IFERROR(IF(0=LEN(ReferenceData!$AO$439),"",ReferenceData!$AO$439),"")</f>
        <v>8.5173583799999992</v>
      </c>
      <c r="AP439">
        <f ca="1">IFERROR(IF(0=LEN(ReferenceData!$AP$439),"",ReferenceData!$AP$439),"")</f>
        <v>12.952602990000001</v>
      </c>
      <c r="AQ439" t="str">
        <f ca="1">IFERROR(IF(0=LEN(ReferenceData!$AQ$439),"",ReferenceData!$AQ$439),"")</f>
        <v/>
      </c>
      <c r="AR439" t="str">
        <f ca="1">IFERROR(IF(0=LEN(ReferenceData!$AR$439),"",ReferenceData!$AR$439),"")</f>
        <v/>
      </c>
      <c r="AS439" t="str">
        <f ca="1">IFERROR(IF(0=LEN(ReferenceData!$AS$439),"",ReferenceData!$AS$439),"")</f>
        <v/>
      </c>
      <c r="AT439" t="str">
        <f ca="1">IFERROR(IF(0=LEN(ReferenceData!$AT$439),"",ReferenceData!$AT$439),"")</f>
        <v/>
      </c>
      <c r="AU439" t="str">
        <f ca="1">IFERROR(IF(0=LEN(ReferenceData!$AU$439),"",ReferenceData!$AU$439),"")</f>
        <v/>
      </c>
      <c r="AV439" t="str">
        <f ca="1">IFERROR(IF(0=LEN(ReferenceData!$AV$439),"",ReferenceData!$AV$439),"")</f>
        <v/>
      </c>
      <c r="AW439" t="str">
        <f ca="1">IFERROR(IF(0=LEN(ReferenceData!$AW$439),"",ReferenceData!$AW$439),"")</f>
        <v/>
      </c>
      <c r="AX439" t="str">
        <f ca="1">IFERROR(IF(0=LEN(ReferenceData!$AX$439),"",ReferenceData!$AX$439),"")</f>
        <v/>
      </c>
      <c r="AY439" t="str">
        <f ca="1">IFERROR(IF(0=LEN(ReferenceData!$AY$439),"",ReferenceData!$AY$439),"")</f>
        <v/>
      </c>
      <c r="AZ439" t="str">
        <f ca="1">IFERROR(IF(0=LEN(ReferenceData!$AZ$439),"",ReferenceData!$AZ$439),"")</f>
        <v/>
      </c>
      <c r="BA439" t="str">
        <f ca="1">IFERROR(IF(0=LEN(ReferenceData!$BA$439),"",ReferenceData!$BA$439),"")</f>
        <v/>
      </c>
      <c r="BB439" t="str">
        <f ca="1">IFERROR(IF(0=LEN(ReferenceData!$BB$439),"",ReferenceData!$BB$439),"")</f>
        <v/>
      </c>
      <c r="BC439" t="str">
        <f ca="1">IFERROR(IF(0=LEN(ReferenceData!$BC$439),"",ReferenceData!$BC$439),"")</f>
        <v/>
      </c>
      <c r="BD439" t="str">
        <f ca="1">IFERROR(IF(0=LEN(ReferenceData!$BD$439),"",ReferenceData!$BD$439),"")</f>
        <v/>
      </c>
      <c r="BE439" t="str">
        <f ca="1">IFERROR(IF(0=LEN(ReferenceData!$BE$439),"",ReferenceData!$BE$439),"")</f>
        <v/>
      </c>
      <c r="BF439" t="str">
        <f ca="1">IFERROR(IF(0=LEN(ReferenceData!$BF$439),"",ReferenceData!$BF$439),"")</f>
        <v/>
      </c>
      <c r="BG439" t="str">
        <f ca="1">IFERROR(IF(0=LEN(ReferenceData!$BG$439),"",ReferenceData!$BG$439),"")</f>
        <v/>
      </c>
      <c r="BH439" t="str">
        <f ca="1">IFERROR(IF(0=LEN(ReferenceData!$BH$439),"",ReferenceData!$BH$439),"")</f>
        <v/>
      </c>
      <c r="BI439" t="str">
        <f ca="1">IFERROR(IF(0=LEN(ReferenceData!$BI$439),"",ReferenceData!$BI$439),"")</f>
        <v/>
      </c>
      <c r="BJ439" t="str">
        <f ca="1">IFERROR(IF(0=LEN(ReferenceData!$BJ$439),"",ReferenceData!$BJ$439),"")</f>
        <v/>
      </c>
      <c r="BK439" t="str">
        <f ca="1">IFERROR(IF(0=LEN(ReferenceData!$BK$439),"",ReferenceData!$BK$439),"")</f>
        <v/>
      </c>
      <c r="BL439" t="str">
        <f ca="1">IFERROR(IF(0=LEN(ReferenceData!$BL$439),"",ReferenceData!$BL$439),"")</f>
        <v/>
      </c>
      <c r="BM439" t="str">
        <f ca="1">IFERROR(IF(0=LEN(ReferenceData!$BM$439),"",ReferenceData!$BM$439),"")</f>
        <v/>
      </c>
    </row>
    <row r="440" spans="1:65" x14ac:dyDescent="0.25">
      <c r="A440" t="str">
        <f>IFERROR(IF(0=LEN(ReferenceData!$A$440),"",ReferenceData!$A$440),"")</f>
        <v xml:space="preserve">    Nissan Motor Co Ltd</v>
      </c>
      <c r="B440" t="str">
        <f>IFERROR(IF(0=LEN(ReferenceData!$B$440),"",ReferenceData!$B$440),"")</f>
        <v>7201 JP Equity</v>
      </c>
      <c r="C440" t="str">
        <f>IFERROR(IF(0=LEN(ReferenceData!$C$440),"",ReferenceData!$C$440),"")</f>
        <v>RR477</v>
      </c>
      <c r="D440" t="str">
        <f>IFERROR(IF(0=LEN(ReferenceData!$D$440),"",ReferenceData!$D$440),"")</f>
        <v>EV_TO_T12M_CASH_FLOW</v>
      </c>
      <c r="E440" t="str">
        <f>IFERROR(IF(0=LEN(ReferenceData!$E$440),"",ReferenceData!$E$440),"")</f>
        <v>Dynamic</v>
      </c>
      <c r="F440" t="str">
        <f ca="1">IFERROR(IF(0=LEN(ReferenceData!$F$440),"",ReferenceData!$F$440),"")</f>
        <v/>
      </c>
      <c r="G440">
        <f ca="1">IFERROR(IF(0=LEN(ReferenceData!$G$440),"",ReferenceData!$G$440),"")</f>
        <v>1.5268350040000001</v>
      </c>
      <c r="H440">
        <f ca="1">IFERROR(IF(0=LEN(ReferenceData!$H$440),"",ReferenceData!$H$440),"")</f>
        <v>2.2937188960000001</v>
      </c>
      <c r="I440">
        <f ca="1">IFERROR(IF(0=LEN(ReferenceData!$I$440),"",ReferenceData!$I$440),"")</f>
        <v>2.3031967230000001</v>
      </c>
      <c r="J440">
        <f ca="1">IFERROR(IF(0=LEN(ReferenceData!$J$440),"",ReferenceData!$J$440),"")</f>
        <v>2.6621125079999999</v>
      </c>
      <c r="K440">
        <f ca="1">IFERROR(IF(0=LEN(ReferenceData!$K$440),"",ReferenceData!$K$440),"")</f>
        <v>3.9420917000000002</v>
      </c>
      <c r="L440">
        <f ca="1">IFERROR(IF(0=LEN(ReferenceData!$L$440),"",ReferenceData!$L$440),"")</f>
        <v>2.554964698</v>
      </c>
      <c r="M440">
        <f ca="1">IFERROR(IF(0=LEN(ReferenceData!$M$440),"",ReferenceData!$M$440),"")</f>
        <v>2.702892893</v>
      </c>
      <c r="N440">
        <f ca="1">IFERROR(IF(0=LEN(ReferenceData!$N$440),"",ReferenceData!$N$440),"")</f>
        <v>2.146234491</v>
      </c>
      <c r="O440">
        <f ca="1">IFERROR(IF(0=LEN(ReferenceData!$O$440),"",ReferenceData!$O$440),"")</f>
        <v>3.1847414409999999</v>
      </c>
      <c r="P440">
        <f ca="1">IFERROR(IF(0=LEN(ReferenceData!$P$440),"",ReferenceData!$P$440),"")</f>
        <v>2.5972911170000001</v>
      </c>
      <c r="Q440">
        <f ca="1">IFERROR(IF(0=LEN(ReferenceData!$Q$440),"",ReferenceData!$Q$440),"")</f>
        <v>2.4286099760000002</v>
      </c>
      <c r="R440">
        <f ca="1">IFERROR(IF(0=LEN(ReferenceData!$R$440),"",ReferenceData!$R$440),"")</f>
        <v>3.5139416429999999</v>
      </c>
      <c r="S440">
        <f ca="1">IFERROR(IF(0=LEN(ReferenceData!$S$440),"",ReferenceData!$S$440),"")</f>
        <v>5.3258980539999996</v>
      </c>
      <c r="T440">
        <f ca="1">IFERROR(IF(0=LEN(ReferenceData!$T$440),"",ReferenceData!$T$440),"")</f>
        <v>4.4938302910000001</v>
      </c>
      <c r="U440">
        <f ca="1">IFERROR(IF(0=LEN(ReferenceData!$U$440),"",ReferenceData!$U$440),"")</f>
        <v>5.6868479379999997</v>
      </c>
      <c r="V440">
        <f ca="1">IFERROR(IF(0=LEN(ReferenceData!$V$440),"",ReferenceData!$V$440),"")</f>
        <v>5.9952064119999999</v>
      </c>
      <c r="W440">
        <f ca="1">IFERROR(IF(0=LEN(ReferenceData!$W$440),"",ReferenceData!$W$440),"")</f>
        <v>4.2767406540000001</v>
      </c>
      <c r="X440">
        <f ca="1">IFERROR(IF(0=LEN(ReferenceData!$X$440),"",ReferenceData!$X$440),"")</f>
        <v>4.9313979860000003</v>
      </c>
      <c r="Y440">
        <f ca="1">IFERROR(IF(0=LEN(ReferenceData!$Y$440),"",ReferenceData!$Y$440),"")</f>
        <v>5.4193506979999997</v>
      </c>
      <c r="Z440">
        <f ca="1">IFERROR(IF(0=LEN(ReferenceData!$Z$440),"",ReferenceData!$Z$440),"")</f>
        <v>4.3492569799999998</v>
      </c>
      <c r="AA440">
        <f ca="1">IFERROR(IF(0=LEN(ReferenceData!$AA$440),"",ReferenceData!$AA$440),"")</f>
        <v>5.1461831279999997</v>
      </c>
      <c r="AB440">
        <f ca="1">IFERROR(IF(0=LEN(ReferenceData!$AB$440),"",ReferenceData!$AB$440),"")</f>
        <v>5.7280211650000004</v>
      </c>
      <c r="AC440">
        <f ca="1">IFERROR(IF(0=LEN(ReferenceData!$AC$440),"",ReferenceData!$AC$440),"")</f>
        <v>8.3042632090000001</v>
      </c>
      <c r="AD440">
        <f ca="1">IFERROR(IF(0=LEN(ReferenceData!$AD$440),"",ReferenceData!$AD$440),"")</f>
        <v>7.9039791560000001</v>
      </c>
      <c r="AE440">
        <f ca="1">IFERROR(IF(0=LEN(ReferenceData!$AE$440),"",ReferenceData!$AE$440),"")</f>
        <v>10.410616600000001</v>
      </c>
      <c r="AF440">
        <f ca="1">IFERROR(IF(0=LEN(ReferenceData!$AF$440),"",ReferenceData!$AF$440),"")</f>
        <v>6.5226958240000004</v>
      </c>
      <c r="AG440">
        <f ca="1">IFERROR(IF(0=LEN(ReferenceData!$AG$440),"",ReferenceData!$AG$440),"")</f>
        <v>5.5922016269999997</v>
      </c>
      <c r="AH440">
        <f ca="1">IFERROR(IF(0=LEN(ReferenceData!$AH$440),"",ReferenceData!$AH$440),"")</f>
        <v>4.841040349</v>
      </c>
      <c r="AI440">
        <f ca="1">IFERROR(IF(0=LEN(ReferenceData!$AI$440),"",ReferenceData!$AI$440),"")</f>
        <v>4.464488534</v>
      </c>
      <c r="AJ440">
        <f ca="1">IFERROR(IF(0=LEN(ReferenceData!$AJ$440),"",ReferenceData!$AJ$440),"")</f>
        <v>4.2169918300000004</v>
      </c>
      <c r="AK440">
        <f ca="1">IFERROR(IF(0=LEN(ReferenceData!$AK$440),"",ReferenceData!$AK$440),"")</f>
        <v>5.3636129730000004</v>
      </c>
      <c r="AL440">
        <f ca="1">IFERROR(IF(0=LEN(ReferenceData!$AL$440),"",ReferenceData!$AL$440),"")</f>
        <v>4.6752280979999998</v>
      </c>
      <c r="AM440">
        <f ca="1">IFERROR(IF(0=LEN(ReferenceData!$AM$440),"",ReferenceData!$AM$440),"")</f>
        <v>5.266158399</v>
      </c>
      <c r="AN440">
        <f ca="1">IFERROR(IF(0=LEN(ReferenceData!$AN$440),"",ReferenceData!$AN$440),"")</f>
        <v>4.5225097630000004</v>
      </c>
      <c r="AO440">
        <f ca="1">IFERROR(IF(0=LEN(ReferenceData!$AO$440),"",ReferenceData!$AO$440),"")</f>
        <v>2.7210376549999999</v>
      </c>
      <c r="AP440">
        <f ca="1">IFERROR(IF(0=LEN(ReferenceData!$AP$440),"",ReferenceData!$AP$440),"")</f>
        <v>2.9747060740000002</v>
      </c>
      <c r="AQ440">
        <f ca="1">IFERROR(IF(0=LEN(ReferenceData!$AQ$440),"",ReferenceData!$AQ$440),"")</f>
        <v>2.7850820089999999</v>
      </c>
      <c r="AR440">
        <f ca="1">IFERROR(IF(0=LEN(ReferenceData!$AR$440),"",ReferenceData!$AR$440),"")</f>
        <v>2.2517454460000002</v>
      </c>
      <c r="AS440">
        <f ca="1">IFERROR(IF(0=LEN(ReferenceData!$AS$440),"",ReferenceData!$AS$440),"")</f>
        <v>2.6416531980000002</v>
      </c>
      <c r="AT440">
        <f ca="1">IFERROR(IF(0=LEN(ReferenceData!$AT$440),"",ReferenceData!$AT$440),"")</f>
        <v>6.4310237380000004</v>
      </c>
      <c r="AU440" t="str">
        <f ca="1">IFERROR(IF(0=LEN(ReferenceData!$AU$440),"",ReferenceData!$AU$440),"")</f>
        <v/>
      </c>
      <c r="AV440" t="str">
        <f ca="1">IFERROR(IF(0=LEN(ReferenceData!$AV$440),"",ReferenceData!$AV$440),"")</f>
        <v/>
      </c>
      <c r="AW440" t="str">
        <f ca="1">IFERROR(IF(0=LEN(ReferenceData!$AW$440),"",ReferenceData!$AW$440),"")</f>
        <v/>
      </c>
      <c r="AX440" t="str">
        <f ca="1">IFERROR(IF(0=LEN(ReferenceData!$AX$440),"",ReferenceData!$AX$440),"")</f>
        <v/>
      </c>
      <c r="AY440" t="str">
        <f ca="1">IFERROR(IF(0=LEN(ReferenceData!$AY$440),"",ReferenceData!$AY$440),"")</f>
        <v/>
      </c>
      <c r="AZ440" t="str">
        <f ca="1">IFERROR(IF(0=LEN(ReferenceData!$AZ$440),"",ReferenceData!$AZ$440),"")</f>
        <v/>
      </c>
      <c r="BA440" t="str">
        <f ca="1">IFERROR(IF(0=LEN(ReferenceData!$BA$440),"",ReferenceData!$BA$440),"")</f>
        <v/>
      </c>
      <c r="BB440" t="str">
        <f ca="1">IFERROR(IF(0=LEN(ReferenceData!$BB$440),"",ReferenceData!$BB$440),"")</f>
        <v/>
      </c>
      <c r="BC440" t="str">
        <f ca="1">IFERROR(IF(0=LEN(ReferenceData!$BC$440),"",ReferenceData!$BC$440),"")</f>
        <v/>
      </c>
      <c r="BD440" t="str">
        <f ca="1">IFERROR(IF(0=LEN(ReferenceData!$BD$440),"",ReferenceData!$BD$440),"")</f>
        <v/>
      </c>
      <c r="BE440" t="str">
        <f ca="1">IFERROR(IF(0=LEN(ReferenceData!$BE$440),"",ReferenceData!$BE$440),"")</f>
        <v/>
      </c>
      <c r="BF440" t="str">
        <f ca="1">IFERROR(IF(0=LEN(ReferenceData!$BF$440),"",ReferenceData!$BF$440),"")</f>
        <v/>
      </c>
      <c r="BG440" t="str">
        <f ca="1">IFERROR(IF(0=LEN(ReferenceData!$BG$440),"",ReferenceData!$BG$440),"")</f>
        <v/>
      </c>
      <c r="BH440" t="str">
        <f ca="1">IFERROR(IF(0=LEN(ReferenceData!$BH$440),"",ReferenceData!$BH$440),"")</f>
        <v/>
      </c>
      <c r="BI440" t="str">
        <f ca="1">IFERROR(IF(0=LEN(ReferenceData!$BI$440),"",ReferenceData!$BI$440),"")</f>
        <v/>
      </c>
      <c r="BJ440" t="str">
        <f ca="1">IFERROR(IF(0=LEN(ReferenceData!$BJ$440),"",ReferenceData!$BJ$440),"")</f>
        <v/>
      </c>
      <c r="BK440" t="str">
        <f ca="1">IFERROR(IF(0=LEN(ReferenceData!$BK$440),"",ReferenceData!$BK$440),"")</f>
        <v/>
      </c>
      <c r="BL440" t="str">
        <f ca="1">IFERROR(IF(0=LEN(ReferenceData!$BL$440),"",ReferenceData!$BL$440),"")</f>
        <v/>
      </c>
      <c r="BM440" t="str">
        <f ca="1">IFERROR(IF(0=LEN(ReferenceData!$BM$440),"",ReferenceData!$BM$440),"")</f>
        <v/>
      </c>
    </row>
    <row r="441" spans="1:65" x14ac:dyDescent="0.25">
      <c r="A441" t="str">
        <f>IFERROR(IF(0=LEN(ReferenceData!$A$441),"",ReferenceData!$A$441),"")</f>
        <v xml:space="preserve">    Peugeot SA</v>
      </c>
      <c r="B441" t="str">
        <f>IFERROR(IF(0=LEN(ReferenceData!$B$441),"",ReferenceData!$B$441),"")</f>
        <v>UG FP Equity</v>
      </c>
      <c r="C441" t="str">
        <f>IFERROR(IF(0=LEN(ReferenceData!$C$441),"",ReferenceData!$C$441),"")</f>
        <v>RR477</v>
      </c>
      <c r="D441" t="str">
        <f>IFERROR(IF(0=LEN(ReferenceData!$D$441),"",ReferenceData!$D$441),"")</f>
        <v>EV_TO_T12M_CASH_FLOW</v>
      </c>
      <c r="E441" t="str">
        <f>IFERROR(IF(0=LEN(ReferenceData!$E$441),"",ReferenceData!$E$441),"")</f>
        <v>Dynamic</v>
      </c>
      <c r="F441" t="str">
        <f ca="1">IFERROR(IF(0=LEN(ReferenceData!$F$441),"",ReferenceData!$F$441),"")</f>
        <v/>
      </c>
      <c r="G441" t="str">
        <f ca="1">IFERROR(IF(0=LEN(ReferenceData!$G$441),"",ReferenceData!$G$441),"")</f>
        <v/>
      </c>
      <c r="H441" t="str">
        <f ca="1">IFERROR(IF(0=LEN(ReferenceData!$H$441),"",ReferenceData!$H$441),"")</f>
        <v/>
      </c>
      <c r="I441" t="str">
        <f ca="1">IFERROR(IF(0=LEN(ReferenceData!$I$441),"",ReferenceData!$I$441),"")</f>
        <v/>
      </c>
      <c r="J441" t="str">
        <f ca="1">IFERROR(IF(0=LEN(ReferenceData!$J$441),"",ReferenceData!$J$441),"")</f>
        <v/>
      </c>
      <c r="K441" t="str">
        <f ca="1">IFERROR(IF(0=LEN(ReferenceData!$K$441),"",ReferenceData!$K$441),"")</f>
        <v/>
      </c>
      <c r="L441" t="str">
        <f ca="1">IFERROR(IF(0=LEN(ReferenceData!$L$441),"",ReferenceData!$L$441),"")</f>
        <v/>
      </c>
      <c r="M441" t="str">
        <f ca="1">IFERROR(IF(0=LEN(ReferenceData!$M$441),"",ReferenceData!$M$441),"")</f>
        <v/>
      </c>
      <c r="N441" t="str">
        <f ca="1">IFERROR(IF(0=LEN(ReferenceData!$N$441),"",ReferenceData!$N$441),"")</f>
        <v/>
      </c>
      <c r="O441" t="str">
        <f ca="1">IFERROR(IF(0=LEN(ReferenceData!$O$441),"",ReferenceData!$O$441),"")</f>
        <v/>
      </c>
      <c r="P441" t="str">
        <f ca="1">IFERROR(IF(0=LEN(ReferenceData!$P$441),"",ReferenceData!$P$441),"")</f>
        <v/>
      </c>
      <c r="Q441" t="str">
        <f ca="1">IFERROR(IF(0=LEN(ReferenceData!$Q$441),"",ReferenceData!$Q$441),"")</f>
        <v/>
      </c>
      <c r="R441" t="str">
        <f ca="1">IFERROR(IF(0=LEN(ReferenceData!$R$441),"",ReferenceData!$R$441),"")</f>
        <v/>
      </c>
      <c r="S441" t="str">
        <f ca="1">IFERROR(IF(0=LEN(ReferenceData!$S$441),"",ReferenceData!$S$441),"")</f>
        <v/>
      </c>
      <c r="T441" t="str">
        <f ca="1">IFERROR(IF(0=LEN(ReferenceData!$T$441),"",ReferenceData!$T$441),"")</f>
        <v/>
      </c>
      <c r="U441" t="str">
        <f ca="1">IFERROR(IF(0=LEN(ReferenceData!$U$441),"",ReferenceData!$U$441),"")</f>
        <v/>
      </c>
      <c r="V441" t="str">
        <f ca="1">IFERROR(IF(0=LEN(ReferenceData!$V$441),"",ReferenceData!$V$441),"")</f>
        <v/>
      </c>
      <c r="W441" t="str">
        <f ca="1">IFERROR(IF(0=LEN(ReferenceData!$W$441),"",ReferenceData!$W$441),"")</f>
        <v/>
      </c>
      <c r="X441" t="str">
        <f ca="1">IFERROR(IF(0=LEN(ReferenceData!$X$441),"",ReferenceData!$X$441),"")</f>
        <v/>
      </c>
      <c r="Y441" t="str">
        <f ca="1">IFERROR(IF(0=LEN(ReferenceData!$Y$441),"",ReferenceData!$Y$441),"")</f>
        <v/>
      </c>
      <c r="Z441" t="str">
        <f ca="1">IFERROR(IF(0=LEN(ReferenceData!$Z$441),"",ReferenceData!$Z$441),"")</f>
        <v/>
      </c>
      <c r="AA441" t="str">
        <f ca="1">IFERROR(IF(0=LEN(ReferenceData!$AA$441),"",ReferenceData!$AA$441),"")</f>
        <v/>
      </c>
      <c r="AB441" t="str">
        <f ca="1">IFERROR(IF(0=LEN(ReferenceData!$AB$441),"",ReferenceData!$AB$441),"")</f>
        <v/>
      </c>
      <c r="AC441" t="str">
        <f ca="1">IFERROR(IF(0=LEN(ReferenceData!$AC$441),"",ReferenceData!$AC$441),"")</f>
        <v/>
      </c>
      <c r="AD441" t="str">
        <f ca="1">IFERROR(IF(0=LEN(ReferenceData!$AD$441),"",ReferenceData!$AD$441),"")</f>
        <v/>
      </c>
      <c r="AE441" t="str">
        <f ca="1">IFERROR(IF(0=LEN(ReferenceData!$AE$441),"",ReferenceData!$AE$441),"")</f>
        <v/>
      </c>
      <c r="AF441" t="str">
        <f ca="1">IFERROR(IF(0=LEN(ReferenceData!$AF$441),"",ReferenceData!$AF$441),"")</f>
        <v/>
      </c>
      <c r="AG441" t="str">
        <f ca="1">IFERROR(IF(0=LEN(ReferenceData!$AG$441),"",ReferenceData!$AG$441),"")</f>
        <v/>
      </c>
      <c r="AH441" t="str">
        <f ca="1">IFERROR(IF(0=LEN(ReferenceData!$AH$441),"",ReferenceData!$AH$441),"")</f>
        <v/>
      </c>
      <c r="AI441" t="str">
        <f ca="1">IFERROR(IF(0=LEN(ReferenceData!$AI$441),"",ReferenceData!$AI$441),"")</f>
        <v/>
      </c>
      <c r="AJ441" t="str">
        <f ca="1">IFERROR(IF(0=LEN(ReferenceData!$AJ$441),"",ReferenceData!$AJ$441),"")</f>
        <v/>
      </c>
      <c r="AK441" t="str">
        <f ca="1">IFERROR(IF(0=LEN(ReferenceData!$AK$441),"",ReferenceData!$AK$441),"")</f>
        <v/>
      </c>
      <c r="AL441" t="str">
        <f ca="1">IFERROR(IF(0=LEN(ReferenceData!$AL$441),"",ReferenceData!$AL$441),"")</f>
        <v/>
      </c>
      <c r="AM441" t="str">
        <f ca="1">IFERROR(IF(0=LEN(ReferenceData!$AM$441),"",ReferenceData!$AM$441),"")</f>
        <v/>
      </c>
      <c r="AN441" t="str">
        <f ca="1">IFERROR(IF(0=LEN(ReferenceData!$AN$441),"",ReferenceData!$AN$441),"")</f>
        <v/>
      </c>
      <c r="AO441" t="str">
        <f ca="1">IFERROR(IF(0=LEN(ReferenceData!$AO$441),"",ReferenceData!$AO$441),"")</f>
        <v/>
      </c>
      <c r="AP441" t="str">
        <f ca="1">IFERROR(IF(0=LEN(ReferenceData!$AP$441),"",ReferenceData!$AP$441),"")</f>
        <v/>
      </c>
      <c r="AQ441" t="str">
        <f ca="1">IFERROR(IF(0=LEN(ReferenceData!$AQ$441),"",ReferenceData!$AQ$441),"")</f>
        <v/>
      </c>
      <c r="AR441" t="str">
        <f ca="1">IFERROR(IF(0=LEN(ReferenceData!$AR$441),"",ReferenceData!$AR$441),"")</f>
        <v/>
      </c>
      <c r="AS441" t="str">
        <f ca="1">IFERROR(IF(0=LEN(ReferenceData!$AS$441),"",ReferenceData!$AS$441),"")</f>
        <v/>
      </c>
      <c r="AT441" t="str">
        <f ca="1">IFERROR(IF(0=LEN(ReferenceData!$AT$441),"",ReferenceData!$AT$441),"")</f>
        <v/>
      </c>
      <c r="AU441" t="str">
        <f ca="1">IFERROR(IF(0=LEN(ReferenceData!$AU$441),"",ReferenceData!$AU$441),"")</f>
        <v/>
      </c>
      <c r="AV441" t="str">
        <f ca="1">IFERROR(IF(0=LEN(ReferenceData!$AV$441),"",ReferenceData!$AV$441),"")</f>
        <v/>
      </c>
      <c r="AW441" t="str">
        <f ca="1">IFERROR(IF(0=LEN(ReferenceData!$AW$441),"",ReferenceData!$AW$441),"")</f>
        <v/>
      </c>
      <c r="AX441" t="str">
        <f ca="1">IFERROR(IF(0=LEN(ReferenceData!$AX$441),"",ReferenceData!$AX$441),"")</f>
        <v/>
      </c>
      <c r="AY441" t="str">
        <f ca="1">IFERROR(IF(0=LEN(ReferenceData!$AY$441),"",ReferenceData!$AY$441),"")</f>
        <v/>
      </c>
      <c r="AZ441" t="str">
        <f ca="1">IFERROR(IF(0=LEN(ReferenceData!$AZ$441),"",ReferenceData!$AZ$441),"")</f>
        <v/>
      </c>
      <c r="BA441" t="str">
        <f ca="1">IFERROR(IF(0=LEN(ReferenceData!$BA$441),"",ReferenceData!$BA$441),"")</f>
        <v/>
      </c>
      <c r="BB441" t="str">
        <f ca="1">IFERROR(IF(0=LEN(ReferenceData!$BB$441),"",ReferenceData!$BB$441),"")</f>
        <v/>
      </c>
      <c r="BC441" t="str">
        <f ca="1">IFERROR(IF(0=LEN(ReferenceData!$BC$441),"",ReferenceData!$BC$441),"")</f>
        <v/>
      </c>
      <c r="BD441" t="str">
        <f ca="1">IFERROR(IF(0=LEN(ReferenceData!$BD$441),"",ReferenceData!$BD$441),"")</f>
        <v/>
      </c>
      <c r="BE441" t="str">
        <f ca="1">IFERROR(IF(0=LEN(ReferenceData!$BE$441),"",ReferenceData!$BE$441),"")</f>
        <v/>
      </c>
      <c r="BF441" t="str">
        <f ca="1">IFERROR(IF(0=LEN(ReferenceData!$BF$441),"",ReferenceData!$BF$441),"")</f>
        <v/>
      </c>
      <c r="BG441" t="str">
        <f ca="1">IFERROR(IF(0=LEN(ReferenceData!$BG$441),"",ReferenceData!$BG$441),"")</f>
        <v/>
      </c>
      <c r="BH441" t="str">
        <f ca="1">IFERROR(IF(0=LEN(ReferenceData!$BH$441),"",ReferenceData!$BH$441),"")</f>
        <v/>
      </c>
      <c r="BI441" t="str">
        <f ca="1">IFERROR(IF(0=LEN(ReferenceData!$BI$441),"",ReferenceData!$BI$441),"")</f>
        <v/>
      </c>
      <c r="BJ441" t="str">
        <f ca="1">IFERROR(IF(0=LEN(ReferenceData!$BJ$441),"",ReferenceData!$BJ$441),"")</f>
        <v/>
      </c>
      <c r="BK441" t="str">
        <f ca="1">IFERROR(IF(0=LEN(ReferenceData!$BK$441),"",ReferenceData!$BK$441),"")</f>
        <v/>
      </c>
      <c r="BL441" t="str">
        <f ca="1">IFERROR(IF(0=LEN(ReferenceData!$BL$441),"",ReferenceData!$BL$441),"")</f>
        <v/>
      </c>
      <c r="BM441" t="str">
        <f ca="1">IFERROR(IF(0=LEN(ReferenceData!$BM$441),"",ReferenceData!$BM$441),"")</f>
        <v/>
      </c>
    </row>
    <row r="442" spans="1:65" x14ac:dyDescent="0.25">
      <c r="A442" t="str">
        <f>IFERROR(IF(0=LEN(ReferenceData!$A$442),"",ReferenceData!$A$442),"")</f>
        <v xml:space="preserve">    Renault SA</v>
      </c>
      <c r="B442" t="str">
        <f>IFERROR(IF(0=LEN(ReferenceData!$B$442),"",ReferenceData!$B$442),"")</f>
        <v>RNO FP Equity</v>
      </c>
      <c r="C442" t="str">
        <f>IFERROR(IF(0=LEN(ReferenceData!$C$442),"",ReferenceData!$C$442),"")</f>
        <v>RR477</v>
      </c>
      <c r="D442" t="str">
        <f>IFERROR(IF(0=LEN(ReferenceData!$D$442),"",ReferenceData!$D$442),"")</f>
        <v>EV_TO_T12M_CASH_FLOW</v>
      </c>
      <c r="E442" t="str">
        <f>IFERROR(IF(0=LEN(ReferenceData!$E$442),"",ReferenceData!$E$442),"")</f>
        <v>Dynamic</v>
      </c>
      <c r="F442" t="str">
        <f ca="1">IFERROR(IF(0=LEN(ReferenceData!$F$442),"",ReferenceData!$F$442),"")</f>
        <v/>
      </c>
      <c r="G442" t="str">
        <f ca="1">IFERROR(IF(0=LEN(ReferenceData!$G$442),"",ReferenceData!$G$442),"")</f>
        <v/>
      </c>
      <c r="H442" t="str">
        <f ca="1">IFERROR(IF(0=LEN(ReferenceData!$H$442),"",ReferenceData!$H$442),"")</f>
        <v/>
      </c>
      <c r="I442" t="str">
        <f ca="1">IFERROR(IF(0=LEN(ReferenceData!$I$442),"",ReferenceData!$I$442),"")</f>
        <v/>
      </c>
      <c r="J442" t="str">
        <f ca="1">IFERROR(IF(0=LEN(ReferenceData!$J$442),"",ReferenceData!$J$442),"")</f>
        <v/>
      </c>
      <c r="K442" t="str">
        <f ca="1">IFERROR(IF(0=LEN(ReferenceData!$K$442),"",ReferenceData!$K$442),"")</f>
        <v/>
      </c>
      <c r="L442" t="str">
        <f ca="1">IFERROR(IF(0=LEN(ReferenceData!$L$442),"",ReferenceData!$L$442),"")</f>
        <v/>
      </c>
      <c r="M442" t="str">
        <f ca="1">IFERROR(IF(0=LEN(ReferenceData!$M$442),"",ReferenceData!$M$442),"")</f>
        <v/>
      </c>
      <c r="N442" t="str">
        <f ca="1">IFERROR(IF(0=LEN(ReferenceData!$N$442),"",ReferenceData!$N$442),"")</f>
        <v/>
      </c>
      <c r="O442" t="str">
        <f ca="1">IFERROR(IF(0=LEN(ReferenceData!$O$442),"",ReferenceData!$O$442),"")</f>
        <v/>
      </c>
      <c r="P442" t="str">
        <f ca="1">IFERROR(IF(0=LEN(ReferenceData!$P$442),"",ReferenceData!$P$442),"")</f>
        <v/>
      </c>
      <c r="Q442" t="str">
        <f ca="1">IFERROR(IF(0=LEN(ReferenceData!$Q$442),"",ReferenceData!$Q$442),"")</f>
        <v/>
      </c>
      <c r="R442" t="str">
        <f ca="1">IFERROR(IF(0=LEN(ReferenceData!$R$442),"",ReferenceData!$R$442),"")</f>
        <v/>
      </c>
      <c r="S442" t="str">
        <f ca="1">IFERROR(IF(0=LEN(ReferenceData!$S$442),"",ReferenceData!$S$442),"")</f>
        <v/>
      </c>
      <c r="T442" t="str">
        <f ca="1">IFERROR(IF(0=LEN(ReferenceData!$T$442),"",ReferenceData!$T$442),"")</f>
        <v/>
      </c>
      <c r="U442" t="str">
        <f ca="1">IFERROR(IF(0=LEN(ReferenceData!$U$442),"",ReferenceData!$U$442),"")</f>
        <v/>
      </c>
      <c r="V442" t="str">
        <f ca="1">IFERROR(IF(0=LEN(ReferenceData!$V$442),"",ReferenceData!$V$442),"")</f>
        <v/>
      </c>
      <c r="W442" t="str">
        <f ca="1">IFERROR(IF(0=LEN(ReferenceData!$W$442),"",ReferenceData!$W$442),"")</f>
        <v/>
      </c>
      <c r="X442" t="str">
        <f ca="1">IFERROR(IF(0=LEN(ReferenceData!$X$442),"",ReferenceData!$X$442),"")</f>
        <v/>
      </c>
      <c r="Y442" t="str">
        <f ca="1">IFERROR(IF(0=LEN(ReferenceData!$Y$442),"",ReferenceData!$Y$442),"")</f>
        <v/>
      </c>
      <c r="Z442" t="str">
        <f ca="1">IFERROR(IF(0=LEN(ReferenceData!$Z$442),"",ReferenceData!$Z$442),"")</f>
        <v/>
      </c>
      <c r="AA442" t="str">
        <f ca="1">IFERROR(IF(0=LEN(ReferenceData!$AA$442),"",ReferenceData!$AA$442),"")</f>
        <v/>
      </c>
      <c r="AB442" t="str">
        <f ca="1">IFERROR(IF(0=LEN(ReferenceData!$AB$442),"",ReferenceData!$AB$442),"")</f>
        <v/>
      </c>
      <c r="AC442" t="str">
        <f ca="1">IFERROR(IF(0=LEN(ReferenceData!$AC$442),"",ReferenceData!$AC$442),"")</f>
        <v/>
      </c>
      <c r="AD442" t="str">
        <f ca="1">IFERROR(IF(0=LEN(ReferenceData!$AD$442),"",ReferenceData!$AD$442),"")</f>
        <v/>
      </c>
      <c r="AE442" t="str">
        <f ca="1">IFERROR(IF(0=LEN(ReferenceData!$AE$442),"",ReferenceData!$AE$442),"")</f>
        <v/>
      </c>
      <c r="AF442" t="str">
        <f ca="1">IFERROR(IF(0=LEN(ReferenceData!$AF$442),"",ReferenceData!$AF$442),"")</f>
        <v/>
      </c>
      <c r="AG442" t="str">
        <f ca="1">IFERROR(IF(0=LEN(ReferenceData!$AG$442),"",ReferenceData!$AG$442),"")</f>
        <v/>
      </c>
      <c r="AH442" t="str">
        <f ca="1">IFERROR(IF(0=LEN(ReferenceData!$AH$442),"",ReferenceData!$AH$442),"")</f>
        <v/>
      </c>
      <c r="AI442" t="str">
        <f ca="1">IFERROR(IF(0=LEN(ReferenceData!$AI$442),"",ReferenceData!$AI$442),"")</f>
        <v/>
      </c>
      <c r="AJ442" t="str">
        <f ca="1">IFERROR(IF(0=LEN(ReferenceData!$AJ$442),"",ReferenceData!$AJ$442),"")</f>
        <v/>
      </c>
      <c r="AK442" t="str">
        <f ca="1">IFERROR(IF(0=LEN(ReferenceData!$AK$442),"",ReferenceData!$AK$442),"")</f>
        <v/>
      </c>
      <c r="AL442" t="str">
        <f ca="1">IFERROR(IF(0=LEN(ReferenceData!$AL$442),"",ReferenceData!$AL$442),"")</f>
        <v/>
      </c>
      <c r="AM442" t="str">
        <f ca="1">IFERROR(IF(0=LEN(ReferenceData!$AM$442),"",ReferenceData!$AM$442),"")</f>
        <v/>
      </c>
      <c r="AN442" t="str">
        <f ca="1">IFERROR(IF(0=LEN(ReferenceData!$AN$442),"",ReferenceData!$AN$442),"")</f>
        <v/>
      </c>
      <c r="AO442" t="str">
        <f ca="1">IFERROR(IF(0=LEN(ReferenceData!$AO$442),"",ReferenceData!$AO$442),"")</f>
        <v/>
      </c>
      <c r="AP442" t="str">
        <f ca="1">IFERROR(IF(0=LEN(ReferenceData!$AP$442),"",ReferenceData!$AP$442),"")</f>
        <v/>
      </c>
      <c r="AQ442" t="str">
        <f ca="1">IFERROR(IF(0=LEN(ReferenceData!$AQ$442),"",ReferenceData!$AQ$442),"")</f>
        <v/>
      </c>
      <c r="AR442" t="str">
        <f ca="1">IFERROR(IF(0=LEN(ReferenceData!$AR$442),"",ReferenceData!$AR$442),"")</f>
        <v/>
      </c>
      <c r="AS442" t="str">
        <f ca="1">IFERROR(IF(0=LEN(ReferenceData!$AS$442),"",ReferenceData!$AS$442),"")</f>
        <v/>
      </c>
      <c r="AT442" t="str">
        <f ca="1">IFERROR(IF(0=LEN(ReferenceData!$AT$442),"",ReferenceData!$AT$442),"")</f>
        <v/>
      </c>
      <c r="AU442" t="str">
        <f ca="1">IFERROR(IF(0=LEN(ReferenceData!$AU$442),"",ReferenceData!$AU$442),"")</f>
        <v/>
      </c>
      <c r="AV442" t="str">
        <f ca="1">IFERROR(IF(0=LEN(ReferenceData!$AV$442),"",ReferenceData!$AV$442),"")</f>
        <v/>
      </c>
      <c r="AW442" t="str">
        <f ca="1">IFERROR(IF(0=LEN(ReferenceData!$AW$442),"",ReferenceData!$AW$442),"")</f>
        <v/>
      </c>
      <c r="AX442" t="str">
        <f ca="1">IFERROR(IF(0=LEN(ReferenceData!$AX$442),"",ReferenceData!$AX$442),"")</f>
        <v/>
      </c>
      <c r="AY442" t="str">
        <f ca="1">IFERROR(IF(0=LEN(ReferenceData!$AY$442),"",ReferenceData!$AY$442),"")</f>
        <v/>
      </c>
      <c r="AZ442" t="str">
        <f ca="1">IFERROR(IF(0=LEN(ReferenceData!$AZ$442),"",ReferenceData!$AZ$442),"")</f>
        <v/>
      </c>
      <c r="BA442" t="str">
        <f ca="1">IFERROR(IF(0=LEN(ReferenceData!$BA$442),"",ReferenceData!$BA$442),"")</f>
        <v/>
      </c>
      <c r="BB442" t="str">
        <f ca="1">IFERROR(IF(0=LEN(ReferenceData!$BB$442),"",ReferenceData!$BB$442),"")</f>
        <v/>
      </c>
      <c r="BC442" t="str">
        <f ca="1">IFERROR(IF(0=LEN(ReferenceData!$BC$442),"",ReferenceData!$BC$442),"")</f>
        <v/>
      </c>
      <c r="BD442" t="str">
        <f ca="1">IFERROR(IF(0=LEN(ReferenceData!$BD$442),"",ReferenceData!$BD$442),"")</f>
        <v/>
      </c>
      <c r="BE442" t="str">
        <f ca="1">IFERROR(IF(0=LEN(ReferenceData!$BE$442),"",ReferenceData!$BE$442),"")</f>
        <v/>
      </c>
      <c r="BF442" t="str">
        <f ca="1">IFERROR(IF(0=LEN(ReferenceData!$BF$442),"",ReferenceData!$BF$442),"")</f>
        <v/>
      </c>
      <c r="BG442" t="str">
        <f ca="1">IFERROR(IF(0=LEN(ReferenceData!$BG$442),"",ReferenceData!$BG$442),"")</f>
        <v/>
      </c>
      <c r="BH442" t="str">
        <f ca="1">IFERROR(IF(0=LEN(ReferenceData!$BH$442),"",ReferenceData!$BH$442),"")</f>
        <v/>
      </c>
      <c r="BI442" t="str">
        <f ca="1">IFERROR(IF(0=LEN(ReferenceData!$BI$442),"",ReferenceData!$BI$442),"")</f>
        <v/>
      </c>
      <c r="BJ442" t="str">
        <f ca="1">IFERROR(IF(0=LEN(ReferenceData!$BJ$442),"",ReferenceData!$BJ$442),"")</f>
        <v/>
      </c>
      <c r="BK442" t="str">
        <f ca="1">IFERROR(IF(0=LEN(ReferenceData!$BK$442),"",ReferenceData!$BK$442),"")</f>
        <v/>
      </c>
      <c r="BL442" t="str">
        <f ca="1">IFERROR(IF(0=LEN(ReferenceData!$BL$442),"",ReferenceData!$BL$442),"")</f>
        <v/>
      </c>
      <c r="BM442" t="str">
        <f ca="1">IFERROR(IF(0=LEN(ReferenceData!$BM$442),"",ReferenceData!$BM$442),"")</f>
        <v/>
      </c>
    </row>
    <row r="443" spans="1:65" x14ac:dyDescent="0.25">
      <c r="A443" t="str">
        <f>IFERROR(IF(0=LEN(ReferenceData!$A$443),"",ReferenceData!$A$443),"")</f>
        <v xml:space="preserve">    SAIC Motor Corp Ltd</v>
      </c>
      <c r="B443" t="str">
        <f>IFERROR(IF(0=LEN(ReferenceData!$B$443),"",ReferenceData!$B$443),"")</f>
        <v>600104 CH Equity</v>
      </c>
      <c r="C443" t="str">
        <f>IFERROR(IF(0=LEN(ReferenceData!$C$443),"",ReferenceData!$C$443),"")</f>
        <v>RR477</v>
      </c>
      <c r="D443" t="str">
        <f>IFERROR(IF(0=LEN(ReferenceData!$D$443),"",ReferenceData!$D$443),"")</f>
        <v>EV_TO_T12M_CASH_FLOW</v>
      </c>
      <c r="E443" t="str">
        <f>IFERROR(IF(0=LEN(ReferenceData!$E$443),"",ReferenceData!$E$443),"")</f>
        <v>Dynamic</v>
      </c>
      <c r="F443" t="str">
        <f ca="1">IFERROR(IF(0=LEN(ReferenceData!$F$443),"",ReferenceData!$F$443),"")</f>
        <v/>
      </c>
      <c r="G443" t="str">
        <f ca="1">IFERROR(IF(0=LEN(ReferenceData!$G$443),"",ReferenceData!$G$443),"")</f>
        <v/>
      </c>
      <c r="H443" t="str">
        <f ca="1">IFERROR(IF(0=LEN(ReferenceData!$H$443),"",ReferenceData!$H$443),"")</f>
        <v/>
      </c>
      <c r="I443">
        <f ca="1">IFERROR(IF(0=LEN(ReferenceData!$I$443),"",ReferenceData!$I$443),"")</f>
        <v>67.412016010000002</v>
      </c>
      <c r="J443">
        <f ca="1">IFERROR(IF(0=LEN(ReferenceData!$J$443),"",ReferenceData!$J$443),"")</f>
        <v>12.109202570000001</v>
      </c>
      <c r="K443">
        <f ca="1">IFERROR(IF(0=LEN(ReferenceData!$K$443),"",ReferenceData!$K$443),"")</f>
        <v>9.2185614299999994</v>
      </c>
      <c r="L443">
        <f ca="1">IFERROR(IF(0=LEN(ReferenceData!$L$443),"",ReferenceData!$L$443),"")</f>
        <v>9.8485506310000002</v>
      </c>
      <c r="M443">
        <f ca="1">IFERROR(IF(0=LEN(ReferenceData!$M$443),"",ReferenceData!$M$443),"")</f>
        <v>6.1664697879999997</v>
      </c>
      <c r="N443">
        <f ca="1">IFERROR(IF(0=LEN(ReferenceData!$N$443),"",ReferenceData!$N$443),"")</f>
        <v>9.5700239790000001</v>
      </c>
      <c r="O443">
        <f ca="1">IFERROR(IF(0=LEN(ReferenceData!$O$443),"",ReferenceData!$O$443),"")</f>
        <v>8.1860790389999991</v>
      </c>
      <c r="P443">
        <f ca="1">IFERROR(IF(0=LEN(ReferenceData!$P$443),"",ReferenceData!$P$443),"")</f>
        <v>4.4123158169999996</v>
      </c>
      <c r="Q443">
        <f ca="1">IFERROR(IF(0=LEN(ReferenceData!$Q$443),"",ReferenceData!$Q$443),"")</f>
        <v>5.2954117680000001</v>
      </c>
      <c r="R443">
        <f ca="1">IFERROR(IF(0=LEN(ReferenceData!$R$443),"",ReferenceData!$R$443),"")</f>
        <v>5.5859685020000001</v>
      </c>
      <c r="S443">
        <f ca="1">IFERROR(IF(0=LEN(ReferenceData!$S$443),"",ReferenceData!$S$443),"")</f>
        <v>5.6235956319999998</v>
      </c>
      <c r="T443">
        <f ca="1">IFERROR(IF(0=LEN(ReferenceData!$T$443),"",ReferenceData!$T$443),"")</f>
        <v>6.3183740559999997</v>
      </c>
      <c r="U443">
        <f ca="1">IFERROR(IF(0=LEN(ReferenceData!$U$443),"",ReferenceData!$U$443),"")</f>
        <v>12.708563890000001</v>
      </c>
      <c r="V443">
        <f ca="1">IFERROR(IF(0=LEN(ReferenceData!$V$443),"",ReferenceData!$V$443),"")</f>
        <v>14.05802972</v>
      </c>
      <c r="W443">
        <f ca="1">IFERROR(IF(0=LEN(ReferenceData!$W$443),"",ReferenceData!$W$443),"")</f>
        <v>7.4042719310000003</v>
      </c>
      <c r="X443">
        <f ca="1">IFERROR(IF(0=LEN(ReferenceData!$X$443),"",ReferenceData!$X$443),"")</f>
        <v>5.9028341659999999</v>
      </c>
      <c r="Y443">
        <f ca="1">IFERROR(IF(0=LEN(ReferenceData!$Y$443),"",ReferenceData!$Y$443),"")</f>
        <v>4.6981099439999996</v>
      </c>
      <c r="Z443">
        <f ca="1">IFERROR(IF(0=LEN(ReferenceData!$Z$443),"",ReferenceData!$Z$443),"")</f>
        <v>6.5254468790000004</v>
      </c>
      <c r="AA443">
        <f ca="1">IFERROR(IF(0=LEN(ReferenceData!$AA$443),"",ReferenceData!$AA$443),"")</f>
        <v>4.5380612319999996</v>
      </c>
      <c r="AB443">
        <f ca="1">IFERROR(IF(0=LEN(ReferenceData!$AB$443),"",ReferenceData!$AB$443),"")</f>
        <v>8.8593461189999996</v>
      </c>
      <c r="AC443">
        <f ca="1">IFERROR(IF(0=LEN(ReferenceData!$AC$443),"",ReferenceData!$AC$443),"")</f>
        <v>3.3269377580000001</v>
      </c>
      <c r="AD443">
        <f ca="1">IFERROR(IF(0=LEN(ReferenceData!$AD$443),"",ReferenceData!$AD$443),"")</f>
        <v>3.9329069539999999</v>
      </c>
      <c r="AE443">
        <f ca="1">IFERROR(IF(0=LEN(ReferenceData!$AE$443),"",ReferenceData!$AE$443),"")</f>
        <v>5.722745744</v>
      </c>
      <c r="AF443">
        <f ca="1">IFERROR(IF(0=LEN(ReferenceData!$AF$443),"",ReferenceData!$AF$443),"")</f>
        <v>2.5649005279999999</v>
      </c>
      <c r="AG443">
        <f ca="1">IFERROR(IF(0=LEN(ReferenceData!$AG$443),"",ReferenceData!$AG$443),"")</f>
        <v>2.646260244</v>
      </c>
      <c r="AH443">
        <f ca="1">IFERROR(IF(0=LEN(ReferenceData!$AH$443),"",ReferenceData!$AH$443),"")</f>
        <v>3.6579866220000001</v>
      </c>
      <c r="AI443">
        <f ca="1">IFERROR(IF(0=LEN(ReferenceData!$AI$443),"",ReferenceData!$AI$443),"")</f>
        <v>3.841693802</v>
      </c>
      <c r="AJ443">
        <f ca="1">IFERROR(IF(0=LEN(ReferenceData!$AJ$443),"",ReferenceData!$AJ$443),"")</f>
        <v>2.9956954599999999</v>
      </c>
      <c r="AK443">
        <f ca="1">IFERROR(IF(0=LEN(ReferenceData!$AK$443),"",ReferenceData!$AK$443),"")</f>
        <v>4.2766646809999997</v>
      </c>
      <c r="AL443" t="str">
        <f ca="1">IFERROR(IF(0=LEN(ReferenceData!$AL$443),"",ReferenceData!$AL$443),"")</f>
        <v/>
      </c>
      <c r="AM443">
        <f ca="1">IFERROR(IF(0=LEN(ReferenceData!$AM$443),"",ReferenceData!$AM$443),"")</f>
        <v>3.8412464470000001</v>
      </c>
      <c r="AN443">
        <f ca="1">IFERROR(IF(0=LEN(ReferenceData!$AN$443),"",ReferenceData!$AN$443),"")</f>
        <v>7.7157666919999999</v>
      </c>
      <c r="AO443">
        <f ca="1">IFERROR(IF(0=LEN(ReferenceData!$AO$443),"",ReferenceData!$AO$443),"")</f>
        <v>7.144974339</v>
      </c>
      <c r="AP443">
        <f ca="1">IFERROR(IF(0=LEN(ReferenceData!$AP$443),"",ReferenceData!$AP$443),"")</f>
        <v>4.5446751860000001</v>
      </c>
      <c r="AQ443">
        <f ca="1">IFERROR(IF(0=LEN(ReferenceData!$AQ$443),"",ReferenceData!$AQ$443),"")</f>
        <v>7.6590859020000002</v>
      </c>
      <c r="AR443">
        <f ca="1">IFERROR(IF(0=LEN(ReferenceData!$AR$443),"",ReferenceData!$AR$443),"")</f>
        <v>23.154052289999999</v>
      </c>
      <c r="AS443">
        <f ca="1">IFERROR(IF(0=LEN(ReferenceData!$AS$443),"",ReferenceData!$AS$443),"")</f>
        <v>274.37187799999998</v>
      </c>
      <c r="AT443" t="str">
        <f ca="1">IFERROR(IF(0=LEN(ReferenceData!$AT$443),"",ReferenceData!$AT$443),"")</f>
        <v/>
      </c>
      <c r="AU443">
        <f ca="1">IFERROR(IF(0=LEN(ReferenceData!$AU$443),"",ReferenceData!$AU$443),"")</f>
        <v>6.425176585</v>
      </c>
      <c r="AV443">
        <f ca="1">IFERROR(IF(0=LEN(ReferenceData!$AV$443),"",ReferenceData!$AV$443),"")</f>
        <v>3.9710320210000001</v>
      </c>
      <c r="AW443">
        <f ca="1">IFERROR(IF(0=LEN(ReferenceData!$AW$443),"",ReferenceData!$AW$443),"")</f>
        <v>4.5786597359999996</v>
      </c>
      <c r="AX443">
        <f ca="1">IFERROR(IF(0=LEN(ReferenceData!$AX$443),"",ReferenceData!$AX$443),"")</f>
        <v>6.3430190590000004</v>
      </c>
      <c r="AY443">
        <f ca="1">IFERROR(IF(0=LEN(ReferenceData!$AY$443),"",ReferenceData!$AY$443),"")</f>
        <v>39.94903703</v>
      </c>
      <c r="AZ443">
        <f ca="1">IFERROR(IF(0=LEN(ReferenceData!$AZ$443),"",ReferenceData!$AZ$443),"")</f>
        <v>16.308923050000001</v>
      </c>
      <c r="BA443">
        <f ca="1">IFERROR(IF(0=LEN(ReferenceData!$BA$443),"",ReferenceData!$BA$443),"")</f>
        <v>8.3670054240000002</v>
      </c>
      <c r="BB443">
        <f ca="1">IFERROR(IF(0=LEN(ReferenceData!$BB$443),"",ReferenceData!$BB$443),"")</f>
        <v>8.1425118090000002</v>
      </c>
      <c r="BC443">
        <f ca="1">IFERROR(IF(0=LEN(ReferenceData!$BC$443),"",ReferenceData!$BC$443),"")</f>
        <v>6.9661498819999998</v>
      </c>
      <c r="BD443">
        <f ca="1">IFERROR(IF(0=LEN(ReferenceData!$BD$443),"",ReferenceData!$BD$443),"")</f>
        <v>10.415783100000001</v>
      </c>
      <c r="BE443">
        <f ca="1">IFERROR(IF(0=LEN(ReferenceData!$BE$443),"",ReferenceData!$BE$443),"")</f>
        <v>6.5176000710000004</v>
      </c>
      <c r="BF443">
        <f ca="1">IFERROR(IF(0=LEN(ReferenceData!$BF$443),"",ReferenceData!$BF$443),"")</f>
        <v>5.0802558060000003</v>
      </c>
      <c r="BG443">
        <f ca="1">IFERROR(IF(0=LEN(ReferenceData!$BG$443),"",ReferenceData!$BG$443),"")</f>
        <v>4.9869157370000003</v>
      </c>
      <c r="BH443">
        <f ca="1">IFERROR(IF(0=LEN(ReferenceData!$BH$443),"",ReferenceData!$BH$443),"")</f>
        <v>8.594254415</v>
      </c>
      <c r="BI443">
        <f ca="1">IFERROR(IF(0=LEN(ReferenceData!$BI$443),"",ReferenceData!$BI$443),"")</f>
        <v>30.26284682</v>
      </c>
      <c r="BJ443">
        <f ca="1">IFERROR(IF(0=LEN(ReferenceData!$BJ$443),"",ReferenceData!$BJ$443),"")</f>
        <v>8.6201980819999999</v>
      </c>
      <c r="BK443">
        <f ca="1">IFERROR(IF(0=LEN(ReferenceData!$BK$443),"",ReferenceData!$BK$443),"")</f>
        <v>10.933757760000001</v>
      </c>
      <c r="BL443">
        <f ca="1">IFERROR(IF(0=LEN(ReferenceData!$BL$443),"",ReferenceData!$BL$443),"")</f>
        <v>18.872433269999998</v>
      </c>
      <c r="BM443">
        <f ca="1">IFERROR(IF(0=LEN(ReferenceData!$BM$443),"",ReferenceData!$BM$443),"")</f>
        <v>17.83743501</v>
      </c>
    </row>
    <row r="444" spans="1:65" x14ac:dyDescent="0.25">
      <c r="A444" t="str">
        <f>IFERROR(IF(0=LEN(ReferenceData!$A$444),"",ReferenceData!$A$444),"")</f>
        <v xml:space="preserve">    Sanyang Motor Co Ltd</v>
      </c>
      <c r="B444" t="str">
        <f>IFERROR(IF(0=LEN(ReferenceData!$B$444),"",ReferenceData!$B$444),"")</f>
        <v>2206 TT Equity</v>
      </c>
      <c r="C444" t="str">
        <f>IFERROR(IF(0=LEN(ReferenceData!$C$444),"",ReferenceData!$C$444),"")</f>
        <v>RR477</v>
      </c>
      <c r="D444" t="str">
        <f>IFERROR(IF(0=LEN(ReferenceData!$D$444),"",ReferenceData!$D$444),"")</f>
        <v>EV_TO_T12M_CASH_FLOW</v>
      </c>
      <c r="E444" t="str">
        <f>IFERROR(IF(0=LEN(ReferenceData!$E$444),"",ReferenceData!$E$444),"")</f>
        <v>Dynamic</v>
      </c>
      <c r="F444" t="str">
        <f ca="1">IFERROR(IF(0=LEN(ReferenceData!$F$444),"",ReferenceData!$F$444),"")</f>
        <v/>
      </c>
      <c r="G444" t="str">
        <f ca="1">IFERROR(IF(0=LEN(ReferenceData!$G$444),"",ReferenceData!$G$444),"")</f>
        <v/>
      </c>
      <c r="H444">
        <f ca="1">IFERROR(IF(0=LEN(ReferenceData!$H$444),"",ReferenceData!$H$444),"")</f>
        <v>75.39778699</v>
      </c>
      <c r="I444">
        <f ca="1">IFERROR(IF(0=LEN(ReferenceData!$I$444),"",ReferenceData!$I$444),"")</f>
        <v>24.145521680000002</v>
      </c>
      <c r="J444">
        <f ca="1">IFERROR(IF(0=LEN(ReferenceData!$J$444),"",ReferenceData!$J$444),"")</f>
        <v>30.121773050000002</v>
      </c>
      <c r="K444">
        <f ca="1">IFERROR(IF(0=LEN(ReferenceData!$K$444),"",ReferenceData!$K$444),"")</f>
        <v>10.164323100000001</v>
      </c>
      <c r="L444">
        <f ca="1">IFERROR(IF(0=LEN(ReferenceData!$L$444),"",ReferenceData!$L$444),"")</f>
        <v>6.7169069260000001</v>
      </c>
      <c r="M444">
        <f ca="1">IFERROR(IF(0=LEN(ReferenceData!$M$444),"",ReferenceData!$M$444),"")</f>
        <v>7.4830436530000002</v>
      </c>
      <c r="N444">
        <f ca="1">IFERROR(IF(0=LEN(ReferenceData!$N$444),"",ReferenceData!$N$444),"")</f>
        <v>5.619408161</v>
      </c>
      <c r="O444">
        <f ca="1">IFERROR(IF(0=LEN(ReferenceData!$O$444),"",ReferenceData!$O$444),"")</f>
        <v>5.0793152800000003</v>
      </c>
      <c r="P444">
        <f ca="1">IFERROR(IF(0=LEN(ReferenceData!$P$444),"",ReferenceData!$P$444),"")</f>
        <v>7.0557883959999996</v>
      </c>
      <c r="Q444">
        <f ca="1">IFERROR(IF(0=LEN(ReferenceData!$Q$444),"",ReferenceData!$Q$444),"")</f>
        <v>10.02442321</v>
      </c>
      <c r="R444">
        <f ca="1">IFERROR(IF(0=LEN(ReferenceData!$R$444),"",ReferenceData!$R$444),"")</f>
        <v>13.665443209999999</v>
      </c>
      <c r="S444" t="str">
        <f ca="1">IFERROR(IF(0=LEN(ReferenceData!$S$444),"",ReferenceData!$S$444),"")</f>
        <v/>
      </c>
      <c r="T444" t="str">
        <f ca="1">IFERROR(IF(0=LEN(ReferenceData!$T$444),"",ReferenceData!$T$444),"")</f>
        <v/>
      </c>
      <c r="U444" t="str">
        <f ca="1">IFERROR(IF(0=LEN(ReferenceData!$U$444),"",ReferenceData!$U$444),"")</f>
        <v/>
      </c>
      <c r="V444" t="str">
        <f ca="1">IFERROR(IF(0=LEN(ReferenceData!$V$444),"",ReferenceData!$V$444),"")</f>
        <v/>
      </c>
      <c r="W444" t="str">
        <f ca="1">IFERROR(IF(0=LEN(ReferenceData!$W$444),"",ReferenceData!$W$444),"")</f>
        <v/>
      </c>
      <c r="X444" t="str">
        <f ca="1">IFERROR(IF(0=LEN(ReferenceData!$X$444),"",ReferenceData!$X$444),"")</f>
        <v/>
      </c>
      <c r="Y444" t="str">
        <f ca="1">IFERROR(IF(0=LEN(ReferenceData!$Y$444),"",ReferenceData!$Y$444),"")</f>
        <v/>
      </c>
      <c r="Z444" t="str">
        <f ca="1">IFERROR(IF(0=LEN(ReferenceData!$Z$444),"",ReferenceData!$Z$444),"")</f>
        <v/>
      </c>
      <c r="AA444" t="str">
        <f ca="1">IFERROR(IF(0=LEN(ReferenceData!$AA$444),"",ReferenceData!$AA$444),"")</f>
        <v/>
      </c>
      <c r="AB444" t="str">
        <f ca="1">IFERROR(IF(0=LEN(ReferenceData!$AB$444),"",ReferenceData!$AB$444),"")</f>
        <v/>
      </c>
      <c r="AC444">
        <f ca="1">IFERROR(IF(0=LEN(ReferenceData!$AC$444),"",ReferenceData!$AC$444),"")</f>
        <v>32.256845490000003</v>
      </c>
      <c r="AD444">
        <f ca="1">IFERROR(IF(0=LEN(ReferenceData!$AD$444),"",ReferenceData!$AD$444),"")</f>
        <v>19.520406229999999</v>
      </c>
      <c r="AE444">
        <f ca="1">IFERROR(IF(0=LEN(ReferenceData!$AE$444),"",ReferenceData!$AE$444),"")</f>
        <v>20.066751849999999</v>
      </c>
      <c r="AF444">
        <f ca="1">IFERROR(IF(0=LEN(ReferenceData!$AF$444),"",ReferenceData!$AF$444),"")</f>
        <v>19.253134589999998</v>
      </c>
      <c r="AG444" t="str">
        <f ca="1">IFERROR(IF(0=LEN(ReferenceData!$AG$444),"",ReferenceData!$AG$444),"")</f>
        <v/>
      </c>
      <c r="AH444">
        <f ca="1">IFERROR(IF(0=LEN(ReferenceData!$AH$444),"",ReferenceData!$AH$444),"")</f>
        <v>25.197482390000001</v>
      </c>
      <c r="AI444">
        <f ca="1">IFERROR(IF(0=LEN(ReferenceData!$AI$444),"",ReferenceData!$AI$444),"")</f>
        <v>13.16756391</v>
      </c>
      <c r="AJ444">
        <f ca="1">IFERROR(IF(0=LEN(ReferenceData!$AJ$444),"",ReferenceData!$AJ$444),"")</f>
        <v>18.84193608</v>
      </c>
      <c r="AK444">
        <f ca="1">IFERROR(IF(0=LEN(ReferenceData!$AK$444),"",ReferenceData!$AK$444),"")</f>
        <v>9.0501302490000004</v>
      </c>
      <c r="AL444">
        <f ca="1">IFERROR(IF(0=LEN(ReferenceData!$AL$444),"",ReferenceData!$AL$444),"")</f>
        <v>24.167193050000002</v>
      </c>
      <c r="AM444">
        <f ca="1">IFERROR(IF(0=LEN(ReferenceData!$AM$444),"",ReferenceData!$AM$444),"")</f>
        <v>3265.6285859999998</v>
      </c>
      <c r="AN444">
        <f ca="1">IFERROR(IF(0=LEN(ReferenceData!$AN$444),"",ReferenceData!$AN$444),"")</f>
        <v>33.907888139999997</v>
      </c>
      <c r="AO444">
        <f ca="1">IFERROR(IF(0=LEN(ReferenceData!$AO$444),"",ReferenceData!$AO$444),"")</f>
        <v>11.12241027</v>
      </c>
      <c r="AP444">
        <f ca="1">IFERROR(IF(0=LEN(ReferenceData!$AP$444),"",ReferenceData!$AP$444),"")</f>
        <v>5.9285126300000002</v>
      </c>
      <c r="AQ444">
        <f ca="1">IFERROR(IF(0=LEN(ReferenceData!$AQ$444),"",ReferenceData!$AQ$444),"")</f>
        <v>7.4690519359999996</v>
      </c>
      <c r="AR444">
        <f ca="1">IFERROR(IF(0=LEN(ReferenceData!$AR$444),"",ReferenceData!$AR$444),"")</f>
        <v>5.2957833130000003</v>
      </c>
      <c r="AS444">
        <f ca="1">IFERROR(IF(0=LEN(ReferenceData!$AS$444),"",ReferenceData!$AS$444),"")</f>
        <v>17.089159080000002</v>
      </c>
      <c r="AT444">
        <f ca="1">IFERROR(IF(0=LEN(ReferenceData!$AT$444),"",ReferenceData!$AT$444),"")</f>
        <v>11.62651239</v>
      </c>
      <c r="AU444">
        <f ca="1">IFERROR(IF(0=LEN(ReferenceData!$AU$444),"",ReferenceData!$AU$444),"")</f>
        <v>27.18573906</v>
      </c>
      <c r="AV444" t="str">
        <f ca="1">IFERROR(IF(0=LEN(ReferenceData!$AV$444),"",ReferenceData!$AV$444),"")</f>
        <v/>
      </c>
      <c r="AW444" t="str">
        <f ca="1">IFERROR(IF(0=LEN(ReferenceData!$AW$444),"",ReferenceData!$AW$444),"")</f>
        <v/>
      </c>
      <c r="AX444" t="str">
        <f ca="1">IFERROR(IF(0=LEN(ReferenceData!$AX$444),"",ReferenceData!$AX$444),"")</f>
        <v/>
      </c>
      <c r="AY444" t="str">
        <f ca="1">IFERROR(IF(0=LEN(ReferenceData!$AY$444),"",ReferenceData!$AY$444),"")</f>
        <v/>
      </c>
      <c r="AZ444" t="str">
        <f ca="1">IFERROR(IF(0=LEN(ReferenceData!$AZ$444),"",ReferenceData!$AZ$444),"")</f>
        <v/>
      </c>
      <c r="BA444" t="str">
        <f ca="1">IFERROR(IF(0=LEN(ReferenceData!$BA$444),"",ReferenceData!$BA$444),"")</f>
        <v/>
      </c>
      <c r="BB444" t="str">
        <f ca="1">IFERROR(IF(0=LEN(ReferenceData!$BB$444),"",ReferenceData!$BB$444),"")</f>
        <v/>
      </c>
      <c r="BC444" t="str">
        <f ca="1">IFERROR(IF(0=LEN(ReferenceData!$BC$444),"",ReferenceData!$BC$444),"")</f>
        <v/>
      </c>
      <c r="BD444" t="str">
        <f ca="1">IFERROR(IF(0=LEN(ReferenceData!$BD$444),"",ReferenceData!$BD$444),"")</f>
        <v/>
      </c>
      <c r="BE444" t="str">
        <f ca="1">IFERROR(IF(0=LEN(ReferenceData!$BE$444),"",ReferenceData!$BE$444),"")</f>
        <v/>
      </c>
      <c r="BF444" t="str">
        <f ca="1">IFERROR(IF(0=LEN(ReferenceData!$BF$444),"",ReferenceData!$BF$444),"")</f>
        <v/>
      </c>
      <c r="BG444" t="str">
        <f ca="1">IFERROR(IF(0=LEN(ReferenceData!$BG$444),"",ReferenceData!$BG$444),"")</f>
        <v/>
      </c>
      <c r="BH444" t="str">
        <f ca="1">IFERROR(IF(0=LEN(ReferenceData!$BH$444),"",ReferenceData!$BH$444),"")</f>
        <v/>
      </c>
      <c r="BI444" t="str">
        <f ca="1">IFERROR(IF(0=LEN(ReferenceData!$BI$444),"",ReferenceData!$BI$444),"")</f>
        <v/>
      </c>
      <c r="BJ444" t="str">
        <f ca="1">IFERROR(IF(0=LEN(ReferenceData!$BJ$444),"",ReferenceData!$BJ$444),"")</f>
        <v/>
      </c>
      <c r="BK444" t="str">
        <f ca="1">IFERROR(IF(0=LEN(ReferenceData!$BK$444),"",ReferenceData!$BK$444),"")</f>
        <v/>
      </c>
      <c r="BL444" t="str">
        <f ca="1">IFERROR(IF(0=LEN(ReferenceData!$BL$444),"",ReferenceData!$BL$444),"")</f>
        <v/>
      </c>
      <c r="BM444" t="str">
        <f ca="1">IFERROR(IF(0=LEN(ReferenceData!$BM$444),"",ReferenceData!$BM$444),"")</f>
        <v/>
      </c>
    </row>
    <row r="445" spans="1:65" x14ac:dyDescent="0.25">
      <c r="A445" t="str">
        <f>IFERROR(IF(0=LEN(ReferenceData!$A$445),"",ReferenceData!$A$445),"")</f>
        <v xml:space="preserve">    Sollers PJSC</v>
      </c>
      <c r="B445" t="str">
        <f>IFERROR(IF(0=LEN(ReferenceData!$B$445),"",ReferenceData!$B$445),"")</f>
        <v>SVAV RM Equity</v>
      </c>
      <c r="C445" t="str">
        <f>IFERROR(IF(0=LEN(ReferenceData!$C$445),"",ReferenceData!$C$445),"")</f>
        <v>RR477</v>
      </c>
      <c r="D445" t="str">
        <f>IFERROR(IF(0=LEN(ReferenceData!$D$445),"",ReferenceData!$D$445),"")</f>
        <v>EV_TO_T12M_CASH_FLOW</v>
      </c>
      <c r="E445" t="str">
        <f>IFERROR(IF(0=LEN(ReferenceData!$E$445),"",ReferenceData!$E$445),"")</f>
        <v>Dynamic</v>
      </c>
      <c r="F445" t="str">
        <f ca="1">IFERROR(IF(0=LEN(ReferenceData!$F$445),"",ReferenceData!$F$445),"")</f>
        <v/>
      </c>
      <c r="G445" t="str">
        <f ca="1">IFERROR(IF(0=LEN(ReferenceData!$G$445),"",ReferenceData!$G$445),"")</f>
        <v/>
      </c>
      <c r="H445" t="str">
        <f ca="1">IFERROR(IF(0=LEN(ReferenceData!$H$445),"",ReferenceData!$H$445),"")</f>
        <v/>
      </c>
      <c r="I445" t="str">
        <f ca="1">IFERROR(IF(0=LEN(ReferenceData!$I$445),"",ReferenceData!$I$445),"")</f>
        <v/>
      </c>
      <c r="J445" t="str">
        <f ca="1">IFERROR(IF(0=LEN(ReferenceData!$J$445),"",ReferenceData!$J$445),"")</f>
        <v/>
      </c>
      <c r="K445" t="str">
        <f ca="1">IFERROR(IF(0=LEN(ReferenceData!$K$445),"",ReferenceData!$K$445),"")</f>
        <v/>
      </c>
      <c r="L445" t="str">
        <f ca="1">IFERROR(IF(0=LEN(ReferenceData!$L$445),"",ReferenceData!$L$445),"")</f>
        <v/>
      </c>
      <c r="M445" t="str">
        <f ca="1">IFERROR(IF(0=LEN(ReferenceData!$M$445),"",ReferenceData!$M$445),"")</f>
        <v/>
      </c>
      <c r="N445" t="str">
        <f ca="1">IFERROR(IF(0=LEN(ReferenceData!$N$445),"",ReferenceData!$N$445),"")</f>
        <v/>
      </c>
      <c r="O445" t="str">
        <f ca="1">IFERROR(IF(0=LEN(ReferenceData!$O$445),"",ReferenceData!$O$445),"")</f>
        <v/>
      </c>
      <c r="P445" t="str">
        <f ca="1">IFERROR(IF(0=LEN(ReferenceData!$P$445),"",ReferenceData!$P$445),"")</f>
        <v/>
      </c>
      <c r="Q445" t="str">
        <f ca="1">IFERROR(IF(0=LEN(ReferenceData!$Q$445),"",ReferenceData!$Q$445),"")</f>
        <v/>
      </c>
      <c r="R445" t="str">
        <f ca="1">IFERROR(IF(0=LEN(ReferenceData!$R$445),"",ReferenceData!$R$445),"")</f>
        <v/>
      </c>
      <c r="S445" t="str">
        <f ca="1">IFERROR(IF(0=LEN(ReferenceData!$S$445),"",ReferenceData!$S$445),"")</f>
        <v/>
      </c>
      <c r="T445" t="str">
        <f ca="1">IFERROR(IF(0=LEN(ReferenceData!$T$445),"",ReferenceData!$T$445),"")</f>
        <v/>
      </c>
      <c r="U445" t="str">
        <f ca="1">IFERROR(IF(0=LEN(ReferenceData!$U$445),"",ReferenceData!$U$445),"")</f>
        <v/>
      </c>
      <c r="V445" t="str">
        <f ca="1">IFERROR(IF(0=LEN(ReferenceData!$V$445),"",ReferenceData!$V$445),"")</f>
        <v/>
      </c>
      <c r="W445" t="str">
        <f ca="1">IFERROR(IF(0=LEN(ReferenceData!$W$445),"",ReferenceData!$W$445),"")</f>
        <v/>
      </c>
      <c r="X445" t="str">
        <f ca="1">IFERROR(IF(0=LEN(ReferenceData!$X$445),"",ReferenceData!$X$445),"")</f>
        <v/>
      </c>
      <c r="Y445" t="str">
        <f ca="1">IFERROR(IF(0=LEN(ReferenceData!$Y$445),"",ReferenceData!$Y$445),"")</f>
        <v/>
      </c>
      <c r="Z445" t="str">
        <f ca="1">IFERROR(IF(0=LEN(ReferenceData!$Z$445),"",ReferenceData!$Z$445),"")</f>
        <v/>
      </c>
      <c r="AA445" t="str">
        <f ca="1">IFERROR(IF(0=LEN(ReferenceData!$AA$445),"",ReferenceData!$AA$445),"")</f>
        <v/>
      </c>
      <c r="AB445" t="str">
        <f ca="1">IFERROR(IF(0=LEN(ReferenceData!$AB$445),"",ReferenceData!$AB$445),"")</f>
        <v/>
      </c>
      <c r="AC445" t="str">
        <f ca="1">IFERROR(IF(0=LEN(ReferenceData!$AC$445),"",ReferenceData!$AC$445),"")</f>
        <v/>
      </c>
      <c r="AD445" t="str">
        <f ca="1">IFERROR(IF(0=LEN(ReferenceData!$AD$445),"",ReferenceData!$AD$445),"")</f>
        <v/>
      </c>
      <c r="AE445" t="str">
        <f ca="1">IFERROR(IF(0=LEN(ReferenceData!$AE$445),"",ReferenceData!$AE$445),"")</f>
        <v/>
      </c>
      <c r="AF445" t="str">
        <f ca="1">IFERROR(IF(0=LEN(ReferenceData!$AF$445),"",ReferenceData!$AF$445),"")</f>
        <v/>
      </c>
      <c r="AG445" t="str">
        <f ca="1">IFERROR(IF(0=LEN(ReferenceData!$AG$445),"",ReferenceData!$AG$445),"")</f>
        <v/>
      </c>
      <c r="AH445" t="str">
        <f ca="1">IFERROR(IF(0=LEN(ReferenceData!$AH$445),"",ReferenceData!$AH$445),"")</f>
        <v/>
      </c>
      <c r="AI445" t="str">
        <f ca="1">IFERROR(IF(0=LEN(ReferenceData!$AI$445),"",ReferenceData!$AI$445),"")</f>
        <v/>
      </c>
      <c r="AJ445" t="str">
        <f ca="1">IFERROR(IF(0=LEN(ReferenceData!$AJ$445),"",ReferenceData!$AJ$445),"")</f>
        <v/>
      </c>
      <c r="AK445" t="str">
        <f ca="1">IFERROR(IF(0=LEN(ReferenceData!$AK$445),"",ReferenceData!$AK$445),"")</f>
        <v/>
      </c>
      <c r="AL445" t="str">
        <f ca="1">IFERROR(IF(0=LEN(ReferenceData!$AL$445),"",ReferenceData!$AL$445),"")</f>
        <v/>
      </c>
      <c r="AM445" t="str">
        <f ca="1">IFERROR(IF(0=LEN(ReferenceData!$AM$445),"",ReferenceData!$AM$445),"")</f>
        <v/>
      </c>
      <c r="AN445" t="str">
        <f ca="1">IFERROR(IF(0=LEN(ReferenceData!$AN$445),"",ReferenceData!$AN$445),"")</f>
        <v/>
      </c>
      <c r="AO445" t="str">
        <f ca="1">IFERROR(IF(0=LEN(ReferenceData!$AO$445),"",ReferenceData!$AO$445),"")</f>
        <v/>
      </c>
      <c r="AP445" t="str">
        <f ca="1">IFERROR(IF(0=LEN(ReferenceData!$AP$445),"",ReferenceData!$AP$445),"")</f>
        <v/>
      </c>
      <c r="AQ445" t="str">
        <f ca="1">IFERROR(IF(0=LEN(ReferenceData!$AQ$445),"",ReferenceData!$AQ$445),"")</f>
        <v/>
      </c>
      <c r="AR445" t="str">
        <f ca="1">IFERROR(IF(0=LEN(ReferenceData!$AR$445),"",ReferenceData!$AR$445),"")</f>
        <v/>
      </c>
      <c r="AS445" t="str">
        <f ca="1">IFERROR(IF(0=LEN(ReferenceData!$AS$445),"",ReferenceData!$AS$445),"")</f>
        <v/>
      </c>
      <c r="AT445" t="str">
        <f ca="1">IFERROR(IF(0=LEN(ReferenceData!$AT$445),"",ReferenceData!$AT$445),"")</f>
        <v/>
      </c>
      <c r="AU445" t="str">
        <f ca="1">IFERROR(IF(0=LEN(ReferenceData!$AU$445),"",ReferenceData!$AU$445),"")</f>
        <v/>
      </c>
      <c r="AV445" t="str">
        <f ca="1">IFERROR(IF(0=LEN(ReferenceData!$AV$445),"",ReferenceData!$AV$445),"")</f>
        <v/>
      </c>
      <c r="AW445" t="str">
        <f ca="1">IFERROR(IF(0=LEN(ReferenceData!$AW$445),"",ReferenceData!$AW$445),"")</f>
        <v/>
      </c>
      <c r="AX445" t="str">
        <f ca="1">IFERROR(IF(0=LEN(ReferenceData!$AX$445),"",ReferenceData!$AX$445),"")</f>
        <v/>
      </c>
      <c r="AY445" t="str">
        <f ca="1">IFERROR(IF(0=LEN(ReferenceData!$AY$445),"",ReferenceData!$AY$445),"")</f>
        <v/>
      </c>
      <c r="AZ445" t="str">
        <f ca="1">IFERROR(IF(0=LEN(ReferenceData!$AZ$445),"",ReferenceData!$AZ$445),"")</f>
        <v/>
      </c>
      <c r="BA445" t="str">
        <f ca="1">IFERROR(IF(0=LEN(ReferenceData!$BA$445),"",ReferenceData!$BA$445),"")</f>
        <v/>
      </c>
      <c r="BB445" t="str">
        <f ca="1">IFERROR(IF(0=LEN(ReferenceData!$BB$445),"",ReferenceData!$BB$445),"")</f>
        <v/>
      </c>
      <c r="BC445" t="str">
        <f ca="1">IFERROR(IF(0=LEN(ReferenceData!$BC$445),"",ReferenceData!$BC$445),"")</f>
        <v/>
      </c>
      <c r="BD445" t="str">
        <f ca="1">IFERROR(IF(0=LEN(ReferenceData!$BD$445),"",ReferenceData!$BD$445),"")</f>
        <v/>
      </c>
      <c r="BE445" t="str">
        <f ca="1">IFERROR(IF(0=LEN(ReferenceData!$BE$445),"",ReferenceData!$BE$445),"")</f>
        <v/>
      </c>
      <c r="BF445" t="str">
        <f ca="1">IFERROR(IF(0=LEN(ReferenceData!$BF$445),"",ReferenceData!$BF$445),"")</f>
        <v/>
      </c>
      <c r="BG445" t="str">
        <f ca="1">IFERROR(IF(0=LEN(ReferenceData!$BG$445),"",ReferenceData!$BG$445),"")</f>
        <v/>
      </c>
      <c r="BH445" t="str">
        <f ca="1">IFERROR(IF(0=LEN(ReferenceData!$BH$445),"",ReferenceData!$BH$445),"")</f>
        <v/>
      </c>
      <c r="BI445" t="str">
        <f ca="1">IFERROR(IF(0=LEN(ReferenceData!$BI$445),"",ReferenceData!$BI$445),"")</f>
        <v/>
      </c>
      <c r="BJ445" t="str">
        <f ca="1">IFERROR(IF(0=LEN(ReferenceData!$BJ$445),"",ReferenceData!$BJ$445),"")</f>
        <v/>
      </c>
      <c r="BK445" t="str">
        <f ca="1">IFERROR(IF(0=LEN(ReferenceData!$BK$445),"",ReferenceData!$BK$445),"")</f>
        <v/>
      </c>
      <c r="BL445" t="str">
        <f ca="1">IFERROR(IF(0=LEN(ReferenceData!$BL$445),"",ReferenceData!$BL$445),"")</f>
        <v/>
      </c>
      <c r="BM445" t="str">
        <f ca="1">IFERROR(IF(0=LEN(ReferenceData!$BM$445),"",ReferenceData!$BM$445),"")</f>
        <v/>
      </c>
    </row>
    <row r="446" spans="1:65" x14ac:dyDescent="0.25">
      <c r="A446" t="str">
        <f>IFERROR(IF(0=LEN(ReferenceData!$A$446),"",ReferenceData!$A$446),"")</f>
        <v xml:space="preserve">    Ssangyong Motor Co</v>
      </c>
      <c r="B446" t="str">
        <f>IFERROR(IF(0=LEN(ReferenceData!$B$446),"",ReferenceData!$B$446),"")</f>
        <v>003620 KS Equity</v>
      </c>
      <c r="C446" t="str">
        <f>IFERROR(IF(0=LEN(ReferenceData!$C$446),"",ReferenceData!$C$446),"")</f>
        <v>RR477</v>
      </c>
      <c r="D446" t="str">
        <f>IFERROR(IF(0=LEN(ReferenceData!$D$446),"",ReferenceData!$D$446),"")</f>
        <v>EV_TO_T12M_CASH_FLOW</v>
      </c>
      <c r="E446" t="str">
        <f>IFERROR(IF(0=LEN(ReferenceData!$E$446),"",ReferenceData!$E$446),"")</f>
        <v>Dynamic</v>
      </c>
      <c r="F446" t="str">
        <f ca="1">IFERROR(IF(0=LEN(ReferenceData!$F$446),"",ReferenceData!$F$446),"")</f>
        <v/>
      </c>
      <c r="G446" t="str">
        <f ca="1">IFERROR(IF(0=LEN(ReferenceData!$G$446),"",ReferenceData!$G$446),"")</f>
        <v/>
      </c>
      <c r="H446">
        <f ca="1">IFERROR(IF(0=LEN(ReferenceData!$H$446),"",ReferenceData!$H$446),"")</f>
        <v>2.0998596489999999</v>
      </c>
      <c r="I446">
        <f ca="1">IFERROR(IF(0=LEN(ReferenceData!$I$446),"",ReferenceData!$I$446),"")</f>
        <v>5.7516339910000003</v>
      </c>
      <c r="J446">
        <f ca="1">IFERROR(IF(0=LEN(ReferenceData!$J$446),"",ReferenceData!$J$446),"")</f>
        <v>2.6663886899999998</v>
      </c>
      <c r="K446">
        <f ca="1">IFERROR(IF(0=LEN(ReferenceData!$K$446),"",ReferenceData!$K$446),"")</f>
        <v>3.5517387820000001</v>
      </c>
      <c r="L446">
        <f ca="1">IFERROR(IF(0=LEN(ReferenceData!$L$446),"",ReferenceData!$L$446),"")</f>
        <v>3.635578653</v>
      </c>
      <c r="M446">
        <f ca="1">IFERROR(IF(0=LEN(ReferenceData!$M$446),"",ReferenceData!$M$446),"")</f>
        <v>3.4814474190000002</v>
      </c>
      <c r="N446">
        <f ca="1">IFERROR(IF(0=LEN(ReferenceData!$N$446),"",ReferenceData!$N$446),"")</f>
        <v>3.484198181</v>
      </c>
      <c r="O446">
        <f ca="1">IFERROR(IF(0=LEN(ReferenceData!$O$446),"",ReferenceData!$O$446),"")</f>
        <v>4.2506703640000003</v>
      </c>
      <c r="P446">
        <f ca="1">IFERROR(IF(0=LEN(ReferenceData!$P$446),"",ReferenceData!$P$446),"")</f>
        <v>4.8379151699999996</v>
      </c>
      <c r="Q446">
        <f ca="1">IFERROR(IF(0=LEN(ReferenceData!$Q$446),"",ReferenceData!$Q$446),"")</f>
        <v>3.8107377339999999</v>
      </c>
      <c r="R446">
        <f ca="1">IFERROR(IF(0=LEN(ReferenceData!$R$446),"",ReferenceData!$R$446),"")</f>
        <v>22.973490609999999</v>
      </c>
      <c r="S446">
        <f ca="1">IFERROR(IF(0=LEN(ReferenceData!$S$446),"",ReferenceData!$S$446),"")</f>
        <v>5.2409472150000003</v>
      </c>
      <c r="T446">
        <f ca="1">IFERROR(IF(0=LEN(ReferenceData!$T$446),"",ReferenceData!$T$446),"")</f>
        <v>10.65637315</v>
      </c>
      <c r="U446">
        <f ca="1">IFERROR(IF(0=LEN(ReferenceData!$U$446),"",ReferenceData!$U$446),"")</f>
        <v>16.590330160000001</v>
      </c>
      <c r="V446">
        <f ca="1">IFERROR(IF(0=LEN(ReferenceData!$V$446),"",ReferenceData!$V$446),"")</f>
        <v>10.83005234</v>
      </c>
      <c r="W446">
        <f ca="1">IFERROR(IF(0=LEN(ReferenceData!$W$446),"",ReferenceData!$W$446),"")</f>
        <v>18.17131723</v>
      </c>
      <c r="X446">
        <f ca="1">IFERROR(IF(0=LEN(ReferenceData!$X$446),"",ReferenceData!$X$446),"")</f>
        <v>6.6370370479999998</v>
      </c>
      <c r="Y446">
        <f ca="1">IFERROR(IF(0=LEN(ReferenceData!$Y$446),"",ReferenceData!$Y$446),"")</f>
        <v>38.95201325</v>
      </c>
      <c r="Z446">
        <f ca="1">IFERROR(IF(0=LEN(ReferenceData!$Z$446),"",ReferenceData!$Z$446),"")</f>
        <v>6.0654887689999999</v>
      </c>
      <c r="AA446">
        <f ca="1">IFERROR(IF(0=LEN(ReferenceData!$AA$446),"",ReferenceData!$AA$446),"")</f>
        <v>2.977754676</v>
      </c>
      <c r="AB446">
        <f ca="1">IFERROR(IF(0=LEN(ReferenceData!$AB$446),"",ReferenceData!$AB$446),"")</f>
        <v>6.9175403969999998</v>
      </c>
      <c r="AC446">
        <f ca="1">IFERROR(IF(0=LEN(ReferenceData!$AC$446),"",ReferenceData!$AC$446),"")</f>
        <v>2.832490886</v>
      </c>
      <c r="AD446">
        <f ca="1">IFERROR(IF(0=LEN(ReferenceData!$AD$446),"",ReferenceData!$AD$446),"")</f>
        <v>2.9206585180000002</v>
      </c>
      <c r="AE446">
        <f ca="1">IFERROR(IF(0=LEN(ReferenceData!$AE$446),"",ReferenceData!$AE$446),"")</f>
        <v>3.9355782189999999</v>
      </c>
      <c r="AF446" t="str">
        <f ca="1">IFERROR(IF(0=LEN(ReferenceData!$AF$446),"",ReferenceData!$AF$446),"")</f>
        <v/>
      </c>
      <c r="AG446" t="str">
        <f ca="1">IFERROR(IF(0=LEN(ReferenceData!$AG$446),"",ReferenceData!$AG$446),"")</f>
        <v/>
      </c>
      <c r="AH446" t="str">
        <f ca="1">IFERROR(IF(0=LEN(ReferenceData!$AH$446),"",ReferenceData!$AH$446),"")</f>
        <v/>
      </c>
      <c r="AI446" t="str">
        <f ca="1">IFERROR(IF(0=LEN(ReferenceData!$AI$446),"",ReferenceData!$AI$446),"")</f>
        <v/>
      </c>
      <c r="AJ446" t="str">
        <f ca="1">IFERROR(IF(0=LEN(ReferenceData!$AJ$446),"",ReferenceData!$AJ$446),"")</f>
        <v/>
      </c>
      <c r="AK446" t="str">
        <f ca="1">IFERROR(IF(0=LEN(ReferenceData!$AK$446),"",ReferenceData!$AK$446),"")</f>
        <v/>
      </c>
      <c r="AL446" t="str">
        <f ca="1">IFERROR(IF(0=LEN(ReferenceData!$AL$446),"",ReferenceData!$AL$446),"")</f>
        <v/>
      </c>
      <c r="AM446" t="str">
        <f ca="1">IFERROR(IF(0=LEN(ReferenceData!$AM$446),"",ReferenceData!$AM$446),"")</f>
        <v/>
      </c>
      <c r="AN446" t="str">
        <f ca="1">IFERROR(IF(0=LEN(ReferenceData!$AN$446),"",ReferenceData!$AN$446),"")</f>
        <v/>
      </c>
      <c r="AO446" t="str">
        <f ca="1">IFERROR(IF(0=LEN(ReferenceData!$AO$446),"",ReferenceData!$AO$446),"")</f>
        <v/>
      </c>
      <c r="AP446" t="str">
        <f ca="1">IFERROR(IF(0=LEN(ReferenceData!$AP$446),"",ReferenceData!$AP$446),"")</f>
        <v/>
      </c>
      <c r="AQ446" t="str">
        <f ca="1">IFERROR(IF(0=LEN(ReferenceData!$AQ$446),"",ReferenceData!$AQ$446),"")</f>
        <v/>
      </c>
      <c r="AR446" t="str">
        <f ca="1">IFERROR(IF(0=LEN(ReferenceData!$AR$446),"",ReferenceData!$AR$446),"")</f>
        <v/>
      </c>
      <c r="AS446" t="str">
        <f ca="1">IFERROR(IF(0=LEN(ReferenceData!$AS$446),"",ReferenceData!$AS$446),"")</f>
        <v/>
      </c>
      <c r="AT446" t="str">
        <f ca="1">IFERROR(IF(0=LEN(ReferenceData!$AT$446),"",ReferenceData!$AT$446),"")</f>
        <v/>
      </c>
      <c r="AU446" t="str">
        <f ca="1">IFERROR(IF(0=LEN(ReferenceData!$AU$446),"",ReferenceData!$AU$446),"")</f>
        <v/>
      </c>
      <c r="AV446" t="str">
        <f ca="1">IFERROR(IF(0=LEN(ReferenceData!$AV$446),"",ReferenceData!$AV$446),"")</f>
        <v/>
      </c>
      <c r="AW446" t="str">
        <f ca="1">IFERROR(IF(0=LEN(ReferenceData!$AW$446),"",ReferenceData!$AW$446),"")</f>
        <v/>
      </c>
      <c r="AX446" t="str">
        <f ca="1">IFERROR(IF(0=LEN(ReferenceData!$AX$446),"",ReferenceData!$AX$446),"")</f>
        <v/>
      </c>
      <c r="AY446" t="str">
        <f ca="1">IFERROR(IF(0=LEN(ReferenceData!$AY$446),"",ReferenceData!$AY$446),"")</f>
        <v/>
      </c>
      <c r="AZ446" t="str">
        <f ca="1">IFERROR(IF(0=LEN(ReferenceData!$AZ$446),"",ReferenceData!$AZ$446),"")</f>
        <v/>
      </c>
      <c r="BA446" t="str">
        <f ca="1">IFERROR(IF(0=LEN(ReferenceData!$BA$446),"",ReferenceData!$BA$446),"")</f>
        <v/>
      </c>
      <c r="BB446" t="str">
        <f ca="1">IFERROR(IF(0=LEN(ReferenceData!$BB$446),"",ReferenceData!$BB$446),"")</f>
        <v/>
      </c>
      <c r="BC446" t="str">
        <f ca="1">IFERROR(IF(0=LEN(ReferenceData!$BC$446),"",ReferenceData!$BC$446),"")</f>
        <v/>
      </c>
      <c r="BD446" t="str">
        <f ca="1">IFERROR(IF(0=LEN(ReferenceData!$BD$446),"",ReferenceData!$BD$446),"")</f>
        <v/>
      </c>
      <c r="BE446" t="str">
        <f ca="1">IFERROR(IF(0=LEN(ReferenceData!$BE$446),"",ReferenceData!$BE$446),"")</f>
        <v/>
      </c>
      <c r="BF446" t="str">
        <f ca="1">IFERROR(IF(0=LEN(ReferenceData!$BF$446),"",ReferenceData!$BF$446),"")</f>
        <v/>
      </c>
      <c r="BG446" t="str">
        <f ca="1">IFERROR(IF(0=LEN(ReferenceData!$BG$446),"",ReferenceData!$BG$446),"")</f>
        <v/>
      </c>
      <c r="BH446" t="str">
        <f ca="1">IFERROR(IF(0=LEN(ReferenceData!$BH$446),"",ReferenceData!$BH$446),"")</f>
        <v/>
      </c>
      <c r="BI446" t="str">
        <f ca="1">IFERROR(IF(0=LEN(ReferenceData!$BI$446),"",ReferenceData!$BI$446),"")</f>
        <v/>
      </c>
      <c r="BJ446" t="str">
        <f ca="1">IFERROR(IF(0=LEN(ReferenceData!$BJ$446),"",ReferenceData!$BJ$446),"")</f>
        <v/>
      </c>
      <c r="BK446" t="str">
        <f ca="1">IFERROR(IF(0=LEN(ReferenceData!$BK$446),"",ReferenceData!$BK$446),"")</f>
        <v/>
      </c>
      <c r="BL446" t="str">
        <f ca="1">IFERROR(IF(0=LEN(ReferenceData!$BL$446),"",ReferenceData!$BL$446),"")</f>
        <v/>
      </c>
      <c r="BM446" t="str">
        <f ca="1">IFERROR(IF(0=LEN(ReferenceData!$BM$446),"",ReferenceData!$BM$446),"")</f>
        <v/>
      </c>
    </row>
    <row r="447" spans="1:65" x14ac:dyDescent="0.25">
      <c r="A447" t="str">
        <f>IFERROR(IF(0=LEN(ReferenceData!$A$447),"",ReferenceData!$A$447),"")</f>
        <v xml:space="preserve">    Subaru Corp</v>
      </c>
      <c r="B447" t="str">
        <f>IFERROR(IF(0=LEN(ReferenceData!$B$447),"",ReferenceData!$B$447),"")</f>
        <v>7270 JP Equity</v>
      </c>
      <c r="C447" t="str">
        <f>IFERROR(IF(0=LEN(ReferenceData!$C$447),"",ReferenceData!$C$447),"")</f>
        <v>RR477</v>
      </c>
      <c r="D447" t="str">
        <f>IFERROR(IF(0=LEN(ReferenceData!$D$447),"",ReferenceData!$D$447),"")</f>
        <v>EV_TO_T12M_CASH_FLOW</v>
      </c>
      <c r="E447" t="str">
        <f>IFERROR(IF(0=LEN(ReferenceData!$E$447),"",ReferenceData!$E$447),"")</f>
        <v>Dynamic</v>
      </c>
      <c r="F447" t="str">
        <f ca="1">IFERROR(IF(0=LEN(ReferenceData!$F$447),"",ReferenceData!$F$447),"")</f>
        <v/>
      </c>
      <c r="G447">
        <f ca="1">IFERROR(IF(0=LEN(ReferenceData!$G$447),"",ReferenceData!$G$447),"")</f>
        <v>4.4460682729999998</v>
      </c>
      <c r="H447">
        <f ca="1">IFERROR(IF(0=LEN(ReferenceData!$H$447),"",ReferenceData!$H$447),"")</f>
        <v>8.0400491209999991</v>
      </c>
      <c r="I447">
        <f ca="1">IFERROR(IF(0=LEN(ReferenceData!$I$447),"",ReferenceData!$I$447),"")</f>
        <v>6.3480189180000002</v>
      </c>
      <c r="J447">
        <f ca="1">IFERROR(IF(0=LEN(ReferenceData!$J$447),"",ReferenceData!$J$447),"")</f>
        <v>4.8195762110000002</v>
      </c>
      <c r="K447">
        <f ca="1">IFERROR(IF(0=LEN(ReferenceData!$K$447),"",ReferenceData!$K$447),"")</f>
        <v>4.9084488610000001</v>
      </c>
      <c r="L447">
        <f ca="1">IFERROR(IF(0=LEN(ReferenceData!$L$447),"",ReferenceData!$L$447),"")</f>
        <v>6.2335394260000001</v>
      </c>
      <c r="M447">
        <f ca="1">IFERROR(IF(0=LEN(ReferenceData!$M$447),"",ReferenceData!$M$447),"")</f>
        <v>4.7645259390000003</v>
      </c>
      <c r="N447">
        <f ca="1">IFERROR(IF(0=LEN(ReferenceData!$N$447),"",ReferenceData!$N$447),"")</f>
        <v>6.6913836130000002</v>
      </c>
      <c r="O447">
        <f ca="1">IFERROR(IF(0=LEN(ReferenceData!$O$447),"",ReferenceData!$O$447),"")</f>
        <v>7.3299130339999996</v>
      </c>
      <c r="P447">
        <f ca="1">IFERROR(IF(0=LEN(ReferenceData!$P$447),"",ReferenceData!$P$447),"")</f>
        <v>3.8866636159999999</v>
      </c>
      <c r="Q447">
        <f ca="1">IFERROR(IF(0=LEN(ReferenceData!$Q$447),"",ReferenceData!$Q$447),"")</f>
        <v>3.4256592530000001</v>
      </c>
      <c r="R447">
        <f ca="1">IFERROR(IF(0=LEN(ReferenceData!$R$447),"",ReferenceData!$R$447),"")</f>
        <v>3.7033851520000001</v>
      </c>
      <c r="S447">
        <f ca="1">IFERROR(IF(0=LEN(ReferenceData!$S$447),"",ReferenceData!$S$447),"")</f>
        <v>5.6665386790000003</v>
      </c>
      <c r="T447">
        <f ca="1">IFERROR(IF(0=LEN(ReferenceData!$T$447),"",ReferenceData!$T$447),"")</f>
        <v>5.8645432880000001</v>
      </c>
      <c r="U447">
        <f ca="1">IFERROR(IF(0=LEN(ReferenceData!$U$447),"",ReferenceData!$U$447),"")</f>
        <v>7.1129166640000001</v>
      </c>
      <c r="V447">
        <f ca="1">IFERROR(IF(0=LEN(ReferenceData!$V$447),"",ReferenceData!$V$447),"")</f>
        <v>8.5694641249999997</v>
      </c>
      <c r="W447">
        <f ca="1">IFERROR(IF(0=LEN(ReferenceData!$W$447),"",ReferenceData!$W$447),"")</f>
        <v>11.100821829999999</v>
      </c>
      <c r="X447">
        <f ca="1">IFERROR(IF(0=LEN(ReferenceData!$X$447),"",ReferenceData!$X$447),"")</f>
        <v>8.4889833849999992</v>
      </c>
      <c r="Y447">
        <f ca="1">IFERROR(IF(0=LEN(ReferenceData!$Y$447),"",ReferenceData!$Y$447),"")</f>
        <v>7.9388533150000002</v>
      </c>
      <c r="Z447">
        <f ca="1">IFERROR(IF(0=LEN(ReferenceData!$Z$447),"",ReferenceData!$Z$447),"")</f>
        <v>5.9843024690000002</v>
      </c>
      <c r="AA447">
        <f ca="1">IFERROR(IF(0=LEN(ReferenceData!$AA$447),"",ReferenceData!$AA$447),"")</f>
        <v>7.6139914089999996</v>
      </c>
      <c r="AB447">
        <f ca="1">IFERROR(IF(0=LEN(ReferenceData!$AB$447),"",ReferenceData!$AB$447),"")</f>
        <v>9.1365294890000008</v>
      </c>
      <c r="AC447">
        <f ca="1">IFERROR(IF(0=LEN(ReferenceData!$AC$447),"",ReferenceData!$AC$447),"")</f>
        <v>9.1484926980000001</v>
      </c>
      <c r="AD447">
        <f ca="1">IFERROR(IF(0=LEN(ReferenceData!$AD$447),"",ReferenceData!$AD$447),"")</f>
        <v>6.6119979009999996</v>
      </c>
      <c r="AE447">
        <f ca="1">IFERROR(IF(0=LEN(ReferenceData!$AE$447),"",ReferenceData!$AE$447),"")</f>
        <v>5.0500249430000004</v>
      </c>
      <c r="AF447">
        <f ca="1">IFERROR(IF(0=LEN(ReferenceData!$AF$447),"",ReferenceData!$AF$447),"")</f>
        <v>2.8698988750000001</v>
      </c>
      <c r="AG447">
        <f ca="1">IFERROR(IF(0=LEN(ReferenceData!$AG$447),"",ReferenceData!$AG$447),"")</f>
        <v>4.7612077409999998</v>
      </c>
      <c r="AH447">
        <f ca="1">IFERROR(IF(0=LEN(ReferenceData!$AH$447),"",ReferenceData!$AH$447),"")</f>
        <v>10.8921942</v>
      </c>
      <c r="AI447">
        <f ca="1">IFERROR(IF(0=LEN(ReferenceData!$AI$447),"",ReferenceData!$AI$447),"")</f>
        <v>7.9957140969999996</v>
      </c>
      <c r="AJ447">
        <f ca="1">IFERROR(IF(0=LEN(ReferenceData!$AJ$447),"",ReferenceData!$AJ$447),"")</f>
        <v>12.14583799</v>
      </c>
      <c r="AK447">
        <f ca="1">IFERROR(IF(0=LEN(ReferenceData!$AK$447),"",ReferenceData!$AK$447),"")</f>
        <v>6.8627534739999998</v>
      </c>
      <c r="AL447">
        <f ca="1">IFERROR(IF(0=LEN(ReferenceData!$AL$447),"",ReferenceData!$AL$447),"")</f>
        <v>3.7781524659999999</v>
      </c>
      <c r="AM447">
        <f ca="1">IFERROR(IF(0=LEN(ReferenceData!$AM$447),"",ReferenceData!$AM$447),"")</f>
        <v>4.4508215709999996</v>
      </c>
      <c r="AN447">
        <f ca="1">IFERROR(IF(0=LEN(ReferenceData!$AN$447),"",ReferenceData!$AN$447),"")</f>
        <v>3.3074381270000002</v>
      </c>
      <c r="AO447">
        <f ca="1">IFERROR(IF(0=LEN(ReferenceData!$AO$447),"",ReferenceData!$AO$447),"")</f>
        <v>3.1727538709999998</v>
      </c>
      <c r="AP447">
        <f ca="1">IFERROR(IF(0=LEN(ReferenceData!$AP$447),"",ReferenceData!$AP$447),"")</f>
        <v>3.228603777</v>
      </c>
      <c r="AQ447">
        <f ca="1">IFERROR(IF(0=LEN(ReferenceData!$AQ$447),"",ReferenceData!$AQ$447),"")</f>
        <v>7.473148514</v>
      </c>
      <c r="AR447">
        <f ca="1">IFERROR(IF(0=LEN(ReferenceData!$AR$447),"",ReferenceData!$AR$447),"")</f>
        <v>8.7365436509999999</v>
      </c>
      <c r="AS447">
        <f ca="1">IFERROR(IF(0=LEN(ReferenceData!$AS$447),"",ReferenceData!$AS$447),"")</f>
        <v>24.534452739999999</v>
      </c>
      <c r="AT447" t="str">
        <f ca="1">IFERROR(IF(0=LEN(ReferenceData!$AT$447),"",ReferenceData!$AT$447),"")</f>
        <v/>
      </c>
      <c r="AU447" t="str">
        <f ca="1">IFERROR(IF(0=LEN(ReferenceData!$AU$447),"",ReferenceData!$AU$447),"")</f>
        <v/>
      </c>
      <c r="AV447" t="str">
        <f ca="1">IFERROR(IF(0=LEN(ReferenceData!$AV$447),"",ReferenceData!$AV$447),"")</f>
        <v/>
      </c>
      <c r="AW447" t="str">
        <f ca="1">IFERROR(IF(0=LEN(ReferenceData!$AW$447),"",ReferenceData!$AW$447),"")</f>
        <v/>
      </c>
      <c r="AX447" t="str">
        <f ca="1">IFERROR(IF(0=LEN(ReferenceData!$AX$447),"",ReferenceData!$AX$447),"")</f>
        <v/>
      </c>
      <c r="AY447" t="str">
        <f ca="1">IFERROR(IF(0=LEN(ReferenceData!$AY$447),"",ReferenceData!$AY$447),"")</f>
        <v/>
      </c>
      <c r="AZ447" t="str">
        <f ca="1">IFERROR(IF(0=LEN(ReferenceData!$AZ$447),"",ReferenceData!$AZ$447),"")</f>
        <v/>
      </c>
      <c r="BA447" t="str">
        <f ca="1">IFERROR(IF(0=LEN(ReferenceData!$BA$447),"",ReferenceData!$BA$447),"")</f>
        <v/>
      </c>
      <c r="BB447" t="str">
        <f ca="1">IFERROR(IF(0=LEN(ReferenceData!$BB$447),"",ReferenceData!$BB$447),"")</f>
        <v/>
      </c>
      <c r="BC447" t="str">
        <f ca="1">IFERROR(IF(0=LEN(ReferenceData!$BC$447),"",ReferenceData!$BC$447),"")</f>
        <v/>
      </c>
      <c r="BD447" t="str">
        <f ca="1">IFERROR(IF(0=LEN(ReferenceData!$BD$447),"",ReferenceData!$BD$447),"")</f>
        <v/>
      </c>
      <c r="BE447" t="str">
        <f ca="1">IFERROR(IF(0=LEN(ReferenceData!$BE$447),"",ReferenceData!$BE$447),"")</f>
        <v/>
      </c>
      <c r="BF447" t="str">
        <f ca="1">IFERROR(IF(0=LEN(ReferenceData!$BF$447),"",ReferenceData!$BF$447),"")</f>
        <v/>
      </c>
      <c r="BG447" t="str">
        <f ca="1">IFERROR(IF(0=LEN(ReferenceData!$BG$447),"",ReferenceData!$BG$447),"")</f>
        <v/>
      </c>
      <c r="BH447" t="str">
        <f ca="1">IFERROR(IF(0=LEN(ReferenceData!$BH$447),"",ReferenceData!$BH$447),"")</f>
        <v/>
      </c>
      <c r="BI447" t="str">
        <f ca="1">IFERROR(IF(0=LEN(ReferenceData!$BI$447),"",ReferenceData!$BI$447),"")</f>
        <v/>
      </c>
      <c r="BJ447" t="str">
        <f ca="1">IFERROR(IF(0=LEN(ReferenceData!$BJ$447),"",ReferenceData!$BJ$447),"")</f>
        <v/>
      </c>
      <c r="BK447" t="str">
        <f ca="1">IFERROR(IF(0=LEN(ReferenceData!$BK$447),"",ReferenceData!$BK$447),"")</f>
        <v/>
      </c>
      <c r="BL447" t="str">
        <f ca="1">IFERROR(IF(0=LEN(ReferenceData!$BL$447),"",ReferenceData!$BL$447),"")</f>
        <v/>
      </c>
      <c r="BM447" t="str">
        <f ca="1">IFERROR(IF(0=LEN(ReferenceData!$BM$447),"",ReferenceData!$BM$447),"")</f>
        <v/>
      </c>
    </row>
    <row r="448" spans="1:65" x14ac:dyDescent="0.25">
      <c r="A448" t="str">
        <f>IFERROR(IF(0=LEN(ReferenceData!$A$448),"",ReferenceData!$A$448),"")</f>
        <v xml:space="preserve">    Suzuki Motor Corp</v>
      </c>
      <c r="B448" t="str">
        <f>IFERROR(IF(0=LEN(ReferenceData!$B$448),"",ReferenceData!$B$448),"")</f>
        <v>7269 JP Equity</v>
      </c>
      <c r="C448" t="str">
        <f>IFERROR(IF(0=LEN(ReferenceData!$C$448),"",ReferenceData!$C$448),"")</f>
        <v>RR477</v>
      </c>
      <c r="D448" t="str">
        <f>IFERROR(IF(0=LEN(ReferenceData!$D$448),"",ReferenceData!$D$448),"")</f>
        <v>EV_TO_T12M_CASH_FLOW</v>
      </c>
      <c r="E448" t="str">
        <f>IFERROR(IF(0=LEN(ReferenceData!$E$448),"",ReferenceData!$E$448),"")</f>
        <v>Dynamic</v>
      </c>
      <c r="F448" t="str">
        <f ca="1">IFERROR(IF(0=LEN(ReferenceData!$F$448),"",ReferenceData!$F$448),"")</f>
        <v/>
      </c>
      <c r="G448">
        <f ca="1">IFERROR(IF(0=LEN(ReferenceData!$G$448),"",ReferenceData!$G$448),"")</f>
        <v>6.1894145509999996</v>
      </c>
      <c r="H448">
        <f ca="1">IFERROR(IF(0=LEN(ReferenceData!$H$448),"",ReferenceData!$H$448),"")</f>
        <v>6.6166255669999998</v>
      </c>
      <c r="I448">
        <f ca="1">IFERROR(IF(0=LEN(ReferenceData!$I$448),"",ReferenceData!$I$448),"")</f>
        <v>5.477300037</v>
      </c>
      <c r="J448">
        <f ca="1">IFERROR(IF(0=LEN(ReferenceData!$J$448),"",ReferenceData!$J$448),"")</f>
        <v>5.5546215840000004</v>
      </c>
      <c r="K448">
        <f ca="1">IFERROR(IF(0=LEN(ReferenceData!$K$448),"",ReferenceData!$K$448),"")</f>
        <v>7.1714832739999999</v>
      </c>
      <c r="L448">
        <f ca="1">IFERROR(IF(0=LEN(ReferenceData!$L$448),"",ReferenceData!$L$448),"")</f>
        <v>6.0376114660000004</v>
      </c>
      <c r="M448">
        <f ca="1">IFERROR(IF(0=LEN(ReferenceData!$M$448),"",ReferenceData!$M$448),"")</f>
        <v>7.1301329109999996</v>
      </c>
      <c r="N448">
        <f ca="1">IFERROR(IF(0=LEN(ReferenceData!$N$448),"",ReferenceData!$N$448),"")</f>
        <v>5.2579886460000003</v>
      </c>
      <c r="O448">
        <f ca="1">IFERROR(IF(0=LEN(ReferenceData!$O$448),"",ReferenceData!$O$448),"")</f>
        <v>4.5985675009999998</v>
      </c>
      <c r="P448">
        <f ca="1">IFERROR(IF(0=LEN(ReferenceData!$P$448),"",ReferenceData!$P$448),"")</f>
        <v>3.356012303</v>
      </c>
      <c r="Q448">
        <f ca="1">IFERROR(IF(0=LEN(ReferenceData!$Q$448),"",ReferenceData!$Q$448),"")</f>
        <v>3.5151972370000002</v>
      </c>
      <c r="R448">
        <f ca="1">IFERROR(IF(0=LEN(ReferenceData!$R$448),"",ReferenceData!$R$448),"")</f>
        <v>4.497579258</v>
      </c>
      <c r="S448">
        <f ca="1">IFERROR(IF(0=LEN(ReferenceData!$S$448),"",ReferenceData!$S$448),"")</f>
        <v>5.6717953259999998</v>
      </c>
      <c r="T448">
        <f ca="1">IFERROR(IF(0=LEN(ReferenceData!$T$448),"",ReferenceData!$T$448),"")</f>
        <v>7.1048607370000001</v>
      </c>
      <c r="U448">
        <f ca="1">IFERROR(IF(0=LEN(ReferenceData!$U$448),"",ReferenceData!$U$448),"")</f>
        <v>6.3517769709999996</v>
      </c>
      <c r="V448">
        <f ca="1">IFERROR(IF(0=LEN(ReferenceData!$V$448),"",ReferenceData!$V$448),"")</f>
        <v>6.5516068929999998</v>
      </c>
      <c r="W448">
        <f ca="1">IFERROR(IF(0=LEN(ReferenceData!$W$448),"",ReferenceData!$W$448),"")</f>
        <v>7.9636557549999996</v>
      </c>
      <c r="X448">
        <f ca="1">IFERROR(IF(0=LEN(ReferenceData!$X$448),"",ReferenceData!$X$448),"")</f>
        <v>6.6831532280000001</v>
      </c>
      <c r="Y448">
        <f ca="1">IFERROR(IF(0=LEN(ReferenceData!$Y$448),"",ReferenceData!$Y$448),"")</f>
        <v>5.0354454899999999</v>
      </c>
      <c r="Z448">
        <f ca="1">IFERROR(IF(0=LEN(ReferenceData!$Z$448),"",ReferenceData!$Z$448),"")</f>
        <v>3.6123855960000002</v>
      </c>
      <c r="AA448">
        <f ca="1">IFERROR(IF(0=LEN(ReferenceData!$AA$448),"",ReferenceData!$AA$448),"")</f>
        <v>4.0221075810000002</v>
      </c>
      <c r="AB448">
        <f ca="1">IFERROR(IF(0=LEN(ReferenceData!$AB$448),"",ReferenceData!$AB$448),"")</f>
        <v>3.7044249749999998</v>
      </c>
      <c r="AC448">
        <f ca="1">IFERROR(IF(0=LEN(ReferenceData!$AC$448),"",ReferenceData!$AC$448),"")</f>
        <v>5.1015708010000003</v>
      </c>
      <c r="AD448">
        <f ca="1">IFERROR(IF(0=LEN(ReferenceData!$AD$448),"",ReferenceData!$AD$448),"")</f>
        <v>4.9318325669999998</v>
      </c>
      <c r="AE448">
        <f ca="1">IFERROR(IF(0=LEN(ReferenceData!$AE$448),"",ReferenceData!$AE$448),"")</f>
        <v>6.6181752969999996</v>
      </c>
      <c r="AF448">
        <f ca="1">IFERROR(IF(0=LEN(ReferenceData!$AF$448),"",ReferenceData!$AF$448),"")</f>
        <v>3.1370359699999999</v>
      </c>
      <c r="AG448">
        <f ca="1">IFERROR(IF(0=LEN(ReferenceData!$AG$448),"",ReferenceData!$AG$448),"")</f>
        <v>2.6608480600000002</v>
      </c>
      <c r="AH448">
        <f ca="1">IFERROR(IF(0=LEN(ReferenceData!$AH$448),"",ReferenceData!$AH$448),"")</f>
        <v>3.7495077110000001</v>
      </c>
      <c r="AI448">
        <f ca="1">IFERROR(IF(0=LEN(ReferenceData!$AI$448),"",ReferenceData!$AI$448),"")</f>
        <v>2.6460763539999999</v>
      </c>
      <c r="AJ448">
        <f ca="1">IFERROR(IF(0=LEN(ReferenceData!$AJ$448),"",ReferenceData!$AJ$448),"")</f>
        <v>3.7415647449999998</v>
      </c>
      <c r="AK448">
        <f ca="1">IFERROR(IF(0=LEN(ReferenceData!$AK$448),"",ReferenceData!$AK$448),"")</f>
        <v>5.6299530449999997</v>
      </c>
      <c r="AL448">
        <f ca="1">IFERROR(IF(0=LEN(ReferenceData!$AL$448),"",ReferenceData!$AL$448),"")</f>
        <v>4.1053293369999997</v>
      </c>
      <c r="AM448">
        <f ca="1">IFERROR(IF(0=LEN(ReferenceData!$AM$448),"",ReferenceData!$AM$448),"")</f>
        <v>4.4697368480000002</v>
      </c>
      <c r="AN448">
        <f ca="1">IFERROR(IF(0=LEN(ReferenceData!$AN$448),"",ReferenceData!$AN$448),"")</f>
        <v>2.4480524180000001</v>
      </c>
      <c r="AO448">
        <f ca="1">IFERROR(IF(0=LEN(ReferenceData!$AO$448),"",ReferenceData!$AO$448),"")</f>
        <v>2.077385993</v>
      </c>
      <c r="AP448">
        <f ca="1">IFERROR(IF(0=LEN(ReferenceData!$AP$448),"",ReferenceData!$AP$448),"")</f>
        <v>3.3545770140000002</v>
      </c>
      <c r="AQ448">
        <f ca="1">IFERROR(IF(0=LEN(ReferenceData!$AQ$448),"",ReferenceData!$AQ$448),"")</f>
        <v>4.774112498</v>
      </c>
      <c r="AR448">
        <f ca="1">IFERROR(IF(0=LEN(ReferenceData!$AR$448),"",ReferenceData!$AR$448),"")</f>
        <v>15.77911857</v>
      </c>
      <c r="AS448" t="str">
        <f ca="1">IFERROR(IF(0=LEN(ReferenceData!$AS$448),"",ReferenceData!$AS$448),"")</f>
        <v/>
      </c>
      <c r="AT448">
        <f ca="1">IFERROR(IF(0=LEN(ReferenceData!$AT$448),"",ReferenceData!$AT$448),"")</f>
        <v>30.719306849999999</v>
      </c>
      <c r="AU448">
        <f ca="1">IFERROR(IF(0=LEN(ReferenceData!$AU$448),"",ReferenceData!$AU$448),"")</f>
        <v>23.427589900000001</v>
      </c>
      <c r="AV448">
        <f ca="1">IFERROR(IF(0=LEN(ReferenceData!$AV$448),"",ReferenceData!$AV$448),"")</f>
        <v>5.6814242559999997</v>
      </c>
      <c r="AW448">
        <f ca="1">IFERROR(IF(0=LEN(ReferenceData!$AW$448),"",ReferenceData!$AW$448),"")</f>
        <v>6.9071309540000003</v>
      </c>
      <c r="AX448">
        <f ca="1">IFERROR(IF(0=LEN(ReferenceData!$AX$448),"",ReferenceData!$AX$448),"")</f>
        <v>6.3590577929999998</v>
      </c>
      <c r="AY448">
        <f ca="1">IFERROR(IF(0=LEN(ReferenceData!$AY$448),"",ReferenceData!$AY$448),"")</f>
        <v>7.532827685</v>
      </c>
      <c r="AZ448">
        <f ca="1">IFERROR(IF(0=LEN(ReferenceData!$AZ$448),"",ReferenceData!$AZ$448),"")</f>
        <v>7.9600721669999999</v>
      </c>
      <c r="BA448">
        <f ca="1">IFERROR(IF(0=LEN(ReferenceData!$BA$448),"",ReferenceData!$BA$448),"")</f>
        <v>8.0840609420000007</v>
      </c>
      <c r="BB448">
        <f ca="1">IFERROR(IF(0=LEN(ReferenceData!$BB$448),"",ReferenceData!$BB$448),"")</f>
        <v>7.0672009469999999</v>
      </c>
      <c r="BC448">
        <f ca="1">IFERROR(IF(0=LEN(ReferenceData!$BC$448),"",ReferenceData!$BC$448),"")</f>
        <v>6.327450164</v>
      </c>
      <c r="BD448">
        <f ca="1">IFERROR(IF(0=LEN(ReferenceData!$BD$448),"",ReferenceData!$BD$448),"")</f>
        <v>5.3027191599999997</v>
      </c>
      <c r="BE448">
        <f ca="1">IFERROR(IF(0=LEN(ReferenceData!$BE$448),"",ReferenceData!$BE$448),"")</f>
        <v>4.2038334539999997</v>
      </c>
      <c r="BF448">
        <f ca="1">IFERROR(IF(0=LEN(ReferenceData!$BF$448),"",ReferenceData!$BF$448),"")</f>
        <v>5.1194946689999998</v>
      </c>
      <c r="BG448">
        <f ca="1">IFERROR(IF(0=LEN(ReferenceData!$BG$448),"",ReferenceData!$BG$448),"")</f>
        <v>4.9665172440000003</v>
      </c>
      <c r="BH448">
        <f ca="1">IFERROR(IF(0=LEN(ReferenceData!$BH$448),"",ReferenceData!$BH$448),"")</f>
        <v>4.571997606</v>
      </c>
      <c r="BI448" t="str">
        <f ca="1">IFERROR(IF(0=LEN(ReferenceData!$BI$448),"",ReferenceData!$BI$448),"")</f>
        <v/>
      </c>
      <c r="BJ448">
        <f ca="1">IFERROR(IF(0=LEN(ReferenceData!$BJ$448),"",ReferenceData!$BJ$448),"")</f>
        <v>4.2201361730000002</v>
      </c>
      <c r="BK448" t="str">
        <f ca="1">IFERROR(IF(0=LEN(ReferenceData!$BK$448),"",ReferenceData!$BK$448),"")</f>
        <v/>
      </c>
      <c r="BL448">
        <f ca="1">IFERROR(IF(0=LEN(ReferenceData!$BL$448),"",ReferenceData!$BL$448),"")</f>
        <v>4.2474561819999996</v>
      </c>
      <c r="BM448" t="str">
        <f ca="1">IFERROR(IF(0=LEN(ReferenceData!$BM$448),"",ReferenceData!$BM$448),"")</f>
        <v/>
      </c>
    </row>
    <row r="449" spans="1:65" x14ac:dyDescent="0.25">
      <c r="A449" t="str">
        <f>IFERROR(IF(0=LEN(ReferenceData!$A$449),"",ReferenceData!$A$449),"")</f>
        <v xml:space="preserve">    Tata Motors Ltd</v>
      </c>
      <c r="B449" t="str">
        <f>IFERROR(IF(0=LEN(ReferenceData!$B$449),"",ReferenceData!$B$449),"")</f>
        <v>TTMT IN Equity</v>
      </c>
      <c r="C449" t="str">
        <f>IFERROR(IF(0=LEN(ReferenceData!$C$449),"",ReferenceData!$C$449),"")</f>
        <v>RR477</v>
      </c>
      <c r="D449" t="str">
        <f>IFERROR(IF(0=LEN(ReferenceData!$D$449),"",ReferenceData!$D$449),"")</f>
        <v>EV_TO_T12M_CASH_FLOW</v>
      </c>
      <c r="E449" t="str">
        <f>IFERROR(IF(0=LEN(ReferenceData!$E$449),"",ReferenceData!$E$449),"")</f>
        <v>Dynamic</v>
      </c>
      <c r="F449" t="str">
        <f ca="1">IFERROR(IF(0=LEN(ReferenceData!$F$449),"",ReferenceData!$F$449),"")</f>
        <v/>
      </c>
      <c r="G449" t="str">
        <f ca="1">IFERROR(IF(0=LEN(ReferenceData!$G$449),"",ReferenceData!$G$449),"")</f>
        <v/>
      </c>
      <c r="H449" t="str">
        <f ca="1">IFERROR(IF(0=LEN(ReferenceData!$H$449),"",ReferenceData!$H$449),"")</f>
        <v/>
      </c>
      <c r="I449" t="str">
        <f ca="1">IFERROR(IF(0=LEN(ReferenceData!$I$449),"",ReferenceData!$I$449),"")</f>
        <v/>
      </c>
      <c r="J449" t="str">
        <f ca="1">IFERROR(IF(0=LEN(ReferenceData!$J$449),"",ReferenceData!$J$449),"")</f>
        <v/>
      </c>
      <c r="K449" t="str">
        <f ca="1">IFERROR(IF(0=LEN(ReferenceData!$K$449),"",ReferenceData!$K$449),"")</f>
        <v/>
      </c>
      <c r="L449" t="str">
        <f ca="1">IFERROR(IF(0=LEN(ReferenceData!$L$449),"",ReferenceData!$L$449),"")</f>
        <v/>
      </c>
      <c r="M449" t="str">
        <f ca="1">IFERROR(IF(0=LEN(ReferenceData!$M$449),"",ReferenceData!$M$449),"")</f>
        <v/>
      </c>
      <c r="N449" t="str">
        <f ca="1">IFERROR(IF(0=LEN(ReferenceData!$N$449),"",ReferenceData!$N$449),"")</f>
        <v/>
      </c>
      <c r="O449" t="str">
        <f ca="1">IFERROR(IF(0=LEN(ReferenceData!$O$449),"",ReferenceData!$O$449),"")</f>
        <v/>
      </c>
      <c r="P449" t="str">
        <f ca="1">IFERROR(IF(0=LEN(ReferenceData!$P$449),"",ReferenceData!$P$449),"")</f>
        <v/>
      </c>
      <c r="Q449" t="str">
        <f ca="1">IFERROR(IF(0=LEN(ReferenceData!$Q$449),"",ReferenceData!$Q$449),"")</f>
        <v/>
      </c>
      <c r="R449" t="str">
        <f ca="1">IFERROR(IF(0=LEN(ReferenceData!$R$449),"",ReferenceData!$R$449),"")</f>
        <v/>
      </c>
      <c r="S449" t="str">
        <f ca="1">IFERROR(IF(0=LEN(ReferenceData!$S$449),"",ReferenceData!$S$449),"")</f>
        <v/>
      </c>
      <c r="T449" t="str">
        <f ca="1">IFERROR(IF(0=LEN(ReferenceData!$T$449),"",ReferenceData!$T$449),"")</f>
        <v/>
      </c>
      <c r="U449" t="str">
        <f ca="1">IFERROR(IF(0=LEN(ReferenceData!$U$449),"",ReferenceData!$U$449),"")</f>
        <v/>
      </c>
      <c r="V449" t="str">
        <f ca="1">IFERROR(IF(0=LEN(ReferenceData!$V$449),"",ReferenceData!$V$449),"")</f>
        <v/>
      </c>
      <c r="W449" t="str">
        <f ca="1">IFERROR(IF(0=LEN(ReferenceData!$W$449),"",ReferenceData!$W$449),"")</f>
        <v/>
      </c>
      <c r="X449" t="str">
        <f ca="1">IFERROR(IF(0=LEN(ReferenceData!$X$449),"",ReferenceData!$X$449),"")</f>
        <v/>
      </c>
      <c r="Y449" t="str">
        <f ca="1">IFERROR(IF(0=LEN(ReferenceData!$Y$449),"",ReferenceData!$Y$449),"")</f>
        <v/>
      </c>
      <c r="Z449" t="str">
        <f ca="1">IFERROR(IF(0=LEN(ReferenceData!$Z$449),"",ReferenceData!$Z$449),"")</f>
        <v/>
      </c>
      <c r="AA449" t="str">
        <f ca="1">IFERROR(IF(0=LEN(ReferenceData!$AA$449),"",ReferenceData!$AA$449),"")</f>
        <v/>
      </c>
      <c r="AB449" t="str">
        <f ca="1">IFERROR(IF(0=LEN(ReferenceData!$AB$449),"",ReferenceData!$AB$449),"")</f>
        <v/>
      </c>
      <c r="AC449" t="str">
        <f ca="1">IFERROR(IF(0=LEN(ReferenceData!$AC$449),"",ReferenceData!$AC$449),"")</f>
        <v/>
      </c>
      <c r="AD449" t="str">
        <f ca="1">IFERROR(IF(0=LEN(ReferenceData!$AD$449),"",ReferenceData!$AD$449),"")</f>
        <v/>
      </c>
      <c r="AE449" t="str">
        <f ca="1">IFERROR(IF(0=LEN(ReferenceData!$AE$449),"",ReferenceData!$AE$449),"")</f>
        <v/>
      </c>
      <c r="AF449" t="str">
        <f ca="1">IFERROR(IF(0=LEN(ReferenceData!$AF$449),"",ReferenceData!$AF$449),"")</f>
        <v/>
      </c>
      <c r="AG449" t="str">
        <f ca="1">IFERROR(IF(0=LEN(ReferenceData!$AG$449),"",ReferenceData!$AG$449),"")</f>
        <v/>
      </c>
      <c r="AH449" t="str">
        <f ca="1">IFERROR(IF(0=LEN(ReferenceData!$AH$449),"",ReferenceData!$AH$449),"")</f>
        <v/>
      </c>
      <c r="AI449" t="str">
        <f ca="1">IFERROR(IF(0=LEN(ReferenceData!$AI$449),"",ReferenceData!$AI$449),"")</f>
        <v/>
      </c>
      <c r="AJ449" t="str">
        <f ca="1">IFERROR(IF(0=LEN(ReferenceData!$AJ$449),"",ReferenceData!$AJ$449),"")</f>
        <v/>
      </c>
      <c r="AK449" t="str">
        <f ca="1">IFERROR(IF(0=LEN(ReferenceData!$AK$449),"",ReferenceData!$AK$449),"")</f>
        <v/>
      </c>
      <c r="AL449" t="str">
        <f ca="1">IFERROR(IF(0=LEN(ReferenceData!$AL$449),"",ReferenceData!$AL$449),"")</f>
        <v/>
      </c>
      <c r="AM449" t="str">
        <f ca="1">IFERROR(IF(0=LEN(ReferenceData!$AM$449),"",ReferenceData!$AM$449),"")</f>
        <v/>
      </c>
      <c r="AN449" t="str">
        <f ca="1">IFERROR(IF(0=LEN(ReferenceData!$AN$449),"",ReferenceData!$AN$449),"")</f>
        <v/>
      </c>
      <c r="AO449" t="str">
        <f ca="1">IFERROR(IF(0=LEN(ReferenceData!$AO$449),"",ReferenceData!$AO$449),"")</f>
        <v/>
      </c>
      <c r="AP449" t="str">
        <f ca="1">IFERROR(IF(0=LEN(ReferenceData!$AP$449),"",ReferenceData!$AP$449),"")</f>
        <v/>
      </c>
      <c r="AQ449" t="str">
        <f ca="1">IFERROR(IF(0=LEN(ReferenceData!$AQ$449),"",ReferenceData!$AQ$449),"")</f>
        <v/>
      </c>
      <c r="AR449" t="str">
        <f ca="1">IFERROR(IF(0=LEN(ReferenceData!$AR$449),"",ReferenceData!$AR$449),"")</f>
        <v/>
      </c>
      <c r="AS449" t="str">
        <f ca="1">IFERROR(IF(0=LEN(ReferenceData!$AS$449),"",ReferenceData!$AS$449),"")</f>
        <v/>
      </c>
      <c r="AT449" t="str">
        <f ca="1">IFERROR(IF(0=LEN(ReferenceData!$AT$449),"",ReferenceData!$AT$449),"")</f>
        <v/>
      </c>
      <c r="AU449" t="str">
        <f ca="1">IFERROR(IF(0=LEN(ReferenceData!$AU$449),"",ReferenceData!$AU$449),"")</f>
        <v/>
      </c>
      <c r="AV449" t="str">
        <f ca="1">IFERROR(IF(0=LEN(ReferenceData!$AV$449),"",ReferenceData!$AV$449),"")</f>
        <v/>
      </c>
      <c r="AW449" t="str">
        <f ca="1">IFERROR(IF(0=LEN(ReferenceData!$AW$449),"",ReferenceData!$AW$449),"")</f>
        <v/>
      </c>
      <c r="AX449" t="str">
        <f ca="1">IFERROR(IF(0=LEN(ReferenceData!$AX$449),"",ReferenceData!$AX$449),"")</f>
        <v/>
      </c>
      <c r="AY449" t="str">
        <f ca="1">IFERROR(IF(0=LEN(ReferenceData!$AY$449),"",ReferenceData!$AY$449),"")</f>
        <v/>
      </c>
      <c r="AZ449" t="str">
        <f ca="1">IFERROR(IF(0=LEN(ReferenceData!$AZ$449),"",ReferenceData!$AZ$449),"")</f>
        <v/>
      </c>
      <c r="BA449" t="str">
        <f ca="1">IFERROR(IF(0=LEN(ReferenceData!$BA$449),"",ReferenceData!$BA$449),"")</f>
        <v/>
      </c>
      <c r="BB449" t="str">
        <f ca="1">IFERROR(IF(0=LEN(ReferenceData!$BB$449),"",ReferenceData!$BB$449),"")</f>
        <v/>
      </c>
      <c r="BC449" t="str">
        <f ca="1">IFERROR(IF(0=LEN(ReferenceData!$BC$449),"",ReferenceData!$BC$449),"")</f>
        <v/>
      </c>
      <c r="BD449" t="str">
        <f ca="1">IFERROR(IF(0=LEN(ReferenceData!$BD$449),"",ReferenceData!$BD$449),"")</f>
        <v/>
      </c>
      <c r="BE449" t="str">
        <f ca="1">IFERROR(IF(0=LEN(ReferenceData!$BE$449),"",ReferenceData!$BE$449),"")</f>
        <v/>
      </c>
      <c r="BF449" t="str">
        <f ca="1">IFERROR(IF(0=LEN(ReferenceData!$BF$449),"",ReferenceData!$BF$449),"")</f>
        <v/>
      </c>
      <c r="BG449" t="str">
        <f ca="1">IFERROR(IF(0=LEN(ReferenceData!$BG$449),"",ReferenceData!$BG$449),"")</f>
        <v/>
      </c>
      <c r="BH449" t="str">
        <f ca="1">IFERROR(IF(0=LEN(ReferenceData!$BH$449),"",ReferenceData!$BH$449),"")</f>
        <v/>
      </c>
      <c r="BI449" t="str">
        <f ca="1">IFERROR(IF(0=LEN(ReferenceData!$BI$449),"",ReferenceData!$BI$449),"")</f>
        <v/>
      </c>
      <c r="BJ449" t="str">
        <f ca="1">IFERROR(IF(0=LEN(ReferenceData!$BJ$449),"",ReferenceData!$BJ$449),"")</f>
        <v/>
      </c>
      <c r="BK449" t="str">
        <f ca="1">IFERROR(IF(0=LEN(ReferenceData!$BK$449),"",ReferenceData!$BK$449),"")</f>
        <v/>
      </c>
      <c r="BL449" t="str">
        <f ca="1">IFERROR(IF(0=LEN(ReferenceData!$BL$449),"",ReferenceData!$BL$449),"")</f>
        <v/>
      </c>
      <c r="BM449" t="str">
        <f ca="1">IFERROR(IF(0=LEN(ReferenceData!$BM$449),"",ReferenceData!$BM$449),"")</f>
        <v/>
      </c>
    </row>
    <row r="450" spans="1:65" x14ac:dyDescent="0.25">
      <c r="A450" t="str">
        <f>IFERROR(IF(0=LEN(ReferenceData!$A$450),"",ReferenceData!$A$450),"")</f>
        <v xml:space="preserve">    Tesla Inc</v>
      </c>
      <c r="B450" t="str">
        <f>IFERROR(IF(0=LEN(ReferenceData!$B$450),"",ReferenceData!$B$450),"")</f>
        <v>TSLA US Equity</v>
      </c>
      <c r="C450" t="str">
        <f>IFERROR(IF(0=LEN(ReferenceData!$C$450),"",ReferenceData!$C$450),"")</f>
        <v>RR477</v>
      </c>
      <c r="D450" t="str">
        <f>IFERROR(IF(0=LEN(ReferenceData!$D$450),"",ReferenceData!$D$450),"")</f>
        <v>EV_TO_T12M_CASH_FLOW</v>
      </c>
      <c r="E450" t="str">
        <f>IFERROR(IF(0=LEN(ReferenceData!$E$450),"",ReferenceData!$E$450),"")</f>
        <v>Dynamic</v>
      </c>
      <c r="F450" t="str">
        <f ca="1">IFERROR(IF(0=LEN(ReferenceData!$F$450),"",ReferenceData!$F$450),"")</f>
        <v/>
      </c>
      <c r="G450">
        <f ca="1">IFERROR(IF(0=LEN(ReferenceData!$G$450),"",ReferenceData!$G$450),"")</f>
        <v>31.994626950000001</v>
      </c>
      <c r="H450">
        <f ca="1">IFERROR(IF(0=LEN(ReferenceData!$H$450),"",ReferenceData!$H$450),"")</f>
        <v>40.480438200000002</v>
      </c>
      <c r="I450" t="str">
        <f ca="1">IFERROR(IF(0=LEN(ReferenceData!$I$450),"",ReferenceData!$I$450),"")</f>
        <v/>
      </c>
      <c r="J450" t="str">
        <f ca="1">IFERROR(IF(0=LEN(ReferenceData!$J$450),"",ReferenceData!$J$450),"")</f>
        <v/>
      </c>
      <c r="K450" t="str">
        <f ca="1">IFERROR(IF(0=LEN(ReferenceData!$K$450),"",ReferenceData!$K$450),"")</f>
        <v/>
      </c>
      <c r="L450" t="str">
        <f ca="1">IFERROR(IF(0=LEN(ReferenceData!$L$450),"",ReferenceData!$L$450),"")</f>
        <v/>
      </c>
      <c r="M450" t="str">
        <f ca="1">IFERROR(IF(0=LEN(ReferenceData!$M$450),"",ReferenceData!$M$450),"")</f>
        <v/>
      </c>
      <c r="N450">
        <f ca="1">IFERROR(IF(0=LEN(ReferenceData!$N$450),"",ReferenceData!$N$450),"")</f>
        <v>908.45269719999999</v>
      </c>
      <c r="O450" t="str">
        <f ca="1">IFERROR(IF(0=LEN(ReferenceData!$O$450),"",ReferenceData!$O$450),"")</f>
        <v/>
      </c>
      <c r="P450">
        <f ca="1">IFERROR(IF(0=LEN(ReferenceData!$P$450),"",ReferenceData!$P$450),"")</f>
        <v>102.4976276</v>
      </c>
      <c r="Q450" t="str">
        <f ca="1">IFERROR(IF(0=LEN(ReferenceData!$Q$450),"",ReferenceData!$Q$450),"")</f>
        <v/>
      </c>
      <c r="R450" t="str">
        <f ca="1">IFERROR(IF(0=LEN(ReferenceData!$R$450),"",ReferenceData!$R$450),"")</f>
        <v/>
      </c>
      <c r="S450" t="str">
        <f ca="1">IFERROR(IF(0=LEN(ReferenceData!$S$450),"",ReferenceData!$S$450),"")</f>
        <v/>
      </c>
      <c r="T450" t="str">
        <f ca="1">IFERROR(IF(0=LEN(ReferenceData!$T$450),"",ReferenceData!$T$450),"")</f>
        <v/>
      </c>
      <c r="U450" t="str">
        <f ca="1">IFERROR(IF(0=LEN(ReferenceData!$U$450),"",ReferenceData!$U$450),"")</f>
        <v/>
      </c>
      <c r="V450" t="str">
        <f ca="1">IFERROR(IF(0=LEN(ReferenceData!$V$450),"",ReferenceData!$V$450),"")</f>
        <v/>
      </c>
      <c r="W450" t="str">
        <f ca="1">IFERROR(IF(0=LEN(ReferenceData!$W$450),"",ReferenceData!$W$450),"")</f>
        <v/>
      </c>
      <c r="X450">
        <f ca="1">IFERROR(IF(0=LEN(ReferenceData!$X$450),"",ReferenceData!$X$450),"")</f>
        <v>186.81025919999999</v>
      </c>
      <c r="Y450">
        <f ca="1">IFERROR(IF(0=LEN(ReferenceData!$Y$450),"",ReferenceData!$Y$450),"")</f>
        <v>100.29209640000001</v>
      </c>
      <c r="Z450">
        <f ca="1">IFERROR(IF(0=LEN(ReferenceData!$Z$450),"",ReferenceData!$Z$450),"")</f>
        <v>78.05978168</v>
      </c>
      <c r="AA450">
        <f ca="1">IFERROR(IF(0=LEN(ReferenceData!$AA$450),"",ReferenceData!$AA$450),"")</f>
        <v>55.574303129999997</v>
      </c>
      <c r="AB450">
        <f ca="1">IFERROR(IF(0=LEN(ReferenceData!$AB$450),"",ReferenceData!$AB$450),"")</f>
        <v>174.32339060000001</v>
      </c>
      <c r="AC450" t="str">
        <f ca="1">IFERROR(IF(0=LEN(ReferenceData!$AC$450),"",ReferenceData!$AC$450),"")</f>
        <v/>
      </c>
      <c r="AD450" t="str">
        <f ca="1">IFERROR(IF(0=LEN(ReferenceData!$AD$450),"",ReferenceData!$AD$450),"")</f>
        <v/>
      </c>
      <c r="AE450" t="str">
        <f ca="1">IFERROR(IF(0=LEN(ReferenceData!$AE$450),"",ReferenceData!$AE$450),"")</f>
        <v/>
      </c>
      <c r="AF450" t="str">
        <f ca="1">IFERROR(IF(0=LEN(ReferenceData!$AF$450),"",ReferenceData!$AF$450),"")</f>
        <v/>
      </c>
      <c r="AG450" t="str">
        <f ca="1">IFERROR(IF(0=LEN(ReferenceData!$AG$450),"",ReferenceData!$AG$450),"")</f>
        <v/>
      </c>
      <c r="AH450" t="str">
        <f ca="1">IFERROR(IF(0=LEN(ReferenceData!$AH$450),"",ReferenceData!$AH$450),"")</f>
        <v/>
      </c>
      <c r="AI450" t="str">
        <f ca="1">IFERROR(IF(0=LEN(ReferenceData!$AI$450),"",ReferenceData!$AI$450),"")</f>
        <v/>
      </c>
      <c r="AJ450" t="str">
        <f ca="1">IFERROR(IF(0=LEN(ReferenceData!$AJ$450),"",ReferenceData!$AJ$450),"")</f>
        <v/>
      </c>
      <c r="AK450" t="str">
        <f ca="1">IFERROR(IF(0=LEN(ReferenceData!$AK$450),"",ReferenceData!$AK$450),"")</f>
        <v/>
      </c>
      <c r="AL450" t="str">
        <f ca="1">IFERROR(IF(0=LEN(ReferenceData!$AL$450),"",ReferenceData!$AL$450),"")</f>
        <v/>
      </c>
      <c r="AM450" t="str">
        <f ca="1">IFERROR(IF(0=LEN(ReferenceData!$AM$450),"",ReferenceData!$AM$450),"")</f>
        <v/>
      </c>
      <c r="AN450" t="str">
        <f ca="1">IFERROR(IF(0=LEN(ReferenceData!$AN$450),"",ReferenceData!$AN$450),"")</f>
        <v/>
      </c>
      <c r="AO450" t="str">
        <f ca="1">IFERROR(IF(0=LEN(ReferenceData!$AO$450),"",ReferenceData!$AO$450),"")</f>
        <v/>
      </c>
      <c r="AP450" t="str">
        <f ca="1">IFERROR(IF(0=LEN(ReferenceData!$AP$450),"",ReferenceData!$AP$450),"")</f>
        <v/>
      </c>
      <c r="AQ450" t="str">
        <f ca="1">IFERROR(IF(0=LEN(ReferenceData!$AQ$450),"",ReferenceData!$AQ$450),"")</f>
        <v/>
      </c>
      <c r="AR450" t="str">
        <f ca="1">IFERROR(IF(0=LEN(ReferenceData!$AR$450),"",ReferenceData!$AR$450),"")</f>
        <v/>
      </c>
      <c r="AS450" t="str">
        <f ca="1">IFERROR(IF(0=LEN(ReferenceData!$AS$450),"",ReferenceData!$AS$450),"")</f>
        <v/>
      </c>
      <c r="AT450" t="str">
        <f ca="1">IFERROR(IF(0=LEN(ReferenceData!$AT$450),"",ReferenceData!$AT$450),"")</f>
        <v/>
      </c>
      <c r="AU450" t="str">
        <f ca="1">IFERROR(IF(0=LEN(ReferenceData!$AU$450),"",ReferenceData!$AU$450),"")</f>
        <v/>
      </c>
      <c r="AV450" t="str">
        <f ca="1">IFERROR(IF(0=LEN(ReferenceData!$AV$450),"",ReferenceData!$AV$450),"")</f>
        <v/>
      </c>
      <c r="AW450" t="str">
        <f ca="1">IFERROR(IF(0=LEN(ReferenceData!$AW$450),"",ReferenceData!$AW$450),"")</f>
        <v/>
      </c>
      <c r="AX450" t="str">
        <f ca="1">IFERROR(IF(0=LEN(ReferenceData!$AX$450),"",ReferenceData!$AX$450),"")</f>
        <v/>
      </c>
      <c r="AY450" t="str">
        <f ca="1">IFERROR(IF(0=LEN(ReferenceData!$AY$450),"",ReferenceData!$AY$450),"")</f>
        <v/>
      </c>
      <c r="AZ450" t="str">
        <f ca="1">IFERROR(IF(0=LEN(ReferenceData!$AZ$450),"",ReferenceData!$AZ$450),"")</f>
        <v/>
      </c>
      <c r="BA450" t="str">
        <f ca="1">IFERROR(IF(0=LEN(ReferenceData!$BA$450),"",ReferenceData!$BA$450),"")</f>
        <v/>
      </c>
      <c r="BB450" t="str">
        <f ca="1">IFERROR(IF(0=LEN(ReferenceData!$BB$450),"",ReferenceData!$BB$450),"")</f>
        <v/>
      </c>
      <c r="BC450" t="str">
        <f ca="1">IFERROR(IF(0=LEN(ReferenceData!$BC$450),"",ReferenceData!$BC$450),"")</f>
        <v/>
      </c>
      <c r="BD450" t="str">
        <f ca="1">IFERROR(IF(0=LEN(ReferenceData!$BD$450),"",ReferenceData!$BD$450),"")</f>
        <v/>
      </c>
      <c r="BE450" t="str">
        <f ca="1">IFERROR(IF(0=LEN(ReferenceData!$BE$450),"",ReferenceData!$BE$450),"")</f>
        <v/>
      </c>
      <c r="BF450" t="str">
        <f ca="1">IFERROR(IF(0=LEN(ReferenceData!$BF$450),"",ReferenceData!$BF$450),"")</f>
        <v/>
      </c>
      <c r="BG450" t="str">
        <f ca="1">IFERROR(IF(0=LEN(ReferenceData!$BG$450),"",ReferenceData!$BG$450),"")</f>
        <v/>
      </c>
      <c r="BH450" t="str">
        <f ca="1">IFERROR(IF(0=LEN(ReferenceData!$BH$450),"",ReferenceData!$BH$450),"")</f>
        <v/>
      </c>
      <c r="BI450" t="str">
        <f ca="1">IFERROR(IF(0=LEN(ReferenceData!$BI$450),"",ReferenceData!$BI$450),"")</f>
        <v/>
      </c>
      <c r="BJ450" t="str">
        <f ca="1">IFERROR(IF(0=LEN(ReferenceData!$BJ$450),"",ReferenceData!$BJ$450),"")</f>
        <v/>
      </c>
      <c r="BK450" t="str">
        <f ca="1">IFERROR(IF(0=LEN(ReferenceData!$BK$450),"",ReferenceData!$BK$450),"")</f>
        <v/>
      </c>
      <c r="BL450" t="str">
        <f ca="1">IFERROR(IF(0=LEN(ReferenceData!$BL$450),"",ReferenceData!$BL$450),"")</f>
        <v/>
      </c>
      <c r="BM450" t="str">
        <f ca="1">IFERROR(IF(0=LEN(ReferenceData!$BM$450),"",ReferenceData!$BM$450),"")</f>
        <v/>
      </c>
    </row>
    <row r="451" spans="1:65" x14ac:dyDescent="0.25">
      <c r="A451" t="str">
        <f>IFERROR(IF(0=LEN(ReferenceData!$A$451),"",ReferenceData!$A$451),"")</f>
        <v xml:space="preserve">    Tianjin Faw Xiali Automobile Co Ltd</v>
      </c>
      <c r="B451" t="str">
        <f>IFERROR(IF(0=LEN(ReferenceData!$B$451),"",ReferenceData!$B$451),"")</f>
        <v>000927 CH Equity</v>
      </c>
      <c r="C451" t="str">
        <f>IFERROR(IF(0=LEN(ReferenceData!$C$451),"",ReferenceData!$C$451),"")</f>
        <v>RR477</v>
      </c>
      <c r="D451" t="str">
        <f>IFERROR(IF(0=LEN(ReferenceData!$D$451),"",ReferenceData!$D$451),"")</f>
        <v>EV_TO_T12M_CASH_FLOW</v>
      </c>
      <c r="E451" t="str">
        <f>IFERROR(IF(0=LEN(ReferenceData!$E$451),"",ReferenceData!$E$451),"")</f>
        <v>Dynamic</v>
      </c>
      <c r="F451" t="str">
        <f ca="1">IFERROR(IF(0=LEN(ReferenceData!$F$451),"",ReferenceData!$F$451),"")</f>
        <v/>
      </c>
      <c r="G451" t="str">
        <f ca="1">IFERROR(IF(0=LEN(ReferenceData!$G$451),"",ReferenceData!$G$451),"")</f>
        <v/>
      </c>
      <c r="H451" t="str">
        <f ca="1">IFERROR(IF(0=LEN(ReferenceData!$H$451),"",ReferenceData!$H$451),"")</f>
        <v/>
      </c>
      <c r="I451" t="str">
        <f ca="1">IFERROR(IF(0=LEN(ReferenceData!$I$451),"",ReferenceData!$I$451),"")</f>
        <v/>
      </c>
      <c r="J451" t="str">
        <f ca="1">IFERROR(IF(0=LEN(ReferenceData!$J$451),"",ReferenceData!$J$451),"")</f>
        <v/>
      </c>
      <c r="K451" t="str">
        <f ca="1">IFERROR(IF(0=LEN(ReferenceData!$K$451),"",ReferenceData!$K$451),"")</f>
        <v/>
      </c>
      <c r="L451" t="str">
        <f ca="1">IFERROR(IF(0=LEN(ReferenceData!$L$451),"",ReferenceData!$L$451),"")</f>
        <v/>
      </c>
      <c r="M451" t="str">
        <f ca="1">IFERROR(IF(0=LEN(ReferenceData!$M$451),"",ReferenceData!$M$451),"")</f>
        <v/>
      </c>
      <c r="N451" t="str">
        <f ca="1">IFERROR(IF(0=LEN(ReferenceData!$N$451),"",ReferenceData!$N$451),"")</f>
        <v/>
      </c>
      <c r="O451" t="str">
        <f ca="1">IFERROR(IF(0=LEN(ReferenceData!$O$451),"",ReferenceData!$O$451),"")</f>
        <v/>
      </c>
      <c r="P451" t="str">
        <f ca="1">IFERROR(IF(0=LEN(ReferenceData!$P$451),"",ReferenceData!$P$451),"")</f>
        <v/>
      </c>
      <c r="Q451" t="str">
        <f ca="1">IFERROR(IF(0=LEN(ReferenceData!$Q$451),"",ReferenceData!$Q$451),"")</f>
        <v/>
      </c>
      <c r="R451" t="str">
        <f ca="1">IFERROR(IF(0=LEN(ReferenceData!$R$451),"",ReferenceData!$R$451),"")</f>
        <v/>
      </c>
      <c r="S451" t="str">
        <f ca="1">IFERROR(IF(0=LEN(ReferenceData!$S$451),"",ReferenceData!$S$451),"")</f>
        <v/>
      </c>
      <c r="T451" t="str">
        <f ca="1">IFERROR(IF(0=LEN(ReferenceData!$T$451),"",ReferenceData!$T$451),"")</f>
        <v/>
      </c>
      <c r="U451" t="str">
        <f ca="1">IFERROR(IF(0=LEN(ReferenceData!$U$451),"",ReferenceData!$U$451),"")</f>
        <v/>
      </c>
      <c r="V451" t="str">
        <f ca="1">IFERROR(IF(0=LEN(ReferenceData!$V$451),"",ReferenceData!$V$451),"")</f>
        <v/>
      </c>
      <c r="W451" t="str">
        <f ca="1">IFERROR(IF(0=LEN(ReferenceData!$W$451),"",ReferenceData!$W$451),"")</f>
        <v/>
      </c>
      <c r="X451" t="str">
        <f ca="1">IFERROR(IF(0=LEN(ReferenceData!$X$451),"",ReferenceData!$X$451),"")</f>
        <v/>
      </c>
      <c r="Y451" t="str">
        <f ca="1">IFERROR(IF(0=LEN(ReferenceData!$Y$451),"",ReferenceData!$Y$451),"")</f>
        <v/>
      </c>
      <c r="Z451" t="str">
        <f ca="1">IFERROR(IF(0=LEN(ReferenceData!$Z$451),"",ReferenceData!$Z$451),"")</f>
        <v/>
      </c>
      <c r="AA451" t="str">
        <f ca="1">IFERROR(IF(0=LEN(ReferenceData!$AA$451),"",ReferenceData!$AA$451),"")</f>
        <v/>
      </c>
      <c r="AB451" t="str">
        <f ca="1">IFERROR(IF(0=LEN(ReferenceData!$AB$451),"",ReferenceData!$AB$451),"")</f>
        <v/>
      </c>
      <c r="AC451">
        <f ca="1">IFERROR(IF(0=LEN(ReferenceData!$AC$451),"",ReferenceData!$AC$451),"")</f>
        <v>17.359006040000001</v>
      </c>
      <c r="AD451">
        <f ca="1">IFERROR(IF(0=LEN(ReferenceData!$AD$451),"",ReferenceData!$AD$451),"")</f>
        <v>35.25451485</v>
      </c>
      <c r="AE451">
        <f ca="1">IFERROR(IF(0=LEN(ReferenceData!$AE$451),"",ReferenceData!$AE$451),"")</f>
        <v>62.815600850000003</v>
      </c>
      <c r="AF451">
        <f ca="1">IFERROR(IF(0=LEN(ReferenceData!$AF$451),"",ReferenceData!$AF$451),"")</f>
        <v>70.590978960000001</v>
      </c>
      <c r="AG451">
        <f ca="1">IFERROR(IF(0=LEN(ReferenceData!$AG$451),"",ReferenceData!$AG$451),"")</f>
        <v>259.36143959999998</v>
      </c>
      <c r="AH451">
        <f ca="1">IFERROR(IF(0=LEN(ReferenceData!$AH$451),"",ReferenceData!$AH$451),"")</f>
        <v>26.907625329999998</v>
      </c>
      <c r="AI451">
        <f ca="1">IFERROR(IF(0=LEN(ReferenceData!$AI$451),"",ReferenceData!$AI$451),"")</f>
        <v>23.07664123</v>
      </c>
      <c r="AJ451">
        <f ca="1">IFERROR(IF(0=LEN(ReferenceData!$AJ$451),"",ReferenceData!$AJ$451),"")</f>
        <v>21.403527889999999</v>
      </c>
      <c r="AK451">
        <f ca="1">IFERROR(IF(0=LEN(ReferenceData!$AK$451),"",ReferenceData!$AK$451),"")</f>
        <v>25.660091510000001</v>
      </c>
      <c r="AL451" t="str">
        <f ca="1">IFERROR(IF(0=LEN(ReferenceData!$AL$451),"",ReferenceData!$AL$451),"")</f>
        <v/>
      </c>
      <c r="AM451">
        <f ca="1">IFERROR(IF(0=LEN(ReferenceData!$AM$451),"",ReferenceData!$AM$451),"")</f>
        <v>247.02493319999999</v>
      </c>
      <c r="AN451" t="str">
        <f ca="1">IFERROR(IF(0=LEN(ReferenceData!$AN$451),"",ReferenceData!$AN$451),"")</f>
        <v/>
      </c>
      <c r="AO451">
        <f ca="1">IFERROR(IF(0=LEN(ReferenceData!$AO$451),"",ReferenceData!$AO$451),"")</f>
        <v>19.34771422</v>
      </c>
      <c r="AP451">
        <f ca="1">IFERROR(IF(0=LEN(ReferenceData!$AP$451),"",ReferenceData!$AP$451),"")</f>
        <v>30.081354600000001</v>
      </c>
      <c r="AQ451">
        <f ca="1">IFERROR(IF(0=LEN(ReferenceData!$AQ$451),"",ReferenceData!$AQ$451),"")</f>
        <v>45.225356869999999</v>
      </c>
      <c r="AR451">
        <f ca="1">IFERROR(IF(0=LEN(ReferenceData!$AR$451),"",ReferenceData!$AR$451),"")</f>
        <v>12.632363639999999</v>
      </c>
      <c r="AS451" t="str">
        <f ca="1">IFERROR(IF(0=LEN(ReferenceData!$AS$451),"",ReferenceData!$AS$451),"")</f>
        <v/>
      </c>
      <c r="AT451" t="str">
        <f ca="1">IFERROR(IF(0=LEN(ReferenceData!$AT$451),"",ReferenceData!$AT$451),"")</f>
        <v/>
      </c>
      <c r="AU451" t="str">
        <f ca="1">IFERROR(IF(0=LEN(ReferenceData!$AU$451),"",ReferenceData!$AU$451),"")</f>
        <v/>
      </c>
      <c r="AV451" t="str">
        <f ca="1">IFERROR(IF(0=LEN(ReferenceData!$AV$451),"",ReferenceData!$AV$451),"")</f>
        <v/>
      </c>
      <c r="AW451">
        <f ca="1">IFERROR(IF(0=LEN(ReferenceData!$AW$451),"",ReferenceData!$AW$451),"")</f>
        <v>67.783590610000005</v>
      </c>
      <c r="AX451">
        <f ca="1">IFERROR(IF(0=LEN(ReferenceData!$AX$451),"",ReferenceData!$AX$451),"")</f>
        <v>45.031286309999999</v>
      </c>
      <c r="AY451">
        <f ca="1">IFERROR(IF(0=LEN(ReferenceData!$AY$451),"",ReferenceData!$AY$451),"")</f>
        <v>109.8779347</v>
      </c>
      <c r="AZ451">
        <f ca="1">IFERROR(IF(0=LEN(ReferenceData!$AZ$451),"",ReferenceData!$AZ$451),"")</f>
        <v>303.35626819999999</v>
      </c>
      <c r="BA451">
        <f ca="1">IFERROR(IF(0=LEN(ReferenceData!$BA$451),"",ReferenceData!$BA$451),"")</f>
        <v>11.488690849999999</v>
      </c>
      <c r="BB451">
        <f ca="1">IFERROR(IF(0=LEN(ReferenceData!$BB$451),"",ReferenceData!$BB$451),"")</f>
        <v>12.15344245</v>
      </c>
      <c r="BC451">
        <f ca="1">IFERROR(IF(0=LEN(ReferenceData!$BC$451),"",ReferenceData!$BC$451),"")</f>
        <v>5.1318958160000001</v>
      </c>
      <c r="BD451">
        <f ca="1">IFERROR(IF(0=LEN(ReferenceData!$BD$451),"",ReferenceData!$BD$451),"")</f>
        <v>3.7818005979999998</v>
      </c>
      <c r="BE451">
        <f ca="1">IFERROR(IF(0=LEN(ReferenceData!$BE$451),"",ReferenceData!$BE$451),"")</f>
        <v>9.5081429320000002</v>
      </c>
      <c r="BF451">
        <f ca="1">IFERROR(IF(0=LEN(ReferenceData!$BF$451),"",ReferenceData!$BF$451),"")</f>
        <v>8.2991032019999995</v>
      </c>
      <c r="BG451">
        <f ca="1">IFERROR(IF(0=LEN(ReferenceData!$BG$451),"",ReferenceData!$BG$451),"")</f>
        <v>7.4650240749999996</v>
      </c>
      <c r="BH451">
        <f ca="1">IFERROR(IF(0=LEN(ReferenceData!$BH$451),"",ReferenceData!$BH$451),"")</f>
        <v>7.6653672750000004</v>
      </c>
      <c r="BI451">
        <f ca="1">IFERROR(IF(0=LEN(ReferenceData!$BI$451),"",ReferenceData!$BI$451),"")</f>
        <v>8.4705637029999998</v>
      </c>
      <c r="BJ451">
        <f ca="1">IFERROR(IF(0=LEN(ReferenceData!$BJ$451),"",ReferenceData!$BJ$451),"")</f>
        <v>21.52886651</v>
      </c>
      <c r="BK451">
        <f ca="1">IFERROR(IF(0=LEN(ReferenceData!$BK$451),"",ReferenceData!$BK$451),"")</f>
        <v>119.81422310000001</v>
      </c>
      <c r="BL451" t="str">
        <f ca="1">IFERROR(IF(0=LEN(ReferenceData!$BL$451),"",ReferenceData!$BL$451),"")</f>
        <v/>
      </c>
      <c r="BM451">
        <f ca="1">IFERROR(IF(0=LEN(ReferenceData!$BM$451),"",ReferenceData!$BM$451),"")</f>
        <v>184.5424936</v>
      </c>
    </row>
    <row r="452" spans="1:65" x14ac:dyDescent="0.25">
      <c r="A452" t="str">
        <f>IFERROR(IF(0=LEN(ReferenceData!$A$452),"",ReferenceData!$A$452),"")</f>
        <v xml:space="preserve">    Tofas Turk Otomobil Fabrikasi AS</v>
      </c>
      <c r="B452" t="str">
        <f>IFERROR(IF(0=LEN(ReferenceData!$B$452),"",ReferenceData!$B$452),"")</f>
        <v>TOASOTRY EO Equity</v>
      </c>
      <c r="C452" t="str">
        <f>IFERROR(IF(0=LEN(ReferenceData!$C$452),"",ReferenceData!$C$452),"")</f>
        <v>RR477</v>
      </c>
      <c r="D452" t="str">
        <f>IFERROR(IF(0=LEN(ReferenceData!$D$452),"",ReferenceData!$D$452),"")</f>
        <v>EV_TO_T12M_CASH_FLOW</v>
      </c>
      <c r="E452" t="str">
        <f>IFERROR(IF(0=LEN(ReferenceData!$E$452),"",ReferenceData!$E$452),"")</f>
        <v>Dynamic</v>
      </c>
      <c r="F452" t="str">
        <f ca="1">IFERROR(IF(0=LEN(ReferenceData!$F$452),"",ReferenceData!$F$452),"")</f>
        <v/>
      </c>
      <c r="G452">
        <f ca="1">IFERROR(IF(0=LEN(ReferenceData!$G$452),"",ReferenceData!$G$452),"")</f>
        <v>8.3562309199999998</v>
      </c>
      <c r="H452">
        <f ca="1">IFERROR(IF(0=LEN(ReferenceData!$H$452),"",ReferenceData!$H$452),"")</f>
        <v>72.233554420000004</v>
      </c>
      <c r="I452">
        <f ca="1">IFERROR(IF(0=LEN(ReferenceData!$I$452),"",ReferenceData!$I$452),"")</f>
        <v>9.9811139109999996</v>
      </c>
      <c r="J452">
        <f ca="1">IFERROR(IF(0=LEN(ReferenceData!$J$452),"",ReferenceData!$J$452),"")</f>
        <v>12.311861609999999</v>
      </c>
      <c r="K452">
        <f ca="1">IFERROR(IF(0=LEN(ReferenceData!$K$452),"",ReferenceData!$K$452),"")</f>
        <v>16.130736089999999</v>
      </c>
      <c r="L452">
        <f ca="1">IFERROR(IF(0=LEN(ReferenceData!$L$452),"",ReferenceData!$L$452),"")</f>
        <v>8.2097627339999999</v>
      </c>
      <c r="M452">
        <f ca="1">IFERROR(IF(0=LEN(ReferenceData!$M$452),"",ReferenceData!$M$452),"")</f>
        <v>7.8153983709999997</v>
      </c>
      <c r="N452">
        <f ca="1">IFERROR(IF(0=LEN(ReferenceData!$N$452),"",ReferenceData!$N$452),"")</f>
        <v>6.9927912069999998</v>
      </c>
      <c r="O452">
        <f ca="1">IFERROR(IF(0=LEN(ReferenceData!$O$452),"",ReferenceData!$O$452),"")</f>
        <v>13.035202529999999</v>
      </c>
      <c r="P452">
        <f ca="1">IFERROR(IF(0=LEN(ReferenceData!$P$452),"",ReferenceData!$P$452),"")</f>
        <v>20.49063232</v>
      </c>
      <c r="Q452">
        <f ca="1">IFERROR(IF(0=LEN(ReferenceData!$Q$452),"",ReferenceData!$Q$452),"")</f>
        <v>48.930455619999996</v>
      </c>
      <c r="R452">
        <f ca="1">IFERROR(IF(0=LEN(ReferenceData!$R$452),"",ReferenceData!$R$452),"")</f>
        <v>22.771873939999999</v>
      </c>
      <c r="S452">
        <f ca="1">IFERROR(IF(0=LEN(ReferenceData!$S$452),"",ReferenceData!$S$452),"")</f>
        <v>14.86933829</v>
      </c>
      <c r="T452">
        <f ca="1">IFERROR(IF(0=LEN(ReferenceData!$T$452),"",ReferenceData!$T$452),"")</f>
        <v>25.565537190000001</v>
      </c>
      <c r="U452">
        <f ca="1">IFERROR(IF(0=LEN(ReferenceData!$U$452),"",ReferenceData!$U$452),"")</f>
        <v>19.678933310000001</v>
      </c>
      <c r="V452">
        <f ca="1">IFERROR(IF(0=LEN(ReferenceData!$V$452),"",ReferenceData!$V$452),"")</f>
        <v>26.222352919999999</v>
      </c>
      <c r="W452">
        <f ca="1">IFERROR(IF(0=LEN(ReferenceData!$W$452),"",ReferenceData!$W$452),"")</f>
        <v>11.364887420000001</v>
      </c>
      <c r="X452">
        <f ca="1">IFERROR(IF(0=LEN(ReferenceData!$X$452),"",ReferenceData!$X$452),"")</f>
        <v>10.212207859999999</v>
      </c>
      <c r="Y452">
        <f ca="1">IFERROR(IF(0=LEN(ReferenceData!$Y$452),"",ReferenceData!$Y$452),"")</f>
        <v>13.300268490000001</v>
      </c>
      <c r="Z452">
        <f ca="1">IFERROR(IF(0=LEN(ReferenceData!$Z$452),"",ReferenceData!$Z$452),"")</f>
        <v>11.15008553</v>
      </c>
      <c r="AA452">
        <f ca="1">IFERROR(IF(0=LEN(ReferenceData!$AA$452),"",ReferenceData!$AA$452),"")</f>
        <v>6.9416056890000002</v>
      </c>
      <c r="AB452">
        <f ca="1">IFERROR(IF(0=LEN(ReferenceData!$AB$452),"",ReferenceData!$AB$452),"")</f>
        <v>5.973701524</v>
      </c>
      <c r="AC452">
        <f ca="1">IFERROR(IF(0=LEN(ReferenceData!$AC$452),"",ReferenceData!$AC$452),"")</f>
        <v>6.2978175959999998</v>
      </c>
      <c r="AD452">
        <f ca="1">IFERROR(IF(0=LEN(ReferenceData!$AD$452),"",ReferenceData!$AD$452),"")</f>
        <v>4.9159240029999998</v>
      </c>
      <c r="AE452">
        <f ca="1">IFERROR(IF(0=LEN(ReferenceData!$AE$452),"",ReferenceData!$AE$452),"")</f>
        <v>6.7610778720000004</v>
      </c>
      <c r="AF452">
        <f ca="1">IFERROR(IF(0=LEN(ReferenceData!$AF$452),"",ReferenceData!$AF$452),"")</f>
        <v>6.3369753659999999</v>
      </c>
      <c r="AG452">
        <f ca="1">IFERROR(IF(0=LEN(ReferenceData!$AG$452),"",ReferenceData!$AG$452),"")</f>
        <v>6.9182940479999999</v>
      </c>
      <c r="AH452">
        <f ca="1">IFERROR(IF(0=LEN(ReferenceData!$AH$452),"",ReferenceData!$AH$452),"")</f>
        <v>114.296564</v>
      </c>
      <c r="AI452">
        <f ca="1">IFERROR(IF(0=LEN(ReferenceData!$AI$452),"",ReferenceData!$AI$452),"")</f>
        <v>79.514797310000006</v>
      </c>
      <c r="AJ452" t="str">
        <f ca="1">IFERROR(IF(0=LEN(ReferenceData!$AJ$452),"",ReferenceData!$AJ$452),"")</f>
        <v/>
      </c>
      <c r="AK452">
        <f ca="1">IFERROR(IF(0=LEN(ReferenceData!$AK$452),"",ReferenceData!$AK$452),"")</f>
        <v>26.070900829999999</v>
      </c>
      <c r="AL452">
        <f ca="1">IFERROR(IF(0=LEN(ReferenceData!$AL$452),"",ReferenceData!$AL$452),"")</f>
        <v>27.994139130000001</v>
      </c>
      <c r="AM452">
        <f ca="1">IFERROR(IF(0=LEN(ReferenceData!$AM$452),"",ReferenceData!$AM$452),"")</f>
        <v>9.6482877489999996</v>
      </c>
      <c r="AN452">
        <f ca="1">IFERROR(IF(0=LEN(ReferenceData!$AN$452),"",ReferenceData!$AN$452),"")</f>
        <v>6.2310229030000004</v>
      </c>
      <c r="AO452">
        <f ca="1">IFERROR(IF(0=LEN(ReferenceData!$AO$452),"",ReferenceData!$AO$452),"")</f>
        <v>4.6810353109999996</v>
      </c>
      <c r="AP452">
        <f ca="1">IFERROR(IF(0=LEN(ReferenceData!$AP$452),"",ReferenceData!$AP$452),"")</f>
        <v>2.9901768209999999</v>
      </c>
      <c r="AQ452">
        <f ca="1">IFERROR(IF(0=LEN(ReferenceData!$AQ$452),"",ReferenceData!$AQ$452),"")</f>
        <v>3.5396367309999999</v>
      </c>
      <c r="AR452">
        <f ca="1">IFERROR(IF(0=LEN(ReferenceData!$AR$452),"",ReferenceData!$AR$452),"")</f>
        <v>6.2793422449999996</v>
      </c>
      <c r="AS452">
        <f ca="1">IFERROR(IF(0=LEN(ReferenceData!$AS$452),"",ReferenceData!$AS$452),"")</f>
        <v>5.1265197799999997</v>
      </c>
      <c r="AT452">
        <f ca="1">IFERROR(IF(0=LEN(ReferenceData!$AT$452),"",ReferenceData!$AT$452),"")</f>
        <v>23.19164224</v>
      </c>
      <c r="AU452">
        <f ca="1">IFERROR(IF(0=LEN(ReferenceData!$AU$452),"",ReferenceData!$AU$452),"")</f>
        <v>61.66166381</v>
      </c>
      <c r="AV452">
        <f ca="1">IFERROR(IF(0=LEN(ReferenceData!$AV$452),"",ReferenceData!$AV$452),"")</f>
        <v>12.79724495</v>
      </c>
      <c r="AW452">
        <f ca="1">IFERROR(IF(0=LEN(ReferenceData!$AW$452),"",ReferenceData!$AW$452),"")</f>
        <v>10.40476436</v>
      </c>
      <c r="AX452">
        <f ca="1">IFERROR(IF(0=LEN(ReferenceData!$AX$452),"",ReferenceData!$AX$452),"")</f>
        <v>14.659258489999999</v>
      </c>
      <c r="AY452">
        <f ca="1">IFERROR(IF(0=LEN(ReferenceData!$AY$452),"",ReferenceData!$AY$452),"")</f>
        <v>63.793043019999999</v>
      </c>
      <c r="AZ452">
        <f ca="1">IFERROR(IF(0=LEN(ReferenceData!$AZ$452),"",ReferenceData!$AZ$452),"")</f>
        <v>172.71992990000001</v>
      </c>
      <c r="BA452">
        <f ca="1">IFERROR(IF(0=LEN(ReferenceData!$BA$452),"",ReferenceData!$BA$452),"")</f>
        <v>55.541020080000003</v>
      </c>
      <c r="BB452">
        <f ca="1">IFERROR(IF(0=LEN(ReferenceData!$BB$452),"",ReferenceData!$BB$452),"")</f>
        <v>11.395606040000001</v>
      </c>
      <c r="BC452">
        <f ca="1">IFERROR(IF(0=LEN(ReferenceData!$BC$452),"",ReferenceData!$BC$452),"")</f>
        <v>5.969587218</v>
      </c>
      <c r="BD452">
        <f ca="1">IFERROR(IF(0=LEN(ReferenceData!$BD$452),"",ReferenceData!$BD$452),"")</f>
        <v>4.919513695</v>
      </c>
      <c r="BE452">
        <f ca="1">IFERROR(IF(0=LEN(ReferenceData!$BE$452),"",ReferenceData!$BE$452),"")</f>
        <v>4.1710655900000004</v>
      </c>
      <c r="BF452">
        <f ca="1">IFERROR(IF(0=LEN(ReferenceData!$BF$452),"",ReferenceData!$BF$452),"")</f>
        <v>4.5492329659999999</v>
      </c>
      <c r="BG452">
        <f ca="1">IFERROR(IF(0=LEN(ReferenceData!$BG$452),"",ReferenceData!$BG$452),"")</f>
        <v>3.7362986720000002</v>
      </c>
      <c r="BH452" t="str">
        <f ca="1">IFERROR(IF(0=LEN(ReferenceData!$BH$452),"",ReferenceData!$BH$452),"")</f>
        <v/>
      </c>
      <c r="BI452" t="str">
        <f ca="1">IFERROR(IF(0=LEN(ReferenceData!$BI$452),"",ReferenceData!$BI$452),"")</f>
        <v/>
      </c>
      <c r="BJ452" t="str">
        <f ca="1">IFERROR(IF(0=LEN(ReferenceData!$BJ$452),"",ReferenceData!$BJ$452),"")</f>
        <v/>
      </c>
      <c r="BK452" t="str">
        <f ca="1">IFERROR(IF(0=LEN(ReferenceData!$BK$452),"",ReferenceData!$BK$452),"")</f>
        <v/>
      </c>
      <c r="BL452" t="str">
        <f ca="1">IFERROR(IF(0=LEN(ReferenceData!$BL$452),"",ReferenceData!$BL$452),"")</f>
        <v/>
      </c>
      <c r="BM452" t="str">
        <f ca="1">IFERROR(IF(0=LEN(ReferenceData!$BM$452),"",ReferenceData!$BM$452),"")</f>
        <v/>
      </c>
    </row>
    <row r="453" spans="1:65" x14ac:dyDescent="0.25">
      <c r="A453" t="str">
        <f>IFERROR(IF(0=LEN(ReferenceData!$A$453),"",ReferenceData!$A$453),"")</f>
        <v xml:space="preserve">    Toyota Motor Corp</v>
      </c>
      <c r="B453" t="str">
        <f>IFERROR(IF(0=LEN(ReferenceData!$B$453),"",ReferenceData!$B$453),"")</f>
        <v>7203 JP Equity</v>
      </c>
      <c r="C453" t="str">
        <f>IFERROR(IF(0=LEN(ReferenceData!$C$453),"",ReferenceData!$C$453),"")</f>
        <v>RR477</v>
      </c>
      <c r="D453" t="str">
        <f>IFERROR(IF(0=LEN(ReferenceData!$D$453),"",ReferenceData!$D$453),"")</f>
        <v>EV_TO_T12M_CASH_FLOW</v>
      </c>
      <c r="E453" t="str">
        <f>IFERROR(IF(0=LEN(ReferenceData!$E$453),"",ReferenceData!$E$453),"")</f>
        <v>Dynamic</v>
      </c>
      <c r="F453" t="str">
        <f ca="1">IFERROR(IF(0=LEN(ReferenceData!$F$453),"",ReferenceData!$F$453),"")</f>
        <v/>
      </c>
      <c r="G453">
        <f ca="1">IFERROR(IF(0=LEN(ReferenceData!$G$453),"",ReferenceData!$G$453),"")</f>
        <v>8.1238922129999995</v>
      </c>
      <c r="H453">
        <f ca="1">IFERROR(IF(0=LEN(ReferenceData!$H$453),"",ReferenceData!$H$453),"")</f>
        <v>9.1473953269999999</v>
      </c>
      <c r="I453">
        <f ca="1">IFERROR(IF(0=LEN(ReferenceData!$I$453),"",ReferenceData!$I$453),"")</f>
        <v>9.2414015589999998</v>
      </c>
      <c r="J453">
        <f ca="1">IFERROR(IF(0=LEN(ReferenceData!$J$453),"",ReferenceData!$J$453),"")</f>
        <v>8.2369924389999998</v>
      </c>
      <c r="K453">
        <f ca="1">IFERROR(IF(0=LEN(ReferenceData!$K$453),"",ReferenceData!$K$453),"")</f>
        <v>9.017105119</v>
      </c>
      <c r="L453">
        <f ca="1">IFERROR(IF(0=LEN(ReferenceData!$L$453),"",ReferenceData!$L$453),"")</f>
        <v>8.9875021999999998</v>
      </c>
      <c r="M453">
        <f ca="1">IFERROR(IF(0=LEN(ReferenceData!$M$453),"",ReferenceData!$M$453),"")</f>
        <v>9.7722891720000007</v>
      </c>
      <c r="N453">
        <f ca="1">IFERROR(IF(0=LEN(ReferenceData!$N$453),"",ReferenceData!$N$453),"")</f>
        <v>9.4914519310000003</v>
      </c>
      <c r="O453">
        <f ca="1">IFERROR(IF(0=LEN(ReferenceData!$O$453),"",ReferenceData!$O$453),"")</f>
        <v>10.081301570000001</v>
      </c>
      <c r="P453">
        <f ca="1">IFERROR(IF(0=LEN(ReferenceData!$P$453),"",ReferenceData!$P$453),"")</f>
        <v>7.3594175509999999</v>
      </c>
      <c r="Q453">
        <f ca="1">IFERROR(IF(0=LEN(ReferenceData!$Q$453),"",ReferenceData!$Q$453),"")</f>
        <v>6.1250923950000002</v>
      </c>
      <c r="R453">
        <f ca="1">IFERROR(IF(0=LEN(ReferenceData!$R$453),"",ReferenceData!$R$453),"")</f>
        <v>7.2254727179999998</v>
      </c>
      <c r="S453">
        <f ca="1">IFERROR(IF(0=LEN(ReferenceData!$S$453),"",ReferenceData!$S$453),"")</f>
        <v>8.7739393000000003</v>
      </c>
      <c r="T453">
        <f ca="1">IFERROR(IF(0=LEN(ReferenceData!$T$453),"",ReferenceData!$T$453),"")</f>
        <v>9.2539493579999998</v>
      </c>
      <c r="U453">
        <f ca="1">IFERROR(IF(0=LEN(ReferenceData!$U$453),"",ReferenceData!$U$453),"")</f>
        <v>10.536757339999999</v>
      </c>
      <c r="V453">
        <f ca="1">IFERROR(IF(0=LEN(ReferenceData!$V$453),"",ReferenceData!$V$453),"")</f>
        <v>11.12414472</v>
      </c>
      <c r="W453">
        <f ca="1">IFERROR(IF(0=LEN(ReferenceData!$W$453),"",ReferenceData!$W$453),"")</f>
        <v>12.06642795</v>
      </c>
      <c r="X453">
        <f ca="1">IFERROR(IF(0=LEN(ReferenceData!$X$453),"",ReferenceData!$X$453),"")</f>
        <v>10.307079829999999</v>
      </c>
      <c r="Y453">
        <f ca="1">IFERROR(IF(0=LEN(ReferenceData!$Y$453),"",ReferenceData!$Y$453),"")</f>
        <v>9.2060745429999997</v>
      </c>
      <c r="Z453">
        <f ca="1">IFERROR(IF(0=LEN(ReferenceData!$Z$453),"",ReferenceData!$Z$453),"")</f>
        <v>8.5780950310000001</v>
      </c>
      <c r="AA453">
        <f ca="1">IFERROR(IF(0=LEN(ReferenceData!$AA$453),"",ReferenceData!$AA$453),"")</f>
        <v>9.8541257709999996</v>
      </c>
      <c r="AB453">
        <f ca="1">IFERROR(IF(0=LEN(ReferenceData!$AB$453),"",ReferenceData!$AB$453),"")</f>
        <v>10.015694399999999</v>
      </c>
      <c r="AC453">
        <f ca="1">IFERROR(IF(0=LEN(ReferenceData!$AC$453),"",ReferenceData!$AC$453),"")</f>
        <v>11.05666003</v>
      </c>
      <c r="AD453">
        <f ca="1">IFERROR(IF(0=LEN(ReferenceData!$AD$453),"",ReferenceData!$AD$453),"")</f>
        <v>10.96539407</v>
      </c>
      <c r="AE453">
        <f ca="1">IFERROR(IF(0=LEN(ReferenceData!$AE$453),"",ReferenceData!$AE$453),"")</f>
        <v>9.6231619780000006</v>
      </c>
      <c r="AF453">
        <f ca="1">IFERROR(IF(0=LEN(ReferenceData!$AF$453),"",ReferenceData!$AF$453),"")</f>
        <v>8.5416400790000004</v>
      </c>
      <c r="AG453">
        <f ca="1">IFERROR(IF(0=LEN(ReferenceData!$AG$453),"",ReferenceData!$AG$453),"")</f>
        <v>10.489362160000001</v>
      </c>
      <c r="AH453">
        <f ca="1">IFERROR(IF(0=LEN(ReferenceData!$AH$453),"",ReferenceData!$AH$453),"")</f>
        <v>14.38047396</v>
      </c>
      <c r="AI453">
        <f ca="1">IFERROR(IF(0=LEN(ReferenceData!$AI$453),"",ReferenceData!$AI$453),"")</f>
        <v>12.7865483</v>
      </c>
      <c r="AJ453">
        <f ca="1">IFERROR(IF(0=LEN(ReferenceData!$AJ$453),"",ReferenceData!$AJ$453),"")</f>
        <v>13.459728760000001</v>
      </c>
      <c r="AK453">
        <f ca="1">IFERROR(IF(0=LEN(ReferenceData!$AK$453),"",ReferenceData!$AK$453),"")</f>
        <v>12.29103286</v>
      </c>
      <c r="AL453">
        <f ca="1">IFERROR(IF(0=LEN(ReferenceData!$AL$453),"",ReferenceData!$AL$453),"")</f>
        <v>9.873119462</v>
      </c>
      <c r="AM453">
        <f ca="1">IFERROR(IF(0=LEN(ReferenceData!$AM$453),"",ReferenceData!$AM$453),"")</f>
        <v>9.8834947209999999</v>
      </c>
      <c r="AN453">
        <f ca="1">IFERROR(IF(0=LEN(ReferenceData!$AN$453),"",ReferenceData!$AN$453),"")</f>
        <v>8.1732740849999992</v>
      </c>
      <c r="AO453">
        <f ca="1">IFERROR(IF(0=LEN(ReferenceData!$AO$453),"",ReferenceData!$AO$453),"")</f>
        <v>6.6693134240000003</v>
      </c>
      <c r="AP453">
        <f ca="1">IFERROR(IF(0=LEN(ReferenceData!$AP$453),"",ReferenceData!$AP$453),"")</f>
        <v>8.1205974820000009</v>
      </c>
      <c r="AQ453">
        <f ca="1">IFERROR(IF(0=LEN(ReferenceData!$AQ$453),"",ReferenceData!$AQ$453),"")</f>
        <v>8.913830913</v>
      </c>
      <c r="AR453">
        <f ca="1">IFERROR(IF(0=LEN(ReferenceData!$AR$453),"",ReferenceData!$AR$453),"")</f>
        <v>13.164531950000001</v>
      </c>
      <c r="AS453">
        <f ca="1">IFERROR(IF(0=LEN(ReferenceData!$AS$453),"",ReferenceData!$AS$453),"")</f>
        <v>19.55465173</v>
      </c>
      <c r="AT453">
        <f ca="1">IFERROR(IF(0=LEN(ReferenceData!$AT$453),"",ReferenceData!$AT$453),"")</f>
        <v>13.51295502</v>
      </c>
      <c r="AU453" t="str">
        <f ca="1">IFERROR(IF(0=LEN(ReferenceData!$AU$453),"",ReferenceData!$AU$453),"")</f>
        <v/>
      </c>
      <c r="AV453" t="str">
        <f ca="1">IFERROR(IF(0=LEN(ReferenceData!$AV$453),"",ReferenceData!$AV$453),"")</f>
        <v/>
      </c>
      <c r="AW453" t="str">
        <f ca="1">IFERROR(IF(0=LEN(ReferenceData!$AW$453),"",ReferenceData!$AW$453),"")</f>
        <v/>
      </c>
      <c r="AX453" t="str">
        <f ca="1">IFERROR(IF(0=LEN(ReferenceData!$AX$453),"",ReferenceData!$AX$453),"")</f>
        <v/>
      </c>
      <c r="AY453" t="str">
        <f ca="1">IFERROR(IF(0=LEN(ReferenceData!$AY$453),"",ReferenceData!$AY$453),"")</f>
        <v/>
      </c>
      <c r="AZ453" t="str">
        <f ca="1">IFERROR(IF(0=LEN(ReferenceData!$AZ$453),"",ReferenceData!$AZ$453),"")</f>
        <v/>
      </c>
      <c r="BA453" t="str">
        <f ca="1">IFERROR(IF(0=LEN(ReferenceData!$BA$453),"",ReferenceData!$BA$453),"")</f>
        <v/>
      </c>
      <c r="BB453" t="str">
        <f ca="1">IFERROR(IF(0=LEN(ReferenceData!$BB$453),"",ReferenceData!$BB$453),"")</f>
        <v/>
      </c>
      <c r="BC453" t="str">
        <f ca="1">IFERROR(IF(0=LEN(ReferenceData!$BC$453),"",ReferenceData!$BC$453),"")</f>
        <v/>
      </c>
      <c r="BD453" t="str">
        <f ca="1">IFERROR(IF(0=LEN(ReferenceData!$BD$453),"",ReferenceData!$BD$453),"")</f>
        <v/>
      </c>
      <c r="BE453" t="str">
        <f ca="1">IFERROR(IF(0=LEN(ReferenceData!$BE$453),"",ReferenceData!$BE$453),"")</f>
        <v/>
      </c>
      <c r="BF453" t="str">
        <f ca="1">IFERROR(IF(0=LEN(ReferenceData!$BF$453),"",ReferenceData!$BF$453),"")</f>
        <v/>
      </c>
      <c r="BG453" t="str">
        <f ca="1">IFERROR(IF(0=LEN(ReferenceData!$BG$453),"",ReferenceData!$BG$453),"")</f>
        <v/>
      </c>
      <c r="BH453" t="str">
        <f ca="1">IFERROR(IF(0=LEN(ReferenceData!$BH$453),"",ReferenceData!$BH$453),"")</f>
        <v/>
      </c>
      <c r="BI453" t="str">
        <f ca="1">IFERROR(IF(0=LEN(ReferenceData!$BI$453),"",ReferenceData!$BI$453),"")</f>
        <v/>
      </c>
      <c r="BJ453" t="str">
        <f ca="1">IFERROR(IF(0=LEN(ReferenceData!$BJ$453),"",ReferenceData!$BJ$453),"")</f>
        <v/>
      </c>
      <c r="BK453" t="str">
        <f ca="1">IFERROR(IF(0=LEN(ReferenceData!$BK$453),"",ReferenceData!$BK$453),"")</f>
        <v/>
      </c>
      <c r="BL453" t="str">
        <f ca="1">IFERROR(IF(0=LEN(ReferenceData!$BL$453),"",ReferenceData!$BL$453),"")</f>
        <v/>
      </c>
      <c r="BM453" t="str">
        <f ca="1">IFERROR(IF(0=LEN(ReferenceData!$BM$453),"",ReferenceData!$BM$453),"")</f>
        <v/>
      </c>
    </row>
    <row r="454" spans="1:65" x14ac:dyDescent="0.25">
      <c r="A454" t="str">
        <f>IFERROR(IF(0=LEN(ReferenceData!$A$454),"",ReferenceData!$A$454),"")</f>
        <v xml:space="preserve">    Volkswagen AG</v>
      </c>
      <c r="B454" t="str">
        <f>IFERROR(IF(0=LEN(ReferenceData!$B$454),"",ReferenceData!$B$454),"")</f>
        <v>VOW GR Equity</v>
      </c>
      <c r="C454" t="str">
        <f>IFERROR(IF(0=LEN(ReferenceData!$C$454),"",ReferenceData!$C$454),"")</f>
        <v>RR477</v>
      </c>
      <c r="D454" t="str">
        <f>IFERROR(IF(0=LEN(ReferenceData!$D$454),"",ReferenceData!$D$454),"")</f>
        <v>EV_TO_T12M_CASH_FLOW</v>
      </c>
      <c r="E454" t="str">
        <f>IFERROR(IF(0=LEN(ReferenceData!$E$454),"",ReferenceData!$E$454),"")</f>
        <v>Dynamic</v>
      </c>
      <c r="F454" t="str">
        <f ca="1">IFERROR(IF(0=LEN(ReferenceData!$F$454),"",ReferenceData!$F$454),"")</f>
        <v/>
      </c>
      <c r="G454" t="str">
        <f ca="1">IFERROR(IF(0=LEN(ReferenceData!$G$454),"",ReferenceData!$G$454),"")</f>
        <v/>
      </c>
      <c r="H454">
        <f ca="1">IFERROR(IF(0=LEN(ReferenceData!$H$454),"",ReferenceData!$H$454),"")</f>
        <v>8.3514161189999996</v>
      </c>
      <c r="I454">
        <f ca="1">IFERROR(IF(0=LEN(ReferenceData!$I$454),"",ReferenceData!$I$454),"")</f>
        <v>10.911514739999999</v>
      </c>
      <c r="J454">
        <f ca="1">IFERROR(IF(0=LEN(ReferenceData!$J$454),"",ReferenceData!$J$454),"")</f>
        <v>27.731609679999998</v>
      </c>
      <c r="K454" t="str">
        <f ca="1">IFERROR(IF(0=LEN(ReferenceData!$K$454),"",ReferenceData!$K$454),"")</f>
        <v/>
      </c>
      <c r="L454" t="str">
        <f ca="1">IFERROR(IF(0=LEN(ReferenceData!$L$454),"",ReferenceData!$L$454),"")</f>
        <v/>
      </c>
      <c r="M454">
        <f ca="1">IFERROR(IF(0=LEN(ReferenceData!$M$454),"",ReferenceData!$M$454),"")</f>
        <v>41.756839810000002</v>
      </c>
      <c r="N454">
        <f ca="1">IFERROR(IF(0=LEN(ReferenceData!$N$454),"",ReferenceData!$N$454),"")</f>
        <v>8.5466114060000002</v>
      </c>
      <c r="O454">
        <f ca="1">IFERROR(IF(0=LEN(ReferenceData!$O$454),"",ReferenceData!$O$454),"")</f>
        <v>4.4951316280000002</v>
      </c>
      <c r="P454">
        <f ca="1">IFERROR(IF(0=LEN(ReferenceData!$P$454),"",ReferenceData!$P$454),"")</f>
        <v>3.7926644070000002</v>
      </c>
      <c r="Q454">
        <f ca="1">IFERROR(IF(0=LEN(ReferenceData!$Q$454),"",ReferenceData!$Q$454),"")</f>
        <v>3.7510238720000002</v>
      </c>
      <c r="R454">
        <f ca="1">IFERROR(IF(0=LEN(ReferenceData!$R$454),"",ReferenceData!$R$454),"")</f>
        <v>4.0893650030000002</v>
      </c>
      <c r="S454">
        <f ca="1">IFERROR(IF(0=LEN(ReferenceData!$S$454),"",ReferenceData!$S$454),"")</f>
        <v>4.0464418819999999</v>
      </c>
      <c r="T454">
        <f ca="1">IFERROR(IF(0=LEN(ReferenceData!$T$454),"",ReferenceData!$T$454),"")</f>
        <v>2.2511920509999999</v>
      </c>
      <c r="U454">
        <f ca="1">IFERROR(IF(0=LEN(ReferenceData!$U$454),"",ReferenceData!$U$454),"")</f>
        <v>5.838352864</v>
      </c>
      <c r="V454">
        <f ca="1">IFERROR(IF(0=LEN(ReferenceData!$V$454),"",ReferenceData!$V$454),"")</f>
        <v>8.1110131340000002</v>
      </c>
      <c r="W454">
        <f ca="1">IFERROR(IF(0=LEN(ReferenceData!$W$454),"",ReferenceData!$W$454),"")</f>
        <v>7.0320004220000003</v>
      </c>
      <c r="X454">
        <f ca="1">IFERROR(IF(0=LEN(ReferenceData!$X$454),"",ReferenceData!$X$454),"")</f>
        <v>6.4405128659999997</v>
      </c>
      <c r="Y454">
        <f ca="1">IFERROR(IF(0=LEN(ReferenceData!$Y$454),"",ReferenceData!$Y$454),"")</f>
        <v>7.502959852</v>
      </c>
      <c r="Z454">
        <f ca="1">IFERROR(IF(0=LEN(ReferenceData!$Z$454),"",ReferenceData!$Z$454),"")</f>
        <v>6.6509752730000002</v>
      </c>
      <c r="AA454">
        <f ca="1">IFERROR(IF(0=LEN(ReferenceData!$AA$454),"",ReferenceData!$AA$454),"")</f>
        <v>6.6774767559999999</v>
      </c>
      <c r="AB454">
        <f ca="1">IFERROR(IF(0=LEN(ReferenceData!$AB$454),"",ReferenceData!$AB$454),"")</f>
        <v>5.6138172109999998</v>
      </c>
      <c r="AC454">
        <f ca="1">IFERROR(IF(0=LEN(ReferenceData!$AC$454),"",ReferenceData!$AC$454),"")</f>
        <v>6.3299943599999997</v>
      </c>
      <c r="AD454">
        <f ca="1">IFERROR(IF(0=LEN(ReferenceData!$AD$454),"",ReferenceData!$AD$454),"")</f>
        <v>7.6675282659999997</v>
      </c>
      <c r="AE454">
        <f ca="1">IFERROR(IF(0=LEN(ReferenceData!$AE$454),"",ReferenceData!$AE$454),"")</f>
        <v>10.12693481</v>
      </c>
      <c r="AF454">
        <f ca="1">IFERROR(IF(0=LEN(ReferenceData!$AF$454),"",ReferenceData!$AF$454),"")</f>
        <v>7.657818067</v>
      </c>
      <c r="AG454">
        <f ca="1">IFERROR(IF(0=LEN(ReferenceData!$AG$454),"",ReferenceData!$AG$454),"")</f>
        <v>6.3949030499999999</v>
      </c>
      <c r="AH454">
        <f ca="1">IFERROR(IF(0=LEN(ReferenceData!$AH$454),"",ReferenceData!$AH$454),"")</f>
        <v>6.3590333870000002</v>
      </c>
      <c r="AI454">
        <f ca="1">IFERROR(IF(0=LEN(ReferenceData!$AI$454),"",ReferenceData!$AI$454),"")</f>
        <v>4.5905177000000004</v>
      </c>
      <c r="AJ454">
        <f ca="1">IFERROR(IF(0=LEN(ReferenceData!$AJ$454),"",ReferenceData!$AJ$454),"")</f>
        <v>3.5110379049999998</v>
      </c>
      <c r="AK454">
        <f ca="1">IFERROR(IF(0=LEN(ReferenceData!$AK$454),"",ReferenceData!$AK$454),"")</f>
        <v>5.2111334539999996</v>
      </c>
      <c r="AL454">
        <f ca="1">IFERROR(IF(0=LEN(ReferenceData!$AL$454),"",ReferenceData!$AL$454),"")</f>
        <v>3.2636722809999998</v>
      </c>
      <c r="AM454">
        <f ca="1">IFERROR(IF(0=LEN(ReferenceData!$AM$454),"",ReferenceData!$AM$454),"")</f>
        <v>3.0597508279999999</v>
      </c>
      <c r="AN454">
        <f ca="1">IFERROR(IF(0=LEN(ReferenceData!$AN$454),"",ReferenceData!$AN$454),"")</f>
        <v>1.9962105699999999</v>
      </c>
      <c r="AO454">
        <f ca="1">IFERROR(IF(0=LEN(ReferenceData!$AO$454),"",ReferenceData!$AO$454),"")</f>
        <v>1.694272929</v>
      </c>
      <c r="AP454">
        <f ca="1">IFERROR(IF(0=LEN(ReferenceData!$AP$454),"",ReferenceData!$AP$454),"")</f>
        <v>1.8134740009999999</v>
      </c>
      <c r="AQ454">
        <f ca="1">IFERROR(IF(0=LEN(ReferenceData!$AQ$454),"",ReferenceData!$AQ$454),"")</f>
        <v>6.7121310469999997</v>
      </c>
      <c r="AR454">
        <f ca="1">IFERROR(IF(0=LEN(ReferenceData!$AR$454),"",ReferenceData!$AR$454),"")</f>
        <v>7.2918399039999997</v>
      </c>
      <c r="AS454">
        <f ca="1">IFERROR(IF(0=LEN(ReferenceData!$AS$454),"",ReferenceData!$AS$454),"")</f>
        <v>11.72166822</v>
      </c>
      <c r="AT454">
        <f ca="1">IFERROR(IF(0=LEN(ReferenceData!$AT$454),"",ReferenceData!$AT$454),"")</f>
        <v>13.70876121</v>
      </c>
      <c r="AU454">
        <f ca="1">IFERROR(IF(0=LEN(ReferenceData!$AU$454),"",ReferenceData!$AU$454),"")</f>
        <v>15.82630183</v>
      </c>
      <c r="AV454">
        <f ca="1">IFERROR(IF(0=LEN(ReferenceData!$AV$454),"",ReferenceData!$AV$454),"")</f>
        <v>17.50842205</v>
      </c>
      <c r="AW454">
        <f ca="1">IFERROR(IF(0=LEN(ReferenceData!$AW$454),"",ReferenceData!$AW$454),"")</f>
        <v>12.1141723</v>
      </c>
      <c r="AX454">
        <f ca="1">IFERROR(IF(0=LEN(ReferenceData!$AX$454),"",ReferenceData!$AX$454),"")</f>
        <v>9.2992914689999999</v>
      </c>
      <c r="AY454">
        <f ca="1">IFERROR(IF(0=LEN(ReferenceData!$AY$454),"",ReferenceData!$AY$454),"")</f>
        <v>7.544277084</v>
      </c>
      <c r="AZ454">
        <f ca="1">IFERROR(IF(0=LEN(ReferenceData!$AZ$454),"",ReferenceData!$AZ$454),"")</f>
        <v>6.7245459050000003</v>
      </c>
      <c r="BA454">
        <f ca="1">IFERROR(IF(0=LEN(ReferenceData!$BA$454),"",ReferenceData!$BA$454),"")</f>
        <v>5.6207984880000001</v>
      </c>
      <c r="BB454">
        <f ca="1">IFERROR(IF(0=LEN(ReferenceData!$BB$454),"",ReferenceData!$BB$454),"")</f>
        <v>6.4763105190000001</v>
      </c>
      <c r="BC454">
        <f ca="1">IFERROR(IF(0=LEN(ReferenceData!$BC$454),"",ReferenceData!$BC$454),"")</f>
        <v>5.8059993209999998</v>
      </c>
      <c r="BD454">
        <f ca="1">IFERROR(IF(0=LEN(ReferenceData!$BD$454),"",ReferenceData!$BD$454),"")</f>
        <v>6.1134328780000002</v>
      </c>
      <c r="BE454">
        <f ca="1">IFERROR(IF(0=LEN(ReferenceData!$BE$454),"",ReferenceData!$BE$454),"")</f>
        <v>5.8289452940000004</v>
      </c>
      <c r="BF454">
        <f ca="1">IFERROR(IF(0=LEN(ReferenceData!$BF$454),"",ReferenceData!$BF$454),"")</f>
        <v>7.2161210069999999</v>
      </c>
      <c r="BG454">
        <f ca="1">IFERROR(IF(0=LEN(ReferenceData!$BG$454),"",ReferenceData!$BG$454),"")</f>
        <v>8.7348897789999995</v>
      </c>
      <c r="BH454">
        <f ca="1">IFERROR(IF(0=LEN(ReferenceData!$BH$454),"",ReferenceData!$BH$454),"")</f>
        <v>7.4581228570000002</v>
      </c>
      <c r="BI454">
        <f ca="1">IFERROR(IF(0=LEN(ReferenceData!$BI$454),"",ReferenceData!$BI$454),"")</f>
        <v>7.0197694989999997</v>
      </c>
      <c r="BJ454">
        <f ca="1">IFERROR(IF(0=LEN(ReferenceData!$BJ$454),"",ReferenceData!$BJ$454),"")</f>
        <v>6.0126803039999999</v>
      </c>
      <c r="BK454">
        <f ca="1">IFERROR(IF(0=LEN(ReferenceData!$BK$454),"",ReferenceData!$BK$454),"")</f>
        <v>5.3602406079999998</v>
      </c>
      <c r="BL454" t="str">
        <f ca="1">IFERROR(IF(0=LEN(ReferenceData!$BL$454),"",ReferenceData!$BL$454),"")</f>
        <v/>
      </c>
      <c r="BM454" t="str">
        <f ca="1">IFERROR(IF(0=LEN(ReferenceData!$BM$454),"",ReferenceData!$BM$454),"")</f>
        <v/>
      </c>
    </row>
    <row r="455" spans="1:65" x14ac:dyDescent="0.25">
      <c r="A455" t="str">
        <f>IFERROR(IF(0=LEN(ReferenceData!$A$455),"",ReferenceData!$A$455),"")</f>
        <v xml:space="preserve">    Yulon Motor Co Ltd</v>
      </c>
      <c r="B455" t="str">
        <f>IFERROR(IF(0=LEN(ReferenceData!$B$455),"",ReferenceData!$B$455),"")</f>
        <v>2201 TT Equity</v>
      </c>
      <c r="C455" t="str">
        <f>IFERROR(IF(0=LEN(ReferenceData!$C$455),"",ReferenceData!$C$455),"")</f>
        <v>RR477</v>
      </c>
      <c r="D455" t="str">
        <f>IFERROR(IF(0=LEN(ReferenceData!$D$455),"",ReferenceData!$D$455),"")</f>
        <v>EV_TO_T12M_CASH_FLOW</v>
      </c>
      <c r="E455" t="str">
        <f>IFERROR(IF(0=LEN(ReferenceData!$E$455),"",ReferenceData!$E$455),"")</f>
        <v>Dynamic</v>
      </c>
      <c r="F455" t="str">
        <f ca="1">IFERROR(IF(0=LEN(ReferenceData!$F$455),"",ReferenceData!$F$455),"")</f>
        <v/>
      </c>
      <c r="G455" t="str">
        <f ca="1">IFERROR(IF(0=LEN(ReferenceData!$G$455),"",ReferenceData!$G$455),"")</f>
        <v/>
      </c>
      <c r="H455" t="str">
        <f ca="1">IFERROR(IF(0=LEN(ReferenceData!$H$455),"",ReferenceData!$H$455),"")</f>
        <v/>
      </c>
      <c r="I455" t="str">
        <f ca="1">IFERROR(IF(0=LEN(ReferenceData!$I$455),"",ReferenceData!$I$455),"")</f>
        <v/>
      </c>
      <c r="J455" t="str">
        <f ca="1">IFERROR(IF(0=LEN(ReferenceData!$J$455),"",ReferenceData!$J$455),"")</f>
        <v/>
      </c>
      <c r="K455" t="str">
        <f ca="1">IFERROR(IF(0=LEN(ReferenceData!$K$455),"",ReferenceData!$K$455),"")</f>
        <v/>
      </c>
      <c r="L455" t="str">
        <f ca="1">IFERROR(IF(0=LEN(ReferenceData!$L$455),"",ReferenceData!$L$455),"")</f>
        <v/>
      </c>
      <c r="M455" t="str">
        <f ca="1">IFERROR(IF(0=LEN(ReferenceData!$M$455),"",ReferenceData!$M$455),"")</f>
        <v/>
      </c>
      <c r="N455" t="str">
        <f ca="1">IFERROR(IF(0=LEN(ReferenceData!$N$455),"",ReferenceData!$N$455),"")</f>
        <v/>
      </c>
      <c r="O455" t="str">
        <f ca="1">IFERROR(IF(0=LEN(ReferenceData!$O$455),"",ReferenceData!$O$455),"")</f>
        <v/>
      </c>
      <c r="P455" t="str">
        <f ca="1">IFERROR(IF(0=LEN(ReferenceData!$P$455),"",ReferenceData!$P$455),"")</f>
        <v/>
      </c>
      <c r="Q455" t="str">
        <f ca="1">IFERROR(IF(0=LEN(ReferenceData!$Q$455),"",ReferenceData!$Q$455),"")</f>
        <v/>
      </c>
      <c r="R455" t="str">
        <f ca="1">IFERROR(IF(0=LEN(ReferenceData!$R$455),"",ReferenceData!$R$455),"")</f>
        <v/>
      </c>
      <c r="S455" t="str">
        <f ca="1">IFERROR(IF(0=LEN(ReferenceData!$S$455),"",ReferenceData!$S$455),"")</f>
        <v/>
      </c>
      <c r="T455" t="str">
        <f ca="1">IFERROR(IF(0=LEN(ReferenceData!$T$455),"",ReferenceData!$T$455),"")</f>
        <v/>
      </c>
      <c r="U455" t="str">
        <f ca="1">IFERROR(IF(0=LEN(ReferenceData!$U$455),"",ReferenceData!$U$455),"")</f>
        <v/>
      </c>
      <c r="V455" t="str">
        <f ca="1">IFERROR(IF(0=LEN(ReferenceData!$V$455),"",ReferenceData!$V$455),"")</f>
        <v/>
      </c>
      <c r="W455" t="str">
        <f ca="1">IFERROR(IF(0=LEN(ReferenceData!$W$455),"",ReferenceData!$W$455),"")</f>
        <v/>
      </c>
      <c r="X455" t="str">
        <f ca="1">IFERROR(IF(0=LEN(ReferenceData!$X$455),"",ReferenceData!$X$455),"")</f>
        <v/>
      </c>
      <c r="Y455" t="str">
        <f ca="1">IFERROR(IF(0=LEN(ReferenceData!$Y$455),"",ReferenceData!$Y$455),"")</f>
        <v/>
      </c>
      <c r="Z455">
        <f ca="1">IFERROR(IF(0=LEN(ReferenceData!$Z$455),"",ReferenceData!$Z$455),"")</f>
        <v>74.953827160000003</v>
      </c>
      <c r="AA455">
        <f ca="1">IFERROR(IF(0=LEN(ReferenceData!$AA$455),"",ReferenceData!$AA$455),"")</f>
        <v>31.549950899999999</v>
      </c>
      <c r="AB455">
        <f ca="1">IFERROR(IF(0=LEN(ReferenceData!$AB$455),"",ReferenceData!$AB$455),"")</f>
        <v>13.224627849999999</v>
      </c>
      <c r="AC455">
        <f ca="1">IFERROR(IF(0=LEN(ReferenceData!$AC$455),"",ReferenceData!$AC$455),"")</f>
        <v>11.586745759999999</v>
      </c>
      <c r="AD455">
        <f ca="1">IFERROR(IF(0=LEN(ReferenceData!$AD$455),"",ReferenceData!$AD$455),"")</f>
        <v>21.434049739999999</v>
      </c>
      <c r="AE455">
        <f ca="1">IFERROR(IF(0=LEN(ReferenceData!$AE$455),"",ReferenceData!$AE$455),"")</f>
        <v>33.821632360000002</v>
      </c>
      <c r="AF455">
        <f ca="1">IFERROR(IF(0=LEN(ReferenceData!$AF$455),"",ReferenceData!$AF$455),"")</f>
        <v>39.590838490000003</v>
      </c>
      <c r="AG455" t="str">
        <f ca="1">IFERROR(IF(0=LEN(ReferenceData!$AG$455),"",ReferenceData!$AG$455),"")</f>
        <v/>
      </c>
      <c r="AH455">
        <f ca="1">IFERROR(IF(0=LEN(ReferenceData!$AH$455),"",ReferenceData!$AH$455),"")</f>
        <v>64.794716949999994</v>
      </c>
      <c r="AI455" t="str">
        <f ca="1">IFERROR(IF(0=LEN(ReferenceData!$AI$455),"",ReferenceData!$AI$455),"")</f>
        <v/>
      </c>
      <c r="AJ455" t="str">
        <f ca="1">IFERROR(IF(0=LEN(ReferenceData!$AJ$455),"",ReferenceData!$AJ$455),"")</f>
        <v/>
      </c>
      <c r="AK455">
        <f ca="1">IFERROR(IF(0=LEN(ReferenceData!$AK$455),"",ReferenceData!$AK$455),"")</f>
        <v>1548.178521</v>
      </c>
      <c r="AL455">
        <f ca="1">IFERROR(IF(0=LEN(ReferenceData!$AL$455),"",ReferenceData!$AL$455),"")</f>
        <v>35.861026870000003</v>
      </c>
      <c r="AM455">
        <f ca="1">IFERROR(IF(0=LEN(ReferenceData!$AM$455),"",ReferenceData!$AM$455),"")</f>
        <v>43.250179729999999</v>
      </c>
      <c r="AN455">
        <f ca="1">IFERROR(IF(0=LEN(ReferenceData!$AN$455),"",ReferenceData!$AN$455),"")</f>
        <v>10.32200716</v>
      </c>
      <c r="AO455">
        <f ca="1">IFERROR(IF(0=LEN(ReferenceData!$AO$455),"",ReferenceData!$AO$455),"")</f>
        <v>22.350696320000001</v>
      </c>
      <c r="AP455">
        <f ca="1">IFERROR(IF(0=LEN(ReferenceData!$AP$455),"",ReferenceData!$AP$455),"")</f>
        <v>18.46854974</v>
      </c>
      <c r="AQ455">
        <f ca="1">IFERROR(IF(0=LEN(ReferenceData!$AQ$455),"",ReferenceData!$AQ$455),"")</f>
        <v>16.78525741</v>
      </c>
      <c r="AR455" t="str">
        <f ca="1">IFERROR(IF(0=LEN(ReferenceData!$AR$455),"",ReferenceData!$AR$455),"")</f>
        <v/>
      </c>
      <c r="AS455">
        <f ca="1">IFERROR(IF(0=LEN(ReferenceData!$AS$455),"",ReferenceData!$AS$455),"")</f>
        <v>16.737138829999999</v>
      </c>
      <c r="AT455">
        <f ca="1">IFERROR(IF(0=LEN(ReferenceData!$AT$455),"",ReferenceData!$AT$455),"")</f>
        <v>23.468051620000001</v>
      </c>
      <c r="AU455">
        <f ca="1">IFERROR(IF(0=LEN(ReferenceData!$AU$455),"",ReferenceData!$AU$455),"")</f>
        <v>6.9389895690000003</v>
      </c>
      <c r="AV455" t="str">
        <f ca="1">IFERROR(IF(0=LEN(ReferenceData!$AV$455),"",ReferenceData!$AV$455),"")</f>
        <v/>
      </c>
      <c r="AW455" t="str">
        <f ca="1">IFERROR(IF(0=LEN(ReferenceData!$AW$455),"",ReferenceData!$AW$455),"")</f>
        <v/>
      </c>
      <c r="AX455" t="str">
        <f ca="1">IFERROR(IF(0=LEN(ReferenceData!$AX$455),"",ReferenceData!$AX$455),"")</f>
        <v/>
      </c>
      <c r="AY455" t="str">
        <f ca="1">IFERROR(IF(0=LEN(ReferenceData!$AY$455),"",ReferenceData!$AY$455),"")</f>
        <v/>
      </c>
      <c r="AZ455" t="str">
        <f ca="1">IFERROR(IF(0=LEN(ReferenceData!$AZ$455),"",ReferenceData!$AZ$455),"")</f>
        <v/>
      </c>
      <c r="BA455" t="str">
        <f ca="1">IFERROR(IF(0=LEN(ReferenceData!$BA$455),"",ReferenceData!$BA$455),"")</f>
        <v/>
      </c>
      <c r="BB455" t="str">
        <f ca="1">IFERROR(IF(0=LEN(ReferenceData!$BB$455),"",ReferenceData!$BB$455),"")</f>
        <v/>
      </c>
      <c r="BC455" t="str">
        <f ca="1">IFERROR(IF(0=LEN(ReferenceData!$BC$455),"",ReferenceData!$BC$455),"")</f>
        <v/>
      </c>
      <c r="BD455" t="str">
        <f ca="1">IFERROR(IF(0=LEN(ReferenceData!$BD$455),"",ReferenceData!$BD$455),"")</f>
        <v/>
      </c>
      <c r="BE455" t="str">
        <f ca="1">IFERROR(IF(0=LEN(ReferenceData!$BE$455),"",ReferenceData!$BE$455),"")</f>
        <v/>
      </c>
      <c r="BF455" t="str">
        <f ca="1">IFERROR(IF(0=LEN(ReferenceData!$BF$455),"",ReferenceData!$BF$455),"")</f>
        <v/>
      </c>
      <c r="BG455" t="str">
        <f ca="1">IFERROR(IF(0=LEN(ReferenceData!$BG$455),"",ReferenceData!$BG$455),"")</f>
        <v/>
      </c>
      <c r="BH455" t="str">
        <f ca="1">IFERROR(IF(0=LEN(ReferenceData!$BH$455),"",ReferenceData!$BH$455),"")</f>
        <v/>
      </c>
      <c r="BI455" t="str">
        <f ca="1">IFERROR(IF(0=LEN(ReferenceData!$BI$455),"",ReferenceData!$BI$455),"")</f>
        <v/>
      </c>
      <c r="BJ455" t="str">
        <f ca="1">IFERROR(IF(0=LEN(ReferenceData!$BJ$455),"",ReferenceData!$BJ$455),"")</f>
        <v/>
      </c>
      <c r="BK455" t="str">
        <f ca="1">IFERROR(IF(0=LEN(ReferenceData!$BK$455),"",ReferenceData!$BK$455),"")</f>
        <v/>
      </c>
      <c r="BL455" t="str">
        <f ca="1">IFERROR(IF(0=LEN(ReferenceData!$BL$455),"",ReferenceData!$BL$455),"")</f>
        <v/>
      </c>
      <c r="BM455" t="str">
        <f ca="1">IFERROR(IF(0=LEN(ReferenceData!$BM$455),"",ReferenceData!$BM$455),"")</f>
        <v/>
      </c>
    </row>
    <row r="456" spans="1:65" x14ac:dyDescent="0.25">
      <c r="A456" t="str">
        <f>IFERROR(IF(0=LEN(ReferenceData!$A$456),"",ReferenceData!$A$456),"")</f>
        <v>EV / T12M Net Income</v>
      </c>
      <c r="B456" t="str">
        <f>IFERROR(IF(0=LEN(ReferenceData!$B$456),"",ReferenceData!$B$456),"")</f>
        <v/>
      </c>
      <c r="C456" t="str">
        <f>IFERROR(IF(0=LEN(ReferenceData!$C$456),"",ReferenceData!$C$456),"")</f>
        <v/>
      </c>
      <c r="D456" t="str">
        <f>IFERROR(IF(0=LEN(ReferenceData!$D$456),"",ReferenceData!$D$456),"")</f>
        <v/>
      </c>
      <c r="E456" t="str">
        <f>IFERROR(IF(0=LEN(ReferenceData!$E$456),"",ReferenceData!$E$456),"")</f>
        <v>Average</v>
      </c>
      <c r="F456" t="str">
        <f ca="1">IFERROR(IF(0=LEN(ReferenceData!$F$456),"",ReferenceData!$F$456),"")</f>
        <v/>
      </c>
      <c r="G456">
        <f ca="1">IFERROR(IF(0=LEN(ReferenceData!$G$456),"",ReferenceData!$G$456),"")</f>
        <v>8.8328372495384606</v>
      </c>
      <c r="H456">
        <f ca="1">IFERROR(IF(0=LEN(ReferenceData!$H$456),"",ReferenceData!$H$456),"")</f>
        <v>70.5974535090741</v>
      </c>
      <c r="I456">
        <f ca="1">IFERROR(IF(0=LEN(ReferenceData!$I$456),"",ReferenceData!$I$456),"")</f>
        <v>21.015423172319991</v>
      </c>
      <c r="J456">
        <f ca="1">IFERROR(IF(0=LEN(ReferenceData!$J$456),"",ReferenceData!$J$456),"")</f>
        <v>19.151870779307693</v>
      </c>
      <c r="K456">
        <f ca="1">IFERROR(IF(0=LEN(ReferenceData!$K$456),"",ReferenceData!$K$456),"")</f>
        <v>19.596643567000001</v>
      </c>
      <c r="L456">
        <f ca="1">IFERROR(IF(0=LEN(ReferenceData!$L$456),"",ReferenceData!$L$456),"")</f>
        <v>34.225850392111106</v>
      </c>
      <c r="M456">
        <f ca="1">IFERROR(IF(0=LEN(ReferenceData!$M$456),"",ReferenceData!$M$456),"")</f>
        <v>44.684509687440006</v>
      </c>
      <c r="N456">
        <f ca="1">IFERROR(IF(0=LEN(ReferenceData!$N$456),"",ReferenceData!$N$456),"")</f>
        <v>23.769904794679995</v>
      </c>
      <c r="O456">
        <f ca="1">IFERROR(IF(0=LEN(ReferenceData!$O$456),"",ReferenceData!$O$456),"")</f>
        <v>18.328409873666669</v>
      </c>
      <c r="P456">
        <f ca="1">IFERROR(IF(0=LEN(ReferenceData!$P$456),"",ReferenceData!$P$456),"")</f>
        <v>21.70462967392</v>
      </c>
      <c r="Q456">
        <f ca="1">IFERROR(IF(0=LEN(ReferenceData!$Q$456),"",ReferenceData!$Q$456),"")</f>
        <v>26.853032158583328</v>
      </c>
      <c r="R456">
        <f ca="1">IFERROR(IF(0=LEN(ReferenceData!$R$456),"",ReferenceData!$R$456),"")</f>
        <v>18.36555322923077</v>
      </c>
      <c r="S456">
        <f ca="1">IFERROR(IF(0=LEN(ReferenceData!$S$456),"",ReferenceData!$S$456),"")</f>
        <v>65.846296630384614</v>
      </c>
      <c r="T456">
        <f ca="1">IFERROR(IF(0=LEN(ReferenceData!$T$456),"",ReferenceData!$T$456),"")</f>
        <v>20.360307056888882</v>
      </c>
      <c r="U456">
        <f ca="1">IFERROR(IF(0=LEN(ReferenceData!$U$456),"",ReferenceData!$U$456),"")</f>
        <v>29.391234531120013</v>
      </c>
      <c r="V456">
        <f ca="1">IFERROR(IF(0=LEN(ReferenceData!$V$456),"",ReferenceData!$V$456),"")</f>
        <v>86.647014647407403</v>
      </c>
      <c r="W456">
        <f ca="1">IFERROR(IF(0=LEN(ReferenceData!$W$456),"",ReferenceData!$W$456),"")</f>
        <v>34.257811131769238</v>
      </c>
      <c r="X456">
        <f ca="1">IFERROR(IF(0=LEN(ReferenceData!$X$456),"",ReferenceData!$X$456),"")</f>
        <v>26.557537684884608</v>
      </c>
      <c r="Y456">
        <f ca="1">IFERROR(IF(0=LEN(ReferenceData!$Y$456),"",ReferenceData!$Y$456),"")</f>
        <v>24.524635765039999</v>
      </c>
      <c r="Z456">
        <f ca="1">IFERROR(IF(0=LEN(ReferenceData!$Z$456),"",ReferenceData!$Z$456),"")</f>
        <v>25.193853027592599</v>
      </c>
      <c r="AA456">
        <f ca="1">IFERROR(IF(0=LEN(ReferenceData!$AA$456),"",ReferenceData!$AA$456),"")</f>
        <v>22.16488322348</v>
      </c>
      <c r="AB456">
        <f ca="1">IFERROR(IF(0=LEN(ReferenceData!$AB$456),"",ReferenceData!$AB$456),"")</f>
        <v>23.999106436923071</v>
      </c>
      <c r="AC456">
        <f ca="1">IFERROR(IF(0=LEN(ReferenceData!$AC$456),"",ReferenceData!$AC$456),"")</f>
        <v>29.188223847799996</v>
      </c>
      <c r="AD456">
        <f ca="1">IFERROR(IF(0=LEN(ReferenceData!$AD$456),"",ReferenceData!$AD$456),"")</f>
        <v>38.081385588115388</v>
      </c>
      <c r="AE456">
        <f ca="1">IFERROR(IF(0=LEN(ReferenceData!$AE$456),"",ReferenceData!$AE$456),"")</f>
        <v>62.396465431576914</v>
      </c>
      <c r="AF456">
        <f ca="1">IFERROR(IF(0=LEN(ReferenceData!$AF$456),"",ReferenceData!$AF$456),"")</f>
        <v>19.144227902153851</v>
      </c>
      <c r="AG456">
        <f ca="1">IFERROR(IF(0=LEN(ReferenceData!$AG$456),"",ReferenceData!$AG$456),"")</f>
        <v>19.786735734680001</v>
      </c>
      <c r="AH456">
        <f ca="1">IFERROR(IF(0=LEN(ReferenceData!$AH$456),"",ReferenceData!$AH$456),"")</f>
        <v>21.50183389379167</v>
      </c>
      <c r="AI456">
        <f ca="1">IFERROR(IF(0=LEN(ReferenceData!$AI$456),"",ReferenceData!$AI$456),"")</f>
        <v>21.794854641166669</v>
      </c>
      <c r="AJ456">
        <f ca="1">IFERROR(IF(0=LEN(ReferenceData!$AJ$456),"",ReferenceData!$AJ$456),"")</f>
        <v>18.886934323160002</v>
      </c>
      <c r="AK456">
        <f ca="1">IFERROR(IF(0=LEN(ReferenceData!$AK$456),"",ReferenceData!$AK$456),"")</f>
        <v>24.31829297852174</v>
      </c>
      <c r="AL456">
        <f ca="1">IFERROR(IF(0=LEN(ReferenceData!$AL$456),"",ReferenceData!$AL$456),"")</f>
        <v>20.147859738565217</v>
      </c>
      <c r="AM456">
        <f ca="1">IFERROR(IF(0=LEN(ReferenceData!$AM$456),"",ReferenceData!$AM$456),"")</f>
        <v>20.1586387378</v>
      </c>
      <c r="AN456">
        <f ca="1">IFERROR(IF(0=LEN(ReferenceData!$AN$456),"",ReferenceData!$AN$456),"")</f>
        <v>18.691247838749998</v>
      </c>
      <c r="AO456">
        <f ca="1">IFERROR(IF(0=LEN(ReferenceData!$AO$456),"",ReferenceData!$AO$456),"")</f>
        <v>22.12505171159091</v>
      </c>
      <c r="AP456">
        <f ca="1">IFERROR(IF(0=LEN(ReferenceData!$AP$456),"",ReferenceData!$AP$456),"")</f>
        <v>46.633894405500001</v>
      </c>
      <c r="AQ456">
        <f ca="1">IFERROR(IF(0=LEN(ReferenceData!$AQ$456),"",ReferenceData!$AQ$456),"")</f>
        <v>123.35593614464287</v>
      </c>
      <c r="AR456">
        <f ca="1">IFERROR(IF(0=LEN(ReferenceData!$AR$456),"",ReferenceData!$AR$456),"")</f>
        <v>84.55395479900001</v>
      </c>
      <c r="AS456">
        <f ca="1">IFERROR(IF(0=LEN(ReferenceData!$AS$456),"",ReferenceData!$AS$456),"")</f>
        <v>179.75178080327277</v>
      </c>
      <c r="AT456">
        <f ca="1">IFERROR(IF(0=LEN(ReferenceData!$AT$456),"",ReferenceData!$AT$456),"")</f>
        <v>532.82491520044448</v>
      </c>
      <c r="AU456">
        <f ca="1">IFERROR(IF(0=LEN(ReferenceData!$AU$456),"",ReferenceData!$AU$456),"")</f>
        <v>70.570655573882362</v>
      </c>
      <c r="AV456">
        <f ca="1">IFERROR(IF(0=LEN(ReferenceData!$AV$456),"",ReferenceData!$AV$456),"")</f>
        <v>20.259336010550005</v>
      </c>
      <c r="AW456">
        <f ca="1">IFERROR(IF(0=LEN(ReferenceData!$AW$456),"",ReferenceData!$AW$456),"")</f>
        <v>18.005265436888894</v>
      </c>
      <c r="AX456">
        <f ca="1">IFERROR(IF(0=LEN(ReferenceData!$AX$456),"",ReferenceData!$AX$456),"")</f>
        <v>23.378037432499994</v>
      </c>
      <c r="AY456">
        <f ca="1">IFERROR(IF(0=LEN(ReferenceData!$AY$456),"",ReferenceData!$AY$456),"")</f>
        <v>30.53451080527778</v>
      </c>
      <c r="AZ456">
        <f ca="1">IFERROR(IF(0=LEN(ReferenceData!$AZ$456),"",ReferenceData!$AZ$456),"")</f>
        <v>30.974665867882354</v>
      </c>
      <c r="BA456">
        <f ca="1">IFERROR(IF(0=LEN(ReferenceData!$BA$456),"",ReferenceData!$BA$456),"")</f>
        <v>34.993988494166672</v>
      </c>
      <c r="BB456">
        <f ca="1">IFERROR(IF(0=LEN(ReferenceData!$BB$456),"",ReferenceData!$BB$456),"")</f>
        <v>37.658293680944453</v>
      </c>
      <c r="BC456">
        <f ca="1">IFERROR(IF(0=LEN(ReferenceData!$BC$456),"",ReferenceData!$BC$456),"")</f>
        <v>24.256016119562499</v>
      </c>
      <c r="BD456">
        <f ca="1">IFERROR(IF(0=LEN(ReferenceData!$BD$456),"",ReferenceData!$BD$456),"")</f>
        <v>20.794191216062501</v>
      </c>
      <c r="BE456">
        <f ca="1">IFERROR(IF(0=LEN(ReferenceData!$BE$456),"",ReferenceData!$BE$456),"")</f>
        <v>20.066522832312501</v>
      </c>
      <c r="BF456">
        <f ca="1">IFERROR(IF(0=LEN(ReferenceData!$BF$456),"",ReferenceData!$BF$456),"")</f>
        <v>23.151105082312501</v>
      </c>
      <c r="BG456">
        <f ca="1">IFERROR(IF(0=LEN(ReferenceData!$BG$456),"",ReferenceData!$BG$456),"")</f>
        <v>30.885681206374997</v>
      </c>
      <c r="BH456">
        <f ca="1">IFERROR(IF(0=LEN(ReferenceData!$BH$456),"",ReferenceData!$BH$456),"")</f>
        <v>30.167108174944449</v>
      </c>
      <c r="BI456">
        <f ca="1">IFERROR(IF(0=LEN(ReferenceData!$BI$456),"",ReferenceData!$BI$456),"")</f>
        <v>62.430313749538456</v>
      </c>
      <c r="BJ456">
        <f ca="1">IFERROR(IF(0=LEN(ReferenceData!$BJ$456),"",ReferenceData!$BJ$456),"")</f>
        <v>27.401369737437502</v>
      </c>
      <c r="BK456">
        <f ca="1">IFERROR(IF(0=LEN(ReferenceData!$BK$456),"",ReferenceData!$BK$456),"")</f>
        <v>47.657747416636361</v>
      </c>
      <c r="BL456">
        <f ca="1">IFERROR(IF(0=LEN(ReferenceData!$BL$456),"",ReferenceData!$BL$456),"")</f>
        <v>22.17420992876923</v>
      </c>
      <c r="BM456">
        <f ca="1">IFERROR(IF(0=LEN(ReferenceData!$BM$456),"",ReferenceData!$BM$456),"")</f>
        <v>127.7893580596</v>
      </c>
    </row>
    <row r="457" spans="1:65" x14ac:dyDescent="0.25">
      <c r="A457" t="str">
        <f>IFERROR(IF(0=LEN(ReferenceData!$A$457),"",ReferenceData!$A$457),"")</f>
        <v xml:space="preserve">    AUDI AG</v>
      </c>
      <c r="B457" t="str">
        <f>IFERROR(IF(0=LEN(ReferenceData!$B$457),"",ReferenceData!$B$457),"")</f>
        <v>NSU GR Equity</v>
      </c>
      <c r="C457" t="str">
        <f>IFERROR(IF(0=LEN(ReferenceData!$C$457),"",ReferenceData!$C$457),"")</f>
        <v>RR476</v>
      </c>
      <c r="D457" t="str">
        <f>IFERROR(IF(0=LEN(ReferenceData!$D$457),"",ReferenceData!$D$457),"")</f>
        <v>EV_TO_T12M_NET_INCOME</v>
      </c>
      <c r="E457" t="str">
        <f>IFERROR(IF(0=LEN(ReferenceData!$E$457),"",ReferenceData!$E$457),"")</f>
        <v>Dynamic</v>
      </c>
      <c r="F457" t="str">
        <f ca="1">IFERROR(IF(0=LEN(ReferenceData!$F$457),"",ReferenceData!$F$457),"")</f>
        <v/>
      </c>
      <c r="G457" t="str">
        <f ca="1">IFERROR(IF(0=LEN(ReferenceData!$G$457),"",ReferenceData!$G$457),"")</f>
        <v/>
      </c>
      <c r="H457" t="str">
        <f ca="1">IFERROR(IF(0=LEN(ReferenceData!$H$457),"",ReferenceData!$H$457),"")</f>
        <v/>
      </c>
      <c r="I457" t="str">
        <f ca="1">IFERROR(IF(0=LEN(ReferenceData!$I$457),"",ReferenceData!$I$457),"")</f>
        <v/>
      </c>
      <c r="J457" t="str">
        <f ca="1">IFERROR(IF(0=LEN(ReferenceData!$J$457),"",ReferenceData!$J$457),"")</f>
        <v/>
      </c>
      <c r="K457" t="str">
        <f ca="1">IFERROR(IF(0=LEN(ReferenceData!$K$457),"",ReferenceData!$K$457),"")</f>
        <v/>
      </c>
      <c r="L457" t="str">
        <f ca="1">IFERROR(IF(0=LEN(ReferenceData!$L$457),"",ReferenceData!$L$457),"")</f>
        <v/>
      </c>
      <c r="M457" t="str">
        <f ca="1">IFERROR(IF(0=LEN(ReferenceData!$M$457),"",ReferenceData!$M$457),"")</f>
        <v/>
      </c>
      <c r="N457" t="str">
        <f ca="1">IFERROR(IF(0=LEN(ReferenceData!$N$457),"",ReferenceData!$N$457),"")</f>
        <v/>
      </c>
      <c r="O457" t="str">
        <f ca="1">IFERROR(IF(0=LEN(ReferenceData!$O$457),"",ReferenceData!$O$457),"")</f>
        <v/>
      </c>
      <c r="P457" t="str">
        <f ca="1">IFERROR(IF(0=LEN(ReferenceData!$P$457),"",ReferenceData!$P$457),"")</f>
        <v/>
      </c>
      <c r="Q457" t="str">
        <f ca="1">IFERROR(IF(0=LEN(ReferenceData!$Q$457),"",ReferenceData!$Q$457),"")</f>
        <v/>
      </c>
      <c r="R457" t="str">
        <f ca="1">IFERROR(IF(0=LEN(ReferenceData!$R$457),"",ReferenceData!$R$457),"")</f>
        <v/>
      </c>
      <c r="S457" t="str">
        <f ca="1">IFERROR(IF(0=LEN(ReferenceData!$S$457),"",ReferenceData!$S$457),"")</f>
        <v/>
      </c>
      <c r="T457" t="str">
        <f ca="1">IFERROR(IF(0=LEN(ReferenceData!$T$457),"",ReferenceData!$T$457),"")</f>
        <v/>
      </c>
      <c r="U457" t="str">
        <f ca="1">IFERROR(IF(0=LEN(ReferenceData!$U$457),"",ReferenceData!$U$457),"")</f>
        <v/>
      </c>
      <c r="V457" t="str">
        <f ca="1">IFERROR(IF(0=LEN(ReferenceData!$V$457),"",ReferenceData!$V$457),"")</f>
        <v/>
      </c>
      <c r="W457" t="str">
        <f ca="1">IFERROR(IF(0=LEN(ReferenceData!$W$457),"",ReferenceData!$W$457),"")</f>
        <v/>
      </c>
      <c r="X457" t="str">
        <f ca="1">IFERROR(IF(0=LEN(ReferenceData!$X$457),"",ReferenceData!$X$457),"")</f>
        <v/>
      </c>
      <c r="Y457" t="str">
        <f ca="1">IFERROR(IF(0=LEN(ReferenceData!$Y$457),"",ReferenceData!$Y$457),"")</f>
        <v/>
      </c>
      <c r="Z457" t="str">
        <f ca="1">IFERROR(IF(0=LEN(ReferenceData!$Z$457),"",ReferenceData!$Z$457),"")</f>
        <v/>
      </c>
      <c r="AA457" t="str">
        <f ca="1">IFERROR(IF(0=LEN(ReferenceData!$AA$457),"",ReferenceData!$AA$457),"")</f>
        <v/>
      </c>
      <c r="AB457" t="str">
        <f ca="1">IFERROR(IF(0=LEN(ReferenceData!$AB$457),"",ReferenceData!$AB$457),"")</f>
        <v/>
      </c>
      <c r="AC457" t="str">
        <f ca="1">IFERROR(IF(0=LEN(ReferenceData!$AC$457),"",ReferenceData!$AC$457),"")</f>
        <v/>
      </c>
      <c r="AD457" t="str">
        <f ca="1">IFERROR(IF(0=LEN(ReferenceData!$AD$457),"",ReferenceData!$AD$457),"")</f>
        <v/>
      </c>
      <c r="AE457" t="str">
        <f ca="1">IFERROR(IF(0=LEN(ReferenceData!$AE$457),"",ReferenceData!$AE$457),"")</f>
        <v/>
      </c>
      <c r="AF457" t="str">
        <f ca="1">IFERROR(IF(0=LEN(ReferenceData!$AF$457),"",ReferenceData!$AF$457),"")</f>
        <v/>
      </c>
      <c r="AG457" t="str">
        <f ca="1">IFERROR(IF(0=LEN(ReferenceData!$AG$457),"",ReferenceData!$AG$457),"")</f>
        <v/>
      </c>
      <c r="AH457" t="str">
        <f ca="1">IFERROR(IF(0=LEN(ReferenceData!$AH$457),"",ReferenceData!$AH$457),"")</f>
        <v/>
      </c>
      <c r="AI457" t="str">
        <f ca="1">IFERROR(IF(0=LEN(ReferenceData!$AI$457),"",ReferenceData!$AI$457),"")</f>
        <v/>
      </c>
      <c r="AJ457" t="str">
        <f ca="1">IFERROR(IF(0=LEN(ReferenceData!$AJ$457),"",ReferenceData!$AJ$457),"")</f>
        <v/>
      </c>
      <c r="AK457" t="str">
        <f ca="1">IFERROR(IF(0=LEN(ReferenceData!$AK$457),"",ReferenceData!$AK$457),"")</f>
        <v/>
      </c>
      <c r="AL457" t="str">
        <f ca="1">IFERROR(IF(0=LEN(ReferenceData!$AL$457),"",ReferenceData!$AL$457),"")</f>
        <v/>
      </c>
      <c r="AM457" t="str">
        <f ca="1">IFERROR(IF(0=LEN(ReferenceData!$AM$457),"",ReferenceData!$AM$457),"")</f>
        <v/>
      </c>
      <c r="AN457" t="str">
        <f ca="1">IFERROR(IF(0=LEN(ReferenceData!$AN$457),"",ReferenceData!$AN$457),"")</f>
        <v/>
      </c>
      <c r="AO457" t="str">
        <f ca="1">IFERROR(IF(0=LEN(ReferenceData!$AO$457),"",ReferenceData!$AO$457),"")</f>
        <v/>
      </c>
      <c r="AP457" t="str">
        <f ca="1">IFERROR(IF(0=LEN(ReferenceData!$AP$457),"",ReferenceData!$AP$457),"")</f>
        <v/>
      </c>
      <c r="AQ457" t="str">
        <f ca="1">IFERROR(IF(0=LEN(ReferenceData!$AQ$457),"",ReferenceData!$AQ$457),"")</f>
        <v/>
      </c>
      <c r="AR457" t="str">
        <f ca="1">IFERROR(IF(0=LEN(ReferenceData!$AR$457),"",ReferenceData!$AR$457),"")</f>
        <v/>
      </c>
      <c r="AS457" t="str">
        <f ca="1">IFERROR(IF(0=LEN(ReferenceData!$AS$457),"",ReferenceData!$AS$457),"")</f>
        <v/>
      </c>
      <c r="AT457" t="str">
        <f ca="1">IFERROR(IF(0=LEN(ReferenceData!$AT$457),"",ReferenceData!$AT$457),"")</f>
        <v/>
      </c>
      <c r="AU457" t="str">
        <f ca="1">IFERROR(IF(0=LEN(ReferenceData!$AU$457),"",ReferenceData!$AU$457),"")</f>
        <v/>
      </c>
      <c r="AV457" t="str">
        <f ca="1">IFERROR(IF(0=LEN(ReferenceData!$AV$457),"",ReferenceData!$AV$457),"")</f>
        <v/>
      </c>
      <c r="AW457" t="str">
        <f ca="1">IFERROR(IF(0=LEN(ReferenceData!$AW$457),"",ReferenceData!$AW$457),"")</f>
        <v/>
      </c>
      <c r="AX457" t="str">
        <f ca="1">IFERROR(IF(0=LEN(ReferenceData!$AX$457),"",ReferenceData!$AX$457),"")</f>
        <v/>
      </c>
      <c r="AY457" t="str">
        <f ca="1">IFERROR(IF(0=LEN(ReferenceData!$AY$457),"",ReferenceData!$AY$457),"")</f>
        <v/>
      </c>
      <c r="AZ457" t="str">
        <f ca="1">IFERROR(IF(0=LEN(ReferenceData!$AZ$457),"",ReferenceData!$AZ$457),"")</f>
        <v/>
      </c>
      <c r="BA457" t="str">
        <f ca="1">IFERROR(IF(0=LEN(ReferenceData!$BA$457),"",ReferenceData!$BA$457),"")</f>
        <v/>
      </c>
      <c r="BB457" t="str">
        <f ca="1">IFERROR(IF(0=LEN(ReferenceData!$BB$457),"",ReferenceData!$BB$457),"")</f>
        <v/>
      </c>
      <c r="BC457" t="str">
        <f ca="1">IFERROR(IF(0=LEN(ReferenceData!$BC$457),"",ReferenceData!$BC$457),"")</f>
        <v/>
      </c>
      <c r="BD457" t="str">
        <f ca="1">IFERROR(IF(0=LEN(ReferenceData!$BD$457),"",ReferenceData!$BD$457),"")</f>
        <v/>
      </c>
      <c r="BE457" t="str">
        <f ca="1">IFERROR(IF(0=LEN(ReferenceData!$BE$457),"",ReferenceData!$BE$457),"")</f>
        <v/>
      </c>
      <c r="BF457" t="str">
        <f ca="1">IFERROR(IF(0=LEN(ReferenceData!$BF$457),"",ReferenceData!$BF$457),"")</f>
        <v/>
      </c>
      <c r="BG457" t="str">
        <f ca="1">IFERROR(IF(0=LEN(ReferenceData!$BG$457),"",ReferenceData!$BG$457),"")</f>
        <v/>
      </c>
      <c r="BH457" t="str">
        <f ca="1">IFERROR(IF(0=LEN(ReferenceData!$BH$457),"",ReferenceData!$BH$457),"")</f>
        <v/>
      </c>
      <c r="BI457" t="str">
        <f ca="1">IFERROR(IF(0=LEN(ReferenceData!$BI$457),"",ReferenceData!$BI$457),"")</f>
        <v/>
      </c>
      <c r="BJ457" t="str">
        <f ca="1">IFERROR(IF(0=LEN(ReferenceData!$BJ$457),"",ReferenceData!$BJ$457),"")</f>
        <v/>
      </c>
      <c r="BK457" t="str">
        <f ca="1">IFERROR(IF(0=LEN(ReferenceData!$BK$457),"",ReferenceData!$BK$457),"")</f>
        <v/>
      </c>
      <c r="BL457" t="str">
        <f ca="1">IFERROR(IF(0=LEN(ReferenceData!$BL$457),"",ReferenceData!$BL$457),"")</f>
        <v/>
      </c>
      <c r="BM457" t="str">
        <f ca="1">IFERROR(IF(0=LEN(ReferenceData!$BM$457),"",ReferenceData!$BM$457),"")</f>
        <v/>
      </c>
    </row>
    <row r="458" spans="1:65" x14ac:dyDescent="0.25">
      <c r="A458" t="str">
        <f>IFERROR(IF(0=LEN(ReferenceData!$A$458),"",ReferenceData!$A$458),"")</f>
        <v xml:space="preserve">    Avtovaz PJSC</v>
      </c>
      <c r="B458" t="str">
        <f>IFERROR(IF(0=LEN(ReferenceData!$B$458),"",ReferenceData!$B$458),"")</f>
        <v>AVAZ RM Equity</v>
      </c>
      <c r="C458" t="str">
        <f>IFERROR(IF(0=LEN(ReferenceData!$C$458),"",ReferenceData!$C$458),"")</f>
        <v>RR476</v>
      </c>
      <c r="D458" t="str">
        <f>IFERROR(IF(0=LEN(ReferenceData!$D$458),"",ReferenceData!$D$458),"")</f>
        <v>EV_TO_T12M_NET_INCOME</v>
      </c>
      <c r="E458" t="str">
        <f>IFERROR(IF(0=LEN(ReferenceData!$E$458),"",ReferenceData!$E$458),"")</f>
        <v>Dynamic</v>
      </c>
      <c r="F458" t="str">
        <f ca="1">IFERROR(IF(0=LEN(ReferenceData!$F$458),"",ReferenceData!$F$458),"")</f>
        <v/>
      </c>
      <c r="G458" t="str">
        <f ca="1">IFERROR(IF(0=LEN(ReferenceData!$G$458),"",ReferenceData!$G$458),"")</f>
        <v/>
      </c>
      <c r="H458">
        <f ca="1">IFERROR(IF(0=LEN(ReferenceData!$H$458),"",ReferenceData!$H$458),"")</f>
        <v>1023.006398</v>
      </c>
      <c r="I458" t="str">
        <f ca="1">IFERROR(IF(0=LEN(ReferenceData!$I$458),"",ReferenceData!$I$458),"")</f>
        <v/>
      </c>
      <c r="J458" t="str">
        <f ca="1">IFERROR(IF(0=LEN(ReferenceData!$J$458),"",ReferenceData!$J$458),"")</f>
        <v/>
      </c>
      <c r="K458" t="str">
        <f ca="1">IFERROR(IF(0=LEN(ReferenceData!$K$458),"",ReferenceData!$K$458),"")</f>
        <v/>
      </c>
      <c r="L458" t="str">
        <f ca="1">IFERROR(IF(0=LEN(ReferenceData!$L$458),"",ReferenceData!$L$458),"")</f>
        <v/>
      </c>
      <c r="M458" t="str">
        <f ca="1">IFERROR(IF(0=LEN(ReferenceData!$M$458),"",ReferenceData!$M$458),"")</f>
        <v/>
      </c>
      <c r="N458" t="str">
        <f ca="1">IFERROR(IF(0=LEN(ReferenceData!$N$458),"",ReferenceData!$N$458),"")</f>
        <v/>
      </c>
      <c r="O458" t="str">
        <f ca="1">IFERROR(IF(0=LEN(ReferenceData!$O$458),"",ReferenceData!$O$458),"")</f>
        <v/>
      </c>
      <c r="P458" t="str">
        <f ca="1">IFERROR(IF(0=LEN(ReferenceData!$P$458),"",ReferenceData!$P$458),"")</f>
        <v/>
      </c>
      <c r="Q458" t="str">
        <f ca="1">IFERROR(IF(0=LEN(ReferenceData!$Q$458),"",ReferenceData!$Q$458),"")</f>
        <v/>
      </c>
      <c r="R458" t="str">
        <f ca="1">IFERROR(IF(0=LEN(ReferenceData!$R$458),"",ReferenceData!$R$458),"")</f>
        <v/>
      </c>
      <c r="S458" t="str">
        <f ca="1">IFERROR(IF(0=LEN(ReferenceData!$S$458),"",ReferenceData!$S$458),"")</f>
        <v/>
      </c>
      <c r="T458" t="str">
        <f ca="1">IFERROR(IF(0=LEN(ReferenceData!$T$458),"",ReferenceData!$T$458),"")</f>
        <v/>
      </c>
      <c r="U458" t="str">
        <f ca="1">IFERROR(IF(0=LEN(ReferenceData!$U$458),"",ReferenceData!$U$458),"")</f>
        <v/>
      </c>
      <c r="V458" t="str">
        <f ca="1">IFERROR(IF(0=LEN(ReferenceData!$V$458),"",ReferenceData!$V$458),"")</f>
        <v/>
      </c>
      <c r="W458" t="str">
        <f ca="1">IFERROR(IF(0=LEN(ReferenceData!$W$458),"",ReferenceData!$W$458),"")</f>
        <v/>
      </c>
      <c r="X458" t="str">
        <f ca="1">IFERROR(IF(0=LEN(ReferenceData!$X$458),"",ReferenceData!$X$458),"")</f>
        <v/>
      </c>
      <c r="Y458" t="str">
        <f ca="1">IFERROR(IF(0=LEN(ReferenceData!$Y$458),"",ReferenceData!$Y$458),"")</f>
        <v/>
      </c>
      <c r="Z458" t="str">
        <f ca="1">IFERROR(IF(0=LEN(ReferenceData!$Z$458),"",ReferenceData!$Z$458),"")</f>
        <v/>
      </c>
      <c r="AA458" t="str">
        <f ca="1">IFERROR(IF(0=LEN(ReferenceData!$AA$458),"",ReferenceData!$AA$458),"")</f>
        <v/>
      </c>
      <c r="AB458" t="str">
        <f ca="1">IFERROR(IF(0=LEN(ReferenceData!$AB$458),"",ReferenceData!$AB$458),"")</f>
        <v/>
      </c>
      <c r="AC458" t="str">
        <f ca="1">IFERROR(IF(0=LEN(ReferenceData!$AC$458),"",ReferenceData!$AC$458),"")</f>
        <v/>
      </c>
      <c r="AD458" t="str">
        <f ca="1">IFERROR(IF(0=LEN(ReferenceData!$AD$458),"",ReferenceData!$AD$458),"")</f>
        <v/>
      </c>
      <c r="AE458" t="str">
        <f ca="1">IFERROR(IF(0=LEN(ReferenceData!$AE$458),"",ReferenceData!$AE$458),"")</f>
        <v/>
      </c>
      <c r="AF458" t="str">
        <f ca="1">IFERROR(IF(0=LEN(ReferenceData!$AF$458),"",ReferenceData!$AF$458),"")</f>
        <v/>
      </c>
      <c r="AG458" t="str">
        <f ca="1">IFERROR(IF(0=LEN(ReferenceData!$AG$458),"",ReferenceData!$AG$458),"")</f>
        <v/>
      </c>
      <c r="AH458" t="str">
        <f ca="1">IFERROR(IF(0=LEN(ReferenceData!$AH$458),"",ReferenceData!$AH$458),"")</f>
        <v/>
      </c>
      <c r="AI458" t="str">
        <f ca="1">IFERROR(IF(0=LEN(ReferenceData!$AI$458),"",ReferenceData!$AI$458),"")</f>
        <v/>
      </c>
      <c r="AJ458" t="str">
        <f ca="1">IFERROR(IF(0=LEN(ReferenceData!$AJ$458),"",ReferenceData!$AJ$458),"")</f>
        <v/>
      </c>
      <c r="AK458" t="str">
        <f ca="1">IFERROR(IF(0=LEN(ReferenceData!$AK$458),"",ReferenceData!$AK$458),"")</f>
        <v/>
      </c>
      <c r="AL458" t="str">
        <f ca="1">IFERROR(IF(0=LEN(ReferenceData!$AL$458),"",ReferenceData!$AL$458),"")</f>
        <v/>
      </c>
      <c r="AM458" t="str">
        <f ca="1">IFERROR(IF(0=LEN(ReferenceData!$AM$458),"",ReferenceData!$AM$458),"")</f>
        <v/>
      </c>
      <c r="AN458" t="str">
        <f ca="1">IFERROR(IF(0=LEN(ReferenceData!$AN$458),"",ReferenceData!$AN$458),"")</f>
        <v/>
      </c>
      <c r="AO458" t="str">
        <f ca="1">IFERROR(IF(0=LEN(ReferenceData!$AO$458),"",ReferenceData!$AO$458),"")</f>
        <v/>
      </c>
      <c r="AP458" t="str">
        <f ca="1">IFERROR(IF(0=LEN(ReferenceData!$AP$458),"",ReferenceData!$AP$458),"")</f>
        <v/>
      </c>
      <c r="AQ458" t="str">
        <f ca="1">IFERROR(IF(0=LEN(ReferenceData!$AQ$458),"",ReferenceData!$AQ$458),"")</f>
        <v/>
      </c>
      <c r="AR458" t="str">
        <f ca="1">IFERROR(IF(0=LEN(ReferenceData!$AR$458),"",ReferenceData!$AR$458),"")</f>
        <v/>
      </c>
      <c r="AS458" t="str">
        <f ca="1">IFERROR(IF(0=LEN(ReferenceData!$AS$458),"",ReferenceData!$AS$458),"")</f>
        <v/>
      </c>
      <c r="AT458" t="str">
        <f ca="1">IFERROR(IF(0=LEN(ReferenceData!$AT$458),"",ReferenceData!$AT$458),"")</f>
        <v/>
      </c>
      <c r="AU458" t="str">
        <f ca="1">IFERROR(IF(0=LEN(ReferenceData!$AU$458),"",ReferenceData!$AU$458),"")</f>
        <v/>
      </c>
      <c r="AV458" t="str">
        <f ca="1">IFERROR(IF(0=LEN(ReferenceData!$AV$458),"",ReferenceData!$AV$458),"")</f>
        <v/>
      </c>
      <c r="AW458" t="str">
        <f ca="1">IFERROR(IF(0=LEN(ReferenceData!$AW$458),"",ReferenceData!$AW$458),"")</f>
        <v/>
      </c>
      <c r="AX458" t="str">
        <f ca="1">IFERROR(IF(0=LEN(ReferenceData!$AX$458),"",ReferenceData!$AX$458),"")</f>
        <v/>
      </c>
      <c r="AY458" t="str">
        <f ca="1">IFERROR(IF(0=LEN(ReferenceData!$AY$458),"",ReferenceData!$AY$458),"")</f>
        <v/>
      </c>
      <c r="AZ458" t="str">
        <f ca="1">IFERROR(IF(0=LEN(ReferenceData!$AZ$458),"",ReferenceData!$AZ$458),"")</f>
        <v/>
      </c>
      <c r="BA458" t="str">
        <f ca="1">IFERROR(IF(0=LEN(ReferenceData!$BA$458),"",ReferenceData!$BA$458),"")</f>
        <v/>
      </c>
      <c r="BB458" t="str">
        <f ca="1">IFERROR(IF(0=LEN(ReferenceData!$BB$458),"",ReferenceData!$BB$458),"")</f>
        <v/>
      </c>
      <c r="BC458" t="str">
        <f ca="1">IFERROR(IF(0=LEN(ReferenceData!$BC$458),"",ReferenceData!$BC$458),"")</f>
        <v/>
      </c>
      <c r="BD458" t="str">
        <f ca="1">IFERROR(IF(0=LEN(ReferenceData!$BD$458),"",ReferenceData!$BD$458),"")</f>
        <v/>
      </c>
      <c r="BE458" t="str">
        <f ca="1">IFERROR(IF(0=LEN(ReferenceData!$BE$458),"",ReferenceData!$BE$458),"")</f>
        <v/>
      </c>
      <c r="BF458" t="str">
        <f ca="1">IFERROR(IF(0=LEN(ReferenceData!$BF$458),"",ReferenceData!$BF$458),"")</f>
        <v/>
      </c>
      <c r="BG458" t="str">
        <f ca="1">IFERROR(IF(0=LEN(ReferenceData!$BG$458),"",ReferenceData!$BG$458),"")</f>
        <v/>
      </c>
      <c r="BH458" t="str">
        <f ca="1">IFERROR(IF(0=LEN(ReferenceData!$BH$458),"",ReferenceData!$BH$458),"")</f>
        <v/>
      </c>
      <c r="BI458" t="str">
        <f ca="1">IFERROR(IF(0=LEN(ReferenceData!$BI$458),"",ReferenceData!$BI$458),"")</f>
        <v/>
      </c>
      <c r="BJ458" t="str">
        <f ca="1">IFERROR(IF(0=LEN(ReferenceData!$BJ$458),"",ReferenceData!$BJ$458),"")</f>
        <v/>
      </c>
      <c r="BK458" t="str">
        <f ca="1">IFERROR(IF(0=LEN(ReferenceData!$BK$458),"",ReferenceData!$BK$458),"")</f>
        <v/>
      </c>
      <c r="BL458" t="str">
        <f ca="1">IFERROR(IF(0=LEN(ReferenceData!$BL$458),"",ReferenceData!$BL$458),"")</f>
        <v/>
      </c>
      <c r="BM458" t="str">
        <f ca="1">IFERROR(IF(0=LEN(ReferenceData!$BM$458),"",ReferenceData!$BM$458),"")</f>
        <v/>
      </c>
    </row>
    <row r="459" spans="1:65" x14ac:dyDescent="0.25">
      <c r="A459" t="str">
        <f>IFERROR(IF(0=LEN(ReferenceData!$A$459),"",ReferenceData!$A$459),"")</f>
        <v xml:space="preserve">    Bayerische Motoren Werke AG</v>
      </c>
      <c r="B459" t="str">
        <f>IFERROR(IF(0=LEN(ReferenceData!$B$459),"",ReferenceData!$B$459),"")</f>
        <v>BMW GR Equity</v>
      </c>
      <c r="C459" t="str">
        <f>IFERROR(IF(0=LEN(ReferenceData!$C$459),"",ReferenceData!$C$459),"")</f>
        <v>RR476</v>
      </c>
      <c r="D459" t="str">
        <f>IFERROR(IF(0=LEN(ReferenceData!$D$459),"",ReferenceData!$D$459),"")</f>
        <v>EV_TO_T12M_NET_INCOME</v>
      </c>
      <c r="E459" t="str">
        <f>IFERROR(IF(0=LEN(ReferenceData!$E$459),"",ReferenceData!$E$459),"")</f>
        <v>Dynamic</v>
      </c>
      <c r="F459" t="str">
        <f ca="1">IFERROR(IF(0=LEN(ReferenceData!$F$459),"",ReferenceData!$F$459),"")</f>
        <v/>
      </c>
      <c r="G459" t="str">
        <f ca="1">IFERROR(IF(0=LEN(ReferenceData!$G$459),"",ReferenceData!$G$459),"")</f>
        <v/>
      </c>
      <c r="H459">
        <f ca="1">IFERROR(IF(0=LEN(ReferenceData!$H$459),"",ReferenceData!$H$459),"")</f>
        <v>11.508681770000001</v>
      </c>
      <c r="I459">
        <f ca="1">IFERROR(IF(0=LEN(ReferenceData!$I$459),"",ReferenceData!$I$459),"")</f>
        <v>10.692905619999999</v>
      </c>
      <c r="J459">
        <f ca="1">IFERROR(IF(0=LEN(ReferenceData!$J$459),"",ReferenceData!$J$459),"")</f>
        <v>11.05034017</v>
      </c>
      <c r="K459">
        <f ca="1">IFERROR(IF(0=LEN(ReferenceData!$K$459),"",ReferenceData!$K$459),"")</f>
        <v>10.89090972</v>
      </c>
      <c r="L459">
        <f ca="1">IFERROR(IF(0=LEN(ReferenceData!$L$459),"",ReferenceData!$L$459),"")</f>
        <v>12.47133977</v>
      </c>
      <c r="M459">
        <f ca="1">IFERROR(IF(0=LEN(ReferenceData!$M$459),"",ReferenceData!$M$459),"")</f>
        <v>12.30753754</v>
      </c>
      <c r="N459">
        <f ca="1">IFERROR(IF(0=LEN(ReferenceData!$N$459),"",ReferenceData!$N$459),"")</f>
        <v>13.11998576</v>
      </c>
      <c r="O459">
        <f ca="1">IFERROR(IF(0=LEN(ReferenceData!$O$459),"",ReferenceData!$O$459),"")</f>
        <v>14.205519020000001</v>
      </c>
      <c r="P459">
        <f ca="1">IFERROR(IF(0=LEN(ReferenceData!$P$459),"",ReferenceData!$P$459),"")</f>
        <v>13.05262194</v>
      </c>
      <c r="Q459">
        <f ca="1">IFERROR(IF(0=LEN(ReferenceData!$Q$459),"",ReferenceData!$Q$459),"")</f>
        <v>12.87142126</v>
      </c>
      <c r="R459">
        <f ca="1">IFERROR(IF(0=LEN(ReferenceData!$R$459),"",ReferenceData!$R$459),"")</f>
        <v>14.541564380000001</v>
      </c>
      <c r="S459">
        <f ca="1">IFERROR(IF(0=LEN(ReferenceData!$S$459),"",ReferenceData!$S$459),"")</f>
        <v>16.07455379</v>
      </c>
      <c r="T459">
        <f ca="1">IFERROR(IF(0=LEN(ReferenceData!$T$459),"",ReferenceData!$T$459),"")</f>
        <v>15.39314053</v>
      </c>
      <c r="U459">
        <f ca="1">IFERROR(IF(0=LEN(ReferenceData!$U$459),"",ReferenceData!$U$459),"")</f>
        <v>18.395787909999999</v>
      </c>
      <c r="V459">
        <f ca="1">IFERROR(IF(0=LEN(ReferenceData!$V$459),"",ReferenceData!$V$459),"")</f>
        <v>20.223842770000001</v>
      </c>
      <c r="W459">
        <f ca="1">IFERROR(IF(0=LEN(ReferenceData!$W$459),"",ReferenceData!$W$459),"")</f>
        <v>16.512854919999999</v>
      </c>
      <c r="X459">
        <f ca="1">IFERROR(IF(0=LEN(ReferenceData!$X$459),"",ReferenceData!$X$459),"")</f>
        <v>15.512408130000001</v>
      </c>
      <c r="Y459">
        <f ca="1">IFERROR(IF(0=LEN(ReferenceData!$Y$459),"",ReferenceData!$Y$459),"")</f>
        <v>15.833308730000001</v>
      </c>
      <c r="Z459">
        <f ca="1">IFERROR(IF(0=LEN(ReferenceData!$Z$459),"",ReferenceData!$Z$459),"")</f>
        <v>16.215553830000001</v>
      </c>
      <c r="AA459">
        <f ca="1">IFERROR(IF(0=LEN(ReferenceData!$AA$459),"",ReferenceData!$AA$459),"")</f>
        <v>15.93646043</v>
      </c>
      <c r="AB459">
        <f ca="1">IFERROR(IF(0=LEN(ReferenceData!$AB$459),"",ReferenceData!$AB$459),"")</f>
        <v>15.28282241</v>
      </c>
      <c r="AC459">
        <f ca="1">IFERROR(IF(0=LEN(ReferenceData!$AC$459),"",ReferenceData!$AC$459),"")</f>
        <v>13.819696820000001</v>
      </c>
      <c r="AD459">
        <f ca="1">IFERROR(IF(0=LEN(ReferenceData!$AD$459),"",ReferenceData!$AD$459),"")</f>
        <v>14.34487049</v>
      </c>
      <c r="AE459">
        <f ca="1">IFERROR(IF(0=LEN(ReferenceData!$AE$459),"",ReferenceData!$AE$459),"")</f>
        <v>14.76485898</v>
      </c>
      <c r="AF459">
        <f ca="1">IFERROR(IF(0=LEN(ReferenceData!$AF$459),"",ReferenceData!$AF$459),"")</f>
        <v>13.518864000000001</v>
      </c>
      <c r="AG459">
        <f ca="1">IFERROR(IF(0=LEN(ReferenceData!$AG$459),"",ReferenceData!$AG$459),"")</f>
        <v>14.522208600000001</v>
      </c>
      <c r="AH459">
        <f ca="1">IFERROR(IF(0=LEN(ReferenceData!$AH$459),"",ReferenceData!$AH$459),"")</f>
        <v>14.070452149999999</v>
      </c>
      <c r="AI459">
        <f ca="1">IFERROR(IF(0=LEN(ReferenceData!$AI$459),"",ReferenceData!$AI$459),"")</f>
        <v>12.99551845</v>
      </c>
      <c r="AJ459">
        <f ca="1">IFERROR(IF(0=LEN(ReferenceData!$AJ$459),"",ReferenceData!$AJ$459),"")</f>
        <v>11.727182320000001</v>
      </c>
      <c r="AK459">
        <f ca="1">IFERROR(IF(0=LEN(ReferenceData!$AK$459),"",ReferenceData!$AK$459),"")</f>
        <v>13.85651051</v>
      </c>
      <c r="AL459">
        <f ca="1">IFERROR(IF(0=LEN(ReferenceData!$AL$459),"",ReferenceData!$AL$459),"")</f>
        <v>15.76385075</v>
      </c>
      <c r="AM459">
        <f ca="1">IFERROR(IF(0=LEN(ReferenceData!$AM$459),"",ReferenceData!$AM$459),"")</f>
        <v>20.493363519999999</v>
      </c>
      <c r="AN459">
        <f ca="1">IFERROR(IF(0=LEN(ReferenceData!$AN$459),"",ReferenceData!$AN$459),"")</f>
        <v>27.236027660000001</v>
      </c>
      <c r="AO459">
        <f ca="1">IFERROR(IF(0=LEN(ReferenceData!$AO$459),"",ReferenceData!$AO$459),"")</f>
        <v>39.801255820000002</v>
      </c>
      <c r="AP459">
        <f ca="1">IFERROR(IF(0=LEN(ReferenceData!$AP$459),"",ReferenceData!$AP$459),"")</f>
        <v>74.045231759999993</v>
      </c>
      <c r="AQ459">
        <f ca="1">IFERROR(IF(0=LEN(ReferenceData!$AQ$459),"",ReferenceData!$AQ$459),"")</f>
        <v>244.6899511</v>
      </c>
      <c r="AR459" t="str">
        <f ca="1">IFERROR(IF(0=LEN(ReferenceData!$AR$459),"",ReferenceData!$AR$459),"")</f>
        <v/>
      </c>
      <c r="AS459" t="str">
        <f ca="1">IFERROR(IF(0=LEN(ReferenceData!$AS$459),"",ReferenceData!$AS$459),"")</f>
        <v/>
      </c>
      <c r="AT459" t="str">
        <f ca="1">IFERROR(IF(0=LEN(ReferenceData!$AT$459),"",ReferenceData!$AT$459),"")</f>
        <v/>
      </c>
      <c r="AU459">
        <f ca="1">IFERROR(IF(0=LEN(ReferenceData!$AU$459),"",ReferenceData!$AU$459),"")</f>
        <v>190.5665266</v>
      </c>
      <c r="AV459">
        <f ca="1">IFERROR(IF(0=LEN(ReferenceData!$AV$459),"",ReferenceData!$AV$459),"")</f>
        <v>28.341503670000002</v>
      </c>
      <c r="AW459">
        <f ca="1">IFERROR(IF(0=LEN(ReferenceData!$AW$459),"",ReferenceData!$AW$459),"")</f>
        <v>21.49595077</v>
      </c>
      <c r="AX459">
        <f ca="1">IFERROR(IF(0=LEN(ReferenceData!$AX$459),"",ReferenceData!$AX$459),"")</f>
        <v>19.85540949</v>
      </c>
      <c r="AY459">
        <f ca="1">IFERROR(IF(0=LEN(ReferenceData!$AY$459),"",ReferenceData!$AY$459),"")</f>
        <v>21.069755220000001</v>
      </c>
      <c r="AZ459">
        <f ca="1">IFERROR(IF(0=LEN(ReferenceData!$AZ$459),"",ReferenceData!$AZ$459),"")</f>
        <v>23.505520229999998</v>
      </c>
      <c r="BA459">
        <f ca="1">IFERROR(IF(0=LEN(ReferenceData!$BA$459),"",ReferenceData!$BA$459),"")</f>
        <v>27.250888830000001</v>
      </c>
      <c r="BB459">
        <f ca="1">IFERROR(IF(0=LEN(ReferenceData!$BB$459),"",ReferenceData!$BB$459),"")</f>
        <v>24.792534409999998</v>
      </c>
      <c r="BC459">
        <f ca="1">IFERROR(IF(0=LEN(ReferenceData!$BC$459),"",ReferenceData!$BC$459),"")</f>
        <v>21.428910330000001</v>
      </c>
      <c r="BD459">
        <f ca="1">IFERROR(IF(0=LEN(ReferenceData!$BD$459),"",ReferenceData!$BD$459),"")</f>
        <v>20.849839729999999</v>
      </c>
      <c r="BE459">
        <f ca="1">IFERROR(IF(0=LEN(ReferenceData!$BE$459),"",ReferenceData!$BE$459),"")</f>
        <v>19.33659402</v>
      </c>
      <c r="BF459">
        <f ca="1">IFERROR(IF(0=LEN(ReferenceData!$BF$459),"",ReferenceData!$BF$459),"")</f>
        <v>21.787019770000001</v>
      </c>
      <c r="BG459">
        <f ca="1">IFERROR(IF(0=LEN(ReferenceData!$BG$459),"",ReferenceData!$BG$459),"")</f>
        <v>24.408101139999999</v>
      </c>
      <c r="BH459">
        <f ca="1">IFERROR(IF(0=LEN(ReferenceData!$BH$459),"",ReferenceData!$BH$459),"")</f>
        <v>24.45796387</v>
      </c>
      <c r="BI459">
        <f ca="1">IFERROR(IF(0=LEN(ReferenceData!$BI$459),"",ReferenceData!$BI$459),"")</f>
        <v>23.701071880000001</v>
      </c>
      <c r="BJ459">
        <f ca="1">IFERROR(IF(0=LEN(ReferenceData!$BJ$459),"",ReferenceData!$BJ$459),"")</f>
        <v>22.617953180000001</v>
      </c>
      <c r="BK459">
        <f ca="1">IFERROR(IF(0=LEN(ReferenceData!$BK$459),"",ReferenceData!$BK$459),"")</f>
        <v>20.623742780000001</v>
      </c>
      <c r="BL459">
        <f ca="1">IFERROR(IF(0=LEN(ReferenceData!$BL$459),"",ReferenceData!$BL$459),"")</f>
        <v>22.236936100000001</v>
      </c>
      <c r="BM459">
        <f ca="1">IFERROR(IF(0=LEN(ReferenceData!$BM$459),"",ReferenceData!$BM$459),"")</f>
        <v>23.419982210000001</v>
      </c>
    </row>
    <row r="460" spans="1:65" x14ac:dyDescent="0.25">
      <c r="A460" t="str">
        <f>IFERROR(IF(0=LEN(ReferenceData!$A$460),"",ReferenceData!$A$460),"")</f>
        <v xml:space="preserve">    Brilliance China Automotive Holdings Ltd</v>
      </c>
      <c r="B460" t="str">
        <f>IFERROR(IF(0=LEN(ReferenceData!$B$460),"",ReferenceData!$B$460),"")</f>
        <v>1114 HK Equity</v>
      </c>
      <c r="C460" t="str">
        <f>IFERROR(IF(0=LEN(ReferenceData!$C$460),"",ReferenceData!$C$460),"")</f>
        <v>RR476</v>
      </c>
      <c r="D460" t="str">
        <f>IFERROR(IF(0=LEN(ReferenceData!$D$460),"",ReferenceData!$D$460),"")</f>
        <v>EV_TO_T12M_NET_INCOME</v>
      </c>
      <c r="E460" t="str">
        <f>IFERROR(IF(0=LEN(ReferenceData!$E$460),"",ReferenceData!$E$460),"")</f>
        <v>Dynamic</v>
      </c>
      <c r="F460" t="str">
        <f ca="1">IFERROR(IF(0=LEN(ReferenceData!$F$460),"",ReferenceData!$F$460),"")</f>
        <v/>
      </c>
      <c r="G460" t="str">
        <f ca="1">IFERROR(IF(0=LEN(ReferenceData!$G$460),"",ReferenceData!$G$460),"")</f>
        <v/>
      </c>
      <c r="H460" t="str">
        <f ca="1">IFERROR(IF(0=LEN(ReferenceData!$H$460),"",ReferenceData!$H$460),"")</f>
        <v/>
      </c>
      <c r="I460" t="str">
        <f ca="1">IFERROR(IF(0=LEN(ReferenceData!$I$460),"",ReferenceData!$I$460),"")</f>
        <v/>
      </c>
      <c r="J460" t="str">
        <f ca="1">IFERROR(IF(0=LEN(ReferenceData!$J$460),"",ReferenceData!$J$460),"")</f>
        <v/>
      </c>
      <c r="K460" t="str">
        <f ca="1">IFERROR(IF(0=LEN(ReferenceData!$K$460),"",ReferenceData!$K$460),"")</f>
        <v/>
      </c>
      <c r="L460" t="str">
        <f ca="1">IFERROR(IF(0=LEN(ReferenceData!$L$460),"",ReferenceData!$L$460),"")</f>
        <v/>
      </c>
      <c r="M460" t="str">
        <f ca="1">IFERROR(IF(0=LEN(ReferenceData!$M$460),"",ReferenceData!$M$460),"")</f>
        <v/>
      </c>
      <c r="N460" t="str">
        <f ca="1">IFERROR(IF(0=LEN(ReferenceData!$N$460),"",ReferenceData!$N$460),"")</f>
        <v/>
      </c>
      <c r="O460" t="str">
        <f ca="1">IFERROR(IF(0=LEN(ReferenceData!$O$460),"",ReferenceData!$O$460),"")</f>
        <v/>
      </c>
      <c r="P460" t="str">
        <f ca="1">IFERROR(IF(0=LEN(ReferenceData!$P$460),"",ReferenceData!$P$460),"")</f>
        <v/>
      </c>
      <c r="Q460" t="str">
        <f ca="1">IFERROR(IF(0=LEN(ReferenceData!$Q$460),"",ReferenceData!$Q$460),"")</f>
        <v/>
      </c>
      <c r="R460" t="str">
        <f ca="1">IFERROR(IF(0=LEN(ReferenceData!$R$460),"",ReferenceData!$R$460),"")</f>
        <v/>
      </c>
      <c r="S460" t="str">
        <f ca="1">IFERROR(IF(0=LEN(ReferenceData!$S$460),"",ReferenceData!$S$460),"")</f>
        <v/>
      </c>
      <c r="T460" t="str">
        <f ca="1">IFERROR(IF(0=LEN(ReferenceData!$T$460),"",ReferenceData!$T$460),"")</f>
        <v/>
      </c>
      <c r="U460" t="str">
        <f ca="1">IFERROR(IF(0=LEN(ReferenceData!$U$460),"",ReferenceData!$U$460),"")</f>
        <v/>
      </c>
      <c r="V460" t="str">
        <f ca="1">IFERROR(IF(0=LEN(ReferenceData!$V$460),"",ReferenceData!$V$460),"")</f>
        <v/>
      </c>
      <c r="W460" t="str">
        <f ca="1">IFERROR(IF(0=LEN(ReferenceData!$W$460),"",ReferenceData!$W$460),"")</f>
        <v/>
      </c>
      <c r="X460" t="str">
        <f ca="1">IFERROR(IF(0=LEN(ReferenceData!$X$460),"",ReferenceData!$X$460),"")</f>
        <v/>
      </c>
      <c r="Y460" t="str">
        <f ca="1">IFERROR(IF(0=LEN(ReferenceData!$Y$460),"",ReferenceData!$Y$460),"")</f>
        <v/>
      </c>
      <c r="Z460" t="str">
        <f ca="1">IFERROR(IF(0=LEN(ReferenceData!$Z$460),"",ReferenceData!$Z$460),"")</f>
        <v/>
      </c>
      <c r="AA460" t="str">
        <f ca="1">IFERROR(IF(0=LEN(ReferenceData!$AA$460),"",ReferenceData!$AA$460),"")</f>
        <v/>
      </c>
      <c r="AB460" t="str">
        <f ca="1">IFERROR(IF(0=LEN(ReferenceData!$AB$460),"",ReferenceData!$AB$460),"")</f>
        <v/>
      </c>
      <c r="AC460" t="str">
        <f ca="1">IFERROR(IF(0=LEN(ReferenceData!$AC$460),"",ReferenceData!$AC$460),"")</f>
        <v/>
      </c>
      <c r="AD460" t="str">
        <f ca="1">IFERROR(IF(0=LEN(ReferenceData!$AD$460),"",ReferenceData!$AD$460),"")</f>
        <v/>
      </c>
      <c r="AE460" t="str">
        <f ca="1">IFERROR(IF(0=LEN(ReferenceData!$AE$460),"",ReferenceData!$AE$460),"")</f>
        <v/>
      </c>
      <c r="AF460" t="str">
        <f ca="1">IFERROR(IF(0=LEN(ReferenceData!$AF$460),"",ReferenceData!$AF$460),"")</f>
        <v/>
      </c>
      <c r="AG460" t="str">
        <f ca="1">IFERROR(IF(0=LEN(ReferenceData!$AG$460),"",ReferenceData!$AG$460),"")</f>
        <v/>
      </c>
      <c r="AH460" t="str">
        <f ca="1">IFERROR(IF(0=LEN(ReferenceData!$AH$460),"",ReferenceData!$AH$460),"")</f>
        <v/>
      </c>
      <c r="AI460" t="str">
        <f ca="1">IFERROR(IF(0=LEN(ReferenceData!$AI$460),"",ReferenceData!$AI$460),"")</f>
        <v/>
      </c>
      <c r="AJ460" t="str">
        <f ca="1">IFERROR(IF(0=LEN(ReferenceData!$AJ$460),"",ReferenceData!$AJ$460),"")</f>
        <v/>
      </c>
      <c r="AK460" t="str">
        <f ca="1">IFERROR(IF(0=LEN(ReferenceData!$AK$460),"",ReferenceData!$AK$460),"")</f>
        <v/>
      </c>
      <c r="AL460" t="str">
        <f ca="1">IFERROR(IF(0=LEN(ReferenceData!$AL$460),"",ReferenceData!$AL$460),"")</f>
        <v/>
      </c>
      <c r="AM460" t="str">
        <f ca="1">IFERROR(IF(0=LEN(ReferenceData!$AM$460),"",ReferenceData!$AM$460),"")</f>
        <v/>
      </c>
      <c r="AN460" t="str">
        <f ca="1">IFERROR(IF(0=LEN(ReferenceData!$AN$460),"",ReferenceData!$AN$460),"")</f>
        <v/>
      </c>
      <c r="AO460" t="str">
        <f ca="1">IFERROR(IF(0=LEN(ReferenceData!$AO$460),"",ReferenceData!$AO$460),"")</f>
        <v/>
      </c>
      <c r="AP460" t="str">
        <f ca="1">IFERROR(IF(0=LEN(ReferenceData!$AP$460),"",ReferenceData!$AP$460),"")</f>
        <v/>
      </c>
      <c r="AQ460" t="str">
        <f ca="1">IFERROR(IF(0=LEN(ReferenceData!$AQ$460),"",ReferenceData!$AQ$460),"")</f>
        <v/>
      </c>
      <c r="AR460" t="str">
        <f ca="1">IFERROR(IF(0=LEN(ReferenceData!$AR$460),"",ReferenceData!$AR$460),"")</f>
        <v/>
      </c>
      <c r="AS460" t="str">
        <f ca="1">IFERROR(IF(0=LEN(ReferenceData!$AS$460),"",ReferenceData!$AS$460),"")</f>
        <v/>
      </c>
      <c r="AT460" t="str">
        <f ca="1">IFERROR(IF(0=LEN(ReferenceData!$AT$460),"",ReferenceData!$AT$460),"")</f>
        <v/>
      </c>
      <c r="AU460" t="str">
        <f ca="1">IFERROR(IF(0=LEN(ReferenceData!$AU$460),"",ReferenceData!$AU$460),"")</f>
        <v/>
      </c>
      <c r="AV460" t="str">
        <f ca="1">IFERROR(IF(0=LEN(ReferenceData!$AV$460),"",ReferenceData!$AV$460),"")</f>
        <v/>
      </c>
      <c r="AW460" t="str">
        <f ca="1">IFERROR(IF(0=LEN(ReferenceData!$AW$460),"",ReferenceData!$AW$460),"")</f>
        <v/>
      </c>
      <c r="AX460" t="str">
        <f ca="1">IFERROR(IF(0=LEN(ReferenceData!$AX$460),"",ReferenceData!$AX$460),"")</f>
        <v/>
      </c>
      <c r="AY460" t="str">
        <f ca="1">IFERROR(IF(0=LEN(ReferenceData!$AY$460),"",ReferenceData!$AY$460),"")</f>
        <v/>
      </c>
      <c r="AZ460" t="str">
        <f ca="1">IFERROR(IF(0=LEN(ReferenceData!$AZ$460),"",ReferenceData!$AZ$460),"")</f>
        <v/>
      </c>
      <c r="BA460" t="str">
        <f ca="1">IFERROR(IF(0=LEN(ReferenceData!$BA$460),"",ReferenceData!$BA$460),"")</f>
        <v/>
      </c>
      <c r="BB460" t="str">
        <f ca="1">IFERROR(IF(0=LEN(ReferenceData!$BB$460),"",ReferenceData!$BB$460),"")</f>
        <v/>
      </c>
      <c r="BC460" t="str">
        <f ca="1">IFERROR(IF(0=LEN(ReferenceData!$BC$460),"",ReferenceData!$BC$460),"")</f>
        <v/>
      </c>
      <c r="BD460" t="str">
        <f ca="1">IFERROR(IF(0=LEN(ReferenceData!$BD$460),"",ReferenceData!$BD$460),"")</f>
        <v/>
      </c>
      <c r="BE460" t="str">
        <f ca="1">IFERROR(IF(0=LEN(ReferenceData!$BE$460),"",ReferenceData!$BE$460),"")</f>
        <v/>
      </c>
      <c r="BF460" t="str">
        <f ca="1">IFERROR(IF(0=LEN(ReferenceData!$BF$460),"",ReferenceData!$BF$460),"")</f>
        <v/>
      </c>
      <c r="BG460" t="str">
        <f ca="1">IFERROR(IF(0=LEN(ReferenceData!$BG$460),"",ReferenceData!$BG$460),"")</f>
        <v/>
      </c>
      <c r="BH460" t="str">
        <f ca="1">IFERROR(IF(0=LEN(ReferenceData!$BH$460),"",ReferenceData!$BH$460),"")</f>
        <v/>
      </c>
      <c r="BI460" t="str">
        <f ca="1">IFERROR(IF(0=LEN(ReferenceData!$BI$460),"",ReferenceData!$BI$460),"")</f>
        <v/>
      </c>
      <c r="BJ460" t="str">
        <f ca="1">IFERROR(IF(0=LEN(ReferenceData!$BJ$460),"",ReferenceData!$BJ$460),"")</f>
        <v/>
      </c>
      <c r="BK460" t="str">
        <f ca="1">IFERROR(IF(0=LEN(ReferenceData!$BK$460),"",ReferenceData!$BK$460),"")</f>
        <v/>
      </c>
      <c r="BL460" t="str">
        <f ca="1">IFERROR(IF(0=LEN(ReferenceData!$BL$460),"",ReferenceData!$BL$460),"")</f>
        <v/>
      </c>
      <c r="BM460" t="str">
        <f ca="1">IFERROR(IF(0=LEN(ReferenceData!$BM$460),"",ReferenceData!$BM$460),"")</f>
        <v/>
      </c>
    </row>
    <row r="461" spans="1:65" x14ac:dyDescent="0.25">
      <c r="A461" t="str">
        <f>IFERROR(IF(0=LEN(ReferenceData!$A$461),"",ReferenceData!$A$461),"")</f>
        <v xml:space="preserve">    BYD Co Ltd</v>
      </c>
      <c r="B461" t="str">
        <f>IFERROR(IF(0=LEN(ReferenceData!$B$461),"",ReferenceData!$B$461),"")</f>
        <v>1211 HK Equity</v>
      </c>
      <c r="C461" t="str">
        <f>IFERROR(IF(0=LEN(ReferenceData!$C$461),"",ReferenceData!$C$461),"")</f>
        <v>RR476</v>
      </c>
      <c r="D461" t="str">
        <f>IFERROR(IF(0=LEN(ReferenceData!$D$461),"",ReferenceData!$D$461),"")</f>
        <v>EV_TO_T12M_NET_INCOME</v>
      </c>
      <c r="E461" t="str">
        <f>IFERROR(IF(0=LEN(ReferenceData!$E$461),"",ReferenceData!$E$461),"")</f>
        <v>Dynamic</v>
      </c>
      <c r="F461" t="str">
        <f ca="1">IFERROR(IF(0=LEN(ReferenceData!$F$461),"",ReferenceData!$F$461),"")</f>
        <v/>
      </c>
      <c r="G461" t="str">
        <f ca="1">IFERROR(IF(0=LEN(ReferenceData!$G$461),"",ReferenceData!$G$461),"")</f>
        <v/>
      </c>
      <c r="H461">
        <f ca="1">IFERROR(IF(0=LEN(ReferenceData!$H$461),"",ReferenceData!$H$461),"")</f>
        <v>68.177277849999996</v>
      </c>
      <c r="I461">
        <f ca="1">IFERROR(IF(0=LEN(ReferenceData!$I$461),"",ReferenceData!$I$461),"")</f>
        <v>66.441597160000001</v>
      </c>
      <c r="J461">
        <f ca="1">IFERROR(IF(0=LEN(ReferenceData!$J$461),"",ReferenceData!$J$461),"")</f>
        <v>63.065283899999997</v>
      </c>
      <c r="K461">
        <f ca="1">IFERROR(IF(0=LEN(ReferenceData!$K$461),"",ReferenceData!$K$461),"")</f>
        <v>59.810770769999998</v>
      </c>
      <c r="L461">
        <f ca="1">IFERROR(IF(0=LEN(ReferenceData!$L$461),"",ReferenceData!$L$461),"")</f>
        <v>60.087647320000002</v>
      </c>
      <c r="M461">
        <f ca="1">IFERROR(IF(0=LEN(ReferenceData!$M$461),"",ReferenceData!$M$461),"")</f>
        <v>43.610970500000001</v>
      </c>
      <c r="N461">
        <f ca="1">IFERROR(IF(0=LEN(ReferenceData!$N$461),"",ReferenceData!$N$461),"")</f>
        <v>38.713643300000001</v>
      </c>
      <c r="O461">
        <f ca="1">IFERROR(IF(0=LEN(ReferenceData!$O$461),"",ReferenceData!$O$461),"")</f>
        <v>36.049689090000001</v>
      </c>
      <c r="P461">
        <f ca="1">IFERROR(IF(0=LEN(ReferenceData!$P$461),"",ReferenceData!$P$461),"")</f>
        <v>42.459822920000001</v>
      </c>
      <c r="Q461">
        <f ca="1">IFERROR(IF(0=LEN(ReferenceData!$Q$461),"",ReferenceData!$Q$461),"")</f>
        <v>41.67221507</v>
      </c>
      <c r="R461">
        <f ca="1">IFERROR(IF(0=LEN(ReferenceData!$R$461),"",ReferenceData!$R$461),"")</f>
        <v>51.254766760000003</v>
      </c>
      <c r="S461">
        <f ca="1">IFERROR(IF(0=LEN(ReferenceData!$S$461),"",ReferenceData!$S$461),"")</f>
        <v>64.102849699999993</v>
      </c>
      <c r="T461">
        <f ca="1">IFERROR(IF(0=LEN(ReferenceData!$T$461),"",ReferenceData!$T$461),"")</f>
        <v>87.954141989999997</v>
      </c>
      <c r="U461">
        <f ca="1">IFERROR(IF(0=LEN(ReferenceData!$U$461),"",ReferenceData!$U$461),"")</f>
        <v>309.01563370000002</v>
      </c>
      <c r="V461">
        <f ca="1">IFERROR(IF(0=LEN(ReferenceData!$V$461),"",ReferenceData!$V$461),"")</f>
        <v>281.68643739999999</v>
      </c>
      <c r="W461">
        <f ca="1">IFERROR(IF(0=LEN(ReferenceData!$W$461),"",ReferenceData!$W$461),"")</f>
        <v>290.61315029999997</v>
      </c>
      <c r="X461">
        <f ca="1">IFERROR(IF(0=LEN(ReferenceData!$X$461),"",ReferenceData!$X$461),"")</f>
        <v>324.68840460000001</v>
      </c>
      <c r="Y461">
        <f ca="1">IFERROR(IF(0=LEN(ReferenceData!$Y$461),"",ReferenceData!$Y$461),"")</f>
        <v>257.80952559999997</v>
      </c>
      <c r="Z461">
        <f ca="1">IFERROR(IF(0=LEN(ReferenceData!$Z$461),"",ReferenceData!$Z$461),"")</f>
        <v>277.27826649999997</v>
      </c>
      <c r="AA461">
        <f ca="1">IFERROR(IF(0=LEN(ReferenceData!$AA$461),"",ReferenceData!$AA$461),"")</f>
        <v>191.87994069999999</v>
      </c>
      <c r="AB461">
        <f ca="1">IFERROR(IF(0=LEN(ReferenceData!$AB$461),"",ReferenceData!$AB$461),"")</f>
        <v>188.34345809999999</v>
      </c>
      <c r="AC461">
        <f ca="1">IFERROR(IF(0=LEN(ReferenceData!$AC$461),"",ReferenceData!$AC$461),"")</f>
        <v>193.79917839999999</v>
      </c>
      <c r="AD461">
        <f ca="1">IFERROR(IF(0=LEN(ReferenceData!$AD$461),"",ReferenceData!$AD$461),"")</f>
        <v>461.1307822</v>
      </c>
      <c r="AE461">
        <f ca="1">IFERROR(IF(0=LEN(ReferenceData!$AE$461),"",ReferenceData!$AE$461),"")</f>
        <v>920.74664129999996</v>
      </c>
      <c r="AF461">
        <f ca="1">IFERROR(IF(0=LEN(ReferenceData!$AF$461),"",ReferenceData!$AF$461),"")</f>
        <v>52.812744930000001</v>
      </c>
      <c r="AG461">
        <f ca="1">IFERROR(IF(0=LEN(ReferenceData!$AG$461),"",ReferenceData!$AG$461),"")</f>
        <v>61.43152499</v>
      </c>
      <c r="AH461" t="str">
        <f ca="1">IFERROR(IF(0=LEN(ReferenceData!$AH$461),"",ReferenceData!$AH$461),"")</f>
        <v/>
      </c>
      <c r="AI461" t="str">
        <f ca="1">IFERROR(IF(0=LEN(ReferenceData!$AI$461),"",ReferenceData!$AI$461),"")</f>
        <v/>
      </c>
      <c r="AJ461" t="str">
        <f ca="1">IFERROR(IF(0=LEN(ReferenceData!$AJ$461),"",ReferenceData!$AJ$461),"")</f>
        <v/>
      </c>
      <c r="AK461" t="str">
        <f ca="1">IFERROR(IF(0=LEN(ReferenceData!$AK$461),"",ReferenceData!$AK$461),"")</f>
        <v/>
      </c>
      <c r="AL461" t="str">
        <f ca="1">IFERROR(IF(0=LEN(ReferenceData!$AL$461),"",ReferenceData!$AL$461),"")</f>
        <v/>
      </c>
      <c r="AM461">
        <f ca="1">IFERROR(IF(0=LEN(ReferenceData!$AM$461),"",ReferenceData!$AM$461),"")</f>
        <v>37.075269050000003</v>
      </c>
      <c r="AN461">
        <f ca="1">IFERROR(IF(0=LEN(ReferenceData!$AN$461),"",ReferenceData!$AN$461),"")</f>
        <v>33.792971250000001</v>
      </c>
      <c r="AO461">
        <f ca="1">IFERROR(IF(0=LEN(ReferenceData!$AO$461),"",ReferenceData!$AO$461),"")</f>
        <v>24.344746740000001</v>
      </c>
      <c r="AP461" t="str">
        <f ca="1">IFERROR(IF(0=LEN(ReferenceData!$AP$461),"",ReferenceData!$AP$461),"")</f>
        <v/>
      </c>
      <c r="AQ461" t="str">
        <f ca="1">IFERROR(IF(0=LEN(ReferenceData!$AQ$461),"",ReferenceData!$AQ$461),"")</f>
        <v/>
      </c>
      <c r="AR461" t="str">
        <f ca="1">IFERROR(IF(0=LEN(ReferenceData!$AR$461),"",ReferenceData!$AR$461),"")</f>
        <v/>
      </c>
      <c r="AS461" t="str">
        <f ca="1">IFERROR(IF(0=LEN(ReferenceData!$AS$461),"",ReferenceData!$AS$461),"")</f>
        <v/>
      </c>
      <c r="AT461" t="str">
        <f ca="1">IFERROR(IF(0=LEN(ReferenceData!$AT$461),"",ReferenceData!$AT$461),"")</f>
        <v/>
      </c>
      <c r="AU461" t="str">
        <f ca="1">IFERROR(IF(0=LEN(ReferenceData!$AU$461),"",ReferenceData!$AU$461),"")</f>
        <v/>
      </c>
      <c r="AV461" t="str">
        <f ca="1">IFERROR(IF(0=LEN(ReferenceData!$AV$461),"",ReferenceData!$AV$461),"")</f>
        <v/>
      </c>
      <c r="AW461" t="str">
        <f ca="1">IFERROR(IF(0=LEN(ReferenceData!$AW$461),"",ReferenceData!$AW$461),"")</f>
        <v/>
      </c>
      <c r="AX461" t="str">
        <f ca="1">IFERROR(IF(0=LEN(ReferenceData!$AX$461),"",ReferenceData!$AX$461),"")</f>
        <v/>
      </c>
      <c r="AY461" t="str">
        <f ca="1">IFERROR(IF(0=LEN(ReferenceData!$AY$461),"",ReferenceData!$AY$461),"")</f>
        <v/>
      </c>
      <c r="AZ461" t="str">
        <f ca="1">IFERROR(IF(0=LEN(ReferenceData!$AZ$461),"",ReferenceData!$AZ$461),"")</f>
        <v/>
      </c>
      <c r="BA461" t="str">
        <f ca="1">IFERROR(IF(0=LEN(ReferenceData!$BA$461),"",ReferenceData!$BA$461),"")</f>
        <v/>
      </c>
      <c r="BB461" t="str">
        <f ca="1">IFERROR(IF(0=LEN(ReferenceData!$BB$461),"",ReferenceData!$BB$461),"")</f>
        <v/>
      </c>
      <c r="BC461" t="str">
        <f ca="1">IFERROR(IF(0=LEN(ReferenceData!$BC$461),"",ReferenceData!$BC$461),"")</f>
        <v/>
      </c>
      <c r="BD461" t="str">
        <f ca="1">IFERROR(IF(0=LEN(ReferenceData!$BD$461),"",ReferenceData!$BD$461),"")</f>
        <v/>
      </c>
      <c r="BE461" t="str">
        <f ca="1">IFERROR(IF(0=LEN(ReferenceData!$BE$461),"",ReferenceData!$BE$461),"")</f>
        <v/>
      </c>
      <c r="BF461" t="str">
        <f ca="1">IFERROR(IF(0=LEN(ReferenceData!$BF$461),"",ReferenceData!$BF$461),"")</f>
        <v/>
      </c>
      <c r="BG461" t="str">
        <f ca="1">IFERROR(IF(0=LEN(ReferenceData!$BG$461),"",ReferenceData!$BG$461),"")</f>
        <v/>
      </c>
      <c r="BH461" t="str">
        <f ca="1">IFERROR(IF(0=LEN(ReferenceData!$BH$461),"",ReferenceData!$BH$461),"")</f>
        <v/>
      </c>
      <c r="BI461" t="str">
        <f ca="1">IFERROR(IF(0=LEN(ReferenceData!$BI$461),"",ReferenceData!$BI$461),"")</f>
        <v/>
      </c>
      <c r="BJ461" t="str">
        <f ca="1">IFERROR(IF(0=LEN(ReferenceData!$BJ$461),"",ReferenceData!$BJ$461),"")</f>
        <v/>
      </c>
      <c r="BK461" t="str">
        <f ca="1">IFERROR(IF(0=LEN(ReferenceData!$BK$461),"",ReferenceData!$BK$461),"")</f>
        <v/>
      </c>
      <c r="BL461" t="str">
        <f ca="1">IFERROR(IF(0=LEN(ReferenceData!$BL$461),"",ReferenceData!$BL$461),"")</f>
        <v/>
      </c>
      <c r="BM461" t="str">
        <f ca="1">IFERROR(IF(0=LEN(ReferenceData!$BM$461),"",ReferenceData!$BM$461),"")</f>
        <v/>
      </c>
    </row>
    <row r="462" spans="1:65" x14ac:dyDescent="0.25">
      <c r="A462" t="str">
        <f>IFERROR(IF(0=LEN(ReferenceData!$A$462),"",ReferenceData!$A$462),"")</f>
        <v xml:space="preserve">    Chongqing Changan Automobile Co Ltd</v>
      </c>
      <c r="B462" t="str">
        <f>IFERROR(IF(0=LEN(ReferenceData!$B$462),"",ReferenceData!$B$462),"")</f>
        <v>200625 CH Equity</v>
      </c>
      <c r="C462" t="str">
        <f>IFERROR(IF(0=LEN(ReferenceData!$C$462),"",ReferenceData!$C$462),"")</f>
        <v>RR476</v>
      </c>
      <c r="D462" t="str">
        <f>IFERROR(IF(0=LEN(ReferenceData!$D$462),"",ReferenceData!$D$462),"")</f>
        <v>EV_TO_T12M_NET_INCOME</v>
      </c>
      <c r="E462" t="str">
        <f>IFERROR(IF(0=LEN(ReferenceData!$E$462),"",ReferenceData!$E$462),"")</f>
        <v>Dynamic</v>
      </c>
      <c r="F462" t="str">
        <f ca="1">IFERROR(IF(0=LEN(ReferenceData!$F$462),"",ReferenceData!$F$462),"")</f>
        <v/>
      </c>
      <c r="G462" t="str">
        <f ca="1">IFERROR(IF(0=LEN(ReferenceData!$G$462),"",ReferenceData!$G$462),"")</f>
        <v/>
      </c>
      <c r="H462">
        <f ca="1">IFERROR(IF(0=LEN(ReferenceData!$H$462),"",ReferenceData!$H$462),"")</f>
        <v>4.4453316169999999</v>
      </c>
      <c r="I462">
        <f ca="1">IFERROR(IF(0=LEN(ReferenceData!$I$462),"",ReferenceData!$I$462),"")</f>
        <v>6.9502306850000002</v>
      </c>
      <c r="J462">
        <f ca="1">IFERROR(IF(0=LEN(ReferenceData!$J$462),"",ReferenceData!$J$462),"")</f>
        <v>4.4457627930000001</v>
      </c>
      <c r="K462">
        <f ca="1">IFERROR(IF(0=LEN(ReferenceData!$K$462),"",ReferenceData!$K$462),"")</f>
        <v>4.3463684149999997</v>
      </c>
      <c r="L462">
        <f ca="1">IFERROR(IF(0=LEN(ReferenceData!$L$462),"",ReferenceData!$L$462),"")</f>
        <v>4.5433088789999996</v>
      </c>
      <c r="M462">
        <f ca="1">IFERROR(IF(0=LEN(ReferenceData!$M$462),"",ReferenceData!$M$462),"")</f>
        <v>4.120254729</v>
      </c>
      <c r="N462">
        <f ca="1">IFERROR(IF(0=LEN(ReferenceData!$N$462),"",ReferenceData!$N$462),"")</f>
        <v>4.2233386959999999</v>
      </c>
      <c r="O462">
        <f ca="1">IFERROR(IF(0=LEN(ReferenceData!$O$462),"",ReferenceData!$O$462),"")</f>
        <v>4.6273871230000001</v>
      </c>
      <c r="P462">
        <f ca="1">IFERROR(IF(0=LEN(ReferenceData!$P$462),"",ReferenceData!$P$462),"")</f>
        <v>4.4380153690000004</v>
      </c>
      <c r="Q462">
        <f ca="1">IFERROR(IF(0=LEN(ReferenceData!$Q$462),"",ReferenceData!$Q$462),"")</f>
        <v>4.4563968660000004</v>
      </c>
      <c r="R462">
        <f ca="1">IFERROR(IF(0=LEN(ReferenceData!$R$462),"",ReferenceData!$R$462),"")</f>
        <v>5.8922368430000001</v>
      </c>
      <c r="S462">
        <f ca="1">IFERROR(IF(0=LEN(ReferenceData!$S$462),"",ReferenceData!$S$462),"")</f>
        <v>6.9826038180000003</v>
      </c>
      <c r="T462">
        <f ca="1">IFERROR(IF(0=LEN(ReferenceData!$T$462),"",ReferenceData!$T$462),"")</f>
        <v>5.8763895140000004</v>
      </c>
      <c r="U462">
        <f ca="1">IFERROR(IF(0=LEN(ReferenceData!$U$462),"",ReferenceData!$U$462),"")</f>
        <v>8.8428723530000006</v>
      </c>
      <c r="V462">
        <f ca="1">IFERROR(IF(0=LEN(ReferenceData!$V$462),"",ReferenceData!$V$462),"")</f>
        <v>10.46180217</v>
      </c>
      <c r="W462">
        <f ca="1">IFERROR(IF(0=LEN(ReferenceData!$W$462),"",ReferenceData!$W$462),"")</f>
        <v>9.4696412369999994</v>
      </c>
      <c r="X462">
        <f ca="1">IFERROR(IF(0=LEN(ReferenceData!$X$462),"",ReferenceData!$X$462),"")</f>
        <v>10.345124970000001</v>
      </c>
      <c r="Y462">
        <f ca="1">IFERROR(IF(0=LEN(ReferenceData!$Y$462),"",ReferenceData!$Y$462),"")</f>
        <v>11.14997982</v>
      </c>
      <c r="Z462">
        <f ca="1">IFERROR(IF(0=LEN(ReferenceData!$Z$462),"",ReferenceData!$Z$462),"")</f>
        <v>12.38285877</v>
      </c>
      <c r="AA462">
        <f ca="1">IFERROR(IF(0=LEN(ReferenceData!$AA$462),"",ReferenceData!$AA$462),"")</f>
        <v>19.17795903</v>
      </c>
      <c r="AB462">
        <f ca="1">IFERROR(IF(0=LEN(ReferenceData!$AB$462),"",ReferenceData!$AB$462),"")</f>
        <v>19.429343880000001</v>
      </c>
      <c r="AC462">
        <f ca="1">IFERROR(IF(0=LEN(ReferenceData!$AC$462),"",ReferenceData!$AC$462),"")</f>
        <v>23.229834870000001</v>
      </c>
      <c r="AD462">
        <f ca="1">IFERROR(IF(0=LEN(ReferenceData!$AD$462),"",ReferenceData!$AD$462),"")</f>
        <v>26.61066186</v>
      </c>
      <c r="AE462">
        <f ca="1">IFERROR(IF(0=LEN(ReferenceData!$AE$462),"",ReferenceData!$AE$462),"")</f>
        <v>25.22874139</v>
      </c>
      <c r="AF462">
        <f ca="1">IFERROR(IF(0=LEN(ReferenceData!$AF$462),"",ReferenceData!$AF$462),"")</f>
        <v>35.459620559999998</v>
      </c>
      <c r="AG462">
        <f ca="1">IFERROR(IF(0=LEN(ReferenceData!$AG$462),"",ReferenceData!$AG$462),"")</f>
        <v>53.397377409999997</v>
      </c>
      <c r="AH462">
        <f ca="1">IFERROR(IF(0=LEN(ReferenceData!$AH$462),"",ReferenceData!$AH$462),"")</f>
        <v>42.794927790000003</v>
      </c>
      <c r="AI462">
        <f ca="1">IFERROR(IF(0=LEN(ReferenceData!$AI$462),"",ReferenceData!$AI$462),"")</f>
        <v>14.689772189999999</v>
      </c>
      <c r="AJ462">
        <f ca="1">IFERROR(IF(0=LEN(ReferenceData!$AJ$462),"",ReferenceData!$AJ$462),"")</f>
        <v>8.2602959400000007</v>
      </c>
      <c r="AK462">
        <f ca="1">IFERROR(IF(0=LEN(ReferenceData!$AK$462),"",ReferenceData!$AK$462),"")</f>
        <v>6.8046075000000004</v>
      </c>
      <c r="AL462">
        <f ca="1">IFERROR(IF(0=LEN(ReferenceData!$AL$462),"",ReferenceData!$AL$462),"")</f>
        <v>10.26356268</v>
      </c>
      <c r="AM462">
        <f ca="1">IFERROR(IF(0=LEN(ReferenceData!$AM$462),"",ReferenceData!$AM$462),"")</f>
        <v>10.17095535</v>
      </c>
      <c r="AN462">
        <f ca="1">IFERROR(IF(0=LEN(ReferenceData!$AN$462),"",ReferenceData!$AN$462),"")</f>
        <v>10.954164820000001</v>
      </c>
      <c r="AO462">
        <f ca="1">IFERROR(IF(0=LEN(ReferenceData!$AO$462),"",ReferenceData!$AO$462),"")</f>
        <v>8.877390815</v>
      </c>
      <c r="AP462">
        <f ca="1">IFERROR(IF(0=LEN(ReferenceData!$AP$462),"",ReferenceData!$AP$462),"")</f>
        <v>13.22426872</v>
      </c>
      <c r="AQ462">
        <f ca="1">IFERROR(IF(0=LEN(ReferenceData!$AQ$462),"",ReferenceData!$AQ$462),"")</f>
        <v>25.467234869999999</v>
      </c>
      <c r="AR462">
        <f ca="1">IFERROR(IF(0=LEN(ReferenceData!$AR$462),"",ReferenceData!$AR$462),"")</f>
        <v>20.505511429999999</v>
      </c>
      <c r="AS462">
        <f ca="1">IFERROR(IF(0=LEN(ReferenceData!$AS$462),"",ReferenceData!$AS$462),"")</f>
        <v>175.5592254</v>
      </c>
      <c r="AT462" t="str">
        <f ca="1">IFERROR(IF(0=LEN(ReferenceData!$AT$462),"",ReferenceData!$AT$462),"")</f>
        <v/>
      </c>
      <c r="AU462" t="str">
        <f ca="1">IFERROR(IF(0=LEN(ReferenceData!$AU$462),"",ReferenceData!$AU$462),"")</f>
        <v/>
      </c>
      <c r="AV462">
        <f ca="1">IFERROR(IF(0=LEN(ReferenceData!$AV$462),"",ReferenceData!$AV$462),"")</f>
        <v>18.455094819999999</v>
      </c>
      <c r="AW462">
        <f ca="1">IFERROR(IF(0=LEN(ReferenceData!$AW$462),"",ReferenceData!$AW$462),"")</f>
        <v>15.92816272</v>
      </c>
      <c r="AX462">
        <f ca="1">IFERROR(IF(0=LEN(ReferenceData!$AX$462),"",ReferenceData!$AX$462),"")</f>
        <v>23.572083689999999</v>
      </c>
      <c r="AY462">
        <f ca="1">IFERROR(IF(0=LEN(ReferenceData!$AY$462),"",ReferenceData!$AY$462),"")</f>
        <v>47.322030069999997</v>
      </c>
      <c r="AZ462">
        <f ca="1">IFERROR(IF(0=LEN(ReferenceData!$AZ$462),"",ReferenceData!$AZ$462),"")</f>
        <v>65.751893530000004</v>
      </c>
      <c r="BA462">
        <f ca="1">IFERROR(IF(0=LEN(ReferenceData!$BA$462),"",ReferenceData!$BA$462),"")</f>
        <v>39.072629390000003</v>
      </c>
      <c r="BB462">
        <f ca="1">IFERROR(IF(0=LEN(ReferenceData!$BB$462),"",ReferenceData!$BB$462),"")</f>
        <v>39.119436710000002</v>
      </c>
      <c r="BC462">
        <f ca="1">IFERROR(IF(0=LEN(ReferenceData!$BC$462),"",ReferenceData!$BC$462),"")</f>
        <v>24.049333520000001</v>
      </c>
      <c r="BD462">
        <f ca="1">IFERROR(IF(0=LEN(ReferenceData!$BD$462),"",ReferenceData!$BD$462),"")</f>
        <v>19.412729590000001</v>
      </c>
      <c r="BE462">
        <f ca="1">IFERROR(IF(0=LEN(ReferenceData!$BE$462),"",ReferenceData!$BE$462),"")</f>
        <v>27.582497419999999</v>
      </c>
      <c r="BF462">
        <f ca="1">IFERROR(IF(0=LEN(ReferenceData!$BF$462),"",ReferenceData!$BF$462),"")</f>
        <v>40.042997960000001</v>
      </c>
      <c r="BG462">
        <f ca="1">IFERROR(IF(0=LEN(ReferenceData!$BG$462),"",ReferenceData!$BG$462),"")</f>
        <v>39.298816379999998</v>
      </c>
      <c r="BH462">
        <f ca="1">IFERROR(IF(0=LEN(ReferenceData!$BH$462),"",ReferenceData!$BH$462),"")</f>
        <v>16.125101870000002</v>
      </c>
      <c r="BI462" t="str">
        <f ca="1">IFERROR(IF(0=LEN(ReferenceData!$BI$462),"",ReferenceData!$BI$462),"")</f>
        <v/>
      </c>
      <c r="BJ462" t="str">
        <f ca="1">IFERROR(IF(0=LEN(ReferenceData!$BJ$462),"",ReferenceData!$BJ$462),"")</f>
        <v/>
      </c>
      <c r="BK462" t="str">
        <f ca="1">IFERROR(IF(0=LEN(ReferenceData!$BK$462),"",ReferenceData!$BK$462),"")</f>
        <v/>
      </c>
      <c r="BL462" t="str">
        <f ca="1">IFERROR(IF(0=LEN(ReferenceData!$BL$462),"",ReferenceData!$BL$462),"")</f>
        <v/>
      </c>
      <c r="BM462" t="str">
        <f ca="1">IFERROR(IF(0=LEN(ReferenceData!$BM$462),"",ReferenceData!$BM$462),"")</f>
        <v/>
      </c>
    </row>
    <row r="463" spans="1:65" x14ac:dyDescent="0.25">
      <c r="A463" t="str">
        <f>IFERROR(IF(0=LEN(ReferenceData!$A$463),"",ReferenceData!$A$463),"")</f>
        <v xml:space="preserve">    Daihatsu Motor Co Ltd</v>
      </c>
      <c r="B463" t="str">
        <f>IFERROR(IF(0=LEN(ReferenceData!$B$463),"",ReferenceData!$B$463),"")</f>
        <v>7262 JP Equity</v>
      </c>
      <c r="C463" t="str">
        <f>IFERROR(IF(0=LEN(ReferenceData!$C$463),"",ReferenceData!$C$463),"")</f>
        <v>RR476</v>
      </c>
      <c r="D463" t="str">
        <f>IFERROR(IF(0=LEN(ReferenceData!$D$463),"",ReferenceData!$D$463),"")</f>
        <v>EV_TO_T12M_NET_INCOME</v>
      </c>
      <c r="E463" t="str">
        <f>IFERROR(IF(0=LEN(ReferenceData!$E$463),"",ReferenceData!$E$463),"")</f>
        <v>Dynamic</v>
      </c>
      <c r="F463" t="str">
        <f ca="1">IFERROR(IF(0=LEN(ReferenceData!$F$463),"",ReferenceData!$F$463),"")</f>
        <v/>
      </c>
      <c r="G463" t="str">
        <f ca="1">IFERROR(IF(0=LEN(ReferenceData!$G$463),"",ReferenceData!$G$463),"")</f>
        <v/>
      </c>
      <c r="H463" t="str">
        <f ca="1">IFERROR(IF(0=LEN(ReferenceData!$H$463),"",ReferenceData!$H$463),"")</f>
        <v/>
      </c>
      <c r="I463" t="str">
        <f ca="1">IFERROR(IF(0=LEN(ReferenceData!$I$463),"",ReferenceData!$I$463),"")</f>
        <v/>
      </c>
      <c r="J463" t="str">
        <f ca="1">IFERROR(IF(0=LEN(ReferenceData!$J$463),"",ReferenceData!$J$463),"")</f>
        <v/>
      </c>
      <c r="K463" t="str">
        <f ca="1">IFERROR(IF(0=LEN(ReferenceData!$K$463),"",ReferenceData!$K$463),"")</f>
        <v/>
      </c>
      <c r="L463" t="str">
        <f ca="1">IFERROR(IF(0=LEN(ReferenceData!$L$463),"",ReferenceData!$L$463),"")</f>
        <v/>
      </c>
      <c r="M463" t="str">
        <f ca="1">IFERROR(IF(0=LEN(ReferenceData!$M$463),"",ReferenceData!$M$463),"")</f>
        <v/>
      </c>
      <c r="N463" t="str">
        <f ca="1">IFERROR(IF(0=LEN(ReferenceData!$N$463),"",ReferenceData!$N$463),"")</f>
        <v/>
      </c>
      <c r="O463" t="str">
        <f ca="1">IFERROR(IF(0=LEN(ReferenceData!$O$463),"",ReferenceData!$O$463),"")</f>
        <v/>
      </c>
      <c r="P463" t="str">
        <f ca="1">IFERROR(IF(0=LEN(ReferenceData!$P$463),"",ReferenceData!$P$463),"")</f>
        <v/>
      </c>
      <c r="Q463" t="str">
        <f ca="1">IFERROR(IF(0=LEN(ReferenceData!$Q$463),"",ReferenceData!$Q$463),"")</f>
        <v/>
      </c>
      <c r="R463">
        <f ca="1">IFERROR(IF(0=LEN(ReferenceData!$R$463),"",ReferenceData!$R$463),"")</f>
        <v>20.96676544</v>
      </c>
      <c r="S463">
        <f ca="1">IFERROR(IF(0=LEN(ReferenceData!$S$463),"",ReferenceData!$S$463),"")</f>
        <v>14.832428630000001</v>
      </c>
      <c r="T463">
        <f ca="1">IFERROR(IF(0=LEN(ReferenceData!$T$463),"",ReferenceData!$T$463),"")</f>
        <v>13.599896660000001</v>
      </c>
      <c r="U463">
        <f ca="1">IFERROR(IF(0=LEN(ReferenceData!$U$463),"",ReferenceData!$U$463),"")</f>
        <v>16.126606259999999</v>
      </c>
      <c r="V463">
        <f ca="1">IFERROR(IF(0=LEN(ReferenceData!$V$463),"",ReferenceData!$V$463),"")</f>
        <v>14.26253043</v>
      </c>
      <c r="W463">
        <f ca="1">IFERROR(IF(0=LEN(ReferenceData!$W$463),"",ReferenceData!$W$463),"")</f>
        <v>13.981732770000001</v>
      </c>
      <c r="X463">
        <f ca="1">IFERROR(IF(0=LEN(ReferenceData!$X$463),"",ReferenceData!$X$463),"")</f>
        <v>13.654262210000001</v>
      </c>
      <c r="Y463">
        <f ca="1">IFERROR(IF(0=LEN(ReferenceData!$Y$463),"",ReferenceData!$Y$463),"")</f>
        <v>12.656401280000001</v>
      </c>
      <c r="Z463">
        <f ca="1">IFERROR(IF(0=LEN(ReferenceData!$Z$463),"",ReferenceData!$Z$463),"")</f>
        <v>10.94092032</v>
      </c>
      <c r="AA463">
        <f ca="1">IFERROR(IF(0=LEN(ReferenceData!$AA$463),"",ReferenceData!$AA$463),"")</f>
        <v>11.82242682</v>
      </c>
      <c r="AB463">
        <f ca="1">IFERROR(IF(0=LEN(ReferenceData!$AB$463),"",ReferenceData!$AB$463),"")</f>
        <v>12.957995990000001</v>
      </c>
      <c r="AC463">
        <f ca="1">IFERROR(IF(0=LEN(ReferenceData!$AC$463),"",ReferenceData!$AC$463),"")</f>
        <v>11.291540639999999</v>
      </c>
      <c r="AD463">
        <f ca="1">IFERROR(IF(0=LEN(ReferenceData!$AD$463),"",ReferenceData!$AD$463),"")</f>
        <v>11.93268555</v>
      </c>
      <c r="AE463">
        <f ca="1">IFERROR(IF(0=LEN(ReferenceData!$AE$463),"",ReferenceData!$AE$463),"")</f>
        <v>9.9823078499999998</v>
      </c>
      <c r="AF463">
        <f ca="1">IFERROR(IF(0=LEN(ReferenceData!$AF$463),"",ReferenceData!$AF$463),"")</f>
        <v>7.9987928789999998</v>
      </c>
      <c r="AG463">
        <f ca="1">IFERROR(IF(0=LEN(ReferenceData!$AG$463),"",ReferenceData!$AG$463),"")</f>
        <v>9.3381544200000004</v>
      </c>
      <c r="AH463">
        <f ca="1">IFERROR(IF(0=LEN(ReferenceData!$AH$463),"",ReferenceData!$AH$463),"")</f>
        <v>12.125945290000001</v>
      </c>
      <c r="AI463">
        <f ca="1">IFERROR(IF(0=LEN(ReferenceData!$AI$463),"",ReferenceData!$AI$463),"")</f>
        <v>14.74796201</v>
      </c>
      <c r="AJ463">
        <f ca="1">IFERROR(IF(0=LEN(ReferenceData!$AJ$463),"",ReferenceData!$AJ$463),"")</f>
        <v>16.378727739999999</v>
      </c>
      <c r="AK463">
        <f ca="1">IFERROR(IF(0=LEN(ReferenceData!$AK$463),"",ReferenceData!$AK$463),"")</f>
        <v>18.357068470000002</v>
      </c>
      <c r="AL463">
        <f ca="1">IFERROR(IF(0=LEN(ReferenceData!$AL$463),"",ReferenceData!$AL$463),"")</f>
        <v>12.83495173</v>
      </c>
      <c r="AM463">
        <f ca="1">IFERROR(IF(0=LEN(ReferenceData!$AM$463),"",ReferenceData!$AM$463),"")</f>
        <v>15.475881899999999</v>
      </c>
      <c r="AN463">
        <f ca="1">IFERROR(IF(0=LEN(ReferenceData!$AN$463),"",ReferenceData!$AN$463),"")</f>
        <v>14.97950777</v>
      </c>
      <c r="AO463">
        <f ca="1">IFERROR(IF(0=LEN(ReferenceData!$AO$463),"",ReferenceData!$AO$463),"")</f>
        <v>13.95730208</v>
      </c>
      <c r="AP463">
        <f ca="1">IFERROR(IF(0=LEN(ReferenceData!$AP$463),"",ReferenceData!$AP$463),"")</f>
        <v>27.758947509999999</v>
      </c>
      <c r="AQ463">
        <f ca="1">IFERROR(IF(0=LEN(ReferenceData!$AQ$463),"",ReferenceData!$AQ$463),"")</f>
        <v>31.184642780000001</v>
      </c>
      <c r="AR463">
        <f ca="1">IFERROR(IF(0=LEN(ReferenceData!$AR$463),"",ReferenceData!$AR$463),"")</f>
        <v>51.212147209999998</v>
      </c>
      <c r="AS463">
        <f ca="1">IFERROR(IF(0=LEN(ReferenceData!$AS$463),"",ReferenceData!$AS$463),"")</f>
        <v>42.407156800000003</v>
      </c>
      <c r="AT463">
        <f ca="1">IFERROR(IF(0=LEN(ReferenceData!$AT$463),"",ReferenceData!$AT$463),"")</f>
        <v>25.151289859999999</v>
      </c>
      <c r="AU463">
        <f ca="1">IFERROR(IF(0=LEN(ReferenceData!$AU$463),"",ReferenceData!$AU$463),"")</f>
        <v>15.61591612</v>
      </c>
      <c r="AV463">
        <f ca="1">IFERROR(IF(0=LEN(ReferenceData!$AV$463),"",ReferenceData!$AV$463),"")</f>
        <v>17.292156259999999</v>
      </c>
      <c r="AW463">
        <f ca="1">IFERROR(IF(0=LEN(ReferenceData!$AW$463),"",ReferenceData!$AW$463),"")</f>
        <v>18.845615169999999</v>
      </c>
      <c r="AX463">
        <f ca="1">IFERROR(IF(0=LEN(ReferenceData!$AX$463),"",ReferenceData!$AX$463),"")</f>
        <v>20.397496409999999</v>
      </c>
      <c r="AY463">
        <f ca="1">IFERROR(IF(0=LEN(ReferenceData!$AY$463),"",ReferenceData!$AY$463),"")</f>
        <v>16.7551971</v>
      </c>
      <c r="AZ463">
        <f ca="1">IFERROR(IF(0=LEN(ReferenceData!$AZ$463),"",ReferenceData!$AZ$463),"")</f>
        <v>19.64515652</v>
      </c>
      <c r="BA463">
        <f ca="1">IFERROR(IF(0=LEN(ReferenceData!$BA$463),"",ReferenceData!$BA$463),"")</f>
        <v>17.917729900000001</v>
      </c>
      <c r="BB463">
        <f ca="1">IFERROR(IF(0=LEN(ReferenceData!$BB$463),"",ReferenceData!$BB$463),"")</f>
        <v>18.88523511</v>
      </c>
      <c r="BC463">
        <f ca="1">IFERROR(IF(0=LEN(ReferenceData!$BC$463),"",ReferenceData!$BC$463),"")</f>
        <v>18.999963229999999</v>
      </c>
      <c r="BD463">
        <f ca="1">IFERROR(IF(0=LEN(ReferenceData!$BD$463),"",ReferenceData!$BD$463),"")</f>
        <v>18.81237398</v>
      </c>
      <c r="BE463">
        <f ca="1">IFERROR(IF(0=LEN(ReferenceData!$BE$463),"",ReferenceData!$BE$463),"")</f>
        <v>16.218331509999999</v>
      </c>
      <c r="BF463">
        <f ca="1">IFERROR(IF(0=LEN(ReferenceData!$BF$463),"",ReferenceData!$BF$463),"")</f>
        <v>20.566351560000001</v>
      </c>
      <c r="BG463">
        <f ca="1">IFERROR(IF(0=LEN(ReferenceData!$BG$463),"",ReferenceData!$BG$463),"")</f>
        <v>26.04600873</v>
      </c>
      <c r="BH463">
        <f ca="1">IFERROR(IF(0=LEN(ReferenceData!$BH$463),"",ReferenceData!$BH$463),"")</f>
        <v>23.837703359999999</v>
      </c>
      <c r="BI463" t="str">
        <f ca="1">IFERROR(IF(0=LEN(ReferenceData!$BI$463),"",ReferenceData!$BI$463),"")</f>
        <v/>
      </c>
      <c r="BJ463">
        <f ca="1">IFERROR(IF(0=LEN(ReferenceData!$BJ$463),"",ReferenceData!$BJ$463),"")</f>
        <v>19.764283639999999</v>
      </c>
      <c r="BK463" t="str">
        <f ca="1">IFERROR(IF(0=LEN(ReferenceData!$BK$463),"",ReferenceData!$BK$463),"")</f>
        <v/>
      </c>
      <c r="BL463" t="str">
        <f ca="1">IFERROR(IF(0=LEN(ReferenceData!$BL$463),"",ReferenceData!$BL$463),"")</f>
        <v/>
      </c>
      <c r="BM463" t="str">
        <f ca="1">IFERROR(IF(0=LEN(ReferenceData!$BM$463),"",ReferenceData!$BM$463),"")</f>
        <v/>
      </c>
    </row>
    <row r="464" spans="1:65" x14ac:dyDescent="0.25">
      <c r="A464" t="str">
        <f>IFERROR(IF(0=LEN(ReferenceData!$A$464),"",ReferenceData!$A$464),"")</f>
        <v xml:space="preserve">    Daimler AG</v>
      </c>
      <c r="B464" t="str">
        <f>IFERROR(IF(0=LEN(ReferenceData!$B$464),"",ReferenceData!$B$464),"")</f>
        <v>DAI GR Equity</v>
      </c>
      <c r="C464" t="str">
        <f>IFERROR(IF(0=LEN(ReferenceData!$C$464),"",ReferenceData!$C$464),"")</f>
        <v>RR476</v>
      </c>
      <c r="D464" t="str">
        <f>IFERROR(IF(0=LEN(ReferenceData!$D$464),"",ReferenceData!$D$464),"")</f>
        <v>EV_TO_T12M_NET_INCOME</v>
      </c>
      <c r="E464" t="str">
        <f>IFERROR(IF(0=LEN(ReferenceData!$E$464),"",ReferenceData!$E$464),"")</f>
        <v>Dynamic</v>
      </c>
      <c r="F464" t="str">
        <f ca="1">IFERROR(IF(0=LEN(ReferenceData!$F$464),"",ReferenceData!$F$464),"")</f>
        <v/>
      </c>
      <c r="G464">
        <f ca="1">IFERROR(IF(0=LEN(ReferenceData!$G$464),"",ReferenceData!$G$464),"")</f>
        <v>4.3816664369999998</v>
      </c>
      <c r="H464">
        <f ca="1">IFERROR(IF(0=LEN(ReferenceData!$H$464),"",ReferenceData!$H$464),"")</f>
        <v>4.7550878780000003</v>
      </c>
      <c r="I464">
        <f ca="1">IFERROR(IF(0=LEN(ReferenceData!$I$464),"",ReferenceData!$I$464),"")</f>
        <v>4.444488357</v>
      </c>
      <c r="J464">
        <f ca="1">IFERROR(IF(0=LEN(ReferenceData!$J$464),"",ReferenceData!$J$464),"")</f>
        <v>5.2796858110000002</v>
      </c>
      <c r="K464">
        <f ca="1">IFERROR(IF(0=LEN(ReferenceData!$K$464),"",ReferenceData!$K$464),"")</f>
        <v>5.5395018489999996</v>
      </c>
      <c r="L464">
        <f ca="1">IFERROR(IF(0=LEN(ReferenceData!$L$464),"",ReferenceData!$L$464),"")</f>
        <v>5.0956682439999996</v>
      </c>
      <c r="M464">
        <f ca="1">IFERROR(IF(0=LEN(ReferenceData!$M$464),"",ReferenceData!$M$464),"")</f>
        <v>4.6787378139999998</v>
      </c>
      <c r="N464">
        <f ca="1">IFERROR(IF(0=LEN(ReferenceData!$N$464),"",ReferenceData!$N$464),"")</f>
        <v>5.0498953750000002</v>
      </c>
      <c r="O464">
        <f ca="1">IFERROR(IF(0=LEN(ReferenceData!$O$464),"",ReferenceData!$O$464),"")</f>
        <v>6.3278676989999996</v>
      </c>
      <c r="P464">
        <f ca="1">IFERROR(IF(0=LEN(ReferenceData!$P$464),"",ReferenceData!$P$464),"")</f>
        <v>5.7111031280000004</v>
      </c>
      <c r="Q464">
        <f ca="1">IFERROR(IF(0=LEN(ReferenceData!$Q$464),"",ReferenceData!$Q$464),"")</f>
        <v>4.780929295</v>
      </c>
      <c r="R464">
        <f ca="1">IFERROR(IF(0=LEN(ReferenceData!$R$464),"",ReferenceData!$R$464),"")</f>
        <v>6.6089769130000002</v>
      </c>
      <c r="S464">
        <f ca="1">IFERROR(IF(0=LEN(ReferenceData!$S$464),"",ReferenceData!$S$464),"")</f>
        <v>7.4740740739999998</v>
      </c>
      <c r="T464">
        <f ca="1">IFERROR(IF(0=LEN(ReferenceData!$T$464),"",ReferenceData!$T$464),"")</f>
        <v>6.1676933490000003</v>
      </c>
      <c r="U464">
        <f ca="1">IFERROR(IF(0=LEN(ReferenceData!$U$464),"",ReferenceData!$U$464),"")</f>
        <v>8.3371415110000004</v>
      </c>
      <c r="V464">
        <f ca="1">IFERROR(IF(0=LEN(ReferenceData!$V$464),"",ReferenceData!$V$464),"")</f>
        <v>9.2945747529999991</v>
      </c>
      <c r="W464">
        <f ca="1">IFERROR(IF(0=LEN(ReferenceData!$W$464),"",ReferenceData!$W$464),"")</f>
        <v>7.8888106870000003</v>
      </c>
      <c r="X464">
        <f ca="1">IFERROR(IF(0=LEN(ReferenceData!$X$464),"",ReferenceData!$X$464),"")</f>
        <v>5.8944676090000003</v>
      </c>
      <c r="Y464">
        <f ca="1">IFERROR(IF(0=LEN(ReferenceData!$Y$464),"",ReferenceData!$Y$464),"")</f>
        <v>8.6925240039999991</v>
      </c>
      <c r="Z464">
        <f ca="1">IFERROR(IF(0=LEN(ReferenceData!$Z$464),"",ReferenceData!$Z$464),"")</f>
        <v>7.6022007360000003</v>
      </c>
      <c r="AA464">
        <f ca="1">IFERROR(IF(0=LEN(ReferenceData!$AA$464),"",ReferenceData!$AA$464),"")</f>
        <v>7.4351066939999999</v>
      </c>
      <c r="AB464">
        <f ca="1">IFERROR(IF(0=LEN(ReferenceData!$AB$464),"",ReferenceData!$AB$464),"")</f>
        <v>5.9609412380000002</v>
      </c>
      <c r="AC464">
        <f ca="1">IFERROR(IF(0=LEN(ReferenceData!$AC$464),"",ReferenceData!$AC$464),"")</f>
        <v>5.0033839980000003</v>
      </c>
      <c r="AD464">
        <f ca="1">IFERROR(IF(0=LEN(ReferenceData!$AD$464),"",ReferenceData!$AD$464),"")</f>
        <v>5.9397062490000003</v>
      </c>
      <c r="AE464">
        <f ca="1">IFERROR(IF(0=LEN(ReferenceData!$AE$464),"",ReferenceData!$AE$464),"")</f>
        <v>4.9007828250000003</v>
      </c>
      <c r="AF464">
        <f ca="1">IFERROR(IF(0=LEN(ReferenceData!$AF$464),"",ReferenceData!$AF$464),"")</f>
        <v>5.4230934089999998</v>
      </c>
      <c r="AG464">
        <f ca="1">IFERROR(IF(0=LEN(ReferenceData!$AG$464),"",ReferenceData!$AG$464),"")</f>
        <v>4.740333476</v>
      </c>
      <c r="AH464">
        <f ca="1">IFERROR(IF(0=LEN(ReferenceData!$AH$464),"",ReferenceData!$AH$464),"")</f>
        <v>6.186713686</v>
      </c>
      <c r="AI464">
        <f ca="1">IFERROR(IF(0=LEN(ReferenceData!$AI$464),"",ReferenceData!$AI$464),"")</f>
        <v>4.0248625369999997</v>
      </c>
      <c r="AJ464">
        <f ca="1">IFERROR(IF(0=LEN(ReferenceData!$AJ$464),"",ReferenceData!$AJ$464),"")</f>
        <v>4.8058202720000001</v>
      </c>
      <c r="AK464">
        <f ca="1">IFERROR(IF(0=LEN(ReferenceData!$AK$464),"",ReferenceData!$AK$464),"")</f>
        <v>8.0169190320000006</v>
      </c>
      <c r="AL464">
        <f ca="1">IFERROR(IF(0=LEN(ReferenceData!$AL$464),"",ReferenceData!$AL$464),"")</f>
        <v>8.0447852760000007</v>
      </c>
      <c r="AM464">
        <f ca="1">IFERROR(IF(0=LEN(ReferenceData!$AM$464),"",ReferenceData!$AM$464),"")</f>
        <v>9.2015878170000001</v>
      </c>
      <c r="AN464">
        <f ca="1">IFERROR(IF(0=LEN(ReferenceData!$AN$464),"",ReferenceData!$AN$464),"")</f>
        <v>11.657109520000001</v>
      </c>
      <c r="AO464">
        <f ca="1">IFERROR(IF(0=LEN(ReferenceData!$AO$464),"",ReferenceData!$AO$464),"")</f>
        <v>21.041568099999999</v>
      </c>
      <c r="AP464" t="str">
        <f ca="1">IFERROR(IF(0=LEN(ReferenceData!$AP$464),"",ReferenceData!$AP$464),"")</f>
        <v/>
      </c>
      <c r="AQ464" t="str">
        <f ca="1">IFERROR(IF(0=LEN(ReferenceData!$AQ$464),"",ReferenceData!$AQ$464),"")</f>
        <v/>
      </c>
      <c r="AR464" t="str">
        <f ca="1">IFERROR(IF(0=LEN(ReferenceData!$AR$464),"",ReferenceData!$AR$464),"")</f>
        <v/>
      </c>
      <c r="AS464" t="str">
        <f ca="1">IFERROR(IF(0=LEN(ReferenceData!$AS$464),"",ReferenceData!$AS$464),"")</f>
        <v/>
      </c>
      <c r="AT464" t="str">
        <f ca="1">IFERROR(IF(0=LEN(ReferenceData!$AT$464),"",ReferenceData!$AT$464),"")</f>
        <v/>
      </c>
      <c r="AU464">
        <f ca="1">IFERROR(IF(0=LEN(ReferenceData!$AU$464),"",ReferenceData!$AU$464),"")</f>
        <v>61.857010389999999</v>
      </c>
      <c r="AV464">
        <f ca="1">IFERROR(IF(0=LEN(ReferenceData!$AV$464),"",ReferenceData!$AV$464),"")</f>
        <v>19.370747819999998</v>
      </c>
      <c r="AW464">
        <f ca="1">IFERROR(IF(0=LEN(ReferenceData!$AW$464),"",ReferenceData!$AW$464),"")</f>
        <v>30.480318499999999</v>
      </c>
      <c r="AX464">
        <f ca="1">IFERROR(IF(0=LEN(ReferenceData!$AX$464),"",ReferenceData!$AX$464),"")</f>
        <v>29.869033420000001</v>
      </c>
      <c r="AY464">
        <f ca="1">IFERROR(IF(0=LEN(ReferenceData!$AY$464),"",ReferenceData!$AY$464),"")</f>
        <v>28.028921839999999</v>
      </c>
      <c r="AZ464">
        <f ca="1">IFERROR(IF(0=LEN(ReferenceData!$AZ$464),"",ReferenceData!$AZ$464),"")</f>
        <v>52.537364760000003</v>
      </c>
      <c r="BA464">
        <f ca="1">IFERROR(IF(0=LEN(ReferenceData!$BA$464),"",ReferenceData!$BA$464),"")</f>
        <v>29.652354769999999</v>
      </c>
      <c r="BB464">
        <f ca="1">IFERROR(IF(0=LEN(ReferenceData!$BB$464),"",ReferenceData!$BB$464),"")</f>
        <v>30.80094137</v>
      </c>
      <c r="BC464">
        <f ca="1">IFERROR(IF(0=LEN(ReferenceData!$BC$464),"",ReferenceData!$BC$464),"")</f>
        <v>38.173611110000003</v>
      </c>
      <c r="BD464">
        <f ca="1">IFERROR(IF(0=LEN(ReferenceData!$BD$464),"",ReferenceData!$BD$464),"")</f>
        <v>23.234418489999999</v>
      </c>
      <c r="BE464">
        <f ca="1">IFERROR(IF(0=LEN(ReferenceData!$BE$464),"",ReferenceData!$BE$464),"")</f>
        <v>22.717968039999999</v>
      </c>
      <c r="BF464">
        <f ca="1">IFERROR(IF(0=LEN(ReferenceData!$BF$464),"",ReferenceData!$BF$464),"")</f>
        <v>34.197930790000001</v>
      </c>
      <c r="BG464">
        <f ca="1">IFERROR(IF(0=LEN(ReferenceData!$BG$464),"",ReferenceData!$BG$464),"")</f>
        <v>38.310241040000001</v>
      </c>
      <c r="BH464">
        <f ca="1">IFERROR(IF(0=LEN(ReferenceData!$BH$464),"",ReferenceData!$BH$464),"")</f>
        <v>45.85625074</v>
      </c>
      <c r="BI464">
        <f ca="1">IFERROR(IF(0=LEN(ReferenceData!$BI$464),"",ReferenceData!$BI$464),"")</f>
        <v>39.754389310000001</v>
      </c>
      <c r="BJ464">
        <f ca="1">IFERROR(IF(0=LEN(ReferenceData!$BJ$464),"",ReferenceData!$BJ$464),"")</f>
        <v>41.988724359999999</v>
      </c>
      <c r="BK464">
        <f ca="1">IFERROR(IF(0=LEN(ReferenceData!$BK$464),"",ReferenceData!$BK$464),"")</f>
        <v>40.504856850000003</v>
      </c>
      <c r="BL464">
        <f ca="1">IFERROR(IF(0=LEN(ReferenceData!$BL$464),"",ReferenceData!$BL$464),"")</f>
        <v>29.577149080000002</v>
      </c>
      <c r="BM464">
        <f ca="1">IFERROR(IF(0=LEN(ReferenceData!$BM$464),"",ReferenceData!$BM$464),"")</f>
        <v>142.0116146</v>
      </c>
    </row>
    <row r="465" spans="1:65" x14ac:dyDescent="0.25">
      <c r="A465" t="str">
        <f>IFERROR(IF(0=LEN(ReferenceData!$A$465),"",ReferenceData!$A$465),"")</f>
        <v xml:space="preserve">    Dongfeng Motor Group Co Ltd</v>
      </c>
      <c r="B465" t="str">
        <f>IFERROR(IF(0=LEN(ReferenceData!$B$465),"",ReferenceData!$B$465),"")</f>
        <v>489 HK Equity</v>
      </c>
      <c r="C465" t="str">
        <f>IFERROR(IF(0=LEN(ReferenceData!$C$465),"",ReferenceData!$C$465),"")</f>
        <v>RR476</v>
      </c>
      <c r="D465" t="str">
        <f>IFERROR(IF(0=LEN(ReferenceData!$D$465),"",ReferenceData!$D$465),"")</f>
        <v>EV_TO_T12M_NET_INCOME</v>
      </c>
      <c r="E465" t="str">
        <f>IFERROR(IF(0=LEN(ReferenceData!$E$465),"",ReferenceData!$E$465),"")</f>
        <v>Dynamic</v>
      </c>
      <c r="F465" t="str">
        <f ca="1">IFERROR(IF(0=LEN(ReferenceData!$F$465),"",ReferenceData!$F$465),"")</f>
        <v/>
      </c>
      <c r="G465" t="str">
        <f ca="1">IFERROR(IF(0=LEN(ReferenceData!$G$465),"",ReferenceData!$G$465),"")</f>
        <v/>
      </c>
      <c r="H465" t="str">
        <f ca="1">IFERROR(IF(0=LEN(ReferenceData!$H$465),"",ReferenceData!$H$465),"")</f>
        <v/>
      </c>
      <c r="I465" t="str">
        <f ca="1">IFERROR(IF(0=LEN(ReferenceData!$I$465),"",ReferenceData!$I$465),"")</f>
        <v/>
      </c>
      <c r="J465" t="str">
        <f ca="1">IFERROR(IF(0=LEN(ReferenceData!$J$465),"",ReferenceData!$J$465),"")</f>
        <v/>
      </c>
      <c r="K465" t="str">
        <f ca="1">IFERROR(IF(0=LEN(ReferenceData!$K$465),"",ReferenceData!$K$465),"")</f>
        <v/>
      </c>
      <c r="L465" t="str">
        <f ca="1">IFERROR(IF(0=LEN(ReferenceData!$L$465),"",ReferenceData!$L$465),"")</f>
        <v/>
      </c>
      <c r="M465" t="str">
        <f ca="1">IFERROR(IF(0=LEN(ReferenceData!$M$465),"",ReferenceData!$M$465),"")</f>
        <v/>
      </c>
      <c r="N465" t="str">
        <f ca="1">IFERROR(IF(0=LEN(ReferenceData!$N$465),"",ReferenceData!$N$465),"")</f>
        <v/>
      </c>
      <c r="O465" t="str">
        <f ca="1">IFERROR(IF(0=LEN(ReferenceData!$O$465),"",ReferenceData!$O$465),"")</f>
        <v/>
      </c>
      <c r="P465" t="str">
        <f ca="1">IFERROR(IF(0=LEN(ReferenceData!$P$465),"",ReferenceData!$P$465),"")</f>
        <v/>
      </c>
      <c r="Q465" t="str">
        <f ca="1">IFERROR(IF(0=LEN(ReferenceData!$Q$465),"",ReferenceData!$Q$465),"")</f>
        <v/>
      </c>
      <c r="R465" t="str">
        <f ca="1">IFERROR(IF(0=LEN(ReferenceData!$R$465),"",ReferenceData!$R$465),"")</f>
        <v/>
      </c>
      <c r="S465" t="str">
        <f ca="1">IFERROR(IF(0=LEN(ReferenceData!$S$465),"",ReferenceData!$S$465),"")</f>
        <v/>
      </c>
      <c r="T465" t="str">
        <f ca="1">IFERROR(IF(0=LEN(ReferenceData!$T$465),"",ReferenceData!$T$465),"")</f>
        <v/>
      </c>
      <c r="U465" t="str">
        <f ca="1">IFERROR(IF(0=LEN(ReferenceData!$U$465),"",ReferenceData!$U$465),"")</f>
        <v/>
      </c>
      <c r="V465" t="str">
        <f ca="1">IFERROR(IF(0=LEN(ReferenceData!$V$465),"",ReferenceData!$V$465),"")</f>
        <v/>
      </c>
      <c r="W465" t="str">
        <f ca="1">IFERROR(IF(0=LEN(ReferenceData!$W$465),"",ReferenceData!$W$465),"")</f>
        <v/>
      </c>
      <c r="X465" t="str">
        <f ca="1">IFERROR(IF(0=LEN(ReferenceData!$X$465),"",ReferenceData!$X$465),"")</f>
        <v/>
      </c>
      <c r="Y465" t="str">
        <f ca="1">IFERROR(IF(0=LEN(ReferenceData!$Y$465),"",ReferenceData!$Y$465),"")</f>
        <v/>
      </c>
      <c r="Z465" t="str">
        <f ca="1">IFERROR(IF(0=LEN(ReferenceData!$Z$465),"",ReferenceData!$Z$465),"")</f>
        <v/>
      </c>
      <c r="AA465" t="str">
        <f ca="1">IFERROR(IF(0=LEN(ReferenceData!$AA$465),"",ReferenceData!$AA$465),"")</f>
        <v/>
      </c>
      <c r="AB465" t="str">
        <f ca="1">IFERROR(IF(0=LEN(ReferenceData!$AB$465),"",ReferenceData!$AB$465),"")</f>
        <v/>
      </c>
      <c r="AC465" t="str">
        <f ca="1">IFERROR(IF(0=LEN(ReferenceData!$AC$465),"",ReferenceData!$AC$465),"")</f>
        <v/>
      </c>
      <c r="AD465" t="str">
        <f ca="1">IFERROR(IF(0=LEN(ReferenceData!$AD$465),"",ReferenceData!$AD$465),"")</f>
        <v/>
      </c>
      <c r="AE465" t="str">
        <f ca="1">IFERROR(IF(0=LEN(ReferenceData!$AE$465),"",ReferenceData!$AE$465),"")</f>
        <v/>
      </c>
      <c r="AF465" t="str">
        <f ca="1">IFERROR(IF(0=LEN(ReferenceData!$AF$465),"",ReferenceData!$AF$465),"")</f>
        <v/>
      </c>
      <c r="AG465" t="str">
        <f ca="1">IFERROR(IF(0=LEN(ReferenceData!$AG$465),"",ReferenceData!$AG$465),"")</f>
        <v/>
      </c>
      <c r="AH465" t="str">
        <f ca="1">IFERROR(IF(0=LEN(ReferenceData!$AH$465),"",ReferenceData!$AH$465),"")</f>
        <v/>
      </c>
      <c r="AI465" t="str">
        <f ca="1">IFERROR(IF(0=LEN(ReferenceData!$AI$465),"",ReferenceData!$AI$465),"")</f>
        <v/>
      </c>
      <c r="AJ465" t="str">
        <f ca="1">IFERROR(IF(0=LEN(ReferenceData!$AJ$465),"",ReferenceData!$AJ$465),"")</f>
        <v/>
      </c>
      <c r="AK465" t="str">
        <f ca="1">IFERROR(IF(0=LEN(ReferenceData!$AK$465),"",ReferenceData!$AK$465),"")</f>
        <v/>
      </c>
      <c r="AL465" t="str">
        <f ca="1">IFERROR(IF(0=LEN(ReferenceData!$AL$465),"",ReferenceData!$AL$465),"")</f>
        <v/>
      </c>
      <c r="AM465" t="str">
        <f ca="1">IFERROR(IF(0=LEN(ReferenceData!$AM$465),"",ReferenceData!$AM$465),"")</f>
        <v/>
      </c>
      <c r="AN465" t="str">
        <f ca="1">IFERROR(IF(0=LEN(ReferenceData!$AN$465),"",ReferenceData!$AN$465),"")</f>
        <v/>
      </c>
      <c r="AO465" t="str">
        <f ca="1">IFERROR(IF(0=LEN(ReferenceData!$AO$465),"",ReferenceData!$AO$465),"")</f>
        <v/>
      </c>
      <c r="AP465" t="str">
        <f ca="1">IFERROR(IF(0=LEN(ReferenceData!$AP$465),"",ReferenceData!$AP$465),"")</f>
        <v/>
      </c>
      <c r="AQ465" t="str">
        <f ca="1">IFERROR(IF(0=LEN(ReferenceData!$AQ$465),"",ReferenceData!$AQ$465),"")</f>
        <v/>
      </c>
      <c r="AR465" t="str">
        <f ca="1">IFERROR(IF(0=LEN(ReferenceData!$AR$465),"",ReferenceData!$AR$465),"")</f>
        <v/>
      </c>
      <c r="AS465" t="str">
        <f ca="1">IFERROR(IF(0=LEN(ReferenceData!$AS$465),"",ReferenceData!$AS$465),"")</f>
        <v/>
      </c>
      <c r="AT465" t="str">
        <f ca="1">IFERROR(IF(0=LEN(ReferenceData!$AT$465),"",ReferenceData!$AT$465),"")</f>
        <v/>
      </c>
      <c r="AU465" t="str">
        <f ca="1">IFERROR(IF(0=LEN(ReferenceData!$AU$465),"",ReferenceData!$AU$465),"")</f>
        <v/>
      </c>
      <c r="AV465" t="str">
        <f ca="1">IFERROR(IF(0=LEN(ReferenceData!$AV$465),"",ReferenceData!$AV$465),"")</f>
        <v/>
      </c>
      <c r="AW465" t="str">
        <f ca="1">IFERROR(IF(0=LEN(ReferenceData!$AW$465),"",ReferenceData!$AW$465),"")</f>
        <v/>
      </c>
      <c r="AX465" t="str">
        <f ca="1">IFERROR(IF(0=LEN(ReferenceData!$AX$465),"",ReferenceData!$AX$465),"")</f>
        <v/>
      </c>
      <c r="AY465" t="str">
        <f ca="1">IFERROR(IF(0=LEN(ReferenceData!$AY$465),"",ReferenceData!$AY$465),"")</f>
        <v/>
      </c>
      <c r="AZ465" t="str">
        <f ca="1">IFERROR(IF(0=LEN(ReferenceData!$AZ$465),"",ReferenceData!$AZ$465),"")</f>
        <v/>
      </c>
      <c r="BA465" t="str">
        <f ca="1">IFERROR(IF(0=LEN(ReferenceData!$BA$465),"",ReferenceData!$BA$465),"")</f>
        <v/>
      </c>
      <c r="BB465" t="str">
        <f ca="1">IFERROR(IF(0=LEN(ReferenceData!$BB$465),"",ReferenceData!$BB$465),"")</f>
        <v/>
      </c>
      <c r="BC465" t="str">
        <f ca="1">IFERROR(IF(0=LEN(ReferenceData!$BC$465),"",ReferenceData!$BC$465),"")</f>
        <v/>
      </c>
      <c r="BD465" t="str">
        <f ca="1">IFERROR(IF(0=LEN(ReferenceData!$BD$465),"",ReferenceData!$BD$465),"")</f>
        <v/>
      </c>
      <c r="BE465" t="str">
        <f ca="1">IFERROR(IF(0=LEN(ReferenceData!$BE$465),"",ReferenceData!$BE$465),"")</f>
        <v/>
      </c>
      <c r="BF465" t="str">
        <f ca="1">IFERROR(IF(0=LEN(ReferenceData!$BF$465),"",ReferenceData!$BF$465),"")</f>
        <v/>
      </c>
      <c r="BG465" t="str">
        <f ca="1">IFERROR(IF(0=LEN(ReferenceData!$BG$465),"",ReferenceData!$BG$465),"")</f>
        <v/>
      </c>
      <c r="BH465" t="str">
        <f ca="1">IFERROR(IF(0=LEN(ReferenceData!$BH$465),"",ReferenceData!$BH$465),"")</f>
        <v/>
      </c>
      <c r="BI465" t="str">
        <f ca="1">IFERROR(IF(0=LEN(ReferenceData!$BI$465),"",ReferenceData!$BI$465),"")</f>
        <v/>
      </c>
      <c r="BJ465" t="str">
        <f ca="1">IFERROR(IF(0=LEN(ReferenceData!$BJ$465),"",ReferenceData!$BJ$465),"")</f>
        <v/>
      </c>
      <c r="BK465" t="str">
        <f ca="1">IFERROR(IF(0=LEN(ReferenceData!$BK$465),"",ReferenceData!$BK$465),"")</f>
        <v/>
      </c>
      <c r="BL465" t="str">
        <f ca="1">IFERROR(IF(0=LEN(ReferenceData!$BL$465),"",ReferenceData!$BL$465),"")</f>
        <v/>
      </c>
      <c r="BM465" t="str">
        <f ca="1">IFERROR(IF(0=LEN(ReferenceData!$BM$465),"",ReferenceData!$BM$465),"")</f>
        <v/>
      </c>
    </row>
    <row r="466" spans="1:65" x14ac:dyDescent="0.25">
      <c r="A466" t="str">
        <f>IFERROR(IF(0=LEN(ReferenceData!$A$466),"",ReferenceData!$A$466),"")</f>
        <v xml:space="preserve">    DRB-Hicom Bhd</v>
      </c>
      <c r="B466" t="str">
        <f>IFERROR(IF(0=LEN(ReferenceData!$B$466),"",ReferenceData!$B$466),"")</f>
        <v>DRB MK Equity</v>
      </c>
      <c r="C466" t="str">
        <f>IFERROR(IF(0=LEN(ReferenceData!$C$466),"",ReferenceData!$C$466),"")</f>
        <v>RR476</v>
      </c>
      <c r="D466" t="str">
        <f>IFERROR(IF(0=LEN(ReferenceData!$D$466),"",ReferenceData!$D$466),"")</f>
        <v>EV_TO_T12M_NET_INCOME</v>
      </c>
      <c r="E466" t="str">
        <f>IFERROR(IF(0=LEN(ReferenceData!$E$466),"",ReferenceData!$E$466),"")</f>
        <v>Dynamic</v>
      </c>
      <c r="F466" t="str">
        <f ca="1">IFERROR(IF(0=LEN(ReferenceData!$F$466),"",ReferenceData!$F$466),"")</f>
        <v/>
      </c>
      <c r="G466" t="str">
        <f ca="1">IFERROR(IF(0=LEN(ReferenceData!$G$466),"",ReferenceData!$G$466),"")</f>
        <v/>
      </c>
      <c r="H466" t="str">
        <f ca="1">IFERROR(IF(0=LEN(ReferenceData!$H$466),"",ReferenceData!$H$466),"")</f>
        <v/>
      </c>
      <c r="I466">
        <f ca="1">IFERROR(IF(0=LEN(ReferenceData!$I$466),"",ReferenceData!$I$466),"")</f>
        <v>14.06421525</v>
      </c>
      <c r="J466">
        <f ca="1">IFERROR(IF(0=LEN(ReferenceData!$J$466),"",ReferenceData!$J$466),"")</f>
        <v>15.83045502</v>
      </c>
      <c r="K466">
        <f ca="1">IFERROR(IF(0=LEN(ReferenceData!$K$466),"",ReferenceData!$K$466),"")</f>
        <v>31.181969939999998</v>
      </c>
      <c r="L466">
        <f ca="1">IFERROR(IF(0=LEN(ReferenceData!$L$466),"",ReferenceData!$L$466),"")</f>
        <v>13.627849380000001</v>
      </c>
      <c r="M466" t="str">
        <f ca="1">IFERROR(IF(0=LEN(ReferenceData!$M$466),"",ReferenceData!$M$466),"")</f>
        <v/>
      </c>
      <c r="N466" t="str">
        <f ca="1">IFERROR(IF(0=LEN(ReferenceData!$N$466),"",ReferenceData!$N$466),"")</f>
        <v/>
      </c>
      <c r="O466" t="str">
        <f ca="1">IFERROR(IF(0=LEN(ReferenceData!$O$466),"",ReferenceData!$O$466),"")</f>
        <v/>
      </c>
      <c r="P466" t="str">
        <f ca="1">IFERROR(IF(0=LEN(ReferenceData!$P$466),"",ReferenceData!$P$466),"")</f>
        <v/>
      </c>
      <c r="Q466" t="str">
        <f ca="1">IFERROR(IF(0=LEN(ReferenceData!$Q$466),"",ReferenceData!$Q$466),"")</f>
        <v/>
      </c>
      <c r="R466" t="str">
        <f ca="1">IFERROR(IF(0=LEN(ReferenceData!$R$466),"",ReferenceData!$R$466),"")</f>
        <v/>
      </c>
      <c r="S466" t="str">
        <f ca="1">IFERROR(IF(0=LEN(ReferenceData!$S$466),"",ReferenceData!$S$466),"")</f>
        <v/>
      </c>
      <c r="T466">
        <f ca="1">IFERROR(IF(0=LEN(ReferenceData!$T$466),"",ReferenceData!$T$466),"")</f>
        <v>72.689830580000006</v>
      </c>
      <c r="U466">
        <f ca="1">IFERROR(IF(0=LEN(ReferenceData!$U$466),"",ReferenceData!$U$466),"")</f>
        <v>49.274852969999998</v>
      </c>
      <c r="V466">
        <f ca="1">IFERROR(IF(0=LEN(ReferenceData!$V$466),"",ReferenceData!$V$466),"")</f>
        <v>25.000260300000001</v>
      </c>
      <c r="W466">
        <f ca="1">IFERROR(IF(0=LEN(ReferenceData!$W$466),"",ReferenceData!$W$466),"")</f>
        <v>24.573330970000001</v>
      </c>
      <c r="X466">
        <f ca="1">IFERROR(IF(0=LEN(ReferenceData!$X$466),"",ReferenceData!$X$466),"")</f>
        <v>18.933943759999998</v>
      </c>
      <c r="Y466">
        <f ca="1">IFERROR(IF(0=LEN(ReferenceData!$Y$466),"",ReferenceData!$Y$466),"")</f>
        <v>16.989203700000001</v>
      </c>
      <c r="Z466">
        <f ca="1">IFERROR(IF(0=LEN(ReferenceData!$Z$466),"",ReferenceData!$Z$466),"")</f>
        <v>18.577306979999999</v>
      </c>
      <c r="AA466">
        <f ca="1">IFERROR(IF(0=LEN(ReferenceData!$AA$466),"",ReferenceData!$AA$466),"")</f>
        <v>20.688040879999999</v>
      </c>
      <c r="AB466">
        <f ca="1">IFERROR(IF(0=LEN(ReferenceData!$AB$466),"",ReferenceData!$AB$466),"")</f>
        <v>12.39614508</v>
      </c>
      <c r="AC466">
        <f ca="1">IFERROR(IF(0=LEN(ReferenceData!$AC$466),"",ReferenceData!$AC$466),"")</f>
        <v>14.058762890000001</v>
      </c>
      <c r="AD466">
        <f ca="1">IFERROR(IF(0=LEN(ReferenceData!$AD$466),"",ReferenceData!$AD$466),"")</f>
        <v>7.5485744260000001</v>
      </c>
      <c r="AE466">
        <f ca="1">IFERROR(IF(0=LEN(ReferenceData!$AE$466),"",ReferenceData!$AE$466),"")</f>
        <v>3.979012628</v>
      </c>
      <c r="AF466">
        <f ca="1">IFERROR(IF(0=LEN(ReferenceData!$AF$466),"",ReferenceData!$AF$466),"")</f>
        <v>4.2907239580000001</v>
      </c>
      <c r="AG466">
        <f ca="1">IFERROR(IF(0=LEN(ReferenceData!$AG$466),"",ReferenceData!$AG$466),"")</f>
        <v>4.3927138799999996</v>
      </c>
      <c r="AH466">
        <f ca="1">IFERROR(IF(0=LEN(ReferenceData!$AH$466),"",ReferenceData!$AH$466),"")</f>
        <v>1.6276696639999999</v>
      </c>
      <c r="AI466">
        <f ca="1">IFERROR(IF(0=LEN(ReferenceData!$AI$466),"",ReferenceData!$AI$466),"")</f>
        <v>5.2551832479999998</v>
      </c>
      <c r="AJ466">
        <f ca="1">IFERROR(IF(0=LEN(ReferenceData!$AJ$466),"",ReferenceData!$AJ$466),"")</f>
        <v>3.62164938</v>
      </c>
      <c r="AK466" t="str">
        <f ca="1">IFERROR(IF(0=LEN(ReferenceData!$AK$466),"",ReferenceData!$AK$466),"")</f>
        <v/>
      </c>
      <c r="AL466" t="str">
        <f ca="1">IFERROR(IF(0=LEN(ReferenceData!$AL$466),"",ReferenceData!$AL$466),"")</f>
        <v/>
      </c>
      <c r="AM466">
        <f ca="1">IFERROR(IF(0=LEN(ReferenceData!$AM$466),"",ReferenceData!$AM$466),"")</f>
        <v>15.50805205</v>
      </c>
      <c r="AN466">
        <f ca="1">IFERROR(IF(0=LEN(ReferenceData!$AN$466),"",ReferenceData!$AN$466),"")</f>
        <v>16.628827000000001</v>
      </c>
      <c r="AO466">
        <f ca="1">IFERROR(IF(0=LEN(ReferenceData!$AO$466),"",ReferenceData!$AO$466),"")</f>
        <v>18.49041819</v>
      </c>
      <c r="AP466" t="str">
        <f ca="1">IFERROR(IF(0=LEN(ReferenceData!$AP$466),"",ReferenceData!$AP$466),"")</f>
        <v/>
      </c>
      <c r="AQ466" t="str">
        <f ca="1">IFERROR(IF(0=LEN(ReferenceData!$AQ$466),"",ReferenceData!$AQ$466),"")</f>
        <v/>
      </c>
      <c r="AR466" t="str">
        <f ca="1">IFERROR(IF(0=LEN(ReferenceData!$AR$466),"",ReferenceData!$AR$466),"")</f>
        <v/>
      </c>
      <c r="AS466">
        <f ca="1">IFERROR(IF(0=LEN(ReferenceData!$AS$466),"",ReferenceData!$AS$466),"")</f>
        <v>112.7756072</v>
      </c>
      <c r="AT466" t="str">
        <f ca="1">IFERROR(IF(0=LEN(ReferenceData!$AT$466),"",ReferenceData!$AT$466),"")</f>
        <v/>
      </c>
      <c r="AU466" t="str">
        <f ca="1">IFERROR(IF(0=LEN(ReferenceData!$AU$466),"",ReferenceData!$AU$466),"")</f>
        <v/>
      </c>
      <c r="AV466">
        <f ca="1">IFERROR(IF(0=LEN(ReferenceData!$AV$466),"",ReferenceData!$AV$466),"")</f>
        <v>1.095637368</v>
      </c>
      <c r="AW466">
        <f ca="1">IFERROR(IF(0=LEN(ReferenceData!$AW$466),"",ReferenceData!$AW$466),"")</f>
        <v>1.0751965619999999</v>
      </c>
      <c r="AX466">
        <f ca="1">IFERROR(IF(0=LEN(ReferenceData!$AX$466),"",ReferenceData!$AX$466),"")</f>
        <v>8.6856870789999991</v>
      </c>
      <c r="AY466">
        <f ca="1">IFERROR(IF(0=LEN(ReferenceData!$AY$466),"",ReferenceData!$AY$466),"")</f>
        <v>10.4567312</v>
      </c>
      <c r="AZ466">
        <f ca="1">IFERROR(IF(0=LEN(ReferenceData!$AZ$466),"",ReferenceData!$AZ$466),"")</f>
        <v>20.292234650000001</v>
      </c>
      <c r="BA466">
        <f ca="1">IFERROR(IF(0=LEN(ReferenceData!$BA$466),"",ReferenceData!$BA$466),"")</f>
        <v>21.25005419</v>
      </c>
      <c r="BB466">
        <f ca="1">IFERROR(IF(0=LEN(ReferenceData!$BB$466),"",ReferenceData!$BB$466),"")</f>
        <v>36.076400769999999</v>
      </c>
      <c r="BC466" t="str">
        <f ca="1">IFERROR(IF(0=LEN(ReferenceData!$BC$466),"",ReferenceData!$BC$466),"")</f>
        <v/>
      </c>
      <c r="BD466" t="str">
        <f ca="1">IFERROR(IF(0=LEN(ReferenceData!$BD$466),"",ReferenceData!$BD$466),"")</f>
        <v/>
      </c>
      <c r="BE466" t="str">
        <f ca="1">IFERROR(IF(0=LEN(ReferenceData!$BE$466),"",ReferenceData!$BE$466),"")</f>
        <v/>
      </c>
      <c r="BF466" t="str">
        <f ca="1">IFERROR(IF(0=LEN(ReferenceData!$BF$466),"",ReferenceData!$BF$466),"")</f>
        <v/>
      </c>
      <c r="BG466" t="str">
        <f ca="1">IFERROR(IF(0=LEN(ReferenceData!$BG$466),"",ReferenceData!$BG$466),"")</f>
        <v/>
      </c>
      <c r="BH466">
        <f ca="1">IFERROR(IF(0=LEN(ReferenceData!$BH$466),"",ReferenceData!$BH$466),"")</f>
        <v>32.13258802</v>
      </c>
      <c r="BI466">
        <f ca="1">IFERROR(IF(0=LEN(ReferenceData!$BI$466),"",ReferenceData!$BI$466),"")</f>
        <v>23.291865170000001</v>
      </c>
      <c r="BJ466">
        <f ca="1">IFERROR(IF(0=LEN(ReferenceData!$BJ$466),"",ReferenceData!$BJ$466),"")</f>
        <v>27.244790590000001</v>
      </c>
      <c r="BK466">
        <f ca="1">IFERROR(IF(0=LEN(ReferenceData!$BK$466),"",ReferenceData!$BK$466),"")</f>
        <v>16.174619969999998</v>
      </c>
      <c r="BL466">
        <f ca="1">IFERROR(IF(0=LEN(ReferenceData!$BL$466),"",ReferenceData!$BL$466),"")</f>
        <v>16.76182725</v>
      </c>
      <c r="BM466">
        <f ca="1">IFERROR(IF(0=LEN(ReferenceData!$BM$466),"",ReferenceData!$BM$466),"")</f>
        <v>16.72410786</v>
      </c>
    </row>
    <row r="467" spans="1:65" x14ac:dyDescent="0.25">
      <c r="A467" t="str">
        <f>IFERROR(IF(0=LEN(ReferenceData!$A$467),"",ReferenceData!$A$467),"")</f>
        <v xml:space="preserve">    FAW CAR Co Ltd</v>
      </c>
      <c r="B467" t="str">
        <f>IFERROR(IF(0=LEN(ReferenceData!$B$467),"",ReferenceData!$B$467),"")</f>
        <v>000800 CH Equity</v>
      </c>
      <c r="C467" t="str">
        <f>IFERROR(IF(0=LEN(ReferenceData!$C$467),"",ReferenceData!$C$467),"")</f>
        <v>RR476</v>
      </c>
      <c r="D467" t="str">
        <f>IFERROR(IF(0=LEN(ReferenceData!$D$467),"",ReferenceData!$D$467),"")</f>
        <v>EV_TO_T12M_NET_INCOME</v>
      </c>
      <c r="E467" t="str">
        <f>IFERROR(IF(0=LEN(ReferenceData!$E$467),"",ReferenceData!$E$467),"")</f>
        <v>Dynamic</v>
      </c>
      <c r="F467" t="str">
        <f ca="1">IFERROR(IF(0=LEN(ReferenceData!$F$467),"",ReferenceData!$F$467),"")</f>
        <v/>
      </c>
      <c r="G467" t="str">
        <f ca="1">IFERROR(IF(0=LEN(ReferenceData!$G$467),"",ReferenceData!$G$467),"")</f>
        <v/>
      </c>
      <c r="H467">
        <f ca="1">IFERROR(IF(0=LEN(ReferenceData!$H$467),"",ReferenceData!$H$467),"")</f>
        <v>80.863686709999996</v>
      </c>
      <c r="I467">
        <f ca="1">IFERROR(IF(0=LEN(ReferenceData!$I$467),"",ReferenceData!$I$467),"")</f>
        <v>127.151608</v>
      </c>
      <c r="J467">
        <f ca="1">IFERROR(IF(0=LEN(ReferenceData!$J$467),"",ReferenceData!$J$467),"")</f>
        <v>87.606079109999996</v>
      </c>
      <c r="K467">
        <f ca="1">IFERROR(IF(0=LEN(ReferenceData!$K$467),"",ReferenceData!$K$467),"")</f>
        <v>58.57864764</v>
      </c>
      <c r="L467">
        <f ca="1">IFERROR(IF(0=LEN(ReferenceData!$L$467),"",ReferenceData!$L$467),"")</f>
        <v>427.72166559999999</v>
      </c>
      <c r="M467">
        <f ca="1">IFERROR(IF(0=LEN(ReferenceData!$M$467),"",ReferenceData!$M$467),"")</f>
        <v>124.116401</v>
      </c>
      <c r="N467" t="str">
        <f ca="1">IFERROR(IF(0=LEN(ReferenceData!$N$467),"",ReferenceData!$N$467),"")</f>
        <v/>
      </c>
      <c r="O467" t="str">
        <f ca="1">IFERROR(IF(0=LEN(ReferenceData!$O$467),"",ReferenceData!$O$467),"")</f>
        <v/>
      </c>
      <c r="P467" t="str">
        <f ca="1">IFERROR(IF(0=LEN(ReferenceData!$P$467),"",ReferenceData!$P$467),"")</f>
        <v/>
      </c>
      <c r="Q467" t="str">
        <f ca="1">IFERROR(IF(0=LEN(ReferenceData!$Q$467),"",ReferenceData!$Q$467),"")</f>
        <v/>
      </c>
      <c r="R467" t="str">
        <f ca="1">IFERROR(IF(0=LEN(ReferenceData!$R$467),"",ReferenceData!$R$467),"")</f>
        <v/>
      </c>
      <c r="S467">
        <f ca="1">IFERROR(IF(0=LEN(ReferenceData!$S$467),"",ReferenceData!$S$467),"")</f>
        <v>590.79498530000001</v>
      </c>
      <c r="T467" t="str">
        <f ca="1">IFERROR(IF(0=LEN(ReferenceData!$T$467),"",ReferenceData!$T$467),"")</f>
        <v/>
      </c>
      <c r="U467" t="str">
        <f ca="1">IFERROR(IF(0=LEN(ReferenceData!$U$467),"",ReferenceData!$U$467),"")</f>
        <v/>
      </c>
      <c r="V467">
        <f ca="1">IFERROR(IF(0=LEN(ReferenceData!$V$467),"",ReferenceData!$V$467),"")</f>
        <v>1604.1244859999999</v>
      </c>
      <c r="W467">
        <f ca="1">IFERROR(IF(0=LEN(ReferenceData!$W$467),"",ReferenceData!$W$467),"")</f>
        <v>173.2619736</v>
      </c>
      <c r="X467">
        <f ca="1">IFERROR(IF(0=LEN(ReferenceData!$X$467),"",ReferenceData!$X$467),"")</f>
        <v>39.738281800000003</v>
      </c>
      <c r="Y467">
        <f ca="1">IFERROR(IF(0=LEN(ReferenceData!$Y$467),"",ReferenceData!$Y$467),"")</f>
        <v>23.801125160000002</v>
      </c>
      <c r="Z467">
        <f ca="1">IFERROR(IF(0=LEN(ReferenceData!$Z$467),"",ReferenceData!$Z$467),"")</f>
        <v>19.036968760000001</v>
      </c>
      <c r="AA467">
        <f ca="1">IFERROR(IF(0=LEN(ReferenceData!$AA$467),"",ReferenceData!$AA$467),"")</f>
        <v>20.417019360000001</v>
      </c>
      <c r="AB467">
        <f ca="1">IFERROR(IF(0=LEN(ReferenceData!$AB$467),"",ReferenceData!$AB$467),"")</f>
        <v>66.947508799999994</v>
      </c>
      <c r="AC467" t="str">
        <f ca="1">IFERROR(IF(0=LEN(ReferenceData!$AC$467),"",ReferenceData!$AC$467),"")</f>
        <v/>
      </c>
      <c r="AD467" t="str">
        <f ca="1">IFERROR(IF(0=LEN(ReferenceData!$AD$467),"",ReferenceData!$AD$467),"")</f>
        <v/>
      </c>
      <c r="AE467" t="str">
        <f ca="1">IFERROR(IF(0=LEN(ReferenceData!$AE$467),"",ReferenceData!$AE$467),"")</f>
        <v/>
      </c>
      <c r="AF467" t="str">
        <f ca="1">IFERROR(IF(0=LEN(ReferenceData!$AF$467),"",ReferenceData!$AF$467),"")</f>
        <v/>
      </c>
      <c r="AG467" t="str">
        <f ca="1">IFERROR(IF(0=LEN(ReferenceData!$AG$467),"",ReferenceData!$AG$467),"")</f>
        <v/>
      </c>
      <c r="AH467" t="str">
        <f ca="1">IFERROR(IF(0=LEN(ReferenceData!$AH$467),"",ReferenceData!$AH$467),"")</f>
        <v/>
      </c>
      <c r="AI467">
        <f ca="1">IFERROR(IF(0=LEN(ReferenceData!$AI$467),"",ReferenceData!$AI$467),"")</f>
        <v>65.399940970000003</v>
      </c>
      <c r="AJ467">
        <f ca="1">IFERROR(IF(0=LEN(ReferenceData!$AJ$467),"",ReferenceData!$AJ$467),"")</f>
        <v>22.81799337</v>
      </c>
      <c r="AK467">
        <f ca="1">IFERROR(IF(0=LEN(ReferenceData!$AK$467),"",ReferenceData!$AK$467),"")</f>
        <v>16.479722219999999</v>
      </c>
      <c r="AL467">
        <f ca="1">IFERROR(IF(0=LEN(ReferenceData!$AL$467),"",ReferenceData!$AL$467),"")</f>
        <v>16.46272519</v>
      </c>
      <c r="AM467">
        <f ca="1">IFERROR(IF(0=LEN(ReferenceData!$AM$467),"",ReferenceData!$AM$467),"")</f>
        <v>12.26296262</v>
      </c>
      <c r="AN467">
        <f ca="1">IFERROR(IF(0=LEN(ReferenceData!$AN$467),"",ReferenceData!$AN$467),"")</f>
        <v>10.05050245</v>
      </c>
      <c r="AO467">
        <f ca="1">IFERROR(IF(0=LEN(ReferenceData!$AO$467),"",ReferenceData!$AO$467),"")</f>
        <v>8.743819319</v>
      </c>
      <c r="AP467">
        <f ca="1">IFERROR(IF(0=LEN(ReferenceData!$AP$467),"",ReferenceData!$AP$467),"")</f>
        <v>15.32023498</v>
      </c>
      <c r="AQ467">
        <f ca="1">IFERROR(IF(0=LEN(ReferenceData!$AQ$467),"",ReferenceData!$AQ$467),"")</f>
        <v>24.374394939999998</v>
      </c>
      <c r="AR467">
        <f ca="1">IFERROR(IF(0=LEN(ReferenceData!$AR$467),"",ReferenceData!$AR$467),"")</f>
        <v>21.412580460000001</v>
      </c>
      <c r="AS467">
        <f ca="1">IFERROR(IF(0=LEN(ReferenceData!$AS$467),"",ReferenceData!$AS$467),"")</f>
        <v>19.703425759999998</v>
      </c>
      <c r="AT467">
        <f ca="1">IFERROR(IF(0=LEN(ReferenceData!$AT$467),"",ReferenceData!$AT$467),"")</f>
        <v>16.426804929999999</v>
      </c>
      <c r="AU467">
        <f ca="1">IFERROR(IF(0=LEN(ReferenceData!$AU$467),"",ReferenceData!$AU$467),"")</f>
        <v>9.0214884850000008</v>
      </c>
      <c r="AV467">
        <f ca="1">IFERROR(IF(0=LEN(ReferenceData!$AV$467),"",ReferenceData!$AV$467),"")</f>
        <v>9.991253876</v>
      </c>
      <c r="AW467">
        <f ca="1">IFERROR(IF(0=LEN(ReferenceData!$AW$467),"",ReferenceData!$AW$467),"")</f>
        <v>11.7117667</v>
      </c>
      <c r="AX467">
        <f ca="1">IFERROR(IF(0=LEN(ReferenceData!$AX$467),"",ReferenceData!$AX$467),"")</f>
        <v>23.417603679999999</v>
      </c>
      <c r="AY467">
        <f ca="1">IFERROR(IF(0=LEN(ReferenceData!$AY$467),"",ReferenceData!$AY$467),"")</f>
        <v>50.293129499999999</v>
      </c>
      <c r="AZ467">
        <f ca="1">IFERROR(IF(0=LEN(ReferenceData!$AZ$467),"",ReferenceData!$AZ$467),"")</f>
        <v>61.799568129999997</v>
      </c>
      <c r="BA467">
        <f ca="1">IFERROR(IF(0=LEN(ReferenceData!$BA$467),"",ReferenceData!$BA$467),"")</f>
        <v>63.463997589999998</v>
      </c>
      <c r="BB467">
        <f ca="1">IFERROR(IF(0=LEN(ReferenceData!$BB$467),"",ReferenceData!$BB$467),"")</f>
        <v>45.565924520000003</v>
      </c>
      <c r="BC467">
        <f ca="1">IFERROR(IF(0=LEN(ReferenceData!$BC$467),"",ReferenceData!$BC$467),"")</f>
        <v>13.99009571</v>
      </c>
      <c r="BD467">
        <f ca="1">IFERROR(IF(0=LEN(ReferenceData!$BD$467),"",ReferenceData!$BD$467),"")</f>
        <v>18.475392679999999</v>
      </c>
      <c r="BE467">
        <f ca="1">IFERROR(IF(0=LEN(ReferenceData!$BE$467),"",ReferenceData!$BE$467),"")</f>
        <v>7.8853291690000002</v>
      </c>
      <c r="BF467">
        <f ca="1">IFERROR(IF(0=LEN(ReferenceData!$BF$467),"",ReferenceData!$BF$467),"")</f>
        <v>6.0813879929999999</v>
      </c>
      <c r="BG467">
        <f ca="1">IFERROR(IF(0=LEN(ReferenceData!$BG$467),"",ReferenceData!$BG$467),"")</f>
        <v>6.4548582200000002</v>
      </c>
      <c r="BH467">
        <f ca="1">IFERROR(IF(0=LEN(ReferenceData!$BH$467),"",ReferenceData!$BH$467),"")</f>
        <v>15.62968862</v>
      </c>
      <c r="BI467">
        <f ca="1">IFERROR(IF(0=LEN(ReferenceData!$BI$467),"",ReferenceData!$BI$467),"")</f>
        <v>11.40087553</v>
      </c>
      <c r="BJ467">
        <f ca="1">IFERROR(IF(0=LEN(ReferenceData!$BJ$467),"",ReferenceData!$BJ$467),"")</f>
        <v>22.621651669999999</v>
      </c>
      <c r="BK467">
        <f ca="1">IFERROR(IF(0=LEN(ReferenceData!$BK$467),"",ReferenceData!$BK$467),"")</f>
        <v>16.990202719999999</v>
      </c>
      <c r="BL467">
        <f ca="1">IFERROR(IF(0=LEN(ReferenceData!$BL$467),"",ReferenceData!$BL$467),"")</f>
        <v>15.55146835</v>
      </c>
      <c r="BM467">
        <f ca="1">IFERROR(IF(0=LEN(ReferenceData!$BM$467),"",ReferenceData!$BM$467),"")</f>
        <v>12.28045185</v>
      </c>
    </row>
    <row r="468" spans="1:65" x14ac:dyDescent="0.25">
      <c r="A468" t="str">
        <f>IFERROR(IF(0=LEN(ReferenceData!$A$468),"",ReferenceData!$A$468),"")</f>
        <v xml:space="preserve">    Fiat Chrysler Automobiles NV</v>
      </c>
      <c r="B468" t="str">
        <f>IFERROR(IF(0=LEN(ReferenceData!$B$468),"",ReferenceData!$B$468),"")</f>
        <v>FCAU US Equity</v>
      </c>
      <c r="C468" t="str">
        <f>IFERROR(IF(0=LEN(ReferenceData!$C$468),"",ReferenceData!$C$468),"")</f>
        <v>RR476</v>
      </c>
      <c r="D468" t="str">
        <f>IFERROR(IF(0=LEN(ReferenceData!$D$468),"",ReferenceData!$D$468),"")</f>
        <v>EV_TO_T12M_NET_INCOME</v>
      </c>
      <c r="E468" t="str">
        <f>IFERROR(IF(0=LEN(ReferenceData!$E$468),"",ReferenceData!$E$468),"")</f>
        <v>Dynamic</v>
      </c>
      <c r="F468" t="str">
        <f ca="1">IFERROR(IF(0=LEN(ReferenceData!$F$468),"",ReferenceData!$F$468),"")</f>
        <v/>
      </c>
      <c r="G468">
        <f ca="1">IFERROR(IF(0=LEN(ReferenceData!$G$468),"",ReferenceData!$G$468),"")</f>
        <v>7.3973423020000002</v>
      </c>
      <c r="H468">
        <f ca="1">IFERROR(IF(0=LEN(ReferenceData!$H$468),"",ReferenceData!$H$468),"")</f>
        <v>10.239997109999999</v>
      </c>
      <c r="I468">
        <f ca="1">IFERROR(IF(0=LEN(ReferenceData!$I$468),"",ReferenceData!$I$468),"")</f>
        <v>9.6513064320000002</v>
      </c>
      <c r="J468">
        <f ca="1">IFERROR(IF(0=LEN(ReferenceData!$J$468),"",ReferenceData!$J$468),"")</f>
        <v>9.3909340100000005</v>
      </c>
      <c r="K468">
        <f ca="1">IFERROR(IF(0=LEN(ReferenceData!$K$468),"",ReferenceData!$K$468),"")</f>
        <v>9.7970708519999992</v>
      </c>
      <c r="L468">
        <f ca="1">IFERROR(IF(0=LEN(ReferenceData!$L$468),"",ReferenceData!$L$468),"")</f>
        <v>11.453912559999999</v>
      </c>
      <c r="M468">
        <f ca="1">IFERROR(IF(0=LEN(ReferenceData!$M$468),"",ReferenceData!$M$468),"")</f>
        <v>8.5999732079999998</v>
      </c>
      <c r="N468">
        <f ca="1">IFERROR(IF(0=LEN(ReferenceData!$N$468),"",ReferenceData!$N$468),"")</f>
        <v>13.405489169999999</v>
      </c>
      <c r="O468">
        <f ca="1">IFERROR(IF(0=LEN(ReferenceData!$O$468),"",ReferenceData!$O$468),"")</f>
        <v>12.28588822</v>
      </c>
      <c r="P468">
        <f ca="1">IFERROR(IF(0=LEN(ReferenceData!$P$468),"",ReferenceData!$P$468),"")</f>
        <v>10.70959173</v>
      </c>
      <c r="Q468">
        <f ca="1">IFERROR(IF(0=LEN(ReferenceData!$Q$468),"",ReferenceData!$Q$468),"")</f>
        <v>22.106589889999999</v>
      </c>
      <c r="R468">
        <f ca="1">IFERROR(IF(0=LEN(ReferenceData!$R$468),"",ReferenceData!$R$468),"")</f>
        <v>27.365034059999999</v>
      </c>
      <c r="S468">
        <f ca="1">IFERROR(IF(0=LEN(ReferenceData!$S$468),"",ReferenceData!$S$468),"")</f>
        <v>83.306789969999997</v>
      </c>
      <c r="T468">
        <f ca="1">IFERROR(IF(0=LEN(ReferenceData!$T$468),"",ReferenceData!$T$468),"")</f>
        <v>61.044220899999999</v>
      </c>
      <c r="U468">
        <f ca="1">IFERROR(IF(0=LEN(ReferenceData!$U$468),"",ReferenceData!$U$468),"")</f>
        <v>32.850492039999999</v>
      </c>
      <c r="V468">
        <f ca="1">IFERROR(IF(0=LEN(ReferenceData!$V$468),"",ReferenceData!$V$468),"")</f>
        <v>43.46702921</v>
      </c>
      <c r="W468">
        <f ca="1">IFERROR(IF(0=LEN(ReferenceData!$W$468),"",ReferenceData!$W$468),"")</f>
        <v>45.4430853</v>
      </c>
      <c r="X468" t="str">
        <f ca="1">IFERROR(IF(0=LEN(ReferenceData!$X$468),"",ReferenceData!$X$468),"")</f>
        <v/>
      </c>
      <c r="Y468" t="str">
        <f ca="1">IFERROR(IF(0=LEN(ReferenceData!$Y$468),"",ReferenceData!$Y$468),"")</f>
        <v/>
      </c>
      <c r="Z468" t="str">
        <f ca="1">IFERROR(IF(0=LEN(ReferenceData!$Z$468),"",ReferenceData!$Z$468),"")</f>
        <v/>
      </c>
      <c r="AA468" t="str">
        <f ca="1">IFERROR(IF(0=LEN(ReferenceData!$AA$468),"",ReferenceData!$AA$468),"")</f>
        <v/>
      </c>
      <c r="AB468" t="str">
        <f ca="1">IFERROR(IF(0=LEN(ReferenceData!$AB$468),"",ReferenceData!$AB$468),"")</f>
        <v/>
      </c>
      <c r="AC468" t="str">
        <f ca="1">IFERROR(IF(0=LEN(ReferenceData!$AC$468),"",ReferenceData!$AC$468),"")</f>
        <v/>
      </c>
      <c r="AD468" t="str">
        <f ca="1">IFERROR(IF(0=LEN(ReferenceData!$AD$468),"",ReferenceData!$AD$468),"")</f>
        <v/>
      </c>
      <c r="AE468" t="str">
        <f ca="1">IFERROR(IF(0=LEN(ReferenceData!$AE$468),"",ReferenceData!$AE$468),"")</f>
        <v/>
      </c>
      <c r="AF468" t="str">
        <f ca="1">IFERROR(IF(0=LEN(ReferenceData!$AF$468),"",ReferenceData!$AF$468),"")</f>
        <v/>
      </c>
      <c r="AG468" t="str">
        <f ca="1">IFERROR(IF(0=LEN(ReferenceData!$AG$468),"",ReferenceData!$AG$468),"")</f>
        <v/>
      </c>
      <c r="AH468" t="str">
        <f ca="1">IFERROR(IF(0=LEN(ReferenceData!$AH$468),"",ReferenceData!$AH$468),"")</f>
        <v/>
      </c>
      <c r="AI468" t="str">
        <f ca="1">IFERROR(IF(0=LEN(ReferenceData!$AI$468),"",ReferenceData!$AI$468),"")</f>
        <v/>
      </c>
      <c r="AJ468" t="str">
        <f ca="1">IFERROR(IF(0=LEN(ReferenceData!$AJ$468),"",ReferenceData!$AJ$468),"")</f>
        <v/>
      </c>
      <c r="AK468" t="str">
        <f ca="1">IFERROR(IF(0=LEN(ReferenceData!$AK$468),"",ReferenceData!$AK$468),"")</f>
        <v/>
      </c>
      <c r="AL468" t="str">
        <f ca="1">IFERROR(IF(0=LEN(ReferenceData!$AL$468),"",ReferenceData!$AL$468),"")</f>
        <v/>
      </c>
      <c r="AM468" t="str">
        <f ca="1">IFERROR(IF(0=LEN(ReferenceData!$AM$468),"",ReferenceData!$AM$468),"")</f>
        <v/>
      </c>
      <c r="AN468" t="str">
        <f ca="1">IFERROR(IF(0=LEN(ReferenceData!$AN$468),"",ReferenceData!$AN$468),"")</f>
        <v/>
      </c>
      <c r="AO468" t="str">
        <f ca="1">IFERROR(IF(0=LEN(ReferenceData!$AO$468),"",ReferenceData!$AO$468),"")</f>
        <v/>
      </c>
      <c r="AP468" t="str">
        <f ca="1">IFERROR(IF(0=LEN(ReferenceData!$AP$468),"",ReferenceData!$AP$468),"")</f>
        <v/>
      </c>
      <c r="AQ468" t="str">
        <f ca="1">IFERROR(IF(0=LEN(ReferenceData!$AQ$468),"",ReferenceData!$AQ$468),"")</f>
        <v/>
      </c>
      <c r="AR468" t="str">
        <f ca="1">IFERROR(IF(0=LEN(ReferenceData!$AR$468),"",ReferenceData!$AR$468),"")</f>
        <v/>
      </c>
      <c r="AS468" t="str">
        <f ca="1">IFERROR(IF(0=LEN(ReferenceData!$AS$468),"",ReferenceData!$AS$468),"")</f>
        <v/>
      </c>
      <c r="AT468" t="str">
        <f ca="1">IFERROR(IF(0=LEN(ReferenceData!$AT$468),"",ReferenceData!$AT$468),"")</f>
        <v/>
      </c>
      <c r="AU468" t="str">
        <f ca="1">IFERROR(IF(0=LEN(ReferenceData!$AU$468),"",ReferenceData!$AU$468),"")</f>
        <v/>
      </c>
      <c r="AV468" t="str">
        <f ca="1">IFERROR(IF(0=LEN(ReferenceData!$AV$468),"",ReferenceData!$AV$468),"")</f>
        <v/>
      </c>
      <c r="AW468" t="str">
        <f ca="1">IFERROR(IF(0=LEN(ReferenceData!$AW$468),"",ReferenceData!$AW$468),"")</f>
        <v/>
      </c>
      <c r="AX468" t="str">
        <f ca="1">IFERROR(IF(0=LEN(ReferenceData!$AX$468),"",ReferenceData!$AX$468),"")</f>
        <v/>
      </c>
      <c r="AY468" t="str">
        <f ca="1">IFERROR(IF(0=LEN(ReferenceData!$AY$468),"",ReferenceData!$AY$468),"")</f>
        <v/>
      </c>
      <c r="AZ468" t="str">
        <f ca="1">IFERROR(IF(0=LEN(ReferenceData!$AZ$468),"",ReferenceData!$AZ$468),"")</f>
        <v/>
      </c>
      <c r="BA468" t="str">
        <f ca="1">IFERROR(IF(0=LEN(ReferenceData!$BA$468),"",ReferenceData!$BA$468),"")</f>
        <v/>
      </c>
      <c r="BB468" t="str">
        <f ca="1">IFERROR(IF(0=LEN(ReferenceData!$BB$468),"",ReferenceData!$BB$468),"")</f>
        <v/>
      </c>
      <c r="BC468" t="str">
        <f ca="1">IFERROR(IF(0=LEN(ReferenceData!$BC$468),"",ReferenceData!$BC$468),"")</f>
        <v/>
      </c>
      <c r="BD468" t="str">
        <f ca="1">IFERROR(IF(0=LEN(ReferenceData!$BD$468),"",ReferenceData!$BD$468),"")</f>
        <v/>
      </c>
      <c r="BE468" t="str">
        <f ca="1">IFERROR(IF(0=LEN(ReferenceData!$BE$468),"",ReferenceData!$BE$468),"")</f>
        <v/>
      </c>
      <c r="BF468" t="str">
        <f ca="1">IFERROR(IF(0=LEN(ReferenceData!$BF$468),"",ReferenceData!$BF$468),"")</f>
        <v/>
      </c>
      <c r="BG468" t="str">
        <f ca="1">IFERROR(IF(0=LEN(ReferenceData!$BG$468),"",ReferenceData!$BG$468),"")</f>
        <v/>
      </c>
      <c r="BH468" t="str">
        <f ca="1">IFERROR(IF(0=LEN(ReferenceData!$BH$468),"",ReferenceData!$BH$468),"")</f>
        <v/>
      </c>
      <c r="BI468" t="str">
        <f ca="1">IFERROR(IF(0=LEN(ReferenceData!$BI$468),"",ReferenceData!$BI$468),"")</f>
        <v/>
      </c>
      <c r="BJ468" t="str">
        <f ca="1">IFERROR(IF(0=LEN(ReferenceData!$BJ$468),"",ReferenceData!$BJ$468),"")</f>
        <v/>
      </c>
      <c r="BK468" t="str">
        <f ca="1">IFERROR(IF(0=LEN(ReferenceData!$BK$468),"",ReferenceData!$BK$468),"")</f>
        <v/>
      </c>
      <c r="BL468" t="str">
        <f ca="1">IFERROR(IF(0=LEN(ReferenceData!$BL$468),"",ReferenceData!$BL$468),"")</f>
        <v/>
      </c>
      <c r="BM468" t="str">
        <f ca="1">IFERROR(IF(0=LEN(ReferenceData!$BM$468),"",ReferenceData!$BM$468),"")</f>
        <v/>
      </c>
    </row>
    <row r="469" spans="1:65" x14ac:dyDescent="0.25">
      <c r="A469" t="str">
        <f>IFERROR(IF(0=LEN(ReferenceData!$A$469),"",ReferenceData!$A$469),"")</f>
        <v xml:space="preserve">    Ford Motor Co</v>
      </c>
      <c r="B469" t="str">
        <f>IFERROR(IF(0=LEN(ReferenceData!$B$469),"",ReferenceData!$B$469),"")</f>
        <v>F US Equity</v>
      </c>
      <c r="C469" t="str">
        <f>IFERROR(IF(0=LEN(ReferenceData!$C$469),"",ReferenceData!$C$469),"")</f>
        <v>RR476</v>
      </c>
      <c r="D469" t="str">
        <f>IFERROR(IF(0=LEN(ReferenceData!$D$469),"",ReferenceData!$D$469),"")</f>
        <v>EV_TO_T12M_NET_INCOME</v>
      </c>
      <c r="E469" t="str">
        <f>IFERROR(IF(0=LEN(ReferenceData!$E$469),"",ReferenceData!$E$469),"")</f>
        <v>Dynamic</v>
      </c>
      <c r="F469" t="str">
        <f ca="1">IFERROR(IF(0=LEN(ReferenceData!$F$469),"",ReferenceData!$F$469),"")</f>
        <v/>
      </c>
      <c r="G469">
        <f ca="1">IFERROR(IF(0=LEN(ReferenceData!$G$469),"",ReferenceData!$G$469),"")</f>
        <v>5.7331848760000002</v>
      </c>
      <c r="H469">
        <f ca="1">IFERROR(IF(0=LEN(ReferenceData!$H$469),"",ReferenceData!$H$469),"")</f>
        <v>4.4325370360000003</v>
      </c>
      <c r="I469">
        <f ca="1">IFERROR(IF(0=LEN(ReferenceData!$I$469),"",ReferenceData!$I$469),"")</f>
        <v>5.0403238720000001</v>
      </c>
      <c r="J469">
        <f ca="1">IFERROR(IF(0=LEN(ReferenceData!$J$469),"",ReferenceData!$J$469),"")</f>
        <v>4.1285443300000004</v>
      </c>
      <c r="K469">
        <f ca="1">IFERROR(IF(0=LEN(ReferenceData!$K$469),"",ReferenceData!$K$469),"")</f>
        <v>5.0699989890000001</v>
      </c>
      <c r="L469">
        <f ca="1">IFERROR(IF(0=LEN(ReferenceData!$L$469),"",ReferenceData!$L$469),"")</f>
        <v>8.5296216329999996</v>
      </c>
      <c r="M469">
        <f ca="1">IFERROR(IF(0=LEN(ReferenceData!$M$469),"",ReferenceData!$M$469),"")</f>
        <v>8.4905254929999998</v>
      </c>
      <c r="N469">
        <f ca="1">IFERROR(IF(0=LEN(ReferenceData!$N$469),"",ReferenceData!$N$469),"")</f>
        <v>9.2907805349999997</v>
      </c>
      <c r="O469">
        <f ca="1">IFERROR(IF(0=LEN(ReferenceData!$O$469),"",ReferenceData!$O$469),"")</f>
        <v>8.0100729269999995</v>
      </c>
      <c r="P469">
        <f ca="1">IFERROR(IF(0=LEN(ReferenceData!$P$469),"",ReferenceData!$P$469),"")</f>
        <v>5.0932434799999999</v>
      </c>
      <c r="Q469">
        <f ca="1">IFERROR(IF(0=LEN(ReferenceData!$Q$469),"",ReferenceData!$Q$469),"")</f>
        <v>4.2339822829999996</v>
      </c>
      <c r="R469">
        <f ca="1">IFERROR(IF(0=LEN(ReferenceData!$R$469),"",ReferenceData!$R$469),"")</f>
        <v>4.6320658019999996</v>
      </c>
      <c r="S469">
        <f ca="1">IFERROR(IF(0=LEN(ReferenceData!$S$469),"",ReferenceData!$S$469),"")</f>
        <v>6.145590908</v>
      </c>
      <c r="T469">
        <f ca="1">IFERROR(IF(0=LEN(ReferenceData!$T$469),"",ReferenceData!$T$469),"")</f>
        <v>11.71655414</v>
      </c>
      <c r="U469">
        <f ca="1">IFERROR(IF(0=LEN(ReferenceData!$U$469),"",ReferenceData!$U$469),"")</f>
        <v>22.232730910000001</v>
      </c>
      <c r="V469">
        <f ca="1">IFERROR(IF(0=LEN(ReferenceData!$V$469),"",ReferenceData!$V$469),"")</f>
        <v>40.289067869999997</v>
      </c>
      <c r="W469">
        <f ca="1">IFERROR(IF(0=LEN(ReferenceData!$W$469),"",ReferenceData!$W$469),"")</f>
        <v>42.330705350000002</v>
      </c>
      <c r="X469">
        <f ca="1">IFERROR(IF(0=LEN(ReferenceData!$X$469),"",ReferenceData!$X$469),"")</f>
        <v>7.6437811480000004</v>
      </c>
      <c r="Y469">
        <f ca="1">IFERROR(IF(0=LEN(ReferenceData!$Y$469),"",ReferenceData!$Y$469),"")</f>
        <v>8.2506205450000003</v>
      </c>
      <c r="Z469">
        <f ca="1">IFERROR(IF(0=LEN(ReferenceData!$Z$469),"",ReferenceData!$Z$469),"")</f>
        <v>7.8537241230000001</v>
      </c>
      <c r="AA469">
        <f ca="1">IFERROR(IF(0=LEN(ReferenceData!$AA$469),"",ReferenceData!$AA$469),"")</f>
        <v>7.1925897069999998</v>
      </c>
      <c r="AB469">
        <f ca="1">IFERROR(IF(0=LEN(ReferenceData!$AB$469),"",ReferenceData!$AB$469),"")</f>
        <v>9.6671929750000007</v>
      </c>
      <c r="AC469">
        <f ca="1">IFERROR(IF(0=LEN(ReferenceData!$AC$469),"",ReferenceData!$AC$469),"")</f>
        <v>8.2115365980000004</v>
      </c>
      <c r="AD469">
        <f ca="1">IFERROR(IF(0=LEN(ReferenceData!$AD$469),"",ReferenceData!$AD$469),"")</f>
        <v>7.3528414059999996</v>
      </c>
      <c r="AE469">
        <f ca="1">IFERROR(IF(0=LEN(ReferenceData!$AE$469),"",ReferenceData!$AE$469),"")</f>
        <v>7.050259627</v>
      </c>
      <c r="AF469">
        <f ca="1">IFERROR(IF(0=LEN(ReferenceData!$AF$469),"",ReferenceData!$AF$469),"")</f>
        <v>1.4830249559999999</v>
      </c>
      <c r="AG469">
        <f ca="1">IFERROR(IF(0=LEN(ReferenceData!$AG$469),"",ReferenceData!$AG$469),"")</f>
        <v>1.4200074030000001</v>
      </c>
      <c r="AH469">
        <f ca="1">IFERROR(IF(0=LEN(ReferenceData!$AH$469),"",ReferenceData!$AH$469),"")</f>
        <v>1.94790558</v>
      </c>
      <c r="AI469">
        <f ca="1">IFERROR(IF(0=LEN(ReferenceData!$AI$469),"",ReferenceData!$AI$469),"")</f>
        <v>1.508110887</v>
      </c>
      <c r="AJ469">
        <f ca="1">IFERROR(IF(0=LEN(ReferenceData!$AJ$469),"",ReferenceData!$AJ$469),"")</f>
        <v>4.0044149960000004</v>
      </c>
      <c r="AK469">
        <f ca="1">IFERROR(IF(0=LEN(ReferenceData!$AK$469),"",ReferenceData!$AK$469),"")</f>
        <v>6.2860589259999999</v>
      </c>
      <c r="AL469">
        <f ca="1">IFERROR(IF(0=LEN(ReferenceData!$AL$469),"",ReferenceData!$AL$469),"")</f>
        <v>7.265823191</v>
      </c>
      <c r="AM469">
        <f ca="1">IFERROR(IF(0=LEN(ReferenceData!$AM$469),"",ReferenceData!$AM$469),"")</f>
        <v>9.2714093280000007</v>
      </c>
      <c r="AN469">
        <f ca="1">IFERROR(IF(0=LEN(ReferenceData!$AN$469),"",ReferenceData!$AN$469),"")</f>
        <v>5.9128149990000001</v>
      </c>
      <c r="AO469">
        <f ca="1">IFERROR(IF(0=LEN(ReferenceData!$AO$469),"",ReferenceData!$AO$469),"")</f>
        <v>5.706157557</v>
      </c>
      <c r="AP469">
        <f ca="1">IFERROR(IF(0=LEN(ReferenceData!$AP$469),"",ReferenceData!$AP$469),"")</f>
        <v>8.3187862559999992</v>
      </c>
      <c r="AQ469">
        <f ca="1">IFERROR(IF(0=LEN(ReferenceData!$AQ$469),"",ReferenceData!$AQ$469),"")</f>
        <v>14.79265985</v>
      </c>
      <c r="AR469" t="str">
        <f ca="1">IFERROR(IF(0=LEN(ReferenceData!$AR$469),"",ReferenceData!$AR$469),"")</f>
        <v/>
      </c>
      <c r="AS469" t="str">
        <f ca="1">IFERROR(IF(0=LEN(ReferenceData!$AS$469),"",ReferenceData!$AS$469),"")</f>
        <v/>
      </c>
      <c r="AT469" t="str">
        <f ca="1">IFERROR(IF(0=LEN(ReferenceData!$AT$469),"",ReferenceData!$AT$469),"")</f>
        <v/>
      </c>
      <c r="AU469" t="str">
        <f ca="1">IFERROR(IF(0=LEN(ReferenceData!$AU$469),"",ReferenceData!$AU$469),"")</f>
        <v/>
      </c>
      <c r="AV469" t="str">
        <f ca="1">IFERROR(IF(0=LEN(ReferenceData!$AV$469),"",ReferenceData!$AV$469),"")</f>
        <v/>
      </c>
      <c r="AW469" t="str">
        <f ca="1">IFERROR(IF(0=LEN(ReferenceData!$AW$469),"",ReferenceData!$AW$469),"")</f>
        <v/>
      </c>
      <c r="AX469" t="str">
        <f ca="1">IFERROR(IF(0=LEN(ReferenceData!$AX$469),"",ReferenceData!$AX$469),"")</f>
        <v/>
      </c>
      <c r="AY469" t="str">
        <f ca="1">IFERROR(IF(0=LEN(ReferenceData!$AY$469),"",ReferenceData!$AY$469),"")</f>
        <v/>
      </c>
      <c r="AZ469" t="str">
        <f ca="1">IFERROR(IF(0=LEN(ReferenceData!$AZ$469),"",ReferenceData!$AZ$469),"")</f>
        <v/>
      </c>
      <c r="BA469" t="str">
        <f ca="1">IFERROR(IF(0=LEN(ReferenceData!$BA$469),"",ReferenceData!$BA$469),"")</f>
        <v/>
      </c>
      <c r="BB469" t="str">
        <f ca="1">IFERROR(IF(0=LEN(ReferenceData!$BB$469),"",ReferenceData!$BB$469),"")</f>
        <v/>
      </c>
      <c r="BC469" t="str">
        <f ca="1">IFERROR(IF(0=LEN(ReferenceData!$BC$469),"",ReferenceData!$BC$469),"")</f>
        <v/>
      </c>
      <c r="BD469" t="str">
        <f ca="1">IFERROR(IF(0=LEN(ReferenceData!$BD$469),"",ReferenceData!$BD$469),"")</f>
        <v/>
      </c>
      <c r="BE469" t="str">
        <f ca="1">IFERROR(IF(0=LEN(ReferenceData!$BE$469),"",ReferenceData!$BE$469),"")</f>
        <v/>
      </c>
      <c r="BF469" t="str">
        <f ca="1">IFERROR(IF(0=LEN(ReferenceData!$BF$469),"",ReferenceData!$BF$469),"")</f>
        <v/>
      </c>
      <c r="BG469">
        <f ca="1">IFERROR(IF(0=LEN(ReferenceData!$BG$469),"",ReferenceData!$BG$469),"")</f>
        <v>91.256020669999998</v>
      </c>
      <c r="BH469">
        <f ca="1">IFERROR(IF(0=LEN(ReferenceData!$BH$469),"",ReferenceData!$BH$469),"")</f>
        <v>91.71167638</v>
      </c>
      <c r="BI469">
        <f ca="1">IFERROR(IF(0=LEN(ReferenceData!$BI$469),"",ReferenceData!$BI$469),"")</f>
        <v>63.32324577</v>
      </c>
      <c r="BJ469">
        <f ca="1">IFERROR(IF(0=LEN(ReferenceData!$BJ$469),"",ReferenceData!$BJ$469),"")</f>
        <v>61.674771229999998</v>
      </c>
      <c r="BK469">
        <f ca="1">IFERROR(IF(0=LEN(ReferenceData!$BK$469),"",ReferenceData!$BK$469),"")</f>
        <v>45.650525399999999</v>
      </c>
      <c r="BL469">
        <f ca="1">IFERROR(IF(0=LEN(ReferenceData!$BL$469),"",ReferenceData!$BL$469),"")</f>
        <v>62.623873959999997</v>
      </c>
      <c r="BM469">
        <f ca="1">IFERROR(IF(0=LEN(ReferenceData!$BM$469),"",ReferenceData!$BM$469),"")</f>
        <v>71.276282050000006</v>
      </c>
    </row>
    <row r="470" spans="1:65" x14ac:dyDescent="0.25">
      <c r="A470" t="str">
        <f>IFERROR(IF(0=LEN(ReferenceData!$A$470),"",ReferenceData!$A$470),"")</f>
        <v xml:space="preserve">    Ford Otomotiv Sanayi AS</v>
      </c>
      <c r="B470" t="str">
        <f>IFERROR(IF(0=LEN(ReferenceData!$B$470),"",ReferenceData!$B$470),"")</f>
        <v>FROTOTRY EO Equity</v>
      </c>
      <c r="C470" t="str">
        <f>IFERROR(IF(0=LEN(ReferenceData!$C$470),"",ReferenceData!$C$470),"")</f>
        <v>RR476</v>
      </c>
      <c r="D470" t="str">
        <f>IFERROR(IF(0=LEN(ReferenceData!$D$470),"",ReferenceData!$D$470),"")</f>
        <v>EV_TO_T12M_NET_INCOME</v>
      </c>
      <c r="E470" t="str">
        <f>IFERROR(IF(0=LEN(ReferenceData!$E$470),"",ReferenceData!$E$470),"")</f>
        <v>Dynamic</v>
      </c>
      <c r="F470" t="str">
        <f ca="1">IFERROR(IF(0=LEN(ReferenceData!$F$470),"",ReferenceData!$F$470),"")</f>
        <v/>
      </c>
      <c r="G470">
        <f ca="1">IFERROR(IF(0=LEN(ReferenceData!$G$470),"",ReferenceData!$G$470),"")</f>
        <v>12.259739789999999</v>
      </c>
      <c r="H470">
        <f ca="1">IFERROR(IF(0=LEN(ReferenceData!$H$470),"",ReferenceData!$H$470),"")</f>
        <v>15.18019198</v>
      </c>
      <c r="I470">
        <f ca="1">IFERROR(IF(0=LEN(ReferenceData!$I$470),"",ReferenceData!$I$470),"")</f>
        <v>13.67274355</v>
      </c>
      <c r="J470">
        <f ca="1">IFERROR(IF(0=LEN(ReferenceData!$J$470),"",ReferenceData!$J$470),"")</f>
        <v>14.477182450000001</v>
      </c>
      <c r="K470">
        <f ca="1">IFERROR(IF(0=LEN(ReferenceData!$K$470),"",ReferenceData!$K$470),"")</f>
        <v>15.39643687</v>
      </c>
      <c r="L470">
        <f ca="1">IFERROR(IF(0=LEN(ReferenceData!$L$470),"",ReferenceData!$L$470),"")</f>
        <v>13.90233445</v>
      </c>
      <c r="M470">
        <f ca="1">IFERROR(IF(0=LEN(ReferenceData!$M$470),"",ReferenceData!$M$470),"")</f>
        <v>15.03308182</v>
      </c>
      <c r="N470">
        <f ca="1">IFERROR(IF(0=LEN(ReferenceData!$N$470),"",ReferenceData!$N$470),"")</f>
        <v>13.85894631</v>
      </c>
      <c r="O470">
        <f ca="1">IFERROR(IF(0=LEN(ReferenceData!$O$470),"",ReferenceData!$O$470),"")</f>
        <v>12.97375302</v>
      </c>
      <c r="P470">
        <f ca="1">IFERROR(IF(0=LEN(ReferenceData!$P$470),"",ReferenceData!$P$470),"")</f>
        <v>14.27881277</v>
      </c>
      <c r="Q470">
        <f ca="1">IFERROR(IF(0=LEN(ReferenceData!$Q$470),"",ReferenceData!$Q$470),"")</f>
        <v>14.250828690000001</v>
      </c>
      <c r="R470">
        <f ca="1">IFERROR(IF(0=LEN(ReferenceData!$R$470),"",ReferenceData!$R$470),"")</f>
        <v>18.307973820000001</v>
      </c>
      <c r="S470">
        <f ca="1">IFERROR(IF(0=LEN(ReferenceData!$S$470),"",ReferenceData!$S$470),"")</f>
        <v>14.4979271</v>
      </c>
      <c r="T470">
        <f ca="1">IFERROR(IF(0=LEN(ReferenceData!$T$470),"",ReferenceData!$T$470),"")</f>
        <v>20.017057950000002</v>
      </c>
      <c r="U470">
        <f ca="1">IFERROR(IF(0=LEN(ReferenceData!$U$470),"",ReferenceData!$U$470),"")</f>
        <v>23.181260160000001</v>
      </c>
      <c r="V470">
        <f ca="1">IFERROR(IF(0=LEN(ReferenceData!$V$470),"",ReferenceData!$V$470),"")</f>
        <v>22.114483190000001</v>
      </c>
      <c r="W470">
        <f ca="1">IFERROR(IF(0=LEN(ReferenceData!$W$470),"",ReferenceData!$W$470),"")</f>
        <v>22.181245740000001</v>
      </c>
      <c r="X470">
        <f ca="1">IFERROR(IF(0=LEN(ReferenceData!$X$470),"",ReferenceData!$X$470),"")</f>
        <v>18.834878710000002</v>
      </c>
      <c r="Y470">
        <f ca="1">IFERROR(IF(0=LEN(ReferenceData!$Y$470),"",ReferenceData!$Y$470),"")</f>
        <v>20.007572020000001</v>
      </c>
      <c r="Z470">
        <f ca="1">IFERROR(IF(0=LEN(ReferenceData!$Z$470),"",ReferenceData!$Z$470),"")</f>
        <v>14.6326704</v>
      </c>
      <c r="AA470">
        <f ca="1">IFERROR(IF(0=LEN(ReferenceData!$AA$470),"",ReferenceData!$AA$470),"")</f>
        <v>15.60631648</v>
      </c>
      <c r="AB470">
        <f ca="1">IFERROR(IF(0=LEN(ReferenceData!$AB$470),"",ReferenceData!$AB$470),"")</f>
        <v>15.69825867</v>
      </c>
      <c r="AC470">
        <f ca="1">IFERROR(IF(0=LEN(ReferenceData!$AC$470),"",ReferenceData!$AC$470),"")</f>
        <v>13.43561717</v>
      </c>
      <c r="AD470">
        <f ca="1">IFERROR(IF(0=LEN(ReferenceData!$AD$470),"",ReferenceData!$AD$470),"")</f>
        <v>14.41828027</v>
      </c>
      <c r="AE470">
        <f ca="1">IFERROR(IF(0=LEN(ReferenceData!$AE$470),"",ReferenceData!$AE$470),"")</f>
        <v>12.363067239999999</v>
      </c>
      <c r="AF470">
        <f ca="1">IFERROR(IF(0=LEN(ReferenceData!$AF$470),"",ReferenceData!$AF$470),"")</f>
        <v>11.24507099</v>
      </c>
      <c r="AG470">
        <f ca="1">IFERROR(IF(0=LEN(ReferenceData!$AG$470),"",ReferenceData!$AG$470),"")</f>
        <v>9.1691481350000004</v>
      </c>
      <c r="AH470">
        <f ca="1">IFERROR(IF(0=LEN(ReferenceData!$AH$470),"",ReferenceData!$AH$470),"")</f>
        <v>8.6505891360000007</v>
      </c>
      <c r="AI470">
        <f ca="1">IFERROR(IF(0=LEN(ReferenceData!$AI$470),"",ReferenceData!$AI$470),"")</f>
        <v>8.2118358360000006</v>
      </c>
      <c r="AJ470">
        <f ca="1">IFERROR(IF(0=LEN(ReferenceData!$AJ$470),"",ReferenceData!$AJ$470),"")</f>
        <v>6.3898754719999999</v>
      </c>
      <c r="AK470">
        <f ca="1">IFERROR(IF(0=LEN(ReferenceData!$AK$470),"",ReferenceData!$AK$470),"")</f>
        <v>7.4830613609999999</v>
      </c>
      <c r="AL470">
        <f ca="1">IFERROR(IF(0=LEN(ReferenceData!$AL$470),"",ReferenceData!$AL$470),"")</f>
        <v>8.4567561859999998</v>
      </c>
      <c r="AM470">
        <f ca="1">IFERROR(IF(0=LEN(ReferenceData!$AM$470),"",ReferenceData!$AM$470),"")</f>
        <v>9.0899612449999996</v>
      </c>
      <c r="AN470">
        <f ca="1">IFERROR(IF(0=LEN(ReferenceData!$AN$470),"",ReferenceData!$AN$470),"")</f>
        <v>9.608339398</v>
      </c>
      <c r="AO470">
        <f ca="1">IFERROR(IF(0=LEN(ReferenceData!$AO$470),"",ReferenceData!$AO$470),"")</f>
        <v>8.6903100240000004</v>
      </c>
      <c r="AP470">
        <f ca="1">IFERROR(IF(0=LEN(ReferenceData!$AP$470),"",ReferenceData!$AP$470),"")</f>
        <v>10.010989370000001</v>
      </c>
      <c r="AQ470">
        <f ca="1">IFERROR(IF(0=LEN(ReferenceData!$AQ$470),"",ReferenceData!$AQ$470),"")</f>
        <v>9.5717703390000004</v>
      </c>
      <c r="AR470">
        <f ca="1">IFERROR(IF(0=LEN(ReferenceData!$AR$470),"",ReferenceData!$AR$470),"")</f>
        <v>12.10361838</v>
      </c>
      <c r="AS470">
        <f ca="1">IFERROR(IF(0=LEN(ReferenceData!$AS$470),"",ReferenceData!$AS$470),"")</f>
        <v>7.7212568560000001</v>
      </c>
      <c r="AT470">
        <f ca="1">IFERROR(IF(0=LEN(ReferenceData!$AT$470),"",ReferenceData!$AT$470),"")</f>
        <v>4.7989197240000001</v>
      </c>
      <c r="AU470">
        <f ca="1">IFERROR(IF(0=LEN(ReferenceData!$AU$470),"",ReferenceData!$AU$470),"")</f>
        <v>3.7770766409999998</v>
      </c>
      <c r="AV470">
        <f ca="1">IFERROR(IF(0=LEN(ReferenceData!$AV$470),"",ReferenceData!$AV$470),"")</f>
        <v>4.1172138589999996</v>
      </c>
      <c r="AW470">
        <f ca="1">IFERROR(IF(0=LEN(ReferenceData!$AW$470),"",ReferenceData!$AW$470),"")</f>
        <v>5.701336145</v>
      </c>
      <c r="AX470">
        <f ca="1">IFERROR(IF(0=LEN(ReferenceData!$AX$470),"",ReferenceData!$AX$470),"")</f>
        <v>6.2863530860000001</v>
      </c>
      <c r="AY470">
        <f ca="1">IFERROR(IF(0=LEN(ReferenceData!$AY$470),"",ReferenceData!$AY$470),"")</f>
        <v>8.8837815950000003</v>
      </c>
      <c r="AZ470">
        <f ca="1">IFERROR(IF(0=LEN(ReferenceData!$AZ$470),"",ReferenceData!$AZ$470),"")</f>
        <v>8.8293622640000002</v>
      </c>
      <c r="BA470">
        <f ca="1">IFERROR(IF(0=LEN(ReferenceData!$BA$470),"",ReferenceData!$BA$470),"")</f>
        <v>9.4898723549999993</v>
      </c>
      <c r="BB470">
        <f ca="1">IFERROR(IF(0=LEN(ReferenceData!$BB$470),"",ReferenceData!$BB$470),"")</f>
        <v>9.1027235070000003</v>
      </c>
      <c r="BC470">
        <f ca="1">IFERROR(IF(0=LEN(ReferenceData!$BC$470),"",ReferenceData!$BC$470),"")</f>
        <v>8.4661240029999991</v>
      </c>
      <c r="BD470">
        <f ca="1">IFERROR(IF(0=LEN(ReferenceData!$BD$470),"",ReferenceData!$BD$470),"")</f>
        <v>8.6759044569999997</v>
      </c>
      <c r="BE470">
        <f ca="1">IFERROR(IF(0=LEN(ReferenceData!$BE$470),"",ReferenceData!$BE$470),"")</f>
        <v>8.3667713979999991</v>
      </c>
      <c r="BF470">
        <f ca="1">IFERROR(IF(0=LEN(ReferenceData!$BF$470),"",ReferenceData!$BF$470),"")</f>
        <v>9.991870552</v>
      </c>
      <c r="BG470">
        <f ca="1">IFERROR(IF(0=LEN(ReferenceData!$BG$470),"",ReferenceData!$BG$470),"")</f>
        <v>10.639217479999999</v>
      </c>
      <c r="BH470">
        <f ca="1">IFERROR(IF(0=LEN(ReferenceData!$BH$470),"",ReferenceData!$BH$470),"")</f>
        <v>9.6410967979999995</v>
      </c>
      <c r="BI470">
        <f ca="1">IFERROR(IF(0=LEN(ReferenceData!$BI$470),"",ReferenceData!$BI$470),"")</f>
        <v>9.5901068739999999</v>
      </c>
      <c r="BJ470">
        <f ca="1">IFERROR(IF(0=LEN(ReferenceData!$BJ$470),"",ReferenceData!$BJ$470),"")</f>
        <v>9.4298856499999992</v>
      </c>
      <c r="BK470">
        <f ca="1">IFERROR(IF(0=LEN(ReferenceData!$BK$470),"",ReferenceData!$BK$470),"")</f>
        <v>7.0084141879999997</v>
      </c>
      <c r="BL470">
        <f ca="1">IFERROR(IF(0=LEN(ReferenceData!$BL$470),"",ReferenceData!$BL$470),"")</f>
        <v>7.053347574</v>
      </c>
      <c r="BM470">
        <f ca="1">IFERROR(IF(0=LEN(ReferenceData!$BM$470),"",ReferenceData!$BM$470),"")</f>
        <v>6.7081246859999997</v>
      </c>
    </row>
    <row r="471" spans="1:65" x14ac:dyDescent="0.25">
      <c r="A471" t="str">
        <f>IFERROR(IF(0=LEN(ReferenceData!$A$471),"",ReferenceData!$A$471),"")</f>
        <v xml:space="preserve">    GAZ PJSC</v>
      </c>
      <c r="B471" t="str">
        <f>IFERROR(IF(0=LEN(ReferenceData!$B$471),"",ReferenceData!$B$471),"")</f>
        <v>GAZA RM Equity</v>
      </c>
      <c r="C471" t="str">
        <f>IFERROR(IF(0=LEN(ReferenceData!$C$471),"",ReferenceData!$C$471),"")</f>
        <v>RR476</v>
      </c>
      <c r="D471" t="str">
        <f>IFERROR(IF(0=LEN(ReferenceData!$D$471),"",ReferenceData!$D$471),"")</f>
        <v>EV_TO_T12M_NET_INCOME</v>
      </c>
      <c r="E471" t="str">
        <f>IFERROR(IF(0=LEN(ReferenceData!$E$471),"",ReferenceData!$E$471),"")</f>
        <v>Dynamic</v>
      </c>
      <c r="F471" t="str">
        <f ca="1">IFERROR(IF(0=LEN(ReferenceData!$F$471),"",ReferenceData!$F$471),"")</f>
        <v/>
      </c>
      <c r="G471" t="str">
        <f ca="1">IFERROR(IF(0=LEN(ReferenceData!$G$471),"",ReferenceData!$G$471),"")</f>
        <v/>
      </c>
      <c r="H471" t="str">
        <f ca="1">IFERROR(IF(0=LEN(ReferenceData!$H$471),"",ReferenceData!$H$471),"")</f>
        <v/>
      </c>
      <c r="I471" t="str">
        <f ca="1">IFERROR(IF(0=LEN(ReferenceData!$I$471),"",ReferenceData!$I$471),"")</f>
        <v/>
      </c>
      <c r="J471" t="str">
        <f ca="1">IFERROR(IF(0=LEN(ReferenceData!$J$471),"",ReferenceData!$J$471),"")</f>
        <v/>
      </c>
      <c r="K471" t="str">
        <f ca="1">IFERROR(IF(0=LEN(ReferenceData!$K$471),"",ReferenceData!$K$471),"")</f>
        <v/>
      </c>
      <c r="L471" t="str">
        <f ca="1">IFERROR(IF(0=LEN(ReferenceData!$L$471),"",ReferenceData!$L$471),"")</f>
        <v/>
      </c>
      <c r="M471" t="str">
        <f ca="1">IFERROR(IF(0=LEN(ReferenceData!$M$471),"",ReferenceData!$M$471),"")</f>
        <v/>
      </c>
      <c r="N471" t="str">
        <f ca="1">IFERROR(IF(0=LEN(ReferenceData!$N$471),"",ReferenceData!$N$471),"")</f>
        <v/>
      </c>
      <c r="O471" t="str">
        <f ca="1">IFERROR(IF(0=LEN(ReferenceData!$O$471),"",ReferenceData!$O$471),"")</f>
        <v/>
      </c>
      <c r="P471" t="str">
        <f ca="1">IFERROR(IF(0=LEN(ReferenceData!$P$471),"",ReferenceData!$P$471),"")</f>
        <v/>
      </c>
      <c r="Q471" t="str">
        <f ca="1">IFERROR(IF(0=LEN(ReferenceData!$Q$471),"",ReferenceData!$Q$471),"")</f>
        <v/>
      </c>
      <c r="R471" t="str">
        <f ca="1">IFERROR(IF(0=LEN(ReferenceData!$R$471),"",ReferenceData!$R$471),"")</f>
        <v/>
      </c>
      <c r="S471" t="str">
        <f ca="1">IFERROR(IF(0=LEN(ReferenceData!$S$471),"",ReferenceData!$S$471),"")</f>
        <v/>
      </c>
      <c r="T471" t="str">
        <f ca="1">IFERROR(IF(0=LEN(ReferenceData!$T$471),"",ReferenceData!$T$471),"")</f>
        <v/>
      </c>
      <c r="U471" t="str">
        <f ca="1">IFERROR(IF(0=LEN(ReferenceData!$U$471),"",ReferenceData!$U$471),"")</f>
        <v/>
      </c>
      <c r="V471" t="str">
        <f ca="1">IFERROR(IF(0=LEN(ReferenceData!$V$471),"",ReferenceData!$V$471),"")</f>
        <v/>
      </c>
      <c r="W471" t="str">
        <f ca="1">IFERROR(IF(0=LEN(ReferenceData!$W$471),"",ReferenceData!$W$471),"")</f>
        <v/>
      </c>
      <c r="X471" t="str">
        <f ca="1">IFERROR(IF(0=LEN(ReferenceData!$X$471),"",ReferenceData!$X$471),"")</f>
        <v/>
      </c>
      <c r="Y471" t="str">
        <f ca="1">IFERROR(IF(0=LEN(ReferenceData!$Y$471),"",ReferenceData!$Y$471),"")</f>
        <v/>
      </c>
      <c r="Z471" t="str">
        <f ca="1">IFERROR(IF(0=LEN(ReferenceData!$Z$471),"",ReferenceData!$Z$471),"")</f>
        <v/>
      </c>
      <c r="AA471" t="str">
        <f ca="1">IFERROR(IF(0=LEN(ReferenceData!$AA$471),"",ReferenceData!$AA$471),"")</f>
        <v/>
      </c>
      <c r="AB471" t="str">
        <f ca="1">IFERROR(IF(0=LEN(ReferenceData!$AB$471),"",ReferenceData!$AB$471),"")</f>
        <v/>
      </c>
      <c r="AC471" t="str">
        <f ca="1">IFERROR(IF(0=LEN(ReferenceData!$AC$471),"",ReferenceData!$AC$471),"")</f>
        <v/>
      </c>
      <c r="AD471" t="str">
        <f ca="1">IFERROR(IF(0=LEN(ReferenceData!$AD$471),"",ReferenceData!$AD$471),"")</f>
        <v/>
      </c>
      <c r="AE471" t="str">
        <f ca="1">IFERROR(IF(0=LEN(ReferenceData!$AE$471),"",ReferenceData!$AE$471),"")</f>
        <v/>
      </c>
      <c r="AF471" t="str">
        <f ca="1">IFERROR(IF(0=LEN(ReferenceData!$AF$471),"",ReferenceData!$AF$471),"")</f>
        <v/>
      </c>
      <c r="AG471" t="str">
        <f ca="1">IFERROR(IF(0=LEN(ReferenceData!$AG$471),"",ReferenceData!$AG$471),"")</f>
        <v/>
      </c>
      <c r="AH471" t="str">
        <f ca="1">IFERROR(IF(0=LEN(ReferenceData!$AH$471),"",ReferenceData!$AH$471),"")</f>
        <v/>
      </c>
      <c r="AI471" t="str">
        <f ca="1">IFERROR(IF(0=LEN(ReferenceData!$AI$471),"",ReferenceData!$AI$471),"")</f>
        <v/>
      </c>
      <c r="AJ471" t="str">
        <f ca="1">IFERROR(IF(0=LEN(ReferenceData!$AJ$471),"",ReferenceData!$AJ$471),"")</f>
        <v/>
      </c>
      <c r="AK471" t="str">
        <f ca="1">IFERROR(IF(0=LEN(ReferenceData!$AK$471),"",ReferenceData!$AK$471),"")</f>
        <v/>
      </c>
      <c r="AL471" t="str">
        <f ca="1">IFERROR(IF(0=LEN(ReferenceData!$AL$471),"",ReferenceData!$AL$471),"")</f>
        <v/>
      </c>
      <c r="AM471" t="str">
        <f ca="1">IFERROR(IF(0=LEN(ReferenceData!$AM$471),"",ReferenceData!$AM$471),"")</f>
        <v/>
      </c>
      <c r="AN471" t="str">
        <f ca="1">IFERROR(IF(0=LEN(ReferenceData!$AN$471),"",ReferenceData!$AN$471),"")</f>
        <v/>
      </c>
      <c r="AO471" t="str">
        <f ca="1">IFERROR(IF(0=LEN(ReferenceData!$AO$471),"",ReferenceData!$AO$471),"")</f>
        <v/>
      </c>
      <c r="AP471" t="str">
        <f ca="1">IFERROR(IF(0=LEN(ReferenceData!$AP$471),"",ReferenceData!$AP$471),"")</f>
        <v/>
      </c>
      <c r="AQ471" t="str">
        <f ca="1">IFERROR(IF(0=LEN(ReferenceData!$AQ$471),"",ReferenceData!$AQ$471),"")</f>
        <v/>
      </c>
      <c r="AR471" t="str">
        <f ca="1">IFERROR(IF(0=LEN(ReferenceData!$AR$471),"",ReferenceData!$AR$471),"")</f>
        <v/>
      </c>
      <c r="AS471" t="str">
        <f ca="1">IFERROR(IF(0=LEN(ReferenceData!$AS$471),"",ReferenceData!$AS$471),"")</f>
        <v/>
      </c>
      <c r="AT471" t="str">
        <f ca="1">IFERROR(IF(0=LEN(ReferenceData!$AT$471),"",ReferenceData!$AT$471),"")</f>
        <v/>
      </c>
      <c r="AU471" t="str">
        <f ca="1">IFERROR(IF(0=LEN(ReferenceData!$AU$471),"",ReferenceData!$AU$471),"")</f>
        <v/>
      </c>
      <c r="AV471" t="str">
        <f ca="1">IFERROR(IF(0=LEN(ReferenceData!$AV$471),"",ReferenceData!$AV$471),"")</f>
        <v/>
      </c>
      <c r="AW471" t="str">
        <f ca="1">IFERROR(IF(0=LEN(ReferenceData!$AW$471),"",ReferenceData!$AW$471),"")</f>
        <v/>
      </c>
      <c r="AX471" t="str">
        <f ca="1">IFERROR(IF(0=LEN(ReferenceData!$AX$471),"",ReferenceData!$AX$471),"")</f>
        <v/>
      </c>
      <c r="AY471" t="str">
        <f ca="1">IFERROR(IF(0=LEN(ReferenceData!$AY$471),"",ReferenceData!$AY$471),"")</f>
        <v/>
      </c>
      <c r="AZ471" t="str">
        <f ca="1">IFERROR(IF(0=LEN(ReferenceData!$AZ$471),"",ReferenceData!$AZ$471),"")</f>
        <v/>
      </c>
      <c r="BA471" t="str">
        <f ca="1">IFERROR(IF(0=LEN(ReferenceData!$BA$471),"",ReferenceData!$BA$471),"")</f>
        <v/>
      </c>
      <c r="BB471" t="str">
        <f ca="1">IFERROR(IF(0=LEN(ReferenceData!$BB$471),"",ReferenceData!$BB$471),"")</f>
        <v/>
      </c>
      <c r="BC471" t="str">
        <f ca="1">IFERROR(IF(0=LEN(ReferenceData!$BC$471),"",ReferenceData!$BC$471),"")</f>
        <v/>
      </c>
      <c r="BD471" t="str">
        <f ca="1">IFERROR(IF(0=LEN(ReferenceData!$BD$471),"",ReferenceData!$BD$471),"")</f>
        <v/>
      </c>
      <c r="BE471" t="str">
        <f ca="1">IFERROR(IF(0=LEN(ReferenceData!$BE$471),"",ReferenceData!$BE$471),"")</f>
        <v/>
      </c>
      <c r="BF471" t="str">
        <f ca="1">IFERROR(IF(0=LEN(ReferenceData!$BF$471),"",ReferenceData!$BF$471),"")</f>
        <v/>
      </c>
      <c r="BG471" t="str">
        <f ca="1">IFERROR(IF(0=LEN(ReferenceData!$BG$471),"",ReferenceData!$BG$471),"")</f>
        <v/>
      </c>
      <c r="BH471" t="str">
        <f ca="1">IFERROR(IF(0=LEN(ReferenceData!$BH$471),"",ReferenceData!$BH$471),"")</f>
        <v/>
      </c>
      <c r="BI471" t="str">
        <f ca="1">IFERROR(IF(0=LEN(ReferenceData!$BI$471),"",ReferenceData!$BI$471),"")</f>
        <v/>
      </c>
      <c r="BJ471" t="str">
        <f ca="1">IFERROR(IF(0=LEN(ReferenceData!$BJ$471),"",ReferenceData!$BJ$471),"")</f>
        <v/>
      </c>
      <c r="BK471" t="str">
        <f ca="1">IFERROR(IF(0=LEN(ReferenceData!$BK$471),"",ReferenceData!$BK$471),"")</f>
        <v/>
      </c>
      <c r="BL471" t="str">
        <f ca="1">IFERROR(IF(0=LEN(ReferenceData!$BL$471),"",ReferenceData!$BL$471),"")</f>
        <v/>
      </c>
      <c r="BM471" t="str">
        <f ca="1">IFERROR(IF(0=LEN(ReferenceData!$BM$471),"",ReferenceData!$BM$471),"")</f>
        <v/>
      </c>
    </row>
    <row r="472" spans="1:65" x14ac:dyDescent="0.25">
      <c r="A472" t="str">
        <f>IFERROR(IF(0=LEN(ReferenceData!$A$472),"",ReferenceData!$A$472),"")</f>
        <v xml:space="preserve">    Geely Automobile Holdings Ltd</v>
      </c>
      <c r="B472" t="str">
        <f>IFERROR(IF(0=LEN(ReferenceData!$B$472),"",ReferenceData!$B$472),"")</f>
        <v>175 HK Equity</v>
      </c>
      <c r="C472" t="str">
        <f>IFERROR(IF(0=LEN(ReferenceData!$C$472),"",ReferenceData!$C$472),"")</f>
        <v>RR476</v>
      </c>
      <c r="D472" t="str">
        <f>IFERROR(IF(0=LEN(ReferenceData!$D$472),"",ReferenceData!$D$472),"")</f>
        <v>EV_TO_T12M_NET_INCOME</v>
      </c>
      <c r="E472" t="str">
        <f>IFERROR(IF(0=LEN(ReferenceData!$E$472),"",ReferenceData!$E$472),"")</f>
        <v>Dynamic</v>
      </c>
      <c r="F472" t="str">
        <f ca="1">IFERROR(IF(0=LEN(ReferenceData!$F$472),"",ReferenceData!$F$472),"")</f>
        <v/>
      </c>
      <c r="G472" t="str">
        <f ca="1">IFERROR(IF(0=LEN(ReferenceData!$G$472),"",ReferenceData!$G$472),"")</f>
        <v/>
      </c>
      <c r="H472" t="str">
        <f ca="1">IFERROR(IF(0=LEN(ReferenceData!$H$472),"",ReferenceData!$H$472),"")</f>
        <v/>
      </c>
      <c r="I472" t="str">
        <f ca="1">IFERROR(IF(0=LEN(ReferenceData!$I$472),"",ReferenceData!$I$472),"")</f>
        <v/>
      </c>
      <c r="J472" t="str">
        <f ca="1">IFERROR(IF(0=LEN(ReferenceData!$J$472),"",ReferenceData!$J$472),"")</f>
        <v/>
      </c>
      <c r="K472" t="str">
        <f ca="1">IFERROR(IF(0=LEN(ReferenceData!$K$472),"",ReferenceData!$K$472),"")</f>
        <v/>
      </c>
      <c r="L472" t="str">
        <f ca="1">IFERROR(IF(0=LEN(ReferenceData!$L$472),"",ReferenceData!$L$472),"")</f>
        <v/>
      </c>
      <c r="M472" t="str">
        <f ca="1">IFERROR(IF(0=LEN(ReferenceData!$M$472),"",ReferenceData!$M$472),"")</f>
        <v/>
      </c>
      <c r="N472" t="str">
        <f ca="1">IFERROR(IF(0=LEN(ReferenceData!$N$472),"",ReferenceData!$N$472),"")</f>
        <v/>
      </c>
      <c r="O472" t="str">
        <f ca="1">IFERROR(IF(0=LEN(ReferenceData!$O$472),"",ReferenceData!$O$472),"")</f>
        <v/>
      </c>
      <c r="P472" t="str">
        <f ca="1">IFERROR(IF(0=LEN(ReferenceData!$P$472),"",ReferenceData!$P$472),"")</f>
        <v/>
      </c>
      <c r="Q472" t="str">
        <f ca="1">IFERROR(IF(0=LEN(ReferenceData!$Q$472),"",ReferenceData!$Q$472),"")</f>
        <v/>
      </c>
      <c r="R472" t="str">
        <f ca="1">IFERROR(IF(0=LEN(ReferenceData!$R$472),"",ReferenceData!$R$472),"")</f>
        <v/>
      </c>
      <c r="S472" t="str">
        <f ca="1">IFERROR(IF(0=LEN(ReferenceData!$S$472),"",ReferenceData!$S$472),"")</f>
        <v/>
      </c>
      <c r="T472" t="str">
        <f ca="1">IFERROR(IF(0=LEN(ReferenceData!$T$472),"",ReferenceData!$T$472),"")</f>
        <v/>
      </c>
      <c r="U472" t="str">
        <f ca="1">IFERROR(IF(0=LEN(ReferenceData!$U$472),"",ReferenceData!$U$472),"")</f>
        <v/>
      </c>
      <c r="V472" t="str">
        <f ca="1">IFERROR(IF(0=LEN(ReferenceData!$V$472),"",ReferenceData!$V$472),"")</f>
        <v/>
      </c>
      <c r="W472" t="str">
        <f ca="1">IFERROR(IF(0=LEN(ReferenceData!$W$472),"",ReferenceData!$W$472),"")</f>
        <v/>
      </c>
      <c r="X472" t="str">
        <f ca="1">IFERROR(IF(0=LEN(ReferenceData!$X$472),"",ReferenceData!$X$472),"")</f>
        <v/>
      </c>
      <c r="Y472" t="str">
        <f ca="1">IFERROR(IF(0=LEN(ReferenceData!$Y$472),"",ReferenceData!$Y$472),"")</f>
        <v/>
      </c>
      <c r="Z472" t="str">
        <f ca="1">IFERROR(IF(0=LEN(ReferenceData!$Z$472),"",ReferenceData!$Z$472),"")</f>
        <v/>
      </c>
      <c r="AA472" t="str">
        <f ca="1">IFERROR(IF(0=LEN(ReferenceData!$AA$472),"",ReferenceData!$AA$472),"")</f>
        <v/>
      </c>
      <c r="AB472" t="str">
        <f ca="1">IFERROR(IF(0=LEN(ReferenceData!$AB$472),"",ReferenceData!$AB$472),"")</f>
        <v/>
      </c>
      <c r="AC472" t="str">
        <f ca="1">IFERROR(IF(0=LEN(ReferenceData!$AC$472),"",ReferenceData!$AC$472),"")</f>
        <v/>
      </c>
      <c r="AD472" t="str">
        <f ca="1">IFERROR(IF(0=LEN(ReferenceData!$AD$472),"",ReferenceData!$AD$472),"")</f>
        <v/>
      </c>
      <c r="AE472" t="str">
        <f ca="1">IFERROR(IF(0=LEN(ReferenceData!$AE$472),"",ReferenceData!$AE$472),"")</f>
        <v/>
      </c>
      <c r="AF472" t="str">
        <f ca="1">IFERROR(IF(0=LEN(ReferenceData!$AF$472),"",ReferenceData!$AF$472),"")</f>
        <v/>
      </c>
      <c r="AG472" t="str">
        <f ca="1">IFERROR(IF(0=LEN(ReferenceData!$AG$472),"",ReferenceData!$AG$472),"")</f>
        <v/>
      </c>
      <c r="AH472" t="str">
        <f ca="1">IFERROR(IF(0=LEN(ReferenceData!$AH$472),"",ReferenceData!$AH$472),"")</f>
        <v/>
      </c>
      <c r="AI472" t="str">
        <f ca="1">IFERROR(IF(0=LEN(ReferenceData!$AI$472),"",ReferenceData!$AI$472),"")</f>
        <v/>
      </c>
      <c r="AJ472" t="str">
        <f ca="1">IFERROR(IF(0=LEN(ReferenceData!$AJ$472),"",ReferenceData!$AJ$472),"")</f>
        <v/>
      </c>
      <c r="AK472" t="str">
        <f ca="1">IFERROR(IF(0=LEN(ReferenceData!$AK$472),"",ReferenceData!$AK$472),"")</f>
        <v/>
      </c>
      <c r="AL472" t="str">
        <f ca="1">IFERROR(IF(0=LEN(ReferenceData!$AL$472),"",ReferenceData!$AL$472),"")</f>
        <v/>
      </c>
      <c r="AM472" t="str">
        <f ca="1">IFERROR(IF(0=LEN(ReferenceData!$AM$472),"",ReferenceData!$AM$472),"")</f>
        <v/>
      </c>
      <c r="AN472" t="str">
        <f ca="1">IFERROR(IF(0=LEN(ReferenceData!$AN$472),"",ReferenceData!$AN$472),"")</f>
        <v/>
      </c>
      <c r="AO472" t="str">
        <f ca="1">IFERROR(IF(0=LEN(ReferenceData!$AO$472),"",ReferenceData!$AO$472),"")</f>
        <v/>
      </c>
      <c r="AP472" t="str">
        <f ca="1">IFERROR(IF(0=LEN(ReferenceData!$AP$472),"",ReferenceData!$AP$472),"")</f>
        <v/>
      </c>
      <c r="AQ472" t="str">
        <f ca="1">IFERROR(IF(0=LEN(ReferenceData!$AQ$472),"",ReferenceData!$AQ$472),"")</f>
        <v/>
      </c>
      <c r="AR472" t="str">
        <f ca="1">IFERROR(IF(0=LEN(ReferenceData!$AR$472),"",ReferenceData!$AR$472),"")</f>
        <v/>
      </c>
      <c r="AS472" t="str">
        <f ca="1">IFERROR(IF(0=LEN(ReferenceData!$AS$472),"",ReferenceData!$AS$472),"")</f>
        <v/>
      </c>
      <c r="AT472" t="str">
        <f ca="1">IFERROR(IF(0=LEN(ReferenceData!$AT$472),"",ReferenceData!$AT$472),"")</f>
        <v/>
      </c>
      <c r="AU472" t="str">
        <f ca="1">IFERROR(IF(0=LEN(ReferenceData!$AU$472),"",ReferenceData!$AU$472),"")</f>
        <v/>
      </c>
      <c r="AV472" t="str">
        <f ca="1">IFERROR(IF(0=LEN(ReferenceData!$AV$472),"",ReferenceData!$AV$472),"")</f>
        <v/>
      </c>
      <c r="AW472" t="str">
        <f ca="1">IFERROR(IF(0=LEN(ReferenceData!$AW$472),"",ReferenceData!$AW$472),"")</f>
        <v/>
      </c>
      <c r="AX472" t="str">
        <f ca="1">IFERROR(IF(0=LEN(ReferenceData!$AX$472),"",ReferenceData!$AX$472),"")</f>
        <v/>
      </c>
      <c r="AY472" t="str">
        <f ca="1">IFERROR(IF(0=LEN(ReferenceData!$AY$472),"",ReferenceData!$AY$472),"")</f>
        <v/>
      </c>
      <c r="AZ472" t="str">
        <f ca="1">IFERROR(IF(0=LEN(ReferenceData!$AZ$472),"",ReferenceData!$AZ$472),"")</f>
        <v/>
      </c>
      <c r="BA472" t="str">
        <f ca="1">IFERROR(IF(0=LEN(ReferenceData!$BA$472),"",ReferenceData!$BA$472),"")</f>
        <v/>
      </c>
      <c r="BB472" t="str">
        <f ca="1">IFERROR(IF(0=LEN(ReferenceData!$BB$472),"",ReferenceData!$BB$472),"")</f>
        <v/>
      </c>
      <c r="BC472" t="str">
        <f ca="1">IFERROR(IF(0=LEN(ReferenceData!$BC$472),"",ReferenceData!$BC$472),"")</f>
        <v/>
      </c>
      <c r="BD472" t="str">
        <f ca="1">IFERROR(IF(0=LEN(ReferenceData!$BD$472),"",ReferenceData!$BD$472),"")</f>
        <v/>
      </c>
      <c r="BE472" t="str">
        <f ca="1">IFERROR(IF(0=LEN(ReferenceData!$BE$472),"",ReferenceData!$BE$472),"")</f>
        <v/>
      </c>
      <c r="BF472" t="str">
        <f ca="1">IFERROR(IF(0=LEN(ReferenceData!$BF$472),"",ReferenceData!$BF$472),"")</f>
        <v/>
      </c>
      <c r="BG472" t="str">
        <f ca="1">IFERROR(IF(0=LEN(ReferenceData!$BG$472),"",ReferenceData!$BG$472),"")</f>
        <v/>
      </c>
      <c r="BH472" t="str">
        <f ca="1">IFERROR(IF(0=LEN(ReferenceData!$BH$472),"",ReferenceData!$BH$472),"")</f>
        <v/>
      </c>
      <c r="BI472" t="str">
        <f ca="1">IFERROR(IF(0=LEN(ReferenceData!$BI$472),"",ReferenceData!$BI$472),"")</f>
        <v/>
      </c>
      <c r="BJ472" t="str">
        <f ca="1">IFERROR(IF(0=LEN(ReferenceData!$BJ$472),"",ReferenceData!$BJ$472),"")</f>
        <v/>
      </c>
      <c r="BK472" t="str">
        <f ca="1">IFERROR(IF(0=LEN(ReferenceData!$BK$472),"",ReferenceData!$BK$472),"")</f>
        <v/>
      </c>
      <c r="BL472" t="str">
        <f ca="1">IFERROR(IF(0=LEN(ReferenceData!$BL$472),"",ReferenceData!$BL$472),"")</f>
        <v/>
      </c>
      <c r="BM472" t="str">
        <f ca="1">IFERROR(IF(0=LEN(ReferenceData!$BM$472),"",ReferenceData!$BM$472),"")</f>
        <v/>
      </c>
    </row>
    <row r="473" spans="1:65" x14ac:dyDescent="0.25">
      <c r="A473" t="str">
        <f>IFERROR(IF(0=LEN(ReferenceData!$A$473),"",ReferenceData!$A$473),"")</f>
        <v xml:space="preserve">    General Motors Co</v>
      </c>
      <c r="B473" t="str">
        <f>IFERROR(IF(0=LEN(ReferenceData!$B$473),"",ReferenceData!$B$473),"")</f>
        <v>GM US Equity</v>
      </c>
      <c r="C473" t="str">
        <f>IFERROR(IF(0=LEN(ReferenceData!$C$473),"",ReferenceData!$C$473),"")</f>
        <v>RR476</v>
      </c>
      <c r="D473" t="str">
        <f>IFERROR(IF(0=LEN(ReferenceData!$D$473),"",ReferenceData!$D$473),"")</f>
        <v>EV_TO_T12M_NET_INCOME</v>
      </c>
      <c r="E473" t="str">
        <f>IFERROR(IF(0=LEN(ReferenceData!$E$473),"",ReferenceData!$E$473),"")</f>
        <v>Dynamic</v>
      </c>
      <c r="F473" t="str">
        <f ca="1">IFERROR(IF(0=LEN(ReferenceData!$F$473),"",ReferenceData!$F$473),"")</f>
        <v/>
      </c>
      <c r="G473">
        <f ca="1">IFERROR(IF(0=LEN(ReferenceData!$G$473),"",ReferenceData!$G$473),"")</f>
        <v>5.6358871969999997</v>
      </c>
      <c r="H473">
        <f ca="1">IFERROR(IF(0=LEN(ReferenceData!$H$473),"",ReferenceData!$H$473),"")</f>
        <v>57.026862029999997</v>
      </c>
      <c r="I473" t="str">
        <f ca="1">IFERROR(IF(0=LEN(ReferenceData!$I$473),"",ReferenceData!$I$473),"")</f>
        <v/>
      </c>
      <c r="J473" t="str">
        <f ca="1">IFERROR(IF(0=LEN(ReferenceData!$J$473),"",ReferenceData!$J$473),"")</f>
        <v/>
      </c>
      <c r="K473" t="str">
        <f ca="1">IFERROR(IF(0=LEN(ReferenceData!$K$473),"",ReferenceData!$K$473),"")</f>
        <v/>
      </c>
      <c r="L473">
        <f ca="1">IFERROR(IF(0=LEN(ReferenceData!$L$473),"",ReferenceData!$L$473),"")</f>
        <v>17.48078155</v>
      </c>
      <c r="M473">
        <f ca="1">IFERROR(IF(0=LEN(ReferenceData!$M$473),"",ReferenceData!$M$473),"")</f>
        <v>4.8580441639999998</v>
      </c>
      <c r="N473">
        <f ca="1">IFERROR(IF(0=LEN(ReferenceData!$N$473),"",ReferenceData!$N$473),"")</f>
        <v>4.3447728630000002</v>
      </c>
      <c r="O473">
        <f ca="1">IFERROR(IF(0=LEN(ReferenceData!$O$473),"",ReferenceData!$O$473),"")</f>
        <v>4.3978996500000003</v>
      </c>
      <c r="P473">
        <f ca="1">IFERROR(IF(0=LEN(ReferenceData!$P$473),"",ReferenceData!$P$473),"")</f>
        <v>2.7395728099999999</v>
      </c>
      <c r="Q473">
        <f ca="1">IFERROR(IF(0=LEN(ReferenceData!$Q$473),"",ReferenceData!$Q$473),"")</f>
        <v>2.9988749600000002</v>
      </c>
      <c r="R473">
        <f ca="1">IFERROR(IF(0=LEN(ReferenceData!$R$473),"",ReferenceData!$R$473),"")</f>
        <v>3.804114072</v>
      </c>
      <c r="S473">
        <f ca="1">IFERROR(IF(0=LEN(ReferenceData!$S$473),"",ReferenceData!$S$473),"")</f>
        <v>4.1180964180000004</v>
      </c>
      <c r="T473">
        <f ca="1">IFERROR(IF(0=LEN(ReferenceData!$T$473),"",ReferenceData!$T$473),"")</f>
        <v>6.6867603549999997</v>
      </c>
      <c r="U473">
        <f ca="1">IFERROR(IF(0=LEN(ReferenceData!$U$473),"",ReferenceData!$U$473),"")</f>
        <v>7.3594202900000001</v>
      </c>
      <c r="V473">
        <f ca="1">IFERROR(IF(0=LEN(ReferenceData!$V$473),"",ReferenceData!$V$473),"")</f>
        <v>9.8218329420000003</v>
      </c>
      <c r="W473">
        <f ca="1">IFERROR(IF(0=LEN(ReferenceData!$W$473),"",ReferenceData!$W$473),"")</f>
        <v>10.27374019</v>
      </c>
      <c r="X473">
        <f ca="1">IFERROR(IF(0=LEN(ReferenceData!$X$473),"",ReferenceData!$X$473),"")</f>
        <v>11.989340439999999</v>
      </c>
      <c r="Y473">
        <f ca="1">IFERROR(IF(0=LEN(ReferenceData!$Y$473),"",ReferenceData!$Y$473),"")</f>
        <v>12.68257389</v>
      </c>
      <c r="Z473">
        <f ca="1">IFERROR(IF(0=LEN(ReferenceData!$Z$473),"",ReferenceData!$Z$473),"")</f>
        <v>9.2903740880000001</v>
      </c>
      <c r="AA473">
        <f ca="1">IFERROR(IF(0=LEN(ReferenceData!$AA$473),"",ReferenceData!$AA$473),"")</f>
        <v>7.5031799479999997</v>
      </c>
      <c r="AB473">
        <f ca="1">IFERROR(IF(0=LEN(ReferenceData!$AB$473),"",ReferenceData!$AB$473),"")</f>
        <v>7.370727273</v>
      </c>
      <c r="AC473">
        <f ca="1">IFERROR(IF(0=LEN(ReferenceData!$AC$473),"",ReferenceData!$AC$473),"")</f>
        <v>6.6629273500000004</v>
      </c>
      <c r="AD473">
        <f ca="1">IFERROR(IF(0=LEN(ReferenceData!$AD$473),"",ReferenceData!$AD$473),"")</f>
        <v>5.1183862429999998</v>
      </c>
      <c r="AE473">
        <f ca="1">IFERROR(IF(0=LEN(ReferenceData!$AE$473),"",ReferenceData!$AE$473),"")</f>
        <v>4.7819244919999999</v>
      </c>
      <c r="AF473">
        <f ca="1">IFERROR(IF(0=LEN(ReferenceData!$AF$473),"",ReferenceData!$AF$473),"")</f>
        <v>3.6113031320000002</v>
      </c>
      <c r="AG473">
        <f ca="1">IFERROR(IF(0=LEN(ReferenceData!$AG$473),"",ReferenceData!$AG$473),"")</f>
        <v>4.0649687080000003</v>
      </c>
      <c r="AH473">
        <f ca="1">IFERROR(IF(0=LEN(ReferenceData!$AH$473),"",ReferenceData!$AH$473),"")</f>
        <v>4.7916888560000004</v>
      </c>
      <c r="AI473">
        <f ca="1">IFERROR(IF(0=LEN(ReferenceData!$AI$473),"",ReferenceData!$AI$473),"")</f>
        <v>1.809251594</v>
      </c>
      <c r="AJ473">
        <f ca="1">IFERROR(IF(0=LEN(ReferenceData!$AJ$473),"",ReferenceData!$AJ$473),"")</f>
        <v>2.3125234990000001</v>
      </c>
      <c r="AK473">
        <f ca="1">IFERROR(IF(0=LEN(ReferenceData!$AK$473),"",ReferenceData!$AK$473),"")</f>
        <v>3.658637498</v>
      </c>
      <c r="AL473">
        <f ca="1">IFERROR(IF(0=LEN(ReferenceData!$AL$473),"",ReferenceData!$AL$473),"")</f>
        <v>5.0688616690000003</v>
      </c>
      <c r="AM473">
        <f ca="1">IFERROR(IF(0=LEN(ReferenceData!$AM$473),"",ReferenceData!$AM$473),"")</f>
        <v>8.3666639249999992</v>
      </c>
      <c r="AN473" t="str">
        <f ca="1">IFERROR(IF(0=LEN(ReferenceData!$AN$473),"",ReferenceData!$AN$473),"")</f>
        <v/>
      </c>
      <c r="AO473" t="str">
        <f ca="1">IFERROR(IF(0=LEN(ReferenceData!$AO$473),"",ReferenceData!$AO$473),"")</f>
        <v/>
      </c>
      <c r="AP473" t="str">
        <f ca="1">IFERROR(IF(0=LEN(ReferenceData!$AP$473),"",ReferenceData!$AP$473),"")</f>
        <v/>
      </c>
      <c r="AQ473" t="str">
        <f ca="1">IFERROR(IF(0=LEN(ReferenceData!$AQ$473),"",ReferenceData!$AQ$473),"")</f>
        <v/>
      </c>
      <c r="AR473" t="str">
        <f ca="1">IFERROR(IF(0=LEN(ReferenceData!$AR$473),"",ReferenceData!$AR$473),"")</f>
        <v/>
      </c>
      <c r="AS473" t="str">
        <f ca="1">IFERROR(IF(0=LEN(ReferenceData!$AS$473),"",ReferenceData!$AS$473),"")</f>
        <v/>
      </c>
      <c r="AT473" t="str">
        <f ca="1">IFERROR(IF(0=LEN(ReferenceData!$AT$473),"",ReferenceData!$AT$473),"")</f>
        <v/>
      </c>
      <c r="AU473" t="str">
        <f ca="1">IFERROR(IF(0=LEN(ReferenceData!$AU$473),"",ReferenceData!$AU$473),"")</f>
        <v/>
      </c>
      <c r="AV473" t="str">
        <f ca="1">IFERROR(IF(0=LEN(ReferenceData!$AV$473),"",ReferenceData!$AV$473),"")</f>
        <v/>
      </c>
      <c r="AW473" t="str">
        <f ca="1">IFERROR(IF(0=LEN(ReferenceData!$AW$473),"",ReferenceData!$AW$473),"")</f>
        <v/>
      </c>
      <c r="AX473" t="str">
        <f ca="1">IFERROR(IF(0=LEN(ReferenceData!$AX$473),"",ReferenceData!$AX$473),"")</f>
        <v/>
      </c>
      <c r="AY473" t="str">
        <f ca="1">IFERROR(IF(0=LEN(ReferenceData!$AY$473),"",ReferenceData!$AY$473),"")</f>
        <v/>
      </c>
      <c r="AZ473" t="str">
        <f ca="1">IFERROR(IF(0=LEN(ReferenceData!$AZ$473),"",ReferenceData!$AZ$473),"")</f>
        <v/>
      </c>
      <c r="BA473" t="str">
        <f ca="1">IFERROR(IF(0=LEN(ReferenceData!$BA$473),"",ReferenceData!$BA$473),"")</f>
        <v/>
      </c>
      <c r="BB473" t="str">
        <f ca="1">IFERROR(IF(0=LEN(ReferenceData!$BB$473),"",ReferenceData!$BB$473),"")</f>
        <v/>
      </c>
      <c r="BC473" t="str">
        <f ca="1">IFERROR(IF(0=LEN(ReferenceData!$BC$473),"",ReferenceData!$BC$473),"")</f>
        <v/>
      </c>
      <c r="BD473" t="str">
        <f ca="1">IFERROR(IF(0=LEN(ReferenceData!$BD$473),"",ReferenceData!$BD$473),"")</f>
        <v/>
      </c>
      <c r="BE473" t="str">
        <f ca="1">IFERROR(IF(0=LEN(ReferenceData!$BE$473),"",ReferenceData!$BE$473),"")</f>
        <v/>
      </c>
      <c r="BF473" t="str">
        <f ca="1">IFERROR(IF(0=LEN(ReferenceData!$BF$473),"",ReferenceData!$BF$473),"")</f>
        <v/>
      </c>
      <c r="BG473" t="str">
        <f ca="1">IFERROR(IF(0=LEN(ReferenceData!$BG$473),"",ReferenceData!$BG$473),"")</f>
        <v/>
      </c>
      <c r="BH473" t="str">
        <f ca="1">IFERROR(IF(0=LEN(ReferenceData!$BH$473),"",ReferenceData!$BH$473),"")</f>
        <v/>
      </c>
      <c r="BI473" t="str">
        <f ca="1">IFERROR(IF(0=LEN(ReferenceData!$BI$473),"",ReferenceData!$BI$473),"")</f>
        <v/>
      </c>
      <c r="BJ473" t="str">
        <f ca="1">IFERROR(IF(0=LEN(ReferenceData!$BJ$473),"",ReferenceData!$BJ$473),"")</f>
        <v/>
      </c>
      <c r="BK473" t="str">
        <f ca="1">IFERROR(IF(0=LEN(ReferenceData!$BK$473),"",ReferenceData!$BK$473),"")</f>
        <v/>
      </c>
      <c r="BL473" t="str">
        <f ca="1">IFERROR(IF(0=LEN(ReferenceData!$BL$473),"",ReferenceData!$BL$473),"")</f>
        <v/>
      </c>
      <c r="BM473" t="str">
        <f ca="1">IFERROR(IF(0=LEN(ReferenceData!$BM$473),"",ReferenceData!$BM$473),"")</f>
        <v/>
      </c>
    </row>
    <row r="474" spans="1:65" x14ac:dyDescent="0.25">
      <c r="A474" t="str">
        <f>IFERROR(IF(0=LEN(ReferenceData!$A$474),"",ReferenceData!$A$474),"")</f>
        <v xml:space="preserve">    Great Wall Motor Co Ltd</v>
      </c>
      <c r="B474" t="str">
        <f>IFERROR(IF(0=LEN(ReferenceData!$B$474),"",ReferenceData!$B$474),"")</f>
        <v>2333 HK Equity</v>
      </c>
      <c r="C474" t="str">
        <f>IFERROR(IF(0=LEN(ReferenceData!$C$474),"",ReferenceData!$C$474),"")</f>
        <v>RR476</v>
      </c>
      <c r="D474" t="str">
        <f>IFERROR(IF(0=LEN(ReferenceData!$D$474),"",ReferenceData!$D$474),"")</f>
        <v>EV_TO_T12M_NET_INCOME</v>
      </c>
      <c r="E474" t="str">
        <f>IFERROR(IF(0=LEN(ReferenceData!$E$474),"",ReferenceData!$E$474),"")</f>
        <v>Dynamic</v>
      </c>
      <c r="F474" t="str">
        <f ca="1">IFERROR(IF(0=LEN(ReferenceData!$F$474),"",ReferenceData!$F$474),"")</f>
        <v/>
      </c>
      <c r="G474" t="str">
        <f ca="1">IFERROR(IF(0=LEN(ReferenceData!$G$474),"",ReferenceData!$G$474),"")</f>
        <v/>
      </c>
      <c r="H474">
        <f ca="1">IFERROR(IF(0=LEN(ReferenceData!$H$474),"",ReferenceData!$H$474),"")</f>
        <v>6.8257212709999999</v>
      </c>
      <c r="I474">
        <f ca="1">IFERROR(IF(0=LEN(ReferenceData!$I$474),"",ReferenceData!$I$474),"")</f>
        <v>8.3169178049999992</v>
      </c>
      <c r="J474">
        <f ca="1">IFERROR(IF(0=LEN(ReferenceData!$J$474),"",ReferenceData!$J$474),"")</f>
        <v>20.822507869999999</v>
      </c>
      <c r="K474">
        <f ca="1">IFERROR(IF(0=LEN(ReferenceData!$K$474),"",ReferenceData!$K$474),"")</f>
        <v>21.018791610000001</v>
      </c>
      <c r="L474">
        <f ca="1">IFERROR(IF(0=LEN(ReferenceData!$L$474),"",ReferenceData!$L$474),"")</f>
        <v>17.001466659999998</v>
      </c>
      <c r="M474">
        <f ca="1">IFERROR(IF(0=LEN(ReferenceData!$M$474),"",ReferenceData!$M$474),"")</f>
        <v>13.237988769999999</v>
      </c>
      <c r="N474">
        <f ca="1">IFERROR(IF(0=LEN(ReferenceData!$N$474),"",ReferenceData!$N$474),"")</f>
        <v>10.755677629999999</v>
      </c>
      <c r="O474">
        <f ca="1">IFERROR(IF(0=LEN(ReferenceData!$O$474),"",ReferenceData!$O$474),"")</f>
        <v>8.3481584000000009</v>
      </c>
      <c r="P474">
        <f ca="1">IFERROR(IF(0=LEN(ReferenceData!$P$474),"",ReferenceData!$P$474),"")</f>
        <v>9.440599057</v>
      </c>
      <c r="Q474">
        <f ca="1">IFERROR(IF(0=LEN(ReferenceData!$Q$474),"",ReferenceData!$Q$474),"")</f>
        <v>8.4238006480000003</v>
      </c>
      <c r="R474">
        <f ca="1">IFERROR(IF(0=LEN(ReferenceData!$R$474),"",ReferenceData!$R$474),"")</f>
        <v>9.2729217790000007</v>
      </c>
      <c r="S474">
        <f ca="1">IFERROR(IF(0=LEN(ReferenceData!$S$474),"",ReferenceData!$S$474),"")</f>
        <v>12.21744322</v>
      </c>
      <c r="T474">
        <f ca="1">IFERROR(IF(0=LEN(ReferenceData!$T$474),"",ReferenceData!$T$474),"")</f>
        <v>7.4229684450000004</v>
      </c>
      <c r="U474">
        <f ca="1">IFERROR(IF(0=LEN(ReferenceData!$U$474),"",ReferenceData!$U$474),"")</f>
        <v>13.387078799999999</v>
      </c>
      <c r="V474">
        <f ca="1">IFERROR(IF(0=LEN(ReferenceData!$V$474),"",ReferenceData!$V$474),"")</f>
        <v>28.23606822</v>
      </c>
      <c r="W474">
        <f ca="1">IFERROR(IF(0=LEN(ReferenceData!$W$474),"",ReferenceData!$W$474),"")</f>
        <v>15.06660756</v>
      </c>
      <c r="X474">
        <f ca="1">IFERROR(IF(0=LEN(ReferenceData!$X$474),"",ReferenceData!$X$474),"")</f>
        <v>9.3650001300000003</v>
      </c>
      <c r="Y474">
        <f ca="1">IFERROR(IF(0=LEN(ReferenceData!$Y$474),"",ReferenceData!$Y$474),"")</f>
        <v>8.7069061990000005</v>
      </c>
      <c r="Z474">
        <f ca="1">IFERROR(IF(0=LEN(ReferenceData!$Z$474),"",ReferenceData!$Z$474),"")</f>
        <v>11.152424959999999</v>
      </c>
      <c r="AA474">
        <f ca="1">IFERROR(IF(0=LEN(ReferenceData!$AA$474),"",ReferenceData!$AA$474),"")</f>
        <v>12.27231473</v>
      </c>
      <c r="AB474">
        <f ca="1">IFERROR(IF(0=LEN(ReferenceData!$AB$474),"",ReferenceData!$AB$474),"")</f>
        <v>12.10954452</v>
      </c>
      <c r="AC474">
        <f ca="1">IFERROR(IF(0=LEN(ReferenceData!$AC$474),"",ReferenceData!$AC$474),"")</f>
        <v>10.53130621</v>
      </c>
      <c r="AD474">
        <f ca="1">IFERROR(IF(0=LEN(ReferenceData!$AD$474),"",ReferenceData!$AD$474),"")</f>
        <v>9.4958702929999994</v>
      </c>
      <c r="AE474">
        <f ca="1">IFERROR(IF(0=LEN(ReferenceData!$AE$474),"",ReferenceData!$AE$474),"")</f>
        <v>11.74657024</v>
      </c>
      <c r="AF474">
        <f ca="1">IFERROR(IF(0=LEN(ReferenceData!$AF$474),"",ReferenceData!$AF$474),"")</f>
        <v>10.341583290000001</v>
      </c>
      <c r="AG474">
        <f ca="1">IFERROR(IF(0=LEN(ReferenceData!$AG$474),"",ReferenceData!$AG$474),"")</f>
        <v>12.208216350000001</v>
      </c>
      <c r="AH474" t="str">
        <f ca="1">IFERROR(IF(0=LEN(ReferenceData!$AH$474),"",ReferenceData!$AH$474),"")</f>
        <v/>
      </c>
      <c r="AI474" t="str">
        <f ca="1">IFERROR(IF(0=LEN(ReferenceData!$AI$474),"",ReferenceData!$AI$474),"")</f>
        <v/>
      </c>
      <c r="AJ474" t="str">
        <f ca="1">IFERROR(IF(0=LEN(ReferenceData!$AJ$474),"",ReferenceData!$AJ$474),"")</f>
        <v/>
      </c>
      <c r="AK474" t="str">
        <f ca="1">IFERROR(IF(0=LEN(ReferenceData!$AK$474),"",ReferenceData!$AK$474),"")</f>
        <v/>
      </c>
      <c r="AL474" t="str">
        <f ca="1">IFERROR(IF(0=LEN(ReferenceData!$AL$474),"",ReferenceData!$AL$474),"")</f>
        <v/>
      </c>
      <c r="AM474" t="str">
        <f ca="1">IFERROR(IF(0=LEN(ReferenceData!$AM$474),"",ReferenceData!$AM$474),"")</f>
        <v/>
      </c>
      <c r="AN474" t="str">
        <f ca="1">IFERROR(IF(0=LEN(ReferenceData!$AN$474),"",ReferenceData!$AN$474),"")</f>
        <v/>
      </c>
      <c r="AO474" t="str">
        <f ca="1">IFERROR(IF(0=LEN(ReferenceData!$AO$474),"",ReferenceData!$AO$474),"")</f>
        <v/>
      </c>
      <c r="AP474" t="str">
        <f ca="1">IFERROR(IF(0=LEN(ReferenceData!$AP$474),"",ReferenceData!$AP$474),"")</f>
        <v/>
      </c>
      <c r="AQ474" t="str">
        <f ca="1">IFERROR(IF(0=LEN(ReferenceData!$AQ$474),"",ReferenceData!$AQ$474),"")</f>
        <v/>
      </c>
      <c r="AR474" t="str">
        <f ca="1">IFERROR(IF(0=LEN(ReferenceData!$AR$474),"",ReferenceData!$AR$474),"")</f>
        <v/>
      </c>
      <c r="AS474" t="str">
        <f ca="1">IFERROR(IF(0=LEN(ReferenceData!$AS$474),"",ReferenceData!$AS$474),"")</f>
        <v/>
      </c>
      <c r="AT474" t="str">
        <f ca="1">IFERROR(IF(0=LEN(ReferenceData!$AT$474),"",ReferenceData!$AT$474),"")</f>
        <v/>
      </c>
      <c r="AU474" t="str">
        <f ca="1">IFERROR(IF(0=LEN(ReferenceData!$AU$474),"",ReferenceData!$AU$474),"")</f>
        <v/>
      </c>
      <c r="AV474" t="str">
        <f ca="1">IFERROR(IF(0=LEN(ReferenceData!$AV$474),"",ReferenceData!$AV$474),"")</f>
        <v/>
      </c>
      <c r="AW474" t="str">
        <f ca="1">IFERROR(IF(0=LEN(ReferenceData!$AW$474),"",ReferenceData!$AW$474),"")</f>
        <v/>
      </c>
      <c r="AX474" t="str">
        <f ca="1">IFERROR(IF(0=LEN(ReferenceData!$AX$474),"",ReferenceData!$AX$474),"")</f>
        <v/>
      </c>
      <c r="AY474" t="str">
        <f ca="1">IFERROR(IF(0=LEN(ReferenceData!$AY$474),"",ReferenceData!$AY$474),"")</f>
        <v/>
      </c>
      <c r="AZ474" t="str">
        <f ca="1">IFERROR(IF(0=LEN(ReferenceData!$AZ$474),"",ReferenceData!$AZ$474),"")</f>
        <v/>
      </c>
      <c r="BA474" t="str">
        <f ca="1">IFERROR(IF(0=LEN(ReferenceData!$BA$474),"",ReferenceData!$BA$474),"")</f>
        <v/>
      </c>
      <c r="BB474" t="str">
        <f ca="1">IFERROR(IF(0=LEN(ReferenceData!$BB$474),"",ReferenceData!$BB$474),"")</f>
        <v/>
      </c>
      <c r="BC474" t="str">
        <f ca="1">IFERROR(IF(0=LEN(ReferenceData!$BC$474),"",ReferenceData!$BC$474),"")</f>
        <v/>
      </c>
      <c r="BD474" t="str">
        <f ca="1">IFERROR(IF(0=LEN(ReferenceData!$BD$474),"",ReferenceData!$BD$474),"")</f>
        <v/>
      </c>
      <c r="BE474" t="str">
        <f ca="1">IFERROR(IF(0=LEN(ReferenceData!$BE$474),"",ReferenceData!$BE$474),"")</f>
        <v/>
      </c>
      <c r="BF474" t="str">
        <f ca="1">IFERROR(IF(0=LEN(ReferenceData!$BF$474),"",ReferenceData!$BF$474),"")</f>
        <v/>
      </c>
      <c r="BG474" t="str">
        <f ca="1">IFERROR(IF(0=LEN(ReferenceData!$BG$474),"",ReferenceData!$BG$474),"")</f>
        <v/>
      </c>
      <c r="BH474" t="str">
        <f ca="1">IFERROR(IF(0=LEN(ReferenceData!$BH$474),"",ReferenceData!$BH$474),"")</f>
        <v/>
      </c>
      <c r="BI474" t="str">
        <f ca="1">IFERROR(IF(0=LEN(ReferenceData!$BI$474),"",ReferenceData!$BI$474),"")</f>
        <v/>
      </c>
      <c r="BJ474" t="str">
        <f ca="1">IFERROR(IF(0=LEN(ReferenceData!$BJ$474),"",ReferenceData!$BJ$474),"")</f>
        <v/>
      </c>
      <c r="BK474" t="str">
        <f ca="1">IFERROR(IF(0=LEN(ReferenceData!$BK$474),"",ReferenceData!$BK$474),"")</f>
        <v/>
      </c>
      <c r="BL474" t="str">
        <f ca="1">IFERROR(IF(0=LEN(ReferenceData!$BL$474),"",ReferenceData!$BL$474),"")</f>
        <v/>
      </c>
      <c r="BM474" t="str">
        <f ca="1">IFERROR(IF(0=LEN(ReferenceData!$BM$474),"",ReferenceData!$BM$474),"")</f>
        <v/>
      </c>
    </row>
    <row r="475" spans="1:65" x14ac:dyDescent="0.25">
      <c r="A475" t="str">
        <f>IFERROR(IF(0=LEN(ReferenceData!$A$475),"",ReferenceData!$A$475),"")</f>
        <v xml:space="preserve">    Guangzhou Automobile Group Co Ltd</v>
      </c>
      <c r="B475" t="str">
        <f>IFERROR(IF(0=LEN(ReferenceData!$B$475),"",ReferenceData!$B$475),"")</f>
        <v>2238 HK Equity</v>
      </c>
      <c r="C475" t="str">
        <f>IFERROR(IF(0=LEN(ReferenceData!$C$475),"",ReferenceData!$C$475),"")</f>
        <v>RR476</v>
      </c>
      <c r="D475" t="str">
        <f>IFERROR(IF(0=LEN(ReferenceData!$D$475),"",ReferenceData!$D$475),"")</f>
        <v>EV_TO_T12M_NET_INCOME</v>
      </c>
      <c r="E475" t="str">
        <f>IFERROR(IF(0=LEN(ReferenceData!$E$475),"",ReferenceData!$E$475),"")</f>
        <v>Dynamic</v>
      </c>
      <c r="F475" t="str">
        <f ca="1">IFERROR(IF(0=LEN(ReferenceData!$F$475),"",ReferenceData!$F$475),"")</f>
        <v/>
      </c>
      <c r="G475" t="str">
        <f ca="1">IFERROR(IF(0=LEN(ReferenceData!$G$475),"",ReferenceData!$G$475),"")</f>
        <v/>
      </c>
      <c r="H475">
        <f ca="1">IFERROR(IF(0=LEN(ReferenceData!$H$475),"",ReferenceData!$H$475),"")</f>
        <v>4.7145060640000001</v>
      </c>
      <c r="I475">
        <f ca="1">IFERROR(IF(0=LEN(ReferenceData!$I$475),"",ReferenceData!$I$475),"")</f>
        <v>3.823214127</v>
      </c>
      <c r="J475">
        <f ca="1">IFERROR(IF(0=LEN(ReferenceData!$J$475),"",ReferenceData!$J$475),"")</f>
        <v>15.31127715</v>
      </c>
      <c r="K475">
        <f ca="1">IFERROR(IF(0=LEN(ReferenceData!$K$475),"",ReferenceData!$K$475),"")</f>
        <v>18.083691770000001</v>
      </c>
      <c r="L475">
        <f ca="1">IFERROR(IF(0=LEN(ReferenceData!$L$475),"",ReferenceData!$L$475),"")</f>
        <v>20.442595570000002</v>
      </c>
      <c r="M475">
        <f ca="1">IFERROR(IF(0=LEN(ReferenceData!$M$475),"",ReferenceData!$M$475),"")</f>
        <v>15.0612561</v>
      </c>
      <c r="N475">
        <f ca="1">IFERROR(IF(0=LEN(ReferenceData!$N$475),"",ReferenceData!$N$475),"")</f>
        <v>15.995563799999999</v>
      </c>
      <c r="O475">
        <f ca="1">IFERROR(IF(0=LEN(ReferenceData!$O$475),"",ReferenceData!$O$475),"")</f>
        <v>17.584399449999999</v>
      </c>
      <c r="P475">
        <f ca="1">IFERROR(IF(0=LEN(ReferenceData!$P$475),"",ReferenceData!$P$475),"")</f>
        <v>15.84627615</v>
      </c>
      <c r="Q475">
        <f ca="1">IFERROR(IF(0=LEN(ReferenceData!$Q$475),"",ReferenceData!$Q$475),"")</f>
        <v>17.09660087</v>
      </c>
      <c r="R475">
        <f ca="1">IFERROR(IF(0=LEN(ReferenceData!$R$475),"",ReferenceData!$R$475),"")</f>
        <v>17.507255799999999</v>
      </c>
      <c r="S475">
        <f ca="1">IFERROR(IF(0=LEN(ReferenceData!$S$475),"",ReferenceData!$S$475),"")</f>
        <v>24.8565167</v>
      </c>
      <c r="T475">
        <f ca="1">IFERROR(IF(0=LEN(ReferenceData!$T$475),"",ReferenceData!$T$475),"")</f>
        <v>32.871222979999999</v>
      </c>
      <c r="U475">
        <f ca="1">IFERROR(IF(0=LEN(ReferenceData!$U$475),"",ReferenceData!$U$475),"")</f>
        <v>23.226468650000001</v>
      </c>
      <c r="V475">
        <f ca="1">IFERROR(IF(0=LEN(ReferenceData!$V$475),"",ReferenceData!$V$475),"")</f>
        <v>11.50262588</v>
      </c>
      <c r="W475">
        <f ca="1">IFERROR(IF(0=LEN(ReferenceData!$W$475),"",ReferenceData!$W$475),"")</f>
        <v>14.750764780000001</v>
      </c>
      <c r="X475">
        <f ca="1">IFERROR(IF(0=LEN(ReferenceData!$X$475),"",ReferenceData!$X$475),"")</f>
        <v>13.263141450000001</v>
      </c>
      <c r="Y475">
        <f ca="1">IFERROR(IF(0=LEN(ReferenceData!$Y$475),"",ReferenceData!$Y$475),"")</f>
        <v>13.327578559999999</v>
      </c>
      <c r="Z475">
        <f ca="1">IFERROR(IF(0=LEN(ReferenceData!$Z$475),"",ReferenceData!$Z$475),"")</f>
        <v>12.67210964</v>
      </c>
      <c r="AA475">
        <f ca="1">IFERROR(IF(0=LEN(ReferenceData!$AA$475),"",ReferenceData!$AA$475),"")</f>
        <v>14.78262271</v>
      </c>
      <c r="AB475">
        <f ca="1">IFERROR(IF(0=LEN(ReferenceData!$AB$475),"",ReferenceData!$AB$475),"")</f>
        <v>25.214904910000001</v>
      </c>
      <c r="AC475">
        <f ca="1">IFERROR(IF(0=LEN(ReferenceData!$AC$475),"",ReferenceData!$AC$475),"")</f>
        <v>44.992206680000002</v>
      </c>
      <c r="AD475">
        <f ca="1">IFERROR(IF(0=LEN(ReferenceData!$AD$475),"",ReferenceData!$AD$475),"")</f>
        <v>43.482139410000002</v>
      </c>
      <c r="AE475">
        <f ca="1">IFERROR(IF(0=LEN(ReferenceData!$AE$475),"",ReferenceData!$AE$475),"")</f>
        <v>31.265446650000001</v>
      </c>
      <c r="AF475">
        <f ca="1">IFERROR(IF(0=LEN(ReferenceData!$AF$475),"",ReferenceData!$AF$475),"")</f>
        <v>6.7092960929999998</v>
      </c>
      <c r="AG475">
        <f ca="1">IFERROR(IF(0=LEN(ReferenceData!$AG$475),"",ReferenceData!$AG$475),"")</f>
        <v>10.018651780000001</v>
      </c>
      <c r="AH475">
        <f ca="1">IFERROR(IF(0=LEN(ReferenceData!$AH$475),"",ReferenceData!$AH$475),"")</f>
        <v>10.324394979999999</v>
      </c>
      <c r="AI475">
        <f ca="1">IFERROR(IF(0=LEN(ReferenceData!$AI$475),"",ReferenceData!$AI$475),"")</f>
        <v>6.664710822</v>
      </c>
      <c r="AJ475">
        <f ca="1">IFERROR(IF(0=LEN(ReferenceData!$AJ$475),"",ReferenceData!$AJ$475),"")</f>
        <v>9.3514101059999994</v>
      </c>
      <c r="AK475">
        <f ca="1">IFERROR(IF(0=LEN(ReferenceData!$AK$475),"",ReferenceData!$AK$475),"")</f>
        <v>11.48471797</v>
      </c>
      <c r="AL475">
        <f ca="1">IFERROR(IF(0=LEN(ReferenceData!$AL$475),"",ReferenceData!$AL$475),"")</f>
        <v>10.102703200000001</v>
      </c>
      <c r="AM475">
        <f ca="1">IFERROR(IF(0=LEN(ReferenceData!$AM$475),"",ReferenceData!$AM$475),"")</f>
        <v>11.750465569999999</v>
      </c>
      <c r="AN475">
        <f ca="1">IFERROR(IF(0=LEN(ReferenceData!$AN$475),"",ReferenceData!$AN$475),"")</f>
        <v>17.07461327</v>
      </c>
      <c r="AO475" t="str">
        <f ca="1">IFERROR(IF(0=LEN(ReferenceData!$AO$475),"",ReferenceData!$AO$475),"")</f>
        <v/>
      </c>
      <c r="AP475" t="str">
        <f ca="1">IFERROR(IF(0=LEN(ReferenceData!$AP$475),"",ReferenceData!$AP$475),"")</f>
        <v/>
      </c>
      <c r="AQ475" t="str">
        <f ca="1">IFERROR(IF(0=LEN(ReferenceData!$AQ$475),"",ReferenceData!$AQ$475),"")</f>
        <v/>
      </c>
      <c r="AR475" t="str">
        <f ca="1">IFERROR(IF(0=LEN(ReferenceData!$AR$475),"",ReferenceData!$AR$475),"")</f>
        <v/>
      </c>
      <c r="AS475" t="str">
        <f ca="1">IFERROR(IF(0=LEN(ReferenceData!$AS$475),"",ReferenceData!$AS$475),"")</f>
        <v/>
      </c>
      <c r="AT475" t="str">
        <f ca="1">IFERROR(IF(0=LEN(ReferenceData!$AT$475),"",ReferenceData!$AT$475),"")</f>
        <v/>
      </c>
      <c r="AU475" t="str">
        <f ca="1">IFERROR(IF(0=LEN(ReferenceData!$AU$475),"",ReferenceData!$AU$475),"")</f>
        <v/>
      </c>
      <c r="AV475" t="str">
        <f ca="1">IFERROR(IF(0=LEN(ReferenceData!$AV$475),"",ReferenceData!$AV$475),"")</f>
        <v/>
      </c>
      <c r="AW475" t="str">
        <f ca="1">IFERROR(IF(0=LEN(ReferenceData!$AW$475),"",ReferenceData!$AW$475),"")</f>
        <v/>
      </c>
      <c r="AX475" t="str">
        <f ca="1">IFERROR(IF(0=LEN(ReferenceData!$AX$475),"",ReferenceData!$AX$475),"")</f>
        <v/>
      </c>
      <c r="AY475" t="str">
        <f ca="1">IFERROR(IF(0=LEN(ReferenceData!$AY$475),"",ReferenceData!$AY$475),"")</f>
        <v/>
      </c>
      <c r="AZ475" t="str">
        <f ca="1">IFERROR(IF(0=LEN(ReferenceData!$AZ$475),"",ReferenceData!$AZ$475),"")</f>
        <v/>
      </c>
      <c r="BA475" t="str">
        <f ca="1">IFERROR(IF(0=LEN(ReferenceData!$BA$475),"",ReferenceData!$BA$475),"")</f>
        <v/>
      </c>
      <c r="BB475" t="str">
        <f ca="1">IFERROR(IF(0=LEN(ReferenceData!$BB$475),"",ReferenceData!$BB$475),"")</f>
        <v/>
      </c>
      <c r="BC475" t="str">
        <f ca="1">IFERROR(IF(0=LEN(ReferenceData!$BC$475),"",ReferenceData!$BC$475),"")</f>
        <v/>
      </c>
      <c r="BD475" t="str">
        <f ca="1">IFERROR(IF(0=LEN(ReferenceData!$BD$475),"",ReferenceData!$BD$475),"")</f>
        <v/>
      </c>
      <c r="BE475" t="str">
        <f ca="1">IFERROR(IF(0=LEN(ReferenceData!$BE$475),"",ReferenceData!$BE$475),"")</f>
        <v/>
      </c>
      <c r="BF475" t="str">
        <f ca="1">IFERROR(IF(0=LEN(ReferenceData!$BF$475),"",ReferenceData!$BF$475),"")</f>
        <v/>
      </c>
      <c r="BG475" t="str">
        <f ca="1">IFERROR(IF(0=LEN(ReferenceData!$BG$475),"",ReferenceData!$BG$475),"")</f>
        <v/>
      </c>
      <c r="BH475" t="str">
        <f ca="1">IFERROR(IF(0=LEN(ReferenceData!$BH$475),"",ReferenceData!$BH$475),"")</f>
        <v/>
      </c>
      <c r="BI475" t="str">
        <f ca="1">IFERROR(IF(0=LEN(ReferenceData!$BI$475),"",ReferenceData!$BI$475),"")</f>
        <v/>
      </c>
      <c r="BJ475" t="str">
        <f ca="1">IFERROR(IF(0=LEN(ReferenceData!$BJ$475),"",ReferenceData!$BJ$475),"")</f>
        <v/>
      </c>
      <c r="BK475" t="str">
        <f ca="1">IFERROR(IF(0=LEN(ReferenceData!$BK$475),"",ReferenceData!$BK$475),"")</f>
        <v/>
      </c>
      <c r="BL475" t="str">
        <f ca="1">IFERROR(IF(0=LEN(ReferenceData!$BL$475),"",ReferenceData!$BL$475),"")</f>
        <v/>
      </c>
      <c r="BM475" t="str">
        <f ca="1">IFERROR(IF(0=LEN(ReferenceData!$BM$475),"",ReferenceData!$BM$475),"")</f>
        <v/>
      </c>
    </row>
    <row r="476" spans="1:65" x14ac:dyDescent="0.25">
      <c r="A476" t="str">
        <f>IFERROR(IF(0=LEN(ReferenceData!$A$476),"",ReferenceData!$A$476),"")</f>
        <v xml:space="preserve">    Honda Motor Co Ltd</v>
      </c>
      <c r="B476" t="str">
        <f>IFERROR(IF(0=LEN(ReferenceData!$B$476),"",ReferenceData!$B$476),"")</f>
        <v>7267 JP Equity</v>
      </c>
      <c r="C476" t="str">
        <f>IFERROR(IF(0=LEN(ReferenceData!$C$476),"",ReferenceData!$C$476),"")</f>
        <v>RR476</v>
      </c>
      <c r="D476" t="str">
        <f>IFERROR(IF(0=LEN(ReferenceData!$D$476),"",ReferenceData!$D$476),"")</f>
        <v>EV_TO_T12M_NET_INCOME</v>
      </c>
      <c r="E476" t="str">
        <f>IFERROR(IF(0=LEN(ReferenceData!$E$476),"",ReferenceData!$E$476),"")</f>
        <v>Dynamic</v>
      </c>
      <c r="F476" t="str">
        <f ca="1">IFERROR(IF(0=LEN(ReferenceData!$F$476),"",ReferenceData!$F$476),"")</f>
        <v/>
      </c>
      <c r="G476">
        <f ca="1">IFERROR(IF(0=LEN(ReferenceData!$G$476),"",ReferenceData!$G$476),"")</f>
        <v>14.117025679999999</v>
      </c>
      <c r="H476">
        <f ca="1">IFERROR(IF(0=LEN(ReferenceData!$H$476),"",ReferenceData!$H$476),"")</f>
        <v>10.035534350000001</v>
      </c>
      <c r="I476">
        <f ca="1">IFERROR(IF(0=LEN(ReferenceData!$I$476),"",ReferenceData!$I$476),"")</f>
        <v>9.9069539150000008</v>
      </c>
      <c r="J476">
        <f ca="1">IFERROR(IF(0=LEN(ReferenceData!$J$476),"",ReferenceData!$J$476),"")</f>
        <v>10.78429131</v>
      </c>
      <c r="K476">
        <f ca="1">IFERROR(IF(0=LEN(ReferenceData!$K$476),"",ReferenceData!$K$476),"")</f>
        <v>11.54117222</v>
      </c>
      <c r="L476">
        <f ca="1">IFERROR(IF(0=LEN(ReferenceData!$L$476),"",ReferenceData!$L$476),"")</f>
        <v>17.117251670000002</v>
      </c>
      <c r="M476">
        <f ca="1">IFERROR(IF(0=LEN(ReferenceData!$M$476),"",ReferenceData!$M$476),"")</f>
        <v>16.344556860000001</v>
      </c>
      <c r="N476">
        <f ca="1">IFERROR(IF(0=LEN(ReferenceData!$N$476),"",ReferenceData!$N$476),"")</f>
        <v>17.9805952</v>
      </c>
      <c r="O476">
        <f ca="1">IFERROR(IF(0=LEN(ReferenceData!$O$476),"",ReferenceData!$O$476),"")</f>
        <v>27.05804449</v>
      </c>
      <c r="P476">
        <f ca="1">IFERROR(IF(0=LEN(ReferenceData!$P$476),"",ReferenceData!$P$476),"")</f>
        <v>25.701627380000001</v>
      </c>
      <c r="Q476">
        <f ca="1">IFERROR(IF(0=LEN(ReferenceData!$Q$476),"",ReferenceData!$Q$476),"")</f>
        <v>27.996834669999998</v>
      </c>
      <c r="R476">
        <f ca="1">IFERROR(IF(0=LEN(ReferenceData!$R$476),"",ReferenceData!$R$476),"")</f>
        <v>30.970217309999999</v>
      </c>
      <c r="S476">
        <f ca="1">IFERROR(IF(0=LEN(ReferenceData!$S$476),"",ReferenceData!$S$476),"")</f>
        <v>23.382297550000001</v>
      </c>
      <c r="T476">
        <f ca="1">IFERROR(IF(0=LEN(ReferenceData!$T$476),"",ReferenceData!$T$476),"")</f>
        <v>20.905513089999999</v>
      </c>
      <c r="U476">
        <f ca="1">IFERROR(IF(0=LEN(ReferenceData!$U$476),"",ReferenceData!$U$476),"")</f>
        <v>22.85605683</v>
      </c>
      <c r="V476">
        <f ca="1">IFERROR(IF(0=LEN(ReferenceData!$V$476),"",ReferenceData!$V$476),"")</f>
        <v>23.976420090000001</v>
      </c>
      <c r="W476">
        <f ca="1">IFERROR(IF(0=LEN(ReferenceData!$W$476),"",ReferenceData!$W$476),"")</f>
        <v>20.352077380000001</v>
      </c>
      <c r="X476">
        <f ca="1">IFERROR(IF(0=LEN(ReferenceData!$X$476),"",ReferenceData!$X$476),"")</f>
        <v>20.077617109999998</v>
      </c>
      <c r="Y476">
        <f ca="1">IFERROR(IF(0=LEN(ReferenceData!$Y$476),"",ReferenceData!$Y$476),"")</f>
        <v>18.610542689999999</v>
      </c>
      <c r="Z476">
        <f ca="1">IFERROR(IF(0=LEN(ReferenceData!$Z$476),"",ReferenceData!$Z$476),"")</f>
        <v>19.91249925</v>
      </c>
      <c r="AA476">
        <f ca="1">IFERROR(IF(0=LEN(ReferenceData!$AA$476),"",ReferenceData!$AA$476),"")</f>
        <v>26.63155673</v>
      </c>
      <c r="AB476">
        <f ca="1">IFERROR(IF(0=LEN(ReferenceData!$AB$476),"",ReferenceData!$AB$476),"")</f>
        <v>28.197743890000002</v>
      </c>
      <c r="AC476">
        <f ca="1">IFERROR(IF(0=LEN(ReferenceData!$AC$476),"",ReferenceData!$AC$476),"")</f>
        <v>30.43361045</v>
      </c>
      <c r="AD476">
        <f ca="1">IFERROR(IF(0=LEN(ReferenceData!$AD$476),"",ReferenceData!$AD$476),"")</f>
        <v>27.932778970000001</v>
      </c>
      <c r="AE476">
        <f ca="1">IFERROR(IF(0=LEN(ReferenceData!$AE$476),"",ReferenceData!$AE$476),"")</f>
        <v>25.424808970000001</v>
      </c>
      <c r="AF476">
        <f ca="1">IFERROR(IF(0=LEN(ReferenceData!$AF$476),"",ReferenceData!$AF$476),"")</f>
        <v>22.456050569999999</v>
      </c>
      <c r="AG476">
        <f ca="1">IFERROR(IF(0=LEN(ReferenceData!$AG$476),"",ReferenceData!$AG$476),"")</f>
        <v>25.489332789999999</v>
      </c>
      <c r="AH476">
        <f ca="1">IFERROR(IF(0=LEN(ReferenceData!$AH$476),"",ReferenceData!$AH$476),"")</f>
        <v>40.939839390000003</v>
      </c>
      <c r="AI476">
        <f ca="1">IFERROR(IF(0=LEN(ReferenceData!$AI$476),"",ReferenceData!$AI$476),"")</f>
        <v>38.162321310000003</v>
      </c>
      <c r="AJ476">
        <f ca="1">IFERROR(IF(0=LEN(ReferenceData!$AJ$476),"",ReferenceData!$AJ$476),"")</f>
        <v>30.742156420000001</v>
      </c>
      <c r="AK476">
        <f ca="1">IFERROR(IF(0=LEN(ReferenceData!$AK$476),"",ReferenceData!$AK$476),"")</f>
        <v>28.811375869999999</v>
      </c>
      <c r="AL476">
        <f ca="1">IFERROR(IF(0=LEN(ReferenceData!$AL$476),"",ReferenceData!$AL$476),"")</f>
        <v>16.077015129999999</v>
      </c>
      <c r="AM476">
        <f ca="1">IFERROR(IF(0=LEN(ReferenceData!$AM$476),"",ReferenceData!$AM$476),"")</f>
        <v>15.69543897</v>
      </c>
      <c r="AN476">
        <f ca="1">IFERROR(IF(0=LEN(ReferenceData!$AN$476),"",ReferenceData!$AN$476),"")</f>
        <v>13.43525608</v>
      </c>
      <c r="AO476">
        <f ca="1">IFERROR(IF(0=LEN(ReferenceData!$AO$476),"",ReferenceData!$AO$476),"")</f>
        <v>14.581782199999999</v>
      </c>
      <c r="AP476">
        <f ca="1">IFERROR(IF(0=LEN(ReferenceData!$AP$476),"",ReferenceData!$AP$476),"")</f>
        <v>33.887436770000001</v>
      </c>
      <c r="AQ476">
        <f ca="1">IFERROR(IF(0=LEN(ReferenceData!$AQ$476),"",ReferenceData!$AQ$476),"")</f>
        <v>889.62139749999994</v>
      </c>
      <c r="AR476" t="str">
        <f ca="1">IFERROR(IF(0=LEN(ReferenceData!$AR$476),"",ReferenceData!$AR$476),"")</f>
        <v/>
      </c>
      <c r="AS476" t="str">
        <f ca="1">IFERROR(IF(0=LEN(ReferenceData!$AS$476),"",ReferenceData!$AS$476),"")</f>
        <v/>
      </c>
      <c r="AT476">
        <f ca="1">IFERROR(IF(0=LEN(ReferenceData!$AT$476),"",ReferenceData!$AT$476),"")</f>
        <v>60.22032652</v>
      </c>
      <c r="AU476">
        <f ca="1">IFERROR(IF(0=LEN(ReferenceData!$AU$476),"",ReferenceData!$AU$476),"")</f>
        <v>21.190278679999999</v>
      </c>
      <c r="AV476">
        <f ca="1">IFERROR(IF(0=LEN(ReferenceData!$AV$476),"",ReferenceData!$AV$476),"")</f>
        <v>18.439570360000001</v>
      </c>
      <c r="AW476">
        <f ca="1">IFERROR(IF(0=LEN(ReferenceData!$AW$476),"",ReferenceData!$AW$476),"")</f>
        <v>17.090313470000002</v>
      </c>
      <c r="AX476">
        <f ca="1">IFERROR(IF(0=LEN(ReferenceData!$AX$476),"",ReferenceData!$AX$476),"")</f>
        <v>14.40827567</v>
      </c>
      <c r="AY476">
        <f ca="1">IFERROR(IF(0=LEN(ReferenceData!$AY$476),"",ReferenceData!$AY$476),"")</f>
        <v>14.109647259999999</v>
      </c>
      <c r="AZ476">
        <f ca="1">IFERROR(IF(0=LEN(ReferenceData!$AZ$476),"",ReferenceData!$AZ$476),"")</f>
        <v>15.18348465</v>
      </c>
      <c r="BA476">
        <f ca="1">IFERROR(IF(0=LEN(ReferenceData!$BA$476),"",ReferenceData!$BA$476),"")</f>
        <v>19.10825238</v>
      </c>
      <c r="BB476">
        <f ca="1">IFERROR(IF(0=LEN(ReferenceData!$BB$476),"",ReferenceData!$BB$476),"")</f>
        <v>17.84091905</v>
      </c>
      <c r="BC476">
        <f ca="1">IFERROR(IF(0=LEN(ReferenceData!$BC$476),"",ReferenceData!$BC$476),"")</f>
        <v>18.397609509999999</v>
      </c>
      <c r="BD476">
        <f ca="1">IFERROR(IF(0=LEN(ReferenceData!$BD$476),"",ReferenceData!$BD$476),"")</f>
        <v>16.24473046</v>
      </c>
      <c r="BE476">
        <f ca="1">IFERROR(IF(0=LEN(ReferenceData!$BE$476),"",ReferenceData!$BE$476),"")</f>
        <v>14.877481700000001</v>
      </c>
      <c r="BF476">
        <f ca="1">IFERROR(IF(0=LEN(ReferenceData!$BF$476),"",ReferenceData!$BF$476),"")</f>
        <v>15.390805110000001</v>
      </c>
      <c r="BG476">
        <f ca="1">IFERROR(IF(0=LEN(ReferenceData!$BG$476),"",ReferenceData!$BG$476),"")</f>
        <v>18.54106371</v>
      </c>
      <c r="BH476">
        <f ca="1">IFERROR(IF(0=LEN(ReferenceData!$BH$476),"",ReferenceData!$BH$476),"")</f>
        <v>16.845549030000001</v>
      </c>
      <c r="BI476" t="str">
        <f ca="1">IFERROR(IF(0=LEN(ReferenceData!$BI$476),"",ReferenceData!$BI$476),"")</f>
        <v/>
      </c>
      <c r="BJ476">
        <f ca="1">IFERROR(IF(0=LEN(ReferenceData!$BJ$476),"",ReferenceData!$BJ$476),"")</f>
        <v>14.492532600000001</v>
      </c>
      <c r="BK476" t="str">
        <f ca="1">IFERROR(IF(0=LEN(ReferenceData!$BK$476),"",ReferenceData!$BK$476),"")</f>
        <v/>
      </c>
      <c r="BL476">
        <f ca="1">IFERROR(IF(0=LEN(ReferenceData!$BL$476),"",ReferenceData!$BL$476),"")</f>
        <v>15.332849530000001</v>
      </c>
      <c r="BM476" t="str">
        <f ca="1">IFERROR(IF(0=LEN(ReferenceData!$BM$476),"",ReferenceData!$BM$476),"")</f>
        <v/>
      </c>
    </row>
    <row r="477" spans="1:65" x14ac:dyDescent="0.25">
      <c r="A477" t="str">
        <f>IFERROR(IF(0=LEN(ReferenceData!$A$477),"",ReferenceData!$A$477),"")</f>
        <v xml:space="preserve">    Hyundai Motor Co</v>
      </c>
      <c r="B477" t="str">
        <f>IFERROR(IF(0=LEN(ReferenceData!$B$477),"",ReferenceData!$B$477),"")</f>
        <v>005380 KS Equity</v>
      </c>
      <c r="C477" t="str">
        <f>IFERROR(IF(0=LEN(ReferenceData!$C$477),"",ReferenceData!$C$477),"")</f>
        <v>RR476</v>
      </c>
      <c r="D477" t="str">
        <f>IFERROR(IF(0=LEN(ReferenceData!$D$477),"",ReferenceData!$D$477),"")</f>
        <v>EV_TO_T12M_NET_INCOME</v>
      </c>
      <c r="E477" t="str">
        <f>IFERROR(IF(0=LEN(ReferenceData!$E$477),"",ReferenceData!$E$477),"")</f>
        <v>Dynamic</v>
      </c>
      <c r="F477" t="str">
        <f ca="1">IFERROR(IF(0=LEN(ReferenceData!$F$477),"",ReferenceData!$F$477),"")</f>
        <v/>
      </c>
      <c r="G477" t="str">
        <f ca="1">IFERROR(IF(0=LEN(ReferenceData!$G$477),"",ReferenceData!$G$477),"")</f>
        <v/>
      </c>
      <c r="H477">
        <f ca="1">IFERROR(IF(0=LEN(ReferenceData!$H$477),"",ReferenceData!$H$477),"")</f>
        <v>29.082402250000001</v>
      </c>
      <c r="I477">
        <f ca="1">IFERROR(IF(0=LEN(ReferenceData!$I$477),"",ReferenceData!$I$477),"")</f>
        <v>23.710713340000002</v>
      </c>
      <c r="J477">
        <f ca="1">IFERROR(IF(0=LEN(ReferenceData!$J$477),"",ReferenceData!$J$477),"")</f>
        <v>23.476814919999999</v>
      </c>
      <c r="K477">
        <f ca="1">IFERROR(IF(0=LEN(ReferenceData!$K$477),"",ReferenceData!$K$477),"")</f>
        <v>19.45164965</v>
      </c>
      <c r="L477">
        <f ca="1">IFERROR(IF(0=LEN(ReferenceData!$L$477),"",ReferenceData!$L$477),"")</f>
        <v>20.069540060000001</v>
      </c>
      <c r="M477">
        <f ca="1">IFERROR(IF(0=LEN(ReferenceData!$M$477),"",ReferenceData!$M$477),"")</f>
        <v>19.10360155</v>
      </c>
      <c r="N477">
        <f ca="1">IFERROR(IF(0=LEN(ReferenceData!$N$477),"",ReferenceData!$N$477),"")</f>
        <v>15.500740199999999</v>
      </c>
      <c r="O477">
        <f ca="1">IFERROR(IF(0=LEN(ReferenceData!$O$477),"",ReferenceData!$O$477),"")</f>
        <v>14.618920579999999</v>
      </c>
      <c r="P477">
        <f ca="1">IFERROR(IF(0=LEN(ReferenceData!$P$477),"",ReferenceData!$P$477),"")</f>
        <v>11.98947677</v>
      </c>
      <c r="Q477">
        <f ca="1">IFERROR(IF(0=LEN(ReferenceData!$Q$477),"",ReferenceData!$Q$477),"")</f>
        <v>11.967982109999999</v>
      </c>
      <c r="R477">
        <f ca="1">IFERROR(IF(0=LEN(ReferenceData!$R$477),"",ReferenceData!$R$477),"")</f>
        <v>12.317722460000001</v>
      </c>
      <c r="S477">
        <f ca="1">IFERROR(IF(0=LEN(ReferenceData!$S$477),"",ReferenceData!$S$477),"")</f>
        <v>11.530866899999999</v>
      </c>
      <c r="T477">
        <f ca="1">IFERROR(IF(0=LEN(ReferenceData!$T$477),"",ReferenceData!$T$477),"")</f>
        <v>11.715286649999999</v>
      </c>
      <c r="U477">
        <f ca="1">IFERROR(IF(0=LEN(ReferenceData!$U$477),"",ReferenceData!$U$477),"")</f>
        <v>9.5249842789999999</v>
      </c>
      <c r="V477">
        <f ca="1">IFERROR(IF(0=LEN(ReferenceData!$V$477),"",ReferenceData!$V$477),"")</f>
        <v>9.3596406420000005</v>
      </c>
      <c r="W477">
        <f ca="1">IFERROR(IF(0=LEN(ReferenceData!$W$477),"",ReferenceData!$W$477),"")</f>
        <v>9.0654638320000007</v>
      </c>
      <c r="X477">
        <f ca="1">IFERROR(IF(0=LEN(ReferenceData!$X$477),"",ReferenceData!$X$477),"")</f>
        <v>8.694701513</v>
      </c>
      <c r="Y477">
        <f ca="1">IFERROR(IF(0=LEN(ReferenceData!$Y$477),"",ReferenceData!$Y$477),"")</f>
        <v>8.8370322350000006</v>
      </c>
      <c r="Z477">
        <f ca="1">IFERROR(IF(0=LEN(ReferenceData!$Z$477),"",ReferenceData!$Z$477),"")</f>
        <v>9.3841183309999998</v>
      </c>
      <c r="AA477">
        <f ca="1">IFERROR(IF(0=LEN(ReferenceData!$AA$477),"",ReferenceData!$AA$477),"")</f>
        <v>9.1062668000000002</v>
      </c>
      <c r="AB477">
        <f ca="1">IFERROR(IF(0=LEN(ReferenceData!$AB$477),"",ReferenceData!$AB$477),"")</f>
        <v>9.6632207080000008</v>
      </c>
      <c r="AC477">
        <f ca="1">IFERROR(IF(0=LEN(ReferenceData!$AC$477),"",ReferenceData!$AC$477),"")</f>
        <v>9.1519405070000008</v>
      </c>
      <c r="AD477">
        <f ca="1">IFERROR(IF(0=LEN(ReferenceData!$AD$477),"",ReferenceData!$AD$477),"")</f>
        <v>9.2387720610000006</v>
      </c>
      <c r="AE477">
        <f ca="1">IFERROR(IF(0=LEN(ReferenceData!$AE$477),"",ReferenceData!$AE$477),"")</f>
        <v>8.687852243</v>
      </c>
      <c r="AF477">
        <f ca="1">IFERROR(IF(0=LEN(ReferenceData!$AF$477),"",ReferenceData!$AF$477),"")</f>
        <v>9.2756477820000001</v>
      </c>
      <c r="AG477">
        <f ca="1">IFERROR(IF(0=LEN(ReferenceData!$AG$477),"",ReferenceData!$AG$477),"")</f>
        <v>9.0693959730000007</v>
      </c>
      <c r="AH477">
        <f ca="1">IFERROR(IF(0=LEN(ReferenceData!$AH$477),"",ReferenceData!$AH$477),"")</f>
        <v>9.4923857589999994</v>
      </c>
      <c r="AI477">
        <f ca="1">IFERROR(IF(0=LEN(ReferenceData!$AI$477),"",ReferenceData!$AI$477),"")</f>
        <v>9.7085648120000005</v>
      </c>
      <c r="AJ477">
        <f ca="1">IFERROR(IF(0=LEN(ReferenceData!$AJ$477),"",ReferenceData!$AJ$477),"")</f>
        <v>10.32288883</v>
      </c>
      <c r="AK477">
        <f ca="1">IFERROR(IF(0=LEN(ReferenceData!$AK$477),"",ReferenceData!$AK$477),"")</f>
        <v>11.3601274</v>
      </c>
      <c r="AL477">
        <f ca="1">IFERROR(IF(0=LEN(ReferenceData!$AL$477),"",ReferenceData!$AL$477),"")</f>
        <v>10.89963762</v>
      </c>
      <c r="AM477">
        <f ca="1">IFERROR(IF(0=LEN(ReferenceData!$AM$477),"",ReferenceData!$AM$477),"")</f>
        <v>11.26238077</v>
      </c>
      <c r="AN477" t="str">
        <f ca="1">IFERROR(IF(0=LEN(ReferenceData!$AN$477),"",ReferenceData!$AN$477),"")</f>
        <v/>
      </c>
      <c r="AO477" t="str">
        <f ca="1">IFERROR(IF(0=LEN(ReferenceData!$AO$477),"",ReferenceData!$AO$477),"")</f>
        <v/>
      </c>
      <c r="AP477" t="str">
        <f ca="1">IFERROR(IF(0=LEN(ReferenceData!$AP$477),"",ReferenceData!$AP$477),"")</f>
        <v/>
      </c>
      <c r="AQ477" t="str">
        <f ca="1">IFERROR(IF(0=LEN(ReferenceData!$AQ$477),"",ReferenceData!$AQ$477),"")</f>
        <v/>
      </c>
      <c r="AR477" t="str">
        <f ca="1">IFERROR(IF(0=LEN(ReferenceData!$AR$477),"",ReferenceData!$AR$477),"")</f>
        <v/>
      </c>
      <c r="AS477" t="str">
        <f ca="1">IFERROR(IF(0=LEN(ReferenceData!$AS$477),"",ReferenceData!$AS$477),"")</f>
        <v/>
      </c>
      <c r="AT477" t="str">
        <f ca="1">IFERROR(IF(0=LEN(ReferenceData!$AT$477),"",ReferenceData!$AT$477),"")</f>
        <v/>
      </c>
      <c r="AU477" t="str">
        <f ca="1">IFERROR(IF(0=LEN(ReferenceData!$AU$477),"",ReferenceData!$AU$477),"")</f>
        <v/>
      </c>
      <c r="AV477" t="str">
        <f ca="1">IFERROR(IF(0=LEN(ReferenceData!$AV$477),"",ReferenceData!$AV$477),"")</f>
        <v/>
      </c>
      <c r="AW477" t="str">
        <f ca="1">IFERROR(IF(0=LEN(ReferenceData!$AW$477),"",ReferenceData!$AW$477),"")</f>
        <v/>
      </c>
      <c r="AX477" t="str">
        <f ca="1">IFERROR(IF(0=LEN(ReferenceData!$AX$477),"",ReferenceData!$AX$477),"")</f>
        <v/>
      </c>
      <c r="AY477" t="str">
        <f ca="1">IFERROR(IF(0=LEN(ReferenceData!$AY$477),"",ReferenceData!$AY$477),"")</f>
        <v/>
      </c>
      <c r="AZ477" t="str">
        <f ca="1">IFERROR(IF(0=LEN(ReferenceData!$AZ$477),"",ReferenceData!$AZ$477),"")</f>
        <v/>
      </c>
      <c r="BA477" t="str">
        <f ca="1">IFERROR(IF(0=LEN(ReferenceData!$BA$477),"",ReferenceData!$BA$477),"")</f>
        <v/>
      </c>
      <c r="BB477" t="str">
        <f ca="1">IFERROR(IF(0=LEN(ReferenceData!$BB$477),"",ReferenceData!$BB$477),"")</f>
        <v/>
      </c>
      <c r="BC477" t="str">
        <f ca="1">IFERROR(IF(0=LEN(ReferenceData!$BC$477),"",ReferenceData!$BC$477),"")</f>
        <v/>
      </c>
      <c r="BD477" t="str">
        <f ca="1">IFERROR(IF(0=LEN(ReferenceData!$BD$477),"",ReferenceData!$BD$477),"")</f>
        <v/>
      </c>
      <c r="BE477" t="str">
        <f ca="1">IFERROR(IF(0=LEN(ReferenceData!$BE$477),"",ReferenceData!$BE$477),"")</f>
        <v/>
      </c>
      <c r="BF477" t="str">
        <f ca="1">IFERROR(IF(0=LEN(ReferenceData!$BF$477),"",ReferenceData!$BF$477),"")</f>
        <v/>
      </c>
      <c r="BG477" t="str">
        <f ca="1">IFERROR(IF(0=LEN(ReferenceData!$BG$477),"",ReferenceData!$BG$477),"")</f>
        <v/>
      </c>
      <c r="BH477" t="str">
        <f ca="1">IFERROR(IF(0=LEN(ReferenceData!$BH$477),"",ReferenceData!$BH$477),"")</f>
        <v/>
      </c>
      <c r="BI477" t="str">
        <f ca="1">IFERROR(IF(0=LEN(ReferenceData!$BI$477),"",ReferenceData!$BI$477),"")</f>
        <v/>
      </c>
      <c r="BJ477" t="str">
        <f ca="1">IFERROR(IF(0=LEN(ReferenceData!$BJ$477),"",ReferenceData!$BJ$477),"")</f>
        <v/>
      </c>
      <c r="BK477" t="str">
        <f ca="1">IFERROR(IF(0=LEN(ReferenceData!$BK$477),"",ReferenceData!$BK$477),"")</f>
        <v/>
      </c>
      <c r="BL477" t="str">
        <f ca="1">IFERROR(IF(0=LEN(ReferenceData!$BL$477),"",ReferenceData!$BL$477),"")</f>
        <v/>
      </c>
      <c r="BM477" t="str">
        <f ca="1">IFERROR(IF(0=LEN(ReferenceData!$BM$477),"",ReferenceData!$BM$477),"")</f>
        <v/>
      </c>
    </row>
    <row r="478" spans="1:65" x14ac:dyDescent="0.25">
      <c r="A478" t="str">
        <f>IFERROR(IF(0=LEN(ReferenceData!$A$478),"",ReferenceData!$A$478),"")</f>
        <v xml:space="preserve">    Kia Motors Corp</v>
      </c>
      <c r="B478" t="str">
        <f>IFERROR(IF(0=LEN(ReferenceData!$B$478),"",ReferenceData!$B$478),"")</f>
        <v>000270 KS Equity</v>
      </c>
      <c r="C478" t="str">
        <f>IFERROR(IF(0=LEN(ReferenceData!$C$478),"",ReferenceData!$C$478),"")</f>
        <v>RR476</v>
      </c>
      <c r="D478" t="str">
        <f>IFERROR(IF(0=LEN(ReferenceData!$D$478),"",ReferenceData!$D$478),"")</f>
        <v>EV_TO_T12M_NET_INCOME</v>
      </c>
      <c r="E478" t="str">
        <f>IFERROR(IF(0=LEN(ReferenceData!$E$478),"",ReferenceData!$E$478),"")</f>
        <v>Dynamic</v>
      </c>
      <c r="F478" t="str">
        <f ca="1">IFERROR(IF(0=LEN(ReferenceData!$F$478),"",ReferenceData!$F$478),"")</f>
        <v/>
      </c>
      <c r="G478" t="str">
        <f ca="1">IFERROR(IF(0=LEN(ReferenceData!$G$478),"",ReferenceData!$G$478),"")</f>
        <v/>
      </c>
      <c r="H478">
        <f ca="1">IFERROR(IF(0=LEN(ReferenceData!$H$478),"",ReferenceData!$H$478),"")</f>
        <v>9.063876896</v>
      </c>
      <c r="I478">
        <f ca="1">IFERROR(IF(0=LEN(ReferenceData!$I$478),"",ReferenceData!$I$478),"")</f>
        <v>16.588107520000001</v>
      </c>
      <c r="J478">
        <f ca="1">IFERROR(IF(0=LEN(ReferenceData!$J$478),"",ReferenceData!$J$478),"")</f>
        <v>16.991096970000001</v>
      </c>
      <c r="K478">
        <f ca="1">IFERROR(IF(0=LEN(ReferenceData!$K$478),"",ReferenceData!$K$478),"")</f>
        <v>12.607637779999999</v>
      </c>
      <c r="L478">
        <f ca="1">IFERROR(IF(0=LEN(ReferenceData!$L$478),"",ReferenceData!$L$478),"")</f>
        <v>8.6618240310000001</v>
      </c>
      <c r="M478">
        <f ca="1">IFERROR(IF(0=LEN(ReferenceData!$M$478),"",ReferenceData!$M$478),"")</f>
        <v>6.5052171300000001</v>
      </c>
      <c r="N478">
        <f ca="1">IFERROR(IF(0=LEN(ReferenceData!$N$478),"",ReferenceData!$N$478),"")</f>
        <v>5.3293830450000002</v>
      </c>
      <c r="O478">
        <f ca="1">IFERROR(IF(0=LEN(ReferenceData!$O$478),"",ReferenceData!$O$478),"")</f>
        <v>5.4005624579999996</v>
      </c>
      <c r="P478">
        <f ca="1">IFERROR(IF(0=LEN(ReferenceData!$P$478),"",ReferenceData!$P$478),"")</f>
        <v>4.9219461149999999</v>
      </c>
      <c r="Q478">
        <f ca="1">IFERROR(IF(0=LEN(ReferenceData!$Q$478),"",ReferenceData!$Q$478),"")</f>
        <v>5.5312408790000003</v>
      </c>
      <c r="R478">
        <f ca="1">IFERROR(IF(0=LEN(ReferenceData!$R$478),"",ReferenceData!$R$478),"")</f>
        <v>7.2720644400000003</v>
      </c>
      <c r="S478">
        <f ca="1">IFERROR(IF(0=LEN(ReferenceData!$S$478),"",ReferenceData!$S$478),"")</f>
        <v>7.461823764</v>
      </c>
      <c r="T478">
        <f ca="1">IFERROR(IF(0=LEN(ReferenceData!$T$478),"",ReferenceData!$T$478),"")</f>
        <v>7.0606310240000001</v>
      </c>
      <c r="U478">
        <f ca="1">IFERROR(IF(0=LEN(ReferenceData!$U$478),"",ReferenceData!$U$478),"")</f>
        <v>5.6904145010000002</v>
      </c>
      <c r="V478">
        <f ca="1">IFERROR(IF(0=LEN(ReferenceData!$V$478),"",ReferenceData!$V$478),"")</f>
        <v>5.1532383020000001</v>
      </c>
      <c r="W478">
        <f ca="1">IFERROR(IF(0=LEN(ReferenceData!$W$478),"",ReferenceData!$W$478),"")</f>
        <v>5.7865947650000003</v>
      </c>
      <c r="X478">
        <f ca="1">IFERROR(IF(0=LEN(ReferenceData!$X$478),"",ReferenceData!$X$478),"")</f>
        <v>4.9576425689999999</v>
      </c>
      <c r="Y478">
        <f ca="1">IFERROR(IF(0=LEN(ReferenceData!$Y$478),"",ReferenceData!$Y$478),"")</f>
        <v>5.1071399739999999</v>
      </c>
      <c r="Z478">
        <f ca="1">IFERROR(IF(0=LEN(ReferenceData!$Z$478),"",ReferenceData!$Z$478),"")</f>
        <v>5.0647593469999999</v>
      </c>
      <c r="AA478">
        <f ca="1">IFERROR(IF(0=LEN(ReferenceData!$AA$478),"",ReferenceData!$AA$478),"")</f>
        <v>4.8380372060000001</v>
      </c>
      <c r="AB478">
        <f ca="1">IFERROR(IF(0=LEN(ReferenceData!$AB$478),"",ReferenceData!$AB$478),"")</f>
        <v>6.0954804349999998</v>
      </c>
      <c r="AC478">
        <f ca="1">IFERROR(IF(0=LEN(ReferenceData!$AC$478),"",ReferenceData!$AC$478),"")</f>
        <v>6.0938216450000002</v>
      </c>
      <c r="AD478">
        <f ca="1">IFERROR(IF(0=LEN(ReferenceData!$AD$478),"",ReferenceData!$AD$478),"")</f>
        <v>5.9177375860000003</v>
      </c>
      <c r="AE478">
        <f ca="1">IFERROR(IF(0=LEN(ReferenceData!$AE$478),"",ReferenceData!$AE$478),"")</f>
        <v>5.3981325140000003</v>
      </c>
      <c r="AF478">
        <f ca="1">IFERROR(IF(0=LEN(ReferenceData!$AF$478),"",ReferenceData!$AF$478),"")</f>
        <v>6.4924618829999998</v>
      </c>
      <c r="AG478">
        <f ca="1">IFERROR(IF(0=LEN(ReferenceData!$AG$478),"",ReferenceData!$AG$478),"")</f>
        <v>7.7276244920000003</v>
      </c>
      <c r="AH478">
        <f ca="1">IFERROR(IF(0=LEN(ReferenceData!$AH$478),"",ReferenceData!$AH$478),"")</f>
        <v>7.9760366899999999</v>
      </c>
      <c r="AI478">
        <f ca="1">IFERROR(IF(0=LEN(ReferenceData!$AI$478),"",ReferenceData!$AI$478),"")</f>
        <v>8.0065567479999995</v>
      </c>
      <c r="AJ478">
        <f ca="1">IFERROR(IF(0=LEN(ReferenceData!$AJ$478),"",ReferenceData!$AJ$478),"")</f>
        <v>8.3603125009999992</v>
      </c>
      <c r="AK478">
        <f ca="1">IFERROR(IF(0=LEN(ReferenceData!$AK$478),"",ReferenceData!$AK$478),"")</f>
        <v>8.3457687200000006</v>
      </c>
      <c r="AL478">
        <f ca="1">IFERROR(IF(0=LEN(ReferenceData!$AL$478),"",ReferenceData!$AL$478),"")</f>
        <v>9.3176335619999993</v>
      </c>
      <c r="AM478" t="str">
        <f ca="1">IFERROR(IF(0=LEN(ReferenceData!$AM$478),"",ReferenceData!$AM$478),"")</f>
        <v/>
      </c>
      <c r="AN478" t="str">
        <f ca="1">IFERROR(IF(0=LEN(ReferenceData!$AN$478),"",ReferenceData!$AN$478),"")</f>
        <v/>
      </c>
      <c r="AO478" t="str">
        <f ca="1">IFERROR(IF(0=LEN(ReferenceData!$AO$478),"",ReferenceData!$AO$478),"")</f>
        <v/>
      </c>
      <c r="AP478" t="str">
        <f ca="1">IFERROR(IF(0=LEN(ReferenceData!$AP$478),"",ReferenceData!$AP$478),"")</f>
        <v/>
      </c>
      <c r="AQ478" t="str">
        <f ca="1">IFERROR(IF(0=LEN(ReferenceData!$AQ$478),"",ReferenceData!$AQ$478),"")</f>
        <v/>
      </c>
      <c r="AR478" t="str">
        <f ca="1">IFERROR(IF(0=LEN(ReferenceData!$AR$478),"",ReferenceData!$AR$478),"")</f>
        <v/>
      </c>
      <c r="AS478" t="str">
        <f ca="1">IFERROR(IF(0=LEN(ReferenceData!$AS$478),"",ReferenceData!$AS$478),"")</f>
        <v/>
      </c>
      <c r="AT478" t="str">
        <f ca="1">IFERROR(IF(0=LEN(ReferenceData!$AT$478),"",ReferenceData!$AT$478),"")</f>
        <v/>
      </c>
      <c r="AU478" t="str">
        <f ca="1">IFERROR(IF(0=LEN(ReferenceData!$AU$478),"",ReferenceData!$AU$478),"")</f>
        <v/>
      </c>
      <c r="AV478" t="str">
        <f ca="1">IFERROR(IF(0=LEN(ReferenceData!$AV$478),"",ReferenceData!$AV$478),"")</f>
        <v/>
      </c>
      <c r="AW478" t="str">
        <f ca="1">IFERROR(IF(0=LEN(ReferenceData!$AW$478),"",ReferenceData!$AW$478),"")</f>
        <v/>
      </c>
      <c r="AX478" t="str">
        <f ca="1">IFERROR(IF(0=LEN(ReferenceData!$AX$478),"",ReferenceData!$AX$478),"")</f>
        <v/>
      </c>
      <c r="AY478" t="str">
        <f ca="1">IFERROR(IF(0=LEN(ReferenceData!$AY$478),"",ReferenceData!$AY$478),"")</f>
        <v/>
      </c>
      <c r="AZ478" t="str">
        <f ca="1">IFERROR(IF(0=LEN(ReferenceData!$AZ$478),"",ReferenceData!$AZ$478),"")</f>
        <v/>
      </c>
      <c r="BA478" t="str">
        <f ca="1">IFERROR(IF(0=LEN(ReferenceData!$BA$478),"",ReferenceData!$BA$478),"")</f>
        <v/>
      </c>
      <c r="BB478" t="str">
        <f ca="1">IFERROR(IF(0=LEN(ReferenceData!$BB$478),"",ReferenceData!$BB$478),"")</f>
        <v/>
      </c>
      <c r="BC478" t="str">
        <f ca="1">IFERROR(IF(0=LEN(ReferenceData!$BC$478),"",ReferenceData!$BC$478),"")</f>
        <v/>
      </c>
      <c r="BD478" t="str">
        <f ca="1">IFERROR(IF(0=LEN(ReferenceData!$BD$478),"",ReferenceData!$BD$478),"")</f>
        <v/>
      </c>
      <c r="BE478" t="str">
        <f ca="1">IFERROR(IF(0=LEN(ReferenceData!$BE$478),"",ReferenceData!$BE$478),"")</f>
        <v/>
      </c>
      <c r="BF478" t="str">
        <f ca="1">IFERROR(IF(0=LEN(ReferenceData!$BF$478),"",ReferenceData!$BF$478),"")</f>
        <v/>
      </c>
      <c r="BG478" t="str">
        <f ca="1">IFERROR(IF(0=LEN(ReferenceData!$BG$478),"",ReferenceData!$BG$478),"")</f>
        <v/>
      </c>
      <c r="BH478" t="str">
        <f ca="1">IFERROR(IF(0=LEN(ReferenceData!$BH$478),"",ReferenceData!$BH$478),"")</f>
        <v/>
      </c>
      <c r="BI478" t="str">
        <f ca="1">IFERROR(IF(0=LEN(ReferenceData!$BI$478),"",ReferenceData!$BI$478),"")</f>
        <v/>
      </c>
      <c r="BJ478" t="str">
        <f ca="1">IFERROR(IF(0=LEN(ReferenceData!$BJ$478),"",ReferenceData!$BJ$478),"")</f>
        <v/>
      </c>
      <c r="BK478" t="str">
        <f ca="1">IFERROR(IF(0=LEN(ReferenceData!$BK$478),"",ReferenceData!$BK$478),"")</f>
        <v/>
      </c>
      <c r="BL478" t="str">
        <f ca="1">IFERROR(IF(0=LEN(ReferenceData!$BL$478),"",ReferenceData!$BL$478),"")</f>
        <v/>
      </c>
      <c r="BM478" t="str">
        <f ca="1">IFERROR(IF(0=LEN(ReferenceData!$BM$478),"",ReferenceData!$BM$478),"")</f>
        <v/>
      </c>
    </row>
    <row r="479" spans="1:65" x14ac:dyDescent="0.25">
      <c r="A479" t="str">
        <f>IFERROR(IF(0=LEN(ReferenceData!$A$479),"",ReferenceData!$A$479),"")</f>
        <v xml:space="preserve">    Mazda Motor Corp</v>
      </c>
      <c r="B479" t="str">
        <f>IFERROR(IF(0=LEN(ReferenceData!$B$479),"",ReferenceData!$B$479),"")</f>
        <v>7261 JP Equity</v>
      </c>
      <c r="C479" t="str">
        <f>IFERROR(IF(0=LEN(ReferenceData!$C$479),"",ReferenceData!$C$479),"")</f>
        <v>RR476</v>
      </c>
      <c r="D479" t="str">
        <f>IFERROR(IF(0=LEN(ReferenceData!$D$479),"",ReferenceData!$D$479),"")</f>
        <v>EV_TO_T12M_NET_INCOME</v>
      </c>
      <c r="E479" t="str">
        <f>IFERROR(IF(0=LEN(ReferenceData!$E$479),"",ReferenceData!$E$479),"")</f>
        <v>Dynamic</v>
      </c>
      <c r="F479" t="str">
        <f ca="1">IFERROR(IF(0=LEN(ReferenceData!$F$479),"",ReferenceData!$F$479),"")</f>
        <v/>
      </c>
      <c r="G479">
        <f ca="1">IFERROR(IF(0=LEN(ReferenceData!$G$479),"",ReferenceData!$G$479),"")</f>
        <v>10.405171470000001</v>
      </c>
      <c r="H479">
        <f ca="1">IFERROR(IF(0=LEN(ReferenceData!$H$479),"",ReferenceData!$H$479),"")</f>
        <v>10.555551919999999</v>
      </c>
      <c r="I479">
        <f ca="1">IFERROR(IF(0=LEN(ReferenceData!$I$479),"",ReferenceData!$I$479),"")</f>
        <v>8.2886337010000002</v>
      </c>
      <c r="J479">
        <f ca="1">IFERROR(IF(0=LEN(ReferenceData!$J$479),"",ReferenceData!$J$479),"")</f>
        <v>7.0930843140000004</v>
      </c>
      <c r="K479">
        <f ca="1">IFERROR(IF(0=LEN(ReferenceData!$K$479),"",ReferenceData!$K$479),"")</f>
        <v>9.3397371370000002</v>
      </c>
      <c r="L479">
        <f ca="1">IFERROR(IF(0=LEN(ReferenceData!$L$479),"",ReferenceData!$L$479),"")</f>
        <v>9.8792967820000008</v>
      </c>
      <c r="M479">
        <f ca="1">IFERROR(IF(0=LEN(ReferenceData!$M$479),"",ReferenceData!$M$479),"")</f>
        <v>8.6281540099999994</v>
      </c>
      <c r="N479">
        <f ca="1">IFERROR(IF(0=LEN(ReferenceData!$N$479),"",ReferenceData!$N$479),"")</f>
        <v>10.10085357</v>
      </c>
      <c r="O479">
        <f ca="1">IFERROR(IF(0=LEN(ReferenceData!$O$479),"",ReferenceData!$O$479),"")</f>
        <v>13.01672203</v>
      </c>
      <c r="P479">
        <f ca="1">IFERROR(IF(0=LEN(ReferenceData!$P$479),"",ReferenceData!$P$479),"")</f>
        <v>9.0135256580000007</v>
      </c>
      <c r="Q479">
        <f ca="1">IFERROR(IF(0=LEN(ReferenceData!$Q$479),"",ReferenceData!$Q$479),"")</f>
        <v>7.1639726110000002</v>
      </c>
      <c r="R479">
        <f ca="1">IFERROR(IF(0=LEN(ReferenceData!$R$479),"",ReferenceData!$R$479),"")</f>
        <v>8.0723066719999998</v>
      </c>
      <c r="S479">
        <f ca="1">IFERROR(IF(0=LEN(ReferenceData!$S$479),"",ReferenceData!$S$479),"")</f>
        <v>10.758851249999999</v>
      </c>
      <c r="T479">
        <f ca="1">IFERROR(IF(0=LEN(ReferenceData!$T$479),"",ReferenceData!$T$479),"")</f>
        <v>8.1013417049999994</v>
      </c>
      <c r="U479">
        <f ca="1">IFERROR(IF(0=LEN(ReferenceData!$U$479),"",ReferenceData!$U$479),"")</f>
        <v>10.934528029999999</v>
      </c>
      <c r="V479">
        <f ca="1">IFERROR(IF(0=LEN(ReferenceData!$V$479),"",ReferenceData!$V$479),"")</f>
        <v>10.144929599999999</v>
      </c>
      <c r="W479">
        <f ca="1">IFERROR(IF(0=LEN(ReferenceData!$W$479),"",ReferenceData!$W$479),"")</f>
        <v>10.761732500000001</v>
      </c>
      <c r="X479">
        <f ca="1">IFERROR(IF(0=LEN(ReferenceData!$X$479),"",ReferenceData!$X$479),"")</f>
        <v>9.3630034420000001</v>
      </c>
      <c r="Y479">
        <f ca="1">IFERROR(IF(0=LEN(ReferenceData!$Y$479),"",ReferenceData!$Y$479),"")</f>
        <v>9.4780063240000008</v>
      </c>
      <c r="Z479">
        <f ca="1">IFERROR(IF(0=LEN(ReferenceData!$Z$479),"",ReferenceData!$Z$479),"")</f>
        <v>11.83820285</v>
      </c>
      <c r="AA479">
        <f ca="1">IFERROR(IF(0=LEN(ReferenceData!$AA$479),"",ReferenceData!$AA$479),"")</f>
        <v>22.60125429</v>
      </c>
      <c r="AB479">
        <f ca="1">IFERROR(IF(0=LEN(ReferenceData!$AB$479),"",ReferenceData!$AB$479),"")</f>
        <v>30.59600403</v>
      </c>
      <c r="AC479">
        <f ca="1">IFERROR(IF(0=LEN(ReferenceData!$AC$479),"",ReferenceData!$AC$479),"")</f>
        <v>32.236154589999998</v>
      </c>
      <c r="AD479">
        <f ca="1">IFERROR(IF(0=LEN(ReferenceData!$AD$479),"",ReferenceData!$AD$479),"")</f>
        <v>32.93616969</v>
      </c>
      <c r="AE479">
        <f ca="1">IFERROR(IF(0=LEN(ReferenceData!$AE$479),"",ReferenceData!$AE$479),"")</f>
        <v>28.513235219999999</v>
      </c>
      <c r="AF479" t="str">
        <f ca="1">IFERROR(IF(0=LEN(ReferenceData!$AF$479),"",ReferenceData!$AF$479),"")</f>
        <v/>
      </c>
      <c r="AG479" t="str">
        <f ca="1">IFERROR(IF(0=LEN(ReferenceData!$AG$479),"",ReferenceData!$AG$479),"")</f>
        <v/>
      </c>
      <c r="AH479" t="str">
        <f ca="1">IFERROR(IF(0=LEN(ReferenceData!$AH$479),"",ReferenceData!$AH$479),"")</f>
        <v/>
      </c>
      <c r="AI479" t="str">
        <f ca="1">IFERROR(IF(0=LEN(ReferenceData!$AI$479),"",ReferenceData!$AI$479),"")</f>
        <v/>
      </c>
      <c r="AJ479" t="str">
        <f ca="1">IFERROR(IF(0=LEN(ReferenceData!$AJ$479),"",ReferenceData!$AJ$479),"")</f>
        <v/>
      </c>
      <c r="AK479" t="str">
        <f ca="1">IFERROR(IF(0=LEN(ReferenceData!$AK$479),"",ReferenceData!$AK$479),"")</f>
        <v/>
      </c>
      <c r="AL479" t="str">
        <f ca="1">IFERROR(IF(0=LEN(ReferenceData!$AL$479),"",ReferenceData!$AL$479),"")</f>
        <v/>
      </c>
      <c r="AM479">
        <f ca="1">IFERROR(IF(0=LEN(ReferenceData!$AM$479),"",ReferenceData!$AM$479),"")</f>
        <v>65.806220150000001</v>
      </c>
      <c r="AN479">
        <f ca="1">IFERROR(IF(0=LEN(ReferenceData!$AN$479),"",ReferenceData!$AN$479),"")</f>
        <v>36.133249460000002</v>
      </c>
      <c r="AO479">
        <f ca="1">IFERROR(IF(0=LEN(ReferenceData!$AO$479),"",ReferenceData!$AO$479),"")</f>
        <v>56.525355179999998</v>
      </c>
      <c r="AP479" t="str">
        <f ca="1">IFERROR(IF(0=LEN(ReferenceData!$AP$479),"",ReferenceData!$AP$479),"")</f>
        <v/>
      </c>
      <c r="AQ479" t="str">
        <f ca="1">IFERROR(IF(0=LEN(ReferenceData!$AQ$479),"",ReferenceData!$AQ$479),"")</f>
        <v/>
      </c>
      <c r="AR479" t="str">
        <f ca="1">IFERROR(IF(0=LEN(ReferenceData!$AR$479),"",ReferenceData!$AR$479),"")</f>
        <v/>
      </c>
      <c r="AS479" t="str">
        <f ca="1">IFERROR(IF(0=LEN(ReferenceData!$AS$479),"",ReferenceData!$AS$479),"")</f>
        <v/>
      </c>
      <c r="AT479" t="str">
        <f ca="1">IFERROR(IF(0=LEN(ReferenceData!$AT$479),"",ReferenceData!$AT$479),"")</f>
        <v/>
      </c>
      <c r="AU479">
        <f ca="1">IFERROR(IF(0=LEN(ReferenceData!$AU$479),"",ReferenceData!$AU$479),"")</f>
        <v>10.129037970000001</v>
      </c>
      <c r="AV479">
        <f ca="1">IFERROR(IF(0=LEN(ReferenceData!$AV$479),"",ReferenceData!$AV$479),"")</f>
        <v>10.45657061</v>
      </c>
      <c r="AW479">
        <f ca="1">IFERROR(IF(0=LEN(ReferenceData!$AW$479),"",ReferenceData!$AW$479),"")</f>
        <v>10.95307642</v>
      </c>
      <c r="AX479">
        <f ca="1">IFERROR(IF(0=LEN(ReferenceData!$AX$479),"",ReferenceData!$AX$479),"")</f>
        <v>8.49626181</v>
      </c>
      <c r="AY479">
        <f ca="1">IFERROR(IF(0=LEN(ReferenceData!$AY$479),"",ReferenceData!$AY$479),"")</f>
        <v>14.80098061</v>
      </c>
      <c r="AZ479">
        <f ca="1">IFERROR(IF(0=LEN(ReferenceData!$AZ$479),"",ReferenceData!$AZ$479),"")</f>
        <v>14.65638929</v>
      </c>
      <c r="BA479">
        <f ca="1">IFERROR(IF(0=LEN(ReferenceData!$BA$479),"",ReferenceData!$BA$479),"")</f>
        <v>18.90984387</v>
      </c>
      <c r="BB479">
        <f ca="1">IFERROR(IF(0=LEN(ReferenceData!$BB$479),"",ReferenceData!$BB$479),"")</f>
        <v>15.67627178</v>
      </c>
      <c r="BC479">
        <f ca="1">IFERROR(IF(0=LEN(ReferenceData!$BC$479),"",ReferenceData!$BC$479),"")</f>
        <v>21.732708890000001</v>
      </c>
      <c r="BD479">
        <f ca="1">IFERROR(IF(0=LEN(ReferenceData!$BD$479),"",ReferenceData!$BD$479),"")</f>
        <v>20.310982429999999</v>
      </c>
      <c r="BE479">
        <f ca="1">IFERROR(IF(0=LEN(ReferenceData!$BE$479),"",ReferenceData!$BE$479),"")</f>
        <v>17.836283829999999</v>
      </c>
      <c r="BF479">
        <f ca="1">IFERROR(IF(0=LEN(ReferenceData!$BF$479),"",ReferenceData!$BF$479),"")</f>
        <v>18.840898889999998</v>
      </c>
      <c r="BG479">
        <f ca="1">IFERROR(IF(0=LEN(ReferenceData!$BG$479),"",ReferenceData!$BG$479),"")</f>
        <v>17.260839270000002</v>
      </c>
      <c r="BH479">
        <f ca="1">IFERROR(IF(0=LEN(ReferenceData!$BH$479),"",ReferenceData!$BH$479),"")</f>
        <v>17.96666862</v>
      </c>
      <c r="BI479">
        <f ca="1">IFERROR(IF(0=LEN(ReferenceData!$BI$479),"",ReferenceData!$BI$479),"")</f>
        <v>28.923551140000001</v>
      </c>
      <c r="BJ479">
        <f ca="1">IFERROR(IF(0=LEN(ReferenceData!$BJ$479),"",ReferenceData!$BJ$479),"")</f>
        <v>18.56002578</v>
      </c>
      <c r="BK479" t="str">
        <f ca="1">IFERROR(IF(0=LEN(ReferenceData!$BK$479),"",ReferenceData!$BK$479),"")</f>
        <v/>
      </c>
      <c r="BL479" t="str">
        <f ca="1">IFERROR(IF(0=LEN(ReferenceData!$BL$479),"",ReferenceData!$BL$479),"")</f>
        <v/>
      </c>
      <c r="BM479" t="str">
        <f ca="1">IFERROR(IF(0=LEN(ReferenceData!$BM$479),"",ReferenceData!$BM$479),"")</f>
        <v/>
      </c>
    </row>
    <row r="480" spans="1:65" x14ac:dyDescent="0.25">
      <c r="A480" t="str">
        <f>IFERROR(IF(0=LEN(ReferenceData!$A$480),"",ReferenceData!$A$480),"")</f>
        <v xml:space="preserve">    Mitsubishi Motors Corp</v>
      </c>
      <c r="B480" t="str">
        <f>IFERROR(IF(0=LEN(ReferenceData!$B$480),"",ReferenceData!$B$480),"")</f>
        <v>7211 JP Equity</v>
      </c>
      <c r="C480" t="str">
        <f>IFERROR(IF(0=LEN(ReferenceData!$C$480),"",ReferenceData!$C$480),"")</f>
        <v>RR476</v>
      </c>
      <c r="D480" t="str">
        <f>IFERROR(IF(0=LEN(ReferenceData!$D$480),"",ReferenceData!$D$480),"")</f>
        <v>EV_TO_T12M_NET_INCOME</v>
      </c>
      <c r="E480" t="str">
        <f>IFERROR(IF(0=LEN(ReferenceData!$E$480),"",ReferenceData!$E$480),"")</f>
        <v>Dynamic</v>
      </c>
      <c r="F480" t="str">
        <f ca="1">IFERROR(IF(0=LEN(ReferenceData!$F$480),"",ReferenceData!$F$480),"")</f>
        <v/>
      </c>
      <c r="G480">
        <f ca="1">IFERROR(IF(0=LEN(ReferenceData!$G$480),"",ReferenceData!$G$480),"")</f>
        <v>6.5616295249999999</v>
      </c>
      <c r="H480">
        <f ca="1">IFERROR(IF(0=LEN(ReferenceData!$H$480),"",ReferenceData!$H$480),"")</f>
        <v>8.6057080040000002</v>
      </c>
      <c r="I480">
        <f ca="1">IFERROR(IF(0=LEN(ReferenceData!$I$480),"",ReferenceData!$I$480),"")</f>
        <v>9.7164066689999995</v>
      </c>
      <c r="J480">
        <f ca="1">IFERROR(IF(0=LEN(ReferenceData!$J$480),"",ReferenceData!$J$480),"")</f>
        <v>5.7021962659999996</v>
      </c>
      <c r="K480">
        <f ca="1">IFERROR(IF(0=LEN(ReferenceData!$K$480),"",ReferenceData!$K$480),"")</f>
        <v>8.5904463030000002</v>
      </c>
      <c r="L480">
        <f ca="1">IFERROR(IF(0=LEN(ReferenceData!$L$480),"",ReferenceData!$L$480),"")</f>
        <v>12.236026900000001</v>
      </c>
      <c r="M480" t="str">
        <f ca="1">IFERROR(IF(0=LEN(ReferenceData!$M$480),"",ReferenceData!$M$480),"")</f>
        <v/>
      </c>
      <c r="N480" t="str">
        <f ca="1">IFERROR(IF(0=LEN(ReferenceData!$N$480),"",ReferenceData!$N$480),"")</f>
        <v/>
      </c>
      <c r="O480" t="str">
        <f ca="1">IFERROR(IF(0=LEN(ReferenceData!$O$480),"",ReferenceData!$O$480),"")</f>
        <v/>
      </c>
      <c r="P480" t="str">
        <f ca="1">IFERROR(IF(0=LEN(ReferenceData!$P$480),"",ReferenceData!$P$480),"")</f>
        <v/>
      </c>
      <c r="Q480" t="str">
        <f ca="1">IFERROR(IF(0=LEN(ReferenceData!$Q$480),"",ReferenceData!$Q$480),"")</f>
        <v/>
      </c>
      <c r="R480">
        <f ca="1">IFERROR(IF(0=LEN(ReferenceData!$R$480),"",ReferenceData!$R$480),"")</f>
        <v>5.923498725</v>
      </c>
      <c r="S480">
        <f ca="1">IFERROR(IF(0=LEN(ReferenceData!$S$480),"",ReferenceData!$S$480),"")</f>
        <v>5.9759897569999998</v>
      </c>
      <c r="T480">
        <f ca="1">IFERROR(IF(0=LEN(ReferenceData!$T$480),"",ReferenceData!$T$480),"")</f>
        <v>4.8153374610000004</v>
      </c>
      <c r="U480">
        <f ca="1">IFERROR(IF(0=LEN(ReferenceData!$U$480),"",ReferenceData!$U$480),"")</f>
        <v>6.7202382700000003</v>
      </c>
      <c r="V480">
        <f ca="1">IFERROR(IF(0=LEN(ReferenceData!$V$480),"",ReferenceData!$V$480),"")</f>
        <v>6.7557874250000003</v>
      </c>
      <c r="W480">
        <f ca="1">IFERROR(IF(0=LEN(ReferenceData!$W$480),"",ReferenceData!$W$480),"")</f>
        <v>6.9673339009999999</v>
      </c>
      <c r="X480">
        <f ca="1">IFERROR(IF(0=LEN(ReferenceData!$X$480),"",ReferenceData!$X$480),"")</f>
        <v>9.0160145719999996</v>
      </c>
      <c r="Y480">
        <f ca="1">IFERROR(IF(0=LEN(ReferenceData!$Y$480),"",ReferenceData!$Y$480),"")</f>
        <v>7.578497005</v>
      </c>
      <c r="Z480">
        <f ca="1">IFERROR(IF(0=LEN(ReferenceData!$Z$480),"",ReferenceData!$Z$480),"")</f>
        <v>8.3533285450000001</v>
      </c>
      <c r="AA480">
        <f ca="1">IFERROR(IF(0=LEN(ReferenceData!$AA$480),"",ReferenceData!$AA$480),"")</f>
        <v>8.5710820489999993</v>
      </c>
      <c r="AB480">
        <f ca="1">IFERROR(IF(0=LEN(ReferenceData!$AB$480),"",ReferenceData!$AB$480),"")</f>
        <v>18.62410753</v>
      </c>
      <c r="AC480">
        <f ca="1">IFERROR(IF(0=LEN(ReferenceData!$AC$480),"",ReferenceData!$AC$480),"")</f>
        <v>34.887929300000003</v>
      </c>
      <c r="AD480">
        <f ca="1">IFERROR(IF(0=LEN(ReferenceData!$AD$480),"",ReferenceData!$AD$480),"")</f>
        <v>26.050847600000001</v>
      </c>
      <c r="AE480">
        <f ca="1">IFERROR(IF(0=LEN(ReferenceData!$AE$480),"",ReferenceData!$AE$480),"")</f>
        <v>34.788661980000001</v>
      </c>
      <c r="AF480">
        <f ca="1">IFERROR(IF(0=LEN(ReferenceData!$AF$480),"",ReferenceData!$AF$480),"")</f>
        <v>19.490392780000001</v>
      </c>
      <c r="AG480">
        <f ca="1">IFERROR(IF(0=LEN(ReferenceData!$AG$480),"",ReferenceData!$AG$480),"")</f>
        <v>22.455584349999999</v>
      </c>
      <c r="AH480">
        <f ca="1">IFERROR(IF(0=LEN(ReferenceData!$AH$480),"",ReferenceData!$AH$480),"")</f>
        <v>43.324851410000001</v>
      </c>
      <c r="AI480">
        <f ca="1">IFERROR(IF(0=LEN(ReferenceData!$AI$480),"",ReferenceData!$AI$480),"")</f>
        <v>32.842910969999998</v>
      </c>
      <c r="AJ480">
        <f ca="1">IFERROR(IF(0=LEN(ReferenceData!$AJ$480),"",ReferenceData!$AJ$480),"")</f>
        <v>34.862760209999998</v>
      </c>
      <c r="AK480">
        <f ca="1">IFERROR(IF(0=LEN(ReferenceData!$AK$480),"",ReferenceData!$AK$480),"")</f>
        <v>33.7820812</v>
      </c>
      <c r="AL480">
        <f ca="1">IFERROR(IF(0=LEN(ReferenceData!$AL$480),"",ReferenceData!$AL$480),"")</f>
        <v>72.177735600000005</v>
      </c>
      <c r="AM480">
        <f ca="1">IFERROR(IF(0=LEN(ReferenceData!$AM$480),"",ReferenceData!$AM$480),"")</f>
        <v>41.758735479999999</v>
      </c>
      <c r="AN480">
        <f ca="1">IFERROR(IF(0=LEN(ReferenceData!$AN$480),"",ReferenceData!$AN$480),"")</f>
        <v>31.442838460000001</v>
      </c>
      <c r="AO480">
        <f ca="1">IFERROR(IF(0=LEN(ReferenceData!$AO$480),"",ReferenceData!$AO$480),"")</f>
        <v>60.979430960000002</v>
      </c>
      <c r="AP480">
        <f ca="1">IFERROR(IF(0=LEN(ReferenceData!$AP$480),"",ReferenceData!$AP$480),"")</f>
        <v>274.17704140000001</v>
      </c>
      <c r="AQ480" t="str">
        <f ca="1">IFERROR(IF(0=LEN(ReferenceData!$AQ$480),"",ReferenceData!$AQ$480),"")</f>
        <v/>
      </c>
      <c r="AR480" t="str">
        <f ca="1">IFERROR(IF(0=LEN(ReferenceData!$AR$480),"",ReferenceData!$AR$480),"")</f>
        <v/>
      </c>
      <c r="AS480" t="str">
        <f ca="1">IFERROR(IF(0=LEN(ReferenceData!$AS$480),"",ReferenceData!$AS$480),"")</f>
        <v/>
      </c>
      <c r="AT480" t="str">
        <f ca="1">IFERROR(IF(0=LEN(ReferenceData!$AT$480),"",ReferenceData!$AT$480),"")</f>
        <v/>
      </c>
      <c r="AU480">
        <f ca="1">IFERROR(IF(0=LEN(ReferenceData!$AU$480),"",ReferenceData!$AU$480),"")</f>
        <v>146.53242599999999</v>
      </c>
      <c r="AV480">
        <f ca="1">IFERROR(IF(0=LEN(ReferenceData!$AV$480),"",ReferenceData!$AV$480),"")</f>
        <v>26.899240850000002</v>
      </c>
      <c r="AW480">
        <f ca="1">IFERROR(IF(0=LEN(ReferenceData!$AW$480),"",ReferenceData!$AW$480),"")</f>
        <v>27.896231589999999</v>
      </c>
      <c r="AX480">
        <f ca="1">IFERROR(IF(0=LEN(ReferenceData!$AX$480),"",ReferenceData!$AX$480),"")</f>
        <v>39.008299180000002</v>
      </c>
      <c r="AY480">
        <f ca="1">IFERROR(IF(0=LEN(ReferenceData!$AY$480),"",ReferenceData!$AY$480),"")</f>
        <v>36.990526920000001</v>
      </c>
      <c r="AZ480">
        <f ca="1">IFERROR(IF(0=LEN(ReferenceData!$AZ$480),"",ReferenceData!$AZ$480),"")</f>
        <v>74.997557959999995</v>
      </c>
      <c r="BA480">
        <f ca="1">IFERROR(IF(0=LEN(ReferenceData!$BA$480),"",ReferenceData!$BA$480),"")</f>
        <v>99.006745679999995</v>
      </c>
      <c r="BB480">
        <f ca="1">IFERROR(IF(0=LEN(ReferenceData!$BB$480),"",ReferenceData!$BB$480),"")</f>
        <v>182.7917539</v>
      </c>
      <c r="BC480" t="str">
        <f ca="1">IFERROR(IF(0=LEN(ReferenceData!$BC$480),"",ReferenceData!$BC$480),"")</f>
        <v/>
      </c>
      <c r="BD480" t="str">
        <f ca="1">IFERROR(IF(0=LEN(ReferenceData!$BD$480),"",ReferenceData!$BD$480),"")</f>
        <v/>
      </c>
      <c r="BE480" t="str">
        <f ca="1">IFERROR(IF(0=LEN(ReferenceData!$BE$480),"",ReferenceData!$BE$480),"")</f>
        <v/>
      </c>
      <c r="BF480" t="str">
        <f ca="1">IFERROR(IF(0=LEN(ReferenceData!$BF$480),"",ReferenceData!$BF$480),"")</f>
        <v/>
      </c>
      <c r="BG480" t="str">
        <f ca="1">IFERROR(IF(0=LEN(ReferenceData!$BG$480),"",ReferenceData!$BG$480),"")</f>
        <v/>
      </c>
      <c r="BH480" t="str">
        <f ca="1">IFERROR(IF(0=LEN(ReferenceData!$BH$480),"",ReferenceData!$BH$480),"")</f>
        <v/>
      </c>
      <c r="BI480" t="str">
        <f ca="1">IFERROR(IF(0=LEN(ReferenceData!$BI$480),"",ReferenceData!$BI$480),"")</f>
        <v/>
      </c>
      <c r="BJ480" t="str">
        <f ca="1">IFERROR(IF(0=LEN(ReferenceData!$BJ$480),"",ReferenceData!$BJ$480),"")</f>
        <v/>
      </c>
      <c r="BK480" t="str">
        <f ca="1">IFERROR(IF(0=LEN(ReferenceData!$BK$480),"",ReferenceData!$BK$480),"")</f>
        <v/>
      </c>
      <c r="BL480" t="str">
        <f ca="1">IFERROR(IF(0=LEN(ReferenceData!$BL$480),"",ReferenceData!$BL$480),"")</f>
        <v/>
      </c>
      <c r="BM480" t="str">
        <f ca="1">IFERROR(IF(0=LEN(ReferenceData!$BM$480),"",ReferenceData!$BM$480),"")</f>
        <v/>
      </c>
    </row>
    <row r="481" spans="1:65" x14ac:dyDescent="0.25">
      <c r="A481" t="str">
        <f>IFERROR(IF(0=LEN(ReferenceData!$A$481),"",ReferenceData!$A$481),"")</f>
        <v xml:space="preserve">    Nissan Motor Co Ltd</v>
      </c>
      <c r="B481" t="str">
        <f>IFERROR(IF(0=LEN(ReferenceData!$B$481),"",ReferenceData!$B$481),"")</f>
        <v>7201 JP Equity</v>
      </c>
      <c r="C481" t="str">
        <f>IFERROR(IF(0=LEN(ReferenceData!$C$481),"",ReferenceData!$C$481),"")</f>
        <v>RR476</v>
      </c>
      <c r="D481" t="str">
        <f>IFERROR(IF(0=LEN(ReferenceData!$D$481),"",ReferenceData!$D$481),"")</f>
        <v>EV_TO_T12M_NET_INCOME</v>
      </c>
      <c r="E481" t="str">
        <f>IFERROR(IF(0=LEN(ReferenceData!$E$481),"",ReferenceData!$E$481),"")</f>
        <v>Dynamic</v>
      </c>
      <c r="F481" t="str">
        <f ca="1">IFERROR(IF(0=LEN(ReferenceData!$F$481),"",ReferenceData!$F$481),"")</f>
        <v/>
      </c>
      <c r="G481">
        <f ca="1">IFERROR(IF(0=LEN(ReferenceData!$G$481),"",ReferenceData!$G$481),"")</f>
        <v>4.9685871199999996</v>
      </c>
      <c r="H481">
        <f ca="1">IFERROR(IF(0=LEN(ReferenceData!$H$481),"",ReferenceData!$H$481),"")</f>
        <v>4.0402534550000002</v>
      </c>
      <c r="I481">
        <f ca="1">IFERROR(IF(0=LEN(ReferenceData!$I$481),"",ReferenceData!$I$481),"")</f>
        <v>4.060649068</v>
      </c>
      <c r="J481">
        <f ca="1">IFERROR(IF(0=LEN(ReferenceData!$J$481),"",ReferenceData!$J$481),"")</f>
        <v>3.8182066799999999</v>
      </c>
      <c r="K481">
        <f ca="1">IFERROR(IF(0=LEN(ReferenceData!$K$481),"",ReferenceData!$K$481),"")</f>
        <v>4.0744135860000004</v>
      </c>
      <c r="L481">
        <f ca="1">IFERROR(IF(0=LEN(ReferenceData!$L$481),"",ReferenceData!$L$481),"")</f>
        <v>4.387286273</v>
      </c>
      <c r="M481">
        <f ca="1">IFERROR(IF(0=LEN(ReferenceData!$M$481),"",ReferenceData!$M$481),"")</f>
        <v>4.5611121099999998</v>
      </c>
      <c r="N481">
        <f ca="1">IFERROR(IF(0=LEN(ReferenceData!$N$481),"",ReferenceData!$N$481),"")</f>
        <v>4.3198767370000004</v>
      </c>
      <c r="O481">
        <f ca="1">IFERROR(IF(0=LEN(ReferenceData!$O$481),"",ReferenceData!$O$481),"")</f>
        <v>8.1432749730000005</v>
      </c>
      <c r="P481">
        <f ca="1">IFERROR(IF(0=LEN(ReferenceData!$P$481),"",ReferenceData!$P$481),"")</f>
        <v>6.2437638299999998</v>
      </c>
      <c r="Q481">
        <f ca="1">IFERROR(IF(0=LEN(ReferenceData!$Q$481),"",ReferenceData!$Q$481),"")</f>
        <v>5.4665633219999998</v>
      </c>
      <c r="R481">
        <f ca="1">IFERROR(IF(0=LEN(ReferenceData!$R$481),"",ReferenceData!$R$481),"")</f>
        <v>6.2184318980000004</v>
      </c>
      <c r="S481">
        <f ca="1">IFERROR(IF(0=LEN(ReferenceData!$S$481),"",ReferenceData!$S$481),"")</f>
        <v>7.649142264</v>
      </c>
      <c r="T481">
        <f ca="1">IFERROR(IF(0=LEN(ReferenceData!$T$481),"",ReferenceData!$T$481),"")</f>
        <v>6.3114125860000003</v>
      </c>
      <c r="U481">
        <f ca="1">IFERROR(IF(0=LEN(ReferenceData!$U$481),"",ReferenceData!$U$481),"")</f>
        <v>9.528019595</v>
      </c>
      <c r="V481">
        <f ca="1">IFERROR(IF(0=LEN(ReferenceData!$V$481),"",ReferenceData!$V$481),"")</f>
        <v>9.0764601559999996</v>
      </c>
      <c r="W481">
        <f ca="1">IFERROR(IF(0=LEN(ReferenceData!$W$481),"",ReferenceData!$W$481),"")</f>
        <v>8.0386407149999997</v>
      </c>
      <c r="X481">
        <f ca="1">IFERROR(IF(0=LEN(ReferenceData!$X$481),"",ReferenceData!$X$481),"")</f>
        <v>8.5311660109999998</v>
      </c>
      <c r="Y481">
        <f ca="1">IFERROR(IF(0=LEN(ReferenceData!$Y$481),"",ReferenceData!$Y$481),"")</f>
        <v>8.2419248770000006</v>
      </c>
      <c r="Z481">
        <f ca="1">IFERROR(IF(0=LEN(ReferenceData!$Z$481),"",ReferenceData!$Z$481),"")</f>
        <v>8.1401472360000007</v>
      </c>
      <c r="AA481">
        <f ca="1">IFERROR(IF(0=LEN(ReferenceData!$AA$481),"",ReferenceData!$AA$481),"")</f>
        <v>8.7977304299999997</v>
      </c>
      <c r="AB481">
        <f ca="1">IFERROR(IF(0=LEN(ReferenceData!$AB$481),"",ReferenceData!$AB$481),"")</f>
        <v>10.482352349999999</v>
      </c>
      <c r="AC481">
        <f ca="1">IFERROR(IF(0=LEN(ReferenceData!$AC$481),"",ReferenceData!$AC$481),"")</f>
        <v>11.09235677</v>
      </c>
      <c r="AD481">
        <f ca="1">IFERROR(IF(0=LEN(ReferenceData!$AD$481),"",ReferenceData!$AD$481),"")</f>
        <v>9.5523551599999994</v>
      </c>
      <c r="AE481">
        <f ca="1">IFERROR(IF(0=LEN(ReferenceData!$AE$481),"",ReferenceData!$AE$481),"")</f>
        <v>11.03856028</v>
      </c>
      <c r="AF481">
        <f ca="1">IFERROR(IF(0=LEN(ReferenceData!$AF$481),"",ReferenceData!$AF$481),"")</f>
        <v>7.9329522419999998</v>
      </c>
      <c r="AG481">
        <f ca="1">IFERROR(IF(0=LEN(ReferenceData!$AG$481),"",ReferenceData!$AG$481),"")</f>
        <v>8.9079620869999996</v>
      </c>
      <c r="AH481">
        <f ca="1">IFERROR(IF(0=LEN(ReferenceData!$AH$481),"",ReferenceData!$AH$481),"")</f>
        <v>9.8725423279999998</v>
      </c>
      <c r="AI481">
        <f ca="1">IFERROR(IF(0=LEN(ReferenceData!$AI$481),"",ReferenceData!$AI$481),"")</f>
        <v>9.6177568020000006</v>
      </c>
      <c r="AJ481">
        <f ca="1">IFERROR(IF(0=LEN(ReferenceData!$AJ$481),"",ReferenceData!$AJ$481),"")</f>
        <v>9.8837470130000007</v>
      </c>
      <c r="AK481">
        <f ca="1">IFERROR(IF(0=LEN(ReferenceData!$AK$481),"",ReferenceData!$AK$481),"")</f>
        <v>11.899656800000001</v>
      </c>
      <c r="AL481">
        <f ca="1">IFERROR(IF(0=LEN(ReferenceData!$AL$481),"",ReferenceData!$AL$481),"")</f>
        <v>9.7760614310000005</v>
      </c>
      <c r="AM481">
        <f ca="1">IFERROR(IF(0=LEN(ReferenceData!$AM$481),"",ReferenceData!$AM$481),"")</f>
        <v>12.677395649999999</v>
      </c>
      <c r="AN481">
        <f ca="1">IFERROR(IF(0=LEN(ReferenceData!$AN$481),"",ReferenceData!$AN$481),"")</f>
        <v>13.378266</v>
      </c>
      <c r="AO481">
        <f ca="1">IFERROR(IF(0=LEN(ReferenceData!$AO$481),"",ReferenceData!$AO$481),"")</f>
        <v>17.23965892</v>
      </c>
      <c r="AP481">
        <f ca="1">IFERROR(IF(0=LEN(ReferenceData!$AP$481),"",ReferenceData!$AP$481),"")</f>
        <v>82.613445299999995</v>
      </c>
      <c r="AQ481" t="str">
        <f ca="1">IFERROR(IF(0=LEN(ReferenceData!$AQ$481),"",ReferenceData!$AQ$481),"")</f>
        <v/>
      </c>
      <c r="AR481" t="str">
        <f ca="1">IFERROR(IF(0=LEN(ReferenceData!$AR$481),"",ReferenceData!$AR$481),"")</f>
        <v/>
      </c>
      <c r="AS481" t="str">
        <f ca="1">IFERROR(IF(0=LEN(ReferenceData!$AS$481),"",ReferenceData!$AS$481),"")</f>
        <v/>
      </c>
      <c r="AT481" t="str">
        <f ca="1">IFERROR(IF(0=LEN(ReferenceData!$AT$481),"",ReferenceData!$AT$481),"")</f>
        <v/>
      </c>
      <c r="AU481">
        <f ca="1">IFERROR(IF(0=LEN(ReferenceData!$AU$481),"",ReferenceData!$AU$481),"")</f>
        <v>32.87287413</v>
      </c>
      <c r="AV481">
        <f ca="1">IFERROR(IF(0=LEN(ReferenceData!$AV$481),"",ReferenceData!$AV$481),"")</f>
        <v>19.443287980000001</v>
      </c>
      <c r="AW481">
        <f ca="1">IFERROR(IF(0=LEN(ReferenceData!$AW$481),"",ReferenceData!$AW$481),"")</f>
        <v>19.298070289999998</v>
      </c>
      <c r="AX481">
        <f ca="1">IFERROR(IF(0=LEN(ReferenceData!$AX$481),"",ReferenceData!$AX$481),"")</f>
        <v>16.271377409999999</v>
      </c>
      <c r="AY481">
        <f ca="1">IFERROR(IF(0=LEN(ReferenceData!$AY$481),"",ReferenceData!$AY$481),"")</f>
        <v>23.805928089999998</v>
      </c>
      <c r="AZ481">
        <f ca="1">IFERROR(IF(0=LEN(ReferenceData!$AZ$481),"",ReferenceData!$AZ$481),"")</f>
        <v>24.311955600000001</v>
      </c>
      <c r="BA481">
        <f ca="1">IFERROR(IF(0=LEN(ReferenceData!$BA$481),"",ReferenceData!$BA$481),"")</f>
        <v>23.981106839999999</v>
      </c>
      <c r="BB481">
        <f ca="1">IFERROR(IF(0=LEN(ReferenceData!$BB$481),"",ReferenceData!$BB$481),"")</f>
        <v>22.005573819999999</v>
      </c>
      <c r="BC481">
        <f ca="1">IFERROR(IF(0=LEN(ReferenceData!$BC$481),"",ReferenceData!$BC$481),"")</f>
        <v>20.671805429999999</v>
      </c>
      <c r="BD481">
        <f ca="1">IFERROR(IF(0=LEN(ReferenceData!$BD$481),"",ReferenceData!$BD$481),"")</f>
        <v>18.308244850000001</v>
      </c>
      <c r="BE481">
        <f ca="1">IFERROR(IF(0=LEN(ReferenceData!$BE$481),"",ReferenceData!$BE$481),"")</f>
        <v>19.214383309999999</v>
      </c>
      <c r="BF481">
        <f ca="1">IFERROR(IF(0=LEN(ReferenceData!$BF$481),"",ReferenceData!$BF$481),"")</f>
        <v>20.087563880000001</v>
      </c>
      <c r="BG481" t="str">
        <f ca="1">IFERROR(IF(0=LEN(ReferenceData!$BG$481),"",ReferenceData!$BG$481),"")</f>
        <v/>
      </c>
      <c r="BH481">
        <f ca="1">IFERROR(IF(0=LEN(ReferenceData!$BH$481),"",ReferenceData!$BH$481),"")</f>
        <v>19.185123409999999</v>
      </c>
      <c r="BI481" t="str">
        <f ca="1">IFERROR(IF(0=LEN(ReferenceData!$BI$481),"",ReferenceData!$BI$481),"")</f>
        <v/>
      </c>
      <c r="BJ481">
        <f ca="1">IFERROR(IF(0=LEN(ReferenceData!$BJ$481),"",ReferenceData!$BJ$481),"")</f>
        <v>16.041100310000001</v>
      </c>
      <c r="BK481" t="str">
        <f ca="1">IFERROR(IF(0=LEN(ReferenceData!$BK$481),"",ReferenceData!$BK$481),"")</f>
        <v/>
      </c>
      <c r="BL481">
        <f ca="1">IFERROR(IF(0=LEN(ReferenceData!$BL$481),"",ReferenceData!$BL$481),"")</f>
        <v>16.623988059999999</v>
      </c>
      <c r="BM481" t="str">
        <f ca="1">IFERROR(IF(0=LEN(ReferenceData!$BM$481),"",ReferenceData!$BM$481),"")</f>
        <v/>
      </c>
    </row>
    <row r="482" spans="1:65" x14ac:dyDescent="0.25">
      <c r="A482" t="str">
        <f>IFERROR(IF(0=LEN(ReferenceData!$A$482),"",ReferenceData!$A$482),"")</f>
        <v xml:space="preserve">    Peugeot SA</v>
      </c>
      <c r="B482" t="str">
        <f>IFERROR(IF(0=LEN(ReferenceData!$B$482),"",ReferenceData!$B$482),"")</f>
        <v>UG FP Equity</v>
      </c>
      <c r="C482" t="str">
        <f>IFERROR(IF(0=LEN(ReferenceData!$C$482),"",ReferenceData!$C$482),"")</f>
        <v>RR476</v>
      </c>
      <c r="D482" t="str">
        <f>IFERROR(IF(0=LEN(ReferenceData!$D$482),"",ReferenceData!$D$482),"")</f>
        <v>EV_TO_T12M_NET_INCOME</v>
      </c>
      <c r="E482" t="str">
        <f>IFERROR(IF(0=LEN(ReferenceData!$E$482),"",ReferenceData!$E$482),"")</f>
        <v>Dynamic</v>
      </c>
      <c r="F482" t="str">
        <f ca="1">IFERROR(IF(0=LEN(ReferenceData!$F$482),"",ReferenceData!$F$482),"")</f>
        <v/>
      </c>
      <c r="G482" t="str">
        <f ca="1">IFERROR(IF(0=LEN(ReferenceData!$G$482),"",ReferenceData!$G$482),"")</f>
        <v/>
      </c>
      <c r="H482" t="str">
        <f ca="1">IFERROR(IF(0=LEN(ReferenceData!$H$482),"",ReferenceData!$H$482),"")</f>
        <v/>
      </c>
      <c r="I482" t="str">
        <f ca="1">IFERROR(IF(0=LEN(ReferenceData!$I$482),"",ReferenceData!$I$482),"")</f>
        <v/>
      </c>
      <c r="J482" t="str">
        <f ca="1">IFERROR(IF(0=LEN(ReferenceData!$J$482),"",ReferenceData!$J$482),"")</f>
        <v/>
      </c>
      <c r="K482" t="str">
        <f ca="1">IFERROR(IF(0=LEN(ReferenceData!$K$482),"",ReferenceData!$K$482),"")</f>
        <v/>
      </c>
      <c r="L482" t="str">
        <f ca="1">IFERROR(IF(0=LEN(ReferenceData!$L$482),"",ReferenceData!$L$482),"")</f>
        <v/>
      </c>
      <c r="M482" t="str">
        <f ca="1">IFERROR(IF(0=LEN(ReferenceData!$M$482),"",ReferenceData!$M$482),"")</f>
        <v/>
      </c>
      <c r="N482" t="str">
        <f ca="1">IFERROR(IF(0=LEN(ReferenceData!$N$482),"",ReferenceData!$N$482),"")</f>
        <v/>
      </c>
      <c r="O482" t="str">
        <f ca="1">IFERROR(IF(0=LEN(ReferenceData!$O$482),"",ReferenceData!$O$482),"")</f>
        <v/>
      </c>
      <c r="P482" t="str">
        <f ca="1">IFERROR(IF(0=LEN(ReferenceData!$P$482),"",ReferenceData!$P$482),"")</f>
        <v/>
      </c>
      <c r="Q482" t="str">
        <f ca="1">IFERROR(IF(0=LEN(ReferenceData!$Q$482),"",ReferenceData!$Q$482),"")</f>
        <v/>
      </c>
      <c r="R482" t="str">
        <f ca="1">IFERROR(IF(0=LEN(ReferenceData!$R$482),"",ReferenceData!$R$482),"")</f>
        <v/>
      </c>
      <c r="S482" t="str">
        <f ca="1">IFERROR(IF(0=LEN(ReferenceData!$S$482),"",ReferenceData!$S$482),"")</f>
        <v/>
      </c>
      <c r="T482" t="str">
        <f ca="1">IFERROR(IF(0=LEN(ReferenceData!$T$482),"",ReferenceData!$T$482),"")</f>
        <v/>
      </c>
      <c r="U482" t="str">
        <f ca="1">IFERROR(IF(0=LEN(ReferenceData!$U$482),"",ReferenceData!$U$482),"")</f>
        <v/>
      </c>
      <c r="V482" t="str">
        <f ca="1">IFERROR(IF(0=LEN(ReferenceData!$V$482),"",ReferenceData!$V$482),"")</f>
        <v/>
      </c>
      <c r="W482" t="str">
        <f ca="1">IFERROR(IF(0=LEN(ReferenceData!$W$482),"",ReferenceData!$W$482),"")</f>
        <v/>
      </c>
      <c r="X482" t="str">
        <f ca="1">IFERROR(IF(0=LEN(ReferenceData!$X$482),"",ReferenceData!$X$482),"")</f>
        <v/>
      </c>
      <c r="Y482" t="str">
        <f ca="1">IFERROR(IF(0=LEN(ReferenceData!$Y$482),"",ReferenceData!$Y$482),"")</f>
        <v/>
      </c>
      <c r="Z482" t="str">
        <f ca="1">IFERROR(IF(0=LEN(ReferenceData!$Z$482),"",ReferenceData!$Z$482),"")</f>
        <v/>
      </c>
      <c r="AA482" t="str">
        <f ca="1">IFERROR(IF(0=LEN(ReferenceData!$AA$482),"",ReferenceData!$AA$482),"")</f>
        <v/>
      </c>
      <c r="AB482" t="str">
        <f ca="1">IFERROR(IF(0=LEN(ReferenceData!$AB$482),"",ReferenceData!$AB$482),"")</f>
        <v/>
      </c>
      <c r="AC482" t="str">
        <f ca="1">IFERROR(IF(0=LEN(ReferenceData!$AC$482),"",ReferenceData!$AC$482),"")</f>
        <v/>
      </c>
      <c r="AD482" t="str">
        <f ca="1">IFERROR(IF(0=LEN(ReferenceData!$AD$482),"",ReferenceData!$AD$482),"")</f>
        <v/>
      </c>
      <c r="AE482" t="str">
        <f ca="1">IFERROR(IF(0=LEN(ReferenceData!$AE$482),"",ReferenceData!$AE$482),"")</f>
        <v/>
      </c>
      <c r="AF482" t="str">
        <f ca="1">IFERROR(IF(0=LEN(ReferenceData!$AF$482),"",ReferenceData!$AF$482),"")</f>
        <v/>
      </c>
      <c r="AG482" t="str">
        <f ca="1">IFERROR(IF(0=LEN(ReferenceData!$AG$482),"",ReferenceData!$AG$482),"")</f>
        <v/>
      </c>
      <c r="AH482" t="str">
        <f ca="1">IFERROR(IF(0=LEN(ReferenceData!$AH$482),"",ReferenceData!$AH$482),"")</f>
        <v/>
      </c>
      <c r="AI482" t="str">
        <f ca="1">IFERROR(IF(0=LEN(ReferenceData!$AI$482),"",ReferenceData!$AI$482),"")</f>
        <v/>
      </c>
      <c r="AJ482" t="str">
        <f ca="1">IFERROR(IF(0=LEN(ReferenceData!$AJ$482),"",ReferenceData!$AJ$482),"")</f>
        <v/>
      </c>
      <c r="AK482" t="str">
        <f ca="1">IFERROR(IF(0=LEN(ReferenceData!$AK$482),"",ReferenceData!$AK$482),"")</f>
        <v/>
      </c>
      <c r="AL482" t="str">
        <f ca="1">IFERROR(IF(0=LEN(ReferenceData!$AL$482),"",ReferenceData!$AL$482),"")</f>
        <v/>
      </c>
      <c r="AM482" t="str">
        <f ca="1">IFERROR(IF(0=LEN(ReferenceData!$AM$482),"",ReferenceData!$AM$482),"")</f>
        <v/>
      </c>
      <c r="AN482" t="str">
        <f ca="1">IFERROR(IF(0=LEN(ReferenceData!$AN$482),"",ReferenceData!$AN$482),"")</f>
        <v/>
      </c>
      <c r="AO482" t="str">
        <f ca="1">IFERROR(IF(0=LEN(ReferenceData!$AO$482),"",ReferenceData!$AO$482),"")</f>
        <v/>
      </c>
      <c r="AP482" t="str">
        <f ca="1">IFERROR(IF(0=LEN(ReferenceData!$AP$482),"",ReferenceData!$AP$482),"")</f>
        <v/>
      </c>
      <c r="AQ482" t="str">
        <f ca="1">IFERROR(IF(0=LEN(ReferenceData!$AQ$482),"",ReferenceData!$AQ$482),"")</f>
        <v/>
      </c>
      <c r="AR482" t="str">
        <f ca="1">IFERROR(IF(0=LEN(ReferenceData!$AR$482),"",ReferenceData!$AR$482),"")</f>
        <v/>
      </c>
      <c r="AS482" t="str">
        <f ca="1">IFERROR(IF(0=LEN(ReferenceData!$AS$482),"",ReferenceData!$AS$482),"")</f>
        <v/>
      </c>
      <c r="AT482" t="str">
        <f ca="1">IFERROR(IF(0=LEN(ReferenceData!$AT$482),"",ReferenceData!$AT$482),"")</f>
        <v/>
      </c>
      <c r="AU482" t="str">
        <f ca="1">IFERROR(IF(0=LEN(ReferenceData!$AU$482),"",ReferenceData!$AU$482),"")</f>
        <v/>
      </c>
      <c r="AV482" t="str">
        <f ca="1">IFERROR(IF(0=LEN(ReferenceData!$AV$482),"",ReferenceData!$AV$482),"")</f>
        <v/>
      </c>
      <c r="AW482" t="str">
        <f ca="1">IFERROR(IF(0=LEN(ReferenceData!$AW$482),"",ReferenceData!$AW$482),"")</f>
        <v/>
      </c>
      <c r="AX482" t="str">
        <f ca="1">IFERROR(IF(0=LEN(ReferenceData!$AX$482),"",ReferenceData!$AX$482),"")</f>
        <v/>
      </c>
      <c r="AY482" t="str">
        <f ca="1">IFERROR(IF(0=LEN(ReferenceData!$AY$482),"",ReferenceData!$AY$482),"")</f>
        <v/>
      </c>
      <c r="AZ482" t="str">
        <f ca="1">IFERROR(IF(0=LEN(ReferenceData!$AZ$482),"",ReferenceData!$AZ$482),"")</f>
        <v/>
      </c>
      <c r="BA482" t="str">
        <f ca="1">IFERROR(IF(0=LEN(ReferenceData!$BA$482),"",ReferenceData!$BA$482),"")</f>
        <v/>
      </c>
      <c r="BB482" t="str">
        <f ca="1">IFERROR(IF(0=LEN(ReferenceData!$BB$482),"",ReferenceData!$BB$482),"")</f>
        <v/>
      </c>
      <c r="BC482" t="str">
        <f ca="1">IFERROR(IF(0=LEN(ReferenceData!$BC$482),"",ReferenceData!$BC$482),"")</f>
        <v/>
      </c>
      <c r="BD482" t="str">
        <f ca="1">IFERROR(IF(0=LEN(ReferenceData!$BD$482),"",ReferenceData!$BD$482),"")</f>
        <v/>
      </c>
      <c r="BE482" t="str">
        <f ca="1">IFERROR(IF(0=LEN(ReferenceData!$BE$482),"",ReferenceData!$BE$482),"")</f>
        <v/>
      </c>
      <c r="BF482" t="str">
        <f ca="1">IFERROR(IF(0=LEN(ReferenceData!$BF$482),"",ReferenceData!$BF$482),"")</f>
        <v/>
      </c>
      <c r="BG482" t="str">
        <f ca="1">IFERROR(IF(0=LEN(ReferenceData!$BG$482),"",ReferenceData!$BG$482),"")</f>
        <v/>
      </c>
      <c r="BH482" t="str">
        <f ca="1">IFERROR(IF(0=LEN(ReferenceData!$BH$482),"",ReferenceData!$BH$482),"")</f>
        <v/>
      </c>
      <c r="BI482" t="str">
        <f ca="1">IFERROR(IF(0=LEN(ReferenceData!$BI$482),"",ReferenceData!$BI$482),"")</f>
        <v/>
      </c>
      <c r="BJ482" t="str">
        <f ca="1">IFERROR(IF(0=LEN(ReferenceData!$BJ$482),"",ReferenceData!$BJ$482),"")</f>
        <v/>
      </c>
      <c r="BK482" t="str">
        <f ca="1">IFERROR(IF(0=LEN(ReferenceData!$BK$482),"",ReferenceData!$BK$482),"")</f>
        <v/>
      </c>
      <c r="BL482" t="str">
        <f ca="1">IFERROR(IF(0=LEN(ReferenceData!$BL$482),"",ReferenceData!$BL$482),"")</f>
        <v/>
      </c>
      <c r="BM482" t="str">
        <f ca="1">IFERROR(IF(0=LEN(ReferenceData!$BM$482),"",ReferenceData!$BM$482),"")</f>
        <v/>
      </c>
    </row>
    <row r="483" spans="1:65" x14ac:dyDescent="0.25">
      <c r="A483" t="str">
        <f>IFERROR(IF(0=LEN(ReferenceData!$A$483),"",ReferenceData!$A$483),"")</f>
        <v xml:space="preserve">    Renault SA</v>
      </c>
      <c r="B483" t="str">
        <f>IFERROR(IF(0=LEN(ReferenceData!$B$483),"",ReferenceData!$B$483),"")</f>
        <v>RNO FP Equity</v>
      </c>
      <c r="C483" t="str">
        <f>IFERROR(IF(0=LEN(ReferenceData!$C$483),"",ReferenceData!$C$483),"")</f>
        <v>RR476</v>
      </c>
      <c r="D483" t="str">
        <f>IFERROR(IF(0=LEN(ReferenceData!$D$483),"",ReferenceData!$D$483),"")</f>
        <v>EV_TO_T12M_NET_INCOME</v>
      </c>
      <c r="E483" t="str">
        <f>IFERROR(IF(0=LEN(ReferenceData!$E$483),"",ReferenceData!$E$483),"")</f>
        <v>Dynamic</v>
      </c>
      <c r="F483" t="str">
        <f ca="1">IFERROR(IF(0=LEN(ReferenceData!$F$483),"",ReferenceData!$F$483),"")</f>
        <v/>
      </c>
      <c r="G483" t="str">
        <f ca="1">IFERROR(IF(0=LEN(ReferenceData!$G$483),"",ReferenceData!$G$483),"")</f>
        <v/>
      </c>
      <c r="H483" t="str">
        <f ca="1">IFERROR(IF(0=LEN(ReferenceData!$H$483),"",ReferenceData!$H$483),"")</f>
        <v/>
      </c>
      <c r="I483" t="str">
        <f ca="1">IFERROR(IF(0=LEN(ReferenceData!$I$483),"",ReferenceData!$I$483),"")</f>
        <v/>
      </c>
      <c r="J483" t="str">
        <f ca="1">IFERROR(IF(0=LEN(ReferenceData!$J$483),"",ReferenceData!$J$483),"")</f>
        <v/>
      </c>
      <c r="K483" t="str">
        <f ca="1">IFERROR(IF(0=LEN(ReferenceData!$K$483),"",ReferenceData!$K$483),"")</f>
        <v/>
      </c>
      <c r="L483" t="str">
        <f ca="1">IFERROR(IF(0=LEN(ReferenceData!$L$483),"",ReferenceData!$L$483),"")</f>
        <v/>
      </c>
      <c r="M483" t="str">
        <f ca="1">IFERROR(IF(0=LEN(ReferenceData!$M$483),"",ReferenceData!$M$483),"")</f>
        <v/>
      </c>
      <c r="N483" t="str">
        <f ca="1">IFERROR(IF(0=LEN(ReferenceData!$N$483),"",ReferenceData!$N$483),"")</f>
        <v/>
      </c>
      <c r="O483" t="str">
        <f ca="1">IFERROR(IF(0=LEN(ReferenceData!$O$483),"",ReferenceData!$O$483),"")</f>
        <v/>
      </c>
      <c r="P483" t="str">
        <f ca="1">IFERROR(IF(0=LEN(ReferenceData!$P$483),"",ReferenceData!$P$483),"")</f>
        <v/>
      </c>
      <c r="Q483" t="str">
        <f ca="1">IFERROR(IF(0=LEN(ReferenceData!$Q$483),"",ReferenceData!$Q$483),"")</f>
        <v/>
      </c>
      <c r="R483" t="str">
        <f ca="1">IFERROR(IF(0=LEN(ReferenceData!$R$483),"",ReferenceData!$R$483),"")</f>
        <v/>
      </c>
      <c r="S483" t="str">
        <f ca="1">IFERROR(IF(0=LEN(ReferenceData!$S$483),"",ReferenceData!$S$483),"")</f>
        <v/>
      </c>
      <c r="T483" t="str">
        <f ca="1">IFERROR(IF(0=LEN(ReferenceData!$T$483),"",ReferenceData!$T$483),"")</f>
        <v/>
      </c>
      <c r="U483" t="str">
        <f ca="1">IFERROR(IF(0=LEN(ReferenceData!$U$483),"",ReferenceData!$U$483),"")</f>
        <v/>
      </c>
      <c r="V483" t="str">
        <f ca="1">IFERROR(IF(0=LEN(ReferenceData!$V$483),"",ReferenceData!$V$483),"")</f>
        <v/>
      </c>
      <c r="W483" t="str">
        <f ca="1">IFERROR(IF(0=LEN(ReferenceData!$W$483),"",ReferenceData!$W$483),"")</f>
        <v/>
      </c>
      <c r="X483" t="str">
        <f ca="1">IFERROR(IF(0=LEN(ReferenceData!$X$483),"",ReferenceData!$X$483),"")</f>
        <v/>
      </c>
      <c r="Y483" t="str">
        <f ca="1">IFERROR(IF(0=LEN(ReferenceData!$Y$483),"",ReferenceData!$Y$483),"")</f>
        <v/>
      </c>
      <c r="Z483" t="str">
        <f ca="1">IFERROR(IF(0=LEN(ReferenceData!$Z$483),"",ReferenceData!$Z$483),"")</f>
        <v/>
      </c>
      <c r="AA483" t="str">
        <f ca="1">IFERROR(IF(0=LEN(ReferenceData!$AA$483),"",ReferenceData!$AA$483),"")</f>
        <v/>
      </c>
      <c r="AB483" t="str">
        <f ca="1">IFERROR(IF(0=LEN(ReferenceData!$AB$483),"",ReferenceData!$AB$483),"")</f>
        <v/>
      </c>
      <c r="AC483" t="str">
        <f ca="1">IFERROR(IF(0=LEN(ReferenceData!$AC$483),"",ReferenceData!$AC$483),"")</f>
        <v/>
      </c>
      <c r="AD483" t="str">
        <f ca="1">IFERROR(IF(0=LEN(ReferenceData!$AD$483),"",ReferenceData!$AD$483),"")</f>
        <v/>
      </c>
      <c r="AE483" t="str">
        <f ca="1">IFERROR(IF(0=LEN(ReferenceData!$AE$483),"",ReferenceData!$AE$483),"")</f>
        <v/>
      </c>
      <c r="AF483" t="str">
        <f ca="1">IFERROR(IF(0=LEN(ReferenceData!$AF$483),"",ReferenceData!$AF$483),"")</f>
        <v/>
      </c>
      <c r="AG483" t="str">
        <f ca="1">IFERROR(IF(0=LEN(ReferenceData!$AG$483),"",ReferenceData!$AG$483),"")</f>
        <v/>
      </c>
      <c r="AH483" t="str">
        <f ca="1">IFERROR(IF(0=LEN(ReferenceData!$AH$483),"",ReferenceData!$AH$483),"")</f>
        <v/>
      </c>
      <c r="AI483" t="str">
        <f ca="1">IFERROR(IF(0=LEN(ReferenceData!$AI$483),"",ReferenceData!$AI$483),"")</f>
        <v/>
      </c>
      <c r="AJ483" t="str">
        <f ca="1">IFERROR(IF(0=LEN(ReferenceData!$AJ$483),"",ReferenceData!$AJ$483),"")</f>
        <v/>
      </c>
      <c r="AK483" t="str">
        <f ca="1">IFERROR(IF(0=LEN(ReferenceData!$AK$483),"",ReferenceData!$AK$483),"")</f>
        <v/>
      </c>
      <c r="AL483" t="str">
        <f ca="1">IFERROR(IF(0=LEN(ReferenceData!$AL$483),"",ReferenceData!$AL$483),"")</f>
        <v/>
      </c>
      <c r="AM483" t="str">
        <f ca="1">IFERROR(IF(0=LEN(ReferenceData!$AM$483),"",ReferenceData!$AM$483),"")</f>
        <v/>
      </c>
      <c r="AN483" t="str">
        <f ca="1">IFERROR(IF(0=LEN(ReferenceData!$AN$483),"",ReferenceData!$AN$483),"")</f>
        <v/>
      </c>
      <c r="AO483" t="str">
        <f ca="1">IFERROR(IF(0=LEN(ReferenceData!$AO$483),"",ReferenceData!$AO$483),"")</f>
        <v/>
      </c>
      <c r="AP483" t="str">
        <f ca="1">IFERROR(IF(0=LEN(ReferenceData!$AP$483),"",ReferenceData!$AP$483),"")</f>
        <v/>
      </c>
      <c r="AQ483" t="str">
        <f ca="1">IFERROR(IF(0=LEN(ReferenceData!$AQ$483),"",ReferenceData!$AQ$483),"")</f>
        <v/>
      </c>
      <c r="AR483" t="str">
        <f ca="1">IFERROR(IF(0=LEN(ReferenceData!$AR$483),"",ReferenceData!$AR$483),"")</f>
        <v/>
      </c>
      <c r="AS483" t="str">
        <f ca="1">IFERROR(IF(0=LEN(ReferenceData!$AS$483),"",ReferenceData!$AS$483),"")</f>
        <v/>
      </c>
      <c r="AT483" t="str">
        <f ca="1">IFERROR(IF(0=LEN(ReferenceData!$AT$483),"",ReferenceData!$AT$483),"")</f>
        <v/>
      </c>
      <c r="AU483" t="str">
        <f ca="1">IFERROR(IF(0=LEN(ReferenceData!$AU$483),"",ReferenceData!$AU$483),"")</f>
        <v/>
      </c>
      <c r="AV483" t="str">
        <f ca="1">IFERROR(IF(0=LEN(ReferenceData!$AV$483),"",ReferenceData!$AV$483),"")</f>
        <v/>
      </c>
      <c r="AW483" t="str">
        <f ca="1">IFERROR(IF(0=LEN(ReferenceData!$AW$483),"",ReferenceData!$AW$483),"")</f>
        <v/>
      </c>
      <c r="AX483" t="str">
        <f ca="1">IFERROR(IF(0=LEN(ReferenceData!$AX$483),"",ReferenceData!$AX$483),"")</f>
        <v/>
      </c>
      <c r="AY483" t="str">
        <f ca="1">IFERROR(IF(0=LEN(ReferenceData!$AY$483),"",ReferenceData!$AY$483),"")</f>
        <v/>
      </c>
      <c r="AZ483" t="str">
        <f ca="1">IFERROR(IF(0=LEN(ReferenceData!$AZ$483),"",ReferenceData!$AZ$483),"")</f>
        <v/>
      </c>
      <c r="BA483" t="str">
        <f ca="1">IFERROR(IF(0=LEN(ReferenceData!$BA$483),"",ReferenceData!$BA$483),"")</f>
        <v/>
      </c>
      <c r="BB483" t="str">
        <f ca="1">IFERROR(IF(0=LEN(ReferenceData!$BB$483),"",ReferenceData!$BB$483),"")</f>
        <v/>
      </c>
      <c r="BC483" t="str">
        <f ca="1">IFERROR(IF(0=LEN(ReferenceData!$BC$483),"",ReferenceData!$BC$483),"")</f>
        <v/>
      </c>
      <c r="BD483" t="str">
        <f ca="1">IFERROR(IF(0=LEN(ReferenceData!$BD$483),"",ReferenceData!$BD$483),"")</f>
        <v/>
      </c>
      <c r="BE483" t="str">
        <f ca="1">IFERROR(IF(0=LEN(ReferenceData!$BE$483),"",ReferenceData!$BE$483),"")</f>
        <v/>
      </c>
      <c r="BF483" t="str">
        <f ca="1">IFERROR(IF(0=LEN(ReferenceData!$BF$483),"",ReferenceData!$BF$483),"")</f>
        <v/>
      </c>
      <c r="BG483" t="str">
        <f ca="1">IFERROR(IF(0=LEN(ReferenceData!$BG$483),"",ReferenceData!$BG$483),"")</f>
        <v/>
      </c>
      <c r="BH483" t="str">
        <f ca="1">IFERROR(IF(0=LEN(ReferenceData!$BH$483),"",ReferenceData!$BH$483),"")</f>
        <v/>
      </c>
      <c r="BI483" t="str">
        <f ca="1">IFERROR(IF(0=LEN(ReferenceData!$BI$483),"",ReferenceData!$BI$483),"")</f>
        <v/>
      </c>
      <c r="BJ483" t="str">
        <f ca="1">IFERROR(IF(0=LEN(ReferenceData!$BJ$483),"",ReferenceData!$BJ$483),"")</f>
        <v/>
      </c>
      <c r="BK483" t="str">
        <f ca="1">IFERROR(IF(0=LEN(ReferenceData!$BK$483),"",ReferenceData!$BK$483),"")</f>
        <v/>
      </c>
      <c r="BL483" t="str">
        <f ca="1">IFERROR(IF(0=LEN(ReferenceData!$BL$483),"",ReferenceData!$BL$483),"")</f>
        <v/>
      </c>
      <c r="BM483" t="str">
        <f ca="1">IFERROR(IF(0=LEN(ReferenceData!$BM$483),"",ReferenceData!$BM$483),"")</f>
        <v/>
      </c>
    </row>
    <row r="484" spans="1:65" x14ac:dyDescent="0.25">
      <c r="A484" t="str">
        <f>IFERROR(IF(0=LEN(ReferenceData!$A$484),"",ReferenceData!$A$484),"")</f>
        <v xml:space="preserve">    SAIC Motor Corp Ltd</v>
      </c>
      <c r="B484" t="str">
        <f>IFERROR(IF(0=LEN(ReferenceData!$B$484),"",ReferenceData!$B$484),"")</f>
        <v>600104 CH Equity</v>
      </c>
      <c r="C484" t="str">
        <f>IFERROR(IF(0=LEN(ReferenceData!$C$484),"",ReferenceData!$C$484),"")</f>
        <v>RR476</v>
      </c>
      <c r="D484" t="str">
        <f>IFERROR(IF(0=LEN(ReferenceData!$D$484),"",ReferenceData!$D$484),"")</f>
        <v>EV_TO_T12M_NET_INCOME</v>
      </c>
      <c r="E484" t="str">
        <f>IFERROR(IF(0=LEN(ReferenceData!$E$484),"",ReferenceData!$E$484),"")</f>
        <v>Dynamic</v>
      </c>
      <c r="F484" t="str">
        <f ca="1">IFERROR(IF(0=LEN(ReferenceData!$F$484),"",ReferenceData!$F$484),"")</f>
        <v/>
      </c>
      <c r="G484" t="str">
        <f ca="1">IFERROR(IF(0=LEN(ReferenceData!$G$484),"",ReferenceData!$G$484),"")</f>
        <v/>
      </c>
      <c r="H484">
        <f ca="1">IFERROR(IF(0=LEN(ReferenceData!$H$484),"",ReferenceData!$H$484),"")</f>
        <v>12.700277059999999</v>
      </c>
      <c r="I484">
        <f ca="1">IFERROR(IF(0=LEN(ReferenceData!$I$484),"",ReferenceData!$I$484),"")</f>
        <v>11.92024264</v>
      </c>
      <c r="J484">
        <f ca="1">IFERROR(IF(0=LEN(ReferenceData!$J$484),"",ReferenceData!$J$484),"")</f>
        <v>13.89747216</v>
      </c>
      <c r="K484">
        <f ca="1">IFERROR(IF(0=LEN(ReferenceData!$K$484),"",ReferenceData!$K$484),"")</f>
        <v>13.922161040000001</v>
      </c>
      <c r="L484">
        <f ca="1">IFERROR(IF(0=LEN(ReferenceData!$L$484),"",ReferenceData!$L$484),"")</f>
        <v>12.54340464</v>
      </c>
      <c r="M484">
        <f ca="1">IFERROR(IF(0=LEN(ReferenceData!$M$484),"",ReferenceData!$M$484),"")</f>
        <v>10.53956032</v>
      </c>
      <c r="N484">
        <f ca="1">IFERROR(IF(0=LEN(ReferenceData!$N$484),"",ReferenceData!$N$484),"")</f>
        <v>11.27618511</v>
      </c>
      <c r="O484">
        <f ca="1">IFERROR(IF(0=LEN(ReferenceData!$O$484),"",ReferenceData!$O$484),"")</f>
        <v>10.118274120000001</v>
      </c>
      <c r="P484">
        <f ca="1">IFERROR(IF(0=LEN(ReferenceData!$P$484),"",ReferenceData!$P$484),"")</f>
        <v>9.5167999890000008</v>
      </c>
      <c r="Q484">
        <f ca="1">IFERROR(IF(0=LEN(ReferenceData!$Q$484),"",ReferenceData!$Q$484),"")</f>
        <v>9.3192205860000001</v>
      </c>
      <c r="R484">
        <f ca="1">IFERROR(IF(0=LEN(ReferenceData!$R$484),"",ReferenceData!$R$484),"")</f>
        <v>8.9636593849999997</v>
      </c>
      <c r="S484">
        <f ca="1">IFERROR(IF(0=LEN(ReferenceData!$S$484),"",ReferenceData!$S$484),"")</f>
        <v>10.10307602</v>
      </c>
      <c r="T484">
        <f ca="1">IFERROR(IF(0=LEN(ReferenceData!$T$484),"",ReferenceData!$T$484),"")</f>
        <v>8.4212607540000004</v>
      </c>
      <c r="U484">
        <f ca="1">IFERROR(IF(0=LEN(ReferenceData!$U$484),"",ReferenceData!$U$484),"")</f>
        <v>10.56823172</v>
      </c>
      <c r="V484">
        <f ca="1">IFERROR(IF(0=LEN(ReferenceData!$V$484),"",ReferenceData!$V$484),"")</f>
        <v>11.9630513</v>
      </c>
      <c r="W484">
        <f ca="1">IFERROR(IF(0=LEN(ReferenceData!$W$484),"",ReferenceData!$W$484),"")</f>
        <v>8.6760903650000003</v>
      </c>
      <c r="X484">
        <f ca="1">IFERROR(IF(0=LEN(ReferenceData!$X$484),"",ReferenceData!$X$484),"")</f>
        <v>7.2274990649999999</v>
      </c>
      <c r="Y484">
        <f ca="1">IFERROR(IF(0=LEN(ReferenceData!$Y$484),"",ReferenceData!$Y$484),"")</f>
        <v>5.6976855449999997</v>
      </c>
      <c r="Z484">
        <f ca="1">IFERROR(IF(0=LEN(ReferenceData!$Z$484),"",ReferenceData!$Z$484),"")</f>
        <v>6.5278450860000001</v>
      </c>
      <c r="AA484">
        <f ca="1">IFERROR(IF(0=LEN(ReferenceData!$AA$484),"",ReferenceData!$AA$484),"")</f>
        <v>6.3157040650000003</v>
      </c>
      <c r="AB484">
        <f ca="1">IFERROR(IF(0=LEN(ReferenceData!$AB$484),"",ReferenceData!$AB$484),"")</f>
        <v>7.0727701859999996</v>
      </c>
      <c r="AC484">
        <f ca="1">IFERROR(IF(0=LEN(ReferenceData!$AC$484),"",ReferenceData!$AC$484),"")</f>
        <v>5.8552345590000003</v>
      </c>
      <c r="AD484">
        <f ca="1">IFERROR(IF(0=LEN(ReferenceData!$AD$484),"",ReferenceData!$AD$484),"")</f>
        <v>8.7890436820000009</v>
      </c>
      <c r="AE484">
        <f ca="1">IFERROR(IF(0=LEN(ReferenceData!$AE$484),"",ReferenceData!$AE$484),"")</f>
        <v>9.616721042</v>
      </c>
      <c r="AF484">
        <f ca="1">IFERROR(IF(0=LEN(ReferenceData!$AF$484),"",ReferenceData!$AF$484),"")</f>
        <v>6.2079291489999999</v>
      </c>
      <c r="AG484">
        <f ca="1">IFERROR(IF(0=LEN(ReferenceData!$AG$484),"",ReferenceData!$AG$484),"")</f>
        <v>6.3129940070000004</v>
      </c>
      <c r="AH484">
        <f ca="1">IFERROR(IF(0=LEN(ReferenceData!$AH$484),"",ReferenceData!$AH$484),"")</f>
        <v>6.9284382610000002</v>
      </c>
      <c r="AI484">
        <f ca="1">IFERROR(IF(0=LEN(ReferenceData!$AI$484),"",ReferenceData!$AI$484),"")</f>
        <v>7.1996711810000003</v>
      </c>
      <c r="AJ484">
        <f ca="1">IFERROR(IF(0=LEN(ReferenceData!$AJ$484),"",ReferenceData!$AJ$484),"")</f>
        <v>6.6805509159999996</v>
      </c>
      <c r="AK484">
        <f ca="1">IFERROR(IF(0=LEN(ReferenceData!$AK$484),"",ReferenceData!$AK$484),"")</f>
        <v>8.1899053219999995</v>
      </c>
      <c r="AL484" t="str">
        <f ca="1">IFERROR(IF(0=LEN(ReferenceData!$AL$484),"",ReferenceData!$AL$484),"")</f>
        <v/>
      </c>
      <c r="AM484">
        <f ca="1">IFERROR(IF(0=LEN(ReferenceData!$AM$484),"",ReferenceData!$AM$484),"")</f>
        <v>7.9500257750000003</v>
      </c>
      <c r="AN484">
        <f ca="1">IFERROR(IF(0=LEN(ReferenceData!$AN$484),"",ReferenceData!$AN$484),"")</f>
        <v>12.754450609999999</v>
      </c>
      <c r="AO484">
        <f ca="1">IFERROR(IF(0=LEN(ReferenceData!$AO$484),"",ReferenceData!$AO$484),"")</f>
        <v>10.789320139999999</v>
      </c>
      <c r="AP484">
        <f ca="1">IFERROR(IF(0=LEN(ReferenceData!$AP$484),"",ReferenceData!$AP$484),"")</f>
        <v>15.530746949999999</v>
      </c>
      <c r="AQ484">
        <f ca="1">IFERROR(IF(0=LEN(ReferenceData!$AQ$484),"",ReferenceData!$AQ$484),"")</f>
        <v>29.257747559999999</v>
      </c>
      <c r="AR484">
        <f ca="1">IFERROR(IF(0=LEN(ReferenceData!$AR$484),"",ReferenceData!$AR$484),"")</f>
        <v>58.013280020000003</v>
      </c>
      <c r="AS484">
        <f ca="1">IFERROR(IF(0=LEN(ReferenceData!$AS$484),"",ReferenceData!$AS$484),"")</f>
        <v>833.30855440000005</v>
      </c>
      <c r="AT484">
        <f ca="1">IFERROR(IF(0=LEN(ReferenceData!$AT$484),"",ReferenceData!$AT$484),"")</f>
        <v>1687.5062049999999</v>
      </c>
      <c r="AU484">
        <f ca="1">IFERROR(IF(0=LEN(ReferenceData!$AU$484),"",ReferenceData!$AU$484),"")</f>
        <v>46.998972649999999</v>
      </c>
      <c r="AV484">
        <f ca="1">IFERROR(IF(0=LEN(ReferenceData!$AV$484),"",ReferenceData!$AV$484),"")</f>
        <v>16.521045579999999</v>
      </c>
      <c r="AW484">
        <f ca="1">IFERROR(IF(0=LEN(ReferenceData!$AW$484),"",ReferenceData!$AW$484),"")</f>
        <v>13.970395740000001</v>
      </c>
      <c r="AX484">
        <f ca="1">IFERROR(IF(0=LEN(ReferenceData!$AX$484),"",ReferenceData!$AX$484),"")</f>
        <v>16.841005030000002</v>
      </c>
      <c r="AY484">
        <f ca="1">IFERROR(IF(0=LEN(ReferenceData!$AY$484),"",ReferenceData!$AY$484),"")</f>
        <v>38.001846780000001</v>
      </c>
      <c r="AZ484">
        <f ca="1">IFERROR(IF(0=LEN(ReferenceData!$AZ$484),"",ReferenceData!$AZ$484),"")</f>
        <v>43.163243209999997</v>
      </c>
      <c r="BA484">
        <f ca="1">IFERROR(IF(0=LEN(ReferenceData!$BA$484),"",ReferenceData!$BA$484),"")</f>
        <v>31.347386050000001</v>
      </c>
      <c r="BB484">
        <f ca="1">IFERROR(IF(0=LEN(ReferenceData!$BB$484),"",ReferenceData!$BB$484),"")</f>
        <v>35.434112319999997</v>
      </c>
      <c r="BC484">
        <f ca="1">IFERROR(IF(0=LEN(ReferenceData!$BC$484),"",ReferenceData!$BC$484),"")</f>
        <v>38.704021070000003</v>
      </c>
      <c r="BD484">
        <f ca="1">IFERROR(IF(0=LEN(ReferenceData!$BD$484),"",ReferenceData!$BD$484),"")</f>
        <v>13.187600339999999</v>
      </c>
      <c r="BE484">
        <f ca="1">IFERROR(IF(0=LEN(ReferenceData!$BE$484),"",ReferenceData!$BE$484),"")</f>
        <v>14.090272089999999</v>
      </c>
      <c r="BF484">
        <f ca="1">IFERROR(IF(0=LEN(ReferenceData!$BF$484),"",ReferenceData!$BF$484),"")</f>
        <v>7.9418581420000001</v>
      </c>
      <c r="BG484">
        <f ca="1">IFERROR(IF(0=LEN(ReferenceData!$BG$484),"",ReferenceData!$BG$484),"")</f>
        <v>8.3080003060000003</v>
      </c>
      <c r="BH484">
        <f ca="1">IFERROR(IF(0=LEN(ReferenceData!$BH$484),"",ReferenceData!$BH$484),"")</f>
        <v>15.47953141</v>
      </c>
      <c r="BI484">
        <f ca="1">IFERROR(IF(0=LEN(ReferenceData!$BI$484),"",ReferenceData!$BI$484),"")</f>
        <v>12.6489794</v>
      </c>
      <c r="BJ484">
        <f ca="1">IFERROR(IF(0=LEN(ReferenceData!$BJ$484),"",ReferenceData!$BJ$484),"")</f>
        <v>8.7685711990000001</v>
      </c>
      <c r="BK484">
        <f ca="1">IFERROR(IF(0=LEN(ReferenceData!$BK$484),"",ReferenceData!$BK$484),"")</f>
        <v>7.058738505</v>
      </c>
      <c r="BL484">
        <f ca="1">IFERROR(IF(0=LEN(ReferenceData!$BL$484),"",ReferenceData!$BL$484),"")</f>
        <v>12.87935772</v>
      </c>
      <c r="BM484">
        <f ca="1">IFERROR(IF(0=LEN(ReferenceData!$BM$484),"",ReferenceData!$BM$484),"")</f>
        <v>13.078753499999999</v>
      </c>
    </row>
    <row r="485" spans="1:65" x14ac:dyDescent="0.25">
      <c r="A485" t="str">
        <f>IFERROR(IF(0=LEN(ReferenceData!$A$485),"",ReferenceData!$A$485),"")</f>
        <v xml:space="preserve">    Sanyang Motor Co Ltd</v>
      </c>
      <c r="B485" t="str">
        <f>IFERROR(IF(0=LEN(ReferenceData!$B$485),"",ReferenceData!$B$485),"")</f>
        <v>2206 TT Equity</v>
      </c>
      <c r="C485" t="str">
        <f>IFERROR(IF(0=LEN(ReferenceData!$C$485),"",ReferenceData!$C$485),"")</f>
        <v>RR476</v>
      </c>
      <c r="D485" t="str">
        <f>IFERROR(IF(0=LEN(ReferenceData!$D$485),"",ReferenceData!$D$485),"")</f>
        <v>EV_TO_T12M_NET_INCOME</v>
      </c>
      <c r="E485" t="str">
        <f>IFERROR(IF(0=LEN(ReferenceData!$E$485),"",ReferenceData!$E$485),"")</f>
        <v>Dynamic</v>
      </c>
      <c r="F485" t="str">
        <f ca="1">IFERROR(IF(0=LEN(ReferenceData!$F$485),"",ReferenceData!$F$485),"")</f>
        <v/>
      </c>
      <c r="G485" t="str">
        <f ca="1">IFERROR(IF(0=LEN(ReferenceData!$G$485),"",ReferenceData!$G$485),"")</f>
        <v/>
      </c>
      <c r="H485">
        <f ca="1">IFERROR(IF(0=LEN(ReferenceData!$H$485),"",ReferenceData!$H$485),"")</f>
        <v>17.81179479</v>
      </c>
      <c r="I485">
        <f ca="1">IFERROR(IF(0=LEN(ReferenceData!$I$485),"",ReferenceData!$I$485),"")</f>
        <v>57.7448829</v>
      </c>
      <c r="J485">
        <f ca="1">IFERROR(IF(0=LEN(ReferenceData!$J$485),"",ReferenceData!$J$485),"")</f>
        <v>42.888368849999999</v>
      </c>
      <c r="K485">
        <f ca="1">IFERROR(IF(0=LEN(ReferenceData!$K$485),"",ReferenceData!$K$485),"")</f>
        <v>47.869318999999997</v>
      </c>
      <c r="L485">
        <f ca="1">IFERROR(IF(0=LEN(ReferenceData!$L$485),"",ReferenceData!$L$485),"")</f>
        <v>51.9730676</v>
      </c>
      <c r="M485">
        <f ca="1">IFERROR(IF(0=LEN(ReferenceData!$M$485),"",ReferenceData!$M$485),"")</f>
        <v>570.03436980000004</v>
      </c>
      <c r="N485" t="str">
        <f ca="1">IFERROR(IF(0=LEN(ReferenceData!$N$485),"",ReferenceData!$N$485),"")</f>
        <v/>
      </c>
      <c r="O485" t="str">
        <f ca="1">IFERROR(IF(0=LEN(ReferenceData!$O$485),"",ReferenceData!$O$485),"")</f>
        <v/>
      </c>
      <c r="P485" t="str">
        <f ca="1">IFERROR(IF(0=LEN(ReferenceData!$P$485),"",ReferenceData!$P$485),"")</f>
        <v/>
      </c>
      <c r="Q485">
        <f ca="1">IFERROR(IF(0=LEN(ReferenceData!$Q$485),"",ReferenceData!$Q$485),"")</f>
        <v>10.32788408</v>
      </c>
      <c r="R485">
        <f ca="1">IFERROR(IF(0=LEN(ReferenceData!$R$485),"",ReferenceData!$R$485),"")</f>
        <v>10.3752414</v>
      </c>
      <c r="S485">
        <f ca="1">IFERROR(IF(0=LEN(ReferenceData!$S$485),"",ReferenceData!$S$485),"")</f>
        <v>10.40096084</v>
      </c>
      <c r="T485">
        <f ca="1">IFERROR(IF(0=LEN(ReferenceData!$T$485),"",ReferenceData!$T$485),"")</f>
        <v>10.46672362</v>
      </c>
      <c r="U485" t="str">
        <f ca="1">IFERROR(IF(0=LEN(ReferenceData!$U$485),"",ReferenceData!$U$485),"")</f>
        <v/>
      </c>
      <c r="V485" t="str">
        <f ca="1">IFERROR(IF(0=LEN(ReferenceData!$V$485),"",ReferenceData!$V$485),"")</f>
        <v/>
      </c>
      <c r="W485" t="str">
        <f ca="1">IFERROR(IF(0=LEN(ReferenceData!$W$485),"",ReferenceData!$W$485),"")</f>
        <v/>
      </c>
      <c r="X485" t="str">
        <f ca="1">IFERROR(IF(0=LEN(ReferenceData!$X$485),"",ReferenceData!$X$485),"")</f>
        <v/>
      </c>
      <c r="Y485" t="str">
        <f ca="1">IFERROR(IF(0=LEN(ReferenceData!$Y$485),"",ReferenceData!$Y$485),"")</f>
        <v/>
      </c>
      <c r="Z485" t="str">
        <f ca="1">IFERROR(IF(0=LEN(ReferenceData!$Z$485),"",ReferenceData!$Z$485),"")</f>
        <v/>
      </c>
      <c r="AA485" t="str">
        <f ca="1">IFERROR(IF(0=LEN(ReferenceData!$AA$485),"",ReferenceData!$AA$485),"")</f>
        <v/>
      </c>
      <c r="AB485" t="str">
        <f ca="1">IFERROR(IF(0=LEN(ReferenceData!$AB$485),"",ReferenceData!$AB$485),"")</f>
        <v/>
      </c>
      <c r="AC485">
        <f ca="1">IFERROR(IF(0=LEN(ReferenceData!$AC$485),"",ReferenceData!$AC$485),"")</f>
        <v>144.72396979999999</v>
      </c>
      <c r="AD485">
        <f ca="1">IFERROR(IF(0=LEN(ReferenceData!$AD$485),"",ReferenceData!$AD$485),"")</f>
        <v>138.10444860000001</v>
      </c>
      <c r="AE485">
        <f ca="1">IFERROR(IF(0=LEN(ReferenceData!$AE$485),"",ReferenceData!$AE$485),"")</f>
        <v>53.561489639999998</v>
      </c>
      <c r="AF485">
        <f ca="1">IFERROR(IF(0=LEN(ReferenceData!$AF$485),"",ReferenceData!$AF$485),"")</f>
        <v>53.303464140000003</v>
      </c>
      <c r="AG485">
        <f ca="1">IFERROR(IF(0=LEN(ReferenceData!$AG$485),"",ReferenceData!$AG$485),"")</f>
        <v>34.678748839999997</v>
      </c>
      <c r="AH485">
        <f ca="1">IFERROR(IF(0=LEN(ReferenceData!$AH$485),"",ReferenceData!$AH$485),"")</f>
        <v>22.907088559999998</v>
      </c>
      <c r="AI485">
        <f ca="1">IFERROR(IF(0=LEN(ReferenceData!$AI$485),"",ReferenceData!$AI$485),"")</f>
        <v>16.62800786</v>
      </c>
      <c r="AJ485">
        <f ca="1">IFERROR(IF(0=LEN(ReferenceData!$AJ$485),"",ReferenceData!$AJ$485),"")</f>
        <v>14.000133290000001</v>
      </c>
      <c r="AK485">
        <f ca="1">IFERROR(IF(0=LEN(ReferenceData!$AK$485),"",ReferenceData!$AK$485),"")</f>
        <v>16.31763711</v>
      </c>
      <c r="AL485">
        <f ca="1">IFERROR(IF(0=LEN(ReferenceData!$AL$485),"",ReferenceData!$AL$485),"")</f>
        <v>20.191063249999999</v>
      </c>
      <c r="AM485">
        <f ca="1">IFERROR(IF(0=LEN(ReferenceData!$AM$485),"",ReferenceData!$AM$485),"")</f>
        <v>30.24874251</v>
      </c>
      <c r="AN485">
        <f ca="1">IFERROR(IF(0=LEN(ReferenceData!$AN$485),"",ReferenceData!$AN$485),"")</f>
        <v>21.338329460000001</v>
      </c>
      <c r="AO485">
        <f ca="1">IFERROR(IF(0=LEN(ReferenceData!$AO$485),"",ReferenceData!$AO$485),"")</f>
        <v>20.89680693</v>
      </c>
      <c r="AP485">
        <f ca="1">IFERROR(IF(0=LEN(ReferenceData!$AP$485),"",ReferenceData!$AP$485),"")</f>
        <v>24.44146259</v>
      </c>
      <c r="AQ485">
        <f ca="1">IFERROR(IF(0=LEN(ReferenceData!$AQ$485),"",ReferenceData!$AQ$485),"")</f>
        <v>121.79294779999999</v>
      </c>
      <c r="AR485" t="str">
        <f ca="1">IFERROR(IF(0=LEN(ReferenceData!$AR$485),"",ReferenceData!$AR$485),"")</f>
        <v/>
      </c>
      <c r="AS485" t="str">
        <f ca="1">IFERROR(IF(0=LEN(ReferenceData!$AS$485),"",ReferenceData!$AS$485),"")</f>
        <v/>
      </c>
      <c r="AT485" t="str">
        <f ca="1">IFERROR(IF(0=LEN(ReferenceData!$AT$485),"",ReferenceData!$AT$485),"")</f>
        <v/>
      </c>
      <c r="AU485">
        <f ca="1">IFERROR(IF(0=LEN(ReferenceData!$AU$485),"",ReferenceData!$AU$485),"")</f>
        <v>395.60315969999999</v>
      </c>
      <c r="AV485">
        <f ca="1">IFERROR(IF(0=LEN(ReferenceData!$AV$485),"",ReferenceData!$AV$485),"")</f>
        <v>32.032504850000002</v>
      </c>
      <c r="AW485" t="str">
        <f ca="1">IFERROR(IF(0=LEN(ReferenceData!$AW$485),"",ReferenceData!$AW$485),"")</f>
        <v/>
      </c>
      <c r="AX485" t="str">
        <f ca="1">IFERROR(IF(0=LEN(ReferenceData!$AX$485),"",ReferenceData!$AX$485),"")</f>
        <v/>
      </c>
      <c r="AY485" t="str">
        <f ca="1">IFERROR(IF(0=LEN(ReferenceData!$AY$485),"",ReferenceData!$AY$485),"")</f>
        <v/>
      </c>
      <c r="AZ485" t="str">
        <f ca="1">IFERROR(IF(0=LEN(ReferenceData!$AZ$485),"",ReferenceData!$AZ$485),"")</f>
        <v/>
      </c>
      <c r="BA485" t="str">
        <f ca="1">IFERROR(IF(0=LEN(ReferenceData!$BA$485),"",ReferenceData!$BA$485),"")</f>
        <v/>
      </c>
      <c r="BB485" t="str">
        <f ca="1">IFERROR(IF(0=LEN(ReferenceData!$BB$485),"",ReferenceData!$BB$485),"")</f>
        <v/>
      </c>
      <c r="BC485" t="str">
        <f ca="1">IFERROR(IF(0=LEN(ReferenceData!$BC$485),"",ReferenceData!$BC$485),"")</f>
        <v/>
      </c>
      <c r="BD485" t="str">
        <f ca="1">IFERROR(IF(0=LEN(ReferenceData!$BD$485),"",ReferenceData!$BD$485),"")</f>
        <v/>
      </c>
      <c r="BE485" t="str">
        <f ca="1">IFERROR(IF(0=LEN(ReferenceData!$BE$485),"",ReferenceData!$BE$485),"")</f>
        <v/>
      </c>
      <c r="BF485" t="str">
        <f ca="1">IFERROR(IF(0=LEN(ReferenceData!$BF$485),"",ReferenceData!$BF$485),"")</f>
        <v/>
      </c>
      <c r="BG485" t="str">
        <f ca="1">IFERROR(IF(0=LEN(ReferenceData!$BG$485),"",ReferenceData!$BG$485),"")</f>
        <v/>
      </c>
      <c r="BH485" t="str">
        <f ca="1">IFERROR(IF(0=LEN(ReferenceData!$BH$485),"",ReferenceData!$BH$485),"")</f>
        <v/>
      </c>
      <c r="BI485" t="str">
        <f ca="1">IFERROR(IF(0=LEN(ReferenceData!$BI$485),"",ReferenceData!$BI$485),"")</f>
        <v/>
      </c>
      <c r="BJ485" t="str">
        <f ca="1">IFERROR(IF(0=LEN(ReferenceData!$BJ$485),"",ReferenceData!$BJ$485),"")</f>
        <v/>
      </c>
      <c r="BK485" t="str">
        <f ca="1">IFERROR(IF(0=LEN(ReferenceData!$BK$485),"",ReferenceData!$BK$485),"")</f>
        <v/>
      </c>
      <c r="BL485" t="str">
        <f ca="1">IFERROR(IF(0=LEN(ReferenceData!$BL$485),"",ReferenceData!$BL$485),"")</f>
        <v/>
      </c>
      <c r="BM485" t="str">
        <f ca="1">IFERROR(IF(0=LEN(ReferenceData!$BM$485),"",ReferenceData!$BM$485),"")</f>
        <v/>
      </c>
    </row>
    <row r="486" spans="1:65" x14ac:dyDescent="0.25">
      <c r="A486" t="str">
        <f>IFERROR(IF(0=LEN(ReferenceData!$A$486),"",ReferenceData!$A$486),"")</f>
        <v xml:space="preserve">    Sollers PJSC</v>
      </c>
      <c r="B486" t="str">
        <f>IFERROR(IF(0=LEN(ReferenceData!$B$486),"",ReferenceData!$B$486),"")</f>
        <v>SVAV RM Equity</v>
      </c>
      <c r="C486" t="str">
        <f>IFERROR(IF(0=LEN(ReferenceData!$C$486),"",ReferenceData!$C$486),"")</f>
        <v>RR476</v>
      </c>
      <c r="D486" t="str">
        <f>IFERROR(IF(0=LEN(ReferenceData!$D$486),"",ReferenceData!$D$486),"")</f>
        <v>EV_TO_T12M_NET_INCOME</v>
      </c>
      <c r="E486" t="str">
        <f>IFERROR(IF(0=LEN(ReferenceData!$E$486),"",ReferenceData!$E$486),"")</f>
        <v>Dynamic</v>
      </c>
      <c r="F486" t="str">
        <f ca="1">IFERROR(IF(0=LEN(ReferenceData!$F$486),"",ReferenceData!$F$486),"")</f>
        <v/>
      </c>
      <c r="G486" t="str">
        <f ca="1">IFERROR(IF(0=LEN(ReferenceData!$G$486),"",ReferenceData!$G$486),"")</f>
        <v/>
      </c>
      <c r="H486" t="str">
        <f ca="1">IFERROR(IF(0=LEN(ReferenceData!$H$486),"",ReferenceData!$H$486),"")</f>
        <v/>
      </c>
      <c r="I486" t="str">
        <f ca="1">IFERROR(IF(0=LEN(ReferenceData!$I$486),"",ReferenceData!$I$486),"")</f>
        <v/>
      </c>
      <c r="J486" t="str">
        <f ca="1">IFERROR(IF(0=LEN(ReferenceData!$J$486),"",ReferenceData!$J$486),"")</f>
        <v/>
      </c>
      <c r="K486" t="str">
        <f ca="1">IFERROR(IF(0=LEN(ReferenceData!$K$486),"",ReferenceData!$K$486),"")</f>
        <v/>
      </c>
      <c r="L486" t="str">
        <f ca="1">IFERROR(IF(0=LEN(ReferenceData!$L$486),"",ReferenceData!$L$486),"")</f>
        <v/>
      </c>
      <c r="M486" t="str">
        <f ca="1">IFERROR(IF(0=LEN(ReferenceData!$M$486),"",ReferenceData!$M$486),"")</f>
        <v/>
      </c>
      <c r="N486" t="str">
        <f ca="1">IFERROR(IF(0=LEN(ReferenceData!$N$486),"",ReferenceData!$N$486),"")</f>
        <v/>
      </c>
      <c r="O486" t="str">
        <f ca="1">IFERROR(IF(0=LEN(ReferenceData!$O$486),"",ReferenceData!$O$486),"")</f>
        <v/>
      </c>
      <c r="P486" t="str">
        <f ca="1">IFERROR(IF(0=LEN(ReferenceData!$P$486),"",ReferenceData!$P$486),"")</f>
        <v/>
      </c>
      <c r="Q486" t="str">
        <f ca="1">IFERROR(IF(0=LEN(ReferenceData!$Q$486),"",ReferenceData!$Q$486),"")</f>
        <v/>
      </c>
      <c r="R486" t="str">
        <f ca="1">IFERROR(IF(0=LEN(ReferenceData!$R$486),"",ReferenceData!$R$486),"")</f>
        <v/>
      </c>
      <c r="S486" t="str">
        <f ca="1">IFERROR(IF(0=LEN(ReferenceData!$S$486),"",ReferenceData!$S$486),"")</f>
        <v/>
      </c>
      <c r="T486" t="str">
        <f ca="1">IFERROR(IF(0=LEN(ReferenceData!$T$486),"",ReferenceData!$T$486),"")</f>
        <v/>
      </c>
      <c r="U486" t="str">
        <f ca="1">IFERROR(IF(0=LEN(ReferenceData!$U$486),"",ReferenceData!$U$486),"")</f>
        <v/>
      </c>
      <c r="V486" t="str">
        <f ca="1">IFERROR(IF(0=LEN(ReferenceData!$V$486),"",ReferenceData!$V$486),"")</f>
        <v/>
      </c>
      <c r="W486" t="str">
        <f ca="1">IFERROR(IF(0=LEN(ReferenceData!$W$486),"",ReferenceData!$W$486),"")</f>
        <v/>
      </c>
      <c r="X486" t="str">
        <f ca="1">IFERROR(IF(0=LEN(ReferenceData!$X$486),"",ReferenceData!$X$486),"")</f>
        <v/>
      </c>
      <c r="Y486" t="str">
        <f ca="1">IFERROR(IF(0=LEN(ReferenceData!$Y$486),"",ReferenceData!$Y$486),"")</f>
        <v/>
      </c>
      <c r="Z486" t="str">
        <f ca="1">IFERROR(IF(0=LEN(ReferenceData!$Z$486),"",ReferenceData!$Z$486),"")</f>
        <v/>
      </c>
      <c r="AA486" t="str">
        <f ca="1">IFERROR(IF(0=LEN(ReferenceData!$AA$486),"",ReferenceData!$AA$486),"")</f>
        <v/>
      </c>
      <c r="AB486" t="str">
        <f ca="1">IFERROR(IF(0=LEN(ReferenceData!$AB$486),"",ReferenceData!$AB$486),"")</f>
        <v/>
      </c>
      <c r="AC486" t="str">
        <f ca="1">IFERROR(IF(0=LEN(ReferenceData!$AC$486),"",ReferenceData!$AC$486),"")</f>
        <v/>
      </c>
      <c r="AD486" t="str">
        <f ca="1">IFERROR(IF(0=LEN(ReferenceData!$AD$486),"",ReferenceData!$AD$486),"")</f>
        <v/>
      </c>
      <c r="AE486" t="str">
        <f ca="1">IFERROR(IF(0=LEN(ReferenceData!$AE$486),"",ReferenceData!$AE$486),"")</f>
        <v/>
      </c>
      <c r="AF486" t="str">
        <f ca="1">IFERROR(IF(0=LEN(ReferenceData!$AF$486),"",ReferenceData!$AF$486),"")</f>
        <v/>
      </c>
      <c r="AG486" t="str">
        <f ca="1">IFERROR(IF(0=LEN(ReferenceData!$AG$486),"",ReferenceData!$AG$486),"")</f>
        <v/>
      </c>
      <c r="AH486" t="str">
        <f ca="1">IFERROR(IF(0=LEN(ReferenceData!$AH$486),"",ReferenceData!$AH$486),"")</f>
        <v/>
      </c>
      <c r="AI486" t="str">
        <f ca="1">IFERROR(IF(0=LEN(ReferenceData!$AI$486),"",ReferenceData!$AI$486),"")</f>
        <v/>
      </c>
      <c r="AJ486" t="str">
        <f ca="1">IFERROR(IF(0=LEN(ReferenceData!$AJ$486),"",ReferenceData!$AJ$486),"")</f>
        <v/>
      </c>
      <c r="AK486" t="str">
        <f ca="1">IFERROR(IF(0=LEN(ReferenceData!$AK$486),"",ReferenceData!$AK$486),"")</f>
        <v/>
      </c>
      <c r="AL486" t="str">
        <f ca="1">IFERROR(IF(0=LEN(ReferenceData!$AL$486),"",ReferenceData!$AL$486),"")</f>
        <v/>
      </c>
      <c r="AM486" t="str">
        <f ca="1">IFERROR(IF(0=LEN(ReferenceData!$AM$486),"",ReferenceData!$AM$486),"")</f>
        <v/>
      </c>
      <c r="AN486" t="str">
        <f ca="1">IFERROR(IF(0=LEN(ReferenceData!$AN$486),"",ReferenceData!$AN$486),"")</f>
        <v/>
      </c>
      <c r="AO486" t="str">
        <f ca="1">IFERROR(IF(0=LEN(ReferenceData!$AO$486),"",ReferenceData!$AO$486),"")</f>
        <v/>
      </c>
      <c r="AP486" t="str">
        <f ca="1">IFERROR(IF(0=LEN(ReferenceData!$AP$486),"",ReferenceData!$AP$486),"")</f>
        <v/>
      </c>
      <c r="AQ486" t="str">
        <f ca="1">IFERROR(IF(0=LEN(ReferenceData!$AQ$486),"",ReferenceData!$AQ$486),"")</f>
        <v/>
      </c>
      <c r="AR486" t="str">
        <f ca="1">IFERROR(IF(0=LEN(ReferenceData!$AR$486),"",ReferenceData!$AR$486),"")</f>
        <v/>
      </c>
      <c r="AS486" t="str">
        <f ca="1">IFERROR(IF(0=LEN(ReferenceData!$AS$486),"",ReferenceData!$AS$486),"")</f>
        <v/>
      </c>
      <c r="AT486" t="str">
        <f ca="1">IFERROR(IF(0=LEN(ReferenceData!$AT$486),"",ReferenceData!$AT$486),"")</f>
        <v/>
      </c>
      <c r="AU486" t="str">
        <f ca="1">IFERROR(IF(0=LEN(ReferenceData!$AU$486),"",ReferenceData!$AU$486),"")</f>
        <v/>
      </c>
      <c r="AV486" t="str">
        <f ca="1">IFERROR(IF(0=LEN(ReferenceData!$AV$486),"",ReferenceData!$AV$486),"")</f>
        <v/>
      </c>
      <c r="AW486" t="str">
        <f ca="1">IFERROR(IF(0=LEN(ReferenceData!$AW$486),"",ReferenceData!$AW$486),"")</f>
        <v/>
      </c>
      <c r="AX486" t="str">
        <f ca="1">IFERROR(IF(0=LEN(ReferenceData!$AX$486),"",ReferenceData!$AX$486),"")</f>
        <v/>
      </c>
      <c r="AY486" t="str">
        <f ca="1">IFERROR(IF(0=LEN(ReferenceData!$AY$486),"",ReferenceData!$AY$486),"")</f>
        <v/>
      </c>
      <c r="AZ486" t="str">
        <f ca="1">IFERROR(IF(0=LEN(ReferenceData!$AZ$486),"",ReferenceData!$AZ$486),"")</f>
        <v/>
      </c>
      <c r="BA486" t="str">
        <f ca="1">IFERROR(IF(0=LEN(ReferenceData!$BA$486),"",ReferenceData!$BA$486),"")</f>
        <v/>
      </c>
      <c r="BB486" t="str">
        <f ca="1">IFERROR(IF(0=LEN(ReferenceData!$BB$486),"",ReferenceData!$BB$486),"")</f>
        <v/>
      </c>
      <c r="BC486" t="str">
        <f ca="1">IFERROR(IF(0=LEN(ReferenceData!$BC$486),"",ReferenceData!$BC$486),"")</f>
        <v/>
      </c>
      <c r="BD486" t="str">
        <f ca="1">IFERROR(IF(0=LEN(ReferenceData!$BD$486),"",ReferenceData!$BD$486),"")</f>
        <v/>
      </c>
      <c r="BE486" t="str">
        <f ca="1">IFERROR(IF(0=LEN(ReferenceData!$BE$486),"",ReferenceData!$BE$486),"")</f>
        <v/>
      </c>
      <c r="BF486" t="str">
        <f ca="1">IFERROR(IF(0=LEN(ReferenceData!$BF$486),"",ReferenceData!$BF$486),"")</f>
        <v/>
      </c>
      <c r="BG486" t="str">
        <f ca="1">IFERROR(IF(0=LEN(ReferenceData!$BG$486),"",ReferenceData!$BG$486),"")</f>
        <v/>
      </c>
      <c r="BH486" t="str">
        <f ca="1">IFERROR(IF(0=LEN(ReferenceData!$BH$486),"",ReferenceData!$BH$486),"")</f>
        <v/>
      </c>
      <c r="BI486" t="str">
        <f ca="1">IFERROR(IF(0=LEN(ReferenceData!$BI$486),"",ReferenceData!$BI$486),"")</f>
        <v/>
      </c>
      <c r="BJ486" t="str">
        <f ca="1">IFERROR(IF(0=LEN(ReferenceData!$BJ$486),"",ReferenceData!$BJ$486),"")</f>
        <v/>
      </c>
      <c r="BK486" t="str">
        <f ca="1">IFERROR(IF(0=LEN(ReferenceData!$BK$486),"",ReferenceData!$BK$486),"")</f>
        <v/>
      </c>
      <c r="BL486" t="str">
        <f ca="1">IFERROR(IF(0=LEN(ReferenceData!$BL$486),"",ReferenceData!$BL$486),"")</f>
        <v/>
      </c>
      <c r="BM486" t="str">
        <f ca="1">IFERROR(IF(0=LEN(ReferenceData!$BM$486),"",ReferenceData!$BM$486),"")</f>
        <v/>
      </c>
    </row>
    <row r="487" spans="1:65" x14ac:dyDescent="0.25">
      <c r="A487" t="str">
        <f>IFERROR(IF(0=LEN(ReferenceData!$A$487),"",ReferenceData!$A$487),"")</f>
        <v xml:space="preserve">    Ssangyong Motor Co</v>
      </c>
      <c r="B487" t="str">
        <f>IFERROR(IF(0=LEN(ReferenceData!$B$487),"",ReferenceData!$B$487),"")</f>
        <v>003620 KS Equity</v>
      </c>
      <c r="C487" t="str">
        <f>IFERROR(IF(0=LEN(ReferenceData!$C$487),"",ReferenceData!$C$487),"")</f>
        <v>RR476</v>
      </c>
      <c r="D487" t="str">
        <f>IFERROR(IF(0=LEN(ReferenceData!$D$487),"",ReferenceData!$D$487),"")</f>
        <v>EV_TO_T12M_NET_INCOME</v>
      </c>
      <c r="E487" t="str">
        <f>IFERROR(IF(0=LEN(ReferenceData!$E$487),"",ReferenceData!$E$487),"")</f>
        <v>Dynamic</v>
      </c>
      <c r="F487" t="str">
        <f ca="1">IFERROR(IF(0=LEN(ReferenceData!$F$487),"",ReferenceData!$F$487),"")</f>
        <v/>
      </c>
      <c r="G487" t="str">
        <f ca="1">IFERROR(IF(0=LEN(ReferenceData!$G$487),"",ReferenceData!$G$487),"")</f>
        <v/>
      </c>
      <c r="H487" t="str">
        <f ca="1">IFERROR(IF(0=LEN(ReferenceData!$H$487),"",ReferenceData!$H$487),"")</f>
        <v/>
      </c>
      <c r="I487" t="str">
        <f ca="1">IFERROR(IF(0=LEN(ReferenceData!$I$487),"",ReferenceData!$I$487),"")</f>
        <v/>
      </c>
      <c r="J487" t="str">
        <f ca="1">IFERROR(IF(0=LEN(ReferenceData!$J$487),"",ReferenceData!$J$487),"")</f>
        <v/>
      </c>
      <c r="K487" t="str">
        <f ca="1">IFERROR(IF(0=LEN(ReferenceData!$K$487),"",ReferenceData!$K$487),"")</f>
        <v/>
      </c>
      <c r="L487" t="str">
        <f ca="1">IFERROR(IF(0=LEN(ReferenceData!$L$487),"",ReferenceData!$L$487),"")</f>
        <v/>
      </c>
      <c r="M487">
        <f ca="1">IFERROR(IF(0=LEN(ReferenceData!$M$487),"",ReferenceData!$M$487),"")</f>
        <v>48.062766619999998</v>
      </c>
      <c r="N487">
        <f ca="1">IFERROR(IF(0=LEN(ReferenceData!$N$487),"",ReferenceData!$N$487),"")</f>
        <v>26.56764179</v>
      </c>
      <c r="O487">
        <f ca="1">IFERROR(IF(0=LEN(ReferenceData!$O$487),"",ReferenceData!$O$487),"")</f>
        <v>17.877587989999999</v>
      </c>
      <c r="P487">
        <f ca="1">IFERROR(IF(0=LEN(ReferenceData!$P$487),"",ReferenceData!$P$487),"")</f>
        <v>20.551905730000001</v>
      </c>
      <c r="Q487">
        <f ca="1">IFERROR(IF(0=LEN(ReferenceData!$Q$487),"",ReferenceData!$Q$487),"")</f>
        <v>80.294740059999995</v>
      </c>
      <c r="R487" t="str">
        <f ca="1">IFERROR(IF(0=LEN(ReferenceData!$R$487),"",ReferenceData!$R$487),"")</f>
        <v/>
      </c>
      <c r="S487" t="str">
        <f ca="1">IFERROR(IF(0=LEN(ReferenceData!$S$487),"",ReferenceData!$S$487),"")</f>
        <v/>
      </c>
      <c r="T487" t="str">
        <f ca="1">IFERROR(IF(0=LEN(ReferenceData!$T$487),"",ReferenceData!$T$487),"")</f>
        <v/>
      </c>
      <c r="U487" t="str">
        <f ca="1">IFERROR(IF(0=LEN(ReferenceData!$U$487),"",ReferenceData!$U$487),"")</f>
        <v/>
      </c>
      <c r="V487" t="str">
        <f ca="1">IFERROR(IF(0=LEN(ReferenceData!$V$487),"",ReferenceData!$V$487),"")</f>
        <v/>
      </c>
      <c r="W487" t="str">
        <f ca="1">IFERROR(IF(0=LEN(ReferenceData!$W$487),"",ReferenceData!$W$487),"")</f>
        <v/>
      </c>
      <c r="X487" t="str">
        <f ca="1">IFERROR(IF(0=LEN(ReferenceData!$X$487),"",ReferenceData!$X$487),"")</f>
        <v/>
      </c>
      <c r="Y487" t="str">
        <f ca="1">IFERROR(IF(0=LEN(ReferenceData!$Y$487),"",ReferenceData!$Y$487),"")</f>
        <v/>
      </c>
      <c r="Z487">
        <f ca="1">IFERROR(IF(0=LEN(ReferenceData!$Z$487),"",ReferenceData!$Z$487),"")</f>
        <v>57.241716709999999</v>
      </c>
      <c r="AA487" t="str">
        <f ca="1">IFERROR(IF(0=LEN(ReferenceData!$AA$487),"",ReferenceData!$AA$487),"")</f>
        <v/>
      </c>
      <c r="AB487" t="str">
        <f ca="1">IFERROR(IF(0=LEN(ReferenceData!$AB$487),"",ReferenceData!$AB$487),"")</f>
        <v/>
      </c>
      <c r="AC487" t="str">
        <f ca="1">IFERROR(IF(0=LEN(ReferenceData!$AC$487),"",ReferenceData!$AC$487),"")</f>
        <v/>
      </c>
      <c r="AD487" t="str">
        <f ca="1">IFERROR(IF(0=LEN(ReferenceData!$AD$487),"",ReferenceData!$AD$487),"")</f>
        <v/>
      </c>
      <c r="AE487" t="str">
        <f ca="1">IFERROR(IF(0=LEN(ReferenceData!$AE$487),"",ReferenceData!$AE$487),"")</f>
        <v/>
      </c>
      <c r="AF487" t="str">
        <f ca="1">IFERROR(IF(0=LEN(ReferenceData!$AF$487),"",ReferenceData!$AF$487),"")</f>
        <v/>
      </c>
      <c r="AG487" t="str">
        <f ca="1">IFERROR(IF(0=LEN(ReferenceData!$AG$487),"",ReferenceData!$AG$487),"")</f>
        <v/>
      </c>
      <c r="AH487" t="str">
        <f ca="1">IFERROR(IF(0=LEN(ReferenceData!$AH$487),"",ReferenceData!$AH$487),"")</f>
        <v/>
      </c>
      <c r="AI487" t="str">
        <f ca="1">IFERROR(IF(0=LEN(ReferenceData!$AI$487),"",ReferenceData!$AI$487),"")</f>
        <v/>
      </c>
      <c r="AJ487" t="str">
        <f ca="1">IFERROR(IF(0=LEN(ReferenceData!$AJ$487),"",ReferenceData!$AJ$487),"")</f>
        <v/>
      </c>
      <c r="AK487" t="str">
        <f ca="1">IFERROR(IF(0=LEN(ReferenceData!$AK$487),"",ReferenceData!$AK$487),"")</f>
        <v/>
      </c>
      <c r="AL487" t="str">
        <f ca="1">IFERROR(IF(0=LEN(ReferenceData!$AL$487),"",ReferenceData!$AL$487),"")</f>
        <v/>
      </c>
      <c r="AM487" t="str">
        <f ca="1">IFERROR(IF(0=LEN(ReferenceData!$AM$487),"",ReferenceData!$AM$487),"")</f>
        <v/>
      </c>
      <c r="AN487" t="str">
        <f ca="1">IFERROR(IF(0=LEN(ReferenceData!$AN$487),"",ReferenceData!$AN$487),"")</f>
        <v/>
      </c>
      <c r="AO487" t="str">
        <f ca="1">IFERROR(IF(0=LEN(ReferenceData!$AO$487),"",ReferenceData!$AO$487),"")</f>
        <v/>
      </c>
      <c r="AP487" t="str">
        <f ca="1">IFERROR(IF(0=LEN(ReferenceData!$AP$487),"",ReferenceData!$AP$487),"")</f>
        <v/>
      </c>
      <c r="AQ487" t="str">
        <f ca="1">IFERROR(IF(0=LEN(ReferenceData!$AQ$487),"",ReferenceData!$AQ$487),"")</f>
        <v/>
      </c>
      <c r="AR487" t="str">
        <f ca="1">IFERROR(IF(0=LEN(ReferenceData!$AR$487),"",ReferenceData!$AR$487),"")</f>
        <v/>
      </c>
      <c r="AS487" t="str">
        <f ca="1">IFERROR(IF(0=LEN(ReferenceData!$AS$487),"",ReferenceData!$AS$487),"")</f>
        <v/>
      </c>
      <c r="AT487" t="str">
        <f ca="1">IFERROR(IF(0=LEN(ReferenceData!$AT$487),"",ReferenceData!$AT$487),"")</f>
        <v/>
      </c>
      <c r="AU487" t="str">
        <f ca="1">IFERROR(IF(0=LEN(ReferenceData!$AU$487),"",ReferenceData!$AU$487),"")</f>
        <v/>
      </c>
      <c r="AV487" t="str">
        <f ca="1">IFERROR(IF(0=LEN(ReferenceData!$AV$487),"",ReferenceData!$AV$487),"")</f>
        <v/>
      </c>
      <c r="AW487" t="str">
        <f ca="1">IFERROR(IF(0=LEN(ReferenceData!$AW$487),"",ReferenceData!$AW$487),"")</f>
        <v/>
      </c>
      <c r="AX487" t="str">
        <f ca="1">IFERROR(IF(0=LEN(ReferenceData!$AX$487),"",ReferenceData!$AX$487),"")</f>
        <v/>
      </c>
      <c r="AY487" t="str">
        <f ca="1">IFERROR(IF(0=LEN(ReferenceData!$AY$487),"",ReferenceData!$AY$487),"")</f>
        <v/>
      </c>
      <c r="AZ487" t="str">
        <f ca="1">IFERROR(IF(0=LEN(ReferenceData!$AZ$487),"",ReferenceData!$AZ$487),"")</f>
        <v/>
      </c>
      <c r="BA487" t="str">
        <f ca="1">IFERROR(IF(0=LEN(ReferenceData!$BA$487),"",ReferenceData!$BA$487),"")</f>
        <v/>
      </c>
      <c r="BB487" t="str">
        <f ca="1">IFERROR(IF(0=LEN(ReferenceData!$BB$487),"",ReferenceData!$BB$487),"")</f>
        <v/>
      </c>
      <c r="BC487" t="str">
        <f ca="1">IFERROR(IF(0=LEN(ReferenceData!$BC$487),"",ReferenceData!$BC$487),"")</f>
        <v/>
      </c>
      <c r="BD487" t="str">
        <f ca="1">IFERROR(IF(0=LEN(ReferenceData!$BD$487),"",ReferenceData!$BD$487),"")</f>
        <v/>
      </c>
      <c r="BE487" t="str">
        <f ca="1">IFERROR(IF(0=LEN(ReferenceData!$BE$487),"",ReferenceData!$BE$487),"")</f>
        <v/>
      </c>
      <c r="BF487" t="str">
        <f ca="1">IFERROR(IF(0=LEN(ReferenceData!$BF$487),"",ReferenceData!$BF$487),"")</f>
        <v/>
      </c>
      <c r="BG487" t="str">
        <f ca="1">IFERROR(IF(0=LEN(ReferenceData!$BG$487),"",ReferenceData!$BG$487),"")</f>
        <v/>
      </c>
      <c r="BH487" t="str">
        <f ca="1">IFERROR(IF(0=LEN(ReferenceData!$BH$487),"",ReferenceData!$BH$487),"")</f>
        <v/>
      </c>
      <c r="BI487" t="str">
        <f ca="1">IFERROR(IF(0=LEN(ReferenceData!$BI$487),"",ReferenceData!$BI$487),"")</f>
        <v/>
      </c>
      <c r="BJ487" t="str">
        <f ca="1">IFERROR(IF(0=LEN(ReferenceData!$BJ$487),"",ReferenceData!$BJ$487),"")</f>
        <v/>
      </c>
      <c r="BK487" t="str">
        <f ca="1">IFERROR(IF(0=LEN(ReferenceData!$BK$487),"",ReferenceData!$BK$487),"")</f>
        <v/>
      </c>
      <c r="BL487" t="str">
        <f ca="1">IFERROR(IF(0=LEN(ReferenceData!$BL$487),"",ReferenceData!$BL$487),"")</f>
        <v/>
      </c>
      <c r="BM487" t="str">
        <f ca="1">IFERROR(IF(0=LEN(ReferenceData!$BM$487),"",ReferenceData!$BM$487),"")</f>
        <v/>
      </c>
    </row>
    <row r="488" spans="1:65" x14ac:dyDescent="0.25">
      <c r="A488" t="str">
        <f>IFERROR(IF(0=LEN(ReferenceData!$A$488),"",ReferenceData!$A$488),"")</f>
        <v xml:space="preserve">    Subaru Corp</v>
      </c>
      <c r="B488" t="str">
        <f>IFERROR(IF(0=LEN(ReferenceData!$B$488),"",ReferenceData!$B$488),"")</f>
        <v>7270 JP Equity</v>
      </c>
      <c r="C488" t="str">
        <f>IFERROR(IF(0=LEN(ReferenceData!$C$488),"",ReferenceData!$C$488),"")</f>
        <v>RR476</v>
      </c>
      <c r="D488" t="str">
        <f>IFERROR(IF(0=LEN(ReferenceData!$D$488),"",ReferenceData!$D$488),"")</f>
        <v>EV_TO_T12M_NET_INCOME</v>
      </c>
      <c r="E488" t="str">
        <f>IFERROR(IF(0=LEN(ReferenceData!$E$488),"",ReferenceData!$E$488),"")</f>
        <v>Dynamic</v>
      </c>
      <c r="F488" t="str">
        <f ca="1">IFERROR(IF(0=LEN(ReferenceData!$F$488),"",ReferenceData!$F$488),"")</f>
        <v/>
      </c>
      <c r="G488">
        <f ca="1">IFERROR(IF(0=LEN(ReferenceData!$G$488),"",ReferenceData!$G$488),"")</f>
        <v>5.3619682480000002</v>
      </c>
      <c r="H488">
        <f ca="1">IFERROR(IF(0=LEN(ReferenceData!$H$488),"",ReferenceData!$H$488),"")</f>
        <v>9.9862797230000009</v>
      </c>
      <c r="I488">
        <f ca="1">IFERROR(IF(0=LEN(ReferenceData!$I$488),"",ReferenceData!$I$488),"")</f>
        <v>8.6922998800000002</v>
      </c>
      <c r="J488">
        <f ca="1">IFERROR(IF(0=LEN(ReferenceData!$J$488),"",ReferenceData!$J$488),"")</f>
        <v>8.0116590890000001</v>
      </c>
      <c r="K488">
        <f ca="1">IFERROR(IF(0=LEN(ReferenceData!$K$488),"",ReferenceData!$K$488),"")</f>
        <v>8.2708540389999996</v>
      </c>
      <c r="L488">
        <f ca="1">IFERROR(IF(0=LEN(ReferenceData!$L$488),"",ReferenceData!$L$488),"")</f>
        <v>10.869658190000001</v>
      </c>
      <c r="M488">
        <f ca="1">IFERROR(IF(0=LEN(ReferenceData!$M$488),"",ReferenceData!$M$488),"")</f>
        <v>7.0756079109999996</v>
      </c>
      <c r="N488">
        <f ca="1">IFERROR(IF(0=LEN(ReferenceData!$N$488),"",ReferenceData!$N$488),"")</f>
        <v>8.1864784559999997</v>
      </c>
      <c r="O488">
        <f ca="1">IFERROR(IF(0=LEN(ReferenceData!$O$488),"",ReferenceData!$O$488),"")</f>
        <v>9.4827243429999992</v>
      </c>
      <c r="P488">
        <f ca="1">IFERROR(IF(0=LEN(ReferenceData!$P$488),"",ReferenceData!$P$488),"")</f>
        <v>5.0555150480000002</v>
      </c>
      <c r="Q488">
        <f ca="1">IFERROR(IF(0=LEN(ReferenceData!$Q$488),"",ReferenceData!$Q$488),"")</f>
        <v>4.4996682679999997</v>
      </c>
      <c r="R488">
        <f ca="1">IFERROR(IF(0=LEN(ReferenceData!$R$488),"",ReferenceData!$R$488),"")</f>
        <v>5.2096775710000003</v>
      </c>
      <c r="S488">
        <f ca="1">IFERROR(IF(0=LEN(ReferenceData!$S$488),"",ReferenceData!$S$488),"")</f>
        <v>7.8709724870000004</v>
      </c>
      <c r="T488">
        <f ca="1">IFERROR(IF(0=LEN(ReferenceData!$T$488),"",ReferenceData!$T$488),"")</f>
        <v>7.8809354550000004</v>
      </c>
      <c r="U488">
        <f ca="1">IFERROR(IF(0=LEN(ReferenceData!$U$488),"",ReferenceData!$U$488),"")</f>
        <v>10.19120783</v>
      </c>
      <c r="V488">
        <f ca="1">IFERROR(IF(0=LEN(ReferenceData!$V$488),"",ReferenceData!$V$488),"")</f>
        <v>10.194852320000001</v>
      </c>
      <c r="W488">
        <f ca="1">IFERROR(IF(0=LEN(ReferenceData!$W$488),"",ReferenceData!$W$488),"")</f>
        <v>13.85274888</v>
      </c>
      <c r="X488">
        <f ca="1">IFERROR(IF(0=LEN(ReferenceData!$X$488),"",ReferenceData!$X$488),"")</f>
        <v>11.192031650000001</v>
      </c>
      <c r="Y488">
        <f ca="1">IFERROR(IF(0=LEN(ReferenceData!$Y$488),"",ReferenceData!$Y$488),"")</f>
        <v>9.1368788989999992</v>
      </c>
      <c r="Z488">
        <f ca="1">IFERROR(IF(0=LEN(ReferenceData!$Z$488),"",ReferenceData!$Z$488),"")</f>
        <v>9.0662402520000001</v>
      </c>
      <c r="AA488">
        <f ca="1">IFERROR(IF(0=LEN(ReferenceData!$AA$488),"",ReferenceData!$AA$488),"")</f>
        <v>8.5020939109999993</v>
      </c>
      <c r="AB488">
        <f ca="1">IFERROR(IF(0=LEN(ReferenceData!$AB$488),"",ReferenceData!$AB$488),"")</f>
        <v>10.94480255</v>
      </c>
      <c r="AC488">
        <f ca="1">IFERROR(IF(0=LEN(ReferenceData!$AC$488),"",ReferenceData!$AC$488),"")</f>
        <v>11.974918069999999</v>
      </c>
      <c r="AD488">
        <f ca="1">IFERROR(IF(0=LEN(ReferenceData!$AD$488),"",ReferenceData!$AD$488),"")</f>
        <v>9.2176408169999995</v>
      </c>
      <c r="AE488">
        <f ca="1">IFERROR(IF(0=LEN(ReferenceData!$AE$488),"",ReferenceData!$AE$488),"")</f>
        <v>15.347349339999999</v>
      </c>
      <c r="AF488">
        <f ca="1">IFERROR(IF(0=LEN(ReferenceData!$AF$488),"",ReferenceData!$AF$488),"")</f>
        <v>10.846588110000001</v>
      </c>
      <c r="AG488">
        <f ca="1">IFERROR(IF(0=LEN(ReferenceData!$AG$488),"",ReferenceData!$AG$488),"")</f>
        <v>20.58305897</v>
      </c>
      <c r="AH488">
        <f ca="1">IFERROR(IF(0=LEN(ReferenceData!$AH$488),"",ReferenceData!$AH$488),"")</f>
        <v>15.54105622</v>
      </c>
      <c r="AI488">
        <f ca="1">IFERROR(IF(0=LEN(ReferenceData!$AI$488),"",ReferenceData!$AI$488),"")</f>
        <v>16.671795840000001</v>
      </c>
      <c r="AJ488">
        <f ca="1">IFERROR(IF(0=LEN(ReferenceData!$AJ$488),"",ReferenceData!$AJ$488),"")</f>
        <v>12.136061529999999</v>
      </c>
      <c r="AK488">
        <f ca="1">IFERROR(IF(0=LEN(ReferenceData!$AK$488),"",ReferenceData!$AK$488),"")</f>
        <v>9.7569851199999995</v>
      </c>
      <c r="AL488">
        <f ca="1">IFERROR(IF(0=LEN(ReferenceData!$AL$488),"",ReferenceData!$AL$488),"")</f>
        <v>10.37576791</v>
      </c>
      <c r="AM488">
        <f ca="1">IFERROR(IF(0=LEN(ReferenceData!$AM$488),"",ReferenceData!$AM$488),"")</f>
        <v>11.42710975</v>
      </c>
      <c r="AN488">
        <f ca="1">IFERROR(IF(0=LEN(ReferenceData!$AN$488),"",ReferenceData!$AN$488),"")</f>
        <v>10.99447159</v>
      </c>
      <c r="AO488">
        <f ca="1">IFERROR(IF(0=LEN(ReferenceData!$AO$488),"",ReferenceData!$AO$488),"")</f>
        <v>24.63049049</v>
      </c>
      <c r="AP488" t="str">
        <f ca="1">IFERROR(IF(0=LEN(ReferenceData!$AP$488),"",ReferenceData!$AP$488),"")</f>
        <v/>
      </c>
      <c r="AQ488" t="str">
        <f ca="1">IFERROR(IF(0=LEN(ReferenceData!$AQ$488),"",ReferenceData!$AQ$488),"")</f>
        <v/>
      </c>
      <c r="AR488" t="str">
        <f ca="1">IFERROR(IF(0=LEN(ReferenceData!$AR$488),"",ReferenceData!$AR$488),"")</f>
        <v/>
      </c>
      <c r="AS488" t="str">
        <f ca="1">IFERROR(IF(0=LEN(ReferenceData!$AS$488),"",ReferenceData!$AS$488),"")</f>
        <v/>
      </c>
      <c r="AT488" t="str">
        <f ca="1">IFERROR(IF(0=LEN(ReferenceData!$AT$488),"",ReferenceData!$AT$488),"")</f>
        <v/>
      </c>
      <c r="AU488" t="str">
        <f ca="1">IFERROR(IF(0=LEN(ReferenceData!$AU$488),"",ReferenceData!$AU$488),"")</f>
        <v/>
      </c>
      <c r="AV488">
        <f ca="1">IFERROR(IF(0=LEN(ReferenceData!$AV$488),"",ReferenceData!$AV$488),"")</f>
        <v>39.651744280000003</v>
      </c>
      <c r="AW488">
        <f ca="1">IFERROR(IF(0=LEN(ReferenceData!$AW$488),"",ReferenceData!$AW$488),"")</f>
        <v>29.887428020000002</v>
      </c>
      <c r="AX488">
        <f ca="1">IFERROR(IF(0=LEN(ReferenceData!$AX$488),"",ReferenceData!$AX$488),"")</f>
        <v>27.33731066</v>
      </c>
      <c r="AY488">
        <f ca="1">IFERROR(IF(0=LEN(ReferenceData!$AY$488),"",ReferenceData!$AY$488),"")</f>
        <v>25.542076170000001</v>
      </c>
      <c r="AZ488">
        <f ca="1">IFERROR(IF(0=LEN(ReferenceData!$AZ$488),"",ReferenceData!$AZ$488),"")</f>
        <v>21.585904299999999</v>
      </c>
      <c r="BA488">
        <f ca="1">IFERROR(IF(0=LEN(ReferenceData!$BA$488),"",ReferenceData!$BA$488),"")</f>
        <v>26.380879140000001</v>
      </c>
      <c r="BB488">
        <f ca="1">IFERROR(IF(0=LEN(ReferenceData!$BB$488),"",ReferenceData!$BB$488),"")</f>
        <v>21.965729020000001</v>
      </c>
      <c r="BC488">
        <f ca="1">IFERROR(IF(0=LEN(ReferenceData!$BC$488),"",ReferenceData!$BC$488),"")</f>
        <v>27.142033720000001</v>
      </c>
      <c r="BD488">
        <f ca="1">IFERROR(IF(0=LEN(ReferenceData!$BD$488),"",ReferenceData!$BD$488),"")</f>
        <v>40.04206353</v>
      </c>
      <c r="BE488">
        <f ca="1">IFERROR(IF(0=LEN(ReferenceData!$BE$488),"",ReferenceData!$BE$488),"")</f>
        <v>36.210876110000001</v>
      </c>
      <c r="BF488">
        <f ca="1">IFERROR(IF(0=LEN(ReferenceData!$BF$488),"",ReferenceData!$BF$488),"")</f>
        <v>49.2801677</v>
      </c>
      <c r="BG488">
        <f ca="1">IFERROR(IF(0=LEN(ReferenceData!$BG$488),"",ReferenceData!$BG$488),"")</f>
        <v>74.408418519999998</v>
      </c>
      <c r="BH488">
        <f ca="1">IFERROR(IF(0=LEN(ReferenceData!$BH$488),"",ReferenceData!$BH$488),"")</f>
        <v>37.192496720000001</v>
      </c>
      <c r="BI488">
        <f ca="1">IFERROR(IF(0=LEN(ReferenceData!$BI$488),"",ReferenceData!$BI$488),"")</f>
        <v>36.980213829999997</v>
      </c>
      <c r="BJ488">
        <f ca="1">IFERROR(IF(0=LEN(ReferenceData!$BJ$488),"",ReferenceData!$BJ$488),"")</f>
        <v>38.173977200000003</v>
      </c>
      <c r="BK488" t="str">
        <f ca="1">IFERROR(IF(0=LEN(ReferenceData!$BK$488),"",ReferenceData!$BK$488),"")</f>
        <v/>
      </c>
      <c r="BL488">
        <f ca="1">IFERROR(IF(0=LEN(ReferenceData!$BL$488),"",ReferenceData!$BL$488),"")</f>
        <v>24.729947559999999</v>
      </c>
      <c r="BM488" t="str">
        <f ca="1">IFERROR(IF(0=LEN(ReferenceData!$BM$488),"",ReferenceData!$BM$488),"")</f>
        <v/>
      </c>
    </row>
    <row r="489" spans="1:65" x14ac:dyDescent="0.25">
      <c r="A489" t="str">
        <f>IFERROR(IF(0=LEN(ReferenceData!$A$489),"",ReferenceData!$A$489),"")</f>
        <v xml:space="preserve">    Suzuki Motor Corp</v>
      </c>
      <c r="B489" t="str">
        <f>IFERROR(IF(0=LEN(ReferenceData!$B$489),"",ReferenceData!$B$489),"")</f>
        <v>7269 JP Equity</v>
      </c>
      <c r="C489" t="str">
        <f>IFERROR(IF(0=LEN(ReferenceData!$C$489),"",ReferenceData!$C$489),"")</f>
        <v>RR476</v>
      </c>
      <c r="D489" t="str">
        <f>IFERROR(IF(0=LEN(ReferenceData!$D$489),"",ReferenceData!$D$489),"")</f>
        <v>EV_TO_T12M_NET_INCOME</v>
      </c>
      <c r="E489" t="str">
        <f>IFERROR(IF(0=LEN(ReferenceData!$E$489),"",ReferenceData!$E$489),"")</f>
        <v>Dynamic</v>
      </c>
      <c r="F489" t="str">
        <f ca="1">IFERROR(IF(0=LEN(ReferenceData!$F$489),"",ReferenceData!$F$489),"")</f>
        <v/>
      </c>
      <c r="G489">
        <f ca="1">IFERROR(IF(0=LEN(ReferenceData!$G$489),"",ReferenceData!$G$489),"")</f>
        <v>11.303520649999999</v>
      </c>
      <c r="H489">
        <f ca="1">IFERROR(IF(0=LEN(ReferenceData!$H$489),"",ReferenceData!$H$489),"")</f>
        <v>11.84175772</v>
      </c>
      <c r="I489">
        <f ca="1">IFERROR(IF(0=LEN(ReferenceData!$I$489),"",ReferenceData!$I$489),"")</f>
        <v>11.32044133</v>
      </c>
      <c r="J489">
        <f ca="1">IFERROR(IF(0=LEN(ReferenceData!$J$489),"",ReferenceData!$J$489),"")</f>
        <v>11.46227435</v>
      </c>
      <c r="K489">
        <f ca="1">IFERROR(IF(0=LEN(ReferenceData!$K$489),"",ReferenceData!$K$489),"")</f>
        <v>14.73624253</v>
      </c>
      <c r="L489">
        <f ca="1">IFERROR(IF(0=LEN(ReferenceData!$L$489),"",ReferenceData!$L$489),"")</f>
        <v>14.9989816</v>
      </c>
      <c r="M489">
        <f ca="1">IFERROR(IF(0=LEN(ReferenceData!$M$489),"",ReferenceData!$M$489),"")</f>
        <v>12.04630766</v>
      </c>
      <c r="N489">
        <f ca="1">IFERROR(IF(0=LEN(ReferenceData!$N$489),"",ReferenceData!$N$489),"")</f>
        <v>12.04131205</v>
      </c>
      <c r="O489">
        <f ca="1">IFERROR(IF(0=LEN(ReferenceData!$O$489),"",ReferenceData!$O$489),"")</f>
        <v>11.8105891</v>
      </c>
      <c r="P489">
        <f ca="1">IFERROR(IF(0=LEN(ReferenceData!$P$489),"",ReferenceData!$P$489),"")</f>
        <v>9.6786949740000008</v>
      </c>
      <c r="Q489">
        <f ca="1">IFERROR(IF(0=LEN(ReferenceData!$Q$489),"",ReferenceData!$Q$489),"")</f>
        <v>9.273507618</v>
      </c>
      <c r="R489">
        <f ca="1">IFERROR(IF(0=LEN(ReferenceData!$R$489),"",ReferenceData!$R$489),"")</f>
        <v>11.33820994</v>
      </c>
      <c r="S489">
        <f ca="1">IFERROR(IF(0=LEN(ReferenceData!$S$489),"",ReferenceData!$S$489),"")</f>
        <v>13.90009914</v>
      </c>
      <c r="T489">
        <f ca="1">IFERROR(IF(0=LEN(ReferenceData!$T$489),"",ReferenceData!$T$489),"")</f>
        <v>14.108654530000001</v>
      </c>
      <c r="U489">
        <f ca="1">IFERROR(IF(0=LEN(ReferenceData!$U$489),"",ReferenceData!$U$489),"")</f>
        <v>21.502492239999999</v>
      </c>
      <c r="V489">
        <f ca="1">IFERROR(IF(0=LEN(ReferenceData!$V$489),"",ReferenceData!$V$489),"")</f>
        <v>17.250337250000001</v>
      </c>
      <c r="W489">
        <f ca="1">IFERROR(IF(0=LEN(ReferenceData!$W$489),"",ReferenceData!$W$489),"")</f>
        <v>16.556083109999999</v>
      </c>
      <c r="X489">
        <f ca="1">IFERROR(IF(0=LEN(ReferenceData!$X$489),"",ReferenceData!$X$489),"")</f>
        <v>15.41352019</v>
      </c>
      <c r="Y489">
        <f ca="1">IFERROR(IF(0=LEN(ReferenceData!$Y$489),"",ReferenceData!$Y$489),"")</f>
        <v>12.22153074</v>
      </c>
      <c r="Z489">
        <f ca="1">IFERROR(IF(0=LEN(ReferenceData!$Z$489),"",ReferenceData!$Z$489),"")</f>
        <v>10.852717569999999</v>
      </c>
      <c r="AA489">
        <f ca="1">IFERROR(IF(0=LEN(ReferenceData!$AA$489),"",ReferenceData!$AA$489),"")</f>
        <v>11.29457066</v>
      </c>
      <c r="AB489">
        <f ca="1">IFERROR(IF(0=LEN(ReferenceData!$AB$489),"",ReferenceData!$AB$489),"")</f>
        <v>11.069547439999999</v>
      </c>
      <c r="AC489">
        <f ca="1">IFERROR(IF(0=LEN(ReferenceData!$AC$489),"",ReferenceData!$AC$489),"")</f>
        <v>12.047680079999999</v>
      </c>
      <c r="AD489">
        <f ca="1">IFERROR(IF(0=LEN(ReferenceData!$AD$489),"",ReferenceData!$AD$489),"")</f>
        <v>11.65991992</v>
      </c>
      <c r="AE489">
        <f ca="1">IFERROR(IF(0=LEN(ReferenceData!$AE$489),"",ReferenceData!$AE$489),"")</f>
        <v>16.800635320000001</v>
      </c>
      <c r="AF489">
        <f ca="1">IFERROR(IF(0=LEN(ReferenceData!$AF$489),"",ReferenceData!$AF$489),"")</f>
        <v>8.866274228</v>
      </c>
      <c r="AG489">
        <f ca="1">IFERROR(IF(0=LEN(ReferenceData!$AG$489),"",ReferenceData!$AG$489),"")</f>
        <v>10.1986978</v>
      </c>
      <c r="AH489">
        <f ca="1">IFERROR(IF(0=LEN(ReferenceData!$AH$489),"",ReferenceData!$AH$489),"")</f>
        <v>15.775249860000001</v>
      </c>
      <c r="AI489">
        <f ca="1">IFERROR(IF(0=LEN(ReferenceData!$AI$489),"",ReferenceData!$AI$489),"")</f>
        <v>15.090883140000001</v>
      </c>
      <c r="AJ489">
        <f ca="1">IFERROR(IF(0=LEN(ReferenceData!$AJ$489),"",ReferenceData!$AJ$489),"")</f>
        <v>15.349358990000001</v>
      </c>
      <c r="AK489">
        <f ca="1">IFERROR(IF(0=LEN(ReferenceData!$AK$489),"",ReferenceData!$AK$489),"")</f>
        <v>17.554033990000001</v>
      </c>
      <c r="AL489">
        <f ca="1">IFERROR(IF(0=LEN(ReferenceData!$AL$489),"",ReferenceData!$AL$489),"")</f>
        <v>20.581173570000001</v>
      </c>
      <c r="AM489">
        <f ca="1">IFERROR(IF(0=LEN(ReferenceData!$AM$489),"",ReferenceData!$AM$489),"")</f>
        <v>18.580253079999999</v>
      </c>
      <c r="AN489">
        <f ca="1">IFERROR(IF(0=LEN(ReferenceData!$AN$489),"",ReferenceData!$AN$489),"")</f>
        <v>17.568554599999999</v>
      </c>
      <c r="AO489">
        <f ca="1">IFERROR(IF(0=LEN(ReferenceData!$AO$489),"",ReferenceData!$AO$489),"")</f>
        <v>20.081695190000001</v>
      </c>
      <c r="AP489">
        <f ca="1">IFERROR(IF(0=LEN(ReferenceData!$AP$489),"",ReferenceData!$AP$489),"")</f>
        <v>37.867283989999997</v>
      </c>
      <c r="AQ489">
        <f ca="1">IFERROR(IF(0=LEN(ReferenceData!$AQ$489),"",ReferenceData!$AQ$489),"")</f>
        <v>56.661696569999997</v>
      </c>
      <c r="AR489">
        <f ca="1">IFERROR(IF(0=LEN(ReferenceData!$AR$489),"",ReferenceData!$AR$489),"")</f>
        <v>200.09723779999999</v>
      </c>
      <c r="AS489">
        <f ca="1">IFERROR(IF(0=LEN(ReferenceData!$AS$489),"",ReferenceData!$AS$489),"")</f>
        <v>350.93990100000002</v>
      </c>
      <c r="AT489">
        <f ca="1">IFERROR(IF(0=LEN(ReferenceData!$AT$489),"",ReferenceData!$AT$489),"")</f>
        <v>38.3484555</v>
      </c>
      <c r="AU489">
        <f ca="1">IFERROR(IF(0=LEN(ReferenceData!$AU$489),"",ReferenceData!$AU$489),"")</f>
        <v>23.22414573</v>
      </c>
      <c r="AV489">
        <f ca="1">IFERROR(IF(0=LEN(ReferenceData!$AV$489),"",ReferenceData!$AV$489),"")</f>
        <v>14.183464389999999</v>
      </c>
      <c r="AW489">
        <f ca="1">IFERROR(IF(0=LEN(ReferenceData!$AW$489),"",ReferenceData!$AW$489),"")</f>
        <v>14.979164730000001</v>
      </c>
      <c r="AX489">
        <f ca="1">IFERROR(IF(0=LEN(ReferenceData!$AX$489),"",ReferenceData!$AX$489),"")</f>
        <v>15.37499957</v>
      </c>
      <c r="AY489">
        <f ca="1">IFERROR(IF(0=LEN(ReferenceData!$AY$489),"",ReferenceData!$AY$489),"")</f>
        <v>18.349771570000001</v>
      </c>
      <c r="AZ489">
        <f ca="1">IFERROR(IF(0=LEN(ReferenceData!$AZ$489),"",ReferenceData!$AZ$489),"")</f>
        <v>18.864833780000001</v>
      </c>
      <c r="BA489">
        <f ca="1">IFERROR(IF(0=LEN(ReferenceData!$BA$489),"",ReferenceData!$BA$489),"")</f>
        <v>20.079194080000001</v>
      </c>
      <c r="BB489">
        <f ca="1">IFERROR(IF(0=LEN(ReferenceData!$BB$489),"",ReferenceData!$BB$489),"")</f>
        <v>19.050576410000001</v>
      </c>
      <c r="BC489">
        <f ca="1">IFERROR(IF(0=LEN(ReferenceData!$BC$489),"",ReferenceData!$BC$489),"")</f>
        <v>20.428694279999998</v>
      </c>
      <c r="BD489">
        <f ca="1">IFERROR(IF(0=LEN(ReferenceData!$BD$489),"",ReferenceData!$BD$489),"")</f>
        <v>17.822933330000001</v>
      </c>
      <c r="BE489">
        <f ca="1">IFERROR(IF(0=LEN(ReferenceData!$BE$489),"",ReferenceData!$BE$489),"")</f>
        <v>15.46806861</v>
      </c>
      <c r="BF489">
        <f ca="1">IFERROR(IF(0=LEN(ReferenceData!$BF$489),"",ReferenceData!$BF$489),"")</f>
        <v>18.635209020000001</v>
      </c>
      <c r="BG489">
        <f ca="1">IFERROR(IF(0=LEN(ReferenceData!$BG$489),"",ReferenceData!$BG$489),"")</f>
        <v>15.52952732</v>
      </c>
      <c r="BH489">
        <f ca="1">IFERROR(IF(0=LEN(ReferenceData!$BH$489),"",ReferenceData!$BH$489),"")</f>
        <v>14.6799103</v>
      </c>
      <c r="BI489" t="str">
        <f ca="1">IFERROR(IF(0=LEN(ReferenceData!$BI$489),"",ReferenceData!$BI$489),"")</f>
        <v/>
      </c>
      <c r="BJ489">
        <f ca="1">IFERROR(IF(0=LEN(ReferenceData!$BJ$489),"",ReferenceData!$BJ$489),"")</f>
        <v>14.816230900000001</v>
      </c>
      <c r="BK489" t="str">
        <f ca="1">IFERROR(IF(0=LEN(ReferenceData!$BK$489),"",ReferenceData!$BK$489),"")</f>
        <v/>
      </c>
      <c r="BL489">
        <f ca="1">IFERROR(IF(0=LEN(ReferenceData!$BL$489),"",ReferenceData!$BL$489),"")</f>
        <v>17.474985010000001</v>
      </c>
      <c r="BM489" t="str">
        <f ca="1">IFERROR(IF(0=LEN(ReferenceData!$BM$489),"",ReferenceData!$BM$489),"")</f>
        <v/>
      </c>
    </row>
    <row r="490" spans="1:65" x14ac:dyDescent="0.25">
      <c r="A490" t="str">
        <f>IFERROR(IF(0=LEN(ReferenceData!$A$490),"",ReferenceData!$A$490),"")</f>
        <v xml:space="preserve">    Tata Motors Ltd</v>
      </c>
      <c r="B490" t="str">
        <f>IFERROR(IF(0=LEN(ReferenceData!$B$490),"",ReferenceData!$B$490),"")</f>
        <v>TTMT IN Equity</v>
      </c>
      <c r="C490" t="str">
        <f>IFERROR(IF(0=LEN(ReferenceData!$C$490),"",ReferenceData!$C$490),"")</f>
        <v>RR476</v>
      </c>
      <c r="D490" t="str">
        <f>IFERROR(IF(0=LEN(ReferenceData!$D$490),"",ReferenceData!$D$490),"")</f>
        <v>EV_TO_T12M_NET_INCOME</v>
      </c>
      <c r="E490" t="str">
        <f>IFERROR(IF(0=LEN(ReferenceData!$E$490),"",ReferenceData!$E$490),"")</f>
        <v>Dynamic</v>
      </c>
      <c r="F490" t="str">
        <f ca="1">IFERROR(IF(0=LEN(ReferenceData!$F$490),"",ReferenceData!$F$490),"")</f>
        <v/>
      </c>
      <c r="G490" t="str">
        <f ca="1">IFERROR(IF(0=LEN(ReferenceData!$G$490),"",ReferenceData!$G$490),"")</f>
        <v/>
      </c>
      <c r="H490">
        <f ca="1">IFERROR(IF(0=LEN(ReferenceData!$H$490),"",ReferenceData!$H$490),"")</f>
        <v>367.83006979999999</v>
      </c>
      <c r="I490" t="str">
        <f ca="1">IFERROR(IF(0=LEN(ReferenceData!$I$490),"",ReferenceData!$I$490),"")</f>
        <v/>
      </c>
      <c r="J490">
        <f ca="1">IFERROR(IF(0=LEN(ReferenceData!$J$490),"",ReferenceData!$J$490),"")</f>
        <v>16.769545999999998</v>
      </c>
      <c r="K490" t="str">
        <f ca="1">IFERROR(IF(0=LEN(ReferenceData!$K$490),"",ReferenceData!$K$490),"")</f>
        <v/>
      </c>
      <c r="L490">
        <f ca="1">IFERROR(IF(0=LEN(ReferenceData!$L$490),"",ReferenceData!$L$490),"")</f>
        <v>17.222605739999999</v>
      </c>
      <c r="M490" t="str">
        <f ca="1">IFERROR(IF(0=LEN(ReferenceData!$M$490),"",ReferenceData!$M$490),"")</f>
        <v/>
      </c>
      <c r="N490">
        <f ca="1">IFERROR(IF(0=LEN(ReferenceData!$N$490),"",ReferenceData!$N$490),"")</f>
        <v>24.977312600000001</v>
      </c>
      <c r="O490" t="str">
        <f ca="1">IFERROR(IF(0=LEN(ReferenceData!$O$490),"",ReferenceData!$O$490),"")</f>
        <v/>
      </c>
      <c r="P490">
        <f ca="1">IFERROR(IF(0=LEN(ReferenceData!$P$490),"",ReferenceData!$P$490),"")</f>
        <v>18.849689390000002</v>
      </c>
      <c r="Q490" t="str">
        <f ca="1">IFERROR(IF(0=LEN(ReferenceData!$Q$490),"",ReferenceData!$Q$490),"")</f>
        <v/>
      </c>
      <c r="R490">
        <f ca="1">IFERROR(IF(0=LEN(ReferenceData!$R$490),"",ReferenceData!$R$490),"")</f>
        <v>13.126788230000001</v>
      </c>
      <c r="S490" t="str">
        <f ca="1">IFERROR(IF(0=LEN(ReferenceData!$S$490),"",ReferenceData!$S$490),"")</f>
        <v/>
      </c>
      <c r="T490">
        <f ca="1">IFERROR(IF(0=LEN(ReferenceData!$T$490),"",ReferenceData!$T$490),"")</f>
        <v>15.07645752</v>
      </c>
      <c r="U490" t="str">
        <f ca="1">IFERROR(IF(0=LEN(ReferenceData!$U$490),"",ReferenceData!$U$490),"")</f>
        <v/>
      </c>
      <c r="V490">
        <f ca="1">IFERROR(IF(0=LEN(ReferenceData!$V$490),"",ReferenceData!$V$490),"")</f>
        <v>14.943223489999999</v>
      </c>
      <c r="W490" t="str">
        <f ca="1">IFERROR(IF(0=LEN(ReferenceData!$W$490),"",ReferenceData!$W$490),"")</f>
        <v/>
      </c>
      <c r="X490">
        <f ca="1">IFERROR(IF(0=LEN(ReferenceData!$X$490),"",ReferenceData!$X$490),"")</f>
        <v>10.343840370000001</v>
      </c>
      <c r="Y490" t="str">
        <f ca="1">IFERROR(IF(0=LEN(ReferenceData!$Y$490),"",ReferenceData!$Y$490),"")</f>
        <v/>
      </c>
      <c r="Z490">
        <f ca="1">IFERROR(IF(0=LEN(ReferenceData!$Z$490),"",ReferenceData!$Z$490),"")</f>
        <v>11.114702919999999</v>
      </c>
      <c r="AA490" t="str">
        <f ca="1">IFERROR(IF(0=LEN(ReferenceData!$AA$490),"",ReferenceData!$AA$490),"")</f>
        <v/>
      </c>
      <c r="AB490">
        <f ca="1">IFERROR(IF(0=LEN(ReferenceData!$AB$490),"",ReferenceData!$AB$490),"")</f>
        <v>12.078338049999999</v>
      </c>
      <c r="AC490" t="str">
        <f ca="1">IFERROR(IF(0=LEN(ReferenceData!$AC$490),"",ReferenceData!$AC$490),"")</f>
        <v/>
      </c>
      <c r="AD490">
        <f ca="1">IFERROR(IF(0=LEN(ReferenceData!$AD$490),"",ReferenceData!$AD$490),"")</f>
        <v>11.825804919999999</v>
      </c>
      <c r="AE490" t="str">
        <f ca="1">IFERROR(IF(0=LEN(ReferenceData!$AE$490),"",ReferenceData!$AE$490),"")</f>
        <v/>
      </c>
      <c r="AF490">
        <f ca="1">IFERROR(IF(0=LEN(ReferenceData!$AF$490),"",ReferenceData!$AF$490),"")</f>
        <v>7.4298619400000003</v>
      </c>
      <c r="AG490" t="str">
        <f ca="1">IFERROR(IF(0=LEN(ReferenceData!$AG$490),"",ReferenceData!$AG$490),"")</f>
        <v/>
      </c>
      <c r="AH490">
        <f ca="1">IFERROR(IF(0=LEN(ReferenceData!$AH$490),"",ReferenceData!$AH$490),"")</f>
        <v>8.4970983120000003</v>
      </c>
      <c r="AI490" t="str">
        <f ca="1">IFERROR(IF(0=LEN(ReferenceData!$AI$490),"",ReferenceData!$AI$490),"")</f>
        <v/>
      </c>
      <c r="AJ490">
        <f ca="1">IFERROR(IF(0=LEN(ReferenceData!$AJ$490),"",ReferenceData!$AJ$490),"")</f>
        <v>8.7811338990000003</v>
      </c>
      <c r="AK490" t="str">
        <f ca="1">IFERROR(IF(0=LEN(ReferenceData!$AK$490),"",ReferenceData!$AK$490),"")</f>
        <v/>
      </c>
      <c r="AL490">
        <f ca="1">IFERROR(IF(0=LEN(ReferenceData!$AL$490),"",ReferenceData!$AL$490),"")</f>
        <v>11.377718460000001</v>
      </c>
      <c r="AM490" t="str">
        <f ca="1">IFERROR(IF(0=LEN(ReferenceData!$AM$490),"",ReferenceData!$AM$490),"")</f>
        <v/>
      </c>
      <c r="AN490">
        <f ca="1">IFERROR(IF(0=LEN(ReferenceData!$AN$490),"",ReferenceData!$AN$490),"")</f>
        <v>12.773552349999999</v>
      </c>
      <c r="AO490" t="str">
        <f ca="1">IFERROR(IF(0=LEN(ReferenceData!$AO$490),"",ReferenceData!$AO$490),"")</f>
        <v/>
      </c>
      <c r="AP490">
        <f ca="1">IFERROR(IF(0=LEN(ReferenceData!$AP$490),"",ReferenceData!$AP$490),"")</f>
        <v>28.774791400000002</v>
      </c>
      <c r="AQ490" t="str">
        <f ca="1">IFERROR(IF(0=LEN(ReferenceData!$AQ$490),"",ReferenceData!$AQ$490),"")</f>
        <v/>
      </c>
      <c r="AR490" t="str">
        <f ca="1">IFERROR(IF(0=LEN(ReferenceData!$AR$490),"",ReferenceData!$AR$490),"")</f>
        <v/>
      </c>
      <c r="AS490" t="str">
        <f ca="1">IFERROR(IF(0=LEN(ReferenceData!$AS$490),"",ReferenceData!$AS$490),"")</f>
        <v/>
      </c>
      <c r="AT490" t="str">
        <f ca="1">IFERROR(IF(0=LEN(ReferenceData!$AT$490),"",ReferenceData!$AT$490),"")</f>
        <v/>
      </c>
      <c r="AU490" t="str">
        <f ca="1">IFERROR(IF(0=LEN(ReferenceData!$AU$490),"",ReferenceData!$AU$490),"")</f>
        <v/>
      </c>
      <c r="AV490" t="str">
        <f ca="1">IFERROR(IF(0=LEN(ReferenceData!$AV$490),"",ReferenceData!$AV$490),"")</f>
        <v/>
      </c>
      <c r="AW490" t="str">
        <f ca="1">IFERROR(IF(0=LEN(ReferenceData!$AW$490),"",ReferenceData!$AW$490),"")</f>
        <v/>
      </c>
      <c r="AX490" t="str">
        <f ca="1">IFERROR(IF(0=LEN(ReferenceData!$AX$490),"",ReferenceData!$AX$490),"")</f>
        <v/>
      </c>
      <c r="AY490" t="str">
        <f ca="1">IFERROR(IF(0=LEN(ReferenceData!$AY$490),"",ReferenceData!$AY$490),"")</f>
        <v/>
      </c>
      <c r="AZ490" t="str">
        <f ca="1">IFERROR(IF(0=LEN(ReferenceData!$AZ$490),"",ReferenceData!$AZ$490),"")</f>
        <v/>
      </c>
      <c r="BA490" t="str">
        <f ca="1">IFERROR(IF(0=LEN(ReferenceData!$BA$490),"",ReferenceData!$BA$490),"")</f>
        <v/>
      </c>
      <c r="BB490" t="str">
        <f ca="1">IFERROR(IF(0=LEN(ReferenceData!$BB$490),"",ReferenceData!$BB$490),"")</f>
        <v/>
      </c>
      <c r="BC490" t="str">
        <f ca="1">IFERROR(IF(0=LEN(ReferenceData!$BC$490),"",ReferenceData!$BC$490),"")</f>
        <v/>
      </c>
      <c r="BD490" t="str">
        <f ca="1">IFERROR(IF(0=LEN(ReferenceData!$BD$490),"",ReferenceData!$BD$490),"")</f>
        <v/>
      </c>
      <c r="BE490" t="str">
        <f ca="1">IFERROR(IF(0=LEN(ReferenceData!$BE$490),"",ReferenceData!$BE$490),"")</f>
        <v/>
      </c>
      <c r="BF490" t="str">
        <f ca="1">IFERROR(IF(0=LEN(ReferenceData!$BF$490),"",ReferenceData!$BF$490),"")</f>
        <v/>
      </c>
      <c r="BG490" t="str">
        <f ca="1">IFERROR(IF(0=LEN(ReferenceData!$BG$490),"",ReferenceData!$BG$490),"")</f>
        <v/>
      </c>
      <c r="BH490" t="str">
        <f ca="1">IFERROR(IF(0=LEN(ReferenceData!$BH$490),"",ReferenceData!$BH$490),"")</f>
        <v/>
      </c>
      <c r="BI490" t="str">
        <f ca="1">IFERROR(IF(0=LEN(ReferenceData!$BI$490),"",ReferenceData!$BI$490),"")</f>
        <v/>
      </c>
      <c r="BJ490" t="str">
        <f ca="1">IFERROR(IF(0=LEN(ReferenceData!$BJ$490),"",ReferenceData!$BJ$490),"")</f>
        <v/>
      </c>
      <c r="BK490" t="str">
        <f ca="1">IFERROR(IF(0=LEN(ReferenceData!$BK$490),"",ReferenceData!$BK$490),"")</f>
        <v/>
      </c>
      <c r="BL490" t="str">
        <f ca="1">IFERROR(IF(0=LEN(ReferenceData!$BL$490),"",ReferenceData!$BL$490),"")</f>
        <v/>
      </c>
      <c r="BM490" t="str">
        <f ca="1">IFERROR(IF(0=LEN(ReferenceData!$BM$490),"",ReferenceData!$BM$490),"")</f>
        <v/>
      </c>
    </row>
    <row r="491" spans="1:65" x14ac:dyDescent="0.25">
      <c r="A491" t="str">
        <f>IFERROR(IF(0=LEN(ReferenceData!$A$491),"",ReferenceData!$A$491),"")</f>
        <v xml:space="preserve">    Tesla Inc</v>
      </c>
      <c r="B491" t="str">
        <f>IFERROR(IF(0=LEN(ReferenceData!$B$491),"",ReferenceData!$B$491),"")</f>
        <v>TSLA US Equity</v>
      </c>
      <c r="C491" t="str">
        <f>IFERROR(IF(0=LEN(ReferenceData!$C$491),"",ReferenceData!$C$491),"")</f>
        <v>RR476</v>
      </c>
      <c r="D491" t="str">
        <f>IFERROR(IF(0=LEN(ReferenceData!$D$491),"",ReferenceData!$D$491),"")</f>
        <v>EV_TO_T12M_NET_INCOME</v>
      </c>
      <c r="E491" t="str">
        <f>IFERROR(IF(0=LEN(ReferenceData!$E$491),"",ReferenceData!$E$491),"")</f>
        <v>Dynamic</v>
      </c>
      <c r="F491" t="str">
        <f ca="1">IFERROR(IF(0=LEN(ReferenceData!$F$491),"",ReferenceData!$F$491),"")</f>
        <v/>
      </c>
      <c r="G491" t="str">
        <f ca="1">IFERROR(IF(0=LEN(ReferenceData!$G$491),"",ReferenceData!$G$491),"")</f>
        <v/>
      </c>
      <c r="H491" t="str">
        <f ca="1">IFERROR(IF(0=LEN(ReferenceData!$H$491),"",ReferenceData!$H$491),"")</f>
        <v/>
      </c>
      <c r="I491" t="str">
        <f ca="1">IFERROR(IF(0=LEN(ReferenceData!$I$491),"",ReferenceData!$I$491),"")</f>
        <v/>
      </c>
      <c r="J491" t="str">
        <f ca="1">IFERROR(IF(0=LEN(ReferenceData!$J$491),"",ReferenceData!$J$491),"")</f>
        <v/>
      </c>
      <c r="K491" t="str">
        <f ca="1">IFERROR(IF(0=LEN(ReferenceData!$K$491),"",ReferenceData!$K$491),"")</f>
        <v/>
      </c>
      <c r="L491" t="str">
        <f ca="1">IFERROR(IF(0=LEN(ReferenceData!$L$491),"",ReferenceData!$L$491),"")</f>
        <v/>
      </c>
      <c r="M491" t="str">
        <f ca="1">IFERROR(IF(0=LEN(ReferenceData!$M$491),"",ReferenceData!$M$491),"")</f>
        <v/>
      </c>
      <c r="N491" t="str">
        <f ca="1">IFERROR(IF(0=LEN(ReferenceData!$N$491),"",ReferenceData!$N$491),"")</f>
        <v/>
      </c>
      <c r="O491" t="str">
        <f ca="1">IFERROR(IF(0=LEN(ReferenceData!$O$491),"",ReferenceData!$O$491),"")</f>
        <v/>
      </c>
      <c r="P491" t="str">
        <f ca="1">IFERROR(IF(0=LEN(ReferenceData!$P$491),"",ReferenceData!$P$491),"")</f>
        <v/>
      </c>
      <c r="Q491" t="str">
        <f ca="1">IFERROR(IF(0=LEN(ReferenceData!$Q$491),"",ReferenceData!$Q$491),"")</f>
        <v/>
      </c>
      <c r="R491" t="str">
        <f ca="1">IFERROR(IF(0=LEN(ReferenceData!$R$491),"",ReferenceData!$R$491),"")</f>
        <v/>
      </c>
      <c r="S491" t="str">
        <f ca="1">IFERROR(IF(0=LEN(ReferenceData!$S$491),"",ReferenceData!$S$491),"")</f>
        <v/>
      </c>
      <c r="T491" t="str">
        <f ca="1">IFERROR(IF(0=LEN(ReferenceData!$T$491),"",ReferenceData!$T$491),"")</f>
        <v/>
      </c>
      <c r="U491" t="str">
        <f ca="1">IFERROR(IF(0=LEN(ReferenceData!$U$491),"",ReferenceData!$U$491),"")</f>
        <v/>
      </c>
      <c r="V491" t="str">
        <f ca="1">IFERROR(IF(0=LEN(ReferenceData!$V$491),"",ReferenceData!$V$491),"")</f>
        <v/>
      </c>
      <c r="W491" t="str">
        <f ca="1">IFERROR(IF(0=LEN(ReferenceData!$W$491),"",ReferenceData!$W$491),"")</f>
        <v/>
      </c>
      <c r="X491" t="str">
        <f ca="1">IFERROR(IF(0=LEN(ReferenceData!$X$491),"",ReferenceData!$X$491),"")</f>
        <v/>
      </c>
      <c r="Y491" t="str">
        <f ca="1">IFERROR(IF(0=LEN(ReferenceData!$Y$491),"",ReferenceData!$Y$491),"")</f>
        <v/>
      </c>
      <c r="Z491" t="str">
        <f ca="1">IFERROR(IF(0=LEN(ReferenceData!$Z$491),"",ReferenceData!$Z$491),"")</f>
        <v/>
      </c>
      <c r="AA491" t="str">
        <f ca="1">IFERROR(IF(0=LEN(ReferenceData!$AA$491),"",ReferenceData!$AA$491),"")</f>
        <v/>
      </c>
      <c r="AB491" t="str">
        <f ca="1">IFERROR(IF(0=LEN(ReferenceData!$AB$491),"",ReferenceData!$AB$491),"")</f>
        <v/>
      </c>
      <c r="AC491" t="str">
        <f ca="1">IFERROR(IF(0=LEN(ReferenceData!$AC$491),"",ReferenceData!$AC$491),"")</f>
        <v/>
      </c>
      <c r="AD491" t="str">
        <f ca="1">IFERROR(IF(0=LEN(ReferenceData!$AD$491),"",ReferenceData!$AD$491),"")</f>
        <v/>
      </c>
      <c r="AE491" t="str">
        <f ca="1">IFERROR(IF(0=LEN(ReferenceData!$AE$491),"",ReferenceData!$AE$491),"")</f>
        <v/>
      </c>
      <c r="AF491" t="str">
        <f ca="1">IFERROR(IF(0=LEN(ReferenceData!$AF$491),"",ReferenceData!$AF$491),"")</f>
        <v/>
      </c>
      <c r="AG491" t="str">
        <f ca="1">IFERROR(IF(0=LEN(ReferenceData!$AG$491),"",ReferenceData!$AG$491),"")</f>
        <v/>
      </c>
      <c r="AH491" t="str">
        <f ca="1">IFERROR(IF(0=LEN(ReferenceData!$AH$491),"",ReferenceData!$AH$491),"")</f>
        <v/>
      </c>
      <c r="AI491" t="str">
        <f ca="1">IFERROR(IF(0=LEN(ReferenceData!$AI$491),"",ReferenceData!$AI$491),"")</f>
        <v/>
      </c>
      <c r="AJ491" t="str">
        <f ca="1">IFERROR(IF(0=LEN(ReferenceData!$AJ$491),"",ReferenceData!$AJ$491),"")</f>
        <v/>
      </c>
      <c r="AK491" t="str">
        <f ca="1">IFERROR(IF(0=LEN(ReferenceData!$AK$491),"",ReferenceData!$AK$491),"")</f>
        <v/>
      </c>
      <c r="AL491" t="str">
        <f ca="1">IFERROR(IF(0=LEN(ReferenceData!$AL$491),"",ReferenceData!$AL$491),"")</f>
        <v/>
      </c>
      <c r="AM491" t="str">
        <f ca="1">IFERROR(IF(0=LEN(ReferenceData!$AM$491),"",ReferenceData!$AM$491),"")</f>
        <v/>
      </c>
      <c r="AN491" t="str">
        <f ca="1">IFERROR(IF(0=LEN(ReferenceData!$AN$491),"",ReferenceData!$AN$491),"")</f>
        <v/>
      </c>
      <c r="AO491" t="str">
        <f ca="1">IFERROR(IF(0=LEN(ReferenceData!$AO$491),"",ReferenceData!$AO$491),"")</f>
        <v/>
      </c>
      <c r="AP491" t="str">
        <f ca="1">IFERROR(IF(0=LEN(ReferenceData!$AP$491),"",ReferenceData!$AP$491),"")</f>
        <v/>
      </c>
      <c r="AQ491" t="str">
        <f ca="1">IFERROR(IF(0=LEN(ReferenceData!$AQ$491),"",ReferenceData!$AQ$491),"")</f>
        <v/>
      </c>
      <c r="AR491" t="str">
        <f ca="1">IFERROR(IF(0=LEN(ReferenceData!$AR$491),"",ReferenceData!$AR$491),"")</f>
        <v/>
      </c>
      <c r="AS491" t="str">
        <f ca="1">IFERROR(IF(0=LEN(ReferenceData!$AS$491),"",ReferenceData!$AS$491),"")</f>
        <v/>
      </c>
      <c r="AT491" t="str">
        <f ca="1">IFERROR(IF(0=LEN(ReferenceData!$AT$491),"",ReferenceData!$AT$491),"")</f>
        <v/>
      </c>
      <c r="AU491" t="str">
        <f ca="1">IFERROR(IF(0=LEN(ReferenceData!$AU$491),"",ReferenceData!$AU$491),"")</f>
        <v/>
      </c>
      <c r="AV491" t="str">
        <f ca="1">IFERROR(IF(0=LEN(ReferenceData!$AV$491),"",ReferenceData!$AV$491),"")</f>
        <v/>
      </c>
      <c r="AW491" t="str">
        <f ca="1">IFERROR(IF(0=LEN(ReferenceData!$AW$491),"",ReferenceData!$AW$491),"")</f>
        <v/>
      </c>
      <c r="AX491" t="str">
        <f ca="1">IFERROR(IF(0=LEN(ReferenceData!$AX$491),"",ReferenceData!$AX$491),"")</f>
        <v/>
      </c>
      <c r="AY491" t="str">
        <f ca="1">IFERROR(IF(0=LEN(ReferenceData!$AY$491),"",ReferenceData!$AY$491),"")</f>
        <v/>
      </c>
      <c r="AZ491" t="str">
        <f ca="1">IFERROR(IF(0=LEN(ReferenceData!$AZ$491),"",ReferenceData!$AZ$491),"")</f>
        <v/>
      </c>
      <c r="BA491" t="str">
        <f ca="1">IFERROR(IF(0=LEN(ReferenceData!$BA$491),"",ReferenceData!$BA$491),"")</f>
        <v/>
      </c>
      <c r="BB491" t="str">
        <f ca="1">IFERROR(IF(0=LEN(ReferenceData!$BB$491),"",ReferenceData!$BB$491),"")</f>
        <v/>
      </c>
      <c r="BC491" t="str">
        <f ca="1">IFERROR(IF(0=LEN(ReferenceData!$BC$491),"",ReferenceData!$BC$491),"")</f>
        <v/>
      </c>
      <c r="BD491" t="str">
        <f ca="1">IFERROR(IF(0=LEN(ReferenceData!$BD$491),"",ReferenceData!$BD$491),"")</f>
        <v/>
      </c>
      <c r="BE491" t="str">
        <f ca="1">IFERROR(IF(0=LEN(ReferenceData!$BE$491),"",ReferenceData!$BE$491),"")</f>
        <v/>
      </c>
      <c r="BF491" t="str">
        <f ca="1">IFERROR(IF(0=LEN(ReferenceData!$BF$491),"",ReferenceData!$BF$491),"")</f>
        <v/>
      </c>
      <c r="BG491" t="str">
        <f ca="1">IFERROR(IF(0=LEN(ReferenceData!$BG$491),"",ReferenceData!$BG$491),"")</f>
        <v/>
      </c>
      <c r="BH491" t="str">
        <f ca="1">IFERROR(IF(0=LEN(ReferenceData!$BH$491),"",ReferenceData!$BH$491),"")</f>
        <v/>
      </c>
      <c r="BI491" t="str">
        <f ca="1">IFERROR(IF(0=LEN(ReferenceData!$BI$491),"",ReferenceData!$BI$491),"")</f>
        <v/>
      </c>
      <c r="BJ491" t="str">
        <f ca="1">IFERROR(IF(0=LEN(ReferenceData!$BJ$491),"",ReferenceData!$BJ$491),"")</f>
        <v/>
      </c>
      <c r="BK491" t="str">
        <f ca="1">IFERROR(IF(0=LEN(ReferenceData!$BK$491),"",ReferenceData!$BK$491),"")</f>
        <v/>
      </c>
      <c r="BL491" t="str">
        <f ca="1">IFERROR(IF(0=LEN(ReferenceData!$BL$491),"",ReferenceData!$BL$491),"")</f>
        <v/>
      </c>
      <c r="BM491" t="str">
        <f ca="1">IFERROR(IF(0=LEN(ReferenceData!$BM$491),"",ReferenceData!$BM$491),"")</f>
        <v/>
      </c>
    </row>
    <row r="492" spans="1:65" x14ac:dyDescent="0.25">
      <c r="A492" t="str">
        <f>IFERROR(IF(0=LEN(ReferenceData!$A$492),"",ReferenceData!$A$492),"")</f>
        <v xml:space="preserve">    Tianjin Faw Xiali Automobile Co Ltd</v>
      </c>
      <c r="B492" t="str">
        <f>IFERROR(IF(0=LEN(ReferenceData!$B$492),"",ReferenceData!$B$492),"")</f>
        <v>000927 CH Equity</v>
      </c>
      <c r="C492" t="str">
        <f>IFERROR(IF(0=LEN(ReferenceData!$C$492),"",ReferenceData!$C$492),"")</f>
        <v>RR476</v>
      </c>
      <c r="D492" t="str">
        <f>IFERROR(IF(0=LEN(ReferenceData!$D$492),"",ReferenceData!$D$492),"")</f>
        <v>EV_TO_T12M_NET_INCOME</v>
      </c>
      <c r="E492" t="str">
        <f>IFERROR(IF(0=LEN(ReferenceData!$E$492),"",ReferenceData!$E$492),"")</f>
        <v>Dynamic</v>
      </c>
      <c r="F492" t="str">
        <f ca="1">IFERROR(IF(0=LEN(ReferenceData!$F$492),"",ReferenceData!$F$492),"")</f>
        <v/>
      </c>
      <c r="G492" t="str">
        <f ca="1">IFERROR(IF(0=LEN(ReferenceData!$G$492),"",ReferenceData!$G$492),"")</f>
        <v/>
      </c>
      <c r="H492" t="str">
        <f ca="1">IFERROR(IF(0=LEN(ReferenceData!$H$492),"",ReferenceData!$H$492),"")</f>
        <v/>
      </c>
      <c r="I492" t="str">
        <f ca="1">IFERROR(IF(0=LEN(ReferenceData!$I$492),"",ReferenceData!$I$492),"")</f>
        <v/>
      </c>
      <c r="J492" t="str">
        <f ca="1">IFERROR(IF(0=LEN(ReferenceData!$J$492),"",ReferenceData!$J$492),"")</f>
        <v/>
      </c>
      <c r="K492" t="str">
        <f ca="1">IFERROR(IF(0=LEN(ReferenceData!$K$492),"",ReferenceData!$K$492),"")</f>
        <v/>
      </c>
      <c r="L492" t="str">
        <f ca="1">IFERROR(IF(0=LEN(ReferenceData!$L$492),"",ReferenceData!$L$492),"")</f>
        <v/>
      </c>
      <c r="M492" t="str">
        <f ca="1">IFERROR(IF(0=LEN(ReferenceData!$M$492),"",ReferenceData!$M$492),"")</f>
        <v/>
      </c>
      <c r="N492">
        <f ca="1">IFERROR(IF(0=LEN(ReferenceData!$N$492),"",ReferenceData!$N$492),"")</f>
        <v>195.5075985</v>
      </c>
      <c r="O492">
        <f ca="1">IFERROR(IF(0=LEN(ReferenceData!$O$492),"",ReferenceData!$O$492),"")</f>
        <v>60.66022263</v>
      </c>
      <c r="P492">
        <f ca="1">IFERROR(IF(0=LEN(ReferenceData!$P$492),"",ReferenceData!$P$492),"")</f>
        <v>146.0196085</v>
      </c>
      <c r="Q492">
        <f ca="1">IFERROR(IF(0=LEN(ReferenceData!$Q$492),"",ReferenceData!$Q$492),"")</f>
        <v>273.98945350000002</v>
      </c>
      <c r="R492">
        <f ca="1">IFERROR(IF(0=LEN(ReferenceData!$R$492),"",ReferenceData!$R$492),"")</f>
        <v>109.59870239999999</v>
      </c>
      <c r="S492">
        <f ca="1">IFERROR(IF(0=LEN(ReferenceData!$S$492),"",ReferenceData!$S$492),"")</f>
        <v>692.02919610000004</v>
      </c>
      <c r="T492" t="str">
        <f ca="1">IFERROR(IF(0=LEN(ReferenceData!$T$492),"",ReferenceData!$T$492),"")</f>
        <v/>
      </c>
      <c r="U492" t="str">
        <f ca="1">IFERROR(IF(0=LEN(ReferenceData!$U$492),"",ReferenceData!$U$492),"")</f>
        <v/>
      </c>
      <c r="V492" t="str">
        <f ca="1">IFERROR(IF(0=LEN(ReferenceData!$V$492),"",ReferenceData!$V$492),"")</f>
        <v/>
      </c>
      <c r="W492" t="str">
        <f ca="1">IFERROR(IF(0=LEN(ReferenceData!$W$492),"",ReferenceData!$W$492),"")</f>
        <v/>
      </c>
      <c r="X492" t="str">
        <f ca="1">IFERROR(IF(0=LEN(ReferenceData!$X$492),"",ReferenceData!$X$492),"")</f>
        <v/>
      </c>
      <c r="Y492" t="str">
        <f ca="1">IFERROR(IF(0=LEN(ReferenceData!$Y$492),"",ReferenceData!$Y$492),"")</f>
        <v/>
      </c>
      <c r="Z492" t="str">
        <f ca="1">IFERROR(IF(0=LEN(ReferenceData!$Z$492),"",ReferenceData!$Z$492),"")</f>
        <v/>
      </c>
      <c r="AA492" t="str">
        <f ca="1">IFERROR(IF(0=LEN(ReferenceData!$AA$492),"",ReferenceData!$AA$492),"")</f>
        <v/>
      </c>
      <c r="AB492" t="str">
        <f ca="1">IFERROR(IF(0=LEN(ReferenceData!$AB$492),"",ReferenceData!$AB$492),"")</f>
        <v/>
      </c>
      <c r="AC492" t="str">
        <f ca="1">IFERROR(IF(0=LEN(ReferenceData!$AC$492),"",ReferenceData!$AC$492),"")</f>
        <v/>
      </c>
      <c r="AD492" t="str">
        <f ca="1">IFERROR(IF(0=LEN(ReferenceData!$AD$492),"",ReferenceData!$AD$492),"")</f>
        <v/>
      </c>
      <c r="AE492">
        <f ca="1">IFERROR(IF(0=LEN(ReferenceData!$AE$492),"",ReferenceData!$AE$492),"")</f>
        <v>273.51906109999999</v>
      </c>
      <c r="AF492">
        <f ca="1">IFERROR(IF(0=LEN(ReferenceData!$AF$492),"",ReferenceData!$AF$492),"")</f>
        <v>108.4166663</v>
      </c>
      <c r="AG492">
        <f ca="1">IFERROR(IF(0=LEN(ReferenceData!$AG$492),"",ReferenceData!$AG$492),"")</f>
        <v>80.223797869999999</v>
      </c>
      <c r="AH492">
        <f ca="1">IFERROR(IF(0=LEN(ReferenceData!$AH$492),"",ReferenceData!$AH$492),"")</f>
        <v>106.0156408</v>
      </c>
      <c r="AI492">
        <f ca="1">IFERROR(IF(0=LEN(ReferenceData!$AI$492),"",ReferenceData!$AI$492),"")</f>
        <v>96.388835970000002</v>
      </c>
      <c r="AJ492">
        <f ca="1">IFERROR(IF(0=LEN(ReferenceData!$AJ$492),"",ReferenceData!$AJ$492),"")</f>
        <v>100.9859344</v>
      </c>
      <c r="AK492">
        <f ca="1">IFERROR(IF(0=LEN(ReferenceData!$AK$492),"",ReferenceData!$AK$492),"")</f>
        <v>182.03047979999999</v>
      </c>
      <c r="AL492">
        <f ca="1">IFERROR(IF(0=LEN(ReferenceData!$AL$492),"",ReferenceData!$AL$492),"")</f>
        <v>91.890797890000002</v>
      </c>
      <c r="AM492">
        <f ca="1">IFERROR(IF(0=LEN(ReferenceData!$AM$492),"",ReferenceData!$AM$492),"")</f>
        <v>43.658094740000003</v>
      </c>
      <c r="AN492">
        <f ca="1">IFERROR(IF(0=LEN(ReferenceData!$AN$492),"",ReferenceData!$AN$492),"")</f>
        <v>32.928016159999999</v>
      </c>
      <c r="AO492">
        <f ca="1">IFERROR(IF(0=LEN(ReferenceData!$AO$492),"",ReferenceData!$AO$492),"")</f>
        <v>30.302354009999998</v>
      </c>
      <c r="AP492">
        <f ca="1">IFERROR(IF(0=LEN(ReferenceData!$AP$492),"",ReferenceData!$AP$492),"")</f>
        <v>34.48726748</v>
      </c>
      <c r="AQ492">
        <f ca="1">IFERROR(IF(0=LEN(ReferenceData!$AQ$492),"",ReferenceData!$AQ$492),"")</f>
        <v>112.8144568</v>
      </c>
      <c r="AR492">
        <f ca="1">IFERROR(IF(0=LEN(ReferenceData!$AR$492),"",ReferenceData!$AR$492),"")</f>
        <v>357.88915500000002</v>
      </c>
      <c r="AS492">
        <f ca="1">IFERROR(IF(0=LEN(ReferenceData!$AS$492),"",ReferenceData!$AS$492),"")</f>
        <v>230.2504678</v>
      </c>
      <c r="AT492">
        <f ca="1">IFERROR(IF(0=LEN(ReferenceData!$AT$492),"",ReferenceData!$AT$492),"")</f>
        <v>2911.3606650000002</v>
      </c>
      <c r="AU492">
        <f ca="1">IFERROR(IF(0=LEN(ReferenceData!$AU$492),"",ReferenceData!$AU$492),"")</f>
        <v>78.428991460000006</v>
      </c>
      <c r="AV492">
        <f ca="1">IFERROR(IF(0=LEN(ReferenceData!$AV$492),"",ReferenceData!$AV$492),"")</f>
        <v>25.228227</v>
      </c>
      <c r="AW492">
        <f ca="1">IFERROR(IF(0=LEN(ReferenceData!$AW$492),"",ReferenceData!$AW$492),"")</f>
        <v>35.724642889999998</v>
      </c>
      <c r="AX492">
        <f ca="1">IFERROR(IF(0=LEN(ReferenceData!$AX$492),"",ReferenceData!$AX$492),"")</f>
        <v>99.287274789999998</v>
      </c>
      <c r="AY492">
        <f ca="1">IFERROR(IF(0=LEN(ReferenceData!$AY$492),"",ReferenceData!$AY$492),"")</f>
        <v>135.0481886</v>
      </c>
      <c r="AZ492" t="str">
        <f ca="1">IFERROR(IF(0=LEN(ReferenceData!$AZ$492),"",ReferenceData!$AZ$492),"")</f>
        <v/>
      </c>
      <c r="BA492">
        <f ca="1">IFERROR(IF(0=LEN(ReferenceData!$BA$492),"",ReferenceData!$BA$492),"")</f>
        <v>112.4002371</v>
      </c>
      <c r="BB492">
        <f ca="1">IFERROR(IF(0=LEN(ReferenceData!$BB$492),"",ReferenceData!$BB$492),"")</f>
        <v>81.791964050000004</v>
      </c>
      <c r="BC492">
        <f ca="1">IFERROR(IF(0=LEN(ReferenceData!$BC$492),"",ReferenceData!$BC$492),"")</f>
        <v>37.177351790000003</v>
      </c>
      <c r="BD492">
        <f ca="1">IFERROR(IF(0=LEN(ReferenceData!$BD$492),"",ReferenceData!$BD$492),"")</f>
        <v>15.69572365</v>
      </c>
      <c r="BE492">
        <f ca="1">IFERROR(IF(0=LEN(ReferenceData!$BE$492),"",ReferenceData!$BE$492),"")</f>
        <v>28.58213439</v>
      </c>
      <c r="BF492">
        <f ca="1">IFERROR(IF(0=LEN(ReferenceData!$BF$492),"",ReferenceData!$BF$492),"")</f>
        <v>22.899269780000001</v>
      </c>
      <c r="BG492">
        <f ca="1">IFERROR(IF(0=LEN(ReferenceData!$BG$492),"",ReferenceData!$BG$492),"")</f>
        <v>32.07725653</v>
      </c>
      <c r="BH492">
        <f ca="1">IFERROR(IF(0=LEN(ReferenceData!$BH$492),"",ReferenceData!$BH$492),"")</f>
        <v>57.452726429999998</v>
      </c>
      <c r="BI492">
        <f ca="1">IFERROR(IF(0=LEN(ReferenceData!$BI$492),"",ReferenceData!$BI$492),"")</f>
        <v>440.96455550000002</v>
      </c>
      <c r="BJ492" t="str">
        <f ca="1">IFERROR(IF(0=LEN(ReferenceData!$BJ$492),"",ReferenceData!$BJ$492),"")</f>
        <v/>
      </c>
      <c r="BK492">
        <f ca="1">IFERROR(IF(0=LEN(ReferenceData!$BK$492),"",ReferenceData!$BK$492),"")</f>
        <v>245.9455998</v>
      </c>
      <c r="BL492" t="str">
        <f ca="1">IFERROR(IF(0=LEN(ReferenceData!$BL$492),"",ReferenceData!$BL$492),"")</f>
        <v/>
      </c>
      <c r="BM492">
        <f ca="1">IFERROR(IF(0=LEN(ReferenceData!$BM$492),"",ReferenceData!$BM$492),"")</f>
        <v>958.81030729999998</v>
      </c>
    </row>
    <row r="493" spans="1:65" x14ac:dyDescent="0.25">
      <c r="A493" t="str">
        <f>IFERROR(IF(0=LEN(ReferenceData!$A$493),"",ReferenceData!$A$493),"")</f>
        <v xml:space="preserve">    Tofas Turk Otomobil Fabrikasi AS</v>
      </c>
      <c r="B493" t="str">
        <f>IFERROR(IF(0=LEN(ReferenceData!$B$493),"",ReferenceData!$B$493),"")</f>
        <v>TOASOTRY EO Equity</v>
      </c>
      <c r="C493" t="str">
        <f>IFERROR(IF(0=LEN(ReferenceData!$C$493),"",ReferenceData!$C$493),"")</f>
        <v>RR476</v>
      </c>
      <c r="D493" t="str">
        <f>IFERROR(IF(0=LEN(ReferenceData!$D$493),"",ReferenceData!$D$493),"")</f>
        <v>EV_TO_T12M_NET_INCOME</v>
      </c>
      <c r="E493" t="str">
        <f>IFERROR(IF(0=LEN(ReferenceData!$E$493),"",ReferenceData!$E$493),"")</f>
        <v>Dynamic</v>
      </c>
      <c r="F493" t="str">
        <f ca="1">IFERROR(IF(0=LEN(ReferenceData!$F$493),"",ReferenceData!$F$493),"")</f>
        <v/>
      </c>
      <c r="G493">
        <f ca="1">IFERROR(IF(0=LEN(ReferenceData!$G$493),"",ReferenceData!$G$493),"")</f>
        <v>8.6415147490000006</v>
      </c>
      <c r="H493">
        <f ca="1">IFERROR(IF(0=LEN(ReferenceData!$H$493),"",ReferenceData!$H$493),"")</f>
        <v>10.367213599999999</v>
      </c>
      <c r="I493">
        <f ca="1">IFERROR(IF(0=LEN(ReferenceData!$I$493),"",ReferenceData!$I$493),"")</f>
        <v>10.605978479999999</v>
      </c>
      <c r="J493">
        <f ca="1">IFERROR(IF(0=LEN(ReferenceData!$J$493),"",ReferenceData!$J$493),"")</f>
        <v>12.120787569999999</v>
      </c>
      <c r="K493">
        <f ca="1">IFERROR(IF(0=LEN(ReferenceData!$K$493),"",ReferenceData!$K$493),"")</f>
        <v>14.87461128</v>
      </c>
      <c r="L493">
        <f ca="1">IFERROR(IF(0=LEN(ReferenceData!$L$493),"",ReferenceData!$L$493),"")</f>
        <v>15.89041214</v>
      </c>
      <c r="M493">
        <f ca="1">IFERROR(IF(0=LEN(ReferenceData!$M$493),"",ReferenceData!$M$493),"")</f>
        <v>16.069996570000001</v>
      </c>
      <c r="N493">
        <f ca="1">IFERROR(IF(0=LEN(ReferenceData!$N$493),"",ReferenceData!$N$493),"")</f>
        <v>15.90546408</v>
      </c>
      <c r="O493">
        <f ca="1">IFERROR(IF(0=LEN(ReferenceData!$O$493),"",ReferenceData!$O$493),"")</f>
        <v>15.411646599999999</v>
      </c>
      <c r="P493">
        <f ca="1">IFERROR(IF(0=LEN(ReferenceData!$P$493),"",ReferenceData!$P$493),"")</f>
        <v>14.947539450000001</v>
      </c>
      <c r="Q493">
        <f ca="1">IFERROR(IF(0=LEN(ReferenceData!$Q$493),"",ReferenceData!$Q$493),"")</f>
        <v>16.478046580000001</v>
      </c>
      <c r="R493">
        <f ca="1">IFERROR(IF(0=LEN(ReferenceData!$R$493),"",ReferenceData!$R$493),"")</f>
        <v>16.089358409999999</v>
      </c>
      <c r="S493">
        <f ca="1">IFERROR(IF(0=LEN(ReferenceData!$S$493),"",ReferenceData!$S$493),"")</f>
        <v>13.715444420000001</v>
      </c>
      <c r="T493">
        <f ca="1">IFERROR(IF(0=LEN(ReferenceData!$T$493),"",ReferenceData!$T$493),"")</f>
        <v>14.281398680000001</v>
      </c>
      <c r="U493">
        <f ca="1">IFERROR(IF(0=LEN(ReferenceData!$U$493),"",ReferenceData!$U$493),"")</f>
        <v>15.22900926</v>
      </c>
      <c r="V493">
        <f ca="1">IFERROR(IF(0=LEN(ReferenceData!$V$493),"",ReferenceData!$V$493),"")</f>
        <v>14.19133443</v>
      </c>
      <c r="W493">
        <f ca="1">IFERROR(IF(0=LEN(ReferenceData!$W$493),"",ReferenceData!$W$493),"")</f>
        <v>15.425398700000001</v>
      </c>
      <c r="X493">
        <f ca="1">IFERROR(IF(0=LEN(ReferenceData!$X$493),"",ReferenceData!$X$493),"")</f>
        <v>13.49701995</v>
      </c>
      <c r="Y493">
        <f ca="1">IFERROR(IF(0=LEN(ReferenceData!$Y$493),"",ReferenceData!$Y$493),"")</f>
        <v>14.588064579999999</v>
      </c>
      <c r="Z493">
        <f ca="1">IFERROR(IF(0=LEN(ReferenceData!$Z$493),"",ReferenceData!$Z$493),"")</f>
        <v>14.60325608</v>
      </c>
      <c r="AA493">
        <f ca="1">IFERROR(IF(0=LEN(ReferenceData!$AA$493),"",ReferenceData!$AA$493),"")</f>
        <v>16.667555629999999</v>
      </c>
      <c r="AB493">
        <f ca="1">IFERROR(IF(0=LEN(ReferenceData!$AB$493),"",ReferenceData!$AB$493),"")</f>
        <v>14.88367279</v>
      </c>
      <c r="AC493">
        <f ca="1">IFERROR(IF(0=LEN(ReferenceData!$AC$493),"",ReferenceData!$AC$493),"")</f>
        <v>14.620428199999999</v>
      </c>
      <c r="AD493">
        <f ca="1">IFERROR(IF(0=LEN(ReferenceData!$AD$493),"",ReferenceData!$AD$493),"")</f>
        <v>15.559380819999999</v>
      </c>
      <c r="AE493">
        <f ca="1">IFERROR(IF(0=LEN(ReferenceData!$AE$493),"",ReferenceData!$AE$493),"")</f>
        <v>13.286639879999999</v>
      </c>
      <c r="AF493">
        <f ca="1">IFERROR(IF(0=LEN(ReferenceData!$AF$493),"",ReferenceData!$AF$493),"")</f>
        <v>11.863610980000001</v>
      </c>
      <c r="AG493">
        <f ca="1">IFERROR(IF(0=LEN(ReferenceData!$AG$493),"",ReferenceData!$AG$493),"")</f>
        <v>9.5724523020000003</v>
      </c>
      <c r="AH493">
        <f ca="1">IFERROR(IF(0=LEN(ReferenceData!$AH$493),"",ReferenceData!$AH$493),"")</f>
        <v>9.9640357930000008</v>
      </c>
      <c r="AI493">
        <f ca="1">IFERROR(IF(0=LEN(ReferenceData!$AI$493),"",ReferenceData!$AI$493),"")</f>
        <v>8.6384379439999996</v>
      </c>
      <c r="AJ493">
        <f ca="1">IFERROR(IF(0=LEN(ReferenceData!$AJ$493),"",ReferenceData!$AJ$493),"")</f>
        <v>9.6461286140000002</v>
      </c>
      <c r="AK493">
        <f ca="1">IFERROR(IF(0=LEN(ReferenceData!$AK$493),"",ReferenceData!$AK$493),"")</f>
        <v>11.287960249999999</v>
      </c>
      <c r="AL493">
        <f ca="1">IFERROR(IF(0=LEN(ReferenceData!$AL$493),"",ReferenceData!$AL$493),"")</f>
        <v>14.18363476</v>
      </c>
      <c r="AM493">
        <f ca="1">IFERROR(IF(0=LEN(ReferenceData!$AM$493),"",ReferenceData!$AM$493),"")</f>
        <v>12.06530633</v>
      </c>
      <c r="AN493">
        <f ca="1">IFERROR(IF(0=LEN(ReferenceData!$AN$493),"",ReferenceData!$AN$493),"")</f>
        <v>11.229110289999999</v>
      </c>
      <c r="AO493">
        <f ca="1">IFERROR(IF(0=LEN(ReferenceData!$AO$493),"",ReferenceData!$AO$493),"")</f>
        <v>7.3809102879999999</v>
      </c>
      <c r="AP493">
        <f ca="1">IFERROR(IF(0=LEN(ReferenceData!$AP$493),"",ReferenceData!$AP$493),"")</f>
        <v>7.7579181930000001</v>
      </c>
      <c r="AQ493">
        <f ca="1">IFERROR(IF(0=LEN(ReferenceData!$AQ$493),"",ReferenceData!$AQ$493),"")</f>
        <v>8.7752689959999994</v>
      </c>
      <c r="AR493">
        <f ca="1">IFERROR(IF(0=LEN(ReferenceData!$AR$493),"",ReferenceData!$AR$493),"")</f>
        <v>13.04998464</v>
      </c>
      <c r="AS493">
        <f ca="1">IFERROR(IF(0=LEN(ReferenceData!$AS$493),"",ReferenceData!$AS$493),"")</f>
        <v>18.05461579</v>
      </c>
      <c r="AT493">
        <f ca="1">IFERROR(IF(0=LEN(ReferenceData!$AT$493),"",ReferenceData!$AT$493),"")</f>
        <v>15.48858207</v>
      </c>
      <c r="AU493">
        <f ca="1">IFERROR(IF(0=LEN(ReferenceData!$AU$493),"",ReferenceData!$AU$493),"")</f>
        <v>10.228410179999999</v>
      </c>
      <c r="AV493">
        <f ca="1">IFERROR(IF(0=LEN(ReferenceData!$AV$493),"",ReferenceData!$AV$493),"")</f>
        <v>9.8598035579999994</v>
      </c>
      <c r="AW493">
        <f ca="1">IFERROR(IF(0=LEN(ReferenceData!$AW$493),"",ReferenceData!$AW$493),"")</f>
        <v>9.3731076269999996</v>
      </c>
      <c r="AX493">
        <f ca="1">IFERROR(IF(0=LEN(ReferenceData!$AX$493),"",ReferenceData!$AX$493),"")</f>
        <v>11.85201097</v>
      </c>
      <c r="AY493">
        <f ca="1">IFERROR(IF(0=LEN(ReferenceData!$AY$493),"",ReferenceData!$AY$493),"")</f>
        <v>19.775883499999999</v>
      </c>
      <c r="AZ493">
        <f ca="1">IFERROR(IF(0=LEN(ReferenceData!$AZ$493),"",ReferenceData!$AZ$493),"")</f>
        <v>21.70902272</v>
      </c>
      <c r="BA493">
        <f ca="1">IFERROR(IF(0=LEN(ReferenceData!$BA$493),"",ReferenceData!$BA$493),"")</f>
        <v>26.18275014</v>
      </c>
      <c r="BB493">
        <f ca="1">IFERROR(IF(0=LEN(ReferenceData!$BB$493),"",ReferenceData!$BB$493),"")</f>
        <v>31.635506500000002</v>
      </c>
      <c r="BC493">
        <f ca="1">IFERROR(IF(0=LEN(ReferenceData!$BC$493),"",ReferenceData!$BC$493),"")</f>
        <v>29.056415600000001</v>
      </c>
      <c r="BD493">
        <f ca="1">IFERROR(IF(0=LEN(ReferenceData!$BD$493),"",ReferenceData!$BD$493),"")</f>
        <v>22.52055004</v>
      </c>
      <c r="BE493">
        <f ca="1">IFERROR(IF(0=LEN(ReferenceData!$BE$493),"",ReferenceData!$BE$493),"")</f>
        <v>20.421424850000001</v>
      </c>
      <c r="BF493">
        <f ca="1">IFERROR(IF(0=LEN(ReferenceData!$BF$493),"",ReferenceData!$BF$493),"")</f>
        <v>11.70397421</v>
      </c>
      <c r="BG493">
        <f ca="1">IFERROR(IF(0=LEN(ReferenceData!$BG$493),"",ReferenceData!$BG$493),"")</f>
        <v>8.4066125760000006</v>
      </c>
      <c r="BH493">
        <f ca="1">IFERROR(IF(0=LEN(ReferenceData!$BH$493),"",ReferenceData!$BH$493),"")</f>
        <v>7.8422955510000003</v>
      </c>
      <c r="BI493">
        <f ca="1">IFERROR(IF(0=LEN(ReferenceData!$BI$493),"",ReferenceData!$BI$493),"")</f>
        <v>11.53581086</v>
      </c>
      <c r="BJ493">
        <f ca="1">IFERROR(IF(0=LEN(ReferenceData!$BJ$493),"",ReferenceData!$BJ$493),"")</f>
        <v>19.22347989</v>
      </c>
      <c r="BK493">
        <f ca="1">IFERROR(IF(0=LEN(ReferenceData!$BK$493),"",ReferenceData!$BK$493),"")</f>
        <v>19.030413419999999</v>
      </c>
      <c r="BL493">
        <f ca="1">IFERROR(IF(0=LEN(ReferenceData!$BL$493),"",ReferenceData!$BL$493),"")</f>
        <v>30.744081390000002</v>
      </c>
      <c r="BM493">
        <f ca="1">IFERROR(IF(0=LEN(ReferenceData!$BM$493),"",ReferenceData!$BM$493),"")</f>
        <v>16.8073114</v>
      </c>
    </row>
    <row r="494" spans="1:65" x14ac:dyDescent="0.25">
      <c r="A494" t="str">
        <f>IFERROR(IF(0=LEN(ReferenceData!$A$494),"",ReferenceData!$A$494),"")</f>
        <v xml:space="preserve">    Toyota Motor Corp</v>
      </c>
      <c r="B494" t="str">
        <f>IFERROR(IF(0=LEN(ReferenceData!$B$494),"",ReferenceData!$B$494),"")</f>
        <v>7203 JP Equity</v>
      </c>
      <c r="C494" t="str">
        <f>IFERROR(IF(0=LEN(ReferenceData!$C$494),"",ReferenceData!$C$494),"")</f>
        <v>RR476</v>
      </c>
      <c r="D494" t="str">
        <f>IFERROR(IF(0=LEN(ReferenceData!$D$494),"",ReferenceData!$D$494),"")</f>
        <v>EV_TO_T12M_NET_INCOME</v>
      </c>
      <c r="E494" t="str">
        <f>IFERROR(IF(0=LEN(ReferenceData!$E$494),"",ReferenceData!$E$494),"")</f>
        <v>Dynamic</v>
      </c>
      <c r="F494" t="str">
        <f ca="1">IFERROR(IF(0=LEN(ReferenceData!$F$494),"",ReferenceData!$F$494),"")</f>
        <v/>
      </c>
      <c r="G494">
        <f ca="1">IFERROR(IF(0=LEN(ReferenceData!$G$494),"",ReferenceData!$G$494),"")</f>
        <v>18.0596462</v>
      </c>
      <c r="H494">
        <f ca="1">IFERROR(IF(0=LEN(ReferenceData!$H$494),"",ReferenceData!$H$494),"")</f>
        <v>13.72236468</v>
      </c>
      <c r="I494">
        <f ca="1">IFERROR(IF(0=LEN(ReferenceData!$I$494),"",ReferenceData!$I$494),"")</f>
        <v>14.42392834</v>
      </c>
      <c r="J494">
        <f ca="1">IFERROR(IF(0=LEN(ReferenceData!$J$494),"",ReferenceData!$J$494),"")</f>
        <v>13.90459049</v>
      </c>
      <c r="K494">
        <f ca="1">IFERROR(IF(0=LEN(ReferenceData!$K$494),"",ReferenceData!$K$494),"")</f>
        <v>15.318387169999999</v>
      </c>
      <c r="L494">
        <f ca="1">IFERROR(IF(0=LEN(ReferenceData!$L$494),"",ReferenceData!$L$494),"")</f>
        <v>17.816912779999999</v>
      </c>
      <c r="M494">
        <f ca="1">IFERROR(IF(0=LEN(ReferenceData!$M$494),"",ReferenceData!$M$494),"")</f>
        <v>17.09073003</v>
      </c>
      <c r="N494">
        <f ca="1">IFERROR(IF(0=LEN(ReferenceData!$N$494),"",ReferenceData!$N$494),"")</f>
        <v>17.6975081</v>
      </c>
      <c r="O494">
        <f ca="1">IFERROR(IF(0=LEN(ReferenceData!$O$494),"",ReferenceData!$O$494),"")</f>
        <v>19.282227500000001</v>
      </c>
      <c r="P494">
        <f ca="1">IFERROR(IF(0=LEN(ReferenceData!$P$494),"",ReferenceData!$P$494),"")</f>
        <v>14.9991231</v>
      </c>
      <c r="Q494">
        <f ca="1">IFERROR(IF(0=LEN(ReferenceData!$Q$494),"",ReferenceData!$Q$494),"")</f>
        <v>12.46596602</v>
      </c>
      <c r="R494">
        <f ca="1">IFERROR(IF(0=LEN(ReferenceData!$R$494),"",ReferenceData!$R$494),"")</f>
        <v>13.93690672</v>
      </c>
      <c r="S494">
        <f ca="1">IFERROR(IF(0=LEN(ReferenceData!$S$494),"",ReferenceData!$S$494),"")</f>
        <v>16.603402490000001</v>
      </c>
      <c r="T494">
        <f ca="1">IFERROR(IF(0=LEN(ReferenceData!$T$494),"",ReferenceData!$T$494),"")</f>
        <v>16.029360329999999</v>
      </c>
      <c r="U494">
        <f ca="1">IFERROR(IF(0=LEN(ReferenceData!$U$494),"",ReferenceData!$U$494),"")</f>
        <v>18.569646989999999</v>
      </c>
      <c r="V494">
        <f ca="1">IFERROR(IF(0=LEN(ReferenceData!$V$494),"",ReferenceData!$V$494),"")</f>
        <v>18.865381159999998</v>
      </c>
      <c r="W494">
        <f ca="1">IFERROR(IF(0=LEN(ReferenceData!$W$494),"",ReferenceData!$W$494),"")</f>
        <v>19.416003100000001</v>
      </c>
      <c r="X494">
        <f ca="1">IFERROR(IF(0=LEN(ReferenceData!$X$494),"",ReferenceData!$X$494),"")</f>
        <v>17.608690330000002</v>
      </c>
      <c r="Y494">
        <f ca="1">IFERROR(IF(0=LEN(ReferenceData!$Y$494),"",ReferenceData!$Y$494),"")</f>
        <v>17.390775720000001</v>
      </c>
      <c r="Z494">
        <f ca="1">IFERROR(IF(0=LEN(ReferenceData!$Z$494),"",ReferenceData!$Z$494),"")</f>
        <v>17.155234910000001</v>
      </c>
      <c r="AA494">
        <f ca="1">IFERROR(IF(0=LEN(ReferenceData!$AA$494),"",ReferenceData!$AA$494),"")</f>
        <v>18.379969110000001</v>
      </c>
      <c r="AB494">
        <f ca="1">IFERROR(IF(0=LEN(ReferenceData!$AB$494),"",ReferenceData!$AB$494),"")</f>
        <v>22.508361699999998</v>
      </c>
      <c r="AC494">
        <f ca="1">IFERROR(IF(0=LEN(ReferenceData!$AC$494),"",ReferenceData!$AC$494),"")</f>
        <v>24.890391860000001</v>
      </c>
      <c r="AD494">
        <f ca="1">IFERROR(IF(0=LEN(ReferenceData!$AD$494),"",ReferenceData!$AD$494),"")</f>
        <v>27.936686340000001</v>
      </c>
      <c r="AE494">
        <f ca="1">IFERROR(IF(0=LEN(ReferenceData!$AE$494),"",ReferenceData!$AE$494),"")</f>
        <v>30.374666829999999</v>
      </c>
      <c r="AF494">
        <f ca="1">IFERROR(IF(0=LEN(ReferenceData!$AF$494),"",ReferenceData!$AF$494),"")</f>
        <v>25.077103189999999</v>
      </c>
      <c r="AG494">
        <f ca="1">IFERROR(IF(0=LEN(ReferenceData!$AG$494),"",ReferenceData!$AG$494),"")</f>
        <v>33.675620440000003</v>
      </c>
      <c r="AH494">
        <f ca="1">IFERROR(IF(0=LEN(ReferenceData!$AH$494),"",ReferenceData!$AH$494),"")</f>
        <v>73.65911045</v>
      </c>
      <c r="AI494">
        <f ca="1">IFERROR(IF(0=LEN(ReferenceData!$AI$494),"",ReferenceData!$AI$494),"")</f>
        <v>92.530211320000006</v>
      </c>
      <c r="AJ494">
        <f ca="1">IFERROR(IF(0=LEN(ReferenceData!$AJ$494),"",ReferenceData!$AJ$494),"")</f>
        <v>86.389360319999994</v>
      </c>
      <c r="AK494">
        <f ca="1">IFERROR(IF(0=LEN(ReferenceData!$AK$494),"",ReferenceData!$AK$494),"")</f>
        <v>88.347164989999996</v>
      </c>
      <c r="AL494">
        <f ca="1">IFERROR(IF(0=LEN(ReferenceData!$AL$494),"",ReferenceData!$AL$494),"")</f>
        <v>48.956675439999998</v>
      </c>
      <c r="AM494">
        <f ca="1">IFERROR(IF(0=LEN(ReferenceData!$AM$494),"",ReferenceData!$AM$494),"")</f>
        <v>38.774339769999997</v>
      </c>
      <c r="AN494">
        <f ca="1">IFERROR(IF(0=LEN(ReferenceData!$AN$494),"",ReferenceData!$AN$494),"")</f>
        <v>32.66266383</v>
      </c>
      <c r="AO494">
        <f ca="1">IFERROR(IF(0=LEN(ReferenceData!$AO$494),"",ReferenceData!$AO$494),"")</f>
        <v>38.62264313</v>
      </c>
      <c r="AP494">
        <f ca="1">IFERROR(IF(0=LEN(ReferenceData!$AP$494),"",ReferenceData!$AP$494),"")</f>
        <v>99.194065940000002</v>
      </c>
      <c r="AQ494" t="str">
        <f ca="1">IFERROR(IF(0=LEN(ReferenceData!$AQ$494),"",ReferenceData!$AQ$494),"")</f>
        <v/>
      </c>
      <c r="AR494" t="str">
        <f ca="1">IFERROR(IF(0=LEN(ReferenceData!$AR$494),"",ReferenceData!$AR$494),"")</f>
        <v/>
      </c>
      <c r="AS494" t="str">
        <f ca="1">IFERROR(IF(0=LEN(ReferenceData!$AS$494),"",ReferenceData!$AS$494),"")</f>
        <v/>
      </c>
      <c r="AT494" t="str">
        <f ca="1">IFERROR(IF(0=LEN(ReferenceData!$AT$494),"",ReferenceData!$AT$494),"")</f>
        <v/>
      </c>
      <c r="AU494">
        <f ca="1">IFERROR(IF(0=LEN(ReferenceData!$AU$494),"",ReferenceData!$AU$494),"")</f>
        <v>29.601459510000002</v>
      </c>
      <c r="AV494">
        <f ca="1">IFERROR(IF(0=LEN(ReferenceData!$AV$494),"",ReferenceData!$AV$494),"")</f>
        <v>19.385646170000001</v>
      </c>
      <c r="AW494">
        <f ca="1">IFERROR(IF(0=LEN(ReferenceData!$AW$494),"",ReferenceData!$AW$494),"")</f>
        <v>17.28237588</v>
      </c>
      <c r="AX494">
        <f ca="1">IFERROR(IF(0=LEN(ReferenceData!$AX$494),"",ReferenceData!$AX$494),"")</f>
        <v>15.259014669999999</v>
      </c>
      <c r="AY494">
        <f ca="1">IFERROR(IF(0=LEN(ReferenceData!$AY$494),"",ReferenceData!$AY$494),"")</f>
        <v>16.766985340000002</v>
      </c>
      <c r="AZ494">
        <f ca="1">IFERROR(IF(0=LEN(ReferenceData!$AZ$494),"",ReferenceData!$AZ$494),"")</f>
        <v>18.002458879999999</v>
      </c>
      <c r="BA494">
        <f ca="1">IFERROR(IF(0=LEN(ReferenceData!$BA$494),"",ReferenceData!$BA$494),"")</f>
        <v>20.409305159999999</v>
      </c>
      <c r="BB494">
        <f ca="1">IFERROR(IF(0=LEN(ReferenceData!$BB$494),"",ReferenceData!$BB$494),"")</f>
        <v>18.679292749999998</v>
      </c>
      <c r="BC494">
        <f ca="1">IFERROR(IF(0=LEN(ReferenceData!$BC$494),"",ReferenceData!$BC$494),"")</f>
        <v>22.39212856</v>
      </c>
      <c r="BD494">
        <f ca="1">IFERROR(IF(0=LEN(ReferenceData!$BD$494),"",ReferenceData!$BD$494),"")</f>
        <v>19.12871367</v>
      </c>
      <c r="BE494">
        <f ca="1">IFERROR(IF(0=LEN(ReferenceData!$BE$494),"",ReferenceData!$BE$494),"")</f>
        <v>19.304316029999999</v>
      </c>
      <c r="BF494">
        <f ca="1">IFERROR(IF(0=LEN(ReferenceData!$BF$494),"",ReferenceData!$BF$494),"")</f>
        <v>23.088874279999999</v>
      </c>
      <c r="BG494">
        <f ca="1">IFERROR(IF(0=LEN(ReferenceData!$BG$494),"",ReferenceData!$BG$494),"")</f>
        <v>22.71340867</v>
      </c>
      <c r="BH494">
        <f ca="1">IFERROR(IF(0=LEN(ReferenceData!$BH$494),"",ReferenceData!$BH$494),"")</f>
        <v>21.41156994</v>
      </c>
      <c r="BI494">
        <f ca="1">IFERROR(IF(0=LEN(ReferenceData!$BI$494),"",ReferenceData!$BI$494),"")</f>
        <v>17.74200677</v>
      </c>
      <c r="BJ494">
        <f ca="1">IFERROR(IF(0=LEN(ReferenceData!$BJ$494),"",ReferenceData!$BJ$494),"")</f>
        <v>17.07712205</v>
      </c>
      <c r="BK494">
        <f ca="1">IFERROR(IF(0=LEN(ReferenceData!$BK$494),"",ReferenceData!$BK$494),"")</f>
        <v>16.63010414</v>
      </c>
      <c r="BL494">
        <f ca="1">IFERROR(IF(0=LEN(ReferenceData!$BL$494),"",ReferenceData!$BL$494),"")</f>
        <v>16.674917489999999</v>
      </c>
      <c r="BM494">
        <f ca="1">IFERROR(IF(0=LEN(ReferenceData!$BM$494),"",ReferenceData!$BM$494),"")</f>
        <v>16.776645139999999</v>
      </c>
    </row>
    <row r="495" spans="1:65" x14ac:dyDescent="0.25">
      <c r="A495" t="str">
        <f>IFERROR(IF(0=LEN(ReferenceData!$A$495),"",ReferenceData!$A$495),"")</f>
        <v xml:space="preserve">    Volkswagen AG</v>
      </c>
      <c r="B495" t="str">
        <f>IFERROR(IF(0=LEN(ReferenceData!$B$495),"",ReferenceData!$B$495),"")</f>
        <v>VOW GR Equity</v>
      </c>
      <c r="C495" t="str">
        <f>IFERROR(IF(0=LEN(ReferenceData!$C$495),"",ReferenceData!$C$495),"")</f>
        <v>RR476</v>
      </c>
      <c r="D495" t="str">
        <f>IFERROR(IF(0=LEN(ReferenceData!$D$495),"",ReferenceData!$D$495),"")</f>
        <v>EV_TO_T12M_NET_INCOME</v>
      </c>
      <c r="E495" t="str">
        <f>IFERROR(IF(0=LEN(ReferenceData!$E$495),"",ReferenceData!$E$495),"")</f>
        <v>Dynamic</v>
      </c>
      <c r="F495" t="str">
        <f ca="1">IFERROR(IF(0=LEN(ReferenceData!$F$495),"",ReferenceData!$F$495),"")</f>
        <v/>
      </c>
      <c r="G495" t="str">
        <f ca="1">IFERROR(IF(0=LEN(ReferenceData!$G$495),"",ReferenceData!$G$495),"")</f>
        <v/>
      </c>
      <c r="H495">
        <f ca="1">IFERROR(IF(0=LEN(ReferenceData!$H$495),"",ReferenceData!$H$495),"")</f>
        <v>4.7719679409999998</v>
      </c>
      <c r="I495">
        <f ca="1">IFERROR(IF(0=LEN(ReferenceData!$I$495),"",ReferenceData!$I$495),"")</f>
        <v>6.154754187</v>
      </c>
      <c r="J495">
        <f ca="1">IFERROR(IF(0=LEN(ReferenceData!$J$495),"",ReferenceData!$J$495),"")</f>
        <v>6.1373634590000004</v>
      </c>
      <c r="K495">
        <f ca="1">IFERROR(IF(0=LEN(ReferenceData!$K$495),"",ReferenceData!$K$495),"")</f>
        <v>5.7395742649999999</v>
      </c>
      <c r="L495">
        <f ca="1">IFERROR(IF(0=LEN(ReferenceData!$L$495),"",ReferenceData!$L$495),"")</f>
        <v>8.5327368349999997</v>
      </c>
      <c r="M495">
        <f ca="1">IFERROR(IF(0=LEN(ReferenceData!$M$495),"",ReferenceData!$M$495),"")</f>
        <v>7.2853433770000002</v>
      </c>
      <c r="N495">
        <f ca="1">IFERROR(IF(0=LEN(ReferenceData!$N$495),"",ReferenceData!$N$495),"")</f>
        <v>11.22262003</v>
      </c>
      <c r="O495">
        <f ca="1">IFERROR(IF(0=LEN(ReferenceData!$O$495),"",ReferenceData!$O$495),"")</f>
        <v>7.8951557550000002</v>
      </c>
      <c r="P495">
        <f ca="1">IFERROR(IF(0=LEN(ReferenceData!$P$495),"",ReferenceData!$P$495),"")</f>
        <v>80.022480590000001</v>
      </c>
      <c r="Q495" t="str">
        <f ca="1">IFERROR(IF(0=LEN(ReferenceData!$Q$495),"",ReferenceData!$Q$495),"")</f>
        <v/>
      </c>
      <c r="R495" t="str">
        <f ca="1">IFERROR(IF(0=LEN(ReferenceData!$R$495),"",ReferenceData!$R$495),"")</f>
        <v/>
      </c>
      <c r="S495" t="str">
        <f ca="1">IFERROR(IF(0=LEN(ReferenceData!$S$495),"",ReferenceData!$S$495),"")</f>
        <v/>
      </c>
      <c r="T495">
        <f ca="1">IFERROR(IF(0=LEN(ReferenceData!$T$495),"",ReferenceData!$T$495),"")</f>
        <v>5.1804667880000004</v>
      </c>
      <c r="U495">
        <f ca="1">IFERROR(IF(0=LEN(ReferenceData!$U$495),"",ReferenceData!$U$495),"")</f>
        <v>7.8994474390000002</v>
      </c>
      <c r="V495">
        <f ca="1">IFERROR(IF(0=LEN(ReferenceData!$V$495),"",ReferenceData!$V$495),"")</f>
        <v>8.9207742499999991</v>
      </c>
      <c r="W495">
        <f ca="1">IFERROR(IF(0=LEN(ReferenceData!$W$495),"",ReferenceData!$W$495),"")</f>
        <v>6.9039712839999998</v>
      </c>
      <c r="X495">
        <f ca="1">IFERROR(IF(0=LEN(ReferenceData!$X$495),"",ReferenceData!$X$495),"")</f>
        <v>6.178990078</v>
      </c>
      <c r="Y495">
        <f ca="1">IFERROR(IF(0=LEN(ReferenceData!$Y$495),"",ReferenceData!$Y$495),"")</f>
        <v>8.3478808989999997</v>
      </c>
      <c r="Z495">
        <f ca="1">IFERROR(IF(0=LEN(ReferenceData!$Z$495),"",ReferenceData!$Z$495),"")</f>
        <v>8.1202950010000006</v>
      </c>
      <c r="AA495">
        <f ca="1">IFERROR(IF(0=LEN(ReferenceData!$AA$495),"",ReferenceData!$AA$495),"")</f>
        <v>9.2759918670000001</v>
      </c>
      <c r="AB495">
        <f ca="1">IFERROR(IF(0=LEN(ReferenceData!$AB$495),"",ReferenceData!$AB$495),"")</f>
        <v>8.0453307249999995</v>
      </c>
      <c r="AC495">
        <f ca="1">IFERROR(IF(0=LEN(ReferenceData!$AC$495),"",ReferenceData!$AC$495),"")</f>
        <v>3.500797398</v>
      </c>
      <c r="AD495">
        <f ca="1">IFERROR(IF(0=LEN(ReferenceData!$AD$495),"",ReferenceData!$AD$495),"")</f>
        <v>3.088589018</v>
      </c>
      <c r="AE495">
        <f ca="1">IFERROR(IF(0=LEN(ReferenceData!$AE$495),"",ReferenceData!$AE$495),"")</f>
        <v>3.3619632500000001</v>
      </c>
      <c r="AF495">
        <f ca="1">IFERROR(IF(0=LEN(ReferenceData!$AF$495),"",ReferenceData!$AF$495),"")</f>
        <v>2.6181431050000001</v>
      </c>
      <c r="AG495">
        <f ca="1">IFERROR(IF(0=LEN(ReferenceData!$AG$495),"",ReferenceData!$AG$495),"")</f>
        <v>2.5596013040000001</v>
      </c>
      <c r="AH495">
        <f ca="1">IFERROR(IF(0=LEN(ReferenceData!$AH$495),"",ReferenceData!$AH$495),"")</f>
        <v>2.7947917960000002</v>
      </c>
      <c r="AI495">
        <f ca="1">IFERROR(IF(0=LEN(ReferenceData!$AI$495),"",ReferenceData!$AI$495),"")</f>
        <v>2.5322474169999998</v>
      </c>
      <c r="AJ495">
        <f ca="1">IFERROR(IF(0=LEN(ReferenceData!$AJ$495),"",ReferenceData!$AJ$495),"")</f>
        <v>1.653060931</v>
      </c>
      <c r="AK495">
        <f ca="1">IFERROR(IF(0=LEN(ReferenceData!$AK$495),"",ReferenceData!$AK$495),"")</f>
        <v>3.8636623870000002</v>
      </c>
      <c r="AL495">
        <f ca="1">IFERROR(IF(0=LEN(ReferenceData!$AL$495),"",ReferenceData!$AL$495),"")</f>
        <v>4.4082197719999998</v>
      </c>
      <c r="AM495">
        <f ca="1">IFERROR(IF(0=LEN(ReferenceData!$AM$495),"",ReferenceData!$AM$495),"")</f>
        <v>5.1279364650000003</v>
      </c>
      <c r="AN495">
        <f ca="1">IFERROR(IF(0=LEN(ReferenceData!$AN$495),"",ReferenceData!$AN$495),"")</f>
        <v>5.5978312829999997</v>
      </c>
      <c r="AO495">
        <f ca="1">IFERROR(IF(0=LEN(ReferenceData!$AO$495),"",ReferenceData!$AO$495),"")</f>
        <v>9.0807511220000006</v>
      </c>
      <c r="AP495">
        <f ca="1">IFERROR(IF(0=LEN(ReferenceData!$AP$495),"",ReferenceData!$AP$495),"")</f>
        <v>19.928783930000002</v>
      </c>
      <c r="AQ495">
        <f ca="1">IFERROR(IF(0=LEN(ReferenceData!$AQ$495),"",ReferenceData!$AQ$495),"")</f>
        <v>89.082564239999996</v>
      </c>
      <c r="AR495">
        <f ca="1">IFERROR(IF(0=LEN(ReferenceData!$AR$495),"",ReferenceData!$AR$495),"")</f>
        <v>57.382298059999997</v>
      </c>
      <c r="AS495">
        <f ca="1">IFERROR(IF(0=LEN(ReferenceData!$AS$495),"",ReferenceData!$AS$495),"")</f>
        <v>54.993407830000002</v>
      </c>
      <c r="AT495">
        <f ca="1">IFERROR(IF(0=LEN(ReferenceData!$AT$495),"",ReferenceData!$AT$495),"")</f>
        <v>36.122988200000002</v>
      </c>
      <c r="AU495">
        <f ca="1">IFERROR(IF(0=LEN(ReferenceData!$AU$495),"",ReferenceData!$AU$495),"")</f>
        <v>29.182448860000001</v>
      </c>
      <c r="AV495">
        <f ca="1">IFERROR(IF(0=LEN(ReferenceData!$AV$495),"",ReferenceData!$AV$495),"")</f>
        <v>33.25373373</v>
      </c>
      <c r="AW495">
        <f ca="1">IFERROR(IF(0=LEN(ReferenceData!$AW$495),"",ReferenceData!$AW$495),"")</f>
        <v>22.401624640000001</v>
      </c>
      <c r="AX495">
        <f ca="1">IFERROR(IF(0=LEN(ReferenceData!$AX$495),"",ReferenceData!$AX$495),"")</f>
        <v>24.585177170000001</v>
      </c>
      <c r="AY495">
        <f ca="1">IFERROR(IF(0=LEN(ReferenceData!$AY$495),"",ReferenceData!$AY$495),"")</f>
        <v>23.619813130000001</v>
      </c>
      <c r="AZ495">
        <f ca="1">IFERROR(IF(0=LEN(ReferenceData!$AZ$495),"",ReferenceData!$AZ$495),"")</f>
        <v>21.733369280000002</v>
      </c>
      <c r="BA495">
        <f ca="1">IFERROR(IF(0=LEN(ReferenceData!$BA$495),"",ReferenceData!$BA$495),"")</f>
        <v>23.988565430000001</v>
      </c>
      <c r="BB495">
        <f ca="1">IFERROR(IF(0=LEN(ReferenceData!$BB$495),"",ReferenceData!$BB$495),"")</f>
        <v>26.63439026</v>
      </c>
      <c r="BC495">
        <f ca="1">IFERROR(IF(0=LEN(ReferenceData!$BC$495),"",ReferenceData!$BC$495),"")</f>
        <v>27.285451160000001</v>
      </c>
      <c r="BD495">
        <f ca="1">IFERROR(IF(0=LEN(ReferenceData!$BD$495),"",ReferenceData!$BD$495),"")</f>
        <v>39.98485823</v>
      </c>
      <c r="BE495">
        <f ca="1">IFERROR(IF(0=LEN(ReferenceData!$BE$495),"",ReferenceData!$BE$495),"")</f>
        <v>32.951632840000002</v>
      </c>
      <c r="BF495">
        <f ca="1">IFERROR(IF(0=LEN(ReferenceData!$BF$495),"",ReferenceData!$BF$495),"")</f>
        <v>49.88150168</v>
      </c>
      <c r="BG495">
        <f ca="1">IFERROR(IF(0=LEN(ReferenceData!$BG$495),"",ReferenceData!$BG$495),"")</f>
        <v>60.512508740000001</v>
      </c>
      <c r="BH495">
        <f ca="1">IFERROR(IF(0=LEN(ReferenceData!$BH$495),"",ReferenceData!$BH$495),"")</f>
        <v>75.560006079999994</v>
      </c>
      <c r="BI495">
        <f ca="1">IFERROR(IF(0=LEN(ReferenceData!$BI$495),"",ReferenceData!$BI$495),"")</f>
        <v>91.737406710000002</v>
      </c>
      <c r="BJ495">
        <f ca="1">IFERROR(IF(0=LEN(ReferenceData!$BJ$495),"",ReferenceData!$BJ$495),"")</f>
        <v>85.926815550000001</v>
      </c>
      <c r="BK495">
        <f ca="1">IFERROR(IF(0=LEN(ReferenceData!$BK$495),"",ReferenceData!$BK$495),"")</f>
        <v>88.618003810000005</v>
      </c>
      <c r="BL495" t="str">
        <f ca="1">IFERROR(IF(0=LEN(ReferenceData!$BL$495),"",ReferenceData!$BL$495),"")</f>
        <v/>
      </c>
      <c r="BM495" t="str">
        <f ca="1">IFERROR(IF(0=LEN(ReferenceData!$BM$495),"",ReferenceData!$BM$495),"")</f>
        <v/>
      </c>
    </row>
    <row r="496" spans="1:65" x14ac:dyDescent="0.25">
      <c r="A496" t="str">
        <f>IFERROR(IF(0=LEN(ReferenceData!$A$496),"",ReferenceData!$A$496),"")</f>
        <v xml:space="preserve">    Yulon Motor Co Ltd</v>
      </c>
      <c r="B496" t="str">
        <f>IFERROR(IF(0=LEN(ReferenceData!$B$496),"",ReferenceData!$B$496),"")</f>
        <v>2201 TT Equity</v>
      </c>
      <c r="C496" t="str">
        <f>IFERROR(IF(0=LEN(ReferenceData!$C$496),"",ReferenceData!$C$496),"")</f>
        <v>RR476</v>
      </c>
      <c r="D496" t="str">
        <f>IFERROR(IF(0=LEN(ReferenceData!$D$496),"",ReferenceData!$D$496),"")</f>
        <v>EV_TO_T12M_NET_INCOME</v>
      </c>
      <c r="E496" t="str">
        <f>IFERROR(IF(0=LEN(ReferenceData!$E$496),"",ReferenceData!$E$496),"")</f>
        <v>Dynamic</v>
      </c>
      <c r="F496" t="str">
        <f ca="1">IFERROR(IF(0=LEN(ReferenceData!$F$496),"",ReferenceData!$F$496),"")</f>
        <v/>
      </c>
      <c r="G496" t="str">
        <f ca="1">IFERROR(IF(0=LEN(ReferenceData!$G$496),"",ReferenceData!$G$496),"")</f>
        <v/>
      </c>
      <c r="H496">
        <f ca="1">IFERROR(IF(0=LEN(ReferenceData!$H$496),"",ReferenceData!$H$496),"")</f>
        <v>94.539913240000004</v>
      </c>
      <c r="I496">
        <f ca="1">IFERROR(IF(0=LEN(ReferenceData!$I$496),"",ReferenceData!$I$496),"")</f>
        <v>62.002036480000001</v>
      </c>
      <c r="J496">
        <f ca="1">IFERROR(IF(0=LEN(ReferenceData!$J$496),"",ReferenceData!$J$496),"")</f>
        <v>53.482835219999998</v>
      </c>
      <c r="K496">
        <f ca="1">IFERROR(IF(0=LEN(ReferenceData!$K$496),"",ReferenceData!$K$496),"")</f>
        <v>63.865724749999998</v>
      </c>
      <c r="L496">
        <f ca="1">IFERROR(IF(0=LEN(ReferenceData!$L$496),"",ReferenceData!$L$496),"")</f>
        <v>89.540763729999995</v>
      </c>
      <c r="M496">
        <f ca="1">IFERROR(IF(0=LEN(ReferenceData!$M$496),"",ReferenceData!$M$496),"")</f>
        <v>119.6506471</v>
      </c>
      <c r="N496">
        <f ca="1">IFERROR(IF(0=LEN(ReferenceData!$N$496),"",ReferenceData!$N$496),"")</f>
        <v>88.875956959999996</v>
      </c>
      <c r="O496">
        <f ca="1">IFERROR(IF(0=LEN(ReferenceData!$O$496),"",ReferenceData!$O$496),"")</f>
        <v>94.295249799999993</v>
      </c>
      <c r="P496">
        <f ca="1">IFERROR(IF(0=LEN(ReferenceData!$P$496),"",ReferenceData!$P$496),"")</f>
        <v>41.33438597</v>
      </c>
      <c r="Q496">
        <f ca="1">IFERROR(IF(0=LEN(ReferenceData!$Q$496),"",ReferenceData!$Q$496),"")</f>
        <v>36.806051670000002</v>
      </c>
      <c r="R496">
        <f ca="1">IFERROR(IF(0=LEN(ReferenceData!$R$496),"",ReferenceData!$R$496),"")</f>
        <v>37.937922729999997</v>
      </c>
      <c r="S496">
        <f ca="1">IFERROR(IF(0=LEN(ReferenceData!$S$496),"",ReferenceData!$S$496),"")</f>
        <v>35.217729779999999</v>
      </c>
      <c r="T496">
        <f ca="1">IFERROR(IF(0=LEN(ReferenceData!$T$496),"",ReferenceData!$T$496),"")</f>
        <v>57.933632950000003</v>
      </c>
      <c r="U496">
        <f ca="1">IFERROR(IF(0=LEN(ReferenceData!$U$496),"",ReferenceData!$U$496),"")</f>
        <v>53.336240740000001</v>
      </c>
      <c r="V496">
        <f ca="1">IFERROR(IF(0=LEN(ReferenceData!$V$496),"",ReferenceData!$V$496),"")</f>
        <v>58.188923930000001</v>
      </c>
      <c r="W496">
        <f ca="1">IFERROR(IF(0=LEN(ReferenceData!$W$496),"",ReferenceData!$W$496),"")</f>
        <v>62.553307490000002</v>
      </c>
      <c r="X496">
        <f ca="1">IFERROR(IF(0=LEN(ReferenceData!$X$496),"",ReferenceData!$X$496),"")</f>
        <v>58.531207999999999</v>
      </c>
      <c r="Y496">
        <f ca="1">IFERROR(IF(0=LEN(ReferenceData!$Y$496),"",ReferenceData!$Y$496),"")</f>
        <v>77.972615129999994</v>
      </c>
      <c r="Z496">
        <f ca="1">IFERROR(IF(0=LEN(ReferenceData!$Z$496),"",ReferenceData!$Z$496),"")</f>
        <v>65.223588550000002</v>
      </c>
      <c r="AA496">
        <f ca="1">IFERROR(IF(0=LEN(ReferenceData!$AA$496),"",ReferenceData!$AA$496),"")</f>
        <v>58.426290350000002</v>
      </c>
      <c r="AB496">
        <f ca="1">IFERROR(IF(0=LEN(ReferenceData!$AB$496),"",ReferenceData!$AB$496),"")</f>
        <v>42.336191130000003</v>
      </c>
      <c r="AC496">
        <f ca="1">IFERROR(IF(0=LEN(ReferenceData!$AC$496),"",ReferenceData!$AC$496),"")</f>
        <v>43.160371339999998</v>
      </c>
      <c r="AD496">
        <f ca="1">IFERROR(IF(0=LEN(ReferenceData!$AD$496),"",ReferenceData!$AD$496),"")</f>
        <v>44.931051709999998</v>
      </c>
      <c r="AE496">
        <f ca="1">IFERROR(IF(0=LEN(ReferenceData!$AE$496),"",ReferenceData!$AE$496),"")</f>
        <v>45.778710390000001</v>
      </c>
      <c r="AF496">
        <f ca="1">IFERROR(IF(0=LEN(ReferenceData!$AF$496),"",ReferenceData!$AF$496),"")</f>
        <v>44.578660859999999</v>
      </c>
      <c r="AG496">
        <f ca="1">IFERROR(IF(0=LEN(ReferenceData!$AG$496),"",ReferenceData!$AG$496),"")</f>
        <v>38.510216990000004</v>
      </c>
      <c r="AH496">
        <f ca="1">IFERROR(IF(0=LEN(ReferenceData!$AH$496),"",ReferenceData!$AH$496),"")</f>
        <v>39.835560690000001</v>
      </c>
      <c r="AI496">
        <f ca="1">IFERROR(IF(0=LEN(ReferenceData!$AI$496),"",ReferenceData!$AI$496),"")</f>
        <v>33.751161529999997</v>
      </c>
      <c r="AJ496">
        <f ca="1">IFERROR(IF(0=LEN(ReferenceData!$AJ$496),"",ReferenceData!$AJ$496),"")</f>
        <v>32.709877120000002</v>
      </c>
      <c r="AK496">
        <f ca="1">IFERROR(IF(0=LEN(ReferenceData!$AK$496),"",ReferenceData!$AK$496),"")</f>
        <v>35.346596060000003</v>
      </c>
      <c r="AL496">
        <f ca="1">IFERROR(IF(0=LEN(ReferenceData!$AL$496),"",ReferenceData!$AL$496),"")</f>
        <v>28.923619720000001</v>
      </c>
      <c r="AM496">
        <f ca="1">IFERROR(IF(0=LEN(ReferenceData!$AM$496),"",ReferenceData!$AM$496),"")</f>
        <v>30.26741663</v>
      </c>
      <c r="AN496">
        <f ca="1">IFERROR(IF(0=LEN(ReferenceData!$AN$496),"",ReferenceData!$AN$496),"")</f>
        <v>38.458479820000001</v>
      </c>
      <c r="AO496">
        <f ca="1">IFERROR(IF(0=LEN(ReferenceData!$AO$496),"",ReferenceData!$AO$496),"")</f>
        <v>25.986970450000001</v>
      </c>
      <c r="AP496">
        <f ca="1">IFERROR(IF(0=LEN(ReferenceData!$AP$496),"",ReferenceData!$AP$496),"")</f>
        <v>32.071396759999999</v>
      </c>
      <c r="AQ496">
        <f ca="1">IFERROR(IF(0=LEN(ReferenceData!$AQ$496),"",ReferenceData!$AQ$496),"")</f>
        <v>68.896372679999999</v>
      </c>
      <c r="AR496">
        <f ca="1">IFERROR(IF(0=LEN(ReferenceData!$AR$496),"",ReferenceData!$AR$496),"")</f>
        <v>53.873734990000003</v>
      </c>
      <c r="AS496">
        <f ca="1">IFERROR(IF(0=LEN(ReferenceData!$AS$496),"",ReferenceData!$AS$496),"")</f>
        <v>131.55597</v>
      </c>
      <c r="AT496" t="str">
        <f ca="1">IFERROR(IF(0=LEN(ReferenceData!$AT$496),"",ReferenceData!$AT$496),"")</f>
        <v/>
      </c>
      <c r="AU496">
        <f ca="1">IFERROR(IF(0=LEN(ReferenceData!$AU$496),"",ReferenceData!$AU$496),"")</f>
        <v>94.87092165</v>
      </c>
      <c r="AV496">
        <f ca="1">IFERROR(IF(0=LEN(ReferenceData!$AV$496),"",ReferenceData!$AV$496),"")</f>
        <v>41.16827318</v>
      </c>
      <c r="AW496" t="str">
        <f ca="1">IFERROR(IF(0=LEN(ReferenceData!$AW$496),"",ReferenceData!$AW$496),"")</f>
        <v/>
      </c>
      <c r="AX496" t="str">
        <f ca="1">IFERROR(IF(0=LEN(ReferenceData!$AX$496),"",ReferenceData!$AX$496),"")</f>
        <v/>
      </c>
      <c r="AY496" t="str">
        <f ca="1">IFERROR(IF(0=LEN(ReferenceData!$AY$496),"",ReferenceData!$AY$496),"")</f>
        <v/>
      </c>
      <c r="AZ496" t="str">
        <f ca="1">IFERROR(IF(0=LEN(ReferenceData!$AZ$496),"",ReferenceData!$AZ$496),"")</f>
        <v/>
      </c>
      <c r="BA496" t="str">
        <f ca="1">IFERROR(IF(0=LEN(ReferenceData!$BA$496),"",ReferenceData!$BA$496),"")</f>
        <v/>
      </c>
      <c r="BB496" t="str">
        <f ca="1">IFERROR(IF(0=LEN(ReferenceData!$BB$496),"",ReferenceData!$BB$496),"")</f>
        <v/>
      </c>
      <c r="BC496" t="str">
        <f ca="1">IFERROR(IF(0=LEN(ReferenceData!$BC$496),"",ReferenceData!$BC$496),"")</f>
        <v/>
      </c>
      <c r="BD496" t="str">
        <f ca="1">IFERROR(IF(0=LEN(ReferenceData!$BD$496),"",ReferenceData!$BD$496),"")</f>
        <v/>
      </c>
      <c r="BE496" t="str">
        <f ca="1">IFERROR(IF(0=LEN(ReferenceData!$BE$496),"",ReferenceData!$BE$496),"")</f>
        <v/>
      </c>
      <c r="BF496" t="str">
        <f ca="1">IFERROR(IF(0=LEN(ReferenceData!$BF$496),"",ReferenceData!$BF$496),"")</f>
        <v/>
      </c>
      <c r="BG496" t="str">
        <f ca="1">IFERROR(IF(0=LEN(ReferenceData!$BG$496),"",ReferenceData!$BG$496),"")</f>
        <v/>
      </c>
      <c r="BH496" t="str">
        <f ca="1">IFERROR(IF(0=LEN(ReferenceData!$BH$496),"",ReferenceData!$BH$496),"")</f>
        <v/>
      </c>
      <c r="BI496" t="str">
        <f ca="1">IFERROR(IF(0=LEN(ReferenceData!$BI$496),"",ReferenceData!$BI$496),"")</f>
        <v/>
      </c>
      <c r="BJ496" t="str">
        <f ca="1">IFERROR(IF(0=LEN(ReferenceData!$BJ$496),"",ReferenceData!$BJ$496),"")</f>
        <v/>
      </c>
      <c r="BK496" t="str">
        <f ca="1">IFERROR(IF(0=LEN(ReferenceData!$BK$496),"",ReferenceData!$BK$496),"")</f>
        <v/>
      </c>
      <c r="BL496" t="str">
        <f ca="1">IFERROR(IF(0=LEN(ReferenceData!$BL$496),"",ReferenceData!$BL$496),"")</f>
        <v/>
      </c>
      <c r="BM496" t="str">
        <f ca="1">IFERROR(IF(0=LEN(ReferenceData!$BM$496),"",ReferenceData!$BM$496),"")</f>
        <v/>
      </c>
    </row>
    <row r="497" spans="1:65" x14ac:dyDescent="0.25">
      <c r="A497" t="str">
        <f>IFERROR(IF(0=LEN(ReferenceData!$A$497),"",ReferenceData!$A$497),"")</f>
        <v>Yields</v>
      </c>
      <c r="B497" t="str">
        <f>IFERROR(IF(0=LEN(ReferenceData!$B$497),"",ReferenceData!$B$497),"")</f>
        <v/>
      </c>
      <c r="C497" t="str">
        <f>IFERROR(IF(0=LEN(ReferenceData!$C$497),"",ReferenceData!$C$497),"")</f>
        <v/>
      </c>
      <c r="D497" t="str">
        <f>IFERROR(IF(0=LEN(ReferenceData!$D$497),"",ReferenceData!$D$497),"")</f>
        <v/>
      </c>
      <c r="E497" t="str">
        <f>IFERROR(IF(0=LEN(ReferenceData!$E$497),"",ReferenceData!$E$497),"")</f>
        <v>Heading</v>
      </c>
      <c r="F497" t="str">
        <f>IFERROR(IF(0=LEN(ReferenceData!$F$497),"",ReferenceData!$F$497),"")</f>
        <v/>
      </c>
      <c r="G497" t="str">
        <f>IFERROR(IF(0=LEN(ReferenceData!$G$497),"",ReferenceData!$G$497),"")</f>
        <v/>
      </c>
      <c r="H497" t="str">
        <f>IFERROR(IF(0=LEN(ReferenceData!$H$497),"",ReferenceData!$H$497),"")</f>
        <v/>
      </c>
      <c r="I497" t="str">
        <f>IFERROR(IF(0=LEN(ReferenceData!$I$497),"",ReferenceData!$I$497),"")</f>
        <v/>
      </c>
      <c r="J497" t="str">
        <f>IFERROR(IF(0=LEN(ReferenceData!$J$497),"",ReferenceData!$J$497),"")</f>
        <v/>
      </c>
      <c r="K497" t="str">
        <f>IFERROR(IF(0=LEN(ReferenceData!$K$497),"",ReferenceData!$K$497),"")</f>
        <v/>
      </c>
      <c r="L497" t="str">
        <f>IFERROR(IF(0=LEN(ReferenceData!$L$497),"",ReferenceData!$L$497),"")</f>
        <v/>
      </c>
      <c r="M497" t="str">
        <f>IFERROR(IF(0=LEN(ReferenceData!$M$497),"",ReferenceData!$M$497),"")</f>
        <v/>
      </c>
      <c r="N497" t="str">
        <f>IFERROR(IF(0=LEN(ReferenceData!$N$497),"",ReferenceData!$N$497),"")</f>
        <v/>
      </c>
      <c r="O497" t="str">
        <f>IFERROR(IF(0=LEN(ReferenceData!$O$497),"",ReferenceData!$O$497),"")</f>
        <v/>
      </c>
      <c r="P497" t="str">
        <f>IFERROR(IF(0=LEN(ReferenceData!$P$497),"",ReferenceData!$P$497),"")</f>
        <v/>
      </c>
      <c r="Q497" t="str">
        <f>IFERROR(IF(0=LEN(ReferenceData!$Q$497),"",ReferenceData!$Q$497),"")</f>
        <v/>
      </c>
      <c r="R497" t="str">
        <f>IFERROR(IF(0=LEN(ReferenceData!$R$497),"",ReferenceData!$R$497),"")</f>
        <v/>
      </c>
      <c r="S497" t="str">
        <f>IFERROR(IF(0=LEN(ReferenceData!$S$497),"",ReferenceData!$S$497),"")</f>
        <v/>
      </c>
      <c r="T497" t="str">
        <f>IFERROR(IF(0=LEN(ReferenceData!$T$497),"",ReferenceData!$T$497),"")</f>
        <v/>
      </c>
      <c r="U497" t="str">
        <f>IFERROR(IF(0=LEN(ReferenceData!$U$497),"",ReferenceData!$U$497),"")</f>
        <v/>
      </c>
      <c r="V497" t="str">
        <f>IFERROR(IF(0=LEN(ReferenceData!$V$497),"",ReferenceData!$V$497),"")</f>
        <v/>
      </c>
      <c r="W497" t="str">
        <f>IFERROR(IF(0=LEN(ReferenceData!$W$497),"",ReferenceData!$W$497),"")</f>
        <v/>
      </c>
      <c r="X497" t="str">
        <f>IFERROR(IF(0=LEN(ReferenceData!$X$497),"",ReferenceData!$X$497),"")</f>
        <v/>
      </c>
      <c r="Y497" t="str">
        <f>IFERROR(IF(0=LEN(ReferenceData!$Y$497),"",ReferenceData!$Y$497),"")</f>
        <v/>
      </c>
      <c r="Z497" t="str">
        <f>IFERROR(IF(0=LEN(ReferenceData!$Z$497),"",ReferenceData!$Z$497),"")</f>
        <v/>
      </c>
      <c r="AA497" t="str">
        <f>IFERROR(IF(0=LEN(ReferenceData!$AA$497),"",ReferenceData!$AA$497),"")</f>
        <v/>
      </c>
      <c r="AB497" t="str">
        <f>IFERROR(IF(0=LEN(ReferenceData!$AB$497),"",ReferenceData!$AB$497),"")</f>
        <v/>
      </c>
      <c r="AC497" t="str">
        <f>IFERROR(IF(0=LEN(ReferenceData!$AC$497),"",ReferenceData!$AC$497),"")</f>
        <v/>
      </c>
      <c r="AD497" t="str">
        <f>IFERROR(IF(0=LEN(ReferenceData!$AD$497),"",ReferenceData!$AD$497),"")</f>
        <v/>
      </c>
      <c r="AE497" t="str">
        <f>IFERROR(IF(0=LEN(ReferenceData!$AE$497),"",ReferenceData!$AE$497),"")</f>
        <v/>
      </c>
      <c r="AF497" t="str">
        <f>IFERROR(IF(0=LEN(ReferenceData!$AF$497),"",ReferenceData!$AF$497),"")</f>
        <v/>
      </c>
      <c r="AG497" t="str">
        <f>IFERROR(IF(0=LEN(ReferenceData!$AG$497),"",ReferenceData!$AG$497),"")</f>
        <v/>
      </c>
      <c r="AH497" t="str">
        <f>IFERROR(IF(0=LEN(ReferenceData!$AH$497),"",ReferenceData!$AH$497),"")</f>
        <v/>
      </c>
      <c r="AI497" t="str">
        <f>IFERROR(IF(0=LEN(ReferenceData!$AI$497),"",ReferenceData!$AI$497),"")</f>
        <v/>
      </c>
      <c r="AJ497" t="str">
        <f>IFERROR(IF(0=LEN(ReferenceData!$AJ$497),"",ReferenceData!$AJ$497),"")</f>
        <v/>
      </c>
      <c r="AK497" t="str">
        <f>IFERROR(IF(0=LEN(ReferenceData!$AK$497),"",ReferenceData!$AK$497),"")</f>
        <v/>
      </c>
      <c r="AL497" t="str">
        <f>IFERROR(IF(0=LEN(ReferenceData!$AL$497),"",ReferenceData!$AL$497),"")</f>
        <v/>
      </c>
      <c r="AM497" t="str">
        <f>IFERROR(IF(0=LEN(ReferenceData!$AM$497),"",ReferenceData!$AM$497),"")</f>
        <v/>
      </c>
      <c r="AN497" t="str">
        <f>IFERROR(IF(0=LEN(ReferenceData!$AN$497),"",ReferenceData!$AN$497),"")</f>
        <v/>
      </c>
      <c r="AO497" t="str">
        <f>IFERROR(IF(0=LEN(ReferenceData!$AO$497),"",ReferenceData!$AO$497),"")</f>
        <v/>
      </c>
      <c r="AP497" t="str">
        <f>IFERROR(IF(0=LEN(ReferenceData!$AP$497),"",ReferenceData!$AP$497),"")</f>
        <v/>
      </c>
      <c r="AQ497" t="str">
        <f>IFERROR(IF(0=LEN(ReferenceData!$AQ$497),"",ReferenceData!$AQ$497),"")</f>
        <v/>
      </c>
      <c r="AR497" t="str">
        <f>IFERROR(IF(0=LEN(ReferenceData!$AR$497),"",ReferenceData!$AR$497),"")</f>
        <v/>
      </c>
      <c r="AS497" t="str">
        <f>IFERROR(IF(0=LEN(ReferenceData!$AS$497),"",ReferenceData!$AS$497),"")</f>
        <v/>
      </c>
      <c r="AT497" t="str">
        <f>IFERROR(IF(0=LEN(ReferenceData!$AT$497),"",ReferenceData!$AT$497),"")</f>
        <v/>
      </c>
      <c r="AU497" t="str">
        <f>IFERROR(IF(0=LEN(ReferenceData!$AU$497),"",ReferenceData!$AU$497),"")</f>
        <v/>
      </c>
      <c r="AV497" t="str">
        <f>IFERROR(IF(0=LEN(ReferenceData!$AV$497),"",ReferenceData!$AV$497),"")</f>
        <v/>
      </c>
      <c r="AW497" t="str">
        <f>IFERROR(IF(0=LEN(ReferenceData!$AW$497),"",ReferenceData!$AW$497),"")</f>
        <v/>
      </c>
      <c r="AX497" t="str">
        <f>IFERROR(IF(0=LEN(ReferenceData!$AX$497),"",ReferenceData!$AX$497),"")</f>
        <v/>
      </c>
      <c r="AY497" t="str">
        <f>IFERROR(IF(0=LEN(ReferenceData!$AY$497),"",ReferenceData!$AY$497),"")</f>
        <v/>
      </c>
      <c r="AZ497" t="str">
        <f>IFERROR(IF(0=LEN(ReferenceData!$AZ$497),"",ReferenceData!$AZ$497),"")</f>
        <v/>
      </c>
      <c r="BA497" t="str">
        <f>IFERROR(IF(0=LEN(ReferenceData!$BA$497),"",ReferenceData!$BA$497),"")</f>
        <v/>
      </c>
      <c r="BB497" t="str">
        <f>IFERROR(IF(0=LEN(ReferenceData!$BB$497),"",ReferenceData!$BB$497),"")</f>
        <v/>
      </c>
      <c r="BC497" t="str">
        <f>IFERROR(IF(0=LEN(ReferenceData!$BC$497),"",ReferenceData!$BC$497),"")</f>
        <v/>
      </c>
      <c r="BD497" t="str">
        <f>IFERROR(IF(0=LEN(ReferenceData!$BD$497),"",ReferenceData!$BD$497),"")</f>
        <v/>
      </c>
      <c r="BE497" t="str">
        <f>IFERROR(IF(0=LEN(ReferenceData!$BE$497),"",ReferenceData!$BE$497),"")</f>
        <v/>
      </c>
      <c r="BF497" t="str">
        <f>IFERROR(IF(0=LEN(ReferenceData!$BF$497),"",ReferenceData!$BF$497),"")</f>
        <v/>
      </c>
      <c r="BG497" t="str">
        <f>IFERROR(IF(0=LEN(ReferenceData!$BG$497),"",ReferenceData!$BG$497),"")</f>
        <v/>
      </c>
      <c r="BH497" t="str">
        <f>IFERROR(IF(0=LEN(ReferenceData!$BH$497),"",ReferenceData!$BH$497),"")</f>
        <v/>
      </c>
      <c r="BI497" t="str">
        <f>IFERROR(IF(0=LEN(ReferenceData!$BI$497),"",ReferenceData!$BI$497),"")</f>
        <v/>
      </c>
      <c r="BJ497" t="str">
        <f>IFERROR(IF(0=LEN(ReferenceData!$BJ$497),"",ReferenceData!$BJ$497),"")</f>
        <v/>
      </c>
      <c r="BK497" t="str">
        <f>IFERROR(IF(0=LEN(ReferenceData!$BK$497),"",ReferenceData!$BK$497),"")</f>
        <v/>
      </c>
      <c r="BL497" t="str">
        <f>IFERROR(IF(0=LEN(ReferenceData!$BL$497),"",ReferenceData!$BL$497),"")</f>
        <v/>
      </c>
      <c r="BM497" t="str">
        <f>IFERROR(IF(0=LEN(ReferenceData!$BM$497),"",ReferenceData!$BM$497),"")</f>
        <v/>
      </c>
    </row>
    <row r="498" spans="1:65" x14ac:dyDescent="0.25">
      <c r="A498" t="str">
        <f>IFERROR(IF(0=LEN(ReferenceData!$A$498),"",ReferenceData!$A$498),"")</f>
        <v>Dividend Yield</v>
      </c>
      <c r="B498" t="str">
        <f>IFERROR(IF(0=LEN(ReferenceData!$B$498),"",ReferenceData!$B$498),"")</f>
        <v/>
      </c>
      <c r="C498" t="str">
        <f>IFERROR(IF(0=LEN(ReferenceData!$C$498),"",ReferenceData!$C$498),"")</f>
        <v/>
      </c>
      <c r="D498" t="str">
        <f>IFERROR(IF(0=LEN(ReferenceData!$D$498),"",ReferenceData!$D$498),"")</f>
        <v/>
      </c>
      <c r="E498" t="str">
        <f>IFERROR(IF(0=LEN(ReferenceData!$E$498),"",ReferenceData!$E$498),"")</f>
        <v>Average</v>
      </c>
      <c r="F498">
        <f ca="1">IFERROR(IF(0=LEN(ReferenceData!$F$498),"",ReferenceData!$F$498),"")</f>
        <v>3.9003337546666668</v>
      </c>
      <c r="G498">
        <f ca="1">IFERROR(IF(0=LEN(ReferenceData!$G$498),"",ReferenceData!$G$498),"")</f>
        <v>4.3439423154137931</v>
      </c>
      <c r="H498">
        <f ca="1">IFERROR(IF(0=LEN(ReferenceData!$H$498),"",ReferenceData!$H$498),"")</f>
        <v>3.507442990827585</v>
      </c>
      <c r="I498">
        <f ca="1">IFERROR(IF(0=LEN(ReferenceData!$I$498),"",ReferenceData!$I$498),"")</f>
        <v>3.4265539410344825</v>
      </c>
      <c r="J498">
        <f ca="1">IFERROR(IF(0=LEN(ReferenceData!$J$498),"",ReferenceData!$J$498),"")</f>
        <v>3.2019628795172412</v>
      </c>
      <c r="K498">
        <f ca="1">IFERROR(IF(0=LEN(ReferenceData!$K$498),"",ReferenceData!$K$498),"")</f>
        <v>2.9831491535555559</v>
      </c>
      <c r="L498">
        <f ca="1">IFERROR(IF(0=LEN(ReferenceData!$L$498),"",ReferenceData!$L$498),"")</f>
        <v>2.8516631007857147</v>
      </c>
      <c r="M498">
        <f ca="1">IFERROR(IF(0=LEN(ReferenceData!$M$498),"",ReferenceData!$M$498),"")</f>
        <v>2.9422538626206891</v>
      </c>
      <c r="N498">
        <f ca="1">IFERROR(IF(0=LEN(ReferenceData!$N$498),"",ReferenceData!$N$498),"")</f>
        <v>2.7958201128000004</v>
      </c>
      <c r="O498">
        <f ca="1">IFERROR(IF(0=LEN(ReferenceData!$O$498),"",ReferenceData!$O$498),"")</f>
        <v>2.6564975442499992</v>
      </c>
      <c r="P498">
        <f ca="1">IFERROR(IF(0=LEN(ReferenceData!$P$498),"",ReferenceData!$P$498),"")</f>
        <v>2.8482089570689655</v>
      </c>
      <c r="Q498">
        <f ca="1">IFERROR(IF(0=LEN(ReferenceData!$Q$498),"",ReferenceData!$Q$498),"")</f>
        <v>3.2474836167931032</v>
      </c>
      <c r="R498">
        <f ca="1">IFERROR(IF(0=LEN(ReferenceData!$R$498),"",ReferenceData!$R$498),"")</f>
        <v>2.9711294367500001</v>
      </c>
      <c r="S498">
        <f ca="1">IFERROR(IF(0=LEN(ReferenceData!$S$498),"",ReferenceData!$S$498),"")</f>
        <v>2.3732479637407407</v>
      </c>
      <c r="T498">
        <f ca="1">IFERROR(IF(0=LEN(ReferenceData!$T$498),"",ReferenceData!$T$498),"")</f>
        <v>2.7057015504074067</v>
      </c>
      <c r="U498">
        <f ca="1">IFERROR(IF(0=LEN(ReferenceData!$U$498),"",ReferenceData!$U$498),"")</f>
        <v>2.5005296622999995</v>
      </c>
      <c r="V498">
        <f ca="1">IFERROR(IF(0=LEN(ReferenceData!$V$498),"",ReferenceData!$V$498),"")</f>
        <v>2.2768076469999996</v>
      </c>
      <c r="W498">
        <f ca="1">IFERROR(IF(0=LEN(ReferenceData!$W$498),"",ReferenceData!$W$498),"")</f>
        <v>2.4563638920333344</v>
      </c>
      <c r="X498">
        <f ca="1">IFERROR(IF(0=LEN(ReferenceData!$X$498),"",ReferenceData!$X$498),"")</f>
        <v>2.3945662441</v>
      </c>
      <c r="Y498">
        <f ca="1">IFERROR(IF(0=LEN(ReferenceData!$Y$498),"",ReferenceData!$Y$498),"")</f>
        <v>2.2997357102333336</v>
      </c>
      <c r="Z498">
        <f ca="1">IFERROR(IF(0=LEN(ReferenceData!$Z$498),"",ReferenceData!$Z$498),"")</f>
        <v>2.2042784217500002</v>
      </c>
      <c r="AA498">
        <f ca="1">IFERROR(IF(0=LEN(ReferenceData!$AA$498),"",ReferenceData!$AA$498),"")</f>
        <v>1.8674374557857145</v>
      </c>
      <c r="AB498">
        <f ca="1">IFERROR(IF(0=LEN(ReferenceData!$AB$498),"",ReferenceData!$AB$498),"")</f>
        <v>1.976441698321429</v>
      </c>
      <c r="AC498">
        <f ca="1">IFERROR(IF(0=LEN(ReferenceData!$AC$498),"",ReferenceData!$AC$498),"")</f>
        <v>2.1834967286666669</v>
      </c>
      <c r="AD498">
        <f ca="1">IFERROR(IF(0=LEN(ReferenceData!$AD$498),"",ReferenceData!$AD$498),"")</f>
        <v>2.0456688929600007</v>
      </c>
      <c r="AE498">
        <f ca="1">IFERROR(IF(0=LEN(ReferenceData!$AE$498),"",ReferenceData!$AE$498),"")</f>
        <v>1.9908558825416665</v>
      </c>
      <c r="AF498">
        <f ca="1">IFERROR(IF(0=LEN(ReferenceData!$AF$498),"",ReferenceData!$AF$498),"")</f>
        <v>2.4545693764583332</v>
      </c>
      <c r="AG498">
        <f ca="1">IFERROR(IF(0=LEN(ReferenceData!$AG$498),"",ReferenceData!$AG$498),"")</f>
        <v>2.2800112981538461</v>
      </c>
      <c r="AH498">
        <f ca="1">IFERROR(IF(0=LEN(ReferenceData!$AH$498),"",ReferenceData!$AH$498),"")</f>
        <v>2.0649874316296297</v>
      </c>
      <c r="AI498">
        <f ca="1">IFERROR(IF(0=LEN(ReferenceData!$AI$498),"",ReferenceData!$AI$498),"")</f>
        <v>2.1684896285185187</v>
      </c>
      <c r="AJ498">
        <f ca="1">IFERROR(IF(0=LEN(ReferenceData!$AJ$498),"",ReferenceData!$AJ$498),"")</f>
        <v>2.1193218707307691</v>
      </c>
      <c r="AK498">
        <f ca="1">IFERROR(IF(0=LEN(ReferenceData!$AK$498),"",ReferenceData!$AK$498),"")</f>
        <v>1.5990055020000002</v>
      </c>
      <c r="AL498">
        <f ca="1">IFERROR(IF(0=LEN(ReferenceData!$AL$498),"",ReferenceData!$AL$498),"")</f>
        <v>1.4971438858400001</v>
      </c>
      <c r="AM498">
        <f ca="1">IFERROR(IF(0=LEN(ReferenceData!$AM$498),"",ReferenceData!$AM$498),"")</f>
        <v>1.1146658018260869</v>
      </c>
      <c r="AN498">
        <f ca="1">IFERROR(IF(0=LEN(ReferenceData!$AN$498),"",ReferenceData!$AN$498),"")</f>
        <v>1.2117195498695652</v>
      </c>
      <c r="AO498">
        <f ca="1">IFERROR(IF(0=LEN(ReferenceData!$AO$498),"",ReferenceData!$AO$498),"")</f>
        <v>1.5162125350434785</v>
      </c>
      <c r="AP498">
        <f ca="1">IFERROR(IF(0=LEN(ReferenceData!$AP$498),"",ReferenceData!$AP$498),"")</f>
        <v>1.082320553</v>
      </c>
      <c r="AQ498">
        <f ca="1">IFERROR(IF(0=LEN(ReferenceData!$AQ$498),"",ReferenceData!$AQ$498),"")</f>
        <v>0.95550770159999987</v>
      </c>
      <c r="AR498">
        <f ca="1">IFERROR(IF(0=LEN(ReferenceData!$AR$498),"",ReferenceData!$AR$498),"")</f>
        <v>1.0521896467</v>
      </c>
      <c r="AS498">
        <f ca="1">IFERROR(IF(0=LEN(ReferenceData!$AS$498),"",ReferenceData!$AS$498),"")</f>
        <v>1.9462177104999996</v>
      </c>
      <c r="AT498">
        <f ca="1">IFERROR(IF(0=LEN(ReferenceData!$AT$498),"",ReferenceData!$AT$498),"")</f>
        <v>4.2256804349599992</v>
      </c>
      <c r="AU498">
        <f ca="1">IFERROR(IF(0=LEN(ReferenceData!$AU$498),"",ReferenceData!$AU$498),"")</f>
        <v>5.355574601679999</v>
      </c>
      <c r="AV498">
        <f ca="1">IFERROR(IF(0=LEN(ReferenceData!$AV$498),"",ReferenceData!$AV$498),"")</f>
        <v>3.3581769279200002</v>
      </c>
      <c r="AW498">
        <f ca="1">IFERROR(IF(0=LEN(ReferenceData!$AW$498),"",ReferenceData!$AW$498),"")</f>
        <v>2.6152436763076921</v>
      </c>
      <c r="AX498">
        <f ca="1">IFERROR(IF(0=LEN(ReferenceData!$AX$498),"",ReferenceData!$AX$498),"")</f>
        <v>2.0793577733928568</v>
      </c>
      <c r="AY498">
        <f ca="1">IFERROR(IF(0=LEN(ReferenceData!$AY$498),"",ReferenceData!$AY$498),"")</f>
        <v>1.6167430923571424</v>
      </c>
      <c r="AZ498">
        <f ca="1">IFERROR(IF(0=LEN(ReferenceData!$AZ$498),"",ReferenceData!$AZ$498),"")</f>
        <v>1.4571698160357143</v>
      </c>
      <c r="BA498">
        <f ca="1">IFERROR(IF(0=LEN(ReferenceData!$BA$498),"",ReferenceData!$BA$498),"")</f>
        <v>1.4275140270000004</v>
      </c>
      <c r="BB498">
        <f ca="1">IFERROR(IF(0=LEN(ReferenceData!$BB$498),"",ReferenceData!$BB$498),"")</f>
        <v>1.6345704662962968</v>
      </c>
      <c r="BC498">
        <f ca="1">IFERROR(IF(0=LEN(ReferenceData!$BC$498),"",ReferenceData!$BC$498),"")</f>
        <v>1.8625532959230766</v>
      </c>
      <c r="BD498">
        <f ca="1">IFERROR(IF(0=LEN(ReferenceData!$BD$498),"",ReferenceData!$BD$498),"")</f>
        <v>2.1880103289629624</v>
      </c>
      <c r="BE498">
        <f ca="1">IFERROR(IF(0=LEN(ReferenceData!$BE$498),"",ReferenceData!$BE$498),"")</f>
        <v>2.3287365713793102</v>
      </c>
      <c r="BF498">
        <f ca="1">IFERROR(IF(0=LEN(ReferenceData!$BF$498),"",ReferenceData!$BF$498),"")</f>
        <v>2.5976511429999998</v>
      </c>
      <c r="BG498">
        <f ca="1">IFERROR(IF(0=LEN(ReferenceData!$BG$498),"",ReferenceData!$BG$498),"")</f>
        <v>3.1147930282142857</v>
      </c>
      <c r="BH498">
        <f ca="1">IFERROR(IF(0=LEN(ReferenceData!$BH$498),"",ReferenceData!$BH$498),"")</f>
        <v>2.8127374354642849</v>
      </c>
      <c r="BI498">
        <f ca="1">IFERROR(IF(0=LEN(ReferenceData!$BI$498),"",ReferenceData!$BI$498),"")</f>
        <v>2.8994458271379311</v>
      </c>
      <c r="BJ498">
        <f ca="1">IFERROR(IF(0=LEN(ReferenceData!$BJ$498),"",ReferenceData!$BJ$498),"")</f>
        <v>2.3961033592962959</v>
      </c>
      <c r="BK498">
        <f ca="1">IFERROR(IF(0=LEN(ReferenceData!$BK$498),"",ReferenceData!$BK$498),"")</f>
        <v>2.2700018021923074</v>
      </c>
      <c r="BL498">
        <f ca="1">IFERROR(IF(0=LEN(ReferenceData!$BL$498),"",ReferenceData!$BL$498),"")</f>
        <v>2.1402859095000002</v>
      </c>
      <c r="BM498">
        <f ca="1">IFERROR(IF(0=LEN(ReferenceData!$BM$498),"",ReferenceData!$BM$498),"")</f>
        <v>2.1079014783076926</v>
      </c>
    </row>
    <row r="499" spans="1:65" x14ac:dyDescent="0.25">
      <c r="A499" t="str">
        <f>IFERROR(IF(0=LEN(ReferenceData!$A$499),"",ReferenceData!$A$499),"")</f>
        <v xml:space="preserve">    AUDI AG</v>
      </c>
      <c r="B499" t="str">
        <f>IFERROR(IF(0=LEN(ReferenceData!$B$499),"",ReferenceData!$B$499),"")</f>
        <v>NSU GR Equity</v>
      </c>
      <c r="C499" t="str">
        <f>IFERROR(IF(0=LEN(ReferenceData!$C$499),"",ReferenceData!$C$499),"")</f>
        <v>DV013</v>
      </c>
      <c r="D499" t="str">
        <f>IFERROR(IF(0=LEN(ReferenceData!$D$499),"",ReferenceData!$D$499),"")</f>
        <v>EQY_DVD_YLD_IND</v>
      </c>
      <c r="E499" t="str">
        <f>IFERROR(IF(0=LEN(ReferenceData!$E$499),"",ReferenceData!$E$499),"")</f>
        <v>Dynamic</v>
      </c>
      <c r="F499">
        <f ca="1">IFERROR(IF(0=LEN(ReferenceData!$F$499),"",ReferenceData!$F$499),"")</f>
        <v>0.48994976099999998</v>
      </c>
      <c r="G499">
        <f ca="1">IFERROR(IF(0=LEN(ReferenceData!$G$499),"",ReferenceData!$G$499),"")</f>
        <v>0.49872124000000001</v>
      </c>
      <c r="H499">
        <f ca="1">IFERROR(IF(0=LEN(ReferenceData!$H$499),"",ReferenceData!$H$499),"")</f>
        <v>0.48387098000000001</v>
      </c>
      <c r="I499">
        <f ca="1">IFERROR(IF(0=LEN(ReferenceData!$I$499),"",ReferenceData!$I$499),"")</f>
        <v>0.52208836599999997</v>
      </c>
      <c r="J499">
        <f ca="1">IFERROR(IF(0=LEN(ReferenceData!$J$499),"",ReferenceData!$J$499),"")</f>
        <v>0.26041666699999999</v>
      </c>
      <c r="K499">
        <f ca="1">IFERROR(IF(0=LEN(ReferenceData!$K$499),"",ReferenceData!$K$499),"")</f>
        <v>0.27550106800000002</v>
      </c>
      <c r="L499">
        <f ca="1">IFERROR(IF(0=LEN(ReferenceData!$L$499),"",ReferenceData!$L$499),"")</f>
        <v>0.28258565899999999</v>
      </c>
      <c r="M499">
        <f ca="1">IFERROR(IF(0=LEN(ReferenceData!$M$499),"",ReferenceData!$M$499),"")</f>
        <v>0.28248587600000002</v>
      </c>
      <c r="N499">
        <f ca="1">IFERROR(IF(0=LEN(ReferenceData!$N$499),"",ReferenceData!$N$499),"")</f>
        <v>1.7163364E-2</v>
      </c>
      <c r="O499">
        <f ca="1">IFERROR(IF(0=LEN(ReferenceData!$O$499),"",ReferenceData!$O$499),"")</f>
        <v>1.7432646E-2</v>
      </c>
      <c r="P499">
        <f ca="1">IFERROR(IF(0=LEN(ReferenceData!$P$499),"",ReferenceData!$P$499),"")</f>
        <v>1.7597183999999998E-2</v>
      </c>
      <c r="Q499">
        <f ca="1">IFERROR(IF(0=LEN(ReferenceData!$Q$499),"",ReferenceData!$Q$499),"")</f>
        <v>1.7770597999999999E-2</v>
      </c>
      <c r="R499">
        <f ca="1">IFERROR(IF(0=LEN(ReferenceData!$R$499),"",ReferenceData!$R$499),"")</f>
        <v>0.76519025200000002</v>
      </c>
      <c r="S499">
        <f ca="1">IFERROR(IF(0=LEN(ReferenceData!$S$499),"",ReferenceData!$S$499),"")</f>
        <v>0.70796462999999998</v>
      </c>
      <c r="T499">
        <f ca="1">IFERROR(IF(0=LEN(ReferenceData!$T$499),"",ReferenceData!$T$499),"")</f>
        <v>0.71322439699999995</v>
      </c>
      <c r="U499">
        <f ca="1">IFERROR(IF(0=LEN(ReferenceData!$U$499),"",ReferenceData!$U$499),"")</f>
        <v>0.62278540599999999</v>
      </c>
      <c r="V499">
        <f ca="1">IFERROR(IF(0=LEN(ReferenceData!$V$499),"",ReferenceData!$V$499),"")</f>
        <v>0.537839713</v>
      </c>
      <c r="W499">
        <f ca="1">IFERROR(IF(0=LEN(ReferenceData!$W$499),"",ReferenceData!$W$499),"")</f>
        <v>0.615431956</v>
      </c>
      <c r="X499">
        <f ca="1">IFERROR(IF(0=LEN(ReferenceData!$X$499),"",ReferenceData!$X$499),"")</f>
        <v>0.66445182700000005</v>
      </c>
      <c r="Y499">
        <f ca="1">IFERROR(IF(0=LEN(ReferenceData!$Y$499),"",ReferenceData!$Y$499),"")</f>
        <v>0.64205457499999996</v>
      </c>
      <c r="Z499">
        <f ca="1">IFERROR(IF(0=LEN(ReferenceData!$Z$499),"",ReferenceData!$Z$499),"")</f>
        <v>0.54730257999999998</v>
      </c>
      <c r="AA499">
        <f ca="1">IFERROR(IF(0=LEN(ReferenceData!$AA$499),"",ReferenceData!$AA$499),"")</f>
        <v>0.54854635200000001</v>
      </c>
      <c r="AB499">
        <f ca="1">IFERROR(IF(0=LEN(ReferenceData!$AB$499),"",ReferenceData!$AB$499),"")</f>
        <v>0.57542129099999995</v>
      </c>
      <c r="AC499">
        <f ca="1">IFERROR(IF(0=LEN(ReferenceData!$AC$499),"",ReferenceData!$AC$499),"")</f>
        <v>0.55808020400000002</v>
      </c>
      <c r="AD499">
        <f ca="1">IFERROR(IF(0=LEN(ReferenceData!$AD$499),"",ReferenceData!$AD$499),"")</f>
        <v>0.51775824500000001</v>
      </c>
      <c r="AE499">
        <f ca="1">IFERROR(IF(0=LEN(ReferenceData!$AE$499),"",ReferenceData!$AE$499),"")</f>
        <v>0.57131974900000004</v>
      </c>
      <c r="AF499">
        <f ca="1">IFERROR(IF(0=LEN(ReferenceData!$AF$499),"",ReferenceData!$AF$499),"")</f>
        <v>0.57197330800000001</v>
      </c>
      <c r="AG499">
        <f ca="1">IFERROR(IF(0=LEN(ReferenceData!$AG$499),"",ReferenceData!$AG$499),"")</f>
        <v>0.55839925599999995</v>
      </c>
      <c r="AH499">
        <f ca="1">IFERROR(IF(0=LEN(ReferenceData!$AH$499),"",ReferenceData!$AH$499),"")</f>
        <v>0.37076361299999999</v>
      </c>
      <c r="AI499">
        <f ca="1">IFERROR(IF(0=LEN(ReferenceData!$AI$499),"",ReferenceData!$AI$499),"")</f>
        <v>0.40532076500000003</v>
      </c>
      <c r="AJ499">
        <f ca="1">IFERROR(IF(0=LEN(ReferenceData!$AJ$499),"",ReferenceData!$AJ$499),"")</f>
        <v>0.41133797900000002</v>
      </c>
      <c r="AK499">
        <f ca="1">IFERROR(IF(0=LEN(ReferenceData!$AK$499),"",ReferenceData!$AK$499),"")</f>
        <v>0.37600411</v>
      </c>
      <c r="AL499">
        <f ca="1">IFERROR(IF(0=LEN(ReferenceData!$AL$499),"",ReferenceData!$AL$499),"")</f>
        <v>0.25806452000000002</v>
      </c>
      <c r="AM499">
        <f ca="1">IFERROR(IF(0=LEN(ReferenceData!$AM$499),"",ReferenceData!$AM$499),"")</f>
        <v>0.25196850799999998</v>
      </c>
      <c r="AN499">
        <f ca="1">IFERROR(IF(0=LEN(ReferenceData!$AN$499),"",ReferenceData!$AN$499),"")</f>
        <v>0.26359143699999998</v>
      </c>
      <c r="AO499">
        <f ca="1">IFERROR(IF(0=LEN(ReferenceData!$AO$499),"",ReferenceData!$AO$499),"")</f>
        <v>0.28554602200000001</v>
      </c>
      <c r="AP499">
        <f ca="1">IFERROR(IF(0=LEN(ReferenceData!$AP$499),"",ReferenceData!$AP$499),"")</f>
        <v>0.33207156700000001</v>
      </c>
      <c r="AQ499">
        <f ca="1">IFERROR(IF(0=LEN(ReferenceData!$AQ$499),"",ReferenceData!$AQ$499),"")</f>
        <v>0.38599999000000002</v>
      </c>
      <c r="AR499">
        <f ca="1">IFERROR(IF(0=LEN(ReferenceData!$AR$499),"",ReferenceData!$AR$499),"")</f>
        <v>0.47654319699999997</v>
      </c>
      <c r="AS499">
        <f ca="1">IFERROR(IF(0=LEN(ReferenceData!$AS$499),"",ReferenceData!$AS$499),"")</f>
        <v>0.50306267400000004</v>
      </c>
      <c r="AT499">
        <f ca="1">IFERROR(IF(0=LEN(ReferenceData!$AT$499),"",ReferenceData!$AT$499),"")</f>
        <v>0.57753391499999995</v>
      </c>
      <c r="AU499">
        <f ca="1">IFERROR(IF(0=LEN(ReferenceData!$AU$499),"",ReferenceData!$AU$499),"")</f>
        <v>0.38668097800000001</v>
      </c>
      <c r="AV499">
        <f ca="1">IFERROR(IF(0=LEN(ReferenceData!$AV$499),"",ReferenceData!$AV$499),"")</f>
        <v>0.37499217800000001</v>
      </c>
      <c r="AW499">
        <f ca="1">IFERROR(IF(0=LEN(ReferenceData!$AW$499),"",ReferenceData!$AW$499),"")</f>
        <v>0.34842530199999999</v>
      </c>
      <c r="AX499">
        <f ca="1">IFERROR(IF(0=LEN(ReferenceData!$AX$499),"",ReferenceData!$AX$499),"")</f>
        <v>0.33470935200000002</v>
      </c>
      <c r="AY499">
        <f ca="1">IFERROR(IF(0=LEN(ReferenceData!$AY$499),"",ReferenceData!$AY$499),"")</f>
        <v>0.20161290300000001</v>
      </c>
      <c r="AZ499">
        <f ca="1">IFERROR(IF(0=LEN(ReferenceData!$AZ$499),"",ReferenceData!$AZ$499),"")</f>
        <v>0.229986569</v>
      </c>
      <c r="BA499">
        <f ca="1">IFERROR(IF(0=LEN(ReferenceData!$BA$499),"",ReferenceData!$BA$499),"")</f>
        <v>0.22500224999999999</v>
      </c>
      <c r="BB499">
        <f ca="1">IFERROR(IF(0=LEN(ReferenceData!$BB$499),"",ReferenceData!$BB$499),"")</f>
        <v>0.22115673799999999</v>
      </c>
      <c r="BC499">
        <f ca="1">IFERROR(IF(0=LEN(ReferenceData!$BC$499),"",ReferenceData!$BC$499),"")</f>
        <v>0.21100917</v>
      </c>
      <c r="BD499">
        <f ca="1">IFERROR(IF(0=LEN(ReferenceData!$BD$499),"",ReferenceData!$BD$499),"")</f>
        <v>0.26467203099999997</v>
      </c>
      <c r="BE499">
        <f ca="1">IFERROR(IF(0=LEN(ReferenceData!$BE$499),"",ReferenceData!$BE$499),"")</f>
        <v>0.37581698600000002</v>
      </c>
      <c r="BF499">
        <f ca="1">IFERROR(IF(0=LEN(ReferenceData!$BF$499),"",ReferenceData!$BF$499),"")</f>
        <v>0.34848484099999999</v>
      </c>
      <c r="BG499">
        <f ca="1">IFERROR(IF(0=LEN(ReferenceData!$BG$499),"",ReferenceData!$BG$499),"")</f>
        <v>0.34090907500000001</v>
      </c>
      <c r="BH499">
        <f ca="1">IFERROR(IF(0=LEN(ReferenceData!$BH$499),"",ReferenceData!$BH$499),"")</f>
        <v>0.44341214200000001</v>
      </c>
      <c r="BI499">
        <f ca="1">IFERROR(IF(0=LEN(ReferenceData!$BI$499),"",ReferenceData!$BI$499),"")</f>
        <v>0.437956185</v>
      </c>
      <c r="BJ499">
        <f ca="1">IFERROR(IF(0=LEN(ReferenceData!$BJ$499),"",ReferenceData!$BJ$499),"")</f>
        <v>0.45652171800000002</v>
      </c>
      <c r="BK499">
        <f ca="1">IFERROR(IF(0=LEN(ReferenceData!$BK$499),"",ReferenceData!$BK$499),"")</f>
        <v>0.47085199700000002</v>
      </c>
      <c r="BL499">
        <f ca="1">IFERROR(IF(0=LEN(ReferenceData!$BL$499),"",ReferenceData!$BL$499),"")</f>
        <v>0.48889507500000001</v>
      </c>
      <c r="BM499">
        <f ca="1">IFERROR(IF(0=LEN(ReferenceData!$BM$499),"",ReferenceData!$BM$499),"")</f>
        <v>0.47391223700000001</v>
      </c>
    </row>
    <row r="500" spans="1:65" x14ac:dyDescent="0.25">
      <c r="A500" t="str">
        <f>IFERROR(IF(0=LEN(ReferenceData!$A$500),"",ReferenceData!$A$500),"")</f>
        <v xml:space="preserve">    Avtovaz PJSC</v>
      </c>
      <c r="B500" t="str">
        <f>IFERROR(IF(0=LEN(ReferenceData!$B$500),"",ReferenceData!$B$500),"")</f>
        <v>AVAZ RM Equity</v>
      </c>
      <c r="C500" t="str">
        <f>IFERROR(IF(0=LEN(ReferenceData!$C$500),"",ReferenceData!$C$500),"")</f>
        <v>DV013</v>
      </c>
      <c r="D500" t="str">
        <f>IFERROR(IF(0=LEN(ReferenceData!$D$500),"",ReferenceData!$D$500),"")</f>
        <v>EQY_DVD_YLD_IND</v>
      </c>
      <c r="E500" t="str">
        <f>IFERROR(IF(0=LEN(ReferenceData!$E$500),"",ReferenceData!$E$500),"")</f>
        <v>Dynamic</v>
      </c>
      <c r="F500" t="str">
        <f ca="1">IFERROR(IF(0=LEN(ReferenceData!$F$500),"",ReferenceData!$F$500),"")</f>
        <v/>
      </c>
      <c r="G500" t="str">
        <f ca="1">IFERROR(IF(0=LEN(ReferenceData!$G$500),"",ReferenceData!$G$500),"")</f>
        <v/>
      </c>
      <c r="H500" t="str">
        <f ca="1">IFERROR(IF(0=LEN(ReferenceData!$H$500),"",ReferenceData!$H$500),"")</f>
        <v/>
      </c>
      <c r="I500" t="str">
        <f ca="1">IFERROR(IF(0=LEN(ReferenceData!$I$500),"",ReferenceData!$I$500),"")</f>
        <v/>
      </c>
      <c r="J500" t="str">
        <f ca="1">IFERROR(IF(0=LEN(ReferenceData!$J$500),"",ReferenceData!$J$500),"")</f>
        <v/>
      </c>
      <c r="K500" t="str">
        <f ca="1">IFERROR(IF(0=LEN(ReferenceData!$K$500),"",ReferenceData!$K$500),"")</f>
        <v/>
      </c>
      <c r="L500" t="str">
        <f ca="1">IFERROR(IF(0=LEN(ReferenceData!$L$500),"",ReferenceData!$L$500),"")</f>
        <v/>
      </c>
      <c r="M500" t="str">
        <f ca="1">IFERROR(IF(0=LEN(ReferenceData!$M$500),"",ReferenceData!$M$500),"")</f>
        <v/>
      </c>
      <c r="N500" t="str">
        <f ca="1">IFERROR(IF(0=LEN(ReferenceData!$N$500),"",ReferenceData!$N$500),"")</f>
        <v/>
      </c>
      <c r="O500" t="str">
        <f ca="1">IFERROR(IF(0=LEN(ReferenceData!$O$500),"",ReferenceData!$O$500),"")</f>
        <v/>
      </c>
      <c r="P500" t="str">
        <f ca="1">IFERROR(IF(0=LEN(ReferenceData!$P$500),"",ReferenceData!$P$500),"")</f>
        <v/>
      </c>
      <c r="Q500" t="str">
        <f ca="1">IFERROR(IF(0=LEN(ReferenceData!$Q$500),"",ReferenceData!$Q$500),"")</f>
        <v/>
      </c>
      <c r="R500" t="str">
        <f ca="1">IFERROR(IF(0=LEN(ReferenceData!$R$500),"",ReferenceData!$R$500),"")</f>
        <v/>
      </c>
      <c r="S500" t="str">
        <f ca="1">IFERROR(IF(0=LEN(ReferenceData!$S$500),"",ReferenceData!$S$500),"")</f>
        <v/>
      </c>
      <c r="T500" t="str">
        <f ca="1">IFERROR(IF(0=LEN(ReferenceData!$T$500),"",ReferenceData!$T$500),"")</f>
        <v/>
      </c>
      <c r="U500" t="str">
        <f ca="1">IFERROR(IF(0=LEN(ReferenceData!$U$500),"",ReferenceData!$U$500),"")</f>
        <v/>
      </c>
      <c r="V500" t="str">
        <f ca="1">IFERROR(IF(0=LEN(ReferenceData!$V$500),"",ReferenceData!$V$500),"")</f>
        <v/>
      </c>
      <c r="W500" t="str">
        <f ca="1">IFERROR(IF(0=LEN(ReferenceData!$W$500),"",ReferenceData!$W$500),"")</f>
        <v/>
      </c>
      <c r="X500" t="str">
        <f ca="1">IFERROR(IF(0=LEN(ReferenceData!$X$500),"",ReferenceData!$X$500),"")</f>
        <v/>
      </c>
      <c r="Y500" t="str">
        <f ca="1">IFERROR(IF(0=LEN(ReferenceData!$Y$500),"",ReferenceData!$Y$500),"")</f>
        <v/>
      </c>
      <c r="Z500" t="str">
        <f ca="1">IFERROR(IF(0=LEN(ReferenceData!$Z$500),"",ReferenceData!$Z$500),"")</f>
        <v/>
      </c>
      <c r="AA500" t="str">
        <f ca="1">IFERROR(IF(0=LEN(ReferenceData!$AA$500),"",ReferenceData!$AA$500),"")</f>
        <v/>
      </c>
      <c r="AB500" t="str">
        <f ca="1">IFERROR(IF(0=LEN(ReferenceData!$AB$500),"",ReferenceData!$AB$500),"")</f>
        <v/>
      </c>
      <c r="AC500" t="str">
        <f ca="1">IFERROR(IF(0=LEN(ReferenceData!$AC$500),"",ReferenceData!$AC$500),"")</f>
        <v/>
      </c>
      <c r="AD500" t="str">
        <f ca="1">IFERROR(IF(0=LEN(ReferenceData!$AD$500),"",ReferenceData!$AD$500),"")</f>
        <v/>
      </c>
      <c r="AE500" t="str">
        <f ca="1">IFERROR(IF(0=LEN(ReferenceData!$AE$500),"",ReferenceData!$AE$500),"")</f>
        <v/>
      </c>
      <c r="AF500" t="str">
        <f ca="1">IFERROR(IF(0=LEN(ReferenceData!$AF$500),"",ReferenceData!$AF$500),"")</f>
        <v/>
      </c>
      <c r="AG500" t="str">
        <f ca="1">IFERROR(IF(0=LEN(ReferenceData!$AG$500),"",ReferenceData!$AG$500),"")</f>
        <v/>
      </c>
      <c r="AH500" t="str">
        <f ca="1">IFERROR(IF(0=LEN(ReferenceData!$AH$500),"",ReferenceData!$AH$500),"")</f>
        <v/>
      </c>
      <c r="AI500" t="str">
        <f ca="1">IFERROR(IF(0=LEN(ReferenceData!$AI$500),"",ReferenceData!$AI$500),"")</f>
        <v/>
      </c>
      <c r="AJ500" t="str">
        <f ca="1">IFERROR(IF(0=LEN(ReferenceData!$AJ$500),"",ReferenceData!$AJ$500),"")</f>
        <v/>
      </c>
      <c r="AK500" t="str">
        <f ca="1">IFERROR(IF(0=LEN(ReferenceData!$AK$500),"",ReferenceData!$AK$500),"")</f>
        <v/>
      </c>
      <c r="AL500" t="str">
        <f ca="1">IFERROR(IF(0=LEN(ReferenceData!$AL$500),"",ReferenceData!$AL$500),"")</f>
        <v/>
      </c>
      <c r="AM500" t="str">
        <f ca="1">IFERROR(IF(0=LEN(ReferenceData!$AM$500),"",ReferenceData!$AM$500),"")</f>
        <v/>
      </c>
      <c r="AN500" t="str">
        <f ca="1">IFERROR(IF(0=LEN(ReferenceData!$AN$500),"",ReferenceData!$AN$500),"")</f>
        <v/>
      </c>
      <c r="AO500" t="str">
        <f ca="1">IFERROR(IF(0=LEN(ReferenceData!$AO$500),"",ReferenceData!$AO$500),"")</f>
        <v/>
      </c>
      <c r="AP500" t="str">
        <f ca="1">IFERROR(IF(0=LEN(ReferenceData!$AP$500),"",ReferenceData!$AP$500),"")</f>
        <v/>
      </c>
      <c r="AQ500" t="str">
        <f ca="1">IFERROR(IF(0=LEN(ReferenceData!$AQ$500),"",ReferenceData!$AQ$500),"")</f>
        <v/>
      </c>
      <c r="AR500" t="str">
        <f ca="1">IFERROR(IF(0=LEN(ReferenceData!$AR$500),"",ReferenceData!$AR$500),"")</f>
        <v/>
      </c>
      <c r="AS500">
        <f ca="1">IFERROR(IF(0=LEN(ReferenceData!$AS$500),"",ReferenceData!$AS$500),"")</f>
        <v>2.2720151139999998</v>
      </c>
      <c r="AT500">
        <f ca="1">IFERROR(IF(0=LEN(ReferenceData!$AT$500),"",ReferenceData!$AT$500),"")</f>
        <v>2.2762952049999998</v>
      </c>
      <c r="AU500">
        <f ca="1">IFERROR(IF(0=LEN(ReferenceData!$AU$500),"",ReferenceData!$AU$500),"")</f>
        <v>3.9829694980000001</v>
      </c>
      <c r="AV500">
        <f ca="1">IFERROR(IF(0=LEN(ReferenceData!$AV$500),"",ReferenceData!$AV$500),"")</f>
        <v>2.471239959</v>
      </c>
      <c r="AW500">
        <f ca="1">IFERROR(IF(0=LEN(ReferenceData!$AW$500),"",ReferenceData!$AW$500),"")</f>
        <v>0.78087136899999998</v>
      </c>
      <c r="AX500">
        <f ca="1">IFERROR(IF(0=LEN(ReferenceData!$AX$500),"",ReferenceData!$AX$500),"")</f>
        <v>0.25963549800000002</v>
      </c>
      <c r="AY500">
        <f ca="1">IFERROR(IF(0=LEN(ReferenceData!$AY$500),"",ReferenceData!$AY$500),"")</f>
        <v>0.221196174</v>
      </c>
      <c r="AZ500">
        <f ca="1">IFERROR(IF(0=LEN(ReferenceData!$AZ$500),"",ReferenceData!$AZ$500),"")</f>
        <v>0.25304140600000002</v>
      </c>
      <c r="BA500">
        <f ca="1">IFERROR(IF(0=LEN(ReferenceData!$BA$500),"",ReferenceData!$BA$500),"")</f>
        <v>0.26293216600000002</v>
      </c>
      <c r="BB500">
        <f ca="1">IFERROR(IF(0=LEN(ReferenceData!$BB$500),"",ReferenceData!$BB$500),"")</f>
        <v>0.20790173300000001</v>
      </c>
      <c r="BC500">
        <f ca="1">IFERROR(IF(0=LEN(ReferenceData!$BC$500),"",ReferenceData!$BC$500),"")</f>
        <v>0.31867788400000002</v>
      </c>
      <c r="BD500">
        <f ca="1">IFERROR(IF(0=LEN(ReferenceData!$BD$500),"",ReferenceData!$BD$500),"")</f>
        <v>0.32097668800000001</v>
      </c>
      <c r="BE500">
        <f ca="1">IFERROR(IF(0=LEN(ReferenceData!$BE$500),"",ReferenceData!$BE$500),"")</f>
        <v>0.39436269699999998</v>
      </c>
      <c r="BF500">
        <f ca="1">IFERROR(IF(0=LEN(ReferenceData!$BF$500),"",ReferenceData!$BF$500),"")</f>
        <v>1.305601587</v>
      </c>
      <c r="BG500">
        <f ca="1">IFERROR(IF(0=LEN(ReferenceData!$BG$500),"",ReferenceData!$BG$500),"")</f>
        <v>2.2080989029999998</v>
      </c>
      <c r="BH500">
        <f ca="1">IFERROR(IF(0=LEN(ReferenceData!$BH$500),"",ReferenceData!$BH$500),"")</f>
        <v>3.2415824259999999</v>
      </c>
      <c r="BI500">
        <f ca="1">IFERROR(IF(0=LEN(ReferenceData!$BI$500),"",ReferenceData!$BI$500),"")</f>
        <v>3.395134594</v>
      </c>
      <c r="BJ500">
        <f ca="1">IFERROR(IF(0=LEN(ReferenceData!$BJ$500),"",ReferenceData!$BJ$500),"")</f>
        <v>0.72494411000000003</v>
      </c>
      <c r="BK500">
        <f ca="1">IFERROR(IF(0=LEN(ReferenceData!$BK$500),"",ReferenceData!$BK$500),"")</f>
        <v>0.77205171800000005</v>
      </c>
      <c r="BL500">
        <f ca="1">IFERROR(IF(0=LEN(ReferenceData!$BL$500),"",ReferenceData!$BL$500),"")</f>
        <v>0.78733956999999999</v>
      </c>
      <c r="BM500">
        <f ca="1">IFERROR(IF(0=LEN(ReferenceData!$BM$500),"",ReferenceData!$BM$500),"")</f>
        <v>0.85942646599999994</v>
      </c>
    </row>
    <row r="501" spans="1:65" x14ac:dyDescent="0.25">
      <c r="A501" t="str">
        <f>IFERROR(IF(0=LEN(ReferenceData!$A$501),"",ReferenceData!$A$501),"")</f>
        <v xml:space="preserve">    Bayerische Motoren Werke AG</v>
      </c>
      <c r="B501" t="str">
        <f>IFERROR(IF(0=LEN(ReferenceData!$B$501),"",ReferenceData!$B$501),"")</f>
        <v>BMW GR Equity</v>
      </c>
      <c r="C501" t="str">
        <f>IFERROR(IF(0=LEN(ReferenceData!$C$501),"",ReferenceData!$C$501),"")</f>
        <v>DV013</v>
      </c>
      <c r="D501" t="str">
        <f>IFERROR(IF(0=LEN(ReferenceData!$D$501),"",ReferenceData!$D$501),"")</f>
        <v>EQY_DVD_YLD_IND</v>
      </c>
      <c r="E501" t="str">
        <f>IFERROR(IF(0=LEN(ReferenceData!$E$501),"",ReferenceData!$E$501),"")</f>
        <v>Dynamic</v>
      </c>
      <c r="F501">
        <f ca="1">IFERROR(IF(0=LEN(ReferenceData!$F$501),"",ReferenceData!$F$501),"")</f>
        <v>5.4749520939999998</v>
      </c>
      <c r="G501">
        <f ca="1">IFERROR(IF(0=LEN(ReferenceData!$G$501),"",ReferenceData!$G$501),"")</f>
        <v>5.657708628</v>
      </c>
      <c r="H501">
        <f ca="1">IFERROR(IF(0=LEN(ReferenceData!$H$501),"",ReferenceData!$H$501),"")</f>
        <v>5.1612903230000002</v>
      </c>
      <c r="I501">
        <f ca="1">IFERROR(IF(0=LEN(ReferenceData!$I$501),"",ReferenceData!$I$501),"")</f>
        <v>5.1546391749999998</v>
      </c>
      <c r="J501">
        <f ca="1">IFERROR(IF(0=LEN(ReferenceData!$J$501),"",ReferenceData!$J$501),"")</f>
        <v>4.5336053500000002</v>
      </c>
      <c r="K501">
        <f ca="1">IFERROR(IF(0=LEN(ReferenceData!$K$501),"",ReferenceData!$K$501),"")</f>
        <v>4.0308649079999999</v>
      </c>
      <c r="L501">
        <f ca="1">IFERROR(IF(0=LEN(ReferenceData!$L$501),"",ReferenceData!$L$501),"")</f>
        <v>4.0892627639999999</v>
      </c>
      <c r="M501">
        <f ca="1">IFERROR(IF(0=LEN(ReferenceData!$M$501),"",ReferenceData!$M$501),"")</f>
        <v>4.292266562</v>
      </c>
      <c r="N501">
        <f ca="1">IFERROR(IF(0=LEN(ReferenceData!$N$501),"",ReferenceData!$N$501),"")</f>
        <v>4.092944932</v>
      </c>
      <c r="O501">
        <f ca="1">IFERROR(IF(0=LEN(ReferenceData!$O$501),"",ReferenceData!$O$501),"")</f>
        <v>3.6056338569999999</v>
      </c>
      <c r="P501">
        <f ca="1">IFERROR(IF(0=LEN(ReferenceData!$P$501),"",ReferenceData!$P$501),"")</f>
        <v>4.2809365189999999</v>
      </c>
      <c r="Q501">
        <f ca="1">IFERROR(IF(0=LEN(ReferenceData!$Q$501),"",ReferenceData!$Q$501),"")</f>
        <v>4.8401979150000001</v>
      </c>
      <c r="R501">
        <f ca="1">IFERROR(IF(0=LEN(ReferenceData!$R$501),"",ReferenceData!$R$501),"")</f>
        <v>3.964664983</v>
      </c>
      <c r="S501">
        <f ca="1">IFERROR(IF(0=LEN(ReferenceData!$S$501),"",ReferenceData!$S$501),"")</f>
        <v>2.9703985409999998</v>
      </c>
      <c r="T501">
        <f ca="1">IFERROR(IF(0=LEN(ReferenceData!$T$501),"",ReferenceData!$T$501),"")</f>
        <v>3.6685643209999999</v>
      </c>
      <c r="U501">
        <f ca="1">IFERROR(IF(0=LEN(ReferenceData!$U$501),"",ReferenceData!$U$501),"")</f>
        <v>2.943803897</v>
      </c>
      <c r="V501">
        <f ca="1">IFERROR(IF(0=LEN(ReferenceData!$V$501),"",ReferenceData!$V$501),"")</f>
        <v>2.5058759290000001</v>
      </c>
      <c r="W501">
        <f ca="1">IFERROR(IF(0=LEN(ReferenceData!$W$501),"",ReferenceData!$W$501),"")</f>
        <v>2.8962904140000001</v>
      </c>
      <c r="X501">
        <f ca="1">IFERROR(IF(0=LEN(ReferenceData!$X$501),"",ReferenceData!$X$501),"")</f>
        <v>3.0197443719999999</v>
      </c>
      <c r="Y501">
        <f ca="1">IFERROR(IF(0=LEN(ReferenceData!$Y$501),"",ReferenceData!$Y$501),"")</f>
        <v>2.8111146119999999</v>
      </c>
      <c r="Z501">
        <f ca="1">IFERROR(IF(0=LEN(ReferenceData!$Z$501),"",ReferenceData!$Z$501),"")</f>
        <v>2.8418405340000001</v>
      </c>
      <c r="AA501">
        <f ca="1">IFERROR(IF(0=LEN(ReferenceData!$AA$501),"",ReferenceData!$AA$501),"")</f>
        <v>2.9335836660000001</v>
      </c>
      <c r="AB501">
        <f ca="1">IFERROR(IF(0=LEN(ReferenceData!$AB$501),"",ReferenceData!$AB$501),"")</f>
        <v>3.1379440189999999</v>
      </c>
      <c r="AC501">
        <f ca="1">IFERROR(IF(0=LEN(ReferenceData!$AC$501),"",ReferenceData!$AC$501),"")</f>
        <v>3.7167536390000002</v>
      </c>
      <c r="AD501">
        <f ca="1">IFERROR(IF(0=LEN(ReferenceData!$AD$501),"",ReferenceData!$AD$501),"")</f>
        <v>3.6829699470000001</v>
      </c>
      <c r="AE501">
        <f ca="1">IFERROR(IF(0=LEN(ReferenceData!$AE$501),"",ReferenceData!$AE$501),"")</f>
        <v>3.1537089709999999</v>
      </c>
      <c r="AF501">
        <f ca="1">IFERROR(IF(0=LEN(ReferenceData!$AF$501),"",ReferenceData!$AF$501),"")</f>
        <v>4.0259057450000002</v>
      </c>
      <c r="AG501">
        <f ca="1">IFERROR(IF(0=LEN(ReferenceData!$AG$501),"",ReferenceData!$AG$501),"")</f>
        <v>4.0443115040000004</v>
      </c>
      <c r="AH501">
        <f ca="1">IFERROR(IF(0=LEN(ReferenceData!$AH$501),"",ReferenceData!$AH$501),"")</f>
        <v>3.411956612</v>
      </c>
      <c r="AI501">
        <f ca="1">IFERROR(IF(0=LEN(ReferenceData!$AI$501),"",ReferenceData!$AI$501),"")</f>
        <v>2.5115918709999998</v>
      </c>
      <c r="AJ501">
        <f ca="1">IFERROR(IF(0=LEN(ReferenceData!$AJ$501),"",ReferenceData!$AJ$501),"")</f>
        <v>2.6109659619999999</v>
      </c>
      <c r="AK501">
        <f ca="1">IFERROR(IF(0=LEN(ReferenceData!$AK$501),"",ReferenceData!$AK$501),"")</f>
        <v>1.90867707</v>
      </c>
      <c r="AL501">
        <f ca="1">IFERROR(IF(0=LEN(ReferenceData!$AL$501),"",ReferenceData!$AL$501),"")</f>
        <v>2.2101325269999998</v>
      </c>
      <c r="AM501">
        <f ca="1">IFERROR(IF(0=LEN(ReferenceData!$AM$501),"",ReferenceData!$AM$501),"")</f>
        <v>0.50977062399999995</v>
      </c>
      <c r="AN501">
        <f ca="1">IFERROR(IF(0=LEN(ReferenceData!$AN$501),"",ReferenceData!$AN$501),"")</f>
        <v>0.58331715299999998</v>
      </c>
      <c r="AO501">
        <f ca="1">IFERROR(IF(0=LEN(ReferenceData!$AO$501),"",ReferenceData!$AO$501),"")</f>
        <v>0.74729109999999999</v>
      </c>
      <c r="AP501">
        <f ca="1">IFERROR(IF(0=LEN(ReferenceData!$AP$501),"",ReferenceData!$AP$501),"")</f>
        <v>0.876552263</v>
      </c>
      <c r="AQ501">
        <f ca="1">IFERROR(IF(0=LEN(ReferenceData!$AQ$501),"",ReferenceData!$AQ$501),"")</f>
        <v>0.94339626399999998</v>
      </c>
      <c r="AR501">
        <f ca="1">IFERROR(IF(0=LEN(ReferenceData!$AR$501),"",ReferenceData!$AR$501),"")</f>
        <v>0.91157706400000005</v>
      </c>
      <c r="AS501">
        <f ca="1">IFERROR(IF(0=LEN(ReferenceData!$AS$501),"",ReferenceData!$AS$501),"")</f>
        <v>1.1181513679999999</v>
      </c>
      <c r="AT501">
        <f ca="1">IFERROR(IF(0=LEN(ReferenceData!$AT$501),"",ReferenceData!$AT$501),"")</f>
        <v>1.3824885339999999</v>
      </c>
      <c r="AU501">
        <f ca="1">IFERROR(IF(0=LEN(ReferenceData!$AU$501),"",ReferenceData!$AU$501),"")</f>
        <v>4.9051362459999996</v>
      </c>
      <c r="AV501">
        <f ca="1">IFERROR(IF(0=LEN(ReferenceData!$AV$501),"",ReferenceData!$AV$501),"")</f>
        <v>3.8545452459999998</v>
      </c>
      <c r="AW501">
        <f ca="1">IFERROR(IF(0=LEN(ReferenceData!$AW$501),"",ReferenceData!$AW$501),"")</f>
        <v>3.4697215799999999</v>
      </c>
      <c r="AX501">
        <f ca="1">IFERROR(IF(0=LEN(ReferenceData!$AX$501),"",ReferenceData!$AX$501),"")</f>
        <v>3.0303028670000001</v>
      </c>
      <c r="AY501">
        <f ca="1">IFERROR(IF(0=LEN(ReferenceData!$AY$501),"",ReferenceData!$AY$501),"")</f>
        <v>1.638576751</v>
      </c>
      <c r="AZ501">
        <f ca="1">IFERROR(IF(0=LEN(ReferenceData!$AZ$501),"",ReferenceData!$AZ$501),"")</f>
        <v>1.5435501389999999</v>
      </c>
      <c r="BA501">
        <f ca="1">IFERROR(IF(0=LEN(ReferenceData!$BA$501),"",ReferenceData!$BA$501),"")</f>
        <v>1.4693534589999999</v>
      </c>
      <c r="BB501">
        <f ca="1">IFERROR(IF(0=LEN(ReferenceData!$BB$501),"",ReferenceData!$BB$501),"")</f>
        <v>1.5826361929999999</v>
      </c>
      <c r="BC501">
        <f ca="1">IFERROR(IF(0=LEN(ReferenceData!$BC$501),"",ReferenceData!$BC$501),"")</f>
        <v>1.464195803</v>
      </c>
      <c r="BD501">
        <f ca="1">IFERROR(IF(0=LEN(ReferenceData!$BD$501),"",ReferenceData!$BD$501),"")</f>
        <v>1.513360099</v>
      </c>
      <c r="BE501">
        <f ca="1">IFERROR(IF(0=LEN(ReferenceData!$BE$501),"",ReferenceData!$BE$501),"")</f>
        <v>1.639344226</v>
      </c>
      <c r="BF501">
        <f ca="1">IFERROR(IF(0=LEN(ReferenceData!$BF$501),"",ReferenceData!$BF$501),"")</f>
        <v>1.4065933749999999</v>
      </c>
      <c r="BG501">
        <f ca="1">IFERROR(IF(0=LEN(ReferenceData!$BG$501),"",ReferenceData!$BG$501),"")</f>
        <v>1.675675689</v>
      </c>
      <c r="BH501">
        <f ca="1">IFERROR(IF(0=LEN(ReferenceData!$BH$501),"",ReferenceData!$BH$501),"")</f>
        <v>1.5901513329999999</v>
      </c>
      <c r="BI501">
        <f ca="1">IFERROR(IF(0=LEN(ReferenceData!$BI$501),"",ReferenceData!$BI$501),"")</f>
        <v>1.637612268</v>
      </c>
      <c r="BJ501">
        <f ca="1">IFERROR(IF(0=LEN(ReferenceData!$BJ$501),"",ReferenceData!$BJ$501),"")</f>
        <v>1.7709226069999999</v>
      </c>
      <c r="BK501">
        <f ca="1">IFERROR(IF(0=LEN(ReferenceData!$BK$501),"",ReferenceData!$BK$501),"")</f>
        <v>1.7469879020000001</v>
      </c>
      <c r="BL501">
        <f ca="1">IFERROR(IF(0=LEN(ReferenceData!$BL$501),"",ReferenceData!$BL$501),"")</f>
        <v>1.7496228760000001</v>
      </c>
      <c r="BM501">
        <f ca="1">IFERROR(IF(0=LEN(ReferenceData!$BM$501),"",ReferenceData!$BM$501),"")</f>
        <v>1.59515947</v>
      </c>
    </row>
    <row r="502" spans="1:65" x14ac:dyDescent="0.25">
      <c r="A502" t="str">
        <f>IFERROR(IF(0=LEN(ReferenceData!$A$502),"",ReferenceData!$A$502),"")</f>
        <v xml:space="preserve">    Brilliance China Automotive Holdings Ltd</v>
      </c>
      <c r="B502" t="str">
        <f>IFERROR(IF(0=LEN(ReferenceData!$B$502),"",ReferenceData!$B$502),"")</f>
        <v>1114 HK Equity</v>
      </c>
      <c r="C502" t="str">
        <f>IFERROR(IF(0=LEN(ReferenceData!$C$502),"",ReferenceData!$C$502),"")</f>
        <v>DV013</v>
      </c>
      <c r="D502" t="str">
        <f>IFERROR(IF(0=LEN(ReferenceData!$D$502),"",ReferenceData!$D$502),"")</f>
        <v>EQY_DVD_YLD_IND</v>
      </c>
      <c r="E502" t="str">
        <f>IFERROR(IF(0=LEN(ReferenceData!$E$502),"",ReferenceData!$E$502),"")</f>
        <v>Dynamic</v>
      </c>
      <c r="F502">
        <f ca="1">IFERROR(IF(0=LEN(ReferenceData!$F$502),"",ReferenceData!$F$502),"")</f>
        <v>1.3924050560000001</v>
      </c>
      <c r="G502">
        <f ca="1">IFERROR(IF(0=LEN(ReferenceData!$G$502),"",ReferenceData!$G$502),"")</f>
        <v>1.886792443</v>
      </c>
      <c r="H502">
        <f ca="1">IFERROR(IF(0=LEN(ReferenceData!$H$502),"",ReferenceData!$H$502),"")</f>
        <v>0.86887835199999996</v>
      </c>
      <c r="I502">
        <f ca="1">IFERROR(IF(0=LEN(ReferenceData!$I$502),"",ReferenceData!$I$502),"")</f>
        <v>0.77683615399999995</v>
      </c>
      <c r="J502">
        <f ca="1">IFERROR(IF(0=LEN(ReferenceData!$J$502),"",ReferenceData!$J$502),"")</f>
        <v>0.67155066799999996</v>
      </c>
      <c r="K502">
        <f ca="1">IFERROR(IF(0=LEN(ReferenceData!$K$502),"",ReferenceData!$K$502),"")</f>
        <v>0.52631578700000003</v>
      </c>
      <c r="L502">
        <f ca="1">IFERROR(IF(0=LEN(ReferenceData!$L$502),"",ReferenceData!$L$502),"")</f>
        <v>0.52884615099999999</v>
      </c>
      <c r="M502">
        <f ca="1">IFERROR(IF(0=LEN(ReferenceData!$M$502),"",ReferenceData!$M$502),"")</f>
        <v>0.773558364</v>
      </c>
      <c r="N502">
        <f ca="1">IFERROR(IF(0=LEN(ReferenceData!$N$502),"",ReferenceData!$N$502),"")</f>
        <v>0.84615384199999999</v>
      </c>
      <c r="O502">
        <f ca="1">IFERROR(IF(0=LEN(ReferenceData!$O$502),"",ReferenceData!$O$502),"")</f>
        <v>1.029962541</v>
      </c>
      <c r="P502">
        <f ca="1">IFERROR(IF(0=LEN(ReferenceData!$P$502),"",ReferenceData!$P$502),"")</f>
        <v>1.2643678089999999</v>
      </c>
      <c r="Q502">
        <f ca="1">IFERROR(IF(0=LEN(ReferenceData!$Q$502),"",ReferenceData!$Q$502),"")</f>
        <v>1.3819095400000001</v>
      </c>
      <c r="R502">
        <f ca="1">IFERROR(IF(0=LEN(ReferenceData!$R$502),"",ReferenceData!$R$502),"")</f>
        <v>1.3698630060000001</v>
      </c>
      <c r="S502">
        <f ca="1">IFERROR(IF(0=LEN(ReferenceData!$S$502),"",ReferenceData!$S$502),"")</f>
        <v>1.128205122</v>
      </c>
      <c r="T502">
        <f ca="1">IFERROR(IF(0=LEN(ReferenceData!$T$502),"",ReferenceData!$T$502),"")</f>
        <v>1.200873356</v>
      </c>
      <c r="U502">
        <f ca="1">IFERROR(IF(0=LEN(ReferenceData!$U$502),"",ReferenceData!$U$502),"")</f>
        <v>0.90909090400000003</v>
      </c>
      <c r="V502">
        <f ca="1">IFERROR(IF(0=LEN(ReferenceData!$V$502),"",ReferenceData!$V$502),"")</f>
        <v>0.736278443</v>
      </c>
      <c r="W502">
        <f ca="1">IFERROR(IF(0=LEN(ReferenceData!$W$502),"",ReferenceData!$W$502),"")</f>
        <v>0.88282503499999998</v>
      </c>
      <c r="X502">
        <f ca="1">IFERROR(IF(0=LEN(ReferenceData!$X$502),"",ReferenceData!$X$502),"")</f>
        <v>0.81120943499999998</v>
      </c>
      <c r="Y502">
        <f ca="1">IFERROR(IF(0=LEN(ReferenceData!$Y$502),"",ReferenceData!$Y$502),"")</f>
        <v>0.68775791900000005</v>
      </c>
      <c r="Z502">
        <f ca="1">IFERROR(IF(0=LEN(ReferenceData!$Z$502),"",ReferenceData!$Z$502),"")</f>
        <v>0.84317033299999999</v>
      </c>
      <c r="AA502">
        <f ca="1">IFERROR(IF(0=LEN(ReferenceData!$AA$502),"",ReferenceData!$AA$502),"")</f>
        <v>0.79113925200000002</v>
      </c>
      <c r="AB502">
        <f ca="1">IFERROR(IF(0=LEN(ReferenceData!$AB$502),"",ReferenceData!$AB$502),"")</f>
        <v>0.85910654200000003</v>
      </c>
      <c r="AC502" t="str">
        <f ca="1">IFERROR(IF(0=LEN(ReferenceData!$AC$502),"",ReferenceData!$AC$502),"")</f>
        <v/>
      </c>
      <c r="AD502" t="str">
        <f ca="1">IFERROR(IF(0=LEN(ReferenceData!$AD$502),"",ReferenceData!$AD$502),"")</f>
        <v/>
      </c>
      <c r="AE502" t="str">
        <f ca="1">IFERROR(IF(0=LEN(ReferenceData!$AE$502),"",ReferenceData!$AE$502),"")</f>
        <v/>
      </c>
      <c r="AF502" t="str">
        <f ca="1">IFERROR(IF(0=LEN(ReferenceData!$AF$502),"",ReferenceData!$AF$502),"")</f>
        <v/>
      </c>
      <c r="AG502" t="str">
        <f ca="1">IFERROR(IF(0=LEN(ReferenceData!$AG$502),"",ReferenceData!$AG$502),"")</f>
        <v/>
      </c>
      <c r="AH502" t="str">
        <f ca="1">IFERROR(IF(0=LEN(ReferenceData!$AH$502),"",ReferenceData!$AH$502),"")</f>
        <v/>
      </c>
      <c r="AI502" t="str">
        <f ca="1">IFERROR(IF(0=LEN(ReferenceData!$AI$502),"",ReferenceData!$AI$502),"")</f>
        <v/>
      </c>
      <c r="AJ502" t="str">
        <f ca="1">IFERROR(IF(0=LEN(ReferenceData!$AJ$502),"",ReferenceData!$AJ$502),"")</f>
        <v/>
      </c>
      <c r="AK502" t="str">
        <f ca="1">IFERROR(IF(0=LEN(ReferenceData!$AK$502),"",ReferenceData!$AK$502),"")</f>
        <v/>
      </c>
      <c r="AL502" t="str">
        <f ca="1">IFERROR(IF(0=LEN(ReferenceData!$AL$502),"",ReferenceData!$AL$502),"")</f>
        <v/>
      </c>
      <c r="AM502" t="str">
        <f ca="1">IFERROR(IF(0=LEN(ReferenceData!$AM$502),"",ReferenceData!$AM$502),"")</f>
        <v/>
      </c>
      <c r="AN502" t="str">
        <f ca="1">IFERROR(IF(0=LEN(ReferenceData!$AN$502),"",ReferenceData!$AN$502),"")</f>
        <v/>
      </c>
      <c r="AO502" t="str">
        <f ca="1">IFERROR(IF(0=LEN(ReferenceData!$AO$502),"",ReferenceData!$AO$502),"")</f>
        <v/>
      </c>
      <c r="AP502" t="str">
        <f ca="1">IFERROR(IF(0=LEN(ReferenceData!$AP$502),"",ReferenceData!$AP$502),"")</f>
        <v/>
      </c>
      <c r="AQ502" t="str">
        <f ca="1">IFERROR(IF(0=LEN(ReferenceData!$AQ$502),"",ReferenceData!$AQ$502),"")</f>
        <v/>
      </c>
      <c r="AR502" t="str">
        <f ca="1">IFERROR(IF(0=LEN(ReferenceData!$AR$502),"",ReferenceData!$AR$502),"")</f>
        <v/>
      </c>
      <c r="AS502" t="str">
        <f ca="1">IFERROR(IF(0=LEN(ReferenceData!$AS$502),"",ReferenceData!$AS$502),"")</f>
        <v/>
      </c>
      <c r="AT502" t="str">
        <f ca="1">IFERROR(IF(0=LEN(ReferenceData!$AT$502),"",ReferenceData!$AT$502),"")</f>
        <v/>
      </c>
      <c r="AU502" t="str">
        <f ca="1">IFERROR(IF(0=LEN(ReferenceData!$AU$502),"",ReferenceData!$AU$502),"")</f>
        <v/>
      </c>
      <c r="AV502" t="str">
        <f ca="1">IFERROR(IF(0=LEN(ReferenceData!$AV$502),"",ReferenceData!$AV$502),"")</f>
        <v/>
      </c>
      <c r="AW502" t="str">
        <f ca="1">IFERROR(IF(0=LEN(ReferenceData!$AW$502),"",ReferenceData!$AW$502),"")</f>
        <v/>
      </c>
      <c r="AX502" t="str">
        <f ca="1">IFERROR(IF(0=LEN(ReferenceData!$AX$502),"",ReferenceData!$AX$502),"")</f>
        <v/>
      </c>
      <c r="AY502" t="str">
        <f ca="1">IFERROR(IF(0=LEN(ReferenceData!$AY$502),"",ReferenceData!$AY$502),"")</f>
        <v/>
      </c>
      <c r="AZ502" t="str">
        <f ca="1">IFERROR(IF(0=LEN(ReferenceData!$AZ$502),"",ReferenceData!$AZ$502),"")</f>
        <v/>
      </c>
      <c r="BA502" t="str">
        <f ca="1">IFERROR(IF(0=LEN(ReferenceData!$BA$502),"",ReferenceData!$BA$502),"")</f>
        <v/>
      </c>
      <c r="BB502" t="str">
        <f ca="1">IFERROR(IF(0=LEN(ReferenceData!$BB$502),"",ReferenceData!$BB$502),"")</f>
        <v/>
      </c>
      <c r="BC502" t="str">
        <f ca="1">IFERROR(IF(0=LEN(ReferenceData!$BC$502),"",ReferenceData!$BC$502),"")</f>
        <v/>
      </c>
      <c r="BD502" t="str">
        <f ca="1">IFERROR(IF(0=LEN(ReferenceData!$BD$502),"",ReferenceData!$BD$502),"")</f>
        <v/>
      </c>
      <c r="BE502">
        <f ca="1">IFERROR(IF(0=LEN(ReferenceData!$BE$502),"",ReferenceData!$BE$502),"")</f>
        <v>0.35211266800000002</v>
      </c>
      <c r="BF502">
        <f ca="1">IFERROR(IF(0=LEN(ReferenceData!$BF$502),"",ReferenceData!$BF$502),"")</f>
        <v>0.43478259899999999</v>
      </c>
      <c r="BG502">
        <f ca="1">IFERROR(IF(0=LEN(ReferenceData!$BG$502),"",ReferenceData!$BG$502),"")</f>
        <v>0.43478259899999999</v>
      </c>
      <c r="BH502">
        <f ca="1">IFERROR(IF(0=LEN(ReferenceData!$BH$502),"",ReferenceData!$BH$502),"")</f>
        <v>0.44642856199999997</v>
      </c>
      <c r="BI502">
        <f ca="1">IFERROR(IF(0=LEN(ReferenceData!$BI$502),"",ReferenceData!$BI$502),"")</f>
        <v>0.72463766500000004</v>
      </c>
      <c r="BJ502">
        <f ca="1">IFERROR(IF(0=LEN(ReferenceData!$BJ$502),"",ReferenceData!$BJ$502),"")</f>
        <v>1.0869564970000001</v>
      </c>
      <c r="BK502">
        <f ca="1">IFERROR(IF(0=LEN(ReferenceData!$BK$502),"",ReferenceData!$BK$502),"")</f>
        <v>0.98684208299999998</v>
      </c>
      <c r="BL502">
        <f ca="1">IFERROR(IF(0=LEN(ReferenceData!$BL$502),"",ReferenceData!$BL$502),"")</f>
        <v>0.96153843999999999</v>
      </c>
      <c r="BM502">
        <f ca="1">IFERROR(IF(0=LEN(ReferenceData!$BM$502),"",ReferenceData!$BM$502),"")</f>
        <v>0.86956519799999998</v>
      </c>
    </row>
    <row r="503" spans="1:65" x14ac:dyDescent="0.25">
      <c r="A503" t="str">
        <f>IFERROR(IF(0=LEN(ReferenceData!$A$503),"",ReferenceData!$A$503),"")</f>
        <v xml:space="preserve">    BYD Co Ltd</v>
      </c>
      <c r="B503" t="str">
        <f>IFERROR(IF(0=LEN(ReferenceData!$B$503),"",ReferenceData!$B$503),"")</f>
        <v>1211 HK Equity</v>
      </c>
      <c r="C503" t="str">
        <f>IFERROR(IF(0=LEN(ReferenceData!$C$503),"",ReferenceData!$C$503),"")</f>
        <v>DV013</v>
      </c>
      <c r="D503" t="str">
        <f>IFERROR(IF(0=LEN(ReferenceData!$D$503),"",ReferenceData!$D$503),"")</f>
        <v>EQY_DVD_YLD_IND</v>
      </c>
      <c r="E503" t="str">
        <f>IFERROR(IF(0=LEN(ReferenceData!$E$503),"",ReferenceData!$E$503),"")</f>
        <v>Dynamic</v>
      </c>
      <c r="F503">
        <f ca="1">IFERROR(IF(0=LEN(ReferenceData!$F$503),"",ReferenceData!$F$503),"")</f>
        <v>0.33809604900000001</v>
      </c>
      <c r="G503">
        <f ca="1">IFERROR(IF(0=LEN(ReferenceData!$G$503),"",ReferenceData!$G$503),"")</f>
        <v>0.34012665600000003</v>
      </c>
      <c r="H503">
        <f ca="1">IFERROR(IF(0=LEN(ReferenceData!$H$503),"",ReferenceData!$H$503),"")</f>
        <v>0.30230118299999997</v>
      </c>
      <c r="I503">
        <f ca="1">IFERROR(IF(0=LEN(ReferenceData!$I$503),"",ReferenceData!$I$503),"")</f>
        <v>0.35729393199999998</v>
      </c>
      <c r="J503">
        <f ca="1">IFERROR(IF(0=LEN(ReferenceData!$J$503),"",ReferenceData!$J$503),"")</f>
        <v>0.27760337400000001</v>
      </c>
      <c r="K503" t="str">
        <f ca="1">IFERROR(IF(0=LEN(ReferenceData!$K$503),"",ReferenceData!$K$503),"")</f>
        <v/>
      </c>
      <c r="L503">
        <f ca="1">IFERROR(IF(0=LEN(ReferenceData!$L$503),"",ReferenceData!$L$503),"")</f>
        <v>0.42573924499999999</v>
      </c>
      <c r="M503">
        <f ca="1">IFERROR(IF(0=LEN(ReferenceData!$M$503),"",ReferenceData!$M$503),"")</f>
        <v>0.42662805300000001</v>
      </c>
      <c r="N503">
        <f ca="1">IFERROR(IF(0=LEN(ReferenceData!$N$503),"",ReferenceData!$N$503),"")</f>
        <v>0.47414115400000001</v>
      </c>
      <c r="O503">
        <f ca="1">IFERROR(IF(0=LEN(ReferenceData!$O$503),"",ReferenceData!$O$503),"")</f>
        <v>1.031428612</v>
      </c>
      <c r="P503">
        <f ca="1">IFERROR(IF(0=LEN(ReferenceData!$P$503),"",ReferenceData!$P$503),"")</f>
        <v>0.82777718700000003</v>
      </c>
      <c r="Q503" t="str">
        <f ca="1">IFERROR(IF(0=LEN(ReferenceData!$Q$503),"",ReferenceData!$Q$503),"")</f>
        <v/>
      </c>
      <c r="R503" t="str">
        <f ca="1">IFERROR(IF(0=LEN(ReferenceData!$R$503),"",ReferenceData!$R$503),"")</f>
        <v/>
      </c>
      <c r="S503" t="str">
        <f ca="1">IFERROR(IF(0=LEN(ReferenceData!$S$503),"",ReferenceData!$S$503),"")</f>
        <v/>
      </c>
      <c r="T503" t="str">
        <f ca="1">IFERROR(IF(0=LEN(ReferenceData!$T$503),"",ReferenceData!$T$503),"")</f>
        <v/>
      </c>
      <c r="U503">
        <f ca="1">IFERROR(IF(0=LEN(ReferenceData!$U$503),"",ReferenceData!$U$503),"")</f>
        <v>0.13233582199999999</v>
      </c>
      <c r="V503">
        <f ca="1">IFERROR(IF(0=LEN(ReferenceData!$V$503),"",ReferenceData!$V$503),"")</f>
        <v>0.15638180500000001</v>
      </c>
      <c r="W503">
        <f ca="1">IFERROR(IF(0=LEN(ReferenceData!$W$503),"",ReferenceData!$W$503),"")</f>
        <v>0.205589259</v>
      </c>
      <c r="X503">
        <f ca="1">IFERROR(IF(0=LEN(ReferenceData!$X$503),"",ReferenceData!$X$503),"")</f>
        <v>0.12104042700000001</v>
      </c>
      <c r="Y503">
        <f ca="1">IFERROR(IF(0=LEN(ReferenceData!$Y$503),"",ReferenceData!$Y$503),"")</f>
        <v>0.14005912500000001</v>
      </c>
      <c r="Z503">
        <f ca="1">IFERROR(IF(0=LEN(ReferenceData!$Z$503),"",ReferenceData!$Z$503),"")</f>
        <v>0.13012792500000001</v>
      </c>
      <c r="AA503" t="str">
        <f ca="1">IFERROR(IF(0=LEN(ReferenceData!$AA$503),"",ReferenceData!$AA$503),"")</f>
        <v/>
      </c>
      <c r="AB503" t="str">
        <f ca="1">IFERROR(IF(0=LEN(ReferenceData!$AB$503),"",ReferenceData!$AB$503),"")</f>
        <v/>
      </c>
      <c r="AC503" t="str">
        <f ca="1">IFERROR(IF(0=LEN(ReferenceData!$AC$503),"",ReferenceData!$AC$503),"")</f>
        <v/>
      </c>
      <c r="AD503" t="str">
        <f ca="1">IFERROR(IF(0=LEN(ReferenceData!$AD$503),"",ReferenceData!$AD$503),"")</f>
        <v/>
      </c>
      <c r="AE503" t="str">
        <f ca="1">IFERROR(IF(0=LEN(ReferenceData!$AE$503),"",ReferenceData!$AE$503),"")</f>
        <v/>
      </c>
      <c r="AF503" t="str">
        <f ca="1">IFERROR(IF(0=LEN(ReferenceData!$AF$503),"",ReferenceData!$AF$503),"")</f>
        <v/>
      </c>
      <c r="AG503" t="str">
        <f ca="1">IFERROR(IF(0=LEN(ReferenceData!$AG$503),"",ReferenceData!$AG$503),"")</f>
        <v/>
      </c>
      <c r="AH503" t="str">
        <f ca="1">IFERROR(IF(0=LEN(ReferenceData!$AH$503),"",ReferenceData!$AH$503),"")</f>
        <v/>
      </c>
      <c r="AI503" t="str">
        <f ca="1">IFERROR(IF(0=LEN(ReferenceData!$AI$503),"",ReferenceData!$AI$503),"")</f>
        <v/>
      </c>
      <c r="AJ503" t="str">
        <f ca="1">IFERROR(IF(0=LEN(ReferenceData!$AJ$503),"",ReferenceData!$AJ$503),"")</f>
        <v/>
      </c>
      <c r="AK503" t="str">
        <f ca="1">IFERROR(IF(0=LEN(ReferenceData!$AK$503),"",ReferenceData!$AK$503),"")</f>
        <v/>
      </c>
      <c r="AL503">
        <f ca="1">IFERROR(IF(0=LEN(ReferenceData!$AL$503),"",ReferenceData!$AL$503),"")</f>
        <v>1.0729450009999999</v>
      </c>
      <c r="AM503">
        <f ca="1">IFERROR(IF(0=LEN(ReferenceData!$AM$503),"",ReferenceData!$AM$503),"")</f>
        <v>0.91797864900000004</v>
      </c>
      <c r="AN503">
        <f ca="1">IFERROR(IF(0=LEN(ReferenceData!$AN$503),"",ReferenceData!$AN$503),"")</f>
        <v>0.60143428700000001</v>
      </c>
      <c r="AO503">
        <f ca="1">IFERROR(IF(0=LEN(ReferenceData!$AO$503),"",ReferenceData!$AO$503),"")</f>
        <v>0.64321488500000001</v>
      </c>
      <c r="AP503">
        <f ca="1">IFERROR(IF(0=LEN(ReferenceData!$AP$503),"",ReferenceData!$AP$503),"")</f>
        <v>0.48480191099999997</v>
      </c>
      <c r="AQ503" t="str">
        <f ca="1">IFERROR(IF(0=LEN(ReferenceData!$AQ$503),"",ReferenceData!$AQ$503),"")</f>
        <v/>
      </c>
      <c r="AR503" t="str">
        <f ca="1">IFERROR(IF(0=LEN(ReferenceData!$AR$503),"",ReferenceData!$AR$503),"")</f>
        <v/>
      </c>
      <c r="AS503" t="str">
        <f ca="1">IFERROR(IF(0=LEN(ReferenceData!$AS$503),"",ReferenceData!$AS$503),"")</f>
        <v/>
      </c>
      <c r="AT503" t="str">
        <f ca="1">IFERROR(IF(0=LEN(ReferenceData!$AT$503),"",ReferenceData!$AT$503),"")</f>
        <v/>
      </c>
      <c r="AU503" t="str">
        <f ca="1">IFERROR(IF(0=LEN(ReferenceData!$AU$503),"",ReferenceData!$AU$503),"")</f>
        <v/>
      </c>
      <c r="AV503" t="str">
        <f ca="1">IFERROR(IF(0=LEN(ReferenceData!$AV$503),"",ReferenceData!$AV$503),"")</f>
        <v/>
      </c>
      <c r="AW503">
        <f ca="1">IFERROR(IF(0=LEN(ReferenceData!$AW$503),"",ReferenceData!$AW$503),"")</f>
        <v>2.884337945</v>
      </c>
      <c r="AX503">
        <f ca="1">IFERROR(IF(0=LEN(ReferenceData!$AX$503),"",ReferenceData!$AX$503),"")</f>
        <v>2.5979211699999998</v>
      </c>
      <c r="AY503">
        <f ca="1">IFERROR(IF(0=LEN(ReferenceData!$AY$503),"",ReferenceData!$AY$503),"")</f>
        <v>0.78761485200000003</v>
      </c>
      <c r="AZ503">
        <f ca="1">IFERROR(IF(0=LEN(ReferenceData!$AZ$503),"",ReferenceData!$AZ$503),"")</f>
        <v>0.70010209099999998</v>
      </c>
      <c r="BA503">
        <f ca="1">IFERROR(IF(0=LEN(ReferenceData!$BA$503),"",ReferenceData!$BA$503),"")</f>
        <v>0.90413629299999998</v>
      </c>
      <c r="BB503">
        <f ca="1">IFERROR(IF(0=LEN(ReferenceData!$BB$503),"",ReferenceData!$BB$503),"")</f>
        <v>1.0542393350000001</v>
      </c>
      <c r="BC503" t="str">
        <f ca="1">IFERROR(IF(0=LEN(ReferenceData!$BC$503),"",ReferenceData!$BC$503),"")</f>
        <v/>
      </c>
      <c r="BD503" t="str">
        <f ca="1">IFERROR(IF(0=LEN(ReferenceData!$BD$503),"",ReferenceData!$BD$503),"")</f>
        <v/>
      </c>
      <c r="BE503">
        <f ca="1">IFERROR(IF(0=LEN(ReferenceData!$BE$503),"",ReferenceData!$BE$503),"")</f>
        <v>3.1889175390000002</v>
      </c>
      <c r="BF503">
        <f ca="1">IFERROR(IF(0=LEN(ReferenceData!$BF$503),"",ReferenceData!$BF$503),"")</f>
        <v>3.3876039900000001</v>
      </c>
      <c r="BG503">
        <f ca="1">IFERROR(IF(0=LEN(ReferenceData!$BG$503),"",ReferenceData!$BG$503),"")</f>
        <v>4.5498781619999997</v>
      </c>
      <c r="BH503">
        <f ca="1">IFERROR(IF(0=LEN(ReferenceData!$BH$503),"",ReferenceData!$BH$503),"")</f>
        <v>4.3847616159999996</v>
      </c>
      <c r="BI503">
        <f ca="1">IFERROR(IF(0=LEN(ReferenceData!$BI$503),"",ReferenceData!$BI$503),"")</f>
        <v>3.2460324800000002</v>
      </c>
      <c r="BJ503">
        <f ca="1">IFERROR(IF(0=LEN(ReferenceData!$BJ$503),"",ReferenceData!$BJ$503),"")</f>
        <v>2.3691086729999999</v>
      </c>
      <c r="BK503">
        <f ca="1">IFERROR(IF(0=LEN(ReferenceData!$BK$503),"",ReferenceData!$BK$503),"")</f>
        <v>2.340764429</v>
      </c>
      <c r="BL503">
        <f ca="1">IFERROR(IF(0=LEN(ReferenceData!$BL$503),"",ReferenceData!$BL$503),"")</f>
        <v>2.0345884910000001</v>
      </c>
      <c r="BM503">
        <f ca="1">IFERROR(IF(0=LEN(ReferenceData!$BM$503),"",ReferenceData!$BM$503),"")</f>
        <v>2.0919630040000001</v>
      </c>
    </row>
    <row r="504" spans="1:65" x14ac:dyDescent="0.25">
      <c r="A504" t="str">
        <f>IFERROR(IF(0=LEN(ReferenceData!$A$504),"",ReferenceData!$A$504),"")</f>
        <v xml:space="preserve">    Chongqing Changan Automobile Co Ltd</v>
      </c>
      <c r="B504" t="str">
        <f>IFERROR(IF(0=LEN(ReferenceData!$B$504),"",ReferenceData!$B$504),"")</f>
        <v>200625 CH Equity</v>
      </c>
      <c r="C504" t="str">
        <f>IFERROR(IF(0=LEN(ReferenceData!$C$504),"",ReferenceData!$C$504),"")</f>
        <v>DV013</v>
      </c>
      <c r="D504" t="str">
        <f>IFERROR(IF(0=LEN(ReferenceData!$D$504),"",ReferenceData!$D$504),"")</f>
        <v>EQY_DVD_YLD_IND</v>
      </c>
      <c r="E504" t="str">
        <f>IFERROR(IF(0=LEN(ReferenceData!$E$504),"",ReferenceData!$E$504),"")</f>
        <v>Dynamic</v>
      </c>
      <c r="F504">
        <f ca="1">IFERROR(IF(0=LEN(ReferenceData!$F$504),"",ReferenceData!$F$504),"")</f>
        <v>12.66318023</v>
      </c>
      <c r="G504">
        <f ca="1">IFERROR(IF(0=LEN(ReferenceData!$G$504),"",ReferenceData!$G$504),"")</f>
        <v>15.71105169</v>
      </c>
      <c r="H504">
        <f ca="1">IFERROR(IF(0=LEN(ReferenceData!$H$504),"",ReferenceData!$H$504),"")</f>
        <v>8.6758813900000007</v>
      </c>
      <c r="I504">
        <f ca="1">IFERROR(IF(0=LEN(ReferenceData!$I$504),"",ReferenceData!$I$504),"")</f>
        <v>6.9144477159999997</v>
      </c>
      <c r="J504">
        <f ca="1">IFERROR(IF(0=LEN(ReferenceData!$J$504),"",ReferenceData!$J$504),"")</f>
        <v>8.9561968570000001</v>
      </c>
      <c r="K504">
        <f ca="1">IFERROR(IF(0=LEN(ReferenceData!$K$504),"",ReferenceData!$K$504),"")</f>
        <v>8.4667302840000005</v>
      </c>
      <c r="L504">
        <f ca="1">IFERROR(IF(0=LEN(ReferenceData!$L$504),"",ReferenceData!$L$504),"")</f>
        <v>7.0487783589999999</v>
      </c>
      <c r="M504">
        <f ca="1">IFERROR(IF(0=LEN(ReferenceData!$M$504),"",ReferenceData!$M$504),"")</f>
        <v>7.0693087810000002</v>
      </c>
      <c r="N504">
        <f ca="1">IFERROR(IF(0=LEN(ReferenceData!$N$504),"",ReferenceData!$N$504),"")</f>
        <v>7.006296957</v>
      </c>
      <c r="O504">
        <f ca="1">IFERROR(IF(0=LEN(ReferenceData!$O$504),"",ReferenceData!$O$504),"")</f>
        <v>6.8230845029999996</v>
      </c>
      <c r="P504">
        <f ca="1">IFERROR(IF(0=LEN(ReferenceData!$P$504),"",ReferenceData!$P$504),"")</f>
        <v>5.9863929699999998</v>
      </c>
      <c r="Q504">
        <f ca="1">IFERROR(IF(0=LEN(ReferenceData!$Q$504),"",ReferenceData!$Q$504),"")</f>
        <v>7.006296957</v>
      </c>
      <c r="R504">
        <f ca="1">IFERROR(IF(0=LEN(ReferenceData!$R$504),"",ReferenceData!$R$504),"")</f>
        <v>2.1818134589999998</v>
      </c>
      <c r="S504">
        <f ca="1">IFERROR(IF(0=LEN(ReferenceData!$S$504),"",ReferenceData!$S$504),"")</f>
        <v>1.8539034830000001</v>
      </c>
      <c r="T504">
        <f ca="1">IFERROR(IF(0=LEN(ReferenceData!$T$504),"",ReferenceData!$T$504),"")</f>
        <v>2.4218296079999999</v>
      </c>
      <c r="U504">
        <f ca="1">IFERROR(IF(0=LEN(ReferenceData!$U$504),"",ReferenceData!$U$504),"")</f>
        <v>1.598676226</v>
      </c>
      <c r="V504">
        <f ca="1">IFERROR(IF(0=LEN(ReferenceData!$V$504),"",ReferenceData!$V$504),"")</f>
        <v>0.59462066599999996</v>
      </c>
      <c r="W504">
        <f ca="1">IFERROR(IF(0=LEN(ReferenceData!$W$504),"",ReferenceData!$W$504),"")</f>
        <v>0.71686329800000004</v>
      </c>
      <c r="X504">
        <f ca="1">IFERROR(IF(0=LEN(ReferenceData!$X$504),"",ReferenceData!$X$504),"")</f>
        <v>0.75468342399999999</v>
      </c>
      <c r="Y504">
        <f ca="1">IFERROR(IF(0=LEN(ReferenceData!$Y$504),"",ReferenceData!$Y$504),"")</f>
        <v>0.82275290899999998</v>
      </c>
      <c r="Z504">
        <f ca="1">IFERROR(IF(0=LEN(ReferenceData!$Z$504),"",ReferenceData!$Z$504),"")</f>
        <v>0.48670859900000002</v>
      </c>
      <c r="AA504">
        <f ca="1">IFERROR(IF(0=LEN(ReferenceData!$AA$504),"",ReferenceData!$AA$504),"")</f>
        <v>0.40972593200000001</v>
      </c>
      <c r="AB504">
        <f ca="1">IFERROR(IF(0=LEN(ReferenceData!$AB$504),"",ReferenceData!$AB$504),"")</f>
        <v>0.52946002999999997</v>
      </c>
      <c r="AC504">
        <f ca="1">IFERROR(IF(0=LEN(ReferenceData!$AC$504),"",ReferenceData!$AC$504),"")</f>
        <v>0.681392039</v>
      </c>
      <c r="AD504">
        <f ca="1">IFERROR(IF(0=LEN(ReferenceData!$AD$504),"",ReferenceData!$AD$504),"")</f>
        <v>0.64594475100000004</v>
      </c>
      <c r="AE504">
        <f ca="1">IFERROR(IF(0=LEN(ReferenceData!$AE$504),"",ReferenceData!$AE$504),"")</f>
        <v>1.128547151</v>
      </c>
      <c r="AF504">
        <f ca="1">IFERROR(IF(0=LEN(ReferenceData!$AF$504),"",ReferenceData!$AF$504),"")</f>
        <v>1.710515716</v>
      </c>
      <c r="AG504">
        <f ca="1">IFERROR(IF(0=LEN(ReferenceData!$AG$504),"",ReferenceData!$AG$504),"")</f>
        <v>1.588731425</v>
      </c>
      <c r="AH504">
        <f ca="1">IFERROR(IF(0=LEN(ReferenceData!$AH$504),"",ReferenceData!$AH$504),"")</f>
        <v>0.65986003400000004</v>
      </c>
      <c r="AI504">
        <f ca="1">IFERROR(IF(0=LEN(ReferenceData!$AI$504),"",ReferenceData!$AI$504),"")</f>
        <v>0.76429831299999995</v>
      </c>
      <c r="AJ504">
        <f ca="1">IFERROR(IF(0=LEN(ReferenceData!$AJ$504),"",ReferenceData!$AJ$504),"")</f>
        <v>1.0069901939999999</v>
      </c>
      <c r="AK504">
        <f ca="1">IFERROR(IF(0=LEN(ReferenceData!$AK$504),"",ReferenceData!$AK$504),"")</f>
        <v>0.68663352899999996</v>
      </c>
      <c r="AL504">
        <f ca="1">IFERROR(IF(0=LEN(ReferenceData!$AL$504),"",ReferenceData!$AL$504),"")</f>
        <v>1.1886013040000001</v>
      </c>
      <c r="AM504">
        <f ca="1">IFERROR(IF(0=LEN(ReferenceData!$AM$504),"",ReferenceData!$AM$504),"")</f>
        <v>1.1235714459999999</v>
      </c>
      <c r="AN504">
        <f ca="1">IFERROR(IF(0=LEN(ReferenceData!$AN$504),"",ReferenceData!$AN$504),"")</f>
        <v>1.065288201</v>
      </c>
      <c r="AO504">
        <f ca="1">IFERROR(IF(0=LEN(ReferenceData!$AO$504),"",ReferenceData!$AO$504),"")</f>
        <v>1.657645765</v>
      </c>
      <c r="AP504">
        <f ca="1">IFERROR(IF(0=LEN(ReferenceData!$AP$504),"",ReferenceData!$AP$504),"")</f>
        <v>0.29793423499999999</v>
      </c>
      <c r="AQ504">
        <f ca="1">IFERROR(IF(0=LEN(ReferenceData!$AQ$504),"",ReferenceData!$AQ$504),"")</f>
        <v>0.259040412</v>
      </c>
      <c r="AR504">
        <f ca="1">IFERROR(IF(0=LEN(ReferenceData!$AR$504),"",ReferenceData!$AR$504),"")</f>
        <v>0.44919315399999998</v>
      </c>
      <c r="AS504">
        <f ca="1">IFERROR(IF(0=LEN(ReferenceData!$AS$504),"",ReferenceData!$AS$504),"")</f>
        <v>0.57090191400000001</v>
      </c>
      <c r="AT504" t="str">
        <f ca="1">IFERROR(IF(0=LEN(ReferenceData!$AT$504),"",ReferenceData!$AT$504),"")</f>
        <v/>
      </c>
      <c r="AU504" t="str">
        <f ca="1">IFERROR(IF(0=LEN(ReferenceData!$AU$504),"",ReferenceData!$AU$504),"")</f>
        <v/>
      </c>
      <c r="AV504" t="str">
        <f ca="1">IFERROR(IF(0=LEN(ReferenceData!$AV$504),"",ReferenceData!$AV$504),"")</f>
        <v/>
      </c>
      <c r="AW504" t="str">
        <f ca="1">IFERROR(IF(0=LEN(ReferenceData!$AW$504),"",ReferenceData!$AW$504),"")</f>
        <v/>
      </c>
      <c r="AX504">
        <f ca="1">IFERROR(IF(0=LEN(ReferenceData!$AX$504),"",ReferenceData!$AX$504),"")</f>
        <v>1.039754622</v>
      </c>
      <c r="AY504">
        <f ca="1">IFERROR(IF(0=LEN(ReferenceData!$AY$504),"",ReferenceData!$AY$504),"")</f>
        <v>0.61257832599999995</v>
      </c>
      <c r="AZ504">
        <f ca="1">IFERROR(IF(0=LEN(ReferenceData!$AZ$504),"",ReferenceData!$AZ$504),"")</f>
        <v>0.51254033300000001</v>
      </c>
      <c r="BA504">
        <f ca="1">IFERROR(IF(0=LEN(ReferenceData!$BA$504),"",ReferenceData!$BA$504),"")</f>
        <v>0.66462746399999995</v>
      </c>
      <c r="BB504">
        <f ca="1">IFERROR(IF(0=LEN(ReferenceData!$BB$504),"",ReferenceData!$BB$504),"")</f>
        <v>0.72729698700000001</v>
      </c>
      <c r="BC504">
        <f ca="1">IFERROR(IF(0=LEN(ReferenceData!$BC$504),"",ReferenceData!$BC$504),"")</f>
        <v>0.88338355499999999</v>
      </c>
      <c r="BD504">
        <f ca="1">IFERROR(IF(0=LEN(ReferenceData!$BD$504),"",ReferenceData!$BD$504),"")</f>
        <v>1.4619219029999999</v>
      </c>
      <c r="BE504">
        <f ca="1">IFERROR(IF(0=LEN(ReferenceData!$BE$504),"",ReferenceData!$BE$504),"")</f>
        <v>1.454593974</v>
      </c>
      <c r="BF504">
        <f ca="1">IFERROR(IF(0=LEN(ReferenceData!$BF$504),"",ReferenceData!$BF$504),"")</f>
        <v>7.9174973150000003</v>
      </c>
      <c r="BG504">
        <f ca="1">IFERROR(IF(0=LEN(ReferenceData!$BG$504),"",ReferenceData!$BG$504),"")</f>
        <v>13.73812319</v>
      </c>
      <c r="BH504">
        <f ca="1">IFERROR(IF(0=LEN(ReferenceData!$BH$504),"",ReferenceData!$BH$504),"")</f>
        <v>9.1727103040000006</v>
      </c>
      <c r="BI504">
        <f ca="1">IFERROR(IF(0=LEN(ReferenceData!$BI$504),"",ReferenceData!$BI$504),"")</f>
        <v>7.0295536910000003</v>
      </c>
      <c r="BJ504">
        <f ca="1">IFERROR(IF(0=LEN(ReferenceData!$BJ$504),"",ReferenceData!$BJ$504),"")</f>
        <v>4.9976674289999998</v>
      </c>
      <c r="BK504">
        <f ca="1">IFERROR(IF(0=LEN(ReferenceData!$BK$504),"",ReferenceData!$BK$504),"")</f>
        <v>5.5326290130000002</v>
      </c>
      <c r="BL504">
        <f ca="1">IFERROR(IF(0=LEN(ReferenceData!$BL$504),"",ReferenceData!$BL$504),"")</f>
        <v>3.9598453619999998</v>
      </c>
      <c r="BM504">
        <f ca="1">IFERROR(IF(0=LEN(ReferenceData!$BM$504),"",ReferenceData!$BM$504),"")</f>
        <v>3.8063629840000002</v>
      </c>
    </row>
    <row r="505" spans="1:65" x14ac:dyDescent="0.25">
      <c r="A505" t="str">
        <f>IFERROR(IF(0=LEN(ReferenceData!$A$505),"",ReferenceData!$A$505),"")</f>
        <v xml:space="preserve">    Daihatsu Motor Co Ltd</v>
      </c>
      <c r="B505" t="str">
        <f>IFERROR(IF(0=LEN(ReferenceData!$B$505),"",ReferenceData!$B$505),"")</f>
        <v>7262 JP Equity</v>
      </c>
      <c r="C505" t="str">
        <f>IFERROR(IF(0=LEN(ReferenceData!$C$505),"",ReferenceData!$C$505),"")</f>
        <v>DV013</v>
      </c>
      <c r="D505" t="str">
        <f>IFERROR(IF(0=LEN(ReferenceData!$D$505),"",ReferenceData!$D$505),"")</f>
        <v>EQY_DVD_YLD_IND</v>
      </c>
      <c r="E505" t="str">
        <f>IFERROR(IF(0=LEN(ReferenceData!$E$505),"",ReferenceData!$E$505),"")</f>
        <v>Dynamic</v>
      </c>
      <c r="F505" t="str">
        <f ca="1">IFERROR(IF(0=LEN(ReferenceData!$F$505),"",ReferenceData!$F$505),"")</f>
        <v/>
      </c>
      <c r="G505" t="str">
        <f ca="1">IFERROR(IF(0=LEN(ReferenceData!$G$505),"",ReferenceData!$G$505),"")</f>
        <v/>
      </c>
      <c r="H505" t="str">
        <f ca="1">IFERROR(IF(0=LEN(ReferenceData!$H$505),"",ReferenceData!$H$505),"")</f>
        <v/>
      </c>
      <c r="I505" t="str">
        <f ca="1">IFERROR(IF(0=LEN(ReferenceData!$I$505),"",ReferenceData!$I$505),"")</f>
        <v/>
      </c>
      <c r="J505" t="str">
        <f ca="1">IFERROR(IF(0=LEN(ReferenceData!$J$505),"",ReferenceData!$J$505),"")</f>
        <v/>
      </c>
      <c r="K505" t="str">
        <f ca="1">IFERROR(IF(0=LEN(ReferenceData!$K$505),"",ReferenceData!$K$505),"")</f>
        <v/>
      </c>
      <c r="L505" t="str">
        <f ca="1">IFERROR(IF(0=LEN(ReferenceData!$L$505),"",ReferenceData!$L$505),"")</f>
        <v/>
      </c>
      <c r="M505" t="str">
        <f ca="1">IFERROR(IF(0=LEN(ReferenceData!$M$505),"",ReferenceData!$M$505),"")</f>
        <v/>
      </c>
      <c r="N505" t="str">
        <f ca="1">IFERROR(IF(0=LEN(ReferenceData!$N$505),"",ReferenceData!$N$505),"")</f>
        <v/>
      </c>
      <c r="O505" t="str">
        <f ca="1">IFERROR(IF(0=LEN(ReferenceData!$O$505),"",ReferenceData!$O$505),"")</f>
        <v/>
      </c>
      <c r="P505" t="str">
        <f ca="1">IFERROR(IF(0=LEN(ReferenceData!$P$505),"",ReferenceData!$P$505),"")</f>
        <v/>
      </c>
      <c r="Q505">
        <f ca="1">IFERROR(IF(0=LEN(ReferenceData!$Q$505),"",ReferenceData!$Q$505),"")</f>
        <v>2.1080368909999998</v>
      </c>
      <c r="R505">
        <f ca="1">IFERROR(IF(0=LEN(ReferenceData!$R$505),"",ReferenceData!$R$505),"")</f>
        <v>2.0176544769999998</v>
      </c>
      <c r="S505">
        <f ca="1">IFERROR(IF(0=LEN(ReferenceData!$S$505),"",ReferenceData!$S$505),"")</f>
        <v>1.9500304690000001</v>
      </c>
      <c r="T505">
        <f ca="1">IFERROR(IF(0=LEN(ReferenceData!$T$505),"",ReferenceData!$T$505),"")</f>
        <v>2.317161477</v>
      </c>
      <c r="U505">
        <f ca="1">IFERROR(IF(0=LEN(ReferenceData!$U$505),"",ReferenceData!$U$505),"")</f>
        <v>1.835915089</v>
      </c>
      <c r="V505">
        <f ca="1">IFERROR(IF(0=LEN(ReferenceData!$V$505),"",ReferenceData!$V$505),"")</f>
        <v>2.611534276</v>
      </c>
      <c r="W505">
        <f ca="1">IFERROR(IF(0=LEN(ReferenceData!$W$505),"",ReferenceData!$W$505),"")</f>
        <v>3.0398986699999999</v>
      </c>
      <c r="X505">
        <f ca="1">IFERROR(IF(0=LEN(ReferenceData!$X$505),"",ReferenceData!$X$505),"")</f>
        <v>2.7570361860000001</v>
      </c>
      <c r="Y505">
        <f ca="1">IFERROR(IF(0=LEN(ReferenceData!$Y$505),"",ReferenceData!$Y$505),"")</f>
        <v>2.6651860080000001</v>
      </c>
      <c r="Z505">
        <f ca="1">IFERROR(IF(0=LEN(ReferenceData!$Z$505),"",ReferenceData!$Z$505),"")</f>
        <v>3.0718595720000001</v>
      </c>
      <c r="AA505">
        <f ca="1">IFERROR(IF(0=LEN(ReferenceData!$AA$505),"",ReferenceData!$AA$505),"")</f>
        <v>3.1425364760000001</v>
      </c>
      <c r="AB505">
        <f ca="1">IFERROR(IF(0=LEN(ReferenceData!$AB$505),"",ReferenceData!$AB$505),"")</f>
        <v>2.9473684210000002</v>
      </c>
      <c r="AC505">
        <f ca="1">IFERROR(IF(0=LEN(ReferenceData!$AC$505),"",ReferenceData!$AC$505),"")</f>
        <v>2.9787234040000001</v>
      </c>
      <c r="AD505">
        <f ca="1">IFERROR(IF(0=LEN(ReferenceData!$AD$505),"",ReferenceData!$AD$505),"")</f>
        <v>2.8688524590000002</v>
      </c>
      <c r="AE505">
        <f ca="1">IFERROR(IF(0=LEN(ReferenceData!$AE$505),"",ReferenceData!$AE$505),"")</f>
        <v>3.2729398010000001</v>
      </c>
      <c r="AF505">
        <f ca="1">IFERROR(IF(0=LEN(ReferenceData!$AF$505),"",ReferenceData!$AF$505),"")</f>
        <v>4.301075269</v>
      </c>
      <c r="AG505">
        <f ca="1">IFERROR(IF(0=LEN(ReferenceData!$AG$505),"",ReferenceData!$AG$505),"")</f>
        <v>4.0374909880000001</v>
      </c>
      <c r="AH505">
        <f ca="1">IFERROR(IF(0=LEN(ReferenceData!$AH$505),"",ReferenceData!$AH$505),"")</f>
        <v>2.9683377310000001</v>
      </c>
      <c r="AI505">
        <f ca="1">IFERROR(IF(0=LEN(ReferenceData!$AI$505),"",ReferenceData!$AI$505),"")</f>
        <v>3.2751091699999999</v>
      </c>
      <c r="AJ505">
        <f ca="1">IFERROR(IF(0=LEN(ReferenceData!$AJ$505),"",ReferenceData!$AJ$505),"")</f>
        <v>3.1937544359999999</v>
      </c>
      <c r="AK505">
        <f ca="1">IFERROR(IF(0=LEN(ReferenceData!$AK$505),"",ReferenceData!$AK$505),"")</f>
        <v>3.2991202350000002</v>
      </c>
      <c r="AL505">
        <f ca="1">IFERROR(IF(0=LEN(ReferenceData!$AL$505),"",ReferenceData!$AL$505),"")</f>
        <v>2.4752475249999999</v>
      </c>
      <c r="AM505">
        <f ca="1">IFERROR(IF(0=LEN(ReferenceData!$AM$505),"",ReferenceData!$AM$505),"")</f>
        <v>2.4077046549999999</v>
      </c>
      <c r="AN505">
        <f ca="1">IFERROR(IF(0=LEN(ReferenceData!$AN$505),"",ReferenceData!$AN$505),"")</f>
        <v>2.6857654430000002</v>
      </c>
      <c r="AO505">
        <f ca="1">IFERROR(IF(0=LEN(ReferenceData!$AO$505),"",ReferenceData!$AO$505),"")</f>
        <v>3.6144578310000002</v>
      </c>
      <c r="AP505">
        <f ca="1">IFERROR(IF(0=LEN(ReferenceData!$AP$505),"",ReferenceData!$AP$505),"")</f>
        <v>1.343784994</v>
      </c>
      <c r="AQ505">
        <f ca="1">IFERROR(IF(0=LEN(ReferenceData!$AQ$505),"",ReferenceData!$AQ$505),"")</f>
        <v>1.2972972970000001</v>
      </c>
      <c r="AR505">
        <f ca="1">IFERROR(IF(0=LEN(ReferenceData!$AR$505),"",ReferenceData!$AR$505),"")</f>
        <v>1.3086150489999999</v>
      </c>
      <c r="AS505">
        <f ca="1">IFERROR(IF(0=LEN(ReferenceData!$AS$505),"",ReferenceData!$AS$505),"")</f>
        <v>1.336302895</v>
      </c>
      <c r="AT505">
        <f ca="1">IFERROR(IF(0=LEN(ReferenceData!$AT$505),"",ReferenceData!$AT$505),"")</f>
        <v>2.2106631989999999</v>
      </c>
      <c r="AU505">
        <f ca="1">IFERROR(IF(0=LEN(ReferenceData!$AU$505),"",ReferenceData!$AU$505),"")</f>
        <v>2.1711366540000001</v>
      </c>
      <c r="AV505">
        <f ca="1">IFERROR(IF(0=LEN(ReferenceData!$AV$505),"",ReferenceData!$AV$505),"")</f>
        <v>1.49122807</v>
      </c>
      <c r="AW505">
        <f ca="1">IFERROR(IF(0=LEN(ReferenceData!$AW$505),"",ReferenceData!$AW$505),"")</f>
        <v>1.3980263159999999</v>
      </c>
      <c r="AX505">
        <f ca="1">IFERROR(IF(0=LEN(ReferenceData!$AX$505),"",ReferenceData!$AX$505),"")</f>
        <v>1.169590643</v>
      </c>
      <c r="AY505">
        <f ca="1">IFERROR(IF(0=LEN(ReferenceData!$AY$505),"",ReferenceData!$AY$505),"")</f>
        <v>1.3320647000000001</v>
      </c>
      <c r="AZ505">
        <f ca="1">IFERROR(IF(0=LEN(ReferenceData!$AZ$505),"",ReferenceData!$AZ$505),"")</f>
        <v>1.0896898580000001</v>
      </c>
      <c r="BA505">
        <f ca="1">IFERROR(IF(0=LEN(ReferenceData!$BA$505),"",ReferenceData!$BA$505),"")</f>
        <v>1.150442478</v>
      </c>
      <c r="BB505">
        <f ca="1">IFERROR(IF(0=LEN(ReferenceData!$BB$505),"",ReferenceData!$BB$505),"")</f>
        <v>1.1586452759999999</v>
      </c>
      <c r="BC505">
        <f ca="1">IFERROR(IF(0=LEN(ReferenceData!$BC$505),"",ReferenceData!$BC$505),"")</f>
        <v>1.082431307</v>
      </c>
      <c r="BD505">
        <f ca="1">IFERROR(IF(0=LEN(ReferenceData!$BD$505),"",ReferenceData!$BD$505),"")</f>
        <v>1.110083256</v>
      </c>
      <c r="BE505">
        <f ca="1">IFERROR(IF(0=LEN(ReferenceData!$BE$505),"",ReferenceData!$BE$505),"")</f>
        <v>1.178781925</v>
      </c>
      <c r="BF505">
        <f ca="1">IFERROR(IF(0=LEN(ReferenceData!$BF$505),"",ReferenceData!$BF$505),"")</f>
        <v>0.909090909</v>
      </c>
      <c r="BG505">
        <f ca="1">IFERROR(IF(0=LEN(ReferenceData!$BG$505),"",ReferenceData!$BG$505),"")</f>
        <v>0.86274509799999999</v>
      </c>
      <c r="BH505">
        <f ca="1">IFERROR(IF(0=LEN(ReferenceData!$BH$505),"",ReferenceData!$BH$505),"")</f>
        <v>0.78260869600000005</v>
      </c>
      <c r="BI505">
        <f ca="1">IFERROR(IF(0=LEN(ReferenceData!$BI$505),"",ReferenceData!$BI$505),"")</f>
        <v>0.94240837700000002</v>
      </c>
      <c r="BJ505">
        <f ca="1">IFERROR(IF(0=LEN(ReferenceData!$BJ$505),"",ReferenceData!$BJ$505),"")</f>
        <v>0.84235860399999996</v>
      </c>
      <c r="BK505">
        <f ca="1">IFERROR(IF(0=LEN(ReferenceData!$BK$505),"",ReferenceData!$BK$505),"")</f>
        <v>0.85679314600000001</v>
      </c>
      <c r="BL505">
        <f ca="1">IFERROR(IF(0=LEN(ReferenceData!$BL$505),"",ReferenceData!$BL$505),"")</f>
        <v>0.79365079400000005</v>
      </c>
      <c r="BM505">
        <f ca="1">IFERROR(IF(0=LEN(ReferenceData!$BM$505),"",ReferenceData!$BM$505),"")</f>
        <v>0.88719898600000002</v>
      </c>
    </row>
    <row r="506" spans="1:65" x14ac:dyDescent="0.25">
      <c r="A506" t="str">
        <f>IFERROR(IF(0=LEN(ReferenceData!$A$506),"",ReferenceData!$A$506),"")</f>
        <v xml:space="preserve">    Daimler AG</v>
      </c>
      <c r="B506" t="str">
        <f>IFERROR(IF(0=LEN(ReferenceData!$B$506),"",ReferenceData!$B$506),"")</f>
        <v>DAI GR Equity</v>
      </c>
      <c r="C506" t="str">
        <f>IFERROR(IF(0=LEN(ReferenceData!$C$506),"",ReferenceData!$C$506),"")</f>
        <v>DV013</v>
      </c>
      <c r="D506" t="str">
        <f>IFERROR(IF(0=LEN(ReferenceData!$D$506),"",ReferenceData!$D$506),"")</f>
        <v>EQY_DVD_YLD_IND</v>
      </c>
      <c r="E506" t="str">
        <f>IFERROR(IF(0=LEN(ReferenceData!$E$506),"",ReferenceData!$E$506),"")</f>
        <v>Dynamic</v>
      </c>
      <c r="F506">
        <f ca="1">IFERROR(IF(0=LEN(ReferenceData!$F$506),"",ReferenceData!$F$506),"")</f>
        <v>6.2224775030000004</v>
      </c>
      <c r="G506">
        <f ca="1">IFERROR(IF(0=LEN(ReferenceData!$G$506),"",ReferenceData!$G$506),"")</f>
        <v>7.9503378250000001</v>
      </c>
      <c r="H506">
        <f ca="1">IFERROR(IF(0=LEN(ReferenceData!$H$506),"",ReferenceData!$H$506),"")</f>
        <v>6.7095589990000004</v>
      </c>
      <c r="I506">
        <f ca="1">IFERROR(IF(0=LEN(ReferenceData!$I$506),"",ReferenceData!$I$506),"")</f>
        <v>6.6207148470000003</v>
      </c>
      <c r="J506">
        <f ca="1">IFERROR(IF(0=LEN(ReferenceData!$J$506),"",ReferenceData!$J$506),"")</f>
        <v>5.2821998490000004</v>
      </c>
      <c r="K506">
        <f ca="1">IFERROR(IF(0=LEN(ReferenceData!$K$506),"",ReferenceData!$K$506),"")</f>
        <v>4.5903954799999998</v>
      </c>
      <c r="L506">
        <f ca="1">IFERROR(IF(0=LEN(ReferenceData!$L$506),"",ReferenceData!$L$506),"")</f>
        <v>4.8262548260000004</v>
      </c>
      <c r="M506">
        <f ca="1">IFERROR(IF(0=LEN(ReferenceData!$M$506),"",ReferenceData!$M$506),"")</f>
        <v>5.1181102359999997</v>
      </c>
      <c r="N506">
        <f ca="1">IFERROR(IF(0=LEN(ReferenceData!$N$506),"",ReferenceData!$N$506),"")</f>
        <v>4.7040092629999997</v>
      </c>
      <c r="O506">
        <f ca="1">IFERROR(IF(0=LEN(ReferenceData!$O$506),"",ReferenceData!$O$506),"")</f>
        <v>4.5955882350000001</v>
      </c>
      <c r="P506">
        <f ca="1">IFERROR(IF(0=LEN(ReferenceData!$P$506),"",ReferenceData!$P$506),"")</f>
        <v>5.1867219919999998</v>
      </c>
      <c r="Q506">
        <f ca="1">IFERROR(IF(0=LEN(ReferenceData!$Q$506),"",ReferenceData!$Q$506),"")</f>
        <v>6.0186299749999996</v>
      </c>
      <c r="R506">
        <f ca="1">IFERROR(IF(0=LEN(ReferenceData!$R$506),"",ReferenceData!$R$506),"")</f>
        <v>4.8168129000000004</v>
      </c>
      <c r="S506">
        <f ca="1">IFERROR(IF(0=LEN(ReferenceData!$S$506),"",ReferenceData!$S$506),"")</f>
        <v>3.158030482</v>
      </c>
      <c r="T506">
        <f ca="1">IFERROR(IF(0=LEN(ReferenceData!$T$506),"",ReferenceData!$T$506),"")</f>
        <v>3.7688829460000002</v>
      </c>
      <c r="U506">
        <f ca="1">IFERROR(IF(0=LEN(ReferenceData!$U$506),"",ReferenceData!$U$506),"")</f>
        <v>2.9827124999999999</v>
      </c>
      <c r="V506">
        <f ca="1">IFERROR(IF(0=LEN(ReferenceData!$V$506),"",ReferenceData!$V$506),"")</f>
        <v>2.7284978199999999</v>
      </c>
      <c r="W506">
        <f ca="1">IFERROR(IF(0=LEN(ReferenceData!$W$506),"",ReferenceData!$W$506),"")</f>
        <v>3.2622879509999998</v>
      </c>
      <c r="X506">
        <f ca="1">IFERROR(IF(0=LEN(ReferenceData!$X$506),"",ReferenceData!$X$506),"")</f>
        <v>3.7177792470000002</v>
      </c>
      <c r="Y506">
        <f ca="1">IFERROR(IF(0=LEN(ReferenceData!$Y$506),"",ReferenceData!$Y$506),"")</f>
        <v>3.2933255269999999</v>
      </c>
      <c r="Z506">
        <f ca="1">IFERROR(IF(0=LEN(ReferenceData!$Z$506),"",ReferenceData!$Z$506),"")</f>
        <v>3.2698735650000001</v>
      </c>
      <c r="AA506">
        <f ca="1">IFERROR(IF(0=LEN(ReferenceData!$AA$506),"",ReferenceData!$AA$506),"")</f>
        <v>3.4976153380000001</v>
      </c>
      <c r="AB506">
        <f ca="1">IFERROR(IF(0=LEN(ReferenceData!$AB$506),"",ReferenceData!$AB$506),"")</f>
        <v>3.813485955</v>
      </c>
      <c r="AC506">
        <f ca="1">IFERROR(IF(0=LEN(ReferenceData!$AC$506),"",ReferenceData!$AC$506),"")</f>
        <v>4.7413794129999998</v>
      </c>
      <c r="AD506">
        <f ca="1">IFERROR(IF(0=LEN(ReferenceData!$AD$506),"",ReferenceData!$AD$506),"")</f>
        <v>5.1522249359999996</v>
      </c>
      <c r="AE506">
        <f ca="1">IFERROR(IF(0=LEN(ReferenceData!$AE$506),"",ReferenceData!$AE$506),"")</f>
        <v>5.3242982760000004</v>
      </c>
      <c r="AF506">
        <f ca="1">IFERROR(IF(0=LEN(ReferenceData!$AF$506),"",ReferenceData!$AF$506),"")</f>
        <v>5.8139536139999999</v>
      </c>
      <c r="AG506">
        <f ca="1">IFERROR(IF(0=LEN(ReferenceData!$AG$506),"",ReferenceData!$AG$506),"")</f>
        <v>6.2243600160000003</v>
      </c>
      <c r="AH506">
        <f ca="1">IFERROR(IF(0=LEN(ReferenceData!$AH$506),"",ReferenceData!$AH$506),"")</f>
        <v>4.8404841530000002</v>
      </c>
      <c r="AI506">
        <f ca="1">IFERROR(IF(0=LEN(ReferenceData!$AI$506),"",ReferenceData!$AI$506),"")</f>
        <v>5.4540095040000001</v>
      </c>
      <c r="AJ506">
        <f ca="1">IFERROR(IF(0=LEN(ReferenceData!$AJ$506),"",ReferenceData!$AJ$506),"")</f>
        <v>5.5207401489999999</v>
      </c>
      <c r="AK506">
        <f ca="1">IFERROR(IF(0=LEN(ReferenceData!$AK$506),"",ReferenceData!$AK$506),"")</f>
        <v>3.5741886090000001</v>
      </c>
      <c r="AL506">
        <f ca="1">IFERROR(IF(0=LEN(ReferenceData!$AL$506),"",ReferenceData!$AL$506),"")</f>
        <v>3.7000000480000002</v>
      </c>
      <c r="AM506" t="str">
        <f ca="1">IFERROR(IF(0=LEN(ReferenceData!$AM$506),"",ReferenceData!$AM$506),"")</f>
        <v/>
      </c>
      <c r="AN506" t="str">
        <f ca="1">IFERROR(IF(0=LEN(ReferenceData!$AN$506),"",ReferenceData!$AN$506),"")</f>
        <v/>
      </c>
      <c r="AO506" t="str">
        <f ca="1">IFERROR(IF(0=LEN(ReferenceData!$AO$506),"",ReferenceData!$AO$506),"")</f>
        <v/>
      </c>
      <c r="AP506">
        <f ca="1">IFERROR(IF(0=LEN(ReferenceData!$AP$506),"",ReferenceData!$AP$506),"")</f>
        <v>1.8176310929999999</v>
      </c>
      <c r="AQ506">
        <f ca="1">IFERROR(IF(0=LEN(ReferenceData!$AQ$506),"",ReferenceData!$AQ$506),"")</f>
        <v>1.61160361</v>
      </c>
      <c r="AR506">
        <f ca="1">IFERROR(IF(0=LEN(ReferenceData!$AR$506),"",ReferenceData!$AR$506),"")</f>
        <v>1.7331023219999999</v>
      </c>
      <c r="AS506">
        <f ca="1">IFERROR(IF(0=LEN(ReferenceData!$AS$506),"",ReferenceData!$AS$506),"")</f>
        <v>2.3328150230000002</v>
      </c>
      <c r="AT506">
        <f ca="1">IFERROR(IF(0=LEN(ReferenceData!$AT$506),"",ReferenceData!$AT$506),"")</f>
        <v>3.0911902310000001</v>
      </c>
      <c r="AU506">
        <f ca="1">IFERROR(IF(0=LEN(ReferenceData!$AU$506),"",ReferenceData!$AU$506),"")</f>
        <v>7.4906367039999999</v>
      </c>
      <c r="AV506">
        <f ca="1">IFERROR(IF(0=LEN(ReferenceData!$AV$506),"",ReferenceData!$AV$506),"")</f>
        <v>5.5517002079999997</v>
      </c>
      <c r="AW506">
        <f ca="1">IFERROR(IF(0=LEN(ReferenceData!$AW$506),"",ReferenceData!$AW$506),"")</f>
        <v>5.1020408159999997</v>
      </c>
      <c r="AX506">
        <f ca="1">IFERROR(IF(0=LEN(ReferenceData!$AX$506),"",ReferenceData!$AX$506),"")</f>
        <v>3.6839196909999998</v>
      </c>
      <c r="AY506">
        <f ca="1">IFERROR(IF(0=LEN(ReferenceData!$AY$506),"",ReferenceData!$AY$506),"")</f>
        <v>2.2651766840000001</v>
      </c>
      <c r="AZ506">
        <f ca="1">IFERROR(IF(0=LEN(ReferenceData!$AZ$506),"",ReferenceData!$AZ$506),"")</f>
        <v>2.121340687</v>
      </c>
      <c r="BA506">
        <f ca="1">IFERROR(IF(0=LEN(ReferenceData!$BA$506),"",ReferenceData!$BA$506),"")</f>
        <v>2.1987686900000001</v>
      </c>
      <c r="BB506">
        <f ca="1">IFERROR(IF(0=LEN(ReferenceData!$BB$506),"",ReferenceData!$BB$506),"")</f>
        <v>2.430330525</v>
      </c>
      <c r="BC506">
        <f ca="1">IFERROR(IF(0=LEN(ReferenceData!$BC$506),"",ReferenceData!$BC$506),"")</f>
        <v>3.191489362</v>
      </c>
      <c r="BD506">
        <f ca="1">IFERROR(IF(0=LEN(ReferenceData!$BD$506),"",ReferenceData!$BD$506),"")</f>
        <v>3.7955465589999999</v>
      </c>
      <c r="BE506">
        <f ca="1">IFERROR(IF(0=LEN(ReferenceData!$BE$506),"",ReferenceData!$BE$506),"")</f>
        <v>3.8900414940000001</v>
      </c>
      <c r="BF506">
        <f ca="1">IFERROR(IF(0=LEN(ReferenceData!$BF$506),"",ReferenceData!$BF$506),"")</f>
        <v>3.1625553449999999</v>
      </c>
      <c r="BG506">
        <f ca="1">IFERROR(IF(0=LEN(ReferenceData!$BG$506),"",ReferenceData!$BG$506),"")</f>
        <v>3.4770514600000002</v>
      </c>
      <c r="BH506">
        <f ca="1">IFERROR(IF(0=LEN(ReferenceData!$BH$506),"",ReferenceData!$BH$506),"")</f>
        <v>3.3975084940000002</v>
      </c>
      <c r="BI506">
        <f ca="1">IFERROR(IF(0=LEN(ReferenceData!$BI$506),"",ReferenceData!$BI$506),"")</f>
        <v>4.4642857139999998</v>
      </c>
      <c r="BJ506">
        <f ca="1">IFERROR(IF(0=LEN(ReferenceData!$BJ$506),"",ReferenceData!$BJ$506),"")</f>
        <v>4.3327556329999997</v>
      </c>
      <c r="BK506">
        <f ca="1">IFERROR(IF(0=LEN(ReferenceData!$BK$506),"",ReferenceData!$BK$506),"")</f>
        <v>4.2541123089999999</v>
      </c>
      <c r="BL506">
        <f ca="1">IFERROR(IF(0=LEN(ReferenceData!$BL$506),"",ReferenceData!$BL$506),"")</f>
        <v>4.5262522629999999</v>
      </c>
      <c r="BM506">
        <f ca="1">IFERROR(IF(0=LEN(ReferenceData!$BM$506),"",ReferenceData!$BM$506),"")</f>
        <v>3.897116134</v>
      </c>
    </row>
    <row r="507" spans="1:65" x14ac:dyDescent="0.25">
      <c r="A507" t="str">
        <f>IFERROR(IF(0=LEN(ReferenceData!$A$507),"",ReferenceData!$A$507),"")</f>
        <v xml:space="preserve">    Dongfeng Motor Group Co Ltd</v>
      </c>
      <c r="B507" t="str">
        <f>IFERROR(IF(0=LEN(ReferenceData!$B$507),"",ReferenceData!$B$507),"")</f>
        <v>489 HK Equity</v>
      </c>
      <c r="C507" t="str">
        <f>IFERROR(IF(0=LEN(ReferenceData!$C$507),"",ReferenceData!$C$507),"")</f>
        <v>DV013</v>
      </c>
      <c r="D507" t="str">
        <f>IFERROR(IF(0=LEN(ReferenceData!$D$507),"",ReferenceData!$D$507),"")</f>
        <v>EQY_DVD_YLD_IND</v>
      </c>
      <c r="E507" t="str">
        <f>IFERROR(IF(0=LEN(ReferenceData!$E$507),"",ReferenceData!$E$507),"")</f>
        <v>Dynamic</v>
      </c>
      <c r="F507">
        <f ca="1">IFERROR(IF(0=LEN(ReferenceData!$F$507),"",ReferenceData!$F$507),"")</f>
        <v>4.7332530009999996</v>
      </c>
      <c r="G507">
        <f ca="1">IFERROR(IF(0=LEN(ReferenceData!$G$507),"",ReferenceData!$G$507),"")</f>
        <v>5.8065681180000004</v>
      </c>
      <c r="H507">
        <f ca="1">IFERROR(IF(0=LEN(ReferenceData!$H$507),"",ReferenceData!$H$507),"")</f>
        <v>5.1149669529999997</v>
      </c>
      <c r="I507">
        <f ca="1">IFERROR(IF(0=LEN(ReferenceData!$I$507),"",ReferenceData!$I$507),"")</f>
        <v>7.1866512299999998</v>
      </c>
      <c r="J507">
        <f ca="1">IFERROR(IF(0=LEN(ReferenceData!$J$507),"",ReferenceData!$J$507),"")</f>
        <v>6.5476624819999998</v>
      </c>
      <c r="K507">
        <f ca="1">IFERROR(IF(0=LEN(ReferenceData!$K$507),"",ReferenceData!$K$507),"")</f>
        <v>1.2730537710000001</v>
      </c>
      <c r="L507">
        <f ca="1">IFERROR(IF(0=LEN(ReferenceData!$L$507),"",ReferenceData!$L$507),"")</f>
        <v>1.1669659569999999</v>
      </c>
      <c r="M507">
        <f ca="1">IFERROR(IF(0=LEN(ReferenceData!$M$507),"",ReferenceData!$M$507),"")</f>
        <v>2.8554289599999998</v>
      </c>
      <c r="N507">
        <f ca="1">IFERROR(IF(0=LEN(ReferenceData!$N$507),"",ReferenceData!$N$507),"")</f>
        <v>3.0189701370000002</v>
      </c>
      <c r="O507">
        <f ca="1">IFERROR(IF(0=LEN(ReferenceData!$O$507),"",ReferenceData!$O$507),"")</f>
        <v>3.0832896139999999</v>
      </c>
      <c r="P507">
        <f ca="1">IFERROR(IF(0=LEN(ReferenceData!$P$507),"",ReferenceData!$P$507),"")</f>
        <v>3.0116777269999999</v>
      </c>
      <c r="Q507">
        <f ca="1">IFERROR(IF(0=LEN(ReferenceData!$Q$507),"",ReferenceData!$Q$507),"")</f>
        <v>2.8886760370000002</v>
      </c>
      <c r="R507">
        <f ca="1">IFERROR(IF(0=LEN(ReferenceData!$R$507),"",ReferenceData!$R$507),"")</f>
        <v>2.4112089239999999</v>
      </c>
      <c r="S507">
        <f ca="1">IFERROR(IF(0=LEN(ReferenceData!$S$507),"",ReferenceData!$S$507),"")</f>
        <v>2.4100654829999999</v>
      </c>
      <c r="T507">
        <f ca="1">IFERROR(IF(0=LEN(ReferenceData!$T$507),"",ReferenceData!$T$507),"")</f>
        <v>2.5873863639999999</v>
      </c>
      <c r="U507">
        <f ca="1">IFERROR(IF(0=LEN(ReferenceData!$U$507),"",ReferenceData!$U$507),"")</f>
        <v>2.4007960009999998</v>
      </c>
      <c r="V507">
        <f ca="1">IFERROR(IF(0=LEN(ReferenceData!$V$507),"",ReferenceData!$V$507),"")</f>
        <v>2.007096335</v>
      </c>
      <c r="W507">
        <f ca="1">IFERROR(IF(0=LEN(ReferenceData!$W$507),"",ReferenceData!$W$507),"")</f>
        <v>2.0436246379999998</v>
      </c>
      <c r="X507">
        <f ca="1">IFERROR(IF(0=LEN(ReferenceData!$X$507),"",ReferenceData!$X$507),"")</f>
        <v>1.7585422040000001</v>
      </c>
      <c r="Y507">
        <f ca="1">IFERROR(IF(0=LEN(ReferenceData!$Y$507),"",ReferenceData!$Y$507),"")</f>
        <v>1.6166425449999999</v>
      </c>
      <c r="Z507">
        <f ca="1">IFERROR(IF(0=LEN(ReferenceData!$Z$507),"",ReferenceData!$Z$507),"")</f>
        <v>2.0436246379999998</v>
      </c>
      <c r="AA507">
        <f ca="1">IFERROR(IF(0=LEN(ReferenceData!$AA$507),"",ReferenceData!$AA$507),"")</f>
        <v>1.558898603</v>
      </c>
      <c r="AB507">
        <f ca="1">IFERROR(IF(0=LEN(ReferenceData!$AB$507),"",ReferenceData!$AB$507),"")</f>
        <v>1.606538968</v>
      </c>
      <c r="AC507">
        <f ca="1">IFERROR(IF(0=LEN(ReferenceData!$AC$507),"",ReferenceData!$AC$507),"")</f>
        <v>1.826740255</v>
      </c>
      <c r="AD507">
        <f ca="1">IFERROR(IF(0=LEN(ReferenceData!$AD$507),"",ReferenceData!$AD$507),"")</f>
        <v>1.7362411959999999</v>
      </c>
      <c r="AE507">
        <f ca="1">IFERROR(IF(0=LEN(ReferenceData!$AE$507),"",ReferenceData!$AE$507),"")</f>
        <v>1.835134815</v>
      </c>
      <c r="AF507">
        <f ca="1">IFERROR(IF(0=LEN(ReferenceData!$AF$507),"",ReferenceData!$AF$507),"")</f>
        <v>2.4252168379999999</v>
      </c>
      <c r="AG507">
        <f ca="1">IFERROR(IF(0=LEN(ReferenceData!$AG$507),"",ReferenceData!$AG$507),"")</f>
        <v>1.8443875949999999</v>
      </c>
      <c r="AH507">
        <f ca="1">IFERROR(IF(0=LEN(ReferenceData!$AH$507),"",ReferenceData!$AH$507),"")</f>
        <v>1.565493037</v>
      </c>
      <c r="AI507">
        <f ca="1">IFERROR(IF(0=LEN(ReferenceData!$AI$507),"",ReferenceData!$AI$507),"")</f>
        <v>1.615251641</v>
      </c>
      <c r="AJ507">
        <f ca="1">IFERROR(IF(0=LEN(ReferenceData!$AJ$507),"",ReferenceData!$AJ$507),"")</f>
        <v>2.0070104350000002</v>
      </c>
      <c r="AK507">
        <f ca="1">IFERROR(IF(0=LEN(ReferenceData!$AK$507),"",ReferenceData!$AK$507),"")</f>
        <v>1.4636157729999999</v>
      </c>
      <c r="AL507">
        <f ca="1">IFERROR(IF(0=LEN(ReferenceData!$AL$507),"",ReferenceData!$AL$507),"")</f>
        <v>1.62501147</v>
      </c>
      <c r="AM507">
        <f ca="1">IFERROR(IF(0=LEN(ReferenceData!$AM$507),"",ReferenceData!$AM$507),"")</f>
        <v>0.76743465499999997</v>
      </c>
      <c r="AN507">
        <f ca="1">IFERROR(IF(0=LEN(ReferenceData!$AN$507),"",ReferenceData!$AN$507),"")</f>
        <v>0.64758339899999995</v>
      </c>
      <c r="AO507">
        <f ca="1">IFERROR(IF(0=LEN(ReferenceData!$AO$507),"",ReferenceData!$AO$507),"")</f>
        <v>1.120220521</v>
      </c>
      <c r="AP507">
        <f ca="1">IFERROR(IF(0=LEN(ReferenceData!$AP$507),"",ReferenceData!$AP$507),"")</f>
        <v>0.404924591</v>
      </c>
      <c r="AQ507">
        <f ca="1">IFERROR(IF(0=LEN(ReferenceData!$AQ$507),"",ReferenceData!$AQ$507),"")</f>
        <v>0.45707945799999999</v>
      </c>
      <c r="AR507">
        <f ca="1">IFERROR(IF(0=LEN(ReferenceData!$AR$507),"",ReferenceData!$AR$507),"")</f>
        <v>0.62016363399999996</v>
      </c>
      <c r="AS507">
        <f ca="1">IFERROR(IF(0=LEN(ReferenceData!$AS$507),"",ReferenceData!$AS$507),"")</f>
        <v>0.78136824800000004</v>
      </c>
      <c r="AT507">
        <f ca="1">IFERROR(IF(0=LEN(ReferenceData!$AT$507),"",ReferenceData!$AT$507),"")</f>
        <v>1.2553932880000001</v>
      </c>
      <c r="AU507">
        <f ca="1">IFERROR(IF(0=LEN(ReferenceData!$AU$507),"",ReferenceData!$AU$507),"")</f>
        <v>2.013650835</v>
      </c>
      <c r="AV507">
        <f ca="1">IFERROR(IF(0=LEN(ReferenceData!$AV$507),"",ReferenceData!$AV$507),"")</f>
        <v>1.8108370810000001</v>
      </c>
      <c r="AW507">
        <f ca="1">IFERROR(IF(0=LEN(ReferenceData!$AW$507),"",ReferenceData!$AW$507),"")</f>
        <v>1.613502271</v>
      </c>
      <c r="AX507">
        <f ca="1">IFERROR(IF(0=LEN(ReferenceData!$AX$507),"",ReferenceData!$AX$507),"")</f>
        <v>1.1630129600000001</v>
      </c>
      <c r="AY507">
        <f ca="1">IFERROR(IF(0=LEN(ReferenceData!$AY$507),"",ReferenceData!$AY$507),"")</f>
        <v>0.74009915599999998</v>
      </c>
      <c r="AZ507">
        <f ca="1">IFERROR(IF(0=LEN(ReferenceData!$AZ$507),"",ReferenceData!$AZ$507),"")</f>
        <v>0.59598028700000005</v>
      </c>
      <c r="BA507">
        <f ca="1">IFERROR(IF(0=LEN(ReferenceData!$BA$507),"",ReferenceData!$BA$507),"")</f>
        <v>0.97849648099999997</v>
      </c>
      <c r="BB507" t="str">
        <f ca="1">IFERROR(IF(0=LEN(ReferenceData!$BB$507),"",ReferenceData!$BB$507),"")</f>
        <v/>
      </c>
      <c r="BC507" t="str">
        <f ca="1">IFERROR(IF(0=LEN(ReferenceData!$BC$507),"",ReferenceData!$BC$507),"")</f>
        <v/>
      </c>
      <c r="BD507" t="str">
        <f ca="1">IFERROR(IF(0=LEN(ReferenceData!$BD$507),"",ReferenceData!$BD$507),"")</f>
        <v/>
      </c>
      <c r="BE507" t="str">
        <f ca="1">IFERROR(IF(0=LEN(ReferenceData!$BE$507),"",ReferenceData!$BE$507),"")</f>
        <v/>
      </c>
      <c r="BF507" t="str">
        <f ca="1">IFERROR(IF(0=LEN(ReferenceData!$BF$507),"",ReferenceData!$BF$507),"")</f>
        <v/>
      </c>
      <c r="BG507" t="str">
        <f ca="1">IFERROR(IF(0=LEN(ReferenceData!$BG$507),"",ReferenceData!$BG$507),"")</f>
        <v/>
      </c>
      <c r="BH507" t="str">
        <f ca="1">IFERROR(IF(0=LEN(ReferenceData!$BH$507),"",ReferenceData!$BH$507),"")</f>
        <v/>
      </c>
      <c r="BI507" t="str">
        <f ca="1">IFERROR(IF(0=LEN(ReferenceData!$BI$507),"",ReferenceData!$BI$507),"")</f>
        <v/>
      </c>
      <c r="BJ507" t="str">
        <f ca="1">IFERROR(IF(0=LEN(ReferenceData!$BJ$507),"",ReferenceData!$BJ$507),"")</f>
        <v/>
      </c>
      <c r="BK507" t="str">
        <f ca="1">IFERROR(IF(0=LEN(ReferenceData!$BK$507),"",ReferenceData!$BK$507),"")</f>
        <v/>
      </c>
      <c r="BL507" t="str">
        <f ca="1">IFERROR(IF(0=LEN(ReferenceData!$BL$507),"",ReferenceData!$BL$507),"")</f>
        <v/>
      </c>
      <c r="BM507" t="str">
        <f ca="1">IFERROR(IF(0=LEN(ReferenceData!$BM$507),"",ReferenceData!$BM$507),"")</f>
        <v/>
      </c>
    </row>
    <row r="508" spans="1:65" x14ac:dyDescent="0.25">
      <c r="A508" t="str">
        <f>IFERROR(IF(0=LEN(ReferenceData!$A$508),"",ReferenceData!$A$508),"")</f>
        <v xml:space="preserve">    DRB-Hicom Bhd</v>
      </c>
      <c r="B508" t="str">
        <f>IFERROR(IF(0=LEN(ReferenceData!$B$508),"",ReferenceData!$B$508),"")</f>
        <v>DRB MK Equity</v>
      </c>
      <c r="C508" t="str">
        <f>IFERROR(IF(0=LEN(ReferenceData!$C$508),"",ReferenceData!$C$508),"")</f>
        <v>DV013</v>
      </c>
      <c r="D508" t="str">
        <f>IFERROR(IF(0=LEN(ReferenceData!$D$508),"",ReferenceData!$D$508),"")</f>
        <v>EQY_DVD_YLD_IND</v>
      </c>
      <c r="E508" t="str">
        <f>IFERROR(IF(0=LEN(ReferenceData!$E$508),"",ReferenceData!$E$508),"")</f>
        <v>Dynamic</v>
      </c>
      <c r="F508">
        <f ca="1">IFERROR(IF(0=LEN(ReferenceData!$F$508),"",ReferenceData!$F$508),"")</f>
        <v>1.621621564</v>
      </c>
      <c r="G508">
        <f ca="1">IFERROR(IF(0=LEN(ReferenceData!$G$508),"",ReferenceData!$G$508),"")</f>
        <v>1.764705843</v>
      </c>
      <c r="H508">
        <f ca="1">IFERROR(IF(0=LEN(ReferenceData!$H$508),"",ReferenceData!$H$508),"")</f>
        <v>1.3824884479999999</v>
      </c>
      <c r="I508">
        <f ca="1">IFERROR(IF(0=LEN(ReferenceData!$I$508),"",ReferenceData!$I$508),"")</f>
        <v>0.51020407000000001</v>
      </c>
      <c r="J508">
        <f ca="1">IFERROR(IF(0=LEN(ReferenceData!$J$508),"",ReferenceData!$J$508),"")</f>
        <v>0.409836056</v>
      </c>
      <c r="K508">
        <f ca="1">IFERROR(IF(0=LEN(ReferenceData!$K$508),"",ReferenceData!$K$508),"")</f>
        <v>0.54644807500000003</v>
      </c>
      <c r="L508">
        <f ca="1">IFERROR(IF(0=LEN(ReferenceData!$L$508),"",ReferenceData!$L$508),"")</f>
        <v>0.61349691900000003</v>
      </c>
      <c r="M508">
        <f ca="1">IFERROR(IF(0=LEN(ReferenceData!$M$508),"",ReferenceData!$M$508),"")</f>
        <v>1.123595481</v>
      </c>
      <c r="N508">
        <f ca="1">IFERROR(IF(0=LEN(ReferenceData!$N$508),"",ReferenceData!$N$508),"")</f>
        <v>1.428571397</v>
      </c>
      <c r="O508">
        <f ca="1">IFERROR(IF(0=LEN(ReferenceData!$O$508),"",ReferenceData!$O$508),"")</f>
        <v>1.739130396</v>
      </c>
      <c r="P508">
        <f ca="1">IFERROR(IF(0=LEN(ReferenceData!$P$508),"",ReferenceData!$P$508),"")</f>
        <v>1.379310314</v>
      </c>
      <c r="Q508">
        <f ca="1">IFERROR(IF(0=LEN(ReferenceData!$Q$508),"",ReferenceData!$Q$508),"")</f>
        <v>5.0000001989999996</v>
      </c>
      <c r="R508">
        <f ca="1">IFERROR(IF(0=LEN(ReferenceData!$R$508),"",ReferenceData!$R$508),"")</f>
        <v>4.4117648809999999</v>
      </c>
      <c r="S508">
        <f ca="1">IFERROR(IF(0=LEN(ReferenceData!$S$508),"",ReferenceData!$S$508),"")</f>
        <v>4.8387097949999998</v>
      </c>
      <c r="T508">
        <f ca="1">IFERROR(IF(0=LEN(ReferenceData!$T$508),"",ReferenceData!$T$508),"")</f>
        <v>4.5112783050000003</v>
      </c>
      <c r="U508">
        <f ca="1">IFERROR(IF(0=LEN(ReferenceData!$U$508),"",ReferenceData!$U$508),"")</f>
        <v>3.7735849969999999</v>
      </c>
      <c r="V508">
        <f ca="1">IFERROR(IF(0=LEN(ReferenceData!$V$508),"",ReferenceData!$V$508),"")</f>
        <v>3.0456853530000001</v>
      </c>
      <c r="W508">
        <f ca="1">IFERROR(IF(0=LEN(ReferenceData!$W$508),"",ReferenceData!$W$508),"")</f>
        <v>3.428571512</v>
      </c>
      <c r="X508">
        <f ca="1">IFERROR(IF(0=LEN(ReferenceData!$X$508),"",ReferenceData!$X$508),"")</f>
        <v>2.6315790109999999</v>
      </c>
      <c r="Y508">
        <f ca="1">IFERROR(IF(0=LEN(ReferenceData!$Y$508),"",ReferenceData!$Y$508),"")</f>
        <v>2.714932192</v>
      </c>
      <c r="Z508">
        <f ca="1">IFERROR(IF(0=LEN(ReferenceData!$Z$508),"",ReferenceData!$Z$508),"")</f>
        <v>2.429149856</v>
      </c>
      <c r="AA508">
        <f ca="1">IFERROR(IF(0=LEN(ReferenceData!$AA$508),"",ReferenceData!$AA$508),"")</f>
        <v>2.1276596259999998</v>
      </c>
      <c r="AB508">
        <f ca="1">IFERROR(IF(0=LEN(ReferenceData!$AB$508),"",ReferenceData!$AB$508),"")</f>
        <v>2.2556391520000001</v>
      </c>
      <c r="AC508">
        <f ca="1">IFERROR(IF(0=LEN(ReferenceData!$AC$508),"",ReferenceData!$AC$508),"")</f>
        <v>2.0446096200000001</v>
      </c>
      <c r="AD508">
        <f ca="1">IFERROR(IF(0=LEN(ReferenceData!$AD$508),"",ReferenceData!$AD$508),"")</f>
        <v>2.1739129949999998</v>
      </c>
      <c r="AE508">
        <f ca="1">IFERROR(IF(0=LEN(ReferenceData!$AE$508),"",ReferenceData!$AE$508),"")</f>
        <v>2.1978021490000001</v>
      </c>
      <c r="AF508">
        <f ca="1">IFERROR(IF(0=LEN(ReferenceData!$AF$508),"",ReferenceData!$AF$508),"")</f>
        <v>2.5751072389999998</v>
      </c>
      <c r="AG508">
        <f ca="1">IFERROR(IF(0=LEN(ReferenceData!$AG$508),"",ReferenceData!$AG$508),"")</f>
        <v>2.3809523279999998</v>
      </c>
      <c r="AH508">
        <f ca="1">IFERROR(IF(0=LEN(ReferenceData!$AH$508),"",ReferenceData!$AH$508),"")</f>
        <v>2.3809523279999998</v>
      </c>
      <c r="AI508">
        <f ca="1">IFERROR(IF(0=LEN(ReferenceData!$AI$508),"",ReferenceData!$AI$508),"")</f>
        <v>2.9411764050000002</v>
      </c>
      <c r="AJ508">
        <f ca="1">IFERROR(IF(0=LEN(ReferenceData!$AJ$508),"",ReferenceData!$AJ$508),"")</f>
        <v>3.4482757849999999</v>
      </c>
      <c r="AK508">
        <f ca="1">IFERROR(IF(0=LEN(ReferenceData!$AK$508),"",ReferenceData!$AK$508),"")</f>
        <v>1.982378851</v>
      </c>
      <c r="AL508">
        <f ca="1">IFERROR(IF(0=LEN(ReferenceData!$AL$508),"",ReferenceData!$AL$508),"")</f>
        <v>1.956521736</v>
      </c>
      <c r="AM508">
        <f ca="1">IFERROR(IF(0=LEN(ReferenceData!$AM$508),"",ReferenceData!$AM$508),"")</f>
        <v>2.0618556720000001</v>
      </c>
      <c r="AN508">
        <f ca="1">IFERROR(IF(0=LEN(ReferenceData!$AN$508),"",ReferenceData!$AN$508),"")</f>
        <v>3.200000003</v>
      </c>
      <c r="AO508">
        <f ca="1">IFERROR(IF(0=LEN(ReferenceData!$AO$508),"",ReferenceData!$AO$508),"")</f>
        <v>3.8461538499999999</v>
      </c>
      <c r="AP508">
        <f ca="1">IFERROR(IF(0=LEN(ReferenceData!$AP$508),"",ReferenceData!$AP$508),"")</f>
        <v>3.4482758649999998</v>
      </c>
      <c r="AQ508">
        <f ca="1">IFERROR(IF(0=LEN(ReferenceData!$AQ$508),"",ReferenceData!$AQ$508),"")</f>
        <v>2.4752475619999998</v>
      </c>
      <c r="AR508">
        <f ca="1">IFERROR(IF(0=LEN(ReferenceData!$AR$508),"",ReferenceData!$AR$508),"")</f>
        <v>2.1551724459999999</v>
      </c>
      <c r="AS508">
        <f ca="1">IFERROR(IF(0=LEN(ReferenceData!$AS$508),"",ReferenceData!$AS$508),"")</f>
        <v>3.3653846299999999</v>
      </c>
      <c r="AT508">
        <f ca="1">IFERROR(IF(0=LEN(ReferenceData!$AT$508),"",ReferenceData!$AT$508),"")</f>
        <v>5.0724637899999996</v>
      </c>
      <c r="AU508">
        <f ca="1">IFERROR(IF(0=LEN(ReferenceData!$AU$508),"",ReferenceData!$AU$508),"")</f>
        <v>4.8275862270000003</v>
      </c>
      <c r="AV508">
        <f ca="1">IFERROR(IF(0=LEN(ReferenceData!$AV$508),"",ReferenceData!$AV$508),"")</f>
        <v>5.6497174929999998</v>
      </c>
      <c r="AW508">
        <f ca="1">IFERROR(IF(0=LEN(ReferenceData!$AW$508),"",ReferenceData!$AW$508),"")</f>
        <v>4.1666666709999998</v>
      </c>
      <c r="AX508">
        <f ca="1">IFERROR(IF(0=LEN(ReferenceData!$AX$508),"",ReferenceData!$AX$508),"")</f>
        <v>3.149606302</v>
      </c>
      <c r="AY508">
        <f ca="1">IFERROR(IF(0=LEN(ReferenceData!$AY$508),"",ReferenceData!$AY$508),"")</f>
        <v>2.5157232729999999</v>
      </c>
      <c r="AZ508">
        <f ca="1">IFERROR(IF(0=LEN(ReferenceData!$AZ$508),"",ReferenceData!$AZ$508),"")</f>
        <v>2.6041667049999999</v>
      </c>
      <c r="BA508">
        <f ca="1">IFERROR(IF(0=LEN(ReferenceData!$BA$508),"",ReferenceData!$BA$508),"")</f>
        <v>0.54644807500000003</v>
      </c>
      <c r="BB508">
        <f ca="1">IFERROR(IF(0=LEN(ReferenceData!$BB$508),"",ReferenceData!$BB$508),"")</f>
        <v>0.51282050099999998</v>
      </c>
      <c r="BC508">
        <f ca="1">IFERROR(IF(0=LEN(ReferenceData!$BC$508),"",ReferenceData!$BC$508),"")</f>
        <v>1.1904761639999999</v>
      </c>
      <c r="BD508">
        <f ca="1">IFERROR(IF(0=LEN(ReferenceData!$BD$508),"",ReferenceData!$BD$508),"")</f>
        <v>1.3888888580000001</v>
      </c>
      <c r="BE508">
        <f ca="1">IFERROR(IF(0=LEN(ReferenceData!$BE$508),"",ReferenceData!$BE$508),"")</f>
        <v>2.0979020510000002</v>
      </c>
      <c r="BF508">
        <f ca="1">IFERROR(IF(0=LEN(ReferenceData!$BF$508),"",ReferenceData!$BF$508),"")</f>
        <v>2.0833332869999999</v>
      </c>
      <c r="BG508">
        <f ca="1">IFERROR(IF(0=LEN(ReferenceData!$BG$508),"",ReferenceData!$BG$508),"")</f>
        <v>2.521008347</v>
      </c>
      <c r="BH508">
        <f ca="1">IFERROR(IF(0=LEN(ReferenceData!$BH$508),"",ReferenceData!$BH$508),"")</f>
        <v>1.9108279829999999</v>
      </c>
      <c r="BI508">
        <f ca="1">IFERROR(IF(0=LEN(ReferenceData!$BI$508),"",ReferenceData!$BI$508),"")</f>
        <v>1.7006802969999999</v>
      </c>
      <c r="BJ508">
        <f ca="1">IFERROR(IF(0=LEN(ReferenceData!$BJ$508),"",ReferenceData!$BJ$508),"")</f>
        <v>1.344086042</v>
      </c>
      <c r="BK508">
        <f ca="1">IFERROR(IF(0=LEN(ReferenceData!$BK$508),"",ReferenceData!$BK$508),"")</f>
        <v>1.1415525280000001</v>
      </c>
      <c r="BL508">
        <f ca="1">IFERROR(IF(0=LEN(ReferenceData!$BL$508),"",ReferenceData!$BL$508),"")</f>
        <v>1.190476208</v>
      </c>
      <c r="BM508">
        <f ca="1">IFERROR(IF(0=LEN(ReferenceData!$BM$508),"",ReferenceData!$BM$508),"")</f>
        <v>1.2738853219999999</v>
      </c>
    </row>
    <row r="509" spans="1:65" x14ac:dyDescent="0.25">
      <c r="A509" t="str">
        <f>IFERROR(IF(0=LEN(ReferenceData!$A$509),"",ReferenceData!$A$509),"")</f>
        <v xml:space="preserve">    FAW CAR Co Ltd</v>
      </c>
      <c r="B509" t="str">
        <f>IFERROR(IF(0=LEN(ReferenceData!$B$509),"",ReferenceData!$B$509),"")</f>
        <v>000800 CH Equity</v>
      </c>
      <c r="C509" t="str">
        <f>IFERROR(IF(0=LEN(ReferenceData!$C$509),"",ReferenceData!$C$509),"")</f>
        <v>DV013</v>
      </c>
      <c r="D509" t="str">
        <f>IFERROR(IF(0=LEN(ReferenceData!$D$509),"",ReferenceData!$D$509),"")</f>
        <v>EQY_DVD_YLD_IND</v>
      </c>
      <c r="E509" t="str">
        <f>IFERROR(IF(0=LEN(ReferenceData!$E$509),"",ReferenceData!$E$509),"")</f>
        <v>Dynamic</v>
      </c>
      <c r="F509">
        <f ca="1">IFERROR(IF(0=LEN(ReferenceData!$F$509),"",ReferenceData!$F$509),"")</f>
        <v>0.24844719900000001</v>
      </c>
      <c r="G509">
        <f ca="1">IFERROR(IF(0=LEN(ReferenceData!$G$509),"",ReferenceData!$G$509),"")</f>
        <v>0.30211479699999999</v>
      </c>
      <c r="H509">
        <f ca="1">IFERROR(IF(0=LEN(ReferenceData!$H$509),"",ReferenceData!$H$509),"")</f>
        <v>0.30349013000000002</v>
      </c>
      <c r="I509">
        <f ca="1">IFERROR(IF(0=LEN(ReferenceData!$I$509),"",ReferenceData!$I$509),"")</f>
        <v>0.26737967299999998</v>
      </c>
      <c r="J509">
        <f ca="1">IFERROR(IF(0=LEN(ReferenceData!$J$509),"",ReferenceData!$J$509),"")</f>
        <v>0.196078427</v>
      </c>
      <c r="K509" t="str">
        <f ca="1">IFERROR(IF(0=LEN(ReferenceData!$K$509),"",ReferenceData!$K$509),"")</f>
        <v/>
      </c>
      <c r="L509" t="str">
        <f ca="1">IFERROR(IF(0=LEN(ReferenceData!$L$509),"",ReferenceData!$L$509),"")</f>
        <v/>
      </c>
      <c r="M509" t="str">
        <f ca="1">IFERROR(IF(0=LEN(ReferenceData!$M$509),"",ReferenceData!$M$509),"")</f>
        <v/>
      </c>
      <c r="N509">
        <f ca="1">IFERROR(IF(0=LEN(ReferenceData!$N$509),"",ReferenceData!$N$509),"")</f>
        <v>0.384271684</v>
      </c>
      <c r="O509">
        <f ca="1">IFERROR(IF(0=LEN(ReferenceData!$O$509),"",ReferenceData!$O$509),"")</f>
        <v>0.39558419</v>
      </c>
      <c r="P509">
        <f ca="1">IFERROR(IF(0=LEN(ReferenceData!$P$509),"",ReferenceData!$P$509),"")</f>
        <v>0.41069724400000002</v>
      </c>
      <c r="Q509">
        <f ca="1">IFERROR(IF(0=LEN(ReferenceData!$Q$509),"",ReferenceData!$Q$509),"")</f>
        <v>0.39522060199999998</v>
      </c>
      <c r="R509">
        <f ca="1">IFERROR(IF(0=LEN(ReferenceData!$R$509),"",ReferenceData!$R$509),"")</f>
        <v>0.30518098999999999</v>
      </c>
      <c r="S509">
        <f ca="1">IFERROR(IF(0=LEN(ReferenceData!$S$509),"",ReferenceData!$S$509),"")</f>
        <v>6.1087354000000003E-2</v>
      </c>
      <c r="T509">
        <f ca="1">IFERROR(IF(0=LEN(ReferenceData!$T$509),"",ReferenceData!$T$509),"")</f>
        <v>6.8728521000000001E-2</v>
      </c>
      <c r="U509">
        <f ca="1">IFERROR(IF(0=LEN(ReferenceData!$U$509),"",ReferenceData!$U$509),"")</f>
        <v>4.0192924999999997E-2</v>
      </c>
      <c r="V509">
        <f ca="1">IFERROR(IF(0=LEN(ReferenceData!$V$509),"",ReferenceData!$V$509),"")</f>
        <v>5.1020406999999997E-2</v>
      </c>
      <c r="W509">
        <f ca="1">IFERROR(IF(0=LEN(ReferenceData!$W$509),"",ReferenceData!$W$509),"")</f>
        <v>0.12549537299999999</v>
      </c>
      <c r="X509">
        <f ca="1">IFERROR(IF(0=LEN(ReferenceData!$X$509),"",ReferenceData!$X$509),"")</f>
        <v>0.17117116600000001</v>
      </c>
      <c r="Y509">
        <f ca="1">IFERROR(IF(0=LEN(ReferenceData!$Y$509),"",ReferenceData!$Y$509),"")</f>
        <v>0.19791665999999999</v>
      </c>
      <c r="Z509">
        <f ca="1">IFERROR(IF(0=LEN(ReferenceData!$Z$509),"",ReferenceData!$Z$509),"")</f>
        <v>0.188118806</v>
      </c>
      <c r="AA509" t="str">
        <f ca="1">IFERROR(IF(0=LEN(ReferenceData!$AA$509),"",ReferenceData!$AA$509),"")</f>
        <v/>
      </c>
      <c r="AB509" t="str">
        <f ca="1">IFERROR(IF(0=LEN(ReferenceData!$AB$509),"",ReferenceData!$AB$509),"")</f>
        <v/>
      </c>
      <c r="AC509" t="str">
        <f ca="1">IFERROR(IF(0=LEN(ReferenceData!$AC$509),"",ReferenceData!$AC$509),"")</f>
        <v/>
      </c>
      <c r="AD509" t="str">
        <f ca="1">IFERROR(IF(0=LEN(ReferenceData!$AD$509),"",ReferenceData!$AD$509),"")</f>
        <v/>
      </c>
      <c r="AE509" t="str">
        <f ca="1">IFERROR(IF(0=LEN(ReferenceData!$AE$509),"",ReferenceData!$AE$509),"")</f>
        <v/>
      </c>
      <c r="AF509" t="str">
        <f ca="1">IFERROR(IF(0=LEN(ReferenceData!$AF$509),"",ReferenceData!$AF$509),"")</f>
        <v/>
      </c>
      <c r="AG509">
        <f ca="1">IFERROR(IF(0=LEN(ReferenceData!$AG$509),"",ReferenceData!$AG$509),"")</f>
        <v>2.6595745740000001</v>
      </c>
      <c r="AH509">
        <f ca="1">IFERROR(IF(0=LEN(ReferenceData!$AH$509),"",ReferenceData!$AH$509),"")</f>
        <v>2.8544244710000002</v>
      </c>
      <c r="AI509">
        <f ca="1">IFERROR(IF(0=LEN(ReferenceData!$AI$509),"",ReferenceData!$AI$509),"")</f>
        <v>3.3898306429999998</v>
      </c>
      <c r="AJ509">
        <f ca="1">IFERROR(IF(0=LEN(ReferenceData!$AJ$509),"",ReferenceData!$AJ$509),"")</f>
        <v>2.6223777269999999</v>
      </c>
      <c r="AK509">
        <f ca="1">IFERROR(IF(0=LEN(ReferenceData!$AK$509),"",ReferenceData!$AK$509),"")</f>
        <v>2.1186441519999999</v>
      </c>
      <c r="AL509">
        <f ca="1">IFERROR(IF(0=LEN(ReferenceData!$AL$509),"",ReferenceData!$AL$509),"")</f>
        <v>2.5492536490000002</v>
      </c>
      <c r="AM509">
        <f ca="1">IFERROR(IF(0=LEN(ReferenceData!$AM$509),"",ReferenceData!$AM$509),"")</f>
        <v>2.660436051</v>
      </c>
      <c r="AN509">
        <f ca="1">IFERROR(IF(0=LEN(ReferenceData!$AN$509),"",ReferenceData!$AN$509),"")</f>
        <v>2.2994075719999998</v>
      </c>
      <c r="AO509">
        <f ca="1">IFERROR(IF(0=LEN(ReferenceData!$AO$509),"",ReferenceData!$AO$509),"")</f>
        <v>2.8092104349999998</v>
      </c>
      <c r="AP509">
        <f ca="1">IFERROR(IF(0=LEN(ReferenceData!$AP$509),"",ReferenceData!$AP$509),"")</f>
        <v>1.9356300369999999</v>
      </c>
      <c r="AQ509">
        <f ca="1">IFERROR(IF(0=LEN(ReferenceData!$AQ$509),"",ReferenceData!$AQ$509),"")</f>
        <v>1.345119116</v>
      </c>
      <c r="AR509">
        <f ca="1">IFERROR(IF(0=LEN(ReferenceData!$AR$509),"",ReferenceData!$AR$509),"")</f>
        <v>2.0551966770000001</v>
      </c>
      <c r="AS509">
        <f ca="1">IFERROR(IF(0=LEN(ReferenceData!$AS$509),"",ReferenceData!$AS$509),"")</f>
        <v>2.2668393400000002</v>
      </c>
      <c r="AT509">
        <f ca="1">IFERROR(IF(0=LEN(ReferenceData!$AT$509),"",ReferenceData!$AT$509),"")</f>
        <v>1.6299918739999999</v>
      </c>
      <c r="AU509">
        <f ca="1">IFERROR(IF(0=LEN(ReferenceData!$AU$509),"",ReferenceData!$AU$509),"")</f>
        <v>2.7855153619999999</v>
      </c>
      <c r="AV509">
        <f ca="1">IFERROR(IF(0=LEN(ReferenceData!$AV$509),"",ReferenceData!$AV$509),"")</f>
        <v>2.9411765139999999</v>
      </c>
      <c r="AW509">
        <f ca="1">IFERROR(IF(0=LEN(ReferenceData!$AW$509),"",ReferenceData!$AW$509),"")</f>
        <v>2.518891725</v>
      </c>
      <c r="AX509">
        <f ca="1">IFERROR(IF(0=LEN(ReferenceData!$AX$509),"",ReferenceData!$AX$509),"")</f>
        <v>0.75301205900000001</v>
      </c>
      <c r="AY509">
        <f ca="1">IFERROR(IF(0=LEN(ReferenceData!$AY$509),"",ReferenceData!$AY$509),"")</f>
        <v>0.52356021699999999</v>
      </c>
      <c r="AZ509">
        <f ca="1">IFERROR(IF(0=LEN(ReferenceData!$AZ$509),"",ReferenceData!$AZ$509),"")</f>
        <v>0.46403713000000002</v>
      </c>
      <c r="BA509">
        <f ca="1">IFERROR(IF(0=LEN(ReferenceData!$BA$509),"",ReferenceData!$BA$509),"")</f>
        <v>0.91743120600000005</v>
      </c>
      <c r="BB509">
        <f ca="1">IFERROR(IF(0=LEN(ReferenceData!$BB$509),"",ReferenceData!$BB$509),"")</f>
        <v>2.2123894129999999</v>
      </c>
      <c r="BC509">
        <f ca="1">IFERROR(IF(0=LEN(ReferenceData!$BC$509),"",ReferenceData!$BC$509),"")</f>
        <v>4.9627792299999998</v>
      </c>
      <c r="BD509">
        <f ca="1">IFERROR(IF(0=LEN(ReferenceData!$BD$509),"",ReferenceData!$BD$509),"")</f>
        <v>6.451612999</v>
      </c>
      <c r="BE509">
        <f ca="1">IFERROR(IF(0=LEN(ReferenceData!$BE$509),"",ReferenceData!$BE$509),"")</f>
        <v>5.6338029010000001</v>
      </c>
      <c r="BF509" t="str">
        <f ca="1">IFERROR(IF(0=LEN(ReferenceData!$BF$509),"",ReferenceData!$BF$509),"")</f>
        <v/>
      </c>
      <c r="BG509" t="str">
        <f ca="1">IFERROR(IF(0=LEN(ReferenceData!$BG$509),"",ReferenceData!$BG$509),"")</f>
        <v/>
      </c>
      <c r="BH509" t="str">
        <f ca="1">IFERROR(IF(0=LEN(ReferenceData!$BH$509),"",ReferenceData!$BH$509),"")</f>
        <v/>
      </c>
      <c r="BI509">
        <f ca="1">IFERROR(IF(0=LEN(ReferenceData!$BI$509),"",ReferenceData!$BI$509),"")</f>
        <v>3.3003300819999999</v>
      </c>
      <c r="BJ509">
        <f ca="1">IFERROR(IF(0=LEN(ReferenceData!$BJ$509),"",ReferenceData!$BJ$509),"")</f>
        <v>3.0674847079999998</v>
      </c>
      <c r="BK509">
        <f ca="1">IFERROR(IF(0=LEN(ReferenceData!$BK$509),"",ReferenceData!$BK$509),"")</f>
        <v>2.739726068</v>
      </c>
      <c r="BL509">
        <f ca="1">IFERROR(IF(0=LEN(ReferenceData!$BL$509),"",ReferenceData!$BL$509),"")</f>
        <v>1.7241379569999999</v>
      </c>
      <c r="BM509">
        <f ca="1">IFERROR(IF(0=LEN(ReferenceData!$BM$509),"",ReferenceData!$BM$509),"")</f>
        <v>3.2310178189999998</v>
      </c>
    </row>
    <row r="510" spans="1:65" x14ac:dyDescent="0.25">
      <c r="A510" t="str">
        <f>IFERROR(IF(0=LEN(ReferenceData!$A$510),"",ReferenceData!$A$510),"")</f>
        <v xml:space="preserve">    Fiat Chrysler Automobiles NV</v>
      </c>
      <c r="B510" t="str">
        <f>IFERROR(IF(0=LEN(ReferenceData!$B$510),"",ReferenceData!$B$510),"")</f>
        <v>FCAU US Equity</v>
      </c>
      <c r="C510" t="str">
        <f>IFERROR(IF(0=LEN(ReferenceData!$C$510),"",ReferenceData!$C$510),"")</f>
        <v>DV013</v>
      </c>
      <c r="D510" t="str">
        <f>IFERROR(IF(0=LEN(ReferenceData!$D$510),"",ReferenceData!$D$510),"")</f>
        <v>EQY_DVD_YLD_IND</v>
      </c>
      <c r="E510" t="str">
        <f>IFERROR(IF(0=LEN(ReferenceData!$E$510),"",ReferenceData!$E$510),"")</f>
        <v>Dynamic</v>
      </c>
      <c r="F510">
        <f ca="1">IFERROR(IF(0=LEN(ReferenceData!$F$510),"",ReferenceData!$F$510),"")</f>
        <v>4.9366977280000004</v>
      </c>
      <c r="G510" t="str">
        <f ca="1">IFERROR(IF(0=LEN(ReferenceData!$G$510),"",ReferenceData!$G$510),"")</f>
        <v/>
      </c>
      <c r="H510" t="str">
        <f ca="1">IFERROR(IF(0=LEN(ReferenceData!$H$510),"",ReferenceData!$H$510),"")</f>
        <v/>
      </c>
      <c r="I510" t="str">
        <f ca="1">IFERROR(IF(0=LEN(ReferenceData!$I$510),"",ReferenceData!$I$510),"")</f>
        <v/>
      </c>
      <c r="J510" t="str">
        <f ca="1">IFERROR(IF(0=LEN(ReferenceData!$J$510),"",ReferenceData!$J$510),"")</f>
        <v/>
      </c>
      <c r="K510" t="str">
        <f ca="1">IFERROR(IF(0=LEN(ReferenceData!$K$510),"",ReferenceData!$K$510),"")</f>
        <v/>
      </c>
      <c r="L510" t="str">
        <f ca="1">IFERROR(IF(0=LEN(ReferenceData!$L$510),"",ReferenceData!$L$510),"")</f>
        <v/>
      </c>
      <c r="M510" t="str">
        <f ca="1">IFERROR(IF(0=LEN(ReferenceData!$M$510),"",ReferenceData!$M$510),"")</f>
        <v/>
      </c>
      <c r="N510" t="str">
        <f ca="1">IFERROR(IF(0=LEN(ReferenceData!$N$510),"",ReferenceData!$N$510),"")</f>
        <v/>
      </c>
      <c r="O510" t="str">
        <f ca="1">IFERROR(IF(0=LEN(ReferenceData!$O$510),"",ReferenceData!$O$510),"")</f>
        <v/>
      </c>
      <c r="P510" t="str">
        <f ca="1">IFERROR(IF(0=LEN(ReferenceData!$P$510),"",ReferenceData!$P$510),"")</f>
        <v/>
      </c>
      <c r="Q510" t="str">
        <f ca="1">IFERROR(IF(0=LEN(ReferenceData!$Q$510),"",ReferenceData!$Q$510),"")</f>
        <v/>
      </c>
      <c r="R510" t="str">
        <f ca="1">IFERROR(IF(0=LEN(ReferenceData!$R$510),"",ReferenceData!$R$510),"")</f>
        <v/>
      </c>
      <c r="S510" t="str">
        <f ca="1">IFERROR(IF(0=LEN(ReferenceData!$S$510),"",ReferenceData!$S$510),"")</f>
        <v/>
      </c>
      <c r="T510" t="str">
        <f ca="1">IFERROR(IF(0=LEN(ReferenceData!$T$510),"",ReferenceData!$T$510),"")</f>
        <v/>
      </c>
      <c r="U510" t="str">
        <f ca="1">IFERROR(IF(0=LEN(ReferenceData!$U$510),"",ReferenceData!$U$510),"")</f>
        <v/>
      </c>
      <c r="V510" t="str">
        <f ca="1">IFERROR(IF(0=LEN(ReferenceData!$V$510),"",ReferenceData!$V$510),"")</f>
        <v/>
      </c>
      <c r="W510" t="str">
        <f ca="1">IFERROR(IF(0=LEN(ReferenceData!$W$510),"",ReferenceData!$W$510),"")</f>
        <v/>
      </c>
      <c r="X510" t="str">
        <f ca="1">IFERROR(IF(0=LEN(ReferenceData!$X$510),"",ReferenceData!$X$510),"")</f>
        <v/>
      </c>
      <c r="Y510" t="str">
        <f ca="1">IFERROR(IF(0=LEN(ReferenceData!$Y$510),"",ReferenceData!$Y$510),"")</f>
        <v/>
      </c>
      <c r="Z510" t="str">
        <f ca="1">IFERROR(IF(0=LEN(ReferenceData!$Z$510),"",ReferenceData!$Z$510),"")</f>
        <v/>
      </c>
      <c r="AA510" t="str">
        <f ca="1">IFERROR(IF(0=LEN(ReferenceData!$AA$510),"",ReferenceData!$AA$510),"")</f>
        <v/>
      </c>
      <c r="AB510" t="str">
        <f ca="1">IFERROR(IF(0=LEN(ReferenceData!$AB$510),"",ReferenceData!$AB$510),"")</f>
        <v/>
      </c>
      <c r="AC510" t="str">
        <f ca="1">IFERROR(IF(0=LEN(ReferenceData!$AC$510),"",ReferenceData!$AC$510),"")</f>
        <v/>
      </c>
      <c r="AD510" t="str">
        <f ca="1">IFERROR(IF(0=LEN(ReferenceData!$AD$510),"",ReferenceData!$AD$510),"")</f>
        <v/>
      </c>
      <c r="AE510" t="str">
        <f ca="1">IFERROR(IF(0=LEN(ReferenceData!$AE$510),"",ReferenceData!$AE$510),"")</f>
        <v/>
      </c>
      <c r="AF510" t="str">
        <f ca="1">IFERROR(IF(0=LEN(ReferenceData!$AF$510),"",ReferenceData!$AF$510),"")</f>
        <v/>
      </c>
      <c r="AG510" t="str">
        <f ca="1">IFERROR(IF(0=LEN(ReferenceData!$AG$510),"",ReferenceData!$AG$510),"")</f>
        <v/>
      </c>
      <c r="AH510" t="str">
        <f ca="1">IFERROR(IF(0=LEN(ReferenceData!$AH$510),"",ReferenceData!$AH$510),"")</f>
        <v/>
      </c>
      <c r="AI510" t="str">
        <f ca="1">IFERROR(IF(0=LEN(ReferenceData!$AI$510),"",ReferenceData!$AI$510),"")</f>
        <v/>
      </c>
      <c r="AJ510" t="str">
        <f ca="1">IFERROR(IF(0=LEN(ReferenceData!$AJ$510),"",ReferenceData!$AJ$510),"")</f>
        <v/>
      </c>
      <c r="AK510" t="str">
        <f ca="1">IFERROR(IF(0=LEN(ReferenceData!$AK$510),"",ReferenceData!$AK$510),"")</f>
        <v/>
      </c>
      <c r="AL510" t="str">
        <f ca="1">IFERROR(IF(0=LEN(ReferenceData!$AL$510),"",ReferenceData!$AL$510),"")</f>
        <v/>
      </c>
      <c r="AM510" t="str">
        <f ca="1">IFERROR(IF(0=LEN(ReferenceData!$AM$510),"",ReferenceData!$AM$510),"")</f>
        <v/>
      </c>
      <c r="AN510" t="str">
        <f ca="1">IFERROR(IF(0=LEN(ReferenceData!$AN$510),"",ReferenceData!$AN$510),"")</f>
        <v/>
      </c>
      <c r="AO510" t="str">
        <f ca="1">IFERROR(IF(0=LEN(ReferenceData!$AO$510),"",ReferenceData!$AO$510),"")</f>
        <v/>
      </c>
      <c r="AP510" t="str">
        <f ca="1">IFERROR(IF(0=LEN(ReferenceData!$AP$510),"",ReferenceData!$AP$510),"")</f>
        <v/>
      </c>
      <c r="AQ510" t="str">
        <f ca="1">IFERROR(IF(0=LEN(ReferenceData!$AQ$510),"",ReferenceData!$AQ$510),"")</f>
        <v/>
      </c>
      <c r="AR510" t="str">
        <f ca="1">IFERROR(IF(0=LEN(ReferenceData!$AR$510),"",ReferenceData!$AR$510),"")</f>
        <v/>
      </c>
      <c r="AS510" t="str">
        <f ca="1">IFERROR(IF(0=LEN(ReferenceData!$AS$510),"",ReferenceData!$AS$510),"")</f>
        <v/>
      </c>
      <c r="AT510" t="str">
        <f ca="1">IFERROR(IF(0=LEN(ReferenceData!$AT$510),"",ReferenceData!$AT$510),"")</f>
        <v/>
      </c>
      <c r="AU510" t="str">
        <f ca="1">IFERROR(IF(0=LEN(ReferenceData!$AU$510),"",ReferenceData!$AU$510),"")</f>
        <v/>
      </c>
      <c r="AV510" t="str">
        <f ca="1">IFERROR(IF(0=LEN(ReferenceData!$AV$510),"",ReferenceData!$AV$510),"")</f>
        <v/>
      </c>
      <c r="AW510" t="str">
        <f ca="1">IFERROR(IF(0=LEN(ReferenceData!$AW$510),"",ReferenceData!$AW$510),"")</f>
        <v/>
      </c>
      <c r="AX510" t="str">
        <f ca="1">IFERROR(IF(0=LEN(ReferenceData!$AX$510),"",ReferenceData!$AX$510),"")</f>
        <v/>
      </c>
      <c r="AY510" t="str">
        <f ca="1">IFERROR(IF(0=LEN(ReferenceData!$AY$510),"",ReferenceData!$AY$510),"")</f>
        <v/>
      </c>
      <c r="AZ510" t="str">
        <f ca="1">IFERROR(IF(0=LEN(ReferenceData!$AZ$510),"",ReferenceData!$AZ$510),"")</f>
        <v/>
      </c>
      <c r="BA510" t="str">
        <f ca="1">IFERROR(IF(0=LEN(ReferenceData!$BA$510),"",ReferenceData!$BA$510),"")</f>
        <v/>
      </c>
      <c r="BB510" t="str">
        <f ca="1">IFERROR(IF(0=LEN(ReferenceData!$BB$510),"",ReferenceData!$BB$510),"")</f>
        <v/>
      </c>
      <c r="BC510" t="str">
        <f ca="1">IFERROR(IF(0=LEN(ReferenceData!$BC$510),"",ReferenceData!$BC$510),"")</f>
        <v/>
      </c>
      <c r="BD510" t="str">
        <f ca="1">IFERROR(IF(0=LEN(ReferenceData!$BD$510),"",ReferenceData!$BD$510),"")</f>
        <v/>
      </c>
      <c r="BE510" t="str">
        <f ca="1">IFERROR(IF(0=LEN(ReferenceData!$BE$510),"",ReferenceData!$BE$510),"")</f>
        <v/>
      </c>
      <c r="BF510" t="str">
        <f ca="1">IFERROR(IF(0=LEN(ReferenceData!$BF$510),"",ReferenceData!$BF$510),"")</f>
        <v/>
      </c>
      <c r="BG510" t="str">
        <f ca="1">IFERROR(IF(0=LEN(ReferenceData!$BG$510),"",ReferenceData!$BG$510),"")</f>
        <v/>
      </c>
      <c r="BH510" t="str">
        <f ca="1">IFERROR(IF(0=LEN(ReferenceData!$BH$510),"",ReferenceData!$BH$510),"")</f>
        <v/>
      </c>
      <c r="BI510" t="str">
        <f ca="1">IFERROR(IF(0=LEN(ReferenceData!$BI$510),"",ReferenceData!$BI$510),"")</f>
        <v/>
      </c>
      <c r="BJ510" t="str">
        <f ca="1">IFERROR(IF(0=LEN(ReferenceData!$BJ$510),"",ReferenceData!$BJ$510),"")</f>
        <v/>
      </c>
      <c r="BK510" t="str">
        <f ca="1">IFERROR(IF(0=LEN(ReferenceData!$BK$510),"",ReferenceData!$BK$510),"")</f>
        <v/>
      </c>
      <c r="BL510" t="str">
        <f ca="1">IFERROR(IF(0=LEN(ReferenceData!$BL$510),"",ReferenceData!$BL$510),"")</f>
        <v/>
      </c>
      <c r="BM510" t="str">
        <f ca="1">IFERROR(IF(0=LEN(ReferenceData!$BM$510),"",ReferenceData!$BM$510),"")</f>
        <v/>
      </c>
    </row>
    <row r="511" spans="1:65" x14ac:dyDescent="0.25">
      <c r="A511" t="str">
        <f>IFERROR(IF(0=LEN(ReferenceData!$A$511),"",ReferenceData!$A$511),"")</f>
        <v xml:space="preserve">    Ford Motor Co</v>
      </c>
      <c r="B511" t="str">
        <f>IFERROR(IF(0=LEN(ReferenceData!$B$511),"",ReferenceData!$B$511),"")</f>
        <v>F US Equity</v>
      </c>
      <c r="C511" t="str">
        <f>IFERROR(IF(0=LEN(ReferenceData!$C$511),"",ReferenceData!$C$511),"")</f>
        <v>DV013</v>
      </c>
      <c r="D511" t="str">
        <f>IFERROR(IF(0=LEN(ReferenceData!$D$511),"",ReferenceData!$D$511),"")</f>
        <v>EQY_DVD_YLD_IND</v>
      </c>
      <c r="E511" t="str">
        <f>IFERROR(IF(0=LEN(ReferenceData!$E$511),"",ReferenceData!$E$511),"")</f>
        <v>Dynamic</v>
      </c>
      <c r="F511">
        <f ca="1">IFERROR(IF(0=LEN(ReferenceData!$F$511),"",ReferenceData!$F$511),"")</f>
        <v>6.8886340280000002</v>
      </c>
      <c r="G511">
        <f ca="1">IFERROR(IF(0=LEN(ReferenceData!$G$511),"",ReferenceData!$G$511),"")</f>
        <v>7.8431375670000003</v>
      </c>
      <c r="H511">
        <f ca="1">IFERROR(IF(0=LEN(ReferenceData!$H$511),"",ReferenceData!$H$511),"")</f>
        <v>6.4864867439999996</v>
      </c>
      <c r="I511">
        <f ca="1">IFERROR(IF(0=LEN(ReferenceData!$I$511),"",ReferenceData!$I$511),"")</f>
        <v>5.4200544160000002</v>
      </c>
      <c r="J511">
        <f ca="1">IFERROR(IF(0=LEN(ReferenceData!$J$511),"",ReferenceData!$J$511),"")</f>
        <v>5.41516267</v>
      </c>
      <c r="K511">
        <f ca="1">IFERROR(IF(0=LEN(ReferenceData!$K$511),"",ReferenceData!$K$511),"")</f>
        <v>4.8038432650000003</v>
      </c>
      <c r="L511">
        <f ca="1">IFERROR(IF(0=LEN(ReferenceData!$L$511),"",ReferenceData!$L$511),"")</f>
        <v>5.0125315280000002</v>
      </c>
      <c r="M511">
        <f ca="1">IFERROR(IF(0=LEN(ReferenceData!$M$511),"",ReferenceData!$M$511),"")</f>
        <v>5.3619305080000004</v>
      </c>
      <c r="N511">
        <f ca="1">IFERROR(IF(0=LEN(ReferenceData!$N$511),"",ReferenceData!$N$511),"")</f>
        <v>5.1546393799999999</v>
      </c>
      <c r="O511">
        <f ca="1">IFERROR(IF(0=LEN(ReferenceData!$O$511),"",ReferenceData!$O$511),"")</f>
        <v>4.9464140470000002</v>
      </c>
      <c r="P511">
        <f ca="1">IFERROR(IF(0=LEN(ReferenceData!$P$511),"",ReferenceData!$P$511),"")</f>
        <v>4.971002683</v>
      </c>
      <c r="Q511">
        <f ca="1">IFERROR(IF(0=LEN(ReferenceData!$Q$511),"",ReferenceData!$Q$511),"")</f>
        <v>4.7732698789999999</v>
      </c>
      <c r="R511">
        <f ca="1">IFERROR(IF(0=LEN(ReferenceData!$R$511),"",ReferenceData!$R$511),"")</f>
        <v>4.4444446209999997</v>
      </c>
      <c r="S511">
        <f ca="1">IFERROR(IF(0=LEN(ReferenceData!$S$511),"",ReferenceData!$S$511),"")</f>
        <v>4.2583394170000002</v>
      </c>
      <c r="T511">
        <f ca="1">IFERROR(IF(0=LEN(ReferenceData!$T$511),"",ReferenceData!$T$511),"")</f>
        <v>4.4215182300000002</v>
      </c>
      <c r="U511">
        <f ca="1">IFERROR(IF(0=LEN(ReferenceData!$U$511),"",ReferenceData!$U$511),"")</f>
        <v>3.9973352690000001</v>
      </c>
      <c r="V511">
        <f ca="1">IFERROR(IF(0=LEN(ReferenceData!$V$511),"",ReferenceData!$V$511),"")</f>
        <v>3.7174722670000002</v>
      </c>
      <c r="W511">
        <f ca="1">IFERROR(IF(0=LEN(ReferenceData!$W$511),"",ReferenceData!$W$511),"")</f>
        <v>3.225806452</v>
      </c>
      <c r="X511">
        <f ca="1">IFERROR(IF(0=LEN(ReferenceData!$X$511),"",ReferenceData!$X$511),"")</f>
        <v>3.3806626099999999</v>
      </c>
      <c r="Y511">
        <f ca="1">IFERROR(IF(0=LEN(ReferenceData!$Y$511),"",ReferenceData!$Y$511),"")</f>
        <v>2.9002320190000002</v>
      </c>
      <c r="Z511">
        <f ca="1">IFERROR(IF(0=LEN(ReferenceData!$Z$511),"",ReferenceData!$Z$511),"")</f>
        <v>3.2051282049999998</v>
      </c>
      <c r="AA511">
        <f ca="1">IFERROR(IF(0=LEN(ReferenceData!$AA$511),"",ReferenceData!$AA$511),"")</f>
        <v>2.5923525989999998</v>
      </c>
      <c r="AB511">
        <f ca="1">IFERROR(IF(0=LEN(ReferenceData!$AB$511),"",ReferenceData!$AB$511),"")</f>
        <v>2.371072946</v>
      </c>
      <c r="AC511">
        <f ca="1">IFERROR(IF(0=LEN(ReferenceData!$AC$511),"",ReferenceData!$AC$511),"")</f>
        <v>2.5856496830000002</v>
      </c>
      <c r="AD511">
        <f ca="1">IFERROR(IF(0=LEN(ReferenceData!$AD$511),"",ReferenceData!$AD$511),"")</f>
        <v>3.0418251399999998</v>
      </c>
      <c r="AE511">
        <f ca="1">IFERROR(IF(0=LEN(ReferenceData!$AE$511),"",ReferenceData!$AE$511),"")</f>
        <v>1.544401567</v>
      </c>
      <c r="AF511">
        <f ca="1">IFERROR(IF(0=LEN(ReferenceData!$AF$511),"",ReferenceData!$AF$511),"")</f>
        <v>2.028397596</v>
      </c>
      <c r="AG511">
        <f ca="1">IFERROR(IF(0=LEN(ReferenceData!$AG$511),"",ReferenceData!$AG$511),"")</f>
        <v>2.0855057659999998</v>
      </c>
      <c r="AH511">
        <f ca="1">IFERROR(IF(0=LEN(ReferenceData!$AH$511),"",ReferenceData!$AH$511),"")</f>
        <v>1.6032064370000001</v>
      </c>
      <c r="AI511">
        <f ca="1">IFERROR(IF(0=LEN(ReferenceData!$AI$511),"",ReferenceData!$AI$511),"")</f>
        <v>1.858736087</v>
      </c>
      <c r="AJ511" t="str">
        <f ca="1">IFERROR(IF(0=LEN(ReferenceData!$AJ$511),"",ReferenceData!$AJ$511),"")</f>
        <v/>
      </c>
      <c r="AK511" t="str">
        <f ca="1">IFERROR(IF(0=LEN(ReferenceData!$AK$511),"",ReferenceData!$AK$511),"")</f>
        <v/>
      </c>
      <c r="AL511" t="str">
        <f ca="1">IFERROR(IF(0=LEN(ReferenceData!$AL$511),"",ReferenceData!$AL$511),"")</f>
        <v/>
      </c>
      <c r="AM511" t="str">
        <f ca="1">IFERROR(IF(0=LEN(ReferenceData!$AM$511),"",ReferenceData!$AM$511),"")</f>
        <v/>
      </c>
      <c r="AN511" t="str">
        <f ca="1">IFERROR(IF(0=LEN(ReferenceData!$AN$511),"",ReferenceData!$AN$511),"")</f>
        <v/>
      </c>
      <c r="AO511" t="str">
        <f ca="1">IFERROR(IF(0=LEN(ReferenceData!$AO$511),"",ReferenceData!$AO$511),"")</f>
        <v/>
      </c>
      <c r="AP511" t="str">
        <f ca="1">IFERROR(IF(0=LEN(ReferenceData!$AP$511),"",ReferenceData!$AP$511),"")</f>
        <v/>
      </c>
      <c r="AQ511" t="str">
        <f ca="1">IFERROR(IF(0=LEN(ReferenceData!$AQ$511),"",ReferenceData!$AQ$511),"")</f>
        <v/>
      </c>
      <c r="AR511" t="str">
        <f ca="1">IFERROR(IF(0=LEN(ReferenceData!$AR$511),"",ReferenceData!$AR$511),"")</f>
        <v/>
      </c>
      <c r="AS511" t="str">
        <f ca="1">IFERROR(IF(0=LEN(ReferenceData!$AS$511),"",ReferenceData!$AS$511),"")</f>
        <v/>
      </c>
      <c r="AT511" t="str">
        <f ca="1">IFERROR(IF(0=LEN(ReferenceData!$AT$511),"",ReferenceData!$AT$511),"")</f>
        <v/>
      </c>
      <c r="AU511" t="str">
        <f ca="1">IFERROR(IF(0=LEN(ReferenceData!$AU$511),"",ReferenceData!$AU$511),"")</f>
        <v/>
      </c>
      <c r="AV511" t="str">
        <f ca="1">IFERROR(IF(0=LEN(ReferenceData!$AV$511),"",ReferenceData!$AV$511),"")</f>
        <v/>
      </c>
      <c r="AW511" t="str">
        <f ca="1">IFERROR(IF(0=LEN(ReferenceData!$AW$511),"",ReferenceData!$AW$511),"")</f>
        <v/>
      </c>
      <c r="AX511" t="str">
        <f ca="1">IFERROR(IF(0=LEN(ReferenceData!$AX$511),"",ReferenceData!$AX$511),"")</f>
        <v/>
      </c>
      <c r="AY511" t="str">
        <f ca="1">IFERROR(IF(0=LEN(ReferenceData!$AY$511),"",ReferenceData!$AY$511),"")</f>
        <v/>
      </c>
      <c r="AZ511" t="str">
        <f ca="1">IFERROR(IF(0=LEN(ReferenceData!$AZ$511),"",ReferenceData!$AZ$511),"")</f>
        <v/>
      </c>
      <c r="BA511" t="str">
        <f ca="1">IFERROR(IF(0=LEN(ReferenceData!$BA$511),"",ReferenceData!$BA$511),"")</f>
        <v/>
      </c>
      <c r="BB511" t="str">
        <f ca="1">IFERROR(IF(0=LEN(ReferenceData!$BB$511),"",ReferenceData!$BB$511),"")</f>
        <v/>
      </c>
      <c r="BC511" t="str">
        <f ca="1">IFERROR(IF(0=LEN(ReferenceData!$BC$511),"",ReferenceData!$BC$511),"")</f>
        <v/>
      </c>
      <c r="BD511">
        <f ca="1">IFERROR(IF(0=LEN(ReferenceData!$BD$511),"",ReferenceData!$BD$511),"")</f>
        <v>2.200220055</v>
      </c>
      <c r="BE511">
        <f ca="1">IFERROR(IF(0=LEN(ReferenceData!$BE$511),"",ReferenceData!$BE$511),"")</f>
        <v>5.772005858</v>
      </c>
      <c r="BF511">
        <f ca="1">IFERROR(IF(0=LEN(ReferenceData!$BF$511),"",ReferenceData!$BF$511),"")</f>
        <v>5.0251257029999996</v>
      </c>
      <c r="BG511">
        <f ca="1">IFERROR(IF(0=LEN(ReferenceData!$BG$511),"",ReferenceData!$BG$511),"")</f>
        <v>5.1813472269999998</v>
      </c>
      <c r="BH511">
        <f ca="1">IFERROR(IF(0=LEN(ReferenceData!$BH$511),"",ReferenceData!$BH$511),"")</f>
        <v>4.056795192</v>
      </c>
      <c r="BI511">
        <f ca="1">IFERROR(IF(0=LEN(ReferenceData!$BI$511),"",ReferenceData!$BI$511),"")</f>
        <v>3.9062500579999999</v>
      </c>
      <c r="BJ511">
        <f ca="1">IFERROR(IF(0=LEN(ReferenceData!$BJ$511),"",ReferenceData!$BJ$511),"")</f>
        <v>3.5304501849999999</v>
      </c>
      <c r="BK511">
        <f ca="1">IFERROR(IF(0=LEN(ReferenceData!$BK$511),"",ReferenceData!$BK$511),"")</f>
        <v>2.732240478</v>
      </c>
      <c r="BL511">
        <f ca="1">IFERROR(IF(0=LEN(ReferenceData!$BL$511),"",ReferenceData!$BL$511),"")</f>
        <v>2.8469751310000002</v>
      </c>
      <c r="BM511">
        <f ca="1">IFERROR(IF(0=LEN(ReferenceData!$BM$511),"",ReferenceData!$BM$511),"")</f>
        <v>2.555910581</v>
      </c>
    </row>
    <row r="512" spans="1:65" x14ac:dyDescent="0.25">
      <c r="A512" t="str">
        <f>IFERROR(IF(0=LEN(ReferenceData!$A$512),"",ReferenceData!$A$512),"")</f>
        <v xml:space="preserve">    Ford Otomotiv Sanayi AS</v>
      </c>
      <c r="B512" t="str">
        <f>IFERROR(IF(0=LEN(ReferenceData!$B$512),"",ReferenceData!$B$512),"")</f>
        <v>FROTOTRY EO Equity</v>
      </c>
      <c r="C512" t="str">
        <f>IFERROR(IF(0=LEN(ReferenceData!$C$512),"",ReferenceData!$C$512),"")</f>
        <v>DV013</v>
      </c>
      <c r="D512" t="str">
        <f>IFERROR(IF(0=LEN(ReferenceData!$D$512),"",ReferenceData!$D$512),"")</f>
        <v>EQY_DVD_YLD_IND</v>
      </c>
      <c r="E512" t="str">
        <f>IFERROR(IF(0=LEN(ReferenceData!$E$512),"",ReferenceData!$E$512),"")</f>
        <v>Dynamic</v>
      </c>
      <c r="F512" t="str">
        <f ca="1">IFERROR(IF(0=LEN(ReferenceData!$F$512),"",ReferenceData!$F$512),"")</f>
        <v/>
      </c>
      <c r="G512" t="str">
        <f ca="1">IFERROR(IF(0=LEN(ReferenceData!$G$512),"",ReferenceData!$G$512),"")</f>
        <v/>
      </c>
      <c r="H512" t="str">
        <f ca="1">IFERROR(IF(0=LEN(ReferenceData!$H$512),"",ReferenceData!$H$512),"")</f>
        <v/>
      </c>
      <c r="I512" t="str">
        <f ca="1">IFERROR(IF(0=LEN(ReferenceData!$I$512),"",ReferenceData!$I$512),"")</f>
        <v/>
      </c>
      <c r="J512" t="str">
        <f ca="1">IFERROR(IF(0=LEN(ReferenceData!$J$512),"",ReferenceData!$J$512),"")</f>
        <v/>
      </c>
      <c r="K512" t="str">
        <f ca="1">IFERROR(IF(0=LEN(ReferenceData!$K$512),"",ReferenceData!$K$512),"")</f>
        <v/>
      </c>
      <c r="L512" t="str">
        <f ca="1">IFERROR(IF(0=LEN(ReferenceData!$L$512),"",ReferenceData!$L$512),"")</f>
        <v/>
      </c>
      <c r="M512" t="str">
        <f ca="1">IFERROR(IF(0=LEN(ReferenceData!$M$512),"",ReferenceData!$M$512),"")</f>
        <v/>
      </c>
      <c r="N512" t="str">
        <f ca="1">IFERROR(IF(0=LEN(ReferenceData!$N$512),"",ReferenceData!$N$512),"")</f>
        <v/>
      </c>
      <c r="O512" t="str">
        <f ca="1">IFERROR(IF(0=LEN(ReferenceData!$O$512),"",ReferenceData!$O$512),"")</f>
        <v/>
      </c>
      <c r="P512" t="str">
        <f ca="1">IFERROR(IF(0=LEN(ReferenceData!$P$512),"",ReferenceData!$P$512),"")</f>
        <v/>
      </c>
      <c r="Q512" t="str">
        <f ca="1">IFERROR(IF(0=LEN(ReferenceData!$Q$512),"",ReferenceData!$Q$512),"")</f>
        <v/>
      </c>
      <c r="R512" t="str">
        <f ca="1">IFERROR(IF(0=LEN(ReferenceData!$R$512),"",ReferenceData!$R$512),"")</f>
        <v/>
      </c>
      <c r="S512" t="str">
        <f ca="1">IFERROR(IF(0=LEN(ReferenceData!$S$512),"",ReferenceData!$S$512),"")</f>
        <v/>
      </c>
      <c r="T512" t="str">
        <f ca="1">IFERROR(IF(0=LEN(ReferenceData!$T$512),"",ReferenceData!$T$512),"")</f>
        <v/>
      </c>
      <c r="U512" t="str">
        <f ca="1">IFERROR(IF(0=LEN(ReferenceData!$U$512),"",ReferenceData!$U$512),"")</f>
        <v/>
      </c>
      <c r="V512" t="str">
        <f ca="1">IFERROR(IF(0=LEN(ReferenceData!$V$512),"",ReferenceData!$V$512),"")</f>
        <v/>
      </c>
      <c r="W512" t="str">
        <f ca="1">IFERROR(IF(0=LEN(ReferenceData!$W$512),"",ReferenceData!$W$512),"")</f>
        <v/>
      </c>
      <c r="X512" t="str">
        <f ca="1">IFERROR(IF(0=LEN(ReferenceData!$X$512),"",ReferenceData!$X$512),"")</f>
        <v/>
      </c>
      <c r="Y512" t="str">
        <f ca="1">IFERROR(IF(0=LEN(ReferenceData!$Y$512),"",ReferenceData!$Y$512),"")</f>
        <v/>
      </c>
      <c r="Z512" t="str">
        <f ca="1">IFERROR(IF(0=LEN(ReferenceData!$Z$512),"",ReferenceData!$Z$512),"")</f>
        <v/>
      </c>
      <c r="AA512" t="str">
        <f ca="1">IFERROR(IF(0=LEN(ReferenceData!$AA$512),"",ReferenceData!$AA$512),"")</f>
        <v/>
      </c>
      <c r="AB512" t="str">
        <f ca="1">IFERROR(IF(0=LEN(ReferenceData!$AB$512),"",ReferenceData!$AB$512),"")</f>
        <v/>
      </c>
      <c r="AC512" t="str">
        <f ca="1">IFERROR(IF(0=LEN(ReferenceData!$AC$512),"",ReferenceData!$AC$512),"")</f>
        <v/>
      </c>
      <c r="AD512" t="str">
        <f ca="1">IFERROR(IF(0=LEN(ReferenceData!$AD$512),"",ReferenceData!$AD$512),"")</f>
        <v/>
      </c>
      <c r="AE512" t="str">
        <f ca="1">IFERROR(IF(0=LEN(ReferenceData!$AE$512),"",ReferenceData!$AE$512),"")</f>
        <v/>
      </c>
      <c r="AF512" t="str">
        <f ca="1">IFERROR(IF(0=LEN(ReferenceData!$AF$512),"",ReferenceData!$AF$512),"")</f>
        <v/>
      </c>
      <c r="AG512" t="str">
        <f ca="1">IFERROR(IF(0=LEN(ReferenceData!$AG$512),"",ReferenceData!$AG$512),"")</f>
        <v/>
      </c>
      <c r="AH512" t="str">
        <f ca="1">IFERROR(IF(0=LEN(ReferenceData!$AH$512),"",ReferenceData!$AH$512),"")</f>
        <v/>
      </c>
      <c r="AI512" t="str">
        <f ca="1">IFERROR(IF(0=LEN(ReferenceData!$AI$512),"",ReferenceData!$AI$512),"")</f>
        <v/>
      </c>
      <c r="AJ512" t="str">
        <f ca="1">IFERROR(IF(0=LEN(ReferenceData!$AJ$512),"",ReferenceData!$AJ$512),"")</f>
        <v/>
      </c>
      <c r="AK512" t="str">
        <f ca="1">IFERROR(IF(0=LEN(ReferenceData!$AK$512),"",ReferenceData!$AK$512),"")</f>
        <v/>
      </c>
      <c r="AL512" t="str">
        <f ca="1">IFERROR(IF(0=LEN(ReferenceData!$AL$512),"",ReferenceData!$AL$512),"")</f>
        <v/>
      </c>
      <c r="AM512" t="str">
        <f ca="1">IFERROR(IF(0=LEN(ReferenceData!$AM$512),"",ReferenceData!$AM$512),"")</f>
        <v/>
      </c>
      <c r="AN512" t="str">
        <f ca="1">IFERROR(IF(0=LEN(ReferenceData!$AN$512),"",ReferenceData!$AN$512),"")</f>
        <v/>
      </c>
      <c r="AO512" t="str">
        <f ca="1">IFERROR(IF(0=LEN(ReferenceData!$AO$512),"",ReferenceData!$AO$512),"")</f>
        <v/>
      </c>
      <c r="AP512" t="str">
        <f ca="1">IFERROR(IF(0=LEN(ReferenceData!$AP$512),"",ReferenceData!$AP$512),"")</f>
        <v/>
      </c>
      <c r="AQ512" t="str">
        <f ca="1">IFERROR(IF(0=LEN(ReferenceData!$AQ$512),"",ReferenceData!$AQ$512),"")</f>
        <v/>
      </c>
      <c r="AR512" t="str">
        <f ca="1">IFERROR(IF(0=LEN(ReferenceData!$AR$512),"",ReferenceData!$AR$512),"")</f>
        <v/>
      </c>
      <c r="AS512" t="str">
        <f ca="1">IFERROR(IF(0=LEN(ReferenceData!$AS$512),"",ReferenceData!$AS$512),"")</f>
        <v/>
      </c>
      <c r="AT512" t="str">
        <f ca="1">IFERROR(IF(0=LEN(ReferenceData!$AT$512),"",ReferenceData!$AT$512),"")</f>
        <v/>
      </c>
      <c r="AU512" t="str">
        <f ca="1">IFERROR(IF(0=LEN(ReferenceData!$AU$512),"",ReferenceData!$AU$512),"")</f>
        <v/>
      </c>
      <c r="AV512" t="str">
        <f ca="1">IFERROR(IF(0=LEN(ReferenceData!$AV$512),"",ReferenceData!$AV$512),"")</f>
        <v/>
      </c>
      <c r="AW512" t="str">
        <f ca="1">IFERROR(IF(0=LEN(ReferenceData!$AW$512),"",ReferenceData!$AW$512),"")</f>
        <v/>
      </c>
      <c r="AX512" t="str">
        <f ca="1">IFERROR(IF(0=LEN(ReferenceData!$AX$512),"",ReferenceData!$AX$512),"")</f>
        <v/>
      </c>
      <c r="AY512" t="str">
        <f ca="1">IFERROR(IF(0=LEN(ReferenceData!$AY$512),"",ReferenceData!$AY$512),"")</f>
        <v/>
      </c>
      <c r="AZ512" t="str">
        <f ca="1">IFERROR(IF(0=LEN(ReferenceData!$AZ$512),"",ReferenceData!$AZ$512),"")</f>
        <v/>
      </c>
      <c r="BA512" t="str">
        <f ca="1">IFERROR(IF(0=LEN(ReferenceData!$BA$512),"",ReferenceData!$BA$512),"")</f>
        <v/>
      </c>
      <c r="BB512" t="str">
        <f ca="1">IFERROR(IF(0=LEN(ReferenceData!$BB$512),"",ReferenceData!$BB$512),"")</f>
        <v/>
      </c>
      <c r="BC512" t="str">
        <f ca="1">IFERROR(IF(0=LEN(ReferenceData!$BC$512),"",ReferenceData!$BC$512),"")</f>
        <v/>
      </c>
      <c r="BD512" t="str">
        <f ca="1">IFERROR(IF(0=LEN(ReferenceData!$BD$512),"",ReferenceData!$BD$512),"")</f>
        <v/>
      </c>
      <c r="BE512" t="str">
        <f ca="1">IFERROR(IF(0=LEN(ReferenceData!$BE$512),"",ReferenceData!$BE$512),"")</f>
        <v/>
      </c>
      <c r="BF512" t="str">
        <f ca="1">IFERROR(IF(0=LEN(ReferenceData!$BF$512),"",ReferenceData!$BF$512),"")</f>
        <v/>
      </c>
      <c r="BG512" t="str">
        <f ca="1">IFERROR(IF(0=LEN(ReferenceData!$BG$512),"",ReferenceData!$BG$512),"")</f>
        <v/>
      </c>
      <c r="BH512" t="str">
        <f ca="1">IFERROR(IF(0=LEN(ReferenceData!$BH$512),"",ReferenceData!$BH$512),"")</f>
        <v/>
      </c>
      <c r="BI512" t="str">
        <f ca="1">IFERROR(IF(0=LEN(ReferenceData!$BI$512),"",ReferenceData!$BI$512),"")</f>
        <v/>
      </c>
      <c r="BJ512" t="str">
        <f ca="1">IFERROR(IF(0=LEN(ReferenceData!$BJ$512),"",ReferenceData!$BJ$512),"")</f>
        <v/>
      </c>
      <c r="BK512" t="str">
        <f ca="1">IFERROR(IF(0=LEN(ReferenceData!$BK$512),"",ReferenceData!$BK$512),"")</f>
        <v/>
      </c>
      <c r="BL512" t="str">
        <f ca="1">IFERROR(IF(0=LEN(ReferenceData!$BL$512),"",ReferenceData!$BL$512),"")</f>
        <v/>
      </c>
      <c r="BM512" t="str">
        <f ca="1">IFERROR(IF(0=LEN(ReferenceData!$BM$512),"",ReferenceData!$BM$512),"")</f>
        <v/>
      </c>
    </row>
    <row r="513" spans="1:65" x14ac:dyDescent="0.25">
      <c r="A513" t="str">
        <f>IFERROR(IF(0=LEN(ReferenceData!$A$513),"",ReferenceData!$A$513),"")</f>
        <v xml:space="preserve">    GAZ PJSC</v>
      </c>
      <c r="B513" t="str">
        <f>IFERROR(IF(0=LEN(ReferenceData!$B$513),"",ReferenceData!$B$513),"")</f>
        <v>GAZA RM Equity</v>
      </c>
      <c r="C513" t="str">
        <f>IFERROR(IF(0=LEN(ReferenceData!$C$513),"",ReferenceData!$C$513),"")</f>
        <v>DV013</v>
      </c>
      <c r="D513" t="str">
        <f>IFERROR(IF(0=LEN(ReferenceData!$D$513),"",ReferenceData!$D$513),"")</f>
        <v>EQY_DVD_YLD_IND</v>
      </c>
      <c r="E513" t="str">
        <f>IFERROR(IF(0=LEN(ReferenceData!$E$513),"",ReferenceData!$E$513),"")</f>
        <v>Dynamic</v>
      </c>
      <c r="F513" t="str">
        <f ca="1">IFERROR(IF(0=LEN(ReferenceData!$F$513),"",ReferenceData!$F$513),"")</f>
        <v/>
      </c>
      <c r="G513" t="str">
        <f ca="1">IFERROR(IF(0=LEN(ReferenceData!$G$513),"",ReferenceData!$G$513),"")</f>
        <v/>
      </c>
      <c r="H513" t="str">
        <f ca="1">IFERROR(IF(0=LEN(ReferenceData!$H$513),"",ReferenceData!$H$513),"")</f>
        <v/>
      </c>
      <c r="I513" t="str">
        <f ca="1">IFERROR(IF(0=LEN(ReferenceData!$I$513),"",ReferenceData!$I$513),"")</f>
        <v/>
      </c>
      <c r="J513" t="str">
        <f ca="1">IFERROR(IF(0=LEN(ReferenceData!$J$513),"",ReferenceData!$J$513),"")</f>
        <v/>
      </c>
      <c r="K513" t="str">
        <f ca="1">IFERROR(IF(0=LEN(ReferenceData!$K$513),"",ReferenceData!$K$513),"")</f>
        <v/>
      </c>
      <c r="L513" t="str">
        <f ca="1">IFERROR(IF(0=LEN(ReferenceData!$L$513),"",ReferenceData!$L$513),"")</f>
        <v/>
      </c>
      <c r="M513" t="str">
        <f ca="1">IFERROR(IF(0=LEN(ReferenceData!$M$513),"",ReferenceData!$M$513),"")</f>
        <v/>
      </c>
      <c r="N513" t="str">
        <f ca="1">IFERROR(IF(0=LEN(ReferenceData!$N$513),"",ReferenceData!$N$513),"")</f>
        <v/>
      </c>
      <c r="O513" t="str">
        <f ca="1">IFERROR(IF(0=LEN(ReferenceData!$O$513),"",ReferenceData!$O$513),"")</f>
        <v/>
      </c>
      <c r="P513" t="str">
        <f ca="1">IFERROR(IF(0=LEN(ReferenceData!$P$513),"",ReferenceData!$P$513),"")</f>
        <v/>
      </c>
      <c r="Q513" t="str">
        <f ca="1">IFERROR(IF(0=LEN(ReferenceData!$Q$513),"",ReferenceData!$Q$513),"")</f>
        <v/>
      </c>
      <c r="R513" t="str">
        <f ca="1">IFERROR(IF(0=LEN(ReferenceData!$R$513),"",ReferenceData!$R$513),"")</f>
        <v/>
      </c>
      <c r="S513" t="str">
        <f ca="1">IFERROR(IF(0=LEN(ReferenceData!$S$513),"",ReferenceData!$S$513),"")</f>
        <v/>
      </c>
      <c r="T513" t="str">
        <f ca="1">IFERROR(IF(0=LEN(ReferenceData!$T$513),"",ReferenceData!$T$513),"")</f>
        <v/>
      </c>
      <c r="U513" t="str">
        <f ca="1">IFERROR(IF(0=LEN(ReferenceData!$U$513),"",ReferenceData!$U$513),"")</f>
        <v/>
      </c>
      <c r="V513" t="str">
        <f ca="1">IFERROR(IF(0=LEN(ReferenceData!$V$513),"",ReferenceData!$V$513),"")</f>
        <v/>
      </c>
      <c r="W513" t="str">
        <f ca="1">IFERROR(IF(0=LEN(ReferenceData!$W$513),"",ReferenceData!$W$513),"")</f>
        <v/>
      </c>
      <c r="X513" t="str">
        <f ca="1">IFERROR(IF(0=LEN(ReferenceData!$X$513),"",ReferenceData!$X$513),"")</f>
        <v/>
      </c>
      <c r="Y513" t="str">
        <f ca="1">IFERROR(IF(0=LEN(ReferenceData!$Y$513),"",ReferenceData!$Y$513),"")</f>
        <v/>
      </c>
      <c r="Z513" t="str">
        <f ca="1">IFERROR(IF(0=LEN(ReferenceData!$Z$513),"",ReferenceData!$Z$513),"")</f>
        <v/>
      </c>
      <c r="AA513" t="str">
        <f ca="1">IFERROR(IF(0=LEN(ReferenceData!$AA$513),"",ReferenceData!$AA$513),"")</f>
        <v/>
      </c>
      <c r="AB513" t="str">
        <f ca="1">IFERROR(IF(0=LEN(ReferenceData!$AB$513),"",ReferenceData!$AB$513),"")</f>
        <v/>
      </c>
      <c r="AC513" t="str">
        <f ca="1">IFERROR(IF(0=LEN(ReferenceData!$AC$513),"",ReferenceData!$AC$513),"")</f>
        <v/>
      </c>
      <c r="AD513" t="str">
        <f ca="1">IFERROR(IF(0=LEN(ReferenceData!$AD$513),"",ReferenceData!$AD$513),"")</f>
        <v/>
      </c>
      <c r="AE513" t="str">
        <f ca="1">IFERROR(IF(0=LEN(ReferenceData!$AE$513),"",ReferenceData!$AE$513),"")</f>
        <v/>
      </c>
      <c r="AF513" t="str">
        <f ca="1">IFERROR(IF(0=LEN(ReferenceData!$AF$513),"",ReferenceData!$AF$513),"")</f>
        <v/>
      </c>
      <c r="AG513" t="str">
        <f ca="1">IFERROR(IF(0=LEN(ReferenceData!$AG$513),"",ReferenceData!$AG$513),"")</f>
        <v/>
      </c>
      <c r="AH513" t="str">
        <f ca="1">IFERROR(IF(0=LEN(ReferenceData!$AH$513),"",ReferenceData!$AH$513),"")</f>
        <v/>
      </c>
      <c r="AI513" t="str">
        <f ca="1">IFERROR(IF(0=LEN(ReferenceData!$AI$513),"",ReferenceData!$AI$513),"")</f>
        <v/>
      </c>
      <c r="AJ513" t="str">
        <f ca="1">IFERROR(IF(0=LEN(ReferenceData!$AJ$513),"",ReferenceData!$AJ$513),"")</f>
        <v/>
      </c>
      <c r="AK513" t="str">
        <f ca="1">IFERROR(IF(0=LEN(ReferenceData!$AK$513),"",ReferenceData!$AK$513),"")</f>
        <v/>
      </c>
      <c r="AL513" t="str">
        <f ca="1">IFERROR(IF(0=LEN(ReferenceData!$AL$513),"",ReferenceData!$AL$513),"")</f>
        <v/>
      </c>
      <c r="AM513" t="str">
        <f ca="1">IFERROR(IF(0=LEN(ReferenceData!$AM$513),"",ReferenceData!$AM$513),"")</f>
        <v/>
      </c>
      <c r="AN513" t="str">
        <f ca="1">IFERROR(IF(0=LEN(ReferenceData!$AN$513),"",ReferenceData!$AN$513),"")</f>
        <v/>
      </c>
      <c r="AO513" t="str">
        <f ca="1">IFERROR(IF(0=LEN(ReferenceData!$AO$513),"",ReferenceData!$AO$513),"")</f>
        <v/>
      </c>
      <c r="AP513" t="str">
        <f ca="1">IFERROR(IF(0=LEN(ReferenceData!$AP$513),"",ReferenceData!$AP$513),"")</f>
        <v/>
      </c>
      <c r="AQ513" t="str">
        <f ca="1">IFERROR(IF(0=LEN(ReferenceData!$AQ$513),"",ReferenceData!$AQ$513),"")</f>
        <v/>
      </c>
      <c r="AR513" t="str">
        <f ca="1">IFERROR(IF(0=LEN(ReferenceData!$AR$513),"",ReferenceData!$AR$513),"")</f>
        <v/>
      </c>
      <c r="AS513" t="str">
        <f ca="1">IFERROR(IF(0=LEN(ReferenceData!$AS$513),"",ReferenceData!$AS$513),"")</f>
        <v/>
      </c>
      <c r="AT513" t="str">
        <f ca="1">IFERROR(IF(0=LEN(ReferenceData!$AT$513),"",ReferenceData!$AT$513),"")</f>
        <v/>
      </c>
      <c r="AU513" t="str">
        <f ca="1">IFERROR(IF(0=LEN(ReferenceData!$AU$513),"",ReferenceData!$AU$513),"")</f>
        <v/>
      </c>
      <c r="AV513" t="str">
        <f ca="1">IFERROR(IF(0=LEN(ReferenceData!$AV$513),"",ReferenceData!$AV$513),"")</f>
        <v/>
      </c>
      <c r="AW513" t="str">
        <f ca="1">IFERROR(IF(0=LEN(ReferenceData!$AW$513),"",ReferenceData!$AW$513),"")</f>
        <v/>
      </c>
      <c r="AX513" t="str">
        <f ca="1">IFERROR(IF(0=LEN(ReferenceData!$AX$513),"",ReferenceData!$AX$513),"")</f>
        <v/>
      </c>
      <c r="AY513" t="str">
        <f ca="1">IFERROR(IF(0=LEN(ReferenceData!$AY$513),"",ReferenceData!$AY$513),"")</f>
        <v/>
      </c>
      <c r="AZ513" t="str">
        <f ca="1">IFERROR(IF(0=LEN(ReferenceData!$AZ$513),"",ReferenceData!$AZ$513),"")</f>
        <v/>
      </c>
      <c r="BA513" t="str">
        <f ca="1">IFERROR(IF(0=LEN(ReferenceData!$BA$513),"",ReferenceData!$BA$513),"")</f>
        <v/>
      </c>
      <c r="BB513" t="str">
        <f ca="1">IFERROR(IF(0=LEN(ReferenceData!$BB$513),"",ReferenceData!$BB$513),"")</f>
        <v/>
      </c>
      <c r="BC513" t="str">
        <f ca="1">IFERROR(IF(0=LEN(ReferenceData!$BC$513),"",ReferenceData!$BC$513),"")</f>
        <v/>
      </c>
      <c r="BD513" t="str">
        <f ca="1">IFERROR(IF(0=LEN(ReferenceData!$BD$513),"",ReferenceData!$BD$513),"")</f>
        <v/>
      </c>
      <c r="BE513" t="str">
        <f ca="1">IFERROR(IF(0=LEN(ReferenceData!$BE$513),"",ReferenceData!$BE$513),"")</f>
        <v/>
      </c>
      <c r="BF513" t="str">
        <f ca="1">IFERROR(IF(0=LEN(ReferenceData!$BF$513),"",ReferenceData!$BF$513),"")</f>
        <v/>
      </c>
      <c r="BG513" t="str">
        <f ca="1">IFERROR(IF(0=LEN(ReferenceData!$BG$513),"",ReferenceData!$BG$513),"")</f>
        <v/>
      </c>
      <c r="BH513" t="str">
        <f ca="1">IFERROR(IF(0=LEN(ReferenceData!$BH$513),"",ReferenceData!$BH$513),"")</f>
        <v/>
      </c>
      <c r="BI513" t="str">
        <f ca="1">IFERROR(IF(0=LEN(ReferenceData!$BI$513),"",ReferenceData!$BI$513),"")</f>
        <v/>
      </c>
      <c r="BJ513" t="str">
        <f ca="1">IFERROR(IF(0=LEN(ReferenceData!$BJ$513),"",ReferenceData!$BJ$513),"")</f>
        <v/>
      </c>
      <c r="BK513" t="str">
        <f ca="1">IFERROR(IF(0=LEN(ReferenceData!$BK$513),"",ReferenceData!$BK$513),"")</f>
        <v/>
      </c>
      <c r="BL513" t="str">
        <f ca="1">IFERROR(IF(0=LEN(ReferenceData!$BL$513),"",ReferenceData!$BL$513),"")</f>
        <v/>
      </c>
      <c r="BM513" t="str">
        <f ca="1">IFERROR(IF(0=LEN(ReferenceData!$BM$513),"",ReferenceData!$BM$513),"")</f>
        <v/>
      </c>
    </row>
    <row r="514" spans="1:65" x14ac:dyDescent="0.25">
      <c r="A514" t="str">
        <f>IFERROR(IF(0=LEN(ReferenceData!$A$514),"",ReferenceData!$A$514),"")</f>
        <v xml:space="preserve">    Geely Automobile Holdings Ltd</v>
      </c>
      <c r="B514" t="str">
        <f>IFERROR(IF(0=LEN(ReferenceData!$B$514),"",ReferenceData!$B$514),"")</f>
        <v>175 HK Equity</v>
      </c>
      <c r="C514" t="str">
        <f>IFERROR(IF(0=LEN(ReferenceData!$C$514),"",ReferenceData!$C$514),"")</f>
        <v>DV013</v>
      </c>
      <c r="D514" t="str">
        <f>IFERROR(IF(0=LEN(ReferenceData!$D$514),"",ReferenceData!$D$514),"")</f>
        <v>EQY_DVD_YLD_IND</v>
      </c>
      <c r="E514" t="str">
        <f>IFERROR(IF(0=LEN(ReferenceData!$E$514),"",ReferenceData!$E$514),"")</f>
        <v>Dynamic</v>
      </c>
      <c r="F514">
        <f ca="1">IFERROR(IF(0=LEN(ReferenceData!$F$514),"",ReferenceData!$F$514),"")</f>
        <v>1.8782382879999999</v>
      </c>
      <c r="G514">
        <f ca="1">IFERROR(IF(0=LEN(ReferenceData!$G$514),"",ReferenceData!$G$514),"")</f>
        <v>2.1014492150000001</v>
      </c>
      <c r="H514">
        <f ca="1">IFERROR(IF(0=LEN(ReferenceData!$H$514),"",ReferenceData!$H$514),"")</f>
        <v>1.858974305</v>
      </c>
      <c r="I514">
        <f ca="1">IFERROR(IF(0=LEN(ReferenceData!$I$514),"",ReferenceData!$I$514),"")</f>
        <v>1.4250613839999999</v>
      </c>
      <c r="J514">
        <f ca="1">IFERROR(IF(0=LEN(ReferenceData!$J$514),"",ReferenceData!$J$514),"")</f>
        <v>1.2831858039999999</v>
      </c>
      <c r="K514">
        <f ca="1">IFERROR(IF(0=LEN(ReferenceData!$K$514),"",ReferenceData!$K$514),"")</f>
        <v>0.44280441799999998</v>
      </c>
      <c r="L514">
        <f ca="1">IFERROR(IF(0=LEN(ReferenceData!$L$514),"",ReferenceData!$L$514),"")</f>
        <v>0.54545453300000002</v>
      </c>
      <c r="M514">
        <f ca="1">IFERROR(IF(0=LEN(ReferenceData!$M$514),"",ReferenceData!$M$514),"")</f>
        <v>0.71258905800000005</v>
      </c>
      <c r="N514">
        <f ca="1">IFERROR(IF(0=LEN(ReferenceData!$N$514),"",ReferenceData!$N$514),"")</f>
        <v>1.008403339</v>
      </c>
      <c r="O514">
        <f ca="1">IFERROR(IF(0=LEN(ReferenceData!$O$514),"",ReferenceData!$O$514),"")</f>
        <v>0.51282049600000001</v>
      </c>
      <c r="P514">
        <f ca="1">IFERROR(IF(0=LEN(ReferenceData!$P$514),"",ReferenceData!$P$514),"")</f>
        <v>0.54913292999999996</v>
      </c>
      <c r="Q514">
        <f ca="1">IFERROR(IF(0=LEN(ReferenceData!$Q$514),"",ReferenceData!$Q$514),"")</f>
        <v>0.90692121199999998</v>
      </c>
      <c r="R514">
        <f ca="1">IFERROR(IF(0=LEN(ReferenceData!$R$514),"",ReferenceData!$R$514),"")</f>
        <v>0.989583302</v>
      </c>
      <c r="S514">
        <f ca="1">IFERROR(IF(0=LEN(ReferenceData!$S$514),"",ReferenceData!$S$514),"")</f>
        <v>0.60532688599999995</v>
      </c>
      <c r="T514">
        <f ca="1">IFERROR(IF(0=LEN(ReferenceData!$T$514),"",ReferenceData!$T$514),"")</f>
        <v>0.67750678499999994</v>
      </c>
      <c r="U514">
        <f ca="1">IFERROR(IF(0=LEN(ReferenceData!$U$514),"",ReferenceData!$U$514),"")</f>
        <v>0.60386474300000004</v>
      </c>
      <c r="V514">
        <f ca="1">IFERROR(IF(0=LEN(ReferenceData!$V$514),"",ReferenceData!$V$514),"")</f>
        <v>0.62656642500000004</v>
      </c>
      <c r="W514">
        <f ca="1">IFERROR(IF(0=LEN(ReferenceData!$W$514),"",ReferenceData!$W$514),"")</f>
        <v>1.8623481820000001</v>
      </c>
      <c r="X514">
        <f ca="1">IFERROR(IF(0=LEN(ReferenceData!$X$514),"",ReferenceData!$X$514),"")</f>
        <v>1.415384618</v>
      </c>
      <c r="Y514">
        <f ca="1">IFERROR(IF(0=LEN(ReferenceData!$Y$514),"",ReferenceData!$Y$514),"")</f>
        <v>1.6849816879999999</v>
      </c>
      <c r="Z514">
        <f ca="1">IFERROR(IF(0=LEN(ReferenceData!$Z$514),"",ReferenceData!$Z$514),"")</f>
        <v>1.508196724</v>
      </c>
      <c r="AA514">
        <f ca="1">IFERROR(IF(0=LEN(ReferenceData!$AA$514),"",ReferenceData!$AA$514),"")</f>
        <v>1.040000021</v>
      </c>
      <c r="AB514">
        <f ca="1">IFERROR(IF(0=LEN(ReferenceData!$AB$514),"",ReferenceData!$AB$514),"")</f>
        <v>0.97744362900000004</v>
      </c>
      <c r="AC514">
        <f ca="1">IFERROR(IF(0=LEN(ReferenceData!$AC$514),"",ReferenceData!$AC$514),"")</f>
        <v>1.1607143099999999</v>
      </c>
      <c r="AD514">
        <f ca="1">IFERROR(IF(0=LEN(ReferenceData!$AD$514),"",ReferenceData!$AD$514),"")</f>
        <v>1.03448278</v>
      </c>
      <c r="AE514">
        <f ca="1">IFERROR(IF(0=LEN(ReferenceData!$AE$514),"",ReferenceData!$AE$514),"")</f>
        <v>0.76294280299999995</v>
      </c>
      <c r="AF514">
        <f ca="1">IFERROR(IF(0=LEN(ReferenceData!$AF$514),"",ReferenceData!$AF$514),"")</f>
        <v>0.95238098199999999</v>
      </c>
      <c r="AG514">
        <f ca="1">IFERROR(IF(0=LEN(ReferenceData!$AG$514),"",ReferenceData!$AG$514),"")</f>
        <v>1.0370370689999999</v>
      </c>
      <c r="AH514">
        <f ca="1">IFERROR(IF(0=LEN(ReferenceData!$AH$514),"",ReferenceData!$AH$514),"")</f>
        <v>0.92105265999999997</v>
      </c>
      <c r="AI514">
        <f ca="1">IFERROR(IF(0=LEN(ReferenceData!$AI$514),"",ReferenceData!$AI$514),"")</f>
        <v>1.529411796</v>
      </c>
      <c r="AJ514">
        <f ca="1">IFERROR(IF(0=LEN(ReferenceData!$AJ$514),"",ReferenceData!$AJ$514),"")</f>
        <v>1.4857143159999999</v>
      </c>
      <c r="AK514">
        <f ca="1">IFERROR(IF(0=LEN(ReferenceData!$AK$514),"",ReferenceData!$AK$514),"")</f>
        <v>0.85526317600000001</v>
      </c>
      <c r="AL514">
        <f ca="1">IFERROR(IF(0=LEN(ReferenceData!$AL$514),"",ReferenceData!$AL$514),"")</f>
        <v>0.89965399800000001</v>
      </c>
      <c r="AM514">
        <f ca="1">IFERROR(IF(0=LEN(ReferenceData!$AM$514),"",ReferenceData!$AM$514),"")</f>
        <v>0.67647058999999998</v>
      </c>
      <c r="AN514">
        <f ca="1">IFERROR(IF(0=LEN(ReferenceData!$AN$514),"",ReferenceData!$AN$514),"")</f>
        <v>0.59740259900000003</v>
      </c>
      <c r="AO514">
        <f ca="1">IFERROR(IF(0=LEN(ReferenceData!$AO$514),"",ReferenceData!$AO$514),"")</f>
        <v>0.95833333499999995</v>
      </c>
      <c r="AP514">
        <f ca="1">IFERROR(IF(0=LEN(ReferenceData!$AP$514),"",ReferenceData!$AP$514),"")</f>
        <v>0.38929442199999997</v>
      </c>
      <c r="AQ514">
        <f ca="1">IFERROR(IF(0=LEN(ReferenceData!$AQ$514),"",ReferenceData!$AQ$514),"")</f>
        <v>0.37470727799999998</v>
      </c>
      <c r="AR514">
        <f ca="1">IFERROR(IF(0=LEN(ReferenceData!$AR$514),"",ReferenceData!$AR$514),"")</f>
        <v>0.75829387500000001</v>
      </c>
      <c r="AS514">
        <f ca="1">IFERROR(IF(0=LEN(ReferenceData!$AS$514),"",ReferenceData!$AS$514),"")</f>
        <v>1.1428571970000001</v>
      </c>
      <c r="AT514">
        <f ca="1">IFERROR(IF(0=LEN(ReferenceData!$AT$514),"",ReferenceData!$AT$514),"")</f>
        <v>1.9117647449999999</v>
      </c>
      <c r="AU514">
        <f ca="1">IFERROR(IF(0=LEN(ReferenceData!$AU$514),"",ReferenceData!$AU$514),"")</f>
        <v>2.063492106</v>
      </c>
      <c r="AV514">
        <f ca="1">IFERROR(IF(0=LEN(ReferenceData!$AV$514),"",ReferenceData!$AV$514),"")</f>
        <v>2.2033898760000001</v>
      </c>
      <c r="AW514">
        <f ca="1">IFERROR(IF(0=LEN(ReferenceData!$AW$514),"",ReferenceData!$AW$514),"")</f>
        <v>1.460674187</v>
      </c>
      <c r="AX514">
        <f ca="1">IFERROR(IF(0=LEN(ReferenceData!$AX$514),"",ReferenceData!$AX$514),"")</f>
        <v>1.075268793</v>
      </c>
      <c r="AY514">
        <f ca="1">IFERROR(IF(0=LEN(ReferenceData!$AY$514),"",ReferenceData!$AY$514),"")</f>
        <v>1.1363636109999999</v>
      </c>
      <c r="AZ514">
        <f ca="1">IFERROR(IF(0=LEN(ReferenceData!$AZ$514),"",ReferenceData!$AZ$514),"")</f>
        <v>1.075268793</v>
      </c>
      <c r="BA514">
        <f ca="1">IFERROR(IF(0=LEN(ReferenceData!$BA$514),"",ReferenceData!$BA$514),"")</f>
        <v>0.81967211299999998</v>
      </c>
      <c r="BB514">
        <f ca="1">IFERROR(IF(0=LEN(ReferenceData!$BB$514),"",ReferenceData!$BB$514),"")</f>
        <v>0.96153843999999999</v>
      </c>
      <c r="BC514">
        <f ca="1">IFERROR(IF(0=LEN(ReferenceData!$BC$514),"",ReferenceData!$BC$514),"")</f>
        <v>1.29870127</v>
      </c>
      <c r="BD514">
        <f ca="1">IFERROR(IF(0=LEN(ReferenceData!$BD$514),"",ReferenceData!$BD$514),"")</f>
        <v>1.0869564970000001</v>
      </c>
      <c r="BE514">
        <f ca="1">IFERROR(IF(0=LEN(ReferenceData!$BE$514),"",ReferenceData!$BE$514),"")</f>
        <v>1.0309278120000001</v>
      </c>
      <c r="BF514">
        <f ca="1">IFERROR(IF(0=LEN(ReferenceData!$BF$514),"",ReferenceData!$BF$514),"")</f>
        <v>1.29870127</v>
      </c>
      <c r="BG514">
        <f ca="1">IFERROR(IF(0=LEN(ReferenceData!$BG$514),"",ReferenceData!$BG$514),"")</f>
        <v>3.0769230080000001</v>
      </c>
      <c r="BH514">
        <f ca="1">IFERROR(IF(0=LEN(ReferenceData!$BH$514),"",ReferenceData!$BH$514),"")</f>
        <v>2.298850523</v>
      </c>
      <c r="BI514">
        <f ca="1">IFERROR(IF(0=LEN(ReferenceData!$BI$514),"",ReferenceData!$BI$514),"")</f>
        <v>1.9999999550000001</v>
      </c>
      <c r="BJ514" t="str">
        <f ca="1">IFERROR(IF(0=LEN(ReferenceData!$BJ$514),"",ReferenceData!$BJ$514),"")</f>
        <v/>
      </c>
      <c r="BK514" t="str">
        <f ca="1">IFERROR(IF(0=LEN(ReferenceData!$BK$514),"",ReferenceData!$BK$514),"")</f>
        <v/>
      </c>
      <c r="BL514" t="str">
        <f ca="1">IFERROR(IF(0=LEN(ReferenceData!$BL$514),"",ReferenceData!$BL$514),"")</f>
        <v/>
      </c>
      <c r="BM514" t="str">
        <f ca="1">IFERROR(IF(0=LEN(ReferenceData!$BM$514),"",ReferenceData!$BM$514),"")</f>
        <v/>
      </c>
    </row>
    <row r="515" spans="1:65" x14ac:dyDescent="0.25">
      <c r="A515" t="str">
        <f>IFERROR(IF(0=LEN(ReferenceData!$A$515),"",ReferenceData!$A$515),"")</f>
        <v xml:space="preserve">    General Motors Co</v>
      </c>
      <c r="B515" t="str">
        <f>IFERROR(IF(0=LEN(ReferenceData!$B$515),"",ReferenceData!$B$515),"")</f>
        <v>GM US Equity</v>
      </c>
      <c r="C515" t="str">
        <f>IFERROR(IF(0=LEN(ReferenceData!$C$515),"",ReferenceData!$C$515),"")</f>
        <v>DV013</v>
      </c>
      <c r="D515" t="str">
        <f>IFERROR(IF(0=LEN(ReferenceData!$D$515),"",ReferenceData!$D$515),"")</f>
        <v>EQY_DVD_YLD_IND</v>
      </c>
      <c r="E515" t="str">
        <f>IFERROR(IF(0=LEN(ReferenceData!$E$515),"",ReferenceData!$E$515),"")</f>
        <v>Dynamic</v>
      </c>
      <c r="F515">
        <f ca="1">IFERROR(IF(0=LEN(ReferenceData!$F$515),"",ReferenceData!$F$515),"")</f>
        <v>3.8701462050000002</v>
      </c>
      <c r="G515">
        <f ca="1">IFERROR(IF(0=LEN(ReferenceData!$G$515),"",ReferenceData!$G$515),"")</f>
        <v>4.5440956080000001</v>
      </c>
      <c r="H515">
        <f ca="1">IFERROR(IF(0=LEN(ReferenceData!$H$515),"",ReferenceData!$H$515),"")</f>
        <v>4.5144044579999996</v>
      </c>
      <c r="I515">
        <f ca="1">IFERROR(IF(0=LEN(ReferenceData!$I$515),"",ReferenceData!$I$515),"")</f>
        <v>3.8578679720000002</v>
      </c>
      <c r="J515">
        <f ca="1">IFERROR(IF(0=LEN(ReferenceData!$J$515),"",ReferenceData!$J$515),"")</f>
        <v>4.182718715</v>
      </c>
      <c r="K515">
        <f ca="1">IFERROR(IF(0=LEN(ReferenceData!$K$515),"",ReferenceData!$K$515),"")</f>
        <v>3.7082214709999999</v>
      </c>
      <c r="L515">
        <f ca="1">IFERROR(IF(0=LEN(ReferenceData!$L$515),"",ReferenceData!$L$515),"")</f>
        <v>3.7642396749999998</v>
      </c>
      <c r="M515">
        <f ca="1">IFERROR(IF(0=LEN(ReferenceData!$M$515),"",ReferenceData!$M$515),"")</f>
        <v>4.3515602089999996</v>
      </c>
      <c r="N515">
        <f ca="1">IFERROR(IF(0=LEN(ReferenceData!$N$515),"",ReferenceData!$N$515),"")</f>
        <v>4.2986424799999998</v>
      </c>
      <c r="O515">
        <f ca="1">IFERROR(IF(0=LEN(ReferenceData!$O$515),"",ReferenceData!$O$515),"")</f>
        <v>4.3628013230000002</v>
      </c>
      <c r="P515">
        <f ca="1">IFERROR(IF(0=LEN(ReferenceData!$P$515),"",ReferenceData!$P$515),"")</f>
        <v>4.7843877270000004</v>
      </c>
      <c r="Q515">
        <f ca="1">IFERROR(IF(0=LEN(ReferenceData!$Q$515),"",ReferenceData!$Q$515),"")</f>
        <v>5.3710246679999996</v>
      </c>
      <c r="R515">
        <f ca="1">IFERROR(IF(0=LEN(ReferenceData!$R$515),"",ReferenceData!$R$515),"")</f>
        <v>4.8361437509999998</v>
      </c>
      <c r="S515">
        <f ca="1">IFERROR(IF(0=LEN(ReferenceData!$S$515),"",ReferenceData!$S$515),"")</f>
        <v>4.2340489769999996</v>
      </c>
      <c r="T515">
        <f ca="1">IFERROR(IF(0=LEN(ReferenceData!$T$515),"",ReferenceData!$T$515),"")</f>
        <v>4.7968023229999996</v>
      </c>
      <c r="U515">
        <f ca="1">IFERROR(IF(0=LEN(ReferenceData!$U$515),"",ReferenceData!$U$515),"")</f>
        <v>4.3204322150000003</v>
      </c>
      <c r="V515">
        <f ca="1">IFERROR(IF(0=LEN(ReferenceData!$V$515),"",ReferenceData!$V$515),"")</f>
        <v>3.200000127</v>
      </c>
      <c r="W515">
        <f ca="1">IFERROR(IF(0=LEN(ReferenceData!$W$515),"",ReferenceData!$W$515),"")</f>
        <v>3.4374106210000002</v>
      </c>
      <c r="X515">
        <f ca="1">IFERROR(IF(0=LEN(ReferenceData!$X$515),"",ReferenceData!$X$515),"")</f>
        <v>3.7570446080000002</v>
      </c>
      <c r="Y515">
        <f ca="1">IFERROR(IF(0=LEN(ReferenceData!$Y$515),"",ReferenceData!$Y$515),"")</f>
        <v>3.305785255</v>
      </c>
      <c r="Z515">
        <f ca="1">IFERROR(IF(0=LEN(ReferenceData!$Z$515),"",ReferenceData!$Z$515),"")</f>
        <v>3.4863452869999998</v>
      </c>
      <c r="AA515" t="str">
        <f ca="1">IFERROR(IF(0=LEN(ReferenceData!$AA$515),"",ReferenceData!$AA$515),"")</f>
        <v/>
      </c>
      <c r="AB515" t="str">
        <f ca="1">IFERROR(IF(0=LEN(ReferenceData!$AB$515),"",ReferenceData!$AB$515),"")</f>
        <v/>
      </c>
      <c r="AC515" t="str">
        <f ca="1">IFERROR(IF(0=LEN(ReferenceData!$AC$515),"",ReferenceData!$AC$515),"")</f>
        <v/>
      </c>
      <c r="AD515" t="str">
        <f ca="1">IFERROR(IF(0=LEN(ReferenceData!$AD$515),"",ReferenceData!$AD$515),"")</f>
        <v/>
      </c>
      <c r="AE515" t="str">
        <f ca="1">IFERROR(IF(0=LEN(ReferenceData!$AE$515),"",ReferenceData!$AE$515),"")</f>
        <v/>
      </c>
      <c r="AF515" t="str">
        <f ca="1">IFERROR(IF(0=LEN(ReferenceData!$AF$515),"",ReferenceData!$AF$515),"")</f>
        <v/>
      </c>
      <c r="AG515" t="str">
        <f ca="1">IFERROR(IF(0=LEN(ReferenceData!$AG$515),"",ReferenceData!$AG$515),"")</f>
        <v/>
      </c>
      <c r="AH515" t="str">
        <f ca="1">IFERROR(IF(0=LEN(ReferenceData!$AH$515),"",ReferenceData!$AH$515),"")</f>
        <v/>
      </c>
      <c r="AI515" t="str">
        <f ca="1">IFERROR(IF(0=LEN(ReferenceData!$AI$515),"",ReferenceData!$AI$515),"")</f>
        <v/>
      </c>
      <c r="AJ515" t="str">
        <f ca="1">IFERROR(IF(0=LEN(ReferenceData!$AJ$515),"",ReferenceData!$AJ$515),"")</f>
        <v/>
      </c>
      <c r="AK515" t="str">
        <f ca="1">IFERROR(IF(0=LEN(ReferenceData!$AK$515),"",ReferenceData!$AK$515),"")</f>
        <v/>
      </c>
      <c r="AL515" t="str">
        <f ca="1">IFERROR(IF(0=LEN(ReferenceData!$AL$515),"",ReferenceData!$AL$515),"")</f>
        <v/>
      </c>
      <c r="AM515" t="str">
        <f ca="1">IFERROR(IF(0=LEN(ReferenceData!$AM$515),"",ReferenceData!$AM$515),"")</f>
        <v/>
      </c>
      <c r="AN515" t="str">
        <f ca="1">IFERROR(IF(0=LEN(ReferenceData!$AN$515),"",ReferenceData!$AN$515),"")</f>
        <v/>
      </c>
      <c r="AO515" t="str">
        <f ca="1">IFERROR(IF(0=LEN(ReferenceData!$AO$515),"",ReferenceData!$AO$515),"")</f>
        <v/>
      </c>
      <c r="AP515" t="str">
        <f ca="1">IFERROR(IF(0=LEN(ReferenceData!$AP$515),"",ReferenceData!$AP$515),"")</f>
        <v/>
      </c>
      <c r="AQ515" t="str">
        <f ca="1">IFERROR(IF(0=LEN(ReferenceData!$AQ$515),"",ReferenceData!$AQ$515),"")</f>
        <v/>
      </c>
      <c r="AR515" t="str">
        <f ca="1">IFERROR(IF(0=LEN(ReferenceData!$AR$515),"",ReferenceData!$AR$515),"")</f>
        <v/>
      </c>
      <c r="AS515" t="str">
        <f ca="1">IFERROR(IF(0=LEN(ReferenceData!$AS$515),"",ReferenceData!$AS$515),"")</f>
        <v/>
      </c>
      <c r="AT515" t="str">
        <f ca="1">IFERROR(IF(0=LEN(ReferenceData!$AT$515),"",ReferenceData!$AT$515),"")</f>
        <v/>
      </c>
      <c r="AU515" t="str">
        <f ca="1">IFERROR(IF(0=LEN(ReferenceData!$AU$515),"",ReferenceData!$AU$515),"")</f>
        <v/>
      </c>
      <c r="AV515" t="str">
        <f ca="1">IFERROR(IF(0=LEN(ReferenceData!$AV$515),"",ReferenceData!$AV$515),"")</f>
        <v/>
      </c>
      <c r="AW515" t="str">
        <f ca="1">IFERROR(IF(0=LEN(ReferenceData!$AW$515),"",ReferenceData!$AW$515),"")</f>
        <v/>
      </c>
      <c r="AX515" t="str">
        <f ca="1">IFERROR(IF(0=LEN(ReferenceData!$AX$515),"",ReferenceData!$AX$515),"")</f>
        <v/>
      </c>
      <c r="AY515" t="str">
        <f ca="1">IFERROR(IF(0=LEN(ReferenceData!$AY$515),"",ReferenceData!$AY$515),"")</f>
        <v/>
      </c>
      <c r="AZ515" t="str">
        <f ca="1">IFERROR(IF(0=LEN(ReferenceData!$AZ$515),"",ReferenceData!$AZ$515),"")</f>
        <v/>
      </c>
      <c r="BA515" t="str">
        <f ca="1">IFERROR(IF(0=LEN(ReferenceData!$BA$515),"",ReferenceData!$BA$515),"")</f>
        <v/>
      </c>
      <c r="BB515" t="str">
        <f ca="1">IFERROR(IF(0=LEN(ReferenceData!$BB$515),"",ReferenceData!$BB$515),"")</f>
        <v/>
      </c>
      <c r="BC515" t="str">
        <f ca="1">IFERROR(IF(0=LEN(ReferenceData!$BC$515),"",ReferenceData!$BC$515),"")</f>
        <v/>
      </c>
      <c r="BD515" t="str">
        <f ca="1">IFERROR(IF(0=LEN(ReferenceData!$BD$515),"",ReferenceData!$BD$515),"")</f>
        <v/>
      </c>
      <c r="BE515" t="str">
        <f ca="1">IFERROR(IF(0=LEN(ReferenceData!$BE$515),"",ReferenceData!$BE$515),"")</f>
        <v/>
      </c>
      <c r="BF515" t="str">
        <f ca="1">IFERROR(IF(0=LEN(ReferenceData!$BF$515),"",ReferenceData!$BF$515),"")</f>
        <v/>
      </c>
      <c r="BG515" t="str">
        <f ca="1">IFERROR(IF(0=LEN(ReferenceData!$BG$515),"",ReferenceData!$BG$515),"")</f>
        <v/>
      </c>
      <c r="BH515" t="str">
        <f ca="1">IFERROR(IF(0=LEN(ReferenceData!$BH$515),"",ReferenceData!$BH$515),"")</f>
        <v/>
      </c>
      <c r="BI515" t="str">
        <f ca="1">IFERROR(IF(0=LEN(ReferenceData!$BI$515),"",ReferenceData!$BI$515),"")</f>
        <v/>
      </c>
      <c r="BJ515" t="str">
        <f ca="1">IFERROR(IF(0=LEN(ReferenceData!$BJ$515),"",ReferenceData!$BJ$515),"")</f>
        <v/>
      </c>
      <c r="BK515" t="str">
        <f ca="1">IFERROR(IF(0=LEN(ReferenceData!$BK$515),"",ReferenceData!$BK$515),"")</f>
        <v/>
      </c>
      <c r="BL515" t="str">
        <f ca="1">IFERROR(IF(0=LEN(ReferenceData!$BL$515),"",ReferenceData!$BL$515),"")</f>
        <v/>
      </c>
      <c r="BM515" t="str">
        <f ca="1">IFERROR(IF(0=LEN(ReferenceData!$BM$515),"",ReferenceData!$BM$515),"")</f>
        <v/>
      </c>
    </row>
    <row r="516" spans="1:65" x14ac:dyDescent="0.25">
      <c r="A516" t="str">
        <f>IFERROR(IF(0=LEN(ReferenceData!$A$516),"",ReferenceData!$A$516),"")</f>
        <v xml:space="preserve">    Great Wall Motor Co Ltd</v>
      </c>
      <c r="B516" t="str">
        <f>IFERROR(IF(0=LEN(ReferenceData!$B$516),"",ReferenceData!$B$516),"")</f>
        <v>2333 HK Equity</v>
      </c>
      <c r="C516" t="str">
        <f>IFERROR(IF(0=LEN(ReferenceData!$C$516),"",ReferenceData!$C$516),"")</f>
        <v>DV013</v>
      </c>
      <c r="D516" t="str">
        <f>IFERROR(IF(0=LEN(ReferenceData!$D$516),"",ReferenceData!$D$516),"")</f>
        <v>EQY_DVD_YLD_IND</v>
      </c>
      <c r="E516" t="str">
        <f>IFERROR(IF(0=LEN(ReferenceData!$E$516),"",ReferenceData!$E$516),"")</f>
        <v>Dynamic</v>
      </c>
      <c r="F516">
        <f ca="1">IFERROR(IF(0=LEN(ReferenceData!$F$516),"",ReferenceData!$F$516),"")</f>
        <v>3.2047460289999998</v>
      </c>
      <c r="G516">
        <f ca="1">IFERROR(IF(0=LEN(ReferenceData!$G$516),"",ReferenceData!$G$516),"")</f>
        <v>4.6679374239999998</v>
      </c>
      <c r="H516">
        <f ca="1">IFERROR(IF(0=LEN(ReferenceData!$H$516),"",ReferenceData!$H$516),"")</f>
        <v>4.2002082229999997</v>
      </c>
      <c r="I516">
        <f ca="1">IFERROR(IF(0=LEN(ReferenceData!$I$516),"",ReferenceData!$I$516),"")</f>
        <v>3.4931731720000001</v>
      </c>
      <c r="J516">
        <f ca="1">IFERROR(IF(0=LEN(ReferenceData!$J$516),"",ReferenceData!$J$516),"")</f>
        <v>2.6631561669999999</v>
      </c>
      <c r="K516">
        <f ca="1">IFERROR(IF(0=LEN(ReferenceData!$K$516),"",ReferenceData!$K$516),"")</f>
        <v>4.4322120409999997</v>
      </c>
      <c r="L516">
        <f ca="1">IFERROR(IF(0=LEN(ReferenceData!$L$516),"",ReferenceData!$L$516),"")</f>
        <v>4.1321143510000002</v>
      </c>
      <c r="M516">
        <f ca="1">IFERROR(IF(0=LEN(ReferenceData!$M$516),"",ReferenceData!$M$516),"")</f>
        <v>4.1149686479999996</v>
      </c>
      <c r="N516">
        <f ca="1">IFERROR(IF(0=LEN(ReferenceData!$N$516),"",ReferenceData!$N$516),"")</f>
        <v>4.482293533</v>
      </c>
      <c r="O516" t="str">
        <f ca="1">IFERROR(IF(0=LEN(ReferenceData!$O$516),"",ReferenceData!$O$516),"")</f>
        <v/>
      </c>
      <c r="P516">
        <f ca="1">IFERROR(IF(0=LEN(ReferenceData!$P$516),"",ReferenceData!$P$516),"")</f>
        <v>3.0490913530000001</v>
      </c>
      <c r="Q516">
        <f ca="1">IFERROR(IF(0=LEN(ReferenceData!$Q$516),"",ReferenceData!$Q$516),"")</f>
        <v>3.5050302470000001</v>
      </c>
      <c r="R516">
        <f ca="1">IFERROR(IF(0=LEN(ReferenceData!$R$516),"",ReferenceData!$R$516),"")</f>
        <v>3.5717927270000001</v>
      </c>
      <c r="S516">
        <f ca="1">IFERROR(IF(0=LEN(ReferenceData!$S$516),"",ReferenceData!$S$516),"")</f>
        <v>1.124956729</v>
      </c>
      <c r="T516">
        <f ca="1">IFERROR(IF(0=LEN(ReferenceData!$T$516),"",ReferenceData!$T$516),"")</f>
        <v>1.186724213</v>
      </c>
      <c r="U516">
        <f ca="1">IFERROR(IF(0=LEN(ReferenceData!$U$516),"",ReferenceData!$U$516),"")</f>
        <v>2.6313072759999998</v>
      </c>
      <c r="V516">
        <f ca="1">IFERROR(IF(0=LEN(ReferenceData!$V$516),"",ReferenceData!$V$516),"")</f>
        <v>1.824629133</v>
      </c>
      <c r="W516">
        <f ca="1">IFERROR(IF(0=LEN(ReferenceData!$W$516),"",ReferenceData!$W$516),"")</f>
        <v>2.3150273729999999</v>
      </c>
      <c r="X516">
        <f ca="1">IFERROR(IF(0=LEN(ReferenceData!$X$516),"",ReferenceData!$X$516),"")</f>
        <v>3.3861594410000002</v>
      </c>
      <c r="Y516">
        <f ca="1">IFERROR(IF(0=LEN(ReferenceData!$Y$516),"",ReferenceData!$Y$516),"")</f>
        <v>3.5448856649999998</v>
      </c>
      <c r="Z516">
        <f ca="1">IFERROR(IF(0=LEN(ReferenceData!$Z$516),"",ReferenceData!$Z$516),"")</f>
        <v>2.6244911869999998</v>
      </c>
      <c r="AA516">
        <f ca="1">IFERROR(IF(0=LEN(ReferenceData!$AA$516),"",ReferenceData!$AA$516),"")</f>
        <v>1.6827302</v>
      </c>
      <c r="AB516">
        <f ca="1">IFERROR(IF(0=LEN(ReferenceData!$AB$516),"",ReferenceData!$AB$516),"")</f>
        <v>1.712743224</v>
      </c>
      <c r="AC516">
        <f ca="1">IFERROR(IF(0=LEN(ReferenceData!$AC$516),"",ReferenceData!$AC$516),"")</f>
        <v>2.1530897630000001</v>
      </c>
      <c r="AD516">
        <f ca="1">IFERROR(IF(0=LEN(ReferenceData!$AD$516),"",ReferenceData!$AD$516),"")</f>
        <v>2.7384354590000002</v>
      </c>
      <c r="AE516">
        <f ca="1">IFERROR(IF(0=LEN(ReferenceData!$AE$516),"",ReferenceData!$AE$516),"")</f>
        <v>1.5094582839999999</v>
      </c>
      <c r="AF516">
        <f ca="1">IFERROR(IF(0=LEN(ReferenceData!$AF$516),"",ReferenceData!$AF$516),"")</f>
        <v>1.8047068479999999</v>
      </c>
      <c r="AG516">
        <f ca="1">IFERROR(IF(0=LEN(ReferenceData!$AG$516),"",ReferenceData!$AG$516),"")</f>
        <v>2.3996264649999999</v>
      </c>
      <c r="AH516">
        <f ca="1">IFERROR(IF(0=LEN(ReferenceData!$AH$516),"",ReferenceData!$AH$516),"")</f>
        <v>2.4441228499999998</v>
      </c>
      <c r="AI516">
        <f ca="1">IFERROR(IF(0=LEN(ReferenceData!$AI$516),"",ReferenceData!$AI$516),"")</f>
        <v>2.0960694740000001</v>
      </c>
      <c r="AJ516">
        <f ca="1">IFERROR(IF(0=LEN(ReferenceData!$AJ$516),"",ReferenceData!$AJ$516),"")</f>
        <v>2.6351915560000001</v>
      </c>
      <c r="AK516">
        <f ca="1">IFERROR(IF(0=LEN(ReferenceData!$AK$516),"",ReferenceData!$AK$516),"")</f>
        <v>1.85698655</v>
      </c>
      <c r="AL516">
        <f ca="1">IFERROR(IF(0=LEN(ReferenceData!$AL$516),"",ReferenceData!$AL$516),"")</f>
        <v>1.6529504749999999</v>
      </c>
      <c r="AM516">
        <f ca="1">IFERROR(IF(0=LEN(ReferenceData!$AM$516),"",ReferenceData!$AM$516),"")</f>
        <v>1.184319728</v>
      </c>
      <c r="AN516">
        <f ca="1">IFERROR(IF(0=LEN(ReferenceData!$AN$516),"",ReferenceData!$AN$516),"")</f>
        <v>1.353508261</v>
      </c>
      <c r="AO516">
        <f ca="1">IFERROR(IF(0=LEN(ReferenceData!$AO$516),"",ReferenceData!$AO$516),"")</f>
        <v>2.0899759910000002</v>
      </c>
      <c r="AP516">
        <f ca="1">IFERROR(IF(0=LEN(ReferenceData!$AP$516),"",ReferenceData!$AP$516),"")</f>
        <v>1.7610702279999999</v>
      </c>
      <c r="AQ516">
        <f ca="1">IFERROR(IF(0=LEN(ReferenceData!$AQ$516),"",ReferenceData!$AQ$516),"")</f>
        <v>0.93874270400000004</v>
      </c>
      <c r="AR516">
        <f ca="1">IFERROR(IF(0=LEN(ReferenceData!$AR$516),"",ReferenceData!$AR$516),"")</f>
        <v>1.3018666729999999</v>
      </c>
      <c r="AS516">
        <f ca="1">IFERROR(IF(0=LEN(ReferenceData!$AS$516),"",ReferenceData!$AS$516),"")</f>
        <v>1.4775657529999999</v>
      </c>
      <c r="AT516">
        <f ca="1">IFERROR(IF(0=LEN(ReferenceData!$AT$516),"",ReferenceData!$AT$516),"")</f>
        <v>7.0464211920000004</v>
      </c>
      <c r="AU516">
        <f ca="1">IFERROR(IF(0=LEN(ReferenceData!$AU$516),"",ReferenceData!$AU$516),"")</f>
        <v>8.2208247229999998</v>
      </c>
      <c r="AV516">
        <f ca="1">IFERROR(IF(0=LEN(ReferenceData!$AV$516),"",ReferenceData!$AV$516),"")</f>
        <v>6.8506872699999999</v>
      </c>
      <c r="AW516">
        <f ca="1">IFERROR(IF(0=LEN(ReferenceData!$AW$516),"",ReferenceData!$AW$516),"")</f>
        <v>4.2932740340000004</v>
      </c>
      <c r="AX516">
        <f ca="1">IFERROR(IF(0=LEN(ReferenceData!$AX$516),"",ReferenceData!$AX$516),"")</f>
        <v>2.9555561589999999</v>
      </c>
      <c r="AY516">
        <f ca="1">IFERROR(IF(0=LEN(ReferenceData!$AY$516),"",ReferenceData!$AY$516),"")</f>
        <v>1.4584083210000001</v>
      </c>
      <c r="AZ516">
        <f ca="1">IFERROR(IF(0=LEN(ReferenceData!$AZ$516),"",ReferenceData!$AZ$516),"")</f>
        <v>1.4228992490000001</v>
      </c>
      <c r="BA516">
        <f ca="1">IFERROR(IF(0=LEN(ReferenceData!$BA$516),"",ReferenceData!$BA$516),"")</f>
        <v>1.4404349789999999</v>
      </c>
      <c r="BB516">
        <f ca="1">IFERROR(IF(0=LEN(ReferenceData!$BB$516),"",ReferenceData!$BB$516),"")</f>
        <v>1.4204289379999999</v>
      </c>
      <c r="BC516">
        <f ca="1">IFERROR(IF(0=LEN(ReferenceData!$BC$516),"",ReferenceData!$BC$516),"")</f>
        <v>1.288169887</v>
      </c>
      <c r="BD516">
        <f ca="1">IFERROR(IF(0=LEN(ReferenceData!$BD$516),"",ReferenceData!$BD$516),"")</f>
        <v>1.4860454460000001</v>
      </c>
      <c r="BE516">
        <f ca="1">IFERROR(IF(0=LEN(ReferenceData!$BE$516),"",ReferenceData!$BE$516),"")</f>
        <v>2.2897410300000001</v>
      </c>
      <c r="BF516">
        <f ca="1">IFERROR(IF(0=LEN(ReferenceData!$BF$516),"",ReferenceData!$BF$516),"")</f>
        <v>1.878476864</v>
      </c>
      <c r="BG516">
        <f ca="1">IFERROR(IF(0=LEN(ReferenceData!$BG$516),"",ReferenceData!$BG$516),"")</f>
        <v>3.6955539900000001</v>
      </c>
      <c r="BH516">
        <f ca="1">IFERROR(IF(0=LEN(ReferenceData!$BH$516),"",ReferenceData!$BH$516),"")</f>
        <v>3.5228645520000001</v>
      </c>
      <c r="BI516">
        <f ca="1">IFERROR(IF(0=LEN(ReferenceData!$BI$516),"",ReferenceData!$BI$516),"")</f>
        <v>3.3959144779999999</v>
      </c>
      <c r="BJ516">
        <f ca="1">IFERROR(IF(0=LEN(ReferenceData!$BJ$516),"",ReferenceData!$BJ$516),"")</f>
        <v>3.1944619240000001</v>
      </c>
      <c r="BK516" t="str">
        <f ca="1">IFERROR(IF(0=LEN(ReferenceData!$BK$516),"",ReferenceData!$BK$516),"")</f>
        <v/>
      </c>
      <c r="BL516" t="str">
        <f ca="1">IFERROR(IF(0=LEN(ReferenceData!$BL$516),"",ReferenceData!$BL$516),"")</f>
        <v/>
      </c>
      <c r="BM516" t="str">
        <f ca="1">IFERROR(IF(0=LEN(ReferenceData!$BM$516),"",ReferenceData!$BM$516),"")</f>
        <v/>
      </c>
    </row>
    <row r="517" spans="1:65" x14ac:dyDescent="0.25">
      <c r="A517" t="str">
        <f>IFERROR(IF(0=LEN(ReferenceData!$A$517),"",ReferenceData!$A$517),"")</f>
        <v xml:space="preserve">    Guangzhou Automobile Group Co Ltd</v>
      </c>
      <c r="B517" t="str">
        <f>IFERROR(IF(0=LEN(ReferenceData!$B$517),"",ReferenceData!$B$517),"")</f>
        <v>2238 HK Equity</v>
      </c>
      <c r="C517" t="str">
        <f>IFERROR(IF(0=LEN(ReferenceData!$C$517),"",ReferenceData!$C$517),"")</f>
        <v>DV013</v>
      </c>
      <c r="D517" t="str">
        <f>IFERROR(IF(0=LEN(ReferenceData!$D$517),"",ReferenceData!$D$517),"")</f>
        <v>EQY_DVD_YLD_IND</v>
      </c>
      <c r="E517" t="str">
        <f>IFERROR(IF(0=LEN(ReferenceData!$E$517),"",ReferenceData!$E$517),"")</f>
        <v>Dynamic</v>
      </c>
      <c r="F517">
        <f ca="1">IFERROR(IF(0=LEN(ReferenceData!$F$517),"",ReferenceData!$F$517),"")</f>
        <v>4.955832258</v>
      </c>
      <c r="G517">
        <f ca="1">IFERROR(IF(0=LEN(ReferenceData!$G$517),"",ReferenceData!$G$517),"")</f>
        <v>6.2756953940000004</v>
      </c>
      <c r="H517">
        <f ca="1">IFERROR(IF(0=LEN(ReferenceData!$H$517),"",ReferenceData!$H$517),"")</f>
        <v>5.6531927370000004</v>
      </c>
      <c r="I517">
        <f ca="1">IFERROR(IF(0=LEN(ReferenceData!$I$517),"",ReferenceData!$I$517),"")</f>
        <v>6.0086024159999996</v>
      </c>
      <c r="J517">
        <f ca="1">IFERROR(IF(0=LEN(ReferenceData!$J$517),"",ReferenceData!$J$517),"")</f>
        <v>4.4619898170000001</v>
      </c>
      <c r="K517">
        <f ca="1">IFERROR(IF(0=LEN(ReferenceData!$K$517),"",ReferenceData!$K$517),"")</f>
        <v>2.0055460140000001</v>
      </c>
      <c r="L517">
        <f ca="1">IFERROR(IF(0=LEN(ReferenceData!$L$517),"",ReferenceData!$L$517),"")</f>
        <v>2.0543535500000001</v>
      </c>
      <c r="M517">
        <f ca="1">IFERROR(IF(0=LEN(ReferenceData!$M$517),"",ReferenceData!$M$517),"")</f>
        <v>2.5109809460000001</v>
      </c>
      <c r="N517">
        <f ca="1">IFERROR(IF(0=LEN(ReferenceData!$N$517),"",ReferenceData!$N$517),"")</f>
        <v>2.7653085979999998</v>
      </c>
      <c r="O517">
        <f ca="1">IFERROR(IF(0=LEN(ReferenceData!$O$517),"",ReferenceData!$O$517),"")</f>
        <v>2.495328437</v>
      </c>
      <c r="P517">
        <f ca="1">IFERROR(IF(0=LEN(ReferenceData!$P$517),"",ReferenceData!$P$517),"")</f>
        <v>2.3476610569999998</v>
      </c>
      <c r="Q517">
        <f ca="1">IFERROR(IF(0=LEN(ReferenceData!$Q$517),"",ReferenceData!$Q$517),"")</f>
        <v>2.5866199989999998</v>
      </c>
      <c r="R517">
        <f ca="1">IFERROR(IF(0=LEN(ReferenceData!$R$517),"",ReferenceData!$R$517),"")</f>
        <v>2.9648370499999999</v>
      </c>
      <c r="S517">
        <f ca="1">IFERROR(IF(0=LEN(ReferenceData!$S$517),"",ReferenceData!$S$517),"")</f>
        <v>2.856359748</v>
      </c>
      <c r="T517">
        <f ca="1">IFERROR(IF(0=LEN(ReferenceData!$T$517),"",ReferenceData!$T$517),"")</f>
        <v>3.1279628939999999</v>
      </c>
      <c r="U517">
        <f ca="1">IFERROR(IF(0=LEN(ReferenceData!$U$517),"",ReferenceData!$U$517),"")</f>
        <v>2.8014912949999999</v>
      </c>
      <c r="V517">
        <f ca="1">IFERROR(IF(0=LEN(ReferenceData!$V$517),"",ReferenceData!$V$517),"")</f>
        <v>2.710877022</v>
      </c>
      <c r="W517">
        <f ca="1">IFERROR(IF(0=LEN(ReferenceData!$W$517),"",ReferenceData!$W$517),"")</f>
        <v>3.2045605250000002</v>
      </c>
      <c r="X517">
        <f ca="1">IFERROR(IF(0=LEN(ReferenceData!$X$517),"",ReferenceData!$X$517),"")</f>
        <v>3.0125429170000002</v>
      </c>
      <c r="Y517">
        <f ca="1">IFERROR(IF(0=LEN(ReferenceData!$Y$517),"",ReferenceData!$Y$517),"")</f>
        <v>2.2378955239999998</v>
      </c>
      <c r="Z517">
        <f ca="1">IFERROR(IF(0=LEN(ReferenceData!$Z$517),"",ReferenceData!$Z$517),"")</f>
        <v>2.4658039029999999</v>
      </c>
      <c r="AA517">
        <f ca="1">IFERROR(IF(0=LEN(ReferenceData!$AA$517),"",ReferenceData!$AA$517),"")</f>
        <v>1.1947989320000001</v>
      </c>
      <c r="AB517">
        <f ca="1">IFERROR(IF(0=LEN(ReferenceData!$AB$517),"",ReferenceData!$AB$517),"")</f>
        <v>1.2047437510000001</v>
      </c>
      <c r="AC517">
        <f ca="1">IFERROR(IF(0=LEN(ReferenceData!$AC$517),"",ReferenceData!$AC$517),"")</f>
        <v>1.513809067</v>
      </c>
      <c r="AD517">
        <f ca="1">IFERROR(IF(0=LEN(ReferenceData!$AD$517),"",ReferenceData!$AD$517),"")</f>
        <v>1.688922445</v>
      </c>
      <c r="AE517">
        <f ca="1">IFERROR(IF(0=LEN(ReferenceData!$AE$517),"",ReferenceData!$AE$517),"")</f>
        <v>4.7795334949999999</v>
      </c>
      <c r="AF517">
        <f ca="1">IFERROR(IF(0=LEN(ReferenceData!$AF$517),"",ReferenceData!$AF$517),"")</f>
        <v>6.4509617119999998</v>
      </c>
      <c r="AG517">
        <f ca="1">IFERROR(IF(0=LEN(ReferenceData!$AG$517),"",ReferenceData!$AG$517),"")</f>
        <v>3.7687417609999998</v>
      </c>
      <c r="AH517">
        <f ca="1">IFERROR(IF(0=LEN(ReferenceData!$AH$517),"",ReferenceData!$AH$517),"")</f>
        <v>3.1520385630000001</v>
      </c>
      <c r="AI517">
        <f ca="1">IFERROR(IF(0=LEN(ReferenceData!$AI$517),"",ReferenceData!$AI$517),"")</f>
        <v>2.0162946329999998</v>
      </c>
      <c r="AJ517">
        <f ca="1">IFERROR(IF(0=LEN(ReferenceData!$AJ$517),"",ReferenceData!$AJ$517),"")</f>
        <v>1.7034666519999999</v>
      </c>
      <c r="AK517">
        <f ca="1">IFERROR(IF(0=LEN(ReferenceData!$AK$517),"",ReferenceData!$AK$517),"")</f>
        <v>2.4694036970000002</v>
      </c>
      <c r="AL517">
        <f ca="1">IFERROR(IF(0=LEN(ReferenceData!$AL$517),"",ReferenceData!$AL$517),"")</f>
        <v>2.4824693249999998</v>
      </c>
      <c r="AM517">
        <f ca="1">IFERROR(IF(0=LEN(ReferenceData!$AM$517),"",ReferenceData!$AM$517),"")</f>
        <v>0.96956584899999998</v>
      </c>
      <c r="AN517">
        <f ca="1">IFERROR(IF(0=LEN(ReferenceData!$AN$517),"",ReferenceData!$AN$517),"")</f>
        <v>0.77797499299999995</v>
      </c>
      <c r="AO517" t="str">
        <f ca="1">IFERROR(IF(0=LEN(ReferenceData!$AO$517),"",ReferenceData!$AO$517),"")</f>
        <v/>
      </c>
      <c r="AP517" t="str">
        <f ca="1">IFERROR(IF(0=LEN(ReferenceData!$AP$517),"",ReferenceData!$AP$517),"")</f>
        <v/>
      </c>
      <c r="AQ517" t="str">
        <f ca="1">IFERROR(IF(0=LEN(ReferenceData!$AQ$517),"",ReferenceData!$AQ$517),"")</f>
        <v/>
      </c>
      <c r="AR517" t="str">
        <f ca="1">IFERROR(IF(0=LEN(ReferenceData!$AR$517),"",ReferenceData!$AR$517),"")</f>
        <v/>
      </c>
      <c r="AS517" t="str">
        <f ca="1">IFERROR(IF(0=LEN(ReferenceData!$AS$517),"",ReferenceData!$AS$517),"")</f>
        <v/>
      </c>
      <c r="AT517" t="str">
        <f ca="1">IFERROR(IF(0=LEN(ReferenceData!$AT$517),"",ReferenceData!$AT$517),"")</f>
        <v/>
      </c>
      <c r="AU517" t="str">
        <f ca="1">IFERROR(IF(0=LEN(ReferenceData!$AU$517),"",ReferenceData!$AU$517),"")</f>
        <v/>
      </c>
      <c r="AV517" t="str">
        <f ca="1">IFERROR(IF(0=LEN(ReferenceData!$AV$517),"",ReferenceData!$AV$517),"")</f>
        <v/>
      </c>
      <c r="AW517" t="str">
        <f ca="1">IFERROR(IF(0=LEN(ReferenceData!$AW$517),"",ReferenceData!$AW$517),"")</f>
        <v/>
      </c>
      <c r="AX517" t="str">
        <f ca="1">IFERROR(IF(0=LEN(ReferenceData!$AX$517),"",ReferenceData!$AX$517),"")</f>
        <v/>
      </c>
      <c r="AY517" t="str">
        <f ca="1">IFERROR(IF(0=LEN(ReferenceData!$AY$517),"",ReferenceData!$AY$517),"")</f>
        <v/>
      </c>
      <c r="AZ517" t="str">
        <f ca="1">IFERROR(IF(0=LEN(ReferenceData!$AZ$517),"",ReferenceData!$AZ$517),"")</f>
        <v/>
      </c>
      <c r="BA517" t="str">
        <f ca="1">IFERROR(IF(0=LEN(ReferenceData!$BA$517),"",ReferenceData!$BA$517),"")</f>
        <v/>
      </c>
      <c r="BB517" t="str">
        <f ca="1">IFERROR(IF(0=LEN(ReferenceData!$BB$517),"",ReferenceData!$BB$517),"")</f>
        <v/>
      </c>
      <c r="BC517" t="str">
        <f ca="1">IFERROR(IF(0=LEN(ReferenceData!$BC$517),"",ReferenceData!$BC$517),"")</f>
        <v/>
      </c>
      <c r="BD517" t="str">
        <f ca="1">IFERROR(IF(0=LEN(ReferenceData!$BD$517),"",ReferenceData!$BD$517),"")</f>
        <v/>
      </c>
      <c r="BE517" t="str">
        <f ca="1">IFERROR(IF(0=LEN(ReferenceData!$BE$517),"",ReferenceData!$BE$517),"")</f>
        <v/>
      </c>
      <c r="BF517" t="str">
        <f ca="1">IFERROR(IF(0=LEN(ReferenceData!$BF$517),"",ReferenceData!$BF$517),"")</f>
        <v/>
      </c>
      <c r="BG517" t="str">
        <f ca="1">IFERROR(IF(0=LEN(ReferenceData!$BG$517),"",ReferenceData!$BG$517),"")</f>
        <v/>
      </c>
      <c r="BH517" t="str">
        <f ca="1">IFERROR(IF(0=LEN(ReferenceData!$BH$517),"",ReferenceData!$BH$517),"")</f>
        <v/>
      </c>
      <c r="BI517" t="str">
        <f ca="1">IFERROR(IF(0=LEN(ReferenceData!$BI$517),"",ReferenceData!$BI$517),"")</f>
        <v/>
      </c>
      <c r="BJ517" t="str">
        <f ca="1">IFERROR(IF(0=LEN(ReferenceData!$BJ$517),"",ReferenceData!$BJ$517),"")</f>
        <v/>
      </c>
      <c r="BK517" t="str">
        <f ca="1">IFERROR(IF(0=LEN(ReferenceData!$BK$517),"",ReferenceData!$BK$517),"")</f>
        <v/>
      </c>
      <c r="BL517" t="str">
        <f ca="1">IFERROR(IF(0=LEN(ReferenceData!$BL$517),"",ReferenceData!$BL$517),"")</f>
        <v/>
      </c>
      <c r="BM517" t="str">
        <f ca="1">IFERROR(IF(0=LEN(ReferenceData!$BM$517),"",ReferenceData!$BM$517),"")</f>
        <v/>
      </c>
    </row>
    <row r="518" spans="1:65" x14ac:dyDescent="0.25">
      <c r="A518" t="str">
        <f>IFERROR(IF(0=LEN(ReferenceData!$A$518),"",ReferenceData!$A$518),"")</f>
        <v xml:space="preserve">    Honda Motor Co Ltd</v>
      </c>
      <c r="B518" t="str">
        <f>IFERROR(IF(0=LEN(ReferenceData!$B$518),"",ReferenceData!$B$518),"")</f>
        <v>7267 JP Equity</v>
      </c>
      <c r="C518" t="str">
        <f>IFERROR(IF(0=LEN(ReferenceData!$C$518),"",ReferenceData!$C$518),"")</f>
        <v>DV013</v>
      </c>
      <c r="D518" t="str">
        <f>IFERROR(IF(0=LEN(ReferenceData!$D$518),"",ReferenceData!$D$518),"")</f>
        <v>EQY_DVD_YLD_IND</v>
      </c>
      <c r="E518" t="str">
        <f>IFERROR(IF(0=LEN(ReferenceData!$E$518),"",ReferenceData!$E$518),"")</f>
        <v>Dynamic</v>
      </c>
      <c r="F518">
        <f ca="1">IFERROR(IF(0=LEN(ReferenceData!$F$518),"",ReferenceData!$F$518),"")</f>
        <v>3.552</v>
      </c>
      <c r="G518">
        <f ca="1">IFERROR(IF(0=LEN(ReferenceData!$G$518),"",ReferenceData!$G$518),"")</f>
        <v>3.8348592159999999</v>
      </c>
      <c r="H518">
        <f ca="1">IFERROR(IF(0=LEN(ReferenceData!$H$518),"",ReferenceData!$H$518),"")</f>
        <v>3.2276824660000001</v>
      </c>
      <c r="I518">
        <f ca="1">IFERROR(IF(0=LEN(ReferenceData!$I$518),"",ReferenceData!$I$518),"")</f>
        <v>3.4122348599999999</v>
      </c>
      <c r="J518">
        <f ca="1">IFERROR(IF(0=LEN(ReferenceData!$J$518),"",ReferenceData!$J$518),"")</f>
        <v>2.7322404370000002</v>
      </c>
      <c r="K518">
        <f ca="1">IFERROR(IF(0=LEN(ReferenceData!$K$518),"",ReferenceData!$K$518),"")</f>
        <v>2.5893319520000002</v>
      </c>
      <c r="L518">
        <f ca="1">IFERROR(IF(0=LEN(ReferenceData!$L$518),"",ReferenceData!$L$518),"")</f>
        <v>3.0012004800000001</v>
      </c>
      <c r="M518">
        <f ca="1">IFERROR(IF(0=LEN(ReferenceData!$M$518),"",ReferenceData!$M$518),"")</f>
        <v>3.2637075719999999</v>
      </c>
      <c r="N518">
        <f ca="1">IFERROR(IF(0=LEN(ReferenceData!$N$518),"",ReferenceData!$N$518),"")</f>
        <v>2.74544912</v>
      </c>
      <c r="O518">
        <f ca="1">IFERROR(IF(0=LEN(ReferenceData!$O$518),"",ReferenceData!$O$518),"")</f>
        <v>2.6939970720000002</v>
      </c>
      <c r="P518">
        <f ca="1">IFERROR(IF(0=LEN(ReferenceData!$P$518),"",ReferenceData!$P$518),"")</f>
        <v>3.1861471859999999</v>
      </c>
      <c r="Q518">
        <f ca="1">IFERROR(IF(0=LEN(ReferenceData!$Q$518),"",ReferenceData!$Q$518),"")</f>
        <v>3.576287658</v>
      </c>
      <c r="R518">
        <f ca="1">IFERROR(IF(0=LEN(ReferenceData!$R$518),"",ReferenceData!$R$518),"")</f>
        <v>2.8515878159999999</v>
      </c>
      <c r="S518">
        <f ca="1">IFERROR(IF(0=LEN(ReferenceData!$S$518),"",ReferenceData!$S$518),"")</f>
        <v>2.250639386</v>
      </c>
      <c r="T518">
        <f ca="1">IFERROR(IF(0=LEN(ReferenceData!$T$518),"",ReferenceData!$T$518),"")</f>
        <v>2.4865781290000002</v>
      </c>
      <c r="U518">
        <f ca="1">IFERROR(IF(0=LEN(ReferenceData!$U$518),"",ReferenceData!$U$518),"")</f>
        <v>2.22138079</v>
      </c>
      <c r="V518">
        <f ca="1">IFERROR(IF(0=LEN(ReferenceData!$V$518),"",ReferenceData!$V$518),"")</f>
        <v>2.2546758900000001</v>
      </c>
      <c r="W518">
        <f ca="1">IFERROR(IF(0=LEN(ReferenceData!$W$518),"",ReferenceData!$W$518),"")</f>
        <v>2.4957458880000001</v>
      </c>
      <c r="X518">
        <f ca="1">IFERROR(IF(0=LEN(ReferenceData!$X$518),"",ReferenceData!$X$518),"")</f>
        <v>2.3157894739999998</v>
      </c>
      <c r="Y518">
        <f ca="1">IFERROR(IF(0=LEN(ReferenceData!$Y$518),"",ReferenceData!$Y$518),"")</f>
        <v>2.487984167</v>
      </c>
      <c r="Z518">
        <f ca="1">IFERROR(IF(0=LEN(ReferenceData!$Z$518),"",ReferenceData!$Z$518),"")</f>
        <v>2.2564667030000001</v>
      </c>
      <c r="AA518">
        <f ca="1">IFERROR(IF(0=LEN(ReferenceData!$AA$518),"",ReferenceData!$AA$518),"")</f>
        <v>1.8937644339999999</v>
      </c>
      <c r="AB518">
        <f ca="1">IFERROR(IF(0=LEN(ReferenceData!$AB$518),"",ReferenceData!$AB$518),"")</f>
        <v>2.1954484609999998</v>
      </c>
      <c r="AC518">
        <f ca="1">IFERROR(IF(0=LEN(ReferenceData!$AC$518),"",ReferenceData!$AC$518),"")</f>
        <v>2.2252374490000002</v>
      </c>
      <c r="AD518">
        <f ca="1">IFERROR(IF(0=LEN(ReferenceData!$AD$518),"",ReferenceData!$AD$518),"")</f>
        <v>2.1378340370000002</v>
      </c>
      <c r="AE518">
        <f ca="1">IFERROR(IF(0=LEN(ReferenceData!$AE$518),"",ReferenceData!$AE$518),"")</f>
        <v>2.4165341809999998</v>
      </c>
      <c r="AF518">
        <f ca="1">IFERROR(IF(0=LEN(ReferenceData!$AF$518),"",ReferenceData!$AF$518),"")</f>
        <v>3.1706299539999998</v>
      </c>
      <c r="AG518">
        <f ca="1">IFERROR(IF(0=LEN(ReferenceData!$AG$518),"",ReferenceData!$AG$518),"")</f>
        <v>2.7646416880000002</v>
      </c>
      <c r="AH518">
        <f ca="1">IFERROR(IF(0=LEN(ReferenceData!$AH$518),"",ReferenceData!$AH$518),"")</f>
        <v>1.9077901429999999</v>
      </c>
      <c r="AI518">
        <f ca="1">IFERROR(IF(0=LEN(ReferenceData!$AI$518),"",ReferenceData!$AI$518),"")</f>
        <v>2.5553662689999999</v>
      </c>
      <c r="AJ518">
        <f ca="1">IFERROR(IF(0=LEN(ReferenceData!$AJ$518),"",ReferenceData!$AJ$518),"")</f>
        <v>2.6098303610000002</v>
      </c>
      <c r="AK518">
        <f ca="1">IFERROR(IF(0=LEN(ReferenceData!$AK$518),"",ReferenceData!$AK$518),"")</f>
        <v>1.9448946519999999</v>
      </c>
      <c r="AL518">
        <f ca="1">IFERROR(IF(0=LEN(ReferenceData!$AL$518),"",ReferenceData!$AL$518),"")</f>
        <v>1.728</v>
      </c>
      <c r="AM518">
        <f ca="1">IFERROR(IF(0=LEN(ReferenceData!$AM$518),"",ReferenceData!$AM$518),"")</f>
        <v>1.6796267499999999</v>
      </c>
      <c r="AN518">
        <f ca="1">IFERROR(IF(0=LEN(ReferenceData!$AN$518),"",ReferenceData!$AN$518),"")</f>
        <v>1.822477219</v>
      </c>
      <c r="AO518">
        <f ca="1">IFERROR(IF(0=LEN(ReferenceData!$AO$518),"",ReferenceData!$AO$518),"")</f>
        <v>2.0793222949999999</v>
      </c>
      <c r="AP518">
        <f ca="1">IFERROR(IF(0=LEN(ReferenceData!$AP$518),"",ReferenceData!$AP$518),"")</f>
        <v>1.151515152</v>
      </c>
      <c r="AQ518">
        <f ca="1">IFERROR(IF(0=LEN(ReferenceData!$AQ$518),"",ReferenceData!$AQ$518),"")</f>
        <v>1.221864952</v>
      </c>
      <c r="AR518">
        <f ca="1">IFERROR(IF(0=LEN(ReferenceData!$AR$518),"",ReferenceData!$AR$518),"")</f>
        <v>1.374321881</v>
      </c>
      <c r="AS518">
        <f ca="1">IFERROR(IF(0=LEN(ReferenceData!$AS$518),"",ReferenceData!$AS$518),"")</f>
        <v>1.428571429</v>
      </c>
      <c r="AT518">
        <f ca="1">IFERROR(IF(0=LEN(ReferenceData!$AT$518),"",ReferenceData!$AT$518),"")</f>
        <v>2.7213822890000001</v>
      </c>
      <c r="AU518">
        <f ca="1">IFERROR(IF(0=LEN(ReferenceData!$AU$518),"",ReferenceData!$AU$518),"")</f>
        <v>3.305351522</v>
      </c>
      <c r="AV518">
        <f ca="1">IFERROR(IF(0=LEN(ReferenceData!$AV$518),"",ReferenceData!$AV$518),"")</f>
        <v>2.0388349510000001</v>
      </c>
      <c r="AW518">
        <f ca="1">IFERROR(IF(0=LEN(ReferenceData!$AW$518),"",ReferenceData!$AW$518),"")</f>
        <v>1.7451523550000001</v>
      </c>
      <c r="AX518">
        <f ca="1">IFERROR(IF(0=LEN(ReferenceData!$AX$518),"",ReferenceData!$AX$518),"")</f>
        <v>3.0228470999999999</v>
      </c>
      <c r="AY518">
        <f ca="1">IFERROR(IF(0=LEN(ReferenceData!$AY$518),"",ReferenceData!$AY$518),"")</f>
        <v>2.2933333330000001</v>
      </c>
      <c r="AZ518">
        <f ca="1">IFERROR(IF(0=LEN(ReferenceData!$AZ$518),"",ReferenceData!$AZ$518),"")</f>
        <v>2.227979275</v>
      </c>
      <c r="BA518">
        <f ca="1">IFERROR(IF(0=LEN(ReferenceData!$BA$518),"",ReferenceData!$BA$518),"")</f>
        <v>1.9111111110000001</v>
      </c>
      <c r="BB518">
        <f ca="1">IFERROR(IF(0=LEN(ReferenceData!$BB$518),"",ReferenceData!$BB$518),"")</f>
        <v>1.8004866180000001</v>
      </c>
      <c r="BC518">
        <f ca="1">IFERROR(IF(0=LEN(ReferenceData!$BC$518),"",ReferenceData!$BC$518),"")</f>
        <v>1.5744680849999999</v>
      </c>
      <c r="BD518">
        <f ca="1">IFERROR(IF(0=LEN(ReferenceData!$BD$518),"",ReferenceData!$BD$518),"")</f>
        <v>2.01511335</v>
      </c>
      <c r="BE518">
        <f ca="1">IFERROR(IF(0=LEN(ReferenceData!$BE$518),"",ReferenceData!$BE$518),"")</f>
        <v>2.2038567489999998</v>
      </c>
      <c r="BF518">
        <f ca="1">IFERROR(IF(0=LEN(ReferenceData!$BF$518),"",ReferenceData!$BF$518),"")</f>
        <v>1.371742112</v>
      </c>
      <c r="BG518">
        <f ca="1">IFERROR(IF(0=LEN(ReferenceData!$BG$518),"",ReferenceData!$BG$518),"")</f>
        <v>1.4858841009999999</v>
      </c>
      <c r="BH518">
        <f ca="1">IFERROR(IF(0=LEN(ReferenceData!$BH$518),"",ReferenceData!$BH$518),"")</f>
        <v>1.5576323990000001</v>
      </c>
      <c r="BI518">
        <f ca="1">IFERROR(IF(0=LEN(ReferenceData!$BI$518),"",ReferenceData!$BI$518),"")</f>
        <v>1.828153565</v>
      </c>
      <c r="BJ518">
        <f ca="1">IFERROR(IF(0=LEN(ReferenceData!$BJ$518),"",ReferenceData!$BJ$518),"")</f>
        <v>1.210428305</v>
      </c>
      <c r="BK518">
        <f ca="1">IFERROR(IF(0=LEN(ReferenceData!$BK$518),"",ReferenceData!$BK$518),"")</f>
        <v>1.224105461</v>
      </c>
      <c r="BL518">
        <f ca="1">IFERROR(IF(0=LEN(ReferenceData!$BL$518),"",ReferenceData!$BL$518),"")</f>
        <v>1.217228464</v>
      </c>
      <c r="BM518">
        <f ca="1">IFERROR(IF(0=LEN(ReferenceData!$BM$518),"",ReferenceData!$BM$518),"")</f>
        <v>1.2357414449999999</v>
      </c>
    </row>
    <row r="519" spans="1:65" x14ac:dyDescent="0.25">
      <c r="A519" t="str">
        <f>IFERROR(IF(0=LEN(ReferenceData!$A$519),"",ReferenceData!$A$519),"")</f>
        <v xml:space="preserve">    Hyundai Motor Co</v>
      </c>
      <c r="B519" t="str">
        <f>IFERROR(IF(0=LEN(ReferenceData!$B$519),"",ReferenceData!$B$519),"")</f>
        <v>005380 KS Equity</v>
      </c>
      <c r="C519" t="str">
        <f>IFERROR(IF(0=LEN(ReferenceData!$C$519),"",ReferenceData!$C$519),"")</f>
        <v>DV013</v>
      </c>
      <c r="D519" t="str">
        <f>IFERROR(IF(0=LEN(ReferenceData!$D$519),"",ReferenceData!$D$519),"")</f>
        <v>EQY_DVD_YLD_IND</v>
      </c>
      <c r="E519" t="str">
        <f>IFERROR(IF(0=LEN(ReferenceData!$E$519),"",ReferenceData!$E$519),"")</f>
        <v>Dynamic</v>
      </c>
      <c r="F519">
        <f ca="1">IFERROR(IF(0=LEN(ReferenceData!$F$519),"",ReferenceData!$F$519),"")</f>
        <v>3.3057851239999998</v>
      </c>
      <c r="G519">
        <f ca="1">IFERROR(IF(0=LEN(ReferenceData!$G$519),"",ReferenceData!$G$519),"")</f>
        <v>3.3755274260000001</v>
      </c>
      <c r="H519">
        <f ca="1">IFERROR(IF(0=LEN(ReferenceData!$H$519),"",ReferenceData!$H$519),"")</f>
        <v>3.0888030889999998</v>
      </c>
      <c r="I519">
        <f ca="1">IFERROR(IF(0=LEN(ReferenceData!$I$519),"",ReferenceData!$I$519),"")</f>
        <v>3.1872509959999999</v>
      </c>
      <c r="J519">
        <f ca="1">IFERROR(IF(0=LEN(ReferenceData!$J$519),"",ReferenceData!$J$519),"")</f>
        <v>2.7874564460000002</v>
      </c>
      <c r="K519">
        <f ca="1">IFERROR(IF(0=LEN(ReferenceData!$K$519),"",ReferenceData!$K$519),"")</f>
        <v>2.5641025640000001</v>
      </c>
      <c r="L519">
        <f ca="1">IFERROR(IF(0=LEN(ReferenceData!$L$519),"",ReferenceData!$L$519),"")</f>
        <v>2.6578073089999998</v>
      </c>
      <c r="M519">
        <f ca="1">IFERROR(IF(0=LEN(ReferenceData!$M$519),"",ReferenceData!$M$519),"")</f>
        <v>2.507836991</v>
      </c>
      <c r="N519">
        <f ca="1">IFERROR(IF(0=LEN(ReferenceData!$N$519),"",ReferenceData!$N$519),"")</f>
        <v>2.5396825399999998</v>
      </c>
      <c r="O519">
        <f ca="1">IFERROR(IF(0=LEN(ReferenceData!$O$519),"",ReferenceData!$O$519),"")</f>
        <v>2.7397260270000001</v>
      </c>
      <c r="P519">
        <f ca="1">IFERROR(IF(0=LEN(ReferenceData!$P$519),"",ReferenceData!$P$519),"")</f>
        <v>2.95202952</v>
      </c>
      <c r="Q519">
        <f ca="1">IFERROR(IF(0=LEN(ReferenceData!$Q$519),"",ReferenceData!$Q$519),"")</f>
        <v>2.95202952</v>
      </c>
      <c r="R519">
        <f ca="1">IFERROR(IF(0=LEN(ReferenceData!$R$519),"",ReferenceData!$R$519),"")</f>
        <v>2.6229508199999998</v>
      </c>
      <c r="S519">
        <f ca="1">IFERROR(IF(0=LEN(ReferenceData!$S$519),"",ReferenceData!$S$519),"")</f>
        <v>1.342281879</v>
      </c>
      <c r="T519">
        <f ca="1">IFERROR(IF(0=LEN(ReferenceData!$T$519),"",ReferenceData!$T$519),"")</f>
        <v>1.2195121950000001</v>
      </c>
      <c r="U519">
        <f ca="1">IFERROR(IF(0=LEN(ReferenceData!$U$519),"",ReferenceData!$U$519),"")</f>
        <v>2.2058823529999998</v>
      </c>
      <c r="V519">
        <f ca="1">IFERROR(IF(0=LEN(ReferenceData!$V$519),"",ReferenceData!$V$519),"")</f>
        <v>1.7804154299999999</v>
      </c>
      <c r="W519">
        <f ca="1">IFERROR(IF(0=LEN(ReferenceData!$W$519),"",ReferenceData!$W$519),"")</f>
        <v>1.153846154</v>
      </c>
      <c r="X519">
        <f ca="1">IFERROR(IF(0=LEN(ReferenceData!$X$519),"",ReferenceData!$X$519),"")</f>
        <v>1.0236220469999999</v>
      </c>
      <c r="Y519">
        <f ca="1">IFERROR(IF(0=LEN(ReferenceData!$Y$519),"",ReferenceData!$Y$519),"")</f>
        <v>0.84967320300000004</v>
      </c>
      <c r="Z519">
        <f ca="1">IFERROR(IF(0=LEN(ReferenceData!$Z$519),"",ReferenceData!$Z$519),"")</f>
        <v>0.77689242999999997</v>
      </c>
      <c r="AA519">
        <f ca="1">IFERROR(IF(0=LEN(ReferenceData!$AA$519),"",ReferenceData!$AA$519),"")</f>
        <v>0.80338266400000002</v>
      </c>
      <c r="AB519">
        <f ca="1">IFERROR(IF(0=LEN(ReferenceData!$AB$519),"",ReferenceData!$AB$519),"")</f>
        <v>0.75697211200000003</v>
      </c>
      <c r="AC519">
        <f ca="1">IFERROR(IF(0=LEN(ReferenceData!$AC$519),"",ReferenceData!$AC$519),"")</f>
        <v>0.84257206200000001</v>
      </c>
      <c r="AD519">
        <f ca="1">IFERROR(IF(0=LEN(ReferenceData!$AD$519),"",ReferenceData!$AD$519),"")</f>
        <v>0.84821428600000004</v>
      </c>
      <c r="AE519">
        <f ca="1">IFERROR(IF(0=LEN(ReferenceData!$AE$519),"",ReferenceData!$AE$519),"")</f>
        <v>0.80091533199999998</v>
      </c>
      <c r="AF519">
        <f ca="1">IFERROR(IF(0=LEN(ReferenceData!$AF$519),"",ReferenceData!$AF$519),"")</f>
        <v>0.69444444400000005</v>
      </c>
      <c r="AG519">
        <f ca="1">IFERROR(IF(0=LEN(ReferenceData!$AG$519),"",ReferenceData!$AG$519),"")</f>
        <v>0.75268817200000004</v>
      </c>
      <c r="AH519">
        <f ca="1">IFERROR(IF(0=LEN(ReferenceData!$AH$519),"",ReferenceData!$AH$519),"")</f>
        <v>0.75107296099999998</v>
      </c>
      <c r="AI519">
        <f ca="1">IFERROR(IF(0=LEN(ReferenceData!$AI$519),"",ReferenceData!$AI$519),"")</f>
        <v>0.70422535200000003</v>
      </c>
      <c r="AJ519">
        <f ca="1">IFERROR(IF(0=LEN(ReferenceData!$AJ$519),"",ReferenceData!$AJ$519),"")</f>
        <v>0.710900474</v>
      </c>
      <c r="AK519">
        <f ca="1">IFERROR(IF(0=LEN(ReferenceData!$AK$519),"",ReferenceData!$AK$519),"")</f>
        <v>0.63291139200000002</v>
      </c>
      <c r="AL519">
        <f ca="1">IFERROR(IF(0=LEN(ReferenceData!$AL$519),"",ReferenceData!$AL$519),"")</f>
        <v>0.73891625599999999</v>
      </c>
      <c r="AM519">
        <f ca="1">IFERROR(IF(0=LEN(ReferenceData!$AM$519),"",ReferenceData!$AM$519),"")</f>
        <v>0.66282420799999997</v>
      </c>
      <c r="AN519">
        <f ca="1">IFERROR(IF(0=LEN(ReferenceData!$AN$519),"",ReferenceData!$AN$519),"")</f>
        <v>0.75163398699999995</v>
      </c>
      <c r="AO519">
        <f ca="1">IFERROR(IF(0=LEN(ReferenceData!$AO$519),"",ReferenceData!$AO$519),"")</f>
        <v>0.79584775100000005</v>
      </c>
      <c r="AP519">
        <f ca="1">IFERROR(IF(0=LEN(ReferenceData!$AP$519),"",ReferenceData!$AP$519),"")</f>
        <v>0.99567099599999997</v>
      </c>
      <c r="AQ519">
        <f ca="1">IFERROR(IF(0=LEN(ReferenceData!$AQ$519),"",ReferenceData!$AQ$519),"")</f>
        <v>0.70247933900000004</v>
      </c>
      <c r="AR519">
        <f ca="1">IFERROR(IF(0=LEN(ReferenceData!$AR$519),"",ReferenceData!$AR$519),"")</f>
        <v>0.76233183900000001</v>
      </c>
      <c r="AS519">
        <f ca="1">IFERROR(IF(0=LEN(ReferenceData!$AS$519),"",ReferenceData!$AS$519),"")</f>
        <v>1.147098516</v>
      </c>
      <c r="AT519">
        <f ca="1">IFERROR(IF(0=LEN(ReferenceData!$AT$519),"",ReferenceData!$AT$519),"")</f>
        <v>1.531531532</v>
      </c>
      <c r="AU519">
        <f ca="1">IFERROR(IF(0=LEN(ReferenceData!$AU$519),"",ReferenceData!$AU$519),"")</f>
        <v>2.5316455699999998</v>
      </c>
      <c r="AV519">
        <f ca="1">IFERROR(IF(0=LEN(ReferenceData!$AV$519),"",ReferenceData!$AV$519),"")</f>
        <v>1.360544218</v>
      </c>
      <c r="AW519">
        <f ca="1">IFERROR(IF(0=LEN(ReferenceData!$AW$519),"",ReferenceData!$AW$519),"")</f>
        <v>1.4084507040000001</v>
      </c>
      <c r="AX519">
        <f ca="1">IFERROR(IF(0=LEN(ReferenceData!$AX$519),"",ReferenceData!$AX$519),"")</f>
        <v>1.267427123</v>
      </c>
      <c r="AY519">
        <f ca="1">IFERROR(IF(0=LEN(ReferenceData!$AY$519),"",ReferenceData!$AY$519),"")</f>
        <v>1.3966480450000001</v>
      </c>
      <c r="AZ519">
        <f ca="1">IFERROR(IF(0=LEN(ReferenceData!$AZ$519),"",ReferenceData!$AZ$519),"")</f>
        <v>1.353179973</v>
      </c>
      <c r="BA519">
        <f ca="1">IFERROR(IF(0=LEN(ReferenceData!$BA$519),"",ReferenceData!$BA$519),"")</f>
        <v>1.3698630140000001</v>
      </c>
      <c r="BB519">
        <f ca="1">IFERROR(IF(0=LEN(ReferenceData!$BB$519),"",ReferenceData!$BB$519),"")</f>
        <v>1.512859304</v>
      </c>
      <c r="BC519">
        <f ca="1">IFERROR(IF(0=LEN(ReferenceData!$BC$519),"",ReferenceData!$BC$519),"")</f>
        <v>1.854599407</v>
      </c>
      <c r="BD519">
        <f ca="1">IFERROR(IF(0=LEN(ReferenceData!$BD$519),"",ReferenceData!$BD$519),"")</f>
        <v>1.543209877</v>
      </c>
      <c r="BE519">
        <f ca="1">IFERROR(IF(0=LEN(ReferenceData!$BE$519),"",ReferenceData!$BE$519),"")</f>
        <v>1.5508684859999999</v>
      </c>
      <c r="BF519">
        <f ca="1">IFERROR(IF(0=LEN(ReferenceData!$BF$519),"",ReferenceData!$BF$519),"")</f>
        <v>1.52998776</v>
      </c>
      <c r="BG519">
        <f ca="1">IFERROR(IF(0=LEN(ReferenceData!$BG$519),"",ReferenceData!$BG$519),"")</f>
        <v>1.1819116140000001</v>
      </c>
      <c r="BH519">
        <f ca="1">IFERROR(IF(0=LEN(ReferenceData!$BH$519),"",ReferenceData!$BH$519),"")</f>
        <v>1.4110429449999999</v>
      </c>
      <c r="BI519">
        <f ca="1">IFERROR(IF(0=LEN(ReferenceData!$BI$519),"",ReferenceData!$BI$519),"")</f>
        <v>2</v>
      </c>
      <c r="BJ519">
        <f ca="1">IFERROR(IF(0=LEN(ReferenceData!$BJ$519),"",ReferenceData!$BJ$519),"")</f>
        <v>2.0909090909999999</v>
      </c>
      <c r="BK519">
        <f ca="1">IFERROR(IF(0=LEN(ReferenceData!$BK$519),"",ReferenceData!$BK$519),"")</f>
        <v>1.801801802</v>
      </c>
      <c r="BL519">
        <f ca="1">IFERROR(IF(0=LEN(ReferenceData!$BL$519),"",ReferenceData!$BL$519),"")</f>
        <v>1.883239171</v>
      </c>
      <c r="BM519">
        <f ca="1">IFERROR(IF(0=LEN(ReferenceData!$BM$519),"",ReferenceData!$BM$519),"")</f>
        <v>2.2497187850000002</v>
      </c>
    </row>
    <row r="520" spans="1:65" x14ac:dyDescent="0.25">
      <c r="A520" t="str">
        <f>IFERROR(IF(0=LEN(ReferenceData!$A$520),"",ReferenceData!$A$520),"")</f>
        <v xml:space="preserve">    Kia Motors Corp</v>
      </c>
      <c r="B520" t="str">
        <f>IFERROR(IF(0=LEN(ReferenceData!$B$520),"",ReferenceData!$B$520),"")</f>
        <v>000270 KS Equity</v>
      </c>
      <c r="C520" t="str">
        <f>IFERROR(IF(0=LEN(ReferenceData!$C$520),"",ReferenceData!$C$520),"")</f>
        <v>DV013</v>
      </c>
      <c r="D520" t="str">
        <f>IFERROR(IF(0=LEN(ReferenceData!$D$520),"",ReferenceData!$D$520),"")</f>
        <v>EQY_DVD_YLD_IND</v>
      </c>
      <c r="E520" t="str">
        <f>IFERROR(IF(0=LEN(ReferenceData!$E$520),"",ReferenceData!$E$520),"")</f>
        <v>Dynamic</v>
      </c>
      <c r="F520">
        <f ca="1">IFERROR(IF(0=LEN(ReferenceData!$F$520),"",ReferenceData!$F$520),"")</f>
        <v>2.5280898879999998</v>
      </c>
      <c r="G520">
        <f ca="1">IFERROR(IF(0=LEN(ReferenceData!$G$520),"",ReferenceData!$G$520),"")</f>
        <v>2.3738872400000002</v>
      </c>
      <c r="H520">
        <f ca="1">IFERROR(IF(0=LEN(ReferenceData!$H$520),"",ReferenceData!$H$520),"")</f>
        <v>2.2792022790000002</v>
      </c>
      <c r="I520">
        <f ca="1">IFERROR(IF(0=LEN(ReferenceData!$I$520),"",ReferenceData!$I$520),"")</f>
        <v>2.5931928690000001</v>
      </c>
      <c r="J520">
        <f ca="1">IFERROR(IF(0=LEN(ReferenceData!$J$520),"",ReferenceData!$J$520),"")</f>
        <v>2.5806451610000001</v>
      </c>
      <c r="K520">
        <f ca="1">IFERROR(IF(0=LEN(ReferenceData!$K$520),"",ReferenceData!$K$520),"")</f>
        <v>3.2835820899999999</v>
      </c>
      <c r="L520">
        <f ca="1">IFERROR(IF(0=LEN(ReferenceData!$L$520),"",ReferenceData!$L$520),"")</f>
        <v>3.4755134280000002</v>
      </c>
      <c r="M520">
        <f ca="1">IFERROR(IF(0=LEN(ReferenceData!$M$520),"",ReferenceData!$M$520),"")</f>
        <v>2.8795811520000001</v>
      </c>
      <c r="N520">
        <f ca="1">IFERROR(IF(0=LEN(ReferenceData!$N$520),"",ReferenceData!$N$520),"")</f>
        <v>2.968960864</v>
      </c>
      <c r="O520">
        <f ca="1">IFERROR(IF(0=LEN(ReferenceData!$O$520),"",ReferenceData!$O$520),"")</f>
        <v>2.802547771</v>
      </c>
      <c r="P520">
        <f ca="1">IFERROR(IF(0=LEN(ReferenceData!$P$520),"",ReferenceData!$P$520),"")</f>
        <v>2.6097271649999998</v>
      </c>
      <c r="Q520">
        <f ca="1">IFERROR(IF(0=LEN(ReferenceData!$Q$520),"",ReferenceData!$Q$520),"")</f>
        <v>2.546296296</v>
      </c>
      <c r="R520">
        <f ca="1">IFERROR(IF(0=LEN(ReferenceData!$R$520),"",ReferenceData!$R$520),"")</f>
        <v>2.277432712</v>
      </c>
      <c r="S520">
        <f ca="1">IFERROR(IF(0=LEN(ReferenceData!$S$520),"",ReferenceData!$S$520),"")</f>
        <v>1.901140684</v>
      </c>
      <c r="T520">
        <f ca="1">IFERROR(IF(0=LEN(ReferenceData!$T$520),"",ReferenceData!$T$520),"")</f>
        <v>1.8656716419999999</v>
      </c>
      <c r="U520">
        <f ca="1">IFERROR(IF(0=LEN(ReferenceData!$U$520),"",ReferenceData!$U$520),"")</f>
        <v>2.2075055190000001</v>
      </c>
      <c r="V520">
        <f ca="1">IFERROR(IF(0=LEN(ReferenceData!$V$520),"",ReferenceData!$V$520),"")</f>
        <v>2.2123893809999999</v>
      </c>
      <c r="W520">
        <f ca="1">IFERROR(IF(0=LEN(ReferenceData!$W$520),"",ReferenceData!$W$520),"")</f>
        <v>1.3384321219999999</v>
      </c>
      <c r="X520">
        <f ca="1">IFERROR(IF(0=LEN(ReferenceData!$X$520),"",ReferenceData!$X$520),"")</f>
        <v>1.3035381749999999</v>
      </c>
      <c r="Y520">
        <f ca="1">IFERROR(IF(0=LEN(ReferenceData!$Y$520),"",ReferenceData!$Y$520),"")</f>
        <v>1.236749117</v>
      </c>
      <c r="Z520">
        <f ca="1">IFERROR(IF(0=LEN(ReferenceData!$Z$520),"",ReferenceData!$Z$520),"")</f>
        <v>1.1804384489999999</v>
      </c>
      <c r="AA520">
        <f ca="1">IFERROR(IF(0=LEN(ReferenceData!$AA$520),"",ReferenceData!$AA$520),"")</f>
        <v>1.1586452759999999</v>
      </c>
      <c r="AB520">
        <f ca="1">IFERROR(IF(0=LEN(ReferenceData!$AB$520),"",ReferenceData!$AB$520),"")</f>
        <v>0.99540581900000003</v>
      </c>
      <c r="AC520">
        <f ca="1">IFERROR(IF(0=LEN(ReferenceData!$AC$520),"",ReferenceData!$AC$520),"")</f>
        <v>1.046698873</v>
      </c>
      <c r="AD520">
        <f ca="1">IFERROR(IF(0=LEN(ReferenceData!$AD$520),"",ReferenceData!$AD$520),"")</f>
        <v>1.169064748</v>
      </c>
      <c r="AE520">
        <f ca="1">IFERROR(IF(0=LEN(ReferenceData!$AE$520),"",ReferenceData!$AE$520),"")</f>
        <v>1.0619469029999999</v>
      </c>
      <c r="AF520">
        <f ca="1">IFERROR(IF(0=LEN(ReferenceData!$AF$520),"",ReferenceData!$AF$520),"")</f>
        <v>0.86455331400000002</v>
      </c>
      <c r="AG520">
        <f ca="1">IFERROR(IF(0=LEN(ReferenceData!$AG$520),"",ReferenceData!$AG$520),"")</f>
        <v>0.80321285099999995</v>
      </c>
      <c r="AH520">
        <f ca="1">IFERROR(IF(0=LEN(ReferenceData!$AH$520),"",ReferenceData!$AH$520),"")</f>
        <v>0.80971659900000004</v>
      </c>
      <c r="AI520">
        <f ca="1">IFERROR(IF(0=LEN(ReferenceData!$AI$520),"",ReferenceData!$AI$520),"")</f>
        <v>0.74962518700000003</v>
      </c>
      <c r="AJ520">
        <f ca="1">IFERROR(IF(0=LEN(ReferenceData!$AJ$520),"",ReferenceData!$AJ$520),"")</f>
        <v>0.69541029200000004</v>
      </c>
      <c r="AK520">
        <f ca="1">IFERROR(IF(0=LEN(ReferenceData!$AK$520),"",ReferenceData!$AK$520),"")</f>
        <v>0.69156293199999996</v>
      </c>
      <c r="AL520">
        <f ca="1">IFERROR(IF(0=LEN(ReferenceData!$AL$520),"",ReferenceData!$AL$520),"")</f>
        <v>0.72463768100000003</v>
      </c>
      <c r="AM520">
        <f ca="1">IFERROR(IF(0=LEN(ReferenceData!$AM$520),"",ReferenceData!$AM$520),"")</f>
        <v>0.49407114600000002</v>
      </c>
      <c r="AN520">
        <f ca="1">IFERROR(IF(0=LEN(ReferenceData!$AN$520),"",ReferenceData!$AN$520),"")</f>
        <v>0.67934782599999999</v>
      </c>
      <c r="AO520">
        <f ca="1">IFERROR(IF(0=LEN(ReferenceData!$AO$520),"",ReferenceData!$AO$520),"")</f>
        <v>0.76452599399999999</v>
      </c>
      <c r="AP520">
        <f ca="1">IFERROR(IF(0=LEN(ReferenceData!$AP$520),"",ReferenceData!$AP$520),"")</f>
        <v>0.99009901</v>
      </c>
      <c r="AQ520" t="str">
        <f ca="1">IFERROR(IF(0=LEN(ReferenceData!$AQ$520),"",ReferenceData!$AQ$520),"")</f>
        <v/>
      </c>
      <c r="AR520" t="str">
        <f ca="1">IFERROR(IF(0=LEN(ReferenceData!$AR$520),"",ReferenceData!$AR$520),"")</f>
        <v/>
      </c>
      <c r="AS520" t="str">
        <f ca="1">IFERROR(IF(0=LEN(ReferenceData!$AS$520),"",ReferenceData!$AS$520),"")</f>
        <v/>
      </c>
      <c r="AT520" t="str">
        <f ca="1">IFERROR(IF(0=LEN(ReferenceData!$AT$520),"",ReferenceData!$AT$520),"")</f>
        <v/>
      </c>
      <c r="AU520" t="str">
        <f ca="1">IFERROR(IF(0=LEN(ReferenceData!$AU$520),"",ReferenceData!$AU$520),"")</f>
        <v/>
      </c>
      <c r="AV520" t="str">
        <f ca="1">IFERROR(IF(0=LEN(ReferenceData!$AV$520),"",ReferenceData!$AV$520),"")</f>
        <v/>
      </c>
      <c r="AW520" t="str">
        <f ca="1">IFERROR(IF(0=LEN(ReferenceData!$AW$520),"",ReferenceData!$AW$520),"")</f>
        <v/>
      </c>
      <c r="AX520" t="str">
        <f ca="1">IFERROR(IF(0=LEN(ReferenceData!$AX$520),"",ReferenceData!$AX$520),"")</f>
        <v/>
      </c>
      <c r="AY520" t="str">
        <f ca="1">IFERROR(IF(0=LEN(ReferenceData!$AY$520),"",ReferenceData!$AY$520),"")</f>
        <v/>
      </c>
      <c r="AZ520" t="str">
        <f ca="1">IFERROR(IF(0=LEN(ReferenceData!$AZ$520),"",ReferenceData!$AZ$520),"")</f>
        <v/>
      </c>
      <c r="BA520" t="str">
        <f ca="1">IFERROR(IF(0=LEN(ReferenceData!$BA$520),"",ReferenceData!$BA$520),"")</f>
        <v/>
      </c>
      <c r="BB520">
        <f ca="1">IFERROR(IF(0=LEN(ReferenceData!$BB$520),"",ReferenceData!$BB$520),"")</f>
        <v>2.0576131690000001</v>
      </c>
      <c r="BC520">
        <f ca="1">IFERROR(IF(0=LEN(ReferenceData!$BC$520),"",ReferenceData!$BC$520),"")</f>
        <v>1.8587360589999999</v>
      </c>
      <c r="BD520">
        <f ca="1">IFERROR(IF(0=LEN(ReferenceData!$BD$520),"",ReferenceData!$BD$520),"")</f>
        <v>1.628664495</v>
      </c>
      <c r="BE520">
        <f ca="1">IFERROR(IF(0=LEN(ReferenceData!$BE$520),"",ReferenceData!$BE$520),"")</f>
        <v>1.538461538</v>
      </c>
      <c r="BF520">
        <f ca="1">IFERROR(IF(0=LEN(ReferenceData!$BF$520),"",ReferenceData!$BF$520),"")</f>
        <v>1.2531328319999999</v>
      </c>
      <c r="BG520">
        <f ca="1">IFERROR(IF(0=LEN(ReferenceData!$BG$520),"",ReferenceData!$BG$520),"")</f>
        <v>1.31826742</v>
      </c>
      <c r="BH520">
        <f ca="1">IFERROR(IF(0=LEN(ReferenceData!$BH$520),"",ReferenceData!$BH$520),"")</f>
        <v>1.7948717949999999</v>
      </c>
      <c r="BI520">
        <f ca="1">IFERROR(IF(0=LEN(ReferenceData!$BI$520),"",ReferenceData!$BI$520),"")</f>
        <v>2.5454545450000001</v>
      </c>
      <c r="BJ520">
        <f ca="1">IFERROR(IF(0=LEN(ReferenceData!$BJ$520),"",ReferenceData!$BJ$520),"")</f>
        <v>2.5</v>
      </c>
      <c r="BK520">
        <f ca="1">IFERROR(IF(0=LEN(ReferenceData!$BK$520),"",ReferenceData!$BK$520),"")</f>
        <v>3.211009174</v>
      </c>
      <c r="BL520">
        <f ca="1">IFERROR(IF(0=LEN(ReferenceData!$BL$520),"",ReferenceData!$BL$520),"")</f>
        <v>3.3018867919999999</v>
      </c>
      <c r="BM520">
        <f ca="1">IFERROR(IF(0=LEN(ReferenceData!$BM$520),"",ReferenceData!$BM$520),"")</f>
        <v>3.546099291</v>
      </c>
    </row>
    <row r="521" spans="1:65" x14ac:dyDescent="0.25">
      <c r="A521" t="str">
        <f>IFERROR(IF(0=LEN(ReferenceData!$A$521),"",ReferenceData!$A$521),"")</f>
        <v xml:space="preserve">    Mazda Motor Corp</v>
      </c>
      <c r="B521" t="str">
        <f>IFERROR(IF(0=LEN(ReferenceData!$B$521),"",ReferenceData!$B$521),"")</f>
        <v>7261 JP Equity</v>
      </c>
      <c r="C521" t="str">
        <f>IFERROR(IF(0=LEN(ReferenceData!$C$521),"",ReferenceData!$C$521),"")</f>
        <v>DV013</v>
      </c>
      <c r="D521" t="str">
        <f>IFERROR(IF(0=LEN(ReferenceData!$D$521),"",ReferenceData!$D$521),"")</f>
        <v>EQY_DVD_YLD_IND</v>
      </c>
      <c r="E521" t="str">
        <f>IFERROR(IF(0=LEN(ReferenceData!$E$521),"",ReferenceData!$E$521),"")</f>
        <v>Dynamic</v>
      </c>
      <c r="F521">
        <f ca="1">IFERROR(IF(0=LEN(ReferenceData!$F$521),"",ReferenceData!$F$521),"")</f>
        <v>2.720559658</v>
      </c>
      <c r="G521">
        <f ca="1">IFERROR(IF(0=LEN(ReferenceData!$G$521),"",ReferenceData!$G$521),"")</f>
        <v>3.083700441</v>
      </c>
      <c r="H521">
        <f ca="1">IFERROR(IF(0=LEN(ReferenceData!$H$521),"",ReferenceData!$H$521),"")</f>
        <v>2.5659824050000002</v>
      </c>
      <c r="I521">
        <f ca="1">IFERROR(IF(0=LEN(ReferenceData!$I$521),"",ReferenceData!$I$521),"")</f>
        <v>2.5735294120000001</v>
      </c>
      <c r="J521">
        <f ca="1">IFERROR(IF(0=LEN(ReferenceData!$J$521),"",ReferenceData!$J$521),"")</f>
        <v>2.4884464980000001</v>
      </c>
      <c r="K521">
        <f ca="1">IFERROR(IF(0=LEN(ReferenceData!$K$521),"",ReferenceData!$K$521),"")</f>
        <v>2.3155805489999999</v>
      </c>
      <c r="L521">
        <f ca="1">IFERROR(IF(0=LEN(ReferenceData!$L$521),"",ReferenceData!$L$521),"")</f>
        <v>2.0289855069999998</v>
      </c>
      <c r="M521">
        <f ca="1">IFERROR(IF(0=LEN(ReferenceData!$M$521),"",ReferenceData!$M$521),"")</f>
        <v>2.2321428569999999</v>
      </c>
      <c r="N521">
        <f ca="1">IFERROR(IF(0=LEN(ReferenceData!$N$521),"",ReferenceData!$N$521),"")</f>
        <v>2.1834061139999998</v>
      </c>
      <c r="O521">
        <f ca="1">IFERROR(IF(0=LEN(ReferenceData!$O$521),"",ReferenceData!$O$521),"")</f>
        <v>1.830543933</v>
      </c>
      <c r="P521">
        <f ca="1">IFERROR(IF(0=LEN(ReferenceData!$P$521),"",ReferenceData!$P$521),"")</f>
        <v>2.2853411690000001</v>
      </c>
      <c r="Q521">
        <f ca="1">IFERROR(IF(0=LEN(ReferenceData!$Q$521),"",ReferenceData!$Q$521),"")</f>
        <v>2.575423105</v>
      </c>
      <c r="R521">
        <f ca="1">IFERROR(IF(0=LEN(ReferenceData!$R$521),"",ReferenceData!$R$521),"")</f>
        <v>1.7177211569999999</v>
      </c>
      <c r="S521">
        <f ca="1">IFERROR(IF(0=LEN(ReferenceData!$S$521),"",ReferenceData!$S$521),"")</f>
        <v>1.1885895399999999</v>
      </c>
      <c r="T521">
        <f ca="1">IFERROR(IF(0=LEN(ReferenceData!$T$521),"",ReferenceData!$T$521),"")</f>
        <v>1.595744681</v>
      </c>
      <c r="U521">
        <f ca="1">IFERROR(IF(0=LEN(ReferenceData!$U$521),"",ReferenceData!$U$521),"")</f>
        <v>1.2510425350000001</v>
      </c>
      <c r="V521">
        <f ca="1">IFERROR(IF(0=LEN(ReferenceData!$V$521),"",ReferenceData!$V$521),"")</f>
        <v>0.41000409999999998</v>
      </c>
      <c r="W521">
        <f ca="1">IFERROR(IF(0=LEN(ReferenceData!$W$521),"",ReferenceData!$W$521),"")</f>
        <v>0.34158838600000002</v>
      </c>
      <c r="X521">
        <f ca="1">IFERROR(IF(0=LEN(ReferenceData!$X$521),"",ReferenceData!$X$521),"")</f>
        <v>0.363768643</v>
      </c>
      <c r="Y521">
        <f ca="1">IFERROR(IF(0=LEN(ReferenceData!$Y$521),"",ReferenceData!$Y$521),"")</f>
        <v>0.42105263199999998</v>
      </c>
      <c r="Z521">
        <f ca="1">IFERROR(IF(0=LEN(ReferenceData!$Z$521),"",ReferenceData!$Z$521),"")</f>
        <v>0.21834061099999999</v>
      </c>
      <c r="AA521">
        <f ca="1">IFERROR(IF(0=LEN(ReferenceData!$AA$521),"",ReferenceData!$AA$521),"")</f>
        <v>0.18382352900000001</v>
      </c>
      <c r="AB521">
        <f ca="1">IFERROR(IF(0=LEN(ReferenceData!$AB$521),"",ReferenceData!$AB$521),"")</f>
        <v>0.22883295200000001</v>
      </c>
      <c r="AC521">
        <f ca="1">IFERROR(IF(0=LEN(ReferenceData!$AC$521),"",ReferenceData!$AC$521),"")</f>
        <v>0.25575447600000001</v>
      </c>
      <c r="AD521" t="str">
        <f ca="1">IFERROR(IF(0=LEN(ReferenceData!$AD$521),"",ReferenceData!$AD$521),"")</f>
        <v/>
      </c>
      <c r="AE521" t="str">
        <f ca="1">IFERROR(IF(0=LEN(ReferenceData!$AE$521),"",ReferenceData!$AE$521),"")</f>
        <v/>
      </c>
      <c r="AF521" t="str">
        <f ca="1">IFERROR(IF(0=LEN(ReferenceData!$AF$521),"",ReferenceData!$AF$521),"")</f>
        <v/>
      </c>
      <c r="AG521" t="str">
        <f ca="1">IFERROR(IF(0=LEN(ReferenceData!$AG$521),"",ReferenceData!$AG$521),"")</f>
        <v/>
      </c>
      <c r="AH521" t="str">
        <f ca="1">IFERROR(IF(0=LEN(ReferenceData!$AH$521),"",ReferenceData!$AH$521),"")</f>
        <v/>
      </c>
      <c r="AI521" t="str">
        <f ca="1">IFERROR(IF(0=LEN(ReferenceData!$AI$521),"",ReferenceData!$AI$521),"")</f>
        <v/>
      </c>
      <c r="AJ521" t="str">
        <f ca="1">IFERROR(IF(0=LEN(ReferenceData!$AJ$521),"",ReferenceData!$AJ$521),"")</f>
        <v/>
      </c>
      <c r="AK521" t="str">
        <f ca="1">IFERROR(IF(0=LEN(ReferenceData!$AK$521),"",ReferenceData!$AK$521),"")</f>
        <v/>
      </c>
      <c r="AL521" t="str">
        <f ca="1">IFERROR(IF(0=LEN(ReferenceData!$AL$521),"",ReferenceData!$AL$521),"")</f>
        <v/>
      </c>
      <c r="AM521" t="str">
        <f ca="1">IFERROR(IF(0=LEN(ReferenceData!$AM$521),"",ReferenceData!$AM$521),"")</f>
        <v/>
      </c>
      <c r="AN521" t="str">
        <f ca="1">IFERROR(IF(0=LEN(ReferenceData!$AN$521),"",ReferenceData!$AN$521),"")</f>
        <v/>
      </c>
      <c r="AO521">
        <f ca="1">IFERROR(IF(0=LEN(ReferenceData!$AO$521),"",ReferenceData!$AO$521),"")</f>
        <v>1.083032491</v>
      </c>
      <c r="AP521">
        <f ca="1">IFERROR(IF(0=LEN(ReferenceData!$AP$521),"",ReferenceData!$AP$521),"")</f>
        <v>1.1406844110000001</v>
      </c>
      <c r="AQ521">
        <f ca="1">IFERROR(IF(0=LEN(ReferenceData!$AQ$521),"",ReferenceData!$AQ$521),"")</f>
        <v>1.41509434</v>
      </c>
      <c r="AR521">
        <f ca="1">IFERROR(IF(0=LEN(ReferenceData!$AR$521),"",ReferenceData!$AR$521),"")</f>
        <v>1.4925373129999999</v>
      </c>
      <c r="AS521">
        <f ca="1">IFERROR(IF(0=LEN(ReferenceData!$AS$521),"",ReferenceData!$AS$521),"")</f>
        <v>1.214574899</v>
      </c>
      <c r="AT521" t="str">
        <f ca="1">IFERROR(IF(0=LEN(ReferenceData!$AT$521),"",ReferenceData!$AT$521),"")</f>
        <v/>
      </c>
      <c r="AU521" t="str">
        <f ca="1">IFERROR(IF(0=LEN(ReferenceData!$AU$521),"",ReferenceData!$AU$521),"")</f>
        <v/>
      </c>
      <c r="AV521" t="str">
        <f ca="1">IFERROR(IF(0=LEN(ReferenceData!$AV$521),"",ReferenceData!$AV$521),"")</f>
        <v/>
      </c>
      <c r="AW521" t="str">
        <f ca="1">IFERROR(IF(0=LEN(ReferenceData!$AW$521),"",ReferenceData!$AW$521),"")</f>
        <v/>
      </c>
      <c r="AX521">
        <f ca="1">IFERROR(IF(0=LEN(ReferenceData!$AX$521),"",ReferenceData!$AX$521),"")</f>
        <v>1.4388489209999999</v>
      </c>
      <c r="AY521">
        <f ca="1">IFERROR(IF(0=LEN(ReferenceData!$AY$521),"",ReferenceData!$AY$521),"")</f>
        <v>1.075268817</v>
      </c>
      <c r="AZ521">
        <f ca="1">IFERROR(IF(0=LEN(ReferenceData!$AZ$521),"",ReferenceData!$AZ$521),"")</f>
        <v>1.0327022379999999</v>
      </c>
      <c r="BA521">
        <f ca="1">IFERROR(IF(0=LEN(ReferenceData!$BA$521),"",ReferenceData!$BA$521),"")</f>
        <v>0.85348506400000002</v>
      </c>
      <c r="BB521">
        <f ca="1">IFERROR(IF(0=LEN(ReferenceData!$BB$521),"",ReferenceData!$BB$521),"")</f>
        <v>0.92024539900000002</v>
      </c>
      <c r="BC521">
        <f ca="1">IFERROR(IF(0=LEN(ReferenceData!$BC$521),"",ReferenceData!$BC$521),"")</f>
        <v>0.73800737999999999</v>
      </c>
      <c r="BD521">
        <f ca="1">IFERROR(IF(0=LEN(ReferenceData!$BD$521),"",ReferenceData!$BD$521),"")</f>
        <v>0.83798882699999999</v>
      </c>
      <c r="BE521">
        <f ca="1">IFERROR(IF(0=LEN(ReferenceData!$BE$521),"",ReferenceData!$BE$521),"")</f>
        <v>0.83682008399999996</v>
      </c>
      <c r="BF521">
        <f ca="1">IFERROR(IF(0=LEN(ReferenceData!$BF$521),"",ReferenceData!$BF$521),"")</f>
        <v>0.69930069900000003</v>
      </c>
      <c r="BG521">
        <f ca="1">IFERROR(IF(0=LEN(ReferenceData!$BG$521),"",ReferenceData!$BG$521),"")</f>
        <v>0.92592592600000001</v>
      </c>
      <c r="BH521">
        <f ca="1">IFERROR(IF(0=LEN(ReferenceData!$BH$521),"",ReferenceData!$BH$521),"")</f>
        <v>1.004016064</v>
      </c>
      <c r="BI521">
        <f ca="1">IFERROR(IF(0=LEN(ReferenceData!$BI$521),"",ReferenceData!$BI$521),"")</f>
        <v>1.1990407670000001</v>
      </c>
      <c r="BJ521">
        <f ca="1">IFERROR(IF(0=LEN(ReferenceData!$BJ$521),"",ReferenceData!$BJ$521),"")</f>
        <v>0.81967213100000003</v>
      </c>
      <c r="BK521">
        <f ca="1">IFERROR(IF(0=LEN(ReferenceData!$BK$521),"",ReferenceData!$BK$521),"")</f>
        <v>0.931677019</v>
      </c>
      <c r="BL521">
        <f ca="1">IFERROR(IF(0=LEN(ReferenceData!$BL$521),"",ReferenceData!$BL$521),"")</f>
        <v>0.87976539600000003</v>
      </c>
      <c r="BM521">
        <f ca="1">IFERROR(IF(0=LEN(ReferenceData!$BM$521),"",ReferenceData!$BM$521),"")</f>
        <v>0.78125</v>
      </c>
    </row>
    <row r="522" spans="1:65" x14ac:dyDescent="0.25">
      <c r="A522" t="str">
        <f>IFERROR(IF(0=LEN(ReferenceData!$A$522),"",ReferenceData!$A$522),"")</f>
        <v xml:space="preserve">    Mitsubishi Motors Corp</v>
      </c>
      <c r="B522" t="str">
        <f>IFERROR(IF(0=LEN(ReferenceData!$B$522),"",ReferenceData!$B$522),"")</f>
        <v>7211 JP Equity</v>
      </c>
      <c r="C522" t="str">
        <f>IFERROR(IF(0=LEN(ReferenceData!$C$522),"",ReferenceData!$C$522),"")</f>
        <v>DV013</v>
      </c>
      <c r="D522" t="str">
        <f>IFERROR(IF(0=LEN(ReferenceData!$D$522),"",ReferenceData!$D$522),"")</f>
        <v>EQY_DVD_YLD_IND</v>
      </c>
      <c r="E522" t="str">
        <f>IFERROR(IF(0=LEN(ReferenceData!$E$522),"",ReferenceData!$E$522),"")</f>
        <v>Dynamic</v>
      </c>
      <c r="F522">
        <f ca="1">IFERROR(IF(0=LEN(ReferenceData!$F$522),"",ReferenceData!$F$522),"")</f>
        <v>3.2102728730000001</v>
      </c>
      <c r="G522">
        <f ca="1">IFERROR(IF(0=LEN(ReferenceData!$G$522),"",ReferenceData!$G$522),"")</f>
        <v>3.322259136</v>
      </c>
      <c r="H522">
        <f ca="1">IFERROR(IF(0=LEN(ReferenceData!$H$522),"",ReferenceData!$H$522),"")</f>
        <v>2.4937655859999999</v>
      </c>
      <c r="I522">
        <f ca="1">IFERROR(IF(0=LEN(ReferenceData!$I$522),"",ReferenceData!$I$522),"")</f>
        <v>2.2650056630000002</v>
      </c>
      <c r="J522">
        <f ca="1">IFERROR(IF(0=LEN(ReferenceData!$J$522),"",ReferenceData!$J$522),"")</f>
        <v>2.2339027599999999</v>
      </c>
      <c r="K522">
        <f ca="1">IFERROR(IF(0=LEN(ReferenceData!$K$522),"",ReferenceData!$K$522),"")</f>
        <v>2.0884520879999999</v>
      </c>
      <c r="L522">
        <f ca="1">IFERROR(IF(0=LEN(ReferenceData!$L$522),"",ReferenceData!$L$522),"")</f>
        <v>1.9101123600000001</v>
      </c>
      <c r="M522">
        <f ca="1">IFERROR(IF(0=LEN(ReferenceData!$M$522),"",ReferenceData!$M$522),"")</f>
        <v>2.2972972970000001</v>
      </c>
      <c r="N522">
        <f ca="1">IFERROR(IF(0=LEN(ReferenceData!$N$522),"",ReferenceData!$N$522),"")</f>
        <v>1.4947683110000001</v>
      </c>
      <c r="O522">
        <f ca="1">IFERROR(IF(0=LEN(ReferenceData!$O$522),"",ReferenceData!$O$522),"")</f>
        <v>1.501501502</v>
      </c>
      <c r="P522">
        <f ca="1">IFERROR(IF(0=LEN(ReferenceData!$P$522),"",ReferenceData!$P$522),"")</f>
        <v>2.1321961620000001</v>
      </c>
      <c r="Q522">
        <f ca="1">IFERROR(IF(0=LEN(ReferenceData!$Q$522),"",ReferenceData!$Q$522),"")</f>
        <v>2.1321961620000001</v>
      </c>
      <c r="R522">
        <f ca="1">IFERROR(IF(0=LEN(ReferenceData!$R$522),"",ReferenceData!$R$522),"")</f>
        <v>1.8979833930000001</v>
      </c>
      <c r="S522">
        <f ca="1">IFERROR(IF(0=LEN(ReferenceData!$S$522),"",ReferenceData!$S$522),"")</f>
        <v>1.553398058</v>
      </c>
      <c r="T522">
        <f ca="1">IFERROR(IF(0=LEN(ReferenceData!$T$522),"",ReferenceData!$T$522),"")</f>
        <v>1.754385965</v>
      </c>
      <c r="U522">
        <f ca="1">IFERROR(IF(0=LEN(ReferenceData!$U$522),"",ReferenceData!$U$522),"")</f>
        <v>1.535508637</v>
      </c>
      <c r="V522">
        <f ca="1">IFERROR(IF(0=LEN(ReferenceData!$V$522),"",ReferenceData!$V$522),"")</f>
        <v>1.4746543780000001</v>
      </c>
      <c r="W522">
        <f ca="1">IFERROR(IF(0=LEN(ReferenceData!$W$522),"",ReferenceData!$W$522),"")</f>
        <v>1.441441441</v>
      </c>
      <c r="X522">
        <f ca="1">IFERROR(IF(0=LEN(ReferenceData!$X$522),"",ReferenceData!$X$522),"")</f>
        <v>1.2021036810000001</v>
      </c>
      <c r="Y522">
        <f ca="1">IFERROR(IF(0=LEN(ReferenceData!$Y$522),"",ReferenceData!$Y$522),"")</f>
        <v>1.431127013</v>
      </c>
      <c r="Z522">
        <f ca="1">IFERROR(IF(0=LEN(ReferenceData!$Z$522),"",ReferenceData!$Z$522),"")</f>
        <v>1.388888889</v>
      </c>
      <c r="AA522" t="str">
        <f ca="1">IFERROR(IF(0=LEN(ReferenceData!$AA$522),"",ReferenceData!$AA$522),"")</f>
        <v/>
      </c>
      <c r="AB522" t="str">
        <f ca="1">IFERROR(IF(0=LEN(ReferenceData!$AB$522),"",ReferenceData!$AB$522),"")</f>
        <v/>
      </c>
      <c r="AC522" t="str">
        <f ca="1">IFERROR(IF(0=LEN(ReferenceData!$AC$522),"",ReferenceData!$AC$522),"")</f>
        <v/>
      </c>
      <c r="AD522" t="str">
        <f ca="1">IFERROR(IF(0=LEN(ReferenceData!$AD$522),"",ReferenceData!$AD$522),"")</f>
        <v/>
      </c>
      <c r="AE522" t="str">
        <f ca="1">IFERROR(IF(0=LEN(ReferenceData!$AE$522),"",ReferenceData!$AE$522),"")</f>
        <v/>
      </c>
      <c r="AF522" t="str">
        <f ca="1">IFERROR(IF(0=LEN(ReferenceData!$AF$522),"",ReferenceData!$AF$522),"")</f>
        <v/>
      </c>
      <c r="AG522" t="str">
        <f ca="1">IFERROR(IF(0=LEN(ReferenceData!$AG$522),"",ReferenceData!$AG$522),"")</f>
        <v/>
      </c>
      <c r="AH522" t="str">
        <f ca="1">IFERROR(IF(0=LEN(ReferenceData!$AH$522),"",ReferenceData!$AH$522),"")</f>
        <v/>
      </c>
      <c r="AI522" t="str">
        <f ca="1">IFERROR(IF(0=LEN(ReferenceData!$AI$522),"",ReferenceData!$AI$522),"")</f>
        <v/>
      </c>
      <c r="AJ522" t="str">
        <f ca="1">IFERROR(IF(0=LEN(ReferenceData!$AJ$522),"",ReferenceData!$AJ$522),"")</f>
        <v/>
      </c>
      <c r="AK522" t="str">
        <f ca="1">IFERROR(IF(0=LEN(ReferenceData!$AK$522),"",ReferenceData!$AK$522),"")</f>
        <v/>
      </c>
      <c r="AL522" t="str">
        <f ca="1">IFERROR(IF(0=LEN(ReferenceData!$AL$522),"",ReferenceData!$AL$522),"")</f>
        <v/>
      </c>
      <c r="AM522" t="str">
        <f ca="1">IFERROR(IF(0=LEN(ReferenceData!$AM$522),"",ReferenceData!$AM$522),"")</f>
        <v/>
      </c>
      <c r="AN522" t="str">
        <f ca="1">IFERROR(IF(0=LEN(ReferenceData!$AN$522),"",ReferenceData!$AN$522),"")</f>
        <v/>
      </c>
      <c r="AO522" t="str">
        <f ca="1">IFERROR(IF(0=LEN(ReferenceData!$AO$522),"",ReferenceData!$AO$522),"")</f>
        <v/>
      </c>
      <c r="AP522" t="str">
        <f ca="1">IFERROR(IF(0=LEN(ReferenceData!$AP$522),"",ReferenceData!$AP$522),"")</f>
        <v/>
      </c>
      <c r="AQ522" t="str">
        <f ca="1">IFERROR(IF(0=LEN(ReferenceData!$AQ$522),"",ReferenceData!$AQ$522),"")</f>
        <v/>
      </c>
      <c r="AR522" t="str">
        <f ca="1">IFERROR(IF(0=LEN(ReferenceData!$AR$522),"",ReferenceData!$AR$522),"")</f>
        <v/>
      </c>
      <c r="AS522" t="str">
        <f ca="1">IFERROR(IF(0=LEN(ReferenceData!$AS$522),"",ReferenceData!$AS$522),"")</f>
        <v/>
      </c>
      <c r="AT522" t="str">
        <f ca="1">IFERROR(IF(0=LEN(ReferenceData!$AT$522),"",ReferenceData!$AT$522),"")</f>
        <v/>
      </c>
      <c r="AU522" t="str">
        <f ca="1">IFERROR(IF(0=LEN(ReferenceData!$AU$522),"",ReferenceData!$AU$522),"")</f>
        <v/>
      </c>
      <c r="AV522" t="str">
        <f ca="1">IFERROR(IF(0=LEN(ReferenceData!$AV$522),"",ReferenceData!$AV$522),"")</f>
        <v/>
      </c>
      <c r="AW522" t="str">
        <f ca="1">IFERROR(IF(0=LEN(ReferenceData!$AW$522),"",ReferenceData!$AW$522),"")</f>
        <v/>
      </c>
      <c r="AX522" t="str">
        <f ca="1">IFERROR(IF(0=LEN(ReferenceData!$AX$522),"",ReferenceData!$AX$522),"")</f>
        <v/>
      </c>
      <c r="AY522" t="str">
        <f ca="1">IFERROR(IF(0=LEN(ReferenceData!$AY$522),"",ReferenceData!$AY$522),"")</f>
        <v/>
      </c>
      <c r="AZ522" t="str">
        <f ca="1">IFERROR(IF(0=LEN(ReferenceData!$AZ$522),"",ReferenceData!$AZ$522),"")</f>
        <v/>
      </c>
      <c r="BA522" t="str">
        <f ca="1">IFERROR(IF(0=LEN(ReferenceData!$BA$522),"",ReferenceData!$BA$522),"")</f>
        <v/>
      </c>
      <c r="BB522" t="str">
        <f ca="1">IFERROR(IF(0=LEN(ReferenceData!$BB$522),"",ReferenceData!$BB$522),"")</f>
        <v/>
      </c>
      <c r="BC522" t="str">
        <f ca="1">IFERROR(IF(0=LEN(ReferenceData!$BC$522),"",ReferenceData!$BC$522),"")</f>
        <v/>
      </c>
      <c r="BD522" t="str">
        <f ca="1">IFERROR(IF(0=LEN(ReferenceData!$BD$522),"",ReferenceData!$BD$522),"")</f>
        <v/>
      </c>
      <c r="BE522" t="str">
        <f ca="1">IFERROR(IF(0=LEN(ReferenceData!$BE$522),"",ReferenceData!$BE$522),"")</f>
        <v/>
      </c>
      <c r="BF522" t="str">
        <f ca="1">IFERROR(IF(0=LEN(ReferenceData!$BF$522),"",ReferenceData!$BF$522),"")</f>
        <v/>
      </c>
      <c r="BG522" t="str">
        <f ca="1">IFERROR(IF(0=LEN(ReferenceData!$BG$522),"",ReferenceData!$BG$522),"")</f>
        <v/>
      </c>
      <c r="BH522" t="str">
        <f ca="1">IFERROR(IF(0=LEN(ReferenceData!$BH$522),"",ReferenceData!$BH$522),"")</f>
        <v/>
      </c>
      <c r="BI522" t="str">
        <f ca="1">IFERROR(IF(0=LEN(ReferenceData!$BI$522),"",ReferenceData!$BI$522),"")</f>
        <v/>
      </c>
      <c r="BJ522" t="str">
        <f ca="1">IFERROR(IF(0=LEN(ReferenceData!$BJ$522),"",ReferenceData!$BJ$522),"")</f>
        <v/>
      </c>
      <c r="BK522" t="str">
        <f ca="1">IFERROR(IF(0=LEN(ReferenceData!$BK$522),"",ReferenceData!$BK$522),"")</f>
        <v/>
      </c>
      <c r="BL522" t="str">
        <f ca="1">IFERROR(IF(0=LEN(ReferenceData!$BL$522),"",ReferenceData!$BL$522),"")</f>
        <v/>
      </c>
      <c r="BM522" t="str">
        <f ca="1">IFERROR(IF(0=LEN(ReferenceData!$BM$522),"",ReferenceData!$BM$522),"")</f>
        <v/>
      </c>
    </row>
    <row r="523" spans="1:65" x14ac:dyDescent="0.25">
      <c r="A523" t="str">
        <f>IFERROR(IF(0=LEN(ReferenceData!$A$523),"",ReferenceData!$A$523),"")</f>
        <v xml:space="preserve">    Nissan Motor Co Ltd</v>
      </c>
      <c r="B523" t="str">
        <f>IFERROR(IF(0=LEN(ReferenceData!$B$523),"",ReferenceData!$B$523),"")</f>
        <v>7201 JP Equity</v>
      </c>
      <c r="C523" t="str">
        <f>IFERROR(IF(0=LEN(ReferenceData!$C$523),"",ReferenceData!$C$523),"")</f>
        <v>DV013</v>
      </c>
      <c r="D523" t="str">
        <f>IFERROR(IF(0=LEN(ReferenceData!$D$523),"",ReferenceData!$D$523),"")</f>
        <v>EQY_DVD_YLD_IND</v>
      </c>
      <c r="E523" t="str">
        <f>IFERROR(IF(0=LEN(ReferenceData!$E$523),"",ReferenceData!$E$523),"")</f>
        <v>Dynamic</v>
      </c>
      <c r="F523">
        <f ca="1">IFERROR(IF(0=LEN(ReferenceData!$F$523),"",ReferenceData!$F$523),"")</f>
        <v>6.015196285</v>
      </c>
      <c r="G523">
        <f ca="1">IFERROR(IF(0=LEN(ReferenceData!$G$523),"",ReferenceData!$G$523),"")</f>
        <v>6.4750653189999996</v>
      </c>
      <c r="H523">
        <f ca="1">IFERROR(IF(0=LEN(ReferenceData!$H$523),"",ReferenceData!$H$523),"")</f>
        <v>5.1716031969999996</v>
      </c>
      <c r="I523">
        <f ca="1">IFERROR(IF(0=LEN(ReferenceData!$I$523),"",ReferenceData!$I$523),"")</f>
        <v>5.1020408159999997</v>
      </c>
      <c r="J523">
        <f ca="1">IFERROR(IF(0=LEN(ReferenceData!$J$523),"",ReferenceData!$J$523),"")</f>
        <v>4.8007246380000002</v>
      </c>
      <c r="K523">
        <f ca="1">IFERROR(IF(0=LEN(ReferenceData!$K$523),"",ReferenceData!$K$523),"")</f>
        <v>4.7174009789999998</v>
      </c>
      <c r="L523">
        <f ca="1">IFERROR(IF(0=LEN(ReferenceData!$L$523),"",ReferenceData!$L$523),"")</f>
        <v>4.5311799009999998</v>
      </c>
      <c r="M523">
        <f ca="1">IFERROR(IF(0=LEN(ReferenceData!$M$523),"",ReferenceData!$M$523),"")</f>
        <v>4.2933810379999997</v>
      </c>
      <c r="N523">
        <f ca="1">IFERROR(IF(0=LEN(ReferenceData!$N$523),"",ReferenceData!$N$523),"")</f>
        <v>4.4713553800000003</v>
      </c>
      <c r="O523">
        <f ca="1">IFERROR(IF(0=LEN(ReferenceData!$O$523),"",ReferenceData!$O$523),"")</f>
        <v>4.0833687789999997</v>
      </c>
      <c r="P523">
        <f ca="1">IFERROR(IF(0=LEN(ReferenceData!$P$523),"",ReferenceData!$P$523),"")</f>
        <v>4.8845018830000004</v>
      </c>
      <c r="Q523">
        <f ca="1">IFERROR(IF(0=LEN(ReferenceData!$Q$523),"",ReferenceData!$Q$523),"")</f>
        <v>5.2293278130000003</v>
      </c>
      <c r="R523">
        <f ca="1">IFERROR(IF(0=LEN(ReferenceData!$R$523),"",ReferenceData!$R$523),"")</f>
        <v>4.0326452230000003</v>
      </c>
      <c r="S523">
        <f ca="1">IFERROR(IF(0=LEN(ReferenceData!$S$523),"",ReferenceData!$S$523),"")</f>
        <v>3.282532239</v>
      </c>
      <c r="T523">
        <f ca="1">IFERROR(IF(0=LEN(ReferenceData!$T$523),"",ReferenceData!$T$523),"")</f>
        <v>3.8391224859999999</v>
      </c>
      <c r="U523">
        <f ca="1">IFERROR(IF(0=LEN(ReferenceData!$U$523),"",ReferenceData!$U$523),"")</f>
        <v>3.2941176470000002</v>
      </c>
      <c r="V523">
        <f ca="1">IFERROR(IF(0=LEN(ReferenceData!$V$523),"",ReferenceData!$V$523),"")</f>
        <v>2.6960784310000001</v>
      </c>
      <c r="W523">
        <f ca="1">IFERROR(IF(0=LEN(ReferenceData!$W$523),"",ReferenceData!$W$523),"")</f>
        <v>3.122043519</v>
      </c>
      <c r="X523">
        <f ca="1">IFERROR(IF(0=LEN(ReferenceData!$X$523),"",ReferenceData!$X$523),"")</f>
        <v>3.0869971939999998</v>
      </c>
      <c r="Y523">
        <f ca="1">IFERROR(IF(0=LEN(ReferenceData!$Y$523),"",ReferenceData!$Y$523),"")</f>
        <v>3.4339229969999998</v>
      </c>
      <c r="Z523">
        <f ca="1">IFERROR(IF(0=LEN(ReferenceData!$Z$523),"",ReferenceData!$Z$523),"")</f>
        <v>3.2608695650000001</v>
      </c>
      <c r="AA523">
        <f ca="1">IFERROR(IF(0=LEN(ReferenceData!$AA$523),"",ReferenceData!$AA$523),"")</f>
        <v>3.3936651580000001</v>
      </c>
      <c r="AB523">
        <f ca="1">IFERROR(IF(0=LEN(ReferenceData!$AB$523),"",ReferenceData!$AB$523),"")</f>
        <v>3.0487804879999998</v>
      </c>
      <c r="AC523">
        <f ca="1">IFERROR(IF(0=LEN(ReferenceData!$AC$523),"",ReferenceData!$AC$523),"")</f>
        <v>2.9850746269999999</v>
      </c>
      <c r="AD523">
        <f ca="1">IFERROR(IF(0=LEN(ReferenceData!$AD$523),"",ReferenceData!$AD$523),"")</f>
        <v>2.7624309390000001</v>
      </c>
      <c r="AE523">
        <f ca="1">IFERROR(IF(0=LEN(ReferenceData!$AE$523),"",ReferenceData!$AE$523),"")</f>
        <v>3.0826140569999998</v>
      </c>
      <c r="AF523">
        <f ca="1">IFERROR(IF(0=LEN(ReferenceData!$AF$523),"",ReferenceData!$AF$523),"")</f>
        <v>3.7593984960000002</v>
      </c>
      <c r="AG523">
        <f ca="1">IFERROR(IF(0=LEN(ReferenceData!$AG$523),"",ReferenceData!$AG$523),"")</f>
        <v>3.3422459889999998</v>
      </c>
      <c r="AH523">
        <f ca="1">IFERROR(IF(0=LEN(ReferenceData!$AH$523),"",ReferenceData!$AH$523),"")</f>
        <v>2.2701475599999998</v>
      </c>
      <c r="AI523">
        <f ca="1">IFERROR(IF(0=LEN(ReferenceData!$AI$523),"",ReferenceData!$AI$523),"")</f>
        <v>2.8901734100000001</v>
      </c>
      <c r="AJ523">
        <f ca="1">IFERROR(IF(0=LEN(ReferenceData!$AJ$523),"",ReferenceData!$AJ$523),"")</f>
        <v>2.886002886</v>
      </c>
      <c r="AK523">
        <f ca="1">IFERROR(IF(0=LEN(ReferenceData!$AK$523),"",ReferenceData!$AK$523),"")</f>
        <v>2.375296912</v>
      </c>
      <c r="AL523">
        <f ca="1">IFERROR(IF(0=LEN(ReferenceData!$AL$523),"",ReferenceData!$AL$523),"")</f>
        <v>1.35501355</v>
      </c>
      <c r="AM523">
        <f ca="1">IFERROR(IF(0=LEN(ReferenceData!$AM$523),"",ReferenceData!$AM$523),"")</f>
        <v>1.2936610609999999</v>
      </c>
      <c r="AN523">
        <f ca="1">IFERROR(IF(0=LEN(ReferenceData!$AN$523),"",ReferenceData!$AN$523),"")</f>
        <v>1.371742112</v>
      </c>
      <c r="AO523">
        <f ca="1">IFERROR(IF(0=LEN(ReferenceData!$AO$523),"",ReferenceData!$AO$523),"")</f>
        <v>1.5974440889999999</v>
      </c>
      <c r="AP523" t="str">
        <f ca="1">IFERROR(IF(0=LEN(ReferenceData!$AP$523),"",ReferenceData!$AP$523),"")</f>
        <v/>
      </c>
      <c r="AQ523" t="str">
        <f ca="1">IFERROR(IF(0=LEN(ReferenceData!$AQ$523),"",ReferenceData!$AQ$523),"")</f>
        <v/>
      </c>
      <c r="AR523" t="str">
        <f ca="1">IFERROR(IF(0=LEN(ReferenceData!$AR$523),"",ReferenceData!$AR$523),"")</f>
        <v/>
      </c>
      <c r="AS523">
        <f ca="1">IFERROR(IF(0=LEN(ReferenceData!$AS$523),"",ReferenceData!$AS$523),"")</f>
        <v>2.1359223300000001</v>
      </c>
      <c r="AT523">
        <f ca="1">IFERROR(IF(0=LEN(ReferenceData!$AT$523),"",ReferenceData!$AT$523),"")</f>
        <v>3.1428571430000001</v>
      </c>
      <c r="AU523">
        <f ca="1">IFERROR(IF(0=LEN(ReferenceData!$AU$523),"",ReferenceData!$AU$523),"")</f>
        <v>9.6875</v>
      </c>
      <c r="AV523">
        <f ca="1">IFERROR(IF(0=LEN(ReferenceData!$AV$523),"",ReferenceData!$AV$523),"")</f>
        <v>5.7388809180000004</v>
      </c>
      <c r="AW523">
        <f ca="1">IFERROR(IF(0=LEN(ReferenceData!$AW$523),"",ReferenceData!$AW$523),"")</f>
        <v>4.5610034209999997</v>
      </c>
      <c r="AX523">
        <f ca="1">IFERROR(IF(0=LEN(ReferenceData!$AX$523),"",ReferenceData!$AX$523),"")</f>
        <v>4.8543689319999999</v>
      </c>
      <c r="AY523">
        <f ca="1">IFERROR(IF(0=LEN(ReferenceData!$AY$523),"",ReferenceData!$AY$523),"")</f>
        <v>3.2520325200000002</v>
      </c>
      <c r="AZ523">
        <f ca="1">IFERROR(IF(0=LEN(ReferenceData!$AZ$523),"",ReferenceData!$AZ$523),"")</f>
        <v>2.9539530840000001</v>
      </c>
      <c r="BA523">
        <f ca="1">IFERROR(IF(0=LEN(ReferenceData!$BA$523),"",ReferenceData!$BA$523),"")</f>
        <v>2.5738077210000001</v>
      </c>
      <c r="BB523">
        <f ca="1">IFERROR(IF(0=LEN(ReferenceData!$BB$523),"",ReferenceData!$BB$523),"")</f>
        <v>2.6920031670000002</v>
      </c>
      <c r="BC523">
        <f ca="1">IFERROR(IF(0=LEN(ReferenceData!$BC$523),"",ReferenceData!$BC$523),"")</f>
        <v>2.3726448009999999</v>
      </c>
      <c r="BD523">
        <f ca="1">IFERROR(IF(0=LEN(ReferenceData!$BD$523),"",ReferenceData!$BD$523),"")</f>
        <v>2.191987906</v>
      </c>
      <c r="BE523">
        <f ca="1">IFERROR(IF(0=LEN(ReferenceData!$BE$523),"",ReferenceData!$BE$523),"")</f>
        <v>2.3199999999999998</v>
      </c>
      <c r="BF523">
        <f ca="1">IFERROR(IF(0=LEN(ReferenceData!$BF$523),"",ReferenceData!$BF$523),"")</f>
        <v>2.074391989</v>
      </c>
      <c r="BG523">
        <f ca="1">IFERROR(IF(0=LEN(ReferenceData!$BG$523),"",ReferenceData!$BG$523),"")</f>
        <v>2.4267782429999998</v>
      </c>
      <c r="BH523">
        <f ca="1">IFERROR(IF(0=LEN(ReferenceData!$BH$523),"",ReferenceData!$BH$523),"")</f>
        <v>2.0547945209999998</v>
      </c>
      <c r="BI523">
        <f ca="1">IFERROR(IF(0=LEN(ReferenceData!$BI$523),"",ReferenceData!$BI$523),"")</f>
        <v>2.1857923499999998</v>
      </c>
      <c r="BJ523">
        <f ca="1">IFERROR(IF(0=LEN(ReferenceData!$BJ$523),"",ReferenceData!$BJ$523),"")</f>
        <v>2.1838034579999999</v>
      </c>
      <c r="BK523">
        <f ca="1">IFERROR(IF(0=LEN(ReferenceData!$BK$523),"",ReferenceData!$BK$523),"")</f>
        <v>2.1543985640000001</v>
      </c>
      <c r="BL523">
        <f ca="1">IFERROR(IF(0=LEN(ReferenceData!$BL$523),"",ReferenceData!$BL$523),"")</f>
        <v>2</v>
      </c>
      <c r="BM523">
        <f ca="1">IFERROR(IF(0=LEN(ReferenceData!$BM$523),"",ReferenceData!$BM$523),"")</f>
        <v>1.97856554</v>
      </c>
    </row>
    <row r="524" spans="1:65" x14ac:dyDescent="0.25">
      <c r="A524" t="str">
        <f>IFERROR(IF(0=LEN(ReferenceData!$A$524),"",ReferenceData!$A$524),"")</f>
        <v xml:space="preserve">    Peugeot SA</v>
      </c>
      <c r="B524" t="str">
        <f>IFERROR(IF(0=LEN(ReferenceData!$B$524),"",ReferenceData!$B$524),"")</f>
        <v>UG FP Equity</v>
      </c>
      <c r="C524" t="str">
        <f>IFERROR(IF(0=LEN(ReferenceData!$C$524),"",ReferenceData!$C$524),"")</f>
        <v>DV013</v>
      </c>
      <c r="D524" t="str">
        <f>IFERROR(IF(0=LEN(ReferenceData!$D$524),"",ReferenceData!$D$524),"")</f>
        <v>EQY_DVD_YLD_IND</v>
      </c>
      <c r="E524" t="str">
        <f>IFERROR(IF(0=LEN(ReferenceData!$E$524),"",ReferenceData!$E$524),"")</f>
        <v>Dynamic</v>
      </c>
      <c r="F524">
        <f ca="1">IFERROR(IF(0=LEN(ReferenceData!$F$524),"",ReferenceData!$F$524),"")</f>
        <v>3.4513272490000002</v>
      </c>
      <c r="G524">
        <f ca="1">IFERROR(IF(0=LEN(ReferenceData!$G$524),"",ReferenceData!$G$524),"")</f>
        <v>2.8425849900000002</v>
      </c>
      <c r="H524">
        <f ca="1">IFERROR(IF(0=LEN(ReferenceData!$H$524),"",ReferenceData!$H$524),"")</f>
        <v>2.2815323780000001</v>
      </c>
      <c r="I524">
        <f ca="1">IFERROR(IF(0=LEN(ReferenceData!$I$524),"",ReferenceData!$I$524),"")</f>
        <v>2.7096113060000002</v>
      </c>
      <c r="J524">
        <f ca="1">IFERROR(IF(0=LEN(ReferenceData!$J$524),"",ReferenceData!$J$524),"")</f>
        <v>2.7109972959999999</v>
      </c>
      <c r="K524">
        <f ca="1">IFERROR(IF(0=LEN(ReferenceData!$K$524),"",ReferenceData!$K$524),"")</f>
        <v>2.8310232339999999</v>
      </c>
      <c r="L524">
        <f ca="1">IFERROR(IF(0=LEN(ReferenceData!$L$524),"",ReferenceData!$L$524),"")</f>
        <v>2.3821339419999998</v>
      </c>
      <c r="M524">
        <f ca="1">IFERROR(IF(0=LEN(ReferenceData!$M$524),"",ReferenceData!$M$524),"")</f>
        <v>2.7483537889999998</v>
      </c>
      <c r="N524">
        <f ca="1">IFERROR(IF(0=LEN(ReferenceData!$N$524),"",ReferenceData!$N$524),"")</f>
        <v>2.543046301</v>
      </c>
      <c r="O524" t="str">
        <f ca="1">IFERROR(IF(0=LEN(ReferenceData!$O$524),"",ReferenceData!$O$524),"")</f>
        <v/>
      </c>
      <c r="P524" t="str">
        <f ca="1">IFERROR(IF(0=LEN(ReferenceData!$P$524),"",ReferenceData!$P$524),"")</f>
        <v/>
      </c>
      <c r="Q524" t="str">
        <f ca="1">IFERROR(IF(0=LEN(ReferenceData!$Q$524),"",ReferenceData!$Q$524),"")</f>
        <v/>
      </c>
      <c r="R524" t="str">
        <f ca="1">IFERROR(IF(0=LEN(ReferenceData!$R$524),"",ReferenceData!$R$524),"")</f>
        <v/>
      </c>
      <c r="S524" t="str">
        <f ca="1">IFERROR(IF(0=LEN(ReferenceData!$S$524),"",ReferenceData!$S$524),"")</f>
        <v/>
      </c>
      <c r="T524" t="str">
        <f ca="1">IFERROR(IF(0=LEN(ReferenceData!$T$524),"",ReferenceData!$T$524),"")</f>
        <v/>
      </c>
      <c r="U524" t="str">
        <f ca="1">IFERROR(IF(0=LEN(ReferenceData!$U$524),"",ReferenceData!$U$524),"")</f>
        <v/>
      </c>
      <c r="V524" t="str">
        <f ca="1">IFERROR(IF(0=LEN(ReferenceData!$V$524),"",ReferenceData!$V$524),"")</f>
        <v/>
      </c>
      <c r="W524" t="str">
        <f ca="1">IFERROR(IF(0=LEN(ReferenceData!$W$524),"",ReferenceData!$W$524),"")</f>
        <v/>
      </c>
      <c r="X524" t="str">
        <f ca="1">IFERROR(IF(0=LEN(ReferenceData!$X$524),"",ReferenceData!$X$524),"")</f>
        <v/>
      </c>
      <c r="Y524" t="str">
        <f ca="1">IFERROR(IF(0=LEN(ReferenceData!$Y$524),"",ReferenceData!$Y$524),"")</f>
        <v/>
      </c>
      <c r="Z524" t="str">
        <f ca="1">IFERROR(IF(0=LEN(ReferenceData!$Z$524),"",ReferenceData!$Z$524),"")</f>
        <v/>
      </c>
      <c r="AA524" t="str">
        <f ca="1">IFERROR(IF(0=LEN(ReferenceData!$AA$524),"",ReferenceData!$AA$524),"")</f>
        <v/>
      </c>
      <c r="AB524" t="str">
        <f ca="1">IFERROR(IF(0=LEN(ReferenceData!$AB$524),"",ReferenceData!$AB$524),"")</f>
        <v/>
      </c>
      <c r="AC524" t="str">
        <f ca="1">IFERROR(IF(0=LEN(ReferenceData!$AC$524),"",ReferenceData!$AC$524),"")</f>
        <v/>
      </c>
      <c r="AD524" t="str">
        <f ca="1">IFERROR(IF(0=LEN(ReferenceData!$AD$524),"",ReferenceData!$AD$524),"")</f>
        <v/>
      </c>
      <c r="AE524" t="str">
        <f ca="1">IFERROR(IF(0=LEN(ReferenceData!$AE$524),"",ReferenceData!$AE$524),"")</f>
        <v/>
      </c>
      <c r="AF524" t="str">
        <f ca="1">IFERROR(IF(0=LEN(ReferenceData!$AF$524),"",ReferenceData!$AF$524),"")</f>
        <v/>
      </c>
      <c r="AG524" t="str">
        <f ca="1">IFERROR(IF(0=LEN(ReferenceData!$AG$524),"",ReferenceData!$AG$524),"")</f>
        <v/>
      </c>
      <c r="AH524">
        <f ca="1">IFERROR(IF(0=LEN(ReferenceData!$AH$524),"",ReferenceData!$AH$524),"")</f>
        <v>7.7437520979999999</v>
      </c>
      <c r="AI524">
        <f ca="1">IFERROR(IF(0=LEN(ReferenceData!$AI$524),"",ReferenceData!$AI$524),"")</f>
        <v>9.083402027</v>
      </c>
      <c r="AJ524">
        <f ca="1">IFERROR(IF(0=LEN(ReferenceData!$AJ$524),"",ReferenceData!$AJ$524),"")</f>
        <v>6.8048251500000001</v>
      </c>
      <c r="AK524">
        <f ca="1">IFERROR(IF(0=LEN(ReferenceData!$AK$524),"",ReferenceData!$AK$524),"")</f>
        <v>3.563330047</v>
      </c>
      <c r="AL524" t="str">
        <f ca="1">IFERROR(IF(0=LEN(ReferenceData!$AL$524),"",ReferenceData!$AL$524),"")</f>
        <v/>
      </c>
      <c r="AM524" t="str">
        <f ca="1">IFERROR(IF(0=LEN(ReferenceData!$AM$524),"",ReferenceData!$AM$524),"")</f>
        <v/>
      </c>
      <c r="AN524" t="str">
        <f ca="1">IFERROR(IF(0=LEN(ReferenceData!$AN$524),"",ReferenceData!$AN$524),"")</f>
        <v/>
      </c>
      <c r="AO524" t="str">
        <f ca="1">IFERROR(IF(0=LEN(ReferenceData!$AO$524),"",ReferenceData!$AO$524),"")</f>
        <v/>
      </c>
      <c r="AP524" t="str">
        <f ca="1">IFERROR(IF(0=LEN(ReferenceData!$AP$524),"",ReferenceData!$AP$524),"")</f>
        <v/>
      </c>
      <c r="AQ524" t="str">
        <f ca="1">IFERROR(IF(0=LEN(ReferenceData!$AQ$524),"",ReferenceData!$AQ$524),"")</f>
        <v/>
      </c>
      <c r="AR524" t="str">
        <f ca="1">IFERROR(IF(0=LEN(ReferenceData!$AR$524),"",ReferenceData!$AR$524),"")</f>
        <v/>
      </c>
      <c r="AS524">
        <f ca="1">IFERROR(IF(0=LEN(ReferenceData!$AS$524),"",ReferenceData!$AS$524),"")</f>
        <v>8.6430420639999994</v>
      </c>
      <c r="AT524">
        <f ca="1">IFERROR(IF(0=LEN(ReferenceData!$AT$524),"",ReferenceData!$AT$524),"")</f>
        <v>10.53370752</v>
      </c>
      <c r="AU524">
        <f ca="1">IFERROR(IF(0=LEN(ReferenceData!$AU$524),"",ReferenceData!$AU$524),"")</f>
        <v>12.345678599999999</v>
      </c>
      <c r="AV524">
        <f ca="1">IFERROR(IF(0=LEN(ReferenceData!$AV$524),"",ReferenceData!$AV$524),"")</f>
        <v>5.6882819500000004</v>
      </c>
      <c r="AW524">
        <f ca="1">IFERROR(IF(0=LEN(ReferenceData!$AW$524),"",ReferenceData!$AW$524),"")</f>
        <v>4.3490865469999997</v>
      </c>
      <c r="AX524">
        <f ca="1">IFERROR(IF(0=LEN(ReferenceData!$AX$524),"",ReferenceData!$AX$524),"")</f>
        <v>2.748930981</v>
      </c>
      <c r="AY524">
        <f ca="1">IFERROR(IF(0=LEN(ReferenceData!$AY$524),"",ReferenceData!$AY$524),"")</f>
        <v>2.6036644259999999</v>
      </c>
      <c r="AZ524">
        <f ca="1">IFERROR(IF(0=LEN(ReferenceData!$AZ$524),"",ReferenceData!$AZ$524),"")</f>
        <v>2.3324118949999999</v>
      </c>
      <c r="BA524">
        <f ca="1">IFERROR(IF(0=LEN(ReferenceData!$BA$524),"",ReferenceData!$BA$524),"")</f>
        <v>2.258280369</v>
      </c>
      <c r="BB524">
        <f ca="1">IFERROR(IF(0=LEN(ReferenceData!$BB$524),"",ReferenceData!$BB$524),"")</f>
        <v>2.5587566430000002</v>
      </c>
      <c r="BC524">
        <f ca="1">IFERROR(IF(0=LEN(ReferenceData!$BC$524),"",ReferenceData!$BC$524),"")</f>
        <v>2.6892430369999998</v>
      </c>
      <c r="BD524">
        <f ca="1">IFERROR(IF(0=LEN(ReferenceData!$BD$524),"",ReferenceData!$BD$524),"")</f>
        <v>3.0357544519999999</v>
      </c>
      <c r="BE524">
        <f ca="1">IFERROR(IF(0=LEN(ReferenceData!$BE$524),"",ReferenceData!$BE$524),"")</f>
        <v>2.7749229290000001</v>
      </c>
      <c r="BF524">
        <f ca="1">IFERROR(IF(0=LEN(ReferenceData!$BF$524),"",ReferenceData!$BF$524),"")</f>
        <v>2.5961538549999998</v>
      </c>
      <c r="BG524">
        <f ca="1">IFERROR(IF(0=LEN(ReferenceData!$BG$524),"",ReferenceData!$BG$524),"")</f>
        <v>2.7720739320000001</v>
      </c>
      <c r="BH524">
        <f ca="1">IFERROR(IF(0=LEN(ReferenceData!$BH$524),"",ReferenceData!$BH$524),"")</f>
        <v>2.3893805389999998</v>
      </c>
      <c r="BI524">
        <f ca="1">IFERROR(IF(0=LEN(ReferenceData!$BI$524),"",ReferenceData!$BI$524),"")</f>
        <v>2.7562270409999998</v>
      </c>
      <c r="BJ524">
        <f ca="1">IFERROR(IF(0=LEN(ReferenceData!$BJ$524),"",ReferenceData!$BJ$524),"")</f>
        <v>2.753977978</v>
      </c>
      <c r="BK524">
        <f ca="1">IFERROR(IF(0=LEN(ReferenceData!$BK$524),"",ReferenceData!$BK$524),"")</f>
        <v>2.8907923009999998</v>
      </c>
      <c r="BL524">
        <f ca="1">IFERROR(IF(0=LEN(ReferenceData!$BL$524),"",ReferenceData!$BL$524),"")</f>
        <v>2.7217742029999998</v>
      </c>
      <c r="BM524">
        <f ca="1">IFERROR(IF(0=LEN(ReferenceData!$BM$524),"",ReferenceData!$BM$524),"")</f>
        <v>2.9495302699999999</v>
      </c>
    </row>
    <row r="525" spans="1:65" x14ac:dyDescent="0.25">
      <c r="A525" t="str">
        <f>IFERROR(IF(0=LEN(ReferenceData!$A$525),"",ReferenceData!$A$525),"")</f>
        <v xml:space="preserve">    Renault SA</v>
      </c>
      <c r="B525" t="str">
        <f>IFERROR(IF(0=LEN(ReferenceData!$B$525),"",ReferenceData!$B$525),"")</f>
        <v>RNO FP Equity</v>
      </c>
      <c r="C525" t="str">
        <f>IFERROR(IF(0=LEN(ReferenceData!$C$525),"",ReferenceData!$C$525),"")</f>
        <v>DV013</v>
      </c>
      <c r="D525" t="str">
        <f>IFERROR(IF(0=LEN(ReferenceData!$D$525),"",ReferenceData!$D$525),"")</f>
        <v>EQY_DVD_YLD_IND</v>
      </c>
      <c r="E525" t="str">
        <f>IFERROR(IF(0=LEN(ReferenceData!$E$525),"",ReferenceData!$E$525),"")</f>
        <v>Dynamic</v>
      </c>
      <c r="F525">
        <f ca="1">IFERROR(IF(0=LEN(ReferenceData!$F$525),"",ReferenceData!$F$525),"")</f>
        <v>5.9424170609999996</v>
      </c>
      <c r="G525">
        <f ca="1">IFERROR(IF(0=LEN(ReferenceData!$G$525),"",ReferenceData!$G$525),"")</f>
        <v>6.5077909299999996</v>
      </c>
      <c r="H525">
        <f ca="1">IFERROR(IF(0=LEN(ReferenceData!$H$525),"",ReferenceData!$H$525),"")</f>
        <v>4.7651006069999999</v>
      </c>
      <c r="I525">
        <f ca="1">IFERROR(IF(0=LEN(ReferenceData!$I$525),"",ReferenceData!$I$525),"")</f>
        <v>4.8743648940000002</v>
      </c>
      <c r="J525">
        <f ca="1">IFERROR(IF(0=LEN(ReferenceData!$J$525),"",ReferenceData!$J$525),"")</f>
        <v>3.6040608650000001</v>
      </c>
      <c r="K525">
        <f ca="1">IFERROR(IF(0=LEN(ReferenceData!$K$525),"",ReferenceData!$K$525),"")</f>
        <v>3.75402228</v>
      </c>
      <c r="L525">
        <f ca="1">IFERROR(IF(0=LEN(ReferenceData!$L$525),"",ReferenceData!$L$525),"")</f>
        <v>3.7901577369999999</v>
      </c>
      <c r="M525">
        <f ca="1">IFERROR(IF(0=LEN(ReferenceData!$M$525),"",ReferenceData!$M$525),"")</f>
        <v>3.9747635269999999</v>
      </c>
      <c r="N525">
        <f ca="1">IFERROR(IF(0=LEN(ReferenceData!$N$525),"",ReferenceData!$N$525),"")</f>
        <v>3.8683533040000002</v>
      </c>
      <c r="O525">
        <f ca="1">IFERROR(IF(0=LEN(ReferenceData!$O$525),"",ReferenceData!$O$525),"")</f>
        <v>2.8399007159999998</v>
      </c>
      <c r="P525">
        <f ca="1">IFERROR(IF(0=LEN(ReferenceData!$P$525),"",ReferenceData!$P$525),"")</f>
        <v>3.2813783089999999</v>
      </c>
      <c r="Q525">
        <f ca="1">IFERROR(IF(0=LEN(ReferenceData!$Q$525),"",ReferenceData!$Q$525),"")</f>
        <v>3.5067213549999998</v>
      </c>
      <c r="R525">
        <f ca="1">IFERROR(IF(0=LEN(ReferenceData!$R$525),"",ReferenceData!$R$525),"")</f>
        <v>2.7485113320000001</v>
      </c>
      <c r="S525">
        <f ca="1">IFERROR(IF(0=LEN(ReferenceData!$S$525),"",ReferenceData!$S$525),"")</f>
        <v>2.0511713010000001</v>
      </c>
      <c r="T525">
        <f ca="1">IFERROR(IF(0=LEN(ReferenceData!$T$525),"",ReferenceData!$T$525),"")</f>
        <v>2.968749963</v>
      </c>
      <c r="U525">
        <f ca="1">IFERROR(IF(0=LEN(ReferenceData!$U$525),"",ReferenceData!$U$525),"")</f>
        <v>2.0338257080000002</v>
      </c>
      <c r="V525">
        <f ca="1">IFERROR(IF(0=LEN(ReferenceData!$V$525),"",ReferenceData!$V$525),"")</f>
        <v>2.2413589429999998</v>
      </c>
      <c r="W525">
        <f ca="1">IFERROR(IF(0=LEN(ReferenceData!$W$525),"",ReferenceData!$W$525),"")</f>
        <v>2.8415662130000001</v>
      </c>
      <c r="X525">
        <f ca="1">IFERROR(IF(0=LEN(ReferenceData!$X$525),"",ReferenceData!$X$525),"")</f>
        <v>2.9991282099999999</v>
      </c>
      <c r="Y525">
        <f ca="1">IFERROR(IF(0=LEN(ReferenceData!$Y$525),"",ReferenceData!$Y$525),"")</f>
        <v>2.6048766149999998</v>
      </c>
      <c r="Z525">
        <f ca="1">IFERROR(IF(0=LEN(ReferenceData!$Z$525),"",ReferenceData!$Z$525),"")</f>
        <v>2.4383329009999999</v>
      </c>
      <c r="AA525">
        <f ca="1">IFERROR(IF(0=LEN(ReferenceData!$AA$525),"",ReferenceData!$AA$525),"")</f>
        <v>2.9426861049999999</v>
      </c>
      <c r="AB525">
        <f ca="1">IFERROR(IF(0=LEN(ReferenceData!$AB$525),"",ReferenceData!$AB$525),"")</f>
        <v>2.9187171709999999</v>
      </c>
      <c r="AC525">
        <f ca="1">IFERROR(IF(0=LEN(ReferenceData!$AC$525),"",ReferenceData!$AC$525),"")</f>
        <v>3.326885935</v>
      </c>
      <c r="AD525">
        <f ca="1">IFERROR(IF(0=LEN(ReferenceData!$AD$525),"",ReferenceData!$AD$525),"")</f>
        <v>3.5191816440000001</v>
      </c>
      <c r="AE525">
        <f ca="1">IFERROR(IF(0=LEN(ReferenceData!$AE$525),"",ReferenceData!$AE$525),"")</f>
        <v>2.8511735690000002</v>
      </c>
      <c r="AF525">
        <f ca="1">IFERROR(IF(0=LEN(ReferenceData!$AF$525),"",ReferenceData!$AF$525),"")</f>
        <v>3.1763416389999999</v>
      </c>
      <c r="AG525">
        <f ca="1">IFERROR(IF(0=LEN(ReferenceData!$AG$525),"",ReferenceData!$AG$525),"")</f>
        <v>3.689567324</v>
      </c>
      <c r="AH525">
        <f ca="1">IFERROR(IF(0=LEN(ReferenceData!$AH$525),"",ReferenceData!$AH$525),"")</f>
        <v>2.9348512750000002</v>
      </c>
      <c r="AI525">
        <f ca="1">IFERROR(IF(0=LEN(ReferenceData!$AI$525),"",ReferenceData!$AI$525),"")</f>
        <v>1.11940303</v>
      </c>
      <c r="AJ525">
        <f ca="1">IFERROR(IF(0=LEN(ReferenceData!$AJ$525),"",ReferenceData!$AJ$525),"")</f>
        <v>1.196649429</v>
      </c>
      <c r="AK525">
        <f ca="1">IFERROR(IF(0=LEN(ReferenceData!$AK$525),"",ReferenceData!$AK$525),"")</f>
        <v>0.73376546899999995</v>
      </c>
      <c r="AL525">
        <f ca="1">IFERROR(IF(0=LEN(ReferenceData!$AL$525),"",ReferenceData!$AL$525),"")</f>
        <v>0.76903361199999998</v>
      </c>
      <c r="AM525" t="str">
        <f ca="1">IFERROR(IF(0=LEN(ReferenceData!$AM$525),"",ReferenceData!$AM$525),"")</f>
        <v/>
      </c>
      <c r="AN525" t="str">
        <f ca="1">IFERROR(IF(0=LEN(ReferenceData!$AN$525),"",ReferenceData!$AN$525),"")</f>
        <v/>
      </c>
      <c r="AO525" t="str">
        <f ca="1">IFERROR(IF(0=LEN(ReferenceData!$AO$525),"",ReferenceData!$AO$525),"")</f>
        <v/>
      </c>
      <c r="AP525" t="str">
        <f ca="1">IFERROR(IF(0=LEN(ReferenceData!$AP$525),"",ReferenceData!$AP$525),"")</f>
        <v/>
      </c>
      <c r="AQ525" t="str">
        <f ca="1">IFERROR(IF(0=LEN(ReferenceData!$AQ$525),"",ReferenceData!$AQ$525),"")</f>
        <v/>
      </c>
      <c r="AR525" t="str">
        <f ca="1">IFERROR(IF(0=LEN(ReferenceData!$AR$525),"",ReferenceData!$AR$525),"")</f>
        <v/>
      </c>
      <c r="AS525" t="str">
        <f ca="1">IFERROR(IF(0=LEN(ReferenceData!$AS$525),"",ReferenceData!$AS$525),"")</f>
        <v/>
      </c>
      <c r="AT525">
        <f ca="1">IFERROR(IF(0=LEN(ReferenceData!$AT$525),"",ReferenceData!$AT$525),"")</f>
        <v>23.399014480000002</v>
      </c>
      <c r="AU525">
        <f ca="1">IFERROR(IF(0=LEN(ReferenceData!$AU$525),"",ReferenceData!$AU$525),"")</f>
        <v>20.485174950000001</v>
      </c>
      <c r="AV525">
        <f ca="1">IFERROR(IF(0=LEN(ReferenceData!$AV$525),"",ReferenceData!$AV$525),"")</f>
        <v>8.5287845410000003</v>
      </c>
      <c r="AW525">
        <f ca="1">IFERROR(IF(0=LEN(ReferenceData!$AW$525),"",ReferenceData!$AW$525),"")</f>
        <v>7.2936659349999999</v>
      </c>
      <c r="AX525">
        <f ca="1">IFERROR(IF(0=LEN(ReferenceData!$AX$525),"",ReferenceData!$AX$525),"")</f>
        <v>5.420827321</v>
      </c>
      <c r="AY525">
        <f ca="1">IFERROR(IF(0=LEN(ReferenceData!$AY$525),"",ReferenceData!$AY$525),"")</f>
        <v>3.1955467529999999</v>
      </c>
      <c r="AZ525">
        <f ca="1">IFERROR(IF(0=LEN(ReferenceData!$AZ$525),"",ReferenceData!$AZ$525),"")</f>
        <v>3.0505805009999998</v>
      </c>
      <c r="BA525">
        <f ca="1">IFERROR(IF(0=LEN(ReferenceData!$BA$525),"",ReferenceData!$BA$525),"")</f>
        <v>2.6004529019999998</v>
      </c>
      <c r="BB525">
        <f ca="1">IFERROR(IF(0=LEN(ReferenceData!$BB$525),"",ReferenceData!$BB$525),"")</f>
        <v>3.5408336999999999</v>
      </c>
      <c r="BC525">
        <f ca="1">IFERROR(IF(0=LEN(ReferenceData!$BC$525),"",ReferenceData!$BC$525),"")</f>
        <v>2.6373627420000001</v>
      </c>
      <c r="BD525">
        <f ca="1">IFERROR(IF(0=LEN(ReferenceData!$BD$525),"",ReferenceData!$BD$525),"")</f>
        <v>2.6533997739999999</v>
      </c>
      <c r="BE525">
        <f ca="1">IFERROR(IF(0=LEN(ReferenceData!$BE$525),"",ReferenceData!$BE$525),"")</f>
        <v>2.857142971</v>
      </c>
      <c r="BF525">
        <f ca="1">IFERROR(IF(0=LEN(ReferenceData!$BF$525),"",ReferenceData!$BF$525),"")</f>
        <v>2.7350428440000001</v>
      </c>
      <c r="BG525">
        <f ca="1">IFERROR(IF(0=LEN(ReferenceData!$BG$525),"",ReferenceData!$BG$525),"")</f>
        <v>2.6124817889999998</v>
      </c>
      <c r="BH525">
        <f ca="1">IFERROR(IF(0=LEN(ReferenceData!$BH$525),"",ReferenceData!$BH$525),"")</f>
        <v>2.2842638989999999</v>
      </c>
      <c r="BI525">
        <f ca="1">IFERROR(IF(0=LEN(ReferenceData!$BI$525),"",ReferenceData!$BI$525),"")</f>
        <v>2.4691357370000002</v>
      </c>
      <c r="BJ525">
        <f ca="1">IFERROR(IF(0=LEN(ReferenceData!$BJ$525),"",ReferenceData!$BJ$525),"")</f>
        <v>2.6124817889999998</v>
      </c>
      <c r="BK525">
        <f ca="1">IFERROR(IF(0=LEN(ReferenceData!$BK$525),"",ReferenceData!$BK$525),"")</f>
        <v>2.2745734789999998</v>
      </c>
      <c r="BL525">
        <f ca="1">IFERROR(IF(0=LEN(ReferenceData!$BL$525),"",ReferenceData!$BL$525),"")</f>
        <v>2.1260440030000001</v>
      </c>
      <c r="BM525">
        <f ca="1">IFERROR(IF(0=LEN(ReferenceData!$BM$525),"",ReferenceData!$BM$525),"")</f>
        <v>2.236421687</v>
      </c>
    </row>
    <row r="526" spans="1:65" x14ac:dyDescent="0.25">
      <c r="A526" t="str">
        <f>IFERROR(IF(0=LEN(ReferenceData!$A$526),"",ReferenceData!$A$526),"")</f>
        <v xml:space="preserve">    SAIC Motor Corp Ltd</v>
      </c>
      <c r="B526" t="str">
        <f>IFERROR(IF(0=LEN(ReferenceData!$B$526),"",ReferenceData!$B$526),"")</f>
        <v>600104 CH Equity</v>
      </c>
      <c r="C526" t="str">
        <f>IFERROR(IF(0=LEN(ReferenceData!$C$526),"",ReferenceData!$C$526),"")</f>
        <v>DV013</v>
      </c>
      <c r="D526" t="str">
        <f>IFERROR(IF(0=LEN(ReferenceData!$D$526),"",ReferenceData!$D$526),"")</f>
        <v>EQY_DVD_YLD_IND</v>
      </c>
      <c r="E526" t="str">
        <f>IFERROR(IF(0=LEN(ReferenceData!$E$526),"",ReferenceData!$E$526),"")</f>
        <v>Dynamic</v>
      </c>
      <c r="F526">
        <f ca="1">IFERROR(IF(0=LEN(ReferenceData!$F$526),"",ReferenceData!$F$526),"")</f>
        <v>6.4413940260000002</v>
      </c>
      <c r="G526">
        <f ca="1">IFERROR(IF(0=LEN(ReferenceData!$G$526),"",ReferenceData!$G$526),"")</f>
        <v>6.8616424560000002</v>
      </c>
      <c r="H526">
        <f ca="1">IFERROR(IF(0=LEN(ReferenceData!$H$526),"",ReferenceData!$H$526),"")</f>
        <v>5.498798206</v>
      </c>
      <c r="I526">
        <f ca="1">IFERROR(IF(0=LEN(ReferenceData!$I$526),"",ReferenceData!$I$526),"")</f>
        <v>5.2300658560000004</v>
      </c>
      <c r="J526">
        <f ca="1">IFERROR(IF(0=LEN(ReferenceData!$J$526),"",ReferenceData!$J$526),"")</f>
        <v>5.3807704879999996</v>
      </c>
      <c r="K526">
        <f ca="1">IFERROR(IF(0=LEN(ReferenceData!$K$526),"",ReferenceData!$K$526),"")</f>
        <v>5.1498126600000003</v>
      </c>
      <c r="L526">
        <f ca="1">IFERROR(IF(0=LEN(ReferenceData!$L$526),"",ReferenceData!$L$526),"")</f>
        <v>5.4653858099999999</v>
      </c>
      <c r="M526">
        <f ca="1">IFERROR(IF(0=LEN(ReferenceData!$M$526),"",ReferenceData!$M$526),"")</f>
        <v>5.314009585</v>
      </c>
      <c r="N526">
        <f ca="1">IFERROR(IF(0=LEN(ReferenceData!$N$526),"",ReferenceData!$N$526),"")</f>
        <v>5.3585500960000001</v>
      </c>
      <c r="O526">
        <f ca="1">IFERROR(IF(0=LEN(ReferenceData!$O$526),"",ReferenceData!$O$526),"")</f>
        <v>5.7995736219999996</v>
      </c>
      <c r="P526">
        <f ca="1">IFERROR(IF(0=LEN(ReferenceData!$P$526),"",ReferenceData!$P$526),"")</f>
        <v>6.2242563579999999</v>
      </c>
      <c r="Q526">
        <f ca="1">IFERROR(IF(0=LEN(ReferenceData!$Q$526),"",ReferenceData!$Q$526),"")</f>
        <v>6.7028093359999996</v>
      </c>
      <c r="R526">
        <f ca="1">IFERROR(IF(0=LEN(ReferenceData!$R$526),"",ReferenceData!$R$526),"")</f>
        <v>6.4805580870000004</v>
      </c>
      <c r="S526">
        <f ca="1">IFERROR(IF(0=LEN(ReferenceData!$S$526),"",ReferenceData!$S$526),"")</f>
        <v>6.1262957230000001</v>
      </c>
      <c r="T526">
        <f ca="1">IFERROR(IF(0=LEN(ReferenceData!$T$526),"",ReferenceData!$T$526),"")</f>
        <v>7.7380949540000001</v>
      </c>
      <c r="U526">
        <f ca="1">IFERROR(IF(0=LEN(ReferenceData!$U$526),"",ReferenceData!$U$526),"")</f>
        <v>5.7522121779999997</v>
      </c>
      <c r="V526">
        <f ca="1">IFERROR(IF(0=LEN(ReferenceData!$V$526),"",ReferenceData!$V$526),"")</f>
        <v>4.8270315679999998</v>
      </c>
      <c r="W526">
        <f ca="1">IFERROR(IF(0=LEN(ReferenceData!$W$526),"",ReferenceData!$W$526),"")</f>
        <v>5.5891944469999997</v>
      </c>
      <c r="X526">
        <f ca="1">IFERROR(IF(0=LEN(ReferenceData!$X$526),"",ReferenceData!$X$526),"")</f>
        <v>6.6371684049999997</v>
      </c>
      <c r="Y526">
        <f ca="1">IFERROR(IF(0=LEN(ReferenceData!$Y$526),"",ReferenceData!$Y$526),"")</f>
        <v>7.8431375670000003</v>
      </c>
      <c r="Z526">
        <f ca="1">IFERROR(IF(0=LEN(ReferenceData!$Z$526),"",ReferenceData!$Z$526),"")</f>
        <v>8.6642602719999999</v>
      </c>
      <c r="AA526">
        <f ca="1">IFERROR(IF(0=LEN(ReferenceData!$AA$526),"",ReferenceData!$AA$526),"")</f>
        <v>4.2432816400000002</v>
      </c>
      <c r="AB526">
        <f ca="1">IFERROR(IF(0=LEN(ReferenceData!$AB$526),"",ReferenceData!$AB$526),"")</f>
        <v>4.4345899769999999</v>
      </c>
      <c r="AC526">
        <f ca="1">IFERROR(IF(0=LEN(ReferenceData!$AC$526),"",ReferenceData!$AC$526),"")</f>
        <v>4.542013807</v>
      </c>
      <c r="AD526">
        <f ca="1">IFERROR(IF(0=LEN(ReferenceData!$AD$526),"",ReferenceData!$AD$526),"")</f>
        <v>4.0540542149999999</v>
      </c>
      <c r="AE526">
        <f ca="1">IFERROR(IF(0=LEN(ReferenceData!$AE$526),"",ReferenceData!$AE$526),"")</f>
        <v>1.7006803399999999</v>
      </c>
      <c r="AF526">
        <f ca="1">IFERROR(IF(0=LEN(ReferenceData!$AF$526),"",ReferenceData!$AF$526),"")</f>
        <v>2.2156574</v>
      </c>
      <c r="AG526">
        <f ca="1">IFERROR(IF(0=LEN(ReferenceData!$AG$526),"",ReferenceData!$AG$526),"")</f>
        <v>2.0993702719999998</v>
      </c>
      <c r="AH526">
        <f ca="1">IFERROR(IF(0=LEN(ReferenceData!$AH$526),"",ReferenceData!$AH$526),"")</f>
        <v>2.0229265810000001</v>
      </c>
      <c r="AI526">
        <f ca="1">IFERROR(IF(0=LEN(ReferenceData!$AI$526),"",ReferenceData!$AI$526),"")</f>
        <v>1.414427178</v>
      </c>
      <c r="AJ526">
        <f ca="1">IFERROR(IF(0=LEN(ReferenceData!$AJ$526),"",ReferenceData!$AJ$526),"")</f>
        <v>1.251564474</v>
      </c>
      <c r="AK526">
        <f ca="1">IFERROR(IF(0=LEN(ReferenceData!$AK$526),"",ReferenceData!$AK$526),"")</f>
        <v>1.0672358749999999</v>
      </c>
      <c r="AL526">
        <f ca="1">IFERROR(IF(0=LEN(ReferenceData!$AL$526),"",ReferenceData!$AL$526),"")</f>
        <v>0.20846363100000001</v>
      </c>
      <c r="AM526">
        <f ca="1">IFERROR(IF(0=LEN(ReferenceData!$AM$526),"",ReferenceData!$AM$526),"")</f>
        <v>0.26199959099999998</v>
      </c>
      <c r="AN526">
        <f ca="1">IFERROR(IF(0=LEN(ReferenceData!$AN$526),"",ReferenceData!$AN$526),"")</f>
        <v>0.228258397</v>
      </c>
      <c r="AO526">
        <f ca="1">IFERROR(IF(0=LEN(ReferenceData!$AO$526),"",ReferenceData!$AO$526),"")</f>
        <v>0.313459983</v>
      </c>
      <c r="AP526">
        <f ca="1">IFERROR(IF(0=LEN(ReferenceData!$AP$526),"",ReferenceData!$AP$526),"")</f>
        <v>0.127015141</v>
      </c>
      <c r="AQ526">
        <f ca="1">IFERROR(IF(0=LEN(ReferenceData!$AQ$526),"",ReferenceData!$AQ$526),"")</f>
        <v>9.9502485000000002E-2</v>
      </c>
      <c r="AR526">
        <f ca="1">IFERROR(IF(0=LEN(ReferenceData!$AR$526),"",ReferenceData!$AR$526),"")</f>
        <v>0.13164556699999999</v>
      </c>
      <c r="AS526">
        <f ca="1">IFERROR(IF(0=LEN(ReferenceData!$AS$526),"",ReferenceData!$AS$526),"")</f>
        <v>0.17391303999999999</v>
      </c>
      <c r="AT526">
        <f ca="1">IFERROR(IF(0=LEN(ReferenceData!$AT$526),"",ReferenceData!$AT$526),"")</f>
        <v>2.1341464110000001</v>
      </c>
      <c r="AU526">
        <f ca="1">IFERROR(IF(0=LEN(ReferenceData!$AU$526),"",ReferenceData!$AU$526),"")</f>
        <v>3.9179105760000001</v>
      </c>
      <c r="AV526">
        <f ca="1">IFERROR(IF(0=LEN(ReferenceData!$AV$526),"",ReferenceData!$AV$526),"")</f>
        <v>3.0791789860000001</v>
      </c>
      <c r="AW526">
        <f ca="1">IFERROR(IF(0=LEN(ReferenceData!$AW$526),"",ReferenceData!$AW$526),"")</f>
        <v>2.6751593229999999</v>
      </c>
      <c r="AX526">
        <f ca="1">IFERROR(IF(0=LEN(ReferenceData!$AX$526),"",ReferenceData!$AX$526),"")</f>
        <v>1.529497501</v>
      </c>
      <c r="AY526">
        <f ca="1">IFERROR(IF(0=LEN(ReferenceData!$AY$526),"",ReferenceData!$AY$526),"")</f>
        <v>0.608596425</v>
      </c>
      <c r="AZ526">
        <f ca="1">IFERROR(IF(0=LEN(ReferenceData!$AZ$526),"",ReferenceData!$AZ$526),"")</f>
        <v>0.54163845700000002</v>
      </c>
      <c r="BA526">
        <f ca="1">IFERROR(IF(0=LEN(ReferenceData!$BA$526),"",ReferenceData!$BA$526),"")</f>
        <v>0.92646207400000002</v>
      </c>
      <c r="BB526">
        <f ca="1">IFERROR(IF(0=LEN(ReferenceData!$BB$526),"",ReferenceData!$BB$526),"")</f>
        <v>1.292407109</v>
      </c>
      <c r="BC526">
        <f ca="1">IFERROR(IF(0=LEN(ReferenceData!$BC$526),"",ReferenceData!$BC$526),"")</f>
        <v>3.0599755750000002</v>
      </c>
      <c r="BD526">
        <f ca="1">IFERROR(IF(0=LEN(ReferenceData!$BD$526),"",ReferenceData!$BD$526),"")</f>
        <v>4.7984645769999998</v>
      </c>
      <c r="BE526">
        <f ca="1">IFERROR(IF(0=LEN(ReferenceData!$BE$526),"",ReferenceData!$BE$526),"")</f>
        <v>4.2662116799999996</v>
      </c>
      <c r="BF526">
        <f ca="1">IFERROR(IF(0=LEN(ReferenceData!$BF$526),"",ReferenceData!$BF$526),"")</f>
        <v>7.1633239099999999</v>
      </c>
      <c r="BG526">
        <f ca="1">IFERROR(IF(0=LEN(ReferenceData!$BG$526),"",ReferenceData!$BG$526),"")</f>
        <v>7.5528702259999996</v>
      </c>
      <c r="BH526">
        <f ca="1">IFERROR(IF(0=LEN(ReferenceData!$BH$526),"",ReferenceData!$BH$526),"")</f>
        <v>4.844961327</v>
      </c>
      <c r="BI526">
        <f ca="1">IFERROR(IF(0=LEN(ReferenceData!$BI$526),"",ReferenceData!$BI$526),"")</f>
        <v>5.8139535919999998</v>
      </c>
      <c r="BJ526">
        <f ca="1">IFERROR(IF(0=LEN(ReferenceData!$BJ$526),"",ReferenceData!$BJ$526),"")</f>
        <v>5.7870371409999999</v>
      </c>
      <c r="BK526">
        <f ca="1">IFERROR(IF(0=LEN(ReferenceData!$BK$526),"",ReferenceData!$BK$526),"")</f>
        <v>2.4291497780000002</v>
      </c>
      <c r="BL526">
        <f ca="1">IFERROR(IF(0=LEN(ReferenceData!$BL$526),"",ReferenceData!$BL$526),"")</f>
        <v>1.4755065789999999</v>
      </c>
      <c r="BM526">
        <f ca="1">IFERROR(IF(0=LEN(ReferenceData!$BM$526),"",ReferenceData!$BM$526),"")</f>
        <v>1.354279513</v>
      </c>
    </row>
    <row r="527" spans="1:65" x14ac:dyDescent="0.25">
      <c r="A527" t="str">
        <f>IFERROR(IF(0=LEN(ReferenceData!$A$527),"",ReferenceData!$A$527),"")</f>
        <v xml:space="preserve">    Sanyang Motor Co Ltd</v>
      </c>
      <c r="B527" t="str">
        <f>IFERROR(IF(0=LEN(ReferenceData!$B$527),"",ReferenceData!$B$527),"")</f>
        <v>2206 TT Equity</v>
      </c>
      <c r="C527" t="str">
        <f>IFERROR(IF(0=LEN(ReferenceData!$C$527),"",ReferenceData!$C$527),"")</f>
        <v>DV013</v>
      </c>
      <c r="D527" t="str">
        <f>IFERROR(IF(0=LEN(ReferenceData!$D$527),"",ReferenceData!$D$527),"")</f>
        <v>EQY_DVD_YLD_IND</v>
      </c>
      <c r="E527" t="str">
        <f>IFERROR(IF(0=LEN(ReferenceData!$E$527),"",ReferenceData!$E$527),"")</f>
        <v>Dynamic</v>
      </c>
      <c r="F527">
        <f ca="1">IFERROR(IF(0=LEN(ReferenceData!$F$527),"",ReferenceData!$F$527),"")</f>
        <v>5.0780838560000001</v>
      </c>
      <c r="G527">
        <f ca="1">IFERROR(IF(0=LEN(ReferenceData!$G$527),"",ReferenceData!$G$527),"")</f>
        <v>5.0907790659999996</v>
      </c>
      <c r="H527">
        <f ca="1">IFERROR(IF(0=LEN(ReferenceData!$H$527),"",ReferenceData!$H$527),"")</f>
        <v>4.966613723</v>
      </c>
      <c r="I527">
        <f ca="1">IFERROR(IF(0=LEN(ReferenceData!$I$527),"",ReferenceData!$I$527),"")</f>
        <v>4.6597520059999997</v>
      </c>
      <c r="J527">
        <f ca="1">IFERROR(IF(0=LEN(ReferenceData!$J$527),"",ReferenceData!$J$527),"")</f>
        <v>4.7913214740000001</v>
      </c>
      <c r="K527">
        <f ca="1">IFERROR(IF(0=LEN(ReferenceData!$K$527),"",ReferenceData!$K$527),"")</f>
        <v>4.830926378</v>
      </c>
      <c r="L527">
        <f ca="1">IFERROR(IF(0=LEN(ReferenceData!$L$527),"",ReferenceData!$L$527),"")</f>
        <v>4.8536067840000001</v>
      </c>
      <c r="M527">
        <f ca="1">IFERROR(IF(0=LEN(ReferenceData!$M$527),"",ReferenceData!$M$527),"")</f>
        <v>4.7206312549999998</v>
      </c>
      <c r="N527">
        <f ca="1">IFERROR(IF(0=LEN(ReferenceData!$N$527),"",ReferenceData!$N$527),"")</f>
        <v>4.8196654780000001</v>
      </c>
      <c r="O527">
        <f ca="1">IFERROR(IF(0=LEN(ReferenceData!$O$527),"",ReferenceData!$O$527),"")</f>
        <v>4.8309178739999998</v>
      </c>
      <c r="P527">
        <f ca="1">IFERROR(IF(0=LEN(ReferenceData!$P$527),"",ReferenceData!$P$527),"")</f>
        <v>4.807692308</v>
      </c>
      <c r="Q527">
        <f ca="1">IFERROR(IF(0=LEN(ReferenceData!$Q$527),"",ReferenceData!$Q$527),"")</f>
        <v>4.8309178739999998</v>
      </c>
      <c r="R527">
        <f ca="1">IFERROR(IF(0=LEN(ReferenceData!$R$527),"",ReferenceData!$R$527),"")</f>
        <v>4.651162791</v>
      </c>
      <c r="S527" t="str">
        <f ca="1">IFERROR(IF(0=LEN(ReferenceData!$S$527),"",ReferenceData!$S$527),"")</f>
        <v/>
      </c>
      <c r="T527" t="str">
        <f ca="1">IFERROR(IF(0=LEN(ReferenceData!$T$527),"",ReferenceData!$T$527),"")</f>
        <v/>
      </c>
      <c r="U527" t="str">
        <f ca="1">IFERROR(IF(0=LEN(ReferenceData!$U$527),"",ReferenceData!$U$527),"")</f>
        <v/>
      </c>
      <c r="V527" t="str">
        <f ca="1">IFERROR(IF(0=LEN(ReferenceData!$V$527),"",ReferenceData!$V$527),"")</f>
        <v/>
      </c>
      <c r="W527" t="str">
        <f ca="1">IFERROR(IF(0=LEN(ReferenceData!$W$527),"",ReferenceData!$W$527),"")</f>
        <v/>
      </c>
      <c r="X527" t="str">
        <f ca="1">IFERROR(IF(0=LEN(ReferenceData!$X$527),"",ReferenceData!$X$527),"")</f>
        <v/>
      </c>
      <c r="Y527" t="str">
        <f ca="1">IFERROR(IF(0=LEN(ReferenceData!$Y$527),"",ReferenceData!$Y$527),"")</f>
        <v/>
      </c>
      <c r="Z527">
        <f ca="1">IFERROR(IF(0=LEN(ReferenceData!$Z$527),"",ReferenceData!$Z$527),"")</f>
        <v>0.92783502699999998</v>
      </c>
      <c r="AA527">
        <f ca="1">IFERROR(IF(0=LEN(ReferenceData!$AA$527),"",ReferenceData!$AA$527),"")</f>
        <v>0.92118728400000005</v>
      </c>
      <c r="AB527">
        <f ca="1">IFERROR(IF(0=LEN(ReferenceData!$AB$527),"",ReferenceData!$AB$527),"")</f>
        <v>1.0575792900000001</v>
      </c>
      <c r="AC527">
        <f ca="1">IFERROR(IF(0=LEN(ReferenceData!$AC$527),"",ReferenceData!$AC$527),"")</f>
        <v>1.6187049929999999</v>
      </c>
      <c r="AD527">
        <f ca="1">IFERROR(IF(0=LEN(ReferenceData!$AD$527),"",ReferenceData!$AD$527),"")</f>
        <v>1.810865143</v>
      </c>
      <c r="AE527" t="str">
        <f ca="1">IFERROR(IF(0=LEN(ReferenceData!$AE$527),"",ReferenceData!$AE$527),"")</f>
        <v/>
      </c>
      <c r="AF527" t="str">
        <f ca="1">IFERROR(IF(0=LEN(ReferenceData!$AF$527),"",ReferenceData!$AF$527),"")</f>
        <v/>
      </c>
      <c r="AG527">
        <f ca="1">IFERROR(IF(0=LEN(ReferenceData!$AG$527),"",ReferenceData!$AG$527),"")</f>
        <v>0.53602059099999999</v>
      </c>
      <c r="AH527">
        <f ca="1">IFERROR(IF(0=LEN(ReferenceData!$AH$527),"",ReferenceData!$AH$527),"")</f>
        <v>0.47052181599999998</v>
      </c>
      <c r="AI527">
        <f ca="1">IFERROR(IF(0=LEN(ReferenceData!$AI$527),"",ReferenceData!$AI$527),"")</f>
        <v>0.57349315499999998</v>
      </c>
      <c r="AJ527">
        <f ca="1">IFERROR(IF(0=LEN(ReferenceData!$AJ$527),"",ReferenceData!$AJ$527),"")</f>
        <v>0.55657595299999996</v>
      </c>
      <c r="AK527">
        <f ca="1">IFERROR(IF(0=LEN(ReferenceData!$AK$527),"",ReferenceData!$AK$527),"")</f>
        <v>0.57306591100000004</v>
      </c>
      <c r="AL527" t="str">
        <f ca="1">IFERROR(IF(0=LEN(ReferenceData!$AL$527),"",ReferenceData!$AL$527),"")</f>
        <v/>
      </c>
      <c r="AM527" t="str">
        <f ca="1">IFERROR(IF(0=LEN(ReferenceData!$AM$527),"",ReferenceData!$AM$527),"")</f>
        <v/>
      </c>
      <c r="AN527" t="str">
        <f ca="1">IFERROR(IF(0=LEN(ReferenceData!$AN$527),"",ReferenceData!$AN$527),"")</f>
        <v/>
      </c>
      <c r="AO527" t="str">
        <f ca="1">IFERROR(IF(0=LEN(ReferenceData!$AO$527),"",ReferenceData!$AO$527),"")</f>
        <v/>
      </c>
      <c r="AP527" t="str">
        <f ca="1">IFERROR(IF(0=LEN(ReferenceData!$AP$527),"",ReferenceData!$AP$527),"")</f>
        <v/>
      </c>
      <c r="AQ527" t="str">
        <f ca="1">IFERROR(IF(0=LEN(ReferenceData!$AQ$527),"",ReferenceData!$AQ$527),"")</f>
        <v/>
      </c>
      <c r="AR527" t="str">
        <f ca="1">IFERROR(IF(0=LEN(ReferenceData!$AR$527),"",ReferenceData!$AR$527),"")</f>
        <v/>
      </c>
      <c r="AS527">
        <f ca="1">IFERROR(IF(0=LEN(ReferenceData!$AS$527),"",ReferenceData!$AS$527),"")</f>
        <v>4.9541082520000002</v>
      </c>
      <c r="AT527">
        <f ca="1">IFERROR(IF(0=LEN(ReferenceData!$AT$527),"",ReferenceData!$AT$527),"")</f>
        <v>6.088104897</v>
      </c>
      <c r="AU527">
        <f ca="1">IFERROR(IF(0=LEN(ReferenceData!$AU$527),"",ReferenceData!$AU$527),"")</f>
        <v>7.7287305679999996</v>
      </c>
      <c r="AV527">
        <f ca="1">IFERROR(IF(0=LEN(ReferenceData!$AV$527),"",ReferenceData!$AV$527),"")</f>
        <v>5.906821377</v>
      </c>
      <c r="AW527">
        <f ca="1">IFERROR(IF(0=LEN(ReferenceData!$AW$527),"",ReferenceData!$AW$527),"")</f>
        <v>3.9999998809999999</v>
      </c>
      <c r="AX527">
        <f ca="1">IFERROR(IF(0=LEN(ReferenceData!$AX$527),"",ReferenceData!$AX$527),"")</f>
        <v>4.338394664</v>
      </c>
      <c r="AY527">
        <f ca="1">IFERROR(IF(0=LEN(ReferenceData!$AY$527),"",ReferenceData!$AY$527),"")</f>
        <v>5.5865920119999997</v>
      </c>
      <c r="AZ527">
        <f ca="1">IFERROR(IF(0=LEN(ReferenceData!$AZ$527),"",ReferenceData!$AZ$527),"")</f>
        <v>3.7523451040000002</v>
      </c>
      <c r="BA527">
        <f ca="1">IFERROR(IF(0=LEN(ReferenceData!$BA$527),"",ReferenceData!$BA$527),"")</f>
        <v>4.0080159120000003</v>
      </c>
      <c r="BB527">
        <f ca="1">IFERROR(IF(0=LEN(ReferenceData!$BB$527),"",ReferenceData!$BB$527),"")</f>
        <v>5.1282049750000001</v>
      </c>
      <c r="BC527">
        <f ca="1">IFERROR(IF(0=LEN(ReferenceData!$BC$527),"",ReferenceData!$BC$527),"")</f>
        <v>4.2918453650000004</v>
      </c>
      <c r="BD527">
        <f ca="1">IFERROR(IF(0=LEN(ReferenceData!$BD$527),"",ReferenceData!$BD$527),"")</f>
        <v>5.8823527650000003</v>
      </c>
      <c r="BE527">
        <f ca="1">IFERROR(IF(0=LEN(ReferenceData!$BE$527),"",ReferenceData!$BE$527),"")</f>
        <v>6.1919502790000003</v>
      </c>
      <c r="BF527">
        <f ca="1">IFERROR(IF(0=LEN(ReferenceData!$BF$527),"",ReferenceData!$BF$527),"")</f>
        <v>11.739130830000001</v>
      </c>
      <c r="BG527">
        <f ca="1">IFERROR(IF(0=LEN(ReferenceData!$BG$527),"",ReferenceData!$BG$527),"")</f>
        <v>10.97561013</v>
      </c>
      <c r="BH527">
        <f ca="1">IFERROR(IF(0=LEN(ReferenceData!$BH$527),"",ReferenceData!$BH$527),"")</f>
        <v>11.250000379999999</v>
      </c>
      <c r="BI527">
        <f ca="1">IFERROR(IF(0=LEN(ReferenceData!$BI$527),"",ReferenceData!$BI$527),"")</f>
        <v>10.074627209999999</v>
      </c>
      <c r="BJ527">
        <f ca="1">IFERROR(IF(0=LEN(ReferenceData!$BJ$527),"",ReferenceData!$BJ$527),"")</f>
        <v>4.0657856399999996</v>
      </c>
      <c r="BK527">
        <f ca="1">IFERROR(IF(0=LEN(ReferenceData!$BK$527),"",ReferenceData!$BK$527),"")</f>
        <v>4.0950358959999997</v>
      </c>
      <c r="BL527">
        <f ca="1">IFERROR(IF(0=LEN(ReferenceData!$BL$527),"",ReferenceData!$BL$527),"")</f>
        <v>4.0085210529999999</v>
      </c>
      <c r="BM527">
        <f ca="1">IFERROR(IF(0=LEN(ReferenceData!$BM$527),"",ReferenceData!$BM$527),"")</f>
        <v>4.865042646</v>
      </c>
    </row>
    <row r="528" spans="1:65" x14ac:dyDescent="0.25">
      <c r="A528" t="str">
        <f>IFERROR(IF(0=LEN(ReferenceData!$A$528),"",ReferenceData!$A$528),"")</f>
        <v xml:space="preserve">    Sollers PJSC</v>
      </c>
      <c r="B528" t="str">
        <f>IFERROR(IF(0=LEN(ReferenceData!$B$528),"",ReferenceData!$B$528),"")</f>
        <v>SVAV RM Equity</v>
      </c>
      <c r="C528" t="str">
        <f>IFERROR(IF(0=LEN(ReferenceData!$C$528),"",ReferenceData!$C$528),"")</f>
        <v>DV013</v>
      </c>
      <c r="D528" t="str">
        <f>IFERROR(IF(0=LEN(ReferenceData!$D$528),"",ReferenceData!$D$528),"")</f>
        <v>EQY_DVD_YLD_IND</v>
      </c>
      <c r="E528" t="str">
        <f>IFERROR(IF(0=LEN(ReferenceData!$E$528),"",ReferenceData!$E$528),"")</f>
        <v>Dynamic</v>
      </c>
      <c r="F528" t="str">
        <f ca="1">IFERROR(IF(0=LEN(ReferenceData!$F$528),"",ReferenceData!$F$528),"")</f>
        <v/>
      </c>
      <c r="G528" t="str">
        <f ca="1">IFERROR(IF(0=LEN(ReferenceData!$G$528),"",ReferenceData!$G$528),"")</f>
        <v/>
      </c>
      <c r="H528" t="str">
        <f ca="1">IFERROR(IF(0=LEN(ReferenceData!$H$528),"",ReferenceData!$H$528),"")</f>
        <v/>
      </c>
      <c r="I528" t="str">
        <f ca="1">IFERROR(IF(0=LEN(ReferenceData!$I$528),"",ReferenceData!$I$528),"")</f>
        <v/>
      </c>
      <c r="J528" t="str">
        <f ca="1">IFERROR(IF(0=LEN(ReferenceData!$J$528),"",ReferenceData!$J$528),"")</f>
        <v/>
      </c>
      <c r="K528" t="str">
        <f ca="1">IFERROR(IF(0=LEN(ReferenceData!$K$528),"",ReferenceData!$K$528),"")</f>
        <v/>
      </c>
      <c r="L528" t="str">
        <f ca="1">IFERROR(IF(0=LEN(ReferenceData!$L$528),"",ReferenceData!$L$528),"")</f>
        <v/>
      </c>
      <c r="M528" t="str">
        <f ca="1">IFERROR(IF(0=LEN(ReferenceData!$M$528),"",ReferenceData!$M$528),"")</f>
        <v/>
      </c>
      <c r="N528" t="str">
        <f ca="1">IFERROR(IF(0=LEN(ReferenceData!$N$528),"",ReferenceData!$N$528),"")</f>
        <v/>
      </c>
      <c r="O528" t="str">
        <f ca="1">IFERROR(IF(0=LEN(ReferenceData!$O$528),"",ReferenceData!$O$528),"")</f>
        <v/>
      </c>
      <c r="P528" t="str">
        <f ca="1">IFERROR(IF(0=LEN(ReferenceData!$P$528),"",ReferenceData!$P$528),"")</f>
        <v/>
      </c>
      <c r="Q528" t="str">
        <f ca="1">IFERROR(IF(0=LEN(ReferenceData!$Q$528),"",ReferenceData!$Q$528),"")</f>
        <v/>
      </c>
      <c r="R528" t="str">
        <f ca="1">IFERROR(IF(0=LEN(ReferenceData!$R$528),"",ReferenceData!$R$528),"")</f>
        <v/>
      </c>
      <c r="S528" t="str">
        <f ca="1">IFERROR(IF(0=LEN(ReferenceData!$S$528),"",ReferenceData!$S$528),"")</f>
        <v/>
      </c>
      <c r="T528" t="str">
        <f ca="1">IFERROR(IF(0=LEN(ReferenceData!$T$528),"",ReferenceData!$T$528),"")</f>
        <v/>
      </c>
      <c r="U528">
        <f ca="1">IFERROR(IF(0=LEN(ReferenceData!$U$528),"",ReferenceData!$U$528),"")</f>
        <v>11.671111209999999</v>
      </c>
      <c r="V528">
        <f ca="1">IFERROR(IF(0=LEN(ReferenceData!$V$528),"",ReferenceData!$V$528),"")</f>
        <v>14.50828742</v>
      </c>
      <c r="W528">
        <f ca="1">IFERROR(IF(0=LEN(ReferenceData!$W$528),"",ReferenceData!$W$528),"")</f>
        <v>15.00571442</v>
      </c>
      <c r="X528">
        <f ca="1">IFERROR(IF(0=LEN(ReferenceData!$X$528),"",ReferenceData!$X$528),"")</f>
        <v>11.449749389999999</v>
      </c>
      <c r="Y528">
        <f ca="1">IFERROR(IF(0=LEN(ReferenceData!$Y$528),"",ReferenceData!$Y$528),"")</f>
        <v>8.8268908330000002</v>
      </c>
      <c r="Z528">
        <f ca="1">IFERROR(IF(0=LEN(ReferenceData!$Z$528),"",ReferenceData!$Z$528),"")</f>
        <v>10.512410020000001</v>
      </c>
      <c r="AA528">
        <f ca="1">IFERROR(IF(0=LEN(ReferenceData!$AA$528),"",ReferenceData!$AA$528),"")</f>
        <v>6.1477233360000003</v>
      </c>
      <c r="AB528">
        <f ca="1">IFERROR(IF(0=LEN(ReferenceData!$AB$528),"",ReferenceData!$AB$528),"")</f>
        <v>7.7167206080000001</v>
      </c>
      <c r="AC528">
        <f ca="1">IFERROR(IF(0=LEN(ReferenceData!$AC$528),"",ReferenceData!$AC$528),"")</f>
        <v>7.3930180820000002</v>
      </c>
      <c r="AD528" t="str">
        <f ca="1">IFERROR(IF(0=LEN(ReferenceData!$AD$528),"",ReferenceData!$AD$528),"")</f>
        <v/>
      </c>
      <c r="AE528" t="str">
        <f ca="1">IFERROR(IF(0=LEN(ReferenceData!$AE$528),"",ReferenceData!$AE$528),"")</f>
        <v/>
      </c>
      <c r="AF528" t="str">
        <f ca="1">IFERROR(IF(0=LEN(ReferenceData!$AF$528),"",ReferenceData!$AF$528),"")</f>
        <v/>
      </c>
      <c r="AG528" t="str">
        <f ca="1">IFERROR(IF(0=LEN(ReferenceData!$AG$528),"",ReferenceData!$AG$528),"")</f>
        <v/>
      </c>
      <c r="AH528" t="str">
        <f ca="1">IFERROR(IF(0=LEN(ReferenceData!$AH$528),"",ReferenceData!$AH$528),"")</f>
        <v/>
      </c>
      <c r="AI528" t="str">
        <f ca="1">IFERROR(IF(0=LEN(ReferenceData!$AI$528),"",ReferenceData!$AI$528),"")</f>
        <v/>
      </c>
      <c r="AJ528" t="str">
        <f ca="1">IFERROR(IF(0=LEN(ReferenceData!$AJ$528),"",ReferenceData!$AJ$528),"")</f>
        <v/>
      </c>
      <c r="AK528" t="str">
        <f ca="1">IFERROR(IF(0=LEN(ReferenceData!$AK$528),"",ReferenceData!$AK$528),"")</f>
        <v/>
      </c>
      <c r="AL528" t="str">
        <f ca="1">IFERROR(IF(0=LEN(ReferenceData!$AL$528),"",ReferenceData!$AL$528),"")</f>
        <v/>
      </c>
      <c r="AM528" t="str">
        <f ca="1">IFERROR(IF(0=LEN(ReferenceData!$AM$528),"",ReferenceData!$AM$528),"")</f>
        <v/>
      </c>
      <c r="AN528" t="str">
        <f ca="1">IFERROR(IF(0=LEN(ReferenceData!$AN$528),"",ReferenceData!$AN$528),"")</f>
        <v/>
      </c>
      <c r="AO528" t="str">
        <f ca="1">IFERROR(IF(0=LEN(ReferenceData!$AO$528),"",ReferenceData!$AO$528),"")</f>
        <v/>
      </c>
      <c r="AP528" t="str">
        <f ca="1">IFERROR(IF(0=LEN(ReferenceData!$AP$528),"",ReferenceData!$AP$528),"")</f>
        <v/>
      </c>
      <c r="AQ528" t="str">
        <f ca="1">IFERROR(IF(0=LEN(ReferenceData!$AQ$528),"",ReferenceData!$AQ$528),"")</f>
        <v/>
      </c>
      <c r="AR528" t="str">
        <f ca="1">IFERROR(IF(0=LEN(ReferenceData!$AR$528),"",ReferenceData!$AR$528),"")</f>
        <v/>
      </c>
      <c r="AS528">
        <f ca="1">IFERROR(IF(0=LEN(ReferenceData!$AS$528),"",ReferenceData!$AS$528),"")</f>
        <v>7.0758889089999997</v>
      </c>
      <c r="AT528">
        <f ca="1">IFERROR(IF(0=LEN(ReferenceData!$AT$528),"",ReferenceData!$AT$528),"")</f>
        <v>10.96942273</v>
      </c>
      <c r="AU528">
        <f ca="1">IFERROR(IF(0=LEN(ReferenceData!$AU$528),"",ReferenceData!$AU$528),"")</f>
        <v>13.06549077</v>
      </c>
      <c r="AV528">
        <f ca="1">IFERROR(IF(0=LEN(ReferenceData!$AV$528),"",ReferenceData!$AV$528),"")</f>
        <v>3.8394737239999999</v>
      </c>
      <c r="AW528">
        <f ca="1">IFERROR(IF(0=LEN(ReferenceData!$AW$528),"",ReferenceData!$AW$528),"")</f>
        <v>1.9986987780000001</v>
      </c>
      <c r="AX528">
        <f ca="1">IFERROR(IF(0=LEN(ReferenceData!$AX$528),"",ReferenceData!$AX$528),"")</f>
        <v>1.3819130049999999</v>
      </c>
      <c r="AY528">
        <f ca="1">IFERROR(IF(0=LEN(ReferenceData!$AY$528),"",ReferenceData!$AY$528),"")</f>
        <v>1.480835779</v>
      </c>
      <c r="AZ528">
        <f ca="1">IFERROR(IF(0=LEN(ReferenceData!$AZ$528),"",ReferenceData!$AZ$528),"")</f>
        <v>1.615283762</v>
      </c>
      <c r="BA528">
        <f ca="1">IFERROR(IF(0=LEN(ReferenceData!$BA$528),"",ReferenceData!$BA$528),"")</f>
        <v>2.2687228080000001</v>
      </c>
      <c r="BB528">
        <f ca="1">IFERROR(IF(0=LEN(ReferenceData!$BB$528),"",ReferenceData!$BB$528),"")</f>
        <v>1.6582372940000001</v>
      </c>
      <c r="BC528">
        <f ca="1">IFERROR(IF(0=LEN(ReferenceData!$BC$528),"",ReferenceData!$BC$528),"")</f>
        <v>1.728480419</v>
      </c>
      <c r="BD528">
        <f ca="1">IFERROR(IF(0=LEN(ReferenceData!$BD$528),"",ReferenceData!$BD$528),"")</f>
        <v>2.5832641390000002</v>
      </c>
      <c r="BE528">
        <f ca="1">IFERROR(IF(0=LEN(ReferenceData!$BE$528),"",ReferenceData!$BE$528),"")</f>
        <v>2.6873980230000001</v>
      </c>
      <c r="BF528">
        <f ca="1">IFERROR(IF(0=LEN(ReferenceData!$BF$528),"",ReferenceData!$BF$528),"")</f>
        <v>1.654857005</v>
      </c>
      <c r="BG528">
        <f ca="1">IFERROR(IF(0=LEN(ReferenceData!$BG$528),"",ReferenceData!$BG$528),"")</f>
        <v>2.0996774130000002</v>
      </c>
      <c r="BH528">
        <f ca="1">IFERROR(IF(0=LEN(ReferenceData!$BH$528),"",ReferenceData!$BH$528),"")</f>
        <v>2.0292956499999999</v>
      </c>
      <c r="BI528">
        <f ca="1">IFERROR(IF(0=LEN(ReferenceData!$BI$528),"",ReferenceData!$BI$528),"")</f>
        <v>2.6829268289999999</v>
      </c>
      <c r="BJ528" t="str">
        <f ca="1">IFERROR(IF(0=LEN(ReferenceData!$BJ$528),"",ReferenceData!$BJ$528),"")</f>
        <v/>
      </c>
      <c r="BK528" t="str">
        <f ca="1">IFERROR(IF(0=LEN(ReferenceData!$BK$528),"",ReferenceData!$BK$528),"")</f>
        <v/>
      </c>
      <c r="BL528" t="str">
        <f ca="1">IFERROR(IF(0=LEN(ReferenceData!$BL$528),"",ReferenceData!$BL$528),"")</f>
        <v/>
      </c>
      <c r="BM528" t="str">
        <f ca="1">IFERROR(IF(0=LEN(ReferenceData!$BM$528),"",ReferenceData!$BM$528),"")</f>
        <v/>
      </c>
    </row>
    <row r="529" spans="1:65" x14ac:dyDescent="0.25">
      <c r="A529" t="str">
        <f>IFERROR(IF(0=LEN(ReferenceData!$A$529),"",ReferenceData!$A$529),"")</f>
        <v xml:space="preserve">    Ssangyong Motor Co</v>
      </c>
      <c r="B529" t="str">
        <f>IFERROR(IF(0=LEN(ReferenceData!$B$529),"",ReferenceData!$B$529),"")</f>
        <v>003620 KS Equity</v>
      </c>
      <c r="C529" t="str">
        <f>IFERROR(IF(0=LEN(ReferenceData!$C$529),"",ReferenceData!$C$529),"")</f>
        <v>DV013</v>
      </c>
      <c r="D529" t="str">
        <f>IFERROR(IF(0=LEN(ReferenceData!$D$529),"",ReferenceData!$D$529),"")</f>
        <v>EQY_DVD_YLD_IND</v>
      </c>
      <c r="E529" t="str">
        <f>IFERROR(IF(0=LEN(ReferenceData!$E$529),"",ReferenceData!$E$529),"")</f>
        <v>Dynamic</v>
      </c>
      <c r="F529" t="str">
        <f ca="1">IFERROR(IF(0=LEN(ReferenceData!$F$529),"",ReferenceData!$F$529),"")</f>
        <v/>
      </c>
      <c r="G529" t="str">
        <f ca="1">IFERROR(IF(0=LEN(ReferenceData!$G$529),"",ReferenceData!$G$529),"")</f>
        <v/>
      </c>
      <c r="H529" t="str">
        <f ca="1">IFERROR(IF(0=LEN(ReferenceData!$H$529),"",ReferenceData!$H$529),"")</f>
        <v/>
      </c>
      <c r="I529" t="str">
        <f ca="1">IFERROR(IF(0=LEN(ReferenceData!$I$529),"",ReferenceData!$I$529),"")</f>
        <v/>
      </c>
      <c r="J529" t="str">
        <f ca="1">IFERROR(IF(0=LEN(ReferenceData!$J$529),"",ReferenceData!$J$529),"")</f>
        <v/>
      </c>
      <c r="K529" t="str">
        <f ca="1">IFERROR(IF(0=LEN(ReferenceData!$K$529),"",ReferenceData!$K$529),"")</f>
        <v/>
      </c>
      <c r="L529" t="str">
        <f ca="1">IFERROR(IF(0=LEN(ReferenceData!$L$529),"",ReferenceData!$L$529),"")</f>
        <v/>
      </c>
      <c r="M529" t="str">
        <f ca="1">IFERROR(IF(0=LEN(ReferenceData!$M$529),"",ReferenceData!$M$529),"")</f>
        <v/>
      </c>
      <c r="N529" t="str">
        <f ca="1">IFERROR(IF(0=LEN(ReferenceData!$N$529),"",ReferenceData!$N$529),"")</f>
        <v/>
      </c>
      <c r="O529" t="str">
        <f ca="1">IFERROR(IF(0=LEN(ReferenceData!$O$529),"",ReferenceData!$O$529),"")</f>
        <v/>
      </c>
      <c r="P529" t="str">
        <f ca="1">IFERROR(IF(0=LEN(ReferenceData!$P$529),"",ReferenceData!$P$529),"")</f>
        <v/>
      </c>
      <c r="Q529" t="str">
        <f ca="1">IFERROR(IF(0=LEN(ReferenceData!$Q$529),"",ReferenceData!$Q$529),"")</f>
        <v/>
      </c>
      <c r="R529" t="str">
        <f ca="1">IFERROR(IF(0=LEN(ReferenceData!$R$529),"",ReferenceData!$R$529),"")</f>
        <v/>
      </c>
      <c r="S529" t="str">
        <f ca="1">IFERROR(IF(0=LEN(ReferenceData!$S$529),"",ReferenceData!$S$529),"")</f>
        <v/>
      </c>
      <c r="T529" t="str">
        <f ca="1">IFERROR(IF(0=LEN(ReferenceData!$T$529),"",ReferenceData!$T$529),"")</f>
        <v/>
      </c>
      <c r="U529" t="str">
        <f ca="1">IFERROR(IF(0=LEN(ReferenceData!$U$529),"",ReferenceData!$U$529),"")</f>
        <v/>
      </c>
      <c r="V529" t="str">
        <f ca="1">IFERROR(IF(0=LEN(ReferenceData!$V$529),"",ReferenceData!$V$529),"")</f>
        <v/>
      </c>
      <c r="W529" t="str">
        <f ca="1">IFERROR(IF(0=LEN(ReferenceData!$W$529),"",ReferenceData!$W$529),"")</f>
        <v/>
      </c>
      <c r="X529" t="str">
        <f ca="1">IFERROR(IF(0=LEN(ReferenceData!$X$529),"",ReferenceData!$X$529),"")</f>
        <v/>
      </c>
      <c r="Y529" t="str">
        <f ca="1">IFERROR(IF(0=LEN(ReferenceData!$Y$529),"",ReferenceData!$Y$529),"")</f>
        <v/>
      </c>
      <c r="Z529" t="str">
        <f ca="1">IFERROR(IF(0=LEN(ReferenceData!$Z$529),"",ReferenceData!$Z$529),"")</f>
        <v/>
      </c>
      <c r="AA529" t="str">
        <f ca="1">IFERROR(IF(0=LEN(ReferenceData!$AA$529),"",ReferenceData!$AA$529),"")</f>
        <v/>
      </c>
      <c r="AB529" t="str">
        <f ca="1">IFERROR(IF(0=LEN(ReferenceData!$AB$529),"",ReferenceData!$AB$529),"")</f>
        <v/>
      </c>
      <c r="AC529" t="str">
        <f ca="1">IFERROR(IF(0=LEN(ReferenceData!$AC$529),"",ReferenceData!$AC$529),"")</f>
        <v/>
      </c>
      <c r="AD529" t="str">
        <f ca="1">IFERROR(IF(0=LEN(ReferenceData!$AD$529),"",ReferenceData!$AD$529),"")</f>
        <v/>
      </c>
      <c r="AE529" t="str">
        <f ca="1">IFERROR(IF(0=LEN(ReferenceData!$AE$529),"",ReferenceData!$AE$529),"")</f>
        <v/>
      </c>
      <c r="AF529" t="str">
        <f ca="1">IFERROR(IF(0=LEN(ReferenceData!$AF$529),"",ReferenceData!$AF$529),"")</f>
        <v/>
      </c>
      <c r="AG529" t="str">
        <f ca="1">IFERROR(IF(0=LEN(ReferenceData!$AG$529),"",ReferenceData!$AG$529),"")</f>
        <v/>
      </c>
      <c r="AH529" t="str">
        <f ca="1">IFERROR(IF(0=LEN(ReferenceData!$AH$529),"",ReferenceData!$AH$529),"")</f>
        <v/>
      </c>
      <c r="AI529" t="str">
        <f ca="1">IFERROR(IF(0=LEN(ReferenceData!$AI$529),"",ReferenceData!$AI$529),"")</f>
        <v/>
      </c>
      <c r="AJ529" t="str">
        <f ca="1">IFERROR(IF(0=LEN(ReferenceData!$AJ$529),"",ReferenceData!$AJ$529),"")</f>
        <v/>
      </c>
      <c r="AK529" t="str">
        <f ca="1">IFERROR(IF(0=LEN(ReferenceData!$AK$529),"",ReferenceData!$AK$529),"")</f>
        <v/>
      </c>
      <c r="AL529" t="str">
        <f ca="1">IFERROR(IF(0=LEN(ReferenceData!$AL$529),"",ReferenceData!$AL$529),"")</f>
        <v/>
      </c>
      <c r="AM529" t="str">
        <f ca="1">IFERROR(IF(0=LEN(ReferenceData!$AM$529),"",ReferenceData!$AM$529),"")</f>
        <v/>
      </c>
      <c r="AN529" t="str">
        <f ca="1">IFERROR(IF(0=LEN(ReferenceData!$AN$529),"",ReferenceData!$AN$529),"")</f>
        <v/>
      </c>
      <c r="AO529" t="str">
        <f ca="1">IFERROR(IF(0=LEN(ReferenceData!$AO$529),"",ReferenceData!$AO$529),"")</f>
        <v/>
      </c>
      <c r="AP529" t="str">
        <f ca="1">IFERROR(IF(0=LEN(ReferenceData!$AP$529),"",ReferenceData!$AP$529),"")</f>
        <v/>
      </c>
      <c r="AQ529" t="str">
        <f ca="1">IFERROR(IF(0=LEN(ReferenceData!$AQ$529),"",ReferenceData!$AQ$529),"")</f>
        <v/>
      </c>
      <c r="AR529" t="str">
        <f ca="1">IFERROR(IF(0=LEN(ReferenceData!$AR$529),"",ReferenceData!$AR$529),"")</f>
        <v/>
      </c>
      <c r="AS529" t="str">
        <f ca="1">IFERROR(IF(0=LEN(ReferenceData!$AS$529),"",ReferenceData!$AS$529),"")</f>
        <v/>
      </c>
      <c r="AT529" t="str">
        <f ca="1">IFERROR(IF(0=LEN(ReferenceData!$AT$529),"",ReferenceData!$AT$529),"")</f>
        <v/>
      </c>
      <c r="AU529" t="str">
        <f ca="1">IFERROR(IF(0=LEN(ReferenceData!$AU$529),"",ReferenceData!$AU$529),"")</f>
        <v/>
      </c>
      <c r="AV529" t="str">
        <f ca="1">IFERROR(IF(0=LEN(ReferenceData!$AV$529),"",ReferenceData!$AV$529),"")</f>
        <v/>
      </c>
      <c r="AW529" t="str">
        <f ca="1">IFERROR(IF(0=LEN(ReferenceData!$AW$529),"",ReferenceData!$AW$529),"")</f>
        <v/>
      </c>
      <c r="AX529" t="str">
        <f ca="1">IFERROR(IF(0=LEN(ReferenceData!$AX$529),"",ReferenceData!$AX$529),"")</f>
        <v/>
      </c>
      <c r="AY529" t="str">
        <f ca="1">IFERROR(IF(0=LEN(ReferenceData!$AY$529),"",ReferenceData!$AY$529),"")</f>
        <v/>
      </c>
      <c r="AZ529" t="str">
        <f ca="1">IFERROR(IF(0=LEN(ReferenceData!$AZ$529),"",ReferenceData!$AZ$529),"")</f>
        <v/>
      </c>
      <c r="BA529" t="str">
        <f ca="1">IFERROR(IF(0=LEN(ReferenceData!$BA$529),"",ReferenceData!$BA$529),"")</f>
        <v/>
      </c>
      <c r="BB529" t="str">
        <f ca="1">IFERROR(IF(0=LEN(ReferenceData!$BB$529),"",ReferenceData!$BB$529),"")</f>
        <v/>
      </c>
      <c r="BC529" t="str">
        <f ca="1">IFERROR(IF(0=LEN(ReferenceData!$BC$529),"",ReferenceData!$BC$529),"")</f>
        <v/>
      </c>
      <c r="BD529" t="str">
        <f ca="1">IFERROR(IF(0=LEN(ReferenceData!$BD$529),"",ReferenceData!$BD$529),"")</f>
        <v/>
      </c>
      <c r="BE529" t="str">
        <f ca="1">IFERROR(IF(0=LEN(ReferenceData!$BE$529),"",ReferenceData!$BE$529),"")</f>
        <v/>
      </c>
      <c r="BF529" t="str">
        <f ca="1">IFERROR(IF(0=LEN(ReferenceData!$BF$529),"",ReferenceData!$BF$529),"")</f>
        <v/>
      </c>
      <c r="BG529" t="str">
        <f ca="1">IFERROR(IF(0=LEN(ReferenceData!$BG$529),"",ReferenceData!$BG$529),"")</f>
        <v/>
      </c>
      <c r="BH529" t="str">
        <f ca="1">IFERROR(IF(0=LEN(ReferenceData!$BH$529),"",ReferenceData!$BH$529),"")</f>
        <v/>
      </c>
      <c r="BI529" t="str">
        <f ca="1">IFERROR(IF(0=LEN(ReferenceData!$BI$529),"",ReferenceData!$BI$529),"")</f>
        <v/>
      </c>
      <c r="BJ529" t="str">
        <f ca="1">IFERROR(IF(0=LEN(ReferenceData!$BJ$529),"",ReferenceData!$BJ$529),"")</f>
        <v/>
      </c>
      <c r="BK529" t="str">
        <f ca="1">IFERROR(IF(0=LEN(ReferenceData!$BK$529),"",ReferenceData!$BK$529),"")</f>
        <v/>
      </c>
      <c r="BL529" t="str">
        <f ca="1">IFERROR(IF(0=LEN(ReferenceData!$BL$529),"",ReferenceData!$BL$529),"")</f>
        <v/>
      </c>
      <c r="BM529" t="str">
        <f ca="1">IFERROR(IF(0=LEN(ReferenceData!$BM$529),"",ReferenceData!$BM$529),"")</f>
        <v/>
      </c>
    </row>
    <row r="530" spans="1:65" x14ac:dyDescent="0.25">
      <c r="A530" t="str">
        <f>IFERROR(IF(0=LEN(ReferenceData!$A$530),"",ReferenceData!$A$530),"")</f>
        <v xml:space="preserve">    Subaru Corp</v>
      </c>
      <c r="B530" t="str">
        <f>IFERROR(IF(0=LEN(ReferenceData!$B$530),"",ReferenceData!$B$530),"")</f>
        <v>7270 JP Equity</v>
      </c>
      <c r="C530" t="str">
        <f>IFERROR(IF(0=LEN(ReferenceData!$C$530),"",ReferenceData!$C$530),"")</f>
        <v>DV013</v>
      </c>
      <c r="D530" t="str">
        <f>IFERROR(IF(0=LEN(ReferenceData!$D$530),"",ReferenceData!$D$530),"")</f>
        <v>EQY_DVD_YLD_IND</v>
      </c>
      <c r="E530" t="str">
        <f>IFERROR(IF(0=LEN(ReferenceData!$E$530),"",ReferenceData!$E$530),"")</f>
        <v>Dynamic</v>
      </c>
      <c r="F530">
        <f ca="1">IFERROR(IF(0=LEN(ReferenceData!$F$530),"",ReferenceData!$F$530),"")</f>
        <v>5.0668543279999998</v>
      </c>
      <c r="G530">
        <f ca="1">IFERROR(IF(0=LEN(ReferenceData!$G$530),"",ReferenceData!$G$530),"")</f>
        <v>6.1016949150000004</v>
      </c>
      <c r="H530">
        <f ca="1">IFERROR(IF(0=LEN(ReferenceData!$H$530),"",ReferenceData!$H$530),"")</f>
        <v>4.1379310340000002</v>
      </c>
      <c r="I530">
        <f ca="1">IFERROR(IF(0=LEN(ReferenceData!$I$530),"",ReferenceData!$I$530),"")</f>
        <v>4.4651162790000001</v>
      </c>
      <c r="J530">
        <f ca="1">IFERROR(IF(0=LEN(ReferenceData!$J$530),"",ReferenceData!$J$530),"")</f>
        <v>4.1296243190000004</v>
      </c>
      <c r="K530">
        <f ca="1">IFERROR(IF(0=LEN(ReferenceData!$K$530),"",ReferenceData!$K$530),"")</f>
        <v>4.0189785100000002</v>
      </c>
      <c r="L530">
        <f ca="1">IFERROR(IF(0=LEN(ReferenceData!$L$530),"",ReferenceData!$L$530),"")</f>
        <v>3.5467980300000002</v>
      </c>
      <c r="M530">
        <f ca="1">IFERROR(IF(0=LEN(ReferenceData!$M$530),"",ReferenceData!$M$530),"")</f>
        <v>3.8034865290000002</v>
      </c>
      <c r="N530">
        <f ca="1">IFERROR(IF(0=LEN(ReferenceData!$N$530),"",ReferenceData!$N$530),"")</f>
        <v>3.5268185160000001</v>
      </c>
      <c r="O530">
        <f ca="1">IFERROR(IF(0=LEN(ReferenceData!$O$530),"",ReferenceData!$O$530),"")</f>
        <v>3.0176026820000001</v>
      </c>
      <c r="P530">
        <f ca="1">IFERROR(IF(0=LEN(ReferenceData!$P$530),"",ReferenceData!$P$530),"")</f>
        <v>3.8348868180000002</v>
      </c>
      <c r="Q530">
        <f ca="1">IFERROR(IF(0=LEN(ReferenceData!$Q$530),"",ReferenceData!$Q$530),"")</f>
        <v>4.1403105230000001</v>
      </c>
      <c r="R530">
        <f ca="1">IFERROR(IF(0=LEN(ReferenceData!$R$530),"",ReferenceData!$R$530),"")</f>
        <v>3.6226415090000001</v>
      </c>
      <c r="S530">
        <f ca="1">IFERROR(IF(0=LEN(ReferenceData!$S$530),"",ReferenceData!$S$530),"")</f>
        <v>2.8645315299999998</v>
      </c>
      <c r="T530">
        <f ca="1">IFERROR(IF(0=LEN(ReferenceData!$T$530),"",ReferenceData!$T$530),"")</f>
        <v>3.3621293489999999</v>
      </c>
      <c r="U530">
        <f ca="1">IFERROR(IF(0=LEN(ReferenceData!$U$530),"",ReferenceData!$U$530),"")</f>
        <v>3.1943212070000002</v>
      </c>
      <c r="V530">
        <f ca="1">IFERROR(IF(0=LEN(ReferenceData!$V$530),"",ReferenceData!$V$530),"")</f>
        <v>1.703833626</v>
      </c>
      <c r="W530">
        <f ca="1">IFERROR(IF(0=LEN(ReferenceData!$W$530),"",ReferenceData!$W$530),"")</f>
        <v>1.5813953489999999</v>
      </c>
      <c r="X530">
        <f ca="1">IFERROR(IF(0=LEN(ReferenceData!$X$530),"",ReferenceData!$X$530),"")</f>
        <v>1.8753447320000001</v>
      </c>
      <c r="Y530">
        <f ca="1">IFERROR(IF(0=LEN(ReferenceData!$Y$530),"",ReferenceData!$Y$530),"")</f>
        <v>2.424242424</v>
      </c>
      <c r="Z530">
        <f ca="1">IFERROR(IF(0=LEN(ReferenceData!$Z$530),"",ReferenceData!$Z$530),"")</f>
        <v>1.719197708</v>
      </c>
      <c r="AA530">
        <f ca="1">IFERROR(IF(0=LEN(ReferenceData!$AA$530),"",ReferenceData!$AA$530),"")</f>
        <v>1.5920398010000001</v>
      </c>
      <c r="AB530">
        <f ca="1">IFERROR(IF(0=LEN(ReferenceData!$AB$530),"",ReferenceData!$AB$530),"")</f>
        <v>1.7712177120000001</v>
      </c>
      <c r="AC530">
        <f ca="1">IFERROR(IF(0=LEN(ReferenceData!$AC$530),"",ReferenceData!$AC$530),"")</f>
        <v>1.9631901839999999</v>
      </c>
      <c r="AD530">
        <f ca="1">IFERROR(IF(0=LEN(ReferenceData!$AD$530),"",ReferenceData!$AD$530),"")</f>
        <v>1.0266940449999999</v>
      </c>
      <c r="AE530">
        <f ca="1">IFERROR(IF(0=LEN(ReferenceData!$AE$530),"",ReferenceData!$AE$530),"")</f>
        <v>1.394052045</v>
      </c>
      <c r="AF530">
        <f ca="1">IFERROR(IF(0=LEN(ReferenceData!$AF$530),"",ReferenceData!$AF$530),"")</f>
        <v>2.3148148150000001</v>
      </c>
      <c r="AG530">
        <f ca="1">IFERROR(IF(0=LEN(ReferenceData!$AG$530),"",ReferenceData!$AG$530),"")</f>
        <v>2.354788069</v>
      </c>
      <c r="AH530">
        <f ca="1">IFERROR(IF(0=LEN(ReferenceData!$AH$530),"",ReferenceData!$AH$530),"")</f>
        <v>1.353383459</v>
      </c>
      <c r="AI530">
        <f ca="1">IFERROR(IF(0=LEN(ReferenceData!$AI$530),"",ReferenceData!$AI$530),"")</f>
        <v>1.935483871</v>
      </c>
      <c r="AJ530">
        <f ca="1">IFERROR(IF(0=LEN(ReferenceData!$AJ$530),"",ReferenceData!$AJ$530),"")</f>
        <v>1.9650655020000001</v>
      </c>
      <c r="AK530">
        <f ca="1">IFERROR(IF(0=LEN(ReferenceData!$AK$530),"",ReferenceData!$AK$530),"")</f>
        <v>1.4469453379999999</v>
      </c>
      <c r="AL530">
        <f ca="1">IFERROR(IF(0=LEN(ReferenceData!$AL$530),"",ReferenceData!$AL$530),"")</f>
        <v>1.679104478</v>
      </c>
      <c r="AM530">
        <f ca="1">IFERROR(IF(0=LEN(ReferenceData!$AM$530),"",ReferenceData!$AM$530),"")</f>
        <v>1.428571429</v>
      </c>
      <c r="AN530">
        <f ca="1">IFERROR(IF(0=LEN(ReferenceData!$AN$530),"",ReferenceData!$AN$530),"")</f>
        <v>1.6917293229999999</v>
      </c>
      <c r="AO530">
        <f ca="1">IFERROR(IF(0=LEN(ReferenceData!$AO$530),"",ReferenceData!$AO$530),"")</f>
        <v>1.875</v>
      </c>
      <c r="AP530" t="str">
        <f ca="1">IFERROR(IF(0=LEN(ReferenceData!$AP$530),"",ReferenceData!$AP$530),"")</f>
        <v/>
      </c>
      <c r="AQ530" t="str">
        <f ca="1">IFERROR(IF(0=LEN(ReferenceData!$AQ$530),"",ReferenceData!$AQ$530),"")</f>
        <v/>
      </c>
      <c r="AR530" t="str">
        <f ca="1">IFERROR(IF(0=LEN(ReferenceData!$AR$530),"",ReferenceData!$AR$530),"")</f>
        <v/>
      </c>
      <c r="AS530">
        <f ca="1">IFERROR(IF(0=LEN(ReferenceData!$AS$530),"",ReferenceData!$AS$530),"")</f>
        <v>1.046511628</v>
      </c>
      <c r="AT530">
        <f ca="1">IFERROR(IF(0=LEN(ReferenceData!$AT$530),"",ReferenceData!$AT$530),"")</f>
        <v>1.397515528</v>
      </c>
      <c r="AU530">
        <f ca="1">IFERROR(IF(0=LEN(ReferenceData!$AU$530),"",ReferenceData!$AU$530),"")</f>
        <v>1.8828451879999999</v>
      </c>
      <c r="AV530">
        <f ca="1">IFERROR(IF(0=LEN(ReferenceData!$AV$530),"",ReferenceData!$AV$530),"")</f>
        <v>0.86372360800000003</v>
      </c>
      <c r="AW530">
        <f ca="1">IFERROR(IF(0=LEN(ReferenceData!$AW$530),"",ReferenceData!$AW$530),"")</f>
        <v>0.86538461499999997</v>
      </c>
      <c r="AX530">
        <f ca="1">IFERROR(IF(0=LEN(ReferenceData!$AX$530),"",ReferenceData!$AX$530),"")</f>
        <v>2.1582733809999999</v>
      </c>
      <c r="AY530">
        <f ca="1">IFERROR(IF(0=LEN(ReferenceData!$AY$530),"",ReferenceData!$AY$530),"")</f>
        <v>1.724137931</v>
      </c>
      <c r="AZ530">
        <f ca="1">IFERROR(IF(0=LEN(ReferenceData!$AZ$530),"",ReferenceData!$AZ$530),"")</f>
        <v>1.7821782180000001</v>
      </c>
      <c r="BA530">
        <f ca="1">IFERROR(IF(0=LEN(ReferenceData!$BA$530),"",ReferenceData!$BA$530),"")</f>
        <v>1.5254237289999999</v>
      </c>
      <c r="BB530">
        <f ca="1">IFERROR(IF(0=LEN(ReferenceData!$BB$530),"",ReferenceData!$BB$530),"")</f>
        <v>1.4705882349999999</v>
      </c>
      <c r="BC530">
        <f ca="1">IFERROR(IF(0=LEN(ReferenceData!$BC$530),"",ReferenceData!$BC$530),"")</f>
        <v>1.47299509</v>
      </c>
      <c r="BD530">
        <f ca="1">IFERROR(IF(0=LEN(ReferenceData!$BD$530),"",ReferenceData!$BD$530),"")</f>
        <v>1.3392857140000001</v>
      </c>
      <c r="BE530">
        <f ca="1">IFERROR(IF(0=LEN(ReferenceData!$BE$530),"",ReferenceData!$BE$530),"")</f>
        <v>1.34529148</v>
      </c>
      <c r="BF530">
        <f ca="1">IFERROR(IF(0=LEN(ReferenceData!$BF$530),"",ReferenceData!$BF$530),"")</f>
        <v>1.300578035</v>
      </c>
      <c r="BG530">
        <f ca="1">IFERROR(IF(0=LEN(ReferenceData!$BG$530),"",ReferenceData!$BG$530),"")</f>
        <v>1.40625</v>
      </c>
      <c r="BH530">
        <f ca="1">IFERROR(IF(0=LEN(ReferenceData!$BH$530),"",ReferenceData!$BH$530),"")</f>
        <v>1.754385965</v>
      </c>
      <c r="BI530">
        <f ca="1">IFERROR(IF(0=LEN(ReferenceData!$BI$530),"",ReferenceData!$BI$530),"")</f>
        <v>1.948051948</v>
      </c>
      <c r="BJ530">
        <f ca="1">IFERROR(IF(0=LEN(ReferenceData!$BJ$530),"",ReferenceData!$BJ$530),"")</f>
        <v>1.717557252</v>
      </c>
      <c r="BK530">
        <f ca="1">IFERROR(IF(0=LEN(ReferenceData!$BK$530),"",ReferenceData!$BK$530),"")</f>
        <v>1.8</v>
      </c>
      <c r="BL530">
        <f ca="1">IFERROR(IF(0=LEN(ReferenceData!$BL$530),"",ReferenceData!$BL$530),"")</f>
        <v>1.6157989230000001</v>
      </c>
      <c r="BM530">
        <f ca="1">IFERROR(IF(0=LEN(ReferenceData!$BM$530),"",ReferenceData!$BM$530),"")</f>
        <v>1.4705882349999999</v>
      </c>
    </row>
    <row r="531" spans="1:65" x14ac:dyDescent="0.25">
      <c r="A531" t="str">
        <f>IFERROR(IF(0=LEN(ReferenceData!$A$531),"",ReferenceData!$A$531),"")</f>
        <v xml:space="preserve">    Suzuki Motor Corp</v>
      </c>
      <c r="B531" t="str">
        <f>IFERROR(IF(0=LEN(ReferenceData!$B$531),"",ReferenceData!$B$531),"")</f>
        <v>7269 JP Equity</v>
      </c>
      <c r="C531" t="str">
        <f>IFERROR(IF(0=LEN(ReferenceData!$C$531),"",ReferenceData!$C$531),"")</f>
        <v>DV013</v>
      </c>
      <c r="D531" t="str">
        <f>IFERROR(IF(0=LEN(ReferenceData!$D$531),"",ReferenceData!$D$531),"")</f>
        <v>EQY_DVD_YLD_IND</v>
      </c>
      <c r="E531" t="str">
        <f>IFERROR(IF(0=LEN(ReferenceData!$E$531),"",ReferenceData!$E$531),"")</f>
        <v>Dynamic</v>
      </c>
      <c r="F531">
        <f ca="1">IFERROR(IF(0=LEN(ReferenceData!$F$531),"",ReferenceData!$F$531),"")</f>
        <v>1.280719972</v>
      </c>
      <c r="G531">
        <f ca="1">IFERROR(IF(0=LEN(ReferenceData!$G$531),"",ReferenceData!$G$531),"")</f>
        <v>1.329261721</v>
      </c>
      <c r="H531">
        <f ca="1">IFERROR(IF(0=LEN(ReferenceData!$H$531),"",ReferenceData!$H$531),"")</f>
        <v>1.1370620769999999</v>
      </c>
      <c r="I531">
        <f ca="1">IFERROR(IF(0=LEN(ReferenceData!$I$531),"",ReferenceData!$I$531),"")</f>
        <v>1.209545603</v>
      </c>
      <c r="J531">
        <f ca="1">IFERROR(IF(0=LEN(ReferenceData!$J$531),"",ReferenceData!$J$531),"")</f>
        <v>1.2914485170000001</v>
      </c>
      <c r="K531">
        <f ca="1">IFERROR(IF(0=LEN(ReferenceData!$K$531),"",ReferenceData!$K$531),"")</f>
        <v>1.1325374960000001</v>
      </c>
      <c r="L531">
        <f ca="1">IFERROR(IF(0=LEN(ReferenceData!$L$531),"",ReferenceData!$L$531),"")</f>
        <v>1.253812267</v>
      </c>
      <c r="M531">
        <f ca="1">IFERROR(IF(0=LEN(ReferenceData!$M$531),"",ReferenceData!$M$531),"")</f>
        <v>1.3883677299999999</v>
      </c>
      <c r="N531">
        <f ca="1">IFERROR(IF(0=LEN(ReferenceData!$N$531),"",ReferenceData!$N$531),"")</f>
        <v>0.95196884500000001</v>
      </c>
      <c r="O531">
        <f ca="1">IFERROR(IF(0=LEN(ReferenceData!$O$531),"",ReferenceData!$O$531),"")</f>
        <v>1.069518717</v>
      </c>
      <c r="P531">
        <f ca="1">IFERROR(IF(0=LEN(ReferenceData!$P$531),"",ReferenceData!$P$531),"")</f>
        <v>1.30952381</v>
      </c>
      <c r="Q531">
        <f ca="1">IFERROR(IF(0=LEN(ReferenceData!$Q$531),"",ReferenceData!$Q$531),"")</f>
        <v>1.597966225</v>
      </c>
      <c r="R531">
        <f ca="1">IFERROR(IF(0=LEN(ReferenceData!$R$531),"",ReferenceData!$R$531),"")</f>
        <v>1.062769844</v>
      </c>
      <c r="S531">
        <f ca="1">IFERROR(IF(0=LEN(ReferenceData!$S$531),"",ReferenceData!$S$531),"")</f>
        <v>0.86416419099999997</v>
      </c>
      <c r="T531">
        <f ca="1">IFERROR(IF(0=LEN(ReferenceData!$T$531),"",ReferenceData!$T$531),"")</f>
        <v>0.87383943200000003</v>
      </c>
      <c r="U531">
        <f ca="1">IFERROR(IF(0=LEN(ReferenceData!$U$531),"",ReferenceData!$U$531),"")</f>
        <v>0.77388149900000003</v>
      </c>
      <c r="V531">
        <f ca="1">IFERROR(IF(0=LEN(ReferenceData!$V$531),"",ReferenceData!$V$531),"")</f>
        <v>0.74740484399999996</v>
      </c>
      <c r="W531">
        <f ca="1">IFERROR(IF(0=LEN(ReferenceData!$W$531),"",ReferenceData!$W$531),"")</f>
        <v>0.74175824199999996</v>
      </c>
      <c r="X531">
        <f ca="1">IFERROR(IF(0=LEN(ReferenceData!$X$531),"",ReferenceData!$X$531),"")</f>
        <v>0.74267638599999997</v>
      </c>
      <c r="Y531">
        <f ca="1">IFERROR(IF(0=LEN(ReferenceData!$Y$531),"",ReferenceData!$Y$531),"")</f>
        <v>0.85092972</v>
      </c>
      <c r="Z531">
        <f ca="1">IFERROR(IF(0=LEN(ReferenceData!$Z$531),"",ReferenceData!$Z$531),"")</f>
        <v>0.89086859699999998</v>
      </c>
      <c r="AA531">
        <f ca="1">IFERROR(IF(0=LEN(ReferenceData!$AA$531),"",ReferenceData!$AA$531),"")</f>
        <v>0.84865629399999998</v>
      </c>
      <c r="AB531">
        <f ca="1">IFERROR(IF(0=LEN(ReferenceData!$AB$531),"",ReferenceData!$AB$531),"")</f>
        <v>1.0204081629999999</v>
      </c>
      <c r="AC531">
        <f ca="1">IFERROR(IF(0=LEN(ReferenceData!$AC$531),"",ReferenceData!$AC$531),"")</f>
        <v>1.0494097069999999</v>
      </c>
      <c r="AD531">
        <f ca="1">IFERROR(IF(0=LEN(ReferenceData!$AD$531),"",ReferenceData!$AD$531),"")</f>
        <v>0.85267645700000005</v>
      </c>
      <c r="AE531">
        <f ca="1">IFERROR(IF(0=LEN(ReferenceData!$AE$531),"",ReferenceData!$AE$531),"")</f>
        <v>0.80285459400000003</v>
      </c>
      <c r="AF531">
        <f ca="1">IFERROR(IF(0=LEN(ReferenceData!$AF$531),"",ReferenceData!$AF$531),"")</f>
        <v>1.1881188119999999</v>
      </c>
      <c r="AG531">
        <f ca="1">IFERROR(IF(0=LEN(ReferenceData!$AG$531),"",ReferenceData!$AG$531),"")</f>
        <v>1.110425663</v>
      </c>
      <c r="AH531">
        <f ca="1">IFERROR(IF(0=LEN(ReferenceData!$AH$531),"",ReferenceData!$AH$531),"")</f>
        <v>0.758725341</v>
      </c>
      <c r="AI531">
        <f ca="1">IFERROR(IF(0=LEN(ReferenceData!$AI$531),"",ReferenceData!$AI$531),"")</f>
        <v>0.94221105500000002</v>
      </c>
      <c r="AJ531">
        <f ca="1">IFERROR(IF(0=LEN(ReferenceData!$AJ$531),"",ReferenceData!$AJ$531),"")</f>
        <v>0.87108013900000003</v>
      </c>
      <c r="AK531">
        <f ca="1">IFERROR(IF(0=LEN(ReferenceData!$AK$531),"",ReferenceData!$AK$531),"")</f>
        <v>0.83102493099999997</v>
      </c>
      <c r="AL531">
        <f ca="1">IFERROR(IF(0=LEN(ReferenceData!$AL$531),"",ReferenceData!$AL$531),"")</f>
        <v>0.69930069900000003</v>
      </c>
      <c r="AM531">
        <f ca="1">IFERROR(IF(0=LEN(ReferenceData!$AM$531),"",ReferenceData!$AM$531),"")</f>
        <v>0.65</v>
      </c>
      <c r="AN531">
        <f ca="1">IFERROR(IF(0=LEN(ReferenceData!$AN$531),"",ReferenceData!$AN$531),"")</f>
        <v>0.74031890700000003</v>
      </c>
      <c r="AO531">
        <f ca="1">IFERROR(IF(0=LEN(ReferenceData!$AO$531),"",ReferenceData!$AO$531),"")</f>
        <v>0.73989755300000004</v>
      </c>
      <c r="AP531">
        <f ca="1">IFERROR(IF(0=LEN(ReferenceData!$AP$531),"",ReferenceData!$AP$531),"")</f>
        <v>0.58167716899999999</v>
      </c>
      <c r="AQ531">
        <f ca="1">IFERROR(IF(0=LEN(ReferenceData!$AQ$531),"",ReferenceData!$AQ$531),"")</f>
        <v>0.52631578999999995</v>
      </c>
      <c r="AR531">
        <f ca="1">IFERROR(IF(0=LEN(ReferenceData!$AR$531),"",ReferenceData!$AR$531),"")</f>
        <v>0.57279236300000003</v>
      </c>
      <c r="AS531">
        <f ca="1">IFERROR(IF(0=LEN(ReferenceData!$AS$531),"",ReferenceData!$AS$531),"")</f>
        <v>0.55299539200000003</v>
      </c>
      <c r="AT531">
        <f ca="1">IFERROR(IF(0=LEN(ReferenceData!$AT$531),"",ReferenceData!$AT$531),"")</f>
        <v>0.982197667</v>
      </c>
      <c r="AU531">
        <f ca="1">IFERROR(IF(0=LEN(ReferenceData!$AU$531),"",ReferenceData!$AU$531),"")</f>
        <v>1.3029315960000001</v>
      </c>
      <c r="AV531">
        <f ca="1">IFERROR(IF(0=LEN(ReferenceData!$AV$531),"",ReferenceData!$AV$531),"")</f>
        <v>0.83420229400000001</v>
      </c>
      <c r="AW531">
        <f ca="1">IFERROR(IF(0=LEN(ReferenceData!$AW$531),"",ReferenceData!$AW$531),"")</f>
        <v>0.637450199</v>
      </c>
      <c r="AX531">
        <f ca="1">IFERROR(IF(0=LEN(ReferenceData!$AX$531),"",ReferenceData!$AX$531),"")</f>
        <v>0.63618290300000002</v>
      </c>
      <c r="AY531">
        <f ca="1">IFERROR(IF(0=LEN(ReferenceData!$AY$531),"",ReferenceData!$AY$531),"")</f>
        <v>0.47477744799999999</v>
      </c>
      <c r="AZ531">
        <f ca="1">IFERROR(IF(0=LEN(ReferenceData!$AZ$531),"",ReferenceData!$AZ$531),"")</f>
        <v>0.47058823500000002</v>
      </c>
      <c r="BA531">
        <f ca="1">IFERROR(IF(0=LEN(ReferenceData!$BA$531),"",ReferenceData!$BA$531),"")</f>
        <v>0.45714285700000001</v>
      </c>
      <c r="BB531">
        <f ca="1">IFERROR(IF(0=LEN(ReferenceData!$BB$531),"",ReferenceData!$BB$531),"")</f>
        <v>0.45751634000000002</v>
      </c>
      <c r="BC531">
        <f ca="1">IFERROR(IF(0=LEN(ReferenceData!$BC$531),"",ReferenceData!$BC$531),"")</f>
        <v>0.41666666699999999</v>
      </c>
      <c r="BD531">
        <f ca="1">IFERROR(IF(0=LEN(ReferenceData!$BD$531),"",ReferenceData!$BD$531),"")</f>
        <v>0.46666666699999998</v>
      </c>
      <c r="BE531">
        <f ca="1">IFERROR(IF(0=LEN(ReferenceData!$BE$531),"",ReferenceData!$BE$531),"")</f>
        <v>0.56565656600000003</v>
      </c>
      <c r="BF531">
        <f ca="1">IFERROR(IF(0=LEN(ReferenceData!$BF$531),"",ReferenceData!$BF$531),"")</f>
        <v>0.369685767</v>
      </c>
      <c r="BG531">
        <f ca="1">IFERROR(IF(0=LEN(ReferenceData!$BG$531),"",ReferenceData!$BG$531),"")</f>
        <v>0.45766590400000001</v>
      </c>
      <c r="BH531">
        <f ca="1">IFERROR(IF(0=LEN(ReferenceData!$BH$531),"",ReferenceData!$BH$531),"")</f>
        <v>0.47619047599999997</v>
      </c>
      <c r="BI531">
        <f ca="1">IFERROR(IF(0=LEN(ReferenceData!$BI$531),"",ReferenceData!$BI$531),"")</f>
        <v>0.57372346500000004</v>
      </c>
      <c r="BJ531">
        <f ca="1">IFERROR(IF(0=LEN(ReferenceData!$BJ$531),"",ReferenceData!$BJ$531),"")</f>
        <v>0.41710114700000001</v>
      </c>
      <c r="BK531">
        <f ca="1">IFERROR(IF(0=LEN(ReferenceData!$BK$531),"",ReferenceData!$BK$531),"")</f>
        <v>0.42735042699999998</v>
      </c>
      <c r="BL531">
        <f ca="1">IFERROR(IF(0=LEN(ReferenceData!$BL$531),"",ReferenceData!$BL$531),"")</f>
        <v>0.44370493599999999</v>
      </c>
      <c r="BM531">
        <f ca="1">IFERROR(IF(0=LEN(ReferenceData!$BM$531),"",ReferenceData!$BM$531),"")</f>
        <v>0.416233091</v>
      </c>
    </row>
    <row r="532" spans="1:65" x14ac:dyDescent="0.25">
      <c r="A532" t="str">
        <f>IFERROR(IF(0=LEN(ReferenceData!$A$532),"",ReferenceData!$A$532),"")</f>
        <v xml:space="preserve">    Tata Motors Ltd</v>
      </c>
      <c r="B532" t="str">
        <f>IFERROR(IF(0=LEN(ReferenceData!$B$532),"",ReferenceData!$B$532),"")</f>
        <v>TTMT IN Equity</v>
      </c>
      <c r="C532" t="str">
        <f>IFERROR(IF(0=LEN(ReferenceData!$C$532),"",ReferenceData!$C$532),"")</f>
        <v>DV013</v>
      </c>
      <c r="D532" t="str">
        <f>IFERROR(IF(0=LEN(ReferenceData!$D$532),"",ReferenceData!$D$532),"")</f>
        <v>EQY_DVD_YLD_IND</v>
      </c>
      <c r="E532" t="str">
        <f>IFERROR(IF(0=LEN(ReferenceData!$E$532),"",ReferenceData!$E$532),"")</f>
        <v>Dynamic</v>
      </c>
      <c r="F532" t="str">
        <f ca="1">IFERROR(IF(0=LEN(ReferenceData!$F$532),"",ReferenceData!$F$532),"")</f>
        <v/>
      </c>
      <c r="G532" t="str">
        <f ca="1">IFERROR(IF(0=LEN(ReferenceData!$G$532),"",ReferenceData!$G$532),"")</f>
        <v/>
      </c>
      <c r="H532" t="str">
        <f ca="1">IFERROR(IF(0=LEN(ReferenceData!$H$532),"",ReferenceData!$H$532),"")</f>
        <v/>
      </c>
      <c r="I532" t="str">
        <f ca="1">IFERROR(IF(0=LEN(ReferenceData!$I$532),"",ReferenceData!$I$532),"")</f>
        <v/>
      </c>
      <c r="J532" t="str">
        <f ca="1">IFERROR(IF(0=LEN(ReferenceData!$J$532),"",ReferenceData!$J$532),"")</f>
        <v/>
      </c>
      <c r="K532" t="str">
        <f ca="1">IFERROR(IF(0=LEN(ReferenceData!$K$532),"",ReferenceData!$K$532),"")</f>
        <v/>
      </c>
      <c r="L532" t="str">
        <f ca="1">IFERROR(IF(0=LEN(ReferenceData!$L$532),"",ReferenceData!$L$532),"")</f>
        <v/>
      </c>
      <c r="M532">
        <f ca="1">IFERROR(IF(0=LEN(ReferenceData!$M$532),"",ReferenceData!$M$532),"")</f>
        <v>4.4479039999999997E-2</v>
      </c>
      <c r="N532">
        <f ca="1">IFERROR(IF(0=LEN(ReferenceData!$N$532),"",ReferenceData!$N$532),"")</f>
        <v>4.2932274999999999E-2</v>
      </c>
      <c r="O532">
        <f ca="1">IFERROR(IF(0=LEN(ReferenceData!$O$532),"",ReferenceData!$O$532),"")</f>
        <v>4.2372882000000001E-2</v>
      </c>
      <c r="P532">
        <f ca="1">IFERROR(IF(0=LEN(ReferenceData!$P$532),"",ReferenceData!$P$532),"")</f>
        <v>3.7393662000000001E-2</v>
      </c>
      <c r="Q532">
        <f ca="1">IFERROR(IF(0=LEN(ReferenceData!$Q$532),"",ReferenceData!$Q$532),"")</f>
        <v>4.3549266000000003E-2</v>
      </c>
      <c r="R532" t="str">
        <f ca="1">IFERROR(IF(0=LEN(ReferenceData!$R$532),"",ReferenceData!$R$532),"")</f>
        <v/>
      </c>
      <c r="S532" t="str">
        <f ca="1">IFERROR(IF(0=LEN(ReferenceData!$S$532),"",ReferenceData!$S$532),"")</f>
        <v/>
      </c>
      <c r="T532" t="str">
        <f ca="1">IFERROR(IF(0=LEN(ReferenceData!$T$532),"",ReferenceData!$T$532),"")</f>
        <v/>
      </c>
      <c r="U532">
        <f ca="1">IFERROR(IF(0=LEN(ReferenceData!$U$532),"",ReferenceData!$U$532),"")</f>
        <v>0.45384770099999999</v>
      </c>
      <c r="V532">
        <f ca="1">IFERROR(IF(0=LEN(ReferenceData!$V$532),"",ReferenceData!$V$532),"")</f>
        <v>0.36350417600000001</v>
      </c>
      <c r="W532">
        <f ca="1">IFERROR(IF(0=LEN(ReferenceData!$W$532),"",ReferenceData!$W$532),"")</f>
        <v>0.40359196400000003</v>
      </c>
      <c r="X532">
        <f ca="1">IFERROR(IF(0=LEN(ReferenceData!$X$532),"",ReferenceData!$X$532),"")</f>
        <v>0.39828735999999998</v>
      </c>
      <c r="Y532">
        <f ca="1">IFERROR(IF(0=LEN(ReferenceData!$Y$532),"",ReferenceData!$Y$532),"")</f>
        <v>0.46371434700000003</v>
      </c>
      <c r="Z532">
        <f ca="1">IFERROR(IF(0=LEN(ReferenceData!$Z$532),"",ReferenceData!$Z$532),"")</f>
        <v>0.50169320900000003</v>
      </c>
      <c r="AA532">
        <f ca="1">IFERROR(IF(0=LEN(ReferenceData!$AA$532),"",ReferenceData!$AA$532),"")</f>
        <v>0.53134962200000002</v>
      </c>
      <c r="AB532">
        <f ca="1">IFERROR(IF(0=LEN(ReferenceData!$AB$532),"",ReferenceData!$AB$532),"")</f>
        <v>0.60150375300000003</v>
      </c>
      <c r="AC532">
        <f ca="1">IFERROR(IF(0=LEN(ReferenceData!$AC$532),"",ReferenceData!$AC$532),"")</f>
        <v>0.71098470599999997</v>
      </c>
      <c r="AD532">
        <f ca="1">IFERROR(IF(0=LEN(ReferenceData!$AD$532),"",ReferenceData!$AD$532),"")</f>
        <v>1.4861601170000001</v>
      </c>
      <c r="AE532">
        <f ca="1">IFERROR(IF(0=LEN(ReferenceData!$AE$532),"",ReferenceData!$AE$532),"")</f>
        <v>1.2793858810000001</v>
      </c>
      <c r="AF532">
        <f ca="1">IFERROR(IF(0=LEN(ReferenceData!$AF$532),"",ReferenceData!$AF$532),"")</f>
        <v>1.495047638</v>
      </c>
      <c r="AG532">
        <f ca="1">IFERROR(IF(0=LEN(ReferenceData!$AG$532),"",ReferenceData!$AG$532),"")</f>
        <v>1.649824688</v>
      </c>
      <c r="AH532">
        <f ca="1">IFERROR(IF(0=LEN(ReferenceData!$AH$532),"",ReferenceData!$AH$532),"")</f>
        <v>1.4532243250000001</v>
      </c>
      <c r="AI532">
        <f ca="1">IFERROR(IF(0=LEN(ReferenceData!$AI$532),"",ReferenceData!$AI$532),"")</f>
        <v>2.2383883359999999</v>
      </c>
      <c r="AJ532">
        <f ca="1">IFERROR(IF(0=LEN(ReferenceData!$AJ$532),"",ReferenceData!$AJ$532),"")</f>
        <v>2.5632809710000002</v>
      </c>
      <c r="AK532">
        <f ca="1">IFERROR(IF(0=LEN(ReferenceData!$AK$532),"",ReferenceData!$AK$532),"")</f>
        <v>2.0116676500000001</v>
      </c>
      <c r="AL532">
        <f ca="1">IFERROR(IF(0=LEN(ReferenceData!$AL$532),"",ReferenceData!$AL$532),"")</f>
        <v>1.20158608</v>
      </c>
      <c r="AM532">
        <f ca="1">IFERROR(IF(0=LEN(ReferenceData!$AM$532),"",ReferenceData!$AM$532),"")</f>
        <v>1.146482198</v>
      </c>
      <c r="AN532">
        <f ca="1">IFERROR(IF(0=LEN(ReferenceData!$AN$532),"",ReferenceData!$AN$532),"")</f>
        <v>1.365995796</v>
      </c>
      <c r="AO532">
        <f ca="1">IFERROR(IF(0=LEN(ReferenceData!$AO$532),"",ReferenceData!$AO$532),"")</f>
        <v>1.926782252</v>
      </c>
      <c r="AP532">
        <f ca="1">IFERROR(IF(0=LEN(ReferenceData!$AP$532),"",ReferenceData!$AP$532),"")</f>
        <v>0.79187015599999999</v>
      </c>
      <c r="AQ532">
        <f ca="1">IFERROR(IF(0=LEN(ReferenceData!$AQ$532),"",ReferenceData!$AQ$532),"")</f>
        <v>0.75800646500000002</v>
      </c>
      <c r="AR532">
        <f ca="1">IFERROR(IF(0=LEN(ReferenceData!$AR$532),"",ReferenceData!$AR$532),"")</f>
        <v>1.014970849</v>
      </c>
      <c r="AS532">
        <f ca="1">IFERROR(IF(0=LEN(ReferenceData!$AS$532),"",ReferenceData!$AS$532),"")</f>
        <v>2.0636286070000001</v>
      </c>
      <c r="AT532">
        <f ca="1">IFERROR(IF(0=LEN(ReferenceData!$AT$532),"",ReferenceData!$AT$532),"")</f>
        <v>8.0568245399999991</v>
      </c>
      <c r="AU532">
        <f ca="1">IFERROR(IF(0=LEN(ReferenceData!$AU$532),"",ReferenceData!$AU$532),"")</f>
        <v>9.0875537360000003</v>
      </c>
      <c r="AV532">
        <f ca="1">IFERROR(IF(0=LEN(ReferenceData!$AV$532),"",ReferenceData!$AV$532),"")</f>
        <v>4.2240345000000001</v>
      </c>
      <c r="AW532">
        <f ca="1">IFERROR(IF(0=LEN(ReferenceData!$AW$532),"",ReferenceData!$AW$532),"")</f>
        <v>3.520713567</v>
      </c>
      <c r="AX532">
        <f ca="1">IFERROR(IF(0=LEN(ReferenceData!$AX$532),"",ReferenceData!$AX$532),"")</f>
        <v>2.4088646460000001</v>
      </c>
      <c r="AY532">
        <f ca="1">IFERROR(IF(0=LEN(ReferenceData!$AY$532),"",ReferenceData!$AY$532),"")</f>
        <v>2.0218358470000002</v>
      </c>
      <c r="AZ532">
        <f ca="1">IFERROR(IF(0=LEN(ReferenceData!$AZ$532),"",ReferenceData!$AZ$532),"")</f>
        <v>1.930750438</v>
      </c>
      <c r="BA532">
        <f ca="1">IFERROR(IF(0=LEN(ReferenceData!$BA$532),"",ReferenceData!$BA$532),"")</f>
        <v>2.2381378920000001</v>
      </c>
      <c r="BB532">
        <f ca="1">IFERROR(IF(0=LEN(ReferenceData!$BB$532),"",ReferenceData!$BB$532),"")</f>
        <v>1.785223778</v>
      </c>
      <c r="BC532">
        <f ca="1">IFERROR(IF(0=LEN(ReferenceData!$BC$532),"",ReferenceData!$BC$532),"")</f>
        <v>1.443482073</v>
      </c>
      <c r="BD532">
        <f ca="1">IFERROR(IF(0=LEN(ReferenceData!$BD$532),"",ReferenceData!$BD$532),"")</f>
        <v>1.5086456479999999</v>
      </c>
      <c r="BE532">
        <f ca="1">IFERROR(IF(0=LEN(ReferenceData!$BE$532),"",ReferenceData!$BE$532),"")</f>
        <v>1.6355286600000001</v>
      </c>
      <c r="BF532">
        <f ca="1">IFERROR(IF(0=LEN(ReferenceData!$BF$532),"",ReferenceData!$BF$532),"")</f>
        <v>1.073134077</v>
      </c>
      <c r="BG532">
        <f ca="1">IFERROR(IF(0=LEN(ReferenceData!$BG$532),"",ReferenceData!$BG$532),"")</f>
        <v>1.5304560599999999</v>
      </c>
      <c r="BH532">
        <f ca="1">IFERROR(IF(0=LEN(ReferenceData!$BH$532),"",ReferenceData!$BH$532),"")</f>
        <v>1.871782853</v>
      </c>
      <c r="BI532">
        <f ca="1">IFERROR(IF(0=LEN(ReferenceData!$BI$532),"",ReferenceData!$BI$532),"")</f>
        <v>2.350452437</v>
      </c>
      <c r="BJ532">
        <f ca="1">IFERROR(IF(0=LEN(ReferenceData!$BJ$532),"",ReferenceData!$BJ$532),"")</f>
        <v>1.933768411</v>
      </c>
      <c r="BK532">
        <f ca="1">IFERROR(IF(0=LEN(ReferenceData!$BK$532),"",ReferenceData!$BK$532),"")</f>
        <v>1.583687997</v>
      </c>
      <c r="BL532">
        <f ca="1">IFERROR(IF(0=LEN(ReferenceData!$BL$532),"",ReferenceData!$BL$532),"")</f>
        <v>1.9833890949999999</v>
      </c>
      <c r="BM532">
        <f ca="1">IFERROR(IF(0=LEN(ReferenceData!$BM$532),"",ReferenceData!$BM$532),"")</f>
        <v>2.1041556849999998</v>
      </c>
    </row>
    <row r="533" spans="1:65" x14ac:dyDescent="0.25">
      <c r="A533" t="str">
        <f>IFERROR(IF(0=LEN(ReferenceData!$A$533),"",ReferenceData!$A$533),"")</f>
        <v xml:space="preserve">    Tesla Inc</v>
      </c>
      <c r="B533" t="str">
        <f>IFERROR(IF(0=LEN(ReferenceData!$B$533),"",ReferenceData!$B$533),"")</f>
        <v>TSLA US Equity</v>
      </c>
      <c r="C533" t="str">
        <f>IFERROR(IF(0=LEN(ReferenceData!$C$533),"",ReferenceData!$C$533),"")</f>
        <v>DV013</v>
      </c>
      <c r="D533" t="str">
        <f>IFERROR(IF(0=LEN(ReferenceData!$D$533),"",ReferenceData!$D$533),"")</f>
        <v>EQY_DVD_YLD_IND</v>
      </c>
      <c r="E533" t="str">
        <f>IFERROR(IF(0=LEN(ReferenceData!$E$533),"",ReferenceData!$E$533),"")</f>
        <v>Dynamic</v>
      </c>
      <c r="F533" t="str">
        <f ca="1">IFERROR(IF(0=LEN(ReferenceData!$F$533),"",ReferenceData!$F$533),"")</f>
        <v/>
      </c>
      <c r="G533" t="str">
        <f ca="1">IFERROR(IF(0=LEN(ReferenceData!$G$533),"",ReferenceData!$G$533),"")</f>
        <v/>
      </c>
      <c r="H533" t="str">
        <f ca="1">IFERROR(IF(0=LEN(ReferenceData!$H$533),"",ReferenceData!$H$533),"")</f>
        <v/>
      </c>
      <c r="I533" t="str">
        <f ca="1">IFERROR(IF(0=LEN(ReferenceData!$I$533),"",ReferenceData!$I$533),"")</f>
        <v/>
      </c>
      <c r="J533" t="str">
        <f ca="1">IFERROR(IF(0=LEN(ReferenceData!$J$533),"",ReferenceData!$J$533),"")</f>
        <v/>
      </c>
      <c r="K533" t="str">
        <f ca="1">IFERROR(IF(0=LEN(ReferenceData!$K$533),"",ReferenceData!$K$533),"")</f>
        <v/>
      </c>
      <c r="L533" t="str">
        <f ca="1">IFERROR(IF(0=LEN(ReferenceData!$L$533),"",ReferenceData!$L$533),"")</f>
        <v/>
      </c>
      <c r="M533" t="str">
        <f ca="1">IFERROR(IF(0=LEN(ReferenceData!$M$533),"",ReferenceData!$M$533),"")</f>
        <v/>
      </c>
      <c r="N533" t="str">
        <f ca="1">IFERROR(IF(0=LEN(ReferenceData!$N$533),"",ReferenceData!$N$533),"")</f>
        <v/>
      </c>
      <c r="O533" t="str">
        <f ca="1">IFERROR(IF(0=LEN(ReferenceData!$O$533),"",ReferenceData!$O$533),"")</f>
        <v/>
      </c>
      <c r="P533" t="str">
        <f ca="1">IFERROR(IF(0=LEN(ReferenceData!$P$533),"",ReferenceData!$P$533),"")</f>
        <v/>
      </c>
      <c r="Q533" t="str">
        <f ca="1">IFERROR(IF(0=LEN(ReferenceData!$Q$533),"",ReferenceData!$Q$533),"")</f>
        <v/>
      </c>
      <c r="R533" t="str">
        <f ca="1">IFERROR(IF(0=LEN(ReferenceData!$R$533),"",ReferenceData!$R$533),"")</f>
        <v/>
      </c>
      <c r="S533" t="str">
        <f ca="1">IFERROR(IF(0=LEN(ReferenceData!$S$533),"",ReferenceData!$S$533),"")</f>
        <v/>
      </c>
      <c r="T533" t="str">
        <f ca="1">IFERROR(IF(0=LEN(ReferenceData!$T$533),"",ReferenceData!$T$533),"")</f>
        <v/>
      </c>
      <c r="U533" t="str">
        <f ca="1">IFERROR(IF(0=LEN(ReferenceData!$U$533),"",ReferenceData!$U$533),"")</f>
        <v/>
      </c>
      <c r="V533" t="str">
        <f ca="1">IFERROR(IF(0=LEN(ReferenceData!$V$533),"",ReferenceData!$V$533),"")</f>
        <v/>
      </c>
      <c r="W533" t="str">
        <f ca="1">IFERROR(IF(0=LEN(ReferenceData!$W$533),"",ReferenceData!$W$533),"")</f>
        <v/>
      </c>
      <c r="X533" t="str">
        <f ca="1">IFERROR(IF(0=LEN(ReferenceData!$X$533),"",ReferenceData!$X$533),"")</f>
        <v/>
      </c>
      <c r="Y533" t="str">
        <f ca="1">IFERROR(IF(0=LEN(ReferenceData!$Y$533),"",ReferenceData!$Y$533),"")</f>
        <v/>
      </c>
      <c r="Z533" t="str">
        <f ca="1">IFERROR(IF(0=LEN(ReferenceData!$Z$533),"",ReferenceData!$Z$533),"")</f>
        <v/>
      </c>
      <c r="AA533" t="str">
        <f ca="1">IFERROR(IF(0=LEN(ReferenceData!$AA$533),"",ReferenceData!$AA$533),"")</f>
        <v/>
      </c>
      <c r="AB533" t="str">
        <f ca="1">IFERROR(IF(0=LEN(ReferenceData!$AB$533),"",ReferenceData!$AB$533),"")</f>
        <v/>
      </c>
      <c r="AC533" t="str">
        <f ca="1">IFERROR(IF(0=LEN(ReferenceData!$AC$533),"",ReferenceData!$AC$533),"")</f>
        <v/>
      </c>
      <c r="AD533" t="str">
        <f ca="1">IFERROR(IF(0=LEN(ReferenceData!$AD$533),"",ReferenceData!$AD$533),"")</f>
        <v/>
      </c>
      <c r="AE533" t="str">
        <f ca="1">IFERROR(IF(0=LEN(ReferenceData!$AE$533),"",ReferenceData!$AE$533),"")</f>
        <v/>
      </c>
      <c r="AF533" t="str">
        <f ca="1">IFERROR(IF(0=LEN(ReferenceData!$AF$533),"",ReferenceData!$AF$533),"")</f>
        <v/>
      </c>
      <c r="AG533" t="str">
        <f ca="1">IFERROR(IF(0=LEN(ReferenceData!$AG$533),"",ReferenceData!$AG$533),"")</f>
        <v/>
      </c>
      <c r="AH533" t="str">
        <f ca="1">IFERROR(IF(0=LEN(ReferenceData!$AH$533),"",ReferenceData!$AH$533),"")</f>
        <v/>
      </c>
      <c r="AI533" t="str">
        <f ca="1">IFERROR(IF(0=LEN(ReferenceData!$AI$533),"",ReferenceData!$AI$533),"")</f>
        <v/>
      </c>
      <c r="AJ533" t="str">
        <f ca="1">IFERROR(IF(0=LEN(ReferenceData!$AJ$533),"",ReferenceData!$AJ$533),"")</f>
        <v/>
      </c>
      <c r="AK533" t="str">
        <f ca="1">IFERROR(IF(0=LEN(ReferenceData!$AK$533),"",ReferenceData!$AK$533),"")</f>
        <v/>
      </c>
      <c r="AL533" t="str">
        <f ca="1">IFERROR(IF(0=LEN(ReferenceData!$AL$533),"",ReferenceData!$AL$533),"")</f>
        <v/>
      </c>
      <c r="AM533" t="str">
        <f ca="1">IFERROR(IF(0=LEN(ReferenceData!$AM$533),"",ReferenceData!$AM$533),"")</f>
        <v/>
      </c>
      <c r="AN533" t="str">
        <f ca="1">IFERROR(IF(0=LEN(ReferenceData!$AN$533),"",ReferenceData!$AN$533),"")</f>
        <v/>
      </c>
      <c r="AO533" t="str">
        <f ca="1">IFERROR(IF(0=LEN(ReferenceData!$AO$533),"",ReferenceData!$AO$533),"")</f>
        <v/>
      </c>
      <c r="AP533" t="str">
        <f ca="1">IFERROR(IF(0=LEN(ReferenceData!$AP$533),"",ReferenceData!$AP$533),"")</f>
        <v/>
      </c>
      <c r="AQ533" t="str">
        <f ca="1">IFERROR(IF(0=LEN(ReferenceData!$AQ$533),"",ReferenceData!$AQ$533),"")</f>
        <v/>
      </c>
      <c r="AR533" t="str">
        <f ca="1">IFERROR(IF(0=LEN(ReferenceData!$AR$533),"",ReferenceData!$AR$533),"")</f>
        <v/>
      </c>
      <c r="AS533" t="str">
        <f ca="1">IFERROR(IF(0=LEN(ReferenceData!$AS$533),"",ReferenceData!$AS$533),"")</f>
        <v/>
      </c>
      <c r="AT533" t="str">
        <f ca="1">IFERROR(IF(0=LEN(ReferenceData!$AT$533),"",ReferenceData!$AT$533),"")</f>
        <v/>
      </c>
      <c r="AU533" t="str">
        <f ca="1">IFERROR(IF(0=LEN(ReferenceData!$AU$533),"",ReferenceData!$AU$533),"")</f>
        <v/>
      </c>
      <c r="AV533" t="str">
        <f ca="1">IFERROR(IF(0=LEN(ReferenceData!$AV$533),"",ReferenceData!$AV$533),"")</f>
        <v/>
      </c>
      <c r="AW533" t="str">
        <f ca="1">IFERROR(IF(0=LEN(ReferenceData!$AW$533),"",ReferenceData!$AW$533),"")</f>
        <v/>
      </c>
      <c r="AX533" t="str">
        <f ca="1">IFERROR(IF(0=LEN(ReferenceData!$AX$533),"",ReferenceData!$AX$533),"")</f>
        <v/>
      </c>
      <c r="AY533" t="str">
        <f ca="1">IFERROR(IF(0=LEN(ReferenceData!$AY$533),"",ReferenceData!$AY$533),"")</f>
        <v/>
      </c>
      <c r="AZ533" t="str">
        <f ca="1">IFERROR(IF(0=LEN(ReferenceData!$AZ$533),"",ReferenceData!$AZ$533),"")</f>
        <v/>
      </c>
      <c r="BA533" t="str">
        <f ca="1">IFERROR(IF(0=LEN(ReferenceData!$BA$533),"",ReferenceData!$BA$533),"")</f>
        <v/>
      </c>
      <c r="BB533" t="str">
        <f ca="1">IFERROR(IF(0=LEN(ReferenceData!$BB$533),"",ReferenceData!$BB$533),"")</f>
        <v/>
      </c>
      <c r="BC533" t="str">
        <f ca="1">IFERROR(IF(0=LEN(ReferenceData!$BC$533),"",ReferenceData!$BC$533),"")</f>
        <v/>
      </c>
      <c r="BD533" t="str">
        <f ca="1">IFERROR(IF(0=LEN(ReferenceData!$BD$533),"",ReferenceData!$BD$533),"")</f>
        <v/>
      </c>
      <c r="BE533" t="str">
        <f ca="1">IFERROR(IF(0=LEN(ReferenceData!$BE$533),"",ReferenceData!$BE$533),"")</f>
        <v/>
      </c>
      <c r="BF533" t="str">
        <f ca="1">IFERROR(IF(0=LEN(ReferenceData!$BF$533),"",ReferenceData!$BF$533),"")</f>
        <v/>
      </c>
      <c r="BG533" t="str">
        <f ca="1">IFERROR(IF(0=LEN(ReferenceData!$BG$533),"",ReferenceData!$BG$533),"")</f>
        <v/>
      </c>
      <c r="BH533" t="str">
        <f ca="1">IFERROR(IF(0=LEN(ReferenceData!$BH$533),"",ReferenceData!$BH$533),"")</f>
        <v/>
      </c>
      <c r="BI533" t="str">
        <f ca="1">IFERROR(IF(0=LEN(ReferenceData!$BI$533),"",ReferenceData!$BI$533),"")</f>
        <v/>
      </c>
      <c r="BJ533" t="str">
        <f ca="1">IFERROR(IF(0=LEN(ReferenceData!$BJ$533),"",ReferenceData!$BJ$533),"")</f>
        <v/>
      </c>
      <c r="BK533" t="str">
        <f ca="1">IFERROR(IF(0=LEN(ReferenceData!$BK$533),"",ReferenceData!$BK$533),"")</f>
        <v/>
      </c>
      <c r="BL533" t="str">
        <f ca="1">IFERROR(IF(0=LEN(ReferenceData!$BL$533),"",ReferenceData!$BL$533),"")</f>
        <v/>
      </c>
      <c r="BM533" t="str">
        <f ca="1">IFERROR(IF(0=LEN(ReferenceData!$BM$533),"",ReferenceData!$BM$533),"")</f>
        <v/>
      </c>
    </row>
    <row r="534" spans="1:65" x14ac:dyDescent="0.25">
      <c r="A534" t="str">
        <f>IFERROR(IF(0=LEN(ReferenceData!$A$534),"",ReferenceData!$A$534),"")</f>
        <v xml:space="preserve">    Tianjin Faw Xiali Automobile Co Ltd</v>
      </c>
      <c r="B534" t="str">
        <f>IFERROR(IF(0=LEN(ReferenceData!$B$534),"",ReferenceData!$B$534),"")</f>
        <v>000927 CH Equity</v>
      </c>
      <c r="C534" t="str">
        <f>IFERROR(IF(0=LEN(ReferenceData!$C$534),"",ReferenceData!$C$534),"")</f>
        <v>DV013</v>
      </c>
      <c r="D534" t="str">
        <f>IFERROR(IF(0=LEN(ReferenceData!$D$534),"",ReferenceData!$D$534),"")</f>
        <v>EQY_DVD_YLD_IND</v>
      </c>
      <c r="E534" t="str">
        <f>IFERROR(IF(0=LEN(ReferenceData!$E$534),"",ReferenceData!$E$534),"")</f>
        <v>Dynamic</v>
      </c>
      <c r="F534" t="str">
        <f ca="1">IFERROR(IF(0=LEN(ReferenceData!$F$534),"",ReferenceData!$F$534),"")</f>
        <v/>
      </c>
      <c r="G534" t="str">
        <f ca="1">IFERROR(IF(0=LEN(ReferenceData!$G$534),"",ReferenceData!$G$534),"")</f>
        <v/>
      </c>
      <c r="H534" t="str">
        <f ca="1">IFERROR(IF(0=LEN(ReferenceData!$H$534),"",ReferenceData!$H$534),"")</f>
        <v/>
      </c>
      <c r="I534" t="str">
        <f ca="1">IFERROR(IF(0=LEN(ReferenceData!$I$534),"",ReferenceData!$I$534),"")</f>
        <v/>
      </c>
      <c r="J534" t="str">
        <f ca="1">IFERROR(IF(0=LEN(ReferenceData!$J$534),"",ReferenceData!$J$534),"")</f>
        <v/>
      </c>
      <c r="K534" t="str">
        <f ca="1">IFERROR(IF(0=LEN(ReferenceData!$K$534),"",ReferenceData!$K$534),"")</f>
        <v/>
      </c>
      <c r="L534" t="str">
        <f ca="1">IFERROR(IF(0=LEN(ReferenceData!$L$534),"",ReferenceData!$L$534),"")</f>
        <v/>
      </c>
      <c r="M534" t="str">
        <f ca="1">IFERROR(IF(0=LEN(ReferenceData!$M$534),"",ReferenceData!$M$534),"")</f>
        <v/>
      </c>
      <c r="N534" t="str">
        <f ca="1">IFERROR(IF(0=LEN(ReferenceData!$N$534),"",ReferenceData!$N$534),"")</f>
        <v/>
      </c>
      <c r="O534" t="str">
        <f ca="1">IFERROR(IF(0=LEN(ReferenceData!$O$534),"",ReferenceData!$O$534),"")</f>
        <v/>
      </c>
      <c r="P534" t="str">
        <f ca="1">IFERROR(IF(0=LEN(ReferenceData!$P$534),"",ReferenceData!$P$534),"")</f>
        <v/>
      </c>
      <c r="Q534" t="str">
        <f ca="1">IFERROR(IF(0=LEN(ReferenceData!$Q$534),"",ReferenceData!$Q$534),"")</f>
        <v/>
      </c>
      <c r="R534" t="str">
        <f ca="1">IFERROR(IF(0=LEN(ReferenceData!$R$534),"",ReferenceData!$R$534),"")</f>
        <v/>
      </c>
      <c r="S534" t="str">
        <f ca="1">IFERROR(IF(0=LEN(ReferenceData!$S$534),"",ReferenceData!$S$534),"")</f>
        <v/>
      </c>
      <c r="T534" t="str">
        <f ca="1">IFERROR(IF(0=LEN(ReferenceData!$T$534),"",ReferenceData!$T$534),"")</f>
        <v/>
      </c>
      <c r="U534" t="str">
        <f ca="1">IFERROR(IF(0=LEN(ReferenceData!$U$534),"",ReferenceData!$U$534),"")</f>
        <v/>
      </c>
      <c r="V534" t="str">
        <f ca="1">IFERROR(IF(0=LEN(ReferenceData!$V$534),"",ReferenceData!$V$534),"")</f>
        <v/>
      </c>
      <c r="W534" t="str">
        <f ca="1">IFERROR(IF(0=LEN(ReferenceData!$W$534),"",ReferenceData!$W$534),"")</f>
        <v/>
      </c>
      <c r="X534" t="str">
        <f ca="1">IFERROR(IF(0=LEN(ReferenceData!$X$534),"",ReferenceData!$X$534),"")</f>
        <v/>
      </c>
      <c r="Y534" t="str">
        <f ca="1">IFERROR(IF(0=LEN(ReferenceData!$Y$534),"",ReferenceData!$Y$534),"")</f>
        <v/>
      </c>
      <c r="Z534">
        <f ca="1">IFERROR(IF(0=LEN(ReferenceData!$Z$534),"",ReferenceData!$Z$534),"")</f>
        <v>0.26109660000000001</v>
      </c>
      <c r="AA534">
        <f ca="1">IFERROR(IF(0=LEN(ReferenceData!$AA$534),"",ReferenceData!$AA$534),"")</f>
        <v>0.27932960299999998</v>
      </c>
      <c r="AB534">
        <f ca="1">IFERROR(IF(0=LEN(ReferenceData!$AB$534),"",ReferenceData!$AB$534),"")</f>
        <v>0.26954177299999998</v>
      </c>
      <c r="AC534">
        <f ca="1">IFERROR(IF(0=LEN(ReferenceData!$AC$534),"",ReferenceData!$AC$534),"")</f>
        <v>0.27777777199999998</v>
      </c>
      <c r="AD534">
        <f ca="1">IFERROR(IF(0=LEN(ReferenceData!$AD$534),"",ReferenceData!$AD$534),"")</f>
        <v>0.45558085500000001</v>
      </c>
      <c r="AE534">
        <f ca="1">IFERROR(IF(0=LEN(ReferenceData!$AE$534),"",ReferenceData!$AE$534),"")</f>
        <v>0.40160641699999999</v>
      </c>
      <c r="AF534">
        <f ca="1">IFERROR(IF(0=LEN(ReferenceData!$AF$534),"",ReferenceData!$AF$534),"")</f>
        <v>0.41493774999999999</v>
      </c>
      <c r="AG534">
        <f ca="1">IFERROR(IF(0=LEN(ReferenceData!$AG$534),"",ReferenceData!$AG$534),"")</f>
        <v>0.27285129000000002</v>
      </c>
      <c r="AH534">
        <f ca="1">IFERROR(IF(0=LEN(ReferenceData!$AH$534),"",ReferenceData!$AH$534),"")</f>
        <v>0.45454544400000002</v>
      </c>
      <c r="AI534">
        <f ca="1">IFERROR(IF(0=LEN(ReferenceData!$AI$534),"",ReferenceData!$AI$534),"")</f>
        <v>0.49099835200000003</v>
      </c>
      <c r="AJ534">
        <f ca="1">IFERROR(IF(0=LEN(ReferenceData!$AJ$534),"",ReferenceData!$AJ$534),"")</f>
        <v>0.40871933700000002</v>
      </c>
      <c r="AK534">
        <f ca="1">IFERROR(IF(0=LEN(ReferenceData!$AK$534),"",ReferenceData!$AK$534),"")</f>
        <v>0.424929169</v>
      </c>
      <c r="AL534">
        <f ca="1">IFERROR(IF(0=LEN(ReferenceData!$AL$534),"",ReferenceData!$AL$534),"")</f>
        <v>0.88832487699999996</v>
      </c>
      <c r="AM534">
        <f ca="1">IFERROR(IF(0=LEN(ReferenceData!$AM$534),"",ReferenceData!$AM$534),"")</f>
        <v>0.85889570900000001</v>
      </c>
      <c r="AN534">
        <f ca="1">IFERROR(IF(0=LEN(ReferenceData!$AN$534),"",ReferenceData!$AN$534),"")</f>
        <v>0.87609512300000003</v>
      </c>
      <c r="AO534">
        <f ca="1">IFERROR(IF(0=LEN(ReferenceData!$AO$534),"",ReferenceData!$AO$534),"")</f>
        <v>0.90556274599999997</v>
      </c>
      <c r="AP534">
        <f ca="1">IFERROR(IF(0=LEN(ReferenceData!$AP$534),"",ReferenceData!$AP$534),"")</f>
        <v>0.51282052099999997</v>
      </c>
      <c r="AQ534">
        <f ca="1">IFERROR(IF(0=LEN(ReferenceData!$AQ$534),"",ReferenceData!$AQ$534),"")</f>
        <v>0.420168074</v>
      </c>
      <c r="AR534">
        <f ca="1">IFERROR(IF(0=LEN(ReferenceData!$AR$534),"",ReferenceData!$AR$534),"")</f>
        <v>0.73746313799999996</v>
      </c>
      <c r="AS534">
        <f ca="1">IFERROR(IF(0=LEN(ReferenceData!$AS$534),"",ReferenceData!$AS$534),"")</f>
        <v>0.71530759300000002</v>
      </c>
      <c r="AT534">
        <f ca="1">IFERROR(IF(0=LEN(ReferenceData!$AT$534),"",ReferenceData!$AT$534),"")</f>
        <v>1.002004023</v>
      </c>
      <c r="AU534">
        <f ca="1">IFERROR(IF(0=LEN(ReferenceData!$AU$534),"",ReferenceData!$AU$534),"")</f>
        <v>1.3123359779999999</v>
      </c>
      <c r="AV534">
        <f ca="1">IFERROR(IF(0=LEN(ReferenceData!$AV$534),"",ReferenceData!$AV$534),"")</f>
        <v>1.4044944029999999</v>
      </c>
      <c r="AW534">
        <f ca="1">IFERROR(IF(0=LEN(ReferenceData!$AW$534),"",ReferenceData!$AW$534),"")</f>
        <v>1.190476208</v>
      </c>
      <c r="AX534">
        <f ca="1">IFERROR(IF(0=LEN(ReferenceData!$AX$534),"",ReferenceData!$AX$534),"")</f>
        <v>0.75949365400000002</v>
      </c>
      <c r="AY534">
        <f ca="1">IFERROR(IF(0=LEN(ReferenceData!$AY$534),"",ReferenceData!$AY$534),"")</f>
        <v>0.41379309399999997</v>
      </c>
      <c r="AZ534">
        <f ca="1">IFERROR(IF(0=LEN(ReferenceData!$AZ$534),"",ReferenceData!$AZ$534),"")</f>
        <v>0.36363635599999999</v>
      </c>
      <c r="BA534">
        <f ca="1">IFERROR(IF(0=LEN(ReferenceData!$BA$534),"",ReferenceData!$BA$534),"")</f>
        <v>0.717703333</v>
      </c>
      <c r="BB534" t="str">
        <f ca="1">IFERROR(IF(0=LEN(ReferenceData!$BB$534),"",ReferenceData!$BB$534),"")</f>
        <v/>
      </c>
      <c r="BC534" t="str">
        <f ca="1">IFERROR(IF(0=LEN(ReferenceData!$BC$534),"",ReferenceData!$BC$534),"")</f>
        <v/>
      </c>
      <c r="BD534" t="str">
        <f ca="1">IFERROR(IF(0=LEN(ReferenceData!$BD$534),"",ReferenceData!$BD$534),"")</f>
        <v/>
      </c>
      <c r="BE534" t="str">
        <f ca="1">IFERROR(IF(0=LEN(ReferenceData!$BE$534),"",ReferenceData!$BE$534),"")</f>
        <v/>
      </c>
      <c r="BF534" t="str">
        <f ca="1">IFERROR(IF(0=LEN(ReferenceData!$BF$534),"",ReferenceData!$BF$534),"")</f>
        <v/>
      </c>
      <c r="BG534" t="str">
        <f ca="1">IFERROR(IF(0=LEN(ReferenceData!$BG$534),"",ReferenceData!$BG$534),"")</f>
        <v/>
      </c>
      <c r="BH534" t="str">
        <f ca="1">IFERROR(IF(0=LEN(ReferenceData!$BH$534),"",ReferenceData!$BH$534),"")</f>
        <v/>
      </c>
      <c r="BI534" t="str">
        <f ca="1">IFERROR(IF(0=LEN(ReferenceData!$BI$534),"",ReferenceData!$BI$534),"")</f>
        <v/>
      </c>
      <c r="BJ534" t="str">
        <f ca="1">IFERROR(IF(0=LEN(ReferenceData!$BJ$534),"",ReferenceData!$BJ$534),"")</f>
        <v/>
      </c>
      <c r="BK534" t="str">
        <f ca="1">IFERROR(IF(0=LEN(ReferenceData!$BK$534),"",ReferenceData!$BK$534),"")</f>
        <v/>
      </c>
      <c r="BL534" t="str">
        <f ca="1">IFERROR(IF(0=LEN(ReferenceData!$BL$534),"",ReferenceData!$BL$534),"")</f>
        <v/>
      </c>
      <c r="BM534" t="str">
        <f ca="1">IFERROR(IF(0=LEN(ReferenceData!$BM$534),"",ReferenceData!$BM$534),"")</f>
        <v/>
      </c>
    </row>
    <row r="535" spans="1:65" x14ac:dyDescent="0.25">
      <c r="A535" t="str">
        <f>IFERROR(IF(0=LEN(ReferenceData!$A$535),"",ReferenceData!$A$535),"")</f>
        <v xml:space="preserve">    Tofas Turk Otomobil Fabrikasi AS</v>
      </c>
      <c r="B535" t="str">
        <f>IFERROR(IF(0=LEN(ReferenceData!$B$535),"",ReferenceData!$B$535),"")</f>
        <v>TOASOTRY EO Equity</v>
      </c>
      <c r="C535" t="str">
        <f>IFERROR(IF(0=LEN(ReferenceData!$C$535),"",ReferenceData!$C$535),"")</f>
        <v>DV013</v>
      </c>
      <c r="D535" t="str">
        <f>IFERROR(IF(0=LEN(ReferenceData!$D$535),"",ReferenceData!$D$535),"")</f>
        <v>EQY_DVD_YLD_IND</v>
      </c>
      <c r="E535" t="str">
        <f>IFERROR(IF(0=LEN(ReferenceData!$E$535),"",ReferenceData!$E$535),"")</f>
        <v>Dynamic</v>
      </c>
      <c r="F535" t="str">
        <f ca="1">IFERROR(IF(0=LEN(ReferenceData!$F$535),"",ReferenceData!$F$535),"")</f>
        <v/>
      </c>
      <c r="G535" t="str">
        <f ca="1">IFERROR(IF(0=LEN(ReferenceData!$G$535),"",ReferenceData!$G$535),"")</f>
        <v/>
      </c>
      <c r="H535" t="str">
        <f ca="1">IFERROR(IF(0=LEN(ReferenceData!$H$535),"",ReferenceData!$H$535),"")</f>
        <v/>
      </c>
      <c r="I535" t="str">
        <f ca="1">IFERROR(IF(0=LEN(ReferenceData!$I$535),"",ReferenceData!$I$535),"")</f>
        <v/>
      </c>
      <c r="J535" t="str">
        <f ca="1">IFERROR(IF(0=LEN(ReferenceData!$J$535),"",ReferenceData!$J$535),"")</f>
        <v/>
      </c>
      <c r="K535" t="str">
        <f ca="1">IFERROR(IF(0=LEN(ReferenceData!$K$535),"",ReferenceData!$K$535),"")</f>
        <v/>
      </c>
      <c r="L535" t="str">
        <f ca="1">IFERROR(IF(0=LEN(ReferenceData!$L$535),"",ReferenceData!$L$535),"")</f>
        <v/>
      </c>
      <c r="M535" t="str">
        <f ca="1">IFERROR(IF(0=LEN(ReferenceData!$M$535),"",ReferenceData!$M$535),"")</f>
        <v/>
      </c>
      <c r="N535" t="str">
        <f ca="1">IFERROR(IF(0=LEN(ReferenceData!$N$535),"",ReferenceData!$N$535),"")</f>
        <v/>
      </c>
      <c r="O535" t="str">
        <f ca="1">IFERROR(IF(0=LEN(ReferenceData!$O$535),"",ReferenceData!$O$535),"")</f>
        <v/>
      </c>
      <c r="P535" t="str">
        <f ca="1">IFERROR(IF(0=LEN(ReferenceData!$P$535),"",ReferenceData!$P$535),"")</f>
        <v/>
      </c>
      <c r="Q535" t="str">
        <f ca="1">IFERROR(IF(0=LEN(ReferenceData!$Q$535),"",ReferenceData!$Q$535),"")</f>
        <v/>
      </c>
      <c r="R535" t="str">
        <f ca="1">IFERROR(IF(0=LEN(ReferenceData!$R$535),"",ReferenceData!$R$535),"")</f>
        <v/>
      </c>
      <c r="S535" t="str">
        <f ca="1">IFERROR(IF(0=LEN(ReferenceData!$S$535),"",ReferenceData!$S$535),"")</f>
        <v/>
      </c>
      <c r="T535" t="str">
        <f ca="1">IFERROR(IF(0=LEN(ReferenceData!$T$535),"",ReferenceData!$T$535),"")</f>
        <v/>
      </c>
      <c r="U535" t="str">
        <f ca="1">IFERROR(IF(0=LEN(ReferenceData!$U$535),"",ReferenceData!$U$535),"")</f>
        <v/>
      </c>
      <c r="V535" t="str">
        <f ca="1">IFERROR(IF(0=LEN(ReferenceData!$V$535),"",ReferenceData!$V$535),"")</f>
        <v/>
      </c>
      <c r="W535" t="str">
        <f ca="1">IFERROR(IF(0=LEN(ReferenceData!$W$535),"",ReferenceData!$W$535),"")</f>
        <v/>
      </c>
      <c r="X535" t="str">
        <f ca="1">IFERROR(IF(0=LEN(ReferenceData!$X$535),"",ReferenceData!$X$535),"")</f>
        <v/>
      </c>
      <c r="Y535" t="str">
        <f ca="1">IFERROR(IF(0=LEN(ReferenceData!$Y$535),"",ReferenceData!$Y$535),"")</f>
        <v/>
      </c>
      <c r="Z535" t="str">
        <f ca="1">IFERROR(IF(0=LEN(ReferenceData!$Z$535),"",ReferenceData!$Z$535),"")</f>
        <v/>
      </c>
      <c r="AA535" t="str">
        <f ca="1">IFERROR(IF(0=LEN(ReferenceData!$AA$535),"",ReferenceData!$AA$535),"")</f>
        <v/>
      </c>
      <c r="AB535" t="str">
        <f ca="1">IFERROR(IF(0=LEN(ReferenceData!$AB$535),"",ReferenceData!$AB$535),"")</f>
        <v/>
      </c>
      <c r="AC535" t="str">
        <f ca="1">IFERROR(IF(0=LEN(ReferenceData!$AC$535),"",ReferenceData!$AC$535),"")</f>
        <v/>
      </c>
      <c r="AD535" t="str">
        <f ca="1">IFERROR(IF(0=LEN(ReferenceData!$AD$535),"",ReferenceData!$AD$535),"")</f>
        <v/>
      </c>
      <c r="AE535" t="str">
        <f ca="1">IFERROR(IF(0=LEN(ReferenceData!$AE$535),"",ReferenceData!$AE$535),"")</f>
        <v/>
      </c>
      <c r="AF535" t="str">
        <f ca="1">IFERROR(IF(0=LEN(ReferenceData!$AF$535),"",ReferenceData!$AF$535),"")</f>
        <v/>
      </c>
      <c r="AG535" t="str">
        <f ca="1">IFERROR(IF(0=LEN(ReferenceData!$AG$535),"",ReferenceData!$AG$535),"")</f>
        <v/>
      </c>
      <c r="AH535" t="str">
        <f ca="1">IFERROR(IF(0=LEN(ReferenceData!$AH$535),"",ReferenceData!$AH$535),"")</f>
        <v/>
      </c>
      <c r="AI535" t="str">
        <f ca="1">IFERROR(IF(0=LEN(ReferenceData!$AI$535),"",ReferenceData!$AI$535),"")</f>
        <v/>
      </c>
      <c r="AJ535" t="str">
        <f ca="1">IFERROR(IF(0=LEN(ReferenceData!$AJ$535),"",ReferenceData!$AJ$535),"")</f>
        <v/>
      </c>
      <c r="AK535" t="str">
        <f ca="1">IFERROR(IF(0=LEN(ReferenceData!$AK$535),"",ReferenceData!$AK$535),"")</f>
        <v/>
      </c>
      <c r="AL535" t="str">
        <f ca="1">IFERROR(IF(0=LEN(ReferenceData!$AL$535),"",ReferenceData!$AL$535),"")</f>
        <v/>
      </c>
      <c r="AM535" t="str">
        <f ca="1">IFERROR(IF(0=LEN(ReferenceData!$AM$535),"",ReferenceData!$AM$535),"")</f>
        <v/>
      </c>
      <c r="AN535" t="str">
        <f ca="1">IFERROR(IF(0=LEN(ReferenceData!$AN$535),"",ReferenceData!$AN$535),"")</f>
        <v/>
      </c>
      <c r="AO535" t="str">
        <f ca="1">IFERROR(IF(0=LEN(ReferenceData!$AO$535),"",ReferenceData!$AO$535),"")</f>
        <v/>
      </c>
      <c r="AP535" t="str">
        <f ca="1">IFERROR(IF(0=LEN(ReferenceData!$AP$535),"",ReferenceData!$AP$535),"")</f>
        <v/>
      </c>
      <c r="AQ535" t="str">
        <f ca="1">IFERROR(IF(0=LEN(ReferenceData!$AQ$535),"",ReferenceData!$AQ$535),"")</f>
        <v/>
      </c>
      <c r="AR535" t="str">
        <f ca="1">IFERROR(IF(0=LEN(ReferenceData!$AR$535),"",ReferenceData!$AR$535),"")</f>
        <v/>
      </c>
      <c r="AS535" t="str">
        <f ca="1">IFERROR(IF(0=LEN(ReferenceData!$AS$535),"",ReferenceData!$AS$535),"")</f>
        <v/>
      </c>
      <c r="AT535" t="str">
        <f ca="1">IFERROR(IF(0=LEN(ReferenceData!$AT$535),"",ReferenceData!$AT$535),"")</f>
        <v/>
      </c>
      <c r="AU535" t="str">
        <f ca="1">IFERROR(IF(0=LEN(ReferenceData!$AU$535),"",ReferenceData!$AU$535),"")</f>
        <v/>
      </c>
      <c r="AV535" t="str">
        <f ca="1">IFERROR(IF(0=LEN(ReferenceData!$AV$535),"",ReferenceData!$AV$535),"")</f>
        <v/>
      </c>
      <c r="AW535" t="str">
        <f ca="1">IFERROR(IF(0=LEN(ReferenceData!$AW$535),"",ReferenceData!$AW$535),"")</f>
        <v/>
      </c>
      <c r="AX535" t="str">
        <f ca="1">IFERROR(IF(0=LEN(ReferenceData!$AX$535),"",ReferenceData!$AX$535),"")</f>
        <v/>
      </c>
      <c r="AY535" t="str">
        <f ca="1">IFERROR(IF(0=LEN(ReferenceData!$AY$535),"",ReferenceData!$AY$535),"")</f>
        <v/>
      </c>
      <c r="AZ535" t="str">
        <f ca="1">IFERROR(IF(0=LEN(ReferenceData!$AZ$535),"",ReferenceData!$AZ$535),"")</f>
        <v/>
      </c>
      <c r="BA535" t="str">
        <f ca="1">IFERROR(IF(0=LEN(ReferenceData!$BA$535),"",ReferenceData!$BA$535),"")</f>
        <v/>
      </c>
      <c r="BB535" t="str">
        <f ca="1">IFERROR(IF(0=LEN(ReferenceData!$BB$535),"",ReferenceData!$BB$535),"")</f>
        <v/>
      </c>
      <c r="BC535" t="str">
        <f ca="1">IFERROR(IF(0=LEN(ReferenceData!$BC$535),"",ReferenceData!$BC$535),"")</f>
        <v/>
      </c>
      <c r="BD535" t="str">
        <f ca="1">IFERROR(IF(0=LEN(ReferenceData!$BD$535),"",ReferenceData!$BD$535),"")</f>
        <v/>
      </c>
      <c r="BE535" t="str">
        <f ca="1">IFERROR(IF(0=LEN(ReferenceData!$BE$535),"",ReferenceData!$BE$535),"")</f>
        <v/>
      </c>
      <c r="BF535" t="str">
        <f ca="1">IFERROR(IF(0=LEN(ReferenceData!$BF$535),"",ReferenceData!$BF$535),"")</f>
        <v/>
      </c>
      <c r="BG535" t="str">
        <f ca="1">IFERROR(IF(0=LEN(ReferenceData!$BG$535),"",ReferenceData!$BG$535),"")</f>
        <v/>
      </c>
      <c r="BH535" t="str">
        <f ca="1">IFERROR(IF(0=LEN(ReferenceData!$BH$535),"",ReferenceData!$BH$535),"")</f>
        <v/>
      </c>
      <c r="BI535" t="str">
        <f ca="1">IFERROR(IF(0=LEN(ReferenceData!$BI$535),"",ReferenceData!$BI$535),"")</f>
        <v/>
      </c>
      <c r="BJ535" t="str">
        <f ca="1">IFERROR(IF(0=LEN(ReferenceData!$BJ$535),"",ReferenceData!$BJ$535),"")</f>
        <v/>
      </c>
      <c r="BK535" t="str">
        <f ca="1">IFERROR(IF(0=LEN(ReferenceData!$BK$535),"",ReferenceData!$BK$535),"")</f>
        <v/>
      </c>
      <c r="BL535" t="str">
        <f ca="1">IFERROR(IF(0=LEN(ReferenceData!$BL$535),"",ReferenceData!$BL$535),"")</f>
        <v/>
      </c>
      <c r="BM535" t="str">
        <f ca="1">IFERROR(IF(0=LEN(ReferenceData!$BM$535),"",ReferenceData!$BM$535),"")</f>
        <v/>
      </c>
    </row>
    <row r="536" spans="1:65" x14ac:dyDescent="0.25">
      <c r="A536" t="str">
        <f>IFERROR(IF(0=LEN(ReferenceData!$A$536),"",ReferenceData!$A$536),"")</f>
        <v xml:space="preserve">    Toyota Motor Corp</v>
      </c>
      <c r="B536" t="str">
        <f>IFERROR(IF(0=LEN(ReferenceData!$B$536),"",ReferenceData!$B$536),"")</f>
        <v>7203 JP Equity</v>
      </c>
      <c r="C536" t="str">
        <f>IFERROR(IF(0=LEN(ReferenceData!$C$536),"",ReferenceData!$C$536),"")</f>
        <v>DV013</v>
      </c>
      <c r="D536" t="str">
        <f>IFERROR(IF(0=LEN(ReferenceData!$D$536),"",ReferenceData!$D$536),"")</f>
        <v>EQY_DVD_YLD_IND</v>
      </c>
      <c r="E536" t="str">
        <f>IFERROR(IF(0=LEN(ReferenceData!$E$536),"",ReferenceData!$E$536),"")</f>
        <v>Dynamic</v>
      </c>
      <c r="F536">
        <f ca="1">IFERROR(IF(0=LEN(ReferenceData!$F$536),"",ReferenceData!$F$536),"")</f>
        <v>3.2738095239999998</v>
      </c>
      <c r="G536">
        <f ca="1">IFERROR(IF(0=LEN(ReferenceData!$G$536),"",ReferenceData!$G$536),"")</f>
        <v>3.434280362</v>
      </c>
      <c r="H536">
        <f ca="1">IFERROR(IF(0=LEN(ReferenceData!$H$536),"",ReferenceData!$H$536),"")</f>
        <v>3.1007751940000001</v>
      </c>
      <c r="I536">
        <f ca="1">IFERROR(IF(0=LEN(ReferenceData!$I$536),"",ReferenceData!$I$536),"")</f>
        <v>3.0683403070000002</v>
      </c>
      <c r="J536">
        <f ca="1">IFERROR(IF(0=LEN(ReferenceData!$J$536),"",ReferenceData!$J$536),"")</f>
        <v>3.2234432229999999</v>
      </c>
      <c r="K536">
        <f ca="1">IFERROR(IF(0=LEN(ReferenceData!$K$536),"",ReferenceData!$K$536),"")</f>
        <v>2.9114099539999998</v>
      </c>
      <c r="L536">
        <f ca="1">IFERROR(IF(0=LEN(ReferenceData!$L$536),"",ReferenceData!$L$536),"")</f>
        <v>3.1296572280000001</v>
      </c>
      <c r="M536">
        <f ca="1">IFERROR(IF(0=LEN(ReferenceData!$M$536),"",ReferenceData!$M$536),"")</f>
        <v>3.5635499749999999</v>
      </c>
      <c r="N536">
        <f ca="1">IFERROR(IF(0=LEN(ReferenceData!$N$536),"",ReferenceData!$N$536),"")</f>
        <v>3.4756703080000002</v>
      </c>
      <c r="O536">
        <f ca="1">IFERROR(IF(0=LEN(ReferenceData!$O$536),"",ReferenceData!$O$536),"")</f>
        <v>3.0532131429999998</v>
      </c>
      <c r="P536">
        <f ca="1">IFERROR(IF(0=LEN(ReferenceData!$P$536),"",ReferenceData!$P$536),"")</f>
        <v>3.633846686</v>
      </c>
      <c r="Q536">
        <f ca="1">IFERROR(IF(0=LEN(ReferenceData!$Q$536),"",ReferenceData!$Q$536),"")</f>
        <v>4.1567695960000002</v>
      </c>
      <c r="R536">
        <f ca="1">IFERROR(IF(0=LEN(ReferenceData!$R$536),"",ReferenceData!$R$536),"")</f>
        <v>3.528225806</v>
      </c>
      <c r="S536">
        <f ca="1">IFERROR(IF(0=LEN(ReferenceData!$S$536),"",ReferenceData!$S$536),"")</f>
        <v>2.8044871790000001</v>
      </c>
      <c r="T536">
        <f ca="1">IFERROR(IF(0=LEN(ReferenceData!$T$536),"",ReferenceData!$T$536),"")</f>
        <v>3.0124802750000002</v>
      </c>
      <c r="U536">
        <f ca="1">IFERROR(IF(0=LEN(ReferenceData!$U$536),"",ReferenceData!$U$536),"")</f>
        <v>2.5600390100000001</v>
      </c>
      <c r="V536">
        <f ca="1">IFERROR(IF(0=LEN(ReferenceData!$V$536),"",ReferenceData!$V$536),"")</f>
        <v>2.3857807470000001</v>
      </c>
      <c r="W536">
        <f ca="1">IFERROR(IF(0=LEN(ReferenceData!$W$536),"",ReferenceData!$W$536),"")</f>
        <v>2.6462026989999998</v>
      </c>
      <c r="X536">
        <f ca="1">IFERROR(IF(0=LEN(ReferenceData!$X$536),"",ReferenceData!$X$536),"")</f>
        <v>3.09453814</v>
      </c>
      <c r="Y536">
        <f ca="1">IFERROR(IF(0=LEN(ReferenceData!$Y$536),"",ReferenceData!$Y$536),"")</f>
        <v>3.28731098</v>
      </c>
      <c r="Z536">
        <f ca="1">IFERROR(IF(0=LEN(ReferenceData!$Z$536),"",ReferenceData!$Z$536),"")</f>
        <v>2.8321318230000001</v>
      </c>
      <c r="AA536">
        <f ca="1">IFERROR(IF(0=LEN(ReferenceData!$AA$536),"",ReferenceData!$AA$536),"")</f>
        <v>2.5700934580000001</v>
      </c>
      <c r="AB536">
        <f ca="1">IFERROR(IF(0=LEN(ReferenceData!$AB$536),"",ReferenceData!$AB$536),"")</f>
        <v>2.6315789469999999</v>
      </c>
      <c r="AC536">
        <f ca="1">IFERROR(IF(0=LEN(ReferenceData!$AC$536),"",ReferenceData!$AC$536),"")</f>
        <v>2.7545909850000001</v>
      </c>
      <c r="AD536">
        <f ca="1">IFERROR(IF(0=LEN(ReferenceData!$AD$536),"",ReferenceData!$AD$536),"")</f>
        <v>1.851851852</v>
      </c>
      <c r="AE536">
        <f ca="1">IFERROR(IF(0=LEN(ReferenceData!$AE$536),"",ReferenceData!$AE$536),"")</f>
        <v>2.247191011</v>
      </c>
      <c r="AF536">
        <f ca="1">IFERROR(IF(0=LEN(ReferenceData!$AF$536),"",ReferenceData!$AF$536),"")</f>
        <v>2.9605263160000002</v>
      </c>
      <c r="AG536">
        <f ca="1">IFERROR(IF(0=LEN(ReferenceData!$AG$536),"",ReferenceData!$AG$536),"")</f>
        <v>2.8213166140000001</v>
      </c>
      <c r="AH536">
        <f ca="1">IFERROR(IF(0=LEN(ReferenceData!$AH$536),"",ReferenceData!$AH$536),"")</f>
        <v>1.4005602239999999</v>
      </c>
      <c r="AI536">
        <f ca="1">IFERROR(IF(0=LEN(ReferenceData!$AI$536),"",ReferenceData!$AI$536),"")</f>
        <v>1.949317739</v>
      </c>
      <c r="AJ536">
        <f ca="1">IFERROR(IF(0=LEN(ReferenceData!$AJ$536),"",ReferenceData!$AJ$536),"")</f>
        <v>1.8601190480000001</v>
      </c>
      <c r="AK536">
        <f ca="1">IFERROR(IF(0=LEN(ReferenceData!$AK$536),"",ReferenceData!$AK$536),"")</f>
        <v>1.538461538</v>
      </c>
      <c r="AL536">
        <f ca="1">IFERROR(IF(0=LEN(ReferenceData!$AL$536),"",ReferenceData!$AL$536),"")</f>
        <v>1.4925373129999999</v>
      </c>
      <c r="AM536">
        <f ca="1">IFERROR(IF(0=LEN(ReferenceData!$AM$536),"",ReferenceData!$AM$536),"")</f>
        <v>1.552795031</v>
      </c>
      <c r="AN536">
        <f ca="1">IFERROR(IF(0=LEN(ReferenceData!$AN$536),"",ReferenceData!$AN$536),"")</f>
        <v>1.6677785190000001</v>
      </c>
      <c r="AO536">
        <f ca="1">IFERROR(IF(0=LEN(ReferenceData!$AO$536),"",ReferenceData!$AO$536),"")</f>
        <v>1.623376623</v>
      </c>
      <c r="AP536">
        <f ca="1">IFERROR(IF(0=LEN(ReferenceData!$AP$536),"",ReferenceData!$AP$536),"")</f>
        <v>1.201602136</v>
      </c>
      <c r="AQ536">
        <f ca="1">IFERROR(IF(0=LEN(ReferenceData!$AQ$536),"",ReferenceData!$AQ$536),"")</f>
        <v>1.1597938139999999</v>
      </c>
      <c r="AR536">
        <f ca="1">IFERROR(IF(0=LEN(ReferenceData!$AR$536),"",ReferenceData!$AR$536),"")</f>
        <v>1.2605042019999999</v>
      </c>
      <c r="AS536">
        <f ca="1">IFERROR(IF(0=LEN(ReferenceData!$AS$536),"",ReferenceData!$AS$536),"")</f>
        <v>1.2261580379999999</v>
      </c>
      <c r="AT536">
        <f ca="1">IFERROR(IF(0=LEN(ReferenceData!$AT$536),"",ReferenceData!$AT$536),"")</f>
        <v>3.2051282049999998</v>
      </c>
      <c r="AU536">
        <f ca="1">IFERROR(IF(0=LEN(ReferenceData!$AU$536),"",ReferenceData!$AU$536),"")</f>
        <v>3.5026269700000001</v>
      </c>
      <c r="AV536">
        <f ca="1">IFERROR(IF(0=LEN(ReferenceData!$AV$536),"",ReferenceData!$AV$536),"")</f>
        <v>3.1963470319999998</v>
      </c>
      <c r="AW536">
        <f ca="1">IFERROR(IF(0=LEN(ReferenceData!$AW$536),"",ReferenceData!$AW$536),"")</f>
        <v>2.7944111779999998</v>
      </c>
      <c r="AX536">
        <f ca="1">IFERROR(IF(0=LEN(ReferenceData!$AX$536),"",ReferenceData!$AX$536),"")</f>
        <v>2.7162977869999998</v>
      </c>
      <c r="AY536">
        <f ca="1">IFERROR(IF(0=LEN(ReferenceData!$AY$536),"",ReferenceData!$AY$536),"")</f>
        <v>2.2350993379999999</v>
      </c>
      <c r="AZ536">
        <f ca="1">IFERROR(IF(0=LEN(ReferenceData!$AZ$536),"",ReferenceData!$AZ$536),"")</f>
        <v>1.769911504</v>
      </c>
      <c r="BA536">
        <f ca="1">IFERROR(IF(0=LEN(ReferenceData!$BA$536),"",ReferenceData!$BA$536),"")</f>
        <v>1.538461538</v>
      </c>
      <c r="BB536">
        <f ca="1">IFERROR(IF(0=LEN(ReferenceData!$BB$536),"",ReferenceData!$BB$536),"")</f>
        <v>1.3907284769999999</v>
      </c>
      <c r="BC536">
        <f ca="1">IFERROR(IF(0=LEN(ReferenceData!$BC$536),"",ReferenceData!$BC$536),"")</f>
        <v>1.3190954770000001</v>
      </c>
      <c r="BD536">
        <f ca="1">IFERROR(IF(0=LEN(ReferenceData!$BD$536),"",ReferenceData!$BD$536),"")</f>
        <v>1.4018691590000001</v>
      </c>
      <c r="BE536">
        <f ca="1">IFERROR(IF(0=LEN(ReferenceData!$BE$536),"",ReferenceData!$BE$536),"")</f>
        <v>1.502504174</v>
      </c>
      <c r="BF536">
        <f ca="1">IFERROR(IF(0=LEN(ReferenceData!$BF$536),"",ReferenceData!$BF$536),"")</f>
        <v>1.166407465</v>
      </c>
      <c r="BG536">
        <f ca="1">IFERROR(IF(0=LEN(ReferenceData!$BG$536),"",ReferenceData!$BG$536),"")</f>
        <v>1.225490196</v>
      </c>
      <c r="BH536">
        <f ca="1">IFERROR(IF(0=LEN(ReferenceData!$BH$536),"",ReferenceData!$BH$536),"")</f>
        <v>1.25</v>
      </c>
      <c r="BI536">
        <f ca="1">IFERROR(IF(0=LEN(ReferenceData!$BI$536),"",ReferenceData!$BI$536),"")</f>
        <v>1.637279597</v>
      </c>
      <c r="BJ536">
        <f ca="1">IFERROR(IF(0=LEN(ReferenceData!$BJ$536),"",ReferenceData!$BJ$536),"")</f>
        <v>1.2531328319999999</v>
      </c>
      <c r="BK536">
        <f ca="1">IFERROR(IF(0=LEN(ReferenceData!$BK$536),"",ReferenceData!$BK$536),"")</f>
        <v>1.1990407670000001</v>
      </c>
      <c r="BL536">
        <f ca="1">IFERROR(IF(0=LEN(ReferenceData!$BL$536),"",ReferenceData!$BL$536),"")</f>
        <v>1.0663507109999999</v>
      </c>
      <c r="BM536">
        <f ca="1">IFERROR(IF(0=LEN(ReferenceData!$BM$536),"",ReferenceData!$BM$536),"")</f>
        <v>1.0180995479999999</v>
      </c>
    </row>
    <row r="537" spans="1:65" x14ac:dyDescent="0.25">
      <c r="A537" t="str">
        <f>IFERROR(IF(0=LEN(ReferenceData!$A$537),"",ReferenceData!$A$537),"")</f>
        <v xml:space="preserve">    Volkswagen AG</v>
      </c>
      <c r="B537" t="str">
        <f>IFERROR(IF(0=LEN(ReferenceData!$B$537),"",ReferenceData!$B$537),"")</f>
        <v>VOW GR Equity</v>
      </c>
      <c r="C537" t="str">
        <f>IFERROR(IF(0=LEN(ReferenceData!$C$537),"",ReferenceData!$C$537),"")</f>
        <v>DV013</v>
      </c>
      <c r="D537" t="str">
        <f>IFERROR(IF(0=LEN(ReferenceData!$D$537),"",ReferenceData!$D$537),"")</f>
        <v>EQY_DVD_YLD_IND</v>
      </c>
      <c r="E537" t="str">
        <f>IFERROR(IF(0=LEN(ReferenceData!$E$537),"",ReferenceData!$E$537),"")</f>
        <v>Dynamic</v>
      </c>
      <c r="F537">
        <f ca="1">IFERROR(IF(0=LEN(ReferenceData!$F$537),"",ReferenceData!$F$537),"")</f>
        <v>3.164139875</v>
      </c>
      <c r="G537">
        <f ca="1">IFERROR(IF(0=LEN(ReferenceData!$G$537),"",ReferenceData!$G$537),"")</f>
        <v>2.803738386</v>
      </c>
      <c r="H537">
        <f ca="1">IFERROR(IF(0=LEN(ReferenceData!$H$537),"",ReferenceData!$H$537),"")</f>
        <v>2.6121902850000001</v>
      </c>
      <c r="I537">
        <f ca="1">IFERROR(IF(0=LEN(ReferenceData!$I$537),"",ReferenceData!$I$537),"")</f>
        <v>2.7561838129999998</v>
      </c>
      <c r="J537">
        <f ca="1">IFERROR(IF(0=LEN(ReferenceData!$J$537),"",ReferenceData!$J$537),"")</f>
        <v>2.3941068730000001</v>
      </c>
      <c r="K537">
        <f ca="1">IFERROR(IF(0=LEN(ReferenceData!$K$537),"",ReferenceData!$K$537),"")</f>
        <v>1.185536455</v>
      </c>
      <c r="L537">
        <f ca="1">IFERROR(IF(0=LEN(ReferenceData!$L$537),"",ReferenceData!$L$537),"")</f>
        <v>1.399090591</v>
      </c>
      <c r="M537">
        <f ca="1">IFERROR(IF(0=LEN(ReferenceData!$M$537),"",ReferenceData!$M$537),"")</f>
        <v>1.4688601649999999</v>
      </c>
      <c r="N537">
        <f ca="1">IFERROR(IF(0=LEN(ReferenceData!$N$537),"",ReferenceData!$N$537),"")</f>
        <v>1.4322543679999999</v>
      </c>
      <c r="O537">
        <f ca="1">IFERROR(IF(0=LEN(ReferenceData!$O$537),"",ReferenceData!$O$537),"")</f>
        <v>8.0438756E-2</v>
      </c>
      <c r="P537">
        <f ca="1">IFERROR(IF(0=LEN(ReferenceData!$P$537),"",ReferenceData!$P$537),"")</f>
        <v>8.5596451000000004E-2</v>
      </c>
      <c r="Q537">
        <f ca="1">IFERROR(IF(0=LEN(ReferenceData!$Q$537),"",ReferenceData!$Q$537),"")</f>
        <v>9.0112230000000001E-2</v>
      </c>
      <c r="R537">
        <f ca="1">IFERROR(IF(0=LEN(ReferenceData!$R$537),"",ReferenceData!$R$537),"")</f>
        <v>3.7664784920000001</v>
      </c>
      <c r="S537">
        <f ca="1">IFERROR(IF(0=LEN(ReferenceData!$S$537),"",ReferenceData!$S$537),"")</f>
        <v>3.3731554400000001</v>
      </c>
      <c r="T537">
        <f ca="1">IFERROR(IF(0=LEN(ReferenceData!$T$537),"",ReferenceData!$T$537),"")</f>
        <v>4.4922790739999998</v>
      </c>
      <c r="U537">
        <f ca="1">IFERROR(IF(0=LEN(ReferenceData!$U$537),"",ReferenceData!$U$537),"")</f>
        <v>2.3115820810000001</v>
      </c>
      <c r="V537">
        <f ca="1">IFERROR(IF(0=LEN(ReferenceData!$V$537),"",ReferenceData!$V$537),"")</f>
        <v>2.0070078819999999</v>
      </c>
      <c r="W537">
        <f ca="1">IFERROR(IF(0=LEN(ReferenceData!$W$537),"",ReferenceData!$W$537),"")</f>
        <v>2.2209883399999999</v>
      </c>
      <c r="X537">
        <f ca="1">IFERROR(IF(0=LEN(ReferenceData!$X$537),"",ReferenceData!$X$537),"")</f>
        <v>2.4467824810000001</v>
      </c>
      <c r="Y537">
        <f ca="1">IFERROR(IF(0=LEN(ReferenceData!$Y$537),"",ReferenceData!$Y$537),"")</f>
        <v>2.1246082749999999</v>
      </c>
      <c r="Z537">
        <f ca="1">IFERROR(IF(0=LEN(ReferenceData!$Z$537),"",ReferenceData!$Z$537),"")</f>
        <v>2.173794902</v>
      </c>
      <c r="AA537">
        <f ca="1">IFERROR(IF(0=LEN(ReferenceData!$AA$537),"",ReferenceData!$AA$537),"")</f>
        <v>1.7775520570000001</v>
      </c>
      <c r="AB537">
        <f ca="1">IFERROR(IF(0=LEN(ReferenceData!$AB$537),"",ReferenceData!$AB$537),"")</f>
        <v>2.0859407590000001</v>
      </c>
      <c r="AC537">
        <f ca="1">IFERROR(IF(0=LEN(ReferenceData!$AC$537),"",ReferenceData!$AC$537),"")</f>
        <v>2.3348899269999999</v>
      </c>
      <c r="AD537">
        <f ca="1">IFERROR(IF(0=LEN(ReferenceData!$AD$537),"",ReferenceData!$AD$537),"")</f>
        <v>2.3874162700000001</v>
      </c>
      <c r="AE537">
        <f ca="1">IFERROR(IF(0=LEN(ReferenceData!$AE$537),"",ReferenceData!$AE$537),"")</f>
        <v>1.8433179719999999</v>
      </c>
      <c r="AF537">
        <f ca="1">IFERROR(IF(0=LEN(ReferenceData!$AF$537),"",ReferenceData!$AF$537),"")</f>
        <v>2.3000843359999998</v>
      </c>
      <c r="AG537">
        <f ca="1">IFERROR(IF(0=LEN(ReferenceData!$AG$537),"",ReferenceData!$AG$537),"")</f>
        <v>2.545824847</v>
      </c>
      <c r="AH537">
        <f ca="1">IFERROR(IF(0=LEN(ReferenceData!$AH$537),"",ReferenceData!$AH$537),"")</f>
        <v>2.4777006940000001</v>
      </c>
      <c r="AI537">
        <f ca="1">IFERROR(IF(0=LEN(ReferenceData!$AI$537),"",ReferenceData!$AI$537),"")</f>
        <v>2.1225277839999999</v>
      </c>
      <c r="AJ537">
        <f ca="1">IFERROR(IF(0=LEN(ReferenceData!$AJ$537),"",ReferenceData!$AJ$537),"")</f>
        <v>2.3434171789999998</v>
      </c>
      <c r="AK537">
        <f ca="1">IFERROR(IF(0=LEN(ReferenceData!$AK$537),"",ReferenceData!$AK$537),"")</f>
        <v>1.729695768</v>
      </c>
      <c r="AL537">
        <f ca="1">IFERROR(IF(0=LEN(ReferenceData!$AL$537),"",ReferenceData!$AL$537),"")</f>
        <v>2.0312067649999999</v>
      </c>
      <c r="AM537">
        <f ca="1">IFERROR(IF(0=LEN(ReferenceData!$AM$537),"",ReferenceData!$AM$537),"")</f>
        <v>1.5108593239999999</v>
      </c>
      <c r="AN537">
        <f ca="1">IFERROR(IF(0=LEN(ReferenceData!$AN$537),"",ReferenceData!$AN$537),"")</f>
        <v>1.9792182380000001</v>
      </c>
      <c r="AO537">
        <f ca="1">IFERROR(IF(0=LEN(ReferenceData!$AO$537),"",ReferenceData!$AO$537),"")</f>
        <v>2.2975301890000002</v>
      </c>
      <c r="AP537">
        <f ca="1">IFERROR(IF(0=LEN(ReferenceData!$AP$537),"",ReferenceData!$AP$537),"")</f>
        <v>2.2346369049999999</v>
      </c>
      <c r="AQ537">
        <f ca="1">IFERROR(IF(0=LEN(ReferenceData!$AQ$537),"",ReferenceData!$AQ$537),"")</f>
        <v>2.506493495</v>
      </c>
      <c r="AR537">
        <f ca="1">IFERROR(IF(0=LEN(ReferenceData!$AR$537),"",ReferenceData!$AR$537),"")</f>
        <v>1.7109928999999999</v>
      </c>
      <c r="AS537">
        <f ca="1">IFERROR(IF(0=LEN(ReferenceData!$AS$537),"",ReferenceData!$AS$537),"")</f>
        <v>0.800265369</v>
      </c>
      <c r="AT537">
        <f ca="1">IFERROR(IF(0=LEN(ReferenceData!$AT$537),"",ReferenceData!$AT$537),"")</f>
        <v>0.84022637899999997</v>
      </c>
      <c r="AU537">
        <f ca="1">IFERROR(IF(0=LEN(ReferenceData!$AU$537),"",ReferenceData!$AU$537),"")</f>
        <v>0.71999998899999995</v>
      </c>
      <c r="AV537">
        <f ca="1">IFERROR(IF(0=LEN(ReferenceData!$AV$537),"",ReferenceData!$AV$537),"")</f>
        <v>0.64608757100000003</v>
      </c>
      <c r="AW537">
        <f ca="1">IFERROR(IF(0=LEN(ReferenceData!$AW$537),"",ReferenceData!$AW$537),"")</f>
        <v>0.98468269799999997</v>
      </c>
      <c r="AX537">
        <f ca="1">IFERROR(IF(0=LEN(ReferenceData!$AX$537),"",ReferenceData!$AX$537),"")</f>
        <v>0.97879280700000004</v>
      </c>
      <c r="AY537">
        <f ca="1">IFERROR(IF(0=LEN(ReferenceData!$AY$537),"",ReferenceData!$AY$537),"")</f>
        <v>0.80051233099999997</v>
      </c>
      <c r="AZ537">
        <f ca="1">IFERROR(IF(0=LEN(ReferenceData!$AZ$537),"",ReferenceData!$AZ$537),"")</f>
        <v>0.788146283</v>
      </c>
      <c r="BA537">
        <f ca="1">IFERROR(IF(0=LEN(ReferenceData!$BA$537),"",ReferenceData!$BA$537),"")</f>
        <v>1.0622928570000001</v>
      </c>
      <c r="BB537">
        <f ca="1">IFERROR(IF(0=LEN(ReferenceData!$BB$537),"",ReferenceData!$BB$537),"")</f>
        <v>1.1102229370000001</v>
      </c>
      <c r="BC537">
        <f ca="1">IFERROR(IF(0=LEN(ReferenceData!$BC$537),"",ReferenceData!$BC$537),"")</f>
        <v>1.3361217599999999</v>
      </c>
      <c r="BD537">
        <f ca="1">IFERROR(IF(0=LEN(ReferenceData!$BD$537),"",ReferenceData!$BD$537),"")</f>
        <v>1.704461241</v>
      </c>
      <c r="BE537">
        <f ca="1">IFERROR(IF(0=LEN(ReferenceData!$BE$537),"",ReferenceData!$BE$537),"")</f>
        <v>2.0973919369999998</v>
      </c>
      <c r="BF537">
        <f ca="1">IFERROR(IF(0=LEN(ReferenceData!$BF$537),"",ReferenceData!$BF$537),"")</f>
        <v>1.8578352170000001</v>
      </c>
      <c r="BG537">
        <f ca="1">IFERROR(IF(0=LEN(ReferenceData!$BG$537),"",ReferenceData!$BG$537),"")</f>
        <v>2.353732334</v>
      </c>
      <c r="BH537">
        <f ca="1">IFERROR(IF(0=LEN(ReferenceData!$BH$537),"",ReferenceData!$BH$537),"")</f>
        <v>2.0455873640000002</v>
      </c>
      <c r="BI537">
        <f ca="1">IFERROR(IF(0=LEN(ReferenceData!$BI$537),"",ReferenceData!$BI$537),"")</f>
        <v>2.7836691249999999</v>
      </c>
      <c r="BJ537">
        <f ca="1">IFERROR(IF(0=LEN(ReferenceData!$BJ$537),"",ReferenceData!$BJ$537),"")</f>
        <v>2.8633760399999999</v>
      </c>
      <c r="BK537">
        <f ca="1">IFERROR(IF(0=LEN(ReferenceData!$BK$537),"",ReferenceData!$BK$537),"")</f>
        <v>3.1484257690000002</v>
      </c>
      <c r="BL537">
        <f ca="1">IFERROR(IF(0=LEN(ReferenceData!$BL$537),"",ReferenceData!$BL$537),"")</f>
        <v>3.3936651389999999</v>
      </c>
      <c r="BM537">
        <f ca="1">IFERROR(IF(0=LEN(ReferenceData!$BM$537),"",ReferenceData!$BM$537),"")</f>
        <v>3.0259365819999999</v>
      </c>
    </row>
    <row r="538" spans="1:65" x14ac:dyDescent="0.25">
      <c r="A538" t="str">
        <f>IFERROR(IF(0=LEN(ReferenceData!$A$538),"",ReferenceData!$A$538),"")</f>
        <v xml:space="preserve">    Yulon Motor Co Ltd</v>
      </c>
      <c r="B538" t="str">
        <f>IFERROR(IF(0=LEN(ReferenceData!$B$538),"",ReferenceData!$B$538),"")</f>
        <v>2201 TT Equity</v>
      </c>
      <c r="C538" t="str">
        <f>IFERROR(IF(0=LEN(ReferenceData!$C$538),"",ReferenceData!$C$538),"")</f>
        <v>DV013</v>
      </c>
      <c r="D538" t="str">
        <f>IFERROR(IF(0=LEN(ReferenceData!$D$538),"",ReferenceData!$D$538),"")</f>
        <v>EQY_DVD_YLD_IND</v>
      </c>
      <c r="E538" t="str">
        <f>IFERROR(IF(0=LEN(ReferenceData!$E$538),"",ReferenceData!$E$538),"")</f>
        <v>Dynamic</v>
      </c>
      <c r="F538">
        <f ca="1">IFERROR(IF(0=LEN(ReferenceData!$F$538),"",ReferenceData!$F$538),"")</f>
        <v>3.0606859279999998</v>
      </c>
      <c r="G538">
        <f ca="1">IFERROR(IF(0=LEN(ReferenceData!$G$538),"",ReferenceData!$G$538),"")</f>
        <v>3.1868130950000002</v>
      </c>
      <c r="H538">
        <f ca="1">IFERROR(IF(0=LEN(ReferenceData!$H$538),"",ReferenceData!$H$538),"")</f>
        <v>2.6728109830000002</v>
      </c>
      <c r="I538">
        <f ca="1">IFERROR(IF(0=LEN(ReferenceData!$I$538),"",ReferenceData!$I$538),"")</f>
        <v>2.7488150870000001</v>
      </c>
      <c r="J538">
        <f ca="1">IFERROR(IF(0=LEN(ReferenceData!$J$538),"",ReferenceData!$J$538),"")</f>
        <v>2.5663716079999999</v>
      </c>
      <c r="K538">
        <f ca="1">IFERROR(IF(0=LEN(ReferenceData!$K$538),"",ReferenceData!$K$538),"")</f>
        <v>2.0703933750000001</v>
      </c>
      <c r="L538">
        <f ca="1">IFERROR(IF(0=LEN(ReferenceData!$L$538),"",ReferenceData!$L$538),"")</f>
        <v>1.930501931</v>
      </c>
      <c r="M538">
        <f ca="1">IFERROR(IF(0=LEN(ReferenceData!$M$538),"",ReferenceData!$M$538),"")</f>
        <v>1.8315018320000001</v>
      </c>
      <c r="N538">
        <f ca="1">IFERROR(IF(0=LEN(ReferenceData!$N$538),"",ReferenceData!$N$538),"")</f>
        <v>1.769911504</v>
      </c>
      <c r="O538">
        <f ca="1">IFERROR(IF(0=LEN(ReferenceData!$O$538),"",ReferenceData!$O$538),"")</f>
        <v>3.358208866</v>
      </c>
      <c r="P538">
        <f ca="1">IFERROR(IF(0=LEN(ReferenceData!$P$538),"",ReferenceData!$P$538),"")</f>
        <v>3.2667875720000001</v>
      </c>
      <c r="Q538">
        <f ca="1">IFERROR(IF(0=LEN(ReferenceData!$Q$538),"",ReferenceData!$Q$538),"")</f>
        <v>3.2967032089999999</v>
      </c>
      <c r="R538">
        <f ca="1">IFERROR(IF(0=LEN(ReferenceData!$R$538),"",ReferenceData!$R$538),"")</f>
        <v>2.8799999239999998</v>
      </c>
      <c r="S538">
        <f ca="1">IFERROR(IF(0=LEN(ReferenceData!$S$538),"",ReferenceData!$S$538),"")</f>
        <v>2.317880755</v>
      </c>
      <c r="T538">
        <f ca="1">IFERROR(IF(0=LEN(ReferenceData!$T$538),"",ReferenceData!$T$538),"")</f>
        <v>2.3769099759999999</v>
      </c>
      <c r="U538">
        <f ca="1">IFERROR(IF(0=LEN(ReferenceData!$U$538),"",ReferenceData!$U$538),"")</f>
        <v>1.955307229</v>
      </c>
      <c r="V538">
        <f ca="1">IFERROR(IF(0=LEN(ReferenceData!$V$538),"",ReferenceData!$V$538),"")</f>
        <v>1.6374268729999999</v>
      </c>
      <c r="W538">
        <f ca="1">IFERROR(IF(0=LEN(ReferenceData!$W$538),"",ReferenceData!$W$538),"")</f>
        <v>1.5053763179999999</v>
      </c>
      <c r="X538">
        <f ca="1">IFERROR(IF(0=LEN(ReferenceData!$X$538),"",ReferenceData!$X$538),"")</f>
        <v>1.538461512</v>
      </c>
      <c r="Y538">
        <f ca="1">IFERROR(IF(0=LEN(ReferenceData!$Y$538),"",ReferenceData!$Y$538),"")</f>
        <v>1.440329194</v>
      </c>
      <c r="Z538">
        <f ca="1">IFERROR(IF(0=LEN(ReferenceData!$Z$538),"",ReferenceData!$Z$538),"")</f>
        <v>1.3916500759999999</v>
      </c>
      <c r="AA538">
        <f ca="1">IFERROR(IF(0=LEN(ReferenceData!$AA$538),"",ReferenceData!$AA$538),"")</f>
        <v>1.481481504</v>
      </c>
      <c r="AB538">
        <f ca="1">IFERROR(IF(0=LEN(ReferenceData!$AB$538),"",ReferenceData!$AB$538),"")</f>
        <v>1.6161616400000001</v>
      </c>
      <c r="AC538">
        <f ca="1">IFERROR(IF(0=LEN(ReferenceData!$AC$538),"",ReferenceData!$AC$538),"")</f>
        <v>1.6666666919999999</v>
      </c>
      <c r="AD538">
        <f ca="1">IFERROR(IF(0=LEN(ReferenceData!$AD$538),"",ReferenceData!$AD$538),"")</f>
        <v>1.498127363</v>
      </c>
      <c r="AE538">
        <f ca="1">IFERROR(IF(0=LEN(ReferenceData!$AE$538),"",ReferenceData!$AE$538),"")</f>
        <v>1.818181818</v>
      </c>
      <c r="AF538">
        <f ca="1">IFERROR(IF(0=LEN(ReferenceData!$AF$538),"",ReferenceData!$AF$538),"")</f>
        <v>1.6949152540000001</v>
      </c>
      <c r="AG538">
        <f ca="1">IFERROR(IF(0=LEN(ReferenceData!$AG$538),"",ReferenceData!$AG$538),"")</f>
        <v>1.908396947</v>
      </c>
      <c r="AH538">
        <f ca="1">IFERROR(IF(0=LEN(ReferenceData!$AH$538),"",ReferenceData!$AH$538),"")</f>
        <v>1.773049645</v>
      </c>
      <c r="AI538">
        <f ca="1">IFERROR(IF(0=LEN(ReferenceData!$AI$538),"",ReferenceData!$AI$538),"")</f>
        <v>1.923076923</v>
      </c>
      <c r="AJ538">
        <f ca="1">IFERROR(IF(0=LEN(ReferenceData!$AJ$538),"",ReferenceData!$AJ$538),"")</f>
        <v>1.733102253</v>
      </c>
      <c r="AK538">
        <f ca="1">IFERROR(IF(0=LEN(ReferenceData!$AK$538),"",ReferenceData!$AK$538),"")</f>
        <v>1.418439716</v>
      </c>
      <c r="AL538">
        <f ca="1">IFERROR(IF(0=LEN(ReferenceData!$AL$538),"",ReferenceData!$AL$538),"")</f>
        <v>1.8416206260000001</v>
      </c>
      <c r="AM538">
        <f ca="1">IFERROR(IF(0=LEN(ReferenceData!$AM$538),"",ReferenceData!$AM$538),"")</f>
        <v>0.56645056800000004</v>
      </c>
      <c r="AN538">
        <f ca="1">IFERROR(IF(0=LEN(ReferenceData!$AN$538),"",ReferenceData!$AN$538),"")</f>
        <v>0.619680852</v>
      </c>
      <c r="AO538">
        <f ca="1">IFERROR(IF(0=LEN(ReferenceData!$AO$538),"",ReferenceData!$AO$538),"")</f>
        <v>1.0990566049999999</v>
      </c>
      <c r="AP538">
        <f ca="1">IFERROR(IF(0=LEN(ReferenceData!$AP$538),"",ReferenceData!$AP$538),"")</f>
        <v>0.99148936300000001</v>
      </c>
      <c r="AQ538">
        <f ca="1">IFERROR(IF(0=LEN(ReferenceData!$AQ$538),"",ReferenceData!$AQ$538),"")</f>
        <v>0.212201587</v>
      </c>
      <c r="AR538">
        <f ca="1">IFERROR(IF(0=LEN(ReferenceData!$AR$538),"",ReferenceData!$AR$538),"")</f>
        <v>0.21650879100000001</v>
      </c>
      <c r="AS538">
        <f ca="1">IFERROR(IF(0=LEN(ReferenceData!$AS$538),"",ReferenceData!$AS$538),"")</f>
        <v>0.25641025099999998</v>
      </c>
      <c r="AT538">
        <f ca="1">IFERROR(IF(0=LEN(ReferenceData!$AT$538),"",ReferenceData!$AT$538),"")</f>
        <v>3.1837415569999998</v>
      </c>
      <c r="AU538">
        <f ca="1">IFERROR(IF(0=LEN(ReferenceData!$AU$538),"",ReferenceData!$AU$538),"")</f>
        <v>4.1659596959999998</v>
      </c>
      <c r="AV538">
        <f ca="1">IFERROR(IF(0=LEN(ReferenceData!$AV$538),"",ReferenceData!$AV$538),"")</f>
        <v>3.4052192300000002</v>
      </c>
      <c r="AW538">
        <f ca="1">IFERROR(IF(0=LEN(ReferenceData!$AW$538),"",ReferenceData!$AW$538),"")</f>
        <v>1.9355679589999999</v>
      </c>
      <c r="AX538">
        <f ca="1">IFERROR(IF(0=LEN(ReferenceData!$AX$538),"",ReferenceData!$AX$538),"")</f>
        <v>1.3487668129999999</v>
      </c>
      <c r="AY538">
        <f ca="1">IFERROR(IF(0=LEN(ReferenceData!$AY$538),"",ReferenceData!$AY$538),"")</f>
        <v>2.6731575190000001</v>
      </c>
      <c r="AZ538">
        <f ca="1">IFERROR(IF(0=LEN(ReferenceData!$AZ$538),"",ReferenceData!$AZ$538),"")</f>
        <v>2.2228662789999998</v>
      </c>
      <c r="BA538">
        <f ca="1">IFERROR(IF(0=LEN(ReferenceData!$BA$538),"",ReferenceData!$BA$538),"")</f>
        <v>2.083283921</v>
      </c>
      <c r="BB538">
        <f ca="1">IFERROR(IF(0=LEN(ReferenceData!$BB$538),"",ReferenceData!$BB$538),"")</f>
        <v>2.2680913660000002</v>
      </c>
      <c r="BC538">
        <f ca="1">IFERROR(IF(0=LEN(ReferenceData!$BC$538),"",ReferenceData!$BC$538),"")</f>
        <v>3.741348125</v>
      </c>
      <c r="BD538">
        <f ca="1">IFERROR(IF(0=LEN(ReferenceData!$BD$538),"",ReferenceData!$BD$538),"")</f>
        <v>4.4048658999999999</v>
      </c>
      <c r="BE538">
        <f ca="1">IFERROR(IF(0=LEN(ReferenceData!$BE$538),"",ReferenceData!$BE$538),"")</f>
        <v>3.8610038530000002</v>
      </c>
      <c r="BF538">
        <f ca="1">IFERROR(IF(0=LEN(ReferenceData!$BF$538),"",ReferenceData!$BF$538),"")</f>
        <v>4.9916805220000002</v>
      </c>
      <c r="BG538">
        <f ca="1">IFERROR(IF(0=LEN(ReferenceData!$BG$538),"",ReferenceData!$BG$538),"")</f>
        <v>5.127032754</v>
      </c>
      <c r="BH538">
        <f ca="1">IFERROR(IF(0=LEN(ReferenceData!$BH$538),"",ReferenceData!$BH$538),"")</f>
        <v>5.4899401929999998</v>
      </c>
      <c r="BI538">
        <f ca="1">IFERROR(IF(0=LEN(ReferenceData!$BI$538),"",ReferenceData!$BI$538),"")</f>
        <v>5.0546449349999998</v>
      </c>
      <c r="BJ538">
        <f ca="1">IFERROR(IF(0=LEN(ReferenceData!$BJ$538),"",ReferenceData!$BJ$538),"")</f>
        <v>4.7680413560000003</v>
      </c>
      <c r="BK538">
        <f ca="1">IFERROR(IF(0=LEN(ReferenceData!$BK$538),"",ReferenceData!$BK$538),"")</f>
        <v>6.2744467520000002</v>
      </c>
      <c r="BL538">
        <f ca="1">IFERROR(IF(0=LEN(ReferenceData!$BL$538),"",ReferenceData!$BL$538),"")</f>
        <v>6.4672370150000003</v>
      </c>
      <c r="BM538">
        <f ca="1">IFERROR(IF(0=LEN(ReferenceData!$BM$538),"",ReferenceData!$BM$538),"")</f>
        <v>4.0322579169999999</v>
      </c>
    </row>
    <row r="539" spans="1:65" x14ac:dyDescent="0.25">
      <c r="A539" t="str">
        <f>IFERROR(IF(0=LEN(ReferenceData!$A$539),"",ReferenceData!$A$539),"")</f>
        <v>EBIT Yield</v>
      </c>
      <c r="B539" t="str">
        <f>IFERROR(IF(0=LEN(ReferenceData!$B$539),"",ReferenceData!$B$539),"")</f>
        <v/>
      </c>
      <c r="C539" t="str">
        <f>IFERROR(IF(0=LEN(ReferenceData!$C$539),"",ReferenceData!$C$539),"")</f>
        <v/>
      </c>
      <c r="D539" t="str">
        <f>IFERROR(IF(0=LEN(ReferenceData!$D$539),"",ReferenceData!$D$539),"")</f>
        <v/>
      </c>
      <c r="E539" t="str">
        <f>IFERROR(IF(0=LEN(ReferenceData!$E$539),"",ReferenceData!$E$539),"")</f>
        <v>Average</v>
      </c>
      <c r="F539">
        <f ca="1">IFERROR(IF(0=LEN(ReferenceData!$F$539),"",ReferenceData!$F$539),"")</f>
        <v>8.7881535849999999</v>
      </c>
      <c r="G539">
        <f ca="1">IFERROR(IF(0=LEN(ReferenceData!$G$539),"",ReferenceData!$G$539),"")</f>
        <v>8.2570598145806464</v>
      </c>
      <c r="H539">
        <f ca="1">IFERROR(IF(0=LEN(ReferenceData!$H$539),"",ReferenceData!$H$539),"")</f>
        <v>6.8559162225161314</v>
      </c>
      <c r="I539">
        <f ca="1">IFERROR(IF(0=LEN(ReferenceData!$I$539),"",ReferenceData!$I$539),"")</f>
        <v>7.8185005590322572</v>
      </c>
      <c r="J539">
        <f ca="1">IFERROR(IF(0=LEN(ReferenceData!$J$539),"",ReferenceData!$J$539),"")</f>
        <v>7.3899779657419362</v>
      </c>
      <c r="K539">
        <f ca="1">IFERROR(IF(0=LEN(ReferenceData!$K$539),"",ReferenceData!$K$539),"")</f>
        <v>7.2279335409032246</v>
      </c>
      <c r="L539">
        <f ca="1">IFERROR(IF(0=LEN(ReferenceData!$L$539),"",ReferenceData!$L$539),"")</f>
        <v>7.7305235644516115</v>
      </c>
      <c r="M539">
        <f ca="1">IFERROR(IF(0=LEN(ReferenceData!$M$539),"",ReferenceData!$M$539),"")</f>
        <v>7.0741511048709684</v>
      </c>
      <c r="N539">
        <f ca="1">IFERROR(IF(0=LEN(ReferenceData!$N$539),"",ReferenceData!$N$539),"")</f>
        <v>3.9308880042903218</v>
      </c>
      <c r="O539">
        <f ca="1">IFERROR(IF(0=LEN(ReferenceData!$O$539),"",ReferenceData!$O$539),"")</f>
        <v>2.0673645770645153</v>
      </c>
      <c r="P539">
        <f ca="1">IFERROR(IF(0=LEN(ReferenceData!$P$539),"",ReferenceData!$P$539),"")</f>
        <v>-2.3222488907500018</v>
      </c>
      <c r="Q539">
        <f ca="1">IFERROR(IF(0=LEN(ReferenceData!$Q$539),"",ReferenceData!$Q$539),"")</f>
        <v>-7.9544321042187489</v>
      </c>
      <c r="R539">
        <f ca="1">IFERROR(IF(0=LEN(ReferenceData!$R$539),"",ReferenceData!$R$539),"")</f>
        <v>8.0520161897419342</v>
      </c>
      <c r="S539">
        <f ca="1">IFERROR(IF(0=LEN(ReferenceData!$S$539),"",ReferenceData!$S$539),"")</f>
        <v>7.5356216736129022</v>
      </c>
      <c r="T539">
        <f ca="1">IFERROR(IF(0=LEN(ReferenceData!$T$539),"",ReferenceData!$T$539),"")</f>
        <v>8.8152408221290326</v>
      </c>
      <c r="U539">
        <f ca="1">IFERROR(IF(0=LEN(ReferenceData!$U$539),"",ReferenceData!$U$539),"")</f>
        <v>7.812189355580645</v>
      </c>
      <c r="V539">
        <f ca="1">IFERROR(IF(0=LEN(ReferenceData!$V$539),"",ReferenceData!$V$539),"")</f>
        <v>6.9618592825806465</v>
      </c>
      <c r="W539">
        <f ca="1">IFERROR(IF(0=LEN(ReferenceData!$W$539),"",ReferenceData!$W$539),"")</f>
        <v>7.9863693294516125</v>
      </c>
      <c r="X539">
        <f ca="1">IFERROR(IF(0=LEN(ReferenceData!$X$539),"",ReferenceData!$X$539),"")</f>
        <v>7.4583217370333337</v>
      </c>
      <c r="Y539">
        <f ca="1">IFERROR(IF(0=LEN(ReferenceData!$Y$539),"",ReferenceData!$Y$539),"")</f>
        <v>7.9008094230999992</v>
      </c>
      <c r="Z539">
        <f ca="1">IFERROR(IF(0=LEN(ReferenceData!$Z$539),"",ReferenceData!$Z$539),"")</f>
        <v>8.0982023547000015</v>
      </c>
      <c r="AA539">
        <f ca="1">IFERROR(IF(0=LEN(ReferenceData!$AA$539),"",ReferenceData!$AA$539),"")</f>
        <v>7.6456276693333329</v>
      </c>
      <c r="AB539">
        <f ca="1">IFERROR(IF(0=LEN(ReferenceData!$AB$539),"",ReferenceData!$AB$539),"")</f>
        <v>4.9959766021000007</v>
      </c>
      <c r="AC539">
        <f ca="1">IFERROR(IF(0=LEN(ReferenceData!$AC$539),"",ReferenceData!$AC$539),"")</f>
        <v>4.6906900696999996</v>
      </c>
      <c r="AD539">
        <f ca="1">IFERROR(IF(0=LEN(ReferenceData!$AD$539),"",ReferenceData!$AD$539),"")</f>
        <v>4.3562068280666661</v>
      </c>
      <c r="AE539">
        <f ca="1">IFERROR(IF(0=LEN(ReferenceData!$AE$539),"",ReferenceData!$AE$539),"")</f>
        <v>5.0255833123333336</v>
      </c>
      <c r="AF539">
        <f ca="1">IFERROR(IF(0=LEN(ReferenceData!$AF$539),"",ReferenceData!$AF$539),"")</f>
        <v>9.6875941838214263</v>
      </c>
      <c r="AG539">
        <f ca="1">IFERROR(IF(0=LEN(ReferenceData!$AG$539),"",ReferenceData!$AG$539),"")</f>
        <v>10.188090217392856</v>
      </c>
      <c r="AH539">
        <f ca="1">IFERROR(IF(0=LEN(ReferenceData!$AH$539),"",ReferenceData!$AH$539),"")</f>
        <v>9.0629712105555562</v>
      </c>
      <c r="AI539">
        <f ca="1">IFERROR(IF(0=LEN(ReferenceData!$AI$539),"",ReferenceData!$AI$539),"")</f>
        <v>9.8138441453333325</v>
      </c>
      <c r="AJ539">
        <f ca="1">IFERROR(IF(0=LEN(ReferenceData!$AJ$539),"",ReferenceData!$AJ$539),"")</f>
        <v>11.033204397321429</v>
      </c>
      <c r="AK539">
        <f ca="1">IFERROR(IF(0=LEN(ReferenceData!$AK$539),"",ReferenceData!$AK$539),"")</f>
        <v>9.0749572982857138</v>
      </c>
      <c r="AL539">
        <f ca="1">IFERROR(IF(0=LEN(ReferenceData!$AL$539),"",ReferenceData!$AL$539),"")</f>
        <v>9.2195061546428576</v>
      </c>
      <c r="AM539">
        <f ca="1">IFERROR(IF(0=LEN(ReferenceData!$AM$539),"",ReferenceData!$AM$539),"")</f>
        <v>8.4934245194285722</v>
      </c>
      <c r="AN539">
        <f ca="1">IFERROR(IF(0=LEN(ReferenceData!$AN$539),"",ReferenceData!$AN$539),"")</f>
        <v>7.9029594555999987</v>
      </c>
      <c r="AO539">
        <f ca="1">IFERROR(IF(0=LEN(ReferenceData!$AO$539),"",ReferenceData!$AO$539),"")</f>
        <v>11.22390471330435</v>
      </c>
      <c r="AP539">
        <f ca="1">IFERROR(IF(0=LEN(ReferenceData!$AP$539),"",ReferenceData!$AP$539),"")</f>
        <v>6.1317984654090907</v>
      </c>
      <c r="AQ539">
        <f ca="1">IFERROR(IF(0=LEN(ReferenceData!$AQ$539),"",ReferenceData!$AQ$539),"")</f>
        <v>0.62573495913636379</v>
      </c>
      <c r="AR539">
        <f ca="1">IFERROR(IF(0=LEN(ReferenceData!$AR$539),"",ReferenceData!$AR$539),"")</f>
        <v>-4.1106791710000001</v>
      </c>
      <c r="AS539">
        <f ca="1">IFERROR(IF(0=LEN(ReferenceData!$AS$539),"",ReferenceData!$AS$539),"")</f>
        <v>-3.3487997322272731</v>
      </c>
      <c r="AT539">
        <f ca="1">IFERROR(IF(0=LEN(ReferenceData!$AT$539),"",ReferenceData!$AT$539),"")</f>
        <v>-4.3293048103181846</v>
      </c>
      <c r="AU539">
        <f ca="1">IFERROR(IF(0=LEN(ReferenceData!$AU$539),"",ReferenceData!$AU$539),"")</f>
        <v>6.0364687553809526</v>
      </c>
      <c r="AV539">
        <f ca="1">IFERROR(IF(0=LEN(ReferenceData!$AV$539),"",ReferenceData!$AV$539),"")</f>
        <v>11.574775341736844</v>
      </c>
      <c r="AW539">
        <f ca="1">IFERROR(IF(0=LEN(ReferenceData!$AW$539),"",ReferenceData!$AW$539),"")</f>
        <v>10.431782267526316</v>
      </c>
      <c r="AX539">
        <f ca="1">IFERROR(IF(0=LEN(ReferenceData!$AX$539),"",ReferenceData!$AX$539),"")</f>
        <v>12.43986954331579</v>
      </c>
      <c r="AY539">
        <f ca="1">IFERROR(IF(0=LEN(ReferenceData!$AY$539),"",ReferenceData!$AY$539),"")</f>
        <v>10.14339356</v>
      </c>
      <c r="AZ539">
        <f ca="1">IFERROR(IF(0=LEN(ReferenceData!$AZ$539),"",ReferenceData!$AZ$539),"")</f>
        <v>7.5085933078421059</v>
      </c>
      <c r="BA539">
        <f ca="1">IFERROR(IF(0=LEN(ReferenceData!$BA$539),"",ReferenceData!$BA$539),"")</f>
        <v>4.7450646045263154</v>
      </c>
      <c r="BB539">
        <f ca="1">IFERROR(IF(0=LEN(ReferenceData!$BB$539),"",ReferenceData!$BB$539),"")</f>
        <v>3.7342175862105251</v>
      </c>
      <c r="BC539">
        <f ca="1">IFERROR(IF(0=LEN(ReferenceData!$BC$539),"",ReferenceData!$BC$539),"")</f>
        <v>1.7509051428947373</v>
      </c>
      <c r="BD539">
        <f ca="1">IFERROR(IF(0=LEN(ReferenceData!$BD$539),"",ReferenceData!$BD$539),"")</f>
        <v>3.8782012967894737</v>
      </c>
      <c r="BE539">
        <f ca="1">IFERROR(IF(0=LEN(ReferenceData!$BE$539),"",ReferenceData!$BE$539),"")</f>
        <v>5.7440115881578953</v>
      </c>
      <c r="BF539">
        <f ca="1">IFERROR(IF(0=LEN(ReferenceData!$BF$539),"",ReferenceData!$BF$539),"")</f>
        <v>5.0935882103684209</v>
      </c>
      <c r="BG539">
        <f ca="1">IFERROR(IF(0=LEN(ReferenceData!$BG$539),"",ReferenceData!$BG$539),"")</f>
        <v>7.0822140746666671</v>
      </c>
      <c r="BH539">
        <f ca="1">IFERROR(IF(0=LEN(ReferenceData!$BH$539),"",ReferenceData!$BH$539),"")</f>
        <v>7.1411811942777774</v>
      </c>
      <c r="BI539">
        <f ca="1">IFERROR(IF(0=LEN(ReferenceData!$BI$539),"",ReferenceData!$BI$539),"")</f>
        <v>7.4677898484117637</v>
      </c>
      <c r="BJ539">
        <f ca="1">IFERROR(IF(0=LEN(ReferenceData!$BJ$539),"",ReferenceData!$BJ$539),"")</f>
        <v>7.1675852784705887</v>
      </c>
      <c r="BK539">
        <f ca="1">IFERROR(IF(0=LEN(ReferenceData!$BK$539),"",ReferenceData!$BK$539),"")</f>
        <v>5.4283587294615376</v>
      </c>
      <c r="BL539">
        <f ca="1">IFERROR(IF(0=LEN(ReferenceData!$BL$539),"",ReferenceData!$BL$539),"")</f>
        <v>5.4680366015384623</v>
      </c>
      <c r="BM539">
        <f ca="1">IFERROR(IF(0=LEN(ReferenceData!$BM$539),"",ReferenceData!$BM$539),"")</f>
        <v>7.6634319619999989</v>
      </c>
    </row>
    <row r="540" spans="1:65" x14ac:dyDescent="0.25">
      <c r="A540" t="str">
        <f>IFERROR(IF(0=LEN(ReferenceData!$A$540),"",ReferenceData!$A$540),"")</f>
        <v xml:space="preserve">    AUDI AG</v>
      </c>
      <c r="B540" t="str">
        <f>IFERROR(IF(0=LEN(ReferenceData!$B$540),"",ReferenceData!$B$540),"")</f>
        <v>NSU GR Equity</v>
      </c>
      <c r="C540" t="str">
        <f>IFERROR(IF(0=LEN(ReferenceData!$C$540),"",ReferenceData!$C$540),"")</f>
        <v>RX076</v>
      </c>
      <c r="D540" t="str">
        <f>IFERROR(IF(0=LEN(ReferenceData!$D$540),"",ReferenceData!$D$540),"")</f>
        <v>EBIT_YIELD</v>
      </c>
      <c r="E540" t="str">
        <f>IFERROR(IF(0=LEN(ReferenceData!$E$540),"",ReferenceData!$E$540),"")</f>
        <v>Dynamic</v>
      </c>
      <c r="F540" t="str">
        <f ca="1">IFERROR(IF(0=LEN(ReferenceData!$F$540),"",ReferenceData!$F$540),"")</f>
        <v/>
      </c>
      <c r="G540" t="str">
        <f ca="1">IFERROR(IF(0=LEN(ReferenceData!$G$540),"",ReferenceData!$G$540),"")</f>
        <v/>
      </c>
      <c r="H540" t="str">
        <f ca="1">IFERROR(IF(0=LEN(ReferenceData!$H$540),"",ReferenceData!$H$540),"")</f>
        <v/>
      </c>
      <c r="I540" t="str">
        <f ca="1">IFERROR(IF(0=LEN(ReferenceData!$I$540),"",ReferenceData!$I$540),"")</f>
        <v/>
      </c>
      <c r="J540" t="str">
        <f ca="1">IFERROR(IF(0=LEN(ReferenceData!$J$540),"",ReferenceData!$J$540),"")</f>
        <v/>
      </c>
      <c r="K540" t="str">
        <f ca="1">IFERROR(IF(0=LEN(ReferenceData!$K$540),"",ReferenceData!$K$540),"")</f>
        <v/>
      </c>
      <c r="L540" t="str">
        <f ca="1">IFERROR(IF(0=LEN(ReferenceData!$L$540),"",ReferenceData!$L$540),"")</f>
        <v/>
      </c>
      <c r="M540" t="str">
        <f ca="1">IFERROR(IF(0=LEN(ReferenceData!$M$540),"",ReferenceData!$M$540),"")</f>
        <v/>
      </c>
      <c r="N540" t="str">
        <f ca="1">IFERROR(IF(0=LEN(ReferenceData!$N$540),"",ReferenceData!$N$540),"")</f>
        <v/>
      </c>
      <c r="O540" t="str">
        <f ca="1">IFERROR(IF(0=LEN(ReferenceData!$O$540),"",ReferenceData!$O$540),"")</f>
        <v/>
      </c>
      <c r="P540" t="str">
        <f ca="1">IFERROR(IF(0=LEN(ReferenceData!$P$540),"",ReferenceData!$P$540),"")</f>
        <v/>
      </c>
      <c r="Q540" t="str">
        <f ca="1">IFERROR(IF(0=LEN(ReferenceData!$Q$540),"",ReferenceData!$Q$540),"")</f>
        <v/>
      </c>
      <c r="R540" t="str">
        <f ca="1">IFERROR(IF(0=LEN(ReferenceData!$R$540),"",ReferenceData!$R$540),"")</f>
        <v/>
      </c>
      <c r="S540" t="str">
        <f ca="1">IFERROR(IF(0=LEN(ReferenceData!$S$540),"",ReferenceData!$S$540),"")</f>
        <v/>
      </c>
      <c r="T540" t="str">
        <f ca="1">IFERROR(IF(0=LEN(ReferenceData!$T$540),"",ReferenceData!$T$540),"")</f>
        <v/>
      </c>
      <c r="U540" t="str">
        <f ca="1">IFERROR(IF(0=LEN(ReferenceData!$U$540),"",ReferenceData!$U$540),"")</f>
        <v/>
      </c>
      <c r="V540" t="str">
        <f ca="1">IFERROR(IF(0=LEN(ReferenceData!$V$540),"",ReferenceData!$V$540),"")</f>
        <v/>
      </c>
      <c r="W540" t="str">
        <f ca="1">IFERROR(IF(0=LEN(ReferenceData!$W$540),"",ReferenceData!$W$540),"")</f>
        <v/>
      </c>
      <c r="X540" t="str">
        <f ca="1">IFERROR(IF(0=LEN(ReferenceData!$X$540),"",ReferenceData!$X$540),"")</f>
        <v/>
      </c>
      <c r="Y540" t="str">
        <f ca="1">IFERROR(IF(0=LEN(ReferenceData!$Y$540),"",ReferenceData!$Y$540),"")</f>
        <v/>
      </c>
      <c r="Z540" t="str">
        <f ca="1">IFERROR(IF(0=LEN(ReferenceData!$Z$540),"",ReferenceData!$Z$540),"")</f>
        <v/>
      </c>
      <c r="AA540" t="str">
        <f ca="1">IFERROR(IF(0=LEN(ReferenceData!$AA$540),"",ReferenceData!$AA$540),"")</f>
        <v/>
      </c>
      <c r="AB540" t="str">
        <f ca="1">IFERROR(IF(0=LEN(ReferenceData!$AB$540),"",ReferenceData!$AB$540),"")</f>
        <v/>
      </c>
      <c r="AC540" t="str">
        <f ca="1">IFERROR(IF(0=LEN(ReferenceData!$AC$540),"",ReferenceData!$AC$540),"")</f>
        <v/>
      </c>
      <c r="AD540" t="str">
        <f ca="1">IFERROR(IF(0=LEN(ReferenceData!$AD$540),"",ReferenceData!$AD$540),"")</f>
        <v/>
      </c>
      <c r="AE540" t="str">
        <f ca="1">IFERROR(IF(0=LEN(ReferenceData!$AE$540),"",ReferenceData!$AE$540),"")</f>
        <v/>
      </c>
      <c r="AF540" t="str">
        <f ca="1">IFERROR(IF(0=LEN(ReferenceData!$AF$540),"",ReferenceData!$AF$540),"")</f>
        <v/>
      </c>
      <c r="AG540" t="str">
        <f ca="1">IFERROR(IF(0=LEN(ReferenceData!$AG$540),"",ReferenceData!$AG$540),"")</f>
        <v/>
      </c>
      <c r="AH540" t="str">
        <f ca="1">IFERROR(IF(0=LEN(ReferenceData!$AH$540),"",ReferenceData!$AH$540),"")</f>
        <v/>
      </c>
      <c r="AI540" t="str">
        <f ca="1">IFERROR(IF(0=LEN(ReferenceData!$AI$540),"",ReferenceData!$AI$540),"")</f>
        <v/>
      </c>
      <c r="AJ540" t="str">
        <f ca="1">IFERROR(IF(0=LEN(ReferenceData!$AJ$540),"",ReferenceData!$AJ$540),"")</f>
        <v/>
      </c>
      <c r="AK540" t="str">
        <f ca="1">IFERROR(IF(0=LEN(ReferenceData!$AK$540),"",ReferenceData!$AK$540),"")</f>
        <v/>
      </c>
      <c r="AL540" t="str">
        <f ca="1">IFERROR(IF(0=LEN(ReferenceData!$AL$540),"",ReferenceData!$AL$540),"")</f>
        <v/>
      </c>
      <c r="AM540" t="str">
        <f ca="1">IFERROR(IF(0=LEN(ReferenceData!$AM$540),"",ReferenceData!$AM$540),"")</f>
        <v/>
      </c>
      <c r="AN540" t="str">
        <f ca="1">IFERROR(IF(0=LEN(ReferenceData!$AN$540),"",ReferenceData!$AN$540),"")</f>
        <v/>
      </c>
      <c r="AO540" t="str">
        <f ca="1">IFERROR(IF(0=LEN(ReferenceData!$AO$540),"",ReferenceData!$AO$540),"")</f>
        <v/>
      </c>
      <c r="AP540" t="str">
        <f ca="1">IFERROR(IF(0=LEN(ReferenceData!$AP$540),"",ReferenceData!$AP$540),"")</f>
        <v/>
      </c>
      <c r="AQ540" t="str">
        <f ca="1">IFERROR(IF(0=LEN(ReferenceData!$AQ$540),"",ReferenceData!$AQ$540),"")</f>
        <v/>
      </c>
      <c r="AR540" t="str">
        <f ca="1">IFERROR(IF(0=LEN(ReferenceData!$AR$540),"",ReferenceData!$AR$540),"")</f>
        <v/>
      </c>
      <c r="AS540" t="str">
        <f ca="1">IFERROR(IF(0=LEN(ReferenceData!$AS$540),"",ReferenceData!$AS$540),"")</f>
        <v/>
      </c>
      <c r="AT540" t="str">
        <f ca="1">IFERROR(IF(0=LEN(ReferenceData!$AT$540),"",ReferenceData!$AT$540),"")</f>
        <v/>
      </c>
      <c r="AU540" t="str">
        <f ca="1">IFERROR(IF(0=LEN(ReferenceData!$AU$540),"",ReferenceData!$AU$540),"")</f>
        <v/>
      </c>
      <c r="AV540" t="str">
        <f ca="1">IFERROR(IF(0=LEN(ReferenceData!$AV$540),"",ReferenceData!$AV$540),"")</f>
        <v/>
      </c>
      <c r="AW540" t="str">
        <f ca="1">IFERROR(IF(0=LEN(ReferenceData!$AW$540),"",ReferenceData!$AW$540),"")</f>
        <v/>
      </c>
      <c r="AX540" t="str">
        <f ca="1">IFERROR(IF(0=LEN(ReferenceData!$AX$540),"",ReferenceData!$AX$540),"")</f>
        <v/>
      </c>
      <c r="AY540" t="str">
        <f ca="1">IFERROR(IF(0=LEN(ReferenceData!$AY$540),"",ReferenceData!$AY$540),"")</f>
        <v/>
      </c>
      <c r="AZ540" t="str">
        <f ca="1">IFERROR(IF(0=LEN(ReferenceData!$AZ$540),"",ReferenceData!$AZ$540),"")</f>
        <v/>
      </c>
      <c r="BA540" t="str">
        <f ca="1">IFERROR(IF(0=LEN(ReferenceData!$BA$540),"",ReferenceData!$BA$540),"")</f>
        <v/>
      </c>
      <c r="BB540" t="str">
        <f ca="1">IFERROR(IF(0=LEN(ReferenceData!$BB$540),"",ReferenceData!$BB$540),"")</f>
        <v/>
      </c>
      <c r="BC540" t="str">
        <f ca="1">IFERROR(IF(0=LEN(ReferenceData!$BC$540),"",ReferenceData!$BC$540),"")</f>
        <v/>
      </c>
      <c r="BD540" t="str">
        <f ca="1">IFERROR(IF(0=LEN(ReferenceData!$BD$540),"",ReferenceData!$BD$540),"")</f>
        <v/>
      </c>
      <c r="BE540" t="str">
        <f ca="1">IFERROR(IF(0=LEN(ReferenceData!$BE$540),"",ReferenceData!$BE$540),"")</f>
        <v/>
      </c>
      <c r="BF540" t="str">
        <f ca="1">IFERROR(IF(0=LEN(ReferenceData!$BF$540),"",ReferenceData!$BF$540),"")</f>
        <v/>
      </c>
      <c r="BG540" t="str">
        <f ca="1">IFERROR(IF(0=LEN(ReferenceData!$BG$540),"",ReferenceData!$BG$540),"")</f>
        <v/>
      </c>
      <c r="BH540" t="str">
        <f ca="1">IFERROR(IF(0=LEN(ReferenceData!$BH$540),"",ReferenceData!$BH$540),"")</f>
        <v/>
      </c>
      <c r="BI540" t="str">
        <f ca="1">IFERROR(IF(0=LEN(ReferenceData!$BI$540),"",ReferenceData!$BI$540),"")</f>
        <v/>
      </c>
      <c r="BJ540" t="str">
        <f ca="1">IFERROR(IF(0=LEN(ReferenceData!$BJ$540),"",ReferenceData!$BJ$540),"")</f>
        <v/>
      </c>
      <c r="BK540" t="str">
        <f ca="1">IFERROR(IF(0=LEN(ReferenceData!$BK$540),"",ReferenceData!$BK$540),"")</f>
        <v/>
      </c>
      <c r="BL540" t="str">
        <f ca="1">IFERROR(IF(0=LEN(ReferenceData!$BL$540),"",ReferenceData!$BL$540),"")</f>
        <v/>
      </c>
      <c r="BM540" t="str">
        <f ca="1">IFERROR(IF(0=LEN(ReferenceData!$BM$540),"",ReferenceData!$BM$540),"")</f>
        <v/>
      </c>
    </row>
    <row r="541" spans="1:65" x14ac:dyDescent="0.25">
      <c r="A541" t="str">
        <f>IFERROR(IF(0=LEN(ReferenceData!$A$541),"",ReferenceData!$A$541),"")</f>
        <v xml:space="preserve">    Avtovaz PJSC</v>
      </c>
      <c r="B541" t="str">
        <f>IFERROR(IF(0=LEN(ReferenceData!$B$541),"",ReferenceData!$B$541),"")</f>
        <v>AVAZ RM Equity</v>
      </c>
      <c r="C541" t="str">
        <f>IFERROR(IF(0=LEN(ReferenceData!$C$541),"",ReferenceData!$C$541),"")</f>
        <v>RX076</v>
      </c>
      <c r="D541" t="str">
        <f>IFERROR(IF(0=LEN(ReferenceData!$D$541),"",ReferenceData!$D$541),"")</f>
        <v>EBIT_YIELD</v>
      </c>
      <c r="E541" t="str">
        <f>IFERROR(IF(0=LEN(ReferenceData!$E$541),"",ReferenceData!$E$541),"")</f>
        <v>Dynamic</v>
      </c>
      <c r="F541">
        <f ca="1">IFERROR(IF(0=LEN(ReferenceData!$F$541),"",ReferenceData!$F$541),"")</f>
        <v>12.605170859999999</v>
      </c>
      <c r="G541">
        <f ca="1">IFERROR(IF(0=LEN(ReferenceData!$G$541),"",ReferenceData!$G$541),"")</f>
        <v>12.605170859999999</v>
      </c>
      <c r="H541">
        <f ca="1">IFERROR(IF(0=LEN(ReferenceData!$H$541),"",ReferenceData!$H$541),"")</f>
        <v>13.062573690000001</v>
      </c>
      <c r="I541">
        <f ca="1">IFERROR(IF(0=LEN(ReferenceData!$I$541),"",ReferenceData!$I$541),"")</f>
        <v>8.2414124770000008</v>
      </c>
      <c r="J541">
        <f ca="1">IFERROR(IF(0=LEN(ReferenceData!$J$541),"",ReferenceData!$J$541),"")</f>
        <v>5.1997345419999998</v>
      </c>
      <c r="K541">
        <f ca="1">IFERROR(IF(0=LEN(ReferenceData!$K$541),"",ReferenceData!$K$541),"")</f>
        <v>0.13696670499999999</v>
      </c>
      <c r="L541">
        <f ca="1">IFERROR(IF(0=LEN(ReferenceData!$L$541),"",ReferenceData!$L$541),"")</f>
        <v>-25.917286709999999</v>
      </c>
      <c r="M541">
        <f ca="1">IFERROR(IF(0=LEN(ReferenceData!$M$541),"",ReferenceData!$M$541),"")</f>
        <v>-52.210704319999998</v>
      </c>
      <c r="N541">
        <f ca="1">IFERROR(IF(0=LEN(ReferenceData!$N$541),"",ReferenceData!$N$541),"")</f>
        <v>-142.66413130000001</v>
      </c>
      <c r="O541">
        <f ca="1">IFERROR(IF(0=LEN(ReferenceData!$O$541),"",ReferenceData!$O$541),"")</f>
        <v>-178.57629489999999</v>
      </c>
      <c r="P541">
        <f ca="1">IFERROR(IF(0=LEN(ReferenceData!$P$541),"",ReferenceData!$P$541),"")</f>
        <v>-343.33780810000002</v>
      </c>
      <c r="Q541">
        <f ca="1">IFERROR(IF(0=LEN(ReferenceData!$Q$541),"",ReferenceData!$Q$541),"")</f>
        <v>-538.74708369999996</v>
      </c>
      <c r="R541" t="str">
        <f ca="1">IFERROR(IF(0=LEN(ReferenceData!$R$541),"",ReferenceData!$R$541),"")</f>
        <v/>
      </c>
      <c r="S541" t="str">
        <f ca="1">IFERROR(IF(0=LEN(ReferenceData!$S$541),"",ReferenceData!$S$541),"")</f>
        <v/>
      </c>
      <c r="T541" t="str">
        <f ca="1">IFERROR(IF(0=LEN(ReferenceData!$T$541),"",ReferenceData!$T$541),"")</f>
        <v/>
      </c>
      <c r="U541" t="str">
        <f ca="1">IFERROR(IF(0=LEN(ReferenceData!$U$541),"",ReferenceData!$U$541),"")</f>
        <v/>
      </c>
      <c r="V541" t="str">
        <f ca="1">IFERROR(IF(0=LEN(ReferenceData!$V$541),"",ReferenceData!$V$541),"")</f>
        <v/>
      </c>
      <c r="W541" t="str">
        <f ca="1">IFERROR(IF(0=LEN(ReferenceData!$W$541),"",ReferenceData!$W$541),"")</f>
        <v/>
      </c>
      <c r="X541" t="str">
        <f ca="1">IFERROR(IF(0=LEN(ReferenceData!$X$541),"",ReferenceData!$X$541),"")</f>
        <v/>
      </c>
      <c r="Y541" t="str">
        <f ca="1">IFERROR(IF(0=LEN(ReferenceData!$Y$541),"",ReferenceData!$Y$541),"")</f>
        <v/>
      </c>
      <c r="Z541" t="str">
        <f ca="1">IFERROR(IF(0=LEN(ReferenceData!$Z$541),"",ReferenceData!$Z$541),"")</f>
        <v/>
      </c>
      <c r="AA541" t="str">
        <f ca="1">IFERROR(IF(0=LEN(ReferenceData!$AA$541),"",ReferenceData!$AA$541),"")</f>
        <v/>
      </c>
      <c r="AB541" t="str">
        <f ca="1">IFERROR(IF(0=LEN(ReferenceData!$AB$541),"",ReferenceData!$AB$541),"")</f>
        <v/>
      </c>
      <c r="AC541" t="str">
        <f ca="1">IFERROR(IF(0=LEN(ReferenceData!$AC$541),"",ReferenceData!$AC$541),"")</f>
        <v/>
      </c>
      <c r="AD541" t="str">
        <f ca="1">IFERROR(IF(0=LEN(ReferenceData!$AD$541),"",ReferenceData!$AD$541),"")</f>
        <v/>
      </c>
      <c r="AE541" t="str">
        <f ca="1">IFERROR(IF(0=LEN(ReferenceData!$AE$541),"",ReferenceData!$AE$541),"")</f>
        <v/>
      </c>
      <c r="AF541" t="str">
        <f ca="1">IFERROR(IF(0=LEN(ReferenceData!$AF$541),"",ReferenceData!$AF$541),"")</f>
        <v/>
      </c>
      <c r="AG541" t="str">
        <f ca="1">IFERROR(IF(0=LEN(ReferenceData!$AG$541),"",ReferenceData!$AG$541),"")</f>
        <v/>
      </c>
      <c r="AH541" t="str">
        <f ca="1">IFERROR(IF(0=LEN(ReferenceData!$AH$541),"",ReferenceData!$AH$541),"")</f>
        <v/>
      </c>
      <c r="AI541" t="str">
        <f ca="1">IFERROR(IF(0=LEN(ReferenceData!$AI$541),"",ReferenceData!$AI$541),"")</f>
        <v/>
      </c>
      <c r="AJ541" t="str">
        <f ca="1">IFERROR(IF(0=LEN(ReferenceData!$AJ$541),"",ReferenceData!$AJ$541),"")</f>
        <v/>
      </c>
      <c r="AK541" t="str">
        <f ca="1">IFERROR(IF(0=LEN(ReferenceData!$AK$541),"",ReferenceData!$AK$541),"")</f>
        <v/>
      </c>
      <c r="AL541" t="str">
        <f ca="1">IFERROR(IF(0=LEN(ReferenceData!$AL$541),"",ReferenceData!$AL$541),"")</f>
        <v/>
      </c>
      <c r="AM541" t="str">
        <f ca="1">IFERROR(IF(0=LEN(ReferenceData!$AM$541),"",ReferenceData!$AM$541),"")</f>
        <v/>
      </c>
      <c r="AN541" t="str">
        <f ca="1">IFERROR(IF(0=LEN(ReferenceData!$AN$541),"",ReferenceData!$AN$541),"")</f>
        <v/>
      </c>
      <c r="AO541" t="str">
        <f ca="1">IFERROR(IF(0=LEN(ReferenceData!$AO$541),"",ReferenceData!$AO$541),"")</f>
        <v/>
      </c>
      <c r="AP541" t="str">
        <f ca="1">IFERROR(IF(0=LEN(ReferenceData!$AP$541),"",ReferenceData!$AP$541),"")</f>
        <v/>
      </c>
      <c r="AQ541" t="str">
        <f ca="1">IFERROR(IF(0=LEN(ReferenceData!$AQ$541),"",ReferenceData!$AQ$541),"")</f>
        <v/>
      </c>
      <c r="AR541" t="str">
        <f ca="1">IFERROR(IF(0=LEN(ReferenceData!$AR$541),"",ReferenceData!$AR$541),"")</f>
        <v/>
      </c>
      <c r="AS541" t="str">
        <f ca="1">IFERROR(IF(0=LEN(ReferenceData!$AS$541),"",ReferenceData!$AS$541),"")</f>
        <v/>
      </c>
      <c r="AT541" t="str">
        <f ca="1">IFERROR(IF(0=LEN(ReferenceData!$AT$541),"",ReferenceData!$AT$541),"")</f>
        <v/>
      </c>
      <c r="AU541" t="str">
        <f ca="1">IFERROR(IF(0=LEN(ReferenceData!$AU$541),"",ReferenceData!$AU$541),"")</f>
        <v/>
      </c>
      <c r="AV541" t="str">
        <f ca="1">IFERROR(IF(0=LEN(ReferenceData!$AV$541),"",ReferenceData!$AV$541),"")</f>
        <v/>
      </c>
      <c r="AW541" t="str">
        <f ca="1">IFERROR(IF(0=LEN(ReferenceData!$AW$541),"",ReferenceData!$AW$541),"")</f>
        <v/>
      </c>
      <c r="AX541" t="str">
        <f ca="1">IFERROR(IF(0=LEN(ReferenceData!$AX$541),"",ReferenceData!$AX$541),"")</f>
        <v/>
      </c>
      <c r="AY541" t="str">
        <f ca="1">IFERROR(IF(0=LEN(ReferenceData!$AY$541),"",ReferenceData!$AY$541),"")</f>
        <v/>
      </c>
      <c r="AZ541" t="str">
        <f ca="1">IFERROR(IF(0=LEN(ReferenceData!$AZ$541),"",ReferenceData!$AZ$541),"")</f>
        <v/>
      </c>
      <c r="BA541" t="str">
        <f ca="1">IFERROR(IF(0=LEN(ReferenceData!$BA$541),"",ReferenceData!$BA$541),"")</f>
        <v/>
      </c>
      <c r="BB541" t="str">
        <f ca="1">IFERROR(IF(0=LEN(ReferenceData!$BB$541),"",ReferenceData!$BB$541),"")</f>
        <v/>
      </c>
      <c r="BC541" t="str">
        <f ca="1">IFERROR(IF(0=LEN(ReferenceData!$BC$541),"",ReferenceData!$BC$541),"")</f>
        <v/>
      </c>
      <c r="BD541" t="str">
        <f ca="1">IFERROR(IF(0=LEN(ReferenceData!$BD$541),"",ReferenceData!$BD$541),"")</f>
        <v/>
      </c>
      <c r="BE541" t="str">
        <f ca="1">IFERROR(IF(0=LEN(ReferenceData!$BE$541),"",ReferenceData!$BE$541),"")</f>
        <v/>
      </c>
      <c r="BF541" t="str">
        <f ca="1">IFERROR(IF(0=LEN(ReferenceData!$BF$541),"",ReferenceData!$BF$541),"")</f>
        <v/>
      </c>
      <c r="BG541" t="str">
        <f ca="1">IFERROR(IF(0=LEN(ReferenceData!$BG$541),"",ReferenceData!$BG$541),"")</f>
        <v/>
      </c>
      <c r="BH541" t="str">
        <f ca="1">IFERROR(IF(0=LEN(ReferenceData!$BH$541),"",ReferenceData!$BH$541),"")</f>
        <v/>
      </c>
      <c r="BI541" t="str">
        <f ca="1">IFERROR(IF(0=LEN(ReferenceData!$BI$541),"",ReferenceData!$BI$541),"")</f>
        <v/>
      </c>
      <c r="BJ541" t="str">
        <f ca="1">IFERROR(IF(0=LEN(ReferenceData!$BJ$541),"",ReferenceData!$BJ$541),"")</f>
        <v/>
      </c>
      <c r="BK541" t="str">
        <f ca="1">IFERROR(IF(0=LEN(ReferenceData!$BK$541),"",ReferenceData!$BK$541),"")</f>
        <v/>
      </c>
      <c r="BL541" t="str">
        <f ca="1">IFERROR(IF(0=LEN(ReferenceData!$BL$541),"",ReferenceData!$BL$541),"")</f>
        <v/>
      </c>
      <c r="BM541" t="str">
        <f ca="1">IFERROR(IF(0=LEN(ReferenceData!$BM$541),"",ReferenceData!$BM$541),"")</f>
        <v/>
      </c>
    </row>
    <row r="542" spans="1:65" x14ac:dyDescent="0.25">
      <c r="A542" t="str">
        <f>IFERROR(IF(0=LEN(ReferenceData!$A$542),"",ReferenceData!$A$542),"")</f>
        <v xml:space="preserve">    Bayerische Motoren Werke AG</v>
      </c>
      <c r="B542" t="str">
        <f>IFERROR(IF(0=LEN(ReferenceData!$B$542),"",ReferenceData!$B$542),"")</f>
        <v>BMW GR Equity</v>
      </c>
      <c r="C542" t="str">
        <f>IFERROR(IF(0=LEN(ReferenceData!$C$542),"",ReferenceData!$C$542),"")</f>
        <v>RX076</v>
      </c>
      <c r="D542" t="str">
        <f>IFERROR(IF(0=LEN(ReferenceData!$D$542),"",ReferenceData!$D$542),"")</f>
        <v>EBIT_YIELD</v>
      </c>
      <c r="E542" t="str">
        <f>IFERROR(IF(0=LEN(ReferenceData!$E$542),"",ReferenceData!$E$542),"")</f>
        <v>Dynamic</v>
      </c>
      <c r="F542">
        <f ca="1">IFERROR(IF(0=LEN(ReferenceData!$F$542),"",ReferenceData!$F$542),"")</f>
        <v>19.129157190000001</v>
      </c>
      <c r="G542">
        <f ca="1">IFERROR(IF(0=LEN(ReferenceData!$G$542),"",ReferenceData!$G$542),"")</f>
        <v>19.767697649999999</v>
      </c>
      <c r="H542">
        <f ca="1">IFERROR(IF(0=LEN(ReferenceData!$H$542),"",ReferenceData!$H$542),"")</f>
        <v>18.0332416</v>
      </c>
      <c r="I542">
        <f ca="1">IFERROR(IF(0=LEN(ReferenceData!$I$542),"",ReferenceData!$I$542),"")</f>
        <v>19.265703030000001</v>
      </c>
      <c r="J542">
        <f ca="1">IFERROR(IF(0=LEN(ReferenceData!$J$542),"",ReferenceData!$J$542),"")</f>
        <v>17.26891483</v>
      </c>
      <c r="K542">
        <f ca="1">IFERROR(IF(0=LEN(ReferenceData!$K$542),"",ReferenceData!$K$542),"")</f>
        <v>17.70515812</v>
      </c>
      <c r="L542">
        <f ca="1">IFERROR(IF(0=LEN(ReferenceData!$L$542),"",ReferenceData!$L$542),"")</f>
        <v>17.689341429999999</v>
      </c>
      <c r="M542">
        <f ca="1">IFERROR(IF(0=LEN(ReferenceData!$M$542),"",ReferenceData!$M$542),"")</f>
        <v>18.56209312</v>
      </c>
      <c r="N542">
        <f ca="1">IFERROR(IF(0=LEN(ReferenceData!$N$542),"",ReferenceData!$N$542),"")</f>
        <v>17.33398635</v>
      </c>
      <c r="O542">
        <f ca="1">IFERROR(IF(0=LEN(ReferenceData!$O$542),"",ReferenceData!$O$542),"")</f>
        <v>16.079557179999998</v>
      </c>
      <c r="P542">
        <f ca="1">IFERROR(IF(0=LEN(ReferenceData!$P$542),"",ReferenceData!$P$542),"")</f>
        <v>19.846834730000001</v>
      </c>
      <c r="Q542">
        <f ca="1">IFERROR(IF(0=LEN(ReferenceData!$Q$542),"",ReferenceData!$Q$542),"")</f>
        <v>22.382307560000001</v>
      </c>
      <c r="R542">
        <f ca="1">IFERROR(IF(0=LEN(ReferenceData!$R$542),"",ReferenceData!$R$542),"")</f>
        <v>17.958600149999999</v>
      </c>
      <c r="S542">
        <f ca="1">IFERROR(IF(0=LEN(ReferenceData!$S$542),"",ReferenceData!$S$542),"")</f>
        <v>14.948456459999999</v>
      </c>
      <c r="T542">
        <f ca="1">IFERROR(IF(0=LEN(ReferenceData!$T$542),"",ReferenceData!$T$542),"")</f>
        <v>18.484696079999999</v>
      </c>
      <c r="U542">
        <f ca="1">IFERROR(IF(0=LEN(ReferenceData!$U$542),"",ReferenceData!$U$542),"")</f>
        <v>14.682607259999999</v>
      </c>
      <c r="V542">
        <f ca="1">IFERROR(IF(0=LEN(ReferenceData!$V$542),"",ReferenceData!$V$542),"")</f>
        <v>12.60230149</v>
      </c>
      <c r="W542">
        <f ca="1">IFERROR(IF(0=LEN(ReferenceData!$W$542),"",ReferenceData!$W$542),"")</f>
        <v>15.51636126</v>
      </c>
      <c r="X542">
        <f ca="1">IFERROR(IF(0=LEN(ReferenceData!$X$542),"",ReferenceData!$X$542),"")</f>
        <v>15.708368630000001</v>
      </c>
      <c r="Y542">
        <f ca="1">IFERROR(IF(0=LEN(ReferenceData!$Y$542),"",ReferenceData!$Y$542),"")</f>
        <v>14.08070083</v>
      </c>
      <c r="Z542">
        <f ca="1">IFERROR(IF(0=LEN(ReferenceData!$Z$542),"",ReferenceData!$Z$542),"")</f>
        <v>13.34160586</v>
      </c>
      <c r="AA542">
        <f ca="1">IFERROR(IF(0=LEN(ReferenceData!$AA$542),"",ReferenceData!$AA$542),"")</f>
        <v>14.23170023</v>
      </c>
      <c r="AB542">
        <f ca="1">IFERROR(IF(0=LEN(ReferenceData!$AB$542),"",ReferenceData!$AB$542),"")</f>
        <v>15.124003030000001</v>
      </c>
      <c r="AC542">
        <f ca="1">IFERROR(IF(0=LEN(ReferenceData!$AC$542),"",ReferenceData!$AC$542),"")</f>
        <v>18.088870889999999</v>
      </c>
      <c r="AD542">
        <f ca="1">IFERROR(IF(0=LEN(ReferenceData!$AD$542),"",ReferenceData!$AD$542),"")</f>
        <v>18.379130320000002</v>
      </c>
      <c r="AE542">
        <f ca="1">IFERROR(IF(0=LEN(ReferenceData!$AE$542),"",ReferenceData!$AE$542),"")</f>
        <v>17.31001749</v>
      </c>
      <c r="AF542">
        <f ca="1">IFERROR(IF(0=LEN(ReferenceData!$AF$542),"",ReferenceData!$AF$542),"")</f>
        <v>21.536700759999999</v>
      </c>
      <c r="AG542">
        <f ca="1">IFERROR(IF(0=LEN(ReferenceData!$AG$542),"",ReferenceData!$AG$542),"")</f>
        <v>20.99168083</v>
      </c>
      <c r="AH542">
        <f ca="1">IFERROR(IF(0=LEN(ReferenceData!$AH$542),"",ReferenceData!$AH$542),"")</f>
        <v>18.924074099999999</v>
      </c>
      <c r="AI542">
        <f ca="1">IFERROR(IF(0=LEN(ReferenceData!$AI$542),"",ReferenceData!$AI$542),"")</f>
        <v>23.65014175</v>
      </c>
      <c r="AJ542">
        <f ca="1">IFERROR(IF(0=LEN(ReferenceData!$AJ$542),"",ReferenceData!$AJ$542),"")</f>
        <v>25.267819039999999</v>
      </c>
      <c r="AK542">
        <f ca="1">IFERROR(IF(0=LEN(ReferenceData!$AK$542),"",ReferenceData!$AK$542),"")</f>
        <v>17.198266440000001</v>
      </c>
      <c r="AL542">
        <f ca="1">IFERROR(IF(0=LEN(ReferenceData!$AL$542),"",ReferenceData!$AL$542),"")</f>
        <v>17.102423569999999</v>
      </c>
      <c r="AM542">
        <f ca="1">IFERROR(IF(0=LEN(ReferenceData!$AM$542),"",ReferenceData!$AM$542),"")</f>
        <v>13.60357278</v>
      </c>
      <c r="AN542">
        <f ca="1">IFERROR(IF(0=LEN(ReferenceData!$AN$542),"",ReferenceData!$AN$542),"")</f>
        <v>10.410663449999999</v>
      </c>
      <c r="AO542">
        <f ca="1">IFERROR(IF(0=LEN(ReferenceData!$AO$542),"",ReferenceData!$AO$542),"")</f>
        <v>9.0111676309999993</v>
      </c>
      <c r="AP542">
        <f ca="1">IFERROR(IF(0=LEN(ReferenceData!$AP$542),"",ReferenceData!$AP$542),"")</f>
        <v>3.6618778380000001</v>
      </c>
      <c r="AQ542">
        <f ca="1">IFERROR(IF(0=LEN(ReferenceData!$AQ$542),"",ReferenceData!$AQ$542),"")</f>
        <v>1.5198305759999999</v>
      </c>
      <c r="AR542">
        <f ca="1">IFERROR(IF(0=LEN(ReferenceData!$AR$542),"",ReferenceData!$AR$542),"")</f>
        <v>-0.99600267799999997</v>
      </c>
      <c r="AS542">
        <f ca="1">IFERROR(IF(0=LEN(ReferenceData!$AS$542),"",ReferenceData!$AS$542),"")</f>
        <v>0.67268193700000001</v>
      </c>
      <c r="AT542">
        <f ca="1">IFERROR(IF(0=LEN(ReferenceData!$AT$542),"",ReferenceData!$AT$542),"")</f>
        <v>2.637797146</v>
      </c>
      <c r="AU542">
        <f ca="1">IFERROR(IF(0=LEN(ReferenceData!$AU$542),"",ReferenceData!$AU$542),"")</f>
        <v>8.8908790110000009</v>
      </c>
      <c r="AV542">
        <f ca="1">IFERROR(IF(0=LEN(ReferenceData!$AV$542),"",ReferenceData!$AV$542),"")</f>
        <v>15.26992703</v>
      </c>
      <c r="AW542">
        <f ca="1">IFERROR(IF(0=LEN(ReferenceData!$AW$542),"",ReferenceData!$AW$542),"")</f>
        <v>16.680472810000001</v>
      </c>
      <c r="AX542">
        <f ca="1">IFERROR(IF(0=LEN(ReferenceData!$AX$542),"",ReferenceData!$AX$542),"")</f>
        <v>17.166727810000001</v>
      </c>
      <c r="AY542">
        <f ca="1">IFERROR(IF(0=LEN(ReferenceData!$AY$542),"",ReferenceData!$AY$542),"")</f>
        <v>14.36285573</v>
      </c>
      <c r="AZ542">
        <f ca="1">IFERROR(IF(0=LEN(ReferenceData!$AZ$542),"",ReferenceData!$AZ$542),"")</f>
        <v>12.86149071</v>
      </c>
      <c r="BA542">
        <f ca="1">IFERROR(IF(0=LEN(ReferenceData!$BA$542),"",ReferenceData!$BA$542),"")</f>
        <v>11.950930619999999</v>
      </c>
      <c r="BB542">
        <f ca="1">IFERROR(IF(0=LEN(ReferenceData!$BB$542),"",ReferenceData!$BB$542),"")</f>
        <v>13.703207259999999</v>
      </c>
      <c r="BC542">
        <f ca="1">IFERROR(IF(0=LEN(ReferenceData!$BC$542),"",ReferenceData!$BC$542),"")</f>
        <v>13.773304359999999</v>
      </c>
      <c r="BD542">
        <f ca="1">IFERROR(IF(0=LEN(ReferenceData!$BD$542),"",ReferenceData!$BD$542),"")</f>
        <v>14.594647699999999</v>
      </c>
      <c r="BE542">
        <f ca="1">IFERROR(IF(0=LEN(ReferenceData!$BE$542),"",ReferenceData!$BE$542),"")</f>
        <v>15.64494818</v>
      </c>
      <c r="BF542">
        <f ca="1">IFERROR(IF(0=LEN(ReferenceData!$BF$542),"",ReferenceData!$BF$542),"")</f>
        <v>12.84102961</v>
      </c>
      <c r="BG542">
        <f ca="1">IFERROR(IF(0=LEN(ReferenceData!$BG$542),"",ReferenceData!$BG$542),"")</f>
        <v>15.45977536</v>
      </c>
      <c r="BH542">
        <f ca="1">IFERROR(IF(0=LEN(ReferenceData!$BH$542),"",ReferenceData!$BH$542),"")</f>
        <v>14.01793741</v>
      </c>
      <c r="BI542">
        <f ca="1">IFERROR(IF(0=LEN(ReferenceData!$BI$542),"",ReferenceData!$BI$542),"")</f>
        <v>14.25164803</v>
      </c>
      <c r="BJ542">
        <f ca="1">IFERROR(IF(0=LEN(ReferenceData!$BJ$542),"",ReferenceData!$BJ$542),"")</f>
        <v>15.489004599999999</v>
      </c>
      <c r="BK542">
        <f ca="1">IFERROR(IF(0=LEN(ReferenceData!$BK$542),"",ReferenceData!$BK$542),"")</f>
        <v>16.717297670000001</v>
      </c>
      <c r="BL542">
        <f ca="1">IFERROR(IF(0=LEN(ReferenceData!$BL$542),"",ReferenceData!$BL$542),"")</f>
        <v>16.719162560000001</v>
      </c>
      <c r="BM542">
        <f ca="1">IFERROR(IF(0=LEN(ReferenceData!$BM$542),"",ReferenceData!$BM$542),"")</f>
        <v>15.1740432</v>
      </c>
    </row>
    <row r="543" spans="1:65" x14ac:dyDescent="0.25">
      <c r="A543" t="str">
        <f>IFERROR(IF(0=LEN(ReferenceData!$A$543),"",ReferenceData!$A$543),"")</f>
        <v xml:space="preserve">    Brilliance China Automotive Holdings Ltd</v>
      </c>
      <c r="B543" t="str">
        <f>IFERROR(IF(0=LEN(ReferenceData!$B$543),"",ReferenceData!$B$543),"")</f>
        <v>1114 HK Equity</v>
      </c>
      <c r="C543" t="str">
        <f>IFERROR(IF(0=LEN(ReferenceData!$C$543),"",ReferenceData!$C$543),"")</f>
        <v>RX076</v>
      </c>
      <c r="D543" t="str">
        <f>IFERROR(IF(0=LEN(ReferenceData!$D$543),"",ReferenceData!$D$543),"")</f>
        <v>EBIT_YIELD</v>
      </c>
      <c r="E543" t="str">
        <f>IFERROR(IF(0=LEN(ReferenceData!$E$543),"",ReferenceData!$E$543),"")</f>
        <v>Dynamic</v>
      </c>
      <c r="F543" t="str">
        <f ca="1">IFERROR(IF(0=LEN(ReferenceData!$F$543),"",ReferenceData!$F$543),"")</f>
        <v/>
      </c>
      <c r="G543" t="str">
        <f ca="1">IFERROR(IF(0=LEN(ReferenceData!$G$543),"",ReferenceData!$G$543),"")</f>
        <v/>
      </c>
      <c r="H543" t="str">
        <f ca="1">IFERROR(IF(0=LEN(ReferenceData!$H$543),"",ReferenceData!$H$543),"")</f>
        <v/>
      </c>
      <c r="I543" t="str">
        <f ca="1">IFERROR(IF(0=LEN(ReferenceData!$I$543),"",ReferenceData!$I$543),"")</f>
        <v/>
      </c>
      <c r="J543" t="str">
        <f ca="1">IFERROR(IF(0=LEN(ReferenceData!$J$543),"",ReferenceData!$J$543),"")</f>
        <v/>
      </c>
      <c r="K543" t="str">
        <f ca="1">IFERROR(IF(0=LEN(ReferenceData!$K$543),"",ReferenceData!$K$543),"")</f>
        <v/>
      </c>
      <c r="L543" t="str">
        <f ca="1">IFERROR(IF(0=LEN(ReferenceData!$L$543),"",ReferenceData!$L$543),"")</f>
        <v/>
      </c>
      <c r="M543" t="str">
        <f ca="1">IFERROR(IF(0=LEN(ReferenceData!$M$543),"",ReferenceData!$M$543),"")</f>
        <v/>
      </c>
      <c r="N543" t="str">
        <f ca="1">IFERROR(IF(0=LEN(ReferenceData!$N$543),"",ReferenceData!$N$543),"")</f>
        <v/>
      </c>
      <c r="O543" t="str">
        <f ca="1">IFERROR(IF(0=LEN(ReferenceData!$O$543),"",ReferenceData!$O$543),"")</f>
        <v/>
      </c>
      <c r="P543" t="str">
        <f ca="1">IFERROR(IF(0=LEN(ReferenceData!$P$543),"",ReferenceData!$P$543),"")</f>
        <v/>
      </c>
      <c r="Q543" t="str">
        <f ca="1">IFERROR(IF(0=LEN(ReferenceData!$Q$543),"",ReferenceData!$Q$543),"")</f>
        <v/>
      </c>
      <c r="R543" t="str">
        <f ca="1">IFERROR(IF(0=LEN(ReferenceData!$R$543),"",ReferenceData!$R$543),"")</f>
        <v/>
      </c>
      <c r="S543" t="str">
        <f ca="1">IFERROR(IF(0=LEN(ReferenceData!$S$543),"",ReferenceData!$S$543),"")</f>
        <v/>
      </c>
      <c r="T543" t="str">
        <f ca="1">IFERROR(IF(0=LEN(ReferenceData!$T$543),"",ReferenceData!$T$543),"")</f>
        <v/>
      </c>
      <c r="U543" t="str">
        <f ca="1">IFERROR(IF(0=LEN(ReferenceData!$U$543),"",ReferenceData!$U$543),"")</f>
        <v/>
      </c>
      <c r="V543" t="str">
        <f ca="1">IFERROR(IF(0=LEN(ReferenceData!$V$543),"",ReferenceData!$V$543),"")</f>
        <v/>
      </c>
      <c r="W543" t="str">
        <f ca="1">IFERROR(IF(0=LEN(ReferenceData!$W$543),"",ReferenceData!$W$543),"")</f>
        <v/>
      </c>
      <c r="X543" t="str">
        <f ca="1">IFERROR(IF(0=LEN(ReferenceData!$X$543),"",ReferenceData!$X$543),"")</f>
        <v/>
      </c>
      <c r="Y543" t="str">
        <f ca="1">IFERROR(IF(0=LEN(ReferenceData!$Y$543),"",ReferenceData!$Y$543),"")</f>
        <v/>
      </c>
      <c r="Z543" t="str">
        <f ca="1">IFERROR(IF(0=LEN(ReferenceData!$Z$543),"",ReferenceData!$Z$543),"")</f>
        <v/>
      </c>
      <c r="AA543" t="str">
        <f ca="1">IFERROR(IF(0=LEN(ReferenceData!$AA$543),"",ReferenceData!$AA$543),"")</f>
        <v/>
      </c>
      <c r="AB543" t="str">
        <f ca="1">IFERROR(IF(0=LEN(ReferenceData!$AB$543),"",ReferenceData!$AB$543),"")</f>
        <v/>
      </c>
      <c r="AC543" t="str">
        <f ca="1">IFERROR(IF(0=LEN(ReferenceData!$AC$543),"",ReferenceData!$AC$543),"")</f>
        <v/>
      </c>
      <c r="AD543" t="str">
        <f ca="1">IFERROR(IF(0=LEN(ReferenceData!$AD$543),"",ReferenceData!$AD$543),"")</f>
        <v/>
      </c>
      <c r="AE543" t="str">
        <f ca="1">IFERROR(IF(0=LEN(ReferenceData!$AE$543),"",ReferenceData!$AE$543),"")</f>
        <v/>
      </c>
      <c r="AF543" t="str">
        <f ca="1">IFERROR(IF(0=LEN(ReferenceData!$AF$543),"",ReferenceData!$AF$543),"")</f>
        <v/>
      </c>
      <c r="AG543" t="str">
        <f ca="1">IFERROR(IF(0=LEN(ReferenceData!$AG$543),"",ReferenceData!$AG$543),"")</f>
        <v/>
      </c>
      <c r="AH543" t="str">
        <f ca="1">IFERROR(IF(0=LEN(ReferenceData!$AH$543),"",ReferenceData!$AH$543),"")</f>
        <v/>
      </c>
      <c r="AI543" t="str">
        <f ca="1">IFERROR(IF(0=LEN(ReferenceData!$AI$543),"",ReferenceData!$AI$543),"")</f>
        <v/>
      </c>
      <c r="AJ543" t="str">
        <f ca="1">IFERROR(IF(0=LEN(ReferenceData!$AJ$543),"",ReferenceData!$AJ$543),"")</f>
        <v/>
      </c>
      <c r="AK543" t="str">
        <f ca="1">IFERROR(IF(0=LEN(ReferenceData!$AK$543),"",ReferenceData!$AK$543),"")</f>
        <v/>
      </c>
      <c r="AL543" t="str">
        <f ca="1">IFERROR(IF(0=LEN(ReferenceData!$AL$543),"",ReferenceData!$AL$543),"")</f>
        <v/>
      </c>
      <c r="AM543" t="str">
        <f ca="1">IFERROR(IF(0=LEN(ReferenceData!$AM$543),"",ReferenceData!$AM$543),"")</f>
        <v/>
      </c>
      <c r="AN543" t="str">
        <f ca="1">IFERROR(IF(0=LEN(ReferenceData!$AN$543),"",ReferenceData!$AN$543),"")</f>
        <v/>
      </c>
      <c r="AO543" t="str">
        <f ca="1">IFERROR(IF(0=LEN(ReferenceData!$AO$543),"",ReferenceData!$AO$543),"")</f>
        <v/>
      </c>
      <c r="AP543" t="str">
        <f ca="1">IFERROR(IF(0=LEN(ReferenceData!$AP$543),"",ReferenceData!$AP$543),"")</f>
        <v/>
      </c>
      <c r="AQ543" t="str">
        <f ca="1">IFERROR(IF(0=LEN(ReferenceData!$AQ$543),"",ReferenceData!$AQ$543),"")</f>
        <v/>
      </c>
      <c r="AR543" t="str">
        <f ca="1">IFERROR(IF(0=LEN(ReferenceData!$AR$543),"",ReferenceData!$AR$543),"")</f>
        <v/>
      </c>
      <c r="AS543" t="str">
        <f ca="1">IFERROR(IF(0=LEN(ReferenceData!$AS$543),"",ReferenceData!$AS$543),"")</f>
        <v/>
      </c>
      <c r="AT543" t="str">
        <f ca="1">IFERROR(IF(0=LEN(ReferenceData!$AT$543),"",ReferenceData!$AT$543),"")</f>
        <v/>
      </c>
      <c r="AU543" t="str">
        <f ca="1">IFERROR(IF(0=LEN(ReferenceData!$AU$543),"",ReferenceData!$AU$543),"")</f>
        <v/>
      </c>
      <c r="AV543" t="str">
        <f ca="1">IFERROR(IF(0=LEN(ReferenceData!$AV$543),"",ReferenceData!$AV$543),"")</f>
        <v/>
      </c>
      <c r="AW543" t="str">
        <f ca="1">IFERROR(IF(0=LEN(ReferenceData!$AW$543),"",ReferenceData!$AW$543),"")</f>
        <v/>
      </c>
      <c r="AX543" t="str">
        <f ca="1">IFERROR(IF(0=LEN(ReferenceData!$AX$543),"",ReferenceData!$AX$543),"")</f>
        <v/>
      </c>
      <c r="AY543" t="str">
        <f ca="1">IFERROR(IF(0=LEN(ReferenceData!$AY$543),"",ReferenceData!$AY$543),"")</f>
        <v/>
      </c>
      <c r="AZ543" t="str">
        <f ca="1">IFERROR(IF(0=LEN(ReferenceData!$AZ$543),"",ReferenceData!$AZ$543),"")</f>
        <v/>
      </c>
      <c r="BA543" t="str">
        <f ca="1">IFERROR(IF(0=LEN(ReferenceData!$BA$543),"",ReferenceData!$BA$543),"")</f>
        <v/>
      </c>
      <c r="BB543" t="str">
        <f ca="1">IFERROR(IF(0=LEN(ReferenceData!$BB$543),"",ReferenceData!$BB$543),"")</f>
        <v/>
      </c>
      <c r="BC543" t="str">
        <f ca="1">IFERROR(IF(0=LEN(ReferenceData!$BC$543),"",ReferenceData!$BC$543),"")</f>
        <v/>
      </c>
      <c r="BD543" t="str">
        <f ca="1">IFERROR(IF(0=LEN(ReferenceData!$BD$543),"",ReferenceData!$BD$543),"")</f>
        <v/>
      </c>
      <c r="BE543" t="str">
        <f ca="1">IFERROR(IF(0=LEN(ReferenceData!$BE$543),"",ReferenceData!$BE$543),"")</f>
        <v/>
      </c>
      <c r="BF543" t="str">
        <f ca="1">IFERROR(IF(0=LEN(ReferenceData!$BF$543),"",ReferenceData!$BF$543),"")</f>
        <v/>
      </c>
      <c r="BG543" t="str">
        <f ca="1">IFERROR(IF(0=LEN(ReferenceData!$BG$543),"",ReferenceData!$BG$543),"")</f>
        <v/>
      </c>
      <c r="BH543" t="str">
        <f ca="1">IFERROR(IF(0=LEN(ReferenceData!$BH$543),"",ReferenceData!$BH$543),"")</f>
        <v/>
      </c>
      <c r="BI543" t="str">
        <f ca="1">IFERROR(IF(0=LEN(ReferenceData!$BI$543),"",ReferenceData!$BI$543),"")</f>
        <v/>
      </c>
      <c r="BJ543" t="str">
        <f ca="1">IFERROR(IF(0=LEN(ReferenceData!$BJ$543),"",ReferenceData!$BJ$543),"")</f>
        <v/>
      </c>
      <c r="BK543" t="str">
        <f ca="1">IFERROR(IF(0=LEN(ReferenceData!$BK$543),"",ReferenceData!$BK$543),"")</f>
        <v/>
      </c>
      <c r="BL543" t="str">
        <f ca="1">IFERROR(IF(0=LEN(ReferenceData!$BL$543),"",ReferenceData!$BL$543),"")</f>
        <v/>
      </c>
      <c r="BM543" t="str">
        <f ca="1">IFERROR(IF(0=LEN(ReferenceData!$BM$543),"",ReferenceData!$BM$543),"")</f>
        <v/>
      </c>
    </row>
    <row r="544" spans="1:65" x14ac:dyDescent="0.25">
      <c r="A544" t="str">
        <f>IFERROR(IF(0=LEN(ReferenceData!$A$544),"",ReferenceData!$A$544),"")</f>
        <v xml:space="preserve">    BYD Co Ltd</v>
      </c>
      <c r="B544" t="str">
        <f>IFERROR(IF(0=LEN(ReferenceData!$B$544),"",ReferenceData!$B$544),"")</f>
        <v>1211 HK Equity</v>
      </c>
      <c r="C544" t="str">
        <f>IFERROR(IF(0=LEN(ReferenceData!$C$544),"",ReferenceData!$C$544),"")</f>
        <v>RX076</v>
      </c>
      <c r="D544" t="str">
        <f>IFERROR(IF(0=LEN(ReferenceData!$D$544),"",ReferenceData!$D$544),"")</f>
        <v>EBIT_YIELD</v>
      </c>
      <c r="E544" t="str">
        <f>IFERROR(IF(0=LEN(ReferenceData!$E$544),"",ReferenceData!$E$544),"")</f>
        <v>Dynamic</v>
      </c>
      <c r="F544">
        <f ca="1">IFERROR(IF(0=LEN(ReferenceData!$F$544),"",ReferenceData!$F$544),"")</f>
        <v>5.1516976489999999</v>
      </c>
      <c r="G544">
        <f ca="1">IFERROR(IF(0=LEN(ReferenceData!$G$544),"",ReferenceData!$G$544),"")</f>
        <v>5.048275469</v>
      </c>
      <c r="H544">
        <f ca="1">IFERROR(IF(0=LEN(ReferenceData!$H$544),"",ReferenceData!$H$544),"")</f>
        <v>4.4891534569999996</v>
      </c>
      <c r="I544">
        <f ca="1">IFERROR(IF(0=LEN(ReferenceData!$I$544),"",ReferenceData!$I$544),"")</f>
        <v>5.7463687439999998</v>
      </c>
      <c r="J544">
        <f ca="1">IFERROR(IF(0=LEN(ReferenceData!$J$544),"",ReferenceData!$J$544),"")</f>
        <v>5.7790851869999997</v>
      </c>
      <c r="K544">
        <f ca="1">IFERROR(IF(0=LEN(ReferenceData!$K$544),"",ReferenceData!$K$544),"")</f>
        <v>5.1000536209999998</v>
      </c>
      <c r="L544">
        <f ca="1">IFERROR(IF(0=LEN(ReferenceData!$L$544),"",ReferenceData!$L$544),"")</f>
        <v>4.6883247749999999</v>
      </c>
      <c r="M544">
        <f ca="1">IFERROR(IF(0=LEN(ReferenceData!$M$544),"",ReferenceData!$M$544),"")</f>
        <v>6.9652507010000004</v>
      </c>
      <c r="N544">
        <f ca="1">IFERROR(IF(0=LEN(ReferenceData!$N$544),"",ReferenceData!$N$544),"")</f>
        <v>7.5761566089999999</v>
      </c>
      <c r="O544">
        <f ca="1">IFERROR(IF(0=LEN(ReferenceData!$O$544),"",ReferenceData!$O$544),"")</f>
        <v>8.2623659919999994</v>
      </c>
      <c r="P544">
        <f ca="1">IFERROR(IF(0=LEN(ReferenceData!$P$544),"",ReferenceData!$P$544),"")</f>
        <v>6.4418602930000004</v>
      </c>
      <c r="Q544">
        <f ca="1">IFERROR(IF(0=LEN(ReferenceData!$Q$544),"",ReferenceData!$Q$544),"")</f>
        <v>5.8489125880000001</v>
      </c>
      <c r="R544">
        <f ca="1">IFERROR(IF(0=LEN(ReferenceData!$R$544),"",ReferenceData!$R$544),"")</f>
        <v>4.6866990990000001</v>
      </c>
      <c r="S544">
        <f ca="1">IFERROR(IF(0=LEN(ReferenceData!$S$544),"",ReferenceData!$S$544),"")</f>
        <v>3.859376004</v>
      </c>
      <c r="T544">
        <f ca="1">IFERROR(IF(0=LEN(ReferenceData!$T$544),"",ReferenceData!$T$544),"")</f>
        <v>2.8806373010000001</v>
      </c>
      <c r="U544">
        <f ca="1">IFERROR(IF(0=LEN(ReferenceData!$U$544),"",ReferenceData!$U$544),"")</f>
        <v>1.465832241</v>
      </c>
      <c r="V544">
        <f ca="1">IFERROR(IF(0=LEN(ReferenceData!$V$544),"",ReferenceData!$V$544),"")</f>
        <v>1.7478417909999999</v>
      </c>
      <c r="W544">
        <f ca="1">IFERROR(IF(0=LEN(ReferenceData!$W$544),"",ReferenceData!$W$544),"")</f>
        <v>1.9829566300000001</v>
      </c>
      <c r="X544">
        <f ca="1">IFERROR(IF(0=LEN(ReferenceData!$X$544),"",ReferenceData!$X$544),"")</f>
        <v>0.99900089999999997</v>
      </c>
      <c r="Y544">
        <f ca="1">IFERROR(IF(0=LEN(ReferenceData!$Y$544),"",ReferenceData!$Y$544),"")</f>
        <v>1.724362253</v>
      </c>
      <c r="Z544">
        <f ca="1">IFERROR(IF(0=LEN(ReferenceData!$Z$544),"",ReferenceData!$Z$544),"")</f>
        <v>1.4042287979999999</v>
      </c>
      <c r="AA544">
        <f ca="1">IFERROR(IF(0=LEN(ReferenceData!$AA$544),"",ReferenceData!$AA$544),"")</f>
        <v>1.8836919940000001</v>
      </c>
      <c r="AB544">
        <f ca="1">IFERROR(IF(0=LEN(ReferenceData!$AB$544),"",ReferenceData!$AB$544),"")</f>
        <v>0.14839455700000001</v>
      </c>
      <c r="AC544">
        <f ca="1">IFERROR(IF(0=LEN(ReferenceData!$AC$544),"",ReferenceData!$AC$544),"")</f>
        <v>-0.29539542400000002</v>
      </c>
      <c r="AD544">
        <f ca="1">IFERROR(IF(0=LEN(ReferenceData!$AD$544),"",ReferenceData!$AD$544),"")</f>
        <v>-1.055128439</v>
      </c>
      <c r="AE544">
        <f ca="1">IFERROR(IF(0=LEN(ReferenceData!$AE$544),"",ReferenceData!$AE$544),"")</f>
        <v>-1.48266136</v>
      </c>
      <c r="AF544">
        <f ca="1">IFERROR(IF(0=LEN(ReferenceData!$AF$544),"",ReferenceData!$AF$544),"")</f>
        <v>4.3094045640000003</v>
      </c>
      <c r="AG544">
        <f ca="1">IFERROR(IF(0=LEN(ReferenceData!$AG$544),"",ReferenceData!$AG$544),"")</f>
        <v>4.661402753</v>
      </c>
      <c r="AH544" t="str">
        <f ca="1">IFERROR(IF(0=LEN(ReferenceData!$AH$544),"",ReferenceData!$AH$544),"")</f>
        <v/>
      </c>
      <c r="AI544" t="str">
        <f ca="1">IFERROR(IF(0=LEN(ReferenceData!$AI$544),"",ReferenceData!$AI$544),"")</f>
        <v/>
      </c>
      <c r="AJ544">
        <f ca="1">IFERROR(IF(0=LEN(ReferenceData!$AJ$544),"",ReferenceData!$AJ$544),"")</f>
        <v>13.929210230000001</v>
      </c>
      <c r="AK544">
        <f ca="1">IFERROR(IF(0=LEN(ReferenceData!$AK$544),"",ReferenceData!$AK$544),"")</f>
        <v>7.3072961760000004</v>
      </c>
      <c r="AL544">
        <f ca="1">IFERROR(IF(0=LEN(ReferenceData!$AL$544),"",ReferenceData!$AL$544),"")</f>
        <v>6.0836217299999999</v>
      </c>
      <c r="AM544">
        <f ca="1">IFERROR(IF(0=LEN(ReferenceData!$AM$544),"",ReferenceData!$AM$544),"")</f>
        <v>4.4081560279999996</v>
      </c>
      <c r="AN544">
        <f ca="1">IFERROR(IF(0=LEN(ReferenceData!$AN$544),"",ReferenceData!$AN$544),"")</f>
        <v>3.9867449179999999</v>
      </c>
      <c r="AO544">
        <f ca="1">IFERROR(IF(0=LEN(ReferenceData!$AO$544),"",ReferenceData!$AO$544),"")</f>
        <v>5.2694315610000002</v>
      </c>
      <c r="AP544" t="str">
        <f ca="1">IFERROR(IF(0=LEN(ReferenceData!$AP$544),"",ReferenceData!$AP$544),"")</f>
        <v/>
      </c>
      <c r="AQ544" t="str">
        <f ca="1">IFERROR(IF(0=LEN(ReferenceData!$AQ$544),"",ReferenceData!$AQ$544),"")</f>
        <v/>
      </c>
      <c r="AR544" t="str">
        <f ca="1">IFERROR(IF(0=LEN(ReferenceData!$AR$544),"",ReferenceData!$AR$544),"")</f>
        <v/>
      </c>
      <c r="AS544" t="str">
        <f ca="1">IFERROR(IF(0=LEN(ReferenceData!$AS$544),"",ReferenceData!$AS$544),"")</f>
        <v/>
      </c>
      <c r="AT544" t="str">
        <f ca="1">IFERROR(IF(0=LEN(ReferenceData!$AT$544),"",ReferenceData!$AT$544),"")</f>
        <v/>
      </c>
      <c r="AU544" t="str">
        <f ca="1">IFERROR(IF(0=LEN(ReferenceData!$AU$544),"",ReferenceData!$AU$544),"")</f>
        <v/>
      </c>
      <c r="AV544" t="str">
        <f ca="1">IFERROR(IF(0=LEN(ReferenceData!$AV$544),"",ReferenceData!$AV$544),"")</f>
        <v/>
      </c>
      <c r="AW544" t="str">
        <f ca="1">IFERROR(IF(0=LEN(ReferenceData!$AW$544),"",ReferenceData!$AW$544),"")</f>
        <v/>
      </c>
      <c r="AX544" t="str">
        <f ca="1">IFERROR(IF(0=LEN(ReferenceData!$AX$544),"",ReferenceData!$AX$544),"")</f>
        <v/>
      </c>
      <c r="AY544" t="str">
        <f ca="1">IFERROR(IF(0=LEN(ReferenceData!$AY$544),"",ReferenceData!$AY$544),"")</f>
        <v/>
      </c>
      <c r="AZ544" t="str">
        <f ca="1">IFERROR(IF(0=LEN(ReferenceData!$AZ$544),"",ReferenceData!$AZ$544),"")</f>
        <v/>
      </c>
      <c r="BA544" t="str">
        <f ca="1">IFERROR(IF(0=LEN(ReferenceData!$BA$544),"",ReferenceData!$BA$544),"")</f>
        <v/>
      </c>
      <c r="BB544" t="str">
        <f ca="1">IFERROR(IF(0=LEN(ReferenceData!$BB$544),"",ReferenceData!$BB$544),"")</f>
        <v/>
      </c>
      <c r="BC544" t="str">
        <f ca="1">IFERROR(IF(0=LEN(ReferenceData!$BC$544),"",ReferenceData!$BC$544),"")</f>
        <v/>
      </c>
      <c r="BD544" t="str">
        <f ca="1">IFERROR(IF(0=LEN(ReferenceData!$BD$544),"",ReferenceData!$BD$544),"")</f>
        <v/>
      </c>
      <c r="BE544" t="str">
        <f ca="1">IFERROR(IF(0=LEN(ReferenceData!$BE$544),"",ReferenceData!$BE$544),"")</f>
        <v/>
      </c>
      <c r="BF544" t="str">
        <f ca="1">IFERROR(IF(0=LEN(ReferenceData!$BF$544),"",ReferenceData!$BF$544),"")</f>
        <v/>
      </c>
      <c r="BG544" t="str">
        <f ca="1">IFERROR(IF(0=LEN(ReferenceData!$BG$544),"",ReferenceData!$BG$544),"")</f>
        <v/>
      </c>
      <c r="BH544" t="str">
        <f ca="1">IFERROR(IF(0=LEN(ReferenceData!$BH$544),"",ReferenceData!$BH$544),"")</f>
        <v/>
      </c>
      <c r="BI544" t="str">
        <f ca="1">IFERROR(IF(0=LEN(ReferenceData!$BI$544),"",ReferenceData!$BI$544),"")</f>
        <v/>
      </c>
      <c r="BJ544" t="str">
        <f ca="1">IFERROR(IF(0=LEN(ReferenceData!$BJ$544),"",ReferenceData!$BJ$544),"")</f>
        <v/>
      </c>
      <c r="BK544" t="str">
        <f ca="1">IFERROR(IF(0=LEN(ReferenceData!$BK$544),"",ReferenceData!$BK$544),"")</f>
        <v/>
      </c>
      <c r="BL544" t="str">
        <f ca="1">IFERROR(IF(0=LEN(ReferenceData!$BL$544),"",ReferenceData!$BL$544),"")</f>
        <v/>
      </c>
      <c r="BM544" t="str">
        <f ca="1">IFERROR(IF(0=LEN(ReferenceData!$BM$544),"",ReferenceData!$BM$544),"")</f>
        <v/>
      </c>
    </row>
    <row r="545" spans="1:65" x14ac:dyDescent="0.25">
      <c r="A545" t="str">
        <f>IFERROR(IF(0=LEN(ReferenceData!$A$545),"",ReferenceData!$A$545),"")</f>
        <v xml:space="preserve">    Chongqing Changan Automobile Co Ltd</v>
      </c>
      <c r="B545" t="str">
        <f>IFERROR(IF(0=LEN(ReferenceData!$B$545),"",ReferenceData!$B$545),"")</f>
        <v>200625 CH Equity</v>
      </c>
      <c r="C545" t="str">
        <f>IFERROR(IF(0=LEN(ReferenceData!$C$545),"",ReferenceData!$C$545),"")</f>
        <v>RX076</v>
      </c>
      <c r="D545" t="str">
        <f>IFERROR(IF(0=LEN(ReferenceData!$D$545),"",ReferenceData!$D$545),"")</f>
        <v>EBIT_YIELD</v>
      </c>
      <c r="E545" t="str">
        <f>IFERROR(IF(0=LEN(ReferenceData!$E$545),"",ReferenceData!$E$545),"")</f>
        <v>Dynamic</v>
      </c>
      <c r="F545">
        <f ca="1">IFERROR(IF(0=LEN(ReferenceData!$F$545),"",ReferenceData!$F$545),"")</f>
        <v>-2.6059075040000002</v>
      </c>
      <c r="G545">
        <f ca="1">IFERROR(IF(0=LEN(ReferenceData!$G$545),"",ReferenceData!$G$545),"")</f>
        <v>-3.1486699909999998</v>
      </c>
      <c r="H545">
        <f ca="1">IFERROR(IF(0=LEN(ReferenceData!$H$545),"",ReferenceData!$H$545),"")</f>
        <v>-1.73997957</v>
      </c>
      <c r="I545">
        <f ca="1">IFERROR(IF(0=LEN(ReferenceData!$I$545),"",ReferenceData!$I$545),"")</f>
        <v>-2.4924071579999998</v>
      </c>
      <c r="J545">
        <f ca="1">IFERROR(IF(0=LEN(ReferenceData!$J$545),"",ReferenceData!$J$545),"")</f>
        <v>-0.81563963900000003</v>
      </c>
      <c r="K545">
        <f ca="1">IFERROR(IF(0=LEN(ReferenceData!$K$545),"",ReferenceData!$K$545),"")</f>
        <v>-0.78557995199999997</v>
      </c>
      <c r="L545">
        <f ca="1">IFERROR(IF(0=LEN(ReferenceData!$L$545),"",ReferenceData!$L$545),"")</f>
        <v>-0.85236293799999996</v>
      </c>
      <c r="M545">
        <f ca="1">IFERROR(IF(0=LEN(ReferenceData!$M$545),"",ReferenceData!$M$545),"")</f>
        <v>0.49914961499999999</v>
      </c>
      <c r="N545">
        <f ca="1">IFERROR(IF(0=LEN(ReferenceData!$N$545),"",ReferenceData!$N$545),"")</f>
        <v>-0.94336618999999999</v>
      </c>
      <c r="O545">
        <f ca="1">IFERROR(IF(0=LEN(ReferenceData!$O$545),"",ReferenceData!$O$545),"")</f>
        <v>-1.057334961</v>
      </c>
      <c r="P545">
        <f ca="1">IFERROR(IF(0=LEN(ReferenceData!$P$545),"",ReferenceData!$P$545),"")</f>
        <v>-0.704105592</v>
      </c>
      <c r="Q545">
        <f ca="1">IFERROR(IF(0=LEN(ReferenceData!$Q$545),"",ReferenceData!$Q$545),"")</f>
        <v>-0.30120172899999997</v>
      </c>
      <c r="R545">
        <f ca="1">IFERROR(IF(0=LEN(ReferenceData!$R$545),"",ReferenceData!$R$545),"")</f>
        <v>-0.19956416900000001</v>
      </c>
      <c r="S545">
        <f ca="1">IFERROR(IF(0=LEN(ReferenceData!$S$545),"",ReferenceData!$S$545),"")</f>
        <v>-9.1030399999999997E-2</v>
      </c>
      <c r="T545">
        <f ca="1">IFERROR(IF(0=LEN(ReferenceData!$T$545),"",ReferenceData!$T$545),"")</f>
        <v>-0.63535820600000004</v>
      </c>
      <c r="U545">
        <f ca="1">IFERROR(IF(0=LEN(ReferenceData!$U$545),"",ReferenceData!$U$545),"")</f>
        <v>-0.59587126499999998</v>
      </c>
      <c r="V545">
        <f ca="1">IFERROR(IF(0=LEN(ReferenceData!$V$545),"",ReferenceData!$V$545),"")</f>
        <v>-1.1313846219999999</v>
      </c>
      <c r="W545">
        <f ca="1">IFERROR(IF(0=LEN(ReferenceData!$W$545),"",ReferenceData!$W$545),"")</f>
        <v>-1.375010909</v>
      </c>
      <c r="X545">
        <f ca="1">IFERROR(IF(0=LEN(ReferenceData!$X$545),"",ReferenceData!$X$545),"")</f>
        <v>-1.809970809</v>
      </c>
      <c r="Y545">
        <f ca="1">IFERROR(IF(0=LEN(ReferenceData!$Y$545),"",ReferenceData!$Y$545),"")</f>
        <v>-2.5653076029999999</v>
      </c>
      <c r="Z545">
        <f ca="1">IFERROR(IF(0=LEN(ReferenceData!$Z$545),"",ReferenceData!$Z$545),"")</f>
        <v>-3.2684430359999999</v>
      </c>
      <c r="AA545">
        <f ca="1">IFERROR(IF(0=LEN(ReferenceData!$AA$545),"",ReferenceData!$AA$545),"")</f>
        <v>-2.3674241399999998</v>
      </c>
      <c r="AB545">
        <f ca="1">IFERROR(IF(0=LEN(ReferenceData!$AB$545),"",ReferenceData!$AB$545),"")</f>
        <v>-3.0300260090000002</v>
      </c>
      <c r="AC545">
        <f ca="1">IFERROR(IF(0=LEN(ReferenceData!$AC$545),"",ReferenceData!$AC$545),"")</f>
        <v>-3.2615192390000001</v>
      </c>
      <c r="AD545">
        <f ca="1">IFERROR(IF(0=LEN(ReferenceData!$AD$545),"",ReferenceData!$AD$545),"")</f>
        <v>-2.684115426</v>
      </c>
      <c r="AE545">
        <f ca="1">IFERROR(IF(0=LEN(ReferenceData!$AE$545),"",ReferenceData!$AE$545),"")</f>
        <v>-5.5956226979999997</v>
      </c>
      <c r="AF545">
        <f ca="1">IFERROR(IF(0=LEN(ReferenceData!$AF$545),"",ReferenceData!$AF$545),"")</f>
        <v>-10.971479820000001</v>
      </c>
      <c r="AG545">
        <f ca="1">IFERROR(IF(0=LEN(ReferenceData!$AG$545),"",ReferenceData!$AG$545),"")</f>
        <v>-11.399788040000001</v>
      </c>
      <c r="AH545">
        <f ca="1">IFERROR(IF(0=LEN(ReferenceData!$AH$545),"",ReferenceData!$AH$545),"")</f>
        <v>-12.1932873</v>
      </c>
      <c r="AI545">
        <f ca="1">IFERROR(IF(0=LEN(ReferenceData!$AI$545),"",ReferenceData!$AI$545),"")</f>
        <v>-10.461584800000001</v>
      </c>
      <c r="AJ545">
        <f ca="1">IFERROR(IF(0=LEN(ReferenceData!$AJ$545),"",ReferenceData!$AJ$545),"")</f>
        <v>-5.7251074879999999</v>
      </c>
      <c r="AK545">
        <f ca="1">IFERROR(IF(0=LEN(ReferenceData!$AK$545),"",ReferenceData!$AK$545),"")</f>
        <v>-1.6107762809999999</v>
      </c>
      <c r="AL545">
        <f ca="1">IFERROR(IF(0=LEN(ReferenceData!$AL$545),"",ReferenceData!$AL$545),"")</f>
        <v>1.1877491229999999</v>
      </c>
      <c r="AM545">
        <f ca="1">IFERROR(IF(0=LEN(ReferenceData!$AM$545),"",ReferenceData!$AM$545),"")</f>
        <v>2.256081295</v>
      </c>
      <c r="AN545">
        <f ca="1">IFERROR(IF(0=LEN(ReferenceData!$AN$545),"",ReferenceData!$AN$545),"")</f>
        <v>2.7579006160000001</v>
      </c>
      <c r="AO545">
        <f ca="1">IFERROR(IF(0=LEN(ReferenceData!$AO$545),"",ReferenceData!$AO$545),"")</f>
        <v>5.9227604539999996</v>
      </c>
      <c r="AP545">
        <f ca="1">IFERROR(IF(0=LEN(ReferenceData!$AP$545),"",ReferenceData!$AP$545),"")</f>
        <v>4.1791004330000003</v>
      </c>
      <c r="AQ545">
        <f ca="1">IFERROR(IF(0=LEN(ReferenceData!$AQ$545),"",ReferenceData!$AQ$545),"")</f>
        <v>1.9786137589999999</v>
      </c>
      <c r="AR545">
        <f ca="1">IFERROR(IF(0=LEN(ReferenceData!$AR$545),"",ReferenceData!$AR$545),"")</f>
        <v>-0.64885321299999998</v>
      </c>
      <c r="AS545">
        <f ca="1">IFERROR(IF(0=LEN(ReferenceData!$AS$545),"",ReferenceData!$AS$545),"")</f>
        <v>-2.532155918</v>
      </c>
      <c r="AT545">
        <f ca="1">IFERROR(IF(0=LEN(ReferenceData!$AT$545),"",ReferenceData!$AT$545),"")</f>
        <v>-4.8205592880000001</v>
      </c>
      <c r="AU545">
        <f ca="1">IFERROR(IF(0=LEN(ReferenceData!$AU$545),"",ReferenceData!$AU$545),"")</f>
        <v>-2.5970904930000001</v>
      </c>
      <c r="AV545">
        <f ca="1">IFERROR(IF(0=LEN(ReferenceData!$AV$545),"",ReferenceData!$AV$545),"")</f>
        <v>-2.3539275069999999</v>
      </c>
      <c r="AW545">
        <f ca="1">IFERROR(IF(0=LEN(ReferenceData!$AW$545),"",ReferenceData!$AW$545),"")</f>
        <v>-1.559375422</v>
      </c>
      <c r="AX545">
        <f ca="1">IFERROR(IF(0=LEN(ReferenceData!$AX$545),"",ReferenceData!$AX$545),"")</f>
        <v>-1.43926354</v>
      </c>
      <c r="AY545">
        <f ca="1">IFERROR(IF(0=LEN(ReferenceData!$AY$545),"",ReferenceData!$AY$545),"")</f>
        <v>-1.0783189900000001</v>
      </c>
      <c r="AZ545">
        <f ca="1">IFERROR(IF(0=LEN(ReferenceData!$AZ$545),"",ReferenceData!$AZ$545),"")</f>
        <v>0.20663793799999999</v>
      </c>
      <c r="BA545">
        <f ca="1">IFERROR(IF(0=LEN(ReferenceData!$BA$545),"",ReferenceData!$BA$545),"")</f>
        <v>1.5975335900000001</v>
      </c>
      <c r="BB545">
        <f ca="1">IFERROR(IF(0=LEN(ReferenceData!$BB$545),"",ReferenceData!$BB$545),"")</f>
        <v>4.0423314489999997</v>
      </c>
      <c r="BC545">
        <f ca="1">IFERROR(IF(0=LEN(ReferenceData!$BC$545),"",ReferenceData!$BC$545),"")</f>
        <v>7.617462916</v>
      </c>
      <c r="BD545">
        <f ca="1">IFERROR(IF(0=LEN(ReferenceData!$BD$545),"",ReferenceData!$BD$545),"")</f>
        <v>9.7796631319999996</v>
      </c>
      <c r="BE545">
        <f ca="1">IFERROR(IF(0=LEN(ReferenceData!$BE$545),"",ReferenceData!$BE$545),"")</f>
        <v>6.3357900740000002</v>
      </c>
      <c r="BF545">
        <f ca="1">IFERROR(IF(0=LEN(ReferenceData!$BF$545),"",ReferenceData!$BF$545),"")</f>
        <v>4.5087488359999996</v>
      </c>
      <c r="BG545">
        <f ca="1">IFERROR(IF(0=LEN(ReferenceData!$BG$545),"",ReferenceData!$BG$545),"")</f>
        <v>7.3554500760000003</v>
      </c>
      <c r="BH545">
        <f ca="1">IFERROR(IF(0=LEN(ReferenceData!$BH$545),"",ReferenceData!$BH$545),"")</f>
        <v>7.6588684489999999</v>
      </c>
      <c r="BI545" t="str">
        <f ca="1">IFERROR(IF(0=LEN(ReferenceData!$BI$545),"",ReferenceData!$BI$545),"")</f>
        <v/>
      </c>
      <c r="BJ545" t="str">
        <f ca="1">IFERROR(IF(0=LEN(ReferenceData!$BJ$545),"",ReferenceData!$BJ$545),"")</f>
        <v/>
      </c>
      <c r="BK545" t="str">
        <f ca="1">IFERROR(IF(0=LEN(ReferenceData!$BK$545),"",ReferenceData!$BK$545),"")</f>
        <v/>
      </c>
      <c r="BL545" t="str">
        <f ca="1">IFERROR(IF(0=LEN(ReferenceData!$BL$545),"",ReferenceData!$BL$545),"")</f>
        <v/>
      </c>
      <c r="BM545" t="str">
        <f ca="1">IFERROR(IF(0=LEN(ReferenceData!$BM$545),"",ReferenceData!$BM$545),"")</f>
        <v/>
      </c>
    </row>
    <row r="546" spans="1:65" x14ac:dyDescent="0.25">
      <c r="A546" t="str">
        <f>IFERROR(IF(0=LEN(ReferenceData!$A$546),"",ReferenceData!$A$546),"")</f>
        <v xml:space="preserve">    Daihatsu Motor Co Ltd</v>
      </c>
      <c r="B546" t="str">
        <f>IFERROR(IF(0=LEN(ReferenceData!$B$546),"",ReferenceData!$B$546),"")</f>
        <v>7262 JP Equity</v>
      </c>
      <c r="C546" t="str">
        <f>IFERROR(IF(0=LEN(ReferenceData!$C$546),"",ReferenceData!$C$546),"")</f>
        <v>RX076</v>
      </c>
      <c r="D546" t="str">
        <f>IFERROR(IF(0=LEN(ReferenceData!$D$546),"",ReferenceData!$D$546),"")</f>
        <v>EBIT_YIELD</v>
      </c>
      <c r="E546" t="str">
        <f>IFERROR(IF(0=LEN(ReferenceData!$E$546),"",ReferenceData!$E$546),"")</f>
        <v>Dynamic</v>
      </c>
      <c r="F546" t="str">
        <f ca="1">IFERROR(IF(0=LEN(ReferenceData!$F$546),"",ReferenceData!$F$546),"")</f>
        <v/>
      </c>
      <c r="G546" t="str">
        <f ca="1">IFERROR(IF(0=LEN(ReferenceData!$G$546),"",ReferenceData!$G$546),"")</f>
        <v/>
      </c>
      <c r="H546" t="str">
        <f ca="1">IFERROR(IF(0=LEN(ReferenceData!$H$546),"",ReferenceData!$H$546),"")</f>
        <v/>
      </c>
      <c r="I546" t="str">
        <f ca="1">IFERROR(IF(0=LEN(ReferenceData!$I$546),"",ReferenceData!$I$546),"")</f>
        <v/>
      </c>
      <c r="J546" t="str">
        <f ca="1">IFERROR(IF(0=LEN(ReferenceData!$J$546),"",ReferenceData!$J$546),"")</f>
        <v/>
      </c>
      <c r="K546" t="str">
        <f ca="1">IFERROR(IF(0=LEN(ReferenceData!$K$546),"",ReferenceData!$K$546),"")</f>
        <v/>
      </c>
      <c r="L546" t="str">
        <f ca="1">IFERROR(IF(0=LEN(ReferenceData!$L$546),"",ReferenceData!$L$546),"")</f>
        <v/>
      </c>
      <c r="M546" t="str">
        <f ca="1">IFERROR(IF(0=LEN(ReferenceData!$M$546),"",ReferenceData!$M$546),"")</f>
        <v/>
      </c>
      <c r="N546" t="str">
        <f ca="1">IFERROR(IF(0=LEN(ReferenceData!$N$546),"",ReferenceData!$N$546),"")</f>
        <v/>
      </c>
      <c r="O546" t="str">
        <f ca="1">IFERROR(IF(0=LEN(ReferenceData!$O$546),"",ReferenceData!$O$546),"")</f>
        <v/>
      </c>
      <c r="P546">
        <f ca="1">IFERROR(IF(0=LEN(ReferenceData!$P$546),"",ReferenceData!$P$546),"")</f>
        <v>13.122923139999999</v>
      </c>
      <c r="Q546">
        <f ca="1">IFERROR(IF(0=LEN(ReferenceData!$Q$546),"",ReferenceData!$Q$546),"")</f>
        <v>14.78932608</v>
      </c>
      <c r="R546">
        <f ca="1">IFERROR(IF(0=LEN(ReferenceData!$R$546),"",ReferenceData!$R$546),"")</f>
        <v>12.336871629999999</v>
      </c>
      <c r="S546">
        <f ca="1">IFERROR(IF(0=LEN(ReferenceData!$S$546),"",ReferenceData!$S$546),"")</f>
        <v>15.17882685</v>
      </c>
      <c r="T546">
        <f ca="1">IFERROR(IF(0=LEN(ReferenceData!$T$546),"",ReferenceData!$T$546),"")</f>
        <v>17.62350601</v>
      </c>
      <c r="U546">
        <f ca="1">IFERROR(IF(0=LEN(ReferenceData!$U$546),"",ReferenceData!$U$546),"")</f>
        <v>13.680128010000001</v>
      </c>
      <c r="V546">
        <f ca="1">IFERROR(IF(0=LEN(ReferenceData!$V$546),"",ReferenceData!$V$546),"")</f>
        <v>14.121472089999999</v>
      </c>
      <c r="W546">
        <f ca="1">IFERROR(IF(0=LEN(ReferenceData!$W$546),"",ReferenceData!$W$546),"")</f>
        <v>15.130047709999999</v>
      </c>
      <c r="X546">
        <f ca="1">IFERROR(IF(0=LEN(ReferenceData!$X$546),"",ReferenceData!$X$546),"")</f>
        <v>15.30805531</v>
      </c>
      <c r="Y546">
        <f ca="1">IFERROR(IF(0=LEN(ReferenceData!$Y$546),"",ReferenceData!$Y$546),"")</f>
        <v>16.76307955</v>
      </c>
      <c r="Z546">
        <f ca="1">IFERROR(IF(0=LEN(ReferenceData!$Z$546),"",ReferenceData!$Z$546),"")</f>
        <v>18.88920186</v>
      </c>
      <c r="AA546">
        <f ca="1">IFERROR(IF(0=LEN(ReferenceData!$AA$546),"",ReferenceData!$AA$546),"")</f>
        <v>17.85390443</v>
      </c>
      <c r="AB546">
        <f ca="1">IFERROR(IF(0=LEN(ReferenceData!$AB$546),"",ReferenceData!$AB$546),"")</f>
        <v>16.006627959999999</v>
      </c>
      <c r="AC546">
        <f ca="1">IFERROR(IF(0=LEN(ReferenceData!$AC$546),"",ReferenceData!$AC$546),"")</f>
        <v>17.28351632</v>
      </c>
      <c r="AD546">
        <f ca="1">IFERROR(IF(0=LEN(ReferenceData!$AD$546),"",ReferenceData!$AD$546),"")</f>
        <v>15.9950492</v>
      </c>
      <c r="AE546">
        <f ca="1">IFERROR(IF(0=LEN(ReferenceData!$AE$546),"",ReferenceData!$AE$546),"")</f>
        <v>19.166266660000002</v>
      </c>
      <c r="AF546">
        <f ca="1">IFERROR(IF(0=LEN(ReferenceData!$AF$546),"",ReferenceData!$AF$546),"")</f>
        <v>26.523442630000002</v>
      </c>
      <c r="AG546">
        <f ca="1">IFERROR(IF(0=LEN(ReferenceData!$AG$546),"",ReferenceData!$AG$546),"")</f>
        <v>23.015506349999999</v>
      </c>
      <c r="AH546">
        <f ca="1">IFERROR(IF(0=LEN(ReferenceData!$AH$546),"",ReferenceData!$AH$546),"")</f>
        <v>17.872661269999998</v>
      </c>
      <c r="AI546">
        <f ca="1">IFERROR(IF(0=LEN(ReferenceData!$AI$546),"",ReferenceData!$AI$546),"")</f>
        <v>17.366988710000001</v>
      </c>
      <c r="AJ546">
        <f ca="1">IFERROR(IF(0=LEN(ReferenceData!$AJ$546),"",ReferenceData!$AJ$546),"")</f>
        <v>15.44504989</v>
      </c>
      <c r="AK546">
        <f ca="1">IFERROR(IF(0=LEN(ReferenceData!$AK$546),"",ReferenceData!$AK$546),"")</f>
        <v>14.789648639999999</v>
      </c>
      <c r="AL546">
        <f ca="1">IFERROR(IF(0=LEN(ReferenceData!$AL$546),"",ReferenceData!$AL$546),"")</f>
        <v>20.031130399999999</v>
      </c>
      <c r="AM546">
        <f ca="1">IFERROR(IF(0=LEN(ReferenceData!$AM$546),"",ReferenceData!$AM$546),"")</f>
        <v>16.347152300000001</v>
      </c>
      <c r="AN546">
        <f ca="1">IFERROR(IF(0=LEN(ReferenceData!$AN$546),"",ReferenceData!$AN$546),"")</f>
        <v>17.308198340000001</v>
      </c>
      <c r="AO546">
        <f ca="1">IFERROR(IF(0=LEN(ReferenceData!$AO$546),"",ReferenceData!$AO$546),"")</f>
        <v>19.92603196</v>
      </c>
      <c r="AP546">
        <f ca="1">IFERROR(IF(0=LEN(ReferenceData!$AP$546),"",ReferenceData!$AP$546),"")</f>
        <v>10.697754440000001</v>
      </c>
      <c r="AQ546">
        <f ca="1">IFERROR(IF(0=LEN(ReferenceData!$AQ$546),"",ReferenceData!$AQ$546),"")</f>
        <v>7.8498906389999998</v>
      </c>
      <c r="AR546">
        <f ca="1">IFERROR(IF(0=LEN(ReferenceData!$AR$546),"",ReferenceData!$AR$546),"")</f>
        <v>5.4665988030000001</v>
      </c>
      <c r="AS546">
        <f ca="1">IFERROR(IF(0=LEN(ReferenceData!$AS$546),"",ReferenceData!$AS$546),"")</f>
        <v>6.4469169490000002</v>
      </c>
      <c r="AT546">
        <f ca="1">IFERROR(IF(0=LEN(ReferenceData!$AT$546),"",ReferenceData!$AT$546),"")</f>
        <v>11.639255260000001</v>
      </c>
      <c r="AU546">
        <f ca="1">IFERROR(IF(0=LEN(ReferenceData!$AU$546),"",ReferenceData!$AU$546),"")</f>
        <v>17.43533944</v>
      </c>
      <c r="AV546">
        <f ca="1">IFERROR(IF(0=LEN(ReferenceData!$AV$546),"",ReferenceData!$AV$546),"")</f>
        <v>13.9905299</v>
      </c>
      <c r="AW546">
        <f ca="1">IFERROR(IF(0=LEN(ReferenceData!$AW$546),"",ReferenceData!$AW$546),"")</f>
        <v>13.107195709999999</v>
      </c>
      <c r="AX546">
        <f ca="1">IFERROR(IF(0=LEN(ReferenceData!$AX$546),"",ReferenceData!$AX$546),"")</f>
        <v>12.7726962</v>
      </c>
      <c r="AY546">
        <f ca="1">IFERROR(IF(0=LEN(ReferenceData!$AY$546),"",ReferenceData!$AY$546),"")</f>
        <v>14.054385999999999</v>
      </c>
      <c r="AZ546">
        <f ca="1">IFERROR(IF(0=LEN(ReferenceData!$AZ$546),"",ReferenceData!$AZ$546),"")</f>
        <v>11.644679549999999</v>
      </c>
      <c r="BA546">
        <f ca="1">IFERROR(IF(0=LEN(ReferenceData!$BA$546),"",ReferenceData!$BA$546),"")</f>
        <v>12.263274729999999</v>
      </c>
      <c r="BB546">
        <f ca="1">IFERROR(IF(0=LEN(ReferenceData!$BB$546),"",ReferenceData!$BB$546),"")</f>
        <v>11.352152500000001</v>
      </c>
      <c r="BC546">
        <f ca="1">IFERROR(IF(0=LEN(ReferenceData!$BC$546),"",ReferenceData!$BC$546),"")</f>
        <v>10.479995130000001</v>
      </c>
      <c r="BD546">
        <f ca="1">IFERROR(IF(0=LEN(ReferenceData!$BD$546),"",ReferenceData!$BD$546),"")</f>
        <v>10.82806677</v>
      </c>
      <c r="BE546">
        <f ca="1">IFERROR(IF(0=LEN(ReferenceData!$BE$546),"",ReferenceData!$BE$546),"")</f>
        <v>11.388754820000001</v>
      </c>
      <c r="BF546">
        <f ca="1">IFERROR(IF(0=LEN(ReferenceData!$BF$546),"",ReferenceData!$BF$546),"")</f>
        <v>9.4202523459999998</v>
      </c>
      <c r="BG546" t="str">
        <f ca="1">IFERROR(IF(0=LEN(ReferenceData!$BG$546),"",ReferenceData!$BG$546),"")</f>
        <v/>
      </c>
      <c r="BH546" t="str">
        <f ca="1">IFERROR(IF(0=LEN(ReferenceData!$BH$546),"",ReferenceData!$BH$546),"")</f>
        <v/>
      </c>
      <c r="BI546" t="str">
        <f ca="1">IFERROR(IF(0=LEN(ReferenceData!$BI$546),"",ReferenceData!$BI$546),"")</f>
        <v/>
      </c>
      <c r="BJ546" t="str">
        <f ca="1">IFERROR(IF(0=LEN(ReferenceData!$BJ$546),"",ReferenceData!$BJ$546),"")</f>
        <v/>
      </c>
      <c r="BK546" t="str">
        <f ca="1">IFERROR(IF(0=LEN(ReferenceData!$BK$546),"",ReferenceData!$BK$546),"")</f>
        <v/>
      </c>
      <c r="BL546" t="str">
        <f ca="1">IFERROR(IF(0=LEN(ReferenceData!$BL$546),"",ReferenceData!$BL$546),"")</f>
        <v/>
      </c>
      <c r="BM546" t="str">
        <f ca="1">IFERROR(IF(0=LEN(ReferenceData!$BM$546),"",ReferenceData!$BM$546),"")</f>
        <v/>
      </c>
    </row>
    <row r="547" spans="1:65" x14ac:dyDescent="0.25">
      <c r="A547" t="str">
        <f>IFERROR(IF(0=LEN(ReferenceData!$A$547),"",ReferenceData!$A$547),"")</f>
        <v xml:space="preserve">    Daimler AG</v>
      </c>
      <c r="B547" t="str">
        <f>IFERROR(IF(0=LEN(ReferenceData!$B$547),"",ReferenceData!$B$547),"")</f>
        <v>DAI GR Equity</v>
      </c>
      <c r="C547" t="str">
        <f>IFERROR(IF(0=LEN(ReferenceData!$C$547),"",ReferenceData!$C$547),"")</f>
        <v>RX076</v>
      </c>
      <c r="D547" t="str">
        <f>IFERROR(IF(0=LEN(ReferenceData!$D$547),"",ReferenceData!$D$547),"")</f>
        <v>EBIT_YIELD</v>
      </c>
      <c r="E547" t="str">
        <f>IFERROR(IF(0=LEN(ReferenceData!$E$547),"",ReferenceData!$E$547),"")</f>
        <v>Dynamic</v>
      </c>
      <c r="F547">
        <f ca="1">IFERROR(IF(0=LEN(ReferenceData!$F$547),"",ReferenceData!$F$547),"")</f>
        <v>18.37293931</v>
      </c>
      <c r="G547">
        <f ca="1">IFERROR(IF(0=LEN(ReferenceData!$G$547),"",ReferenceData!$G$547),"")</f>
        <v>20.902169900000001</v>
      </c>
      <c r="H547">
        <f ca="1">IFERROR(IF(0=LEN(ReferenceData!$H$547),"",ReferenceData!$H$547),"")</f>
        <v>18.449366569999999</v>
      </c>
      <c r="I547">
        <f ca="1">IFERROR(IF(0=LEN(ReferenceData!$I$547),"",ReferenceData!$I$547),"")</f>
        <v>20.478796920000001</v>
      </c>
      <c r="J547">
        <f ca="1">IFERROR(IF(0=LEN(ReferenceData!$J$547),"",ReferenceData!$J$547),"")</f>
        <v>17.393732249999999</v>
      </c>
      <c r="K547">
        <f ca="1">IFERROR(IF(0=LEN(ReferenceData!$K$547),"",ReferenceData!$K$547),"")</f>
        <v>17.242781529999998</v>
      </c>
      <c r="L547">
        <f ca="1">IFERROR(IF(0=LEN(ReferenceData!$L$547),"",ReferenceData!$L$547),"")</f>
        <v>17.994086979999999</v>
      </c>
      <c r="M547">
        <f ca="1">IFERROR(IF(0=LEN(ReferenceData!$M$547),"",ReferenceData!$M$547),"")</f>
        <v>20.146528230000001</v>
      </c>
      <c r="N547">
        <f ca="1">IFERROR(IF(0=LEN(ReferenceData!$N$547),"",ReferenceData!$N$547),"")</f>
        <v>17.28936663</v>
      </c>
      <c r="O547">
        <f ca="1">IFERROR(IF(0=LEN(ReferenceData!$O$547),"",ReferenceData!$O$547),"")</f>
        <v>16.026434089999999</v>
      </c>
      <c r="P547">
        <f ca="1">IFERROR(IF(0=LEN(ReferenceData!$P$547),"",ReferenceData!$P$547),"")</f>
        <v>17.609061759999999</v>
      </c>
      <c r="Q547">
        <f ca="1">IFERROR(IF(0=LEN(ReferenceData!$Q$547),"",ReferenceData!$Q$547),"")</f>
        <v>19.656166750000001</v>
      </c>
      <c r="R547">
        <f ca="1">IFERROR(IF(0=LEN(ReferenceData!$R$547),"",ReferenceData!$R$547),"")</f>
        <v>16.996033959999998</v>
      </c>
      <c r="S547">
        <f ca="1">IFERROR(IF(0=LEN(ReferenceData!$S$547),"",ReferenceData!$S$547),"")</f>
        <v>15.36115079</v>
      </c>
      <c r="T547">
        <f ca="1">IFERROR(IF(0=LEN(ReferenceData!$T$547),"",ReferenceData!$T$547),"")</f>
        <v>17.321552789999998</v>
      </c>
      <c r="U547">
        <f ca="1">IFERROR(IF(0=LEN(ReferenceData!$U$547),"",ReferenceData!$U$547),"")</f>
        <v>12.82641117</v>
      </c>
      <c r="V547">
        <f ca="1">IFERROR(IF(0=LEN(ReferenceData!$V$547),"",ReferenceData!$V$547),"")</f>
        <v>10.59748237</v>
      </c>
      <c r="W547">
        <f ca="1">IFERROR(IF(0=LEN(ReferenceData!$W$547),"",ReferenceData!$W$547),"")</f>
        <v>12.73173927</v>
      </c>
      <c r="X547">
        <f ca="1">IFERROR(IF(0=LEN(ReferenceData!$X$547),"",ReferenceData!$X$547),"")</f>
        <v>15.10593458</v>
      </c>
      <c r="Y547">
        <f ca="1">IFERROR(IF(0=LEN(ReferenceData!$Y$547),"",ReferenceData!$Y$547),"")</f>
        <v>12.681965529999999</v>
      </c>
      <c r="Z547">
        <f ca="1">IFERROR(IF(0=LEN(ReferenceData!$Z$547),"",ReferenceData!$Z$547),"")</f>
        <v>12.14156507</v>
      </c>
      <c r="AA547">
        <f ca="1">IFERROR(IF(0=LEN(ReferenceData!$AA$547),"",ReferenceData!$AA$547),"")</f>
        <v>11.62238436</v>
      </c>
      <c r="AB547">
        <f ca="1">IFERROR(IF(0=LEN(ReferenceData!$AB$547),"",ReferenceData!$AB$547),"")</f>
        <v>11.298014630000001</v>
      </c>
      <c r="AC547">
        <f ca="1">IFERROR(IF(0=LEN(ReferenceData!$AC$547),"",ReferenceData!$AC$547),"")</f>
        <v>13.514087809999999</v>
      </c>
      <c r="AD547">
        <f ca="1">IFERROR(IF(0=LEN(ReferenceData!$AD$547),"",ReferenceData!$AD$547),"")</f>
        <v>15.233728770000001</v>
      </c>
      <c r="AE547">
        <f ca="1">IFERROR(IF(0=LEN(ReferenceData!$AE$547),"",ReferenceData!$AE$547),"")</f>
        <v>18.341540890000001</v>
      </c>
      <c r="AF547">
        <f ca="1">IFERROR(IF(0=LEN(ReferenceData!$AF$547),"",ReferenceData!$AF$547),"")</f>
        <v>21.030833529999999</v>
      </c>
      <c r="AG547">
        <f ca="1">IFERROR(IF(0=LEN(ReferenceData!$AG$547),"",ReferenceData!$AG$547),"")</f>
        <v>22.723749049999999</v>
      </c>
      <c r="AH547">
        <f ca="1">IFERROR(IF(0=LEN(ReferenceData!$AH$547),"",ReferenceData!$AH$547),"")</f>
        <v>18.279547709999999</v>
      </c>
      <c r="AI547">
        <f ca="1">IFERROR(IF(0=LEN(ReferenceData!$AI$547),"",ReferenceData!$AI$547),"")</f>
        <v>24.033280990000002</v>
      </c>
      <c r="AJ547">
        <f ca="1">IFERROR(IF(0=LEN(ReferenceData!$AJ$547),"",ReferenceData!$AJ$547),"")</f>
        <v>22.866251429999998</v>
      </c>
      <c r="AK547">
        <f ca="1">IFERROR(IF(0=LEN(ReferenceData!$AK$547),"",ReferenceData!$AK$547),"")</f>
        <v>15.55687738</v>
      </c>
      <c r="AL547">
        <f ca="1">IFERROR(IF(0=LEN(ReferenceData!$AL$547),"",ReferenceData!$AL$547),"")</f>
        <v>15.09379113</v>
      </c>
      <c r="AM547">
        <f ca="1">IFERROR(IF(0=LEN(ReferenceData!$AM$547),"",ReferenceData!$AM$547),"")</f>
        <v>13.614061939999999</v>
      </c>
      <c r="AN547">
        <f ca="1">IFERROR(IF(0=LEN(ReferenceData!$AN$547),"",ReferenceData!$AN$547),"")</f>
        <v>13.298279089999999</v>
      </c>
      <c r="AO547">
        <f ca="1">IFERROR(IF(0=LEN(ReferenceData!$AO$547),"",ReferenceData!$AO$547),"")</f>
        <v>10.57576461</v>
      </c>
      <c r="AP547">
        <f ca="1">IFERROR(IF(0=LEN(ReferenceData!$AP$547),"",ReferenceData!$AP$547),"")</f>
        <v>6.2953678890000004</v>
      </c>
      <c r="AQ547">
        <f ca="1">IFERROR(IF(0=LEN(ReferenceData!$AQ$547),"",ReferenceData!$AQ$547),"")</f>
        <v>-0.91800546699999996</v>
      </c>
      <c r="AR547">
        <f ca="1">IFERROR(IF(0=LEN(ReferenceData!$AR$547),"",ReferenceData!$AR$547),"")</f>
        <v>-4.5586570919999998</v>
      </c>
      <c r="AS547">
        <f ca="1">IFERROR(IF(0=LEN(ReferenceData!$AS$547),"",ReferenceData!$AS$547),"")</f>
        <v>-3.1019333599999999</v>
      </c>
      <c r="AT547">
        <f ca="1">IFERROR(IF(0=LEN(ReferenceData!$AT$547),"",ReferenceData!$AT$547),"")</f>
        <v>10.693535069999999</v>
      </c>
      <c r="AU547">
        <f ca="1">IFERROR(IF(0=LEN(ReferenceData!$AU$547),"",ReferenceData!$AU$547),"")</f>
        <v>21.839326010000001</v>
      </c>
      <c r="AV547">
        <f ca="1">IFERROR(IF(0=LEN(ReferenceData!$AV$547),"",ReferenceData!$AV$547),"")</f>
        <v>25.92597971</v>
      </c>
      <c r="AW547">
        <f ca="1">IFERROR(IF(0=LEN(ReferenceData!$AW$547),"",ReferenceData!$AW$547),"")</f>
        <v>25.226315549999999</v>
      </c>
      <c r="AX547">
        <f ca="1">IFERROR(IF(0=LEN(ReferenceData!$AX$547),"",ReferenceData!$AX$547),"")</f>
        <v>17.47417935</v>
      </c>
      <c r="AY547">
        <f ca="1">IFERROR(IF(0=LEN(ReferenceData!$AY$547),"",ReferenceData!$AY$547),"")</f>
        <v>13.03115393</v>
      </c>
      <c r="AZ547">
        <f ca="1">IFERROR(IF(0=LEN(ReferenceData!$AZ$547),"",ReferenceData!$AZ$547),"")</f>
        <v>8.1189300319999997</v>
      </c>
      <c r="BA547">
        <f ca="1">IFERROR(IF(0=LEN(ReferenceData!$BA$547),"",ReferenceData!$BA$547),"")</f>
        <v>8.1129267489999997</v>
      </c>
      <c r="BB547">
        <f ca="1">IFERROR(IF(0=LEN(ReferenceData!$BB$547),"",ReferenceData!$BB$547),"")</f>
        <v>7.7933222229999997</v>
      </c>
      <c r="BC547">
        <f ca="1">IFERROR(IF(0=LEN(ReferenceData!$BC$547),"",ReferenceData!$BC$547),"")</f>
        <v>9.4262041100000005</v>
      </c>
      <c r="BD547">
        <f ca="1">IFERROR(IF(0=LEN(ReferenceData!$BD$547),"",ReferenceData!$BD$547),"")</f>
        <v>8.4522636599999998</v>
      </c>
      <c r="BE547">
        <f ca="1">IFERROR(IF(0=LEN(ReferenceData!$BE$547),"",ReferenceData!$BE$547),"")</f>
        <v>7.6886366419999996</v>
      </c>
      <c r="BF547">
        <f ca="1">IFERROR(IF(0=LEN(ReferenceData!$BF$547),"",ReferenceData!$BF$547),"")</f>
        <v>6.5368445749999999</v>
      </c>
      <c r="BG547">
        <f ca="1">IFERROR(IF(0=LEN(ReferenceData!$BG$547),"",ReferenceData!$BG$547),"")</f>
        <v>4.7602129570000002</v>
      </c>
      <c r="BH547">
        <f ca="1">IFERROR(IF(0=LEN(ReferenceData!$BH$547),"",ReferenceData!$BH$547),"")</f>
        <v>8.2485063499999995</v>
      </c>
      <c r="BI547">
        <f ca="1">IFERROR(IF(0=LEN(ReferenceData!$BI$547),"",ReferenceData!$BI$547),"")</f>
        <v>9.0424057720000004</v>
      </c>
      <c r="BJ547">
        <f ca="1">IFERROR(IF(0=LEN(ReferenceData!$BJ$547),"",ReferenceData!$BJ$547),"")</f>
        <v>9.6801644339999999</v>
      </c>
      <c r="BK547">
        <f ca="1">IFERROR(IF(0=LEN(ReferenceData!$BK$547),"",ReferenceData!$BK$547),"")</f>
        <v>12.79230123</v>
      </c>
      <c r="BL547">
        <f ca="1">IFERROR(IF(0=LEN(ReferenceData!$BL$547),"",ReferenceData!$BL$547),"")</f>
        <v>16.771744930000001</v>
      </c>
      <c r="BM547">
        <f ca="1">IFERROR(IF(0=LEN(ReferenceData!$BM$547),"",ReferenceData!$BM$547),"")</f>
        <v>14.79970121</v>
      </c>
    </row>
    <row r="548" spans="1:65" x14ac:dyDescent="0.25">
      <c r="A548" t="str">
        <f>IFERROR(IF(0=LEN(ReferenceData!$A$548),"",ReferenceData!$A$548),"")</f>
        <v xml:space="preserve">    Dongfeng Motor Group Co Ltd</v>
      </c>
      <c r="B548" t="str">
        <f>IFERROR(IF(0=LEN(ReferenceData!$B$548),"",ReferenceData!$B$548),"")</f>
        <v>489 HK Equity</v>
      </c>
      <c r="C548" t="str">
        <f>IFERROR(IF(0=LEN(ReferenceData!$C$548),"",ReferenceData!$C$548),"")</f>
        <v>RX076</v>
      </c>
      <c r="D548" t="str">
        <f>IFERROR(IF(0=LEN(ReferenceData!$D$548),"",ReferenceData!$D$548),"")</f>
        <v>EBIT_YIELD</v>
      </c>
      <c r="E548" t="str">
        <f>IFERROR(IF(0=LEN(ReferenceData!$E$548),"",ReferenceData!$E$548),"")</f>
        <v>Dynamic</v>
      </c>
      <c r="F548" t="str">
        <f ca="1">IFERROR(IF(0=LEN(ReferenceData!$F$548),"",ReferenceData!$F$548),"")</f>
        <v/>
      </c>
      <c r="G548" t="str">
        <f ca="1">IFERROR(IF(0=LEN(ReferenceData!$G$548),"",ReferenceData!$G$548),"")</f>
        <v/>
      </c>
      <c r="H548" t="str">
        <f ca="1">IFERROR(IF(0=LEN(ReferenceData!$H$548),"",ReferenceData!$H$548),"")</f>
        <v/>
      </c>
      <c r="I548" t="str">
        <f ca="1">IFERROR(IF(0=LEN(ReferenceData!$I$548),"",ReferenceData!$I$548),"")</f>
        <v/>
      </c>
      <c r="J548" t="str">
        <f ca="1">IFERROR(IF(0=LEN(ReferenceData!$J$548),"",ReferenceData!$J$548),"")</f>
        <v/>
      </c>
      <c r="K548" t="str">
        <f ca="1">IFERROR(IF(0=LEN(ReferenceData!$K$548),"",ReferenceData!$K$548),"")</f>
        <v/>
      </c>
      <c r="L548" t="str">
        <f ca="1">IFERROR(IF(0=LEN(ReferenceData!$L$548),"",ReferenceData!$L$548),"")</f>
        <v/>
      </c>
      <c r="M548" t="str">
        <f ca="1">IFERROR(IF(0=LEN(ReferenceData!$M$548),"",ReferenceData!$M$548),"")</f>
        <v/>
      </c>
      <c r="N548" t="str">
        <f ca="1">IFERROR(IF(0=LEN(ReferenceData!$N$548),"",ReferenceData!$N$548),"")</f>
        <v/>
      </c>
      <c r="O548" t="str">
        <f ca="1">IFERROR(IF(0=LEN(ReferenceData!$O$548),"",ReferenceData!$O$548),"")</f>
        <v/>
      </c>
      <c r="P548" t="str">
        <f ca="1">IFERROR(IF(0=LEN(ReferenceData!$P$548),"",ReferenceData!$P$548),"")</f>
        <v/>
      </c>
      <c r="Q548" t="str">
        <f ca="1">IFERROR(IF(0=LEN(ReferenceData!$Q$548),"",ReferenceData!$Q$548),"")</f>
        <v/>
      </c>
      <c r="R548" t="str">
        <f ca="1">IFERROR(IF(0=LEN(ReferenceData!$R$548),"",ReferenceData!$R$548),"")</f>
        <v/>
      </c>
      <c r="S548" t="str">
        <f ca="1">IFERROR(IF(0=LEN(ReferenceData!$S$548),"",ReferenceData!$S$548),"")</f>
        <v/>
      </c>
      <c r="T548" t="str">
        <f ca="1">IFERROR(IF(0=LEN(ReferenceData!$T$548),"",ReferenceData!$T$548),"")</f>
        <v/>
      </c>
      <c r="U548" t="str">
        <f ca="1">IFERROR(IF(0=LEN(ReferenceData!$U$548),"",ReferenceData!$U$548),"")</f>
        <v/>
      </c>
      <c r="V548" t="str">
        <f ca="1">IFERROR(IF(0=LEN(ReferenceData!$V$548),"",ReferenceData!$V$548),"")</f>
        <v/>
      </c>
      <c r="W548" t="str">
        <f ca="1">IFERROR(IF(0=LEN(ReferenceData!$W$548),"",ReferenceData!$W$548),"")</f>
        <v/>
      </c>
      <c r="X548" t="str">
        <f ca="1">IFERROR(IF(0=LEN(ReferenceData!$X$548),"",ReferenceData!$X$548),"")</f>
        <v/>
      </c>
      <c r="Y548" t="str">
        <f ca="1">IFERROR(IF(0=LEN(ReferenceData!$Y$548),"",ReferenceData!$Y$548),"")</f>
        <v/>
      </c>
      <c r="Z548" t="str">
        <f ca="1">IFERROR(IF(0=LEN(ReferenceData!$Z$548),"",ReferenceData!$Z$548),"")</f>
        <v/>
      </c>
      <c r="AA548" t="str">
        <f ca="1">IFERROR(IF(0=LEN(ReferenceData!$AA$548),"",ReferenceData!$AA$548),"")</f>
        <v/>
      </c>
      <c r="AB548" t="str">
        <f ca="1">IFERROR(IF(0=LEN(ReferenceData!$AB$548),"",ReferenceData!$AB$548),"")</f>
        <v/>
      </c>
      <c r="AC548" t="str">
        <f ca="1">IFERROR(IF(0=LEN(ReferenceData!$AC$548),"",ReferenceData!$AC$548),"")</f>
        <v/>
      </c>
      <c r="AD548" t="str">
        <f ca="1">IFERROR(IF(0=LEN(ReferenceData!$AD$548),"",ReferenceData!$AD$548),"")</f>
        <v/>
      </c>
      <c r="AE548" t="str">
        <f ca="1">IFERROR(IF(0=LEN(ReferenceData!$AE$548),"",ReferenceData!$AE$548),"")</f>
        <v/>
      </c>
      <c r="AF548" t="str">
        <f ca="1">IFERROR(IF(0=LEN(ReferenceData!$AF$548),"",ReferenceData!$AF$548),"")</f>
        <v/>
      </c>
      <c r="AG548" t="str">
        <f ca="1">IFERROR(IF(0=LEN(ReferenceData!$AG$548),"",ReferenceData!$AG$548),"")</f>
        <v/>
      </c>
      <c r="AH548" t="str">
        <f ca="1">IFERROR(IF(0=LEN(ReferenceData!$AH$548),"",ReferenceData!$AH$548),"")</f>
        <v/>
      </c>
      <c r="AI548" t="str">
        <f ca="1">IFERROR(IF(0=LEN(ReferenceData!$AI$548),"",ReferenceData!$AI$548),"")</f>
        <v/>
      </c>
      <c r="AJ548" t="str">
        <f ca="1">IFERROR(IF(0=LEN(ReferenceData!$AJ$548),"",ReferenceData!$AJ$548),"")</f>
        <v/>
      </c>
      <c r="AK548" t="str">
        <f ca="1">IFERROR(IF(0=LEN(ReferenceData!$AK$548),"",ReferenceData!$AK$548),"")</f>
        <v/>
      </c>
      <c r="AL548" t="str">
        <f ca="1">IFERROR(IF(0=LEN(ReferenceData!$AL$548),"",ReferenceData!$AL$548),"")</f>
        <v/>
      </c>
      <c r="AM548" t="str">
        <f ca="1">IFERROR(IF(0=LEN(ReferenceData!$AM$548),"",ReferenceData!$AM$548),"")</f>
        <v/>
      </c>
      <c r="AN548" t="str">
        <f ca="1">IFERROR(IF(0=LEN(ReferenceData!$AN$548),"",ReferenceData!$AN$548),"")</f>
        <v/>
      </c>
      <c r="AO548" t="str">
        <f ca="1">IFERROR(IF(0=LEN(ReferenceData!$AO$548),"",ReferenceData!$AO$548),"")</f>
        <v/>
      </c>
      <c r="AP548" t="str">
        <f ca="1">IFERROR(IF(0=LEN(ReferenceData!$AP$548),"",ReferenceData!$AP$548),"")</f>
        <v/>
      </c>
      <c r="AQ548" t="str">
        <f ca="1">IFERROR(IF(0=LEN(ReferenceData!$AQ$548),"",ReferenceData!$AQ$548),"")</f>
        <v/>
      </c>
      <c r="AR548" t="str">
        <f ca="1">IFERROR(IF(0=LEN(ReferenceData!$AR$548),"",ReferenceData!$AR$548),"")</f>
        <v/>
      </c>
      <c r="AS548" t="str">
        <f ca="1">IFERROR(IF(0=LEN(ReferenceData!$AS$548),"",ReferenceData!$AS$548),"")</f>
        <v/>
      </c>
      <c r="AT548" t="str">
        <f ca="1">IFERROR(IF(0=LEN(ReferenceData!$AT$548),"",ReferenceData!$AT$548),"")</f>
        <v/>
      </c>
      <c r="AU548" t="str">
        <f ca="1">IFERROR(IF(0=LEN(ReferenceData!$AU$548),"",ReferenceData!$AU$548),"")</f>
        <v/>
      </c>
      <c r="AV548" t="str">
        <f ca="1">IFERROR(IF(0=LEN(ReferenceData!$AV$548),"",ReferenceData!$AV$548),"")</f>
        <v/>
      </c>
      <c r="AW548" t="str">
        <f ca="1">IFERROR(IF(0=LEN(ReferenceData!$AW$548),"",ReferenceData!$AW$548),"")</f>
        <v/>
      </c>
      <c r="AX548" t="str">
        <f ca="1">IFERROR(IF(0=LEN(ReferenceData!$AX$548),"",ReferenceData!$AX$548),"")</f>
        <v/>
      </c>
      <c r="AY548" t="str">
        <f ca="1">IFERROR(IF(0=LEN(ReferenceData!$AY$548),"",ReferenceData!$AY$548),"")</f>
        <v/>
      </c>
      <c r="AZ548" t="str">
        <f ca="1">IFERROR(IF(0=LEN(ReferenceData!$AZ$548),"",ReferenceData!$AZ$548),"")</f>
        <v/>
      </c>
      <c r="BA548" t="str">
        <f ca="1">IFERROR(IF(0=LEN(ReferenceData!$BA$548),"",ReferenceData!$BA$548),"")</f>
        <v/>
      </c>
      <c r="BB548" t="str">
        <f ca="1">IFERROR(IF(0=LEN(ReferenceData!$BB$548),"",ReferenceData!$BB$548),"")</f>
        <v/>
      </c>
      <c r="BC548" t="str">
        <f ca="1">IFERROR(IF(0=LEN(ReferenceData!$BC$548),"",ReferenceData!$BC$548),"")</f>
        <v/>
      </c>
      <c r="BD548" t="str">
        <f ca="1">IFERROR(IF(0=LEN(ReferenceData!$BD$548),"",ReferenceData!$BD$548),"")</f>
        <v/>
      </c>
      <c r="BE548" t="str">
        <f ca="1">IFERROR(IF(0=LEN(ReferenceData!$BE$548),"",ReferenceData!$BE$548),"")</f>
        <v/>
      </c>
      <c r="BF548" t="str">
        <f ca="1">IFERROR(IF(0=LEN(ReferenceData!$BF$548),"",ReferenceData!$BF$548),"")</f>
        <v/>
      </c>
      <c r="BG548" t="str">
        <f ca="1">IFERROR(IF(0=LEN(ReferenceData!$BG$548),"",ReferenceData!$BG$548),"")</f>
        <v/>
      </c>
      <c r="BH548" t="str">
        <f ca="1">IFERROR(IF(0=LEN(ReferenceData!$BH$548),"",ReferenceData!$BH$548),"")</f>
        <v/>
      </c>
      <c r="BI548" t="str">
        <f ca="1">IFERROR(IF(0=LEN(ReferenceData!$BI$548),"",ReferenceData!$BI$548),"")</f>
        <v/>
      </c>
      <c r="BJ548" t="str">
        <f ca="1">IFERROR(IF(0=LEN(ReferenceData!$BJ$548),"",ReferenceData!$BJ$548),"")</f>
        <v/>
      </c>
      <c r="BK548" t="str">
        <f ca="1">IFERROR(IF(0=LEN(ReferenceData!$BK$548),"",ReferenceData!$BK$548),"")</f>
        <v/>
      </c>
      <c r="BL548" t="str">
        <f ca="1">IFERROR(IF(0=LEN(ReferenceData!$BL$548),"",ReferenceData!$BL$548),"")</f>
        <v/>
      </c>
      <c r="BM548" t="str">
        <f ca="1">IFERROR(IF(0=LEN(ReferenceData!$BM$548),"",ReferenceData!$BM$548),"")</f>
        <v/>
      </c>
    </row>
    <row r="549" spans="1:65" x14ac:dyDescent="0.25">
      <c r="A549" t="str">
        <f>IFERROR(IF(0=LEN(ReferenceData!$A$549),"",ReferenceData!$A$549),"")</f>
        <v xml:space="preserve">    DRB-Hicom Bhd</v>
      </c>
      <c r="B549" t="str">
        <f>IFERROR(IF(0=LEN(ReferenceData!$B$549),"",ReferenceData!$B$549),"")</f>
        <v>DRB MK Equity</v>
      </c>
      <c r="C549" t="str">
        <f>IFERROR(IF(0=LEN(ReferenceData!$C$549),"",ReferenceData!$C$549),"")</f>
        <v>RX076</v>
      </c>
      <c r="D549" t="str">
        <f>IFERROR(IF(0=LEN(ReferenceData!$D$549),"",ReferenceData!$D$549),"")</f>
        <v>EBIT_YIELD</v>
      </c>
      <c r="E549" t="str">
        <f>IFERROR(IF(0=LEN(ReferenceData!$E$549),"",ReferenceData!$E$549),"")</f>
        <v>Dynamic</v>
      </c>
      <c r="F549" t="str">
        <f ca="1">IFERROR(IF(0=LEN(ReferenceData!$F$549),"",ReferenceData!$F$549),"")</f>
        <v/>
      </c>
      <c r="G549">
        <f ca="1">IFERROR(IF(0=LEN(ReferenceData!$G$549),"",ReferenceData!$G$549),"")</f>
        <v>-17.694354570000002</v>
      </c>
      <c r="H549">
        <f ca="1">IFERROR(IF(0=LEN(ReferenceData!$H$549),"",ReferenceData!$H$549),"")</f>
        <v>-13.69885515</v>
      </c>
      <c r="I549">
        <f ca="1">IFERROR(IF(0=LEN(ReferenceData!$I$549),"",ReferenceData!$I$549),"")</f>
        <v>7.8886671760000002</v>
      </c>
      <c r="J549">
        <f ca="1">IFERROR(IF(0=LEN(ReferenceData!$J$549),"",ReferenceData!$J$549),"")</f>
        <v>6.252085127</v>
      </c>
      <c r="K549">
        <f ca="1">IFERROR(IF(0=LEN(ReferenceData!$K$549),"",ReferenceData!$K$549),"")</f>
        <v>6.2137070139999997</v>
      </c>
      <c r="L549">
        <f ca="1">IFERROR(IF(0=LEN(ReferenceData!$L$549),"",ReferenceData!$L$549),"")</f>
        <v>31.181625629999999</v>
      </c>
      <c r="M549">
        <f ca="1">IFERROR(IF(0=LEN(ReferenceData!$M$549),"",ReferenceData!$M$549),"")</f>
        <v>-1.423269291</v>
      </c>
      <c r="N549">
        <f ca="1">IFERROR(IF(0=LEN(ReferenceData!$N$549),"",ReferenceData!$N$549),"")</f>
        <v>-3.0690199169999999</v>
      </c>
      <c r="O549">
        <f ca="1">IFERROR(IF(0=LEN(ReferenceData!$O$549),"",ReferenceData!$O$549),"")</f>
        <v>-19.520268000000002</v>
      </c>
      <c r="P549">
        <f ca="1">IFERROR(IF(0=LEN(ReferenceData!$P$549),"",ReferenceData!$P$549),"")</f>
        <v>-35.143273100000002</v>
      </c>
      <c r="Q549">
        <f ca="1">IFERROR(IF(0=LEN(ReferenceData!$Q$549),"",ReferenceData!$Q$549),"")</f>
        <v>-42.48711703</v>
      </c>
      <c r="R549">
        <f ca="1">IFERROR(IF(0=LEN(ReferenceData!$R$549),"",ReferenceData!$R$549),"")</f>
        <v>-32.153427690000001</v>
      </c>
      <c r="S549">
        <f ca="1">IFERROR(IF(0=LEN(ReferenceData!$S$549),"",ReferenceData!$S$549),"")</f>
        <v>1.379518126</v>
      </c>
      <c r="T549">
        <f ca="1">IFERROR(IF(0=LEN(ReferenceData!$T$549),"",ReferenceData!$T$549),"")</f>
        <v>7.830763535</v>
      </c>
      <c r="U549">
        <f ca="1">IFERROR(IF(0=LEN(ReferenceData!$U$549),"",ReferenceData!$U$549),"")</f>
        <v>10.94329089</v>
      </c>
      <c r="V549">
        <f ca="1">IFERROR(IF(0=LEN(ReferenceData!$V$549),"",ReferenceData!$V$549),"")</f>
        <v>13.064172749999999</v>
      </c>
      <c r="W549">
        <f ca="1">IFERROR(IF(0=LEN(ReferenceData!$W$549),"",ReferenceData!$W$549),"")</f>
        <v>23.454991369999998</v>
      </c>
      <c r="X549">
        <f ca="1">IFERROR(IF(0=LEN(ReferenceData!$X$549),"",ReferenceData!$X$549),"")</f>
        <v>19.354866399999999</v>
      </c>
      <c r="Y549">
        <f ca="1">IFERROR(IF(0=LEN(ReferenceData!$Y$549),"",ReferenceData!$Y$549),"")</f>
        <v>21.51892213</v>
      </c>
      <c r="Z549">
        <f ca="1">IFERROR(IF(0=LEN(ReferenceData!$Z$549),"",ReferenceData!$Z$549),"")</f>
        <v>18.572152540000001</v>
      </c>
      <c r="AA549">
        <f ca="1">IFERROR(IF(0=LEN(ReferenceData!$AA$549),"",ReferenceData!$AA$549),"")</f>
        <v>16.683351470000002</v>
      </c>
      <c r="AB549">
        <f ca="1">IFERROR(IF(0=LEN(ReferenceData!$AB$549),"",ReferenceData!$AB$549),"")</f>
        <v>15.43206269</v>
      </c>
      <c r="AC549">
        <f ca="1">IFERROR(IF(0=LEN(ReferenceData!$AC$549),"",ReferenceData!$AC$549),"")</f>
        <v>13.854260379999999</v>
      </c>
      <c r="AD549">
        <f ca="1">IFERROR(IF(0=LEN(ReferenceData!$AD$549),"",ReferenceData!$AD$549),"")</f>
        <v>13.812096159999999</v>
      </c>
      <c r="AE549">
        <f ca="1">IFERROR(IF(0=LEN(ReferenceData!$AE$549),"",ReferenceData!$AE$549),"")</f>
        <v>32.445629570000001</v>
      </c>
      <c r="AF549">
        <f ca="1">IFERROR(IF(0=LEN(ReferenceData!$AF$549),"",ReferenceData!$AF$549),"")</f>
        <v>39.794427730000002</v>
      </c>
      <c r="AG549">
        <f ca="1">IFERROR(IF(0=LEN(ReferenceData!$AG$549),"",ReferenceData!$AG$549),"")</f>
        <v>35.690366210000001</v>
      </c>
      <c r="AH549">
        <f ca="1">IFERROR(IF(0=LEN(ReferenceData!$AH$549),"",ReferenceData!$AH$549),"")</f>
        <v>36.59451636</v>
      </c>
      <c r="AI549">
        <f ca="1">IFERROR(IF(0=LEN(ReferenceData!$AI$549),"",ReferenceData!$AI$549),"")</f>
        <v>12.13278</v>
      </c>
      <c r="AJ549">
        <f ca="1">IFERROR(IF(0=LEN(ReferenceData!$AJ$549),"",ReferenceData!$AJ$549),"")</f>
        <v>14.72677423</v>
      </c>
      <c r="AK549">
        <f ca="1">IFERROR(IF(0=LEN(ReferenceData!$AK$549),"",ReferenceData!$AK$549),"")</f>
        <v>11.47836322</v>
      </c>
      <c r="AL549">
        <f ca="1">IFERROR(IF(0=LEN(ReferenceData!$AL$549),"",ReferenceData!$AL$549),"")</f>
        <v>12.38427525</v>
      </c>
      <c r="AM549">
        <f ca="1">IFERROR(IF(0=LEN(ReferenceData!$AM$549),"",ReferenceData!$AM$549),"")</f>
        <v>14.51592948</v>
      </c>
      <c r="AN549">
        <f ca="1">IFERROR(IF(0=LEN(ReferenceData!$AN$549),"",ReferenceData!$AN$549),"")</f>
        <v>23.164216289999999</v>
      </c>
      <c r="AO549">
        <f ca="1">IFERROR(IF(0=LEN(ReferenceData!$AO$549),"",ReferenceData!$AO$549),"")</f>
        <v>24.046755220000001</v>
      </c>
      <c r="AP549">
        <f ca="1">IFERROR(IF(0=LEN(ReferenceData!$AP$549),"",ReferenceData!$AP$549),"")</f>
        <v>17.221651810000001</v>
      </c>
      <c r="AQ549">
        <f ca="1">IFERROR(IF(0=LEN(ReferenceData!$AQ$549),"",ReferenceData!$AQ$549),"")</f>
        <v>11.64310296</v>
      </c>
      <c r="AR549">
        <f ca="1">IFERROR(IF(0=LEN(ReferenceData!$AR$549),"",ReferenceData!$AR$549),"")</f>
        <v>10.16000109</v>
      </c>
      <c r="AS549">
        <f ca="1">IFERROR(IF(0=LEN(ReferenceData!$AS$549),"",ReferenceData!$AS$549),"")</f>
        <v>14.7645926</v>
      </c>
      <c r="AT549">
        <f ca="1">IFERROR(IF(0=LEN(ReferenceData!$AT$549),"",ReferenceData!$AT$549),"")</f>
        <v>105.5797213</v>
      </c>
      <c r="AU549">
        <f ca="1">IFERROR(IF(0=LEN(ReferenceData!$AU$549),"",ReferenceData!$AU$549),"")</f>
        <v>111.26303710000001</v>
      </c>
      <c r="AV549">
        <f ca="1">IFERROR(IF(0=LEN(ReferenceData!$AV$549),"",ReferenceData!$AV$549),"")</f>
        <v>102.5514168</v>
      </c>
      <c r="AW549">
        <f ca="1">IFERROR(IF(0=LEN(ReferenceData!$AW$549),"",ReferenceData!$AW$549),"")</f>
        <v>92.431560619999999</v>
      </c>
      <c r="AX549">
        <f ca="1">IFERROR(IF(0=LEN(ReferenceData!$AX$549),"",ReferenceData!$AX$549),"")</f>
        <v>26.57391522</v>
      </c>
      <c r="AY549">
        <f ca="1">IFERROR(IF(0=LEN(ReferenceData!$AY$549),"",ReferenceData!$AY$549),"")</f>
        <v>30.534766059999999</v>
      </c>
      <c r="AZ549">
        <f ca="1">IFERROR(IF(0=LEN(ReferenceData!$AZ$549),"",ReferenceData!$AZ$549),"")</f>
        <v>19.614008009999999</v>
      </c>
      <c r="BA549">
        <f ca="1">IFERROR(IF(0=LEN(ReferenceData!$BA$549),"",ReferenceData!$BA$549),"")</f>
        <v>20.679909550000001</v>
      </c>
      <c r="BB549">
        <f ca="1">IFERROR(IF(0=LEN(ReferenceData!$BB$549),"",ReferenceData!$BB$549),"")</f>
        <v>17.47493347</v>
      </c>
      <c r="BC549">
        <f ca="1">IFERROR(IF(0=LEN(ReferenceData!$BC$549),"",ReferenceData!$BC$549),"")</f>
        <v>-1.8266530459999999</v>
      </c>
      <c r="BD549">
        <f ca="1">IFERROR(IF(0=LEN(ReferenceData!$BD$549),"",ReferenceData!$BD$549),"")</f>
        <v>-20.08143883</v>
      </c>
      <c r="BE549">
        <f ca="1">IFERROR(IF(0=LEN(ReferenceData!$BE$549),"",ReferenceData!$BE$549),"")</f>
        <v>-20.52023372</v>
      </c>
      <c r="BF549">
        <f ca="1">IFERROR(IF(0=LEN(ReferenceData!$BF$549),"",ReferenceData!$BF$549),"")</f>
        <v>-15.916371440000001</v>
      </c>
      <c r="BG549">
        <f ca="1">IFERROR(IF(0=LEN(ReferenceData!$BG$549),"",ReferenceData!$BG$549),"")</f>
        <v>-7.7102081350000002</v>
      </c>
      <c r="BH549">
        <f ca="1">IFERROR(IF(0=LEN(ReferenceData!$BH$549),"",ReferenceData!$BH$549),"")</f>
        <v>8.8761896060000005</v>
      </c>
      <c r="BI549">
        <f ca="1">IFERROR(IF(0=LEN(ReferenceData!$BI$549),"",ReferenceData!$BI$549),"")</f>
        <v>12.927567639999999</v>
      </c>
      <c r="BJ549">
        <f ca="1">IFERROR(IF(0=LEN(ReferenceData!$BJ$549),"",ReferenceData!$BJ$549),"")</f>
        <v>10.05578038</v>
      </c>
      <c r="BK549">
        <f ca="1">IFERROR(IF(0=LEN(ReferenceData!$BK$549),"",ReferenceData!$BK$549),"")</f>
        <v>10.2204908</v>
      </c>
      <c r="BL549">
        <f ca="1">IFERROR(IF(0=LEN(ReferenceData!$BL$549),"",ReferenceData!$BL$549),"")</f>
        <v>10.830868819999999</v>
      </c>
      <c r="BM549">
        <f ca="1">IFERROR(IF(0=LEN(ReferenceData!$BM$549),"",ReferenceData!$BM$549),"")</f>
        <v>12.8319302</v>
      </c>
    </row>
    <row r="550" spans="1:65" x14ac:dyDescent="0.25">
      <c r="A550" t="str">
        <f>IFERROR(IF(0=LEN(ReferenceData!$A$550),"",ReferenceData!$A$550),"")</f>
        <v xml:space="preserve">    FAW CAR Co Ltd</v>
      </c>
      <c r="B550" t="str">
        <f>IFERROR(IF(0=LEN(ReferenceData!$B$550),"",ReferenceData!$B$550),"")</f>
        <v>000800 CH Equity</v>
      </c>
      <c r="C550" t="str">
        <f>IFERROR(IF(0=LEN(ReferenceData!$C$550),"",ReferenceData!$C$550),"")</f>
        <v>RX076</v>
      </c>
      <c r="D550" t="str">
        <f>IFERROR(IF(0=LEN(ReferenceData!$D$550),"",ReferenceData!$D$550),"")</f>
        <v>EBIT_YIELD</v>
      </c>
      <c r="E550" t="str">
        <f>IFERROR(IF(0=LEN(ReferenceData!$E$550),"",ReferenceData!$E$550),"")</f>
        <v>Dynamic</v>
      </c>
      <c r="F550">
        <f ca="1">IFERROR(IF(0=LEN(ReferenceData!$F$550),"",ReferenceData!$F$550),"")</f>
        <v>-2.9598529220000001</v>
      </c>
      <c r="G550">
        <f ca="1">IFERROR(IF(0=LEN(ReferenceData!$G$550),"",ReferenceData!$G$550),"")</f>
        <v>-3.599216921</v>
      </c>
      <c r="H550">
        <f ca="1">IFERROR(IF(0=LEN(ReferenceData!$H$550),"",ReferenceData!$H$550),"")</f>
        <v>-3.6156018240000001</v>
      </c>
      <c r="I550">
        <f ca="1">IFERROR(IF(0=LEN(ReferenceData!$I$550),"",ReferenceData!$I$550),"")</f>
        <v>-2.4417749770000001</v>
      </c>
      <c r="J550">
        <f ca="1">IFERROR(IF(0=LEN(ReferenceData!$J$550),"",ReferenceData!$J$550),"")</f>
        <v>-0.29692343700000001</v>
      </c>
      <c r="K550">
        <f ca="1">IFERROR(IF(0=LEN(ReferenceData!$K$550),"",ReferenceData!$K$550),"")</f>
        <v>0.83296211399999998</v>
      </c>
      <c r="L550">
        <f ca="1">IFERROR(IF(0=LEN(ReferenceData!$L$550),"",ReferenceData!$L$550),"")</f>
        <v>0.36986962699999998</v>
      </c>
      <c r="M550">
        <f ca="1">IFERROR(IF(0=LEN(ReferenceData!$M$550),"",ReferenceData!$M$550),"")</f>
        <v>1.4945883250000001</v>
      </c>
      <c r="N550">
        <f ca="1">IFERROR(IF(0=LEN(ReferenceData!$N$550),"",ReferenceData!$N$550),"")</f>
        <v>-2.4140259940000002</v>
      </c>
      <c r="O550">
        <f ca="1">IFERROR(IF(0=LEN(ReferenceData!$O$550),"",ReferenceData!$O$550),"")</f>
        <v>-6.9087112370000003</v>
      </c>
      <c r="P550">
        <f ca="1">IFERROR(IF(0=LEN(ReferenceData!$P$550),"",ReferenceData!$P$550),"")</f>
        <v>-5.8018722450000002</v>
      </c>
      <c r="Q550">
        <f ca="1">IFERROR(IF(0=LEN(ReferenceData!$Q$550),"",ReferenceData!$Q$550),"")</f>
        <v>-7.2973914969999996</v>
      </c>
      <c r="R550">
        <f ca="1">IFERROR(IF(0=LEN(ReferenceData!$R$550),"",ReferenceData!$R$550),"")</f>
        <v>-2.8447531939999999</v>
      </c>
      <c r="S550">
        <f ca="1">IFERROR(IF(0=LEN(ReferenceData!$S$550),"",ReferenceData!$S$550),"")</f>
        <v>-2.7091823000000001E-2</v>
      </c>
      <c r="T550">
        <f ca="1">IFERROR(IF(0=LEN(ReferenceData!$T$550),"",ReferenceData!$T$550),"")</f>
        <v>-0.46146842100000002</v>
      </c>
      <c r="U550">
        <f ca="1">IFERROR(IF(0=LEN(ReferenceData!$U$550),"",ReferenceData!$U$550),"")</f>
        <v>-6.9218421000000002E-2</v>
      </c>
      <c r="V550">
        <f ca="1">IFERROR(IF(0=LEN(ReferenceData!$V$550),"",ReferenceData!$V$550),"")</f>
        <v>-0.33497090899999998</v>
      </c>
      <c r="W550">
        <f ca="1">IFERROR(IF(0=LEN(ReferenceData!$W$550),"",ReferenceData!$W$550),"")</f>
        <v>-0.15587928300000001</v>
      </c>
      <c r="X550">
        <f ca="1">IFERROR(IF(0=LEN(ReferenceData!$X$550),"",ReferenceData!$X$550),"")</f>
        <v>1.6289407069999999</v>
      </c>
      <c r="Y550">
        <f ca="1">IFERROR(IF(0=LEN(ReferenceData!$Y$550),"",ReferenceData!$Y$550),"")</f>
        <v>3.8731084930000002</v>
      </c>
      <c r="Z550">
        <f ca="1">IFERROR(IF(0=LEN(ReferenceData!$Z$550),"",ReferenceData!$Z$550),"")</f>
        <v>5.5379597130000002</v>
      </c>
      <c r="AA550">
        <f ca="1">IFERROR(IF(0=LEN(ReferenceData!$AA$550),"",ReferenceData!$AA$550),"")</f>
        <v>5.2705698219999997</v>
      </c>
      <c r="AB550">
        <f ca="1">IFERROR(IF(0=LEN(ReferenceData!$AB$550),"",ReferenceData!$AB$550),"")</f>
        <v>1.096256999</v>
      </c>
      <c r="AC550">
        <f ca="1">IFERROR(IF(0=LEN(ReferenceData!$AC$550),"",ReferenceData!$AC$550),"")</f>
        <v>-1.3200455719999999</v>
      </c>
      <c r="AD550">
        <f ca="1">IFERROR(IF(0=LEN(ReferenceData!$AD$550),"",ReferenceData!$AD$550),"")</f>
        <v>-5.6349839990000001</v>
      </c>
      <c r="AE550">
        <f ca="1">IFERROR(IF(0=LEN(ReferenceData!$AE$550),"",ReferenceData!$AE$550),"")</f>
        <v>-8.2279419100000002</v>
      </c>
      <c r="AF550">
        <f ca="1">IFERROR(IF(0=LEN(ReferenceData!$AF$550),"",ReferenceData!$AF$550),"")</f>
        <v>-10.7245182</v>
      </c>
      <c r="AG550">
        <f ca="1">IFERROR(IF(0=LEN(ReferenceData!$AG$550),"",ReferenceData!$AG$550),"")</f>
        <v>-5.7843244660000002</v>
      </c>
      <c r="AH550">
        <f ca="1">IFERROR(IF(0=LEN(ReferenceData!$AH$550),"",ReferenceData!$AH$550),"")</f>
        <v>-2.5023668039999998</v>
      </c>
      <c r="AI550">
        <f ca="1">IFERROR(IF(0=LEN(ReferenceData!$AI$550),"",ReferenceData!$AI$550),"")</f>
        <v>0.42654847699999998</v>
      </c>
      <c r="AJ550">
        <f ca="1">IFERROR(IF(0=LEN(ReferenceData!$AJ$550),"",ReferenceData!$AJ$550),"")</f>
        <v>4.25453042</v>
      </c>
      <c r="AK550">
        <f ca="1">IFERROR(IF(0=LEN(ReferenceData!$AK$550),"",ReferenceData!$AK$550),"")</f>
        <v>6.264595548</v>
      </c>
      <c r="AL550">
        <f ca="1">IFERROR(IF(0=LEN(ReferenceData!$AL$550),"",ReferenceData!$AL$550),"")</f>
        <v>6.3915933679999997</v>
      </c>
      <c r="AM550">
        <f ca="1">IFERROR(IF(0=LEN(ReferenceData!$AM$550),"",ReferenceData!$AM$550),"")</f>
        <v>8.1414084879999997</v>
      </c>
      <c r="AN550">
        <f ca="1">IFERROR(IF(0=LEN(ReferenceData!$AN$550),"",ReferenceData!$AN$550),"")</f>
        <v>9.4497935420000001</v>
      </c>
      <c r="AO550">
        <f ca="1">IFERROR(IF(0=LEN(ReferenceData!$AO$550),"",ReferenceData!$AO$550),"")</f>
        <v>11.095867739999999</v>
      </c>
      <c r="AP550">
        <f ca="1">IFERROR(IF(0=LEN(ReferenceData!$AP$550),"",ReferenceData!$AP$550),"")</f>
        <v>6.5268880730000003</v>
      </c>
      <c r="AQ550">
        <f ca="1">IFERROR(IF(0=LEN(ReferenceData!$AQ$550),"",ReferenceData!$AQ$550),"")</f>
        <v>4.2746747430000003</v>
      </c>
      <c r="AR550">
        <f ca="1">IFERROR(IF(0=LEN(ReferenceData!$AR$550),"",ReferenceData!$AR$550),"")</f>
        <v>4.0273375380000003</v>
      </c>
      <c r="AS550">
        <f ca="1">IFERROR(IF(0=LEN(ReferenceData!$AS$550),"",ReferenceData!$AS$550),"")</f>
        <v>4.4604664989999998</v>
      </c>
      <c r="AT550">
        <f ca="1">IFERROR(IF(0=LEN(ReferenceData!$AT$550),"",ReferenceData!$AT$550),"")</f>
        <v>4.6082694450000004</v>
      </c>
      <c r="AU550">
        <f ca="1">IFERROR(IF(0=LEN(ReferenceData!$AU$550),"",ReferenceData!$AU$550),"")</f>
        <v>9.5824072119999997</v>
      </c>
      <c r="AV550">
        <f ca="1">IFERROR(IF(0=LEN(ReferenceData!$AV$550),"",ReferenceData!$AV$550),"")</f>
        <v>9.6755360990000003</v>
      </c>
      <c r="AW550">
        <f ca="1">IFERROR(IF(0=LEN(ReferenceData!$AW$550),"",ReferenceData!$AW$550),"")</f>
        <v>8.0877451110000003</v>
      </c>
      <c r="AX550">
        <f ca="1">IFERROR(IF(0=LEN(ReferenceData!$AX$550),"",ReferenceData!$AX$550),"")</f>
        <v>4.8460158660000001</v>
      </c>
      <c r="AY550">
        <f ca="1">IFERROR(IF(0=LEN(ReferenceData!$AY$550),"",ReferenceData!$AY$550),"")</f>
        <v>2.022780714</v>
      </c>
      <c r="AZ550">
        <f ca="1">IFERROR(IF(0=LEN(ReferenceData!$AZ$550),"",ReferenceData!$AZ$550),"")</f>
        <v>1.6811550449999999</v>
      </c>
      <c r="BA550">
        <f ca="1">IFERROR(IF(0=LEN(ReferenceData!$BA$550),"",ReferenceData!$BA$550),"")</f>
        <v>1.347838968</v>
      </c>
      <c r="BB550">
        <f ca="1">IFERROR(IF(0=LEN(ReferenceData!$BB$550),"",ReferenceData!$BB$550),"")</f>
        <v>1.559972763</v>
      </c>
      <c r="BC550">
        <f ca="1">IFERROR(IF(0=LEN(ReferenceData!$BC$550),"",ReferenceData!$BC$550),"")</f>
        <v>3.4992937409999998</v>
      </c>
      <c r="BD550">
        <f ca="1">IFERROR(IF(0=LEN(ReferenceData!$BD$550),"",ReferenceData!$BD$550),"")</f>
        <v>7.5469857339999997</v>
      </c>
      <c r="BE550">
        <f ca="1">IFERROR(IF(0=LEN(ReferenceData!$BE$550),"",ReferenceData!$BE$550),"")</f>
        <v>8.6695227169999995</v>
      </c>
      <c r="BF550">
        <f ca="1">IFERROR(IF(0=LEN(ReferenceData!$BF$550),"",ReferenceData!$BF$550),"")</f>
        <v>7.4567137240000001</v>
      </c>
      <c r="BG550">
        <f ca="1">IFERROR(IF(0=LEN(ReferenceData!$BG$550),"",ReferenceData!$BG$550),"")</f>
        <v>8.1498057050000003</v>
      </c>
      <c r="BH550">
        <f ca="1">IFERROR(IF(0=LEN(ReferenceData!$BH$550),"",ReferenceData!$BH$550),"")</f>
        <v>3.7046023039999998</v>
      </c>
      <c r="BI550">
        <f ca="1">IFERROR(IF(0=LEN(ReferenceData!$BI$550),"",ReferenceData!$BI$550),"")</f>
        <v>2.1794731820000002</v>
      </c>
      <c r="BJ550">
        <f ca="1">IFERROR(IF(0=LEN(ReferenceData!$BJ$550),"",ReferenceData!$BJ$550),"")</f>
        <v>2.7878582669999998</v>
      </c>
      <c r="BK550">
        <f ca="1">IFERROR(IF(0=LEN(ReferenceData!$BK$550),"",ReferenceData!$BK$550),"")</f>
        <v>5.808303284</v>
      </c>
      <c r="BL550">
        <f ca="1">IFERROR(IF(0=LEN(ReferenceData!$BL$550),"",ReferenceData!$BL$550),"")</f>
        <v>6.876013382</v>
      </c>
      <c r="BM550">
        <f ca="1">IFERROR(IF(0=LEN(ReferenceData!$BM$550),"",ReferenceData!$BM$550),"")</f>
        <v>8.4732700259999998</v>
      </c>
    </row>
    <row r="551" spans="1:65" x14ac:dyDescent="0.25">
      <c r="A551" t="str">
        <f>IFERROR(IF(0=LEN(ReferenceData!$A$551),"",ReferenceData!$A$551),"")</f>
        <v xml:space="preserve">    Fiat Chrysler Automobiles NV</v>
      </c>
      <c r="B551" t="str">
        <f>IFERROR(IF(0=LEN(ReferenceData!$B$551),"",ReferenceData!$B$551),"")</f>
        <v>FCAU US Equity</v>
      </c>
      <c r="C551" t="str">
        <f>IFERROR(IF(0=LEN(ReferenceData!$C$551),"",ReferenceData!$C$551),"")</f>
        <v>RX076</v>
      </c>
      <c r="D551" t="str">
        <f>IFERROR(IF(0=LEN(ReferenceData!$D$551),"",ReferenceData!$D$551),"")</f>
        <v>EBIT_YIELD</v>
      </c>
      <c r="E551" t="str">
        <f>IFERROR(IF(0=LEN(ReferenceData!$E$551),"",ReferenceData!$E$551),"")</f>
        <v>Dynamic</v>
      </c>
      <c r="F551">
        <f ca="1">IFERROR(IF(0=LEN(ReferenceData!$F$551),"",ReferenceData!$F$551),"")</f>
        <v>25.305140600000001</v>
      </c>
      <c r="G551">
        <f ca="1">IFERROR(IF(0=LEN(ReferenceData!$G$551),"",ReferenceData!$G$551),"")</f>
        <v>26.420077599999999</v>
      </c>
      <c r="H551">
        <f ca="1">IFERROR(IF(0=LEN(ReferenceData!$H$551),"",ReferenceData!$H$551),"")</f>
        <v>22.838526259999998</v>
      </c>
      <c r="I551">
        <f ca="1">IFERROR(IF(0=LEN(ReferenceData!$I$551),"",ReferenceData!$I$551),"")</f>
        <v>23.697295830000002</v>
      </c>
      <c r="J551">
        <f ca="1">IFERROR(IF(0=LEN(ReferenceData!$J$551),"",ReferenceData!$J$551),"")</f>
        <v>27.813298020000001</v>
      </c>
      <c r="K551">
        <f ca="1">IFERROR(IF(0=LEN(ReferenceData!$K$551),"",ReferenceData!$K$551),"")</f>
        <v>31.12076836</v>
      </c>
      <c r="L551">
        <f ca="1">IFERROR(IF(0=LEN(ReferenceData!$L$551),"",ReferenceData!$L$551),"")</f>
        <v>31.09434984</v>
      </c>
      <c r="M551">
        <f ca="1">IFERROR(IF(0=LEN(ReferenceData!$M$551),"",ReferenceData!$M$551),"")</f>
        <v>48.784556670000001</v>
      </c>
      <c r="N551">
        <f ca="1">IFERROR(IF(0=LEN(ReferenceData!$N$551),"",ReferenceData!$N$551),"")</f>
        <v>34.293259450000001</v>
      </c>
      <c r="O551">
        <f ca="1">IFERROR(IF(0=LEN(ReferenceData!$O$551),"",ReferenceData!$O$551),"")</f>
        <v>39.147359719999997</v>
      </c>
      <c r="P551">
        <f ca="1">IFERROR(IF(0=LEN(ReferenceData!$P$551),"",ReferenceData!$P$551),"")</f>
        <v>48.568265240000002</v>
      </c>
      <c r="Q551">
        <f ca="1">IFERROR(IF(0=LEN(ReferenceData!$Q$551),"",ReferenceData!$Q$551),"")</f>
        <v>36.74445995</v>
      </c>
      <c r="R551">
        <f ca="1">IFERROR(IF(0=LEN(ReferenceData!$R$551),"",ReferenceData!$R$551),"")</f>
        <v>30.398546530000001</v>
      </c>
      <c r="S551">
        <f ca="1">IFERROR(IF(0=LEN(ReferenceData!$S$551),"",ReferenceData!$S$551),"")</f>
        <v>20.659930419999998</v>
      </c>
      <c r="T551">
        <f ca="1">IFERROR(IF(0=LEN(ReferenceData!$T$551),"",ReferenceData!$T$551),"")</f>
        <v>25.498241669999999</v>
      </c>
      <c r="U551">
        <f ca="1">IFERROR(IF(0=LEN(ReferenceData!$U$551),"",ReferenceData!$U$551),"")</f>
        <v>30.304481330000002</v>
      </c>
      <c r="V551">
        <f ca="1">IFERROR(IF(0=LEN(ReferenceData!$V$551),"",ReferenceData!$V$551),"")</f>
        <v>25.754819850000001</v>
      </c>
      <c r="W551">
        <f ca="1">IFERROR(IF(0=LEN(ReferenceData!$W$551),"",ReferenceData!$W$551),"")</f>
        <v>37.084664119999999</v>
      </c>
      <c r="X551" t="str">
        <f ca="1">IFERROR(IF(0=LEN(ReferenceData!$X$551),"",ReferenceData!$X$551),"")</f>
        <v/>
      </c>
      <c r="Y551" t="str">
        <f ca="1">IFERROR(IF(0=LEN(ReferenceData!$Y$551),"",ReferenceData!$Y$551),"")</f>
        <v/>
      </c>
      <c r="Z551" t="str">
        <f ca="1">IFERROR(IF(0=LEN(ReferenceData!$Z$551),"",ReferenceData!$Z$551),"")</f>
        <v/>
      </c>
      <c r="AA551" t="str">
        <f ca="1">IFERROR(IF(0=LEN(ReferenceData!$AA$551),"",ReferenceData!$AA$551),"")</f>
        <v/>
      </c>
      <c r="AB551" t="str">
        <f ca="1">IFERROR(IF(0=LEN(ReferenceData!$AB$551),"",ReferenceData!$AB$551),"")</f>
        <v/>
      </c>
      <c r="AC551" t="str">
        <f ca="1">IFERROR(IF(0=LEN(ReferenceData!$AC$551),"",ReferenceData!$AC$551),"")</f>
        <v/>
      </c>
      <c r="AD551" t="str">
        <f ca="1">IFERROR(IF(0=LEN(ReferenceData!$AD$551),"",ReferenceData!$AD$551),"")</f>
        <v/>
      </c>
      <c r="AE551" t="str">
        <f ca="1">IFERROR(IF(0=LEN(ReferenceData!$AE$551),"",ReferenceData!$AE$551),"")</f>
        <v/>
      </c>
      <c r="AF551" t="str">
        <f ca="1">IFERROR(IF(0=LEN(ReferenceData!$AF$551),"",ReferenceData!$AF$551),"")</f>
        <v/>
      </c>
      <c r="AG551" t="str">
        <f ca="1">IFERROR(IF(0=LEN(ReferenceData!$AG$551),"",ReferenceData!$AG$551),"")</f>
        <v/>
      </c>
      <c r="AH551" t="str">
        <f ca="1">IFERROR(IF(0=LEN(ReferenceData!$AH$551),"",ReferenceData!$AH$551),"")</f>
        <v/>
      </c>
      <c r="AI551" t="str">
        <f ca="1">IFERROR(IF(0=LEN(ReferenceData!$AI$551),"",ReferenceData!$AI$551),"")</f>
        <v/>
      </c>
      <c r="AJ551" t="str">
        <f ca="1">IFERROR(IF(0=LEN(ReferenceData!$AJ$551),"",ReferenceData!$AJ$551),"")</f>
        <v/>
      </c>
      <c r="AK551" t="str">
        <f ca="1">IFERROR(IF(0=LEN(ReferenceData!$AK$551),"",ReferenceData!$AK$551),"")</f>
        <v/>
      </c>
      <c r="AL551" t="str">
        <f ca="1">IFERROR(IF(0=LEN(ReferenceData!$AL$551),"",ReferenceData!$AL$551),"")</f>
        <v/>
      </c>
      <c r="AM551" t="str">
        <f ca="1">IFERROR(IF(0=LEN(ReferenceData!$AM$551),"",ReferenceData!$AM$551),"")</f>
        <v/>
      </c>
      <c r="AN551" t="str">
        <f ca="1">IFERROR(IF(0=LEN(ReferenceData!$AN$551),"",ReferenceData!$AN$551),"")</f>
        <v/>
      </c>
      <c r="AO551" t="str">
        <f ca="1">IFERROR(IF(0=LEN(ReferenceData!$AO$551),"",ReferenceData!$AO$551),"")</f>
        <v/>
      </c>
      <c r="AP551" t="str">
        <f ca="1">IFERROR(IF(0=LEN(ReferenceData!$AP$551),"",ReferenceData!$AP$551),"")</f>
        <v/>
      </c>
      <c r="AQ551" t="str">
        <f ca="1">IFERROR(IF(0=LEN(ReferenceData!$AQ$551),"",ReferenceData!$AQ$551),"")</f>
        <v/>
      </c>
      <c r="AR551" t="str">
        <f ca="1">IFERROR(IF(0=LEN(ReferenceData!$AR$551),"",ReferenceData!$AR$551),"")</f>
        <v/>
      </c>
      <c r="AS551" t="str">
        <f ca="1">IFERROR(IF(0=LEN(ReferenceData!$AS$551),"",ReferenceData!$AS$551),"")</f>
        <v/>
      </c>
      <c r="AT551" t="str">
        <f ca="1">IFERROR(IF(0=LEN(ReferenceData!$AT$551),"",ReferenceData!$AT$551),"")</f>
        <v/>
      </c>
      <c r="AU551" t="str">
        <f ca="1">IFERROR(IF(0=LEN(ReferenceData!$AU$551),"",ReferenceData!$AU$551),"")</f>
        <v/>
      </c>
      <c r="AV551" t="str">
        <f ca="1">IFERROR(IF(0=LEN(ReferenceData!$AV$551),"",ReferenceData!$AV$551),"")</f>
        <v/>
      </c>
      <c r="AW551" t="str">
        <f ca="1">IFERROR(IF(0=LEN(ReferenceData!$AW$551),"",ReferenceData!$AW$551),"")</f>
        <v/>
      </c>
      <c r="AX551" t="str">
        <f ca="1">IFERROR(IF(0=LEN(ReferenceData!$AX$551),"",ReferenceData!$AX$551),"")</f>
        <v/>
      </c>
      <c r="AY551" t="str">
        <f ca="1">IFERROR(IF(0=LEN(ReferenceData!$AY$551),"",ReferenceData!$AY$551),"")</f>
        <v/>
      </c>
      <c r="AZ551" t="str">
        <f ca="1">IFERROR(IF(0=LEN(ReferenceData!$AZ$551),"",ReferenceData!$AZ$551),"")</f>
        <v/>
      </c>
      <c r="BA551" t="str">
        <f ca="1">IFERROR(IF(0=LEN(ReferenceData!$BA$551),"",ReferenceData!$BA$551),"")</f>
        <v/>
      </c>
      <c r="BB551" t="str">
        <f ca="1">IFERROR(IF(0=LEN(ReferenceData!$BB$551),"",ReferenceData!$BB$551),"")</f>
        <v/>
      </c>
      <c r="BC551" t="str">
        <f ca="1">IFERROR(IF(0=LEN(ReferenceData!$BC$551),"",ReferenceData!$BC$551),"")</f>
        <v/>
      </c>
      <c r="BD551" t="str">
        <f ca="1">IFERROR(IF(0=LEN(ReferenceData!$BD$551),"",ReferenceData!$BD$551),"")</f>
        <v/>
      </c>
      <c r="BE551" t="str">
        <f ca="1">IFERROR(IF(0=LEN(ReferenceData!$BE$551),"",ReferenceData!$BE$551),"")</f>
        <v/>
      </c>
      <c r="BF551" t="str">
        <f ca="1">IFERROR(IF(0=LEN(ReferenceData!$BF$551),"",ReferenceData!$BF$551),"")</f>
        <v/>
      </c>
      <c r="BG551" t="str">
        <f ca="1">IFERROR(IF(0=LEN(ReferenceData!$BG$551),"",ReferenceData!$BG$551),"")</f>
        <v/>
      </c>
      <c r="BH551" t="str">
        <f ca="1">IFERROR(IF(0=LEN(ReferenceData!$BH$551),"",ReferenceData!$BH$551),"")</f>
        <v/>
      </c>
      <c r="BI551" t="str">
        <f ca="1">IFERROR(IF(0=LEN(ReferenceData!$BI$551),"",ReferenceData!$BI$551),"")</f>
        <v/>
      </c>
      <c r="BJ551" t="str">
        <f ca="1">IFERROR(IF(0=LEN(ReferenceData!$BJ$551),"",ReferenceData!$BJ$551),"")</f>
        <v/>
      </c>
      <c r="BK551" t="str">
        <f ca="1">IFERROR(IF(0=LEN(ReferenceData!$BK$551),"",ReferenceData!$BK$551),"")</f>
        <v/>
      </c>
      <c r="BL551" t="str">
        <f ca="1">IFERROR(IF(0=LEN(ReferenceData!$BL$551),"",ReferenceData!$BL$551),"")</f>
        <v/>
      </c>
      <c r="BM551" t="str">
        <f ca="1">IFERROR(IF(0=LEN(ReferenceData!$BM$551),"",ReferenceData!$BM$551),"")</f>
        <v/>
      </c>
    </row>
    <row r="552" spans="1:65" x14ac:dyDescent="0.25">
      <c r="A552" t="str">
        <f>IFERROR(IF(0=LEN(ReferenceData!$A$552),"",ReferenceData!$A$552),"")</f>
        <v xml:space="preserve">    Ford Motor Co</v>
      </c>
      <c r="B552" t="str">
        <f>IFERROR(IF(0=LEN(ReferenceData!$B$552),"",ReferenceData!$B$552),"")</f>
        <v>F US Equity</v>
      </c>
      <c r="C552" t="str">
        <f>IFERROR(IF(0=LEN(ReferenceData!$C$552),"",ReferenceData!$C$552),"")</f>
        <v>RX076</v>
      </c>
      <c r="D552" t="str">
        <f>IFERROR(IF(0=LEN(ReferenceData!$D$552),"",ReferenceData!$D$552),"")</f>
        <v>EBIT_YIELD</v>
      </c>
      <c r="E552" t="str">
        <f>IFERROR(IF(0=LEN(ReferenceData!$E$552),"",ReferenceData!$E$552),"")</f>
        <v>Dynamic</v>
      </c>
      <c r="F552">
        <f ca="1">IFERROR(IF(0=LEN(ReferenceData!$F$552),"",ReferenceData!$F$552),"")</f>
        <v>9.2533717180000004</v>
      </c>
      <c r="G552">
        <f ca="1">IFERROR(IF(0=LEN(ReferenceData!$G$552),"",ReferenceData!$G$552),"")</f>
        <v>10.535538259999999</v>
      </c>
      <c r="H552">
        <f ca="1">IFERROR(IF(0=LEN(ReferenceData!$H$552),"",ReferenceData!$H$552),"")</f>
        <v>9.3497061640000005</v>
      </c>
      <c r="I552">
        <f ca="1">IFERROR(IF(0=LEN(ReferenceData!$I$552),"",ReferenceData!$I$552),"")</f>
        <v>8.1192665670000004</v>
      </c>
      <c r="J552">
        <f ca="1">IFERROR(IF(0=LEN(ReferenceData!$J$552),"",ReferenceData!$J$552),"")</f>
        <v>10.304146790000001</v>
      </c>
      <c r="K552">
        <f ca="1">IFERROR(IF(0=LEN(ReferenceData!$K$552),"",ReferenceData!$K$552),"")</f>
        <v>9.8304657899999999</v>
      </c>
      <c r="L552">
        <f ca="1">IFERROR(IF(0=LEN(ReferenceData!$L$552),"",ReferenceData!$L$552),"")</f>
        <v>9.1814548519999999</v>
      </c>
      <c r="M552">
        <f ca="1">IFERROR(IF(0=LEN(ReferenceData!$M$552),"",ReferenceData!$M$552),"")</f>
        <v>9.2896129159999994</v>
      </c>
      <c r="N552">
        <f ca="1">IFERROR(IF(0=LEN(ReferenceData!$N$552),"",ReferenceData!$N$552),"")</f>
        <v>10.373987059999999</v>
      </c>
      <c r="O552">
        <f ca="1">IFERROR(IF(0=LEN(ReferenceData!$O$552),"",ReferenceData!$O$552),"")</f>
        <v>12.009094729999999</v>
      </c>
      <c r="P552">
        <f ca="1">IFERROR(IF(0=LEN(ReferenceData!$P$552),"",ReferenceData!$P$552),"")</f>
        <v>12.26750676</v>
      </c>
      <c r="Q552">
        <f ca="1">IFERROR(IF(0=LEN(ReferenceData!$Q$552),"",ReferenceData!$Q$552),"")</f>
        <v>15.545717310000001</v>
      </c>
      <c r="R552">
        <f ca="1">IFERROR(IF(0=LEN(ReferenceData!$R$552),"",ReferenceData!$R$552),"")</f>
        <v>15.27525561</v>
      </c>
      <c r="S552">
        <f ca="1">IFERROR(IF(0=LEN(ReferenceData!$S$552),"",ReferenceData!$S$552),"")</f>
        <v>12.476063809999999</v>
      </c>
      <c r="T552">
        <f ca="1">IFERROR(IF(0=LEN(ReferenceData!$T$552),"",ReferenceData!$T$552),"")</f>
        <v>6.7816485660000003</v>
      </c>
      <c r="U552">
        <f ca="1">IFERROR(IF(0=LEN(ReferenceData!$U$552),"",ReferenceData!$U$552),"")</f>
        <v>2.5485868549999999</v>
      </c>
      <c r="V552">
        <f ca="1">IFERROR(IF(0=LEN(ReferenceData!$V$552),"",ReferenceData!$V$552),"")</f>
        <v>1.2310969270000001</v>
      </c>
      <c r="W552">
        <f ca="1">IFERROR(IF(0=LEN(ReferenceData!$W$552),"",ReferenceData!$W$552),"")</f>
        <v>0.51433184399999998</v>
      </c>
      <c r="X552">
        <f ca="1">IFERROR(IF(0=LEN(ReferenceData!$X$552),"",ReferenceData!$X$552),"")</f>
        <v>6.4039685669999997</v>
      </c>
      <c r="Y552">
        <f ca="1">IFERROR(IF(0=LEN(ReferenceData!$Y$552),"",ReferenceData!$Y$552),"")</f>
        <v>7.259160971</v>
      </c>
      <c r="Z552">
        <f ca="1">IFERROR(IF(0=LEN(ReferenceData!$Z$552),"",ReferenceData!$Z$552),"")</f>
        <v>7.2731810709999998</v>
      </c>
      <c r="AA552">
        <f ca="1">IFERROR(IF(0=LEN(ReferenceData!$AA$552),"",ReferenceData!$AA$552),"")</f>
        <v>9.02592718</v>
      </c>
      <c r="AB552">
        <f ca="1">IFERROR(IF(0=LEN(ReferenceData!$AB$552),"",ReferenceData!$AB$552),"")</f>
        <v>8.3504573680000007</v>
      </c>
      <c r="AC552">
        <f ca="1">IFERROR(IF(0=LEN(ReferenceData!$AC$552),"",ReferenceData!$AC$552),"")</f>
        <v>9.3387978260000004</v>
      </c>
      <c r="AD552">
        <f ca="1">IFERROR(IF(0=LEN(ReferenceData!$AD$552),"",ReferenceData!$AD$552),"")</f>
        <v>11.36143605</v>
      </c>
      <c r="AE552">
        <f ca="1">IFERROR(IF(0=LEN(ReferenceData!$AE$552),"",ReferenceData!$AE$552),"")</f>
        <v>11.74658144</v>
      </c>
      <c r="AF552">
        <f ca="1">IFERROR(IF(0=LEN(ReferenceData!$AF$552),"",ReferenceData!$AF$552),"")</f>
        <v>17.463087659999999</v>
      </c>
      <c r="AG552">
        <f ca="1">IFERROR(IF(0=LEN(ReferenceData!$AG$552),"",ReferenceData!$AG$552),"")</f>
        <v>17.602267130000001</v>
      </c>
      <c r="AH552">
        <f ca="1">IFERROR(IF(0=LEN(ReferenceData!$AH$552),"",ReferenceData!$AH$552),"")</f>
        <v>15.313742380000001</v>
      </c>
      <c r="AI552">
        <f ca="1">IFERROR(IF(0=LEN(ReferenceData!$AI$552),"",ReferenceData!$AI$552),"")</f>
        <v>20.03998859</v>
      </c>
      <c r="AJ552">
        <f ca="1">IFERROR(IF(0=LEN(ReferenceData!$AJ$552),"",ReferenceData!$AJ$552),"")</f>
        <v>22.796141500000001</v>
      </c>
      <c r="AK552">
        <f ca="1">IFERROR(IF(0=LEN(ReferenceData!$AK$552),"",ReferenceData!$AK$552),"")</f>
        <v>17.02204691</v>
      </c>
      <c r="AL552">
        <f ca="1">IFERROR(IF(0=LEN(ReferenceData!$AL$552),"",ReferenceData!$AL$552),"")</f>
        <v>17.59415984</v>
      </c>
      <c r="AM552">
        <f ca="1">IFERROR(IF(0=LEN(ReferenceData!$AM$552),"",ReferenceData!$AM$552),"")</f>
        <v>15.23376987</v>
      </c>
      <c r="AN552">
        <f ca="1">IFERROR(IF(0=LEN(ReferenceData!$AN$552),"",ReferenceData!$AN$552),"")</f>
        <v>20.08180003</v>
      </c>
      <c r="AO552">
        <f ca="1">IFERROR(IF(0=LEN(ReferenceData!$AO$552),"",ReferenceData!$AO$552),"")</f>
        <v>21.745467390000002</v>
      </c>
      <c r="AP552">
        <f ca="1">IFERROR(IF(0=LEN(ReferenceData!$AP$552),"",ReferenceData!$AP$552),"")</f>
        <v>6.5012597850000002</v>
      </c>
      <c r="AQ552">
        <f ca="1">IFERROR(IF(0=LEN(ReferenceData!$AQ$552),"",ReferenceData!$AQ$552),"")</f>
        <v>-9.1428054809999999</v>
      </c>
      <c r="AR552">
        <f ca="1">IFERROR(IF(0=LEN(ReferenceData!$AR$552),"",ReferenceData!$AR$552),"")</f>
        <v>-43.424659040000002</v>
      </c>
      <c r="AS552">
        <f ca="1">IFERROR(IF(0=LEN(ReferenceData!$AS$552),"",ReferenceData!$AS$552),"")</f>
        <v>-57.778072690000002</v>
      </c>
      <c r="AT552">
        <f ca="1">IFERROR(IF(0=LEN(ReferenceData!$AT$552),"",ReferenceData!$AT$552),"")</f>
        <v>-264.05277640000003</v>
      </c>
      <c r="AU552">
        <f ca="1">IFERROR(IF(0=LEN(ReferenceData!$AU$552),"",ReferenceData!$AU$552),"")</f>
        <v>-248.85152980000001</v>
      </c>
      <c r="AV552">
        <f ca="1">IFERROR(IF(0=LEN(ReferenceData!$AV$552),"",ReferenceData!$AV$552),"")</f>
        <v>-92.510961069999993</v>
      </c>
      <c r="AW552">
        <f ca="1">IFERROR(IF(0=LEN(ReferenceData!$AW$552),"",ReferenceData!$AW$552),"")</f>
        <v>-92.71556717</v>
      </c>
      <c r="AX552">
        <f ca="1">IFERROR(IF(0=LEN(ReferenceData!$AX$552),"",ReferenceData!$AX$552),"")</f>
        <v>-2.3749096600000001</v>
      </c>
      <c r="AY552">
        <f ca="1">IFERROR(IF(0=LEN(ReferenceData!$AY$552),"",ReferenceData!$AY$552),"")</f>
        <v>-3.561374094</v>
      </c>
      <c r="AZ552">
        <f ca="1">IFERROR(IF(0=LEN(ReferenceData!$AZ$552),"",ReferenceData!$AZ$552),"")</f>
        <v>-27.03936242</v>
      </c>
      <c r="BA552">
        <f ca="1">IFERROR(IF(0=LEN(ReferenceData!$BA$552),"",ReferenceData!$BA$552),"")</f>
        <v>-67.179310920000006</v>
      </c>
      <c r="BB552">
        <f ca="1">IFERROR(IF(0=LEN(ReferenceData!$BB$552),"",ReferenceData!$BB$552),"")</f>
        <v>-91.248329530000007</v>
      </c>
      <c r="BC552">
        <f ca="1">IFERROR(IF(0=LEN(ReferenceData!$BC$552),"",ReferenceData!$BC$552),"")</f>
        <v>-113.1904088</v>
      </c>
      <c r="BD552">
        <f ca="1">IFERROR(IF(0=LEN(ReferenceData!$BD$552),"",ReferenceData!$BD$552),"")</f>
        <v>-73.040262979999994</v>
      </c>
      <c r="BE552">
        <f ca="1">IFERROR(IF(0=LEN(ReferenceData!$BE$552),"",ReferenceData!$BE$552),"")</f>
        <v>-38.305719230000001</v>
      </c>
      <c r="BF552">
        <f ca="1">IFERROR(IF(0=LEN(ReferenceData!$BF$552),"",ReferenceData!$BF$552),"")</f>
        <v>-26.42258795</v>
      </c>
      <c r="BG552">
        <f ca="1">IFERROR(IF(0=LEN(ReferenceData!$BG$552),"",ReferenceData!$BG$552),"")</f>
        <v>-2.6936553810000001</v>
      </c>
      <c r="BH552">
        <f ca="1">IFERROR(IF(0=LEN(ReferenceData!$BH$552),"",ReferenceData!$BH$552),"")</f>
        <v>-1.7460465249999999</v>
      </c>
      <c r="BI552">
        <f ca="1">IFERROR(IF(0=LEN(ReferenceData!$BI$552),"",ReferenceData!$BI$552),"")</f>
        <v>6.7422799940000004</v>
      </c>
      <c r="BJ552">
        <f ca="1">IFERROR(IF(0=LEN(ReferenceData!$BJ$552),"",ReferenceData!$BJ$552),"")</f>
        <v>12.889610429999999</v>
      </c>
      <c r="BK552">
        <f ca="1">IFERROR(IF(0=LEN(ReferenceData!$BK$552),"",ReferenceData!$BK$552),"")</f>
        <v>16.797303159999998</v>
      </c>
      <c r="BL552">
        <f ca="1">IFERROR(IF(0=LEN(ReferenceData!$BL$552),"",ReferenceData!$BL$552),"")</f>
        <v>14.8466331</v>
      </c>
      <c r="BM552">
        <f ca="1">IFERROR(IF(0=LEN(ReferenceData!$BM$552),"",ReferenceData!$BM$552),"")</f>
        <v>12.288048890000001</v>
      </c>
    </row>
    <row r="553" spans="1:65" x14ac:dyDescent="0.25">
      <c r="A553" t="str">
        <f>IFERROR(IF(0=LEN(ReferenceData!$A$553),"",ReferenceData!$A$553),"")</f>
        <v xml:space="preserve">    Ford Otomotiv Sanayi AS</v>
      </c>
      <c r="B553" t="str">
        <f>IFERROR(IF(0=LEN(ReferenceData!$B$553),"",ReferenceData!$B$553),"")</f>
        <v>FROTOTRY EO Equity</v>
      </c>
      <c r="C553" t="str">
        <f>IFERROR(IF(0=LEN(ReferenceData!$C$553),"",ReferenceData!$C$553),"")</f>
        <v>RX076</v>
      </c>
      <c r="D553" t="str">
        <f>IFERROR(IF(0=LEN(ReferenceData!$D$553),"",ReferenceData!$D$553),"")</f>
        <v>EBIT_YIELD</v>
      </c>
      <c r="E553" t="str">
        <f>IFERROR(IF(0=LEN(ReferenceData!$E$553),"",ReferenceData!$E$553),"")</f>
        <v>Dynamic</v>
      </c>
      <c r="F553">
        <f ca="1">IFERROR(IF(0=LEN(ReferenceData!$F$553),"",ReferenceData!$F$553),"")</f>
        <v>12.19057108</v>
      </c>
      <c r="G553">
        <f ca="1">IFERROR(IF(0=LEN(ReferenceData!$G$553),"",ReferenceData!$G$553),"")</f>
        <v>13.446199910000001</v>
      </c>
      <c r="H553">
        <f ca="1">IFERROR(IF(0=LEN(ReferenceData!$H$553),"",ReferenceData!$H$553),"")</f>
        <v>9.0087389439999992</v>
      </c>
      <c r="I553">
        <f ca="1">IFERROR(IF(0=LEN(ReferenceData!$I$553),"",ReferenceData!$I$553),"")</f>
        <v>9.3796485220000001</v>
      </c>
      <c r="J553">
        <f ca="1">IFERROR(IF(0=LEN(ReferenceData!$J$553),"",ReferenceData!$J$553),"")</f>
        <v>8.0170954069999993</v>
      </c>
      <c r="K553">
        <f ca="1">IFERROR(IF(0=LEN(ReferenceData!$K$553),"",ReferenceData!$K$553),"")</f>
        <v>7.5232113680000001</v>
      </c>
      <c r="L553">
        <f ca="1">IFERROR(IF(0=LEN(ReferenceData!$L$553),"",ReferenceData!$L$553),"")</f>
        <v>9.3930512949999994</v>
      </c>
      <c r="M553">
        <f ca="1">IFERROR(IF(0=LEN(ReferenceData!$M$553),"",ReferenceData!$M$553),"")</f>
        <v>8.5336873660000006</v>
      </c>
      <c r="N553">
        <f ca="1">IFERROR(IF(0=LEN(ReferenceData!$N$553),"",ReferenceData!$N$553),"")</f>
        <v>9.6664159299999994</v>
      </c>
      <c r="O553">
        <f ca="1">IFERROR(IF(0=LEN(ReferenceData!$O$553),"",ReferenceData!$O$553),"")</f>
        <v>10.575207020000001</v>
      </c>
      <c r="P553">
        <f ca="1">IFERROR(IF(0=LEN(ReferenceData!$P$553),"",ReferenceData!$P$553),"")</f>
        <v>10.10011562</v>
      </c>
      <c r="Q553">
        <f ca="1">IFERROR(IF(0=LEN(ReferenceData!$Q$553),"",ReferenceData!$Q$553),"")</f>
        <v>10.320620659999999</v>
      </c>
      <c r="R553">
        <f ca="1">IFERROR(IF(0=LEN(ReferenceData!$R$553),"",ReferenceData!$R$553),"")</f>
        <v>8.1177238589999998</v>
      </c>
      <c r="S553">
        <f ca="1">IFERROR(IF(0=LEN(ReferenceData!$S$553),"",ReferenceData!$S$553),"")</f>
        <v>9.5597983299999996</v>
      </c>
      <c r="T553">
        <f ca="1">IFERROR(IF(0=LEN(ReferenceData!$T$553),"",ReferenceData!$T$553),"")</f>
        <v>7.6637758700000003</v>
      </c>
      <c r="U553">
        <f ca="1">IFERROR(IF(0=LEN(ReferenceData!$U$553),"",ReferenceData!$U$553),"")</f>
        <v>6.0546600269999997</v>
      </c>
      <c r="V553">
        <f ca="1">IFERROR(IF(0=LEN(ReferenceData!$V$553),"",ReferenceData!$V$553),"")</f>
        <v>5.4433035869999999</v>
      </c>
      <c r="W553">
        <f ca="1">IFERROR(IF(0=LEN(ReferenceData!$W$553),"",ReferenceData!$W$553),"")</f>
        <v>4.7283976269999997</v>
      </c>
      <c r="X553">
        <f ca="1">IFERROR(IF(0=LEN(ReferenceData!$X$553),"",ReferenceData!$X$553),"")</f>
        <v>5.686645349</v>
      </c>
      <c r="Y553">
        <f ca="1">IFERROR(IF(0=LEN(ReferenceData!$Y$553),"",ReferenceData!$Y$553),"")</f>
        <v>5.4912592450000002</v>
      </c>
      <c r="Z553">
        <f ca="1">IFERROR(IF(0=LEN(ReferenceData!$Z$553),"",ReferenceData!$Z$553),"")</f>
        <v>7.5538479369999996</v>
      </c>
      <c r="AA553">
        <f ca="1">IFERROR(IF(0=LEN(ReferenceData!$AA$553),"",ReferenceData!$AA$553),"")</f>
        <v>7.6308817869999999</v>
      </c>
      <c r="AB553">
        <f ca="1">IFERROR(IF(0=LEN(ReferenceData!$AB$553),"",ReferenceData!$AB$553),"")</f>
        <v>6.5494911729999998</v>
      </c>
      <c r="AC553">
        <f ca="1">IFERROR(IF(0=LEN(ReferenceData!$AC$553),"",ReferenceData!$AC$553),"")</f>
        <v>6.7221196279999997</v>
      </c>
      <c r="AD553">
        <f ca="1">IFERROR(IF(0=LEN(ReferenceData!$AD$553),"",ReferenceData!$AD$553),"")</f>
        <v>6.7151916600000003</v>
      </c>
      <c r="AE553">
        <f ca="1">IFERROR(IF(0=LEN(ReferenceData!$AE$553),"",ReferenceData!$AE$553),"")</f>
        <v>8.7857428770000006</v>
      </c>
      <c r="AF553">
        <f ca="1">IFERROR(IF(0=LEN(ReferenceData!$AF$553),"",ReferenceData!$AF$553),"")</f>
        <v>9.9329381839999993</v>
      </c>
      <c r="AG553">
        <f ca="1">IFERROR(IF(0=LEN(ReferenceData!$AG$553),"",ReferenceData!$AG$553),"")</f>
        <v>12.458729030000001</v>
      </c>
      <c r="AH553">
        <f ca="1">IFERROR(IF(0=LEN(ReferenceData!$AH$553),"",ReferenceData!$AH$553),"")</f>
        <v>12.679319550000001</v>
      </c>
      <c r="AI553">
        <f ca="1">IFERROR(IF(0=LEN(ReferenceData!$AI$553),"",ReferenceData!$AI$553),"")</f>
        <v>13.58119598</v>
      </c>
      <c r="AJ553">
        <f ca="1">IFERROR(IF(0=LEN(ReferenceData!$AJ$553),"",ReferenceData!$AJ$553),"")</f>
        <v>17.382541710000002</v>
      </c>
      <c r="AK553">
        <f ca="1">IFERROR(IF(0=LEN(ReferenceData!$AK$553),"",ReferenceData!$AK$553),"")</f>
        <v>14.946701089999999</v>
      </c>
      <c r="AL553">
        <f ca="1">IFERROR(IF(0=LEN(ReferenceData!$AL$553),"",ReferenceData!$AL$553),"")</f>
        <v>13.049845039999999</v>
      </c>
      <c r="AM553">
        <f ca="1">IFERROR(IF(0=LEN(ReferenceData!$AM$553),"",ReferenceData!$AM$553),"")</f>
        <v>13.32270376</v>
      </c>
      <c r="AN553">
        <f ca="1">IFERROR(IF(0=LEN(ReferenceData!$AN$553),"",ReferenceData!$AN$553),"")</f>
        <v>11.657906090000001</v>
      </c>
      <c r="AO553">
        <f ca="1">IFERROR(IF(0=LEN(ReferenceData!$AO$553),"",ReferenceData!$AO$553),"")</f>
        <v>13.7389647</v>
      </c>
      <c r="AP553">
        <f ca="1">IFERROR(IF(0=LEN(ReferenceData!$AP$553),"",ReferenceData!$AP$553),"")</f>
        <v>11.713245580000001</v>
      </c>
      <c r="AQ553">
        <f ca="1">IFERROR(IF(0=LEN(ReferenceData!$AQ$553),"",ReferenceData!$AQ$553),"")</f>
        <v>12.26163756</v>
      </c>
      <c r="AR553">
        <f ca="1">IFERROR(IF(0=LEN(ReferenceData!$AR$553),"",ReferenceData!$AR$553),"")</f>
        <v>10.259649639999999</v>
      </c>
      <c r="AS553">
        <f ca="1">IFERROR(IF(0=LEN(ReferenceData!$AS$553),"",ReferenceData!$AS$553),"")</f>
        <v>16.03241993</v>
      </c>
      <c r="AT553">
        <f ca="1">IFERROR(IF(0=LEN(ReferenceData!$AT$553),"",ReferenceData!$AT$553),"")</f>
        <v>25.918843089999999</v>
      </c>
      <c r="AU553">
        <f ca="1">IFERROR(IF(0=LEN(ReferenceData!$AU$553),"",ReferenceData!$AU$553),"")</f>
        <v>39.147439759999997</v>
      </c>
      <c r="AV553">
        <f ca="1">IFERROR(IF(0=LEN(ReferenceData!$AV$553),"",ReferenceData!$AV$553),"")</f>
        <v>29.948379289999998</v>
      </c>
      <c r="AW553">
        <f ca="1">IFERROR(IF(0=LEN(ReferenceData!$AW$553),"",ReferenceData!$AW$553),"")</f>
        <v>25.138176300000001</v>
      </c>
      <c r="AX553">
        <f ca="1">IFERROR(IF(0=LEN(ReferenceData!$AX$553),"",ReferenceData!$AX$553),"")</f>
        <v>20.625960809999999</v>
      </c>
      <c r="AY553">
        <f ca="1">IFERROR(IF(0=LEN(ReferenceData!$AY$553),"",ReferenceData!$AY$553),"")</f>
        <v>15.25842969</v>
      </c>
      <c r="AZ553">
        <f ca="1">IFERROR(IF(0=LEN(ReferenceData!$AZ$553),"",ReferenceData!$AZ$553),"")</f>
        <v>12.8625443</v>
      </c>
      <c r="BA553">
        <f ca="1">IFERROR(IF(0=LEN(ReferenceData!$BA$553),"",ReferenceData!$BA$553),"")</f>
        <v>12.337019489999999</v>
      </c>
      <c r="BB553">
        <f ca="1">IFERROR(IF(0=LEN(ReferenceData!$BB$553),"",ReferenceData!$BB$553),"")</f>
        <v>12.97203889</v>
      </c>
      <c r="BC553">
        <f ca="1">IFERROR(IF(0=LEN(ReferenceData!$BC$553),"",ReferenceData!$BC$553),"")</f>
        <v>14.229111169999999</v>
      </c>
      <c r="BD553">
        <f ca="1">IFERROR(IF(0=LEN(ReferenceData!$BD$553),"",ReferenceData!$BD$553),"")</f>
        <v>17.19383912</v>
      </c>
      <c r="BE553">
        <f ca="1">IFERROR(IF(0=LEN(ReferenceData!$BE$553),"",ReferenceData!$BE$553),"")</f>
        <v>16.580891739999998</v>
      </c>
      <c r="BF553">
        <f ca="1">IFERROR(IF(0=LEN(ReferenceData!$BF$553),"",ReferenceData!$BF$553),"")</f>
        <v>13.77042226</v>
      </c>
      <c r="BG553">
        <f ca="1">IFERROR(IF(0=LEN(ReferenceData!$BG$553),"",ReferenceData!$BG$553),"")</f>
        <v>12.994409940000001</v>
      </c>
      <c r="BH553">
        <f ca="1">IFERROR(IF(0=LEN(ReferenceData!$BH$553),"",ReferenceData!$BH$553),"")</f>
        <v>13.88134634</v>
      </c>
      <c r="BI553">
        <f ca="1">IFERROR(IF(0=LEN(ReferenceData!$BI$553),"",ReferenceData!$BI$553),"")</f>
        <v>13.94414787</v>
      </c>
      <c r="BJ553">
        <f ca="1">IFERROR(IF(0=LEN(ReferenceData!$BJ$553),"",ReferenceData!$BJ$553),"")</f>
        <v>15.213333309999999</v>
      </c>
      <c r="BK553">
        <f ca="1">IFERROR(IF(0=LEN(ReferenceData!$BK$553),"",ReferenceData!$BK$553),"")</f>
        <v>15.567089960000001</v>
      </c>
      <c r="BL553">
        <f ca="1">IFERROR(IF(0=LEN(ReferenceData!$BL$553),"",ReferenceData!$BL$553),"")</f>
        <v>15.845552059999999</v>
      </c>
      <c r="BM553">
        <f ca="1">IFERROR(IF(0=LEN(ReferenceData!$BM$553),"",ReferenceData!$BM$553),"")</f>
        <v>28.764082800000001</v>
      </c>
    </row>
    <row r="554" spans="1:65" x14ac:dyDescent="0.25">
      <c r="A554" t="str">
        <f>IFERROR(IF(0=LEN(ReferenceData!$A$554),"",ReferenceData!$A$554),"")</f>
        <v xml:space="preserve">    GAZ PJSC</v>
      </c>
      <c r="B554" t="str">
        <f>IFERROR(IF(0=LEN(ReferenceData!$B$554),"",ReferenceData!$B$554),"")</f>
        <v>GAZA RM Equity</v>
      </c>
      <c r="C554" t="str">
        <f>IFERROR(IF(0=LEN(ReferenceData!$C$554),"",ReferenceData!$C$554),"")</f>
        <v>RX076</v>
      </c>
      <c r="D554" t="str">
        <f>IFERROR(IF(0=LEN(ReferenceData!$D$554),"",ReferenceData!$D$554),"")</f>
        <v>EBIT_YIELD</v>
      </c>
      <c r="E554" t="str">
        <f>IFERROR(IF(0=LEN(ReferenceData!$E$554),"",ReferenceData!$E$554),"")</f>
        <v>Dynamic</v>
      </c>
      <c r="F554" t="str">
        <f ca="1">IFERROR(IF(0=LEN(ReferenceData!$F$554),"",ReferenceData!$F$554),"")</f>
        <v/>
      </c>
      <c r="G554" t="str">
        <f ca="1">IFERROR(IF(0=LEN(ReferenceData!$G$554),"",ReferenceData!$G$554),"")</f>
        <v/>
      </c>
      <c r="H554" t="str">
        <f ca="1">IFERROR(IF(0=LEN(ReferenceData!$H$554),"",ReferenceData!$H$554),"")</f>
        <v/>
      </c>
      <c r="I554" t="str">
        <f ca="1">IFERROR(IF(0=LEN(ReferenceData!$I$554),"",ReferenceData!$I$554),"")</f>
        <v/>
      </c>
      <c r="J554" t="str">
        <f ca="1">IFERROR(IF(0=LEN(ReferenceData!$J$554),"",ReferenceData!$J$554),"")</f>
        <v/>
      </c>
      <c r="K554" t="str">
        <f ca="1">IFERROR(IF(0=LEN(ReferenceData!$K$554),"",ReferenceData!$K$554),"")</f>
        <v/>
      </c>
      <c r="L554" t="str">
        <f ca="1">IFERROR(IF(0=LEN(ReferenceData!$L$554),"",ReferenceData!$L$554),"")</f>
        <v/>
      </c>
      <c r="M554" t="str">
        <f ca="1">IFERROR(IF(0=LEN(ReferenceData!$M$554),"",ReferenceData!$M$554),"")</f>
        <v/>
      </c>
      <c r="N554" t="str">
        <f ca="1">IFERROR(IF(0=LEN(ReferenceData!$N$554),"",ReferenceData!$N$554),"")</f>
        <v/>
      </c>
      <c r="O554" t="str">
        <f ca="1">IFERROR(IF(0=LEN(ReferenceData!$O$554),"",ReferenceData!$O$554),"")</f>
        <v/>
      </c>
      <c r="P554" t="str">
        <f ca="1">IFERROR(IF(0=LEN(ReferenceData!$P$554),"",ReferenceData!$P$554),"")</f>
        <v/>
      </c>
      <c r="Q554" t="str">
        <f ca="1">IFERROR(IF(0=LEN(ReferenceData!$Q$554),"",ReferenceData!$Q$554),"")</f>
        <v/>
      </c>
      <c r="R554" t="str">
        <f ca="1">IFERROR(IF(0=LEN(ReferenceData!$R$554),"",ReferenceData!$R$554),"")</f>
        <v/>
      </c>
      <c r="S554" t="str">
        <f ca="1">IFERROR(IF(0=LEN(ReferenceData!$S$554),"",ReferenceData!$S$554),"")</f>
        <v/>
      </c>
      <c r="T554" t="str">
        <f ca="1">IFERROR(IF(0=LEN(ReferenceData!$T$554),"",ReferenceData!$T$554),"")</f>
        <v/>
      </c>
      <c r="U554" t="str">
        <f ca="1">IFERROR(IF(0=LEN(ReferenceData!$U$554),"",ReferenceData!$U$554),"")</f>
        <v/>
      </c>
      <c r="V554" t="str">
        <f ca="1">IFERROR(IF(0=LEN(ReferenceData!$V$554),"",ReferenceData!$V$554),"")</f>
        <v/>
      </c>
      <c r="W554" t="str">
        <f ca="1">IFERROR(IF(0=LEN(ReferenceData!$W$554),"",ReferenceData!$W$554),"")</f>
        <v/>
      </c>
      <c r="X554" t="str">
        <f ca="1">IFERROR(IF(0=LEN(ReferenceData!$X$554),"",ReferenceData!$X$554),"")</f>
        <v/>
      </c>
      <c r="Y554" t="str">
        <f ca="1">IFERROR(IF(0=LEN(ReferenceData!$Y$554),"",ReferenceData!$Y$554),"")</f>
        <v/>
      </c>
      <c r="Z554" t="str">
        <f ca="1">IFERROR(IF(0=LEN(ReferenceData!$Z$554),"",ReferenceData!$Z$554),"")</f>
        <v/>
      </c>
      <c r="AA554" t="str">
        <f ca="1">IFERROR(IF(0=LEN(ReferenceData!$AA$554),"",ReferenceData!$AA$554),"")</f>
        <v/>
      </c>
      <c r="AB554" t="str">
        <f ca="1">IFERROR(IF(0=LEN(ReferenceData!$AB$554),"",ReferenceData!$AB$554),"")</f>
        <v/>
      </c>
      <c r="AC554" t="str">
        <f ca="1">IFERROR(IF(0=LEN(ReferenceData!$AC$554),"",ReferenceData!$AC$554),"")</f>
        <v/>
      </c>
      <c r="AD554" t="str">
        <f ca="1">IFERROR(IF(0=LEN(ReferenceData!$AD$554),"",ReferenceData!$AD$554),"")</f>
        <v/>
      </c>
      <c r="AE554" t="str">
        <f ca="1">IFERROR(IF(0=LEN(ReferenceData!$AE$554),"",ReferenceData!$AE$554),"")</f>
        <v/>
      </c>
      <c r="AF554" t="str">
        <f ca="1">IFERROR(IF(0=LEN(ReferenceData!$AF$554),"",ReferenceData!$AF$554),"")</f>
        <v/>
      </c>
      <c r="AG554" t="str">
        <f ca="1">IFERROR(IF(0=LEN(ReferenceData!$AG$554),"",ReferenceData!$AG$554),"")</f>
        <v/>
      </c>
      <c r="AH554" t="str">
        <f ca="1">IFERROR(IF(0=LEN(ReferenceData!$AH$554),"",ReferenceData!$AH$554),"")</f>
        <v/>
      </c>
      <c r="AI554" t="str">
        <f ca="1">IFERROR(IF(0=LEN(ReferenceData!$AI$554),"",ReferenceData!$AI$554),"")</f>
        <v/>
      </c>
      <c r="AJ554" t="str">
        <f ca="1">IFERROR(IF(0=LEN(ReferenceData!$AJ$554),"",ReferenceData!$AJ$554),"")</f>
        <v/>
      </c>
      <c r="AK554" t="str">
        <f ca="1">IFERROR(IF(0=LEN(ReferenceData!$AK$554),"",ReferenceData!$AK$554),"")</f>
        <v/>
      </c>
      <c r="AL554" t="str">
        <f ca="1">IFERROR(IF(0=LEN(ReferenceData!$AL$554),"",ReferenceData!$AL$554),"")</f>
        <v/>
      </c>
      <c r="AM554" t="str">
        <f ca="1">IFERROR(IF(0=LEN(ReferenceData!$AM$554),"",ReferenceData!$AM$554),"")</f>
        <v/>
      </c>
      <c r="AN554" t="str">
        <f ca="1">IFERROR(IF(0=LEN(ReferenceData!$AN$554),"",ReferenceData!$AN$554),"")</f>
        <v/>
      </c>
      <c r="AO554" t="str">
        <f ca="1">IFERROR(IF(0=LEN(ReferenceData!$AO$554),"",ReferenceData!$AO$554),"")</f>
        <v/>
      </c>
      <c r="AP554" t="str">
        <f ca="1">IFERROR(IF(0=LEN(ReferenceData!$AP$554),"",ReferenceData!$AP$554),"")</f>
        <v/>
      </c>
      <c r="AQ554" t="str">
        <f ca="1">IFERROR(IF(0=LEN(ReferenceData!$AQ$554),"",ReferenceData!$AQ$554),"")</f>
        <v/>
      </c>
      <c r="AR554" t="str">
        <f ca="1">IFERROR(IF(0=LEN(ReferenceData!$AR$554),"",ReferenceData!$AR$554),"")</f>
        <v/>
      </c>
      <c r="AS554" t="str">
        <f ca="1">IFERROR(IF(0=LEN(ReferenceData!$AS$554),"",ReferenceData!$AS$554),"")</f>
        <v/>
      </c>
      <c r="AT554" t="str">
        <f ca="1">IFERROR(IF(0=LEN(ReferenceData!$AT$554),"",ReferenceData!$AT$554),"")</f>
        <v/>
      </c>
      <c r="AU554" t="str">
        <f ca="1">IFERROR(IF(0=LEN(ReferenceData!$AU$554),"",ReferenceData!$AU$554),"")</f>
        <v/>
      </c>
      <c r="AV554" t="str">
        <f ca="1">IFERROR(IF(0=LEN(ReferenceData!$AV$554),"",ReferenceData!$AV$554),"")</f>
        <v/>
      </c>
      <c r="AW554" t="str">
        <f ca="1">IFERROR(IF(0=LEN(ReferenceData!$AW$554),"",ReferenceData!$AW$554),"")</f>
        <v/>
      </c>
      <c r="AX554" t="str">
        <f ca="1">IFERROR(IF(0=LEN(ReferenceData!$AX$554),"",ReferenceData!$AX$554),"")</f>
        <v/>
      </c>
      <c r="AY554" t="str">
        <f ca="1">IFERROR(IF(0=LEN(ReferenceData!$AY$554),"",ReferenceData!$AY$554),"")</f>
        <v/>
      </c>
      <c r="AZ554" t="str">
        <f ca="1">IFERROR(IF(0=LEN(ReferenceData!$AZ$554),"",ReferenceData!$AZ$554),"")</f>
        <v/>
      </c>
      <c r="BA554" t="str">
        <f ca="1">IFERROR(IF(0=LEN(ReferenceData!$BA$554),"",ReferenceData!$BA$554),"")</f>
        <v/>
      </c>
      <c r="BB554" t="str">
        <f ca="1">IFERROR(IF(0=LEN(ReferenceData!$BB$554),"",ReferenceData!$BB$554),"")</f>
        <v/>
      </c>
      <c r="BC554" t="str">
        <f ca="1">IFERROR(IF(0=LEN(ReferenceData!$BC$554),"",ReferenceData!$BC$554),"")</f>
        <v/>
      </c>
      <c r="BD554" t="str">
        <f ca="1">IFERROR(IF(0=LEN(ReferenceData!$BD$554),"",ReferenceData!$BD$554),"")</f>
        <v/>
      </c>
      <c r="BE554" t="str">
        <f ca="1">IFERROR(IF(0=LEN(ReferenceData!$BE$554),"",ReferenceData!$BE$554),"")</f>
        <v/>
      </c>
      <c r="BF554" t="str">
        <f ca="1">IFERROR(IF(0=LEN(ReferenceData!$BF$554),"",ReferenceData!$BF$554),"")</f>
        <v/>
      </c>
      <c r="BG554" t="str">
        <f ca="1">IFERROR(IF(0=LEN(ReferenceData!$BG$554),"",ReferenceData!$BG$554),"")</f>
        <v/>
      </c>
      <c r="BH554" t="str">
        <f ca="1">IFERROR(IF(0=LEN(ReferenceData!$BH$554),"",ReferenceData!$BH$554),"")</f>
        <v/>
      </c>
      <c r="BI554" t="str">
        <f ca="1">IFERROR(IF(0=LEN(ReferenceData!$BI$554),"",ReferenceData!$BI$554),"")</f>
        <v/>
      </c>
      <c r="BJ554" t="str">
        <f ca="1">IFERROR(IF(0=LEN(ReferenceData!$BJ$554),"",ReferenceData!$BJ$554),"")</f>
        <v/>
      </c>
      <c r="BK554" t="str">
        <f ca="1">IFERROR(IF(0=LEN(ReferenceData!$BK$554),"",ReferenceData!$BK$554),"")</f>
        <v/>
      </c>
      <c r="BL554" t="str">
        <f ca="1">IFERROR(IF(0=LEN(ReferenceData!$BL$554),"",ReferenceData!$BL$554),"")</f>
        <v/>
      </c>
      <c r="BM554" t="str">
        <f ca="1">IFERROR(IF(0=LEN(ReferenceData!$BM$554),"",ReferenceData!$BM$554),"")</f>
        <v/>
      </c>
    </row>
    <row r="555" spans="1:65" x14ac:dyDescent="0.25">
      <c r="A555" t="str">
        <f>IFERROR(IF(0=LEN(ReferenceData!$A$555),"",ReferenceData!$A$555),"")</f>
        <v xml:space="preserve">    Geely Automobile Holdings Ltd</v>
      </c>
      <c r="B555" t="str">
        <f>IFERROR(IF(0=LEN(ReferenceData!$B$555),"",ReferenceData!$B$555),"")</f>
        <v>175 HK Equity</v>
      </c>
      <c r="C555" t="str">
        <f>IFERROR(IF(0=LEN(ReferenceData!$C$555),"",ReferenceData!$C$555),"")</f>
        <v>RX076</v>
      </c>
      <c r="D555" t="str">
        <f>IFERROR(IF(0=LEN(ReferenceData!$D$555),"",ReferenceData!$D$555),"")</f>
        <v>EBIT_YIELD</v>
      </c>
      <c r="E555" t="str">
        <f>IFERROR(IF(0=LEN(ReferenceData!$E$555),"",ReferenceData!$E$555),"")</f>
        <v>Dynamic</v>
      </c>
      <c r="F555" t="str">
        <f ca="1">IFERROR(IF(0=LEN(ReferenceData!$F$555),"",ReferenceData!$F$555),"")</f>
        <v/>
      </c>
      <c r="G555" t="str">
        <f ca="1">IFERROR(IF(0=LEN(ReferenceData!$G$555),"",ReferenceData!$G$555),"")</f>
        <v/>
      </c>
      <c r="H555" t="str">
        <f ca="1">IFERROR(IF(0=LEN(ReferenceData!$H$555),"",ReferenceData!$H$555),"")</f>
        <v/>
      </c>
      <c r="I555" t="str">
        <f ca="1">IFERROR(IF(0=LEN(ReferenceData!$I$555),"",ReferenceData!$I$555),"")</f>
        <v/>
      </c>
      <c r="J555" t="str">
        <f ca="1">IFERROR(IF(0=LEN(ReferenceData!$J$555),"",ReferenceData!$J$555),"")</f>
        <v/>
      </c>
      <c r="K555" t="str">
        <f ca="1">IFERROR(IF(0=LEN(ReferenceData!$K$555),"",ReferenceData!$K$555),"")</f>
        <v/>
      </c>
      <c r="L555" t="str">
        <f ca="1">IFERROR(IF(0=LEN(ReferenceData!$L$555),"",ReferenceData!$L$555),"")</f>
        <v/>
      </c>
      <c r="M555" t="str">
        <f ca="1">IFERROR(IF(0=LEN(ReferenceData!$M$555),"",ReferenceData!$M$555),"")</f>
        <v/>
      </c>
      <c r="N555" t="str">
        <f ca="1">IFERROR(IF(0=LEN(ReferenceData!$N$555),"",ReferenceData!$N$555),"")</f>
        <v/>
      </c>
      <c r="O555" t="str">
        <f ca="1">IFERROR(IF(0=LEN(ReferenceData!$O$555),"",ReferenceData!$O$555),"")</f>
        <v/>
      </c>
      <c r="P555" t="str">
        <f ca="1">IFERROR(IF(0=LEN(ReferenceData!$P$555),"",ReferenceData!$P$555),"")</f>
        <v/>
      </c>
      <c r="Q555" t="str">
        <f ca="1">IFERROR(IF(0=LEN(ReferenceData!$Q$555),"",ReferenceData!$Q$555),"")</f>
        <v/>
      </c>
      <c r="R555" t="str">
        <f ca="1">IFERROR(IF(0=LEN(ReferenceData!$R$555),"",ReferenceData!$R$555),"")</f>
        <v/>
      </c>
      <c r="S555" t="str">
        <f ca="1">IFERROR(IF(0=LEN(ReferenceData!$S$555),"",ReferenceData!$S$555),"")</f>
        <v/>
      </c>
      <c r="T555" t="str">
        <f ca="1">IFERROR(IF(0=LEN(ReferenceData!$T$555),"",ReferenceData!$T$555),"")</f>
        <v/>
      </c>
      <c r="U555" t="str">
        <f ca="1">IFERROR(IF(0=LEN(ReferenceData!$U$555),"",ReferenceData!$U$555),"")</f>
        <v/>
      </c>
      <c r="V555" t="str">
        <f ca="1">IFERROR(IF(0=LEN(ReferenceData!$V$555),"",ReferenceData!$V$555),"")</f>
        <v/>
      </c>
      <c r="W555" t="str">
        <f ca="1">IFERROR(IF(0=LEN(ReferenceData!$W$555),"",ReferenceData!$W$555),"")</f>
        <v/>
      </c>
      <c r="X555" t="str">
        <f ca="1">IFERROR(IF(0=LEN(ReferenceData!$X$555),"",ReferenceData!$X$555),"")</f>
        <v/>
      </c>
      <c r="Y555" t="str">
        <f ca="1">IFERROR(IF(0=LEN(ReferenceData!$Y$555),"",ReferenceData!$Y$555),"")</f>
        <v/>
      </c>
      <c r="Z555" t="str">
        <f ca="1">IFERROR(IF(0=LEN(ReferenceData!$Z$555),"",ReferenceData!$Z$555),"")</f>
        <v/>
      </c>
      <c r="AA555" t="str">
        <f ca="1">IFERROR(IF(0=LEN(ReferenceData!$AA$555),"",ReferenceData!$AA$555),"")</f>
        <v/>
      </c>
      <c r="AB555" t="str">
        <f ca="1">IFERROR(IF(0=LEN(ReferenceData!$AB$555),"",ReferenceData!$AB$555),"")</f>
        <v/>
      </c>
      <c r="AC555" t="str">
        <f ca="1">IFERROR(IF(0=LEN(ReferenceData!$AC$555),"",ReferenceData!$AC$555),"")</f>
        <v/>
      </c>
      <c r="AD555" t="str">
        <f ca="1">IFERROR(IF(0=LEN(ReferenceData!$AD$555),"",ReferenceData!$AD$555),"")</f>
        <v/>
      </c>
      <c r="AE555" t="str">
        <f ca="1">IFERROR(IF(0=LEN(ReferenceData!$AE$555),"",ReferenceData!$AE$555),"")</f>
        <v/>
      </c>
      <c r="AF555" t="str">
        <f ca="1">IFERROR(IF(0=LEN(ReferenceData!$AF$555),"",ReferenceData!$AF$555),"")</f>
        <v/>
      </c>
      <c r="AG555" t="str">
        <f ca="1">IFERROR(IF(0=LEN(ReferenceData!$AG$555),"",ReferenceData!$AG$555),"")</f>
        <v/>
      </c>
      <c r="AH555" t="str">
        <f ca="1">IFERROR(IF(0=LEN(ReferenceData!$AH$555),"",ReferenceData!$AH$555),"")</f>
        <v/>
      </c>
      <c r="AI555" t="str">
        <f ca="1">IFERROR(IF(0=LEN(ReferenceData!$AI$555),"",ReferenceData!$AI$555),"")</f>
        <v/>
      </c>
      <c r="AJ555" t="str">
        <f ca="1">IFERROR(IF(0=LEN(ReferenceData!$AJ$555),"",ReferenceData!$AJ$555),"")</f>
        <v/>
      </c>
      <c r="AK555" t="str">
        <f ca="1">IFERROR(IF(0=LEN(ReferenceData!$AK$555),"",ReferenceData!$AK$555),"")</f>
        <v/>
      </c>
      <c r="AL555" t="str">
        <f ca="1">IFERROR(IF(0=LEN(ReferenceData!$AL$555),"",ReferenceData!$AL$555),"")</f>
        <v/>
      </c>
      <c r="AM555" t="str">
        <f ca="1">IFERROR(IF(0=LEN(ReferenceData!$AM$555),"",ReferenceData!$AM$555),"")</f>
        <v/>
      </c>
      <c r="AN555" t="str">
        <f ca="1">IFERROR(IF(0=LEN(ReferenceData!$AN$555),"",ReferenceData!$AN$555),"")</f>
        <v/>
      </c>
      <c r="AO555" t="str">
        <f ca="1">IFERROR(IF(0=LEN(ReferenceData!$AO$555),"",ReferenceData!$AO$555),"")</f>
        <v/>
      </c>
      <c r="AP555" t="str">
        <f ca="1">IFERROR(IF(0=LEN(ReferenceData!$AP$555),"",ReferenceData!$AP$555),"")</f>
        <v/>
      </c>
      <c r="AQ555" t="str">
        <f ca="1">IFERROR(IF(0=LEN(ReferenceData!$AQ$555),"",ReferenceData!$AQ$555),"")</f>
        <v/>
      </c>
      <c r="AR555" t="str">
        <f ca="1">IFERROR(IF(0=LEN(ReferenceData!$AR$555),"",ReferenceData!$AR$555),"")</f>
        <v/>
      </c>
      <c r="AS555" t="str">
        <f ca="1">IFERROR(IF(0=LEN(ReferenceData!$AS$555),"",ReferenceData!$AS$555),"")</f>
        <v/>
      </c>
      <c r="AT555" t="str">
        <f ca="1">IFERROR(IF(0=LEN(ReferenceData!$AT$555),"",ReferenceData!$AT$555),"")</f>
        <v/>
      </c>
      <c r="AU555" t="str">
        <f ca="1">IFERROR(IF(0=LEN(ReferenceData!$AU$555),"",ReferenceData!$AU$555),"")</f>
        <v/>
      </c>
      <c r="AV555" t="str">
        <f ca="1">IFERROR(IF(0=LEN(ReferenceData!$AV$555),"",ReferenceData!$AV$555),"")</f>
        <v/>
      </c>
      <c r="AW555" t="str">
        <f ca="1">IFERROR(IF(0=LEN(ReferenceData!$AW$555),"",ReferenceData!$AW$555),"")</f>
        <v/>
      </c>
      <c r="AX555" t="str">
        <f ca="1">IFERROR(IF(0=LEN(ReferenceData!$AX$555),"",ReferenceData!$AX$555),"")</f>
        <v/>
      </c>
      <c r="AY555" t="str">
        <f ca="1">IFERROR(IF(0=LEN(ReferenceData!$AY$555),"",ReferenceData!$AY$555),"")</f>
        <v/>
      </c>
      <c r="AZ555" t="str">
        <f ca="1">IFERROR(IF(0=LEN(ReferenceData!$AZ$555),"",ReferenceData!$AZ$555),"")</f>
        <v/>
      </c>
      <c r="BA555" t="str">
        <f ca="1">IFERROR(IF(0=LEN(ReferenceData!$BA$555),"",ReferenceData!$BA$555),"")</f>
        <v/>
      </c>
      <c r="BB555" t="str">
        <f ca="1">IFERROR(IF(0=LEN(ReferenceData!$BB$555),"",ReferenceData!$BB$555),"")</f>
        <v/>
      </c>
      <c r="BC555" t="str">
        <f ca="1">IFERROR(IF(0=LEN(ReferenceData!$BC$555),"",ReferenceData!$BC$555),"")</f>
        <v/>
      </c>
      <c r="BD555" t="str">
        <f ca="1">IFERROR(IF(0=LEN(ReferenceData!$BD$555),"",ReferenceData!$BD$555),"")</f>
        <v/>
      </c>
      <c r="BE555" t="str">
        <f ca="1">IFERROR(IF(0=LEN(ReferenceData!$BE$555),"",ReferenceData!$BE$555),"")</f>
        <v/>
      </c>
      <c r="BF555" t="str">
        <f ca="1">IFERROR(IF(0=LEN(ReferenceData!$BF$555),"",ReferenceData!$BF$555),"")</f>
        <v/>
      </c>
      <c r="BG555" t="str">
        <f ca="1">IFERROR(IF(0=LEN(ReferenceData!$BG$555),"",ReferenceData!$BG$555),"")</f>
        <v/>
      </c>
      <c r="BH555" t="str">
        <f ca="1">IFERROR(IF(0=LEN(ReferenceData!$BH$555),"",ReferenceData!$BH$555),"")</f>
        <v/>
      </c>
      <c r="BI555" t="str">
        <f ca="1">IFERROR(IF(0=LEN(ReferenceData!$BI$555),"",ReferenceData!$BI$555),"")</f>
        <v/>
      </c>
      <c r="BJ555" t="str">
        <f ca="1">IFERROR(IF(0=LEN(ReferenceData!$BJ$555),"",ReferenceData!$BJ$555),"")</f>
        <v/>
      </c>
      <c r="BK555" t="str">
        <f ca="1">IFERROR(IF(0=LEN(ReferenceData!$BK$555),"",ReferenceData!$BK$555),"")</f>
        <v/>
      </c>
      <c r="BL555" t="str">
        <f ca="1">IFERROR(IF(0=LEN(ReferenceData!$BL$555),"",ReferenceData!$BL$555),"")</f>
        <v/>
      </c>
      <c r="BM555" t="str">
        <f ca="1">IFERROR(IF(0=LEN(ReferenceData!$BM$555),"",ReferenceData!$BM$555),"")</f>
        <v/>
      </c>
    </row>
    <row r="556" spans="1:65" x14ac:dyDescent="0.25">
      <c r="A556" t="str">
        <f>IFERROR(IF(0=LEN(ReferenceData!$A$556),"",ReferenceData!$A$556),"")</f>
        <v xml:space="preserve">    General Motors Co</v>
      </c>
      <c r="B556" t="str">
        <f>IFERROR(IF(0=LEN(ReferenceData!$B$556),"",ReferenceData!$B$556),"")</f>
        <v>GM US Equity</v>
      </c>
      <c r="C556" t="str">
        <f>IFERROR(IF(0=LEN(ReferenceData!$C$556),"",ReferenceData!$C$556),"")</f>
        <v>RX076</v>
      </c>
      <c r="D556" t="str">
        <f>IFERROR(IF(0=LEN(ReferenceData!$D$556),"",ReferenceData!$D$556),"")</f>
        <v>EBIT_YIELD</v>
      </c>
      <c r="E556" t="str">
        <f>IFERROR(IF(0=LEN(ReferenceData!$E$556),"",ReferenceData!$E$556),"")</f>
        <v>Dynamic</v>
      </c>
      <c r="F556">
        <f ca="1">IFERROR(IF(0=LEN(ReferenceData!$F$556),"",ReferenceData!$F$556),"")</f>
        <v>8.0196932420000007</v>
      </c>
      <c r="G556">
        <f ca="1">IFERROR(IF(0=LEN(ReferenceData!$G$556),"",ReferenceData!$G$556),"")</f>
        <v>9.4162470650000003</v>
      </c>
      <c r="H556">
        <f ca="1">IFERROR(IF(0=LEN(ReferenceData!$H$556),"",ReferenceData!$H$556),"")</f>
        <v>12.25475516</v>
      </c>
      <c r="I556">
        <f ca="1">IFERROR(IF(0=LEN(ReferenceData!$I$556),"",ReferenceData!$I$556),"")</f>
        <v>10.34671795</v>
      </c>
      <c r="J556">
        <f ca="1">IFERROR(IF(0=LEN(ReferenceData!$J$556),"",ReferenceData!$J$556),"")</f>
        <v>12.55776356</v>
      </c>
      <c r="K556">
        <f ca="1">IFERROR(IF(0=LEN(ReferenceData!$K$556),"",ReferenceData!$K$556),"")</f>
        <v>14.40365972</v>
      </c>
      <c r="L556">
        <f ca="1">IFERROR(IF(0=LEN(ReferenceData!$L$556),"",ReferenceData!$L$556),"")</f>
        <v>11.52715004</v>
      </c>
      <c r="M556">
        <f ca="1">IFERROR(IF(0=LEN(ReferenceData!$M$556),"",ReferenceData!$M$556),"")</f>
        <v>16.01767388</v>
      </c>
      <c r="N556">
        <f ca="1">IFERROR(IF(0=LEN(ReferenceData!$N$556),"",ReferenceData!$N$556),"")</f>
        <v>16.913088210000002</v>
      </c>
      <c r="O556">
        <f ca="1">IFERROR(IF(0=LEN(ReferenceData!$O$556),"",ReferenceData!$O$556),"")</f>
        <v>15.900512989999999</v>
      </c>
      <c r="P556">
        <f ca="1">IFERROR(IF(0=LEN(ReferenceData!$P$556),"",ReferenceData!$P$556),"")</f>
        <v>20.216184720000001</v>
      </c>
      <c r="Q556">
        <f ca="1">IFERROR(IF(0=LEN(ReferenceData!$Q$556),"",ReferenceData!$Q$556),"")</f>
        <v>17.752392950000001</v>
      </c>
      <c r="R556">
        <f ca="1">IFERROR(IF(0=LEN(ReferenceData!$R$556),"",ReferenceData!$R$556),"")</f>
        <v>12.44367836</v>
      </c>
      <c r="S556">
        <f ca="1">IFERROR(IF(0=LEN(ReferenceData!$S$556),"",ReferenceData!$S$556),"")</f>
        <v>9.1184224720000007</v>
      </c>
      <c r="T556">
        <f ca="1">IFERROR(IF(0=LEN(ReferenceData!$T$556),"",ReferenceData!$T$556),"")</f>
        <v>9.0487644730000003</v>
      </c>
      <c r="U556">
        <f ca="1">IFERROR(IF(0=LEN(ReferenceData!$U$556),"",ReferenceData!$U$556),"")</f>
        <v>8.5370305579999997</v>
      </c>
      <c r="V556">
        <f ca="1">IFERROR(IF(0=LEN(ReferenceData!$V$556),"",ReferenceData!$V$556),"")</f>
        <v>4.6545714489999996</v>
      </c>
      <c r="W556">
        <f ca="1">IFERROR(IF(0=LEN(ReferenceData!$W$556),"",ReferenceData!$W$556),"")</f>
        <v>2.7002952210000002</v>
      </c>
      <c r="X556">
        <f ca="1">IFERROR(IF(0=LEN(ReferenceData!$X$556),"",ReferenceData!$X$556),"")</f>
        <v>0.769832348</v>
      </c>
      <c r="Y556">
        <f ca="1">IFERROR(IF(0=LEN(ReferenceData!$Y$556),"",ReferenceData!$Y$556),"")</f>
        <v>3.0645284479999999</v>
      </c>
      <c r="Z556">
        <f ca="1">IFERROR(IF(0=LEN(ReferenceData!$Z$556),"",ReferenceData!$Z$556),"")</f>
        <v>7.779963231</v>
      </c>
      <c r="AA556">
        <f ca="1">IFERROR(IF(0=LEN(ReferenceData!$AA$556),"",ReferenceData!$AA$556),"")</f>
        <v>9.0872448919999993</v>
      </c>
      <c r="AB556">
        <f ca="1">IFERROR(IF(0=LEN(ReferenceData!$AB$556),"",ReferenceData!$AB$556),"")</f>
        <v>-52.22037418</v>
      </c>
      <c r="AC556">
        <f ca="1">IFERROR(IF(0=LEN(ReferenceData!$AC$556),"",ReferenceData!$AC$556),"")</f>
        <v>-58.21181361</v>
      </c>
      <c r="AD556">
        <f ca="1">IFERROR(IF(0=LEN(ReferenceData!$AD$556),"",ReferenceData!$AD$556),"")</f>
        <v>-70.101625909999996</v>
      </c>
      <c r="AE556">
        <f ca="1">IFERROR(IF(0=LEN(ReferenceData!$AE$556),"",ReferenceData!$AE$556),"")</f>
        <v>-67.872577640000003</v>
      </c>
      <c r="AF556">
        <f ca="1">IFERROR(IF(0=LEN(ReferenceData!$AF$556),"",ReferenceData!$AF$556),"")</f>
        <v>13.63287161</v>
      </c>
      <c r="AG556">
        <f ca="1">IFERROR(IF(0=LEN(ReferenceData!$AG$556),"",ReferenceData!$AG$556),"")</f>
        <v>16.41312967</v>
      </c>
      <c r="AH556">
        <f ca="1">IFERROR(IF(0=LEN(ReferenceData!$AH$556),"",ReferenceData!$AH$556),"")</f>
        <v>14.442997050000001</v>
      </c>
      <c r="AI556">
        <f ca="1">IFERROR(IF(0=LEN(ReferenceData!$AI$556),"",ReferenceData!$AI$556),"")</f>
        <v>18.26356685</v>
      </c>
      <c r="AJ556">
        <f ca="1">IFERROR(IF(0=LEN(ReferenceData!$AJ$556),"",ReferenceData!$AJ$556),"")</f>
        <v>17.846966250000001</v>
      </c>
      <c r="AK556">
        <f ca="1">IFERROR(IF(0=LEN(ReferenceData!$AK$556),"",ReferenceData!$AK$556),"")</f>
        <v>11.85981928</v>
      </c>
      <c r="AL556">
        <f ca="1">IFERROR(IF(0=LEN(ReferenceData!$AL$556),"",ReferenceData!$AL$556),"")</f>
        <v>10.443881319999999</v>
      </c>
      <c r="AM556">
        <f ca="1">IFERROR(IF(0=LEN(ReferenceData!$AM$556),"",ReferenceData!$AM$556),"")</f>
        <v>9.2378883980000008</v>
      </c>
      <c r="AN556" t="str">
        <f ca="1">IFERROR(IF(0=LEN(ReferenceData!$AN$556),"",ReferenceData!$AN$556),"")</f>
        <v/>
      </c>
      <c r="AO556" t="str">
        <f ca="1">IFERROR(IF(0=LEN(ReferenceData!$AO$556),"",ReferenceData!$AO$556),"")</f>
        <v/>
      </c>
      <c r="AP556" t="str">
        <f ca="1">IFERROR(IF(0=LEN(ReferenceData!$AP$556),"",ReferenceData!$AP$556),"")</f>
        <v/>
      </c>
      <c r="AQ556" t="str">
        <f ca="1">IFERROR(IF(0=LEN(ReferenceData!$AQ$556),"",ReferenceData!$AQ$556),"")</f>
        <v/>
      </c>
      <c r="AR556" t="str">
        <f ca="1">IFERROR(IF(0=LEN(ReferenceData!$AR$556),"",ReferenceData!$AR$556),"")</f>
        <v/>
      </c>
      <c r="AS556" t="str">
        <f ca="1">IFERROR(IF(0=LEN(ReferenceData!$AS$556),"",ReferenceData!$AS$556),"")</f>
        <v/>
      </c>
      <c r="AT556" t="str">
        <f ca="1">IFERROR(IF(0=LEN(ReferenceData!$AT$556),"",ReferenceData!$AT$556),"")</f>
        <v/>
      </c>
      <c r="AU556" t="str">
        <f ca="1">IFERROR(IF(0=LEN(ReferenceData!$AU$556),"",ReferenceData!$AU$556),"")</f>
        <v/>
      </c>
      <c r="AV556" t="str">
        <f ca="1">IFERROR(IF(0=LEN(ReferenceData!$AV$556),"",ReferenceData!$AV$556),"")</f>
        <v/>
      </c>
      <c r="AW556" t="str">
        <f ca="1">IFERROR(IF(0=LEN(ReferenceData!$AW$556),"",ReferenceData!$AW$556),"")</f>
        <v/>
      </c>
      <c r="AX556" t="str">
        <f ca="1">IFERROR(IF(0=LEN(ReferenceData!$AX$556),"",ReferenceData!$AX$556),"")</f>
        <v/>
      </c>
      <c r="AY556" t="str">
        <f ca="1">IFERROR(IF(0=LEN(ReferenceData!$AY$556),"",ReferenceData!$AY$556),"")</f>
        <v/>
      </c>
      <c r="AZ556" t="str">
        <f ca="1">IFERROR(IF(0=LEN(ReferenceData!$AZ$556),"",ReferenceData!$AZ$556),"")</f>
        <v/>
      </c>
      <c r="BA556" t="str">
        <f ca="1">IFERROR(IF(0=LEN(ReferenceData!$BA$556),"",ReferenceData!$BA$556),"")</f>
        <v/>
      </c>
      <c r="BB556" t="str">
        <f ca="1">IFERROR(IF(0=LEN(ReferenceData!$BB$556),"",ReferenceData!$BB$556),"")</f>
        <v/>
      </c>
      <c r="BC556" t="str">
        <f ca="1">IFERROR(IF(0=LEN(ReferenceData!$BC$556),"",ReferenceData!$BC$556),"")</f>
        <v/>
      </c>
      <c r="BD556" t="str">
        <f ca="1">IFERROR(IF(0=LEN(ReferenceData!$BD$556),"",ReferenceData!$BD$556),"")</f>
        <v/>
      </c>
      <c r="BE556" t="str">
        <f ca="1">IFERROR(IF(0=LEN(ReferenceData!$BE$556),"",ReferenceData!$BE$556),"")</f>
        <v/>
      </c>
      <c r="BF556" t="str">
        <f ca="1">IFERROR(IF(0=LEN(ReferenceData!$BF$556),"",ReferenceData!$BF$556),"")</f>
        <v/>
      </c>
      <c r="BG556" t="str">
        <f ca="1">IFERROR(IF(0=LEN(ReferenceData!$BG$556),"",ReferenceData!$BG$556),"")</f>
        <v/>
      </c>
      <c r="BH556" t="str">
        <f ca="1">IFERROR(IF(0=LEN(ReferenceData!$BH$556),"",ReferenceData!$BH$556),"")</f>
        <v/>
      </c>
      <c r="BI556" t="str">
        <f ca="1">IFERROR(IF(0=LEN(ReferenceData!$BI$556),"",ReferenceData!$BI$556),"")</f>
        <v/>
      </c>
      <c r="BJ556" t="str">
        <f ca="1">IFERROR(IF(0=LEN(ReferenceData!$BJ$556),"",ReferenceData!$BJ$556),"")</f>
        <v/>
      </c>
      <c r="BK556" t="str">
        <f ca="1">IFERROR(IF(0=LEN(ReferenceData!$BK$556),"",ReferenceData!$BK$556),"")</f>
        <v/>
      </c>
      <c r="BL556" t="str">
        <f ca="1">IFERROR(IF(0=LEN(ReferenceData!$BL$556),"",ReferenceData!$BL$556),"")</f>
        <v/>
      </c>
      <c r="BM556" t="str">
        <f ca="1">IFERROR(IF(0=LEN(ReferenceData!$BM$556),"",ReferenceData!$BM$556),"")</f>
        <v/>
      </c>
    </row>
    <row r="557" spans="1:65" x14ac:dyDescent="0.25">
      <c r="A557" t="str">
        <f>IFERROR(IF(0=LEN(ReferenceData!$A$557),"",ReferenceData!$A$557),"")</f>
        <v xml:space="preserve">    Great Wall Motor Co Ltd</v>
      </c>
      <c r="B557" t="str">
        <f>IFERROR(IF(0=LEN(ReferenceData!$B$557),"",ReferenceData!$B$557),"")</f>
        <v>2333 HK Equity</v>
      </c>
      <c r="C557" t="str">
        <f>IFERROR(IF(0=LEN(ReferenceData!$C$557),"",ReferenceData!$C$557),"")</f>
        <v>RX076</v>
      </c>
      <c r="D557" t="str">
        <f>IFERROR(IF(0=LEN(ReferenceData!$D$557),"",ReferenceData!$D$557),"")</f>
        <v>EBIT_YIELD</v>
      </c>
      <c r="E557" t="str">
        <f>IFERROR(IF(0=LEN(ReferenceData!$E$557),"",ReferenceData!$E$557),"")</f>
        <v>Dynamic</v>
      </c>
      <c r="F557">
        <f ca="1">IFERROR(IF(0=LEN(ReferenceData!$F$557),"",ReferenceData!$F$557),"")</f>
        <v>14.66135025</v>
      </c>
      <c r="G557">
        <f ca="1">IFERROR(IF(0=LEN(ReferenceData!$G$557),"",ReferenceData!$G$557),"")</f>
        <v>20.801635449999999</v>
      </c>
      <c r="H557">
        <f ca="1">IFERROR(IF(0=LEN(ReferenceData!$H$557),"",ReferenceData!$H$557),"")</f>
        <v>18.72688338</v>
      </c>
      <c r="I557">
        <f ca="1">IFERROR(IF(0=LEN(ReferenceData!$I$557),"",ReferenceData!$I$557),"")</f>
        <v>16.64006646</v>
      </c>
      <c r="J557">
        <f ca="1">IFERROR(IF(0=LEN(ReferenceData!$J$557),"",ReferenceData!$J$557),"")</f>
        <v>10.75693291</v>
      </c>
      <c r="K557">
        <f ca="1">IFERROR(IF(0=LEN(ReferenceData!$K$557),"",ReferenceData!$K$557),"")</f>
        <v>8.6194585359999998</v>
      </c>
      <c r="L557">
        <f ca="1">IFERROR(IF(0=LEN(ReferenceData!$L$557),"",ReferenceData!$L$557),"")</f>
        <v>9.4076752290000005</v>
      </c>
      <c r="M557">
        <f ca="1">IFERROR(IF(0=LEN(ReferenceData!$M$557),"",ReferenceData!$M$557),"")</f>
        <v>12.101856099999999</v>
      </c>
      <c r="N557">
        <f ca="1">IFERROR(IF(0=LEN(ReferenceData!$N$557),"",ReferenceData!$N$557),"")</f>
        <v>16.271600970000001</v>
      </c>
      <c r="O557">
        <f ca="1">IFERROR(IF(0=LEN(ReferenceData!$O$557),"",ReferenceData!$O$557),"")</f>
        <v>20.67293699</v>
      </c>
      <c r="P557">
        <f ca="1">IFERROR(IF(0=LEN(ReferenceData!$P$557),"",ReferenceData!$P$557),"")</f>
        <v>17.573772340000001</v>
      </c>
      <c r="Q557">
        <f ca="1">IFERROR(IF(0=LEN(ReferenceData!$Q$557),"",ReferenceData!$Q$557),"")</f>
        <v>18.618031200000001</v>
      </c>
      <c r="R557">
        <f ca="1">IFERROR(IF(0=LEN(ReferenceData!$R$557),"",ReferenceData!$R$557),"")</f>
        <v>19.25791418</v>
      </c>
      <c r="S557">
        <f ca="1">IFERROR(IF(0=LEN(ReferenceData!$S$557),"",ReferenceData!$S$557),"")</f>
        <v>13.51127469</v>
      </c>
      <c r="T557">
        <f ca="1">IFERROR(IF(0=LEN(ReferenceData!$T$557),"",ReferenceData!$T$557),"")</f>
        <v>15.403104620000001</v>
      </c>
      <c r="U557">
        <f ca="1">IFERROR(IF(0=LEN(ReferenceData!$U$557),"",ReferenceData!$U$557),"")</f>
        <v>11.061459040000001</v>
      </c>
      <c r="V557">
        <f ca="1">IFERROR(IF(0=LEN(ReferenceData!$V$557),"",ReferenceData!$V$557),"")</f>
        <v>7.3176395159999998</v>
      </c>
      <c r="W557">
        <f ca="1">IFERROR(IF(0=LEN(ReferenceData!$W$557),"",ReferenceData!$W$557),"")</f>
        <v>8.4558223649999995</v>
      </c>
      <c r="X557">
        <f ca="1">IFERROR(IF(0=LEN(ReferenceData!$X$557),"",ReferenceData!$X$557),"")</f>
        <v>12.25461451</v>
      </c>
      <c r="Y557">
        <f ca="1">IFERROR(IF(0=LEN(ReferenceData!$Y$557),"",ReferenceData!$Y$557),"")</f>
        <v>13.34323141</v>
      </c>
      <c r="Z557">
        <f ca="1">IFERROR(IF(0=LEN(ReferenceData!$Z$557),"",ReferenceData!$Z$557),"")</f>
        <v>10.18564827</v>
      </c>
      <c r="AA557">
        <f ca="1">IFERROR(IF(0=LEN(ReferenceData!$AA$557),"",ReferenceData!$AA$557),"")</f>
        <v>9.3710681480000009</v>
      </c>
      <c r="AB557">
        <f ca="1">IFERROR(IF(0=LEN(ReferenceData!$AB$557),"",ReferenceData!$AB$557),"")</f>
        <v>9.2248943029999992</v>
      </c>
      <c r="AC557">
        <f ca="1">IFERROR(IF(0=LEN(ReferenceData!$AC$557),"",ReferenceData!$AC$557),"")</f>
        <v>10.67183824</v>
      </c>
      <c r="AD557">
        <f ca="1">IFERROR(IF(0=LEN(ReferenceData!$AD$557),"",ReferenceData!$AD$557),"")</f>
        <v>11.673595000000001</v>
      </c>
      <c r="AE557">
        <f ca="1">IFERROR(IF(0=LEN(ReferenceData!$AE$557),"",ReferenceData!$AE$557),"")</f>
        <v>10.92728221</v>
      </c>
      <c r="AF557" t="str">
        <f ca="1">IFERROR(IF(0=LEN(ReferenceData!$AF$557),"",ReferenceData!$AF$557),"")</f>
        <v/>
      </c>
      <c r="AG557" t="str">
        <f ca="1">IFERROR(IF(0=LEN(ReferenceData!$AG$557),"",ReferenceData!$AG$557),"")</f>
        <v/>
      </c>
      <c r="AH557" t="str">
        <f ca="1">IFERROR(IF(0=LEN(ReferenceData!$AH$557),"",ReferenceData!$AH$557),"")</f>
        <v/>
      </c>
      <c r="AI557" t="str">
        <f ca="1">IFERROR(IF(0=LEN(ReferenceData!$AI$557),"",ReferenceData!$AI$557),"")</f>
        <v/>
      </c>
      <c r="AJ557" t="str">
        <f ca="1">IFERROR(IF(0=LEN(ReferenceData!$AJ$557),"",ReferenceData!$AJ$557),"")</f>
        <v/>
      </c>
      <c r="AK557" t="str">
        <f ca="1">IFERROR(IF(0=LEN(ReferenceData!$AK$557),"",ReferenceData!$AK$557),"")</f>
        <v/>
      </c>
      <c r="AL557" t="str">
        <f ca="1">IFERROR(IF(0=LEN(ReferenceData!$AL$557),"",ReferenceData!$AL$557),"")</f>
        <v/>
      </c>
      <c r="AM557" t="str">
        <f ca="1">IFERROR(IF(0=LEN(ReferenceData!$AM$557),"",ReferenceData!$AM$557),"")</f>
        <v/>
      </c>
      <c r="AN557" t="str">
        <f ca="1">IFERROR(IF(0=LEN(ReferenceData!$AN$557),"",ReferenceData!$AN$557),"")</f>
        <v/>
      </c>
      <c r="AO557" t="str">
        <f ca="1">IFERROR(IF(0=LEN(ReferenceData!$AO$557),"",ReferenceData!$AO$557),"")</f>
        <v/>
      </c>
      <c r="AP557" t="str">
        <f ca="1">IFERROR(IF(0=LEN(ReferenceData!$AP$557),"",ReferenceData!$AP$557),"")</f>
        <v/>
      </c>
      <c r="AQ557" t="str">
        <f ca="1">IFERROR(IF(0=LEN(ReferenceData!$AQ$557),"",ReferenceData!$AQ$557),"")</f>
        <v/>
      </c>
      <c r="AR557" t="str">
        <f ca="1">IFERROR(IF(0=LEN(ReferenceData!$AR$557),"",ReferenceData!$AR$557),"")</f>
        <v/>
      </c>
      <c r="AS557" t="str">
        <f ca="1">IFERROR(IF(0=LEN(ReferenceData!$AS$557),"",ReferenceData!$AS$557),"")</f>
        <v/>
      </c>
      <c r="AT557" t="str">
        <f ca="1">IFERROR(IF(0=LEN(ReferenceData!$AT$557),"",ReferenceData!$AT$557),"")</f>
        <v/>
      </c>
      <c r="AU557" t="str">
        <f ca="1">IFERROR(IF(0=LEN(ReferenceData!$AU$557),"",ReferenceData!$AU$557),"")</f>
        <v/>
      </c>
      <c r="AV557" t="str">
        <f ca="1">IFERROR(IF(0=LEN(ReferenceData!$AV$557),"",ReferenceData!$AV$557),"")</f>
        <v/>
      </c>
      <c r="AW557" t="str">
        <f ca="1">IFERROR(IF(0=LEN(ReferenceData!$AW$557),"",ReferenceData!$AW$557),"")</f>
        <v/>
      </c>
      <c r="AX557" t="str">
        <f ca="1">IFERROR(IF(0=LEN(ReferenceData!$AX$557),"",ReferenceData!$AX$557),"")</f>
        <v/>
      </c>
      <c r="AY557" t="str">
        <f ca="1">IFERROR(IF(0=LEN(ReferenceData!$AY$557),"",ReferenceData!$AY$557),"")</f>
        <v/>
      </c>
      <c r="AZ557" t="str">
        <f ca="1">IFERROR(IF(0=LEN(ReferenceData!$AZ$557),"",ReferenceData!$AZ$557),"")</f>
        <v/>
      </c>
      <c r="BA557" t="str">
        <f ca="1">IFERROR(IF(0=LEN(ReferenceData!$BA$557),"",ReferenceData!$BA$557),"")</f>
        <v/>
      </c>
      <c r="BB557" t="str">
        <f ca="1">IFERROR(IF(0=LEN(ReferenceData!$BB$557),"",ReferenceData!$BB$557),"")</f>
        <v/>
      </c>
      <c r="BC557" t="str">
        <f ca="1">IFERROR(IF(0=LEN(ReferenceData!$BC$557),"",ReferenceData!$BC$557),"")</f>
        <v/>
      </c>
      <c r="BD557" t="str">
        <f ca="1">IFERROR(IF(0=LEN(ReferenceData!$BD$557),"",ReferenceData!$BD$557),"")</f>
        <v/>
      </c>
      <c r="BE557" t="str">
        <f ca="1">IFERROR(IF(0=LEN(ReferenceData!$BE$557),"",ReferenceData!$BE$557),"")</f>
        <v/>
      </c>
      <c r="BF557" t="str">
        <f ca="1">IFERROR(IF(0=LEN(ReferenceData!$BF$557),"",ReferenceData!$BF$557),"")</f>
        <v/>
      </c>
      <c r="BG557" t="str">
        <f ca="1">IFERROR(IF(0=LEN(ReferenceData!$BG$557),"",ReferenceData!$BG$557),"")</f>
        <v/>
      </c>
      <c r="BH557" t="str">
        <f ca="1">IFERROR(IF(0=LEN(ReferenceData!$BH$557),"",ReferenceData!$BH$557),"")</f>
        <v/>
      </c>
      <c r="BI557" t="str">
        <f ca="1">IFERROR(IF(0=LEN(ReferenceData!$BI$557),"",ReferenceData!$BI$557),"")</f>
        <v/>
      </c>
      <c r="BJ557" t="str">
        <f ca="1">IFERROR(IF(0=LEN(ReferenceData!$BJ$557),"",ReferenceData!$BJ$557),"")</f>
        <v/>
      </c>
      <c r="BK557" t="str">
        <f ca="1">IFERROR(IF(0=LEN(ReferenceData!$BK$557),"",ReferenceData!$BK$557),"")</f>
        <v/>
      </c>
      <c r="BL557" t="str">
        <f ca="1">IFERROR(IF(0=LEN(ReferenceData!$BL$557),"",ReferenceData!$BL$557),"")</f>
        <v/>
      </c>
      <c r="BM557" t="str">
        <f ca="1">IFERROR(IF(0=LEN(ReferenceData!$BM$557),"",ReferenceData!$BM$557),"")</f>
        <v/>
      </c>
    </row>
    <row r="558" spans="1:65" x14ac:dyDescent="0.25">
      <c r="A558" t="str">
        <f>IFERROR(IF(0=LEN(ReferenceData!$A$558),"",ReferenceData!$A$558),"")</f>
        <v xml:space="preserve">    Guangzhou Automobile Group Co Ltd</v>
      </c>
      <c r="B558" t="str">
        <f>IFERROR(IF(0=LEN(ReferenceData!$B$558),"",ReferenceData!$B$558),"")</f>
        <v>2238 HK Equity</v>
      </c>
      <c r="C558" t="str">
        <f>IFERROR(IF(0=LEN(ReferenceData!$C$558),"",ReferenceData!$C$558),"")</f>
        <v>RX076</v>
      </c>
      <c r="D558" t="str">
        <f>IFERROR(IF(0=LEN(ReferenceData!$D$558),"",ReferenceData!$D$558),"")</f>
        <v>EBIT_YIELD</v>
      </c>
      <c r="E558" t="str">
        <f>IFERROR(IF(0=LEN(ReferenceData!$E$558),"",ReferenceData!$E$558),"")</f>
        <v>Dynamic</v>
      </c>
      <c r="F558">
        <f ca="1">IFERROR(IF(0=LEN(ReferenceData!$F$558),"",ReferenceData!$F$558),"")</f>
        <v>3.9124832810000001</v>
      </c>
      <c r="G558">
        <f ca="1">IFERROR(IF(0=LEN(ReferenceData!$G$558),"",ReferenceData!$G$558),"")</f>
        <v>4.8260282239999999</v>
      </c>
      <c r="H558">
        <f ca="1">IFERROR(IF(0=LEN(ReferenceData!$H$558),"",ReferenceData!$H$558),"")</f>
        <v>4.349546954</v>
      </c>
      <c r="I558">
        <f ca="1">IFERROR(IF(0=LEN(ReferenceData!$I$558),"",ReferenceData!$I$558),"")</f>
        <v>6.2235886459999996</v>
      </c>
      <c r="J558">
        <f ca="1">IFERROR(IF(0=LEN(ReferenceData!$J$558),"",ReferenceData!$J$558),"")</f>
        <v>4.8105171750000002</v>
      </c>
      <c r="K558">
        <f ca="1">IFERROR(IF(0=LEN(ReferenceData!$K$558),"",ReferenceData!$K$558),"")</f>
        <v>3.8686388709999999</v>
      </c>
      <c r="L558">
        <f ca="1">IFERROR(IF(0=LEN(ReferenceData!$L$558),"",ReferenceData!$L$558),"")</f>
        <v>2.943173174</v>
      </c>
      <c r="M558">
        <f ca="1">IFERROR(IF(0=LEN(ReferenceData!$M$558),"",ReferenceData!$M$558),"")</f>
        <v>2.9884333789999999</v>
      </c>
      <c r="N558">
        <f ca="1">IFERROR(IF(0=LEN(ReferenceData!$N$558),"",ReferenceData!$N$558),"")</f>
        <v>3.3752598680000001</v>
      </c>
      <c r="O558">
        <f ca="1">IFERROR(IF(0=LEN(ReferenceData!$O$558),"",ReferenceData!$O$558),"")</f>
        <v>2.4292774869999998</v>
      </c>
      <c r="P558">
        <f ca="1">IFERROR(IF(0=LEN(ReferenceData!$P$558),"",ReferenceData!$P$558),"")</f>
        <v>3.3651981129999999</v>
      </c>
      <c r="Q558">
        <f ca="1">IFERROR(IF(0=LEN(ReferenceData!$Q$558),"",ReferenceData!$Q$558),"")</f>
        <v>2.48043893</v>
      </c>
      <c r="R558">
        <f ca="1">IFERROR(IF(0=LEN(ReferenceData!$R$558),"",ReferenceData!$R$558),"")</f>
        <v>1.419984272</v>
      </c>
      <c r="S558">
        <f ca="1">IFERROR(IF(0=LEN(ReferenceData!$S$558),"",ReferenceData!$S$558),"")</f>
        <v>-1.3143649310000001</v>
      </c>
      <c r="T558">
        <f ca="1">IFERROR(IF(0=LEN(ReferenceData!$T$558),"",ReferenceData!$T$558),"")</f>
        <v>-3.6595336679999999</v>
      </c>
      <c r="U558">
        <f ca="1">IFERROR(IF(0=LEN(ReferenceData!$U$558),"",ReferenceData!$U$558),"")</f>
        <v>-3.552053935</v>
      </c>
      <c r="V558">
        <f ca="1">IFERROR(IF(0=LEN(ReferenceData!$V$558),"",ReferenceData!$V$558),"")</f>
        <v>-3.2217391150000001</v>
      </c>
      <c r="W558">
        <f ca="1">IFERROR(IF(0=LEN(ReferenceData!$W$558),"",ReferenceData!$W$558),"")</f>
        <v>-3.3395618869999999</v>
      </c>
      <c r="X558">
        <f ca="1">IFERROR(IF(0=LEN(ReferenceData!$X$558),"",ReferenceData!$X$558),"")</f>
        <v>-2.0436705009999998</v>
      </c>
      <c r="Y558">
        <f ca="1">IFERROR(IF(0=LEN(ReferenceData!$Y$558),"",ReferenceData!$Y$558),"")</f>
        <v>-1.385245834</v>
      </c>
      <c r="Z558">
        <f ca="1">IFERROR(IF(0=LEN(ReferenceData!$Z$558),"",ReferenceData!$Z$558),"")</f>
        <v>-1.501496537</v>
      </c>
      <c r="AA558">
        <f ca="1">IFERROR(IF(0=LEN(ReferenceData!$AA$558),"",ReferenceData!$AA$558),"")</f>
        <v>-1.9604750550000001</v>
      </c>
      <c r="AB558">
        <f ca="1">IFERROR(IF(0=LEN(ReferenceData!$AB$558),"",ReferenceData!$AB$558),"")</f>
        <v>-2.6392843319999999</v>
      </c>
      <c r="AC558">
        <f ca="1">IFERROR(IF(0=LEN(ReferenceData!$AC$558),"",ReferenceData!$AC$558),"")</f>
        <v>-3.6406850899999998</v>
      </c>
      <c r="AD558">
        <f ca="1">IFERROR(IF(0=LEN(ReferenceData!$AD$558),"",ReferenceData!$AD$558),"")</f>
        <v>-4.8765369700000001</v>
      </c>
      <c r="AE558">
        <f ca="1">IFERROR(IF(0=LEN(ReferenceData!$AE$558),"",ReferenceData!$AE$558),"")</f>
        <v>-4.2034272230000003</v>
      </c>
      <c r="AF558">
        <f ca="1">IFERROR(IF(0=LEN(ReferenceData!$AF$558),"",ReferenceData!$AF$558),"")</f>
        <v>-6.0470223949999999</v>
      </c>
      <c r="AG558">
        <f ca="1">IFERROR(IF(0=LEN(ReferenceData!$AG$558),"",ReferenceData!$AG$558),"")</f>
        <v>-5.1971523819999996</v>
      </c>
      <c r="AH558">
        <f ca="1">IFERROR(IF(0=LEN(ReferenceData!$AH$558),"",ReferenceData!$AH$558),"")</f>
        <v>-4.2677695419999999</v>
      </c>
      <c r="AI558">
        <f ca="1">IFERROR(IF(0=LEN(ReferenceData!$AI$558),"",ReferenceData!$AI$558),"")</f>
        <v>-4.2684767480000003</v>
      </c>
      <c r="AJ558">
        <f ca="1">IFERROR(IF(0=LEN(ReferenceData!$AJ$558),"",ReferenceData!$AJ$558),"")</f>
        <v>-3.5112336059999998</v>
      </c>
      <c r="AK558">
        <f ca="1">IFERROR(IF(0=LEN(ReferenceData!$AK$558),"",ReferenceData!$AK$558),"")</f>
        <v>-2.0119092470000002</v>
      </c>
      <c r="AL558">
        <f ca="1">IFERROR(IF(0=LEN(ReferenceData!$AL$558),"",ReferenceData!$AL$558),"")</f>
        <v>-1.2570413140000001</v>
      </c>
      <c r="AM558">
        <f ca="1">IFERROR(IF(0=LEN(ReferenceData!$AM$558),"",ReferenceData!$AM$558),"")</f>
        <v>-1.0942838459999999</v>
      </c>
      <c r="AN558">
        <f ca="1">IFERROR(IF(0=LEN(ReferenceData!$AN$558),"",ReferenceData!$AN$558),"")</f>
        <v>-0.82927151200000004</v>
      </c>
      <c r="AO558" t="str">
        <f ca="1">IFERROR(IF(0=LEN(ReferenceData!$AO$558),"",ReferenceData!$AO$558),"")</f>
        <v/>
      </c>
      <c r="AP558" t="str">
        <f ca="1">IFERROR(IF(0=LEN(ReferenceData!$AP$558),"",ReferenceData!$AP$558),"")</f>
        <v/>
      </c>
      <c r="AQ558" t="str">
        <f ca="1">IFERROR(IF(0=LEN(ReferenceData!$AQ$558),"",ReferenceData!$AQ$558),"")</f>
        <v/>
      </c>
      <c r="AR558" t="str">
        <f ca="1">IFERROR(IF(0=LEN(ReferenceData!$AR$558),"",ReferenceData!$AR$558),"")</f>
        <v/>
      </c>
      <c r="AS558" t="str">
        <f ca="1">IFERROR(IF(0=LEN(ReferenceData!$AS$558),"",ReferenceData!$AS$558),"")</f>
        <v/>
      </c>
      <c r="AT558" t="str">
        <f ca="1">IFERROR(IF(0=LEN(ReferenceData!$AT$558),"",ReferenceData!$AT$558),"")</f>
        <v/>
      </c>
      <c r="AU558" t="str">
        <f ca="1">IFERROR(IF(0=LEN(ReferenceData!$AU$558),"",ReferenceData!$AU$558),"")</f>
        <v/>
      </c>
      <c r="AV558" t="str">
        <f ca="1">IFERROR(IF(0=LEN(ReferenceData!$AV$558),"",ReferenceData!$AV$558),"")</f>
        <v/>
      </c>
      <c r="AW558" t="str">
        <f ca="1">IFERROR(IF(0=LEN(ReferenceData!$AW$558),"",ReferenceData!$AW$558),"")</f>
        <v/>
      </c>
      <c r="AX558" t="str">
        <f ca="1">IFERROR(IF(0=LEN(ReferenceData!$AX$558),"",ReferenceData!$AX$558),"")</f>
        <v/>
      </c>
      <c r="AY558" t="str">
        <f ca="1">IFERROR(IF(0=LEN(ReferenceData!$AY$558),"",ReferenceData!$AY$558),"")</f>
        <v/>
      </c>
      <c r="AZ558" t="str">
        <f ca="1">IFERROR(IF(0=LEN(ReferenceData!$AZ$558),"",ReferenceData!$AZ$558),"")</f>
        <v/>
      </c>
      <c r="BA558" t="str">
        <f ca="1">IFERROR(IF(0=LEN(ReferenceData!$BA$558),"",ReferenceData!$BA$558),"")</f>
        <v/>
      </c>
      <c r="BB558" t="str">
        <f ca="1">IFERROR(IF(0=LEN(ReferenceData!$BB$558),"",ReferenceData!$BB$558),"")</f>
        <v/>
      </c>
      <c r="BC558" t="str">
        <f ca="1">IFERROR(IF(0=LEN(ReferenceData!$BC$558),"",ReferenceData!$BC$558),"")</f>
        <v/>
      </c>
      <c r="BD558" t="str">
        <f ca="1">IFERROR(IF(0=LEN(ReferenceData!$BD$558),"",ReferenceData!$BD$558),"")</f>
        <v/>
      </c>
      <c r="BE558" t="str">
        <f ca="1">IFERROR(IF(0=LEN(ReferenceData!$BE$558),"",ReferenceData!$BE$558),"")</f>
        <v/>
      </c>
      <c r="BF558" t="str">
        <f ca="1">IFERROR(IF(0=LEN(ReferenceData!$BF$558),"",ReferenceData!$BF$558),"")</f>
        <v/>
      </c>
      <c r="BG558" t="str">
        <f ca="1">IFERROR(IF(0=LEN(ReferenceData!$BG$558),"",ReferenceData!$BG$558),"")</f>
        <v/>
      </c>
      <c r="BH558" t="str">
        <f ca="1">IFERROR(IF(0=LEN(ReferenceData!$BH$558),"",ReferenceData!$BH$558),"")</f>
        <v/>
      </c>
      <c r="BI558" t="str">
        <f ca="1">IFERROR(IF(0=LEN(ReferenceData!$BI$558),"",ReferenceData!$BI$558),"")</f>
        <v/>
      </c>
      <c r="BJ558" t="str">
        <f ca="1">IFERROR(IF(0=LEN(ReferenceData!$BJ$558),"",ReferenceData!$BJ$558),"")</f>
        <v/>
      </c>
      <c r="BK558" t="str">
        <f ca="1">IFERROR(IF(0=LEN(ReferenceData!$BK$558),"",ReferenceData!$BK$558),"")</f>
        <v/>
      </c>
      <c r="BL558" t="str">
        <f ca="1">IFERROR(IF(0=LEN(ReferenceData!$BL$558),"",ReferenceData!$BL$558),"")</f>
        <v/>
      </c>
      <c r="BM558" t="str">
        <f ca="1">IFERROR(IF(0=LEN(ReferenceData!$BM$558),"",ReferenceData!$BM$558),"")</f>
        <v/>
      </c>
    </row>
    <row r="559" spans="1:65" x14ac:dyDescent="0.25">
      <c r="A559" t="str">
        <f>IFERROR(IF(0=LEN(ReferenceData!$A$559),"",ReferenceData!$A$559),"")</f>
        <v xml:space="preserve">    Honda Motor Co Ltd</v>
      </c>
      <c r="B559" t="str">
        <f>IFERROR(IF(0=LEN(ReferenceData!$B$559),"",ReferenceData!$B$559),"")</f>
        <v>7267 JP Equity</v>
      </c>
      <c r="C559" t="str">
        <f>IFERROR(IF(0=LEN(ReferenceData!$C$559),"",ReferenceData!$C$559),"")</f>
        <v>RX076</v>
      </c>
      <c r="D559" t="str">
        <f>IFERROR(IF(0=LEN(ReferenceData!$D$559),"",ReferenceData!$D$559),"")</f>
        <v>EBIT_YIELD</v>
      </c>
      <c r="E559" t="str">
        <f>IFERROR(IF(0=LEN(ReferenceData!$E$559),"",ReferenceData!$E$559),"")</f>
        <v>Dynamic</v>
      </c>
      <c r="F559">
        <f ca="1">IFERROR(IF(0=LEN(ReferenceData!$F$559),"",ReferenceData!$F$559),"")</f>
        <v>14.67234594</v>
      </c>
      <c r="G559">
        <f ca="1">IFERROR(IF(0=LEN(ReferenceData!$G$559),"",ReferenceData!$G$559),"")</f>
        <v>15.840760420000001</v>
      </c>
      <c r="H559">
        <f ca="1">IFERROR(IF(0=LEN(ReferenceData!$H$559),"",ReferenceData!$H$559),"")</f>
        <v>15.142681850000001</v>
      </c>
      <c r="I559">
        <f ca="1">IFERROR(IF(0=LEN(ReferenceData!$I$559),"",ReferenceData!$I$559),"")</f>
        <v>14.874019199999999</v>
      </c>
      <c r="J559">
        <f ca="1">IFERROR(IF(0=LEN(ReferenceData!$J$559),"",ReferenceData!$J$559),"")</f>
        <v>12.689594469999999</v>
      </c>
      <c r="K559">
        <f ca="1">IFERROR(IF(0=LEN(ReferenceData!$K$559),"",ReferenceData!$K$559),"")</f>
        <v>12.16481583</v>
      </c>
      <c r="L559">
        <f ca="1">IFERROR(IF(0=LEN(ReferenceData!$L$559),"",ReferenceData!$L$559),"")</f>
        <v>12.787970100000001</v>
      </c>
      <c r="M559">
        <f ca="1">IFERROR(IF(0=LEN(ReferenceData!$M$559),"",ReferenceData!$M$559),"")</f>
        <v>15.26711375</v>
      </c>
      <c r="N559">
        <f ca="1">IFERROR(IF(0=LEN(ReferenceData!$N$559),"",ReferenceData!$N$559),"")</f>
        <v>13.92032867</v>
      </c>
      <c r="O559">
        <f ca="1">IFERROR(IF(0=LEN(ReferenceData!$O$559),"",ReferenceData!$O$559),"")</f>
        <v>10.378543110000001</v>
      </c>
      <c r="P559">
        <f ca="1">IFERROR(IF(0=LEN(ReferenceData!$P$559),"",ReferenceData!$P$559),"")</f>
        <v>11.41739797</v>
      </c>
      <c r="Q559">
        <f ca="1">IFERROR(IF(0=LEN(ReferenceData!$Q$559),"",ReferenceData!$Q$559),"")</f>
        <v>11.45146482</v>
      </c>
      <c r="R559">
        <f ca="1">IFERROR(IF(0=LEN(ReferenceData!$R$559),"",ReferenceData!$R$559),"")</f>
        <v>9.0505069430000002</v>
      </c>
      <c r="S559">
        <f ca="1">IFERROR(IF(0=LEN(ReferenceData!$S$559),"",ReferenceData!$S$559),"")</f>
        <v>9.6374762759999992</v>
      </c>
      <c r="T559">
        <f ca="1">IFERROR(IF(0=LEN(ReferenceData!$T$559),"",ReferenceData!$T$559),"")</f>
        <v>11.38343587</v>
      </c>
      <c r="U559">
        <f ca="1">IFERROR(IF(0=LEN(ReferenceData!$U$559),"",ReferenceData!$U$559),"")</f>
        <v>10.227564770000001</v>
      </c>
      <c r="V559">
        <f ca="1">IFERROR(IF(0=LEN(ReferenceData!$V$559),"",ReferenceData!$V$559),"")</f>
        <v>9.9006503200000004</v>
      </c>
      <c r="W559">
        <f ca="1">IFERROR(IF(0=LEN(ReferenceData!$W$559),"",ReferenceData!$W$559),"")</f>
        <v>11.79878369</v>
      </c>
      <c r="X559">
        <f ca="1">IFERROR(IF(0=LEN(ReferenceData!$X$559),"",ReferenceData!$X$559),"")</f>
        <v>11.219209940000001</v>
      </c>
      <c r="Y559">
        <f ca="1">IFERROR(IF(0=LEN(ReferenceData!$Y$559),"",ReferenceData!$Y$559),"")</f>
        <v>12.09192206</v>
      </c>
      <c r="Z559">
        <f ca="1">IFERROR(IF(0=LEN(ReferenceData!$Z$559),"",ReferenceData!$Z$559),"")</f>
        <v>11.45547983</v>
      </c>
      <c r="AA559">
        <f ca="1">IFERROR(IF(0=LEN(ReferenceData!$AA$559),"",ReferenceData!$AA$559),"")</f>
        <v>9.2386275789999992</v>
      </c>
      <c r="AB559">
        <f ca="1">IFERROR(IF(0=LEN(ReferenceData!$AB$559),"",ReferenceData!$AB$559),"")</f>
        <v>9.2748517360000005</v>
      </c>
      <c r="AC559">
        <f ca="1">IFERROR(IF(0=LEN(ReferenceData!$AC$559),"",ReferenceData!$AC$559),"")</f>
        <v>8.3379160369999994</v>
      </c>
      <c r="AD559">
        <f ca="1">IFERROR(IF(0=LEN(ReferenceData!$AD$559),"",ReferenceData!$AD$559),"")</f>
        <v>8.5031268820000001</v>
      </c>
      <c r="AE559">
        <f ca="1">IFERROR(IF(0=LEN(ReferenceData!$AE$559),"",ReferenceData!$AE$559),"")</f>
        <v>9.1879981659999999</v>
      </c>
      <c r="AF559">
        <f ca="1">IFERROR(IF(0=LEN(ReferenceData!$AF$559),"",ReferenceData!$AF$559),"")</f>
        <v>10.02645238</v>
      </c>
      <c r="AG559">
        <f ca="1">IFERROR(IF(0=LEN(ReferenceData!$AG$559),"",ReferenceData!$AG$559),"")</f>
        <v>7.7666009699999998</v>
      </c>
      <c r="AH559">
        <f ca="1">IFERROR(IF(0=LEN(ReferenceData!$AH$559),"",ReferenceData!$AH$559),"")</f>
        <v>4.0817644550000001</v>
      </c>
      <c r="AI559">
        <f ca="1">IFERROR(IF(0=LEN(ReferenceData!$AI$559),"",ReferenceData!$AI$559),"")</f>
        <v>3.9128265330000001</v>
      </c>
      <c r="AJ559">
        <f ca="1">IFERROR(IF(0=LEN(ReferenceData!$AJ$559),"",ReferenceData!$AJ$559),"")</f>
        <v>5.9596578869999997</v>
      </c>
      <c r="AK559">
        <f ca="1">IFERROR(IF(0=LEN(ReferenceData!$AK$559),"",ReferenceData!$AK$559),"")</f>
        <v>6.429768148</v>
      </c>
      <c r="AL559">
        <f ca="1">IFERROR(IF(0=LEN(ReferenceData!$AL$559),"",ReferenceData!$AL$559),"")</f>
        <v>10.08390692</v>
      </c>
      <c r="AM559">
        <f ca="1">IFERROR(IF(0=LEN(ReferenceData!$AM$559),"",ReferenceData!$AM$559),"")</f>
        <v>10.651545329999999</v>
      </c>
      <c r="AN559">
        <f ca="1">IFERROR(IF(0=LEN(ReferenceData!$AN$559),"",ReferenceData!$AN$559),"")</f>
        <v>12.495954230000001</v>
      </c>
      <c r="AO559">
        <f ca="1">IFERROR(IF(0=LEN(ReferenceData!$AO$559),"",ReferenceData!$AO$559),"")</f>
        <v>12.163783390000001</v>
      </c>
      <c r="AP559">
        <f ca="1">IFERROR(IF(0=LEN(ReferenceData!$AP$559),"",ReferenceData!$AP$559),"")</f>
        <v>6.074827215</v>
      </c>
      <c r="AQ559">
        <f ca="1">IFERROR(IF(0=LEN(ReferenceData!$AQ$559),"",ReferenceData!$AQ$559),"")</f>
        <v>-0.271628229</v>
      </c>
      <c r="AR559">
        <f ca="1">IFERROR(IF(0=LEN(ReferenceData!$AR$559),"",ReferenceData!$AR$559),"")</f>
        <v>-1.790682924</v>
      </c>
      <c r="AS559">
        <f ca="1">IFERROR(IF(0=LEN(ReferenceData!$AS$559),"",ReferenceData!$AS$559),"")</f>
        <v>-0.13532265900000001</v>
      </c>
      <c r="AT559">
        <f ca="1">IFERROR(IF(0=LEN(ReferenceData!$AT$559),"",ReferenceData!$AT$559),"")</f>
        <v>4.5148258639999996</v>
      </c>
      <c r="AU559">
        <f ca="1">IFERROR(IF(0=LEN(ReferenceData!$AU$559),"",ReferenceData!$AU$559),"")</f>
        <v>18.551148269999999</v>
      </c>
      <c r="AV559">
        <f ca="1">IFERROR(IF(0=LEN(ReferenceData!$AV$559),"",ReferenceData!$AV$559),"")</f>
        <v>14.543472530000001</v>
      </c>
      <c r="AW559">
        <f ca="1">IFERROR(IF(0=LEN(ReferenceData!$AW$559),"",ReferenceData!$AW$559),"")</f>
        <v>14.54704613</v>
      </c>
      <c r="AX559">
        <f ca="1">IFERROR(IF(0=LEN(ReferenceData!$AX$559),"",ReferenceData!$AX$559),"")</f>
        <v>18.457255069999999</v>
      </c>
      <c r="AY559">
        <f ca="1">IFERROR(IF(0=LEN(ReferenceData!$AY$559),"",ReferenceData!$AY$559),"")</f>
        <v>15.18185652</v>
      </c>
      <c r="AZ559">
        <f ca="1">IFERROR(IF(0=LEN(ReferenceData!$AZ$559),"",ReferenceData!$AZ$559),"")</f>
        <v>13.718177900000001</v>
      </c>
      <c r="BA559">
        <f ca="1">IFERROR(IF(0=LEN(ReferenceData!$BA$559),"",ReferenceData!$BA$559),"")</f>
        <v>10.6101338</v>
      </c>
      <c r="BB559">
        <f ca="1">IFERROR(IF(0=LEN(ReferenceData!$BB$559),"",ReferenceData!$BB$559),"")</f>
        <v>11.359204950000001</v>
      </c>
      <c r="BC559">
        <f ca="1">IFERROR(IF(0=LEN(ReferenceData!$BC$559),"",ReferenceData!$BC$559),"")</f>
        <v>10.972542949999999</v>
      </c>
      <c r="BD559">
        <f ca="1">IFERROR(IF(0=LEN(ReferenceData!$BD$559),"",ReferenceData!$BD$559),"")</f>
        <v>12.8282761</v>
      </c>
      <c r="BE559">
        <f ca="1">IFERROR(IF(0=LEN(ReferenceData!$BE$559),"",ReferenceData!$BE$559),"")</f>
        <v>13.54611351</v>
      </c>
      <c r="BF559">
        <f ca="1">IFERROR(IF(0=LEN(ReferenceData!$BF$559),"",ReferenceData!$BF$559),"")</f>
        <v>12.964626900000001</v>
      </c>
      <c r="BG559">
        <f ca="1">IFERROR(IF(0=LEN(ReferenceData!$BG$559),"",ReferenceData!$BG$559),"")</f>
        <v>10.76023007</v>
      </c>
      <c r="BH559">
        <f ca="1">IFERROR(IF(0=LEN(ReferenceData!$BH$559),"",ReferenceData!$BH$559),"")</f>
        <v>10.61110197</v>
      </c>
      <c r="BI559">
        <f ca="1">IFERROR(IF(0=LEN(ReferenceData!$BI$559),"",ReferenceData!$BI$559),"")</f>
        <v>12.60562567</v>
      </c>
      <c r="BJ559">
        <f ca="1">IFERROR(IF(0=LEN(ReferenceData!$BJ$559),"",ReferenceData!$BJ$559),"")</f>
        <v>12.57888307</v>
      </c>
      <c r="BK559">
        <f ca="1">IFERROR(IF(0=LEN(ReferenceData!$BK$559),"",ReferenceData!$BK$559),"")</f>
        <v>12.605073600000001</v>
      </c>
      <c r="BL559">
        <f ca="1">IFERROR(IF(0=LEN(ReferenceData!$BL$559),"",ReferenceData!$BL$559),"")</f>
        <v>12.535929449999999</v>
      </c>
      <c r="BM559">
        <f ca="1">IFERROR(IF(0=LEN(ReferenceData!$BM$559),"",ReferenceData!$BM$559),"")</f>
        <v>12.22583661</v>
      </c>
    </row>
    <row r="560" spans="1:65" x14ac:dyDescent="0.25">
      <c r="A560" t="str">
        <f>IFERROR(IF(0=LEN(ReferenceData!$A$560),"",ReferenceData!$A$560),"")</f>
        <v xml:space="preserve">    Hyundai Motor Co</v>
      </c>
      <c r="B560" t="str">
        <f>IFERROR(IF(0=LEN(ReferenceData!$B$560),"",ReferenceData!$B$560),"")</f>
        <v>005380 KS Equity</v>
      </c>
      <c r="C560" t="str">
        <f>IFERROR(IF(0=LEN(ReferenceData!$C$560),"",ReferenceData!$C$560),"")</f>
        <v>RX076</v>
      </c>
      <c r="D560" t="str">
        <f>IFERROR(IF(0=LEN(ReferenceData!$D$560),"",ReferenceData!$D$560),"")</f>
        <v>EBIT_YIELD</v>
      </c>
      <c r="E560" t="str">
        <f>IFERROR(IF(0=LEN(ReferenceData!$E$560),"",ReferenceData!$E$560),"")</f>
        <v>Dynamic</v>
      </c>
      <c r="F560" t="str">
        <f ca="1">IFERROR(IF(0=LEN(ReferenceData!$F$560),"",ReferenceData!$F$560),"")</f>
        <v/>
      </c>
      <c r="G560">
        <f ca="1">IFERROR(IF(0=LEN(ReferenceData!$G$560),"",ReferenceData!$G$560),"")</f>
        <v>11.0180439</v>
      </c>
      <c r="H560">
        <f ca="1">IFERROR(IF(0=LEN(ReferenceData!$H$560),"",ReferenceData!$H$560),"")</f>
        <v>10.08214828</v>
      </c>
      <c r="I560">
        <f ca="1">IFERROR(IF(0=LEN(ReferenceData!$I$560),"",ReferenceData!$I$560),"")</f>
        <v>13.913842929999999</v>
      </c>
      <c r="J560">
        <f ca="1">IFERROR(IF(0=LEN(ReferenceData!$J$560),"",ReferenceData!$J$560),"")</f>
        <v>13.479954599999999</v>
      </c>
      <c r="K560">
        <f ca="1">IFERROR(IF(0=LEN(ReferenceData!$K$560),"",ReferenceData!$K$560),"")</f>
        <v>14.16287221</v>
      </c>
      <c r="L560">
        <f ca="1">IFERROR(IF(0=LEN(ReferenceData!$L$560),"",ReferenceData!$L$560),"")</f>
        <v>15.47216032</v>
      </c>
      <c r="M560">
        <f ca="1">IFERROR(IF(0=LEN(ReferenceData!$M$560),"",ReferenceData!$M$560),"")</f>
        <v>14.18700016</v>
      </c>
      <c r="N560">
        <f ca="1">IFERROR(IF(0=LEN(ReferenceData!$N$560),"",ReferenceData!$N$560),"")</f>
        <v>15.646988500000001</v>
      </c>
      <c r="O560">
        <f ca="1">IFERROR(IF(0=LEN(ReferenceData!$O$560),"",ReferenceData!$O$560),"")</f>
        <v>17.18943853</v>
      </c>
      <c r="P560">
        <f ca="1">IFERROR(IF(0=LEN(ReferenceData!$P$560),"",ReferenceData!$P$560),"")</f>
        <v>20.278735520000001</v>
      </c>
      <c r="Q560">
        <f ca="1">IFERROR(IF(0=LEN(ReferenceData!$Q$560),"",ReferenceData!$Q$560),"")</f>
        <v>21.83178741</v>
      </c>
      <c r="R560">
        <f ca="1">IFERROR(IF(0=LEN(ReferenceData!$R$560),"",ReferenceData!$R$560),"")</f>
        <v>19.36311779</v>
      </c>
      <c r="S560">
        <f ca="1">IFERROR(IF(0=LEN(ReferenceData!$S$560),"",ReferenceData!$S$560),"")</f>
        <v>20.601220040000001</v>
      </c>
      <c r="T560">
        <f ca="1">IFERROR(IF(0=LEN(ReferenceData!$T$560),"",ReferenceData!$T$560),"")</f>
        <v>19.72584123</v>
      </c>
      <c r="U560">
        <f ca="1">IFERROR(IF(0=LEN(ReferenceData!$U$560),"",ReferenceData!$U$560),"")</f>
        <v>24.239550170000001</v>
      </c>
      <c r="V560">
        <f ca="1">IFERROR(IF(0=LEN(ReferenceData!$V$560),"",ReferenceData!$V$560),"")</f>
        <v>20.465183039999999</v>
      </c>
      <c r="W560">
        <f ca="1">IFERROR(IF(0=LEN(ReferenceData!$W$560),"",ReferenceData!$W$560),"")</f>
        <v>21.352718920000001</v>
      </c>
      <c r="X560">
        <f ca="1">IFERROR(IF(0=LEN(ReferenceData!$X$560),"",ReferenceData!$X$560),"")</f>
        <v>19.326453789999999</v>
      </c>
      <c r="Y560">
        <f ca="1">IFERROR(IF(0=LEN(ReferenceData!$Y$560),"",ReferenceData!$Y$560),"")</f>
        <v>16.794737980000001</v>
      </c>
      <c r="Z560">
        <f ca="1">IFERROR(IF(0=LEN(ReferenceData!$Z$560),"",ReferenceData!$Z$560),"")</f>
        <v>15.963968960000001</v>
      </c>
      <c r="AA560">
        <f ca="1">IFERROR(IF(0=LEN(ReferenceData!$AA$560),"",ReferenceData!$AA$560),"")</f>
        <v>16.801597300000001</v>
      </c>
      <c r="AB560">
        <f ca="1">IFERROR(IF(0=LEN(ReferenceData!$AB$560),"",ReferenceData!$AB$560),"")</f>
        <v>15.501946889999999</v>
      </c>
      <c r="AC560">
        <f ca="1">IFERROR(IF(0=LEN(ReferenceData!$AC$560),"",ReferenceData!$AC$560),"")</f>
        <v>17.132150809999999</v>
      </c>
      <c r="AD560">
        <f ca="1">IFERROR(IF(0=LEN(ReferenceData!$AD$560),"",ReferenceData!$AD$560),"")</f>
        <v>17.52418071</v>
      </c>
      <c r="AE560">
        <f ca="1">IFERROR(IF(0=LEN(ReferenceData!$AE$560),"",ReferenceData!$AE$560),"")</f>
        <v>18.45131761</v>
      </c>
      <c r="AF560">
        <f ca="1">IFERROR(IF(0=LEN(ReferenceData!$AF$560),"",ReferenceData!$AF$560),"")</f>
        <v>16.41924787</v>
      </c>
      <c r="AG560">
        <f ca="1">IFERROR(IF(0=LEN(ReferenceData!$AG$560),"",ReferenceData!$AG$560),"")</f>
        <v>18.093738470000002</v>
      </c>
      <c r="AH560">
        <f ca="1">IFERROR(IF(0=LEN(ReferenceData!$AH$560),"",ReferenceData!$AH$560),"")</f>
        <v>17.159496130000001</v>
      </c>
      <c r="AI560">
        <f ca="1">IFERROR(IF(0=LEN(ReferenceData!$AI$560),"",ReferenceData!$AI$560),"")</f>
        <v>17.944527820000001</v>
      </c>
      <c r="AJ560">
        <f ca="1">IFERROR(IF(0=LEN(ReferenceData!$AJ$560),"",ReferenceData!$AJ$560),"")</f>
        <v>16.40436532</v>
      </c>
      <c r="AK560">
        <f ca="1">IFERROR(IF(0=LEN(ReferenceData!$AK$560),"",ReferenceData!$AK$560),"")</f>
        <v>13.780988580000001</v>
      </c>
      <c r="AL560">
        <f ca="1">IFERROR(IF(0=LEN(ReferenceData!$AL$560),"",ReferenceData!$AL$560),"")</f>
        <v>15.115346840000001</v>
      </c>
      <c r="AM560">
        <f ca="1">IFERROR(IF(0=LEN(ReferenceData!$AM$560),"",ReferenceData!$AM$560),"")</f>
        <v>16.23150021</v>
      </c>
      <c r="AN560" t="str">
        <f ca="1">IFERROR(IF(0=LEN(ReferenceData!$AN$560),"",ReferenceData!$AN$560),"")</f>
        <v/>
      </c>
      <c r="AO560" t="str">
        <f ca="1">IFERROR(IF(0=LEN(ReferenceData!$AO$560),"",ReferenceData!$AO$560),"")</f>
        <v/>
      </c>
      <c r="AP560" t="str">
        <f ca="1">IFERROR(IF(0=LEN(ReferenceData!$AP$560),"",ReferenceData!$AP$560),"")</f>
        <v/>
      </c>
      <c r="AQ560" t="str">
        <f ca="1">IFERROR(IF(0=LEN(ReferenceData!$AQ$560),"",ReferenceData!$AQ$560),"")</f>
        <v/>
      </c>
      <c r="AR560" t="str">
        <f ca="1">IFERROR(IF(0=LEN(ReferenceData!$AR$560),"",ReferenceData!$AR$560),"")</f>
        <v/>
      </c>
      <c r="AS560" t="str">
        <f ca="1">IFERROR(IF(0=LEN(ReferenceData!$AS$560),"",ReferenceData!$AS$560),"")</f>
        <v/>
      </c>
      <c r="AT560" t="str">
        <f ca="1">IFERROR(IF(0=LEN(ReferenceData!$AT$560),"",ReferenceData!$AT$560),"")</f>
        <v/>
      </c>
      <c r="AU560" t="str">
        <f ca="1">IFERROR(IF(0=LEN(ReferenceData!$AU$560),"",ReferenceData!$AU$560),"")</f>
        <v/>
      </c>
      <c r="AV560" t="str">
        <f ca="1">IFERROR(IF(0=LEN(ReferenceData!$AV$560),"",ReferenceData!$AV$560),"")</f>
        <v/>
      </c>
      <c r="AW560" t="str">
        <f ca="1">IFERROR(IF(0=LEN(ReferenceData!$AW$560),"",ReferenceData!$AW$560),"")</f>
        <v/>
      </c>
      <c r="AX560" t="str">
        <f ca="1">IFERROR(IF(0=LEN(ReferenceData!$AX$560),"",ReferenceData!$AX$560),"")</f>
        <v/>
      </c>
      <c r="AY560" t="str">
        <f ca="1">IFERROR(IF(0=LEN(ReferenceData!$AY$560),"",ReferenceData!$AY$560),"")</f>
        <v/>
      </c>
      <c r="AZ560" t="str">
        <f ca="1">IFERROR(IF(0=LEN(ReferenceData!$AZ$560),"",ReferenceData!$AZ$560),"")</f>
        <v/>
      </c>
      <c r="BA560" t="str">
        <f ca="1">IFERROR(IF(0=LEN(ReferenceData!$BA$560),"",ReferenceData!$BA$560),"")</f>
        <v/>
      </c>
      <c r="BB560" t="str">
        <f ca="1">IFERROR(IF(0=LEN(ReferenceData!$BB$560),"",ReferenceData!$BB$560),"")</f>
        <v/>
      </c>
      <c r="BC560" t="str">
        <f ca="1">IFERROR(IF(0=LEN(ReferenceData!$BC$560),"",ReferenceData!$BC$560),"")</f>
        <v/>
      </c>
      <c r="BD560" t="str">
        <f ca="1">IFERROR(IF(0=LEN(ReferenceData!$BD$560),"",ReferenceData!$BD$560),"")</f>
        <v/>
      </c>
      <c r="BE560" t="str">
        <f ca="1">IFERROR(IF(0=LEN(ReferenceData!$BE$560),"",ReferenceData!$BE$560),"")</f>
        <v/>
      </c>
      <c r="BF560" t="str">
        <f ca="1">IFERROR(IF(0=LEN(ReferenceData!$BF$560),"",ReferenceData!$BF$560),"")</f>
        <v/>
      </c>
      <c r="BG560" t="str">
        <f ca="1">IFERROR(IF(0=LEN(ReferenceData!$BG$560),"",ReferenceData!$BG$560),"")</f>
        <v/>
      </c>
      <c r="BH560" t="str">
        <f ca="1">IFERROR(IF(0=LEN(ReferenceData!$BH$560),"",ReferenceData!$BH$560),"")</f>
        <v/>
      </c>
      <c r="BI560" t="str">
        <f ca="1">IFERROR(IF(0=LEN(ReferenceData!$BI$560),"",ReferenceData!$BI$560),"")</f>
        <v/>
      </c>
      <c r="BJ560" t="str">
        <f ca="1">IFERROR(IF(0=LEN(ReferenceData!$BJ$560),"",ReferenceData!$BJ$560),"")</f>
        <v/>
      </c>
      <c r="BK560" t="str">
        <f ca="1">IFERROR(IF(0=LEN(ReferenceData!$BK$560),"",ReferenceData!$BK$560),"")</f>
        <v/>
      </c>
      <c r="BL560" t="str">
        <f ca="1">IFERROR(IF(0=LEN(ReferenceData!$BL$560),"",ReferenceData!$BL$560),"")</f>
        <v/>
      </c>
      <c r="BM560" t="str">
        <f ca="1">IFERROR(IF(0=LEN(ReferenceData!$BM$560),"",ReferenceData!$BM$560),"")</f>
        <v/>
      </c>
    </row>
    <row r="561" spans="1:65" x14ac:dyDescent="0.25">
      <c r="A561" t="str">
        <f>IFERROR(IF(0=LEN(ReferenceData!$A$561),"",ReferenceData!$A$561),"")</f>
        <v xml:space="preserve">    Kia Motors Corp</v>
      </c>
      <c r="B561" t="str">
        <f>IFERROR(IF(0=LEN(ReferenceData!$B$561),"",ReferenceData!$B$561),"")</f>
        <v>000270 KS Equity</v>
      </c>
      <c r="C561" t="str">
        <f>IFERROR(IF(0=LEN(ReferenceData!$C$561),"",ReferenceData!$C$561),"")</f>
        <v>RX076</v>
      </c>
      <c r="D561" t="str">
        <f>IFERROR(IF(0=LEN(ReferenceData!$D$561),"",ReferenceData!$D$561),"")</f>
        <v>EBIT_YIELD</v>
      </c>
      <c r="E561" t="str">
        <f>IFERROR(IF(0=LEN(ReferenceData!$E$561),"",ReferenceData!$E$561),"")</f>
        <v>Dynamic</v>
      </c>
      <c r="F561" t="str">
        <f ca="1">IFERROR(IF(0=LEN(ReferenceData!$F$561),"",ReferenceData!$F$561),"")</f>
        <v/>
      </c>
      <c r="G561">
        <f ca="1">IFERROR(IF(0=LEN(ReferenceData!$G$561),"",ReferenceData!$G$561),"")</f>
        <v>8.1348278589999996</v>
      </c>
      <c r="H561">
        <f ca="1">IFERROR(IF(0=LEN(ReferenceData!$H$561),"",ReferenceData!$H$561),"")</f>
        <v>7.6597168299999998</v>
      </c>
      <c r="I561">
        <f ca="1">IFERROR(IF(0=LEN(ReferenceData!$I$561),"",ReferenceData!$I$561),"")</f>
        <v>4.3142911450000003</v>
      </c>
      <c r="J561">
        <f ca="1">IFERROR(IF(0=LEN(ReferenceData!$J$561),"",ReferenceData!$J$561),"")</f>
        <v>4.7077814790000003</v>
      </c>
      <c r="K561">
        <f ca="1">IFERROR(IF(0=LEN(ReferenceData!$K$561),"",ReferenceData!$K$561),"")</f>
        <v>4.9308783480000002</v>
      </c>
      <c r="L561">
        <f ca="1">IFERROR(IF(0=LEN(ReferenceData!$L$561),"",ReferenceData!$L$561),"")</f>
        <v>7.0140191439999997</v>
      </c>
      <c r="M561">
        <f ca="1">IFERROR(IF(0=LEN(ReferenceData!$M$561),"",ReferenceData!$M$561),"")</f>
        <v>12.025040110000001</v>
      </c>
      <c r="N561">
        <f ca="1">IFERROR(IF(0=LEN(ReferenceData!$N$561),"",ReferenceData!$N$561),"")</f>
        <v>14.868720789999999</v>
      </c>
      <c r="O561">
        <f ca="1">IFERROR(IF(0=LEN(ReferenceData!$O$561),"",ReferenceData!$O$561),"")</f>
        <v>15.63241045</v>
      </c>
      <c r="P561">
        <f ca="1">IFERROR(IF(0=LEN(ReferenceData!$P$561),"",ReferenceData!$P$561),"")</f>
        <v>14.4703251</v>
      </c>
      <c r="Q561">
        <f ca="1">IFERROR(IF(0=LEN(ReferenceData!$Q$561),"",ReferenceData!$Q$561),"")</f>
        <v>15.001171360000001</v>
      </c>
      <c r="R561">
        <f ca="1">IFERROR(IF(0=LEN(ReferenceData!$R$561),"",ReferenceData!$R$561),"")</f>
        <v>12.79592982</v>
      </c>
      <c r="S561">
        <f ca="1">IFERROR(IF(0=LEN(ReferenceData!$S$561),"",ReferenceData!$S$561),"")</f>
        <v>11.152705299999999</v>
      </c>
      <c r="T561">
        <f ca="1">IFERROR(IF(0=LEN(ReferenceData!$T$561),"",ReferenceData!$T$561),"")</f>
        <v>10.852800909999999</v>
      </c>
      <c r="U561">
        <f ca="1">IFERROR(IF(0=LEN(ReferenceData!$U$561),"",ReferenceData!$U$561),"")</f>
        <v>12.19860373</v>
      </c>
      <c r="V561">
        <f ca="1">IFERROR(IF(0=LEN(ReferenceData!$V$561),"",ReferenceData!$V$561),"")</f>
        <v>12.83991537</v>
      </c>
      <c r="W561">
        <f ca="1">IFERROR(IF(0=LEN(ReferenceData!$W$561),"",ReferenceData!$W$561),"")</f>
        <v>12.14739196</v>
      </c>
      <c r="X561">
        <f ca="1">IFERROR(IF(0=LEN(ReferenceData!$X$561),"",ReferenceData!$X$561),"")</f>
        <v>12.52072235</v>
      </c>
      <c r="Y561">
        <f ca="1">IFERROR(IF(0=LEN(ReferenceData!$Y$561),"",ReferenceData!$Y$561),"")</f>
        <v>12.44574025</v>
      </c>
      <c r="Z561">
        <f ca="1">IFERROR(IF(0=LEN(ReferenceData!$Z$561),"",ReferenceData!$Z$561),"")</f>
        <v>13.36771834</v>
      </c>
      <c r="AA561">
        <f ca="1">IFERROR(IF(0=LEN(ReferenceData!$AA$561),"",ReferenceData!$AA$561),"")</f>
        <v>13.99081851</v>
      </c>
      <c r="AB561">
        <f ca="1">IFERROR(IF(0=LEN(ReferenceData!$AB$561),"",ReferenceData!$AB$561),"")</f>
        <v>11.083348989999999</v>
      </c>
      <c r="AC561">
        <f ca="1">IFERROR(IF(0=LEN(ReferenceData!$AC$561),"",ReferenceData!$AC$561),"")</f>
        <v>12.072200240000001</v>
      </c>
      <c r="AD561">
        <f ca="1">IFERROR(IF(0=LEN(ReferenceData!$AD$561),"",ReferenceData!$AD$561),"")</f>
        <v>13.952489440000001</v>
      </c>
      <c r="AE561">
        <f ca="1">IFERROR(IF(0=LEN(ReferenceData!$AE$561),"",ReferenceData!$AE$561),"")</f>
        <v>15.4030383</v>
      </c>
      <c r="AF561">
        <f ca="1">IFERROR(IF(0=LEN(ReferenceData!$AF$561),"",ReferenceData!$AF$561),"")</f>
        <v>14.095845580000001</v>
      </c>
      <c r="AG561">
        <f ca="1">IFERROR(IF(0=LEN(ReferenceData!$AG$561),"",ReferenceData!$AG$561),"")</f>
        <v>13.326407469999999</v>
      </c>
      <c r="AH561">
        <f ca="1">IFERROR(IF(0=LEN(ReferenceData!$AH$561),"",ReferenceData!$AH$561),"")</f>
        <v>12.76110746</v>
      </c>
      <c r="AI561">
        <f ca="1">IFERROR(IF(0=LEN(ReferenceData!$AI$561),"",ReferenceData!$AI$561),"")</f>
        <v>13.17002482</v>
      </c>
      <c r="AJ561">
        <f ca="1">IFERROR(IF(0=LEN(ReferenceData!$AJ$561),"",ReferenceData!$AJ$561),"")</f>
        <v>11.615145930000001</v>
      </c>
      <c r="AK561">
        <f ca="1">IFERROR(IF(0=LEN(ReferenceData!$AK$561),"",ReferenceData!$AK$561),"")</f>
        <v>10.92181491</v>
      </c>
      <c r="AL561">
        <f ca="1">IFERROR(IF(0=LEN(ReferenceData!$AL$561),"",ReferenceData!$AL$561),"")</f>
        <v>10.18435524</v>
      </c>
      <c r="AM561">
        <f ca="1">IFERROR(IF(0=LEN(ReferenceData!$AM$561),"",ReferenceData!$AM$561),"")</f>
        <v>11.97384196</v>
      </c>
      <c r="AN561" t="str">
        <f ca="1">IFERROR(IF(0=LEN(ReferenceData!$AN$561),"",ReferenceData!$AN$561),"")</f>
        <v/>
      </c>
      <c r="AO561" t="str">
        <f ca="1">IFERROR(IF(0=LEN(ReferenceData!$AO$561),"",ReferenceData!$AO$561),"")</f>
        <v/>
      </c>
      <c r="AP561" t="str">
        <f ca="1">IFERROR(IF(0=LEN(ReferenceData!$AP$561),"",ReferenceData!$AP$561),"")</f>
        <v/>
      </c>
      <c r="AQ561" t="str">
        <f ca="1">IFERROR(IF(0=LEN(ReferenceData!$AQ$561),"",ReferenceData!$AQ$561),"")</f>
        <v/>
      </c>
      <c r="AR561" t="str">
        <f ca="1">IFERROR(IF(0=LEN(ReferenceData!$AR$561),"",ReferenceData!$AR$561),"")</f>
        <v/>
      </c>
      <c r="AS561" t="str">
        <f ca="1">IFERROR(IF(0=LEN(ReferenceData!$AS$561),"",ReferenceData!$AS$561),"")</f>
        <v/>
      </c>
      <c r="AT561" t="str">
        <f ca="1">IFERROR(IF(0=LEN(ReferenceData!$AT$561),"",ReferenceData!$AT$561),"")</f>
        <v/>
      </c>
      <c r="AU561" t="str">
        <f ca="1">IFERROR(IF(0=LEN(ReferenceData!$AU$561),"",ReferenceData!$AU$561),"")</f>
        <v/>
      </c>
      <c r="AV561" t="str">
        <f ca="1">IFERROR(IF(0=LEN(ReferenceData!$AV$561),"",ReferenceData!$AV$561),"")</f>
        <v/>
      </c>
      <c r="AW561" t="str">
        <f ca="1">IFERROR(IF(0=LEN(ReferenceData!$AW$561),"",ReferenceData!$AW$561),"")</f>
        <v/>
      </c>
      <c r="AX561" t="str">
        <f ca="1">IFERROR(IF(0=LEN(ReferenceData!$AX$561),"",ReferenceData!$AX$561),"")</f>
        <v/>
      </c>
      <c r="AY561" t="str">
        <f ca="1">IFERROR(IF(0=LEN(ReferenceData!$AY$561),"",ReferenceData!$AY$561),"")</f>
        <v/>
      </c>
      <c r="AZ561" t="str">
        <f ca="1">IFERROR(IF(0=LEN(ReferenceData!$AZ$561),"",ReferenceData!$AZ$561),"")</f>
        <v/>
      </c>
      <c r="BA561" t="str">
        <f ca="1">IFERROR(IF(0=LEN(ReferenceData!$BA$561),"",ReferenceData!$BA$561),"")</f>
        <v/>
      </c>
      <c r="BB561" t="str">
        <f ca="1">IFERROR(IF(0=LEN(ReferenceData!$BB$561),"",ReferenceData!$BB$561),"")</f>
        <v/>
      </c>
      <c r="BC561" t="str">
        <f ca="1">IFERROR(IF(0=LEN(ReferenceData!$BC$561),"",ReferenceData!$BC$561),"")</f>
        <v/>
      </c>
      <c r="BD561" t="str">
        <f ca="1">IFERROR(IF(0=LEN(ReferenceData!$BD$561),"",ReferenceData!$BD$561),"")</f>
        <v/>
      </c>
      <c r="BE561" t="str">
        <f ca="1">IFERROR(IF(0=LEN(ReferenceData!$BE$561),"",ReferenceData!$BE$561),"")</f>
        <v/>
      </c>
      <c r="BF561" t="str">
        <f ca="1">IFERROR(IF(0=LEN(ReferenceData!$BF$561),"",ReferenceData!$BF$561),"")</f>
        <v/>
      </c>
      <c r="BG561" t="str">
        <f ca="1">IFERROR(IF(0=LEN(ReferenceData!$BG$561),"",ReferenceData!$BG$561),"")</f>
        <v/>
      </c>
      <c r="BH561" t="str">
        <f ca="1">IFERROR(IF(0=LEN(ReferenceData!$BH$561),"",ReferenceData!$BH$561),"")</f>
        <v/>
      </c>
      <c r="BI561" t="str">
        <f ca="1">IFERROR(IF(0=LEN(ReferenceData!$BI$561),"",ReferenceData!$BI$561),"")</f>
        <v/>
      </c>
      <c r="BJ561" t="str">
        <f ca="1">IFERROR(IF(0=LEN(ReferenceData!$BJ$561),"",ReferenceData!$BJ$561),"")</f>
        <v/>
      </c>
      <c r="BK561" t="str">
        <f ca="1">IFERROR(IF(0=LEN(ReferenceData!$BK$561),"",ReferenceData!$BK$561),"")</f>
        <v/>
      </c>
      <c r="BL561" t="str">
        <f ca="1">IFERROR(IF(0=LEN(ReferenceData!$BL$561),"",ReferenceData!$BL$561),"")</f>
        <v/>
      </c>
      <c r="BM561" t="str">
        <f ca="1">IFERROR(IF(0=LEN(ReferenceData!$BM$561),"",ReferenceData!$BM$561),"")</f>
        <v/>
      </c>
    </row>
    <row r="562" spans="1:65" x14ac:dyDescent="0.25">
      <c r="A562" t="str">
        <f>IFERROR(IF(0=LEN(ReferenceData!$A$562),"",ReferenceData!$A$562),"")</f>
        <v xml:space="preserve">    Mazda Motor Corp</v>
      </c>
      <c r="B562" t="str">
        <f>IFERROR(IF(0=LEN(ReferenceData!$B$562),"",ReferenceData!$B$562),"")</f>
        <v>7261 JP Equity</v>
      </c>
      <c r="C562" t="str">
        <f>IFERROR(IF(0=LEN(ReferenceData!$C$562),"",ReferenceData!$C$562),"")</f>
        <v>RX076</v>
      </c>
      <c r="D562" t="str">
        <f>IFERROR(IF(0=LEN(ReferenceData!$D$562),"",ReferenceData!$D$562),"")</f>
        <v>EBIT_YIELD</v>
      </c>
      <c r="E562" t="str">
        <f>IFERROR(IF(0=LEN(ReferenceData!$E$562),"",ReferenceData!$E$562),"")</f>
        <v>Dynamic</v>
      </c>
      <c r="F562">
        <f ca="1">IFERROR(IF(0=LEN(ReferenceData!$F$562),"",ReferenceData!$F$562),"")</f>
        <v>12.215685880000001</v>
      </c>
      <c r="G562">
        <f ca="1">IFERROR(IF(0=LEN(ReferenceData!$G$562),"",ReferenceData!$G$562),"")</f>
        <v>13.846237779999999</v>
      </c>
      <c r="H562">
        <f ca="1">IFERROR(IF(0=LEN(ReferenceData!$H$562),"",ReferenceData!$H$562),"")</f>
        <v>11.79472762</v>
      </c>
      <c r="I562">
        <f ca="1">IFERROR(IF(0=LEN(ReferenceData!$I$562),"",ReferenceData!$I$562),"")</f>
        <v>16.58283892</v>
      </c>
      <c r="J562">
        <f ca="1">IFERROR(IF(0=LEN(ReferenceData!$J$562),"",ReferenceData!$J$562),"")</f>
        <v>17.048681380000001</v>
      </c>
      <c r="K562">
        <f ca="1">IFERROR(IF(0=LEN(ReferenceData!$K$562),"",ReferenceData!$K$562),"")</f>
        <v>14.350572700000001</v>
      </c>
      <c r="L562">
        <f ca="1">IFERROR(IF(0=LEN(ReferenceData!$L$562),"",ReferenceData!$L$562),"")</f>
        <v>11.040065240000001</v>
      </c>
      <c r="M562">
        <f ca="1">IFERROR(IF(0=LEN(ReferenceData!$M$562),"",ReferenceData!$M$562),"")</f>
        <v>12.0741171</v>
      </c>
      <c r="N562">
        <f ca="1">IFERROR(IF(0=LEN(ReferenceData!$N$562),"",ReferenceData!$N$562),"")</f>
        <v>13.115605889999999</v>
      </c>
      <c r="O562">
        <f ca="1">IFERROR(IF(0=LEN(ReferenceData!$O$562),"",ReferenceData!$O$562),"")</f>
        <v>13.591975659999999</v>
      </c>
      <c r="P562">
        <f ca="1">IFERROR(IF(0=LEN(ReferenceData!$P$562),"",ReferenceData!$P$562),"")</f>
        <v>20.665865950000001</v>
      </c>
      <c r="Q562">
        <f ca="1">IFERROR(IF(0=LEN(ReferenceData!$Q$562),"",ReferenceData!$Q$562),"")</f>
        <v>27.80406515</v>
      </c>
      <c r="R562">
        <f ca="1">IFERROR(IF(0=LEN(ReferenceData!$R$562),"",ReferenceData!$R$562),"")</f>
        <v>21.719850210000001</v>
      </c>
      <c r="S562">
        <f ca="1">IFERROR(IF(0=LEN(ReferenceData!$S$562),"",ReferenceData!$S$562),"")</f>
        <v>14.862969229999999</v>
      </c>
      <c r="T562">
        <f ca="1">IFERROR(IF(0=LEN(ReferenceData!$T$562),"",ReferenceData!$T$562),"")</f>
        <v>20.001457779999999</v>
      </c>
      <c r="U562">
        <f ca="1">IFERROR(IF(0=LEN(ReferenceData!$U$562),"",ReferenceData!$U$562),"")</f>
        <v>13.939257570000001</v>
      </c>
      <c r="V562">
        <f ca="1">IFERROR(IF(0=LEN(ReferenceData!$V$562),"",ReferenceData!$V$562),"")</f>
        <v>13.91462061</v>
      </c>
      <c r="W562">
        <f ca="1">IFERROR(IF(0=LEN(ReferenceData!$W$562),"",ReferenceData!$W$562),"")</f>
        <v>11.97131871</v>
      </c>
      <c r="X562">
        <f ca="1">IFERROR(IF(0=LEN(ReferenceData!$X$562),"",ReferenceData!$X$562),"")</f>
        <v>12.90809636</v>
      </c>
      <c r="Y562">
        <f ca="1">IFERROR(IF(0=LEN(ReferenceData!$Y$562),"",ReferenceData!$Y$562),"")</f>
        <v>14.22608511</v>
      </c>
      <c r="Z562">
        <f ca="1">IFERROR(IF(0=LEN(ReferenceData!$Z$562),"",ReferenceData!$Z$562),"")</f>
        <v>13.302922089999999</v>
      </c>
      <c r="AA562">
        <f ca="1">IFERROR(IF(0=LEN(ReferenceData!$AA$562),"",ReferenceData!$AA$562),"")</f>
        <v>9.7714126280000002</v>
      </c>
      <c r="AB562">
        <f ca="1">IFERROR(IF(0=LEN(ReferenceData!$AB$562),"",ReferenceData!$AB$562),"")</f>
        <v>8.9126738470000006</v>
      </c>
      <c r="AC562">
        <f ca="1">IFERROR(IF(0=LEN(ReferenceData!$AC$562),"",ReferenceData!$AC$562),"")</f>
        <v>7.5850224839999996</v>
      </c>
      <c r="AD562">
        <f ca="1">IFERROR(IF(0=LEN(ReferenceData!$AD$562),"",ReferenceData!$AD$562),"")</f>
        <v>6.4212841970000003</v>
      </c>
      <c r="AE562">
        <f ca="1">IFERROR(IF(0=LEN(ReferenceData!$AE$562),"",ReferenceData!$AE$562),"")</f>
        <v>7.9450610949999998</v>
      </c>
      <c r="AF562">
        <f ca="1">IFERROR(IF(0=LEN(ReferenceData!$AF$562),"",ReferenceData!$AF$562),"")</f>
        <v>-8.0746843909999999</v>
      </c>
      <c r="AG562">
        <f ca="1">IFERROR(IF(0=LEN(ReferenceData!$AG$562),"",ReferenceData!$AG$562),"")</f>
        <v>-9.1266544369999991</v>
      </c>
      <c r="AH562">
        <f ca="1">IFERROR(IF(0=LEN(ReferenceData!$AH$562),"",ReferenceData!$AH$562),"")</f>
        <v>-16.144332949999999</v>
      </c>
      <c r="AI562">
        <f ca="1">IFERROR(IF(0=LEN(ReferenceData!$AI$562),"",ReferenceData!$AI$562),"")</f>
        <v>-18.142056230000001</v>
      </c>
      <c r="AJ562">
        <f ca="1">IFERROR(IF(0=LEN(ReferenceData!$AJ$562),"",ReferenceData!$AJ$562),"")</f>
        <v>-3.567894838</v>
      </c>
      <c r="AK562">
        <f ca="1">IFERROR(IF(0=LEN(ReferenceData!$AK$562),"",ReferenceData!$AK$562),"")</f>
        <v>-1.5038678889999999</v>
      </c>
      <c r="AL562">
        <f ca="1">IFERROR(IF(0=LEN(ReferenceData!$AL$562),"",ReferenceData!$AL$562),"")</f>
        <v>7.3577113350000003</v>
      </c>
      <c r="AM562">
        <f ca="1">IFERROR(IF(0=LEN(ReferenceData!$AM$562),"",ReferenceData!$AM$562),"")</f>
        <v>8.2316765380000003</v>
      </c>
      <c r="AN562">
        <f ca="1">IFERROR(IF(0=LEN(ReferenceData!$AN$562),"",ReferenceData!$AN$562),"")</f>
        <v>12.60199283</v>
      </c>
      <c r="AO562">
        <f ca="1">IFERROR(IF(0=LEN(ReferenceData!$AO$562),"",ReferenceData!$AO$562),"")</f>
        <v>12.650042689999999</v>
      </c>
      <c r="AP562">
        <f ca="1">IFERROR(IF(0=LEN(ReferenceData!$AP$562),"",ReferenceData!$AP$562),"")</f>
        <v>0.62067242099999997</v>
      </c>
      <c r="AQ562">
        <f ca="1">IFERROR(IF(0=LEN(ReferenceData!$AQ$562),"",ReferenceData!$AQ$562),"")</f>
        <v>-27.986605440000002</v>
      </c>
      <c r="AR562">
        <f ca="1">IFERROR(IF(0=LEN(ReferenceData!$AR$562),"",ReferenceData!$AR$562),"")</f>
        <v>-41.794415870000002</v>
      </c>
      <c r="AS562">
        <f ca="1">IFERROR(IF(0=LEN(ReferenceData!$AS$562),"",ReferenceData!$AS$562),"")</f>
        <v>-26.506466570000001</v>
      </c>
      <c r="AT562">
        <f ca="1">IFERROR(IF(0=LEN(ReferenceData!$AT$562),"",ReferenceData!$AT$562),"")</f>
        <v>-14.68740972</v>
      </c>
      <c r="AU562">
        <f ca="1">IFERROR(IF(0=LEN(ReferenceData!$AU$562),"",ReferenceData!$AU$562),"")</f>
        <v>42.48812659</v>
      </c>
      <c r="AV562">
        <f ca="1">IFERROR(IF(0=LEN(ReferenceData!$AV$562),"",ReferenceData!$AV$562),"")</f>
        <v>25.432372959999999</v>
      </c>
      <c r="AW562">
        <f ca="1">IFERROR(IF(0=LEN(ReferenceData!$AW$562),"",ReferenceData!$AW$562),"")</f>
        <v>20.37973105</v>
      </c>
      <c r="AX562">
        <f ca="1">IFERROR(IF(0=LEN(ReferenceData!$AX$562),"",ReferenceData!$AX$562),"")</f>
        <v>32.614988789999998</v>
      </c>
      <c r="AY562">
        <f ca="1">IFERROR(IF(0=LEN(ReferenceData!$AY$562),"",ReferenceData!$AY$562),"")</f>
        <v>20.33287086</v>
      </c>
      <c r="AZ562">
        <f ca="1">IFERROR(IF(0=LEN(ReferenceData!$AZ$562),"",ReferenceData!$AZ$562),"")</f>
        <v>19.808995830000001</v>
      </c>
      <c r="BA562">
        <f ca="1">IFERROR(IF(0=LEN(ReferenceData!$BA$562),"",ReferenceData!$BA$562),"")</f>
        <v>16.31796057</v>
      </c>
      <c r="BB562">
        <f ca="1">IFERROR(IF(0=LEN(ReferenceData!$BB$562),"",ReferenceData!$BB$562),"")</f>
        <v>17.326366929999999</v>
      </c>
      <c r="BC562">
        <f ca="1">IFERROR(IF(0=LEN(ReferenceData!$BC$562),"",ReferenceData!$BC$562),"")</f>
        <v>12.98428895</v>
      </c>
      <c r="BD562">
        <f ca="1">IFERROR(IF(0=LEN(ReferenceData!$BD$562),"",ReferenceData!$BD$562),"")</f>
        <v>14.670724440000001</v>
      </c>
      <c r="BE562">
        <f ca="1">IFERROR(IF(0=LEN(ReferenceData!$BE$562),"",ReferenceData!$BE$562),"")</f>
        <v>13.52869065</v>
      </c>
      <c r="BF562">
        <f ca="1">IFERROR(IF(0=LEN(ReferenceData!$BF$562),"",ReferenceData!$BF$562),"")</f>
        <v>13.229970339999999</v>
      </c>
      <c r="BG562">
        <f ca="1">IFERROR(IF(0=LEN(ReferenceData!$BG$562),"",ReferenceData!$BG$562),"")</f>
        <v>15.0029919</v>
      </c>
      <c r="BH562">
        <f ca="1">IFERROR(IF(0=LEN(ReferenceData!$BH$562),"",ReferenceData!$BH$562),"")</f>
        <v>14.41577618</v>
      </c>
      <c r="BI562">
        <f ca="1">IFERROR(IF(0=LEN(ReferenceData!$BI$562),"",ReferenceData!$BI$562),"")</f>
        <v>16.907074260000002</v>
      </c>
      <c r="BJ562">
        <f ca="1">IFERROR(IF(0=LEN(ReferenceData!$BJ$562),"",ReferenceData!$BJ$562),"")</f>
        <v>18.633050170000001</v>
      </c>
      <c r="BK562" t="str">
        <f ca="1">IFERROR(IF(0=LEN(ReferenceData!$BK$562),"",ReferenceData!$BK$562),"")</f>
        <v/>
      </c>
      <c r="BL562" t="str">
        <f ca="1">IFERROR(IF(0=LEN(ReferenceData!$BL$562),"",ReferenceData!$BL$562),"")</f>
        <v/>
      </c>
      <c r="BM562" t="str">
        <f ca="1">IFERROR(IF(0=LEN(ReferenceData!$BM$562),"",ReferenceData!$BM$562),"")</f>
        <v/>
      </c>
    </row>
    <row r="563" spans="1:65" x14ac:dyDescent="0.25">
      <c r="A563" t="str">
        <f>IFERROR(IF(0=LEN(ReferenceData!$A$563),"",ReferenceData!$A$563),"")</f>
        <v xml:space="preserve">    Mitsubishi Motors Corp</v>
      </c>
      <c r="B563" t="str">
        <f>IFERROR(IF(0=LEN(ReferenceData!$B$563),"",ReferenceData!$B$563),"")</f>
        <v>7211 JP Equity</v>
      </c>
      <c r="C563" t="str">
        <f>IFERROR(IF(0=LEN(ReferenceData!$C$563),"",ReferenceData!$C$563),"")</f>
        <v>RX076</v>
      </c>
      <c r="D563" t="str">
        <f>IFERROR(IF(0=LEN(ReferenceData!$D$563),"",ReferenceData!$D$563),"")</f>
        <v>EBIT_YIELD</v>
      </c>
      <c r="E563" t="str">
        <f>IFERROR(IF(0=LEN(ReferenceData!$E$563),"",ReferenceData!$E$563),"")</f>
        <v>Dynamic</v>
      </c>
      <c r="F563">
        <f ca="1">IFERROR(IF(0=LEN(ReferenceData!$F$563),"",ReferenceData!$F$563),"")</f>
        <v>12.79222566</v>
      </c>
      <c r="G563">
        <f ca="1">IFERROR(IF(0=LEN(ReferenceData!$G$563),"",ReferenceData!$G$563),"")</f>
        <v>13.238466089999999</v>
      </c>
      <c r="H563">
        <f ca="1">IFERROR(IF(0=LEN(ReferenceData!$H$563),"",ReferenceData!$H$563),"")</f>
        <v>9.2795357099999993</v>
      </c>
      <c r="I563">
        <f ca="1">IFERROR(IF(0=LEN(ReferenceData!$I$563),"",ReferenceData!$I$563),"")</f>
        <v>8.0334669240000007</v>
      </c>
      <c r="J563">
        <f ca="1">IFERROR(IF(0=LEN(ReferenceData!$J$563),"",ReferenceData!$J$563),"")</f>
        <v>8.6601915320000007</v>
      </c>
      <c r="K563">
        <f ca="1">IFERROR(IF(0=LEN(ReferenceData!$K$563),"",ReferenceData!$K$563),"")</f>
        <v>7.6677900509999999</v>
      </c>
      <c r="L563">
        <f ca="1">IFERROR(IF(0=LEN(ReferenceData!$L$563),"",ReferenceData!$L$563),"")</f>
        <v>6.1591163250000003</v>
      </c>
      <c r="M563">
        <f ca="1">IFERROR(IF(0=LEN(ReferenceData!$M$563),"",ReferenceData!$M$563),"")</f>
        <v>0.287322507</v>
      </c>
      <c r="N563">
        <f ca="1">IFERROR(IF(0=LEN(ReferenceData!$N$563),"",ReferenceData!$N$563),"")</f>
        <v>-1.0485392870000001</v>
      </c>
      <c r="O563">
        <f ca="1">IFERROR(IF(0=LEN(ReferenceData!$O$563),"",ReferenceData!$O$563),"")</f>
        <v>1.6332943820000001</v>
      </c>
      <c r="P563">
        <f ca="1">IFERROR(IF(0=LEN(ReferenceData!$P$563),"",ReferenceData!$P$563),"")</f>
        <v>10.47757021</v>
      </c>
      <c r="Q563">
        <f ca="1">IFERROR(IF(0=LEN(ReferenceData!$Q$563),"",ReferenceData!$Q$563),"")</f>
        <v>26.963176929999999</v>
      </c>
      <c r="R563">
        <f ca="1">IFERROR(IF(0=LEN(ReferenceData!$R$563),"",ReferenceData!$R$563),"")</f>
        <v>16.691254409999999</v>
      </c>
      <c r="S563">
        <f ca="1">IFERROR(IF(0=LEN(ReferenceData!$S$563),"",ReferenceData!$S$563),"")</f>
        <v>13.540258250000001</v>
      </c>
      <c r="T563">
        <f ca="1">IFERROR(IF(0=LEN(ReferenceData!$T$563),"",ReferenceData!$T$563),"")</f>
        <v>14.681623399999999</v>
      </c>
      <c r="U563">
        <f ca="1">IFERROR(IF(0=LEN(ReferenceData!$U$563),"",ReferenceData!$U$563),"")</f>
        <v>12.06066511</v>
      </c>
      <c r="V563">
        <f ca="1">IFERROR(IF(0=LEN(ReferenceData!$V$563),"",ReferenceData!$V$563),"")</f>
        <v>12.737476389999999</v>
      </c>
      <c r="W563">
        <f ca="1">IFERROR(IF(0=LEN(ReferenceData!$W$563),"",ReferenceData!$W$563),"")</f>
        <v>12.24094992</v>
      </c>
      <c r="X563">
        <f ca="1">IFERROR(IF(0=LEN(ReferenceData!$X$563),"",ReferenceData!$X$563),"")</f>
        <v>12.78565311</v>
      </c>
      <c r="Y563">
        <f ca="1">IFERROR(IF(0=LEN(ReferenceData!$Y$563),"",ReferenceData!$Y$563),"")</f>
        <v>17.387529579999999</v>
      </c>
      <c r="Z563">
        <f ca="1">IFERROR(IF(0=LEN(ReferenceData!$Z$563),"",ReferenceData!$Z$563),"")</f>
        <v>17.491904259999998</v>
      </c>
      <c r="AA563">
        <f ca="1">IFERROR(IF(0=LEN(ReferenceData!$AA$563),"",ReferenceData!$AA$563),"")</f>
        <v>17.662637270000001</v>
      </c>
      <c r="AB563">
        <f ca="1">IFERROR(IF(0=LEN(ReferenceData!$AB$563),"",ReferenceData!$AB$563),"")</f>
        <v>13.24720814</v>
      </c>
      <c r="AC563">
        <f ca="1">IFERROR(IF(0=LEN(ReferenceData!$AC$563),"",ReferenceData!$AC$563),"")</f>
        <v>8.5013192679999996</v>
      </c>
      <c r="AD563">
        <f ca="1">IFERROR(IF(0=LEN(ReferenceData!$AD$563),"",ReferenceData!$AD$563),"")</f>
        <v>11.897147990000001</v>
      </c>
      <c r="AE563">
        <f ca="1">IFERROR(IF(0=LEN(ReferenceData!$AE$563),"",ReferenceData!$AE$563),"")</f>
        <v>13.27253494</v>
      </c>
      <c r="AF563">
        <f ca="1">IFERROR(IF(0=LEN(ReferenceData!$AF$563),"",ReferenceData!$AF$563),"")</f>
        <v>15.08769023</v>
      </c>
      <c r="AG563">
        <f ca="1">IFERROR(IF(0=LEN(ReferenceData!$AG$563),"",ReferenceData!$AG$563),"")</f>
        <v>14.98249816</v>
      </c>
      <c r="AH563">
        <f ca="1">IFERROR(IF(0=LEN(ReferenceData!$AH$563),"",ReferenceData!$AH$563),"")</f>
        <v>12.231849520000001</v>
      </c>
      <c r="AI563">
        <f ca="1">IFERROR(IF(0=LEN(ReferenceData!$AI$563),"",ReferenceData!$AI$563),"")</f>
        <v>13.05874758</v>
      </c>
      <c r="AJ563">
        <f ca="1">IFERROR(IF(0=LEN(ReferenceData!$AJ$563),"",ReferenceData!$AJ$563),"")</f>
        <v>11.85220647</v>
      </c>
      <c r="AK563">
        <f ca="1">IFERROR(IF(0=LEN(ReferenceData!$AK$563),"",ReferenceData!$AK$563),"")</f>
        <v>10.373294270000001</v>
      </c>
      <c r="AL563">
        <f ca="1">IFERROR(IF(0=LEN(ReferenceData!$AL$563),"",ReferenceData!$AL$563),"")</f>
        <v>7.0050689049999999</v>
      </c>
      <c r="AM563">
        <f ca="1">IFERROR(IF(0=LEN(ReferenceData!$AM$563),"",ReferenceData!$AM$563),"")</f>
        <v>7.0419611809999996</v>
      </c>
      <c r="AN563">
        <f ca="1">IFERROR(IF(0=LEN(ReferenceData!$AN$563),"",ReferenceData!$AN$563),"")</f>
        <v>8.7148070020000006</v>
      </c>
      <c r="AO563">
        <f ca="1">IFERROR(IF(0=LEN(ReferenceData!$AO$563),"",ReferenceData!$AO$563),"")</f>
        <v>6.1523280229999999</v>
      </c>
      <c r="AP563">
        <f ca="1">IFERROR(IF(0=LEN(ReferenceData!$AP$563),"",ReferenceData!$AP$563),"")</f>
        <v>1.9026769990000001</v>
      </c>
      <c r="AQ563">
        <f ca="1">IFERROR(IF(0=LEN(ReferenceData!$AQ$563),"",ReferenceData!$AQ$563),"")</f>
        <v>-5.1317745160000001</v>
      </c>
      <c r="AR563">
        <f ca="1">IFERROR(IF(0=LEN(ReferenceData!$AR$563),"",ReferenceData!$AR$563),"")</f>
        <v>-6.6465568770000001</v>
      </c>
      <c r="AS563">
        <f ca="1">IFERROR(IF(0=LEN(ReferenceData!$AS$563),"",ReferenceData!$AS$563),"")</f>
        <v>-3.567635256</v>
      </c>
      <c r="AT563">
        <f ca="1">IFERROR(IF(0=LEN(ReferenceData!$AT$563),"",ReferenceData!$AT$563),"")</f>
        <v>0.53580623999999999</v>
      </c>
      <c r="AU563">
        <f ca="1">IFERROR(IF(0=LEN(ReferenceData!$AU$563),"",ReferenceData!$AU$563),"")</f>
        <v>11.294329039999999</v>
      </c>
      <c r="AV563">
        <f ca="1">IFERROR(IF(0=LEN(ReferenceData!$AV$563),"",ReferenceData!$AV$563),"")</f>
        <v>11.93718741</v>
      </c>
      <c r="AW563">
        <f ca="1">IFERROR(IF(0=LEN(ReferenceData!$AW$563),"",ReferenceData!$AW$563),"")</f>
        <v>10.54253258</v>
      </c>
      <c r="AX563">
        <f ca="1">IFERROR(IF(0=LEN(ReferenceData!$AX$563),"",ReferenceData!$AX$563),"")</f>
        <v>11.988536910000001</v>
      </c>
      <c r="AY563">
        <f ca="1">IFERROR(IF(0=LEN(ReferenceData!$AY$563),"",ReferenceData!$AY$563),"")</f>
        <v>8.2690651820000003</v>
      </c>
      <c r="AZ563">
        <f ca="1">IFERROR(IF(0=LEN(ReferenceData!$AZ$563),"",ReferenceData!$AZ$563),"")</f>
        <v>6.7289439809999996</v>
      </c>
      <c r="BA563">
        <f ca="1">IFERROR(IF(0=LEN(ReferenceData!$BA$563),"",ReferenceData!$BA$563),"")</f>
        <v>5.17100969</v>
      </c>
      <c r="BB563">
        <f ca="1">IFERROR(IF(0=LEN(ReferenceData!$BB$563),"",ReferenceData!$BB$563),"")</f>
        <v>3.9894698549999998</v>
      </c>
      <c r="BC563">
        <f ca="1">IFERROR(IF(0=LEN(ReferenceData!$BC$563),"",ReferenceData!$BC$563),"")</f>
        <v>2.919962205</v>
      </c>
      <c r="BD563">
        <f ca="1">IFERROR(IF(0=LEN(ReferenceData!$BD$563),"",ReferenceData!$BD$563),"")</f>
        <v>2.0109475809999999</v>
      </c>
      <c r="BE563">
        <f ca="1">IFERROR(IF(0=LEN(ReferenceData!$BE$563),"",ReferenceData!$BE$563),"")</f>
        <v>1.091128138</v>
      </c>
      <c r="BF563">
        <f ca="1">IFERROR(IF(0=LEN(ReferenceData!$BF$563),"",ReferenceData!$BF$563),"")</f>
        <v>0.12896211699999999</v>
      </c>
      <c r="BG563">
        <f ca="1">IFERROR(IF(0=LEN(ReferenceData!$BG$563),"",ReferenceData!$BG$563),"")</f>
        <v>-5.3286215370000001</v>
      </c>
      <c r="BH563">
        <f ca="1">IFERROR(IF(0=LEN(ReferenceData!$BH$563),"",ReferenceData!$BH$563),"")</f>
        <v>-9.3893986229999999</v>
      </c>
      <c r="BI563">
        <f ca="1">IFERROR(IF(0=LEN(ReferenceData!$BI$563),"",ReferenceData!$BI$563),"")</f>
        <v>-28.792576530000002</v>
      </c>
      <c r="BJ563">
        <f ca="1">IFERROR(IF(0=LEN(ReferenceData!$BJ$563),"",ReferenceData!$BJ$563),"")</f>
        <v>-41.459874290000002</v>
      </c>
      <c r="BK563">
        <f ca="1">IFERROR(IF(0=LEN(ReferenceData!$BK$563),"",ReferenceData!$BK$563),"")</f>
        <v>-48.45169885</v>
      </c>
      <c r="BL563">
        <f ca="1">IFERROR(IF(0=LEN(ReferenceData!$BL$563),"",ReferenceData!$BL$563),"")</f>
        <v>-47.887478549999997</v>
      </c>
      <c r="BM563">
        <f ca="1">IFERROR(IF(0=LEN(ReferenceData!$BM$563),"",ReferenceData!$BM$563),"")</f>
        <v>-32.693819380000001</v>
      </c>
    </row>
    <row r="564" spans="1:65" x14ac:dyDescent="0.25">
      <c r="A564" t="str">
        <f>IFERROR(IF(0=LEN(ReferenceData!$A$564),"",ReferenceData!$A$564),"")</f>
        <v xml:space="preserve">    Nissan Motor Co Ltd</v>
      </c>
      <c r="B564" t="str">
        <f>IFERROR(IF(0=LEN(ReferenceData!$B$564),"",ReferenceData!$B$564),"")</f>
        <v>7201 JP Equity</v>
      </c>
      <c r="C564" t="str">
        <f>IFERROR(IF(0=LEN(ReferenceData!$C$564),"",ReferenceData!$C$564),"")</f>
        <v>RX076</v>
      </c>
      <c r="D564" t="str">
        <f>IFERROR(IF(0=LEN(ReferenceData!$D$564),"",ReferenceData!$D$564),"")</f>
        <v>EBIT_YIELD</v>
      </c>
      <c r="E564" t="str">
        <f>IFERROR(IF(0=LEN(ReferenceData!$E$564),"",ReferenceData!$E$564),"")</f>
        <v>Dynamic</v>
      </c>
      <c r="F564">
        <f ca="1">IFERROR(IF(0=LEN(ReferenceData!$F$564),"",ReferenceData!$F$564),"")</f>
        <v>14.14431358</v>
      </c>
      <c r="G564">
        <f ca="1">IFERROR(IF(0=LEN(ReferenceData!$G$564),"",ReferenceData!$G$564),"")</f>
        <v>15.225663470000001</v>
      </c>
      <c r="H564">
        <f ca="1">IFERROR(IF(0=LEN(ReferenceData!$H$564),"",ReferenceData!$H$564),"")</f>
        <v>12.10028692</v>
      </c>
      <c r="I564">
        <f ca="1">IFERROR(IF(0=LEN(ReferenceData!$I$564),"",ReferenceData!$I$564),"")</f>
        <v>12.58546011</v>
      </c>
      <c r="J564">
        <f ca="1">IFERROR(IF(0=LEN(ReferenceData!$J$564),"",ReferenceData!$J$564),"")</f>
        <v>13.311333429999999</v>
      </c>
      <c r="K564">
        <f ca="1">IFERROR(IF(0=LEN(ReferenceData!$K$564),"",ReferenceData!$K$564),"")</f>
        <v>13.71440014</v>
      </c>
      <c r="L564">
        <f ca="1">IFERROR(IF(0=LEN(ReferenceData!$L$564),"",ReferenceData!$L$564),"")</f>
        <v>15.664079490000001</v>
      </c>
      <c r="M564">
        <f ca="1">IFERROR(IF(0=LEN(ReferenceData!$M$564),"",ReferenceData!$M$564),"")</f>
        <v>16.321661819999999</v>
      </c>
      <c r="N564">
        <f ca="1">IFERROR(IF(0=LEN(ReferenceData!$N$564),"",ReferenceData!$N$564),"")</f>
        <v>17.324736470000001</v>
      </c>
      <c r="O564">
        <f ca="1">IFERROR(IF(0=LEN(ReferenceData!$O$564),"",ReferenceData!$O$564),"")</f>
        <v>14.81749829</v>
      </c>
      <c r="P564">
        <f ca="1">IFERROR(IF(0=LEN(ReferenceData!$P$564),"",ReferenceData!$P$564),"")</f>
        <v>18.168791590000001</v>
      </c>
      <c r="Q564">
        <f ca="1">IFERROR(IF(0=LEN(ReferenceData!$Q$564),"",ReferenceData!$Q$564),"")</f>
        <v>20.241880259999999</v>
      </c>
      <c r="R564">
        <f ca="1">IFERROR(IF(0=LEN(ReferenceData!$R$564),"",ReferenceData!$R$564),"")</f>
        <v>18.175791050000001</v>
      </c>
      <c r="S564">
        <f ca="1">IFERROR(IF(0=LEN(ReferenceData!$S$564),"",ReferenceData!$S$564),"")</f>
        <v>14.152213290000001</v>
      </c>
      <c r="T564">
        <f ca="1">IFERROR(IF(0=LEN(ReferenceData!$T$564),"",ReferenceData!$T$564),"")</f>
        <v>15.754370249999999</v>
      </c>
      <c r="U564">
        <f ca="1">IFERROR(IF(0=LEN(ReferenceData!$U$564),"",ReferenceData!$U$564),"")</f>
        <v>12.35899094</v>
      </c>
      <c r="V564">
        <f ca="1">IFERROR(IF(0=LEN(ReferenceData!$V$564),"",ReferenceData!$V$564),"")</f>
        <v>11.48911472</v>
      </c>
      <c r="W564">
        <f ca="1">IFERROR(IF(0=LEN(ReferenceData!$W$564),"",ReferenceData!$W$564),"")</f>
        <v>13.89406211</v>
      </c>
      <c r="X564">
        <f ca="1">IFERROR(IF(0=LEN(ReferenceData!$X$564),"",ReferenceData!$X$564),"")</f>
        <v>12.0152298</v>
      </c>
      <c r="Y564">
        <f ca="1">IFERROR(IF(0=LEN(ReferenceData!$Y$564),"",ReferenceData!$Y$564),"")</f>
        <v>12.732710490000001</v>
      </c>
      <c r="Z564">
        <f ca="1">IFERROR(IF(0=LEN(ReferenceData!$Z$564),"",ReferenceData!$Z$564),"")</f>
        <v>12.924020820000001</v>
      </c>
      <c r="AA564">
        <f ca="1">IFERROR(IF(0=LEN(ReferenceData!$AA$564),"",ReferenceData!$AA$564),"")</f>
        <v>12.550199750000001</v>
      </c>
      <c r="AB564">
        <f ca="1">IFERROR(IF(0=LEN(ReferenceData!$AB$564),"",ReferenceData!$AB$564),"")</f>
        <v>10.49785612</v>
      </c>
      <c r="AC564">
        <f ca="1">IFERROR(IF(0=LEN(ReferenceData!$AC$564),"",ReferenceData!$AC$564),"")</f>
        <v>10.898076229999999</v>
      </c>
      <c r="AD564">
        <f ca="1">IFERROR(IF(0=LEN(ReferenceData!$AD$564),"",ReferenceData!$AD$564),"")</f>
        <v>11.56892966</v>
      </c>
      <c r="AE564">
        <f ca="1">IFERROR(IF(0=LEN(ReferenceData!$AE$564),"",ReferenceData!$AE$564),"")</f>
        <v>11.559999449999999</v>
      </c>
      <c r="AF564">
        <f ca="1">IFERROR(IF(0=LEN(ReferenceData!$AF$564),"",ReferenceData!$AF$564),"")</f>
        <v>16.671209390000001</v>
      </c>
      <c r="AG564">
        <f ca="1">IFERROR(IF(0=LEN(ReferenceData!$AG$564),"",ReferenceData!$AG$564),"")</f>
        <v>15.44994807</v>
      </c>
      <c r="AH564">
        <f ca="1">IFERROR(IF(0=LEN(ReferenceData!$AH$564),"",ReferenceData!$AH$564),"")</f>
        <v>14.81829085</v>
      </c>
      <c r="AI564">
        <f ca="1">IFERROR(IF(0=LEN(ReferenceData!$AI$564),"",ReferenceData!$AI$564),"")</f>
        <v>17.842229209999999</v>
      </c>
      <c r="AJ564">
        <f ca="1">IFERROR(IF(0=LEN(ReferenceData!$AJ$564),"",ReferenceData!$AJ$564),"")</f>
        <v>17.67078691</v>
      </c>
      <c r="AK564">
        <f ca="1">IFERROR(IF(0=LEN(ReferenceData!$AK$564),"",ReferenceData!$AK$564),"")</f>
        <v>14.7594206</v>
      </c>
      <c r="AL564">
        <f ca="1">IFERROR(IF(0=LEN(ReferenceData!$AL$564),"",ReferenceData!$AL$564),"")</f>
        <v>17.440641169999999</v>
      </c>
      <c r="AM564">
        <f ca="1">IFERROR(IF(0=LEN(ReferenceData!$AM$564),"",ReferenceData!$AM$564),"")</f>
        <v>16.532948090000001</v>
      </c>
      <c r="AN564">
        <f ca="1">IFERROR(IF(0=LEN(ReferenceData!$AN$564),"",ReferenceData!$AN$564),"")</f>
        <v>18.30485972</v>
      </c>
      <c r="AO564">
        <f ca="1">IFERROR(IF(0=LEN(ReferenceData!$AO$564),"",ReferenceData!$AO$564),"")</f>
        <v>18.208758100000001</v>
      </c>
      <c r="AP564">
        <f ca="1">IFERROR(IF(0=LEN(ReferenceData!$AP$564),"",ReferenceData!$AP$564),"")</f>
        <v>9.5443294390000002</v>
      </c>
      <c r="AQ564">
        <f ca="1">IFERROR(IF(0=LEN(ReferenceData!$AQ$564),"",ReferenceData!$AQ$564),"")</f>
        <v>-4.7002493999999999E-2</v>
      </c>
      <c r="AR564">
        <f ca="1">IFERROR(IF(0=LEN(ReferenceData!$AR$564),"",ReferenceData!$AR$564),"")</f>
        <v>-9.4923793130000007</v>
      </c>
      <c r="AS564">
        <f ca="1">IFERROR(IF(0=LEN(ReferenceData!$AS$564),"",ReferenceData!$AS$564),"")</f>
        <v>-8.6404741410000003</v>
      </c>
      <c r="AT564">
        <f ca="1">IFERROR(IF(0=LEN(ReferenceData!$AT$564),"",ReferenceData!$AT$564),"")</f>
        <v>-9.6728075209999993</v>
      </c>
      <c r="AU564">
        <f ca="1">IFERROR(IF(0=LEN(ReferenceData!$AU$564),"",ReferenceData!$AU$564),"")</f>
        <v>23.2845087</v>
      </c>
      <c r="AV564">
        <f ca="1">IFERROR(IF(0=LEN(ReferenceData!$AV$564),"",ReferenceData!$AV$564),"")</f>
        <v>21.616918649999999</v>
      </c>
      <c r="AW564">
        <f ca="1">IFERROR(IF(0=LEN(ReferenceData!$AW$564),"",ReferenceData!$AW$564),"")</f>
        <v>20.138984399999998</v>
      </c>
      <c r="AX564">
        <f ca="1">IFERROR(IF(0=LEN(ReferenceData!$AX$564),"",ReferenceData!$AX$564),"")</f>
        <v>23.435827669999998</v>
      </c>
      <c r="AY564">
        <f ca="1">IFERROR(IF(0=LEN(ReferenceData!$AY$564),"",ReferenceData!$AY$564),"")</f>
        <v>16.336250769999999</v>
      </c>
      <c r="AZ564">
        <f ca="1">IFERROR(IF(0=LEN(ReferenceData!$AZ$564),"",ReferenceData!$AZ$564),"")</f>
        <v>16.846781889999999</v>
      </c>
      <c r="BA564">
        <f ca="1">IFERROR(IF(0=LEN(ReferenceData!$BA$564),"",ReferenceData!$BA$564),"")</f>
        <v>14.23791215</v>
      </c>
      <c r="BB564">
        <f ca="1">IFERROR(IF(0=LEN(ReferenceData!$BB$564),"",ReferenceData!$BB$564),"")</f>
        <v>14.99262193</v>
      </c>
      <c r="BC564">
        <f ca="1">IFERROR(IF(0=LEN(ReferenceData!$BC$564),"",ReferenceData!$BC$564),"")</f>
        <v>13.15974875</v>
      </c>
      <c r="BD564">
        <f ca="1">IFERROR(IF(0=LEN(ReferenceData!$BD$564),"",ReferenceData!$BD$564),"")</f>
        <v>14.940048109999999</v>
      </c>
      <c r="BE564">
        <f ca="1">IFERROR(IF(0=LEN(ReferenceData!$BE$564),"",ReferenceData!$BE$564),"")</f>
        <v>16.04615145</v>
      </c>
      <c r="BF564">
        <f ca="1">IFERROR(IF(0=LEN(ReferenceData!$BF$564),"",ReferenceData!$BF$564),"")</f>
        <v>15.296108950000001</v>
      </c>
      <c r="BG564">
        <f ca="1">IFERROR(IF(0=LEN(ReferenceData!$BG$564),"",ReferenceData!$BG$564),"")</f>
        <v>18.080707839999999</v>
      </c>
      <c r="BH564">
        <f ca="1">IFERROR(IF(0=LEN(ReferenceData!$BH$564),"",ReferenceData!$BH$564),"")</f>
        <v>16.452932069999999</v>
      </c>
      <c r="BI564">
        <f ca="1">IFERROR(IF(0=LEN(ReferenceData!$BI$564),"",ReferenceData!$BI$564),"")</f>
        <v>19.652936180000001</v>
      </c>
      <c r="BJ564">
        <f ca="1">IFERROR(IF(0=LEN(ReferenceData!$BJ$564),"",ReferenceData!$BJ$564),"")</f>
        <v>19.162803700000001</v>
      </c>
      <c r="BK564" t="str">
        <f ca="1">IFERROR(IF(0=LEN(ReferenceData!$BK$564),"",ReferenceData!$BK$564),"")</f>
        <v/>
      </c>
      <c r="BL564" t="str">
        <f ca="1">IFERROR(IF(0=LEN(ReferenceData!$BL$564),"",ReferenceData!$BL$564),"")</f>
        <v/>
      </c>
      <c r="BM564" t="str">
        <f ca="1">IFERROR(IF(0=LEN(ReferenceData!$BM$564),"",ReferenceData!$BM$564),"")</f>
        <v/>
      </c>
    </row>
    <row r="565" spans="1:65" x14ac:dyDescent="0.25">
      <c r="A565" t="str">
        <f>IFERROR(IF(0=LEN(ReferenceData!$A$565),"",ReferenceData!$A$565),"")</f>
        <v xml:space="preserve">    Peugeot SA</v>
      </c>
      <c r="B565" t="str">
        <f>IFERROR(IF(0=LEN(ReferenceData!$B$565),"",ReferenceData!$B$565),"")</f>
        <v>UG FP Equity</v>
      </c>
      <c r="C565" t="str">
        <f>IFERROR(IF(0=LEN(ReferenceData!$C$565),"",ReferenceData!$C$565),"")</f>
        <v>RX076</v>
      </c>
      <c r="D565" t="str">
        <f>IFERROR(IF(0=LEN(ReferenceData!$D$565),"",ReferenceData!$D$565),"")</f>
        <v>EBIT_YIELD</v>
      </c>
      <c r="E565" t="str">
        <f>IFERROR(IF(0=LEN(ReferenceData!$E$565),"",ReferenceData!$E$565),"")</f>
        <v>Dynamic</v>
      </c>
      <c r="F565" t="str">
        <f ca="1">IFERROR(IF(0=LEN(ReferenceData!$F$565),"",ReferenceData!$F$565),"")</f>
        <v/>
      </c>
      <c r="G565" t="str">
        <f ca="1">IFERROR(IF(0=LEN(ReferenceData!$G$565),"",ReferenceData!$G$565),"")</f>
        <v/>
      </c>
      <c r="H565" t="str">
        <f ca="1">IFERROR(IF(0=LEN(ReferenceData!$H$565),"",ReferenceData!$H$565),"")</f>
        <v/>
      </c>
      <c r="I565" t="str">
        <f ca="1">IFERROR(IF(0=LEN(ReferenceData!$I$565),"",ReferenceData!$I$565),"")</f>
        <v/>
      </c>
      <c r="J565" t="str">
        <f ca="1">IFERROR(IF(0=LEN(ReferenceData!$J$565),"",ReferenceData!$J$565),"")</f>
        <v/>
      </c>
      <c r="K565" t="str">
        <f ca="1">IFERROR(IF(0=LEN(ReferenceData!$K$565),"",ReferenceData!$K$565),"")</f>
        <v/>
      </c>
      <c r="L565" t="str">
        <f ca="1">IFERROR(IF(0=LEN(ReferenceData!$L$565),"",ReferenceData!$L$565),"")</f>
        <v/>
      </c>
      <c r="M565" t="str">
        <f ca="1">IFERROR(IF(0=LEN(ReferenceData!$M$565),"",ReferenceData!$M$565),"")</f>
        <v/>
      </c>
      <c r="N565" t="str">
        <f ca="1">IFERROR(IF(0=LEN(ReferenceData!$N$565),"",ReferenceData!$N$565),"")</f>
        <v/>
      </c>
      <c r="O565" t="str">
        <f ca="1">IFERROR(IF(0=LEN(ReferenceData!$O$565),"",ReferenceData!$O$565),"")</f>
        <v/>
      </c>
      <c r="P565" t="str">
        <f ca="1">IFERROR(IF(0=LEN(ReferenceData!$P$565),"",ReferenceData!$P$565),"")</f>
        <v/>
      </c>
      <c r="Q565" t="str">
        <f ca="1">IFERROR(IF(0=LEN(ReferenceData!$Q$565),"",ReferenceData!$Q$565),"")</f>
        <v/>
      </c>
      <c r="R565" t="str">
        <f ca="1">IFERROR(IF(0=LEN(ReferenceData!$R$565),"",ReferenceData!$R$565),"")</f>
        <v/>
      </c>
      <c r="S565" t="str">
        <f ca="1">IFERROR(IF(0=LEN(ReferenceData!$S$565),"",ReferenceData!$S$565),"")</f>
        <v/>
      </c>
      <c r="T565" t="str">
        <f ca="1">IFERROR(IF(0=LEN(ReferenceData!$T$565),"",ReferenceData!$T$565),"")</f>
        <v/>
      </c>
      <c r="U565" t="str">
        <f ca="1">IFERROR(IF(0=LEN(ReferenceData!$U$565),"",ReferenceData!$U$565),"")</f>
        <v/>
      </c>
      <c r="V565" t="str">
        <f ca="1">IFERROR(IF(0=LEN(ReferenceData!$V$565),"",ReferenceData!$V$565),"")</f>
        <v/>
      </c>
      <c r="W565" t="str">
        <f ca="1">IFERROR(IF(0=LEN(ReferenceData!$W$565),"",ReferenceData!$W$565),"")</f>
        <v/>
      </c>
      <c r="X565" t="str">
        <f ca="1">IFERROR(IF(0=LEN(ReferenceData!$X$565),"",ReferenceData!$X$565),"")</f>
        <v/>
      </c>
      <c r="Y565" t="str">
        <f ca="1">IFERROR(IF(0=LEN(ReferenceData!$Y$565),"",ReferenceData!$Y$565),"")</f>
        <v/>
      </c>
      <c r="Z565" t="str">
        <f ca="1">IFERROR(IF(0=LEN(ReferenceData!$Z$565),"",ReferenceData!$Z$565),"")</f>
        <v/>
      </c>
      <c r="AA565" t="str">
        <f ca="1">IFERROR(IF(0=LEN(ReferenceData!$AA$565),"",ReferenceData!$AA$565),"")</f>
        <v/>
      </c>
      <c r="AB565" t="str">
        <f ca="1">IFERROR(IF(0=LEN(ReferenceData!$AB$565),"",ReferenceData!$AB$565),"")</f>
        <v/>
      </c>
      <c r="AC565" t="str">
        <f ca="1">IFERROR(IF(0=LEN(ReferenceData!$AC$565),"",ReferenceData!$AC$565),"")</f>
        <v/>
      </c>
      <c r="AD565" t="str">
        <f ca="1">IFERROR(IF(0=LEN(ReferenceData!$AD$565),"",ReferenceData!$AD$565),"")</f>
        <v/>
      </c>
      <c r="AE565" t="str">
        <f ca="1">IFERROR(IF(0=LEN(ReferenceData!$AE$565),"",ReferenceData!$AE$565),"")</f>
        <v/>
      </c>
      <c r="AF565" t="str">
        <f ca="1">IFERROR(IF(0=LEN(ReferenceData!$AF$565),"",ReferenceData!$AF$565),"")</f>
        <v/>
      </c>
      <c r="AG565" t="str">
        <f ca="1">IFERROR(IF(0=LEN(ReferenceData!$AG$565),"",ReferenceData!$AG$565),"")</f>
        <v/>
      </c>
      <c r="AH565" t="str">
        <f ca="1">IFERROR(IF(0=LEN(ReferenceData!$AH$565),"",ReferenceData!$AH$565),"")</f>
        <v/>
      </c>
      <c r="AI565" t="str">
        <f ca="1">IFERROR(IF(0=LEN(ReferenceData!$AI$565),"",ReferenceData!$AI$565),"")</f>
        <v/>
      </c>
      <c r="AJ565" t="str">
        <f ca="1">IFERROR(IF(0=LEN(ReferenceData!$AJ$565),"",ReferenceData!$AJ$565),"")</f>
        <v/>
      </c>
      <c r="AK565" t="str">
        <f ca="1">IFERROR(IF(0=LEN(ReferenceData!$AK$565),"",ReferenceData!$AK$565),"")</f>
        <v/>
      </c>
      <c r="AL565" t="str">
        <f ca="1">IFERROR(IF(0=LEN(ReferenceData!$AL$565),"",ReferenceData!$AL$565),"")</f>
        <v/>
      </c>
      <c r="AM565" t="str">
        <f ca="1">IFERROR(IF(0=LEN(ReferenceData!$AM$565),"",ReferenceData!$AM$565),"")</f>
        <v/>
      </c>
      <c r="AN565" t="str">
        <f ca="1">IFERROR(IF(0=LEN(ReferenceData!$AN$565),"",ReferenceData!$AN$565),"")</f>
        <v/>
      </c>
      <c r="AO565" t="str">
        <f ca="1">IFERROR(IF(0=LEN(ReferenceData!$AO$565),"",ReferenceData!$AO$565),"")</f>
        <v/>
      </c>
      <c r="AP565" t="str">
        <f ca="1">IFERROR(IF(0=LEN(ReferenceData!$AP$565),"",ReferenceData!$AP$565),"")</f>
        <v/>
      </c>
      <c r="AQ565" t="str">
        <f ca="1">IFERROR(IF(0=LEN(ReferenceData!$AQ$565),"",ReferenceData!$AQ$565),"")</f>
        <v/>
      </c>
      <c r="AR565" t="str">
        <f ca="1">IFERROR(IF(0=LEN(ReferenceData!$AR$565),"",ReferenceData!$AR$565),"")</f>
        <v/>
      </c>
      <c r="AS565" t="str">
        <f ca="1">IFERROR(IF(0=LEN(ReferenceData!$AS$565),"",ReferenceData!$AS$565),"")</f>
        <v/>
      </c>
      <c r="AT565" t="str">
        <f ca="1">IFERROR(IF(0=LEN(ReferenceData!$AT$565),"",ReferenceData!$AT$565),"")</f>
        <v/>
      </c>
      <c r="AU565" t="str">
        <f ca="1">IFERROR(IF(0=LEN(ReferenceData!$AU$565),"",ReferenceData!$AU$565),"")</f>
        <v/>
      </c>
      <c r="AV565" t="str">
        <f ca="1">IFERROR(IF(0=LEN(ReferenceData!$AV$565),"",ReferenceData!$AV$565),"")</f>
        <v/>
      </c>
      <c r="AW565" t="str">
        <f ca="1">IFERROR(IF(0=LEN(ReferenceData!$AW$565),"",ReferenceData!$AW$565),"")</f>
        <v/>
      </c>
      <c r="AX565" t="str">
        <f ca="1">IFERROR(IF(0=LEN(ReferenceData!$AX$565),"",ReferenceData!$AX$565),"")</f>
        <v/>
      </c>
      <c r="AY565" t="str">
        <f ca="1">IFERROR(IF(0=LEN(ReferenceData!$AY$565),"",ReferenceData!$AY$565),"")</f>
        <v/>
      </c>
      <c r="AZ565" t="str">
        <f ca="1">IFERROR(IF(0=LEN(ReferenceData!$AZ$565),"",ReferenceData!$AZ$565),"")</f>
        <v/>
      </c>
      <c r="BA565" t="str">
        <f ca="1">IFERROR(IF(0=LEN(ReferenceData!$BA$565),"",ReferenceData!$BA$565),"")</f>
        <v/>
      </c>
      <c r="BB565" t="str">
        <f ca="1">IFERROR(IF(0=LEN(ReferenceData!$BB$565),"",ReferenceData!$BB$565),"")</f>
        <v/>
      </c>
      <c r="BC565" t="str">
        <f ca="1">IFERROR(IF(0=LEN(ReferenceData!$BC$565),"",ReferenceData!$BC$565),"")</f>
        <v/>
      </c>
      <c r="BD565" t="str">
        <f ca="1">IFERROR(IF(0=LEN(ReferenceData!$BD$565),"",ReferenceData!$BD$565),"")</f>
        <v/>
      </c>
      <c r="BE565" t="str">
        <f ca="1">IFERROR(IF(0=LEN(ReferenceData!$BE$565),"",ReferenceData!$BE$565),"")</f>
        <v/>
      </c>
      <c r="BF565" t="str">
        <f ca="1">IFERROR(IF(0=LEN(ReferenceData!$BF$565),"",ReferenceData!$BF$565),"")</f>
        <v/>
      </c>
      <c r="BG565" t="str">
        <f ca="1">IFERROR(IF(0=LEN(ReferenceData!$BG$565),"",ReferenceData!$BG$565),"")</f>
        <v/>
      </c>
      <c r="BH565" t="str">
        <f ca="1">IFERROR(IF(0=LEN(ReferenceData!$BH$565),"",ReferenceData!$BH$565),"")</f>
        <v/>
      </c>
      <c r="BI565" t="str">
        <f ca="1">IFERROR(IF(0=LEN(ReferenceData!$BI$565),"",ReferenceData!$BI$565),"")</f>
        <v/>
      </c>
      <c r="BJ565" t="str">
        <f ca="1">IFERROR(IF(0=LEN(ReferenceData!$BJ$565),"",ReferenceData!$BJ$565),"")</f>
        <v/>
      </c>
      <c r="BK565" t="str">
        <f ca="1">IFERROR(IF(0=LEN(ReferenceData!$BK$565),"",ReferenceData!$BK$565),"")</f>
        <v/>
      </c>
      <c r="BL565" t="str">
        <f ca="1">IFERROR(IF(0=LEN(ReferenceData!$BL$565),"",ReferenceData!$BL$565),"")</f>
        <v/>
      </c>
      <c r="BM565" t="str">
        <f ca="1">IFERROR(IF(0=LEN(ReferenceData!$BM$565),"",ReferenceData!$BM$565),"")</f>
        <v/>
      </c>
    </row>
    <row r="566" spans="1:65" x14ac:dyDescent="0.25">
      <c r="A566" t="str">
        <f>IFERROR(IF(0=LEN(ReferenceData!$A$566),"",ReferenceData!$A$566),"")</f>
        <v xml:space="preserve">    Renault SA</v>
      </c>
      <c r="B566" t="str">
        <f>IFERROR(IF(0=LEN(ReferenceData!$B$566),"",ReferenceData!$B$566),"")</f>
        <v>RNO FP Equity</v>
      </c>
      <c r="C566" t="str">
        <f>IFERROR(IF(0=LEN(ReferenceData!$C$566),"",ReferenceData!$C$566),"")</f>
        <v>RX076</v>
      </c>
      <c r="D566" t="str">
        <f>IFERROR(IF(0=LEN(ReferenceData!$D$566),"",ReferenceData!$D$566),"")</f>
        <v>EBIT_YIELD</v>
      </c>
      <c r="E566" t="str">
        <f>IFERROR(IF(0=LEN(ReferenceData!$E$566),"",ReferenceData!$E$566),"")</f>
        <v>Dynamic</v>
      </c>
      <c r="F566" t="str">
        <f ca="1">IFERROR(IF(0=LEN(ReferenceData!$F$566),"",ReferenceData!$F$566),"")</f>
        <v/>
      </c>
      <c r="G566" t="str">
        <f ca="1">IFERROR(IF(0=LEN(ReferenceData!$G$566),"",ReferenceData!$G$566),"")</f>
        <v/>
      </c>
      <c r="H566" t="str">
        <f ca="1">IFERROR(IF(0=LEN(ReferenceData!$H$566),"",ReferenceData!$H$566),"")</f>
        <v/>
      </c>
      <c r="I566" t="str">
        <f ca="1">IFERROR(IF(0=LEN(ReferenceData!$I$566),"",ReferenceData!$I$566),"")</f>
        <v/>
      </c>
      <c r="J566" t="str">
        <f ca="1">IFERROR(IF(0=LEN(ReferenceData!$J$566),"",ReferenceData!$J$566),"")</f>
        <v/>
      </c>
      <c r="K566" t="str">
        <f ca="1">IFERROR(IF(0=LEN(ReferenceData!$K$566),"",ReferenceData!$K$566),"")</f>
        <v/>
      </c>
      <c r="L566" t="str">
        <f ca="1">IFERROR(IF(0=LEN(ReferenceData!$L$566),"",ReferenceData!$L$566),"")</f>
        <v/>
      </c>
      <c r="M566" t="str">
        <f ca="1">IFERROR(IF(0=LEN(ReferenceData!$M$566),"",ReferenceData!$M$566),"")</f>
        <v/>
      </c>
      <c r="N566" t="str">
        <f ca="1">IFERROR(IF(0=LEN(ReferenceData!$N$566),"",ReferenceData!$N$566),"")</f>
        <v/>
      </c>
      <c r="O566" t="str">
        <f ca="1">IFERROR(IF(0=LEN(ReferenceData!$O$566),"",ReferenceData!$O$566),"")</f>
        <v/>
      </c>
      <c r="P566" t="str">
        <f ca="1">IFERROR(IF(0=LEN(ReferenceData!$P$566),"",ReferenceData!$P$566),"")</f>
        <v/>
      </c>
      <c r="Q566" t="str">
        <f ca="1">IFERROR(IF(0=LEN(ReferenceData!$Q$566),"",ReferenceData!$Q$566),"")</f>
        <v/>
      </c>
      <c r="R566" t="str">
        <f ca="1">IFERROR(IF(0=LEN(ReferenceData!$R$566),"",ReferenceData!$R$566),"")</f>
        <v/>
      </c>
      <c r="S566" t="str">
        <f ca="1">IFERROR(IF(0=LEN(ReferenceData!$S$566),"",ReferenceData!$S$566),"")</f>
        <v/>
      </c>
      <c r="T566" t="str">
        <f ca="1">IFERROR(IF(0=LEN(ReferenceData!$T$566),"",ReferenceData!$T$566),"")</f>
        <v/>
      </c>
      <c r="U566" t="str">
        <f ca="1">IFERROR(IF(0=LEN(ReferenceData!$U$566),"",ReferenceData!$U$566),"")</f>
        <v/>
      </c>
      <c r="V566" t="str">
        <f ca="1">IFERROR(IF(0=LEN(ReferenceData!$V$566),"",ReferenceData!$V$566),"")</f>
        <v/>
      </c>
      <c r="W566" t="str">
        <f ca="1">IFERROR(IF(0=LEN(ReferenceData!$W$566),"",ReferenceData!$W$566),"")</f>
        <v/>
      </c>
      <c r="X566" t="str">
        <f ca="1">IFERROR(IF(0=LEN(ReferenceData!$X$566),"",ReferenceData!$X$566),"")</f>
        <v/>
      </c>
      <c r="Y566" t="str">
        <f ca="1">IFERROR(IF(0=LEN(ReferenceData!$Y$566),"",ReferenceData!$Y$566),"")</f>
        <v/>
      </c>
      <c r="Z566" t="str">
        <f ca="1">IFERROR(IF(0=LEN(ReferenceData!$Z$566),"",ReferenceData!$Z$566),"")</f>
        <v/>
      </c>
      <c r="AA566" t="str">
        <f ca="1">IFERROR(IF(0=LEN(ReferenceData!$AA$566),"",ReferenceData!$AA$566),"")</f>
        <v/>
      </c>
      <c r="AB566" t="str">
        <f ca="1">IFERROR(IF(0=LEN(ReferenceData!$AB$566),"",ReferenceData!$AB$566),"")</f>
        <v/>
      </c>
      <c r="AC566" t="str">
        <f ca="1">IFERROR(IF(0=LEN(ReferenceData!$AC$566),"",ReferenceData!$AC$566),"")</f>
        <v/>
      </c>
      <c r="AD566" t="str">
        <f ca="1">IFERROR(IF(0=LEN(ReferenceData!$AD$566),"",ReferenceData!$AD$566),"")</f>
        <v/>
      </c>
      <c r="AE566" t="str">
        <f ca="1">IFERROR(IF(0=LEN(ReferenceData!$AE$566),"",ReferenceData!$AE$566),"")</f>
        <v/>
      </c>
      <c r="AF566" t="str">
        <f ca="1">IFERROR(IF(0=LEN(ReferenceData!$AF$566),"",ReferenceData!$AF$566),"")</f>
        <v/>
      </c>
      <c r="AG566" t="str">
        <f ca="1">IFERROR(IF(0=LEN(ReferenceData!$AG$566),"",ReferenceData!$AG$566),"")</f>
        <v/>
      </c>
      <c r="AH566" t="str">
        <f ca="1">IFERROR(IF(0=LEN(ReferenceData!$AH$566),"",ReferenceData!$AH$566),"")</f>
        <v/>
      </c>
      <c r="AI566" t="str">
        <f ca="1">IFERROR(IF(0=LEN(ReferenceData!$AI$566),"",ReferenceData!$AI$566),"")</f>
        <v/>
      </c>
      <c r="AJ566" t="str">
        <f ca="1">IFERROR(IF(0=LEN(ReferenceData!$AJ$566),"",ReferenceData!$AJ$566),"")</f>
        <v/>
      </c>
      <c r="AK566" t="str">
        <f ca="1">IFERROR(IF(0=LEN(ReferenceData!$AK$566),"",ReferenceData!$AK$566),"")</f>
        <v/>
      </c>
      <c r="AL566" t="str">
        <f ca="1">IFERROR(IF(0=LEN(ReferenceData!$AL$566),"",ReferenceData!$AL$566),"")</f>
        <v/>
      </c>
      <c r="AM566" t="str">
        <f ca="1">IFERROR(IF(0=LEN(ReferenceData!$AM$566),"",ReferenceData!$AM$566),"")</f>
        <v/>
      </c>
      <c r="AN566" t="str">
        <f ca="1">IFERROR(IF(0=LEN(ReferenceData!$AN$566),"",ReferenceData!$AN$566),"")</f>
        <v/>
      </c>
      <c r="AO566" t="str">
        <f ca="1">IFERROR(IF(0=LEN(ReferenceData!$AO$566),"",ReferenceData!$AO$566),"")</f>
        <v/>
      </c>
      <c r="AP566" t="str">
        <f ca="1">IFERROR(IF(0=LEN(ReferenceData!$AP$566),"",ReferenceData!$AP$566),"")</f>
        <v/>
      </c>
      <c r="AQ566" t="str">
        <f ca="1">IFERROR(IF(0=LEN(ReferenceData!$AQ$566),"",ReferenceData!$AQ$566),"")</f>
        <v/>
      </c>
      <c r="AR566" t="str">
        <f ca="1">IFERROR(IF(0=LEN(ReferenceData!$AR$566),"",ReferenceData!$AR$566),"")</f>
        <v/>
      </c>
      <c r="AS566" t="str">
        <f ca="1">IFERROR(IF(0=LEN(ReferenceData!$AS$566),"",ReferenceData!$AS$566),"")</f>
        <v/>
      </c>
      <c r="AT566" t="str">
        <f ca="1">IFERROR(IF(0=LEN(ReferenceData!$AT$566),"",ReferenceData!$AT$566),"")</f>
        <v/>
      </c>
      <c r="AU566" t="str">
        <f ca="1">IFERROR(IF(0=LEN(ReferenceData!$AU$566),"",ReferenceData!$AU$566),"")</f>
        <v/>
      </c>
      <c r="AV566" t="str">
        <f ca="1">IFERROR(IF(0=LEN(ReferenceData!$AV$566),"",ReferenceData!$AV$566),"")</f>
        <v/>
      </c>
      <c r="AW566" t="str">
        <f ca="1">IFERROR(IF(0=LEN(ReferenceData!$AW$566),"",ReferenceData!$AW$566),"")</f>
        <v/>
      </c>
      <c r="AX566" t="str">
        <f ca="1">IFERROR(IF(0=LEN(ReferenceData!$AX$566),"",ReferenceData!$AX$566),"")</f>
        <v/>
      </c>
      <c r="AY566" t="str">
        <f ca="1">IFERROR(IF(0=LEN(ReferenceData!$AY$566),"",ReferenceData!$AY$566),"")</f>
        <v/>
      </c>
      <c r="AZ566" t="str">
        <f ca="1">IFERROR(IF(0=LEN(ReferenceData!$AZ$566),"",ReferenceData!$AZ$566),"")</f>
        <v/>
      </c>
      <c r="BA566" t="str">
        <f ca="1">IFERROR(IF(0=LEN(ReferenceData!$BA$566),"",ReferenceData!$BA$566),"")</f>
        <v/>
      </c>
      <c r="BB566" t="str">
        <f ca="1">IFERROR(IF(0=LEN(ReferenceData!$BB$566),"",ReferenceData!$BB$566),"")</f>
        <v/>
      </c>
      <c r="BC566" t="str">
        <f ca="1">IFERROR(IF(0=LEN(ReferenceData!$BC$566),"",ReferenceData!$BC$566),"")</f>
        <v/>
      </c>
      <c r="BD566" t="str">
        <f ca="1">IFERROR(IF(0=LEN(ReferenceData!$BD$566),"",ReferenceData!$BD$566),"")</f>
        <v/>
      </c>
      <c r="BE566" t="str">
        <f ca="1">IFERROR(IF(0=LEN(ReferenceData!$BE$566),"",ReferenceData!$BE$566),"")</f>
        <v/>
      </c>
      <c r="BF566" t="str">
        <f ca="1">IFERROR(IF(0=LEN(ReferenceData!$BF$566),"",ReferenceData!$BF$566),"")</f>
        <v/>
      </c>
      <c r="BG566" t="str">
        <f ca="1">IFERROR(IF(0=LEN(ReferenceData!$BG$566),"",ReferenceData!$BG$566),"")</f>
        <v/>
      </c>
      <c r="BH566" t="str">
        <f ca="1">IFERROR(IF(0=LEN(ReferenceData!$BH$566),"",ReferenceData!$BH$566),"")</f>
        <v/>
      </c>
      <c r="BI566" t="str">
        <f ca="1">IFERROR(IF(0=LEN(ReferenceData!$BI$566),"",ReferenceData!$BI$566),"")</f>
        <v/>
      </c>
      <c r="BJ566" t="str">
        <f ca="1">IFERROR(IF(0=LEN(ReferenceData!$BJ$566),"",ReferenceData!$BJ$566),"")</f>
        <v/>
      </c>
      <c r="BK566" t="str">
        <f ca="1">IFERROR(IF(0=LEN(ReferenceData!$BK$566),"",ReferenceData!$BK$566),"")</f>
        <v/>
      </c>
      <c r="BL566" t="str">
        <f ca="1">IFERROR(IF(0=LEN(ReferenceData!$BL$566),"",ReferenceData!$BL$566),"")</f>
        <v/>
      </c>
      <c r="BM566" t="str">
        <f ca="1">IFERROR(IF(0=LEN(ReferenceData!$BM$566),"",ReferenceData!$BM$566),"")</f>
        <v/>
      </c>
    </row>
    <row r="567" spans="1:65" x14ac:dyDescent="0.25">
      <c r="A567" t="str">
        <f>IFERROR(IF(0=LEN(ReferenceData!$A$567),"",ReferenceData!$A$567),"")</f>
        <v xml:space="preserve">    SAIC Motor Corp Ltd</v>
      </c>
      <c r="B567" t="str">
        <f>IFERROR(IF(0=LEN(ReferenceData!$B$567),"",ReferenceData!$B$567),"")</f>
        <v>600104 CH Equity</v>
      </c>
      <c r="C567" t="str">
        <f>IFERROR(IF(0=LEN(ReferenceData!$C$567),"",ReferenceData!$C$567),"")</f>
        <v>RX076</v>
      </c>
      <c r="D567" t="str">
        <f>IFERROR(IF(0=LEN(ReferenceData!$D$567),"",ReferenceData!$D$567),"")</f>
        <v>EBIT_YIELD</v>
      </c>
      <c r="E567" t="str">
        <f>IFERROR(IF(0=LEN(ReferenceData!$E$567),"",ReferenceData!$E$567),"")</f>
        <v>Dynamic</v>
      </c>
      <c r="F567">
        <f ca="1">IFERROR(IF(0=LEN(ReferenceData!$F$567),"",ReferenceData!$F$567),"")</f>
        <v>8.6440304720000007</v>
      </c>
      <c r="G567">
        <f ca="1">IFERROR(IF(0=LEN(ReferenceData!$G$567),"",ReferenceData!$G$567),"")</f>
        <v>9.2079829659999994</v>
      </c>
      <c r="H567">
        <f ca="1">IFERROR(IF(0=LEN(ReferenceData!$H$567),"",ReferenceData!$H$567),"")</f>
        <v>7.3791137530000004</v>
      </c>
      <c r="I567">
        <f ca="1">IFERROR(IF(0=LEN(ReferenceData!$I$567),"",ReferenceData!$I$567),"")</f>
        <v>6.8234766589999998</v>
      </c>
      <c r="J567">
        <f ca="1">IFERROR(IF(0=LEN(ReferenceData!$J$567),"",ReferenceData!$J$567),"")</f>
        <v>6.4764164559999999</v>
      </c>
      <c r="K567">
        <f ca="1">IFERROR(IF(0=LEN(ReferenceData!$K$567),"",ReferenceData!$K$567),"")</f>
        <v>6.2988358580000003</v>
      </c>
      <c r="L567">
        <f ca="1">IFERROR(IF(0=LEN(ReferenceData!$L$567),"",ReferenceData!$L$567),"")</f>
        <v>5.4557427980000002</v>
      </c>
      <c r="M567">
        <f ca="1">IFERROR(IF(0=LEN(ReferenceData!$M$567),"",ReferenceData!$M$567),"")</f>
        <v>5.278973594</v>
      </c>
      <c r="N567">
        <f ca="1">IFERROR(IF(0=LEN(ReferenceData!$N$567),"",ReferenceData!$N$567),"")</f>
        <v>6.1486757580000004</v>
      </c>
      <c r="O567">
        <f ca="1">IFERROR(IF(0=LEN(ReferenceData!$O$567),"",ReferenceData!$O$567),"")</f>
        <v>6.8304048000000002</v>
      </c>
      <c r="P567">
        <f ca="1">IFERROR(IF(0=LEN(ReferenceData!$P$567),"",ReferenceData!$P$567),"")</f>
        <v>6.2730610880000004</v>
      </c>
      <c r="Q567">
        <f ca="1">IFERROR(IF(0=LEN(ReferenceData!$Q$567),"",ReferenceData!$Q$567),"")</f>
        <v>6.6181058210000003</v>
      </c>
      <c r="R567">
        <f ca="1">IFERROR(IF(0=LEN(ReferenceData!$R$567),"",ReferenceData!$R$567),"")</f>
        <v>6.6829992819999999</v>
      </c>
      <c r="S567">
        <f ca="1">IFERROR(IF(0=LEN(ReferenceData!$S$567),"",ReferenceData!$S$567),"")</f>
        <v>5.8462122699999997</v>
      </c>
      <c r="T567">
        <f ca="1">IFERROR(IF(0=LEN(ReferenceData!$T$567),"",ReferenceData!$T$567),"")</f>
        <v>7.3052167649999999</v>
      </c>
      <c r="U567">
        <f ca="1">IFERROR(IF(0=LEN(ReferenceData!$U$567),"",ReferenceData!$U$567),"")</f>
        <v>4.8937721730000003</v>
      </c>
      <c r="V567">
        <f ca="1">IFERROR(IF(0=LEN(ReferenceData!$V$567),"",ReferenceData!$V$567),"")</f>
        <v>4.202962243</v>
      </c>
      <c r="W567">
        <f ca="1">IFERROR(IF(0=LEN(ReferenceData!$W$567),"",ReferenceData!$W$567),"")</f>
        <v>5.209752387</v>
      </c>
      <c r="X567">
        <f ca="1">IFERROR(IF(0=LEN(ReferenceData!$X$567),"",ReferenceData!$X$567),"")</f>
        <v>8.0236053770000009</v>
      </c>
      <c r="Y567">
        <f ca="1">IFERROR(IF(0=LEN(ReferenceData!$Y$567),"",ReferenceData!$Y$567),"")</f>
        <v>9.5190740250000001</v>
      </c>
      <c r="Z567">
        <f ca="1">IFERROR(IF(0=LEN(ReferenceData!$Z$567),"",ReferenceData!$Z$567),"")</f>
        <v>10.20327749</v>
      </c>
      <c r="AA567">
        <f ca="1">IFERROR(IF(0=LEN(ReferenceData!$AA$567),"",ReferenceData!$AA$567),"")</f>
        <v>9.2774032389999999</v>
      </c>
      <c r="AB567">
        <f ca="1">IFERROR(IF(0=LEN(ReferenceData!$AB$567),"",ReferenceData!$AB$567),"")</f>
        <v>9.2244461300000005</v>
      </c>
      <c r="AC567">
        <f ca="1">IFERROR(IF(0=LEN(ReferenceData!$AC$567),"",ReferenceData!$AC$567),"")</f>
        <v>10.752252370000001</v>
      </c>
      <c r="AD567">
        <f ca="1">IFERROR(IF(0=LEN(ReferenceData!$AD$567),"",ReferenceData!$AD$567),"")</f>
        <v>12.19089106</v>
      </c>
      <c r="AE567">
        <f ca="1">IFERROR(IF(0=LEN(ReferenceData!$AE$567),"",ReferenceData!$AE$567),"")</f>
        <v>12.22859549</v>
      </c>
      <c r="AF567">
        <f ca="1">IFERROR(IF(0=LEN(ReferenceData!$AF$567),"",ReferenceData!$AF$567),"")</f>
        <v>20.299584979999999</v>
      </c>
      <c r="AG567">
        <f ca="1">IFERROR(IF(0=LEN(ReferenceData!$AG$567),"",ReferenceData!$AG$567),"")</f>
        <v>21.269574299999999</v>
      </c>
      <c r="AH567">
        <f ca="1">IFERROR(IF(0=LEN(ReferenceData!$AH$567),"",ReferenceData!$AH$567),"")</f>
        <v>21.75748424</v>
      </c>
      <c r="AI567">
        <f ca="1">IFERROR(IF(0=LEN(ReferenceData!$AI$567),"",ReferenceData!$AI$567),"")</f>
        <v>24.180780339999998</v>
      </c>
      <c r="AJ567">
        <f ca="1">IFERROR(IF(0=LEN(ReferenceData!$AJ$567),"",ReferenceData!$AJ$567),"")</f>
        <v>20.925296379999999</v>
      </c>
      <c r="AK567">
        <f ca="1">IFERROR(IF(0=LEN(ReferenceData!$AK$567),"",ReferenceData!$AK$567),"")</f>
        <v>17.570633430000001</v>
      </c>
      <c r="AL567">
        <f ca="1">IFERROR(IF(0=LEN(ReferenceData!$AL$567),"",ReferenceData!$AL$567),"")</f>
        <v>14.43307549</v>
      </c>
      <c r="AM567">
        <f ca="1">IFERROR(IF(0=LEN(ReferenceData!$AM$567),"",ReferenceData!$AM$567),"")</f>
        <v>18.139662319999999</v>
      </c>
      <c r="AN567">
        <f ca="1">IFERROR(IF(0=LEN(ReferenceData!$AN$567),"",ReferenceData!$AN$567),"")</f>
        <v>10.20399999</v>
      </c>
      <c r="AO567">
        <f ca="1">IFERROR(IF(0=LEN(ReferenceData!$AO$567),"",ReferenceData!$AO$567),"")</f>
        <v>9.0736852349999992</v>
      </c>
      <c r="AP567">
        <f ca="1">IFERROR(IF(0=LEN(ReferenceData!$AP$567),"",ReferenceData!$AP$567),"")</f>
        <v>2.96336472</v>
      </c>
      <c r="AQ567">
        <f ca="1">IFERROR(IF(0=LEN(ReferenceData!$AQ$567),"",ReferenceData!$AQ$567),"")</f>
        <v>0.38265131400000002</v>
      </c>
      <c r="AR567">
        <f ca="1">IFERROR(IF(0=LEN(ReferenceData!$AR$567),"",ReferenceData!$AR$567),"")</f>
        <v>-0.19522683399999999</v>
      </c>
      <c r="AS567">
        <f ca="1">IFERROR(IF(0=LEN(ReferenceData!$AS$567),"",ReferenceData!$AS$567),"")</f>
        <v>-1.2549652339999999</v>
      </c>
      <c r="AT567">
        <f ca="1">IFERROR(IF(0=LEN(ReferenceData!$AT$567),"",ReferenceData!$AT$567),"")</f>
        <v>-1.781160246</v>
      </c>
      <c r="AU567">
        <f ca="1">IFERROR(IF(0=LEN(ReferenceData!$AU$567),"",ReferenceData!$AU$567),"")</f>
        <v>-3.753379786</v>
      </c>
      <c r="AV567">
        <f ca="1">IFERROR(IF(0=LEN(ReferenceData!$AV$567),"",ReferenceData!$AV$567),"")</f>
        <v>-2.3059547829999998</v>
      </c>
      <c r="AW567">
        <f ca="1">IFERROR(IF(0=LEN(ReferenceData!$AW$567),"",ReferenceData!$AW$567),"")</f>
        <v>-1.386788339</v>
      </c>
      <c r="AX567">
        <f ca="1">IFERROR(IF(0=LEN(ReferenceData!$AX$567),"",ReferenceData!$AX$567),"")</f>
        <v>-0.19857951500000001</v>
      </c>
      <c r="AY567">
        <f ca="1">IFERROR(IF(0=LEN(ReferenceData!$AY$567),"",ReferenceData!$AY$567),"")</f>
        <v>-8.2242398999999994E-2</v>
      </c>
      <c r="AZ567">
        <f ca="1">IFERROR(IF(0=LEN(ReferenceData!$AZ$567),"",ReferenceData!$AZ$567),"")</f>
        <v>0.17601803699999999</v>
      </c>
      <c r="BA567">
        <f ca="1">IFERROR(IF(0=LEN(ReferenceData!$BA$567),"",ReferenceData!$BA$567),"")</f>
        <v>0.16673676600000001</v>
      </c>
      <c r="BB567">
        <f ca="1">IFERROR(IF(0=LEN(ReferenceData!$BB$567),"",ReferenceData!$BB$567),"")</f>
        <v>-0.29177723700000002</v>
      </c>
      <c r="BC567">
        <f ca="1">IFERROR(IF(0=LEN(ReferenceData!$BC$567),"",ReferenceData!$BC$567),"")</f>
        <v>-0.42482462399999998</v>
      </c>
      <c r="BD567">
        <f ca="1">IFERROR(IF(0=LEN(ReferenceData!$BD$567),"",ReferenceData!$BD$567),"")</f>
        <v>-0.17315474</v>
      </c>
      <c r="BE567">
        <f ca="1">IFERROR(IF(0=LEN(ReferenceData!$BE$567),"",ReferenceData!$BE$567),"")</f>
        <v>0.39405777199999997</v>
      </c>
      <c r="BF567">
        <f ca="1">IFERROR(IF(0=LEN(ReferenceData!$BF$567),"",ReferenceData!$BF$567),"")</f>
        <v>1.0856067</v>
      </c>
      <c r="BG567">
        <f ca="1">IFERROR(IF(0=LEN(ReferenceData!$BG$567),"",ReferenceData!$BG$567),"")</f>
        <v>1.793144214</v>
      </c>
      <c r="BH567">
        <f ca="1">IFERROR(IF(0=LEN(ReferenceData!$BH$567),"",ReferenceData!$BH$567),"")</f>
        <v>1.9890181709999999</v>
      </c>
      <c r="BI567">
        <f ca="1">IFERROR(IF(0=LEN(ReferenceData!$BI$567),"",ReferenceData!$BI$567),"")</f>
        <v>2.3868218049999999</v>
      </c>
      <c r="BJ567">
        <f ca="1">IFERROR(IF(0=LEN(ReferenceData!$BJ$567),"",ReferenceData!$BJ$567),"")</f>
        <v>3.152356224</v>
      </c>
      <c r="BK567">
        <f ca="1">IFERROR(IF(0=LEN(ReferenceData!$BK$567),"",ReferenceData!$BK$567),"")</f>
        <v>3.5130014219999999</v>
      </c>
      <c r="BL567">
        <f ca="1">IFERROR(IF(0=LEN(ReferenceData!$BL$567),"",ReferenceData!$BL$567),"")</f>
        <v>1.789231891</v>
      </c>
      <c r="BM567">
        <f ca="1">IFERROR(IF(0=LEN(ReferenceData!$BM$567),"",ReferenceData!$BM$567),"")</f>
        <v>1.175522186</v>
      </c>
    </row>
    <row r="568" spans="1:65" x14ac:dyDescent="0.25">
      <c r="A568" t="str">
        <f>IFERROR(IF(0=LEN(ReferenceData!$A$568),"",ReferenceData!$A$568),"")</f>
        <v xml:space="preserve">    Sanyang Motor Co Ltd</v>
      </c>
      <c r="B568" t="str">
        <f>IFERROR(IF(0=LEN(ReferenceData!$B$568),"",ReferenceData!$B$568),"")</f>
        <v>2206 TT Equity</v>
      </c>
      <c r="C568" t="str">
        <f>IFERROR(IF(0=LEN(ReferenceData!$C$568),"",ReferenceData!$C$568),"")</f>
        <v>RX076</v>
      </c>
      <c r="D568" t="str">
        <f>IFERROR(IF(0=LEN(ReferenceData!$D$568),"",ReferenceData!$D$568),"")</f>
        <v>EBIT_YIELD</v>
      </c>
      <c r="E568" t="str">
        <f>IFERROR(IF(0=LEN(ReferenceData!$E$568),"",ReferenceData!$E$568),"")</f>
        <v>Dynamic</v>
      </c>
      <c r="F568">
        <f ca="1">IFERROR(IF(0=LEN(ReferenceData!$F$568),"",ReferenceData!$F$568),"")</f>
        <v>0.45244499300000002</v>
      </c>
      <c r="G568">
        <f ca="1">IFERROR(IF(0=LEN(ReferenceData!$G$568),"",ReferenceData!$G$568),"")</f>
        <v>0.45357610599999998</v>
      </c>
      <c r="H568">
        <f ca="1">IFERROR(IF(0=LEN(ReferenceData!$H$568),"",ReferenceData!$H$568),"")</f>
        <v>0.44251327400000001</v>
      </c>
      <c r="I568">
        <f ca="1">IFERROR(IF(0=LEN(ReferenceData!$I$568),"",ReferenceData!$I$568),"")</f>
        <v>1.23312686</v>
      </c>
      <c r="J568">
        <f ca="1">IFERROR(IF(0=LEN(ReferenceData!$J$568),"",ReferenceData!$J$568),"")</f>
        <v>2.6522849239999999</v>
      </c>
      <c r="K568">
        <f ca="1">IFERROR(IF(0=LEN(ReferenceData!$K$568),"",ReferenceData!$K$568),"")</f>
        <v>2.0430809179999998</v>
      </c>
      <c r="L568">
        <f ca="1">IFERROR(IF(0=LEN(ReferenceData!$L$568),"",ReferenceData!$L$568),"")</f>
        <v>4.3262949160000002</v>
      </c>
      <c r="M568">
        <f ca="1">IFERROR(IF(0=LEN(ReferenceData!$M$568),"",ReferenceData!$M$568),"")</f>
        <v>4.0214346010000002</v>
      </c>
      <c r="N568">
        <f ca="1">IFERROR(IF(0=LEN(ReferenceData!$N$568),"",ReferenceData!$N$568),"")</f>
        <v>3.3000771520000001</v>
      </c>
      <c r="O568">
        <f ca="1">IFERROR(IF(0=LEN(ReferenceData!$O$568),"",ReferenceData!$O$568),"")</f>
        <v>2.3337793329999998</v>
      </c>
      <c r="P568">
        <f ca="1">IFERROR(IF(0=LEN(ReferenceData!$P$568),"",ReferenceData!$P$568),"")</f>
        <v>-2.1236279339999999</v>
      </c>
      <c r="Q568">
        <f ca="1">IFERROR(IF(0=LEN(ReferenceData!$Q$568),"",ReferenceData!$Q$568),"")</f>
        <v>-1.874769803</v>
      </c>
      <c r="R568">
        <f ca="1">IFERROR(IF(0=LEN(ReferenceData!$R$568),"",ReferenceData!$R$568),"")</f>
        <v>-2.4748707740000002</v>
      </c>
      <c r="S568">
        <f ca="1">IFERROR(IF(0=LEN(ReferenceData!$S$568),"",ReferenceData!$S$568),"")</f>
        <v>-2.188216014</v>
      </c>
      <c r="T568">
        <f ca="1">IFERROR(IF(0=LEN(ReferenceData!$T$568),"",ReferenceData!$T$568),"")</f>
        <v>-0.49864583899999998</v>
      </c>
      <c r="U568">
        <f ca="1">IFERROR(IF(0=LEN(ReferenceData!$U$568),"",ReferenceData!$U$568),"")</f>
        <v>-2.105553054</v>
      </c>
      <c r="V568">
        <f ca="1">IFERROR(IF(0=LEN(ReferenceData!$V$568),"",ReferenceData!$V$568),"")</f>
        <v>-2.6908942279999999</v>
      </c>
      <c r="W568">
        <f ca="1">IFERROR(IF(0=LEN(ReferenceData!$W$568),"",ReferenceData!$W$568),"")</f>
        <v>-3.3518157020000001</v>
      </c>
      <c r="X568">
        <f ca="1">IFERROR(IF(0=LEN(ReferenceData!$X$568),"",ReferenceData!$X$568),"")</f>
        <v>-4.3418142829999997</v>
      </c>
      <c r="Y568">
        <f ca="1">IFERROR(IF(0=LEN(ReferenceData!$Y$568),"",ReferenceData!$Y$568),"")</f>
        <v>-4.0044901590000004</v>
      </c>
      <c r="Z568">
        <f ca="1">IFERROR(IF(0=LEN(ReferenceData!$Z$568),"",ReferenceData!$Z$568),"")</f>
        <v>-2.655579151</v>
      </c>
      <c r="AA568">
        <f ca="1">IFERROR(IF(0=LEN(ReferenceData!$AA$568),"",ReferenceData!$AA$568),"")</f>
        <v>-2.1955872589999998</v>
      </c>
      <c r="AB568">
        <f ca="1">IFERROR(IF(0=LEN(ReferenceData!$AB$568),"",ReferenceData!$AB$568),"")</f>
        <v>-1.29077248</v>
      </c>
      <c r="AC568">
        <f ca="1">IFERROR(IF(0=LEN(ReferenceData!$AC$568),"",ReferenceData!$AC$568),"")</f>
        <v>-0.99865063099999996</v>
      </c>
      <c r="AD568">
        <f ca="1">IFERROR(IF(0=LEN(ReferenceData!$AD$568),"",ReferenceData!$AD$568),"")</f>
        <v>0.15605981999999999</v>
      </c>
      <c r="AE568">
        <f ca="1">IFERROR(IF(0=LEN(ReferenceData!$AE$568),"",ReferenceData!$AE$568),"")</f>
        <v>1.3972753760000001</v>
      </c>
      <c r="AF568">
        <f ca="1">IFERROR(IF(0=LEN(ReferenceData!$AF$568),"",ReferenceData!$AF$568),"")</f>
        <v>1.1413388179999999</v>
      </c>
      <c r="AG568">
        <f ca="1">IFERROR(IF(0=LEN(ReferenceData!$AG$568),"",ReferenceData!$AG$568),"")</f>
        <v>3.2318116469999998</v>
      </c>
      <c r="AH568">
        <f ca="1">IFERROR(IF(0=LEN(ReferenceData!$AH$568),"",ReferenceData!$AH$568),"")</f>
        <v>4.9733441100000002</v>
      </c>
      <c r="AI568">
        <f ca="1">IFERROR(IF(0=LEN(ReferenceData!$AI$568),"",ReferenceData!$AI$568),"")</f>
        <v>8.2610726260000007</v>
      </c>
      <c r="AJ568">
        <f ca="1">IFERROR(IF(0=LEN(ReferenceData!$AJ$568),"",ReferenceData!$AJ$568),"")</f>
        <v>8.9637032879999996</v>
      </c>
      <c r="AK568">
        <f ca="1">IFERROR(IF(0=LEN(ReferenceData!$AK$568),"",ReferenceData!$AK$568),"")</f>
        <v>7.8024005450000002</v>
      </c>
      <c r="AL568">
        <f ca="1">IFERROR(IF(0=LEN(ReferenceData!$AL$568),"",ReferenceData!$AL$568),"")</f>
        <v>5.9449147409999998</v>
      </c>
      <c r="AM568">
        <f ca="1">IFERROR(IF(0=LEN(ReferenceData!$AM$568),"",ReferenceData!$AM$568),"")</f>
        <v>3.817520601</v>
      </c>
      <c r="AN568">
        <f ca="1">IFERROR(IF(0=LEN(ReferenceData!$AN$568),"",ReferenceData!$AN$568),"")</f>
        <v>6.626346174</v>
      </c>
      <c r="AO568">
        <f ca="1">IFERROR(IF(0=LEN(ReferenceData!$AO$568),"",ReferenceData!$AO$568),"")</f>
        <v>8.7880246480000004</v>
      </c>
      <c r="AP568">
        <f ca="1">IFERROR(IF(0=LEN(ReferenceData!$AP$568),"",ReferenceData!$AP$568),"")</f>
        <v>7.1435430899999997</v>
      </c>
      <c r="AQ568">
        <f ca="1">IFERROR(IF(0=LEN(ReferenceData!$AQ$568),"",ReferenceData!$AQ$568),"")</f>
        <v>1.2259561800000001</v>
      </c>
      <c r="AR568">
        <f ca="1">IFERROR(IF(0=LEN(ReferenceData!$AR$568),"",ReferenceData!$AR$568),"")</f>
        <v>-3.304319043</v>
      </c>
      <c r="AS568">
        <f ca="1">IFERROR(IF(0=LEN(ReferenceData!$AS$568),"",ReferenceData!$AS$568),"")</f>
        <v>-6.560106427</v>
      </c>
      <c r="AT568">
        <f ca="1">IFERROR(IF(0=LEN(ReferenceData!$AT$568),"",ReferenceData!$AT$568),"")</f>
        <v>-9.3815655160000002</v>
      </c>
      <c r="AU568">
        <f ca="1">IFERROR(IF(0=LEN(ReferenceData!$AU$568),"",ReferenceData!$AU$568),"")</f>
        <v>1.1941701300000001</v>
      </c>
      <c r="AV568" t="str">
        <f ca="1">IFERROR(IF(0=LEN(ReferenceData!$AV$568),"",ReferenceData!$AV$568),"")</f>
        <v/>
      </c>
      <c r="AW568" t="str">
        <f ca="1">IFERROR(IF(0=LEN(ReferenceData!$AW$568),"",ReferenceData!$AW$568),"")</f>
        <v/>
      </c>
      <c r="AX568" t="str">
        <f ca="1">IFERROR(IF(0=LEN(ReferenceData!$AX$568),"",ReferenceData!$AX$568),"")</f>
        <v/>
      </c>
      <c r="AY568" t="str">
        <f ca="1">IFERROR(IF(0=LEN(ReferenceData!$AY$568),"",ReferenceData!$AY$568),"")</f>
        <v/>
      </c>
      <c r="AZ568" t="str">
        <f ca="1">IFERROR(IF(0=LEN(ReferenceData!$AZ$568),"",ReferenceData!$AZ$568),"")</f>
        <v/>
      </c>
      <c r="BA568" t="str">
        <f ca="1">IFERROR(IF(0=LEN(ReferenceData!$BA$568),"",ReferenceData!$BA$568),"")</f>
        <v/>
      </c>
      <c r="BB568" t="str">
        <f ca="1">IFERROR(IF(0=LEN(ReferenceData!$BB$568),"",ReferenceData!$BB$568),"")</f>
        <v/>
      </c>
      <c r="BC568" t="str">
        <f ca="1">IFERROR(IF(0=LEN(ReferenceData!$BC$568),"",ReferenceData!$BC$568),"")</f>
        <v/>
      </c>
      <c r="BD568" t="str">
        <f ca="1">IFERROR(IF(0=LEN(ReferenceData!$BD$568),"",ReferenceData!$BD$568),"")</f>
        <v/>
      </c>
      <c r="BE568" t="str">
        <f ca="1">IFERROR(IF(0=LEN(ReferenceData!$BE$568),"",ReferenceData!$BE$568),"")</f>
        <v/>
      </c>
      <c r="BF568" t="str">
        <f ca="1">IFERROR(IF(0=LEN(ReferenceData!$BF$568),"",ReferenceData!$BF$568),"")</f>
        <v/>
      </c>
      <c r="BG568" t="str">
        <f ca="1">IFERROR(IF(0=LEN(ReferenceData!$BG$568),"",ReferenceData!$BG$568),"")</f>
        <v/>
      </c>
      <c r="BH568" t="str">
        <f ca="1">IFERROR(IF(0=LEN(ReferenceData!$BH$568),"",ReferenceData!$BH$568),"")</f>
        <v/>
      </c>
      <c r="BI568" t="str">
        <f ca="1">IFERROR(IF(0=LEN(ReferenceData!$BI$568),"",ReferenceData!$BI$568),"")</f>
        <v/>
      </c>
      <c r="BJ568" t="str">
        <f ca="1">IFERROR(IF(0=LEN(ReferenceData!$BJ$568),"",ReferenceData!$BJ$568),"")</f>
        <v/>
      </c>
      <c r="BK568" t="str">
        <f ca="1">IFERROR(IF(0=LEN(ReferenceData!$BK$568),"",ReferenceData!$BK$568),"")</f>
        <v/>
      </c>
      <c r="BL568" t="str">
        <f ca="1">IFERROR(IF(0=LEN(ReferenceData!$BL$568),"",ReferenceData!$BL$568),"")</f>
        <v/>
      </c>
      <c r="BM568" t="str">
        <f ca="1">IFERROR(IF(0=LEN(ReferenceData!$BM$568),"",ReferenceData!$BM$568),"")</f>
        <v/>
      </c>
    </row>
    <row r="569" spans="1:65" x14ac:dyDescent="0.25">
      <c r="A569" t="str">
        <f>IFERROR(IF(0=LEN(ReferenceData!$A$569),"",ReferenceData!$A$569),"")</f>
        <v xml:space="preserve">    Sollers PJSC</v>
      </c>
      <c r="B569" t="str">
        <f>IFERROR(IF(0=LEN(ReferenceData!$B$569),"",ReferenceData!$B$569),"")</f>
        <v>SVAV RM Equity</v>
      </c>
      <c r="C569" t="str">
        <f>IFERROR(IF(0=LEN(ReferenceData!$C$569),"",ReferenceData!$C$569),"")</f>
        <v>RX076</v>
      </c>
      <c r="D569" t="str">
        <f>IFERROR(IF(0=LEN(ReferenceData!$D$569),"",ReferenceData!$D$569),"")</f>
        <v>EBIT_YIELD</v>
      </c>
      <c r="E569" t="str">
        <f>IFERROR(IF(0=LEN(ReferenceData!$E$569),"",ReferenceData!$E$569),"")</f>
        <v>Dynamic</v>
      </c>
      <c r="F569" t="str">
        <f ca="1">IFERROR(IF(0=LEN(ReferenceData!$F$569),"",ReferenceData!$F$569),"")</f>
        <v/>
      </c>
      <c r="G569" t="str">
        <f ca="1">IFERROR(IF(0=LEN(ReferenceData!$G$569),"",ReferenceData!$G$569),"")</f>
        <v/>
      </c>
      <c r="H569" t="str">
        <f ca="1">IFERROR(IF(0=LEN(ReferenceData!$H$569),"",ReferenceData!$H$569),"")</f>
        <v/>
      </c>
      <c r="I569" t="str">
        <f ca="1">IFERROR(IF(0=LEN(ReferenceData!$I$569),"",ReferenceData!$I$569),"")</f>
        <v/>
      </c>
      <c r="J569" t="str">
        <f ca="1">IFERROR(IF(0=LEN(ReferenceData!$J$569),"",ReferenceData!$J$569),"")</f>
        <v/>
      </c>
      <c r="K569" t="str">
        <f ca="1">IFERROR(IF(0=LEN(ReferenceData!$K$569),"",ReferenceData!$K$569),"")</f>
        <v/>
      </c>
      <c r="L569" t="str">
        <f ca="1">IFERROR(IF(0=LEN(ReferenceData!$L$569),"",ReferenceData!$L$569),"")</f>
        <v/>
      </c>
      <c r="M569" t="str">
        <f ca="1">IFERROR(IF(0=LEN(ReferenceData!$M$569),"",ReferenceData!$M$569),"")</f>
        <v/>
      </c>
      <c r="N569" t="str">
        <f ca="1">IFERROR(IF(0=LEN(ReferenceData!$N$569),"",ReferenceData!$N$569),"")</f>
        <v/>
      </c>
      <c r="O569" t="str">
        <f ca="1">IFERROR(IF(0=LEN(ReferenceData!$O$569),"",ReferenceData!$O$569),"")</f>
        <v/>
      </c>
      <c r="P569" t="str">
        <f ca="1">IFERROR(IF(0=LEN(ReferenceData!$P$569),"",ReferenceData!$P$569),"")</f>
        <v/>
      </c>
      <c r="Q569" t="str">
        <f ca="1">IFERROR(IF(0=LEN(ReferenceData!$Q$569),"",ReferenceData!$Q$569),"")</f>
        <v/>
      </c>
      <c r="R569" t="str">
        <f ca="1">IFERROR(IF(0=LEN(ReferenceData!$R$569),"",ReferenceData!$R$569),"")</f>
        <v/>
      </c>
      <c r="S569" t="str">
        <f ca="1">IFERROR(IF(0=LEN(ReferenceData!$S$569),"",ReferenceData!$S$569),"")</f>
        <v/>
      </c>
      <c r="T569" t="str">
        <f ca="1">IFERROR(IF(0=LEN(ReferenceData!$T$569),"",ReferenceData!$T$569),"")</f>
        <v/>
      </c>
      <c r="U569" t="str">
        <f ca="1">IFERROR(IF(0=LEN(ReferenceData!$U$569),"",ReferenceData!$U$569),"")</f>
        <v/>
      </c>
      <c r="V569" t="str">
        <f ca="1">IFERROR(IF(0=LEN(ReferenceData!$V$569),"",ReferenceData!$V$569),"")</f>
        <v/>
      </c>
      <c r="W569" t="str">
        <f ca="1">IFERROR(IF(0=LEN(ReferenceData!$W$569),"",ReferenceData!$W$569),"")</f>
        <v/>
      </c>
      <c r="X569" t="str">
        <f ca="1">IFERROR(IF(0=LEN(ReferenceData!$X$569),"",ReferenceData!$X$569),"")</f>
        <v/>
      </c>
      <c r="Y569" t="str">
        <f ca="1">IFERROR(IF(0=LEN(ReferenceData!$Y$569),"",ReferenceData!$Y$569),"")</f>
        <v/>
      </c>
      <c r="Z569" t="str">
        <f ca="1">IFERROR(IF(0=LEN(ReferenceData!$Z$569),"",ReferenceData!$Z$569),"")</f>
        <v/>
      </c>
      <c r="AA569" t="str">
        <f ca="1">IFERROR(IF(0=LEN(ReferenceData!$AA$569),"",ReferenceData!$AA$569),"")</f>
        <v/>
      </c>
      <c r="AB569" t="str">
        <f ca="1">IFERROR(IF(0=LEN(ReferenceData!$AB$569),"",ReferenceData!$AB$569),"")</f>
        <v/>
      </c>
      <c r="AC569" t="str">
        <f ca="1">IFERROR(IF(0=LEN(ReferenceData!$AC$569),"",ReferenceData!$AC$569),"")</f>
        <v/>
      </c>
      <c r="AD569" t="str">
        <f ca="1">IFERROR(IF(0=LEN(ReferenceData!$AD$569),"",ReferenceData!$AD$569),"")</f>
        <v/>
      </c>
      <c r="AE569" t="str">
        <f ca="1">IFERROR(IF(0=LEN(ReferenceData!$AE$569),"",ReferenceData!$AE$569),"")</f>
        <v/>
      </c>
      <c r="AF569" t="str">
        <f ca="1">IFERROR(IF(0=LEN(ReferenceData!$AF$569),"",ReferenceData!$AF$569),"")</f>
        <v/>
      </c>
      <c r="AG569" t="str">
        <f ca="1">IFERROR(IF(0=LEN(ReferenceData!$AG$569),"",ReferenceData!$AG$569),"")</f>
        <v/>
      </c>
      <c r="AH569" t="str">
        <f ca="1">IFERROR(IF(0=LEN(ReferenceData!$AH$569),"",ReferenceData!$AH$569),"")</f>
        <v/>
      </c>
      <c r="AI569" t="str">
        <f ca="1">IFERROR(IF(0=LEN(ReferenceData!$AI$569),"",ReferenceData!$AI$569),"")</f>
        <v/>
      </c>
      <c r="AJ569" t="str">
        <f ca="1">IFERROR(IF(0=LEN(ReferenceData!$AJ$569),"",ReferenceData!$AJ$569),"")</f>
        <v/>
      </c>
      <c r="AK569" t="str">
        <f ca="1">IFERROR(IF(0=LEN(ReferenceData!$AK$569),"",ReferenceData!$AK$569),"")</f>
        <v/>
      </c>
      <c r="AL569" t="str">
        <f ca="1">IFERROR(IF(0=LEN(ReferenceData!$AL$569),"",ReferenceData!$AL$569),"")</f>
        <v/>
      </c>
      <c r="AM569" t="str">
        <f ca="1">IFERROR(IF(0=LEN(ReferenceData!$AM$569),"",ReferenceData!$AM$569),"")</f>
        <v/>
      </c>
      <c r="AN569" t="str">
        <f ca="1">IFERROR(IF(0=LEN(ReferenceData!$AN$569),"",ReferenceData!$AN$569),"")</f>
        <v/>
      </c>
      <c r="AO569" t="str">
        <f ca="1">IFERROR(IF(0=LEN(ReferenceData!$AO$569),"",ReferenceData!$AO$569),"")</f>
        <v/>
      </c>
      <c r="AP569" t="str">
        <f ca="1">IFERROR(IF(0=LEN(ReferenceData!$AP$569),"",ReferenceData!$AP$569),"")</f>
        <v/>
      </c>
      <c r="AQ569" t="str">
        <f ca="1">IFERROR(IF(0=LEN(ReferenceData!$AQ$569),"",ReferenceData!$AQ$569),"")</f>
        <v/>
      </c>
      <c r="AR569" t="str">
        <f ca="1">IFERROR(IF(0=LEN(ReferenceData!$AR$569),"",ReferenceData!$AR$569),"")</f>
        <v/>
      </c>
      <c r="AS569" t="str">
        <f ca="1">IFERROR(IF(0=LEN(ReferenceData!$AS$569),"",ReferenceData!$AS$569),"")</f>
        <v/>
      </c>
      <c r="AT569" t="str">
        <f ca="1">IFERROR(IF(0=LEN(ReferenceData!$AT$569),"",ReferenceData!$AT$569),"")</f>
        <v/>
      </c>
      <c r="AU569" t="str">
        <f ca="1">IFERROR(IF(0=LEN(ReferenceData!$AU$569),"",ReferenceData!$AU$569),"")</f>
        <v/>
      </c>
      <c r="AV569" t="str">
        <f ca="1">IFERROR(IF(0=LEN(ReferenceData!$AV$569),"",ReferenceData!$AV$569),"")</f>
        <v/>
      </c>
      <c r="AW569" t="str">
        <f ca="1">IFERROR(IF(0=LEN(ReferenceData!$AW$569),"",ReferenceData!$AW$569),"")</f>
        <v/>
      </c>
      <c r="AX569" t="str">
        <f ca="1">IFERROR(IF(0=LEN(ReferenceData!$AX$569),"",ReferenceData!$AX$569),"")</f>
        <v/>
      </c>
      <c r="AY569" t="str">
        <f ca="1">IFERROR(IF(0=LEN(ReferenceData!$AY$569),"",ReferenceData!$AY$569),"")</f>
        <v/>
      </c>
      <c r="AZ569" t="str">
        <f ca="1">IFERROR(IF(0=LEN(ReferenceData!$AZ$569),"",ReferenceData!$AZ$569),"")</f>
        <v/>
      </c>
      <c r="BA569" t="str">
        <f ca="1">IFERROR(IF(0=LEN(ReferenceData!$BA$569),"",ReferenceData!$BA$569),"")</f>
        <v/>
      </c>
      <c r="BB569" t="str">
        <f ca="1">IFERROR(IF(0=LEN(ReferenceData!$BB$569),"",ReferenceData!$BB$569),"")</f>
        <v/>
      </c>
      <c r="BC569" t="str">
        <f ca="1">IFERROR(IF(0=LEN(ReferenceData!$BC$569),"",ReferenceData!$BC$569),"")</f>
        <v/>
      </c>
      <c r="BD569" t="str">
        <f ca="1">IFERROR(IF(0=LEN(ReferenceData!$BD$569),"",ReferenceData!$BD$569),"")</f>
        <v/>
      </c>
      <c r="BE569" t="str">
        <f ca="1">IFERROR(IF(0=LEN(ReferenceData!$BE$569),"",ReferenceData!$BE$569),"")</f>
        <v/>
      </c>
      <c r="BF569" t="str">
        <f ca="1">IFERROR(IF(0=LEN(ReferenceData!$BF$569),"",ReferenceData!$BF$569),"")</f>
        <v/>
      </c>
      <c r="BG569" t="str">
        <f ca="1">IFERROR(IF(0=LEN(ReferenceData!$BG$569),"",ReferenceData!$BG$569),"")</f>
        <v/>
      </c>
      <c r="BH569" t="str">
        <f ca="1">IFERROR(IF(0=LEN(ReferenceData!$BH$569),"",ReferenceData!$BH$569),"")</f>
        <v/>
      </c>
      <c r="BI569" t="str">
        <f ca="1">IFERROR(IF(0=LEN(ReferenceData!$BI$569),"",ReferenceData!$BI$569),"")</f>
        <v/>
      </c>
      <c r="BJ569" t="str">
        <f ca="1">IFERROR(IF(0=LEN(ReferenceData!$BJ$569),"",ReferenceData!$BJ$569),"")</f>
        <v/>
      </c>
      <c r="BK569" t="str">
        <f ca="1">IFERROR(IF(0=LEN(ReferenceData!$BK$569),"",ReferenceData!$BK$569),"")</f>
        <v/>
      </c>
      <c r="BL569" t="str">
        <f ca="1">IFERROR(IF(0=LEN(ReferenceData!$BL$569),"",ReferenceData!$BL$569),"")</f>
        <v/>
      </c>
      <c r="BM569" t="str">
        <f ca="1">IFERROR(IF(0=LEN(ReferenceData!$BM$569),"",ReferenceData!$BM$569),"")</f>
        <v/>
      </c>
    </row>
    <row r="570" spans="1:65" x14ac:dyDescent="0.25">
      <c r="A570" t="str">
        <f>IFERROR(IF(0=LEN(ReferenceData!$A$570),"",ReferenceData!$A$570),"")</f>
        <v xml:space="preserve">    Ssangyong Motor Co</v>
      </c>
      <c r="B570" t="str">
        <f>IFERROR(IF(0=LEN(ReferenceData!$B$570),"",ReferenceData!$B$570),"")</f>
        <v>003620 KS Equity</v>
      </c>
      <c r="C570" t="str">
        <f>IFERROR(IF(0=LEN(ReferenceData!$C$570),"",ReferenceData!$C$570),"")</f>
        <v>RX076</v>
      </c>
      <c r="D570" t="str">
        <f>IFERROR(IF(0=LEN(ReferenceData!$D$570),"",ReferenceData!$D$570),"")</f>
        <v>EBIT_YIELD</v>
      </c>
      <c r="E570" t="str">
        <f>IFERROR(IF(0=LEN(ReferenceData!$E$570),"",ReferenceData!$E$570),"")</f>
        <v>Dynamic</v>
      </c>
      <c r="F570" t="str">
        <f ca="1">IFERROR(IF(0=LEN(ReferenceData!$F$570),"",ReferenceData!$F$570),"")</f>
        <v/>
      </c>
      <c r="G570">
        <f ca="1">IFERROR(IF(0=LEN(ReferenceData!$G$570),"",ReferenceData!$G$570),"")</f>
        <v>-15.902373150000001</v>
      </c>
      <c r="H570">
        <f ca="1">IFERROR(IF(0=LEN(ReferenceData!$H$570),"",ReferenceData!$H$570),"")</f>
        <v>-13.725158860000001</v>
      </c>
      <c r="I570">
        <f ca="1">IFERROR(IF(0=LEN(ReferenceData!$I$570),"",ReferenceData!$I$570),"")</f>
        <v>-12.991335469999999</v>
      </c>
      <c r="J570">
        <f ca="1">IFERROR(IF(0=LEN(ReferenceData!$J$570),"",ReferenceData!$J$570),"")</f>
        <v>-11.83265797</v>
      </c>
      <c r="K570">
        <f ca="1">IFERROR(IF(0=LEN(ReferenceData!$K$570),"",ReferenceData!$K$570),"")</f>
        <v>-9.2515001800000007</v>
      </c>
      <c r="L570">
        <f ca="1">IFERROR(IF(0=LEN(ReferenceData!$L$570),"",ReferenceData!$L$570),"")</f>
        <v>-4.4232440720000001</v>
      </c>
      <c r="M570">
        <f ca="1">IFERROR(IF(0=LEN(ReferenceData!$M$570),"",ReferenceData!$M$570),"")</f>
        <v>-2.2850450590000002</v>
      </c>
      <c r="N570">
        <f ca="1">IFERROR(IF(0=LEN(ReferenceData!$N$570),"",ReferenceData!$N$570),"")</f>
        <v>0.40826498100000003</v>
      </c>
      <c r="O570">
        <f ca="1">IFERROR(IF(0=LEN(ReferenceData!$O$570),"",ReferenceData!$O$570),"")</f>
        <v>2.5863598900000002</v>
      </c>
      <c r="P570">
        <f ca="1">IFERROR(IF(0=LEN(ReferenceData!$P$570),"",ReferenceData!$P$570),"")</f>
        <v>3.8742450370000001</v>
      </c>
      <c r="Q570">
        <f ca="1">IFERROR(IF(0=LEN(ReferenceData!$Q$570),"",ReferenceData!$Q$570),"")</f>
        <v>4.7537007439999996</v>
      </c>
      <c r="R570">
        <f ca="1">IFERROR(IF(0=LEN(ReferenceData!$R$570),"",ReferenceData!$R$570),"")</f>
        <v>0.56994576799999996</v>
      </c>
      <c r="S570">
        <f ca="1">IFERROR(IF(0=LEN(ReferenceData!$S$570),"",ReferenceData!$S$570),"")</f>
        <v>-3.3711091390000001</v>
      </c>
      <c r="T570">
        <f ca="1">IFERROR(IF(0=LEN(ReferenceData!$T$570),"",ReferenceData!$T$570),"")</f>
        <v>-7.4946466750000003</v>
      </c>
      <c r="U570">
        <f ca="1">IFERROR(IF(0=LEN(ReferenceData!$U$570),"",ReferenceData!$U$570),"")</f>
        <v>-9.5978990409999998</v>
      </c>
      <c r="V570">
        <f ca="1">IFERROR(IF(0=LEN(ReferenceData!$V$570),"",ReferenceData!$V$570),"")</f>
        <v>-8.867545367</v>
      </c>
      <c r="W570">
        <f ca="1">IFERROR(IF(0=LEN(ReferenceData!$W$570),"",ReferenceData!$W$570),"")</f>
        <v>-6.055697544</v>
      </c>
      <c r="X570">
        <f ca="1">IFERROR(IF(0=LEN(ReferenceData!$X$570),"",ReferenceData!$X$570),"")</f>
        <v>-4.4393925620000001</v>
      </c>
      <c r="Y570">
        <f ca="1">IFERROR(IF(0=LEN(ReferenceData!$Y$570),"",ReferenceData!$Y$570),"")</f>
        <v>-0.92731739599999996</v>
      </c>
      <c r="Z570">
        <f ca="1">IFERROR(IF(0=LEN(ReferenceData!$Z$570),"",ReferenceData!$Z$570),"")</f>
        <v>0.70578672399999998</v>
      </c>
      <c r="AA570">
        <f ca="1">IFERROR(IF(0=LEN(ReferenceData!$AA$570),"",ReferenceData!$AA$570),"")</f>
        <v>-1.044491093</v>
      </c>
      <c r="AB570">
        <f ca="1">IFERROR(IF(0=LEN(ReferenceData!$AB$570),"",ReferenceData!$AB$570),"")</f>
        <v>-4.3082589520000001</v>
      </c>
      <c r="AC570">
        <f ca="1">IFERROR(IF(0=LEN(ReferenceData!$AC$570),"",ReferenceData!$AC$570),"")</f>
        <v>-5.7863346739999999</v>
      </c>
      <c r="AD570">
        <f ca="1">IFERROR(IF(0=LEN(ReferenceData!$AD$570),"",ReferenceData!$AD$570),"")</f>
        <v>-11.490220539999999</v>
      </c>
      <c r="AE570">
        <f ca="1">IFERROR(IF(0=LEN(ReferenceData!$AE$570),"",ReferenceData!$AE$570),"")</f>
        <v>-14.97822912</v>
      </c>
      <c r="AF570" t="str">
        <f ca="1">IFERROR(IF(0=LEN(ReferenceData!$AF$570),"",ReferenceData!$AF$570),"")</f>
        <v/>
      </c>
      <c r="AG570" t="str">
        <f ca="1">IFERROR(IF(0=LEN(ReferenceData!$AG$570),"",ReferenceData!$AG$570),"")</f>
        <v/>
      </c>
      <c r="AH570" t="str">
        <f ca="1">IFERROR(IF(0=LEN(ReferenceData!$AH$570),"",ReferenceData!$AH$570),"")</f>
        <v/>
      </c>
      <c r="AI570" t="str">
        <f ca="1">IFERROR(IF(0=LEN(ReferenceData!$AI$570),"",ReferenceData!$AI$570),"")</f>
        <v/>
      </c>
      <c r="AJ570" t="str">
        <f ca="1">IFERROR(IF(0=LEN(ReferenceData!$AJ$570),"",ReferenceData!$AJ$570),"")</f>
        <v/>
      </c>
      <c r="AK570" t="str">
        <f ca="1">IFERROR(IF(0=LEN(ReferenceData!$AK$570),"",ReferenceData!$AK$570),"")</f>
        <v/>
      </c>
      <c r="AL570" t="str">
        <f ca="1">IFERROR(IF(0=LEN(ReferenceData!$AL$570),"",ReferenceData!$AL$570),"")</f>
        <v/>
      </c>
      <c r="AM570" t="str">
        <f ca="1">IFERROR(IF(0=LEN(ReferenceData!$AM$570),"",ReferenceData!$AM$570),"")</f>
        <v/>
      </c>
      <c r="AN570" t="str">
        <f ca="1">IFERROR(IF(0=LEN(ReferenceData!$AN$570),"",ReferenceData!$AN$570),"")</f>
        <v/>
      </c>
      <c r="AO570" t="str">
        <f ca="1">IFERROR(IF(0=LEN(ReferenceData!$AO$570),"",ReferenceData!$AO$570),"")</f>
        <v/>
      </c>
      <c r="AP570" t="str">
        <f ca="1">IFERROR(IF(0=LEN(ReferenceData!$AP$570),"",ReferenceData!$AP$570),"")</f>
        <v/>
      </c>
      <c r="AQ570" t="str">
        <f ca="1">IFERROR(IF(0=LEN(ReferenceData!$AQ$570),"",ReferenceData!$AQ$570),"")</f>
        <v/>
      </c>
      <c r="AR570" t="str">
        <f ca="1">IFERROR(IF(0=LEN(ReferenceData!$AR$570),"",ReferenceData!$AR$570),"")</f>
        <v/>
      </c>
      <c r="AS570" t="str">
        <f ca="1">IFERROR(IF(0=LEN(ReferenceData!$AS$570),"",ReferenceData!$AS$570),"")</f>
        <v/>
      </c>
      <c r="AT570" t="str">
        <f ca="1">IFERROR(IF(0=LEN(ReferenceData!$AT$570),"",ReferenceData!$AT$570),"")</f>
        <v/>
      </c>
      <c r="AU570" t="str">
        <f ca="1">IFERROR(IF(0=LEN(ReferenceData!$AU$570),"",ReferenceData!$AU$570),"")</f>
        <v/>
      </c>
      <c r="AV570" t="str">
        <f ca="1">IFERROR(IF(0=LEN(ReferenceData!$AV$570),"",ReferenceData!$AV$570),"")</f>
        <v/>
      </c>
      <c r="AW570" t="str">
        <f ca="1">IFERROR(IF(0=LEN(ReferenceData!$AW$570),"",ReferenceData!$AW$570),"")</f>
        <v/>
      </c>
      <c r="AX570" t="str">
        <f ca="1">IFERROR(IF(0=LEN(ReferenceData!$AX$570),"",ReferenceData!$AX$570),"")</f>
        <v/>
      </c>
      <c r="AY570" t="str">
        <f ca="1">IFERROR(IF(0=LEN(ReferenceData!$AY$570),"",ReferenceData!$AY$570),"")</f>
        <v/>
      </c>
      <c r="AZ570" t="str">
        <f ca="1">IFERROR(IF(0=LEN(ReferenceData!$AZ$570),"",ReferenceData!$AZ$570),"")</f>
        <v/>
      </c>
      <c r="BA570" t="str">
        <f ca="1">IFERROR(IF(0=LEN(ReferenceData!$BA$570),"",ReferenceData!$BA$570),"")</f>
        <v/>
      </c>
      <c r="BB570" t="str">
        <f ca="1">IFERROR(IF(0=LEN(ReferenceData!$BB$570),"",ReferenceData!$BB$570),"")</f>
        <v/>
      </c>
      <c r="BC570" t="str">
        <f ca="1">IFERROR(IF(0=LEN(ReferenceData!$BC$570),"",ReferenceData!$BC$570),"")</f>
        <v/>
      </c>
      <c r="BD570" t="str">
        <f ca="1">IFERROR(IF(0=LEN(ReferenceData!$BD$570),"",ReferenceData!$BD$570),"")</f>
        <v/>
      </c>
      <c r="BE570" t="str">
        <f ca="1">IFERROR(IF(0=LEN(ReferenceData!$BE$570),"",ReferenceData!$BE$570),"")</f>
        <v/>
      </c>
      <c r="BF570" t="str">
        <f ca="1">IFERROR(IF(0=LEN(ReferenceData!$BF$570),"",ReferenceData!$BF$570),"")</f>
        <v/>
      </c>
      <c r="BG570" t="str">
        <f ca="1">IFERROR(IF(0=LEN(ReferenceData!$BG$570),"",ReferenceData!$BG$570),"")</f>
        <v/>
      </c>
      <c r="BH570" t="str">
        <f ca="1">IFERROR(IF(0=LEN(ReferenceData!$BH$570),"",ReferenceData!$BH$570),"")</f>
        <v/>
      </c>
      <c r="BI570" t="str">
        <f ca="1">IFERROR(IF(0=LEN(ReferenceData!$BI$570),"",ReferenceData!$BI$570),"")</f>
        <v/>
      </c>
      <c r="BJ570" t="str">
        <f ca="1">IFERROR(IF(0=LEN(ReferenceData!$BJ$570),"",ReferenceData!$BJ$570),"")</f>
        <v/>
      </c>
      <c r="BK570" t="str">
        <f ca="1">IFERROR(IF(0=LEN(ReferenceData!$BK$570),"",ReferenceData!$BK$570),"")</f>
        <v/>
      </c>
      <c r="BL570" t="str">
        <f ca="1">IFERROR(IF(0=LEN(ReferenceData!$BL$570),"",ReferenceData!$BL$570),"")</f>
        <v/>
      </c>
      <c r="BM570" t="str">
        <f ca="1">IFERROR(IF(0=LEN(ReferenceData!$BM$570),"",ReferenceData!$BM$570),"")</f>
        <v/>
      </c>
    </row>
    <row r="571" spans="1:65" x14ac:dyDescent="0.25">
      <c r="A571" t="str">
        <f>IFERROR(IF(0=LEN(ReferenceData!$A$571),"",ReferenceData!$A$571),"")</f>
        <v xml:space="preserve">    Subaru Corp</v>
      </c>
      <c r="B571" t="str">
        <f>IFERROR(IF(0=LEN(ReferenceData!$B$571),"",ReferenceData!$B$571),"")</f>
        <v>7270 JP Equity</v>
      </c>
      <c r="C571" t="str">
        <f>IFERROR(IF(0=LEN(ReferenceData!$C$571),"",ReferenceData!$C$571),"")</f>
        <v>RX076</v>
      </c>
      <c r="D571" t="str">
        <f>IFERROR(IF(0=LEN(ReferenceData!$D$571),"",ReferenceData!$D$571),"")</f>
        <v>EBIT_YIELD</v>
      </c>
      <c r="E571" t="str">
        <f>IFERROR(IF(0=LEN(ReferenceData!$E$571),"",ReferenceData!$E$571),"")</f>
        <v>Dynamic</v>
      </c>
      <c r="F571">
        <f ca="1">IFERROR(IF(0=LEN(ReferenceData!$F$571),"",ReferenceData!$F$571),"")</f>
        <v>10.40864307</v>
      </c>
      <c r="G571">
        <f ca="1">IFERROR(IF(0=LEN(ReferenceData!$G$571),"",ReferenceData!$G$571),"")</f>
        <v>12.53447611</v>
      </c>
      <c r="H571">
        <f ca="1">IFERROR(IF(0=LEN(ReferenceData!$H$571),"",ReferenceData!$H$571),"")</f>
        <v>8.3338325139999991</v>
      </c>
      <c r="I571">
        <f ca="1">IFERROR(IF(0=LEN(ReferenceData!$I$571),"",ReferenceData!$I$571),"")</f>
        <v>12.847663300000001</v>
      </c>
      <c r="J571">
        <f ca="1">IFERROR(IF(0=LEN(ReferenceData!$J$571),"",ReferenceData!$J$571),"")</f>
        <v>14.19287639</v>
      </c>
      <c r="K571">
        <f ca="1">IFERROR(IF(0=LEN(ReferenceData!$K$571),"",ReferenceData!$K$571),"")</f>
        <v>14.93526516</v>
      </c>
      <c r="L571">
        <f ca="1">IFERROR(IF(0=LEN(ReferenceData!$L$571),"",ReferenceData!$L$571),"")</f>
        <v>13.30693988</v>
      </c>
      <c r="M571">
        <f ca="1">IFERROR(IF(0=LEN(ReferenceData!$M$571),"",ReferenceData!$M$571),"")</f>
        <v>14.731422569999999</v>
      </c>
      <c r="N571">
        <f ca="1">IFERROR(IF(0=LEN(ReferenceData!$N$571),"",ReferenceData!$N$571),"")</f>
        <v>13.03418381</v>
      </c>
      <c r="O571">
        <f ca="1">IFERROR(IF(0=LEN(ReferenceData!$O$571),"",ReferenceData!$O$571),"")</f>
        <v>11.797069860000001</v>
      </c>
      <c r="P571">
        <f ca="1">IFERROR(IF(0=LEN(ReferenceData!$P$571),"",ReferenceData!$P$571),"")</f>
        <v>16.72514177</v>
      </c>
      <c r="Q571">
        <f ca="1">IFERROR(IF(0=LEN(ReferenceData!$Q$571),"",ReferenceData!$Q$571),"")</f>
        <v>19.634776299999999</v>
      </c>
      <c r="R571">
        <f ca="1">IFERROR(IF(0=LEN(ReferenceData!$R$571),"",ReferenceData!$R$571),"")</f>
        <v>18.232980260000001</v>
      </c>
      <c r="S571">
        <f ca="1">IFERROR(IF(0=LEN(ReferenceData!$S$571),"",ReferenceData!$S$571),"")</f>
        <v>13.985194699999999</v>
      </c>
      <c r="T571">
        <f ca="1">IFERROR(IF(0=LEN(ReferenceData!$T$571),"",ReferenceData!$T$571),"")</f>
        <v>15.63197641</v>
      </c>
      <c r="U571">
        <f ca="1">IFERROR(IF(0=LEN(ReferenceData!$U$571),"",ReferenceData!$U$571),"")</f>
        <v>13.60254892</v>
      </c>
      <c r="V571">
        <f ca="1">IFERROR(IF(0=LEN(ReferenceData!$V$571),"",ReferenceData!$V$571),"")</f>
        <v>13.582991959999999</v>
      </c>
      <c r="W571">
        <f ca="1">IFERROR(IF(0=LEN(ReferenceData!$W$571),"",ReferenceData!$W$571),"")</f>
        <v>12.01806054</v>
      </c>
      <c r="X571">
        <f ca="1">IFERROR(IF(0=LEN(ReferenceData!$X$571),"",ReferenceData!$X$571),"")</f>
        <v>12.773443820000001</v>
      </c>
      <c r="Y571">
        <f ca="1">IFERROR(IF(0=LEN(ReferenceData!$Y$571),"",ReferenceData!$Y$571),"")</f>
        <v>15.32999019</v>
      </c>
      <c r="Z571">
        <f ca="1">IFERROR(IF(0=LEN(ReferenceData!$Z$571),"",ReferenceData!$Z$571),"")</f>
        <v>14.98421959</v>
      </c>
      <c r="AA571">
        <f ca="1">IFERROR(IF(0=LEN(ReferenceData!$AA$571),"",ReferenceData!$AA$571),"")</f>
        <v>11.91680397</v>
      </c>
      <c r="AB571">
        <f ca="1">IFERROR(IF(0=LEN(ReferenceData!$AB$571),"",ReferenceData!$AB$571),"")</f>
        <v>10.773570339999999</v>
      </c>
      <c r="AC571">
        <f ca="1">IFERROR(IF(0=LEN(ReferenceData!$AC$571),"",ReferenceData!$AC$571),"")</f>
        <v>9.0512984939999992</v>
      </c>
      <c r="AD571">
        <f ca="1">IFERROR(IF(0=LEN(ReferenceData!$AD$571),"",ReferenceData!$AD$571),"")</f>
        <v>10.560184639999999</v>
      </c>
      <c r="AE571">
        <f ca="1">IFERROR(IF(0=LEN(ReferenceData!$AE$571),"",ReferenceData!$AE$571),"")</f>
        <v>10.65444943</v>
      </c>
      <c r="AF571">
        <f ca="1">IFERROR(IF(0=LEN(ReferenceData!$AF$571),"",ReferenceData!$AF$571),"")</f>
        <v>13.53591102</v>
      </c>
      <c r="AG571">
        <f ca="1">IFERROR(IF(0=LEN(ReferenceData!$AG$571),"",ReferenceData!$AG$571),"")</f>
        <v>10.182675830000001</v>
      </c>
      <c r="AH571">
        <f ca="1">IFERROR(IF(0=LEN(ReferenceData!$AH$571),"",ReferenceData!$AH$571),"")</f>
        <v>8.4704600709999998</v>
      </c>
      <c r="AI571">
        <f ca="1">IFERROR(IF(0=LEN(ReferenceData!$AI$571),"",ReferenceData!$AI$571),"")</f>
        <v>10.61290981</v>
      </c>
      <c r="AJ571">
        <f ca="1">IFERROR(IF(0=LEN(ReferenceData!$AJ$571),"",ReferenceData!$AJ$571),"")</f>
        <v>12.74877736</v>
      </c>
      <c r="AK571">
        <f ca="1">IFERROR(IF(0=LEN(ReferenceData!$AK$571),"",ReferenceData!$AK$571),"")</f>
        <v>14.864265749999999</v>
      </c>
      <c r="AL571">
        <f ca="1">IFERROR(IF(0=LEN(ReferenceData!$AL$571),"",ReferenceData!$AL$571),"")</f>
        <v>20.11822982</v>
      </c>
      <c r="AM571">
        <f ca="1">IFERROR(IF(0=LEN(ReferenceData!$AM$571),"",ReferenceData!$AM$571),"")</f>
        <v>19.731018939999998</v>
      </c>
      <c r="AN571">
        <f ca="1">IFERROR(IF(0=LEN(ReferenceData!$AN$571),"",ReferenceData!$AN$571),"")</f>
        <v>23.171576850000001</v>
      </c>
      <c r="AO571">
        <f ca="1">IFERROR(IF(0=LEN(ReferenceData!$AO$571),"",ReferenceData!$AO$571),"")</f>
        <v>18.618919980000001</v>
      </c>
      <c r="AP571">
        <f ca="1">IFERROR(IF(0=LEN(ReferenceData!$AP$571),"",ReferenceData!$AP$571),"")</f>
        <v>7.2463091039999998</v>
      </c>
      <c r="AQ571">
        <f ca="1">IFERROR(IF(0=LEN(ReferenceData!$AQ$571),"",ReferenceData!$AQ$571),"")</f>
        <v>-3.395825425</v>
      </c>
      <c r="AR571">
        <f ca="1">IFERROR(IF(0=LEN(ReferenceData!$AR$571),"",ReferenceData!$AR$571),"")</f>
        <v>-13.110736380000001</v>
      </c>
      <c r="AS571">
        <f ca="1">IFERROR(IF(0=LEN(ReferenceData!$AS$571),"",ReferenceData!$AS$571),"")</f>
        <v>-10.42298444</v>
      </c>
      <c r="AT571">
        <f ca="1">IFERROR(IF(0=LEN(ReferenceData!$AT$571),"",ReferenceData!$AT$571),"")</f>
        <v>-2.0222923640000001</v>
      </c>
      <c r="AU571">
        <f ca="1">IFERROR(IF(0=LEN(ReferenceData!$AU$571),"",ReferenceData!$AU$571),"")</f>
        <v>11.020595139999999</v>
      </c>
      <c r="AV571">
        <f ca="1">IFERROR(IF(0=LEN(ReferenceData!$AV$571),"",ReferenceData!$AV$571),"")</f>
        <v>11.86354291</v>
      </c>
      <c r="AW571">
        <f ca="1">IFERROR(IF(0=LEN(ReferenceData!$AW$571),"",ReferenceData!$AW$571),"")</f>
        <v>13.041100180000001</v>
      </c>
      <c r="AX571">
        <f ca="1">IFERROR(IF(0=LEN(ReferenceData!$AX$571),"",ReferenceData!$AX$571),"")</f>
        <v>15.27176416</v>
      </c>
      <c r="AY571">
        <f ca="1">IFERROR(IF(0=LEN(ReferenceData!$AY$571),"",ReferenceData!$AY$571),"")</f>
        <v>13.022377949999999</v>
      </c>
      <c r="AZ571">
        <f ca="1">IFERROR(IF(0=LEN(ReferenceData!$AZ$571),"",ReferenceData!$AZ$571),"")</f>
        <v>13.44062252</v>
      </c>
      <c r="BA571">
        <f ca="1">IFERROR(IF(0=LEN(ReferenceData!$BA$571),"",ReferenceData!$BA$571),"")</f>
        <v>9.5921985129999996</v>
      </c>
      <c r="BB571">
        <f ca="1">IFERROR(IF(0=LEN(ReferenceData!$BB$571),"",ReferenceData!$BB$571),"")</f>
        <v>10.909417850000001</v>
      </c>
      <c r="BC571">
        <f ca="1">IFERROR(IF(0=LEN(ReferenceData!$BC$571),"",ReferenceData!$BC$571),"")</f>
        <v>12.880261989999999</v>
      </c>
      <c r="BD571">
        <f ca="1">IFERROR(IF(0=LEN(ReferenceData!$BD$571),"",ReferenceData!$BD$571),"")</f>
        <v>12.206266100000001</v>
      </c>
      <c r="BE571">
        <f ca="1">IFERROR(IF(0=LEN(ReferenceData!$BE$571),"",ReferenceData!$BE$571),"")</f>
        <v>13.84747151</v>
      </c>
      <c r="BF571">
        <f ca="1">IFERROR(IF(0=LEN(ReferenceData!$BF$571),"",ReferenceData!$BF$571),"")</f>
        <v>11.42812034</v>
      </c>
      <c r="BG571">
        <f ca="1">IFERROR(IF(0=LEN(ReferenceData!$BG$571),"",ReferenceData!$BG$571),"")</f>
        <v>10.96701616</v>
      </c>
      <c r="BH571">
        <f ca="1">IFERROR(IF(0=LEN(ReferenceData!$BH$571),"",ReferenceData!$BH$571),"")</f>
        <v>10.99086997</v>
      </c>
      <c r="BI571">
        <f ca="1">IFERROR(IF(0=LEN(ReferenceData!$BI$571),"",ReferenceData!$BI$571),"")</f>
        <v>11.96348096</v>
      </c>
      <c r="BJ571">
        <f ca="1">IFERROR(IF(0=LEN(ReferenceData!$BJ$571),"",ReferenceData!$BJ$571),"")</f>
        <v>10.268867090000001</v>
      </c>
      <c r="BK571" t="str">
        <f ca="1">IFERROR(IF(0=LEN(ReferenceData!$BK$571),"",ReferenceData!$BK$571),"")</f>
        <v/>
      </c>
      <c r="BL571" t="str">
        <f ca="1">IFERROR(IF(0=LEN(ReferenceData!$BL$571),"",ReferenceData!$BL$571),"")</f>
        <v/>
      </c>
      <c r="BM571" t="str">
        <f ca="1">IFERROR(IF(0=LEN(ReferenceData!$BM$571),"",ReferenceData!$BM$571),"")</f>
        <v/>
      </c>
    </row>
    <row r="572" spans="1:65" x14ac:dyDescent="0.25">
      <c r="A572" t="str">
        <f>IFERROR(IF(0=LEN(ReferenceData!$A$572),"",ReferenceData!$A$572),"")</f>
        <v xml:space="preserve">    Suzuki Motor Corp</v>
      </c>
      <c r="B572" t="str">
        <f>IFERROR(IF(0=LEN(ReferenceData!$B$572),"",ReferenceData!$B$572),"")</f>
        <v>7269 JP Equity</v>
      </c>
      <c r="C572" t="str">
        <f>IFERROR(IF(0=LEN(ReferenceData!$C$572),"",ReferenceData!$C$572),"")</f>
        <v>RX076</v>
      </c>
      <c r="D572" t="str">
        <f>IFERROR(IF(0=LEN(ReferenceData!$D$572),"",ReferenceData!$D$572),"")</f>
        <v>EBIT_YIELD</v>
      </c>
      <c r="E572" t="str">
        <f>IFERROR(IF(0=LEN(ReferenceData!$E$572),"",ReferenceData!$E$572),"")</f>
        <v>Dynamic</v>
      </c>
      <c r="F572">
        <f ca="1">IFERROR(IF(0=LEN(ReferenceData!$F$572),"",ReferenceData!$F$572),"")</f>
        <v>14.405075220000001</v>
      </c>
      <c r="G572">
        <f ca="1">IFERROR(IF(0=LEN(ReferenceData!$G$572),"",ReferenceData!$G$572),"")</f>
        <v>14.95105526</v>
      </c>
      <c r="H572">
        <f ca="1">IFERROR(IF(0=LEN(ReferenceData!$H$572),"",ReferenceData!$H$572),"")</f>
        <v>13.875352250000001</v>
      </c>
      <c r="I572">
        <f ca="1">IFERROR(IF(0=LEN(ReferenceData!$I$572),"",ReferenceData!$I$572),"")</f>
        <v>15.01681518</v>
      </c>
      <c r="J572">
        <f ca="1">IFERROR(IF(0=LEN(ReferenceData!$J$572),"",ReferenceData!$J$572),"")</f>
        <v>14.79741508</v>
      </c>
      <c r="K572">
        <f ca="1">IFERROR(IF(0=LEN(ReferenceData!$K$572),"",ReferenceData!$K$572),"")</f>
        <v>12.45841927</v>
      </c>
      <c r="L572">
        <f ca="1">IFERROR(IF(0=LEN(ReferenceData!$L$572),"",ReferenceData!$L$572),"")</f>
        <v>12.444428009999999</v>
      </c>
      <c r="M572">
        <f ca="1">IFERROR(IF(0=LEN(ReferenceData!$M$572),"",ReferenceData!$M$572),"")</f>
        <v>12.44206016</v>
      </c>
      <c r="N572">
        <f ca="1">IFERROR(IF(0=LEN(ReferenceData!$N$572),"",ReferenceData!$N$572),"")</f>
        <v>13.0774667</v>
      </c>
      <c r="O572">
        <f ca="1">IFERROR(IF(0=LEN(ReferenceData!$O$572),"",ReferenceData!$O$572),"")</f>
        <v>11.92352932</v>
      </c>
      <c r="P572">
        <f ca="1">IFERROR(IF(0=LEN(ReferenceData!$P$572),"",ReferenceData!$P$572),"")</f>
        <v>14.07787598</v>
      </c>
      <c r="Q572">
        <f ca="1">IFERROR(IF(0=LEN(ReferenceData!$Q$572),"",ReferenceData!$Q$572),"")</f>
        <v>15.70776408</v>
      </c>
      <c r="R572">
        <f ca="1">IFERROR(IF(0=LEN(ReferenceData!$R$572),"",ReferenceData!$R$572),"")</f>
        <v>13.176795179999999</v>
      </c>
      <c r="S572">
        <f ca="1">IFERROR(IF(0=LEN(ReferenceData!$S$572),"",ReferenceData!$S$572),"")</f>
        <v>9.8391194899999999</v>
      </c>
      <c r="T572">
        <f ca="1">IFERROR(IF(0=LEN(ReferenceData!$T$572),"",ReferenceData!$T$572),"")</f>
        <v>9.3936656359999997</v>
      </c>
      <c r="U572">
        <f ca="1">IFERROR(IF(0=LEN(ReferenceData!$U$572),"",ReferenceData!$U$572),"")</f>
        <v>7.9178824800000003</v>
      </c>
      <c r="V572">
        <f ca="1">IFERROR(IF(0=LEN(ReferenceData!$V$572),"",ReferenceData!$V$572),"")</f>
        <v>8.8537690419999997</v>
      </c>
      <c r="W572">
        <f ca="1">IFERROR(IF(0=LEN(ReferenceData!$W$572),"",ReferenceData!$W$572),"")</f>
        <v>9.2185251739999998</v>
      </c>
      <c r="X572">
        <f ca="1">IFERROR(IF(0=LEN(ReferenceData!$X$572),"",ReferenceData!$X$572),"")</f>
        <v>9.2171389379999997</v>
      </c>
      <c r="Y572">
        <f ca="1">IFERROR(IF(0=LEN(ReferenceData!$Y$572),"",ReferenceData!$Y$572),"")</f>
        <v>10.93130906</v>
      </c>
      <c r="Z572">
        <f ca="1">IFERROR(IF(0=LEN(ReferenceData!$Z$572),"",ReferenceData!$Z$572),"")</f>
        <v>12.42324215</v>
      </c>
      <c r="AA572">
        <f ca="1">IFERROR(IF(0=LEN(ReferenceData!$AA$572),"",ReferenceData!$AA$572),"")</f>
        <v>11.750392270000001</v>
      </c>
      <c r="AB572">
        <f ca="1">IFERROR(IF(0=LEN(ReferenceData!$AB$572),"",ReferenceData!$AB$572),"")</f>
        <v>12.78774845</v>
      </c>
      <c r="AC572">
        <f ca="1">IFERROR(IF(0=LEN(ReferenceData!$AC$572),"",ReferenceData!$AC$572),"")</f>
        <v>11.926509830000001</v>
      </c>
      <c r="AD572">
        <f ca="1">IFERROR(IF(0=LEN(ReferenceData!$AD$572),"",ReferenceData!$AD$572),"")</f>
        <v>12.20780882</v>
      </c>
      <c r="AE572">
        <f ca="1">IFERROR(IF(0=LEN(ReferenceData!$AE$572),"",ReferenceData!$AE$572),"")</f>
        <v>9.8974228639999993</v>
      </c>
      <c r="AF572">
        <f ca="1">IFERROR(IF(0=LEN(ReferenceData!$AF$572),"",ReferenceData!$AF$572),"")</f>
        <v>14.204093200000001</v>
      </c>
      <c r="AG572">
        <f ca="1">IFERROR(IF(0=LEN(ReferenceData!$AG$572),"",ReferenceData!$AG$572),"")</f>
        <v>14.22794319</v>
      </c>
      <c r="AH572">
        <f ca="1">IFERROR(IF(0=LEN(ReferenceData!$AH$572),"",ReferenceData!$AH$572),"")</f>
        <v>10.75753461</v>
      </c>
      <c r="AI572">
        <f ca="1">IFERROR(IF(0=LEN(ReferenceData!$AI$572),"",ReferenceData!$AI$572),"")</f>
        <v>11.442184709999999</v>
      </c>
      <c r="AJ572">
        <f ca="1">IFERROR(IF(0=LEN(ReferenceData!$AJ$572),"",ReferenceData!$AJ$572),"")</f>
        <v>10.647393989999999</v>
      </c>
      <c r="AK572">
        <f ca="1">IFERROR(IF(0=LEN(ReferenceData!$AK$572),"",ReferenceData!$AK$572),"")</f>
        <v>9.9314750889999992</v>
      </c>
      <c r="AL572">
        <f ca="1">IFERROR(IF(0=LEN(ReferenceData!$AL$572),"",ReferenceData!$AL$572),"")</f>
        <v>10.26922905</v>
      </c>
      <c r="AM572">
        <f ca="1">IFERROR(IF(0=LEN(ReferenceData!$AM$572),"",ReferenceData!$AM$572),"")</f>
        <v>10.995901079999999</v>
      </c>
      <c r="AN572">
        <f ca="1">IFERROR(IF(0=LEN(ReferenceData!$AN$572),"",ReferenceData!$AN$572),"")</f>
        <v>12.48020307</v>
      </c>
      <c r="AO572">
        <f ca="1">IFERROR(IF(0=LEN(ReferenceData!$AO$572),"",ReferenceData!$AO$572),"")</f>
        <v>12.00401169</v>
      </c>
      <c r="AP572">
        <f ca="1">IFERROR(IF(0=LEN(ReferenceData!$AP$572),"",ReferenceData!$AP$572),"")</f>
        <v>8.2144975989999995</v>
      </c>
      <c r="AQ572">
        <f ca="1">IFERROR(IF(0=LEN(ReferenceData!$AQ$572),"",ReferenceData!$AQ$572),"")</f>
        <v>6.0799050790000004</v>
      </c>
      <c r="AR572">
        <f ca="1">IFERROR(IF(0=LEN(ReferenceData!$AR$572),"",ReferenceData!$AR$572),"")</f>
        <v>5.2655064060000001</v>
      </c>
      <c r="AS572">
        <f ca="1">IFERROR(IF(0=LEN(ReferenceData!$AS$572),"",ReferenceData!$AS$572),"")</f>
        <v>5.1823578939999999</v>
      </c>
      <c r="AT572">
        <f ca="1">IFERROR(IF(0=LEN(ReferenceData!$AT$572),"",ReferenceData!$AT$572),"")</f>
        <v>10.534126049999999</v>
      </c>
      <c r="AU572">
        <f ca="1">IFERROR(IF(0=LEN(ReferenceData!$AU$572),"",ReferenceData!$AU$572),"")</f>
        <v>17.863170820000001</v>
      </c>
      <c r="AV572">
        <f ca="1">IFERROR(IF(0=LEN(ReferenceData!$AV$572),"",ReferenceData!$AV$572),"")</f>
        <v>15.18263615</v>
      </c>
      <c r="AW572">
        <f ca="1">IFERROR(IF(0=LEN(ReferenceData!$AW$572),"",ReferenceData!$AW$572),"")</f>
        <v>12.60649972</v>
      </c>
      <c r="AX572">
        <f ca="1">IFERROR(IF(0=LEN(ReferenceData!$AX$572),"",ReferenceData!$AX$572),"")</f>
        <v>13.172628250000001</v>
      </c>
      <c r="AY572">
        <f ca="1">IFERROR(IF(0=LEN(ReferenceData!$AY$572),"",ReferenceData!$AY$572),"")</f>
        <v>9.949823726</v>
      </c>
      <c r="AZ572">
        <f ca="1">IFERROR(IF(0=LEN(ReferenceData!$AZ$572),"",ReferenceData!$AZ$572),"")</f>
        <v>9.4432295659999994</v>
      </c>
      <c r="BA572">
        <f ca="1">IFERROR(IF(0=LEN(ReferenceData!$BA$572),"",ReferenceData!$BA$572),"")</f>
        <v>8.9429654210000002</v>
      </c>
      <c r="BB572">
        <f ca="1">IFERROR(IF(0=LEN(ReferenceData!$BB$572),"",ReferenceData!$BB$572),"")</f>
        <v>9.8088788660000006</v>
      </c>
      <c r="BC572">
        <f ca="1">IFERROR(IF(0=LEN(ReferenceData!$BC$572),"",ReferenceData!$BC$572),"")</f>
        <v>8.3330591340000009</v>
      </c>
      <c r="BD572">
        <f ca="1">IFERROR(IF(0=LEN(ReferenceData!$BD$572),"",ReferenceData!$BD$572),"")</f>
        <v>8.8038211420000003</v>
      </c>
      <c r="BE572">
        <f ca="1">IFERROR(IF(0=LEN(ReferenceData!$BE$572),"",ReferenceData!$BE$572),"")</f>
        <v>9.7190525470000004</v>
      </c>
      <c r="BF572">
        <f ca="1">IFERROR(IF(0=LEN(ReferenceData!$BF$572),"",ReferenceData!$BF$572),"")</f>
        <v>8.053232027</v>
      </c>
      <c r="BG572">
        <f ca="1">IFERROR(IF(0=LEN(ReferenceData!$BG$572),"",ReferenceData!$BG$572),"")</f>
        <v>9.6453604039999998</v>
      </c>
      <c r="BH572">
        <f ca="1">IFERROR(IF(0=LEN(ReferenceData!$BH$572),"",ReferenceData!$BH$572),"")</f>
        <v>9.8815526029999994</v>
      </c>
      <c r="BI572">
        <f ca="1">IFERROR(IF(0=LEN(ReferenceData!$BI$572),"",ReferenceData!$BI$572),"")</f>
        <v>11.72214355</v>
      </c>
      <c r="BJ572">
        <f ca="1">IFERROR(IF(0=LEN(ReferenceData!$BJ$572),"",ReferenceData!$BJ$572),"")</f>
        <v>10.500005890000001</v>
      </c>
      <c r="BK572">
        <f ca="1">IFERROR(IF(0=LEN(ReferenceData!$BK$572),"",ReferenceData!$BK$572),"")</f>
        <v>10.736448640000001</v>
      </c>
      <c r="BL572">
        <f ca="1">IFERROR(IF(0=LEN(ReferenceData!$BL$572),"",ReferenceData!$BL$572),"")</f>
        <v>10.49984443</v>
      </c>
      <c r="BM572">
        <f ca="1">IFERROR(IF(0=LEN(ReferenceData!$BM$572),"",ReferenceData!$BM$572),"")</f>
        <v>9.5169593359999993</v>
      </c>
    </row>
    <row r="573" spans="1:65" x14ac:dyDescent="0.25">
      <c r="A573" t="str">
        <f>IFERROR(IF(0=LEN(ReferenceData!$A$573),"",ReferenceData!$A$573),"")</f>
        <v xml:space="preserve">    Tata Motors Ltd</v>
      </c>
      <c r="B573" t="str">
        <f>IFERROR(IF(0=LEN(ReferenceData!$B$573),"",ReferenceData!$B$573),"")</f>
        <v>TTMT IN Equity</v>
      </c>
      <c r="C573" t="str">
        <f>IFERROR(IF(0=LEN(ReferenceData!$C$573),"",ReferenceData!$C$573),"")</f>
        <v>RX076</v>
      </c>
      <c r="D573" t="str">
        <f>IFERROR(IF(0=LEN(ReferenceData!$D$573),"",ReferenceData!$D$573),"")</f>
        <v>EBIT_YIELD</v>
      </c>
      <c r="E573" t="str">
        <f>IFERROR(IF(0=LEN(ReferenceData!$E$573),"",ReferenceData!$E$573),"")</f>
        <v>Dynamic</v>
      </c>
      <c r="F573">
        <f ca="1">IFERROR(IF(0=LEN(ReferenceData!$F$573),"",ReferenceData!$F$573),"")</f>
        <v>7.4120203480000004</v>
      </c>
      <c r="G573">
        <f ca="1">IFERROR(IF(0=LEN(ReferenceData!$G$573),"",ReferenceData!$G$573),"")</f>
        <v>7.4806899050000002</v>
      </c>
      <c r="H573">
        <f ca="1">IFERROR(IF(0=LEN(ReferenceData!$H$573),"",ReferenceData!$H$573),"")</f>
        <v>10.21289419</v>
      </c>
      <c r="I573">
        <f ca="1">IFERROR(IF(0=LEN(ReferenceData!$I$573),"",ReferenceData!$I$573),"")</f>
        <v>11.583166029999999</v>
      </c>
      <c r="J573">
        <f ca="1">IFERROR(IF(0=LEN(ReferenceData!$J$573),"",ReferenceData!$J$573),"")</f>
        <v>10.32438936</v>
      </c>
      <c r="K573">
        <f ca="1">IFERROR(IF(0=LEN(ReferenceData!$K$573),"",ReferenceData!$K$573),"")</f>
        <v>8.9939316270000003</v>
      </c>
      <c r="L573">
        <f ca="1">IFERROR(IF(0=LEN(ReferenceData!$L$573),"",ReferenceData!$L$573),"")</f>
        <v>8.96802046</v>
      </c>
      <c r="M573">
        <f ca="1">IFERROR(IF(0=LEN(ReferenceData!$M$573),"",ReferenceData!$M$573),"")</f>
        <v>7.0836350450000003</v>
      </c>
      <c r="N573">
        <f ca="1">IFERROR(IF(0=LEN(ReferenceData!$N$573),"",ReferenceData!$N$573),"")</f>
        <v>9.1287771240000009</v>
      </c>
      <c r="O573">
        <f ca="1">IFERROR(IF(0=LEN(ReferenceData!$O$573),"",ReferenceData!$O$573),"")</f>
        <v>10.038148</v>
      </c>
      <c r="P573">
        <f ca="1">IFERROR(IF(0=LEN(ReferenceData!$P$573),"",ReferenceData!$P$573),"")</f>
        <v>10.280296290000001</v>
      </c>
      <c r="Q573">
        <f ca="1">IFERROR(IF(0=LEN(ReferenceData!$Q$573),"",ReferenceData!$Q$573),"")</f>
        <v>12.183254440000001</v>
      </c>
      <c r="R573">
        <f ca="1">IFERROR(IF(0=LEN(ReferenceData!$R$573),"",ReferenceData!$R$573),"")</f>
        <v>16.724696040000001</v>
      </c>
      <c r="S573">
        <f ca="1">IFERROR(IF(0=LEN(ReferenceData!$S$573),"",ReferenceData!$S$573),"")</f>
        <v>14.223128340000001</v>
      </c>
      <c r="T573">
        <f ca="1">IFERROR(IF(0=LEN(ReferenceData!$T$573),"",ReferenceData!$T$573),"")</f>
        <v>21.01287795</v>
      </c>
      <c r="U573">
        <f ca="1">IFERROR(IF(0=LEN(ReferenceData!$U$573),"",ReferenceData!$U$573),"")</f>
        <v>17.481035469999998</v>
      </c>
      <c r="V573">
        <f ca="1">IFERROR(IF(0=LEN(ReferenceData!$V$573),"",ReferenceData!$V$573),"")</f>
        <v>14.52706096</v>
      </c>
      <c r="W573">
        <f ca="1">IFERROR(IF(0=LEN(ReferenceData!$W$573),"",ReferenceData!$W$573),"")</f>
        <v>17.601048769999998</v>
      </c>
      <c r="X573">
        <f ca="1">IFERROR(IF(0=LEN(ReferenceData!$X$573),"",ReferenceData!$X$573),"")</f>
        <v>17.606966719999999</v>
      </c>
      <c r="Y573">
        <f ca="1">IFERROR(IF(0=LEN(ReferenceData!$Y$573),"",ReferenceData!$Y$573),"")</f>
        <v>20.180534720000001</v>
      </c>
      <c r="Z573">
        <f ca="1">IFERROR(IF(0=LEN(ReferenceData!$Z$573),"",ReferenceData!$Z$573),"")</f>
        <v>18.508187119999999</v>
      </c>
      <c r="AA573">
        <f ca="1">IFERROR(IF(0=LEN(ReferenceData!$AA$573),"",ReferenceData!$AA$573),"")</f>
        <v>18.480953580000001</v>
      </c>
      <c r="AB573">
        <f ca="1">IFERROR(IF(0=LEN(ReferenceData!$AB$573),"",ReferenceData!$AB$573),"")</f>
        <v>17.670985989999998</v>
      </c>
      <c r="AC573">
        <f ca="1">IFERROR(IF(0=LEN(ReferenceData!$AC$573),"",ReferenceData!$AC$573),"")</f>
        <v>18.527107220000001</v>
      </c>
      <c r="AD573">
        <f ca="1">IFERROR(IF(0=LEN(ReferenceData!$AD$573),"",ReferenceData!$AD$573),"")</f>
        <v>19.753234089999999</v>
      </c>
      <c r="AE573">
        <f ca="1">IFERROR(IF(0=LEN(ReferenceData!$AE$573),"",ReferenceData!$AE$573),"")</f>
        <v>16.777679320000001</v>
      </c>
      <c r="AF573">
        <f ca="1">IFERROR(IF(0=LEN(ReferenceData!$AF$573),"",ReferenceData!$AF$573),"")</f>
        <v>21.543416820000001</v>
      </c>
      <c r="AG573">
        <f ca="1">IFERROR(IF(0=LEN(ReferenceData!$AG$573),"",ReferenceData!$AG$573),"")</f>
        <v>23.062495699999999</v>
      </c>
      <c r="AH573">
        <f ca="1">IFERROR(IF(0=LEN(ReferenceData!$AH$573),"",ReferenceData!$AH$573),"")</f>
        <v>19.07368086</v>
      </c>
      <c r="AI573">
        <f ca="1">IFERROR(IF(0=LEN(ReferenceData!$AI$573),"",ReferenceData!$AI$573),"")</f>
        <v>23.430138889999998</v>
      </c>
      <c r="AJ573">
        <f ca="1">IFERROR(IF(0=LEN(ReferenceData!$AJ$573),"",ReferenceData!$AJ$573),"")</f>
        <v>23.086632569999999</v>
      </c>
      <c r="AK573">
        <f ca="1">IFERROR(IF(0=LEN(ReferenceData!$AK$573),"",ReferenceData!$AK$573),"")</f>
        <v>18.220712599999999</v>
      </c>
      <c r="AL573">
        <f ca="1">IFERROR(IF(0=LEN(ReferenceData!$AL$573),"",ReferenceData!$AL$573),"")</f>
        <v>14.60359667</v>
      </c>
      <c r="AM573">
        <f ca="1">IFERROR(IF(0=LEN(ReferenceData!$AM$573),"",ReferenceData!$AM$573),"")</f>
        <v>12.367279119999999</v>
      </c>
      <c r="AN573">
        <f ca="1">IFERROR(IF(0=LEN(ReferenceData!$AN$573),"",ReferenceData!$AN$573),"")</f>
        <v>12.724104329999999</v>
      </c>
      <c r="AO573">
        <f ca="1">IFERROR(IF(0=LEN(ReferenceData!$AO$573),"",ReferenceData!$AO$573),"")</f>
        <v>12.80919622</v>
      </c>
      <c r="AP573">
        <f ca="1">IFERROR(IF(0=LEN(ReferenceData!$AP$573),"",ReferenceData!$AP$573),"")</f>
        <v>5.7162306799999998</v>
      </c>
      <c r="AQ573">
        <f ca="1">IFERROR(IF(0=LEN(ReferenceData!$AQ$573),"",ReferenceData!$AQ$573),"")</f>
        <v>2.4032528430000002</v>
      </c>
      <c r="AR573">
        <f ca="1">IFERROR(IF(0=LEN(ReferenceData!$AR$573),"",ReferenceData!$AR$573),"")</f>
        <v>-6.5619578289999998</v>
      </c>
      <c r="AS573">
        <f ca="1">IFERROR(IF(0=LEN(ReferenceData!$AS$573),"",ReferenceData!$AS$573),"")</f>
        <v>-10.31108946</v>
      </c>
      <c r="AT573">
        <f ca="1">IFERROR(IF(0=LEN(ReferenceData!$AT$573),"",ReferenceData!$AT$573),"")</f>
        <v>5.5090873660000002</v>
      </c>
      <c r="AU573" t="str">
        <f ca="1">IFERROR(IF(0=LEN(ReferenceData!$AU$573),"",ReferenceData!$AU$573),"")</f>
        <v/>
      </c>
      <c r="AV573" t="str">
        <f ca="1">IFERROR(IF(0=LEN(ReferenceData!$AV$573),"",ReferenceData!$AV$573),"")</f>
        <v/>
      </c>
      <c r="AW573" t="str">
        <f ca="1">IFERROR(IF(0=LEN(ReferenceData!$AW$573),"",ReferenceData!$AW$573),"")</f>
        <v/>
      </c>
      <c r="AX573" t="str">
        <f ca="1">IFERROR(IF(0=LEN(ReferenceData!$AX$573),"",ReferenceData!$AX$573),"")</f>
        <v/>
      </c>
      <c r="AY573" t="str">
        <f ca="1">IFERROR(IF(0=LEN(ReferenceData!$AY$573),"",ReferenceData!$AY$573),"")</f>
        <v/>
      </c>
      <c r="AZ573" t="str">
        <f ca="1">IFERROR(IF(0=LEN(ReferenceData!$AZ$573),"",ReferenceData!$AZ$573),"")</f>
        <v/>
      </c>
      <c r="BA573" t="str">
        <f ca="1">IFERROR(IF(0=LEN(ReferenceData!$BA$573),"",ReferenceData!$BA$573),"")</f>
        <v/>
      </c>
      <c r="BB573" t="str">
        <f ca="1">IFERROR(IF(0=LEN(ReferenceData!$BB$573),"",ReferenceData!$BB$573),"")</f>
        <v/>
      </c>
      <c r="BC573" t="str">
        <f ca="1">IFERROR(IF(0=LEN(ReferenceData!$BC$573),"",ReferenceData!$BC$573),"")</f>
        <v/>
      </c>
      <c r="BD573" t="str">
        <f ca="1">IFERROR(IF(0=LEN(ReferenceData!$BD$573),"",ReferenceData!$BD$573),"")</f>
        <v/>
      </c>
      <c r="BE573" t="str">
        <f ca="1">IFERROR(IF(0=LEN(ReferenceData!$BE$573),"",ReferenceData!$BE$573),"")</f>
        <v/>
      </c>
      <c r="BF573" t="str">
        <f ca="1">IFERROR(IF(0=LEN(ReferenceData!$BF$573),"",ReferenceData!$BF$573),"")</f>
        <v/>
      </c>
      <c r="BG573" t="str">
        <f ca="1">IFERROR(IF(0=LEN(ReferenceData!$BG$573),"",ReferenceData!$BG$573),"")</f>
        <v/>
      </c>
      <c r="BH573" t="str">
        <f ca="1">IFERROR(IF(0=LEN(ReferenceData!$BH$573),"",ReferenceData!$BH$573),"")</f>
        <v/>
      </c>
      <c r="BI573" t="str">
        <f ca="1">IFERROR(IF(0=LEN(ReferenceData!$BI$573),"",ReferenceData!$BI$573),"")</f>
        <v/>
      </c>
      <c r="BJ573" t="str">
        <f ca="1">IFERROR(IF(0=LEN(ReferenceData!$BJ$573),"",ReferenceData!$BJ$573),"")</f>
        <v/>
      </c>
      <c r="BK573" t="str">
        <f ca="1">IFERROR(IF(0=LEN(ReferenceData!$BK$573),"",ReferenceData!$BK$573),"")</f>
        <v/>
      </c>
      <c r="BL573" t="str">
        <f ca="1">IFERROR(IF(0=LEN(ReferenceData!$BL$573),"",ReferenceData!$BL$573),"")</f>
        <v/>
      </c>
      <c r="BM573" t="str">
        <f ca="1">IFERROR(IF(0=LEN(ReferenceData!$BM$573),"",ReferenceData!$BM$573),"")</f>
        <v/>
      </c>
    </row>
    <row r="574" spans="1:65" x14ac:dyDescent="0.25">
      <c r="A574" t="str">
        <f>IFERROR(IF(0=LEN(ReferenceData!$A$574),"",ReferenceData!$A$574),"")</f>
        <v xml:space="preserve">    Tesla Inc</v>
      </c>
      <c r="B574" t="str">
        <f>IFERROR(IF(0=LEN(ReferenceData!$B$574),"",ReferenceData!$B$574),"")</f>
        <v>TSLA US Equity</v>
      </c>
      <c r="C574" t="str">
        <f>IFERROR(IF(0=LEN(ReferenceData!$C$574),"",ReferenceData!$C$574),"")</f>
        <v>RX076</v>
      </c>
      <c r="D574" t="str">
        <f>IFERROR(IF(0=LEN(ReferenceData!$D$574),"",ReferenceData!$D$574),"")</f>
        <v>EBIT_YIELD</v>
      </c>
      <c r="E574" t="str">
        <f>IFERROR(IF(0=LEN(ReferenceData!$E$574),"",ReferenceData!$E$574),"")</f>
        <v>Dynamic</v>
      </c>
      <c r="F574">
        <f ca="1">IFERROR(IF(0=LEN(ReferenceData!$F$574),"",ReferenceData!$F$574),"")</f>
        <v>-0.79527867100000005</v>
      </c>
      <c r="G574">
        <f ca="1">IFERROR(IF(0=LEN(ReferenceData!$G$574),"",ReferenceData!$G$574),"")</f>
        <v>-0.70373677400000001</v>
      </c>
      <c r="H574">
        <f ca="1">IFERROR(IF(0=LEN(ReferenceData!$H$574),"",ReferenceData!$H$574),"")</f>
        <v>-3.1346726180000002</v>
      </c>
      <c r="I574">
        <f ca="1">IFERROR(IF(0=LEN(ReferenceData!$I$574),"",ReferenceData!$I$574),"")</f>
        <v>-4.0645009969999997</v>
      </c>
      <c r="J574">
        <f ca="1">IFERROR(IF(0=LEN(ReferenceData!$J$574),"",ReferenceData!$J$574),"")</f>
        <v>-4.4121737420000002</v>
      </c>
      <c r="K574">
        <f ca="1">IFERROR(IF(0=LEN(ReferenceData!$K$574),"",ReferenceData!$K$574),"")</f>
        <v>-3.148007115</v>
      </c>
      <c r="L574">
        <f ca="1">IFERROR(IF(0=LEN(ReferenceData!$L$574),"",ReferenceData!$L$574),"")</f>
        <v>-2.3359615979999999</v>
      </c>
      <c r="M574">
        <f ca="1">IFERROR(IF(0=LEN(ReferenceData!$M$574),"",ReferenceData!$M$574),"")</f>
        <v>-1.159385508</v>
      </c>
      <c r="N574">
        <f ca="1">IFERROR(IF(0=LEN(ReferenceData!$N$574),"",ReferenceData!$N$574),"")</f>
        <v>-1.593504407</v>
      </c>
      <c r="O574">
        <f ca="1">IFERROR(IF(0=LEN(ReferenceData!$O$574),"",ReferenceData!$O$574),"")</f>
        <v>-2.207441915</v>
      </c>
      <c r="P574">
        <f ca="1">IFERROR(IF(0=LEN(ReferenceData!$P$574),"",ReferenceData!$P$574),"")</f>
        <v>-2.4420309329999998</v>
      </c>
      <c r="Q574">
        <f ca="1">IFERROR(IF(0=LEN(ReferenceData!$Q$574),"",ReferenceData!$Q$574),"")</f>
        <v>-3.2884986509999998</v>
      </c>
      <c r="R574">
        <f ca="1">IFERROR(IF(0=LEN(ReferenceData!$R$574),"",ReferenceData!$R$574),"")</f>
        <v>-2.8827459430000002</v>
      </c>
      <c r="S574">
        <f ca="1">IFERROR(IF(0=LEN(ReferenceData!$S$574),"",ReferenceData!$S$574),"")</f>
        <v>-2.3191490579999998</v>
      </c>
      <c r="T574">
        <f ca="1">IFERROR(IF(0=LEN(ReferenceData!$T$574),"",ReferenceData!$T$574),"")</f>
        <v>-1.6814668559999999</v>
      </c>
      <c r="U574">
        <f ca="1">IFERROR(IF(0=LEN(ReferenceData!$U$574),"",ReferenceData!$U$574),"")</f>
        <v>-1.1430509550000001</v>
      </c>
      <c r="V574">
        <f ca="1">IFERROR(IF(0=LEN(ReferenceData!$V$574),"",ReferenceData!$V$574),"")</f>
        <v>-1.035338426</v>
      </c>
      <c r="W574">
        <f ca="1">IFERROR(IF(0=LEN(ReferenceData!$W$574),"",ReferenceData!$W$574),"")</f>
        <v>-0.67312039300000004</v>
      </c>
      <c r="X574">
        <f ca="1">IFERROR(IF(0=LEN(ReferenceData!$X$574),"",ReferenceData!$X$574),"")</f>
        <v>-0.415975812</v>
      </c>
      <c r="Y574">
        <f ca="1">IFERROR(IF(0=LEN(ReferenceData!$Y$574),"",ReferenceData!$Y$574),"")</f>
        <v>-0.39446816299999998</v>
      </c>
      <c r="Z574">
        <f ca="1">IFERROR(IF(0=LEN(ReferenceData!$Z$574),"",ReferenceData!$Z$574),"")</f>
        <v>-0.39113279299999998</v>
      </c>
      <c r="AA574">
        <f ca="1">IFERROR(IF(0=LEN(ReferenceData!$AA$574),"",ReferenceData!$AA$574),"")</f>
        <v>-0.33763981900000001</v>
      </c>
      <c r="AB574">
        <f ca="1">IFERROR(IF(0=LEN(ReferenceData!$AB$574),"",ReferenceData!$AB$574),"")</f>
        <v>-0.61956473000000001</v>
      </c>
      <c r="AC574">
        <f ca="1">IFERROR(IF(0=LEN(ReferenceData!$AC$574),"",ReferenceData!$AC$574),"")</f>
        <v>-1.8394532370000001</v>
      </c>
      <c r="AD574">
        <f ca="1">IFERROR(IF(0=LEN(ReferenceData!$AD$574),"",ReferenceData!$AD$574),"")</f>
        <v>-7.6113207589999998</v>
      </c>
      <c r="AE574">
        <f ca="1">IFERROR(IF(0=LEN(ReferenceData!$AE$574),"",ReferenceData!$AE$574),"")</f>
        <v>-10.872018629999999</v>
      </c>
      <c r="AF574">
        <f ca="1">IFERROR(IF(0=LEN(ReferenceData!$AF$574),"",ReferenceData!$AF$574),"")</f>
        <v>-12.49554242</v>
      </c>
      <c r="AG574">
        <f ca="1">IFERROR(IF(0=LEN(ReferenceData!$AG$574),"",ReferenceData!$AG$574),"")</f>
        <v>-10.38893712</v>
      </c>
      <c r="AH574">
        <f ca="1">IFERROR(IF(0=LEN(ReferenceData!$AH$574),"",ReferenceData!$AH$574),"")</f>
        <v>-7.633467499</v>
      </c>
      <c r="AI574">
        <f ca="1">IFERROR(IF(0=LEN(ReferenceData!$AI$574),"",ReferenceData!$AI$574),"")</f>
        <v>-8.7289902020000003</v>
      </c>
      <c r="AJ574">
        <f ca="1">IFERROR(IF(0=LEN(ReferenceData!$AJ$574),"",ReferenceData!$AJ$574),"")</f>
        <v>-9.2898444740000006</v>
      </c>
      <c r="AK574">
        <f ca="1">IFERROR(IF(0=LEN(ReferenceData!$AK$574),"",ReferenceData!$AK$574),"")</f>
        <v>-7.0590873309999997</v>
      </c>
      <c r="AL574">
        <f ca="1">IFERROR(IF(0=LEN(ReferenceData!$AL$574),"",ReferenceData!$AL$574),"")</f>
        <v>-20.030844099999999</v>
      </c>
      <c r="AM574">
        <f ca="1">IFERROR(IF(0=LEN(ReferenceData!$AM$574),"",ReferenceData!$AM$574),"")</f>
        <v>-32.375459460000002</v>
      </c>
      <c r="AN574">
        <f ca="1">IFERROR(IF(0=LEN(ReferenceData!$AN$574),"",ReferenceData!$AN$574),"")</f>
        <v>-55.566408930000001</v>
      </c>
      <c r="AO574" t="str">
        <f ca="1">IFERROR(IF(0=LEN(ReferenceData!$AO$574),"",ReferenceData!$AO$574),"")</f>
        <v/>
      </c>
      <c r="AP574" t="str">
        <f ca="1">IFERROR(IF(0=LEN(ReferenceData!$AP$574),"",ReferenceData!$AP$574),"")</f>
        <v/>
      </c>
      <c r="AQ574" t="str">
        <f ca="1">IFERROR(IF(0=LEN(ReferenceData!$AQ$574),"",ReferenceData!$AQ$574),"")</f>
        <v/>
      </c>
      <c r="AR574" t="str">
        <f ca="1">IFERROR(IF(0=LEN(ReferenceData!$AR$574),"",ReferenceData!$AR$574),"")</f>
        <v/>
      </c>
      <c r="AS574" t="str">
        <f ca="1">IFERROR(IF(0=LEN(ReferenceData!$AS$574),"",ReferenceData!$AS$574),"")</f>
        <v/>
      </c>
      <c r="AT574" t="str">
        <f ca="1">IFERROR(IF(0=LEN(ReferenceData!$AT$574),"",ReferenceData!$AT$574),"")</f>
        <v/>
      </c>
      <c r="AU574" t="str">
        <f ca="1">IFERROR(IF(0=LEN(ReferenceData!$AU$574),"",ReferenceData!$AU$574),"")</f>
        <v/>
      </c>
      <c r="AV574" t="str">
        <f ca="1">IFERROR(IF(0=LEN(ReferenceData!$AV$574),"",ReferenceData!$AV$574),"")</f>
        <v/>
      </c>
      <c r="AW574" t="str">
        <f ca="1">IFERROR(IF(0=LEN(ReferenceData!$AW$574),"",ReferenceData!$AW$574),"")</f>
        <v/>
      </c>
      <c r="AX574" t="str">
        <f ca="1">IFERROR(IF(0=LEN(ReferenceData!$AX$574),"",ReferenceData!$AX$574),"")</f>
        <v/>
      </c>
      <c r="AY574" t="str">
        <f ca="1">IFERROR(IF(0=LEN(ReferenceData!$AY$574),"",ReferenceData!$AY$574),"")</f>
        <v/>
      </c>
      <c r="AZ574" t="str">
        <f ca="1">IFERROR(IF(0=LEN(ReferenceData!$AZ$574),"",ReferenceData!$AZ$574),"")</f>
        <v/>
      </c>
      <c r="BA574" t="str">
        <f ca="1">IFERROR(IF(0=LEN(ReferenceData!$BA$574),"",ReferenceData!$BA$574),"")</f>
        <v/>
      </c>
      <c r="BB574" t="str">
        <f ca="1">IFERROR(IF(0=LEN(ReferenceData!$BB$574),"",ReferenceData!$BB$574),"")</f>
        <v/>
      </c>
      <c r="BC574" t="str">
        <f ca="1">IFERROR(IF(0=LEN(ReferenceData!$BC$574),"",ReferenceData!$BC$574),"")</f>
        <v/>
      </c>
      <c r="BD574" t="str">
        <f ca="1">IFERROR(IF(0=LEN(ReferenceData!$BD$574),"",ReferenceData!$BD$574),"")</f>
        <v/>
      </c>
      <c r="BE574" t="str">
        <f ca="1">IFERROR(IF(0=LEN(ReferenceData!$BE$574),"",ReferenceData!$BE$574),"")</f>
        <v/>
      </c>
      <c r="BF574" t="str">
        <f ca="1">IFERROR(IF(0=LEN(ReferenceData!$BF$574),"",ReferenceData!$BF$574),"")</f>
        <v/>
      </c>
      <c r="BG574" t="str">
        <f ca="1">IFERROR(IF(0=LEN(ReferenceData!$BG$574),"",ReferenceData!$BG$574),"")</f>
        <v/>
      </c>
      <c r="BH574" t="str">
        <f ca="1">IFERROR(IF(0=LEN(ReferenceData!$BH$574),"",ReferenceData!$BH$574),"")</f>
        <v/>
      </c>
      <c r="BI574" t="str">
        <f ca="1">IFERROR(IF(0=LEN(ReferenceData!$BI$574),"",ReferenceData!$BI$574),"")</f>
        <v/>
      </c>
      <c r="BJ574" t="str">
        <f ca="1">IFERROR(IF(0=LEN(ReferenceData!$BJ$574),"",ReferenceData!$BJ$574),"")</f>
        <v/>
      </c>
      <c r="BK574" t="str">
        <f ca="1">IFERROR(IF(0=LEN(ReferenceData!$BK$574),"",ReferenceData!$BK$574),"")</f>
        <v/>
      </c>
      <c r="BL574" t="str">
        <f ca="1">IFERROR(IF(0=LEN(ReferenceData!$BL$574),"",ReferenceData!$BL$574),"")</f>
        <v/>
      </c>
      <c r="BM574" t="str">
        <f ca="1">IFERROR(IF(0=LEN(ReferenceData!$BM$574),"",ReferenceData!$BM$574),"")</f>
        <v/>
      </c>
    </row>
    <row r="575" spans="1:65" x14ac:dyDescent="0.25">
      <c r="A575" t="str">
        <f>IFERROR(IF(0=LEN(ReferenceData!$A$575),"",ReferenceData!$A$575),"")</f>
        <v xml:space="preserve">    Tianjin Faw Xiali Automobile Co Ltd</v>
      </c>
      <c r="B575" t="str">
        <f>IFERROR(IF(0=LEN(ReferenceData!$B$575),"",ReferenceData!$B$575),"")</f>
        <v>000927 CH Equity</v>
      </c>
      <c r="C575" t="str">
        <f>IFERROR(IF(0=LEN(ReferenceData!$C$575),"",ReferenceData!$C$575),"")</f>
        <v>RX076</v>
      </c>
      <c r="D575" t="str">
        <f>IFERROR(IF(0=LEN(ReferenceData!$D$575),"",ReferenceData!$D$575),"")</f>
        <v>EBIT_YIELD</v>
      </c>
      <c r="E575" t="str">
        <f>IFERROR(IF(0=LEN(ReferenceData!$E$575),"",ReferenceData!$E$575),"")</f>
        <v>Dynamic</v>
      </c>
      <c r="F575">
        <f ca="1">IFERROR(IF(0=LEN(ReferenceData!$F$575),"",ReferenceData!$F$575),"")</f>
        <v>-27.18024552</v>
      </c>
      <c r="G575">
        <f ca="1">IFERROR(IF(0=LEN(ReferenceData!$G$575),"",ReferenceData!$G$575),"")</f>
        <v>-31.580856699999998</v>
      </c>
      <c r="H575">
        <f ca="1">IFERROR(IF(0=LEN(ReferenceData!$H$575),"",ReferenceData!$H$575),"")</f>
        <v>-29.7843409</v>
      </c>
      <c r="I575">
        <f ca="1">IFERROR(IF(0=LEN(ReferenceData!$I$575),"",ReferenceData!$I$575),"")</f>
        <v>-27.116586559999998</v>
      </c>
      <c r="J575">
        <f ca="1">IFERROR(IF(0=LEN(ReferenceData!$J$575),"",ReferenceData!$J$575),"")</f>
        <v>-26.027801839999999</v>
      </c>
      <c r="K575">
        <f ca="1">IFERROR(IF(0=LEN(ReferenceData!$K$575),"",ReferenceData!$K$575),"")</f>
        <v>-23.850035940000001</v>
      </c>
      <c r="L575">
        <f ca="1">IFERROR(IF(0=LEN(ReferenceData!$L$575),"",ReferenceData!$L$575),"")</f>
        <v>-22.818134619999999</v>
      </c>
      <c r="M575">
        <f ca="1">IFERROR(IF(0=LEN(ReferenceData!$M$575),"",ReferenceData!$M$575),"")</f>
        <v>-23.856267200000001</v>
      </c>
      <c r="N575">
        <f ca="1">IFERROR(IF(0=LEN(ReferenceData!$N$575),"",ReferenceData!$N$575),"")</f>
        <v>-16.150549739999999</v>
      </c>
      <c r="O575">
        <f ca="1">IFERROR(IF(0=LEN(ReferenceData!$O$575),"",ReferenceData!$O$575),"")</f>
        <v>-20.413329789999999</v>
      </c>
      <c r="P575">
        <f ca="1">IFERROR(IF(0=LEN(ReferenceData!$P$575),"",ReferenceData!$P$575),"")</f>
        <v>-24.505657060000001</v>
      </c>
      <c r="Q575">
        <f ca="1">IFERROR(IF(0=LEN(ReferenceData!$Q$575),"",ReferenceData!$Q$575),"")</f>
        <v>-22.850154750000002</v>
      </c>
      <c r="R575">
        <f ca="1">IFERROR(IF(0=LEN(ReferenceData!$R$575),"",ReferenceData!$R$575),"")</f>
        <v>-17.71160798</v>
      </c>
      <c r="S575">
        <f ca="1">IFERROR(IF(0=LEN(ReferenceData!$S$575),"",ReferenceData!$S$575),"")</f>
        <v>-15.89355035</v>
      </c>
      <c r="T575">
        <f ca="1">IFERROR(IF(0=LEN(ReferenceData!$T$575),"",ReferenceData!$T$575),"")</f>
        <v>-19.63699415</v>
      </c>
      <c r="U575">
        <f ca="1">IFERROR(IF(0=LEN(ReferenceData!$U$575),"",ReferenceData!$U$575),"")</f>
        <v>-13.111657579999999</v>
      </c>
      <c r="V575">
        <f ca="1">IFERROR(IF(0=LEN(ReferenceData!$V$575),"",ReferenceData!$V$575),"")</f>
        <v>-15.20459965</v>
      </c>
      <c r="W575">
        <f ca="1">IFERROR(IF(0=LEN(ReferenceData!$W$575),"",ReferenceData!$W$575),"")</f>
        <v>-19.271020929999999</v>
      </c>
      <c r="X575">
        <f ca="1">IFERROR(IF(0=LEN(ReferenceData!$X$575),"",ReferenceData!$X$575),"")</f>
        <v>-21.35319561</v>
      </c>
      <c r="Y575">
        <f ca="1">IFERROR(IF(0=LEN(ReferenceData!$Y$575),"",ReferenceData!$Y$575),"")</f>
        <v>-27.594048900000001</v>
      </c>
      <c r="Z575">
        <f ca="1">IFERROR(IF(0=LEN(ReferenceData!$Z$575),"",ReferenceData!$Z$575),"")</f>
        <v>-27.14023444</v>
      </c>
      <c r="AA575">
        <f ca="1">IFERROR(IF(0=LEN(ReferenceData!$AA$575),"",ReferenceData!$AA$575),"")</f>
        <v>-27.52461885</v>
      </c>
      <c r="AB575">
        <f ca="1">IFERROR(IF(0=LEN(ReferenceData!$AB$575),"",ReferenceData!$AB$575),"")</f>
        <v>-20.272651329999999</v>
      </c>
      <c r="AC575">
        <f ca="1">IFERROR(IF(0=LEN(ReferenceData!$AC$575),"",ReferenceData!$AC$575),"")</f>
        <v>-21.187561680000002</v>
      </c>
      <c r="AD575">
        <f ca="1">IFERROR(IF(0=LEN(ReferenceData!$AD$575),"",ReferenceData!$AD$575),"")</f>
        <v>-16.67707695</v>
      </c>
      <c r="AE575">
        <f ca="1">IFERROR(IF(0=LEN(ReferenceData!$AE$575),"",ReferenceData!$AE$575),"")</f>
        <v>-15.62417374</v>
      </c>
      <c r="AF575">
        <f ca="1">IFERROR(IF(0=LEN(ReferenceData!$AF$575),"",ReferenceData!$AF$575),"")</f>
        <v>-19.267866699999999</v>
      </c>
      <c r="AG575">
        <f ca="1">IFERROR(IF(0=LEN(ReferenceData!$AG$575),"",ReferenceData!$AG$575),"")</f>
        <v>-12.373883169999999</v>
      </c>
      <c r="AH575">
        <f ca="1">IFERROR(IF(0=LEN(ReferenceData!$AH$575),"",ReferenceData!$AH$575),"")</f>
        <v>-11.49109194</v>
      </c>
      <c r="AI575">
        <f ca="1">IFERROR(IF(0=LEN(ReferenceData!$AI$575),"",ReferenceData!$AI$575),"")</f>
        <v>-11.221433149999999</v>
      </c>
      <c r="AJ575">
        <f ca="1">IFERROR(IF(0=LEN(ReferenceData!$AJ$575),"",ReferenceData!$AJ$575),"")</f>
        <v>-8.0551617449999995</v>
      </c>
      <c r="AK575">
        <f ca="1">IFERROR(IF(0=LEN(ReferenceData!$AK$575),"",ReferenceData!$AK$575),"")</f>
        <v>-8.0001365419999999</v>
      </c>
      <c r="AL575">
        <f ca="1">IFERROR(IF(0=LEN(ReferenceData!$AL$575),"",ReferenceData!$AL$575),"")</f>
        <v>-7.6853313859999997</v>
      </c>
      <c r="AM575">
        <f ca="1">IFERROR(IF(0=LEN(ReferenceData!$AM$575),"",ReferenceData!$AM$575),"")</f>
        <v>-7.2432624780000001</v>
      </c>
      <c r="AN575">
        <f ca="1">IFERROR(IF(0=LEN(ReferenceData!$AN$575),"",ReferenceData!$AN$575),"")</f>
        <v>-7.1245231489999998</v>
      </c>
      <c r="AO575">
        <f ca="1">IFERROR(IF(0=LEN(ReferenceData!$AO$575),"",ReferenceData!$AO$575),"")</f>
        <v>-7.7970809489999997</v>
      </c>
      <c r="AP575">
        <f ca="1">IFERROR(IF(0=LEN(ReferenceData!$AP$575),"",ReferenceData!$AP$575),"")</f>
        <v>-5.3997327759999996</v>
      </c>
      <c r="AQ575">
        <f ca="1">IFERROR(IF(0=LEN(ReferenceData!$AQ$575),"",ReferenceData!$AQ$575),"")</f>
        <v>-3.883366321</v>
      </c>
      <c r="AR575">
        <f ca="1">IFERROR(IF(0=LEN(ReferenceData!$AR$575),"",ReferenceData!$AR$575),"")</f>
        <v>-4.9438934970000004</v>
      </c>
      <c r="AS575">
        <f ca="1">IFERROR(IF(0=LEN(ReferenceData!$AS$575),"",ReferenceData!$AS$575),"")</f>
        <v>-3.5249987140000001</v>
      </c>
      <c r="AT575">
        <f ca="1">IFERROR(IF(0=LEN(ReferenceData!$AT$575),"",ReferenceData!$AT$575),"")</f>
        <v>-7.4709421440000003</v>
      </c>
      <c r="AU575">
        <f ca="1">IFERROR(IF(0=LEN(ReferenceData!$AU$575),"",ReferenceData!$AU$575),"")</f>
        <v>-11.75524933</v>
      </c>
      <c r="AV575">
        <f ca="1">IFERROR(IF(0=LEN(ReferenceData!$AV$575),"",ReferenceData!$AV$575),"")</f>
        <v>-17.399041879999999</v>
      </c>
      <c r="AW575">
        <f ca="1">IFERROR(IF(0=LEN(ReferenceData!$AW$575),"",ReferenceData!$AW$575),"")</f>
        <v>-14.01229801</v>
      </c>
      <c r="AX575">
        <f ca="1">IFERROR(IF(0=LEN(ReferenceData!$AX$575),"",ReferenceData!$AX$575),"")</f>
        <v>-5.7005368489999997</v>
      </c>
      <c r="AY575">
        <f ca="1">IFERROR(IF(0=LEN(ReferenceData!$AY$575),"",ReferenceData!$AY$575),"")</f>
        <v>-2.4722239799999999</v>
      </c>
      <c r="AZ575">
        <f ca="1">IFERROR(IF(0=LEN(ReferenceData!$AZ$575),"",ReferenceData!$AZ$575),"")</f>
        <v>-1.602494562</v>
      </c>
      <c r="BA575">
        <f ca="1">IFERROR(IF(0=LEN(ReferenceData!$BA$575),"",ReferenceData!$BA$575),"")</f>
        <v>0.541077111</v>
      </c>
      <c r="BB575">
        <f ca="1">IFERROR(IF(0=LEN(ReferenceData!$BB$575),"",ReferenceData!$BB$575),"")</f>
        <v>0.45234046500000002</v>
      </c>
      <c r="BC575">
        <f ca="1">IFERROR(IF(0=LEN(ReferenceData!$BC$575),"",ReferenceData!$BC$575),"")</f>
        <v>1.97169488</v>
      </c>
      <c r="BD575">
        <f ca="1">IFERROR(IF(0=LEN(ReferenceData!$BD$575),"",ReferenceData!$BD$575),"")</f>
        <v>2.796693527</v>
      </c>
      <c r="BE575">
        <f ca="1">IFERROR(IF(0=LEN(ReferenceData!$BE$575),"",ReferenceData!$BE$575),"")</f>
        <v>1.625064925</v>
      </c>
      <c r="BF575">
        <f ca="1">IFERROR(IF(0=LEN(ReferenceData!$BF$575),"",ReferenceData!$BF$575),"")</f>
        <v>-0.955295691</v>
      </c>
      <c r="BG575">
        <f ca="1">IFERROR(IF(0=LEN(ReferenceData!$BG$575),"",ReferenceData!$BG$575),"")</f>
        <v>2.6682628730000002</v>
      </c>
      <c r="BH575">
        <f ca="1">IFERROR(IF(0=LEN(ReferenceData!$BH$575),"",ReferenceData!$BH$575),"")</f>
        <v>0.98661405899999999</v>
      </c>
      <c r="BI575">
        <f ca="1">IFERROR(IF(0=LEN(ReferenceData!$BI$575),"",ReferenceData!$BI$575),"")</f>
        <v>-1.0936498290000001</v>
      </c>
      <c r="BJ575">
        <f ca="1">IFERROR(IF(0=LEN(ReferenceData!$BJ$575),"",ReferenceData!$BJ$575),"")</f>
        <v>-1.2891106489999999</v>
      </c>
      <c r="BK575">
        <f ca="1">IFERROR(IF(0=LEN(ReferenceData!$BK$575),"",ReferenceData!$BK$575),"")</f>
        <v>-1.63938531</v>
      </c>
      <c r="BL575">
        <f ca="1">IFERROR(IF(0=LEN(ReferenceData!$BL$575),"",ReferenceData!$BL$575),"")</f>
        <v>-1.294707064</v>
      </c>
      <c r="BM575">
        <f ca="1">IFERROR(IF(0=LEN(ReferenceData!$BM$575),"",ReferenceData!$BM$575),"")</f>
        <v>0.93330369800000001</v>
      </c>
    </row>
    <row r="576" spans="1:65" x14ac:dyDescent="0.25">
      <c r="A576" t="str">
        <f>IFERROR(IF(0=LEN(ReferenceData!$A$576),"",ReferenceData!$A$576),"")</f>
        <v xml:space="preserve">    Tofas Turk Otomobil Fabrikasi AS</v>
      </c>
      <c r="B576" t="str">
        <f>IFERROR(IF(0=LEN(ReferenceData!$B$576),"",ReferenceData!$B$576),"")</f>
        <v>TOASOTRY EO Equity</v>
      </c>
      <c r="C576" t="str">
        <f>IFERROR(IF(0=LEN(ReferenceData!$C$576),"",ReferenceData!$C$576),"")</f>
        <v>RX076</v>
      </c>
      <c r="D576" t="str">
        <f>IFERROR(IF(0=LEN(ReferenceData!$D$576),"",ReferenceData!$D$576),"")</f>
        <v>EBIT_YIELD</v>
      </c>
      <c r="E576" t="str">
        <f>IFERROR(IF(0=LEN(ReferenceData!$E$576),"",ReferenceData!$E$576),"")</f>
        <v>Dynamic</v>
      </c>
      <c r="F576">
        <f ca="1">IFERROR(IF(0=LEN(ReferenceData!$F$576),"",ReferenceData!$F$576),"")</f>
        <v>17.466539940000001</v>
      </c>
      <c r="G576">
        <f ca="1">IFERROR(IF(0=LEN(ReferenceData!$G$576),"",ReferenceData!$G$576),"")</f>
        <v>20.670461469999999</v>
      </c>
      <c r="H576">
        <f ca="1">IFERROR(IF(0=LEN(ReferenceData!$H$576),"",ReferenceData!$H$576),"")</f>
        <v>3.5338914109999999</v>
      </c>
      <c r="I576">
        <f ca="1">IFERROR(IF(0=LEN(ReferenceData!$I$576),"",ReferenceData!$I$576),"")</f>
        <v>1.075004252</v>
      </c>
      <c r="J576">
        <f ca="1">IFERROR(IF(0=LEN(ReferenceData!$J$576),"",ReferenceData!$J$576),"")</f>
        <v>-6.0286315950000002</v>
      </c>
      <c r="K576">
        <f ca="1">IFERROR(IF(0=LEN(ReferenceData!$K$576),"",ReferenceData!$K$576),"")</f>
        <v>-5.2957175860000003</v>
      </c>
      <c r="L576">
        <f ca="1">IFERROR(IF(0=LEN(ReferenceData!$L$576),"",ReferenceData!$L$576),"")</f>
        <v>8.5908679330000002</v>
      </c>
      <c r="M576">
        <f ca="1">IFERROR(IF(0=LEN(ReferenceData!$M$576),"",ReferenceData!$M$576),"")</f>
        <v>8.4212872900000004</v>
      </c>
      <c r="N576">
        <f ca="1">IFERROR(IF(0=LEN(ReferenceData!$N$576),"",ReferenceData!$N$576),"")</f>
        <v>7.0157972590000002</v>
      </c>
      <c r="O576">
        <f ca="1">IFERROR(IF(0=LEN(ReferenceData!$O$576),"",ReferenceData!$O$576),"")</f>
        <v>6.8796104649999998</v>
      </c>
      <c r="P576">
        <f ca="1">IFERROR(IF(0=LEN(ReferenceData!$P$576),"",ReferenceData!$P$576),"")</f>
        <v>6.5913424349999996</v>
      </c>
      <c r="Q576">
        <f ca="1">IFERROR(IF(0=LEN(ReferenceData!$Q$576),"",ReferenceData!$Q$576),"")</f>
        <v>6.1971911930000001</v>
      </c>
      <c r="R576">
        <f ca="1">IFERROR(IF(0=LEN(ReferenceData!$R$576),"",ReferenceData!$R$576),"")</f>
        <v>6.197629053</v>
      </c>
      <c r="S576">
        <f ca="1">IFERROR(IF(0=LEN(ReferenceData!$S$576),"",ReferenceData!$S$576),"")</f>
        <v>7.4437256590000001</v>
      </c>
      <c r="T576">
        <f ca="1">IFERROR(IF(0=LEN(ReferenceData!$T$576),"",ReferenceData!$T$576),"")</f>
        <v>7.5497380749999996</v>
      </c>
      <c r="U576">
        <f ca="1">IFERROR(IF(0=LEN(ReferenceData!$U$576),"",ReferenceData!$U$576),"")</f>
        <v>6.557988989</v>
      </c>
      <c r="V576">
        <f ca="1">IFERROR(IF(0=LEN(ReferenceData!$V$576),"",ReferenceData!$V$576),"")</f>
        <v>6.8761649709999997</v>
      </c>
      <c r="W576">
        <f ca="1">IFERROR(IF(0=LEN(ReferenceData!$W$576),"",ReferenceData!$W$576),"")</f>
        <v>6.5722131920000004</v>
      </c>
      <c r="X576">
        <f ca="1">IFERROR(IF(0=LEN(ReferenceData!$X$576),"",ReferenceData!$X$576),"")</f>
        <v>7.9539844239999997</v>
      </c>
      <c r="Y576">
        <f ca="1">IFERROR(IF(0=LEN(ReferenceData!$Y$576),"",ReferenceData!$Y$576),"")</f>
        <v>7.9719544669999998</v>
      </c>
      <c r="Z576">
        <f ca="1">IFERROR(IF(0=LEN(ReferenceData!$Z$576),"",ReferenceData!$Z$576),"")</f>
        <v>8.5011852500000007</v>
      </c>
      <c r="AA576">
        <f ca="1">IFERROR(IF(0=LEN(ReferenceData!$AA$576),"",ReferenceData!$AA$576),"")</f>
        <v>7.3853134889999996</v>
      </c>
      <c r="AB576">
        <f ca="1">IFERROR(IF(0=LEN(ReferenceData!$AB$576),"",ReferenceData!$AB$576),"")</f>
        <v>8.7134309729999995</v>
      </c>
      <c r="AC576">
        <f ca="1">IFERROR(IF(0=LEN(ReferenceData!$AC$576),"",ReferenceData!$AC$576),"")</f>
        <v>8.4980747030000003</v>
      </c>
      <c r="AD576">
        <f ca="1">IFERROR(IF(0=LEN(ReferenceData!$AD$576),"",ReferenceData!$AD$576),"")</f>
        <v>7.9501148879999999</v>
      </c>
      <c r="AE576">
        <f ca="1">IFERROR(IF(0=LEN(ReferenceData!$AE$576),"",ReferenceData!$AE$576),"")</f>
        <v>9.5406506499999999</v>
      </c>
      <c r="AF576">
        <f ca="1">IFERROR(IF(0=LEN(ReferenceData!$AF$576),"",ReferenceData!$AF$576),"")</f>
        <v>10.204383180000001</v>
      </c>
      <c r="AG576">
        <f ca="1">IFERROR(IF(0=LEN(ReferenceData!$AG$576),"",ReferenceData!$AG$576),"")</f>
        <v>12.79193791</v>
      </c>
      <c r="AH576">
        <f ca="1">IFERROR(IF(0=LEN(ReferenceData!$AH$576),"",ReferenceData!$AH$576),"")</f>
        <v>13.11679773</v>
      </c>
      <c r="AI576">
        <f ca="1">IFERROR(IF(0=LEN(ReferenceData!$AI$576),"",ReferenceData!$AI$576),"")</f>
        <v>16.537634990000001</v>
      </c>
      <c r="AJ576">
        <f ca="1">IFERROR(IF(0=LEN(ReferenceData!$AJ$576),"",ReferenceData!$AJ$576),"")</f>
        <v>14.9697589</v>
      </c>
      <c r="AK576">
        <f ca="1">IFERROR(IF(0=LEN(ReferenceData!$AK$576),"",ReferenceData!$AK$576),"")</f>
        <v>11.901243150000001</v>
      </c>
      <c r="AL576">
        <f ca="1">IFERROR(IF(0=LEN(ReferenceData!$AL$576),"",ReferenceData!$AL$576),"")</f>
        <v>9.0813072940000001</v>
      </c>
      <c r="AM576">
        <f ca="1">IFERROR(IF(0=LEN(ReferenceData!$AM$576),"",ReferenceData!$AM$576),"")</f>
        <v>9.7519347219999997</v>
      </c>
      <c r="AN576">
        <f ca="1">IFERROR(IF(0=LEN(ReferenceData!$AN$576),"",ReferenceData!$AN$576),"")</f>
        <v>8.6028534279999995</v>
      </c>
      <c r="AO576">
        <f ca="1">IFERROR(IF(0=LEN(ReferenceData!$AO$576),"",ReferenceData!$AO$576),"")</f>
        <v>12.92981479</v>
      </c>
      <c r="AP576">
        <f ca="1">IFERROR(IF(0=LEN(ReferenceData!$AP$576),"",ReferenceData!$AP$576),"")</f>
        <v>11.385859590000001</v>
      </c>
      <c r="AQ576">
        <f ca="1">IFERROR(IF(0=LEN(ReferenceData!$AQ$576),"",ReferenceData!$AQ$576),"")</f>
        <v>11.827796490000001</v>
      </c>
      <c r="AR576">
        <f ca="1">IFERROR(IF(0=LEN(ReferenceData!$AR$576),"",ReferenceData!$AR$576),"")</f>
        <v>13.32057414</v>
      </c>
      <c r="AS576">
        <f ca="1">IFERROR(IF(0=LEN(ReferenceData!$AS$576),"",ReferenceData!$AS$576),"")</f>
        <v>16.893851810000001</v>
      </c>
      <c r="AT576">
        <f ca="1">IFERROR(IF(0=LEN(ReferenceData!$AT$576),"",ReferenceData!$AT$576),"")</f>
        <v>35.618356329999997</v>
      </c>
      <c r="AU576">
        <f ca="1">IFERROR(IF(0=LEN(ReferenceData!$AU$576),"",ReferenceData!$AU$576),"")</f>
        <v>47.059826989999998</v>
      </c>
      <c r="AV576">
        <f ca="1">IFERROR(IF(0=LEN(ReferenceData!$AV$576),"",ReferenceData!$AV$576),"")</f>
        <v>18.67037363</v>
      </c>
      <c r="AW576">
        <f ca="1">IFERROR(IF(0=LEN(ReferenceData!$AW$576),"",ReferenceData!$AW$576),"")</f>
        <v>13.47309007</v>
      </c>
      <c r="AX576">
        <f ca="1">IFERROR(IF(0=LEN(ReferenceData!$AX$576),"",ReferenceData!$AX$576),"")</f>
        <v>8.0377211020000008</v>
      </c>
      <c r="AY576">
        <f ca="1">IFERROR(IF(0=LEN(ReferenceData!$AY$576),"",ReferenceData!$AY$576),"")</f>
        <v>4.2959675409999996</v>
      </c>
      <c r="AZ576">
        <f ca="1">IFERROR(IF(0=LEN(ReferenceData!$AZ$576),"",ReferenceData!$AZ$576),"")</f>
        <v>3.8779835519999999</v>
      </c>
      <c r="BA576">
        <f ca="1">IFERROR(IF(0=LEN(ReferenceData!$BA$576),"",ReferenceData!$BA$576),"")</f>
        <v>2.4606299530000002</v>
      </c>
      <c r="BB576">
        <f ca="1">IFERROR(IF(0=LEN(ReferenceData!$BB$576),"",ReferenceData!$BB$576),"")</f>
        <v>3.7200000520000001</v>
      </c>
      <c r="BC576">
        <f ca="1">IFERROR(IF(0=LEN(ReferenceData!$BC$576),"",ReferenceData!$BC$576),"")</f>
        <v>3.2384490480000001</v>
      </c>
      <c r="BD576">
        <f ca="1">IFERROR(IF(0=LEN(ReferenceData!$BD$576),"",ReferenceData!$BD$576),"")</f>
        <v>3.2232512830000002</v>
      </c>
      <c r="BE576">
        <f ca="1">IFERROR(IF(0=LEN(ReferenceData!$BE$576),"",ReferenceData!$BE$576),"")</f>
        <v>3.42400964</v>
      </c>
      <c r="BF576">
        <f ca="1">IFERROR(IF(0=LEN(ReferenceData!$BF$576),"",ReferenceData!$BF$576),"")</f>
        <v>1.507943737</v>
      </c>
      <c r="BG576">
        <f ca="1">IFERROR(IF(0=LEN(ReferenceData!$BG$576),"",ReferenceData!$BG$576),"")</f>
        <v>0.96607035100000005</v>
      </c>
      <c r="BH576">
        <f ca="1">IFERROR(IF(0=LEN(ReferenceData!$BH$576),"",ReferenceData!$BH$576),"")</f>
        <v>-3.8955546509999999</v>
      </c>
      <c r="BI576">
        <f ca="1">IFERROR(IF(0=LEN(ReferenceData!$BI$576),"",ReferenceData!$BI$576),"")</f>
        <v>-5.8993077710000001</v>
      </c>
      <c r="BJ576">
        <f ca="1">IFERROR(IF(0=LEN(ReferenceData!$BJ$576),"",ReferenceData!$BJ$576),"")</f>
        <v>-2.400596272</v>
      </c>
      <c r="BK576">
        <f ca="1">IFERROR(IF(0=LEN(ReferenceData!$BK$576),"",ReferenceData!$BK$576),"")</f>
        <v>1.589635967</v>
      </c>
      <c r="BL576">
        <f ca="1">IFERROR(IF(0=LEN(ReferenceData!$BL$576),"",ReferenceData!$BL$576),"")</f>
        <v>2.6714816410000002</v>
      </c>
      <c r="BM576">
        <f ca="1">IFERROR(IF(0=LEN(ReferenceData!$BM$576),"",ReferenceData!$BM$576),"")</f>
        <v>5.5409500200000004</v>
      </c>
    </row>
    <row r="577" spans="1:65" x14ac:dyDescent="0.25">
      <c r="A577" t="str">
        <f>IFERROR(IF(0=LEN(ReferenceData!$A$577),"",ReferenceData!$A$577),"")</f>
        <v xml:space="preserve">    Toyota Motor Corp</v>
      </c>
      <c r="B577" t="str">
        <f>IFERROR(IF(0=LEN(ReferenceData!$B$577),"",ReferenceData!$B$577),"")</f>
        <v>7203 JP Equity</v>
      </c>
      <c r="C577" t="str">
        <f>IFERROR(IF(0=LEN(ReferenceData!$C$577),"",ReferenceData!$C$577),"")</f>
        <v>RX076</v>
      </c>
      <c r="D577" t="str">
        <f>IFERROR(IF(0=LEN(ReferenceData!$D$577),"",ReferenceData!$D$577),"")</f>
        <v>EBIT_YIELD</v>
      </c>
      <c r="E577" t="str">
        <f>IFERROR(IF(0=LEN(ReferenceData!$E$577),"",ReferenceData!$E$577),"")</f>
        <v>Dynamic</v>
      </c>
      <c r="F577">
        <f ca="1">IFERROR(IF(0=LEN(ReferenceData!$F$577),"",ReferenceData!$F$577),"")</f>
        <v>13.20813976</v>
      </c>
      <c r="G577">
        <f ca="1">IFERROR(IF(0=LEN(ReferenceData!$G$577),"",ReferenceData!$G$577),"")</f>
        <v>13.855557170000001</v>
      </c>
      <c r="H577">
        <f ca="1">IFERROR(IF(0=LEN(ReferenceData!$H$577),"",ReferenceData!$H$577),"")</f>
        <v>12.41049196</v>
      </c>
      <c r="I577">
        <f ca="1">IFERROR(IF(0=LEN(ReferenceData!$I$577),"",ReferenceData!$I$577),"")</f>
        <v>11.94008676</v>
      </c>
      <c r="J577">
        <f ca="1">IFERROR(IF(0=LEN(ReferenceData!$J$577),"",ReferenceData!$J$577),"")</f>
        <v>11.93398947</v>
      </c>
      <c r="K577">
        <f ca="1">IFERROR(IF(0=LEN(ReferenceData!$K$577),"",ReferenceData!$K$577),"")</f>
        <v>10.346924059999999</v>
      </c>
      <c r="L577">
        <f ca="1">IFERROR(IF(0=LEN(ReferenceData!$L$577),"",ReferenceData!$L$577),"")</f>
        <v>9.8884401919999991</v>
      </c>
      <c r="M577">
        <f ca="1">IFERROR(IF(0=LEN(ReferenceData!$M$577),"",ReferenceData!$M$577),"")</f>
        <v>10.92701761</v>
      </c>
      <c r="N577">
        <f ca="1">IFERROR(IF(0=LEN(ReferenceData!$N$577),"",ReferenceData!$N$577),"")</f>
        <v>10.962507609999999</v>
      </c>
      <c r="O577">
        <f ca="1">IFERROR(IF(0=LEN(ReferenceData!$O$577),"",ReferenceData!$O$577),"")</f>
        <v>10.094001090000001</v>
      </c>
      <c r="P577">
        <f ca="1">IFERROR(IF(0=LEN(ReferenceData!$P$577),"",ReferenceData!$P$577),"")</f>
        <v>13.5185709</v>
      </c>
      <c r="Q577">
        <f ca="1">IFERROR(IF(0=LEN(ReferenceData!$Q$577),"",ReferenceData!$Q$577),"")</f>
        <v>17.562164589999998</v>
      </c>
      <c r="R577">
        <f ca="1">IFERROR(IF(0=LEN(ReferenceData!$R$577),"",ReferenceData!$R$577),"")</f>
        <v>15.38971722</v>
      </c>
      <c r="S577">
        <f ca="1">IFERROR(IF(0=LEN(ReferenceData!$S$577),"",ReferenceData!$S$577),"")</f>
        <v>12.537523419999999</v>
      </c>
      <c r="T577">
        <f ca="1">IFERROR(IF(0=LEN(ReferenceData!$T$577),"",ReferenceData!$T$577),"")</f>
        <v>13.58678205</v>
      </c>
      <c r="U577">
        <f ca="1">IFERROR(IF(0=LEN(ReferenceData!$U$577),"",ReferenceData!$U$577),"")</f>
        <v>10.878525529999999</v>
      </c>
      <c r="V577">
        <f ca="1">IFERROR(IF(0=LEN(ReferenceData!$V$577),"",ReferenceData!$V$577),"")</f>
        <v>10.38610753</v>
      </c>
      <c r="W577">
        <f ca="1">IFERROR(IF(0=LEN(ReferenceData!$W$577),"",ReferenceData!$W$577),"")</f>
        <v>10.66676316</v>
      </c>
      <c r="X577">
        <f ca="1">IFERROR(IF(0=LEN(ReferenceData!$X$577),"",ReferenceData!$X$577),"")</f>
        <v>11.67061988</v>
      </c>
      <c r="Y577">
        <f ca="1">IFERROR(IF(0=LEN(ReferenceData!$Y$577),"",ReferenceData!$Y$577),"")</f>
        <v>12.03917137</v>
      </c>
      <c r="Z577">
        <f ca="1">IFERROR(IF(0=LEN(ReferenceData!$Z$577),"",ReferenceData!$Z$577),"")</f>
        <v>12.415214049999999</v>
      </c>
      <c r="AA577">
        <f ca="1">IFERROR(IF(0=LEN(ReferenceData!$AA$577),"",ReferenceData!$AA$577),"")</f>
        <v>11.594025439999999</v>
      </c>
      <c r="AB577">
        <f ca="1">IFERROR(IF(0=LEN(ReferenceData!$AB$577),"",ReferenceData!$AB$577),"")</f>
        <v>9.4776237499999993</v>
      </c>
      <c r="AC577">
        <f ca="1">IFERROR(IF(0=LEN(ReferenceData!$AC$577),"",ReferenceData!$AC$577),"")</f>
        <v>8.5969404540000003</v>
      </c>
      <c r="AD577">
        <f ca="1">IFERROR(IF(0=LEN(ReferenceData!$AD$577),"",ReferenceData!$AD$577),"")</f>
        <v>8.5819815879999997</v>
      </c>
      <c r="AE577">
        <f ca="1">IFERROR(IF(0=LEN(ReferenceData!$AE$577),"",ReferenceData!$AE$577),"")</f>
        <v>8.3341205639999991</v>
      </c>
      <c r="AF577">
        <f ca="1">IFERROR(IF(0=LEN(ReferenceData!$AF$577),"",ReferenceData!$AF$577),"")</f>
        <v>11.25402158</v>
      </c>
      <c r="AG577">
        <f ca="1">IFERROR(IF(0=LEN(ReferenceData!$AG$577),"",ReferenceData!$AG$577),"")</f>
        <v>8.1068796699999996</v>
      </c>
      <c r="AH577">
        <f ca="1">IFERROR(IF(0=LEN(ReferenceData!$AH$577),"",ReferenceData!$AH$577),"")</f>
        <v>3.1558886429999999</v>
      </c>
      <c r="AI577">
        <f ca="1">IFERROR(IF(0=LEN(ReferenceData!$AI$577),"",ReferenceData!$AI$577),"")</f>
        <v>2.0290859640000001</v>
      </c>
      <c r="AJ577">
        <f ca="1">IFERROR(IF(0=LEN(ReferenceData!$AJ$577),"",ReferenceData!$AJ$577),"")</f>
        <v>1.3356835250000001</v>
      </c>
      <c r="AK577">
        <f ca="1">IFERROR(IF(0=LEN(ReferenceData!$AK$577),"",ReferenceData!$AK$577),"")</f>
        <v>1.4585200039999999</v>
      </c>
      <c r="AL577">
        <f ca="1">IFERROR(IF(0=LEN(ReferenceData!$AL$577),"",ReferenceData!$AL$577),"")</f>
        <v>4.4575226729999997</v>
      </c>
      <c r="AM577">
        <f ca="1">IFERROR(IF(0=LEN(ReferenceData!$AM$577),"",ReferenceData!$AM$577),"")</f>
        <v>5.1244464130000003</v>
      </c>
      <c r="AN577">
        <f ca="1">IFERROR(IF(0=LEN(ReferenceData!$AN$577),"",ReferenceData!$AN$577),"")</f>
        <v>6.4615338940000004</v>
      </c>
      <c r="AO577">
        <f ca="1">IFERROR(IF(0=LEN(ReferenceData!$AO$577),"",ReferenceData!$AO$577),"")</f>
        <v>5.7360894199999999</v>
      </c>
      <c r="AP577">
        <f ca="1">IFERROR(IF(0=LEN(ReferenceData!$AP$577),"",ReferenceData!$AP$577),"")</f>
        <v>1.2560138940000001</v>
      </c>
      <c r="AQ577">
        <f ca="1">IFERROR(IF(0=LEN(ReferenceData!$AQ$577),"",ReferenceData!$AQ$577),"")</f>
        <v>-5.1799135679999999</v>
      </c>
      <c r="AR577">
        <f ca="1">IFERROR(IF(0=LEN(ReferenceData!$AR$577),"",ReferenceData!$AR$577),"")</f>
        <v>-10.538984559999999</v>
      </c>
      <c r="AS577">
        <f ca="1">IFERROR(IF(0=LEN(ReferenceData!$AS$577),"",ReferenceData!$AS$577),"")</f>
        <v>-9.2851239430000003</v>
      </c>
      <c r="AT577">
        <f ca="1">IFERROR(IF(0=LEN(ReferenceData!$AT$577),"",ReferenceData!$AT$577),"")</f>
        <v>-4.7312213209999996</v>
      </c>
      <c r="AU577">
        <f ca="1">IFERROR(IF(0=LEN(ReferenceData!$AU$577),"",ReferenceData!$AU$577),"")</f>
        <v>6.853429942</v>
      </c>
      <c r="AV577">
        <f ca="1">IFERROR(IF(0=LEN(ReferenceData!$AV$577),"",ReferenceData!$AV$577),"")</f>
        <v>11.41783581</v>
      </c>
      <c r="AW577">
        <f ca="1">IFERROR(IF(0=LEN(ReferenceData!$AW$577),"",ReferenceData!$AW$577),"")</f>
        <v>12.643024049999999</v>
      </c>
      <c r="AX577">
        <f ca="1">IFERROR(IF(0=LEN(ReferenceData!$AX$577),"",ReferenceData!$AX$577),"")</f>
        <v>14.36596984</v>
      </c>
      <c r="AY577">
        <f ca="1">IFERROR(IF(0=LEN(ReferenceData!$AY$577),"",ReferenceData!$AY$577),"")</f>
        <v>12.69880341</v>
      </c>
      <c r="AZ577">
        <f ca="1">IFERROR(IF(0=LEN(ReferenceData!$AZ$577),"",ReferenceData!$AZ$577),"")</f>
        <v>11.164338689999999</v>
      </c>
      <c r="BA577">
        <f ca="1">IFERROR(IF(0=LEN(ReferenceData!$BA$577),"",ReferenceData!$BA$577),"")</f>
        <v>9.6196765850000006</v>
      </c>
      <c r="BB577">
        <f ca="1">IFERROR(IF(0=LEN(ReferenceData!$BB$577),"",ReferenceData!$BB$577),"")</f>
        <v>9.2405423019999997</v>
      </c>
      <c r="BC577">
        <f ca="1">IFERROR(IF(0=LEN(ReferenceData!$BC$577),"",ReferenceData!$BC$577),"")</f>
        <v>8.7877802410000001</v>
      </c>
      <c r="BD577">
        <f ca="1">IFERROR(IF(0=LEN(ReferenceData!$BD$577),"",ReferenceData!$BD$577),"")</f>
        <v>10.41019322</v>
      </c>
      <c r="BE577">
        <f ca="1">IFERROR(IF(0=LEN(ReferenceData!$BE$577),"",ReferenceData!$BE$577),"")</f>
        <v>10.216684669999999</v>
      </c>
      <c r="BF577">
        <f ca="1">IFERROR(IF(0=LEN(ReferenceData!$BF$577),"",ReferenceData!$BF$577),"")</f>
        <v>8.9772005959999994</v>
      </c>
      <c r="BG577">
        <f ca="1">IFERROR(IF(0=LEN(ReferenceData!$BG$577),"",ReferenceData!$BG$577),"")</f>
        <v>8.3075390470000006</v>
      </c>
      <c r="BH577">
        <f ca="1">IFERROR(IF(0=LEN(ReferenceData!$BH$577),"",ReferenceData!$BH$577),"")</f>
        <v>9.4045238439999999</v>
      </c>
      <c r="BI577">
        <f ca="1">IFERROR(IF(0=LEN(ReferenceData!$BI$577),"",ReferenceData!$BI$577),"")</f>
        <v>12.373051090000001</v>
      </c>
      <c r="BJ577">
        <f ca="1">IFERROR(IF(0=LEN(ReferenceData!$BJ$577),"",ReferenceData!$BJ$577),"")</f>
        <v>12.58221225</v>
      </c>
      <c r="BK577" t="str">
        <f ca="1">IFERROR(IF(0=LEN(ReferenceData!$BK$577),"",ReferenceData!$BK$577),"")</f>
        <v/>
      </c>
      <c r="BL577" t="str">
        <f ca="1">IFERROR(IF(0=LEN(ReferenceData!$BL$577),"",ReferenceData!$BL$577),"")</f>
        <v/>
      </c>
      <c r="BM577" t="str">
        <f ca="1">IFERROR(IF(0=LEN(ReferenceData!$BM$577),"",ReferenceData!$BM$577),"")</f>
        <v/>
      </c>
    </row>
    <row r="578" spans="1:65" x14ac:dyDescent="0.25">
      <c r="A578" t="str">
        <f>IFERROR(IF(0=LEN(ReferenceData!$A$578),"",ReferenceData!$A$578),"")</f>
        <v xml:space="preserve">    Volkswagen AG</v>
      </c>
      <c r="B578" t="str">
        <f>IFERROR(IF(0=LEN(ReferenceData!$B$578),"",ReferenceData!$B$578),"")</f>
        <v>VOW GR Equity</v>
      </c>
      <c r="C578" t="str">
        <f>IFERROR(IF(0=LEN(ReferenceData!$C$578),"",ReferenceData!$C$578),"")</f>
        <v>RX076</v>
      </c>
      <c r="D578" t="str">
        <f>IFERROR(IF(0=LEN(ReferenceData!$D$578),"",ReferenceData!$D$578),"")</f>
        <v>EBIT_YIELD</v>
      </c>
      <c r="E578" t="str">
        <f>IFERROR(IF(0=LEN(ReferenceData!$E$578),"",ReferenceData!$E$578),"")</f>
        <v>Dynamic</v>
      </c>
      <c r="F578" t="str">
        <f ca="1">IFERROR(IF(0=LEN(ReferenceData!$F$578),"",ReferenceData!$F$578),"")</f>
        <v/>
      </c>
      <c r="G578">
        <f ca="1">IFERROR(IF(0=LEN(ReferenceData!$G$578),"",ReferenceData!$G$578),"")</f>
        <v>20.447376980000001</v>
      </c>
      <c r="H578">
        <f ca="1">IFERROR(IF(0=LEN(ReferenceData!$H$578),"",ReferenceData!$H$578),"")</f>
        <v>18.776526350000001</v>
      </c>
      <c r="I578">
        <f ca="1">IFERROR(IF(0=LEN(ReferenceData!$I$578),"",ReferenceData!$I$578),"")</f>
        <v>18.41448316</v>
      </c>
      <c r="J578">
        <f ca="1">IFERROR(IF(0=LEN(ReferenceData!$J$578),"",ReferenceData!$J$578),"")</f>
        <v>16.73135456</v>
      </c>
      <c r="K578">
        <f ca="1">IFERROR(IF(0=LEN(ReferenceData!$K$578),"",ReferenceData!$K$578),"")</f>
        <v>16.340585350000001</v>
      </c>
      <c r="L578">
        <f ca="1">IFERROR(IF(0=LEN(ReferenceData!$L$578),"",ReferenceData!$L$578),"")</f>
        <v>12.688858059999999</v>
      </c>
      <c r="M578">
        <f ca="1">IFERROR(IF(0=LEN(ReferenceData!$M$578),"",ReferenceData!$M$578),"")</f>
        <v>15.64812457</v>
      </c>
      <c r="N578">
        <f ca="1">IFERROR(IF(0=LEN(ReferenceData!$N$578),"",ReferenceData!$N$578),"")</f>
        <v>11.472522680000001</v>
      </c>
      <c r="O578">
        <f ca="1">IFERROR(IF(0=LEN(ReferenceData!$O$578),"",ReferenceData!$O$578),"")</f>
        <v>10.361275150000001</v>
      </c>
      <c r="P578">
        <f ca="1">IFERROR(IF(0=LEN(ReferenceData!$P$578),"",ReferenceData!$P$578),"")</f>
        <v>1.9197148470000001</v>
      </c>
      <c r="Q578">
        <f ca="1">IFERROR(IF(0=LEN(ReferenceData!$Q$578),"",ReferenceData!$Q$578),"")</f>
        <v>-9.0700201299999996</v>
      </c>
      <c r="R578">
        <f ca="1">IFERROR(IF(0=LEN(ReferenceData!$R$578),"",ReferenceData!$R$578),"")</f>
        <v>-6.1943155140000004</v>
      </c>
      <c r="S578">
        <f ca="1">IFERROR(IF(0=LEN(ReferenceData!$S$578),"",ReferenceData!$S$578),"")</f>
        <v>-5.7044657770000002</v>
      </c>
      <c r="T578">
        <f ca="1">IFERROR(IF(0=LEN(ReferenceData!$T$578),"",ReferenceData!$T$578),"")</f>
        <v>12.371742729999999</v>
      </c>
      <c r="U578">
        <f ca="1">IFERROR(IF(0=LEN(ReferenceData!$U$578),"",ReferenceData!$U$578),"")</f>
        <v>12.81427581</v>
      </c>
      <c r="V578">
        <f ca="1">IFERROR(IF(0=LEN(ReferenceData!$V$578),"",ReferenceData!$V$578),"")</f>
        <v>11.04037278</v>
      </c>
      <c r="W578">
        <f ca="1">IFERROR(IF(0=LEN(ReferenceData!$W$578),"",ReferenceData!$W$578),"")</f>
        <v>14.20799701</v>
      </c>
      <c r="X578">
        <f ca="1">IFERROR(IF(0=LEN(ReferenceData!$X$578),"",ReferenceData!$X$578),"")</f>
        <v>15.52851343</v>
      </c>
      <c r="Y578">
        <f ca="1">IFERROR(IF(0=LEN(ReferenceData!$Y$578),"",ReferenceData!$Y$578),"")</f>
        <v>13.069524789999999</v>
      </c>
      <c r="Z578">
        <f ca="1">IFERROR(IF(0=LEN(ReferenceData!$Z$578),"",ReferenceData!$Z$578),"")</f>
        <v>13.5639596</v>
      </c>
      <c r="AA578">
        <f ca="1">IFERROR(IF(0=LEN(ReferenceData!$AA$578),"",ReferenceData!$AA$578),"")</f>
        <v>12.19157351</v>
      </c>
      <c r="AB578">
        <f ca="1">IFERROR(IF(0=LEN(ReferenceData!$AB$578),"",ReferenceData!$AB$578),"")</f>
        <v>13.835353080000001</v>
      </c>
      <c r="AC578">
        <f ca="1">IFERROR(IF(0=LEN(ReferenceData!$AC$578),"",ReferenceData!$AC$578),"")</f>
        <v>15.026905490000001</v>
      </c>
      <c r="AD578">
        <f ca="1">IFERROR(IF(0=LEN(ReferenceData!$AD$578),"",ReferenceData!$AD$578),"")</f>
        <v>15.460775699999999</v>
      </c>
      <c r="AE578">
        <f ca="1">IFERROR(IF(0=LEN(ReferenceData!$AE$578),"",ReferenceData!$AE$578),"")</f>
        <v>15.115330289999999</v>
      </c>
      <c r="AF578">
        <f ca="1">IFERROR(IF(0=LEN(ReferenceData!$AF$578),"",ReferenceData!$AF$578),"")</f>
        <v>18.37784156</v>
      </c>
      <c r="AG578">
        <f ca="1">IFERROR(IF(0=LEN(ReferenceData!$AG$578),"",ReferenceData!$AG$578),"")</f>
        <v>21.388405160000001</v>
      </c>
      <c r="AH578">
        <f ca="1">IFERROR(IF(0=LEN(ReferenceData!$AH$578),"",ReferenceData!$AH$578),"")</f>
        <v>20.460432260000001</v>
      </c>
      <c r="AI578">
        <f ca="1">IFERROR(IF(0=LEN(ReferenceData!$AI$578),"",ReferenceData!$AI$578),"")</f>
        <v>23.377699140000001</v>
      </c>
      <c r="AJ578">
        <f ca="1">IFERROR(IF(0=LEN(ReferenceData!$AJ$578),"",ReferenceData!$AJ$578),"")</f>
        <v>25.847205280000001</v>
      </c>
      <c r="AK578">
        <f ca="1">IFERROR(IF(0=LEN(ReferenceData!$AK$578),"",ReferenceData!$AK$578),"")</f>
        <v>17.547546440000001</v>
      </c>
      <c r="AL578">
        <f ca="1">IFERROR(IF(0=LEN(ReferenceData!$AL$578),"",ReferenceData!$AL$578),"")</f>
        <v>18.261919890000001</v>
      </c>
      <c r="AM578">
        <f ca="1">IFERROR(IF(0=LEN(ReferenceData!$AM$578),"",ReferenceData!$AM$578),"")</f>
        <v>14.75082098</v>
      </c>
      <c r="AN578">
        <f ca="1">IFERROR(IF(0=LEN(ReferenceData!$AN$578),"",ReferenceData!$AN$578),"")</f>
        <v>14.216259429999999</v>
      </c>
      <c r="AO578">
        <f ca="1">IFERROR(IF(0=LEN(ReferenceData!$AO$578),"",ReferenceData!$AO$578),"")</f>
        <v>11.36581661</v>
      </c>
      <c r="AP578">
        <f ca="1">IFERROR(IF(0=LEN(ReferenceData!$AP$578),"",ReferenceData!$AP$578),"")</f>
        <v>8.2905629459999997</v>
      </c>
      <c r="AQ578">
        <f ca="1">IFERROR(IF(0=LEN(ReferenceData!$AQ$578),"",ReferenceData!$AQ$578),"")</f>
        <v>6.0201603950000004</v>
      </c>
      <c r="AR578">
        <f ca="1">IFERROR(IF(0=LEN(ReferenceData!$AR$578),"",ReferenceData!$AR$578),"")</f>
        <v>7.2745140250000002</v>
      </c>
      <c r="AS578">
        <f ca="1">IFERROR(IF(0=LEN(ReferenceData!$AS$578),"",ReferenceData!$AS$578),"")</f>
        <v>4.6576289170000003</v>
      </c>
      <c r="AT578">
        <f ca="1">IFERROR(IF(0=LEN(ReferenceData!$AT$578),"",ReferenceData!$AT$578),"")</f>
        <v>6.2108768029999997</v>
      </c>
      <c r="AU578">
        <f ca="1">IFERROR(IF(0=LEN(ReferenceData!$AU$578),"",ReferenceData!$AU$578),"")</f>
        <v>6.7168706189999998</v>
      </c>
      <c r="AV578">
        <f ca="1">IFERROR(IF(0=LEN(ReferenceData!$AV$578),"",ReferenceData!$AV$578),"")</f>
        <v>6.4645078539999998</v>
      </c>
      <c r="AW578">
        <f ca="1">IFERROR(IF(0=LEN(ReferenceData!$AW$578),"",ReferenceData!$AW$578),"")</f>
        <v>9.8344177429999995</v>
      </c>
      <c r="AX578">
        <f ca="1">IFERROR(IF(0=LEN(ReferenceData!$AX$578),"",ReferenceData!$AX$578),"")</f>
        <v>9.2666238389999993</v>
      </c>
      <c r="AY578">
        <f ca="1">IFERROR(IF(0=LEN(ReferenceData!$AY$578),"",ReferenceData!$AY$578),"")</f>
        <v>10.56724902</v>
      </c>
      <c r="AZ578">
        <f ca="1">IFERROR(IF(0=LEN(ReferenceData!$AZ$578),"",ReferenceData!$AZ$578),"")</f>
        <v>9.1105922800000005</v>
      </c>
      <c r="BA578">
        <f ca="1">IFERROR(IF(0=LEN(ReferenceData!$BA$578),"",ReferenceData!$BA$578),"")</f>
        <v>11.38580415</v>
      </c>
      <c r="BB578">
        <f ca="1">IFERROR(IF(0=LEN(ReferenceData!$BB$578),"",ReferenceData!$BB$578),"")</f>
        <v>11.793439149999999</v>
      </c>
      <c r="BC578">
        <f ca="1">IFERROR(IF(0=LEN(ReferenceData!$BC$578),"",ReferenceData!$BC$578),"")</f>
        <v>14.435924610000001</v>
      </c>
      <c r="BD578">
        <f ca="1">IFERROR(IF(0=LEN(ReferenceData!$BD$578),"",ReferenceData!$BD$578),"")</f>
        <v>16.694993570000001</v>
      </c>
      <c r="BE578">
        <f ca="1">IFERROR(IF(0=LEN(ReferenceData!$BE$578),"",ReferenceData!$BE$578),"")</f>
        <v>18.215204140000001</v>
      </c>
      <c r="BF578">
        <f ca="1">IFERROR(IF(0=LEN(ReferenceData!$BF$578),"",ReferenceData!$BF$578),"")</f>
        <v>12.86664802</v>
      </c>
      <c r="BG578">
        <f ca="1">IFERROR(IF(0=LEN(ReferenceData!$BG$578),"",ReferenceData!$BG$578),"")</f>
        <v>16.301361499999999</v>
      </c>
      <c r="BH578">
        <f ca="1">IFERROR(IF(0=LEN(ReferenceData!$BH$578),"",ReferenceData!$BH$578),"")</f>
        <v>12.45242197</v>
      </c>
      <c r="BI578">
        <f ca="1">IFERROR(IF(0=LEN(ReferenceData!$BI$578),"",ReferenceData!$BI$578),"")</f>
        <v>16.039305550000002</v>
      </c>
      <c r="BJ578">
        <f ca="1">IFERROR(IF(0=LEN(ReferenceData!$BJ$578),"",ReferenceData!$BJ$578),"")</f>
        <v>14.004601129999999</v>
      </c>
      <c r="BK578">
        <f ca="1">IFERROR(IF(0=LEN(ReferenceData!$BK$578),"",ReferenceData!$BK$578),"")</f>
        <v>14.312801909999999</v>
      </c>
      <c r="BL578">
        <f ca="1">IFERROR(IF(0=LEN(ReferenceData!$BL$578),"",ReferenceData!$BL$578),"")</f>
        <v>10.880199169999999</v>
      </c>
      <c r="BM578">
        <f ca="1">IFERROR(IF(0=LEN(ReferenceData!$BM$578),"",ReferenceData!$BM$578),"")</f>
        <v>10.594786709999999</v>
      </c>
    </row>
    <row r="579" spans="1:65" x14ac:dyDescent="0.25">
      <c r="A579" t="str">
        <f>IFERROR(IF(0=LEN(ReferenceData!$A$579),"",ReferenceData!$A$579),"")</f>
        <v xml:space="preserve">    Yulon Motor Co Ltd</v>
      </c>
      <c r="B579" t="str">
        <f>IFERROR(IF(0=LEN(ReferenceData!$B$579),"",ReferenceData!$B$579),"")</f>
        <v>2201 TT Equity</v>
      </c>
      <c r="C579" t="str">
        <f>IFERROR(IF(0=LEN(ReferenceData!$C$579),"",ReferenceData!$C$579),"")</f>
        <v>RX076</v>
      </c>
      <c r="D579" t="str">
        <f>IFERROR(IF(0=LEN(ReferenceData!$D$579),"",ReferenceData!$D$579),"")</f>
        <v>EBIT_YIELD</v>
      </c>
      <c r="E579" t="str">
        <f>IFERROR(IF(0=LEN(ReferenceData!$E$579),"",ReferenceData!$E$579),"")</f>
        <v>Dynamic</v>
      </c>
      <c r="F579">
        <f ca="1">IFERROR(IF(0=LEN(ReferenceData!$F$579),"",ReferenceData!$F$579),"")</f>
        <v>7.6102377839999997</v>
      </c>
      <c r="G579">
        <f ca="1">IFERROR(IF(0=LEN(ReferenceData!$G$579),"",ReferenceData!$G$579),"")</f>
        <v>7.9238464840000002</v>
      </c>
      <c r="H579">
        <f ca="1">IFERROR(IF(0=LEN(ReferenceData!$H$579),"",ReferenceData!$H$579),"")</f>
        <v>6.6458067290000002</v>
      </c>
      <c r="I579">
        <f ca="1">IFERROR(IF(0=LEN(ReferenceData!$I$579),"",ReferenceData!$I$579),"")</f>
        <v>6.2148487399999999</v>
      </c>
      <c r="J579">
        <f ca="1">IFERROR(IF(0=LEN(ReferenceData!$J$579),"",ReferenceData!$J$579),"")</f>
        <v>5.3435762320000002</v>
      </c>
      <c r="K579">
        <f ca="1">IFERROR(IF(0=LEN(ReferenceData!$K$579),"",ReferenceData!$K$579),"")</f>
        <v>5.3905772699999996</v>
      </c>
      <c r="L579">
        <f ca="1">IFERROR(IF(0=LEN(ReferenceData!$L$579),"",ReferenceData!$L$579),"")</f>
        <v>6.716114696</v>
      </c>
      <c r="M579">
        <f ca="1">IFERROR(IF(0=LEN(ReferenceData!$M$579),"",ReferenceData!$M$579),"")</f>
        <v>6.1337144400000003</v>
      </c>
      <c r="N579">
        <f ca="1">IFERROR(IF(0=LEN(ReferenceData!$N$579),"",ReferenceData!$N$579),"")</f>
        <v>7.2228904969999999</v>
      </c>
      <c r="O579">
        <f ca="1">IFERROR(IF(0=LEN(ReferenceData!$O$579),"",ReferenceData!$O$579),"")</f>
        <v>5.5815981629999998</v>
      </c>
      <c r="P579">
        <f ca="1">IFERROR(IF(0=LEN(ReferenceData!$P$579),"",ReferenceData!$P$579),"")</f>
        <v>1.8957530570000001</v>
      </c>
      <c r="Q579">
        <f ca="1">IFERROR(IF(0=LEN(ReferenceData!$Q$579),"",ReferenceData!$Q$579),"")</f>
        <v>1.285532879</v>
      </c>
      <c r="R579">
        <f ca="1">IFERROR(IF(0=LEN(ReferenceData!$R$579),"",ReferenceData!$R$579),"")</f>
        <v>0.41126647</v>
      </c>
      <c r="S579">
        <f ca="1">IFERROR(IF(0=LEN(ReferenceData!$S$579),"",ReferenceData!$S$579),"")</f>
        <v>0.63868515699999995</v>
      </c>
      <c r="T579">
        <f ca="1">IFERROR(IF(0=LEN(ReferenceData!$T$579),"",ReferenceData!$T$579),"")</f>
        <v>-0.44764067000000002</v>
      </c>
      <c r="U579">
        <f ca="1">IFERROR(IF(0=LEN(ReferenceData!$U$579),"",ReferenceData!$U$579),"")</f>
        <v>1.078025231</v>
      </c>
      <c r="V579">
        <f ca="1">IFERROR(IF(0=LEN(ReferenceData!$V$579),"",ReferenceData!$V$579),"")</f>
        <v>0.95301832099999995</v>
      </c>
      <c r="W579">
        <f ca="1">IFERROR(IF(0=LEN(ReferenceData!$W$579),"",ReferenceData!$W$579),"")</f>
        <v>0.600362901</v>
      </c>
      <c r="X579">
        <f ca="1">IFERROR(IF(0=LEN(ReferenceData!$X$579),"",ReferenceData!$X$579),"")</f>
        <v>1.3838064480000001</v>
      </c>
      <c r="Y579">
        <f ca="1">IFERROR(IF(0=LEN(ReferenceData!$Y$579),"",ReferenceData!$Y$579),"")</f>
        <v>-0.62544220399999995</v>
      </c>
      <c r="Z579">
        <f ca="1">IFERROR(IF(0=LEN(ReferenceData!$Z$579),"",ReferenceData!$Z$579),"")</f>
        <v>-0.58748402600000005</v>
      </c>
      <c r="AA579">
        <f ca="1">IFERROR(IF(0=LEN(ReferenceData!$AA$579),"",ReferenceData!$AA$579),"")</f>
        <v>-0.47341655199999999</v>
      </c>
      <c r="AB579">
        <f ca="1">IFERROR(IF(0=LEN(ReferenceData!$AB$579),"",ReferenceData!$AB$579),"")</f>
        <v>2.898293E-2</v>
      </c>
      <c r="AC579">
        <f ca="1">IFERROR(IF(0=LEN(ReferenceData!$AC$579),"",ReferenceData!$AC$579),"")</f>
        <v>0.88289652399999996</v>
      </c>
      <c r="AD579">
        <f ca="1">IFERROR(IF(0=LEN(ReferenceData!$AD$579),"",ReferenceData!$AD$579),"")</f>
        <v>0.91877719000000002</v>
      </c>
      <c r="AE579">
        <f ca="1">IFERROR(IF(0=LEN(ReferenceData!$AE$579),"",ReferenceData!$AE$579),"")</f>
        <v>1.135617009</v>
      </c>
      <c r="AF579">
        <f ca="1">IFERROR(IF(0=LEN(ReferenceData!$AF$579),"",ReferenceData!$AF$579),"")</f>
        <v>1.749007797</v>
      </c>
      <c r="AG579">
        <f ca="1">IFERROR(IF(0=LEN(ReferenceData!$AG$579),"",ReferenceData!$AG$579),"")</f>
        <v>2.099518132</v>
      </c>
      <c r="AH579">
        <f ca="1">IFERROR(IF(0=LEN(ReferenceData!$AH$579),"",ReferenceData!$AH$579),"")</f>
        <v>2.0075493610000001</v>
      </c>
      <c r="AI579">
        <f ca="1">IFERROR(IF(0=LEN(ReferenceData!$AI$579),"",ReferenceData!$AI$579),"")</f>
        <v>2.501979274</v>
      </c>
      <c r="AJ579">
        <f ca="1">IFERROR(IF(0=LEN(ReferenceData!$AJ$579),"",ReferenceData!$AJ$579),"")</f>
        <v>2.5370667660000001</v>
      </c>
      <c r="AK579">
        <f ca="1">IFERROR(IF(0=LEN(ReferenceData!$AK$579),"",ReferenceData!$AK$579),"")</f>
        <v>2.2988834420000002</v>
      </c>
      <c r="AL579">
        <f ca="1">IFERROR(IF(0=LEN(ReferenceData!$AL$579),"",ReferenceData!$AL$579),"")</f>
        <v>3.4000923209999998</v>
      </c>
      <c r="AM579">
        <f ca="1">IFERROR(IF(0=LEN(ReferenceData!$AM$579),"",ReferenceData!$AM$579),"")</f>
        <v>2.506110504</v>
      </c>
      <c r="AN579">
        <f ca="1">IFERROR(IF(0=LEN(ReferenceData!$AN$579),"",ReferenceData!$AN$579),"")</f>
        <v>2.3741966670000001</v>
      </c>
      <c r="AO579">
        <f ca="1">IFERROR(IF(0=LEN(ReferenceData!$AO$579),"",ReferenceData!$AO$579),"")</f>
        <v>4.1142072929999998</v>
      </c>
      <c r="AP579">
        <f ca="1">IFERROR(IF(0=LEN(ReferenceData!$AP$579),"",ReferenceData!$AP$579),"")</f>
        <v>3.1432654699999998</v>
      </c>
      <c r="AQ579">
        <f ca="1">IFERROR(IF(0=LEN(ReferenceData!$AQ$579),"",ReferenceData!$AQ$579),"")</f>
        <v>2.2556235039999999</v>
      </c>
      <c r="AR579">
        <f ca="1">IFERROR(IF(0=LEN(ReferenceData!$AR$579),"",ReferenceData!$AR$579),"")</f>
        <v>1.7982017459999999</v>
      </c>
      <c r="AS579">
        <f ca="1">IFERROR(IF(0=LEN(ReferenceData!$AS$579),"",ReferenceData!$AS$579),"")</f>
        <v>0.836818167</v>
      </c>
      <c r="AT579">
        <f ca="1">IFERROR(IF(0=LEN(ReferenceData!$AT$579),"",ReferenceData!$AT$579),"")</f>
        <v>-0.62447127099999999</v>
      </c>
      <c r="AU579">
        <f ca="1">IFERROR(IF(0=LEN(ReferenceData!$AU$579),"",ReferenceData!$AU$579),"")</f>
        <v>-0.76151150199999995</v>
      </c>
      <c r="AV579" t="str">
        <f ca="1">IFERROR(IF(0=LEN(ReferenceData!$AV$579),"",ReferenceData!$AV$579),"")</f>
        <v/>
      </c>
      <c r="AW579" t="str">
        <f ca="1">IFERROR(IF(0=LEN(ReferenceData!$AW$579),"",ReferenceData!$AW$579),"")</f>
        <v/>
      </c>
      <c r="AX579" t="str">
        <f ca="1">IFERROR(IF(0=LEN(ReferenceData!$AX$579),"",ReferenceData!$AX$579),"")</f>
        <v/>
      </c>
      <c r="AY579" t="str">
        <f ca="1">IFERROR(IF(0=LEN(ReferenceData!$AY$579),"",ReferenceData!$AY$579),"")</f>
        <v/>
      </c>
      <c r="AZ579" t="str">
        <f ca="1">IFERROR(IF(0=LEN(ReferenceData!$AZ$579),"",ReferenceData!$AZ$579),"")</f>
        <v/>
      </c>
      <c r="BA579" t="str">
        <f ca="1">IFERROR(IF(0=LEN(ReferenceData!$BA$579),"",ReferenceData!$BA$579),"")</f>
        <v/>
      </c>
      <c r="BB579" t="str">
        <f ca="1">IFERROR(IF(0=LEN(ReferenceData!$BB$579),"",ReferenceData!$BB$579),"")</f>
        <v/>
      </c>
      <c r="BC579" t="str">
        <f ca="1">IFERROR(IF(0=LEN(ReferenceData!$BC$579),"",ReferenceData!$BC$579),"")</f>
        <v/>
      </c>
      <c r="BD579" t="str">
        <f ca="1">IFERROR(IF(0=LEN(ReferenceData!$BD$579),"",ReferenceData!$BD$579),"")</f>
        <v/>
      </c>
      <c r="BE579" t="str">
        <f ca="1">IFERROR(IF(0=LEN(ReferenceData!$BE$579),"",ReferenceData!$BE$579),"")</f>
        <v/>
      </c>
      <c r="BF579" t="str">
        <f ca="1">IFERROR(IF(0=LEN(ReferenceData!$BF$579),"",ReferenceData!$BF$579),"")</f>
        <v/>
      </c>
      <c r="BG579" t="str">
        <f ca="1">IFERROR(IF(0=LEN(ReferenceData!$BG$579),"",ReferenceData!$BG$579),"")</f>
        <v/>
      </c>
      <c r="BH579" t="str">
        <f ca="1">IFERROR(IF(0=LEN(ReferenceData!$BH$579),"",ReferenceData!$BH$579),"")</f>
        <v/>
      </c>
      <c r="BI579" t="str">
        <f ca="1">IFERROR(IF(0=LEN(ReferenceData!$BI$579),"",ReferenceData!$BI$579),"")</f>
        <v/>
      </c>
      <c r="BJ579" t="str">
        <f ca="1">IFERROR(IF(0=LEN(ReferenceData!$BJ$579),"",ReferenceData!$BJ$579),"")</f>
        <v/>
      </c>
      <c r="BK579" t="str">
        <f ca="1">IFERROR(IF(0=LEN(ReferenceData!$BK$579),"",ReferenceData!$BK$579),"")</f>
        <v/>
      </c>
      <c r="BL579" t="str">
        <f ca="1">IFERROR(IF(0=LEN(ReferenceData!$BL$579),"",ReferenceData!$BL$579),"")</f>
        <v/>
      </c>
      <c r="BM579" t="str">
        <f ca="1">IFERROR(IF(0=LEN(ReferenceData!$BM$579),"",ReferenceData!$BM$579),"")</f>
        <v/>
      </c>
    </row>
    <row r="580" spans="1:65" x14ac:dyDescent="0.25">
      <c r="A580" t="str">
        <f>IFERROR(IF(0=LEN(ReferenceData!$A$580),"",ReferenceData!$A$580),"")</f>
        <v>Free Cash Flow Yield</v>
      </c>
      <c r="B580" t="str">
        <f>IFERROR(IF(0=LEN(ReferenceData!$B$580),"",ReferenceData!$B$580),"")</f>
        <v/>
      </c>
      <c r="C580" t="str">
        <f>IFERROR(IF(0=LEN(ReferenceData!$C$580),"",ReferenceData!$C$580),"")</f>
        <v/>
      </c>
      <c r="D580" t="str">
        <f>IFERROR(IF(0=LEN(ReferenceData!$D$580),"",ReferenceData!$D$580),"")</f>
        <v/>
      </c>
      <c r="E580" t="str">
        <f>IFERROR(IF(0=LEN(ReferenceData!$E$580),"",ReferenceData!$E$580),"")</f>
        <v>Average</v>
      </c>
      <c r="F580">
        <f ca="1">IFERROR(IF(0=LEN(ReferenceData!$F$580),"",ReferenceData!$F$580),"")</f>
        <v>-2.0109039015454542</v>
      </c>
      <c r="G580">
        <f ca="1">IFERROR(IF(0=LEN(ReferenceData!$G$580),"",ReferenceData!$G$580),"")</f>
        <v>2.1691519128148138</v>
      </c>
      <c r="H580">
        <f ca="1">IFERROR(IF(0=LEN(ReferenceData!$H$580),"",ReferenceData!$H$580),"")</f>
        <v>1.3347840622222222</v>
      </c>
      <c r="I580">
        <f ca="1">IFERROR(IF(0=LEN(ReferenceData!$I$580),"",ReferenceData!$I$580),"")</f>
        <v>0.54717368439285807</v>
      </c>
      <c r="J580">
        <f ca="1">IFERROR(IF(0=LEN(ReferenceData!$J$580),"",ReferenceData!$J$580),"")</f>
        <v>1.4828924640357133</v>
      </c>
      <c r="K580">
        <f ca="1">IFERROR(IF(0=LEN(ReferenceData!$K$580),"",ReferenceData!$K$580),"")</f>
        <v>1.808039036821427</v>
      </c>
      <c r="L580">
        <f ca="1">IFERROR(IF(0=LEN(ReferenceData!$L$580),"",ReferenceData!$L$580),"")</f>
        <v>1.2711417435714283</v>
      </c>
      <c r="M580">
        <f ca="1">IFERROR(IF(0=LEN(ReferenceData!$M$580),"",ReferenceData!$M$580),"")</f>
        <v>1.6938412516071426</v>
      </c>
      <c r="N580">
        <f ca="1">IFERROR(IF(0=LEN(ReferenceData!$N$580),"",ReferenceData!$N$580),"")</f>
        <v>4.7719194764642863</v>
      </c>
      <c r="O580">
        <f ca="1">IFERROR(IF(0=LEN(ReferenceData!$O$580),"",ReferenceData!$O$580),"")</f>
        <v>1.3544176969642856</v>
      </c>
      <c r="P580">
        <f ca="1">IFERROR(IF(0=LEN(ReferenceData!$P$580),"",ReferenceData!$P$580),"")</f>
        <v>5.085761400814814</v>
      </c>
      <c r="Q580">
        <f ca="1">IFERROR(IF(0=LEN(ReferenceData!$Q$580),"",ReferenceData!$Q$580),"")</f>
        <v>6.4101064316666676</v>
      </c>
      <c r="R580">
        <f ca="1">IFERROR(IF(0=LEN(ReferenceData!$R$580),"",ReferenceData!$R$580),"")</f>
        <v>0.45318272837037066</v>
      </c>
      <c r="S580">
        <f ca="1">IFERROR(IF(0=LEN(ReferenceData!$S$580),"",ReferenceData!$S$580),"")</f>
        <v>-0.63196919042857203</v>
      </c>
      <c r="T580">
        <f ca="1">IFERROR(IF(0=LEN(ReferenceData!$T$580),"",ReferenceData!$T$580),"")</f>
        <v>-2.5135154618571436</v>
      </c>
      <c r="U580">
        <f ca="1">IFERROR(IF(0=LEN(ReferenceData!$U$580),"",ReferenceData!$U$580),"")</f>
        <v>-3.1345829308214292</v>
      </c>
      <c r="V580">
        <f ca="1">IFERROR(IF(0=LEN(ReferenceData!$V$580),"",ReferenceData!$V$580),"")</f>
        <v>-1.3044528186785715</v>
      </c>
      <c r="W580">
        <f ca="1">IFERROR(IF(0=LEN(ReferenceData!$W$580),"",ReferenceData!$W$580),"")</f>
        <v>7.9985242571428986E-2</v>
      </c>
      <c r="X580">
        <f ca="1">IFERROR(IF(0=LEN(ReferenceData!$X$580),"",ReferenceData!$X$580),"")</f>
        <v>-1.1839809488148147</v>
      </c>
      <c r="Y580">
        <f ca="1">IFERROR(IF(0=LEN(ReferenceData!$Y$580),"",ReferenceData!$Y$580),"")</f>
        <v>-1.1862006695185185</v>
      </c>
      <c r="Z580">
        <f ca="1">IFERROR(IF(0=LEN(ReferenceData!$Z$580),"",ReferenceData!$Z$580),"")</f>
        <v>-0.12006541159259256</v>
      </c>
      <c r="AA580">
        <f ca="1">IFERROR(IF(0=LEN(ReferenceData!$AA$580),"",ReferenceData!$AA$580),"")</f>
        <v>3.4635746160740744</v>
      </c>
      <c r="AB580">
        <f ca="1">IFERROR(IF(0=LEN(ReferenceData!$AB$580),"",ReferenceData!$AB$580),"")</f>
        <v>4.7563444754814803</v>
      </c>
      <c r="AC580">
        <f ca="1">IFERROR(IF(0=LEN(ReferenceData!$AC$580),"",ReferenceData!$AC$580),"")</f>
        <v>4.6745435075555557</v>
      </c>
      <c r="AD580">
        <f ca="1">IFERROR(IF(0=LEN(ReferenceData!$AD$580),"",ReferenceData!$AD$580),"")</f>
        <v>1.3872948617777776</v>
      </c>
      <c r="AE580">
        <f ca="1">IFERROR(IF(0=LEN(ReferenceData!$AE$580),"",ReferenceData!$AE$580),"")</f>
        <v>-0.78274509651851876</v>
      </c>
      <c r="AF580">
        <f ca="1">IFERROR(IF(0=LEN(ReferenceData!$AF$580),"",ReferenceData!$AF$580),"")</f>
        <v>-1.8133733339199987</v>
      </c>
      <c r="AG580">
        <f ca="1">IFERROR(IF(0=LEN(ReferenceData!$AG$580),"",ReferenceData!$AG$580),"")</f>
        <v>-3.1231874597999991</v>
      </c>
      <c r="AH580">
        <f ca="1">IFERROR(IF(0=LEN(ReferenceData!$AH$580),"",ReferenceData!$AH$580),"")</f>
        <v>-1.9366042794583329</v>
      </c>
      <c r="AI580">
        <f ca="1">IFERROR(IF(0=LEN(ReferenceData!$AI$580),"",ReferenceData!$AI$580),"")</f>
        <v>-1.3516247209166661</v>
      </c>
      <c r="AJ580">
        <f ca="1">IFERROR(IF(0=LEN(ReferenceData!$AJ$580),"",ReferenceData!$AJ$580),"")</f>
        <v>-5.4184276594166674</v>
      </c>
      <c r="AK580">
        <f ca="1">IFERROR(IF(0=LEN(ReferenceData!$AK$580),"",ReferenceData!$AK$580),"")</f>
        <v>1.3146691157307691</v>
      </c>
      <c r="AL580">
        <f ca="1">IFERROR(IF(0=LEN(ReferenceData!$AL$580),"",ReferenceData!$AL$580),"")</f>
        <v>4.0669167071923082</v>
      </c>
      <c r="AM580">
        <f ca="1">IFERROR(IF(0=LEN(ReferenceData!$AM$580),"",ReferenceData!$AM$580),"")</f>
        <v>3.7845276220384609</v>
      </c>
      <c r="AN580">
        <f ca="1">IFERROR(IF(0=LEN(ReferenceData!$AN$580),"",ReferenceData!$AN$580),"")</f>
        <v>8.6244470221739125</v>
      </c>
      <c r="AO580">
        <f ca="1">IFERROR(IF(0=LEN(ReferenceData!$AO$580),"",ReferenceData!$AO$580),"")</f>
        <v>21.193373531714286</v>
      </c>
      <c r="AP580">
        <f ca="1">IFERROR(IF(0=LEN(ReferenceData!$AP$580),"",ReferenceData!$AP$580),"")</f>
        <v>21.273201341619053</v>
      </c>
      <c r="AQ580">
        <f ca="1">IFERROR(IF(0=LEN(ReferenceData!$AQ$580),"",ReferenceData!$AQ$580),"")</f>
        <v>10.871671088190476</v>
      </c>
      <c r="AR580">
        <f ca="1">IFERROR(IF(0=LEN(ReferenceData!$AR$580),"",ReferenceData!$AR$580),"")</f>
        <v>-3.1045725241904769</v>
      </c>
      <c r="AS580">
        <f ca="1">IFERROR(IF(0=LEN(ReferenceData!$AS$580),"",ReferenceData!$AS$580),"")</f>
        <v>-8.1986233699523794</v>
      </c>
      <c r="AT580">
        <f ca="1">IFERROR(IF(0=LEN(ReferenceData!$AT$580),"",ReferenceData!$AT$580),"")</f>
        <v>-23.673450330380948</v>
      </c>
      <c r="AU580">
        <f ca="1">IFERROR(IF(0=LEN(ReferenceData!$AU$580),"",ReferenceData!$AU$580),"")</f>
        <v>-15.725374646937501</v>
      </c>
      <c r="AV580">
        <f ca="1">IFERROR(IF(0=LEN(ReferenceData!$AV$580),"",ReferenceData!$AV$580),"")</f>
        <v>8.6481425677142845</v>
      </c>
      <c r="AW580">
        <f ca="1">IFERROR(IF(0=LEN(ReferenceData!$AW$580),"",ReferenceData!$AW$580),"")</f>
        <v>8.2465674176428561</v>
      </c>
      <c r="AX580">
        <f ca="1">IFERROR(IF(0=LEN(ReferenceData!$AX$580),"",ReferenceData!$AX$580),"")</f>
        <v>12.509747469785713</v>
      </c>
      <c r="AY580">
        <f ca="1">IFERROR(IF(0=LEN(ReferenceData!$AY$580),"",ReferenceData!$AY$580),"")</f>
        <v>10.819299958928571</v>
      </c>
      <c r="AZ580">
        <f ca="1">IFERROR(IF(0=LEN(ReferenceData!$AZ$580),"",ReferenceData!$AZ$580),"")</f>
        <v>4.6390728260714287</v>
      </c>
      <c r="BA580">
        <f ca="1">IFERROR(IF(0=LEN(ReferenceData!$BA$580),"",ReferenceData!$BA$580),"")</f>
        <v>4.4750319187142864</v>
      </c>
      <c r="BB580">
        <f ca="1">IFERROR(IF(0=LEN(ReferenceData!$BB$580),"",ReferenceData!$BB$580),"")</f>
        <v>4.3138337767142856</v>
      </c>
      <c r="BC580">
        <f ca="1">IFERROR(IF(0=LEN(ReferenceData!$BC$580),"",ReferenceData!$BC$580),"")</f>
        <v>4.6611440891428577</v>
      </c>
      <c r="BD580">
        <f ca="1">IFERROR(IF(0=LEN(ReferenceData!$BD$580),"",ReferenceData!$BD$580),"")</f>
        <v>6.6592304756428566</v>
      </c>
      <c r="BE580">
        <f ca="1">IFERROR(IF(0=LEN(ReferenceData!$BE$580),"",ReferenceData!$BE$580),"")</f>
        <v>8.4211853029999997</v>
      </c>
      <c r="BF580">
        <f ca="1">IFERROR(IF(0=LEN(ReferenceData!$BF$580),"",ReferenceData!$BF$580),"")</f>
        <v>5.6979439827857146</v>
      </c>
      <c r="BG580">
        <f ca="1">IFERROR(IF(0=LEN(ReferenceData!$BG$580),"",ReferenceData!$BG$580),"")</f>
        <v>9.8723638999999999</v>
      </c>
      <c r="BH580">
        <f ca="1">IFERROR(IF(0=LEN(ReferenceData!$BH$580),"",ReferenceData!$BH$580),"")</f>
        <v>9.7044516730999995</v>
      </c>
      <c r="BI580">
        <f ca="1">IFERROR(IF(0=LEN(ReferenceData!$BI$580),"",ReferenceData!$BI$580),"")</f>
        <v>11.027852760666667</v>
      </c>
      <c r="BJ580">
        <f ca="1">IFERROR(IF(0=LEN(ReferenceData!$BJ$580),"",ReferenceData!$BJ$580),"")</f>
        <v>9.8910207213333319</v>
      </c>
      <c r="BK580">
        <f ca="1">IFERROR(IF(0=LEN(ReferenceData!$BK$580),"",ReferenceData!$BK$580),"")</f>
        <v>3.9116569704999984</v>
      </c>
      <c r="BL580">
        <f ca="1">IFERROR(IF(0=LEN(ReferenceData!$BL$580),"",ReferenceData!$BL$580),"")</f>
        <v>0.67659788342857097</v>
      </c>
      <c r="BM580">
        <f ca="1">IFERROR(IF(0=LEN(ReferenceData!$BM$580),"",ReferenceData!$BM$580),"")</f>
        <v>4.724710223142857</v>
      </c>
    </row>
    <row r="581" spans="1:65" x14ac:dyDescent="0.25">
      <c r="A581" t="str">
        <f>IFERROR(IF(0=LEN(ReferenceData!$A$581),"",ReferenceData!$A$581),"")</f>
        <v xml:space="preserve">    AUDI AG</v>
      </c>
      <c r="B581" t="str">
        <f>IFERROR(IF(0=LEN(ReferenceData!$B$581),"",ReferenceData!$B$581),"")</f>
        <v>NSU GR Equity</v>
      </c>
      <c r="C581" t="str">
        <f>IFERROR(IF(0=LEN(ReferenceData!$C$581),"",ReferenceData!$C$581),"")</f>
        <v>RX072</v>
      </c>
      <c r="D581" t="str">
        <f>IFERROR(IF(0=LEN(ReferenceData!$D$581),"",ReferenceData!$D$581),"")</f>
        <v>FREE_CASH_FLOW_YIELD</v>
      </c>
      <c r="E581" t="str">
        <f>IFERROR(IF(0=LEN(ReferenceData!$E$581),"",ReferenceData!$E$581),"")</f>
        <v>Dynamic</v>
      </c>
      <c r="F581" t="str">
        <f ca="1">IFERROR(IF(0=LEN(ReferenceData!$F$581),"",ReferenceData!$F$581),"")</f>
        <v/>
      </c>
      <c r="G581" t="str">
        <f ca="1">IFERROR(IF(0=LEN(ReferenceData!$G$581),"",ReferenceData!$G$581),"")</f>
        <v/>
      </c>
      <c r="H581" t="str">
        <f ca="1">IFERROR(IF(0=LEN(ReferenceData!$H$581),"",ReferenceData!$H$581),"")</f>
        <v/>
      </c>
      <c r="I581" t="str">
        <f ca="1">IFERROR(IF(0=LEN(ReferenceData!$I$581),"",ReferenceData!$I$581),"")</f>
        <v/>
      </c>
      <c r="J581" t="str">
        <f ca="1">IFERROR(IF(0=LEN(ReferenceData!$J$581),"",ReferenceData!$J$581),"")</f>
        <v/>
      </c>
      <c r="K581" t="str">
        <f ca="1">IFERROR(IF(0=LEN(ReferenceData!$K$581),"",ReferenceData!$K$581),"")</f>
        <v/>
      </c>
      <c r="L581" t="str">
        <f ca="1">IFERROR(IF(0=LEN(ReferenceData!$L$581),"",ReferenceData!$L$581),"")</f>
        <v/>
      </c>
      <c r="M581" t="str">
        <f ca="1">IFERROR(IF(0=LEN(ReferenceData!$M$581),"",ReferenceData!$M$581),"")</f>
        <v/>
      </c>
      <c r="N581" t="str">
        <f ca="1">IFERROR(IF(0=LEN(ReferenceData!$N$581),"",ReferenceData!$N$581),"")</f>
        <v/>
      </c>
      <c r="O581" t="str">
        <f ca="1">IFERROR(IF(0=LEN(ReferenceData!$O$581),"",ReferenceData!$O$581),"")</f>
        <v/>
      </c>
      <c r="P581" t="str">
        <f ca="1">IFERROR(IF(0=LEN(ReferenceData!$P$581),"",ReferenceData!$P$581),"")</f>
        <v/>
      </c>
      <c r="Q581" t="str">
        <f ca="1">IFERROR(IF(0=LEN(ReferenceData!$Q$581),"",ReferenceData!$Q$581),"")</f>
        <v/>
      </c>
      <c r="R581" t="str">
        <f ca="1">IFERROR(IF(0=LEN(ReferenceData!$R$581),"",ReferenceData!$R$581),"")</f>
        <v/>
      </c>
      <c r="S581" t="str">
        <f ca="1">IFERROR(IF(0=LEN(ReferenceData!$S$581),"",ReferenceData!$S$581),"")</f>
        <v/>
      </c>
      <c r="T581" t="str">
        <f ca="1">IFERROR(IF(0=LEN(ReferenceData!$T$581),"",ReferenceData!$T$581),"")</f>
        <v/>
      </c>
      <c r="U581" t="str">
        <f ca="1">IFERROR(IF(0=LEN(ReferenceData!$U$581),"",ReferenceData!$U$581),"")</f>
        <v/>
      </c>
      <c r="V581" t="str">
        <f ca="1">IFERROR(IF(0=LEN(ReferenceData!$V$581),"",ReferenceData!$V$581),"")</f>
        <v/>
      </c>
      <c r="W581" t="str">
        <f ca="1">IFERROR(IF(0=LEN(ReferenceData!$W$581),"",ReferenceData!$W$581),"")</f>
        <v/>
      </c>
      <c r="X581" t="str">
        <f ca="1">IFERROR(IF(0=LEN(ReferenceData!$X$581),"",ReferenceData!$X$581),"")</f>
        <v/>
      </c>
      <c r="Y581" t="str">
        <f ca="1">IFERROR(IF(0=LEN(ReferenceData!$Y$581),"",ReferenceData!$Y$581),"")</f>
        <v/>
      </c>
      <c r="Z581" t="str">
        <f ca="1">IFERROR(IF(0=LEN(ReferenceData!$Z$581),"",ReferenceData!$Z$581),"")</f>
        <v/>
      </c>
      <c r="AA581" t="str">
        <f ca="1">IFERROR(IF(0=LEN(ReferenceData!$AA$581),"",ReferenceData!$AA$581),"")</f>
        <v/>
      </c>
      <c r="AB581" t="str">
        <f ca="1">IFERROR(IF(0=LEN(ReferenceData!$AB$581),"",ReferenceData!$AB$581),"")</f>
        <v/>
      </c>
      <c r="AC581" t="str">
        <f ca="1">IFERROR(IF(0=LEN(ReferenceData!$AC$581),"",ReferenceData!$AC$581),"")</f>
        <v/>
      </c>
      <c r="AD581" t="str">
        <f ca="1">IFERROR(IF(0=LEN(ReferenceData!$AD$581),"",ReferenceData!$AD$581),"")</f>
        <v/>
      </c>
      <c r="AE581" t="str">
        <f ca="1">IFERROR(IF(0=LEN(ReferenceData!$AE$581),"",ReferenceData!$AE$581),"")</f>
        <v/>
      </c>
      <c r="AF581" t="str">
        <f ca="1">IFERROR(IF(0=LEN(ReferenceData!$AF$581),"",ReferenceData!$AF$581),"")</f>
        <v/>
      </c>
      <c r="AG581" t="str">
        <f ca="1">IFERROR(IF(0=LEN(ReferenceData!$AG$581),"",ReferenceData!$AG$581),"")</f>
        <v/>
      </c>
      <c r="AH581" t="str">
        <f ca="1">IFERROR(IF(0=LEN(ReferenceData!$AH$581),"",ReferenceData!$AH$581),"")</f>
        <v/>
      </c>
      <c r="AI581" t="str">
        <f ca="1">IFERROR(IF(0=LEN(ReferenceData!$AI$581),"",ReferenceData!$AI$581),"")</f>
        <v/>
      </c>
      <c r="AJ581" t="str">
        <f ca="1">IFERROR(IF(0=LEN(ReferenceData!$AJ$581),"",ReferenceData!$AJ$581),"")</f>
        <v/>
      </c>
      <c r="AK581" t="str">
        <f ca="1">IFERROR(IF(0=LEN(ReferenceData!$AK$581),"",ReferenceData!$AK$581),"")</f>
        <v/>
      </c>
      <c r="AL581" t="str">
        <f ca="1">IFERROR(IF(0=LEN(ReferenceData!$AL$581),"",ReferenceData!$AL$581),"")</f>
        <v/>
      </c>
      <c r="AM581" t="str">
        <f ca="1">IFERROR(IF(0=LEN(ReferenceData!$AM$581),"",ReferenceData!$AM$581),"")</f>
        <v/>
      </c>
      <c r="AN581" t="str">
        <f ca="1">IFERROR(IF(0=LEN(ReferenceData!$AN$581),"",ReferenceData!$AN$581),"")</f>
        <v/>
      </c>
      <c r="AO581" t="str">
        <f ca="1">IFERROR(IF(0=LEN(ReferenceData!$AO$581),"",ReferenceData!$AO$581),"")</f>
        <v/>
      </c>
      <c r="AP581" t="str">
        <f ca="1">IFERROR(IF(0=LEN(ReferenceData!$AP$581),"",ReferenceData!$AP$581),"")</f>
        <v/>
      </c>
      <c r="AQ581" t="str">
        <f ca="1">IFERROR(IF(0=LEN(ReferenceData!$AQ$581),"",ReferenceData!$AQ$581),"")</f>
        <v/>
      </c>
      <c r="AR581" t="str">
        <f ca="1">IFERROR(IF(0=LEN(ReferenceData!$AR$581),"",ReferenceData!$AR$581),"")</f>
        <v/>
      </c>
      <c r="AS581" t="str">
        <f ca="1">IFERROR(IF(0=LEN(ReferenceData!$AS$581),"",ReferenceData!$AS$581),"")</f>
        <v/>
      </c>
      <c r="AT581" t="str">
        <f ca="1">IFERROR(IF(0=LEN(ReferenceData!$AT$581),"",ReferenceData!$AT$581),"")</f>
        <v/>
      </c>
      <c r="AU581" t="str">
        <f ca="1">IFERROR(IF(0=LEN(ReferenceData!$AU$581),"",ReferenceData!$AU$581),"")</f>
        <v/>
      </c>
      <c r="AV581" t="str">
        <f ca="1">IFERROR(IF(0=LEN(ReferenceData!$AV$581),"",ReferenceData!$AV$581),"")</f>
        <v/>
      </c>
      <c r="AW581" t="str">
        <f ca="1">IFERROR(IF(0=LEN(ReferenceData!$AW$581),"",ReferenceData!$AW$581),"")</f>
        <v/>
      </c>
      <c r="AX581" t="str">
        <f ca="1">IFERROR(IF(0=LEN(ReferenceData!$AX$581),"",ReferenceData!$AX$581),"")</f>
        <v/>
      </c>
      <c r="AY581" t="str">
        <f ca="1">IFERROR(IF(0=LEN(ReferenceData!$AY$581),"",ReferenceData!$AY$581),"")</f>
        <v/>
      </c>
      <c r="AZ581" t="str">
        <f ca="1">IFERROR(IF(0=LEN(ReferenceData!$AZ$581),"",ReferenceData!$AZ$581),"")</f>
        <v/>
      </c>
      <c r="BA581" t="str">
        <f ca="1">IFERROR(IF(0=LEN(ReferenceData!$BA$581),"",ReferenceData!$BA$581),"")</f>
        <v/>
      </c>
      <c r="BB581" t="str">
        <f ca="1">IFERROR(IF(0=LEN(ReferenceData!$BB$581),"",ReferenceData!$BB$581),"")</f>
        <v/>
      </c>
      <c r="BC581" t="str">
        <f ca="1">IFERROR(IF(0=LEN(ReferenceData!$BC$581),"",ReferenceData!$BC$581),"")</f>
        <v/>
      </c>
      <c r="BD581" t="str">
        <f ca="1">IFERROR(IF(0=LEN(ReferenceData!$BD$581),"",ReferenceData!$BD$581),"")</f>
        <v/>
      </c>
      <c r="BE581" t="str">
        <f ca="1">IFERROR(IF(0=LEN(ReferenceData!$BE$581),"",ReferenceData!$BE$581),"")</f>
        <v/>
      </c>
      <c r="BF581" t="str">
        <f ca="1">IFERROR(IF(0=LEN(ReferenceData!$BF$581),"",ReferenceData!$BF$581),"")</f>
        <v/>
      </c>
      <c r="BG581" t="str">
        <f ca="1">IFERROR(IF(0=LEN(ReferenceData!$BG$581),"",ReferenceData!$BG$581),"")</f>
        <v/>
      </c>
      <c r="BH581" t="str">
        <f ca="1">IFERROR(IF(0=LEN(ReferenceData!$BH$581),"",ReferenceData!$BH$581),"")</f>
        <v/>
      </c>
      <c r="BI581" t="str">
        <f ca="1">IFERROR(IF(0=LEN(ReferenceData!$BI$581),"",ReferenceData!$BI$581),"")</f>
        <v/>
      </c>
      <c r="BJ581" t="str">
        <f ca="1">IFERROR(IF(0=LEN(ReferenceData!$BJ$581),"",ReferenceData!$BJ$581),"")</f>
        <v/>
      </c>
      <c r="BK581" t="str">
        <f ca="1">IFERROR(IF(0=LEN(ReferenceData!$BK$581),"",ReferenceData!$BK$581),"")</f>
        <v/>
      </c>
      <c r="BL581" t="str">
        <f ca="1">IFERROR(IF(0=LEN(ReferenceData!$BL$581),"",ReferenceData!$BL$581),"")</f>
        <v/>
      </c>
      <c r="BM581" t="str">
        <f ca="1">IFERROR(IF(0=LEN(ReferenceData!$BM$581),"",ReferenceData!$BM$581),"")</f>
        <v/>
      </c>
    </row>
    <row r="582" spans="1:65" x14ac:dyDescent="0.25">
      <c r="A582" t="str">
        <f>IFERROR(IF(0=LEN(ReferenceData!$A$582),"",ReferenceData!$A$582),"")</f>
        <v xml:space="preserve">    Avtovaz PJSC</v>
      </c>
      <c r="B582" t="str">
        <f>IFERROR(IF(0=LEN(ReferenceData!$B$582),"",ReferenceData!$B$582),"")</f>
        <v>AVAZ RM Equity</v>
      </c>
      <c r="C582" t="str">
        <f>IFERROR(IF(0=LEN(ReferenceData!$C$582),"",ReferenceData!$C$582),"")</f>
        <v>RX072</v>
      </c>
      <c r="D582" t="str">
        <f>IFERROR(IF(0=LEN(ReferenceData!$D$582),"",ReferenceData!$D$582),"")</f>
        <v>FREE_CASH_FLOW_YIELD</v>
      </c>
      <c r="E582" t="str">
        <f>IFERROR(IF(0=LEN(ReferenceData!$E$582),"",ReferenceData!$E$582),"")</f>
        <v>Dynamic</v>
      </c>
      <c r="F582" t="str">
        <f ca="1">IFERROR(IF(0=LEN(ReferenceData!$F$582),"",ReferenceData!$F$582),"")</f>
        <v/>
      </c>
      <c r="G582" t="str">
        <f ca="1">IFERROR(IF(0=LEN(ReferenceData!$G$582),"",ReferenceData!$G$582),"")</f>
        <v/>
      </c>
      <c r="H582" t="str">
        <f ca="1">IFERROR(IF(0=LEN(ReferenceData!$H$582),"",ReferenceData!$H$582),"")</f>
        <v/>
      </c>
      <c r="I582" t="str">
        <f ca="1">IFERROR(IF(0=LEN(ReferenceData!$I$582),"",ReferenceData!$I$582),"")</f>
        <v/>
      </c>
      <c r="J582" t="str">
        <f ca="1">IFERROR(IF(0=LEN(ReferenceData!$J$582),"",ReferenceData!$J$582),"")</f>
        <v/>
      </c>
      <c r="K582" t="str">
        <f ca="1">IFERROR(IF(0=LEN(ReferenceData!$K$582),"",ReferenceData!$K$582),"")</f>
        <v/>
      </c>
      <c r="L582" t="str">
        <f ca="1">IFERROR(IF(0=LEN(ReferenceData!$L$582),"",ReferenceData!$L$582),"")</f>
        <v/>
      </c>
      <c r="M582" t="str">
        <f ca="1">IFERROR(IF(0=LEN(ReferenceData!$M$582),"",ReferenceData!$M$582),"")</f>
        <v/>
      </c>
      <c r="N582" t="str">
        <f ca="1">IFERROR(IF(0=LEN(ReferenceData!$N$582),"",ReferenceData!$N$582),"")</f>
        <v/>
      </c>
      <c r="O582" t="str">
        <f ca="1">IFERROR(IF(0=LEN(ReferenceData!$O$582),"",ReferenceData!$O$582),"")</f>
        <v/>
      </c>
      <c r="P582" t="str">
        <f ca="1">IFERROR(IF(0=LEN(ReferenceData!$P$582),"",ReferenceData!$P$582),"")</f>
        <v/>
      </c>
      <c r="Q582" t="str">
        <f ca="1">IFERROR(IF(0=LEN(ReferenceData!$Q$582),"",ReferenceData!$Q$582),"")</f>
        <v/>
      </c>
      <c r="R582" t="str">
        <f ca="1">IFERROR(IF(0=LEN(ReferenceData!$R$582),"",ReferenceData!$R$582),"")</f>
        <v/>
      </c>
      <c r="S582" t="str">
        <f ca="1">IFERROR(IF(0=LEN(ReferenceData!$S$582),"",ReferenceData!$S$582),"")</f>
        <v/>
      </c>
      <c r="T582" t="str">
        <f ca="1">IFERROR(IF(0=LEN(ReferenceData!$T$582),"",ReferenceData!$T$582),"")</f>
        <v/>
      </c>
      <c r="U582" t="str">
        <f ca="1">IFERROR(IF(0=LEN(ReferenceData!$U$582),"",ReferenceData!$U$582),"")</f>
        <v/>
      </c>
      <c r="V582" t="str">
        <f ca="1">IFERROR(IF(0=LEN(ReferenceData!$V$582),"",ReferenceData!$V$582),"")</f>
        <v/>
      </c>
      <c r="W582" t="str">
        <f ca="1">IFERROR(IF(0=LEN(ReferenceData!$W$582),"",ReferenceData!$W$582),"")</f>
        <v/>
      </c>
      <c r="X582" t="str">
        <f ca="1">IFERROR(IF(0=LEN(ReferenceData!$X$582),"",ReferenceData!$X$582),"")</f>
        <v/>
      </c>
      <c r="Y582" t="str">
        <f ca="1">IFERROR(IF(0=LEN(ReferenceData!$Y$582),"",ReferenceData!$Y$582),"")</f>
        <v/>
      </c>
      <c r="Z582" t="str">
        <f ca="1">IFERROR(IF(0=LEN(ReferenceData!$Z$582),"",ReferenceData!$Z$582),"")</f>
        <v/>
      </c>
      <c r="AA582" t="str">
        <f ca="1">IFERROR(IF(0=LEN(ReferenceData!$AA$582),"",ReferenceData!$AA$582),"")</f>
        <v/>
      </c>
      <c r="AB582" t="str">
        <f ca="1">IFERROR(IF(0=LEN(ReferenceData!$AB$582),"",ReferenceData!$AB$582),"")</f>
        <v/>
      </c>
      <c r="AC582" t="str">
        <f ca="1">IFERROR(IF(0=LEN(ReferenceData!$AC$582),"",ReferenceData!$AC$582),"")</f>
        <v/>
      </c>
      <c r="AD582" t="str">
        <f ca="1">IFERROR(IF(0=LEN(ReferenceData!$AD$582),"",ReferenceData!$AD$582),"")</f>
        <v/>
      </c>
      <c r="AE582" t="str">
        <f ca="1">IFERROR(IF(0=LEN(ReferenceData!$AE$582),"",ReferenceData!$AE$582),"")</f>
        <v/>
      </c>
      <c r="AF582" t="str">
        <f ca="1">IFERROR(IF(0=LEN(ReferenceData!$AF$582),"",ReferenceData!$AF$582),"")</f>
        <v/>
      </c>
      <c r="AG582" t="str">
        <f ca="1">IFERROR(IF(0=LEN(ReferenceData!$AG$582),"",ReferenceData!$AG$582),"")</f>
        <v/>
      </c>
      <c r="AH582" t="str">
        <f ca="1">IFERROR(IF(0=LEN(ReferenceData!$AH$582),"",ReferenceData!$AH$582),"")</f>
        <v/>
      </c>
      <c r="AI582" t="str">
        <f ca="1">IFERROR(IF(0=LEN(ReferenceData!$AI$582),"",ReferenceData!$AI$582),"")</f>
        <v/>
      </c>
      <c r="AJ582" t="str">
        <f ca="1">IFERROR(IF(0=LEN(ReferenceData!$AJ$582),"",ReferenceData!$AJ$582),"")</f>
        <v/>
      </c>
      <c r="AK582" t="str">
        <f ca="1">IFERROR(IF(0=LEN(ReferenceData!$AK$582),"",ReferenceData!$AK$582),"")</f>
        <v/>
      </c>
      <c r="AL582" t="str">
        <f ca="1">IFERROR(IF(0=LEN(ReferenceData!$AL$582),"",ReferenceData!$AL$582),"")</f>
        <v/>
      </c>
      <c r="AM582" t="str">
        <f ca="1">IFERROR(IF(0=LEN(ReferenceData!$AM$582),"",ReferenceData!$AM$582),"")</f>
        <v/>
      </c>
      <c r="AN582" t="str">
        <f ca="1">IFERROR(IF(0=LEN(ReferenceData!$AN$582),"",ReferenceData!$AN$582),"")</f>
        <v/>
      </c>
      <c r="AO582" t="str">
        <f ca="1">IFERROR(IF(0=LEN(ReferenceData!$AO$582),"",ReferenceData!$AO$582),"")</f>
        <v/>
      </c>
      <c r="AP582" t="str">
        <f ca="1">IFERROR(IF(0=LEN(ReferenceData!$AP$582),"",ReferenceData!$AP$582),"")</f>
        <v/>
      </c>
      <c r="AQ582" t="str">
        <f ca="1">IFERROR(IF(0=LEN(ReferenceData!$AQ$582),"",ReferenceData!$AQ$582),"")</f>
        <v/>
      </c>
      <c r="AR582" t="str">
        <f ca="1">IFERROR(IF(0=LEN(ReferenceData!$AR$582),"",ReferenceData!$AR$582),"")</f>
        <v/>
      </c>
      <c r="AS582" t="str">
        <f ca="1">IFERROR(IF(0=LEN(ReferenceData!$AS$582),"",ReferenceData!$AS$582),"")</f>
        <v/>
      </c>
      <c r="AT582" t="str">
        <f ca="1">IFERROR(IF(0=LEN(ReferenceData!$AT$582),"",ReferenceData!$AT$582),"")</f>
        <v/>
      </c>
      <c r="AU582" t="str">
        <f ca="1">IFERROR(IF(0=LEN(ReferenceData!$AU$582),"",ReferenceData!$AU$582),"")</f>
        <v/>
      </c>
      <c r="AV582" t="str">
        <f ca="1">IFERROR(IF(0=LEN(ReferenceData!$AV$582),"",ReferenceData!$AV$582),"")</f>
        <v/>
      </c>
      <c r="AW582" t="str">
        <f ca="1">IFERROR(IF(0=LEN(ReferenceData!$AW$582),"",ReferenceData!$AW$582),"")</f>
        <v/>
      </c>
      <c r="AX582" t="str">
        <f ca="1">IFERROR(IF(0=LEN(ReferenceData!$AX$582),"",ReferenceData!$AX$582),"")</f>
        <v/>
      </c>
      <c r="AY582" t="str">
        <f ca="1">IFERROR(IF(0=LEN(ReferenceData!$AY$582),"",ReferenceData!$AY$582),"")</f>
        <v/>
      </c>
      <c r="AZ582" t="str">
        <f ca="1">IFERROR(IF(0=LEN(ReferenceData!$AZ$582),"",ReferenceData!$AZ$582),"")</f>
        <v/>
      </c>
      <c r="BA582" t="str">
        <f ca="1">IFERROR(IF(0=LEN(ReferenceData!$BA$582),"",ReferenceData!$BA$582),"")</f>
        <v/>
      </c>
      <c r="BB582" t="str">
        <f ca="1">IFERROR(IF(0=LEN(ReferenceData!$BB$582),"",ReferenceData!$BB$582),"")</f>
        <v/>
      </c>
      <c r="BC582" t="str">
        <f ca="1">IFERROR(IF(0=LEN(ReferenceData!$BC$582),"",ReferenceData!$BC$582),"")</f>
        <v/>
      </c>
      <c r="BD582" t="str">
        <f ca="1">IFERROR(IF(0=LEN(ReferenceData!$BD$582),"",ReferenceData!$BD$582),"")</f>
        <v/>
      </c>
      <c r="BE582" t="str">
        <f ca="1">IFERROR(IF(0=LEN(ReferenceData!$BE$582),"",ReferenceData!$BE$582),"")</f>
        <v/>
      </c>
      <c r="BF582" t="str">
        <f ca="1">IFERROR(IF(0=LEN(ReferenceData!$BF$582),"",ReferenceData!$BF$582),"")</f>
        <v/>
      </c>
      <c r="BG582" t="str">
        <f ca="1">IFERROR(IF(0=LEN(ReferenceData!$BG$582),"",ReferenceData!$BG$582),"")</f>
        <v/>
      </c>
      <c r="BH582" t="str">
        <f ca="1">IFERROR(IF(0=LEN(ReferenceData!$BH$582),"",ReferenceData!$BH$582),"")</f>
        <v/>
      </c>
      <c r="BI582" t="str">
        <f ca="1">IFERROR(IF(0=LEN(ReferenceData!$BI$582),"",ReferenceData!$BI$582),"")</f>
        <v/>
      </c>
      <c r="BJ582" t="str">
        <f ca="1">IFERROR(IF(0=LEN(ReferenceData!$BJ$582),"",ReferenceData!$BJ$582),"")</f>
        <v/>
      </c>
      <c r="BK582" t="str">
        <f ca="1">IFERROR(IF(0=LEN(ReferenceData!$BK$582),"",ReferenceData!$BK$582),"")</f>
        <v/>
      </c>
      <c r="BL582" t="str">
        <f ca="1">IFERROR(IF(0=LEN(ReferenceData!$BL$582),"",ReferenceData!$BL$582),"")</f>
        <v/>
      </c>
      <c r="BM582" t="str">
        <f ca="1">IFERROR(IF(0=LEN(ReferenceData!$BM$582),"",ReferenceData!$BM$582),"")</f>
        <v/>
      </c>
    </row>
    <row r="583" spans="1:65" x14ac:dyDescent="0.25">
      <c r="A583" t="str">
        <f>IFERROR(IF(0=LEN(ReferenceData!$A$583),"",ReferenceData!$A$583),"")</f>
        <v xml:space="preserve">    Bayerische Motoren Werke AG</v>
      </c>
      <c r="B583" t="str">
        <f>IFERROR(IF(0=LEN(ReferenceData!$B$583),"",ReferenceData!$B$583),"")</f>
        <v>BMW GR Equity</v>
      </c>
      <c r="C583" t="str">
        <f>IFERROR(IF(0=LEN(ReferenceData!$C$583),"",ReferenceData!$C$583),"")</f>
        <v>RX072</v>
      </c>
      <c r="D583" t="str">
        <f>IFERROR(IF(0=LEN(ReferenceData!$D$583),"",ReferenceData!$D$583),"")</f>
        <v>FREE_CASH_FLOW_YIELD</v>
      </c>
      <c r="E583" t="str">
        <f>IFERROR(IF(0=LEN(ReferenceData!$E$583),"",ReferenceData!$E$583),"")</f>
        <v>Dynamic</v>
      </c>
      <c r="F583">
        <f ca="1">IFERROR(IF(0=LEN(ReferenceData!$F$583),"",ReferenceData!$F$583),"")</f>
        <v>-7.4401647090000003</v>
      </c>
      <c r="G583">
        <f ca="1">IFERROR(IF(0=LEN(ReferenceData!$G$583),"",ReferenceData!$G$583),"")</f>
        <v>-7.6885209850000003</v>
      </c>
      <c r="H583">
        <f ca="1">IFERROR(IF(0=LEN(ReferenceData!$H$583),"",ReferenceData!$H$583),"")</f>
        <v>-7.0139152730000003</v>
      </c>
      <c r="I583">
        <f ca="1">IFERROR(IF(0=LEN(ReferenceData!$I$583),"",ReferenceData!$I$583),"")</f>
        <v>-4.8264599700000002</v>
      </c>
      <c r="J583">
        <f ca="1">IFERROR(IF(0=LEN(ReferenceData!$J$583),"",ReferenceData!$J$583),"")</f>
        <v>-5.1650424140000002</v>
      </c>
      <c r="K583">
        <f ca="1">IFERROR(IF(0=LEN(ReferenceData!$K$583),"",ReferenceData!$K$583),"")</f>
        <v>-5.3788522319999998</v>
      </c>
      <c r="L583">
        <f ca="1">IFERROR(IF(0=LEN(ReferenceData!$L$583),"",ReferenceData!$L$583),"")</f>
        <v>-1.8289731849999999</v>
      </c>
      <c r="M583">
        <f ca="1">IFERROR(IF(0=LEN(ReferenceData!$M$583),"",ReferenceData!$M$583),"")</f>
        <v>-5.1062735540000004</v>
      </c>
      <c r="N583">
        <f ca="1">IFERROR(IF(0=LEN(ReferenceData!$N$583),"",ReferenceData!$N$583),"")</f>
        <v>-4.8013057549999996</v>
      </c>
      <c r="O583">
        <f ca="1">IFERROR(IF(0=LEN(ReferenceData!$O$583),"",ReferenceData!$O$583),"")</f>
        <v>-4.7485561440000001</v>
      </c>
      <c r="P583">
        <f ca="1">IFERROR(IF(0=LEN(ReferenceData!$P$583),"",ReferenceData!$P$583),"")</f>
        <v>-8.6001642220000001</v>
      </c>
      <c r="Q583">
        <f ca="1">IFERROR(IF(0=LEN(ReferenceData!$Q$583),"",ReferenceData!$Q$583),"")</f>
        <v>-9.8789789020000001</v>
      </c>
      <c r="R583">
        <f ca="1">IFERROR(IF(0=LEN(ReferenceData!$R$583),"",ReferenceData!$R$583),"")</f>
        <v>-11.64729977</v>
      </c>
      <c r="S583">
        <f ca="1">IFERROR(IF(0=LEN(ReferenceData!$S$583),"",ReferenceData!$S$583),"")</f>
        <v>-8.1022176360000007</v>
      </c>
      <c r="T583">
        <f ca="1">IFERROR(IF(0=LEN(ReferenceData!$T$583),"",ReferenceData!$T$583),"")</f>
        <v>-8.7305553860000007</v>
      </c>
      <c r="U583">
        <f ca="1">IFERROR(IF(0=LEN(ReferenceData!$U$583),"",ReferenceData!$U$583),"")</f>
        <v>-6.2313123859999999</v>
      </c>
      <c r="V583">
        <f ca="1">IFERROR(IF(0=LEN(ReferenceData!$V$583),"",ReferenceData!$V$583),"")</f>
        <v>-4.3267912690000001</v>
      </c>
      <c r="W583">
        <f ca="1">IFERROR(IF(0=LEN(ReferenceData!$W$583),"",ReferenceData!$W$583),"")</f>
        <v>-5.6355236849999999</v>
      </c>
      <c r="X583">
        <f ca="1">IFERROR(IF(0=LEN(ReferenceData!$X$583),"",ReferenceData!$X$583),"")</f>
        <v>-5.0203877920000002</v>
      </c>
      <c r="Y583">
        <f ca="1">IFERROR(IF(0=LEN(ReferenceData!$Y$583),"",ReferenceData!$Y$583),"")</f>
        <v>-5.3644059930000001</v>
      </c>
      <c r="Z583">
        <f ca="1">IFERROR(IF(0=LEN(ReferenceData!$Z$583),"",ReferenceData!$Z$583),"")</f>
        <v>-3.3025453979999999</v>
      </c>
      <c r="AA583">
        <f ca="1">IFERROR(IF(0=LEN(ReferenceData!$AA$583),"",ReferenceData!$AA$583),"")</f>
        <v>-4.7689500349999996</v>
      </c>
      <c r="AB583">
        <f ca="1">IFERROR(IF(0=LEN(ReferenceData!$AB$583),"",ReferenceData!$AB$583),"")</f>
        <v>-3.824280195</v>
      </c>
      <c r="AC583">
        <f ca="1">IFERROR(IF(0=LEN(ReferenceData!$AC$583),"",ReferenceData!$AC$583),"")</f>
        <v>-5.5536887009999996</v>
      </c>
      <c r="AD583">
        <f ca="1">IFERROR(IF(0=LEN(ReferenceData!$AD$583),"",ReferenceData!$AD$583),"")</f>
        <v>-5.4711707729999999</v>
      </c>
      <c r="AE583">
        <f ca="1">IFERROR(IF(0=LEN(ReferenceData!$AE$583),"",ReferenceData!$AE$583),"")</f>
        <v>-0.460151054</v>
      </c>
      <c r="AF583">
        <f ca="1">IFERROR(IF(0=LEN(ReferenceData!$AF$583),"",ReferenceData!$AF$583),"")</f>
        <v>-5.219221213</v>
      </c>
      <c r="AG583">
        <f ca="1">IFERROR(IF(0=LEN(ReferenceData!$AG$583),"",ReferenceData!$AG$583),"")</f>
        <v>1.9906337190000001</v>
      </c>
      <c r="AH583">
        <f ca="1">IFERROR(IF(0=LEN(ReferenceData!$AH$583),"",ReferenceData!$AH$583),"")</f>
        <v>4.5646521670000002</v>
      </c>
      <c r="AI583">
        <f ca="1">IFERROR(IF(0=LEN(ReferenceData!$AI$583),"",ReferenceData!$AI$583),"")</f>
        <v>5.9125251040000002</v>
      </c>
      <c r="AJ583">
        <f ca="1">IFERROR(IF(0=LEN(ReferenceData!$AJ$583),"",ReferenceData!$AJ$583),"")</f>
        <v>-2.9319528730000002</v>
      </c>
      <c r="AK583">
        <f ca="1">IFERROR(IF(0=LEN(ReferenceData!$AK$583),"",ReferenceData!$AK$583),"")</f>
        <v>-0.43421705599999999</v>
      </c>
      <c r="AL583">
        <f ca="1">IFERROR(IF(0=LEN(ReferenceData!$AL$583),"",ReferenceData!$AL$583),"")</f>
        <v>3.2556797149999999</v>
      </c>
      <c r="AM583">
        <f ca="1">IFERROR(IF(0=LEN(ReferenceData!$AM$583),"",ReferenceData!$AM$583),"")</f>
        <v>2.304750683</v>
      </c>
      <c r="AN583">
        <f ca="1">IFERROR(IF(0=LEN(ReferenceData!$AN$583),"",ReferenceData!$AN$583),"")</f>
        <v>24.384354550000001</v>
      </c>
      <c r="AO583">
        <f ca="1">IFERROR(IF(0=LEN(ReferenceData!$AO$583),"",ReferenceData!$AO$583),"")</f>
        <v>28.36162191</v>
      </c>
      <c r="AP583">
        <f ca="1">IFERROR(IF(0=LEN(ReferenceData!$AP$583),"",ReferenceData!$AP$583),"")</f>
        <v>27.994127750000001</v>
      </c>
      <c r="AQ583">
        <f ca="1">IFERROR(IF(0=LEN(ReferenceData!$AQ$583),"",ReferenceData!$AQ$583),"")</f>
        <v>31.62790579</v>
      </c>
      <c r="AR583">
        <f ca="1">IFERROR(IF(0=LEN(ReferenceData!$AR$583),"",ReferenceData!$AR$583),"")</f>
        <v>24.743957179999999</v>
      </c>
      <c r="AS583">
        <f ca="1">IFERROR(IF(0=LEN(ReferenceData!$AS$583),"",ReferenceData!$AS$583),"")</f>
        <v>56.618992390000003</v>
      </c>
      <c r="AT583">
        <f ca="1">IFERROR(IF(0=LEN(ReferenceData!$AT$583),"",ReferenceData!$AT$583),"")</f>
        <v>78.897996489999997</v>
      </c>
      <c r="AU583">
        <f ca="1">IFERROR(IF(0=LEN(ReferenceData!$AU$583),"",ReferenceData!$AU$583),"")</f>
        <v>76.097914509999995</v>
      </c>
      <c r="AV583">
        <f ca="1">IFERROR(IF(0=LEN(ReferenceData!$AV$583),"",ReferenceData!$AV$583),"")</f>
        <v>71.544372679999995</v>
      </c>
      <c r="AW583">
        <f ca="1">IFERROR(IF(0=LEN(ReferenceData!$AW$583),"",ReferenceData!$AW$583),"")</f>
        <v>41.406774030000001</v>
      </c>
      <c r="AX583">
        <f ca="1">IFERROR(IF(0=LEN(ReferenceData!$AX$583),"",ReferenceData!$AX$583),"")</f>
        <v>31.118617109999999</v>
      </c>
      <c r="AY583">
        <f ca="1">IFERROR(IF(0=LEN(ReferenceData!$AY$583),"",ReferenceData!$AY$583),"")</f>
        <v>26.959169119999999</v>
      </c>
      <c r="AZ583">
        <f ca="1">IFERROR(IF(0=LEN(ReferenceData!$AZ$583),"",ReferenceData!$AZ$583),"")</f>
        <v>16.49050137</v>
      </c>
      <c r="BA583">
        <f ca="1">IFERROR(IF(0=LEN(ReferenceData!$BA$583),"",ReferenceData!$BA$583),"")</f>
        <v>15.24488187</v>
      </c>
      <c r="BB583">
        <f ca="1">IFERROR(IF(0=LEN(ReferenceData!$BB$583),"",ReferenceData!$BB$583),"")</f>
        <v>18.908346340000001</v>
      </c>
      <c r="BC583">
        <f ca="1">IFERROR(IF(0=LEN(ReferenceData!$BC$583),"",ReferenceData!$BC$583),"")</f>
        <v>19.8085199</v>
      </c>
      <c r="BD583">
        <f ca="1">IFERROR(IF(0=LEN(ReferenceData!$BD$583),"",ReferenceData!$BD$583),"")</f>
        <v>21.708180729999999</v>
      </c>
      <c r="BE583">
        <f ca="1">IFERROR(IF(0=LEN(ReferenceData!$BE$583),"",ReferenceData!$BE$583),"")</f>
        <v>28.907382200000001</v>
      </c>
      <c r="BF583">
        <f ca="1">IFERROR(IF(0=LEN(ReferenceData!$BF$583),"",ReferenceData!$BF$583),"")</f>
        <v>22.54582473</v>
      </c>
      <c r="BG583">
        <f ca="1">IFERROR(IF(0=LEN(ReferenceData!$BG$583),"",ReferenceData!$BG$583),"")</f>
        <v>27.337756370000001</v>
      </c>
      <c r="BH583" t="str">
        <f ca="1">IFERROR(IF(0=LEN(ReferenceData!$BH$583),"",ReferenceData!$BH$583),"")</f>
        <v/>
      </c>
      <c r="BI583" t="str">
        <f ca="1">IFERROR(IF(0=LEN(ReferenceData!$BI$583),"",ReferenceData!$BI$583),"")</f>
        <v/>
      </c>
      <c r="BJ583" t="str">
        <f ca="1">IFERROR(IF(0=LEN(ReferenceData!$BJ$583),"",ReferenceData!$BJ$583),"")</f>
        <v/>
      </c>
      <c r="BK583" t="str">
        <f ca="1">IFERROR(IF(0=LEN(ReferenceData!$BK$583),"",ReferenceData!$BK$583),"")</f>
        <v/>
      </c>
      <c r="BL583" t="str">
        <f ca="1">IFERROR(IF(0=LEN(ReferenceData!$BL$583),"",ReferenceData!$BL$583),"")</f>
        <v/>
      </c>
      <c r="BM583" t="str">
        <f ca="1">IFERROR(IF(0=LEN(ReferenceData!$BM$583),"",ReferenceData!$BM$583),"")</f>
        <v/>
      </c>
    </row>
    <row r="584" spans="1:65" x14ac:dyDescent="0.25">
      <c r="A584" t="str">
        <f>IFERROR(IF(0=LEN(ReferenceData!$A$584),"",ReferenceData!$A$584),"")</f>
        <v xml:space="preserve">    Brilliance China Automotive Holdings Ltd</v>
      </c>
      <c r="B584" t="str">
        <f>IFERROR(IF(0=LEN(ReferenceData!$B$584),"",ReferenceData!$B$584),"")</f>
        <v>1114 HK Equity</v>
      </c>
      <c r="C584" t="str">
        <f>IFERROR(IF(0=LEN(ReferenceData!$C$584),"",ReferenceData!$C$584),"")</f>
        <v>RX072</v>
      </c>
      <c r="D584" t="str">
        <f>IFERROR(IF(0=LEN(ReferenceData!$D$584),"",ReferenceData!$D$584),"")</f>
        <v>FREE_CASH_FLOW_YIELD</v>
      </c>
      <c r="E584" t="str">
        <f>IFERROR(IF(0=LEN(ReferenceData!$E$584),"",ReferenceData!$E$584),"")</f>
        <v>Dynamic</v>
      </c>
      <c r="F584" t="str">
        <f ca="1">IFERROR(IF(0=LEN(ReferenceData!$F$584),"",ReferenceData!$F$584),"")</f>
        <v/>
      </c>
      <c r="G584" t="str">
        <f ca="1">IFERROR(IF(0=LEN(ReferenceData!$G$584),"",ReferenceData!$G$584),"")</f>
        <v/>
      </c>
      <c r="H584" t="str">
        <f ca="1">IFERROR(IF(0=LEN(ReferenceData!$H$584),"",ReferenceData!$H$584),"")</f>
        <v/>
      </c>
      <c r="I584" t="str">
        <f ca="1">IFERROR(IF(0=LEN(ReferenceData!$I$584),"",ReferenceData!$I$584),"")</f>
        <v/>
      </c>
      <c r="J584" t="str">
        <f ca="1">IFERROR(IF(0=LEN(ReferenceData!$J$584),"",ReferenceData!$J$584),"")</f>
        <v/>
      </c>
      <c r="K584" t="str">
        <f ca="1">IFERROR(IF(0=LEN(ReferenceData!$K$584),"",ReferenceData!$K$584),"")</f>
        <v/>
      </c>
      <c r="L584" t="str">
        <f ca="1">IFERROR(IF(0=LEN(ReferenceData!$L$584),"",ReferenceData!$L$584),"")</f>
        <v/>
      </c>
      <c r="M584" t="str">
        <f ca="1">IFERROR(IF(0=LEN(ReferenceData!$M$584),"",ReferenceData!$M$584),"")</f>
        <v/>
      </c>
      <c r="N584" t="str">
        <f ca="1">IFERROR(IF(0=LEN(ReferenceData!$N$584),"",ReferenceData!$N$584),"")</f>
        <v/>
      </c>
      <c r="O584" t="str">
        <f ca="1">IFERROR(IF(0=LEN(ReferenceData!$O$584),"",ReferenceData!$O$584),"")</f>
        <v/>
      </c>
      <c r="P584" t="str">
        <f ca="1">IFERROR(IF(0=LEN(ReferenceData!$P$584),"",ReferenceData!$P$584),"")</f>
        <v/>
      </c>
      <c r="Q584" t="str">
        <f ca="1">IFERROR(IF(0=LEN(ReferenceData!$Q$584),"",ReferenceData!$Q$584),"")</f>
        <v/>
      </c>
      <c r="R584" t="str">
        <f ca="1">IFERROR(IF(0=LEN(ReferenceData!$R$584),"",ReferenceData!$R$584),"")</f>
        <v/>
      </c>
      <c r="S584" t="str">
        <f ca="1">IFERROR(IF(0=LEN(ReferenceData!$S$584),"",ReferenceData!$S$584),"")</f>
        <v/>
      </c>
      <c r="T584" t="str">
        <f ca="1">IFERROR(IF(0=LEN(ReferenceData!$T$584),"",ReferenceData!$T$584),"")</f>
        <v/>
      </c>
      <c r="U584" t="str">
        <f ca="1">IFERROR(IF(0=LEN(ReferenceData!$U$584),"",ReferenceData!$U$584),"")</f>
        <v/>
      </c>
      <c r="V584" t="str">
        <f ca="1">IFERROR(IF(0=LEN(ReferenceData!$V$584),"",ReferenceData!$V$584),"")</f>
        <v/>
      </c>
      <c r="W584" t="str">
        <f ca="1">IFERROR(IF(0=LEN(ReferenceData!$W$584),"",ReferenceData!$W$584),"")</f>
        <v/>
      </c>
      <c r="X584" t="str">
        <f ca="1">IFERROR(IF(0=LEN(ReferenceData!$X$584),"",ReferenceData!$X$584),"")</f>
        <v/>
      </c>
      <c r="Y584" t="str">
        <f ca="1">IFERROR(IF(0=LEN(ReferenceData!$Y$584),"",ReferenceData!$Y$584),"")</f>
        <v/>
      </c>
      <c r="Z584" t="str">
        <f ca="1">IFERROR(IF(0=LEN(ReferenceData!$Z$584),"",ReferenceData!$Z$584),"")</f>
        <v/>
      </c>
      <c r="AA584" t="str">
        <f ca="1">IFERROR(IF(0=LEN(ReferenceData!$AA$584),"",ReferenceData!$AA$584),"")</f>
        <v/>
      </c>
      <c r="AB584" t="str">
        <f ca="1">IFERROR(IF(0=LEN(ReferenceData!$AB$584),"",ReferenceData!$AB$584),"")</f>
        <v/>
      </c>
      <c r="AC584" t="str">
        <f ca="1">IFERROR(IF(0=LEN(ReferenceData!$AC$584),"",ReferenceData!$AC$584),"")</f>
        <v/>
      </c>
      <c r="AD584" t="str">
        <f ca="1">IFERROR(IF(0=LEN(ReferenceData!$AD$584),"",ReferenceData!$AD$584),"")</f>
        <v/>
      </c>
      <c r="AE584" t="str">
        <f ca="1">IFERROR(IF(0=LEN(ReferenceData!$AE$584),"",ReferenceData!$AE$584),"")</f>
        <v/>
      </c>
      <c r="AF584" t="str">
        <f ca="1">IFERROR(IF(0=LEN(ReferenceData!$AF$584),"",ReferenceData!$AF$584),"")</f>
        <v/>
      </c>
      <c r="AG584" t="str">
        <f ca="1">IFERROR(IF(0=LEN(ReferenceData!$AG$584),"",ReferenceData!$AG$584),"")</f>
        <v/>
      </c>
      <c r="AH584" t="str">
        <f ca="1">IFERROR(IF(0=LEN(ReferenceData!$AH$584),"",ReferenceData!$AH$584),"")</f>
        <v/>
      </c>
      <c r="AI584" t="str">
        <f ca="1">IFERROR(IF(0=LEN(ReferenceData!$AI$584),"",ReferenceData!$AI$584),"")</f>
        <v/>
      </c>
      <c r="AJ584" t="str">
        <f ca="1">IFERROR(IF(0=LEN(ReferenceData!$AJ$584),"",ReferenceData!$AJ$584),"")</f>
        <v/>
      </c>
      <c r="AK584" t="str">
        <f ca="1">IFERROR(IF(0=LEN(ReferenceData!$AK$584),"",ReferenceData!$AK$584),"")</f>
        <v/>
      </c>
      <c r="AL584" t="str">
        <f ca="1">IFERROR(IF(0=LEN(ReferenceData!$AL$584),"",ReferenceData!$AL$584),"")</f>
        <v/>
      </c>
      <c r="AM584" t="str">
        <f ca="1">IFERROR(IF(0=LEN(ReferenceData!$AM$584),"",ReferenceData!$AM$584),"")</f>
        <v/>
      </c>
      <c r="AN584" t="str">
        <f ca="1">IFERROR(IF(0=LEN(ReferenceData!$AN$584),"",ReferenceData!$AN$584),"")</f>
        <v/>
      </c>
      <c r="AO584" t="str">
        <f ca="1">IFERROR(IF(0=LEN(ReferenceData!$AO$584),"",ReferenceData!$AO$584),"")</f>
        <v/>
      </c>
      <c r="AP584" t="str">
        <f ca="1">IFERROR(IF(0=LEN(ReferenceData!$AP$584),"",ReferenceData!$AP$584),"")</f>
        <v/>
      </c>
      <c r="AQ584" t="str">
        <f ca="1">IFERROR(IF(0=LEN(ReferenceData!$AQ$584),"",ReferenceData!$AQ$584),"")</f>
        <v/>
      </c>
      <c r="AR584" t="str">
        <f ca="1">IFERROR(IF(0=LEN(ReferenceData!$AR$584),"",ReferenceData!$AR$584),"")</f>
        <v/>
      </c>
      <c r="AS584" t="str">
        <f ca="1">IFERROR(IF(0=LEN(ReferenceData!$AS$584),"",ReferenceData!$AS$584),"")</f>
        <v/>
      </c>
      <c r="AT584" t="str">
        <f ca="1">IFERROR(IF(0=LEN(ReferenceData!$AT$584),"",ReferenceData!$AT$584),"")</f>
        <v/>
      </c>
      <c r="AU584" t="str">
        <f ca="1">IFERROR(IF(0=LEN(ReferenceData!$AU$584),"",ReferenceData!$AU$584),"")</f>
        <v/>
      </c>
      <c r="AV584" t="str">
        <f ca="1">IFERROR(IF(0=LEN(ReferenceData!$AV$584),"",ReferenceData!$AV$584),"")</f>
        <v/>
      </c>
      <c r="AW584" t="str">
        <f ca="1">IFERROR(IF(0=LEN(ReferenceData!$AW$584),"",ReferenceData!$AW$584),"")</f>
        <v/>
      </c>
      <c r="AX584" t="str">
        <f ca="1">IFERROR(IF(0=LEN(ReferenceData!$AX$584),"",ReferenceData!$AX$584),"")</f>
        <v/>
      </c>
      <c r="AY584" t="str">
        <f ca="1">IFERROR(IF(0=LEN(ReferenceData!$AY$584),"",ReferenceData!$AY$584),"")</f>
        <v/>
      </c>
      <c r="AZ584" t="str">
        <f ca="1">IFERROR(IF(0=LEN(ReferenceData!$AZ$584),"",ReferenceData!$AZ$584),"")</f>
        <v/>
      </c>
      <c r="BA584" t="str">
        <f ca="1">IFERROR(IF(0=LEN(ReferenceData!$BA$584),"",ReferenceData!$BA$584),"")</f>
        <v/>
      </c>
      <c r="BB584" t="str">
        <f ca="1">IFERROR(IF(0=LEN(ReferenceData!$BB$584),"",ReferenceData!$BB$584),"")</f>
        <v/>
      </c>
      <c r="BC584" t="str">
        <f ca="1">IFERROR(IF(0=LEN(ReferenceData!$BC$584),"",ReferenceData!$BC$584),"")</f>
        <v/>
      </c>
      <c r="BD584" t="str">
        <f ca="1">IFERROR(IF(0=LEN(ReferenceData!$BD$584),"",ReferenceData!$BD$584),"")</f>
        <v/>
      </c>
      <c r="BE584" t="str">
        <f ca="1">IFERROR(IF(0=LEN(ReferenceData!$BE$584),"",ReferenceData!$BE$584),"")</f>
        <v/>
      </c>
      <c r="BF584" t="str">
        <f ca="1">IFERROR(IF(0=LEN(ReferenceData!$BF$584),"",ReferenceData!$BF$584),"")</f>
        <v/>
      </c>
      <c r="BG584" t="str">
        <f ca="1">IFERROR(IF(0=LEN(ReferenceData!$BG$584),"",ReferenceData!$BG$584),"")</f>
        <v/>
      </c>
      <c r="BH584" t="str">
        <f ca="1">IFERROR(IF(0=LEN(ReferenceData!$BH$584),"",ReferenceData!$BH$584),"")</f>
        <v/>
      </c>
      <c r="BI584" t="str">
        <f ca="1">IFERROR(IF(0=LEN(ReferenceData!$BI$584),"",ReferenceData!$BI$584),"")</f>
        <v/>
      </c>
      <c r="BJ584" t="str">
        <f ca="1">IFERROR(IF(0=LEN(ReferenceData!$BJ$584),"",ReferenceData!$BJ$584),"")</f>
        <v/>
      </c>
      <c r="BK584" t="str">
        <f ca="1">IFERROR(IF(0=LEN(ReferenceData!$BK$584),"",ReferenceData!$BK$584),"")</f>
        <v/>
      </c>
      <c r="BL584" t="str">
        <f ca="1">IFERROR(IF(0=LEN(ReferenceData!$BL$584),"",ReferenceData!$BL$584),"")</f>
        <v/>
      </c>
      <c r="BM584" t="str">
        <f ca="1">IFERROR(IF(0=LEN(ReferenceData!$BM$584),"",ReferenceData!$BM$584),"")</f>
        <v/>
      </c>
    </row>
    <row r="585" spans="1:65" x14ac:dyDescent="0.25">
      <c r="A585" t="str">
        <f>IFERROR(IF(0=LEN(ReferenceData!$A$585),"",ReferenceData!$A$585),"")</f>
        <v xml:space="preserve">    BYD Co Ltd</v>
      </c>
      <c r="B585" t="str">
        <f>IFERROR(IF(0=LEN(ReferenceData!$B$585),"",ReferenceData!$B$585),"")</f>
        <v>1211 HK Equity</v>
      </c>
      <c r="C585" t="str">
        <f>IFERROR(IF(0=LEN(ReferenceData!$C$585),"",ReferenceData!$C$585),"")</f>
        <v>RX072</v>
      </c>
      <c r="D585" t="str">
        <f>IFERROR(IF(0=LEN(ReferenceData!$D$585),"",ReferenceData!$D$585),"")</f>
        <v>FREE_CASH_FLOW_YIELD</v>
      </c>
      <c r="E585" t="str">
        <f>IFERROR(IF(0=LEN(ReferenceData!$E$585),"",ReferenceData!$E$585),"")</f>
        <v>Dynamic</v>
      </c>
      <c r="F585">
        <f ca="1">IFERROR(IF(0=LEN(ReferenceData!$F$585),"",ReferenceData!$F$585),"")</f>
        <v>-6.9575312890000003</v>
      </c>
      <c r="G585">
        <f ca="1">IFERROR(IF(0=LEN(ReferenceData!$G$585),"",ReferenceData!$G$585),"")</f>
        <v>-6.8178563509999996</v>
      </c>
      <c r="H585">
        <f ca="1">IFERROR(IF(0=LEN(ReferenceData!$H$585),"",ReferenceData!$H$585),"")</f>
        <v>-6.0627443169999999</v>
      </c>
      <c r="I585">
        <f ca="1">IFERROR(IF(0=LEN(ReferenceData!$I$585),"",ReferenceData!$I$585),"")</f>
        <v>-9.9165253569999994</v>
      </c>
      <c r="J585">
        <f ca="1">IFERROR(IF(0=LEN(ReferenceData!$J$585),"",ReferenceData!$J$585),"")</f>
        <v>-7.1034797909999998</v>
      </c>
      <c r="K585">
        <f ca="1">IFERROR(IF(0=LEN(ReferenceData!$K$585),"",ReferenceData!$K$585),"")</f>
        <v>-6.9713115280000002</v>
      </c>
      <c r="L585">
        <f ca="1">IFERROR(IF(0=LEN(ReferenceData!$L$585),"",ReferenceData!$L$585),"")</f>
        <v>-8.8373148060000002</v>
      </c>
      <c r="M585">
        <f ca="1">IFERROR(IF(0=LEN(ReferenceData!$M$585),"",ReferenceData!$M$585),"")</f>
        <v>-17.536227289999999</v>
      </c>
      <c r="N585">
        <f ca="1">IFERROR(IF(0=LEN(ReferenceData!$N$585),"",ReferenceData!$N$585),"")</f>
        <v>-18.628386880000001</v>
      </c>
      <c r="O585">
        <f ca="1">IFERROR(IF(0=LEN(ReferenceData!$O$585),"",ReferenceData!$O$585),"")</f>
        <v>-18.127723799999998</v>
      </c>
      <c r="P585">
        <f ca="1">IFERROR(IF(0=LEN(ReferenceData!$P$585),"",ReferenceData!$P$585),"")</f>
        <v>-11.177523040000001</v>
      </c>
      <c r="Q585">
        <f ca="1">IFERROR(IF(0=LEN(ReferenceData!$Q$585),"",ReferenceData!$Q$585),"")</f>
        <v>-15.780564160000001</v>
      </c>
      <c r="R585">
        <f ca="1">IFERROR(IF(0=LEN(ReferenceData!$R$585),"",ReferenceData!$R$585),"")</f>
        <v>-17.082334719999999</v>
      </c>
      <c r="S585">
        <f ca="1">IFERROR(IF(0=LEN(ReferenceData!$S$585),"",ReferenceData!$S$585),"")</f>
        <v>-11.534558880000001</v>
      </c>
      <c r="T585">
        <f ca="1">IFERROR(IF(0=LEN(ReferenceData!$T$585),"",ReferenceData!$T$585),"")</f>
        <v>-15.532225220000001</v>
      </c>
      <c r="U585">
        <f ca="1">IFERROR(IF(0=LEN(ReferenceData!$U$585),"",ReferenceData!$U$585),"")</f>
        <v>-9.2942118929999999</v>
      </c>
      <c r="V585">
        <f ca="1">IFERROR(IF(0=LEN(ReferenceData!$V$585),"",ReferenceData!$V$585),"")</f>
        <v>-8.3910324000000003</v>
      </c>
      <c r="W585">
        <f ca="1">IFERROR(IF(0=LEN(ReferenceData!$W$585),"",ReferenceData!$W$585),"")</f>
        <v>-17.348382999999998</v>
      </c>
      <c r="X585">
        <f ca="1">IFERROR(IF(0=LEN(ReferenceData!$X$585),"",ReferenceData!$X$585),"")</f>
        <v>-10.19162867</v>
      </c>
      <c r="Y585">
        <f ca="1">IFERROR(IF(0=LEN(ReferenceData!$Y$585),"",ReferenceData!$Y$585),"")</f>
        <v>-10.26885066</v>
      </c>
      <c r="Z585">
        <f ca="1">IFERROR(IF(0=LEN(ReferenceData!$Z$585),"",ReferenceData!$Z$585),"")</f>
        <v>-7.0117774319999997</v>
      </c>
      <c r="AA585">
        <f ca="1">IFERROR(IF(0=LEN(ReferenceData!$AA$585),"",ReferenceData!$AA$585),"")</f>
        <v>-6.5444963779999998</v>
      </c>
      <c r="AB585">
        <f ca="1">IFERROR(IF(0=LEN(ReferenceData!$AB$585),"",ReferenceData!$AB$585),"")</f>
        <v>-3.6105785589999999</v>
      </c>
      <c r="AC585">
        <f ca="1">IFERROR(IF(0=LEN(ReferenceData!$AC$585),"",ReferenceData!$AC$585),"")</f>
        <v>-4.9806239259999998</v>
      </c>
      <c r="AD585">
        <f ca="1">IFERROR(IF(0=LEN(ReferenceData!$AD$585),"",ReferenceData!$AD$585),"")</f>
        <v>-5.1455915230000002</v>
      </c>
      <c r="AE585">
        <f ca="1">IFERROR(IF(0=LEN(ReferenceData!$AE$585),"",ReferenceData!$AE$585),"")</f>
        <v>9.1838601000000006E-2</v>
      </c>
      <c r="AF585">
        <f ca="1">IFERROR(IF(0=LEN(ReferenceData!$AF$585),"",ReferenceData!$AF$585),"")</f>
        <v>-5.17043974</v>
      </c>
      <c r="AG585">
        <f ca="1">IFERROR(IF(0=LEN(ReferenceData!$AG$585),"",ReferenceData!$AG$585),"")</f>
        <v>-6.0825327590000002</v>
      </c>
      <c r="AH585" t="str">
        <f ca="1">IFERROR(IF(0=LEN(ReferenceData!$AH$585),"",ReferenceData!$AH$585),"")</f>
        <v/>
      </c>
      <c r="AI585" t="str">
        <f ca="1">IFERROR(IF(0=LEN(ReferenceData!$AI$585),"",ReferenceData!$AI$585),"")</f>
        <v/>
      </c>
      <c r="AJ585" t="str">
        <f ca="1">IFERROR(IF(0=LEN(ReferenceData!$AJ$585),"",ReferenceData!$AJ$585),"")</f>
        <v/>
      </c>
      <c r="AK585" t="str">
        <f ca="1">IFERROR(IF(0=LEN(ReferenceData!$AK$585),"",ReferenceData!$AK$585),"")</f>
        <v/>
      </c>
      <c r="AL585" t="str">
        <f ca="1">IFERROR(IF(0=LEN(ReferenceData!$AL$585),"",ReferenceData!$AL$585),"")</f>
        <v/>
      </c>
      <c r="AM585" t="str">
        <f ca="1">IFERROR(IF(0=LEN(ReferenceData!$AM$585),"",ReferenceData!$AM$585),"")</f>
        <v/>
      </c>
      <c r="AN585" t="str">
        <f ca="1">IFERROR(IF(0=LEN(ReferenceData!$AN$585),"",ReferenceData!$AN$585),"")</f>
        <v/>
      </c>
      <c r="AO585" t="str">
        <f ca="1">IFERROR(IF(0=LEN(ReferenceData!$AO$585),"",ReferenceData!$AO$585),"")</f>
        <v/>
      </c>
      <c r="AP585" t="str">
        <f ca="1">IFERROR(IF(0=LEN(ReferenceData!$AP$585),"",ReferenceData!$AP$585),"")</f>
        <v/>
      </c>
      <c r="AQ585" t="str">
        <f ca="1">IFERROR(IF(0=LEN(ReferenceData!$AQ$585),"",ReferenceData!$AQ$585),"")</f>
        <v/>
      </c>
      <c r="AR585" t="str">
        <f ca="1">IFERROR(IF(0=LEN(ReferenceData!$AR$585),"",ReferenceData!$AR$585),"")</f>
        <v/>
      </c>
      <c r="AS585" t="str">
        <f ca="1">IFERROR(IF(0=LEN(ReferenceData!$AS$585),"",ReferenceData!$AS$585),"")</f>
        <v/>
      </c>
      <c r="AT585" t="str">
        <f ca="1">IFERROR(IF(0=LEN(ReferenceData!$AT$585),"",ReferenceData!$AT$585),"")</f>
        <v/>
      </c>
      <c r="AU585" t="str">
        <f ca="1">IFERROR(IF(0=LEN(ReferenceData!$AU$585),"",ReferenceData!$AU$585),"")</f>
        <v/>
      </c>
      <c r="AV585" t="str">
        <f ca="1">IFERROR(IF(0=LEN(ReferenceData!$AV$585),"",ReferenceData!$AV$585),"")</f>
        <v/>
      </c>
      <c r="AW585" t="str">
        <f ca="1">IFERROR(IF(0=LEN(ReferenceData!$AW$585),"",ReferenceData!$AW$585),"")</f>
        <v/>
      </c>
      <c r="AX585" t="str">
        <f ca="1">IFERROR(IF(0=LEN(ReferenceData!$AX$585),"",ReferenceData!$AX$585),"")</f>
        <v/>
      </c>
      <c r="AY585" t="str">
        <f ca="1">IFERROR(IF(0=LEN(ReferenceData!$AY$585),"",ReferenceData!$AY$585),"")</f>
        <v/>
      </c>
      <c r="AZ585" t="str">
        <f ca="1">IFERROR(IF(0=LEN(ReferenceData!$AZ$585),"",ReferenceData!$AZ$585),"")</f>
        <v/>
      </c>
      <c r="BA585" t="str">
        <f ca="1">IFERROR(IF(0=LEN(ReferenceData!$BA$585),"",ReferenceData!$BA$585),"")</f>
        <v/>
      </c>
      <c r="BB585" t="str">
        <f ca="1">IFERROR(IF(0=LEN(ReferenceData!$BB$585),"",ReferenceData!$BB$585),"")</f>
        <v/>
      </c>
      <c r="BC585" t="str">
        <f ca="1">IFERROR(IF(0=LEN(ReferenceData!$BC$585),"",ReferenceData!$BC$585),"")</f>
        <v/>
      </c>
      <c r="BD585" t="str">
        <f ca="1">IFERROR(IF(0=LEN(ReferenceData!$BD$585),"",ReferenceData!$BD$585),"")</f>
        <v/>
      </c>
      <c r="BE585" t="str">
        <f ca="1">IFERROR(IF(0=LEN(ReferenceData!$BE$585),"",ReferenceData!$BE$585),"")</f>
        <v/>
      </c>
      <c r="BF585" t="str">
        <f ca="1">IFERROR(IF(0=LEN(ReferenceData!$BF$585),"",ReferenceData!$BF$585),"")</f>
        <v/>
      </c>
      <c r="BG585" t="str">
        <f ca="1">IFERROR(IF(0=LEN(ReferenceData!$BG$585),"",ReferenceData!$BG$585),"")</f>
        <v/>
      </c>
      <c r="BH585" t="str">
        <f ca="1">IFERROR(IF(0=LEN(ReferenceData!$BH$585),"",ReferenceData!$BH$585),"")</f>
        <v/>
      </c>
      <c r="BI585" t="str">
        <f ca="1">IFERROR(IF(0=LEN(ReferenceData!$BI$585),"",ReferenceData!$BI$585),"")</f>
        <v/>
      </c>
      <c r="BJ585" t="str">
        <f ca="1">IFERROR(IF(0=LEN(ReferenceData!$BJ$585),"",ReferenceData!$BJ$585),"")</f>
        <v/>
      </c>
      <c r="BK585" t="str">
        <f ca="1">IFERROR(IF(0=LEN(ReferenceData!$BK$585),"",ReferenceData!$BK$585),"")</f>
        <v/>
      </c>
      <c r="BL585" t="str">
        <f ca="1">IFERROR(IF(0=LEN(ReferenceData!$BL$585),"",ReferenceData!$BL$585),"")</f>
        <v/>
      </c>
      <c r="BM585" t="str">
        <f ca="1">IFERROR(IF(0=LEN(ReferenceData!$BM$585),"",ReferenceData!$BM$585),"")</f>
        <v/>
      </c>
    </row>
    <row r="586" spans="1:65" x14ac:dyDescent="0.25">
      <c r="A586" t="str">
        <f>IFERROR(IF(0=LEN(ReferenceData!$A$586),"",ReferenceData!$A$586),"")</f>
        <v xml:space="preserve">    Chongqing Changan Automobile Co Ltd</v>
      </c>
      <c r="B586" t="str">
        <f>IFERROR(IF(0=LEN(ReferenceData!$B$586),"",ReferenceData!$B$586),"")</f>
        <v>200625 CH Equity</v>
      </c>
      <c r="C586" t="str">
        <f>IFERROR(IF(0=LEN(ReferenceData!$C$586),"",ReferenceData!$C$586),"")</f>
        <v>RX072</v>
      </c>
      <c r="D586" t="str">
        <f>IFERROR(IF(0=LEN(ReferenceData!$D$586),"",ReferenceData!$D$586),"")</f>
        <v>FREE_CASH_FLOW_YIELD</v>
      </c>
      <c r="E586" t="str">
        <f>IFERROR(IF(0=LEN(ReferenceData!$E$586),"",ReferenceData!$E$586),"")</f>
        <v>Dynamic</v>
      </c>
      <c r="F586">
        <f ca="1">IFERROR(IF(0=LEN(ReferenceData!$F$586),"",ReferenceData!$F$586),"")</f>
        <v>-24.267585759999999</v>
      </c>
      <c r="G586">
        <f ca="1">IFERROR(IF(0=LEN(ReferenceData!$G$586),"",ReferenceData!$G$586),"")</f>
        <v>-29.322076450000001</v>
      </c>
      <c r="H586">
        <f ca="1">IFERROR(IF(0=LEN(ReferenceData!$H$586),"",ReferenceData!$H$586),"")</f>
        <v>-16.203607909999999</v>
      </c>
      <c r="I586">
        <f ca="1">IFERROR(IF(0=LEN(ReferenceData!$I$586),"",ReferenceData!$I$586),"")</f>
        <v>-6.8430894990000004</v>
      </c>
      <c r="J586">
        <f ca="1">IFERROR(IF(0=LEN(ReferenceData!$J$586),"",ReferenceData!$J$586),"")</f>
        <v>4.0215555619999996</v>
      </c>
      <c r="K586">
        <f ca="1">IFERROR(IF(0=LEN(ReferenceData!$K$586),"",ReferenceData!$K$586),"")</f>
        <v>11.420570870000001</v>
      </c>
      <c r="L586">
        <f ca="1">IFERROR(IF(0=LEN(ReferenceData!$L$586),"",ReferenceData!$L$586),"")</f>
        <v>7.366238858</v>
      </c>
      <c r="M586">
        <f ca="1">IFERROR(IF(0=LEN(ReferenceData!$M$586),"",ReferenceData!$M$586),"")</f>
        <v>20.37677867</v>
      </c>
      <c r="N586">
        <f ca="1">IFERROR(IF(0=LEN(ReferenceData!$N$586),"",ReferenceData!$N$586),"")</f>
        <v>23.06033759</v>
      </c>
      <c r="O586">
        <f ca="1">IFERROR(IF(0=LEN(ReferenceData!$O$586),"",ReferenceData!$O$586),"")</f>
        <v>15.83842606</v>
      </c>
      <c r="P586">
        <f ca="1">IFERROR(IF(0=LEN(ReferenceData!$P$586),"",ReferenceData!$P$586),"")</f>
        <v>16.741672470000001</v>
      </c>
      <c r="Q586">
        <f ca="1">IFERROR(IF(0=LEN(ReferenceData!$Q$586),"",ReferenceData!$Q$586),"")</f>
        <v>27.095453559999999</v>
      </c>
      <c r="R586">
        <f ca="1">IFERROR(IF(0=LEN(ReferenceData!$R$586),"",ReferenceData!$R$586),"")</f>
        <v>15.907053100000001</v>
      </c>
      <c r="S586">
        <f ca="1">IFERROR(IF(0=LEN(ReferenceData!$S$586),"",ReferenceData!$S$586),"")</f>
        <v>15.942165960000001</v>
      </c>
      <c r="T586">
        <f ca="1">IFERROR(IF(0=LEN(ReferenceData!$T$586),"",ReferenceData!$T$586),"")</f>
        <v>23.462792820000001</v>
      </c>
      <c r="U586">
        <f ca="1">IFERROR(IF(0=LEN(ReferenceData!$U$586),"",ReferenceData!$U$586),"")</f>
        <v>10.28482917</v>
      </c>
      <c r="V586">
        <f ca="1">IFERROR(IF(0=LEN(ReferenceData!$V$586),"",ReferenceData!$V$586),"")</f>
        <v>11.34264911</v>
      </c>
      <c r="W586">
        <f ca="1">IFERROR(IF(0=LEN(ReferenceData!$W$586),"",ReferenceData!$W$586),"")</f>
        <v>13.78511423</v>
      </c>
      <c r="X586">
        <f ca="1">IFERROR(IF(0=LEN(ReferenceData!$X$586),"",ReferenceData!$X$586),"")</f>
        <v>9.5743028809999995</v>
      </c>
      <c r="Y586">
        <f ca="1">IFERROR(IF(0=LEN(ReferenceData!$Y$586),"",ReferenceData!$Y$586),"")</f>
        <v>5.9384707399999996</v>
      </c>
      <c r="Z586">
        <f ca="1">IFERROR(IF(0=LEN(ReferenceData!$Z$586),"",ReferenceData!$Z$586),"")</f>
        <v>-1.354288516</v>
      </c>
      <c r="AA586">
        <f ca="1">IFERROR(IF(0=LEN(ReferenceData!$AA$586),"",ReferenceData!$AA$586),"")</f>
        <v>3.8353405700000001</v>
      </c>
      <c r="AB586">
        <f ca="1">IFERROR(IF(0=LEN(ReferenceData!$AB$586),"",ReferenceData!$AB$586),"")</f>
        <v>4.9087873569999996</v>
      </c>
      <c r="AC586">
        <f ca="1">IFERROR(IF(0=LEN(ReferenceData!$AC$586),"",ReferenceData!$AC$586),"")</f>
        <v>8.8306584210000008</v>
      </c>
      <c r="AD586">
        <f ca="1">IFERROR(IF(0=LEN(ReferenceData!$AD$586),"",ReferenceData!$AD$586),"")</f>
        <v>-4.0966539000000003E-2</v>
      </c>
      <c r="AE586">
        <f ca="1">IFERROR(IF(0=LEN(ReferenceData!$AE$586),"",ReferenceData!$AE$586),"")</f>
        <v>-15.93263093</v>
      </c>
      <c r="AF586">
        <f ca="1">IFERROR(IF(0=LEN(ReferenceData!$AF$586),"",ReferenceData!$AF$586),"")</f>
        <v>-58.874724100000002</v>
      </c>
      <c r="AG586">
        <f ca="1">IFERROR(IF(0=LEN(ReferenceData!$AG$586),"",ReferenceData!$AG$586),"")</f>
        <v>-53.475264320000001</v>
      </c>
      <c r="AH586">
        <f ca="1">IFERROR(IF(0=LEN(ReferenceData!$AH$586),"",ReferenceData!$AH$586),"")</f>
        <v>-48.172679680000002</v>
      </c>
      <c r="AI586">
        <f ca="1">IFERROR(IF(0=LEN(ReferenceData!$AI$586),"",ReferenceData!$AI$586),"")</f>
        <v>-35.616653700000001</v>
      </c>
      <c r="AJ586">
        <f ca="1">IFERROR(IF(0=LEN(ReferenceData!$AJ$586),"",ReferenceData!$AJ$586),"")</f>
        <v>-31.466623949999999</v>
      </c>
      <c r="AK586">
        <f ca="1">IFERROR(IF(0=LEN(ReferenceData!$AK$586),"",ReferenceData!$AK$586),"")</f>
        <v>-5.1631216230000003</v>
      </c>
      <c r="AL586">
        <f ca="1">IFERROR(IF(0=LEN(ReferenceData!$AL$586),"",ReferenceData!$AL$586),"")</f>
        <v>18.55789364</v>
      </c>
      <c r="AM586">
        <f ca="1">IFERROR(IF(0=LEN(ReferenceData!$AM$586),"",ReferenceData!$AM$586),"")</f>
        <v>13.2299773</v>
      </c>
      <c r="AN586">
        <f ca="1">IFERROR(IF(0=LEN(ReferenceData!$AN$586),"",ReferenceData!$AN$586),"")</f>
        <v>22.62498858</v>
      </c>
      <c r="AO586">
        <f ca="1">IFERROR(IF(0=LEN(ReferenceData!$AO$586),"",ReferenceData!$AO$586),"")</f>
        <v>38.23745933</v>
      </c>
      <c r="AP586">
        <f ca="1">IFERROR(IF(0=LEN(ReferenceData!$AP$586),"",ReferenceData!$AP$586),"")</f>
        <v>13.00675801</v>
      </c>
      <c r="AQ586">
        <f ca="1">IFERROR(IF(0=LEN(ReferenceData!$AQ$586),"",ReferenceData!$AQ$586),"")</f>
        <v>13.043805069999999</v>
      </c>
      <c r="AR586">
        <f ca="1">IFERROR(IF(0=LEN(ReferenceData!$AR$586),"",ReferenceData!$AR$586),"")</f>
        <v>24.48024796</v>
      </c>
      <c r="AS586">
        <f ca="1">IFERROR(IF(0=LEN(ReferenceData!$AS$586),"",ReferenceData!$AS$586),"")</f>
        <v>17.73161627</v>
      </c>
      <c r="AT586">
        <f ca="1">IFERROR(IF(0=LEN(ReferenceData!$AT$586),"",ReferenceData!$AT$586),"")</f>
        <v>19.524973710000001</v>
      </c>
      <c r="AU586">
        <f ca="1">IFERROR(IF(0=LEN(ReferenceData!$AU$586),"",ReferenceData!$AU$586),"")</f>
        <v>6.8226754039999999</v>
      </c>
      <c r="AV586">
        <f ca="1">IFERROR(IF(0=LEN(ReferenceData!$AV$586),"",ReferenceData!$AV$586),"")</f>
        <v>6.1838751299999997</v>
      </c>
      <c r="AW586">
        <f ca="1">IFERROR(IF(0=LEN(ReferenceData!$AW$586),"",ReferenceData!$AW$586),"")</f>
        <v>-4.84630926</v>
      </c>
      <c r="AX586">
        <f ca="1">IFERROR(IF(0=LEN(ReferenceData!$AX$586),"",ReferenceData!$AX$586),"")</f>
        <v>9.9194769999999995E-3</v>
      </c>
      <c r="AY586">
        <f ca="1">IFERROR(IF(0=LEN(ReferenceData!$AY$586),"",ReferenceData!$AY$586),"")</f>
        <v>5.4938001270000001</v>
      </c>
      <c r="AZ586">
        <f ca="1">IFERROR(IF(0=LEN(ReferenceData!$AZ$586),"",ReferenceData!$AZ$586),"")</f>
        <v>8.7319421439999996</v>
      </c>
      <c r="BA586">
        <f ca="1">IFERROR(IF(0=LEN(ReferenceData!$BA$586),"",ReferenceData!$BA$586),"")</f>
        <v>12.683788160000001</v>
      </c>
      <c r="BB586">
        <f ca="1">IFERROR(IF(0=LEN(ReferenceData!$BB$586),"",ReferenceData!$BB$586),"")</f>
        <v>1.3605570259999999</v>
      </c>
      <c r="BC586">
        <f ca="1">IFERROR(IF(0=LEN(ReferenceData!$BC$586),"",ReferenceData!$BC$586),"")</f>
        <v>-7.3720038419999998</v>
      </c>
      <c r="BD586">
        <f ca="1">IFERROR(IF(0=LEN(ReferenceData!$BD$586),"",ReferenceData!$BD$586),"")</f>
        <v>-16.341465240000002</v>
      </c>
      <c r="BE586">
        <f ca="1">IFERROR(IF(0=LEN(ReferenceData!$BE$586),"",ReferenceData!$BE$586),"")</f>
        <v>-24.74331359</v>
      </c>
      <c r="BF586">
        <f ca="1">IFERROR(IF(0=LEN(ReferenceData!$BF$586),"",ReferenceData!$BF$586),"")</f>
        <v>-29.13276368</v>
      </c>
      <c r="BG586">
        <f ca="1">IFERROR(IF(0=LEN(ReferenceData!$BG$586),"",ReferenceData!$BG$586),"")</f>
        <v>-12.62493366</v>
      </c>
      <c r="BH586">
        <f ca="1">IFERROR(IF(0=LEN(ReferenceData!$BH$586),"",ReferenceData!$BH$586),"")</f>
        <v>-10.8952417</v>
      </c>
      <c r="BI586" t="str">
        <f ca="1">IFERROR(IF(0=LEN(ReferenceData!$BI$586),"",ReferenceData!$BI$586),"")</f>
        <v/>
      </c>
      <c r="BJ586" t="str">
        <f ca="1">IFERROR(IF(0=LEN(ReferenceData!$BJ$586),"",ReferenceData!$BJ$586),"")</f>
        <v/>
      </c>
      <c r="BK586" t="str">
        <f ca="1">IFERROR(IF(0=LEN(ReferenceData!$BK$586),"",ReferenceData!$BK$586),"")</f>
        <v/>
      </c>
      <c r="BL586" t="str">
        <f ca="1">IFERROR(IF(0=LEN(ReferenceData!$BL$586),"",ReferenceData!$BL$586),"")</f>
        <v/>
      </c>
      <c r="BM586" t="str">
        <f ca="1">IFERROR(IF(0=LEN(ReferenceData!$BM$586),"",ReferenceData!$BM$586),"")</f>
        <v/>
      </c>
    </row>
    <row r="587" spans="1:65" x14ac:dyDescent="0.25">
      <c r="A587" t="str">
        <f>IFERROR(IF(0=LEN(ReferenceData!$A$587),"",ReferenceData!$A$587),"")</f>
        <v xml:space="preserve">    Daihatsu Motor Co Ltd</v>
      </c>
      <c r="B587" t="str">
        <f>IFERROR(IF(0=LEN(ReferenceData!$B$587),"",ReferenceData!$B$587),"")</f>
        <v>7262 JP Equity</v>
      </c>
      <c r="C587" t="str">
        <f>IFERROR(IF(0=LEN(ReferenceData!$C$587),"",ReferenceData!$C$587),"")</f>
        <v>RX072</v>
      </c>
      <c r="D587" t="str">
        <f>IFERROR(IF(0=LEN(ReferenceData!$D$587),"",ReferenceData!$D$587),"")</f>
        <v>FREE_CASH_FLOW_YIELD</v>
      </c>
      <c r="E587" t="str">
        <f>IFERROR(IF(0=LEN(ReferenceData!$E$587),"",ReferenceData!$E$587),"")</f>
        <v>Dynamic</v>
      </c>
      <c r="F587" t="str">
        <f ca="1">IFERROR(IF(0=LEN(ReferenceData!$F$587),"",ReferenceData!$F$587),"")</f>
        <v/>
      </c>
      <c r="G587" t="str">
        <f ca="1">IFERROR(IF(0=LEN(ReferenceData!$G$587),"",ReferenceData!$G$587),"")</f>
        <v/>
      </c>
      <c r="H587" t="str">
        <f ca="1">IFERROR(IF(0=LEN(ReferenceData!$H$587),"",ReferenceData!$H$587),"")</f>
        <v/>
      </c>
      <c r="I587" t="str">
        <f ca="1">IFERROR(IF(0=LEN(ReferenceData!$I$587),"",ReferenceData!$I$587),"")</f>
        <v/>
      </c>
      <c r="J587" t="str">
        <f ca="1">IFERROR(IF(0=LEN(ReferenceData!$J$587),"",ReferenceData!$J$587),"")</f>
        <v/>
      </c>
      <c r="K587" t="str">
        <f ca="1">IFERROR(IF(0=LEN(ReferenceData!$K$587),"",ReferenceData!$K$587),"")</f>
        <v/>
      </c>
      <c r="L587" t="str">
        <f ca="1">IFERROR(IF(0=LEN(ReferenceData!$L$587),"",ReferenceData!$L$587),"")</f>
        <v/>
      </c>
      <c r="M587" t="str">
        <f ca="1">IFERROR(IF(0=LEN(ReferenceData!$M$587),"",ReferenceData!$M$587),"")</f>
        <v/>
      </c>
      <c r="N587" t="str">
        <f ca="1">IFERROR(IF(0=LEN(ReferenceData!$N$587),"",ReferenceData!$N$587),"")</f>
        <v/>
      </c>
      <c r="O587" t="str">
        <f ca="1">IFERROR(IF(0=LEN(ReferenceData!$O$587),"",ReferenceData!$O$587),"")</f>
        <v/>
      </c>
      <c r="P587" t="str">
        <f ca="1">IFERROR(IF(0=LEN(ReferenceData!$P$587),"",ReferenceData!$P$587),"")</f>
        <v/>
      </c>
      <c r="Q587" t="str">
        <f ca="1">IFERROR(IF(0=LEN(ReferenceData!$Q$587),"",ReferenceData!$Q$587),"")</f>
        <v/>
      </c>
      <c r="R587" t="str">
        <f ca="1">IFERROR(IF(0=LEN(ReferenceData!$R$587),"",ReferenceData!$R$587),"")</f>
        <v/>
      </c>
      <c r="S587" t="str">
        <f ca="1">IFERROR(IF(0=LEN(ReferenceData!$S$587),"",ReferenceData!$S$587),"")</f>
        <v/>
      </c>
      <c r="T587" t="str">
        <f ca="1">IFERROR(IF(0=LEN(ReferenceData!$T$587),"",ReferenceData!$T$587),"")</f>
        <v/>
      </c>
      <c r="U587" t="str">
        <f ca="1">IFERROR(IF(0=LEN(ReferenceData!$U$587),"",ReferenceData!$U$587),"")</f>
        <v/>
      </c>
      <c r="V587" t="str">
        <f ca="1">IFERROR(IF(0=LEN(ReferenceData!$V$587),"",ReferenceData!$V$587),"")</f>
        <v/>
      </c>
      <c r="W587" t="str">
        <f ca="1">IFERROR(IF(0=LEN(ReferenceData!$W$587),"",ReferenceData!$W$587),"")</f>
        <v/>
      </c>
      <c r="X587" t="str">
        <f ca="1">IFERROR(IF(0=LEN(ReferenceData!$X$587),"",ReferenceData!$X$587),"")</f>
        <v/>
      </c>
      <c r="Y587" t="str">
        <f ca="1">IFERROR(IF(0=LEN(ReferenceData!$Y$587),"",ReferenceData!$Y$587),"")</f>
        <v/>
      </c>
      <c r="Z587" t="str">
        <f ca="1">IFERROR(IF(0=LEN(ReferenceData!$Z$587),"",ReferenceData!$Z$587),"")</f>
        <v/>
      </c>
      <c r="AA587" t="str">
        <f ca="1">IFERROR(IF(0=LEN(ReferenceData!$AA$587),"",ReferenceData!$AA$587),"")</f>
        <v/>
      </c>
      <c r="AB587" t="str">
        <f ca="1">IFERROR(IF(0=LEN(ReferenceData!$AB$587),"",ReferenceData!$AB$587),"")</f>
        <v/>
      </c>
      <c r="AC587" t="str">
        <f ca="1">IFERROR(IF(0=LEN(ReferenceData!$AC$587),"",ReferenceData!$AC$587),"")</f>
        <v/>
      </c>
      <c r="AD587" t="str">
        <f ca="1">IFERROR(IF(0=LEN(ReferenceData!$AD$587),"",ReferenceData!$AD$587),"")</f>
        <v/>
      </c>
      <c r="AE587" t="str">
        <f ca="1">IFERROR(IF(0=LEN(ReferenceData!$AE$587),"",ReferenceData!$AE$587),"")</f>
        <v/>
      </c>
      <c r="AF587" t="str">
        <f ca="1">IFERROR(IF(0=LEN(ReferenceData!$AF$587),"",ReferenceData!$AF$587),"")</f>
        <v/>
      </c>
      <c r="AG587" t="str">
        <f ca="1">IFERROR(IF(0=LEN(ReferenceData!$AG$587),"",ReferenceData!$AG$587),"")</f>
        <v/>
      </c>
      <c r="AH587" t="str">
        <f ca="1">IFERROR(IF(0=LEN(ReferenceData!$AH$587),"",ReferenceData!$AH$587),"")</f>
        <v/>
      </c>
      <c r="AI587" t="str">
        <f ca="1">IFERROR(IF(0=LEN(ReferenceData!$AI$587),"",ReferenceData!$AI$587),"")</f>
        <v/>
      </c>
      <c r="AJ587" t="str">
        <f ca="1">IFERROR(IF(0=LEN(ReferenceData!$AJ$587),"",ReferenceData!$AJ$587),"")</f>
        <v/>
      </c>
      <c r="AK587">
        <f ca="1">IFERROR(IF(0=LEN(ReferenceData!$AK$587),"",ReferenceData!$AK$587),"")</f>
        <v>18.293499229999998</v>
      </c>
      <c r="AL587">
        <f ca="1">IFERROR(IF(0=LEN(ReferenceData!$AL$587),"",ReferenceData!$AL$587),"")</f>
        <v>20.270766890000001</v>
      </c>
      <c r="AM587">
        <f ca="1">IFERROR(IF(0=LEN(ReferenceData!$AM$587),"",ReferenceData!$AM$587),"")</f>
        <v>24.398834109999999</v>
      </c>
      <c r="AN587">
        <f ca="1">IFERROR(IF(0=LEN(ReferenceData!$AN$587),"",ReferenceData!$AN$587),"")</f>
        <v>33.329912559999997</v>
      </c>
      <c r="AO587">
        <f ca="1">IFERROR(IF(0=LEN(ReferenceData!$AO$587),"",ReferenceData!$AO$587),"")</f>
        <v>38.797413519999999</v>
      </c>
      <c r="AP587">
        <f ca="1">IFERROR(IF(0=LEN(ReferenceData!$AP$587),"",ReferenceData!$AP$587),"")</f>
        <v>22.330125890000001</v>
      </c>
      <c r="AQ587">
        <f ca="1">IFERROR(IF(0=LEN(ReferenceData!$AQ$587),"",ReferenceData!$AQ$587),"")</f>
        <v>6.49362437</v>
      </c>
      <c r="AR587">
        <f ca="1">IFERROR(IF(0=LEN(ReferenceData!$AR$587),"",ReferenceData!$AR$587),"")</f>
        <v>-5.5393275959999997</v>
      </c>
      <c r="AS587">
        <f ca="1">IFERROR(IF(0=LEN(ReferenceData!$AS$587),"",ReferenceData!$AS$587),"")</f>
        <v>-6.7087907429999998</v>
      </c>
      <c r="AT587">
        <f ca="1">IFERROR(IF(0=LEN(ReferenceData!$AT$587),"",ReferenceData!$AT$587),"")</f>
        <v>-3.3893640270000001</v>
      </c>
      <c r="AU587">
        <f ca="1">IFERROR(IF(0=LEN(ReferenceData!$AU$587),"",ReferenceData!$AU$587),"")</f>
        <v>2.3284991389999998</v>
      </c>
      <c r="AV587">
        <f ca="1">IFERROR(IF(0=LEN(ReferenceData!$AV$587),"",ReferenceData!$AV$587),"")</f>
        <v>-2.8350076830000002</v>
      </c>
      <c r="AW587">
        <f ca="1">IFERROR(IF(0=LEN(ReferenceData!$AW$587),"",ReferenceData!$AW$587),"")</f>
        <v>-2.641609586</v>
      </c>
      <c r="AX587">
        <f ca="1">IFERROR(IF(0=LEN(ReferenceData!$AX$587),"",ReferenceData!$AX$587),"")</f>
        <v>-4.2473922660000003</v>
      </c>
      <c r="AY587">
        <f ca="1">IFERROR(IF(0=LEN(ReferenceData!$AY$587),"",ReferenceData!$AY$587),"")</f>
        <v>-1.9746427559999999</v>
      </c>
      <c r="AZ587">
        <f ca="1">IFERROR(IF(0=LEN(ReferenceData!$AZ$587),"",ReferenceData!$AZ$587),"")</f>
        <v>-1.3416778460000001</v>
      </c>
      <c r="BA587">
        <f ca="1">IFERROR(IF(0=LEN(ReferenceData!$BA$587),"",ReferenceData!$BA$587),"")</f>
        <v>2.192592093</v>
      </c>
      <c r="BB587">
        <f ca="1">IFERROR(IF(0=LEN(ReferenceData!$BB$587),"",ReferenceData!$BB$587),"")</f>
        <v>1.5583740909999999</v>
      </c>
      <c r="BC587">
        <f ca="1">IFERROR(IF(0=LEN(ReferenceData!$BC$587),"",ReferenceData!$BC$587),"")</f>
        <v>-0.86838364400000001</v>
      </c>
      <c r="BD587">
        <f ca="1">IFERROR(IF(0=LEN(ReferenceData!$BD$587),"",ReferenceData!$BD$587),"")</f>
        <v>-0.70225421600000004</v>
      </c>
      <c r="BE587">
        <f ca="1">IFERROR(IF(0=LEN(ReferenceData!$BE$587),"",ReferenceData!$BE$587),"")</f>
        <v>-6.0357978570000004</v>
      </c>
      <c r="BF587">
        <f ca="1">IFERROR(IF(0=LEN(ReferenceData!$BF$587),"",ReferenceData!$BF$587),"")</f>
        <v>-3.2341684989999999</v>
      </c>
      <c r="BG587" t="str">
        <f ca="1">IFERROR(IF(0=LEN(ReferenceData!$BG$587),"",ReferenceData!$BG$587),"")</f>
        <v/>
      </c>
      <c r="BH587" t="str">
        <f ca="1">IFERROR(IF(0=LEN(ReferenceData!$BH$587),"",ReferenceData!$BH$587),"")</f>
        <v/>
      </c>
      <c r="BI587" t="str">
        <f ca="1">IFERROR(IF(0=LEN(ReferenceData!$BI$587),"",ReferenceData!$BI$587),"")</f>
        <v/>
      </c>
      <c r="BJ587" t="str">
        <f ca="1">IFERROR(IF(0=LEN(ReferenceData!$BJ$587),"",ReferenceData!$BJ$587),"")</f>
        <v/>
      </c>
      <c r="BK587" t="str">
        <f ca="1">IFERROR(IF(0=LEN(ReferenceData!$BK$587),"",ReferenceData!$BK$587),"")</f>
        <v/>
      </c>
      <c r="BL587" t="str">
        <f ca="1">IFERROR(IF(0=LEN(ReferenceData!$BL$587),"",ReferenceData!$BL$587),"")</f>
        <v/>
      </c>
      <c r="BM587" t="str">
        <f ca="1">IFERROR(IF(0=LEN(ReferenceData!$BM$587),"",ReferenceData!$BM$587),"")</f>
        <v/>
      </c>
    </row>
    <row r="588" spans="1:65" x14ac:dyDescent="0.25">
      <c r="A588" t="str">
        <f>IFERROR(IF(0=LEN(ReferenceData!$A$588),"",ReferenceData!$A$588),"")</f>
        <v xml:space="preserve">    Daimler AG</v>
      </c>
      <c r="B588" t="str">
        <f>IFERROR(IF(0=LEN(ReferenceData!$B$588),"",ReferenceData!$B$588),"")</f>
        <v>DAI GR Equity</v>
      </c>
      <c r="C588" t="str">
        <f>IFERROR(IF(0=LEN(ReferenceData!$C$588),"",ReferenceData!$C$588),"")</f>
        <v>RX072</v>
      </c>
      <c r="D588" t="str">
        <f>IFERROR(IF(0=LEN(ReferenceData!$D$588),"",ReferenceData!$D$588),"")</f>
        <v>FREE_CASH_FLOW_YIELD</v>
      </c>
      <c r="E588" t="str">
        <f>IFERROR(IF(0=LEN(ReferenceData!$E$588),"",ReferenceData!$E$588),"")</f>
        <v>Dynamic</v>
      </c>
      <c r="F588">
        <f ca="1">IFERROR(IF(0=LEN(ReferenceData!$F$588),"",ReferenceData!$F$588),"")</f>
        <v>-12.86964802</v>
      </c>
      <c r="G588">
        <f ca="1">IFERROR(IF(0=LEN(ReferenceData!$G$588),"",ReferenceData!$G$588),"")</f>
        <v>-14.641292010000001</v>
      </c>
      <c r="H588">
        <f ca="1">IFERROR(IF(0=LEN(ReferenceData!$H$588),"",ReferenceData!$H$588),"")</f>
        <v>-23.762344250000002</v>
      </c>
      <c r="I588">
        <f ca="1">IFERROR(IF(0=LEN(ReferenceData!$I$588),"",ReferenceData!$I$588),"")</f>
        <v>-17.196221090000002</v>
      </c>
      <c r="J588">
        <f ca="1">IFERROR(IF(0=LEN(ReferenceData!$J$588),"",ReferenceData!$J$588),"")</f>
        <v>-13.075736190000001</v>
      </c>
      <c r="K588">
        <f ca="1">IFERROR(IF(0=LEN(ReferenceData!$K$588),"",ReferenceData!$K$588),"")</f>
        <v>-11.08502249</v>
      </c>
      <c r="L588">
        <f ca="1">IFERROR(IF(0=LEN(ReferenceData!$L$588),"",ReferenceData!$L$588),"")</f>
        <v>-2.8858834240000002</v>
      </c>
      <c r="M588">
        <f ca="1">IFERROR(IF(0=LEN(ReferenceData!$M$588),"",ReferenceData!$M$588),"")</f>
        <v>-3.727240208</v>
      </c>
      <c r="N588">
        <f ca="1">IFERROR(IF(0=LEN(ReferenceData!$N$588),"",ReferenceData!$N$588),"")</f>
        <v>-2.079486385</v>
      </c>
      <c r="O588">
        <f ca="1">IFERROR(IF(0=LEN(ReferenceData!$O$588),"",ReferenceData!$O$588),"")</f>
        <v>-2.878810181</v>
      </c>
      <c r="P588">
        <f ca="1">IFERROR(IF(0=LEN(ReferenceData!$P$588),"",ReferenceData!$P$588),"")</f>
        <v>-5.3271738019999999</v>
      </c>
      <c r="Q588">
        <f ca="1">IFERROR(IF(0=LEN(ReferenceData!$Q$588),"",ReferenceData!$Q$588),"")</f>
        <v>-6.2595067340000003</v>
      </c>
      <c r="R588">
        <f ca="1">IFERROR(IF(0=LEN(ReferenceData!$R$588),"",ReferenceData!$R$588),"")</f>
        <v>-7.7623718820000001</v>
      </c>
      <c r="S588">
        <f ca="1">IFERROR(IF(0=LEN(ReferenceData!$S$588),"",ReferenceData!$S$588),"")</f>
        <v>-5.8473342830000004</v>
      </c>
      <c r="T588">
        <f ca="1">IFERROR(IF(0=LEN(ReferenceData!$T$588),"",ReferenceData!$T$588),"")</f>
        <v>-11.312357280000001</v>
      </c>
      <c r="U588">
        <f ca="1">IFERROR(IF(0=LEN(ReferenceData!$U$588),"",ReferenceData!$U$588),"")</f>
        <v>-7.6712658759999997</v>
      </c>
      <c r="V588">
        <f ca="1">IFERROR(IF(0=LEN(ReferenceData!$V$588),"",ReferenceData!$V$588),"")</f>
        <v>-6.1617385220000003</v>
      </c>
      <c r="W588">
        <f ca="1">IFERROR(IF(0=LEN(ReferenceData!$W$588),"",ReferenceData!$W$588),"")</f>
        <v>-8.2917586609999994</v>
      </c>
      <c r="X588">
        <f ca="1">IFERROR(IF(0=LEN(ReferenceData!$X$588),"",ReferenceData!$X$588),"")</f>
        <v>-2.4962079840000002</v>
      </c>
      <c r="Y588">
        <f ca="1">IFERROR(IF(0=LEN(ReferenceData!$Y$588),"",ReferenceData!$Y$588),"")</f>
        <v>-2.2055091089999999</v>
      </c>
      <c r="Z588">
        <f ca="1">IFERROR(IF(0=LEN(ReferenceData!$Z$588),"",ReferenceData!$Z$588),"")</f>
        <v>-0.56491292800000004</v>
      </c>
      <c r="AA588">
        <f ca="1">IFERROR(IF(0=LEN(ReferenceData!$AA$588),"",ReferenceData!$AA$588),"")</f>
        <v>-2.5131011440000002</v>
      </c>
      <c r="AB588">
        <f ca="1">IFERROR(IF(0=LEN(ReferenceData!$AB$588),"",ReferenceData!$AB$588),"")</f>
        <v>-3.5752639610000001</v>
      </c>
      <c r="AC588">
        <f ca="1">IFERROR(IF(0=LEN(ReferenceData!$AC$588),"",ReferenceData!$AC$588),"")</f>
        <v>-8.3595656189999996</v>
      </c>
      <c r="AD588">
        <f ca="1">IFERROR(IF(0=LEN(ReferenceData!$AD$588),"",ReferenceData!$AD$588),"")</f>
        <v>-11.053424939999999</v>
      </c>
      <c r="AE588">
        <f ca="1">IFERROR(IF(0=LEN(ReferenceData!$AE$588),"",ReferenceData!$AE$588),"")</f>
        <v>-13.44638501</v>
      </c>
      <c r="AF588">
        <f ca="1">IFERROR(IF(0=LEN(ReferenceData!$AF$588),"",ReferenceData!$AF$588),"")</f>
        <v>-15.564564989999999</v>
      </c>
      <c r="AG588">
        <f ca="1">IFERROR(IF(0=LEN(ReferenceData!$AG$588),"",ReferenceData!$AG$588),"")</f>
        <v>-15.2518388</v>
      </c>
      <c r="AH588">
        <f ca="1">IFERROR(IF(0=LEN(ReferenceData!$AH$588),"",ReferenceData!$AH$588),"")</f>
        <v>-10.505517599999999</v>
      </c>
      <c r="AI588">
        <f ca="1">IFERROR(IF(0=LEN(ReferenceData!$AI$588),"",ReferenceData!$AI$588),"")</f>
        <v>-13.42154611</v>
      </c>
      <c r="AJ588">
        <f ca="1">IFERROR(IF(0=LEN(ReferenceData!$AJ$588),"",ReferenceData!$AJ$588),"")</f>
        <v>-9.7290852569999995</v>
      </c>
      <c r="AK588">
        <f ca="1">IFERROR(IF(0=LEN(ReferenceData!$AK$588),"",ReferenceData!$AK$588),"")</f>
        <v>0.478043416</v>
      </c>
      <c r="AL588">
        <f ca="1">IFERROR(IF(0=LEN(ReferenceData!$AL$588),"",ReferenceData!$AL$588),"")</f>
        <v>4.5508556689999997</v>
      </c>
      <c r="AM588">
        <f ca="1">IFERROR(IF(0=LEN(ReferenceData!$AM$588),"",ReferenceData!$AM$588),"")</f>
        <v>9.1940142300000005</v>
      </c>
      <c r="AN588">
        <f ca="1">IFERROR(IF(0=LEN(ReferenceData!$AN$588),"",ReferenceData!$AN$588),"")</f>
        <v>13.691009599999999</v>
      </c>
      <c r="AO588">
        <f ca="1">IFERROR(IF(0=LEN(ReferenceData!$AO$588),"",ReferenceData!$AO$588),"")</f>
        <v>15.17043795</v>
      </c>
      <c r="AP588">
        <f ca="1">IFERROR(IF(0=LEN(ReferenceData!$AP$588),"",ReferenceData!$AP$588),"")</f>
        <v>22.14215415</v>
      </c>
      <c r="AQ588">
        <f ca="1">IFERROR(IF(0=LEN(ReferenceData!$AQ$588),"",ReferenceData!$AQ$588),"")</f>
        <v>22.809892380000001</v>
      </c>
      <c r="AR588">
        <f ca="1">IFERROR(IF(0=LEN(ReferenceData!$AR$588),"",ReferenceData!$AR$588),"")</f>
        <v>15.22788699</v>
      </c>
      <c r="AS588">
        <f ca="1">IFERROR(IF(0=LEN(ReferenceData!$AS$588),"",ReferenceData!$AS$588),"")</f>
        <v>10.87383971</v>
      </c>
      <c r="AT588">
        <f ca="1">IFERROR(IF(0=LEN(ReferenceData!$AT$588),"",ReferenceData!$AT$588),"")</f>
        <v>1.9839506819999999</v>
      </c>
      <c r="AU588">
        <f ca="1">IFERROR(IF(0=LEN(ReferenceData!$AU$588),"",ReferenceData!$AU$588),"")</f>
        <v>-1.594989335</v>
      </c>
      <c r="AV588">
        <f ca="1">IFERROR(IF(0=LEN(ReferenceData!$AV$588),"",ReferenceData!$AV$588),"")</f>
        <v>5.6769300960000004</v>
      </c>
      <c r="AW588">
        <f ca="1">IFERROR(IF(0=LEN(ReferenceData!$AW$588),"",ReferenceData!$AW$588),"")</f>
        <v>6.0687427019999998</v>
      </c>
      <c r="AX588">
        <f ca="1">IFERROR(IF(0=LEN(ReferenceData!$AX$588),"",ReferenceData!$AX$588),"")</f>
        <v>0.132717528</v>
      </c>
      <c r="AY588">
        <f ca="1">IFERROR(IF(0=LEN(ReferenceData!$AY$588),"",ReferenceData!$AY$588),"")</f>
        <v>2.0498468459999999</v>
      </c>
      <c r="AZ588">
        <f ca="1">IFERROR(IF(0=LEN(ReferenceData!$AZ$588),"",ReferenceData!$AZ$588),"")</f>
        <v>-0.25664906199999998</v>
      </c>
      <c r="BA588">
        <f ca="1">IFERROR(IF(0=LEN(ReferenceData!$BA$588),"",ReferenceData!$BA$588),"")</f>
        <v>-3.591313709</v>
      </c>
      <c r="BB588">
        <f ca="1">IFERROR(IF(0=LEN(ReferenceData!$BB$588),"",ReferenceData!$BB$588),"")</f>
        <v>-5.7138252600000001</v>
      </c>
      <c r="BC588">
        <f ca="1">IFERROR(IF(0=LEN(ReferenceData!$BC$588),"",ReferenceData!$BC$588),"")</f>
        <v>-15.30667714</v>
      </c>
      <c r="BD588">
        <f ca="1">IFERROR(IF(0=LEN(ReferenceData!$BD$588),"",ReferenceData!$BD$588),"")</f>
        <v>-28.694886220000001</v>
      </c>
      <c r="BE588">
        <f ca="1">IFERROR(IF(0=LEN(ReferenceData!$BE$588),"",ReferenceData!$BE$588),"")</f>
        <v>-30.425140670000001</v>
      </c>
      <c r="BF588">
        <f ca="1">IFERROR(IF(0=LEN(ReferenceData!$BF$588),"",ReferenceData!$BF$588),"")</f>
        <v>-27.793582839999999</v>
      </c>
      <c r="BG588">
        <f ca="1">IFERROR(IF(0=LEN(ReferenceData!$BG$588),"",ReferenceData!$BG$588),"")</f>
        <v>-33.74791725</v>
      </c>
      <c r="BH588">
        <f ca="1">IFERROR(IF(0=LEN(ReferenceData!$BH$588),"",ReferenceData!$BH$588),"")</f>
        <v>-33.159506380000003</v>
      </c>
      <c r="BI588">
        <f ca="1">IFERROR(IF(0=LEN(ReferenceData!$BI$588),"",ReferenceData!$BI$588),"")</f>
        <v>-60.353106609999998</v>
      </c>
      <c r="BJ588">
        <f ca="1">IFERROR(IF(0=LEN(ReferenceData!$BJ$588),"",ReferenceData!$BJ$588),"")</f>
        <v>-55.368976320000002</v>
      </c>
      <c r="BK588">
        <f ca="1">IFERROR(IF(0=LEN(ReferenceData!$BK$588),"",ReferenceData!$BK$588),"")</f>
        <v>-50.634437650000002</v>
      </c>
      <c r="BL588">
        <f ca="1">IFERROR(IF(0=LEN(ReferenceData!$BL$588),"",ReferenceData!$BL$588),"")</f>
        <v>-46.249378360000001</v>
      </c>
      <c r="BM588">
        <f ca="1">IFERROR(IF(0=LEN(ReferenceData!$BM$588),"",ReferenceData!$BM$588),"")</f>
        <v>-26.340979069999999</v>
      </c>
    </row>
    <row r="589" spans="1:65" x14ac:dyDescent="0.25">
      <c r="A589" t="str">
        <f>IFERROR(IF(0=LEN(ReferenceData!$A$589),"",ReferenceData!$A$589),"")</f>
        <v xml:space="preserve">    Dongfeng Motor Group Co Ltd</v>
      </c>
      <c r="B589" t="str">
        <f>IFERROR(IF(0=LEN(ReferenceData!$B$589),"",ReferenceData!$B$589),"")</f>
        <v>489 HK Equity</v>
      </c>
      <c r="C589" t="str">
        <f>IFERROR(IF(0=LEN(ReferenceData!$C$589),"",ReferenceData!$C$589),"")</f>
        <v>RX072</v>
      </c>
      <c r="D589" t="str">
        <f>IFERROR(IF(0=LEN(ReferenceData!$D$589),"",ReferenceData!$D$589),"")</f>
        <v>FREE_CASH_FLOW_YIELD</v>
      </c>
      <c r="E589" t="str">
        <f>IFERROR(IF(0=LEN(ReferenceData!$E$589),"",ReferenceData!$E$589),"")</f>
        <v>Dynamic</v>
      </c>
      <c r="F589" t="str">
        <f ca="1">IFERROR(IF(0=LEN(ReferenceData!$F$589),"",ReferenceData!$F$589),"")</f>
        <v/>
      </c>
      <c r="G589" t="str">
        <f ca="1">IFERROR(IF(0=LEN(ReferenceData!$G$589),"",ReferenceData!$G$589),"")</f>
        <v/>
      </c>
      <c r="H589" t="str">
        <f ca="1">IFERROR(IF(0=LEN(ReferenceData!$H$589),"",ReferenceData!$H$589),"")</f>
        <v/>
      </c>
      <c r="I589" t="str">
        <f ca="1">IFERROR(IF(0=LEN(ReferenceData!$I$589),"",ReferenceData!$I$589),"")</f>
        <v/>
      </c>
      <c r="J589" t="str">
        <f ca="1">IFERROR(IF(0=LEN(ReferenceData!$J$589),"",ReferenceData!$J$589),"")</f>
        <v/>
      </c>
      <c r="K589" t="str">
        <f ca="1">IFERROR(IF(0=LEN(ReferenceData!$K$589),"",ReferenceData!$K$589),"")</f>
        <v/>
      </c>
      <c r="L589" t="str">
        <f ca="1">IFERROR(IF(0=LEN(ReferenceData!$L$589),"",ReferenceData!$L$589),"")</f>
        <v/>
      </c>
      <c r="M589" t="str">
        <f ca="1">IFERROR(IF(0=LEN(ReferenceData!$M$589),"",ReferenceData!$M$589),"")</f>
        <v/>
      </c>
      <c r="N589" t="str">
        <f ca="1">IFERROR(IF(0=LEN(ReferenceData!$N$589),"",ReferenceData!$N$589),"")</f>
        <v/>
      </c>
      <c r="O589" t="str">
        <f ca="1">IFERROR(IF(0=LEN(ReferenceData!$O$589),"",ReferenceData!$O$589),"")</f>
        <v/>
      </c>
      <c r="P589" t="str">
        <f ca="1">IFERROR(IF(0=LEN(ReferenceData!$P$589),"",ReferenceData!$P$589),"")</f>
        <v/>
      </c>
      <c r="Q589" t="str">
        <f ca="1">IFERROR(IF(0=LEN(ReferenceData!$Q$589),"",ReferenceData!$Q$589),"")</f>
        <v/>
      </c>
      <c r="R589" t="str">
        <f ca="1">IFERROR(IF(0=LEN(ReferenceData!$R$589),"",ReferenceData!$R$589),"")</f>
        <v/>
      </c>
      <c r="S589" t="str">
        <f ca="1">IFERROR(IF(0=LEN(ReferenceData!$S$589),"",ReferenceData!$S$589),"")</f>
        <v/>
      </c>
      <c r="T589" t="str">
        <f ca="1">IFERROR(IF(0=LEN(ReferenceData!$T$589),"",ReferenceData!$T$589),"")</f>
        <v/>
      </c>
      <c r="U589" t="str">
        <f ca="1">IFERROR(IF(0=LEN(ReferenceData!$U$589),"",ReferenceData!$U$589),"")</f>
        <v/>
      </c>
      <c r="V589" t="str">
        <f ca="1">IFERROR(IF(0=LEN(ReferenceData!$V$589),"",ReferenceData!$V$589),"")</f>
        <v/>
      </c>
      <c r="W589" t="str">
        <f ca="1">IFERROR(IF(0=LEN(ReferenceData!$W$589),"",ReferenceData!$W$589),"")</f>
        <v/>
      </c>
      <c r="X589" t="str">
        <f ca="1">IFERROR(IF(0=LEN(ReferenceData!$X$589),"",ReferenceData!$X$589),"")</f>
        <v/>
      </c>
      <c r="Y589" t="str">
        <f ca="1">IFERROR(IF(0=LEN(ReferenceData!$Y$589),"",ReferenceData!$Y$589),"")</f>
        <v/>
      </c>
      <c r="Z589" t="str">
        <f ca="1">IFERROR(IF(0=LEN(ReferenceData!$Z$589),"",ReferenceData!$Z$589),"")</f>
        <v/>
      </c>
      <c r="AA589" t="str">
        <f ca="1">IFERROR(IF(0=LEN(ReferenceData!$AA$589),"",ReferenceData!$AA$589),"")</f>
        <v/>
      </c>
      <c r="AB589" t="str">
        <f ca="1">IFERROR(IF(0=LEN(ReferenceData!$AB$589),"",ReferenceData!$AB$589),"")</f>
        <v/>
      </c>
      <c r="AC589" t="str">
        <f ca="1">IFERROR(IF(0=LEN(ReferenceData!$AC$589),"",ReferenceData!$AC$589),"")</f>
        <v/>
      </c>
      <c r="AD589" t="str">
        <f ca="1">IFERROR(IF(0=LEN(ReferenceData!$AD$589),"",ReferenceData!$AD$589),"")</f>
        <v/>
      </c>
      <c r="AE589" t="str">
        <f ca="1">IFERROR(IF(0=LEN(ReferenceData!$AE$589),"",ReferenceData!$AE$589),"")</f>
        <v/>
      </c>
      <c r="AF589" t="str">
        <f ca="1">IFERROR(IF(0=LEN(ReferenceData!$AF$589),"",ReferenceData!$AF$589),"")</f>
        <v/>
      </c>
      <c r="AG589" t="str">
        <f ca="1">IFERROR(IF(0=LEN(ReferenceData!$AG$589),"",ReferenceData!$AG$589),"")</f>
        <v/>
      </c>
      <c r="AH589" t="str">
        <f ca="1">IFERROR(IF(0=LEN(ReferenceData!$AH$589),"",ReferenceData!$AH$589),"")</f>
        <v/>
      </c>
      <c r="AI589" t="str">
        <f ca="1">IFERROR(IF(0=LEN(ReferenceData!$AI$589),"",ReferenceData!$AI$589),"")</f>
        <v/>
      </c>
      <c r="AJ589" t="str">
        <f ca="1">IFERROR(IF(0=LEN(ReferenceData!$AJ$589),"",ReferenceData!$AJ$589),"")</f>
        <v/>
      </c>
      <c r="AK589" t="str">
        <f ca="1">IFERROR(IF(0=LEN(ReferenceData!$AK$589),"",ReferenceData!$AK$589),"")</f>
        <v/>
      </c>
      <c r="AL589" t="str">
        <f ca="1">IFERROR(IF(0=LEN(ReferenceData!$AL$589),"",ReferenceData!$AL$589),"")</f>
        <v/>
      </c>
      <c r="AM589" t="str">
        <f ca="1">IFERROR(IF(0=LEN(ReferenceData!$AM$589),"",ReferenceData!$AM$589),"")</f>
        <v/>
      </c>
      <c r="AN589" t="str">
        <f ca="1">IFERROR(IF(0=LEN(ReferenceData!$AN$589),"",ReferenceData!$AN$589),"")</f>
        <v/>
      </c>
      <c r="AO589" t="str">
        <f ca="1">IFERROR(IF(0=LEN(ReferenceData!$AO$589),"",ReferenceData!$AO$589),"")</f>
        <v/>
      </c>
      <c r="AP589" t="str">
        <f ca="1">IFERROR(IF(0=LEN(ReferenceData!$AP$589),"",ReferenceData!$AP$589),"")</f>
        <v/>
      </c>
      <c r="AQ589" t="str">
        <f ca="1">IFERROR(IF(0=LEN(ReferenceData!$AQ$589),"",ReferenceData!$AQ$589),"")</f>
        <v/>
      </c>
      <c r="AR589" t="str">
        <f ca="1">IFERROR(IF(0=LEN(ReferenceData!$AR$589),"",ReferenceData!$AR$589),"")</f>
        <v/>
      </c>
      <c r="AS589" t="str">
        <f ca="1">IFERROR(IF(0=LEN(ReferenceData!$AS$589),"",ReferenceData!$AS$589),"")</f>
        <v/>
      </c>
      <c r="AT589" t="str">
        <f ca="1">IFERROR(IF(0=LEN(ReferenceData!$AT$589),"",ReferenceData!$AT$589),"")</f>
        <v/>
      </c>
      <c r="AU589" t="str">
        <f ca="1">IFERROR(IF(0=LEN(ReferenceData!$AU$589),"",ReferenceData!$AU$589),"")</f>
        <v/>
      </c>
      <c r="AV589" t="str">
        <f ca="1">IFERROR(IF(0=LEN(ReferenceData!$AV$589),"",ReferenceData!$AV$589),"")</f>
        <v/>
      </c>
      <c r="AW589" t="str">
        <f ca="1">IFERROR(IF(0=LEN(ReferenceData!$AW$589),"",ReferenceData!$AW$589),"")</f>
        <v/>
      </c>
      <c r="AX589" t="str">
        <f ca="1">IFERROR(IF(0=LEN(ReferenceData!$AX$589),"",ReferenceData!$AX$589),"")</f>
        <v/>
      </c>
      <c r="AY589" t="str">
        <f ca="1">IFERROR(IF(0=LEN(ReferenceData!$AY$589),"",ReferenceData!$AY$589),"")</f>
        <v/>
      </c>
      <c r="AZ589" t="str">
        <f ca="1">IFERROR(IF(0=LEN(ReferenceData!$AZ$589),"",ReferenceData!$AZ$589),"")</f>
        <v/>
      </c>
      <c r="BA589" t="str">
        <f ca="1">IFERROR(IF(0=LEN(ReferenceData!$BA$589),"",ReferenceData!$BA$589),"")</f>
        <v/>
      </c>
      <c r="BB589" t="str">
        <f ca="1">IFERROR(IF(0=LEN(ReferenceData!$BB$589),"",ReferenceData!$BB$589),"")</f>
        <v/>
      </c>
      <c r="BC589" t="str">
        <f ca="1">IFERROR(IF(0=LEN(ReferenceData!$BC$589),"",ReferenceData!$BC$589),"")</f>
        <v/>
      </c>
      <c r="BD589" t="str">
        <f ca="1">IFERROR(IF(0=LEN(ReferenceData!$BD$589),"",ReferenceData!$BD$589),"")</f>
        <v/>
      </c>
      <c r="BE589" t="str">
        <f ca="1">IFERROR(IF(0=LEN(ReferenceData!$BE$589),"",ReferenceData!$BE$589),"")</f>
        <v/>
      </c>
      <c r="BF589" t="str">
        <f ca="1">IFERROR(IF(0=LEN(ReferenceData!$BF$589),"",ReferenceData!$BF$589),"")</f>
        <v/>
      </c>
      <c r="BG589" t="str">
        <f ca="1">IFERROR(IF(0=LEN(ReferenceData!$BG$589),"",ReferenceData!$BG$589),"")</f>
        <v/>
      </c>
      <c r="BH589" t="str">
        <f ca="1">IFERROR(IF(0=LEN(ReferenceData!$BH$589),"",ReferenceData!$BH$589),"")</f>
        <v/>
      </c>
      <c r="BI589" t="str">
        <f ca="1">IFERROR(IF(0=LEN(ReferenceData!$BI$589),"",ReferenceData!$BI$589),"")</f>
        <v/>
      </c>
      <c r="BJ589" t="str">
        <f ca="1">IFERROR(IF(0=LEN(ReferenceData!$BJ$589),"",ReferenceData!$BJ$589),"")</f>
        <v/>
      </c>
      <c r="BK589" t="str">
        <f ca="1">IFERROR(IF(0=LEN(ReferenceData!$BK$589),"",ReferenceData!$BK$589),"")</f>
        <v/>
      </c>
      <c r="BL589" t="str">
        <f ca="1">IFERROR(IF(0=LEN(ReferenceData!$BL$589),"",ReferenceData!$BL$589),"")</f>
        <v/>
      </c>
      <c r="BM589" t="str">
        <f ca="1">IFERROR(IF(0=LEN(ReferenceData!$BM$589),"",ReferenceData!$BM$589),"")</f>
        <v/>
      </c>
    </row>
    <row r="590" spans="1:65" x14ac:dyDescent="0.25">
      <c r="A590" t="str">
        <f>IFERROR(IF(0=LEN(ReferenceData!$A$590),"",ReferenceData!$A$590),"")</f>
        <v xml:space="preserve">    DRB-Hicom Bhd</v>
      </c>
      <c r="B590" t="str">
        <f>IFERROR(IF(0=LEN(ReferenceData!$B$590),"",ReferenceData!$B$590),"")</f>
        <v>DRB MK Equity</v>
      </c>
      <c r="C590" t="str">
        <f>IFERROR(IF(0=LEN(ReferenceData!$C$590),"",ReferenceData!$C$590),"")</f>
        <v>RX072</v>
      </c>
      <c r="D590" t="str">
        <f>IFERROR(IF(0=LEN(ReferenceData!$D$590),"",ReferenceData!$D$590),"")</f>
        <v>FREE_CASH_FLOW_YIELD</v>
      </c>
      <c r="E590" t="str">
        <f>IFERROR(IF(0=LEN(ReferenceData!$E$590),"",ReferenceData!$E$590),"")</f>
        <v>Dynamic</v>
      </c>
      <c r="F590" t="str">
        <f ca="1">IFERROR(IF(0=LEN(ReferenceData!$F$590),"",ReferenceData!$F$590),"")</f>
        <v/>
      </c>
      <c r="G590">
        <f ca="1">IFERROR(IF(0=LEN(ReferenceData!$G$590),"",ReferenceData!$G$590),"")</f>
        <v>50.258507950000002</v>
      </c>
      <c r="H590">
        <f ca="1">IFERROR(IF(0=LEN(ReferenceData!$H$590),"",ReferenceData!$H$590),"")</f>
        <v>38.909812610000003</v>
      </c>
      <c r="I590">
        <f ca="1">IFERROR(IF(0=LEN(ReferenceData!$I$590),"",ReferenceData!$I$590),"")</f>
        <v>14.605196429999999</v>
      </c>
      <c r="J590">
        <f ca="1">IFERROR(IF(0=LEN(ReferenceData!$J$590),"",ReferenceData!$J$590),"")</f>
        <v>5.8609760409999998</v>
      </c>
      <c r="K590">
        <f ca="1">IFERROR(IF(0=LEN(ReferenceData!$K$590),"",ReferenceData!$K$590),"")</f>
        <v>12.498559459999999</v>
      </c>
      <c r="L590">
        <f ca="1">IFERROR(IF(0=LEN(ReferenceData!$L$590),"",ReferenceData!$L$590),"")</f>
        <v>-28.4495665</v>
      </c>
      <c r="M590">
        <f ca="1">IFERROR(IF(0=LEN(ReferenceData!$M$590),"",ReferenceData!$M$590),"")</f>
        <v>-43.513733469999998</v>
      </c>
      <c r="N590">
        <f ca="1">IFERROR(IF(0=LEN(ReferenceData!$N$590),"",ReferenceData!$N$590),"")</f>
        <v>-21.679811780000001</v>
      </c>
      <c r="O590">
        <f ca="1">IFERROR(IF(0=LEN(ReferenceData!$O$590),"",ReferenceData!$O$590),"")</f>
        <v>-77.179902659999996</v>
      </c>
      <c r="P590">
        <f ca="1">IFERROR(IF(0=LEN(ReferenceData!$P$590),"",ReferenceData!$P$590),"")</f>
        <v>-26.157201090000001</v>
      </c>
      <c r="Q590">
        <f ca="1">IFERROR(IF(0=LEN(ReferenceData!$Q$590),"",ReferenceData!$Q$590),"")</f>
        <v>7.8049866049999999</v>
      </c>
      <c r="R590">
        <f ca="1">IFERROR(IF(0=LEN(ReferenceData!$R$590),"",ReferenceData!$R$590),"")</f>
        <v>-61.360106109999997</v>
      </c>
      <c r="S590">
        <f ca="1">IFERROR(IF(0=LEN(ReferenceData!$S$590),"",ReferenceData!$S$590),"")</f>
        <v>-62.427345870000003</v>
      </c>
      <c r="T590">
        <f ca="1">IFERROR(IF(0=LEN(ReferenceData!$T$590),"",ReferenceData!$T$590),"")</f>
        <v>-90.1956402</v>
      </c>
      <c r="U590">
        <f ca="1">IFERROR(IF(0=LEN(ReferenceData!$U$590),"",ReferenceData!$U$590),"")</f>
        <v>-60.624198380000003</v>
      </c>
      <c r="V590">
        <f ca="1">IFERROR(IF(0=LEN(ReferenceData!$V$590),"",ReferenceData!$V$590),"")</f>
        <v>-1.7893504929999999</v>
      </c>
      <c r="W590">
        <f ca="1">IFERROR(IF(0=LEN(ReferenceData!$W$590),"",ReferenceData!$W$590),"")</f>
        <v>9.8252974529999992</v>
      </c>
      <c r="X590">
        <f ca="1">IFERROR(IF(0=LEN(ReferenceData!$X$590),"",ReferenceData!$X$590),"")</f>
        <v>-24.036202200000002</v>
      </c>
      <c r="Y590">
        <f ca="1">IFERROR(IF(0=LEN(ReferenceData!$Y$590),"",ReferenceData!$Y$590),"")</f>
        <v>-24.16751721</v>
      </c>
      <c r="Z590">
        <f ca="1">IFERROR(IF(0=LEN(ReferenceData!$Z$590),"",ReferenceData!$Z$590),"")</f>
        <v>-52.562154159999999</v>
      </c>
      <c r="AA590">
        <f ca="1">IFERROR(IF(0=LEN(ReferenceData!$AA$590),"",ReferenceData!$AA$590),"")</f>
        <v>16.593031490000001</v>
      </c>
      <c r="AB590">
        <f ca="1">IFERROR(IF(0=LEN(ReferenceData!$AB$590),"",ReferenceData!$AB$590),"")</f>
        <v>51.740230410000002</v>
      </c>
      <c r="AC590">
        <f ca="1">IFERROR(IF(0=LEN(ReferenceData!$AC$590),"",ReferenceData!$AC$590),"")</f>
        <v>39.334051959999996</v>
      </c>
      <c r="AD590">
        <f ca="1">IFERROR(IF(0=LEN(ReferenceData!$AD$590),"",ReferenceData!$AD$590),"")</f>
        <v>-8.4418817260000001</v>
      </c>
      <c r="AE590">
        <f ca="1">IFERROR(IF(0=LEN(ReferenceData!$AE$590),"",ReferenceData!$AE$590),"")</f>
        <v>-35.570321079999999</v>
      </c>
      <c r="AF590">
        <f ca="1">IFERROR(IF(0=LEN(ReferenceData!$AF$590),"",ReferenceData!$AF$590),"")</f>
        <v>-10.12507162</v>
      </c>
      <c r="AG590">
        <f ca="1">IFERROR(IF(0=LEN(ReferenceData!$AG$590),"",ReferenceData!$AG$590),"")</f>
        <v>-49.02935188</v>
      </c>
      <c r="AH590">
        <f ca="1">IFERROR(IF(0=LEN(ReferenceData!$AH$590),"",ReferenceData!$AH$590),"")</f>
        <v>-14.345460279999999</v>
      </c>
      <c r="AI590">
        <f ca="1">IFERROR(IF(0=LEN(ReferenceData!$AI$590),"",ReferenceData!$AI$590),"")</f>
        <v>-26.52870523</v>
      </c>
      <c r="AJ590">
        <f ca="1">IFERROR(IF(0=LEN(ReferenceData!$AJ$590),"",ReferenceData!$AJ$590),"")</f>
        <v>-111.0044312</v>
      </c>
      <c r="AK590">
        <f ca="1">IFERROR(IF(0=LEN(ReferenceData!$AK$590),"",ReferenceData!$AK$590),"")</f>
        <v>-63.705164250000003</v>
      </c>
      <c r="AL590">
        <f ca="1">IFERROR(IF(0=LEN(ReferenceData!$AL$590),"",ReferenceData!$AL$590),"")</f>
        <v>-42.253844540000003</v>
      </c>
      <c r="AM590">
        <f ca="1">IFERROR(IF(0=LEN(ReferenceData!$AM$590),"",ReferenceData!$AM$590),"")</f>
        <v>-69.781632040000005</v>
      </c>
      <c r="AN590">
        <f ca="1">IFERROR(IF(0=LEN(ReferenceData!$AN$590),"",ReferenceData!$AN$590),"")</f>
        <v>-61.854102730000001</v>
      </c>
      <c r="AO590">
        <f ca="1">IFERROR(IF(0=LEN(ReferenceData!$AO$590),"",ReferenceData!$AO$590),"")</f>
        <v>45.458133770000003</v>
      </c>
      <c r="AP590">
        <f ca="1">IFERROR(IF(0=LEN(ReferenceData!$AP$590),"",ReferenceData!$AP$590),"")</f>
        <v>101.770172</v>
      </c>
      <c r="AQ590">
        <f ca="1">IFERROR(IF(0=LEN(ReferenceData!$AQ$590),"",ReferenceData!$AQ$590),"")</f>
        <v>-43.536445749999999</v>
      </c>
      <c r="AR590">
        <f ca="1">IFERROR(IF(0=LEN(ReferenceData!$AR$590),"",ReferenceData!$AR$590),"")</f>
        <v>-52.280855619999997</v>
      </c>
      <c r="AS590">
        <f ca="1">IFERROR(IF(0=LEN(ReferenceData!$AS$590),"",ReferenceData!$AS$590),"")</f>
        <v>-107.1206899</v>
      </c>
      <c r="AT590">
        <f ca="1">IFERROR(IF(0=LEN(ReferenceData!$AT$590),"",ReferenceData!$AT$590),"")</f>
        <v>-201.02150739999999</v>
      </c>
      <c r="AU590">
        <f ca="1">IFERROR(IF(0=LEN(ReferenceData!$AU$590),"",ReferenceData!$AU$590),"")</f>
        <v>-1.4345998369999999</v>
      </c>
      <c r="AV590">
        <f ca="1">IFERROR(IF(0=LEN(ReferenceData!$AV$590),"",ReferenceData!$AV$590),"")</f>
        <v>-3.9560083389999998</v>
      </c>
      <c r="AW590">
        <f ca="1">IFERROR(IF(0=LEN(ReferenceData!$AW$590),"",ReferenceData!$AW$590),"")</f>
        <v>2.9907907219999998</v>
      </c>
      <c r="AX590">
        <f ca="1">IFERROR(IF(0=LEN(ReferenceData!$AX$590),"",ReferenceData!$AX$590),"")</f>
        <v>44.586499789999998</v>
      </c>
      <c r="AY590">
        <f ca="1">IFERROR(IF(0=LEN(ReferenceData!$AY$590),"",ReferenceData!$AY$590),"")</f>
        <v>40.413892279999999</v>
      </c>
      <c r="AZ590">
        <f ca="1">IFERROR(IF(0=LEN(ReferenceData!$AZ$590),"",ReferenceData!$AZ$590),"")</f>
        <v>45.268298369999997</v>
      </c>
      <c r="BA590">
        <f ca="1">IFERROR(IF(0=LEN(ReferenceData!$BA$590),"",ReferenceData!$BA$590),"")</f>
        <v>40.7426569</v>
      </c>
      <c r="BB590">
        <f ca="1">IFERROR(IF(0=LEN(ReferenceData!$BB$590),"",ReferenceData!$BB$590),"")</f>
        <v>27.599120809999999</v>
      </c>
      <c r="BC590">
        <f ca="1">IFERROR(IF(0=LEN(ReferenceData!$BC$590),"",ReferenceData!$BC$590),"")</f>
        <v>34.092224190000003</v>
      </c>
      <c r="BD590">
        <f ca="1">IFERROR(IF(0=LEN(ReferenceData!$BD$590),"",ReferenceData!$BD$590),"")</f>
        <v>19.074399719999999</v>
      </c>
      <c r="BE590">
        <f ca="1">IFERROR(IF(0=LEN(ReferenceData!$BE$590),"",ReferenceData!$BE$590),"")</f>
        <v>7.7679818479999998</v>
      </c>
      <c r="BF590">
        <f ca="1">IFERROR(IF(0=LEN(ReferenceData!$BF$590),"",ReferenceData!$BF$590),"")</f>
        <v>12.93300103</v>
      </c>
      <c r="BG590">
        <f ca="1">IFERROR(IF(0=LEN(ReferenceData!$BG$590),"",ReferenceData!$BG$590),"")</f>
        <v>16.99321278</v>
      </c>
      <c r="BH590">
        <f ca="1">IFERROR(IF(0=LEN(ReferenceData!$BH$590),"",ReferenceData!$BH$590),"")</f>
        <v>29.7582916</v>
      </c>
      <c r="BI590">
        <f ca="1">IFERROR(IF(0=LEN(ReferenceData!$BI$590),"",ReferenceData!$BI$590),"")</f>
        <v>42.432046819999997</v>
      </c>
      <c r="BJ590">
        <f ca="1">IFERROR(IF(0=LEN(ReferenceData!$BJ$590),"",ReferenceData!$BJ$590),"")</f>
        <v>35.066141090000002</v>
      </c>
      <c r="BK590">
        <f ca="1">IFERROR(IF(0=LEN(ReferenceData!$BK$590),"",ReferenceData!$BK$590),"")</f>
        <v>25.311659030000001</v>
      </c>
      <c r="BL590">
        <f ca="1">IFERROR(IF(0=LEN(ReferenceData!$BL$590),"",ReferenceData!$BL$590),"")</f>
        <v>19.732444739999998</v>
      </c>
      <c r="BM590">
        <f ca="1">IFERROR(IF(0=LEN(ReferenceData!$BM$590),"",ReferenceData!$BM$590),"")</f>
        <v>16.19911274</v>
      </c>
    </row>
    <row r="591" spans="1:65" x14ac:dyDescent="0.25">
      <c r="A591" t="str">
        <f>IFERROR(IF(0=LEN(ReferenceData!$A$591),"",ReferenceData!$A$591),"")</f>
        <v xml:space="preserve">    FAW CAR Co Ltd</v>
      </c>
      <c r="B591" t="str">
        <f>IFERROR(IF(0=LEN(ReferenceData!$B$591),"",ReferenceData!$B$591),"")</f>
        <v>000800 CH Equity</v>
      </c>
      <c r="C591" t="str">
        <f>IFERROR(IF(0=LEN(ReferenceData!$C$591),"",ReferenceData!$C$591),"")</f>
        <v>RX072</v>
      </c>
      <c r="D591" t="str">
        <f>IFERROR(IF(0=LEN(ReferenceData!$D$591),"",ReferenceData!$D$591),"")</f>
        <v>FREE_CASH_FLOW_YIELD</v>
      </c>
      <c r="E591" t="str">
        <f>IFERROR(IF(0=LEN(ReferenceData!$E$591),"",ReferenceData!$E$591),"")</f>
        <v>Dynamic</v>
      </c>
      <c r="F591">
        <f ca="1">IFERROR(IF(0=LEN(ReferenceData!$F$591),"",ReferenceData!$F$591),"")</f>
        <v>8.0598647680000006</v>
      </c>
      <c r="G591">
        <f ca="1">IFERROR(IF(0=LEN(ReferenceData!$G$591),"",ReferenceData!$G$591),"")</f>
        <v>9.8008929580000004</v>
      </c>
      <c r="H591">
        <f ca="1">IFERROR(IF(0=LEN(ReferenceData!$H$591),"",ReferenceData!$H$591),"")</f>
        <v>9.8455100729999998</v>
      </c>
      <c r="I591">
        <f ca="1">IFERROR(IF(0=LEN(ReferenceData!$I$591),"",ReferenceData!$I$591),"")</f>
        <v>17.68248578</v>
      </c>
      <c r="J591">
        <f ca="1">IFERROR(IF(0=LEN(ReferenceData!$J$591),"",ReferenceData!$J$591),"")</f>
        <v>12.47799625</v>
      </c>
      <c r="K591">
        <f ca="1">IFERROR(IF(0=LEN(ReferenceData!$K$591),"",ReferenceData!$K$591),"")</f>
        <v>11.462236969999999</v>
      </c>
      <c r="L591">
        <f ca="1">IFERROR(IF(0=LEN(ReferenceData!$L$591),"",ReferenceData!$L$591),"")</f>
        <v>9.0527385149999997</v>
      </c>
      <c r="M591">
        <f ca="1">IFERROR(IF(0=LEN(ReferenceData!$M$591),"",ReferenceData!$M$591),"")</f>
        <v>5.0403500440000002</v>
      </c>
      <c r="N591">
        <f ca="1">IFERROR(IF(0=LEN(ReferenceData!$N$591),"",ReferenceData!$N$591),"")</f>
        <v>5.0233885430000003</v>
      </c>
      <c r="O591">
        <f ca="1">IFERROR(IF(0=LEN(ReferenceData!$O$591),"",ReferenceData!$O$591),"")</f>
        <v>-1.3185616630000001</v>
      </c>
      <c r="P591">
        <f ca="1">IFERROR(IF(0=LEN(ReferenceData!$P$591),"",ReferenceData!$P$591),"")</f>
        <v>-4.0960313959999999</v>
      </c>
      <c r="Q591">
        <f ca="1">IFERROR(IF(0=LEN(ReferenceData!$Q$591),"",ReferenceData!$Q$591),"")</f>
        <v>-2.023926178</v>
      </c>
      <c r="R591">
        <f ca="1">IFERROR(IF(0=LEN(ReferenceData!$R$591),"",ReferenceData!$R$591),"")</f>
        <v>-2.1647434959999998</v>
      </c>
      <c r="S591">
        <f ca="1">IFERROR(IF(0=LEN(ReferenceData!$S$591),"",ReferenceData!$S$591),"")</f>
        <v>1.067184355</v>
      </c>
      <c r="T591">
        <f ca="1">IFERROR(IF(0=LEN(ReferenceData!$T$591),"",ReferenceData!$T$591),"")</f>
        <v>-2.7414198550000002</v>
      </c>
      <c r="U591">
        <f ca="1">IFERROR(IF(0=LEN(ReferenceData!$U$591),"",ReferenceData!$U$591),"")</f>
        <v>-1.65956481</v>
      </c>
      <c r="V591">
        <f ca="1">IFERROR(IF(0=LEN(ReferenceData!$V$591),"",ReferenceData!$V$591),"")</f>
        <v>-1.5384200240000001</v>
      </c>
      <c r="W591">
        <f ca="1">IFERROR(IF(0=LEN(ReferenceData!$W$591),"",ReferenceData!$W$591),"")</f>
        <v>-2.274674225</v>
      </c>
      <c r="X591">
        <f ca="1">IFERROR(IF(0=LEN(ReferenceData!$X$591),"",ReferenceData!$X$591),"")</f>
        <v>-1.599768187</v>
      </c>
      <c r="Y591">
        <f ca="1">IFERROR(IF(0=LEN(ReferenceData!$Y$591),"",ReferenceData!$Y$591),"")</f>
        <v>-0.175453421</v>
      </c>
      <c r="Z591">
        <f ca="1">IFERROR(IF(0=LEN(ReferenceData!$Z$591),"",ReferenceData!$Z$591),"")</f>
        <v>2.6562559970000001</v>
      </c>
      <c r="AA591">
        <f ca="1">IFERROR(IF(0=LEN(ReferenceData!$AA$591),"",ReferenceData!$AA$591),"")</f>
        <v>-8.8882811000000006E-2</v>
      </c>
      <c r="AB591">
        <f ca="1">IFERROR(IF(0=LEN(ReferenceData!$AB$591),"",ReferenceData!$AB$591),"")</f>
        <v>-0.72961900400000002</v>
      </c>
      <c r="AC591">
        <f ca="1">IFERROR(IF(0=LEN(ReferenceData!$AC$591),"",ReferenceData!$AC$591),"")</f>
        <v>-8.834223862</v>
      </c>
      <c r="AD591">
        <f ca="1">IFERROR(IF(0=LEN(ReferenceData!$AD$591),"",ReferenceData!$AD$591),"")</f>
        <v>-11.71641273</v>
      </c>
      <c r="AE591">
        <f ca="1">IFERROR(IF(0=LEN(ReferenceData!$AE$591),"",ReferenceData!$AE$591),"")</f>
        <v>-7.5962856160000003</v>
      </c>
      <c r="AF591">
        <f ca="1">IFERROR(IF(0=LEN(ReferenceData!$AF$591),"",ReferenceData!$AF$591),"")</f>
        <v>-3.4443335390000001</v>
      </c>
      <c r="AG591">
        <f ca="1">IFERROR(IF(0=LEN(ReferenceData!$AG$591),"",ReferenceData!$AG$591),"")</f>
        <v>-0.50999330899999995</v>
      </c>
      <c r="AH591">
        <f ca="1">IFERROR(IF(0=LEN(ReferenceData!$AH$591),"",ReferenceData!$AH$591),"")</f>
        <v>-5.5270591260000002</v>
      </c>
      <c r="AI591">
        <f ca="1">IFERROR(IF(0=LEN(ReferenceData!$AI$591),"",ReferenceData!$AI$591),"")</f>
        <v>-16.84483921</v>
      </c>
      <c r="AJ591">
        <f ca="1">IFERROR(IF(0=LEN(ReferenceData!$AJ$591),"",ReferenceData!$AJ$591),"")</f>
        <v>-23.10202743</v>
      </c>
      <c r="AK591">
        <f ca="1">IFERROR(IF(0=LEN(ReferenceData!$AK$591),"",ReferenceData!$AK$591),"")</f>
        <v>-7.1049460050000004</v>
      </c>
      <c r="AL591">
        <f ca="1">IFERROR(IF(0=LEN(ReferenceData!$AL$591),"",ReferenceData!$AL$591),"")</f>
        <v>-5.4840946730000004</v>
      </c>
      <c r="AM591">
        <f ca="1">IFERROR(IF(0=LEN(ReferenceData!$AM$591),"",ReferenceData!$AM$591),"")</f>
        <v>4.7179533779999998</v>
      </c>
      <c r="AN591">
        <f ca="1">IFERROR(IF(0=LEN(ReferenceData!$AN$591),"",ReferenceData!$AN$591),"")</f>
        <v>7.0743330870000003</v>
      </c>
      <c r="AO591">
        <f ca="1">IFERROR(IF(0=LEN(ReferenceData!$AO$591),"",ReferenceData!$AO$591),"")</f>
        <v>3.6733505129999999</v>
      </c>
      <c r="AP591">
        <f ca="1">IFERROR(IF(0=LEN(ReferenceData!$AP$591),"",ReferenceData!$AP$591),"")</f>
        <v>3.4498844700000002</v>
      </c>
      <c r="AQ591">
        <f ca="1">IFERROR(IF(0=LEN(ReferenceData!$AQ$591),"",ReferenceData!$AQ$591),"")</f>
        <v>3.0054238350000002</v>
      </c>
      <c r="AR591">
        <f ca="1">IFERROR(IF(0=LEN(ReferenceData!$AR$591),"",ReferenceData!$AR$591),"")</f>
        <v>8.3762173840000003</v>
      </c>
      <c r="AS591">
        <f ca="1">IFERROR(IF(0=LEN(ReferenceData!$AS$591),"",ReferenceData!$AS$591),"")</f>
        <v>6.5936575099999999</v>
      </c>
      <c r="AT591">
        <f ca="1">IFERROR(IF(0=LEN(ReferenceData!$AT$591),"",ReferenceData!$AT$591),"")</f>
        <v>5.1274631060000004</v>
      </c>
      <c r="AU591">
        <f ca="1">IFERROR(IF(0=LEN(ReferenceData!$AU$591),"",ReferenceData!$AU$591),"")</f>
        <v>3.4892664519999999</v>
      </c>
      <c r="AV591">
        <f ca="1">IFERROR(IF(0=LEN(ReferenceData!$AV$591),"",ReferenceData!$AV$591),"")</f>
        <v>-1.585713218</v>
      </c>
      <c r="AW591">
        <f ca="1">IFERROR(IF(0=LEN(ReferenceData!$AW$591),"",ReferenceData!$AW$591),"")</f>
        <v>0.49202559699999998</v>
      </c>
      <c r="AX591">
        <f ca="1">IFERROR(IF(0=LEN(ReferenceData!$AX$591),"",ReferenceData!$AX$591),"")</f>
        <v>1.34291345</v>
      </c>
      <c r="AY591">
        <f ca="1">IFERROR(IF(0=LEN(ReferenceData!$AY$591),"",ReferenceData!$AY$591),"")</f>
        <v>-0.50236431699999995</v>
      </c>
      <c r="AZ591">
        <f ca="1">IFERROR(IF(0=LEN(ReferenceData!$AZ$591),"",ReferenceData!$AZ$591),"")</f>
        <v>0.99391976900000001</v>
      </c>
      <c r="BA591">
        <f ca="1">IFERROR(IF(0=LEN(ReferenceData!$BA$591),"",ReferenceData!$BA$591),"")</f>
        <v>1.9946935779999999</v>
      </c>
      <c r="BB591">
        <f ca="1">IFERROR(IF(0=LEN(ReferenceData!$BB$591),"",ReferenceData!$BB$591),"")</f>
        <v>-1.2460857949999999</v>
      </c>
      <c r="BC591">
        <f ca="1">IFERROR(IF(0=LEN(ReferenceData!$BC$591),"",ReferenceData!$BC$591),"")</f>
        <v>-2.7951899729999998</v>
      </c>
      <c r="BD591">
        <f ca="1">IFERROR(IF(0=LEN(ReferenceData!$BD$591),"",ReferenceData!$BD$591),"")</f>
        <v>-6.8967350549999997</v>
      </c>
      <c r="BE591">
        <f ca="1">IFERROR(IF(0=LEN(ReferenceData!$BE$591),"",ReferenceData!$BE$591),"")</f>
        <v>23.187270659999999</v>
      </c>
      <c r="BF591">
        <f ca="1">IFERROR(IF(0=LEN(ReferenceData!$BF$591),"",ReferenceData!$BF$591),"")</f>
        <v>42.438910509999999</v>
      </c>
      <c r="BG591">
        <f ca="1">IFERROR(IF(0=LEN(ReferenceData!$BG$591),"",ReferenceData!$BG$591),"")</f>
        <v>46.383552829999999</v>
      </c>
      <c r="BH591">
        <f ca="1">IFERROR(IF(0=LEN(ReferenceData!$BH$591),"",ReferenceData!$BH$591),"")</f>
        <v>37.05984849</v>
      </c>
      <c r="BI591">
        <f ca="1">IFERROR(IF(0=LEN(ReferenceData!$BI$591),"",ReferenceData!$BI$591),"")</f>
        <v>18.685845560000001</v>
      </c>
      <c r="BJ591">
        <f ca="1">IFERROR(IF(0=LEN(ReferenceData!$BJ$591),"",ReferenceData!$BJ$591),"")</f>
        <v>-18.43574276</v>
      </c>
      <c r="BK591">
        <f ca="1">IFERROR(IF(0=LEN(ReferenceData!$BK$591),"",ReferenceData!$BK$591),"")</f>
        <v>-48.87071924</v>
      </c>
      <c r="BL591">
        <f ca="1">IFERROR(IF(0=LEN(ReferenceData!$BL$591),"",ReferenceData!$BL$591),"")</f>
        <v>-18.334748279999999</v>
      </c>
      <c r="BM591">
        <f ca="1">IFERROR(IF(0=LEN(ReferenceData!$BM$591),"",ReferenceData!$BM$591),"")</f>
        <v>-0.69855050500000004</v>
      </c>
    </row>
    <row r="592" spans="1:65" x14ac:dyDescent="0.25">
      <c r="A592" t="str">
        <f>IFERROR(IF(0=LEN(ReferenceData!$A$592),"",ReferenceData!$A$592),"")</f>
        <v xml:space="preserve">    Fiat Chrysler Automobiles NV</v>
      </c>
      <c r="B592" t="str">
        <f>IFERROR(IF(0=LEN(ReferenceData!$B$592),"",ReferenceData!$B$592),"")</f>
        <v>FCAU US Equity</v>
      </c>
      <c r="C592" t="str">
        <f>IFERROR(IF(0=LEN(ReferenceData!$C$592),"",ReferenceData!$C$592),"")</f>
        <v>RX072</v>
      </c>
      <c r="D592" t="str">
        <f>IFERROR(IF(0=LEN(ReferenceData!$D$592),"",ReferenceData!$D$592),"")</f>
        <v>FREE_CASH_FLOW_YIELD</v>
      </c>
      <c r="E592" t="str">
        <f>IFERROR(IF(0=LEN(ReferenceData!$E$592),"",ReferenceData!$E$592),"")</f>
        <v>Dynamic</v>
      </c>
      <c r="F592">
        <f ca="1">IFERROR(IF(0=LEN(ReferenceData!$F$592),"",ReferenceData!$F$592),"")</f>
        <v>22.315221640000001</v>
      </c>
      <c r="G592">
        <f ca="1">IFERROR(IF(0=LEN(ReferenceData!$G$592),"",ReferenceData!$G$592),"")</f>
        <v>23.298423700000001</v>
      </c>
      <c r="H592">
        <f ca="1">IFERROR(IF(0=LEN(ReferenceData!$H$592),"",ReferenceData!$H$592),"")</f>
        <v>17.118246970000001</v>
      </c>
      <c r="I592">
        <f ca="1">IFERROR(IF(0=LEN(ReferenceData!$I$592),"",ReferenceData!$I$592),"")</f>
        <v>18.857599740000001</v>
      </c>
      <c r="J592">
        <f ca="1">IFERROR(IF(0=LEN(ReferenceData!$J$592),"",ReferenceData!$J$592),"")</f>
        <v>15.275129809999999</v>
      </c>
      <c r="K592">
        <f ca="1">IFERROR(IF(0=LEN(ReferenceData!$K$592),"",ReferenceData!$K$592),"")</f>
        <v>9.9697927029999995</v>
      </c>
      <c r="L592">
        <f ca="1">IFERROR(IF(0=LEN(ReferenceData!$L$592),"",ReferenceData!$L$592),"")</f>
        <v>11.37538389</v>
      </c>
      <c r="M592">
        <f ca="1">IFERROR(IF(0=LEN(ReferenceData!$M$592),"",ReferenceData!$M$592),"")</f>
        <v>7.604968833</v>
      </c>
      <c r="N592">
        <f ca="1">IFERROR(IF(0=LEN(ReferenceData!$N$592),"",ReferenceData!$N$592),"")</f>
        <v>14.103358269999999</v>
      </c>
      <c r="O592">
        <f ca="1">IFERROR(IF(0=LEN(ReferenceData!$O$592),"",ReferenceData!$O$592),"")</f>
        <v>13.56713341</v>
      </c>
      <c r="P592">
        <f ca="1">IFERROR(IF(0=LEN(ReferenceData!$P$592),"",ReferenceData!$P$592),"")</f>
        <v>15.311634359999999</v>
      </c>
      <c r="Q592">
        <f ca="1">IFERROR(IF(0=LEN(ReferenceData!$Q$592),"",ReferenceData!$Q$592),"")</f>
        <v>21.332691749999999</v>
      </c>
      <c r="R592">
        <f ca="1">IFERROR(IF(0=LEN(ReferenceData!$R$592),"",ReferenceData!$R$592),"")</f>
        <v>8.6619054450000004</v>
      </c>
      <c r="S592">
        <f ca="1">IFERROR(IF(0=LEN(ReferenceData!$S$592),"",ReferenceData!$S$592),"")</f>
        <v>7.3148141889999998</v>
      </c>
      <c r="T592">
        <f ca="1">IFERROR(IF(0=LEN(ReferenceData!$T$592),"",ReferenceData!$T$592),"")</f>
        <v>8.7967244210000004</v>
      </c>
      <c r="U592">
        <f ca="1">IFERROR(IF(0=LEN(ReferenceData!$U$592),"",ReferenceData!$U$592),"")</f>
        <v>-2.5420652210000001</v>
      </c>
      <c r="V592">
        <f ca="1">IFERROR(IF(0=LEN(ReferenceData!$V$592),"",ReferenceData!$V$592),"")</f>
        <v>-3.7406852069999998</v>
      </c>
      <c r="W592">
        <f ca="1">IFERROR(IF(0=LEN(ReferenceData!$W$592),"",ReferenceData!$W$592),"")</f>
        <v>4.4774441700000001</v>
      </c>
      <c r="X592" t="str">
        <f ca="1">IFERROR(IF(0=LEN(ReferenceData!$X$592),"",ReferenceData!$X$592),"")</f>
        <v/>
      </c>
      <c r="Y592" t="str">
        <f ca="1">IFERROR(IF(0=LEN(ReferenceData!$Y$592),"",ReferenceData!$Y$592),"")</f>
        <v/>
      </c>
      <c r="Z592" t="str">
        <f ca="1">IFERROR(IF(0=LEN(ReferenceData!$Z$592),"",ReferenceData!$Z$592),"")</f>
        <v/>
      </c>
      <c r="AA592" t="str">
        <f ca="1">IFERROR(IF(0=LEN(ReferenceData!$AA$592),"",ReferenceData!$AA$592),"")</f>
        <v/>
      </c>
      <c r="AB592" t="str">
        <f ca="1">IFERROR(IF(0=LEN(ReferenceData!$AB$592),"",ReferenceData!$AB$592),"")</f>
        <v/>
      </c>
      <c r="AC592" t="str">
        <f ca="1">IFERROR(IF(0=LEN(ReferenceData!$AC$592),"",ReferenceData!$AC$592),"")</f>
        <v/>
      </c>
      <c r="AD592" t="str">
        <f ca="1">IFERROR(IF(0=LEN(ReferenceData!$AD$592),"",ReferenceData!$AD$592),"")</f>
        <v/>
      </c>
      <c r="AE592" t="str">
        <f ca="1">IFERROR(IF(0=LEN(ReferenceData!$AE$592),"",ReferenceData!$AE$592),"")</f>
        <v/>
      </c>
      <c r="AF592" t="str">
        <f ca="1">IFERROR(IF(0=LEN(ReferenceData!$AF$592),"",ReferenceData!$AF$592),"")</f>
        <v/>
      </c>
      <c r="AG592" t="str">
        <f ca="1">IFERROR(IF(0=LEN(ReferenceData!$AG$592),"",ReferenceData!$AG$592),"")</f>
        <v/>
      </c>
      <c r="AH592" t="str">
        <f ca="1">IFERROR(IF(0=LEN(ReferenceData!$AH$592),"",ReferenceData!$AH$592),"")</f>
        <v/>
      </c>
      <c r="AI592" t="str">
        <f ca="1">IFERROR(IF(0=LEN(ReferenceData!$AI$592),"",ReferenceData!$AI$592),"")</f>
        <v/>
      </c>
      <c r="AJ592" t="str">
        <f ca="1">IFERROR(IF(0=LEN(ReferenceData!$AJ$592),"",ReferenceData!$AJ$592),"")</f>
        <v/>
      </c>
      <c r="AK592" t="str">
        <f ca="1">IFERROR(IF(0=LEN(ReferenceData!$AK$592),"",ReferenceData!$AK$592),"")</f>
        <v/>
      </c>
      <c r="AL592" t="str">
        <f ca="1">IFERROR(IF(0=LEN(ReferenceData!$AL$592),"",ReferenceData!$AL$592),"")</f>
        <v/>
      </c>
      <c r="AM592" t="str">
        <f ca="1">IFERROR(IF(0=LEN(ReferenceData!$AM$592),"",ReferenceData!$AM$592),"")</f>
        <v/>
      </c>
      <c r="AN592" t="str">
        <f ca="1">IFERROR(IF(0=LEN(ReferenceData!$AN$592),"",ReferenceData!$AN$592),"")</f>
        <v/>
      </c>
      <c r="AO592" t="str">
        <f ca="1">IFERROR(IF(0=LEN(ReferenceData!$AO$592),"",ReferenceData!$AO$592),"")</f>
        <v/>
      </c>
      <c r="AP592" t="str">
        <f ca="1">IFERROR(IF(0=LEN(ReferenceData!$AP$592),"",ReferenceData!$AP$592),"")</f>
        <v/>
      </c>
      <c r="AQ592" t="str">
        <f ca="1">IFERROR(IF(0=LEN(ReferenceData!$AQ$592),"",ReferenceData!$AQ$592),"")</f>
        <v/>
      </c>
      <c r="AR592" t="str">
        <f ca="1">IFERROR(IF(0=LEN(ReferenceData!$AR$592),"",ReferenceData!$AR$592),"")</f>
        <v/>
      </c>
      <c r="AS592" t="str">
        <f ca="1">IFERROR(IF(0=LEN(ReferenceData!$AS$592),"",ReferenceData!$AS$592),"")</f>
        <v/>
      </c>
      <c r="AT592" t="str">
        <f ca="1">IFERROR(IF(0=LEN(ReferenceData!$AT$592),"",ReferenceData!$AT$592),"")</f>
        <v/>
      </c>
      <c r="AU592" t="str">
        <f ca="1">IFERROR(IF(0=LEN(ReferenceData!$AU$592),"",ReferenceData!$AU$592),"")</f>
        <v/>
      </c>
      <c r="AV592" t="str">
        <f ca="1">IFERROR(IF(0=LEN(ReferenceData!$AV$592),"",ReferenceData!$AV$592),"")</f>
        <v/>
      </c>
      <c r="AW592" t="str">
        <f ca="1">IFERROR(IF(0=LEN(ReferenceData!$AW$592),"",ReferenceData!$AW$592),"")</f>
        <v/>
      </c>
      <c r="AX592" t="str">
        <f ca="1">IFERROR(IF(0=LEN(ReferenceData!$AX$592),"",ReferenceData!$AX$592),"")</f>
        <v/>
      </c>
      <c r="AY592" t="str">
        <f ca="1">IFERROR(IF(0=LEN(ReferenceData!$AY$592),"",ReferenceData!$AY$592),"")</f>
        <v/>
      </c>
      <c r="AZ592" t="str">
        <f ca="1">IFERROR(IF(0=LEN(ReferenceData!$AZ$592),"",ReferenceData!$AZ$592),"")</f>
        <v/>
      </c>
      <c r="BA592" t="str">
        <f ca="1">IFERROR(IF(0=LEN(ReferenceData!$BA$592),"",ReferenceData!$BA$592),"")</f>
        <v/>
      </c>
      <c r="BB592" t="str">
        <f ca="1">IFERROR(IF(0=LEN(ReferenceData!$BB$592),"",ReferenceData!$BB$592),"")</f>
        <v/>
      </c>
      <c r="BC592" t="str">
        <f ca="1">IFERROR(IF(0=LEN(ReferenceData!$BC$592),"",ReferenceData!$BC$592),"")</f>
        <v/>
      </c>
      <c r="BD592" t="str">
        <f ca="1">IFERROR(IF(0=LEN(ReferenceData!$BD$592),"",ReferenceData!$BD$592),"")</f>
        <v/>
      </c>
      <c r="BE592" t="str">
        <f ca="1">IFERROR(IF(0=LEN(ReferenceData!$BE$592),"",ReferenceData!$BE$592),"")</f>
        <v/>
      </c>
      <c r="BF592" t="str">
        <f ca="1">IFERROR(IF(0=LEN(ReferenceData!$BF$592),"",ReferenceData!$BF$592),"")</f>
        <v/>
      </c>
      <c r="BG592" t="str">
        <f ca="1">IFERROR(IF(0=LEN(ReferenceData!$BG$592),"",ReferenceData!$BG$592),"")</f>
        <v/>
      </c>
      <c r="BH592" t="str">
        <f ca="1">IFERROR(IF(0=LEN(ReferenceData!$BH$592),"",ReferenceData!$BH$592),"")</f>
        <v/>
      </c>
      <c r="BI592" t="str">
        <f ca="1">IFERROR(IF(0=LEN(ReferenceData!$BI$592),"",ReferenceData!$BI$592),"")</f>
        <v/>
      </c>
      <c r="BJ592" t="str">
        <f ca="1">IFERROR(IF(0=LEN(ReferenceData!$BJ$592),"",ReferenceData!$BJ$592),"")</f>
        <v/>
      </c>
      <c r="BK592" t="str">
        <f ca="1">IFERROR(IF(0=LEN(ReferenceData!$BK$592),"",ReferenceData!$BK$592),"")</f>
        <v/>
      </c>
      <c r="BL592" t="str">
        <f ca="1">IFERROR(IF(0=LEN(ReferenceData!$BL$592),"",ReferenceData!$BL$592),"")</f>
        <v/>
      </c>
      <c r="BM592" t="str">
        <f ca="1">IFERROR(IF(0=LEN(ReferenceData!$BM$592),"",ReferenceData!$BM$592),"")</f>
        <v/>
      </c>
    </row>
    <row r="593" spans="1:65" x14ac:dyDescent="0.25">
      <c r="A593" t="str">
        <f>IFERROR(IF(0=LEN(ReferenceData!$A$593),"",ReferenceData!$A$593),"")</f>
        <v xml:space="preserve">    Ford Motor Co</v>
      </c>
      <c r="B593" t="str">
        <f>IFERROR(IF(0=LEN(ReferenceData!$B$593),"",ReferenceData!$B$593),"")</f>
        <v>F US Equity</v>
      </c>
      <c r="C593" t="str">
        <f>IFERROR(IF(0=LEN(ReferenceData!$C$593),"",ReferenceData!$C$593),"")</f>
        <v>RX072</v>
      </c>
      <c r="D593" t="str">
        <f>IFERROR(IF(0=LEN(ReferenceData!$D$593),"",ReferenceData!$D$593),"")</f>
        <v>FREE_CASH_FLOW_YIELD</v>
      </c>
      <c r="E593" t="str">
        <f>IFERROR(IF(0=LEN(ReferenceData!$E$593),"",ReferenceData!$E$593),"")</f>
        <v>Dynamic</v>
      </c>
      <c r="F593">
        <f ca="1">IFERROR(IF(0=LEN(ReferenceData!$F$593),"",ReferenceData!$F$593),"")</f>
        <v>20.89391796</v>
      </c>
      <c r="G593">
        <f ca="1">IFERROR(IF(0=LEN(ReferenceData!$G$593),"",ReferenceData!$G$593),"")</f>
        <v>23.789022939999999</v>
      </c>
      <c r="H593">
        <f ca="1">IFERROR(IF(0=LEN(ReferenceData!$H$593),"",ReferenceData!$H$593),"")</f>
        <v>24.55370907</v>
      </c>
      <c r="I593">
        <f ca="1">IFERROR(IF(0=LEN(ReferenceData!$I$593),"",ReferenceData!$I$593),"")</f>
        <v>20.815299589999999</v>
      </c>
      <c r="J593">
        <f ca="1">IFERROR(IF(0=LEN(ReferenceData!$J$593),"",ReferenceData!$J$593),"")</f>
        <v>23.05226356</v>
      </c>
      <c r="K593">
        <f ca="1">IFERROR(IF(0=LEN(ReferenceData!$K$593),"",ReferenceData!$K$593),"")</f>
        <v>22.250374659999999</v>
      </c>
      <c r="L593">
        <f ca="1">IFERROR(IF(0=LEN(ReferenceData!$L$593),"",ReferenceData!$L$593),"")</f>
        <v>22.552839930000001</v>
      </c>
      <c r="M593">
        <f ca="1">IFERROR(IF(0=LEN(ReferenceData!$M$593),"",ReferenceData!$M$593),"")</f>
        <v>24.411211049999999</v>
      </c>
      <c r="N593">
        <f ca="1">IFERROR(IF(0=LEN(ReferenceData!$N$593),"",ReferenceData!$N$593),"")</f>
        <v>27.779403009999999</v>
      </c>
      <c r="O593">
        <f ca="1">IFERROR(IF(0=LEN(ReferenceData!$O$593),"",ReferenceData!$O$593),"")</f>
        <v>26.682088419999999</v>
      </c>
      <c r="P593">
        <f ca="1">IFERROR(IF(0=LEN(ReferenceData!$P$593),"",ReferenceData!$P$593),"")</f>
        <v>25.96482782</v>
      </c>
      <c r="Q593">
        <f ca="1">IFERROR(IF(0=LEN(ReferenceData!$Q$593),"",ReferenceData!$Q$593),"")</f>
        <v>27.29589739</v>
      </c>
      <c r="R593">
        <f ca="1">IFERROR(IF(0=LEN(ReferenceData!$R$593),"",ReferenceData!$R$593),"")</f>
        <v>20.031401760000001</v>
      </c>
      <c r="S593">
        <f ca="1">IFERROR(IF(0=LEN(ReferenceData!$S$593),"",ReferenceData!$S$593),"")</f>
        <v>16.13919473</v>
      </c>
      <c r="T593">
        <f ca="1">IFERROR(IF(0=LEN(ReferenceData!$T$593),"",ReferenceData!$T$593),"")</f>
        <v>16.208940290000001</v>
      </c>
      <c r="U593">
        <f ca="1">IFERROR(IF(0=LEN(ReferenceData!$U$593),"",ReferenceData!$U$593),"")</f>
        <v>9.9829178719999998</v>
      </c>
      <c r="V593">
        <f ca="1">IFERROR(IF(0=LEN(ReferenceData!$V$593),"",ReferenceData!$V$593),"")</f>
        <v>9.1142123559999995</v>
      </c>
      <c r="W593">
        <f ca="1">IFERROR(IF(0=LEN(ReferenceData!$W$593),"",ReferenceData!$W$593),"")</f>
        <v>11.58923178</v>
      </c>
      <c r="X593">
        <f ca="1">IFERROR(IF(0=LEN(ReferenceData!$X$593),"",ReferenceData!$X$593),"")</f>
        <v>9.3368460550000005</v>
      </c>
      <c r="Y593">
        <f ca="1">IFERROR(IF(0=LEN(ReferenceData!$Y$593),"",ReferenceData!$Y$593),"")</f>
        <v>8.0310168740000005</v>
      </c>
      <c r="Z593">
        <f ca="1">IFERROR(IF(0=LEN(ReferenceData!$Z$593),"",ReferenceData!$Z$593),"")</f>
        <v>9.3779116420000008</v>
      </c>
      <c r="AA593">
        <f ca="1">IFERROR(IF(0=LEN(ReferenceData!$AA$593),"",ReferenceData!$AA$593),"")</f>
        <v>6.4297333710000002</v>
      </c>
      <c r="AB593">
        <f ca="1">IFERROR(IF(0=LEN(ReferenceData!$AB$593),"",ReferenceData!$AB$593),"")</f>
        <v>7.4283428010000003</v>
      </c>
      <c r="AC593">
        <f ca="1">IFERROR(IF(0=LEN(ReferenceData!$AC$593),"",ReferenceData!$AC$593),"")</f>
        <v>6.9956199459999997</v>
      </c>
      <c r="AD593">
        <f ca="1">IFERROR(IF(0=LEN(ReferenceData!$AD$593),"",ReferenceData!$AD$593),"")</f>
        <v>5.6740741000000003</v>
      </c>
      <c r="AE593">
        <f ca="1">IFERROR(IF(0=LEN(ReferenceData!$AE$593),"",ReferenceData!$AE$593),"")</f>
        <v>7.2107636319999999</v>
      </c>
      <c r="AF593">
        <f ca="1">IFERROR(IF(0=LEN(ReferenceData!$AF$593),"",ReferenceData!$AF$593),"")</f>
        <v>12.701532930000001</v>
      </c>
      <c r="AG593">
        <f ca="1">IFERROR(IF(0=LEN(ReferenceData!$AG$593),"",ReferenceData!$AG$593),"")</f>
        <v>12.65897571</v>
      </c>
      <c r="AH593">
        <f ca="1">IFERROR(IF(0=LEN(ReferenceData!$AH$593),"",ReferenceData!$AH$593),"")</f>
        <v>11.52108144</v>
      </c>
      <c r="AI593">
        <f ca="1">IFERROR(IF(0=LEN(ReferenceData!$AI$593),"",ReferenceData!$AI$593),"")</f>
        <v>18.352570849999999</v>
      </c>
      <c r="AJ593">
        <f ca="1">IFERROR(IF(0=LEN(ReferenceData!$AJ$593),"",ReferenceData!$AJ$593),"")</f>
        <v>21.26256815</v>
      </c>
      <c r="AK593">
        <f ca="1">IFERROR(IF(0=LEN(ReferenceData!$AK$593),"",ReferenceData!$AK$593),"")</f>
        <v>17.329914209999998</v>
      </c>
      <c r="AL593">
        <f ca="1">IFERROR(IF(0=LEN(ReferenceData!$AL$593),"",ReferenceData!$AL$593),"")</f>
        <v>15.26039156</v>
      </c>
      <c r="AM593">
        <f ca="1">IFERROR(IF(0=LEN(ReferenceData!$AM$593),"",ReferenceData!$AM$593),"")</f>
        <v>10.515150609999999</v>
      </c>
      <c r="AN593">
        <f ca="1">IFERROR(IF(0=LEN(ReferenceData!$AN$593),"",ReferenceData!$AN$593),"")</f>
        <v>28.340699579999999</v>
      </c>
      <c r="AO593">
        <f ca="1">IFERROR(IF(0=LEN(ReferenceData!$AO$593),"",ReferenceData!$AO$593),"")</f>
        <v>39.134983949999999</v>
      </c>
      <c r="AP593">
        <f ca="1">IFERROR(IF(0=LEN(ReferenceData!$AP$593),"",ReferenceData!$AP$593),"")</f>
        <v>25.52876114</v>
      </c>
      <c r="AQ593">
        <f ca="1">IFERROR(IF(0=LEN(ReferenceData!$AQ$593),"",ReferenceData!$AQ$593),"")</f>
        <v>22.508023659999999</v>
      </c>
      <c r="AR593">
        <f ca="1">IFERROR(IF(0=LEN(ReferenceData!$AR$593),"",ReferenceData!$AR$593),"")</f>
        <v>-69.299250169999993</v>
      </c>
      <c r="AS593">
        <f ca="1">IFERROR(IF(0=LEN(ReferenceData!$AS$593),"",ReferenceData!$AS$593),"")</f>
        <v>-84.606092329999996</v>
      </c>
      <c r="AT593">
        <f ca="1">IFERROR(IF(0=LEN(ReferenceData!$AT$593),"",ReferenceData!$AT$593),"")</f>
        <v>-211.9499501</v>
      </c>
      <c r="AU593">
        <f ca="1">IFERROR(IF(0=LEN(ReferenceData!$AU$593),"",ReferenceData!$AU$593),"")</f>
        <v>-181.38337480000001</v>
      </c>
      <c r="AV593">
        <f ca="1">IFERROR(IF(0=LEN(ReferenceData!$AV$593),"",ReferenceData!$AV$593),"")</f>
        <v>41.665137049999998</v>
      </c>
      <c r="AW593">
        <f ca="1">IFERROR(IF(0=LEN(ReferenceData!$AW$593),"",ReferenceData!$AW$593),"")</f>
        <v>61.28456173</v>
      </c>
      <c r="AX593">
        <f ca="1">IFERROR(IF(0=LEN(ReferenceData!$AX$593),"",ReferenceData!$AX$593),"")</f>
        <v>86.545594640000004</v>
      </c>
      <c r="AY593">
        <f ca="1">IFERROR(IF(0=LEN(ReferenceData!$AY$593),"",ReferenceData!$AY$593),"")</f>
        <v>68.545766819999997</v>
      </c>
      <c r="AZ593">
        <f ca="1">IFERROR(IF(0=LEN(ReferenceData!$AZ$593),"",ReferenceData!$AZ$593),"")</f>
        <v>-13.72135686</v>
      </c>
      <c r="BA593">
        <f ca="1">IFERROR(IF(0=LEN(ReferenceData!$BA$593),"",ReferenceData!$BA$593),"")</f>
        <v>-32.153645339999997</v>
      </c>
      <c r="BB593">
        <f ca="1">IFERROR(IF(0=LEN(ReferenceData!$BB$593),"",ReferenceData!$BB$593),"")</f>
        <v>-10.600410950000001</v>
      </c>
      <c r="BC593">
        <f ca="1">IFERROR(IF(0=LEN(ReferenceData!$BC$593),"",ReferenceData!$BC$593),"")</f>
        <v>-26.028746340000001</v>
      </c>
      <c r="BD593">
        <f ca="1">IFERROR(IF(0=LEN(ReferenceData!$BD$593),"",ReferenceData!$BD$593),"")</f>
        <v>31.723748069999999</v>
      </c>
      <c r="BE593">
        <f ca="1">IFERROR(IF(0=LEN(ReferenceData!$BE$593),"",ReferenceData!$BE$593),"")</f>
        <v>34.98575933</v>
      </c>
      <c r="BF593">
        <f ca="1">IFERROR(IF(0=LEN(ReferenceData!$BF$593),"",ReferenceData!$BF$593),"")</f>
        <v>-14.129234869999999</v>
      </c>
      <c r="BG593">
        <f ca="1">IFERROR(IF(0=LEN(ReferenceData!$BG$593),"",ReferenceData!$BG$593),"")</f>
        <v>11.261596219999999</v>
      </c>
      <c r="BH593">
        <f ca="1">IFERROR(IF(0=LEN(ReferenceData!$BH$593),"",ReferenceData!$BH$593),"")</f>
        <v>37.269640789999997</v>
      </c>
      <c r="BI593">
        <f ca="1">IFERROR(IF(0=LEN(ReferenceData!$BI$593),"",ReferenceData!$BI$593),"")</f>
        <v>66.902986889999994</v>
      </c>
      <c r="BJ593">
        <f ca="1">IFERROR(IF(0=LEN(ReferenceData!$BJ$593),"",ReferenceData!$BJ$593),"")</f>
        <v>84.528624249999993</v>
      </c>
      <c r="BK593">
        <f ca="1">IFERROR(IF(0=LEN(ReferenceData!$BK$593),"",ReferenceData!$BK$593),"")</f>
        <v>73.562107209999994</v>
      </c>
      <c r="BL593">
        <f ca="1">IFERROR(IF(0=LEN(ReferenceData!$BL$593),"",ReferenceData!$BL$593),"")</f>
        <v>44.977342309999997</v>
      </c>
      <c r="BM593">
        <f ca="1">IFERROR(IF(0=LEN(ReferenceData!$BM$593),"",ReferenceData!$BM$593),"")</f>
        <v>39.184505479999999</v>
      </c>
    </row>
    <row r="594" spans="1:65" x14ac:dyDescent="0.25">
      <c r="A594" t="str">
        <f>IFERROR(IF(0=LEN(ReferenceData!$A$594),"",ReferenceData!$A$594),"")</f>
        <v xml:space="preserve">    Ford Otomotiv Sanayi AS</v>
      </c>
      <c r="B594" t="str">
        <f>IFERROR(IF(0=LEN(ReferenceData!$B$594),"",ReferenceData!$B$594),"")</f>
        <v>FROTOTRY EO Equity</v>
      </c>
      <c r="C594" t="str">
        <f>IFERROR(IF(0=LEN(ReferenceData!$C$594),"",ReferenceData!$C$594),"")</f>
        <v>RX072</v>
      </c>
      <c r="D594" t="str">
        <f>IFERROR(IF(0=LEN(ReferenceData!$D$594),"",ReferenceData!$D$594),"")</f>
        <v>FREE_CASH_FLOW_YIELD</v>
      </c>
      <c r="E594" t="str">
        <f>IFERROR(IF(0=LEN(ReferenceData!$E$594),"",ReferenceData!$E$594),"")</f>
        <v>Dynamic</v>
      </c>
      <c r="F594">
        <f ca="1">IFERROR(IF(0=LEN(ReferenceData!$F$594),"",ReferenceData!$F$594),"")</f>
        <v>6.919173647</v>
      </c>
      <c r="G594">
        <f ca="1">IFERROR(IF(0=LEN(ReferenceData!$G$594),"",ReferenceData!$G$594),"")</f>
        <v>7.6318485330000003</v>
      </c>
      <c r="H594">
        <f ca="1">IFERROR(IF(0=LEN(ReferenceData!$H$594),"",ReferenceData!$H$594),"")</f>
        <v>7.3784279279999998</v>
      </c>
      <c r="I594">
        <f ca="1">IFERROR(IF(0=LEN(ReferenceData!$I$594),"",ReferenceData!$I$594),"")</f>
        <v>7.1524588380000003</v>
      </c>
      <c r="J594">
        <f ca="1">IFERROR(IF(0=LEN(ReferenceData!$J$594),"",ReferenceData!$J$594),"")</f>
        <v>7.004870446</v>
      </c>
      <c r="K594">
        <f ca="1">IFERROR(IF(0=LEN(ReferenceData!$K$594),"",ReferenceData!$K$594),"")</f>
        <v>7.5090691170000001</v>
      </c>
      <c r="L594">
        <f ca="1">IFERROR(IF(0=LEN(ReferenceData!$L$594),"",ReferenceData!$L$594),"")</f>
        <v>10.50573997</v>
      </c>
      <c r="M594">
        <f ca="1">IFERROR(IF(0=LEN(ReferenceData!$M$594),"",ReferenceData!$M$594),"")</f>
        <v>12.32712343</v>
      </c>
      <c r="N594">
        <f ca="1">IFERROR(IF(0=LEN(ReferenceData!$N$594),"",ReferenceData!$N$594),"")</f>
        <v>12.73056717</v>
      </c>
      <c r="O594">
        <f ca="1">IFERROR(IF(0=LEN(ReferenceData!$O$594),"",ReferenceData!$O$594),"")</f>
        <v>10.900534840000001</v>
      </c>
      <c r="P594">
        <f ca="1">IFERROR(IF(0=LEN(ReferenceData!$P$594),"",ReferenceData!$P$594),"")</f>
        <v>7.2812141449999999</v>
      </c>
      <c r="Q594">
        <f ca="1">IFERROR(IF(0=LEN(ReferenceData!$Q$594),"",ReferenceData!$Q$594),"")</f>
        <v>11.07037165</v>
      </c>
      <c r="R594">
        <f ca="1">IFERROR(IF(0=LEN(ReferenceData!$R$594),"",ReferenceData!$R$594),"")</f>
        <v>5.9163706280000001</v>
      </c>
      <c r="S594">
        <f ca="1">IFERROR(IF(0=LEN(ReferenceData!$S$594),"",ReferenceData!$S$594),"")</f>
        <v>8.7929552839999996</v>
      </c>
      <c r="T594">
        <f ca="1">IFERROR(IF(0=LEN(ReferenceData!$T$594),"",ReferenceData!$T$594),"")</f>
        <v>5.9595084089999997</v>
      </c>
      <c r="U594">
        <f ca="1">IFERROR(IF(0=LEN(ReferenceData!$U$594),"",ReferenceData!$U$594),"")</f>
        <v>-2.811197817</v>
      </c>
      <c r="V594">
        <f ca="1">IFERROR(IF(0=LEN(ReferenceData!$V$594),"",ReferenceData!$V$594),"")</f>
        <v>-0.51051546000000003</v>
      </c>
      <c r="W594">
        <f ca="1">IFERROR(IF(0=LEN(ReferenceData!$W$594),"",ReferenceData!$W$594),"")</f>
        <v>0.54786968800000002</v>
      </c>
      <c r="X594">
        <f ca="1">IFERROR(IF(0=LEN(ReferenceData!$X$594),"",ReferenceData!$X$594),"")</f>
        <v>-8.268859784</v>
      </c>
      <c r="Y594">
        <f ca="1">IFERROR(IF(0=LEN(ReferenceData!$Y$594),"",ReferenceData!$Y$594),"")</f>
        <v>-3.3257331570000002</v>
      </c>
      <c r="Z594">
        <f ca="1">IFERROR(IF(0=LEN(ReferenceData!$Z$594),"",ReferenceData!$Z$594),"")</f>
        <v>-6.6800012649999996</v>
      </c>
      <c r="AA594">
        <f ca="1">IFERROR(IF(0=LEN(ReferenceData!$AA$594),"",ReferenceData!$AA$594),"")</f>
        <v>-1.2958657E-2</v>
      </c>
      <c r="AB594">
        <f ca="1">IFERROR(IF(0=LEN(ReferenceData!$AB$594),"",ReferenceData!$AB$594),"")</f>
        <v>4.5149805360000004</v>
      </c>
      <c r="AC594">
        <f ca="1">IFERROR(IF(0=LEN(ReferenceData!$AC$594),"",ReferenceData!$AC$594),"")</f>
        <v>1.75955453</v>
      </c>
      <c r="AD594">
        <f ca="1">IFERROR(IF(0=LEN(ReferenceData!$AD$594),"",ReferenceData!$AD$594),"")</f>
        <v>1.866066936</v>
      </c>
      <c r="AE594">
        <f ca="1">IFERROR(IF(0=LEN(ReferenceData!$AE$594),"",ReferenceData!$AE$594),"")</f>
        <v>-0.44465599900000002</v>
      </c>
      <c r="AF594">
        <f ca="1">IFERROR(IF(0=LEN(ReferenceData!$AF$594),"",ReferenceData!$AF$594),"")</f>
        <v>-0.70499842899999998</v>
      </c>
      <c r="AG594">
        <f ca="1">IFERROR(IF(0=LEN(ReferenceData!$AG$594),"",ReferenceData!$AG$594),"")</f>
        <v>4.3307914260000002</v>
      </c>
      <c r="AH594">
        <f ca="1">IFERROR(IF(0=LEN(ReferenceData!$AH$594),"",ReferenceData!$AH$594),"")</f>
        <v>5.0335645470000001</v>
      </c>
      <c r="AI594">
        <f ca="1">IFERROR(IF(0=LEN(ReferenceData!$AI$594),"",ReferenceData!$AI$594),"")</f>
        <v>10.60127363</v>
      </c>
      <c r="AJ594">
        <f ca="1">IFERROR(IF(0=LEN(ReferenceData!$AJ$594),"",ReferenceData!$AJ$594),"")</f>
        <v>11.599864930000001</v>
      </c>
      <c r="AK594">
        <f ca="1">IFERROR(IF(0=LEN(ReferenceData!$AK$594),"",ReferenceData!$AK$594),"")</f>
        <v>13.14442639</v>
      </c>
      <c r="AL594">
        <f ca="1">IFERROR(IF(0=LEN(ReferenceData!$AL$594),"",ReferenceData!$AL$594),"")</f>
        <v>12.83417627</v>
      </c>
      <c r="AM594">
        <f ca="1">IFERROR(IF(0=LEN(ReferenceData!$AM$594),"",ReferenceData!$AM$594),"")</f>
        <v>8.7280504259999994</v>
      </c>
      <c r="AN594">
        <f ca="1">IFERROR(IF(0=LEN(ReferenceData!$AN$594),"",ReferenceData!$AN$594),"")</f>
        <v>13.32651536</v>
      </c>
      <c r="AO594">
        <f ca="1">IFERROR(IF(0=LEN(ReferenceData!$AO$594),"",ReferenceData!$AO$594),"")</f>
        <v>10.49426967</v>
      </c>
      <c r="AP594">
        <f ca="1">IFERROR(IF(0=LEN(ReferenceData!$AP$594),"",ReferenceData!$AP$594),"")</f>
        <v>12.753724829999999</v>
      </c>
      <c r="AQ594">
        <f ca="1">IFERROR(IF(0=LEN(ReferenceData!$AQ$594),"",ReferenceData!$AQ$594),"")</f>
        <v>15.433962490000001</v>
      </c>
      <c r="AR594">
        <f ca="1">IFERROR(IF(0=LEN(ReferenceData!$AR$594),"",ReferenceData!$AR$594),"")</f>
        <v>8.5066313000000005</v>
      </c>
      <c r="AS594">
        <f ca="1">IFERROR(IF(0=LEN(ReferenceData!$AS$594),"",ReferenceData!$AS$594),"")</f>
        <v>33.834289249999998</v>
      </c>
      <c r="AT594">
        <f ca="1">IFERROR(IF(0=LEN(ReferenceData!$AT$594),"",ReferenceData!$AT$594),"")</f>
        <v>41.004073409999997</v>
      </c>
      <c r="AU594">
        <f ca="1">IFERROR(IF(0=LEN(ReferenceData!$AU$594),"",ReferenceData!$AU$594),"")</f>
        <v>29.616551829999999</v>
      </c>
      <c r="AV594">
        <f ca="1">IFERROR(IF(0=LEN(ReferenceData!$AV$594),"",ReferenceData!$AV$594),"")</f>
        <v>31.346403519999999</v>
      </c>
      <c r="AW594">
        <f ca="1">IFERROR(IF(0=LEN(ReferenceData!$AW$594),"",ReferenceData!$AW$594),"")</f>
        <v>18.103007059999999</v>
      </c>
      <c r="AX594">
        <f ca="1">IFERROR(IF(0=LEN(ReferenceData!$AX$594),"",ReferenceData!$AX$594),"")</f>
        <v>19.898284189999998</v>
      </c>
      <c r="AY594">
        <f ca="1">IFERROR(IF(0=LEN(ReferenceData!$AY$594),"",ReferenceData!$AY$594),"")</f>
        <v>13.620443160000001</v>
      </c>
      <c r="AZ594">
        <f ca="1">IFERROR(IF(0=LEN(ReferenceData!$AZ$594),"",ReferenceData!$AZ$594),"")</f>
        <v>9.5941236770000007</v>
      </c>
      <c r="BA594">
        <f ca="1">IFERROR(IF(0=LEN(ReferenceData!$BA$594),"",ReferenceData!$BA$594),"")</f>
        <v>6.6348222579999998</v>
      </c>
      <c r="BB594">
        <f ca="1">IFERROR(IF(0=LEN(ReferenceData!$BB$594),"",ReferenceData!$BB$594),"")</f>
        <v>4.2286010879999996</v>
      </c>
      <c r="BC594">
        <f ca="1">IFERROR(IF(0=LEN(ReferenceData!$BC$594),"",ReferenceData!$BC$594),"")</f>
        <v>8.6139587080000002</v>
      </c>
      <c r="BD594">
        <f ca="1">IFERROR(IF(0=LEN(ReferenceData!$BD$594),"",ReferenceData!$BD$594),"")</f>
        <v>7.9597511990000003</v>
      </c>
      <c r="BE594">
        <f ca="1">IFERROR(IF(0=LEN(ReferenceData!$BE$594),"",ReferenceData!$BE$594),"")</f>
        <v>10.503177669999999</v>
      </c>
      <c r="BF594">
        <f ca="1">IFERROR(IF(0=LEN(ReferenceData!$BF$594),"",ReferenceData!$BF$594),"")</f>
        <v>14.23244268</v>
      </c>
      <c r="BG594">
        <f ca="1">IFERROR(IF(0=LEN(ReferenceData!$BG$594),"",ReferenceData!$BG$594),"")</f>
        <v>10.713452480000001</v>
      </c>
      <c r="BH594" t="str">
        <f ca="1">IFERROR(IF(0=LEN(ReferenceData!$BH$594),"",ReferenceData!$BH$594),"")</f>
        <v/>
      </c>
      <c r="BI594" t="str">
        <f ca="1">IFERROR(IF(0=LEN(ReferenceData!$BI$594),"",ReferenceData!$BI$594),"")</f>
        <v/>
      </c>
      <c r="BJ594" t="str">
        <f ca="1">IFERROR(IF(0=LEN(ReferenceData!$BJ$594),"",ReferenceData!$BJ$594),"")</f>
        <v/>
      </c>
      <c r="BK594" t="str">
        <f ca="1">IFERROR(IF(0=LEN(ReferenceData!$BK$594),"",ReferenceData!$BK$594),"")</f>
        <v/>
      </c>
      <c r="BL594" t="str">
        <f ca="1">IFERROR(IF(0=LEN(ReferenceData!$BL$594),"",ReferenceData!$BL$594),"")</f>
        <v/>
      </c>
      <c r="BM594" t="str">
        <f ca="1">IFERROR(IF(0=LEN(ReferenceData!$BM$594),"",ReferenceData!$BM$594),"")</f>
        <v/>
      </c>
    </row>
    <row r="595" spans="1:65" x14ac:dyDescent="0.25">
      <c r="A595" t="str">
        <f>IFERROR(IF(0=LEN(ReferenceData!$A$595),"",ReferenceData!$A$595),"")</f>
        <v xml:space="preserve">    GAZ PJSC</v>
      </c>
      <c r="B595" t="str">
        <f>IFERROR(IF(0=LEN(ReferenceData!$B$595),"",ReferenceData!$B$595),"")</f>
        <v>GAZA RM Equity</v>
      </c>
      <c r="C595" t="str">
        <f>IFERROR(IF(0=LEN(ReferenceData!$C$595),"",ReferenceData!$C$595),"")</f>
        <v>RX072</v>
      </c>
      <c r="D595" t="str">
        <f>IFERROR(IF(0=LEN(ReferenceData!$D$595),"",ReferenceData!$D$595),"")</f>
        <v>FREE_CASH_FLOW_YIELD</v>
      </c>
      <c r="E595" t="str">
        <f>IFERROR(IF(0=LEN(ReferenceData!$E$595),"",ReferenceData!$E$595),"")</f>
        <v>Dynamic</v>
      </c>
      <c r="F595" t="str">
        <f ca="1">IFERROR(IF(0=LEN(ReferenceData!$F$595),"",ReferenceData!$F$595),"")</f>
        <v/>
      </c>
      <c r="G595" t="str">
        <f ca="1">IFERROR(IF(0=LEN(ReferenceData!$G$595),"",ReferenceData!$G$595),"")</f>
        <v/>
      </c>
      <c r="H595" t="str">
        <f ca="1">IFERROR(IF(0=LEN(ReferenceData!$H$595),"",ReferenceData!$H$595),"")</f>
        <v/>
      </c>
      <c r="I595" t="str">
        <f ca="1">IFERROR(IF(0=LEN(ReferenceData!$I$595),"",ReferenceData!$I$595),"")</f>
        <v/>
      </c>
      <c r="J595" t="str">
        <f ca="1">IFERROR(IF(0=LEN(ReferenceData!$J$595),"",ReferenceData!$J$595),"")</f>
        <v/>
      </c>
      <c r="K595" t="str">
        <f ca="1">IFERROR(IF(0=LEN(ReferenceData!$K$595),"",ReferenceData!$K$595),"")</f>
        <v/>
      </c>
      <c r="L595" t="str">
        <f ca="1">IFERROR(IF(0=LEN(ReferenceData!$L$595),"",ReferenceData!$L$595),"")</f>
        <v/>
      </c>
      <c r="M595" t="str">
        <f ca="1">IFERROR(IF(0=LEN(ReferenceData!$M$595),"",ReferenceData!$M$595),"")</f>
        <v/>
      </c>
      <c r="N595" t="str">
        <f ca="1">IFERROR(IF(0=LEN(ReferenceData!$N$595),"",ReferenceData!$N$595),"")</f>
        <v/>
      </c>
      <c r="O595" t="str">
        <f ca="1">IFERROR(IF(0=LEN(ReferenceData!$O$595),"",ReferenceData!$O$595),"")</f>
        <v/>
      </c>
      <c r="P595" t="str">
        <f ca="1">IFERROR(IF(0=LEN(ReferenceData!$P$595),"",ReferenceData!$P$595),"")</f>
        <v/>
      </c>
      <c r="Q595" t="str">
        <f ca="1">IFERROR(IF(0=LEN(ReferenceData!$Q$595),"",ReferenceData!$Q$595),"")</f>
        <v/>
      </c>
      <c r="R595" t="str">
        <f ca="1">IFERROR(IF(0=LEN(ReferenceData!$R$595),"",ReferenceData!$R$595),"")</f>
        <v/>
      </c>
      <c r="S595" t="str">
        <f ca="1">IFERROR(IF(0=LEN(ReferenceData!$S$595),"",ReferenceData!$S$595),"")</f>
        <v/>
      </c>
      <c r="T595" t="str">
        <f ca="1">IFERROR(IF(0=LEN(ReferenceData!$T$595),"",ReferenceData!$T$595),"")</f>
        <v/>
      </c>
      <c r="U595" t="str">
        <f ca="1">IFERROR(IF(0=LEN(ReferenceData!$U$595),"",ReferenceData!$U$595),"")</f>
        <v/>
      </c>
      <c r="V595" t="str">
        <f ca="1">IFERROR(IF(0=LEN(ReferenceData!$V$595),"",ReferenceData!$V$595),"")</f>
        <v/>
      </c>
      <c r="W595" t="str">
        <f ca="1">IFERROR(IF(0=LEN(ReferenceData!$W$595),"",ReferenceData!$W$595),"")</f>
        <v/>
      </c>
      <c r="X595" t="str">
        <f ca="1">IFERROR(IF(0=LEN(ReferenceData!$X$595),"",ReferenceData!$X$595),"")</f>
        <v/>
      </c>
      <c r="Y595" t="str">
        <f ca="1">IFERROR(IF(0=LEN(ReferenceData!$Y$595),"",ReferenceData!$Y$595),"")</f>
        <v/>
      </c>
      <c r="Z595" t="str">
        <f ca="1">IFERROR(IF(0=LEN(ReferenceData!$Z$595),"",ReferenceData!$Z$595),"")</f>
        <v/>
      </c>
      <c r="AA595" t="str">
        <f ca="1">IFERROR(IF(0=LEN(ReferenceData!$AA$595),"",ReferenceData!$AA$595),"")</f>
        <v/>
      </c>
      <c r="AB595" t="str">
        <f ca="1">IFERROR(IF(0=LEN(ReferenceData!$AB$595),"",ReferenceData!$AB$595),"")</f>
        <v/>
      </c>
      <c r="AC595" t="str">
        <f ca="1">IFERROR(IF(0=LEN(ReferenceData!$AC$595),"",ReferenceData!$AC$595),"")</f>
        <v/>
      </c>
      <c r="AD595" t="str">
        <f ca="1">IFERROR(IF(0=LEN(ReferenceData!$AD$595),"",ReferenceData!$AD$595),"")</f>
        <v/>
      </c>
      <c r="AE595" t="str">
        <f ca="1">IFERROR(IF(0=LEN(ReferenceData!$AE$595),"",ReferenceData!$AE$595),"")</f>
        <v/>
      </c>
      <c r="AF595" t="str">
        <f ca="1">IFERROR(IF(0=LEN(ReferenceData!$AF$595),"",ReferenceData!$AF$595),"")</f>
        <v/>
      </c>
      <c r="AG595" t="str">
        <f ca="1">IFERROR(IF(0=LEN(ReferenceData!$AG$595),"",ReferenceData!$AG$595),"")</f>
        <v/>
      </c>
      <c r="AH595" t="str">
        <f ca="1">IFERROR(IF(0=LEN(ReferenceData!$AH$595),"",ReferenceData!$AH$595),"")</f>
        <v/>
      </c>
      <c r="AI595" t="str">
        <f ca="1">IFERROR(IF(0=LEN(ReferenceData!$AI$595),"",ReferenceData!$AI$595),"")</f>
        <v/>
      </c>
      <c r="AJ595" t="str">
        <f ca="1">IFERROR(IF(0=LEN(ReferenceData!$AJ$595),"",ReferenceData!$AJ$595),"")</f>
        <v/>
      </c>
      <c r="AK595" t="str">
        <f ca="1">IFERROR(IF(0=LEN(ReferenceData!$AK$595),"",ReferenceData!$AK$595),"")</f>
        <v/>
      </c>
      <c r="AL595" t="str">
        <f ca="1">IFERROR(IF(0=LEN(ReferenceData!$AL$595),"",ReferenceData!$AL$595),"")</f>
        <v/>
      </c>
      <c r="AM595" t="str">
        <f ca="1">IFERROR(IF(0=LEN(ReferenceData!$AM$595),"",ReferenceData!$AM$595),"")</f>
        <v/>
      </c>
      <c r="AN595" t="str">
        <f ca="1">IFERROR(IF(0=LEN(ReferenceData!$AN$595),"",ReferenceData!$AN$595),"")</f>
        <v/>
      </c>
      <c r="AO595" t="str">
        <f ca="1">IFERROR(IF(0=LEN(ReferenceData!$AO$595),"",ReferenceData!$AO$595),"")</f>
        <v/>
      </c>
      <c r="AP595" t="str">
        <f ca="1">IFERROR(IF(0=LEN(ReferenceData!$AP$595),"",ReferenceData!$AP$595),"")</f>
        <v/>
      </c>
      <c r="AQ595" t="str">
        <f ca="1">IFERROR(IF(0=LEN(ReferenceData!$AQ$595),"",ReferenceData!$AQ$595),"")</f>
        <v/>
      </c>
      <c r="AR595" t="str">
        <f ca="1">IFERROR(IF(0=LEN(ReferenceData!$AR$595),"",ReferenceData!$AR$595),"")</f>
        <v/>
      </c>
      <c r="AS595" t="str">
        <f ca="1">IFERROR(IF(0=LEN(ReferenceData!$AS$595),"",ReferenceData!$AS$595),"")</f>
        <v/>
      </c>
      <c r="AT595" t="str">
        <f ca="1">IFERROR(IF(0=LEN(ReferenceData!$AT$595),"",ReferenceData!$AT$595),"")</f>
        <v/>
      </c>
      <c r="AU595" t="str">
        <f ca="1">IFERROR(IF(0=LEN(ReferenceData!$AU$595),"",ReferenceData!$AU$595),"")</f>
        <v/>
      </c>
      <c r="AV595" t="str">
        <f ca="1">IFERROR(IF(0=LEN(ReferenceData!$AV$595),"",ReferenceData!$AV$595),"")</f>
        <v/>
      </c>
      <c r="AW595" t="str">
        <f ca="1">IFERROR(IF(0=LEN(ReferenceData!$AW$595),"",ReferenceData!$AW$595),"")</f>
        <v/>
      </c>
      <c r="AX595" t="str">
        <f ca="1">IFERROR(IF(0=LEN(ReferenceData!$AX$595),"",ReferenceData!$AX$595),"")</f>
        <v/>
      </c>
      <c r="AY595" t="str">
        <f ca="1">IFERROR(IF(0=LEN(ReferenceData!$AY$595),"",ReferenceData!$AY$595),"")</f>
        <v/>
      </c>
      <c r="AZ595" t="str">
        <f ca="1">IFERROR(IF(0=LEN(ReferenceData!$AZ$595),"",ReferenceData!$AZ$595),"")</f>
        <v/>
      </c>
      <c r="BA595" t="str">
        <f ca="1">IFERROR(IF(0=LEN(ReferenceData!$BA$595),"",ReferenceData!$BA$595),"")</f>
        <v/>
      </c>
      <c r="BB595" t="str">
        <f ca="1">IFERROR(IF(0=LEN(ReferenceData!$BB$595),"",ReferenceData!$BB$595),"")</f>
        <v/>
      </c>
      <c r="BC595" t="str">
        <f ca="1">IFERROR(IF(0=LEN(ReferenceData!$BC$595),"",ReferenceData!$BC$595),"")</f>
        <v/>
      </c>
      <c r="BD595" t="str">
        <f ca="1">IFERROR(IF(0=LEN(ReferenceData!$BD$595),"",ReferenceData!$BD$595),"")</f>
        <v/>
      </c>
      <c r="BE595" t="str">
        <f ca="1">IFERROR(IF(0=LEN(ReferenceData!$BE$595),"",ReferenceData!$BE$595),"")</f>
        <v/>
      </c>
      <c r="BF595" t="str">
        <f ca="1">IFERROR(IF(0=LEN(ReferenceData!$BF$595),"",ReferenceData!$BF$595),"")</f>
        <v/>
      </c>
      <c r="BG595" t="str">
        <f ca="1">IFERROR(IF(0=LEN(ReferenceData!$BG$595),"",ReferenceData!$BG$595),"")</f>
        <v/>
      </c>
      <c r="BH595" t="str">
        <f ca="1">IFERROR(IF(0=LEN(ReferenceData!$BH$595),"",ReferenceData!$BH$595),"")</f>
        <v/>
      </c>
      <c r="BI595" t="str">
        <f ca="1">IFERROR(IF(0=LEN(ReferenceData!$BI$595),"",ReferenceData!$BI$595),"")</f>
        <v/>
      </c>
      <c r="BJ595" t="str">
        <f ca="1">IFERROR(IF(0=LEN(ReferenceData!$BJ$595),"",ReferenceData!$BJ$595),"")</f>
        <v/>
      </c>
      <c r="BK595" t="str">
        <f ca="1">IFERROR(IF(0=LEN(ReferenceData!$BK$595),"",ReferenceData!$BK$595),"")</f>
        <v/>
      </c>
      <c r="BL595" t="str">
        <f ca="1">IFERROR(IF(0=LEN(ReferenceData!$BL$595),"",ReferenceData!$BL$595),"")</f>
        <v/>
      </c>
      <c r="BM595" t="str">
        <f ca="1">IFERROR(IF(0=LEN(ReferenceData!$BM$595),"",ReferenceData!$BM$595),"")</f>
        <v/>
      </c>
    </row>
    <row r="596" spans="1:65" x14ac:dyDescent="0.25">
      <c r="A596" t="str">
        <f>IFERROR(IF(0=LEN(ReferenceData!$A$596),"",ReferenceData!$A$596),"")</f>
        <v xml:space="preserve">    Geely Automobile Holdings Ltd</v>
      </c>
      <c r="B596" t="str">
        <f>IFERROR(IF(0=LEN(ReferenceData!$B$596),"",ReferenceData!$B$596),"")</f>
        <v>175 HK Equity</v>
      </c>
      <c r="C596" t="str">
        <f>IFERROR(IF(0=LEN(ReferenceData!$C$596),"",ReferenceData!$C$596),"")</f>
        <v>RX072</v>
      </c>
      <c r="D596" t="str">
        <f>IFERROR(IF(0=LEN(ReferenceData!$D$596),"",ReferenceData!$D$596),"")</f>
        <v>FREE_CASH_FLOW_YIELD</v>
      </c>
      <c r="E596" t="str">
        <f>IFERROR(IF(0=LEN(ReferenceData!$E$596),"",ReferenceData!$E$596),"")</f>
        <v>Dynamic</v>
      </c>
      <c r="F596" t="str">
        <f ca="1">IFERROR(IF(0=LEN(ReferenceData!$F$596),"",ReferenceData!$F$596),"")</f>
        <v/>
      </c>
      <c r="G596" t="str">
        <f ca="1">IFERROR(IF(0=LEN(ReferenceData!$G$596),"",ReferenceData!$G$596),"")</f>
        <v/>
      </c>
      <c r="H596" t="str">
        <f ca="1">IFERROR(IF(0=LEN(ReferenceData!$H$596),"",ReferenceData!$H$596),"")</f>
        <v/>
      </c>
      <c r="I596" t="str">
        <f ca="1">IFERROR(IF(0=LEN(ReferenceData!$I$596),"",ReferenceData!$I$596),"")</f>
        <v/>
      </c>
      <c r="J596" t="str">
        <f ca="1">IFERROR(IF(0=LEN(ReferenceData!$J$596),"",ReferenceData!$J$596),"")</f>
        <v/>
      </c>
      <c r="K596" t="str">
        <f ca="1">IFERROR(IF(0=LEN(ReferenceData!$K$596),"",ReferenceData!$K$596),"")</f>
        <v/>
      </c>
      <c r="L596" t="str">
        <f ca="1">IFERROR(IF(0=LEN(ReferenceData!$L$596),"",ReferenceData!$L$596),"")</f>
        <v/>
      </c>
      <c r="M596" t="str">
        <f ca="1">IFERROR(IF(0=LEN(ReferenceData!$M$596),"",ReferenceData!$M$596),"")</f>
        <v/>
      </c>
      <c r="N596" t="str">
        <f ca="1">IFERROR(IF(0=LEN(ReferenceData!$N$596),"",ReferenceData!$N$596),"")</f>
        <v/>
      </c>
      <c r="O596" t="str">
        <f ca="1">IFERROR(IF(0=LEN(ReferenceData!$O$596),"",ReferenceData!$O$596),"")</f>
        <v/>
      </c>
      <c r="P596" t="str">
        <f ca="1">IFERROR(IF(0=LEN(ReferenceData!$P$596),"",ReferenceData!$P$596),"")</f>
        <v/>
      </c>
      <c r="Q596" t="str">
        <f ca="1">IFERROR(IF(0=LEN(ReferenceData!$Q$596),"",ReferenceData!$Q$596),"")</f>
        <v/>
      </c>
      <c r="R596" t="str">
        <f ca="1">IFERROR(IF(0=LEN(ReferenceData!$R$596),"",ReferenceData!$R$596),"")</f>
        <v/>
      </c>
      <c r="S596" t="str">
        <f ca="1">IFERROR(IF(0=LEN(ReferenceData!$S$596),"",ReferenceData!$S$596),"")</f>
        <v/>
      </c>
      <c r="T596" t="str">
        <f ca="1">IFERROR(IF(0=LEN(ReferenceData!$T$596),"",ReferenceData!$T$596),"")</f>
        <v/>
      </c>
      <c r="U596" t="str">
        <f ca="1">IFERROR(IF(0=LEN(ReferenceData!$U$596),"",ReferenceData!$U$596),"")</f>
        <v/>
      </c>
      <c r="V596" t="str">
        <f ca="1">IFERROR(IF(0=LEN(ReferenceData!$V$596),"",ReferenceData!$V$596),"")</f>
        <v/>
      </c>
      <c r="W596" t="str">
        <f ca="1">IFERROR(IF(0=LEN(ReferenceData!$W$596),"",ReferenceData!$W$596),"")</f>
        <v/>
      </c>
      <c r="X596" t="str">
        <f ca="1">IFERROR(IF(0=LEN(ReferenceData!$X$596),"",ReferenceData!$X$596),"")</f>
        <v/>
      </c>
      <c r="Y596" t="str">
        <f ca="1">IFERROR(IF(0=LEN(ReferenceData!$Y$596),"",ReferenceData!$Y$596),"")</f>
        <v/>
      </c>
      <c r="Z596" t="str">
        <f ca="1">IFERROR(IF(0=LEN(ReferenceData!$Z$596),"",ReferenceData!$Z$596),"")</f>
        <v/>
      </c>
      <c r="AA596" t="str">
        <f ca="1">IFERROR(IF(0=LEN(ReferenceData!$AA$596),"",ReferenceData!$AA$596),"")</f>
        <v/>
      </c>
      <c r="AB596" t="str">
        <f ca="1">IFERROR(IF(0=LEN(ReferenceData!$AB$596),"",ReferenceData!$AB$596),"")</f>
        <v/>
      </c>
      <c r="AC596" t="str">
        <f ca="1">IFERROR(IF(0=LEN(ReferenceData!$AC$596),"",ReferenceData!$AC$596),"")</f>
        <v/>
      </c>
      <c r="AD596" t="str">
        <f ca="1">IFERROR(IF(0=LEN(ReferenceData!$AD$596),"",ReferenceData!$AD$596),"")</f>
        <v/>
      </c>
      <c r="AE596" t="str">
        <f ca="1">IFERROR(IF(0=LEN(ReferenceData!$AE$596),"",ReferenceData!$AE$596),"")</f>
        <v/>
      </c>
      <c r="AF596" t="str">
        <f ca="1">IFERROR(IF(0=LEN(ReferenceData!$AF$596),"",ReferenceData!$AF$596),"")</f>
        <v/>
      </c>
      <c r="AG596" t="str">
        <f ca="1">IFERROR(IF(0=LEN(ReferenceData!$AG$596),"",ReferenceData!$AG$596),"")</f>
        <v/>
      </c>
      <c r="AH596" t="str">
        <f ca="1">IFERROR(IF(0=LEN(ReferenceData!$AH$596),"",ReferenceData!$AH$596),"")</f>
        <v/>
      </c>
      <c r="AI596" t="str">
        <f ca="1">IFERROR(IF(0=LEN(ReferenceData!$AI$596),"",ReferenceData!$AI$596),"")</f>
        <v/>
      </c>
      <c r="AJ596" t="str">
        <f ca="1">IFERROR(IF(0=LEN(ReferenceData!$AJ$596),"",ReferenceData!$AJ$596),"")</f>
        <v/>
      </c>
      <c r="AK596" t="str">
        <f ca="1">IFERROR(IF(0=LEN(ReferenceData!$AK$596),"",ReferenceData!$AK$596),"")</f>
        <v/>
      </c>
      <c r="AL596" t="str">
        <f ca="1">IFERROR(IF(0=LEN(ReferenceData!$AL$596),"",ReferenceData!$AL$596),"")</f>
        <v/>
      </c>
      <c r="AM596" t="str">
        <f ca="1">IFERROR(IF(0=LEN(ReferenceData!$AM$596),"",ReferenceData!$AM$596),"")</f>
        <v/>
      </c>
      <c r="AN596" t="str">
        <f ca="1">IFERROR(IF(0=LEN(ReferenceData!$AN$596),"",ReferenceData!$AN$596),"")</f>
        <v/>
      </c>
      <c r="AO596" t="str">
        <f ca="1">IFERROR(IF(0=LEN(ReferenceData!$AO$596),"",ReferenceData!$AO$596),"")</f>
        <v/>
      </c>
      <c r="AP596" t="str">
        <f ca="1">IFERROR(IF(0=LEN(ReferenceData!$AP$596),"",ReferenceData!$AP$596),"")</f>
        <v/>
      </c>
      <c r="AQ596" t="str">
        <f ca="1">IFERROR(IF(0=LEN(ReferenceData!$AQ$596),"",ReferenceData!$AQ$596),"")</f>
        <v/>
      </c>
      <c r="AR596" t="str">
        <f ca="1">IFERROR(IF(0=LEN(ReferenceData!$AR$596),"",ReferenceData!$AR$596),"")</f>
        <v/>
      </c>
      <c r="AS596" t="str">
        <f ca="1">IFERROR(IF(0=LEN(ReferenceData!$AS$596),"",ReferenceData!$AS$596),"")</f>
        <v/>
      </c>
      <c r="AT596" t="str">
        <f ca="1">IFERROR(IF(0=LEN(ReferenceData!$AT$596),"",ReferenceData!$AT$596),"")</f>
        <v/>
      </c>
      <c r="AU596" t="str">
        <f ca="1">IFERROR(IF(0=LEN(ReferenceData!$AU$596),"",ReferenceData!$AU$596),"")</f>
        <v/>
      </c>
      <c r="AV596" t="str">
        <f ca="1">IFERROR(IF(0=LEN(ReferenceData!$AV$596),"",ReferenceData!$AV$596),"")</f>
        <v/>
      </c>
      <c r="AW596" t="str">
        <f ca="1">IFERROR(IF(0=LEN(ReferenceData!$AW$596),"",ReferenceData!$AW$596),"")</f>
        <v/>
      </c>
      <c r="AX596" t="str">
        <f ca="1">IFERROR(IF(0=LEN(ReferenceData!$AX$596),"",ReferenceData!$AX$596),"")</f>
        <v/>
      </c>
      <c r="AY596" t="str">
        <f ca="1">IFERROR(IF(0=LEN(ReferenceData!$AY$596),"",ReferenceData!$AY$596),"")</f>
        <v/>
      </c>
      <c r="AZ596" t="str">
        <f ca="1">IFERROR(IF(0=LEN(ReferenceData!$AZ$596),"",ReferenceData!$AZ$596),"")</f>
        <v/>
      </c>
      <c r="BA596" t="str">
        <f ca="1">IFERROR(IF(0=LEN(ReferenceData!$BA$596),"",ReferenceData!$BA$596),"")</f>
        <v/>
      </c>
      <c r="BB596" t="str">
        <f ca="1">IFERROR(IF(0=LEN(ReferenceData!$BB$596),"",ReferenceData!$BB$596),"")</f>
        <v/>
      </c>
      <c r="BC596" t="str">
        <f ca="1">IFERROR(IF(0=LEN(ReferenceData!$BC$596),"",ReferenceData!$BC$596),"")</f>
        <v/>
      </c>
      <c r="BD596" t="str">
        <f ca="1">IFERROR(IF(0=LEN(ReferenceData!$BD$596),"",ReferenceData!$BD$596),"")</f>
        <v/>
      </c>
      <c r="BE596" t="str">
        <f ca="1">IFERROR(IF(0=LEN(ReferenceData!$BE$596),"",ReferenceData!$BE$596),"")</f>
        <v/>
      </c>
      <c r="BF596" t="str">
        <f ca="1">IFERROR(IF(0=LEN(ReferenceData!$BF$596),"",ReferenceData!$BF$596),"")</f>
        <v/>
      </c>
      <c r="BG596" t="str">
        <f ca="1">IFERROR(IF(0=LEN(ReferenceData!$BG$596),"",ReferenceData!$BG$596),"")</f>
        <v/>
      </c>
      <c r="BH596" t="str">
        <f ca="1">IFERROR(IF(0=LEN(ReferenceData!$BH$596),"",ReferenceData!$BH$596),"")</f>
        <v/>
      </c>
      <c r="BI596" t="str">
        <f ca="1">IFERROR(IF(0=LEN(ReferenceData!$BI$596),"",ReferenceData!$BI$596),"")</f>
        <v/>
      </c>
      <c r="BJ596" t="str">
        <f ca="1">IFERROR(IF(0=LEN(ReferenceData!$BJ$596),"",ReferenceData!$BJ$596),"")</f>
        <v/>
      </c>
      <c r="BK596" t="str">
        <f ca="1">IFERROR(IF(0=LEN(ReferenceData!$BK$596),"",ReferenceData!$BK$596),"")</f>
        <v/>
      </c>
      <c r="BL596" t="str">
        <f ca="1">IFERROR(IF(0=LEN(ReferenceData!$BL$596),"",ReferenceData!$BL$596),"")</f>
        <v/>
      </c>
      <c r="BM596" t="str">
        <f ca="1">IFERROR(IF(0=LEN(ReferenceData!$BM$596),"",ReferenceData!$BM$596),"")</f>
        <v/>
      </c>
    </row>
    <row r="597" spans="1:65" x14ac:dyDescent="0.25">
      <c r="A597" t="str">
        <f>IFERROR(IF(0=LEN(ReferenceData!$A$597),"",ReferenceData!$A$597),"")</f>
        <v xml:space="preserve">    General Motors Co</v>
      </c>
      <c r="B597" t="str">
        <f>IFERROR(IF(0=LEN(ReferenceData!$B$597),"",ReferenceData!$B$597),"")</f>
        <v>GM US Equity</v>
      </c>
      <c r="C597" t="str">
        <f>IFERROR(IF(0=LEN(ReferenceData!$C$597),"",ReferenceData!$C$597),"")</f>
        <v>RX072</v>
      </c>
      <c r="D597" t="str">
        <f>IFERROR(IF(0=LEN(ReferenceData!$D$597),"",ReferenceData!$D$597),"")</f>
        <v>FREE_CASH_FLOW_YIELD</v>
      </c>
      <c r="E597" t="str">
        <f>IFERROR(IF(0=LEN(ReferenceData!$E$597),"",ReferenceData!$E$597),"")</f>
        <v>Dynamic</v>
      </c>
      <c r="F597">
        <f ca="1">IFERROR(IF(0=LEN(ReferenceData!$F$597),"",ReferenceData!$F$597),"")</f>
        <v>11.70054882</v>
      </c>
      <c r="G597">
        <f ca="1">IFERROR(IF(0=LEN(ReferenceData!$G$597),"",ReferenceData!$G$597),"")</f>
        <v>13.738088879999999</v>
      </c>
      <c r="H597">
        <f ca="1">IFERROR(IF(0=LEN(ReferenceData!$H$597),"",ReferenceData!$H$597),"")</f>
        <v>15.67981458</v>
      </c>
      <c r="I597">
        <f ca="1">IFERROR(IF(0=LEN(ReferenceData!$I$597),"",ReferenceData!$I$597),"")</f>
        <v>12.025635660000001</v>
      </c>
      <c r="J597">
        <f ca="1">IFERROR(IF(0=LEN(ReferenceData!$J$597),"",ReferenceData!$J$597),"")</f>
        <v>12.76121448</v>
      </c>
      <c r="K597">
        <f ca="1">IFERROR(IF(0=LEN(ReferenceData!$K$597),"",ReferenceData!$K$597),"")</f>
        <v>14.978102959999999</v>
      </c>
      <c r="L597">
        <f ca="1">IFERROR(IF(0=LEN(ReferenceData!$L$597),"",ReferenceData!$L$597),"")</f>
        <v>9.636713919</v>
      </c>
      <c r="M597">
        <f ca="1">IFERROR(IF(0=LEN(ReferenceData!$M$597),"",ReferenceData!$M$597),"")</f>
        <v>17.93382252</v>
      </c>
      <c r="N597">
        <f ca="1">IFERROR(IF(0=LEN(ReferenceData!$N$597),"",ReferenceData!$N$597),"")</f>
        <v>20.035331169999999</v>
      </c>
      <c r="O597">
        <f ca="1">IFERROR(IF(0=LEN(ReferenceData!$O$597),"",ReferenceData!$O$597),"")</f>
        <v>15.298459019999999</v>
      </c>
      <c r="P597">
        <f ca="1">IFERROR(IF(0=LEN(ReferenceData!$P$597),"",ReferenceData!$P$597),"")</f>
        <v>12.508014409999999</v>
      </c>
      <c r="Q597">
        <f ca="1">IFERROR(IF(0=LEN(ReferenceData!$Q$597),"",ReferenceData!$Q$597),"")</f>
        <v>7.2111356960000004</v>
      </c>
      <c r="R597">
        <f ca="1">IFERROR(IF(0=LEN(ReferenceData!$R$597),"",ReferenceData!$R$597),"")</f>
        <v>5.311737924</v>
      </c>
      <c r="S597">
        <f ca="1">IFERROR(IF(0=LEN(ReferenceData!$S$597),"",ReferenceData!$S$597),"")</f>
        <v>7.0797438369999997</v>
      </c>
      <c r="T597">
        <f ca="1">IFERROR(IF(0=LEN(ReferenceData!$T$597),"",ReferenceData!$T$597),"")</f>
        <v>11.129732690000001</v>
      </c>
      <c r="U597">
        <f ca="1">IFERROR(IF(0=LEN(ReferenceData!$U$597),"",ReferenceData!$U$597),"")</f>
        <v>6.1499359680000003</v>
      </c>
      <c r="V597">
        <f ca="1">IFERROR(IF(0=LEN(ReferenceData!$V$597),"",ReferenceData!$V$597),"")</f>
        <v>2.403157067</v>
      </c>
      <c r="W597">
        <f ca="1">IFERROR(IF(0=LEN(ReferenceData!$W$597),"",ReferenceData!$W$597),"")</f>
        <v>5.2920185890000004</v>
      </c>
      <c r="X597">
        <f ca="1">IFERROR(IF(0=LEN(ReferenceData!$X$597),"",ReferenceData!$X$597),"")</f>
        <v>6.2944405970000004</v>
      </c>
      <c r="Y597">
        <f ca="1">IFERROR(IF(0=LEN(ReferenceData!$Y$597),"",ReferenceData!$Y$597),"")</f>
        <v>10.32505594</v>
      </c>
      <c r="Z597">
        <f ca="1">IFERROR(IF(0=LEN(ReferenceData!$Z$597),"",ReferenceData!$Z$597),"")</f>
        <v>13.31335479</v>
      </c>
      <c r="AA597">
        <f ca="1">IFERROR(IF(0=LEN(ReferenceData!$AA$597),"",ReferenceData!$AA$597),"")</f>
        <v>8.8785547999999999</v>
      </c>
      <c r="AB597">
        <f ca="1">IFERROR(IF(0=LEN(ReferenceData!$AB$597),"",ReferenceData!$AB$597),"")</f>
        <v>5.3316561560000002</v>
      </c>
      <c r="AC597">
        <f ca="1">IFERROR(IF(0=LEN(ReferenceData!$AC$597),"",ReferenceData!$AC$597),"")</f>
        <v>4.3635226830000002</v>
      </c>
      <c r="AD597">
        <f ca="1">IFERROR(IF(0=LEN(ReferenceData!$AD$597),"",ReferenceData!$AD$597),"")</f>
        <v>1.6878512779999999</v>
      </c>
      <c r="AE597">
        <f ca="1">IFERROR(IF(0=LEN(ReferenceData!$AE$597),"",ReferenceData!$AE$597),"")</f>
        <v>5.577046266</v>
      </c>
      <c r="AF597">
        <f ca="1">IFERROR(IF(0=LEN(ReferenceData!$AF$597),"",ReferenceData!$AF$597),"")</f>
        <v>8.6385950769999997</v>
      </c>
      <c r="AG597">
        <f ca="1">IFERROR(IF(0=LEN(ReferenceData!$AG$597),"",ReferenceData!$AG$597),"")</f>
        <v>6.8146605029999998</v>
      </c>
      <c r="AH597">
        <f ca="1">IFERROR(IF(0=LEN(ReferenceData!$AH$597),"",ReferenceData!$AH$597),"")</f>
        <v>10.646925449999999</v>
      </c>
      <c r="AI597">
        <f ca="1">IFERROR(IF(0=LEN(ReferenceData!$AI$597),"",ReferenceData!$AI$597),"")</f>
        <v>6.3149250270000001</v>
      </c>
      <c r="AJ597">
        <f ca="1">IFERROR(IF(0=LEN(ReferenceData!$AJ$597),"",ReferenceData!$AJ$597),"")</f>
        <v>-3.8287629999999998E-3</v>
      </c>
      <c r="AK597">
        <f ca="1">IFERROR(IF(0=LEN(ReferenceData!$AK$597),"",ReferenceData!$AK$597),"")</f>
        <v>2.0204208960000001</v>
      </c>
      <c r="AL597">
        <f ca="1">IFERROR(IF(0=LEN(ReferenceData!$AL$597),"",ReferenceData!$AL$597),"")</f>
        <v>-0.25992777</v>
      </c>
      <c r="AM597">
        <f ca="1">IFERROR(IF(0=LEN(ReferenceData!$AM$597),"",ReferenceData!$AM$597),"")</f>
        <v>4.6726315840000003</v>
      </c>
      <c r="AN597" t="str">
        <f ca="1">IFERROR(IF(0=LEN(ReferenceData!$AN$597),"",ReferenceData!$AN$597),"")</f>
        <v/>
      </c>
      <c r="AO597" t="str">
        <f ca="1">IFERROR(IF(0=LEN(ReferenceData!$AO$597),"",ReferenceData!$AO$597),"")</f>
        <v/>
      </c>
      <c r="AP597" t="str">
        <f ca="1">IFERROR(IF(0=LEN(ReferenceData!$AP$597),"",ReferenceData!$AP$597),"")</f>
        <v/>
      </c>
      <c r="AQ597" t="str">
        <f ca="1">IFERROR(IF(0=LEN(ReferenceData!$AQ$597),"",ReferenceData!$AQ$597),"")</f>
        <v/>
      </c>
      <c r="AR597" t="str">
        <f ca="1">IFERROR(IF(0=LEN(ReferenceData!$AR$597),"",ReferenceData!$AR$597),"")</f>
        <v/>
      </c>
      <c r="AS597" t="str">
        <f ca="1">IFERROR(IF(0=LEN(ReferenceData!$AS$597),"",ReferenceData!$AS$597),"")</f>
        <v/>
      </c>
      <c r="AT597" t="str">
        <f ca="1">IFERROR(IF(0=LEN(ReferenceData!$AT$597),"",ReferenceData!$AT$597),"")</f>
        <v/>
      </c>
      <c r="AU597" t="str">
        <f ca="1">IFERROR(IF(0=LEN(ReferenceData!$AU$597),"",ReferenceData!$AU$597),"")</f>
        <v/>
      </c>
      <c r="AV597" t="str">
        <f ca="1">IFERROR(IF(0=LEN(ReferenceData!$AV$597),"",ReferenceData!$AV$597),"")</f>
        <v/>
      </c>
      <c r="AW597" t="str">
        <f ca="1">IFERROR(IF(0=LEN(ReferenceData!$AW$597),"",ReferenceData!$AW$597),"")</f>
        <v/>
      </c>
      <c r="AX597" t="str">
        <f ca="1">IFERROR(IF(0=LEN(ReferenceData!$AX$597),"",ReferenceData!$AX$597),"")</f>
        <v/>
      </c>
      <c r="AY597" t="str">
        <f ca="1">IFERROR(IF(0=LEN(ReferenceData!$AY$597),"",ReferenceData!$AY$597),"")</f>
        <v/>
      </c>
      <c r="AZ597" t="str">
        <f ca="1">IFERROR(IF(0=LEN(ReferenceData!$AZ$597),"",ReferenceData!$AZ$597),"")</f>
        <v/>
      </c>
      <c r="BA597" t="str">
        <f ca="1">IFERROR(IF(0=LEN(ReferenceData!$BA$597),"",ReferenceData!$BA$597),"")</f>
        <v/>
      </c>
      <c r="BB597" t="str">
        <f ca="1">IFERROR(IF(0=LEN(ReferenceData!$BB$597),"",ReferenceData!$BB$597),"")</f>
        <v/>
      </c>
      <c r="BC597" t="str">
        <f ca="1">IFERROR(IF(0=LEN(ReferenceData!$BC$597),"",ReferenceData!$BC$597),"")</f>
        <v/>
      </c>
      <c r="BD597" t="str">
        <f ca="1">IFERROR(IF(0=LEN(ReferenceData!$BD$597),"",ReferenceData!$BD$597),"")</f>
        <v/>
      </c>
      <c r="BE597" t="str">
        <f ca="1">IFERROR(IF(0=LEN(ReferenceData!$BE$597),"",ReferenceData!$BE$597),"")</f>
        <v/>
      </c>
      <c r="BF597" t="str">
        <f ca="1">IFERROR(IF(0=LEN(ReferenceData!$BF$597),"",ReferenceData!$BF$597),"")</f>
        <v/>
      </c>
      <c r="BG597" t="str">
        <f ca="1">IFERROR(IF(0=LEN(ReferenceData!$BG$597),"",ReferenceData!$BG$597),"")</f>
        <v/>
      </c>
      <c r="BH597" t="str">
        <f ca="1">IFERROR(IF(0=LEN(ReferenceData!$BH$597),"",ReferenceData!$BH$597),"")</f>
        <v/>
      </c>
      <c r="BI597" t="str">
        <f ca="1">IFERROR(IF(0=LEN(ReferenceData!$BI$597),"",ReferenceData!$BI$597),"")</f>
        <v/>
      </c>
      <c r="BJ597" t="str">
        <f ca="1">IFERROR(IF(0=LEN(ReferenceData!$BJ$597),"",ReferenceData!$BJ$597),"")</f>
        <v/>
      </c>
      <c r="BK597" t="str">
        <f ca="1">IFERROR(IF(0=LEN(ReferenceData!$BK$597),"",ReferenceData!$BK$597),"")</f>
        <v/>
      </c>
      <c r="BL597" t="str">
        <f ca="1">IFERROR(IF(0=LEN(ReferenceData!$BL$597),"",ReferenceData!$BL$597),"")</f>
        <v/>
      </c>
      <c r="BM597" t="str">
        <f ca="1">IFERROR(IF(0=LEN(ReferenceData!$BM$597),"",ReferenceData!$BM$597),"")</f>
        <v/>
      </c>
    </row>
    <row r="598" spans="1:65" x14ac:dyDescent="0.25">
      <c r="A598" t="str">
        <f>IFERROR(IF(0=LEN(ReferenceData!$A$598),"",ReferenceData!$A$598),"")</f>
        <v xml:space="preserve">    Great Wall Motor Co Ltd</v>
      </c>
      <c r="B598" t="str">
        <f>IFERROR(IF(0=LEN(ReferenceData!$B$598),"",ReferenceData!$B$598),"")</f>
        <v>2333 HK Equity</v>
      </c>
      <c r="C598" t="str">
        <f>IFERROR(IF(0=LEN(ReferenceData!$C$598),"",ReferenceData!$C$598),"")</f>
        <v>RX072</v>
      </c>
      <c r="D598" t="str">
        <f>IFERROR(IF(0=LEN(ReferenceData!$D$598),"",ReferenceData!$D$598),"")</f>
        <v>FREE_CASH_FLOW_YIELD</v>
      </c>
      <c r="E598" t="str">
        <f>IFERROR(IF(0=LEN(ReferenceData!$E$598),"",ReferenceData!$E$598),"")</f>
        <v>Dynamic</v>
      </c>
      <c r="F598">
        <f ca="1">IFERROR(IF(0=LEN(ReferenceData!$F$598),"",ReferenceData!$F$598),"")</f>
        <v>0.333276195</v>
      </c>
      <c r="G598">
        <f ca="1">IFERROR(IF(0=LEN(ReferenceData!$G$598),"",ReferenceData!$G$598),"")</f>
        <v>0.47285480600000002</v>
      </c>
      <c r="H598">
        <f ca="1">IFERROR(IF(0=LEN(ReferenceData!$H$598),"",ReferenceData!$H$598),"")</f>
        <v>0.42569233699999998</v>
      </c>
      <c r="I598">
        <f ca="1">IFERROR(IF(0=LEN(ReferenceData!$I$598),"",ReferenceData!$I$598),"")</f>
        <v>-5.5956736720000002</v>
      </c>
      <c r="J598">
        <f ca="1">IFERROR(IF(0=LEN(ReferenceData!$J$598),"",ReferenceData!$J$598),"")</f>
        <v>-8.3404089839999997</v>
      </c>
      <c r="K598">
        <f ca="1">IFERROR(IF(0=LEN(ReferenceData!$K$598),"",ReferenceData!$K$598),"")</f>
        <v>-12.701926370000001</v>
      </c>
      <c r="L598">
        <f ca="1">IFERROR(IF(0=LEN(ReferenceData!$L$598),"",ReferenceData!$L$598),"")</f>
        <v>-1.425465413</v>
      </c>
      <c r="M598">
        <f ca="1">IFERROR(IF(0=LEN(ReferenceData!$M$598),"",ReferenceData!$M$598),"")</f>
        <v>5.4049472039999999</v>
      </c>
      <c r="N598">
        <f ca="1">IFERROR(IF(0=LEN(ReferenceData!$N$598),"",ReferenceData!$N$598),"")</f>
        <v>-6.7719018889999996</v>
      </c>
      <c r="O598">
        <f ca="1">IFERROR(IF(0=LEN(ReferenceData!$O$598),"",ReferenceData!$O$598),"")</f>
        <v>0.75680270800000005</v>
      </c>
      <c r="P598">
        <f ca="1">IFERROR(IF(0=LEN(ReferenceData!$P$598),"",ReferenceData!$P$598),"")</f>
        <v>2.3325583640000001</v>
      </c>
      <c r="Q598">
        <f ca="1">IFERROR(IF(0=LEN(ReferenceData!$Q$598),"",ReferenceData!$Q$598),"")</f>
        <v>1.6203742510000001</v>
      </c>
      <c r="R598">
        <f ca="1">IFERROR(IF(0=LEN(ReferenceData!$R$598),"",ReferenceData!$R$598),"")</f>
        <v>3.5893936009999998</v>
      </c>
      <c r="S598">
        <f ca="1">IFERROR(IF(0=LEN(ReferenceData!$S$598),"",ReferenceData!$S$598),"")</f>
        <v>5.1038938060000003</v>
      </c>
      <c r="T598">
        <f ca="1">IFERROR(IF(0=LEN(ReferenceData!$T$598),"",ReferenceData!$T$598),"")</f>
        <v>5.3925232239999996</v>
      </c>
      <c r="U598">
        <f ca="1">IFERROR(IF(0=LEN(ReferenceData!$U$598),"",ReferenceData!$U$598),"")</f>
        <v>0.934234008</v>
      </c>
      <c r="V598">
        <f ca="1">IFERROR(IF(0=LEN(ReferenceData!$V$598),"",ReferenceData!$V$598),"")</f>
        <v>-2.5113373659999998</v>
      </c>
      <c r="W598">
        <f ca="1">IFERROR(IF(0=LEN(ReferenceData!$W$598),"",ReferenceData!$W$598),"")</f>
        <v>-3.3761860220000002</v>
      </c>
      <c r="X598">
        <f ca="1">IFERROR(IF(0=LEN(ReferenceData!$X$598),"",ReferenceData!$X$598),"")</f>
        <v>-3.6497632609999999</v>
      </c>
      <c r="Y598">
        <f ca="1">IFERROR(IF(0=LEN(ReferenceData!$Y$598),"",ReferenceData!$Y$598),"")</f>
        <v>-1.1708114780000001</v>
      </c>
      <c r="Z598">
        <f ca="1">IFERROR(IF(0=LEN(ReferenceData!$Z$598),"",ReferenceData!$Z$598),"")</f>
        <v>1.6218008159999999</v>
      </c>
      <c r="AA598">
        <f ca="1">IFERROR(IF(0=LEN(ReferenceData!$AA$598),"",ReferenceData!$AA$598),"")</f>
        <v>1.9228405399999999</v>
      </c>
      <c r="AB598">
        <f ca="1">IFERROR(IF(0=LEN(ReferenceData!$AB$598),"",ReferenceData!$AB$598),"")</f>
        <v>2.5952931509999999</v>
      </c>
      <c r="AC598">
        <f ca="1">IFERROR(IF(0=LEN(ReferenceData!$AC$598),"",ReferenceData!$AC$598),"")</f>
        <v>2.8666078220000002</v>
      </c>
      <c r="AD598">
        <f ca="1">IFERROR(IF(0=LEN(ReferenceData!$AD$598),"",ReferenceData!$AD$598),"")</f>
        <v>-0.169606964</v>
      </c>
      <c r="AE598">
        <f ca="1">IFERROR(IF(0=LEN(ReferenceData!$AE$598),"",ReferenceData!$AE$598),"")</f>
        <v>-1.6782293290000001</v>
      </c>
      <c r="AF598" t="str">
        <f ca="1">IFERROR(IF(0=LEN(ReferenceData!$AF$598),"",ReferenceData!$AF$598),"")</f>
        <v/>
      </c>
      <c r="AG598" t="str">
        <f ca="1">IFERROR(IF(0=LEN(ReferenceData!$AG$598),"",ReferenceData!$AG$598),"")</f>
        <v/>
      </c>
      <c r="AH598" t="str">
        <f ca="1">IFERROR(IF(0=LEN(ReferenceData!$AH$598),"",ReferenceData!$AH$598),"")</f>
        <v/>
      </c>
      <c r="AI598" t="str">
        <f ca="1">IFERROR(IF(0=LEN(ReferenceData!$AI$598),"",ReferenceData!$AI$598),"")</f>
        <v/>
      </c>
      <c r="AJ598" t="str">
        <f ca="1">IFERROR(IF(0=LEN(ReferenceData!$AJ$598),"",ReferenceData!$AJ$598),"")</f>
        <v/>
      </c>
      <c r="AK598" t="str">
        <f ca="1">IFERROR(IF(0=LEN(ReferenceData!$AK$598),"",ReferenceData!$AK$598),"")</f>
        <v/>
      </c>
      <c r="AL598" t="str">
        <f ca="1">IFERROR(IF(0=LEN(ReferenceData!$AL$598),"",ReferenceData!$AL$598),"")</f>
        <v/>
      </c>
      <c r="AM598" t="str">
        <f ca="1">IFERROR(IF(0=LEN(ReferenceData!$AM$598),"",ReferenceData!$AM$598),"")</f>
        <v/>
      </c>
      <c r="AN598" t="str">
        <f ca="1">IFERROR(IF(0=LEN(ReferenceData!$AN$598),"",ReferenceData!$AN$598),"")</f>
        <v/>
      </c>
      <c r="AO598" t="str">
        <f ca="1">IFERROR(IF(0=LEN(ReferenceData!$AO$598),"",ReferenceData!$AO$598),"")</f>
        <v/>
      </c>
      <c r="AP598" t="str">
        <f ca="1">IFERROR(IF(0=LEN(ReferenceData!$AP$598),"",ReferenceData!$AP$598),"")</f>
        <v/>
      </c>
      <c r="AQ598" t="str">
        <f ca="1">IFERROR(IF(0=LEN(ReferenceData!$AQ$598),"",ReferenceData!$AQ$598),"")</f>
        <v/>
      </c>
      <c r="AR598" t="str">
        <f ca="1">IFERROR(IF(0=LEN(ReferenceData!$AR$598),"",ReferenceData!$AR$598),"")</f>
        <v/>
      </c>
      <c r="AS598" t="str">
        <f ca="1">IFERROR(IF(0=LEN(ReferenceData!$AS$598),"",ReferenceData!$AS$598),"")</f>
        <v/>
      </c>
      <c r="AT598" t="str">
        <f ca="1">IFERROR(IF(0=LEN(ReferenceData!$AT$598),"",ReferenceData!$AT$598),"")</f>
        <v/>
      </c>
      <c r="AU598" t="str">
        <f ca="1">IFERROR(IF(0=LEN(ReferenceData!$AU$598),"",ReferenceData!$AU$598),"")</f>
        <v/>
      </c>
      <c r="AV598" t="str">
        <f ca="1">IFERROR(IF(0=LEN(ReferenceData!$AV$598),"",ReferenceData!$AV$598),"")</f>
        <v/>
      </c>
      <c r="AW598" t="str">
        <f ca="1">IFERROR(IF(0=LEN(ReferenceData!$AW$598),"",ReferenceData!$AW$598),"")</f>
        <v/>
      </c>
      <c r="AX598" t="str">
        <f ca="1">IFERROR(IF(0=LEN(ReferenceData!$AX$598),"",ReferenceData!$AX$598),"")</f>
        <v/>
      </c>
      <c r="AY598" t="str">
        <f ca="1">IFERROR(IF(0=LEN(ReferenceData!$AY$598),"",ReferenceData!$AY$598),"")</f>
        <v/>
      </c>
      <c r="AZ598" t="str">
        <f ca="1">IFERROR(IF(0=LEN(ReferenceData!$AZ$598),"",ReferenceData!$AZ$598),"")</f>
        <v/>
      </c>
      <c r="BA598" t="str">
        <f ca="1">IFERROR(IF(0=LEN(ReferenceData!$BA$598),"",ReferenceData!$BA$598),"")</f>
        <v/>
      </c>
      <c r="BB598" t="str">
        <f ca="1">IFERROR(IF(0=LEN(ReferenceData!$BB$598),"",ReferenceData!$BB$598),"")</f>
        <v/>
      </c>
      <c r="BC598" t="str">
        <f ca="1">IFERROR(IF(0=LEN(ReferenceData!$BC$598),"",ReferenceData!$BC$598),"")</f>
        <v/>
      </c>
      <c r="BD598" t="str">
        <f ca="1">IFERROR(IF(0=LEN(ReferenceData!$BD$598),"",ReferenceData!$BD$598),"")</f>
        <v/>
      </c>
      <c r="BE598" t="str">
        <f ca="1">IFERROR(IF(0=LEN(ReferenceData!$BE$598),"",ReferenceData!$BE$598),"")</f>
        <v/>
      </c>
      <c r="BF598" t="str">
        <f ca="1">IFERROR(IF(0=LEN(ReferenceData!$BF$598),"",ReferenceData!$BF$598),"")</f>
        <v/>
      </c>
      <c r="BG598" t="str">
        <f ca="1">IFERROR(IF(0=LEN(ReferenceData!$BG$598),"",ReferenceData!$BG$598),"")</f>
        <v/>
      </c>
      <c r="BH598" t="str">
        <f ca="1">IFERROR(IF(0=LEN(ReferenceData!$BH$598),"",ReferenceData!$BH$598),"")</f>
        <v/>
      </c>
      <c r="BI598" t="str">
        <f ca="1">IFERROR(IF(0=LEN(ReferenceData!$BI$598),"",ReferenceData!$BI$598),"")</f>
        <v/>
      </c>
      <c r="BJ598" t="str">
        <f ca="1">IFERROR(IF(0=LEN(ReferenceData!$BJ$598),"",ReferenceData!$BJ$598),"")</f>
        <v/>
      </c>
      <c r="BK598" t="str">
        <f ca="1">IFERROR(IF(0=LEN(ReferenceData!$BK$598),"",ReferenceData!$BK$598),"")</f>
        <v/>
      </c>
      <c r="BL598" t="str">
        <f ca="1">IFERROR(IF(0=LEN(ReferenceData!$BL$598),"",ReferenceData!$BL$598),"")</f>
        <v/>
      </c>
      <c r="BM598" t="str">
        <f ca="1">IFERROR(IF(0=LEN(ReferenceData!$BM$598),"",ReferenceData!$BM$598),"")</f>
        <v/>
      </c>
    </row>
    <row r="599" spans="1:65" x14ac:dyDescent="0.25">
      <c r="A599" t="str">
        <f>IFERROR(IF(0=LEN(ReferenceData!$A$599),"",ReferenceData!$A$599),"")</f>
        <v xml:space="preserve">    Guangzhou Automobile Group Co Ltd</v>
      </c>
      <c r="B599" t="str">
        <f>IFERROR(IF(0=LEN(ReferenceData!$B$599),"",ReferenceData!$B$599),"")</f>
        <v>2238 HK Equity</v>
      </c>
      <c r="C599" t="str">
        <f>IFERROR(IF(0=LEN(ReferenceData!$C$599),"",ReferenceData!$C$599),"")</f>
        <v>RX072</v>
      </c>
      <c r="D599" t="str">
        <f>IFERROR(IF(0=LEN(ReferenceData!$D$599),"",ReferenceData!$D$599),"")</f>
        <v>FREE_CASH_FLOW_YIELD</v>
      </c>
      <c r="E599" t="str">
        <f>IFERROR(IF(0=LEN(ReferenceData!$E$599),"",ReferenceData!$E$599),"")</f>
        <v>Dynamic</v>
      </c>
      <c r="F599">
        <f ca="1">IFERROR(IF(0=LEN(ReferenceData!$F$599),"",ReferenceData!$F$599),"")</f>
        <v>-9.2628716999999999E-2</v>
      </c>
      <c r="G599">
        <f ca="1">IFERROR(IF(0=LEN(ReferenceData!$G$599),"",ReferenceData!$G$599),"")</f>
        <v>-0.114257052</v>
      </c>
      <c r="H599">
        <f ca="1">IFERROR(IF(0=LEN(ReferenceData!$H$599),"",ReferenceData!$H$599),"")</f>
        <v>-0.10297627500000001</v>
      </c>
      <c r="I599">
        <f ca="1">IFERROR(IF(0=LEN(ReferenceData!$I$599),"",ReferenceData!$I$599),"")</f>
        <v>5.0122580210000001</v>
      </c>
      <c r="J599">
        <f ca="1">IFERROR(IF(0=LEN(ReferenceData!$J$599),"",ReferenceData!$J$599),"")</f>
        <v>7.803770933</v>
      </c>
      <c r="K599">
        <f ca="1">IFERROR(IF(0=LEN(ReferenceData!$K$599),"",ReferenceData!$K$599),"")</f>
        <v>11.18568818</v>
      </c>
      <c r="L599">
        <f ca="1">IFERROR(IF(0=LEN(ReferenceData!$L$599),"",ReferenceData!$L$599),"")</f>
        <v>1.895180485</v>
      </c>
      <c r="M599">
        <f ca="1">IFERROR(IF(0=LEN(ReferenceData!$M$599),"",ReferenceData!$M$599),"")</f>
        <v>6.5424057260000001</v>
      </c>
      <c r="N599">
        <f ca="1">IFERROR(IF(0=LEN(ReferenceData!$N$599),"",ReferenceData!$N$599),"")</f>
        <v>9.5568296640000003</v>
      </c>
      <c r="O599">
        <f ca="1">IFERROR(IF(0=LEN(ReferenceData!$O$599),"",ReferenceData!$O$599),"")</f>
        <v>8.8369839219999999</v>
      </c>
      <c r="P599">
        <f ca="1">IFERROR(IF(0=LEN(ReferenceData!$P$599),"",ReferenceData!$P$599),"")</f>
        <v>14.2958237</v>
      </c>
      <c r="Q599">
        <f ca="1">IFERROR(IF(0=LEN(ReferenceData!$Q$599),"",ReferenceData!$Q$599),"")</f>
        <v>14.15847935</v>
      </c>
      <c r="R599">
        <f ca="1">IFERROR(IF(0=LEN(ReferenceData!$R$599),"",ReferenceData!$R$599),"")</f>
        <v>13.20102389</v>
      </c>
      <c r="S599">
        <f ca="1">IFERROR(IF(0=LEN(ReferenceData!$S$599),"",ReferenceData!$S$599),"")</f>
        <v>11.91826579</v>
      </c>
      <c r="T599">
        <f ca="1">IFERROR(IF(0=LEN(ReferenceData!$T$599),"",ReferenceData!$T$599),"")</f>
        <v>11.918109640000001</v>
      </c>
      <c r="U599">
        <f ca="1">IFERROR(IF(0=LEN(ReferenceData!$U$599),"",ReferenceData!$U$599),"")</f>
        <v>4.9178102690000003</v>
      </c>
      <c r="V599">
        <f ca="1">IFERROR(IF(0=LEN(ReferenceData!$V$599),"",ReferenceData!$V$599),"")</f>
        <v>2.3267201819999999</v>
      </c>
      <c r="W599">
        <f ca="1">IFERROR(IF(0=LEN(ReferenceData!$W$599),"",ReferenceData!$W$599),"")</f>
        <v>3.3827717320000001</v>
      </c>
      <c r="X599">
        <f ca="1">IFERROR(IF(0=LEN(ReferenceData!$X$599),"",ReferenceData!$X$599),"")</f>
        <v>-1.3940241879999999</v>
      </c>
      <c r="Y599">
        <f ca="1">IFERROR(IF(0=LEN(ReferenceData!$Y$599),"",ReferenceData!$Y$599),"")</f>
        <v>0.328017218</v>
      </c>
      <c r="Z599">
        <f ca="1">IFERROR(IF(0=LEN(ReferenceData!$Z$599),"",ReferenceData!$Z$599),"")</f>
        <v>2.459851402</v>
      </c>
      <c r="AA599">
        <f ca="1">IFERROR(IF(0=LEN(ReferenceData!$AA$599),"",ReferenceData!$AA$599),"")</f>
        <v>4.0911030549999996</v>
      </c>
      <c r="AB599">
        <f ca="1">IFERROR(IF(0=LEN(ReferenceData!$AB$599),"",ReferenceData!$AB$599),"")</f>
        <v>5.8039511939999997</v>
      </c>
      <c r="AC599">
        <f ca="1">IFERROR(IF(0=LEN(ReferenceData!$AC$599),"",ReferenceData!$AC$599),"")</f>
        <v>5.6373016820000004</v>
      </c>
      <c r="AD599">
        <f ca="1">IFERROR(IF(0=LEN(ReferenceData!$AD$599),"",ReferenceData!$AD$599),"")</f>
        <v>4.4548698829999998</v>
      </c>
      <c r="AE599">
        <f ca="1">IFERROR(IF(0=LEN(ReferenceData!$AE$599),"",ReferenceData!$AE$599),"")</f>
        <v>3.2870271579999999</v>
      </c>
      <c r="AF599">
        <f ca="1">IFERROR(IF(0=LEN(ReferenceData!$AF$599),"",ReferenceData!$AF$599),"")</f>
        <v>10.36947393</v>
      </c>
      <c r="AG599">
        <f ca="1">IFERROR(IF(0=LEN(ReferenceData!$AG$599),"",ReferenceData!$AG$599),"")</f>
        <v>6.4847225640000001</v>
      </c>
      <c r="AH599">
        <f ca="1">IFERROR(IF(0=LEN(ReferenceData!$AH$599),"",ReferenceData!$AH$599),"")</f>
        <v>6.2636681669999996</v>
      </c>
      <c r="AI599">
        <f ca="1">IFERROR(IF(0=LEN(ReferenceData!$AI$599),"",ReferenceData!$AI$599),"")</f>
        <v>9.6792703539999998</v>
      </c>
      <c r="AJ599">
        <f ca="1">IFERROR(IF(0=LEN(ReferenceData!$AJ$599),"",ReferenceData!$AJ$599),"")</f>
        <v>2.4684600919999999</v>
      </c>
      <c r="AK599">
        <f ca="1">IFERROR(IF(0=LEN(ReferenceData!$AK$599),"",ReferenceData!$AK$599),"")</f>
        <v>9.3681909349999994</v>
      </c>
      <c r="AL599">
        <f ca="1">IFERROR(IF(0=LEN(ReferenceData!$AL$599),"",ReferenceData!$AL$599),"")</f>
        <v>7.3030580430000001</v>
      </c>
      <c r="AM599">
        <f ca="1">IFERROR(IF(0=LEN(ReferenceData!$AM$599),"",ReferenceData!$AM$599),"")</f>
        <v>4.7561067299999999</v>
      </c>
      <c r="AN599">
        <f ca="1">IFERROR(IF(0=LEN(ReferenceData!$AN$599),"",ReferenceData!$AN$599),"")</f>
        <v>10.460763569999999</v>
      </c>
      <c r="AO599" t="str">
        <f ca="1">IFERROR(IF(0=LEN(ReferenceData!$AO$599),"",ReferenceData!$AO$599),"")</f>
        <v/>
      </c>
      <c r="AP599" t="str">
        <f ca="1">IFERROR(IF(0=LEN(ReferenceData!$AP$599),"",ReferenceData!$AP$599),"")</f>
        <v/>
      </c>
      <c r="AQ599" t="str">
        <f ca="1">IFERROR(IF(0=LEN(ReferenceData!$AQ$599),"",ReferenceData!$AQ$599),"")</f>
        <v/>
      </c>
      <c r="AR599" t="str">
        <f ca="1">IFERROR(IF(0=LEN(ReferenceData!$AR$599),"",ReferenceData!$AR$599),"")</f>
        <v/>
      </c>
      <c r="AS599" t="str">
        <f ca="1">IFERROR(IF(0=LEN(ReferenceData!$AS$599),"",ReferenceData!$AS$599),"")</f>
        <v/>
      </c>
      <c r="AT599" t="str">
        <f ca="1">IFERROR(IF(0=LEN(ReferenceData!$AT$599),"",ReferenceData!$AT$599),"")</f>
        <v/>
      </c>
      <c r="AU599" t="str">
        <f ca="1">IFERROR(IF(0=LEN(ReferenceData!$AU$599),"",ReferenceData!$AU$599),"")</f>
        <v/>
      </c>
      <c r="AV599" t="str">
        <f ca="1">IFERROR(IF(0=LEN(ReferenceData!$AV$599),"",ReferenceData!$AV$599),"")</f>
        <v/>
      </c>
      <c r="AW599" t="str">
        <f ca="1">IFERROR(IF(0=LEN(ReferenceData!$AW$599),"",ReferenceData!$AW$599),"")</f>
        <v/>
      </c>
      <c r="AX599" t="str">
        <f ca="1">IFERROR(IF(0=LEN(ReferenceData!$AX$599),"",ReferenceData!$AX$599),"")</f>
        <v/>
      </c>
      <c r="AY599" t="str">
        <f ca="1">IFERROR(IF(0=LEN(ReferenceData!$AY$599),"",ReferenceData!$AY$599),"")</f>
        <v/>
      </c>
      <c r="AZ599" t="str">
        <f ca="1">IFERROR(IF(0=LEN(ReferenceData!$AZ$599),"",ReferenceData!$AZ$599),"")</f>
        <v/>
      </c>
      <c r="BA599" t="str">
        <f ca="1">IFERROR(IF(0=LEN(ReferenceData!$BA$599),"",ReferenceData!$BA$599),"")</f>
        <v/>
      </c>
      <c r="BB599" t="str">
        <f ca="1">IFERROR(IF(0=LEN(ReferenceData!$BB$599),"",ReferenceData!$BB$599),"")</f>
        <v/>
      </c>
      <c r="BC599" t="str">
        <f ca="1">IFERROR(IF(0=LEN(ReferenceData!$BC$599),"",ReferenceData!$BC$599),"")</f>
        <v/>
      </c>
      <c r="BD599" t="str">
        <f ca="1">IFERROR(IF(0=LEN(ReferenceData!$BD$599),"",ReferenceData!$BD$599),"")</f>
        <v/>
      </c>
      <c r="BE599" t="str">
        <f ca="1">IFERROR(IF(0=LEN(ReferenceData!$BE$599),"",ReferenceData!$BE$599),"")</f>
        <v/>
      </c>
      <c r="BF599" t="str">
        <f ca="1">IFERROR(IF(0=LEN(ReferenceData!$BF$599),"",ReferenceData!$BF$599),"")</f>
        <v/>
      </c>
      <c r="BG599" t="str">
        <f ca="1">IFERROR(IF(0=LEN(ReferenceData!$BG$599),"",ReferenceData!$BG$599),"")</f>
        <v/>
      </c>
      <c r="BH599" t="str">
        <f ca="1">IFERROR(IF(0=LEN(ReferenceData!$BH$599),"",ReferenceData!$BH$599),"")</f>
        <v/>
      </c>
      <c r="BI599" t="str">
        <f ca="1">IFERROR(IF(0=LEN(ReferenceData!$BI$599),"",ReferenceData!$BI$599),"")</f>
        <v/>
      </c>
      <c r="BJ599" t="str">
        <f ca="1">IFERROR(IF(0=LEN(ReferenceData!$BJ$599),"",ReferenceData!$BJ$599),"")</f>
        <v/>
      </c>
      <c r="BK599" t="str">
        <f ca="1">IFERROR(IF(0=LEN(ReferenceData!$BK$599),"",ReferenceData!$BK$599),"")</f>
        <v/>
      </c>
      <c r="BL599" t="str">
        <f ca="1">IFERROR(IF(0=LEN(ReferenceData!$BL$599),"",ReferenceData!$BL$599),"")</f>
        <v/>
      </c>
      <c r="BM599" t="str">
        <f ca="1">IFERROR(IF(0=LEN(ReferenceData!$BM$599),"",ReferenceData!$BM$599),"")</f>
        <v/>
      </c>
    </row>
    <row r="600" spans="1:65" x14ac:dyDescent="0.25">
      <c r="A600" t="str">
        <f>IFERROR(IF(0=LEN(ReferenceData!$A$600),"",ReferenceData!$A$600),"")</f>
        <v xml:space="preserve">    Honda Motor Co Ltd</v>
      </c>
      <c r="B600" t="str">
        <f>IFERROR(IF(0=LEN(ReferenceData!$B$600),"",ReferenceData!$B$600),"")</f>
        <v>7267 JP Equity</v>
      </c>
      <c r="C600" t="str">
        <f>IFERROR(IF(0=LEN(ReferenceData!$C$600),"",ReferenceData!$C$600),"")</f>
        <v>RX072</v>
      </c>
      <c r="D600" t="str">
        <f>IFERROR(IF(0=LEN(ReferenceData!$D$600),"",ReferenceData!$D$600),"")</f>
        <v>FREE_CASH_FLOW_YIELD</v>
      </c>
      <c r="E600" t="str">
        <f>IFERROR(IF(0=LEN(ReferenceData!$E$600),"",ReferenceData!$E$600),"")</f>
        <v>Dynamic</v>
      </c>
      <c r="F600">
        <f ca="1">IFERROR(IF(0=LEN(ReferenceData!$F$600),"",ReferenceData!$F$600),"")</f>
        <v>8.115530047</v>
      </c>
      <c r="G600">
        <f ca="1">IFERROR(IF(0=LEN(ReferenceData!$G$600),"",ReferenceData!$G$600),"")</f>
        <v>8.7618004480000007</v>
      </c>
      <c r="H600">
        <f ca="1">IFERROR(IF(0=LEN(ReferenceData!$H$600),"",ReferenceData!$H$600),"")</f>
        <v>8.0132444829999994</v>
      </c>
      <c r="I600">
        <f ca="1">IFERROR(IF(0=LEN(ReferenceData!$I$600),"",ReferenceData!$I$600),"")</f>
        <v>10.14007426</v>
      </c>
      <c r="J600">
        <f ca="1">IFERROR(IF(0=LEN(ReferenceData!$J$600),"",ReferenceData!$J$600),"")</f>
        <v>8.7287203830000006</v>
      </c>
      <c r="K600">
        <f ca="1">IFERROR(IF(0=LEN(ReferenceData!$K$600),"",ReferenceData!$K$600),"")</f>
        <v>8.9255834279999995</v>
      </c>
      <c r="L600">
        <f ca="1">IFERROR(IF(0=LEN(ReferenceData!$L$600),"",ReferenceData!$L$600),"")</f>
        <v>7.8950789930000003</v>
      </c>
      <c r="M600">
        <f ca="1">IFERROR(IF(0=LEN(ReferenceData!$M$600),"",ReferenceData!$M$600),"")</f>
        <v>7.3136576040000003</v>
      </c>
      <c r="N600">
        <f ca="1">IFERROR(IF(0=LEN(ReferenceData!$N$600),"",ReferenceData!$N$600),"")</f>
        <v>6.4731280260000004</v>
      </c>
      <c r="O600">
        <f ca="1">IFERROR(IF(0=LEN(ReferenceData!$O$600),"",ReferenceData!$O$600),"")</f>
        <v>5.7951523680000001</v>
      </c>
      <c r="P600">
        <f ca="1">IFERROR(IF(0=LEN(ReferenceData!$P$600),"",ReferenceData!$P$600),"")</f>
        <v>10.319932700000001</v>
      </c>
      <c r="Q600">
        <f ca="1">IFERROR(IF(0=LEN(ReferenceData!$Q$600),"",ReferenceData!$Q$600),"")</f>
        <v>12.210504780000001</v>
      </c>
      <c r="R600">
        <f ca="1">IFERROR(IF(0=LEN(ReferenceData!$R$600),"",ReferenceData!$R$600),"")</f>
        <v>13.589341020000001</v>
      </c>
      <c r="S600">
        <f ca="1">IFERROR(IF(0=LEN(ReferenceData!$S$600),"",ReferenceData!$S$600),"")</f>
        <v>10.52143176</v>
      </c>
      <c r="T600">
        <f ca="1">IFERROR(IF(0=LEN(ReferenceData!$T$600),"",ReferenceData!$T$600),"")</f>
        <v>11.38304503</v>
      </c>
      <c r="U600">
        <f ca="1">IFERROR(IF(0=LEN(ReferenceData!$U$600),"",ReferenceData!$U$600),"")</f>
        <v>9.0018402900000005</v>
      </c>
      <c r="V600">
        <f ca="1">IFERROR(IF(0=LEN(ReferenceData!$V$600),"",ReferenceData!$V$600),"")</f>
        <v>5.3094465780000002</v>
      </c>
      <c r="W600">
        <f ca="1">IFERROR(IF(0=LEN(ReferenceData!$W$600),"",ReferenceData!$W$600),"")</f>
        <v>3.2905602940000001</v>
      </c>
      <c r="X600">
        <f ca="1">IFERROR(IF(0=LEN(ReferenceData!$X$600),"",ReferenceData!$X$600),"")</f>
        <v>2.595234161</v>
      </c>
      <c r="Y600">
        <f ca="1">IFERROR(IF(0=LEN(ReferenceData!$Y$600),"",ReferenceData!$Y$600),"")</f>
        <v>5.4613097599999998</v>
      </c>
      <c r="Z600">
        <f ca="1">IFERROR(IF(0=LEN(ReferenceData!$Z$600),"",ReferenceData!$Z$600),"")</f>
        <v>7.3617089590000004</v>
      </c>
      <c r="AA600">
        <f ca="1">IFERROR(IF(0=LEN(ReferenceData!$AA$600),"",ReferenceData!$AA$600),"")</f>
        <v>6.1584261150000001</v>
      </c>
      <c r="AB600">
        <f ca="1">IFERROR(IF(0=LEN(ReferenceData!$AB$600),"",ReferenceData!$AB$600),"")</f>
        <v>7.2624138450000002</v>
      </c>
      <c r="AC600">
        <f ca="1">IFERROR(IF(0=LEN(ReferenceData!$AC$600),"",ReferenceData!$AC$600),"")</f>
        <v>3.4135233829999998</v>
      </c>
      <c r="AD600">
        <f ca="1">IFERROR(IF(0=LEN(ReferenceData!$AD$600),"",ReferenceData!$AD$600),"")</f>
        <v>2.7136001649999999</v>
      </c>
      <c r="AE600">
        <f ca="1">IFERROR(IF(0=LEN(ReferenceData!$AE$600),"",ReferenceData!$AE$600),"")</f>
        <v>2.5488193849999998</v>
      </c>
      <c r="AF600">
        <f ca="1">IFERROR(IF(0=LEN(ReferenceData!$AF$600),"",ReferenceData!$AF$600),"")</f>
        <v>0.51260290399999997</v>
      </c>
      <c r="AG600">
        <f ca="1">IFERROR(IF(0=LEN(ReferenceData!$AG$600),"",ReferenceData!$AG$600),"")</f>
        <v>5.1007118599999997</v>
      </c>
      <c r="AH600">
        <f ca="1">IFERROR(IF(0=LEN(ReferenceData!$AH$600),"",ReferenceData!$AH$600),"")</f>
        <v>6.0020606709999997</v>
      </c>
      <c r="AI600">
        <f ca="1">IFERROR(IF(0=LEN(ReferenceData!$AI$600),"",ReferenceData!$AI$600),"")</f>
        <v>10.828739649999999</v>
      </c>
      <c r="AJ600">
        <f ca="1">IFERROR(IF(0=LEN(ReferenceData!$AJ$600),"",ReferenceData!$AJ$600),"")</f>
        <v>13.295842220000001</v>
      </c>
      <c r="AK600">
        <f ca="1">IFERROR(IF(0=LEN(ReferenceData!$AK$600),"",ReferenceData!$AK$600),"")</f>
        <v>10.70184291</v>
      </c>
      <c r="AL600">
        <f ca="1">IFERROR(IF(0=LEN(ReferenceData!$AL$600),"",ReferenceData!$AL$600),"")</f>
        <v>13.31426501</v>
      </c>
      <c r="AM600">
        <f ca="1">IFERROR(IF(0=LEN(ReferenceData!$AM$600),"",ReferenceData!$AM$600),"")</f>
        <v>13.817071260000001</v>
      </c>
      <c r="AN600">
        <f ca="1">IFERROR(IF(0=LEN(ReferenceData!$AN$600),"",ReferenceData!$AN$600),"")</f>
        <v>17.30133249</v>
      </c>
      <c r="AO600">
        <f ca="1">IFERROR(IF(0=LEN(ReferenceData!$AO$600),"",ReferenceData!$AO$600),"")</f>
        <v>24.607051899999998</v>
      </c>
      <c r="AP600">
        <f ca="1">IFERROR(IF(0=LEN(ReferenceData!$AP$600),"",ReferenceData!$AP$600),"")</f>
        <v>19.23569715</v>
      </c>
      <c r="AQ600">
        <f ca="1">IFERROR(IF(0=LEN(ReferenceData!$AQ$600),"",ReferenceData!$AQ$600),"")</f>
        <v>13.087134130000001</v>
      </c>
      <c r="AR600">
        <f ca="1">IFERROR(IF(0=LEN(ReferenceData!$AR$600),"",ReferenceData!$AR$600),"")</f>
        <v>6.8985270720000003</v>
      </c>
      <c r="AS600">
        <f ca="1">IFERROR(IF(0=LEN(ReferenceData!$AS$600),"",ReferenceData!$AS$600),"")</f>
        <v>-2.626689968</v>
      </c>
      <c r="AT600">
        <f ca="1">IFERROR(IF(0=LEN(ReferenceData!$AT$600),"",ReferenceData!$AT$600),"")</f>
        <v>-5.9881150769999998</v>
      </c>
      <c r="AU600">
        <f ca="1">IFERROR(IF(0=LEN(ReferenceData!$AU$600),"",ReferenceData!$AU$600),"")</f>
        <v>-1.9627909240000001</v>
      </c>
      <c r="AV600">
        <f ca="1">IFERROR(IF(0=LEN(ReferenceData!$AV$600),"",ReferenceData!$AV$600),"")</f>
        <v>0.62107938799999995</v>
      </c>
      <c r="AW600">
        <f ca="1">IFERROR(IF(0=LEN(ReferenceData!$AW$600),"",ReferenceData!$AW$600),"")</f>
        <v>-0.54043190399999996</v>
      </c>
      <c r="AX600">
        <f ca="1">IFERROR(IF(0=LEN(ReferenceData!$AX$600),"",ReferenceData!$AX$600),"")</f>
        <v>-2.318912391</v>
      </c>
      <c r="AY600">
        <f ca="1">IFERROR(IF(0=LEN(ReferenceData!$AY$600),"",ReferenceData!$AY$600),"")</f>
        <v>-2.183368303</v>
      </c>
      <c r="AZ600">
        <f ca="1">IFERROR(IF(0=LEN(ReferenceData!$AZ$600),"",ReferenceData!$AZ$600),"")</f>
        <v>-3.0568027240000002</v>
      </c>
      <c r="BA600">
        <f ca="1">IFERROR(IF(0=LEN(ReferenceData!$BA$600),"",ReferenceData!$BA$600),"")</f>
        <v>-0.61243859599999995</v>
      </c>
      <c r="BB600">
        <f ca="1">IFERROR(IF(0=LEN(ReferenceData!$BB$600),"",ReferenceData!$BB$600),"")</f>
        <v>-0.80719735599999998</v>
      </c>
      <c r="BC600">
        <f ca="1">IFERROR(IF(0=LEN(ReferenceData!$BC$600),"",ReferenceData!$BC$600),"")</f>
        <v>1.021155939</v>
      </c>
      <c r="BD600">
        <f ca="1">IFERROR(IF(0=LEN(ReferenceData!$BD$600),"",ReferenceData!$BD$600),"")</f>
        <v>2.3031052110000001</v>
      </c>
      <c r="BE600">
        <f ca="1">IFERROR(IF(0=LEN(ReferenceData!$BE$600),"",ReferenceData!$BE$600),"")</f>
        <v>2.1514905149999999</v>
      </c>
      <c r="BF600">
        <f ca="1">IFERROR(IF(0=LEN(ReferenceData!$BF$600),"",ReferenceData!$BF$600),"")</f>
        <v>1.8006036320000001</v>
      </c>
      <c r="BG600">
        <f ca="1">IFERROR(IF(0=LEN(ReferenceData!$BG$600),"",ReferenceData!$BG$600),"")</f>
        <v>2.5302260780000001</v>
      </c>
      <c r="BH600">
        <f ca="1">IFERROR(IF(0=LEN(ReferenceData!$BH$600),"",ReferenceData!$BH$600),"")</f>
        <v>5.6675994430000003</v>
      </c>
      <c r="BI600">
        <f ca="1">IFERROR(IF(0=LEN(ReferenceData!$BI$600),"",ReferenceData!$BI$600),"")</f>
        <v>6.8564397899999996</v>
      </c>
      <c r="BJ600">
        <f ca="1">IFERROR(IF(0=LEN(ReferenceData!$BJ$600),"",ReferenceData!$BJ$600),"")</f>
        <v>7.4436990129999998</v>
      </c>
      <c r="BK600" t="str">
        <f ca="1">IFERROR(IF(0=LEN(ReferenceData!$BK$600),"",ReferenceData!$BK$600),"")</f>
        <v/>
      </c>
      <c r="BL600" t="str">
        <f ca="1">IFERROR(IF(0=LEN(ReferenceData!$BL$600),"",ReferenceData!$BL$600),"")</f>
        <v/>
      </c>
      <c r="BM600" t="str">
        <f ca="1">IFERROR(IF(0=LEN(ReferenceData!$BM$600),"",ReferenceData!$BM$600),"")</f>
        <v/>
      </c>
    </row>
    <row r="601" spans="1:65" x14ac:dyDescent="0.25">
      <c r="A601" t="str">
        <f>IFERROR(IF(0=LEN(ReferenceData!$A$601),"",ReferenceData!$A$601),"")</f>
        <v xml:space="preserve">    Hyundai Motor Co</v>
      </c>
      <c r="B601" t="str">
        <f>IFERROR(IF(0=LEN(ReferenceData!$B$601),"",ReferenceData!$B$601),"")</f>
        <v>005380 KS Equity</v>
      </c>
      <c r="C601" t="str">
        <f>IFERROR(IF(0=LEN(ReferenceData!$C$601),"",ReferenceData!$C$601),"")</f>
        <v>RX072</v>
      </c>
      <c r="D601" t="str">
        <f>IFERROR(IF(0=LEN(ReferenceData!$D$601),"",ReferenceData!$D$601),"")</f>
        <v>FREE_CASH_FLOW_YIELD</v>
      </c>
      <c r="E601" t="str">
        <f>IFERROR(IF(0=LEN(ReferenceData!$E$601),"",ReferenceData!$E$601),"")</f>
        <v>Dynamic</v>
      </c>
      <c r="F601" t="str">
        <f ca="1">IFERROR(IF(0=LEN(ReferenceData!$F$601),"",ReferenceData!$F$601),"")</f>
        <v/>
      </c>
      <c r="G601">
        <f ca="1">IFERROR(IF(0=LEN(ReferenceData!$G$601),"",ReferenceData!$G$601),"")</f>
        <v>8.2000465449999993</v>
      </c>
      <c r="H601">
        <f ca="1">IFERROR(IF(0=LEN(ReferenceData!$H$601),"",ReferenceData!$H$601),"")</f>
        <v>7.5035174939999996</v>
      </c>
      <c r="I601">
        <f ca="1">IFERROR(IF(0=LEN(ReferenceData!$I$601),"",ReferenceData!$I$601),"")</f>
        <v>5.8761903459999996</v>
      </c>
      <c r="J601">
        <f ca="1">IFERROR(IF(0=LEN(ReferenceData!$J$601),"",ReferenceData!$J$601),"")</f>
        <v>3.1600406909999998</v>
      </c>
      <c r="K601">
        <f ca="1">IFERROR(IF(0=LEN(ReferenceData!$K$601),"",ReferenceData!$K$601),"")</f>
        <v>2.685407927</v>
      </c>
      <c r="L601">
        <f ca="1">IFERROR(IF(0=LEN(ReferenceData!$L$601),"",ReferenceData!$L$601),"")</f>
        <v>-0.78660225100000003</v>
      </c>
      <c r="M601">
        <f ca="1">IFERROR(IF(0=LEN(ReferenceData!$M$601),"",ReferenceData!$M$601),"")</f>
        <v>-0.53911626499999998</v>
      </c>
      <c r="N601">
        <f ca="1">IFERROR(IF(0=LEN(ReferenceData!$N$601),"",ReferenceData!$N$601),"")</f>
        <v>0.183057424</v>
      </c>
      <c r="O601">
        <f ca="1">IFERROR(IF(0=LEN(ReferenceData!$O$601),"",ReferenceData!$O$601),"")</f>
        <v>-6.5403816900000002</v>
      </c>
      <c r="P601">
        <f ca="1">IFERROR(IF(0=LEN(ReferenceData!$P$601),"",ReferenceData!$P$601),"")</f>
        <v>-12.36963347</v>
      </c>
      <c r="Q601">
        <f ca="1">IFERROR(IF(0=LEN(ReferenceData!$Q$601),"",ReferenceData!$Q$601),"")</f>
        <v>-21.059001179999999</v>
      </c>
      <c r="R601">
        <f ca="1">IFERROR(IF(0=LEN(ReferenceData!$R$601),"",ReferenceData!$R$601),"")</f>
        <v>-24.11056031</v>
      </c>
      <c r="S601">
        <f ca="1">IFERROR(IF(0=LEN(ReferenceData!$S$601),"",ReferenceData!$S$601),"")</f>
        <v>-22.33874153</v>
      </c>
      <c r="T601">
        <f ca="1">IFERROR(IF(0=LEN(ReferenceData!$T$601),"",ReferenceData!$T$601),"")</f>
        <v>-24.442946079999999</v>
      </c>
      <c r="U601">
        <f ca="1">IFERROR(IF(0=LEN(ReferenceData!$U$601),"",ReferenceData!$U$601),"")</f>
        <v>-21.58674345</v>
      </c>
      <c r="V601">
        <f ca="1">IFERROR(IF(0=LEN(ReferenceData!$V$601),"",ReferenceData!$V$601),"")</f>
        <v>-11.111082440000001</v>
      </c>
      <c r="W601">
        <f ca="1">IFERROR(IF(0=LEN(ReferenceData!$W$601),"",ReferenceData!$W$601),"")</f>
        <v>-3.4949585110000001</v>
      </c>
      <c r="X601">
        <f ca="1">IFERROR(IF(0=LEN(ReferenceData!$X$601),"",ReferenceData!$X$601),"")</f>
        <v>-5.2559216610000004</v>
      </c>
      <c r="Y601">
        <f ca="1">IFERROR(IF(0=LEN(ReferenceData!$Y$601),"",ReferenceData!$Y$601),"")</f>
        <v>-6.3370664259999998</v>
      </c>
      <c r="Z601">
        <f ca="1">IFERROR(IF(0=LEN(ReferenceData!$Z$601),"",ReferenceData!$Z$601),"")</f>
        <v>-2.1935258379999998</v>
      </c>
      <c r="AA601">
        <f ca="1">IFERROR(IF(0=LEN(ReferenceData!$AA$601),"",ReferenceData!$AA$601),"")</f>
        <v>-3.965519859</v>
      </c>
      <c r="AB601">
        <f ca="1">IFERROR(IF(0=LEN(ReferenceData!$AB$601),"",ReferenceData!$AB$601),"")</f>
        <v>2.8879820220000001</v>
      </c>
      <c r="AC601">
        <f ca="1">IFERROR(IF(0=LEN(ReferenceData!$AC$601),"",ReferenceData!$AC$601),"")</f>
        <v>8.1288216539999993</v>
      </c>
      <c r="AD601">
        <f ca="1">IFERROR(IF(0=LEN(ReferenceData!$AD$601),"",ReferenceData!$AD$601),"")</f>
        <v>4.7636969860000002</v>
      </c>
      <c r="AE601">
        <f ca="1">IFERROR(IF(0=LEN(ReferenceData!$AE$601),"",ReferenceData!$AE$601),"")</f>
        <v>5.1167310109999997</v>
      </c>
      <c r="AF601">
        <f ca="1">IFERROR(IF(0=LEN(ReferenceData!$AF$601),"",ReferenceData!$AF$601),"")</f>
        <v>5.5141587850000002</v>
      </c>
      <c r="AG601">
        <f ca="1">IFERROR(IF(0=LEN(ReferenceData!$AG$601),"",ReferenceData!$AG$601),"")</f>
        <v>2.8220261870000001</v>
      </c>
      <c r="AH601">
        <f ca="1">IFERROR(IF(0=LEN(ReferenceData!$AH$601),"",ReferenceData!$AH$601),"")</f>
        <v>3.4783564980000001</v>
      </c>
      <c r="AI601">
        <f ca="1">IFERROR(IF(0=LEN(ReferenceData!$AI$601),"",ReferenceData!$AI$601),"")</f>
        <v>2.7642482720000001</v>
      </c>
      <c r="AJ601">
        <f ca="1">IFERROR(IF(0=LEN(ReferenceData!$AJ$601),"",ReferenceData!$AJ$601),"")</f>
        <v>2.832269733</v>
      </c>
      <c r="AK601">
        <f ca="1">IFERROR(IF(0=LEN(ReferenceData!$AK$601),"",ReferenceData!$AK$601),"")</f>
        <v>2.8747104380000001</v>
      </c>
      <c r="AL601">
        <f ca="1">IFERROR(IF(0=LEN(ReferenceData!$AL$601),"",ReferenceData!$AL$601),"")</f>
        <v>4.77056871</v>
      </c>
      <c r="AM601">
        <f ca="1">IFERROR(IF(0=LEN(ReferenceData!$AM$601),"",ReferenceData!$AM$601),"")</f>
        <v>6.4207634139999996</v>
      </c>
      <c r="AN601" t="str">
        <f ca="1">IFERROR(IF(0=LEN(ReferenceData!$AN$601),"",ReferenceData!$AN$601),"")</f>
        <v/>
      </c>
      <c r="AO601" t="str">
        <f ca="1">IFERROR(IF(0=LEN(ReferenceData!$AO$601),"",ReferenceData!$AO$601),"")</f>
        <v/>
      </c>
      <c r="AP601" t="str">
        <f ca="1">IFERROR(IF(0=LEN(ReferenceData!$AP$601),"",ReferenceData!$AP$601),"")</f>
        <v/>
      </c>
      <c r="AQ601" t="str">
        <f ca="1">IFERROR(IF(0=LEN(ReferenceData!$AQ$601),"",ReferenceData!$AQ$601),"")</f>
        <v/>
      </c>
      <c r="AR601" t="str">
        <f ca="1">IFERROR(IF(0=LEN(ReferenceData!$AR$601),"",ReferenceData!$AR$601),"")</f>
        <v/>
      </c>
      <c r="AS601" t="str">
        <f ca="1">IFERROR(IF(0=LEN(ReferenceData!$AS$601),"",ReferenceData!$AS$601),"")</f>
        <v/>
      </c>
      <c r="AT601" t="str">
        <f ca="1">IFERROR(IF(0=LEN(ReferenceData!$AT$601),"",ReferenceData!$AT$601),"")</f>
        <v/>
      </c>
      <c r="AU601" t="str">
        <f ca="1">IFERROR(IF(0=LEN(ReferenceData!$AU$601),"",ReferenceData!$AU$601),"")</f>
        <v/>
      </c>
      <c r="AV601" t="str">
        <f ca="1">IFERROR(IF(0=LEN(ReferenceData!$AV$601),"",ReferenceData!$AV$601),"")</f>
        <v/>
      </c>
      <c r="AW601" t="str">
        <f ca="1">IFERROR(IF(0=LEN(ReferenceData!$AW$601),"",ReferenceData!$AW$601),"")</f>
        <v/>
      </c>
      <c r="AX601" t="str">
        <f ca="1">IFERROR(IF(0=LEN(ReferenceData!$AX$601),"",ReferenceData!$AX$601),"")</f>
        <v/>
      </c>
      <c r="AY601" t="str">
        <f ca="1">IFERROR(IF(0=LEN(ReferenceData!$AY$601),"",ReferenceData!$AY$601),"")</f>
        <v/>
      </c>
      <c r="AZ601" t="str">
        <f ca="1">IFERROR(IF(0=LEN(ReferenceData!$AZ$601),"",ReferenceData!$AZ$601),"")</f>
        <v/>
      </c>
      <c r="BA601" t="str">
        <f ca="1">IFERROR(IF(0=LEN(ReferenceData!$BA$601),"",ReferenceData!$BA$601),"")</f>
        <v/>
      </c>
      <c r="BB601" t="str">
        <f ca="1">IFERROR(IF(0=LEN(ReferenceData!$BB$601),"",ReferenceData!$BB$601),"")</f>
        <v/>
      </c>
      <c r="BC601" t="str">
        <f ca="1">IFERROR(IF(0=LEN(ReferenceData!$BC$601),"",ReferenceData!$BC$601),"")</f>
        <v/>
      </c>
      <c r="BD601" t="str">
        <f ca="1">IFERROR(IF(0=LEN(ReferenceData!$BD$601),"",ReferenceData!$BD$601),"")</f>
        <v/>
      </c>
      <c r="BE601" t="str">
        <f ca="1">IFERROR(IF(0=LEN(ReferenceData!$BE$601),"",ReferenceData!$BE$601),"")</f>
        <v/>
      </c>
      <c r="BF601" t="str">
        <f ca="1">IFERROR(IF(0=LEN(ReferenceData!$BF$601),"",ReferenceData!$BF$601),"")</f>
        <v/>
      </c>
      <c r="BG601" t="str">
        <f ca="1">IFERROR(IF(0=LEN(ReferenceData!$BG$601),"",ReferenceData!$BG$601),"")</f>
        <v/>
      </c>
      <c r="BH601" t="str">
        <f ca="1">IFERROR(IF(0=LEN(ReferenceData!$BH$601),"",ReferenceData!$BH$601),"")</f>
        <v/>
      </c>
      <c r="BI601" t="str">
        <f ca="1">IFERROR(IF(0=LEN(ReferenceData!$BI$601),"",ReferenceData!$BI$601),"")</f>
        <v/>
      </c>
      <c r="BJ601" t="str">
        <f ca="1">IFERROR(IF(0=LEN(ReferenceData!$BJ$601),"",ReferenceData!$BJ$601),"")</f>
        <v/>
      </c>
      <c r="BK601" t="str">
        <f ca="1">IFERROR(IF(0=LEN(ReferenceData!$BK$601),"",ReferenceData!$BK$601),"")</f>
        <v/>
      </c>
      <c r="BL601" t="str">
        <f ca="1">IFERROR(IF(0=LEN(ReferenceData!$BL$601),"",ReferenceData!$BL$601),"")</f>
        <v/>
      </c>
      <c r="BM601" t="str">
        <f ca="1">IFERROR(IF(0=LEN(ReferenceData!$BM$601),"",ReferenceData!$BM$601),"")</f>
        <v/>
      </c>
    </row>
    <row r="602" spans="1:65" x14ac:dyDescent="0.25">
      <c r="A602" t="str">
        <f>IFERROR(IF(0=LEN(ReferenceData!$A$602),"",ReferenceData!$A$602),"")</f>
        <v xml:space="preserve">    Kia Motors Corp</v>
      </c>
      <c r="B602" t="str">
        <f>IFERROR(IF(0=LEN(ReferenceData!$B$602),"",ReferenceData!$B$602),"")</f>
        <v>000270 KS Equity</v>
      </c>
      <c r="C602" t="str">
        <f>IFERROR(IF(0=LEN(ReferenceData!$C$602),"",ReferenceData!$C$602),"")</f>
        <v>RX072</v>
      </c>
      <c r="D602" t="str">
        <f>IFERROR(IF(0=LEN(ReferenceData!$D$602),"",ReferenceData!$D$602),"")</f>
        <v>FREE_CASH_FLOW_YIELD</v>
      </c>
      <c r="E602" t="str">
        <f>IFERROR(IF(0=LEN(ReferenceData!$E$602),"",ReferenceData!$E$602),"")</f>
        <v>Dynamic</v>
      </c>
      <c r="F602" t="str">
        <f ca="1">IFERROR(IF(0=LEN(ReferenceData!$F$602),"",ReferenceData!$F$602),"")</f>
        <v/>
      </c>
      <c r="G602">
        <f ca="1">IFERROR(IF(0=LEN(ReferenceData!$G$602),"",ReferenceData!$G$602),"")</f>
        <v>17.492331069999999</v>
      </c>
      <c r="H602">
        <f ca="1">IFERROR(IF(0=LEN(ReferenceData!$H$602),"",ReferenceData!$H$602),"")</f>
        <v>16.470699199999999</v>
      </c>
      <c r="I602">
        <f ca="1">IFERROR(IF(0=LEN(ReferenceData!$I$602),"",ReferenceData!$I$602),"")</f>
        <v>22.241702419999999</v>
      </c>
      <c r="J602">
        <f ca="1">IFERROR(IF(0=LEN(ReferenceData!$J$602),"",ReferenceData!$J$602),"")</f>
        <v>14.133980960000001</v>
      </c>
      <c r="K602">
        <f ca="1">IFERROR(IF(0=LEN(ReferenceData!$K$602),"",ReferenceData!$K$602),"")</f>
        <v>6.7358775179999997</v>
      </c>
      <c r="L602">
        <f ca="1">IFERROR(IF(0=LEN(ReferenceData!$L$602),"",ReferenceData!$L$602),"")</f>
        <v>6.5959299649999998</v>
      </c>
      <c r="M602">
        <f ca="1">IFERROR(IF(0=LEN(ReferenceData!$M$602),"",ReferenceData!$M$602),"")</f>
        <v>2.917327749</v>
      </c>
      <c r="N602">
        <f ca="1">IFERROR(IF(0=LEN(ReferenceData!$N$602),"",ReferenceData!$N$602),"")</f>
        <v>16.319214720000002</v>
      </c>
      <c r="O602">
        <f ca="1">IFERROR(IF(0=LEN(ReferenceData!$O$602),"",ReferenceData!$O$602),"")</f>
        <v>10.95019514</v>
      </c>
      <c r="P602">
        <f ca="1">IFERROR(IF(0=LEN(ReferenceData!$P$602),"",ReferenceData!$P$602),"")</f>
        <v>11.45048998</v>
      </c>
      <c r="Q602">
        <f ca="1">IFERROR(IF(0=LEN(ReferenceData!$Q$602),"",ReferenceData!$Q$602),"")</f>
        <v>9.5432802080000005</v>
      </c>
      <c r="R602">
        <f ca="1">IFERROR(IF(0=LEN(ReferenceData!$R$602),"",ReferenceData!$R$602),"")</f>
        <v>-3.096662926</v>
      </c>
      <c r="S602">
        <f ca="1">IFERROR(IF(0=LEN(ReferenceData!$S$602),"",ReferenceData!$S$602),"")</f>
        <v>-2.5383309970000001</v>
      </c>
      <c r="T602">
        <f ca="1">IFERROR(IF(0=LEN(ReferenceData!$T$602),"",ReferenceData!$T$602),"")</f>
        <v>0.105449289</v>
      </c>
      <c r="U602">
        <f ca="1">IFERROR(IF(0=LEN(ReferenceData!$U$602),"",ReferenceData!$U$602),"")</f>
        <v>1.2115773359999999</v>
      </c>
      <c r="V602">
        <f ca="1">IFERROR(IF(0=LEN(ReferenceData!$V$602),"",ReferenceData!$V$602),"")</f>
        <v>8.2039181000000003E-2</v>
      </c>
      <c r="W602">
        <f ca="1">IFERROR(IF(0=LEN(ReferenceData!$W$602),"",ReferenceData!$W$602),"")</f>
        <v>4.4107502749999998</v>
      </c>
      <c r="X602">
        <f ca="1">IFERROR(IF(0=LEN(ReferenceData!$X$602),"",ReferenceData!$X$602),"")</f>
        <v>9.1267875220000008</v>
      </c>
      <c r="Y602">
        <f ca="1">IFERROR(IF(0=LEN(ReferenceData!$Y$602),"",ReferenceData!$Y$602),"")</f>
        <v>8.1440347160000002</v>
      </c>
      <c r="Z602">
        <f ca="1">IFERROR(IF(0=LEN(ReferenceData!$Z$602),"",ReferenceData!$Z$602),"")</f>
        <v>14.65153256</v>
      </c>
      <c r="AA602">
        <f ca="1">IFERROR(IF(0=LEN(ReferenceData!$AA$602),"",ReferenceData!$AA$602),"")</f>
        <v>15.775848720000001</v>
      </c>
      <c r="AB602">
        <f ca="1">IFERROR(IF(0=LEN(ReferenceData!$AB$602),"",ReferenceData!$AB$602),"")</f>
        <v>9.2683696730000005</v>
      </c>
      <c r="AC602">
        <f ca="1">IFERROR(IF(0=LEN(ReferenceData!$AC$602),"",ReferenceData!$AC$602),"")</f>
        <v>10.61464922</v>
      </c>
      <c r="AD602">
        <f ca="1">IFERROR(IF(0=LEN(ReferenceData!$AD$602),"",ReferenceData!$AD$602),"")</f>
        <v>9.7243398709999997</v>
      </c>
      <c r="AE602">
        <f ca="1">IFERROR(IF(0=LEN(ReferenceData!$AE$602),"",ReferenceData!$AE$602),"")</f>
        <v>12.11547884</v>
      </c>
      <c r="AF602">
        <f ca="1">IFERROR(IF(0=LEN(ReferenceData!$AF$602),"",ReferenceData!$AF$602),"")</f>
        <v>13.089906109999999</v>
      </c>
      <c r="AG602">
        <f ca="1">IFERROR(IF(0=LEN(ReferenceData!$AG$602),"",ReferenceData!$AG$602),"")</f>
        <v>12.60938554</v>
      </c>
      <c r="AH602">
        <f ca="1">IFERROR(IF(0=LEN(ReferenceData!$AH$602),"",ReferenceData!$AH$602),"")</f>
        <v>11.19916826</v>
      </c>
      <c r="AI602">
        <f ca="1">IFERROR(IF(0=LEN(ReferenceData!$AI$602),"",ReferenceData!$AI$602),"")</f>
        <v>12.379413680000001</v>
      </c>
      <c r="AJ602">
        <f ca="1">IFERROR(IF(0=LEN(ReferenceData!$AJ$602),"",ReferenceData!$AJ$602),"")</f>
        <v>12.81555139</v>
      </c>
      <c r="AK602">
        <f ca="1">IFERROR(IF(0=LEN(ReferenceData!$AK$602),"",ReferenceData!$AK$602),"")</f>
        <v>13.30101333</v>
      </c>
      <c r="AL602">
        <f ca="1">IFERROR(IF(0=LEN(ReferenceData!$AL$602),"",ReferenceData!$AL$602),"")</f>
        <v>16.34584637</v>
      </c>
      <c r="AM602">
        <f ca="1">IFERROR(IF(0=LEN(ReferenceData!$AM$602),"",ReferenceData!$AM$602),"")</f>
        <v>22.018204000000001</v>
      </c>
      <c r="AN602" t="str">
        <f ca="1">IFERROR(IF(0=LEN(ReferenceData!$AN$602),"",ReferenceData!$AN$602),"")</f>
        <v/>
      </c>
      <c r="AO602" t="str">
        <f ca="1">IFERROR(IF(0=LEN(ReferenceData!$AO$602),"",ReferenceData!$AO$602),"")</f>
        <v/>
      </c>
      <c r="AP602" t="str">
        <f ca="1">IFERROR(IF(0=LEN(ReferenceData!$AP$602),"",ReferenceData!$AP$602),"")</f>
        <v/>
      </c>
      <c r="AQ602" t="str">
        <f ca="1">IFERROR(IF(0=LEN(ReferenceData!$AQ$602),"",ReferenceData!$AQ$602),"")</f>
        <v/>
      </c>
      <c r="AR602" t="str">
        <f ca="1">IFERROR(IF(0=LEN(ReferenceData!$AR$602),"",ReferenceData!$AR$602),"")</f>
        <v/>
      </c>
      <c r="AS602" t="str">
        <f ca="1">IFERROR(IF(0=LEN(ReferenceData!$AS$602),"",ReferenceData!$AS$602),"")</f>
        <v/>
      </c>
      <c r="AT602" t="str">
        <f ca="1">IFERROR(IF(0=LEN(ReferenceData!$AT$602),"",ReferenceData!$AT$602),"")</f>
        <v/>
      </c>
      <c r="AU602" t="str">
        <f ca="1">IFERROR(IF(0=LEN(ReferenceData!$AU$602),"",ReferenceData!$AU$602),"")</f>
        <v/>
      </c>
      <c r="AV602" t="str">
        <f ca="1">IFERROR(IF(0=LEN(ReferenceData!$AV$602),"",ReferenceData!$AV$602),"")</f>
        <v/>
      </c>
      <c r="AW602" t="str">
        <f ca="1">IFERROR(IF(0=LEN(ReferenceData!$AW$602),"",ReferenceData!$AW$602),"")</f>
        <v/>
      </c>
      <c r="AX602" t="str">
        <f ca="1">IFERROR(IF(0=LEN(ReferenceData!$AX$602),"",ReferenceData!$AX$602),"")</f>
        <v/>
      </c>
      <c r="AY602" t="str">
        <f ca="1">IFERROR(IF(0=LEN(ReferenceData!$AY$602),"",ReferenceData!$AY$602),"")</f>
        <v/>
      </c>
      <c r="AZ602" t="str">
        <f ca="1">IFERROR(IF(0=LEN(ReferenceData!$AZ$602),"",ReferenceData!$AZ$602),"")</f>
        <v/>
      </c>
      <c r="BA602" t="str">
        <f ca="1">IFERROR(IF(0=LEN(ReferenceData!$BA$602),"",ReferenceData!$BA$602),"")</f>
        <v/>
      </c>
      <c r="BB602" t="str">
        <f ca="1">IFERROR(IF(0=LEN(ReferenceData!$BB$602),"",ReferenceData!$BB$602),"")</f>
        <v/>
      </c>
      <c r="BC602" t="str">
        <f ca="1">IFERROR(IF(0=LEN(ReferenceData!$BC$602),"",ReferenceData!$BC$602),"")</f>
        <v/>
      </c>
      <c r="BD602" t="str">
        <f ca="1">IFERROR(IF(0=LEN(ReferenceData!$BD$602),"",ReferenceData!$BD$602),"")</f>
        <v/>
      </c>
      <c r="BE602" t="str">
        <f ca="1">IFERROR(IF(0=LEN(ReferenceData!$BE$602),"",ReferenceData!$BE$602),"")</f>
        <v/>
      </c>
      <c r="BF602" t="str">
        <f ca="1">IFERROR(IF(0=LEN(ReferenceData!$BF$602),"",ReferenceData!$BF$602),"")</f>
        <v/>
      </c>
      <c r="BG602" t="str">
        <f ca="1">IFERROR(IF(0=LEN(ReferenceData!$BG$602),"",ReferenceData!$BG$602),"")</f>
        <v/>
      </c>
      <c r="BH602" t="str">
        <f ca="1">IFERROR(IF(0=LEN(ReferenceData!$BH$602),"",ReferenceData!$BH$602),"")</f>
        <v/>
      </c>
      <c r="BI602" t="str">
        <f ca="1">IFERROR(IF(0=LEN(ReferenceData!$BI$602),"",ReferenceData!$BI$602),"")</f>
        <v/>
      </c>
      <c r="BJ602" t="str">
        <f ca="1">IFERROR(IF(0=LEN(ReferenceData!$BJ$602),"",ReferenceData!$BJ$602),"")</f>
        <v/>
      </c>
      <c r="BK602" t="str">
        <f ca="1">IFERROR(IF(0=LEN(ReferenceData!$BK$602),"",ReferenceData!$BK$602),"")</f>
        <v/>
      </c>
      <c r="BL602" t="str">
        <f ca="1">IFERROR(IF(0=LEN(ReferenceData!$BL$602),"",ReferenceData!$BL$602),"")</f>
        <v/>
      </c>
      <c r="BM602" t="str">
        <f ca="1">IFERROR(IF(0=LEN(ReferenceData!$BM$602),"",ReferenceData!$BM$602),"")</f>
        <v/>
      </c>
    </row>
    <row r="603" spans="1:65" x14ac:dyDescent="0.25">
      <c r="A603" t="str">
        <f>IFERROR(IF(0=LEN(ReferenceData!$A$603),"",ReferenceData!$A$603),"")</f>
        <v xml:space="preserve">    Mazda Motor Corp</v>
      </c>
      <c r="B603" t="str">
        <f>IFERROR(IF(0=LEN(ReferenceData!$B$603),"",ReferenceData!$B$603),"")</f>
        <v>7261 JP Equity</v>
      </c>
      <c r="C603" t="str">
        <f>IFERROR(IF(0=LEN(ReferenceData!$C$603),"",ReferenceData!$C$603),"")</f>
        <v>RX072</v>
      </c>
      <c r="D603" t="str">
        <f>IFERROR(IF(0=LEN(ReferenceData!$D$603),"",ReferenceData!$D$603),"")</f>
        <v>FREE_CASH_FLOW_YIELD</v>
      </c>
      <c r="E603" t="str">
        <f>IFERROR(IF(0=LEN(ReferenceData!$E$603),"",ReferenceData!$E$603),"")</f>
        <v>Dynamic</v>
      </c>
      <c r="F603">
        <f ca="1">IFERROR(IF(0=LEN(ReferenceData!$F$603),"",ReferenceData!$F$603),"")</f>
        <v>8.2242060830000003</v>
      </c>
      <c r="G603">
        <f ca="1">IFERROR(IF(0=LEN(ReferenceData!$G$603),"",ReferenceData!$G$603),"")</f>
        <v>9.3219745599999992</v>
      </c>
      <c r="H603">
        <f ca="1">IFERROR(IF(0=LEN(ReferenceData!$H$603),"",ReferenceData!$H$603),"")</f>
        <v>11.37602292</v>
      </c>
      <c r="I603">
        <f ca="1">IFERROR(IF(0=LEN(ReferenceData!$I$603),"",ReferenceData!$I$603),"")</f>
        <v>12.44212052</v>
      </c>
      <c r="J603">
        <f ca="1">IFERROR(IF(0=LEN(ReferenceData!$J$603),"",ReferenceData!$J$603),"")</f>
        <v>13.900778730000001</v>
      </c>
      <c r="K603">
        <f ca="1">IFERROR(IF(0=LEN(ReferenceData!$K$603),"",ReferenceData!$K$603),"")</f>
        <v>11.71909979</v>
      </c>
      <c r="L603">
        <f ca="1">IFERROR(IF(0=LEN(ReferenceData!$L$603),"",ReferenceData!$L$603),"")</f>
        <v>7.856769302</v>
      </c>
      <c r="M603">
        <f ca="1">IFERROR(IF(0=LEN(ReferenceData!$M$603),"",ReferenceData!$M$603),"")</f>
        <v>8.2662320220000005</v>
      </c>
      <c r="N603">
        <f ca="1">IFERROR(IF(0=LEN(ReferenceData!$N$603),"",ReferenceData!$N$603),"")</f>
        <v>8.5340396510000005</v>
      </c>
      <c r="O603">
        <f ca="1">IFERROR(IF(0=LEN(ReferenceData!$O$603),"",ReferenceData!$O$603),"")</f>
        <v>8.5010047259999997</v>
      </c>
      <c r="P603">
        <f ca="1">IFERROR(IF(0=LEN(ReferenceData!$P$603),"",ReferenceData!$P$603),"")</f>
        <v>13.90800859</v>
      </c>
      <c r="Q603">
        <f ca="1">IFERROR(IF(0=LEN(ReferenceData!$Q$603),"",ReferenceData!$Q$603),"")</f>
        <v>18.706337770000001</v>
      </c>
      <c r="R603">
        <f ca="1">IFERROR(IF(0=LEN(ReferenceData!$R$603),"",ReferenceData!$R$603),"")</f>
        <v>17.610146749999998</v>
      </c>
      <c r="S603">
        <f ca="1">IFERROR(IF(0=LEN(ReferenceData!$S$603),"",ReferenceData!$S$603),"")</f>
        <v>11.83358949</v>
      </c>
      <c r="T603">
        <f ca="1">IFERROR(IF(0=LEN(ReferenceData!$T$603),"",ReferenceData!$T$603),"")</f>
        <v>13.621899600000001</v>
      </c>
      <c r="U603">
        <f ca="1">IFERROR(IF(0=LEN(ReferenceData!$U$603),"",ReferenceData!$U$603),"")</f>
        <v>8.1268690170000006</v>
      </c>
      <c r="V603">
        <f ca="1">IFERROR(IF(0=LEN(ReferenceData!$V$603),"",ReferenceData!$V$603),"")</f>
        <v>5.5613094890000001</v>
      </c>
      <c r="W603">
        <f ca="1">IFERROR(IF(0=LEN(ReferenceData!$W$603),"",ReferenceData!$W$603),"")</f>
        <v>3.555943171</v>
      </c>
      <c r="X603">
        <f ca="1">IFERROR(IF(0=LEN(ReferenceData!$X$603),"",ReferenceData!$X$603),"")</f>
        <v>5.2629676400000003</v>
      </c>
      <c r="Y603">
        <f ca="1">IFERROR(IF(0=LEN(ReferenceData!$Y$603),"",ReferenceData!$Y$603),"")</f>
        <v>4.1515903319999996</v>
      </c>
      <c r="Z603">
        <f ca="1">IFERROR(IF(0=LEN(ReferenceData!$Z$603),"",ReferenceData!$Z$603),"")</f>
        <v>1.866231975</v>
      </c>
      <c r="AA603">
        <f ca="1">IFERROR(IF(0=LEN(ReferenceData!$AA$603),"",ReferenceData!$AA$603),"")</f>
        <v>2.0184391530000001</v>
      </c>
      <c r="AB603">
        <f ca="1">IFERROR(IF(0=LEN(ReferenceData!$AB$603),"",ReferenceData!$AB$603),"")</f>
        <v>-0.87647294499999995</v>
      </c>
      <c r="AC603">
        <f ca="1">IFERROR(IF(0=LEN(ReferenceData!$AC$603),"",ReferenceData!$AC$603),"")</f>
        <v>-1.5148489570000001</v>
      </c>
      <c r="AD603">
        <f ca="1">IFERROR(IF(0=LEN(ReferenceData!$AD$603),"",ReferenceData!$AD$603),"")</f>
        <v>-2.48416332</v>
      </c>
      <c r="AE603">
        <f ca="1">IFERROR(IF(0=LEN(ReferenceData!$AE$603),"",ReferenceData!$AE$603),"")</f>
        <v>-0.812546082</v>
      </c>
      <c r="AF603">
        <f ca="1">IFERROR(IF(0=LEN(ReferenceData!$AF$603),"",ReferenceData!$AF$603),"")</f>
        <v>-37.371209389999997</v>
      </c>
      <c r="AG603">
        <f ca="1">IFERROR(IF(0=LEN(ReferenceData!$AG$603),"",ReferenceData!$AG$603),"")</f>
        <v>-29.767678910000001</v>
      </c>
      <c r="AH603">
        <f ca="1">IFERROR(IF(0=LEN(ReferenceData!$AH$603),"",ReferenceData!$AH$603),"")</f>
        <v>-31.21255193</v>
      </c>
      <c r="AI603">
        <f ca="1">IFERROR(IF(0=LEN(ReferenceData!$AI$603),"",ReferenceData!$AI$603),"")</f>
        <v>-34.04025584</v>
      </c>
      <c r="AJ603">
        <f ca="1">IFERROR(IF(0=LEN(ReferenceData!$AJ$603),"",ReferenceData!$AJ$603),"")</f>
        <v>-24.79489302</v>
      </c>
      <c r="AK603">
        <f ca="1">IFERROR(IF(0=LEN(ReferenceData!$AK$603),"",ReferenceData!$AK$603),"")</f>
        <v>-17.443123230000001</v>
      </c>
      <c r="AL603">
        <f ca="1">IFERROR(IF(0=LEN(ReferenceData!$AL$603),"",ReferenceData!$AL$603),"")</f>
        <v>-5.2183930109999999</v>
      </c>
      <c r="AM603">
        <f ca="1">IFERROR(IF(0=LEN(ReferenceData!$AM$603),"",ReferenceData!$AM$603),"")</f>
        <v>0.62945736100000005</v>
      </c>
      <c r="AN603">
        <f ca="1">IFERROR(IF(0=LEN(ReferenceData!$AN$603),"",ReferenceData!$AN$603),"")</f>
        <v>23.780217820000001</v>
      </c>
      <c r="AO603">
        <f ca="1">IFERROR(IF(0=LEN(ReferenceData!$AO$603),"",ReferenceData!$AO$603),"")</f>
        <v>29.93195485</v>
      </c>
      <c r="AP603">
        <f ca="1">IFERROR(IF(0=LEN(ReferenceData!$AP$603),"",ReferenceData!$AP$603),"")</f>
        <v>21.022146110000001</v>
      </c>
      <c r="AQ603">
        <f ca="1">IFERROR(IF(0=LEN(ReferenceData!$AQ$603),"",ReferenceData!$AQ$603),"")</f>
        <v>36.062666630000002</v>
      </c>
      <c r="AR603">
        <f ca="1">IFERROR(IF(0=LEN(ReferenceData!$AR$603),"",ReferenceData!$AR$603),"")</f>
        <v>-31.10584935</v>
      </c>
      <c r="AS603">
        <f ca="1">IFERROR(IF(0=LEN(ReferenceData!$AS$603),"",ReferenceData!$AS$603),"")</f>
        <v>-33.290257879999999</v>
      </c>
      <c r="AT603">
        <f ca="1">IFERROR(IF(0=LEN(ReferenceData!$AT$603),"",ReferenceData!$AT$603),"")</f>
        <v>-51.444235949999999</v>
      </c>
      <c r="AU603" t="str">
        <f ca="1">IFERROR(IF(0=LEN(ReferenceData!$AU$603),"",ReferenceData!$AU$603),"")</f>
        <v/>
      </c>
      <c r="AV603" t="str">
        <f ca="1">IFERROR(IF(0=LEN(ReferenceData!$AV$603),"",ReferenceData!$AV$603),"")</f>
        <v/>
      </c>
      <c r="AW603" t="str">
        <f ca="1">IFERROR(IF(0=LEN(ReferenceData!$AW$603),"",ReferenceData!$AW$603),"")</f>
        <v/>
      </c>
      <c r="AX603" t="str">
        <f ca="1">IFERROR(IF(0=LEN(ReferenceData!$AX$603),"",ReferenceData!$AX$603),"")</f>
        <v/>
      </c>
      <c r="AY603" t="str">
        <f ca="1">IFERROR(IF(0=LEN(ReferenceData!$AY$603),"",ReferenceData!$AY$603),"")</f>
        <v/>
      </c>
      <c r="AZ603" t="str">
        <f ca="1">IFERROR(IF(0=LEN(ReferenceData!$AZ$603),"",ReferenceData!$AZ$603),"")</f>
        <v/>
      </c>
      <c r="BA603" t="str">
        <f ca="1">IFERROR(IF(0=LEN(ReferenceData!$BA$603),"",ReferenceData!$BA$603),"")</f>
        <v/>
      </c>
      <c r="BB603" t="str">
        <f ca="1">IFERROR(IF(0=LEN(ReferenceData!$BB$603),"",ReferenceData!$BB$603),"")</f>
        <v/>
      </c>
      <c r="BC603" t="str">
        <f ca="1">IFERROR(IF(0=LEN(ReferenceData!$BC$603),"",ReferenceData!$BC$603),"")</f>
        <v/>
      </c>
      <c r="BD603" t="str">
        <f ca="1">IFERROR(IF(0=LEN(ReferenceData!$BD$603),"",ReferenceData!$BD$603),"")</f>
        <v/>
      </c>
      <c r="BE603" t="str">
        <f ca="1">IFERROR(IF(0=LEN(ReferenceData!$BE$603),"",ReferenceData!$BE$603),"")</f>
        <v/>
      </c>
      <c r="BF603" t="str">
        <f ca="1">IFERROR(IF(0=LEN(ReferenceData!$BF$603),"",ReferenceData!$BF$603),"")</f>
        <v/>
      </c>
      <c r="BG603" t="str">
        <f ca="1">IFERROR(IF(0=LEN(ReferenceData!$BG$603),"",ReferenceData!$BG$603),"")</f>
        <v/>
      </c>
      <c r="BH603" t="str">
        <f ca="1">IFERROR(IF(0=LEN(ReferenceData!$BH$603),"",ReferenceData!$BH$603),"")</f>
        <v/>
      </c>
      <c r="BI603" t="str">
        <f ca="1">IFERROR(IF(0=LEN(ReferenceData!$BI$603),"",ReferenceData!$BI$603),"")</f>
        <v/>
      </c>
      <c r="BJ603" t="str">
        <f ca="1">IFERROR(IF(0=LEN(ReferenceData!$BJ$603),"",ReferenceData!$BJ$603),"")</f>
        <v/>
      </c>
      <c r="BK603" t="str">
        <f ca="1">IFERROR(IF(0=LEN(ReferenceData!$BK$603),"",ReferenceData!$BK$603),"")</f>
        <v/>
      </c>
      <c r="BL603" t="str">
        <f ca="1">IFERROR(IF(0=LEN(ReferenceData!$BL$603),"",ReferenceData!$BL$603),"")</f>
        <v/>
      </c>
      <c r="BM603" t="str">
        <f ca="1">IFERROR(IF(0=LEN(ReferenceData!$BM$603),"",ReferenceData!$BM$603),"")</f>
        <v/>
      </c>
    </row>
    <row r="604" spans="1:65" x14ac:dyDescent="0.25">
      <c r="A604" t="str">
        <f>IFERROR(IF(0=LEN(ReferenceData!$A$604),"",ReferenceData!$A$604),"")</f>
        <v xml:space="preserve">    Mitsubishi Motors Corp</v>
      </c>
      <c r="B604" t="str">
        <f>IFERROR(IF(0=LEN(ReferenceData!$B$604),"",ReferenceData!$B$604),"")</f>
        <v>7211 JP Equity</v>
      </c>
      <c r="C604" t="str">
        <f>IFERROR(IF(0=LEN(ReferenceData!$C$604),"",ReferenceData!$C$604),"")</f>
        <v>RX072</v>
      </c>
      <c r="D604" t="str">
        <f>IFERROR(IF(0=LEN(ReferenceData!$D$604),"",ReferenceData!$D$604),"")</f>
        <v>FREE_CASH_FLOW_YIELD</v>
      </c>
      <c r="E604" t="str">
        <f>IFERROR(IF(0=LEN(ReferenceData!$E$604),"",ReferenceData!$E$604),"")</f>
        <v>Dynamic</v>
      </c>
      <c r="F604" t="str">
        <f ca="1">IFERROR(IF(0=LEN(ReferenceData!$F$604),"",ReferenceData!$F$604),"")</f>
        <v/>
      </c>
      <c r="G604" t="str">
        <f ca="1">IFERROR(IF(0=LEN(ReferenceData!$G$604),"",ReferenceData!$G$604),"")</f>
        <v/>
      </c>
      <c r="H604" t="str">
        <f ca="1">IFERROR(IF(0=LEN(ReferenceData!$H$604),"",ReferenceData!$H$604),"")</f>
        <v/>
      </c>
      <c r="I604" t="str">
        <f ca="1">IFERROR(IF(0=LEN(ReferenceData!$I$604),"",ReferenceData!$I$604),"")</f>
        <v/>
      </c>
      <c r="J604" t="str">
        <f ca="1">IFERROR(IF(0=LEN(ReferenceData!$J$604),"",ReferenceData!$J$604),"")</f>
        <v/>
      </c>
      <c r="K604" t="str">
        <f ca="1">IFERROR(IF(0=LEN(ReferenceData!$K$604),"",ReferenceData!$K$604),"")</f>
        <v/>
      </c>
      <c r="L604" t="str">
        <f ca="1">IFERROR(IF(0=LEN(ReferenceData!$L$604),"",ReferenceData!$L$604),"")</f>
        <v/>
      </c>
      <c r="M604" t="str">
        <f ca="1">IFERROR(IF(0=LEN(ReferenceData!$M$604),"",ReferenceData!$M$604),"")</f>
        <v/>
      </c>
      <c r="N604" t="str">
        <f ca="1">IFERROR(IF(0=LEN(ReferenceData!$N$604),"",ReferenceData!$N$604),"")</f>
        <v/>
      </c>
      <c r="O604" t="str">
        <f ca="1">IFERROR(IF(0=LEN(ReferenceData!$O$604),"",ReferenceData!$O$604),"")</f>
        <v/>
      </c>
      <c r="P604" t="str">
        <f ca="1">IFERROR(IF(0=LEN(ReferenceData!$P$604),"",ReferenceData!$P$604),"")</f>
        <v/>
      </c>
      <c r="Q604" t="str">
        <f ca="1">IFERROR(IF(0=LEN(ReferenceData!$Q$604),"",ReferenceData!$Q$604),"")</f>
        <v/>
      </c>
      <c r="R604" t="str">
        <f ca="1">IFERROR(IF(0=LEN(ReferenceData!$R$604),"",ReferenceData!$R$604),"")</f>
        <v/>
      </c>
      <c r="S604" t="str">
        <f ca="1">IFERROR(IF(0=LEN(ReferenceData!$S$604),"",ReferenceData!$S$604),"")</f>
        <v/>
      </c>
      <c r="T604" t="str">
        <f ca="1">IFERROR(IF(0=LEN(ReferenceData!$T$604),"",ReferenceData!$T$604),"")</f>
        <v/>
      </c>
      <c r="U604" t="str">
        <f ca="1">IFERROR(IF(0=LEN(ReferenceData!$U$604),"",ReferenceData!$U$604),"")</f>
        <v/>
      </c>
      <c r="V604" t="str">
        <f ca="1">IFERROR(IF(0=LEN(ReferenceData!$V$604),"",ReferenceData!$V$604),"")</f>
        <v/>
      </c>
      <c r="W604" t="str">
        <f ca="1">IFERROR(IF(0=LEN(ReferenceData!$W$604),"",ReferenceData!$W$604),"")</f>
        <v/>
      </c>
      <c r="X604" t="str">
        <f ca="1">IFERROR(IF(0=LEN(ReferenceData!$X$604),"",ReferenceData!$X$604),"")</f>
        <v/>
      </c>
      <c r="Y604" t="str">
        <f ca="1">IFERROR(IF(0=LEN(ReferenceData!$Y$604),"",ReferenceData!$Y$604),"")</f>
        <v/>
      </c>
      <c r="Z604" t="str">
        <f ca="1">IFERROR(IF(0=LEN(ReferenceData!$Z$604),"",ReferenceData!$Z$604),"")</f>
        <v/>
      </c>
      <c r="AA604" t="str">
        <f ca="1">IFERROR(IF(0=LEN(ReferenceData!$AA$604),"",ReferenceData!$AA$604),"")</f>
        <v/>
      </c>
      <c r="AB604" t="str">
        <f ca="1">IFERROR(IF(0=LEN(ReferenceData!$AB$604),"",ReferenceData!$AB$604),"")</f>
        <v/>
      </c>
      <c r="AC604" t="str">
        <f ca="1">IFERROR(IF(0=LEN(ReferenceData!$AC$604),"",ReferenceData!$AC$604),"")</f>
        <v/>
      </c>
      <c r="AD604" t="str">
        <f ca="1">IFERROR(IF(0=LEN(ReferenceData!$AD$604),"",ReferenceData!$AD$604),"")</f>
        <v/>
      </c>
      <c r="AE604" t="str">
        <f ca="1">IFERROR(IF(0=LEN(ReferenceData!$AE$604),"",ReferenceData!$AE$604),"")</f>
        <v/>
      </c>
      <c r="AF604" t="str">
        <f ca="1">IFERROR(IF(0=LEN(ReferenceData!$AF$604),"",ReferenceData!$AF$604),"")</f>
        <v/>
      </c>
      <c r="AG604" t="str">
        <f ca="1">IFERROR(IF(0=LEN(ReferenceData!$AG$604),"",ReferenceData!$AG$604),"")</f>
        <v/>
      </c>
      <c r="AH604" t="str">
        <f ca="1">IFERROR(IF(0=LEN(ReferenceData!$AH$604),"",ReferenceData!$AH$604),"")</f>
        <v/>
      </c>
      <c r="AI604" t="str">
        <f ca="1">IFERROR(IF(0=LEN(ReferenceData!$AI$604),"",ReferenceData!$AI$604),"")</f>
        <v/>
      </c>
      <c r="AJ604" t="str">
        <f ca="1">IFERROR(IF(0=LEN(ReferenceData!$AJ$604),"",ReferenceData!$AJ$604),"")</f>
        <v/>
      </c>
      <c r="AK604">
        <f ca="1">IFERROR(IF(0=LEN(ReferenceData!$AK$604),"",ReferenceData!$AK$604),"")</f>
        <v>9.3137966720000005</v>
      </c>
      <c r="AL604">
        <f ca="1">IFERROR(IF(0=LEN(ReferenceData!$AL$604),"",ReferenceData!$AL$604),"")</f>
        <v>8.9485497439999993</v>
      </c>
      <c r="AM604">
        <f ca="1">IFERROR(IF(0=LEN(ReferenceData!$AM$604),"",ReferenceData!$AM$604),"")</f>
        <v>14.766281729999999</v>
      </c>
      <c r="AN604">
        <f ca="1">IFERROR(IF(0=LEN(ReferenceData!$AN$604),"",ReferenceData!$AN$604),"")</f>
        <v>19.47160118</v>
      </c>
      <c r="AO604">
        <f ca="1">IFERROR(IF(0=LEN(ReferenceData!$AO$604),"",ReferenceData!$AO$604),"")</f>
        <v>14.745292940000001</v>
      </c>
      <c r="AP604">
        <f ca="1">IFERROR(IF(0=LEN(ReferenceData!$AP$604),"",ReferenceData!$AP$604),"")</f>
        <v>8.0244623389999994</v>
      </c>
      <c r="AQ604">
        <f ca="1">IFERROR(IF(0=LEN(ReferenceData!$AQ$604),"",ReferenceData!$AQ$604),"")</f>
        <v>-9.5011929169999991</v>
      </c>
      <c r="AR604">
        <f ca="1">IFERROR(IF(0=LEN(ReferenceData!$AR$604),"",ReferenceData!$AR$604),"")</f>
        <v>-22.204330240000001</v>
      </c>
      <c r="AS604">
        <f ca="1">IFERROR(IF(0=LEN(ReferenceData!$AS$604),"",ReferenceData!$AS$604),"")</f>
        <v>-21.433643979999999</v>
      </c>
      <c r="AT604">
        <f ca="1">IFERROR(IF(0=LEN(ReferenceData!$AT$604),"",ReferenceData!$AT$604),"")</f>
        <v>-27.11740442</v>
      </c>
      <c r="AU604" t="str">
        <f ca="1">IFERROR(IF(0=LEN(ReferenceData!$AU$604),"",ReferenceData!$AU$604),"")</f>
        <v/>
      </c>
      <c r="AV604" t="str">
        <f ca="1">IFERROR(IF(0=LEN(ReferenceData!$AV$604),"",ReferenceData!$AV$604),"")</f>
        <v/>
      </c>
      <c r="AW604" t="str">
        <f ca="1">IFERROR(IF(0=LEN(ReferenceData!$AW$604),"",ReferenceData!$AW$604),"")</f>
        <v/>
      </c>
      <c r="AX604" t="str">
        <f ca="1">IFERROR(IF(0=LEN(ReferenceData!$AX$604),"",ReferenceData!$AX$604),"")</f>
        <v/>
      </c>
      <c r="AY604" t="str">
        <f ca="1">IFERROR(IF(0=LEN(ReferenceData!$AY$604),"",ReferenceData!$AY$604),"")</f>
        <v/>
      </c>
      <c r="AZ604" t="str">
        <f ca="1">IFERROR(IF(0=LEN(ReferenceData!$AZ$604),"",ReferenceData!$AZ$604),"")</f>
        <v/>
      </c>
      <c r="BA604" t="str">
        <f ca="1">IFERROR(IF(0=LEN(ReferenceData!$BA$604),"",ReferenceData!$BA$604),"")</f>
        <v/>
      </c>
      <c r="BB604" t="str">
        <f ca="1">IFERROR(IF(0=LEN(ReferenceData!$BB$604),"",ReferenceData!$BB$604),"")</f>
        <v/>
      </c>
      <c r="BC604" t="str">
        <f ca="1">IFERROR(IF(0=LEN(ReferenceData!$BC$604),"",ReferenceData!$BC$604),"")</f>
        <v/>
      </c>
      <c r="BD604" t="str">
        <f ca="1">IFERROR(IF(0=LEN(ReferenceData!$BD$604),"",ReferenceData!$BD$604),"")</f>
        <v/>
      </c>
      <c r="BE604" t="str">
        <f ca="1">IFERROR(IF(0=LEN(ReferenceData!$BE$604),"",ReferenceData!$BE$604),"")</f>
        <v/>
      </c>
      <c r="BF604" t="str">
        <f ca="1">IFERROR(IF(0=LEN(ReferenceData!$BF$604),"",ReferenceData!$BF$604),"")</f>
        <v/>
      </c>
      <c r="BG604" t="str">
        <f ca="1">IFERROR(IF(0=LEN(ReferenceData!$BG$604),"",ReferenceData!$BG$604),"")</f>
        <v/>
      </c>
      <c r="BH604" t="str">
        <f ca="1">IFERROR(IF(0=LEN(ReferenceData!$BH$604),"",ReferenceData!$BH$604),"")</f>
        <v/>
      </c>
      <c r="BI604" t="str">
        <f ca="1">IFERROR(IF(0=LEN(ReferenceData!$BI$604),"",ReferenceData!$BI$604),"")</f>
        <v/>
      </c>
      <c r="BJ604" t="str">
        <f ca="1">IFERROR(IF(0=LEN(ReferenceData!$BJ$604),"",ReferenceData!$BJ$604),"")</f>
        <v/>
      </c>
      <c r="BK604" t="str">
        <f ca="1">IFERROR(IF(0=LEN(ReferenceData!$BK$604),"",ReferenceData!$BK$604),"")</f>
        <v/>
      </c>
      <c r="BL604" t="str">
        <f ca="1">IFERROR(IF(0=LEN(ReferenceData!$BL$604),"",ReferenceData!$BL$604),"")</f>
        <v/>
      </c>
      <c r="BM604" t="str">
        <f ca="1">IFERROR(IF(0=LEN(ReferenceData!$BM$604),"",ReferenceData!$BM$604),"")</f>
        <v/>
      </c>
    </row>
    <row r="605" spans="1:65" x14ac:dyDescent="0.25">
      <c r="A605" t="str">
        <f>IFERROR(IF(0=LEN(ReferenceData!$A$605),"",ReferenceData!$A$605),"")</f>
        <v xml:space="preserve">    Nissan Motor Co Ltd</v>
      </c>
      <c r="B605" t="str">
        <f>IFERROR(IF(0=LEN(ReferenceData!$B$605),"",ReferenceData!$B$605),"")</f>
        <v>7201 JP Equity</v>
      </c>
      <c r="C605" t="str">
        <f>IFERROR(IF(0=LEN(ReferenceData!$C$605),"",ReferenceData!$C$605),"")</f>
        <v>RX072</v>
      </c>
      <c r="D605" t="str">
        <f>IFERROR(IF(0=LEN(ReferenceData!$D$605),"",ReferenceData!$D$605),"")</f>
        <v>FREE_CASH_FLOW_YIELD</v>
      </c>
      <c r="E605" t="str">
        <f>IFERROR(IF(0=LEN(ReferenceData!$E$605),"",ReferenceData!$E$605),"")</f>
        <v>Dynamic</v>
      </c>
      <c r="F605">
        <f ca="1">IFERROR(IF(0=LEN(ReferenceData!$F$605),"",ReferenceData!$F$605),"")</f>
        <v>31.750038740000001</v>
      </c>
      <c r="G605">
        <f ca="1">IFERROR(IF(0=LEN(ReferenceData!$G$605),"",ReferenceData!$G$605),"")</f>
        <v>34.177367609999997</v>
      </c>
      <c r="H605">
        <f ca="1">IFERROR(IF(0=LEN(ReferenceData!$H$605),"",ReferenceData!$H$605),"")</f>
        <v>20.721022130000001</v>
      </c>
      <c r="I605">
        <f ca="1">IFERROR(IF(0=LEN(ReferenceData!$I$605),"",ReferenceData!$I$605),"")</f>
        <v>21.141629510000001</v>
      </c>
      <c r="J605">
        <f ca="1">IFERROR(IF(0=LEN(ReferenceData!$J$605),"",ReferenceData!$J$605),"")</f>
        <v>15.57620625</v>
      </c>
      <c r="K605">
        <f ca="1">IFERROR(IF(0=LEN(ReferenceData!$K$605),"",ReferenceData!$K$605),"")</f>
        <v>9.4096603660000007</v>
      </c>
      <c r="L605">
        <f ca="1">IFERROR(IF(0=LEN(ReferenceData!$L$605),"",ReferenceData!$L$605),"")</f>
        <v>15.214168450000001</v>
      </c>
      <c r="M605">
        <f ca="1">IFERROR(IF(0=LEN(ReferenceData!$M$605),"",ReferenceData!$M$605),"")</f>
        <v>14.53894519</v>
      </c>
      <c r="N605">
        <f ca="1">IFERROR(IF(0=LEN(ReferenceData!$N$605),"",ReferenceData!$N$605),"")</f>
        <v>19.471382770000002</v>
      </c>
      <c r="O605">
        <f ca="1">IFERROR(IF(0=LEN(ReferenceData!$O$605),"",ReferenceData!$O$605),"")</f>
        <v>15.10497299</v>
      </c>
      <c r="P605">
        <f ca="1">IFERROR(IF(0=LEN(ReferenceData!$P$605),"",ReferenceData!$P$605),"")</f>
        <v>15.73647266</v>
      </c>
      <c r="Q605">
        <f ca="1">IFERROR(IF(0=LEN(ReferenceData!$Q$605),"",ReferenceData!$Q$605),"")</f>
        <v>16.238646240000001</v>
      </c>
      <c r="R605">
        <f ca="1">IFERROR(IF(0=LEN(ReferenceData!$R$605),"",ReferenceData!$R$605),"")</f>
        <v>9.0782360799999999</v>
      </c>
      <c r="S605">
        <f ca="1">IFERROR(IF(0=LEN(ReferenceData!$S$605),"",ReferenceData!$S$605),"")</f>
        <v>5.222489414</v>
      </c>
      <c r="T605">
        <f ca="1">IFERROR(IF(0=LEN(ReferenceData!$T$605),"",ReferenceData!$T$605),"")</f>
        <v>5.3157208550000004</v>
      </c>
      <c r="U605">
        <f ca="1">IFERROR(IF(0=LEN(ReferenceData!$U$605),"",ReferenceData!$U$605),"")</f>
        <v>5.5895793810000001</v>
      </c>
      <c r="V605">
        <f ca="1">IFERROR(IF(0=LEN(ReferenceData!$V$605),"",ReferenceData!$V$605),"")</f>
        <v>3.4963441579999999</v>
      </c>
      <c r="W605">
        <f ca="1">IFERROR(IF(0=LEN(ReferenceData!$W$605),"",ReferenceData!$W$605),"")</f>
        <v>7.999336349</v>
      </c>
      <c r="X605">
        <f ca="1">IFERROR(IF(0=LEN(ReferenceData!$X$605),"",ReferenceData!$X$605),"")</f>
        <v>4.9885185859999996</v>
      </c>
      <c r="Y605">
        <f ca="1">IFERROR(IF(0=LEN(ReferenceData!$Y$605),"",ReferenceData!$Y$605),"")</f>
        <v>2.5967781059999999</v>
      </c>
      <c r="Z605">
        <f ca="1">IFERROR(IF(0=LEN(ReferenceData!$Z$605),"",ReferenceData!$Z$605),"")</f>
        <v>4.5721206739999998</v>
      </c>
      <c r="AA605">
        <f ca="1">IFERROR(IF(0=LEN(ReferenceData!$AA$605),"",ReferenceData!$AA$605),"")</f>
        <v>2.9274651189999998</v>
      </c>
      <c r="AB605">
        <f ca="1">IFERROR(IF(0=LEN(ReferenceData!$AB$605),"",ReferenceData!$AB$605),"")</f>
        <v>3.1295610470000002</v>
      </c>
      <c r="AC605">
        <f ca="1">IFERROR(IF(0=LEN(ReferenceData!$AC$605),"",ReferenceData!$AC$605),"")</f>
        <v>-0.21665087599999999</v>
      </c>
      <c r="AD605">
        <f ca="1">IFERROR(IF(0=LEN(ReferenceData!$AD$605),"",ReferenceData!$AD$605),"")</f>
        <v>-1.14535524</v>
      </c>
      <c r="AE605">
        <f ca="1">IFERROR(IF(0=LEN(ReferenceData!$AE$605),"",ReferenceData!$AE$605),"")</f>
        <v>-4.2608834770000001</v>
      </c>
      <c r="AF605">
        <f ca="1">IFERROR(IF(0=LEN(ReferenceData!$AF$605),"",ReferenceData!$AF$605),"")</f>
        <v>-1.870512776</v>
      </c>
      <c r="AG605">
        <f ca="1">IFERROR(IF(0=LEN(ReferenceData!$AG$605),"",ReferenceData!$AG$605),"")</f>
        <v>2.4115017029999999</v>
      </c>
      <c r="AH605">
        <f ca="1">IFERROR(IF(0=LEN(ReferenceData!$AH$605),"",ReferenceData!$AH$605),"")</f>
        <v>8.0301184889999995</v>
      </c>
      <c r="AI605">
        <f ca="1">IFERROR(IF(0=LEN(ReferenceData!$AI$605),"",ReferenceData!$AI$605),"")</f>
        <v>9.6901035790000005</v>
      </c>
      <c r="AJ605">
        <f ca="1">IFERROR(IF(0=LEN(ReferenceData!$AJ$605),"",ReferenceData!$AJ$605),"")</f>
        <v>13.014617660000001</v>
      </c>
      <c r="AK605">
        <f ca="1">IFERROR(IF(0=LEN(ReferenceData!$AK$605),"",ReferenceData!$AK$605),"")</f>
        <v>10.451777010000001</v>
      </c>
      <c r="AL605">
        <f ca="1">IFERROR(IF(0=LEN(ReferenceData!$AL$605),"",ReferenceData!$AL$605),"")</f>
        <v>12.513995789999999</v>
      </c>
      <c r="AM605">
        <f ca="1">IFERROR(IF(0=LEN(ReferenceData!$AM$605),"",ReferenceData!$AM$605),"")</f>
        <v>13.281452010000001</v>
      </c>
      <c r="AN605">
        <f ca="1">IFERROR(IF(0=LEN(ReferenceData!$AN$605),"",ReferenceData!$AN$605),"")</f>
        <v>15.78310357</v>
      </c>
      <c r="AO605">
        <f ca="1">IFERROR(IF(0=LEN(ReferenceData!$AO$605),"",ReferenceData!$AO$605),"")</f>
        <v>30.665787999999999</v>
      </c>
      <c r="AP605">
        <f ca="1">IFERROR(IF(0=LEN(ReferenceData!$AP$605),"",ReferenceData!$AP$605),"")</f>
        <v>27.619148209999999</v>
      </c>
      <c r="AQ605">
        <f ca="1">IFERROR(IF(0=LEN(ReferenceData!$AQ$605),"",ReferenceData!$AQ$605),"")</f>
        <v>32.688624599999997</v>
      </c>
      <c r="AR605">
        <f ca="1">IFERROR(IF(0=LEN(ReferenceData!$AR$605),"",ReferenceData!$AR$605),"")</f>
        <v>41.360710480000002</v>
      </c>
      <c r="AS605">
        <f ca="1">IFERROR(IF(0=LEN(ReferenceData!$AS$605),"",ReferenceData!$AS$605),"")</f>
        <v>34.122517680000001</v>
      </c>
      <c r="AT605">
        <f ca="1">IFERROR(IF(0=LEN(ReferenceData!$AT$605),"",ReferenceData!$AT$605),"")</f>
        <v>35.396950750000002</v>
      </c>
      <c r="AU605" t="str">
        <f ca="1">IFERROR(IF(0=LEN(ReferenceData!$AU$605),"",ReferenceData!$AU$605),"")</f>
        <v/>
      </c>
      <c r="AV605" t="str">
        <f ca="1">IFERROR(IF(0=LEN(ReferenceData!$AV$605),"",ReferenceData!$AV$605),"")</f>
        <v/>
      </c>
      <c r="AW605" t="str">
        <f ca="1">IFERROR(IF(0=LEN(ReferenceData!$AW$605),"",ReferenceData!$AW$605),"")</f>
        <v/>
      </c>
      <c r="AX605" t="str">
        <f ca="1">IFERROR(IF(0=LEN(ReferenceData!$AX$605),"",ReferenceData!$AX$605),"")</f>
        <v/>
      </c>
      <c r="AY605" t="str">
        <f ca="1">IFERROR(IF(0=LEN(ReferenceData!$AY$605),"",ReferenceData!$AY$605),"")</f>
        <v/>
      </c>
      <c r="AZ605" t="str">
        <f ca="1">IFERROR(IF(0=LEN(ReferenceData!$AZ$605),"",ReferenceData!$AZ$605),"")</f>
        <v/>
      </c>
      <c r="BA605" t="str">
        <f ca="1">IFERROR(IF(0=LEN(ReferenceData!$BA$605),"",ReferenceData!$BA$605),"")</f>
        <v/>
      </c>
      <c r="BB605" t="str">
        <f ca="1">IFERROR(IF(0=LEN(ReferenceData!$BB$605),"",ReferenceData!$BB$605),"")</f>
        <v/>
      </c>
      <c r="BC605" t="str">
        <f ca="1">IFERROR(IF(0=LEN(ReferenceData!$BC$605),"",ReferenceData!$BC$605),"")</f>
        <v/>
      </c>
      <c r="BD605" t="str">
        <f ca="1">IFERROR(IF(0=LEN(ReferenceData!$BD$605),"",ReferenceData!$BD$605),"")</f>
        <v/>
      </c>
      <c r="BE605" t="str">
        <f ca="1">IFERROR(IF(0=LEN(ReferenceData!$BE$605),"",ReferenceData!$BE$605),"")</f>
        <v/>
      </c>
      <c r="BF605" t="str">
        <f ca="1">IFERROR(IF(0=LEN(ReferenceData!$BF$605),"",ReferenceData!$BF$605),"")</f>
        <v/>
      </c>
      <c r="BG605" t="str">
        <f ca="1">IFERROR(IF(0=LEN(ReferenceData!$BG$605),"",ReferenceData!$BG$605),"")</f>
        <v/>
      </c>
      <c r="BH605" t="str">
        <f ca="1">IFERROR(IF(0=LEN(ReferenceData!$BH$605),"",ReferenceData!$BH$605),"")</f>
        <v/>
      </c>
      <c r="BI605" t="str">
        <f ca="1">IFERROR(IF(0=LEN(ReferenceData!$BI$605),"",ReferenceData!$BI$605),"")</f>
        <v/>
      </c>
      <c r="BJ605" t="str">
        <f ca="1">IFERROR(IF(0=LEN(ReferenceData!$BJ$605),"",ReferenceData!$BJ$605),"")</f>
        <v/>
      </c>
      <c r="BK605" t="str">
        <f ca="1">IFERROR(IF(0=LEN(ReferenceData!$BK$605),"",ReferenceData!$BK$605),"")</f>
        <v/>
      </c>
      <c r="BL605" t="str">
        <f ca="1">IFERROR(IF(0=LEN(ReferenceData!$BL$605),"",ReferenceData!$BL$605),"")</f>
        <v/>
      </c>
      <c r="BM605" t="str">
        <f ca="1">IFERROR(IF(0=LEN(ReferenceData!$BM$605),"",ReferenceData!$BM$605),"")</f>
        <v/>
      </c>
    </row>
    <row r="606" spans="1:65" x14ac:dyDescent="0.25">
      <c r="A606" t="str">
        <f>IFERROR(IF(0=LEN(ReferenceData!$A$606),"",ReferenceData!$A$606),"")</f>
        <v xml:space="preserve">    Peugeot SA</v>
      </c>
      <c r="B606" t="str">
        <f>IFERROR(IF(0=LEN(ReferenceData!$B$606),"",ReferenceData!$B$606),"")</f>
        <v>UG FP Equity</v>
      </c>
      <c r="C606" t="str">
        <f>IFERROR(IF(0=LEN(ReferenceData!$C$606),"",ReferenceData!$C$606),"")</f>
        <v>RX072</v>
      </c>
      <c r="D606" t="str">
        <f>IFERROR(IF(0=LEN(ReferenceData!$D$606),"",ReferenceData!$D$606),"")</f>
        <v>FREE_CASH_FLOW_YIELD</v>
      </c>
      <c r="E606" t="str">
        <f>IFERROR(IF(0=LEN(ReferenceData!$E$606),"",ReferenceData!$E$606),"")</f>
        <v>Dynamic</v>
      </c>
      <c r="F606" t="str">
        <f ca="1">IFERROR(IF(0=LEN(ReferenceData!$F$606),"",ReferenceData!$F$606),"")</f>
        <v/>
      </c>
      <c r="G606" t="str">
        <f ca="1">IFERROR(IF(0=LEN(ReferenceData!$G$606),"",ReferenceData!$G$606),"")</f>
        <v/>
      </c>
      <c r="H606" t="str">
        <f ca="1">IFERROR(IF(0=LEN(ReferenceData!$H$606),"",ReferenceData!$H$606),"")</f>
        <v/>
      </c>
      <c r="I606" t="str">
        <f ca="1">IFERROR(IF(0=LEN(ReferenceData!$I$606),"",ReferenceData!$I$606),"")</f>
        <v/>
      </c>
      <c r="J606" t="str">
        <f ca="1">IFERROR(IF(0=LEN(ReferenceData!$J$606),"",ReferenceData!$J$606),"")</f>
        <v/>
      </c>
      <c r="K606" t="str">
        <f ca="1">IFERROR(IF(0=LEN(ReferenceData!$K$606),"",ReferenceData!$K$606),"")</f>
        <v/>
      </c>
      <c r="L606" t="str">
        <f ca="1">IFERROR(IF(0=LEN(ReferenceData!$L$606),"",ReferenceData!$L$606),"")</f>
        <v/>
      </c>
      <c r="M606" t="str">
        <f ca="1">IFERROR(IF(0=LEN(ReferenceData!$M$606),"",ReferenceData!$M$606),"")</f>
        <v/>
      </c>
      <c r="N606" t="str">
        <f ca="1">IFERROR(IF(0=LEN(ReferenceData!$N$606),"",ReferenceData!$N$606),"")</f>
        <v/>
      </c>
      <c r="O606" t="str">
        <f ca="1">IFERROR(IF(0=LEN(ReferenceData!$O$606),"",ReferenceData!$O$606),"")</f>
        <v/>
      </c>
      <c r="P606" t="str">
        <f ca="1">IFERROR(IF(0=LEN(ReferenceData!$P$606),"",ReferenceData!$P$606),"")</f>
        <v/>
      </c>
      <c r="Q606" t="str">
        <f ca="1">IFERROR(IF(0=LEN(ReferenceData!$Q$606),"",ReferenceData!$Q$606),"")</f>
        <v/>
      </c>
      <c r="R606" t="str">
        <f ca="1">IFERROR(IF(0=LEN(ReferenceData!$R$606),"",ReferenceData!$R$606),"")</f>
        <v/>
      </c>
      <c r="S606" t="str">
        <f ca="1">IFERROR(IF(0=LEN(ReferenceData!$S$606),"",ReferenceData!$S$606),"")</f>
        <v/>
      </c>
      <c r="T606" t="str">
        <f ca="1">IFERROR(IF(0=LEN(ReferenceData!$T$606),"",ReferenceData!$T$606),"")</f>
        <v/>
      </c>
      <c r="U606" t="str">
        <f ca="1">IFERROR(IF(0=LEN(ReferenceData!$U$606),"",ReferenceData!$U$606),"")</f>
        <v/>
      </c>
      <c r="V606" t="str">
        <f ca="1">IFERROR(IF(0=LEN(ReferenceData!$V$606),"",ReferenceData!$V$606),"")</f>
        <v/>
      </c>
      <c r="W606" t="str">
        <f ca="1">IFERROR(IF(0=LEN(ReferenceData!$W$606),"",ReferenceData!$W$606),"")</f>
        <v/>
      </c>
      <c r="X606" t="str">
        <f ca="1">IFERROR(IF(0=LEN(ReferenceData!$X$606),"",ReferenceData!$X$606),"")</f>
        <v/>
      </c>
      <c r="Y606" t="str">
        <f ca="1">IFERROR(IF(0=LEN(ReferenceData!$Y$606),"",ReferenceData!$Y$606),"")</f>
        <v/>
      </c>
      <c r="Z606" t="str">
        <f ca="1">IFERROR(IF(0=LEN(ReferenceData!$Z$606),"",ReferenceData!$Z$606),"")</f>
        <v/>
      </c>
      <c r="AA606" t="str">
        <f ca="1">IFERROR(IF(0=LEN(ReferenceData!$AA$606),"",ReferenceData!$AA$606),"")</f>
        <v/>
      </c>
      <c r="AB606" t="str">
        <f ca="1">IFERROR(IF(0=LEN(ReferenceData!$AB$606),"",ReferenceData!$AB$606),"")</f>
        <v/>
      </c>
      <c r="AC606" t="str">
        <f ca="1">IFERROR(IF(0=LEN(ReferenceData!$AC$606),"",ReferenceData!$AC$606),"")</f>
        <v/>
      </c>
      <c r="AD606" t="str">
        <f ca="1">IFERROR(IF(0=LEN(ReferenceData!$AD$606),"",ReferenceData!$AD$606),"")</f>
        <v/>
      </c>
      <c r="AE606" t="str">
        <f ca="1">IFERROR(IF(0=LEN(ReferenceData!$AE$606),"",ReferenceData!$AE$606),"")</f>
        <v/>
      </c>
      <c r="AF606" t="str">
        <f ca="1">IFERROR(IF(0=LEN(ReferenceData!$AF$606),"",ReferenceData!$AF$606),"")</f>
        <v/>
      </c>
      <c r="AG606" t="str">
        <f ca="1">IFERROR(IF(0=LEN(ReferenceData!$AG$606),"",ReferenceData!$AG$606),"")</f>
        <v/>
      </c>
      <c r="AH606" t="str">
        <f ca="1">IFERROR(IF(0=LEN(ReferenceData!$AH$606),"",ReferenceData!$AH$606),"")</f>
        <v/>
      </c>
      <c r="AI606" t="str">
        <f ca="1">IFERROR(IF(0=LEN(ReferenceData!$AI$606),"",ReferenceData!$AI$606),"")</f>
        <v/>
      </c>
      <c r="AJ606" t="str">
        <f ca="1">IFERROR(IF(0=LEN(ReferenceData!$AJ$606),"",ReferenceData!$AJ$606),"")</f>
        <v/>
      </c>
      <c r="AK606" t="str">
        <f ca="1">IFERROR(IF(0=LEN(ReferenceData!$AK$606),"",ReferenceData!$AK$606),"")</f>
        <v/>
      </c>
      <c r="AL606" t="str">
        <f ca="1">IFERROR(IF(0=LEN(ReferenceData!$AL$606),"",ReferenceData!$AL$606),"")</f>
        <v/>
      </c>
      <c r="AM606" t="str">
        <f ca="1">IFERROR(IF(0=LEN(ReferenceData!$AM$606),"",ReferenceData!$AM$606),"")</f>
        <v/>
      </c>
      <c r="AN606" t="str">
        <f ca="1">IFERROR(IF(0=LEN(ReferenceData!$AN$606),"",ReferenceData!$AN$606),"")</f>
        <v/>
      </c>
      <c r="AO606" t="str">
        <f ca="1">IFERROR(IF(0=LEN(ReferenceData!$AO$606),"",ReferenceData!$AO$606),"")</f>
        <v/>
      </c>
      <c r="AP606" t="str">
        <f ca="1">IFERROR(IF(0=LEN(ReferenceData!$AP$606),"",ReferenceData!$AP$606),"")</f>
        <v/>
      </c>
      <c r="AQ606" t="str">
        <f ca="1">IFERROR(IF(0=LEN(ReferenceData!$AQ$606),"",ReferenceData!$AQ$606),"")</f>
        <v/>
      </c>
      <c r="AR606" t="str">
        <f ca="1">IFERROR(IF(0=LEN(ReferenceData!$AR$606),"",ReferenceData!$AR$606),"")</f>
        <v/>
      </c>
      <c r="AS606" t="str">
        <f ca="1">IFERROR(IF(0=LEN(ReferenceData!$AS$606),"",ReferenceData!$AS$606),"")</f>
        <v/>
      </c>
      <c r="AT606" t="str">
        <f ca="1">IFERROR(IF(0=LEN(ReferenceData!$AT$606),"",ReferenceData!$AT$606),"")</f>
        <v/>
      </c>
      <c r="AU606" t="str">
        <f ca="1">IFERROR(IF(0=LEN(ReferenceData!$AU$606),"",ReferenceData!$AU$606),"")</f>
        <v/>
      </c>
      <c r="AV606" t="str">
        <f ca="1">IFERROR(IF(0=LEN(ReferenceData!$AV$606),"",ReferenceData!$AV$606),"")</f>
        <v/>
      </c>
      <c r="AW606" t="str">
        <f ca="1">IFERROR(IF(0=LEN(ReferenceData!$AW$606),"",ReferenceData!$AW$606),"")</f>
        <v/>
      </c>
      <c r="AX606" t="str">
        <f ca="1">IFERROR(IF(0=LEN(ReferenceData!$AX$606),"",ReferenceData!$AX$606),"")</f>
        <v/>
      </c>
      <c r="AY606" t="str">
        <f ca="1">IFERROR(IF(0=LEN(ReferenceData!$AY$606),"",ReferenceData!$AY$606),"")</f>
        <v/>
      </c>
      <c r="AZ606" t="str">
        <f ca="1">IFERROR(IF(0=LEN(ReferenceData!$AZ$606),"",ReferenceData!$AZ$606),"")</f>
        <v/>
      </c>
      <c r="BA606" t="str">
        <f ca="1">IFERROR(IF(0=LEN(ReferenceData!$BA$606),"",ReferenceData!$BA$606),"")</f>
        <v/>
      </c>
      <c r="BB606" t="str">
        <f ca="1">IFERROR(IF(0=LEN(ReferenceData!$BB$606),"",ReferenceData!$BB$606),"")</f>
        <v/>
      </c>
      <c r="BC606" t="str">
        <f ca="1">IFERROR(IF(0=LEN(ReferenceData!$BC$606),"",ReferenceData!$BC$606),"")</f>
        <v/>
      </c>
      <c r="BD606" t="str">
        <f ca="1">IFERROR(IF(0=LEN(ReferenceData!$BD$606),"",ReferenceData!$BD$606),"")</f>
        <v/>
      </c>
      <c r="BE606" t="str">
        <f ca="1">IFERROR(IF(0=LEN(ReferenceData!$BE$606),"",ReferenceData!$BE$606),"")</f>
        <v/>
      </c>
      <c r="BF606" t="str">
        <f ca="1">IFERROR(IF(0=LEN(ReferenceData!$BF$606),"",ReferenceData!$BF$606),"")</f>
        <v/>
      </c>
      <c r="BG606" t="str">
        <f ca="1">IFERROR(IF(0=LEN(ReferenceData!$BG$606),"",ReferenceData!$BG$606),"")</f>
        <v/>
      </c>
      <c r="BH606" t="str">
        <f ca="1">IFERROR(IF(0=LEN(ReferenceData!$BH$606),"",ReferenceData!$BH$606),"")</f>
        <v/>
      </c>
      <c r="BI606" t="str">
        <f ca="1">IFERROR(IF(0=LEN(ReferenceData!$BI$606),"",ReferenceData!$BI$606),"")</f>
        <v/>
      </c>
      <c r="BJ606" t="str">
        <f ca="1">IFERROR(IF(0=LEN(ReferenceData!$BJ$606),"",ReferenceData!$BJ$606),"")</f>
        <v/>
      </c>
      <c r="BK606" t="str">
        <f ca="1">IFERROR(IF(0=LEN(ReferenceData!$BK$606),"",ReferenceData!$BK$606),"")</f>
        <v/>
      </c>
      <c r="BL606" t="str">
        <f ca="1">IFERROR(IF(0=LEN(ReferenceData!$BL$606),"",ReferenceData!$BL$606),"")</f>
        <v/>
      </c>
      <c r="BM606" t="str">
        <f ca="1">IFERROR(IF(0=LEN(ReferenceData!$BM$606),"",ReferenceData!$BM$606),"")</f>
        <v/>
      </c>
    </row>
    <row r="607" spans="1:65" x14ac:dyDescent="0.25">
      <c r="A607" t="str">
        <f>IFERROR(IF(0=LEN(ReferenceData!$A$607),"",ReferenceData!$A$607),"")</f>
        <v xml:space="preserve">    Renault SA</v>
      </c>
      <c r="B607" t="str">
        <f>IFERROR(IF(0=LEN(ReferenceData!$B$607),"",ReferenceData!$B$607),"")</f>
        <v>RNO FP Equity</v>
      </c>
      <c r="C607" t="str">
        <f>IFERROR(IF(0=LEN(ReferenceData!$C$607),"",ReferenceData!$C$607),"")</f>
        <v>RX072</v>
      </c>
      <c r="D607" t="str">
        <f>IFERROR(IF(0=LEN(ReferenceData!$D$607),"",ReferenceData!$D$607),"")</f>
        <v>FREE_CASH_FLOW_YIELD</v>
      </c>
      <c r="E607" t="str">
        <f>IFERROR(IF(0=LEN(ReferenceData!$E$607),"",ReferenceData!$E$607),"")</f>
        <v>Dynamic</v>
      </c>
      <c r="F607" t="str">
        <f ca="1">IFERROR(IF(0=LEN(ReferenceData!$F$607),"",ReferenceData!$F$607),"")</f>
        <v/>
      </c>
      <c r="G607" t="str">
        <f ca="1">IFERROR(IF(0=LEN(ReferenceData!$G$607),"",ReferenceData!$G$607),"")</f>
        <v/>
      </c>
      <c r="H607" t="str">
        <f ca="1">IFERROR(IF(0=LEN(ReferenceData!$H$607),"",ReferenceData!$H$607),"")</f>
        <v/>
      </c>
      <c r="I607" t="str">
        <f ca="1">IFERROR(IF(0=LEN(ReferenceData!$I$607),"",ReferenceData!$I$607),"")</f>
        <v/>
      </c>
      <c r="J607" t="str">
        <f ca="1">IFERROR(IF(0=LEN(ReferenceData!$J$607),"",ReferenceData!$J$607),"")</f>
        <v/>
      </c>
      <c r="K607" t="str">
        <f ca="1">IFERROR(IF(0=LEN(ReferenceData!$K$607),"",ReferenceData!$K$607),"")</f>
        <v/>
      </c>
      <c r="L607" t="str">
        <f ca="1">IFERROR(IF(0=LEN(ReferenceData!$L$607),"",ReferenceData!$L$607),"")</f>
        <v/>
      </c>
      <c r="M607" t="str">
        <f ca="1">IFERROR(IF(0=LEN(ReferenceData!$M$607),"",ReferenceData!$M$607),"")</f>
        <v/>
      </c>
      <c r="N607" t="str">
        <f ca="1">IFERROR(IF(0=LEN(ReferenceData!$N$607),"",ReferenceData!$N$607),"")</f>
        <v/>
      </c>
      <c r="O607" t="str">
        <f ca="1">IFERROR(IF(0=LEN(ReferenceData!$O$607),"",ReferenceData!$O$607),"")</f>
        <v/>
      </c>
      <c r="P607" t="str">
        <f ca="1">IFERROR(IF(0=LEN(ReferenceData!$P$607),"",ReferenceData!$P$607),"")</f>
        <v/>
      </c>
      <c r="Q607" t="str">
        <f ca="1">IFERROR(IF(0=LEN(ReferenceData!$Q$607),"",ReferenceData!$Q$607),"")</f>
        <v/>
      </c>
      <c r="R607" t="str">
        <f ca="1">IFERROR(IF(0=LEN(ReferenceData!$R$607),"",ReferenceData!$R$607),"")</f>
        <v/>
      </c>
      <c r="S607" t="str">
        <f ca="1">IFERROR(IF(0=LEN(ReferenceData!$S$607),"",ReferenceData!$S$607),"")</f>
        <v/>
      </c>
      <c r="T607" t="str">
        <f ca="1">IFERROR(IF(0=LEN(ReferenceData!$T$607),"",ReferenceData!$T$607),"")</f>
        <v/>
      </c>
      <c r="U607" t="str">
        <f ca="1">IFERROR(IF(0=LEN(ReferenceData!$U$607),"",ReferenceData!$U$607),"")</f>
        <v/>
      </c>
      <c r="V607" t="str">
        <f ca="1">IFERROR(IF(0=LEN(ReferenceData!$V$607),"",ReferenceData!$V$607),"")</f>
        <v/>
      </c>
      <c r="W607" t="str">
        <f ca="1">IFERROR(IF(0=LEN(ReferenceData!$W$607),"",ReferenceData!$W$607),"")</f>
        <v/>
      </c>
      <c r="X607" t="str">
        <f ca="1">IFERROR(IF(0=LEN(ReferenceData!$X$607),"",ReferenceData!$X$607),"")</f>
        <v/>
      </c>
      <c r="Y607" t="str">
        <f ca="1">IFERROR(IF(0=LEN(ReferenceData!$Y$607),"",ReferenceData!$Y$607),"")</f>
        <v/>
      </c>
      <c r="Z607" t="str">
        <f ca="1">IFERROR(IF(0=LEN(ReferenceData!$Z$607),"",ReferenceData!$Z$607),"")</f>
        <v/>
      </c>
      <c r="AA607" t="str">
        <f ca="1">IFERROR(IF(0=LEN(ReferenceData!$AA$607),"",ReferenceData!$AA$607),"")</f>
        <v/>
      </c>
      <c r="AB607" t="str">
        <f ca="1">IFERROR(IF(0=LEN(ReferenceData!$AB$607),"",ReferenceData!$AB$607),"")</f>
        <v/>
      </c>
      <c r="AC607" t="str">
        <f ca="1">IFERROR(IF(0=LEN(ReferenceData!$AC$607),"",ReferenceData!$AC$607),"")</f>
        <v/>
      </c>
      <c r="AD607" t="str">
        <f ca="1">IFERROR(IF(0=LEN(ReferenceData!$AD$607),"",ReferenceData!$AD$607),"")</f>
        <v/>
      </c>
      <c r="AE607" t="str">
        <f ca="1">IFERROR(IF(0=LEN(ReferenceData!$AE$607),"",ReferenceData!$AE$607),"")</f>
        <v/>
      </c>
      <c r="AF607" t="str">
        <f ca="1">IFERROR(IF(0=LEN(ReferenceData!$AF$607),"",ReferenceData!$AF$607),"")</f>
        <v/>
      </c>
      <c r="AG607" t="str">
        <f ca="1">IFERROR(IF(0=LEN(ReferenceData!$AG$607),"",ReferenceData!$AG$607),"")</f>
        <v/>
      </c>
      <c r="AH607" t="str">
        <f ca="1">IFERROR(IF(0=LEN(ReferenceData!$AH$607),"",ReferenceData!$AH$607),"")</f>
        <v/>
      </c>
      <c r="AI607" t="str">
        <f ca="1">IFERROR(IF(0=LEN(ReferenceData!$AI$607),"",ReferenceData!$AI$607),"")</f>
        <v/>
      </c>
      <c r="AJ607" t="str">
        <f ca="1">IFERROR(IF(0=LEN(ReferenceData!$AJ$607),"",ReferenceData!$AJ$607),"")</f>
        <v/>
      </c>
      <c r="AK607" t="str">
        <f ca="1">IFERROR(IF(0=LEN(ReferenceData!$AK$607),"",ReferenceData!$AK$607),"")</f>
        <v/>
      </c>
      <c r="AL607" t="str">
        <f ca="1">IFERROR(IF(0=LEN(ReferenceData!$AL$607),"",ReferenceData!$AL$607),"")</f>
        <v/>
      </c>
      <c r="AM607" t="str">
        <f ca="1">IFERROR(IF(0=LEN(ReferenceData!$AM$607),"",ReferenceData!$AM$607),"")</f>
        <v/>
      </c>
      <c r="AN607" t="str">
        <f ca="1">IFERROR(IF(0=LEN(ReferenceData!$AN$607),"",ReferenceData!$AN$607),"")</f>
        <v/>
      </c>
      <c r="AO607" t="str">
        <f ca="1">IFERROR(IF(0=LEN(ReferenceData!$AO$607),"",ReferenceData!$AO$607),"")</f>
        <v/>
      </c>
      <c r="AP607" t="str">
        <f ca="1">IFERROR(IF(0=LEN(ReferenceData!$AP$607),"",ReferenceData!$AP$607),"")</f>
        <v/>
      </c>
      <c r="AQ607" t="str">
        <f ca="1">IFERROR(IF(0=LEN(ReferenceData!$AQ$607),"",ReferenceData!$AQ$607),"")</f>
        <v/>
      </c>
      <c r="AR607" t="str">
        <f ca="1">IFERROR(IF(0=LEN(ReferenceData!$AR$607),"",ReferenceData!$AR$607),"")</f>
        <v/>
      </c>
      <c r="AS607" t="str">
        <f ca="1">IFERROR(IF(0=LEN(ReferenceData!$AS$607),"",ReferenceData!$AS$607),"")</f>
        <v/>
      </c>
      <c r="AT607" t="str">
        <f ca="1">IFERROR(IF(0=LEN(ReferenceData!$AT$607),"",ReferenceData!$AT$607),"")</f>
        <v/>
      </c>
      <c r="AU607" t="str">
        <f ca="1">IFERROR(IF(0=LEN(ReferenceData!$AU$607),"",ReferenceData!$AU$607),"")</f>
        <v/>
      </c>
      <c r="AV607" t="str">
        <f ca="1">IFERROR(IF(0=LEN(ReferenceData!$AV$607),"",ReferenceData!$AV$607),"")</f>
        <v/>
      </c>
      <c r="AW607" t="str">
        <f ca="1">IFERROR(IF(0=LEN(ReferenceData!$AW$607),"",ReferenceData!$AW$607),"")</f>
        <v/>
      </c>
      <c r="AX607" t="str">
        <f ca="1">IFERROR(IF(0=LEN(ReferenceData!$AX$607),"",ReferenceData!$AX$607),"")</f>
        <v/>
      </c>
      <c r="AY607" t="str">
        <f ca="1">IFERROR(IF(0=LEN(ReferenceData!$AY$607),"",ReferenceData!$AY$607),"")</f>
        <v/>
      </c>
      <c r="AZ607" t="str">
        <f ca="1">IFERROR(IF(0=LEN(ReferenceData!$AZ$607),"",ReferenceData!$AZ$607),"")</f>
        <v/>
      </c>
      <c r="BA607" t="str">
        <f ca="1">IFERROR(IF(0=LEN(ReferenceData!$BA$607),"",ReferenceData!$BA$607),"")</f>
        <v/>
      </c>
      <c r="BB607" t="str">
        <f ca="1">IFERROR(IF(0=LEN(ReferenceData!$BB$607),"",ReferenceData!$BB$607),"")</f>
        <v/>
      </c>
      <c r="BC607" t="str">
        <f ca="1">IFERROR(IF(0=LEN(ReferenceData!$BC$607),"",ReferenceData!$BC$607),"")</f>
        <v/>
      </c>
      <c r="BD607" t="str">
        <f ca="1">IFERROR(IF(0=LEN(ReferenceData!$BD$607),"",ReferenceData!$BD$607),"")</f>
        <v/>
      </c>
      <c r="BE607" t="str">
        <f ca="1">IFERROR(IF(0=LEN(ReferenceData!$BE$607),"",ReferenceData!$BE$607),"")</f>
        <v/>
      </c>
      <c r="BF607" t="str">
        <f ca="1">IFERROR(IF(0=LEN(ReferenceData!$BF$607),"",ReferenceData!$BF$607),"")</f>
        <v/>
      </c>
      <c r="BG607" t="str">
        <f ca="1">IFERROR(IF(0=LEN(ReferenceData!$BG$607),"",ReferenceData!$BG$607),"")</f>
        <v/>
      </c>
      <c r="BH607" t="str">
        <f ca="1">IFERROR(IF(0=LEN(ReferenceData!$BH$607),"",ReferenceData!$BH$607),"")</f>
        <v/>
      </c>
      <c r="BI607" t="str">
        <f ca="1">IFERROR(IF(0=LEN(ReferenceData!$BI$607),"",ReferenceData!$BI$607),"")</f>
        <v/>
      </c>
      <c r="BJ607" t="str">
        <f ca="1">IFERROR(IF(0=LEN(ReferenceData!$BJ$607),"",ReferenceData!$BJ$607),"")</f>
        <v/>
      </c>
      <c r="BK607" t="str">
        <f ca="1">IFERROR(IF(0=LEN(ReferenceData!$BK$607),"",ReferenceData!$BK$607),"")</f>
        <v/>
      </c>
      <c r="BL607" t="str">
        <f ca="1">IFERROR(IF(0=LEN(ReferenceData!$BL$607),"",ReferenceData!$BL$607),"")</f>
        <v/>
      </c>
      <c r="BM607" t="str">
        <f ca="1">IFERROR(IF(0=LEN(ReferenceData!$BM$607),"",ReferenceData!$BM$607),"")</f>
        <v/>
      </c>
    </row>
    <row r="608" spans="1:65" x14ac:dyDescent="0.25">
      <c r="A608" t="str">
        <f>IFERROR(IF(0=LEN(ReferenceData!$A$608),"",ReferenceData!$A$608),"")</f>
        <v xml:space="preserve">    SAIC Motor Corp Ltd</v>
      </c>
      <c r="B608" t="str">
        <f>IFERROR(IF(0=LEN(ReferenceData!$B$608),"",ReferenceData!$B$608),"")</f>
        <v>600104 CH Equity</v>
      </c>
      <c r="C608" t="str">
        <f>IFERROR(IF(0=LEN(ReferenceData!$C$608),"",ReferenceData!$C$608),"")</f>
        <v>RX072</v>
      </c>
      <c r="D608" t="str">
        <f>IFERROR(IF(0=LEN(ReferenceData!$D$608),"",ReferenceData!$D$608),"")</f>
        <v>FREE_CASH_FLOW_YIELD</v>
      </c>
      <c r="E608" t="str">
        <f>IFERROR(IF(0=LEN(ReferenceData!$E$608),"",ReferenceData!$E$608),"")</f>
        <v>Dynamic</v>
      </c>
      <c r="F608">
        <f ca="1">IFERROR(IF(0=LEN(ReferenceData!$F$608),"",ReferenceData!$F$608),"")</f>
        <v>-15.17037668</v>
      </c>
      <c r="G608">
        <f ca="1">IFERROR(IF(0=LEN(ReferenceData!$G$608),"",ReferenceData!$G$608),"")</f>
        <v>-16.160120039999999</v>
      </c>
      <c r="H608">
        <f ca="1">IFERROR(IF(0=LEN(ReferenceData!$H$608),"",ReferenceData!$H$608),"")</f>
        <v>-12.95043274</v>
      </c>
      <c r="I608">
        <f ca="1">IFERROR(IF(0=LEN(ReferenceData!$I$608),"",ReferenceData!$I$608),"")</f>
        <v>-5.7262993790000003</v>
      </c>
      <c r="J608">
        <f ca="1">IFERROR(IF(0=LEN(ReferenceData!$J$608),"",ReferenceData!$J$608),"")</f>
        <v>2.9373477549999998</v>
      </c>
      <c r="K608">
        <f ca="1">IFERROR(IF(0=LEN(ReferenceData!$K$608),"",ReferenceData!$K$608),"")</f>
        <v>7.0436252589999997</v>
      </c>
      <c r="L608">
        <f ca="1">IFERROR(IF(0=LEN(ReferenceData!$L$608),"",ReferenceData!$L$608),"")</f>
        <v>6.5019213239999996</v>
      </c>
      <c r="M608">
        <f ca="1">IFERROR(IF(0=LEN(ReferenceData!$M$608),"",ReferenceData!$M$608),"")</f>
        <v>10.69766933</v>
      </c>
      <c r="N608">
        <f ca="1">IFERROR(IF(0=LEN(ReferenceData!$N$608),"",ReferenceData!$N$608),"")</f>
        <v>7.4776083760000001</v>
      </c>
      <c r="O608">
        <f ca="1">IFERROR(IF(0=LEN(ReferenceData!$O$608),"",ReferenceData!$O$608),"")</f>
        <v>8.622061983</v>
      </c>
      <c r="P608">
        <f ca="1">IFERROR(IF(0=LEN(ReferenceData!$P$608),"",ReferenceData!$P$608),"")</f>
        <v>20.27250458</v>
      </c>
      <c r="Q608">
        <f ca="1">IFERROR(IF(0=LEN(ReferenceData!$Q$608),"",ReferenceData!$Q$608),"")</f>
        <v>16.311237009999999</v>
      </c>
      <c r="R608">
        <f ca="1">IFERROR(IF(0=LEN(ReferenceData!$R$608),"",ReferenceData!$R$608),"")</f>
        <v>14.666551930000001</v>
      </c>
      <c r="S608">
        <f ca="1">IFERROR(IF(0=LEN(ReferenceData!$S$608),"",ReferenceData!$S$608),"")</f>
        <v>16.140432279999999</v>
      </c>
      <c r="T608">
        <f ca="1">IFERROR(IF(0=LEN(ReferenceData!$T$608),"",ReferenceData!$T$608),"")</f>
        <v>12.714917120000001</v>
      </c>
      <c r="U608">
        <f ca="1">IFERROR(IF(0=LEN(ReferenceData!$U$608),"",ReferenceData!$U$608),"")</f>
        <v>3.560117274</v>
      </c>
      <c r="V608">
        <f ca="1">IFERROR(IF(0=LEN(ReferenceData!$V$608),"",ReferenceData!$V$608),"")</f>
        <v>3.5391122679999998</v>
      </c>
      <c r="W608">
        <f ca="1">IFERROR(IF(0=LEN(ReferenceData!$W$608),"",ReferenceData!$W$608),"")</f>
        <v>7.7972202560000001</v>
      </c>
      <c r="X608">
        <f ca="1">IFERROR(IF(0=LEN(ReferenceData!$X$608),"",ReferenceData!$X$608),"")</f>
        <v>7.8804312520000002</v>
      </c>
      <c r="Y608">
        <f ca="1">IFERROR(IF(0=LEN(ReferenceData!$Y$608),"",ReferenceData!$Y$608),"")</f>
        <v>8.7376005059999997</v>
      </c>
      <c r="Z608">
        <f ca="1">IFERROR(IF(0=LEN(ReferenceData!$Z$608),"",ReferenceData!$Z$608),"")</f>
        <v>5.170032945</v>
      </c>
      <c r="AA608">
        <f ca="1">IFERROR(IF(0=LEN(ReferenceData!$AA$608),"",ReferenceData!$AA$608),"")</f>
        <v>11.480292439999999</v>
      </c>
      <c r="AB608">
        <f ca="1">IFERROR(IF(0=LEN(ReferenceData!$AB$608),"",ReferenceData!$AB$608),"")</f>
        <v>2.6422166960000002</v>
      </c>
      <c r="AC608">
        <f ca="1">IFERROR(IF(0=LEN(ReferenceData!$AC$608),"",ReferenceData!$AC$608),"")</f>
        <v>16.383404509999998</v>
      </c>
      <c r="AD608">
        <f ca="1">IFERROR(IF(0=LEN(ReferenceData!$AD$608),"",ReferenceData!$AD$608),"")</f>
        <v>19.976278900000001</v>
      </c>
      <c r="AE608">
        <f ca="1">IFERROR(IF(0=LEN(ReferenceData!$AE$608),"",ReferenceData!$AE$608),"")</f>
        <v>9.6989181549999994</v>
      </c>
      <c r="AF608">
        <f ca="1">IFERROR(IF(0=LEN(ReferenceData!$AF$608),"",ReferenceData!$AF$608),"")</f>
        <v>24.6878551</v>
      </c>
      <c r="AG608">
        <f ca="1">IFERROR(IF(0=LEN(ReferenceData!$AG$608),"",ReferenceData!$AG$608),"")</f>
        <v>24.341954019999999</v>
      </c>
      <c r="AH608">
        <f ca="1">IFERROR(IF(0=LEN(ReferenceData!$AH$608),"",ReferenceData!$AH$608),"")</f>
        <v>16.841392219999999</v>
      </c>
      <c r="AI608">
        <f ca="1">IFERROR(IF(0=LEN(ReferenceData!$AI$608),"",ReferenceData!$AI$608),"")</f>
        <v>17.369431550000002</v>
      </c>
      <c r="AJ608">
        <f ca="1">IFERROR(IF(0=LEN(ReferenceData!$AJ$608),"",ReferenceData!$AJ$608),"")</f>
        <v>23.152621150000002</v>
      </c>
      <c r="AK608">
        <f ca="1">IFERROR(IF(0=LEN(ReferenceData!$AK$608),"",ReferenceData!$AK$608),"")</f>
        <v>15.41565793</v>
      </c>
      <c r="AL608">
        <f ca="1">IFERROR(IF(0=LEN(ReferenceData!$AL$608),"",ReferenceData!$AL$608),"")</f>
        <v>14.36647591</v>
      </c>
      <c r="AM608">
        <f ca="1">IFERROR(IF(0=LEN(ReferenceData!$AM$608),"",ReferenceData!$AM$608),"")</f>
        <v>18.05595916</v>
      </c>
      <c r="AN608">
        <f ca="1">IFERROR(IF(0=LEN(ReferenceData!$AN$608),"",ReferenceData!$AN$608),"")</f>
        <v>10.108039679999999</v>
      </c>
      <c r="AO608">
        <f ca="1">IFERROR(IF(0=LEN(ReferenceData!$AO$608),"",ReferenceData!$AO$608),"")</f>
        <v>11.34093541</v>
      </c>
      <c r="AP608">
        <f ca="1">IFERROR(IF(0=LEN(ReferenceData!$AP$608),"",ReferenceData!$AP$608),"")</f>
        <v>19.277899900000001</v>
      </c>
      <c r="AQ608">
        <f ca="1">IFERROR(IF(0=LEN(ReferenceData!$AQ$608),"",ReferenceData!$AQ$608),"")</f>
        <v>12.51462579</v>
      </c>
      <c r="AR608">
        <f ca="1">IFERROR(IF(0=LEN(ReferenceData!$AR$608),"",ReferenceData!$AR$608),"")</f>
        <v>4.8761572000000003E-2</v>
      </c>
      <c r="AS608">
        <f ca="1">IFERROR(IF(0=LEN(ReferenceData!$AS$608),"",ReferenceData!$AS$608),"")</f>
        <v>-5.7440401230000004</v>
      </c>
      <c r="AT608">
        <f ca="1">IFERROR(IF(0=LEN(ReferenceData!$AT$608),"",ReferenceData!$AT$608),"")</f>
        <v>-14.190580389999999</v>
      </c>
      <c r="AU608">
        <f ca="1">IFERROR(IF(0=LEN(ReferenceData!$AU$608),"",ReferenceData!$AU$608),"")</f>
        <v>-7.28867771</v>
      </c>
      <c r="AV608">
        <f ca="1">IFERROR(IF(0=LEN(ReferenceData!$AV$608),"",ReferenceData!$AV$608),"")</f>
        <v>14.04423497</v>
      </c>
      <c r="AW608">
        <f ca="1">IFERROR(IF(0=LEN(ReferenceData!$AW$608),"",ReferenceData!$AW$608),"")</f>
        <v>10.779162790000001</v>
      </c>
      <c r="AX608">
        <f ca="1">IFERROR(IF(0=LEN(ReferenceData!$AX$608),"",ReferenceData!$AX$608),"")</f>
        <v>7.5470231569999999</v>
      </c>
      <c r="AY608">
        <f ca="1">IFERROR(IF(0=LEN(ReferenceData!$AY$608),"",ReferenceData!$AY$608),"")</f>
        <v>-0.45901043600000002</v>
      </c>
      <c r="AZ608">
        <f ca="1">IFERROR(IF(0=LEN(ReferenceData!$AZ$608),"",ReferenceData!$AZ$608),"")</f>
        <v>4.162380787</v>
      </c>
      <c r="BA608">
        <f ca="1">IFERROR(IF(0=LEN(ReferenceData!$BA$608),"",ReferenceData!$BA$608),"")</f>
        <v>9.5886812339999992</v>
      </c>
      <c r="BB608">
        <f ca="1">IFERROR(IF(0=LEN(ReferenceData!$BB$608),"",ReferenceData!$BB$608),"")</f>
        <v>11.42440618</v>
      </c>
      <c r="BC608">
        <f ca="1">IFERROR(IF(0=LEN(ReferenceData!$BC$608),"",ReferenceData!$BC$608),"")</f>
        <v>15.159161449999999</v>
      </c>
      <c r="BD608">
        <f ca="1">IFERROR(IF(0=LEN(ReferenceData!$BD$608),"",ReferenceData!$BD$608),"")</f>
        <v>6.0846453980000001</v>
      </c>
      <c r="BE608">
        <f ca="1">IFERROR(IF(0=LEN(ReferenceData!$BE$608),"",ReferenceData!$BE$608),"")</f>
        <v>10.948307679999999</v>
      </c>
      <c r="BF608">
        <f ca="1">IFERROR(IF(0=LEN(ReferenceData!$BF$608),"",ReferenceData!$BF$608),"")</f>
        <v>10.265668399999999</v>
      </c>
      <c r="BG608">
        <f ca="1">IFERROR(IF(0=LEN(ReferenceData!$BG$608),"",ReferenceData!$BG$608),"")</f>
        <v>9.2717772249999992</v>
      </c>
      <c r="BH608">
        <f ca="1">IFERROR(IF(0=LEN(ReferenceData!$BH$608),"",ReferenceData!$BH$608),"")</f>
        <v>-1.9492463470000001</v>
      </c>
      <c r="BI608">
        <f ca="1">IFERROR(IF(0=LEN(ReferenceData!$BI$608),"",ReferenceData!$BI$608),"")</f>
        <v>-2.3390956169999999</v>
      </c>
      <c r="BJ608">
        <f ca="1">IFERROR(IF(0=LEN(ReferenceData!$BJ$608),"",ReferenceData!$BJ$608),"")</f>
        <v>5.147275102</v>
      </c>
      <c r="BK608">
        <f ca="1">IFERROR(IF(0=LEN(ReferenceData!$BK$608),"",ReferenceData!$BK$608),"")</f>
        <v>3.5018708510000001</v>
      </c>
      <c r="BL608">
        <f ca="1">IFERROR(IF(0=LEN(ReferenceData!$BL$608),"",ReferenceData!$BL$608),"")</f>
        <v>1.4427921939999999</v>
      </c>
      <c r="BM608">
        <f ca="1">IFERROR(IF(0=LEN(ReferenceData!$BM$608),"",ReferenceData!$BM$608),"")</f>
        <v>2.0666025349999999</v>
      </c>
    </row>
    <row r="609" spans="1:65" x14ac:dyDescent="0.25">
      <c r="A609" t="str">
        <f>IFERROR(IF(0=LEN(ReferenceData!$A$609),"",ReferenceData!$A$609),"")</f>
        <v xml:space="preserve">    Sanyang Motor Co Ltd</v>
      </c>
      <c r="B609" t="str">
        <f>IFERROR(IF(0=LEN(ReferenceData!$B$609),"",ReferenceData!$B$609),"")</f>
        <v>2206 TT Equity</v>
      </c>
      <c r="C609" t="str">
        <f>IFERROR(IF(0=LEN(ReferenceData!$C$609),"",ReferenceData!$C$609),"")</f>
        <v>RX072</v>
      </c>
      <c r="D609" t="str">
        <f>IFERROR(IF(0=LEN(ReferenceData!$D$609),"",ReferenceData!$D$609),"")</f>
        <v>FREE_CASH_FLOW_YIELD</v>
      </c>
      <c r="E609" t="str">
        <f>IFERROR(IF(0=LEN(ReferenceData!$E$609),"",ReferenceData!$E$609),"")</f>
        <v>Dynamic</v>
      </c>
      <c r="F609">
        <f ca="1">IFERROR(IF(0=LEN(ReferenceData!$F$609),"",ReferenceData!$F$609),"")</f>
        <v>-7.8151137860000004</v>
      </c>
      <c r="G609">
        <f ca="1">IFERROR(IF(0=LEN(ReferenceData!$G$609),"",ReferenceData!$G$609),"")</f>
        <v>-7.8346515700000001</v>
      </c>
      <c r="H609">
        <f ca="1">IFERROR(IF(0=LEN(ReferenceData!$H$609),"",ReferenceData!$H$609),"")</f>
        <v>-7.6435625079999996</v>
      </c>
      <c r="I609">
        <f ca="1">IFERROR(IF(0=LEN(ReferenceData!$I$609),"",ReferenceData!$I$609),"")</f>
        <v>-1.491778539</v>
      </c>
      <c r="J609">
        <f ca="1">IFERROR(IF(0=LEN(ReferenceData!$J$609),"",ReferenceData!$J$609),"")</f>
        <v>-0.80292131099999997</v>
      </c>
      <c r="K609">
        <f ca="1">IFERROR(IF(0=LEN(ReferenceData!$K$609),"",ReferenceData!$K$609),"")</f>
        <v>6.6742801839999997</v>
      </c>
      <c r="L609">
        <f ca="1">IFERROR(IF(0=LEN(ReferenceData!$L$609),"",ReferenceData!$L$609),"")</f>
        <v>18.127385990000001</v>
      </c>
      <c r="M609">
        <f ca="1">IFERROR(IF(0=LEN(ReferenceData!$M$609),"",ReferenceData!$M$609),"")</f>
        <v>15.254875029999999</v>
      </c>
      <c r="N609">
        <f ca="1">IFERROR(IF(0=LEN(ReferenceData!$N$609),"",ReferenceData!$N$609),"")</f>
        <v>20.38834889</v>
      </c>
      <c r="O609">
        <f ca="1">IFERROR(IF(0=LEN(ReferenceData!$O$609),"",ReferenceData!$O$609),"")</f>
        <v>18.873799760000001</v>
      </c>
      <c r="P609">
        <f ca="1">IFERROR(IF(0=LEN(ReferenceData!$P$609),"",ReferenceData!$P$609),"")</f>
        <v>16.69427245</v>
      </c>
      <c r="Q609">
        <f ca="1">IFERROR(IF(0=LEN(ReferenceData!$Q$609),"",ReferenceData!$Q$609),"")</f>
        <v>9.0727520330000004</v>
      </c>
      <c r="R609">
        <f ca="1">IFERROR(IF(0=LEN(ReferenceData!$R$609),"",ReferenceData!$R$609),"")</f>
        <v>6.8419647570000004</v>
      </c>
      <c r="S609">
        <f ca="1">IFERROR(IF(0=LEN(ReferenceData!$S$609),"",ReferenceData!$S$609),"")</f>
        <v>-6.2101558519999998</v>
      </c>
      <c r="T609">
        <f ca="1">IFERROR(IF(0=LEN(ReferenceData!$T$609),"",ReferenceData!$T$609),"")</f>
        <v>-10.757790740000001</v>
      </c>
      <c r="U609">
        <f ca="1">IFERROR(IF(0=LEN(ReferenceData!$U$609),"",ReferenceData!$U$609),"")</f>
        <v>-5.7955652779999998</v>
      </c>
      <c r="V609">
        <f ca="1">IFERROR(IF(0=LEN(ReferenceData!$V$609),"",ReferenceData!$V$609),"")</f>
        <v>-6.6909136389999997</v>
      </c>
      <c r="W609">
        <f ca="1">IFERROR(IF(0=LEN(ReferenceData!$W$609),"",ReferenceData!$W$609),"")</f>
        <v>-4.2610691300000001</v>
      </c>
      <c r="X609">
        <f ca="1">IFERROR(IF(0=LEN(ReferenceData!$X$609),"",ReferenceData!$X$609),"")</f>
        <v>-8.1299768829999994</v>
      </c>
      <c r="Y609">
        <f ca="1">IFERROR(IF(0=LEN(ReferenceData!$Y$609),"",ReferenceData!$Y$609),"")</f>
        <v>-6.538415788</v>
      </c>
      <c r="Z609">
        <f ca="1">IFERROR(IF(0=LEN(ReferenceData!$Z$609),"",ReferenceData!$Z$609),"")</f>
        <v>-7.3334504110000003</v>
      </c>
      <c r="AA609">
        <f ca="1">IFERROR(IF(0=LEN(ReferenceData!$AA$609),"",ReferenceData!$AA$609),"")</f>
        <v>-5.3909935920000001</v>
      </c>
      <c r="AB609">
        <f ca="1">IFERROR(IF(0=LEN(ReferenceData!$AB$609),"",ReferenceData!$AB$609),"")</f>
        <v>-2.8498555250000002</v>
      </c>
      <c r="AC609">
        <f ca="1">IFERROR(IF(0=LEN(ReferenceData!$AC$609),"",ReferenceData!$AC$609),"")</f>
        <v>-7.2095805999999998E-2</v>
      </c>
      <c r="AD609">
        <f ca="1">IFERROR(IF(0=LEN(ReferenceData!$AD$609),"",ReferenceData!$AD$609),"")</f>
        <v>2.309106152</v>
      </c>
      <c r="AE609">
        <f ca="1">IFERROR(IF(0=LEN(ReferenceData!$AE$609),"",ReferenceData!$AE$609),"")</f>
        <v>1.6334248549999999</v>
      </c>
      <c r="AF609">
        <f ca="1">IFERROR(IF(0=LEN(ReferenceData!$AF$609),"",ReferenceData!$AF$609),"")</f>
        <v>-2.0513993789999998</v>
      </c>
      <c r="AG609">
        <f ca="1">IFERROR(IF(0=LEN(ReferenceData!$AG$609),"",ReferenceData!$AG$609),"")</f>
        <v>-8.94830462</v>
      </c>
      <c r="AH609">
        <f ca="1">IFERROR(IF(0=LEN(ReferenceData!$AH$609),"",ReferenceData!$AH$609),"")</f>
        <v>-3.9371794489999998</v>
      </c>
      <c r="AI609">
        <f ca="1">IFERROR(IF(0=LEN(ReferenceData!$AI$609),"",ReferenceData!$AI$609),"")</f>
        <v>4.1407021000000002E-2</v>
      </c>
      <c r="AJ609">
        <f ca="1">IFERROR(IF(0=LEN(ReferenceData!$AJ$609),"",ReferenceData!$AJ$609),"")</f>
        <v>-0.65635732899999999</v>
      </c>
      <c r="AK609">
        <f ca="1">IFERROR(IF(0=LEN(ReferenceData!$AK$609),"",ReferenceData!$AK$609),"")</f>
        <v>7.5750458460000001</v>
      </c>
      <c r="AL609">
        <f ca="1">IFERROR(IF(0=LEN(ReferenceData!$AL$609),"",ReferenceData!$AL$609),"")</f>
        <v>-2.503174665</v>
      </c>
      <c r="AM609">
        <f ca="1">IFERROR(IF(0=LEN(ReferenceData!$AM$609),"",ReferenceData!$AM$609),"")</f>
        <v>-8.5749533420000006</v>
      </c>
      <c r="AN609">
        <f ca="1">IFERROR(IF(0=LEN(ReferenceData!$AN$609),"",ReferenceData!$AN$609),"")</f>
        <v>-5.3051112629999997</v>
      </c>
      <c r="AO609">
        <f ca="1">IFERROR(IF(0=LEN(ReferenceData!$AO$609),"",ReferenceData!$AO$609),"")</f>
        <v>3.6230353640000001</v>
      </c>
      <c r="AP609">
        <f ca="1">IFERROR(IF(0=LEN(ReferenceData!$AP$609),"",ReferenceData!$AP$609),"")</f>
        <v>13.640172209999999</v>
      </c>
      <c r="AQ609">
        <f ca="1">IFERROR(IF(0=LEN(ReferenceData!$AQ$609),"",ReferenceData!$AQ$609),"")</f>
        <v>11.22937349</v>
      </c>
      <c r="AR609">
        <f ca="1">IFERROR(IF(0=LEN(ReferenceData!$AR$609),"",ReferenceData!$AR$609),"")</f>
        <v>12.123440629999999</v>
      </c>
      <c r="AS609">
        <f ca="1">IFERROR(IF(0=LEN(ReferenceData!$AS$609),"",ReferenceData!$AS$609),"")</f>
        <v>-5.8239494350000003</v>
      </c>
      <c r="AT609">
        <f ca="1">IFERROR(IF(0=LEN(ReferenceData!$AT$609),"",ReferenceData!$AT$609),"")</f>
        <v>-8.7461276439999995</v>
      </c>
      <c r="AU609">
        <f ca="1">IFERROR(IF(0=LEN(ReferenceData!$AU$609),"",ReferenceData!$AU$609),"")</f>
        <v>-23.189304580000002</v>
      </c>
      <c r="AV609" t="str">
        <f ca="1">IFERROR(IF(0=LEN(ReferenceData!$AV$609),"",ReferenceData!$AV$609),"")</f>
        <v/>
      </c>
      <c r="AW609" t="str">
        <f ca="1">IFERROR(IF(0=LEN(ReferenceData!$AW$609),"",ReferenceData!$AW$609),"")</f>
        <v/>
      </c>
      <c r="AX609" t="str">
        <f ca="1">IFERROR(IF(0=LEN(ReferenceData!$AX$609),"",ReferenceData!$AX$609),"")</f>
        <v/>
      </c>
      <c r="AY609" t="str">
        <f ca="1">IFERROR(IF(0=LEN(ReferenceData!$AY$609),"",ReferenceData!$AY$609),"")</f>
        <v/>
      </c>
      <c r="AZ609" t="str">
        <f ca="1">IFERROR(IF(0=LEN(ReferenceData!$AZ$609),"",ReferenceData!$AZ$609),"")</f>
        <v/>
      </c>
      <c r="BA609" t="str">
        <f ca="1">IFERROR(IF(0=LEN(ReferenceData!$BA$609),"",ReferenceData!$BA$609),"")</f>
        <v/>
      </c>
      <c r="BB609" t="str">
        <f ca="1">IFERROR(IF(0=LEN(ReferenceData!$BB$609),"",ReferenceData!$BB$609),"")</f>
        <v/>
      </c>
      <c r="BC609" t="str">
        <f ca="1">IFERROR(IF(0=LEN(ReferenceData!$BC$609),"",ReferenceData!$BC$609),"")</f>
        <v/>
      </c>
      <c r="BD609" t="str">
        <f ca="1">IFERROR(IF(0=LEN(ReferenceData!$BD$609),"",ReferenceData!$BD$609),"")</f>
        <v/>
      </c>
      <c r="BE609" t="str">
        <f ca="1">IFERROR(IF(0=LEN(ReferenceData!$BE$609),"",ReferenceData!$BE$609),"")</f>
        <v/>
      </c>
      <c r="BF609" t="str">
        <f ca="1">IFERROR(IF(0=LEN(ReferenceData!$BF$609),"",ReferenceData!$BF$609),"")</f>
        <v/>
      </c>
      <c r="BG609" t="str">
        <f ca="1">IFERROR(IF(0=LEN(ReferenceData!$BG$609),"",ReferenceData!$BG$609),"")</f>
        <v/>
      </c>
      <c r="BH609" t="str">
        <f ca="1">IFERROR(IF(0=LEN(ReferenceData!$BH$609),"",ReferenceData!$BH$609),"")</f>
        <v/>
      </c>
      <c r="BI609" t="str">
        <f ca="1">IFERROR(IF(0=LEN(ReferenceData!$BI$609),"",ReferenceData!$BI$609),"")</f>
        <v/>
      </c>
      <c r="BJ609" t="str">
        <f ca="1">IFERROR(IF(0=LEN(ReferenceData!$BJ$609),"",ReferenceData!$BJ$609),"")</f>
        <v/>
      </c>
      <c r="BK609" t="str">
        <f ca="1">IFERROR(IF(0=LEN(ReferenceData!$BK$609),"",ReferenceData!$BK$609),"")</f>
        <v/>
      </c>
      <c r="BL609" t="str">
        <f ca="1">IFERROR(IF(0=LEN(ReferenceData!$BL$609),"",ReferenceData!$BL$609),"")</f>
        <v/>
      </c>
      <c r="BM609" t="str">
        <f ca="1">IFERROR(IF(0=LEN(ReferenceData!$BM$609),"",ReferenceData!$BM$609),"")</f>
        <v/>
      </c>
    </row>
    <row r="610" spans="1:65" x14ac:dyDescent="0.25">
      <c r="A610" t="str">
        <f>IFERROR(IF(0=LEN(ReferenceData!$A$610),"",ReferenceData!$A$610),"")</f>
        <v xml:space="preserve">    Sollers PJSC</v>
      </c>
      <c r="B610" t="str">
        <f>IFERROR(IF(0=LEN(ReferenceData!$B$610),"",ReferenceData!$B$610),"")</f>
        <v>SVAV RM Equity</v>
      </c>
      <c r="C610" t="str">
        <f>IFERROR(IF(0=LEN(ReferenceData!$C$610),"",ReferenceData!$C$610),"")</f>
        <v>RX072</v>
      </c>
      <c r="D610" t="str">
        <f>IFERROR(IF(0=LEN(ReferenceData!$D$610),"",ReferenceData!$D$610),"")</f>
        <v>FREE_CASH_FLOW_YIELD</v>
      </c>
      <c r="E610" t="str">
        <f>IFERROR(IF(0=LEN(ReferenceData!$E$610),"",ReferenceData!$E$610),"")</f>
        <v>Dynamic</v>
      </c>
      <c r="F610" t="str">
        <f ca="1">IFERROR(IF(0=LEN(ReferenceData!$F$610),"",ReferenceData!$F$610),"")</f>
        <v/>
      </c>
      <c r="G610" t="str">
        <f ca="1">IFERROR(IF(0=LEN(ReferenceData!$G$610),"",ReferenceData!$G$610),"")</f>
        <v/>
      </c>
      <c r="H610" t="str">
        <f ca="1">IFERROR(IF(0=LEN(ReferenceData!$H$610),"",ReferenceData!$H$610),"")</f>
        <v/>
      </c>
      <c r="I610" t="str">
        <f ca="1">IFERROR(IF(0=LEN(ReferenceData!$I$610),"",ReferenceData!$I$610),"")</f>
        <v/>
      </c>
      <c r="J610" t="str">
        <f ca="1">IFERROR(IF(0=LEN(ReferenceData!$J$610),"",ReferenceData!$J$610),"")</f>
        <v/>
      </c>
      <c r="K610" t="str">
        <f ca="1">IFERROR(IF(0=LEN(ReferenceData!$K$610),"",ReferenceData!$K$610),"")</f>
        <v/>
      </c>
      <c r="L610" t="str">
        <f ca="1">IFERROR(IF(0=LEN(ReferenceData!$L$610),"",ReferenceData!$L$610),"")</f>
        <v/>
      </c>
      <c r="M610" t="str">
        <f ca="1">IFERROR(IF(0=LEN(ReferenceData!$M$610),"",ReferenceData!$M$610),"")</f>
        <v/>
      </c>
      <c r="N610" t="str">
        <f ca="1">IFERROR(IF(0=LEN(ReferenceData!$N$610),"",ReferenceData!$N$610),"")</f>
        <v/>
      </c>
      <c r="O610" t="str">
        <f ca="1">IFERROR(IF(0=LEN(ReferenceData!$O$610),"",ReferenceData!$O$610),"")</f>
        <v/>
      </c>
      <c r="P610" t="str">
        <f ca="1">IFERROR(IF(0=LEN(ReferenceData!$P$610),"",ReferenceData!$P$610),"")</f>
        <v/>
      </c>
      <c r="Q610" t="str">
        <f ca="1">IFERROR(IF(0=LEN(ReferenceData!$Q$610),"",ReferenceData!$Q$610),"")</f>
        <v/>
      </c>
      <c r="R610" t="str">
        <f ca="1">IFERROR(IF(0=LEN(ReferenceData!$R$610),"",ReferenceData!$R$610),"")</f>
        <v/>
      </c>
      <c r="S610" t="str">
        <f ca="1">IFERROR(IF(0=LEN(ReferenceData!$S$610),"",ReferenceData!$S$610),"")</f>
        <v/>
      </c>
      <c r="T610" t="str">
        <f ca="1">IFERROR(IF(0=LEN(ReferenceData!$T$610),"",ReferenceData!$T$610),"")</f>
        <v/>
      </c>
      <c r="U610" t="str">
        <f ca="1">IFERROR(IF(0=LEN(ReferenceData!$U$610),"",ReferenceData!$U$610),"")</f>
        <v/>
      </c>
      <c r="V610" t="str">
        <f ca="1">IFERROR(IF(0=LEN(ReferenceData!$V$610),"",ReferenceData!$V$610),"")</f>
        <v/>
      </c>
      <c r="W610" t="str">
        <f ca="1">IFERROR(IF(0=LEN(ReferenceData!$W$610),"",ReferenceData!$W$610),"")</f>
        <v/>
      </c>
      <c r="X610" t="str">
        <f ca="1">IFERROR(IF(0=LEN(ReferenceData!$X$610),"",ReferenceData!$X$610),"")</f>
        <v/>
      </c>
      <c r="Y610" t="str">
        <f ca="1">IFERROR(IF(0=LEN(ReferenceData!$Y$610),"",ReferenceData!$Y$610),"")</f>
        <v/>
      </c>
      <c r="Z610" t="str">
        <f ca="1">IFERROR(IF(0=LEN(ReferenceData!$Z$610),"",ReferenceData!$Z$610),"")</f>
        <v/>
      </c>
      <c r="AA610" t="str">
        <f ca="1">IFERROR(IF(0=LEN(ReferenceData!$AA$610),"",ReferenceData!$AA$610),"")</f>
        <v/>
      </c>
      <c r="AB610" t="str">
        <f ca="1">IFERROR(IF(0=LEN(ReferenceData!$AB$610),"",ReferenceData!$AB$610),"")</f>
        <v/>
      </c>
      <c r="AC610" t="str">
        <f ca="1">IFERROR(IF(0=LEN(ReferenceData!$AC$610),"",ReferenceData!$AC$610),"")</f>
        <v/>
      </c>
      <c r="AD610" t="str">
        <f ca="1">IFERROR(IF(0=LEN(ReferenceData!$AD$610),"",ReferenceData!$AD$610),"")</f>
        <v/>
      </c>
      <c r="AE610" t="str">
        <f ca="1">IFERROR(IF(0=LEN(ReferenceData!$AE$610),"",ReferenceData!$AE$610),"")</f>
        <v/>
      </c>
      <c r="AF610" t="str">
        <f ca="1">IFERROR(IF(0=LEN(ReferenceData!$AF$610),"",ReferenceData!$AF$610),"")</f>
        <v/>
      </c>
      <c r="AG610" t="str">
        <f ca="1">IFERROR(IF(0=LEN(ReferenceData!$AG$610),"",ReferenceData!$AG$610),"")</f>
        <v/>
      </c>
      <c r="AH610" t="str">
        <f ca="1">IFERROR(IF(0=LEN(ReferenceData!$AH$610),"",ReferenceData!$AH$610),"")</f>
        <v/>
      </c>
      <c r="AI610" t="str">
        <f ca="1">IFERROR(IF(0=LEN(ReferenceData!$AI$610),"",ReferenceData!$AI$610),"")</f>
        <v/>
      </c>
      <c r="AJ610" t="str">
        <f ca="1">IFERROR(IF(0=LEN(ReferenceData!$AJ$610),"",ReferenceData!$AJ$610),"")</f>
        <v/>
      </c>
      <c r="AK610" t="str">
        <f ca="1">IFERROR(IF(0=LEN(ReferenceData!$AK$610),"",ReferenceData!$AK$610),"")</f>
        <v/>
      </c>
      <c r="AL610" t="str">
        <f ca="1">IFERROR(IF(0=LEN(ReferenceData!$AL$610),"",ReferenceData!$AL$610),"")</f>
        <v/>
      </c>
      <c r="AM610" t="str">
        <f ca="1">IFERROR(IF(0=LEN(ReferenceData!$AM$610),"",ReferenceData!$AM$610),"")</f>
        <v/>
      </c>
      <c r="AN610" t="str">
        <f ca="1">IFERROR(IF(0=LEN(ReferenceData!$AN$610),"",ReferenceData!$AN$610),"")</f>
        <v/>
      </c>
      <c r="AO610" t="str">
        <f ca="1">IFERROR(IF(0=LEN(ReferenceData!$AO$610),"",ReferenceData!$AO$610),"")</f>
        <v/>
      </c>
      <c r="AP610" t="str">
        <f ca="1">IFERROR(IF(0=LEN(ReferenceData!$AP$610),"",ReferenceData!$AP$610),"")</f>
        <v/>
      </c>
      <c r="AQ610" t="str">
        <f ca="1">IFERROR(IF(0=LEN(ReferenceData!$AQ$610),"",ReferenceData!$AQ$610),"")</f>
        <v/>
      </c>
      <c r="AR610" t="str">
        <f ca="1">IFERROR(IF(0=LEN(ReferenceData!$AR$610),"",ReferenceData!$AR$610),"")</f>
        <v/>
      </c>
      <c r="AS610" t="str">
        <f ca="1">IFERROR(IF(0=LEN(ReferenceData!$AS$610),"",ReferenceData!$AS$610),"")</f>
        <v/>
      </c>
      <c r="AT610" t="str">
        <f ca="1">IFERROR(IF(0=LEN(ReferenceData!$AT$610),"",ReferenceData!$AT$610),"")</f>
        <v/>
      </c>
      <c r="AU610" t="str">
        <f ca="1">IFERROR(IF(0=LEN(ReferenceData!$AU$610),"",ReferenceData!$AU$610),"")</f>
        <v/>
      </c>
      <c r="AV610" t="str">
        <f ca="1">IFERROR(IF(0=LEN(ReferenceData!$AV$610),"",ReferenceData!$AV$610),"")</f>
        <v/>
      </c>
      <c r="AW610" t="str">
        <f ca="1">IFERROR(IF(0=LEN(ReferenceData!$AW$610),"",ReferenceData!$AW$610),"")</f>
        <v/>
      </c>
      <c r="AX610" t="str">
        <f ca="1">IFERROR(IF(0=LEN(ReferenceData!$AX$610),"",ReferenceData!$AX$610),"")</f>
        <v/>
      </c>
      <c r="AY610" t="str">
        <f ca="1">IFERROR(IF(0=LEN(ReferenceData!$AY$610),"",ReferenceData!$AY$610),"")</f>
        <v/>
      </c>
      <c r="AZ610" t="str">
        <f ca="1">IFERROR(IF(0=LEN(ReferenceData!$AZ$610),"",ReferenceData!$AZ$610),"")</f>
        <v/>
      </c>
      <c r="BA610" t="str">
        <f ca="1">IFERROR(IF(0=LEN(ReferenceData!$BA$610),"",ReferenceData!$BA$610),"")</f>
        <v/>
      </c>
      <c r="BB610" t="str">
        <f ca="1">IFERROR(IF(0=LEN(ReferenceData!$BB$610),"",ReferenceData!$BB$610),"")</f>
        <v/>
      </c>
      <c r="BC610" t="str">
        <f ca="1">IFERROR(IF(0=LEN(ReferenceData!$BC$610),"",ReferenceData!$BC$610),"")</f>
        <v/>
      </c>
      <c r="BD610" t="str">
        <f ca="1">IFERROR(IF(0=LEN(ReferenceData!$BD$610),"",ReferenceData!$BD$610),"")</f>
        <v/>
      </c>
      <c r="BE610" t="str">
        <f ca="1">IFERROR(IF(0=LEN(ReferenceData!$BE$610),"",ReferenceData!$BE$610),"")</f>
        <v/>
      </c>
      <c r="BF610" t="str">
        <f ca="1">IFERROR(IF(0=LEN(ReferenceData!$BF$610),"",ReferenceData!$BF$610),"")</f>
        <v/>
      </c>
      <c r="BG610" t="str">
        <f ca="1">IFERROR(IF(0=LEN(ReferenceData!$BG$610),"",ReferenceData!$BG$610),"")</f>
        <v/>
      </c>
      <c r="BH610" t="str">
        <f ca="1">IFERROR(IF(0=LEN(ReferenceData!$BH$610),"",ReferenceData!$BH$610),"")</f>
        <v/>
      </c>
      <c r="BI610" t="str">
        <f ca="1">IFERROR(IF(0=LEN(ReferenceData!$BI$610),"",ReferenceData!$BI$610),"")</f>
        <v/>
      </c>
      <c r="BJ610" t="str">
        <f ca="1">IFERROR(IF(0=LEN(ReferenceData!$BJ$610),"",ReferenceData!$BJ$610),"")</f>
        <v/>
      </c>
      <c r="BK610" t="str">
        <f ca="1">IFERROR(IF(0=LEN(ReferenceData!$BK$610),"",ReferenceData!$BK$610),"")</f>
        <v/>
      </c>
      <c r="BL610" t="str">
        <f ca="1">IFERROR(IF(0=LEN(ReferenceData!$BL$610),"",ReferenceData!$BL$610),"")</f>
        <v/>
      </c>
      <c r="BM610" t="str">
        <f ca="1">IFERROR(IF(0=LEN(ReferenceData!$BM$610),"",ReferenceData!$BM$610),"")</f>
        <v/>
      </c>
    </row>
    <row r="611" spans="1:65" x14ac:dyDescent="0.25">
      <c r="A611" t="str">
        <f>IFERROR(IF(0=LEN(ReferenceData!$A$611),"",ReferenceData!$A$611),"")</f>
        <v xml:space="preserve">    Ssangyong Motor Co</v>
      </c>
      <c r="B611" t="str">
        <f>IFERROR(IF(0=LEN(ReferenceData!$B$611),"",ReferenceData!$B$611),"")</f>
        <v>003620 KS Equity</v>
      </c>
      <c r="C611" t="str">
        <f>IFERROR(IF(0=LEN(ReferenceData!$C$611),"",ReferenceData!$C$611),"")</f>
        <v>RX072</v>
      </c>
      <c r="D611" t="str">
        <f>IFERROR(IF(0=LEN(ReferenceData!$D$611),"",ReferenceData!$D$611),"")</f>
        <v>FREE_CASH_FLOW_YIELD</v>
      </c>
      <c r="E611" t="str">
        <f>IFERROR(IF(0=LEN(ReferenceData!$E$611),"",ReferenceData!$E$611),"")</f>
        <v>Dynamic</v>
      </c>
      <c r="F611" t="str">
        <f ca="1">IFERROR(IF(0=LEN(ReferenceData!$F$611),"",ReferenceData!$F$611),"")</f>
        <v/>
      </c>
      <c r="G611">
        <f ca="1">IFERROR(IF(0=LEN(ReferenceData!$G$611),"",ReferenceData!$G$611),"")</f>
        <v>32.176849369999999</v>
      </c>
      <c r="H611">
        <f ca="1">IFERROR(IF(0=LEN(ReferenceData!$H$611),"",ReferenceData!$H$611),"")</f>
        <v>27.771475689999999</v>
      </c>
      <c r="I611">
        <f ca="1">IFERROR(IF(0=LEN(ReferenceData!$I$611),"",ReferenceData!$I$611),"")</f>
        <v>-1.558685066</v>
      </c>
      <c r="J611">
        <f ca="1">IFERROR(IF(0=LEN(ReferenceData!$J$611),"",ReferenceData!$J$611),"")</f>
        <v>14.673095010000001</v>
      </c>
      <c r="K611">
        <f ca="1">IFERROR(IF(0=LEN(ReferenceData!$K$611),"",ReferenceData!$K$611),"")</f>
        <v>6.609641549</v>
      </c>
      <c r="L611">
        <f ca="1">IFERROR(IF(0=LEN(ReferenceData!$L$611),"",ReferenceData!$L$611),"")</f>
        <v>12.580316059999999</v>
      </c>
      <c r="M611">
        <f ca="1">IFERROR(IF(0=LEN(ReferenceData!$M$611),"",ReferenceData!$M$611),"")</f>
        <v>12.86884689</v>
      </c>
      <c r="N611">
        <f ca="1">IFERROR(IF(0=LEN(ReferenceData!$N$611),"",ReferenceData!$N$611),"")</f>
        <v>18.05544591</v>
      </c>
      <c r="O611">
        <f ca="1">IFERROR(IF(0=LEN(ReferenceData!$O$611),"",ReferenceData!$O$611),"")</f>
        <v>10.795056499999999</v>
      </c>
      <c r="P611">
        <f ca="1">IFERROR(IF(0=LEN(ReferenceData!$P$611),"",ReferenceData!$P$611),"")</f>
        <v>8.40674323</v>
      </c>
      <c r="Q611">
        <f ca="1">IFERROR(IF(0=LEN(ReferenceData!$Q$611),"",ReferenceData!$Q$611),"")</f>
        <v>13.00314801</v>
      </c>
      <c r="R611">
        <f ca="1">IFERROR(IF(0=LEN(ReferenceData!$R$611),"",ReferenceData!$R$611),"")</f>
        <v>-6.8947516120000003</v>
      </c>
      <c r="S611">
        <f ca="1">IFERROR(IF(0=LEN(ReferenceData!$S$611),"",ReferenceData!$S$611),"")</f>
        <v>4.7446254229999996</v>
      </c>
      <c r="T611">
        <f ca="1">IFERROR(IF(0=LEN(ReferenceData!$T$611),"",ReferenceData!$T$611),"")</f>
        <v>-3.472980846</v>
      </c>
      <c r="U611">
        <f ca="1">IFERROR(IF(0=LEN(ReferenceData!$U$611),"",ReferenceData!$U$611),"")</f>
        <v>-9.1111111269999991</v>
      </c>
      <c r="V611">
        <f ca="1">IFERROR(IF(0=LEN(ReferenceData!$V$611),"",ReferenceData!$V$611),"")</f>
        <v>-7.9828728959999999</v>
      </c>
      <c r="W611">
        <f ca="1">IFERROR(IF(0=LEN(ReferenceData!$W$611),"",ReferenceData!$W$611),"")</f>
        <v>-9.0933199519999999</v>
      </c>
      <c r="X611">
        <f ca="1">IFERROR(IF(0=LEN(ReferenceData!$X$611),"",ReferenceData!$X$611),"")</f>
        <v>-4.0564467369999999</v>
      </c>
      <c r="Y611">
        <f ca="1">IFERROR(IF(0=LEN(ReferenceData!$Y$611),"",ReferenceData!$Y$611),"")</f>
        <v>-12.309983519999999</v>
      </c>
      <c r="Z611">
        <f ca="1">IFERROR(IF(0=LEN(ReferenceData!$Z$611),"",ReferenceData!$Z$611),"")</f>
        <v>1.3195963500000001</v>
      </c>
      <c r="AA611">
        <f ca="1">IFERROR(IF(0=LEN(ReferenceData!$AA$611),"",ReferenceData!$AA$611),"")</f>
        <v>13.423992030000001</v>
      </c>
      <c r="AB611">
        <f ca="1">IFERROR(IF(0=LEN(ReferenceData!$AB$611),"",ReferenceData!$AB$611),"")</f>
        <v>4.8454050349999997</v>
      </c>
      <c r="AC611">
        <f ca="1">IFERROR(IF(0=LEN(ReferenceData!$AC$611),"",ReferenceData!$AC$611),"")</f>
        <v>18.78655303</v>
      </c>
      <c r="AD611">
        <f ca="1">IFERROR(IF(0=LEN(ReferenceData!$AD$611),"",ReferenceData!$AD$611),"")</f>
        <v>11.32120035</v>
      </c>
      <c r="AE611">
        <f ca="1">IFERROR(IF(0=LEN(ReferenceData!$AE$611),"",ReferenceData!$AE$611),"")</f>
        <v>4.4486275869999998</v>
      </c>
      <c r="AF611" t="str">
        <f ca="1">IFERROR(IF(0=LEN(ReferenceData!$AF$611),"",ReferenceData!$AF$611),"")</f>
        <v/>
      </c>
      <c r="AG611" t="str">
        <f ca="1">IFERROR(IF(0=LEN(ReferenceData!$AG$611),"",ReferenceData!$AG$611),"")</f>
        <v/>
      </c>
      <c r="AH611" t="str">
        <f ca="1">IFERROR(IF(0=LEN(ReferenceData!$AH$611),"",ReferenceData!$AH$611),"")</f>
        <v/>
      </c>
      <c r="AI611" t="str">
        <f ca="1">IFERROR(IF(0=LEN(ReferenceData!$AI$611),"",ReferenceData!$AI$611),"")</f>
        <v/>
      </c>
      <c r="AJ611" t="str">
        <f ca="1">IFERROR(IF(0=LEN(ReferenceData!$AJ$611),"",ReferenceData!$AJ$611),"")</f>
        <v/>
      </c>
      <c r="AK611" t="str">
        <f ca="1">IFERROR(IF(0=LEN(ReferenceData!$AK$611),"",ReferenceData!$AK$611),"")</f>
        <v/>
      </c>
      <c r="AL611" t="str">
        <f ca="1">IFERROR(IF(0=LEN(ReferenceData!$AL$611),"",ReferenceData!$AL$611),"")</f>
        <v/>
      </c>
      <c r="AM611" t="str">
        <f ca="1">IFERROR(IF(0=LEN(ReferenceData!$AM$611),"",ReferenceData!$AM$611),"")</f>
        <v/>
      </c>
      <c r="AN611" t="str">
        <f ca="1">IFERROR(IF(0=LEN(ReferenceData!$AN$611),"",ReferenceData!$AN$611),"")</f>
        <v/>
      </c>
      <c r="AO611" t="str">
        <f ca="1">IFERROR(IF(0=LEN(ReferenceData!$AO$611),"",ReferenceData!$AO$611),"")</f>
        <v/>
      </c>
      <c r="AP611" t="str">
        <f ca="1">IFERROR(IF(0=LEN(ReferenceData!$AP$611),"",ReferenceData!$AP$611),"")</f>
        <v/>
      </c>
      <c r="AQ611" t="str">
        <f ca="1">IFERROR(IF(0=LEN(ReferenceData!$AQ$611),"",ReferenceData!$AQ$611),"")</f>
        <v/>
      </c>
      <c r="AR611" t="str">
        <f ca="1">IFERROR(IF(0=LEN(ReferenceData!$AR$611),"",ReferenceData!$AR$611),"")</f>
        <v/>
      </c>
      <c r="AS611" t="str">
        <f ca="1">IFERROR(IF(0=LEN(ReferenceData!$AS$611),"",ReferenceData!$AS$611),"")</f>
        <v/>
      </c>
      <c r="AT611" t="str">
        <f ca="1">IFERROR(IF(0=LEN(ReferenceData!$AT$611),"",ReferenceData!$AT$611),"")</f>
        <v/>
      </c>
      <c r="AU611" t="str">
        <f ca="1">IFERROR(IF(0=LEN(ReferenceData!$AU$611),"",ReferenceData!$AU$611),"")</f>
        <v/>
      </c>
      <c r="AV611" t="str">
        <f ca="1">IFERROR(IF(0=LEN(ReferenceData!$AV$611),"",ReferenceData!$AV$611),"")</f>
        <v/>
      </c>
      <c r="AW611" t="str">
        <f ca="1">IFERROR(IF(0=LEN(ReferenceData!$AW$611),"",ReferenceData!$AW$611),"")</f>
        <v/>
      </c>
      <c r="AX611" t="str">
        <f ca="1">IFERROR(IF(0=LEN(ReferenceData!$AX$611),"",ReferenceData!$AX$611),"")</f>
        <v/>
      </c>
      <c r="AY611" t="str">
        <f ca="1">IFERROR(IF(0=LEN(ReferenceData!$AY$611),"",ReferenceData!$AY$611),"")</f>
        <v/>
      </c>
      <c r="AZ611" t="str">
        <f ca="1">IFERROR(IF(0=LEN(ReferenceData!$AZ$611),"",ReferenceData!$AZ$611),"")</f>
        <v/>
      </c>
      <c r="BA611" t="str">
        <f ca="1">IFERROR(IF(0=LEN(ReferenceData!$BA$611),"",ReferenceData!$BA$611),"")</f>
        <v/>
      </c>
      <c r="BB611" t="str">
        <f ca="1">IFERROR(IF(0=LEN(ReferenceData!$BB$611),"",ReferenceData!$BB$611),"")</f>
        <v/>
      </c>
      <c r="BC611" t="str">
        <f ca="1">IFERROR(IF(0=LEN(ReferenceData!$BC$611),"",ReferenceData!$BC$611),"")</f>
        <v/>
      </c>
      <c r="BD611" t="str">
        <f ca="1">IFERROR(IF(0=LEN(ReferenceData!$BD$611),"",ReferenceData!$BD$611),"")</f>
        <v/>
      </c>
      <c r="BE611" t="str">
        <f ca="1">IFERROR(IF(0=LEN(ReferenceData!$BE$611),"",ReferenceData!$BE$611),"")</f>
        <v/>
      </c>
      <c r="BF611" t="str">
        <f ca="1">IFERROR(IF(0=LEN(ReferenceData!$BF$611),"",ReferenceData!$BF$611),"")</f>
        <v/>
      </c>
      <c r="BG611" t="str">
        <f ca="1">IFERROR(IF(0=LEN(ReferenceData!$BG$611),"",ReferenceData!$BG$611),"")</f>
        <v/>
      </c>
      <c r="BH611" t="str">
        <f ca="1">IFERROR(IF(0=LEN(ReferenceData!$BH$611),"",ReferenceData!$BH$611),"")</f>
        <v/>
      </c>
      <c r="BI611" t="str">
        <f ca="1">IFERROR(IF(0=LEN(ReferenceData!$BI$611),"",ReferenceData!$BI$611),"")</f>
        <v/>
      </c>
      <c r="BJ611" t="str">
        <f ca="1">IFERROR(IF(0=LEN(ReferenceData!$BJ$611),"",ReferenceData!$BJ$611),"")</f>
        <v/>
      </c>
      <c r="BK611" t="str">
        <f ca="1">IFERROR(IF(0=LEN(ReferenceData!$BK$611),"",ReferenceData!$BK$611),"")</f>
        <v/>
      </c>
      <c r="BL611" t="str">
        <f ca="1">IFERROR(IF(0=LEN(ReferenceData!$BL$611),"",ReferenceData!$BL$611),"")</f>
        <v/>
      </c>
      <c r="BM611" t="str">
        <f ca="1">IFERROR(IF(0=LEN(ReferenceData!$BM$611),"",ReferenceData!$BM$611),"")</f>
        <v/>
      </c>
    </row>
    <row r="612" spans="1:65" x14ac:dyDescent="0.25">
      <c r="A612" t="str">
        <f>IFERROR(IF(0=LEN(ReferenceData!$A$612),"",ReferenceData!$A$612),"")</f>
        <v xml:space="preserve">    Subaru Corp</v>
      </c>
      <c r="B612" t="str">
        <f>IFERROR(IF(0=LEN(ReferenceData!$B$612),"",ReferenceData!$B$612),"")</f>
        <v>7270 JP Equity</v>
      </c>
      <c r="C612" t="str">
        <f>IFERROR(IF(0=LEN(ReferenceData!$C$612),"",ReferenceData!$C$612),"")</f>
        <v>RX072</v>
      </c>
      <c r="D612" t="str">
        <f>IFERROR(IF(0=LEN(ReferenceData!$D$612),"",ReferenceData!$D$612),"")</f>
        <v>FREE_CASH_FLOW_YIELD</v>
      </c>
      <c r="E612" t="str">
        <f>IFERROR(IF(0=LEN(ReferenceData!$E$612),"",ReferenceData!$E$612),"")</f>
        <v>Dynamic</v>
      </c>
      <c r="F612">
        <f ca="1">IFERROR(IF(0=LEN(ReferenceData!$F$612),"",ReferenceData!$F$612),"")</f>
        <v>2.8426454830000001</v>
      </c>
      <c r="G612">
        <f ca="1">IFERROR(IF(0=LEN(ReferenceData!$G$612),"",ReferenceData!$G$612),"")</f>
        <v>3.423219687</v>
      </c>
      <c r="H612">
        <f ca="1">IFERROR(IF(0=LEN(ReferenceData!$H$612),"",ReferenceData!$H$612),"")</f>
        <v>2.6342043429999999</v>
      </c>
      <c r="I612">
        <f ca="1">IFERROR(IF(0=LEN(ReferenceData!$I$612),"",ReferenceData!$I$612),"")</f>
        <v>4.217518944</v>
      </c>
      <c r="J612">
        <f ca="1">IFERROR(IF(0=LEN(ReferenceData!$J$612),"",ReferenceData!$J$612),"")</f>
        <v>8.0943346290000004</v>
      </c>
      <c r="K612">
        <f ca="1">IFERROR(IF(0=LEN(ReferenceData!$K$612),"",ReferenceData!$K$612),"")</f>
        <v>8.8914135210000005</v>
      </c>
      <c r="L612">
        <f ca="1">IFERROR(IF(0=LEN(ReferenceData!$L$612),"",ReferenceData!$L$612),"")</f>
        <v>5.8497247430000003</v>
      </c>
      <c r="M612">
        <f ca="1">IFERROR(IF(0=LEN(ReferenceData!$M$612),"",ReferenceData!$M$612),"")</f>
        <v>8.6936705449999998</v>
      </c>
      <c r="N612">
        <f ca="1">IFERROR(IF(0=LEN(ReferenceData!$N$612),"",ReferenceData!$N$612),"")</f>
        <v>5.7581029409999998</v>
      </c>
      <c r="O612">
        <f ca="1">IFERROR(IF(0=LEN(ReferenceData!$O$612),"",ReferenceData!$O$612),"")</f>
        <v>6.2748409430000001</v>
      </c>
      <c r="P612">
        <f ca="1">IFERROR(IF(0=LEN(ReferenceData!$P$612),"",ReferenceData!$P$612),"")</f>
        <v>13.400741119999999</v>
      </c>
      <c r="Q612">
        <f ca="1">IFERROR(IF(0=LEN(ReferenceData!$Q$612),"",ReferenceData!$Q$612),"")</f>
        <v>16.112101809999999</v>
      </c>
      <c r="R612">
        <f ca="1">IFERROR(IF(0=LEN(ReferenceData!$R$612),"",ReferenceData!$R$612),"")</f>
        <v>15.71639347</v>
      </c>
      <c r="S612">
        <f ca="1">IFERROR(IF(0=LEN(ReferenceData!$S$612),"",ReferenceData!$S$612),"")</f>
        <v>11.38918237</v>
      </c>
      <c r="T612">
        <f ca="1">IFERROR(IF(0=LEN(ReferenceData!$T$612),"",ReferenceData!$T$612),"")</f>
        <v>10.28654824</v>
      </c>
      <c r="U612">
        <f ca="1">IFERROR(IF(0=LEN(ReferenceData!$U$612),"",ReferenceData!$U$612),"")</f>
        <v>8.4766486249999993</v>
      </c>
      <c r="V612">
        <f ca="1">IFERROR(IF(0=LEN(ReferenceData!$V$612),"",ReferenceData!$V$612),"")</f>
        <v>6.304258087</v>
      </c>
      <c r="W612">
        <f ca="1">IFERROR(IF(0=LEN(ReferenceData!$W$612),"",ReferenceData!$W$612),"")</f>
        <v>5.1061994300000002</v>
      </c>
      <c r="X612">
        <f ca="1">IFERROR(IF(0=LEN(ReferenceData!$X$612),"",ReferenceData!$X$612),"")</f>
        <v>7.221708102</v>
      </c>
      <c r="Y612">
        <f ca="1">IFERROR(IF(0=LEN(ReferenceData!$Y$612),"",ReferenceData!$Y$612),"")</f>
        <v>8.0726975200000002</v>
      </c>
      <c r="Z612">
        <f ca="1">IFERROR(IF(0=LEN(ReferenceData!$Z$612),"",ReferenceData!$Z$612),"")</f>
        <v>11.27249977</v>
      </c>
      <c r="AA612">
        <f ca="1">IFERROR(IF(0=LEN(ReferenceData!$AA$612),"",ReferenceData!$AA$612),"")</f>
        <v>8.5614684130000001</v>
      </c>
      <c r="AB612">
        <f ca="1">IFERROR(IF(0=LEN(ReferenceData!$AB$612),"",ReferenceData!$AB$612),"")</f>
        <v>6.6946317930000001</v>
      </c>
      <c r="AC612">
        <f ca="1">IFERROR(IF(0=LEN(ReferenceData!$AC$612),"",ReferenceData!$AC$612),"")</f>
        <v>6.8698186459999997</v>
      </c>
      <c r="AD612">
        <f ca="1">IFERROR(IF(0=LEN(ReferenceData!$AD$612),"",ReferenceData!$AD$612),"")</f>
        <v>9.2222594559999997</v>
      </c>
      <c r="AE612">
        <f ca="1">IFERROR(IF(0=LEN(ReferenceData!$AE$612),"",ReferenceData!$AE$612),"")</f>
        <v>13.5660396</v>
      </c>
      <c r="AF612">
        <f ca="1">IFERROR(IF(0=LEN(ReferenceData!$AF$612),"",ReferenceData!$AF$612),"")</f>
        <v>23.647265340000001</v>
      </c>
      <c r="AG612">
        <f ca="1">IFERROR(IF(0=LEN(ReferenceData!$AG$612),"",ReferenceData!$AG$612),"")</f>
        <v>12.23104624</v>
      </c>
      <c r="AH612">
        <f ca="1">IFERROR(IF(0=LEN(ReferenceData!$AH$612),"",ReferenceData!$AH$612),"")</f>
        <v>1.1173064880000001</v>
      </c>
      <c r="AI612">
        <f ca="1">IFERROR(IF(0=LEN(ReferenceData!$AI$612),"",ReferenceData!$AI$612),"")</f>
        <v>3.371268347</v>
      </c>
      <c r="AJ612">
        <f ca="1">IFERROR(IF(0=LEN(ReferenceData!$AJ$612),"",ReferenceData!$AJ$612),"")</f>
        <v>-0.93526410000000004</v>
      </c>
      <c r="AK612">
        <f ca="1">IFERROR(IF(0=LEN(ReferenceData!$AK$612),"",ReferenceData!$AK$612),"")</f>
        <v>8.5754318299999994</v>
      </c>
      <c r="AL612">
        <f ca="1">IFERROR(IF(0=LEN(ReferenceData!$AL$612),"",ReferenceData!$AL$612),"")</f>
        <v>22.372981060000001</v>
      </c>
      <c r="AM612">
        <f ca="1">IFERROR(IF(0=LEN(ReferenceData!$AM$612),"",ReferenceData!$AM$612),"")</f>
        <v>21.46026827</v>
      </c>
      <c r="AN612">
        <f ca="1">IFERROR(IF(0=LEN(ReferenceData!$AN$612),"",ReferenceData!$AN$612),"")</f>
        <v>29.48103021</v>
      </c>
      <c r="AO612">
        <f ca="1">IFERROR(IF(0=LEN(ReferenceData!$AO$612),"",ReferenceData!$AO$612),"")</f>
        <v>34.702905639999997</v>
      </c>
      <c r="AP612">
        <f ca="1">IFERROR(IF(0=LEN(ReferenceData!$AP$612),"",ReferenceData!$AP$612),"")</f>
        <v>32.790711399999999</v>
      </c>
      <c r="AQ612">
        <f ca="1">IFERROR(IF(0=LEN(ReferenceData!$AQ$612),"",ReferenceData!$AQ$612),"")</f>
        <v>5.3839689780000004</v>
      </c>
      <c r="AR612">
        <f ca="1">IFERROR(IF(0=LEN(ReferenceData!$AR$612),"",ReferenceData!$AR$612),"")</f>
        <v>-2.2774672740000002</v>
      </c>
      <c r="AS612">
        <f ca="1">IFERROR(IF(0=LEN(ReferenceData!$AS$612),"",ReferenceData!$AS$612),"")</f>
        <v>-15.725996589999999</v>
      </c>
      <c r="AT612">
        <f ca="1">IFERROR(IF(0=LEN(ReferenceData!$AT$612),"",ReferenceData!$AT$612),"")</f>
        <v>-34.992325940000001</v>
      </c>
      <c r="AU612" t="str">
        <f ca="1">IFERROR(IF(0=LEN(ReferenceData!$AU$612),"",ReferenceData!$AU$612),"")</f>
        <v/>
      </c>
      <c r="AV612" t="str">
        <f ca="1">IFERROR(IF(0=LEN(ReferenceData!$AV$612),"",ReferenceData!$AV$612),"")</f>
        <v/>
      </c>
      <c r="AW612" t="str">
        <f ca="1">IFERROR(IF(0=LEN(ReferenceData!$AW$612),"",ReferenceData!$AW$612),"")</f>
        <v/>
      </c>
      <c r="AX612" t="str">
        <f ca="1">IFERROR(IF(0=LEN(ReferenceData!$AX$612),"",ReferenceData!$AX$612),"")</f>
        <v/>
      </c>
      <c r="AY612" t="str">
        <f ca="1">IFERROR(IF(0=LEN(ReferenceData!$AY$612),"",ReferenceData!$AY$612),"")</f>
        <v/>
      </c>
      <c r="AZ612" t="str">
        <f ca="1">IFERROR(IF(0=LEN(ReferenceData!$AZ$612),"",ReferenceData!$AZ$612),"")</f>
        <v/>
      </c>
      <c r="BA612" t="str">
        <f ca="1">IFERROR(IF(0=LEN(ReferenceData!$BA$612),"",ReferenceData!$BA$612),"")</f>
        <v/>
      </c>
      <c r="BB612" t="str">
        <f ca="1">IFERROR(IF(0=LEN(ReferenceData!$BB$612),"",ReferenceData!$BB$612),"")</f>
        <v/>
      </c>
      <c r="BC612" t="str">
        <f ca="1">IFERROR(IF(0=LEN(ReferenceData!$BC$612),"",ReferenceData!$BC$612),"")</f>
        <v/>
      </c>
      <c r="BD612" t="str">
        <f ca="1">IFERROR(IF(0=LEN(ReferenceData!$BD$612),"",ReferenceData!$BD$612),"")</f>
        <v/>
      </c>
      <c r="BE612" t="str">
        <f ca="1">IFERROR(IF(0=LEN(ReferenceData!$BE$612),"",ReferenceData!$BE$612),"")</f>
        <v/>
      </c>
      <c r="BF612" t="str">
        <f ca="1">IFERROR(IF(0=LEN(ReferenceData!$BF$612),"",ReferenceData!$BF$612),"")</f>
        <v/>
      </c>
      <c r="BG612" t="str">
        <f ca="1">IFERROR(IF(0=LEN(ReferenceData!$BG$612),"",ReferenceData!$BG$612),"")</f>
        <v/>
      </c>
      <c r="BH612" t="str">
        <f ca="1">IFERROR(IF(0=LEN(ReferenceData!$BH$612),"",ReferenceData!$BH$612),"")</f>
        <v/>
      </c>
      <c r="BI612" t="str">
        <f ca="1">IFERROR(IF(0=LEN(ReferenceData!$BI$612),"",ReferenceData!$BI$612),"")</f>
        <v/>
      </c>
      <c r="BJ612" t="str">
        <f ca="1">IFERROR(IF(0=LEN(ReferenceData!$BJ$612),"",ReferenceData!$BJ$612),"")</f>
        <v/>
      </c>
      <c r="BK612" t="str">
        <f ca="1">IFERROR(IF(0=LEN(ReferenceData!$BK$612),"",ReferenceData!$BK$612),"")</f>
        <v/>
      </c>
      <c r="BL612" t="str">
        <f ca="1">IFERROR(IF(0=LEN(ReferenceData!$BL$612),"",ReferenceData!$BL$612),"")</f>
        <v/>
      </c>
      <c r="BM612" t="str">
        <f ca="1">IFERROR(IF(0=LEN(ReferenceData!$BM$612),"",ReferenceData!$BM$612),"")</f>
        <v/>
      </c>
    </row>
    <row r="613" spans="1:65" x14ac:dyDescent="0.25">
      <c r="A613" t="str">
        <f>IFERROR(IF(0=LEN(ReferenceData!$A$613),"",ReferenceData!$A$613),"")</f>
        <v xml:space="preserve">    Suzuki Motor Corp</v>
      </c>
      <c r="B613" t="str">
        <f>IFERROR(IF(0=LEN(ReferenceData!$B$613),"",ReferenceData!$B$613),"")</f>
        <v>7269 JP Equity</v>
      </c>
      <c r="C613" t="str">
        <f>IFERROR(IF(0=LEN(ReferenceData!$C$613),"",ReferenceData!$C$613),"")</f>
        <v>RX072</v>
      </c>
      <c r="D613" t="str">
        <f>IFERROR(IF(0=LEN(ReferenceData!$D$613),"",ReferenceData!$D$613),"")</f>
        <v>FREE_CASH_FLOW_YIELD</v>
      </c>
      <c r="E613" t="str">
        <f>IFERROR(IF(0=LEN(ReferenceData!$E$613),"",ReferenceData!$E$613),"")</f>
        <v>Dynamic</v>
      </c>
      <c r="F613">
        <f ca="1">IFERROR(IF(0=LEN(ReferenceData!$F$613),"",ReferenceData!$F$613),"")</f>
        <v>6.4124007809999997</v>
      </c>
      <c r="G613">
        <f ca="1">IFERROR(IF(0=LEN(ReferenceData!$G$613),"",ReferenceData!$G$613),"")</f>
        <v>6.6554430959999999</v>
      </c>
      <c r="H613">
        <f ca="1">IFERROR(IF(0=LEN(ReferenceData!$H$613),"",ReferenceData!$H$613),"")</f>
        <v>6.7075881180000003</v>
      </c>
      <c r="I613">
        <f ca="1">IFERROR(IF(0=LEN(ReferenceData!$I$613),"",ReferenceData!$I$613),"")</f>
        <v>9.7765880729999992</v>
      </c>
      <c r="J613">
        <f ca="1">IFERROR(IF(0=LEN(ReferenceData!$J$613),"",ReferenceData!$J$613),"")</f>
        <v>9.4631494160000003</v>
      </c>
      <c r="K613">
        <f ca="1">IFERROR(IF(0=LEN(ReferenceData!$K$613),"",ReferenceData!$K$613),"")</f>
        <v>7.0001893209999997</v>
      </c>
      <c r="L613">
        <f ca="1">IFERROR(IF(0=LEN(ReferenceData!$L$613),"",ReferenceData!$L$613),"")</f>
        <v>8.5990974090000005</v>
      </c>
      <c r="M613">
        <f ca="1">IFERROR(IF(0=LEN(ReferenceData!$M$613),"",ReferenceData!$M$613),"")</f>
        <v>4.9632504009999998</v>
      </c>
      <c r="N613">
        <f ca="1">IFERROR(IF(0=LEN(ReferenceData!$N$613),"",ReferenceData!$N$613),"")</f>
        <v>8.5453642629999997</v>
      </c>
      <c r="O613">
        <f ca="1">IFERROR(IF(0=LEN(ReferenceData!$O$613),"",ReferenceData!$O$613),"")</f>
        <v>10.758607639999999</v>
      </c>
      <c r="P613">
        <f ca="1">IFERROR(IF(0=LEN(ReferenceData!$P$613),"",ReferenceData!$P$613),"")</f>
        <v>14.2856465</v>
      </c>
      <c r="Q613">
        <f ca="1">IFERROR(IF(0=LEN(ReferenceData!$Q$613),"",ReferenceData!$Q$613),"")</f>
        <v>13.31634612</v>
      </c>
      <c r="R613">
        <f ca="1">IFERROR(IF(0=LEN(ReferenceData!$R$613),"",ReferenceData!$R$613),"")</f>
        <v>9.5586586259999997</v>
      </c>
      <c r="S613">
        <f ca="1">IFERROR(IF(0=LEN(ReferenceData!$S$613),"",ReferenceData!$S$613),"")</f>
        <v>5.9032226669999996</v>
      </c>
      <c r="T613">
        <f ca="1">IFERROR(IF(0=LEN(ReferenceData!$T$613),"",ReferenceData!$T$613),"")</f>
        <v>3.0501650389999999</v>
      </c>
      <c r="U613">
        <f ca="1">IFERROR(IF(0=LEN(ReferenceData!$U$613),"",ReferenceData!$U$613),"")</f>
        <v>5.3264003029999998</v>
      </c>
      <c r="V613">
        <f ca="1">IFERROR(IF(0=LEN(ReferenceData!$V$613),"",ReferenceData!$V$613),"")</f>
        <v>3.0763511779999999</v>
      </c>
      <c r="W613">
        <f ca="1">IFERROR(IF(0=LEN(ReferenceData!$W$613),"",ReferenceData!$W$613),"")</f>
        <v>1.270696813</v>
      </c>
      <c r="X613">
        <f ca="1">IFERROR(IF(0=LEN(ReferenceData!$X$613),"",ReferenceData!$X$613),"")</f>
        <v>2.6789381809999999</v>
      </c>
      <c r="Y613">
        <f ca="1">IFERROR(IF(0=LEN(ReferenceData!$Y$613),"",ReferenceData!$Y$613),"")</f>
        <v>4.3771226810000003</v>
      </c>
      <c r="Z613">
        <f ca="1">IFERROR(IF(0=LEN(ReferenceData!$Z$613),"",ReferenceData!$Z$613),"")</f>
        <v>7.8197350280000002</v>
      </c>
      <c r="AA613">
        <f ca="1">IFERROR(IF(0=LEN(ReferenceData!$AA$613),"",ReferenceData!$AA$613),"")</f>
        <v>8.2426483850000007</v>
      </c>
      <c r="AB613">
        <f ca="1">IFERROR(IF(0=LEN(ReferenceData!$AB$613),"",ReferenceData!$AB$613),"")</f>
        <v>5.759257045</v>
      </c>
      <c r="AC613">
        <f ca="1">IFERROR(IF(0=LEN(ReferenceData!$AC$613),"",ReferenceData!$AC$613),"")</f>
        <v>1.4273700570000001</v>
      </c>
      <c r="AD613">
        <f ca="1">IFERROR(IF(0=LEN(ReferenceData!$AD$613),"",ReferenceData!$AD$613),"")</f>
        <v>2.206406903</v>
      </c>
      <c r="AE613">
        <f ca="1">IFERROR(IF(0=LEN(ReferenceData!$AE$613),"",ReferenceData!$AE$613),"")</f>
        <v>0.34721921300000003</v>
      </c>
      <c r="AF613">
        <f ca="1">IFERROR(IF(0=LEN(ReferenceData!$AF$613),"",ReferenceData!$AF$613),"")</f>
        <v>5.5447915730000004</v>
      </c>
      <c r="AG613">
        <f ca="1">IFERROR(IF(0=LEN(ReferenceData!$AG$613),"",ReferenceData!$AG$613),"")</f>
        <v>12.714950290000001</v>
      </c>
      <c r="AH613">
        <f ca="1">IFERROR(IF(0=LEN(ReferenceData!$AH$613),"",ReferenceData!$AH$613),"")</f>
        <v>9.6938992890000009</v>
      </c>
      <c r="AI613">
        <f ca="1">IFERROR(IF(0=LEN(ReferenceData!$AI$613),"",ReferenceData!$AI$613),"")</f>
        <v>14.21008331</v>
      </c>
      <c r="AJ613">
        <f ca="1">IFERROR(IF(0=LEN(ReferenceData!$AJ$613),"",ReferenceData!$AJ$613),"")</f>
        <v>5.829394132</v>
      </c>
      <c r="AK613">
        <f ca="1">IFERROR(IF(0=LEN(ReferenceData!$AK$613),"",ReferenceData!$AK$613),"")</f>
        <v>2.84289433</v>
      </c>
      <c r="AL613">
        <f ca="1">IFERROR(IF(0=LEN(ReferenceData!$AL$613),"",ReferenceData!$AL$613),"")</f>
        <v>9.2635260119999998</v>
      </c>
      <c r="AM613">
        <f ca="1">IFERROR(IF(0=LEN(ReferenceData!$AM$613),"",ReferenceData!$AM$613),"")</f>
        <v>9.5837493649999992</v>
      </c>
      <c r="AN613">
        <f ca="1">IFERROR(IF(0=LEN(ReferenceData!$AN$613),"",ReferenceData!$AN$613),"")</f>
        <v>25.269111479999999</v>
      </c>
      <c r="AO613">
        <f ca="1">IFERROR(IF(0=LEN(ReferenceData!$AO$613),"",ReferenceData!$AO$613),"")</f>
        <v>31.512941690000002</v>
      </c>
      <c r="AP613">
        <f ca="1">IFERROR(IF(0=LEN(ReferenceData!$AP$613),"",ReferenceData!$AP$613),"")</f>
        <v>20.644938239999998</v>
      </c>
      <c r="AQ613">
        <f ca="1">IFERROR(IF(0=LEN(ReferenceData!$AQ$613),"",ReferenceData!$AQ$613),"")</f>
        <v>9.7516400720000007</v>
      </c>
      <c r="AR613">
        <f ca="1">IFERROR(IF(0=LEN(ReferenceData!$AR$613),"",ReferenceData!$AR$613),"")</f>
        <v>-11.3669308</v>
      </c>
      <c r="AS613">
        <f ca="1">IFERROR(IF(0=LEN(ReferenceData!$AS$613),"",ReferenceData!$AS$613),"")</f>
        <v>-19.876335149999999</v>
      </c>
      <c r="AT613">
        <f ca="1">IFERROR(IF(0=LEN(ReferenceData!$AT$613),"",ReferenceData!$AT$613),"")</f>
        <v>-23.623184210000002</v>
      </c>
      <c r="AU613">
        <f ca="1">IFERROR(IF(0=LEN(ReferenceData!$AU$613),"",ReferenceData!$AU$613),"")</f>
        <v>-31.521175110000001</v>
      </c>
      <c r="AV613">
        <f ca="1">IFERROR(IF(0=LEN(ReferenceData!$AV$613),"",ReferenceData!$AV$613),"")</f>
        <v>-3.9714338310000001</v>
      </c>
      <c r="AW613">
        <f ca="1">IFERROR(IF(0=LEN(ReferenceData!$AW$613),"",ReferenceData!$AW$613),"")</f>
        <v>-3.348933282</v>
      </c>
      <c r="AX613">
        <f ca="1">IFERROR(IF(0=LEN(ReferenceData!$AX$613),"",ReferenceData!$AX$613),"")</f>
        <v>-1.885962565</v>
      </c>
      <c r="AY613">
        <f ca="1">IFERROR(IF(0=LEN(ReferenceData!$AY$613),"",ReferenceData!$AY$613),"")</f>
        <v>1.1131569809999999</v>
      </c>
      <c r="AZ613">
        <f ca="1">IFERROR(IF(0=LEN(ReferenceData!$AZ$613),"",ReferenceData!$AZ$613),"")</f>
        <v>1.111087033</v>
      </c>
      <c r="BA613">
        <f ca="1">IFERROR(IF(0=LEN(ReferenceData!$BA$613),"",ReferenceData!$BA$613),"")</f>
        <v>1.8825260370000001</v>
      </c>
      <c r="BB613">
        <f ca="1">IFERROR(IF(0=LEN(ReferenceData!$BB$613),"",ReferenceData!$BB$613),"")</f>
        <v>2.1594201220000002</v>
      </c>
      <c r="BC613">
        <f ca="1">IFERROR(IF(0=LEN(ReferenceData!$BC$613),"",ReferenceData!$BC$613),"")</f>
        <v>3.8153812829999998</v>
      </c>
      <c r="BD613">
        <f ca="1">IFERROR(IF(0=LEN(ReferenceData!$BD$613),"",ReferenceData!$BD$613),"")</f>
        <v>4.4210320640000003</v>
      </c>
      <c r="BE613">
        <f ca="1">IFERROR(IF(0=LEN(ReferenceData!$BE$613),"",ReferenceData!$BE$613),"")</f>
        <v>6.7886118199999999</v>
      </c>
      <c r="BF613">
        <f ca="1">IFERROR(IF(0=LEN(ReferenceData!$BF$613),"",ReferenceData!$BF$613),"")</f>
        <v>5.5602693849999998</v>
      </c>
      <c r="BG613">
        <f ca="1">IFERROR(IF(0=LEN(ReferenceData!$BG$613),"",ReferenceData!$BG$613),"")</f>
        <v>4.2794427739999996</v>
      </c>
      <c r="BH613">
        <f ca="1">IFERROR(IF(0=LEN(ReferenceData!$BH$613),"",ReferenceData!$BH$613),"")</f>
        <v>5.6174110949999996</v>
      </c>
      <c r="BI613">
        <f ca="1">IFERROR(IF(0=LEN(ReferenceData!$BI$613),"",ReferenceData!$BI$613),"")</f>
        <v>8.1770445299999999</v>
      </c>
      <c r="BJ613">
        <f ca="1">IFERROR(IF(0=LEN(ReferenceData!$BJ$613),"",ReferenceData!$BJ$613),"")</f>
        <v>8.0605241759999995</v>
      </c>
      <c r="BK613">
        <f ca="1">IFERROR(IF(0=LEN(ReferenceData!$BK$613),"",ReferenceData!$BK$613),"")</f>
        <v>9.0784323049999998</v>
      </c>
      <c r="BL613">
        <f ca="1">IFERROR(IF(0=LEN(ReferenceData!$BL$613),"",ReferenceData!$BL$613),"")</f>
        <v>9.2084177930000006</v>
      </c>
      <c r="BM613">
        <f ca="1">IFERROR(IF(0=LEN(ReferenceData!$BM$613),"",ReferenceData!$BM$613),"")</f>
        <v>6.6431627329999996</v>
      </c>
    </row>
    <row r="614" spans="1:65" x14ac:dyDescent="0.25">
      <c r="A614" t="str">
        <f>IFERROR(IF(0=LEN(ReferenceData!$A$614),"",ReferenceData!$A$614),"")</f>
        <v xml:space="preserve">    Tata Motors Ltd</v>
      </c>
      <c r="B614" t="str">
        <f>IFERROR(IF(0=LEN(ReferenceData!$B$614),"",ReferenceData!$B$614),"")</f>
        <v>TTMT IN Equity</v>
      </c>
      <c r="C614" t="str">
        <f>IFERROR(IF(0=LEN(ReferenceData!$C$614),"",ReferenceData!$C$614),"")</f>
        <v>RX072</v>
      </c>
      <c r="D614" t="str">
        <f>IFERROR(IF(0=LEN(ReferenceData!$D$614),"",ReferenceData!$D$614),"")</f>
        <v>FREE_CASH_FLOW_YIELD</v>
      </c>
      <c r="E614" t="str">
        <f>IFERROR(IF(0=LEN(ReferenceData!$E$614),"",ReferenceData!$E$614),"")</f>
        <v>Dynamic</v>
      </c>
      <c r="F614" t="str">
        <f ca="1">IFERROR(IF(0=LEN(ReferenceData!$F$614),"",ReferenceData!$F$614),"")</f>
        <v/>
      </c>
      <c r="G614" t="str">
        <f ca="1">IFERROR(IF(0=LEN(ReferenceData!$G$614),"",ReferenceData!$G$614),"")</f>
        <v/>
      </c>
      <c r="H614" t="str">
        <f ca="1">IFERROR(IF(0=LEN(ReferenceData!$H$614),"",ReferenceData!$H$614),"")</f>
        <v/>
      </c>
      <c r="I614" t="str">
        <f ca="1">IFERROR(IF(0=LEN(ReferenceData!$I$614),"",ReferenceData!$I$614),"")</f>
        <v/>
      </c>
      <c r="J614" t="str">
        <f ca="1">IFERROR(IF(0=LEN(ReferenceData!$J$614),"",ReferenceData!$J$614),"")</f>
        <v/>
      </c>
      <c r="K614" t="str">
        <f ca="1">IFERROR(IF(0=LEN(ReferenceData!$K$614),"",ReferenceData!$K$614),"")</f>
        <v/>
      </c>
      <c r="L614" t="str">
        <f ca="1">IFERROR(IF(0=LEN(ReferenceData!$L$614),"",ReferenceData!$L$614),"")</f>
        <v/>
      </c>
      <c r="M614" t="str">
        <f ca="1">IFERROR(IF(0=LEN(ReferenceData!$M$614),"",ReferenceData!$M$614),"")</f>
        <v/>
      </c>
      <c r="N614" t="str">
        <f ca="1">IFERROR(IF(0=LEN(ReferenceData!$N$614),"",ReferenceData!$N$614),"")</f>
        <v/>
      </c>
      <c r="O614" t="str">
        <f ca="1">IFERROR(IF(0=LEN(ReferenceData!$O$614),"",ReferenceData!$O$614),"")</f>
        <v/>
      </c>
      <c r="P614" t="str">
        <f ca="1">IFERROR(IF(0=LEN(ReferenceData!$P$614),"",ReferenceData!$P$614),"")</f>
        <v/>
      </c>
      <c r="Q614" t="str">
        <f ca="1">IFERROR(IF(0=LEN(ReferenceData!$Q$614),"",ReferenceData!$Q$614),"")</f>
        <v/>
      </c>
      <c r="R614" t="str">
        <f ca="1">IFERROR(IF(0=LEN(ReferenceData!$R$614),"",ReferenceData!$R$614),"")</f>
        <v/>
      </c>
      <c r="S614" t="str">
        <f ca="1">IFERROR(IF(0=LEN(ReferenceData!$S$614),"",ReferenceData!$S$614),"")</f>
        <v/>
      </c>
      <c r="T614" t="str">
        <f ca="1">IFERROR(IF(0=LEN(ReferenceData!$T$614),"",ReferenceData!$T$614),"")</f>
        <v/>
      </c>
      <c r="U614" t="str">
        <f ca="1">IFERROR(IF(0=LEN(ReferenceData!$U$614),"",ReferenceData!$U$614),"")</f>
        <v/>
      </c>
      <c r="V614" t="str">
        <f ca="1">IFERROR(IF(0=LEN(ReferenceData!$V$614),"",ReferenceData!$V$614),"")</f>
        <v/>
      </c>
      <c r="W614" t="str">
        <f ca="1">IFERROR(IF(0=LEN(ReferenceData!$W$614),"",ReferenceData!$W$614),"")</f>
        <v/>
      </c>
      <c r="X614" t="str">
        <f ca="1">IFERROR(IF(0=LEN(ReferenceData!$X$614),"",ReferenceData!$X$614),"")</f>
        <v/>
      </c>
      <c r="Y614" t="str">
        <f ca="1">IFERROR(IF(0=LEN(ReferenceData!$Y$614),"",ReferenceData!$Y$614),"")</f>
        <v/>
      </c>
      <c r="Z614" t="str">
        <f ca="1">IFERROR(IF(0=LEN(ReferenceData!$Z$614),"",ReferenceData!$Z$614),"")</f>
        <v/>
      </c>
      <c r="AA614" t="str">
        <f ca="1">IFERROR(IF(0=LEN(ReferenceData!$AA$614),"",ReferenceData!$AA$614),"")</f>
        <v/>
      </c>
      <c r="AB614" t="str">
        <f ca="1">IFERROR(IF(0=LEN(ReferenceData!$AB$614),"",ReferenceData!$AB$614),"")</f>
        <v/>
      </c>
      <c r="AC614" t="str">
        <f ca="1">IFERROR(IF(0=LEN(ReferenceData!$AC$614),"",ReferenceData!$AC$614),"")</f>
        <v/>
      </c>
      <c r="AD614" t="str">
        <f ca="1">IFERROR(IF(0=LEN(ReferenceData!$AD$614),"",ReferenceData!$AD$614),"")</f>
        <v/>
      </c>
      <c r="AE614" t="str">
        <f ca="1">IFERROR(IF(0=LEN(ReferenceData!$AE$614),"",ReferenceData!$AE$614),"")</f>
        <v/>
      </c>
      <c r="AF614" t="str">
        <f ca="1">IFERROR(IF(0=LEN(ReferenceData!$AF$614),"",ReferenceData!$AF$614),"")</f>
        <v/>
      </c>
      <c r="AG614" t="str">
        <f ca="1">IFERROR(IF(0=LEN(ReferenceData!$AG$614),"",ReferenceData!$AG$614),"")</f>
        <v/>
      </c>
      <c r="AH614" t="str">
        <f ca="1">IFERROR(IF(0=LEN(ReferenceData!$AH$614),"",ReferenceData!$AH$614),"")</f>
        <v/>
      </c>
      <c r="AI614" t="str">
        <f ca="1">IFERROR(IF(0=LEN(ReferenceData!$AI$614),"",ReferenceData!$AI$614),"")</f>
        <v/>
      </c>
      <c r="AJ614" t="str">
        <f ca="1">IFERROR(IF(0=LEN(ReferenceData!$AJ$614),"",ReferenceData!$AJ$614),"")</f>
        <v/>
      </c>
      <c r="AK614" t="str">
        <f ca="1">IFERROR(IF(0=LEN(ReferenceData!$AK$614),"",ReferenceData!$AK$614),"")</f>
        <v/>
      </c>
      <c r="AL614" t="str">
        <f ca="1">IFERROR(IF(0=LEN(ReferenceData!$AL$614),"",ReferenceData!$AL$614),"")</f>
        <v/>
      </c>
      <c r="AM614" t="str">
        <f ca="1">IFERROR(IF(0=LEN(ReferenceData!$AM$614),"",ReferenceData!$AM$614),"")</f>
        <v/>
      </c>
      <c r="AN614" t="str">
        <f ca="1">IFERROR(IF(0=LEN(ReferenceData!$AN$614),"",ReferenceData!$AN$614),"")</f>
        <v/>
      </c>
      <c r="AO614" t="str">
        <f ca="1">IFERROR(IF(0=LEN(ReferenceData!$AO$614),"",ReferenceData!$AO$614),"")</f>
        <v/>
      </c>
      <c r="AP614" t="str">
        <f ca="1">IFERROR(IF(0=LEN(ReferenceData!$AP$614),"",ReferenceData!$AP$614),"")</f>
        <v/>
      </c>
      <c r="AQ614" t="str">
        <f ca="1">IFERROR(IF(0=LEN(ReferenceData!$AQ$614),"",ReferenceData!$AQ$614),"")</f>
        <v/>
      </c>
      <c r="AR614" t="str">
        <f ca="1">IFERROR(IF(0=LEN(ReferenceData!$AR$614),"",ReferenceData!$AR$614),"")</f>
        <v/>
      </c>
      <c r="AS614" t="str">
        <f ca="1">IFERROR(IF(0=LEN(ReferenceData!$AS$614),"",ReferenceData!$AS$614),"")</f>
        <v/>
      </c>
      <c r="AT614" t="str">
        <f ca="1">IFERROR(IF(0=LEN(ReferenceData!$AT$614),"",ReferenceData!$AT$614),"")</f>
        <v/>
      </c>
      <c r="AU614" t="str">
        <f ca="1">IFERROR(IF(0=LEN(ReferenceData!$AU$614),"",ReferenceData!$AU$614),"")</f>
        <v/>
      </c>
      <c r="AV614" t="str">
        <f ca="1">IFERROR(IF(0=LEN(ReferenceData!$AV$614),"",ReferenceData!$AV$614),"")</f>
        <v/>
      </c>
      <c r="AW614" t="str">
        <f ca="1">IFERROR(IF(0=LEN(ReferenceData!$AW$614),"",ReferenceData!$AW$614),"")</f>
        <v/>
      </c>
      <c r="AX614" t="str">
        <f ca="1">IFERROR(IF(0=LEN(ReferenceData!$AX$614),"",ReferenceData!$AX$614),"")</f>
        <v/>
      </c>
      <c r="AY614" t="str">
        <f ca="1">IFERROR(IF(0=LEN(ReferenceData!$AY$614),"",ReferenceData!$AY$614),"")</f>
        <v/>
      </c>
      <c r="AZ614" t="str">
        <f ca="1">IFERROR(IF(0=LEN(ReferenceData!$AZ$614),"",ReferenceData!$AZ$614),"")</f>
        <v/>
      </c>
      <c r="BA614" t="str">
        <f ca="1">IFERROR(IF(0=LEN(ReferenceData!$BA$614),"",ReferenceData!$BA$614),"")</f>
        <v/>
      </c>
      <c r="BB614" t="str">
        <f ca="1">IFERROR(IF(0=LEN(ReferenceData!$BB$614),"",ReferenceData!$BB$614),"")</f>
        <v/>
      </c>
      <c r="BC614" t="str">
        <f ca="1">IFERROR(IF(0=LEN(ReferenceData!$BC$614),"",ReferenceData!$BC$614),"")</f>
        <v/>
      </c>
      <c r="BD614" t="str">
        <f ca="1">IFERROR(IF(0=LEN(ReferenceData!$BD$614),"",ReferenceData!$BD$614),"")</f>
        <v/>
      </c>
      <c r="BE614" t="str">
        <f ca="1">IFERROR(IF(0=LEN(ReferenceData!$BE$614),"",ReferenceData!$BE$614),"")</f>
        <v/>
      </c>
      <c r="BF614" t="str">
        <f ca="1">IFERROR(IF(0=LEN(ReferenceData!$BF$614),"",ReferenceData!$BF$614),"")</f>
        <v/>
      </c>
      <c r="BG614" t="str">
        <f ca="1">IFERROR(IF(0=LEN(ReferenceData!$BG$614),"",ReferenceData!$BG$614),"")</f>
        <v/>
      </c>
      <c r="BH614" t="str">
        <f ca="1">IFERROR(IF(0=LEN(ReferenceData!$BH$614),"",ReferenceData!$BH$614),"")</f>
        <v/>
      </c>
      <c r="BI614" t="str">
        <f ca="1">IFERROR(IF(0=LEN(ReferenceData!$BI$614),"",ReferenceData!$BI$614),"")</f>
        <v/>
      </c>
      <c r="BJ614" t="str">
        <f ca="1">IFERROR(IF(0=LEN(ReferenceData!$BJ$614),"",ReferenceData!$BJ$614),"")</f>
        <v/>
      </c>
      <c r="BK614" t="str">
        <f ca="1">IFERROR(IF(0=LEN(ReferenceData!$BK$614),"",ReferenceData!$BK$614),"")</f>
        <v/>
      </c>
      <c r="BL614" t="str">
        <f ca="1">IFERROR(IF(0=LEN(ReferenceData!$BL$614),"",ReferenceData!$BL$614),"")</f>
        <v/>
      </c>
      <c r="BM614" t="str">
        <f ca="1">IFERROR(IF(0=LEN(ReferenceData!$BM$614),"",ReferenceData!$BM$614),"")</f>
        <v/>
      </c>
    </row>
    <row r="615" spans="1:65" x14ac:dyDescent="0.25">
      <c r="A615" t="str">
        <f>IFERROR(IF(0=LEN(ReferenceData!$A$615),"",ReferenceData!$A$615),"")</f>
        <v xml:space="preserve">    Tesla Inc</v>
      </c>
      <c r="B615" t="str">
        <f>IFERROR(IF(0=LEN(ReferenceData!$B$615),"",ReferenceData!$B$615),"")</f>
        <v>TSLA US Equity</v>
      </c>
      <c r="C615" t="str">
        <f>IFERROR(IF(0=LEN(ReferenceData!$C$615),"",ReferenceData!$C$615),"")</f>
        <v>RX072</v>
      </c>
      <c r="D615" t="str">
        <f>IFERROR(IF(0=LEN(ReferenceData!$D$615),"",ReferenceData!$D$615),"")</f>
        <v>FREE_CASH_FLOW_YIELD</v>
      </c>
      <c r="E615" t="str">
        <f>IFERROR(IF(0=LEN(ReferenceData!$E$615),"",ReferenceData!$E$615),"")</f>
        <v>Dynamic</v>
      </c>
      <c r="F615">
        <f ca="1">IFERROR(IF(0=LEN(ReferenceData!$F$615),"",ReferenceData!$F$615),"")</f>
        <v>-4.5959997000000002E-2</v>
      </c>
      <c r="G615">
        <f ca="1">IFERROR(IF(0=LEN(ReferenceData!$G$615),"",ReferenceData!$G$615),"")</f>
        <v>-4.0669693E-2</v>
      </c>
      <c r="H615">
        <f ca="1">IFERROR(IF(0=LEN(ReferenceData!$H$615),"",ReferenceData!$H$615),"")</f>
        <v>-2.6692413099999999</v>
      </c>
      <c r="I615">
        <f ca="1">IFERROR(IF(0=LEN(ReferenceData!$I$615),"",ReferenceData!$I$615),"")</f>
        <v>-5.8503411180000002</v>
      </c>
      <c r="J615">
        <f ca="1">IFERROR(IF(0=LEN(ReferenceData!$J$615),"",ReferenceData!$J$615),"")</f>
        <v>-8.7787289840000007</v>
      </c>
      <c r="K615">
        <f ca="1">IFERROR(IF(0=LEN(ReferenceData!$K$615),"",ReferenceData!$K$615),"")</f>
        <v>-6.7353261350000002</v>
      </c>
      <c r="L615">
        <f ca="1">IFERROR(IF(0=LEN(ReferenceData!$L$615),"",ReferenceData!$L$615),"")</f>
        <v>-7.4998098640000004</v>
      </c>
      <c r="M615">
        <f ca="1">IFERROR(IF(0=LEN(ReferenceData!$M$615),"",ReferenceData!$M$615),"")</f>
        <v>-4.4053600360000003</v>
      </c>
      <c r="N615">
        <f ca="1">IFERROR(IF(0=LEN(ReferenceData!$N$615),"",ReferenceData!$N$615),"")</f>
        <v>-3.5734747979999999</v>
      </c>
      <c r="O615">
        <f ca="1">IFERROR(IF(0=LEN(ReferenceData!$O$615),"",ReferenceData!$O$615),"")</f>
        <v>-4.5026248539999996</v>
      </c>
      <c r="P615">
        <f ca="1">IFERROR(IF(0=LEN(ReferenceData!$P$615),"",ReferenceData!$P$615),"")</f>
        <v>-3.2985855019999999</v>
      </c>
      <c r="Q615">
        <f ca="1">IFERROR(IF(0=LEN(ReferenceData!$Q$615),"",ReferenceData!$Q$615),"")</f>
        <v>-5.9023866859999998</v>
      </c>
      <c r="R615">
        <f ca="1">IFERROR(IF(0=LEN(ReferenceData!$R$615),"",ReferenceData!$R$615),"")</f>
        <v>-6.9440609919999998</v>
      </c>
      <c r="S615">
        <f ca="1">IFERROR(IF(0=LEN(ReferenceData!$S$615),"",ReferenceData!$S$615),"")</f>
        <v>-7.0283920889999996</v>
      </c>
      <c r="T615">
        <f ca="1">IFERROR(IF(0=LEN(ReferenceData!$T$615),"",ReferenceData!$T$615),"")</f>
        <v>-6.8963544959999998</v>
      </c>
      <c r="U615">
        <f ca="1">IFERROR(IF(0=LEN(ReferenceData!$U$615),"",ReferenceData!$U$615),"")</f>
        <v>-5.595968075</v>
      </c>
      <c r="V615">
        <f ca="1">IFERROR(IF(0=LEN(ReferenceData!$V$615),"",ReferenceData!$V$615),"")</f>
        <v>-6.3555069939999997</v>
      </c>
      <c r="W615">
        <f ca="1">IFERROR(IF(0=LEN(ReferenceData!$W$615),"",ReferenceData!$W$615),"")</f>
        <v>-3.6966783849999998</v>
      </c>
      <c r="X615">
        <f ca="1">IFERROR(IF(0=LEN(ReferenceData!$X$615),"",ReferenceData!$X$615),"")</f>
        <v>-1.744227864</v>
      </c>
      <c r="Y615">
        <f ca="1">IFERROR(IF(0=LEN(ReferenceData!$Y$615),"",ReferenceData!$Y$615),"")</f>
        <v>-0.62519150999999995</v>
      </c>
      <c r="Z615">
        <f ca="1">IFERROR(IF(0=LEN(ReferenceData!$Z$615),"",ReferenceData!$Z$615),"")</f>
        <v>-0.321539042</v>
      </c>
      <c r="AA615">
        <f ca="1">IFERROR(IF(0=LEN(ReferenceData!$AA$615),"",ReferenceData!$AA$615),"")</f>
        <v>2.5862756000000001E-2</v>
      </c>
      <c r="AB615">
        <f ca="1">IFERROR(IF(0=LEN(ReferenceData!$AB$615),"",ReferenceData!$AB$615),"")</f>
        <v>-0.62910014299999995</v>
      </c>
      <c r="AC615">
        <f ca="1">IFERROR(IF(0=LEN(ReferenceData!$AC$615),"",ReferenceData!$AC$615),"")</f>
        <v>-2.7921194749999998</v>
      </c>
      <c r="AD615">
        <f ca="1">IFERROR(IF(0=LEN(ReferenceData!$AD$615),"",ReferenceData!$AD$615),"")</f>
        <v>-9.3618434649999998</v>
      </c>
      <c r="AE615">
        <f ca="1">IFERROR(IF(0=LEN(ReferenceData!$AE$615),"",ReferenceData!$AE$615),"")</f>
        <v>-13.96340315</v>
      </c>
      <c r="AF615">
        <f ca="1">IFERROR(IF(0=LEN(ReferenceData!$AF$615),"",ReferenceData!$AF$615),"")</f>
        <v>-15.765355209999999</v>
      </c>
      <c r="AG615">
        <f ca="1">IFERROR(IF(0=LEN(ReferenceData!$AG$615),"",ReferenceData!$AG$615),"")</f>
        <v>-12.578594089999999</v>
      </c>
      <c r="AH615">
        <f ca="1">IFERROR(IF(0=LEN(ReferenceData!$AH$615),"",ReferenceData!$AH$615),"")</f>
        <v>-9.558853053</v>
      </c>
      <c r="AI615">
        <f ca="1">IFERROR(IF(0=LEN(ReferenceData!$AI$615),"",ReferenceData!$AI$615),"")</f>
        <v>-10.86436183</v>
      </c>
      <c r="AJ615">
        <f ca="1">IFERROR(IF(0=LEN(ReferenceData!$AJ$615),"",ReferenceData!$AJ$615),"")</f>
        <v>-11.7643846</v>
      </c>
      <c r="AK615">
        <f ca="1">IFERROR(IF(0=LEN(ReferenceData!$AK$615),"",ReferenceData!$AK$615),"")</f>
        <v>-8.7028325720000002</v>
      </c>
      <c r="AL615">
        <f ca="1">IFERROR(IF(0=LEN(ReferenceData!$AL$615),"",ReferenceData!$AL$615),"")</f>
        <v>-22.58690065</v>
      </c>
      <c r="AM615">
        <f ca="1">IFERROR(IF(0=LEN(ReferenceData!$AM$615),"",ReferenceData!$AM$615),"")</f>
        <v>-37.889542990000002</v>
      </c>
      <c r="AN615">
        <f ca="1">IFERROR(IF(0=LEN(ReferenceData!$AN$615),"",ReferenceData!$AN$615),"")</f>
        <v>-71.344903299999999</v>
      </c>
      <c r="AO615" t="str">
        <f ca="1">IFERROR(IF(0=LEN(ReferenceData!$AO$615),"",ReferenceData!$AO$615),"")</f>
        <v/>
      </c>
      <c r="AP615" t="str">
        <f ca="1">IFERROR(IF(0=LEN(ReferenceData!$AP$615),"",ReferenceData!$AP$615),"")</f>
        <v/>
      </c>
      <c r="AQ615" t="str">
        <f ca="1">IFERROR(IF(0=LEN(ReferenceData!$AQ$615),"",ReferenceData!$AQ$615),"")</f>
        <v/>
      </c>
      <c r="AR615" t="str">
        <f ca="1">IFERROR(IF(0=LEN(ReferenceData!$AR$615),"",ReferenceData!$AR$615),"")</f>
        <v/>
      </c>
      <c r="AS615" t="str">
        <f ca="1">IFERROR(IF(0=LEN(ReferenceData!$AS$615),"",ReferenceData!$AS$615),"")</f>
        <v/>
      </c>
      <c r="AT615" t="str">
        <f ca="1">IFERROR(IF(0=LEN(ReferenceData!$AT$615),"",ReferenceData!$AT$615),"")</f>
        <v/>
      </c>
      <c r="AU615" t="str">
        <f ca="1">IFERROR(IF(0=LEN(ReferenceData!$AU$615),"",ReferenceData!$AU$615),"")</f>
        <v/>
      </c>
      <c r="AV615" t="str">
        <f ca="1">IFERROR(IF(0=LEN(ReferenceData!$AV$615),"",ReferenceData!$AV$615),"")</f>
        <v/>
      </c>
      <c r="AW615" t="str">
        <f ca="1">IFERROR(IF(0=LEN(ReferenceData!$AW$615),"",ReferenceData!$AW$615),"")</f>
        <v/>
      </c>
      <c r="AX615" t="str">
        <f ca="1">IFERROR(IF(0=LEN(ReferenceData!$AX$615),"",ReferenceData!$AX$615),"")</f>
        <v/>
      </c>
      <c r="AY615" t="str">
        <f ca="1">IFERROR(IF(0=LEN(ReferenceData!$AY$615),"",ReferenceData!$AY$615),"")</f>
        <v/>
      </c>
      <c r="AZ615" t="str">
        <f ca="1">IFERROR(IF(0=LEN(ReferenceData!$AZ$615),"",ReferenceData!$AZ$615),"")</f>
        <v/>
      </c>
      <c r="BA615" t="str">
        <f ca="1">IFERROR(IF(0=LEN(ReferenceData!$BA$615),"",ReferenceData!$BA$615),"")</f>
        <v/>
      </c>
      <c r="BB615" t="str">
        <f ca="1">IFERROR(IF(0=LEN(ReferenceData!$BB$615),"",ReferenceData!$BB$615),"")</f>
        <v/>
      </c>
      <c r="BC615" t="str">
        <f ca="1">IFERROR(IF(0=LEN(ReferenceData!$BC$615),"",ReferenceData!$BC$615),"")</f>
        <v/>
      </c>
      <c r="BD615" t="str">
        <f ca="1">IFERROR(IF(0=LEN(ReferenceData!$BD$615),"",ReferenceData!$BD$615),"")</f>
        <v/>
      </c>
      <c r="BE615" t="str">
        <f ca="1">IFERROR(IF(0=LEN(ReferenceData!$BE$615),"",ReferenceData!$BE$615),"")</f>
        <v/>
      </c>
      <c r="BF615" t="str">
        <f ca="1">IFERROR(IF(0=LEN(ReferenceData!$BF$615),"",ReferenceData!$BF$615),"")</f>
        <v/>
      </c>
      <c r="BG615" t="str">
        <f ca="1">IFERROR(IF(0=LEN(ReferenceData!$BG$615),"",ReferenceData!$BG$615),"")</f>
        <v/>
      </c>
      <c r="BH615" t="str">
        <f ca="1">IFERROR(IF(0=LEN(ReferenceData!$BH$615),"",ReferenceData!$BH$615),"")</f>
        <v/>
      </c>
      <c r="BI615" t="str">
        <f ca="1">IFERROR(IF(0=LEN(ReferenceData!$BI$615),"",ReferenceData!$BI$615),"")</f>
        <v/>
      </c>
      <c r="BJ615" t="str">
        <f ca="1">IFERROR(IF(0=LEN(ReferenceData!$BJ$615),"",ReferenceData!$BJ$615),"")</f>
        <v/>
      </c>
      <c r="BK615" t="str">
        <f ca="1">IFERROR(IF(0=LEN(ReferenceData!$BK$615),"",ReferenceData!$BK$615),"")</f>
        <v/>
      </c>
      <c r="BL615" t="str">
        <f ca="1">IFERROR(IF(0=LEN(ReferenceData!$BL$615),"",ReferenceData!$BL$615),"")</f>
        <v/>
      </c>
      <c r="BM615" t="str">
        <f ca="1">IFERROR(IF(0=LEN(ReferenceData!$BM$615),"",ReferenceData!$BM$615),"")</f>
        <v/>
      </c>
    </row>
    <row r="616" spans="1:65" x14ac:dyDescent="0.25">
      <c r="A616" t="str">
        <f>IFERROR(IF(0=LEN(ReferenceData!$A$616),"",ReferenceData!$A$616),"")</f>
        <v xml:space="preserve">    Tianjin Faw Xiali Automobile Co Ltd</v>
      </c>
      <c r="B616" t="str">
        <f>IFERROR(IF(0=LEN(ReferenceData!$B$616),"",ReferenceData!$B$616),"")</f>
        <v>000927 CH Equity</v>
      </c>
      <c r="C616" t="str">
        <f>IFERROR(IF(0=LEN(ReferenceData!$C$616),"",ReferenceData!$C$616),"")</f>
        <v>RX072</v>
      </c>
      <c r="D616" t="str">
        <f>IFERROR(IF(0=LEN(ReferenceData!$D$616),"",ReferenceData!$D$616),"")</f>
        <v>FREE_CASH_FLOW_YIELD</v>
      </c>
      <c r="E616" t="str">
        <f>IFERROR(IF(0=LEN(ReferenceData!$E$616),"",ReferenceData!$E$616),"")</f>
        <v>Dynamic</v>
      </c>
      <c r="F616" t="str">
        <f ca="1">IFERROR(IF(0=LEN(ReferenceData!$F$616),"",ReferenceData!$F$616),"")</f>
        <v/>
      </c>
      <c r="G616" t="str">
        <f ca="1">IFERROR(IF(0=LEN(ReferenceData!$G$616),"",ReferenceData!$G$616),"")</f>
        <v/>
      </c>
      <c r="H616" t="str">
        <f ca="1">IFERROR(IF(0=LEN(ReferenceData!$H$616),"",ReferenceData!$H$616),"")</f>
        <v/>
      </c>
      <c r="I616">
        <f ca="1">IFERROR(IF(0=LEN(ReferenceData!$I$616),"",ReferenceData!$I$616),"")</f>
        <v>-29.55589238</v>
      </c>
      <c r="J616">
        <f ca="1">IFERROR(IF(0=LEN(ReferenceData!$J$616),"",ReferenceData!$J$616),"")</f>
        <v>-27.735948270000002</v>
      </c>
      <c r="K616">
        <f ca="1">IFERROR(IF(0=LEN(ReferenceData!$K$616),"",ReferenceData!$K$616),"")</f>
        <v>-25.535816830000002</v>
      </c>
      <c r="L616">
        <f ca="1">IFERROR(IF(0=LEN(ReferenceData!$L$616),"",ReferenceData!$L$616),"")</f>
        <v>-20.483506250000001</v>
      </c>
      <c r="M616">
        <f ca="1">IFERROR(IF(0=LEN(ReferenceData!$M$616),"",ReferenceData!$M$616),"")</f>
        <v>-26.65177036</v>
      </c>
      <c r="N616">
        <f ca="1">IFERROR(IF(0=LEN(ReferenceData!$N$616),"",ReferenceData!$N$616),"")</f>
        <v>-14.504468040000001</v>
      </c>
      <c r="O616">
        <f ca="1">IFERROR(IF(0=LEN(ReferenceData!$O$616),"",ReferenceData!$O$616),"")</f>
        <v>-19.420638799999999</v>
      </c>
      <c r="P616">
        <f ca="1">IFERROR(IF(0=LEN(ReferenceData!$P$616),"",ReferenceData!$P$616),"")</f>
        <v>-24.15380935</v>
      </c>
      <c r="Q616">
        <f ca="1">IFERROR(IF(0=LEN(ReferenceData!$Q$616),"",ReferenceData!$Q$616),"")</f>
        <v>-22.734675840000001</v>
      </c>
      <c r="R616">
        <f ca="1">IFERROR(IF(0=LEN(ReferenceData!$R$616),"",ReferenceData!$R$616),"")</f>
        <v>-20.603290040000001</v>
      </c>
      <c r="S616">
        <f ca="1">IFERROR(IF(0=LEN(ReferenceData!$S$616),"",ReferenceData!$S$616),"")</f>
        <v>-14.64053983</v>
      </c>
      <c r="T616">
        <f ca="1">IFERROR(IF(0=LEN(ReferenceData!$T$616),"",ReferenceData!$T$616),"")</f>
        <v>-10.20932644</v>
      </c>
      <c r="U616">
        <f ca="1">IFERROR(IF(0=LEN(ReferenceData!$U$616),"",ReferenceData!$U$616),"")</f>
        <v>-6.8167862899999996</v>
      </c>
      <c r="V616">
        <f ca="1">IFERROR(IF(0=LEN(ReferenceData!$V$616),"",ReferenceData!$V$616),"")</f>
        <v>-3.90411975</v>
      </c>
      <c r="W616">
        <f ca="1">IFERROR(IF(0=LEN(ReferenceData!$W$616),"",ReferenceData!$W$616),"")</f>
        <v>-6.8083321569999997</v>
      </c>
      <c r="X616">
        <f ca="1">IFERROR(IF(0=LEN(ReferenceData!$X$616),"",ReferenceData!$X$616),"")</f>
        <v>-11.046144849999999</v>
      </c>
      <c r="Y616">
        <f ca="1">IFERROR(IF(0=LEN(ReferenceData!$Y$616),"",ReferenceData!$Y$616),"")</f>
        <v>-24.243100649999999</v>
      </c>
      <c r="Z616">
        <f ca="1">IFERROR(IF(0=LEN(ReferenceData!$Z$616),"",ReferenceData!$Z$616),"")</f>
        <v>-13.665684629999999</v>
      </c>
      <c r="AA616">
        <f ca="1">IFERROR(IF(0=LEN(ReferenceData!$AA$616),"",ReferenceData!$AA$616),"")</f>
        <v>-10.303095170000001</v>
      </c>
      <c r="AB616">
        <f ca="1">IFERROR(IF(0=LEN(ReferenceData!$AB$616),"",ReferenceData!$AB$616),"")</f>
        <v>-5.3680968460000003</v>
      </c>
      <c r="AC616">
        <f ca="1">IFERROR(IF(0=LEN(ReferenceData!$AC$616),"",ReferenceData!$AC$616),"")</f>
        <v>3.171970907</v>
      </c>
      <c r="AD616">
        <f ca="1">IFERROR(IF(0=LEN(ReferenceData!$AD$616),"",ReferenceData!$AD$616),"")</f>
        <v>-2.1419199999999999E-2</v>
      </c>
      <c r="AE616">
        <f ca="1">IFERROR(IF(0=LEN(ReferenceData!$AE$616),"",ReferenceData!$AE$616),"")</f>
        <v>-1.963405944</v>
      </c>
      <c r="AF616">
        <f ca="1">IFERROR(IF(0=LEN(ReferenceData!$AF$616),"",ReferenceData!$AF$616),"")</f>
        <v>-6.9654291280000002</v>
      </c>
      <c r="AG616">
        <f ca="1">IFERROR(IF(0=LEN(ReferenceData!$AG$616),"",ReferenceData!$AG$616),"")</f>
        <v>-6.0767238910000003</v>
      </c>
      <c r="AH616">
        <f ca="1">IFERROR(IF(0=LEN(ReferenceData!$AH$616),"",ReferenceData!$AH$616),"")</f>
        <v>-3.246523168</v>
      </c>
      <c r="AI616">
        <f ca="1">IFERROR(IF(0=LEN(ReferenceData!$AI$616),"",ReferenceData!$AI$616),"")</f>
        <v>-3.4438920340000001</v>
      </c>
      <c r="AJ616">
        <f ca="1">IFERROR(IF(0=LEN(ReferenceData!$AJ$616),"",ReferenceData!$AJ$616),"")</f>
        <v>-6.3499200440000001</v>
      </c>
      <c r="AK616">
        <f ca="1">IFERROR(IF(0=LEN(ReferenceData!$AK$616),"",ReferenceData!$AK$616),"")</f>
        <v>-7.537656363</v>
      </c>
      <c r="AL616">
        <f ca="1">IFERROR(IF(0=LEN(ReferenceData!$AL$616),"",ReferenceData!$AL$616),"")</f>
        <v>-13.39930408</v>
      </c>
      <c r="AM616">
        <f ca="1">IFERROR(IF(0=LEN(ReferenceData!$AM$616),"",ReferenceData!$AM$616),"")</f>
        <v>-10.05719654</v>
      </c>
      <c r="AN616">
        <f ca="1">IFERROR(IF(0=LEN(ReferenceData!$AN$616),"",ReferenceData!$AN$616),"")</f>
        <v>-8.2939344540000004</v>
      </c>
      <c r="AO616">
        <f ca="1">IFERROR(IF(0=LEN(ReferenceData!$AO$616),"",ReferenceData!$AO$616),"")</f>
        <v>0.85562732900000005</v>
      </c>
      <c r="AP616">
        <f ca="1">IFERROR(IF(0=LEN(ReferenceData!$AP$616),"",ReferenceData!$AP$616),"")</f>
        <v>0.68137175500000002</v>
      </c>
      <c r="AQ616">
        <f ca="1">IFERROR(IF(0=LEN(ReferenceData!$AQ$616),"",ReferenceData!$AQ$616),"")</f>
        <v>0.287932774</v>
      </c>
      <c r="AR616">
        <f ca="1">IFERROR(IF(0=LEN(ReferenceData!$AR$616),"",ReferenceData!$AR$616),"")</f>
        <v>5.0414035869999996</v>
      </c>
      <c r="AS616">
        <f ca="1">IFERROR(IF(0=LEN(ReferenceData!$AS$616),"",ReferenceData!$AS$616),"")</f>
        <v>-5.1462030280000004</v>
      </c>
      <c r="AT616">
        <f ca="1">IFERROR(IF(0=LEN(ReferenceData!$AT$616),"",ReferenceData!$AT$616),"")</f>
        <v>-7.7065494719999998</v>
      </c>
      <c r="AU616">
        <f ca="1">IFERROR(IF(0=LEN(ReferenceData!$AU$616),"",ReferenceData!$AU$616),"")</f>
        <v>-10.265613589999999</v>
      </c>
      <c r="AV616">
        <f ca="1">IFERROR(IF(0=LEN(ReferenceData!$AV$616),"",ReferenceData!$AV$616),"")</f>
        <v>-10.363555099999999</v>
      </c>
      <c r="AW616">
        <f ca="1">IFERROR(IF(0=LEN(ReferenceData!$AW$616),"",ReferenceData!$AW$616),"")</f>
        <v>-4.0344867009999996</v>
      </c>
      <c r="AX616">
        <f ca="1">IFERROR(IF(0=LEN(ReferenceData!$AX$616),"",ReferenceData!$AX$616),"")</f>
        <v>-0.16110255800000001</v>
      </c>
      <c r="AY616">
        <f ca="1">IFERROR(IF(0=LEN(ReferenceData!$AY$616),"",ReferenceData!$AY$616),"")</f>
        <v>-0.14859530700000001</v>
      </c>
      <c r="AZ616">
        <f ca="1">IFERROR(IF(0=LEN(ReferenceData!$AZ$616),"",ReferenceData!$AZ$616),"")</f>
        <v>-0.32138698300000001</v>
      </c>
      <c r="BA616">
        <f ca="1">IFERROR(IF(0=LEN(ReferenceData!$BA$616),"",ReferenceData!$BA$616),"")</f>
        <v>9.1728128570000003</v>
      </c>
      <c r="BB616">
        <f ca="1">IFERROR(IF(0=LEN(ReferenceData!$BB$616),"",ReferenceData!$BB$616),"")</f>
        <v>7.6684715480000003</v>
      </c>
      <c r="BC616">
        <f ca="1">IFERROR(IF(0=LEN(ReferenceData!$BC$616),"",ReferenceData!$BC$616),"")</f>
        <v>19.242965550000001</v>
      </c>
      <c r="BD616">
        <f ca="1">IFERROR(IF(0=LEN(ReferenceData!$BD$616),"",ReferenceData!$BD$616),"")</f>
        <v>27.294627460000001</v>
      </c>
      <c r="BE616">
        <f ca="1">IFERROR(IF(0=LEN(ReferenceData!$BE$616),"",ReferenceData!$BE$616),"")</f>
        <v>10.639361750000001</v>
      </c>
      <c r="BF616">
        <f ca="1">IFERROR(IF(0=LEN(ReferenceData!$BF$616),"",ReferenceData!$BF$616),"")</f>
        <v>13.15449252</v>
      </c>
      <c r="BG616">
        <f ca="1">IFERROR(IF(0=LEN(ReferenceData!$BG$616),"",ReferenceData!$BG$616),"")</f>
        <v>16.221893550000001</v>
      </c>
      <c r="BH616">
        <f ca="1">IFERROR(IF(0=LEN(ReferenceData!$BH$616),"",ReferenceData!$BH$616),"")</f>
        <v>15.753869160000001</v>
      </c>
      <c r="BI616">
        <f ca="1">IFERROR(IF(0=LEN(ReferenceData!$BI$616),"",ReferenceData!$BI$616),"")</f>
        <v>5.2115862630000001</v>
      </c>
      <c r="BJ616">
        <f ca="1">IFERROR(IF(0=LEN(ReferenceData!$BJ$616),"",ReferenceData!$BJ$616),"")</f>
        <v>6.1430187009999999</v>
      </c>
      <c r="BK616">
        <f ca="1">IFERROR(IF(0=LEN(ReferenceData!$BK$616),"",ReferenceData!$BK$616),"")</f>
        <v>9.3937198E-2</v>
      </c>
      <c r="BL616">
        <f ca="1">IFERROR(IF(0=LEN(ReferenceData!$BL$616),"",ReferenceData!$BL$616),"")</f>
        <v>-6.0406852129999997</v>
      </c>
      <c r="BM616">
        <f ca="1">IFERROR(IF(0=LEN(ReferenceData!$BM$616),"",ReferenceData!$BM$616),"")</f>
        <v>-3.980882351</v>
      </c>
    </row>
    <row r="617" spans="1:65" x14ac:dyDescent="0.25">
      <c r="A617" t="str">
        <f>IFERROR(IF(0=LEN(ReferenceData!$A$617),"",ReferenceData!$A$617),"")</f>
        <v xml:space="preserve">    Tofas Turk Otomobil Fabrikasi AS</v>
      </c>
      <c r="B617" t="str">
        <f>IFERROR(IF(0=LEN(ReferenceData!$B$617),"",ReferenceData!$B$617),"")</f>
        <v>TOASOTRY EO Equity</v>
      </c>
      <c r="C617" t="str">
        <f>IFERROR(IF(0=LEN(ReferenceData!$C$617),"",ReferenceData!$C$617),"")</f>
        <v>RX072</v>
      </c>
      <c r="D617" t="str">
        <f>IFERROR(IF(0=LEN(ReferenceData!$D$617),"",ReferenceData!$D$617),"")</f>
        <v>FREE_CASH_FLOW_YIELD</v>
      </c>
      <c r="E617" t="str">
        <f>IFERROR(IF(0=LEN(ReferenceData!$E$617),"",ReferenceData!$E$617),"")</f>
        <v>Dynamic</v>
      </c>
      <c r="F617">
        <f ca="1">IFERROR(IF(0=LEN(ReferenceData!$F$617),"",ReferenceData!$F$617),"")</f>
        <v>10.46003953</v>
      </c>
      <c r="G617">
        <f ca="1">IFERROR(IF(0=LEN(ReferenceData!$G$617),"",ReferenceData!$G$617),"")</f>
        <v>12.378745009999999</v>
      </c>
      <c r="H617">
        <f ca="1">IFERROR(IF(0=LEN(ReferenceData!$H$617),"",ReferenceData!$H$617),"")</f>
        <v>-0.96137535900000004</v>
      </c>
      <c r="I617">
        <f ca="1">IFERROR(IF(0=LEN(ReferenceData!$I$617),"",ReferenceData!$I$617),"")</f>
        <v>9.3972150540000001</v>
      </c>
      <c r="J617">
        <f ca="1">IFERROR(IF(0=LEN(ReferenceData!$J$617),"",ReferenceData!$J$617),"")</f>
        <v>6.9318712610000004</v>
      </c>
      <c r="K617">
        <f ca="1">IFERROR(IF(0=LEN(ReferenceData!$K$617),"",ReferenceData!$K$617),"")</f>
        <v>4.6326530330000004</v>
      </c>
      <c r="L617">
        <f ca="1">IFERROR(IF(0=LEN(ReferenceData!$L$617),"",ReferenceData!$L$617),"")</f>
        <v>10.591282550000001</v>
      </c>
      <c r="M617">
        <f ca="1">IFERROR(IF(0=LEN(ReferenceData!$M$617),"",ReferenceData!$M$617),"")</f>
        <v>11.06272686</v>
      </c>
      <c r="N617">
        <f ca="1">IFERROR(IF(0=LEN(ReferenceData!$N$617),"",ReferenceData!$N$617),"")</f>
        <v>11.274283629999999</v>
      </c>
      <c r="O617">
        <f ca="1">IFERROR(IF(0=LEN(ReferenceData!$O$617),"",ReferenceData!$O$617),"")</f>
        <v>2.7494238599999998</v>
      </c>
      <c r="P617">
        <f ca="1">IFERROR(IF(0=LEN(ReferenceData!$P$617),"",ReferenceData!$P$617),"")</f>
        <v>0.54632879899999998</v>
      </c>
      <c r="Q617">
        <f ca="1">IFERROR(IF(0=LEN(ReferenceData!$Q$617),"",ReferenceData!$Q$617),"")</f>
        <v>-3.620177569</v>
      </c>
      <c r="R617">
        <f ca="1">IFERROR(IF(0=LEN(ReferenceData!$R$617),"",ReferenceData!$R$617),"")</f>
        <v>-0.52291348199999999</v>
      </c>
      <c r="S617">
        <f ca="1">IFERROR(IF(0=LEN(ReferenceData!$S$617),"",ReferenceData!$S$617),"")</f>
        <v>0.86712394999999998</v>
      </c>
      <c r="T617">
        <f ca="1">IFERROR(IF(0=LEN(ReferenceData!$T$617),"",ReferenceData!$T$617),"")</f>
        <v>-9.2223177399999994</v>
      </c>
      <c r="U617">
        <f ca="1">IFERROR(IF(0=LEN(ReferenceData!$U$617),"",ReferenceData!$U$617),"")</f>
        <v>-6.42278708</v>
      </c>
      <c r="V617">
        <f ca="1">IFERROR(IF(0=LEN(ReferenceData!$V$617),"",ReferenceData!$V$617),"")</f>
        <v>-9.033054108</v>
      </c>
      <c r="W617">
        <f ca="1">IFERROR(IF(0=LEN(ReferenceData!$W$617),"",ReferenceData!$W$617),"")</f>
        <v>-1.9425580570000001</v>
      </c>
      <c r="X617">
        <f ca="1">IFERROR(IF(0=LEN(ReferenceData!$X$617),"",ReferenceData!$X$617),"")</f>
        <v>3.7057499530000002</v>
      </c>
      <c r="Y617">
        <f ca="1">IFERROR(IF(0=LEN(ReferenceData!$Y$617),"",ReferenceData!$Y$617),"")</f>
        <v>2.9305855240000001</v>
      </c>
      <c r="Z617">
        <f ca="1">IFERROR(IF(0=LEN(ReferenceData!$Z$617),"",ReferenceData!$Z$617),"")</f>
        <v>5.0525926600000002</v>
      </c>
      <c r="AA617">
        <f ca="1">IFERROR(IF(0=LEN(ReferenceData!$AA$617),"",ReferenceData!$AA$617),"")</f>
        <v>11.509342950000001</v>
      </c>
      <c r="AB617">
        <f ca="1">IFERROR(IF(0=LEN(ReferenceData!$AB$617),"",ReferenceData!$AB$617),"")</f>
        <v>14.86061746</v>
      </c>
      <c r="AC617">
        <f ca="1">IFERROR(IF(0=LEN(ReferenceData!$AC$617),"",ReferenceData!$AC$617),"")</f>
        <v>13.93175057</v>
      </c>
      <c r="AD617">
        <f ca="1">IFERROR(IF(0=LEN(ReferenceData!$AD$617),"",ReferenceData!$AD$617),"")</f>
        <v>18.906375749999999</v>
      </c>
      <c r="AE617">
        <f ca="1">IFERROR(IF(0=LEN(ReferenceData!$AE$617),"",ReferenceData!$AE$617),"")</f>
        <v>12.687158269999999</v>
      </c>
      <c r="AF617">
        <f ca="1">IFERROR(IF(0=LEN(ReferenceData!$AF$617),"",ReferenceData!$AF$617),"")</f>
        <v>12.815418899999999</v>
      </c>
      <c r="AG617">
        <f ca="1">IFERROR(IF(0=LEN(ReferenceData!$AG$617),"",ReferenceData!$AG$617),"")</f>
        <v>9.0598964899999999</v>
      </c>
      <c r="AH617">
        <f ca="1">IFERROR(IF(0=LEN(ReferenceData!$AH$617),"",ReferenceData!$AH$617),"")</f>
        <v>-7.1279791159999997</v>
      </c>
      <c r="AI617">
        <f ca="1">IFERROR(IF(0=LEN(ReferenceData!$AI$617),"",ReferenceData!$AI$617),"")</f>
        <v>-7.9421961659999996</v>
      </c>
      <c r="AJ617">
        <f ca="1">IFERROR(IF(0=LEN(ReferenceData!$AJ$617),"",ReferenceData!$AJ$617),"")</f>
        <v>-8.3163554790000003</v>
      </c>
      <c r="AK617">
        <f ca="1">IFERROR(IF(0=LEN(ReferenceData!$AK$617),"",ReferenceData!$AK$617),"")</f>
        <v>-0.75672976800000002</v>
      </c>
      <c r="AL617">
        <f ca="1">IFERROR(IF(0=LEN(ReferenceData!$AL$617),"",ReferenceData!$AL$617),"")</f>
        <v>-0.20600913700000001</v>
      </c>
      <c r="AM617">
        <f ca="1">IFERROR(IF(0=LEN(ReferenceData!$AM$617),"",ReferenceData!$AM$617),"")</f>
        <v>5.308819153</v>
      </c>
      <c r="AN617">
        <f ca="1">IFERROR(IF(0=LEN(ReferenceData!$AN$617),"",ReferenceData!$AN$617),"")</f>
        <v>11.01669328</v>
      </c>
      <c r="AO617">
        <f ca="1">IFERROR(IF(0=LEN(ReferenceData!$AO$617),"",ReferenceData!$AO$617),"")</f>
        <v>12.108777659999999</v>
      </c>
      <c r="AP617">
        <f ca="1">IFERROR(IF(0=LEN(ReferenceData!$AP$617),"",ReferenceData!$AP$617),"")</f>
        <v>24.100105469999999</v>
      </c>
      <c r="AQ617">
        <f ca="1">IFERROR(IF(0=LEN(ReferenceData!$AQ$617),"",ReferenceData!$AQ$617),"")</f>
        <v>17.98042409</v>
      </c>
      <c r="AR617">
        <f ca="1">IFERROR(IF(0=LEN(ReferenceData!$AR$617),"",ReferenceData!$AR$617),"")</f>
        <v>-4.2322958660000003</v>
      </c>
      <c r="AS617">
        <f ca="1">IFERROR(IF(0=LEN(ReferenceData!$AS$617),"",ReferenceData!$AS$617),"")</f>
        <v>-14.54051793</v>
      </c>
      <c r="AT617">
        <f ca="1">IFERROR(IF(0=LEN(ReferenceData!$AT$617),"",ReferenceData!$AT$617),"")</f>
        <v>-71.762737950000002</v>
      </c>
      <c r="AU617">
        <f ca="1">IFERROR(IF(0=LEN(ReferenceData!$AU$617),"",ReferenceData!$AU$617),"")</f>
        <v>-102.84626</v>
      </c>
      <c r="AV617">
        <f ca="1">IFERROR(IF(0=LEN(ReferenceData!$AV$617),"",ReferenceData!$AV$617),"")</f>
        <v>-30.853656470000001</v>
      </c>
      <c r="AW617">
        <f ca="1">IFERROR(IF(0=LEN(ReferenceData!$AW$617),"",ReferenceData!$AW$617),"")</f>
        <v>-16.619719360000001</v>
      </c>
      <c r="AX617">
        <f ca="1">IFERROR(IF(0=LEN(ReferenceData!$AX$617),"",ReferenceData!$AX$617),"")</f>
        <v>-16.78772142</v>
      </c>
      <c r="AY617">
        <f ca="1">IFERROR(IF(0=LEN(ReferenceData!$AY$617),"",ReferenceData!$AY$617),"")</f>
        <v>-15.24839066</v>
      </c>
      <c r="AZ617">
        <f ca="1">IFERROR(IF(0=LEN(ReferenceData!$AZ$617),"",ReferenceData!$AZ$617),"")</f>
        <v>-16.69709091</v>
      </c>
      <c r="BA617">
        <f ca="1">IFERROR(IF(0=LEN(ReferenceData!$BA$617),"",ReferenceData!$BA$617),"")</f>
        <v>-19.076125789999999</v>
      </c>
      <c r="BB617">
        <f ca="1">IFERROR(IF(0=LEN(ReferenceData!$BB$617),"",ReferenceData!$BB$617),"")</f>
        <v>-12.81592399</v>
      </c>
      <c r="BC617">
        <f ca="1">IFERROR(IF(0=LEN(ReferenceData!$BC$617),"",ReferenceData!$BC$617),"")</f>
        <v>-5.9968567129999997</v>
      </c>
      <c r="BD617">
        <f ca="1">IFERROR(IF(0=LEN(ReferenceData!$BD$617),"",ReferenceData!$BD$617),"")</f>
        <v>-4.150984792</v>
      </c>
      <c r="BE617">
        <f ca="1">IFERROR(IF(0=LEN(ReferenceData!$BE$617),"",ReferenceData!$BE$617),"")</f>
        <v>8.4604839559999991</v>
      </c>
      <c r="BF617">
        <f ca="1">IFERROR(IF(0=LEN(ReferenceData!$BF$617),"",ReferenceData!$BF$617),"")</f>
        <v>6.6982637309999999</v>
      </c>
      <c r="BG617">
        <f ca="1">IFERROR(IF(0=LEN(ReferenceData!$BG$617),"",ReferenceData!$BG$617),"")</f>
        <v>7.9625366030000002</v>
      </c>
      <c r="BH617" t="str">
        <f ca="1">IFERROR(IF(0=LEN(ReferenceData!$BH$617),"",ReferenceData!$BH$617),"")</f>
        <v/>
      </c>
      <c r="BI617" t="str">
        <f ca="1">IFERROR(IF(0=LEN(ReferenceData!$BI$617),"",ReferenceData!$BI$617),"")</f>
        <v/>
      </c>
      <c r="BJ617" t="str">
        <f ca="1">IFERROR(IF(0=LEN(ReferenceData!$BJ$617),"",ReferenceData!$BJ$617),"")</f>
        <v/>
      </c>
      <c r="BK617" t="str">
        <f ca="1">IFERROR(IF(0=LEN(ReferenceData!$BK$617),"",ReferenceData!$BK$617),"")</f>
        <v/>
      </c>
      <c r="BL617" t="str">
        <f ca="1">IFERROR(IF(0=LEN(ReferenceData!$BL$617),"",ReferenceData!$BL$617),"")</f>
        <v/>
      </c>
      <c r="BM617" t="str">
        <f ca="1">IFERROR(IF(0=LEN(ReferenceData!$BM$617),"",ReferenceData!$BM$617),"")</f>
        <v/>
      </c>
    </row>
    <row r="618" spans="1:65" x14ac:dyDescent="0.25">
      <c r="A618" t="str">
        <f>IFERROR(IF(0=LEN(ReferenceData!$A$618),"",ReferenceData!$A$618),"")</f>
        <v xml:space="preserve">    Toyota Motor Corp</v>
      </c>
      <c r="B618" t="str">
        <f>IFERROR(IF(0=LEN(ReferenceData!$B$618),"",ReferenceData!$B$618),"")</f>
        <v>7203 JP Equity</v>
      </c>
      <c r="C618" t="str">
        <f>IFERROR(IF(0=LEN(ReferenceData!$C$618),"",ReferenceData!$C$618),"")</f>
        <v>RX072</v>
      </c>
      <c r="D618" t="str">
        <f>IFERROR(IF(0=LEN(ReferenceData!$D$618),"",ReferenceData!$D$618),"")</f>
        <v>FREE_CASH_FLOW_YIELD</v>
      </c>
      <c r="E618" t="str">
        <f>IFERROR(IF(0=LEN(ReferenceData!$E$618),"",ReferenceData!$E$618),"")</f>
        <v>Dynamic</v>
      </c>
      <c r="F618">
        <f ca="1">IFERROR(IF(0=LEN(ReferenceData!$F$618),"",ReferenceData!$F$618),"")</f>
        <v>14.19611053</v>
      </c>
      <c r="G618">
        <f ca="1">IFERROR(IF(0=LEN(ReferenceData!$G$618),"",ReferenceData!$G$618),"")</f>
        <v>14.891954849999999</v>
      </c>
      <c r="H618">
        <f ca="1">IFERROR(IF(0=LEN(ReferenceData!$H$618),"",ReferenceData!$H$618),"")</f>
        <v>12.43657425</v>
      </c>
      <c r="I618">
        <f ca="1">IFERROR(IF(0=LEN(ReferenceData!$I$618),"",ReferenceData!$I$618),"")</f>
        <v>12.029697000000001</v>
      </c>
      <c r="J618">
        <f ca="1">IFERROR(IF(0=LEN(ReferenceData!$J$618),"",ReferenceData!$J$618),"")</f>
        <v>14.51608892</v>
      </c>
      <c r="K618">
        <f ca="1">IFERROR(IF(0=LEN(ReferenceData!$K$618),"",ReferenceData!$K$618),"")</f>
        <v>13.386714059999999</v>
      </c>
      <c r="L618">
        <f ca="1">IFERROR(IF(0=LEN(ReferenceData!$L$618),"",ReferenceData!$L$618),"")</f>
        <v>13.37351937</v>
      </c>
      <c r="M618">
        <f ca="1">IFERROR(IF(0=LEN(ReferenceData!$M$618),"",ReferenceData!$M$618),"")</f>
        <v>12.210434100000001</v>
      </c>
      <c r="N618">
        <f ca="1">IFERROR(IF(0=LEN(ReferenceData!$N$618),"",ReferenceData!$N$618),"")</f>
        <v>12.057932470000001</v>
      </c>
      <c r="O618">
        <f ca="1">IFERROR(IF(0=LEN(ReferenceData!$O$618),"",ReferenceData!$O$618),"")</f>
        <v>11.23747519</v>
      </c>
      <c r="P618">
        <f ca="1">IFERROR(IF(0=LEN(ReferenceData!$P$618),"",ReferenceData!$P$618),"")</f>
        <v>16.017836859999999</v>
      </c>
      <c r="Q618">
        <f ca="1">IFERROR(IF(0=LEN(ReferenceData!$Q$618),"",ReferenceData!$Q$618),"")</f>
        <v>21.021381309999999</v>
      </c>
      <c r="R618">
        <f ca="1">IFERROR(IF(0=LEN(ReferenceData!$R$618),"",ReferenceData!$R$618),"")</f>
        <v>17.202617060000001</v>
      </c>
      <c r="S618">
        <f ca="1">IFERROR(IF(0=LEN(ReferenceData!$S$618),"",ReferenceData!$S$618),"")</f>
        <v>13.147011989999999</v>
      </c>
      <c r="T618">
        <f ca="1">IFERROR(IF(0=LEN(ReferenceData!$T$618),"",ReferenceData!$T$618),"")</f>
        <v>12.268720009999999</v>
      </c>
      <c r="U618">
        <f ca="1">IFERROR(IF(0=LEN(ReferenceData!$U$618),"",ReferenceData!$U$618),"")</f>
        <v>10.34179269</v>
      </c>
      <c r="V618">
        <f ca="1">IFERROR(IF(0=LEN(ReferenceData!$V$618),"",ReferenceData!$V$618),"")</f>
        <v>9.5953524310000002</v>
      </c>
      <c r="W618">
        <f ca="1">IFERROR(IF(0=LEN(ReferenceData!$W$618),"",ReferenceData!$W$618),"")</f>
        <v>9.1896121480000001</v>
      </c>
      <c r="X618">
        <f ca="1">IFERROR(IF(0=LEN(ReferenceData!$X$618),"",ReferenceData!$X$618),"")</f>
        <v>11.418293179999999</v>
      </c>
      <c r="Y618">
        <f ca="1">IFERROR(IF(0=LEN(ReferenceData!$Y$618),"",ReferenceData!$Y$618),"")</f>
        <v>12.951167659999999</v>
      </c>
      <c r="Z618">
        <f ca="1">IFERROR(IF(0=LEN(ReferenceData!$Z$618),"",ReferenceData!$Z$618),"")</f>
        <v>14.49456827</v>
      </c>
      <c r="AA618">
        <f ca="1">IFERROR(IF(0=LEN(ReferenceData!$AA$618),"",ReferenceData!$AA$618),"")</f>
        <v>12.19485751</v>
      </c>
      <c r="AB618">
        <f ca="1">IFERROR(IF(0=LEN(ReferenceData!$AB$618),"",ReferenceData!$AB$618),"")</f>
        <v>11.182338530000001</v>
      </c>
      <c r="AC618">
        <f ca="1">IFERROR(IF(0=LEN(ReferenceData!$AC$618),"",ReferenceData!$AC$618),"")</f>
        <v>9.8414314279999999</v>
      </c>
      <c r="AD618">
        <f ca="1">IFERROR(IF(0=LEN(ReferenceData!$AD$618),"",ReferenceData!$AD$618),"")</f>
        <v>10.37447057</v>
      </c>
      <c r="AE618">
        <f ca="1">IFERROR(IF(0=LEN(ReferenceData!$AE$618),"",ReferenceData!$AE$618),"")</f>
        <v>12.607989910000001</v>
      </c>
      <c r="AF618">
        <f ca="1">IFERROR(IF(0=LEN(ReferenceData!$AF$618),"",ReferenceData!$AF$618),"")</f>
        <v>14.95729253</v>
      </c>
      <c r="AG618">
        <f ca="1">IFERROR(IF(0=LEN(ReferenceData!$AG$618),"",ReferenceData!$AG$618),"")</f>
        <v>10.94832759</v>
      </c>
      <c r="AH618">
        <f ca="1">IFERROR(IF(0=LEN(ReferenceData!$AH$618),"",ReferenceData!$AH$618),"")</f>
        <v>6.4742683769999996</v>
      </c>
      <c r="AI618">
        <f ca="1">IFERROR(IF(0=LEN(ReferenceData!$AI$618),"",ReferenceData!$AI$618),"")</f>
        <v>8.5453095379999997</v>
      </c>
      <c r="AJ618">
        <f ca="1">IFERROR(IF(0=LEN(ReferenceData!$AJ$618),"",ReferenceData!$AJ$618),"")</f>
        <v>7.4732729850000004</v>
      </c>
      <c r="AK618">
        <f ca="1">IFERROR(IF(0=LEN(ReferenceData!$AK$618),"",ReferenceData!$AK$618),"")</f>
        <v>8.991853721</v>
      </c>
      <c r="AL618">
        <f ca="1">IFERROR(IF(0=LEN(ReferenceData!$AL$618),"",ReferenceData!$AL$618),"")</f>
        <v>13.2760192</v>
      </c>
      <c r="AM618">
        <f ca="1">IFERROR(IF(0=LEN(ReferenceData!$AM$618),"",ReferenceData!$AM$618),"")</f>
        <v>13.538650609999999</v>
      </c>
      <c r="AN618">
        <f ca="1">IFERROR(IF(0=LEN(ReferenceData!$AN$618),"",ReferenceData!$AN$618),"")</f>
        <v>17.638196789999999</v>
      </c>
      <c r="AO618">
        <f ca="1">IFERROR(IF(0=LEN(ReferenceData!$AO$618),"",ReferenceData!$AO$618),"")</f>
        <v>23.14010408</v>
      </c>
      <c r="AP618">
        <f ca="1">IFERROR(IF(0=LEN(ReferenceData!$AP$618),"",ReferenceData!$AP$618),"")</f>
        <v>16.637813170000001</v>
      </c>
      <c r="AQ618">
        <f ca="1">IFERROR(IF(0=LEN(ReferenceData!$AQ$618),"",ReferenceData!$AQ$618),"")</f>
        <v>13.078187700000001</v>
      </c>
      <c r="AR618">
        <f ca="1">IFERROR(IF(0=LEN(ReferenceData!$AR$618),"",ReferenceData!$AR$618),"")</f>
        <v>4.816754822</v>
      </c>
      <c r="AS618">
        <f ca="1">IFERROR(IF(0=LEN(ReferenceData!$AS$618),"",ReferenceData!$AS$618),"")</f>
        <v>-1.086678144</v>
      </c>
      <c r="AT618">
        <f ca="1">IFERROR(IF(0=LEN(ReferenceData!$AT$618),"",ReferenceData!$AT$618),"")</f>
        <v>1.1208132449999999</v>
      </c>
      <c r="AU618" t="str">
        <f ca="1">IFERROR(IF(0=LEN(ReferenceData!$AU$618),"",ReferenceData!$AU$618),"")</f>
        <v/>
      </c>
      <c r="AV618" t="str">
        <f ca="1">IFERROR(IF(0=LEN(ReferenceData!$AV$618),"",ReferenceData!$AV$618),"")</f>
        <v/>
      </c>
      <c r="AW618" t="str">
        <f ca="1">IFERROR(IF(0=LEN(ReferenceData!$AW$618),"",ReferenceData!$AW$618),"")</f>
        <v/>
      </c>
      <c r="AX618" t="str">
        <f ca="1">IFERROR(IF(0=LEN(ReferenceData!$AX$618),"",ReferenceData!$AX$618),"")</f>
        <v/>
      </c>
      <c r="AY618" t="str">
        <f ca="1">IFERROR(IF(0=LEN(ReferenceData!$AY$618),"",ReferenceData!$AY$618),"")</f>
        <v/>
      </c>
      <c r="AZ618" t="str">
        <f ca="1">IFERROR(IF(0=LEN(ReferenceData!$AZ$618),"",ReferenceData!$AZ$618),"")</f>
        <v/>
      </c>
      <c r="BA618" t="str">
        <f ca="1">IFERROR(IF(0=LEN(ReferenceData!$BA$618),"",ReferenceData!$BA$618),"")</f>
        <v/>
      </c>
      <c r="BB618" t="str">
        <f ca="1">IFERROR(IF(0=LEN(ReferenceData!$BB$618),"",ReferenceData!$BB$618),"")</f>
        <v/>
      </c>
      <c r="BC618" t="str">
        <f ca="1">IFERROR(IF(0=LEN(ReferenceData!$BC$618),"",ReferenceData!$BC$618),"")</f>
        <v/>
      </c>
      <c r="BD618" t="str">
        <f ca="1">IFERROR(IF(0=LEN(ReferenceData!$BD$618),"",ReferenceData!$BD$618),"")</f>
        <v/>
      </c>
      <c r="BE618" t="str">
        <f ca="1">IFERROR(IF(0=LEN(ReferenceData!$BE$618),"",ReferenceData!$BE$618),"")</f>
        <v/>
      </c>
      <c r="BF618" t="str">
        <f ca="1">IFERROR(IF(0=LEN(ReferenceData!$BF$618),"",ReferenceData!$BF$618),"")</f>
        <v/>
      </c>
      <c r="BG618" t="str">
        <f ca="1">IFERROR(IF(0=LEN(ReferenceData!$BG$618),"",ReferenceData!$BG$618),"")</f>
        <v/>
      </c>
      <c r="BH618" t="str">
        <f ca="1">IFERROR(IF(0=LEN(ReferenceData!$BH$618),"",ReferenceData!$BH$618),"")</f>
        <v/>
      </c>
      <c r="BI618" t="str">
        <f ca="1">IFERROR(IF(0=LEN(ReferenceData!$BI$618),"",ReferenceData!$BI$618),"")</f>
        <v/>
      </c>
      <c r="BJ618" t="str">
        <f ca="1">IFERROR(IF(0=LEN(ReferenceData!$BJ$618),"",ReferenceData!$BJ$618),"")</f>
        <v/>
      </c>
      <c r="BK618" t="str">
        <f ca="1">IFERROR(IF(0=LEN(ReferenceData!$BK$618),"",ReferenceData!$BK$618),"")</f>
        <v/>
      </c>
      <c r="BL618" t="str">
        <f ca="1">IFERROR(IF(0=LEN(ReferenceData!$BL$618),"",ReferenceData!$BL$618),"")</f>
        <v/>
      </c>
      <c r="BM618" t="str">
        <f ca="1">IFERROR(IF(0=LEN(ReferenceData!$BM$618),"",ReferenceData!$BM$618),"")</f>
        <v/>
      </c>
    </row>
    <row r="619" spans="1:65" x14ac:dyDescent="0.25">
      <c r="A619" t="str">
        <f>IFERROR(IF(0=LEN(ReferenceData!$A$619),"",ReferenceData!$A$619),"")</f>
        <v xml:space="preserve">    Volkswagen AG</v>
      </c>
      <c r="B619" t="str">
        <f>IFERROR(IF(0=LEN(ReferenceData!$B$619),"",ReferenceData!$B$619),"")</f>
        <v>VOW GR Equity</v>
      </c>
      <c r="C619" t="str">
        <f>IFERROR(IF(0=LEN(ReferenceData!$C$619),"",ReferenceData!$C$619),"")</f>
        <v>RX072</v>
      </c>
      <c r="D619" t="str">
        <f>IFERROR(IF(0=LEN(ReferenceData!$D$619),"",ReferenceData!$D$619),"")</f>
        <v>FREE_CASH_FLOW_YIELD</v>
      </c>
      <c r="E619" t="str">
        <f>IFERROR(IF(0=LEN(ReferenceData!$E$619),"",ReferenceData!$E$619),"")</f>
        <v>Dynamic</v>
      </c>
      <c r="F619" t="str">
        <f ca="1">IFERROR(IF(0=LEN(ReferenceData!$F$619),"",ReferenceData!$F$619),"")</f>
        <v/>
      </c>
      <c r="G619">
        <f ca="1">IFERROR(IF(0=LEN(ReferenceData!$G$619),"",ReferenceData!$G$619),"")</f>
        <v>-8.4595857159999994</v>
      </c>
      <c r="H619">
        <f ca="1">IFERROR(IF(0=LEN(ReferenceData!$H$619),"",ReferenceData!$H$619),"")</f>
        <v>-7.7683134740000002</v>
      </c>
      <c r="I619">
        <f ca="1">IFERROR(IF(0=LEN(ReferenceData!$I$619),"",ReferenceData!$I$619),"")</f>
        <v>-9.2651311930000002</v>
      </c>
      <c r="J619">
        <f ca="1">IFERROR(IF(0=LEN(ReferenceData!$J$619),"",ReferenceData!$J$619),"")</f>
        <v>-12.936437120000001</v>
      </c>
      <c r="K619">
        <f ca="1">IFERROR(IF(0=LEN(ReferenceData!$K$619),"",ReferenceData!$K$619),"")</f>
        <v>-17.06543843</v>
      </c>
      <c r="L619">
        <f ca="1">IFERROR(IF(0=LEN(ReferenceData!$L$619),"",ReferenceData!$L$619),"")</f>
        <v>-24.038554869999999</v>
      </c>
      <c r="M619">
        <f ca="1">IFERROR(IF(0=LEN(ReferenceData!$M$619),"",ReferenceData!$M$619),"")</f>
        <v>-20.943240200000002</v>
      </c>
      <c r="N619">
        <f ca="1">IFERROR(IF(0=LEN(ReferenceData!$N$619),"",ReferenceData!$N$619),"")</f>
        <v>-8.5101410899999994</v>
      </c>
      <c r="O619">
        <f ca="1">IFERROR(IF(0=LEN(ReferenceData!$O$619),"",ReferenceData!$O$619),"")</f>
        <v>-5.429727883</v>
      </c>
      <c r="P619">
        <f ca="1">IFERROR(IF(0=LEN(ReferenceData!$P$619),"",ReferenceData!$P$619),"")</f>
        <v>-2.979043044</v>
      </c>
      <c r="Q619">
        <f ca="1">IFERROR(IF(0=LEN(ReferenceData!$Q$619),"",ReferenceData!$Q$619),"")</f>
        <v>-2.793034639</v>
      </c>
      <c r="R619">
        <f ca="1">IFERROR(IF(0=LEN(ReferenceData!$R$619),"",ReferenceData!$R$619),"")</f>
        <v>-2.4577670349999998</v>
      </c>
      <c r="S619">
        <f ca="1">IFERROR(IF(0=LEN(ReferenceData!$S$619),"",ReferenceData!$S$619),"")</f>
        <v>0.65303018000000002</v>
      </c>
      <c r="T619">
        <f ca="1">IFERROR(IF(0=LEN(ReferenceData!$T$619),"",ReferenceData!$T$619),"")</f>
        <v>3.2700596239999999</v>
      </c>
      <c r="U619">
        <f ca="1">IFERROR(IF(0=LEN(ReferenceData!$U$619),"",ReferenceData!$U$619),"")</f>
        <v>1.756803997</v>
      </c>
      <c r="V619">
        <f ca="1">IFERROR(IF(0=LEN(ReferenceData!$V$619),"",ReferenceData!$V$619),"")</f>
        <v>0.13776571000000001</v>
      </c>
      <c r="W619">
        <f ca="1">IFERROR(IF(0=LEN(ReferenceData!$W$619),"",ReferenceData!$W$619),"")</f>
        <v>-1.3698986710000001</v>
      </c>
      <c r="X619">
        <f ca="1">IFERROR(IF(0=LEN(ReferenceData!$X$619),"",ReferenceData!$X$619),"")</f>
        <v>-1.3220551570000001</v>
      </c>
      <c r="Y619">
        <f ca="1">IFERROR(IF(0=LEN(ReferenceData!$Y$619),"",ReferenceData!$Y$619),"")</f>
        <v>-0.17546794199999999</v>
      </c>
      <c r="Z619">
        <f ca="1">IFERROR(IF(0=LEN(ReferenceData!$Z$619),"",ReferenceData!$Z$619),"")</f>
        <v>0.22669397899999999</v>
      </c>
      <c r="AA619">
        <f ca="1">IFERROR(IF(0=LEN(ReferenceData!$AA$619),"",ReferenceData!$AA$619),"")</f>
        <v>1.2718934799999999</v>
      </c>
      <c r="AB619">
        <f ca="1">IFERROR(IF(0=LEN(ReferenceData!$AB$619),"",ReferenceData!$AB$619),"")</f>
        <v>1.06162673</v>
      </c>
      <c r="AC619">
        <f ca="1">IFERROR(IF(0=LEN(ReferenceData!$AC$619),"",ReferenceData!$AC$619),"")</f>
        <v>-1.7242911970000001</v>
      </c>
      <c r="AD619">
        <f ca="1">IFERROR(IF(0=LEN(ReferenceData!$AD$619),"",ReferenceData!$AD$619),"")</f>
        <v>-3.1486159800000002</v>
      </c>
      <c r="AE619">
        <f ca="1">IFERROR(IF(0=LEN(ReferenceData!$AE$619),"",ReferenceData!$AE$619),"")</f>
        <v>-4.2574461279999998</v>
      </c>
      <c r="AF619">
        <f ca="1">IFERROR(IF(0=LEN(ReferenceData!$AF$619),"",ReferenceData!$AF$619),"")</f>
        <v>-3.7262699929999998</v>
      </c>
      <c r="AG619">
        <f ca="1">IFERROR(IF(0=LEN(ReferenceData!$AG$619),"",ReferenceData!$AG$619),"")</f>
        <v>-3.2597228079999998</v>
      </c>
      <c r="AH619">
        <f ca="1">IFERROR(IF(0=LEN(ReferenceData!$AH$619),"",ReferenceData!$AH$619),"")</f>
        <v>-2.4944799980000001</v>
      </c>
      <c r="AI619">
        <f ca="1">IFERROR(IF(0=LEN(ReferenceData!$AI$619),"",ReferenceData!$AI$619),"")</f>
        <v>0.85710974600000001</v>
      </c>
      <c r="AJ619">
        <f ca="1">IFERROR(IF(0=LEN(ReferenceData!$AJ$619),"",ReferenceData!$AJ$619),"")</f>
        <v>2.3338702769999999</v>
      </c>
      <c r="AK619">
        <f ca="1">IFERROR(IF(0=LEN(ReferenceData!$AK$619),"",ReferenceData!$AK$619),"")</f>
        <v>3.542044674</v>
      </c>
      <c r="AL619">
        <f ca="1">IFERROR(IF(0=LEN(ReferenceData!$AL$619),"",ReferenceData!$AL$619),"")</f>
        <v>9.9480620979999994</v>
      </c>
      <c r="AM619">
        <f ca="1">IFERROR(IF(0=LEN(ReferenceData!$AM$619),"",ReferenceData!$AM$619),"")</f>
        <v>12.26834803</v>
      </c>
      <c r="AN619">
        <f ca="1">IFERROR(IF(0=LEN(ReferenceData!$AN$619),"",ReferenceData!$AN$619),"")</f>
        <v>21.775273510000002</v>
      </c>
      <c r="AO619">
        <f ca="1">IFERROR(IF(0=LEN(ReferenceData!$AO$619),"",ReferenceData!$AO$619),"")</f>
        <v>23.760471370000001</v>
      </c>
      <c r="AP619">
        <f ca="1">IFERROR(IF(0=LEN(ReferenceData!$AP$619),"",ReferenceData!$AP$619),"")</f>
        <v>25.252529549999998</v>
      </c>
      <c r="AQ619">
        <f ca="1">IFERROR(IF(0=LEN(ReferenceData!$AQ$619),"",ReferenceData!$AQ$619),"")</f>
        <v>21.998026540000001</v>
      </c>
      <c r="AR619">
        <f ca="1">IFERROR(IF(0=LEN(ReferenceData!$AR$619),"",ReferenceData!$AR$619),"")</f>
        <v>2.5886943310000001</v>
      </c>
      <c r="AS619">
        <f ca="1">IFERROR(IF(0=LEN(ReferenceData!$AS$619),"",ReferenceData!$AS$619),"")</f>
        <v>1.193047062</v>
      </c>
      <c r="AT619">
        <f ca="1">IFERROR(IF(0=LEN(ReferenceData!$AT$619),"",ReferenceData!$AT$619),"")</f>
        <v>-0.26439509100000003</v>
      </c>
      <c r="AU619">
        <f ca="1">IFERROR(IF(0=LEN(ReferenceData!$AU$619),"",ReferenceData!$AU$619),"")</f>
        <v>-1.364324377</v>
      </c>
      <c r="AV619">
        <f ca="1">IFERROR(IF(0=LEN(ReferenceData!$AV$619),"",ReferenceData!$AV$619),"")</f>
        <v>3.5573377549999998</v>
      </c>
      <c r="AW619">
        <f ca="1">IFERROR(IF(0=LEN(ReferenceData!$AW$619),"",ReferenceData!$AW$619),"")</f>
        <v>6.3583693090000004</v>
      </c>
      <c r="AX619">
        <f ca="1">IFERROR(IF(0=LEN(ReferenceData!$AX$619),"",ReferenceData!$AX$619),"")</f>
        <v>9.3559864350000002</v>
      </c>
      <c r="AY619">
        <f ca="1">IFERROR(IF(0=LEN(ReferenceData!$AY$619),"",ReferenceData!$AY$619),"")</f>
        <v>13.790495870000001</v>
      </c>
      <c r="AZ619">
        <f ca="1">IFERROR(IF(0=LEN(ReferenceData!$AZ$619),"",ReferenceData!$AZ$619),"")</f>
        <v>13.9897308</v>
      </c>
      <c r="BA619">
        <f ca="1">IFERROR(IF(0=LEN(ReferenceData!$BA$619),"",ReferenceData!$BA$619),"")</f>
        <v>17.946515309999999</v>
      </c>
      <c r="BB619">
        <f ca="1">IFERROR(IF(0=LEN(ReferenceData!$BB$619),"",ReferenceData!$BB$619),"")</f>
        <v>16.669819019999998</v>
      </c>
      <c r="BC619">
        <f ca="1">IFERROR(IF(0=LEN(ReferenceData!$BC$619),"",ReferenceData!$BC$619),"")</f>
        <v>21.870507880000002</v>
      </c>
      <c r="BD619">
        <f ca="1">IFERROR(IF(0=LEN(ReferenceData!$BD$619),"",ReferenceData!$BD$619),"")</f>
        <v>29.44606233</v>
      </c>
      <c r="BE619">
        <f ca="1">IFERROR(IF(0=LEN(ReferenceData!$BE$619),"",ReferenceData!$BE$619),"")</f>
        <v>34.761018929999999</v>
      </c>
      <c r="BF619">
        <f ca="1">IFERROR(IF(0=LEN(ReferenceData!$BF$619),"",ReferenceData!$BF$619),"")</f>
        <v>24.431489030000002</v>
      </c>
      <c r="BG619">
        <f ca="1">IFERROR(IF(0=LEN(ReferenceData!$BG$619),"",ReferenceData!$BG$619),"")</f>
        <v>21.758134699999999</v>
      </c>
      <c r="BH619">
        <f ca="1">IFERROR(IF(0=LEN(ReferenceData!$BH$619),"",ReferenceData!$BH$619),"")</f>
        <v>11.921850579999999</v>
      </c>
      <c r="BI619">
        <f ca="1">IFERROR(IF(0=LEN(ReferenceData!$BI$619),"",ReferenceData!$BI$619),"")</f>
        <v>13.67692722</v>
      </c>
      <c r="BJ619">
        <f ca="1">IFERROR(IF(0=LEN(ReferenceData!$BJ$619),"",ReferenceData!$BJ$619),"")</f>
        <v>16.434623240000001</v>
      </c>
      <c r="BK619">
        <f ca="1">IFERROR(IF(0=LEN(ReferenceData!$BK$619),"",ReferenceData!$BK$619),"")</f>
        <v>19.25040606</v>
      </c>
      <c r="BL619" t="str">
        <f ca="1">IFERROR(IF(0=LEN(ReferenceData!$BL$619),"",ReferenceData!$BL$619),"")</f>
        <v/>
      </c>
      <c r="BM619" t="str">
        <f ca="1">IFERROR(IF(0=LEN(ReferenceData!$BM$619),"",ReferenceData!$BM$619),"")</f>
        <v/>
      </c>
    </row>
    <row r="620" spans="1:65" x14ac:dyDescent="0.25">
      <c r="A620" t="str">
        <f>IFERROR(IF(0=LEN(ReferenceData!$A$620),"",ReferenceData!$A$620),"")</f>
        <v xml:space="preserve">    Yulon Motor Co Ltd</v>
      </c>
      <c r="B620" t="str">
        <f>IFERROR(IF(0=LEN(ReferenceData!$B$620),"",ReferenceData!$B$620),"")</f>
        <v>2201 TT Equity</v>
      </c>
      <c r="C620" t="str">
        <f>IFERROR(IF(0=LEN(ReferenceData!$C$620),"",ReferenceData!$C$620),"")</f>
        <v>RX072</v>
      </c>
      <c r="D620" t="str">
        <f>IFERROR(IF(0=LEN(ReferenceData!$D$620),"",ReferenceData!$D$620),"")</f>
        <v>FREE_CASH_FLOW_YIELD</v>
      </c>
      <c r="E620" t="str">
        <f>IFERROR(IF(0=LEN(ReferenceData!$E$620),"",ReferenceData!$E$620),"")</f>
        <v>Dynamic</v>
      </c>
      <c r="F620">
        <f ca="1">IFERROR(IF(0=LEN(ReferenceData!$F$620),"",ReferenceData!$F$620),"")</f>
        <v>-121.8038511</v>
      </c>
      <c r="G620">
        <f ca="1">IFERROR(IF(0=LEN(ReferenceData!$G$620),"",ReferenceData!$G$620),"")</f>
        <v>-126.8232405</v>
      </c>
      <c r="H620">
        <f ca="1">IFERROR(IF(0=LEN(ReferenceData!$H$620),"",ReferenceData!$H$620),"")</f>
        <v>-106.3678791</v>
      </c>
      <c r="I620">
        <f ca="1">IFERROR(IF(0=LEN(ReferenceData!$I$620),"",ReferenceData!$I$620),"")</f>
        <v>-90.266709759999998</v>
      </c>
      <c r="J620">
        <f ca="1">IFERROR(IF(0=LEN(ReferenceData!$J$620),"",ReferenceData!$J$620),"")</f>
        <v>-74.913699030000004</v>
      </c>
      <c r="K620">
        <f ca="1">IFERROR(IF(0=LEN(ReferenceData!$K$620),"",ReferenceData!$K$620),"")</f>
        <v>-58.889753829999997</v>
      </c>
      <c r="L620">
        <f ca="1">IFERROR(IF(0=LEN(ReferenceData!$L$620),"",ReferenceData!$L$620),"")</f>
        <v>-53.742384340000001</v>
      </c>
      <c r="M620">
        <f ca="1">IFERROR(IF(0=LEN(ReferenceData!$M$620),"",ReferenceData!$M$620),"")</f>
        <v>-38.578726770000003</v>
      </c>
      <c r="N620">
        <f ca="1">IFERROR(IF(0=LEN(ReferenceData!$N$620),"",ReferenceData!$N$620),"")</f>
        <v>-32.664402529999997</v>
      </c>
      <c r="O620">
        <f ca="1">IFERROR(IF(0=LEN(ReferenceData!$O$620),"",ReferenceData!$O$620),"")</f>
        <v>-23.472396289999999</v>
      </c>
      <c r="P620" t="str">
        <f ca="1">IFERROR(IF(0=LEN(ReferenceData!$P$620),"",ReferenceData!$P$620),"")</f>
        <v/>
      </c>
      <c r="Q620" t="str">
        <f ca="1">IFERROR(IF(0=LEN(ReferenceData!$Q$620),"",ReferenceData!$Q$620),"")</f>
        <v/>
      </c>
      <c r="R620" t="str">
        <f ca="1">IFERROR(IF(0=LEN(ReferenceData!$R$620),"",ReferenceData!$R$620),"")</f>
        <v/>
      </c>
      <c r="S620">
        <f ca="1">IFERROR(IF(0=LEN(ReferenceData!$S$620),"",ReferenceData!$S$620),"")</f>
        <v>-30.80787784</v>
      </c>
      <c r="T620">
        <f ca="1">IFERROR(IF(0=LEN(ReferenceData!$T$620),"",ReferenceData!$T$620),"")</f>
        <v>-31.74937495</v>
      </c>
      <c r="U620">
        <f ca="1">IFERROR(IF(0=LEN(ReferenceData!$U$620),"",ReferenceData!$U$620),"")</f>
        <v>-27.266900580000001</v>
      </c>
      <c r="V620">
        <f ca="1">IFERROR(IF(0=LEN(ReferenceData!$V$620),"",ReferenceData!$V$620),"")</f>
        <v>-24.76597615</v>
      </c>
      <c r="W620">
        <f ca="1">IFERROR(IF(0=LEN(ReferenceData!$W$620),"",ReferenceData!$W$620),"")</f>
        <v>-21.687139129999998</v>
      </c>
      <c r="X620">
        <f ca="1">IFERROR(IF(0=LEN(ReferenceData!$X$620),"",ReferenceData!$X$620),"")</f>
        <v>-23.840088510000001</v>
      </c>
      <c r="Y620">
        <f ca="1">IFERROR(IF(0=LEN(ReferenceData!$Y$620),"",ReferenceData!$Y$620),"")</f>
        <v>-17.165358789999999</v>
      </c>
      <c r="Z620">
        <f ca="1">IFERROR(IF(0=LEN(ReferenceData!$Z$620),"",ReferenceData!$Z$620),"")</f>
        <v>-11.488374309999999</v>
      </c>
      <c r="AA620">
        <f ca="1">IFERROR(IF(0=LEN(ReferenceData!$AA$620),"",ReferenceData!$AA$620),"")</f>
        <v>-8.2366286169999992</v>
      </c>
      <c r="AB620">
        <f ca="1">IFERROR(IF(0=LEN(ReferenceData!$AB$620),"",ReferenceData!$AB$620),"")</f>
        <v>-2.0330934649999999</v>
      </c>
      <c r="AC620">
        <f ca="1">IFERROR(IF(0=LEN(ReferenceData!$AC$620),"",ReferenceData!$AC$620),"")</f>
        <v>-2.0958273260000002</v>
      </c>
      <c r="AD620">
        <f ca="1">IFERROR(IF(0=LEN(ReferenceData!$AD$620),"",ReferenceData!$AD$620),"")</f>
        <v>-9.5431836319999999</v>
      </c>
      <c r="AE620">
        <f ca="1">IFERROR(IF(0=LEN(ReferenceData!$AE$620),"",ReferenceData!$AE$620),"")</f>
        <v>-11.684856290000001</v>
      </c>
      <c r="AF620">
        <f ca="1">IFERROR(IF(0=LEN(ReferenceData!$AF$620),"",ReferenceData!$AF$620),"")</f>
        <v>-10.95969702</v>
      </c>
      <c r="AG620">
        <f ca="1">IFERROR(IF(0=LEN(ReferenceData!$AG$620),"",ReferenceData!$AG$620),"")</f>
        <v>-17.619264950000002</v>
      </c>
      <c r="AH620">
        <f ca="1">IFERROR(IF(0=LEN(ReferenceData!$AH$620),"",ReferenceData!$AH$620),"")</f>
        <v>-11.21668137</v>
      </c>
      <c r="AI620">
        <f ca="1">IFERROR(IF(0=LEN(ReferenceData!$AI$620),"",ReferenceData!$AI$620),"")</f>
        <v>-14.654222839999999</v>
      </c>
      <c r="AJ620">
        <f ca="1">IFERROR(IF(0=LEN(ReferenceData!$AJ$620),"",ReferenceData!$AJ$620),"")</f>
        <v>-15.0654725</v>
      </c>
      <c r="AK620">
        <f ca="1">IFERROR(IF(0=LEN(ReferenceData!$AK$620),"",ReferenceData!$AK$620),"")</f>
        <v>-9.1913758919999999</v>
      </c>
      <c r="AL620">
        <f ca="1">IFERROR(IF(0=LEN(ReferenceData!$AL$620),"",ReferenceData!$AL$620),"")</f>
        <v>-9.5016287780000006</v>
      </c>
      <c r="AM620">
        <f ca="1">IFERROR(IF(0=LEN(ReferenceData!$AM$620),"",ReferenceData!$AM$620),"")</f>
        <v>-8.9654503289999994</v>
      </c>
      <c r="AN620">
        <f ca="1">IFERROR(IF(0=LEN(ReferenceData!$AN$620),"",ReferenceData!$AN$620),"")</f>
        <v>0.30315636000000001</v>
      </c>
      <c r="AO620">
        <f ca="1">IFERROR(IF(0=LEN(ReferenceData!$AO$620),"",ReferenceData!$AO$620),"")</f>
        <v>-15.26171268</v>
      </c>
      <c r="AP620">
        <f ca="1">IFERROR(IF(0=LEN(ReferenceData!$AP$620),"",ReferenceData!$AP$620),"")</f>
        <v>-11.16547557</v>
      </c>
      <c r="AQ620">
        <f ca="1">IFERROR(IF(0=LEN(ReferenceData!$AQ$620),"",ReferenceData!$AQ$620),"")</f>
        <v>-7.6425108699999997</v>
      </c>
      <c r="AR620">
        <f ca="1">IFERROR(IF(0=LEN(ReferenceData!$AR$620),"",ReferenceData!$AR$620),"")</f>
        <v>-21.1029494</v>
      </c>
      <c r="AS620">
        <f ca="1">IFERROR(IF(0=LEN(ReferenceData!$AS$620),"",ReferenceData!$AS$620),"")</f>
        <v>-9.4091654400000007</v>
      </c>
      <c r="AT620">
        <f ca="1">IFERROR(IF(0=LEN(ReferenceData!$AT$620),"",ReferenceData!$AT$620),"")</f>
        <v>-18.00220066</v>
      </c>
      <c r="AU620">
        <f ca="1">IFERROR(IF(0=LEN(ReferenceData!$AU$620),"",ReferenceData!$AU$620),"")</f>
        <v>-7.1097914229999999</v>
      </c>
      <c r="AV620" t="str">
        <f ca="1">IFERROR(IF(0=LEN(ReferenceData!$AV$620),"",ReferenceData!$AV$620),"")</f>
        <v/>
      </c>
      <c r="AW620" t="str">
        <f ca="1">IFERROR(IF(0=LEN(ReferenceData!$AW$620),"",ReferenceData!$AW$620),"")</f>
        <v/>
      </c>
      <c r="AX620" t="str">
        <f ca="1">IFERROR(IF(0=LEN(ReferenceData!$AX$620),"",ReferenceData!$AX$620),"")</f>
        <v/>
      </c>
      <c r="AY620" t="str">
        <f ca="1">IFERROR(IF(0=LEN(ReferenceData!$AY$620),"",ReferenceData!$AY$620),"")</f>
        <v/>
      </c>
      <c r="AZ620" t="str">
        <f ca="1">IFERROR(IF(0=LEN(ReferenceData!$AZ$620),"",ReferenceData!$AZ$620),"")</f>
        <v/>
      </c>
      <c r="BA620" t="str">
        <f ca="1">IFERROR(IF(0=LEN(ReferenceData!$BA$620),"",ReferenceData!$BA$620),"")</f>
        <v/>
      </c>
      <c r="BB620" t="str">
        <f ca="1">IFERROR(IF(0=LEN(ReferenceData!$BB$620),"",ReferenceData!$BB$620),"")</f>
        <v/>
      </c>
      <c r="BC620" t="str">
        <f ca="1">IFERROR(IF(0=LEN(ReferenceData!$BC$620),"",ReferenceData!$BC$620),"")</f>
        <v/>
      </c>
      <c r="BD620" t="str">
        <f ca="1">IFERROR(IF(0=LEN(ReferenceData!$BD$620),"",ReferenceData!$BD$620),"")</f>
        <v/>
      </c>
      <c r="BE620" t="str">
        <f ca="1">IFERROR(IF(0=LEN(ReferenceData!$BE$620),"",ReferenceData!$BE$620),"")</f>
        <v/>
      </c>
      <c r="BF620" t="str">
        <f ca="1">IFERROR(IF(0=LEN(ReferenceData!$BF$620),"",ReferenceData!$BF$620),"")</f>
        <v/>
      </c>
      <c r="BG620" t="str">
        <f ca="1">IFERROR(IF(0=LEN(ReferenceData!$BG$620),"",ReferenceData!$BG$620),"")</f>
        <v/>
      </c>
      <c r="BH620" t="str">
        <f ca="1">IFERROR(IF(0=LEN(ReferenceData!$BH$620),"",ReferenceData!$BH$620),"")</f>
        <v/>
      </c>
      <c r="BI620" t="str">
        <f ca="1">IFERROR(IF(0=LEN(ReferenceData!$BI$620),"",ReferenceData!$BI$620),"")</f>
        <v/>
      </c>
      <c r="BJ620" t="str">
        <f ca="1">IFERROR(IF(0=LEN(ReferenceData!$BJ$620),"",ReferenceData!$BJ$620),"")</f>
        <v/>
      </c>
      <c r="BK620" t="str">
        <f ca="1">IFERROR(IF(0=LEN(ReferenceData!$BK$620),"",ReferenceData!$BK$620),"")</f>
        <v/>
      </c>
      <c r="BL620" t="str">
        <f ca="1">IFERROR(IF(0=LEN(ReferenceData!$BL$620),"",ReferenceData!$BL$620),"")</f>
        <v/>
      </c>
      <c r="BM620" t="str">
        <f ca="1">IFERROR(IF(0=LEN(ReferenceData!$BM$620),"",ReferenceData!$BM$620),"")</f>
        <v/>
      </c>
    </row>
    <row r="621" spans="1:65" x14ac:dyDescent="0.25">
      <c r="A621" t="str">
        <f>IFERROR(IF(0=LEN(ReferenceData!$A$621),"",ReferenceData!$A$621),"")</f>
        <v>T12m Free Cash Flow Yield</v>
      </c>
      <c r="B621" t="str">
        <f>IFERROR(IF(0=LEN(ReferenceData!$B$621),"",ReferenceData!$B$621),"")</f>
        <v/>
      </c>
      <c r="C621" t="str">
        <f>IFERROR(IF(0=LEN(ReferenceData!$C$621),"",ReferenceData!$C$621),"")</f>
        <v/>
      </c>
      <c r="D621" t="str">
        <f>IFERROR(IF(0=LEN(ReferenceData!$D$621),"",ReferenceData!$D$621),"")</f>
        <v/>
      </c>
      <c r="E621" t="str">
        <f>IFERROR(IF(0=LEN(ReferenceData!$E$621),"",ReferenceData!$E$621),"")</f>
        <v>Average</v>
      </c>
      <c r="F621">
        <f ca="1">IFERROR(IF(0=LEN(ReferenceData!$F$621),"",ReferenceData!$F$621),"")</f>
        <v>-1.2921922168636366</v>
      </c>
      <c r="G621">
        <f ca="1">IFERROR(IF(0=LEN(ReferenceData!$G$621),"",ReferenceData!$G$621),"")</f>
        <v>2.7818406204814807</v>
      </c>
      <c r="H621">
        <f ca="1">IFERROR(IF(0=LEN(ReferenceData!$H$621),"",ReferenceData!$H$621),"")</f>
        <v>1.5198856237407403</v>
      </c>
      <c r="I621">
        <f ca="1">IFERROR(IF(0=LEN(ReferenceData!$I$621),"",ReferenceData!$I$621),"")</f>
        <v>0.66206154278571461</v>
      </c>
      <c r="J621">
        <f ca="1">IFERROR(IF(0=LEN(ReferenceData!$J$621),"",ReferenceData!$J$621),"")</f>
        <v>1.4525623663571419</v>
      </c>
      <c r="K621">
        <f ca="1">IFERROR(IF(0=LEN(ReferenceData!$K$621),"",ReferenceData!$K$621),"")</f>
        <v>1.6570786106785713</v>
      </c>
      <c r="L621">
        <f ca="1">IFERROR(IF(0=LEN(ReferenceData!$L$621),"",ReferenceData!$L$621),"")</f>
        <v>1.1795812019999994</v>
      </c>
      <c r="M621">
        <f ca="1">IFERROR(IF(0=LEN(ReferenceData!$M$621),"",ReferenceData!$M$621),"")</f>
        <v>1.3390623900714285</v>
      </c>
      <c r="N621">
        <f ca="1">IFERROR(IF(0=LEN(ReferenceData!$N$621),"",ReferenceData!$N$621),"")</f>
        <v>4.4335560751785712</v>
      </c>
      <c r="O621">
        <f ca="1">IFERROR(IF(0=LEN(ReferenceData!$O$621),"",ReferenceData!$O$621),"")</f>
        <v>1.1342709562500002</v>
      </c>
      <c r="P621">
        <f ca="1">IFERROR(IF(0=LEN(ReferenceData!$P$621),"",ReferenceData!$P$621),"")</f>
        <v>4.7107624162962969</v>
      </c>
      <c r="Q621">
        <f ca="1">IFERROR(IF(0=LEN(ReferenceData!$Q$621),"",ReferenceData!$Q$621),"")</f>
        <v>5.9981030138888878</v>
      </c>
      <c r="R621">
        <f ca="1">IFERROR(IF(0=LEN(ReferenceData!$R$621),"",ReferenceData!$R$621),"")</f>
        <v>0.1936725305925929</v>
      </c>
      <c r="S621">
        <f ca="1">IFERROR(IF(0=LEN(ReferenceData!$S$621),"",ReferenceData!$S$621),"")</f>
        <v>-0.89042603842857138</v>
      </c>
      <c r="T621">
        <f ca="1">IFERROR(IF(0=LEN(ReferenceData!$T$621),"",ReferenceData!$T$621),"")</f>
        <v>-2.955423221321428</v>
      </c>
      <c r="U621">
        <f ca="1">IFERROR(IF(0=LEN(ReferenceData!$U$621),"",ReferenceData!$U$621),"")</f>
        <v>-3.1387903767499998</v>
      </c>
      <c r="V621">
        <f ca="1">IFERROR(IF(0=LEN(ReferenceData!$V$621),"",ReferenceData!$V$621),"")</f>
        <v>-1.1274696780714286</v>
      </c>
      <c r="W621">
        <f ca="1">IFERROR(IF(0=LEN(ReferenceData!$W$621),"",ReferenceData!$W$621),"")</f>
        <v>0.14771191871428574</v>
      </c>
      <c r="X621">
        <f ca="1">IFERROR(IF(0=LEN(ReferenceData!$X$621),"",ReferenceData!$X$621),"")</f>
        <v>-1.0806610141851851</v>
      </c>
      <c r="Y621">
        <f ca="1">IFERROR(IF(0=LEN(ReferenceData!$Y$621),"",ReferenceData!$Y$621),"")</f>
        <v>-1.1152095927777781</v>
      </c>
      <c r="Z621">
        <f ca="1">IFERROR(IF(0=LEN(ReferenceData!$Z$621),"",ReferenceData!$Z$621),"")</f>
        <v>-0.18535169618518529</v>
      </c>
      <c r="AA621">
        <f ca="1">IFERROR(IF(0=LEN(ReferenceData!$AA$621),"",ReferenceData!$AA$621),"")</f>
        <v>3.281858009888889</v>
      </c>
      <c r="AB621">
        <f ca="1">IFERROR(IF(0=LEN(ReferenceData!$AB$621),"",ReferenceData!$AB$621),"")</f>
        <v>4.6039828675185186</v>
      </c>
      <c r="AC621">
        <f ca="1">IFERROR(IF(0=LEN(ReferenceData!$AC$621),"",ReferenceData!$AC$621),"")</f>
        <v>4.521315707592592</v>
      </c>
      <c r="AD621">
        <f ca="1">IFERROR(IF(0=LEN(ReferenceData!$AD$621),"",ReferenceData!$AD$621),"")</f>
        <v>1.4209144650740742</v>
      </c>
      <c r="AE621">
        <f ca="1">IFERROR(IF(0=LEN(ReferenceData!$AE$621),"",ReferenceData!$AE$621),"")</f>
        <v>-0.66557876962962936</v>
      </c>
      <c r="AF621">
        <f ca="1">IFERROR(IF(0=LEN(ReferenceData!$AF$621),"",ReferenceData!$AF$621),"")</f>
        <v>-0.22281844140000018</v>
      </c>
      <c r="AG621">
        <f ca="1">IFERROR(IF(0=LEN(ReferenceData!$AG$621),"",ReferenceData!$AG$621),"")</f>
        <v>-1.8821209073600007</v>
      </c>
      <c r="AH621">
        <f ca="1">IFERROR(IF(0=LEN(ReferenceData!$AH$621),"",ReferenceData!$AH$621),"")</f>
        <v>-0.83395275749999964</v>
      </c>
      <c r="AI621">
        <f ca="1">IFERROR(IF(0=LEN(ReferenceData!$AI$621),"",ReferenceData!$AI$621),"")</f>
        <v>-0.99088398220833351</v>
      </c>
      <c r="AJ621">
        <f ca="1">IFERROR(IF(0=LEN(ReferenceData!$AJ$621),"",ReferenceData!$AJ$621),"")</f>
        <v>-4.7019481849166658</v>
      </c>
      <c r="AK621">
        <f ca="1">IFERROR(IF(0=LEN(ReferenceData!$AK$621),"",ReferenceData!$AK$621),"")</f>
        <v>1.2809738430384612</v>
      </c>
      <c r="AL621">
        <f ca="1">IFERROR(IF(0=LEN(ReferenceData!$AL$621),"",ReferenceData!$AL$621),"")</f>
        <v>3.9657779658461534</v>
      </c>
      <c r="AM621">
        <f ca="1">IFERROR(IF(0=LEN(ReferenceData!$AM$621),"",ReferenceData!$AM$621),"")</f>
        <v>4.5225954882692303</v>
      </c>
      <c r="AN621">
        <f ca="1">IFERROR(IF(0=LEN(ReferenceData!$AN$621),"",ReferenceData!$AN$621),"")</f>
        <v>10.53063220047826</v>
      </c>
      <c r="AO621">
        <f ca="1">IFERROR(IF(0=LEN(ReferenceData!$AO$621),"",ReferenceData!$AO$621),"")</f>
        <v>19.591239291666668</v>
      </c>
      <c r="AP621">
        <f ca="1">IFERROR(IF(0=LEN(ReferenceData!$AP$621),"",ReferenceData!$AP$621),"")</f>
        <v>20.536968163142859</v>
      </c>
      <c r="AQ621">
        <f ca="1">IFERROR(IF(0=LEN(ReferenceData!$AQ$621),"",ReferenceData!$AQ$621),"")</f>
        <v>11.620945529571427</v>
      </c>
      <c r="AR621">
        <f ca="1">IFERROR(IF(0=LEN(ReferenceData!$AR$621),"",ReferenceData!$AR$621),"")</f>
        <v>-1.3271181495238094</v>
      </c>
      <c r="AS621">
        <f ca="1">IFERROR(IF(0=LEN(ReferenceData!$AS$621),"",ReferenceData!$AS$621),"")</f>
        <v>-6.3745588583809516</v>
      </c>
      <c r="AT621">
        <f ca="1">IFERROR(IF(0=LEN(ReferenceData!$AT$621),"",ReferenceData!$AT$621),"")</f>
        <v>-21.034946510095239</v>
      </c>
      <c r="AU621">
        <f ca="1">IFERROR(IF(0=LEN(ReferenceData!$AU$621),"",ReferenceData!$AU$621),"")</f>
        <v>-15.5449346046875</v>
      </c>
      <c r="AV621">
        <f ca="1">IFERROR(IF(0=LEN(ReferenceData!$AV$621),"",ReferenceData!$AV$621),"")</f>
        <v>8.5057024690714282</v>
      </c>
      <c r="AW621">
        <f ca="1">IFERROR(IF(0=LEN(ReferenceData!$AW$621),"",ReferenceData!$AW$621),"")</f>
        <v>8.1629379146428587</v>
      </c>
      <c r="AX621">
        <f ca="1">IFERROR(IF(0=LEN(ReferenceData!$AX$621),"",ReferenceData!$AX$621),"")</f>
        <v>12.128864380785712</v>
      </c>
      <c r="AY621">
        <f ca="1">IFERROR(IF(0=LEN(ReferenceData!$AY$621),"",ReferenceData!$AY$621),"")</f>
        <v>10.426033629214286</v>
      </c>
      <c r="AZ621">
        <f ca="1">IFERROR(IF(0=LEN(ReferenceData!$AZ$621),"",ReferenceData!$AZ$621),"")</f>
        <v>4.5831046539285714</v>
      </c>
      <c r="BA621">
        <f ca="1">IFERROR(IF(0=LEN(ReferenceData!$BA$621),"",ReferenceData!$BA$621),"")</f>
        <v>4.1065951432857144</v>
      </c>
      <c r="BB621">
        <f ca="1">IFERROR(IF(0=LEN(ReferenceData!$BB$621),"",ReferenceData!$BB$621),"")</f>
        <v>4.3266520039285705</v>
      </c>
      <c r="BC621">
        <f ca="1">IFERROR(IF(0=LEN(ReferenceData!$BC$621),"",ReferenceData!$BC$621),"")</f>
        <v>5.4627635925714282</v>
      </c>
      <c r="BD621">
        <f ca="1">IFERROR(IF(0=LEN(ReferenceData!$BD$621),"",ReferenceData!$BD$621),"")</f>
        <v>7.0929590603571437</v>
      </c>
      <c r="BE621">
        <f ca="1">IFERROR(IF(0=LEN(ReferenceData!$BE$621),"",ReferenceData!$BE$621),"")</f>
        <v>6.5330756162142851</v>
      </c>
      <c r="BF621">
        <f ca="1">IFERROR(IF(0=LEN(ReferenceData!$BF$621),"",ReferenceData!$BF$621),"")</f>
        <v>4.759871529142857</v>
      </c>
      <c r="BG621">
        <f ca="1">IFERROR(IF(0=LEN(ReferenceData!$BG$621),"",ReferenceData!$BG$621),"")</f>
        <v>9.3205674388571413</v>
      </c>
      <c r="BH621">
        <f ca="1">IFERROR(IF(0=LEN(ReferenceData!$BH$621),"",ReferenceData!$BH$621),"")</f>
        <v>9.8402556123636362</v>
      </c>
      <c r="BI621">
        <f ca="1">IFERROR(IF(0=LEN(ReferenceData!$BI$621),"",ReferenceData!$BI$621),"")</f>
        <v>11.524429334399999</v>
      </c>
      <c r="BJ621">
        <f ca="1">IFERROR(IF(0=LEN(ReferenceData!$BJ$621),"",ReferenceData!$BJ$621),"")</f>
        <v>9.2944367840000019</v>
      </c>
      <c r="BK621">
        <f ca="1">IFERROR(IF(0=LEN(ReferenceData!$BK$621),"",ReferenceData!$BK$621),"")</f>
        <v>3.7968536869999987</v>
      </c>
      <c r="BL621">
        <f ca="1">IFERROR(IF(0=LEN(ReferenceData!$BL$621),"",ReferenceData!$BL$621),"")</f>
        <v>0.64305627999999893</v>
      </c>
      <c r="BM621">
        <f ca="1">IFERROR(IF(0=LEN(ReferenceData!$BM$621),"",ReferenceData!$BM$621),"")</f>
        <v>5.1730606114285704</v>
      </c>
    </row>
    <row r="622" spans="1:65" x14ac:dyDescent="0.25">
      <c r="A622" t="str">
        <f>IFERROR(IF(0=LEN(ReferenceData!$A$622),"",ReferenceData!$A$622),"")</f>
        <v xml:space="preserve">    AUDI AG</v>
      </c>
      <c r="B622" t="str">
        <f>IFERROR(IF(0=LEN(ReferenceData!$B$622),"",ReferenceData!$B$622),"")</f>
        <v>NSU GR Equity</v>
      </c>
      <c r="C622" t="str">
        <f>IFERROR(IF(0=LEN(ReferenceData!$C$622),"",ReferenceData!$C$622),"")</f>
        <v>RX539</v>
      </c>
      <c r="D622" t="str">
        <f>IFERROR(IF(0=LEN(ReferenceData!$D$622),"",ReferenceData!$D$622),"")</f>
        <v>T12_FCF_YIELD</v>
      </c>
      <c r="E622" t="str">
        <f>IFERROR(IF(0=LEN(ReferenceData!$E$622),"",ReferenceData!$E$622),"")</f>
        <v>Dynamic</v>
      </c>
      <c r="F622" t="str">
        <f ca="1">IFERROR(IF(0=LEN(ReferenceData!$F$622),"",ReferenceData!$F$622),"")</f>
        <v/>
      </c>
      <c r="G622" t="str">
        <f ca="1">IFERROR(IF(0=LEN(ReferenceData!$G$622),"",ReferenceData!$G$622),"")</f>
        <v/>
      </c>
      <c r="H622" t="str">
        <f ca="1">IFERROR(IF(0=LEN(ReferenceData!$H$622),"",ReferenceData!$H$622),"")</f>
        <v/>
      </c>
      <c r="I622" t="str">
        <f ca="1">IFERROR(IF(0=LEN(ReferenceData!$I$622),"",ReferenceData!$I$622),"")</f>
        <v/>
      </c>
      <c r="J622" t="str">
        <f ca="1">IFERROR(IF(0=LEN(ReferenceData!$J$622),"",ReferenceData!$J$622),"")</f>
        <v/>
      </c>
      <c r="K622" t="str">
        <f ca="1">IFERROR(IF(0=LEN(ReferenceData!$K$622),"",ReferenceData!$K$622),"")</f>
        <v/>
      </c>
      <c r="L622" t="str">
        <f ca="1">IFERROR(IF(0=LEN(ReferenceData!$L$622),"",ReferenceData!$L$622),"")</f>
        <v/>
      </c>
      <c r="M622" t="str">
        <f ca="1">IFERROR(IF(0=LEN(ReferenceData!$M$622),"",ReferenceData!$M$622),"")</f>
        <v/>
      </c>
      <c r="N622" t="str">
        <f ca="1">IFERROR(IF(0=LEN(ReferenceData!$N$622),"",ReferenceData!$N$622),"")</f>
        <v/>
      </c>
      <c r="O622" t="str">
        <f ca="1">IFERROR(IF(0=LEN(ReferenceData!$O$622),"",ReferenceData!$O$622),"")</f>
        <v/>
      </c>
      <c r="P622" t="str">
        <f ca="1">IFERROR(IF(0=LEN(ReferenceData!$P$622),"",ReferenceData!$P$622),"")</f>
        <v/>
      </c>
      <c r="Q622" t="str">
        <f ca="1">IFERROR(IF(0=LEN(ReferenceData!$Q$622),"",ReferenceData!$Q$622),"")</f>
        <v/>
      </c>
      <c r="R622" t="str">
        <f ca="1">IFERROR(IF(0=LEN(ReferenceData!$R$622),"",ReferenceData!$R$622),"")</f>
        <v/>
      </c>
      <c r="S622" t="str">
        <f ca="1">IFERROR(IF(0=LEN(ReferenceData!$S$622),"",ReferenceData!$S$622),"")</f>
        <v/>
      </c>
      <c r="T622" t="str">
        <f ca="1">IFERROR(IF(0=LEN(ReferenceData!$T$622),"",ReferenceData!$T$622),"")</f>
        <v/>
      </c>
      <c r="U622" t="str">
        <f ca="1">IFERROR(IF(0=LEN(ReferenceData!$U$622),"",ReferenceData!$U$622),"")</f>
        <v/>
      </c>
      <c r="V622" t="str">
        <f ca="1">IFERROR(IF(0=LEN(ReferenceData!$V$622),"",ReferenceData!$V$622),"")</f>
        <v/>
      </c>
      <c r="W622" t="str">
        <f ca="1">IFERROR(IF(0=LEN(ReferenceData!$W$622),"",ReferenceData!$W$622),"")</f>
        <v/>
      </c>
      <c r="X622" t="str">
        <f ca="1">IFERROR(IF(0=LEN(ReferenceData!$X$622),"",ReferenceData!$X$622),"")</f>
        <v/>
      </c>
      <c r="Y622" t="str">
        <f ca="1">IFERROR(IF(0=LEN(ReferenceData!$Y$622),"",ReferenceData!$Y$622),"")</f>
        <v/>
      </c>
      <c r="Z622" t="str">
        <f ca="1">IFERROR(IF(0=LEN(ReferenceData!$Z$622),"",ReferenceData!$Z$622),"")</f>
        <v/>
      </c>
      <c r="AA622" t="str">
        <f ca="1">IFERROR(IF(0=LEN(ReferenceData!$AA$622),"",ReferenceData!$AA$622),"")</f>
        <v/>
      </c>
      <c r="AB622" t="str">
        <f ca="1">IFERROR(IF(0=LEN(ReferenceData!$AB$622),"",ReferenceData!$AB$622),"")</f>
        <v/>
      </c>
      <c r="AC622" t="str">
        <f ca="1">IFERROR(IF(0=LEN(ReferenceData!$AC$622),"",ReferenceData!$AC$622),"")</f>
        <v/>
      </c>
      <c r="AD622" t="str">
        <f ca="1">IFERROR(IF(0=LEN(ReferenceData!$AD$622),"",ReferenceData!$AD$622),"")</f>
        <v/>
      </c>
      <c r="AE622" t="str">
        <f ca="1">IFERROR(IF(0=LEN(ReferenceData!$AE$622),"",ReferenceData!$AE$622),"")</f>
        <v/>
      </c>
      <c r="AF622" t="str">
        <f ca="1">IFERROR(IF(0=LEN(ReferenceData!$AF$622),"",ReferenceData!$AF$622),"")</f>
        <v/>
      </c>
      <c r="AG622" t="str">
        <f ca="1">IFERROR(IF(0=LEN(ReferenceData!$AG$622),"",ReferenceData!$AG$622),"")</f>
        <v/>
      </c>
      <c r="AH622" t="str">
        <f ca="1">IFERROR(IF(0=LEN(ReferenceData!$AH$622),"",ReferenceData!$AH$622),"")</f>
        <v/>
      </c>
      <c r="AI622" t="str">
        <f ca="1">IFERROR(IF(0=LEN(ReferenceData!$AI$622),"",ReferenceData!$AI$622),"")</f>
        <v/>
      </c>
      <c r="AJ622" t="str">
        <f ca="1">IFERROR(IF(0=LEN(ReferenceData!$AJ$622),"",ReferenceData!$AJ$622),"")</f>
        <v/>
      </c>
      <c r="AK622" t="str">
        <f ca="1">IFERROR(IF(0=LEN(ReferenceData!$AK$622),"",ReferenceData!$AK$622),"")</f>
        <v/>
      </c>
      <c r="AL622" t="str">
        <f ca="1">IFERROR(IF(0=LEN(ReferenceData!$AL$622),"",ReferenceData!$AL$622),"")</f>
        <v/>
      </c>
      <c r="AM622" t="str">
        <f ca="1">IFERROR(IF(0=LEN(ReferenceData!$AM$622),"",ReferenceData!$AM$622),"")</f>
        <v/>
      </c>
      <c r="AN622" t="str">
        <f ca="1">IFERROR(IF(0=LEN(ReferenceData!$AN$622),"",ReferenceData!$AN$622),"")</f>
        <v/>
      </c>
      <c r="AO622" t="str">
        <f ca="1">IFERROR(IF(0=LEN(ReferenceData!$AO$622),"",ReferenceData!$AO$622),"")</f>
        <v/>
      </c>
      <c r="AP622" t="str">
        <f ca="1">IFERROR(IF(0=LEN(ReferenceData!$AP$622),"",ReferenceData!$AP$622),"")</f>
        <v/>
      </c>
      <c r="AQ622" t="str">
        <f ca="1">IFERROR(IF(0=LEN(ReferenceData!$AQ$622),"",ReferenceData!$AQ$622),"")</f>
        <v/>
      </c>
      <c r="AR622" t="str">
        <f ca="1">IFERROR(IF(0=LEN(ReferenceData!$AR$622),"",ReferenceData!$AR$622),"")</f>
        <v/>
      </c>
      <c r="AS622" t="str">
        <f ca="1">IFERROR(IF(0=LEN(ReferenceData!$AS$622),"",ReferenceData!$AS$622),"")</f>
        <v/>
      </c>
      <c r="AT622" t="str">
        <f ca="1">IFERROR(IF(0=LEN(ReferenceData!$AT$622),"",ReferenceData!$AT$622),"")</f>
        <v/>
      </c>
      <c r="AU622" t="str">
        <f ca="1">IFERROR(IF(0=LEN(ReferenceData!$AU$622),"",ReferenceData!$AU$622),"")</f>
        <v/>
      </c>
      <c r="AV622" t="str">
        <f ca="1">IFERROR(IF(0=LEN(ReferenceData!$AV$622),"",ReferenceData!$AV$622),"")</f>
        <v/>
      </c>
      <c r="AW622" t="str">
        <f ca="1">IFERROR(IF(0=LEN(ReferenceData!$AW$622),"",ReferenceData!$AW$622),"")</f>
        <v/>
      </c>
      <c r="AX622" t="str">
        <f ca="1">IFERROR(IF(0=LEN(ReferenceData!$AX$622),"",ReferenceData!$AX$622),"")</f>
        <v/>
      </c>
      <c r="AY622" t="str">
        <f ca="1">IFERROR(IF(0=LEN(ReferenceData!$AY$622),"",ReferenceData!$AY$622),"")</f>
        <v/>
      </c>
      <c r="AZ622" t="str">
        <f ca="1">IFERROR(IF(0=LEN(ReferenceData!$AZ$622),"",ReferenceData!$AZ$622),"")</f>
        <v/>
      </c>
      <c r="BA622" t="str">
        <f ca="1">IFERROR(IF(0=LEN(ReferenceData!$BA$622),"",ReferenceData!$BA$622),"")</f>
        <v/>
      </c>
      <c r="BB622" t="str">
        <f ca="1">IFERROR(IF(0=LEN(ReferenceData!$BB$622),"",ReferenceData!$BB$622),"")</f>
        <v/>
      </c>
      <c r="BC622" t="str">
        <f ca="1">IFERROR(IF(0=LEN(ReferenceData!$BC$622),"",ReferenceData!$BC$622),"")</f>
        <v/>
      </c>
      <c r="BD622" t="str">
        <f ca="1">IFERROR(IF(0=LEN(ReferenceData!$BD$622),"",ReferenceData!$BD$622),"")</f>
        <v/>
      </c>
      <c r="BE622" t="str">
        <f ca="1">IFERROR(IF(0=LEN(ReferenceData!$BE$622),"",ReferenceData!$BE$622),"")</f>
        <v/>
      </c>
      <c r="BF622" t="str">
        <f ca="1">IFERROR(IF(0=LEN(ReferenceData!$BF$622),"",ReferenceData!$BF$622),"")</f>
        <v/>
      </c>
      <c r="BG622" t="str">
        <f ca="1">IFERROR(IF(0=LEN(ReferenceData!$BG$622),"",ReferenceData!$BG$622),"")</f>
        <v/>
      </c>
      <c r="BH622" t="str">
        <f ca="1">IFERROR(IF(0=LEN(ReferenceData!$BH$622),"",ReferenceData!$BH$622),"")</f>
        <v/>
      </c>
      <c r="BI622" t="str">
        <f ca="1">IFERROR(IF(0=LEN(ReferenceData!$BI$622),"",ReferenceData!$BI$622),"")</f>
        <v/>
      </c>
      <c r="BJ622" t="str">
        <f ca="1">IFERROR(IF(0=LEN(ReferenceData!$BJ$622),"",ReferenceData!$BJ$622),"")</f>
        <v/>
      </c>
      <c r="BK622" t="str">
        <f ca="1">IFERROR(IF(0=LEN(ReferenceData!$BK$622),"",ReferenceData!$BK$622),"")</f>
        <v/>
      </c>
      <c r="BL622" t="str">
        <f ca="1">IFERROR(IF(0=LEN(ReferenceData!$BL$622),"",ReferenceData!$BL$622),"")</f>
        <v/>
      </c>
      <c r="BM622" t="str">
        <f ca="1">IFERROR(IF(0=LEN(ReferenceData!$BM$622),"",ReferenceData!$BM$622),"")</f>
        <v/>
      </c>
    </row>
    <row r="623" spans="1:65" x14ac:dyDescent="0.25">
      <c r="A623" t="str">
        <f>IFERROR(IF(0=LEN(ReferenceData!$A$623),"",ReferenceData!$A$623),"")</f>
        <v xml:space="preserve">    Avtovaz PJSC</v>
      </c>
      <c r="B623" t="str">
        <f>IFERROR(IF(0=LEN(ReferenceData!$B$623),"",ReferenceData!$B$623),"")</f>
        <v>AVAZ RM Equity</v>
      </c>
      <c r="C623" t="str">
        <f>IFERROR(IF(0=LEN(ReferenceData!$C$623),"",ReferenceData!$C$623),"")</f>
        <v>RX539</v>
      </c>
      <c r="D623" t="str">
        <f>IFERROR(IF(0=LEN(ReferenceData!$D$623),"",ReferenceData!$D$623),"")</f>
        <v>T12_FCF_YIELD</v>
      </c>
      <c r="E623" t="str">
        <f>IFERROR(IF(0=LEN(ReferenceData!$E$623),"",ReferenceData!$E$623),"")</f>
        <v>Dynamic</v>
      </c>
      <c r="F623" t="str">
        <f ca="1">IFERROR(IF(0=LEN(ReferenceData!$F$623),"",ReferenceData!$F$623),"")</f>
        <v/>
      </c>
      <c r="G623" t="str">
        <f ca="1">IFERROR(IF(0=LEN(ReferenceData!$G$623),"",ReferenceData!$G$623),"")</f>
        <v/>
      </c>
      <c r="H623" t="str">
        <f ca="1">IFERROR(IF(0=LEN(ReferenceData!$H$623),"",ReferenceData!$H$623),"")</f>
        <v/>
      </c>
      <c r="I623" t="str">
        <f ca="1">IFERROR(IF(0=LEN(ReferenceData!$I$623),"",ReferenceData!$I$623),"")</f>
        <v/>
      </c>
      <c r="J623" t="str">
        <f ca="1">IFERROR(IF(0=LEN(ReferenceData!$J$623),"",ReferenceData!$J$623),"")</f>
        <v/>
      </c>
      <c r="K623" t="str">
        <f ca="1">IFERROR(IF(0=LEN(ReferenceData!$K$623),"",ReferenceData!$K$623),"")</f>
        <v/>
      </c>
      <c r="L623" t="str">
        <f ca="1">IFERROR(IF(0=LEN(ReferenceData!$L$623),"",ReferenceData!$L$623),"")</f>
        <v/>
      </c>
      <c r="M623" t="str">
        <f ca="1">IFERROR(IF(0=LEN(ReferenceData!$M$623),"",ReferenceData!$M$623),"")</f>
        <v/>
      </c>
      <c r="N623" t="str">
        <f ca="1">IFERROR(IF(0=LEN(ReferenceData!$N$623),"",ReferenceData!$N$623),"")</f>
        <v/>
      </c>
      <c r="O623" t="str">
        <f ca="1">IFERROR(IF(0=LEN(ReferenceData!$O$623),"",ReferenceData!$O$623),"")</f>
        <v/>
      </c>
      <c r="P623" t="str">
        <f ca="1">IFERROR(IF(0=LEN(ReferenceData!$P$623),"",ReferenceData!$P$623),"")</f>
        <v/>
      </c>
      <c r="Q623" t="str">
        <f ca="1">IFERROR(IF(0=LEN(ReferenceData!$Q$623),"",ReferenceData!$Q$623),"")</f>
        <v/>
      </c>
      <c r="R623" t="str">
        <f ca="1">IFERROR(IF(0=LEN(ReferenceData!$R$623),"",ReferenceData!$R$623),"")</f>
        <v/>
      </c>
      <c r="S623" t="str">
        <f ca="1">IFERROR(IF(0=LEN(ReferenceData!$S$623),"",ReferenceData!$S$623),"")</f>
        <v/>
      </c>
      <c r="T623" t="str">
        <f ca="1">IFERROR(IF(0=LEN(ReferenceData!$T$623),"",ReferenceData!$T$623),"")</f>
        <v/>
      </c>
      <c r="U623" t="str">
        <f ca="1">IFERROR(IF(0=LEN(ReferenceData!$U$623),"",ReferenceData!$U$623),"")</f>
        <v/>
      </c>
      <c r="V623" t="str">
        <f ca="1">IFERROR(IF(0=LEN(ReferenceData!$V$623),"",ReferenceData!$V$623),"")</f>
        <v/>
      </c>
      <c r="W623" t="str">
        <f ca="1">IFERROR(IF(0=LEN(ReferenceData!$W$623),"",ReferenceData!$W$623),"")</f>
        <v/>
      </c>
      <c r="X623" t="str">
        <f ca="1">IFERROR(IF(0=LEN(ReferenceData!$X$623),"",ReferenceData!$X$623),"")</f>
        <v/>
      </c>
      <c r="Y623" t="str">
        <f ca="1">IFERROR(IF(0=LEN(ReferenceData!$Y$623),"",ReferenceData!$Y$623),"")</f>
        <v/>
      </c>
      <c r="Z623" t="str">
        <f ca="1">IFERROR(IF(0=LEN(ReferenceData!$Z$623),"",ReferenceData!$Z$623),"")</f>
        <v/>
      </c>
      <c r="AA623" t="str">
        <f ca="1">IFERROR(IF(0=LEN(ReferenceData!$AA$623),"",ReferenceData!$AA$623),"")</f>
        <v/>
      </c>
      <c r="AB623" t="str">
        <f ca="1">IFERROR(IF(0=LEN(ReferenceData!$AB$623),"",ReferenceData!$AB$623),"")</f>
        <v/>
      </c>
      <c r="AC623" t="str">
        <f ca="1">IFERROR(IF(0=LEN(ReferenceData!$AC$623),"",ReferenceData!$AC$623),"")</f>
        <v/>
      </c>
      <c r="AD623" t="str">
        <f ca="1">IFERROR(IF(0=LEN(ReferenceData!$AD$623),"",ReferenceData!$AD$623),"")</f>
        <v/>
      </c>
      <c r="AE623" t="str">
        <f ca="1">IFERROR(IF(0=LEN(ReferenceData!$AE$623),"",ReferenceData!$AE$623),"")</f>
        <v/>
      </c>
      <c r="AF623" t="str">
        <f ca="1">IFERROR(IF(0=LEN(ReferenceData!$AF$623),"",ReferenceData!$AF$623),"")</f>
        <v/>
      </c>
      <c r="AG623" t="str">
        <f ca="1">IFERROR(IF(0=LEN(ReferenceData!$AG$623),"",ReferenceData!$AG$623),"")</f>
        <v/>
      </c>
      <c r="AH623" t="str">
        <f ca="1">IFERROR(IF(0=LEN(ReferenceData!$AH$623),"",ReferenceData!$AH$623),"")</f>
        <v/>
      </c>
      <c r="AI623" t="str">
        <f ca="1">IFERROR(IF(0=LEN(ReferenceData!$AI$623),"",ReferenceData!$AI$623),"")</f>
        <v/>
      </c>
      <c r="AJ623" t="str">
        <f ca="1">IFERROR(IF(0=LEN(ReferenceData!$AJ$623),"",ReferenceData!$AJ$623),"")</f>
        <v/>
      </c>
      <c r="AK623" t="str">
        <f ca="1">IFERROR(IF(0=LEN(ReferenceData!$AK$623),"",ReferenceData!$AK$623),"")</f>
        <v/>
      </c>
      <c r="AL623" t="str">
        <f ca="1">IFERROR(IF(0=LEN(ReferenceData!$AL$623),"",ReferenceData!$AL$623),"")</f>
        <v/>
      </c>
      <c r="AM623" t="str">
        <f ca="1">IFERROR(IF(0=LEN(ReferenceData!$AM$623),"",ReferenceData!$AM$623),"")</f>
        <v/>
      </c>
      <c r="AN623" t="str">
        <f ca="1">IFERROR(IF(0=LEN(ReferenceData!$AN$623),"",ReferenceData!$AN$623),"")</f>
        <v/>
      </c>
      <c r="AO623" t="str">
        <f ca="1">IFERROR(IF(0=LEN(ReferenceData!$AO$623),"",ReferenceData!$AO$623),"")</f>
        <v/>
      </c>
      <c r="AP623" t="str">
        <f ca="1">IFERROR(IF(0=LEN(ReferenceData!$AP$623),"",ReferenceData!$AP$623),"")</f>
        <v/>
      </c>
      <c r="AQ623" t="str">
        <f ca="1">IFERROR(IF(0=LEN(ReferenceData!$AQ$623),"",ReferenceData!$AQ$623),"")</f>
        <v/>
      </c>
      <c r="AR623" t="str">
        <f ca="1">IFERROR(IF(0=LEN(ReferenceData!$AR$623),"",ReferenceData!$AR$623),"")</f>
        <v/>
      </c>
      <c r="AS623" t="str">
        <f ca="1">IFERROR(IF(0=LEN(ReferenceData!$AS$623),"",ReferenceData!$AS$623),"")</f>
        <v/>
      </c>
      <c r="AT623" t="str">
        <f ca="1">IFERROR(IF(0=LEN(ReferenceData!$AT$623),"",ReferenceData!$AT$623),"")</f>
        <v/>
      </c>
      <c r="AU623" t="str">
        <f ca="1">IFERROR(IF(0=LEN(ReferenceData!$AU$623),"",ReferenceData!$AU$623),"")</f>
        <v/>
      </c>
      <c r="AV623" t="str">
        <f ca="1">IFERROR(IF(0=LEN(ReferenceData!$AV$623),"",ReferenceData!$AV$623),"")</f>
        <v/>
      </c>
      <c r="AW623" t="str">
        <f ca="1">IFERROR(IF(0=LEN(ReferenceData!$AW$623),"",ReferenceData!$AW$623),"")</f>
        <v/>
      </c>
      <c r="AX623" t="str">
        <f ca="1">IFERROR(IF(0=LEN(ReferenceData!$AX$623),"",ReferenceData!$AX$623),"")</f>
        <v/>
      </c>
      <c r="AY623" t="str">
        <f ca="1">IFERROR(IF(0=LEN(ReferenceData!$AY$623),"",ReferenceData!$AY$623),"")</f>
        <v/>
      </c>
      <c r="AZ623" t="str">
        <f ca="1">IFERROR(IF(0=LEN(ReferenceData!$AZ$623),"",ReferenceData!$AZ$623),"")</f>
        <v/>
      </c>
      <c r="BA623" t="str">
        <f ca="1">IFERROR(IF(0=LEN(ReferenceData!$BA$623),"",ReferenceData!$BA$623),"")</f>
        <v/>
      </c>
      <c r="BB623" t="str">
        <f ca="1">IFERROR(IF(0=LEN(ReferenceData!$BB$623),"",ReferenceData!$BB$623),"")</f>
        <v/>
      </c>
      <c r="BC623" t="str">
        <f ca="1">IFERROR(IF(0=LEN(ReferenceData!$BC$623),"",ReferenceData!$BC$623),"")</f>
        <v/>
      </c>
      <c r="BD623" t="str">
        <f ca="1">IFERROR(IF(0=LEN(ReferenceData!$BD$623),"",ReferenceData!$BD$623),"")</f>
        <v/>
      </c>
      <c r="BE623" t="str">
        <f ca="1">IFERROR(IF(0=LEN(ReferenceData!$BE$623),"",ReferenceData!$BE$623),"")</f>
        <v/>
      </c>
      <c r="BF623" t="str">
        <f ca="1">IFERROR(IF(0=LEN(ReferenceData!$BF$623),"",ReferenceData!$BF$623),"")</f>
        <v/>
      </c>
      <c r="BG623" t="str">
        <f ca="1">IFERROR(IF(0=LEN(ReferenceData!$BG$623),"",ReferenceData!$BG$623),"")</f>
        <v/>
      </c>
      <c r="BH623" t="str">
        <f ca="1">IFERROR(IF(0=LEN(ReferenceData!$BH$623),"",ReferenceData!$BH$623),"")</f>
        <v/>
      </c>
      <c r="BI623" t="str">
        <f ca="1">IFERROR(IF(0=LEN(ReferenceData!$BI$623),"",ReferenceData!$BI$623),"")</f>
        <v/>
      </c>
      <c r="BJ623" t="str">
        <f ca="1">IFERROR(IF(0=LEN(ReferenceData!$BJ$623),"",ReferenceData!$BJ$623),"")</f>
        <v/>
      </c>
      <c r="BK623" t="str">
        <f ca="1">IFERROR(IF(0=LEN(ReferenceData!$BK$623),"",ReferenceData!$BK$623),"")</f>
        <v/>
      </c>
      <c r="BL623" t="str">
        <f ca="1">IFERROR(IF(0=LEN(ReferenceData!$BL$623),"",ReferenceData!$BL$623),"")</f>
        <v/>
      </c>
      <c r="BM623" t="str">
        <f ca="1">IFERROR(IF(0=LEN(ReferenceData!$BM$623),"",ReferenceData!$BM$623),"")</f>
        <v/>
      </c>
    </row>
    <row r="624" spans="1:65" x14ac:dyDescent="0.25">
      <c r="A624" t="str">
        <f>IFERROR(IF(0=LEN(ReferenceData!$A$624),"",ReferenceData!$A$624),"")</f>
        <v xml:space="preserve">    Bayerische Motoren Werke AG</v>
      </c>
      <c r="B624" t="str">
        <f>IFERROR(IF(0=LEN(ReferenceData!$B$624),"",ReferenceData!$B$624),"")</f>
        <v>BMW GR Equity</v>
      </c>
      <c r="C624" t="str">
        <f>IFERROR(IF(0=LEN(ReferenceData!$C$624),"",ReferenceData!$C$624),"")</f>
        <v>RX539</v>
      </c>
      <c r="D624" t="str">
        <f>IFERROR(IF(0=LEN(ReferenceData!$D$624),"",ReferenceData!$D$624),"")</f>
        <v>T12_FCF_YIELD</v>
      </c>
      <c r="E624" t="str">
        <f>IFERROR(IF(0=LEN(ReferenceData!$E$624),"",ReferenceData!$E$624),"")</f>
        <v>Dynamic</v>
      </c>
      <c r="F624">
        <f ca="1">IFERROR(IF(0=LEN(ReferenceData!$F$624),"",ReferenceData!$F$624),"")</f>
        <v>-7.5149097850000004</v>
      </c>
      <c r="G624">
        <f ca="1">IFERROR(IF(0=LEN(ReferenceData!$G$624),"",ReferenceData!$G$624),"")</f>
        <v>-7.762828474</v>
      </c>
      <c r="H624">
        <f ca="1">IFERROR(IF(0=LEN(ReferenceData!$H$624),"",ReferenceData!$H$624),"")</f>
        <v>-7.0869596250000004</v>
      </c>
      <c r="I624">
        <f ca="1">IFERROR(IF(0=LEN(ReferenceData!$I$624),"",ReferenceData!$I$624),"")</f>
        <v>-4.8715080999999998</v>
      </c>
      <c r="J624">
        <f ca="1">IFERROR(IF(0=LEN(ReferenceData!$J$624),"",ReferenceData!$J$624),"")</f>
        <v>-5.2263789420000002</v>
      </c>
      <c r="K624">
        <f ca="1">IFERROR(IF(0=LEN(ReferenceData!$K$624),"",ReferenceData!$K$624),"")</f>
        <v>-5.4429421040000001</v>
      </c>
      <c r="L624">
        <f ca="1">IFERROR(IF(0=LEN(ReferenceData!$L$624),"",ReferenceData!$L$624),"")</f>
        <v>-1.84668024</v>
      </c>
      <c r="M624">
        <f ca="1">IFERROR(IF(0=LEN(ReferenceData!$M$624),"",ReferenceData!$M$624),"")</f>
        <v>-5.1547571489999999</v>
      </c>
      <c r="N624">
        <f ca="1">IFERROR(IF(0=LEN(ReferenceData!$N$624),"",ReferenceData!$N$624),"")</f>
        <v>-4.8595272109999996</v>
      </c>
      <c r="O624">
        <f ca="1">IFERROR(IF(0=LEN(ReferenceData!$O$624),"",ReferenceData!$O$624),"")</f>
        <v>-4.8213160520000002</v>
      </c>
      <c r="P624">
        <f ca="1">IFERROR(IF(0=LEN(ReferenceData!$P$624),"",ReferenceData!$P$624),"")</f>
        <v>-8.6899671450000007</v>
      </c>
      <c r="Q624">
        <f ca="1">IFERROR(IF(0=LEN(ReferenceData!$Q$624),"",ReferenceData!$Q$624),"")</f>
        <v>-9.9808400329999998</v>
      </c>
      <c r="R624">
        <f ca="1">IFERROR(IF(0=LEN(ReferenceData!$R$624),"",ReferenceData!$R$624),"")</f>
        <v>-11.777525799999999</v>
      </c>
      <c r="S624">
        <f ca="1">IFERROR(IF(0=LEN(ReferenceData!$S$624),"",ReferenceData!$S$624),"")</f>
        <v>-8.2439564920000006</v>
      </c>
      <c r="T624">
        <f ca="1">IFERROR(IF(0=LEN(ReferenceData!$T$624),"",ReferenceData!$T$624),"")</f>
        <v>-8.894149767</v>
      </c>
      <c r="U624">
        <f ca="1">IFERROR(IF(0=LEN(ReferenceData!$U$624),"",ReferenceData!$U$624),"")</f>
        <v>-6.3503107349999999</v>
      </c>
      <c r="V624">
        <f ca="1">IFERROR(IF(0=LEN(ReferenceData!$V$624),"",ReferenceData!$V$624),"")</f>
        <v>-4.418938883</v>
      </c>
      <c r="W624">
        <f ca="1">IFERROR(IF(0=LEN(ReferenceData!$W$624),"",ReferenceData!$W$624),"")</f>
        <v>-5.7563547509999999</v>
      </c>
      <c r="X624">
        <f ca="1">IFERROR(IF(0=LEN(ReferenceData!$X$624),"",ReferenceData!$X$624),"")</f>
        <v>-5.1266478070000003</v>
      </c>
      <c r="Y624">
        <f ca="1">IFERROR(IF(0=LEN(ReferenceData!$Y$624),"",ReferenceData!$Y$624),"")</f>
        <v>-5.4771672669999996</v>
      </c>
      <c r="Z624">
        <f ca="1">IFERROR(IF(0=LEN(ReferenceData!$Z$624),"",ReferenceData!$Z$624),"")</f>
        <v>-3.374174977</v>
      </c>
      <c r="AA624">
        <f ca="1">IFERROR(IF(0=LEN(ReferenceData!$AA$624),"",ReferenceData!$AA$624),"")</f>
        <v>-4.8802565500000004</v>
      </c>
      <c r="AB624">
        <f ca="1">IFERROR(IF(0=LEN(ReferenceData!$AB$624),"",ReferenceData!$AB$624),"")</f>
        <v>-3.9030062210000001</v>
      </c>
      <c r="AC624">
        <f ca="1">IFERROR(IF(0=LEN(ReferenceData!$AC$624),"",ReferenceData!$AC$624),"")</f>
        <v>-5.6550916999999998</v>
      </c>
      <c r="AD624">
        <f ca="1">IFERROR(IF(0=LEN(ReferenceData!$AD$624),"",ReferenceData!$AD$624),"")</f>
        <v>-5.5938429809999999</v>
      </c>
      <c r="AE624">
        <f ca="1">IFERROR(IF(0=LEN(ReferenceData!$AE$624),"",ReferenceData!$AE$624),"")</f>
        <v>-0.47296182599999997</v>
      </c>
      <c r="AF624">
        <f ca="1">IFERROR(IF(0=LEN(ReferenceData!$AF$624),"",ReferenceData!$AF$624),"")</f>
        <v>-5.3457783509999999</v>
      </c>
      <c r="AG624">
        <f ca="1">IFERROR(IF(0=LEN(ReferenceData!$AG$624),"",ReferenceData!$AG$624),"")</f>
        <v>2.0462823129999999</v>
      </c>
      <c r="AH624">
        <f ca="1">IFERROR(IF(0=LEN(ReferenceData!$AH$624),"",ReferenceData!$AH$624),"")</f>
        <v>4.693440753</v>
      </c>
      <c r="AI624">
        <f ca="1">IFERROR(IF(0=LEN(ReferenceData!$AI$624),"",ReferenceData!$AI$624),"")</f>
        <v>6.0542392600000001</v>
      </c>
      <c r="AJ624">
        <f ca="1">IFERROR(IF(0=LEN(ReferenceData!$AJ$624),"",ReferenceData!$AJ$624),"")</f>
        <v>-2.9887870790000002</v>
      </c>
      <c r="AK624">
        <f ca="1">IFERROR(IF(0=LEN(ReferenceData!$AK$624),"",ReferenceData!$AK$624),"")</f>
        <v>-0.44123996900000001</v>
      </c>
      <c r="AL624">
        <f ca="1">IFERROR(IF(0=LEN(ReferenceData!$AL$624),"",ReferenceData!$AL$624),"")</f>
        <v>3.3450787900000001</v>
      </c>
      <c r="AM624">
        <f ca="1">IFERROR(IF(0=LEN(ReferenceData!$AM$624),"",ReferenceData!$AM$624),"")</f>
        <v>2.3696308319999999</v>
      </c>
      <c r="AN624">
        <f ca="1">IFERROR(IF(0=LEN(ReferenceData!$AN$624),"",ReferenceData!$AN$624),"")</f>
        <v>25.062466279999999</v>
      </c>
      <c r="AO624">
        <f ca="1">IFERROR(IF(0=LEN(ReferenceData!$AO$624),"",ReferenceData!$AO$624),"")</f>
        <v>29.012207979999999</v>
      </c>
      <c r="AP624">
        <f ca="1">IFERROR(IF(0=LEN(ReferenceData!$AP$624),"",ReferenceData!$AP$624),"")</f>
        <v>28.51736768</v>
      </c>
      <c r="AQ624">
        <f ca="1">IFERROR(IF(0=LEN(ReferenceData!$AQ$624),"",ReferenceData!$AQ$624),"")</f>
        <v>32.306968570000002</v>
      </c>
      <c r="AR624">
        <f ca="1">IFERROR(IF(0=LEN(ReferenceData!$AR$624),"",ReferenceData!$AR$624),"")</f>
        <v>25.35470347</v>
      </c>
      <c r="AS624">
        <f ca="1">IFERROR(IF(0=LEN(ReferenceData!$AS$624),"",ReferenceData!$AS$624),"")</f>
        <v>58.225258179999997</v>
      </c>
      <c r="AT624">
        <f ca="1">IFERROR(IF(0=LEN(ReferenceData!$AT$624),"",ReferenceData!$AT$624),"")</f>
        <v>81.408292250000002</v>
      </c>
      <c r="AU624">
        <f ca="1">IFERROR(IF(0=LEN(ReferenceData!$AU$624),"",ReferenceData!$AU$624),"")</f>
        <v>78.244740859999993</v>
      </c>
      <c r="AV624">
        <f ca="1">IFERROR(IF(0=LEN(ReferenceData!$AV$624),"",ReferenceData!$AV$624),"")</f>
        <v>72.775572560000001</v>
      </c>
      <c r="AW624">
        <f ca="1">IFERROR(IF(0=LEN(ReferenceData!$AW$624),"",ReferenceData!$AW$624),"")</f>
        <v>41.973931210000003</v>
      </c>
      <c r="AX624">
        <f ca="1">IFERROR(IF(0=LEN(ReferenceData!$AX$624),"",ReferenceData!$AX$624),"")</f>
        <v>31.60247459</v>
      </c>
      <c r="AY624">
        <f ca="1">IFERROR(IF(0=LEN(ReferenceData!$AY$624),"",ReferenceData!$AY$624),"")</f>
        <v>27.263029759999998</v>
      </c>
      <c r="AZ624">
        <f ca="1">IFERROR(IF(0=LEN(ReferenceData!$AZ$624),"",ReferenceData!$AZ$624),"")</f>
        <v>16.70500835</v>
      </c>
      <c r="BA624">
        <f ca="1">IFERROR(IF(0=LEN(ReferenceData!$BA$624),"",ReferenceData!$BA$624),"")</f>
        <v>15.41704223</v>
      </c>
      <c r="BB624">
        <f ca="1">IFERROR(IF(0=LEN(ReferenceData!$BB$624),"",ReferenceData!$BB$624),"")</f>
        <v>18.903019879999999</v>
      </c>
      <c r="BC624">
        <f ca="1">IFERROR(IF(0=LEN(ReferenceData!$BC$624),"",ReferenceData!$BC$624),"")</f>
        <v>19.82596032</v>
      </c>
      <c r="BD624">
        <f ca="1">IFERROR(IF(0=LEN(ReferenceData!$BD$624),"",ReferenceData!$BD$624),"")</f>
        <v>21.757115460000001</v>
      </c>
      <c r="BE624">
        <f ca="1">IFERROR(IF(0=LEN(ReferenceData!$BE$624),"",ReferenceData!$BE$624),"")</f>
        <v>28.458088870000001</v>
      </c>
      <c r="BF624">
        <f ca="1">IFERROR(IF(0=LEN(ReferenceData!$BF$624),"",ReferenceData!$BF$624),"")</f>
        <v>22.537933769999999</v>
      </c>
      <c r="BG624">
        <f ca="1">IFERROR(IF(0=LEN(ReferenceData!$BG$624),"",ReferenceData!$BG$624),"")</f>
        <v>27.54506937</v>
      </c>
      <c r="BH624" t="str">
        <f ca="1">IFERROR(IF(0=LEN(ReferenceData!$BH$624),"",ReferenceData!$BH$624),"")</f>
        <v/>
      </c>
      <c r="BI624" t="str">
        <f ca="1">IFERROR(IF(0=LEN(ReferenceData!$BI$624),"",ReferenceData!$BI$624),"")</f>
        <v/>
      </c>
      <c r="BJ624" t="str">
        <f ca="1">IFERROR(IF(0=LEN(ReferenceData!$BJ$624),"",ReferenceData!$BJ$624),"")</f>
        <v/>
      </c>
      <c r="BK624" t="str">
        <f ca="1">IFERROR(IF(0=LEN(ReferenceData!$BK$624),"",ReferenceData!$BK$624),"")</f>
        <v/>
      </c>
      <c r="BL624" t="str">
        <f ca="1">IFERROR(IF(0=LEN(ReferenceData!$BL$624),"",ReferenceData!$BL$624),"")</f>
        <v/>
      </c>
      <c r="BM624" t="str">
        <f ca="1">IFERROR(IF(0=LEN(ReferenceData!$BM$624),"",ReferenceData!$BM$624),"")</f>
        <v/>
      </c>
    </row>
    <row r="625" spans="1:65" x14ac:dyDescent="0.25">
      <c r="A625" t="str">
        <f>IFERROR(IF(0=LEN(ReferenceData!$A$625),"",ReferenceData!$A$625),"")</f>
        <v xml:space="preserve">    Brilliance China Automotive Holdings Ltd</v>
      </c>
      <c r="B625" t="str">
        <f>IFERROR(IF(0=LEN(ReferenceData!$B$625),"",ReferenceData!$B$625),"")</f>
        <v>1114 HK Equity</v>
      </c>
      <c r="C625" t="str">
        <f>IFERROR(IF(0=LEN(ReferenceData!$C$625),"",ReferenceData!$C$625),"")</f>
        <v>RX539</v>
      </c>
      <c r="D625" t="str">
        <f>IFERROR(IF(0=LEN(ReferenceData!$D$625),"",ReferenceData!$D$625),"")</f>
        <v>T12_FCF_YIELD</v>
      </c>
      <c r="E625" t="str">
        <f>IFERROR(IF(0=LEN(ReferenceData!$E$625),"",ReferenceData!$E$625),"")</f>
        <v>Dynamic</v>
      </c>
      <c r="F625" t="str">
        <f ca="1">IFERROR(IF(0=LEN(ReferenceData!$F$625),"",ReferenceData!$F$625),"")</f>
        <v/>
      </c>
      <c r="G625" t="str">
        <f ca="1">IFERROR(IF(0=LEN(ReferenceData!$G$625),"",ReferenceData!$G$625),"")</f>
        <v/>
      </c>
      <c r="H625" t="str">
        <f ca="1">IFERROR(IF(0=LEN(ReferenceData!$H$625),"",ReferenceData!$H$625),"")</f>
        <v/>
      </c>
      <c r="I625" t="str">
        <f ca="1">IFERROR(IF(0=LEN(ReferenceData!$I$625),"",ReferenceData!$I$625),"")</f>
        <v/>
      </c>
      <c r="J625" t="str">
        <f ca="1">IFERROR(IF(0=LEN(ReferenceData!$J$625),"",ReferenceData!$J$625),"")</f>
        <v/>
      </c>
      <c r="K625" t="str">
        <f ca="1">IFERROR(IF(0=LEN(ReferenceData!$K$625),"",ReferenceData!$K$625),"")</f>
        <v/>
      </c>
      <c r="L625" t="str">
        <f ca="1">IFERROR(IF(0=LEN(ReferenceData!$L$625),"",ReferenceData!$L$625),"")</f>
        <v/>
      </c>
      <c r="M625" t="str">
        <f ca="1">IFERROR(IF(0=LEN(ReferenceData!$M$625),"",ReferenceData!$M$625),"")</f>
        <v/>
      </c>
      <c r="N625" t="str">
        <f ca="1">IFERROR(IF(0=LEN(ReferenceData!$N$625),"",ReferenceData!$N$625),"")</f>
        <v/>
      </c>
      <c r="O625" t="str">
        <f ca="1">IFERROR(IF(0=LEN(ReferenceData!$O$625),"",ReferenceData!$O$625),"")</f>
        <v/>
      </c>
      <c r="P625" t="str">
        <f ca="1">IFERROR(IF(0=LEN(ReferenceData!$P$625),"",ReferenceData!$P$625),"")</f>
        <v/>
      </c>
      <c r="Q625" t="str">
        <f ca="1">IFERROR(IF(0=LEN(ReferenceData!$Q$625),"",ReferenceData!$Q$625),"")</f>
        <v/>
      </c>
      <c r="R625" t="str">
        <f ca="1">IFERROR(IF(0=LEN(ReferenceData!$R$625),"",ReferenceData!$R$625),"")</f>
        <v/>
      </c>
      <c r="S625" t="str">
        <f ca="1">IFERROR(IF(0=LEN(ReferenceData!$S$625),"",ReferenceData!$S$625),"")</f>
        <v/>
      </c>
      <c r="T625" t="str">
        <f ca="1">IFERROR(IF(0=LEN(ReferenceData!$T$625),"",ReferenceData!$T$625),"")</f>
        <v/>
      </c>
      <c r="U625" t="str">
        <f ca="1">IFERROR(IF(0=LEN(ReferenceData!$U$625),"",ReferenceData!$U$625),"")</f>
        <v/>
      </c>
      <c r="V625" t="str">
        <f ca="1">IFERROR(IF(0=LEN(ReferenceData!$V$625),"",ReferenceData!$V$625),"")</f>
        <v/>
      </c>
      <c r="W625" t="str">
        <f ca="1">IFERROR(IF(0=LEN(ReferenceData!$W$625),"",ReferenceData!$W$625),"")</f>
        <v/>
      </c>
      <c r="X625" t="str">
        <f ca="1">IFERROR(IF(0=LEN(ReferenceData!$X$625),"",ReferenceData!$X$625),"")</f>
        <v/>
      </c>
      <c r="Y625" t="str">
        <f ca="1">IFERROR(IF(0=LEN(ReferenceData!$Y$625),"",ReferenceData!$Y$625),"")</f>
        <v/>
      </c>
      <c r="Z625" t="str">
        <f ca="1">IFERROR(IF(0=LEN(ReferenceData!$Z$625),"",ReferenceData!$Z$625),"")</f>
        <v/>
      </c>
      <c r="AA625" t="str">
        <f ca="1">IFERROR(IF(0=LEN(ReferenceData!$AA$625),"",ReferenceData!$AA$625),"")</f>
        <v/>
      </c>
      <c r="AB625" t="str">
        <f ca="1">IFERROR(IF(0=LEN(ReferenceData!$AB$625),"",ReferenceData!$AB$625),"")</f>
        <v/>
      </c>
      <c r="AC625" t="str">
        <f ca="1">IFERROR(IF(0=LEN(ReferenceData!$AC$625),"",ReferenceData!$AC$625),"")</f>
        <v/>
      </c>
      <c r="AD625" t="str">
        <f ca="1">IFERROR(IF(0=LEN(ReferenceData!$AD$625),"",ReferenceData!$AD$625),"")</f>
        <v/>
      </c>
      <c r="AE625" t="str">
        <f ca="1">IFERROR(IF(0=LEN(ReferenceData!$AE$625),"",ReferenceData!$AE$625),"")</f>
        <v/>
      </c>
      <c r="AF625" t="str">
        <f ca="1">IFERROR(IF(0=LEN(ReferenceData!$AF$625),"",ReferenceData!$AF$625),"")</f>
        <v/>
      </c>
      <c r="AG625" t="str">
        <f ca="1">IFERROR(IF(0=LEN(ReferenceData!$AG$625),"",ReferenceData!$AG$625),"")</f>
        <v/>
      </c>
      <c r="AH625" t="str">
        <f ca="1">IFERROR(IF(0=LEN(ReferenceData!$AH$625),"",ReferenceData!$AH$625),"")</f>
        <v/>
      </c>
      <c r="AI625" t="str">
        <f ca="1">IFERROR(IF(0=LEN(ReferenceData!$AI$625),"",ReferenceData!$AI$625),"")</f>
        <v/>
      </c>
      <c r="AJ625" t="str">
        <f ca="1">IFERROR(IF(0=LEN(ReferenceData!$AJ$625),"",ReferenceData!$AJ$625),"")</f>
        <v/>
      </c>
      <c r="AK625" t="str">
        <f ca="1">IFERROR(IF(0=LEN(ReferenceData!$AK$625),"",ReferenceData!$AK$625),"")</f>
        <v/>
      </c>
      <c r="AL625" t="str">
        <f ca="1">IFERROR(IF(0=LEN(ReferenceData!$AL$625),"",ReferenceData!$AL$625),"")</f>
        <v/>
      </c>
      <c r="AM625" t="str">
        <f ca="1">IFERROR(IF(0=LEN(ReferenceData!$AM$625),"",ReferenceData!$AM$625),"")</f>
        <v/>
      </c>
      <c r="AN625" t="str">
        <f ca="1">IFERROR(IF(0=LEN(ReferenceData!$AN$625),"",ReferenceData!$AN$625),"")</f>
        <v/>
      </c>
      <c r="AO625" t="str">
        <f ca="1">IFERROR(IF(0=LEN(ReferenceData!$AO$625),"",ReferenceData!$AO$625),"")</f>
        <v/>
      </c>
      <c r="AP625" t="str">
        <f ca="1">IFERROR(IF(0=LEN(ReferenceData!$AP$625),"",ReferenceData!$AP$625),"")</f>
        <v/>
      </c>
      <c r="AQ625" t="str">
        <f ca="1">IFERROR(IF(0=LEN(ReferenceData!$AQ$625),"",ReferenceData!$AQ$625),"")</f>
        <v/>
      </c>
      <c r="AR625" t="str">
        <f ca="1">IFERROR(IF(0=LEN(ReferenceData!$AR$625),"",ReferenceData!$AR$625),"")</f>
        <v/>
      </c>
      <c r="AS625" t="str">
        <f ca="1">IFERROR(IF(0=LEN(ReferenceData!$AS$625),"",ReferenceData!$AS$625),"")</f>
        <v/>
      </c>
      <c r="AT625" t="str">
        <f ca="1">IFERROR(IF(0=LEN(ReferenceData!$AT$625),"",ReferenceData!$AT$625),"")</f>
        <v/>
      </c>
      <c r="AU625" t="str">
        <f ca="1">IFERROR(IF(0=LEN(ReferenceData!$AU$625),"",ReferenceData!$AU$625),"")</f>
        <v/>
      </c>
      <c r="AV625" t="str">
        <f ca="1">IFERROR(IF(0=LEN(ReferenceData!$AV$625),"",ReferenceData!$AV$625),"")</f>
        <v/>
      </c>
      <c r="AW625" t="str">
        <f ca="1">IFERROR(IF(0=LEN(ReferenceData!$AW$625),"",ReferenceData!$AW$625),"")</f>
        <v/>
      </c>
      <c r="AX625" t="str">
        <f ca="1">IFERROR(IF(0=LEN(ReferenceData!$AX$625),"",ReferenceData!$AX$625),"")</f>
        <v/>
      </c>
      <c r="AY625" t="str">
        <f ca="1">IFERROR(IF(0=LEN(ReferenceData!$AY$625),"",ReferenceData!$AY$625),"")</f>
        <v/>
      </c>
      <c r="AZ625" t="str">
        <f ca="1">IFERROR(IF(0=LEN(ReferenceData!$AZ$625),"",ReferenceData!$AZ$625),"")</f>
        <v/>
      </c>
      <c r="BA625" t="str">
        <f ca="1">IFERROR(IF(0=LEN(ReferenceData!$BA$625),"",ReferenceData!$BA$625),"")</f>
        <v/>
      </c>
      <c r="BB625" t="str">
        <f ca="1">IFERROR(IF(0=LEN(ReferenceData!$BB$625),"",ReferenceData!$BB$625),"")</f>
        <v/>
      </c>
      <c r="BC625" t="str">
        <f ca="1">IFERROR(IF(0=LEN(ReferenceData!$BC$625),"",ReferenceData!$BC$625),"")</f>
        <v/>
      </c>
      <c r="BD625" t="str">
        <f ca="1">IFERROR(IF(0=LEN(ReferenceData!$BD$625),"",ReferenceData!$BD$625),"")</f>
        <v/>
      </c>
      <c r="BE625" t="str">
        <f ca="1">IFERROR(IF(0=LEN(ReferenceData!$BE$625),"",ReferenceData!$BE$625),"")</f>
        <v/>
      </c>
      <c r="BF625" t="str">
        <f ca="1">IFERROR(IF(0=LEN(ReferenceData!$BF$625),"",ReferenceData!$BF$625),"")</f>
        <v/>
      </c>
      <c r="BG625" t="str">
        <f ca="1">IFERROR(IF(0=LEN(ReferenceData!$BG$625),"",ReferenceData!$BG$625),"")</f>
        <v/>
      </c>
      <c r="BH625" t="str">
        <f ca="1">IFERROR(IF(0=LEN(ReferenceData!$BH$625),"",ReferenceData!$BH$625),"")</f>
        <v/>
      </c>
      <c r="BI625" t="str">
        <f ca="1">IFERROR(IF(0=LEN(ReferenceData!$BI$625),"",ReferenceData!$BI$625),"")</f>
        <v/>
      </c>
      <c r="BJ625" t="str">
        <f ca="1">IFERROR(IF(0=LEN(ReferenceData!$BJ$625),"",ReferenceData!$BJ$625),"")</f>
        <v/>
      </c>
      <c r="BK625" t="str">
        <f ca="1">IFERROR(IF(0=LEN(ReferenceData!$BK$625),"",ReferenceData!$BK$625),"")</f>
        <v/>
      </c>
      <c r="BL625" t="str">
        <f ca="1">IFERROR(IF(0=LEN(ReferenceData!$BL$625),"",ReferenceData!$BL$625),"")</f>
        <v/>
      </c>
      <c r="BM625" t="str">
        <f ca="1">IFERROR(IF(0=LEN(ReferenceData!$BM$625),"",ReferenceData!$BM$625),"")</f>
        <v/>
      </c>
    </row>
    <row r="626" spans="1:65" x14ac:dyDescent="0.25">
      <c r="A626" t="str">
        <f>IFERROR(IF(0=LEN(ReferenceData!$A$626),"",ReferenceData!$A$626),"")</f>
        <v xml:space="preserve">    BYD Co Ltd</v>
      </c>
      <c r="B626" t="str">
        <f>IFERROR(IF(0=LEN(ReferenceData!$B$626),"",ReferenceData!$B$626),"")</f>
        <v>1211 HK Equity</v>
      </c>
      <c r="C626" t="str">
        <f>IFERROR(IF(0=LEN(ReferenceData!$C$626),"",ReferenceData!$C$626),"")</f>
        <v>RX539</v>
      </c>
      <c r="D626" t="str">
        <f>IFERROR(IF(0=LEN(ReferenceData!$D$626),"",ReferenceData!$D$626),"")</f>
        <v>T12_FCF_YIELD</v>
      </c>
      <c r="E626" t="str">
        <f>IFERROR(IF(0=LEN(ReferenceData!$E$626),"",ReferenceData!$E$626),"")</f>
        <v>Dynamic</v>
      </c>
      <c r="F626">
        <f ca="1">IFERROR(IF(0=LEN(ReferenceData!$F$626),"",ReferenceData!$F$626),"")</f>
        <v>-6.1165658189999998</v>
      </c>
      <c r="G626">
        <f ca="1">IFERROR(IF(0=LEN(ReferenceData!$G$626),"",ReferenceData!$G$626),"")</f>
        <v>-6.1538471860000001</v>
      </c>
      <c r="H626">
        <f ca="1">IFERROR(IF(0=LEN(ReferenceData!$H$626),"",ReferenceData!$H$626),"")</f>
        <v>-6.081709193</v>
      </c>
      <c r="I626">
        <f ca="1">IFERROR(IF(0=LEN(ReferenceData!$I$626),"",ReferenceData!$I$626),"")</f>
        <v>-8.8163238330000002</v>
      </c>
      <c r="J626">
        <f ca="1">IFERROR(IF(0=LEN(ReferenceData!$J$626),"",ReferenceData!$J$626),"")</f>
        <v>-6.5023354089999996</v>
      </c>
      <c r="K626">
        <f ca="1">IFERROR(IF(0=LEN(ReferenceData!$K$626),"",ReferenceData!$K$626),"")</f>
        <v>-6.3513087989999999</v>
      </c>
      <c r="L626">
        <f ca="1">IFERROR(IF(0=LEN(ReferenceData!$L$626),"",ReferenceData!$L$626),"")</f>
        <v>-8.2355733939999993</v>
      </c>
      <c r="M626">
        <f ca="1">IFERROR(IF(0=LEN(ReferenceData!$M$626),"",ReferenceData!$M$626),"")</f>
        <v>-15.30044841</v>
      </c>
      <c r="N626">
        <f ca="1">IFERROR(IF(0=LEN(ReferenceData!$N$626),"",ReferenceData!$N$626),"")</f>
        <v>-15.38856163</v>
      </c>
      <c r="O626">
        <f ca="1">IFERROR(IF(0=LEN(ReferenceData!$O$626),"",ReferenceData!$O$626),"")</f>
        <v>-13.779698120000001</v>
      </c>
      <c r="P626">
        <f ca="1">IFERROR(IF(0=LEN(ReferenceData!$P$626),"",ReferenceData!$P$626),"")</f>
        <v>-8.8068406509999999</v>
      </c>
      <c r="Q626">
        <f ca="1">IFERROR(IF(0=LEN(ReferenceData!$Q$626),"",ReferenceData!$Q$626),"")</f>
        <v>-11.819931090000001</v>
      </c>
      <c r="R626">
        <f ca="1">IFERROR(IF(0=LEN(ReferenceData!$R$626),"",ReferenceData!$R$626),"")</f>
        <v>-12.459446939999999</v>
      </c>
      <c r="S626">
        <f ca="1">IFERROR(IF(0=LEN(ReferenceData!$S$626),"",ReferenceData!$S$626),"")</f>
        <v>-7.6551071420000003</v>
      </c>
      <c r="T626">
        <f ca="1">IFERROR(IF(0=LEN(ReferenceData!$T$626),"",ReferenceData!$T$626),"")</f>
        <v>-10.34200886</v>
      </c>
      <c r="U626">
        <f ca="1">IFERROR(IF(0=LEN(ReferenceData!$U$626),"",ReferenceData!$U$626),"")</f>
        <v>-7.0981330639999998</v>
      </c>
      <c r="V626">
        <f ca="1">IFERROR(IF(0=LEN(ReferenceData!$V$626),"",ReferenceData!$V$626),"")</f>
        <v>-5.8619169099999997</v>
      </c>
      <c r="W626">
        <f ca="1">IFERROR(IF(0=LEN(ReferenceData!$W$626),"",ReferenceData!$W$626),"")</f>
        <v>-12.446802549999999</v>
      </c>
      <c r="X626">
        <f ca="1">IFERROR(IF(0=LEN(ReferenceData!$X$626),"",ReferenceData!$X$626),"")</f>
        <v>-8.798972805</v>
      </c>
      <c r="Y626">
        <f ca="1">IFERROR(IF(0=LEN(ReferenceData!$Y$626),"",ReferenceData!$Y$626),"")</f>
        <v>-8.0927965180000001</v>
      </c>
      <c r="Z626">
        <f ca="1">IFERROR(IF(0=LEN(ReferenceData!$Z$626),"",ReferenceData!$Z$626),"")</f>
        <v>-6.0093850250000003</v>
      </c>
      <c r="AA626">
        <f ca="1">IFERROR(IF(0=LEN(ReferenceData!$AA$626),"",ReferenceData!$AA$626),"")</f>
        <v>-5.5497062359999996</v>
      </c>
      <c r="AB626">
        <f ca="1">IFERROR(IF(0=LEN(ReferenceData!$AB$626),"",ReferenceData!$AB$626),"")</f>
        <v>-2.7933445639999999</v>
      </c>
      <c r="AC626">
        <f ca="1">IFERROR(IF(0=LEN(ReferenceData!$AC$626),"",ReferenceData!$AC$626),"")</f>
        <v>-3.7958327820000002</v>
      </c>
      <c r="AD626">
        <f ca="1">IFERROR(IF(0=LEN(ReferenceData!$AD$626),"",ReferenceData!$AD$626),"")</f>
        <v>-4.6921703199999998</v>
      </c>
      <c r="AE626">
        <f ca="1">IFERROR(IF(0=LEN(ReferenceData!$AE$626),"",ReferenceData!$AE$626),"")</f>
        <v>8.6771201000000006E-2</v>
      </c>
      <c r="AF626">
        <f ca="1">IFERROR(IF(0=LEN(ReferenceData!$AF$626),"",ReferenceData!$AF$626),"")</f>
        <v>-4.2968213510000002</v>
      </c>
      <c r="AG626">
        <f ca="1">IFERROR(IF(0=LEN(ReferenceData!$AG$626),"",ReferenceData!$AG$626),"")</f>
        <v>-4.2343746170000003</v>
      </c>
      <c r="AH626" t="str">
        <f ca="1">IFERROR(IF(0=LEN(ReferenceData!$AH$626),"",ReferenceData!$AH$626),"")</f>
        <v/>
      </c>
      <c r="AI626" t="str">
        <f ca="1">IFERROR(IF(0=LEN(ReferenceData!$AI$626),"",ReferenceData!$AI$626),"")</f>
        <v/>
      </c>
      <c r="AJ626" t="str">
        <f ca="1">IFERROR(IF(0=LEN(ReferenceData!$AJ$626),"",ReferenceData!$AJ$626),"")</f>
        <v/>
      </c>
      <c r="AK626" t="str">
        <f ca="1">IFERROR(IF(0=LEN(ReferenceData!$AK$626),"",ReferenceData!$AK$626),"")</f>
        <v/>
      </c>
      <c r="AL626" t="str">
        <f ca="1">IFERROR(IF(0=LEN(ReferenceData!$AL$626),"",ReferenceData!$AL$626),"")</f>
        <v/>
      </c>
      <c r="AM626" t="str">
        <f ca="1">IFERROR(IF(0=LEN(ReferenceData!$AM$626),"",ReferenceData!$AM$626),"")</f>
        <v/>
      </c>
      <c r="AN626" t="str">
        <f ca="1">IFERROR(IF(0=LEN(ReferenceData!$AN$626),"",ReferenceData!$AN$626),"")</f>
        <v/>
      </c>
      <c r="AO626" t="str">
        <f ca="1">IFERROR(IF(0=LEN(ReferenceData!$AO$626),"",ReferenceData!$AO$626),"")</f>
        <v/>
      </c>
      <c r="AP626" t="str">
        <f ca="1">IFERROR(IF(0=LEN(ReferenceData!$AP$626),"",ReferenceData!$AP$626),"")</f>
        <v/>
      </c>
      <c r="AQ626" t="str">
        <f ca="1">IFERROR(IF(0=LEN(ReferenceData!$AQ$626),"",ReferenceData!$AQ$626),"")</f>
        <v/>
      </c>
      <c r="AR626" t="str">
        <f ca="1">IFERROR(IF(0=LEN(ReferenceData!$AR$626),"",ReferenceData!$AR$626),"")</f>
        <v/>
      </c>
      <c r="AS626" t="str">
        <f ca="1">IFERROR(IF(0=LEN(ReferenceData!$AS$626),"",ReferenceData!$AS$626),"")</f>
        <v/>
      </c>
      <c r="AT626" t="str">
        <f ca="1">IFERROR(IF(0=LEN(ReferenceData!$AT$626),"",ReferenceData!$AT$626),"")</f>
        <v/>
      </c>
      <c r="AU626" t="str">
        <f ca="1">IFERROR(IF(0=LEN(ReferenceData!$AU$626),"",ReferenceData!$AU$626),"")</f>
        <v/>
      </c>
      <c r="AV626" t="str">
        <f ca="1">IFERROR(IF(0=LEN(ReferenceData!$AV$626),"",ReferenceData!$AV$626),"")</f>
        <v/>
      </c>
      <c r="AW626" t="str">
        <f ca="1">IFERROR(IF(0=LEN(ReferenceData!$AW$626),"",ReferenceData!$AW$626),"")</f>
        <v/>
      </c>
      <c r="AX626" t="str">
        <f ca="1">IFERROR(IF(0=LEN(ReferenceData!$AX$626),"",ReferenceData!$AX$626),"")</f>
        <v/>
      </c>
      <c r="AY626" t="str">
        <f ca="1">IFERROR(IF(0=LEN(ReferenceData!$AY$626),"",ReferenceData!$AY$626),"")</f>
        <v/>
      </c>
      <c r="AZ626" t="str">
        <f ca="1">IFERROR(IF(0=LEN(ReferenceData!$AZ$626),"",ReferenceData!$AZ$626),"")</f>
        <v/>
      </c>
      <c r="BA626" t="str">
        <f ca="1">IFERROR(IF(0=LEN(ReferenceData!$BA$626),"",ReferenceData!$BA$626),"")</f>
        <v/>
      </c>
      <c r="BB626" t="str">
        <f ca="1">IFERROR(IF(0=LEN(ReferenceData!$BB$626),"",ReferenceData!$BB$626),"")</f>
        <v/>
      </c>
      <c r="BC626" t="str">
        <f ca="1">IFERROR(IF(0=LEN(ReferenceData!$BC$626),"",ReferenceData!$BC$626),"")</f>
        <v/>
      </c>
      <c r="BD626" t="str">
        <f ca="1">IFERROR(IF(0=LEN(ReferenceData!$BD$626),"",ReferenceData!$BD$626),"")</f>
        <v/>
      </c>
      <c r="BE626" t="str">
        <f ca="1">IFERROR(IF(0=LEN(ReferenceData!$BE$626),"",ReferenceData!$BE$626),"")</f>
        <v/>
      </c>
      <c r="BF626" t="str">
        <f ca="1">IFERROR(IF(0=LEN(ReferenceData!$BF$626),"",ReferenceData!$BF$626),"")</f>
        <v/>
      </c>
      <c r="BG626" t="str">
        <f ca="1">IFERROR(IF(0=LEN(ReferenceData!$BG$626),"",ReferenceData!$BG$626),"")</f>
        <v/>
      </c>
      <c r="BH626" t="str">
        <f ca="1">IFERROR(IF(0=LEN(ReferenceData!$BH$626),"",ReferenceData!$BH$626),"")</f>
        <v/>
      </c>
      <c r="BI626" t="str">
        <f ca="1">IFERROR(IF(0=LEN(ReferenceData!$BI$626),"",ReferenceData!$BI$626),"")</f>
        <v/>
      </c>
      <c r="BJ626" t="str">
        <f ca="1">IFERROR(IF(0=LEN(ReferenceData!$BJ$626),"",ReferenceData!$BJ$626),"")</f>
        <v/>
      </c>
      <c r="BK626" t="str">
        <f ca="1">IFERROR(IF(0=LEN(ReferenceData!$BK$626),"",ReferenceData!$BK$626),"")</f>
        <v/>
      </c>
      <c r="BL626" t="str">
        <f ca="1">IFERROR(IF(0=LEN(ReferenceData!$BL$626),"",ReferenceData!$BL$626),"")</f>
        <v/>
      </c>
      <c r="BM626" t="str">
        <f ca="1">IFERROR(IF(0=LEN(ReferenceData!$BM$626),"",ReferenceData!$BM$626),"")</f>
        <v/>
      </c>
    </row>
    <row r="627" spans="1:65" x14ac:dyDescent="0.25">
      <c r="A627" t="str">
        <f>IFERROR(IF(0=LEN(ReferenceData!$A$627),"",ReferenceData!$A$627),"")</f>
        <v xml:space="preserve">    Chongqing Changan Automobile Co Ltd</v>
      </c>
      <c r="B627" t="str">
        <f>IFERROR(IF(0=LEN(ReferenceData!$B$627),"",ReferenceData!$B$627),"")</f>
        <v>200625 CH Equity</v>
      </c>
      <c r="C627" t="str">
        <f>IFERROR(IF(0=LEN(ReferenceData!$C$627),"",ReferenceData!$C$627),"")</f>
        <v>RX539</v>
      </c>
      <c r="D627" t="str">
        <f>IFERROR(IF(0=LEN(ReferenceData!$D$627),"",ReferenceData!$D$627),"")</f>
        <v>T12_FCF_YIELD</v>
      </c>
      <c r="E627" t="str">
        <f>IFERROR(IF(0=LEN(ReferenceData!$E$627),"",ReferenceData!$E$627),"")</f>
        <v>Dynamic</v>
      </c>
      <c r="F627">
        <f ca="1">IFERROR(IF(0=LEN(ReferenceData!$F$627),"",ReferenceData!$F$627),"")</f>
        <v>-11.61778808</v>
      </c>
      <c r="G627">
        <f ca="1">IFERROR(IF(0=LEN(ReferenceData!$G$627),"",ReferenceData!$G$627),"")</f>
        <v>-15.163579629999999</v>
      </c>
      <c r="H627">
        <f ca="1">IFERROR(IF(0=LEN(ReferenceData!$H$627),"",ReferenceData!$H$627),"")</f>
        <v>-12.925343229999999</v>
      </c>
      <c r="I627">
        <f ca="1">IFERROR(IF(0=LEN(ReferenceData!$I$627),"",ReferenceData!$I$627),"")</f>
        <v>-5.3474836039999998</v>
      </c>
      <c r="J627">
        <f ca="1">IFERROR(IF(0=LEN(ReferenceData!$J$627),"",ReferenceData!$J$627),"")</f>
        <v>2.5341954769999999</v>
      </c>
      <c r="K627">
        <f ca="1">IFERROR(IF(0=LEN(ReferenceData!$K$627),"",ReferenceData!$K$627),"")</f>
        <v>7.0648577919999997</v>
      </c>
      <c r="L627">
        <f ca="1">IFERROR(IF(0=LEN(ReferenceData!$L$627),"",ReferenceData!$L$627),"")</f>
        <v>4.9220353399999999</v>
      </c>
      <c r="M627">
        <f ca="1">IFERROR(IF(0=LEN(ReferenceData!$M$627),"",ReferenceData!$M$627),"")</f>
        <v>13.513281190000001</v>
      </c>
      <c r="N627">
        <f ca="1">IFERROR(IF(0=LEN(ReferenceData!$N$627),"",ReferenceData!$N$627),"")</f>
        <v>14.77811597</v>
      </c>
      <c r="O627">
        <f ca="1">IFERROR(IF(0=LEN(ReferenceData!$O$627),"",ReferenceData!$O$627),"")</f>
        <v>10.88525141</v>
      </c>
      <c r="P627">
        <f ca="1">IFERROR(IF(0=LEN(ReferenceData!$P$627),"",ReferenceData!$P$627),"")</f>
        <v>12.206115349999999</v>
      </c>
      <c r="Q627">
        <f ca="1">IFERROR(IF(0=LEN(ReferenceData!$Q$627),"",ReferenceData!$Q$627),"")</f>
        <v>19.580358449999999</v>
      </c>
      <c r="R627">
        <f ca="1">IFERROR(IF(0=LEN(ReferenceData!$R$627),"",ReferenceData!$R$627),"")</f>
        <v>12.77002471</v>
      </c>
      <c r="S627">
        <f ca="1">IFERROR(IF(0=LEN(ReferenceData!$S$627),"",ReferenceData!$S$627),"")</f>
        <v>13.86699716</v>
      </c>
      <c r="T627">
        <f ca="1">IFERROR(IF(0=LEN(ReferenceData!$T$627),"",ReferenceData!$T$627),"")</f>
        <v>18.01955083</v>
      </c>
      <c r="U627">
        <f ca="1">IFERROR(IF(0=LEN(ReferenceData!$U$627),"",ReferenceData!$U$627),"")</f>
        <v>8.102823248</v>
      </c>
      <c r="V627">
        <f ca="1">IFERROR(IF(0=LEN(ReferenceData!$V$627),"",ReferenceData!$V$627),"")</f>
        <v>12.51665609</v>
      </c>
      <c r="W627">
        <f ca="1">IFERROR(IF(0=LEN(ReferenceData!$W$627),"",ReferenceData!$W$627),"")</f>
        <v>12.13359625</v>
      </c>
      <c r="X627">
        <f ca="1">IFERROR(IF(0=LEN(ReferenceData!$X$627),"",ReferenceData!$X$627),"")</f>
        <v>9.2824479330000003</v>
      </c>
      <c r="Y627">
        <f ca="1">IFERROR(IF(0=LEN(ReferenceData!$Y$627),"",ReferenceData!$Y$627),"")</f>
        <v>5.9141908399999998</v>
      </c>
      <c r="Z627">
        <f ca="1">IFERROR(IF(0=LEN(ReferenceData!$Z$627),"",ReferenceData!$Z$627),"")</f>
        <v>-1.43922979</v>
      </c>
      <c r="AA627">
        <f ca="1">IFERROR(IF(0=LEN(ReferenceData!$AA$627),"",ReferenceData!$AA$627),"")</f>
        <v>0.67100821300000002</v>
      </c>
      <c r="AB627">
        <f ca="1">IFERROR(IF(0=LEN(ReferenceData!$AB$627),"",ReferenceData!$AB$627),"")</f>
        <v>4.535199779</v>
      </c>
      <c r="AC627">
        <f ca="1">IFERROR(IF(0=LEN(ReferenceData!$AC$627),"",ReferenceData!$AC$627),"")</f>
        <v>7.2224801230000004</v>
      </c>
      <c r="AD627">
        <f ca="1">IFERROR(IF(0=LEN(ReferenceData!$AD$627),"",ReferenceData!$AD$627),"")</f>
        <v>-2.8705284000000001E-2</v>
      </c>
      <c r="AE627">
        <f ca="1">IFERROR(IF(0=LEN(ReferenceData!$AE$627),"",ReferenceData!$AE$627),"")</f>
        <v>-9.3391907019999998</v>
      </c>
      <c r="AF627">
        <f ca="1">IFERROR(IF(0=LEN(ReferenceData!$AF$627),"",ReferenceData!$AF$627),"")</f>
        <v>-29.716539610000002</v>
      </c>
      <c r="AG627">
        <f ca="1">IFERROR(IF(0=LEN(ReferenceData!$AG$627),"",ReferenceData!$AG$627),"")</f>
        <v>-31.427280589999999</v>
      </c>
      <c r="AH627">
        <f ca="1">IFERROR(IF(0=LEN(ReferenceData!$AH$627),"",ReferenceData!$AH$627),"")</f>
        <v>-32.073050719999998</v>
      </c>
      <c r="AI627">
        <f ca="1">IFERROR(IF(0=LEN(ReferenceData!$AI$627),"",ReferenceData!$AI$627),"")</f>
        <v>-23.266568490000001</v>
      </c>
      <c r="AJ627">
        <f ca="1">IFERROR(IF(0=LEN(ReferenceData!$AJ$627),"",ReferenceData!$AJ$627),"")</f>
        <v>-12.725266059999999</v>
      </c>
      <c r="AK627">
        <f ca="1">IFERROR(IF(0=LEN(ReferenceData!$AK$627),"",ReferenceData!$AK$627),"")</f>
        <v>-2.2260479110000002</v>
      </c>
      <c r="AL627">
        <f ca="1">IFERROR(IF(0=LEN(ReferenceData!$AL$627),"",ReferenceData!$AL$627),"")</f>
        <v>10.20453416</v>
      </c>
      <c r="AM627">
        <f ca="1">IFERROR(IF(0=LEN(ReferenceData!$AM$627),"",ReferenceData!$AM$627),"")</f>
        <v>8.6809416210000006</v>
      </c>
      <c r="AN627">
        <f ca="1">IFERROR(IF(0=LEN(ReferenceData!$AN$627),"",ReferenceData!$AN$627),"")</f>
        <v>13.94713937</v>
      </c>
      <c r="AO627">
        <f ca="1">IFERROR(IF(0=LEN(ReferenceData!$AO$627),"",ReferenceData!$AO$627),"")</f>
        <v>19.921335670000001</v>
      </c>
      <c r="AP627">
        <f ca="1">IFERROR(IF(0=LEN(ReferenceData!$AP$627),"",ReferenceData!$AP$627),"")</f>
        <v>7.391398336</v>
      </c>
      <c r="AQ627">
        <f ca="1">IFERROR(IF(0=LEN(ReferenceData!$AQ$627),"",ReferenceData!$AQ$627),"")</f>
        <v>7.4181015769999998</v>
      </c>
      <c r="AR627">
        <f ca="1">IFERROR(IF(0=LEN(ReferenceData!$AR$627),"",ReferenceData!$AR$627),"")</f>
        <v>11.423493880000001</v>
      </c>
      <c r="AS627">
        <f ca="1">IFERROR(IF(0=LEN(ReferenceData!$AS$627),"",ReferenceData!$AS$627),"")</f>
        <v>8.1575125760000002</v>
      </c>
      <c r="AT627">
        <f ca="1">IFERROR(IF(0=LEN(ReferenceData!$AT$627),"",ReferenceData!$AT$627),"")</f>
        <v>8.3344141730000008</v>
      </c>
      <c r="AU627">
        <f ca="1">IFERROR(IF(0=LEN(ReferenceData!$AU$627),"",ReferenceData!$AU$627),"")</f>
        <v>3.2352718239999998</v>
      </c>
      <c r="AV627">
        <f ca="1">IFERROR(IF(0=LEN(ReferenceData!$AV$627),"",ReferenceData!$AV$627),"")</f>
        <v>2.970130519</v>
      </c>
      <c r="AW627">
        <f ca="1">IFERROR(IF(0=LEN(ReferenceData!$AW$627),"",ReferenceData!$AW$627),"")</f>
        <v>-2.9243739579999999</v>
      </c>
      <c r="AX627">
        <f ca="1">IFERROR(IF(0=LEN(ReferenceData!$AX$627),"",ReferenceData!$AX$627),"")</f>
        <v>5.4602369999999997E-3</v>
      </c>
      <c r="AY627">
        <f ca="1">IFERROR(IF(0=LEN(ReferenceData!$AY$627),"",ReferenceData!$AY$627),"")</f>
        <v>2.682286516</v>
      </c>
      <c r="AZ627">
        <f ca="1">IFERROR(IF(0=LEN(ReferenceData!$AZ$627),"",ReferenceData!$AZ$627),"")</f>
        <v>4.2394636920000002</v>
      </c>
      <c r="BA627">
        <f ca="1">IFERROR(IF(0=LEN(ReferenceData!$BA$627),"",ReferenceData!$BA$627),"")</f>
        <v>7.8056621320000001</v>
      </c>
      <c r="BB627">
        <f ca="1">IFERROR(IF(0=LEN(ReferenceData!$BB$627),"",ReferenceData!$BB$627),"")</f>
        <v>0.84485552500000005</v>
      </c>
      <c r="BC627">
        <f ca="1">IFERROR(IF(0=LEN(ReferenceData!$BC$627),"",ReferenceData!$BC$627),"")</f>
        <v>-5.8431381389999997</v>
      </c>
      <c r="BD627">
        <f ca="1">IFERROR(IF(0=LEN(ReferenceData!$BD$627),"",ReferenceData!$BD$627),"")</f>
        <v>-13.882986470000001</v>
      </c>
      <c r="BE627">
        <f ca="1">IFERROR(IF(0=LEN(ReferenceData!$BE$627),"",ReferenceData!$BE$627),"")</f>
        <v>-19.974951189999999</v>
      </c>
      <c r="BF627">
        <f ca="1">IFERROR(IF(0=LEN(ReferenceData!$BF$627),"",ReferenceData!$BF$627),"")</f>
        <v>-23.775617409999999</v>
      </c>
      <c r="BG627">
        <f ca="1">IFERROR(IF(0=LEN(ReferenceData!$BG$627),"",ReferenceData!$BG$627),"")</f>
        <v>-8.7536936030000003</v>
      </c>
      <c r="BH627">
        <f ca="1">IFERROR(IF(0=LEN(ReferenceData!$BH$627),"",ReferenceData!$BH$627),"")</f>
        <v>-8.7251871950000002</v>
      </c>
      <c r="BI627" t="str">
        <f ca="1">IFERROR(IF(0=LEN(ReferenceData!$BI$627),"",ReferenceData!$BI$627),"")</f>
        <v/>
      </c>
      <c r="BJ627" t="str">
        <f ca="1">IFERROR(IF(0=LEN(ReferenceData!$BJ$627),"",ReferenceData!$BJ$627),"")</f>
        <v/>
      </c>
      <c r="BK627" t="str">
        <f ca="1">IFERROR(IF(0=LEN(ReferenceData!$BK$627),"",ReferenceData!$BK$627),"")</f>
        <v/>
      </c>
      <c r="BL627" t="str">
        <f ca="1">IFERROR(IF(0=LEN(ReferenceData!$BL$627),"",ReferenceData!$BL$627),"")</f>
        <v/>
      </c>
      <c r="BM627" t="str">
        <f ca="1">IFERROR(IF(0=LEN(ReferenceData!$BM$627),"",ReferenceData!$BM$627),"")</f>
        <v/>
      </c>
    </row>
    <row r="628" spans="1:65" x14ac:dyDescent="0.25">
      <c r="A628" t="str">
        <f>IFERROR(IF(0=LEN(ReferenceData!$A$628),"",ReferenceData!$A$628),"")</f>
        <v xml:space="preserve">    Daihatsu Motor Co Ltd</v>
      </c>
      <c r="B628" t="str">
        <f>IFERROR(IF(0=LEN(ReferenceData!$B$628),"",ReferenceData!$B$628),"")</f>
        <v>7262 JP Equity</v>
      </c>
      <c r="C628" t="str">
        <f>IFERROR(IF(0=LEN(ReferenceData!$C$628),"",ReferenceData!$C$628),"")</f>
        <v>RX539</v>
      </c>
      <c r="D628" t="str">
        <f>IFERROR(IF(0=LEN(ReferenceData!$D$628),"",ReferenceData!$D$628),"")</f>
        <v>T12_FCF_YIELD</v>
      </c>
      <c r="E628" t="str">
        <f>IFERROR(IF(0=LEN(ReferenceData!$E$628),"",ReferenceData!$E$628),"")</f>
        <v>Dynamic</v>
      </c>
      <c r="F628" t="str">
        <f ca="1">IFERROR(IF(0=LEN(ReferenceData!$F$628),"",ReferenceData!$F$628),"")</f>
        <v/>
      </c>
      <c r="G628" t="str">
        <f ca="1">IFERROR(IF(0=LEN(ReferenceData!$G$628),"",ReferenceData!$G$628),"")</f>
        <v/>
      </c>
      <c r="H628" t="str">
        <f ca="1">IFERROR(IF(0=LEN(ReferenceData!$H$628),"",ReferenceData!$H$628),"")</f>
        <v/>
      </c>
      <c r="I628" t="str">
        <f ca="1">IFERROR(IF(0=LEN(ReferenceData!$I$628),"",ReferenceData!$I$628),"")</f>
        <v/>
      </c>
      <c r="J628" t="str">
        <f ca="1">IFERROR(IF(0=LEN(ReferenceData!$J$628),"",ReferenceData!$J$628),"")</f>
        <v/>
      </c>
      <c r="K628" t="str">
        <f ca="1">IFERROR(IF(0=LEN(ReferenceData!$K$628),"",ReferenceData!$K$628),"")</f>
        <v/>
      </c>
      <c r="L628" t="str">
        <f ca="1">IFERROR(IF(0=LEN(ReferenceData!$L$628),"",ReferenceData!$L$628),"")</f>
        <v/>
      </c>
      <c r="M628" t="str">
        <f ca="1">IFERROR(IF(0=LEN(ReferenceData!$M$628),"",ReferenceData!$M$628),"")</f>
        <v/>
      </c>
      <c r="N628" t="str">
        <f ca="1">IFERROR(IF(0=LEN(ReferenceData!$N$628),"",ReferenceData!$N$628),"")</f>
        <v/>
      </c>
      <c r="O628" t="str">
        <f ca="1">IFERROR(IF(0=LEN(ReferenceData!$O$628),"",ReferenceData!$O$628),"")</f>
        <v/>
      </c>
      <c r="P628" t="str">
        <f ca="1">IFERROR(IF(0=LEN(ReferenceData!$P$628),"",ReferenceData!$P$628),"")</f>
        <v/>
      </c>
      <c r="Q628" t="str">
        <f ca="1">IFERROR(IF(0=LEN(ReferenceData!$Q$628),"",ReferenceData!$Q$628),"")</f>
        <v/>
      </c>
      <c r="R628" t="str">
        <f ca="1">IFERROR(IF(0=LEN(ReferenceData!$R$628),"",ReferenceData!$R$628),"")</f>
        <v/>
      </c>
      <c r="S628" t="str">
        <f ca="1">IFERROR(IF(0=LEN(ReferenceData!$S$628),"",ReferenceData!$S$628),"")</f>
        <v/>
      </c>
      <c r="T628" t="str">
        <f ca="1">IFERROR(IF(0=LEN(ReferenceData!$T$628),"",ReferenceData!$T$628),"")</f>
        <v/>
      </c>
      <c r="U628" t="str">
        <f ca="1">IFERROR(IF(0=LEN(ReferenceData!$U$628),"",ReferenceData!$U$628),"")</f>
        <v/>
      </c>
      <c r="V628" t="str">
        <f ca="1">IFERROR(IF(0=LEN(ReferenceData!$V$628),"",ReferenceData!$V$628),"")</f>
        <v/>
      </c>
      <c r="W628" t="str">
        <f ca="1">IFERROR(IF(0=LEN(ReferenceData!$W$628),"",ReferenceData!$W$628),"")</f>
        <v/>
      </c>
      <c r="X628" t="str">
        <f ca="1">IFERROR(IF(0=LEN(ReferenceData!$X$628),"",ReferenceData!$X$628),"")</f>
        <v/>
      </c>
      <c r="Y628" t="str">
        <f ca="1">IFERROR(IF(0=LEN(ReferenceData!$Y$628),"",ReferenceData!$Y$628),"")</f>
        <v/>
      </c>
      <c r="Z628" t="str">
        <f ca="1">IFERROR(IF(0=LEN(ReferenceData!$Z$628),"",ReferenceData!$Z$628),"")</f>
        <v/>
      </c>
      <c r="AA628" t="str">
        <f ca="1">IFERROR(IF(0=LEN(ReferenceData!$AA$628),"",ReferenceData!$AA$628),"")</f>
        <v/>
      </c>
      <c r="AB628" t="str">
        <f ca="1">IFERROR(IF(0=LEN(ReferenceData!$AB$628),"",ReferenceData!$AB$628),"")</f>
        <v/>
      </c>
      <c r="AC628" t="str">
        <f ca="1">IFERROR(IF(0=LEN(ReferenceData!$AC$628),"",ReferenceData!$AC$628),"")</f>
        <v/>
      </c>
      <c r="AD628" t="str">
        <f ca="1">IFERROR(IF(0=LEN(ReferenceData!$AD$628),"",ReferenceData!$AD$628),"")</f>
        <v/>
      </c>
      <c r="AE628" t="str">
        <f ca="1">IFERROR(IF(0=LEN(ReferenceData!$AE$628),"",ReferenceData!$AE$628),"")</f>
        <v/>
      </c>
      <c r="AF628" t="str">
        <f ca="1">IFERROR(IF(0=LEN(ReferenceData!$AF$628),"",ReferenceData!$AF$628),"")</f>
        <v/>
      </c>
      <c r="AG628" t="str">
        <f ca="1">IFERROR(IF(0=LEN(ReferenceData!$AG$628),"",ReferenceData!$AG$628),"")</f>
        <v/>
      </c>
      <c r="AH628" t="str">
        <f ca="1">IFERROR(IF(0=LEN(ReferenceData!$AH$628),"",ReferenceData!$AH$628),"")</f>
        <v/>
      </c>
      <c r="AI628" t="str">
        <f ca="1">IFERROR(IF(0=LEN(ReferenceData!$AI$628),"",ReferenceData!$AI$628),"")</f>
        <v/>
      </c>
      <c r="AJ628" t="str">
        <f ca="1">IFERROR(IF(0=LEN(ReferenceData!$AJ$628),"",ReferenceData!$AJ$628),"")</f>
        <v/>
      </c>
      <c r="AK628">
        <f ca="1">IFERROR(IF(0=LEN(ReferenceData!$AK$628),"",ReferenceData!$AK$628),"")</f>
        <v>18.24812142</v>
      </c>
      <c r="AL628">
        <f ca="1">IFERROR(IF(0=LEN(ReferenceData!$AL$628),"",ReferenceData!$AL$628),"")</f>
        <v>20.220484379999998</v>
      </c>
      <c r="AM628">
        <f ca="1">IFERROR(IF(0=LEN(ReferenceData!$AM$628),"",ReferenceData!$AM$628),"")</f>
        <v>24.338436380000001</v>
      </c>
      <c r="AN628">
        <f ca="1">IFERROR(IF(0=LEN(ReferenceData!$AN$628),"",ReferenceData!$AN$628),"")</f>
        <v>33.246741800000002</v>
      </c>
      <c r="AO628">
        <f ca="1">IFERROR(IF(0=LEN(ReferenceData!$AO$628),"",ReferenceData!$AO$628),"")</f>
        <v>38.700232919999998</v>
      </c>
      <c r="AP628">
        <f ca="1">IFERROR(IF(0=LEN(ReferenceData!$AP$628),"",ReferenceData!$AP$628),"")</f>
        <v>22.275133950000001</v>
      </c>
      <c r="AQ628">
        <f ca="1">IFERROR(IF(0=LEN(ReferenceData!$AQ$628),"",ReferenceData!$AQ$628),"")</f>
        <v>6.4772786440000001</v>
      </c>
      <c r="AR628">
        <f ca="1">IFERROR(IF(0=LEN(ReferenceData!$AR$628),"",ReferenceData!$AR$628),"")</f>
        <v>-5.5258002270000004</v>
      </c>
      <c r="AS628">
        <f ca="1">IFERROR(IF(0=LEN(ReferenceData!$AS$628),"",ReferenceData!$AS$628),"")</f>
        <v>-6.6926264919999996</v>
      </c>
      <c r="AT628">
        <f ca="1">IFERROR(IF(0=LEN(ReferenceData!$AT$628),"",ReferenceData!$AT$628),"")</f>
        <v>-3.3803452279999999</v>
      </c>
      <c r="AU628">
        <f ca="1">IFERROR(IF(0=LEN(ReferenceData!$AU$628),"",ReferenceData!$AU$628),"")</f>
        <v>2.321810411</v>
      </c>
      <c r="AV628">
        <f ca="1">IFERROR(IF(0=LEN(ReferenceData!$AV$628),"",ReferenceData!$AV$628),"")</f>
        <v>-2.8306486139999998</v>
      </c>
      <c r="AW628">
        <f ca="1">IFERROR(IF(0=LEN(ReferenceData!$AW$628),"",ReferenceData!$AW$628),"")</f>
        <v>-2.6400629709999999</v>
      </c>
      <c r="AX628">
        <f ca="1">IFERROR(IF(0=LEN(ReferenceData!$AX$628),"",ReferenceData!$AX$628),"")</f>
        <v>-4.2384963850000004</v>
      </c>
      <c r="AY628">
        <f ca="1">IFERROR(IF(0=LEN(ReferenceData!$AY$628),"",ReferenceData!$AY$628),"")</f>
        <v>-1.973686007</v>
      </c>
      <c r="AZ628">
        <f ca="1">IFERROR(IF(0=LEN(ReferenceData!$AZ$628),"",ReferenceData!$AZ$628),"")</f>
        <v>-1.3407705750000001</v>
      </c>
      <c r="BA628">
        <f ca="1">IFERROR(IF(0=LEN(ReferenceData!$BA$628),"",ReferenceData!$BA$628),"")</f>
        <v>2.1889614540000002</v>
      </c>
      <c r="BB628">
        <f ca="1">IFERROR(IF(0=LEN(ReferenceData!$BB$628),"",ReferenceData!$BB$628),"")</f>
        <v>1.5577006870000001</v>
      </c>
      <c r="BC628">
        <f ca="1">IFERROR(IF(0=LEN(ReferenceData!$BC$628),"",ReferenceData!$BC$628),"")</f>
        <v>-0.86378527999999999</v>
      </c>
      <c r="BD628">
        <f ca="1">IFERROR(IF(0=LEN(ReferenceData!$BD$628),"",ReferenceData!$BD$628),"")</f>
        <v>-0.69890850900000001</v>
      </c>
      <c r="BE628">
        <f ca="1">IFERROR(IF(0=LEN(ReferenceData!$BE$628),"",ReferenceData!$BE$628),"")</f>
        <v>-6.0276736260000003</v>
      </c>
      <c r="BF628">
        <f ca="1">IFERROR(IF(0=LEN(ReferenceData!$BF$628),"",ReferenceData!$BF$628),"")</f>
        <v>-3.2297585889999998</v>
      </c>
      <c r="BG628">
        <f ca="1">IFERROR(IF(0=LEN(ReferenceData!$BG$628),"",ReferenceData!$BG$628),"")</f>
        <v>-1.9888655589999999</v>
      </c>
      <c r="BH628">
        <f ca="1">IFERROR(IF(0=LEN(ReferenceData!$BH$628),"",ReferenceData!$BH$628),"")</f>
        <v>2.1079357839999999</v>
      </c>
      <c r="BI628">
        <f ca="1">IFERROR(IF(0=LEN(ReferenceData!$BI$628),"",ReferenceData!$BI$628),"")</f>
        <v>6.8023616669999996</v>
      </c>
      <c r="BJ628">
        <f ca="1">IFERROR(IF(0=LEN(ReferenceData!$BJ$628),"",ReferenceData!$BJ$628),"")</f>
        <v>4.9273227469999998</v>
      </c>
      <c r="BK628" t="str">
        <f ca="1">IFERROR(IF(0=LEN(ReferenceData!$BK$628),"",ReferenceData!$BK$628),"")</f>
        <v/>
      </c>
      <c r="BL628" t="str">
        <f ca="1">IFERROR(IF(0=LEN(ReferenceData!$BL$628),"",ReferenceData!$BL$628),"")</f>
        <v/>
      </c>
      <c r="BM628" t="str">
        <f ca="1">IFERROR(IF(0=LEN(ReferenceData!$BM$628),"",ReferenceData!$BM$628),"")</f>
        <v/>
      </c>
    </row>
    <row r="629" spans="1:65" x14ac:dyDescent="0.25">
      <c r="A629" t="str">
        <f>IFERROR(IF(0=LEN(ReferenceData!$A$629),"",ReferenceData!$A$629),"")</f>
        <v xml:space="preserve">    Daimler AG</v>
      </c>
      <c r="B629" t="str">
        <f>IFERROR(IF(0=LEN(ReferenceData!$B$629),"",ReferenceData!$B$629),"")</f>
        <v>DAI GR Equity</v>
      </c>
      <c r="C629" t="str">
        <f>IFERROR(IF(0=LEN(ReferenceData!$C$629),"",ReferenceData!$C$629),"")</f>
        <v>RX539</v>
      </c>
      <c r="D629" t="str">
        <f>IFERROR(IF(0=LEN(ReferenceData!$D$629),"",ReferenceData!$D$629),"")</f>
        <v>T12_FCF_YIELD</v>
      </c>
      <c r="E629" t="str">
        <f>IFERROR(IF(0=LEN(ReferenceData!$E$629),"",ReferenceData!$E$629),"")</f>
        <v>Dynamic</v>
      </c>
      <c r="F629">
        <f ca="1">IFERROR(IF(0=LEN(ReferenceData!$F$629),"",ReferenceData!$F$629),"")</f>
        <v>-12.869197550000001</v>
      </c>
      <c r="G629">
        <f ca="1">IFERROR(IF(0=LEN(ReferenceData!$G$629),"",ReferenceData!$G$629),"")</f>
        <v>-14.64077953</v>
      </c>
      <c r="H629">
        <f ca="1">IFERROR(IF(0=LEN(ReferenceData!$H$629),"",ReferenceData!$H$629),"")</f>
        <v>-23.761512509999999</v>
      </c>
      <c r="I629">
        <f ca="1">IFERROR(IF(0=LEN(ReferenceData!$I$629),"",ReferenceData!$I$629),"")</f>
        <v>-17.195619180000001</v>
      </c>
      <c r="J629">
        <f ca="1">IFERROR(IF(0=LEN(ReferenceData!$J$629),"",ReferenceData!$J$629),"")</f>
        <v>-13.07527851</v>
      </c>
      <c r="K629">
        <f ca="1">IFERROR(IF(0=LEN(ReferenceData!$K$629),"",ReferenceData!$K$629),"")</f>
        <v>-11.084634489999999</v>
      </c>
      <c r="L629">
        <f ca="1">IFERROR(IF(0=LEN(ReferenceData!$L$629),"",ReferenceData!$L$629),"")</f>
        <v>-2.8857825319999999</v>
      </c>
      <c r="M629">
        <f ca="1">IFERROR(IF(0=LEN(ReferenceData!$M$629),"",ReferenceData!$M$629),"")</f>
        <v>-3.7271099009999999</v>
      </c>
      <c r="N629">
        <f ca="1">IFERROR(IF(0=LEN(ReferenceData!$N$629),"",ReferenceData!$N$629),"")</f>
        <v>-2.079413685</v>
      </c>
      <c r="O629">
        <f ca="1">IFERROR(IF(0=LEN(ReferenceData!$O$629),"",ReferenceData!$O$629),"")</f>
        <v>-2.878709535</v>
      </c>
      <c r="P629">
        <f ca="1">IFERROR(IF(0=LEN(ReferenceData!$P$629),"",ReferenceData!$P$629),"")</f>
        <v>-5.3269875600000001</v>
      </c>
      <c r="Q629">
        <f ca="1">IFERROR(IF(0=LEN(ReferenceData!$Q$629),"",ReferenceData!$Q$629),"")</f>
        <v>-6.2592878970000001</v>
      </c>
      <c r="R629">
        <f ca="1">IFERROR(IF(0=LEN(ReferenceData!$R$629),"",ReferenceData!$R$629),"")</f>
        <v>-7.7621005040000002</v>
      </c>
      <c r="S629">
        <f ca="1">IFERROR(IF(0=LEN(ReferenceData!$S$629),"",ReferenceData!$S$629),"")</f>
        <v>-5.8471298559999996</v>
      </c>
      <c r="T629">
        <f ca="1">IFERROR(IF(0=LEN(ReferenceData!$T$629),"",ReferenceData!$T$629),"")</f>
        <v>-11.31196179</v>
      </c>
      <c r="U629">
        <f ca="1">IFERROR(IF(0=LEN(ReferenceData!$U$629),"",ReferenceData!$U$629),"")</f>
        <v>-7.6709976820000003</v>
      </c>
      <c r="V629">
        <f ca="1">IFERROR(IF(0=LEN(ReferenceData!$V$629),"",ReferenceData!$V$629),"")</f>
        <v>-6.1615231030000004</v>
      </c>
      <c r="W629">
        <f ca="1">IFERROR(IF(0=LEN(ReferenceData!$W$629),"",ReferenceData!$W$629),"")</f>
        <v>-8.2914687750000002</v>
      </c>
      <c r="X629">
        <f ca="1">IFERROR(IF(0=LEN(ReferenceData!$X$629),"",ReferenceData!$X$629),"")</f>
        <v>-2.4958855120000001</v>
      </c>
      <c r="Y629">
        <f ca="1">IFERROR(IF(0=LEN(ReferenceData!$Y$629),"",ReferenceData!$Y$629),"")</f>
        <v>-2.2054611030000002</v>
      </c>
      <c r="Z629">
        <f ca="1">IFERROR(IF(0=LEN(ReferenceData!$Z$629),"",ReferenceData!$Z$629),"")</f>
        <v>-0.56513240499999995</v>
      </c>
      <c r="AA629">
        <f ca="1">IFERROR(IF(0=LEN(ReferenceData!$AA$629),"",ReferenceData!$AA$629),"")</f>
        <v>-2.5123563849999999</v>
      </c>
      <c r="AB629">
        <f ca="1">IFERROR(IF(0=LEN(ReferenceData!$AB$629),"",ReferenceData!$AB$629),"")</f>
        <v>-3.5658849589999999</v>
      </c>
      <c r="AC629">
        <f ca="1">IFERROR(IF(0=LEN(ReferenceData!$AC$629),"",ReferenceData!$AC$629),"")</f>
        <v>-8.3533332310000006</v>
      </c>
      <c r="AD629">
        <f ca="1">IFERROR(IF(0=LEN(ReferenceData!$AD$629),"",ReferenceData!$AD$629),"")</f>
        <v>-11.04452919</v>
      </c>
      <c r="AE629">
        <f ca="1">IFERROR(IF(0=LEN(ReferenceData!$AE$629),"",ReferenceData!$AE$629),"")</f>
        <v>-13.438253720000001</v>
      </c>
      <c r="AF629">
        <f ca="1">IFERROR(IF(0=LEN(ReferenceData!$AF$629),"",ReferenceData!$AF$629),"")</f>
        <v>-15.55604246</v>
      </c>
      <c r="AG629">
        <f ca="1">IFERROR(IF(0=LEN(ReferenceData!$AG$629),"",ReferenceData!$AG$629),"")</f>
        <v>-15.251496530000001</v>
      </c>
      <c r="AH629">
        <f ca="1">IFERROR(IF(0=LEN(ReferenceData!$AH$629),"",ReferenceData!$AH$629),"")</f>
        <v>-10.506461760000001</v>
      </c>
      <c r="AI629">
        <f ca="1">IFERROR(IF(0=LEN(ReferenceData!$AI$629),"",ReferenceData!$AI$629),"")</f>
        <v>-13.419940130000001</v>
      </c>
      <c r="AJ629">
        <f ca="1">IFERROR(IF(0=LEN(ReferenceData!$AJ$629),"",ReferenceData!$AJ$629),"")</f>
        <v>-9.7168703139999995</v>
      </c>
      <c r="AK629">
        <f ca="1">IFERROR(IF(0=LEN(ReferenceData!$AK$629),"",ReferenceData!$AK$629),"")</f>
        <v>0.46230863999999999</v>
      </c>
      <c r="AL629">
        <f ca="1">IFERROR(IF(0=LEN(ReferenceData!$AL$629),"",ReferenceData!$AL$629),"")</f>
        <v>4.4949163160000003</v>
      </c>
      <c r="AM629">
        <f ca="1">IFERROR(IF(0=LEN(ReferenceData!$AM$629),"",ReferenceData!$AM$629),"")</f>
        <v>9.0628766049999996</v>
      </c>
      <c r="AN629">
        <f ca="1">IFERROR(IF(0=LEN(ReferenceData!$AN$629),"",ReferenceData!$AN$629),"")</f>
        <v>13.5177288</v>
      </c>
      <c r="AO629">
        <f ca="1">IFERROR(IF(0=LEN(ReferenceData!$AO$629),"",ReferenceData!$AO$629),"")</f>
        <v>14.762031410000001</v>
      </c>
      <c r="AP629">
        <f ca="1">IFERROR(IF(0=LEN(ReferenceData!$AP$629),"",ReferenceData!$AP$629),"")</f>
        <v>21.36389235</v>
      </c>
      <c r="AQ629">
        <f ca="1">IFERROR(IF(0=LEN(ReferenceData!$AQ$629),"",ReferenceData!$AQ$629),"")</f>
        <v>21.611364049999999</v>
      </c>
      <c r="AR629">
        <f ca="1">IFERROR(IF(0=LEN(ReferenceData!$AR$629),"",ReferenceData!$AR$629),"")</f>
        <v>14.731576560000001</v>
      </c>
      <c r="AS629">
        <f ca="1">IFERROR(IF(0=LEN(ReferenceData!$AS$629),"",ReferenceData!$AS$629),"")</f>
        <v>10.50277299</v>
      </c>
      <c r="AT629">
        <f ca="1">IFERROR(IF(0=LEN(ReferenceData!$AT$629),"",ReferenceData!$AT$629),"")</f>
        <v>1.6801548900000001</v>
      </c>
      <c r="AU629">
        <f ca="1">IFERROR(IF(0=LEN(ReferenceData!$AU$629),"",ReferenceData!$AU$629),"")</f>
        <v>-1.3745607399999999</v>
      </c>
      <c r="AV629">
        <f ca="1">IFERROR(IF(0=LEN(ReferenceData!$AV$629),"",ReferenceData!$AV$629),"")</f>
        <v>5.7672086330000001</v>
      </c>
      <c r="AW629">
        <f ca="1">IFERROR(IF(0=LEN(ReferenceData!$AW$629),"",ReferenceData!$AW$629),"")</f>
        <v>6.2711082759999996</v>
      </c>
      <c r="AX629">
        <f ca="1">IFERROR(IF(0=LEN(ReferenceData!$AX$629),"",ReferenceData!$AX$629),"")</f>
        <v>5.8135306999999997E-2</v>
      </c>
      <c r="AY629">
        <f ca="1">IFERROR(IF(0=LEN(ReferenceData!$AY$629),"",ReferenceData!$AY$629),"")</f>
        <v>1.994205644</v>
      </c>
      <c r="AZ629">
        <f ca="1">IFERROR(IF(0=LEN(ReferenceData!$AZ$629),"",ReferenceData!$AZ$629),"")</f>
        <v>-0.24781104700000001</v>
      </c>
      <c r="BA629">
        <f ca="1">IFERROR(IF(0=LEN(ReferenceData!$BA$629),"",ReferenceData!$BA$629),"")</f>
        <v>-3.5885361100000002</v>
      </c>
      <c r="BB629">
        <f ca="1">IFERROR(IF(0=LEN(ReferenceData!$BB$629),"",ReferenceData!$BB$629),"")</f>
        <v>-5.6541099790000002</v>
      </c>
      <c r="BC629">
        <f ca="1">IFERROR(IF(0=LEN(ReferenceData!$BC$629),"",ReferenceData!$BC$629),"")</f>
        <v>-15.28105066</v>
      </c>
      <c r="BD629">
        <f ca="1">IFERROR(IF(0=LEN(ReferenceData!$BD$629),"",ReferenceData!$BD$629),"")</f>
        <v>-28.578291490000002</v>
      </c>
      <c r="BE629">
        <f ca="1">IFERROR(IF(0=LEN(ReferenceData!$BE$629),"",ReferenceData!$BE$629),"")</f>
        <v>-30.370426399999999</v>
      </c>
      <c r="BF629">
        <f ca="1">IFERROR(IF(0=LEN(ReferenceData!$BF$629),"",ReferenceData!$BF$629),"")</f>
        <v>-27.715434999999999</v>
      </c>
      <c r="BG629">
        <f ca="1">IFERROR(IF(0=LEN(ReferenceData!$BG$629),"",ReferenceData!$BG$629),"")</f>
        <v>-33.630780219999998</v>
      </c>
      <c r="BH629">
        <f ca="1">IFERROR(IF(0=LEN(ReferenceData!$BH$629),"",ReferenceData!$BH$629),"")</f>
        <v>-33.171439300000003</v>
      </c>
      <c r="BI629">
        <f ca="1">IFERROR(IF(0=LEN(ReferenceData!$BI$629),"",ReferenceData!$BI$629),"")</f>
        <v>-60.351059540000001</v>
      </c>
      <c r="BJ629">
        <f ca="1">IFERROR(IF(0=LEN(ReferenceData!$BJ$629),"",ReferenceData!$BJ$629),"")</f>
        <v>-55.367381999999999</v>
      </c>
      <c r="BK629">
        <f ca="1">IFERROR(IF(0=LEN(ReferenceData!$BK$629),"",ReferenceData!$BK$629),"")</f>
        <v>-50.632594730000001</v>
      </c>
      <c r="BL629">
        <f ca="1">IFERROR(IF(0=LEN(ReferenceData!$BL$629),"",ReferenceData!$BL$629),"")</f>
        <v>-46.247597900000002</v>
      </c>
      <c r="BM629">
        <f ca="1">IFERROR(IF(0=LEN(ReferenceData!$BM$629),"",ReferenceData!$BM$629),"")</f>
        <v>-26.339284660000001</v>
      </c>
    </row>
    <row r="630" spans="1:65" x14ac:dyDescent="0.25">
      <c r="A630" t="str">
        <f>IFERROR(IF(0=LEN(ReferenceData!$A$630),"",ReferenceData!$A$630),"")</f>
        <v xml:space="preserve">    Dongfeng Motor Group Co Ltd</v>
      </c>
      <c r="B630" t="str">
        <f>IFERROR(IF(0=LEN(ReferenceData!$B$630),"",ReferenceData!$B$630),"")</f>
        <v>489 HK Equity</v>
      </c>
      <c r="C630" t="str">
        <f>IFERROR(IF(0=LEN(ReferenceData!$C$630),"",ReferenceData!$C$630),"")</f>
        <v>RX539</v>
      </c>
      <c r="D630" t="str">
        <f>IFERROR(IF(0=LEN(ReferenceData!$D$630),"",ReferenceData!$D$630),"")</f>
        <v>T12_FCF_YIELD</v>
      </c>
      <c r="E630" t="str">
        <f>IFERROR(IF(0=LEN(ReferenceData!$E$630),"",ReferenceData!$E$630),"")</f>
        <v>Dynamic</v>
      </c>
      <c r="F630" t="str">
        <f ca="1">IFERROR(IF(0=LEN(ReferenceData!$F$630),"",ReferenceData!$F$630),"")</f>
        <v/>
      </c>
      <c r="G630" t="str">
        <f ca="1">IFERROR(IF(0=LEN(ReferenceData!$G$630),"",ReferenceData!$G$630),"")</f>
        <v/>
      </c>
      <c r="H630" t="str">
        <f ca="1">IFERROR(IF(0=LEN(ReferenceData!$H$630),"",ReferenceData!$H$630),"")</f>
        <v/>
      </c>
      <c r="I630" t="str">
        <f ca="1">IFERROR(IF(0=LEN(ReferenceData!$I$630),"",ReferenceData!$I$630),"")</f>
        <v/>
      </c>
      <c r="J630" t="str">
        <f ca="1">IFERROR(IF(0=LEN(ReferenceData!$J$630),"",ReferenceData!$J$630),"")</f>
        <v/>
      </c>
      <c r="K630" t="str">
        <f ca="1">IFERROR(IF(0=LEN(ReferenceData!$K$630),"",ReferenceData!$K$630),"")</f>
        <v/>
      </c>
      <c r="L630" t="str">
        <f ca="1">IFERROR(IF(0=LEN(ReferenceData!$L$630),"",ReferenceData!$L$630),"")</f>
        <v/>
      </c>
      <c r="M630" t="str">
        <f ca="1">IFERROR(IF(0=LEN(ReferenceData!$M$630),"",ReferenceData!$M$630),"")</f>
        <v/>
      </c>
      <c r="N630" t="str">
        <f ca="1">IFERROR(IF(0=LEN(ReferenceData!$N$630),"",ReferenceData!$N$630),"")</f>
        <v/>
      </c>
      <c r="O630" t="str">
        <f ca="1">IFERROR(IF(0=LEN(ReferenceData!$O$630),"",ReferenceData!$O$630),"")</f>
        <v/>
      </c>
      <c r="P630" t="str">
        <f ca="1">IFERROR(IF(0=LEN(ReferenceData!$P$630),"",ReferenceData!$P$630),"")</f>
        <v/>
      </c>
      <c r="Q630" t="str">
        <f ca="1">IFERROR(IF(0=LEN(ReferenceData!$Q$630),"",ReferenceData!$Q$630),"")</f>
        <v/>
      </c>
      <c r="R630" t="str">
        <f ca="1">IFERROR(IF(0=LEN(ReferenceData!$R$630),"",ReferenceData!$R$630),"")</f>
        <v/>
      </c>
      <c r="S630" t="str">
        <f ca="1">IFERROR(IF(0=LEN(ReferenceData!$S$630),"",ReferenceData!$S$630),"")</f>
        <v/>
      </c>
      <c r="T630" t="str">
        <f ca="1">IFERROR(IF(0=LEN(ReferenceData!$T$630),"",ReferenceData!$T$630),"")</f>
        <v/>
      </c>
      <c r="U630" t="str">
        <f ca="1">IFERROR(IF(0=LEN(ReferenceData!$U$630),"",ReferenceData!$U$630),"")</f>
        <v/>
      </c>
      <c r="V630" t="str">
        <f ca="1">IFERROR(IF(0=LEN(ReferenceData!$V$630),"",ReferenceData!$V$630),"")</f>
        <v/>
      </c>
      <c r="W630" t="str">
        <f ca="1">IFERROR(IF(0=LEN(ReferenceData!$W$630),"",ReferenceData!$W$630),"")</f>
        <v/>
      </c>
      <c r="X630" t="str">
        <f ca="1">IFERROR(IF(0=LEN(ReferenceData!$X$630),"",ReferenceData!$X$630),"")</f>
        <v/>
      </c>
      <c r="Y630" t="str">
        <f ca="1">IFERROR(IF(0=LEN(ReferenceData!$Y$630),"",ReferenceData!$Y$630),"")</f>
        <v/>
      </c>
      <c r="Z630" t="str">
        <f ca="1">IFERROR(IF(0=LEN(ReferenceData!$Z$630),"",ReferenceData!$Z$630),"")</f>
        <v/>
      </c>
      <c r="AA630" t="str">
        <f ca="1">IFERROR(IF(0=LEN(ReferenceData!$AA$630),"",ReferenceData!$AA$630),"")</f>
        <v/>
      </c>
      <c r="AB630" t="str">
        <f ca="1">IFERROR(IF(0=LEN(ReferenceData!$AB$630),"",ReferenceData!$AB$630),"")</f>
        <v/>
      </c>
      <c r="AC630" t="str">
        <f ca="1">IFERROR(IF(0=LEN(ReferenceData!$AC$630),"",ReferenceData!$AC$630),"")</f>
        <v/>
      </c>
      <c r="AD630" t="str">
        <f ca="1">IFERROR(IF(0=LEN(ReferenceData!$AD$630),"",ReferenceData!$AD$630),"")</f>
        <v/>
      </c>
      <c r="AE630" t="str">
        <f ca="1">IFERROR(IF(0=LEN(ReferenceData!$AE$630),"",ReferenceData!$AE$630),"")</f>
        <v/>
      </c>
      <c r="AF630" t="str">
        <f ca="1">IFERROR(IF(0=LEN(ReferenceData!$AF$630),"",ReferenceData!$AF$630),"")</f>
        <v/>
      </c>
      <c r="AG630" t="str">
        <f ca="1">IFERROR(IF(0=LEN(ReferenceData!$AG$630),"",ReferenceData!$AG$630),"")</f>
        <v/>
      </c>
      <c r="AH630" t="str">
        <f ca="1">IFERROR(IF(0=LEN(ReferenceData!$AH$630),"",ReferenceData!$AH$630),"")</f>
        <v/>
      </c>
      <c r="AI630" t="str">
        <f ca="1">IFERROR(IF(0=LEN(ReferenceData!$AI$630),"",ReferenceData!$AI$630),"")</f>
        <v/>
      </c>
      <c r="AJ630" t="str">
        <f ca="1">IFERROR(IF(0=LEN(ReferenceData!$AJ$630),"",ReferenceData!$AJ$630),"")</f>
        <v/>
      </c>
      <c r="AK630" t="str">
        <f ca="1">IFERROR(IF(0=LEN(ReferenceData!$AK$630),"",ReferenceData!$AK$630),"")</f>
        <v/>
      </c>
      <c r="AL630" t="str">
        <f ca="1">IFERROR(IF(0=LEN(ReferenceData!$AL$630),"",ReferenceData!$AL$630),"")</f>
        <v/>
      </c>
      <c r="AM630" t="str">
        <f ca="1">IFERROR(IF(0=LEN(ReferenceData!$AM$630),"",ReferenceData!$AM$630),"")</f>
        <v/>
      </c>
      <c r="AN630" t="str">
        <f ca="1">IFERROR(IF(0=LEN(ReferenceData!$AN$630),"",ReferenceData!$AN$630),"")</f>
        <v/>
      </c>
      <c r="AO630" t="str">
        <f ca="1">IFERROR(IF(0=LEN(ReferenceData!$AO$630),"",ReferenceData!$AO$630),"")</f>
        <v/>
      </c>
      <c r="AP630" t="str">
        <f ca="1">IFERROR(IF(0=LEN(ReferenceData!$AP$630),"",ReferenceData!$AP$630),"")</f>
        <v/>
      </c>
      <c r="AQ630" t="str">
        <f ca="1">IFERROR(IF(0=LEN(ReferenceData!$AQ$630),"",ReferenceData!$AQ$630),"")</f>
        <v/>
      </c>
      <c r="AR630" t="str">
        <f ca="1">IFERROR(IF(0=LEN(ReferenceData!$AR$630),"",ReferenceData!$AR$630),"")</f>
        <v/>
      </c>
      <c r="AS630" t="str">
        <f ca="1">IFERROR(IF(0=LEN(ReferenceData!$AS$630),"",ReferenceData!$AS$630),"")</f>
        <v/>
      </c>
      <c r="AT630" t="str">
        <f ca="1">IFERROR(IF(0=LEN(ReferenceData!$AT$630),"",ReferenceData!$AT$630),"")</f>
        <v/>
      </c>
      <c r="AU630" t="str">
        <f ca="1">IFERROR(IF(0=LEN(ReferenceData!$AU$630),"",ReferenceData!$AU$630),"")</f>
        <v/>
      </c>
      <c r="AV630" t="str">
        <f ca="1">IFERROR(IF(0=LEN(ReferenceData!$AV$630),"",ReferenceData!$AV$630),"")</f>
        <v/>
      </c>
      <c r="AW630" t="str">
        <f ca="1">IFERROR(IF(0=LEN(ReferenceData!$AW$630),"",ReferenceData!$AW$630),"")</f>
        <v/>
      </c>
      <c r="AX630" t="str">
        <f ca="1">IFERROR(IF(0=LEN(ReferenceData!$AX$630),"",ReferenceData!$AX$630),"")</f>
        <v/>
      </c>
      <c r="AY630" t="str">
        <f ca="1">IFERROR(IF(0=LEN(ReferenceData!$AY$630),"",ReferenceData!$AY$630),"")</f>
        <v/>
      </c>
      <c r="AZ630" t="str">
        <f ca="1">IFERROR(IF(0=LEN(ReferenceData!$AZ$630),"",ReferenceData!$AZ$630),"")</f>
        <v/>
      </c>
      <c r="BA630" t="str">
        <f ca="1">IFERROR(IF(0=LEN(ReferenceData!$BA$630),"",ReferenceData!$BA$630),"")</f>
        <v/>
      </c>
      <c r="BB630" t="str">
        <f ca="1">IFERROR(IF(0=LEN(ReferenceData!$BB$630),"",ReferenceData!$BB$630),"")</f>
        <v/>
      </c>
      <c r="BC630" t="str">
        <f ca="1">IFERROR(IF(0=LEN(ReferenceData!$BC$630),"",ReferenceData!$BC$630),"")</f>
        <v/>
      </c>
      <c r="BD630" t="str">
        <f ca="1">IFERROR(IF(0=LEN(ReferenceData!$BD$630),"",ReferenceData!$BD$630),"")</f>
        <v/>
      </c>
      <c r="BE630" t="str">
        <f ca="1">IFERROR(IF(0=LEN(ReferenceData!$BE$630),"",ReferenceData!$BE$630),"")</f>
        <v/>
      </c>
      <c r="BF630" t="str">
        <f ca="1">IFERROR(IF(0=LEN(ReferenceData!$BF$630),"",ReferenceData!$BF$630),"")</f>
        <v/>
      </c>
      <c r="BG630" t="str">
        <f ca="1">IFERROR(IF(0=LEN(ReferenceData!$BG$630),"",ReferenceData!$BG$630),"")</f>
        <v/>
      </c>
      <c r="BH630" t="str">
        <f ca="1">IFERROR(IF(0=LEN(ReferenceData!$BH$630),"",ReferenceData!$BH$630),"")</f>
        <v/>
      </c>
      <c r="BI630" t="str">
        <f ca="1">IFERROR(IF(0=LEN(ReferenceData!$BI$630),"",ReferenceData!$BI$630),"")</f>
        <v/>
      </c>
      <c r="BJ630" t="str">
        <f ca="1">IFERROR(IF(0=LEN(ReferenceData!$BJ$630),"",ReferenceData!$BJ$630),"")</f>
        <v/>
      </c>
      <c r="BK630" t="str">
        <f ca="1">IFERROR(IF(0=LEN(ReferenceData!$BK$630),"",ReferenceData!$BK$630),"")</f>
        <v/>
      </c>
      <c r="BL630" t="str">
        <f ca="1">IFERROR(IF(0=LEN(ReferenceData!$BL$630),"",ReferenceData!$BL$630),"")</f>
        <v/>
      </c>
      <c r="BM630" t="str">
        <f ca="1">IFERROR(IF(0=LEN(ReferenceData!$BM$630),"",ReferenceData!$BM$630),"")</f>
        <v/>
      </c>
    </row>
    <row r="631" spans="1:65" x14ac:dyDescent="0.25">
      <c r="A631" t="str">
        <f>IFERROR(IF(0=LEN(ReferenceData!$A$631),"",ReferenceData!$A$631),"")</f>
        <v xml:space="preserve">    DRB-Hicom Bhd</v>
      </c>
      <c r="B631" t="str">
        <f>IFERROR(IF(0=LEN(ReferenceData!$B$631),"",ReferenceData!$B$631),"")</f>
        <v>DRB MK Equity</v>
      </c>
      <c r="C631" t="str">
        <f>IFERROR(IF(0=LEN(ReferenceData!$C$631),"",ReferenceData!$C$631),"")</f>
        <v>RX539</v>
      </c>
      <c r="D631" t="str">
        <f>IFERROR(IF(0=LEN(ReferenceData!$D$631),"",ReferenceData!$D$631),"")</f>
        <v>T12_FCF_YIELD</v>
      </c>
      <c r="E631" t="str">
        <f>IFERROR(IF(0=LEN(ReferenceData!$E$631),"",ReferenceData!$E$631),"")</f>
        <v>Dynamic</v>
      </c>
      <c r="F631" t="str">
        <f ca="1">IFERROR(IF(0=LEN(ReferenceData!$F$631),"",ReferenceData!$F$631),"")</f>
        <v/>
      </c>
      <c r="G631">
        <f ca="1">IFERROR(IF(0=LEN(ReferenceData!$G$631),"",ReferenceData!$G$631),"")</f>
        <v>50.258506629999999</v>
      </c>
      <c r="H631">
        <f ca="1">IFERROR(IF(0=LEN(ReferenceData!$H$631),"",ReferenceData!$H$631),"")</f>
        <v>38.909811580000003</v>
      </c>
      <c r="I631">
        <f ca="1">IFERROR(IF(0=LEN(ReferenceData!$I$631),"",ReferenceData!$I$631),"")</f>
        <v>14.605196039999999</v>
      </c>
      <c r="J631">
        <f ca="1">IFERROR(IF(0=LEN(ReferenceData!$J$631),"",ReferenceData!$J$631),"")</f>
        <v>5.8609758860000003</v>
      </c>
      <c r="K631">
        <f ca="1">IFERROR(IF(0=LEN(ReferenceData!$K$631),"",ReferenceData!$K$631),"")</f>
        <v>12.49855913</v>
      </c>
      <c r="L631">
        <f ca="1">IFERROR(IF(0=LEN(ReferenceData!$L$631),"",ReferenceData!$L$631),"")</f>
        <v>-28.449565750000001</v>
      </c>
      <c r="M631">
        <f ca="1">IFERROR(IF(0=LEN(ReferenceData!$M$631),"",ReferenceData!$M$631),"")</f>
        <v>-43.513732109999999</v>
      </c>
      <c r="N631">
        <f ca="1">IFERROR(IF(0=LEN(ReferenceData!$N$631),"",ReferenceData!$N$631),"")</f>
        <v>-21.679811099999998</v>
      </c>
      <c r="O631">
        <f ca="1">IFERROR(IF(0=LEN(ReferenceData!$O$631),"",ReferenceData!$O$631),"")</f>
        <v>-77.179900239999995</v>
      </c>
      <c r="P631">
        <f ca="1">IFERROR(IF(0=LEN(ReferenceData!$P$631),"",ReferenceData!$P$631),"")</f>
        <v>-26.157200270000001</v>
      </c>
      <c r="Q631">
        <f ca="1">IFERROR(IF(0=LEN(ReferenceData!$Q$631),"",ReferenceData!$Q$631),"")</f>
        <v>7.80498636</v>
      </c>
      <c r="R631">
        <f ca="1">IFERROR(IF(0=LEN(ReferenceData!$R$631),"",ReferenceData!$R$631),"")</f>
        <v>-61.360104190000001</v>
      </c>
      <c r="S631">
        <f ca="1">IFERROR(IF(0=LEN(ReferenceData!$S$631),"",ReferenceData!$S$631),"")</f>
        <v>-62.427343909999998</v>
      </c>
      <c r="T631">
        <f ca="1">IFERROR(IF(0=LEN(ReferenceData!$T$631),"",ReferenceData!$T$631),"")</f>
        <v>-90.19563737</v>
      </c>
      <c r="U631">
        <f ca="1">IFERROR(IF(0=LEN(ReferenceData!$U$631),"",ReferenceData!$U$631),"")</f>
        <v>-60.624196480000002</v>
      </c>
      <c r="V631">
        <f ca="1">IFERROR(IF(0=LEN(ReferenceData!$V$631),"",ReferenceData!$V$631),"")</f>
        <v>-1.789350437</v>
      </c>
      <c r="W631">
        <f ca="1">IFERROR(IF(0=LEN(ReferenceData!$W$631),"",ReferenceData!$W$631),"")</f>
        <v>9.8252971450000004</v>
      </c>
      <c r="X631">
        <f ca="1">IFERROR(IF(0=LEN(ReferenceData!$X$631),"",ReferenceData!$X$631),"")</f>
        <v>-24.03620145</v>
      </c>
      <c r="Y631">
        <f ca="1">IFERROR(IF(0=LEN(ReferenceData!$Y$631),"",ReferenceData!$Y$631),"")</f>
        <v>-24.167516450000001</v>
      </c>
      <c r="Z631">
        <f ca="1">IFERROR(IF(0=LEN(ReferenceData!$Z$631),"",ReferenceData!$Z$631),"")</f>
        <v>-52.562152509999997</v>
      </c>
      <c r="AA631">
        <f ca="1">IFERROR(IF(0=LEN(ReferenceData!$AA$631),"",ReferenceData!$AA$631),"")</f>
        <v>16.593030970000001</v>
      </c>
      <c r="AB631">
        <f ca="1">IFERROR(IF(0=LEN(ReferenceData!$AB$631),"",ReferenceData!$AB$631),"")</f>
        <v>51.740228790000003</v>
      </c>
      <c r="AC631">
        <f ca="1">IFERROR(IF(0=LEN(ReferenceData!$AC$631),"",ReferenceData!$AC$631),"")</f>
        <v>39.334050730000001</v>
      </c>
      <c r="AD631">
        <f ca="1">IFERROR(IF(0=LEN(ReferenceData!$AD$631),"",ReferenceData!$AD$631),"")</f>
        <v>-8.4418814619999996</v>
      </c>
      <c r="AE631">
        <f ca="1">IFERROR(IF(0=LEN(ReferenceData!$AE$631),"",ReferenceData!$AE$631),"")</f>
        <v>-35.570319959999999</v>
      </c>
      <c r="AF631">
        <f ca="1">IFERROR(IF(0=LEN(ReferenceData!$AF$631),"",ReferenceData!$AF$631),"")</f>
        <v>-10.125071309999999</v>
      </c>
      <c r="AG631">
        <f ca="1">IFERROR(IF(0=LEN(ReferenceData!$AG$631),"",ReferenceData!$AG$631),"")</f>
        <v>-49.029350350000001</v>
      </c>
      <c r="AH631">
        <f ca="1">IFERROR(IF(0=LEN(ReferenceData!$AH$631),"",ReferenceData!$AH$631),"")</f>
        <v>-14.345459829999999</v>
      </c>
      <c r="AI631">
        <f ca="1">IFERROR(IF(0=LEN(ReferenceData!$AI$631),"",ReferenceData!$AI$631),"")</f>
        <v>-26.528704399999999</v>
      </c>
      <c r="AJ631">
        <f ca="1">IFERROR(IF(0=LEN(ReferenceData!$AJ$631),"",ReferenceData!$AJ$631),"")</f>
        <v>-111.00442769999999</v>
      </c>
      <c r="AK631">
        <f ca="1">IFERROR(IF(0=LEN(ReferenceData!$AK$631),"",ReferenceData!$AK$631),"")</f>
        <v>-63.705162250000001</v>
      </c>
      <c r="AL631">
        <f ca="1">IFERROR(IF(0=LEN(ReferenceData!$AL$631),"",ReferenceData!$AL$631),"")</f>
        <v>-42.253843209999999</v>
      </c>
      <c r="AM631">
        <f ca="1">IFERROR(IF(0=LEN(ReferenceData!$AM$631),"",ReferenceData!$AM$631),"")</f>
        <v>-69.781629859999995</v>
      </c>
      <c r="AN631">
        <f ca="1">IFERROR(IF(0=LEN(ReferenceData!$AN$631),"",ReferenceData!$AN$631),"")</f>
        <v>-61.854100789999997</v>
      </c>
      <c r="AO631">
        <f ca="1">IFERROR(IF(0=LEN(ReferenceData!$AO$631),"",ReferenceData!$AO$631),"")</f>
        <v>45.45813235</v>
      </c>
      <c r="AP631">
        <f ca="1">IFERROR(IF(0=LEN(ReferenceData!$AP$631),"",ReferenceData!$AP$631),"")</f>
        <v>101.77016879999999</v>
      </c>
      <c r="AQ631">
        <f ca="1">IFERROR(IF(0=LEN(ReferenceData!$AQ$631),"",ReferenceData!$AQ$631),"")</f>
        <v>-9.0362471719999995</v>
      </c>
      <c r="AR631">
        <f ca="1">IFERROR(IF(0=LEN(ReferenceData!$AR$631),"",ReferenceData!$AR$631),"")</f>
        <v>-21.978591479999999</v>
      </c>
      <c r="AS631">
        <f ca="1">IFERROR(IF(0=LEN(ReferenceData!$AS$631),"",ReferenceData!$AS$631),"")</f>
        <v>-83.686213019999997</v>
      </c>
      <c r="AT631">
        <f ca="1">IFERROR(IF(0=LEN(ReferenceData!$AT$631),"",ReferenceData!$AT$631),"")</f>
        <v>-140.97088790000001</v>
      </c>
      <c r="AU631">
        <f ca="1">IFERROR(IF(0=LEN(ReferenceData!$AU$631),"",ReferenceData!$AU$631),"")</f>
        <v>-0.86808127700000004</v>
      </c>
      <c r="AV631">
        <f ca="1">IFERROR(IF(0=LEN(ReferenceData!$AV$631),"",ReferenceData!$AV$631),"")</f>
        <v>-3.9560078810000001</v>
      </c>
      <c r="AW631">
        <f ca="1">IFERROR(IF(0=LEN(ReferenceData!$AW$631),"",ReferenceData!$AW$631),"")</f>
        <v>2.990790375</v>
      </c>
      <c r="AX631">
        <f ca="1">IFERROR(IF(0=LEN(ReferenceData!$AX$631),"",ReferenceData!$AX$631),"")</f>
        <v>44.586494620000003</v>
      </c>
      <c r="AY631">
        <f ca="1">IFERROR(IF(0=LEN(ReferenceData!$AY$631),"",ReferenceData!$AY$631),"")</f>
        <v>40.413887600000002</v>
      </c>
      <c r="AZ631">
        <f ca="1">IFERROR(IF(0=LEN(ReferenceData!$AZ$631),"",ReferenceData!$AZ$631),"")</f>
        <v>45.219447879999997</v>
      </c>
      <c r="BA631">
        <f ca="1">IFERROR(IF(0=LEN(ReferenceData!$BA$631),"",ReferenceData!$BA$631),"")</f>
        <v>40.635471389999999</v>
      </c>
      <c r="BB631">
        <f ca="1">IFERROR(IF(0=LEN(ReferenceData!$BB$631),"",ReferenceData!$BB$631),"")</f>
        <v>27.507516339999999</v>
      </c>
      <c r="BC631">
        <f ca="1">IFERROR(IF(0=LEN(ReferenceData!$BC$631),"",ReferenceData!$BC$631),"")</f>
        <v>33.724170579999999</v>
      </c>
      <c r="BD631">
        <f ca="1">IFERROR(IF(0=LEN(ReferenceData!$BD$631),"",ReferenceData!$BD$631),"")</f>
        <v>18.949591219999999</v>
      </c>
      <c r="BE631">
        <f ca="1">IFERROR(IF(0=LEN(ReferenceData!$BE$631),"",ReferenceData!$BE$631),"")</f>
        <v>7.6602399249999999</v>
      </c>
      <c r="BF631">
        <f ca="1">IFERROR(IF(0=LEN(ReferenceData!$BF$631),"",ReferenceData!$BF$631),"")</f>
        <v>12.81306843</v>
      </c>
      <c r="BG631">
        <f ca="1">IFERROR(IF(0=LEN(ReferenceData!$BG$631),"",ReferenceData!$BG$631),"")</f>
        <v>16.713598189999999</v>
      </c>
      <c r="BH631">
        <f ca="1">IFERROR(IF(0=LEN(ReferenceData!$BH$631),"",ReferenceData!$BH$631),"")</f>
        <v>29.6502768</v>
      </c>
      <c r="BI631">
        <f ca="1">IFERROR(IF(0=LEN(ReferenceData!$BI$631),"",ReferenceData!$BI$631),"")</f>
        <v>42.280450070000001</v>
      </c>
      <c r="BJ631">
        <f ca="1">IFERROR(IF(0=LEN(ReferenceData!$BJ$631),"",ReferenceData!$BJ$631),"")</f>
        <v>34.938428620000003</v>
      </c>
      <c r="BK631">
        <f ca="1">IFERROR(IF(0=LEN(ReferenceData!$BK$631),"",ReferenceData!$BK$631),"")</f>
        <v>25.18355468</v>
      </c>
      <c r="BL631">
        <f ca="1">IFERROR(IF(0=LEN(ReferenceData!$BL$631),"",ReferenceData!$BL$631),"")</f>
        <v>19.651670249999999</v>
      </c>
      <c r="BM631">
        <f ca="1">IFERROR(IF(0=LEN(ReferenceData!$BM$631),"",ReferenceData!$BM$631),"")</f>
        <v>16.11688406</v>
      </c>
    </row>
    <row r="632" spans="1:65" x14ac:dyDescent="0.25">
      <c r="A632" t="str">
        <f>IFERROR(IF(0=LEN(ReferenceData!$A$632),"",ReferenceData!$A$632),"")</f>
        <v xml:space="preserve">    FAW CAR Co Ltd</v>
      </c>
      <c r="B632" t="str">
        <f>IFERROR(IF(0=LEN(ReferenceData!$B$632),"",ReferenceData!$B$632),"")</f>
        <v>000800 CH Equity</v>
      </c>
      <c r="C632" t="str">
        <f>IFERROR(IF(0=LEN(ReferenceData!$C$632),"",ReferenceData!$C$632),"")</f>
        <v>RX539</v>
      </c>
      <c r="D632" t="str">
        <f>IFERROR(IF(0=LEN(ReferenceData!$D$632),"",ReferenceData!$D$632),"")</f>
        <v>T12_FCF_YIELD</v>
      </c>
      <c r="E632" t="str">
        <f>IFERROR(IF(0=LEN(ReferenceData!$E$632),"",ReferenceData!$E$632),"")</f>
        <v>Dynamic</v>
      </c>
      <c r="F632">
        <f ca="1">IFERROR(IF(0=LEN(ReferenceData!$F$632),"",ReferenceData!$F$632),"")</f>
        <v>8.0598647680000006</v>
      </c>
      <c r="G632">
        <f ca="1">IFERROR(IF(0=LEN(ReferenceData!$G$632),"",ReferenceData!$G$632),"")</f>
        <v>9.8008929580000004</v>
      </c>
      <c r="H632">
        <f ca="1">IFERROR(IF(0=LEN(ReferenceData!$H$632),"",ReferenceData!$H$632),"")</f>
        <v>9.8455100729999998</v>
      </c>
      <c r="I632">
        <f ca="1">IFERROR(IF(0=LEN(ReferenceData!$I$632),"",ReferenceData!$I$632),"")</f>
        <v>17.68248578</v>
      </c>
      <c r="J632">
        <f ca="1">IFERROR(IF(0=LEN(ReferenceData!$J$632),"",ReferenceData!$J$632),"")</f>
        <v>12.47799625</v>
      </c>
      <c r="K632">
        <f ca="1">IFERROR(IF(0=LEN(ReferenceData!$K$632),"",ReferenceData!$K$632),"")</f>
        <v>11.462236969999999</v>
      </c>
      <c r="L632">
        <f ca="1">IFERROR(IF(0=LEN(ReferenceData!$L$632),"",ReferenceData!$L$632),"")</f>
        <v>9.0527385149999997</v>
      </c>
      <c r="M632">
        <f ca="1">IFERROR(IF(0=LEN(ReferenceData!$M$632),"",ReferenceData!$M$632),"")</f>
        <v>5.0403500440000002</v>
      </c>
      <c r="N632">
        <f ca="1">IFERROR(IF(0=LEN(ReferenceData!$N$632),"",ReferenceData!$N$632),"")</f>
        <v>5.023256988</v>
      </c>
      <c r="O632">
        <f ca="1">IFERROR(IF(0=LEN(ReferenceData!$O$632),"",ReferenceData!$O$632),"")</f>
        <v>-1.3187039890000001</v>
      </c>
      <c r="P632">
        <f ca="1">IFERROR(IF(0=LEN(ReferenceData!$P$632),"",ReferenceData!$P$632),"")</f>
        <v>-4.0961791590000001</v>
      </c>
      <c r="Q632">
        <f ca="1">IFERROR(IF(0=LEN(ReferenceData!$Q$632),"",ReferenceData!$Q$632),"")</f>
        <v>-2.0240683719999999</v>
      </c>
      <c r="R632">
        <f ca="1">IFERROR(IF(0=LEN(ReferenceData!$R$632),"",ReferenceData!$R$632),"")</f>
        <v>-2.1647434959999998</v>
      </c>
      <c r="S632">
        <f ca="1">IFERROR(IF(0=LEN(ReferenceData!$S$632),"",ReferenceData!$S$632),"")</f>
        <v>1.067184355</v>
      </c>
      <c r="T632">
        <f ca="1">IFERROR(IF(0=LEN(ReferenceData!$T$632),"",ReferenceData!$T$632),"")</f>
        <v>-2.7414198550000002</v>
      </c>
      <c r="U632">
        <f ca="1">IFERROR(IF(0=LEN(ReferenceData!$U$632),"",ReferenceData!$U$632),"")</f>
        <v>-1.65956481</v>
      </c>
      <c r="V632">
        <f ca="1">IFERROR(IF(0=LEN(ReferenceData!$V$632),"",ReferenceData!$V$632),"")</f>
        <v>-1.5384200240000001</v>
      </c>
      <c r="W632">
        <f ca="1">IFERROR(IF(0=LEN(ReferenceData!$W$632),"",ReferenceData!$W$632),"")</f>
        <v>-2.274674225</v>
      </c>
      <c r="X632">
        <f ca="1">IFERROR(IF(0=LEN(ReferenceData!$X$632),"",ReferenceData!$X$632),"")</f>
        <v>-1.599768187</v>
      </c>
      <c r="Y632">
        <f ca="1">IFERROR(IF(0=LEN(ReferenceData!$Y$632),"",ReferenceData!$Y$632),"")</f>
        <v>-0.175453421</v>
      </c>
      <c r="Z632">
        <f ca="1">IFERROR(IF(0=LEN(ReferenceData!$Z$632),"",ReferenceData!$Z$632),"")</f>
        <v>2.6562559970000001</v>
      </c>
      <c r="AA632">
        <f ca="1">IFERROR(IF(0=LEN(ReferenceData!$AA$632),"",ReferenceData!$AA$632),"")</f>
        <v>-8.8882811000000006E-2</v>
      </c>
      <c r="AB632">
        <f ca="1">IFERROR(IF(0=LEN(ReferenceData!$AB$632),"",ReferenceData!$AB$632),"")</f>
        <v>-0.72961900400000002</v>
      </c>
      <c r="AC632">
        <f ca="1">IFERROR(IF(0=LEN(ReferenceData!$AC$632),"",ReferenceData!$AC$632),"")</f>
        <v>-8.834223862</v>
      </c>
      <c r="AD632">
        <f ca="1">IFERROR(IF(0=LEN(ReferenceData!$AD$632),"",ReferenceData!$AD$632),"")</f>
        <v>-11.71641273</v>
      </c>
      <c r="AE632">
        <f ca="1">IFERROR(IF(0=LEN(ReferenceData!$AE$632),"",ReferenceData!$AE$632),"")</f>
        <v>-7.5962856160000003</v>
      </c>
      <c r="AF632">
        <f ca="1">IFERROR(IF(0=LEN(ReferenceData!$AF$632),"",ReferenceData!$AF$632),"")</f>
        <v>-3.4443335390000001</v>
      </c>
      <c r="AG632">
        <f ca="1">IFERROR(IF(0=LEN(ReferenceData!$AG$632),"",ReferenceData!$AG$632),"")</f>
        <v>-0.50999330899999995</v>
      </c>
      <c r="AH632">
        <f ca="1">IFERROR(IF(0=LEN(ReferenceData!$AH$632),"",ReferenceData!$AH$632),"")</f>
        <v>-5.5270591260000002</v>
      </c>
      <c r="AI632">
        <f ca="1">IFERROR(IF(0=LEN(ReferenceData!$AI$632),"",ReferenceData!$AI$632),"")</f>
        <v>-16.84483921</v>
      </c>
      <c r="AJ632">
        <f ca="1">IFERROR(IF(0=LEN(ReferenceData!$AJ$632),"",ReferenceData!$AJ$632),"")</f>
        <v>-23.10202743</v>
      </c>
      <c r="AK632">
        <f ca="1">IFERROR(IF(0=LEN(ReferenceData!$AK$632),"",ReferenceData!$AK$632),"")</f>
        <v>-7.1049460050000004</v>
      </c>
      <c r="AL632">
        <f ca="1">IFERROR(IF(0=LEN(ReferenceData!$AL$632),"",ReferenceData!$AL$632),"")</f>
        <v>-5.4840946730000004</v>
      </c>
      <c r="AM632">
        <f ca="1">IFERROR(IF(0=LEN(ReferenceData!$AM$632),"",ReferenceData!$AM$632),"")</f>
        <v>4.7179533779999998</v>
      </c>
      <c r="AN632">
        <f ca="1">IFERROR(IF(0=LEN(ReferenceData!$AN$632),"",ReferenceData!$AN$632),"")</f>
        <v>7.0743330870000003</v>
      </c>
      <c r="AO632">
        <f ca="1">IFERROR(IF(0=LEN(ReferenceData!$AO$632),"",ReferenceData!$AO$632),"")</f>
        <v>3.6733505129999999</v>
      </c>
      <c r="AP632">
        <f ca="1">IFERROR(IF(0=LEN(ReferenceData!$AP$632),"",ReferenceData!$AP$632),"")</f>
        <v>3.4498844700000002</v>
      </c>
      <c r="AQ632">
        <f ca="1">IFERROR(IF(0=LEN(ReferenceData!$AQ$632),"",ReferenceData!$AQ$632),"")</f>
        <v>3.0054238350000002</v>
      </c>
      <c r="AR632">
        <f ca="1">IFERROR(IF(0=LEN(ReferenceData!$AR$632),"",ReferenceData!$AR$632),"")</f>
        <v>8.3762173840000003</v>
      </c>
      <c r="AS632">
        <f ca="1">IFERROR(IF(0=LEN(ReferenceData!$AS$632),"",ReferenceData!$AS$632),"")</f>
        <v>6.5936575099999999</v>
      </c>
      <c r="AT632">
        <f ca="1">IFERROR(IF(0=LEN(ReferenceData!$AT$632),"",ReferenceData!$AT$632),"")</f>
        <v>5.1274631060000004</v>
      </c>
      <c r="AU632">
        <f ca="1">IFERROR(IF(0=LEN(ReferenceData!$AU$632),"",ReferenceData!$AU$632),"")</f>
        <v>3.4892664519999999</v>
      </c>
      <c r="AV632">
        <f ca="1">IFERROR(IF(0=LEN(ReferenceData!$AV$632),"",ReferenceData!$AV$632),"")</f>
        <v>-1.585713218</v>
      </c>
      <c r="AW632">
        <f ca="1">IFERROR(IF(0=LEN(ReferenceData!$AW$632),"",ReferenceData!$AW$632),"")</f>
        <v>0.49202559699999998</v>
      </c>
      <c r="AX632">
        <f ca="1">IFERROR(IF(0=LEN(ReferenceData!$AX$632),"",ReferenceData!$AX$632),"")</f>
        <v>1.34291345</v>
      </c>
      <c r="AY632">
        <f ca="1">IFERROR(IF(0=LEN(ReferenceData!$AY$632),"",ReferenceData!$AY$632),"")</f>
        <v>-0.50236431699999995</v>
      </c>
      <c r="AZ632">
        <f ca="1">IFERROR(IF(0=LEN(ReferenceData!$AZ$632),"",ReferenceData!$AZ$632),"")</f>
        <v>0.99391976900000001</v>
      </c>
      <c r="BA632">
        <f ca="1">IFERROR(IF(0=LEN(ReferenceData!$BA$632),"",ReferenceData!$BA$632),"")</f>
        <v>2.522451717</v>
      </c>
      <c r="BB632">
        <f ca="1">IFERROR(IF(0=LEN(ReferenceData!$BB$632),"",ReferenceData!$BB$632),"")</f>
        <v>0.756287983</v>
      </c>
      <c r="BC632">
        <f ca="1">IFERROR(IF(0=LEN(ReferenceData!$BC$632),"",ReferenceData!$BC$632),"")</f>
        <v>-1.367754809</v>
      </c>
      <c r="BD632">
        <f ca="1">IFERROR(IF(0=LEN(ReferenceData!$BD$632),"",ReferenceData!$BD$632),"")</f>
        <v>-5.041069341</v>
      </c>
      <c r="BE632">
        <f ca="1">IFERROR(IF(0=LEN(ReferenceData!$BE$632),"",ReferenceData!$BE$632),"")</f>
        <v>-9.4700937100000004</v>
      </c>
      <c r="BF632">
        <f ca="1">IFERROR(IF(0=LEN(ReferenceData!$BF$632),"",ReferenceData!$BF$632),"")</f>
        <v>24.13924072</v>
      </c>
      <c r="BG632">
        <f ca="1">IFERROR(IF(0=LEN(ReferenceData!$BG$632),"",ReferenceData!$BG$632),"")</f>
        <v>46.383552829999999</v>
      </c>
      <c r="BH632">
        <f ca="1">IFERROR(IF(0=LEN(ReferenceData!$BH$632),"",ReferenceData!$BH$632),"")</f>
        <v>37.05984849</v>
      </c>
      <c r="BI632">
        <f ca="1">IFERROR(IF(0=LEN(ReferenceData!$BI$632),"",ReferenceData!$BI$632),"")</f>
        <v>18.685845560000001</v>
      </c>
      <c r="BJ632">
        <f ca="1">IFERROR(IF(0=LEN(ReferenceData!$BJ$632),"",ReferenceData!$BJ$632),"")</f>
        <v>-18.43574276</v>
      </c>
      <c r="BK632">
        <f ca="1">IFERROR(IF(0=LEN(ReferenceData!$BK$632),"",ReferenceData!$BK$632),"")</f>
        <v>-48.87071924</v>
      </c>
      <c r="BL632">
        <f ca="1">IFERROR(IF(0=LEN(ReferenceData!$BL$632),"",ReferenceData!$BL$632),"")</f>
        <v>-18.334748279999999</v>
      </c>
      <c r="BM632">
        <f ca="1">IFERROR(IF(0=LEN(ReferenceData!$BM$632),"",ReferenceData!$BM$632),"")</f>
        <v>-0.69855050500000004</v>
      </c>
    </row>
    <row r="633" spans="1:65" x14ac:dyDescent="0.25">
      <c r="A633" t="str">
        <f>IFERROR(IF(0=LEN(ReferenceData!$A$633),"",ReferenceData!$A$633),"")</f>
        <v xml:space="preserve">    Fiat Chrysler Automobiles NV</v>
      </c>
      <c r="B633" t="str">
        <f>IFERROR(IF(0=LEN(ReferenceData!$B$633),"",ReferenceData!$B$633),"")</f>
        <v>FCAU US Equity</v>
      </c>
      <c r="C633" t="str">
        <f>IFERROR(IF(0=LEN(ReferenceData!$C$633),"",ReferenceData!$C$633),"")</f>
        <v>RX539</v>
      </c>
      <c r="D633" t="str">
        <f>IFERROR(IF(0=LEN(ReferenceData!$D$633),"",ReferenceData!$D$633),"")</f>
        <v>T12_FCF_YIELD</v>
      </c>
      <c r="E633" t="str">
        <f>IFERROR(IF(0=LEN(ReferenceData!$E$633),"",ReferenceData!$E$633),"")</f>
        <v>Dynamic</v>
      </c>
      <c r="F633">
        <f ca="1">IFERROR(IF(0=LEN(ReferenceData!$F$633),"",ReferenceData!$F$633),"")</f>
        <v>22.315272279999999</v>
      </c>
      <c r="G633">
        <f ca="1">IFERROR(IF(0=LEN(ReferenceData!$G$633),"",ReferenceData!$G$633),"")</f>
        <v>23.26976852</v>
      </c>
      <c r="H633">
        <f ca="1">IFERROR(IF(0=LEN(ReferenceData!$H$633),"",ReferenceData!$H$633),"")</f>
        <v>17.03732011</v>
      </c>
      <c r="I633">
        <f ca="1">IFERROR(IF(0=LEN(ReferenceData!$I$633),"",ReferenceData!$I$633),"")</f>
        <v>18.768565389999999</v>
      </c>
      <c r="J633">
        <f ca="1">IFERROR(IF(0=LEN(ReferenceData!$J$633),"",ReferenceData!$J$633),"")</f>
        <v>15.269124769999999</v>
      </c>
      <c r="K633">
        <f ca="1">IFERROR(IF(0=LEN(ReferenceData!$K$633),"",ReferenceData!$K$633),"")</f>
        <v>9.9763277180000003</v>
      </c>
      <c r="L633">
        <f ca="1">IFERROR(IF(0=LEN(ReferenceData!$L$633),"",ReferenceData!$L$633),"")</f>
        <v>11.257308220000001</v>
      </c>
      <c r="M633">
        <f ca="1">IFERROR(IF(0=LEN(ReferenceData!$M$633),"",ReferenceData!$M$633),"")</f>
        <v>7.5428126789999999</v>
      </c>
      <c r="N633">
        <f ca="1">IFERROR(IF(0=LEN(ReferenceData!$N$633),"",ReferenceData!$N$633),"")</f>
        <v>13.93732692</v>
      </c>
      <c r="O633">
        <f ca="1">IFERROR(IF(0=LEN(ReferenceData!$O$633),"",ReferenceData!$O$633),"")</f>
        <v>13.46469285</v>
      </c>
      <c r="P633">
        <f ca="1">IFERROR(IF(0=LEN(ReferenceData!$P$633),"",ReferenceData!$P$633),"")</f>
        <v>17.95099991</v>
      </c>
      <c r="Q633">
        <f ca="1">IFERROR(IF(0=LEN(ReferenceData!$Q$633),"",ReferenceData!$Q$633),"")</f>
        <v>25.02732078</v>
      </c>
      <c r="R633">
        <f ca="1">IFERROR(IF(0=LEN(ReferenceData!$R$633),"",ReferenceData!$R$633),"")</f>
        <v>10.1000946</v>
      </c>
      <c r="S633">
        <f ca="1">IFERROR(IF(0=LEN(ReferenceData!$S$633),"",ReferenceData!$S$633),"")</f>
        <v>5.6160347670000004</v>
      </c>
      <c r="T633">
        <f ca="1">IFERROR(IF(0=LEN(ReferenceData!$T$633),"",ReferenceData!$T$633),"")</f>
        <v>4.6365705740000003</v>
      </c>
      <c r="U633">
        <f ca="1">IFERROR(IF(0=LEN(ReferenceData!$U$633),"",ReferenceData!$U$633),"")</f>
        <v>-1.494773234</v>
      </c>
      <c r="V633">
        <f ca="1">IFERROR(IF(0=LEN(ReferenceData!$V$633),"",ReferenceData!$V$633),"")</f>
        <v>-3.213982052</v>
      </c>
      <c r="W633">
        <f ca="1">IFERROR(IF(0=LEN(ReferenceData!$W$633),"",ReferenceData!$W$633),"")</f>
        <v>2.968203935</v>
      </c>
      <c r="X633" t="str">
        <f ca="1">IFERROR(IF(0=LEN(ReferenceData!$X$633),"",ReferenceData!$X$633),"")</f>
        <v/>
      </c>
      <c r="Y633" t="str">
        <f ca="1">IFERROR(IF(0=LEN(ReferenceData!$Y$633),"",ReferenceData!$Y$633),"")</f>
        <v/>
      </c>
      <c r="Z633" t="str">
        <f ca="1">IFERROR(IF(0=LEN(ReferenceData!$Z$633),"",ReferenceData!$Z$633),"")</f>
        <v/>
      </c>
      <c r="AA633" t="str">
        <f ca="1">IFERROR(IF(0=LEN(ReferenceData!$AA$633),"",ReferenceData!$AA$633),"")</f>
        <v/>
      </c>
      <c r="AB633" t="str">
        <f ca="1">IFERROR(IF(0=LEN(ReferenceData!$AB$633),"",ReferenceData!$AB$633),"")</f>
        <v/>
      </c>
      <c r="AC633" t="str">
        <f ca="1">IFERROR(IF(0=LEN(ReferenceData!$AC$633),"",ReferenceData!$AC$633),"")</f>
        <v/>
      </c>
      <c r="AD633" t="str">
        <f ca="1">IFERROR(IF(0=LEN(ReferenceData!$AD$633),"",ReferenceData!$AD$633),"")</f>
        <v/>
      </c>
      <c r="AE633" t="str">
        <f ca="1">IFERROR(IF(0=LEN(ReferenceData!$AE$633),"",ReferenceData!$AE$633),"")</f>
        <v/>
      </c>
      <c r="AF633" t="str">
        <f ca="1">IFERROR(IF(0=LEN(ReferenceData!$AF$633),"",ReferenceData!$AF$633),"")</f>
        <v/>
      </c>
      <c r="AG633" t="str">
        <f ca="1">IFERROR(IF(0=LEN(ReferenceData!$AG$633),"",ReferenceData!$AG$633),"")</f>
        <v/>
      </c>
      <c r="AH633" t="str">
        <f ca="1">IFERROR(IF(0=LEN(ReferenceData!$AH$633),"",ReferenceData!$AH$633),"")</f>
        <v/>
      </c>
      <c r="AI633" t="str">
        <f ca="1">IFERROR(IF(0=LEN(ReferenceData!$AI$633),"",ReferenceData!$AI$633),"")</f>
        <v/>
      </c>
      <c r="AJ633" t="str">
        <f ca="1">IFERROR(IF(0=LEN(ReferenceData!$AJ$633),"",ReferenceData!$AJ$633),"")</f>
        <v/>
      </c>
      <c r="AK633" t="str">
        <f ca="1">IFERROR(IF(0=LEN(ReferenceData!$AK$633),"",ReferenceData!$AK$633),"")</f>
        <v/>
      </c>
      <c r="AL633" t="str">
        <f ca="1">IFERROR(IF(0=LEN(ReferenceData!$AL$633),"",ReferenceData!$AL$633),"")</f>
        <v/>
      </c>
      <c r="AM633" t="str">
        <f ca="1">IFERROR(IF(0=LEN(ReferenceData!$AM$633),"",ReferenceData!$AM$633),"")</f>
        <v/>
      </c>
      <c r="AN633" t="str">
        <f ca="1">IFERROR(IF(0=LEN(ReferenceData!$AN$633),"",ReferenceData!$AN$633),"")</f>
        <v/>
      </c>
      <c r="AO633" t="str">
        <f ca="1">IFERROR(IF(0=LEN(ReferenceData!$AO$633),"",ReferenceData!$AO$633),"")</f>
        <v/>
      </c>
      <c r="AP633" t="str">
        <f ca="1">IFERROR(IF(0=LEN(ReferenceData!$AP$633),"",ReferenceData!$AP$633),"")</f>
        <v/>
      </c>
      <c r="AQ633" t="str">
        <f ca="1">IFERROR(IF(0=LEN(ReferenceData!$AQ$633),"",ReferenceData!$AQ$633),"")</f>
        <v/>
      </c>
      <c r="AR633" t="str">
        <f ca="1">IFERROR(IF(0=LEN(ReferenceData!$AR$633),"",ReferenceData!$AR$633),"")</f>
        <v/>
      </c>
      <c r="AS633" t="str">
        <f ca="1">IFERROR(IF(0=LEN(ReferenceData!$AS$633),"",ReferenceData!$AS$633),"")</f>
        <v/>
      </c>
      <c r="AT633" t="str">
        <f ca="1">IFERROR(IF(0=LEN(ReferenceData!$AT$633),"",ReferenceData!$AT$633),"")</f>
        <v/>
      </c>
      <c r="AU633" t="str">
        <f ca="1">IFERROR(IF(0=LEN(ReferenceData!$AU$633),"",ReferenceData!$AU$633),"")</f>
        <v/>
      </c>
      <c r="AV633" t="str">
        <f ca="1">IFERROR(IF(0=LEN(ReferenceData!$AV$633),"",ReferenceData!$AV$633),"")</f>
        <v/>
      </c>
      <c r="AW633" t="str">
        <f ca="1">IFERROR(IF(0=LEN(ReferenceData!$AW$633),"",ReferenceData!$AW$633),"")</f>
        <v/>
      </c>
      <c r="AX633" t="str">
        <f ca="1">IFERROR(IF(0=LEN(ReferenceData!$AX$633),"",ReferenceData!$AX$633),"")</f>
        <v/>
      </c>
      <c r="AY633" t="str">
        <f ca="1">IFERROR(IF(0=LEN(ReferenceData!$AY$633),"",ReferenceData!$AY$633),"")</f>
        <v/>
      </c>
      <c r="AZ633" t="str">
        <f ca="1">IFERROR(IF(0=LEN(ReferenceData!$AZ$633),"",ReferenceData!$AZ$633),"")</f>
        <v/>
      </c>
      <c r="BA633" t="str">
        <f ca="1">IFERROR(IF(0=LEN(ReferenceData!$BA$633),"",ReferenceData!$BA$633),"")</f>
        <v/>
      </c>
      <c r="BB633" t="str">
        <f ca="1">IFERROR(IF(0=LEN(ReferenceData!$BB$633),"",ReferenceData!$BB$633),"")</f>
        <v/>
      </c>
      <c r="BC633" t="str">
        <f ca="1">IFERROR(IF(0=LEN(ReferenceData!$BC$633),"",ReferenceData!$BC$633),"")</f>
        <v/>
      </c>
      <c r="BD633" t="str">
        <f ca="1">IFERROR(IF(0=LEN(ReferenceData!$BD$633),"",ReferenceData!$BD$633),"")</f>
        <v/>
      </c>
      <c r="BE633" t="str">
        <f ca="1">IFERROR(IF(0=LEN(ReferenceData!$BE$633),"",ReferenceData!$BE$633),"")</f>
        <v/>
      </c>
      <c r="BF633" t="str">
        <f ca="1">IFERROR(IF(0=LEN(ReferenceData!$BF$633),"",ReferenceData!$BF$633),"")</f>
        <v/>
      </c>
      <c r="BG633" t="str">
        <f ca="1">IFERROR(IF(0=LEN(ReferenceData!$BG$633),"",ReferenceData!$BG$633),"")</f>
        <v/>
      </c>
      <c r="BH633" t="str">
        <f ca="1">IFERROR(IF(0=LEN(ReferenceData!$BH$633),"",ReferenceData!$BH$633),"")</f>
        <v/>
      </c>
      <c r="BI633" t="str">
        <f ca="1">IFERROR(IF(0=LEN(ReferenceData!$BI$633),"",ReferenceData!$BI$633),"")</f>
        <v/>
      </c>
      <c r="BJ633" t="str">
        <f ca="1">IFERROR(IF(0=LEN(ReferenceData!$BJ$633),"",ReferenceData!$BJ$633),"")</f>
        <v/>
      </c>
      <c r="BK633" t="str">
        <f ca="1">IFERROR(IF(0=LEN(ReferenceData!$BK$633),"",ReferenceData!$BK$633),"")</f>
        <v/>
      </c>
      <c r="BL633" t="str">
        <f ca="1">IFERROR(IF(0=LEN(ReferenceData!$BL$633),"",ReferenceData!$BL$633),"")</f>
        <v/>
      </c>
      <c r="BM633" t="str">
        <f ca="1">IFERROR(IF(0=LEN(ReferenceData!$BM$633),"",ReferenceData!$BM$633),"")</f>
        <v/>
      </c>
    </row>
    <row r="634" spans="1:65" x14ac:dyDescent="0.25">
      <c r="A634" t="str">
        <f>IFERROR(IF(0=LEN(ReferenceData!$A$634),"",ReferenceData!$A$634),"")</f>
        <v xml:space="preserve">    Ford Motor Co</v>
      </c>
      <c r="B634" t="str">
        <f>IFERROR(IF(0=LEN(ReferenceData!$B$634),"",ReferenceData!$B$634),"")</f>
        <v>F US Equity</v>
      </c>
      <c r="C634" t="str">
        <f>IFERROR(IF(0=LEN(ReferenceData!$C$634),"",ReferenceData!$C$634),"")</f>
        <v>RX539</v>
      </c>
      <c r="D634" t="str">
        <f>IFERROR(IF(0=LEN(ReferenceData!$D$634),"",ReferenceData!$D$634),"")</f>
        <v>T12_FCF_YIELD</v>
      </c>
      <c r="E634" t="str">
        <f>IFERROR(IF(0=LEN(ReferenceData!$E$634),"",ReferenceData!$E$634),"")</f>
        <v>Dynamic</v>
      </c>
      <c r="F634">
        <f ca="1">IFERROR(IF(0=LEN(ReferenceData!$F$634),"",ReferenceData!$F$634),"")</f>
        <v>20.884082859999999</v>
      </c>
      <c r="G634">
        <f ca="1">IFERROR(IF(0=LEN(ReferenceData!$G$634),"",ReferenceData!$G$634),"")</f>
        <v>23.781700570000002</v>
      </c>
      <c r="H634">
        <f ca="1">IFERROR(IF(0=LEN(ReferenceData!$H$634),"",ReferenceData!$H$634),"")</f>
        <v>24.492804679999999</v>
      </c>
      <c r="I634">
        <f ca="1">IFERROR(IF(0=LEN(ReferenceData!$I$634),"",ReferenceData!$I$634),"")</f>
        <v>20.760114399999999</v>
      </c>
      <c r="J634">
        <f ca="1">IFERROR(IF(0=LEN(ReferenceData!$J$634),"",ReferenceData!$J$634),"")</f>
        <v>23.059763310000001</v>
      </c>
      <c r="K634">
        <f ca="1">IFERROR(IF(0=LEN(ReferenceData!$K$634),"",ReferenceData!$K$634),"")</f>
        <v>22.26586829</v>
      </c>
      <c r="L634">
        <f ca="1">IFERROR(IF(0=LEN(ReferenceData!$L$634),"",ReferenceData!$L$634),"")</f>
        <v>22.571664070000001</v>
      </c>
      <c r="M634">
        <f ca="1">IFERROR(IF(0=LEN(ReferenceData!$M$634),"",ReferenceData!$M$634),"")</f>
        <v>24.372494240000002</v>
      </c>
      <c r="N634">
        <f ca="1">IFERROR(IF(0=LEN(ReferenceData!$N$634),"",ReferenceData!$N$634),"")</f>
        <v>27.724265299999999</v>
      </c>
      <c r="O634">
        <f ca="1">IFERROR(IF(0=LEN(ReferenceData!$O$634),"",ReferenceData!$O$634),"")</f>
        <v>26.675707460000002</v>
      </c>
      <c r="P634">
        <f ca="1">IFERROR(IF(0=LEN(ReferenceData!$P$634),"",ReferenceData!$P$634),"")</f>
        <v>25.960747959999999</v>
      </c>
      <c r="Q634">
        <f ca="1">IFERROR(IF(0=LEN(ReferenceData!$Q$634),"",ReferenceData!$Q$634),"")</f>
        <v>27.28353757</v>
      </c>
      <c r="R634">
        <f ca="1">IFERROR(IF(0=LEN(ReferenceData!$R$634),"",ReferenceData!$R$634),"")</f>
        <v>19.97472999</v>
      </c>
      <c r="S634">
        <f ca="1">IFERROR(IF(0=LEN(ReferenceData!$S$634),"",ReferenceData!$S$634),"")</f>
        <v>16.148646580000001</v>
      </c>
      <c r="T634">
        <f ca="1">IFERROR(IF(0=LEN(ReferenceData!$T$634),"",ReferenceData!$T$634),"")</f>
        <v>16.221066960000002</v>
      </c>
      <c r="U634">
        <f ca="1">IFERROR(IF(0=LEN(ReferenceData!$U$634),"",ReferenceData!$U$634),"")</f>
        <v>9.8893755910000003</v>
      </c>
      <c r="V634">
        <f ca="1">IFERROR(IF(0=LEN(ReferenceData!$V$634),"",ReferenceData!$V$634),"")</f>
        <v>8.9877120490000006</v>
      </c>
      <c r="W634">
        <f ca="1">IFERROR(IF(0=LEN(ReferenceData!$W$634),"",ReferenceData!$W$634),"")</f>
        <v>11.80796337</v>
      </c>
      <c r="X634">
        <f ca="1">IFERROR(IF(0=LEN(ReferenceData!$X$634),"",ReferenceData!$X$634),"")</f>
        <v>9.4260355199999992</v>
      </c>
      <c r="Y634">
        <f ca="1">IFERROR(IF(0=LEN(ReferenceData!$Y$634),"",ReferenceData!$Y$634),"")</f>
        <v>8.0077553330000004</v>
      </c>
      <c r="Z634">
        <f ca="1">IFERROR(IF(0=LEN(ReferenceData!$Z$634),"",ReferenceData!$Z$634),"")</f>
        <v>9.34491725</v>
      </c>
      <c r="AA634">
        <f ca="1">IFERROR(IF(0=LEN(ReferenceData!$AA$634),"",ReferenceData!$AA$634),"")</f>
        <v>6.4111563020000002</v>
      </c>
      <c r="AB634">
        <f ca="1">IFERROR(IF(0=LEN(ReferenceData!$AB$634),"",ReferenceData!$AB$634),"")</f>
        <v>7.4448338749999996</v>
      </c>
      <c r="AC634">
        <f ca="1">IFERROR(IF(0=LEN(ReferenceData!$AC$634),"",ReferenceData!$AC$634),"")</f>
        <v>6.9653000110000001</v>
      </c>
      <c r="AD634">
        <f ca="1">IFERROR(IF(0=LEN(ReferenceData!$AD$634),"",ReferenceData!$AD$634),"")</f>
        <v>5.5334145729999999</v>
      </c>
      <c r="AE634">
        <f ca="1">IFERROR(IF(0=LEN(ReferenceData!$AE$634),"",ReferenceData!$AE$634),"")</f>
        <v>7.2042006629999999</v>
      </c>
      <c r="AF634">
        <f ca="1">IFERROR(IF(0=LEN(ReferenceData!$AF$634),"",ReferenceData!$AF$634),"")</f>
        <v>12.689495470000001</v>
      </c>
      <c r="AG634">
        <f ca="1">IFERROR(IF(0=LEN(ReferenceData!$AG$634),"",ReferenceData!$AG$634),"")</f>
        <v>12.62877273</v>
      </c>
      <c r="AH634">
        <f ca="1">IFERROR(IF(0=LEN(ReferenceData!$AH$634),"",ReferenceData!$AH$634),"")</f>
        <v>11.5197272</v>
      </c>
      <c r="AI634">
        <f ca="1">IFERROR(IF(0=LEN(ReferenceData!$AI$634),"",ReferenceData!$AI$634),"")</f>
        <v>18.293393859999998</v>
      </c>
      <c r="AJ634">
        <f ca="1">IFERROR(IF(0=LEN(ReferenceData!$AJ$634),"",ReferenceData!$AJ$634),"")</f>
        <v>21.042693499999999</v>
      </c>
      <c r="AK634">
        <f ca="1">IFERROR(IF(0=LEN(ReferenceData!$AK$634),"",ReferenceData!$AK$634),"")</f>
        <v>16.78215612</v>
      </c>
      <c r="AL634">
        <f ca="1">IFERROR(IF(0=LEN(ReferenceData!$AL$634),"",ReferenceData!$AL$634),"")</f>
        <v>14.38824155</v>
      </c>
      <c r="AM634">
        <f ca="1">IFERROR(IF(0=LEN(ReferenceData!$AM$634),"",ReferenceData!$AM$634),"")</f>
        <v>9.6466832220000001</v>
      </c>
      <c r="AN634">
        <f ca="1">IFERROR(IF(0=LEN(ReferenceData!$AN$634),"",ReferenceData!$AN$634),"")</f>
        <v>27.655002419999999</v>
      </c>
      <c r="AO634">
        <f ca="1">IFERROR(IF(0=LEN(ReferenceData!$AO$634),"",ReferenceData!$AO$634),"")</f>
        <v>38.097362580000002</v>
      </c>
      <c r="AP634">
        <f ca="1">IFERROR(IF(0=LEN(ReferenceData!$AP$634),"",ReferenceData!$AP$634),"")</f>
        <v>25.083197640000002</v>
      </c>
      <c r="AQ634">
        <f ca="1">IFERROR(IF(0=LEN(ReferenceData!$AQ$634),"",ReferenceData!$AQ$634),"")</f>
        <v>24.27806197</v>
      </c>
      <c r="AR634">
        <f ca="1">IFERROR(IF(0=LEN(ReferenceData!$AR$634),"",ReferenceData!$AR$634),"")</f>
        <v>-47.559794699999998</v>
      </c>
      <c r="AS634">
        <f ca="1">IFERROR(IF(0=LEN(ReferenceData!$AS$634),"",ReferenceData!$AS$634),"")</f>
        <v>-63.532849380000002</v>
      </c>
      <c r="AT634">
        <f ca="1">IFERROR(IF(0=LEN(ReferenceData!$AT$634),"",ReferenceData!$AT$634),"")</f>
        <v>-211.0808706</v>
      </c>
      <c r="AU634">
        <f ca="1">IFERROR(IF(0=LEN(ReferenceData!$AU$634),"",ReferenceData!$AU$634),"")</f>
        <v>-183.8595809</v>
      </c>
      <c r="AV634">
        <f ca="1">IFERROR(IF(0=LEN(ReferenceData!$AV$634),"",ReferenceData!$AV$634),"")</f>
        <v>40.147896600000003</v>
      </c>
      <c r="AW634">
        <f ca="1">IFERROR(IF(0=LEN(ReferenceData!$AW$634),"",ReferenceData!$AW$634),"")</f>
        <v>55.90679428</v>
      </c>
      <c r="AX634">
        <f ca="1">IFERROR(IF(0=LEN(ReferenceData!$AX$634),"",ReferenceData!$AX$634),"")</f>
        <v>79.324763090000005</v>
      </c>
      <c r="AY634">
        <f ca="1">IFERROR(IF(0=LEN(ReferenceData!$AY$634),"",ReferenceData!$AY$634),"")</f>
        <v>64.421938609999998</v>
      </c>
      <c r="AZ634">
        <f ca="1">IFERROR(IF(0=LEN(ReferenceData!$AZ$634),"",ReferenceData!$AZ$634),"")</f>
        <v>-11.14130649</v>
      </c>
      <c r="BA634">
        <f ca="1">IFERROR(IF(0=LEN(ReferenceData!$BA$634),"",ReferenceData!$BA$634),"")</f>
        <v>-32.189052029999999</v>
      </c>
      <c r="BB634">
        <f ca="1">IFERROR(IF(0=LEN(ReferenceData!$BB$634),"",ReferenceData!$BB$634),"")</f>
        <v>-10.84239245</v>
      </c>
      <c r="BC634">
        <f ca="1">IFERROR(IF(0=LEN(ReferenceData!$BC$634),"",ReferenceData!$BC$634),"")</f>
        <v>-26.188542550000001</v>
      </c>
      <c r="BD634">
        <f ca="1">IFERROR(IF(0=LEN(ReferenceData!$BD$634),"",ReferenceData!$BD$634),"")</f>
        <v>31.69403333</v>
      </c>
      <c r="BE634">
        <f ca="1">IFERROR(IF(0=LEN(ReferenceData!$BE$634),"",ReferenceData!$BE$634),"")</f>
        <v>35.114456429999997</v>
      </c>
      <c r="BF634">
        <f ca="1">IFERROR(IF(0=LEN(ReferenceData!$BF$634),"",ReferenceData!$BF$634),"")</f>
        <v>-14.10515915</v>
      </c>
      <c r="BG634">
        <f ca="1">IFERROR(IF(0=LEN(ReferenceData!$BG$634),"",ReferenceData!$BG$634),"")</f>
        <v>10.982679510000001</v>
      </c>
      <c r="BH634">
        <f ca="1">IFERROR(IF(0=LEN(ReferenceData!$BH$634),"",ReferenceData!$BH$634),"")</f>
        <v>36.74113775</v>
      </c>
      <c r="BI634">
        <f ca="1">IFERROR(IF(0=LEN(ReferenceData!$BI$634),"",ReferenceData!$BI$634),"")</f>
        <v>66.420046249999999</v>
      </c>
      <c r="BJ634">
        <f ca="1">IFERROR(IF(0=LEN(ReferenceData!$BJ$634),"",ReferenceData!$BJ$634),"")</f>
        <v>84.399893750000004</v>
      </c>
      <c r="BK634">
        <f ca="1">IFERROR(IF(0=LEN(ReferenceData!$BK$634),"",ReferenceData!$BK$634),"")</f>
        <v>73.541221969999995</v>
      </c>
      <c r="BL634">
        <f ca="1">IFERROR(IF(0=LEN(ReferenceData!$BL$634),"",ReferenceData!$BL$634),"")</f>
        <v>44.942318149999998</v>
      </c>
      <c r="BM634">
        <f ca="1">IFERROR(IF(0=LEN(ReferenceData!$BM$634),"",ReferenceData!$BM$634),"")</f>
        <v>39.19003275</v>
      </c>
    </row>
    <row r="635" spans="1:65" x14ac:dyDescent="0.25">
      <c r="A635" t="str">
        <f>IFERROR(IF(0=LEN(ReferenceData!$A$635),"",ReferenceData!$A$635),"")</f>
        <v xml:space="preserve">    Ford Otomotiv Sanayi AS</v>
      </c>
      <c r="B635" t="str">
        <f>IFERROR(IF(0=LEN(ReferenceData!$B$635),"",ReferenceData!$B$635),"")</f>
        <v>FROTOTRY EO Equity</v>
      </c>
      <c r="C635" t="str">
        <f>IFERROR(IF(0=LEN(ReferenceData!$C$635),"",ReferenceData!$C$635),"")</f>
        <v>RX539</v>
      </c>
      <c r="D635" t="str">
        <f>IFERROR(IF(0=LEN(ReferenceData!$D$635),"",ReferenceData!$D$635),"")</f>
        <v>T12_FCF_YIELD</v>
      </c>
      <c r="E635" t="str">
        <f>IFERROR(IF(0=LEN(ReferenceData!$E$635),"",ReferenceData!$E$635),"")</f>
        <v>Dynamic</v>
      </c>
      <c r="F635">
        <f ca="1">IFERROR(IF(0=LEN(ReferenceData!$F$635),"",ReferenceData!$F$635),"")</f>
        <v>6.9191737699999996</v>
      </c>
      <c r="G635">
        <f ca="1">IFERROR(IF(0=LEN(ReferenceData!$G$635),"",ReferenceData!$G$635),"")</f>
        <v>7.6318486679999999</v>
      </c>
      <c r="H635">
        <f ca="1">IFERROR(IF(0=LEN(ReferenceData!$H$635),"",ReferenceData!$H$635),"")</f>
        <v>7.3784279240000004</v>
      </c>
      <c r="I635">
        <f ca="1">IFERROR(IF(0=LEN(ReferenceData!$I$635),"",ReferenceData!$I$635),"")</f>
        <v>7.1524587899999998</v>
      </c>
      <c r="J635">
        <f ca="1">IFERROR(IF(0=LEN(ReferenceData!$J$635),"",ReferenceData!$J$635),"")</f>
        <v>7.0048703620000001</v>
      </c>
      <c r="K635">
        <f ca="1">IFERROR(IF(0=LEN(ReferenceData!$K$635),"",ReferenceData!$K$635),"")</f>
        <v>7.509069158</v>
      </c>
      <c r="L635">
        <f ca="1">IFERROR(IF(0=LEN(ReferenceData!$L$635),"",ReferenceData!$L$635),"")</f>
        <v>10.50573997</v>
      </c>
      <c r="M635">
        <f ca="1">IFERROR(IF(0=LEN(ReferenceData!$M$635),"",ReferenceData!$M$635),"")</f>
        <v>12.327123350000001</v>
      </c>
      <c r="N635">
        <f ca="1">IFERROR(IF(0=LEN(ReferenceData!$N$635),"",ReferenceData!$N$635),"")</f>
        <v>12.73056712</v>
      </c>
      <c r="O635">
        <f ca="1">IFERROR(IF(0=LEN(ReferenceData!$O$635),"",ReferenceData!$O$635),"")</f>
        <v>10.900534670000001</v>
      </c>
      <c r="P635">
        <f ca="1">IFERROR(IF(0=LEN(ReferenceData!$P$635),"",ReferenceData!$P$635),"")</f>
        <v>7.281214469</v>
      </c>
      <c r="Q635">
        <f ca="1">IFERROR(IF(0=LEN(ReferenceData!$Q$635),"",ReferenceData!$Q$635),"")</f>
        <v>11.07037169</v>
      </c>
      <c r="R635">
        <f ca="1">IFERROR(IF(0=LEN(ReferenceData!$R$635),"",ReferenceData!$R$635),"")</f>
        <v>5.9163706989999998</v>
      </c>
      <c r="S635">
        <f ca="1">IFERROR(IF(0=LEN(ReferenceData!$S$635),"",ReferenceData!$S$635),"")</f>
        <v>8.7929549789999992</v>
      </c>
      <c r="T635">
        <f ca="1">IFERROR(IF(0=LEN(ReferenceData!$T$635),"",ReferenceData!$T$635),"")</f>
        <v>5.9595084380000003</v>
      </c>
      <c r="U635">
        <f ca="1">IFERROR(IF(0=LEN(ReferenceData!$U$635),"",ReferenceData!$U$635),"")</f>
        <v>-2.8111976470000002</v>
      </c>
      <c r="V635">
        <f ca="1">IFERROR(IF(0=LEN(ReferenceData!$V$635),"",ReferenceData!$V$635),"")</f>
        <v>-0.51051530700000003</v>
      </c>
      <c r="W635">
        <f ca="1">IFERROR(IF(0=LEN(ReferenceData!$W$635),"",ReferenceData!$W$635),"")</f>
        <v>0.54786975699999996</v>
      </c>
      <c r="X635">
        <f ca="1">IFERROR(IF(0=LEN(ReferenceData!$X$635),"",ReferenceData!$X$635),"")</f>
        <v>-8.2688599069999995</v>
      </c>
      <c r="Y635">
        <f ca="1">IFERROR(IF(0=LEN(ReferenceData!$Y$635),"",ReferenceData!$Y$635),"")</f>
        <v>-3.325733316</v>
      </c>
      <c r="Z635">
        <f ca="1">IFERROR(IF(0=LEN(ReferenceData!$Z$635),"",ReferenceData!$Z$635),"")</f>
        <v>-6.6800014880000003</v>
      </c>
      <c r="AA635">
        <f ca="1">IFERROR(IF(0=LEN(ReferenceData!$AA$635),"",ReferenceData!$AA$635),"")</f>
        <v>-1.2959142999999999E-2</v>
      </c>
      <c r="AB635">
        <f ca="1">IFERROR(IF(0=LEN(ReferenceData!$AB$635),"",ReferenceData!$AB$635),"")</f>
        <v>4.51498008</v>
      </c>
      <c r="AC635">
        <f ca="1">IFERROR(IF(0=LEN(ReferenceData!$AC$635),"",ReferenceData!$AC$635),"")</f>
        <v>1.759553981</v>
      </c>
      <c r="AD635">
        <f ca="1">IFERROR(IF(0=LEN(ReferenceData!$AD$635),"",ReferenceData!$AD$635),"")</f>
        <v>1.8660668410000001</v>
      </c>
      <c r="AE635">
        <f ca="1">IFERROR(IF(0=LEN(ReferenceData!$AE$635),"",ReferenceData!$AE$635),"")</f>
        <v>-0.44465621399999999</v>
      </c>
      <c r="AF635">
        <f ca="1">IFERROR(IF(0=LEN(ReferenceData!$AF$635),"",ReferenceData!$AF$635),"")</f>
        <v>-0.70499851099999999</v>
      </c>
      <c r="AG635">
        <f ca="1">IFERROR(IF(0=LEN(ReferenceData!$AG$635),"",ReferenceData!$AG$635),"")</f>
        <v>4.3307912200000001</v>
      </c>
      <c r="AH635">
        <f ca="1">IFERROR(IF(0=LEN(ReferenceData!$AH$635),"",ReferenceData!$AH$635),"")</f>
        <v>5.0335643699999997</v>
      </c>
      <c r="AI635">
        <f ca="1">IFERROR(IF(0=LEN(ReferenceData!$AI$635),"",ReferenceData!$AI$635),"")</f>
        <v>10.601273470000001</v>
      </c>
      <c r="AJ635">
        <f ca="1">IFERROR(IF(0=LEN(ReferenceData!$AJ$635),"",ReferenceData!$AJ$635),"")</f>
        <v>11.59986475</v>
      </c>
      <c r="AK635">
        <f ca="1">IFERROR(IF(0=LEN(ReferenceData!$AK$635),"",ReferenceData!$AK$635),"")</f>
        <v>13.144426279999999</v>
      </c>
      <c r="AL635">
        <f ca="1">IFERROR(IF(0=LEN(ReferenceData!$AL$635),"",ReferenceData!$AL$635),"")</f>
        <v>12.834176169999999</v>
      </c>
      <c r="AM635">
        <f ca="1">IFERROR(IF(0=LEN(ReferenceData!$AM$635),"",ReferenceData!$AM$635),"")</f>
        <v>8.7280497520000004</v>
      </c>
      <c r="AN635">
        <f ca="1">IFERROR(IF(0=LEN(ReferenceData!$AN$635),"",ReferenceData!$AN$635),"")</f>
        <v>13.32651469</v>
      </c>
      <c r="AO635">
        <f ca="1">IFERROR(IF(0=LEN(ReferenceData!$AO$635),"",ReferenceData!$AO$635),"")</f>
        <v>10.494268780000001</v>
      </c>
      <c r="AP635">
        <f ca="1">IFERROR(IF(0=LEN(ReferenceData!$AP$635),"",ReferenceData!$AP$635),"")</f>
        <v>12.753724679999999</v>
      </c>
      <c r="AQ635">
        <f ca="1">IFERROR(IF(0=LEN(ReferenceData!$AQ$635),"",ReferenceData!$AQ$635),"")</f>
        <v>15.433961979999999</v>
      </c>
      <c r="AR635">
        <f ca="1">IFERROR(IF(0=LEN(ReferenceData!$AR$635),"",ReferenceData!$AR$635),"")</f>
        <v>8.5066309419999993</v>
      </c>
      <c r="AS635">
        <f ca="1">IFERROR(IF(0=LEN(ReferenceData!$AS$635),"",ReferenceData!$AS$635),"")</f>
        <v>33.834288800000003</v>
      </c>
      <c r="AT635">
        <f ca="1">IFERROR(IF(0=LEN(ReferenceData!$AT$635),"",ReferenceData!$AT$635),"")</f>
        <v>41.004073300000002</v>
      </c>
      <c r="AU635">
        <f ca="1">IFERROR(IF(0=LEN(ReferenceData!$AU$635),"",ReferenceData!$AU$635),"")</f>
        <v>29.61655219</v>
      </c>
      <c r="AV635">
        <f ca="1">IFERROR(IF(0=LEN(ReferenceData!$AV$635),"",ReferenceData!$AV$635),"")</f>
        <v>31.346403420000001</v>
      </c>
      <c r="AW635">
        <f ca="1">IFERROR(IF(0=LEN(ReferenceData!$AW$635),"",ReferenceData!$AW$635),"")</f>
        <v>18.10300754</v>
      </c>
      <c r="AX635">
        <f ca="1">IFERROR(IF(0=LEN(ReferenceData!$AX$635),"",ReferenceData!$AX$635),"")</f>
        <v>19.898284459999999</v>
      </c>
      <c r="AY635">
        <f ca="1">IFERROR(IF(0=LEN(ReferenceData!$AY$635),"",ReferenceData!$AY$635),"")</f>
        <v>13.62044341</v>
      </c>
      <c r="AZ635">
        <f ca="1">IFERROR(IF(0=LEN(ReferenceData!$AZ$635),"",ReferenceData!$AZ$635),"")</f>
        <v>9.5941237269999995</v>
      </c>
      <c r="BA635">
        <f ca="1">IFERROR(IF(0=LEN(ReferenceData!$BA$635),"",ReferenceData!$BA$635),"")</f>
        <v>6.6348223180000003</v>
      </c>
      <c r="BB635">
        <f ca="1">IFERROR(IF(0=LEN(ReferenceData!$BB$635),"",ReferenceData!$BB$635),"")</f>
        <v>4.2286011590000001</v>
      </c>
      <c r="BC635">
        <f ca="1">IFERROR(IF(0=LEN(ReferenceData!$BC$635),"",ReferenceData!$BC$635),"")</f>
        <v>8.6139588150000002</v>
      </c>
      <c r="BD635">
        <f ca="1">IFERROR(IF(0=LEN(ReferenceData!$BD$635),"",ReferenceData!$BD$635),"")</f>
        <v>7.959751282</v>
      </c>
      <c r="BE635">
        <f ca="1">IFERROR(IF(0=LEN(ReferenceData!$BE$635),"",ReferenceData!$BE$635),"")</f>
        <v>10.503177519999999</v>
      </c>
      <c r="BF635">
        <f ca="1">IFERROR(IF(0=LEN(ReferenceData!$BF$635),"",ReferenceData!$BF$635),"")</f>
        <v>14.232442280000001</v>
      </c>
      <c r="BG635">
        <f ca="1">IFERROR(IF(0=LEN(ReferenceData!$BG$635),"",ReferenceData!$BG$635),"")</f>
        <v>10.713451989999999</v>
      </c>
      <c r="BH635" t="str">
        <f ca="1">IFERROR(IF(0=LEN(ReferenceData!$BH$635),"",ReferenceData!$BH$635),"")</f>
        <v/>
      </c>
      <c r="BI635" t="str">
        <f ca="1">IFERROR(IF(0=LEN(ReferenceData!$BI$635),"",ReferenceData!$BI$635),"")</f>
        <v/>
      </c>
      <c r="BJ635" t="str">
        <f ca="1">IFERROR(IF(0=LEN(ReferenceData!$BJ$635),"",ReferenceData!$BJ$635),"")</f>
        <v/>
      </c>
      <c r="BK635" t="str">
        <f ca="1">IFERROR(IF(0=LEN(ReferenceData!$BK$635),"",ReferenceData!$BK$635),"")</f>
        <v/>
      </c>
      <c r="BL635" t="str">
        <f ca="1">IFERROR(IF(0=LEN(ReferenceData!$BL$635),"",ReferenceData!$BL$635),"")</f>
        <v/>
      </c>
      <c r="BM635" t="str">
        <f ca="1">IFERROR(IF(0=LEN(ReferenceData!$BM$635),"",ReferenceData!$BM$635),"")</f>
        <v/>
      </c>
    </row>
    <row r="636" spans="1:65" x14ac:dyDescent="0.25">
      <c r="A636" t="str">
        <f>IFERROR(IF(0=LEN(ReferenceData!$A$636),"",ReferenceData!$A$636),"")</f>
        <v xml:space="preserve">    GAZ PJSC</v>
      </c>
      <c r="B636" t="str">
        <f>IFERROR(IF(0=LEN(ReferenceData!$B$636),"",ReferenceData!$B$636),"")</f>
        <v>GAZA RM Equity</v>
      </c>
      <c r="C636" t="str">
        <f>IFERROR(IF(0=LEN(ReferenceData!$C$636),"",ReferenceData!$C$636),"")</f>
        <v>RX539</v>
      </c>
      <c r="D636" t="str">
        <f>IFERROR(IF(0=LEN(ReferenceData!$D$636),"",ReferenceData!$D$636),"")</f>
        <v>T12_FCF_YIELD</v>
      </c>
      <c r="E636" t="str">
        <f>IFERROR(IF(0=LEN(ReferenceData!$E$636),"",ReferenceData!$E$636),"")</f>
        <v>Dynamic</v>
      </c>
      <c r="F636" t="str">
        <f ca="1">IFERROR(IF(0=LEN(ReferenceData!$F$636),"",ReferenceData!$F$636),"")</f>
        <v/>
      </c>
      <c r="G636" t="str">
        <f ca="1">IFERROR(IF(0=LEN(ReferenceData!$G$636),"",ReferenceData!$G$636),"")</f>
        <v/>
      </c>
      <c r="H636" t="str">
        <f ca="1">IFERROR(IF(0=LEN(ReferenceData!$H$636),"",ReferenceData!$H$636),"")</f>
        <v/>
      </c>
      <c r="I636" t="str">
        <f ca="1">IFERROR(IF(0=LEN(ReferenceData!$I$636),"",ReferenceData!$I$636),"")</f>
        <v/>
      </c>
      <c r="J636" t="str">
        <f ca="1">IFERROR(IF(0=LEN(ReferenceData!$J$636),"",ReferenceData!$J$636),"")</f>
        <v/>
      </c>
      <c r="K636" t="str">
        <f ca="1">IFERROR(IF(0=LEN(ReferenceData!$K$636),"",ReferenceData!$K$636),"")</f>
        <v/>
      </c>
      <c r="L636" t="str">
        <f ca="1">IFERROR(IF(0=LEN(ReferenceData!$L$636),"",ReferenceData!$L$636),"")</f>
        <v/>
      </c>
      <c r="M636" t="str">
        <f ca="1">IFERROR(IF(0=LEN(ReferenceData!$M$636),"",ReferenceData!$M$636),"")</f>
        <v/>
      </c>
      <c r="N636" t="str">
        <f ca="1">IFERROR(IF(0=LEN(ReferenceData!$N$636),"",ReferenceData!$N$636),"")</f>
        <v/>
      </c>
      <c r="O636" t="str">
        <f ca="1">IFERROR(IF(0=LEN(ReferenceData!$O$636),"",ReferenceData!$O$636),"")</f>
        <v/>
      </c>
      <c r="P636" t="str">
        <f ca="1">IFERROR(IF(0=LEN(ReferenceData!$P$636),"",ReferenceData!$P$636),"")</f>
        <v/>
      </c>
      <c r="Q636" t="str">
        <f ca="1">IFERROR(IF(0=LEN(ReferenceData!$Q$636),"",ReferenceData!$Q$636),"")</f>
        <v/>
      </c>
      <c r="R636" t="str">
        <f ca="1">IFERROR(IF(0=LEN(ReferenceData!$R$636),"",ReferenceData!$R$636),"")</f>
        <v/>
      </c>
      <c r="S636" t="str">
        <f ca="1">IFERROR(IF(0=LEN(ReferenceData!$S$636),"",ReferenceData!$S$636),"")</f>
        <v/>
      </c>
      <c r="T636" t="str">
        <f ca="1">IFERROR(IF(0=LEN(ReferenceData!$T$636),"",ReferenceData!$T$636),"")</f>
        <v/>
      </c>
      <c r="U636" t="str">
        <f ca="1">IFERROR(IF(0=LEN(ReferenceData!$U$636),"",ReferenceData!$U$636),"")</f>
        <v/>
      </c>
      <c r="V636" t="str">
        <f ca="1">IFERROR(IF(0=LEN(ReferenceData!$V$636),"",ReferenceData!$V$636),"")</f>
        <v/>
      </c>
      <c r="W636" t="str">
        <f ca="1">IFERROR(IF(0=LEN(ReferenceData!$W$636),"",ReferenceData!$W$636),"")</f>
        <v/>
      </c>
      <c r="X636" t="str">
        <f ca="1">IFERROR(IF(0=LEN(ReferenceData!$X$636),"",ReferenceData!$X$636),"")</f>
        <v/>
      </c>
      <c r="Y636" t="str">
        <f ca="1">IFERROR(IF(0=LEN(ReferenceData!$Y$636),"",ReferenceData!$Y$636),"")</f>
        <v/>
      </c>
      <c r="Z636" t="str">
        <f ca="1">IFERROR(IF(0=LEN(ReferenceData!$Z$636),"",ReferenceData!$Z$636),"")</f>
        <v/>
      </c>
      <c r="AA636" t="str">
        <f ca="1">IFERROR(IF(0=LEN(ReferenceData!$AA$636),"",ReferenceData!$AA$636),"")</f>
        <v/>
      </c>
      <c r="AB636" t="str">
        <f ca="1">IFERROR(IF(0=LEN(ReferenceData!$AB$636),"",ReferenceData!$AB$636),"")</f>
        <v/>
      </c>
      <c r="AC636" t="str">
        <f ca="1">IFERROR(IF(0=LEN(ReferenceData!$AC$636),"",ReferenceData!$AC$636),"")</f>
        <v/>
      </c>
      <c r="AD636" t="str">
        <f ca="1">IFERROR(IF(0=LEN(ReferenceData!$AD$636),"",ReferenceData!$AD$636),"")</f>
        <v/>
      </c>
      <c r="AE636" t="str">
        <f ca="1">IFERROR(IF(0=LEN(ReferenceData!$AE$636),"",ReferenceData!$AE$636),"")</f>
        <v/>
      </c>
      <c r="AF636" t="str">
        <f ca="1">IFERROR(IF(0=LEN(ReferenceData!$AF$636),"",ReferenceData!$AF$636),"")</f>
        <v/>
      </c>
      <c r="AG636" t="str">
        <f ca="1">IFERROR(IF(0=LEN(ReferenceData!$AG$636),"",ReferenceData!$AG$636),"")</f>
        <v/>
      </c>
      <c r="AH636" t="str">
        <f ca="1">IFERROR(IF(0=LEN(ReferenceData!$AH$636),"",ReferenceData!$AH$636),"")</f>
        <v/>
      </c>
      <c r="AI636" t="str">
        <f ca="1">IFERROR(IF(0=LEN(ReferenceData!$AI$636),"",ReferenceData!$AI$636),"")</f>
        <v/>
      </c>
      <c r="AJ636" t="str">
        <f ca="1">IFERROR(IF(0=LEN(ReferenceData!$AJ$636),"",ReferenceData!$AJ$636),"")</f>
        <v/>
      </c>
      <c r="AK636" t="str">
        <f ca="1">IFERROR(IF(0=LEN(ReferenceData!$AK$636),"",ReferenceData!$AK$636),"")</f>
        <v/>
      </c>
      <c r="AL636" t="str">
        <f ca="1">IFERROR(IF(0=LEN(ReferenceData!$AL$636),"",ReferenceData!$AL$636),"")</f>
        <v/>
      </c>
      <c r="AM636" t="str">
        <f ca="1">IFERROR(IF(0=LEN(ReferenceData!$AM$636),"",ReferenceData!$AM$636),"")</f>
        <v/>
      </c>
      <c r="AN636" t="str">
        <f ca="1">IFERROR(IF(0=LEN(ReferenceData!$AN$636),"",ReferenceData!$AN$636),"")</f>
        <v/>
      </c>
      <c r="AO636" t="str">
        <f ca="1">IFERROR(IF(0=LEN(ReferenceData!$AO$636),"",ReferenceData!$AO$636),"")</f>
        <v/>
      </c>
      <c r="AP636" t="str">
        <f ca="1">IFERROR(IF(0=LEN(ReferenceData!$AP$636),"",ReferenceData!$AP$636),"")</f>
        <v/>
      </c>
      <c r="AQ636" t="str">
        <f ca="1">IFERROR(IF(0=LEN(ReferenceData!$AQ$636),"",ReferenceData!$AQ$636),"")</f>
        <v/>
      </c>
      <c r="AR636" t="str">
        <f ca="1">IFERROR(IF(0=LEN(ReferenceData!$AR$636),"",ReferenceData!$AR$636),"")</f>
        <v/>
      </c>
      <c r="AS636" t="str">
        <f ca="1">IFERROR(IF(0=LEN(ReferenceData!$AS$636),"",ReferenceData!$AS$636),"")</f>
        <v/>
      </c>
      <c r="AT636" t="str">
        <f ca="1">IFERROR(IF(0=LEN(ReferenceData!$AT$636),"",ReferenceData!$AT$636),"")</f>
        <v/>
      </c>
      <c r="AU636" t="str">
        <f ca="1">IFERROR(IF(0=LEN(ReferenceData!$AU$636),"",ReferenceData!$AU$636),"")</f>
        <v/>
      </c>
      <c r="AV636" t="str">
        <f ca="1">IFERROR(IF(0=LEN(ReferenceData!$AV$636),"",ReferenceData!$AV$636),"")</f>
        <v/>
      </c>
      <c r="AW636" t="str">
        <f ca="1">IFERROR(IF(0=LEN(ReferenceData!$AW$636),"",ReferenceData!$AW$636),"")</f>
        <v/>
      </c>
      <c r="AX636" t="str">
        <f ca="1">IFERROR(IF(0=LEN(ReferenceData!$AX$636),"",ReferenceData!$AX$636),"")</f>
        <v/>
      </c>
      <c r="AY636" t="str">
        <f ca="1">IFERROR(IF(0=LEN(ReferenceData!$AY$636),"",ReferenceData!$AY$636),"")</f>
        <v/>
      </c>
      <c r="AZ636" t="str">
        <f ca="1">IFERROR(IF(0=LEN(ReferenceData!$AZ$636),"",ReferenceData!$AZ$636),"")</f>
        <v/>
      </c>
      <c r="BA636" t="str">
        <f ca="1">IFERROR(IF(0=LEN(ReferenceData!$BA$636),"",ReferenceData!$BA$636),"")</f>
        <v/>
      </c>
      <c r="BB636" t="str">
        <f ca="1">IFERROR(IF(0=LEN(ReferenceData!$BB$636),"",ReferenceData!$BB$636),"")</f>
        <v/>
      </c>
      <c r="BC636" t="str">
        <f ca="1">IFERROR(IF(0=LEN(ReferenceData!$BC$636),"",ReferenceData!$BC$636),"")</f>
        <v/>
      </c>
      <c r="BD636" t="str">
        <f ca="1">IFERROR(IF(0=LEN(ReferenceData!$BD$636),"",ReferenceData!$BD$636),"")</f>
        <v/>
      </c>
      <c r="BE636" t="str">
        <f ca="1">IFERROR(IF(0=LEN(ReferenceData!$BE$636),"",ReferenceData!$BE$636),"")</f>
        <v/>
      </c>
      <c r="BF636" t="str">
        <f ca="1">IFERROR(IF(0=LEN(ReferenceData!$BF$636),"",ReferenceData!$BF$636),"")</f>
        <v/>
      </c>
      <c r="BG636" t="str">
        <f ca="1">IFERROR(IF(0=LEN(ReferenceData!$BG$636),"",ReferenceData!$BG$636),"")</f>
        <v/>
      </c>
      <c r="BH636" t="str">
        <f ca="1">IFERROR(IF(0=LEN(ReferenceData!$BH$636),"",ReferenceData!$BH$636),"")</f>
        <v/>
      </c>
      <c r="BI636" t="str">
        <f ca="1">IFERROR(IF(0=LEN(ReferenceData!$BI$636),"",ReferenceData!$BI$636),"")</f>
        <v/>
      </c>
      <c r="BJ636" t="str">
        <f ca="1">IFERROR(IF(0=LEN(ReferenceData!$BJ$636),"",ReferenceData!$BJ$636),"")</f>
        <v/>
      </c>
      <c r="BK636" t="str">
        <f ca="1">IFERROR(IF(0=LEN(ReferenceData!$BK$636),"",ReferenceData!$BK$636),"")</f>
        <v/>
      </c>
      <c r="BL636" t="str">
        <f ca="1">IFERROR(IF(0=LEN(ReferenceData!$BL$636),"",ReferenceData!$BL$636),"")</f>
        <v/>
      </c>
      <c r="BM636" t="str">
        <f ca="1">IFERROR(IF(0=LEN(ReferenceData!$BM$636),"",ReferenceData!$BM$636),"")</f>
        <v/>
      </c>
    </row>
    <row r="637" spans="1:65" x14ac:dyDescent="0.25">
      <c r="A637" t="str">
        <f>IFERROR(IF(0=LEN(ReferenceData!$A$637),"",ReferenceData!$A$637),"")</f>
        <v xml:space="preserve">    Geely Automobile Holdings Ltd</v>
      </c>
      <c r="B637" t="str">
        <f>IFERROR(IF(0=LEN(ReferenceData!$B$637),"",ReferenceData!$B$637),"")</f>
        <v>175 HK Equity</v>
      </c>
      <c r="C637" t="str">
        <f>IFERROR(IF(0=LEN(ReferenceData!$C$637),"",ReferenceData!$C$637),"")</f>
        <v>RX539</v>
      </c>
      <c r="D637" t="str">
        <f>IFERROR(IF(0=LEN(ReferenceData!$D$637),"",ReferenceData!$D$637),"")</f>
        <v>T12_FCF_YIELD</v>
      </c>
      <c r="E637" t="str">
        <f>IFERROR(IF(0=LEN(ReferenceData!$E$637),"",ReferenceData!$E$637),"")</f>
        <v>Dynamic</v>
      </c>
      <c r="F637" t="str">
        <f ca="1">IFERROR(IF(0=LEN(ReferenceData!$F$637),"",ReferenceData!$F$637),"")</f>
        <v/>
      </c>
      <c r="G637" t="str">
        <f ca="1">IFERROR(IF(0=LEN(ReferenceData!$G$637),"",ReferenceData!$G$637),"")</f>
        <v/>
      </c>
      <c r="H637" t="str">
        <f ca="1">IFERROR(IF(0=LEN(ReferenceData!$H$637),"",ReferenceData!$H$637),"")</f>
        <v/>
      </c>
      <c r="I637" t="str">
        <f ca="1">IFERROR(IF(0=LEN(ReferenceData!$I$637),"",ReferenceData!$I$637),"")</f>
        <v/>
      </c>
      <c r="J637" t="str">
        <f ca="1">IFERROR(IF(0=LEN(ReferenceData!$J$637),"",ReferenceData!$J$637),"")</f>
        <v/>
      </c>
      <c r="K637" t="str">
        <f ca="1">IFERROR(IF(0=LEN(ReferenceData!$K$637),"",ReferenceData!$K$637),"")</f>
        <v/>
      </c>
      <c r="L637" t="str">
        <f ca="1">IFERROR(IF(0=LEN(ReferenceData!$L$637),"",ReferenceData!$L$637),"")</f>
        <v/>
      </c>
      <c r="M637" t="str">
        <f ca="1">IFERROR(IF(0=LEN(ReferenceData!$M$637),"",ReferenceData!$M$637),"")</f>
        <v/>
      </c>
      <c r="N637" t="str">
        <f ca="1">IFERROR(IF(0=LEN(ReferenceData!$N$637),"",ReferenceData!$N$637),"")</f>
        <v/>
      </c>
      <c r="O637" t="str">
        <f ca="1">IFERROR(IF(0=LEN(ReferenceData!$O$637),"",ReferenceData!$O$637),"")</f>
        <v/>
      </c>
      <c r="P637" t="str">
        <f ca="1">IFERROR(IF(0=LEN(ReferenceData!$P$637),"",ReferenceData!$P$637),"")</f>
        <v/>
      </c>
      <c r="Q637" t="str">
        <f ca="1">IFERROR(IF(0=LEN(ReferenceData!$Q$637),"",ReferenceData!$Q$637),"")</f>
        <v/>
      </c>
      <c r="R637" t="str">
        <f ca="1">IFERROR(IF(0=LEN(ReferenceData!$R$637),"",ReferenceData!$R$637),"")</f>
        <v/>
      </c>
      <c r="S637" t="str">
        <f ca="1">IFERROR(IF(0=LEN(ReferenceData!$S$637),"",ReferenceData!$S$637),"")</f>
        <v/>
      </c>
      <c r="T637" t="str">
        <f ca="1">IFERROR(IF(0=LEN(ReferenceData!$T$637),"",ReferenceData!$T$637),"")</f>
        <v/>
      </c>
      <c r="U637" t="str">
        <f ca="1">IFERROR(IF(0=LEN(ReferenceData!$U$637),"",ReferenceData!$U$637),"")</f>
        <v/>
      </c>
      <c r="V637" t="str">
        <f ca="1">IFERROR(IF(0=LEN(ReferenceData!$V$637),"",ReferenceData!$V$637),"")</f>
        <v/>
      </c>
      <c r="W637" t="str">
        <f ca="1">IFERROR(IF(0=LEN(ReferenceData!$W$637),"",ReferenceData!$W$637),"")</f>
        <v/>
      </c>
      <c r="X637" t="str">
        <f ca="1">IFERROR(IF(0=LEN(ReferenceData!$X$637),"",ReferenceData!$X$637),"")</f>
        <v/>
      </c>
      <c r="Y637" t="str">
        <f ca="1">IFERROR(IF(0=LEN(ReferenceData!$Y$637),"",ReferenceData!$Y$637),"")</f>
        <v/>
      </c>
      <c r="Z637" t="str">
        <f ca="1">IFERROR(IF(0=LEN(ReferenceData!$Z$637),"",ReferenceData!$Z$637),"")</f>
        <v/>
      </c>
      <c r="AA637" t="str">
        <f ca="1">IFERROR(IF(0=LEN(ReferenceData!$AA$637),"",ReferenceData!$AA$637),"")</f>
        <v/>
      </c>
      <c r="AB637" t="str">
        <f ca="1">IFERROR(IF(0=LEN(ReferenceData!$AB$637),"",ReferenceData!$AB$637),"")</f>
        <v/>
      </c>
      <c r="AC637" t="str">
        <f ca="1">IFERROR(IF(0=LEN(ReferenceData!$AC$637),"",ReferenceData!$AC$637),"")</f>
        <v/>
      </c>
      <c r="AD637" t="str">
        <f ca="1">IFERROR(IF(0=LEN(ReferenceData!$AD$637),"",ReferenceData!$AD$637),"")</f>
        <v/>
      </c>
      <c r="AE637" t="str">
        <f ca="1">IFERROR(IF(0=LEN(ReferenceData!$AE$637),"",ReferenceData!$AE$637),"")</f>
        <v/>
      </c>
      <c r="AF637" t="str">
        <f ca="1">IFERROR(IF(0=LEN(ReferenceData!$AF$637),"",ReferenceData!$AF$637),"")</f>
        <v/>
      </c>
      <c r="AG637" t="str">
        <f ca="1">IFERROR(IF(0=LEN(ReferenceData!$AG$637),"",ReferenceData!$AG$637),"")</f>
        <v/>
      </c>
      <c r="AH637" t="str">
        <f ca="1">IFERROR(IF(0=LEN(ReferenceData!$AH$637),"",ReferenceData!$AH$637),"")</f>
        <v/>
      </c>
      <c r="AI637" t="str">
        <f ca="1">IFERROR(IF(0=LEN(ReferenceData!$AI$637),"",ReferenceData!$AI$637),"")</f>
        <v/>
      </c>
      <c r="AJ637" t="str">
        <f ca="1">IFERROR(IF(0=LEN(ReferenceData!$AJ$637),"",ReferenceData!$AJ$637),"")</f>
        <v/>
      </c>
      <c r="AK637" t="str">
        <f ca="1">IFERROR(IF(0=LEN(ReferenceData!$AK$637),"",ReferenceData!$AK$637),"")</f>
        <v/>
      </c>
      <c r="AL637" t="str">
        <f ca="1">IFERROR(IF(0=LEN(ReferenceData!$AL$637),"",ReferenceData!$AL$637),"")</f>
        <v/>
      </c>
      <c r="AM637" t="str">
        <f ca="1">IFERROR(IF(0=LEN(ReferenceData!$AM$637),"",ReferenceData!$AM$637),"")</f>
        <v/>
      </c>
      <c r="AN637" t="str">
        <f ca="1">IFERROR(IF(0=LEN(ReferenceData!$AN$637),"",ReferenceData!$AN$637),"")</f>
        <v/>
      </c>
      <c r="AO637" t="str">
        <f ca="1">IFERROR(IF(0=LEN(ReferenceData!$AO$637),"",ReferenceData!$AO$637),"")</f>
        <v/>
      </c>
      <c r="AP637" t="str">
        <f ca="1">IFERROR(IF(0=LEN(ReferenceData!$AP$637),"",ReferenceData!$AP$637),"")</f>
        <v/>
      </c>
      <c r="AQ637" t="str">
        <f ca="1">IFERROR(IF(0=LEN(ReferenceData!$AQ$637),"",ReferenceData!$AQ$637),"")</f>
        <v/>
      </c>
      <c r="AR637" t="str">
        <f ca="1">IFERROR(IF(0=LEN(ReferenceData!$AR$637),"",ReferenceData!$AR$637),"")</f>
        <v/>
      </c>
      <c r="AS637" t="str">
        <f ca="1">IFERROR(IF(0=LEN(ReferenceData!$AS$637),"",ReferenceData!$AS$637),"")</f>
        <v/>
      </c>
      <c r="AT637" t="str">
        <f ca="1">IFERROR(IF(0=LEN(ReferenceData!$AT$637),"",ReferenceData!$AT$637),"")</f>
        <v/>
      </c>
      <c r="AU637" t="str">
        <f ca="1">IFERROR(IF(0=LEN(ReferenceData!$AU$637),"",ReferenceData!$AU$637),"")</f>
        <v/>
      </c>
      <c r="AV637" t="str">
        <f ca="1">IFERROR(IF(0=LEN(ReferenceData!$AV$637),"",ReferenceData!$AV$637),"")</f>
        <v/>
      </c>
      <c r="AW637" t="str">
        <f ca="1">IFERROR(IF(0=LEN(ReferenceData!$AW$637),"",ReferenceData!$AW$637),"")</f>
        <v/>
      </c>
      <c r="AX637" t="str">
        <f ca="1">IFERROR(IF(0=LEN(ReferenceData!$AX$637),"",ReferenceData!$AX$637),"")</f>
        <v/>
      </c>
      <c r="AY637" t="str">
        <f ca="1">IFERROR(IF(0=LEN(ReferenceData!$AY$637),"",ReferenceData!$AY$637),"")</f>
        <v/>
      </c>
      <c r="AZ637" t="str">
        <f ca="1">IFERROR(IF(0=LEN(ReferenceData!$AZ$637),"",ReferenceData!$AZ$637),"")</f>
        <v/>
      </c>
      <c r="BA637" t="str">
        <f ca="1">IFERROR(IF(0=LEN(ReferenceData!$BA$637),"",ReferenceData!$BA$637),"")</f>
        <v/>
      </c>
      <c r="BB637" t="str">
        <f ca="1">IFERROR(IF(0=LEN(ReferenceData!$BB$637),"",ReferenceData!$BB$637),"")</f>
        <v/>
      </c>
      <c r="BC637" t="str">
        <f ca="1">IFERROR(IF(0=LEN(ReferenceData!$BC$637),"",ReferenceData!$BC$637),"")</f>
        <v/>
      </c>
      <c r="BD637" t="str">
        <f ca="1">IFERROR(IF(0=LEN(ReferenceData!$BD$637),"",ReferenceData!$BD$637),"")</f>
        <v/>
      </c>
      <c r="BE637" t="str">
        <f ca="1">IFERROR(IF(0=LEN(ReferenceData!$BE$637),"",ReferenceData!$BE$637),"")</f>
        <v/>
      </c>
      <c r="BF637" t="str">
        <f ca="1">IFERROR(IF(0=LEN(ReferenceData!$BF$637),"",ReferenceData!$BF$637),"")</f>
        <v/>
      </c>
      <c r="BG637" t="str">
        <f ca="1">IFERROR(IF(0=LEN(ReferenceData!$BG$637),"",ReferenceData!$BG$637),"")</f>
        <v/>
      </c>
      <c r="BH637" t="str">
        <f ca="1">IFERROR(IF(0=LEN(ReferenceData!$BH$637),"",ReferenceData!$BH$637),"")</f>
        <v/>
      </c>
      <c r="BI637" t="str">
        <f ca="1">IFERROR(IF(0=LEN(ReferenceData!$BI$637),"",ReferenceData!$BI$637),"")</f>
        <v/>
      </c>
      <c r="BJ637" t="str">
        <f ca="1">IFERROR(IF(0=LEN(ReferenceData!$BJ$637),"",ReferenceData!$BJ$637),"")</f>
        <v/>
      </c>
      <c r="BK637" t="str">
        <f ca="1">IFERROR(IF(0=LEN(ReferenceData!$BK$637),"",ReferenceData!$BK$637),"")</f>
        <v/>
      </c>
      <c r="BL637" t="str">
        <f ca="1">IFERROR(IF(0=LEN(ReferenceData!$BL$637),"",ReferenceData!$BL$637),"")</f>
        <v/>
      </c>
      <c r="BM637" t="str">
        <f ca="1">IFERROR(IF(0=LEN(ReferenceData!$BM$637),"",ReferenceData!$BM$637),"")</f>
        <v/>
      </c>
    </row>
    <row r="638" spans="1:65" x14ac:dyDescent="0.25">
      <c r="A638" t="str">
        <f>IFERROR(IF(0=LEN(ReferenceData!$A$638),"",ReferenceData!$A$638),"")</f>
        <v xml:space="preserve">    General Motors Co</v>
      </c>
      <c r="B638" t="str">
        <f>IFERROR(IF(0=LEN(ReferenceData!$B$638),"",ReferenceData!$B$638),"")</f>
        <v>GM US Equity</v>
      </c>
      <c r="C638" t="str">
        <f>IFERROR(IF(0=LEN(ReferenceData!$C$638),"",ReferenceData!$C$638),"")</f>
        <v>RX539</v>
      </c>
      <c r="D638" t="str">
        <f>IFERROR(IF(0=LEN(ReferenceData!$D$638),"",ReferenceData!$D$638),"")</f>
        <v>T12_FCF_YIELD</v>
      </c>
      <c r="E638" t="str">
        <f>IFERROR(IF(0=LEN(ReferenceData!$E$638),"",ReferenceData!$E$638),"")</f>
        <v>Dynamic</v>
      </c>
      <c r="F638">
        <f ca="1">IFERROR(IF(0=LEN(ReferenceData!$F$638),"",ReferenceData!$F$638),"")</f>
        <v>11.73287268</v>
      </c>
      <c r="G638">
        <f ca="1">IFERROR(IF(0=LEN(ReferenceData!$G$638),"",ReferenceData!$G$638),"")</f>
        <v>13.75725548</v>
      </c>
      <c r="H638">
        <f ca="1">IFERROR(IF(0=LEN(ReferenceData!$H$638),"",ReferenceData!$H$638),"")</f>
        <v>15.686898729999999</v>
      </c>
      <c r="I638">
        <f ca="1">IFERROR(IF(0=LEN(ReferenceData!$I$638),"",ReferenceData!$I$638),"")</f>
        <v>12.072317310000001</v>
      </c>
      <c r="J638">
        <f ca="1">IFERROR(IF(0=LEN(ReferenceData!$J$638),"",ReferenceData!$J$638),"")</f>
        <v>13.24293677</v>
      </c>
      <c r="K638">
        <f ca="1">IFERROR(IF(0=LEN(ReferenceData!$K$638),"",ReferenceData!$K$638),"")</f>
        <v>15.243246340000001</v>
      </c>
      <c r="L638">
        <f ca="1">IFERROR(IF(0=LEN(ReferenceData!$L$638),"",ReferenceData!$L$638),"")</f>
        <v>9.8959809360000008</v>
      </c>
      <c r="M638">
        <f ca="1">IFERROR(IF(0=LEN(ReferenceData!$M$638),"",ReferenceData!$M$638),"")</f>
        <v>18.122575000000001</v>
      </c>
      <c r="N638">
        <f ca="1">IFERROR(IF(0=LEN(ReferenceData!$N$638),"",ReferenceData!$N$638),"")</f>
        <v>20.629425640000001</v>
      </c>
      <c r="O638">
        <f ca="1">IFERROR(IF(0=LEN(ReferenceData!$O$638),"",ReferenceData!$O$638),"")</f>
        <v>15.483500769999999</v>
      </c>
      <c r="P638">
        <f ca="1">IFERROR(IF(0=LEN(ReferenceData!$P$638),"",ReferenceData!$P$638),"")</f>
        <v>12.41176894</v>
      </c>
      <c r="Q638">
        <f ca="1">IFERROR(IF(0=LEN(ReferenceData!$Q$638),"",ReferenceData!$Q$638),"")</f>
        <v>7.3157763679999999</v>
      </c>
      <c r="R638">
        <f ca="1">IFERROR(IF(0=LEN(ReferenceData!$R$638),"",ReferenceData!$R$638),"")</f>
        <v>5.6300134430000002</v>
      </c>
      <c r="S638">
        <f ca="1">IFERROR(IF(0=LEN(ReferenceData!$S$638),"",ReferenceData!$S$638),"")</f>
        <v>7.2120141359999996</v>
      </c>
      <c r="T638">
        <f ca="1">IFERROR(IF(0=LEN(ReferenceData!$T$638),"",ReferenceData!$T$638),"")</f>
        <v>11.166815959999999</v>
      </c>
      <c r="U638">
        <f ca="1">IFERROR(IF(0=LEN(ReferenceData!$U$638),"",ReferenceData!$U$638),"")</f>
        <v>6.0875633889999996</v>
      </c>
      <c r="V638">
        <f ca="1">IFERROR(IF(0=LEN(ReferenceData!$V$638),"",ReferenceData!$V$638),"")</f>
        <v>2.391174892</v>
      </c>
      <c r="W638">
        <f ca="1">IFERROR(IF(0=LEN(ReferenceData!$W$638),"",ReferenceData!$W$638),"")</f>
        <v>5.295083462</v>
      </c>
      <c r="X638">
        <f ca="1">IFERROR(IF(0=LEN(ReferenceData!$X$638),"",ReferenceData!$X$638),"")</f>
        <v>6.005438914</v>
      </c>
      <c r="Y638">
        <f ca="1">IFERROR(IF(0=LEN(ReferenceData!$Y$638),"",ReferenceData!$Y$638),"")</f>
        <v>9.5628311739999994</v>
      </c>
      <c r="Z638">
        <f ca="1">IFERROR(IF(0=LEN(ReferenceData!$Z$638),"",ReferenceData!$Z$638),"")</f>
        <v>11.701278909999999</v>
      </c>
      <c r="AA638">
        <f ca="1">IFERROR(IF(0=LEN(ReferenceData!$AA$638),"",ReferenceData!$AA$638),"")</f>
        <v>8.9223811630000007</v>
      </c>
      <c r="AB638">
        <f ca="1">IFERROR(IF(0=LEN(ReferenceData!$AB$638),"",ReferenceData!$AB$638),"")</f>
        <v>5.0394238720000004</v>
      </c>
      <c r="AC638">
        <f ca="1">IFERROR(IF(0=LEN(ReferenceData!$AC$638),"",ReferenceData!$AC$638),"")</f>
        <v>4.4419407</v>
      </c>
      <c r="AD638">
        <f ca="1">IFERROR(IF(0=LEN(ReferenceData!$AD$638),"",ReferenceData!$AD$638),"")</f>
        <v>2.396456868</v>
      </c>
      <c r="AE638">
        <f ca="1">IFERROR(IF(0=LEN(ReferenceData!$AE$638),"",ReferenceData!$AE$638),"")</f>
        <v>5.6192525199999999</v>
      </c>
      <c r="AF638">
        <f ca="1">IFERROR(IF(0=LEN(ReferenceData!$AF$638),"",ReferenceData!$AF$638),"")</f>
        <v>8.6567293210000003</v>
      </c>
      <c r="AG638">
        <f ca="1">IFERROR(IF(0=LEN(ReferenceData!$AG$638),"",ReferenceData!$AG$638),"")</f>
        <v>6.8202435640000001</v>
      </c>
      <c r="AH638">
        <f ca="1">IFERROR(IF(0=LEN(ReferenceData!$AH$638),"",ReferenceData!$AH$638),"")</f>
        <v>10.25103601</v>
      </c>
      <c r="AI638">
        <f ca="1">IFERROR(IF(0=LEN(ReferenceData!$AI$638),"",ReferenceData!$AI$638),"")</f>
        <v>6.0320991859999999</v>
      </c>
      <c r="AJ638">
        <f ca="1">IFERROR(IF(0=LEN(ReferenceData!$AJ$638),"",ReferenceData!$AJ$638),"")</f>
        <v>6.9804837999999994E-2</v>
      </c>
      <c r="AK638">
        <f ca="1">IFERROR(IF(0=LEN(ReferenceData!$AK$638),"",ReferenceData!$AK$638),"")</f>
        <v>1.952075306</v>
      </c>
      <c r="AL638">
        <f ca="1">IFERROR(IF(0=LEN(ReferenceData!$AL$638),"",ReferenceData!$AL$638),"")</f>
        <v>-0.26636461299999997</v>
      </c>
      <c r="AM638">
        <f ca="1">IFERROR(IF(0=LEN(ReferenceData!$AM$638),"",ReferenceData!$AM$638),"")</f>
        <v>4.6663049379999997</v>
      </c>
      <c r="AN638" t="str">
        <f ca="1">IFERROR(IF(0=LEN(ReferenceData!$AN$638),"",ReferenceData!$AN$638),"")</f>
        <v/>
      </c>
      <c r="AO638" t="str">
        <f ca="1">IFERROR(IF(0=LEN(ReferenceData!$AO$638),"",ReferenceData!$AO$638),"")</f>
        <v/>
      </c>
      <c r="AP638" t="str">
        <f ca="1">IFERROR(IF(0=LEN(ReferenceData!$AP$638),"",ReferenceData!$AP$638),"")</f>
        <v/>
      </c>
      <c r="AQ638" t="str">
        <f ca="1">IFERROR(IF(0=LEN(ReferenceData!$AQ$638),"",ReferenceData!$AQ$638),"")</f>
        <v/>
      </c>
      <c r="AR638" t="str">
        <f ca="1">IFERROR(IF(0=LEN(ReferenceData!$AR$638),"",ReferenceData!$AR$638),"")</f>
        <v/>
      </c>
      <c r="AS638" t="str">
        <f ca="1">IFERROR(IF(0=LEN(ReferenceData!$AS$638),"",ReferenceData!$AS$638),"")</f>
        <v/>
      </c>
      <c r="AT638" t="str">
        <f ca="1">IFERROR(IF(0=LEN(ReferenceData!$AT$638),"",ReferenceData!$AT$638),"")</f>
        <v/>
      </c>
      <c r="AU638" t="str">
        <f ca="1">IFERROR(IF(0=LEN(ReferenceData!$AU$638),"",ReferenceData!$AU$638),"")</f>
        <v/>
      </c>
      <c r="AV638" t="str">
        <f ca="1">IFERROR(IF(0=LEN(ReferenceData!$AV$638),"",ReferenceData!$AV$638),"")</f>
        <v/>
      </c>
      <c r="AW638" t="str">
        <f ca="1">IFERROR(IF(0=LEN(ReferenceData!$AW$638),"",ReferenceData!$AW$638),"")</f>
        <v/>
      </c>
      <c r="AX638" t="str">
        <f ca="1">IFERROR(IF(0=LEN(ReferenceData!$AX$638),"",ReferenceData!$AX$638),"")</f>
        <v/>
      </c>
      <c r="AY638" t="str">
        <f ca="1">IFERROR(IF(0=LEN(ReferenceData!$AY$638),"",ReferenceData!$AY$638),"")</f>
        <v/>
      </c>
      <c r="AZ638" t="str">
        <f ca="1">IFERROR(IF(0=LEN(ReferenceData!$AZ$638),"",ReferenceData!$AZ$638),"")</f>
        <v/>
      </c>
      <c r="BA638" t="str">
        <f ca="1">IFERROR(IF(0=LEN(ReferenceData!$BA$638),"",ReferenceData!$BA$638),"")</f>
        <v/>
      </c>
      <c r="BB638" t="str">
        <f ca="1">IFERROR(IF(0=LEN(ReferenceData!$BB$638),"",ReferenceData!$BB$638),"")</f>
        <v/>
      </c>
      <c r="BC638" t="str">
        <f ca="1">IFERROR(IF(0=LEN(ReferenceData!$BC$638),"",ReferenceData!$BC$638),"")</f>
        <v/>
      </c>
      <c r="BD638" t="str">
        <f ca="1">IFERROR(IF(0=LEN(ReferenceData!$BD$638),"",ReferenceData!$BD$638),"")</f>
        <v/>
      </c>
      <c r="BE638" t="str">
        <f ca="1">IFERROR(IF(0=LEN(ReferenceData!$BE$638),"",ReferenceData!$BE$638),"")</f>
        <v/>
      </c>
      <c r="BF638" t="str">
        <f ca="1">IFERROR(IF(0=LEN(ReferenceData!$BF$638),"",ReferenceData!$BF$638),"")</f>
        <v/>
      </c>
      <c r="BG638" t="str">
        <f ca="1">IFERROR(IF(0=LEN(ReferenceData!$BG$638),"",ReferenceData!$BG$638),"")</f>
        <v/>
      </c>
      <c r="BH638" t="str">
        <f ca="1">IFERROR(IF(0=LEN(ReferenceData!$BH$638),"",ReferenceData!$BH$638),"")</f>
        <v/>
      </c>
      <c r="BI638" t="str">
        <f ca="1">IFERROR(IF(0=LEN(ReferenceData!$BI$638),"",ReferenceData!$BI$638),"")</f>
        <v/>
      </c>
      <c r="BJ638" t="str">
        <f ca="1">IFERROR(IF(0=LEN(ReferenceData!$BJ$638),"",ReferenceData!$BJ$638),"")</f>
        <v/>
      </c>
      <c r="BK638" t="str">
        <f ca="1">IFERROR(IF(0=LEN(ReferenceData!$BK$638),"",ReferenceData!$BK$638),"")</f>
        <v/>
      </c>
      <c r="BL638" t="str">
        <f ca="1">IFERROR(IF(0=LEN(ReferenceData!$BL$638),"",ReferenceData!$BL$638),"")</f>
        <v/>
      </c>
      <c r="BM638" t="str">
        <f ca="1">IFERROR(IF(0=LEN(ReferenceData!$BM$638),"",ReferenceData!$BM$638),"")</f>
        <v/>
      </c>
    </row>
    <row r="639" spans="1:65" x14ac:dyDescent="0.25">
      <c r="A639" t="str">
        <f>IFERROR(IF(0=LEN(ReferenceData!$A$639),"",ReferenceData!$A$639),"")</f>
        <v xml:space="preserve">    Great Wall Motor Co Ltd</v>
      </c>
      <c r="B639" t="str">
        <f>IFERROR(IF(0=LEN(ReferenceData!$B$639),"",ReferenceData!$B$639),"")</f>
        <v>2333 HK Equity</v>
      </c>
      <c r="C639" t="str">
        <f>IFERROR(IF(0=LEN(ReferenceData!$C$639),"",ReferenceData!$C$639),"")</f>
        <v>RX539</v>
      </c>
      <c r="D639" t="str">
        <f>IFERROR(IF(0=LEN(ReferenceData!$D$639),"",ReferenceData!$D$639),"")</f>
        <v>T12_FCF_YIELD</v>
      </c>
      <c r="E639" t="str">
        <f>IFERROR(IF(0=LEN(ReferenceData!$E$639),"",ReferenceData!$E$639),"")</f>
        <v>Dynamic</v>
      </c>
      <c r="F639">
        <f ca="1">IFERROR(IF(0=LEN(ReferenceData!$F$639),"",ReferenceData!$F$639),"")</f>
        <v>0.25466044199999999</v>
      </c>
      <c r="G639">
        <f ca="1">IFERROR(IF(0=LEN(ReferenceData!$G$639),"",ReferenceData!$G$639),"")</f>
        <v>0.37020486699999999</v>
      </c>
      <c r="H639">
        <f ca="1">IFERROR(IF(0=LEN(ReferenceData!$H$639),"",ReferenceData!$H$639),"")</f>
        <v>0.27892716099999998</v>
      </c>
      <c r="I639">
        <f ca="1">IFERROR(IF(0=LEN(ReferenceData!$I$639),"",ReferenceData!$I$639),"")</f>
        <v>-3.4543078029999998</v>
      </c>
      <c r="J639">
        <f ca="1">IFERROR(IF(0=LEN(ReferenceData!$J$639),"",ReferenceData!$J$639),"")</f>
        <v>-5.452511254</v>
      </c>
      <c r="K639">
        <f ca="1">IFERROR(IF(0=LEN(ReferenceData!$K$639),"",ReferenceData!$K$639),"")</f>
        <v>-9.3565430989999996</v>
      </c>
      <c r="L639">
        <f ca="1">IFERROR(IF(0=LEN(ReferenceData!$L$639),"",ReferenceData!$L$639),"")</f>
        <v>-1.071564186</v>
      </c>
      <c r="M639">
        <f ca="1">IFERROR(IF(0=LEN(ReferenceData!$M$639),"",ReferenceData!$M$639),"")</f>
        <v>3.887841216</v>
      </c>
      <c r="N639">
        <f ca="1">IFERROR(IF(0=LEN(ReferenceData!$N$639),"",ReferenceData!$N$639),"")</f>
        <v>-4.8358509520000004</v>
      </c>
      <c r="O639">
        <f ca="1">IFERROR(IF(0=LEN(ReferenceData!$O$639),"",ReferenceData!$O$639),"")</f>
        <v>0.51595078800000005</v>
      </c>
      <c r="P639">
        <f ca="1">IFERROR(IF(0=LEN(ReferenceData!$P$639),"",ReferenceData!$P$639),"")</f>
        <v>1.634068922</v>
      </c>
      <c r="Q639">
        <f ca="1">IFERROR(IF(0=LEN(ReferenceData!$Q$639),"",ReferenceData!$Q$639),"")</f>
        <v>1.1985760080000001</v>
      </c>
      <c r="R639">
        <f ca="1">IFERROR(IF(0=LEN(ReferenceData!$R$639),"",ReferenceData!$R$639),"")</f>
        <v>2.4110585090000001</v>
      </c>
      <c r="S639">
        <f ca="1">IFERROR(IF(0=LEN(ReferenceData!$S$639),"",ReferenceData!$S$639),"")</f>
        <v>3.6678857589999998</v>
      </c>
      <c r="T639">
        <f ca="1">IFERROR(IF(0=LEN(ReferenceData!$T$639),"",ReferenceData!$T$639),"")</f>
        <v>3.9487104990000002</v>
      </c>
      <c r="U639">
        <f ca="1">IFERROR(IF(0=LEN(ReferenceData!$U$639),"",ReferenceData!$U$639),"")</f>
        <v>0.73683358499999996</v>
      </c>
      <c r="V639">
        <f ca="1">IFERROR(IF(0=LEN(ReferenceData!$V$639),"",ReferenceData!$V$639),"")</f>
        <v>-2.235922907</v>
      </c>
      <c r="W639">
        <f ca="1">IFERROR(IF(0=LEN(ReferenceData!$W$639),"",ReferenceData!$W$639),"")</f>
        <v>-3.0230016860000002</v>
      </c>
      <c r="X639">
        <f ca="1">IFERROR(IF(0=LEN(ReferenceData!$X$639),"",ReferenceData!$X$639),"")</f>
        <v>-3.0872656589999998</v>
      </c>
      <c r="Y639">
        <f ca="1">IFERROR(IF(0=LEN(ReferenceData!$Y$639),"",ReferenceData!$Y$639),"")</f>
        <v>-1.1000494780000001</v>
      </c>
      <c r="Z639">
        <f ca="1">IFERROR(IF(0=LEN(ReferenceData!$Z$639),"",ReferenceData!$Z$639),"")</f>
        <v>1.578839659</v>
      </c>
      <c r="AA639">
        <f ca="1">IFERROR(IF(0=LEN(ReferenceData!$AA$639),"",ReferenceData!$AA$639),"")</f>
        <v>1.6670669760000001</v>
      </c>
      <c r="AB639">
        <f ca="1">IFERROR(IF(0=LEN(ReferenceData!$AB$639),"",ReferenceData!$AB$639),"")</f>
        <v>1.9140083539999999</v>
      </c>
      <c r="AC639">
        <f ca="1">IFERROR(IF(0=LEN(ReferenceData!$AC$639),"",ReferenceData!$AC$639),"")</f>
        <v>2.343336307</v>
      </c>
      <c r="AD639">
        <f ca="1">IFERROR(IF(0=LEN(ReferenceData!$AD$639),"",ReferenceData!$AD$639),"")</f>
        <v>-0.12514423299999999</v>
      </c>
      <c r="AE639">
        <f ca="1">IFERROR(IF(0=LEN(ReferenceData!$AE$639),"",ReferenceData!$AE$639),"")</f>
        <v>-1.4781207730000001</v>
      </c>
      <c r="AF639" t="str">
        <f ca="1">IFERROR(IF(0=LEN(ReferenceData!$AF$639),"",ReferenceData!$AF$639),"")</f>
        <v/>
      </c>
      <c r="AG639" t="str">
        <f ca="1">IFERROR(IF(0=LEN(ReferenceData!$AG$639),"",ReferenceData!$AG$639),"")</f>
        <v/>
      </c>
      <c r="AH639" t="str">
        <f ca="1">IFERROR(IF(0=LEN(ReferenceData!$AH$639),"",ReferenceData!$AH$639),"")</f>
        <v/>
      </c>
      <c r="AI639" t="str">
        <f ca="1">IFERROR(IF(0=LEN(ReferenceData!$AI$639),"",ReferenceData!$AI$639),"")</f>
        <v/>
      </c>
      <c r="AJ639" t="str">
        <f ca="1">IFERROR(IF(0=LEN(ReferenceData!$AJ$639),"",ReferenceData!$AJ$639),"")</f>
        <v/>
      </c>
      <c r="AK639" t="str">
        <f ca="1">IFERROR(IF(0=LEN(ReferenceData!$AK$639),"",ReferenceData!$AK$639),"")</f>
        <v/>
      </c>
      <c r="AL639" t="str">
        <f ca="1">IFERROR(IF(0=LEN(ReferenceData!$AL$639),"",ReferenceData!$AL$639),"")</f>
        <v/>
      </c>
      <c r="AM639" t="str">
        <f ca="1">IFERROR(IF(0=LEN(ReferenceData!$AM$639),"",ReferenceData!$AM$639),"")</f>
        <v/>
      </c>
      <c r="AN639" t="str">
        <f ca="1">IFERROR(IF(0=LEN(ReferenceData!$AN$639),"",ReferenceData!$AN$639),"")</f>
        <v/>
      </c>
      <c r="AO639" t="str">
        <f ca="1">IFERROR(IF(0=LEN(ReferenceData!$AO$639),"",ReferenceData!$AO$639),"")</f>
        <v/>
      </c>
      <c r="AP639" t="str">
        <f ca="1">IFERROR(IF(0=LEN(ReferenceData!$AP$639),"",ReferenceData!$AP$639),"")</f>
        <v/>
      </c>
      <c r="AQ639" t="str">
        <f ca="1">IFERROR(IF(0=LEN(ReferenceData!$AQ$639),"",ReferenceData!$AQ$639),"")</f>
        <v/>
      </c>
      <c r="AR639" t="str">
        <f ca="1">IFERROR(IF(0=LEN(ReferenceData!$AR$639),"",ReferenceData!$AR$639),"")</f>
        <v/>
      </c>
      <c r="AS639" t="str">
        <f ca="1">IFERROR(IF(0=LEN(ReferenceData!$AS$639),"",ReferenceData!$AS$639),"")</f>
        <v/>
      </c>
      <c r="AT639" t="str">
        <f ca="1">IFERROR(IF(0=LEN(ReferenceData!$AT$639),"",ReferenceData!$AT$639),"")</f>
        <v/>
      </c>
      <c r="AU639" t="str">
        <f ca="1">IFERROR(IF(0=LEN(ReferenceData!$AU$639),"",ReferenceData!$AU$639),"")</f>
        <v/>
      </c>
      <c r="AV639" t="str">
        <f ca="1">IFERROR(IF(0=LEN(ReferenceData!$AV$639),"",ReferenceData!$AV$639),"")</f>
        <v/>
      </c>
      <c r="AW639" t="str">
        <f ca="1">IFERROR(IF(0=LEN(ReferenceData!$AW$639),"",ReferenceData!$AW$639),"")</f>
        <v/>
      </c>
      <c r="AX639" t="str">
        <f ca="1">IFERROR(IF(0=LEN(ReferenceData!$AX$639),"",ReferenceData!$AX$639),"")</f>
        <v/>
      </c>
      <c r="AY639" t="str">
        <f ca="1">IFERROR(IF(0=LEN(ReferenceData!$AY$639),"",ReferenceData!$AY$639),"")</f>
        <v/>
      </c>
      <c r="AZ639" t="str">
        <f ca="1">IFERROR(IF(0=LEN(ReferenceData!$AZ$639),"",ReferenceData!$AZ$639),"")</f>
        <v/>
      </c>
      <c r="BA639" t="str">
        <f ca="1">IFERROR(IF(0=LEN(ReferenceData!$BA$639),"",ReferenceData!$BA$639),"")</f>
        <v/>
      </c>
      <c r="BB639" t="str">
        <f ca="1">IFERROR(IF(0=LEN(ReferenceData!$BB$639),"",ReferenceData!$BB$639),"")</f>
        <v/>
      </c>
      <c r="BC639" t="str">
        <f ca="1">IFERROR(IF(0=LEN(ReferenceData!$BC$639),"",ReferenceData!$BC$639),"")</f>
        <v/>
      </c>
      <c r="BD639" t="str">
        <f ca="1">IFERROR(IF(0=LEN(ReferenceData!$BD$639),"",ReferenceData!$BD$639),"")</f>
        <v/>
      </c>
      <c r="BE639" t="str">
        <f ca="1">IFERROR(IF(0=LEN(ReferenceData!$BE$639),"",ReferenceData!$BE$639),"")</f>
        <v/>
      </c>
      <c r="BF639" t="str">
        <f ca="1">IFERROR(IF(0=LEN(ReferenceData!$BF$639),"",ReferenceData!$BF$639),"")</f>
        <v/>
      </c>
      <c r="BG639" t="str">
        <f ca="1">IFERROR(IF(0=LEN(ReferenceData!$BG$639),"",ReferenceData!$BG$639),"")</f>
        <v/>
      </c>
      <c r="BH639" t="str">
        <f ca="1">IFERROR(IF(0=LEN(ReferenceData!$BH$639),"",ReferenceData!$BH$639),"")</f>
        <v/>
      </c>
      <c r="BI639" t="str">
        <f ca="1">IFERROR(IF(0=LEN(ReferenceData!$BI$639),"",ReferenceData!$BI$639),"")</f>
        <v/>
      </c>
      <c r="BJ639" t="str">
        <f ca="1">IFERROR(IF(0=LEN(ReferenceData!$BJ$639),"",ReferenceData!$BJ$639),"")</f>
        <v/>
      </c>
      <c r="BK639" t="str">
        <f ca="1">IFERROR(IF(0=LEN(ReferenceData!$BK$639),"",ReferenceData!$BK$639),"")</f>
        <v/>
      </c>
      <c r="BL639" t="str">
        <f ca="1">IFERROR(IF(0=LEN(ReferenceData!$BL$639),"",ReferenceData!$BL$639),"")</f>
        <v/>
      </c>
      <c r="BM639" t="str">
        <f ca="1">IFERROR(IF(0=LEN(ReferenceData!$BM$639),"",ReferenceData!$BM$639),"")</f>
        <v/>
      </c>
    </row>
    <row r="640" spans="1:65" x14ac:dyDescent="0.25">
      <c r="A640" t="str">
        <f>IFERROR(IF(0=LEN(ReferenceData!$A$640),"",ReferenceData!$A$640),"")</f>
        <v xml:space="preserve">    Guangzhou Automobile Group Co Ltd</v>
      </c>
      <c r="B640" t="str">
        <f>IFERROR(IF(0=LEN(ReferenceData!$B$640),"",ReferenceData!$B$640),"")</f>
        <v>2238 HK Equity</v>
      </c>
      <c r="C640" t="str">
        <f>IFERROR(IF(0=LEN(ReferenceData!$C$640),"",ReferenceData!$C$640),"")</f>
        <v>RX539</v>
      </c>
      <c r="D640" t="str">
        <f>IFERROR(IF(0=LEN(ReferenceData!$D$640),"",ReferenceData!$D$640),"")</f>
        <v>T12_FCF_YIELD</v>
      </c>
      <c r="E640" t="str">
        <f>IFERROR(IF(0=LEN(ReferenceData!$E$640),"",ReferenceData!$E$640),"")</f>
        <v>Dynamic</v>
      </c>
      <c r="F640">
        <f ca="1">IFERROR(IF(0=LEN(ReferenceData!$F$640),"",ReferenceData!$F$640),"")</f>
        <v>-0.75988037900000005</v>
      </c>
      <c r="G640">
        <f ca="1">IFERROR(IF(0=LEN(ReferenceData!$G$640),"",ReferenceData!$G$640),"")</f>
        <v>-0.90821038399999998</v>
      </c>
      <c r="H640">
        <f ca="1">IFERROR(IF(0=LEN(ReferenceData!$H$640),"",ReferenceData!$H$640),"")</f>
        <v>-0.84096652800000005</v>
      </c>
      <c r="I640">
        <f ca="1">IFERROR(IF(0=LEN(ReferenceData!$I$640),"",ReferenceData!$I$640),"")</f>
        <v>2.7023791400000001</v>
      </c>
      <c r="J640">
        <f ca="1">IFERROR(IF(0=LEN(ReferenceData!$J$640),"",ReferenceData!$J$640),"")</f>
        <v>4.2264905019999999</v>
      </c>
      <c r="K640">
        <f ca="1">IFERROR(IF(0=LEN(ReferenceData!$K$640),"",ReferenceData!$K$640),"")</f>
        <v>7.1979307439999998</v>
      </c>
      <c r="L640">
        <f ca="1">IFERROR(IF(0=LEN(ReferenceData!$L$640),"",ReferenceData!$L$640),"")</f>
        <v>1.2623960359999999</v>
      </c>
      <c r="M640">
        <f ca="1">IFERROR(IF(0=LEN(ReferenceData!$M$640),"",ReferenceData!$M$640),"")</f>
        <v>3.6399176870000001</v>
      </c>
      <c r="N640">
        <f ca="1">IFERROR(IF(0=LEN(ReferenceData!$N$640),"",ReferenceData!$N$640),"")</f>
        <v>4.9819806509999998</v>
      </c>
      <c r="O640">
        <f ca="1">IFERROR(IF(0=LEN(ReferenceData!$O$640),"",ReferenceData!$O$640),"")</f>
        <v>4.0872227099999998</v>
      </c>
      <c r="P640">
        <f ca="1">IFERROR(IF(0=LEN(ReferenceData!$P$640),"",ReferenceData!$P$640),"")</f>
        <v>6.9693553159999997</v>
      </c>
      <c r="Q640">
        <f ca="1">IFERROR(IF(0=LEN(ReferenceData!$Q$640),"",ReferenceData!$Q$640),"")</f>
        <v>6.192117079</v>
      </c>
      <c r="R640">
        <f ca="1">IFERROR(IF(0=LEN(ReferenceData!$R$640),"",ReferenceData!$R$640),"")</f>
        <v>5.5963569990000002</v>
      </c>
      <c r="S640">
        <f ca="1">IFERROR(IF(0=LEN(ReferenceData!$S$640),"",ReferenceData!$S$640),"")</f>
        <v>4.1043040030000002</v>
      </c>
      <c r="T640">
        <f ca="1">IFERROR(IF(0=LEN(ReferenceData!$T$640),"",ReferenceData!$T$640),"")</f>
        <v>4.5006505890000001</v>
      </c>
      <c r="U640">
        <f ca="1">IFERROR(IF(0=LEN(ReferenceData!$U$640),"",ReferenceData!$U$640),"")</f>
        <v>2.3504132750000002</v>
      </c>
      <c r="V640">
        <f ca="1">IFERROR(IF(0=LEN(ReferenceData!$V$640),"",ReferenceData!$V$640),"")</f>
        <v>1.6264933749999999</v>
      </c>
      <c r="W640">
        <f ca="1">IFERROR(IF(0=LEN(ReferenceData!$W$640),"",ReferenceData!$W$640),"")</f>
        <v>2.5029899819999999</v>
      </c>
      <c r="X640">
        <f ca="1">IFERROR(IF(0=LEN(ReferenceData!$X$640),"",ReferenceData!$X$640),"")</f>
        <v>-1.0891442060000001</v>
      </c>
      <c r="Y640">
        <f ca="1">IFERROR(IF(0=LEN(ReferenceData!$Y$640),"",ReferenceData!$Y$640),"")</f>
        <v>0.31810285799999999</v>
      </c>
      <c r="Z640">
        <f ca="1">IFERROR(IF(0=LEN(ReferenceData!$Z$640),"",ReferenceData!$Z$640),"")</f>
        <v>2.2926373610000002</v>
      </c>
      <c r="AA640">
        <f ca="1">IFERROR(IF(0=LEN(ReferenceData!$AA$640),"",ReferenceData!$AA$640),"")</f>
        <v>3.5248767409999999</v>
      </c>
      <c r="AB640">
        <f ca="1">IFERROR(IF(0=LEN(ReferenceData!$AB$640),"",ReferenceData!$AB$640),"")</f>
        <v>5.0669081489999996</v>
      </c>
      <c r="AC640">
        <f ca="1">IFERROR(IF(0=LEN(ReferenceData!$AC$640),"",ReferenceData!$AC$640),"")</f>
        <v>4.7920099169999997</v>
      </c>
      <c r="AD640">
        <f ca="1">IFERROR(IF(0=LEN(ReferenceData!$AD$640),"",ReferenceData!$AD$640),"")</f>
        <v>4.2128056279999999</v>
      </c>
      <c r="AE640">
        <f ca="1">IFERROR(IF(0=LEN(ReferenceData!$AE$640),"",ReferenceData!$AE$640),"")</f>
        <v>3.1188893160000002</v>
      </c>
      <c r="AF640">
        <f ca="1">IFERROR(IF(0=LEN(ReferenceData!$AF$640),"",ReferenceData!$AF$640),"")</f>
        <v>8.4391632130000005</v>
      </c>
      <c r="AG640">
        <f ca="1">IFERROR(IF(0=LEN(ReferenceData!$AG$640),"",ReferenceData!$AG$640),"")</f>
        <v>4.8976057749999997</v>
      </c>
      <c r="AH640">
        <f ca="1">IFERROR(IF(0=LEN(ReferenceData!$AH$640),"",ReferenceData!$AH$640),"")</f>
        <v>4.7966068929999999</v>
      </c>
      <c r="AI640">
        <f ca="1">IFERROR(IF(0=LEN(ReferenceData!$AI$640),"",ReferenceData!$AI$640),"")</f>
        <v>9.6536118959999992</v>
      </c>
      <c r="AJ640">
        <f ca="1">IFERROR(IF(0=LEN(ReferenceData!$AJ$640),"",ReferenceData!$AJ$640),"")</f>
        <v>2.447014679</v>
      </c>
      <c r="AK640">
        <f ca="1">IFERROR(IF(0=LEN(ReferenceData!$AK$640),"",ReferenceData!$AK$640),"")</f>
        <v>8.4131730349999998</v>
      </c>
      <c r="AL640">
        <f ca="1">IFERROR(IF(0=LEN(ReferenceData!$AL$640),"",ReferenceData!$AL$640),"")</f>
        <v>5.6243739350000004</v>
      </c>
      <c r="AM640">
        <f ca="1">IFERROR(IF(0=LEN(ReferenceData!$AM$640),"",ReferenceData!$AM$640),"")</f>
        <v>3.896275148</v>
      </c>
      <c r="AN640">
        <f ca="1">IFERROR(IF(0=LEN(ReferenceData!$AN$640),"",ReferenceData!$AN$640),"")</f>
        <v>7.2774300749999998</v>
      </c>
      <c r="AO640" t="str">
        <f ca="1">IFERROR(IF(0=LEN(ReferenceData!$AO$640),"",ReferenceData!$AO$640),"")</f>
        <v/>
      </c>
      <c r="AP640" t="str">
        <f ca="1">IFERROR(IF(0=LEN(ReferenceData!$AP$640),"",ReferenceData!$AP$640),"")</f>
        <v/>
      </c>
      <c r="AQ640" t="str">
        <f ca="1">IFERROR(IF(0=LEN(ReferenceData!$AQ$640),"",ReferenceData!$AQ$640),"")</f>
        <v/>
      </c>
      <c r="AR640" t="str">
        <f ca="1">IFERROR(IF(0=LEN(ReferenceData!$AR$640),"",ReferenceData!$AR$640),"")</f>
        <v/>
      </c>
      <c r="AS640" t="str">
        <f ca="1">IFERROR(IF(0=LEN(ReferenceData!$AS$640),"",ReferenceData!$AS$640),"")</f>
        <v/>
      </c>
      <c r="AT640" t="str">
        <f ca="1">IFERROR(IF(0=LEN(ReferenceData!$AT$640),"",ReferenceData!$AT$640),"")</f>
        <v/>
      </c>
      <c r="AU640" t="str">
        <f ca="1">IFERROR(IF(0=LEN(ReferenceData!$AU$640),"",ReferenceData!$AU$640),"")</f>
        <v/>
      </c>
      <c r="AV640" t="str">
        <f ca="1">IFERROR(IF(0=LEN(ReferenceData!$AV$640),"",ReferenceData!$AV$640),"")</f>
        <v/>
      </c>
      <c r="AW640" t="str">
        <f ca="1">IFERROR(IF(0=LEN(ReferenceData!$AW$640),"",ReferenceData!$AW$640),"")</f>
        <v/>
      </c>
      <c r="AX640" t="str">
        <f ca="1">IFERROR(IF(0=LEN(ReferenceData!$AX$640),"",ReferenceData!$AX$640),"")</f>
        <v/>
      </c>
      <c r="AY640" t="str">
        <f ca="1">IFERROR(IF(0=LEN(ReferenceData!$AY$640),"",ReferenceData!$AY$640),"")</f>
        <v/>
      </c>
      <c r="AZ640" t="str">
        <f ca="1">IFERROR(IF(0=LEN(ReferenceData!$AZ$640),"",ReferenceData!$AZ$640),"")</f>
        <v/>
      </c>
      <c r="BA640" t="str">
        <f ca="1">IFERROR(IF(0=LEN(ReferenceData!$BA$640),"",ReferenceData!$BA$640),"")</f>
        <v/>
      </c>
      <c r="BB640" t="str">
        <f ca="1">IFERROR(IF(0=LEN(ReferenceData!$BB$640),"",ReferenceData!$BB$640),"")</f>
        <v/>
      </c>
      <c r="BC640" t="str">
        <f ca="1">IFERROR(IF(0=LEN(ReferenceData!$BC$640),"",ReferenceData!$BC$640),"")</f>
        <v/>
      </c>
      <c r="BD640" t="str">
        <f ca="1">IFERROR(IF(0=LEN(ReferenceData!$BD$640),"",ReferenceData!$BD$640),"")</f>
        <v/>
      </c>
      <c r="BE640" t="str">
        <f ca="1">IFERROR(IF(0=LEN(ReferenceData!$BE$640),"",ReferenceData!$BE$640),"")</f>
        <v/>
      </c>
      <c r="BF640" t="str">
        <f ca="1">IFERROR(IF(0=LEN(ReferenceData!$BF$640),"",ReferenceData!$BF$640),"")</f>
        <v/>
      </c>
      <c r="BG640" t="str">
        <f ca="1">IFERROR(IF(0=LEN(ReferenceData!$BG$640),"",ReferenceData!$BG$640),"")</f>
        <v/>
      </c>
      <c r="BH640" t="str">
        <f ca="1">IFERROR(IF(0=LEN(ReferenceData!$BH$640),"",ReferenceData!$BH$640),"")</f>
        <v/>
      </c>
      <c r="BI640" t="str">
        <f ca="1">IFERROR(IF(0=LEN(ReferenceData!$BI$640),"",ReferenceData!$BI$640),"")</f>
        <v/>
      </c>
      <c r="BJ640" t="str">
        <f ca="1">IFERROR(IF(0=LEN(ReferenceData!$BJ$640),"",ReferenceData!$BJ$640),"")</f>
        <v/>
      </c>
      <c r="BK640" t="str">
        <f ca="1">IFERROR(IF(0=LEN(ReferenceData!$BK$640),"",ReferenceData!$BK$640),"")</f>
        <v/>
      </c>
      <c r="BL640" t="str">
        <f ca="1">IFERROR(IF(0=LEN(ReferenceData!$BL$640),"",ReferenceData!$BL$640),"")</f>
        <v/>
      </c>
      <c r="BM640" t="str">
        <f ca="1">IFERROR(IF(0=LEN(ReferenceData!$BM$640),"",ReferenceData!$BM$640),"")</f>
        <v/>
      </c>
    </row>
    <row r="641" spans="1:65" x14ac:dyDescent="0.25">
      <c r="A641" t="str">
        <f>IFERROR(IF(0=LEN(ReferenceData!$A$641),"",ReferenceData!$A$641),"")</f>
        <v xml:space="preserve">    Honda Motor Co Ltd</v>
      </c>
      <c r="B641" t="str">
        <f>IFERROR(IF(0=LEN(ReferenceData!$B$641),"",ReferenceData!$B$641),"")</f>
        <v>7267 JP Equity</v>
      </c>
      <c r="C641" t="str">
        <f>IFERROR(IF(0=LEN(ReferenceData!$C$641),"",ReferenceData!$C$641),"")</f>
        <v>RX539</v>
      </c>
      <c r="D641" t="str">
        <f>IFERROR(IF(0=LEN(ReferenceData!$D$641),"",ReferenceData!$D$641),"")</f>
        <v>T12_FCF_YIELD</v>
      </c>
      <c r="E641" t="str">
        <f>IFERROR(IF(0=LEN(ReferenceData!$E$641),"",ReferenceData!$E$641),"")</f>
        <v>Dynamic</v>
      </c>
      <c r="F641">
        <f ca="1">IFERROR(IF(0=LEN(ReferenceData!$F$641),"",ReferenceData!$F$641),"")</f>
        <v>7.94853816</v>
      </c>
      <c r="G641">
        <f ca="1">IFERROR(IF(0=LEN(ReferenceData!$G$641),"",ReferenceData!$G$641),"")</f>
        <v>8.5815103649999998</v>
      </c>
      <c r="H641">
        <f ca="1">IFERROR(IF(0=LEN(ReferenceData!$H$641),"",ReferenceData!$H$641),"")</f>
        <v>7.8568073480000002</v>
      </c>
      <c r="I641">
        <f ca="1">IFERROR(IF(0=LEN(ReferenceData!$I$641),"",ReferenceData!$I$641),"")</f>
        <v>10.006827769999999</v>
      </c>
      <c r="J641">
        <f ca="1">IFERROR(IF(0=LEN(ReferenceData!$J$641),"",ReferenceData!$J$641),"")</f>
        <v>8.62859482</v>
      </c>
      <c r="K641">
        <f ca="1">IFERROR(IF(0=LEN(ReferenceData!$K$641),"",ReferenceData!$K$641),"")</f>
        <v>8.8758487600000002</v>
      </c>
      <c r="L641">
        <f ca="1">IFERROR(IF(0=LEN(ReferenceData!$L$641),"",ReferenceData!$L$641),"")</f>
        <v>7.8552049979999996</v>
      </c>
      <c r="M641">
        <f ca="1">IFERROR(IF(0=LEN(ReferenceData!$M$641),"",ReferenceData!$M$641),"")</f>
        <v>7.2767247289999997</v>
      </c>
      <c r="N641">
        <f ca="1">IFERROR(IF(0=LEN(ReferenceData!$N$641),"",ReferenceData!$N$641),"")</f>
        <v>6.4404409579999999</v>
      </c>
      <c r="O641">
        <f ca="1">IFERROR(IF(0=LEN(ReferenceData!$O$641),"",ReferenceData!$O$641),"")</f>
        <v>5.7658967539999999</v>
      </c>
      <c r="P641">
        <f ca="1">IFERROR(IF(0=LEN(ReferenceData!$P$641),"",ReferenceData!$P$641),"")</f>
        <v>10.2678335</v>
      </c>
      <c r="Q641">
        <f ca="1">IFERROR(IF(0=LEN(ReferenceData!$Q$641),"",ReferenceData!$Q$641),"")</f>
        <v>12.14886656</v>
      </c>
      <c r="R641">
        <f ca="1">IFERROR(IF(0=LEN(ReferenceData!$R$641),"",ReferenceData!$R$641),"")</f>
        <v>13.520747269999999</v>
      </c>
      <c r="S641">
        <f ca="1">IFERROR(IF(0=LEN(ReferenceData!$S$641),"",ReferenceData!$S$641),"")</f>
        <v>10.46833183</v>
      </c>
      <c r="T641">
        <f ca="1">IFERROR(IF(0=LEN(ReferenceData!$T$641),"",ReferenceData!$T$641),"")</f>
        <v>11.32559923</v>
      </c>
      <c r="U641">
        <f ca="1">IFERROR(IF(0=LEN(ReferenceData!$U$641),"",ReferenceData!$U$641),"")</f>
        <v>8.9564149969999995</v>
      </c>
      <c r="V641">
        <f ca="1">IFERROR(IF(0=LEN(ReferenceData!$V$641),"",ReferenceData!$V$641),"")</f>
        <v>5.2826551589999999</v>
      </c>
      <c r="W641">
        <f ca="1">IFERROR(IF(0=LEN(ReferenceData!$W$641),"",ReferenceData!$W$641),"")</f>
        <v>3.2739601010000001</v>
      </c>
      <c r="X641">
        <f ca="1">IFERROR(IF(0=LEN(ReferenceData!$X$641),"",ReferenceData!$X$641),"")</f>
        <v>2.5821435990000001</v>
      </c>
      <c r="Y641">
        <f ca="1">IFERROR(IF(0=LEN(ReferenceData!$Y$641),"",ReferenceData!$Y$641),"")</f>
        <v>5.4337720950000001</v>
      </c>
      <c r="Z641">
        <f ca="1">IFERROR(IF(0=LEN(ReferenceData!$Z$641),"",ReferenceData!$Z$641),"")</f>
        <v>7.3245890869999997</v>
      </c>
      <c r="AA641">
        <f ca="1">IFERROR(IF(0=LEN(ReferenceData!$AA$641),"",ReferenceData!$AA$641),"")</f>
        <v>6.1273781229999997</v>
      </c>
      <c r="AB641">
        <f ca="1">IFERROR(IF(0=LEN(ReferenceData!$AB$641),"",ReferenceData!$AB$641),"")</f>
        <v>7.2258016239999998</v>
      </c>
      <c r="AC641">
        <f ca="1">IFERROR(IF(0=LEN(ReferenceData!$AC$641),"",ReferenceData!$AC$641),"")</f>
        <v>3.396316578</v>
      </c>
      <c r="AD641">
        <f ca="1">IFERROR(IF(0=LEN(ReferenceData!$AD$641),"",ReferenceData!$AD$641),"")</f>
        <v>2.6999231369999999</v>
      </c>
      <c r="AE641">
        <f ca="1">IFERROR(IF(0=LEN(ReferenceData!$AE$641),"",ReferenceData!$AE$641),"")</f>
        <v>2.5359744989999999</v>
      </c>
      <c r="AF641">
        <f ca="1">IFERROR(IF(0=LEN(ReferenceData!$AF$641),"",ReferenceData!$AF$641),"")</f>
        <v>0.51001916000000003</v>
      </c>
      <c r="AG641">
        <f ca="1">IFERROR(IF(0=LEN(ReferenceData!$AG$641),"",ReferenceData!$AG$641),"")</f>
        <v>5.0750092699999998</v>
      </c>
      <c r="AH641">
        <f ca="1">IFERROR(IF(0=LEN(ReferenceData!$AH$641),"",ReferenceData!$AH$641),"")</f>
        <v>5.971817712</v>
      </c>
      <c r="AI641">
        <f ca="1">IFERROR(IF(0=LEN(ReferenceData!$AI$641),"",ReferenceData!$AI$641),"")</f>
        <v>10.775236599999999</v>
      </c>
      <c r="AJ641">
        <f ca="1">IFERROR(IF(0=LEN(ReferenceData!$AJ$641),"",ReferenceData!$AJ$641),"")</f>
        <v>13.22993087</v>
      </c>
      <c r="AK641">
        <f ca="1">IFERROR(IF(0=LEN(ReferenceData!$AK$641),"",ReferenceData!$AK$641),"")</f>
        <v>10.66015788</v>
      </c>
      <c r="AL641">
        <f ca="1">IFERROR(IF(0=LEN(ReferenceData!$AL$641),"",ReferenceData!$AL$641),"")</f>
        <v>13.289737049999999</v>
      </c>
      <c r="AM641">
        <f ca="1">IFERROR(IF(0=LEN(ReferenceData!$AM$641),"",ReferenceData!$AM$641),"")</f>
        <v>13.81645904</v>
      </c>
      <c r="AN641">
        <f ca="1">IFERROR(IF(0=LEN(ReferenceData!$AN$641),"",ReferenceData!$AN$641),"")</f>
        <v>17.306569069999998</v>
      </c>
      <c r="AO641">
        <f ca="1">IFERROR(IF(0=LEN(ReferenceData!$AO$641),"",ReferenceData!$AO$641),"")</f>
        <v>24.331626669999999</v>
      </c>
      <c r="AP641">
        <f ca="1">IFERROR(IF(0=LEN(ReferenceData!$AP$641),"",ReferenceData!$AP$641),"")</f>
        <v>19.02379238</v>
      </c>
      <c r="AQ641">
        <f ca="1">IFERROR(IF(0=LEN(ReferenceData!$AQ$641),"",ReferenceData!$AQ$641),"")</f>
        <v>12.942903449999999</v>
      </c>
      <c r="AR641">
        <f ca="1">IFERROR(IF(0=LEN(ReferenceData!$AR$641),"",ReferenceData!$AR$641),"")</f>
        <v>6.8226395039999996</v>
      </c>
      <c r="AS641">
        <f ca="1">IFERROR(IF(0=LEN(ReferenceData!$AS$641),"",ReferenceData!$AS$641),"")</f>
        <v>-2.5976083069999998</v>
      </c>
      <c r="AT641">
        <f ca="1">IFERROR(IF(0=LEN(ReferenceData!$AT$641),"",ReferenceData!$AT$641),"")</f>
        <v>-5.922105685</v>
      </c>
      <c r="AU641">
        <f ca="1">IFERROR(IF(0=LEN(ReferenceData!$AU$641),"",ReferenceData!$AU$641),"")</f>
        <v>-1.9413911850000001</v>
      </c>
      <c r="AV641">
        <f ca="1">IFERROR(IF(0=LEN(ReferenceData!$AV$641),"",ReferenceData!$AV$641),"")</f>
        <v>0.61460912899999998</v>
      </c>
      <c r="AW641">
        <f ca="1">IFERROR(IF(0=LEN(ReferenceData!$AW$641),"",ReferenceData!$AW$641),"")</f>
        <v>-0.53418538800000004</v>
      </c>
      <c r="AX641">
        <f ca="1">IFERROR(IF(0=LEN(ReferenceData!$AX$641),"",ReferenceData!$AX$641),"")</f>
        <v>-2.2905175070000001</v>
      </c>
      <c r="AY641">
        <f ca="1">IFERROR(IF(0=LEN(ReferenceData!$AY$641),"",ReferenceData!$AY$641),"")</f>
        <v>-2.1579638729999999</v>
      </c>
      <c r="AZ641">
        <f ca="1">IFERROR(IF(0=LEN(ReferenceData!$AZ$641),"",ReferenceData!$AZ$641),"")</f>
        <v>-3.0375700440000002</v>
      </c>
      <c r="BA641">
        <f ca="1">IFERROR(IF(0=LEN(ReferenceData!$BA$641),"",ReferenceData!$BA$641),"")</f>
        <v>-0.60958774599999999</v>
      </c>
      <c r="BB641">
        <f ca="1">IFERROR(IF(0=LEN(ReferenceData!$BB$641),"",ReferenceData!$BB$641),"")</f>
        <v>-0.79865860200000005</v>
      </c>
      <c r="BC641">
        <f ca="1">IFERROR(IF(0=LEN(ReferenceData!$BC$641),"",ReferenceData!$BC$641),"")</f>
        <v>1.024016005</v>
      </c>
      <c r="BD641">
        <f ca="1">IFERROR(IF(0=LEN(ReferenceData!$BD$641),"",ReferenceData!$BD$641),"")</f>
        <v>2.2841551920000001</v>
      </c>
      <c r="BE641">
        <f ca="1">IFERROR(IF(0=LEN(ReferenceData!$BE$641),"",ReferenceData!$BE$641),"")</f>
        <v>2.1470845700000001</v>
      </c>
      <c r="BF641">
        <f ca="1">IFERROR(IF(0=LEN(ReferenceData!$BF$641),"",ReferenceData!$BF$641),"")</f>
        <v>1.8035273999999999</v>
      </c>
      <c r="BG641">
        <f ca="1">IFERROR(IF(0=LEN(ReferenceData!$BG$641),"",ReferenceData!$BG$641),"")</f>
        <v>2.5371355470000001</v>
      </c>
      <c r="BH641">
        <f ca="1">IFERROR(IF(0=LEN(ReferenceData!$BH$641),"",ReferenceData!$BH$641),"")</f>
        <v>5.6542333070000002</v>
      </c>
      <c r="BI641">
        <f ca="1">IFERROR(IF(0=LEN(ReferenceData!$BI$641),"",ReferenceData!$BI$641),"")</f>
        <v>6.8697472050000004</v>
      </c>
      <c r="BJ641">
        <f ca="1">IFERROR(IF(0=LEN(ReferenceData!$BJ$641),"",ReferenceData!$BJ$641),"")</f>
        <v>7.4744300209999999</v>
      </c>
      <c r="BK641" t="str">
        <f ca="1">IFERROR(IF(0=LEN(ReferenceData!$BK$641),"",ReferenceData!$BK$641),"")</f>
        <v/>
      </c>
      <c r="BL641" t="str">
        <f ca="1">IFERROR(IF(0=LEN(ReferenceData!$BL$641),"",ReferenceData!$BL$641),"")</f>
        <v/>
      </c>
      <c r="BM641" t="str">
        <f ca="1">IFERROR(IF(0=LEN(ReferenceData!$BM$641),"",ReferenceData!$BM$641),"")</f>
        <v/>
      </c>
    </row>
    <row r="642" spans="1:65" x14ac:dyDescent="0.25">
      <c r="A642" t="str">
        <f>IFERROR(IF(0=LEN(ReferenceData!$A$642),"",ReferenceData!$A$642),"")</f>
        <v xml:space="preserve">    Hyundai Motor Co</v>
      </c>
      <c r="B642" t="str">
        <f>IFERROR(IF(0=LEN(ReferenceData!$B$642),"",ReferenceData!$B$642),"")</f>
        <v>005380 KS Equity</v>
      </c>
      <c r="C642" t="str">
        <f>IFERROR(IF(0=LEN(ReferenceData!$C$642),"",ReferenceData!$C$642),"")</f>
        <v>RX539</v>
      </c>
      <c r="D642" t="str">
        <f>IFERROR(IF(0=LEN(ReferenceData!$D$642),"",ReferenceData!$D$642),"")</f>
        <v>T12_FCF_YIELD</v>
      </c>
      <c r="E642" t="str">
        <f>IFERROR(IF(0=LEN(ReferenceData!$E$642),"",ReferenceData!$E$642),"")</f>
        <v>Dynamic</v>
      </c>
      <c r="F642" t="str">
        <f ca="1">IFERROR(IF(0=LEN(ReferenceData!$F$642),"",ReferenceData!$F$642),"")</f>
        <v/>
      </c>
      <c r="G642">
        <f ca="1">IFERROR(IF(0=LEN(ReferenceData!$G$642),"",ReferenceData!$G$642),"")</f>
        <v>7.92839004</v>
      </c>
      <c r="H642">
        <f ca="1">IFERROR(IF(0=LEN(ReferenceData!$H$642),"",ReferenceData!$H$642),"")</f>
        <v>7.2549360600000004</v>
      </c>
      <c r="I642">
        <f ca="1">IFERROR(IF(0=LEN(ReferenceData!$I$642),"",ReferenceData!$I$642),"")</f>
        <v>5.5115667879999997</v>
      </c>
      <c r="J642">
        <f ca="1">IFERROR(IF(0=LEN(ReferenceData!$J$642),"",ReferenceData!$J$642),"")</f>
        <v>2.9703532469999998</v>
      </c>
      <c r="K642">
        <f ca="1">IFERROR(IF(0=LEN(ReferenceData!$K$642),"",ReferenceData!$K$642),"")</f>
        <v>2.5242112159999999</v>
      </c>
      <c r="L642">
        <f ca="1">IFERROR(IF(0=LEN(ReferenceData!$L$642),"",ReferenceData!$L$642),"")</f>
        <v>-0.73850711700000005</v>
      </c>
      <c r="M642">
        <f ca="1">IFERROR(IF(0=LEN(ReferenceData!$M$642),"",ReferenceData!$M$642),"")</f>
        <v>-0.50592732500000004</v>
      </c>
      <c r="N642">
        <f ca="1">IFERROR(IF(0=LEN(ReferenceData!$N$642),"",ReferenceData!$N$642),"")</f>
        <v>0.17290824699999999</v>
      </c>
      <c r="O642">
        <f ca="1">IFERROR(IF(0=LEN(ReferenceData!$O$642),"",ReferenceData!$O$642),"")</f>
        <v>-6.1386025550000003</v>
      </c>
      <c r="P642">
        <f ca="1">IFERROR(IF(0=LEN(ReferenceData!$P$642),"",ReferenceData!$P$642),"")</f>
        <v>-11.61860253</v>
      </c>
      <c r="Q642">
        <f ca="1">IFERROR(IF(0=LEN(ReferenceData!$Q$642),"",ReferenceData!$Q$642),"")</f>
        <v>-19.78695192</v>
      </c>
      <c r="R642">
        <f ca="1">IFERROR(IF(0=LEN(ReferenceData!$R$642),"",ReferenceData!$R$642),"")</f>
        <v>-22.656460559999999</v>
      </c>
      <c r="S642">
        <f ca="1">IFERROR(IF(0=LEN(ReferenceData!$S$642),"",ReferenceData!$S$642),"")</f>
        <v>-21.00262979</v>
      </c>
      <c r="T642">
        <f ca="1">IFERROR(IF(0=LEN(ReferenceData!$T$642),"",ReferenceData!$T$642),"")</f>
        <v>-23.068587310000002</v>
      </c>
      <c r="U642">
        <f ca="1">IFERROR(IF(0=LEN(ReferenceData!$U$642),"",ReferenceData!$U$642),"")</f>
        <v>-20.420927930000001</v>
      </c>
      <c r="V642">
        <f ca="1">IFERROR(IF(0=LEN(ReferenceData!$V$642),"",ReferenceData!$V$642),"")</f>
        <v>-10.521967220000001</v>
      </c>
      <c r="W642">
        <f ca="1">IFERROR(IF(0=LEN(ReferenceData!$W$642),"",ReferenceData!$W$642),"")</f>
        <v>-3.3120400189999999</v>
      </c>
      <c r="X642">
        <f ca="1">IFERROR(IF(0=LEN(ReferenceData!$X$642),"",ReferenceData!$X$642),"")</f>
        <v>-4.9932954340000002</v>
      </c>
      <c r="Y642">
        <f ca="1">IFERROR(IF(0=LEN(ReferenceData!$Y$642),"",ReferenceData!$Y$642),"")</f>
        <v>-6.0204179</v>
      </c>
      <c r="Z642">
        <f ca="1">IFERROR(IF(0=LEN(ReferenceData!$Z$642),"",ReferenceData!$Z$642),"")</f>
        <v>-2.083920435</v>
      </c>
      <c r="AA642">
        <f ca="1">IFERROR(IF(0=LEN(ReferenceData!$AA$642),"",ReferenceData!$AA$642),"")</f>
        <v>-3.7673720209999999</v>
      </c>
      <c r="AB642">
        <f ca="1">IFERROR(IF(0=LEN(ReferenceData!$AB$642),"",ReferenceData!$AB$642),"")</f>
        <v>2.7436762520000002</v>
      </c>
      <c r="AC642">
        <f ca="1">IFERROR(IF(0=LEN(ReferenceData!$AC$642),"",ReferenceData!$AC$642),"")</f>
        <v>7.7226432709999999</v>
      </c>
      <c r="AD642">
        <f ca="1">IFERROR(IF(0=LEN(ReferenceData!$AD$642),"",ReferenceData!$AD$642),"")</f>
        <v>4.5256654589999998</v>
      </c>
      <c r="AE642">
        <f ca="1">IFERROR(IF(0=LEN(ReferenceData!$AE$642),"",ReferenceData!$AE$642),"")</f>
        <v>4.8610591449999996</v>
      </c>
      <c r="AF642">
        <f ca="1">IFERROR(IF(0=LEN(ReferenceData!$AF$642),"",ReferenceData!$AF$642),"")</f>
        <v>5.2392394360000001</v>
      </c>
      <c r="AG642">
        <f ca="1">IFERROR(IF(0=LEN(ReferenceData!$AG$642),"",ReferenceData!$AG$642),"")</f>
        <v>2.6825151190000001</v>
      </c>
      <c r="AH642">
        <f ca="1">IFERROR(IF(0=LEN(ReferenceData!$AH$642),"",ReferenceData!$AH$642),"")</f>
        <v>3.306071099</v>
      </c>
      <c r="AI642">
        <f ca="1">IFERROR(IF(0=LEN(ReferenceData!$AI$642),"",ReferenceData!$AI$642),"")</f>
        <v>2.6278154840000001</v>
      </c>
      <c r="AJ642">
        <f ca="1">IFERROR(IF(0=LEN(ReferenceData!$AJ$642),"",ReferenceData!$AJ$642),"")</f>
        <v>2.6917181939999999</v>
      </c>
      <c r="AK642">
        <f ca="1">IFERROR(IF(0=LEN(ReferenceData!$AK$642),"",ReferenceData!$AK$642),"")</f>
        <v>2.7348577000000001</v>
      </c>
      <c r="AL642">
        <f ca="1">IFERROR(IF(0=LEN(ReferenceData!$AL$642),"",ReferenceData!$AL$642),"")</f>
        <v>4.5366738599999996</v>
      </c>
      <c r="AM642">
        <f ca="1">IFERROR(IF(0=LEN(ReferenceData!$AM$642),"",ReferenceData!$AM$642),"")</f>
        <v>6.1006217349999998</v>
      </c>
      <c r="AN642" t="str">
        <f ca="1">IFERROR(IF(0=LEN(ReferenceData!$AN$642),"",ReferenceData!$AN$642),"")</f>
        <v/>
      </c>
      <c r="AO642" t="str">
        <f ca="1">IFERROR(IF(0=LEN(ReferenceData!$AO$642),"",ReferenceData!$AO$642),"")</f>
        <v/>
      </c>
      <c r="AP642" t="str">
        <f ca="1">IFERROR(IF(0=LEN(ReferenceData!$AP$642),"",ReferenceData!$AP$642),"")</f>
        <v/>
      </c>
      <c r="AQ642" t="str">
        <f ca="1">IFERROR(IF(0=LEN(ReferenceData!$AQ$642),"",ReferenceData!$AQ$642),"")</f>
        <v/>
      </c>
      <c r="AR642" t="str">
        <f ca="1">IFERROR(IF(0=LEN(ReferenceData!$AR$642),"",ReferenceData!$AR$642),"")</f>
        <v/>
      </c>
      <c r="AS642" t="str">
        <f ca="1">IFERROR(IF(0=LEN(ReferenceData!$AS$642),"",ReferenceData!$AS$642),"")</f>
        <v/>
      </c>
      <c r="AT642" t="str">
        <f ca="1">IFERROR(IF(0=LEN(ReferenceData!$AT$642),"",ReferenceData!$AT$642),"")</f>
        <v/>
      </c>
      <c r="AU642" t="str">
        <f ca="1">IFERROR(IF(0=LEN(ReferenceData!$AU$642),"",ReferenceData!$AU$642),"")</f>
        <v/>
      </c>
      <c r="AV642" t="str">
        <f ca="1">IFERROR(IF(0=LEN(ReferenceData!$AV$642),"",ReferenceData!$AV$642),"")</f>
        <v/>
      </c>
      <c r="AW642" t="str">
        <f ca="1">IFERROR(IF(0=LEN(ReferenceData!$AW$642),"",ReferenceData!$AW$642),"")</f>
        <v/>
      </c>
      <c r="AX642" t="str">
        <f ca="1">IFERROR(IF(0=LEN(ReferenceData!$AX$642),"",ReferenceData!$AX$642),"")</f>
        <v/>
      </c>
      <c r="AY642" t="str">
        <f ca="1">IFERROR(IF(0=LEN(ReferenceData!$AY$642),"",ReferenceData!$AY$642),"")</f>
        <v/>
      </c>
      <c r="AZ642" t="str">
        <f ca="1">IFERROR(IF(0=LEN(ReferenceData!$AZ$642),"",ReferenceData!$AZ$642),"")</f>
        <v/>
      </c>
      <c r="BA642" t="str">
        <f ca="1">IFERROR(IF(0=LEN(ReferenceData!$BA$642),"",ReferenceData!$BA$642),"")</f>
        <v/>
      </c>
      <c r="BB642" t="str">
        <f ca="1">IFERROR(IF(0=LEN(ReferenceData!$BB$642),"",ReferenceData!$BB$642),"")</f>
        <v/>
      </c>
      <c r="BC642" t="str">
        <f ca="1">IFERROR(IF(0=LEN(ReferenceData!$BC$642),"",ReferenceData!$BC$642),"")</f>
        <v/>
      </c>
      <c r="BD642" t="str">
        <f ca="1">IFERROR(IF(0=LEN(ReferenceData!$BD$642),"",ReferenceData!$BD$642),"")</f>
        <v/>
      </c>
      <c r="BE642" t="str">
        <f ca="1">IFERROR(IF(0=LEN(ReferenceData!$BE$642),"",ReferenceData!$BE$642),"")</f>
        <v/>
      </c>
      <c r="BF642" t="str">
        <f ca="1">IFERROR(IF(0=LEN(ReferenceData!$BF$642),"",ReferenceData!$BF$642),"")</f>
        <v/>
      </c>
      <c r="BG642" t="str">
        <f ca="1">IFERROR(IF(0=LEN(ReferenceData!$BG$642),"",ReferenceData!$BG$642),"")</f>
        <v/>
      </c>
      <c r="BH642" t="str">
        <f ca="1">IFERROR(IF(0=LEN(ReferenceData!$BH$642),"",ReferenceData!$BH$642),"")</f>
        <v/>
      </c>
      <c r="BI642" t="str">
        <f ca="1">IFERROR(IF(0=LEN(ReferenceData!$BI$642),"",ReferenceData!$BI$642),"")</f>
        <v/>
      </c>
      <c r="BJ642" t="str">
        <f ca="1">IFERROR(IF(0=LEN(ReferenceData!$BJ$642),"",ReferenceData!$BJ$642),"")</f>
        <v/>
      </c>
      <c r="BK642" t="str">
        <f ca="1">IFERROR(IF(0=LEN(ReferenceData!$BK$642),"",ReferenceData!$BK$642),"")</f>
        <v/>
      </c>
      <c r="BL642" t="str">
        <f ca="1">IFERROR(IF(0=LEN(ReferenceData!$BL$642),"",ReferenceData!$BL$642),"")</f>
        <v/>
      </c>
      <c r="BM642" t="str">
        <f ca="1">IFERROR(IF(0=LEN(ReferenceData!$BM$642),"",ReferenceData!$BM$642),"")</f>
        <v/>
      </c>
    </row>
    <row r="643" spans="1:65" x14ac:dyDescent="0.25">
      <c r="A643" t="str">
        <f>IFERROR(IF(0=LEN(ReferenceData!$A$643),"",ReferenceData!$A$643),"")</f>
        <v xml:space="preserve">    Kia Motors Corp</v>
      </c>
      <c r="B643" t="str">
        <f>IFERROR(IF(0=LEN(ReferenceData!$B$643),"",ReferenceData!$B$643),"")</f>
        <v>000270 KS Equity</v>
      </c>
      <c r="C643" t="str">
        <f>IFERROR(IF(0=LEN(ReferenceData!$C$643),"",ReferenceData!$C$643),"")</f>
        <v>RX539</v>
      </c>
      <c r="D643" t="str">
        <f>IFERROR(IF(0=LEN(ReferenceData!$D$643),"",ReferenceData!$D$643),"")</f>
        <v>T12_FCF_YIELD</v>
      </c>
      <c r="E643" t="str">
        <f>IFERROR(IF(0=LEN(ReferenceData!$E$643),"",ReferenceData!$E$643),"")</f>
        <v>Dynamic</v>
      </c>
      <c r="F643" t="str">
        <f ca="1">IFERROR(IF(0=LEN(ReferenceData!$F$643),"",ReferenceData!$F$643),"")</f>
        <v/>
      </c>
      <c r="G643">
        <f ca="1">IFERROR(IF(0=LEN(ReferenceData!$G$643),"",ReferenceData!$G$643),"")</f>
        <v>17.301076779999999</v>
      </c>
      <c r="H643">
        <f ca="1">IFERROR(IF(0=LEN(ReferenceData!$H$643),"",ReferenceData!$H$643),"")</f>
        <v>16.290615030000001</v>
      </c>
      <c r="I643">
        <f ca="1">IFERROR(IF(0=LEN(ReferenceData!$I$643),"",ReferenceData!$I$643),"")</f>
        <v>21.998520360000001</v>
      </c>
      <c r="J643">
        <f ca="1">IFERROR(IF(0=LEN(ReferenceData!$J$643),"",ReferenceData!$J$643),"")</f>
        <v>13.979445549999999</v>
      </c>
      <c r="K643">
        <f ca="1">IFERROR(IF(0=LEN(ReferenceData!$K$643),"",ReferenceData!$K$643),"")</f>
        <v>6.6622300719999998</v>
      </c>
      <c r="L643">
        <f ca="1">IFERROR(IF(0=LEN(ReferenceData!$L$643),"",ReferenceData!$L$643),"")</f>
        <v>6.4667121679999999</v>
      </c>
      <c r="M643">
        <f ca="1">IFERROR(IF(0=LEN(ReferenceData!$M$643),"",ReferenceData!$M$643),"")</f>
        <v>2.8381234420000001</v>
      </c>
      <c r="N643">
        <f ca="1">IFERROR(IF(0=LEN(ReferenceData!$N$643),"",ReferenceData!$N$643),"")</f>
        <v>16.092019260000001</v>
      </c>
      <c r="O643">
        <f ca="1">IFERROR(IF(0=LEN(ReferenceData!$O$643),"",ReferenceData!$O$643),"")</f>
        <v>10.78748495</v>
      </c>
      <c r="P643">
        <f ca="1">IFERROR(IF(0=LEN(ReferenceData!$P$643),"",ReferenceData!$P$643),"")</f>
        <v>11.32813795</v>
      </c>
      <c r="Q643">
        <f ca="1">IFERROR(IF(0=LEN(ReferenceData!$Q$643),"",ReferenceData!$Q$643),"")</f>
        <v>9.4417123469999993</v>
      </c>
      <c r="R643">
        <f ca="1">IFERROR(IF(0=LEN(ReferenceData!$R$643),"",ReferenceData!$R$643),"")</f>
        <v>-3.0603273259999999</v>
      </c>
      <c r="S643">
        <f ca="1">IFERROR(IF(0=LEN(ReferenceData!$S$643),"",ReferenceData!$S$643),"")</f>
        <v>-2.5295899629999998</v>
      </c>
      <c r="T643">
        <f ca="1">IFERROR(IF(0=LEN(ReferenceData!$T$643),"",ReferenceData!$T$643),"")</f>
        <v>5.9790655999999998E-2</v>
      </c>
      <c r="U643">
        <f ca="1">IFERROR(IF(0=LEN(ReferenceData!$U$643),"",ReferenceData!$U$643),"")</f>
        <v>1.186698697</v>
      </c>
      <c r="V643">
        <f ca="1">IFERROR(IF(0=LEN(ReferenceData!$V$643),"",ReferenceData!$V$643),"")</f>
        <v>9.1232474999999993E-2</v>
      </c>
      <c r="W643">
        <f ca="1">IFERROR(IF(0=LEN(ReferenceData!$W$643),"",ReferenceData!$W$643),"")</f>
        <v>4.4066360539999998</v>
      </c>
      <c r="X643">
        <f ca="1">IFERROR(IF(0=LEN(ReferenceData!$X$643),"",ReferenceData!$X$643),"")</f>
        <v>9.1182743160000008</v>
      </c>
      <c r="Y643">
        <f ca="1">IFERROR(IF(0=LEN(ReferenceData!$Y$643),"",ReferenceData!$Y$643),"")</f>
        <v>8.1364381950000002</v>
      </c>
      <c r="Z643">
        <f ca="1">IFERROR(IF(0=LEN(ReferenceData!$Z$643),"",ReferenceData!$Z$643),"")</f>
        <v>14.63786604</v>
      </c>
      <c r="AA643">
        <f ca="1">IFERROR(IF(0=LEN(ReferenceData!$AA$643),"",ReferenceData!$AA$643),"")</f>
        <v>15.761133470000001</v>
      </c>
      <c r="AB643">
        <f ca="1">IFERROR(IF(0=LEN(ReferenceData!$AB$643),"",ReferenceData!$AB$643),"")</f>
        <v>9.259724404</v>
      </c>
      <c r="AC643">
        <f ca="1">IFERROR(IF(0=LEN(ReferenceData!$AC$643),"",ReferenceData!$AC$643),"")</f>
        <v>10.60474818</v>
      </c>
      <c r="AD643">
        <f ca="1">IFERROR(IF(0=LEN(ReferenceData!$AD$643),"",ReferenceData!$AD$643),"")</f>
        <v>9.7152700169999999</v>
      </c>
      <c r="AE643">
        <f ca="1">IFERROR(IF(0=LEN(ReferenceData!$AE$643),"",ReferenceData!$AE$643),"")</f>
        <v>12.09785932</v>
      </c>
      <c r="AF643">
        <f ca="1">IFERROR(IF(0=LEN(ReferenceData!$AF$643),"",ReferenceData!$AF$643),"")</f>
        <v>13.0596192</v>
      </c>
      <c r="AG643">
        <f ca="1">IFERROR(IF(0=LEN(ReferenceData!$AG$643),"",ReferenceData!$AG$643),"")</f>
        <v>12.527466649999999</v>
      </c>
      <c r="AH643">
        <f ca="1">IFERROR(IF(0=LEN(ReferenceData!$AH$643),"",ReferenceData!$AH$643),"")</f>
        <v>11.05763359</v>
      </c>
      <c r="AI643">
        <f ca="1">IFERROR(IF(0=LEN(ReferenceData!$AI$643),"",ReferenceData!$AI$643),"")</f>
        <v>12.209996629999999</v>
      </c>
      <c r="AJ643">
        <f ca="1">IFERROR(IF(0=LEN(ReferenceData!$AJ$643),"",ReferenceData!$AJ$643),"")</f>
        <v>12.739164990000001</v>
      </c>
      <c r="AK643">
        <f ca="1">IFERROR(IF(0=LEN(ReferenceData!$AK$643),"",ReferenceData!$AK$643),"")</f>
        <v>13.20552563</v>
      </c>
      <c r="AL643">
        <f ca="1">IFERROR(IF(0=LEN(ReferenceData!$AL$643),"",ReferenceData!$AL$643),"")</f>
        <v>16.150883319999998</v>
      </c>
      <c r="AM643">
        <f ca="1">IFERROR(IF(0=LEN(ReferenceData!$AM$643),"",ReferenceData!$AM$643),"")</f>
        <v>21.698968780000001</v>
      </c>
      <c r="AN643" t="str">
        <f ca="1">IFERROR(IF(0=LEN(ReferenceData!$AN$643),"",ReferenceData!$AN$643),"")</f>
        <v/>
      </c>
      <c r="AO643" t="str">
        <f ca="1">IFERROR(IF(0=LEN(ReferenceData!$AO$643),"",ReferenceData!$AO$643),"")</f>
        <v/>
      </c>
      <c r="AP643" t="str">
        <f ca="1">IFERROR(IF(0=LEN(ReferenceData!$AP$643),"",ReferenceData!$AP$643),"")</f>
        <v/>
      </c>
      <c r="AQ643" t="str">
        <f ca="1">IFERROR(IF(0=LEN(ReferenceData!$AQ$643),"",ReferenceData!$AQ$643),"")</f>
        <v/>
      </c>
      <c r="AR643" t="str">
        <f ca="1">IFERROR(IF(0=LEN(ReferenceData!$AR$643),"",ReferenceData!$AR$643),"")</f>
        <v/>
      </c>
      <c r="AS643" t="str">
        <f ca="1">IFERROR(IF(0=LEN(ReferenceData!$AS$643),"",ReferenceData!$AS$643),"")</f>
        <v/>
      </c>
      <c r="AT643" t="str">
        <f ca="1">IFERROR(IF(0=LEN(ReferenceData!$AT$643),"",ReferenceData!$AT$643),"")</f>
        <v/>
      </c>
      <c r="AU643" t="str">
        <f ca="1">IFERROR(IF(0=LEN(ReferenceData!$AU$643),"",ReferenceData!$AU$643),"")</f>
        <v/>
      </c>
      <c r="AV643" t="str">
        <f ca="1">IFERROR(IF(0=LEN(ReferenceData!$AV$643),"",ReferenceData!$AV$643),"")</f>
        <v/>
      </c>
      <c r="AW643" t="str">
        <f ca="1">IFERROR(IF(0=LEN(ReferenceData!$AW$643),"",ReferenceData!$AW$643),"")</f>
        <v/>
      </c>
      <c r="AX643" t="str">
        <f ca="1">IFERROR(IF(0=LEN(ReferenceData!$AX$643),"",ReferenceData!$AX$643),"")</f>
        <v/>
      </c>
      <c r="AY643" t="str">
        <f ca="1">IFERROR(IF(0=LEN(ReferenceData!$AY$643),"",ReferenceData!$AY$643),"")</f>
        <v/>
      </c>
      <c r="AZ643" t="str">
        <f ca="1">IFERROR(IF(0=LEN(ReferenceData!$AZ$643),"",ReferenceData!$AZ$643),"")</f>
        <v/>
      </c>
      <c r="BA643" t="str">
        <f ca="1">IFERROR(IF(0=LEN(ReferenceData!$BA$643),"",ReferenceData!$BA$643),"")</f>
        <v/>
      </c>
      <c r="BB643" t="str">
        <f ca="1">IFERROR(IF(0=LEN(ReferenceData!$BB$643),"",ReferenceData!$BB$643),"")</f>
        <v/>
      </c>
      <c r="BC643" t="str">
        <f ca="1">IFERROR(IF(0=LEN(ReferenceData!$BC$643),"",ReferenceData!$BC$643),"")</f>
        <v/>
      </c>
      <c r="BD643" t="str">
        <f ca="1">IFERROR(IF(0=LEN(ReferenceData!$BD$643),"",ReferenceData!$BD$643),"")</f>
        <v/>
      </c>
      <c r="BE643" t="str">
        <f ca="1">IFERROR(IF(0=LEN(ReferenceData!$BE$643),"",ReferenceData!$BE$643),"")</f>
        <v/>
      </c>
      <c r="BF643" t="str">
        <f ca="1">IFERROR(IF(0=LEN(ReferenceData!$BF$643),"",ReferenceData!$BF$643),"")</f>
        <v/>
      </c>
      <c r="BG643" t="str">
        <f ca="1">IFERROR(IF(0=LEN(ReferenceData!$BG$643),"",ReferenceData!$BG$643),"")</f>
        <v/>
      </c>
      <c r="BH643" t="str">
        <f ca="1">IFERROR(IF(0=LEN(ReferenceData!$BH$643),"",ReferenceData!$BH$643),"")</f>
        <v/>
      </c>
      <c r="BI643" t="str">
        <f ca="1">IFERROR(IF(0=LEN(ReferenceData!$BI$643),"",ReferenceData!$BI$643),"")</f>
        <v/>
      </c>
      <c r="BJ643" t="str">
        <f ca="1">IFERROR(IF(0=LEN(ReferenceData!$BJ$643),"",ReferenceData!$BJ$643),"")</f>
        <v/>
      </c>
      <c r="BK643" t="str">
        <f ca="1">IFERROR(IF(0=LEN(ReferenceData!$BK$643),"",ReferenceData!$BK$643),"")</f>
        <v/>
      </c>
      <c r="BL643" t="str">
        <f ca="1">IFERROR(IF(0=LEN(ReferenceData!$BL$643),"",ReferenceData!$BL$643),"")</f>
        <v/>
      </c>
      <c r="BM643" t="str">
        <f ca="1">IFERROR(IF(0=LEN(ReferenceData!$BM$643),"",ReferenceData!$BM$643),"")</f>
        <v/>
      </c>
    </row>
    <row r="644" spans="1:65" x14ac:dyDescent="0.25">
      <c r="A644" t="str">
        <f>IFERROR(IF(0=LEN(ReferenceData!$A$644),"",ReferenceData!$A$644),"")</f>
        <v xml:space="preserve">    Mazda Motor Corp</v>
      </c>
      <c r="B644" t="str">
        <f>IFERROR(IF(0=LEN(ReferenceData!$B$644),"",ReferenceData!$B$644),"")</f>
        <v>7261 JP Equity</v>
      </c>
      <c r="C644" t="str">
        <f>IFERROR(IF(0=LEN(ReferenceData!$C$644),"",ReferenceData!$C$644),"")</f>
        <v>RX539</v>
      </c>
      <c r="D644" t="str">
        <f>IFERROR(IF(0=LEN(ReferenceData!$D$644),"",ReferenceData!$D$644),"")</f>
        <v>T12_FCF_YIELD</v>
      </c>
      <c r="E644" t="str">
        <f>IFERROR(IF(0=LEN(ReferenceData!$E$644),"",ReferenceData!$E$644),"")</f>
        <v>Dynamic</v>
      </c>
      <c r="F644">
        <f ca="1">IFERROR(IF(0=LEN(ReferenceData!$F$644),"",ReferenceData!$F$644),"")</f>
        <v>8.1727001920000006</v>
      </c>
      <c r="G644">
        <f ca="1">IFERROR(IF(0=LEN(ReferenceData!$G$644),"",ReferenceData!$G$644),"")</f>
        <v>9.2635936539999992</v>
      </c>
      <c r="H644">
        <f ca="1">IFERROR(IF(0=LEN(ReferenceData!$H$644),"",ReferenceData!$H$644),"")</f>
        <v>11.303456690000001</v>
      </c>
      <c r="I644">
        <f ca="1">IFERROR(IF(0=LEN(ReferenceData!$I$644),"",ReferenceData!$I$644),"")</f>
        <v>12.141121419999999</v>
      </c>
      <c r="J644">
        <f ca="1">IFERROR(IF(0=LEN(ReferenceData!$J$644),"",ReferenceData!$J$644),"")</f>
        <v>13.5862719</v>
      </c>
      <c r="K644">
        <f ca="1">IFERROR(IF(0=LEN(ReferenceData!$K$644),"",ReferenceData!$K$644),"")</f>
        <v>11.1219001</v>
      </c>
      <c r="L644">
        <f ca="1">IFERROR(IF(0=LEN(ReferenceData!$L$644),"",ReferenceData!$L$644),"")</f>
        <v>7.8298375260000004</v>
      </c>
      <c r="M644">
        <f ca="1">IFERROR(IF(0=LEN(ReferenceData!$M$644),"",ReferenceData!$M$644),"")</f>
        <v>8.2378914959999996</v>
      </c>
      <c r="N644">
        <f ca="1">IFERROR(IF(0=LEN(ReferenceData!$N$644),"",ReferenceData!$N$644),"")</f>
        <v>8.5047800880000004</v>
      </c>
      <c r="O644">
        <f ca="1">IFERROR(IF(0=LEN(ReferenceData!$O$644),"",ReferenceData!$O$644),"")</f>
        <v>8.4718591920000001</v>
      </c>
      <c r="P644">
        <f ca="1">IFERROR(IF(0=LEN(ReferenceData!$P$644),"",ReferenceData!$P$644),"")</f>
        <v>13.86031453</v>
      </c>
      <c r="Q644">
        <f ca="1">IFERROR(IF(0=LEN(ReferenceData!$Q$644),"",ReferenceData!$Q$644),"")</f>
        <v>18.642205629999999</v>
      </c>
      <c r="R644">
        <f ca="1">IFERROR(IF(0=LEN(ReferenceData!$R$644),"",ReferenceData!$R$644),"")</f>
        <v>17.54978182</v>
      </c>
      <c r="S644">
        <f ca="1">IFERROR(IF(0=LEN(ReferenceData!$S$644),"",ReferenceData!$S$644),"")</f>
        <v>11.793057429999999</v>
      </c>
      <c r="T644">
        <f ca="1">IFERROR(IF(0=LEN(ReferenceData!$T$644),"",ReferenceData!$T$644),"")</f>
        <v>13.57524621</v>
      </c>
      <c r="U644">
        <f ca="1">IFERROR(IF(0=LEN(ReferenceData!$U$644),"",ReferenceData!$U$644),"")</f>
        <v>8.0990535220000002</v>
      </c>
      <c r="V644">
        <f ca="1">IFERROR(IF(0=LEN(ReferenceData!$V$644),"",ReferenceData!$V$644),"")</f>
        <v>5.5422872109999997</v>
      </c>
      <c r="W644">
        <f ca="1">IFERROR(IF(0=LEN(ReferenceData!$W$644),"",ReferenceData!$W$644),"")</f>
        <v>3.5438040110000002</v>
      </c>
      <c r="X644">
        <f ca="1">IFERROR(IF(0=LEN(ReferenceData!$X$644),"",ReferenceData!$X$644),"")</f>
        <v>5.2449953139999996</v>
      </c>
      <c r="Y644">
        <f ca="1">IFERROR(IF(0=LEN(ReferenceData!$Y$644),"",ReferenceData!$Y$644),"")</f>
        <v>4.1374199989999996</v>
      </c>
      <c r="Z644">
        <f ca="1">IFERROR(IF(0=LEN(ReferenceData!$Z$644),"",ReferenceData!$Z$644),"")</f>
        <v>1.859847381</v>
      </c>
      <c r="AA644">
        <f ca="1">IFERROR(IF(0=LEN(ReferenceData!$AA$644),"",ReferenceData!$AA$644),"")</f>
        <v>2.011569401</v>
      </c>
      <c r="AB644">
        <f ca="1">IFERROR(IF(0=LEN(ReferenceData!$AB$644),"",ReferenceData!$AB$644),"")</f>
        <v>-0.87348408700000002</v>
      </c>
      <c r="AC644">
        <f ca="1">IFERROR(IF(0=LEN(ReferenceData!$AC$644),"",ReferenceData!$AC$644),"")</f>
        <v>-1.5096909540000001</v>
      </c>
      <c r="AD644">
        <f ca="1">IFERROR(IF(0=LEN(ReferenceData!$AD$644),"",ReferenceData!$AD$644),"")</f>
        <v>-2.4757213519999999</v>
      </c>
      <c r="AE644">
        <f ca="1">IFERROR(IF(0=LEN(ReferenceData!$AE$644),"",ReferenceData!$AE$644),"")</f>
        <v>-4.8163251520000001</v>
      </c>
      <c r="AF644">
        <f ca="1">IFERROR(IF(0=LEN(ReferenceData!$AF$644),"",ReferenceData!$AF$644),"")</f>
        <v>-25.52727543</v>
      </c>
      <c r="AG644">
        <f ca="1">IFERROR(IF(0=LEN(ReferenceData!$AG$644),"",ReferenceData!$AG$644),"")</f>
        <v>-18.852821989999999</v>
      </c>
      <c r="AH644">
        <f ca="1">IFERROR(IF(0=LEN(ReferenceData!$AH$644),"",ReferenceData!$AH$644),"")</f>
        <v>-16.284298849999999</v>
      </c>
      <c r="AI644">
        <f ca="1">IFERROR(IF(0=LEN(ReferenceData!$AI$644),"",ReferenceData!$AI$644),"")</f>
        <v>-33.845268730000001</v>
      </c>
      <c r="AJ644">
        <f ca="1">IFERROR(IF(0=LEN(ReferenceData!$AJ$644),"",ReferenceData!$AJ$644),"")</f>
        <v>-24.65307138</v>
      </c>
      <c r="AK644">
        <f ca="1">IFERROR(IF(0=LEN(ReferenceData!$AK$644),"",ReferenceData!$AK$644),"")</f>
        <v>-17.343359</v>
      </c>
      <c r="AL644">
        <f ca="1">IFERROR(IF(0=LEN(ReferenceData!$AL$644),"",ReferenceData!$AL$644),"")</f>
        <v>-5.188621639</v>
      </c>
      <c r="AM644">
        <f ca="1">IFERROR(IF(0=LEN(ReferenceData!$AM$644),"",ReferenceData!$AM$644),"")</f>
        <v>0.41607611700000002</v>
      </c>
      <c r="AN644">
        <f ca="1">IFERROR(IF(0=LEN(ReferenceData!$AN$644),"",ReferenceData!$AN$644),"")</f>
        <v>23.045870669999999</v>
      </c>
      <c r="AO644">
        <f ca="1">IFERROR(IF(0=LEN(ReferenceData!$AO$644),"",ReferenceData!$AO$644),"")</f>
        <v>27.324061589999999</v>
      </c>
      <c r="AP644">
        <f ca="1">IFERROR(IF(0=LEN(ReferenceData!$AP$644),"",ReferenceData!$AP$644),"")</f>
        <v>19.419131709999998</v>
      </c>
      <c r="AQ644">
        <f ca="1">IFERROR(IF(0=LEN(ReferenceData!$AQ$644),"",ReferenceData!$AQ$644),"")</f>
        <v>27.541064850000001</v>
      </c>
      <c r="AR644">
        <f ca="1">IFERROR(IF(0=LEN(ReferenceData!$AR$644),"",ReferenceData!$AR$644),"")</f>
        <v>-30.39663358</v>
      </c>
      <c r="AS644">
        <f ca="1">IFERROR(IF(0=LEN(ReferenceData!$AS$644),"",ReferenceData!$AS$644),"")</f>
        <v>-32.236610659999997</v>
      </c>
      <c r="AT644">
        <f ca="1">IFERROR(IF(0=LEN(ReferenceData!$AT$644),"",ReferenceData!$AT$644),"")</f>
        <v>-50.047812659999998</v>
      </c>
      <c r="AU644" t="str">
        <f ca="1">IFERROR(IF(0=LEN(ReferenceData!$AU$644),"",ReferenceData!$AU$644),"")</f>
        <v/>
      </c>
      <c r="AV644" t="str">
        <f ca="1">IFERROR(IF(0=LEN(ReferenceData!$AV$644),"",ReferenceData!$AV$644),"")</f>
        <v/>
      </c>
      <c r="AW644" t="str">
        <f ca="1">IFERROR(IF(0=LEN(ReferenceData!$AW$644),"",ReferenceData!$AW$644),"")</f>
        <v/>
      </c>
      <c r="AX644" t="str">
        <f ca="1">IFERROR(IF(0=LEN(ReferenceData!$AX$644),"",ReferenceData!$AX$644),"")</f>
        <v/>
      </c>
      <c r="AY644" t="str">
        <f ca="1">IFERROR(IF(0=LEN(ReferenceData!$AY$644),"",ReferenceData!$AY$644),"")</f>
        <v/>
      </c>
      <c r="AZ644" t="str">
        <f ca="1">IFERROR(IF(0=LEN(ReferenceData!$AZ$644),"",ReferenceData!$AZ$644),"")</f>
        <v/>
      </c>
      <c r="BA644" t="str">
        <f ca="1">IFERROR(IF(0=LEN(ReferenceData!$BA$644),"",ReferenceData!$BA$644),"")</f>
        <v/>
      </c>
      <c r="BB644" t="str">
        <f ca="1">IFERROR(IF(0=LEN(ReferenceData!$BB$644),"",ReferenceData!$BB$644),"")</f>
        <v/>
      </c>
      <c r="BC644" t="str">
        <f ca="1">IFERROR(IF(0=LEN(ReferenceData!$BC$644),"",ReferenceData!$BC$644),"")</f>
        <v/>
      </c>
      <c r="BD644" t="str">
        <f ca="1">IFERROR(IF(0=LEN(ReferenceData!$BD$644),"",ReferenceData!$BD$644),"")</f>
        <v/>
      </c>
      <c r="BE644" t="str">
        <f ca="1">IFERROR(IF(0=LEN(ReferenceData!$BE$644),"",ReferenceData!$BE$644),"")</f>
        <v/>
      </c>
      <c r="BF644" t="str">
        <f ca="1">IFERROR(IF(0=LEN(ReferenceData!$BF$644),"",ReferenceData!$BF$644),"")</f>
        <v/>
      </c>
      <c r="BG644" t="str">
        <f ca="1">IFERROR(IF(0=LEN(ReferenceData!$BG$644),"",ReferenceData!$BG$644),"")</f>
        <v/>
      </c>
      <c r="BH644" t="str">
        <f ca="1">IFERROR(IF(0=LEN(ReferenceData!$BH$644),"",ReferenceData!$BH$644),"")</f>
        <v/>
      </c>
      <c r="BI644" t="str">
        <f ca="1">IFERROR(IF(0=LEN(ReferenceData!$BI$644),"",ReferenceData!$BI$644),"")</f>
        <v/>
      </c>
      <c r="BJ644" t="str">
        <f ca="1">IFERROR(IF(0=LEN(ReferenceData!$BJ$644),"",ReferenceData!$BJ$644),"")</f>
        <v/>
      </c>
      <c r="BK644" t="str">
        <f ca="1">IFERROR(IF(0=LEN(ReferenceData!$BK$644),"",ReferenceData!$BK$644),"")</f>
        <v/>
      </c>
      <c r="BL644" t="str">
        <f ca="1">IFERROR(IF(0=LEN(ReferenceData!$BL$644),"",ReferenceData!$BL$644),"")</f>
        <v/>
      </c>
      <c r="BM644" t="str">
        <f ca="1">IFERROR(IF(0=LEN(ReferenceData!$BM$644),"",ReferenceData!$BM$644),"")</f>
        <v/>
      </c>
    </row>
    <row r="645" spans="1:65" x14ac:dyDescent="0.25">
      <c r="A645" t="str">
        <f>IFERROR(IF(0=LEN(ReferenceData!$A$645),"",ReferenceData!$A$645),"")</f>
        <v xml:space="preserve">    Mitsubishi Motors Corp</v>
      </c>
      <c r="B645" t="str">
        <f>IFERROR(IF(0=LEN(ReferenceData!$B$645),"",ReferenceData!$B$645),"")</f>
        <v>7211 JP Equity</v>
      </c>
      <c r="C645" t="str">
        <f>IFERROR(IF(0=LEN(ReferenceData!$C$645),"",ReferenceData!$C$645),"")</f>
        <v>RX539</v>
      </c>
      <c r="D645" t="str">
        <f>IFERROR(IF(0=LEN(ReferenceData!$D$645),"",ReferenceData!$D$645),"")</f>
        <v>T12_FCF_YIELD</v>
      </c>
      <c r="E645" t="str">
        <f>IFERROR(IF(0=LEN(ReferenceData!$E$645),"",ReferenceData!$E$645),"")</f>
        <v>Dynamic</v>
      </c>
      <c r="F645" t="str">
        <f ca="1">IFERROR(IF(0=LEN(ReferenceData!$F$645),"",ReferenceData!$F$645),"")</f>
        <v/>
      </c>
      <c r="G645" t="str">
        <f ca="1">IFERROR(IF(0=LEN(ReferenceData!$G$645),"",ReferenceData!$G$645),"")</f>
        <v/>
      </c>
      <c r="H645" t="str">
        <f ca="1">IFERROR(IF(0=LEN(ReferenceData!$H$645),"",ReferenceData!$H$645),"")</f>
        <v/>
      </c>
      <c r="I645" t="str">
        <f ca="1">IFERROR(IF(0=LEN(ReferenceData!$I$645),"",ReferenceData!$I$645),"")</f>
        <v/>
      </c>
      <c r="J645" t="str">
        <f ca="1">IFERROR(IF(0=LEN(ReferenceData!$J$645),"",ReferenceData!$J$645),"")</f>
        <v/>
      </c>
      <c r="K645" t="str">
        <f ca="1">IFERROR(IF(0=LEN(ReferenceData!$K$645),"",ReferenceData!$K$645),"")</f>
        <v/>
      </c>
      <c r="L645" t="str">
        <f ca="1">IFERROR(IF(0=LEN(ReferenceData!$L$645),"",ReferenceData!$L$645),"")</f>
        <v/>
      </c>
      <c r="M645" t="str">
        <f ca="1">IFERROR(IF(0=LEN(ReferenceData!$M$645),"",ReferenceData!$M$645),"")</f>
        <v/>
      </c>
      <c r="N645" t="str">
        <f ca="1">IFERROR(IF(0=LEN(ReferenceData!$N$645),"",ReferenceData!$N$645),"")</f>
        <v/>
      </c>
      <c r="O645" t="str">
        <f ca="1">IFERROR(IF(0=LEN(ReferenceData!$O$645),"",ReferenceData!$O$645),"")</f>
        <v/>
      </c>
      <c r="P645" t="str">
        <f ca="1">IFERROR(IF(0=LEN(ReferenceData!$P$645),"",ReferenceData!$P$645),"")</f>
        <v/>
      </c>
      <c r="Q645" t="str">
        <f ca="1">IFERROR(IF(0=LEN(ReferenceData!$Q$645),"",ReferenceData!$Q$645),"")</f>
        <v/>
      </c>
      <c r="R645" t="str">
        <f ca="1">IFERROR(IF(0=LEN(ReferenceData!$R$645),"",ReferenceData!$R$645),"")</f>
        <v/>
      </c>
      <c r="S645" t="str">
        <f ca="1">IFERROR(IF(0=LEN(ReferenceData!$S$645),"",ReferenceData!$S$645),"")</f>
        <v/>
      </c>
      <c r="T645" t="str">
        <f ca="1">IFERROR(IF(0=LEN(ReferenceData!$T$645),"",ReferenceData!$T$645),"")</f>
        <v/>
      </c>
      <c r="U645" t="str">
        <f ca="1">IFERROR(IF(0=LEN(ReferenceData!$U$645),"",ReferenceData!$U$645),"")</f>
        <v/>
      </c>
      <c r="V645" t="str">
        <f ca="1">IFERROR(IF(0=LEN(ReferenceData!$V$645),"",ReferenceData!$V$645),"")</f>
        <v/>
      </c>
      <c r="W645" t="str">
        <f ca="1">IFERROR(IF(0=LEN(ReferenceData!$W$645),"",ReferenceData!$W$645),"")</f>
        <v/>
      </c>
      <c r="X645" t="str">
        <f ca="1">IFERROR(IF(0=LEN(ReferenceData!$X$645),"",ReferenceData!$X$645),"")</f>
        <v/>
      </c>
      <c r="Y645" t="str">
        <f ca="1">IFERROR(IF(0=LEN(ReferenceData!$Y$645),"",ReferenceData!$Y$645),"")</f>
        <v/>
      </c>
      <c r="Z645" t="str">
        <f ca="1">IFERROR(IF(0=LEN(ReferenceData!$Z$645),"",ReferenceData!$Z$645),"")</f>
        <v/>
      </c>
      <c r="AA645" t="str">
        <f ca="1">IFERROR(IF(0=LEN(ReferenceData!$AA$645),"",ReferenceData!$AA$645),"")</f>
        <v/>
      </c>
      <c r="AB645" t="str">
        <f ca="1">IFERROR(IF(0=LEN(ReferenceData!$AB$645),"",ReferenceData!$AB$645),"")</f>
        <v/>
      </c>
      <c r="AC645" t="str">
        <f ca="1">IFERROR(IF(0=LEN(ReferenceData!$AC$645),"",ReferenceData!$AC$645),"")</f>
        <v/>
      </c>
      <c r="AD645" t="str">
        <f ca="1">IFERROR(IF(0=LEN(ReferenceData!$AD$645),"",ReferenceData!$AD$645),"")</f>
        <v/>
      </c>
      <c r="AE645" t="str">
        <f ca="1">IFERROR(IF(0=LEN(ReferenceData!$AE$645),"",ReferenceData!$AE$645),"")</f>
        <v/>
      </c>
      <c r="AF645" t="str">
        <f ca="1">IFERROR(IF(0=LEN(ReferenceData!$AF$645),"",ReferenceData!$AF$645),"")</f>
        <v/>
      </c>
      <c r="AG645" t="str">
        <f ca="1">IFERROR(IF(0=LEN(ReferenceData!$AG$645),"",ReferenceData!$AG$645),"")</f>
        <v/>
      </c>
      <c r="AH645" t="str">
        <f ca="1">IFERROR(IF(0=LEN(ReferenceData!$AH$645),"",ReferenceData!$AH$645),"")</f>
        <v/>
      </c>
      <c r="AI645" t="str">
        <f ca="1">IFERROR(IF(0=LEN(ReferenceData!$AI$645),"",ReferenceData!$AI$645),"")</f>
        <v/>
      </c>
      <c r="AJ645" t="str">
        <f ca="1">IFERROR(IF(0=LEN(ReferenceData!$AJ$645),"",ReferenceData!$AJ$645),"")</f>
        <v/>
      </c>
      <c r="AK645">
        <f ca="1">IFERROR(IF(0=LEN(ReferenceData!$AK$645),"",ReferenceData!$AK$645),"")</f>
        <v>9.3136460139999997</v>
      </c>
      <c r="AL645">
        <f ca="1">IFERROR(IF(0=LEN(ReferenceData!$AL$645),"",ReferenceData!$AL$645),"")</f>
        <v>8.9484049940000006</v>
      </c>
      <c r="AM645">
        <f ca="1">IFERROR(IF(0=LEN(ReferenceData!$AM$645),"",ReferenceData!$AM$645),"")</f>
        <v>14.766046100000001</v>
      </c>
      <c r="AN645">
        <f ca="1">IFERROR(IF(0=LEN(ReferenceData!$AN$645),"",ReferenceData!$AN$645),"")</f>
        <v>19.471294570000001</v>
      </c>
      <c r="AO645">
        <f ca="1">IFERROR(IF(0=LEN(ReferenceData!$AO$645),"",ReferenceData!$AO$645),"")</f>
        <v>14.74506242</v>
      </c>
      <c r="AP645">
        <f ca="1">IFERROR(IF(0=LEN(ReferenceData!$AP$645),"",ReferenceData!$AP$645),"")</f>
        <v>8.0243639350000002</v>
      </c>
      <c r="AQ645">
        <f ca="1">IFERROR(IF(0=LEN(ReferenceData!$AQ$645),"",ReferenceData!$AQ$645),"")</f>
        <v>-9.5009088560000006</v>
      </c>
      <c r="AR645">
        <f ca="1">IFERROR(IF(0=LEN(ReferenceData!$AR$645),"",ReferenceData!$AR$645),"")</f>
        <v>-22.203768069999999</v>
      </c>
      <c r="AS645">
        <f ca="1">IFERROR(IF(0=LEN(ReferenceData!$AS$645),"",ReferenceData!$AS$645),"")</f>
        <v>-21.43332367</v>
      </c>
      <c r="AT645">
        <f ca="1">IFERROR(IF(0=LEN(ReferenceData!$AT$645),"",ReferenceData!$AT$645),"")</f>
        <v>-27.116999069999999</v>
      </c>
      <c r="AU645" t="str">
        <f ca="1">IFERROR(IF(0=LEN(ReferenceData!$AU$645),"",ReferenceData!$AU$645),"")</f>
        <v/>
      </c>
      <c r="AV645" t="str">
        <f ca="1">IFERROR(IF(0=LEN(ReferenceData!$AV$645),"",ReferenceData!$AV$645),"")</f>
        <v/>
      </c>
      <c r="AW645" t="str">
        <f ca="1">IFERROR(IF(0=LEN(ReferenceData!$AW$645),"",ReferenceData!$AW$645),"")</f>
        <v/>
      </c>
      <c r="AX645" t="str">
        <f ca="1">IFERROR(IF(0=LEN(ReferenceData!$AX$645),"",ReferenceData!$AX$645),"")</f>
        <v/>
      </c>
      <c r="AY645" t="str">
        <f ca="1">IFERROR(IF(0=LEN(ReferenceData!$AY$645),"",ReferenceData!$AY$645),"")</f>
        <v/>
      </c>
      <c r="AZ645" t="str">
        <f ca="1">IFERROR(IF(0=LEN(ReferenceData!$AZ$645),"",ReferenceData!$AZ$645),"")</f>
        <v/>
      </c>
      <c r="BA645" t="str">
        <f ca="1">IFERROR(IF(0=LEN(ReferenceData!$BA$645),"",ReferenceData!$BA$645),"")</f>
        <v/>
      </c>
      <c r="BB645" t="str">
        <f ca="1">IFERROR(IF(0=LEN(ReferenceData!$BB$645),"",ReferenceData!$BB$645),"")</f>
        <v/>
      </c>
      <c r="BC645" t="str">
        <f ca="1">IFERROR(IF(0=LEN(ReferenceData!$BC$645),"",ReferenceData!$BC$645),"")</f>
        <v/>
      </c>
      <c r="BD645" t="str">
        <f ca="1">IFERROR(IF(0=LEN(ReferenceData!$BD$645),"",ReferenceData!$BD$645),"")</f>
        <v/>
      </c>
      <c r="BE645" t="str">
        <f ca="1">IFERROR(IF(0=LEN(ReferenceData!$BE$645),"",ReferenceData!$BE$645),"")</f>
        <v/>
      </c>
      <c r="BF645" t="str">
        <f ca="1">IFERROR(IF(0=LEN(ReferenceData!$BF$645),"",ReferenceData!$BF$645),"")</f>
        <v/>
      </c>
      <c r="BG645" t="str">
        <f ca="1">IFERROR(IF(0=LEN(ReferenceData!$BG$645),"",ReferenceData!$BG$645),"")</f>
        <v/>
      </c>
      <c r="BH645" t="str">
        <f ca="1">IFERROR(IF(0=LEN(ReferenceData!$BH$645),"",ReferenceData!$BH$645),"")</f>
        <v/>
      </c>
      <c r="BI645" t="str">
        <f ca="1">IFERROR(IF(0=LEN(ReferenceData!$BI$645),"",ReferenceData!$BI$645),"")</f>
        <v/>
      </c>
      <c r="BJ645" t="str">
        <f ca="1">IFERROR(IF(0=LEN(ReferenceData!$BJ$645),"",ReferenceData!$BJ$645),"")</f>
        <v/>
      </c>
      <c r="BK645" t="str">
        <f ca="1">IFERROR(IF(0=LEN(ReferenceData!$BK$645),"",ReferenceData!$BK$645),"")</f>
        <v/>
      </c>
      <c r="BL645" t="str">
        <f ca="1">IFERROR(IF(0=LEN(ReferenceData!$BL$645),"",ReferenceData!$BL$645),"")</f>
        <v/>
      </c>
      <c r="BM645" t="str">
        <f ca="1">IFERROR(IF(0=LEN(ReferenceData!$BM$645),"",ReferenceData!$BM$645),"")</f>
        <v/>
      </c>
    </row>
    <row r="646" spans="1:65" x14ac:dyDescent="0.25">
      <c r="A646" t="str">
        <f>IFERROR(IF(0=LEN(ReferenceData!$A$646),"",ReferenceData!$A$646),"")</f>
        <v xml:space="preserve">    Nissan Motor Co Ltd</v>
      </c>
      <c r="B646" t="str">
        <f>IFERROR(IF(0=LEN(ReferenceData!$B$646),"",ReferenceData!$B$646),"")</f>
        <v>7201 JP Equity</v>
      </c>
      <c r="C646" t="str">
        <f>IFERROR(IF(0=LEN(ReferenceData!$C$646),"",ReferenceData!$C$646),"")</f>
        <v>RX539</v>
      </c>
      <c r="D646" t="str">
        <f>IFERROR(IF(0=LEN(ReferenceData!$D$646),"",ReferenceData!$D$646),"")</f>
        <v>T12_FCF_YIELD</v>
      </c>
      <c r="E646" t="str">
        <f>IFERROR(IF(0=LEN(ReferenceData!$E$646),"",ReferenceData!$E$646),"")</f>
        <v>Dynamic</v>
      </c>
      <c r="F646">
        <f ca="1">IFERROR(IF(0=LEN(ReferenceData!$F$646),"",ReferenceData!$F$646),"")</f>
        <v>29.418687250000001</v>
      </c>
      <c r="G646">
        <f ca="1">IFERROR(IF(0=LEN(ReferenceData!$G$646),"",ReferenceData!$G$646),"")</f>
        <v>31.667781479999999</v>
      </c>
      <c r="H646">
        <f ca="1">IFERROR(IF(0=LEN(ReferenceData!$H$646),"",ReferenceData!$H$646),"")</f>
        <v>19.197855520000001</v>
      </c>
      <c r="I646">
        <f ca="1">IFERROR(IF(0=LEN(ReferenceData!$I$646),"",ReferenceData!$I$646),"")</f>
        <v>19.587814000000002</v>
      </c>
      <c r="J646">
        <f ca="1">IFERROR(IF(0=LEN(ReferenceData!$J$646),"",ReferenceData!$J$646),"")</f>
        <v>14.43134545</v>
      </c>
      <c r="K646">
        <f ca="1">IFERROR(IF(0=LEN(ReferenceData!$K$646),"",ReferenceData!$K$646),"")</f>
        <v>8.7425626960000002</v>
      </c>
      <c r="L646">
        <f ca="1">IFERROR(IF(0=LEN(ReferenceData!$L$646),"",ReferenceData!$L$646),"")</f>
        <v>14.129928530000001</v>
      </c>
      <c r="M646">
        <f ca="1">IFERROR(IF(0=LEN(ReferenceData!$M$646),"",ReferenceData!$M$646),"")</f>
        <v>13.56733623</v>
      </c>
      <c r="N646">
        <f ca="1">IFERROR(IF(0=LEN(ReferenceData!$N$646),"",ReferenceData!$N$646),"")</f>
        <v>18.35664087</v>
      </c>
      <c r="O646">
        <f ca="1">IFERROR(IF(0=LEN(ReferenceData!$O$646),"",ReferenceData!$O$646),"")</f>
        <v>14.737160940000001</v>
      </c>
      <c r="P646">
        <f ca="1">IFERROR(IF(0=LEN(ReferenceData!$P$646),"",ReferenceData!$P$646),"")</f>
        <v>15.196319409999999</v>
      </c>
      <c r="Q646">
        <f ca="1">IFERROR(IF(0=LEN(ReferenceData!$Q$646),"",ReferenceData!$Q$646),"")</f>
        <v>15.402441769999999</v>
      </c>
      <c r="R646">
        <f ca="1">IFERROR(IF(0=LEN(ReferenceData!$R$646),"",ReferenceData!$R$646),"")</f>
        <v>8.4542021169999995</v>
      </c>
      <c r="S646">
        <f ca="1">IFERROR(IF(0=LEN(ReferenceData!$S$646),"",ReferenceData!$S$646),"")</f>
        <v>4.8435621710000003</v>
      </c>
      <c r="T646">
        <f ca="1">IFERROR(IF(0=LEN(ReferenceData!$T$646),"",ReferenceData!$T$646),"")</f>
        <v>4.9300977650000002</v>
      </c>
      <c r="U646">
        <f ca="1">IFERROR(IF(0=LEN(ReferenceData!$U$646),"",ReferenceData!$U$646),"")</f>
        <v>5.1841353149999998</v>
      </c>
      <c r="V646">
        <f ca="1">IFERROR(IF(0=LEN(ReferenceData!$V$646),"",ReferenceData!$V$646),"")</f>
        <v>3.243583353</v>
      </c>
      <c r="W646">
        <f ca="1">IFERROR(IF(0=LEN(ReferenceData!$W$646),"",ReferenceData!$W$646),"")</f>
        <v>7.4170703339999999</v>
      </c>
      <c r="X646">
        <f ca="1">IFERROR(IF(0=LEN(ReferenceData!$X$646),"",ReferenceData!$X$646),"")</f>
        <v>4.625872878</v>
      </c>
      <c r="Y646">
        <f ca="1">IFERROR(IF(0=LEN(ReferenceData!$Y$646),"",ReferenceData!$Y$646),"")</f>
        <v>2.4077391819999998</v>
      </c>
      <c r="Z646">
        <f ca="1">IFERROR(IF(0=LEN(ReferenceData!$Z$646),"",ReferenceData!$Z$646),"")</f>
        <v>4.2393011960000004</v>
      </c>
      <c r="AA646">
        <f ca="1">IFERROR(IF(0=LEN(ReferenceData!$AA$646),"",ReferenceData!$AA$646),"")</f>
        <v>2.7139770470000002</v>
      </c>
      <c r="AB646">
        <f ca="1">IFERROR(IF(0=LEN(ReferenceData!$AB$646),"",ReferenceData!$AB$646),"")</f>
        <v>2.9014807010000001</v>
      </c>
      <c r="AC646">
        <f ca="1">IFERROR(IF(0=LEN(ReferenceData!$AC$646),"",ReferenceData!$AC$646),"")</f>
        <v>-0.20091039599999999</v>
      </c>
      <c r="AD646">
        <f ca="1">IFERROR(IF(0=LEN(ReferenceData!$AD$646),"",ReferenceData!$AD$646),"")</f>
        <v>-1.061925521</v>
      </c>
      <c r="AE646">
        <f ca="1">IFERROR(IF(0=LEN(ReferenceData!$AE$646),"",ReferenceData!$AE$646),"")</f>
        <v>-3.9728062259999999</v>
      </c>
      <c r="AF646">
        <f ca="1">IFERROR(IF(0=LEN(ReferenceData!$AF$646),"",ReferenceData!$AF$646),"")</f>
        <v>-1.754163801</v>
      </c>
      <c r="AG646">
        <f ca="1">IFERROR(IF(0=LEN(ReferenceData!$AG$646),"",ReferenceData!$AG$646),"")</f>
        <v>2.2171258119999999</v>
      </c>
      <c r="AH646">
        <f ca="1">IFERROR(IF(0=LEN(ReferenceData!$AH$646),"",ReferenceData!$AH$646),"")</f>
        <v>7.4238650330000002</v>
      </c>
      <c r="AI646">
        <f ca="1">IFERROR(IF(0=LEN(ReferenceData!$AI$646),"",ReferenceData!$AI$646),"")</f>
        <v>8.9681251890000002</v>
      </c>
      <c r="AJ646">
        <f ca="1">IFERROR(IF(0=LEN(ReferenceData!$AJ$646),"",ReferenceData!$AJ$646),"")</f>
        <v>12.042303670000001</v>
      </c>
      <c r="AK646">
        <f ca="1">IFERROR(IF(0=LEN(ReferenceData!$AK$646),"",ReferenceData!$AK$646),"")</f>
        <v>9.6709727890000003</v>
      </c>
      <c r="AL646">
        <f ca="1">IFERROR(IF(0=LEN(ReferenceData!$AL$646),"",ReferenceData!$AL$646),"")</f>
        <v>11.556256830000001</v>
      </c>
      <c r="AM646">
        <f ca="1">IFERROR(IF(0=LEN(ReferenceData!$AM$646),"",ReferenceData!$AM$646),"")</f>
        <v>12.067718899999999</v>
      </c>
      <c r="AN646">
        <f ca="1">IFERROR(IF(0=LEN(ReferenceData!$AN$646),"",ReferenceData!$AN$646),"")</f>
        <v>14.31417006</v>
      </c>
      <c r="AO646">
        <f ca="1">IFERROR(IF(0=LEN(ReferenceData!$AO$646),"",ReferenceData!$AO$646),"")</f>
        <v>27.733036420000001</v>
      </c>
      <c r="AP646">
        <f ca="1">IFERROR(IF(0=LEN(ReferenceData!$AP$646),"",ReferenceData!$AP$646),"")</f>
        <v>24.895411540000001</v>
      </c>
      <c r="AQ646">
        <f ca="1">IFERROR(IF(0=LEN(ReferenceData!$AQ$646),"",ReferenceData!$AQ$646),"")</f>
        <v>29.454941890000001</v>
      </c>
      <c r="AR646">
        <f ca="1">IFERROR(IF(0=LEN(ReferenceData!$AR$646),"",ReferenceData!$AR$646),"")</f>
        <v>37.26706798</v>
      </c>
      <c r="AS646">
        <f ca="1">IFERROR(IF(0=LEN(ReferenceData!$AS$646),"",ReferenceData!$AS$646),"")</f>
        <v>30.74417549</v>
      </c>
      <c r="AT646">
        <f ca="1">IFERROR(IF(0=LEN(ReferenceData!$AT$646),"",ReferenceData!$AT$646),"")</f>
        <v>31.891539470000001</v>
      </c>
      <c r="AU646" t="str">
        <f ca="1">IFERROR(IF(0=LEN(ReferenceData!$AU$646),"",ReferenceData!$AU$646),"")</f>
        <v/>
      </c>
      <c r="AV646" t="str">
        <f ca="1">IFERROR(IF(0=LEN(ReferenceData!$AV$646),"",ReferenceData!$AV$646),"")</f>
        <v/>
      </c>
      <c r="AW646" t="str">
        <f ca="1">IFERROR(IF(0=LEN(ReferenceData!$AW$646),"",ReferenceData!$AW$646),"")</f>
        <v/>
      </c>
      <c r="AX646" t="str">
        <f ca="1">IFERROR(IF(0=LEN(ReferenceData!$AX$646),"",ReferenceData!$AX$646),"")</f>
        <v/>
      </c>
      <c r="AY646" t="str">
        <f ca="1">IFERROR(IF(0=LEN(ReferenceData!$AY$646),"",ReferenceData!$AY$646),"")</f>
        <v/>
      </c>
      <c r="AZ646" t="str">
        <f ca="1">IFERROR(IF(0=LEN(ReferenceData!$AZ$646),"",ReferenceData!$AZ$646),"")</f>
        <v/>
      </c>
      <c r="BA646" t="str">
        <f ca="1">IFERROR(IF(0=LEN(ReferenceData!$BA$646),"",ReferenceData!$BA$646),"")</f>
        <v/>
      </c>
      <c r="BB646" t="str">
        <f ca="1">IFERROR(IF(0=LEN(ReferenceData!$BB$646),"",ReferenceData!$BB$646),"")</f>
        <v/>
      </c>
      <c r="BC646" t="str">
        <f ca="1">IFERROR(IF(0=LEN(ReferenceData!$BC$646),"",ReferenceData!$BC$646),"")</f>
        <v/>
      </c>
      <c r="BD646" t="str">
        <f ca="1">IFERROR(IF(0=LEN(ReferenceData!$BD$646),"",ReferenceData!$BD$646),"")</f>
        <v/>
      </c>
      <c r="BE646" t="str">
        <f ca="1">IFERROR(IF(0=LEN(ReferenceData!$BE$646),"",ReferenceData!$BE$646),"")</f>
        <v/>
      </c>
      <c r="BF646" t="str">
        <f ca="1">IFERROR(IF(0=LEN(ReferenceData!$BF$646),"",ReferenceData!$BF$646),"")</f>
        <v/>
      </c>
      <c r="BG646" t="str">
        <f ca="1">IFERROR(IF(0=LEN(ReferenceData!$BG$646),"",ReferenceData!$BG$646),"")</f>
        <v/>
      </c>
      <c r="BH646" t="str">
        <f ca="1">IFERROR(IF(0=LEN(ReferenceData!$BH$646),"",ReferenceData!$BH$646),"")</f>
        <v/>
      </c>
      <c r="BI646" t="str">
        <f ca="1">IFERROR(IF(0=LEN(ReferenceData!$BI$646),"",ReferenceData!$BI$646),"")</f>
        <v/>
      </c>
      <c r="BJ646" t="str">
        <f ca="1">IFERROR(IF(0=LEN(ReferenceData!$BJ$646),"",ReferenceData!$BJ$646),"")</f>
        <v/>
      </c>
      <c r="BK646" t="str">
        <f ca="1">IFERROR(IF(0=LEN(ReferenceData!$BK$646),"",ReferenceData!$BK$646),"")</f>
        <v/>
      </c>
      <c r="BL646" t="str">
        <f ca="1">IFERROR(IF(0=LEN(ReferenceData!$BL$646),"",ReferenceData!$BL$646),"")</f>
        <v/>
      </c>
      <c r="BM646" t="str">
        <f ca="1">IFERROR(IF(0=LEN(ReferenceData!$BM$646),"",ReferenceData!$BM$646),"")</f>
        <v/>
      </c>
    </row>
    <row r="647" spans="1:65" x14ac:dyDescent="0.25">
      <c r="A647" t="str">
        <f>IFERROR(IF(0=LEN(ReferenceData!$A$647),"",ReferenceData!$A$647),"")</f>
        <v xml:space="preserve">    Peugeot SA</v>
      </c>
      <c r="B647" t="str">
        <f>IFERROR(IF(0=LEN(ReferenceData!$B$647),"",ReferenceData!$B$647),"")</f>
        <v>UG FP Equity</v>
      </c>
      <c r="C647" t="str">
        <f>IFERROR(IF(0=LEN(ReferenceData!$C$647),"",ReferenceData!$C$647),"")</f>
        <v>RX539</v>
      </c>
      <c r="D647" t="str">
        <f>IFERROR(IF(0=LEN(ReferenceData!$D$647),"",ReferenceData!$D$647),"")</f>
        <v>T12_FCF_YIELD</v>
      </c>
      <c r="E647" t="str">
        <f>IFERROR(IF(0=LEN(ReferenceData!$E$647),"",ReferenceData!$E$647),"")</f>
        <v>Dynamic</v>
      </c>
      <c r="F647" t="str">
        <f ca="1">IFERROR(IF(0=LEN(ReferenceData!$F$647),"",ReferenceData!$F$647),"")</f>
        <v/>
      </c>
      <c r="G647" t="str">
        <f ca="1">IFERROR(IF(0=LEN(ReferenceData!$G$647),"",ReferenceData!$G$647),"")</f>
        <v/>
      </c>
      <c r="H647" t="str">
        <f ca="1">IFERROR(IF(0=LEN(ReferenceData!$H$647),"",ReferenceData!$H$647),"")</f>
        <v/>
      </c>
      <c r="I647" t="str">
        <f ca="1">IFERROR(IF(0=LEN(ReferenceData!$I$647),"",ReferenceData!$I$647),"")</f>
        <v/>
      </c>
      <c r="J647" t="str">
        <f ca="1">IFERROR(IF(0=LEN(ReferenceData!$J$647),"",ReferenceData!$J$647),"")</f>
        <v/>
      </c>
      <c r="K647" t="str">
        <f ca="1">IFERROR(IF(0=LEN(ReferenceData!$K$647),"",ReferenceData!$K$647),"")</f>
        <v/>
      </c>
      <c r="L647" t="str">
        <f ca="1">IFERROR(IF(0=LEN(ReferenceData!$L$647),"",ReferenceData!$L$647),"")</f>
        <v/>
      </c>
      <c r="M647" t="str">
        <f ca="1">IFERROR(IF(0=LEN(ReferenceData!$M$647),"",ReferenceData!$M$647),"")</f>
        <v/>
      </c>
      <c r="N647" t="str">
        <f ca="1">IFERROR(IF(0=LEN(ReferenceData!$N$647),"",ReferenceData!$N$647),"")</f>
        <v/>
      </c>
      <c r="O647" t="str">
        <f ca="1">IFERROR(IF(0=LEN(ReferenceData!$O$647),"",ReferenceData!$O$647),"")</f>
        <v/>
      </c>
      <c r="P647" t="str">
        <f ca="1">IFERROR(IF(0=LEN(ReferenceData!$P$647),"",ReferenceData!$P$647),"")</f>
        <v/>
      </c>
      <c r="Q647" t="str">
        <f ca="1">IFERROR(IF(0=LEN(ReferenceData!$Q$647),"",ReferenceData!$Q$647),"")</f>
        <v/>
      </c>
      <c r="R647" t="str">
        <f ca="1">IFERROR(IF(0=LEN(ReferenceData!$R$647),"",ReferenceData!$R$647),"")</f>
        <v/>
      </c>
      <c r="S647" t="str">
        <f ca="1">IFERROR(IF(0=LEN(ReferenceData!$S$647),"",ReferenceData!$S$647),"")</f>
        <v/>
      </c>
      <c r="T647" t="str">
        <f ca="1">IFERROR(IF(0=LEN(ReferenceData!$T$647),"",ReferenceData!$T$647),"")</f>
        <v/>
      </c>
      <c r="U647" t="str">
        <f ca="1">IFERROR(IF(0=LEN(ReferenceData!$U$647),"",ReferenceData!$U$647),"")</f>
        <v/>
      </c>
      <c r="V647" t="str">
        <f ca="1">IFERROR(IF(0=LEN(ReferenceData!$V$647),"",ReferenceData!$V$647),"")</f>
        <v/>
      </c>
      <c r="W647" t="str">
        <f ca="1">IFERROR(IF(0=LEN(ReferenceData!$W$647),"",ReferenceData!$W$647),"")</f>
        <v/>
      </c>
      <c r="X647" t="str">
        <f ca="1">IFERROR(IF(0=LEN(ReferenceData!$X$647),"",ReferenceData!$X$647),"")</f>
        <v/>
      </c>
      <c r="Y647" t="str">
        <f ca="1">IFERROR(IF(0=LEN(ReferenceData!$Y$647),"",ReferenceData!$Y$647),"")</f>
        <v/>
      </c>
      <c r="Z647" t="str">
        <f ca="1">IFERROR(IF(0=LEN(ReferenceData!$Z$647),"",ReferenceData!$Z$647),"")</f>
        <v/>
      </c>
      <c r="AA647" t="str">
        <f ca="1">IFERROR(IF(0=LEN(ReferenceData!$AA$647),"",ReferenceData!$AA$647),"")</f>
        <v/>
      </c>
      <c r="AB647" t="str">
        <f ca="1">IFERROR(IF(0=LEN(ReferenceData!$AB$647),"",ReferenceData!$AB$647),"")</f>
        <v/>
      </c>
      <c r="AC647" t="str">
        <f ca="1">IFERROR(IF(0=LEN(ReferenceData!$AC$647),"",ReferenceData!$AC$647),"")</f>
        <v/>
      </c>
      <c r="AD647" t="str">
        <f ca="1">IFERROR(IF(0=LEN(ReferenceData!$AD$647),"",ReferenceData!$AD$647),"")</f>
        <v/>
      </c>
      <c r="AE647" t="str">
        <f ca="1">IFERROR(IF(0=LEN(ReferenceData!$AE$647),"",ReferenceData!$AE$647),"")</f>
        <v/>
      </c>
      <c r="AF647" t="str">
        <f ca="1">IFERROR(IF(0=LEN(ReferenceData!$AF$647),"",ReferenceData!$AF$647),"")</f>
        <v/>
      </c>
      <c r="AG647" t="str">
        <f ca="1">IFERROR(IF(0=LEN(ReferenceData!$AG$647),"",ReferenceData!$AG$647),"")</f>
        <v/>
      </c>
      <c r="AH647" t="str">
        <f ca="1">IFERROR(IF(0=LEN(ReferenceData!$AH$647),"",ReferenceData!$AH$647),"")</f>
        <v/>
      </c>
      <c r="AI647" t="str">
        <f ca="1">IFERROR(IF(0=LEN(ReferenceData!$AI$647),"",ReferenceData!$AI$647),"")</f>
        <v/>
      </c>
      <c r="AJ647" t="str">
        <f ca="1">IFERROR(IF(0=LEN(ReferenceData!$AJ$647),"",ReferenceData!$AJ$647),"")</f>
        <v/>
      </c>
      <c r="AK647" t="str">
        <f ca="1">IFERROR(IF(0=LEN(ReferenceData!$AK$647),"",ReferenceData!$AK$647),"")</f>
        <v/>
      </c>
      <c r="AL647" t="str">
        <f ca="1">IFERROR(IF(0=LEN(ReferenceData!$AL$647),"",ReferenceData!$AL$647),"")</f>
        <v/>
      </c>
      <c r="AM647" t="str">
        <f ca="1">IFERROR(IF(0=LEN(ReferenceData!$AM$647),"",ReferenceData!$AM$647),"")</f>
        <v/>
      </c>
      <c r="AN647" t="str">
        <f ca="1">IFERROR(IF(0=LEN(ReferenceData!$AN$647),"",ReferenceData!$AN$647),"")</f>
        <v/>
      </c>
      <c r="AO647" t="str">
        <f ca="1">IFERROR(IF(0=LEN(ReferenceData!$AO$647),"",ReferenceData!$AO$647),"")</f>
        <v/>
      </c>
      <c r="AP647" t="str">
        <f ca="1">IFERROR(IF(0=LEN(ReferenceData!$AP$647),"",ReferenceData!$AP$647),"")</f>
        <v/>
      </c>
      <c r="AQ647" t="str">
        <f ca="1">IFERROR(IF(0=LEN(ReferenceData!$AQ$647),"",ReferenceData!$AQ$647),"")</f>
        <v/>
      </c>
      <c r="AR647" t="str">
        <f ca="1">IFERROR(IF(0=LEN(ReferenceData!$AR$647),"",ReferenceData!$AR$647),"")</f>
        <v/>
      </c>
      <c r="AS647" t="str">
        <f ca="1">IFERROR(IF(0=LEN(ReferenceData!$AS$647),"",ReferenceData!$AS$647),"")</f>
        <v/>
      </c>
      <c r="AT647" t="str">
        <f ca="1">IFERROR(IF(0=LEN(ReferenceData!$AT$647),"",ReferenceData!$AT$647),"")</f>
        <v/>
      </c>
      <c r="AU647" t="str">
        <f ca="1">IFERROR(IF(0=LEN(ReferenceData!$AU$647),"",ReferenceData!$AU$647),"")</f>
        <v/>
      </c>
      <c r="AV647" t="str">
        <f ca="1">IFERROR(IF(0=LEN(ReferenceData!$AV$647),"",ReferenceData!$AV$647),"")</f>
        <v/>
      </c>
      <c r="AW647" t="str">
        <f ca="1">IFERROR(IF(0=LEN(ReferenceData!$AW$647),"",ReferenceData!$AW$647),"")</f>
        <v/>
      </c>
      <c r="AX647" t="str">
        <f ca="1">IFERROR(IF(0=LEN(ReferenceData!$AX$647),"",ReferenceData!$AX$647),"")</f>
        <v/>
      </c>
      <c r="AY647" t="str">
        <f ca="1">IFERROR(IF(0=LEN(ReferenceData!$AY$647),"",ReferenceData!$AY$647),"")</f>
        <v/>
      </c>
      <c r="AZ647" t="str">
        <f ca="1">IFERROR(IF(0=LEN(ReferenceData!$AZ$647),"",ReferenceData!$AZ$647),"")</f>
        <v/>
      </c>
      <c r="BA647" t="str">
        <f ca="1">IFERROR(IF(0=LEN(ReferenceData!$BA$647),"",ReferenceData!$BA$647),"")</f>
        <v/>
      </c>
      <c r="BB647" t="str">
        <f ca="1">IFERROR(IF(0=LEN(ReferenceData!$BB$647),"",ReferenceData!$BB$647),"")</f>
        <v/>
      </c>
      <c r="BC647" t="str">
        <f ca="1">IFERROR(IF(0=LEN(ReferenceData!$BC$647),"",ReferenceData!$BC$647),"")</f>
        <v/>
      </c>
      <c r="BD647" t="str">
        <f ca="1">IFERROR(IF(0=LEN(ReferenceData!$BD$647),"",ReferenceData!$BD$647),"")</f>
        <v/>
      </c>
      <c r="BE647" t="str">
        <f ca="1">IFERROR(IF(0=LEN(ReferenceData!$BE$647),"",ReferenceData!$BE$647),"")</f>
        <v/>
      </c>
      <c r="BF647" t="str">
        <f ca="1">IFERROR(IF(0=LEN(ReferenceData!$BF$647),"",ReferenceData!$BF$647),"")</f>
        <v/>
      </c>
      <c r="BG647" t="str">
        <f ca="1">IFERROR(IF(0=LEN(ReferenceData!$BG$647),"",ReferenceData!$BG$647),"")</f>
        <v/>
      </c>
      <c r="BH647" t="str">
        <f ca="1">IFERROR(IF(0=LEN(ReferenceData!$BH$647),"",ReferenceData!$BH$647),"")</f>
        <v/>
      </c>
      <c r="BI647" t="str">
        <f ca="1">IFERROR(IF(0=LEN(ReferenceData!$BI$647),"",ReferenceData!$BI$647),"")</f>
        <v/>
      </c>
      <c r="BJ647" t="str">
        <f ca="1">IFERROR(IF(0=LEN(ReferenceData!$BJ$647),"",ReferenceData!$BJ$647),"")</f>
        <v/>
      </c>
      <c r="BK647" t="str">
        <f ca="1">IFERROR(IF(0=LEN(ReferenceData!$BK$647),"",ReferenceData!$BK$647),"")</f>
        <v/>
      </c>
      <c r="BL647" t="str">
        <f ca="1">IFERROR(IF(0=LEN(ReferenceData!$BL$647),"",ReferenceData!$BL$647),"")</f>
        <v/>
      </c>
      <c r="BM647" t="str">
        <f ca="1">IFERROR(IF(0=LEN(ReferenceData!$BM$647),"",ReferenceData!$BM$647),"")</f>
        <v/>
      </c>
    </row>
    <row r="648" spans="1:65" x14ac:dyDescent="0.25">
      <c r="A648" t="str">
        <f>IFERROR(IF(0=LEN(ReferenceData!$A$648),"",ReferenceData!$A$648),"")</f>
        <v xml:space="preserve">    Renault SA</v>
      </c>
      <c r="B648" t="str">
        <f>IFERROR(IF(0=LEN(ReferenceData!$B$648),"",ReferenceData!$B$648),"")</f>
        <v>RNO FP Equity</v>
      </c>
      <c r="C648" t="str">
        <f>IFERROR(IF(0=LEN(ReferenceData!$C$648),"",ReferenceData!$C$648),"")</f>
        <v>RX539</v>
      </c>
      <c r="D648" t="str">
        <f>IFERROR(IF(0=LEN(ReferenceData!$D$648),"",ReferenceData!$D$648),"")</f>
        <v>T12_FCF_YIELD</v>
      </c>
      <c r="E648" t="str">
        <f>IFERROR(IF(0=LEN(ReferenceData!$E$648),"",ReferenceData!$E$648),"")</f>
        <v>Dynamic</v>
      </c>
      <c r="F648" t="str">
        <f ca="1">IFERROR(IF(0=LEN(ReferenceData!$F$648),"",ReferenceData!$F$648),"")</f>
        <v/>
      </c>
      <c r="G648" t="str">
        <f ca="1">IFERROR(IF(0=LEN(ReferenceData!$G$648),"",ReferenceData!$G$648),"")</f>
        <v/>
      </c>
      <c r="H648" t="str">
        <f ca="1">IFERROR(IF(0=LEN(ReferenceData!$H$648),"",ReferenceData!$H$648),"")</f>
        <v/>
      </c>
      <c r="I648" t="str">
        <f ca="1">IFERROR(IF(0=LEN(ReferenceData!$I$648),"",ReferenceData!$I$648),"")</f>
        <v/>
      </c>
      <c r="J648" t="str">
        <f ca="1">IFERROR(IF(0=LEN(ReferenceData!$J$648),"",ReferenceData!$J$648),"")</f>
        <v/>
      </c>
      <c r="K648" t="str">
        <f ca="1">IFERROR(IF(0=LEN(ReferenceData!$K$648),"",ReferenceData!$K$648),"")</f>
        <v/>
      </c>
      <c r="L648" t="str">
        <f ca="1">IFERROR(IF(0=LEN(ReferenceData!$L$648),"",ReferenceData!$L$648),"")</f>
        <v/>
      </c>
      <c r="M648" t="str">
        <f ca="1">IFERROR(IF(0=LEN(ReferenceData!$M$648),"",ReferenceData!$M$648),"")</f>
        <v/>
      </c>
      <c r="N648" t="str">
        <f ca="1">IFERROR(IF(0=LEN(ReferenceData!$N$648),"",ReferenceData!$N$648),"")</f>
        <v/>
      </c>
      <c r="O648" t="str">
        <f ca="1">IFERROR(IF(0=LEN(ReferenceData!$O$648),"",ReferenceData!$O$648),"")</f>
        <v/>
      </c>
      <c r="P648" t="str">
        <f ca="1">IFERROR(IF(0=LEN(ReferenceData!$P$648),"",ReferenceData!$P$648),"")</f>
        <v/>
      </c>
      <c r="Q648" t="str">
        <f ca="1">IFERROR(IF(0=LEN(ReferenceData!$Q$648),"",ReferenceData!$Q$648),"")</f>
        <v/>
      </c>
      <c r="R648" t="str">
        <f ca="1">IFERROR(IF(0=LEN(ReferenceData!$R$648),"",ReferenceData!$R$648),"")</f>
        <v/>
      </c>
      <c r="S648" t="str">
        <f ca="1">IFERROR(IF(0=LEN(ReferenceData!$S$648),"",ReferenceData!$S$648),"")</f>
        <v/>
      </c>
      <c r="T648" t="str">
        <f ca="1">IFERROR(IF(0=LEN(ReferenceData!$T$648),"",ReferenceData!$T$648),"")</f>
        <v/>
      </c>
      <c r="U648" t="str">
        <f ca="1">IFERROR(IF(0=LEN(ReferenceData!$U$648),"",ReferenceData!$U$648),"")</f>
        <v/>
      </c>
      <c r="V648" t="str">
        <f ca="1">IFERROR(IF(0=LEN(ReferenceData!$V$648),"",ReferenceData!$V$648),"")</f>
        <v/>
      </c>
      <c r="W648" t="str">
        <f ca="1">IFERROR(IF(0=LEN(ReferenceData!$W$648),"",ReferenceData!$W$648),"")</f>
        <v/>
      </c>
      <c r="X648" t="str">
        <f ca="1">IFERROR(IF(0=LEN(ReferenceData!$X$648),"",ReferenceData!$X$648),"")</f>
        <v/>
      </c>
      <c r="Y648" t="str">
        <f ca="1">IFERROR(IF(0=LEN(ReferenceData!$Y$648),"",ReferenceData!$Y$648),"")</f>
        <v/>
      </c>
      <c r="Z648" t="str">
        <f ca="1">IFERROR(IF(0=LEN(ReferenceData!$Z$648),"",ReferenceData!$Z$648),"")</f>
        <v/>
      </c>
      <c r="AA648" t="str">
        <f ca="1">IFERROR(IF(0=LEN(ReferenceData!$AA$648),"",ReferenceData!$AA$648),"")</f>
        <v/>
      </c>
      <c r="AB648" t="str">
        <f ca="1">IFERROR(IF(0=LEN(ReferenceData!$AB$648),"",ReferenceData!$AB$648),"")</f>
        <v/>
      </c>
      <c r="AC648" t="str">
        <f ca="1">IFERROR(IF(0=LEN(ReferenceData!$AC$648),"",ReferenceData!$AC$648),"")</f>
        <v/>
      </c>
      <c r="AD648" t="str">
        <f ca="1">IFERROR(IF(0=LEN(ReferenceData!$AD$648),"",ReferenceData!$AD$648),"")</f>
        <v/>
      </c>
      <c r="AE648" t="str">
        <f ca="1">IFERROR(IF(0=LEN(ReferenceData!$AE$648),"",ReferenceData!$AE$648),"")</f>
        <v/>
      </c>
      <c r="AF648" t="str">
        <f ca="1">IFERROR(IF(0=LEN(ReferenceData!$AF$648),"",ReferenceData!$AF$648),"")</f>
        <v/>
      </c>
      <c r="AG648" t="str">
        <f ca="1">IFERROR(IF(0=LEN(ReferenceData!$AG$648),"",ReferenceData!$AG$648),"")</f>
        <v/>
      </c>
      <c r="AH648" t="str">
        <f ca="1">IFERROR(IF(0=LEN(ReferenceData!$AH$648),"",ReferenceData!$AH$648),"")</f>
        <v/>
      </c>
      <c r="AI648" t="str">
        <f ca="1">IFERROR(IF(0=LEN(ReferenceData!$AI$648),"",ReferenceData!$AI$648),"")</f>
        <v/>
      </c>
      <c r="AJ648" t="str">
        <f ca="1">IFERROR(IF(0=LEN(ReferenceData!$AJ$648),"",ReferenceData!$AJ$648),"")</f>
        <v/>
      </c>
      <c r="AK648" t="str">
        <f ca="1">IFERROR(IF(0=LEN(ReferenceData!$AK$648),"",ReferenceData!$AK$648),"")</f>
        <v/>
      </c>
      <c r="AL648" t="str">
        <f ca="1">IFERROR(IF(0=LEN(ReferenceData!$AL$648),"",ReferenceData!$AL$648),"")</f>
        <v/>
      </c>
      <c r="AM648" t="str">
        <f ca="1">IFERROR(IF(0=LEN(ReferenceData!$AM$648),"",ReferenceData!$AM$648),"")</f>
        <v/>
      </c>
      <c r="AN648" t="str">
        <f ca="1">IFERROR(IF(0=LEN(ReferenceData!$AN$648),"",ReferenceData!$AN$648),"")</f>
        <v/>
      </c>
      <c r="AO648" t="str">
        <f ca="1">IFERROR(IF(0=LEN(ReferenceData!$AO$648),"",ReferenceData!$AO$648),"")</f>
        <v/>
      </c>
      <c r="AP648" t="str">
        <f ca="1">IFERROR(IF(0=LEN(ReferenceData!$AP$648),"",ReferenceData!$AP$648),"")</f>
        <v/>
      </c>
      <c r="AQ648" t="str">
        <f ca="1">IFERROR(IF(0=LEN(ReferenceData!$AQ$648),"",ReferenceData!$AQ$648),"")</f>
        <v/>
      </c>
      <c r="AR648" t="str">
        <f ca="1">IFERROR(IF(0=LEN(ReferenceData!$AR$648),"",ReferenceData!$AR$648),"")</f>
        <v/>
      </c>
      <c r="AS648" t="str">
        <f ca="1">IFERROR(IF(0=LEN(ReferenceData!$AS$648),"",ReferenceData!$AS$648),"")</f>
        <v/>
      </c>
      <c r="AT648" t="str">
        <f ca="1">IFERROR(IF(0=LEN(ReferenceData!$AT$648),"",ReferenceData!$AT$648),"")</f>
        <v/>
      </c>
      <c r="AU648" t="str">
        <f ca="1">IFERROR(IF(0=LEN(ReferenceData!$AU$648),"",ReferenceData!$AU$648),"")</f>
        <v/>
      </c>
      <c r="AV648" t="str">
        <f ca="1">IFERROR(IF(0=LEN(ReferenceData!$AV$648),"",ReferenceData!$AV$648),"")</f>
        <v/>
      </c>
      <c r="AW648" t="str">
        <f ca="1">IFERROR(IF(0=LEN(ReferenceData!$AW$648),"",ReferenceData!$AW$648),"")</f>
        <v/>
      </c>
      <c r="AX648" t="str">
        <f ca="1">IFERROR(IF(0=LEN(ReferenceData!$AX$648),"",ReferenceData!$AX$648),"")</f>
        <v/>
      </c>
      <c r="AY648" t="str">
        <f ca="1">IFERROR(IF(0=LEN(ReferenceData!$AY$648),"",ReferenceData!$AY$648),"")</f>
        <v/>
      </c>
      <c r="AZ648" t="str">
        <f ca="1">IFERROR(IF(0=LEN(ReferenceData!$AZ$648),"",ReferenceData!$AZ$648),"")</f>
        <v/>
      </c>
      <c r="BA648" t="str">
        <f ca="1">IFERROR(IF(0=LEN(ReferenceData!$BA$648),"",ReferenceData!$BA$648),"")</f>
        <v/>
      </c>
      <c r="BB648" t="str">
        <f ca="1">IFERROR(IF(0=LEN(ReferenceData!$BB$648),"",ReferenceData!$BB$648),"")</f>
        <v/>
      </c>
      <c r="BC648" t="str">
        <f ca="1">IFERROR(IF(0=LEN(ReferenceData!$BC$648),"",ReferenceData!$BC$648),"")</f>
        <v/>
      </c>
      <c r="BD648" t="str">
        <f ca="1">IFERROR(IF(0=LEN(ReferenceData!$BD$648),"",ReferenceData!$BD$648),"")</f>
        <v/>
      </c>
      <c r="BE648" t="str">
        <f ca="1">IFERROR(IF(0=LEN(ReferenceData!$BE$648),"",ReferenceData!$BE$648),"")</f>
        <v/>
      </c>
      <c r="BF648" t="str">
        <f ca="1">IFERROR(IF(0=LEN(ReferenceData!$BF$648),"",ReferenceData!$BF$648),"")</f>
        <v/>
      </c>
      <c r="BG648" t="str">
        <f ca="1">IFERROR(IF(0=LEN(ReferenceData!$BG$648),"",ReferenceData!$BG$648),"")</f>
        <v/>
      </c>
      <c r="BH648" t="str">
        <f ca="1">IFERROR(IF(0=LEN(ReferenceData!$BH$648),"",ReferenceData!$BH$648),"")</f>
        <v/>
      </c>
      <c r="BI648" t="str">
        <f ca="1">IFERROR(IF(0=LEN(ReferenceData!$BI$648),"",ReferenceData!$BI$648),"")</f>
        <v/>
      </c>
      <c r="BJ648" t="str">
        <f ca="1">IFERROR(IF(0=LEN(ReferenceData!$BJ$648),"",ReferenceData!$BJ$648),"")</f>
        <v/>
      </c>
      <c r="BK648" t="str">
        <f ca="1">IFERROR(IF(0=LEN(ReferenceData!$BK$648),"",ReferenceData!$BK$648),"")</f>
        <v/>
      </c>
      <c r="BL648" t="str">
        <f ca="1">IFERROR(IF(0=LEN(ReferenceData!$BL$648),"",ReferenceData!$BL$648),"")</f>
        <v/>
      </c>
      <c r="BM648" t="str">
        <f ca="1">IFERROR(IF(0=LEN(ReferenceData!$BM$648),"",ReferenceData!$BM$648),"")</f>
        <v/>
      </c>
    </row>
    <row r="649" spans="1:65" x14ac:dyDescent="0.25">
      <c r="A649" t="str">
        <f>IFERROR(IF(0=LEN(ReferenceData!$A$649),"",ReferenceData!$A$649),"")</f>
        <v xml:space="preserve">    SAIC Motor Corp Ltd</v>
      </c>
      <c r="B649" t="str">
        <f>IFERROR(IF(0=LEN(ReferenceData!$B$649),"",ReferenceData!$B$649),"")</f>
        <v>600104 CH Equity</v>
      </c>
      <c r="C649" t="str">
        <f>IFERROR(IF(0=LEN(ReferenceData!$C$649),"",ReferenceData!$C$649),"")</f>
        <v>RX539</v>
      </c>
      <c r="D649" t="str">
        <f>IFERROR(IF(0=LEN(ReferenceData!$D$649),"",ReferenceData!$D$649),"")</f>
        <v>T12_FCF_YIELD</v>
      </c>
      <c r="E649" t="str">
        <f>IFERROR(IF(0=LEN(ReferenceData!$E$649),"",ReferenceData!$E$649),"")</f>
        <v>Dynamic</v>
      </c>
      <c r="F649">
        <f ca="1">IFERROR(IF(0=LEN(ReferenceData!$F$649),"",ReferenceData!$F$649),"")</f>
        <v>-15.17037668</v>
      </c>
      <c r="G649">
        <f ca="1">IFERROR(IF(0=LEN(ReferenceData!$G$649),"",ReferenceData!$G$649),"")</f>
        <v>-16.160120039999999</v>
      </c>
      <c r="H649">
        <f ca="1">IFERROR(IF(0=LEN(ReferenceData!$H$649),"",ReferenceData!$H$649),"")</f>
        <v>-12.95043274</v>
      </c>
      <c r="I649">
        <f ca="1">IFERROR(IF(0=LEN(ReferenceData!$I$649),"",ReferenceData!$I$649),"")</f>
        <v>-5.7262993790000003</v>
      </c>
      <c r="J649">
        <f ca="1">IFERROR(IF(0=LEN(ReferenceData!$J$649),"",ReferenceData!$J$649),"")</f>
        <v>2.9373477549999998</v>
      </c>
      <c r="K649">
        <f ca="1">IFERROR(IF(0=LEN(ReferenceData!$K$649),"",ReferenceData!$K$649),"")</f>
        <v>7.0939123339999997</v>
      </c>
      <c r="L649">
        <f ca="1">IFERROR(IF(0=LEN(ReferenceData!$L$649),"",ReferenceData!$L$649),"")</f>
        <v>6.6270368350000002</v>
      </c>
      <c r="M649">
        <f ca="1">IFERROR(IF(0=LEN(ReferenceData!$M$649),"",ReferenceData!$M$649),"")</f>
        <v>10.42865609</v>
      </c>
      <c r="N649">
        <f ca="1">IFERROR(IF(0=LEN(ReferenceData!$N$649),"",ReferenceData!$N$649),"")</f>
        <v>6.9349934119999999</v>
      </c>
      <c r="O649">
        <f ca="1">IFERROR(IF(0=LEN(ReferenceData!$O$649),"",ReferenceData!$O$649),"")</f>
        <v>8.6220621580000003</v>
      </c>
      <c r="P649">
        <f ca="1">IFERROR(IF(0=LEN(ReferenceData!$P$649),"",ReferenceData!$P$649),"")</f>
        <v>20.272504990000002</v>
      </c>
      <c r="Q649">
        <f ca="1">IFERROR(IF(0=LEN(ReferenceData!$Q$649),"",ReferenceData!$Q$649),"")</f>
        <v>16.311237340000002</v>
      </c>
      <c r="R649">
        <f ca="1">IFERROR(IF(0=LEN(ReferenceData!$R$649),"",ReferenceData!$R$649),"")</f>
        <v>14.66655222</v>
      </c>
      <c r="S649">
        <f ca="1">IFERROR(IF(0=LEN(ReferenceData!$S$649),"",ReferenceData!$S$649),"")</f>
        <v>16.1404326</v>
      </c>
      <c r="T649">
        <f ca="1">IFERROR(IF(0=LEN(ReferenceData!$T$649),"",ReferenceData!$T$649),"")</f>
        <v>12.714917379999999</v>
      </c>
      <c r="U649">
        <f ca="1">IFERROR(IF(0=LEN(ReferenceData!$U$649),"",ReferenceData!$U$649),"")</f>
        <v>3.5601173460000002</v>
      </c>
      <c r="V649">
        <f ca="1">IFERROR(IF(0=LEN(ReferenceData!$V$649),"",ReferenceData!$V$649),"")</f>
        <v>3.5391123389999999</v>
      </c>
      <c r="W649">
        <f ca="1">IFERROR(IF(0=LEN(ReferenceData!$W$649),"",ReferenceData!$W$649),"")</f>
        <v>7.7972204129999998</v>
      </c>
      <c r="X649">
        <f ca="1">IFERROR(IF(0=LEN(ReferenceData!$X$649),"",ReferenceData!$X$649),"")</f>
        <v>7.880431411</v>
      </c>
      <c r="Y649">
        <f ca="1">IFERROR(IF(0=LEN(ReferenceData!$Y$649),"",ReferenceData!$Y$649),"")</f>
        <v>8.7376006830000001</v>
      </c>
      <c r="Z649">
        <f ca="1">IFERROR(IF(0=LEN(ReferenceData!$Z$649),"",ReferenceData!$Z$649),"")</f>
        <v>5.1700330499999998</v>
      </c>
      <c r="AA649">
        <f ca="1">IFERROR(IF(0=LEN(ReferenceData!$AA$649),"",ReferenceData!$AA$649),"")</f>
        <v>11.48029268</v>
      </c>
      <c r="AB649">
        <f ca="1">IFERROR(IF(0=LEN(ReferenceData!$AB$649),"",ReferenceData!$AB$649),"")</f>
        <v>2.6422167490000001</v>
      </c>
      <c r="AC649">
        <f ca="1">IFERROR(IF(0=LEN(ReferenceData!$AC$649),"",ReferenceData!$AC$649),"")</f>
        <v>16.383404850000002</v>
      </c>
      <c r="AD649">
        <f ca="1">IFERROR(IF(0=LEN(ReferenceData!$AD$649),"",ReferenceData!$AD$649),"")</f>
        <v>19.976279300000002</v>
      </c>
      <c r="AE649">
        <f ca="1">IFERROR(IF(0=LEN(ReferenceData!$AE$649),"",ReferenceData!$AE$649),"")</f>
        <v>9.6989149139999995</v>
      </c>
      <c r="AF649">
        <f ca="1">IFERROR(IF(0=LEN(ReferenceData!$AF$649),"",ReferenceData!$AF$649),"")</f>
        <v>23.974243810000001</v>
      </c>
      <c r="AG649">
        <f ca="1">IFERROR(IF(0=LEN(ReferenceData!$AG$649),"",ReferenceData!$AG$649),"")</f>
        <v>21.903406929999999</v>
      </c>
      <c r="AH649">
        <f ca="1">IFERROR(IF(0=LEN(ReferenceData!$AH$649),"",ReferenceData!$AH$649),"")</f>
        <v>14.643608779999999</v>
      </c>
      <c r="AI649">
        <f ca="1">IFERROR(IF(0=LEN(ReferenceData!$AI$649),"",ReferenceData!$AI$649),"")</f>
        <v>14.850150859999999</v>
      </c>
      <c r="AJ649">
        <f ca="1">IFERROR(IF(0=LEN(ReferenceData!$AJ$649),"",ReferenceData!$AJ$649),"")</f>
        <v>22.641370649999999</v>
      </c>
      <c r="AK649">
        <f ca="1">IFERROR(IF(0=LEN(ReferenceData!$AK$649),"",ReferenceData!$AK$649),"")</f>
        <v>14.66903832</v>
      </c>
      <c r="AL649">
        <f ca="1">IFERROR(IF(0=LEN(ReferenceData!$AL$649),"",ReferenceData!$AL$649),"")</f>
        <v>10.401472849999999</v>
      </c>
      <c r="AM649">
        <f ca="1">IFERROR(IF(0=LEN(ReferenceData!$AM$649),"",ReferenceData!$AM$649),"")</f>
        <v>17.20352887</v>
      </c>
      <c r="AN649">
        <f ca="1">IFERROR(IF(0=LEN(ReferenceData!$AN$649),"",ReferenceData!$AN$649),"")</f>
        <v>10.10353724</v>
      </c>
      <c r="AO649">
        <f ca="1">IFERROR(IF(0=LEN(ReferenceData!$AO$649),"",ReferenceData!$AO$649),"")</f>
        <v>11.332630910000001</v>
      </c>
      <c r="AP649">
        <f ca="1">IFERROR(IF(0=LEN(ReferenceData!$AP$649),"",ReferenceData!$AP$649),"")</f>
        <v>19.269175319999999</v>
      </c>
      <c r="AQ649">
        <f ca="1">IFERROR(IF(0=LEN(ReferenceData!$AQ$649),"",ReferenceData!$AQ$649),"")</f>
        <v>12.514625390000001</v>
      </c>
      <c r="AR649">
        <f ca="1">IFERROR(IF(0=LEN(ReferenceData!$AR$649),"",ReferenceData!$AR$649),"")</f>
        <v>4.8761574000000002E-2</v>
      </c>
      <c r="AS649">
        <f ca="1">IFERROR(IF(0=LEN(ReferenceData!$AS$649),"",ReferenceData!$AS$649),"")</f>
        <v>-5.7440399409999996</v>
      </c>
      <c r="AT649">
        <f ca="1">IFERROR(IF(0=LEN(ReferenceData!$AT$649),"",ReferenceData!$AT$649),"")</f>
        <v>-14.190581</v>
      </c>
      <c r="AU649">
        <f ca="1">IFERROR(IF(0=LEN(ReferenceData!$AU$649),"",ReferenceData!$AU$649),"")</f>
        <v>-7.2886774799999996</v>
      </c>
      <c r="AV649">
        <f ca="1">IFERROR(IF(0=LEN(ReferenceData!$AV$649),"",ReferenceData!$AV$649),"")</f>
        <v>14.044233480000001</v>
      </c>
      <c r="AW649">
        <f ca="1">IFERROR(IF(0=LEN(ReferenceData!$AW$649),"",ReferenceData!$AW$649),"")</f>
        <v>10.779161650000001</v>
      </c>
      <c r="AX649">
        <f ca="1">IFERROR(IF(0=LEN(ReferenceData!$AX$649),"",ReferenceData!$AX$649),"")</f>
        <v>7.5470234810000001</v>
      </c>
      <c r="AY649">
        <f ca="1">IFERROR(IF(0=LEN(ReferenceData!$AY$649),"",ReferenceData!$AY$649),"")</f>
        <v>-0.45901042199999997</v>
      </c>
      <c r="AZ649">
        <f ca="1">IFERROR(IF(0=LEN(ReferenceData!$AZ$649),"",ReferenceData!$AZ$649),"")</f>
        <v>3.6379465450000001</v>
      </c>
      <c r="BA649">
        <f ca="1">IFERROR(IF(0=LEN(ReferenceData!$BA$649),"",ReferenceData!$BA$649),"")</f>
        <v>8.6585801759999992</v>
      </c>
      <c r="BB649">
        <f ca="1">IFERROR(IF(0=LEN(ReferenceData!$BB$649),"",ReferenceData!$BB$649),"")</f>
        <v>9.3946059769999994</v>
      </c>
      <c r="BC649">
        <f ca="1">IFERROR(IF(0=LEN(ReferenceData!$BC$649),"",ReferenceData!$BC$649),"")</f>
        <v>22.742756889999999</v>
      </c>
      <c r="BD649">
        <f ca="1">IFERROR(IF(0=LEN(ReferenceData!$BD$649),"",ReferenceData!$BD$649),"")</f>
        <v>6.0846455180000003</v>
      </c>
      <c r="BE649">
        <f ca="1">IFERROR(IF(0=LEN(ReferenceData!$BE$649),"",ReferenceData!$BE$649),"")</f>
        <v>10.94830778</v>
      </c>
      <c r="BF649">
        <f ca="1">IFERROR(IF(0=LEN(ReferenceData!$BF$649),"",ReferenceData!$BF$649),"")</f>
        <v>10.26566847</v>
      </c>
      <c r="BG649">
        <f ca="1">IFERROR(IF(0=LEN(ReferenceData!$BG$649),"",ReferenceData!$BG$649),"")</f>
        <v>9.2717772249999992</v>
      </c>
      <c r="BH649">
        <f ca="1">IFERROR(IF(0=LEN(ReferenceData!$BH$649),"",ReferenceData!$BH$649),"")</f>
        <v>6.1813526090000002</v>
      </c>
      <c r="BI649">
        <f ca="1">IFERROR(IF(0=LEN(ReferenceData!$BI$649),"",ReferenceData!$BI$649),"")</f>
        <v>-2.3390954769999999</v>
      </c>
      <c r="BJ649">
        <f ca="1">IFERROR(IF(0=LEN(ReferenceData!$BJ$649),"",ReferenceData!$BJ$649),"")</f>
        <v>5.1472752420000001</v>
      </c>
      <c r="BK649">
        <f ca="1">IFERROR(IF(0=LEN(ReferenceData!$BK$649),"",ReferenceData!$BK$649),"")</f>
        <v>3.501870958</v>
      </c>
      <c r="BL649">
        <f ca="1">IFERROR(IF(0=LEN(ReferenceData!$BL$649),"",ReferenceData!$BL$649),"")</f>
        <v>1.4427920620000001</v>
      </c>
      <c r="BM649">
        <f ca="1">IFERROR(IF(0=LEN(ReferenceData!$BM$649),"",ReferenceData!$BM$649),"")</f>
        <v>2.06660244</v>
      </c>
    </row>
    <row r="650" spans="1:65" x14ac:dyDescent="0.25">
      <c r="A650" t="str">
        <f>IFERROR(IF(0=LEN(ReferenceData!$A$650),"",ReferenceData!$A$650),"")</f>
        <v xml:space="preserve">    Sanyang Motor Co Ltd</v>
      </c>
      <c r="B650" t="str">
        <f>IFERROR(IF(0=LEN(ReferenceData!$B$650),"",ReferenceData!$B$650),"")</f>
        <v>2206 TT Equity</v>
      </c>
      <c r="C650" t="str">
        <f>IFERROR(IF(0=LEN(ReferenceData!$C$650),"",ReferenceData!$C$650),"")</f>
        <v>RX539</v>
      </c>
      <c r="D650" t="str">
        <f>IFERROR(IF(0=LEN(ReferenceData!$D$650),"",ReferenceData!$D$650),"")</f>
        <v>T12_FCF_YIELD</v>
      </c>
      <c r="E650" t="str">
        <f>IFERROR(IF(0=LEN(ReferenceData!$E$650),"",ReferenceData!$E$650),"")</f>
        <v>Dynamic</v>
      </c>
      <c r="F650">
        <f ca="1">IFERROR(IF(0=LEN(ReferenceData!$F$650),"",ReferenceData!$F$650),"")</f>
        <v>-7.5978966410000002</v>
      </c>
      <c r="G650">
        <f ca="1">IFERROR(IF(0=LEN(ReferenceData!$G$650),"",ReferenceData!$G$650),"")</f>
        <v>-7.6168913820000004</v>
      </c>
      <c r="H650">
        <f ca="1">IFERROR(IF(0=LEN(ReferenceData!$H$650),"",ReferenceData!$H$650),"")</f>
        <v>-7.4311135439999996</v>
      </c>
      <c r="I650">
        <f ca="1">IFERROR(IF(0=LEN(ReferenceData!$I$650),"",ReferenceData!$I$650),"")</f>
        <v>-1.377830245</v>
      </c>
      <c r="J650">
        <f ca="1">IFERROR(IF(0=LEN(ReferenceData!$J$650),"",ReferenceData!$J$650),"")</f>
        <v>-0.80387903999999999</v>
      </c>
      <c r="K650">
        <f ca="1">IFERROR(IF(0=LEN(ReferenceData!$K$650),"",ReferenceData!$K$650),"")</f>
        <v>6.5567619690000001</v>
      </c>
      <c r="L650">
        <f ca="1">IFERROR(IF(0=LEN(ReferenceData!$L$650),"",ReferenceData!$L$650),"")</f>
        <v>17.79990871</v>
      </c>
      <c r="M650">
        <f ca="1">IFERROR(IF(0=LEN(ReferenceData!$M$650),"",ReferenceData!$M$650),"")</f>
        <v>15.200090700000001</v>
      </c>
      <c r="N650">
        <f ca="1">IFERROR(IF(0=LEN(ReferenceData!$N$650),"",ReferenceData!$N$650),"")</f>
        <v>20.27181603</v>
      </c>
      <c r="O650">
        <f ca="1">IFERROR(IF(0=LEN(ReferenceData!$O$650),"",ReferenceData!$O$650),"")</f>
        <v>18.76540782</v>
      </c>
      <c r="P650">
        <f ca="1">IFERROR(IF(0=LEN(ReferenceData!$P$650),"",ReferenceData!$P$650),"")</f>
        <v>16.602660199999999</v>
      </c>
      <c r="Q650">
        <f ca="1">IFERROR(IF(0=LEN(ReferenceData!$Q$650),"",ReferenceData!$Q$650),"")</f>
        <v>8.960821481</v>
      </c>
      <c r="R650">
        <f ca="1">IFERROR(IF(0=LEN(ReferenceData!$R$650),"",ReferenceData!$R$650),"")</f>
        <v>6.7401339570000003</v>
      </c>
      <c r="S650">
        <f ca="1">IFERROR(IF(0=LEN(ReferenceData!$S$650),"",ReferenceData!$S$650),"")</f>
        <v>-6.4482526140000003</v>
      </c>
      <c r="T650">
        <f ca="1">IFERROR(IF(0=LEN(ReferenceData!$T$650),"",ReferenceData!$T$650),"")</f>
        <v>-10.69761308</v>
      </c>
      <c r="U650">
        <f ca="1">IFERROR(IF(0=LEN(ReferenceData!$U$650),"",ReferenceData!$U$650),"")</f>
        <v>-5.7862633299999997</v>
      </c>
      <c r="V650">
        <f ca="1">IFERROR(IF(0=LEN(ReferenceData!$V$650),"",ReferenceData!$V$650),"")</f>
        <v>-6.6208846680000004</v>
      </c>
      <c r="W650">
        <f ca="1">IFERROR(IF(0=LEN(ReferenceData!$W$650),"",ReferenceData!$W$650),"")</f>
        <v>-4.0367355549999999</v>
      </c>
      <c r="X650">
        <f ca="1">IFERROR(IF(0=LEN(ReferenceData!$X$650),"",ReferenceData!$X$650),"")</f>
        <v>-7.6920014669999999</v>
      </c>
      <c r="Y650">
        <f ca="1">IFERROR(IF(0=LEN(ReferenceData!$Y$650),"",ReferenceData!$Y$650),"")</f>
        <v>-6.2404722020000003</v>
      </c>
      <c r="Z650">
        <f ca="1">IFERROR(IF(0=LEN(ReferenceData!$Z$650),"",ReferenceData!$Z$650),"")</f>
        <v>-6.9652509050000004</v>
      </c>
      <c r="AA650">
        <f ca="1">IFERROR(IF(0=LEN(ReferenceData!$AA$650),"",ReferenceData!$AA$650),"")</f>
        <v>-5.0848422739999997</v>
      </c>
      <c r="AB650">
        <f ca="1">IFERROR(IF(0=LEN(ReferenceData!$AB$650),"",ReferenceData!$AB$650),"")</f>
        <v>-2.6528236500000002</v>
      </c>
      <c r="AC650">
        <f ca="1">IFERROR(IF(0=LEN(ReferenceData!$AC$650),"",ReferenceData!$AC$650),"")</f>
        <v>0.17877727800000001</v>
      </c>
      <c r="AD650">
        <f ca="1">IFERROR(IF(0=LEN(ReferenceData!$AD$650),"",ReferenceData!$AD$650),"")</f>
        <v>2.3042373</v>
      </c>
      <c r="AE650">
        <f ca="1">IFERROR(IF(0=LEN(ReferenceData!$AE$650),"",ReferenceData!$AE$650),"")</f>
        <v>1.649622865</v>
      </c>
      <c r="AF650">
        <f ca="1">IFERROR(IF(0=LEN(ReferenceData!$AF$650),"",ReferenceData!$AF$650),"")</f>
        <v>-1.9979966870000001</v>
      </c>
      <c r="AG650">
        <f ca="1">IFERROR(IF(0=LEN(ReferenceData!$AG$650),"",ReferenceData!$AG$650),"")</f>
        <v>-8.4810573550000008</v>
      </c>
      <c r="AH650">
        <f ca="1">IFERROR(IF(0=LEN(ReferenceData!$AH$650),"",ReferenceData!$AH$650),"")</f>
        <v>-3.609148759</v>
      </c>
      <c r="AI650">
        <f ca="1">IFERROR(IF(0=LEN(ReferenceData!$AI$650),"",ReferenceData!$AI$650),"")</f>
        <v>0.31522377600000001</v>
      </c>
      <c r="AJ650">
        <f ca="1">IFERROR(IF(0=LEN(ReferenceData!$AJ$650),"",ReferenceData!$AJ$650),"")</f>
        <v>-0.372486121</v>
      </c>
      <c r="AK650">
        <f ca="1">IFERROR(IF(0=LEN(ReferenceData!$AK$650),"",ReferenceData!$AK$650),"")</f>
        <v>7.3778537960000001</v>
      </c>
      <c r="AL650">
        <f ca="1">IFERROR(IF(0=LEN(ReferenceData!$AL$650),"",ReferenceData!$AL$650),"")</f>
        <v>-2.4380125320000001</v>
      </c>
      <c r="AM650">
        <f ca="1">IFERROR(IF(0=LEN(ReferenceData!$AM$650),"",ReferenceData!$AM$650),"")</f>
        <v>-8.3517319039999993</v>
      </c>
      <c r="AN650">
        <f ca="1">IFERROR(IF(0=LEN(ReferenceData!$AN$650),"",ReferenceData!$AN$650),"")</f>
        <v>-5.1064430920000001</v>
      </c>
      <c r="AO650">
        <f ca="1">IFERROR(IF(0=LEN(ReferenceData!$AO$650),"",ReferenceData!$AO$650),"")</f>
        <v>3.3949384560000002</v>
      </c>
      <c r="AP650">
        <f ca="1">IFERROR(IF(0=LEN(ReferenceData!$AP$650),"",ReferenceData!$AP$650),"")</f>
        <v>13.204523</v>
      </c>
      <c r="AQ650">
        <f ca="1">IFERROR(IF(0=LEN(ReferenceData!$AQ$650),"",ReferenceData!$AQ$650),"")</f>
        <v>10.939380119999999</v>
      </c>
      <c r="AR650">
        <f ca="1">IFERROR(IF(0=LEN(ReferenceData!$AR$650),"",ReferenceData!$AR$650),"")</f>
        <v>11.723230729999999</v>
      </c>
      <c r="AS650">
        <f ca="1">IFERROR(IF(0=LEN(ReferenceData!$AS$650),"",ReferenceData!$AS$650),"")</f>
        <v>-5.6622523769999997</v>
      </c>
      <c r="AT650">
        <f ca="1">IFERROR(IF(0=LEN(ReferenceData!$AT$650),"",ReferenceData!$AT$650),"")</f>
        <v>-8.5850776890000002</v>
      </c>
      <c r="AU650">
        <f ca="1">IFERROR(IF(0=LEN(ReferenceData!$AU$650),"",ReferenceData!$AU$650),"")</f>
        <v>-22.804351109999999</v>
      </c>
      <c r="AV650" t="str">
        <f ca="1">IFERROR(IF(0=LEN(ReferenceData!$AV$650),"",ReferenceData!$AV$650),"")</f>
        <v/>
      </c>
      <c r="AW650" t="str">
        <f ca="1">IFERROR(IF(0=LEN(ReferenceData!$AW$650),"",ReferenceData!$AW$650),"")</f>
        <v/>
      </c>
      <c r="AX650" t="str">
        <f ca="1">IFERROR(IF(0=LEN(ReferenceData!$AX$650),"",ReferenceData!$AX$650),"")</f>
        <v/>
      </c>
      <c r="AY650" t="str">
        <f ca="1">IFERROR(IF(0=LEN(ReferenceData!$AY$650),"",ReferenceData!$AY$650),"")</f>
        <v/>
      </c>
      <c r="AZ650" t="str">
        <f ca="1">IFERROR(IF(0=LEN(ReferenceData!$AZ$650),"",ReferenceData!$AZ$650),"")</f>
        <v/>
      </c>
      <c r="BA650" t="str">
        <f ca="1">IFERROR(IF(0=LEN(ReferenceData!$BA$650),"",ReferenceData!$BA$650),"")</f>
        <v/>
      </c>
      <c r="BB650" t="str">
        <f ca="1">IFERROR(IF(0=LEN(ReferenceData!$BB$650),"",ReferenceData!$BB$650),"")</f>
        <v/>
      </c>
      <c r="BC650" t="str">
        <f ca="1">IFERROR(IF(0=LEN(ReferenceData!$BC$650),"",ReferenceData!$BC$650),"")</f>
        <v/>
      </c>
      <c r="BD650" t="str">
        <f ca="1">IFERROR(IF(0=LEN(ReferenceData!$BD$650),"",ReferenceData!$BD$650),"")</f>
        <v/>
      </c>
      <c r="BE650" t="str">
        <f ca="1">IFERROR(IF(0=LEN(ReferenceData!$BE$650),"",ReferenceData!$BE$650),"")</f>
        <v/>
      </c>
      <c r="BF650" t="str">
        <f ca="1">IFERROR(IF(0=LEN(ReferenceData!$BF$650),"",ReferenceData!$BF$650),"")</f>
        <v/>
      </c>
      <c r="BG650" t="str">
        <f ca="1">IFERROR(IF(0=LEN(ReferenceData!$BG$650),"",ReferenceData!$BG$650),"")</f>
        <v/>
      </c>
      <c r="BH650" t="str">
        <f ca="1">IFERROR(IF(0=LEN(ReferenceData!$BH$650),"",ReferenceData!$BH$650),"")</f>
        <v/>
      </c>
      <c r="BI650" t="str">
        <f ca="1">IFERROR(IF(0=LEN(ReferenceData!$BI$650),"",ReferenceData!$BI$650),"")</f>
        <v/>
      </c>
      <c r="BJ650" t="str">
        <f ca="1">IFERROR(IF(0=LEN(ReferenceData!$BJ$650),"",ReferenceData!$BJ$650),"")</f>
        <v/>
      </c>
      <c r="BK650" t="str">
        <f ca="1">IFERROR(IF(0=LEN(ReferenceData!$BK$650),"",ReferenceData!$BK$650),"")</f>
        <v/>
      </c>
      <c r="BL650" t="str">
        <f ca="1">IFERROR(IF(0=LEN(ReferenceData!$BL$650),"",ReferenceData!$BL$650),"")</f>
        <v/>
      </c>
      <c r="BM650" t="str">
        <f ca="1">IFERROR(IF(0=LEN(ReferenceData!$BM$650),"",ReferenceData!$BM$650),"")</f>
        <v/>
      </c>
    </row>
    <row r="651" spans="1:65" x14ac:dyDescent="0.25">
      <c r="A651" t="str">
        <f>IFERROR(IF(0=LEN(ReferenceData!$A$651),"",ReferenceData!$A$651),"")</f>
        <v xml:space="preserve">    Sollers PJSC</v>
      </c>
      <c r="B651" t="str">
        <f>IFERROR(IF(0=LEN(ReferenceData!$B$651),"",ReferenceData!$B$651),"")</f>
        <v>SVAV RM Equity</v>
      </c>
      <c r="C651" t="str">
        <f>IFERROR(IF(0=LEN(ReferenceData!$C$651),"",ReferenceData!$C$651),"")</f>
        <v>RX539</v>
      </c>
      <c r="D651" t="str">
        <f>IFERROR(IF(0=LEN(ReferenceData!$D$651),"",ReferenceData!$D$651),"")</f>
        <v>T12_FCF_YIELD</v>
      </c>
      <c r="E651" t="str">
        <f>IFERROR(IF(0=LEN(ReferenceData!$E$651),"",ReferenceData!$E$651),"")</f>
        <v>Dynamic</v>
      </c>
      <c r="F651" t="str">
        <f ca="1">IFERROR(IF(0=LEN(ReferenceData!$F$651),"",ReferenceData!$F$651),"")</f>
        <v/>
      </c>
      <c r="G651" t="str">
        <f ca="1">IFERROR(IF(0=LEN(ReferenceData!$G$651),"",ReferenceData!$G$651),"")</f>
        <v/>
      </c>
      <c r="H651" t="str">
        <f ca="1">IFERROR(IF(0=LEN(ReferenceData!$H$651),"",ReferenceData!$H$651),"")</f>
        <v/>
      </c>
      <c r="I651" t="str">
        <f ca="1">IFERROR(IF(0=LEN(ReferenceData!$I$651),"",ReferenceData!$I$651),"")</f>
        <v/>
      </c>
      <c r="J651" t="str">
        <f ca="1">IFERROR(IF(0=LEN(ReferenceData!$J$651),"",ReferenceData!$J$651),"")</f>
        <v/>
      </c>
      <c r="K651" t="str">
        <f ca="1">IFERROR(IF(0=LEN(ReferenceData!$K$651),"",ReferenceData!$K$651),"")</f>
        <v/>
      </c>
      <c r="L651" t="str">
        <f ca="1">IFERROR(IF(0=LEN(ReferenceData!$L$651),"",ReferenceData!$L$651),"")</f>
        <v/>
      </c>
      <c r="M651" t="str">
        <f ca="1">IFERROR(IF(0=LEN(ReferenceData!$M$651),"",ReferenceData!$M$651),"")</f>
        <v/>
      </c>
      <c r="N651" t="str">
        <f ca="1">IFERROR(IF(0=LEN(ReferenceData!$N$651),"",ReferenceData!$N$651),"")</f>
        <v/>
      </c>
      <c r="O651" t="str">
        <f ca="1">IFERROR(IF(0=LEN(ReferenceData!$O$651),"",ReferenceData!$O$651),"")</f>
        <v/>
      </c>
      <c r="P651" t="str">
        <f ca="1">IFERROR(IF(0=LEN(ReferenceData!$P$651),"",ReferenceData!$P$651),"")</f>
        <v/>
      </c>
      <c r="Q651" t="str">
        <f ca="1">IFERROR(IF(0=LEN(ReferenceData!$Q$651),"",ReferenceData!$Q$651),"")</f>
        <v/>
      </c>
      <c r="R651" t="str">
        <f ca="1">IFERROR(IF(0=LEN(ReferenceData!$R$651),"",ReferenceData!$R$651),"")</f>
        <v/>
      </c>
      <c r="S651" t="str">
        <f ca="1">IFERROR(IF(0=LEN(ReferenceData!$S$651),"",ReferenceData!$S$651),"")</f>
        <v/>
      </c>
      <c r="T651" t="str">
        <f ca="1">IFERROR(IF(0=LEN(ReferenceData!$T$651),"",ReferenceData!$T$651),"")</f>
        <v/>
      </c>
      <c r="U651" t="str">
        <f ca="1">IFERROR(IF(0=LEN(ReferenceData!$U$651),"",ReferenceData!$U$651),"")</f>
        <v/>
      </c>
      <c r="V651" t="str">
        <f ca="1">IFERROR(IF(0=LEN(ReferenceData!$V$651),"",ReferenceData!$V$651),"")</f>
        <v/>
      </c>
      <c r="W651" t="str">
        <f ca="1">IFERROR(IF(0=LEN(ReferenceData!$W$651),"",ReferenceData!$W$651),"")</f>
        <v/>
      </c>
      <c r="X651" t="str">
        <f ca="1">IFERROR(IF(0=LEN(ReferenceData!$X$651),"",ReferenceData!$X$651),"")</f>
        <v/>
      </c>
      <c r="Y651" t="str">
        <f ca="1">IFERROR(IF(0=LEN(ReferenceData!$Y$651),"",ReferenceData!$Y$651),"")</f>
        <v/>
      </c>
      <c r="Z651" t="str">
        <f ca="1">IFERROR(IF(0=LEN(ReferenceData!$Z$651),"",ReferenceData!$Z$651),"")</f>
        <v/>
      </c>
      <c r="AA651" t="str">
        <f ca="1">IFERROR(IF(0=LEN(ReferenceData!$AA$651),"",ReferenceData!$AA$651),"")</f>
        <v/>
      </c>
      <c r="AB651" t="str">
        <f ca="1">IFERROR(IF(0=LEN(ReferenceData!$AB$651),"",ReferenceData!$AB$651),"")</f>
        <v/>
      </c>
      <c r="AC651" t="str">
        <f ca="1">IFERROR(IF(0=LEN(ReferenceData!$AC$651),"",ReferenceData!$AC$651),"")</f>
        <v/>
      </c>
      <c r="AD651" t="str">
        <f ca="1">IFERROR(IF(0=LEN(ReferenceData!$AD$651),"",ReferenceData!$AD$651),"")</f>
        <v/>
      </c>
      <c r="AE651" t="str">
        <f ca="1">IFERROR(IF(0=LEN(ReferenceData!$AE$651),"",ReferenceData!$AE$651),"")</f>
        <v/>
      </c>
      <c r="AF651" t="str">
        <f ca="1">IFERROR(IF(0=LEN(ReferenceData!$AF$651),"",ReferenceData!$AF$651),"")</f>
        <v/>
      </c>
      <c r="AG651" t="str">
        <f ca="1">IFERROR(IF(0=LEN(ReferenceData!$AG$651),"",ReferenceData!$AG$651),"")</f>
        <v/>
      </c>
      <c r="AH651" t="str">
        <f ca="1">IFERROR(IF(0=LEN(ReferenceData!$AH$651),"",ReferenceData!$AH$651),"")</f>
        <v/>
      </c>
      <c r="AI651" t="str">
        <f ca="1">IFERROR(IF(0=LEN(ReferenceData!$AI$651),"",ReferenceData!$AI$651),"")</f>
        <v/>
      </c>
      <c r="AJ651" t="str">
        <f ca="1">IFERROR(IF(0=LEN(ReferenceData!$AJ$651),"",ReferenceData!$AJ$651),"")</f>
        <v/>
      </c>
      <c r="AK651" t="str">
        <f ca="1">IFERROR(IF(0=LEN(ReferenceData!$AK$651),"",ReferenceData!$AK$651),"")</f>
        <v/>
      </c>
      <c r="AL651" t="str">
        <f ca="1">IFERROR(IF(0=LEN(ReferenceData!$AL$651),"",ReferenceData!$AL$651),"")</f>
        <v/>
      </c>
      <c r="AM651" t="str">
        <f ca="1">IFERROR(IF(0=LEN(ReferenceData!$AM$651),"",ReferenceData!$AM$651),"")</f>
        <v/>
      </c>
      <c r="AN651" t="str">
        <f ca="1">IFERROR(IF(0=LEN(ReferenceData!$AN$651),"",ReferenceData!$AN$651),"")</f>
        <v/>
      </c>
      <c r="AO651" t="str">
        <f ca="1">IFERROR(IF(0=LEN(ReferenceData!$AO$651),"",ReferenceData!$AO$651),"")</f>
        <v/>
      </c>
      <c r="AP651" t="str">
        <f ca="1">IFERROR(IF(0=LEN(ReferenceData!$AP$651),"",ReferenceData!$AP$651),"")</f>
        <v/>
      </c>
      <c r="AQ651" t="str">
        <f ca="1">IFERROR(IF(0=LEN(ReferenceData!$AQ$651),"",ReferenceData!$AQ$651),"")</f>
        <v/>
      </c>
      <c r="AR651" t="str">
        <f ca="1">IFERROR(IF(0=LEN(ReferenceData!$AR$651),"",ReferenceData!$AR$651),"")</f>
        <v/>
      </c>
      <c r="AS651" t="str">
        <f ca="1">IFERROR(IF(0=LEN(ReferenceData!$AS$651),"",ReferenceData!$AS$651),"")</f>
        <v/>
      </c>
      <c r="AT651" t="str">
        <f ca="1">IFERROR(IF(0=LEN(ReferenceData!$AT$651),"",ReferenceData!$AT$651),"")</f>
        <v/>
      </c>
      <c r="AU651" t="str">
        <f ca="1">IFERROR(IF(0=LEN(ReferenceData!$AU$651),"",ReferenceData!$AU$651),"")</f>
        <v/>
      </c>
      <c r="AV651" t="str">
        <f ca="1">IFERROR(IF(0=LEN(ReferenceData!$AV$651),"",ReferenceData!$AV$651),"")</f>
        <v/>
      </c>
      <c r="AW651" t="str">
        <f ca="1">IFERROR(IF(0=LEN(ReferenceData!$AW$651),"",ReferenceData!$AW$651),"")</f>
        <v/>
      </c>
      <c r="AX651" t="str">
        <f ca="1">IFERROR(IF(0=LEN(ReferenceData!$AX$651),"",ReferenceData!$AX$651),"")</f>
        <v/>
      </c>
      <c r="AY651" t="str">
        <f ca="1">IFERROR(IF(0=LEN(ReferenceData!$AY$651),"",ReferenceData!$AY$651),"")</f>
        <v/>
      </c>
      <c r="AZ651" t="str">
        <f ca="1">IFERROR(IF(0=LEN(ReferenceData!$AZ$651),"",ReferenceData!$AZ$651),"")</f>
        <v/>
      </c>
      <c r="BA651" t="str">
        <f ca="1">IFERROR(IF(0=LEN(ReferenceData!$BA$651),"",ReferenceData!$BA$651),"")</f>
        <v/>
      </c>
      <c r="BB651" t="str">
        <f ca="1">IFERROR(IF(0=LEN(ReferenceData!$BB$651),"",ReferenceData!$BB$651),"")</f>
        <v/>
      </c>
      <c r="BC651" t="str">
        <f ca="1">IFERROR(IF(0=LEN(ReferenceData!$BC$651),"",ReferenceData!$BC$651),"")</f>
        <v/>
      </c>
      <c r="BD651" t="str">
        <f ca="1">IFERROR(IF(0=LEN(ReferenceData!$BD$651),"",ReferenceData!$BD$651),"")</f>
        <v/>
      </c>
      <c r="BE651" t="str">
        <f ca="1">IFERROR(IF(0=LEN(ReferenceData!$BE$651),"",ReferenceData!$BE$651),"")</f>
        <v/>
      </c>
      <c r="BF651" t="str">
        <f ca="1">IFERROR(IF(0=LEN(ReferenceData!$BF$651),"",ReferenceData!$BF$651),"")</f>
        <v/>
      </c>
      <c r="BG651" t="str">
        <f ca="1">IFERROR(IF(0=LEN(ReferenceData!$BG$651),"",ReferenceData!$BG$651),"")</f>
        <v/>
      </c>
      <c r="BH651" t="str">
        <f ca="1">IFERROR(IF(0=LEN(ReferenceData!$BH$651),"",ReferenceData!$BH$651),"")</f>
        <v/>
      </c>
      <c r="BI651" t="str">
        <f ca="1">IFERROR(IF(0=LEN(ReferenceData!$BI$651),"",ReferenceData!$BI$651),"")</f>
        <v/>
      </c>
      <c r="BJ651" t="str">
        <f ca="1">IFERROR(IF(0=LEN(ReferenceData!$BJ$651),"",ReferenceData!$BJ$651),"")</f>
        <v/>
      </c>
      <c r="BK651" t="str">
        <f ca="1">IFERROR(IF(0=LEN(ReferenceData!$BK$651),"",ReferenceData!$BK$651),"")</f>
        <v/>
      </c>
      <c r="BL651" t="str">
        <f ca="1">IFERROR(IF(0=LEN(ReferenceData!$BL$651),"",ReferenceData!$BL$651),"")</f>
        <v/>
      </c>
      <c r="BM651" t="str">
        <f ca="1">IFERROR(IF(0=LEN(ReferenceData!$BM$651),"",ReferenceData!$BM$651),"")</f>
        <v/>
      </c>
    </row>
    <row r="652" spans="1:65" x14ac:dyDescent="0.25">
      <c r="A652" t="str">
        <f>IFERROR(IF(0=LEN(ReferenceData!$A$652),"",ReferenceData!$A$652),"")</f>
        <v xml:space="preserve">    Ssangyong Motor Co</v>
      </c>
      <c r="B652" t="str">
        <f>IFERROR(IF(0=LEN(ReferenceData!$B$652),"",ReferenceData!$B$652),"")</f>
        <v>003620 KS Equity</v>
      </c>
      <c r="C652" t="str">
        <f>IFERROR(IF(0=LEN(ReferenceData!$C$652),"",ReferenceData!$C$652),"")</f>
        <v>RX539</v>
      </c>
      <c r="D652" t="str">
        <f>IFERROR(IF(0=LEN(ReferenceData!$D$652),"",ReferenceData!$D$652),"")</f>
        <v>T12_FCF_YIELD</v>
      </c>
      <c r="E652" t="str">
        <f>IFERROR(IF(0=LEN(ReferenceData!$E$652),"",ReferenceData!$E$652),"")</f>
        <v>Dynamic</v>
      </c>
      <c r="F652" t="str">
        <f ca="1">IFERROR(IF(0=LEN(ReferenceData!$F$652),"",ReferenceData!$F$652),"")</f>
        <v/>
      </c>
      <c r="G652">
        <f ca="1">IFERROR(IF(0=LEN(ReferenceData!$G$652),"",ReferenceData!$G$652),"")</f>
        <v>32.176849369999999</v>
      </c>
      <c r="H652">
        <f ca="1">IFERROR(IF(0=LEN(ReferenceData!$H$652),"",ReferenceData!$H$652),"")</f>
        <v>27.771475689999999</v>
      </c>
      <c r="I652">
        <f ca="1">IFERROR(IF(0=LEN(ReferenceData!$I$652),"",ReferenceData!$I$652),"")</f>
        <v>-1.558685066</v>
      </c>
      <c r="J652">
        <f ca="1">IFERROR(IF(0=LEN(ReferenceData!$J$652),"",ReferenceData!$J$652),"")</f>
        <v>14.673095010000001</v>
      </c>
      <c r="K652">
        <f ca="1">IFERROR(IF(0=LEN(ReferenceData!$K$652),"",ReferenceData!$K$652),"")</f>
        <v>6.6365155629999997</v>
      </c>
      <c r="L652">
        <f ca="1">IFERROR(IF(0=LEN(ReferenceData!$L$652),"",ReferenceData!$L$652),"")</f>
        <v>12.47621998</v>
      </c>
      <c r="M652">
        <f ca="1">IFERROR(IF(0=LEN(ReferenceData!$M$652),"",ReferenceData!$M$652),"")</f>
        <v>12.82182888</v>
      </c>
      <c r="N652">
        <f ca="1">IFERROR(IF(0=LEN(ReferenceData!$N$652),"",ReferenceData!$N$652),"")</f>
        <v>17.953187339999999</v>
      </c>
      <c r="O652">
        <f ca="1">IFERROR(IF(0=LEN(ReferenceData!$O$652),"",ReferenceData!$O$652),"")</f>
        <v>10.79511591</v>
      </c>
      <c r="P652">
        <f ca="1">IFERROR(IF(0=LEN(ReferenceData!$P$652),"",ReferenceData!$P$652),"")</f>
        <v>8.4068026610000004</v>
      </c>
      <c r="Q652">
        <f ca="1">IFERROR(IF(0=LEN(ReferenceData!$Q$652),"",ReferenceData!$Q$652),"")</f>
        <v>13.00321499</v>
      </c>
      <c r="R652">
        <f ca="1">IFERROR(IF(0=LEN(ReferenceData!$R$652),"",ReferenceData!$R$652),"")</f>
        <v>-6.8917329650000001</v>
      </c>
      <c r="S652">
        <f ca="1">IFERROR(IF(0=LEN(ReferenceData!$S$652),"",ReferenceData!$S$652),"")</f>
        <v>4.744089239</v>
      </c>
      <c r="T652">
        <f ca="1">IFERROR(IF(0=LEN(ReferenceData!$T$652),"",ReferenceData!$T$652),"")</f>
        <v>-3.4738362679999999</v>
      </c>
      <c r="U652">
        <f ca="1">IFERROR(IF(0=LEN(ReferenceData!$U$652),"",ReferenceData!$U$652),"")</f>
        <v>-9.1107833429999996</v>
      </c>
      <c r="V652">
        <f ca="1">IFERROR(IF(0=LEN(ReferenceData!$V$652),"",ReferenceData!$V$652),"")</f>
        <v>-7.9816380679999996</v>
      </c>
      <c r="W652">
        <f ca="1">IFERROR(IF(0=LEN(ReferenceData!$W$652),"",ReferenceData!$W$652),"")</f>
        <v>-9.0915232849999992</v>
      </c>
      <c r="X652">
        <f ca="1">IFERROR(IF(0=LEN(ReferenceData!$X$652),"",ReferenceData!$X$652),"")</f>
        <v>-4.0546116980000004</v>
      </c>
      <c r="Y652">
        <f ca="1">IFERROR(IF(0=LEN(ReferenceData!$Y$652),"",ReferenceData!$Y$652),"")</f>
        <v>-12.30713772</v>
      </c>
      <c r="Z652">
        <f ca="1">IFERROR(IF(0=LEN(ReferenceData!$Z$652),"",ReferenceData!$Z$652),"")</f>
        <v>0.868510118</v>
      </c>
      <c r="AA652">
        <f ca="1">IFERROR(IF(0=LEN(ReferenceData!$AA$652),"",ReferenceData!$AA$652),"")</f>
        <v>11.754325959999999</v>
      </c>
      <c r="AB652">
        <f ca="1">IFERROR(IF(0=LEN(ReferenceData!$AB$652),"",ReferenceData!$AB$652),"")</f>
        <v>2.8803802759999999</v>
      </c>
      <c r="AC652">
        <f ca="1">IFERROR(IF(0=LEN(ReferenceData!$AC$652),"",ReferenceData!$AC$652),"")</f>
        <v>17.141459229999999</v>
      </c>
      <c r="AD652">
        <f ca="1">IFERROR(IF(0=LEN(ReferenceData!$AD$652),"",ReferenceData!$AD$652),"")</f>
        <v>11.281060159999999</v>
      </c>
      <c r="AE652">
        <f ca="1">IFERROR(IF(0=LEN(ReferenceData!$AE$652),"",ReferenceData!$AE$652),"")</f>
        <v>4.3391727260000001</v>
      </c>
      <c r="AF652" t="str">
        <f ca="1">IFERROR(IF(0=LEN(ReferenceData!$AF$652),"",ReferenceData!$AF$652),"")</f>
        <v/>
      </c>
      <c r="AG652" t="str">
        <f ca="1">IFERROR(IF(0=LEN(ReferenceData!$AG$652),"",ReferenceData!$AG$652),"")</f>
        <v/>
      </c>
      <c r="AH652" t="str">
        <f ca="1">IFERROR(IF(0=LEN(ReferenceData!$AH$652),"",ReferenceData!$AH$652),"")</f>
        <v/>
      </c>
      <c r="AI652" t="str">
        <f ca="1">IFERROR(IF(0=LEN(ReferenceData!$AI$652),"",ReferenceData!$AI$652),"")</f>
        <v/>
      </c>
      <c r="AJ652" t="str">
        <f ca="1">IFERROR(IF(0=LEN(ReferenceData!$AJ$652),"",ReferenceData!$AJ$652),"")</f>
        <v/>
      </c>
      <c r="AK652" t="str">
        <f ca="1">IFERROR(IF(0=LEN(ReferenceData!$AK$652),"",ReferenceData!$AK$652),"")</f>
        <v/>
      </c>
      <c r="AL652" t="str">
        <f ca="1">IFERROR(IF(0=LEN(ReferenceData!$AL$652),"",ReferenceData!$AL$652),"")</f>
        <v/>
      </c>
      <c r="AM652" t="str">
        <f ca="1">IFERROR(IF(0=LEN(ReferenceData!$AM$652),"",ReferenceData!$AM$652),"")</f>
        <v/>
      </c>
      <c r="AN652" t="str">
        <f ca="1">IFERROR(IF(0=LEN(ReferenceData!$AN$652),"",ReferenceData!$AN$652),"")</f>
        <v/>
      </c>
      <c r="AO652" t="str">
        <f ca="1">IFERROR(IF(0=LEN(ReferenceData!$AO$652),"",ReferenceData!$AO$652),"")</f>
        <v/>
      </c>
      <c r="AP652" t="str">
        <f ca="1">IFERROR(IF(0=LEN(ReferenceData!$AP$652),"",ReferenceData!$AP$652),"")</f>
        <v/>
      </c>
      <c r="AQ652" t="str">
        <f ca="1">IFERROR(IF(0=LEN(ReferenceData!$AQ$652),"",ReferenceData!$AQ$652),"")</f>
        <v/>
      </c>
      <c r="AR652" t="str">
        <f ca="1">IFERROR(IF(0=LEN(ReferenceData!$AR$652),"",ReferenceData!$AR$652),"")</f>
        <v/>
      </c>
      <c r="AS652" t="str">
        <f ca="1">IFERROR(IF(0=LEN(ReferenceData!$AS$652),"",ReferenceData!$AS$652),"")</f>
        <v/>
      </c>
      <c r="AT652" t="str">
        <f ca="1">IFERROR(IF(0=LEN(ReferenceData!$AT$652),"",ReferenceData!$AT$652),"")</f>
        <v/>
      </c>
      <c r="AU652" t="str">
        <f ca="1">IFERROR(IF(0=LEN(ReferenceData!$AU$652),"",ReferenceData!$AU$652),"")</f>
        <v/>
      </c>
      <c r="AV652" t="str">
        <f ca="1">IFERROR(IF(0=LEN(ReferenceData!$AV$652),"",ReferenceData!$AV$652),"")</f>
        <v/>
      </c>
      <c r="AW652" t="str">
        <f ca="1">IFERROR(IF(0=LEN(ReferenceData!$AW$652),"",ReferenceData!$AW$652),"")</f>
        <v/>
      </c>
      <c r="AX652" t="str">
        <f ca="1">IFERROR(IF(0=LEN(ReferenceData!$AX$652),"",ReferenceData!$AX$652),"")</f>
        <v/>
      </c>
      <c r="AY652" t="str">
        <f ca="1">IFERROR(IF(0=LEN(ReferenceData!$AY$652),"",ReferenceData!$AY$652),"")</f>
        <v/>
      </c>
      <c r="AZ652" t="str">
        <f ca="1">IFERROR(IF(0=LEN(ReferenceData!$AZ$652),"",ReferenceData!$AZ$652),"")</f>
        <v/>
      </c>
      <c r="BA652" t="str">
        <f ca="1">IFERROR(IF(0=LEN(ReferenceData!$BA$652),"",ReferenceData!$BA$652),"")</f>
        <v/>
      </c>
      <c r="BB652" t="str">
        <f ca="1">IFERROR(IF(0=LEN(ReferenceData!$BB$652),"",ReferenceData!$BB$652),"")</f>
        <v/>
      </c>
      <c r="BC652" t="str">
        <f ca="1">IFERROR(IF(0=LEN(ReferenceData!$BC$652),"",ReferenceData!$BC$652),"")</f>
        <v/>
      </c>
      <c r="BD652" t="str">
        <f ca="1">IFERROR(IF(0=LEN(ReferenceData!$BD$652),"",ReferenceData!$BD$652),"")</f>
        <v/>
      </c>
      <c r="BE652" t="str">
        <f ca="1">IFERROR(IF(0=LEN(ReferenceData!$BE$652),"",ReferenceData!$BE$652),"")</f>
        <v/>
      </c>
      <c r="BF652" t="str">
        <f ca="1">IFERROR(IF(0=LEN(ReferenceData!$BF$652),"",ReferenceData!$BF$652),"")</f>
        <v/>
      </c>
      <c r="BG652" t="str">
        <f ca="1">IFERROR(IF(0=LEN(ReferenceData!$BG$652),"",ReferenceData!$BG$652),"")</f>
        <v/>
      </c>
      <c r="BH652" t="str">
        <f ca="1">IFERROR(IF(0=LEN(ReferenceData!$BH$652),"",ReferenceData!$BH$652),"")</f>
        <v/>
      </c>
      <c r="BI652" t="str">
        <f ca="1">IFERROR(IF(0=LEN(ReferenceData!$BI$652),"",ReferenceData!$BI$652),"")</f>
        <v/>
      </c>
      <c r="BJ652" t="str">
        <f ca="1">IFERROR(IF(0=LEN(ReferenceData!$BJ$652),"",ReferenceData!$BJ$652),"")</f>
        <v/>
      </c>
      <c r="BK652" t="str">
        <f ca="1">IFERROR(IF(0=LEN(ReferenceData!$BK$652),"",ReferenceData!$BK$652),"")</f>
        <v/>
      </c>
      <c r="BL652" t="str">
        <f ca="1">IFERROR(IF(0=LEN(ReferenceData!$BL$652),"",ReferenceData!$BL$652),"")</f>
        <v/>
      </c>
      <c r="BM652" t="str">
        <f ca="1">IFERROR(IF(0=LEN(ReferenceData!$BM$652),"",ReferenceData!$BM$652),"")</f>
        <v/>
      </c>
    </row>
    <row r="653" spans="1:65" x14ac:dyDescent="0.25">
      <c r="A653" t="str">
        <f>IFERROR(IF(0=LEN(ReferenceData!$A$653),"",ReferenceData!$A$653),"")</f>
        <v xml:space="preserve">    Subaru Corp</v>
      </c>
      <c r="B653" t="str">
        <f>IFERROR(IF(0=LEN(ReferenceData!$B$653),"",ReferenceData!$B$653),"")</f>
        <v>7270 JP Equity</v>
      </c>
      <c r="C653" t="str">
        <f>IFERROR(IF(0=LEN(ReferenceData!$C$653),"",ReferenceData!$C$653),"")</f>
        <v>RX539</v>
      </c>
      <c r="D653" t="str">
        <f>IFERROR(IF(0=LEN(ReferenceData!$D$653),"",ReferenceData!$D$653),"")</f>
        <v>T12_FCF_YIELD</v>
      </c>
      <c r="E653" t="str">
        <f>IFERROR(IF(0=LEN(ReferenceData!$E$653),"",ReferenceData!$E$653),"")</f>
        <v>Dynamic</v>
      </c>
      <c r="F653">
        <f ca="1">IFERROR(IF(0=LEN(ReferenceData!$F$653),"",ReferenceData!$F$653),"")</f>
        <v>2.8335801219999999</v>
      </c>
      <c r="G653">
        <f ca="1">IFERROR(IF(0=LEN(ReferenceData!$G$653),"",ReferenceData!$G$653),"")</f>
        <v>3.4123028409999998</v>
      </c>
      <c r="H653">
        <f ca="1">IFERROR(IF(0=LEN(ReferenceData!$H$653),"",ReferenceData!$H$653),"")</f>
        <v>2.6257764689999998</v>
      </c>
      <c r="I653">
        <f ca="1">IFERROR(IF(0=LEN(ReferenceData!$I$653),"",ReferenceData!$I$653),"")</f>
        <v>4.2040364559999999</v>
      </c>
      <c r="J653">
        <f ca="1">IFERROR(IF(0=LEN(ReferenceData!$J$653),"",ReferenceData!$J$653),"")</f>
        <v>8.0682930299999995</v>
      </c>
      <c r="K653">
        <f ca="1">IFERROR(IF(0=LEN(ReferenceData!$K$653),"",ReferenceData!$K$653),"")</f>
        <v>8.8649418860000004</v>
      </c>
      <c r="L653">
        <f ca="1">IFERROR(IF(0=LEN(ReferenceData!$L$653),"",ReferenceData!$L$653),"")</f>
        <v>5.8311723000000004</v>
      </c>
      <c r="M653">
        <f ca="1">IFERROR(IF(0=LEN(ReferenceData!$M$653),"",ReferenceData!$M$653),"")</f>
        <v>8.6907387319999998</v>
      </c>
      <c r="N653">
        <f ca="1">IFERROR(IF(0=LEN(ReferenceData!$N$653),"",ReferenceData!$N$653),"")</f>
        <v>5.7827220329999998</v>
      </c>
      <c r="O653">
        <f ca="1">IFERROR(IF(0=LEN(ReferenceData!$O$653),"",ReferenceData!$O$653),"")</f>
        <v>6.35792205</v>
      </c>
      <c r="P653">
        <f ca="1">IFERROR(IF(0=LEN(ReferenceData!$P$653),"",ReferenceData!$P$653),"")</f>
        <v>13.56254659</v>
      </c>
      <c r="Q653">
        <f ca="1">IFERROR(IF(0=LEN(ReferenceData!$Q$653),"",ReferenceData!$Q$653),"")</f>
        <v>16.060922949999998</v>
      </c>
      <c r="R653">
        <f ca="1">IFERROR(IF(0=LEN(ReferenceData!$R$653),"",ReferenceData!$R$653),"")</f>
        <v>15.666483339999999</v>
      </c>
      <c r="S653">
        <f ca="1">IFERROR(IF(0=LEN(ReferenceData!$S$653),"",ReferenceData!$S$653),"")</f>
        <v>11.353037520000001</v>
      </c>
      <c r="T653">
        <f ca="1">IFERROR(IF(0=LEN(ReferenceData!$T$653),"",ReferenceData!$T$653),"")</f>
        <v>10.253907610000001</v>
      </c>
      <c r="U653">
        <f ca="1">IFERROR(IF(0=LEN(ReferenceData!$U$653),"",ReferenceData!$U$653),"")</f>
        <v>8.4497745989999995</v>
      </c>
      <c r="V653">
        <f ca="1">IFERROR(IF(0=LEN(ReferenceData!$V$653),"",ReferenceData!$V$653),"")</f>
        <v>6.2842752150000001</v>
      </c>
      <c r="W653">
        <f ca="1">IFERROR(IF(0=LEN(ReferenceData!$W$653),"",ReferenceData!$W$653),"")</f>
        <v>5.0900342380000003</v>
      </c>
      <c r="X653">
        <f ca="1">IFERROR(IF(0=LEN(ReferenceData!$X$653),"",ReferenceData!$X$653),"")</f>
        <v>7.1988603189999996</v>
      </c>
      <c r="Y653">
        <f ca="1">IFERROR(IF(0=LEN(ReferenceData!$Y$653),"",ReferenceData!$Y$653),"")</f>
        <v>8.047264728</v>
      </c>
      <c r="Z653">
        <f ca="1">IFERROR(IF(0=LEN(ReferenceData!$Z$653),"",ReferenceData!$Z$653),"")</f>
        <v>11.237045159999999</v>
      </c>
      <c r="AA653">
        <f ca="1">IFERROR(IF(0=LEN(ReferenceData!$AA$653),"",ReferenceData!$AA$653),"")</f>
        <v>8.5346583739999993</v>
      </c>
      <c r="AB653">
        <f ca="1">IFERROR(IF(0=LEN(ReferenceData!$AB$653),"",ReferenceData!$AB$653),"")</f>
        <v>6.6737009680000003</v>
      </c>
      <c r="AC653">
        <f ca="1">IFERROR(IF(0=LEN(ReferenceData!$AC$653),"",ReferenceData!$AC$653),"")</f>
        <v>6.8485199970000004</v>
      </c>
      <c r="AD653">
        <f ca="1">IFERROR(IF(0=LEN(ReferenceData!$AD$653),"",ReferenceData!$AD$653),"")</f>
        <v>9.1938298520000004</v>
      </c>
      <c r="AE653">
        <f ca="1">IFERROR(IF(0=LEN(ReferenceData!$AE$653),"",ReferenceData!$AE$653),"")</f>
        <v>13.52432423</v>
      </c>
      <c r="AF653">
        <f ca="1">IFERROR(IF(0=LEN(ReferenceData!$AF$653),"",ReferenceData!$AF$653),"")</f>
        <v>23.574548</v>
      </c>
      <c r="AG653">
        <f ca="1">IFERROR(IF(0=LEN(ReferenceData!$AG$653),"",ReferenceData!$AG$653),"")</f>
        <v>12.19345459</v>
      </c>
      <c r="AH653">
        <f ca="1">IFERROR(IF(0=LEN(ReferenceData!$AH$653),"",ReferenceData!$AH$653),"")</f>
        <v>1.115239149</v>
      </c>
      <c r="AI653">
        <f ca="1">IFERROR(IF(0=LEN(ReferenceData!$AI$653),"",ReferenceData!$AI$653),"")</f>
        <v>3.3560176890000002</v>
      </c>
      <c r="AJ653">
        <f ca="1">IFERROR(IF(0=LEN(ReferenceData!$AJ$653),"",ReferenceData!$AJ$653),"")</f>
        <v>-0.93152305700000004</v>
      </c>
      <c r="AK653">
        <f ca="1">IFERROR(IF(0=LEN(ReferenceData!$AK$653),"",ReferenceData!$AK$653),"")</f>
        <v>8.5367365779999993</v>
      </c>
      <c r="AL653">
        <f ca="1">IFERROR(IF(0=LEN(ReferenceData!$AL$653),"",ReferenceData!$AL$653),"")</f>
        <v>22.277269369999999</v>
      </c>
      <c r="AM653">
        <f ca="1">IFERROR(IF(0=LEN(ReferenceData!$AM$653),"",ReferenceData!$AM$653),"")</f>
        <v>21.353778899999998</v>
      </c>
      <c r="AN653">
        <f ca="1">IFERROR(IF(0=LEN(ReferenceData!$AN$653),"",ReferenceData!$AN$653),"")</f>
        <v>29.33914025</v>
      </c>
      <c r="AO653">
        <f ca="1">IFERROR(IF(0=LEN(ReferenceData!$AO$653),"",ReferenceData!$AO$653),"")</f>
        <v>34.53391019</v>
      </c>
      <c r="AP653">
        <f ca="1">IFERROR(IF(0=LEN(ReferenceData!$AP$653),"",ReferenceData!$AP$653),"")</f>
        <v>32.63254233</v>
      </c>
      <c r="AQ653">
        <f ca="1">IFERROR(IF(0=LEN(ReferenceData!$AQ$653),"",ReferenceData!$AQ$653),"")</f>
        <v>5.389316022</v>
      </c>
      <c r="AR653">
        <f ca="1">IFERROR(IF(0=LEN(ReferenceData!$AR$653),"",ReferenceData!$AR$653),"")</f>
        <v>-2.227507675</v>
      </c>
      <c r="AS653">
        <f ca="1">IFERROR(IF(0=LEN(ReferenceData!$AS$653),"",ReferenceData!$AS$653),"")</f>
        <v>-15.67426275</v>
      </c>
      <c r="AT653">
        <f ca="1">IFERROR(IF(0=LEN(ReferenceData!$AT$653),"",ReferenceData!$AT$653),"")</f>
        <v>-34.165363929999998</v>
      </c>
      <c r="AU653" t="str">
        <f ca="1">IFERROR(IF(0=LEN(ReferenceData!$AU$653),"",ReferenceData!$AU$653),"")</f>
        <v/>
      </c>
      <c r="AV653" t="str">
        <f ca="1">IFERROR(IF(0=LEN(ReferenceData!$AV$653),"",ReferenceData!$AV$653),"")</f>
        <v/>
      </c>
      <c r="AW653" t="str">
        <f ca="1">IFERROR(IF(0=LEN(ReferenceData!$AW$653),"",ReferenceData!$AW$653),"")</f>
        <v/>
      </c>
      <c r="AX653" t="str">
        <f ca="1">IFERROR(IF(0=LEN(ReferenceData!$AX$653),"",ReferenceData!$AX$653),"")</f>
        <v/>
      </c>
      <c r="AY653" t="str">
        <f ca="1">IFERROR(IF(0=LEN(ReferenceData!$AY$653),"",ReferenceData!$AY$653),"")</f>
        <v/>
      </c>
      <c r="AZ653" t="str">
        <f ca="1">IFERROR(IF(0=LEN(ReferenceData!$AZ$653),"",ReferenceData!$AZ$653),"")</f>
        <v/>
      </c>
      <c r="BA653" t="str">
        <f ca="1">IFERROR(IF(0=LEN(ReferenceData!$BA$653),"",ReferenceData!$BA$653),"")</f>
        <v/>
      </c>
      <c r="BB653" t="str">
        <f ca="1">IFERROR(IF(0=LEN(ReferenceData!$BB$653),"",ReferenceData!$BB$653),"")</f>
        <v/>
      </c>
      <c r="BC653" t="str">
        <f ca="1">IFERROR(IF(0=LEN(ReferenceData!$BC$653),"",ReferenceData!$BC$653),"")</f>
        <v/>
      </c>
      <c r="BD653" t="str">
        <f ca="1">IFERROR(IF(0=LEN(ReferenceData!$BD$653),"",ReferenceData!$BD$653),"")</f>
        <v/>
      </c>
      <c r="BE653" t="str">
        <f ca="1">IFERROR(IF(0=LEN(ReferenceData!$BE$653),"",ReferenceData!$BE$653),"")</f>
        <v/>
      </c>
      <c r="BF653" t="str">
        <f ca="1">IFERROR(IF(0=LEN(ReferenceData!$BF$653),"",ReferenceData!$BF$653),"")</f>
        <v/>
      </c>
      <c r="BG653" t="str">
        <f ca="1">IFERROR(IF(0=LEN(ReferenceData!$BG$653),"",ReferenceData!$BG$653),"")</f>
        <v/>
      </c>
      <c r="BH653" t="str">
        <f ca="1">IFERROR(IF(0=LEN(ReferenceData!$BH$653),"",ReferenceData!$BH$653),"")</f>
        <v/>
      </c>
      <c r="BI653" t="str">
        <f ca="1">IFERROR(IF(0=LEN(ReferenceData!$BI$653),"",ReferenceData!$BI$653),"")</f>
        <v/>
      </c>
      <c r="BJ653" t="str">
        <f ca="1">IFERROR(IF(0=LEN(ReferenceData!$BJ$653),"",ReferenceData!$BJ$653),"")</f>
        <v/>
      </c>
      <c r="BK653" t="str">
        <f ca="1">IFERROR(IF(0=LEN(ReferenceData!$BK$653),"",ReferenceData!$BK$653),"")</f>
        <v/>
      </c>
      <c r="BL653" t="str">
        <f ca="1">IFERROR(IF(0=LEN(ReferenceData!$BL$653),"",ReferenceData!$BL$653),"")</f>
        <v/>
      </c>
      <c r="BM653" t="str">
        <f ca="1">IFERROR(IF(0=LEN(ReferenceData!$BM$653),"",ReferenceData!$BM$653),"")</f>
        <v/>
      </c>
    </row>
    <row r="654" spans="1:65" x14ac:dyDescent="0.25">
      <c r="A654" t="str">
        <f>IFERROR(IF(0=LEN(ReferenceData!$A$654),"",ReferenceData!$A$654),"")</f>
        <v xml:space="preserve">    Suzuki Motor Corp</v>
      </c>
      <c r="B654" t="str">
        <f>IFERROR(IF(0=LEN(ReferenceData!$B$654),"",ReferenceData!$B$654),"")</f>
        <v>7269 JP Equity</v>
      </c>
      <c r="C654" t="str">
        <f>IFERROR(IF(0=LEN(ReferenceData!$C$654),"",ReferenceData!$C$654),"")</f>
        <v>RX539</v>
      </c>
      <c r="D654" t="str">
        <f>IFERROR(IF(0=LEN(ReferenceData!$D$654),"",ReferenceData!$D$654),"")</f>
        <v>T12_FCF_YIELD</v>
      </c>
      <c r="E654" t="str">
        <f>IFERROR(IF(0=LEN(ReferenceData!$E$654),"",ReferenceData!$E$654),"")</f>
        <v>Dynamic</v>
      </c>
      <c r="F654">
        <f ca="1">IFERROR(IF(0=LEN(ReferenceData!$F$654),"",ReferenceData!$F$654),"")</f>
        <v>5.7336217270000001</v>
      </c>
      <c r="G654">
        <f ca="1">IFERROR(IF(0=LEN(ReferenceData!$G$654),"",ReferenceData!$G$654),"")</f>
        <v>5.9509370109999997</v>
      </c>
      <c r="H654">
        <f ca="1">IFERROR(IF(0=LEN(ReferenceData!$H$654),"",ReferenceData!$H$654),"")</f>
        <v>6.0535132210000002</v>
      </c>
      <c r="I654">
        <f ca="1">IFERROR(IF(0=LEN(ReferenceData!$I$654),"",ReferenceData!$I$654),"")</f>
        <v>8.7889719250000002</v>
      </c>
      <c r="J654">
        <f ca="1">IFERROR(IF(0=LEN(ReferenceData!$J$654),"",ReferenceData!$J$654),"")</f>
        <v>8.5059226020000001</v>
      </c>
      <c r="K654">
        <f ca="1">IFERROR(IF(0=LEN(ReferenceData!$K$654),"",ReferenceData!$K$654),"")</f>
        <v>6.2902854619999999</v>
      </c>
      <c r="L654">
        <f ca="1">IFERROR(IF(0=LEN(ReferenceData!$L$654),"",ReferenceData!$L$654),"")</f>
        <v>7.7270484269999997</v>
      </c>
      <c r="M654">
        <f ca="1">IFERROR(IF(0=LEN(ReferenceData!$M$654),"",ReferenceData!$M$654),"")</f>
        <v>4.4600176539999996</v>
      </c>
      <c r="N654">
        <f ca="1">IFERROR(IF(0=LEN(ReferenceData!$N$654),"",ReferenceData!$N$654),"")</f>
        <v>7.6787188869999996</v>
      </c>
      <c r="O654">
        <f ca="1">IFERROR(IF(0=LEN(ReferenceData!$O$654),"",ReferenceData!$O$654),"")</f>
        <v>9.6671046260000004</v>
      </c>
      <c r="P654">
        <f ca="1">IFERROR(IF(0=LEN(ReferenceData!$P$654),"",ReferenceData!$P$654),"")</f>
        <v>12.87593347</v>
      </c>
      <c r="Q654">
        <f ca="1">IFERROR(IF(0=LEN(ReferenceData!$Q$654),"",ReferenceData!$Q$654),"")</f>
        <v>11.542502649999999</v>
      </c>
      <c r="R654">
        <f ca="1">IFERROR(IF(0=LEN(ReferenceData!$R$654),"",ReferenceData!$R$654),"")</f>
        <v>8.8961655190000002</v>
      </c>
      <c r="S654">
        <f ca="1">IFERROR(IF(0=LEN(ReferenceData!$S$654),"",ReferenceData!$S$654),"")</f>
        <v>5.6891307429999998</v>
      </c>
      <c r="T654">
        <f ca="1">IFERROR(IF(0=LEN(ReferenceData!$T$654),"",ReferenceData!$T$654),"")</f>
        <v>3.1737769490000001</v>
      </c>
      <c r="U654">
        <f ca="1">IFERROR(IF(0=LEN(ReferenceData!$U$654),"",ReferenceData!$U$654),"")</f>
        <v>5.3257196689999997</v>
      </c>
      <c r="V654">
        <f ca="1">IFERROR(IF(0=LEN(ReferenceData!$V$654),"",ReferenceData!$V$654),"")</f>
        <v>3.0759577290000002</v>
      </c>
      <c r="W654">
        <f ca="1">IFERROR(IF(0=LEN(ReferenceData!$W$654),"",ReferenceData!$W$654),"")</f>
        <v>1.2705339950000001</v>
      </c>
      <c r="X654">
        <f ca="1">IFERROR(IF(0=LEN(ReferenceData!$X$654),"",ReferenceData!$X$654),"")</f>
        <v>2.678596642</v>
      </c>
      <c r="Y654">
        <f ca="1">IFERROR(IF(0=LEN(ReferenceData!$Y$654),"",ReferenceData!$Y$654),"")</f>
        <v>4.3765231299999998</v>
      </c>
      <c r="Z654">
        <f ca="1">IFERROR(IF(0=LEN(ReferenceData!$Z$654),"",ReferenceData!$Z$654),"")</f>
        <v>7.8186579869999999</v>
      </c>
      <c r="AA654">
        <f ca="1">IFERROR(IF(0=LEN(ReferenceData!$AA$654),"",ReferenceData!$AA$654),"")</f>
        <v>8.2414318350000002</v>
      </c>
      <c r="AB654">
        <f ca="1">IFERROR(IF(0=LEN(ReferenceData!$AB$654),"",ReferenceData!$AB$654),"")</f>
        <v>5.758408931</v>
      </c>
      <c r="AC654">
        <f ca="1">IFERROR(IF(0=LEN(ReferenceData!$AC$654),"",ReferenceData!$AC$654),"")</f>
        <v>1.427151692</v>
      </c>
      <c r="AD654">
        <f ca="1">IFERROR(IF(0=LEN(ReferenceData!$AD$654),"",ReferenceData!$AD$654),"")</f>
        <v>2.2060657680000002</v>
      </c>
      <c r="AE654">
        <f ca="1">IFERROR(IF(0=LEN(ReferenceData!$AE$654),"",ReferenceData!$AE$654),"")</f>
        <v>0.34717472900000002</v>
      </c>
      <c r="AF654">
        <f ca="1">IFERROR(IF(0=LEN(ReferenceData!$AF$654),"",ReferenceData!$AF$654),"")</f>
        <v>5.5439693419999996</v>
      </c>
      <c r="AG654">
        <f ca="1">IFERROR(IF(0=LEN(ReferenceData!$AG$654),"",ReferenceData!$AG$654),"")</f>
        <v>12.713070979999999</v>
      </c>
      <c r="AH654">
        <f ca="1">IFERROR(IF(0=LEN(ReferenceData!$AH$654),"",ReferenceData!$AH$654),"")</f>
        <v>9.6924737810000003</v>
      </c>
      <c r="AI654">
        <f ca="1">IFERROR(IF(0=LEN(ReferenceData!$AI$654),"",ReferenceData!$AI$654),"")</f>
        <v>14.20709847</v>
      </c>
      <c r="AJ654">
        <f ca="1">IFERROR(IF(0=LEN(ReferenceData!$AJ$654),"",ReferenceData!$AJ$654),"")</f>
        <v>5.8276196210000002</v>
      </c>
      <c r="AK654">
        <f ca="1">IFERROR(IF(0=LEN(ReferenceData!$AK$654),"",ReferenceData!$AK$654),"")</f>
        <v>2.8416385260000001</v>
      </c>
      <c r="AL654">
        <f ca="1">IFERROR(IF(0=LEN(ReferenceData!$AL$654),"",ReferenceData!$AL$654),"")</f>
        <v>9.2170857359999996</v>
      </c>
      <c r="AM654">
        <f ca="1">IFERROR(IF(0=LEN(ReferenceData!$AM$654),"",ReferenceData!$AM$654),"")</f>
        <v>9.3112469820000001</v>
      </c>
      <c r="AN654">
        <f ca="1">IFERROR(IF(0=LEN(ReferenceData!$AN$654),"",ReferenceData!$AN$654),"")</f>
        <v>23.510883110000002</v>
      </c>
      <c r="AO654">
        <f ca="1">IFERROR(IF(0=LEN(ReferenceData!$AO$654),"",ReferenceData!$AO$654),"")</f>
        <v>27.758274780000001</v>
      </c>
      <c r="AP654">
        <f ca="1">IFERROR(IF(0=LEN(ReferenceData!$AP$654),"",ReferenceData!$AP$654),"")</f>
        <v>17.619302439999998</v>
      </c>
      <c r="AQ654">
        <f ca="1">IFERROR(IF(0=LEN(ReferenceData!$AQ$654),"",ReferenceData!$AQ$654),"")</f>
        <v>7.8034464479999999</v>
      </c>
      <c r="AR654">
        <f ca="1">IFERROR(IF(0=LEN(ReferenceData!$AR$654),"",ReferenceData!$AR$654),"")</f>
        <v>-9.3631882869999998</v>
      </c>
      <c r="AS654">
        <f ca="1">IFERROR(IF(0=LEN(ReferenceData!$AS$654),"",ReferenceData!$AS$654),"")</f>
        <v>-16.221981370000002</v>
      </c>
      <c r="AT654">
        <f ca="1">IFERROR(IF(0=LEN(ReferenceData!$AT$654),"",ReferenceData!$AT$654),"")</f>
        <v>-19.161011609999999</v>
      </c>
      <c r="AU654">
        <f ca="1">IFERROR(IF(0=LEN(ReferenceData!$AU$654),"",ReferenceData!$AU$654),"")</f>
        <v>-25.77199409</v>
      </c>
      <c r="AV654">
        <f ca="1">IFERROR(IF(0=LEN(ReferenceData!$AV$654),"",ReferenceData!$AV$654),"")</f>
        <v>-3.3009314769999998</v>
      </c>
      <c r="AW654">
        <f ca="1">IFERROR(IF(0=LEN(ReferenceData!$AW$654),"",ReferenceData!$AW$654),"")</f>
        <v>-2.7832429950000002</v>
      </c>
      <c r="AX654">
        <f ca="1">IFERROR(IF(0=LEN(ReferenceData!$AX$654),"",ReferenceData!$AX$654),"")</f>
        <v>-1.5687769359999999</v>
      </c>
      <c r="AY654">
        <f ca="1">IFERROR(IF(0=LEN(ReferenceData!$AY$654),"",ReferenceData!$AY$654),"")</f>
        <v>0.92523696600000005</v>
      </c>
      <c r="AZ654">
        <f ca="1">IFERROR(IF(0=LEN(ReferenceData!$AZ$654),"",ReferenceData!$AZ$654),"")</f>
        <v>0.94298101999999995</v>
      </c>
      <c r="BA654">
        <f ca="1">IFERROR(IF(0=LEN(ReferenceData!$BA$654),"",ReferenceData!$BA$654),"")</f>
        <v>1.59224772</v>
      </c>
      <c r="BB654">
        <f ca="1">IFERROR(IF(0=LEN(ReferenceData!$BB$654),"",ReferenceData!$BB$654),"")</f>
        <v>1.7542908189999999</v>
      </c>
      <c r="BC654">
        <f ca="1">IFERROR(IF(0=LEN(ReferenceData!$BC$654),"",ReferenceData!$BC$654),"")</f>
        <v>3.3012774189999998</v>
      </c>
      <c r="BD654">
        <f ca="1">IFERROR(IF(0=LEN(ReferenceData!$BD$654),"",ReferenceData!$BD$654),"")</f>
        <v>3.6446646189999998</v>
      </c>
      <c r="BE654">
        <f ca="1">IFERROR(IF(0=LEN(ReferenceData!$BE$654),"",ReferenceData!$BE$654),"")</f>
        <v>5.6978452879999999</v>
      </c>
      <c r="BF654">
        <f ca="1">IFERROR(IF(0=LEN(ReferenceData!$BF$654),"",ReferenceData!$BF$654),"")</f>
        <v>5.3323872259999998</v>
      </c>
      <c r="BG654">
        <f ca="1">IFERROR(IF(0=LEN(ReferenceData!$BG$654),"",ReferenceData!$BG$654),"")</f>
        <v>4.184336139</v>
      </c>
      <c r="BH654">
        <f ca="1">IFERROR(IF(0=LEN(ReferenceData!$BH$654),"",ReferenceData!$BH$654),"")</f>
        <v>5.4861578509999998</v>
      </c>
      <c r="BI654">
        <f ca="1">IFERROR(IF(0=LEN(ReferenceData!$BI$654),"",ReferenceData!$BI$654),"")</f>
        <v>8.0092287990000006</v>
      </c>
      <c r="BJ654">
        <f ca="1">IFERROR(IF(0=LEN(ReferenceData!$BJ$654),"",ReferenceData!$BJ$654),"")</f>
        <v>7.9565938259999998</v>
      </c>
      <c r="BK654">
        <f ca="1">IFERROR(IF(0=LEN(ReferenceData!$BK$654),"",ReferenceData!$BK$654),"")</f>
        <v>8.9620821900000003</v>
      </c>
      <c r="BL654">
        <f ca="1">IFERROR(IF(0=LEN(ReferenceData!$BL$654),"",ReferenceData!$BL$654),"")</f>
        <v>9.087659682</v>
      </c>
      <c r="BM654">
        <f ca="1">IFERROR(IF(0=LEN(ReferenceData!$BM$654),"",ReferenceData!$BM$654),"")</f>
        <v>6.5619480780000004</v>
      </c>
    </row>
    <row r="655" spans="1:65" x14ac:dyDescent="0.25">
      <c r="A655" t="str">
        <f>IFERROR(IF(0=LEN(ReferenceData!$A$655),"",ReferenceData!$A$655),"")</f>
        <v xml:space="preserve">    Tata Motors Ltd</v>
      </c>
      <c r="B655" t="str">
        <f>IFERROR(IF(0=LEN(ReferenceData!$B$655),"",ReferenceData!$B$655),"")</f>
        <v>TTMT IN Equity</v>
      </c>
      <c r="C655" t="str">
        <f>IFERROR(IF(0=LEN(ReferenceData!$C$655),"",ReferenceData!$C$655),"")</f>
        <v>RX539</v>
      </c>
      <c r="D655" t="str">
        <f>IFERROR(IF(0=LEN(ReferenceData!$D$655),"",ReferenceData!$D$655),"")</f>
        <v>T12_FCF_YIELD</v>
      </c>
      <c r="E655" t="str">
        <f>IFERROR(IF(0=LEN(ReferenceData!$E$655),"",ReferenceData!$E$655),"")</f>
        <v>Dynamic</v>
      </c>
      <c r="F655" t="str">
        <f ca="1">IFERROR(IF(0=LEN(ReferenceData!$F$655),"",ReferenceData!$F$655),"")</f>
        <v/>
      </c>
      <c r="G655" t="str">
        <f ca="1">IFERROR(IF(0=LEN(ReferenceData!$G$655),"",ReferenceData!$G$655),"")</f>
        <v/>
      </c>
      <c r="H655" t="str">
        <f ca="1">IFERROR(IF(0=LEN(ReferenceData!$H$655),"",ReferenceData!$H$655),"")</f>
        <v/>
      </c>
      <c r="I655" t="str">
        <f ca="1">IFERROR(IF(0=LEN(ReferenceData!$I$655),"",ReferenceData!$I$655),"")</f>
        <v/>
      </c>
      <c r="J655" t="str">
        <f ca="1">IFERROR(IF(0=LEN(ReferenceData!$J$655),"",ReferenceData!$J$655),"")</f>
        <v/>
      </c>
      <c r="K655" t="str">
        <f ca="1">IFERROR(IF(0=LEN(ReferenceData!$K$655),"",ReferenceData!$K$655),"")</f>
        <v/>
      </c>
      <c r="L655" t="str">
        <f ca="1">IFERROR(IF(0=LEN(ReferenceData!$L$655),"",ReferenceData!$L$655),"")</f>
        <v/>
      </c>
      <c r="M655" t="str">
        <f ca="1">IFERROR(IF(0=LEN(ReferenceData!$M$655),"",ReferenceData!$M$655),"")</f>
        <v/>
      </c>
      <c r="N655" t="str">
        <f ca="1">IFERROR(IF(0=LEN(ReferenceData!$N$655),"",ReferenceData!$N$655),"")</f>
        <v/>
      </c>
      <c r="O655" t="str">
        <f ca="1">IFERROR(IF(0=LEN(ReferenceData!$O$655),"",ReferenceData!$O$655),"")</f>
        <v/>
      </c>
      <c r="P655" t="str">
        <f ca="1">IFERROR(IF(0=LEN(ReferenceData!$P$655),"",ReferenceData!$P$655),"")</f>
        <v/>
      </c>
      <c r="Q655" t="str">
        <f ca="1">IFERROR(IF(0=LEN(ReferenceData!$Q$655),"",ReferenceData!$Q$655),"")</f>
        <v/>
      </c>
      <c r="R655" t="str">
        <f ca="1">IFERROR(IF(0=LEN(ReferenceData!$R$655),"",ReferenceData!$R$655),"")</f>
        <v/>
      </c>
      <c r="S655" t="str">
        <f ca="1">IFERROR(IF(0=LEN(ReferenceData!$S$655),"",ReferenceData!$S$655),"")</f>
        <v/>
      </c>
      <c r="T655" t="str">
        <f ca="1">IFERROR(IF(0=LEN(ReferenceData!$T$655),"",ReferenceData!$T$655),"")</f>
        <v/>
      </c>
      <c r="U655" t="str">
        <f ca="1">IFERROR(IF(0=LEN(ReferenceData!$U$655),"",ReferenceData!$U$655),"")</f>
        <v/>
      </c>
      <c r="V655" t="str">
        <f ca="1">IFERROR(IF(0=LEN(ReferenceData!$V$655),"",ReferenceData!$V$655),"")</f>
        <v/>
      </c>
      <c r="W655" t="str">
        <f ca="1">IFERROR(IF(0=LEN(ReferenceData!$W$655),"",ReferenceData!$W$655),"")</f>
        <v/>
      </c>
      <c r="X655" t="str">
        <f ca="1">IFERROR(IF(0=LEN(ReferenceData!$X$655),"",ReferenceData!$X$655),"")</f>
        <v/>
      </c>
      <c r="Y655" t="str">
        <f ca="1">IFERROR(IF(0=LEN(ReferenceData!$Y$655),"",ReferenceData!$Y$655),"")</f>
        <v/>
      </c>
      <c r="Z655" t="str">
        <f ca="1">IFERROR(IF(0=LEN(ReferenceData!$Z$655),"",ReferenceData!$Z$655),"")</f>
        <v/>
      </c>
      <c r="AA655" t="str">
        <f ca="1">IFERROR(IF(0=LEN(ReferenceData!$AA$655),"",ReferenceData!$AA$655),"")</f>
        <v/>
      </c>
      <c r="AB655" t="str">
        <f ca="1">IFERROR(IF(0=LEN(ReferenceData!$AB$655),"",ReferenceData!$AB$655),"")</f>
        <v/>
      </c>
      <c r="AC655" t="str">
        <f ca="1">IFERROR(IF(0=LEN(ReferenceData!$AC$655),"",ReferenceData!$AC$655),"")</f>
        <v/>
      </c>
      <c r="AD655" t="str">
        <f ca="1">IFERROR(IF(0=LEN(ReferenceData!$AD$655),"",ReferenceData!$AD$655),"")</f>
        <v/>
      </c>
      <c r="AE655" t="str">
        <f ca="1">IFERROR(IF(0=LEN(ReferenceData!$AE$655),"",ReferenceData!$AE$655),"")</f>
        <v/>
      </c>
      <c r="AF655" t="str">
        <f ca="1">IFERROR(IF(0=LEN(ReferenceData!$AF$655),"",ReferenceData!$AF$655),"")</f>
        <v/>
      </c>
      <c r="AG655" t="str">
        <f ca="1">IFERROR(IF(0=LEN(ReferenceData!$AG$655),"",ReferenceData!$AG$655),"")</f>
        <v/>
      </c>
      <c r="AH655" t="str">
        <f ca="1">IFERROR(IF(0=LEN(ReferenceData!$AH$655),"",ReferenceData!$AH$655),"")</f>
        <v/>
      </c>
      <c r="AI655" t="str">
        <f ca="1">IFERROR(IF(0=LEN(ReferenceData!$AI$655),"",ReferenceData!$AI$655),"")</f>
        <v/>
      </c>
      <c r="AJ655" t="str">
        <f ca="1">IFERROR(IF(0=LEN(ReferenceData!$AJ$655),"",ReferenceData!$AJ$655),"")</f>
        <v/>
      </c>
      <c r="AK655" t="str">
        <f ca="1">IFERROR(IF(0=LEN(ReferenceData!$AK$655),"",ReferenceData!$AK$655),"")</f>
        <v/>
      </c>
      <c r="AL655" t="str">
        <f ca="1">IFERROR(IF(0=LEN(ReferenceData!$AL$655),"",ReferenceData!$AL$655),"")</f>
        <v/>
      </c>
      <c r="AM655" t="str">
        <f ca="1">IFERROR(IF(0=LEN(ReferenceData!$AM$655),"",ReferenceData!$AM$655),"")</f>
        <v/>
      </c>
      <c r="AN655" t="str">
        <f ca="1">IFERROR(IF(0=LEN(ReferenceData!$AN$655),"",ReferenceData!$AN$655),"")</f>
        <v/>
      </c>
      <c r="AO655" t="str">
        <f ca="1">IFERROR(IF(0=LEN(ReferenceData!$AO$655),"",ReferenceData!$AO$655),"")</f>
        <v/>
      </c>
      <c r="AP655" t="str">
        <f ca="1">IFERROR(IF(0=LEN(ReferenceData!$AP$655),"",ReferenceData!$AP$655),"")</f>
        <v/>
      </c>
      <c r="AQ655" t="str">
        <f ca="1">IFERROR(IF(0=LEN(ReferenceData!$AQ$655),"",ReferenceData!$AQ$655),"")</f>
        <v/>
      </c>
      <c r="AR655" t="str">
        <f ca="1">IFERROR(IF(0=LEN(ReferenceData!$AR$655),"",ReferenceData!$AR$655),"")</f>
        <v/>
      </c>
      <c r="AS655" t="str">
        <f ca="1">IFERROR(IF(0=LEN(ReferenceData!$AS$655),"",ReferenceData!$AS$655),"")</f>
        <v/>
      </c>
      <c r="AT655" t="str">
        <f ca="1">IFERROR(IF(0=LEN(ReferenceData!$AT$655),"",ReferenceData!$AT$655),"")</f>
        <v/>
      </c>
      <c r="AU655" t="str">
        <f ca="1">IFERROR(IF(0=LEN(ReferenceData!$AU$655),"",ReferenceData!$AU$655),"")</f>
        <v/>
      </c>
      <c r="AV655" t="str">
        <f ca="1">IFERROR(IF(0=LEN(ReferenceData!$AV$655),"",ReferenceData!$AV$655),"")</f>
        <v/>
      </c>
      <c r="AW655" t="str">
        <f ca="1">IFERROR(IF(0=LEN(ReferenceData!$AW$655),"",ReferenceData!$AW$655),"")</f>
        <v/>
      </c>
      <c r="AX655" t="str">
        <f ca="1">IFERROR(IF(0=LEN(ReferenceData!$AX$655),"",ReferenceData!$AX$655),"")</f>
        <v/>
      </c>
      <c r="AY655" t="str">
        <f ca="1">IFERROR(IF(0=LEN(ReferenceData!$AY$655),"",ReferenceData!$AY$655),"")</f>
        <v/>
      </c>
      <c r="AZ655" t="str">
        <f ca="1">IFERROR(IF(0=LEN(ReferenceData!$AZ$655),"",ReferenceData!$AZ$655),"")</f>
        <v/>
      </c>
      <c r="BA655" t="str">
        <f ca="1">IFERROR(IF(0=LEN(ReferenceData!$BA$655),"",ReferenceData!$BA$655),"")</f>
        <v/>
      </c>
      <c r="BB655" t="str">
        <f ca="1">IFERROR(IF(0=LEN(ReferenceData!$BB$655),"",ReferenceData!$BB$655),"")</f>
        <v/>
      </c>
      <c r="BC655" t="str">
        <f ca="1">IFERROR(IF(0=LEN(ReferenceData!$BC$655),"",ReferenceData!$BC$655),"")</f>
        <v/>
      </c>
      <c r="BD655" t="str">
        <f ca="1">IFERROR(IF(0=LEN(ReferenceData!$BD$655),"",ReferenceData!$BD$655),"")</f>
        <v/>
      </c>
      <c r="BE655" t="str">
        <f ca="1">IFERROR(IF(0=LEN(ReferenceData!$BE$655),"",ReferenceData!$BE$655),"")</f>
        <v/>
      </c>
      <c r="BF655" t="str">
        <f ca="1">IFERROR(IF(0=LEN(ReferenceData!$BF$655),"",ReferenceData!$BF$655),"")</f>
        <v/>
      </c>
      <c r="BG655" t="str">
        <f ca="1">IFERROR(IF(0=LEN(ReferenceData!$BG$655),"",ReferenceData!$BG$655),"")</f>
        <v/>
      </c>
      <c r="BH655" t="str">
        <f ca="1">IFERROR(IF(0=LEN(ReferenceData!$BH$655),"",ReferenceData!$BH$655),"")</f>
        <v/>
      </c>
      <c r="BI655" t="str">
        <f ca="1">IFERROR(IF(0=LEN(ReferenceData!$BI$655),"",ReferenceData!$BI$655),"")</f>
        <v/>
      </c>
      <c r="BJ655" t="str">
        <f ca="1">IFERROR(IF(0=LEN(ReferenceData!$BJ$655),"",ReferenceData!$BJ$655),"")</f>
        <v/>
      </c>
      <c r="BK655" t="str">
        <f ca="1">IFERROR(IF(0=LEN(ReferenceData!$BK$655),"",ReferenceData!$BK$655),"")</f>
        <v/>
      </c>
      <c r="BL655" t="str">
        <f ca="1">IFERROR(IF(0=LEN(ReferenceData!$BL$655),"",ReferenceData!$BL$655),"")</f>
        <v/>
      </c>
      <c r="BM655" t="str">
        <f ca="1">IFERROR(IF(0=LEN(ReferenceData!$BM$655),"",ReferenceData!$BM$655),"")</f>
        <v/>
      </c>
    </row>
    <row r="656" spans="1:65" x14ac:dyDescent="0.25">
      <c r="A656" t="str">
        <f>IFERROR(IF(0=LEN(ReferenceData!$A$656),"",ReferenceData!$A$656),"")</f>
        <v xml:space="preserve">    Tesla Inc</v>
      </c>
      <c r="B656" t="str">
        <f>IFERROR(IF(0=LEN(ReferenceData!$B$656),"",ReferenceData!$B$656),"")</f>
        <v>TSLA US Equity</v>
      </c>
      <c r="C656" t="str">
        <f>IFERROR(IF(0=LEN(ReferenceData!$C$656),"",ReferenceData!$C$656),"")</f>
        <v>RX539</v>
      </c>
      <c r="D656" t="str">
        <f>IFERROR(IF(0=LEN(ReferenceData!$D$656),"",ReferenceData!$D$656),"")</f>
        <v>T12_FCF_YIELD</v>
      </c>
      <c r="E656" t="str">
        <f>IFERROR(IF(0=LEN(ReferenceData!$E$656),"",ReferenceData!$E$656),"")</f>
        <v>Dynamic</v>
      </c>
      <c r="F656">
        <f ca="1">IFERROR(IF(0=LEN(ReferenceData!$F$656),"",ReferenceData!$F$656),"")</f>
        <v>-5.7445980000000001E-3</v>
      </c>
      <c r="G656">
        <f ca="1">IFERROR(IF(0=LEN(ReferenceData!$G$656),"",ReferenceData!$G$656),"")</f>
        <v>-5.1126219999999998E-3</v>
      </c>
      <c r="H656">
        <f ca="1">IFERROR(IF(0=LEN(ReferenceData!$H$656),"",ReferenceData!$H$656),"")</f>
        <v>-2.6330663360000002</v>
      </c>
      <c r="I656">
        <f ca="1">IFERROR(IF(0=LEN(ReferenceData!$I$656),"",ReferenceData!$I$656),"")</f>
        <v>-5.8041693309999998</v>
      </c>
      <c r="J656">
        <f ca="1">IFERROR(IF(0=LEN(ReferenceData!$J$656),"",ReferenceData!$J$656),"")</f>
        <v>-8.6911360500000008</v>
      </c>
      <c r="K656">
        <f ca="1">IFERROR(IF(0=LEN(ReferenceData!$K$656),"",ReferenceData!$K$656),"")</f>
        <v>-6.6417416139999998</v>
      </c>
      <c r="L656">
        <f ca="1">IFERROR(IF(0=LEN(ReferenceData!$L$656),"",ReferenceData!$L$656),"")</f>
        <v>-7.3227590659999997</v>
      </c>
      <c r="M656">
        <f ca="1">IFERROR(IF(0=LEN(ReferenceData!$M$656),"",ReferenceData!$M$656),"")</f>
        <v>-4.3359295920000003</v>
      </c>
      <c r="N656">
        <f ca="1">IFERROR(IF(0=LEN(ReferenceData!$N$656),"",ReferenceData!$N$656),"")</f>
        <v>-3.4382145990000001</v>
      </c>
      <c r="O656">
        <f ca="1">IFERROR(IF(0=LEN(ReferenceData!$O$656),"",ReferenceData!$O$656),"")</f>
        <v>-4.0804961740000003</v>
      </c>
      <c r="P656">
        <f ca="1">IFERROR(IF(0=LEN(ReferenceData!$P$656),"",ReferenceData!$P$656),"")</f>
        <v>-2.8870990669999999</v>
      </c>
      <c r="Q656">
        <f ca="1">IFERROR(IF(0=LEN(ReferenceData!$Q$656),"",ReferenceData!$Q$656),"")</f>
        <v>-5.2701761200000004</v>
      </c>
      <c r="R656">
        <f ca="1">IFERROR(IF(0=LEN(ReferenceData!$R$656),"",ReferenceData!$R$656),"")</f>
        <v>-6.8153687459999999</v>
      </c>
      <c r="S656">
        <f ca="1">IFERROR(IF(0=LEN(ReferenceData!$S$656),"",ReferenceData!$S$656),"")</f>
        <v>-6.8704250719999997</v>
      </c>
      <c r="T656">
        <f ca="1">IFERROR(IF(0=LEN(ReferenceData!$T$656),"",ReferenceData!$T$656),"")</f>
        <v>-6.7178066489999999</v>
      </c>
      <c r="U656">
        <f ca="1">IFERROR(IF(0=LEN(ReferenceData!$U$656),"",ReferenceData!$U$656),"")</f>
        <v>-5.5730468379999998</v>
      </c>
      <c r="V656">
        <f ca="1">IFERROR(IF(0=LEN(ReferenceData!$V$656),"",ReferenceData!$V$656),"")</f>
        <v>-6.3367150939999997</v>
      </c>
      <c r="W656">
        <f ca="1">IFERROR(IF(0=LEN(ReferenceData!$W$656),"",ReferenceData!$W$656),"")</f>
        <v>-3.6836258270000002</v>
      </c>
      <c r="X656">
        <f ca="1">IFERROR(IF(0=LEN(ReferenceData!$X$656),"",ReferenceData!$X$656),"")</f>
        <v>-1.7444309849999999</v>
      </c>
      <c r="Y656">
        <f ca="1">IFERROR(IF(0=LEN(ReferenceData!$Y$656),"",ReferenceData!$Y$656),"")</f>
        <v>-0.62792130999999995</v>
      </c>
      <c r="Z656">
        <f ca="1">IFERROR(IF(0=LEN(ReferenceData!$Z$656),"",ReferenceData!$Z$656),"")</f>
        <v>-0.31209500600000001</v>
      </c>
      <c r="AA656">
        <f ca="1">IFERROR(IF(0=LEN(ReferenceData!$AA$656),"",ReferenceData!$AA$656),"")</f>
        <v>3.7588762999999997E-2</v>
      </c>
      <c r="AB656">
        <f ca="1">IFERROR(IF(0=LEN(ReferenceData!$AB$656),"",ReferenceData!$AB$656),"")</f>
        <v>-0.59257683999999999</v>
      </c>
      <c r="AC656">
        <f ca="1">IFERROR(IF(0=LEN(ReferenceData!$AC$656),"",ReferenceData!$AC$656),"")</f>
        <v>-2.5892180960000002</v>
      </c>
      <c r="AD656">
        <f ca="1">IFERROR(IF(0=LEN(ReferenceData!$AD$656),"",ReferenceData!$AD$656),"")</f>
        <v>-8.7779527300000009</v>
      </c>
      <c r="AE656">
        <f ca="1">IFERROR(IF(0=LEN(ReferenceData!$AE$656),"",ReferenceData!$AE$656),"")</f>
        <v>-13.11233709</v>
      </c>
      <c r="AF656">
        <f ca="1">IFERROR(IF(0=LEN(ReferenceData!$AF$656),"",ReferenceData!$AF$656),"")</f>
        <v>-14.70271827</v>
      </c>
      <c r="AG656">
        <f ca="1">IFERROR(IF(0=LEN(ReferenceData!$AG$656),"",ReferenceData!$AG$656),"")</f>
        <v>-12.515405489999999</v>
      </c>
      <c r="AH656">
        <f ca="1">IFERROR(IF(0=LEN(ReferenceData!$AH$656),"",ReferenceData!$AH$656),"")</f>
        <v>-9.409997164</v>
      </c>
      <c r="AI656">
        <f ca="1">IFERROR(IF(0=LEN(ReferenceData!$AI$656),"",ReferenceData!$AI$656),"")</f>
        <v>-10.48289093</v>
      </c>
      <c r="AJ656">
        <f ca="1">IFERROR(IF(0=LEN(ReferenceData!$AJ$656),"",ReferenceData!$AJ$656),"")</f>
        <v>-11.128943120000001</v>
      </c>
      <c r="AK656">
        <f ca="1">IFERROR(IF(0=LEN(ReferenceData!$AK$656),"",ReferenceData!$AK$656),"")</f>
        <v>-8.0533357050000003</v>
      </c>
      <c r="AL656">
        <f ca="1">IFERROR(IF(0=LEN(ReferenceData!$AL$656),"",ReferenceData!$AL$656),"")</f>
        <v>-7.5217417920000003</v>
      </c>
      <c r="AM656">
        <f ca="1">IFERROR(IF(0=LEN(ReferenceData!$AM$656),"",ReferenceData!$AM$656),"")</f>
        <v>-6.764638368</v>
      </c>
      <c r="AN656">
        <f ca="1">IFERROR(IF(0=LEN(ReferenceData!$AN$656),"",ReferenceData!$AN$656),"")</f>
        <v>-7.9820029689999998</v>
      </c>
      <c r="AO656" t="str">
        <f ca="1">IFERROR(IF(0=LEN(ReferenceData!$AO$656),"",ReferenceData!$AO$656),"")</f>
        <v/>
      </c>
      <c r="AP656" t="str">
        <f ca="1">IFERROR(IF(0=LEN(ReferenceData!$AP$656),"",ReferenceData!$AP$656),"")</f>
        <v/>
      </c>
      <c r="AQ656" t="str">
        <f ca="1">IFERROR(IF(0=LEN(ReferenceData!$AQ$656),"",ReferenceData!$AQ$656),"")</f>
        <v/>
      </c>
      <c r="AR656" t="str">
        <f ca="1">IFERROR(IF(0=LEN(ReferenceData!$AR$656),"",ReferenceData!$AR$656),"")</f>
        <v/>
      </c>
      <c r="AS656" t="str">
        <f ca="1">IFERROR(IF(0=LEN(ReferenceData!$AS$656),"",ReferenceData!$AS$656),"")</f>
        <v/>
      </c>
      <c r="AT656" t="str">
        <f ca="1">IFERROR(IF(0=LEN(ReferenceData!$AT$656),"",ReferenceData!$AT$656),"")</f>
        <v/>
      </c>
      <c r="AU656" t="str">
        <f ca="1">IFERROR(IF(0=LEN(ReferenceData!$AU$656),"",ReferenceData!$AU$656),"")</f>
        <v/>
      </c>
      <c r="AV656" t="str">
        <f ca="1">IFERROR(IF(0=LEN(ReferenceData!$AV$656),"",ReferenceData!$AV$656),"")</f>
        <v/>
      </c>
      <c r="AW656" t="str">
        <f ca="1">IFERROR(IF(0=LEN(ReferenceData!$AW$656),"",ReferenceData!$AW$656),"")</f>
        <v/>
      </c>
      <c r="AX656" t="str">
        <f ca="1">IFERROR(IF(0=LEN(ReferenceData!$AX$656),"",ReferenceData!$AX$656),"")</f>
        <v/>
      </c>
      <c r="AY656" t="str">
        <f ca="1">IFERROR(IF(0=LEN(ReferenceData!$AY$656),"",ReferenceData!$AY$656),"")</f>
        <v/>
      </c>
      <c r="AZ656" t="str">
        <f ca="1">IFERROR(IF(0=LEN(ReferenceData!$AZ$656),"",ReferenceData!$AZ$656),"")</f>
        <v/>
      </c>
      <c r="BA656" t="str">
        <f ca="1">IFERROR(IF(0=LEN(ReferenceData!$BA$656),"",ReferenceData!$BA$656),"")</f>
        <v/>
      </c>
      <c r="BB656" t="str">
        <f ca="1">IFERROR(IF(0=LEN(ReferenceData!$BB$656),"",ReferenceData!$BB$656),"")</f>
        <v/>
      </c>
      <c r="BC656" t="str">
        <f ca="1">IFERROR(IF(0=LEN(ReferenceData!$BC$656),"",ReferenceData!$BC$656),"")</f>
        <v/>
      </c>
      <c r="BD656" t="str">
        <f ca="1">IFERROR(IF(0=LEN(ReferenceData!$BD$656),"",ReferenceData!$BD$656),"")</f>
        <v/>
      </c>
      <c r="BE656" t="str">
        <f ca="1">IFERROR(IF(0=LEN(ReferenceData!$BE$656),"",ReferenceData!$BE$656),"")</f>
        <v/>
      </c>
      <c r="BF656" t="str">
        <f ca="1">IFERROR(IF(0=LEN(ReferenceData!$BF$656),"",ReferenceData!$BF$656),"")</f>
        <v/>
      </c>
      <c r="BG656" t="str">
        <f ca="1">IFERROR(IF(0=LEN(ReferenceData!$BG$656),"",ReferenceData!$BG$656),"")</f>
        <v/>
      </c>
      <c r="BH656" t="str">
        <f ca="1">IFERROR(IF(0=LEN(ReferenceData!$BH$656),"",ReferenceData!$BH$656),"")</f>
        <v/>
      </c>
      <c r="BI656" t="str">
        <f ca="1">IFERROR(IF(0=LEN(ReferenceData!$BI$656),"",ReferenceData!$BI$656),"")</f>
        <v/>
      </c>
      <c r="BJ656" t="str">
        <f ca="1">IFERROR(IF(0=LEN(ReferenceData!$BJ$656),"",ReferenceData!$BJ$656),"")</f>
        <v/>
      </c>
      <c r="BK656" t="str">
        <f ca="1">IFERROR(IF(0=LEN(ReferenceData!$BK$656),"",ReferenceData!$BK$656),"")</f>
        <v/>
      </c>
      <c r="BL656" t="str">
        <f ca="1">IFERROR(IF(0=LEN(ReferenceData!$BL$656),"",ReferenceData!$BL$656),"")</f>
        <v/>
      </c>
      <c r="BM656" t="str">
        <f ca="1">IFERROR(IF(0=LEN(ReferenceData!$BM$656),"",ReferenceData!$BM$656),"")</f>
        <v/>
      </c>
    </row>
    <row r="657" spans="1:65" x14ac:dyDescent="0.25">
      <c r="A657" t="str">
        <f>IFERROR(IF(0=LEN(ReferenceData!$A$657),"",ReferenceData!$A$657),"")</f>
        <v xml:space="preserve">    Tianjin Faw Xiali Automobile Co Ltd</v>
      </c>
      <c r="B657" t="str">
        <f>IFERROR(IF(0=LEN(ReferenceData!$B$657),"",ReferenceData!$B$657),"")</f>
        <v>000927 CH Equity</v>
      </c>
      <c r="C657" t="str">
        <f>IFERROR(IF(0=LEN(ReferenceData!$C$657),"",ReferenceData!$C$657),"")</f>
        <v>RX539</v>
      </c>
      <c r="D657" t="str">
        <f>IFERROR(IF(0=LEN(ReferenceData!$D$657),"",ReferenceData!$D$657),"")</f>
        <v>T12_FCF_YIELD</v>
      </c>
      <c r="E657" t="str">
        <f>IFERROR(IF(0=LEN(ReferenceData!$E$657),"",ReferenceData!$E$657),"")</f>
        <v>Dynamic</v>
      </c>
      <c r="F657" t="str">
        <f ca="1">IFERROR(IF(0=LEN(ReferenceData!$F$657),"",ReferenceData!$F$657),"")</f>
        <v/>
      </c>
      <c r="G657" t="str">
        <f ca="1">IFERROR(IF(0=LEN(ReferenceData!$G$657),"",ReferenceData!$G$657),"")</f>
        <v/>
      </c>
      <c r="H657" t="str">
        <f ca="1">IFERROR(IF(0=LEN(ReferenceData!$H$657),"",ReferenceData!$H$657),"")</f>
        <v/>
      </c>
      <c r="I657">
        <f ca="1">IFERROR(IF(0=LEN(ReferenceData!$I$657),"",ReferenceData!$I$657),"")</f>
        <v>-29.55589238</v>
      </c>
      <c r="J657">
        <f ca="1">IFERROR(IF(0=LEN(ReferenceData!$J$657),"",ReferenceData!$J$657),"")</f>
        <v>-27.735948270000002</v>
      </c>
      <c r="K657">
        <f ca="1">IFERROR(IF(0=LEN(ReferenceData!$K$657),"",ReferenceData!$K$657),"")</f>
        <v>-25.535816830000002</v>
      </c>
      <c r="L657">
        <f ca="1">IFERROR(IF(0=LEN(ReferenceData!$L$657),"",ReferenceData!$L$657),"")</f>
        <v>-20.483506250000001</v>
      </c>
      <c r="M657">
        <f ca="1">IFERROR(IF(0=LEN(ReferenceData!$M$657),"",ReferenceData!$M$657),"")</f>
        <v>-26.65176949</v>
      </c>
      <c r="N657">
        <f ca="1">IFERROR(IF(0=LEN(ReferenceData!$N$657),"",ReferenceData!$N$657),"")</f>
        <v>-14.504467569999999</v>
      </c>
      <c r="O657">
        <f ca="1">IFERROR(IF(0=LEN(ReferenceData!$O$657),"",ReferenceData!$O$657),"")</f>
        <v>-19.42063817</v>
      </c>
      <c r="P657">
        <f ca="1">IFERROR(IF(0=LEN(ReferenceData!$P$657),"",ReferenceData!$P$657),"")</f>
        <v>-24.153808560000002</v>
      </c>
      <c r="Q657">
        <f ca="1">IFERROR(IF(0=LEN(ReferenceData!$Q$657),"",ReferenceData!$Q$657),"")</f>
        <v>-22.7346751</v>
      </c>
      <c r="R657">
        <f ca="1">IFERROR(IF(0=LEN(ReferenceData!$R$657),"",ReferenceData!$R$657),"")</f>
        <v>-20.603289360000002</v>
      </c>
      <c r="S657">
        <f ca="1">IFERROR(IF(0=LEN(ReferenceData!$S$657),"",ReferenceData!$S$657),"")</f>
        <v>-14.640539349999999</v>
      </c>
      <c r="T657">
        <f ca="1">IFERROR(IF(0=LEN(ReferenceData!$T$657),"",ReferenceData!$T$657),"")</f>
        <v>-11.89493747</v>
      </c>
      <c r="U657">
        <f ca="1">IFERROR(IF(0=LEN(ReferenceData!$U$657),"",ReferenceData!$U$657),"")</f>
        <v>-6.8167860669999998</v>
      </c>
      <c r="V657">
        <f ca="1">IFERROR(IF(0=LEN(ReferenceData!$V$657),"",ReferenceData!$V$657),"")</f>
        <v>-3.9041196220000001</v>
      </c>
      <c r="W657">
        <f ca="1">IFERROR(IF(0=LEN(ReferenceData!$W$657),"",ReferenceData!$W$657),"")</f>
        <v>-6.8083319339999999</v>
      </c>
      <c r="X657">
        <f ca="1">IFERROR(IF(0=LEN(ReferenceData!$X$657),"",ReferenceData!$X$657),"")</f>
        <v>-11.04614449</v>
      </c>
      <c r="Y657">
        <f ca="1">IFERROR(IF(0=LEN(ReferenceData!$Y$657),"",ReferenceData!$Y$657),"")</f>
        <v>-24.243099860000001</v>
      </c>
      <c r="Z657">
        <f ca="1">IFERROR(IF(0=LEN(ReferenceData!$Z$657),"",ReferenceData!$Z$657),"")</f>
        <v>-13.66568418</v>
      </c>
      <c r="AA657">
        <f ca="1">IFERROR(IF(0=LEN(ReferenceData!$AA$657),"",ReferenceData!$AA$657),"")</f>
        <v>-10.30309484</v>
      </c>
      <c r="AB657">
        <f ca="1">IFERROR(IF(0=LEN(ReferenceData!$AB$657),"",ReferenceData!$AB$657),"")</f>
        <v>-5.3680966699999999</v>
      </c>
      <c r="AC657">
        <f ca="1">IFERROR(IF(0=LEN(ReferenceData!$AC$657),"",ReferenceData!$AC$657),"")</f>
        <v>3.1719708029999998</v>
      </c>
      <c r="AD657">
        <f ca="1">IFERROR(IF(0=LEN(ReferenceData!$AD$657),"",ReferenceData!$AD$657),"")</f>
        <v>-2.1419200999999999E-2</v>
      </c>
      <c r="AE657">
        <f ca="1">IFERROR(IF(0=LEN(ReferenceData!$AE$657),"",ReferenceData!$AE$657),"")</f>
        <v>-1.96340603</v>
      </c>
      <c r="AF657">
        <f ca="1">IFERROR(IF(0=LEN(ReferenceData!$AF$657),"",ReferenceData!$AF$657),"")</f>
        <v>-6.9654294329999997</v>
      </c>
      <c r="AG657">
        <f ca="1">IFERROR(IF(0=LEN(ReferenceData!$AG$657),"",ReferenceData!$AG$657),"")</f>
        <v>-6.0767241570000001</v>
      </c>
      <c r="AH657">
        <f ca="1">IFERROR(IF(0=LEN(ReferenceData!$AH$657),"",ReferenceData!$AH$657),"")</f>
        <v>-3.2465233100000002</v>
      </c>
      <c r="AI657">
        <f ca="1">IFERROR(IF(0=LEN(ReferenceData!$AI$657),"",ReferenceData!$AI$657),"")</f>
        <v>-3.4438921840000001</v>
      </c>
      <c r="AJ657">
        <f ca="1">IFERROR(IF(0=LEN(ReferenceData!$AJ$657),"",ReferenceData!$AJ$657),"")</f>
        <v>-6.349920322</v>
      </c>
      <c r="AK657">
        <f ca="1">IFERROR(IF(0=LEN(ReferenceData!$AK$657),"",ReferenceData!$AK$657),"")</f>
        <v>-7.5376566929999997</v>
      </c>
      <c r="AL657">
        <f ca="1">IFERROR(IF(0=LEN(ReferenceData!$AL$657),"",ReferenceData!$AL$657),"")</f>
        <v>-13.39933748</v>
      </c>
      <c r="AM657">
        <f ca="1">IFERROR(IF(0=LEN(ReferenceData!$AM$657),"",ReferenceData!$AM$657),"")</f>
        <v>-10.057221609999999</v>
      </c>
      <c r="AN657">
        <f ca="1">IFERROR(IF(0=LEN(ReferenceData!$AN$657),"",ReferenceData!$AN$657),"")</f>
        <v>-8.2939348170000002</v>
      </c>
      <c r="AO657">
        <f ca="1">IFERROR(IF(0=LEN(ReferenceData!$AO$657),"",ReferenceData!$AO$657),"")</f>
        <v>0.855627366</v>
      </c>
      <c r="AP657">
        <f ca="1">IFERROR(IF(0=LEN(ReferenceData!$AP$657),"",ReferenceData!$AP$657),"")</f>
        <v>0.68137178499999995</v>
      </c>
      <c r="AQ657">
        <f ca="1">IFERROR(IF(0=LEN(ReferenceData!$AQ$657),"",ReferenceData!$AQ$657),"")</f>
        <v>0.287932786</v>
      </c>
      <c r="AR657">
        <f ca="1">IFERROR(IF(0=LEN(ReferenceData!$AR$657),"",ReferenceData!$AR$657),"")</f>
        <v>5.0414034140000004</v>
      </c>
      <c r="AS657">
        <f ca="1">IFERROR(IF(0=LEN(ReferenceData!$AS$657),"",ReferenceData!$AS$657),"")</f>
        <v>-5.1462030959999998</v>
      </c>
      <c r="AT657">
        <f ca="1">IFERROR(IF(0=LEN(ReferenceData!$AT$657),"",ReferenceData!$AT$657),"")</f>
        <v>-7.7065690120000001</v>
      </c>
      <c r="AU657">
        <f ca="1">IFERROR(IF(0=LEN(ReferenceData!$AU$657),"",ReferenceData!$AU$657),"")</f>
        <v>-10.265639609999999</v>
      </c>
      <c r="AV657">
        <f ca="1">IFERROR(IF(0=LEN(ReferenceData!$AV$657),"",ReferenceData!$AV$657),"")</f>
        <v>-10.363581379999999</v>
      </c>
      <c r="AW657">
        <f ca="1">IFERROR(IF(0=LEN(ReferenceData!$AW$657),"",ReferenceData!$AW$657),"")</f>
        <v>-4.0344796699999996</v>
      </c>
      <c r="AX657">
        <f ca="1">IFERROR(IF(0=LEN(ReferenceData!$AX$657),"",ReferenceData!$AX$657),"")</f>
        <v>-0.161093876</v>
      </c>
      <c r="AY657">
        <f ca="1">IFERROR(IF(0=LEN(ReferenceData!$AY$657),"",ReferenceData!$AY$657),"")</f>
        <v>-0.14859072800000001</v>
      </c>
      <c r="AZ657">
        <f ca="1">IFERROR(IF(0=LEN(ReferenceData!$AZ$657),"",ReferenceData!$AZ$657),"")</f>
        <v>-0.32138343200000002</v>
      </c>
      <c r="BA657">
        <f ca="1">IFERROR(IF(0=LEN(ReferenceData!$BA$657),"",ReferenceData!$BA$657),"")</f>
        <v>7.7613499350000001</v>
      </c>
      <c r="BB657">
        <f ca="1">IFERROR(IF(0=LEN(ReferenceData!$BB$657),"",ReferenceData!$BB$657),"")</f>
        <v>7.6684906660000003</v>
      </c>
      <c r="BC657">
        <f ca="1">IFERROR(IF(0=LEN(ReferenceData!$BC$657),"",ReferenceData!$BC$657),"")</f>
        <v>18.855257259999998</v>
      </c>
      <c r="BD657">
        <f ca="1">IFERROR(IF(0=LEN(ReferenceData!$BD$657),"",ReferenceData!$BD$657),"")</f>
        <v>27.2946955</v>
      </c>
      <c r="BE657">
        <f ca="1">IFERROR(IF(0=LEN(ReferenceData!$BE$657),"",ReferenceData!$BE$657),"")</f>
        <v>10.63938823</v>
      </c>
      <c r="BF657">
        <f ca="1">IFERROR(IF(0=LEN(ReferenceData!$BF$657),"",ReferenceData!$BF$657),"")</f>
        <v>13.154524990000001</v>
      </c>
      <c r="BG657">
        <f ca="1">IFERROR(IF(0=LEN(ReferenceData!$BG$657),"",ReferenceData!$BG$657),"")</f>
        <v>16.221893550000001</v>
      </c>
      <c r="BH657">
        <f ca="1">IFERROR(IF(0=LEN(ReferenceData!$BH$657),"",ReferenceData!$BH$657),"")</f>
        <v>15.75390773</v>
      </c>
      <c r="BI657">
        <f ca="1">IFERROR(IF(0=LEN(ReferenceData!$BI$657),"",ReferenceData!$BI$657),"")</f>
        <v>15.77844121</v>
      </c>
      <c r="BJ657">
        <f ca="1">IFERROR(IF(0=LEN(ReferenceData!$BJ$657),"",ReferenceData!$BJ$657),"")</f>
        <v>6.1430337440000002</v>
      </c>
      <c r="BK657">
        <f ca="1">IFERROR(IF(0=LEN(ReferenceData!$BK$657),"",ReferenceData!$BK$657),"")</f>
        <v>9.3937428000000003E-2</v>
      </c>
      <c r="BL657">
        <f ca="1">IFERROR(IF(0=LEN(ReferenceData!$BL$657),"",ReferenceData!$BL$657),"")</f>
        <v>-6.0407000039999996</v>
      </c>
      <c r="BM657">
        <f ca="1">IFERROR(IF(0=LEN(ReferenceData!$BM$657),"",ReferenceData!$BM$657),"")</f>
        <v>-0.68620788300000002</v>
      </c>
    </row>
    <row r="658" spans="1:65" x14ac:dyDescent="0.25">
      <c r="A658" t="str">
        <f>IFERROR(IF(0=LEN(ReferenceData!$A$658),"",ReferenceData!$A$658),"")</f>
        <v xml:space="preserve">    Tofas Turk Otomobil Fabrikasi AS</v>
      </c>
      <c r="B658" t="str">
        <f>IFERROR(IF(0=LEN(ReferenceData!$B$658),"",ReferenceData!$B$658),"")</f>
        <v>TOASOTRY EO Equity</v>
      </c>
      <c r="C658" t="str">
        <f>IFERROR(IF(0=LEN(ReferenceData!$C$658),"",ReferenceData!$C$658),"")</f>
        <v>RX539</v>
      </c>
      <c r="D658" t="str">
        <f>IFERROR(IF(0=LEN(ReferenceData!$D$658),"",ReferenceData!$D$658),"")</f>
        <v>T12_FCF_YIELD</v>
      </c>
      <c r="E658" t="str">
        <f>IFERROR(IF(0=LEN(ReferenceData!$E$658),"",ReferenceData!$E$658),"")</f>
        <v>Dynamic</v>
      </c>
      <c r="F658">
        <f ca="1">IFERROR(IF(0=LEN(ReferenceData!$F$658),"",ReferenceData!$F$658),"")</f>
        <v>10.460040060000001</v>
      </c>
      <c r="G658">
        <f ca="1">IFERROR(IF(0=LEN(ReferenceData!$G$658),"",ReferenceData!$G$658),"")</f>
        <v>12.378745629999999</v>
      </c>
      <c r="H658">
        <f ca="1">IFERROR(IF(0=LEN(ReferenceData!$H$658),"",ReferenceData!$H$658),"")</f>
        <v>-0.96137497500000002</v>
      </c>
      <c r="I658">
        <f ca="1">IFERROR(IF(0=LEN(ReferenceData!$I$658),"",ReferenceData!$I$658),"")</f>
        <v>9.3972154089999993</v>
      </c>
      <c r="J658">
        <f ca="1">IFERROR(IF(0=LEN(ReferenceData!$J$658),"",ReferenceData!$J$658),"")</f>
        <v>6.9318712720000004</v>
      </c>
      <c r="K658">
        <f ca="1">IFERROR(IF(0=LEN(ReferenceData!$K$658),"",ReferenceData!$K$658),"")</f>
        <v>4.6326529350000003</v>
      </c>
      <c r="L658">
        <f ca="1">IFERROR(IF(0=LEN(ReferenceData!$L$658),"",ReferenceData!$L$658),"")</f>
        <v>10.591282270000001</v>
      </c>
      <c r="M658">
        <f ca="1">IFERROR(IF(0=LEN(ReferenceData!$M$658),"",ReferenceData!$M$658),"")</f>
        <v>11.062726469999999</v>
      </c>
      <c r="N658">
        <f ca="1">IFERROR(IF(0=LEN(ReferenceData!$N$658),"",ReferenceData!$N$658),"")</f>
        <v>11.274283430000001</v>
      </c>
      <c r="O658">
        <f ca="1">IFERROR(IF(0=LEN(ReferenceData!$O$658),"",ReferenceData!$O$658),"")</f>
        <v>2.7494237400000001</v>
      </c>
      <c r="P658">
        <f ca="1">IFERROR(IF(0=LEN(ReferenceData!$P$658),"",ReferenceData!$P$658),"")</f>
        <v>0.54632898200000002</v>
      </c>
      <c r="Q658">
        <f ca="1">IFERROR(IF(0=LEN(ReferenceData!$Q$658),"",ReferenceData!$Q$658),"")</f>
        <v>-3.6201775409999999</v>
      </c>
      <c r="R658">
        <f ca="1">IFERROR(IF(0=LEN(ReferenceData!$R$658),"",ReferenceData!$R$658),"")</f>
        <v>-0.52291334300000003</v>
      </c>
      <c r="S658">
        <f ca="1">IFERROR(IF(0=LEN(ReferenceData!$S$658),"",ReferenceData!$S$658),"")</f>
        <v>0.86712395900000006</v>
      </c>
      <c r="T658">
        <f ca="1">IFERROR(IF(0=LEN(ReferenceData!$T$658),"",ReferenceData!$T$658),"")</f>
        <v>-9.2223175029999993</v>
      </c>
      <c r="U658">
        <f ca="1">IFERROR(IF(0=LEN(ReferenceData!$U$658),"",ReferenceData!$U$658),"")</f>
        <v>-6.4227868959999999</v>
      </c>
      <c r="V658">
        <f ca="1">IFERROR(IF(0=LEN(ReferenceData!$V$658),"",ReferenceData!$V$658),"")</f>
        <v>-9.0330540090000007</v>
      </c>
      <c r="W658">
        <f ca="1">IFERROR(IF(0=LEN(ReferenceData!$W$658),"",ReferenceData!$W$658),"")</f>
        <v>-1.942558002</v>
      </c>
      <c r="X658">
        <f ca="1">IFERROR(IF(0=LEN(ReferenceData!$X$658),"",ReferenceData!$X$658),"")</f>
        <v>3.705750015</v>
      </c>
      <c r="Y658">
        <f ca="1">IFERROR(IF(0=LEN(ReferenceData!$Y$658),"",ReferenceData!$Y$658),"")</f>
        <v>2.9305856170000002</v>
      </c>
      <c r="Z658">
        <f ca="1">IFERROR(IF(0=LEN(ReferenceData!$Z$658),"",ReferenceData!$Z$658),"")</f>
        <v>5.0525927020000001</v>
      </c>
      <c r="AA658">
        <f ca="1">IFERROR(IF(0=LEN(ReferenceData!$AA$658),"",ReferenceData!$AA$658),"")</f>
        <v>11.50934367</v>
      </c>
      <c r="AB658">
        <f ca="1">IFERROR(IF(0=LEN(ReferenceData!$AB$658),"",ReferenceData!$AB$658),"")</f>
        <v>14.860618349999999</v>
      </c>
      <c r="AC658">
        <f ca="1">IFERROR(IF(0=LEN(ReferenceData!$AC$658),"",ReferenceData!$AC$658),"")</f>
        <v>13.93175138</v>
      </c>
      <c r="AD658">
        <f ca="1">IFERROR(IF(0=LEN(ReferenceData!$AD$658),"",ReferenceData!$AD$658),"")</f>
        <v>18.906375449999999</v>
      </c>
      <c r="AE658">
        <f ca="1">IFERROR(IF(0=LEN(ReferenceData!$AE$658),"",ReferenceData!$AE$658),"")</f>
        <v>12.68715785</v>
      </c>
      <c r="AF658">
        <f ca="1">IFERROR(IF(0=LEN(ReferenceData!$AF$658),"",ReferenceData!$AF$658),"")</f>
        <v>12.81541848</v>
      </c>
      <c r="AG658">
        <f ca="1">IFERROR(IF(0=LEN(ReferenceData!$AG$658),"",ReferenceData!$AG$658),"")</f>
        <v>9.0598966549999993</v>
      </c>
      <c r="AH658">
        <f ca="1">IFERROR(IF(0=LEN(ReferenceData!$AH$658),"",ReferenceData!$AH$658),"")</f>
        <v>-7.1279789830000002</v>
      </c>
      <c r="AI658">
        <f ca="1">IFERROR(IF(0=LEN(ReferenceData!$AI$658),"",ReferenceData!$AI$658),"")</f>
        <v>-7.9421960460000003</v>
      </c>
      <c r="AJ658">
        <f ca="1">IFERROR(IF(0=LEN(ReferenceData!$AJ$658),"",ReferenceData!$AJ$658),"")</f>
        <v>-8.316355476</v>
      </c>
      <c r="AK658">
        <f ca="1">IFERROR(IF(0=LEN(ReferenceData!$AK$658),"",ReferenceData!$AK$658),"")</f>
        <v>-0.75672982700000002</v>
      </c>
      <c r="AL658">
        <f ca="1">IFERROR(IF(0=LEN(ReferenceData!$AL$658),"",ReferenceData!$AL$658),"")</f>
        <v>-0.20600919300000001</v>
      </c>
      <c r="AM658">
        <f ca="1">IFERROR(IF(0=LEN(ReferenceData!$AM$658),"",ReferenceData!$AM$658),"")</f>
        <v>5.308819046</v>
      </c>
      <c r="AN658">
        <f ca="1">IFERROR(IF(0=LEN(ReferenceData!$AN$658),"",ReferenceData!$AN$658),"")</f>
        <v>11.01669313</v>
      </c>
      <c r="AO658">
        <f ca="1">IFERROR(IF(0=LEN(ReferenceData!$AO$658),"",ReferenceData!$AO$658),"")</f>
        <v>12.108777529999999</v>
      </c>
      <c r="AP658">
        <f ca="1">IFERROR(IF(0=LEN(ReferenceData!$AP$658),"",ReferenceData!$AP$658),"")</f>
        <v>24.100105450000001</v>
      </c>
      <c r="AQ658">
        <f ca="1">IFERROR(IF(0=LEN(ReferenceData!$AQ$658),"",ReferenceData!$AQ$658),"")</f>
        <v>17.980424209999999</v>
      </c>
      <c r="AR658">
        <f ca="1">IFERROR(IF(0=LEN(ReferenceData!$AR$658),"",ReferenceData!$AR$658),"")</f>
        <v>-4.2322956520000004</v>
      </c>
      <c r="AS658">
        <f ca="1">IFERROR(IF(0=LEN(ReferenceData!$AS$658),"",ReferenceData!$AS$658),"")</f>
        <v>-14.540518</v>
      </c>
      <c r="AT658">
        <f ca="1">IFERROR(IF(0=LEN(ReferenceData!$AT$658),"",ReferenceData!$AT$658),"")</f>
        <v>-71.762738150000004</v>
      </c>
      <c r="AU658">
        <f ca="1">IFERROR(IF(0=LEN(ReferenceData!$AU$658),"",ReferenceData!$AU$658),"")</f>
        <v>-102.8462608</v>
      </c>
      <c r="AV658">
        <f ca="1">IFERROR(IF(0=LEN(ReferenceData!$AV$658),"",ReferenceData!$AV$658),"")</f>
        <v>-30.853656369999999</v>
      </c>
      <c r="AW658">
        <f ca="1">IFERROR(IF(0=LEN(ReferenceData!$AW$658),"",ReferenceData!$AW$658),"")</f>
        <v>-16.61971917</v>
      </c>
      <c r="AX658">
        <f ca="1">IFERROR(IF(0=LEN(ReferenceData!$AX$658),"",ReferenceData!$AX$658),"")</f>
        <v>-16.787724220000001</v>
      </c>
      <c r="AY658">
        <f ca="1">IFERROR(IF(0=LEN(ReferenceData!$AY$658),"",ReferenceData!$AY$658),"")</f>
        <v>-15.248393050000001</v>
      </c>
      <c r="AZ658">
        <f ca="1">IFERROR(IF(0=LEN(ReferenceData!$AZ$658),"",ReferenceData!$AZ$658),"")</f>
        <v>-16.69709362</v>
      </c>
      <c r="BA658">
        <f ca="1">IFERROR(IF(0=LEN(ReferenceData!$BA$658),"",ReferenceData!$BA$658),"")</f>
        <v>-19.076129269999999</v>
      </c>
      <c r="BB658">
        <f ca="1">IFERROR(IF(0=LEN(ReferenceData!$BB$658),"",ReferenceData!$BB$658),"")</f>
        <v>-12.81592618</v>
      </c>
      <c r="BC658">
        <f ca="1">IFERROR(IF(0=LEN(ReferenceData!$BC$658),"",ReferenceData!$BC$658),"")</f>
        <v>-5.9968577449999998</v>
      </c>
      <c r="BD658">
        <f ca="1">IFERROR(IF(0=LEN(ReferenceData!$BD$658),"",ReferenceData!$BD$658),"")</f>
        <v>-4.1509846860000001</v>
      </c>
      <c r="BE658">
        <f ca="1">IFERROR(IF(0=LEN(ReferenceData!$BE$658),"",ReferenceData!$BE$658),"")</f>
        <v>8.4604857500000001</v>
      </c>
      <c r="BF658">
        <f ca="1">IFERROR(IF(0=LEN(ReferenceData!$BF$658),"",ReferenceData!$BF$658),"")</f>
        <v>7.5985465110000003</v>
      </c>
      <c r="BG658">
        <f ca="1">IFERROR(IF(0=LEN(ReferenceData!$BG$658),"",ReferenceData!$BG$658),"")</f>
        <v>9.3129594349999998</v>
      </c>
      <c r="BH658" t="str">
        <f ca="1">IFERROR(IF(0=LEN(ReferenceData!$BH$658),"",ReferenceData!$BH$658),"")</f>
        <v/>
      </c>
      <c r="BI658" t="str">
        <f ca="1">IFERROR(IF(0=LEN(ReferenceData!$BI$658),"",ReferenceData!$BI$658),"")</f>
        <v/>
      </c>
      <c r="BJ658" t="str">
        <f ca="1">IFERROR(IF(0=LEN(ReferenceData!$BJ$658),"",ReferenceData!$BJ$658),"")</f>
        <v/>
      </c>
      <c r="BK658" t="str">
        <f ca="1">IFERROR(IF(0=LEN(ReferenceData!$BK$658),"",ReferenceData!$BK$658),"")</f>
        <v/>
      </c>
      <c r="BL658" t="str">
        <f ca="1">IFERROR(IF(0=LEN(ReferenceData!$BL$658),"",ReferenceData!$BL$658),"")</f>
        <v/>
      </c>
      <c r="BM658" t="str">
        <f ca="1">IFERROR(IF(0=LEN(ReferenceData!$BM$658),"",ReferenceData!$BM$658),"")</f>
        <v/>
      </c>
    </row>
    <row r="659" spans="1:65" x14ac:dyDescent="0.25">
      <c r="A659" t="str">
        <f>IFERROR(IF(0=LEN(ReferenceData!$A$659),"",ReferenceData!$A$659),"")</f>
        <v xml:space="preserve">    Toyota Motor Corp</v>
      </c>
      <c r="B659" t="str">
        <f>IFERROR(IF(0=LEN(ReferenceData!$B$659),"",ReferenceData!$B$659),"")</f>
        <v>7203 JP Equity</v>
      </c>
      <c r="C659" t="str">
        <f>IFERROR(IF(0=LEN(ReferenceData!$C$659),"",ReferenceData!$C$659),"")</f>
        <v>RX539</v>
      </c>
      <c r="D659" t="str">
        <f>IFERROR(IF(0=LEN(ReferenceData!$D$659),"",ReferenceData!$D$659),"")</f>
        <v>T12_FCF_YIELD</v>
      </c>
      <c r="E659" t="str">
        <f>IFERROR(IF(0=LEN(ReferenceData!$E$659),"",ReferenceData!$E$659),"")</f>
        <v>Dynamic</v>
      </c>
      <c r="F659">
        <f ca="1">IFERROR(IF(0=LEN(ReferenceData!$F$659),"",ReferenceData!$F$659),"")</f>
        <v>12.58789075</v>
      </c>
      <c r="G659">
        <f ca="1">IFERROR(IF(0=LEN(ReferenceData!$G$659),"",ReferenceData!$G$659),"")</f>
        <v>13.20490569</v>
      </c>
      <c r="H659">
        <f ca="1">IFERROR(IF(0=LEN(ReferenceData!$H$659),"",ReferenceData!$H$659),"")</f>
        <v>11.094836669999999</v>
      </c>
      <c r="I659">
        <f ca="1">IFERROR(IF(0=LEN(ReferenceData!$I$659),"",ReferenceData!$I$659),"")</f>
        <v>10.80763073</v>
      </c>
      <c r="J659">
        <f ca="1">IFERROR(IF(0=LEN(ReferenceData!$J$659),"",ReferenceData!$J$659),"")</f>
        <v>13.10685909</v>
      </c>
      <c r="K659">
        <f ca="1">IFERROR(IF(0=LEN(ReferenceData!$K$659),"",ReferenceData!$K$659),"")</f>
        <v>12.16230833</v>
      </c>
      <c r="L659">
        <f ca="1">IFERROR(IF(0=LEN(ReferenceData!$L$659),"",ReferenceData!$L$659),"")</f>
        <v>12.18577279</v>
      </c>
      <c r="M659">
        <f ca="1">IFERROR(IF(0=LEN(ReferenceData!$M$659),"",ReferenceData!$M$659),"")</f>
        <v>11.163380030000001</v>
      </c>
      <c r="N659">
        <f ca="1">IFERROR(IF(0=LEN(ReferenceData!$N$659),"",ReferenceData!$N$659),"")</f>
        <v>11.110096520000001</v>
      </c>
      <c r="O659">
        <f ca="1">IFERROR(IF(0=LEN(ReferenceData!$O$659),"",ReferenceData!$O$659),"")</f>
        <v>10.47081835</v>
      </c>
      <c r="P659">
        <f ca="1">IFERROR(IF(0=LEN(ReferenceData!$P$659),"",ReferenceData!$P$659),"")</f>
        <v>14.68936605</v>
      </c>
      <c r="Q659">
        <f ca="1">IFERROR(IF(0=LEN(ReferenceData!$Q$659),"",ReferenceData!$Q$659),"")</f>
        <v>19.37876872</v>
      </c>
      <c r="R659">
        <f ca="1">IFERROR(IF(0=LEN(ReferenceData!$R$659),"",ReferenceData!$R$659),"")</f>
        <v>15.997333190000001</v>
      </c>
      <c r="S659">
        <f ca="1">IFERROR(IF(0=LEN(ReferenceData!$S$659),"",ReferenceData!$S$659),"")</f>
        <v>12.339192499999999</v>
      </c>
      <c r="T659">
        <f ca="1">IFERROR(IF(0=LEN(ReferenceData!$T$659),"",ReferenceData!$T$659),"")</f>
        <v>11.297300140000001</v>
      </c>
      <c r="U659">
        <f ca="1">IFERROR(IF(0=LEN(ReferenceData!$U$659),"",ReferenceData!$U$659),"")</f>
        <v>9.5347950289999996</v>
      </c>
      <c r="V659">
        <f ca="1">IFERROR(IF(0=LEN(ReferenceData!$V$659),"",ReferenceData!$V$659),"")</f>
        <v>8.862696691</v>
      </c>
      <c r="W659">
        <f ca="1">IFERROR(IF(0=LEN(ReferenceData!$W$659),"",ReferenceData!$W$659),"")</f>
        <v>8.5101877649999995</v>
      </c>
      <c r="X659">
        <f ca="1">IFERROR(IF(0=LEN(ReferenceData!$X$659),"",ReferenceData!$X$659),"")</f>
        <v>10.580159220000001</v>
      </c>
      <c r="Y659">
        <f ca="1">IFERROR(IF(0=LEN(ReferenceData!$Y$659),"",ReferenceData!$Y$659),"")</f>
        <v>12.009085519999999</v>
      </c>
      <c r="Z659">
        <f ca="1">IFERROR(IF(0=LEN(ReferenceData!$Z$659),"",ReferenceData!$Z$659),"")</f>
        <v>13.3214332</v>
      </c>
      <c r="AA659">
        <f ca="1">IFERROR(IF(0=LEN(ReferenceData!$AA$659),"",ReferenceData!$AA$659),"")</f>
        <v>11.20616564</v>
      </c>
      <c r="AB659">
        <f ca="1">IFERROR(IF(0=LEN(ReferenceData!$AB$659),"",ReferenceData!$AB$659),"")</f>
        <v>10.274470060000001</v>
      </c>
      <c r="AC659">
        <f ca="1">IFERROR(IF(0=LEN(ReferenceData!$AC$659),"",ReferenceData!$AC$659),"")</f>
        <v>9.0408139730000006</v>
      </c>
      <c r="AD659">
        <f ca="1">IFERROR(IF(0=LEN(ReferenceData!$AD$659),"",ReferenceData!$AD$659),"")</f>
        <v>9.5287309790000005</v>
      </c>
      <c r="AE659">
        <f ca="1">IFERROR(IF(0=LEN(ReferenceData!$AE$659),"",ReferenceData!$AE$659),"")</f>
        <v>11.57980549</v>
      </c>
      <c r="AF659">
        <f ca="1">IFERROR(IF(0=LEN(ReferenceData!$AF$659),"",ReferenceData!$AF$659),"")</f>
        <v>13.725271879999999</v>
      </c>
      <c r="AG659">
        <f ca="1">IFERROR(IF(0=LEN(ReferenceData!$AG$659),"",ReferenceData!$AG$659),"")</f>
        <v>10.04071946</v>
      </c>
      <c r="AH659">
        <f ca="1">IFERROR(IF(0=LEN(ReferenceData!$AH$659),"",ReferenceData!$AH$659),"")</f>
        <v>5.9214980800000001</v>
      </c>
      <c r="AI659">
        <f ca="1">IFERROR(IF(0=LEN(ReferenceData!$AI$659),"",ReferenceData!$AI$659),"")</f>
        <v>7.7713270129999996</v>
      </c>
      <c r="AJ659">
        <f ca="1">IFERROR(IF(0=LEN(ReferenceData!$AJ$659),"",ReferenceData!$AJ$659),"")</f>
        <v>6.796430967</v>
      </c>
      <c r="AK659">
        <f ca="1">IFERROR(IF(0=LEN(ReferenceData!$AK$659),"",ReferenceData!$AK$659),"")</f>
        <v>8.1777230850000002</v>
      </c>
      <c r="AL659">
        <f ca="1">IFERROR(IF(0=LEN(ReferenceData!$AL$659),"",ReferenceData!$AL$659),"")</f>
        <v>12.074349720000001</v>
      </c>
      <c r="AM659">
        <f ca="1">IFERROR(IF(0=LEN(ReferenceData!$AM$659),"",ReferenceData!$AM$659),"")</f>
        <v>12.31351119</v>
      </c>
      <c r="AN659">
        <f ca="1">IFERROR(IF(0=LEN(ReferenceData!$AN$659),"",ReferenceData!$AN$659),"")</f>
        <v>16.042144629999999</v>
      </c>
      <c r="AO659">
        <f ca="1">IFERROR(IF(0=LEN(ReferenceData!$AO$659),"",ReferenceData!$AO$659),"")</f>
        <v>21.046264189999999</v>
      </c>
      <c r="AP659">
        <f ca="1">IFERROR(IF(0=LEN(ReferenceData!$AP$659),"",ReferenceData!$AP$659),"")</f>
        <v>15.132282979999999</v>
      </c>
      <c r="AQ659">
        <f ca="1">IFERROR(IF(0=LEN(ReferenceData!$AQ$659),"",ReferenceData!$AQ$659),"")</f>
        <v>11.89476438</v>
      </c>
      <c r="AR659">
        <f ca="1">IFERROR(IF(0=LEN(ReferenceData!$AR$659),"",ReferenceData!$AR$659),"")</f>
        <v>4.3802389550000003</v>
      </c>
      <c r="AS659">
        <f ca="1">IFERROR(IF(0=LEN(ReferenceData!$AS$659),"",ReferenceData!$AS$659),"")</f>
        <v>-0.98668808100000005</v>
      </c>
      <c r="AT659">
        <f ca="1">IFERROR(IF(0=LEN(ReferenceData!$AT$659),"",ReferenceData!$AT$659),"")</f>
        <v>1.0441121529999999</v>
      </c>
      <c r="AU659" t="str">
        <f ca="1">IFERROR(IF(0=LEN(ReferenceData!$AU$659),"",ReferenceData!$AU$659),"")</f>
        <v/>
      </c>
      <c r="AV659" t="str">
        <f ca="1">IFERROR(IF(0=LEN(ReferenceData!$AV$659),"",ReferenceData!$AV$659),"")</f>
        <v/>
      </c>
      <c r="AW659" t="str">
        <f ca="1">IFERROR(IF(0=LEN(ReferenceData!$AW$659),"",ReferenceData!$AW$659),"")</f>
        <v/>
      </c>
      <c r="AX659" t="str">
        <f ca="1">IFERROR(IF(0=LEN(ReferenceData!$AX$659),"",ReferenceData!$AX$659),"")</f>
        <v/>
      </c>
      <c r="AY659" t="str">
        <f ca="1">IFERROR(IF(0=LEN(ReferenceData!$AY$659),"",ReferenceData!$AY$659),"")</f>
        <v/>
      </c>
      <c r="AZ659" t="str">
        <f ca="1">IFERROR(IF(0=LEN(ReferenceData!$AZ$659),"",ReferenceData!$AZ$659),"")</f>
        <v/>
      </c>
      <c r="BA659" t="str">
        <f ca="1">IFERROR(IF(0=LEN(ReferenceData!$BA$659),"",ReferenceData!$BA$659),"")</f>
        <v/>
      </c>
      <c r="BB659" t="str">
        <f ca="1">IFERROR(IF(0=LEN(ReferenceData!$BB$659),"",ReferenceData!$BB$659),"")</f>
        <v/>
      </c>
      <c r="BC659" t="str">
        <f ca="1">IFERROR(IF(0=LEN(ReferenceData!$BC$659),"",ReferenceData!$BC$659),"")</f>
        <v/>
      </c>
      <c r="BD659" t="str">
        <f ca="1">IFERROR(IF(0=LEN(ReferenceData!$BD$659),"",ReferenceData!$BD$659),"")</f>
        <v/>
      </c>
      <c r="BE659" t="str">
        <f ca="1">IFERROR(IF(0=LEN(ReferenceData!$BE$659),"",ReferenceData!$BE$659),"")</f>
        <v/>
      </c>
      <c r="BF659" t="str">
        <f ca="1">IFERROR(IF(0=LEN(ReferenceData!$BF$659),"",ReferenceData!$BF$659),"")</f>
        <v/>
      </c>
      <c r="BG659" t="str">
        <f ca="1">IFERROR(IF(0=LEN(ReferenceData!$BG$659),"",ReferenceData!$BG$659),"")</f>
        <v/>
      </c>
      <c r="BH659" t="str">
        <f ca="1">IFERROR(IF(0=LEN(ReferenceData!$BH$659),"",ReferenceData!$BH$659),"")</f>
        <v/>
      </c>
      <c r="BI659" t="str">
        <f ca="1">IFERROR(IF(0=LEN(ReferenceData!$BI$659),"",ReferenceData!$BI$659),"")</f>
        <v/>
      </c>
      <c r="BJ659" t="str">
        <f ca="1">IFERROR(IF(0=LEN(ReferenceData!$BJ$659),"",ReferenceData!$BJ$659),"")</f>
        <v/>
      </c>
      <c r="BK659" t="str">
        <f ca="1">IFERROR(IF(0=LEN(ReferenceData!$BK$659),"",ReferenceData!$BK$659),"")</f>
        <v/>
      </c>
      <c r="BL659" t="str">
        <f ca="1">IFERROR(IF(0=LEN(ReferenceData!$BL$659),"",ReferenceData!$BL$659),"")</f>
        <v/>
      </c>
      <c r="BM659" t="str">
        <f ca="1">IFERROR(IF(0=LEN(ReferenceData!$BM$659),"",ReferenceData!$BM$659),"")</f>
        <v/>
      </c>
    </row>
    <row r="660" spans="1:65" x14ac:dyDescent="0.25">
      <c r="A660" t="str">
        <f>IFERROR(IF(0=LEN(ReferenceData!$A$660),"",ReferenceData!$A$660),"")</f>
        <v xml:space="preserve">    Volkswagen AG</v>
      </c>
      <c r="B660" t="str">
        <f>IFERROR(IF(0=LEN(ReferenceData!$B$660),"",ReferenceData!$B$660),"")</f>
        <v>VOW GR Equity</v>
      </c>
      <c r="C660" t="str">
        <f>IFERROR(IF(0=LEN(ReferenceData!$C$660),"",ReferenceData!$C$660),"")</f>
        <v>RX539</v>
      </c>
      <c r="D660" t="str">
        <f>IFERROR(IF(0=LEN(ReferenceData!$D$660),"",ReferenceData!$D$660),"")</f>
        <v>T12_FCF_YIELD</v>
      </c>
      <c r="E660" t="str">
        <f>IFERROR(IF(0=LEN(ReferenceData!$E$660),"",ReferenceData!$E$660),"")</f>
        <v>Dynamic</v>
      </c>
      <c r="F660" t="str">
        <f ca="1">IFERROR(IF(0=LEN(ReferenceData!$F$660),"",ReferenceData!$F$660),"")</f>
        <v/>
      </c>
      <c r="G660">
        <f ca="1">IFERROR(IF(0=LEN(ReferenceData!$G$660),"",ReferenceData!$G$660),"")</f>
        <v>-8.4165567530000001</v>
      </c>
      <c r="H660">
        <f ca="1">IFERROR(IF(0=LEN(ReferenceData!$H$660),"",ReferenceData!$H$660),"")</f>
        <v>-7.7320068839999996</v>
      </c>
      <c r="I660">
        <f ca="1">IFERROR(IF(0=LEN(ReferenceData!$I$660),"",ReferenceData!$I$660),"")</f>
        <v>-9.2569714990000005</v>
      </c>
      <c r="J660">
        <f ca="1">IFERROR(IF(0=LEN(ReferenceData!$J$660),"",ReferenceData!$J$660),"")</f>
        <v>-12.97901407</v>
      </c>
      <c r="K660">
        <f ca="1">IFERROR(IF(0=LEN(ReferenceData!$K$660),"",ReferenceData!$K$660),"")</f>
        <v>-17.159595100000001</v>
      </c>
      <c r="L660">
        <f ca="1">IFERROR(IF(0=LEN(ReferenceData!$L$660),"",ReferenceData!$L$660),"")</f>
        <v>-24.417885989999998</v>
      </c>
      <c r="M660">
        <f ca="1">IFERROR(IF(0=LEN(ReferenceData!$M$660),"",ReferenceData!$M$660),"")</f>
        <v>-21.13149198</v>
      </c>
      <c r="N660">
        <f ca="1">IFERROR(IF(0=LEN(ReferenceData!$N$660),"",ReferenceData!$N$660),"")</f>
        <v>-8.5901601719999992</v>
      </c>
      <c r="O660">
        <f ca="1">IFERROR(IF(0=LEN(ReferenceData!$O$660),"",ReferenceData!$O$660),"")</f>
        <v>-5.4855469579999996</v>
      </c>
      <c r="P660">
        <f ca="1">IFERROR(IF(0=LEN(ReferenceData!$P$660),"",ReferenceData!$P$660),"")</f>
        <v>-3.0957490179999998</v>
      </c>
      <c r="Q660">
        <f ca="1">IFERROR(IF(0=LEN(ReferenceData!$Q$660),"",ReferenceData!$Q$660),"")</f>
        <v>-2.920849295</v>
      </c>
      <c r="R660">
        <f ca="1">IFERROR(IF(0=LEN(ReferenceData!$R$660),"",ReferenceData!$R$660),"")</f>
        <v>-2.5868768270000002</v>
      </c>
      <c r="S660">
        <f ca="1">IFERROR(IF(0=LEN(ReferenceData!$S$660),"",ReferenceData!$S$660),"")</f>
        <v>0.66981683199999997</v>
      </c>
      <c r="T660">
        <f ca="1">IFERROR(IF(0=LEN(ReferenceData!$T$660),"",ReferenceData!$T$660),"")</f>
        <v>3.5512421249999999</v>
      </c>
      <c r="U660">
        <f ca="1">IFERROR(IF(0=LEN(ReferenceData!$U$660),"",ReferenceData!$U$660),"")</f>
        <v>1.847860625</v>
      </c>
      <c r="V660">
        <f ca="1">IFERROR(IF(0=LEN(ReferenceData!$V$660),"",ReferenceData!$V$660),"")</f>
        <v>0.14818429999999999</v>
      </c>
      <c r="W660">
        <f ca="1">IFERROR(IF(0=LEN(ReferenceData!$W$660),"",ReferenceData!$W$660),"")</f>
        <v>-1.418478669</v>
      </c>
      <c r="X660">
        <f ca="1">IFERROR(IF(0=LEN(ReferenceData!$X$660),"",ReferenceData!$X$660),"")</f>
        <v>-1.3024707870000001</v>
      </c>
      <c r="Y660">
        <f ca="1">IFERROR(IF(0=LEN(ReferenceData!$Y$660),"",ReferenceData!$Y$660),"")</f>
        <v>-0.183051194</v>
      </c>
      <c r="Z660">
        <f ca="1">IFERROR(IF(0=LEN(ReferenceData!$Z$660),"",ReferenceData!$Z$660),"")</f>
        <v>0.23285081599999999</v>
      </c>
      <c r="AA660">
        <f ca="1">IFERROR(IF(0=LEN(ReferenceData!$AA$660),"",ReferenceData!$AA$660),"")</f>
        <v>1.302255355</v>
      </c>
      <c r="AB660">
        <f ca="1">IFERROR(IF(0=LEN(ReferenceData!$AB$660),"",ReferenceData!$AB$660),"")</f>
        <v>1.2012133819999999</v>
      </c>
      <c r="AC660">
        <f ca="1">IFERROR(IF(0=LEN(ReferenceData!$AC$660),"",ReferenceData!$AC$660),"")</f>
        <v>-1.74316965</v>
      </c>
      <c r="AD660">
        <f ca="1">IFERROR(IF(0=LEN(ReferenceData!$AD$660),"",ReferenceData!$AD$660),"")</f>
        <v>-3.126411123</v>
      </c>
      <c r="AE660">
        <f ca="1">IFERROR(IF(0=LEN(ReferenceData!$AE$660),"",ReferenceData!$AE$660),"")</f>
        <v>-4.2487998190000003</v>
      </c>
      <c r="AF660">
        <f ca="1">IFERROR(IF(0=LEN(ReferenceData!$AF$660),"",ReferenceData!$AF$660),"")</f>
        <v>-3.601766714</v>
      </c>
      <c r="AG660">
        <f ca="1">IFERROR(IF(0=LEN(ReferenceData!$AG$660),"",ReferenceData!$AG$660),"")</f>
        <v>-3.1906608639999998</v>
      </c>
      <c r="AH660">
        <f ca="1">IFERROR(IF(0=LEN(ReferenceData!$AH$660),"",ReferenceData!$AH$660),"")</f>
        <v>-2.4158452179999998</v>
      </c>
      <c r="AI660">
        <f ca="1">IFERROR(IF(0=LEN(ReferenceData!$AI$660),"",ReferenceData!$AI$660),"")</f>
        <v>0.82139870400000004</v>
      </c>
      <c r="AJ660">
        <f ca="1">IFERROR(IF(0=LEN(ReferenceData!$AJ$660),"",ReferenceData!$AJ$660),"")</f>
        <v>2.2670826919999998</v>
      </c>
      <c r="AK660">
        <f ca="1">IFERROR(IF(0=LEN(ReferenceData!$AK$660),"",ReferenceData!$AK$660),"")</f>
        <v>3.4055804670000001</v>
      </c>
      <c r="AL660">
        <f ca="1">IFERROR(IF(0=LEN(ReferenceData!$AL$660),"",ReferenceData!$AL$660),"")</f>
        <v>9.7344259280000003</v>
      </c>
      <c r="AM660">
        <f ca="1">IFERROR(IF(0=LEN(ReferenceData!$AM$660),"",ReferenceData!$AM$660),"")</f>
        <v>10.97674683</v>
      </c>
      <c r="AN660">
        <f ca="1">IFERROR(IF(0=LEN(ReferenceData!$AN$660),"",ReferenceData!$AN$660),"")</f>
        <v>19.893538629999998</v>
      </c>
      <c r="AO660">
        <f ca="1">IFERROR(IF(0=LEN(ReferenceData!$AO$660),"",ReferenceData!$AO$660),"")</f>
        <v>21.26953082</v>
      </c>
      <c r="AP660">
        <f ca="1">IFERROR(IF(0=LEN(ReferenceData!$AP$660),"",ReferenceData!$AP$660),"")</f>
        <v>25.75759364</v>
      </c>
      <c r="AQ660">
        <f ca="1">IFERROR(IF(0=LEN(ReferenceData!$AQ$660),"",ReferenceData!$AQ$660),"")</f>
        <v>22.872581220000001</v>
      </c>
      <c r="AR660">
        <f ca="1">IFERROR(IF(0=LEN(ReferenceData!$AR$660),"",ReferenceData!$AR$660),"")</f>
        <v>2.8860544680000002</v>
      </c>
      <c r="AS660">
        <f ca="1">IFERROR(IF(0=LEN(ReferenceData!$AS$660),"",ReferenceData!$AS$660),"")</f>
        <v>1.5426073060000001</v>
      </c>
      <c r="AT660">
        <f ca="1">IFERROR(IF(0=LEN(ReferenceData!$AT$660),"",ReferenceData!$AT$660),"")</f>
        <v>-0.31532837000000002</v>
      </c>
      <c r="AU660">
        <f ca="1">IFERROR(IF(0=LEN(ReferenceData!$AU$660),"",ReferenceData!$AU$660),"")</f>
        <v>-1.7432062479999999</v>
      </c>
      <c r="AV660">
        <f ca="1">IFERROR(IF(0=LEN(ReferenceData!$AV$660),"",ReferenceData!$AV$660),"")</f>
        <v>4.304319166</v>
      </c>
      <c r="AW660">
        <f ca="1">IFERROR(IF(0=LEN(ReferenceData!$AW$660),"",ReferenceData!$AW$660),"")</f>
        <v>7.3003760289999997</v>
      </c>
      <c r="AX660">
        <f ca="1">IFERROR(IF(0=LEN(ReferenceData!$AX$660),"",ReferenceData!$AX$660),"")</f>
        <v>10.48516102</v>
      </c>
      <c r="AY660">
        <f ca="1">IFERROR(IF(0=LEN(ReferenceData!$AY$660),"",ReferenceData!$AY$660),"")</f>
        <v>15.133450699999999</v>
      </c>
      <c r="AZ660">
        <f ca="1">IFERROR(IF(0=LEN(ReferenceData!$AZ$660),"",ReferenceData!$AZ$660),"")</f>
        <v>15.61650938</v>
      </c>
      <c r="BA660">
        <f ca="1">IFERROR(IF(0=LEN(ReferenceData!$BA$660),"",ReferenceData!$BA$660),"")</f>
        <v>19.739048090000001</v>
      </c>
      <c r="BB660">
        <f ca="1">IFERROR(IF(0=LEN(ReferenceData!$BB$660),"",ReferenceData!$BB$660),"")</f>
        <v>18.068846229999998</v>
      </c>
      <c r="BC660">
        <f ca="1">IFERROR(IF(0=LEN(ReferenceData!$BC$660),"",ReferenceData!$BC$660),"")</f>
        <v>23.93242219</v>
      </c>
      <c r="BD660">
        <f ca="1">IFERROR(IF(0=LEN(ReferenceData!$BD$660),"",ReferenceData!$BD$660),"")</f>
        <v>31.985015220000001</v>
      </c>
      <c r="BE660">
        <f ca="1">IFERROR(IF(0=LEN(ReferenceData!$BE$660),"",ReferenceData!$BE$660),"")</f>
        <v>37.677129190000002</v>
      </c>
      <c r="BF660">
        <f ca="1">IFERROR(IF(0=LEN(ReferenceData!$BF$660),"",ReferenceData!$BF$660),"")</f>
        <v>23.586831759999999</v>
      </c>
      <c r="BG660">
        <f ca="1">IFERROR(IF(0=LEN(ReferenceData!$BG$660),"",ReferenceData!$BG$660),"")</f>
        <v>20.99482974</v>
      </c>
      <c r="BH660">
        <f ca="1">IFERROR(IF(0=LEN(ReferenceData!$BH$660),"",ReferenceData!$BH$660),"")</f>
        <v>11.50458791</v>
      </c>
      <c r="BI660">
        <f ca="1">IFERROR(IF(0=LEN(ReferenceData!$BI$660),"",ReferenceData!$BI$660),"")</f>
        <v>13.0883276</v>
      </c>
      <c r="BJ660">
        <f ca="1">IFERROR(IF(0=LEN(ReferenceData!$BJ$660),"",ReferenceData!$BJ$660),"")</f>
        <v>15.760514649999999</v>
      </c>
      <c r="BK660">
        <f ca="1">IFERROR(IF(0=LEN(ReferenceData!$BK$660),"",ReferenceData!$BK$660),"")</f>
        <v>18.59547624</v>
      </c>
      <c r="BL660" t="str">
        <f ca="1">IFERROR(IF(0=LEN(ReferenceData!$BL$660),"",ReferenceData!$BL$660),"")</f>
        <v/>
      </c>
      <c r="BM660" t="str">
        <f ca="1">IFERROR(IF(0=LEN(ReferenceData!$BM$660),"",ReferenceData!$BM$660),"")</f>
        <v/>
      </c>
    </row>
    <row r="661" spans="1:65" x14ac:dyDescent="0.25">
      <c r="A661" t="str">
        <f>IFERROR(IF(0=LEN(ReferenceData!$A$661),"",ReferenceData!$A$661),"")</f>
        <v xml:space="preserve">    Yulon Motor Co Ltd</v>
      </c>
      <c r="B661" t="str">
        <f>IFERROR(IF(0=LEN(ReferenceData!$B$661),"",ReferenceData!$B$661),"")</f>
        <v>2201 TT Equity</v>
      </c>
      <c r="C661" t="str">
        <f>IFERROR(IF(0=LEN(ReferenceData!$C$661),"",ReferenceData!$C$661),"")</f>
        <v>RX539</v>
      </c>
      <c r="D661" t="str">
        <f>IFERROR(IF(0=LEN(ReferenceData!$D$661),"",ReferenceData!$D$661),"")</f>
        <v>T12_FCF_YIELD</v>
      </c>
      <c r="E661" t="str">
        <f>IFERROR(IF(0=LEN(ReferenceData!$E$661),"",ReferenceData!$E$661),"")</f>
        <v>Dynamic</v>
      </c>
      <c r="F661">
        <f ca="1">IFERROR(IF(0=LEN(ReferenceData!$F$661),"",ReferenceData!$F$661),"")</f>
        <v>-114.0968543</v>
      </c>
      <c r="G661">
        <f ca="1">IFERROR(IF(0=LEN(ReferenceData!$G$661),"",ReferenceData!$G$661),"")</f>
        <v>-118.7986478</v>
      </c>
      <c r="H661">
        <f ca="1">IFERROR(IF(0=LEN(ReferenceData!$H$661),"",ReferenceData!$H$661),"")</f>
        <v>-99.637575549999994</v>
      </c>
      <c r="I661">
        <f ca="1">IFERROR(IF(0=LEN(ReferenceData!$I$661),"",ReferenceData!$I$661),"")</f>
        <v>-84.684408090000005</v>
      </c>
      <c r="J661">
        <f ca="1">IFERROR(IF(0=LEN(ReferenceData!$J$661),"",ReferenceData!$J$661),"")</f>
        <v>-70.357525249999995</v>
      </c>
      <c r="K661">
        <f ca="1">IFERROR(IF(0=LEN(ReferenceData!$K$661),"",ReferenceData!$K$661),"")</f>
        <v>-55.411444330000002</v>
      </c>
      <c r="L661">
        <f ca="1">IFERROR(IF(0=LEN(ReferenceData!$L$661),"",ReferenceData!$L$661),"")</f>
        <v>-50.50788944</v>
      </c>
      <c r="M661">
        <f ca="1">IFERROR(IF(0=LEN(ReferenceData!$M$661),"",ReferenceData!$M$661),"")</f>
        <v>-36.378996979999997</v>
      </c>
      <c r="N661">
        <f ca="1">IFERROR(IF(0=LEN(ReferenceData!$N$661),"",ReferenceData!$N$661),"")</f>
        <v>-30.861968640000001</v>
      </c>
      <c r="O661">
        <f ca="1">IFERROR(IF(0=LEN(ReferenceData!$O$661),"",ReferenceData!$O$661),"")</f>
        <v>-22.339918579999999</v>
      </c>
      <c r="P661" t="str">
        <f ca="1">IFERROR(IF(0=LEN(ReferenceData!$P$661),"",ReferenceData!$P$661),"")</f>
        <v/>
      </c>
      <c r="Q661" t="str">
        <f ca="1">IFERROR(IF(0=LEN(ReferenceData!$Q$661),"",ReferenceData!$Q$661),"")</f>
        <v/>
      </c>
      <c r="R661" t="str">
        <f ca="1">IFERROR(IF(0=LEN(ReferenceData!$R$661),"",ReferenceData!$R$661),"")</f>
        <v/>
      </c>
      <c r="S661">
        <f ca="1">IFERROR(IF(0=LEN(ReferenceData!$S$661),"",ReferenceData!$S$661),"")</f>
        <v>-28.650751450000001</v>
      </c>
      <c r="T661">
        <f ca="1">IFERROR(IF(0=LEN(ReferenceData!$T$661),"",ReferenceData!$T$661),"")</f>
        <v>-29.526326189999999</v>
      </c>
      <c r="U661">
        <f ca="1">IFERROR(IF(0=LEN(ReferenceData!$U$661),"",ReferenceData!$U$661),"")</f>
        <v>-25.35794138</v>
      </c>
      <c r="V661">
        <f ca="1">IFERROR(IF(0=LEN(ReferenceData!$V$661),"",ReferenceData!$V$661),"")</f>
        <v>-23.032223559999998</v>
      </c>
      <c r="W661">
        <f ca="1">IFERROR(IF(0=LEN(ReferenceData!$W$661),"",ReferenceData!$W$661),"")</f>
        <v>-20.168921810000001</v>
      </c>
      <c r="X661">
        <f ca="1">IFERROR(IF(0=LEN(ReferenceData!$X$661),"",ReferenceData!$X$661),"")</f>
        <v>-22.171153069999999</v>
      </c>
      <c r="Y661">
        <f ca="1">IFERROR(IF(0=LEN(ReferenceData!$Y$661),"",ReferenceData!$Y$661),"")</f>
        <v>-15.963690619999999</v>
      </c>
      <c r="Z661">
        <f ca="1">IFERROR(IF(0=LEN(ReferenceData!$Z$661),"",ReferenceData!$Z$661),"")</f>
        <v>-10.684124990000001</v>
      </c>
      <c r="AA661">
        <f ca="1">IFERROR(IF(0=LEN(ReferenceData!$AA$661),"",ReferenceData!$AA$661),"")</f>
        <v>-7.6600041560000003</v>
      </c>
      <c r="AB661">
        <f ca="1">IFERROR(IF(0=LEN(ReferenceData!$AB$661),"",ReferenceData!$AB$661),"")</f>
        <v>-1.890901178</v>
      </c>
      <c r="AC661">
        <f ca="1">IFERROR(IF(0=LEN(ReferenceData!$AC$661),"",ReferenceData!$AC$661),"")</f>
        <v>-1.9492342250000001</v>
      </c>
      <c r="AD661">
        <f ca="1">IFERROR(IF(0=LEN(ReferenceData!$AD$661),"",ReferenceData!$AD$661),"")</f>
        <v>-8.8753746479999993</v>
      </c>
      <c r="AE661">
        <f ca="1">IFERROR(IF(0=LEN(ReferenceData!$AE$661),"",ReferenceData!$AE$661),"")</f>
        <v>-10.867343119999999</v>
      </c>
      <c r="AF661">
        <f ca="1">IFERROR(IF(0=LEN(ReferenceData!$AF$661),"",ReferenceData!$AF$661),"")</f>
        <v>-10.059242879999999</v>
      </c>
      <c r="AG661">
        <f ca="1">IFERROR(IF(0=LEN(ReferenceData!$AG$661),"",ReferenceData!$AG$661),"")</f>
        <v>-16.6202185</v>
      </c>
      <c r="AH661">
        <f ca="1">IFERROR(IF(0=LEN(ReferenceData!$AH$661),"",ReferenceData!$AH$661),"")</f>
        <v>-10.89562491</v>
      </c>
      <c r="AI661">
        <f ca="1">IFERROR(IF(0=LEN(ReferenceData!$AI$661),"",ReferenceData!$AI$661),"")</f>
        <v>-14.54392354</v>
      </c>
      <c r="AJ661">
        <f ca="1">IFERROR(IF(0=LEN(ReferenceData!$AJ$661),"",ReferenceData!$AJ$661),"")</f>
        <v>-14.9520778</v>
      </c>
      <c r="AK661">
        <f ca="1">IFERROR(IF(0=LEN(ReferenceData!$AK$661),"",ReferenceData!$AK$661),"")</f>
        <v>-9.1221943069999991</v>
      </c>
      <c r="AL661">
        <f ca="1">IFERROR(IF(0=LEN(ReferenceData!$AL$661),"",ReferenceData!$AL$661),"")</f>
        <v>-9.4301127149999999</v>
      </c>
      <c r="AM661">
        <f ca="1">IFERROR(IF(0=LEN(ReferenceData!$AM$661),"",ReferenceData!$AM$661),"")</f>
        <v>-8.8979699290000003</v>
      </c>
      <c r="AN661">
        <f ca="1">IFERROR(IF(0=LEN(ReferenceData!$AN$661),"",ReferenceData!$AN$661),"")</f>
        <v>0.28982439700000001</v>
      </c>
      <c r="AO661">
        <f ca="1">IFERROR(IF(0=LEN(ReferenceData!$AO$661),"",ReferenceData!$AO$661),"")</f>
        <v>-15.136638420000001</v>
      </c>
      <c r="AP661">
        <f ca="1">IFERROR(IF(0=LEN(ReferenceData!$AP$661),"",ReferenceData!$AP$661),"")</f>
        <v>-11.08803299</v>
      </c>
      <c r="AQ661">
        <f ca="1">IFERROR(IF(0=LEN(ReferenceData!$AQ$661),"",ReferenceData!$AQ$661),"")</f>
        <v>-7.5755292430000001</v>
      </c>
      <c r="AR661">
        <f ca="1">IFERROR(IF(0=LEN(ReferenceData!$AR$661),"",ReferenceData!$AR$661),"")</f>
        <v>-20.943920330000001</v>
      </c>
      <c r="AS661">
        <f ca="1">IFERROR(IF(0=LEN(ReferenceData!$AS$661),"",ReferenceData!$AS$661),"")</f>
        <v>-9.3108317340000006</v>
      </c>
      <c r="AT661">
        <f ca="1">IFERROR(IF(0=LEN(ReferenceData!$AT$661),"",ReferenceData!$AT$661),"")</f>
        <v>-17.81823515</v>
      </c>
      <c r="AU661">
        <f ca="1">IFERROR(IF(0=LEN(ReferenceData!$AU$661),"",ReferenceData!$AU$661),"")</f>
        <v>-6.8628519719999996</v>
      </c>
      <c r="AV661" t="str">
        <f ca="1">IFERROR(IF(0=LEN(ReferenceData!$AV$661),"",ReferenceData!$AV$661),"")</f>
        <v/>
      </c>
      <c r="AW661" t="str">
        <f ca="1">IFERROR(IF(0=LEN(ReferenceData!$AW$661),"",ReferenceData!$AW$661),"")</f>
        <v/>
      </c>
      <c r="AX661" t="str">
        <f ca="1">IFERROR(IF(0=LEN(ReferenceData!$AX$661),"",ReferenceData!$AX$661),"")</f>
        <v/>
      </c>
      <c r="AY661" t="str">
        <f ca="1">IFERROR(IF(0=LEN(ReferenceData!$AY$661),"",ReferenceData!$AY$661),"")</f>
        <v/>
      </c>
      <c r="AZ661" t="str">
        <f ca="1">IFERROR(IF(0=LEN(ReferenceData!$AZ$661),"",ReferenceData!$AZ$661),"")</f>
        <v/>
      </c>
      <c r="BA661" t="str">
        <f ca="1">IFERROR(IF(0=LEN(ReferenceData!$BA$661),"",ReferenceData!$BA$661),"")</f>
        <v/>
      </c>
      <c r="BB661" t="str">
        <f ca="1">IFERROR(IF(0=LEN(ReferenceData!$BB$661),"",ReferenceData!$BB$661),"")</f>
        <v/>
      </c>
      <c r="BC661" t="str">
        <f ca="1">IFERROR(IF(0=LEN(ReferenceData!$BC$661),"",ReferenceData!$BC$661),"")</f>
        <v/>
      </c>
      <c r="BD661" t="str">
        <f ca="1">IFERROR(IF(0=LEN(ReferenceData!$BD$661),"",ReferenceData!$BD$661),"")</f>
        <v/>
      </c>
      <c r="BE661" t="str">
        <f ca="1">IFERROR(IF(0=LEN(ReferenceData!$BE$661),"",ReferenceData!$BE$661),"")</f>
        <v/>
      </c>
      <c r="BF661" t="str">
        <f ca="1">IFERROR(IF(0=LEN(ReferenceData!$BF$661),"",ReferenceData!$BF$661),"")</f>
        <v/>
      </c>
      <c r="BG661" t="str">
        <f ca="1">IFERROR(IF(0=LEN(ReferenceData!$BG$661),"",ReferenceData!$BG$661),"")</f>
        <v/>
      </c>
      <c r="BH661" t="str">
        <f ca="1">IFERROR(IF(0=LEN(ReferenceData!$BH$661),"",ReferenceData!$BH$661),"")</f>
        <v/>
      </c>
      <c r="BI661" t="str">
        <f ca="1">IFERROR(IF(0=LEN(ReferenceData!$BI$661),"",ReferenceData!$BI$661),"")</f>
        <v/>
      </c>
      <c r="BJ661" t="str">
        <f ca="1">IFERROR(IF(0=LEN(ReferenceData!$BJ$661),"",ReferenceData!$BJ$661),"")</f>
        <v/>
      </c>
      <c r="BK661" t="str">
        <f ca="1">IFERROR(IF(0=LEN(ReferenceData!$BK$661),"",ReferenceData!$BK$661),"")</f>
        <v/>
      </c>
      <c r="BL661" t="str">
        <f ca="1">IFERROR(IF(0=LEN(ReferenceData!$BL$661),"",ReferenceData!$BL$661),"")</f>
        <v/>
      </c>
      <c r="BM661" t="str">
        <f ca="1">IFERROR(IF(0=LEN(ReferenceData!$BM$661),"",ReferenceData!$BM$661),"")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347"/>
  <sheetViews>
    <sheetView workbookViewId="0"/>
  </sheetViews>
  <sheetFormatPr defaultRowHeight="15" x14ac:dyDescent="0.25"/>
  <cols>
    <col min="1" max="1" width="56.28515625" customWidth="1"/>
    <col min="2" max="2" width="15.85546875" customWidth="1"/>
    <col min="3" max="125" width="9.140625" bestFit="1" customWidth="1"/>
  </cols>
  <sheetData>
    <row r="1" spans="1:12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</row>
    <row r="2" spans="1:125" x14ac:dyDescent="0.25">
      <c r="A2" s="1" t="str">
        <f>"Description"</f>
        <v>Description</v>
      </c>
      <c r="B2" s="1" t="str">
        <f>"Ticker"</f>
        <v>Ticker</v>
      </c>
      <c r="C2" s="1" t="str">
        <f>"Field ID"</f>
        <v>Field ID</v>
      </c>
      <c r="D2" s="1" t="str">
        <f>"Field Mnemonic"</f>
        <v>Field Mnemonic</v>
      </c>
      <c r="E2" s="1" t="str">
        <f>"Data State"</f>
        <v>Data State</v>
      </c>
      <c r="F2" s="1" t="str">
        <f>ReferenceData!$C$1338</f>
        <v>2019 Q1</v>
      </c>
      <c r="G2" s="1" t="str">
        <f>ReferenceData!$D$1338</f>
        <v>2018 Q4</v>
      </c>
      <c r="H2" s="1" t="str">
        <f>ReferenceData!$E$1338</f>
        <v>2018 Q3</v>
      </c>
      <c r="I2" s="1" t="str">
        <f>ReferenceData!$F$1338</f>
        <v>2018 Q2</v>
      </c>
      <c r="J2" s="1" t="str">
        <f>ReferenceData!$G$1338</f>
        <v>2018 Q1</v>
      </c>
      <c r="K2" s="1" t="str">
        <f>ReferenceData!$H$1338</f>
        <v>2017 Q4</v>
      </c>
      <c r="L2" s="1" t="str">
        <f>ReferenceData!$I$1338</f>
        <v>2017 Q3</v>
      </c>
      <c r="M2" s="1" t="str">
        <f>ReferenceData!$J$1338</f>
        <v>2017 Q2</v>
      </c>
      <c r="N2" s="1" t="str">
        <f>ReferenceData!$K$1338</f>
        <v>2017 Q1</v>
      </c>
      <c r="O2" s="1" t="str">
        <f>ReferenceData!$L$1338</f>
        <v>2016 Q4</v>
      </c>
      <c r="P2" s="1" t="str">
        <f>ReferenceData!$M$1338</f>
        <v>2016 Q3</v>
      </c>
      <c r="Q2" s="1" t="str">
        <f>ReferenceData!$N$1338</f>
        <v>2016 Q2</v>
      </c>
      <c r="R2" s="1" t="str">
        <f>ReferenceData!$O$1338</f>
        <v>2016 Q1</v>
      </c>
      <c r="S2" s="1" t="str">
        <f>ReferenceData!$P$1338</f>
        <v>2015 Q4</v>
      </c>
      <c r="T2" s="1" t="str">
        <f>ReferenceData!$Q$1338</f>
        <v>2015 Q3</v>
      </c>
      <c r="U2" s="1" t="str">
        <f>ReferenceData!$R$1338</f>
        <v>2015 Q2</v>
      </c>
      <c r="V2" s="1" t="str">
        <f>ReferenceData!$S$1338</f>
        <v>2015 Q1</v>
      </c>
      <c r="W2" s="1" t="str">
        <f>ReferenceData!$T$1338</f>
        <v>2014 Q4</v>
      </c>
      <c r="X2" s="1" t="str">
        <f>ReferenceData!$U$1338</f>
        <v>2014 Q3</v>
      </c>
      <c r="Y2" s="1" t="str">
        <f>ReferenceData!$V$1338</f>
        <v>2014 Q2</v>
      </c>
      <c r="Z2" s="1" t="str">
        <f>ReferenceData!$W$1338</f>
        <v>2014 Q1</v>
      </c>
      <c r="AA2" s="1" t="str">
        <f>ReferenceData!$X$1338</f>
        <v>2013 Q4</v>
      </c>
      <c r="AB2" s="1" t="str">
        <f>ReferenceData!$Y$1338</f>
        <v>2013 Q3</v>
      </c>
      <c r="AC2" s="1" t="str">
        <f>ReferenceData!$Z$1338</f>
        <v>2013 Q2</v>
      </c>
      <c r="AD2" s="1" t="str">
        <f>ReferenceData!$AA$1338</f>
        <v>2013 Q1</v>
      </c>
      <c r="AE2" s="1" t="str">
        <f>ReferenceData!$AB$1338</f>
        <v>2012 Q4</v>
      </c>
      <c r="AF2" s="1" t="str">
        <f>ReferenceData!$AC$1338</f>
        <v>2012 Q3</v>
      </c>
      <c r="AG2" s="1" t="str">
        <f>ReferenceData!$AD$1338</f>
        <v>2012 Q2</v>
      </c>
      <c r="AH2" s="1" t="str">
        <f>ReferenceData!$AE$1338</f>
        <v>2012 Q1</v>
      </c>
      <c r="AI2" s="1" t="str">
        <f>ReferenceData!$AF$1338</f>
        <v>2011 Q4</v>
      </c>
      <c r="AJ2" s="1" t="str">
        <f>ReferenceData!$AG$1338</f>
        <v>2011 Q3</v>
      </c>
      <c r="AK2" s="1" t="str">
        <f>ReferenceData!$AH$1338</f>
        <v>2011 Q2</v>
      </c>
      <c r="AL2" s="1" t="str">
        <f>ReferenceData!$AI$1338</f>
        <v>2011 Q1</v>
      </c>
      <c r="AM2" s="1" t="str">
        <f>ReferenceData!$AJ$1338</f>
        <v>2010 Q4</v>
      </c>
      <c r="AN2" s="1" t="str">
        <f>ReferenceData!$AK$1338</f>
        <v>2010 Q3</v>
      </c>
      <c r="AO2" s="1" t="str">
        <f>ReferenceData!$AL$1338</f>
        <v>2010 Q2</v>
      </c>
      <c r="AP2" s="1" t="str">
        <f>ReferenceData!$AM$1338</f>
        <v>2010 Q1</v>
      </c>
      <c r="AQ2" s="1" t="str">
        <f>ReferenceData!$AN$1338</f>
        <v>2009 Q4</v>
      </c>
      <c r="AR2" s="1" t="str">
        <f>ReferenceData!$AO$1338</f>
        <v>2009 Q3</v>
      </c>
      <c r="AS2" s="1" t="str">
        <f>ReferenceData!$AP$1338</f>
        <v>2009 Q2</v>
      </c>
      <c r="AT2" s="1" t="str">
        <f>ReferenceData!$AQ$1338</f>
        <v>2009 Q1</v>
      </c>
      <c r="AU2" s="1" t="str">
        <f>ReferenceData!$AR$1338</f>
        <v>2008 Q4</v>
      </c>
      <c r="AV2" s="1" t="str">
        <f>ReferenceData!$AS$1338</f>
        <v>2008 Q3</v>
      </c>
      <c r="AW2" s="1" t="str">
        <f>ReferenceData!$AT$1338</f>
        <v>2008 Q2</v>
      </c>
      <c r="AX2" s="1" t="str">
        <f>ReferenceData!$AU$1338</f>
        <v>2008 Q1</v>
      </c>
      <c r="AY2" s="1" t="str">
        <f>ReferenceData!$AV$1338</f>
        <v>2007 Q4</v>
      </c>
      <c r="AZ2" s="1" t="str">
        <f>ReferenceData!$AW$1338</f>
        <v>2007 Q3</v>
      </c>
      <c r="BA2" s="1" t="str">
        <f>ReferenceData!$AX$1338</f>
        <v>2007 Q2</v>
      </c>
      <c r="BB2" s="1" t="str">
        <f>ReferenceData!$AY$1338</f>
        <v>2007 Q1</v>
      </c>
      <c r="BC2" s="1" t="str">
        <f>ReferenceData!$AZ$1338</f>
        <v>2006 Q4</v>
      </c>
      <c r="BD2" s="1" t="str">
        <f>ReferenceData!$BA$1338</f>
        <v>2006 Q3</v>
      </c>
      <c r="BE2" s="1" t="str">
        <f>ReferenceData!$BB$1338</f>
        <v>2006 Q2</v>
      </c>
      <c r="BF2" s="1" t="str">
        <f>ReferenceData!$BC$1338</f>
        <v>2006 Q1</v>
      </c>
      <c r="BG2" s="1" t="str">
        <f>ReferenceData!$BD$1338</f>
        <v>2005 Q4</v>
      </c>
      <c r="BH2" s="1" t="str">
        <f>ReferenceData!$BE$1338</f>
        <v>2005 Q3</v>
      </c>
      <c r="BI2" s="1" t="str">
        <f>ReferenceData!$BF$1338</f>
        <v>2005 Q2</v>
      </c>
      <c r="BJ2" s="1" t="str">
        <f>ReferenceData!$BG$1338</f>
        <v>2005 Q1</v>
      </c>
      <c r="BK2" s="1" t="str">
        <f>ReferenceData!$BH$1338</f>
        <v>2004 Q4</v>
      </c>
      <c r="BL2" s="1" t="str">
        <f>ReferenceData!$BI$1338</f>
        <v>2004 Q3</v>
      </c>
      <c r="BM2" s="1" t="str">
        <f>ReferenceData!$BJ$1338</f>
        <v>2004 Q2</v>
      </c>
      <c r="BN2" t="str">
        <f>$C$1338</f>
        <v>2019 Q1</v>
      </c>
      <c r="BO2" t="str">
        <f>$D$1338</f>
        <v>2018 Q4</v>
      </c>
      <c r="BP2" t="str">
        <f>$E$1338</f>
        <v>2018 Q3</v>
      </c>
      <c r="BQ2" t="str">
        <f>$F$1338</f>
        <v>2018 Q2</v>
      </c>
      <c r="BR2" t="str">
        <f>$G$1338</f>
        <v>2018 Q1</v>
      </c>
      <c r="BS2" t="str">
        <f>$H$1338</f>
        <v>2017 Q4</v>
      </c>
      <c r="BT2" t="str">
        <f>$I$1338</f>
        <v>2017 Q3</v>
      </c>
      <c r="BU2" t="str">
        <f>$J$1338</f>
        <v>2017 Q2</v>
      </c>
      <c r="BV2" t="str">
        <f>$K$1338</f>
        <v>2017 Q1</v>
      </c>
      <c r="BW2" t="str">
        <f>$L$1338</f>
        <v>2016 Q4</v>
      </c>
      <c r="BX2" t="str">
        <f>$M$1338</f>
        <v>2016 Q3</v>
      </c>
      <c r="BY2" t="str">
        <f>$N$1338</f>
        <v>2016 Q2</v>
      </c>
      <c r="BZ2" t="str">
        <f>$O$1338</f>
        <v>2016 Q1</v>
      </c>
      <c r="CA2" t="str">
        <f>$P$1338</f>
        <v>2015 Q4</v>
      </c>
      <c r="CB2" t="str">
        <f>$Q$1338</f>
        <v>2015 Q3</v>
      </c>
      <c r="CC2" t="str">
        <f>$R$1338</f>
        <v>2015 Q2</v>
      </c>
      <c r="CD2" t="str">
        <f>$S$1338</f>
        <v>2015 Q1</v>
      </c>
      <c r="CE2" t="str">
        <f>$T$1338</f>
        <v>2014 Q4</v>
      </c>
      <c r="CF2" t="str">
        <f>$U$1338</f>
        <v>2014 Q3</v>
      </c>
      <c r="CG2" t="str">
        <f>$V$1338</f>
        <v>2014 Q2</v>
      </c>
      <c r="CH2" t="str">
        <f>$W$1338</f>
        <v>2014 Q1</v>
      </c>
      <c r="CI2" t="str">
        <f>$X$1338</f>
        <v>2013 Q4</v>
      </c>
      <c r="CJ2" t="str">
        <f>$Y$1338</f>
        <v>2013 Q3</v>
      </c>
      <c r="CK2" t="str">
        <f>$Z$1338</f>
        <v>2013 Q2</v>
      </c>
      <c r="CL2" t="str">
        <f>$AA$1338</f>
        <v>2013 Q1</v>
      </c>
      <c r="CM2" t="str">
        <f>$AB$1338</f>
        <v>2012 Q4</v>
      </c>
      <c r="CN2" t="str">
        <f>$AC$1338</f>
        <v>2012 Q3</v>
      </c>
      <c r="CO2" t="str">
        <f>$AD$1338</f>
        <v>2012 Q2</v>
      </c>
      <c r="CP2" t="str">
        <f>$AE$1338</f>
        <v>2012 Q1</v>
      </c>
      <c r="CQ2" t="str">
        <f>$AF$1338</f>
        <v>2011 Q4</v>
      </c>
      <c r="CR2" t="str">
        <f>$AG$1338</f>
        <v>2011 Q3</v>
      </c>
      <c r="CS2" t="str">
        <f>$AH$1338</f>
        <v>2011 Q2</v>
      </c>
      <c r="CT2" t="str">
        <f>$AI$1338</f>
        <v>2011 Q1</v>
      </c>
      <c r="CU2" t="str">
        <f>$AJ$1338</f>
        <v>2010 Q4</v>
      </c>
      <c r="CV2" t="str">
        <f>$AK$1338</f>
        <v>2010 Q3</v>
      </c>
      <c r="CW2" t="str">
        <f>$AL$1338</f>
        <v>2010 Q2</v>
      </c>
      <c r="CX2" t="str">
        <f>$AM$1338</f>
        <v>2010 Q1</v>
      </c>
      <c r="CY2" t="str">
        <f>$AN$1338</f>
        <v>2009 Q4</v>
      </c>
      <c r="CZ2" t="str">
        <f>$AO$1338</f>
        <v>2009 Q3</v>
      </c>
      <c r="DA2" t="str">
        <f>$AP$1338</f>
        <v>2009 Q2</v>
      </c>
      <c r="DB2" t="str">
        <f>$AQ$1338</f>
        <v>2009 Q1</v>
      </c>
      <c r="DC2" t="str">
        <f>$AR$1338</f>
        <v>2008 Q4</v>
      </c>
      <c r="DD2" t="str">
        <f>$AS$1338</f>
        <v>2008 Q3</v>
      </c>
      <c r="DE2" t="str">
        <f>$AT$1338</f>
        <v>2008 Q2</v>
      </c>
      <c r="DF2" t="str">
        <f>$AU$1338</f>
        <v>2008 Q1</v>
      </c>
      <c r="DG2" t="str">
        <f>$AV$1338</f>
        <v>2007 Q4</v>
      </c>
      <c r="DH2" t="str">
        <f>$AW$1338</f>
        <v>2007 Q3</v>
      </c>
      <c r="DI2" t="str">
        <f>$AX$1338</f>
        <v>2007 Q2</v>
      </c>
      <c r="DJ2" t="str">
        <f>$AY$1338</f>
        <v>2007 Q1</v>
      </c>
      <c r="DK2" t="str">
        <f>$AZ$1338</f>
        <v>2006 Q4</v>
      </c>
      <c r="DL2" t="str">
        <f>$BA$1338</f>
        <v>2006 Q3</v>
      </c>
      <c r="DM2" t="str">
        <f>$BB$1338</f>
        <v>2006 Q2</v>
      </c>
      <c r="DN2" t="str">
        <f>$BC$1338</f>
        <v>2006 Q1</v>
      </c>
      <c r="DO2" t="str">
        <f>$BD$1338</f>
        <v>2005 Q4</v>
      </c>
      <c r="DP2" t="str">
        <f>$BE$1338</f>
        <v>2005 Q3</v>
      </c>
      <c r="DQ2" t="str">
        <f>$BF$1338</f>
        <v>2005 Q2</v>
      </c>
      <c r="DR2" t="str">
        <f>$BG$1338</f>
        <v>2005 Q1</v>
      </c>
      <c r="DS2" t="str">
        <f>$BH$1338</f>
        <v>2004 Q4</v>
      </c>
      <c r="DT2" t="str">
        <f>$BI$1338</f>
        <v>2004 Q3</v>
      </c>
      <c r="DU2" t="str">
        <f>$BJ$1338</f>
        <v>2004 Q2</v>
      </c>
    </row>
    <row r="3" spans="1:125" x14ac:dyDescent="0.25">
      <c r="A3" t="str">
        <f>"Price Ratios"</f>
        <v>Price Ratios</v>
      </c>
      <c r="B3" t="str">
        <f>""</f>
        <v/>
      </c>
      <c r="E3" t="str">
        <f>"Heading"</f>
        <v>Heading</v>
      </c>
      <c r="BN3" t="str">
        <f>""</f>
        <v/>
      </c>
      <c r="BO3" t="str">
        <f>""</f>
        <v/>
      </c>
      <c r="BP3" t="str">
        <f>""</f>
        <v/>
      </c>
      <c r="BQ3" t="str">
        <f>""</f>
        <v/>
      </c>
      <c r="BR3" t="str">
        <f>""</f>
        <v/>
      </c>
      <c r="BS3" t="str">
        <f>""</f>
        <v/>
      </c>
      <c r="BT3" t="str">
        <f>""</f>
        <v/>
      </c>
      <c r="BU3" t="str">
        <f>""</f>
        <v/>
      </c>
      <c r="BV3" t="str">
        <f>""</f>
        <v/>
      </c>
      <c r="BW3" t="str">
        <f>""</f>
        <v/>
      </c>
      <c r="BX3" t="str">
        <f>""</f>
        <v/>
      </c>
      <c r="BY3" t="str">
        <f>""</f>
        <v/>
      </c>
      <c r="BZ3" t="str">
        <f>""</f>
        <v/>
      </c>
      <c r="CA3" t="str">
        <f>""</f>
        <v/>
      </c>
      <c r="CB3" t="str">
        <f>""</f>
        <v/>
      </c>
      <c r="CC3" t="str">
        <f>""</f>
        <v/>
      </c>
      <c r="CD3" t="str">
        <f>""</f>
        <v/>
      </c>
      <c r="CE3" t="str">
        <f>""</f>
        <v/>
      </c>
      <c r="CF3" t="str">
        <f>""</f>
        <v/>
      </c>
      <c r="CG3" t="str">
        <f>""</f>
        <v/>
      </c>
      <c r="CH3" t="str">
        <f>""</f>
        <v/>
      </c>
      <c r="CI3" t="str">
        <f>""</f>
        <v/>
      </c>
      <c r="CJ3" t="str">
        <f>""</f>
        <v/>
      </c>
      <c r="CK3" t="str">
        <f>""</f>
        <v/>
      </c>
      <c r="CL3" t="str">
        <f>""</f>
        <v/>
      </c>
      <c r="CM3" t="str">
        <f>""</f>
        <v/>
      </c>
      <c r="CN3" t="str">
        <f>""</f>
        <v/>
      </c>
      <c r="CO3" t="str">
        <f>""</f>
        <v/>
      </c>
      <c r="CP3" t="str">
        <f>""</f>
        <v/>
      </c>
      <c r="CQ3" t="str">
        <f>""</f>
        <v/>
      </c>
      <c r="CR3" t="str">
        <f>""</f>
        <v/>
      </c>
      <c r="CS3" t="str">
        <f>""</f>
        <v/>
      </c>
      <c r="CT3" t="str">
        <f>""</f>
        <v/>
      </c>
      <c r="CU3" t="str">
        <f>""</f>
        <v/>
      </c>
      <c r="CV3" t="str">
        <f>""</f>
        <v/>
      </c>
      <c r="CW3" t="str">
        <f>""</f>
        <v/>
      </c>
      <c r="CX3" t="str">
        <f>""</f>
        <v/>
      </c>
      <c r="CY3" t="str">
        <f>""</f>
        <v/>
      </c>
      <c r="CZ3" t="str">
        <f>""</f>
        <v/>
      </c>
      <c r="DA3" t="str">
        <f>""</f>
        <v/>
      </c>
      <c r="DB3" t="str">
        <f>""</f>
        <v/>
      </c>
      <c r="DC3" t="str">
        <f>""</f>
        <v/>
      </c>
      <c r="DD3" t="str">
        <f>""</f>
        <v/>
      </c>
      <c r="DE3" t="str">
        <f>""</f>
        <v/>
      </c>
      <c r="DF3" t="str">
        <f>""</f>
        <v/>
      </c>
      <c r="DG3" t="str">
        <f>""</f>
        <v/>
      </c>
      <c r="DH3" t="str">
        <f>""</f>
        <v/>
      </c>
      <c r="DI3" t="str">
        <f>""</f>
        <v/>
      </c>
      <c r="DJ3" t="str">
        <f>""</f>
        <v/>
      </c>
      <c r="DK3" t="str">
        <f>""</f>
        <v/>
      </c>
      <c r="DL3" t="str">
        <f>""</f>
        <v/>
      </c>
      <c r="DM3" t="str">
        <f>""</f>
        <v/>
      </c>
      <c r="DN3" t="str">
        <f>""</f>
        <v/>
      </c>
      <c r="DO3" t="str">
        <f>""</f>
        <v/>
      </c>
      <c r="DP3" t="str">
        <f>""</f>
        <v/>
      </c>
      <c r="DQ3" t="str">
        <f>""</f>
        <v/>
      </c>
      <c r="DR3" t="str">
        <f>""</f>
        <v/>
      </c>
      <c r="DS3" t="str">
        <f>""</f>
        <v/>
      </c>
      <c r="DT3" t="str">
        <f>""</f>
        <v/>
      </c>
      <c r="DU3" t="str">
        <f>""</f>
        <v/>
      </c>
    </row>
    <row r="4" spans="1:125" x14ac:dyDescent="0.25">
      <c r="A4" t="str">
        <f>"P/E"</f>
        <v>P/E</v>
      </c>
      <c r="B4" t="str">
        <f>"BRAUTOCV Index"</f>
        <v>BRAUTOCV Index</v>
      </c>
      <c r="E4" t="str">
        <f>"Average"</f>
        <v>Average</v>
      </c>
      <c r="F4">
        <f ca="1">IF(ISERROR(IF(AVERAGE($F$5:$F$44) = 0, "", AVERAGE($F$5:$F$44))), "", (IF(AVERAGE($F$5:$F$44) = 0, "", AVERAGE($F$5:$F$44))))</f>
        <v>34.687064477083339</v>
      </c>
      <c r="G4">
        <f ca="1">IF(ISERROR(IF(AVERAGE($G$5:$G$44) = 0, "", AVERAGE($G$5:$G$44))), "", (IF(AVERAGE($G$5:$G$44) = 0, "", AVERAGE($G$5:$G$44))))</f>
        <v>36.354927041370381</v>
      </c>
      <c r="H4">
        <f ca="1">IF(ISERROR(IF(AVERAGE($H$5:$H$44) = 0, "", AVERAGE($H$5:$H$44))), "", (IF(AVERAGE($H$5:$H$44) = 0, "", AVERAGE($H$5:$H$44))))</f>
        <v>37.486505082464291</v>
      </c>
      <c r="I4">
        <f ca="1">IF(ISERROR(IF(AVERAGE($I$5:$I$44) = 0, "", AVERAGE($I$5:$I$44))), "", (IF(AVERAGE($I$5:$I$44) = 0, "", AVERAGE($I$5:$I$44))))</f>
        <v>16.321172442296294</v>
      </c>
      <c r="J4">
        <f ca="1">IF(ISERROR(IF(AVERAGE($J$5:$J$44) = 0, "", AVERAGE($J$5:$J$44))), "", (IF(AVERAGE($J$5:$J$44) = 0, "", AVERAGE($J$5:$J$44))))</f>
        <v>14.384378364370367</v>
      </c>
      <c r="K4">
        <f ca="1">IF(ISERROR(IF(AVERAGE($K$5:$K$44) = 0, "", AVERAGE($K$5:$K$44))), "", (IF(AVERAGE($K$5:$K$44) = 0, "", AVERAGE($K$5:$K$44))))</f>
        <v>14.531093478851854</v>
      </c>
      <c r="L4">
        <f ca="1">IF(ISERROR(IF(AVERAGE($L$5:$L$44) = 0, "", AVERAGE($L$5:$L$44))), "", (IF(AVERAGE($L$5:$L$44) = 0, "", AVERAGE($L$5:$L$44))))</f>
        <v>28.23143034664286</v>
      </c>
      <c r="M4">
        <f ca="1">IF(ISERROR(IF(AVERAGE($M$5:$M$44) = 0, "", AVERAGE($M$5:$M$44))), "", (IF(AVERAGE($M$5:$M$44) = 0, "", AVERAGE($M$5:$M$44))))</f>
        <v>32.532765875407406</v>
      </c>
      <c r="N4">
        <f ca="1">IF(ISERROR(IF(AVERAGE($N$5:$N$44) = 0, "", AVERAGE($N$5:$N$44))), "", (IF(AVERAGE($N$5:$N$44) = 0, "", AVERAGE($N$5:$N$44))))</f>
        <v>18.932371148479998</v>
      </c>
      <c r="O4">
        <f ca="1">IF(ISERROR(IF(AVERAGE($O$5:$O$44) = 0, "", AVERAGE($O$5:$O$44))), "", (IF(AVERAGE($O$5:$O$44) = 0, "", AVERAGE($O$5:$O$44))))</f>
        <v>13.060846422679997</v>
      </c>
      <c r="P4">
        <f ca="1">IF(ISERROR(IF(AVERAGE($P$5:$P$44) = 0, "", AVERAGE($P$5:$P$44))), "", (IF(AVERAGE($P$5:$P$44) = 0, "", AVERAGE($P$5:$P$44))))</f>
        <v>21.627870351703702</v>
      </c>
      <c r="Q4">
        <f ca="1">IF(ISERROR(IF(AVERAGE($Q$5:$Q$44) = 0, "", AVERAGE($Q$5:$Q$44))), "", (IF(AVERAGE($Q$5:$Q$44) = 0, "", AVERAGE($Q$5:$Q$44))))</f>
        <v>18.54378822662963</v>
      </c>
      <c r="R4">
        <f ca="1">IF(ISERROR(IF(AVERAGE($R$5:$R$44) = 0, "", AVERAGE($R$5:$R$44))), "", (IF(AVERAGE($R$5:$R$44) = 0, "", AVERAGE($R$5:$R$44))))</f>
        <v>30.510934477555551</v>
      </c>
      <c r="S4">
        <f ca="1">IF(ISERROR(IF(AVERAGE($S$5:$S$44) = 0, "", AVERAGE($S$5:$S$44))), "", (IF(AVERAGE($S$5:$S$44) = 0, "", AVERAGE($S$5:$S$44))))</f>
        <v>55.425386812137937</v>
      </c>
      <c r="T4">
        <f ca="1">IF(ISERROR(IF(AVERAGE($T$5:$T$44) = 0, "", AVERAGE($T$5:$T$44))), "", (IF(AVERAGE($T$5:$T$44) = 0, "", AVERAGE($T$5:$T$44))))</f>
        <v>11.931007438296296</v>
      </c>
      <c r="U4">
        <f ca="1">IF(ISERROR(IF(AVERAGE($U$5:$U$44) = 0, "", AVERAGE($U$5:$U$44))), "", (IF(AVERAGE($U$5:$U$44) = 0, "", AVERAGE($U$5:$U$44))))</f>
        <v>85.345390948666676</v>
      </c>
      <c r="V4">
        <f ca="1">IF(ISERROR(IF(AVERAGE($V$5:$V$44) = 0, "", AVERAGE($V$5:$V$44))), "", (IF(AVERAGE($V$5:$V$44) = 0, "", AVERAGE($V$5:$V$44))))</f>
        <v>74.162110639962947</v>
      </c>
      <c r="W4">
        <f ca="1">IF(ISERROR(IF(AVERAGE($W$5:$W$44) = 0, "", AVERAGE($W$5:$W$44))), "", (IF(AVERAGE($W$5:$W$44) = 0, "", AVERAGE($W$5:$W$44))))</f>
        <v>22.242459336037044</v>
      </c>
      <c r="X4">
        <f ca="1">IF(ISERROR(IF(AVERAGE($X$5:$X$44) = 0, "", AVERAGE($X$5:$X$44))), "", (IF(AVERAGE($X$5:$X$44) = 0, "", AVERAGE($X$5:$X$44))))</f>
        <v>19.241220315499994</v>
      </c>
      <c r="Y4">
        <f ca="1">IF(ISERROR(IF(AVERAGE($Y$5:$Y$44) = 0, "", AVERAGE($Y$5:$Y$44))), "", (IF(AVERAGE($Y$5:$Y$44) = 0, "", AVERAGE($Y$5:$Y$44))))</f>
        <v>19.748562005259259</v>
      </c>
      <c r="Z4">
        <f ca="1">IF(ISERROR(IF(AVERAGE($Z$5:$Z$44) = 0, "", AVERAGE($Z$5:$Z$44))), "", (IF(AVERAGE($Z$5:$Z$44) = 0, "", AVERAGE($Z$5:$Z$44))))</f>
        <v>20.278481407370371</v>
      </c>
      <c r="AA4">
        <f ca="1">IF(ISERROR(IF(AVERAGE($AA$5:$AA$44) = 0, "", AVERAGE($AA$5:$AA$44))), "", (IF(AVERAGE($AA$5:$AA$44) = 0, "", AVERAGE($AA$5:$AA$44))))</f>
        <v>17.101920842807694</v>
      </c>
      <c r="AB4">
        <f ca="1">IF(ISERROR(IF(AVERAGE($AB$5:$AB$44) = 0, "", AVERAGE($AB$5:$AB$44))), "", (IF(AVERAGE($AB$5:$AB$44) = 0, "", AVERAGE($AB$5:$AB$44))))</f>
        <v>25.119177397962964</v>
      </c>
      <c r="AC4">
        <f ca="1">IF(ISERROR(IF(AVERAGE($AC$5:$AC$44) = 0, "", AVERAGE($AC$5:$AC$44))), "", (IF(AVERAGE($AC$5:$AC$44) = 0, "", AVERAGE($AC$5:$AC$44))))</f>
        <v>20.910806248653845</v>
      </c>
      <c r="AD4">
        <f ca="1">IF(ISERROR(IF(AVERAGE($AD$5:$AD$44) = 0, "", AVERAGE($AD$5:$AD$44))), "", (IF(AVERAGE($AD$5:$AD$44) = 0, "", AVERAGE($AD$5:$AD$44))))</f>
        <v>35.566424224185184</v>
      </c>
      <c r="AE4">
        <f ca="1">IF(ISERROR(IF(AVERAGE($AE$5:$AE$44) = 0, "", AVERAGE($AE$5:$AE$44))), "", (IF(AVERAGE($AE$5:$AE$44) = 0, "", AVERAGE($AE$5:$AE$44))))</f>
        <v>43.932648451777773</v>
      </c>
      <c r="AF4">
        <f ca="1">IF(ISERROR(IF(AVERAGE($AF$5:$AF$44) = 0, "", AVERAGE($AF$5:$AF$44))), "", (IF(AVERAGE($AF$5:$AF$44) = 0, "", AVERAGE($AF$5:$AF$44))))</f>
        <v>14.45736995996154</v>
      </c>
      <c r="AG4">
        <f ca="1">IF(ISERROR(IF(AVERAGE($AG$5:$AG$44) = 0, "", AVERAGE($AG$5:$AG$44))), "", (IF(AVERAGE($AG$5:$AG$44) = 0, "", AVERAGE($AG$5:$AG$44))))</f>
        <v>14.076271249384616</v>
      </c>
      <c r="AH4">
        <f ca="1">IF(ISERROR(IF(AVERAGE($AH$5:$AH$44) = 0, "", AVERAGE($AH$5:$AH$44))), "", (IF(AVERAGE($AH$5:$AH$44) = 0, "", AVERAGE($AH$5:$AH$44))))</f>
        <v>19.529237211520002</v>
      </c>
      <c r="AI4">
        <f ca="1">IF(ISERROR(IF(AVERAGE($AI$5:$AI$44) = 0, "", AVERAGE($AI$5:$AI$44))), "", (IF(AVERAGE($AI$5:$AI$44) = 0, "", AVERAGE($AI$5:$AI$44))))</f>
        <v>17.169755633520001</v>
      </c>
      <c r="AJ4">
        <f ca="1">IF(ISERROR(IF(AVERAGE($AJ$5:$AJ$44) = 0, "", AVERAGE($AJ$5:$AJ$44))), "", (IF(AVERAGE($AJ$5:$AJ$44) = 0, "", AVERAGE($AJ$5:$AJ$44))))</f>
        <v>15.154880187923075</v>
      </c>
      <c r="AK4">
        <f ca="1">IF(ISERROR(IF(AVERAGE($AK$5:$AK$44) = 0, "", AVERAGE($AK$5:$AK$44))), "", (IF(AVERAGE($AK$5:$AK$44) = 0, "", AVERAGE($AK$5:$AK$44))))</f>
        <v>20.776684996576925</v>
      </c>
      <c r="AL4">
        <f ca="1">IF(ISERROR(IF(AVERAGE($AL$5:$AL$44) = 0, "", AVERAGE($AL$5:$AL$44))), "", (IF(AVERAGE($AL$5:$AL$44) = 0, "", AVERAGE($AL$5:$AL$44))))</f>
        <v>16.394380150555556</v>
      </c>
      <c r="AM4">
        <f ca="1">IF(ISERROR(IF(AVERAGE($AM$5:$AM$44) = 0, "", AVERAGE($AM$5:$AM$44))), "", (IF(AVERAGE($AM$5:$AM$44) = 0, "", AVERAGE($AM$5:$AM$44))))</f>
        <v>14.702490968851851</v>
      </c>
      <c r="AN4">
        <f ca="1">IF(ISERROR(IF(AVERAGE($AN$5:$AN$44) = 0, "", AVERAGE($AN$5:$AN$44))), "", (IF(AVERAGE($AN$5:$AN$44) = 0, "", AVERAGE($AN$5:$AN$44))))</f>
        <v>14.277567077416665</v>
      </c>
      <c r="AO4">
        <f ca="1">IF(ISERROR(IF(AVERAGE($AO$5:$AO$44) = 0, "", AVERAGE($AO$5:$AO$44))), "", (IF(AVERAGE($AO$5:$AO$44) = 0, "", AVERAGE($AO$5:$AO$44))))</f>
        <v>15.321908693478262</v>
      </c>
      <c r="AP4">
        <f ca="1">IF(ISERROR(IF(AVERAGE($AP$5:$AP$44) = 0, "", AVERAGE($AP$5:$AP$44))), "", (IF(AVERAGE($AP$5:$AP$44) = 0, "", AVERAGE($AP$5:$AP$44))))</f>
        <v>30.276526142315788</v>
      </c>
      <c r="AQ4">
        <f ca="1">IF(ISERROR(IF(AVERAGE($AQ$5:$AQ$44) = 0, "", AVERAGE($AQ$5:$AQ$44))), "", (IF(AVERAGE($AQ$5:$AQ$44) = 0, "", AVERAGE($AQ$5:$AQ$44))))</f>
        <v>78.139309126066692</v>
      </c>
      <c r="AR4">
        <f ca="1">IF(ISERROR(IF(AVERAGE($AR$5:$AR$44) = 0, "", AVERAGE($AR$5:$AR$44))), "", (IF(AVERAGE($AR$5:$AR$44) = 0, "", AVERAGE($AR$5:$AR$44))))</f>
        <v>68.43606687427274</v>
      </c>
      <c r="AS4">
        <f ca="1">IF(ISERROR(IF(AVERAGE($AS$5:$AS$44) = 0, "", AVERAGE($AS$5:$AS$44))), "", (IF(AVERAGE($AS$5:$AS$44) = 0, "", AVERAGE($AS$5:$AS$44))))</f>
        <v>128.61118195099999</v>
      </c>
      <c r="AT4">
        <f ca="1">IF(ISERROR(IF(AVERAGE($AT$5:$AT$44) = 0, "", AVERAGE($AT$5:$AT$44))), "", (IF(AVERAGE($AT$5:$AT$44) = 0, "", AVERAGE($AT$5:$AT$44))))</f>
        <v>115.07406504977774</v>
      </c>
      <c r="AU4">
        <f ca="1">IF(ISERROR(IF(AVERAGE($AU$5:$AU$44) = 0, "", AVERAGE($AU$5:$AU$44))), "", (IF(AVERAGE($AU$5:$AU$44) = 0, "", AVERAGE($AU$5:$AU$44))))</f>
        <v>30.421366965750003</v>
      </c>
      <c r="AV4">
        <f ca="1">IF(ISERROR(IF(AVERAGE($AV$5:$AV$44) = 0, "", AVERAGE($AV$5:$AV$44))), "", (IF(AVERAGE($AV$5:$AV$44) = 0, "", AVERAGE($AV$5:$AV$44))))</f>
        <v>12.202794393999998</v>
      </c>
      <c r="AW4">
        <f ca="1">IF(ISERROR(IF(AVERAGE($AW$5:$AW$44) = 0, "", AVERAGE($AW$5:$AW$44))), "", (IF(AVERAGE($AW$5:$AW$44) = 0, "", AVERAGE($AW$5:$AW$44))))</f>
        <v>12.202345811444445</v>
      </c>
      <c r="AX4">
        <f ca="1">IF(ISERROR(IF(AVERAGE($AX$5:$AX$44) = 0, "", AVERAGE($AX$5:$AX$44))), "", (IF(AVERAGE($AX$5:$AX$44) = 0, "", AVERAGE($AX$5:$AX$44))))</f>
        <v>17.360232400666664</v>
      </c>
      <c r="AY4">
        <f ca="1">IF(ISERROR(IF(AVERAGE($AY$5:$AY$44) = 0, "", AVERAGE($AY$5:$AY$44))), "", (IF(AVERAGE($AY$5:$AY$44) = 0, "", AVERAGE($AY$5:$AY$44))))</f>
        <v>23.609140261833332</v>
      </c>
      <c r="AZ4">
        <f ca="1">IF(ISERROR(IF(AVERAGE($AZ$5:$AZ$44) = 0, "", AVERAGE($AZ$5:$AZ$44))), "", (IF(AVERAGE($AZ$5:$AZ$44) = 0, "", AVERAGE($AZ$5:$AZ$44))))</f>
        <v>31.761149916888883</v>
      </c>
      <c r="BA4">
        <f ca="1">IF(ISERROR(IF(AVERAGE($BA$5:$BA$44) = 0, "", AVERAGE($BA$5:$BA$44))), "", (IF(AVERAGE($BA$5:$BA$44) = 0, "", AVERAGE($BA$5:$BA$44))))</f>
        <v>25.033147647944439</v>
      </c>
      <c r="BB4">
        <f ca="1">IF(ISERROR(IF(AVERAGE($BB$5:$BB$44) = 0, "", AVERAGE($BB$5:$BB$44))), "", (IF(AVERAGE($BB$5:$BB$44) = 0, "", AVERAGE($BB$5:$BB$44))))</f>
        <v>27.493162595499999</v>
      </c>
      <c r="BC4">
        <f ca="1">IF(ISERROR(IF(AVERAGE($BC$5:$BC$44) = 0, "", AVERAGE($BC$5:$BC$44))), "", (IF(AVERAGE($BC$5:$BC$44) = 0, "", AVERAGE($BC$5:$BC$44))))</f>
        <v>16.84466519875</v>
      </c>
      <c r="BD4">
        <f ca="1">IF(ISERROR(IF(AVERAGE($BD$5:$BD$44) = 0, "", AVERAGE($BD$5:$BD$44))), "", (IF(AVERAGE($BD$5:$BD$44) = 0, "", AVERAGE($BD$5:$BD$44))))</f>
        <v>62.248212331176468</v>
      </c>
      <c r="BE4">
        <f ca="1">IF(ISERROR(IF(AVERAGE($BE$5:$BE$44) = 0, "", AVERAGE($BE$5:$BE$44))), "", (IF(AVERAGE($BE$5:$BE$44) = 0, "", AVERAGE($BE$5:$BE$44))))</f>
        <v>55.035709124941178</v>
      </c>
      <c r="BF4">
        <f ca="1">IF(ISERROR(IF(AVERAGE($BF$5:$BF$44) = 0, "", AVERAGE($BF$5:$BF$44))), "", (IF(AVERAGE($BF$5:$BF$44) = 0, "", AVERAGE($BF$5:$BF$44))))</f>
        <v>16.195876609352943</v>
      </c>
      <c r="BG4">
        <f ca="1">IF(ISERROR(IF(AVERAGE($BG$5:$BG$44) = 0, "", AVERAGE($BG$5:$BG$44))), "", (IF(AVERAGE($BG$5:$BG$44) = 0, "", AVERAGE($BG$5:$BG$44))))</f>
        <v>15.533521314833337</v>
      </c>
      <c r="BH4">
        <f ca="1">IF(ISERROR(IF(AVERAGE($BH$5:$BH$44) = 0, "", AVERAGE($BH$5:$BH$44))), "", (IF(AVERAGE($BH$5:$BH$44) = 0, "", AVERAGE($BH$5:$BH$44))))</f>
        <v>17.593556690823529</v>
      </c>
      <c r="BI4">
        <f ca="1">IF(ISERROR(IF(AVERAGE($BI$5:$BI$44) = 0, "", AVERAGE($BI$5:$BI$44))), "", (IF(AVERAGE($BI$5:$BI$44) = 0, "", AVERAGE($BI$5:$BI$44))))</f>
        <v>14.747597999466665</v>
      </c>
      <c r="BJ4">
        <f ca="1">IF(ISERROR(IF(AVERAGE($BJ$5:$BJ$44) = 0, "", AVERAGE($BJ$5:$BJ$44))), "", (IF(AVERAGE($BJ$5:$BJ$44) = 0, "", AVERAGE($BJ$5:$BJ$44))))</f>
        <v>20.3363296429375</v>
      </c>
      <c r="BK4">
        <f ca="1">IF(ISERROR(IF(AVERAGE($BK$5:$BK$44) = 0, "", AVERAGE($BK$5:$BK$44))), "", (IF(AVERAGE($BK$5:$BK$44) = 0, "", AVERAGE($BK$5:$BK$44))))</f>
        <v>22.972410196083331</v>
      </c>
      <c r="BL4">
        <f ca="1">IF(ISERROR(IF(AVERAGE($BL$5:$BL$44) = 0, "", AVERAGE($BL$5:$BL$44))), "", (IF(AVERAGE($BL$5:$BL$44) = 0, "", AVERAGE($BL$5:$BL$44))))</f>
        <v>53.767536095333334</v>
      </c>
      <c r="BM4">
        <f ca="1">IF(ISERROR(IF(AVERAGE($BM$5:$BM$44) = 0, "", AVERAGE($BM$5:$BM$44))), "", (IF(AVERAGE($BM$5:$BM$44) = 0, "", AVERAGE($BM$5:$BM$44))))</f>
        <v>14.383343265727273</v>
      </c>
      <c r="BN4">
        <f>34.68706447</f>
        <v>34.687064470000003</v>
      </c>
      <c r="BO4">
        <f>36.35492704</f>
        <v>36.35492704</v>
      </c>
      <c r="BP4">
        <f>37.48650508</f>
        <v>37.486505080000001</v>
      </c>
      <c r="BQ4">
        <f>16.32117244</f>
        <v>16.321172440000002</v>
      </c>
      <c r="BR4">
        <f>14.38437836</f>
        <v>14.384378359999999</v>
      </c>
      <c r="BS4">
        <f>14.53109348</f>
        <v>14.531093479999999</v>
      </c>
      <c r="BT4">
        <f>28.23143035</f>
        <v>28.23143035</v>
      </c>
      <c r="BU4">
        <f>32.53276588</f>
        <v>32.532765879999999</v>
      </c>
      <c r="BV4">
        <f>18.93237115</f>
        <v>18.932371150000002</v>
      </c>
      <c r="BW4">
        <f>13.06084642</f>
        <v>13.060846420000001</v>
      </c>
      <c r="BX4">
        <f>21.62787035</f>
        <v>21.627870349999998</v>
      </c>
      <c r="BY4">
        <f>18.54378822</f>
        <v>18.54378822</v>
      </c>
      <c r="BZ4">
        <f>30.51093448</f>
        <v>30.51093448</v>
      </c>
      <c r="CA4">
        <f>55.42538681</f>
        <v>55.425386809999999</v>
      </c>
      <c r="CB4">
        <f>11.93100744</f>
        <v>11.93100744</v>
      </c>
      <c r="CC4">
        <f>85.34539093</f>
        <v>85.345390929999994</v>
      </c>
      <c r="CD4">
        <f>74.16211065</f>
        <v>74.162110650000002</v>
      </c>
      <c r="CE4">
        <f>22.24245934</f>
        <v>22.24245934</v>
      </c>
      <c r="CF4">
        <f>19.24122031</f>
        <v>19.241220309999999</v>
      </c>
      <c r="CG4">
        <f>19.74856201</f>
        <v>19.748562010000001</v>
      </c>
      <c r="CH4">
        <f>20.27848141</f>
        <v>20.278481410000001</v>
      </c>
      <c r="CI4">
        <f>17.10192084</f>
        <v>17.101920839999998</v>
      </c>
      <c r="CJ4">
        <f>25.1191774</f>
        <v>25.119177400000002</v>
      </c>
      <c r="CK4">
        <f>20.91080625</f>
        <v>20.91080625</v>
      </c>
      <c r="CL4">
        <f>35.56642423</f>
        <v>35.566424230000003</v>
      </c>
      <c r="CM4">
        <f>43.93264845</f>
        <v>43.932648450000002</v>
      </c>
      <c r="CN4">
        <f>14.45736996</f>
        <v>14.457369959999999</v>
      </c>
      <c r="CO4">
        <f>14.07627125</f>
        <v>14.07627125</v>
      </c>
      <c r="CP4">
        <f>19.52923721</f>
        <v>19.529237210000002</v>
      </c>
      <c r="CQ4">
        <f>17.16975563</f>
        <v>17.169755630000001</v>
      </c>
      <c r="CR4">
        <f>15.15488019</f>
        <v>15.15488019</v>
      </c>
      <c r="CS4">
        <f>20.776685</f>
        <v>20.776685000000001</v>
      </c>
      <c r="CT4">
        <f>16.39438015</f>
        <v>16.39438015</v>
      </c>
      <c r="CU4">
        <f>14.70249097</f>
        <v>14.702490969999999</v>
      </c>
      <c r="CV4">
        <f>14.27756708</f>
        <v>14.277567080000001</v>
      </c>
      <c r="CW4">
        <f>15.32190869</f>
        <v>15.321908690000001</v>
      </c>
      <c r="CX4">
        <f>30.27652614</f>
        <v>30.276526140000001</v>
      </c>
      <c r="CY4">
        <f>78.13930912</f>
        <v>78.139309119999993</v>
      </c>
      <c r="CZ4">
        <f>68.43606687</f>
        <v>68.436066870000005</v>
      </c>
      <c r="DA4">
        <f>128.6111819</f>
        <v>128.61118189999999</v>
      </c>
      <c r="DB4">
        <f>115.074065</f>
        <v>115.074065</v>
      </c>
      <c r="DC4">
        <f>30.42136696</f>
        <v>30.42136696</v>
      </c>
      <c r="DD4">
        <f>12.20279439</f>
        <v>12.202794389999999</v>
      </c>
      <c r="DE4">
        <f>12.20234581</f>
        <v>12.202345810000001</v>
      </c>
      <c r="DF4">
        <f>17.3602324</f>
        <v>17.360232400000001</v>
      </c>
      <c r="DG4">
        <f>23.60914026</f>
        <v>23.60914026</v>
      </c>
      <c r="DH4">
        <f>31.76114992</f>
        <v>31.761149920000001</v>
      </c>
      <c r="DI4">
        <f>25.03314765</f>
        <v>25.03314765</v>
      </c>
      <c r="DJ4">
        <f>27.49316259</f>
        <v>27.493162590000001</v>
      </c>
      <c r="DK4">
        <f>16.8446652</f>
        <v>16.844665200000001</v>
      </c>
      <c r="DL4">
        <f>62.24821233</f>
        <v>62.248212330000001</v>
      </c>
      <c r="DM4">
        <f>55.03570913</f>
        <v>55.035709130000001</v>
      </c>
      <c r="DN4">
        <f>16.19587661</f>
        <v>16.195876609999999</v>
      </c>
      <c r="DO4">
        <f>15.53352132</f>
        <v>15.53352132</v>
      </c>
      <c r="DP4">
        <f>17.59355669</f>
        <v>17.59355669</v>
      </c>
      <c r="DQ4">
        <f>14.747598</f>
        <v>14.747598</v>
      </c>
      <c r="DR4">
        <f>20.33632965</f>
        <v>20.33632965</v>
      </c>
      <c r="DS4">
        <f>22.9724102</f>
        <v>22.972410199999999</v>
      </c>
      <c r="DT4">
        <f>53.7675361</f>
        <v>53.767536100000001</v>
      </c>
      <c r="DU4">
        <f>14.38334327</f>
        <v>14.383343269999999</v>
      </c>
    </row>
    <row r="5" spans="1:125" x14ac:dyDescent="0.25">
      <c r="A5" t="str">
        <f>"    AUDI AG"</f>
        <v xml:space="preserve">    AUDI AG</v>
      </c>
      <c r="B5" t="str">
        <f>"NSU GR Equity"</f>
        <v>NSU GR Equity</v>
      </c>
      <c r="C5" t="str">
        <f t="shared" ref="C5:C44" si="0">"RR900"</f>
        <v>RR900</v>
      </c>
      <c r="D5" t="str">
        <f t="shared" ref="D5:D44" si="1">"PE_RATIO"</f>
        <v>PE_RATIO</v>
      </c>
      <c r="E5" t="str">
        <f t="shared" ref="E5:E44" si="2">"Dynamic"</f>
        <v>Dynamic</v>
      </c>
      <c r="F5" t="str">
        <f ca="1">IF(AND(ISNUMBER($F$679),$B$677=1),$F$679,HLOOKUP(INDIRECT(ADDRESS(2,COLUMN())),OFFSET($BN$2,0,0,ROW()-1,60),ROW()-1,FALSE))</f>
        <v/>
      </c>
      <c r="G5" t="str">
        <f ca="1">IF(AND(ISNUMBER($G$679),$B$677=1),$G$679,HLOOKUP(INDIRECT(ADDRESS(2,COLUMN())),OFFSET($BN$2,0,0,ROW()-1,60),ROW()-1,FALSE))</f>
        <v/>
      </c>
      <c r="H5" t="str">
        <f ca="1">IF(AND(ISNUMBER($H$679),$B$677=1),$H$679,HLOOKUP(INDIRECT(ADDRESS(2,COLUMN())),OFFSET($BN$2,0,0,ROW()-1,60),ROW()-1,FALSE))</f>
        <v/>
      </c>
      <c r="I5" t="str">
        <f ca="1">IF(AND(ISNUMBER($I$679),$B$677=1),$I$679,HLOOKUP(INDIRECT(ADDRESS(2,COLUMN())),OFFSET($BN$2,0,0,ROW()-1,60),ROW()-1,FALSE))</f>
        <v/>
      </c>
      <c r="J5" t="str">
        <f ca="1">IF(AND(ISNUMBER($J$679),$B$677=1),$J$679,HLOOKUP(INDIRECT(ADDRESS(2,COLUMN())),OFFSET($BN$2,0,0,ROW()-1,60),ROW()-1,FALSE))</f>
        <v/>
      </c>
      <c r="K5" t="str">
        <f ca="1">IF(AND(ISNUMBER($K$679),$B$677=1),$K$679,HLOOKUP(INDIRECT(ADDRESS(2,COLUMN())),OFFSET($BN$2,0,0,ROW()-1,60),ROW()-1,FALSE))</f>
        <v/>
      </c>
      <c r="L5" t="str">
        <f ca="1">IF(AND(ISNUMBER($L$679),$B$677=1),$L$679,HLOOKUP(INDIRECT(ADDRESS(2,COLUMN())),OFFSET($BN$2,0,0,ROW()-1,60),ROW()-1,FALSE))</f>
        <v/>
      </c>
      <c r="M5" t="str">
        <f ca="1">IF(AND(ISNUMBER($M$679),$B$677=1),$M$679,HLOOKUP(INDIRECT(ADDRESS(2,COLUMN())),OFFSET($BN$2,0,0,ROW()-1,60),ROW()-1,FALSE))</f>
        <v/>
      </c>
      <c r="N5" t="str">
        <f ca="1">IF(AND(ISNUMBER($N$679),$B$677=1),$N$679,HLOOKUP(INDIRECT(ADDRESS(2,COLUMN())),OFFSET($BN$2,0,0,ROW()-1,60),ROW()-1,FALSE))</f>
        <v/>
      </c>
      <c r="O5" t="str">
        <f ca="1">IF(AND(ISNUMBER($O$679),$B$677=1),$O$679,HLOOKUP(INDIRECT(ADDRESS(2,COLUMN())),OFFSET($BN$2,0,0,ROW()-1,60),ROW()-1,FALSE))</f>
        <v/>
      </c>
      <c r="P5" t="str">
        <f ca="1">IF(AND(ISNUMBER($P$679),$B$677=1),$P$679,HLOOKUP(INDIRECT(ADDRESS(2,COLUMN())),OFFSET($BN$2,0,0,ROW()-1,60),ROW()-1,FALSE))</f>
        <v/>
      </c>
      <c r="Q5" t="str">
        <f ca="1">IF(AND(ISNUMBER($Q$679),$B$677=1),$Q$679,HLOOKUP(INDIRECT(ADDRESS(2,COLUMN())),OFFSET($BN$2,0,0,ROW()-1,60),ROW()-1,FALSE))</f>
        <v/>
      </c>
      <c r="R5" t="str">
        <f ca="1">IF(AND(ISNUMBER($R$679),$B$677=1),$R$679,HLOOKUP(INDIRECT(ADDRESS(2,COLUMN())),OFFSET($BN$2,0,0,ROW()-1,60),ROW()-1,FALSE))</f>
        <v/>
      </c>
      <c r="S5" t="str">
        <f ca="1">IF(AND(ISNUMBER($S$679),$B$677=1),$S$679,HLOOKUP(INDIRECT(ADDRESS(2,COLUMN())),OFFSET($BN$2,0,0,ROW()-1,60),ROW()-1,FALSE))</f>
        <v/>
      </c>
      <c r="T5" t="str">
        <f ca="1">IF(AND(ISNUMBER($T$679),$B$677=1),$T$679,HLOOKUP(INDIRECT(ADDRESS(2,COLUMN())),OFFSET($BN$2,0,0,ROW()-1,60),ROW()-1,FALSE))</f>
        <v/>
      </c>
      <c r="U5" t="str">
        <f ca="1">IF(AND(ISNUMBER($U$679),$B$677=1),$U$679,HLOOKUP(INDIRECT(ADDRESS(2,COLUMN())),OFFSET($BN$2,0,0,ROW()-1,60),ROW()-1,FALSE))</f>
        <v/>
      </c>
      <c r="V5" t="str">
        <f ca="1">IF(AND(ISNUMBER($V$679),$B$677=1),$V$679,HLOOKUP(INDIRECT(ADDRESS(2,COLUMN())),OFFSET($BN$2,0,0,ROW()-1,60),ROW()-1,FALSE))</f>
        <v/>
      </c>
      <c r="W5" t="str">
        <f ca="1">IF(AND(ISNUMBER($W$679),$B$677=1),$W$679,HLOOKUP(INDIRECT(ADDRESS(2,COLUMN())),OFFSET($BN$2,0,0,ROW()-1,60),ROW()-1,FALSE))</f>
        <v/>
      </c>
      <c r="X5" t="str">
        <f ca="1">IF(AND(ISNUMBER($X$679),$B$677=1),$X$679,HLOOKUP(INDIRECT(ADDRESS(2,COLUMN())),OFFSET($BN$2,0,0,ROW()-1,60),ROW()-1,FALSE))</f>
        <v/>
      </c>
      <c r="Y5" t="str">
        <f ca="1">IF(AND(ISNUMBER($Y$679),$B$677=1),$Y$679,HLOOKUP(INDIRECT(ADDRESS(2,COLUMN())),OFFSET($BN$2,0,0,ROW()-1,60),ROW()-1,FALSE))</f>
        <v/>
      </c>
      <c r="Z5" t="str">
        <f ca="1">IF(AND(ISNUMBER($Z$679),$B$677=1),$Z$679,HLOOKUP(INDIRECT(ADDRESS(2,COLUMN())),OFFSET($BN$2,0,0,ROW()-1,60),ROW()-1,FALSE))</f>
        <v/>
      </c>
      <c r="AA5" t="str">
        <f ca="1">IF(AND(ISNUMBER($AA$679),$B$677=1),$AA$679,HLOOKUP(INDIRECT(ADDRESS(2,COLUMN())),OFFSET($BN$2,0,0,ROW()-1,60),ROW()-1,FALSE))</f>
        <v/>
      </c>
      <c r="AB5" t="str">
        <f ca="1">IF(AND(ISNUMBER($AB$679),$B$677=1),$AB$679,HLOOKUP(INDIRECT(ADDRESS(2,COLUMN())),OFFSET($BN$2,0,0,ROW()-1,60),ROW()-1,FALSE))</f>
        <v/>
      </c>
      <c r="AC5" t="str">
        <f ca="1">IF(AND(ISNUMBER($AC$679),$B$677=1),$AC$679,HLOOKUP(INDIRECT(ADDRESS(2,COLUMN())),OFFSET($BN$2,0,0,ROW()-1,60),ROW()-1,FALSE))</f>
        <v/>
      </c>
      <c r="AD5" t="str">
        <f ca="1">IF(AND(ISNUMBER($AD$679),$B$677=1),$AD$679,HLOOKUP(INDIRECT(ADDRESS(2,COLUMN())),OFFSET($BN$2,0,0,ROW()-1,60),ROW()-1,FALSE))</f>
        <v/>
      </c>
      <c r="AE5" t="str">
        <f ca="1">IF(AND(ISNUMBER($AE$679),$B$677=1),$AE$679,HLOOKUP(INDIRECT(ADDRESS(2,COLUMN())),OFFSET($BN$2,0,0,ROW()-1,60),ROW()-1,FALSE))</f>
        <v/>
      </c>
      <c r="AF5" t="str">
        <f ca="1">IF(AND(ISNUMBER($AF$679),$B$677=1),$AF$679,HLOOKUP(INDIRECT(ADDRESS(2,COLUMN())),OFFSET($BN$2,0,0,ROW()-1,60),ROW()-1,FALSE))</f>
        <v/>
      </c>
      <c r="AG5" t="str">
        <f ca="1">IF(AND(ISNUMBER($AG$679),$B$677=1),$AG$679,HLOOKUP(INDIRECT(ADDRESS(2,COLUMN())),OFFSET($BN$2,0,0,ROW()-1,60),ROW()-1,FALSE))</f>
        <v/>
      </c>
      <c r="AH5" t="str">
        <f ca="1">IF(AND(ISNUMBER($AH$679),$B$677=1),$AH$679,HLOOKUP(INDIRECT(ADDRESS(2,COLUMN())),OFFSET($BN$2,0,0,ROW()-1,60),ROW()-1,FALSE))</f>
        <v/>
      </c>
      <c r="AI5" t="str">
        <f ca="1">IF(AND(ISNUMBER($AI$679),$B$677=1),$AI$679,HLOOKUP(INDIRECT(ADDRESS(2,COLUMN())),OFFSET($BN$2,0,0,ROW()-1,60),ROW()-1,FALSE))</f>
        <v/>
      </c>
      <c r="AJ5" t="str">
        <f ca="1">IF(AND(ISNUMBER($AJ$679),$B$677=1),$AJ$679,HLOOKUP(INDIRECT(ADDRESS(2,COLUMN())),OFFSET($BN$2,0,0,ROW()-1,60),ROW()-1,FALSE))</f>
        <v/>
      </c>
      <c r="AK5" t="str">
        <f ca="1">IF(AND(ISNUMBER($AK$679),$B$677=1),$AK$679,HLOOKUP(INDIRECT(ADDRESS(2,COLUMN())),OFFSET($BN$2,0,0,ROW()-1,60),ROW()-1,FALSE))</f>
        <v/>
      </c>
      <c r="AL5" t="str">
        <f ca="1">IF(AND(ISNUMBER($AL$679),$B$677=1),$AL$679,HLOOKUP(INDIRECT(ADDRESS(2,COLUMN())),OFFSET($BN$2,0,0,ROW()-1,60),ROW()-1,FALSE))</f>
        <v/>
      </c>
      <c r="AM5" t="str">
        <f ca="1">IF(AND(ISNUMBER($AM$679),$B$677=1),$AM$679,HLOOKUP(INDIRECT(ADDRESS(2,COLUMN())),OFFSET($BN$2,0,0,ROW()-1,60),ROW()-1,FALSE))</f>
        <v/>
      </c>
      <c r="AN5" t="str">
        <f ca="1">IF(AND(ISNUMBER($AN$679),$B$677=1),$AN$679,HLOOKUP(INDIRECT(ADDRESS(2,COLUMN())),OFFSET($BN$2,0,0,ROW()-1,60),ROW()-1,FALSE))</f>
        <v/>
      </c>
      <c r="AO5" t="str">
        <f ca="1">IF(AND(ISNUMBER($AO$679),$B$677=1),$AO$679,HLOOKUP(INDIRECT(ADDRESS(2,COLUMN())),OFFSET($BN$2,0,0,ROW()-1,60),ROW()-1,FALSE))</f>
        <v/>
      </c>
      <c r="AP5" t="str">
        <f ca="1">IF(AND(ISNUMBER($AP$679),$B$677=1),$AP$679,HLOOKUP(INDIRECT(ADDRESS(2,COLUMN())),OFFSET($BN$2,0,0,ROW()-1,60),ROW()-1,FALSE))</f>
        <v/>
      </c>
      <c r="AQ5" t="str">
        <f ca="1">IF(AND(ISNUMBER($AQ$679),$B$677=1),$AQ$679,HLOOKUP(INDIRECT(ADDRESS(2,COLUMN())),OFFSET($BN$2,0,0,ROW()-1,60),ROW()-1,FALSE))</f>
        <v/>
      </c>
      <c r="AR5" t="str">
        <f ca="1">IF(AND(ISNUMBER($AR$679),$B$677=1),$AR$679,HLOOKUP(INDIRECT(ADDRESS(2,COLUMN())),OFFSET($BN$2,0,0,ROW()-1,60),ROW()-1,FALSE))</f>
        <v/>
      </c>
      <c r="AS5" t="str">
        <f ca="1">IF(AND(ISNUMBER($AS$679),$B$677=1),$AS$679,HLOOKUP(INDIRECT(ADDRESS(2,COLUMN())),OFFSET($BN$2,0,0,ROW()-1,60),ROW()-1,FALSE))</f>
        <v/>
      </c>
      <c r="AT5" t="str">
        <f ca="1">IF(AND(ISNUMBER($AT$679),$B$677=1),$AT$679,HLOOKUP(INDIRECT(ADDRESS(2,COLUMN())),OFFSET($BN$2,0,0,ROW()-1,60),ROW()-1,FALSE))</f>
        <v/>
      </c>
      <c r="AU5" t="str">
        <f ca="1">IF(AND(ISNUMBER($AU$679),$B$677=1),$AU$679,HLOOKUP(INDIRECT(ADDRESS(2,COLUMN())),OFFSET($BN$2,0,0,ROW()-1,60),ROW()-1,FALSE))</f>
        <v/>
      </c>
      <c r="AV5" t="str">
        <f ca="1">IF(AND(ISNUMBER($AV$679),$B$677=1),$AV$679,HLOOKUP(INDIRECT(ADDRESS(2,COLUMN())),OFFSET($BN$2,0,0,ROW()-1,60),ROW()-1,FALSE))</f>
        <v/>
      </c>
      <c r="AW5" t="str">
        <f ca="1">IF(AND(ISNUMBER($AW$679),$B$677=1),$AW$679,HLOOKUP(INDIRECT(ADDRESS(2,COLUMN())),OFFSET($BN$2,0,0,ROW()-1,60),ROW()-1,FALSE))</f>
        <v/>
      </c>
      <c r="AX5" t="str">
        <f ca="1">IF(AND(ISNUMBER($AX$679),$B$677=1),$AX$679,HLOOKUP(INDIRECT(ADDRESS(2,COLUMN())),OFFSET($BN$2,0,0,ROW()-1,60),ROW()-1,FALSE))</f>
        <v/>
      </c>
      <c r="AY5" t="str">
        <f ca="1">IF(AND(ISNUMBER($AY$679),$B$677=1),$AY$679,HLOOKUP(INDIRECT(ADDRESS(2,COLUMN())),OFFSET($BN$2,0,0,ROW()-1,60),ROW()-1,FALSE))</f>
        <v/>
      </c>
      <c r="AZ5" t="str">
        <f ca="1">IF(AND(ISNUMBER($AZ$679),$B$677=1),$AZ$679,HLOOKUP(INDIRECT(ADDRESS(2,COLUMN())),OFFSET($BN$2,0,0,ROW()-1,60),ROW()-1,FALSE))</f>
        <v/>
      </c>
      <c r="BA5" t="str">
        <f ca="1">IF(AND(ISNUMBER($BA$679),$B$677=1),$BA$679,HLOOKUP(INDIRECT(ADDRESS(2,COLUMN())),OFFSET($BN$2,0,0,ROW()-1,60),ROW()-1,FALSE))</f>
        <v/>
      </c>
      <c r="BB5" t="str">
        <f ca="1">IF(AND(ISNUMBER($BB$679),$B$677=1),$BB$679,HLOOKUP(INDIRECT(ADDRESS(2,COLUMN())),OFFSET($BN$2,0,0,ROW()-1,60),ROW()-1,FALSE))</f>
        <v/>
      </c>
      <c r="BC5" t="str">
        <f ca="1">IF(AND(ISNUMBER($BC$679),$B$677=1),$BC$679,HLOOKUP(INDIRECT(ADDRESS(2,COLUMN())),OFFSET($BN$2,0,0,ROW()-1,60),ROW()-1,FALSE))</f>
        <v/>
      </c>
      <c r="BD5" t="str">
        <f ca="1">IF(AND(ISNUMBER($BD$679),$B$677=1),$BD$679,HLOOKUP(INDIRECT(ADDRESS(2,COLUMN())),OFFSET($BN$2,0,0,ROW()-1,60),ROW()-1,FALSE))</f>
        <v/>
      </c>
      <c r="BE5" t="str">
        <f ca="1">IF(AND(ISNUMBER($BE$679),$B$677=1),$BE$679,HLOOKUP(INDIRECT(ADDRESS(2,COLUMN())),OFFSET($BN$2,0,0,ROW()-1,60),ROW()-1,FALSE))</f>
        <v/>
      </c>
      <c r="BF5" t="str">
        <f ca="1">IF(AND(ISNUMBER($BF$679),$B$677=1),$BF$679,HLOOKUP(INDIRECT(ADDRESS(2,COLUMN())),OFFSET($BN$2,0,0,ROW()-1,60),ROW()-1,FALSE))</f>
        <v/>
      </c>
      <c r="BG5" t="str">
        <f ca="1">IF(AND(ISNUMBER($BG$679),$B$677=1),$BG$679,HLOOKUP(INDIRECT(ADDRESS(2,COLUMN())),OFFSET($BN$2,0,0,ROW()-1,60),ROW()-1,FALSE))</f>
        <v/>
      </c>
      <c r="BH5" t="str">
        <f ca="1">IF(AND(ISNUMBER($BH$679),$B$677=1),$BH$679,HLOOKUP(INDIRECT(ADDRESS(2,COLUMN())),OFFSET($BN$2,0,0,ROW()-1,60),ROW()-1,FALSE))</f>
        <v/>
      </c>
      <c r="BI5" t="str">
        <f ca="1">IF(AND(ISNUMBER($BI$679),$B$677=1),$BI$679,HLOOKUP(INDIRECT(ADDRESS(2,COLUMN())),OFFSET($BN$2,0,0,ROW()-1,60),ROW()-1,FALSE))</f>
        <v/>
      </c>
      <c r="BJ5" t="str">
        <f ca="1">IF(AND(ISNUMBER($BJ$679),$B$677=1),$BJ$679,HLOOKUP(INDIRECT(ADDRESS(2,COLUMN())),OFFSET($BN$2,0,0,ROW()-1,60),ROW()-1,FALSE))</f>
        <v/>
      </c>
      <c r="BK5" t="str">
        <f ca="1">IF(AND(ISNUMBER($BK$679),$B$677=1),$BK$679,HLOOKUP(INDIRECT(ADDRESS(2,COLUMN())),OFFSET($BN$2,0,0,ROW()-1,60),ROW()-1,FALSE))</f>
        <v/>
      </c>
      <c r="BL5" t="str">
        <f ca="1">IF(AND(ISNUMBER($BL$679),$B$677=1),$BL$679,HLOOKUP(INDIRECT(ADDRESS(2,COLUMN())),OFFSET($BN$2,0,0,ROW()-1,60),ROW()-1,FALSE))</f>
        <v/>
      </c>
      <c r="BM5" t="str">
        <f ca="1">IF(AND(ISNUMBER($BM$679),$B$677=1),$BM$679,HLOOKUP(INDIRECT(ADDRESS(2,COLUMN())),OFFSET($BN$2,0,0,ROW()-1,60),ROW()-1,FALSE))</f>
        <v/>
      </c>
      <c r="BN5" t="str">
        <f>""</f>
        <v/>
      </c>
      <c r="BO5" t="str">
        <f>""</f>
        <v/>
      </c>
      <c r="BP5" t="str">
        <f>""</f>
        <v/>
      </c>
      <c r="BQ5" t="str">
        <f>""</f>
        <v/>
      </c>
      <c r="BR5" t="str">
        <f>""</f>
        <v/>
      </c>
      <c r="BS5" t="str">
        <f>""</f>
        <v/>
      </c>
      <c r="BT5" t="str">
        <f>""</f>
        <v/>
      </c>
      <c r="BU5" t="str">
        <f>""</f>
        <v/>
      </c>
      <c r="BV5" t="str">
        <f>""</f>
        <v/>
      </c>
      <c r="BW5" t="str">
        <f>""</f>
        <v/>
      </c>
      <c r="BX5" t="str">
        <f>""</f>
        <v/>
      </c>
      <c r="BY5" t="str">
        <f>""</f>
        <v/>
      </c>
      <c r="BZ5" t="str">
        <f>""</f>
        <v/>
      </c>
      <c r="CA5" t="str">
        <f>""</f>
        <v/>
      </c>
      <c r="CB5" t="str">
        <f>""</f>
        <v/>
      </c>
      <c r="CC5" t="str">
        <f>""</f>
        <v/>
      </c>
      <c r="CD5" t="str">
        <f>""</f>
        <v/>
      </c>
      <c r="CE5" t="str">
        <f>""</f>
        <v/>
      </c>
      <c r="CF5" t="str">
        <f>""</f>
        <v/>
      </c>
      <c r="CG5" t="str">
        <f>""</f>
        <v/>
      </c>
      <c r="CH5" t="str">
        <f>""</f>
        <v/>
      </c>
      <c r="CI5" t="str">
        <f>""</f>
        <v/>
      </c>
      <c r="CJ5" t="str">
        <f>""</f>
        <v/>
      </c>
      <c r="CK5" t="str">
        <f>""</f>
        <v/>
      </c>
      <c r="CL5" t="str">
        <f>""</f>
        <v/>
      </c>
      <c r="CM5" t="str">
        <f>""</f>
        <v/>
      </c>
      <c r="CN5" t="str">
        <f>""</f>
        <v/>
      </c>
      <c r="CO5" t="str">
        <f>""</f>
        <v/>
      </c>
      <c r="CP5" t="str">
        <f>""</f>
        <v/>
      </c>
      <c r="CQ5" t="str">
        <f>""</f>
        <v/>
      </c>
      <c r="CR5" t="str">
        <f>""</f>
        <v/>
      </c>
      <c r="CS5" t="str">
        <f>""</f>
        <v/>
      </c>
      <c r="CT5" t="str">
        <f>""</f>
        <v/>
      </c>
      <c r="CU5" t="str">
        <f>""</f>
        <v/>
      </c>
      <c r="CV5" t="str">
        <f>""</f>
        <v/>
      </c>
      <c r="CW5" t="str">
        <f>""</f>
        <v/>
      </c>
      <c r="CX5" t="str">
        <f>""</f>
        <v/>
      </c>
      <c r="CY5" t="str">
        <f>""</f>
        <v/>
      </c>
      <c r="CZ5" t="str">
        <f>""</f>
        <v/>
      </c>
      <c r="DA5" t="str">
        <f>""</f>
        <v/>
      </c>
      <c r="DB5" t="str">
        <f>""</f>
        <v/>
      </c>
      <c r="DC5" t="str">
        <f>""</f>
        <v/>
      </c>
      <c r="DD5" t="str">
        <f>""</f>
        <v/>
      </c>
      <c r="DE5" t="str">
        <f>""</f>
        <v/>
      </c>
      <c r="DF5" t="str">
        <f>""</f>
        <v/>
      </c>
      <c r="DG5" t="str">
        <f>""</f>
        <v/>
      </c>
      <c r="DH5" t="str">
        <f>""</f>
        <v/>
      </c>
      <c r="DI5" t="str">
        <f>""</f>
        <v/>
      </c>
      <c r="DJ5" t="str">
        <f>""</f>
        <v/>
      </c>
      <c r="DK5" t="str">
        <f>""</f>
        <v/>
      </c>
      <c r="DL5" t="str">
        <f>""</f>
        <v/>
      </c>
      <c r="DM5" t="str">
        <f>""</f>
        <v/>
      </c>
      <c r="DN5" t="str">
        <f>""</f>
        <v/>
      </c>
      <c r="DO5" t="str">
        <f>""</f>
        <v/>
      </c>
      <c r="DP5" t="str">
        <f>""</f>
        <v/>
      </c>
      <c r="DQ5" t="str">
        <f>""</f>
        <v/>
      </c>
      <c r="DR5" t="str">
        <f>""</f>
        <v/>
      </c>
      <c r="DS5" t="str">
        <f>""</f>
        <v/>
      </c>
      <c r="DT5" t="str">
        <f>""</f>
        <v/>
      </c>
      <c r="DU5" t="str">
        <f>""</f>
        <v/>
      </c>
    </row>
    <row r="6" spans="1:125" x14ac:dyDescent="0.25">
      <c r="A6" t="str">
        <f>"    Avtovaz PJSC"</f>
        <v xml:space="preserve">    Avtovaz PJSC</v>
      </c>
      <c r="B6" t="str">
        <f>"AVAZ RM Equity"</f>
        <v>AVAZ RM Equity</v>
      </c>
      <c r="C6" t="str">
        <f t="shared" si="0"/>
        <v>RR900</v>
      </c>
      <c r="D6" t="str">
        <f t="shared" si="1"/>
        <v>PE_RATIO</v>
      </c>
      <c r="E6" t="str">
        <f t="shared" si="2"/>
        <v>Dynamic</v>
      </c>
      <c r="F6">
        <f ca="1">IF(AND(ISNUMBER($F$680),$B$677=1),$F$680,HLOOKUP(INDIRECT(ADDRESS(2,COLUMN())),OFFSET($BN$2,0,0,ROW()-1,60),ROW()-1,FALSE))</f>
        <v>496.56338979999998</v>
      </c>
      <c r="G6">
        <f ca="1">IF(AND(ISNUMBER($G$680),$B$677=1),$G$680,HLOOKUP(INDIRECT(ADDRESS(2,COLUMN())),OFFSET($BN$2,0,0,ROW()-1,60),ROW()-1,FALSE))</f>
        <v>496.56338979999998</v>
      </c>
      <c r="H6">
        <f ca="1">IF(AND(ISNUMBER($H$680),$B$677=1),$H$680,HLOOKUP(INDIRECT(ADDRESS(2,COLUMN())),OFFSET($BN$2,0,0,ROW()-1,60),ROW()-1,FALSE))</f>
        <v>479.17558380000003</v>
      </c>
      <c r="I6" t="str">
        <f ca="1">IF(AND(ISNUMBER($I$680),$B$677=1),$I$680,HLOOKUP(INDIRECT(ADDRESS(2,COLUMN())),OFFSET($BN$2,0,0,ROW()-1,60),ROW()-1,FALSE))</f>
        <v/>
      </c>
      <c r="J6" t="str">
        <f ca="1">IF(AND(ISNUMBER($J$680),$B$677=1),$J$680,HLOOKUP(INDIRECT(ADDRESS(2,COLUMN())),OFFSET($BN$2,0,0,ROW()-1,60),ROW()-1,FALSE))</f>
        <v/>
      </c>
      <c r="K6" t="str">
        <f ca="1">IF(AND(ISNUMBER($K$680),$B$677=1),$K$680,HLOOKUP(INDIRECT(ADDRESS(2,COLUMN())),OFFSET($BN$2,0,0,ROW()-1,60),ROW()-1,FALSE))</f>
        <v/>
      </c>
      <c r="L6" t="str">
        <f ca="1">IF(AND(ISNUMBER($L$680),$B$677=1),$L$680,HLOOKUP(INDIRECT(ADDRESS(2,COLUMN())),OFFSET($BN$2,0,0,ROW()-1,60),ROW()-1,FALSE))</f>
        <v/>
      </c>
      <c r="M6" t="str">
        <f ca="1">IF(AND(ISNUMBER($M$680),$B$677=1),$M$680,HLOOKUP(INDIRECT(ADDRESS(2,COLUMN())),OFFSET($BN$2,0,0,ROW()-1,60),ROW()-1,FALSE))</f>
        <v/>
      </c>
      <c r="N6" t="str">
        <f ca="1">IF(AND(ISNUMBER($N$680),$B$677=1),$N$680,HLOOKUP(INDIRECT(ADDRESS(2,COLUMN())),OFFSET($BN$2,0,0,ROW()-1,60),ROW()-1,FALSE))</f>
        <v/>
      </c>
      <c r="O6" t="str">
        <f ca="1">IF(AND(ISNUMBER($O$680),$B$677=1),$O$680,HLOOKUP(INDIRECT(ADDRESS(2,COLUMN())),OFFSET($BN$2,0,0,ROW()-1,60),ROW()-1,FALSE))</f>
        <v/>
      </c>
      <c r="P6" t="str">
        <f ca="1">IF(AND(ISNUMBER($P$680),$B$677=1),$P$680,HLOOKUP(INDIRECT(ADDRESS(2,COLUMN())),OFFSET($BN$2,0,0,ROW()-1,60),ROW()-1,FALSE))</f>
        <v/>
      </c>
      <c r="Q6" t="str">
        <f ca="1">IF(AND(ISNUMBER($Q$680),$B$677=1),$Q$680,HLOOKUP(INDIRECT(ADDRESS(2,COLUMN())),OFFSET($BN$2,0,0,ROW()-1,60),ROW()-1,FALSE))</f>
        <v/>
      </c>
      <c r="R6" t="str">
        <f ca="1">IF(AND(ISNUMBER($R$680),$B$677=1),$R$680,HLOOKUP(INDIRECT(ADDRESS(2,COLUMN())),OFFSET($BN$2,0,0,ROW()-1,60),ROW()-1,FALSE))</f>
        <v/>
      </c>
      <c r="S6" t="str">
        <f ca="1">IF(AND(ISNUMBER($S$680),$B$677=1),$S$680,HLOOKUP(INDIRECT(ADDRESS(2,COLUMN())),OFFSET($BN$2,0,0,ROW()-1,60),ROW()-1,FALSE))</f>
        <v/>
      </c>
      <c r="T6" t="str">
        <f ca="1">IF(AND(ISNUMBER($T$680),$B$677=1),$T$680,HLOOKUP(INDIRECT(ADDRESS(2,COLUMN())),OFFSET($BN$2,0,0,ROW()-1,60),ROW()-1,FALSE))</f>
        <v/>
      </c>
      <c r="U6" t="str">
        <f ca="1">IF(AND(ISNUMBER($U$680),$B$677=1),$U$680,HLOOKUP(INDIRECT(ADDRESS(2,COLUMN())),OFFSET($BN$2,0,0,ROW()-1,60),ROW()-1,FALSE))</f>
        <v/>
      </c>
      <c r="V6" t="str">
        <f ca="1">IF(AND(ISNUMBER($V$680),$B$677=1),$V$680,HLOOKUP(INDIRECT(ADDRESS(2,COLUMN())),OFFSET($BN$2,0,0,ROW()-1,60),ROW()-1,FALSE))</f>
        <v/>
      </c>
      <c r="W6" t="str">
        <f ca="1">IF(AND(ISNUMBER($W$680),$B$677=1),$W$680,HLOOKUP(INDIRECT(ADDRESS(2,COLUMN())),OFFSET($BN$2,0,0,ROW()-1,60),ROW()-1,FALSE))</f>
        <v/>
      </c>
      <c r="X6" t="str">
        <f ca="1">IF(AND(ISNUMBER($X$680),$B$677=1),$X$680,HLOOKUP(INDIRECT(ADDRESS(2,COLUMN())),OFFSET($BN$2,0,0,ROW()-1,60),ROW()-1,FALSE))</f>
        <v/>
      </c>
      <c r="Y6" t="str">
        <f ca="1">IF(AND(ISNUMBER($Y$680),$B$677=1),$Y$680,HLOOKUP(INDIRECT(ADDRESS(2,COLUMN())),OFFSET($BN$2,0,0,ROW()-1,60),ROW()-1,FALSE))</f>
        <v/>
      </c>
      <c r="Z6" t="str">
        <f ca="1">IF(AND(ISNUMBER($Z$680),$B$677=1),$Z$680,HLOOKUP(INDIRECT(ADDRESS(2,COLUMN())),OFFSET($BN$2,0,0,ROW()-1,60),ROW()-1,FALSE))</f>
        <v/>
      </c>
      <c r="AA6" t="str">
        <f ca="1">IF(AND(ISNUMBER($AA$680),$B$677=1),$AA$680,HLOOKUP(INDIRECT(ADDRESS(2,COLUMN())),OFFSET($BN$2,0,0,ROW()-1,60),ROW()-1,FALSE))</f>
        <v/>
      </c>
      <c r="AB6" t="str">
        <f ca="1">IF(AND(ISNUMBER($AB$680),$B$677=1),$AB$680,HLOOKUP(INDIRECT(ADDRESS(2,COLUMN())),OFFSET($BN$2,0,0,ROW()-1,60),ROW()-1,FALSE))</f>
        <v/>
      </c>
      <c r="AC6" t="str">
        <f ca="1">IF(AND(ISNUMBER($AC$680),$B$677=1),$AC$680,HLOOKUP(INDIRECT(ADDRESS(2,COLUMN())),OFFSET($BN$2,0,0,ROW()-1,60),ROW()-1,FALSE))</f>
        <v/>
      </c>
      <c r="AD6" t="str">
        <f ca="1">IF(AND(ISNUMBER($AD$680),$B$677=1),$AD$680,HLOOKUP(INDIRECT(ADDRESS(2,COLUMN())),OFFSET($BN$2,0,0,ROW()-1,60),ROW()-1,FALSE))</f>
        <v/>
      </c>
      <c r="AE6" t="str">
        <f ca="1">IF(AND(ISNUMBER($AE$680),$B$677=1),$AE$680,HLOOKUP(INDIRECT(ADDRESS(2,COLUMN())),OFFSET($BN$2,0,0,ROW()-1,60),ROW()-1,FALSE))</f>
        <v/>
      </c>
      <c r="AF6" t="str">
        <f ca="1">IF(AND(ISNUMBER($AF$680),$B$677=1),$AF$680,HLOOKUP(INDIRECT(ADDRESS(2,COLUMN())),OFFSET($BN$2,0,0,ROW()-1,60),ROW()-1,FALSE))</f>
        <v/>
      </c>
      <c r="AG6" t="str">
        <f ca="1">IF(AND(ISNUMBER($AG$680),$B$677=1),$AG$680,HLOOKUP(INDIRECT(ADDRESS(2,COLUMN())),OFFSET($BN$2,0,0,ROW()-1,60),ROW()-1,FALSE))</f>
        <v/>
      </c>
      <c r="AH6" t="str">
        <f ca="1">IF(AND(ISNUMBER($AH$680),$B$677=1),$AH$680,HLOOKUP(INDIRECT(ADDRESS(2,COLUMN())),OFFSET($BN$2,0,0,ROW()-1,60),ROW()-1,FALSE))</f>
        <v/>
      </c>
      <c r="AI6" t="str">
        <f ca="1">IF(AND(ISNUMBER($AI$680),$B$677=1),$AI$680,HLOOKUP(INDIRECT(ADDRESS(2,COLUMN())),OFFSET($BN$2,0,0,ROW()-1,60),ROW()-1,FALSE))</f>
        <v/>
      </c>
      <c r="AJ6" t="str">
        <f ca="1">IF(AND(ISNUMBER($AJ$680),$B$677=1),$AJ$680,HLOOKUP(INDIRECT(ADDRESS(2,COLUMN())),OFFSET($BN$2,0,0,ROW()-1,60),ROW()-1,FALSE))</f>
        <v/>
      </c>
      <c r="AK6" t="str">
        <f ca="1">IF(AND(ISNUMBER($AK$680),$B$677=1),$AK$680,HLOOKUP(INDIRECT(ADDRESS(2,COLUMN())),OFFSET($BN$2,0,0,ROW()-1,60),ROW()-1,FALSE))</f>
        <v/>
      </c>
      <c r="AL6" t="str">
        <f ca="1">IF(AND(ISNUMBER($AL$680),$B$677=1),$AL$680,HLOOKUP(INDIRECT(ADDRESS(2,COLUMN())),OFFSET($BN$2,0,0,ROW()-1,60),ROW()-1,FALSE))</f>
        <v/>
      </c>
      <c r="AM6" t="str">
        <f ca="1">IF(AND(ISNUMBER($AM$680),$B$677=1),$AM$680,HLOOKUP(INDIRECT(ADDRESS(2,COLUMN())),OFFSET($BN$2,0,0,ROW()-1,60),ROW()-1,FALSE))</f>
        <v/>
      </c>
      <c r="AN6" t="str">
        <f ca="1">IF(AND(ISNUMBER($AN$680),$B$677=1),$AN$680,HLOOKUP(INDIRECT(ADDRESS(2,COLUMN())),OFFSET($BN$2,0,0,ROW()-1,60),ROW()-1,FALSE))</f>
        <v/>
      </c>
      <c r="AO6" t="str">
        <f ca="1">IF(AND(ISNUMBER($AO$680),$B$677=1),$AO$680,HLOOKUP(INDIRECT(ADDRESS(2,COLUMN())),OFFSET($BN$2,0,0,ROW()-1,60),ROW()-1,FALSE))</f>
        <v/>
      </c>
      <c r="AP6" t="str">
        <f ca="1">IF(AND(ISNUMBER($AP$680),$B$677=1),$AP$680,HLOOKUP(INDIRECT(ADDRESS(2,COLUMN())),OFFSET($BN$2,0,0,ROW()-1,60),ROW()-1,FALSE))</f>
        <v/>
      </c>
      <c r="AQ6" t="str">
        <f ca="1">IF(AND(ISNUMBER($AQ$680),$B$677=1),$AQ$680,HLOOKUP(INDIRECT(ADDRESS(2,COLUMN())),OFFSET($BN$2,0,0,ROW()-1,60),ROW()-1,FALSE))</f>
        <v/>
      </c>
      <c r="AR6" t="str">
        <f ca="1">IF(AND(ISNUMBER($AR$680),$B$677=1),$AR$680,HLOOKUP(INDIRECT(ADDRESS(2,COLUMN())),OFFSET($BN$2,0,0,ROW()-1,60),ROW()-1,FALSE))</f>
        <v/>
      </c>
      <c r="AS6" t="str">
        <f ca="1">IF(AND(ISNUMBER($AS$680),$B$677=1),$AS$680,HLOOKUP(INDIRECT(ADDRESS(2,COLUMN())),OFFSET($BN$2,0,0,ROW()-1,60),ROW()-1,FALSE))</f>
        <v/>
      </c>
      <c r="AT6" t="str">
        <f ca="1">IF(AND(ISNUMBER($AT$680),$B$677=1),$AT$680,HLOOKUP(INDIRECT(ADDRESS(2,COLUMN())),OFFSET($BN$2,0,0,ROW()-1,60),ROW()-1,FALSE))</f>
        <v/>
      </c>
      <c r="AU6" t="str">
        <f ca="1">IF(AND(ISNUMBER($AU$680),$B$677=1),$AU$680,HLOOKUP(INDIRECT(ADDRESS(2,COLUMN())),OFFSET($BN$2,0,0,ROW()-1,60),ROW()-1,FALSE))</f>
        <v/>
      </c>
      <c r="AV6" t="str">
        <f ca="1">IF(AND(ISNUMBER($AV$680),$B$677=1),$AV$680,HLOOKUP(INDIRECT(ADDRESS(2,COLUMN())),OFFSET($BN$2,0,0,ROW()-1,60),ROW()-1,FALSE))</f>
        <v/>
      </c>
      <c r="AW6" t="str">
        <f ca="1">IF(AND(ISNUMBER($AW$680),$B$677=1),$AW$680,HLOOKUP(INDIRECT(ADDRESS(2,COLUMN())),OFFSET($BN$2,0,0,ROW()-1,60),ROW()-1,FALSE))</f>
        <v/>
      </c>
      <c r="AX6" t="str">
        <f ca="1">IF(AND(ISNUMBER($AX$680),$B$677=1),$AX$680,HLOOKUP(INDIRECT(ADDRESS(2,COLUMN())),OFFSET($BN$2,0,0,ROW()-1,60),ROW()-1,FALSE))</f>
        <v/>
      </c>
      <c r="AY6" t="str">
        <f ca="1">IF(AND(ISNUMBER($AY$680),$B$677=1),$AY$680,HLOOKUP(INDIRECT(ADDRESS(2,COLUMN())),OFFSET($BN$2,0,0,ROW()-1,60),ROW()-1,FALSE))</f>
        <v/>
      </c>
      <c r="AZ6" t="str">
        <f ca="1">IF(AND(ISNUMBER($AZ$680),$B$677=1),$AZ$680,HLOOKUP(INDIRECT(ADDRESS(2,COLUMN())),OFFSET($BN$2,0,0,ROW()-1,60),ROW()-1,FALSE))</f>
        <v/>
      </c>
      <c r="BA6" t="str">
        <f ca="1">IF(AND(ISNUMBER($BA$680),$B$677=1),$BA$680,HLOOKUP(INDIRECT(ADDRESS(2,COLUMN())),OFFSET($BN$2,0,0,ROW()-1,60),ROW()-1,FALSE))</f>
        <v/>
      </c>
      <c r="BB6" t="str">
        <f ca="1">IF(AND(ISNUMBER($BB$680),$B$677=1),$BB$680,HLOOKUP(INDIRECT(ADDRESS(2,COLUMN())),OFFSET($BN$2,0,0,ROW()-1,60),ROW()-1,FALSE))</f>
        <v/>
      </c>
      <c r="BC6" t="str">
        <f ca="1">IF(AND(ISNUMBER($BC$680),$B$677=1),$BC$680,HLOOKUP(INDIRECT(ADDRESS(2,COLUMN())),OFFSET($BN$2,0,0,ROW()-1,60),ROW()-1,FALSE))</f>
        <v/>
      </c>
      <c r="BD6" t="str">
        <f ca="1">IF(AND(ISNUMBER($BD$680),$B$677=1),$BD$680,HLOOKUP(INDIRECT(ADDRESS(2,COLUMN())),OFFSET($BN$2,0,0,ROW()-1,60),ROW()-1,FALSE))</f>
        <v/>
      </c>
      <c r="BE6" t="str">
        <f ca="1">IF(AND(ISNUMBER($BE$680),$B$677=1),$BE$680,HLOOKUP(INDIRECT(ADDRESS(2,COLUMN())),OFFSET($BN$2,0,0,ROW()-1,60),ROW()-1,FALSE))</f>
        <v/>
      </c>
      <c r="BF6" t="str">
        <f ca="1">IF(AND(ISNUMBER($BF$680),$B$677=1),$BF$680,HLOOKUP(INDIRECT(ADDRESS(2,COLUMN())),OFFSET($BN$2,0,0,ROW()-1,60),ROW()-1,FALSE))</f>
        <v/>
      </c>
      <c r="BG6" t="str">
        <f ca="1">IF(AND(ISNUMBER($BG$680),$B$677=1),$BG$680,HLOOKUP(INDIRECT(ADDRESS(2,COLUMN())),OFFSET($BN$2,0,0,ROW()-1,60),ROW()-1,FALSE))</f>
        <v/>
      </c>
      <c r="BH6" t="str">
        <f ca="1">IF(AND(ISNUMBER($BH$680),$B$677=1),$BH$680,HLOOKUP(INDIRECT(ADDRESS(2,COLUMN())),OFFSET($BN$2,0,0,ROW()-1,60),ROW()-1,FALSE))</f>
        <v/>
      </c>
      <c r="BI6" t="str">
        <f ca="1">IF(AND(ISNUMBER($BI$680),$B$677=1),$BI$680,HLOOKUP(INDIRECT(ADDRESS(2,COLUMN())),OFFSET($BN$2,0,0,ROW()-1,60),ROW()-1,FALSE))</f>
        <v/>
      </c>
      <c r="BJ6" t="str">
        <f ca="1">IF(AND(ISNUMBER($BJ$680),$B$677=1),$BJ$680,HLOOKUP(INDIRECT(ADDRESS(2,COLUMN())),OFFSET($BN$2,0,0,ROW()-1,60),ROW()-1,FALSE))</f>
        <v/>
      </c>
      <c r="BK6" t="str">
        <f ca="1">IF(AND(ISNUMBER($BK$680),$B$677=1),$BK$680,HLOOKUP(INDIRECT(ADDRESS(2,COLUMN())),OFFSET($BN$2,0,0,ROW()-1,60),ROW()-1,FALSE))</f>
        <v/>
      </c>
      <c r="BL6" t="str">
        <f ca="1">IF(AND(ISNUMBER($BL$680),$B$677=1),$BL$680,HLOOKUP(INDIRECT(ADDRESS(2,COLUMN())),OFFSET($BN$2,0,0,ROW()-1,60),ROW()-1,FALSE))</f>
        <v/>
      </c>
      <c r="BM6" t="str">
        <f ca="1">IF(AND(ISNUMBER($BM$680),$B$677=1),$BM$680,HLOOKUP(INDIRECT(ADDRESS(2,COLUMN())),OFFSET($BN$2,0,0,ROW()-1,60),ROW()-1,FALSE))</f>
        <v/>
      </c>
      <c r="BN6">
        <f>496.5633898</f>
        <v>496.56338979999998</v>
      </c>
      <c r="BO6">
        <f>496.5633898</f>
        <v>496.56338979999998</v>
      </c>
      <c r="BP6">
        <f>479.1755838</f>
        <v>479.17558380000003</v>
      </c>
      <c r="BQ6" t="str">
        <f>""</f>
        <v/>
      </c>
      <c r="BR6" t="str">
        <f>""</f>
        <v/>
      </c>
      <c r="BS6" t="str">
        <f>""</f>
        <v/>
      </c>
      <c r="BT6" t="str">
        <f>""</f>
        <v/>
      </c>
      <c r="BU6" t="str">
        <f>""</f>
        <v/>
      </c>
      <c r="BV6" t="str">
        <f>""</f>
        <v/>
      </c>
      <c r="BW6" t="str">
        <f>""</f>
        <v/>
      </c>
      <c r="BX6" t="str">
        <f>""</f>
        <v/>
      </c>
      <c r="BY6" t="str">
        <f>""</f>
        <v/>
      </c>
      <c r="BZ6" t="str">
        <f>""</f>
        <v/>
      </c>
      <c r="CA6" t="str">
        <f>""</f>
        <v/>
      </c>
      <c r="CB6" t="str">
        <f>""</f>
        <v/>
      </c>
      <c r="CC6" t="str">
        <f>""</f>
        <v/>
      </c>
      <c r="CD6" t="str">
        <f>""</f>
        <v/>
      </c>
      <c r="CE6" t="str">
        <f>""</f>
        <v/>
      </c>
      <c r="CF6" t="str">
        <f>""</f>
        <v/>
      </c>
      <c r="CG6" t="str">
        <f>""</f>
        <v/>
      </c>
      <c r="CH6" t="str">
        <f>""</f>
        <v/>
      </c>
      <c r="CI6" t="str">
        <f>""</f>
        <v/>
      </c>
      <c r="CJ6" t="str">
        <f>""</f>
        <v/>
      </c>
      <c r="CK6" t="str">
        <f>""</f>
        <v/>
      </c>
      <c r="CL6" t="str">
        <f>""</f>
        <v/>
      </c>
      <c r="CM6" t="str">
        <f>""</f>
        <v/>
      </c>
      <c r="CN6" t="str">
        <f>""</f>
        <v/>
      </c>
      <c r="CO6" t="str">
        <f>""</f>
        <v/>
      </c>
      <c r="CP6" t="str">
        <f>""</f>
        <v/>
      </c>
      <c r="CQ6" t="str">
        <f>""</f>
        <v/>
      </c>
      <c r="CR6" t="str">
        <f>""</f>
        <v/>
      </c>
      <c r="CS6" t="str">
        <f>""</f>
        <v/>
      </c>
      <c r="CT6" t="str">
        <f>""</f>
        <v/>
      </c>
      <c r="CU6" t="str">
        <f>""</f>
        <v/>
      </c>
      <c r="CV6" t="str">
        <f>""</f>
        <v/>
      </c>
      <c r="CW6" t="str">
        <f>""</f>
        <v/>
      </c>
      <c r="CX6" t="str">
        <f>""</f>
        <v/>
      </c>
      <c r="CY6" t="str">
        <f>""</f>
        <v/>
      </c>
      <c r="CZ6" t="str">
        <f>""</f>
        <v/>
      </c>
      <c r="DA6" t="str">
        <f>""</f>
        <v/>
      </c>
      <c r="DB6" t="str">
        <f>""</f>
        <v/>
      </c>
      <c r="DC6" t="str">
        <f>""</f>
        <v/>
      </c>
      <c r="DD6" t="str">
        <f>""</f>
        <v/>
      </c>
      <c r="DE6" t="str">
        <f>""</f>
        <v/>
      </c>
      <c r="DF6" t="str">
        <f>""</f>
        <v/>
      </c>
      <c r="DG6" t="str">
        <f>""</f>
        <v/>
      </c>
      <c r="DH6" t="str">
        <f>""</f>
        <v/>
      </c>
      <c r="DI6" t="str">
        <f>""</f>
        <v/>
      </c>
      <c r="DJ6" t="str">
        <f>""</f>
        <v/>
      </c>
      <c r="DK6" t="str">
        <f>""</f>
        <v/>
      </c>
      <c r="DL6" t="str">
        <f>""</f>
        <v/>
      </c>
      <c r="DM6" t="str">
        <f>""</f>
        <v/>
      </c>
      <c r="DN6" t="str">
        <f>""</f>
        <v/>
      </c>
      <c r="DO6" t="str">
        <f>""</f>
        <v/>
      </c>
      <c r="DP6" t="str">
        <f>""</f>
        <v/>
      </c>
      <c r="DQ6" t="str">
        <f>""</f>
        <v/>
      </c>
      <c r="DR6" t="str">
        <f>""</f>
        <v/>
      </c>
      <c r="DS6" t="str">
        <f>""</f>
        <v/>
      </c>
      <c r="DT6" t="str">
        <f>""</f>
        <v/>
      </c>
      <c r="DU6" t="str">
        <f>""</f>
        <v/>
      </c>
    </row>
    <row r="7" spans="1:125" x14ac:dyDescent="0.25">
      <c r="A7" t="str">
        <f>"    Bayerische Motoren Werke AG"</f>
        <v xml:space="preserve">    Bayerische Motoren Werke AG</v>
      </c>
      <c r="B7" t="str">
        <f>"BMW GR Equity"</f>
        <v>BMW GR Equity</v>
      </c>
      <c r="C7" t="str">
        <f t="shared" si="0"/>
        <v>RR900</v>
      </c>
      <c r="D7" t="str">
        <f t="shared" si="1"/>
        <v>PE_RATIO</v>
      </c>
      <c r="E7" t="str">
        <f t="shared" si="2"/>
        <v>Dynamic</v>
      </c>
      <c r="F7">
        <f ca="1">IF(AND(ISNUMBER($F$681),$B$677=1),$F$681,HLOOKUP(INDIRECT(ADDRESS(2,COLUMN())),OFFSET($BN$2,0,0,ROW()-1,60),ROW()-1,FALSE))</f>
        <v>5.8124451400000003</v>
      </c>
      <c r="G7">
        <f ca="1">IF(AND(ISNUMBER($G$681),$B$677=1),$G$681,HLOOKUP(INDIRECT(ADDRESS(2,COLUMN())),OFFSET($BN$2,0,0,ROW()-1,60),ROW()-1,FALSE))</f>
        <v>5.6246902739999998</v>
      </c>
      <c r="H7">
        <f ca="1">IF(AND(ISNUMBER($H$681),$B$677=1),$H$681,HLOOKUP(INDIRECT(ADDRESS(2,COLUMN())),OFFSET($BN$2,0,0,ROW()-1,60),ROW()-1,FALSE))</f>
        <v>6.165678872</v>
      </c>
      <c r="I7">
        <f ca="1">IF(AND(ISNUMBER($I$681),$B$677=1),$I$681,HLOOKUP(INDIRECT(ADDRESS(2,COLUMN())),OFFSET($BN$2,0,0,ROW()-1,60),ROW()-1,FALSE))</f>
        <v>5.8724194179999998</v>
      </c>
      <c r="J7">
        <f ca="1">IF(AND(ISNUMBER($J$681),$B$677=1),$J$681,HLOOKUP(INDIRECT(ADDRESS(2,COLUMN())),OFFSET($BN$2,0,0,ROW()-1,60),ROW()-1,FALSE))</f>
        <v>6.5766562469999998</v>
      </c>
      <c r="K7">
        <f ca="1">IF(AND(ISNUMBER($K$681),$B$677=1),$K$681,HLOOKUP(INDIRECT(ADDRESS(2,COLUMN())),OFFSET($BN$2,0,0,ROW()-1,60),ROW()-1,FALSE))</f>
        <v>6.4819636730000001</v>
      </c>
      <c r="L7">
        <f ca="1">IF(AND(ISNUMBER($L$681),$B$677=1),$L$681,HLOOKUP(INDIRECT(ADDRESS(2,COLUMN())),OFFSET($BN$2,0,0,ROW()-1,60),ROW()-1,FALSE))</f>
        <v>7.2466670119999996</v>
      </c>
      <c r="M7">
        <f ca="1">IF(AND(ISNUMBER($M$681),$B$677=1),$M$681,HLOOKUP(INDIRECT(ADDRESS(2,COLUMN())),OFFSET($BN$2,0,0,ROW()-1,60),ROW()-1,FALSE))</f>
        <v>6.9097844439999996</v>
      </c>
      <c r="N7">
        <f ca="1">IF(AND(ISNUMBER($N$681),$B$677=1),$N$681,HLOOKUP(INDIRECT(ADDRESS(2,COLUMN())),OFFSET($BN$2,0,0,ROW()-1,60),ROW()-1,FALSE))</f>
        <v>7.4939441919999998</v>
      </c>
      <c r="O7">
        <f ca="1">IF(AND(ISNUMBER($O$681),$B$677=1),$O$681,HLOOKUP(INDIRECT(ADDRESS(2,COLUMN())),OFFSET($BN$2,0,0,ROW()-1,60),ROW()-1,FALSE))</f>
        <v>8.5001868129999991</v>
      </c>
      <c r="P7">
        <f ca="1">IF(AND(ISNUMBER($P$681),$B$677=1),$P$681,HLOOKUP(INDIRECT(ADDRESS(2,COLUMN())),OFFSET($BN$2,0,0,ROW()-1,60),ROW()-1,FALSE))</f>
        <v>7.0995475289999996</v>
      </c>
      <c r="Q7">
        <f ca="1">IF(AND(ISNUMBER($Q$681),$B$677=1),$Q$681,HLOOKUP(INDIRECT(ADDRESS(2,COLUMN())),OFFSET($BN$2,0,0,ROW()-1,60),ROW()-1,FALSE))</f>
        <v>6.5015281979999999</v>
      </c>
      <c r="R7">
        <f ca="1">IF(AND(ISNUMBER($R$681),$B$677=1),$R$681,HLOOKUP(INDIRECT(ADDRESS(2,COLUMN())),OFFSET($BN$2,0,0,ROW()-1,60),ROW()-1,FALSE))</f>
        <v>8.1702912489999999</v>
      </c>
      <c r="S7">
        <f ca="1">IF(AND(ISNUMBER($S$681),$B$677=1),$S$681,HLOOKUP(INDIRECT(ADDRESS(2,COLUMN())),OFFSET($BN$2,0,0,ROW()-1,60),ROW()-1,FALSE))</f>
        <v>10.066152239999999</v>
      </c>
      <c r="T7">
        <f ca="1">IF(AND(ISNUMBER($T$681),$B$677=1),$T$681,HLOOKUP(INDIRECT(ADDRESS(2,COLUMN())),OFFSET($BN$2,0,0,ROW()-1,60),ROW()-1,FALSE))</f>
        <v>8.4995795909999998</v>
      </c>
      <c r="U7">
        <f ca="1">IF(AND(ISNUMBER($U$681),$B$677=1),$U$681,HLOOKUP(INDIRECT(ADDRESS(2,COLUMN())),OFFSET($BN$2,0,0,ROW()-1,60),ROW()-1,FALSE))</f>
        <v>11.0806415</v>
      </c>
      <c r="V7">
        <f ca="1">IF(AND(ISNUMBER($V$681),$B$677=1),$V$681,HLOOKUP(INDIRECT(ADDRESS(2,COLUMN())),OFFSET($BN$2,0,0,ROW()-1,60),ROW()-1,FALSE))</f>
        <v>12.987881659999999</v>
      </c>
      <c r="W7">
        <f ca="1">IF(AND(ISNUMBER($W$681),$B$677=1),$W$681,HLOOKUP(INDIRECT(ADDRESS(2,COLUMN())),OFFSET($BN$2,0,0,ROW()-1,60),ROW()-1,FALSE))</f>
        <v>10.16594832</v>
      </c>
      <c r="X7">
        <f ca="1">IF(AND(ISNUMBER($X$681),$B$677=1),$X$681,HLOOKUP(INDIRECT(ADDRESS(2,COLUMN())),OFFSET($BN$2,0,0,ROW()-1,60),ROW()-1,FALSE))</f>
        <v>9.7398190049999993</v>
      </c>
      <c r="Y7">
        <f ca="1">IF(AND(ISNUMBER($Y$681),$B$677=1),$Y$681,HLOOKUP(INDIRECT(ADDRESS(2,COLUMN())),OFFSET($BN$2,0,0,ROW()-1,60),ROW()-1,FALSE))</f>
        <v>10.42287411</v>
      </c>
      <c r="Z7">
        <f ca="1">IF(AND(ISNUMBER($Z$681),$B$677=1),$Z$681,HLOOKUP(INDIRECT(ADDRESS(2,COLUMN())),OFFSET($BN$2,0,0,ROW()-1,60),ROW()-1,FALSE))</f>
        <v>11.01791094</v>
      </c>
      <c r="AA7">
        <f ca="1">IF(AND(ISNUMBER($AA$681),$B$677=1),$AA$681,HLOOKUP(INDIRECT(ADDRESS(2,COLUMN())),OFFSET($BN$2,0,0,ROW()-1,60),ROW()-1,FALSE))</f>
        <v>10.555191689999999</v>
      </c>
      <c r="AB7">
        <f ca="1">IF(AND(ISNUMBER($AB$681),$B$677=1),$AB$681,HLOOKUP(INDIRECT(ADDRESS(2,COLUMN())),OFFSET($BN$2,0,0,ROW()-1,60),ROW()-1,FALSE))</f>
        <v>10.0545802</v>
      </c>
      <c r="AC7">
        <f ca="1">IF(AND(ISNUMBER($AC$681),$B$677=1),$AC$681,HLOOKUP(INDIRECT(ADDRESS(2,COLUMN())),OFFSET($BN$2,0,0,ROW()-1,60),ROW()-1,FALSE))</f>
        <v>8.5576335879999998</v>
      </c>
      <c r="AD7">
        <f ca="1">IF(AND(ISNUMBER($AD$681),$B$677=1),$AD$681,HLOOKUP(INDIRECT(ADDRESS(2,COLUMN())),OFFSET($BN$2,0,0,ROW()-1,60),ROW()-1,FALSE))</f>
        <v>8.8270481140000001</v>
      </c>
      <c r="AE7">
        <f ca="1">IF(AND(ISNUMBER($AE$681),$B$677=1),$AE$681,HLOOKUP(INDIRECT(ADDRESS(2,COLUMN())),OFFSET($BN$2,0,0,ROW()-1,60),ROW()-1,FALSE))</f>
        <v>9.4103225810000009</v>
      </c>
      <c r="AF7">
        <f ca="1">IF(AND(ISNUMBER($AF$681),$B$677=1),$AF$681,HLOOKUP(INDIRECT(ADDRESS(2,COLUMN())),OFFSET($BN$2,0,0,ROW()-1,60),ROW()-1,FALSE))</f>
        <v>7.8583218710000002</v>
      </c>
      <c r="AG7">
        <f ca="1">IF(AND(ISNUMBER($AG$681),$B$677=1),$AG$681,HLOOKUP(INDIRECT(ADDRESS(2,COLUMN())),OFFSET($BN$2,0,0,ROW()-1,60),ROW()-1,FALSE))</f>
        <v>8.1126961479999995</v>
      </c>
      <c r="AH7">
        <f ca="1">IF(AND(ISNUMBER($AH$681),$B$677=1),$AH$681,HLOOKUP(INDIRECT(ADDRESS(2,COLUMN())),OFFSET($BN$2,0,0,ROW()-1,60),ROW()-1,FALSE))</f>
        <v>8.6756756759999991</v>
      </c>
      <c r="AI7">
        <f ca="1">IF(AND(ISNUMBER($AI$681),$B$677=1),$AI$681,HLOOKUP(INDIRECT(ADDRESS(2,COLUMN())),OFFSET($BN$2,0,0,ROW()-1,60),ROW()-1,FALSE))</f>
        <v>6.9476510070000002</v>
      </c>
      <c r="AJ7">
        <f ca="1">IF(AND(ISNUMBER($AJ$681),$B$677=1),$AJ$681,HLOOKUP(INDIRECT(ADDRESS(2,COLUMN())),OFFSET($BN$2,0,0,ROW()-1,60),ROW()-1,FALSE))</f>
        <v>6.2550251259999996</v>
      </c>
      <c r="AK7">
        <f ca="1">IF(AND(ISNUMBER($AK$681),$B$677=1),$AK$681,HLOOKUP(INDIRECT(ADDRESS(2,COLUMN())),OFFSET($BN$2,0,0,ROW()-1,60),ROW()-1,FALSE))</f>
        <v>8.9618421050000006</v>
      </c>
      <c r="AL7">
        <f ca="1">IF(AND(ISNUMBER($AL$681),$B$677=1),$AL$681,HLOOKUP(INDIRECT(ADDRESS(2,COLUMN())),OFFSET($BN$2,0,0,ROW()-1,60),ROW()-1,FALSE))</f>
        <v>9.5332252840000002</v>
      </c>
      <c r="AM7">
        <f ca="1">IF(AND(ISNUMBER($AM$681),$B$677=1),$AM$681,HLOOKUP(INDIRECT(ADDRESS(2,COLUMN())),OFFSET($BN$2,0,0,ROW()-1,60),ROW()-1,FALSE))</f>
        <v>11.93711968</v>
      </c>
      <c r="AN7">
        <f ca="1">IF(AND(ISNUMBER($AN$681),$B$677=1),$AN$681,HLOOKUP(INDIRECT(ADDRESS(2,COLUMN())),OFFSET($BN$2,0,0,ROW()-1,60),ROW()-1,FALSE))</f>
        <v>15.4084913</v>
      </c>
      <c r="AO7">
        <f ca="1">IF(AND(ISNUMBER($AO$681),$B$677=1),$AO$681,HLOOKUP(INDIRECT(ADDRESS(2,COLUMN())),OFFSET($BN$2,0,0,ROW()-1,60),ROW()-1,FALSE))</f>
        <v>18.867170789999999</v>
      </c>
      <c r="AP7">
        <f ca="1">IF(AND(ISNUMBER($AP$681),$B$677=1),$AP$681,HLOOKUP(INDIRECT(ADDRESS(2,COLUMN())),OFFSET($BN$2,0,0,ROW()-1,60),ROW()-1,FALSE))</f>
        <v>32.979369220000002</v>
      </c>
      <c r="AQ7">
        <f ca="1">IF(AND(ISNUMBER($AQ$681),$B$677=1),$AQ$681,HLOOKUP(INDIRECT(ADDRESS(2,COLUMN())),OFFSET($BN$2,0,0,ROW()-1,60),ROW()-1,FALSE))</f>
        <v>100.0723794</v>
      </c>
      <c r="AR7" t="str">
        <f ca="1">IF(AND(ISNUMBER($AR$681),$B$677=1),$AR$681,HLOOKUP(INDIRECT(ADDRESS(2,COLUMN())),OFFSET($BN$2,0,0,ROW()-1,60),ROW()-1,FALSE))</f>
        <v/>
      </c>
      <c r="AS7" t="str">
        <f ca="1">IF(AND(ISNUMBER($AS$681),$B$677=1),$AS$681,HLOOKUP(INDIRECT(ADDRESS(2,COLUMN())),OFFSET($BN$2,0,0,ROW()-1,60),ROW()-1,FALSE))</f>
        <v/>
      </c>
      <c r="AT7">
        <f ca="1">IF(AND(ISNUMBER($AT$681),$B$677=1),$AT$681,HLOOKUP(INDIRECT(ADDRESS(2,COLUMN())),OFFSET($BN$2,0,0,ROW()-1,60),ROW()-1,FALSE))</f>
        <v>44.307157879999998</v>
      </c>
      <c r="AU7">
        <f ca="1">IF(AND(ISNUMBER($AU$681),$B$677=1),$AU$681,HLOOKUP(INDIRECT(ADDRESS(2,COLUMN())),OFFSET($BN$2,0,0,ROW()-1,60),ROW()-1,FALSE))</f>
        <v>44.471792000000001</v>
      </c>
      <c r="AV7">
        <f ca="1">IF(AND(ISNUMBER($AV$681),$B$677=1),$AV$681,HLOOKUP(INDIRECT(ADDRESS(2,COLUMN())),OFFSET($BN$2,0,0,ROW()-1,60),ROW()-1,FALSE))</f>
        <v>7.9250720460000004</v>
      </c>
      <c r="AW7">
        <f ca="1">IF(AND(ISNUMBER($AW$681),$B$677=1),$AW$681,HLOOKUP(INDIRECT(ADDRESS(2,COLUMN())),OFFSET($BN$2,0,0,ROW()-1,60),ROW()-1,FALSE))</f>
        <v>7.2051886789999999</v>
      </c>
      <c r="AX7">
        <f ca="1">IF(AND(ISNUMBER($AX$681),$B$677=1),$AX$681,HLOOKUP(INDIRECT(ADDRESS(2,COLUMN())),OFFSET($BN$2,0,0,ROW()-1,60),ROW()-1,FALSE))</f>
        <v>7.5714285710000002</v>
      </c>
      <c r="AY7">
        <f ca="1">IF(AND(ISNUMBER($AY$681),$B$677=1),$AY$681,HLOOKUP(INDIRECT(ADDRESS(2,COLUMN())),OFFSET($BN$2,0,0,ROW()-1,60),ROW()-1,FALSE))</f>
        <v>8.9372384940000007</v>
      </c>
      <c r="AZ7">
        <f ca="1">IF(AND(ISNUMBER($AZ$681),$B$677=1),$AZ$681,HLOOKUP(INDIRECT(ADDRESS(2,COLUMN())),OFFSET($BN$2,0,0,ROW()-1,60),ROW()-1,FALSE))</f>
        <v>10.49768519</v>
      </c>
      <c r="BA7">
        <f ca="1">IF(AND(ISNUMBER($BA$681),$B$677=1),$BA$681,HLOOKUP(INDIRECT(ADDRESS(2,COLUMN())),OFFSET($BN$2,0,0,ROW()-1,60),ROW()-1,FALSE))</f>
        <v>12.56992084</v>
      </c>
      <c r="BB7">
        <f ca="1">IF(AND(ISNUMBER($BB$681),$B$677=1),$BB$681,HLOOKUP(INDIRECT(ADDRESS(2,COLUMN())),OFFSET($BN$2,0,0,ROW()-1,60),ROW()-1,FALSE))</f>
        <v>11.51822917</v>
      </c>
      <c r="BC7">
        <f ca="1">IF(AND(ISNUMBER($BC$681),$B$677=1),$BC$681,HLOOKUP(INDIRECT(ADDRESS(2,COLUMN())),OFFSET($BN$2,0,0,ROW()-1,60),ROW()-1,FALSE))</f>
        <v>9.9794520549999994</v>
      </c>
      <c r="BD7">
        <f ca="1">IF(AND(ISNUMBER($BD$681),$B$677=1),$BD$681,HLOOKUP(INDIRECT(ADDRESS(2,COLUMN())),OFFSET($BN$2,0,0,ROW()-1,60),ROW()-1,FALSE))</f>
        <v>9.9976359339999998</v>
      </c>
      <c r="BE7">
        <f ca="1">IF(AND(ISNUMBER($BE$681),$B$677=1),$BE$681,HLOOKUP(INDIRECT(ADDRESS(2,COLUMN())),OFFSET($BN$2,0,0,ROW()-1,60),ROW()-1,FALSE))</f>
        <v>9.251184834</v>
      </c>
      <c r="BF7">
        <f ca="1">IF(AND(ISNUMBER($BF$681),$B$677=1),$BF$681,HLOOKUP(INDIRECT(ADDRESS(2,COLUMN())),OFFSET($BN$2,0,0,ROW()-1,60),ROW()-1,FALSE))</f>
        <v>11.34663342</v>
      </c>
      <c r="BG7">
        <f ca="1">IF(AND(ISNUMBER($BG$681),$B$677=1),$BG$681,HLOOKUP(INDIRECT(ADDRESS(2,COLUMN())),OFFSET($BN$2,0,0,ROW()-1,60),ROW()-1,FALSE))</f>
        <v>11.04477612</v>
      </c>
      <c r="BH7">
        <f ca="1">IF(AND(ISNUMBER($BH$681),$B$677=1),$BH$681,HLOOKUP(INDIRECT(ADDRESS(2,COLUMN())),OFFSET($BN$2,0,0,ROW()-1,60),ROW()-1,FALSE))</f>
        <v>11.815151520000001</v>
      </c>
      <c r="BI7">
        <f ca="1">IF(AND(ISNUMBER($BI$681),$B$677=1),$BI$681,HLOOKUP(INDIRECT(ADDRESS(2,COLUMN())),OFFSET($BN$2,0,0,ROW()-1,60),ROW()-1,FALSE))</f>
        <v>11.36936944</v>
      </c>
      <c r="BJ7">
        <f ca="1">IF(AND(ISNUMBER($BJ$681),$B$677=1),$BJ$681,HLOOKUP(INDIRECT(ADDRESS(2,COLUMN())),OFFSET($BN$2,0,0,ROW()-1,60),ROW()-1,FALSE))</f>
        <v>10.513513550000001</v>
      </c>
      <c r="BK7">
        <f ca="1">IF(AND(ISNUMBER($BK$681),$B$677=1),$BK$681,HLOOKUP(INDIRECT(ADDRESS(2,COLUMN())),OFFSET($BN$2,0,0,ROW()-1,60),ROW()-1,FALSE))</f>
        <v>9.9699700910000004</v>
      </c>
      <c r="BL7">
        <f ca="1">IF(AND(ISNUMBER($BL$681),$B$677=1),$BL$681,HLOOKUP(INDIRECT(ADDRESS(2,COLUMN())),OFFSET($BN$2,0,0,ROW()-1,60),ROW()-1,FALSE))</f>
        <v>10.659164130000001</v>
      </c>
      <c r="BM7">
        <f ca="1">IF(AND(ISNUMBER($BM$681),$B$677=1),$BM$681,HLOOKUP(INDIRECT(ADDRESS(2,COLUMN())),OFFSET($BN$2,0,0,ROW()-1,60),ROW()-1,FALSE))</f>
        <v>11.88235291</v>
      </c>
      <c r="BN7">
        <f>5.81244514</f>
        <v>5.8124451400000003</v>
      </c>
      <c r="BO7">
        <f>5.624690274</f>
        <v>5.6246902739999998</v>
      </c>
      <c r="BP7">
        <f>6.165678872</f>
        <v>6.165678872</v>
      </c>
      <c r="BQ7">
        <f>5.872419418</f>
        <v>5.8724194179999998</v>
      </c>
      <c r="BR7">
        <f>6.576656247</f>
        <v>6.5766562469999998</v>
      </c>
      <c r="BS7">
        <f>6.481963673</f>
        <v>6.4819636730000001</v>
      </c>
      <c r="BT7">
        <f>7.246667012</f>
        <v>7.2466670119999996</v>
      </c>
      <c r="BU7">
        <f>6.909784444</f>
        <v>6.9097844439999996</v>
      </c>
      <c r="BV7">
        <f>7.493944192</f>
        <v>7.4939441919999998</v>
      </c>
      <c r="BW7">
        <f>8.500186813</f>
        <v>8.5001868129999991</v>
      </c>
      <c r="BX7">
        <f>7.099547529</f>
        <v>7.0995475289999996</v>
      </c>
      <c r="BY7">
        <f>6.501528198</f>
        <v>6.5015281979999999</v>
      </c>
      <c r="BZ7">
        <f>8.170291249</f>
        <v>8.1702912489999999</v>
      </c>
      <c r="CA7">
        <f>10.06615224</f>
        <v>10.066152239999999</v>
      </c>
      <c r="CB7">
        <f>8.499579591</f>
        <v>8.4995795909999998</v>
      </c>
      <c r="CC7">
        <f>11.0806415</f>
        <v>11.0806415</v>
      </c>
      <c r="CD7">
        <f>12.98788166</f>
        <v>12.987881659999999</v>
      </c>
      <c r="CE7">
        <f>10.16594832</f>
        <v>10.16594832</v>
      </c>
      <c r="CF7">
        <f>9.739819005</f>
        <v>9.7398190049999993</v>
      </c>
      <c r="CG7">
        <f>10.42287411</f>
        <v>10.42287411</v>
      </c>
      <c r="CH7">
        <f>11.01791094</f>
        <v>11.01791094</v>
      </c>
      <c r="CI7">
        <f>10.55519169</f>
        <v>10.555191689999999</v>
      </c>
      <c r="CJ7">
        <f>10.0545802</f>
        <v>10.0545802</v>
      </c>
      <c r="CK7">
        <f>8.557633588</f>
        <v>8.5576335879999998</v>
      </c>
      <c r="CL7">
        <f>8.827048114</f>
        <v>8.8270481140000001</v>
      </c>
      <c r="CM7">
        <f>9.410322581</f>
        <v>9.4103225810000009</v>
      </c>
      <c r="CN7">
        <f>7.858321871</f>
        <v>7.8583218710000002</v>
      </c>
      <c r="CO7">
        <f>8.112696148</f>
        <v>8.1126961479999995</v>
      </c>
      <c r="CP7">
        <f>8.675675676</f>
        <v>8.6756756759999991</v>
      </c>
      <c r="CQ7">
        <f>6.947651007</f>
        <v>6.9476510070000002</v>
      </c>
      <c r="CR7">
        <f>6.255025126</f>
        <v>6.2550251259999996</v>
      </c>
      <c r="CS7">
        <f>8.961842105</f>
        <v>8.9618421050000006</v>
      </c>
      <c r="CT7">
        <f>9.533225284</f>
        <v>9.5332252840000002</v>
      </c>
      <c r="CU7">
        <f>11.93711968</f>
        <v>11.93711968</v>
      </c>
      <c r="CV7">
        <f>15.4084913</f>
        <v>15.4084913</v>
      </c>
      <c r="CW7">
        <f>18.86717079</f>
        <v>18.867170789999999</v>
      </c>
      <c r="CX7">
        <f>32.97936922</f>
        <v>32.979369220000002</v>
      </c>
      <c r="CY7">
        <f>100.0723794</f>
        <v>100.0723794</v>
      </c>
      <c r="CZ7" t="str">
        <f>""</f>
        <v/>
      </c>
      <c r="DA7" t="str">
        <f>""</f>
        <v/>
      </c>
      <c r="DB7">
        <f>44.30715788</f>
        <v>44.307157879999998</v>
      </c>
      <c r="DC7">
        <f>44.471792</f>
        <v>44.471792000000001</v>
      </c>
      <c r="DD7">
        <f>7.925072046</f>
        <v>7.9250720460000004</v>
      </c>
      <c r="DE7">
        <f>7.205188679</f>
        <v>7.2051886789999999</v>
      </c>
      <c r="DF7">
        <f>7.571428571</f>
        <v>7.5714285710000002</v>
      </c>
      <c r="DG7">
        <f>8.937238494</f>
        <v>8.9372384940000007</v>
      </c>
      <c r="DH7">
        <f>10.49768519</f>
        <v>10.49768519</v>
      </c>
      <c r="DI7">
        <f>12.56992084</f>
        <v>12.56992084</v>
      </c>
      <c r="DJ7">
        <f>11.51822917</f>
        <v>11.51822917</v>
      </c>
      <c r="DK7">
        <f>9.979452055</f>
        <v>9.9794520549999994</v>
      </c>
      <c r="DL7">
        <f>9.997635934</f>
        <v>9.9976359339999998</v>
      </c>
      <c r="DM7">
        <f>9.251184834</f>
        <v>9.251184834</v>
      </c>
      <c r="DN7">
        <f>11.34663342</f>
        <v>11.34663342</v>
      </c>
      <c r="DO7">
        <f>11.04477612</f>
        <v>11.04477612</v>
      </c>
      <c r="DP7">
        <f>11.81515152</f>
        <v>11.815151520000001</v>
      </c>
      <c r="DQ7">
        <f>11.36936944</f>
        <v>11.36936944</v>
      </c>
      <c r="DR7">
        <f>10.51351355</f>
        <v>10.513513550000001</v>
      </c>
      <c r="DS7">
        <f>9.969970091</f>
        <v>9.9699700910000004</v>
      </c>
      <c r="DT7">
        <f>10.65916413</f>
        <v>10.659164130000001</v>
      </c>
      <c r="DU7">
        <f>11.88235291</f>
        <v>11.88235291</v>
      </c>
    </row>
    <row r="8" spans="1:125" x14ac:dyDescent="0.25">
      <c r="A8" t="str">
        <f>"    Brilliance China Automotive Holdings Ltd"</f>
        <v xml:space="preserve">    Brilliance China Automotive Holdings Ltd</v>
      </c>
      <c r="B8" t="str">
        <f>"1114 HK Equity"</f>
        <v>1114 HK Equity</v>
      </c>
      <c r="C8" t="str">
        <f t="shared" si="0"/>
        <v>RR900</v>
      </c>
      <c r="D8" t="str">
        <f t="shared" si="1"/>
        <v>PE_RATIO</v>
      </c>
      <c r="E8" t="str">
        <f t="shared" si="2"/>
        <v>Dynamic</v>
      </c>
      <c r="F8" t="str">
        <f ca="1">IF(AND(ISNUMBER($F$682),$B$677=1),$F$682,HLOOKUP(INDIRECT(ADDRESS(2,COLUMN())),OFFSET($BN$2,0,0,ROW()-1,60),ROW()-1,FALSE))</f>
        <v/>
      </c>
      <c r="G8" t="str">
        <f ca="1">IF(AND(ISNUMBER($G$682),$B$677=1),$G$682,HLOOKUP(INDIRECT(ADDRESS(2,COLUMN())),OFFSET($BN$2,0,0,ROW()-1,60),ROW()-1,FALSE))</f>
        <v/>
      </c>
      <c r="H8" t="str">
        <f ca="1">IF(AND(ISNUMBER($H$682),$B$677=1),$H$682,HLOOKUP(INDIRECT(ADDRESS(2,COLUMN())),OFFSET($BN$2,0,0,ROW()-1,60),ROW()-1,FALSE))</f>
        <v/>
      </c>
      <c r="I8" t="str">
        <f ca="1">IF(AND(ISNUMBER($I$682),$B$677=1),$I$682,HLOOKUP(INDIRECT(ADDRESS(2,COLUMN())),OFFSET($BN$2,0,0,ROW()-1,60),ROW()-1,FALSE))</f>
        <v/>
      </c>
      <c r="J8" t="str">
        <f ca="1">IF(AND(ISNUMBER($J$682),$B$677=1),$J$682,HLOOKUP(INDIRECT(ADDRESS(2,COLUMN())),OFFSET($BN$2,0,0,ROW()-1,60),ROW()-1,FALSE))</f>
        <v/>
      </c>
      <c r="K8" t="str">
        <f ca="1">IF(AND(ISNUMBER($K$682),$B$677=1),$K$682,HLOOKUP(INDIRECT(ADDRESS(2,COLUMN())),OFFSET($BN$2,0,0,ROW()-1,60),ROW()-1,FALSE))</f>
        <v/>
      </c>
      <c r="L8" t="str">
        <f ca="1">IF(AND(ISNUMBER($L$682),$B$677=1),$L$682,HLOOKUP(INDIRECT(ADDRESS(2,COLUMN())),OFFSET($BN$2,0,0,ROW()-1,60),ROW()-1,FALSE))</f>
        <v/>
      </c>
      <c r="M8" t="str">
        <f ca="1">IF(AND(ISNUMBER($M$682),$B$677=1),$M$682,HLOOKUP(INDIRECT(ADDRESS(2,COLUMN())),OFFSET($BN$2,0,0,ROW()-1,60),ROW()-1,FALSE))</f>
        <v/>
      </c>
      <c r="N8" t="str">
        <f ca="1">IF(AND(ISNUMBER($N$682),$B$677=1),$N$682,HLOOKUP(INDIRECT(ADDRESS(2,COLUMN())),OFFSET($BN$2,0,0,ROW()-1,60),ROW()-1,FALSE))</f>
        <v/>
      </c>
      <c r="O8" t="str">
        <f ca="1">IF(AND(ISNUMBER($O$682),$B$677=1),$O$682,HLOOKUP(INDIRECT(ADDRESS(2,COLUMN())),OFFSET($BN$2,0,0,ROW()-1,60),ROW()-1,FALSE))</f>
        <v/>
      </c>
      <c r="P8" t="str">
        <f ca="1">IF(AND(ISNUMBER($P$682),$B$677=1),$P$682,HLOOKUP(INDIRECT(ADDRESS(2,COLUMN())),OFFSET($BN$2,0,0,ROW()-1,60),ROW()-1,FALSE))</f>
        <v/>
      </c>
      <c r="Q8" t="str">
        <f ca="1">IF(AND(ISNUMBER($Q$682),$B$677=1),$Q$682,HLOOKUP(INDIRECT(ADDRESS(2,COLUMN())),OFFSET($BN$2,0,0,ROW()-1,60),ROW()-1,FALSE))</f>
        <v/>
      </c>
      <c r="R8" t="str">
        <f ca="1">IF(AND(ISNUMBER($R$682),$B$677=1),$R$682,HLOOKUP(INDIRECT(ADDRESS(2,COLUMN())),OFFSET($BN$2,0,0,ROW()-1,60),ROW()-1,FALSE))</f>
        <v/>
      </c>
      <c r="S8" t="str">
        <f ca="1">IF(AND(ISNUMBER($S$682),$B$677=1),$S$682,HLOOKUP(INDIRECT(ADDRESS(2,COLUMN())),OFFSET($BN$2,0,0,ROW()-1,60),ROW()-1,FALSE))</f>
        <v/>
      </c>
      <c r="T8" t="str">
        <f ca="1">IF(AND(ISNUMBER($T$682),$B$677=1),$T$682,HLOOKUP(INDIRECT(ADDRESS(2,COLUMN())),OFFSET($BN$2,0,0,ROW()-1,60),ROW()-1,FALSE))</f>
        <v/>
      </c>
      <c r="U8" t="str">
        <f ca="1">IF(AND(ISNUMBER($U$682),$B$677=1),$U$682,HLOOKUP(INDIRECT(ADDRESS(2,COLUMN())),OFFSET($BN$2,0,0,ROW()-1,60),ROW()-1,FALSE))</f>
        <v/>
      </c>
      <c r="V8" t="str">
        <f ca="1">IF(AND(ISNUMBER($V$682),$B$677=1),$V$682,HLOOKUP(INDIRECT(ADDRESS(2,COLUMN())),OFFSET($BN$2,0,0,ROW()-1,60),ROW()-1,FALSE))</f>
        <v/>
      </c>
      <c r="W8" t="str">
        <f ca="1">IF(AND(ISNUMBER($W$682),$B$677=1),$W$682,HLOOKUP(INDIRECT(ADDRESS(2,COLUMN())),OFFSET($BN$2,0,0,ROW()-1,60),ROW()-1,FALSE))</f>
        <v/>
      </c>
      <c r="X8" t="str">
        <f ca="1">IF(AND(ISNUMBER($X$682),$B$677=1),$X$682,HLOOKUP(INDIRECT(ADDRESS(2,COLUMN())),OFFSET($BN$2,0,0,ROW()-1,60),ROW()-1,FALSE))</f>
        <v/>
      </c>
      <c r="Y8" t="str">
        <f ca="1">IF(AND(ISNUMBER($Y$682),$B$677=1),$Y$682,HLOOKUP(INDIRECT(ADDRESS(2,COLUMN())),OFFSET($BN$2,0,0,ROW()-1,60),ROW()-1,FALSE))</f>
        <v/>
      </c>
      <c r="Z8" t="str">
        <f ca="1">IF(AND(ISNUMBER($Z$682),$B$677=1),$Z$682,HLOOKUP(INDIRECT(ADDRESS(2,COLUMN())),OFFSET($BN$2,0,0,ROW()-1,60),ROW()-1,FALSE))</f>
        <v/>
      </c>
      <c r="AA8" t="str">
        <f ca="1">IF(AND(ISNUMBER($AA$682),$B$677=1),$AA$682,HLOOKUP(INDIRECT(ADDRESS(2,COLUMN())),OFFSET($BN$2,0,0,ROW()-1,60),ROW()-1,FALSE))</f>
        <v/>
      </c>
      <c r="AB8" t="str">
        <f ca="1">IF(AND(ISNUMBER($AB$682),$B$677=1),$AB$682,HLOOKUP(INDIRECT(ADDRESS(2,COLUMN())),OFFSET($BN$2,0,0,ROW()-1,60),ROW()-1,FALSE))</f>
        <v/>
      </c>
      <c r="AC8" t="str">
        <f ca="1">IF(AND(ISNUMBER($AC$682),$B$677=1),$AC$682,HLOOKUP(INDIRECT(ADDRESS(2,COLUMN())),OFFSET($BN$2,0,0,ROW()-1,60),ROW()-1,FALSE))</f>
        <v/>
      </c>
      <c r="AD8" t="str">
        <f ca="1">IF(AND(ISNUMBER($AD$682),$B$677=1),$AD$682,HLOOKUP(INDIRECT(ADDRESS(2,COLUMN())),OFFSET($BN$2,0,0,ROW()-1,60),ROW()-1,FALSE))</f>
        <v/>
      </c>
      <c r="AE8" t="str">
        <f ca="1">IF(AND(ISNUMBER($AE$682),$B$677=1),$AE$682,HLOOKUP(INDIRECT(ADDRESS(2,COLUMN())),OFFSET($BN$2,0,0,ROW()-1,60),ROW()-1,FALSE))</f>
        <v/>
      </c>
      <c r="AF8" t="str">
        <f ca="1">IF(AND(ISNUMBER($AF$682),$B$677=1),$AF$682,HLOOKUP(INDIRECT(ADDRESS(2,COLUMN())),OFFSET($BN$2,0,0,ROW()-1,60),ROW()-1,FALSE))</f>
        <v/>
      </c>
      <c r="AG8" t="str">
        <f ca="1">IF(AND(ISNUMBER($AG$682),$B$677=1),$AG$682,HLOOKUP(INDIRECT(ADDRESS(2,COLUMN())),OFFSET($BN$2,0,0,ROW()-1,60),ROW()-1,FALSE))</f>
        <v/>
      </c>
      <c r="AH8" t="str">
        <f ca="1">IF(AND(ISNUMBER($AH$682),$B$677=1),$AH$682,HLOOKUP(INDIRECT(ADDRESS(2,COLUMN())),OFFSET($BN$2,0,0,ROW()-1,60),ROW()-1,FALSE))</f>
        <v/>
      </c>
      <c r="AI8" t="str">
        <f ca="1">IF(AND(ISNUMBER($AI$682),$B$677=1),$AI$682,HLOOKUP(INDIRECT(ADDRESS(2,COLUMN())),OFFSET($BN$2,0,0,ROW()-1,60),ROW()-1,FALSE))</f>
        <v/>
      </c>
      <c r="AJ8" t="str">
        <f ca="1">IF(AND(ISNUMBER($AJ$682),$B$677=1),$AJ$682,HLOOKUP(INDIRECT(ADDRESS(2,COLUMN())),OFFSET($BN$2,0,0,ROW()-1,60),ROW()-1,FALSE))</f>
        <v/>
      </c>
      <c r="AK8" t="str">
        <f ca="1">IF(AND(ISNUMBER($AK$682),$B$677=1),$AK$682,HLOOKUP(INDIRECT(ADDRESS(2,COLUMN())),OFFSET($BN$2,0,0,ROW()-1,60),ROW()-1,FALSE))</f>
        <v/>
      </c>
      <c r="AL8" t="str">
        <f ca="1">IF(AND(ISNUMBER($AL$682),$B$677=1),$AL$682,HLOOKUP(INDIRECT(ADDRESS(2,COLUMN())),OFFSET($BN$2,0,0,ROW()-1,60),ROW()-1,FALSE))</f>
        <v/>
      </c>
      <c r="AM8" t="str">
        <f ca="1">IF(AND(ISNUMBER($AM$682),$B$677=1),$AM$682,HLOOKUP(INDIRECT(ADDRESS(2,COLUMN())),OFFSET($BN$2,0,0,ROW()-1,60),ROW()-1,FALSE))</f>
        <v/>
      </c>
      <c r="AN8" t="str">
        <f ca="1">IF(AND(ISNUMBER($AN$682),$B$677=1),$AN$682,HLOOKUP(INDIRECT(ADDRESS(2,COLUMN())),OFFSET($BN$2,0,0,ROW()-1,60),ROW()-1,FALSE))</f>
        <v/>
      </c>
      <c r="AO8" t="str">
        <f ca="1">IF(AND(ISNUMBER($AO$682),$B$677=1),$AO$682,HLOOKUP(INDIRECT(ADDRESS(2,COLUMN())),OFFSET($BN$2,0,0,ROW()-1,60),ROW()-1,FALSE))</f>
        <v/>
      </c>
      <c r="AP8" t="str">
        <f ca="1">IF(AND(ISNUMBER($AP$682),$B$677=1),$AP$682,HLOOKUP(INDIRECT(ADDRESS(2,COLUMN())),OFFSET($BN$2,0,0,ROW()-1,60),ROW()-1,FALSE))</f>
        <v/>
      </c>
      <c r="AQ8" t="str">
        <f ca="1">IF(AND(ISNUMBER($AQ$682),$B$677=1),$AQ$682,HLOOKUP(INDIRECT(ADDRESS(2,COLUMN())),OFFSET($BN$2,0,0,ROW()-1,60),ROW()-1,FALSE))</f>
        <v/>
      </c>
      <c r="AR8" t="str">
        <f ca="1">IF(AND(ISNUMBER($AR$682),$B$677=1),$AR$682,HLOOKUP(INDIRECT(ADDRESS(2,COLUMN())),OFFSET($BN$2,0,0,ROW()-1,60),ROW()-1,FALSE))</f>
        <v/>
      </c>
      <c r="AS8" t="str">
        <f ca="1">IF(AND(ISNUMBER($AS$682),$B$677=1),$AS$682,HLOOKUP(INDIRECT(ADDRESS(2,COLUMN())),OFFSET($BN$2,0,0,ROW()-1,60),ROW()-1,FALSE))</f>
        <v/>
      </c>
      <c r="AT8" t="str">
        <f ca="1">IF(AND(ISNUMBER($AT$682),$B$677=1),$AT$682,HLOOKUP(INDIRECT(ADDRESS(2,COLUMN())),OFFSET($BN$2,0,0,ROW()-1,60),ROW()-1,FALSE))</f>
        <v/>
      </c>
      <c r="AU8" t="str">
        <f ca="1">IF(AND(ISNUMBER($AU$682),$B$677=1),$AU$682,HLOOKUP(INDIRECT(ADDRESS(2,COLUMN())),OFFSET($BN$2,0,0,ROW()-1,60),ROW()-1,FALSE))</f>
        <v/>
      </c>
      <c r="AV8" t="str">
        <f ca="1">IF(AND(ISNUMBER($AV$682),$B$677=1),$AV$682,HLOOKUP(INDIRECT(ADDRESS(2,COLUMN())),OFFSET($BN$2,0,0,ROW()-1,60),ROW()-1,FALSE))</f>
        <v/>
      </c>
      <c r="AW8" t="str">
        <f ca="1">IF(AND(ISNUMBER($AW$682),$B$677=1),$AW$682,HLOOKUP(INDIRECT(ADDRESS(2,COLUMN())),OFFSET($BN$2,0,0,ROW()-1,60),ROW()-1,FALSE))</f>
        <v/>
      </c>
      <c r="AX8" t="str">
        <f ca="1">IF(AND(ISNUMBER($AX$682),$B$677=1),$AX$682,HLOOKUP(INDIRECT(ADDRESS(2,COLUMN())),OFFSET($BN$2,0,0,ROW()-1,60),ROW()-1,FALSE))</f>
        <v/>
      </c>
      <c r="AY8" t="str">
        <f ca="1">IF(AND(ISNUMBER($AY$682),$B$677=1),$AY$682,HLOOKUP(INDIRECT(ADDRESS(2,COLUMN())),OFFSET($BN$2,0,0,ROW()-1,60),ROW()-1,FALSE))</f>
        <v/>
      </c>
      <c r="AZ8" t="str">
        <f ca="1">IF(AND(ISNUMBER($AZ$682),$B$677=1),$AZ$682,HLOOKUP(INDIRECT(ADDRESS(2,COLUMN())),OFFSET($BN$2,0,0,ROW()-1,60),ROW()-1,FALSE))</f>
        <v/>
      </c>
      <c r="BA8" t="str">
        <f ca="1">IF(AND(ISNUMBER($BA$682),$B$677=1),$BA$682,HLOOKUP(INDIRECT(ADDRESS(2,COLUMN())),OFFSET($BN$2,0,0,ROW()-1,60),ROW()-1,FALSE))</f>
        <v/>
      </c>
      <c r="BB8" t="str">
        <f ca="1">IF(AND(ISNUMBER($BB$682),$B$677=1),$BB$682,HLOOKUP(INDIRECT(ADDRESS(2,COLUMN())),OFFSET($BN$2,0,0,ROW()-1,60),ROW()-1,FALSE))</f>
        <v/>
      </c>
      <c r="BC8" t="str">
        <f ca="1">IF(AND(ISNUMBER($BC$682),$B$677=1),$BC$682,HLOOKUP(INDIRECT(ADDRESS(2,COLUMN())),OFFSET($BN$2,0,0,ROW()-1,60),ROW()-1,FALSE))</f>
        <v/>
      </c>
      <c r="BD8" t="str">
        <f ca="1">IF(AND(ISNUMBER($BD$682),$B$677=1),$BD$682,HLOOKUP(INDIRECT(ADDRESS(2,COLUMN())),OFFSET($BN$2,0,0,ROW()-1,60),ROW()-1,FALSE))</f>
        <v/>
      </c>
      <c r="BE8" t="str">
        <f ca="1">IF(AND(ISNUMBER($BE$682),$B$677=1),$BE$682,HLOOKUP(INDIRECT(ADDRESS(2,COLUMN())),OFFSET($BN$2,0,0,ROW()-1,60),ROW()-1,FALSE))</f>
        <v/>
      </c>
      <c r="BF8" t="str">
        <f ca="1">IF(AND(ISNUMBER($BF$682),$B$677=1),$BF$682,HLOOKUP(INDIRECT(ADDRESS(2,COLUMN())),OFFSET($BN$2,0,0,ROW()-1,60),ROW()-1,FALSE))</f>
        <v/>
      </c>
      <c r="BG8" t="str">
        <f ca="1">IF(AND(ISNUMBER($BG$682),$B$677=1),$BG$682,HLOOKUP(INDIRECT(ADDRESS(2,COLUMN())),OFFSET($BN$2,0,0,ROW()-1,60),ROW()-1,FALSE))</f>
        <v/>
      </c>
      <c r="BH8" t="str">
        <f ca="1">IF(AND(ISNUMBER($BH$682),$B$677=1),$BH$682,HLOOKUP(INDIRECT(ADDRESS(2,COLUMN())),OFFSET($BN$2,0,0,ROW()-1,60),ROW()-1,FALSE))</f>
        <v/>
      </c>
      <c r="BI8" t="str">
        <f ca="1">IF(AND(ISNUMBER($BI$682),$B$677=1),$BI$682,HLOOKUP(INDIRECT(ADDRESS(2,COLUMN())),OFFSET($BN$2,0,0,ROW()-1,60),ROW()-1,FALSE))</f>
        <v/>
      </c>
      <c r="BJ8" t="str">
        <f ca="1">IF(AND(ISNUMBER($BJ$682),$B$677=1),$BJ$682,HLOOKUP(INDIRECT(ADDRESS(2,COLUMN())),OFFSET($BN$2,0,0,ROW()-1,60),ROW()-1,FALSE))</f>
        <v/>
      </c>
      <c r="BK8" t="str">
        <f ca="1">IF(AND(ISNUMBER($BK$682),$B$677=1),$BK$682,HLOOKUP(INDIRECT(ADDRESS(2,COLUMN())),OFFSET($BN$2,0,0,ROW()-1,60),ROW()-1,FALSE))</f>
        <v/>
      </c>
      <c r="BL8" t="str">
        <f ca="1">IF(AND(ISNUMBER($BL$682),$B$677=1),$BL$682,HLOOKUP(INDIRECT(ADDRESS(2,COLUMN())),OFFSET($BN$2,0,0,ROW()-1,60),ROW()-1,FALSE))</f>
        <v/>
      </c>
      <c r="BM8" t="str">
        <f ca="1">IF(AND(ISNUMBER($BM$682),$B$677=1),$BM$682,HLOOKUP(INDIRECT(ADDRESS(2,COLUMN())),OFFSET($BN$2,0,0,ROW()-1,60),ROW()-1,FALSE))</f>
        <v/>
      </c>
      <c r="BN8" t="str">
        <f>""</f>
        <v/>
      </c>
      <c r="BO8" t="str">
        <f>""</f>
        <v/>
      </c>
      <c r="BP8" t="str">
        <f>""</f>
        <v/>
      </c>
      <c r="BQ8" t="str">
        <f>""</f>
        <v/>
      </c>
      <c r="BR8" t="str">
        <f>""</f>
        <v/>
      </c>
      <c r="BS8" t="str">
        <f>""</f>
        <v/>
      </c>
      <c r="BT8" t="str">
        <f>""</f>
        <v/>
      </c>
      <c r="BU8" t="str">
        <f>""</f>
        <v/>
      </c>
      <c r="BV8" t="str">
        <f>""</f>
        <v/>
      </c>
      <c r="BW8" t="str">
        <f>""</f>
        <v/>
      </c>
      <c r="BX8" t="str">
        <f>""</f>
        <v/>
      </c>
      <c r="BY8" t="str">
        <f>""</f>
        <v/>
      </c>
      <c r="BZ8" t="str">
        <f>""</f>
        <v/>
      </c>
      <c r="CA8" t="str">
        <f>""</f>
        <v/>
      </c>
      <c r="CB8" t="str">
        <f>""</f>
        <v/>
      </c>
      <c r="CC8" t="str">
        <f>""</f>
        <v/>
      </c>
      <c r="CD8" t="str">
        <f>""</f>
        <v/>
      </c>
      <c r="CE8" t="str">
        <f>""</f>
        <v/>
      </c>
      <c r="CF8" t="str">
        <f>""</f>
        <v/>
      </c>
      <c r="CG8" t="str">
        <f>""</f>
        <v/>
      </c>
      <c r="CH8" t="str">
        <f>""</f>
        <v/>
      </c>
      <c r="CI8" t="str">
        <f>""</f>
        <v/>
      </c>
      <c r="CJ8" t="str">
        <f>""</f>
        <v/>
      </c>
      <c r="CK8" t="str">
        <f>""</f>
        <v/>
      </c>
      <c r="CL8" t="str">
        <f>""</f>
        <v/>
      </c>
      <c r="CM8" t="str">
        <f>""</f>
        <v/>
      </c>
      <c r="CN8" t="str">
        <f>""</f>
        <v/>
      </c>
      <c r="CO8" t="str">
        <f>""</f>
        <v/>
      </c>
      <c r="CP8" t="str">
        <f>""</f>
        <v/>
      </c>
      <c r="CQ8" t="str">
        <f>""</f>
        <v/>
      </c>
      <c r="CR8" t="str">
        <f>""</f>
        <v/>
      </c>
      <c r="CS8" t="str">
        <f>""</f>
        <v/>
      </c>
      <c r="CT8" t="str">
        <f>""</f>
        <v/>
      </c>
      <c r="CU8" t="str">
        <f>""</f>
        <v/>
      </c>
      <c r="CV8" t="str">
        <f>""</f>
        <v/>
      </c>
      <c r="CW8" t="str">
        <f>""</f>
        <v/>
      </c>
      <c r="CX8" t="str">
        <f>""</f>
        <v/>
      </c>
      <c r="CY8" t="str">
        <f>""</f>
        <v/>
      </c>
      <c r="CZ8" t="str">
        <f>""</f>
        <v/>
      </c>
      <c r="DA8" t="str">
        <f>""</f>
        <v/>
      </c>
      <c r="DB8" t="str">
        <f>""</f>
        <v/>
      </c>
      <c r="DC8" t="str">
        <f>""</f>
        <v/>
      </c>
      <c r="DD8" t="str">
        <f>""</f>
        <v/>
      </c>
      <c r="DE8" t="str">
        <f>""</f>
        <v/>
      </c>
      <c r="DF8" t="str">
        <f>""</f>
        <v/>
      </c>
      <c r="DG8" t="str">
        <f>""</f>
        <v/>
      </c>
      <c r="DH8" t="str">
        <f>""</f>
        <v/>
      </c>
      <c r="DI8" t="str">
        <f>""</f>
        <v/>
      </c>
      <c r="DJ8" t="str">
        <f>""</f>
        <v/>
      </c>
      <c r="DK8" t="str">
        <f>""</f>
        <v/>
      </c>
      <c r="DL8" t="str">
        <f>""</f>
        <v/>
      </c>
      <c r="DM8" t="str">
        <f>""</f>
        <v/>
      </c>
      <c r="DN8" t="str">
        <f>""</f>
        <v/>
      </c>
      <c r="DO8" t="str">
        <f>""</f>
        <v/>
      </c>
      <c r="DP8" t="str">
        <f>""</f>
        <v/>
      </c>
      <c r="DQ8" t="str">
        <f>""</f>
        <v/>
      </c>
      <c r="DR8" t="str">
        <f>""</f>
        <v/>
      </c>
      <c r="DS8" t="str">
        <f>""</f>
        <v/>
      </c>
      <c r="DT8" t="str">
        <f>""</f>
        <v/>
      </c>
      <c r="DU8" t="str">
        <f>""</f>
        <v/>
      </c>
    </row>
    <row r="9" spans="1:125" x14ac:dyDescent="0.25">
      <c r="A9" t="str">
        <f>"    BYD Co Ltd"</f>
        <v xml:space="preserve">    BYD Co Ltd</v>
      </c>
      <c r="B9" t="str">
        <f>"1211 HK Equity"</f>
        <v>1211 HK Equity</v>
      </c>
      <c r="C9" t="str">
        <f t="shared" si="0"/>
        <v>RR900</v>
      </c>
      <c r="D9" t="str">
        <f t="shared" si="1"/>
        <v>PE_RATIO</v>
      </c>
      <c r="E9" t="str">
        <f t="shared" si="2"/>
        <v>Dynamic</v>
      </c>
      <c r="F9">
        <f ca="1">IF(AND(ISNUMBER($F$683),$B$677=1),$F$683,HLOOKUP(INDIRECT(ADDRESS(2,COLUMN())),OFFSET($BN$2,0,0,ROW()-1,60),ROW()-1,FALSE))</f>
        <v>48.006517010000003</v>
      </c>
      <c r="G9">
        <f ca="1">IF(AND(ISNUMBER($G$683),$B$677=1),$G$683,HLOOKUP(INDIRECT(ADDRESS(2,COLUMN())),OFFSET($BN$2,0,0,ROW()-1,60),ROW()-1,FALSE))</f>
        <v>48.990009030000003</v>
      </c>
      <c r="H9">
        <f ca="1">IF(AND(ISNUMBER($H$683),$B$677=1),$H$683,HLOOKUP(INDIRECT(ADDRESS(2,COLUMN())),OFFSET($BN$2,0,0,ROW()-1,60),ROW()-1,FALSE))</f>
        <v>55.091692260000002</v>
      </c>
      <c r="I9">
        <f ca="1">IF(AND(ISNUMBER($I$683),$B$677=1),$I$683,HLOOKUP(INDIRECT(ADDRESS(2,COLUMN())),OFFSET($BN$2,0,0,ROW()-1,60),ROW()-1,FALSE))</f>
        <v>44.334702540000002</v>
      </c>
      <c r="J9">
        <f ca="1">IF(AND(ISNUMBER($J$683),$B$677=1),$J$683,HLOOKUP(INDIRECT(ADDRESS(2,COLUMN())),OFFSET($BN$2,0,0,ROW()-1,60),ROW()-1,FALSE))</f>
        <v>41.733936180000001</v>
      </c>
      <c r="K9">
        <f ca="1">IF(AND(ISNUMBER($K$683),$B$677=1),$K$683,HLOOKUP(INDIRECT(ADDRESS(2,COLUMN())),OFFSET($BN$2,0,0,ROW()-1,60),ROW()-1,FALSE))</f>
        <v>41.773960639999999</v>
      </c>
      <c r="L9">
        <f ca="1">IF(AND(ISNUMBER($L$683),$B$677=1),$L$683,HLOOKUP(INDIRECT(ADDRESS(2,COLUMN())),OFFSET($BN$2,0,0,ROW()-1,60),ROW()-1,FALSE))</f>
        <v>44.852258990000003</v>
      </c>
      <c r="M9">
        <f ca="1">IF(AND(ISNUMBER($M$683),$B$677=1),$M$683,HLOOKUP(INDIRECT(ADDRESS(2,COLUMN())),OFFSET($BN$2,0,0,ROW()-1,60),ROW()-1,FALSE))</f>
        <v>27.02184694</v>
      </c>
      <c r="N9">
        <f ca="1">IF(AND(ISNUMBER($N$683),$B$677=1),$N$683,HLOOKUP(INDIRECT(ADDRESS(2,COLUMN())),OFFSET($BN$2,0,0,ROW()-1,60),ROW()-1,FALSE))</f>
        <v>21.868564259999999</v>
      </c>
      <c r="O9">
        <f ca="1">IF(AND(ISNUMBER($O$683),$B$677=1),$O$683,HLOOKUP(INDIRECT(ADDRESS(2,COLUMN())),OFFSET($BN$2,0,0,ROW()-1,60),ROW()-1,FALSE))</f>
        <v>19.367224759999999</v>
      </c>
      <c r="P9">
        <f ca="1">IF(AND(ISNUMBER($P$683),$B$677=1),$P$683,HLOOKUP(INDIRECT(ADDRESS(2,COLUMN())),OFFSET($BN$2,0,0,ROW()-1,60),ROW()-1,FALSE))</f>
        <v>24.373570409999999</v>
      </c>
      <c r="Q9">
        <f ca="1">IF(AND(ISNUMBER($Q$683),$B$677=1),$Q$683,HLOOKUP(INDIRECT(ADDRESS(2,COLUMN())),OFFSET($BN$2,0,0,ROW()-1,60),ROW()-1,FALSE))</f>
        <v>21.420996280000001</v>
      </c>
      <c r="R9">
        <f ca="1">IF(AND(ISNUMBER($R$683),$B$677=1),$R$683,HLOOKUP(INDIRECT(ADDRESS(2,COLUMN())),OFFSET($BN$2,0,0,ROW()-1,60),ROW()-1,FALSE))</f>
        <v>25.884281170000001</v>
      </c>
      <c r="S9">
        <f ca="1">IF(AND(ISNUMBER($S$683),$B$677=1),$S$683,HLOOKUP(INDIRECT(ADDRESS(2,COLUMN())),OFFSET($BN$2,0,0,ROW()-1,60),ROW()-1,FALSE))</f>
        <v>31.408186279999999</v>
      </c>
      <c r="T9">
        <f ca="1">IF(AND(ISNUMBER($T$683),$B$677=1),$T$683,HLOOKUP(INDIRECT(ADDRESS(2,COLUMN())),OFFSET($BN$2,0,0,ROW()-1,60),ROW()-1,FALSE))</f>
        <v>41.53099812</v>
      </c>
      <c r="U9">
        <f ca="1">IF(AND(ISNUMBER($U$683),$B$677=1),$U$683,HLOOKUP(INDIRECT(ADDRESS(2,COLUMN())),OFFSET($BN$2,0,0,ROW()-1,60),ROW()-1,FALSE))</f>
        <v>169.34899429999999</v>
      </c>
      <c r="V9">
        <f ca="1">IF(AND(ISNUMBER($V$683),$B$677=1),$V$683,HLOOKUP(INDIRECT(ADDRESS(2,COLUMN())),OFFSET($BN$2,0,0,ROW()-1,60),ROW()-1,FALSE))</f>
        <v>140.57771289999999</v>
      </c>
      <c r="W9">
        <f ca="1">IF(AND(ISNUMBER($W$683),$B$677=1),$W$683,HLOOKUP(INDIRECT(ADDRESS(2,COLUMN())),OFFSET($BN$2,0,0,ROW()-1,60),ROW()-1,FALSE))</f>
        <v>129.9062337</v>
      </c>
      <c r="X9">
        <f ca="1">IF(AND(ISNUMBER($X$683),$B$677=1),$X$683,HLOOKUP(INDIRECT(ADDRESS(2,COLUMN())),OFFSET($BN$2,0,0,ROW()-1,60),ROW()-1,FALSE))</f>
        <v>197.79273939999999</v>
      </c>
      <c r="Y9">
        <f ca="1">IF(AND(ISNUMBER($Y$683),$B$677=1),$Y$683,HLOOKUP(INDIRECT(ADDRESS(2,COLUMN())),OFFSET($BN$2,0,0,ROW()-1,60),ROW()-1,FALSE))</f>
        <v>169.47186070000001</v>
      </c>
      <c r="Z9">
        <f ca="1">IF(AND(ISNUMBER($Z$683),$B$677=1),$Z$683,HLOOKUP(INDIRECT(ADDRESS(2,COLUMN())),OFFSET($BN$2,0,0,ROW()-1,60),ROW()-1,FALSE))</f>
        <v>194.94800280000001</v>
      </c>
      <c r="AA9">
        <f ca="1">IF(AND(ISNUMBER($AA$683),$B$677=1),$AA$683,HLOOKUP(INDIRECT(ADDRESS(2,COLUMN())),OFFSET($BN$2,0,0,ROW()-1,60),ROW()-1,FALSE))</f>
        <v>125.05898449999999</v>
      </c>
      <c r="AB9">
        <f ca="1">IF(AND(ISNUMBER($AB$683),$B$677=1),$AB$683,HLOOKUP(INDIRECT(ADDRESS(2,COLUMN())),OFFSET($BN$2,0,0,ROW()-1,60),ROW()-1,FALSE))</f>
        <v>121.10188290000001</v>
      </c>
      <c r="AC9">
        <f ca="1">IF(AND(ISNUMBER($AC$683),$B$677=1),$AC$683,HLOOKUP(INDIRECT(ADDRESS(2,COLUMN())),OFFSET($BN$2,0,0,ROW()-1,60),ROW()-1,FALSE))</f>
        <v>96.240068469999997</v>
      </c>
      <c r="AD9">
        <f ca="1">IF(AND(ISNUMBER($AD$683),$B$677=1),$AD$683,HLOOKUP(INDIRECT(ADDRESS(2,COLUMN())),OFFSET($BN$2,0,0,ROW()-1,60),ROW()-1,FALSE))</f>
        <v>270.95016889999999</v>
      </c>
      <c r="AE9">
        <f ca="1">IF(AND(ISNUMBER($AE$683),$B$677=1),$AE$683,HLOOKUP(INDIRECT(ADDRESS(2,COLUMN())),OFFSET($BN$2,0,0,ROW()-1,60),ROW()-1,FALSE))</f>
        <v>564.64776919999997</v>
      </c>
      <c r="AF9">
        <f ca="1">IF(AND(ISNUMBER($AF$683),$B$677=1),$AF$683,HLOOKUP(INDIRECT(ADDRESS(2,COLUMN())),OFFSET($BN$2,0,0,ROW()-1,60),ROW()-1,FALSE))</f>
        <v>24.58610088</v>
      </c>
      <c r="AG9">
        <f ca="1">IF(AND(ISNUMBER($AG$683),$B$677=1),$AG$683,HLOOKUP(INDIRECT(ADDRESS(2,COLUMN())),OFFSET($BN$2,0,0,ROW()-1,60),ROW()-1,FALSE))</f>
        <v>25.126062019999999</v>
      </c>
      <c r="AH9" t="str">
        <f ca="1">IF(AND(ISNUMBER($AH$683),$B$677=1),$AH$683,HLOOKUP(INDIRECT(ADDRESS(2,COLUMN())),OFFSET($BN$2,0,0,ROW()-1,60),ROW()-1,FALSE))</f>
        <v/>
      </c>
      <c r="AI9" t="str">
        <f ca="1">IF(AND(ISNUMBER($AI$683),$B$677=1),$AI$683,HLOOKUP(INDIRECT(ADDRESS(2,COLUMN())),OFFSET($BN$2,0,0,ROW()-1,60),ROW()-1,FALSE))</f>
        <v/>
      </c>
      <c r="AJ9">
        <f ca="1">IF(AND(ISNUMBER($AJ$683),$B$677=1),$AJ$683,HLOOKUP(INDIRECT(ADDRESS(2,COLUMN())),OFFSET($BN$2,0,0,ROW()-1,60),ROW()-1,FALSE))</f>
        <v>9.8765014840000003</v>
      </c>
      <c r="AK9">
        <f ca="1">IF(AND(ISNUMBER($AK$683),$B$677=1),$AK$683,HLOOKUP(INDIRECT(ADDRESS(2,COLUMN())),OFFSET($BN$2,0,0,ROW()-1,60),ROW()-1,FALSE))</f>
        <v>18.826644250000001</v>
      </c>
      <c r="AL9">
        <f ca="1">IF(AND(ISNUMBER($AL$683),$B$677=1),$AL$683,HLOOKUP(INDIRECT(ADDRESS(2,COLUMN())),OFFSET($BN$2,0,0,ROW()-1,60),ROW()-1,FALSE))</f>
        <v>22.613481180000001</v>
      </c>
      <c r="AM9">
        <f ca="1">IF(AND(ISNUMBER($AM$683),$B$677=1),$AM$683,HLOOKUP(INDIRECT(ADDRESS(2,COLUMN())),OFFSET($BN$2,0,0,ROW()-1,60),ROW()-1,FALSE))</f>
        <v>31.208483699999999</v>
      </c>
      <c r="AN9">
        <f ca="1">IF(AND(ISNUMBER($AN$683),$B$677=1),$AN$683,HLOOKUP(INDIRECT(ADDRESS(2,COLUMN())),OFFSET($BN$2,0,0,ROW()-1,60),ROW()-1,FALSE))</f>
        <v>31.344225720000001</v>
      </c>
      <c r="AO9">
        <f ca="1">IF(AND(ISNUMBER($AO$683),$B$677=1),$AO$683,HLOOKUP(INDIRECT(ADDRESS(2,COLUMN())),OFFSET($BN$2,0,0,ROW()-1,60),ROW()-1,FALSE))</f>
        <v>22.740500619999999</v>
      </c>
      <c r="AP9" t="str">
        <f ca="1">IF(AND(ISNUMBER($AP$683),$B$677=1),$AP$683,HLOOKUP(INDIRECT(ADDRESS(2,COLUMN())),OFFSET($BN$2,0,0,ROW()-1,60),ROW()-1,FALSE))</f>
        <v/>
      </c>
      <c r="AQ9" t="str">
        <f ca="1">IF(AND(ISNUMBER($AQ$683),$B$677=1),$AQ$683,HLOOKUP(INDIRECT(ADDRESS(2,COLUMN())),OFFSET($BN$2,0,0,ROW()-1,60),ROW()-1,FALSE))</f>
        <v/>
      </c>
      <c r="AR9" t="str">
        <f ca="1">IF(AND(ISNUMBER($AR$683),$B$677=1),$AR$683,HLOOKUP(INDIRECT(ADDRESS(2,COLUMN())),OFFSET($BN$2,0,0,ROW()-1,60),ROW()-1,FALSE))</f>
        <v/>
      </c>
      <c r="AS9" t="str">
        <f ca="1">IF(AND(ISNUMBER($AS$683),$B$677=1),$AS$683,HLOOKUP(INDIRECT(ADDRESS(2,COLUMN())),OFFSET($BN$2,0,0,ROW()-1,60),ROW()-1,FALSE))</f>
        <v/>
      </c>
      <c r="AT9" t="str">
        <f ca="1">IF(AND(ISNUMBER($AT$683),$B$677=1),$AT$683,HLOOKUP(INDIRECT(ADDRESS(2,COLUMN())),OFFSET($BN$2,0,0,ROW()-1,60),ROW()-1,FALSE))</f>
        <v/>
      </c>
      <c r="AU9" t="str">
        <f ca="1">IF(AND(ISNUMBER($AU$683),$B$677=1),$AU$683,HLOOKUP(INDIRECT(ADDRESS(2,COLUMN())),OFFSET($BN$2,0,0,ROW()-1,60),ROW()-1,FALSE))</f>
        <v/>
      </c>
      <c r="AV9" t="str">
        <f ca="1">IF(AND(ISNUMBER($AV$683),$B$677=1),$AV$683,HLOOKUP(INDIRECT(ADDRESS(2,COLUMN())),OFFSET($BN$2,0,0,ROW()-1,60),ROW()-1,FALSE))</f>
        <v/>
      </c>
      <c r="AW9" t="str">
        <f ca="1">IF(AND(ISNUMBER($AW$683),$B$677=1),$AW$683,HLOOKUP(INDIRECT(ADDRESS(2,COLUMN())),OFFSET($BN$2,0,0,ROW()-1,60),ROW()-1,FALSE))</f>
        <v/>
      </c>
      <c r="AX9" t="str">
        <f ca="1">IF(AND(ISNUMBER($AX$683),$B$677=1),$AX$683,HLOOKUP(INDIRECT(ADDRESS(2,COLUMN())),OFFSET($BN$2,0,0,ROW()-1,60),ROW()-1,FALSE))</f>
        <v/>
      </c>
      <c r="AY9" t="str">
        <f ca="1">IF(AND(ISNUMBER($AY$683),$B$677=1),$AY$683,HLOOKUP(INDIRECT(ADDRESS(2,COLUMN())),OFFSET($BN$2,0,0,ROW()-1,60),ROW()-1,FALSE))</f>
        <v/>
      </c>
      <c r="AZ9" t="str">
        <f ca="1">IF(AND(ISNUMBER($AZ$683),$B$677=1),$AZ$683,HLOOKUP(INDIRECT(ADDRESS(2,COLUMN())),OFFSET($BN$2,0,0,ROW()-1,60),ROW()-1,FALSE))</f>
        <v/>
      </c>
      <c r="BA9" t="str">
        <f ca="1">IF(AND(ISNUMBER($BA$683),$B$677=1),$BA$683,HLOOKUP(INDIRECT(ADDRESS(2,COLUMN())),OFFSET($BN$2,0,0,ROW()-1,60),ROW()-1,FALSE))</f>
        <v/>
      </c>
      <c r="BB9" t="str">
        <f ca="1">IF(AND(ISNUMBER($BB$683),$B$677=1),$BB$683,HLOOKUP(INDIRECT(ADDRESS(2,COLUMN())),OFFSET($BN$2,0,0,ROW()-1,60),ROW()-1,FALSE))</f>
        <v/>
      </c>
      <c r="BC9" t="str">
        <f ca="1">IF(AND(ISNUMBER($BC$683),$B$677=1),$BC$683,HLOOKUP(INDIRECT(ADDRESS(2,COLUMN())),OFFSET($BN$2,0,0,ROW()-1,60),ROW()-1,FALSE))</f>
        <v/>
      </c>
      <c r="BD9" t="str">
        <f ca="1">IF(AND(ISNUMBER($BD$683),$B$677=1),$BD$683,HLOOKUP(INDIRECT(ADDRESS(2,COLUMN())),OFFSET($BN$2,0,0,ROW()-1,60),ROW()-1,FALSE))</f>
        <v/>
      </c>
      <c r="BE9" t="str">
        <f ca="1">IF(AND(ISNUMBER($BE$683),$B$677=1),$BE$683,HLOOKUP(INDIRECT(ADDRESS(2,COLUMN())),OFFSET($BN$2,0,0,ROW()-1,60),ROW()-1,FALSE))</f>
        <v/>
      </c>
      <c r="BF9" t="str">
        <f ca="1">IF(AND(ISNUMBER($BF$683),$B$677=1),$BF$683,HLOOKUP(INDIRECT(ADDRESS(2,COLUMN())),OFFSET($BN$2,0,0,ROW()-1,60),ROW()-1,FALSE))</f>
        <v/>
      </c>
      <c r="BG9" t="str">
        <f ca="1">IF(AND(ISNUMBER($BG$683),$B$677=1),$BG$683,HLOOKUP(INDIRECT(ADDRESS(2,COLUMN())),OFFSET($BN$2,0,0,ROW()-1,60),ROW()-1,FALSE))</f>
        <v/>
      </c>
      <c r="BH9" t="str">
        <f ca="1">IF(AND(ISNUMBER($BH$683),$B$677=1),$BH$683,HLOOKUP(INDIRECT(ADDRESS(2,COLUMN())),OFFSET($BN$2,0,0,ROW()-1,60),ROW()-1,FALSE))</f>
        <v/>
      </c>
      <c r="BI9" t="str">
        <f ca="1">IF(AND(ISNUMBER($BI$683),$B$677=1),$BI$683,HLOOKUP(INDIRECT(ADDRESS(2,COLUMN())),OFFSET($BN$2,0,0,ROW()-1,60),ROW()-1,FALSE))</f>
        <v/>
      </c>
      <c r="BJ9" t="str">
        <f ca="1">IF(AND(ISNUMBER($BJ$683),$B$677=1),$BJ$683,HLOOKUP(INDIRECT(ADDRESS(2,COLUMN())),OFFSET($BN$2,0,0,ROW()-1,60),ROW()-1,FALSE))</f>
        <v/>
      </c>
      <c r="BK9" t="str">
        <f ca="1">IF(AND(ISNUMBER($BK$683),$B$677=1),$BK$683,HLOOKUP(INDIRECT(ADDRESS(2,COLUMN())),OFFSET($BN$2,0,0,ROW()-1,60),ROW()-1,FALSE))</f>
        <v/>
      </c>
      <c r="BL9" t="str">
        <f ca="1">IF(AND(ISNUMBER($BL$683),$B$677=1),$BL$683,HLOOKUP(INDIRECT(ADDRESS(2,COLUMN())),OFFSET($BN$2,0,0,ROW()-1,60),ROW()-1,FALSE))</f>
        <v/>
      </c>
      <c r="BM9" t="str">
        <f ca="1">IF(AND(ISNUMBER($BM$683),$B$677=1),$BM$683,HLOOKUP(INDIRECT(ADDRESS(2,COLUMN())),OFFSET($BN$2,0,0,ROW()-1,60),ROW()-1,FALSE))</f>
        <v/>
      </c>
      <c r="BN9">
        <f>48.00651701</f>
        <v>48.006517010000003</v>
      </c>
      <c r="BO9">
        <f>48.99000903</f>
        <v>48.990009030000003</v>
      </c>
      <c r="BP9">
        <f>55.09169226</f>
        <v>55.091692260000002</v>
      </c>
      <c r="BQ9">
        <f>44.33470254</f>
        <v>44.334702540000002</v>
      </c>
      <c r="BR9">
        <f>41.73393618</f>
        <v>41.733936180000001</v>
      </c>
      <c r="BS9">
        <f>41.77396064</f>
        <v>41.773960639999999</v>
      </c>
      <c r="BT9">
        <f>44.85225899</f>
        <v>44.852258990000003</v>
      </c>
      <c r="BU9">
        <f>27.02184694</f>
        <v>27.02184694</v>
      </c>
      <c r="BV9">
        <f>21.86856426</f>
        <v>21.868564259999999</v>
      </c>
      <c r="BW9">
        <f>19.36722476</f>
        <v>19.367224759999999</v>
      </c>
      <c r="BX9">
        <f>24.37357041</f>
        <v>24.373570409999999</v>
      </c>
      <c r="BY9">
        <f>21.42099628</f>
        <v>21.420996280000001</v>
      </c>
      <c r="BZ9">
        <f>25.88428117</f>
        <v>25.884281170000001</v>
      </c>
      <c r="CA9">
        <f>31.40818628</f>
        <v>31.408186279999999</v>
      </c>
      <c r="CB9">
        <f>41.53099812</f>
        <v>41.53099812</v>
      </c>
      <c r="CC9">
        <f>169.3489943</f>
        <v>169.34899429999999</v>
      </c>
      <c r="CD9">
        <f>140.5777129</f>
        <v>140.57771289999999</v>
      </c>
      <c r="CE9">
        <f>129.9062337</f>
        <v>129.9062337</v>
      </c>
      <c r="CF9">
        <f>197.7927394</f>
        <v>197.79273939999999</v>
      </c>
      <c r="CG9">
        <f>169.4718607</f>
        <v>169.47186070000001</v>
      </c>
      <c r="CH9">
        <f>194.9480028</f>
        <v>194.94800280000001</v>
      </c>
      <c r="CI9">
        <f>125.0589845</f>
        <v>125.05898449999999</v>
      </c>
      <c r="CJ9">
        <f>121.1018829</f>
        <v>121.10188290000001</v>
      </c>
      <c r="CK9">
        <f>96.24006847</f>
        <v>96.240068469999997</v>
      </c>
      <c r="CL9">
        <f>270.9501689</f>
        <v>270.95016889999999</v>
      </c>
      <c r="CM9">
        <f>564.6477692</f>
        <v>564.64776919999997</v>
      </c>
      <c r="CN9">
        <f>24.58610088</f>
        <v>24.58610088</v>
      </c>
      <c r="CO9">
        <f>25.12606202</f>
        <v>25.126062019999999</v>
      </c>
      <c r="CP9" t="str">
        <f>""</f>
        <v/>
      </c>
      <c r="CQ9" t="str">
        <f>""</f>
        <v/>
      </c>
      <c r="CR9">
        <f>9.876501484</f>
        <v>9.8765014840000003</v>
      </c>
      <c r="CS9">
        <f>18.82664425</f>
        <v>18.826644250000001</v>
      </c>
      <c r="CT9">
        <f>22.61348118</f>
        <v>22.613481180000001</v>
      </c>
      <c r="CU9">
        <f>31.2084837</f>
        <v>31.208483699999999</v>
      </c>
      <c r="CV9">
        <f>31.34422572</f>
        <v>31.344225720000001</v>
      </c>
      <c r="CW9">
        <f>22.74050062</f>
        <v>22.740500619999999</v>
      </c>
      <c r="CX9" t="str">
        <f>""</f>
        <v/>
      </c>
      <c r="CY9" t="str">
        <f>""</f>
        <v/>
      </c>
      <c r="CZ9" t="str">
        <f>""</f>
        <v/>
      </c>
      <c r="DA9" t="str">
        <f>""</f>
        <v/>
      </c>
      <c r="DB9" t="str">
        <f>""</f>
        <v/>
      </c>
      <c r="DC9" t="str">
        <f>""</f>
        <v/>
      </c>
      <c r="DD9" t="str">
        <f>""</f>
        <v/>
      </c>
      <c r="DE9" t="str">
        <f>""</f>
        <v/>
      </c>
      <c r="DF9" t="str">
        <f>""</f>
        <v/>
      </c>
      <c r="DG9" t="str">
        <f>""</f>
        <v/>
      </c>
      <c r="DH9" t="str">
        <f>""</f>
        <v/>
      </c>
      <c r="DI9" t="str">
        <f>""</f>
        <v/>
      </c>
      <c r="DJ9" t="str">
        <f>""</f>
        <v/>
      </c>
      <c r="DK9" t="str">
        <f>""</f>
        <v/>
      </c>
      <c r="DL9" t="str">
        <f>""</f>
        <v/>
      </c>
      <c r="DM9" t="str">
        <f>""</f>
        <v/>
      </c>
      <c r="DN9" t="str">
        <f>""</f>
        <v/>
      </c>
      <c r="DO9" t="str">
        <f>""</f>
        <v/>
      </c>
      <c r="DP9" t="str">
        <f>""</f>
        <v/>
      </c>
      <c r="DQ9" t="str">
        <f>""</f>
        <v/>
      </c>
      <c r="DR9" t="str">
        <f>""</f>
        <v/>
      </c>
      <c r="DS9" t="str">
        <f>""</f>
        <v/>
      </c>
      <c r="DT9" t="str">
        <f>""</f>
        <v/>
      </c>
      <c r="DU9" t="str">
        <f>""</f>
        <v/>
      </c>
    </row>
    <row r="10" spans="1:125" x14ac:dyDescent="0.25">
      <c r="A10" t="str">
        <f>"    Chongqing Changan Automobile Co Ltd"</f>
        <v xml:space="preserve">    Chongqing Changan Automobile Co Ltd</v>
      </c>
      <c r="B10" t="str">
        <f>"200625 CH Equity"</f>
        <v>200625 CH Equity</v>
      </c>
      <c r="C10" t="str">
        <f t="shared" si="0"/>
        <v>RR900</v>
      </c>
      <c r="D10" t="str">
        <f t="shared" si="1"/>
        <v>PE_RATIO</v>
      </c>
      <c r="E10" t="str">
        <f t="shared" si="2"/>
        <v>Dynamic</v>
      </c>
      <c r="F10">
        <f ca="1">IF(AND(ISNUMBER($F$684),$B$677=1),$F$684,HLOOKUP(INDIRECT(ADDRESS(2,COLUMN())),OFFSET($BN$2,0,0,ROW()-1,60),ROW()-1,FALSE))</f>
        <v>7.101755453</v>
      </c>
      <c r="G10">
        <f ca="1">IF(AND(ISNUMBER($G$684),$B$677=1),$G$684,HLOOKUP(INDIRECT(ADDRESS(2,COLUMN())),OFFSET($BN$2,0,0,ROW()-1,60),ROW()-1,FALSE))</f>
        <v>5.8775666800000002</v>
      </c>
      <c r="H10">
        <f ca="1">IF(AND(ISNUMBER($H$684),$B$677=1),$H$684,HLOOKUP(INDIRECT(ADDRESS(2,COLUMN())),OFFSET($BN$2,0,0,ROW()-1,60),ROW()-1,FALSE))</f>
        <v>10.636054659999999</v>
      </c>
      <c r="I10">
        <f ca="1">IF(AND(ISNUMBER($I$684),$B$677=1),$I$684,HLOOKUP(INDIRECT(ADDRESS(2,COLUMN())),OFFSET($BN$2,0,0,ROW()-1,60),ROW()-1,FALSE))</f>
        <v>7.7701598839999999</v>
      </c>
      <c r="J10">
        <f ca="1">IF(AND(ISNUMBER($J$684),$B$677=1),$J$684,HLOOKUP(INDIRECT(ADDRESS(2,COLUMN())),OFFSET($BN$2,0,0,ROW()-1,60),ROW()-1,FALSE))</f>
        <v>5.0952280830000003</v>
      </c>
      <c r="K10">
        <f ca="1">IF(AND(ISNUMBER($K$684),$B$677=1),$K$684,HLOOKUP(INDIRECT(ADDRESS(2,COLUMN())),OFFSET($BN$2,0,0,ROW()-1,60),ROW()-1,FALSE))</f>
        <v>4.8126792979999999</v>
      </c>
      <c r="L10">
        <f ca="1">IF(AND(ISNUMBER($L$684),$B$677=1),$L$684,HLOOKUP(INDIRECT(ADDRESS(2,COLUMN())),OFFSET($BN$2,0,0,ROW()-1,60),ROW()-1,FALSE))</f>
        <v>5.0210636830000004</v>
      </c>
      <c r="M10">
        <f ca="1">IF(AND(ISNUMBER($M$684),$B$677=1),$M$684,HLOOKUP(INDIRECT(ADDRESS(2,COLUMN())),OFFSET($BN$2,0,0,ROW()-1,60),ROW()-1,FALSE))</f>
        <v>4.5089972539999996</v>
      </c>
      <c r="N10">
        <f ca="1">IF(AND(ISNUMBER($N$684),$B$677=1),$N$684,HLOOKUP(INDIRECT(ADDRESS(2,COLUMN())),OFFSET($BN$2,0,0,ROW()-1,60),ROW()-1,FALSE))</f>
        <v>4.5044943980000003</v>
      </c>
      <c r="O10">
        <f ca="1">IF(AND(ISNUMBER($O$684),$B$677=1),$O$684,HLOOKUP(INDIRECT(ADDRESS(2,COLUMN())),OFFSET($BN$2,0,0,ROW()-1,60),ROW()-1,FALSE))</f>
        <v>4.5284124170000002</v>
      </c>
      <c r="P10">
        <f ca="1">IF(AND(ISNUMBER($P$684),$B$677=1),$P$684,HLOOKUP(INDIRECT(ADDRESS(2,COLUMN())),OFFSET($BN$2,0,0,ROW()-1,60),ROW()-1,FALSE))</f>
        <v>4.6324517089999997</v>
      </c>
      <c r="Q10">
        <f ca="1">IF(AND(ISNUMBER($Q$684),$B$677=1),$Q$684,HLOOKUP(INDIRECT(ADDRESS(2,COLUMN())),OFFSET($BN$2,0,0,ROW()-1,60),ROW()-1,FALSE))</f>
        <v>4.1663328509999999</v>
      </c>
      <c r="R10">
        <f ca="1">IF(AND(ISNUMBER($R$684),$B$677=1),$R$684,HLOOKUP(INDIRECT(ADDRESS(2,COLUMN())),OFFSET($BN$2,0,0,ROW()-1,60),ROW()-1,FALSE))</f>
        <v>5.559271163</v>
      </c>
      <c r="S10">
        <f ca="1">IF(AND(ISNUMBER($S$684),$B$677=1),$S$684,HLOOKUP(INDIRECT(ADDRESS(2,COLUMN())),OFFSET($BN$2,0,0,ROW()-1,60),ROW()-1,FALSE))</f>
        <v>6.6750403560000002</v>
      </c>
      <c r="T10">
        <f ca="1">IF(AND(ISNUMBER($T$684),$B$677=1),$T$684,HLOOKUP(INDIRECT(ADDRESS(2,COLUMN())),OFFSET($BN$2,0,0,ROW()-1,60),ROW()-1,FALSE))</f>
        <v>5.6287829440000001</v>
      </c>
      <c r="U10">
        <f ca="1">IF(AND(ISNUMBER($U$684),$B$677=1),$U$684,HLOOKUP(INDIRECT(ADDRESS(2,COLUMN())),OFFSET($BN$2,0,0,ROW()-1,60),ROW()-1,FALSE))</f>
        <v>8.1827433670000005</v>
      </c>
      <c r="V10">
        <f ca="1">IF(AND(ISNUMBER($V$684),$B$677=1),$V$684,HLOOKUP(INDIRECT(ADDRESS(2,COLUMN())),OFFSET($BN$2,0,0,ROW()-1,60),ROW()-1,FALSE))</f>
        <v>10.63047564</v>
      </c>
      <c r="W10">
        <f ca="1">IF(AND(ISNUMBER($W$684),$B$677=1),$W$684,HLOOKUP(INDIRECT(ADDRESS(2,COLUMN())),OFFSET($BN$2,0,0,ROW()-1,60),ROW()-1,FALSE))</f>
        <v>8.7469536340000005</v>
      </c>
      <c r="X10">
        <f ca="1">IF(AND(ISNUMBER($X$684),$B$677=1),$X$684,HLOOKUP(INDIRECT(ADDRESS(2,COLUMN())),OFFSET($BN$2,0,0,ROW()-1,60),ROW()-1,FALSE))</f>
        <v>9.2906577000000006</v>
      </c>
      <c r="Y10">
        <f ca="1">IF(AND(ISNUMBER($Y$684),$B$677=1),$Y$684,HLOOKUP(INDIRECT(ADDRESS(2,COLUMN())),OFFSET($BN$2,0,0,ROW()-1,60),ROW()-1,FALSE))</f>
        <v>10.04505101</v>
      </c>
      <c r="Z10">
        <f ca="1">IF(AND(ISNUMBER($Z$684),$B$677=1),$Z$684,HLOOKUP(INDIRECT(ADDRESS(2,COLUMN())),OFFSET($BN$2,0,0,ROW()-1,60),ROW()-1,FALSE))</f>
        <v>10.218493580000001</v>
      </c>
      <c r="AA10">
        <f ca="1">IF(AND(ISNUMBER($AA$684),$B$677=1),$AA$684,HLOOKUP(INDIRECT(ADDRESS(2,COLUMN())),OFFSET($BN$2,0,0,ROW()-1,60),ROW()-1,FALSE))</f>
        <v>19.787394639999999</v>
      </c>
      <c r="AB10">
        <f ca="1">IF(AND(ISNUMBER($AB$684),$B$677=1),$AB$684,HLOOKUP(INDIRECT(ADDRESS(2,COLUMN())),OFFSET($BN$2,0,0,ROW()-1,60),ROW()-1,FALSE))</f>
        <v>15.46031473</v>
      </c>
      <c r="AC10">
        <f ca="1">IF(AND(ISNUMBER($AC$684),$B$677=1),$AC$684,HLOOKUP(INDIRECT(ADDRESS(2,COLUMN())),OFFSET($BN$2,0,0,ROW()-1,60),ROW()-1,FALSE))</f>
        <v>16.018559339999999</v>
      </c>
      <c r="AD10">
        <f ca="1">IF(AND(ISNUMBER($AD$684),$B$677=1),$AD$684,HLOOKUP(INDIRECT(ADDRESS(2,COLUMN())),OFFSET($BN$2,0,0,ROW()-1,60),ROW()-1,FALSE))</f>
        <v>15.234091640000001</v>
      </c>
      <c r="AE10">
        <f ca="1">IF(AND(ISNUMBER($AE$684),$B$677=1),$AE$684,HLOOKUP(INDIRECT(ADDRESS(2,COLUMN())),OFFSET($BN$2,0,0,ROW()-1,60),ROW()-1,FALSE))</f>
        <v>11.3203675</v>
      </c>
      <c r="AF10">
        <f ca="1">IF(AND(ISNUMBER($AF$684),$B$677=1),$AF$684,HLOOKUP(INDIRECT(ADDRESS(2,COLUMN())),OFFSET($BN$2,0,0,ROW()-1,60),ROW()-1,FALSE))</f>
        <v>13.263870320000001</v>
      </c>
      <c r="AG10">
        <f ca="1">IF(AND(ISNUMBER($AG$684),$B$677=1),$AG$684,HLOOKUP(INDIRECT(ADDRESS(2,COLUMN())),OFFSET($BN$2,0,0,ROW()-1,60),ROW()-1,FALSE))</f>
        <v>24.016365059999998</v>
      </c>
      <c r="AH10">
        <f ca="1">IF(AND(ISNUMBER($AH$684),$B$677=1),$AH$684,HLOOKUP(INDIRECT(ADDRESS(2,COLUMN())),OFFSET($BN$2,0,0,ROW()-1,60),ROW()-1,FALSE))</f>
        <v>32.543640830000001</v>
      </c>
      <c r="AI10">
        <f ca="1">IF(AND(ISNUMBER($AI$684),$B$677=1),$AI$684,HLOOKUP(INDIRECT(ADDRESS(2,COLUMN())),OFFSET($BN$2,0,0,ROW()-1,60),ROW()-1,FALSE))</f>
        <v>11.25963497</v>
      </c>
      <c r="AJ10">
        <f ca="1">IF(AND(ISNUMBER($AJ$684),$B$677=1),$AJ$684,HLOOKUP(INDIRECT(ADDRESS(2,COLUMN())),OFFSET($BN$2,0,0,ROW()-1,60),ROW()-1,FALSE))</f>
        <v>6.623339455</v>
      </c>
      <c r="AK10">
        <f ca="1">IF(AND(ISNUMBER($AK$684),$B$677=1),$AK$684,HLOOKUP(INDIRECT(ADDRESS(2,COLUMN())),OFFSET($BN$2,0,0,ROW()-1,60),ROW()-1,FALSE))</f>
        <v>6.8638970439999998</v>
      </c>
      <c r="AL10">
        <f ca="1">IF(AND(ISNUMBER($AL$684),$B$677=1),$AL$684,HLOOKUP(INDIRECT(ADDRESS(2,COLUMN())),OFFSET($BN$2,0,0,ROW()-1,60),ROW()-1,FALSE))</f>
        <v>6.5138771770000004</v>
      </c>
      <c r="AM10">
        <f ca="1">IF(AND(ISNUMBER($AM$684),$B$677=1),$AM$684,HLOOKUP(INDIRECT(ADDRESS(2,COLUMN())),OFFSET($BN$2,0,0,ROW()-1,60),ROW()-1,FALSE))</f>
        <v>6.3819503419999997</v>
      </c>
      <c r="AN10">
        <f ca="1">IF(AND(ISNUMBER($AN$684),$B$677=1),$AN$684,HLOOKUP(INDIRECT(ADDRESS(2,COLUMN())),OFFSET($BN$2,0,0,ROW()-1,60),ROW()-1,FALSE))</f>
        <v>6.9221883819999999</v>
      </c>
      <c r="AO10">
        <f ca="1">IF(AND(ISNUMBER($AO$684),$B$677=1),$AO$684,HLOOKUP(INDIRECT(ADDRESS(2,COLUMN())),OFFSET($BN$2,0,0,ROW()-1,60),ROW()-1,FALSE))</f>
        <v>4.6003719329999999</v>
      </c>
      <c r="AP10">
        <f ca="1">IF(AND(ISNUMBER($AP$684),$B$677=1),$AP$684,HLOOKUP(INDIRECT(ADDRESS(2,COLUMN())),OFFSET($BN$2,0,0,ROW()-1,60),ROW()-1,FALSE))</f>
        <v>7.4613356020000001</v>
      </c>
      <c r="AQ10">
        <f ca="1">IF(AND(ISNUMBER($AQ$684),$B$677=1),$AQ$684,HLOOKUP(INDIRECT(ADDRESS(2,COLUMN())),OFFSET($BN$2,0,0,ROW()-1,60),ROW()-1,FALSE))</f>
        <v>14.524362829999999</v>
      </c>
      <c r="AR10">
        <f ca="1">IF(AND(ISNUMBER($AR$684),$B$677=1),$AR$684,HLOOKUP(INDIRECT(ADDRESS(2,COLUMN())),OFFSET($BN$2,0,0,ROW()-1,60),ROW()-1,FALSE))</f>
        <v>18.591534719999999</v>
      </c>
      <c r="AS10">
        <f ca="1">IF(AND(ISNUMBER($AS$684),$B$677=1),$AS$684,HLOOKUP(INDIRECT(ADDRESS(2,COLUMN())),OFFSET($BN$2,0,0,ROW()-1,60),ROW()-1,FALSE))</f>
        <v>79.753860829999994</v>
      </c>
      <c r="AT10" t="str">
        <f ca="1">IF(AND(ISNUMBER($AT$684),$B$677=1),$AT$684,HLOOKUP(INDIRECT(ADDRESS(2,COLUMN())),OFFSET($BN$2,0,0,ROW()-1,60),ROW()-1,FALSE))</f>
        <v/>
      </c>
      <c r="AU10">
        <f ca="1">IF(AND(ISNUMBER($AU$684),$B$677=1),$AU$684,HLOOKUP(INDIRECT(ADDRESS(2,COLUMN())),OFFSET($BN$2,0,0,ROW()-1,60),ROW()-1,FALSE))</f>
        <v>7.5610791150000001</v>
      </c>
      <c r="AV10">
        <f ca="1">IF(AND(ISNUMBER($AV$684),$B$677=1),$AV$684,HLOOKUP(INDIRECT(ADDRESS(2,COLUMN())),OFFSET($BN$2,0,0,ROW()-1,60),ROW()-1,FALSE))</f>
        <v>8.3421458909999995</v>
      </c>
      <c r="AW10">
        <f ca="1">IF(AND(ISNUMBER($AW$684),$B$677=1),$AW$684,HLOOKUP(INDIRECT(ADDRESS(2,COLUMN())),OFFSET($BN$2,0,0,ROW()-1,60),ROW()-1,FALSE))</f>
        <v>9.5491905409999998</v>
      </c>
      <c r="AX10">
        <f ca="1">IF(AND(ISNUMBER($AX$684),$B$677=1),$AX$684,HLOOKUP(INDIRECT(ADDRESS(2,COLUMN())),OFFSET($BN$2,0,0,ROW()-1,60),ROW()-1,FALSE))</f>
        <v>12.5579284</v>
      </c>
      <c r="AY10">
        <f ca="1">IF(AND(ISNUMBER($AY$684),$B$677=1),$AY$684,HLOOKUP(INDIRECT(ADDRESS(2,COLUMN())),OFFSET($BN$2,0,0,ROW()-1,60),ROW()-1,FALSE))</f>
        <v>22.852399890000001</v>
      </c>
      <c r="AZ10">
        <f ca="1">IF(AND(ISNUMBER($AZ$684),$B$677=1),$AZ$684,HLOOKUP(INDIRECT(ADDRESS(2,COLUMN())),OFFSET($BN$2,0,0,ROW()-1,60),ROW()-1,FALSE))</f>
        <v>30.680255200000001</v>
      </c>
      <c r="BA10">
        <f ca="1">IF(AND(ISNUMBER($BA$684),$B$677=1),$BA$684,HLOOKUP(INDIRECT(ADDRESS(2,COLUMN())),OFFSET($BN$2,0,0,ROW()-1,60),ROW()-1,FALSE))</f>
        <v>22.6780288</v>
      </c>
      <c r="BB10">
        <f ca="1">IF(AND(ISNUMBER($BB$684),$B$677=1),$BB$684,HLOOKUP(INDIRECT(ADDRESS(2,COLUMN())),OFFSET($BN$2,0,0,ROW()-1,60),ROW()-1,FALSE))</f>
        <v>21.323585560000001</v>
      </c>
      <c r="BC10">
        <f ca="1">IF(AND(ISNUMBER($BC$684),$B$677=1),$BC$684,HLOOKUP(INDIRECT(ADDRESS(2,COLUMN())),OFFSET($BN$2,0,0,ROW()-1,60),ROW()-1,FALSE))</f>
        <v>16.479897099999999</v>
      </c>
      <c r="BD10">
        <f ca="1">IF(AND(ISNUMBER($BD$684),$B$677=1),$BD$684,HLOOKUP(INDIRECT(ADDRESS(2,COLUMN())),OFFSET($BN$2,0,0,ROW()-1,60),ROW()-1,FALSE))</f>
        <v>11.75944007</v>
      </c>
      <c r="BE10">
        <f ca="1">IF(AND(ISNUMBER($BE$684),$B$677=1),$BE$684,HLOOKUP(INDIRECT(ADDRESS(2,COLUMN())),OFFSET($BN$2,0,0,ROW()-1,60),ROW()-1,FALSE))</f>
        <v>17.48959468</v>
      </c>
      <c r="BF10">
        <f ca="1">IF(AND(ISNUMBER($BF$684),$B$677=1),$BF$684,HLOOKUP(INDIRECT(ADDRESS(2,COLUMN())),OFFSET($BN$2,0,0,ROW()-1,60),ROW()-1,FALSE))</f>
        <v>25.860926970000001</v>
      </c>
      <c r="BG10">
        <f ca="1">IF(AND(ISNUMBER($BG$684),$B$677=1),$BG$684,HLOOKUP(INDIRECT(ADDRESS(2,COLUMN())),OFFSET($BN$2,0,0,ROW()-1,60),ROW()-1,FALSE))</f>
        <v>16.073351299999999</v>
      </c>
      <c r="BH10">
        <f ca="1">IF(AND(ISNUMBER($BH$684),$B$677=1),$BH$684,HLOOKUP(INDIRECT(ADDRESS(2,COLUMN())),OFFSET($BN$2,0,0,ROW()-1,60),ROW()-1,FALSE))</f>
        <v>11.4993754</v>
      </c>
      <c r="BI10" t="str">
        <f ca="1">IF(AND(ISNUMBER($BI$684),$B$677=1),$BI$684,HLOOKUP(INDIRECT(ADDRESS(2,COLUMN())),OFFSET($BN$2,0,0,ROW()-1,60),ROW()-1,FALSE))</f>
        <v/>
      </c>
      <c r="BJ10" t="str">
        <f ca="1">IF(AND(ISNUMBER($BJ$684),$B$677=1),$BJ$684,HLOOKUP(INDIRECT(ADDRESS(2,COLUMN())),OFFSET($BN$2,0,0,ROW()-1,60),ROW()-1,FALSE))</f>
        <v/>
      </c>
      <c r="BK10" t="str">
        <f ca="1">IF(AND(ISNUMBER($BK$684),$B$677=1),$BK$684,HLOOKUP(INDIRECT(ADDRESS(2,COLUMN())),OFFSET($BN$2,0,0,ROW()-1,60),ROW()-1,FALSE))</f>
        <v/>
      </c>
      <c r="BL10" t="str">
        <f ca="1">IF(AND(ISNUMBER($BL$684),$B$677=1),$BL$684,HLOOKUP(INDIRECT(ADDRESS(2,COLUMN())),OFFSET($BN$2,0,0,ROW()-1,60),ROW()-1,FALSE))</f>
        <v/>
      </c>
      <c r="BM10" t="str">
        <f ca="1">IF(AND(ISNUMBER($BM$684),$B$677=1),$BM$684,HLOOKUP(INDIRECT(ADDRESS(2,COLUMN())),OFFSET($BN$2,0,0,ROW()-1,60),ROW()-1,FALSE))</f>
        <v/>
      </c>
      <c r="BN10">
        <f>7.101755453</f>
        <v>7.101755453</v>
      </c>
      <c r="BO10">
        <f>5.87756668</f>
        <v>5.8775666800000002</v>
      </c>
      <c r="BP10">
        <f>10.63605466</f>
        <v>10.636054659999999</v>
      </c>
      <c r="BQ10">
        <f>7.770159884</f>
        <v>7.7701598839999999</v>
      </c>
      <c r="BR10">
        <f>5.095228083</f>
        <v>5.0952280830000003</v>
      </c>
      <c r="BS10">
        <f>4.812679298</f>
        <v>4.8126792979999999</v>
      </c>
      <c r="BT10">
        <f>5.021063683</f>
        <v>5.0210636830000004</v>
      </c>
      <c r="BU10">
        <f>4.508997254</f>
        <v>4.5089972539999996</v>
      </c>
      <c r="BV10">
        <f>4.504494398</f>
        <v>4.5044943980000003</v>
      </c>
      <c r="BW10">
        <f>4.528412417</f>
        <v>4.5284124170000002</v>
      </c>
      <c r="BX10">
        <f>4.632451709</f>
        <v>4.6324517089999997</v>
      </c>
      <c r="BY10">
        <f>4.166332851</f>
        <v>4.1663328509999999</v>
      </c>
      <c r="BZ10">
        <f>5.559271163</f>
        <v>5.559271163</v>
      </c>
      <c r="CA10">
        <f>6.675040356</f>
        <v>6.6750403560000002</v>
      </c>
      <c r="CB10">
        <f>5.628782944</f>
        <v>5.6287829440000001</v>
      </c>
      <c r="CC10">
        <f>8.182743367</f>
        <v>8.1827433670000005</v>
      </c>
      <c r="CD10">
        <f>10.63047564</f>
        <v>10.63047564</v>
      </c>
      <c r="CE10">
        <f>8.746953634</f>
        <v>8.7469536340000005</v>
      </c>
      <c r="CF10">
        <f>9.2906577</f>
        <v>9.2906577000000006</v>
      </c>
      <c r="CG10">
        <f>10.04505101</f>
        <v>10.04505101</v>
      </c>
      <c r="CH10">
        <f>10.21849358</f>
        <v>10.218493580000001</v>
      </c>
      <c r="CI10">
        <f>19.78739464</f>
        <v>19.787394639999999</v>
      </c>
      <c r="CJ10">
        <f>15.46031473</f>
        <v>15.46031473</v>
      </c>
      <c r="CK10">
        <f>16.01855934</f>
        <v>16.018559339999999</v>
      </c>
      <c r="CL10">
        <f>15.23409164</f>
        <v>15.234091640000001</v>
      </c>
      <c r="CM10">
        <f>11.3203675</f>
        <v>11.3203675</v>
      </c>
      <c r="CN10">
        <f>13.26387032</f>
        <v>13.263870320000001</v>
      </c>
      <c r="CO10">
        <f>24.01636506</f>
        <v>24.016365059999998</v>
      </c>
      <c r="CP10">
        <f>32.54364083</f>
        <v>32.543640830000001</v>
      </c>
      <c r="CQ10">
        <f>11.25963497</f>
        <v>11.25963497</v>
      </c>
      <c r="CR10">
        <f>6.623339455</f>
        <v>6.623339455</v>
      </c>
      <c r="CS10">
        <f>6.863897044</f>
        <v>6.8638970439999998</v>
      </c>
      <c r="CT10">
        <f>6.513877177</f>
        <v>6.5138771770000004</v>
      </c>
      <c r="CU10">
        <f>6.381950342</f>
        <v>6.3819503419999997</v>
      </c>
      <c r="CV10">
        <f>6.922188382</f>
        <v>6.9221883819999999</v>
      </c>
      <c r="CW10">
        <f>4.600371933</f>
        <v>4.6003719329999999</v>
      </c>
      <c r="CX10">
        <f>7.461335602</f>
        <v>7.4613356020000001</v>
      </c>
      <c r="CY10">
        <f>14.52436283</f>
        <v>14.524362829999999</v>
      </c>
      <c r="CZ10">
        <f>18.59153472</f>
        <v>18.591534719999999</v>
      </c>
      <c r="DA10">
        <f>79.75386083</f>
        <v>79.753860829999994</v>
      </c>
      <c r="DB10" t="str">
        <f>""</f>
        <v/>
      </c>
      <c r="DC10">
        <f>7.561079115</f>
        <v>7.5610791150000001</v>
      </c>
      <c r="DD10">
        <f>8.342145891</f>
        <v>8.3421458909999995</v>
      </c>
      <c r="DE10">
        <f>9.549190541</f>
        <v>9.5491905409999998</v>
      </c>
      <c r="DF10">
        <f>12.5579284</f>
        <v>12.5579284</v>
      </c>
      <c r="DG10">
        <f>22.85239989</f>
        <v>22.852399890000001</v>
      </c>
      <c r="DH10">
        <f>30.6802552</f>
        <v>30.680255200000001</v>
      </c>
      <c r="DI10">
        <f>22.6780288</f>
        <v>22.6780288</v>
      </c>
      <c r="DJ10">
        <f>21.32358556</f>
        <v>21.323585560000001</v>
      </c>
      <c r="DK10">
        <f>16.4798971</f>
        <v>16.479897099999999</v>
      </c>
      <c r="DL10">
        <f>11.75944007</f>
        <v>11.75944007</v>
      </c>
      <c r="DM10">
        <f>17.48959468</f>
        <v>17.48959468</v>
      </c>
      <c r="DN10">
        <f>25.86092697</f>
        <v>25.860926970000001</v>
      </c>
      <c r="DO10">
        <f>16.0733513</f>
        <v>16.073351299999999</v>
      </c>
      <c r="DP10">
        <f>11.4993754</f>
        <v>11.4993754</v>
      </c>
      <c r="DQ10" t="str">
        <f>""</f>
        <v/>
      </c>
      <c r="DR10" t="str">
        <f>""</f>
        <v/>
      </c>
      <c r="DS10" t="str">
        <f>""</f>
        <v/>
      </c>
      <c r="DT10" t="str">
        <f>""</f>
        <v/>
      </c>
      <c r="DU10" t="str">
        <f>""</f>
        <v/>
      </c>
    </row>
    <row r="11" spans="1:125" x14ac:dyDescent="0.25">
      <c r="A11" t="str">
        <f>"    Daihatsu Motor Co Ltd"</f>
        <v xml:space="preserve">    Daihatsu Motor Co Ltd</v>
      </c>
      <c r="B11" t="str">
        <f>"7262 JP Equity"</f>
        <v>7262 JP Equity</v>
      </c>
      <c r="C11" t="str">
        <f t="shared" si="0"/>
        <v>RR900</v>
      </c>
      <c r="D11" t="str">
        <f t="shared" si="1"/>
        <v>PE_RATIO</v>
      </c>
      <c r="E11" t="str">
        <f t="shared" si="2"/>
        <v>Dynamic</v>
      </c>
      <c r="F11" t="str">
        <f ca="1">IF(AND(ISNUMBER($F$685),$B$677=1),$F$685,HLOOKUP(INDIRECT(ADDRESS(2,COLUMN())),OFFSET($BN$2,0,0,ROW()-1,60),ROW()-1,FALSE))</f>
        <v/>
      </c>
      <c r="G11" t="str">
        <f ca="1">IF(AND(ISNUMBER($G$685),$B$677=1),$G$685,HLOOKUP(INDIRECT(ADDRESS(2,COLUMN())),OFFSET($BN$2,0,0,ROW()-1,60),ROW()-1,FALSE))</f>
        <v/>
      </c>
      <c r="H11" t="str">
        <f ca="1">IF(AND(ISNUMBER($H$685),$B$677=1),$H$685,HLOOKUP(INDIRECT(ADDRESS(2,COLUMN())),OFFSET($BN$2,0,0,ROW()-1,60),ROW()-1,FALSE))</f>
        <v/>
      </c>
      <c r="I11" t="str">
        <f ca="1">IF(AND(ISNUMBER($I$685),$B$677=1),$I$685,HLOOKUP(INDIRECT(ADDRESS(2,COLUMN())),OFFSET($BN$2,0,0,ROW()-1,60),ROW()-1,FALSE))</f>
        <v/>
      </c>
      <c r="J11" t="str">
        <f ca="1">IF(AND(ISNUMBER($J$685),$B$677=1),$J$685,HLOOKUP(INDIRECT(ADDRESS(2,COLUMN())),OFFSET($BN$2,0,0,ROW()-1,60),ROW()-1,FALSE))</f>
        <v/>
      </c>
      <c r="K11" t="str">
        <f ca="1">IF(AND(ISNUMBER($K$685),$B$677=1),$K$685,HLOOKUP(INDIRECT(ADDRESS(2,COLUMN())),OFFSET($BN$2,0,0,ROW()-1,60),ROW()-1,FALSE))</f>
        <v/>
      </c>
      <c r="L11" t="str">
        <f ca="1">IF(AND(ISNUMBER($L$685),$B$677=1),$L$685,HLOOKUP(INDIRECT(ADDRESS(2,COLUMN())),OFFSET($BN$2,0,0,ROW()-1,60),ROW()-1,FALSE))</f>
        <v/>
      </c>
      <c r="M11" t="str">
        <f ca="1">IF(AND(ISNUMBER($M$685),$B$677=1),$M$685,HLOOKUP(INDIRECT(ADDRESS(2,COLUMN())),OFFSET($BN$2,0,0,ROW()-1,60),ROW()-1,FALSE))</f>
        <v/>
      </c>
      <c r="N11" t="str">
        <f ca="1">IF(AND(ISNUMBER($N$685),$B$677=1),$N$685,HLOOKUP(INDIRECT(ADDRESS(2,COLUMN())),OFFSET($BN$2,0,0,ROW()-1,60),ROW()-1,FALSE))</f>
        <v/>
      </c>
      <c r="O11" t="str">
        <f ca="1">IF(AND(ISNUMBER($O$685),$B$677=1),$O$685,HLOOKUP(INDIRECT(ADDRESS(2,COLUMN())),OFFSET($BN$2,0,0,ROW()-1,60),ROW()-1,FALSE))</f>
        <v/>
      </c>
      <c r="P11">
        <f ca="1">IF(AND(ISNUMBER($P$685),$B$677=1),$P$685,HLOOKUP(INDIRECT(ADDRESS(2,COLUMN())),OFFSET($BN$2,0,0,ROW()-1,60),ROW()-1,FALSE))</f>
        <v>15.16322587</v>
      </c>
      <c r="Q11">
        <f ca="1">IF(AND(ISNUMBER($Q$685),$B$677=1),$Q$685,HLOOKUP(INDIRECT(ADDRESS(2,COLUMN())),OFFSET($BN$2,0,0,ROW()-1,60),ROW()-1,FALSE))</f>
        <v>13.45469338</v>
      </c>
      <c r="R11">
        <f ca="1">IF(AND(ISNUMBER($R$685),$B$677=1),$R$685,HLOOKUP(INDIRECT(ADDRESS(2,COLUMN())),OFFSET($BN$2,0,0,ROW()-1,60),ROW()-1,FALSE))</f>
        <v>16.12936032</v>
      </c>
      <c r="S11">
        <f ca="1">IF(AND(ISNUMBER($S$685),$B$677=1),$S$685,HLOOKUP(INDIRECT(ADDRESS(2,COLUMN())),OFFSET($BN$2,0,0,ROW()-1,60),ROW()-1,FALSE))</f>
        <v>11.55552426</v>
      </c>
      <c r="T11">
        <f ca="1">IF(AND(ISNUMBER($T$685),$B$677=1),$T$685,HLOOKUP(INDIRECT(ADDRESS(2,COLUMN())),OFFSET($BN$2,0,0,ROW()-1,60),ROW()-1,FALSE))</f>
        <v>9.9624873760000003</v>
      </c>
      <c r="U11">
        <f ca="1">IF(AND(ISNUMBER($U$685),$B$677=1),$U$685,HLOOKUP(INDIRECT(ADDRESS(2,COLUMN())),OFFSET($BN$2,0,0,ROW()-1,60),ROW()-1,FALSE))</f>
        <v>12.441113489999999</v>
      </c>
      <c r="V11">
        <f ca="1">IF(AND(ISNUMBER($V$685),$B$677=1),$V$685,HLOOKUP(INDIRECT(ADDRESS(2,COLUMN())),OFFSET($BN$2,0,0,ROW()-1,60),ROW()-1,FALSE))</f>
        <v>11.49468418</v>
      </c>
      <c r="W11">
        <f ca="1">IF(AND(ISNUMBER($W$685),$B$677=1),$W$685,HLOOKUP(INDIRECT(ADDRESS(2,COLUMN())),OFFSET($BN$2,0,0,ROW()-1,60),ROW()-1,FALSE))</f>
        <v>11.1456201</v>
      </c>
      <c r="X11">
        <f ca="1">IF(AND(ISNUMBER($X$685),$B$677=1),$X$685,HLOOKUP(INDIRECT(ADDRESS(2,COLUMN())),OFFSET($BN$2,0,0,ROW()-1,60),ROW()-1,FALSE))</f>
        <v>11.0085362</v>
      </c>
      <c r="Y11">
        <f ca="1">IF(AND(ISNUMBER($Y$685),$B$677=1),$Y$685,HLOOKUP(INDIRECT(ADDRESS(2,COLUMN())),OFFSET($BN$2,0,0,ROW()-1,60),ROW()-1,FALSE))</f>
        <v>10.33453836</v>
      </c>
      <c r="Z11">
        <f ca="1">IF(AND(ISNUMBER($Z$685),$B$677=1),$Z$685,HLOOKUP(INDIRECT(ADDRESS(2,COLUMN())),OFFSET($BN$2,0,0,ROW()-1,60),ROW()-1,FALSE))</f>
        <v>9.2816048060000007</v>
      </c>
      <c r="AA11">
        <f ca="1">IF(AND(ISNUMBER($AA$685),$B$677=1),$AA$685,HLOOKUP(INDIRECT(ADDRESS(2,COLUMN())),OFFSET($BN$2,0,0,ROW()-1,60),ROW()-1,FALSE))</f>
        <v>10.027008779999999</v>
      </c>
      <c r="AB11">
        <f ca="1">IF(AND(ISNUMBER($AB$685),$B$677=1),$AB$685,HLOOKUP(INDIRECT(ADDRESS(2,COLUMN())),OFFSET($BN$2,0,0,ROW()-1,60),ROW()-1,FALSE))</f>
        <v>10.9801202</v>
      </c>
      <c r="AC11">
        <f ca="1">IF(AND(ISNUMBER($AC$685),$B$677=1),$AC$685,HLOOKUP(INDIRECT(ADDRESS(2,COLUMN())),OFFSET($BN$2,0,0,ROW()-1,60),ROW()-1,FALSE))</f>
        <v>9.5218800649999995</v>
      </c>
      <c r="AD11">
        <f ca="1">IF(AND(ISNUMBER($AD$685),$B$677=1),$AD$685,HLOOKUP(INDIRECT(ADDRESS(2,COLUMN())),OFFSET($BN$2,0,0,ROW()-1,60),ROW()-1,FALSE))</f>
        <v>10.217220620000001</v>
      </c>
      <c r="AE11">
        <f ca="1">IF(AND(ISNUMBER($AE$685),$B$677=1),$AE$685,HLOOKUP(INDIRECT(ADDRESS(2,COLUMN())),OFFSET($BN$2,0,0,ROW()-1,60),ROW()-1,FALSE))</f>
        <v>8.287319578</v>
      </c>
      <c r="AF11">
        <f ca="1">IF(AND(ISNUMBER($AF$685),$B$677=1),$AF$685,HLOOKUP(INDIRECT(ADDRESS(2,COLUMN())),OFFSET($BN$2,0,0,ROW()-1,60),ROW()-1,FALSE))</f>
        <v>6.2917961370000004</v>
      </c>
      <c r="AG11">
        <f ca="1">IF(AND(ISNUMBER($AG$685),$B$677=1),$AG$685,HLOOKUP(INDIRECT(ADDRESS(2,COLUMN())),OFFSET($BN$2,0,0,ROW()-1,60),ROW()-1,FALSE))</f>
        <v>7.4932959989999999</v>
      </c>
      <c r="AH11">
        <f ca="1">IF(AND(ISNUMBER($AH$685),$B$677=1),$AH$685,HLOOKUP(INDIRECT(ADDRESS(2,COLUMN())),OFFSET($BN$2,0,0,ROW()-1,60),ROW()-1,FALSE))</f>
        <v>9.9182991880000007</v>
      </c>
      <c r="AI11">
        <f ca="1">IF(AND(ISNUMBER($AI$685),$B$677=1),$AI$685,HLOOKUP(INDIRECT(ADDRESS(2,COLUMN())),OFFSET($BN$2,0,0,ROW()-1,60),ROW()-1,FALSE))</f>
        <v>12.01635126</v>
      </c>
      <c r="AJ11">
        <f ca="1">IF(AND(ISNUMBER($AJ$685),$B$677=1),$AJ$685,HLOOKUP(INDIRECT(ADDRESS(2,COLUMN())),OFFSET($BN$2,0,0,ROW()-1,60),ROW()-1,FALSE))</f>
        <v>13.15248373</v>
      </c>
      <c r="AK11">
        <f ca="1">IF(AND(ISNUMBER($AK$685),$B$677=1),$AK$685,HLOOKUP(INDIRECT(ADDRESS(2,COLUMN())),OFFSET($BN$2,0,0,ROW()-1,60),ROW()-1,FALSE))</f>
        <v>14.74349024</v>
      </c>
      <c r="AL11">
        <f ca="1">IF(AND(ISNUMBER($AL$685),$B$677=1),$AL$685,HLOOKUP(INDIRECT(ADDRESS(2,COLUMN())),OFFSET($BN$2,0,0,ROW()-1,60),ROW()-1,FALSE))</f>
        <v>9.8268618029999999</v>
      </c>
      <c r="AM11">
        <f ca="1">IF(AND(ISNUMBER($AM$685),$B$677=1),$AM$685,HLOOKUP(INDIRECT(ADDRESS(2,COLUMN())),OFFSET($BN$2,0,0,ROW()-1,60),ROW()-1,FALSE))</f>
        <v>12.011492090000001</v>
      </c>
      <c r="AN11">
        <f ca="1">IF(AND(ISNUMBER($AN$685),$B$677=1),$AN$685,HLOOKUP(INDIRECT(ADDRESS(2,COLUMN())),OFFSET($BN$2,0,0,ROW()-1,60),ROW()-1,FALSE))</f>
        <v>11.16062619</v>
      </c>
      <c r="AO11">
        <f ca="1">IF(AND(ISNUMBER($AO$685),$B$677=1),$AO$685,HLOOKUP(INDIRECT(ADDRESS(2,COLUMN())),OFFSET($BN$2,0,0,ROW()-1,60),ROW()-1,FALSE))</f>
        <v>9.4174790000000002</v>
      </c>
      <c r="AP11">
        <f ca="1">IF(AND(ISNUMBER($AP$685),$B$677=1),$AP$685,HLOOKUP(INDIRECT(ADDRESS(2,COLUMN())),OFFSET($BN$2,0,0,ROW()-1,60),ROW()-1,FALSE))</f>
        <v>17.980834810000001</v>
      </c>
      <c r="AQ11">
        <f ca="1">IF(AND(ISNUMBER($AQ$685),$B$677=1),$AQ$685,HLOOKUP(INDIRECT(ADDRESS(2,COLUMN())),OFFSET($BN$2,0,0,ROW()-1,60),ROW()-1,FALSE))</f>
        <v>21.188778429999999</v>
      </c>
      <c r="AR11">
        <f ca="1">IF(AND(ISNUMBER($AR$685),$B$677=1),$AR$685,HLOOKUP(INDIRECT(ADDRESS(2,COLUMN())),OFFSET($BN$2,0,0,ROW()-1,60),ROW()-1,FALSE))</f>
        <v>33.290757229999997</v>
      </c>
      <c r="AS11">
        <f ca="1">IF(AND(ISNUMBER($AS$685),$B$677=1),$AS$685,HLOOKUP(INDIRECT(ADDRESS(2,COLUMN())),OFFSET($BN$2,0,0,ROW()-1,60),ROW()-1,FALSE))</f>
        <v>27.32374866</v>
      </c>
      <c r="AT11">
        <f ca="1">IF(AND(ISNUMBER($AT$685),$B$677=1),$AT$685,HLOOKUP(INDIRECT(ADDRESS(2,COLUMN())),OFFSET($BN$2,0,0,ROW()-1,60),ROW()-1,FALSE))</f>
        <v>14.849807520000001</v>
      </c>
      <c r="AU11">
        <f ca="1">IF(AND(ISNUMBER($AU$685),$B$677=1),$AU$685,HLOOKUP(INDIRECT(ADDRESS(2,COLUMN())),OFFSET($BN$2,0,0,ROW()-1,60),ROW()-1,FALSE))</f>
        <v>10.1953125</v>
      </c>
      <c r="AV11">
        <f ca="1">IF(AND(ISNUMBER($AV$685),$B$677=1),$AV$685,HLOOKUP(INDIRECT(ADDRESS(2,COLUMN())),OFFSET($BN$2,0,0,ROW()-1,60),ROW()-1,FALSE))</f>
        <v>12.32325853</v>
      </c>
      <c r="AW11">
        <f ca="1">IF(AND(ISNUMBER($AW$685),$B$677=1),$AW$685,HLOOKUP(INDIRECT(ADDRESS(2,COLUMN())),OFFSET($BN$2,0,0,ROW()-1,60),ROW()-1,FALSE))</f>
        <v>13.74477224</v>
      </c>
      <c r="AX11">
        <f ca="1">IF(AND(ISNUMBER($AX$685),$B$677=1),$AX$685,HLOOKUP(INDIRECT(ADDRESS(2,COLUMN())),OFFSET($BN$2,0,0,ROW()-1,60),ROW()-1,FALSE))</f>
        <v>14.610032950000001</v>
      </c>
      <c r="AY11">
        <f ca="1">IF(AND(ISNUMBER($AY$685),$B$677=1),$AY$685,HLOOKUP(INDIRECT(ADDRESS(2,COLUMN())),OFFSET($BN$2,0,0,ROW()-1,60),ROW()-1,FALSE))</f>
        <v>11.66222814</v>
      </c>
      <c r="AZ11">
        <f ca="1">IF(AND(ISNUMBER($AZ$685),$B$677=1),$AZ$685,HLOOKUP(INDIRECT(ADDRESS(2,COLUMN())),OFFSET($BN$2,0,0,ROW()-1,60),ROW()-1,FALSE))</f>
        <v>14.087999809999999</v>
      </c>
      <c r="BA11">
        <f ca="1">IF(AND(ISNUMBER($BA$685),$B$677=1),$BA$685,HLOOKUP(INDIRECT(ADDRESS(2,COLUMN())),OFFSET($BN$2,0,0,ROW()-1,60),ROW()-1,FALSE))</f>
        <v>12.784540890000001</v>
      </c>
      <c r="BB11">
        <f ca="1">IF(AND(ISNUMBER($BB$685),$B$677=1),$BB$685,HLOOKUP(INDIRECT(ADDRESS(2,COLUMN())),OFFSET($BN$2,0,0,ROW()-1,60),ROW()-1,FALSE))</f>
        <v>13.79429049</v>
      </c>
      <c r="BC11">
        <f ca="1">IF(AND(ISNUMBER($BC$685),$B$677=1),$BC$685,HLOOKUP(INDIRECT(ADDRESS(2,COLUMN())),OFFSET($BN$2,0,0,ROW()-1,60),ROW()-1,FALSE))</f>
        <v>14.36946638</v>
      </c>
      <c r="BD11">
        <f ca="1">IF(AND(ISNUMBER($BD$685),$B$677=1),$BD$685,HLOOKUP(INDIRECT(ADDRESS(2,COLUMN())),OFFSET($BN$2,0,0,ROW()-1,60),ROW()-1,FALSE))</f>
        <v>13.72210516</v>
      </c>
      <c r="BE11">
        <f ca="1">IF(AND(ISNUMBER($BE$685),$B$677=1),$BE$685,HLOOKUP(INDIRECT(ADDRESS(2,COLUMN())),OFFSET($BN$2,0,0,ROW()-1,60),ROW()-1,FALSE))</f>
        <v>12.90993482</v>
      </c>
      <c r="BF11">
        <f ca="1">IF(AND(ISNUMBER($BF$685),$B$677=1),$BF$685,HLOOKUP(INDIRECT(ADDRESS(2,COLUMN())),OFFSET($BN$2,0,0,ROW()-1,60),ROW()-1,FALSE))</f>
        <v>15.480272250000001</v>
      </c>
      <c r="BG11">
        <f ca="1">IF(AND(ISNUMBER($BG$685),$B$677=1),$BG$685,HLOOKUP(INDIRECT(ADDRESS(2,COLUMN())),OFFSET($BN$2,0,0,ROW()-1,60),ROW()-1,FALSE))</f>
        <v>17.789374309999999</v>
      </c>
      <c r="BH11" t="str">
        <f ca="1">IF(AND(ISNUMBER($BH$685),$B$677=1),$BH$685,HLOOKUP(INDIRECT(ADDRESS(2,COLUMN())),OFFSET($BN$2,0,0,ROW()-1,60),ROW()-1,FALSE))</f>
        <v/>
      </c>
      <c r="BI11" t="str">
        <f ca="1">IF(AND(ISNUMBER($BI$685),$B$677=1),$BI$685,HLOOKUP(INDIRECT(ADDRESS(2,COLUMN())),OFFSET($BN$2,0,0,ROW()-1,60),ROW()-1,FALSE))</f>
        <v/>
      </c>
      <c r="BJ11" t="str">
        <f ca="1">IF(AND(ISNUMBER($BJ$685),$B$677=1),$BJ$685,HLOOKUP(INDIRECT(ADDRESS(2,COLUMN())),OFFSET($BN$2,0,0,ROW()-1,60),ROW()-1,FALSE))</f>
        <v/>
      </c>
      <c r="BK11" t="str">
        <f ca="1">IF(AND(ISNUMBER($BK$685),$B$677=1),$BK$685,HLOOKUP(INDIRECT(ADDRESS(2,COLUMN())),OFFSET($BN$2,0,0,ROW()-1,60),ROW()-1,FALSE))</f>
        <v/>
      </c>
      <c r="BL11" t="str">
        <f ca="1">IF(AND(ISNUMBER($BL$685),$B$677=1),$BL$685,HLOOKUP(INDIRECT(ADDRESS(2,COLUMN())),OFFSET($BN$2,0,0,ROW()-1,60),ROW()-1,FALSE))</f>
        <v/>
      </c>
      <c r="BM11" t="str">
        <f ca="1">IF(AND(ISNUMBER($BM$685),$B$677=1),$BM$685,HLOOKUP(INDIRECT(ADDRESS(2,COLUMN())),OFFSET($BN$2,0,0,ROW()-1,60),ROW()-1,FALSE))</f>
        <v/>
      </c>
      <c r="BN11" t="str">
        <f>""</f>
        <v/>
      </c>
      <c r="BO11" t="str">
        <f>""</f>
        <v/>
      </c>
      <c r="BP11" t="str">
        <f>""</f>
        <v/>
      </c>
      <c r="BQ11" t="str">
        <f>""</f>
        <v/>
      </c>
      <c r="BR11" t="str">
        <f>""</f>
        <v/>
      </c>
      <c r="BS11" t="str">
        <f>""</f>
        <v/>
      </c>
      <c r="BT11" t="str">
        <f>""</f>
        <v/>
      </c>
      <c r="BU11" t="str">
        <f>""</f>
        <v/>
      </c>
      <c r="BV11" t="str">
        <f>""</f>
        <v/>
      </c>
      <c r="BW11" t="str">
        <f>""</f>
        <v/>
      </c>
      <c r="BX11">
        <f>15.16322587</f>
        <v>15.16322587</v>
      </c>
      <c r="BY11">
        <f>13.45469338</f>
        <v>13.45469338</v>
      </c>
      <c r="BZ11">
        <f>16.12936032</f>
        <v>16.12936032</v>
      </c>
      <c r="CA11">
        <f>11.55552426</f>
        <v>11.55552426</v>
      </c>
      <c r="CB11">
        <f>9.962487376</f>
        <v>9.9624873760000003</v>
      </c>
      <c r="CC11">
        <f>12.44111349</f>
        <v>12.441113489999999</v>
      </c>
      <c r="CD11">
        <f>11.49468418</f>
        <v>11.49468418</v>
      </c>
      <c r="CE11">
        <f>11.1456201</f>
        <v>11.1456201</v>
      </c>
      <c r="CF11">
        <f>11.0085362</f>
        <v>11.0085362</v>
      </c>
      <c r="CG11">
        <f>10.33453836</f>
        <v>10.33453836</v>
      </c>
      <c r="CH11">
        <f>9.281604806</f>
        <v>9.2816048060000007</v>
      </c>
      <c r="CI11">
        <f>10.02700878</f>
        <v>10.027008779999999</v>
      </c>
      <c r="CJ11">
        <f>10.9801202</f>
        <v>10.9801202</v>
      </c>
      <c r="CK11">
        <f>9.521880065</f>
        <v>9.5218800649999995</v>
      </c>
      <c r="CL11">
        <f>10.21722062</f>
        <v>10.217220620000001</v>
      </c>
      <c r="CM11">
        <f>8.287319578</f>
        <v>8.287319578</v>
      </c>
      <c r="CN11">
        <f>6.291796137</f>
        <v>6.2917961370000004</v>
      </c>
      <c r="CO11">
        <f>7.493295999</f>
        <v>7.4932959989999999</v>
      </c>
      <c r="CP11">
        <f>9.918299188</f>
        <v>9.9182991880000007</v>
      </c>
      <c r="CQ11">
        <f>12.01635126</f>
        <v>12.01635126</v>
      </c>
      <c r="CR11">
        <f>13.15248373</f>
        <v>13.15248373</v>
      </c>
      <c r="CS11">
        <f>14.74349024</f>
        <v>14.74349024</v>
      </c>
      <c r="CT11">
        <f>9.826861803</f>
        <v>9.8268618029999999</v>
      </c>
      <c r="CU11">
        <f>12.01149209</f>
        <v>12.011492090000001</v>
      </c>
      <c r="CV11">
        <f>11.16062619</f>
        <v>11.16062619</v>
      </c>
      <c r="CW11">
        <f>9.417479</f>
        <v>9.4174790000000002</v>
      </c>
      <c r="CX11">
        <f>17.98083481</f>
        <v>17.980834810000001</v>
      </c>
      <c r="CY11">
        <f>21.18877843</f>
        <v>21.188778429999999</v>
      </c>
      <c r="CZ11">
        <f>33.29075723</f>
        <v>33.290757229999997</v>
      </c>
      <c r="DA11">
        <f>27.32374866</f>
        <v>27.32374866</v>
      </c>
      <c r="DB11">
        <f>14.84980752</f>
        <v>14.849807520000001</v>
      </c>
      <c r="DC11">
        <f>10.1953125</f>
        <v>10.1953125</v>
      </c>
      <c r="DD11">
        <f>12.32325853</f>
        <v>12.32325853</v>
      </c>
      <c r="DE11">
        <f>13.74477224</f>
        <v>13.74477224</v>
      </c>
      <c r="DF11">
        <f>14.61003295</f>
        <v>14.610032950000001</v>
      </c>
      <c r="DG11">
        <f>11.66222814</f>
        <v>11.66222814</v>
      </c>
      <c r="DH11">
        <f>14.08799981</f>
        <v>14.087999809999999</v>
      </c>
      <c r="DI11">
        <f>12.78454089</f>
        <v>12.784540890000001</v>
      </c>
      <c r="DJ11">
        <f>13.79429049</f>
        <v>13.79429049</v>
      </c>
      <c r="DK11">
        <f>14.36946638</f>
        <v>14.36946638</v>
      </c>
      <c r="DL11">
        <f>13.72210516</f>
        <v>13.72210516</v>
      </c>
      <c r="DM11">
        <f>12.90993482</f>
        <v>12.90993482</v>
      </c>
      <c r="DN11">
        <f>15.48027225</f>
        <v>15.480272250000001</v>
      </c>
      <c r="DO11">
        <f>17.78937431</f>
        <v>17.789374309999999</v>
      </c>
      <c r="DP11" t="str">
        <f>""</f>
        <v/>
      </c>
      <c r="DQ11" t="str">
        <f>""</f>
        <v/>
      </c>
      <c r="DR11" t="str">
        <f>""</f>
        <v/>
      </c>
      <c r="DS11" t="str">
        <f>""</f>
        <v/>
      </c>
      <c r="DT11" t="str">
        <f>""</f>
        <v/>
      </c>
      <c r="DU11" t="str">
        <f>""</f>
        <v/>
      </c>
    </row>
    <row r="12" spans="1:125" x14ac:dyDescent="0.25">
      <c r="A12" t="str">
        <f>"    Daimler AG"</f>
        <v xml:space="preserve">    Daimler AG</v>
      </c>
      <c r="B12" t="str">
        <f>"DAI GR Equity"</f>
        <v>DAI GR Equity</v>
      </c>
      <c r="C12" t="str">
        <f t="shared" si="0"/>
        <v>RR900</v>
      </c>
      <c r="D12" t="str">
        <f t="shared" si="1"/>
        <v>PE_RATIO</v>
      </c>
      <c r="E12" t="str">
        <f t="shared" si="2"/>
        <v>Dynamic</v>
      </c>
      <c r="F12">
        <f ca="1">IF(AND(ISNUMBER($F$686),$B$677=1),$F$686,HLOOKUP(INDIRECT(ADDRESS(2,COLUMN())),OFFSET($BN$2,0,0,ROW()-1,60),ROW()-1,FALSE))</f>
        <v>7.7158863789999996</v>
      </c>
      <c r="G12">
        <f ca="1">IF(AND(ISNUMBER($G$686),$B$677=1),$G$686,HLOOKUP(INDIRECT(ADDRESS(2,COLUMN())),OFFSET($BN$2,0,0,ROW()-1,60),ROW()-1,FALSE))</f>
        <v>6.7822390129999999</v>
      </c>
      <c r="H12">
        <f ca="1">IF(AND(ISNUMBER($H$686),$B$677=1),$H$686,HLOOKUP(INDIRECT(ADDRESS(2,COLUMN())),OFFSET($BN$2,0,0,ROW()-1,60),ROW()-1,FALSE))</f>
        <v>6.6045747610000003</v>
      </c>
      <c r="I12">
        <f ca="1">IF(AND(ISNUMBER($I$686),$B$677=1),$I$686,HLOOKUP(INDIRECT(ADDRESS(2,COLUMN())),OFFSET($BN$2,0,0,ROW()-1,60),ROW()-1,FALSE))</f>
        <v>6.3611183709999999</v>
      </c>
      <c r="J12">
        <f ca="1">IF(AND(ISNUMBER($J$686),$B$677=1),$J$686,HLOOKUP(INDIRECT(ADDRESS(2,COLUMN())),OFFSET($BN$2,0,0,ROW()-1,60),ROW()-1,FALSE))</f>
        <v>7.4008899279999998</v>
      </c>
      <c r="K12">
        <f ca="1">IF(AND(ISNUMBER($K$686),$B$677=1),$K$686,HLOOKUP(INDIRECT(ADDRESS(2,COLUMN())),OFFSET($BN$2,0,0,ROW()-1,60),ROW()-1,FALSE))</f>
        <v>7.3698449469999998</v>
      </c>
      <c r="L12">
        <f ca="1">IF(AND(ISNUMBER($L$686),$B$677=1),$L$686,HLOOKUP(INDIRECT(ADDRESS(2,COLUMN())),OFFSET($BN$2,0,0,ROW()-1,60),ROW()-1,FALSE))</f>
        <v>7.750218759</v>
      </c>
      <c r="M12">
        <f ca="1">IF(AND(ISNUMBER($M$686),$B$677=1),$M$686,HLOOKUP(INDIRECT(ADDRESS(2,COLUMN())),OFFSET($BN$2,0,0,ROW()-1,60),ROW()-1,FALSE))</f>
        <v>6.9712904690000004</v>
      </c>
      <c r="N12">
        <f ca="1">IF(AND(ISNUMBER($N$686),$B$677=1),$N$686,HLOOKUP(INDIRECT(ADDRESS(2,COLUMN())),OFFSET($BN$2,0,0,ROW()-1,60),ROW()-1,FALSE))</f>
        <v>7.593319857</v>
      </c>
      <c r="O12">
        <f ca="1">IF(AND(ISNUMBER($O$686),$B$677=1),$O$686,HLOOKUP(INDIRECT(ADDRESS(2,COLUMN())),OFFSET($BN$2,0,0,ROW()-1,60),ROW()-1,FALSE))</f>
        <v>8.8746254610000008</v>
      </c>
      <c r="P12">
        <f ca="1">IF(AND(ISNUMBER($P$686),$B$677=1),$P$686,HLOOKUP(INDIRECT(ADDRESS(2,COLUMN())),OFFSET($BN$2,0,0,ROW()-1,60),ROW()-1,FALSE))</f>
        <v>8.1918123450000007</v>
      </c>
      <c r="Q12">
        <f ca="1">IF(AND(ISNUMBER($Q$686),$B$677=1),$Q$686,HLOOKUP(INDIRECT(ADDRESS(2,COLUMN())),OFFSET($BN$2,0,0,ROW()-1,60),ROW()-1,FALSE))</f>
        <v>7.249062672</v>
      </c>
      <c r="R12">
        <f ca="1">IF(AND(ISNUMBER($R$686),$B$677=1),$R$686,HLOOKUP(INDIRECT(ADDRESS(2,COLUMN())),OFFSET($BN$2,0,0,ROW()-1,60),ROW()-1,FALSE))</f>
        <v>9.2438781159999994</v>
      </c>
      <c r="S12">
        <f ca="1">IF(AND(ISNUMBER($S$686),$B$677=1),$S$686,HLOOKUP(INDIRECT(ADDRESS(2,COLUMN())),OFFSET($BN$2,0,0,ROW()-1,60),ROW()-1,FALSE))</f>
        <v>9.8588136049999999</v>
      </c>
      <c r="T12">
        <f ca="1">IF(AND(ISNUMBER($T$686),$B$677=1),$T$686,HLOOKUP(INDIRECT(ADDRESS(2,COLUMN())),OFFSET($BN$2,0,0,ROW()-1,60),ROW()-1,FALSE))</f>
        <v>9.028611111</v>
      </c>
      <c r="U12">
        <f ca="1">IF(AND(ISNUMBER($U$686),$B$677=1),$U$686,HLOOKUP(INDIRECT(ADDRESS(2,COLUMN())),OFFSET($BN$2,0,0,ROW()-1,60),ROW()-1,FALSE))</f>
        <v>10.90836653</v>
      </c>
      <c r="V12">
        <f ca="1">IF(AND(ISNUMBER($V$686),$B$677=1),$V$686,HLOOKUP(INDIRECT(ADDRESS(2,COLUMN())),OFFSET($BN$2,0,0,ROW()-1,60),ROW()-1,FALSE))</f>
        <v>12.16707317</v>
      </c>
      <c r="W12">
        <f ca="1">IF(AND(ISNUMBER($W$686),$B$677=1),$W$686,HLOOKUP(INDIRECT(ADDRESS(2,COLUMN())),OFFSET($BN$2,0,0,ROW()-1,60),ROW()-1,FALSE))</f>
        <v>10.59447005</v>
      </c>
      <c r="X12">
        <f ca="1">IF(AND(ISNUMBER($X$686),$B$677=1),$X$686,HLOOKUP(INDIRECT(ADDRESS(2,COLUMN())),OFFSET($BN$2,0,0,ROW()-1,60),ROW()-1,FALSE))</f>
        <v>8.6218195289999997</v>
      </c>
      <c r="Y12">
        <f ca="1">IF(AND(ISNUMBER($Y$686),$B$677=1),$Y$686,HLOOKUP(INDIRECT(ADDRESS(2,COLUMN())),OFFSET($BN$2,0,0,ROW()-1,60),ROW()-1,FALSE))</f>
        <v>11.056089589999999</v>
      </c>
      <c r="Z12">
        <f ca="1">IF(AND(ISNUMBER($Z$686),$B$677=1),$Z$686,HLOOKUP(INDIRECT(ADDRESS(2,COLUMN())),OFFSET($BN$2,0,0,ROW()-1,60),ROW()-1,FALSE))</f>
        <v>10.031489629999999</v>
      </c>
      <c r="AA12">
        <f ca="1">IF(AND(ISNUMBER($AA$686),$B$677=1),$AA$686,HLOOKUP(INDIRECT(ADDRESS(2,COLUMN())),OFFSET($BN$2,0,0,ROW()-1,60),ROW()-1,FALSE))</f>
        <v>9.829046473</v>
      </c>
      <c r="AB12">
        <f ca="1">IF(AND(ISNUMBER($AB$686),$B$677=1),$AB$686,HLOOKUP(INDIRECT(ADDRESS(2,COLUMN())),OFFSET($BN$2,0,0,ROW()-1,60),ROW()-1,FALSE))</f>
        <v>8.0303854529999992</v>
      </c>
      <c r="AC12">
        <f ca="1">IF(AND(ISNUMBER($AC$686),$B$677=1),$AC$686,HLOOKUP(INDIRECT(ADDRESS(2,COLUMN())),OFFSET($BN$2,0,0,ROW()-1,60),ROW()-1,FALSE))</f>
        <v>7.1122403500000004</v>
      </c>
      <c r="AD12">
        <f ca="1">IF(AND(ISNUMBER($AD$686),$B$677=1),$AD$686,HLOOKUP(INDIRECT(ADDRESS(2,COLUMN())),OFFSET($BN$2,0,0,ROW()-1,60),ROW()-1,FALSE))</f>
        <v>8.1117576029999992</v>
      </c>
      <c r="AE12">
        <f ca="1">IF(AND(ISNUMBER($AE$686),$B$677=1),$AE$686,HLOOKUP(INDIRECT(ADDRESS(2,COLUMN())),OFFSET($BN$2,0,0,ROW()-1,60),ROW()-1,FALSE))</f>
        <v>6.8592707390000003</v>
      </c>
      <c r="AF12">
        <f ca="1">IF(AND(ISNUMBER($AF$686),$B$677=1),$AF$686,HLOOKUP(INDIRECT(ADDRESS(2,COLUMN())),OFFSET($BN$2,0,0,ROW()-1,60),ROW()-1,FALSE))</f>
        <v>7.1155907410000001</v>
      </c>
      <c r="AG12">
        <f ca="1">IF(AND(ISNUMBER($AG$686),$B$677=1),$AG$686,HLOOKUP(INDIRECT(ADDRESS(2,COLUMN())),OFFSET($BN$2,0,0,ROW()-1,60),ROW()-1,FALSE))</f>
        <v>6.4640904189999997</v>
      </c>
      <c r="AH12">
        <f ca="1">IF(AND(ISNUMBER($AH$686),$B$677=1),$AH$686,HLOOKUP(INDIRECT(ADDRESS(2,COLUMN())),OFFSET($BN$2,0,0,ROW()-1,60),ROW()-1,FALSE))</f>
        <v>8.1336459130000005</v>
      </c>
      <c r="AI12">
        <f ca="1">IF(AND(ISNUMBER($AI$686),$B$677=1),$AI$686,HLOOKUP(INDIRECT(ADDRESS(2,COLUMN())),OFFSET($BN$2,0,0,ROW()-1,60),ROW()-1,FALSE))</f>
        <v>6.3784576619999998</v>
      </c>
      <c r="AJ12">
        <f ca="1">IF(AND(ISNUMBER($AJ$686),$B$677=1),$AJ$686,HLOOKUP(INDIRECT(ADDRESS(2,COLUMN())),OFFSET($BN$2,0,0,ROW()-1,60),ROW()-1,FALSE))</f>
        <v>7.1334541329999999</v>
      </c>
      <c r="AK12">
        <f ca="1">IF(AND(ISNUMBER($AK$686),$B$677=1),$AK$686,HLOOKUP(INDIRECT(ADDRESS(2,COLUMN())),OFFSET($BN$2,0,0,ROW()-1,60),ROW()-1,FALSE))</f>
        <v>10.504133469999999</v>
      </c>
      <c r="AL12">
        <f ca="1">IF(AND(ISNUMBER($AL$686),$B$677=1),$AL$686,HLOOKUP(INDIRECT(ADDRESS(2,COLUMN())),OFFSET($BN$2,0,0,ROW()-1,60),ROW()-1,FALSE))</f>
        <v>10.8752771</v>
      </c>
      <c r="AM12">
        <f ca="1">IF(AND(ISNUMBER($AM$686),$B$677=1),$AM$686,HLOOKUP(INDIRECT(ADDRESS(2,COLUMN())),OFFSET($BN$2,0,0,ROW()-1,60),ROW()-1,FALSE))</f>
        <v>11.915208249999999</v>
      </c>
      <c r="AN12">
        <f ca="1">IF(AND(ISNUMBER($AN$686),$B$677=1),$AN$686,HLOOKUP(INDIRECT(ADDRESS(2,COLUMN())),OFFSET($BN$2,0,0,ROW()-1,60),ROW()-1,FALSE))</f>
        <v>15.84709524</v>
      </c>
      <c r="AO12">
        <f ca="1">IF(AND(ISNUMBER($AO$686),$B$677=1),$AO$686,HLOOKUP(INDIRECT(ADDRESS(2,COLUMN())),OFFSET($BN$2,0,0,ROW()-1,60),ROW()-1,FALSE))</f>
        <v>27.405093489999999</v>
      </c>
      <c r="AP12" t="str">
        <f ca="1">IF(AND(ISNUMBER($AP$686),$B$677=1),$AP$686,HLOOKUP(INDIRECT(ADDRESS(2,COLUMN())),OFFSET($BN$2,0,0,ROW()-1,60),ROW()-1,FALSE))</f>
        <v/>
      </c>
      <c r="AQ12" t="str">
        <f ca="1">IF(AND(ISNUMBER($AQ$686),$B$677=1),$AQ$686,HLOOKUP(INDIRECT(ADDRESS(2,COLUMN())),OFFSET($BN$2,0,0,ROW()-1,60),ROW()-1,FALSE))</f>
        <v/>
      </c>
      <c r="AR12" t="str">
        <f ca="1">IF(AND(ISNUMBER($AR$686),$B$677=1),$AR$686,HLOOKUP(INDIRECT(ADDRESS(2,COLUMN())),OFFSET($BN$2,0,0,ROW()-1,60),ROW()-1,FALSE))</f>
        <v/>
      </c>
      <c r="AS12" t="str">
        <f ca="1">IF(AND(ISNUMBER($AS$686),$B$677=1),$AS$686,HLOOKUP(INDIRECT(ADDRESS(2,COLUMN())),OFFSET($BN$2,0,0,ROW()-1,60),ROW()-1,FALSE))</f>
        <v/>
      </c>
      <c r="AT12">
        <f ca="1">IF(AND(ISNUMBER($AT$686),$B$677=1),$AT$686,HLOOKUP(INDIRECT(ADDRESS(2,COLUMN())),OFFSET($BN$2,0,0,ROW()-1,60),ROW()-1,FALSE))</f>
        <v>11.85714286</v>
      </c>
      <c r="AU12">
        <f ca="1">IF(AND(ISNUMBER($AU$686),$B$677=1),$AU$686,HLOOKUP(INDIRECT(ADDRESS(2,COLUMN())),OFFSET($BN$2,0,0,ROW()-1,60),ROW()-1,FALSE))</f>
        <v>16.583850930000001</v>
      </c>
      <c r="AV12">
        <f ca="1">IF(AND(ISNUMBER($AV$686),$B$677=1),$AV$686,HLOOKUP(INDIRECT(ADDRESS(2,COLUMN())),OFFSET($BN$2,0,0,ROW()-1,60),ROW()-1,FALSE))</f>
        <v>6.7589118199999998</v>
      </c>
      <c r="AW12">
        <f ca="1">IF(AND(ISNUMBER($AW$686),$B$677=1),$AW$686,HLOOKUP(INDIRECT(ADDRESS(2,COLUMN())),OFFSET($BN$2,0,0,ROW()-1,60),ROW()-1,FALSE))</f>
        <v>9.4685990340000004</v>
      </c>
      <c r="AX12">
        <f ca="1">IF(AND(ISNUMBER($AX$686),$B$677=1),$AX$686,HLOOKUP(INDIRECT(ADDRESS(2,COLUMN())),OFFSET($BN$2,0,0,ROW()-1,60),ROW()-1,FALSE))</f>
        <v>13.33906634</v>
      </c>
      <c r="AY12">
        <f ca="1">IF(AND(ISNUMBER($AY$686),$B$677=1),$AY$686,HLOOKUP(INDIRECT(ADDRESS(2,COLUMN())),OFFSET($BN$2,0,0,ROW()-1,60),ROW()-1,FALSE))</f>
        <v>12.28571429</v>
      </c>
      <c r="AZ12">
        <f ca="1">IF(AND(ISNUMBER($AZ$686),$B$677=1),$AZ$686,HLOOKUP(INDIRECT(ADDRESS(2,COLUMN())),OFFSET($BN$2,0,0,ROW()-1,60),ROW()-1,FALSE))</f>
        <v>23.648829429999999</v>
      </c>
      <c r="BA12">
        <f ca="1">IF(AND(ISNUMBER($BA$686),$B$677=1),$BA$686,HLOOKUP(INDIRECT(ADDRESS(2,COLUMN())),OFFSET($BN$2,0,0,ROW()-1,60),ROW()-1,FALSE))</f>
        <v>13.61676647</v>
      </c>
      <c r="BB12">
        <f ca="1">IF(AND(ISNUMBER($BB$686),$B$677=1),$BB$686,HLOOKUP(INDIRECT(ADDRESS(2,COLUMN())),OFFSET($BN$2,0,0,ROW()-1,60),ROW()-1,FALSE))</f>
        <v>11.429629630000001</v>
      </c>
      <c r="BC12">
        <f ca="1">IF(AND(ISNUMBER($BC$686),$B$677=1),$BC$686,HLOOKUP(INDIRECT(ADDRESS(2,COLUMN())),OFFSET($BN$2,0,0,ROW()-1,60),ROW()-1,FALSE))</f>
        <v>13.20224719</v>
      </c>
      <c r="BD12">
        <f ca="1">IF(AND(ISNUMBER($BD$686),$B$677=1),$BD$686,HLOOKUP(INDIRECT(ADDRESS(2,COLUMN())),OFFSET($BN$2,0,0,ROW()-1,60),ROW()-1,FALSE))</f>
        <v>8.5726681130000006</v>
      </c>
      <c r="BE12">
        <f ca="1">IF(AND(ISNUMBER($BE$686),$B$677=1),$BE$686,HLOOKUP(INDIRECT(ADDRESS(2,COLUMN())),OFFSET($BN$2,0,0,ROW()-1,60),ROW()-1,FALSE))</f>
        <v>8.7636363639999999</v>
      </c>
      <c r="BF12">
        <f ca="1">IF(AND(ISNUMBER($BF$686),$B$677=1),$BF$686,HLOOKUP(INDIRECT(ADDRESS(2,COLUMN())),OFFSET($BN$2,0,0,ROW()-1,60),ROW()-1,FALSE))</f>
        <v>13.99115044</v>
      </c>
      <c r="BG12">
        <f ca="1">IF(AND(ISNUMBER($BG$686),$B$677=1),$BG$686,HLOOKUP(INDIRECT(ADDRESS(2,COLUMN())),OFFSET($BN$2,0,0,ROW()-1,60),ROW()-1,FALSE))</f>
        <v>14.87586207</v>
      </c>
      <c r="BH12">
        <f ca="1">IF(AND(ISNUMBER($BH$686),$B$677=1),$BH$686,HLOOKUP(INDIRECT(ADDRESS(2,COLUMN())),OFFSET($BN$2,0,0,ROW()-1,60),ROW()-1,FALSE))</f>
        <v>18.395833329999999</v>
      </c>
      <c r="BI12">
        <f ca="1">IF(AND(ISNUMBER($BI$686),$B$677=1),$BI$686,HLOOKUP(INDIRECT(ADDRESS(2,COLUMN())),OFFSET($BN$2,0,0,ROW()-1,60),ROW()-1,FALSE))</f>
        <v>13.44</v>
      </c>
      <c r="BJ12">
        <f ca="1">IF(AND(ISNUMBER($BJ$686),$B$677=1),$BJ$686,HLOOKUP(INDIRECT(ADDRESS(2,COLUMN())),OFFSET($BN$2,0,0,ROW()-1,60),ROW()-1,FALSE))</f>
        <v>14.79487179</v>
      </c>
      <c r="BK12">
        <f ca="1">IF(AND(ISNUMBER($BK$686),$B$677=1),$BK$686,HLOOKUP(INDIRECT(ADDRESS(2,COLUMN())),OFFSET($BN$2,0,0,ROW()-1,60),ROW()-1,FALSE))</f>
        <v>14.275303640000001</v>
      </c>
      <c r="BL12">
        <f ca="1">IF(AND(ISNUMBER($BL$686),$B$677=1),$BL$686,HLOOKUP(INDIRECT(ADDRESS(2,COLUMN())),OFFSET($BN$2,0,0,ROW()-1,60),ROW()-1,FALSE))</f>
        <v>13.498981669999999</v>
      </c>
      <c r="BM12" t="str">
        <f ca="1">IF(AND(ISNUMBER($BM$686),$B$677=1),$BM$686,HLOOKUP(INDIRECT(ADDRESS(2,COLUMN())),OFFSET($BN$2,0,0,ROW()-1,60),ROW()-1,FALSE))</f>
        <v/>
      </c>
      <c r="BN12">
        <f>7.715886379</f>
        <v>7.7158863789999996</v>
      </c>
      <c r="BO12">
        <f>6.782239013</f>
        <v>6.7822390129999999</v>
      </c>
      <c r="BP12">
        <f>6.604574761</f>
        <v>6.6045747610000003</v>
      </c>
      <c r="BQ12">
        <f>6.361118371</f>
        <v>6.3611183709999999</v>
      </c>
      <c r="BR12">
        <f>7.400889928</f>
        <v>7.4008899279999998</v>
      </c>
      <c r="BS12">
        <f>7.369844947</f>
        <v>7.3698449469999998</v>
      </c>
      <c r="BT12">
        <f>7.750218759</f>
        <v>7.750218759</v>
      </c>
      <c r="BU12">
        <f>6.971290469</f>
        <v>6.9712904690000004</v>
      </c>
      <c r="BV12">
        <f>7.593319857</f>
        <v>7.593319857</v>
      </c>
      <c r="BW12">
        <f>8.874625461</f>
        <v>8.8746254610000008</v>
      </c>
      <c r="BX12">
        <f>8.191812345</f>
        <v>8.1918123450000007</v>
      </c>
      <c r="BY12">
        <f>7.249062672</f>
        <v>7.249062672</v>
      </c>
      <c r="BZ12">
        <f>9.243878116</f>
        <v>9.2438781159999994</v>
      </c>
      <c r="CA12">
        <f>9.858813605</f>
        <v>9.8588136049999999</v>
      </c>
      <c r="CB12">
        <f>9.028611111</f>
        <v>9.028611111</v>
      </c>
      <c r="CC12">
        <f>10.90836653</f>
        <v>10.90836653</v>
      </c>
      <c r="CD12">
        <f>12.16707317</f>
        <v>12.16707317</v>
      </c>
      <c r="CE12">
        <f>10.59447005</f>
        <v>10.59447005</v>
      </c>
      <c r="CF12">
        <f>8.621819529</f>
        <v>8.6218195289999997</v>
      </c>
      <c r="CG12">
        <f>11.05608959</f>
        <v>11.056089589999999</v>
      </c>
      <c r="CH12">
        <f>10.03148963</f>
        <v>10.031489629999999</v>
      </c>
      <c r="CI12">
        <f>9.829046473</f>
        <v>9.829046473</v>
      </c>
      <c r="CJ12">
        <f>8.030385453</f>
        <v>8.0303854529999992</v>
      </c>
      <c r="CK12">
        <f>7.11224035</f>
        <v>7.1122403500000004</v>
      </c>
      <c r="CL12">
        <f>8.111757603</f>
        <v>8.1117576029999992</v>
      </c>
      <c r="CM12">
        <f>6.859270739</f>
        <v>6.8592707390000003</v>
      </c>
      <c r="CN12">
        <f>7.115590741</f>
        <v>7.1155907410000001</v>
      </c>
      <c r="CO12">
        <f>6.464090419</f>
        <v>6.4640904189999997</v>
      </c>
      <c r="CP12">
        <f>8.133645913</f>
        <v>8.1336459130000005</v>
      </c>
      <c r="CQ12">
        <f>6.378457662</f>
        <v>6.3784576619999998</v>
      </c>
      <c r="CR12">
        <f>7.133454133</f>
        <v>7.1334541329999999</v>
      </c>
      <c r="CS12">
        <f>10.50413347</f>
        <v>10.504133469999999</v>
      </c>
      <c r="CT12">
        <f>10.8752771</f>
        <v>10.8752771</v>
      </c>
      <c r="CU12">
        <f>11.91520825</f>
        <v>11.915208249999999</v>
      </c>
      <c r="CV12">
        <f>15.84709524</f>
        <v>15.84709524</v>
      </c>
      <c r="CW12">
        <f>27.40509349</f>
        <v>27.405093489999999</v>
      </c>
      <c r="CX12" t="str">
        <f>""</f>
        <v/>
      </c>
      <c r="CY12" t="str">
        <f>""</f>
        <v/>
      </c>
      <c r="CZ12" t="str">
        <f>""</f>
        <v/>
      </c>
      <c r="DA12" t="str">
        <f>""</f>
        <v/>
      </c>
      <c r="DB12">
        <f>11.85714286</f>
        <v>11.85714286</v>
      </c>
      <c r="DC12">
        <f>16.58385093</f>
        <v>16.583850930000001</v>
      </c>
      <c r="DD12">
        <f>6.75891182</f>
        <v>6.7589118199999998</v>
      </c>
      <c r="DE12">
        <f>9.468599034</f>
        <v>9.4685990340000004</v>
      </c>
      <c r="DF12">
        <f>13.33906634</f>
        <v>13.33906634</v>
      </c>
      <c r="DG12">
        <f>12.28571429</f>
        <v>12.28571429</v>
      </c>
      <c r="DH12">
        <f>23.64882943</f>
        <v>23.648829429999999</v>
      </c>
      <c r="DI12">
        <f>13.61676647</f>
        <v>13.61676647</v>
      </c>
      <c r="DJ12">
        <f>11.42962963</f>
        <v>11.429629630000001</v>
      </c>
      <c r="DK12">
        <f>13.20224719</f>
        <v>13.20224719</v>
      </c>
      <c r="DL12">
        <f>8.572668113</f>
        <v>8.5726681130000006</v>
      </c>
      <c r="DM12">
        <f>8.763636364</f>
        <v>8.7636363639999999</v>
      </c>
      <c r="DN12">
        <f>13.99115044</f>
        <v>13.99115044</v>
      </c>
      <c r="DO12">
        <f>14.87586207</f>
        <v>14.87586207</v>
      </c>
      <c r="DP12">
        <f>18.39583333</f>
        <v>18.395833329999999</v>
      </c>
      <c r="DQ12">
        <f>13.44</f>
        <v>13.44</v>
      </c>
      <c r="DR12">
        <f>14.79487179</f>
        <v>14.79487179</v>
      </c>
      <c r="DS12">
        <f>14.27530364</f>
        <v>14.275303640000001</v>
      </c>
      <c r="DT12">
        <f>13.49898167</f>
        <v>13.498981669999999</v>
      </c>
      <c r="DU12" t="str">
        <f>""</f>
        <v/>
      </c>
    </row>
    <row r="13" spans="1:125" x14ac:dyDescent="0.25">
      <c r="A13" t="str">
        <f>"    Dongfeng Motor Group Co Ltd"</f>
        <v xml:space="preserve">    Dongfeng Motor Group Co Ltd</v>
      </c>
      <c r="B13" t="str">
        <f>"489 HK Equity"</f>
        <v>489 HK Equity</v>
      </c>
      <c r="C13" t="str">
        <f t="shared" si="0"/>
        <v>RR900</v>
      </c>
      <c r="D13" t="str">
        <f t="shared" si="1"/>
        <v>PE_RATIO</v>
      </c>
      <c r="E13" t="str">
        <f t="shared" si="2"/>
        <v>Dynamic</v>
      </c>
      <c r="F13" t="str">
        <f ca="1">IF(AND(ISNUMBER($F$687),$B$677=1),$F$687,HLOOKUP(INDIRECT(ADDRESS(2,COLUMN())),OFFSET($BN$2,0,0,ROW()-1,60),ROW()-1,FALSE))</f>
        <v/>
      </c>
      <c r="G13" t="str">
        <f ca="1">IF(AND(ISNUMBER($G$687),$B$677=1),$G$687,HLOOKUP(INDIRECT(ADDRESS(2,COLUMN())),OFFSET($BN$2,0,0,ROW()-1,60),ROW()-1,FALSE))</f>
        <v/>
      </c>
      <c r="H13" t="str">
        <f ca="1">IF(AND(ISNUMBER($H$687),$B$677=1),$H$687,HLOOKUP(INDIRECT(ADDRESS(2,COLUMN())),OFFSET($BN$2,0,0,ROW()-1,60),ROW()-1,FALSE))</f>
        <v/>
      </c>
      <c r="I13" t="str">
        <f ca="1">IF(AND(ISNUMBER($I$687),$B$677=1),$I$687,HLOOKUP(INDIRECT(ADDRESS(2,COLUMN())),OFFSET($BN$2,0,0,ROW()-1,60),ROW()-1,FALSE))</f>
        <v/>
      </c>
      <c r="J13" t="str">
        <f ca="1">IF(AND(ISNUMBER($J$687),$B$677=1),$J$687,HLOOKUP(INDIRECT(ADDRESS(2,COLUMN())),OFFSET($BN$2,0,0,ROW()-1,60),ROW()-1,FALSE))</f>
        <v/>
      </c>
      <c r="K13" t="str">
        <f ca="1">IF(AND(ISNUMBER($K$687),$B$677=1),$K$687,HLOOKUP(INDIRECT(ADDRESS(2,COLUMN())),OFFSET($BN$2,0,0,ROW()-1,60),ROW()-1,FALSE))</f>
        <v/>
      </c>
      <c r="L13" t="str">
        <f ca="1">IF(AND(ISNUMBER($L$687),$B$677=1),$L$687,HLOOKUP(INDIRECT(ADDRESS(2,COLUMN())),OFFSET($BN$2,0,0,ROW()-1,60),ROW()-1,FALSE))</f>
        <v/>
      </c>
      <c r="M13" t="str">
        <f ca="1">IF(AND(ISNUMBER($M$687),$B$677=1),$M$687,HLOOKUP(INDIRECT(ADDRESS(2,COLUMN())),OFFSET($BN$2,0,0,ROW()-1,60),ROW()-1,FALSE))</f>
        <v/>
      </c>
      <c r="N13" t="str">
        <f ca="1">IF(AND(ISNUMBER($N$687),$B$677=1),$N$687,HLOOKUP(INDIRECT(ADDRESS(2,COLUMN())),OFFSET($BN$2,0,0,ROW()-1,60),ROW()-1,FALSE))</f>
        <v/>
      </c>
      <c r="O13" t="str">
        <f ca="1">IF(AND(ISNUMBER($O$687),$B$677=1),$O$687,HLOOKUP(INDIRECT(ADDRESS(2,COLUMN())),OFFSET($BN$2,0,0,ROW()-1,60),ROW()-1,FALSE))</f>
        <v/>
      </c>
      <c r="P13" t="str">
        <f ca="1">IF(AND(ISNUMBER($P$687),$B$677=1),$P$687,HLOOKUP(INDIRECT(ADDRESS(2,COLUMN())),OFFSET($BN$2,0,0,ROW()-1,60),ROW()-1,FALSE))</f>
        <v/>
      </c>
      <c r="Q13" t="str">
        <f ca="1">IF(AND(ISNUMBER($Q$687),$B$677=1),$Q$687,HLOOKUP(INDIRECT(ADDRESS(2,COLUMN())),OFFSET($BN$2,0,0,ROW()-1,60),ROW()-1,FALSE))</f>
        <v/>
      </c>
      <c r="R13" t="str">
        <f ca="1">IF(AND(ISNUMBER($R$687),$B$677=1),$R$687,HLOOKUP(INDIRECT(ADDRESS(2,COLUMN())),OFFSET($BN$2,0,0,ROW()-1,60),ROW()-1,FALSE))</f>
        <v/>
      </c>
      <c r="S13" t="str">
        <f ca="1">IF(AND(ISNUMBER($S$687),$B$677=1),$S$687,HLOOKUP(INDIRECT(ADDRESS(2,COLUMN())),OFFSET($BN$2,0,0,ROW()-1,60),ROW()-1,FALSE))</f>
        <v/>
      </c>
      <c r="T13" t="str">
        <f ca="1">IF(AND(ISNUMBER($T$687),$B$677=1),$T$687,HLOOKUP(INDIRECT(ADDRESS(2,COLUMN())),OFFSET($BN$2,0,0,ROW()-1,60),ROW()-1,FALSE))</f>
        <v/>
      </c>
      <c r="U13" t="str">
        <f ca="1">IF(AND(ISNUMBER($U$687),$B$677=1),$U$687,HLOOKUP(INDIRECT(ADDRESS(2,COLUMN())),OFFSET($BN$2,0,0,ROW()-1,60),ROW()-1,FALSE))</f>
        <v/>
      </c>
      <c r="V13" t="str">
        <f ca="1">IF(AND(ISNUMBER($V$687),$B$677=1),$V$687,HLOOKUP(INDIRECT(ADDRESS(2,COLUMN())),OFFSET($BN$2,0,0,ROW()-1,60),ROW()-1,FALSE))</f>
        <v/>
      </c>
      <c r="W13" t="str">
        <f ca="1">IF(AND(ISNUMBER($W$687),$B$677=1),$W$687,HLOOKUP(INDIRECT(ADDRESS(2,COLUMN())),OFFSET($BN$2,0,0,ROW()-1,60),ROW()-1,FALSE))</f>
        <v/>
      </c>
      <c r="X13" t="str">
        <f ca="1">IF(AND(ISNUMBER($X$687),$B$677=1),$X$687,HLOOKUP(INDIRECT(ADDRESS(2,COLUMN())),OFFSET($BN$2,0,0,ROW()-1,60),ROW()-1,FALSE))</f>
        <v/>
      </c>
      <c r="Y13" t="str">
        <f ca="1">IF(AND(ISNUMBER($Y$687),$B$677=1),$Y$687,HLOOKUP(INDIRECT(ADDRESS(2,COLUMN())),OFFSET($BN$2,0,0,ROW()-1,60),ROW()-1,FALSE))</f>
        <v/>
      </c>
      <c r="Z13" t="str">
        <f ca="1">IF(AND(ISNUMBER($Z$687),$B$677=1),$Z$687,HLOOKUP(INDIRECT(ADDRESS(2,COLUMN())),OFFSET($BN$2,0,0,ROW()-1,60),ROW()-1,FALSE))</f>
        <v/>
      </c>
      <c r="AA13" t="str">
        <f ca="1">IF(AND(ISNUMBER($AA$687),$B$677=1),$AA$687,HLOOKUP(INDIRECT(ADDRESS(2,COLUMN())),OFFSET($BN$2,0,0,ROW()-1,60),ROW()-1,FALSE))</f>
        <v/>
      </c>
      <c r="AB13" t="str">
        <f ca="1">IF(AND(ISNUMBER($AB$687),$B$677=1),$AB$687,HLOOKUP(INDIRECT(ADDRESS(2,COLUMN())),OFFSET($BN$2,0,0,ROW()-1,60),ROW()-1,FALSE))</f>
        <v/>
      </c>
      <c r="AC13" t="str">
        <f ca="1">IF(AND(ISNUMBER($AC$687),$B$677=1),$AC$687,HLOOKUP(INDIRECT(ADDRESS(2,COLUMN())),OFFSET($BN$2,0,0,ROW()-1,60),ROW()-1,FALSE))</f>
        <v/>
      </c>
      <c r="AD13" t="str">
        <f ca="1">IF(AND(ISNUMBER($AD$687),$B$677=1),$AD$687,HLOOKUP(INDIRECT(ADDRESS(2,COLUMN())),OFFSET($BN$2,0,0,ROW()-1,60),ROW()-1,FALSE))</f>
        <v/>
      </c>
      <c r="AE13" t="str">
        <f ca="1">IF(AND(ISNUMBER($AE$687),$B$677=1),$AE$687,HLOOKUP(INDIRECT(ADDRESS(2,COLUMN())),OFFSET($BN$2,0,0,ROW()-1,60),ROW()-1,FALSE))</f>
        <v/>
      </c>
      <c r="AF13" t="str">
        <f ca="1">IF(AND(ISNUMBER($AF$687),$B$677=1),$AF$687,HLOOKUP(INDIRECT(ADDRESS(2,COLUMN())),OFFSET($BN$2,0,0,ROW()-1,60),ROW()-1,FALSE))</f>
        <v/>
      </c>
      <c r="AG13" t="str">
        <f ca="1">IF(AND(ISNUMBER($AG$687),$B$677=1),$AG$687,HLOOKUP(INDIRECT(ADDRESS(2,COLUMN())),OFFSET($BN$2,0,0,ROW()-1,60),ROW()-1,FALSE))</f>
        <v/>
      </c>
      <c r="AH13" t="str">
        <f ca="1">IF(AND(ISNUMBER($AH$687),$B$677=1),$AH$687,HLOOKUP(INDIRECT(ADDRESS(2,COLUMN())),OFFSET($BN$2,0,0,ROW()-1,60),ROW()-1,FALSE))</f>
        <v/>
      </c>
      <c r="AI13" t="str">
        <f ca="1">IF(AND(ISNUMBER($AI$687),$B$677=1),$AI$687,HLOOKUP(INDIRECT(ADDRESS(2,COLUMN())),OFFSET($BN$2,0,0,ROW()-1,60),ROW()-1,FALSE))</f>
        <v/>
      </c>
      <c r="AJ13" t="str">
        <f ca="1">IF(AND(ISNUMBER($AJ$687),$B$677=1),$AJ$687,HLOOKUP(INDIRECT(ADDRESS(2,COLUMN())),OFFSET($BN$2,0,0,ROW()-1,60),ROW()-1,FALSE))</f>
        <v/>
      </c>
      <c r="AK13" t="str">
        <f ca="1">IF(AND(ISNUMBER($AK$687),$B$677=1),$AK$687,HLOOKUP(INDIRECT(ADDRESS(2,COLUMN())),OFFSET($BN$2,0,0,ROW()-1,60),ROW()-1,FALSE))</f>
        <v/>
      </c>
      <c r="AL13" t="str">
        <f ca="1">IF(AND(ISNUMBER($AL$687),$B$677=1),$AL$687,HLOOKUP(INDIRECT(ADDRESS(2,COLUMN())),OFFSET($BN$2,0,0,ROW()-1,60),ROW()-1,FALSE))</f>
        <v/>
      </c>
      <c r="AM13" t="str">
        <f ca="1">IF(AND(ISNUMBER($AM$687),$B$677=1),$AM$687,HLOOKUP(INDIRECT(ADDRESS(2,COLUMN())),OFFSET($BN$2,0,0,ROW()-1,60),ROW()-1,FALSE))</f>
        <v/>
      </c>
      <c r="AN13" t="str">
        <f ca="1">IF(AND(ISNUMBER($AN$687),$B$677=1),$AN$687,HLOOKUP(INDIRECT(ADDRESS(2,COLUMN())),OFFSET($BN$2,0,0,ROW()-1,60),ROW()-1,FALSE))</f>
        <v/>
      </c>
      <c r="AO13" t="str">
        <f ca="1">IF(AND(ISNUMBER($AO$687),$B$677=1),$AO$687,HLOOKUP(INDIRECT(ADDRESS(2,COLUMN())),OFFSET($BN$2,0,0,ROW()-1,60),ROW()-1,FALSE))</f>
        <v/>
      </c>
      <c r="AP13" t="str">
        <f ca="1">IF(AND(ISNUMBER($AP$687),$B$677=1),$AP$687,HLOOKUP(INDIRECT(ADDRESS(2,COLUMN())),OFFSET($BN$2,0,0,ROW()-1,60),ROW()-1,FALSE))</f>
        <v/>
      </c>
      <c r="AQ13" t="str">
        <f ca="1">IF(AND(ISNUMBER($AQ$687),$B$677=1),$AQ$687,HLOOKUP(INDIRECT(ADDRESS(2,COLUMN())),OFFSET($BN$2,0,0,ROW()-1,60),ROW()-1,FALSE))</f>
        <v/>
      </c>
      <c r="AR13" t="str">
        <f ca="1">IF(AND(ISNUMBER($AR$687),$B$677=1),$AR$687,HLOOKUP(INDIRECT(ADDRESS(2,COLUMN())),OFFSET($BN$2,0,0,ROW()-1,60),ROW()-1,FALSE))</f>
        <v/>
      </c>
      <c r="AS13" t="str">
        <f ca="1">IF(AND(ISNUMBER($AS$687),$B$677=1),$AS$687,HLOOKUP(INDIRECT(ADDRESS(2,COLUMN())),OFFSET($BN$2,0,0,ROW()-1,60),ROW()-1,FALSE))</f>
        <v/>
      </c>
      <c r="AT13" t="str">
        <f ca="1">IF(AND(ISNUMBER($AT$687),$B$677=1),$AT$687,HLOOKUP(INDIRECT(ADDRESS(2,COLUMN())),OFFSET($BN$2,0,0,ROW()-1,60),ROW()-1,FALSE))</f>
        <v/>
      </c>
      <c r="AU13" t="str">
        <f ca="1">IF(AND(ISNUMBER($AU$687),$B$677=1),$AU$687,HLOOKUP(INDIRECT(ADDRESS(2,COLUMN())),OFFSET($BN$2,0,0,ROW()-1,60),ROW()-1,FALSE))</f>
        <v/>
      </c>
      <c r="AV13" t="str">
        <f ca="1">IF(AND(ISNUMBER($AV$687),$B$677=1),$AV$687,HLOOKUP(INDIRECT(ADDRESS(2,COLUMN())),OFFSET($BN$2,0,0,ROW()-1,60),ROW()-1,FALSE))</f>
        <v/>
      </c>
      <c r="AW13" t="str">
        <f ca="1">IF(AND(ISNUMBER($AW$687),$B$677=1),$AW$687,HLOOKUP(INDIRECT(ADDRESS(2,COLUMN())),OFFSET($BN$2,0,0,ROW()-1,60),ROW()-1,FALSE))</f>
        <v/>
      </c>
      <c r="AX13" t="str">
        <f ca="1">IF(AND(ISNUMBER($AX$687),$B$677=1),$AX$687,HLOOKUP(INDIRECT(ADDRESS(2,COLUMN())),OFFSET($BN$2,0,0,ROW()-1,60),ROW()-1,FALSE))</f>
        <v/>
      </c>
      <c r="AY13" t="str">
        <f ca="1">IF(AND(ISNUMBER($AY$687),$B$677=1),$AY$687,HLOOKUP(INDIRECT(ADDRESS(2,COLUMN())),OFFSET($BN$2,0,0,ROW()-1,60),ROW()-1,FALSE))</f>
        <v/>
      </c>
      <c r="AZ13" t="str">
        <f ca="1">IF(AND(ISNUMBER($AZ$687),$B$677=1),$AZ$687,HLOOKUP(INDIRECT(ADDRESS(2,COLUMN())),OFFSET($BN$2,0,0,ROW()-1,60),ROW()-1,FALSE))</f>
        <v/>
      </c>
      <c r="BA13" t="str">
        <f ca="1">IF(AND(ISNUMBER($BA$687),$B$677=1),$BA$687,HLOOKUP(INDIRECT(ADDRESS(2,COLUMN())),OFFSET($BN$2,0,0,ROW()-1,60),ROW()-1,FALSE))</f>
        <v/>
      </c>
      <c r="BB13" t="str">
        <f ca="1">IF(AND(ISNUMBER($BB$687),$B$677=1),$BB$687,HLOOKUP(INDIRECT(ADDRESS(2,COLUMN())),OFFSET($BN$2,0,0,ROW()-1,60),ROW()-1,FALSE))</f>
        <v/>
      </c>
      <c r="BC13" t="str">
        <f ca="1">IF(AND(ISNUMBER($BC$687),$B$677=1),$BC$687,HLOOKUP(INDIRECT(ADDRESS(2,COLUMN())),OFFSET($BN$2,0,0,ROW()-1,60),ROW()-1,FALSE))</f>
        <v/>
      </c>
      <c r="BD13" t="str">
        <f ca="1">IF(AND(ISNUMBER($BD$687),$B$677=1),$BD$687,HLOOKUP(INDIRECT(ADDRESS(2,COLUMN())),OFFSET($BN$2,0,0,ROW()-1,60),ROW()-1,FALSE))</f>
        <v/>
      </c>
      <c r="BE13" t="str">
        <f ca="1">IF(AND(ISNUMBER($BE$687),$B$677=1),$BE$687,HLOOKUP(INDIRECT(ADDRESS(2,COLUMN())),OFFSET($BN$2,0,0,ROW()-1,60),ROW()-1,FALSE))</f>
        <v/>
      </c>
      <c r="BF13" t="str">
        <f ca="1">IF(AND(ISNUMBER($BF$687),$B$677=1),$BF$687,HLOOKUP(INDIRECT(ADDRESS(2,COLUMN())),OFFSET($BN$2,0,0,ROW()-1,60),ROW()-1,FALSE))</f>
        <v/>
      </c>
      <c r="BG13" t="str">
        <f ca="1">IF(AND(ISNUMBER($BG$687),$B$677=1),$BG$687,HLOOKUP(INDIRECT(ADDRESS(2,COLUMN())),OFFSET($BN$2,0,0,ROW()-1,60),ROW()-1,FALSE))</f>
        <v/>
      </c>
      <c r="BH13" t="str">
        <f ca="1">IF(AND(ISNUMBER($BH$687),$B$677=1),$BH$687,HLOOKUP(INDIRECT(ADDRESS(2,COLUMN())),OFFSET($BN$2,0,0,ROW()-1,60),ROW()-1,FALSE))</f>
        <v/>
      </c>
      <c r="BI13" t="str">
        <f ca="1">IF(AND(ISNUMBER($BI$687),$B$677=1),$BI$687,HLOOKUP(INDIRECT(ADDRESS(2,COLUMN())),OFFSET($BN$2,0,0,ROW()-1,60),ROW()-1,FALSE))</f>
        <v/>
      </c>
      <c r="BJ13" t="str">
        <f ca="1">IF(AND(ISNUMBER($BJ$687),$B$677=1),$BJ$687,HLOOKUP(INDIRECT(ADDRESS(2,COLUMN())),OFFSET($BN$2,0,0,ROW()-1,60),ROW()-1,FALSE))</f>
        <v/>
      </c>
      <c r="BK13" t="str">
        <f ca="1">IF(AND(ISNUMBER($BK$687),$B$677=1),$BK$687,HLOOKUP(INDIRECT(ADDRESS(2,COLUMN())),OFFSET($BN$2,0,0,ROW()-1,60),ROW()-1,FALSE))</f>
        <v/>
      </c>
      <c r="BL13" t="str">
        <f ca="1">IF(AND(ISNUMBER($BL$687),$B$677=1),$BL$687,HLOOKUP(INDIRECT(ADDRESS(2,COLUMN())),OFFSET($BN$2,0,0,ROW()-1,60),ROW()-1,FALSE))</f>
        <v/>
      </c>
      <c r="BM13" t="str">
        <f ca="1">IF(AND(ISNUMBER($BM$687),$B$677=1),$BM$687,HLOOKUP(INDIRECT(ADDRESS(2,COLUMN())),OFFSET($BN$2,0,0,ROW()-1,60),ROW()-1,FALSE))</f>
        <v/>
      </c>
      <c r="BN13" t="str">
        <f>""</f>
        <v/>
      </c>
      <c r="BO13" t="str">
        <f>""</f>
        <v/>
      </c>
      <c r="BP13" t="str">
        <f>""</f>
        <v/>
      </c>
      <c r="BQ13" t="str">
        <f>""</f>
        <v/>
      </c>
      <c r="BR13" t="str">
        <f>""</f>
        <v/>
      </c>
      <c r="BS13" t="str">
        <f>""</f>
        <v/>
      </c>
      <c r="BT13" t="str">
        <f>""</f>
        <v/>
      </c>
      <c r="BU13" t="str">
        <f>""</f>
        <v/>
      </c>
      <c r="BV13" t="str">
        <f>""</f>
        <v/>
      </c>
      <c r="BW13" t="str">
        <f>""</f>
        <v/>
      </c>
      <c r="BX13" t="str">
        <f>""</f>
        <v/>
      </c>
      <c r="BY13" t="str">
        <f>""</f>
        <v/>
      </c>
      <c r="BZ13" t="str">
        <f>""</f>
        <v/>
      </c>
      <c r="CA13" t="str">
        <f>""</f>
        <v/>
      </c>
      <c r="CB13" t="str">
        <f>""</f>
        <v/>
      </c>
      <c r="CC13" t="str">
        <f>""</f>
        <v/>
      </c>
      <c r="CD13" t="str">
        <f>""</f>
        <v/>
      </c>
      <c r="CE13" t="str">
        <f>""</f>
        <v/>
      </c>
      <c r="CF13" t="str">
        <f>""</f>
        <v/>
      </c>
      <c r="CG13" t="str">
        <f>""</f>
        <v/>
      </c>
      <c r="CH13" t="str">
        <f>""</f>
        <v/>
      </c>
      <c r="CI13" t="str">
        <f>""</f>
        <v/>
      </c>
      <c r="CJ13" t="str">
        <f>""</f>
        <v/>
      </c>
      <c r="CK13" t="str">
        <f>""</f>
        <v/>
      </c>
      <c r="CL13" t="str">
        <f>""</f>
        <v/>
      </c>
      <c r="CM13" t="str">
        <f>""</f>
        <v/>
      </c>
      <c r="CN13" t="str">
        <f>""</f>
        <v/>
      </c>
      <c r="CO13" t="str">
        <f>""</f>
        <v/>
      </c>
      <c r="CP13" t="str">
        <f>""</f>
        <v/>
      </c>
      <c r="CQ13" t="str">
        <f>""</f>
        <v/>
      </c>
      <c r="CR13" t="str">
        <f>""</f>
        <v/>
      </c>
      <c r="CS13" t="str">
        <f>""</f>
        <v/>
      </c>
      <c r="CT13" t="str">
        <f>""</f>
        <v/>
      </c>
      <c r="CU13" t="str">
        <f>""</f>
        <v/>
      </c>
      <c r="CV13" t="str">
        <f>""</f>
        <v/>
      </c>
      <c r="CW13" t="str">
        <f>""</f>
        <v/>
      </c>
      <c r="CX13" t="str">
        <f>""</f>
        <v/>
      </c>
      <c r="CY13" t="str">
        <f>""</f>
        <v/>
      </c>
      <c r="CZ13" t="str">
        <f>""</f>
        <v/>
      </c>
      <c r="DA13" t="str">
        <f>""</f>
        <v/>
      </c>
      <c r="DB13" t="str">
        <f>""</f>
        <v/>
      </c>
      <c r="DC13" t="str">
        <f>""</f>
        <v/>
      </c>
      <c r="DD13" t="str">
        <f>""</f>
        <v/>
      </c>
      <c r="DE13" t="str">
        <f>""</f>
        <v/>
      </c>
      <c r="DF13" t="str">
        <f>""</f>
        <v/>
      </c>
      <c r="DG13" t="str">
        <f>""</f>
        <v/>
      </c>
      <c r="DH13" t="str">
        <f>""</f>
        <v/>
      </c>
      <c r="DI13" t="str">
        <f>""</f>
        <v/>
      </c>
      <c r="DJ13" t="str">
        <f>""</f>
        <v/>
      </c>
      <c r="DK13" t="str">
        <f>""</f>
        <v/>
      </c>
      <c r="DL13" t="str">
        <f>""</f>
        <v/>
      </c>
      <c r="DM13" t="str">
        <f>""</f>
        <v/>
      </c>
      <c r="DN13" t="str">
        <f>""</f>
        <v/>
      </c>
      <c r="DO13" t="str">
        <f>""</f>
        <v/>
      </c>
      <c r="DP13" t="str">
        <f>""</f>
        <v/>
      </c>
      <c r="DQ13" t="str">
        <f>""</f>
        <v/>
      </c>
      <c r="DR13" t="str">
        <f>""</f>
        <v/>
      </c>
      <c r="DS13" t="str">
        <f>""</f>
        <v/>
      </c>
      <c r="DT13" t="str">
        <f>""</f>
        <v/>
      </c>
      <c r="DU13" t="str">
        <f>""</f>
        <v/>
      </c>
    </row>
    <row r="14" spans="1:125" x14ac:dyDescent="0.25">
      <c r="A14" t="str">
        <f>"    DRB-Hicom Bhd"</f>
        <v xml:space="preserve">    DRB-Hicom Bhd</v>
      </c>
      <c r="B14" t="str">
        <f>"DRB MK Equity"</f>
        <v>DRB MK Equity</v>
      </c>
      <c r="C14" t="str">
        <f t="shared" si="0"/>
        <v>RR900</v>
      </c>
      <c r="D14" t="str">
        <f t="shared" si="1"/>
        <v>PE_RATIO</v>
      </c>
      <c r="E14" t="str">
        <f t="shared" si="2"/>
        <v>Dynamic</v>
      </c>
      <c r="F14" t="str">
        <f ca="1">IF(AND(ISNUMBER($F$688),$B$677=1),$F$688,HLOOKUP(INDIRECT(ADDRESS(2,COLUMN())),OFFSET($BN$2,0,0,ROW()-1,60),ROW()-1,FALSE))</f>
        <v/>
      </c>
      <c r="G14" t="str">
        <f ca="1">IF(AND(ISNUMBER($G$688),$B$677=1),$G$688,HLOOKUP(INDIRECT(ADDRESS(2,COLUMN())),OFFSET($BN$2,0,0,ROW()-1,60),ROW()-1,FALSE))</f>
        <v/>
      </c>
      <c r="H14">
        <f ca="1">IF(AND(ISNUMBER($H$688),$B$677=1),$H$688,HLOOKUP(INDIRECT(ADDRESS(2,COLUMN())),OFFSET($BN$2,0,0,ROW()-1,60),ROW()-1,FALSE))</f>
        <v>6.7769646830000001</v>
      </c>
      <c r="I14">
        <f ca="1">IF(AND(ISNUMBER($I$688),$B$677=1),$I$688,HLOOKUP(INDIRECT(ADDRESS(2,COLUMN())),OFFSET($BN$2,0,0,ROW()-1,60),ROW()-1,FALSE))</f>
        <v>6.2360801779999999</v>
      </c>
      <c r="J14">
        <f ca="1">IF(AND(ISNUMBER($J$688),$B$677=1),$J$688,HLOOKUP(INDIRECT(ADDRESS(2,COLUMN())),OFFSET($BN$2,0,0,ROW()-1,60),ROW()-1,FALSE))</f>
        <v>9.6025186930000004</v>
      </c>
      <c r="K14">
        <f ca="1">IF(AND(ISNUMBER($K$688),$B$677=1),$K$688,HLOOKUP(INDIRECT(ADDRESS(2,COLUMN())),OFFSET($BN$2,0,0,ROW()-1,60),ROW()-1,FALSE))</f>
        <v>20.584926880000001</v>
      </c>
      <c r="L14">
        <f ca="1">IF(AND(ISNUMBER($L$688),$B$677=1),$L$688,HLOOKUP(INDIRECT(ADDRESS(2,COLUMN())),OFFSET($BN$2,0,0,ROW()-1,60),ROW()-1,FALSE))</f>
        <v>5.4152823919999999</v>
      </c>
      <c r="M14" t="str">
        <f ca="1">IF(AND(ISNUMBER($M$688),$B$677=1),$M$688,HLOOKUP(INDIRECT(ADDRESS(2,COLUMN())),OFFSET($BN$2,0,0,ROW()-1,60),ROW()-1,FALSE))</f>
        <v/>
      </c>
      <c r="N14" t="str">
        <f ca="1">IF(AND(ISNUMBER($N$688),$B$677=1),$N$688,HLOOKUP(INDIRECT(ADDRESS(2,COLUMN())),OFFSET($BN$2,0,0,ROW()-1,60),ROW()-1,FALSE))</f>
        <v/>
      </c>
      <c r="O14" t="str">
        <f ca="1">IF(AND(ISNUMBER($O$688),$B$677=1),$O$688,HLOOKUP(INDIRECT(ADDRESS(2,COLUMN())),OFFSET($BN$2,0,0,ROW()-1,60),ROW()-1,FALSE))</f>
        <v/>
      </c>
      <c r="P14" t="str">
        <f ca="1">IF(AND(ISNUMBER($P$688),$B$677=1),$P$688,HLOOKUP(INDIRECT(ADDRESS(2,COLUMN())),OFFSET($BN$2,0,0,ROW()-1,60),ROW()-1,FALSE))</f>
        <v/>
      </c>
      <c r="Q14" t="str">
        <f ca="1">IF(AND(ISNUMBER($Q$688),$B$677=1),$Q$688,HLOOKUP(INDIRECT(ADDRESS(2,COLUMN())),OFFSET($BN$2,0,0,ROW()-1,60),ROW()-1,FALSE))</f>
        <v/>
      </c>
      <c r="R14" t="str">
        <f ca="1">IF(AND(ISNUMBER($R$688),$B$677=1),$R$688,HLOOKUP(INDIRECT(ADDRESS(2,COLUMN())),OFFSET($BN$2,0,0,ROW()-1,60),ROW()-1,FALSE))</f>
        <v/>
      </c>
      <c r="S14">
        <f ca="1">IF(AND(ISNUMBER($S$688),$B$677=1),$S$688,HLOOKUP(INDIRECT(ADDRESS(2,COLUMN())),OFFSET($BN$2,0,0,ROW()-1,60),ROW()-1,FALSE))</f>
        <v>28.538283060000001</v>
      </c>
      <c r="T14">
        <f ca="1">IF(AND(ISNUMBER($T$688),$B$677=1),$T$688,HLOOKUP(INDIRECT(ADDRESS(2,COLUMN())),OFFSET($BN$2,0,0,ROW()-1,60),ROW()-1,FALSE))</f>
        <v>30.858468680000001</v>
      </c>
      <c r="U14">
        <f ca="1">IF(AND(ISNUMBER($U$688),$B$677=1),$U$688,HLOOKUP(INDIRECT(ADDRESS(2,COLUMN())),OFFSET($BN$2,0,0,ROW()-1,60),ROW()-1,FALSE))</f>
        <v>17.825112109999999</v>
      </c>
      <c r="V14">
        <f ca="1">IF(AND(ISNUMBER($V$688),$B$677=1),$V$688,HLOOKUP(INDIRECT(ADDRESS(2,COLUMN())),OFFSET($BN$2,0,0,ROW()-1,60),ROW()-1,FALSE))</f>
        <v>12.693298970000001</v>
      </c>
      <c r="W14">
        <f ca="1">IF(AND(ISNUMBER($W$688),$B$677=1),$W$688,HLOOKUP(INDIRECT(ADDRESS(2,COLUMN())),OFFSET($BN$2,0,0,ROW()-1,60),ROW()-1,FALSE))</f>
        <v>8.983572895</v>
      </c>
      <c r="X14">
        <f ca="1">IF(AND(ISNUMBER($X$688),$B$677=1),$X$688,HLOOKUP(INDIRECT(ADDRESS(2,COLUMN())),OFFSET($BN$2,0,0,ROW()-1,60),ROW()-1,FALSE))</f>
        <v>8.5617724370000001</v>
      </c>
      <c r="Y14">
        <f ca="1">IF(AND(ISNUMBER($Y$688),$B$677=1),$Y$688,HLOOKUP(INDIRECT(ADDRESS(2,COLUMN())),OFFSET($BN$2,0,0,ROW()-1,60),ROW()-1,FALSE))</f>
        <v>7.6312154699999999</v>
      </c>
      <c r="Z14">
        <f ca="1">IF(AND(ISNUMBER($Z$688),$B$677=1),$Z$688,HLOOKUP(INDIRECT(ADDRESS(2,COLUMN())),OFFSET($BN$2,0,0,ROW()-1,60),ROW()-1,FALSE))</f>
        <v>10.330405689999999</v>
      </c>
      <c r="AA14">
        <f ca="1">IF(AND(ISNUMBER($AA$688),$B$677=1),$AA$688,HLOOKUP(INDIRECT(ADDRESS(2,COLUMN())),OFFSET($BN$2,0,0,ROW()-1,60),ROW()-1,FALSE))</f>
        <v>14.873417720000001</v>
      </c>
      <c r="AB14">
        <f ca="1">IF(AND(ISNUMBER($AB$688),$B$677=1),$AB$688,HLOOKUP(INDIRECT(ADDRESS(2,COLUMN())),OFFSET($BN$2,0,0,ROW()-1,60),ROW()-1,FALSE))</f>
        <v>8.425720621</v>
      </c>
      <c r="AC14">
        <f ca="1">IF(AND(ISNUMBER($AC$688),$B$677=1),$AC$688,HLOOKUP(INDIRECT(ADDRESS(2,COLUMN())),OFFSET($BN$2,0,0,ROW()-1,60),ROW()-1,FALSE))</f>
        <v>9.4055944060000005</v>
      </c>
      <c r="AD14">
        <f ca="1">IF(AND(ISNUMBER($AD$688),$B$677=1),$AD$688,HLOOKUP(INDIRECT(ADDRESS(2,COLUMN())),OFFSET($BN$2,0,0,ROW()-1,60),ROW()-1,FALSE))</f>
        <v>8.5013440859999996</v>
      </c>
      <c r="AE14">
        <f ca="1">IF(AND(ISNUMBER($AE$688),$B$677=1),$AE$688,HLOOKUP(INDIRECT(ADDRESS(2,COLUMN())),OFFSET($BN$2,0,0,ROW()-1,60),ROW()-1,FALSE))</f>
        <v>2.8891946239999999</v>
      </c>
      <c r="AF14">
        <f ca="1">IF(AND(ISNUMBER($AF$688),$B$677=1),$AF$688,HLOOKUP(INDIRECT(ADDRESS(2,COLUMN())),OFFSET($BN$2,0,0,ROW()-1,60),ROW()-1,FALSE))</f>
        <v>2.9734558450000002</v>
      </c>
      <c r="AG14">
        <f ca="1">IF(AND(ISNUMBER($AG$688),$B$677=1),$AG$688,HLOOKUP(INDIRECT(ADDRESS(2,COLUMN())),OFFSET($BN$2,0,0,ROW()-1,60),ROW()-1,FALSE))</f>
        <v>3.1666247799999998</v>
      </c>
      <c r="AH14">
        <f ca="1">IF(AND(ISNUMBER($AH$688),$B$677=1),$AH$688,HLOOKUP(INDIRECT(ADDRESS(2,COLUMN())),OFFSET($BN$2,0,0,ROW()-1,60),ROW()-1,FALSE))</f>
        <v>3.0508474579999998</v>
      </c>
      <c r="AI14">
        <f ca="1">IF(AND(ISNUMBER($AI$688),$B$677=1),$AI$688,HLOOKUP(INDIRECT(ADDRESS(2,COLUMN())),OFFSET($BN$2,0,0,ROW()-1,60),ROW()-1,FALSE))</f>
        <v>11.35225376</v>
      </c>
      <c r="AJ14">
        <f ca="1">IF(AND(ISNUMBER($AJ$688),$B$677=1),$AJ$688,HLOOKUP(INDIRECT(ADDRESS(2,COLUMN())),OFFSET($BN$2,0,0,ROW()-1,60),ROW()-1,FALSE))</f>
        <v>8.9048106449999995</v>
      </c>
      <c r="AK14">
        <f ca="1">IF(AND(ISNUMBER($AK$688),$B$677=1),$AK$688,HLOOKUP(INDIRECT(ADDRESS(2,COLUMN())),OFFSET($BN$2,0,0,ROW()-1,60),ROW()-1,FALSE))</f>
        <v>10.81467365</v>
      </c>
      <c r="AL14">
        <f ca="1">IF(AND(ISNUMBER($AL$688),$B$677=1),$AL$688,HLOOKUP(INDIRECT(ADDRESS(2,COLUMN())),OFFSET($BN$2,0,0,ROW()-1,60),ROW()-1,FALSE))</f>
        <v>9.4108019639999991</v>
      </c>
      <c r="AM14">
        <f ca="1">IF(AND(ISNUMBER($AM$688),$B$677=1),$AM$688,HLOOKUP(INDIRECT(ADDRESS(2,COLUMN())),OFFSET($BN$2,0,0,ROW()-1,60),ROW()-1,FALSE))</f>
        <v>5.6891495599999997</v>
      </c>
      <c r="AN14">
        <f ca="1">IF(AND(ISNUMBER($AN$688),$B$677=1),$AN$688,HLOOKUP(INDIRECT(ADDRESS(2,COLUMN())),OFFSET($BN$2,0,0,ROW()-1,60),ROW()-1,FALSE))</f>
        <v>3.701510216</v>
      </c>
      <c r="AO14">
        <f ca="1">IF(AND(ISNUMBER($AO$688),$B$677=1),$AO$688,HLOOKUP(INDIRECT(ADDRESS(2,COLUMN())),OFFSET($BN$2,0,0,ROW()-1,60),ROW()-1,FALSE))</f>
        <v>3.4528552459999999</v>
      </c>
      <c r="AP14">
        <f ca="1">IF(AND(ISNUMBER($AP$688),$B$677=1),$AP$688,HLOOKUP(INDIRECT(ADDRESS(2,COLUMN())),OFFSET($BN$2,0,0,ROW()-1,60),ROW()-1,FALSE))</f>
        <v>4.7482603360000004</v>
      </c>
      <c r="AQ14">
        <f ca="1">IF(AND(ISNUMBER($AQ$688),$B$677=1),$AQ$688,HLOOKUP(INDIRECT(ADDRESS(2,COLUMN())),OFFSET($BN$2,0,0,ROW()-1,60),ROW()-1,FALSE))</f>
        <v>15.16516517</v>
      </c>
      <c r="AR14">
        <f ca="1">IF(AND(ISNUMBER($AR$688),$B$677=1),$AR$688,HLOOKUP(INDIRECT(ADDRESS(2,COLUMN())),OFFSET($BN$2,0,0,ROW()-1,60),ROW()-1,FALSE))</f>
        <v>22.83464567</v>
      </c>
      <c r="AS14">
        <f ca="1">IF(AND(ISNUMBER($AS$688),$B$677=1),$AS$688,HLOOKUP(INDIRECT(ADDRESS(2,COLUMN())),OFFSET($BN$2,0,0,ROW()-1,60),ROW()-1,FALSE))</f>
        <v>12.91925466</v>
      </c>
      <c r="AT14">
        <f ca="1">IF(AND(ISNUMBER($AT$688),$B$677=1),$AT$688,HLOOKUP(INDIRECT(ADDRESS(2,COLUMN())),OFFSET($BN$2,0,0,ROW()-1,60),ROW()-1,FALSE))</f>
        <v>1.038374718</v>
      </c>
      <c r="AU14">
        <f ca="1">IF(AND(ISNUMBER($AU$688),$B$677=1),$AU$688,HLOOKUP(INDIRECT(ADDRESS(2,COLUMN())),OFFSET($BN$2,0,0,ROW()-1,60),ROW()-1,FALSE))</f>
        <v>0.97171960899999998</v>
      </c>
      <c r="AV14">
        <f ca="1">IF(AND(ISNUMBER($AV$688),$B$677=1),$AV$688,HLOOKUP(INDIRECT(ADDRESS(2,COLUMN())),OFFSET($BN$2,0,0,ROW()-1,60),ROW()-1,FALSE))</f>
        <v>1.0098128710000001</v>
      </c>
      <c r="AW14">
        <f ca="1">IF(AND(ISNUMBER($AW$688),$B$677=1),$AW$688,HLOOKUP(INDIRECT(ADDRESS(2,COLUMN())),OFFSET($BN$2,0,0,ROW()-1,60),ROW()-1,FALSE))</f>
        <v>1.1179690229999999</v>
      </c>
      <c r="AX14">
        <f ca="1">IF(AND(ISNUMBER($AX$688),$B$677=1),$AX$688,HLOOKUP(INDIRECT(ADDRESS(2,COLUMN())),OFFSET($BN$2,0,0,ROW()-1,60),ROW()-1,FALSE))</f>
        <v>4.3853591160000001</v>
      </c>
      <c r="AY14">
        <f ca="1">IF(AND(ISNUMBER($AY$688),$B$677=1),$AY$688,HLOOKUP(INDIRECT(ADDRESS(2,COLUMN())),OFFSET($BN$2,0,0,ROW()-1,60),ROW()-1,FALSE))</f>
        <v>5.9217877090000002</v>
      </c>
      <c r="AZ14">
        <f ca="1">IF(AND(ISNUMBER($AZ$688),$B$677=1),$AZ$688,HLOOKUP(INDIRECT(ADDRESS(2,COLUMN())),OFFSET($BN$2,0,0,ROW()-1,60),ROW()-1,FALSE))</f>
        <v>13.061224490000001</v>
      </c>
      <c r="BA14">
        <f ca="1">IF(AND(ISNUMBER($BA$688),$B$677=1),$BA$688,HLOOKUP(INDIRECT(ADDRESS(2,COLUMN())),OFFSET($BN$2,0,0,ROW()-1,60),ROW()-1,FALSE))</f>
        <v>14.64</v>
      </c>
      <c r="BB14">
        <f ca="1">IF(AND(ISNUMBER($BB$688),$B$677=1),$BB$688,HLOOKUP(INDIRECT(ADDRESS(2,COLUMN())),OFFSET($BN$2,0,0,ROW()-1,60),ROW()-1,FALSE))</f>
        <v>20.591341079999999</v>
      </c>
      <c r="BC14" t="str">
        <f ca="1">IF(AND(ISNUMBER($BC$688),$B$677=1),$BC$688,HLOOKUP(INDIRECT(ADDRESS(2,COLUMN())),OFFSET($BN$2,0,0,ROW()-1,60),ROW()-1,FALSE))</f>
        <v/>
      </c>
      <c r="BD14" t="str">
        <f ca="1">IF(AND(ISNUMBER($BD$688),$B$677=1),$BD$688,HLOOKUP(INDIRECT(ADDRESS(2,COLUMN())),OFFSET($BN$2,0,0,ROW()-1,60),ROW()-1,FALSE))</f>
        <v/>
      </c>
      <c r="BE14" t="str">
        <f ca="1">IF(AND(ISNUMBER($BE$688),$B$677=1),$BE$688,HLOOKUP(INDIRECT(ADDRESS(2,COLUMN())),OFFSET($BN$2,0,0,ROW()-1,60),ROW()-1,FALSE))</f>
        <v/>
      </c>
      <c r="BF14" t="str">
        <f ca="1">IF(AND(ISNUMBER($BF$688),$B$677=1),$BF$688,HLOOKUP(INDIRECT(ADDRESS(2,COLUMN())),OFFSET($BN$2,0,0,ROW()-1,60),ROW()-1,FALSE))</f>
        <v/>
      </c>
      <c r="BG14">
        <f ca="1">IF(AND(ISNUMBER($BG$688),$B$677=1),$BG$688,HLOOKUP(INDIRECT(ADDRESS(2,COLUMN())),OFFSET($BN$2,0,0,ROW()-1,60),ROW()-1,FALSE))</f>
        <v>10.3004292</v>
      </c>
      <c r="BH14">
        <f ca="1">IF(AND(ISNUMBER($BH$688),$B$677=1),$BH$688,HLOOKUP(INDIRECT(ADDRESS(2,COLUMN())),OFFSET($BN$2,0,0,ROW()-1,60),ROW()-1,FALSE))</f>
        <v>13.47639487</v>
      </c>
      <c r="BI14">
        <f ca="1">IF(AND(ISNUMBER($BI$688),$B$677=1),$BI$688,HLOOKUP(INDIRECT(ADDRESS(2,COLUMN())),OFFSET($BN$2,0,0,ROW()-1,60),ROW()-1,FALSE))</f>
        <v>9.8327759550000007</v>
      </c>
      <c r="BJ14">
        <f ca="1">IF(AND(ISNUMBER($BJ$688),$B$677=1),$BJ$688,HLOOKUP(INDIRECT(ADDRESS(2,COLUMN())),OFFSET($BN$2,0,0,ROW()-1,60),ROW()-1,FALSE))</f>
        <v>12.827586159999999</v>
      </c>
      <c r="BK14">
        <f ca="1">IF(AND(ISNUMBER($BK$688),$B$677=1),$BK$688,HLOOKUP(INDIRECT(ADDRESS(2,COLUMN())),OFFSET($BN$2,0,0,ROW()-1,60),ROW()-1,FALSE))</f>
        <v>8.0811807959999999</v>
      </c>
      <c r="BL14">
        <f ca="1">IF(AND(ISNUMBER($BL$688),$B$677=1),$BL$688,HLOOKUP(INDIRECT(ADDRESS(2,COLUMN())),OFFSET($BN$2,0,0,ROW()-1,60),ROW()-1,FALSE))</f>
        <v>8.0459769879999996</v>
      </c>
      <c r="BM14">
        <f ca="1">IF(AND(ISNUMBER($BM$688),$B$677=1),$BM$688,HLOOKUP(INDIRECT(ADDRESS(2,COLUMN())),OFFSET($BN$2,0,0,ROW()-1,60),ROW()-1,FALSE))</f>
        <v>6.8859648839999998</v>
      </c>
      <c r="BN14" t="str">
        <f>""</f>
        <v/>
      </c>
      <c r="BO14" t="str">
        <f>""</f>
        <v/>
      </c>
      <c r="BP14">
        <f>6.776964683</f>
        <v>6.7769646830000001</v>
      </c>
      <c r="BQ14">
        <f>6.236080178</f>
        <v>6.2360801779999999</v>
      </c>
      <c r="BR14">
        <f>9.602518693</f>
        <v>9.6025186930000004</v>
      </c>
      <c r="BS14">
        <f>20.58492688</f>
        <v>20.584926880000001</v>
      </c>
      <c r="BT14">
        <f>5.415282392</f>
        <v>5.4152823919999999</v>
      </c>
      <c r="BU14" t="str">
        <f>""</f>
        <v/>
      </c>
      <c r="BV14" t="str">
        <f>""</f>
        <v/>
      </c>
      <c r="BW14" t="str">
        <f>""</f>
        <v/>
      </c>
      <c r="BX14" t="str">
        <f>""</f>
        <v/>
      </c>
      <c r="BY14" t="str">
        <f>""</f>
        <v/>
      </c>
      <c r="BZ14" t="str">
        <f>""</f>
        <v/>
      </c>
      <c r="CA14">
        <f>28.53828306</f>
        <v>28.538283060000001</v>
      </c>
      <c r="CB14">
        <f>30.85846868</f>
        <v>30.858468680000001</v>
      </c>
      <c r="CC14">
        <f>17.82511211</f>
        <v>17.825112109999999</v>
      </c>
      <c r="CD14">
        <f>12.69329897</f>
        <v>12.693298970000001</v>
      </c>
      <c r="CE14">
        <f>8.983572895</f>
        <v>8.983572895</v>
      </c>
      <c r="CF14">
        <f>8.561772437</f>
        <v>8.5617724370000001</v>
      </c>
      <c r="CG14">
        <f>7.63121547</f>
        <v>7.6312154699999999</v>
      </c>
      <c r="CH14">
        <f>10.33040569</f>
        <v>10.330405689999999</v>
      </c>
      <c r="CI14">
        <f>14.87341772</f>
        <v>14.873417720000001</v>
      </c>
      <c r="CJ14">
        <f>8.425720621</f>
        <v>8.425720621</v>
      </c>
      <c r="CK14">
        <f>9.405594406</f>
        <v>9.4055944060000005</v>
      </c>
      <c r="CL14">
        <f>8.501344086</f>
        <v>8.5013440859999996</v>
      </c>
      <c r="CM14">
        <f>2.889194624</f>
        <v>2.8891946239999999</v>
      </c>
      <c r="CN14">
        <f>2.973455845</f>
        <v>2.9734558450000002</v>
      </c>
      <c r="CO14">
        <f>3.16662478</f>
        <v>3.1666247799999998</v>
      </c>
      <c r="CP14">
        <f>3.050847458</f>
        <v>3.0508474579999998</v>
      </c>
      <c r="CQ14">
        <f>11.35225376</f>
        <v>11.35225376</v>
      </c>
      <c r="CR14">
        <f>8.904810645</f>
        <v>8.9048106449999995</v>
      </c>
      <c r="CS14">
        <f>10.81467365</f>
        <v>10.81467365</v>
      </c>
      <c r="CT14">
        <f>9.410801964</f>
        <v>9.4108019639999991</v>
      </c>
      <c r="CU14">
        <f>5.68914956</f>
        <v>5.6891495599999997</v>
      </c>
      <c r="CV14">
        <f>3.701510216</f>
        <v>3.701510216</v>
      </c>
      <c r="CW14">
        <f>3.452855246</f>
        <v>3.4528552459999999</v>
      </c>
      <c r="CX14">
        <f>4.748260336</f>
        <v>4.7482603360000004</v>
      </c>
      <c r="CY14">
        <f>15.16516517</f>
        <v>15.16516517</v>
      </c>
      <c r="CZ14">
        <f>22.83464567</f>
        <v>22.83464567</v>
      </c>
      <c r="DA14">
        <f>12.91925466</f>
        <v>12.91925466</v>
      </c>
      <c r="DB14">
        <f>1.038374718</f>
        <v>1.038374718</v>
      </c>
      <c r="DC14">
        <f>0.971719609</f>
        <v>0.97171960899999998</v>
      </c>
      <c r="DD14">
        <f>1.009812871</f>
        <v>1.0098128710000001</v>
      </c>
      <c r="DE14">
        <f>1.117969023</f>
        <v>1.1179690229999999</v>
      </c>
      <c r="DF14">
        <f>4.385359116</f>
        <v>4.3853591160000001</v>
      </c>
      <c r="DG14">
        <f>5.921787709</f>
        <v>5.9217877090000002</v>
      </c>
      <c r="DH14">
        <f>13.06122449</f>
        <v>13.061224490000001</v>
      </c>
      <c r="DI14">
        <f>14.64</f>
        <v>14.64</v>
      </c>
      <c r="DJ14">
        <f>20.59134108</f>
        <v>20.591341079999999</v>
      </c>
      <c r="DK14" t="str">
        <f>""</f>
        <v/>
      </c>
      <c r="DL14" t="str">
        <f>""</f>
        <v/>
      </c>
      <c r="DM14" t="str">
        <f>""</f>
        <v/>
      </c>
      <c r="DN14" t="str">
        <f>""</f>
        <v/>
      </c>
      <c r="DO14">
        <f>10.3004292</f>
        <v>10.3004292</v>
      </c>
      <c r="DP14">
        <f>13.47639487</f>
        <v>13.47639487</v>
      </c>
      <c r="DQ14">
        <f>9.832775955</f>
        <v>9.8327759550000007</v>
      </c>
      <c r="DR14">
        <f>12.82758616</f>
        <v>12.827586159999999</v>
      </c>
      <c r="DS14">
        <f>8.081180796</f>
        <v>8.0811807959999999</v>
      </c>
      <c r="DT14">
        <f>8.045976988</f>
        <v>8.0459769879999996</v>
      </c>
      <c r="DU14">
        <f>6.885964884</f>
        <v>6.8859648839999998</v>
      </c>
    </row>
    <row r="15" spans="1:125" x14ac:dyDescent="0.25">
      <c r="A15" t="str">
        <f>"    FAW CAR Co Ltd"</f>
        <v xml:space="preserve">    FAW CAR Co Ltd</v>
      </c>
      <c r="B15" t="str">
        <f>"000800 CH Equity"</f>
        <v>000800 CH Equity</v>
      </c>
      <c r="C15" t="str">
        <f t="shared" si="0"/>
        <v>RR900</v>
      </c>
      <c r="D15" t="str">
        <f t="shared" si="1"/>
        <v>PE_RATIO</v>
      </c>
      <c r="E15" t="str">
        <f t="shared" si="2"/>
        <v>Dynamic</v>
      </c>
      <c r="F15">
        <f ca="1">IF(AND(ISNUMBER($F$689),$B$677=1),$F$689,HLOOKUP(INDIRECT(ADDRESS(2,COLUMN())),OFFSET($BN$2,0,0,ROW()-1,60),ROW()-1,FALSE))</f>
        <v>104.69774219999999</v>
      </c>
      <c r="G15">
        <f ca="1">IF(AND(ISNUMBER($G$689),$B$677=1),$G$689,HLOOKUP(INDIRECT(ADDRESS(2,COLUMN())),OFFSET($BN$2,0,0,ROW()-1,60),ROW()-1,FALSE))</f>
        <v>86.099261260000006</v>
      </c>
      <c r="H15">
        <f ca="1">IF(AND(ISNUMBER($H$689),$B$677=1),$H$689,HLOOKUP(INDIRECT(ADDRESS(2,COLUMN())),OFFSET($BN$2,0,0,ROW()-1,60),ROW()-1,FALSE))</f>
        <v>85.709083340000007</v>
      </c>
      <c r="I15">
        <f ca="1">IF(AND(ISNUMBER($I$689),$B$677=1),$I$689,HLOOKUP(INDIRECT(ADDRESS(2,COLUMN())),OFFSET($BN$2,0,0,ROW()-1,60),ROW()-1,FALSE))</f>
        <v>132.65233739999999</v>
      </c>
      <c r="J15">
        <f ca="1">IF(AND(ISNUMBER($J$689),$B$677=1),$J$689,HLOOKUP(INDIRECT(ADDRESS(2,COLUMN())),OFFSET($BN$2,0,0,ROW()-1,60),ROW()-1,FALSE))</f>
        <v>96.621103189999999</v>
      </c>
      <c r="K15">
        <f ca="1">IF(AND(ISNUMBER($K$689),$B$677=1),$K$689,HLOOKUP(INDIRECT(ADDRESS(2,COLUMN())),OFFSET($BN$2,0,0,ROW()-1,60),ROW()-1,FALSE))</f>
        <v>62.244384410000002</v>
      </c>
      <c r="L15">
        <f ca="1">IF(AND(ISNUMBER($L$689),$B$677=1),$L$689,HLOOKUP(INDIRECT(ADDRESS(2,COLUMN())),OFFSET($BN$2,0,0,ROW()-1,60),ROW()-1,FALSE))</f>
        <v>424.59962350000001</v>
      </c>
      <c r="M15">
        <f ca="1">IF(AND(ISNUMBER($M$689),$B$677=1),$M$689,HLOOKUP(INDIRECT(ADDRESS(2,COLUMN())),OFFSET($BN$2,0,0,ROW()-1,60),ROW()-1,FALSE))</f>
        <v>116.3522372</v>
      </c>
      <c r="N15" t="str">
        <f ca="1">IF(AND(ISNUMBER($N$689),$B$677=1),$N$689,HLOOKUP(INDIRECT(ADDRESS(2,COLUMN())),OFFSET($BN$2,0,0,ROW()-1,60),ROW()-1,FALSE))</f>
        <v/>
      </c>
      <c r="O15" t="str">
        <f ca="1">IF(AND(ISNUMBER($O$689),$B$677=1),$O$689,HLOOKUP(INDIRECT(ADDRESS(2,COLUMN())),OFFSET($BN$2,0,0,ROW()-1,60),ROW()-1,FALSE))</f>
        <v/>
      </c>
      <c r="P15" t="str">
        <f ca="1">IF(AND(ISNUMBER($P$689),$B$677=1),$P$689,HLOOKUP(INDIRECT(ADDRESS(2,COLUMN())),OFFSET($BN$2,0,0,ROW()-1,60),ROW()-1,FALSE))</f>
        <v/>
      </c>
      <c r="Q15" t="str">
        <f ca="1">IF(AND(ISNUMBER($Q$689),$B$677=1),$Q$689,HLOOKUP(INDIRECT(ADDRESS(2,COLUMN())),OFFSET($BN$2,0,0,ROW()-1,60),ROW()-1,FALSE))</f>
        <v/>
      </c>
      <c r="R15">
        <f ca="1">IF(AND(ISNUMBER($R$689),$B$677=1),$R$689,HLOOKUP(INDIRECT(ADDRESS(2,COLUMN())),OFFSET($BN$2,0,0,ROW()-1,60),ROW()-1,FALSE))</f>
        <v>482.22229770000001</v>
      </c>
      <c r="S15">
        <f ca="1">IF(AND(ISNUMBER($S$689),$B$677=1),$S$689,HLOOKUP(INDIRECT(ADDRESS(2,COLUMN())),OFFSET($BN$2,0,0,ROW()-1,60),ROW()-1,FALSE))</f>
        <v>555.91401499999995</v>
      </c>
      <c r="T15" t="str">
        <f ca="1">IF(AND(ISNUMBER($T$689),$B$677=1),$T$689,HLOOKUP(INDIRECT(ADDRESS(2,COLUMN())),OFFSET($BN$2,0,0,ROW()-1,60),ROW()-1,FALSE))</f>
        <v/>
      </c>
      <c r="U15">
        <f ca="1">IF(AND(ISNUMBER($U$689),$B$677=1),$U$689,HLOOKUP(INDIRECT(ADDRESS(2,COLUMN())),OFFSET($BN$2,0,0,ROW()-1,60),ROW()-1,FALSE))</f>
        <v>1827.906614</v>
      </c>
      <c r="V15">
        <f ca="1">IF(AND(ISNUMBER($V$689),$B$677=1),$V$689,HLOOKUP(INDIRECT(ADDRESS(2,COLUMN())),OFFSET($BN$2,0,0,ROW()-1,60),ROW()-1,FALSE))</f>
        <v>1530.413055</v>
      </c>
      <c r="W15">
        <f ca="1">IF(AND(ISNUMBER($W$689),$B$677=1),$W$689,HLOOKUP(INDIRECT(ADDRESS(2,COLUMN())),OFFSET($BN$2,0,0,ROW()-1,60),ROW()-1,FALSE))</f>
        <v>164.01789679999999</v>
      </c>
      <c r="X15">
        <f ca="1">IF(AND(ISNUMBER($X$689),$B$677=1),$X$689,HLOOKUP(INDIRECT(ADDRESS(2,COLUMN())),OFFSET($BN$2,0,0,ROW()-1,60),ROW()-1,FALSE))</f>
        <v>38.04275183</v>
      </c>
      <c r="Y15">
        <f ca="1">IF(AND(ISNUMBER($Y$689),$B$677=1),$Y$689,HLOOKUP(INDIRECT(ADDRESS(2,COLUMN())),OFFSET($BN$2,0,0,ROW()-1,60),ROW()-1,FALSE))</f>
        <v>22.452096350000001</v>
      </c>
      <c r="Z15">
        <f ca="1">IF(AND(ISNUMBER($Z$689),$B$677=1),$Z$689,HLOOKUP(INDIRECT(ADDRESS(2,COLUMN())),OFFSET($BN$2,0,0,ROW()-1,60),ROW()-1,FALSE))</f>
        <v>17.942955609999999</v>
      </c>
      <c r="AA15">
        <f ca="1">IF(AND(ISNUMBER($AA$689),$B$677=1),$AA$689,HLOOKUP(INDIRECT(ADDRESS(2,COLUMN())),OFFSET($BN$2,0,0,ROW()-1,60),ROW()-1,FALSE))</f>
        <v>19.23092462</v>
      </c>
      <c r="AB15">
        <f ca="1">IF(AND(ISNUMBER($AB$689),$B$677=1),$AB$689,HLOOKUP(INDIRECT(ADDRESS(2,COLUMN())),OFFSET($BN$2,0,0,ROW()-1,60),ROW()-1,FALSE))</f>
        <v>64.837978340000006</v>
      </c>
      <c r="AC15" t="str">
        <f ca="1">IF(AND(ISNUMBER($AC$689),$B$677=1),$AC$689,HLOOKUP(INDIRECT(ADDRESS(2,COLUMN())),OFFSET($BN$2,0,0,ROW()-1,60),ROW()-1,FALSE))</f>
        <v/>
      </c>
      <c r="AD15" t="str">
        <f ca="1">IF(AND(ISNUMBER($AD$689),$B$677=1),$AD$689,HLOOKUP(INDIRECT(ADDRESS(2,COLUMN())),OFFSET($BN$2,0,0,ROW()-1,60),ROW()-1,FALSE))</f>
        <v/>
      </c>
      <c r="AE15" t="str">
        <f ca="1">IF(AND(ISNUMBER($AE$689),$B$677=1),$AE$689,HLOOKUP(INDIRECT(ADDRESS(2,COLUMN())),OFFSET($BN$2,0,0,ROW()-1,60),ROW()-1,FALSE))</f>
        <v/>
      </c>
      <c r="AF15" t="str">
        <f ca="1">IF(AND(ISNUMBER($AF$689),$B$677=1),$AF$689,HLOOKUP(INDIRECT(ADDRESS(2,COLUMN())),OFFSET($BN$2,0,0,ROW()-1,60),ROW()-1,FALSE))</f>
        <v/>
      </c>
      <c r="AG15" t="str">
        <f ca="1">IF(AND(ISNUMBER($AG$689),$B$677=1),$AG$689,HLOOKUP(INDIRECT(ADDRESS(2,COLUMN())),OFFSET($BN$2,0,0,ROW()-1,60),ROW()-1,FALSE))</f>
        <v/>
      </c>
      <c r="AH15">
        <f ca="1">IF(AND(ISNUMBER($AH$689),$B$677=1),$AH$689,HLOOKUP(INDIRECT(ADDRESS(2,COLUMN())),OFFSET($BN$2,0,0,ROW()-1,60),ROW()-1,FALSE))</f>
        <v>77.716514759999995</v>
      </c>
      <c r="AI15">
        <f ca="1">IF(AND(ISNUMBER($AI$689),$B$677=1),$AI$689,HLOOKUP(INDIRECT(ADDRESS(2,COLUMN())),OFFSET($BN$2,0,0,ROW()-1,60),ROW()-1,FALSE))</f>
        <v>66.389107690000003</v>
      </c>
      <c r="AJ15">
        <f ca="1">IF(AND(ISNUMBER($AJ$689),$B$677=1),$AJ$689,HLOOKUP(INDIRECT(ADDRESS(2,COLUMN())),OFFSET($BN$2,0,0,ROW()-1,60),ROW()-1,FALSE))</f>
        <v>22.91652895</v>
      </c>
      <c r="AK15">
        <f ca="1">IF(AND(ISNUMBER($AK$689),$B$677=1),$AK$689,HLOOKUP(INDIRECT(ADDRESS(2,COLUMN())),OFFSET($BN$2,0,0,ROW()-1,60),ROW()-1,FALSE))</f>
        <v>17.572533239999999</v>
      </c>
      <c r="AL15">
        <f ca="1">IF(AND(ISNUMBER($AL$689),$B$677=1),$AL$689,HLOOKUP(INDIRECT(ADDRESS(2,COLUMN())),OFFSET($BN$2,0,0,ROW()-1,60),ROW()-1,FALSE))</f>
        <v>17.761706820000001</v>
      </c>
      <c r="AM15">
        <f ca="1">IF(AND(ISNUMBER($AM$689),$B$677=1),$AM$689,HLOOKUP(INDIRECT(ADDRESS(2,COLUMN())),OFFSET($BN$2,0,0,ROW()-1,60),ROW()-1,FALSE))</f>
        <v>14.16293106</v>
      </c>
      <c r="AN15">
        <f ca="1">IF(AND(ISNUMBER($AN$689),$B$677=1),$AN$689,HLOOKUP(INDIRECT(ADDRESS(2,COLUMN())),OFFSET($BN$2,0,0,ROW()-1,60),ROW()-1,FALSE))</f>
        <v>11.99486875</v>
      </c>
      <c r="AO15">
        <f ca="1">IF(AND(ISNUMBER($AO$689),$B$677=1),$AO$689,HLOOKUP(INDIRECT(ADDRESS(2,COLUMN())),OFFSET($BN$2,0,0,ROW()-1,60),ROW()-1,FALSE))</f>
        <v>10.16136515</v>
      </c>
      <c r="AP15">
        <f ca="1">IF(AND(ISNUMBER($AP$689),$B$677=1),$AP$689,HLOOKUP(INDIRECT(ADDRESS(2,COLUMN())),OFFSET($BN$2,0,0,ROW()-1,60),ROW()-1,FALSE))</f>
        <v>17.214040910000001</v>
      </c>
      <c r="AQ15">
        <f ca="1">IF(AND(ISNUMBER($AQ$689),$B$677=1),$AQ$689,HLOOKUP(INDIRECT(ADDRESS(2,COLUMN())),OFFSET($BN$2,0,0,ROW()-1,60),ROW()-1,FALSE))</f>
        <v>25.928937569999999</v>
      </c>
      <c r="AR15">
        <f ca="1">IF(AND(ISNUMBER($AR$689),$B$677=1),$AR$689,HLOOKUP(INDIRECT(ADDRESS(2,COLUMN())),OFFSET($BN$2,0,0,ROW()-1,60),ROW()-1,FALSE))</f>
        <v>24.387554470000001</v>
      </c>
      <c r="AS15">
        <f ca="1">IF(AND(ISNUMBER($AS$689),$B$677=1),$AS$689,HLOOKUP(INDIRECT(ADDRESS(2,COLUMN())),OFFSET($BN$2,0,0,ROW()-1,60),ROW()-1,FALSE))</f>
        <v>22.500499120000001</v>
      </c>
      <c r="AT15">
        <f ca="1">IF(AND(ISNUMBER($AT$689),$B$677=1),$AT$689,HLOOKUP(INDIRECT(ADDRESS(2,COLUMN())),OFFSET($BN$2,0,0,ROW()-1,60),ROW()-1,FALSE))</f>
        <v>19.497854759999999</v>
      </c>
      <c r="AU15">
        <f ca="1">IF(AND(ISNUMBER($AU$689),$B$677=1),$AU$689,HLOOKUP(INDIRECT(ADDRESS(2,COLUMN())),OFFSET($BN$2,0,0,ROW()-1,60),ROW()-1,FALSE))</f>
        <v>10.74689418</v>
      </c>
      <c r="AV15">
        <f ca="1">IF(AND(ISNUMBER($AV$689),$B$677=1),$AV$689,HLOOKUP(INDIRECT(ADDRESS(2,COLUMN())),OFFSET($BN$2,0,0,ROW()-1,60),ROW()-1,FALSE))</f>
        <v>12.296564200000001</v>
      </c>
      <c r="AW15">
        <f ca="1">IF(AND(ISNUMBER($AW$689),$B$677=1),$AW$689,HLOOKUP(INDIRECT(ADDRESS(2,COLUMN())),OFFSET($BN$2,0,0,ROW()-1,60),ROW()-1,FALSE))</f>
        <v>14.140694570000001</v>
      </c>
      <c r="AX15">
        <f ca="1">IF(AND(ISNUMBER($AX$689),$B$677=1),$AX$689,HLOOKUP(INDIRECT(ADDRESS(2,COLUMN())),OFFSET($BN$2,0,0,ROW()-1,60),ROW()-1,FALSE))</f>
        <v>27.05786471</v>
      </c>
      <c r="AY15">
        <f ca="1">IF(AND(ISNUMBER($AY$689),$B$677=1),$AY$689,HLOOKUP(INDIRECT(ADDRESS(2,COLUMN())),OFFSET($BN$2,0,0,ROW()-1,60),ROW()-1,FALSE))</f>
        <v>54.696449029999997</v>
      </c>
      <c r="AZ15">
        <f ca="1">IF(AND(ISNUMBER($AZ$689),$B$677=1),$AZ$689,HLOOKUP(INDIRECT(ADDRESS(2,COLUMN())),OFFSET($BN$2,0,0,ROW()-1,60),ROW()-1,FALSE))</f>
        <v>67.533688499999997</v>
      </c>
      <c r="BA15">
        <f ca="1">IF(AND(ISNUMBER($BA$689),$B$677=1),$BA$689,HLOOKUP(INDIRECT(ADDRESS(2,COLUMN())),OFFSET($BN$2,0,0,ROW()-1,60),ROW()-1,FALSE))</f>
        <v>76.491228739999997</v>
      </c>
      <c r="BB15">
        <f ca="1">IF(AND(ISNUMBER($BB$689),$B$677=1),$BB$689,HLOOKUP(INDIRECT(ADDRESS(2,COLUMN())),OFFSET($BN$2,0,0,ROW()-1,60),ROW()-1,FALSE))</f>
        <v>53.176470979999998</v>
      </c>
      <c r="BC15">
        <f ca="1">IF(AND(ISNUMBER($BC$689),$B$677=1),$BC$689,HLOOKUP(INDIRECT(ADDRESS(2,COLUMN())),OFFSET($BN$2,0,0,ROW()-1,60),ROW()-1,FALSE))</f>
        <v>23.70588253</v>
      </c>
      <c r="BD15">
        <f ca="1">IF(AND(ISNUMBER($BD$689),$B$677=1),$BD$689,HLOOKUP(INDIRECT(ADDRESS(2,COLUMN())),OFFSET($BN$2,0,0,ROW()-1,60),ROW()-1,FALSE))</f>
        <v>12.47484916</v>
      </c>
      <c r="BE15">
        <f ca="1">IF(AND(ISNUMBER($BE$689),$B$677=1),$BE$689,HLOOKUP(INDIRECT(ADDRESS(2,COLUMN())),OFFSET($BN$2,0,0,ROW()-1,60),ROW()-1,FALSE))</f>
        <v>13.749031560000001</v>
      </c>
      <c r="BF15">
        <f ca="1">IF(AND(ISNUMBER($BF$689),$B$677=1),$BF$689,HLOOKUP(INDIRECT(ADDRESS(2,COLUMN())),OFFSET($BN$2,0,0,ROW()-1,60),ROW()-1,FALSE))</f>
        <v>16.394230440000001</v>
      </c>
      <c r="BG15">
        <f ca="1">IF(AND(ISNUMBER($BG$689),$B$677=1),$BG$689,HLOOKUP(INDIRECT(ADDRESS(2,COLUMN())),OFFSET($BN$2,0,0,ROW()-1,60),ROW()-1,FALSE))</f>
        <v>14.9999997</v>
      </c>
      <c r="BH15">
        <f ca="1">IF(AND(ISNUMBER($BH$689),$B$677=1),$BH$689,HLOOKUP(INDIRECT(ADDRESS(2,COLUMN())),OFFSET($BN$2,0,0,ROW()-1,60),ROW()-1,FALSE))</f>
        <v>40.428569039999999</v>
      </c>
      <c r="BI15">
        <f ca="1">IF(AND(ISNUMBER($BI$689),$B$677=1),$BI$689,HLOOKUP(INDIRECT(ADDRESS(2,COLUMN())),OFFSET($BN$2,0,0,ROW()-1,60),ROW()-1,FALSE))</f>
        <v>35.526314149999997</v>
      </c>
      <c r="BJ15">
        <f ca="1">IF(AND(ISNUMBER($BJ$689),$B$677=1),$BJ$689,HLOOKUP(INDIRECT(ADDRESS(2,COLUMN())),OFFSET($BN$2,0,0,ROW()-1,60),ROW()-1,FALSE))</f>
        <v>32.6</v>
      </c>
      <c r="BK15">
        <f ca="1">IF(AND(ISNUMBER($BK$689),$B$677=1),$BK$689,HLOOKUP(INDIRECT(ADDRESS(2,COLUMN())),OFFSET($BN$2,0,0,ROW()-1,60),ROW()-1,FALSE))</f>
        <v>19.010416710000001</v>
      </c>
      <c r="BL15">
        <f ca="1">IF(AND(ISNUMBER($BL$689),$B$677=1),$BL$689,HLOOKUP(INDIRECT(ADDRESS(2,COLUMN())),OFFSET($BN$2,0,0,ROW()-1,60),ROW()-1,FALSE))</f>
        <v>18.048519420000002</v>
      </c>
      <c r="BM15">
        <f ca="1">IF(AND(ISNUMBER($BM$689),$B$677=1),$BM$689,HLOOKUP(INDIRECT(ADDRESS(2,COLUMN())),OFFSET($BN$2,0,0,ROW()-1,60),ROW()-1,FALSE))</f>
        <v>16.231552749999999</v>
      </c>
      <c r="BN15">
        <f>104.6977422</f>
        <v>104.69774219999999</v>
      </c>
      <c r="BO15">
        <f>86.09926126</f>
        <v>86.099261260000006</v>
      </c>
      <c r="BP15">
        <f>85.70908334</f>
        <v>85.709083340000007</v>
      </c>
      <c r="BQ15">
        <f>132.6523374</f>
        <v>132.65233739999999</v>
      </c>
      <c r="BR15">
        <f>96.62110319</f>
        <v>96.621103189999999</v>
      </c>
      <c r="BS15">
        <f>62.24438441</f>
        <v>62.244384410000002</v>
      </c>
      <c r="BT15">
        <f>424.5996235</f>
        <v>424.59962350000001</v>
      </c>
      <c r="BU15">
        <f>116.3522372</f>
        <v>116.3522372</v>
      </c>
      <c r="BV15" t="str">
        <f>""</f>
        <v/>
      </c>
      <c r="BW15" t="str">
        <f>""</f>
        <v/>
      </c>
      <c r="BX15" t="str">
        <f>""</f>
        <v/>
      </c>
      <c r="BY15" t="str">
        <f>""</f>
        <v/>
      </c>
      <c r="BZ15">
        <f>482.2222977</f>
        <v>482.22229770000001</v>
      </c>
      <c r="CA15">
        <f>555.914015</f>
        <v>555.91401499999995</v>
      </c>
      <c r="CB15" t="str">
        <f>""</f>
        <v/>
      </c>
      <c r="CC15">
        <f>1827.906614</f>
        <v>1827.906614</v>
      </c>
      <c r="CD15">
        <f>1530.413055</f>
        <v>1530.413055</v>
      </c>
      <c r="CE15">
        <f>164.0178968</f>
        <v>164.01789679999999</v>
      </c>
      <c r="CF15">
        <f>38.04275183</f>
        <v>38.04275183</v>
      </c>
      <c r="CG15">
        <f>22.45209635</f>
        <v>22.452096350000001</v>
      </c>
      <c r="CH15">
        <f>17.94295561</f>
        <v>17.942955609999999</v>
      </c>
      <c r="CI15">
        <f>19.23092462</f>
        <v>19.23092462</v>
      </c>
      <c r="CJ15">
        <f>64.83797834</f>
        <v>64.837978340000006</v>
      </c>
      <c r="CK15" t="str">
        <f>""</f>
        <v/>
      </c>
      <c r="CL15" t="str">
        <f>""</f>
        <v/>
      </c>
      <c r="CM15" t="str">
        <f>""</f>
        <v/>
      </c>
      <c r="CN15" t="str">
        <f>""</f>
        <v/>
      </c>
      <c r="CO15" t="str">
        <f>""</f>
        <v/>
      </c>
      <c r="CP15">
        <f>77.71651476</f>
        <v>77.716514759999995</v>
      </c>
      <c r="CQ15">
        <f>66.38910769</f>
        <v>66.389107690000003</v>
      </c>
      <c r="CR15">
        <f>22.91652895</f>
        <v>22.91652895</v>
      </c>
      <c r="CS15">
        <f>17.57253324</f>
        <v>17.572533239999999</v>
      </c>
      <c r="CT15">
        <f>17.76170682</f>
        <v>17.761706820000001</v>
      </c>
      <c r="CU15">
        <f>14.16293106</f>
        <v>14.16293106</v>
      </c>
      <c r="CV15">
        <f>11.99486875</f>
        <v>11.99486875</v>
      </c>
      <c r="CW15">
        <f>10.16136515</f>
        <v>10.16136515</v>
      </c>
      <c r="CX15">
        <f>17.21404091</f>
        <v>17.214040910000001</v>
      </c>
      <c r="CY15">
        <f>25.92893757</f>
        <v>25.928937569999999</v>
      </c>
      <c r="CZ15">
        <f>24.38755447</f>
        <v>24.387554470000001</v>
      </c>
      <c r="DA15">
        <f>22.50049912</f>
        <v>22.500499120000001</v>
      </c>
      <c r="DB15">
        <f>19.49785476</f>
        <v>19.497854759999999</v>
      </c>
      <c r="DC15">
        <f>10.74689418</f>
        <v>10.74689418</v>
      </c>
      <c r="DD15">
        <f>12.2965642</f>
        <v>12.296564200000001</v>
      </c>
      <c r="DE15">
        <f>14.14069457</f>
        <v>14.140694570000001</v>
      </c>
      <c r="DF15">
        <f>27.05786471</f>
        <v>27.05786471</v>
      </c>
      <c r="DG15">
        <f>54.69644903</f>
        <v>54.696449029999997</v>
      </c>
      <c r="DH15">
        <f>67.5336885</f>
        <v>67.533688499999997</v>
      </c>
      <c r="DI15">
        <f>76.49122874</f>
        <v>76.491228739999997</v>
      </c>
      <c r="DJ15">
        <f>53.17647098</f>
        <v>53.176470979999998</v>
      </c>
      <c r="DK15">
        <f>23.70588253</f>
        <v>23.70588253</v>
      </c>
      <c r="DL15">
        <f>12.47484916</f>
        <v>12.47484916</v>
      </c>
      <c r="DM15">
        <f>13.74903156</f>
        <v>13.749031560000001</v>
      </c>
      <c r="DN15">
        <f>16.39423044</f>
        <v>16.394230440000001</v>
      </c>
      <c r="DO15">
        <f>14.9999997</f>
        <v>14.9999997</v>
      </c>
      <c r="DP15">
        <f>40.42856904</f>
        <v>40.428569039999999</v>
      </c>
      <c r="DQ15">
        <f>35.52631415</f>
        <v>35.526314149999997</v>
      </c>
      <c r="DR15">
        <f>32.6</f>
        <v>32.6</v>
      </c>
      <c r="DS15">
        <f>19.01041671</f>
        <v>19.010416710000001</v>
      </c>
      <c r="DT15">
        <f>18.04851942</f>
        <v>18.048519420000002</v>
      </c>
      <c r="DU15">
        <f>16.23155275</f>
        <v>16.231552749999999</v>
      </c>
    </row>
    <row r="16" spans="1:125" x14ac:dyDescent="0.25">
      <c r="A16" t="str">
        <f>"    Fiat Chrysler Automobiles NV"</f>
        <v xml:space="preserve">    Fiat Chrysler Automobiles NV</v>
      </c>
      <c r="B16" t="str">
        <f>"FCAU US Equity"</f>
        <v>FCAU US Equity</v>
      </c>
      <c r="C16" t="str">
        <f t="shared" si="0"/>
        <v>RR900</v>
      </c>
      <c r="D16" t="str">
        <f t="shared" si="1"/>
        <v>PE_RATIO</v>
      </c>
      <c r="E16" t="str">
        <f t="shared" si="2"/>
        <v>Dynamic</v>
      </c>
      <c r="F16">
        <f ca="1">IF(AND(ISNUMBER($F$690),$B$677=1),$F$690,HLOOKUP(INDIRECT(ADDRESS(2,COLUMN())),OFFSET($BN$2,0,0,ROW()-1,60),ROW()-1,FALSE))</f>
        <v>4.732869837</v>
      </c>
      <c r="G16">
        <f ca="1">IF(AND(ISNUMBER($G$690),$B$677=1),$G$690,HLOOKUP(INDIRECT(ADDRESS(2,COLUMN())),OFFSET($BN$2,0,0,ROW()-1,60),ROW()-1,FALSE))</f>
        <v>4.5331409870000003</v>
      </c>
      <c r="H16">
        <f ca="1">IF(AND(ISNUMBER($H$690),$B$677=1),$H$690,HLOOKUP(INDIRECT(ADDRESS(2,COLUMN())),OFFSET($BN$2,0,0,ROW()-1,60),ROW()-1,FALSE))</f>
        <v>5.3992435260000002</v>
      </c>
      <c r="I16">
        <f ca="1">IF(AND(ISNUMBER($I$690),$B$677=1),$I$690,HLOOKUP(INDIRECT(ADDRESS(2,COLUMN())),OFFSET($BN$2,0,0,ROW()-1,60),ROW()-1,FALSE))</f>
        <v>6.5113301689999998</v>
      </c>
      <c r="J16">
        <f ca="1">IF(AND(ISNUMBER($J$690),$B$677=1),$J$690,HLOOKUP(INDIRECT(ADDRESS(2,COLUMN())),OFFSET($BN$2,0,0,ROW()-1,60),ROW()-1,FALSE))</f>
        <v>6.5100788520000004</v>
      </c>
      <c r="K16">
        <f ca="1">IF(AND(ISNUMBER($K$690),$B$677=1),$K$690,HLOOKUP(INDIRECT(ADDRESS(2,COLUMN())),OFFSET($BN$2,0,0,ROW()-1,60),ROW()-1,FALSE))</f>
        <v>6.3512746189999998</v>
      </c>
      <c r="L16">
        <f ca="1">IF(AND(ISNUMBER($L$690),$B$677=1),$L$690,HLOOKUP(INDIRECT(ADDRESS(2,COLUMN())),OFFSET($BN$2,0,0,ROW()-1,60),ROW()-1,FALSE))</f>
        <v>7.3575857539999996</v>
      </c>
      <c r="M16">
        <f ca="1">IF(AND(ISNUMBER($M$690),$B$677=1),$M$690,HLOOKUP(INDIRECT(ADDRESS(2,COLUMN())),OFFSET($BN$2,0,0,ROW()-1,60),ROW()-1,FALSE))</f>
        <v>4.6677035059999996</v>
      </c>
      <c r="N16">
        <f ca="1">IF(AND(ISNUMBER($N$690),$B$677=1),$N$690,HLOOKUP(INDIRECT(ADDRESS(2,COLUMN())),OFFSET($BN$2,0,0,ROW()-1,60),ROW()-1,FALSE))</f>
        <v>5.8402182490000003</v>
      </c>
      <c r="O16">
        <f ca="1">IF(AND(ISNUMBER($O$690),$B$677=1),$O$690,HLOOKUP(INDIRECT(ADDRESS(2,COLUMN())),OFFSET($BN$2,0,0,ROW()-1,60),ROW()-1,FALSE))</f>
        <v>5.2172821340000004</v>
      </c>
      <c r="P16">
        <f ca="1">IF(AND(ISNUMBER($P$690),$B$677=1),$P$690,HLOOKUP(INDIRECT(ADDRESS(2,COLUMN())),OFFSET($BN$2,0,0,ROW()-1,60),ROW()-1,FALSE))</f>
        <v>2.9842524730000002</v>
      </c>
      <c r="Q16">
        <f ca="1">IF(AND(ISNUMBER($Q$690),$B$677=1),$Q$690,HLOOKUP(INDIRECT(ADDRESS(2,COLUMN())),OFFSET($BN$2,0,0,ROW()-1,60),ROW()-1,FALSE))</f>
        <v>3.524593565</v>
      </c>
      <c r="R16">
        <f ca="1">IF(AND(ISNUMBER($R$690),$B$677=1),$R$690,HLOOKUP(INDIRECT(ADDRESS(2,COLUMN())),OFFSET($BN$2,0,0,ROW()-1,60),ROW()-1,FALSE))</f>
        <v>5.2366044230000002</v>
      </c>
      <c r="S16">
        <f ca="1">IF(AND(ISNUMBER($S$690),$B$677=1),$S$690,HLOOKUP(INDIRECT(ADDRESS(2,COLUMN())),OFFSET($BN$2,0,0,ROW()-1,60),ROW()-1,FALSE))</f>
        <v>8.2618172029999997</v>
      </c>
      <c r="T16">
        <f ca="1">IF(AND(ISNUMBER($T$690),$B$677=1),$T$690,HLOOKUP(INDIRECT(ADDRESS(2,COLUMN())),OFFSET($BN$2,0,0,ROW()-1,60),ROW()-1,FALSE))</f>
        <v>14.12647177</v>
      </c>
      <c r="U16">
        <f ca="1">IF(AND(ISNUMBER($U$690),$B$677=1),$U$690,HLOOKUP(INDIRECT(ADDRESS(2,COLUMN())),OFFSET($BN$2,0,0,ROW()-1,60),ROW()-1,FALSE))</f>
        <v>15.00204847</v>
      </c>
      <c r="V16">
        <f ca="1">IF(AND(ISNUMBER($V$690),$B$677=1),$V$690,HLOOKUP(INDIRECT(ADDRESS(2,COLUMN())),OFFSET($BN$2,0,0,ROW()-1,60),ROW()-1,FALSE))</f>
        <v>20.658773109999998</v>
      </c>
      <c r="W16">
        <f ca="1">IF(AND(ISNUMBER($W$690),$B$677=1),$W$690,HLOOKUP(INDIRECT(ADDRESS(2,COLUMN())),OFFSET($BN$2,0,0,ROW()-1,60),ROW()-1,FALSE))</f>
        <v>13.626418449999999</v>
      </c>
      <c r="X16" t="str">
        <f ca="1">IF(AND(ISNUMBER($X$690),$B$677=1),$X$690,HLOOKUP(INDIRECT(ADDRESS(2,COLUMN())),OFFSET($BN$2,0,0,ROW()-1,60),ROW()-1,FALSE))</f>
        <v/>
      </c>
      <c r="Y16" t="str">
        <f ca="1">IF(AND(ISNUMBER($Y$690),$B$677=1),$Y$690,HLOOKUP(INDIRECT(ADDRESS(2,COLUMN())),OFFSET($BN$2,0,0,ROW()-1,60),ROW()-1,FALSE))</f>
        <v/>
      </c>
      <c r="Z16" t="str">
        <f ca="1">IF(AND(ISNUMBER($Z$690),$B$677=1),$Z$690,HLOOKUP(INDIRECT(ADDRESS(2,COLUMN())),OFFSET($BN$2,0,0,ROW()-1,60),ROW()-1,FALSE))</f>
        <v/>
      </c>
      <c r="AA16" t="str">
        <f ca="1">IF(AND(ISNUMBER($AA$690),$B$677=1),$AA$690,HLOOKUP(INDIRECT(ADDRESS(2,COLUMN())),OFFSET($BN$2,0,0,ROW()-1,60),ROW()-1,FALSE))</f>
        <v/>
      </c>
      <c r="AB16" t="str">
        <f ca="1">IF(AND(ISNUMBER($AB$690),$B$677=1),$AB$690,HLOOKUP(INDIRECT(ADDRESS(2,COLUMN())),OFFSET($BN$2,0,0,ROW()-1,60),ROW()-1,FALSE))</f>
        <v/>
      </c>
      <c r="AC16" t="str">
        <f ca="1">IF(AND(ISNUMBER($AC$690),$B$677=1),$AC$690,HLOOKUP(INDIRECT(ADDRESS(2,COLUMN())),OFFSET($BN$2,0,0,ROW()-1,60),ROW()-1,FALSE))</f>
        <v/>
      </c>
      <c r="AD16" t="str">
        <f ca="1">IF(AND(ISNUMBER($AD$690),$B$677=1),$AD$690,HLOOKUP(INDIRECT(ADDRESS(2,COLUMN())),OFFSET($BN$2,0,0,ROW()-1,60),ROW()-1,FALSE))</f>
        <v/>
      </c>
      <c r="AE16" t="str">
        <f ca="1">IF(AND(ISNUMBER($AE$690),$B$677=1),$AE$690,HLOOKUP(INDIRECT(ADDRESS(2,COLUMN())),OFFSET($BN$2,0,0,ROW()-1,60),ROW()-1,FALSE))</f>
        <v/>
      </c>
      <c r="AF16" t="str">
        <f ca="1">IF(AND(ISNUMBER($AF$690),$B$677=1),$AF$690,HLOOKUP(INDIRECT(ADDRESS(2,COLUMN())),OFFSET($BN$2,0,0,ROW()-1,60),ROW()-1,FALSE))</f>
        <v/>
      </c>
      <c r="AG16" t="str">
        <f ca="1">IF(AND(ISNUMBER($AG$690),$B$677=1),$AG$690,HLOOKUP(INDIRECT(ADDRESS(2,COLUMN())),OFFSET($BN$2,0,0,ROW()-1,60),ROW()-1,FALSE))</f>
        <v/>
      </c>
      <c r="AH16" t="str">
        <f ca="1">IF(AND(ISNUMBER($AH$690),$B$677=1),$AH$690,HLOOKUP(INDIRECT(ADDRESS(2,COLUMN())),OFFSET($BN$2,0,0,ROW()-1,60),ROW()-1,FALSE))</f>
        <v/>
      </c>
      <c r="AI16" t="str">
        <f ca="1">IF(AND(ISNUMBER($AI$690),$B$677=1),$AI$690,HLOOKUP(INDIRECT(ADDRESS(2,COLUMN())),OFFSET($BN$2,0,0,ROW()-1,60),ROW()-1,FALSE))</f>
        <v/>
      </c>
      <c r="AJ16" t="str">
        <f ca="1">IF(AND(ISNUMBER($AJ$690),$B$677=1),$AJ$690,HLOOKUP(INDIRECT(ADDRESS(2,COLUMN())),OFFSET($BN$2,0,0,ROW()-1,60),ROW()-1,FALSE))</f>
        <v/>
      </c>
      <c r="AK16" t="str">
        <f ca="1">IF(AND(ISNUMBER($AK$690),$B$677=1),$AK$690,HLOOKUP(INDIRECT(ADDRESS(2,COLUMN())),OFFSET($BN$2,0,0,ROW()-1,60),ROW()-1,FALSE))</f>
        <v/>
      </c>
      <c r="AL16" t="str">
        <f ca="1">IF(AND(ISNUMBER($AL$690),$B$677=1),$AL$690,HLOOKUP(INDIRECT(ADDRESS(2,COLUMN())),OFFSET($BN$2,0,0,ROW()-1,60),ROW()-1,FALSE))</f>
        <v/>
      </c>
      <c r="AM16" t="str">
        <f ca="1">IF(AND(ISNUMBER($AM$690),$B$677=1),$AM$690,HLOOKUP(INDIRECT(ADDRESS(2,COLUMN())),OFFSET($BN$2,0,0,ROW()-1,60),ROW()-1,FALSE))</f>
        <v/>
      </c>
      <c r="AN16" t="str">
        <f ca="1">IF(AND(ISNUMBER($AN$690),$B$677=1),$AN$690,HLOOKUP(INDIRECT(ADDRESS(2,COLUMN())),OFFSET($BN$2,0,0,ROW()-1,60),ROW()-1,FALSE))</f>
        <v/>
      </c>
      <c r="AO16" t="str">
        <f ca="1">IF(AND(ISNUMBER($AO$690),$B$677=1),$AO$690,HLOOKUP(INDIRECT(ADDRESS(2,COLUMN())),OFFSET($BN$2,0,0,ROW()-1,60),ROW()-1,FALSE))</f>
        <v/>
      </c>
      <c r="AP16" t="str">
        <f ca="1">IF(AND(ISNUMBER($AP$690),$B$677=1),$AP$690,HLOOKUP(INDIRECT(ADDRESS(2,COLUMN())),OFFSET($BN$2,0,0,ROW()-1,60),ROW()-1,FALSE))</f>
        <v/>
      </c>
      <c r="AQ16" t="str">
        <f ca="1">IF(AND(ISNUMBER($AQ$690),$B$677=1),$AQ$690,HLOOKUP(INDIRECT(ADDRESS(2,COLUMN())),OFFSET($BN$2,0,0,ROW()-1,60),ROW()-1,FALSE))</f>
        <v/>
      </c>
      <c r="AR16" t="str">
        <f ca="1">IF(AND(ISNUMBER($AR$690),$B$677=1),$AR$690,HLOOKUP(INDIRECT(ADDRESS(2,COLUMN())),OFFSET($BN$2,0,0,ROW()-1,60),ROW()-1,FALSE))</f>
        <v/>
      </c>
      <c r="AS16" t="str">
        <f ca="1">IF(AND(ISNUMBER($AS$690),$B$677=1),$AS$690,HLOOKUP(INDIRECT(ADDRESS(2,COLUMN())),OFFSET($BN$2,0,0,ROW()-1,60),ROW()-1,FALSE))</f>
        <v/>
      </c>
      <c r="AT16" t="str">
        <f ca="1">IF(AND(ISNUMBER($AT$690),$B$677=1),$AT$690,HLOOKUP(INDIRECT(ADDRESS(2,COLUMN())),OFFSET($BN$2,0,0,ROW()-1,60),ROW()-1,FALSE))</f>
        <v/>
      </c>
      <c r="AU16" t="str">
        <f ca="1">IF(AND(ISNUMBER($AU$690),$B$677=1),$AU$690,HLOOKUP(INDIRECT(ADDRESS(2,COLUMN())),OFFSET($BN$2,0,0,ROW()-1,60),ROW()-1,FALSE))</f>
        <v/>
      </c>
      <c r="AV16" t="str">
        <f ca="1">IF(AND(ISNUMBER($AV$690),$B$677=1),$AV$690,HLOOKUP(INDIRECT(ADDRESS(2,COLUMN())),OFFSET($BN$2,0,0,ROW()-1,60),ROW()-1,FALSE))</f>
        <v/>
      </c>
      <c r="AW16" t="str">
        <f ca="1">IF(AND(ISNUMBER($AW$690),$B$677=1),$AW$690,HLOOKUP(INDIRECT(ADDRESS(2,COLUMN())),OFFSET($BN$2,0,0,ROW()-1,60),ROW()-1,FALSE))</f>
        <v/>
      </c>
      <c r="AX16" t="str">
        <f ca="1">IF(AND(ISNUMBER($AX$690),$B$677=1),$AX$690,HLOOKUP(INDIRECT(ADDRESS(2,COLUMN())),OFFSET($BN$2,0,0,ROW()-1,60),ROW()-1,FALSE))</f>
        <v/>
      </c>
      <c r="AY16" t="str">
        <f ca="1">IF(AND(ISNUMBER($AY$690),$B$677=1),$AY$690,HLOOKUP(INDIRECT(ADDRESS(2,COLUMN())),OFFSET($BN$2,0,0,ROW()-1,60),ROW()-1,FALSE))</f>
        <v/>
      </c>
      <c r="AZ16" t="str">
        <f ca="1">IF(AND(ISNUMBER($AZ$690),$B$677=1),$AZ$690,HLOOKUP(INDIRECT(ADDRESS(2,COLUMN())),OFFSET($BN$2,0,0,ROW()-1,60),ROW()-1,FALSE))</f>
        <v/>
      </c>
      <c r="BA16" t="str">
        <f ca="1">IF(AND(ISNUMBER($BA$690),$B$677=1),$BA$690,HLOOKUP(INDIRECT(ADDRESS(2,COLUMN())),OFFSET($BN$2,0,0,ROW()-1,60),ROW()-1,FALSE))</f>
        <v/>
      </c>
      <c r="BB16" t="str">
        <f ca="1">IF(AND(ISNUMBER($BB$690),$B$677=1),$BB$690,HLOOKUP(INDIRECT(ADDRESS(2,COLUMN())),OFFSET($BN$2,0,0,ROW()-1,60),ROW()-1,FALSE))</f>
        <v/>
      </c>
      <c r="BC16" t="str">
        <f ca="1">IF(AND(ISNUMBER($BC$690),$B$677=1),$BC$690,HLOOKUP(INDIRECT(ADDRESS(2,COLUMN())),OFFSET($BN$2,0,0,ROW()-1,60),ROW()-1,FALSE))</f>
        <v/>
      </c>
      <c r="BD16" t="str">
        <f ca="1">IF(AND(ISNUMBER($BD$690),$B$677=1),$BD$690,HLOOKUP(INDIRECT(ADDRESS(2,COLUMN())),OFFSET($BN$2,0,0,ROW()-1,60),ROW()-1,FALSE))</f>
        <v/>
      </c>
      <c r="BE16" t="str">
        <f ca="1">IF(AND(ISNUMBER($BE$690),$B$677=1),$BE$690,HLOOKUP(INDIRECT(ADDRESS(2,COLUMN())),OFFSET($BN$2,0,0,ROW()-1,60),ROW()-1,FALSE))</f>
        <v/>
      </c>
      <c r="BF16" t="str">
        <f ca="1">IF(AND(ISNUMBER($BF$690),$B$677=1),$BF$690,HLOOKUP(INDIRECT(ADDRESS(2,COLUMN())),OFFSET($BN$2,0,0,ROW()-1,60),ROW()-1,FALSE))</f>
        <v/>
      </c>
      <c r="BG16" t="str">
        <f ca="1">IF(AND(ISNUMBER($BG$690),$B$677=1),$BG$690,HLOOKUP(INDIRECT(ADDRESS(2,COLUMN())),OFFSET($BN$2,0,0,ROW()-1,60),ROW()-1,FALSE))</f>
        <v/>
      </c>
      <c r="BH16" t="str">
        <f ca="1">IF(AND(ISNUMBER($BH$690),$B$677=1),$BH$690,HLOOKUP(INDIRECT(ADDRESS(2,COLUMN())),OFFSET($BN$2,0,0,ROW()-1,60),ROW()-1,FALSE))</f>
        <v/>
      </c>
      <c r="BI16" t="str">
        <f ca="1">IF(AND(ISNUMBER($BI$690),$B$677=1),$BI$690,HLOOKUP(INDIRECT(ADDRESS(2,COLUMN())),OFFSET($BN$2,0,0,ROW()-1,60),ROW()-1,FALSE))</f>
        <v/>
      </c>
      <c r="BJ16" t="str">
        <f ca="1">IF(AND(ISNUMBER($BJ$690),$B$677=1),$BJ$690,HLOOKUP(INDIRECT(ADDRESS(2,COLUMN())),OFFSET($BN$2,0,0,ROW()-1,60),ROW()-1,FALSE))</f>
        <v/>
      </c>
      <c r="BK16" t="str">
        <f ca="1">IF(AND(ISNUMBER($BK$690),$B$677=1),$BK$690,HLOOKUP(INDIRECT(ADDRESS(2,COLUMN())),OFFSET($BN$2,0,0,ROW()-1,60),ROW()-1,FALSE))</f>
        <v/>
      </c>
      <c r="BL16" t="str">
        <f ca="1">IF(AND(ISNUMBER($BL$690),$B$677=1),$BL$690,HLOOKUP(INDIRECT(ADDRESS(2,COLUMN())),OFFSET($BN$2,0,0,ROW()-1,60),ROW()-1,FALSE))</f>
        <v/>
      </c>
      <c r="BM16" t="str">
        <f ca="1">IF(AND(ISNUMBER($BM$690),$B$677=1),$BM$690,HLOOKUP(INDIRECT(ADDRESS(2,COLUMN())),OFFSET($BN$2,0,0,ROW()-1,60),ROW()-1,FALSE))</f>
        <v/>
      </c>
      <c r="BN16">
        <f>4.732869837</f>
        <v>4.732869837</v>
      </c>
      <c r="BO16">
        <f>4.533140987</f>
        <v>4.5331409870000003</v>
      </c>
      <c r="BP16">
        <f>5.399243526</f>
        <v>5.3992435260000002</v>
      </c>
      <c r="BQ16">
        <f>6.511330169</f>
        <v>6.5113301689999998</v>
      </c>
      <c r="BR16">
        <f>6.510078852</f>
        <v>6.5100788520000004</v>
      </c>
      <c r="BS16">
        <f>6.351274619</f>
        <v>6.3512746189999998</v>
      </c>
      <c r="BT16">
        <f>7.357585754</f>
        <v>7.3575857539999996</v>
      </c>
      <c r="BU16">
        <f>4.667703506</f>
        <v>4.6677035059999996</v>
      </c>
      <c r="BV16">
        <f>5.840218249</f>
        <v>5.8402182490000003</v>
      </c>
      <c r="BW16">
        <f>5.217282134</f>
        <v>5.2172821340000004</v>
      </c>
      <c r="BX16">
        <f>2.984252473</f>
        <v>2.9842524730000002</v>
      </c>
      <c r="BY16">
        <f>3.524593565</f>
        <v>3.524593565</v>
      </c>
      <c r="BZ16">
        <f>5.236604423</f>
        <v>5.2366044230000002</v>
      </c>
      <c r="CA16">
        <f>8.261817203</f>
        <v>8.2618172029999997</v>
      </c>
      <c r="CB16">
        <f>14.12647177</f>
        <v>14.12647177</v>
      </c>
      <c r="CC16">
        <f>15.00204847</f>
        <v>15.00204847</v>
      </c>
      <c r="CD16">
        <f>20.65877311</f>
        <v>20.658773109999998</v>
      </c>
      <c r="CE16">
        <f>13.62641845</f>
        <v>13.626418449999999</v>
      </c>
      <c r="CF16" t="str">
        <f>""</f>
        <v/>
      </c>
      <c r="CG16" t="str">
        <f>""</f>
        <v/>
      </c>
      <c r="CH16" t="str">
        <f>""</f>
        <v/>
      </c>
      <c r="CI16" t="str">
        <f>""</f>
        <v/>
      </c>
      <c r="CJ16" t="str">
        <f>""</f>
        <v/>
      </c>
      <c r="CK16" t="str">
        <f>""</f>
        <v/>
      </c>
      <c r="CL16" t="str">
        <f>""</f>
        <v/>
      </c>
      <c r="CM16" t="str">
        <f>""</f>
        <v/>
      </c>
      <c r="CN16" t="str">
        <f>""</f>
        <v/>
      </c>
      <c r="CO16" t="str">
        <f>""</f>
        <v/>
      </c>
      <c r="CP16" t="str">
        <f>""</f>
        <v/>
      </c>
      <c r="CQ16" t="str">
        <f>""</f>
        <v/>
      </c>
      <c r="CR16" t="str">
        <f>""</f>
        <v/>
      </c>
      <c r="CS16" t="str">
        <f>""</f>
        <v/>
      </c>
      <c r="CT16" t="str">
        <f>""</f>
        <v/>
      </c>
      <c r="CU16" t="str">
        <f>""</f>
        <v/>
      </c>
      <c r="CV16" t="str">
        <f>""</f>
        <v/>
      </c>
      <c r="CW16" t="str">
        <f>""</f>
        <v/>
      </c>
      <c r="CX16" t="str">
        <f>""</f>
        <v/>
      </c>
      <c r="CY16" t="str">
        <f>""</f>
        <v/>
      </c>
      <c r="CZ16" t="str">
        <f>""</f>
        <v/>
      </c>
      <c r="DA16" t="str">
        <f>""</f>
        <v/>
      </c>
      <c r="DB16" t="str">
        <f>""</f>
        <v/>
      </c>
      <c r="DC16" t="str">
        <f>""</f>
        <v/>
      </c>
      <c r="DD16" t="str">
        <f>""</f>
        <v/>
      </c>
      <c r="DE16" t="str">
        <f>""</f>
        <v/>
      </c>
      <c r="DF16" t="str">
        <f>""</f>
        <v/>
      </c>
      <c r="DG16" t="str">
        <f>""</f>
        <v/>
      </c>
      <c r="DH16" t="str">
        <f>""</f>
        <v/>
      </c>
      <c r="DI16" t="str">
        <f>""</f>
        <v/>
      </c>
      <c r="DJ16" t="str">
        <f>""</f>
        <v/>
      </c>
      <c r="DK16" t="str">
        <f>""</f>
        <v/>
      </c>
      <c r="DL16" t="str">
        <f>""</f>
        <v/>
      </c>
      <c r="DM16" t="str">
        <f>""</f>
        <v/>
      </c>
      <c r="DN16" t="str">
        <f>""</f>
        <v/>
      </c>
      <c r="DO16" t="str">
        <f>""</f>
        <v/>
      </c>
      <c r="DP16" t="str">
        <f>""</f>
        <v/>
      </c>
      <c r="DQ16" t="str">
        <f>""</f>
        <v/>
      </c>
      <c r="DR16" t="str">
        <f>""</f>
        <v/>
      </c>
      <c r="DS16" t="str">
        <f>""</f>
        <v/>
      </c>
      <c r="DT16" t="str">
        <f>""</f>
        <v/>
      </c>
      <c r="DU16" t="str">
        <f>""</f>
        <v/>
      </c>
    </row>
    <row r="17" spans="1:125" x14ac:dyDescent="0.25">
      <c r="A17" t="str">
        <f>"    Ford Motor Co"</f>
        <v xml:space="preserve">    Ford Motor Co</v>
      </c>
      <c r="B17" t="str">
        <f>"F US Equity"</f>
        <v>F US Equity</v>
      </c>
      <c r="C17" t="str">
        <f t="shared" si="0"/>
        <v>RR900</v>
      </c>
      <c r="D17" t="str">
        <f t="shared" si="1"/>
        <v>PE_RATIO</v>
      </c>
      <c r="E17" t="str">
        <f t="shared" si="2"/>
        <v>Dynamic</v>
      </c>
      <c r="F17">
        <f ca="1">IF(AND(ISNUMBER($F$691),$B$677=1),$F$691,HLOOKUP(INDIRECT(ADDRESS(2,COLUMN())),OFFSET($BN$2,0,0,ROW()-1,60),ROW()-1,FALSE))</f>
        <v>6.8744524509999998</v>
      </c>
      <c r="G17">
        <f ca="1">IF(AND(ISNUMBER($G$691),$B$677=1),$G$691,HLOOKUP(INDIRECT(ADDRESS(2,COLUMN())),OFFSET($BN$2,0,0,ROW()-1,60),ROW()-1,FALSE))</f>
        <v>6.0378371130000001</v>
      </c>
      <c r="H17">
        <f ca="1">IF(AND(ISNUMBER($H$691),$B$677=1),$H$691,HLOOKUP(INDIRECT(ADDRESS(2,COLUMN())),OFFSET($BN$2,0,0,ROW()-1,60),ROW()-1,FALSE))</f>
        <v>7.257981622</v>
      </c>
      <c r="I17">
        <f ca="1">IF(AND(ISNUMBER($I$691),$B$677=1),$I$691,HLOOKUP(INDIRECT(ADDRESS(2,COLUMN())),OFFSET($BN$2,0,0,ROW()-1,60),ROW()-1,FALSE))</f>
        <v>7.9024578290000003</v>
      </c>
      <c r="J17">
        <f ca="1">IF(AND(ISNUMBER($J$691),$B$677=1),$J$691,HLOOKUP(INDIRECT(ADDRESS(2,COLUMN())),OFFSET($BN$2,0,0,ROW()-1,60),ROW()-1,FALSE))</f>
        <v>6.5755037559999998</v>
      </c>
      <c r="K17">
        <f ca="1">IF(AND(ISNUMBER($K$691),$B$677=1),$K$691,HLOOKUP(INDIRECT(ADDRESS(2,COLUMN())),OFFSET($BN$2,0,0,ROW()-1,60),ROW()-1,FALSE))</f>
        <v>7.5787133420000004</v>
      </c>
      <c r="L17">
        <f ca="1">IF(AND(ISNUMBER($L$691),$B$677=1),$L$691,HLOOKUP(INDIRECT(ADDRESS(2,COLUMN())),OFFSET($BN$2,0,0,ROW()-1,60),ROW()-1,FALSE))</f>
        <v>7.3857339949999998</v>
      </c>
      <c r="M17">
        <f ca="1">IF(AND(ISNUMBER($M$691),$B$677=1),$M$691,HLOOKUP(INDIRECT(ADDRESS(2,COLUMN())),OFFSET($BN$2,0,0,ROW()-1,60),ROW()-1,FALSE))</f>
        <v>7.7442554790000004</v>
      </c>
      <c r="N17">
        <f ca="1">IF(AND(ISNUMBER($N$691),$B$677=1),$N$691,HLOOKUP(INDIRECT(ADDRESS(2,COLUMN())),OFFSET($BN$2,0,0,ROW()-1,60),ROW()-1,FALSE))</f>
        <v>8.2829171240000008</v>
      </c>
      <c r="O17">
        <f ca="1">IF(AND(ISNUMBER($O$691),$B$677=1),$O$691,HLOOKUP(INDIRECT(ADDRESS(2,COLUMN())),OFFSET($BN$2,0,0,ROW()-1,60),ROW()-1,FALSE))</f>
        <v>7.3622998050000001</v>
      </c>
      <c r="P17">
        <f ca="1">IF(AND(ISNUMBER($P$691),$B$677=1),$P$691,HLOOKUP(INDIRECT(ADDRESS(2,COLUMN())),OFFSET($BN$2,0,0,ROW()-1,60),ROW()-1,FALSE))</f>
        <v>6.1746773770000001</v>
      </c>
      <c r="Q17">
        <f ca="1">IF(AND(ISNUMBER($Q$691),$B$677=1),$Q$691,HLOOKUP(INDIRECT(ADDRESS(2,COLUMN())),OFFSET($BN$2,0,0,ROW()-1,60),ROW()-1,FALSE))</f>
        <v>5.6184546339999999</v>
      </c>
      <c r="R17">
        <f ca="1">IF(AND(ISNUMBER($R$691),$B$677=1),$R$691,HLOOKUP(INDIRECT(ADDRESS(2,COLUMN())),OFFSET($BN$2,0,0,ROW()-1,60),ROW()-1,FALSE))</f>
        <v>5.9762173110000001</v>
      </c>
      <c r="S17">
        <f ca="1">IF(AND(ISNUMBER($S$691),$B$677=1),$S$691,HLOOKUP(INDIRECT(ADDRESS(2,COLUMN())),OFFSET($BN$2,0,0,ROW()-1,60),ROW()-1,FALSE))</f>
        <v>7.3968807109999997</v>
      </c>
      <c r="T17">
        <f ca="1">IF(AND(ISNUMBER($T$691),$B$677=1),$T$691,HLOOKUP(INDIRECT(ADDRESS(2,COLUMN())),OFFSET($BN$2,0,0,ROW()-1,60),ROW()-1,FALSE))</f>
        <v>6.9159007109999999</v>
      </c>
      <c r="U17">
        <f ca="1">IF(AND(ISNUMBER($U$691),$B$677=1),$U$691,HLOOKUP(INDIRECT(ADDRESS(2,COLUMN())),OFFSET($BN$2,0,0,ROW()-1,60),ROW()-1,FALSE))</f>
        <v>9.0965727560000005</v>
      </c>
      <c r="V17">
        <f ca="1">IF(AND(ISNUMBER($V$691),$B$677=1),$V$691,HLOOKUP(INDIRECT(ADDRESS(2,COLUMN())),OFFSET($BN$2,0,0,ROW()-1,60),ROW()-1,FALSE))</f>
        <v>10.77497722</v>
      </c>
      <c r="W17">
        <f ca="1">IF(AND(ISNUMBER($W$691),$B$677=1),$W$691,HLOOKUP(INDIRECT(ADDRESS(2,COLUMN())),OFFSET($BN$2,0,0,ROW()-1,60),ROW()-1,FALSE))</f>
        <v>10.58231402</v>
      </c>
      <c r="X17">
        <f ca="1">IF(AND(ISNUMBER($X$691),$B$677=1),$X$691,HLOOKUP(INDIRECT(ADDRESS(2,COLUMN())),OFFSET($BN$2,0,0,ROW()-1,60),ROW()-1,FALSE))</f>
        <v>9.2103567000000002</v>
      </c>
      <c r="Y17">
        <f ca="1">IF(AND(ISNUMBER($Y$691),$B$677=1),$Y$691,HLOOKUP(INDIRECT(ADDRESS(2,COLUMN())),OFFSET($BN$2,0,0,ROW()-1,60),ROW()-1,FALSE))</f>
        <v>10.082850150000001</v>
      </c>
      <c r="Z17">
        <f ca="1">IF(AND(ISNUMBER($Z$691),$B$677=1),$Z$691,HLOOKUP(INDIRECT(ADDRESS(2,COLUMN())),OFFSET($BN$2,0,0,ROW()-1,60),ROW()-1,FALSE))</f>
        <v>9.2312990750000008</v>
      </c>
      <c r="AA17">
        <f ca="1">IF(AND(ISNUMBER($AA$691),$B$677=1),$AA$691,HLOOKUP(INDIRECT(ADDRESS(2,COLUMN())),OFFSET($BN$2,0,0,ROW()-1,60),ROW()-1,FALSE))</f>
        <v>8.4141071259999993</v>
      </c>
      <c r="AB17">
        <f ca="1">IF(AND(ISNUMBER($AB$691),$B$677=1),$AB$691,HLOOKUP(INDIRECT(ADDRESS(2,COLUMN())),OFFSET($BN$2,0,0,ROW()-1,60),ROW()-1,FALSE))</f>
        <v>11.480329640000001</v>
      </c>
      <c r="AC17">
        <f ca="1">IF(AND(ISNUMBER($AC$691),$B$677=1),$AC$691,HLOOKUP(INDIRECT(ADDRESS(2,COLUMN())),OFFSET($BN$2,0,0,ROW()-1,60),ROW()-1,FALSE))</f>
        <v>10.345044339999999</v>
      </c>
      <c r="AD17">
        <f ca="1">IF(AND(ISNUMBER($AD$691),$B$677=1),$AD$691,HLOOKUP(INDIRECT(ADDRESS(2,COLUMN())),OFFSET($BN$2,0,0,ROW()-1,60),ROW()-1,FALSE))</f>
        <v>9.0417529590000001</v>
      </c>
      <c r="AE17">
        <f ca="1">IF(AND(ISNUMBER($AE$691),$B$677=1),$AE$691,HLOOKUP(INDIRECT(ADDRESS(2,COLUMN())),OFFSET($BN$2,0,0,ROW()-1,60),ROW()-1,FALSE))</f>
        <v>8.9814607389999992</v>
      </c>
      <c r="AF17">
        <f ca="1">IF(AND(ISNUMBER($AF$691),$B$677=1),$AF$691,HLOOKUP(INDIRECT(ADDRESS(2,COLUMN())),OFFSET($BN$2,0,0,ROW()-1,60),ROW()-1,FALSE))</f>
        <v>7.7657607139999998</v>
      </c>
      <c r="AG17">
        <f ca="1">IF(AND(ISNUMBER($AG$691),$B$677=1),$AG$691,HLOOKUP(INDIRECT(ADDRESS(2,COLUMN())),OFFSET($BN$2,0,0,ROW()-1,60),ROW()-1,FALSE))</f>
        <v>7.1335005999999996</v>
      </c>
      <c r="AH17">
        <f ca="1">IF(AND(ISNUMBER($AH$691),$B$677=1),$AH$691,HLOOKUP(INDIRECT(ADDRESS(2,COLUMN())),OFFSET($BN$2,0,0,ROW()-1,60),ROW()-1,FALSE))</f>
        <v>7.6880932849999999</v>
      </c>
      <c r="AI17">
        <f ca="1">IF(AND(ISNUMBER($AI$691),$B$677=1),$AI$691,HLOOKUP(INDIRECT(ADDRESS(2,COLUMN())),OFFSET($BN$2,0,0,ROW()-1,60),ROW()-1,FALSE))</f>
        <v>5.7728883489999996</v>
      </c>
      <c r="AJ17">
        <f ca="1">IF(AND(ISNUMBER($AJ$691),$B$677=1),$AJ$691,HLOOKUP(INDIRECT(ADDRESS(2,COLUMN())),OFFSET($BN$2,0,0,ROW()-1,60),ROW()-1,FALSE))</f>
        <v>4.7841019390000001</v>
      </c>
      <c r="AK17">
        <f ca="1">IF(AND(ISNUMBER($AK$691),$B$677=1),$AK$691,HLOOKUP(INDIRECT(ADDRESS(2,COLUMN())),OFFSET($BN$2,0,0,ROW()-1,60),ROW()-1,FALSE))</f>
        <v>6.7805844190000002</v>
      </c>
      <c r="AL17">
        <f ca="1">IF(AND(ISNUMBER($AL$691),$B$677=1),$AL$691,HLOOKUP(INDIRECT(ADDRESS(2,COLUMN())),OFFSET($BN$2,0,0,ROW()-1,60),ROW()-1,FALSE))</f>
        <v>7.2177105480000003</v>
      </c>
      <c r="AM17">
        <f ca="1">IF(AND(ISNUMBER($AM$691),$B$677=1),$AM$691,HLOOKUP(INDIRECT(ADDRESS(2,COLUMN())),OFFSET($BN$2,0,0,ROW()-1,60),ROW()-1,FALSE))</f>
        <v>8.7975033739999997</v>
      </c>
      <c r="AN17">
        <f ca="1">IF(AND(ISNUMBER($AN$691),$B$677=1),$AN$691,HLOOKUP(INDIRECT(ADDRESS(2,COLUMN())),OFFSET($BN$2,0,0,ROW()-1,60),ROW()-1,FALSE))</f>
        <v>5.7798145639999996</v>
      </c>
      <c r="AO17">
        <f ca="1">IF(AND(ISNUMBER($AO$691),$B$677=1),$AO$691,HLOOKUP(INDIRECT(ADDRESS(2,COLUMN())),OFFSET($BN$2,0,0,ROW()-1,60),ROW()-1,FALSE))</f>
        <v>5.2750095899999998</v>
      </c>
      <c r="AP17">
        <f ca="1">IF(AND(ISNUMBER($AP$691),$B$677=1),$AP$691,HLOOKUP(INDIRECT(ADDRESS(2,COLUMN())),OFFSET($BN$2,0,0,ROW()-1,60),ROW()-1,FALSE))</f>
        <v>12.37795601</v>
      </c>
      <c r="AQ17" t="str">
        <f ca="1">IF(AND(ISNUMBER($AQ$691),$B$677=1),$AQ$691,HLOOKUP(INDIRECT(ADDRESS(2,COLUMN())),OFFSET($BN$2,0,0,ROW()-1,60),ROW()-1,FALSE))</f>
        <v/>
      </c>
      <c r="AR17" t="str">
        <f ca="1">IF(AND(ISNUMBER($AR$691),$B$677=1),$AR$691,HLOOKUP(INDIRECT(ADDRESS(2,COLUMN())),OFFSET($BN$2,0,0,ROW()-1,60),ROW()-1,FALSE))</f>
        <v/>
      </c>
      <c r="AS17" t="str">
        <f ca="1">IF(AND(ISNUMBER($AS$691),$B$677=1),$AS$691,HLOOKUP(INDIRECT(ADDRESS(2,COLUMN())),OFFSET($BN$2,0,0,ROW()-1,60),ROW()-1,FALSE))</f>
        <v/>
      </c>
      <c r="AT17" t="str">
        <f ca="1">IF(AND(ISNUMBER($AT$691),$B$677=1),$AT$691,HLOOKUP(INDIRECT(ADDRESS(2,COLUMN())),OFFSET($BN$2,0,0,ROW()-1,60),ROW()-1,FALSE))</f>
        <v/>
      </c>
      <c r="AU17" t="str">
        <f ca="1">IF(AND(ISNUMBER($AU$691),$B$677=1),$AU$691,HLOOKUP(INDIRECT(ADDRESS(2,COLUMN())),OFFSET($BN$2,0,0,ROW()-1,60),ROW()-1,FALSE))</f>
        <v/>
      </c>
      <c r="AV17" t="str">
        <f ca="1">IF(AND(ISNUMBER($AV$691),$B$677=1),$AV$691,HLOOKUP(INDIRECT(ADDRESS(2,COLUMN())),OFFSET($BN$2,0,0,ROW()-1,60),ROW()-1,FALSE))</f>
        <v/>
      </c>
      <c r="AW17" t="str">
        <f ca="1">IF(AND(ISNUMBER($AW$691),$B$677=1),$AW$691,HLOOKUP(INDIRECT(ADDRESS(2,COLUMN())),OFFSET($BN$2,0,0,ROW()-1,60),ROW()-1,FALSE))</f>
        <v/>
      </c>
      <c r="AX17" t="str">
        <f ca="1">IF(AND(ISNUMBER($AX$691),$B$677=1),$AX$691,HLOOKUP(INDIRECT(ADDRESS(2,COLUMN())),OFFSET($BN$2,0,0,ROW()-1,60),ROW()-1,FALSE))</f>
        <v/>
      </c>
      <c r="AY17" t="str">
        <f ca="1">IF(AND(ISNUMBER($AY$691),$B$677=1),$AY$691,HLOOKUP(INDIRECT(ADDRESS(2,COLUMN())),OFFSET($BN$2,0,0,ROW()-1,60),ROW()-1,FALSE))</f>
        <v/>
      </c>
      <c r="AZ17" t="str">
        <f ca="1">IF(AND(ISNUMBER($AZ$691),$B$677=1),$AZ$691,HLOOKUP(INDIRECT(ADDRESS(2,COLUMN())),OFFSET($BN$2,0,0,ROW()-1,60),ROW()-1,FALSE))</f>
        <v/>
      </c>
      <c r="BA17" t="str">
        <f ca="1">IF(AND(ISNUMBER($BA$691),$B$677=1),$BA$691,HLOOKUP(INDIRECT(ADDRESS(2,COLUMN())),OFFSET($BN$2,0,0,ROW()-1,60),ROW()-1,FALSE))</f>
        <v/>
      </c>
      <c r="BB17" t="str">
        <f ca="1">IF(AND(ISNUMBER($BB$691),$B$677=1),$BB$691,HLOOKUP(INDIRECT(ADDRESS(2,COLUMN())),OFFSET($BN$2,0,0,ROW()-1,60),ROW()-1,FALSE))</f>
        <v/>
      </c>
      <c r="BC17" t="str">
        <f ca="1">IF(AND(ISNUMBER($BC$691),$B$677=1),$BC$691,HLOOKUP(INDIRECT(ADDRESS(2,COLUMN())),OFFSET($BN$2,0,0,ROW()-1,60),ROW()-1,FALSE))</f>
        <v/>
      </c>
      <c r="BD17">
        <f ca="1">IF(AND(ISNUMBER($BD$691),$B$677=1),$BD$691,HLOOKUP(INDIRECT(ADDRESS(2,COLUMN())),OFFSET($BN$2,0,0,ROW()-1,60),ROW()-1,FALSE))</f>
        <v>816</v>
      </c>
      <c r="BE17">
        <f ca="1">IF(AND(ISNUMBER($BE$691),$B$677=1),$BE$691,HLOOKUP(INDIRECT(ADDRESS(2,COLUMN())),OFFSET($BN$2,0,0,ROW()-1,60),ROW()-1,FALSE))</f>
        <v>693</v>
      </c>
      <c r="BF17">
        <f ca="1">IF(AND(ISNUMBER($BF$691),$B$677=1),$BF$691,HLOOKUP(INDIRECT(ADDRESS(2,COLUMN())),OFFSET($BN$2,0,0,ROW()-1,60),ROW()-1,FALSE))</f>
        <v>15.01886792</v>
      </c>
      <c r="BG17">
        <f ca="1">IF(AND(ISNUMBER($BG$691),$B$677=1),$BG$691,HLOOKUP(INDIRECT(ADDRESS(2,COLUMN())),OFFSET($BN$2,0,0,ROW()-1,60),ROW()-1,FALSE))</f>
        <v>7.9587628869999998</v>
      </c>
      <c r="BH17">
        <f ca="1">IF(AND(ISNUMBER($BH$691),$B$677=1),$BH$691,HLOOKUP(INDIRECT(ADDRESS(2,COLUMN())),OFFSET($BN$2,0,0,ROW()-1,60),ROW()-1,FALSE))</f>
        <v>10.164948450000001</v>
      </c>
      <c r="BI17">
        <f ca="1">IF(AND(ISNUMBER($BI$691),$B$677=1),$BI$691,HLOOKUP(INDIRECT(ADDRESS(2,COLUMN())),OFFSET($BN$2,0,0,ROW()-1,60),ROW()-1,FALSE))</f>
        <v>6.8724832210000004</v>
      </c>
      <c r="BJ17">
        <f ca="1">IF(AND(ISNUMBER($BJ$691),$B$677=1),$BJ$691,HLOOKUP(INDIRECT(ADDRESS(2,COLUMN())),OFFSET($BN$2,0,0,ROW()-1,60),ROW()-1,FALSE))</f>
        <v>6.9509202449999998</v>
      </c>
      <c r="BK17">
        <f ca="1">IF(AND(ISNUMBER($BK$691),$B$677=1),$BK$691,HLOOKUP(INDIRECT(ADDRESS(2,COLUMN())),OFFSET($BN$2,0,0,ROW()-1,60),ROW()-1,FALSE))</f>
        <v>6.9383886260000001</v>
      </c>
      <c r="BL17">
        <f ca="1">IF(AND(ISNUMBER($BL$691),$B$677=1),$BL$691,HLOOKUP(INDIRECT(ADDRESS(2,COLUMN())),OFFSET($BN$2,0,0,ROW()-1,60),ROW()-1,FALSE))</f>
        <v>5.5643564359999997</v>
      </c>
      <c r="BM17">
        <f ca="1">IF(AND(ISNUMBER($BM$691),$B$677=1),$BM$691,HLOOKUP(INDIRECT(ADDRESS(2,COLUMN())),OFFSET($BN$2,0,0,ROW()-1,60),ROW()-1,FALSE))</f>
        <v>6.5618448640000002</v>
      </c>
      <c r="BN17">
        <f>6.874452451</f>
        <v>6.8744524509999998</v>
      </c>
      <c r="BO17">
        <f>6.037837113</f>
        <v>6.0378371130000001</v>
      </c>
      <c r="BP17">
        <f>7.257981622</f>
        <v>7.257981622</v>
      </c>
      <c r="BQ17">
        <f>7.902457829</f>
        <v>7.9024578290000003</v>
      </c>
      <c r="BR17">
        <f>6.575503756</f>
        <v>6.5755037559999998</v>
      </c>
      <c r="BS17">
        <f>7.578713342</f>
        <v>7.5787133420000004</v>
      </c>
      <c r="BT17">
        <f>7.385733995</f>
        <v>7.3857339949999998</v>
      </c>
      <c r="BU17">
        <f>7.744255479</f>
        <v>7.7442554790000004</v>
      </c>
      <c r="BV17">
        <f>8.282917124</f>
        <v>8.2829171240000008</v>
      </c>
      <c r="BW17">
        <f>7.362299805</f>
        <v>7.3622998050000001</v>
      </c>
      <c r="BX17">
        <f>6.174677377</f>
        <v>6.1746773770000001</v>
      </c>
      <c r="BY17">
        <f>5.618454634</f>
        <v>5.6184546339999999</v>
      </c>
      <c r="BZ17">
        <f>5.976217311</f>
        <v>5.9762173110000001</v>
      </c>
      <c r="CA17">
        <f>7.396880711</f>
        <v>7.3968807109999997</v>
      </c>
      <c r="CB17">
        <f>6.915900711</f>
        <v>6.9159007109999999</v>
      </c>
      <c r="CC17">
        <f>9.096572756</f>
        <v>9.0965727560000005</v>
      </c>
      <c r="CD17">
        <f>10.77497722</f>
        <v>10.77497722</v>
      </c>
      <c r="CE17">
        <f>10.58231402</f>
        <v>10.58231402</v>
      </c>
      <c r="CF17">
        <f>9.2103567</f>
        <v>9.2103567000000002</v>
      </c>
      <c r="CG17">
        <f>10.08285015</f>
        <v>10.082850150000001</v>
      </c>
      <c r="CH17">
        <f>9.231299075</f>
        <v>9.2312990750000008</v>
      </c>
      <c r="CI17">
        <f>8.414107126</f>
        <v>8.4141071259999993</v>
      </c>
      <c r="CJ17">
        <f>11.48032964</f>
        <v>11.480329640000001</v>
      </c>
      <c r="CK17">
        <f>10.34504434</f>
        <v>10.345044339999999</v>
      </c>
      <c r="CL17">
        <f>9.041752959</f>
        <v>9.0417529590000001</v>
      </c>
      <c r="CM17">
        <f>8.981460739</f>
        <v>8.9814607389999992</v>
      </c>
      <c r="CN17">
        <f>7.765760714</f>
        <v>7.7657607139999998</v>
      </c>
      <c r="CO17">
        <f>7.1335006</f>
        <v>7.1335005999999996</v>
      </c>
      <c r="CP17">
        <f>7.688093285</f>
        <v>7.6880932849999999</v>
      </c>
      <c r="CQ17">
        <f>5.772888349</f>
        <v>5.7728883489999996</v>
      </c>
      <c r="CR17">
        <f>4.784101939</f>
        <v>4.7841019390000001</v>
      </c>
      <c r="CS17">
        <f>6.780584419</f>
        <v>6.7805844190000002</v>
      </c>
      <c r="CT17">
        <f>7.217710548</f>
        <v>7.2177105480000003</v>
      </c>
      <c r="CU17">
        <f>8.797503374</f>
        <v>8.7975033739999997</v>
      </c>
      <c r="CV17">
        <f>5.779814564</f>
        <v>5.7798145639999996</v>
      </c>
      <c r="CW17">
        <f>5.27500959</f>
        <v>5.2750095899999998</v>
      </c>
      <c r="CX17">
        <f>12.37795601</f>
        <v>12.37795601</v>
      </c>
      <c r="CY17" t="str">
        <f>""</f>
        <v/>
      </c>
      <c r="CZ17" t="str">
        <f>""</f>
        <v/>
      </c>
      <c r="DA17" t="str">
        <f>""</f>
        <v/>
      </c>
      <c r="DB17" t="str">
        <f>""</f>
        <v/>
      </c>
      <c r="DC17" t="str">
        <f>""</f>
        <v/>
      </c>
      <c r="DD17" t="str">
        <f>""</f>
        <v/>
      </c>
      <c r="DE17" t="str">
        <f>""</f>
        <v/>
      </c>
      <c r="DF17" t="str">
        <f>""</f>
        <v/>
      </c>
      <c r="DG17" t="str">
        <f>""</f>
        <v/>
      </c>
      <c r="DH17" t="str">
        <f>""</f>
        <v/>
      </c>
      <c r="DI17" t="str">
        <f>""</f>
        <v/>
      </c>
      <c r="DJ17" t="str">
        <f>""</f>
        <v/>
      </c>
      <c r="DK17" t="str">
        <f>""</f>
        <v/>
      </c>
      <c r="DL17">
        <f>816</f>
        <v>816</v>
      </c>
      <c r="DM17">
        <f>693</f>
        <v>693</v>
      </c>
      <c r="DN17">
        <f>15.01886792</f>
        <v>15.01886792</v>
      </c>
      <c r="DO17">
        <f>7.958762887</f>
        <v>7.9587628869999998</v>
      </c>
      <c r="DP17">
        <f>10.16494845</f>
        <v>10.164948450000001</v>
      </c>
      <c r="DQ17">
        <f>6.872483221</f>
        <v>6.8724832210000004</v>
      </c>
      <c r="DR17">
        <f>6.950920245</f>
        <v>6.9509202449999998</v>
      </c>
      <c r="DS17">
        <f>6.938388626</f>
        <v>6.9383886260000001</v>
      </c>
      <c r="DT17">
        <f>5.564356436</f>
        <v>5.5643564359999997</v>
      </c>
      <c r="DU17">
        <f>6.561844864</f>
        <v>6.5618448640000002</v>
      </c>
    </row>
    <row r="18" spans="1:125" x14ac:dyDescent="0.25">
      <c r="A18" t="str">
        <f>"    Ford Otomotiv Sanayi AS"</f>
        <v xml:space="preserve">    Ford Otomotiv Sanayi AS</v>
      </c>
      <c r="B18" t="str">
        <f>"FROTOTRY EO Equity"</f>
        <v>FROTOTRY EO Equity</v>
      </c>
      <c r="C18" t="str">
        <f t="shared" si="0"/>
        <v>RR900</v>
      </c>
      <c r="D18" t="str">
        <f t="shared" si="1"/>
        <v>PE_RATIO</v>
      </c>
      <c r="E18" t="str">
        <f t="shared" si="2"/>
        <v>Dynamic</v>
      </c>
      <c r="F18">
        <f ca="1">IF(AND(ISNUMBER($F$692),$B$677=1),$F$692,HLOOKUP(INDIRECT(ADDRESS(2,COLUMN())),OFFSET($BN$2,0,0,ROW()-1,60),ROW()-1,FALSE))</f>
        <v>11.49758355</v>
      </c>
      <c r="G18">
        <f ca="1">IF(AND(ISNUMBER($G$692),$B$677=1),$G$692,HLOOKUP(INDIRECT(ADDRESS(2,COLUMN())),OFFSET($BN$2,0,0,ROW()-1,60),ROW()-1,FALSE))</f>
        <v>10.423919809999999</v>
      </c>
      <c r="H18">
        <f ca="1">IF(AND(ISNUMBER($H$692),$B$677=1),$H$692,HLOOKUP(INDIRECT(ADDRESS(2,COLUMN())),OFFSET($BN$2,0,0,ROW()-1,60),ROW()-1,FALSE))</f>
        <v>12.95381647</v>
      </c>
      <c r="I18">
        <f ca="1">IF(AND(ISNUMBER($I$692),$B$677=1),$I$692,HLOOKUP(INDIRECT(ADDRESS(2,COLUMN())),OFFSET($BN$2,0,0,ROW()-1,60),ROW()-1,FALSE))</f>
        <v>12.12159301</v>
      </c>
      <c r="J18">
        <f ca="1">IF(AND(ISNUMBER($J$692),$B$677=1),$J$692,HLOOKUP(INDIRECT(ADDRESS(2,COLUMN())),OFFSET($BN$2,0,0,ROW()-1,60),ROW()-1,FALSE))</f>
        <v>13.24967223</v>
      </c>
      <c r="K18">
        <f ca="1">IF(AND(ISNUMBER($K$692),$B$677=1),$K$692,HLOOKUP(INDIRECT(ADDRESS(2,COLUMN())),OFFSET($BN$2,0,0,ROW()-1,60),ROW()-1,FALSE))</f>
        <v>14.189645029999999</v>
      </c>
      <c r="L18">
        <f ca="1">IF(AND(ISNUMBER($L$692),$B$677=1),$L$692,HLOOKUP(INDIRECT(ADDRESS(2,COLUMN())),OFFSET($BN$2,0,0,ROW()-1,60),ROW()-1,FALSE))</f>
        <v>12.335889959999999</v>
      </c>
      <c r="M18">
        <f ca="1">IF(AND(ISNUMBER($M$692),$B$677=1),$M$692,HLOOKUP(INDIRECT(ADDRESS(2,COLUMN())),OFFSET($BN$2,0,0,ROW()-1,60),ROW()-1,FALSE))</f>
        <v>13.39862151</v>
      </c>
      <c r="N18">
        <f ca="1">IF(AND(ISNUMBER($N$692),$B$677=1),$N$692,HLOOKUP(INDIRECT(ADDRESS(2,COLUMN())),OFFSET($BN$2,0,0,ROW()-1,60),ROW()-1,FALSE))</f>
        <v>12.20978611</v>
      </c>
      <c r="O18">
        <f ca="1">IF(AND(ISNUMBER($O$692),$B$677=1),$O$692,HLOOKUP(INDIRECT(ADDRESS(2,COLUMN())),OFFSET($BN$2,0,0,ROW()-1,60),ROW()-1,FALSE))</f>
        <v>11.243461440000001</v>
      </c>
      <c r="P18">
        <f ca="1">IF(AND(ISNUMBER($P$692),$B$677=1),$P$692,HLOOKUP(INDIRECT(ADDRESS(2,COLUMN())),OFFSET($BN$2,0,0,ROW()-1,60),ROW()-1,FALSE))</f>
        <v>12.051137170000001</v>
      </c>
      <c r="Q18">
        <f ca="1">IF(AND(ISNUMBER($Q$692),$B$677=1),$Q$692,HLOOKUP(INDIRECT(ADDRESS(2,COLUMN())),OFFSET($BN$2,0,0,ROW()-1,60),ROW()-1,FALSE))</f>
        <v>11.946055530000001</v>
      </c>
      <c r="R18">
        <f ca="1">IF(AND(ISNUMBER($R$692),$B$677=1),$R$692,HLOOKUP(INDIRECT(ADDRESS(2,COLUMN())),OFFSET($BN$2,0,0,ROW()-1,60),ROW()-1,FALSE))</f>
        <v>15.99817374</v>
      </c>
      <c r="S18">
        <f ca="1">IF(AND(ISNUMBER($S$692),$B$677=1),$S$692,HLOOKUP(INDIRECT(ADDRESS(2,COLUMN())),OFFSET($BN$2,0,0,ROW()-1,60),ROW()-1,FALSE))</f>
        <v>12.608707239999999</v>
      </c>
      <c r="T18">
        <f ca="1">IF(AND(ISNUMBER($T$692),$B$677=1),$T$692,HLOOKUP(INDIRECT(ADDRESS(2,COLUMN())),OFFSET($BN$2,0,0,ROW()-1,60),ROW()-1,FALSE))</f>
        <v>16.73831813</v>
      </c>
      <c r="U18">
        <f ca="1">IF(AND(ISNUMBER($U$692),$B$677=1),$U$692,HLOOKUP(INDIRECT(ADDRESS(2,COLUMN())),OFFSET($BN$2,0,0,ROW()-1,60),ROW()-1,FALSE))</f>
        <v>19.381479129999999</v>
      </c>
      <c r="V18">
        <f ca="1">IF(AND(ISNUMBER($V$692),$B$677=1),$V$692,HLOOKUP(INDIRECT(ADDRESS(2,COLUMN())),OFFSET($BN$2,0,0,ROW()-1,60),ROW()-1,FALSE))</f>
        <v>18.851449370000001</v>
      </c>
      <c r="W18">
        <f ca="1">IF(AND(ISNUMBER($W$692),$B$677=1),$W$692,HLOOKUP(INDIRECT(ADDRESS(2,COLUMN())),OFFSET($BN$2,0,0,ROW()-1,60),ROW()-1,FALSE))</f>
        <v>19.15039342</v>
      </c>
      <c r="X18">
        <f ca="1">IF(AND(ISNUMBER($X$692),$B$677=1),$X$692,HLOOKUP(INDIRECT(ADDRESS(2,COLUMN())),OFFSET($BN$2,0,0,ROW()-1,60),ROW()-1,FALSE))</f>
        <v>15.230079</v>
      </c>
      <c r="Y18">
        <f ca="1">IF(AND(ISNUMBER($Y$692),$B$677=1),$Y$692,HLOOKUP(INDIRECT(ADDRESS(2,COLUMN())),OFFSET($BN$2,0,0,ROW()-1,60),ROW()-1,FALSE))</f>
        <v>16.531026659999998</v>
      </c>
      <c r="Z18">
        <f ca="1">IF(AND(ISNUMBER($Z$692),$B$677=1),$Z$692,HLOOKUP(INDIRECT(ADDRESS(2,COLUMN())),OFFSET($BN$2,0,0,ROW()-1,60),ROW()-1,FALSE))</f>
        <v>11.457804960000001</v>
      </c>
      <c r="AA18">
        <f ca="1">IF(AND(ISNUMBER($AA$692),$B$677=1),$AA$692,HLOOKUP(INDIRECT(ADDRESS(2,COLUMN())),OFFSET($BN$2,0,0,ROW()-1,60),ROW()-1,FALSE))</f>
        <v>12.424760320000001</v>
      </c>
      <c r="AB18">
        <f ca="1">IF(AND(ISNUMBER($AB$692),$B$677=1),$AB$692,HLOOKUP(INDIRECT(ADDRESS(2,COLUMN())),OFFSET($BN$2,0,0,ROW()-1,60),ROW()-1,FALSE))</f>
        <v>13.55148934</v>
      </c>
      <c r="AC18">
        <f ca="1">IF(AND(ISNUMBER($AC$692),$B$677=1),$AC$692,HLOOKUP(INDIRECT(ADDRESS(2,COLUMN())),OFFSET($BN$2,0,0,ROW()-1,60),ROW()-1,FALSE))</f>
        <v>11.867397390000001</v>
      </c>
      <c r="AD18">
        <f ca="1">IF(AND(ISNUMBER($AD$692),$B$677=1),$AD$692,HLOOKUP(INDIRECT(ADDRESS(2,COLUMN())),OFFSET($BN$2,0,0,ROW()-1,60),ROW()-1,FALSE))</f>
        <v>13.27320855</v>
      </c>
      <c r="AE18">
        <f ca="1">IF(AND(ISNUMBER($AE$692),$B$677=1),$AE$692,HLOOKUP(INDIRECT(ADDRESS(2,COLUMN())),OFFSET($BN$2,0,0,ROW()-1,60),ROW()-1,FALSE))</f>
        <v>10.96628905</v>
      </c>
      <c r="AF18">
        <f ca="1">IF(AND(ISNUMBER($AF$692),$B$677=1),$AF$692,HLOOKUP(INDIRECT(ADDRESS(2,COLUMN())),OFFSET($BN$2,0,0,ROW()-1,60),ROW()-1,FALSE))</f>
        <v>10.25341381</v>
      </c>
      <c r="AG18">
        <f ca="1">IF(AND(ISNUMBER($AG$692),$B$677=1),$AG$692,HLOOKUP(INDIRECT(ADDRESS(2,COLUMN())),OFFSET($BN$2,0,0,ROW()-1,60),ROW()-1,FALSE))</f>
        <v>8.6587858289999993</v>
      </c>
      <c r="AH18">
        <f ca="1">IF(AND(ISNUMBER($AH$692),$B$677=1),$AH$692,HLOOKUP(INDIRECT(ADDRESS(2,COLUMN())),OFFSET($BN$2,0,0,ROW()-1,60),ROW()-1,FALSE))</f>
        <v>8.5976161720000004</v>
      </c>
      <c r="AI18">
        <f ca="1">IF(AND(ISNUMBER($AI$692),$B$677=1),$AI$692,HLOOKUP(INDIRECT(ADDRESS(2,COLUMN())),OFFSET($BN$2,0,0,ROW()-1,60),ROW()-1,FALSE))</f>
        <v>8.0780134720000003</v>
      </c>
      <c r="AJ18">
        <f ca="1">IF(AND(ISNUMBER($AJ$692),$B$677=1),$AJ$692,HLOOKUP(INDIRECT(ADDRESS(2,COLUMN())),OFFSET($BN$2,0,0,ROW()-1,60),ROW()-1,FALSE))</f>
        <v>6.497344043</v>
      </c>
      <c r="AK18">
        <f ca="1">IF(AND(ISNUMBER($AK$692),$B$677=1),$AK$692,HLOOKUP(INDIRECT(ADDRESS(2,COLUMN())),OFFSET($BN$2,0,0,ROW()-1,60),ROW()-1,FALSE))</f>
        <v>7.6291501300000002</v>
      </c>
      <c r="AL18">
        <f ca="1">IF(AND(ISNUMBER($AL$692),$B$677=1),$AL$692,HLOOKUP(INDIRECT(ADDRESS(2,COLUMN())),OFFSET($BN$2,0,0,ROW()-1,60),ROW()-1,FALSE))</f>
        <v>8.9474575349999999</v>
      </c>
      <c r="AM18">
        <f ca="1">IF(AND(ISNUMBER($AM$692),$B$677=1),$AM$692,HLOOKUP(INDIRECT(ADDRESS(2,COLUMN())),OFFSET($BN$2,0,0,ROW()-1,60),ROW()-1,FALSE))</f>
        <v>9.0718679000000009</v>
      </c>
      <c r="AN18">
        <f ca="1">IF(AND(ISNUMBER($AN$692),$B$677=1),$AN$692,HLOOKUP(INDIRECT(ADDRESS(2,COLUMN())),OFFSET($BN$2,0,0,ROW()-1,60),ROW()-1,FALSE))</f>
        <v>10.02466538</v>
      </c>
      <c r="AO18">
        <f ca="1">IF(AND(ISNUMBER($AO$692),$B$677=1),$AO$692,HLOOKUP(INDIRECT(ADDRESS(2,COLUMN())),OFFSET($BN$2,0,0,ROW()-1,60),ROW()-1,FALSE))</f>
        <v>8.7514412640000003</v>
      </c>
      <c r="AP18">
        <f ca="1">IF(AND(ISNUMBER($AP$692),$B$677=1),$AP$692,HLOOKUP(INDIRECT(ADDRESS(2,COLUMN())),OFFSET($BN$2,0,0,ROW()-1,60),ROW()-1,FALSE))</f>
        <v>10.40731401</v>
      </c>
      <c r="AQ18">
        <f ca="1">IF(AND(ISNUMBER($AQ$692),$B$677=1),$AQ$692,HLOOKUP(INDIRECT(ADDRESS(2,COLUMN())),OFFSET($BN$2,0,0,ROW()-1,60),ROW()-1,FALSE))</f>
        <v>9.5570089920000001</v>
      </c>
      <c r="AR18">
        <f ca="1">IF(AND(ISNUMBER($AR$692),$B$677=1),$AR$692,HLOOKUP(INDIRECT(ADDRESS(2,COLUMN())),OFFSET($BN$2,0,0,ROW()-1,60),ROW()-1,FALSE))</f>
        <v>12.684954879999999</v>
      </c>
      <c r="AS18">
        <f ca="1">IF(AND(ISNUMBER($AS$692),$B$677=1),$AS$692,HLOOKUP(INDIRECT(ADDRESS(2,COLUMN())),OFFSET($BN$2,0,0,ROW()-1,60),ROW()-1,FALSE))</f>
        <v>8.3237840419999998</v>
      </c>
      <c r="AT18">
        <f ca="1">IF(AND(ISNUMBER($AT$692),$B$677=1),$AT$692,HLOOKUP(INDIRECT(ADDRESS(2,COLUMN())),OFFSET($BN$2,0,0,ROW()-1,60),ROW()-1,FALSE))</f>
        <v>5.3119171200000004</v>
      </c>
      <c r="AU18">
        <f ca="1">IF(AND(ISNUMBER($AU$692),$B$677=1),$AU$692,HLOOKUP(INDIRECT(ADDRESS(2,COLUMN())),OFFSET($BN$2,0,0,ROW()-1,60),ROW()-1,FALSE))</f>
        <v>3.507456565</v>
      </c>
      <c r="AV18">
        <f ca="1">IF(AND(ISNUMBER($AV$692),$B$677=1),$AV$692,HLOOKUP(INDIRECT(ADDRESS(2,COLUMN())),OFFSET($BN$2,0,0,ROW()-1,60),ROW()-1,FALSE))</f>
        <v>4.4776381199999999</v>
      </c>
      <c r="AW18">
        <f ca="1">IF(AND(ISNUMBER($AW$692),$B$677=1),$AW$692,HLOOKUP(INDIRECT(ADDRESS(2,COLUMN())),OFFSET($BN$2,0,0,ROW()-1,60),ROW()-1,FALSE))</f>
        <v>5.293652582</v>
      </c>
      <c r="AX18">
        <f ca="1">IF(AND(ISNUMBER($AX$692),$B$677=1),$AX$692,HLOOKUP(INDIRECT(ADDRESS(2,COLUMN())),OFFSET($BN$2,0,0,ROW()-1,60),ROW()-1,FALSE))</f>
        <v>6.3874609510000004</v>
      </c>
      <c r="AY18">
        <f ca="1">IF(AND(ISNUMBER($AY$692),$B$677=1),$AY$692,HLOOKUP(INDIRECT(ADDRESS(2,COLUMN())),OFFSET($BN$2,0,0,ROW()-1,60),ROW()-1,FALSE))</f>
        <v>8.7683637119999993</v>
      </c>
      <c r="AZ18">
        <f ca="1">IF(AND(ISNUMBER($AZ$692),$B$677=1),$AZ$692,HLOOKUP(INDIRECT(ADDRESS(2,COLUMN())),OFFSET($BN$2,0,0,ROW()-1,60),ROW()-1,FALSE))</f>
        <v>8.6691148939999998</v>
      </c>
      <c r="BA18">
        <f ca="1">IF(AND(ISNUMBER($BA$692),$B$677=1),$BA$692,HLOOKUP(INDIRECT(ADDRESS(2,COLUMN())),OFFSET($BN$2,0,0,ROW()-1,60),ROW()-1,FALSE))</f>
        <v>8.8900583429999998</v>
      </c>
      <c r="BB18">
        <f ca="1">IF(AND(ISNUMBER($BB$692),$B$677=1),$BB$692,HLOOKUP(INDIRECT(ADDRESS(2,COLUMN())),OFFSET($BN$2,0,0,ROW()-1,60),ROW()-1,FALSE))</f>
        <v>8.6558895790000001</v>
      </c>
      <c r="BC18">
        <f ca="1">IF(AND(ISNUMBER($BC$692),$B$677=1),$BC$692,HLOOKUP(INDIRECT(ADDRESS(2,COLUMN())),OFFSET($BN$2,0,0,ROW()-1,60),ROW()-1,FALSE))</f>
        <v>7.9871645549999997</v>
      </c>
      <c r="BD18">
        <f ca="1">IF(AND(ISNUMBER($BD$692),$B$677=1),$BD$692,HLOOKUP(INDIRECT(ADDRESS(2,COLUMN())),OFFSET($BN$2,0,0,ROW()-1,60),ROW()-1,FALSE))</f>
        <v>7.9348031289999996</v>
      </c>
      <c r="BE18">
        <f ca="1">IF(AND(ISNUMBER($BE$692),$B$677=1),$BE$692,HLOOKUP(INDIRECT(ADDRESS(2,COLUMN())),OFFSET($BN$2,0,0,ROW()-1,60),ROW()-1,FALSE))</f>
        <v>8.2234289860000001</v>
      </c>
      <c r="BF18">
        <f ca="1">IF(AND(ISNUMBER($BF$692),$B$677=1),$BF$692,HLOOKUP(INDIRECT(ADDRESS(2,COLUMN())),OFFSET($BN$2,0,0,ROW()-1,60),ROW()-1,FALSE))</f>
        <v>9.8684210950000004</v>
      </c>
      <c r="BG18">
        <f ca="1">IF(AND(ISNUMBER($BG$692),$B$677=1),$BG$692,HLOOKUP(INDIRECT(ADDRESS(2,COLUMN())),OFFSET($BN$2,0,0,ROW()-1,60),ROW()-1,FALSE))</f>
        <v>10.384277040000001</v>
      </c>
      <c r="BH18">
        <f ca="1">IF(AND(ISNUMBER($BH$692),$B$677=1),$BH$692,HLOOKUP(INDIRECT(ADDRESS(2,COLUMN())),OFFSET($BN$2,0,0,ROW()-1,60),ROW()-1,FALSE))</f>
        <v>9.5844802740000006</v>
      </c>
      <c r="BI18">
        <f ca="1">IF(AND(ISNUMBER($BI$692),$B$677=1),$BI$692,HLOOKUP(INDIRECT(ADDRESS(2,COLUMN())),OFFSET($BN$2,0,0,ROW()-1,60),ROW()-1,FALSE))</f>
        <v>9.6367202330000001</v>
      </c>
      <c r="BJ18">
        <f ca="1">IF(AND(ISNUMBER($BJ$692),$B$677=1),$BJ$692,HLOOKUP(INDIRECT(ADDRESS(2,COLUMN())),OFFSET($BN$2,0,0,ROW()-1,60),ROW()-1,FALSE))</f>
        <v>8.8684738680000006</v>
      </c>
      <c r="BK18">
        <f ca="1">IF(AND(ISNUMBER($BK$692),$B$677=1),$BK$692,HLOOKUP(INDIRECT(ADDRESS(2,COLUMN())),OFFSET($BN$2,0,0,ROW()-1,60),ROW()-1,FALSE))</f>
        <v>6.908373578</v>
      </c>
      <c r="BL18">
        <f ca="1">IF(AND(ISNUMBER($BL$692),$B$677=1),$BL$692,HLOOKUP(INDIRECT(ADDRESS(2,COLUMN())),OFFSET($BN$2,0,0,ROW()-1,60),ROW()-1,FALSE))</f>
        <v>6.4649031900000002</v>
      </c>
      <c r="BM18">
        <f ca="1">IF(AND(ISNUMBER($BM$692),$B$677=1),$BM$692,HLOOKUP(INDIRECT(ADDRESS(2,COLUMN())),OFFSET($BN$2,0,0,ROW()-1,60),ROW()-1,FALSE))</f>
        <v>3.9225670149999998</v>
      </c>
      <c r="BN18">
        <f>11.49758355</f>
        <v>11.49758355</v>
      </c>
      <c r="BO18">
        <f>10.42391981</f>
        <v>10.423919809999999</v>
      </c>
      <c r="BP18">
        <f>12.95381647</f>
        <v>12.95381647</v>
      </c>
      <c r="BQ18">
        <f>12.12159301</f>
        <v>12.12159301</v>
      </c>
      <c r="BR18">
        <f>13.24967223</f>
        <v>13.24967223</v>
      </c>
      <c r="BS18">
        <f>14.18964503</f>
        <v>14.189645029999999</v>
      </c>
      <c r="BT18">
        <f>12.33588996</f>
        <v>12.335889959999999</v>
      </c>
      <c r="BU18">
        <f>13.39862151</f>
        <v>13.39862151</v>
      </c>
      <c r="BV18">
        <f>12.20978611</f>
        <v>12.20978611</v>
      </c>
      <c r="BW18">
        <f>11.24346144</f>
        <v>11.243461440000001</v>
      </c>
      <c r="BX18">
        <f>12.05113717</f>
        <v>12.051137170000001</v>
      </c>
      <c r="BY18">
        <f>11.94605553</f>
        <v>11.946055530000001</v>
      </c>
      <c r="BZ18">
        <f>15.99817374</f>
        <v>15.99817374</v>
      </c>
      <c r="CA18">
        <f>12.60870724</f>
        <v>12.608707239999999</v>
      </c>
      <c r="CB18">
        <f>16.73831813</f>
        <v>16.73831813</v>
      </c>
      <c r="CC18">
        <f>19.38147913</f>
        <v>19.381479129999999</v>
      </c>
      <c r="CD18">
        <f>18.85144937</f>
        <v>18.851449370000001</v>
      </c>
      <c r="CE18">
        <f>19.15039342</f>
        <v>19.15039342</v>
      </c>
      <c r="CF18">
        <f>15.230079</f>
        <v>15.230079</v>
      </c>
      <c r="CG18">
        <f>16.53102666</f>
        <v>16.531026659999998</v>
      </c>
      <c r="CH18">
        <f>11.45780496</f>
        <v>11.457804960000001</v>
      </c>
      <c r="CI18">
        <f>12.42476032</f>
        <v>12.424760320000001</v>
      </c>
      <c r="CJ18">
        <f>13.55148934</f>
        <v>13.55148934</v>
      </c>
      <c r="CK18">
        <f>11.86739739</f>
        <v>11.867397390000001</v>
      </c>
      <c r="CL18">
        <f>13.27320855</f>
        <v>13.27320855</v>
      </c>
      <c r="CM18">
        <f>10.96628905</f>
        <v>10.96628905</v>
      </c>
      <c r="CN18">
        <f>10.25341381</f>
        <v>10.25341381</v>
      </c>
      <c r="CO18">
        <f>8.658785829</f>
        <v>8.6587858289999993</v>
      </c>
      <c r="CP18">
        <f>8.597616172</f>
        <v>8.5976161720000004</v>
      </c>
      <c r="CQ18">
        <f>8.078013472</f>
        <v>8.0780134720000003</v>
      </c>
      <c r="CR18">
        <f>6.497344043</f>
        <v>6.497344043</v>
      </c>
      <c r="CS18">
        <f>7.62915013</f>
        <v>7.6291501300000002</v>
      </c>
      <c r="CT18">
        <f>8.947457535</f>
        <v>8.9474575349999999</v>
      </c>
      <c r="CU18">
        <f>9.0718679</f>
        <v>9.0718679000000009</v>
      </c>
      <c r="CV18">
        <f>10.02466538</f>
        <v>10.02466538</v>
      </c>
      <c r="CW18">
        <f>8.751441264</f>
        <v>8.7514412640000003</v>
      </c>
      <c r="CX18">
        <f>10.40731401</f>
        <v>10.40731401</v>
      </c>
      <c r="CY18">
        <f>9.557008992</f>
        <v>9.5570089920000001</v>
      </c>
      <c r="CZ18">
        <f>12.68495488</f>
        <v>12.684954879999999</v>
      </c>
      <c r="DA18">
        <f>8.323784042</f>
        <v>8.3237840419999998</v>
      </c>
      <c r="DB18">
        <f>5.31191712</f>
        <v>5.3119171200000004</v>
      </c>
      <c r="DC18">
        <f>3.507456565</f>
        <v>3.507456565</v>
      </c>
      <c r="DD18">
        <f>4.47763812</f>
        <v>4.4776381199999999</v>
      </c>
      <c r="DE18">
        <f>5.293652582</f>
        <v>5.293652582</v>
      </c>
      <c r="DF18">
        <f>6.387460951</f>
        <v>6.3874609510000004</v>
      </c>
      <c r="DG18">
        <f>8.768363712</f>
        <v>8.7683637119999993</v>
      </c>
      <c r="DH18">
        <f>8.669114894</f>
        <v>8.6691148939999998</v>
      </c>
      <c r="DI18">
        <f>8.890058343</f>
        <v>8.8900583429999998</v>
      </c>
      <c r="DJ18">
        <f>8.655889579</f>
        <v>8.6558895790000001</v>
      </c>
      <c r="DK18">
        <f>7.987164555</f>
        <v>7.9871645549999997</v>
      </c>
      <c r="DL18">
        <f>7.934803129</f>
        <v>7.9348031289999996</v>
      </c>
      <c r="DM18">
        <f>8.223428986</f>
        <v>8.2234289860000001</v>
      </c>
      <c r="DN18">
        <f>9.868421095</f>
        <v>9.8684210950000004</v>
      </c>
      <c r="DO18">
        <f>10.38427704</f>
        <v>10.384277040000001</v>
      </c>
      <c r="DP18">
        <f>9.584480274</f>
        <v>9.5844802740000006</v>
      </c>
      <c r="DQ18">
        <f>9.636720233</f>
        <v>9.6367202330000001</v>
      </c>
      <c r="DR18">
        <f>8.868473868</f>
        <v>8.8684738680000006</v>
      </c>
      <c r="DS18">
        <f>6.908373578</f>
        <v>6.908373578</v>
      </c>
      <c r="DT18">
        <f>6.46490319</f>
        <v>6.4649031900000002</v>
      </c>
      <c r="DU18">
        <f>3.922567015</f>
        <v>3.9225670149999998</v>
      </c>
    </row>
    <row r="19" spans="1:125" x14ac:dyDescent="0.25">
      <c r="A19" t="str">
        <f>"    GAZ PJSC"</f>
        <v xml:space="preserve">    GAZ PJSC</v>
      </c>
      <c r="B19" t="str">
        <f>"GAZA RM Equity"</f>
        <v>GAZA RM Equity</v>
      </c>
      <c r="C19" t="str">
        <f t="shared" si="0"/>
        <v>RR900</v>
      </c>
      <c r="D19" t="str">
        <f t="shared" si="1"/>
        <v>PE_RATIO</v>
      </c>
      <c r="E19" t="str">
        <f t="shared" si="2"/>
        <v>Dynamic</v>
      </c>
      <c r="F19" t="str">
        <f ca="1">IF(AND(ISNUMBER($F$693),$B$677=1),$F$693,HLOOKUP(INDIRECT(ADDRESS(2,COLUMN())),OFFSET($BN$2,0,0,ROW()-1,60),ROW()-1,FALSE))</f>
        <v/>
      </c>
      <c r="G19" t="str">
        <f ca="1">IF(AND(ISNUMBER($G$693),$B$677=1),$G$693,HLOOKUP(INDIRECT(ADDRESS(2,COLUMN())),OFFSET($BN$2,0,0,ROW()-1,60),ROW()-1,FALSE))</f>
        <v/>
      </c>
      <c r="H19" t="str">
        <f ca="1">IF(AND(ISNUMBER($H$693),$B$677=1),$H$693,HLOOKUP(INDIRECT(ADDRESS(2,COLUMN())),OFFSET($BN$2,0,0,ROW()-1,60),ROW()-1,FALSE))</f>
        <v/>
      </c>
      <c r="I19" t="str">
        <f ca="1">IF(AND(ISNUMBER($I$693),$B$677=1),$I$693,HLOOKUP(INDIRECT(ADDRESS(2,COLUMN())),OFFSET($BN$2,0,0,ROW()-1,60),ROW()-1,FALSE))</f>
        <v/>
      </c>
      <c r="J19" t="str">
        <f ca="1">IF(AND(ISNUMBER($J$693),$B$677=1),$J$693,HLOOKUP(INDIRECT(ADDRESS(2,COLUMN())),OFFSET($BN$2,0,0,ROW()-1,60),ROW()-1,FALSE))</f>
        <v/>
      </c>
      <c r="K19" t="str">
        <f ca="1">IF(AND(ISNUMBER($K$693),$B$677=1),$K$693,HLOOKUP(INDIRECT(ADDRESS(2,COLUMN())),OFFSET($BN$2,0,0,ROW()-1,60),ROW()-1,FALSE))</f>
        <v/>
      </c>
      <c r="L19" t="str">
        <f ca="1">IF(AND(ISNUMBER($L$693),$B$677=1),$L$693,HLOOKUP(INDIRECT(ADDRESS(2,COLUMN())),OFFSET($BN$2,0,0,ROW()-1,60),ROW()-1,FALSE))</f>
        <v/>
      </c>
      <c r="M19" t="str">
        <f ca="1">IF(AND(ISNUMBER($M$693),$B$677=1),$M$693,HLOOKUP(INDIRECT(ADDRESS(2,COLUMN())),OFFSET($BN$2,0,0,ROW()-1,60),ROW()-1,FALSE))</f>
        <v/>
      </c>
      <c r="N19" t="str">
        <f ca="1">IF(AND(ISNUMBER($N$693),$B$677=1),$N$693,HLOOKUP(INDIRECT(ADDRESS(2,COLUMN())),OFFSET($BN$2,0,0,ROW()-1,60),ROW()-1,FALSE))</f>
        <v/>
      </c>
      <c r="O19" t="str">
        <f ca="1">IF(AND(ISNUMBER($O$693),$B$677=1),$O$693,HLOOKUP(INDIRECT(ADDRESS(2,COLUMN())),OFFSET($BN$2,0,0,ROW()-1,60),ROW()-1,FALSE))</f>
        <v/>
      </c>
      <c r="P19" t="str">
        <f ca="1">IF(AND(ISNUMBER($P$693),$B$677=1),$P$693,HLOOKUP(INDIRECT(ADDRESS(2,COLUMN())),OFFSET($BN$2,0,0,ROW()-1,60),ROW()-1,FALSE))</f>
        <v/>
      </c>
      <c r="Q19" t="str">
        <f ca="1">IF(AND(ISNUMBER($Q$693),$B$677=1),$Q$693,HLOOKUP(INDIRECT(ADDRESS(2,COLUMN())),OFFSET($BN$2,0,0,ROW()-1,60),ROW()-1,FALSE))</f>
        <v/>
      </c>
      <c r="R19" t="str">
        <f ca="1">IF(AND(ISNUMBER($R$693),$B$677=1),$R$693,HLOOKUP(INDIRECT(ADDRESS(2,COLUMN())),OFFSET($BN$2,0,0,ROW()-1,60),ROW()-1,FALSE))</f>
        <v/>
      </c>
      <c r="S19" t="str">
        <f ca="1">IF(AND(ISNUMBER($S$693),$B$677=1),$S$693,HLOOKUP(INDIRECT(ADDRESS(2,COLUMN())),OFFSET($BN$2,0,0,ROW()-1,60),ROW()-1,FALSE))</f>
        <v/>
      </c>
      <c r="T19" t="str">
        <f ca="1">IF(AND(ISNUMBER($T$693),$B$677=1),$T$693,HLOOKUP(INDIRECT(ADDRESS(2,COLUMN())),OFFSET($BN$2,0,0,ROW()-1,60),ROW()-1,FALSE))</f>
        <v/>
      </c>
      <c r="U19" t="str">
        <f ca="1">IF(AND(ISNUMBER($U$693),$B$677=1),$U$693,HLOOKUP(INDIRECT(ADDRESS(2,COLUMN())),OFFSET($BN$2,0,0,ROW()-1,60),ROW()-1,FALSE))</f>
        <v/>
      </c>
      <c r="V19" t="str">
        <f ca="1">IF(AND(ISNUMBER($V$693),$B$677=1),$V$693,HLOOKUP(INDIRECT(ADDRESS(2,COLUMN())),OFFSET($BN$2,0,0,ROW()-1,60),ROW()-1,FALSE))</f>
        <v/>
      </c>
      <c r="W19" t="str">
        <f ca="1">IF(AND(ISNUMBER($W$693),$B$677=1),$W$693,HLOOKUP(INDIRECT(ADDRESS(2,COLUMN())),OFFSET($BN$2,0,0,ROW()-1,60),ROW()-1,FALSE))</f>
        <v/>
      </c>
      <c r="X19" t="str">
        <f ca="1">IF(AND(ISNUMBER($X$693),$B$677=1),$X$693,HLOOKUP(INDIRECT(ADDRESS(2,COLUMN())),OFFSET($BN$2,0,0,ROW()-1,60),ROW()-1,FALSE))</f>
        <v/>
      </c>
      <c r="Y19" t="str">
        <f ca="1">IF(AND(ISNUMBER($Y$693),$B$677=1),$Y$693,HLOOKUP(INDIRECT(ADDRESS(2,COLUMN())),OFFSET($BN$2,0,0,ROW()-1,60),ROW()-1,FALSE))</f>
        <v/>
      </c>
      <c r="Z19" t="str">
        <f ca="1">IF(AND(ISNUMBER($Z$693),$B$677=1),$Z$693,HLOOKUP(INDIRECT(ADDRESS(2,COLUMN())),OFFSET($BN$2,0,0,ROW()-1,60),ROW()-1,FALSE))</f>
        <v/>
      </c>
      <c r="AA19" t="str">
        <f ca="1">IF(AND(ISNUMBER($AA$693),$B$677=1),$AA$693,HLOOKUP(INDIRECT(ADDRESS(2,COLUMN())),OFFSET($BN$2,0,0,ROW()-1,60),ROW()-1,FALSE))</f>
        <v/>
      </c>
      <c r="AB19" t="str">
        <f ca="1">IF(AND(ISNUMBER($AB$693),$B$677=1),$AB$693,HLOOKUP(INDIRECT(ADDRESS(2,COLUMN())),OFFSET($BN$2,0,0,ROW()-1,60),ROW()-1,FALSE))</f>
        <v/>
      </c>
      <c r="AC19" t="str">
        <f ca="1">IF(AND(ISNUMBER($AC$693),$B$677=1),$AC$693,HLOOKUP(INDIRECT(ADDRESS(2,COLUMN())),OFFSET($BN$2,0,0,ROW()-1,60),ROW()-1,FALSE))</f>
        <v/>
      </c>
      <c r="AD19" t="str">
        <f ca="1">IF(AND(ISNUMBER($AD$693),$B$677=1),$AD$693,HLOOKUP(INDIRECT(ADDRESS(2,COLUMN())),OFFSET($BN$2,0,0,ROW()-1,60),ROW()-1,FALSE))</f>
        <v/>
      </c>
      <c r="AE19" t="str">
        <f ca="1">IF(AND(ISNUMBER($AE$693),$B$677=1),$AE$693,HLOOKUP(INDIRECT(ADDRESS(2,COLUMN())),OFFSET($BN$2,0,0,ROW()-1,60),ROW()-1,FALSE))</f>
        <v/>
      </c>
      <c r="AF19" t="str">
        <f ca="1">IF(AND(ISNUMBER($AF$693),$B$677=1),$AF$693,HLOOKUP(INDIRECT(ADDRESS(2,COLUMN())),OFFSET($BN$2,0,0,ROW()-1,60),ROW()-1,FALSE))</f>
        <v/>
      </c>
      <c r="AG19" t="str">
        <f ca="1">IF(AND(ISNUMBER($AG$693),$B$677=1),$AG$693,HLOOKUP(INDIRECT(ADDRESS(2,COLUMN())),OFFSET($BN$2,0,0,ROW()-1,60),ROW()-1,FALSE))</f>
        <v/>
      </c>
      <c r="AH19" t="str">
        <f ca="1">IF(AND(ISNUMBER($AH$693),$B$677=1),$AH$693,HLOOKUP(INDIRECT(ADDRESS(2,COLUMN())),OFFSET($BN$2,0,0,ROW()-1,60),ROW()-1,FALSE))</f>
        <v/>
      </c>
      <c r="AI19" t="str">
        <f ca="1">IF(AND(ISNUMBER($AI$693),$B$677=1),$AI$693,HLOOKUP(INDIRECT(ADDRESS(2,COLUMN())),OFFSET($BN$2,0,0,ROW()-1,60),ROW()-1,FALSE))</f>
        <v/>
      </c>
      <c r="AJ19" t="str">
        <f ca="1">IF(AND(ISNUMBER($AJ$693),$B$677=1),$AJ$693,HLOOKUP(INDIRECT(ADDRESS(2,COLUMN())),OFFSET($BN$2,0,0,ROW()-1,60),ROW()-1,FALSE))</f>
        <v/>
      </c>
      <c r="AK19" t="str">
        <f ca="1">IF(AND(ISNUMBER($AK$693),$B$677=1),$AK$693,HLOOKUP(INDIRECT(ADDRESS(2,COLUMN())),OFFSET($BN$2,0,0,ROW()-1,60),ROW()-1,FALSE))</f>
        <v/>
      </c>
      <c r="AL19" t="str">
        <f ca="1">IF(AND(ISNUMBER($AL$693),$B$677=1),$AL$693,HLOOKUP(INDIRECT(ADDRESS(2,COLUMN())),OFFSET($BN$2,0,0,ROW()-1,60),ROW()-1,FALSE))</f>
        <v/>
      </c>
      <c r="AM19" t="str">
        <f ca="1">IF(AND(ISNUMBER($AM$693),$B$677=1),$AM$693,HLOOKUP(INDIRECT(ADDRESS(2,COLUMN())),OFFSET($BN$2,0,0,ROW()-1,60),ROW()-1,FALSE))</f>
        <v/>
      </c>
      <c r="AN19" t="str">
        <f ca="1">IF(AND(ISNUMBER($AN$693),$B$677=1),$AN$693,HLOOKUP(INDIRECT(ADDRESS(2,COLUMN())),OFFSET($BN$2,0,0,ROW()-1,60),ROW()-1,FALSE))</f>
        <v/>
      </c>
      <c r="AO19" t="str">
        <f ca="1">IF(AND(ISNUMBER($AO$693),$B$677=1),$AO$693,HLOOKUP(INDIRECT(ADDRESS(2,COLUMN())),OFFSET($BN$2,0,0,ROW()-1,60),ROW()-1,FALSE))</f>
        <v/>
      </c>
      <c r="AP19" t="str">
        <f ca="1">IF(AND(ISNUMBER($AP$693),$B$677=1),$AP$693,HLOOKUP(INDIRECT(ADDRESS(2,COLUMN())),OFFSET($BN$2,0,0,ROW()-1,60),ROW()-1,FALSE))</f>
        <v/>
      </c>
      <c r="AQ19" t="str">
        <f ca="1">IF(AND(ISNUMBER($AQ$693),$B$677=1),$AQ$693,HLOOKUP(INDIRECT(ADDRESS(2,COLUMN())),OFFSET($BN$2,0,0,ROW()-1,60),ROW()-1,FALSE))</f>
        <v/>
      </c>
      <c r="AR19" t="str">
        <f ca="1">IF(AND(ISNUMBER($AR$693),$B$677=1),$AR$693,HLOOKUP(INDIRECT(ADDRESS(2,COLUMN())),OFFSET($BN$2,0,0,ROW()-1,60),ROW()-1,FALSE))</f>
        <v/>
      </c>
      <c r="AS19" t="str">
        <f ca="1">IF(AND(ISNUMBER($AS$693),$B$677=1),$AS$693,HLOOKUP(INDIRECT(ADDRESS(2,COLUMN())),OFFSET($BN$2,0,0,ROW()-1,60),ROW()-1,FALSE))</f>
        <v/>
      </c>
      <c r="AT19" t="str">
        <f ca="1">IF(AND(ISNUMBER($AT$693),$B$677=1),$AT$693,HLOOKUP(INDIRECT(ADDRESS(2,COLUMN())),OFFSET($BN$2,0,0,ROW()-1,60),ROW()-1,FALSE))</f>
        <v/>
      </c>
      <c r="AU19" t="str">
        <f ca="1">IF(AND(ISNUMBER($AU$693),$B$677=1),$AU$693,HLOOKUP(INDIRECT(ADDRESS(2,COLUMN())),OFFSET($BN$2,0,0,ROW()-1,60),ROW()-1,FALSE))</f>
        <v/>
      </c>
      <c r="AV19" t="str">
        <f ca="1">IF(AND(ISNUMBER($AV$693),$B$677=1),$AV$693,HLOOKUP(INDIRECT(ADDRESS(2,COLUMN())),OFFSET($BN$2,0,0,ROW()-1,60),ROW()-1,FALSE))</f>
        <v/>
      </c>
      <c r="AW19" t="str">
        <f ca="1">IF(AND(ISNUMBER($AW$693),$B$677=1),$AW$693,HLOOKUP(INDIRECT(ADDRESS(2,COLUMN())),OFFSET($BN$2,0,0,ROW()-1,60),ROW()-1,FALSE))</f>
        <v/>
      </c>
      <c r="AX19" t="str">
        <f ca="1">IF(AND(ISNUMBER($AX$693),$B$677=1),$AX$693,HLOOKUP(INDIRECT(ADDRESS(2,COLUMN())),OFFSET($BN$2,0,0,ROW()-1,60),ROW()-1,FALSE))</f>
        <v/>
      </c>
      <c r="AY19" t="str">
        <f ca="1">IF(AND(ISNUMBER($AY$693),$B$677=1),$AY$693,HLOOKUP(INDIRECT(ADDRESS(2,COLUMN())),OFFSET($BN$2,0,0,ROW()-1,60),ROW()-1,FALSE))</f>
        <v/>
      </c>
      <c r="AZ19" t="str">
        <f ca="1">IF(AND(ISNUMBER($AZ$693),$B$677=1),$AZ$693,HLOOKUP(INDIRECT(ADDRESS(2,COLUMN())),OFFSET($BN$2,0,0,ROW()-1,60),ROW()-1,FALSE))</f>
        <v/>
      </c>
      <c r="BA19" t="str">
        <f ca="1">IF(AND(ISNUMBER($BA$693),$B$677=1),$BA$693,HLOOKUP(INDIRECT(ADDRESS(2,COLUMN())),OFFSET($BN$2,0,0,ROW()-1,60),ROW()-1,FALSE))</f>
        <v/>
      </c>
      <c r="BB19" t="str">
        <f ca="1">IF(AND(ISNUMBER($BB$693),$B$677=1),$BB$693,HLOOKUP(INDIRECT(ADDRESS(2,COLUMN())),OFFSET($BN$2,0,0,ROW()-1,60),ROW()-1,FALSE))</f>
        <v/>
      </c>
      <c r="BC19" t="str">
        <f ca="1">IF(AND(ISNUMBER($BC$693),$B$677=1),$BC$693,HLOOKUP(INDIRECT(ADDRESS(2,COLUMN())),OFFSET($BN$2,0,0,ROW()-1,60),ROW()-1,FALSE))</f>
        <v/>
      </c>
      <c r="BD19" t="str">
        <f ca="1">IF(AND(ISNUMBER($BD$693),$B$677=1),$BD$693,HLOOKUP(INDIRECT(ADDRESS(2,COLUMN())),OFFSET($BN$2,0,0,ROW()-1,60),ROW()-1,FALSE))</f>
        <v/>
      </c>
      <c r="BE19" t="str">
        <f ca="1">IF(AND(ISNUMBER($BE$693),$B$677=1),$BE$693,HLOOKUP(INDIRECT(ADDRESS(2,COLUMN())),OFFSET($BN$2,0,0,ROW()-1,60),ROW()-1,FALSE))</f>
        <v/>
      </c>
      <c r="BF19" t="str">
        <f ca="1">IF(AND(ISNUMBER($BF$693),$B$677=1),$BF$693,HLOOKUP(INDIRECT(ADDRESS(2,COLUMN())),OFFSET($BN$2,0,0,ROW()-1,60),ROW()-1,FALSE))</f>
        <v/>
      </c>
      <c r="BG19" t="str">
        <f ca="1">IF(AND(ISNUMBER($BG$693),$B$677=1),$BG$693,HLOOKUP(INDIRECT(ADDRESS(2,COLUMN())),OFFSET($BN$2,0,0,ROW()-1,60),ROW()-1,FALSE))</f>
        <v/>
      </c>
      <c r="BH19" t="str">
        <f ca="1">IF(AND(ISNUMBER($BH$693),$B$677=1),$BH$693,HLOOKUP(INDIRECT(ADDRESS(2,COLUMN())),OFFSET($BN$2,0,0,ROW()-1,60),ROW()-1,FALSE))</f>
        <v/>
      </c>
      <c r="BI19" t="str">
        <f ca="1">IF(AND(ISNUMBER($BI$693),$B$677=1),$BI$693,HLOOKUP(INDIRECT(ADDRESS(2,COLUMN())),OFFSET($BN$2,0,0,ROW()-1,60),ROW()-1,FALSE))</f>
        <v/>
      </c>
      <c r="BJ19" t="str">
        <f ca="1">IF(AND(ISNUMBER($BJ$693),$B$677=1),$BJ$693,HLOOKUP(INDIRECT(ADDRESS(2,COLUMN())),OFFSET($BN$2,0,0,ROW()-1,60),ROW()-1,FALSE))</f>
        <v/>
      </c>
      <c r="BK19" t="str">
        <f ca="1">IF(AND(ISNUMBER($BK$693),$B$677=1),$BK$693,HLOOKUP(INDIRECT(ADDRESS(2,COLUMN())),OFFSET($BN$2,0,0,ROW()-1,60),ROW()-1,FALSE))</f>
        <v/>
      </c>
      <c r="BL19" t="str">
        <f ca="1">IF(AND(ISNUMBER($BL$693),$B$677=1),$BL$693,HLOOKUP(INDIRECT(ADDRESS(2,COLUMN())),OFFSET($BN$2,0,0,ROW()-1,60),ROW()-1,FALSE))</f>
        <v/>
      </c>
      <c r="BM19" t="str">
        <f ca="1">IF(AND(ISNUMBER($BM$693),$B$677=1),$BM$693,HLOOKUP(INDIRECT(ADDRESS(2,COLUMN())),OFFSET($BN$2,0,0,ROW()-1,60),ROW()-1,FALSE))</f>
        <v/>
      </c>
      <c r="BN19" t="str">
        <f>""</f>
        <v/>
      </c>
      <c r="BO19" t="str">
        <f>""</f>
        <v/>
      </c>
      <c r="BP19" t="str">
        <f>""</f>
        <v/>
      </c>
      <c r="BQ19" t="str">
        <f>""</f>
        <v/>
      </c>
      <c r="BR19" t="str">
        <f>""</f>
        <v/>
      </c>
      <c r="BS19" t="str">
        <f>""</f>
        <v/>
      </c>
      <c r="BT19" t="str">
        <f>""</f>
        <v/>
      </c>
      <c r="BU19" t="str">
        <f>""</f>
        <v/>
      </c>
      <c r="BV19" t="str">
        <f>""</f>
        <v/>
      </c>
      <c r="BW19" t="str">
        <f>""</f>
        <v/>
      </c>
      <c r="BX19" t="str">
        <f>""</f>
        <v/>
      </c>
      <c r="BY19" t="str">
        <f>""</f>
        <v/>
      </c>
      <c r="BZ19" t="str">
        <f>""</f>
        <v/>
      </c>
      <c r="CA19" t="str">
        <f>""</f>
        <v/>
      </c>
      <c r="CB19" t="str">
        <f>""</f>
        <v/>
      </c>
      <c r="CC19" t="str">
        <f>""</f>
        <v/>
      </c>
      <c r="CD19" t="str">
        <f>""</f>
        <v/>
      </c>
      <c r="CE19" t="str">
        <f>""</f>
        <v/>
      </c>
      <c r="CF19" t="str">
        <f>""</f>
        <v/>
      </c>
      <c r="CG19" t="str">
        <f>""</f>
        <v/>
      </c>
      <c r="CH19" t="str">
        <f>""</f>
        <v/>
      </c>
      <c r="CI19" t="str">
        <f>""</f>
        <v/>
      </c>
      <c r="CJ19" t="str">
        <f>""</f>
        <v/>
      </c>
      <c r="CK19" t="str">
        <f>""</f>
        <v/>
      </c>
      <c r="CL19" t="str">
        <f>""</f>
        <v/>
      </c>
      <c r="CM19" t="str">
        <f>""</f>
        <v/>
      </c>
      <c r="CN19" t="str">
        <f>""</f>
        <v/>
      </c>
      <c r="CO19" t="str">
        <f>""</f>
        <v/>
      </c>
      <c r="CP19" t="str">
        <f>""</f>
        <v/>
      </c>
      <c r="CQ19" t="str">
        <f>""</f>
        <v/>
      </c>
      <c r="CR19" t="str">
        <f>""</f>
        <v/>
      </c>
      <c r="CS19" t="str">
        <f>""</f>
        <v/>
      </c>
      <c r="CT19" t="str">
        <f>""</f>
        <v/>
      </c>
      <c r="CU19" t="str">
        <f>""</f>
        <v/>
      </c>
      <c r="CV19" t="str">
        <f>""</f>
        <v/>
      </c>
      <c r="CW19" t="str">
        <f>""</f>
        <v/>
      </c>
      <c r="CX19" t="str">
        <f>""</f>
        <v/>
      </c>
      <c r="CY19" t="str">
        <f>""</f>
        <v/>
      </c>
      <c r="CZ19" t="str">
        <f>""</f>
        <v/>
      </c>
      <c r="DA19" t="str">
        <f>""</f>
        <v/>
      </c>
      <c r="DB19" t="str">
        <f>""</f>
        <v/>
      </c>
      <c r="DC19" t="str">
        <f>""</f>
        <v/>
      </c>
      <c r="DD19" t="str">
        <f>""</f>
        <v/>
      </c>
      <c r="DE19" t="str">
        <f>""</f>
        <v/>
      </c>
      <c r="DF19" t="str">
        <f>""</f>
        <v/>
      </c>
      <c r="DG19" t="str">
        <f>""</f>
        <v/>
      </c>
      <c r="DH19" t="str">
        <f>""</f>
        <v/>
      </c>
      <c r="DI19" t="str">
        <f>""</f>
        <v/>
      </c>
      <c r="DJ19" t="str">
        <f>""</f>
        <v/>
      </c>
      <c r="DK19" t="str">
        <f>""</f>
        <v/>
      </c>
      <c r="DL19" t="str">
        <f>""</f>
        <v/>
      </c>
      <c r="DM19" t="str">
        <f>""</f>
        <v/>
      </c>
      <c r="DN19" t="str">
        <f>""</f>
        <v/>
      </c>
      <c r="DO19" t="str">
        <f>""</f>
        <v/>
      </c>
      <c r="DP19" t="str">
        <f>""</f>
        <v/>
      </c>
      <c r="DQ19" t="str">
        <f>""</f>
        <v/>
      </c>
      <c r="DR19" t="str">
        <f>""</f>
        <v/>
      </c>
      <c r="DS19" t="str">
        <f>""</f>
        <v/>
      </c>
      <c r="DT19" t="str">
        <f>""</f>
        <v/>
      </c>
      <c r="DU19" t="str">
        <f>""</f>
        <v/>
      </c>
    </row>
    <row r="20" spans="1:125" x14ac:dyDescent="0.25">
      <c r="A20" t="str">
        <f>"    Geely Automobile Holdings Ltd"</f>
        <v xml:space="preserve">    Geely Automobile Holdings Ltd</v>
      </c>
      <c r="B20" t="str">
        <f>"175 HK Equity"</f>
        <v>175 HK Equity</v>
      </c>
      <c r="C20" t="str">
        <f t="shared" si="0"/>
        <v>RR900</v>
      </c>
      <c r="D20" t="str">
        <f t="shared" si="1"/>
        <v>PE_RATIO</v>
      </c>
      <c r="E20" t="str">
        <f t="shared" si="2"/>
        <v>Dynamic</v>
      </c>
      <c r="F20" t="str">
        <f ca="1">IF(AND(ISNUMBER($F$694),$B$677=1),$F$694,HLOOKUP(INDIRECT(ADDRESS(2,COLUMN())),OFFSET($BN$2,0,0,ROW()-1,60),ROW()-1,FALSE))</f>
        <v/>
      </c>
      <c r="G20" t="str">
        <f ca="1">IF(AND(ISNUMBER($G$694),$B$677=1),$G$694,HLOOKUP(INDIRECT(ADDRESS(2,COLUMN())),OFFSET($BN$2,0,0,ROW()-1,60),ROW()-1,FALSE))</f>
        <v/>
      </c>
      <c r="H20" t="str">
        <f ca="1">IF(AND(ISNUMBER($H$694),$B$677=1),$H$694,HLOOKUP(INDIRECT(ADDRESS(2,COLUMN())),OFFSET($BN$2,0,0,ROW()-1,60),ROW()-1,FALSE))</f>
        <v/>
      </c>
      <c r="I20" t="str">
        <f ca="1">IF(AND(ISNUMBER($I$694),$B$677=1),$I$694,HLOOKUP(INDIRECT(ADDRESS(2,COLUMN())),OFFSET($BN$2,0,0,ROW()-1,60),ROW()-1,FALSE))</f>
        <v/>
      </c>
      <c r="J20" t="str">
        <f ca="1">IF(AND(ISNUMBER($J$694),$B$677=1),$J$694,HLOOKUP(INDIRECT(ADDRESS(2,COLUMN())),OFFSET($BN$2,0,0,ROW()-1,60),ROW()-1,FALSE))</f>
        <v/>
      </c>
      <c r="K20" t="str">
        <f ca="1">IF(AND(ISNUMBER($K$694),$B$677=1),$K$694,HLOOKUP(INDIRECT(ADDRESS(2,COLUMN())),OFFSET($BN$2,0,0,ROW()-1,60),ROW()-1,FALSE))</f>
        <v/>
      </c>
      <c r="L20" t="str">
        <f ca="1">IF(AND(ISNUMBER($L$694),$B$677=1),$L$694,HLOOKUP(INDIRECT(ADDRESS(2,COLUMN())),OFFSET($BN$2,0,0,ROW()-1,60),ROW()-1,FALSE))</f>
        <v/>
      </c>
      <c r="M20" t="str">
        <f ca="1">IF(AND(ISNUMBER($M$694),$B$677=1),$M$694,HLOOKUP(INDIRECT(ADDRESS(2,COLUMN())),OFFSET($BN$2,0,0,ROW()-1,60),ROW()-1,FALSE))</f>
        <v/>
      </c>
      <c r="N20" t="str">
        <f ca="1">IF(AND(ISNUMBER($N$694),$B$677=1),$N$694,HLOOKUP(INDIRECT(ADDRESS(2,COLUMN())),OFFSET($BN$2,0,0,ROW()-1,60),ROW()-1,FALSE))</f>
        <v/>
      </c>
      <c r="O20" t="str">
        <f ca="1">IF(AND(ISNUMBER($O$694),$B$677=1),$O$694,HLOOKUP(INDIRECT(ADDRESS(2,COLUMN())),OFFSET($BN$2,0,0,ROW()-1,60),ROW()-1,FALSE))</f>
        <v/>
      </c>
      <c r="P20" t="str">
        <f ca="1">IF(AND(ISNUMBER($P$694),$B$677=1),$P$694,HLOOKUP(INDIRECT(ADDRESS(2,COLUMN())),OFFSET($BN$2,0,0,ROW()-1,60),ROW()-1,FALSE))</f>
        <v/>
      </c>
      <c r="Q20" t="str">
        <f ca="1">IF(AND(ISNUMBER($Q$694),$B$677=1),$Q$694,HLOOKUP(INDIRECT(ADDRESS(2,COLUMN())),OFFSET($BN$2,0,0,ROW()-1,60),ROW()-1,FALSE))</f>
        <v/>
      </c>
      <c r="R20" t="str">
        <f ca="1">IF(AND(ISNUMBER($R$694),$B$677=1),$R$694,HLOOKUP(INDIRECT(ADDRESS(2,COLUMN())),OFFSET($BN$2,0,0,ROW()-1,60),ROW()-1,FALSE))</f>
        <v/>
      </c>
      <c r="S20" t="str">
        <f ca="1">IF(AND(ISNUMBER($S$694),$B$677=1),$S$694,HLOOKUP(INDIRECT(ADDRESS(2,COLUMN())),OFFSET($BN$2,0,0,ROW()-1,60),ROW()-1,FALSE))</f>
        <v/>
      </c>
      <c r="T20" t="str">
        <f ca="1">IF(AND(ISNUMBER($T$694),$B$677=1),$T$694,HLOOKUP(INDIRECT(ADDRESS(2,COLUMN())),OFFSET($BN$2,0,0,ROW()-1,60),ROW()-1,FALSE))</f>
        <v/>
      </c>
      <c r="U20" t="str">
        <f ca="1">IF(AND(ISNUMBER($U$694),$B$677=1),$U$694,HLOOKUP(INDIRECT(ADDRESS(2,COLUMN())),OFFSET($BN$2,0,0,ROW()-1,60),ROW()-1,FALSE))</f>
        <v/>
      </c>
      <c r="V20" t="str">
        <f ca="1">IF(AND(ISNUMBER($V$694),$B$677=1),$V$694,HLOOKUP(INDIRECT(ADDRESS(2,COLUMN())),OFFSET($BN$2,0,0,ROW()-1,60),ROW()-1,FALSE))</f>
        <v/>
      </c>
      <c r="W20" t="str">
        <f ca="1">IF(AND(ISNUMBER($W$694),$B$677=1),$W$694,HLOOKUP(INDIRECT(ADDRESS(2,COLUMN())),OFFSET($BN$2,0,0,ROW()-1,60),ROW()-1,FALSE))</f>
        <v/>
      </c>
      <c r="X20" t="str">
        <f ca="1">IF(AND(ISNUMBER($X$694),$B$677=1),$X$694,HLOOKUP(INDIRECT(ADDRESS(2,COLUMN())),OFFSET($BN$2,0,0,ROW()-1,60),ROW()-1,FALSE))</f>
        <v/>
      </c>
      <c r="Y20" t="str">
        <f ca="1">IF(AND(ISNUMBER($Y$694),$B$677=1),$Y$694,HLOOKUP(INDIRECT(ADDRESS(2,COLUMN())),OFFSET($BN$2,0,0,ROW()-1,60),ROW()-1,FALSE))</f>
        <v/>
      </c>
      <c r="Z20" t="str">
        <f ca="1">IF(AND(ISNUMBER($Z$694),$B$677=1),$Z$694,HLOOKUP(INDIRECT(ADDRESS(2,COLUMN())),OFFSET($BN$2,0,0,ROW()-1,60),ROW()-1,FALSE))</f>
        <v/>
      </c>
      <c r="AA20" t="str">
        <f ca="1">IF(AND(ISNUMBER($AA$694),$B$677=1),$AA$694,HLOOKUP(INDIRECT(ADDRESS(2,COLUMN())),OFFSET($BN$2,0,0,ROW()-1,60),ROW()-1,FALSE))</f>
        <v/>
      </c>
      <c r="AB20" t="str">
        <f ca="1">IF(AND(ISNUMBER($AB$694),$B$677=1),$AB$694,HLOOKUP(INDIRECT(ADDRESS(2,COLUMN())),OFFSET($BN$2,0,0,ROW()-1,60),ROW()-1,FALSE))</f>
        <v/>
      </c>
      <c r="AC20" t="str">
        <f ca="1">IF(AND(ISNUMBER($AC$694),$B$677=1),$AC$694,HLOOKUP(INDIRECT(ADDRESS(2,COLUMN())),OFFSET($BN$2,0,0,ROW()-1,60),ROW()-1,FALSE))</f>
        <v/>
      </c>
      <c r="AD20" t="str">
        <f ca="1">IF(AND(ISNUMBER($AD$694),$B$677=1),$AD$694,HLOOKUP(INDIRECT(ADDRESS(2,COLUMN())),OFFSET($BN$2,0,0,ROW()-1,60),ROW()-1,FALSE))</f>
        <v/>
      </c>
      <c r="AE20" t="str">
        <f ca="1">IF(AND(ISNUMBER($AE$694),$B$677=1),$AE$694,HLOOKUP(INDIRECT(ADDRESS(2,COLUMN())),OFFSET($BN$2,0,0,ROW()-1,60),ROW()-1,FALSE))</f>
        <v/>
      </c>
      <c r="AF20" t="str">
        <f ca="1">IF(AND(ISNUMBER($AF$694),$B$677=1),$AF$694,HLOOKUP(INDIRECT(ADDRESS(2,COLUMN())),OFFSET($BN$2,0,0,ROW()-1,60),ROW()-1,FALSE))</f>
        <v/>
      </c>
      <c r="AG20" t="str">
        <f ca="1">IF(AND(ISNUMBER($AG$694),$B$677=1),$AG$694,HLOOKUP(INDIRECT(ADDRESS(2,COLUMN())),OFFSET($BN$2,0,0,ROW()-1,60),ROW()-1,FALSE))</f>
        <v/>
      </c>
      <c r="AH20" t="str">
        <f ca="1">IF(AND(ISNUMBER($AH$694),$B$677=1),$AH$694,HLOOKUP(INDIRECT(ADDRESS(2,COLUMN())),OFFSET($BN$2,0,0,ROW()-1,60),ROW()-1,FALSE))</f>
        <v/>
      </c>
      <c r="AI20" t="str">
        <f ca="1">IF(AND(ISNUMBER($AI$694),$B$677=1),$AI$694,HLOOKUP(INDIRECT(ADDRESS(2,COLUMN())),OFFSET($BN$2,0,0,ROW()-1,60),ROW()-1,FALSE))</f>
        <v/>
      </c>
      <c r="AJ20" t="str">
        <f ca="1">IF(AND(ISNUMBER($AJ$694),$B$677=1),$AJ$694,HLOOKUP(INDIRECT(ADDRESS(2,COLUMN())),OFFSET($BN$2,0,0,ROW()-1,60),ROW()-1,FALSE))</f>
        <v/>
      </c>
      <c r="AK20" t="str">
        <f ca="1">IF(AND(ISNUMBER($AK$694),$B$677=1),$AK$694,HLOOKUP(INDIRECT(ADDRESS(2,COLUMN())),OFFSET($BN$2,0,0,ROW()-1,60),ROW()-1,FALSE))</f>
        <v/>
      </c>
      <c r="AL20" t="str">
        <f ca="1">IF(AND(ISNUMBER($AL$694),$B$677=1),$AL$694,HLOOKUP(INDIRECT(ADDRESS(2,COLUMN())),OFFSET($BN$2,0,0,ROW()-1,60),ROW()-1,FALSE))</f>
        <v/>
      </c>
      <c r="AM20" t="str">
        <f ca="1">IF(AND(ISNUMBER($AM$694),$B$677=1),$AM$694,HLOOKUP(INDIRECT(ADDRESS(2,COLUMN())),OFFSET($BN$2,0,0,ROW()-1,60),ROW()-1,FALSE))</f>
        <v/>
      </c>
      <c r="AN20" t="str">
        <f ca="1">IF(AND(ISNUMBER($AN$694),$B$677=1),$AN$694,HLOOKUP(INDIRECT(ADDRESS(2,COLUMN())),OFFSET($BN$2,0,0,ROW()-1,60),ROW()-1,FALSE))</f>
        <v/>
      </c>
      <c r="AO20" t="str">
        <f ca="1">IF(AND(ISNUMBER($AO$694),$B$677=1),$AO$694,HLOOKUP(INDIRECT(ADDRESS(2,COLUMN())),OFFSET($BN$2,0,0,ROW()-1,60),ROW()-1,FALSE))</f>
        <v/>
      </c>
      <c r="AP20" t="str">
        <f ca="1">IF(AND(ISNUMBER($AP$694),$B$677=1),$AP$694,HLOOKUP(INDIRECT(ADDRESS(2,COLUMN())),OFFSET($BN$2,0,0,ROW()-1,60),ROW()-1,FALSE))</f>
        <v/>
      </c>
      <c r="AQ20" t="str">
        <f ca="1">IF(AND(ISNUMBER($AQ$694),$B$677=1),$AQ$694,HLOOKUP(INDIRECT(ADDRESS(2,COLUMN())),OFFSET($BN$2,0,0,ROW()-1,60),ROW()-1,FALSE))</f>
        <v/>
      </c>
      <c r="AR20" t="str">
        <f ca="1">IF(AND(ISNUMBER($AR$694),$B$677=1),$AR$694,HLOOKUP(INDIRECT(ADDRESS(2,COLUMN())),OFFSET($BN$2,0,0,ROW()-1,60),ROW()-1,FALSE))</f>
        <v/>
      </c>
      <c r="AS20" t="str">
        <f ca="1">IF(AND(ISNUMBER($AS$694),$B$677=1),$AS$694,HLOOKUP(INDIRECT(ADDRESS(2,COLUMN())),OFFSET($BN$2,0,0,ROW()-1,60),ROW()-1,FALSE))</f>
        <v/>
      </c>
      <c r="AT20" t="str">
        <f ca="1">IF(AND(ISNUMBER($AT$694),$B$677=1),$AT$694,HLOOKUP(INDIRECT(ADDRESS(2,COLUMN())),OFFSET($BN$2,0,0,ROW()-1,60),ROW()-1,FALSE))</f>
        <v/>
      </c>
      <c r="AU20" t="str">
        <f ca="1">IF(AND(ISNUMBER($AU$694),$B$677=1),$AU$694,HLOOKUP(INDIRECT(ADDRESS(2,COLUMN())),OFFSET($BN$2,0,0,ROW()-1,60),ROW()-1,FALSE))</f>
        <v/>
      </c>
      <c r="AV20" t="str">
        <f ca="1">IF(AND(ISNUMBER($AV$694),$B$677=1),$AV$694,HLOOKUP(INDIRECT(ADDRESS(2,COLUMN())),OFFSET($BN$2,0,0,ROW()-1,60),ROW()-1,FALSE))</f>
        <v/>
      </c>
      <c r="AW20" t="str">
        <f ca="1">IF(AND(ISNUMBER($AW$694),$B$677=1),$AW$694,HLOOKUP(INDIRECT(ADDRESS(2,COLUMN())),OFFSET($BN$2,0,0,ROW()-1,60),ROW()-1,FALSE))</f>
        <v/>
      </c>
      <c r="AX20" t="str">
        <f ca="1">IF(AND(ISNUMBER($AX$694),$B$677=1),$AX$694,HLOOKUP(INDIRECT(ADDRESS(2,COLUMN())),OFFSET($BN$2,0,0,ROW()-1,60),ROW()-1,FALSE))</f>
        <v/>
      </c>
      <c r="AY20" t="str">
        <f ca="1">IF(AND(ISNUMBER($AY$694),$B$677=1),$AY$694,HLOOKUP(INDIRECT(ADDRESS(2,COLUMN())),OFFSET($BN$2,0,0,ROW()-1,60),ROW()-1,FALSE))</f>
        <v/>
      </c>
      <c r="AZ20" t="str">
        <f ca="1">IF(AND(ISNUMBER($AZ$694),$B$677=1),$AZ$694,HLOOKUP(INDIRECT(ADDRESS(2,COLUMN())),OFFSET($BN$2,0,0,ROW()-1,60),ROW()-1,FALSE))</f>
        <v/>
      </c>
      <c r="BA20" t="str">
        <f ca="1">IF(AND(ISNUMBER($BA$694),$B$677=1),$BA$694,HLOOKUP(INDIRECT(ADDRESS(2,COLUMN())),OFFSET($BN$2,0,0,ROW()-1,60),ROW()-1,FALSE))</f>
        <v/>
      </c>
      <c r="BB20" t="str">
        <f ca="1">IF(AND(ISNUMBER($BB$694),$B$677=1),$BB$694,HLOOKUP(INDIRECT(ADDRESS(2,COLUMN())),OFFSET($BN$2,0,0,ROW()-1,60),ROW()-1,FALSE))</f>
        <v/>
      </c>
      <c r="BC20" t="str">
        <f ca="1">IF(AND(ISNUMBER($BC$694),$B$677=1),$BC$694,HLOOKUP(INDIRECT(ADDRESS(2,COLUMN())),OFFSET($BN$2,0,0,ROW()-1,60),ROW()-1,FALSE))</f>
        <v/>
      </c>
      <c r="BD20" t="str">
        <f ca="1">IF(AND(ISNUMBER($BD$694),$B$677=1),$BD$694,HLOOKUP(INDIRECT(ADDRESS(2,COLUMN())),OFFSET($BN$2,0,0,ROW()-1,60),ROW()-1,FALSE))</f>
        <v/>
      </c>
      <c r="BE20" t="str">
        <f ca="1">IF(AND(ISNUMBER($BE$694),$B$677=1),$BE$694,HLOOKUP(INDIRECT(ADDRESS(2,COLUMN())),OFFSET($BN$2,0,0,ROW()-1,60),ROW()-1,FALSE))</f>
        <v/>
      </c>
      <c r="BF20" t="str">
        <f ca="1">IF(AND(ISNUMBER($BF$694),$B$677=1),$BF$694,HLOOKUP(INDIRECT(ADDRESS(2,COLUMN())),OFFSET($BN$2,0,0,ROW()-1,60),ROW()-1,FALSE))</f>
        <v/>
      </c>
      <c r="BG20" t="str">
        <f ca="1">IF(AND(ISNUMBER($BG$694),$B$677=1),$BG$694,HLOOKUP(INDIRECT(ADDRESS(2,COLUMN())),OFFSET($BN$2,0,0,ROW()-1,60),ROW()-1,FALSE))</f>
        <v/>
      </c>
      <c r="BH20" t="str">
        <f ca="1">IF(AND(ISNUMBER($BH$694),$B$677=1),$BH$694,HLOOKUP(INDIRECT(ADDRESS(2,COLUMN())),OFFSET($BN$2,0,0,ROW()-1,60),ROW()-1,FALSE))</f>
        <v/>
      </c>
      <c r="BI20" t="str">
        <f ca="1">IF(AND(ISNUMBER($BI$694),$B$677=1),$BI$694,HLOOKUP(INDIRECT(ADDRESS(2,COLUMN())),OFFSET($BN$2,0,0,ROW()-1,60),ROW()-1,FALSE))</f>
        <v/>
      </c>
      <c r="BJ20" t="str">
        <f ca="1">IF(AND(ISNUMBER($BJ$694),$B$677=1),$BJ$694,HLOOKUP(INDIRECT(ADDRESS(2,COLUMN())),OFFSET($BN$2,0,0,ROW()-1,60),ROW()-1,FALSE))</f>
        <v/>
      </c>
      <c r="BK20" t="str">
        <f ca="1">IF(AND(ISNUMBER($BK$694),$B$677=1),$BK$694,HLOOKUP(INDIRECT(ADDRESS(2,COLUMN())),OFFSET($BN$2,0,0,ROW()-1,60),ROW()-1,FALSE))</f>
        <v/>
      </c>
      <c r="BL20" t="str">
        <f ca="1">IF(AND(ISNUMBER($BL$694),$B$677=1),$BL$694,HLOOKUP(INDIRECT(ADDRESS(2,COLUMN())),OFFSET($BN$2,0,0,ROW()-1,60),ROW()-1,FALSE))</f>
        <v/>
      </c>
      <c r="BM20" t="str">
        <f ca="1">IF(AND(ISNUMBER($BM$694),$B$677=1),$BM$694,HLOOKUP(INDIRECT(ADDRESS(2,COLUMN())),OFFSET($BN$2,0,0,ROW()-1,60),ROW()-1,FALSE))</f>
        <v/>
      </c>
      <c r="BN20" t="str">
        <f>""</f>
        <v/>
      </c>
      <c r="BO20" t="str">
        <f>""</f>
        <v/>
      </c>
      <c r="BP20" t="str">
        <f>""</f>
        <v/>
      </c>
      <c r="BQ20" t="str">
        <f>""</f>
        <v/>
      </c>
      <c r="BR20" t="str">
        <f>""</f>
        <v/>
      </c>
      <c r="BS20" t="str">
        <f>""</f>
        <v/>
      </c>
      <c r="BT20" t="str">
        <f>""</f>
        <v/>
      </c>
      <c r="BU20" t="str">
        <f>""</f>
        <v/>
      </c>
      <c r="BV20" t="str">
        <f>""</f>
        <v/>
      </c>
      <c r="BW20" t="str">
        <f>""</f>
        <v/>
      </c>
      <c r="BX20" t="str">
        <f>""</f>
        <v/>
      </c>
      <c r="BY20" t="str">
        <f>""</f>
        <v/>
      </c>
      <c r="BZ20" t="str">
        <f>""</f>
        <v/>
      </c>
      <c r="CA20" t="str">
        <f>""</f>
        <v/>
      </c>
      <c r="CB20" t="str">
        <f>""</f>
        <v/>
      </c>
      <c r="CC20" t="str">
        <f>""</f>
        <v/>
      </c>
      <c r="CD20" t="str">
        <f>""</f>
        <v/>
      </c>
      <c r="CE20" t="str">
        <f>""</f>
        <v/>
      </c>
      <c r="CF20" t="str">
        <f>""</f>
        <v/>
      </c>
      <c r="CG20" t="str">
        <f>""</f>
        <v/>
      </c>
      <c r="CH20" t="str">
        <f>""</f>
        <v/>
      </c>
      <c r="CI20" t="str">
        <f>""</f>
        <v/>
      </c>
      <c r="CJ20" t="str">
        <f>""</f>
        <v/>
      </c>
      <c r="CK20" t="str">
        <f>""</f>
        <v/>
      </c>
      <c r="CL20" t="str">
        <f>""</f>
        <v/>
      </c>
      <c r="CM20" t="str">
        <f>""</f>
        <v/>
      </c>
      <c r="CN20" t="str">
        <f>""</f>
        <v/>
      </c>
      <c r="CO20" t="str">
        <f>""</f>
        <v/>
      </c>
      <c r="CP20" t="str">
        <f>""</f>
        <v/>
      </c>
      <c r="CQ20" t="str">
        <f>""</f>
        <v/>
      </c>
      <c r="CR20" t="str">
        <f>""</f>
        <v/>
      </c>
      <c r="CS20" t="str">
        <f>""</f>
        <v/>
      </c>
      <c r="CT20" t="str">
        <f>""</f>
        <v/>
      </c>
      <c r="CU20" t="str">
        <f>""</f>
        <v/>
      </c>
      <c r="CV20" t="str">
        <f>""</f>
        <v/>
      </c>
      <c r="CW20" t="str">
        <f>""</f>
        <v/>
      </c>
      <c r="CX20" t="str">
        <f>""</f>
        <v/>
      </c>
      <c r="CY20" t="str">
        <f>""</f>
        <v/>
      </c>
      <c r="CZ20" t="str">
        <f>""</f>
        <v/>
      </c>
      <c r="DA20" t="str">
        <f>""</f>
        <v/>
      </c>
      <c r="DB20" t="str">
        <f>""</f>
        <v/>
      </c>
      <c r="DC20" t="str">
        <f>""</f>
        <v/>
      </c>
      <c r="DD20" t="str">
        <f>""</f>
        <v/>
      </c>
      <c r="DE20" t="str">
        <f>""</f>
        <v/>
      </c>
      <c r="DF20" t="str">
        <f>""</f>
        <v/>
      </c>
      <c r="DG20" t="str">
        <f>""</f>
        <v/>
      </c>
      <c r="DH20" t="str">
        <f>""</f>
        <v/>
      </c>
      <c r="DI20" t="str">
        <f>""</f>
        <v/>
      </c>
      <c r="DJ20" t="str">
        <f>""</f>
        <v/>
      </c>
      <c r="DK20" t="str">
        <f>""</f>
        <v/>
      </c>
      <c r="DL20" t="str">
        <f>""</f>
        <v/>
      </c>
      <c r="DM20" t="str">
        <f>""</f>
        <v/>
      </c>
      <c r="DN20" t="str">
        <f>""</f>
        <v/>
      </c>
      <c r="DO20" t="str">
        <f>""</f>
        <v/>
      </c>
      <c r="DP20" t="str">
        <f>""</f>
        <v/>
      </c>
      <c r="DQ20" t="str">
        <f>""</f>
        <v/>
      </c>
      <c r="DR20" t="str">
        <f>""</f>
        <v/>
      </c>
      <c r="DS20" t="str">
        <f>""</f>
        <v/>
      </c>
      <c r="DT20" t="str">
        <f>""</f>
        <v/>
      </c>
      <c r="DU20" t="str">
        <f>""</f>
        <v/>
      </c>
    </row>
    <row r="21" spans="1:125" x14ac:dyDescent="0.25">
      <c r="A21" t="str">
        <f>"    General Motors Co"</f>
        <v xml:space="preserve">    General Motors Co</v>
      </c>
      <c r="B21" t="str">
        <f>"GM US Equity"</f>
        <v>GM US Equity</v>
      </c>
      <c r="C21" t="str">
        <f t="shared" si="0"/>
        <v>RR900</v>
      </c>
      <c r="D21" t="str">
        <f t="shared" si="1"/>
        <v>PE_RATIO</v>
      </c>
      <c r="E21" t="str">
        <f t="shared" si="2"/>
        <v>Dynamic</v>
      </c>
      <c r="F21">
        <f ca="1">IF(AND(ISNUMBER($F$695),$B$677=1),$F$695,HLOOKUP(INDIRECT(ADDRESS(2,COLUMN())),OFFSET($BN$2,0,0,ROW()-1,60),ROW()-1,FALSE))</f>
        <v>5.2857411000000001</v>
      </c>
      <c r="G21">
        <f ca="1">IF(AND(ISNUMBER($G$695),$B$677=1),$G$695,HLOOKUP(INDIRECT(ADDRESS(2,COLUMN())),OFFSET($BN$2,0,0,ROW()-1,60),ROW()-1,FALSE))</f>
        <v>4.5017958729999998</v>
      </c>
      <c r="H21">
        <f ca="1">IF(AND(ISNUMBER($H$695),$B$677=1),$H$695,HLOOKUP(INDIRECT(ADDRESS(2,COLUMN())),OFFSET($BN$2,0,0,ROW()-1,60),ROW()-1,FALSE))</f>
        <v>4.6076138530000001</v>
      </c>
      <c r="I21">
        <f ca="1">IF(AND(ISNUMBER($I$695),$B$677=1),$I$695,HLOOKUP(INDIRECT(ADDRESS(2,COLUMN())),OFFSET($BN$2,0,0,ROW()-1,60),ROW()-1,FALSE))</f>
        <v>5.8276997670000004</v>
      </c>
      <c r="J21">
        <f ca="1">IF(AND(ISNUMBER($J$695),$B$677=1),$J$695,HLOOKUP(INDIRECT(ADDRESS(2,COLUMN())),OFFSET($BN$2,0,0,ROW()-1,60),ROW()-1,FALSE))</f>
        <v>5.246420047</v>
      </c>
      <c r="K21">
        <f ca="1">IF(AND(ISNUMBER($K$695),$B$677=1),$K$695,HLOOKUP(INDIRECT(ADDRESS(2,COLUMN())),OFFSET($BN$2,0,0,ROW()-1,60),ROW()-1,FALSE))</f>
        <v>5.8645848889999996</v>
      </c>
      <c r="L21">
        <f ca="1">IF(AND(ISNUMBER($L$695),$B$677=1),$L$695,HLOOKUP(INDIRECT(ADDRESS(2,COLUMN())),OFFSET($BN$2,0,0,ROW()-1,60),ROW()-1,FALSE))</f>
        <v>6.097221234</v>
      </c>
      <c r="M21">
        <f ca="1">IF(AND(ISNUMBER($M$695),$B$677=1),$M$695,HLOOKUP(INDIRECT(ADDRESS(2,COLUMN())),OFFSET($BN$2,0,0,ROW()-1,60),ROW()-1,FALSE))</f>
        <v>4.9817722470000003</v>
      </c>
      <c r="N21">
        <f ca="1">IF(AND(ISNUMBER($N$695),$B$677=1),$N$695,HLOOKUP(INDIRECT(ADDRESS(2,COLUMN())),OFFSET($BN$2,0,0,ROW()-1,60),ROW()-1,FALSE))</f>
        <v>5.1678023120000001</v>
      </c>
      <c r="O21">
        <f ca="1">IF(AND(ISNUMBER($O$695),$B$677=1),$O$695,HLOOKUP(INDIRECT(ADDRESS(2,COLUMN())),OFFSET($BN$2,0,0,ROW()-1,60),ROW()-1,FALSE))</f>
        <v>5.3635713129999996</v>
      </c>
      <c r="P21">
        <f ca="1">IF(AND(ISNUMBER($P$695),$B$677=1),$P$695,HLOOKUP(INDIRECT(ADDRESS(2,COLUMN())),OFFSET($BN$2,0,0,ROW()-1,60),ROW()-1,FALSE))</f>
        <v>4.6985510509999999</v>
      </c>
      <c r="Q21">
        <f ca="1">IF(AND(ISNUMBER($Q$695),$B$677=1),$Q$695,HLOOKUP(INDIRECT(ADDRESS(2,COLUMN())),OFFSET($BN$2,0,0,ROW()-1,60),ROW()-1,FALSE))</f>
        <v>4.216202075</v>
      </c>
      <c r="R21">
        <f ca="1">IF(AND(ISNUMBER($R$695),$B$677=1),$R$695,HLOOKUP(INDIRECT(ADDRESS(2,COLUMN())),OFFSET($BN$2,0,0,ROW()-1,60),ROW()-1,FALSE))</f>
        <v>5.2446995239999996</v>
      </c>
      <c r="S21">
        <f ca="1">IF(AND(ISNUMBER($S$695),$B$677=1),$S$695,HLOOKUP(INDIRECT(ADDRESS(2,COLUMN())),OFFSET($BN$2,0,0,ROW()-1,60),ROW()-1,FALSE))</f>
        <v>6.3553628910000004</v>
      </c>
      <c r="T21">
        <f ca="1">IF(AND(ISNUMBER($T$695),$B$677=1),$T$695,HLOOKUP(INDIRECT(ADDRESS(2,COLUMN())),OFFSET($BN$2,0,0,ROW()-1,60),ROW()-1,FALSE))</f>
        <v>10.06439267</v>
      </c>
      <c r="U21">
        <f ca="1">IF(AND(ISNUMBER($U$695),$B$677=1),$U$695,HLOOKUP(INDIRECT(ADDRESS(2,COLUMN())),OFFSET($BN$2,0,0,ROW()-1,60),ROW()-1,FALSE))</f>
        <v>13.72692925</v>
      </c>
      <c r="V21">
        <f ca="1">IF(AND(ISNUMBER($V$695),$B$677=1),$V$695,HLOOKUP(INDIRECT(ADDRESS(2,COLUMN())),OFFSET($BN$2,0,0,ROW()-1,60),ROW()-1,FALSE))</f>
        <v>19.580619680000002</v>
      </c>
      <c r="W21">
        <f ca="1">IF(AND(ISNUMBER($W$695),$B$677=1),$W$695,HLOOKUP(INDIRECT(ADDRESS(2,COLUMN())),OFFSET($BN$2,0,0,ROW()-1,60),ROW()-1,FALSE))</f>
        <v>18.591666610000001</v>
      </c>
      <c r="X21">
        <f ca="1">IF(AND(ISNUMBER($X$695),$B$677=1),$X$695,HLOOKUP(INDIRECT(ADDRESS(2,COLUMN())),OFFSET($BN$2,0,0,ROW()-1,60),ROW()-1,FALSE))</f>
        <v>9.4159238189999996</v>
      </c>
      <c r="Y21">
        <f ca="1">IF(AND(ISNUMBER($Y$695),$B$677=1),$Y$695,HLOOKUP(INDIRECT(ADDRESS(2,COLUMN())),OFFSET($BN$2,0,0,ROW()-1,60),ROW()-1,FALSE))</f>
        <v>13.228631569999999</v>
      </c>
      <c r="Z21">
        <f ca="1">IF(AND(ISNUMBER($Z$695),$B$677=1),$Z$695,HLOOKUP(INDIRECT(ADDRESS(2,COLUMN())),OFFSET($BN$2,0,0,ROW()-1,60),ROW()-1,FALSE))</f>
        <v>10.948544070000001</v>
      </c>
      <c r="AA21">
        <f ca="1">IF(AND(ISNUMBER($AA$695),$B$677=1),$AA$695,HLOOKUP(INDIRECT(ADDRESS(2,COLUMN())),OFFSET($BN$2,0,0,ROW()-1,60),ROW()-1,FALSE))</f>
        <v>12.79959412</v>
      </c>
      <c r="AB21">
        <f ca="1">IF(AND(ISNUMBER($AB$695),$B$677=1),$AB$695,HLOOKUP(INDIRECT(ADDRESS(2,COLUMN())),OFFSET($BN$2,0,0,ROW()-1,60),ROW()-1,FALSE))</f>
        <v>12.807977190000001</v>
      </c>
      <c r="AC21">
        <f ca="1">IF(AND(ISNUMBER($AC$695),$B$677=1),$AC$695,HLOOKUP(INDIRECT(ADDRESS(2,COLUMN())),OFFSET($BN$2,0,0,ROW()-1,60),ROW()-1,FALSE))</f>
        <v>10.267684170000001</v>
      </c>
      <c r="AD21">
        <f ca="1">IF(AND(ISNUMBER($AD$695),$B$677=1),$AD$695,HLOOKUP(INDIRECT(ADDRESS(2,COLUMN())),OFFSET($BN$2,0,0,ROW()-1,60),ROW()-1,FALSE))</f>
        <v>8.3288949480000003</v>
      </c>
      <c r="AE21">
        <f ca="1">IF(AND(ISNUMBER($AE$695),$B$677=1),$AE$695,HLOOKUP(INDIRECT(ADDRESS(2,COLUMN())),OFFSET($BN$2,0,0,ROW()-1,60),ROW()-1,FALSE))</f>
        <v>8.0735858480000005</v>
      </c>
      <c r="AF21">
        <f ca="1">IF(AND(ISNUMBER($AF$695),$B$677=1),$AF$695,HLOOKUP(INDIRECT(ADDRESS(2,COLUMN())),OFFSET($BN$2,0,0,ROW()-1,60),ROW()-1,FALSE))</f>
        <v>7.0087987380000003</v>
      </c>
      <c r="AG21">
        <f ca="1">IF(AND(ISNUMBER($AG$695),$B$677=1),$AG$695,HLOOKUP(INDIRECT(ADDRESS(2,COLUMN())),OFFSET($BN$2,0,0,ROW()-1,60),ROW()-1,FALSE))</f>
        <v>5.7250240740000002</v>
      </c>
      <c r="AH21">
        <f ca="1">IF(AND(ISNUMBER($AH$695),$B$677=1),$AH$695,HLOOKUP(INDIRECT(ADDRESS(2,COLUMN())),OFFSET($BN$2,0,0,ROW()-1,60),ROW()-1,FALSE))</f>
        <v>6.4716361940000002</v>
      </c>
      <c r="AI21">
        <f ca="1">IF(AND(ISNUMBER($AI$695),$B$677=1),$AI$695,HLOOKUP(INDIRECT(ADDRESS(2,COLUMN())),OFFSET($BN$2,0,0,ROW()-1,60),ROW()-1,FALSE))</f>
        <v>4.7038718880000001</v>
      </c>
      <c r="AJ21">
        <f ca="1">IF(AND(ISNUMBER($AJ$695),$B$677=1),$AJ$695,HLOOKUP(INDIRECT(ADDRESS(2,COLUMN())),OFFSET($BN$2,0,0,ROW()-1,60),ROW()-1,FALSE))</f>
        <v>4.6569911409999998</v>
      </c>
      <c r="AK21">
        <f ca="1">IF(AND(ISNUMBER($AK$695),$B$677=1),$AK$695,HLOOKUP(INDIRECT(ADDRESS(2,COLUMN())),OFFSET($BN$2,0,0,ROW()-1,60),ROW()-1,FALSE))</f>
        <v>6.6687621869999996</v>
      </c>
      <c r="AL21">
        <f ca="1">IF(AND(ISNUMBER($AL$695),$B$677=1),$AL$695,HLOOKUP(INDIRECT(ADDRESS(2,COLUMN())),OFFSET($BN$2,0,0,ROW()-1,60),ROW()-1,FALSE))</f>
        <v>7.9660266799999997</v>
      </c>
      <c r="AM21">
        <f ca="1">IF(AND(ISNUMBER($AM$695),$B$677=1),$AM$695,HLOOKUP(INDIRECT(ADDRESS(2,COLUMN())),OFFSET($BN$2,0,0,ROW()-1,60),ROW()-1,FALSE))</f>
        <v>11.66487442</v>
      </c>
      <c r="AN21" t="str">
        <f ca="1">IF(AND(ISNUMBER($AN$695),$B$677=1),$AN$695,HLOOKUP(INDIRECT(ADDRESS(2,COLUMN())),OFFSET($BN$2,0,0,ROW()-1,60),ROW()-1,FALSE))</f>
        <v/>
      </c>
      <c r="AO21" t="str">
        <f ca="1">IF(AND(ISNUMBER($AO$695),$B$677=1),$AO$695,HLOOKUP(INDIRECT(ADDRESS(2,COLUMN())),OFFSET($BN$2,0,0,ROW()-1,60),ROW()-1,FALSE))</f>
        <v/>
      </c>
      <c r="AP21" t="str">
        <f ca="1">IF(AND(ISNUMBER($AP$695),$B$677=1),$AP$695,HLOOKUP(INDIRECT(ADDRESS(2,COLUMN())),OFFSET($BN$2,0,0,ROW()-1,60),ROW()-1,FALSE))</f>
        <v/>
      </c>
      <c r="AQ21" t="str">
        <f ca="1">IF(AND(ISNUMBER($AQ$695),$B$677=1),$AQ$695,HLOOKUP(INDIRECT(ADDRESS(2,COLUMN())),OFFSET($BN$2,0,0,ROW()-1,60),ROW()-1,FALSE))</f>
        <v/>
      </c>
      <c r="AR21" t="str">
        <f ca="1">IF(AND(ISNUMBER($AR$695),$B$677=1),$AR$695,HLOOKUP(INDIRECT(ADDRESS(2,COLUMN())),OFFSET($BN$2,0,0,ROW()-1,60),ROW()-1,FALSE))</f>
        <v/>
      </c>
      <c r="AS21" t="str">
        <f ca="1">IF(AND(ISNUMBER($AS$695),$B$677=1),$AS$695,HLOOKUP(INDIRECT(ADDRESS(2,COLUMN())),OFFSET($BN$2,0,0,ROW()-1,60),ROW()-1,FALSE))</f>
        <v/>
      </c>
      <c r="AT21" t="str">
        <f ca="1">IF(AND(ISNUMBER($AT$695),$B$677=1),$AT$695,HLOOKUP(INDIRECT(ADDRESS(2,COLUMN())),OFFSET($BN$2,0,0,ROW()-1,60),ROW()-1,FALSE))</f>
        <v/>
      </c>
      <c r="AU21" t="str">
        <f ca="1">IF(AND(ISNUMBER($AU$695),$B$677=1),$AU$695,HLOOKUP(INDIRECT(ADDRESS(2,COLUMN())),OFFSET($BN$2,0,0,ROW()-1,60),ROW()-1,FALSE))</f>
        <v/>
      </c>
      <c r="AV21" t="str">
        <f ca="1">IF(AND(ISNUMBER($AV$695),$B$677=1),$AV$695,HLOOKUP(INDIRECT(ADDRESS(2,COLUMN())),OFFSET($BN$2,0,0,ROW()-1,60),ROW()-1,FALSE))</f>
        <v/>
      </c>
      <c r="AW21" t="str">
        <f ca="1">IF(AND(ISNUMBER($AW$695),$B$677=1),$AW$695,HLOOKUP(INDIRECT(ADDRESS(2,COLUMN())),OFFSET($BN$2,0,0,ROW()-1,60),ROW()-1,FALSE))</f>
        <v/>
      </c>
      <c r="AX21" t="str">
        <f ca="1">IF(AND(ISNUMBER($AX$695),$B$677=1),$AX$695,HLOOKUP(INDIRECT(ADDRESS(2,COLUMN())),OFFSET($BN$2,0,0,ROW()-1,60),ROW()-1,FALSE))</f>
        <v/>
      </c>
      <c r="AY21" t="str">
        <f ca="1">IF(AND(ISNUMBER($AY$695),$B$677=1),$AY$695,HLOOKUP(INDIRECT(ADDRESS(2,COLUMN())),OFFSET($BN$2,0,0,ROW()-1,60),ROW()-1,FALSE))</f>
        <v/>
      </c>
      <c r="AZ21" t="str">
        <f ca="1">IF(AND(ISNUMBER($AZ$695),$B$677=1),$AZ$695,HLOOKUP(INDIRECT(ADDRESS(2,COLUMN())),OFFSET($BN$2,0,0,ROW()-1,60),ROW()-1,FALSE))</f>
        <v/>
      </c>
      <c r="BA21" t="str">
        <f ca="1">IF(AND(ISNUMBER($BA$695),$B$677=1),$BA$695,HLOOKUP(INDIRECT(ADDRESS(2,COLUMN())),OFFSET($BN$2,0,0,ROW()-1,60),ROW()-1,FALSE))</f>
        <v/>
      </c>
      <c r="BB21" t="str">
        <f ca="1">IF(AND(ISNUMBER($BB$695),$B$677=1),$BB$695,HLOOKUP(INDIRECT(ADDRESS(2,COLUMN())),OFFSET($BN$2,0,0,ROW()-1,60),ROW()-1,FALSE))</f>
        <v/>
      </c>
      <c r="BC21" t="str">
        <f ca="1">IF(AND(ISNUMBER($BC$695),$B$677=1),$BC$695,HLOOKUP(INDIRECT(ADDRESS(2,COLUMN())),OFFSET($BN$2,0,0,ROW()-1,60),ROW()-1,FALSE))</f>
        <v/>
      </c>
      <c r="BD21" t="str">
        <f ca="1">IF(AND(ISNUMBER($BD$695),$B$677=1),$BD$695,HLOOKUP(INDIRECT(ADDRESS(2,COLUMN())),OFFSET($BN$2,0,0,ROW()-1,60),ROW()-1,FALSE))</f>
        <v/>
      </c>
      <c r="BE21" t="str">
        <f ca="1">IF(AND(ISNUMBER($BE$695),$B$677=1),$BE$695,HLOOKUP(INDIRECT(ADDRESS(2,COLUMN())),OFFSET($BN$2,0,0,ROW()-1,60),ROW()-1,FALSE))</f>
        <v/>
      </c>
      <c r="BF21" t="str">
        <f ca="1">IF(AND(ISNUMBER($BF$695),$B$677=1),$BF$695,HLOOKUP(INDIRECT(ADDRESS(2,COLUMN())),OFFSET($BN$2,0,0,ROW()-1,60),ROW()-1,FALSE))</f>
        <v/>
      </c>
      <c r="BG21" t="str">
        <f ca="1">IF(AND(ISNUMBER($BG$695),$B$677=1),$BG$695,HLOOKUP(INDIRECT(ADDRESS(2,COLUMN())),OFFSET($BN$2,0,0,ROW()-1,60),ROW()-1,FALSE))</f>
        <v/>
      </c>
      <c r="BH21" t="str">
        <f ca="1">IF(AND(ISNUMBER($BH$695),$B$677=1),$BH$695,HLOOKUP(INDIRECT(ADDRESS(2,COLUMN())),OFFSET($BN$2,0,0,ROW()-1,60),ROW()-1,FALSE))</f>
        <v/>
      </c>
      <c r="BI21" t="str">
        <f ca="1">IF(AND(ISNUMBER($BI$695),$B$677=1),$BI$695,HLOOKUP(INDIRECT(ADDRESS(2,COLUMN())),OFFSET($BN$2,0,0,ROW()-1,60),ROW()-1,FALSE))</f>
        <v/>
      </c>
      <c r="BJ21" t="str">
        <f ca="1">IF(AND(ISNUMBER($BJ$695),$B$677=1),$BJ$695,HLOOKUP(INDIRECT(ADDRESS(2,COLUMN())),OFFSET($BN$2,0,0,ROW()-1,60),ROW()-1,FALSE))</f>
        <v/>
      </c>
      <c r="BK21" t="str">
        <f ca="1">IF(AND(ISNUMBER($BK$695),$B$677=1),$BK$695,HLOOKUP(INDIRECT(ADDRESS(2,COLUMN())),OFFSET($BN$2,0,0,ROW()-1,60),ROW()-1,FALSE))</f>
        <v/>
      </c>
      <c r="BL21" t="str">
        <f ca="1">IF(AND(ISNUMBER($BL$695),$B$677=1),$BL$695,HLOOKUP(INDIRECT(ADDRESS(2,COLUMN())),OFFSET($BN$2,0,0,ROW()-1,60),ROW()-1,FALSE))</f>
        <v/>
      </c>
      <c r="BM21" t="str">
        <f ca="1">IF(AND(ISNUMBER($BM$695),$B$677=1),$BM$695,HLOOKUP(INDIRECT(ADDRESS(2,COLUMN())),OFFSET($BN$2,0,0,ROW()-1,60),ROW()-1,FALSE))</f>
        <v/>
      </c>
      <c r="BN21">
        <f>5.2857411</f>
        <v>5.2857411000000001</v>
      </c>
      <c r="BO21">
        <f>4.501795873</f>
        <v>4.5017958729999998</v>
      </c>
      <c r="BP21">
        <f>4.607613853</f>
        <v>4.6076138530000001</v>
      </c>
      <c r="BQ21">
        <f>5.827699767</f>
        <v>5.8276997670000004</v>
      </c>
      <c r="BR21">
        <f>5.246420047</f>
        <v>5.246420047</v>
      </c>
      <c r="BS21">
        <f>5.864584889</f>
        <v>5.8645848889999996</v>
      </c>
      <c r="BT21">
        <f>6.097221234</f>
        <v>6.097221234</v>
      </c>
      <c r="BU21">
        <f>4.981772247</f>
        <v>4.9817722470000003</v>
      </c>
      <c r="BV21">
        <f>5.167802312</f>
        <v>5.1678023120000001</v>
      </c>
      <c r="BW21">
        <f>5.363571313</f>
        <v>5.3635713129999996</v>
      </c>
      <c r="BX21">
        <f>4.698551051</f>
        <v>4.6985510509999999</v>
      </c>
      <c r="BY21">
        <f>4.216202075</f>
        <v>4.216202075</v>
      </c>
      <c r="BZ21">
        <f>5.244699524</f>
        <v>5.2446995239999996</v>
      </c>
      <c r="CA21">
        <f>6.355362891</f>
        <v>6.3553628910000004</v>
      </c>
      <c r="CB21">
        <f>10.06439267</f>
        <v>10.06439267</v>
      </c>
      <c r="CC21">
        <f>13.72692925</f>
        <v>13.72692925</v>
      </c>
      <c r="CD21">
        <f>19.58061968</f>
        <v>19.580619680000002</v>
      </c>
      <c r="CE21">
        <f>18.59166661</f>
        <v>18.591666610000001</v>
      </c>
      <c r="CF21">
        <f>9.415923819</f>
        <v>9.4159238189999996</v>
      </c>
      <c r="CG21">
        <f>13.22863157</f>
        <v>13.228631569999999</v>
      </c>
      <c r="CH21">
        <f>10.94854407</f>
        <v>10.948544070000001</v>
      </c>
      <c r="CI21">
        <f>12.79959412</f>
        <v>12.79959412</v>
      </c>
      <c r="CJ21">
        <f>12.80797719</f>
        <v>12.807977190000001</v>
      </c>
      <c r="CK21">
        <f>10.26768417</f>
        <v>10.267684170000001</v>
      </c>
      <c r="CL21">
        <f>8.328894948</f>
        <v>8.3288949480000003</v>
      </c>
      <c r="CM21">
        <f>8.073585848</f>
        <v>8.0735858480000005</v>
      </c>
      <c r="CN21">
        <f>7.008798738</f>
        <v>7.0087987380000003</v>
      </c>
      <c r="CO21">
        <f>5.725024074</f>
        <v>5.7250240740000002</v>
      </c>
      <c r="CP21">
        <f>6.471636194</f>
        <v>6.4716361940000002</v>
      </c>
      <c r="CQ21">
        <f>4.703871888</f>
        <v>4.7038718880000001</v>
      </c>
      <c r="CR21">
        <f>4.656991141</f>
        <v>4.6569911409999998</v>
      </c>
      <c r="CS21">
        <f>6.668762187</f>
        <v>6.6687621869999996</v>
      </c>
      <c r="CT21">
        <f>7.96602668</f>
        <v>7.9660266799999997</v>
      </c>
      <c r="CU21">
        <f>11.66487442</f>
        <v>11.66487442</v>
      </c>
      <c r="CV21" t="str">
        <f>""</f>
        <v/>
      </c>
      <c r="CW21" t="str">
        <f>""</f>
        <v/>
      </c>
      <c r="CX21" t="str">
        <f>""</f>
        <v/>
      </c>
      <c r="CY21" t="str">
        <f>""</f>
        <v/>
      </c>
      <c r="CZ21" t="str">
        <f>""</f>
        <v/>
      </c>
      <c r="DA21" t="str">
        <f>""</f>
        <v/>
      </c>
      <c r="DB21" t="str">
        <f>""</f>
        <v/>
      </c>
      <c r="DC21" t="str">
        <f>""</f>
        <v/>
      </c>
      <c r="DD21" t="str">
        <f>""</f>
        <v/>
      </c>
      <c r="DE21" t="str">
        <f>""</f>
        <v/>
      </c>
      <c r="DF21" t="str">
        <f>""</f>
        <v/>
      </c>
      <c r="DG21" t="str">
        <f>""</f>
        <v/>
      </c>
      <c r="DH21" t="str">
        <f>""</f>
        <v/>
      </c>
      <c r="DI21" t="str">
        <f>""</f>
        <v/>
      </c>
      <c r="DJ21" t="str">
        <f>""</f>
        <v/>
      </c>
      <c r="DK21" t="str">
        <f>""</f>
        <v/>
      </c>
      <c r="DL21" t="str">
        <f>""</f>
        <v/>
      </c>
      <c r="DM21" t="str">
        <f>""</f>
        <v/>
      </c>
      <c r="DN21" t="str">
        <f>""</f>
        <v/>
      </c>
      <c r="DO21" t="str">
        <f>""</f>
        <v/>
      </c>
      <c r="DP21" t="str">
        <f>""</f>
        <v/>
      </c>
      <c r="DQ21" t="str">
        <f>""</f>
        <v/>
      </c>
      <c r="DR21" t="str">
        <f>""</f>
        <v/>
      </c>
      <c r="DS21" t="str">
        <f>""</f>
        <v/>
      </c>
      <c r="DT21" t="str">
        <f>""</f>
        <v/>
      </c>
      <c r="DU21" t="str">
        <f>""</f>
        <v/>
      </c>
    </row>
    <row r="22" spans="1:125" x14ac:dyDescent="0.25">
      <c r="A22" t="str">
        <f>"    Great Wall Motor Co Ltd"</f>
        <v xml:space="preserve">    Great Wall Motor Co Ltd</v>
      </c>
      <c r="B22" t="str">
        <f>"2333 HK Equity"</f>
        <v>2333 HK Equity</v>
      </c>
      <c r="C22" t="str">
        <f t="shared" si="0"/>
        <v>RR900</v>
      </c>
      <c r="D22" t="str">
        <f t="shared" si="1"/>
        <v>PE_RATIO</v>
      </c>
      <c r="E22" t="str">
        <f t="shared" si="2"/>
        <v>Dynamic</v>
      </c>
      <c r="F22">
        <f ca="1">IF(AND(ISNUMBER($F$696),$B$677=1),$F$696,HLOOKUP(INDIRECT(ADDRESS(2,COLUMN())),OFFSET($BN$2,0,0,ROW()-1,60),ROW()-1,FALSE))</f>
        <v>8.4065676979999999</v>
      </c>
      <c r="G22">
        <f ca="1">IF(AND(ISNUMBER($G$696),$B$677=1),$G$696,HLOOKUP(INDIRECT(ADDRESS(2,COLUMN())),OFFSET($BN$2,0,0,ROW()-1,60),ROW()-1,FALSE))</f>
        <v>5.9250934229999999</v>
      </c>
      <c r="H22">
        <f ca="1">IF(AND(ISNUMBER($H$696),$B$677=1),$H$696,HLOOKUP(INDIRECT(ADDRESS(2,COLUMN())),OFFSET($BN$2,0,0,ROW()-1,60),ROW()-1,FALSE))</f>
        <v>6.5815347309999996</v>
      </c>
      <c r="I22">
        <f ca="1">IF(AND(ISNUMBER($I$696),$B$677=1),$I$696,HLOOKUP(INDIRECT(ADDRESS(2,COLUMN())),OFFSET($BN$2,0,0,ROW()-1,60),ROW()-1,FALSE))</f>
        <v>7.3345383039999996</v>
      </c>
      <c r="J22">
        <f ca="1">IF(AND(ISNUMBER($J$696),$B$677=1),$J$696,HLOOKUP(INDIRECT(ADDRESS(2,COLUMN())),OFFSET($BN$2,0,0,ROW()-1,60),ROW()-1,FALSE))</f>
        <v>11.1942726</v>
      </c>
      <c r="K22">
        <f ca="1">IF(AND(ISNUMBER($K$696),$B$677=1),$K$696,HLOOKUP(INDIRECT(ADDRESS(2,COLUMN())),OFFSET($BN$2,0,0,ROW()-1,60),ROW()-1,FALSE))</f>
        <v>13.5334527</v>
      </c>
      <c r="L22">
        <f ca="1">IF(AND(ISNUMBER($L$696),$B$677=1),$L$696,HLOOKUP(INDIRECT(ADDRESS(2,COLUMN())),OFFSET($BN$2,0,0,ROW()-1,60),ROW()-1,FALSE))</f>
        <v>11.96077425</v>
      </c>
      <c r="M22">
        <f ca="1">IF(AND(ISNUMBER($M$696),$B$677=1),$M$696,HLOOKUP(INDIRECT(ADDRESS(2,COLUMN())),OFFSET($BN$2,0,0,ROW()-1,60),ROW()-1,FALSE))</f>
        <v>9.4776359160000005</v>
      </c>
      <c r="N22">
        <f ca="1">IF(AND(ISNUMBER($N$696),$B$677=1),$N$696,HLOOKUP(INDIRECT(ADDRESS(2,COLUMN())),OFFSET($BN$2,0,0,ROW()-1,60),ROW()-1,FALSE))</f>
        <v>7.0710922719999996</v>
      </c>
      <c r="O22">
        <f ca="1">IF(AND(ISNUMBER($O$696),$B$677=1),$O$696,HLOOKUP(INDIRECT(ADDRESS(2,COLUMN())),OFFSET($BN$2,0,0,ROW()-1,60),ROW()-1,FALSE))</f>
        <v>5.6176982930000001</v>
      </c>
      <c r="P22">
        <f ca="1">IF(AND(ISNUMBER($P$696),$B$677=1),$P$696,HLOOKUP(INDIRECT(ADDRESS(2,COLUMN())),OFFSET($BN$2,0,0,ROW()-1,60),ROW()-1,FALSE))</f>
        <v>6.5550755230000002</v>
      </c>
      <c r="Q22">
        <f ca="1">IF(AND(ISNUMBER($Q$696),$B$677=1),$Q$696,HLOOKUP(INDIRECT(ADDRESS(2,COLUMN())),OFFSET($BN$2,0,0,ROW()-1,60),ROW()-1,FALSE))</f>
        <v>6.0952609210000004</v>
      </c>
      <c r="R22">
        <f ca="1">IF(AND(ISNUMBER($R$696),$B$677=1),$R$696,HLOOKUP(INDIRECT(ADDRESS(2,COLUMN())),OFFSET($BN$2,0,0,ROW()-1,60),ROW()-1,FALSE))</f>
        <v>6.0581988889999998</v>
      </c>
      <c r="S22">
        <f ca="1">IF(AND(ISNUMBER($S$696),$B$677=1),$S$696,HLOOKUP(INDIRECT(ADDRESS(2,COLUMN())),OFFSET($BN$2,0,0,ROW()-1,60),ROW()-1,FALSE))</f>
        <v>8.5718762529999992</v>
      </c>
      <c r="T22">
        <f ca="1">IF(AND(ISNUMBER($T$696),$B$677=1),$T$696,HLOOKUP(INDIRECT(ADDRESS(2,COLUMN())),OFFSET($BN$2,0,0,ROW()-1,60),ROW()-1,FALSE))</f>
        <v>7.4068607279999998</v>
      </c>
      <c r="U22">
        <f ca="1">IF(AND(ISNUMBER($U$696),$B$677=1),$U$696,HLOOKUP(INDIRECT(ADDRESS(2,COLUMN())),OFFSET($BN$2,0,0,ROW()-1,60),ROW()-1,FALSE))</f>
        <v>10.512579860000001</v>
      </c>
      <c r="V22">
        <f ca="1">IF(AND(ISNUMBER($V$696),$B$677=1),$V$696,HLOOKUP(INDIRECT(ADDRESS(2,COLUMN())),OFFSET($BN$2,0,0,ROW()-1,60),ROW()-1,FALSE))</f>
        <v>15.577242269999999</v>
      </c>
      <c r="W22">
        <f ca="1">IF(AND(ISNUMBER($W$696),$B$677=1),$W$696,HLOOKUP(INDIRECT(ADDRESS(2,COLUMN())),OFFSET($BN$2,0,0,ROW()-1,60),ROW()-1,FALSE))</f>
        <v>13.35267619</v>
      </c>
      <c r="X22">
        <f ca="1">IF(AND(ISNUMBER($X$696),$B$677=1),$X$696,HLOOKUP(INDIRECT(ADDRESS(2,COLUMN())),OFFSET($BN$2,0,0,ROW()-1,60),ROW()-1,FALSE))</f>
        <v>9.4910344080000009</v>
      </c>
      <c r="Y22">
        <f ca="1">IF(AND(ISNUMBER($Y$696),$B$677=1),$Y$696,HLOOKUP(INDIRECT(ADDRESS(2,COLUMN())),OFFSET($BN$2,0,0,ROW()-1,60),ROW()-1,FALSE))</f>
        <v>8.6512971410000006</v>
      </c>
      <c r="Z22">
        <f ca="1">IF(AND(ISNUMBER($Z$696),$B$677=1),$Z$696,HLOOKUP(INDIRECT(ADDRESS(2,COLUMN())),OFFSET($BN$2,0,0,ROW()-1,60),ROW()-1,FALSE))</f>
        <v>11.363069960000001</v>
      </c>
      <c r="AA22">
        <f ca="1">IF(AND(ISNUMBER($AA$696),$B$677=1),$AA$696,HLOOKUP(INDIRECT(ADDRESS(2,COLUMN())),OFFSET($BN$2,0,0,ROW()-1,60),ROW()-1,FALSE))</f>
        <v>12.35326776</v>
      </c>
      <c r="AB22">
        <f ca="1">IF(AND(ISNUMBER($AB$696),$B$677=1),$AB$696,HLOOKUP(INDIRECT(ADDRESS(2,COLUMN())),OFFSET($BN$2,0,0,ROW()-1,60),ROW()-1,FALSE))</f>
        <v>12.579318349999999</v>
      </c>
      <c r="AC22">
        <f ca="1">IF(AND(ISNUMBER($AC$696),$B$677=1),$AC$696,HLOOKUP(INDIRECT(ADDRESS(2,COLUMN())),OFFSET($BN$2,0,0,ROW()-1,60),ROW()-1,FALSE))</f>
        <v>10.854861059999999</v>
      </c>
      <c r="AD22">
        <f ca="1">IF(AND(ISNUMBER($AD$696),$B$677=1),$AD$696,HLOOKUP(INDIRECT(ADDRESS(2,COLUMN())),OFFSET($BN$2,0,0,ROW()-1,60),ROW()-1,FALSE))</f>
        <v>9.8728854199999994</v>
      </c>
      <c r="AE22">
        <f ca="1">IF(AND(ISNUMBER($AE$696),$B$677=1),$AE$696,HLOOKUP(INDIRECT(ADDRESS(2,COLUMN())),OFFSET($BN$2,0,0,ROW()-1,60),ROW()-1,FALSE))</f>
        <v>10.5039295</v>
      </c>
      <c r="AF22">
        <f ca="1">IF(AND(ISNUMBER($AF$696),$B$677=1),$AF$696,HLOOKUP(INDIRECT(ADDRESS(2,COLUMN())),OFFSET($BN$2,0,0,ROW()-1,60),ROW()-1,FALSE))</f>
        <v>7.8524827679999998</v>
      </c>
      <c r="AG22">
        <f ca="1">IF(AND(ISNUMBER($AG$696),$B$677=1),$AG$696,HLOOKUP(INDIRECT(ADDRESS(2,COLUMN())),OFFSET($BN$2,0,0,ROW()-1,60),ROW()-1,FALSE))</f>
        <v>6.6624858710000003</v>
      </c>
      <c r="AH22" t="str">
        <f ca="1">IF(AND(ISNUMBER($AH$696),$B$677=1),$AH$696,HLOOKUP(INDIRECT(ADDRESS(2,COLUMN())),OFFSET($BN$2,0,0,ROW()-1,60),ROW()-1,FALSE))</f>
        <v/>
      </c>
      <c r="AI22" t="str">
        <f ca="1">IF(AND(ISNUMBER($AI$696),$B$677=1),$AI$696,HLOOKUP(INDIRECT(ADDRESS(2,COLUMN())),OFFSET($BN$2,0,0,ROW()-1,60),ROW()-1,FALSE))</f>
        <v/>
      </c>
      <c r="AJ22" t="str">
        <f ca="1">IF(AND(ISNUMBER($AJ$696),$B$677=1),$AJ$696,HLOOKUP(INDIRECT(ADDRESS(2,COLUMN())),OFFSET($BN$2,0,0,ROW()-1,60),ROW()-1,FALSE))</f>
        <v/>
      </c>
      <c r="AK22" t="str">
        <f ca="1">IF(AND(ISNUMBER($AK$696),$B$677=1),$AK$696,HLOOKUP(INDIRECT(ADDRESS(2,COLUMN())),OFFSET($BN$2,0,0,ROW()-1,60),ROW()-1,FALSE))</f>
        <v/>
      </c>
      <c r="AL22" t="str">
        <f ca="1">IF(AND(ISNUMBER($AL$696),$B$677=1),$AL$696,HLOOKUP(INDIRECT(ADDRESS(2,COLUMN())),OFFSET($BN$2,0,0,ROW()-1,60),ROW()-1,FALSE))</f>
        <v/>
      </c>
      <c r="AM22" t="str">
        <f ca="1">IF(AND(ISNUMBER($AM$696),$B$677=1),$AM$696,HLOOKUP(INDIRECT(ADDRESS(2,COLUMN())),OFFSET($BN$2,0,0,ROW()-1,60),ROW()-1,FALSE))</f>
        <v/>
      </c>
      <c r="AN22" t="str">
        <f ca="1">IF(AND(ISNUMBER($AN$696),$B$677=1),$AN$696,HLOOKUP(INDIRECT(ADDRESS(2,COLUMN())),OFFSET($BN$2,0,0,ROW()-1,60),ROW()-1,FALSE))</f>
        <v/>
      </c>
      <c r="AO22" t="str">
        <f ca="1">IF(AND(ISNUMBER($AO$696),$B$677=1),$AO$696,HLOOKUP(INDIRECT(ADDRESS(2,COLUMN())),OFFSET($BN$2,0,0,ROW()-1,60),ROW()-1,FALSE))</f>
        <v/>
      </c>
      <c r="AP22" t="str">
        <f ca="1">IF(AND(ISNUMBER($AP$696),$B$677=1),$AP$696,HLOOKUP(INDIRECT(ADDRESS(2,COLUMN())),OFFSET($BN$2,0,0,ROW()-1,60),ROW()-1,FALSE))</f>
        <v/>
      </c>
      <c r="AQ22" t="str">
        <f ca="1">IF(AND(ISNUMBER($AQ$696),$B$677=1),$AQ$696,HLOOKUP(INDIRECT(ADDRESS(2,COLUMN())),OFFSET($BN$2,0,0,ROW()-1,60),ROW()-1,FALSE))</f>
        <v/>
      </c>
      <c r="AR22" t="str">
        <f ca="1">IF(AND(ISNUMBER($AR$696),$B$677=1),$AR$696,HLOOKUP(INDIRECT(ADDRESS(2,COLUMN())),OFFSET($BN$2,0,0,ROW()-1,60),ROW()-1,FALSE))</f>
        <v/>
      </c>
      <c r="AS22" t="str">
        <f ca="1">IF(AND(ISNUMBER($AS$696),$B$677=1),$AS$696,HLOOKUP(INDIRECT(ADDRESS(2,COLUMN())),OFFSET($BN$2,0,0,ROW()-1,60),ROW()-1,FALSE))</f>
        <v/>
      </c>
      <c r="AT22" t="str">
        <f ca="1">IF(AND(ISNUMBER($AT$696),$B$677=1),$AT$696,HLOOKUP(INDIRECT(ADDRESS(2,COLUMN())),OFFSET($BN$2,0,0,ROW()-1,60),ROW()-1,FALSE))</f>
        <v/>
      </c>
      <c r="AU22" t="str">
        <f ca="1">IF(AND(ISNUMBER($AU$696),$B$677=1),$AU$696,HLOOKUP(INDIRECT(ADDRESS(2,COLUMN())),OFFSET($BN$2,0,0,ROW()-1,60),ROW()-1,FALSE))</f>
        <v/>
      </c>
      <c r="AV22" t="str">
        <f ca="1">IF(AND(ISNUMBER($AV$696),$B$677=1),$AV$696,HLOOKUP(INDIRECT(ADDRESS(2,COLUMN())),OFFSET($BN$2,0,0,ROW()-1,60),ROW()-1,FALSE))</f>
        <v/>
      </c>
      <c r="AW22" t="str">
        <f ca="1">IF(AND(ISNUMBER($AW$696),$B$677=1),$AW$696,HLOOKUP(INDIRECT(ADDRESS(2,COLUMN())),OFFSET($BN$2,0,0,ROW()-1,60),ROW()-1,FALSE))</f>
        <v/>
      </c>
      <c r="AX22" t="str">
        <f ca="1">IF(AND(ISNUMBER($AX$696),$B$677=1),$AX$696,HLOOKUP(INDIRECT(ADDRESS(2,COLUMN())),OFFSET($BN$2,0,0,ROW()-1,60),ROW()-1,FALSE))</f>
        <v/>
      </c>
      <c r="AY22" t="str">
        <f ca="1">IF(AND(ISNUMBER($AY$696),$B$677=1),$AY$696,HLOOKUP(INDIRECT(ADDRESS(2,COLUMN())),OFFSET($BN$2,0,0,ROW()-1,60),ROW()-1,FALSE))</f>
        <v/>
      </c>
      <c r="AZ22" t="str">
        <f ca="1">IF(AND(ISNUMBER($AZ$696),$B$677=1),$AZ$696,HLOOKUP(INDIRECT(ADDRESS(2,COLUMN())),OFFSET($BN$2,0,0,ROW()-1,60),ROW()-1,FALSE))</f>
        <v/>
      </c>
      <c r="BA22" t="str">
        <f ca="1">IF(AND(ISNUMBER($BA$696),$B$677=1),$BA$696,HLOOKUP(INDIRECT(ADDRESS(2,COLUMN())),OFFSET($BN$2,0,0,ROW()-1,60),ROW()-1,FALSE))</f>
        <v/>
      </c>
      <c r="BB22" t="str">
        <f ca="1">IF(AND(ISNUMBER($BB$696),$B$677=1),$BB$696,HLOOKUP(INDIRECT(ADDRESS(2,COLUMN())),OFFSET($BN$2,0,0,ROW()-1,60),ROW()-1,FALSE))</f>
        <v/>
      </c>
      <c r="BC22" t="str">
        <f ca="1">IF(AND(ISNUMBER($BC$696),$B$677=1),$BC$696,HLOOKUP(INDIRECT(ADDRESS(2,COLUMN())),OFFSET($BN$2,0,0,ROW()-1,60),ROW()-1,FALSE))</f>
        <v/>
      </c>
      <c r="BD22" t="str">
        <f ca="1">IF(AND(ISNUMBER($BD$696),$B$677=1),$BD$696,HLOOKUP(INDIRECT(ADDRESS(2,COLUMN())),OFFSET($BN$2,0,0,ROW()-1,60),ROW()-1,FALSE))</f>
        <v/>
      </c>
      <c r="BE22" t="str">
        <f ca="1">IF(AND(ISNUMBER($BE$696),$B$677=1),$BE$696,HLOOKUP(INDIRECT(ADDRESS(2,COLUMN())),OFFSET($BN$2,0,0,ROW()-1,60),ROW()-1,FALSE))</f>
        <v/>
      </c>
      <c r="BF22" t="str">
        <f ca="1">IF(AND(ISNUMBER($BF$696),$B$677=1),$BF$696,HLOOKUP(INDIRECT(ADDRESS(2,COLUMN())),OFFSET($BN$2,0,0,ROW()-1,60),ROW()-1,FALSE))</f>
        <v/>
      </c>
      <c r="BG22" t="str">
        <f ca="1">IF(AND(ISNUMBER($BG$696),$B$677=1),$BG$696,HLOOKUP(INDIRECT(ADDRESS(2,COLUMN())),OFFSET($BN$2,0,0,ROW()-1,60),ROW()-1,FALSE))</f>
        <v/>
      </c>
      <c r="BH22" t="str">
        <f ca="1">IF(AND(ISNUMBER($BH$696),$B$677=1),$BH$696,HLOOKUP(INDIRECT(ADDRESS(2,COLUMN())),OFFSET($BN$2,0,0,ROW()-1,60),ROW()-1,FALSE))</f>
        <v/>
      </c>
      <c r="BI22" t="str">
        <f ca="1">IF(AND(ISNUMBER($BI$696),$B$677=1),$BI$696,HLOOKUP(INDIRECT(ADDRESS(2,COLUMN())),OFFSET($BN$2,0,0,ROW()-1,60),ROW()-1,FALSE))</f>
        <v/>
      </c>
      <c r="BJ22" t="str">
        <f ca="1">IF(AND(ISNUMBER($BJ$696),$B$677=1),$BJ$696,HLOOKUP(INDIRECT(ADDRESS(2,COLUMN())),OFFSET($BN$2,0,0,ROW()-1,60),ROW()-1,FALSE))</f>
        <v/>
      </c>
      <c r="BK22" t="str">
        <f ca="1">IF(AND(ISNUMBER($BK$696),$B$677=1),$BK$696,HLOOKUP(INDIRECT(ADDRESS(2,COLUMN())),OFFSET($BN$2,0,0,ROW()-1,60),ROW()-1,FALSE))</f>
        <v/>
      </c>
      <c r="BL22" t="str">
        <f ca="1">IF(AND(ISNUMBER($BL$696),$B$677=1),$BL$696,HLOOKUP(INDIRECT(ADDRESS(2,COLUMN())),OFFSET($BN$2,0,0,ROW()-1,60),ROW()-1,FALSE))</f>
        <v/>
      </c>
      <c r="BM22" t="str">
        <f ca="1">IF(AND(ISNUMBER($BM$696),$B$677=1),$BM$696,HLOOKUP(INDIRECT(ADDRESS(2,COLUMN())),OFFSET($BN$2,0,0,ROW()-1,60),ROW()-1,FALSE))</f>
        <v/>
      </c>
      <c r="BN22">
        <f>8.406567698</f>
        <v>8.4065676979999999</v>
      </c>
      <c r="BO22">
        <f>5.925093423</f>
        <v>5.9250934229999999</v>
      </c>
      <c r="BP22">
        <f>6.581534731</f>
        <v>6.5815347309999996</v>
      </c>
      <c r="BQ22">
        <f>7.334538304</f>
        <v>7.3345383039999996</v>
      </c>
      <c r="BR22">
        <f>11.1942726</f>
        <v>11.1942726</v>
      </c>
      <c r="BS22">
        <f>13.5334527</f>
        <v>13.5334527</v>
      </c>
      <c r="BT22">
        <f>11.96077425</f>
        <v>11.96077425</v>
      </c>
      <c r="BU22">
        <f>9.477635916</f>
        <v>9.4776359160000005</v>
      </c>
      <c r="BV22">
        <f>7.071092272</f>
        <v>7.0710922719999996</v>
      </c>
      <c r="BW22">
        <f>5.617698293</f>
        <v>5.6176982930000001</v>
      </c>
      <c r="BX22">
        <f>6.555075523</f>
        <v>6.5550755230000002</v>
      </c>
      <c r="BY22">
        <f>6.095260921</f>
        <v>6.0952609210000004</v>
      </c>
      <c r="BZ22">
        <f>6.058198889</f>
        <v>6.0581988889999998</v>
      </c>
      <c r="CA22">
        <f>8.571876253</f>
        <v>8.5718762529999992</v>
      </c>
      <c r="CB22">
        <f>7.406860728</f>
        <v>7.4068607279999998</v>
      </c>
      <c r="CC22">
        <f>10.51257986</f>
        <v>10.512579860000001</v>
      </c>
      <c r="CD22">
        <f>15.57724227</f>
        <v>15.577242269999999</v>
      </c>
      <c r="CE22">
        <f>13.35267619</f>
        <v>13.35267619</v>
      </c>
      <c r="CF22">
        <f>9.491034408</f>
        <v>9.4910344080000009</v>
      </c>
      <c r="CG22">
        <f>8.651297141</f>
        <v>8.6512971410000006</v>
      </c>
      <c r="CH22">
        <f>11.36306996</f>
        <v>11.363069960000001</v>
      </c>
      <c r="CI22">
        <f>12.35326776</f>
        <v>12.35326776</v>
      </c>
      <c r="CJ22">
        <f>12.57931835</f>
        <v>12.579318349999999</v>
      </c>
      <c r="CK22">
        <f>10.85486106</f>
        <v>10.854861059999999</v>
      </c>
      <c r="CL22">
        <f>9.87288542</f>
        <v>9.8728854199999994</v>
      </c>
      <c r="CM22">
        <f>10.5039295</f>
        <v>10.5039295</v>
      </c>
      <c r="CN22">
        <f>7.852482768</f>
        <v>7.8524827679999998</v>
      </c>
      <c r="CO22">
        <f>6.662485871</f>
        <v>6.6624858710000003</v>
      </c>
      <c r="CP22" t="str">
        <f>""</f>
        <v/>
      </c>
      <c r="CQ22" t="str">
        <f>""</f>
        <v/>
      </c>
      <c r="CR22" t="str">
        <f>""</f>
        <v/>
      </c>
      <c r="CS22" t="str">
        <f>""</f>
        <v/>
      </c>
      <c r="CT22" t="str">
        <f>""</f>
        <v/>
      </c>
      <c r="CU22" t="str">
        <f>""</f>
        <v/>
      </c>
      <c r="CV22" t="str">
        <f>""</f>
        <v/>
      </c>
      <c r="CW22" t="str">
        <f>""</f>
        <v/>
      </c>
      <c r="CX22" t="str">
        <f>""</f>
        <v/>
      </c>
      <c r="CY22" t="str">
        <f>""</f>
        <v/>
      </c>
      <c r="CZ22" t="str">
        <f>""</f>
        <v/>
      </c>
      <c r="DA22" t="str">
        <f>""</f>
        <v/>
      </c>
      <c r="DB22" t="str">
        <f>""</f>
        <v/>
      </c>
      <c r="DC22" t="str">
        <f>""</f>
        <v/>
      </c>
      <c r="DD22" t="str">
        <f>""</f>
        <v/>
      </c>
      <c r="DE22" t="str">
        <f>""</f>
        <v/>
      </c>
      <c r="DF22" t="str">
        <f>""</f>
        <v/>
      </c>
      <c r="DG22" t="str">
        <f>""</f>
        <v/>
      </c>
      <c r="DH22" t="str">
        <f>""</f>
        <v/>
      </c>
      <c r="DI22" t="str">
        <f>""</f>
        <v/>
      </c>
      <c r="DJ22" t="str">
        <f>""</f>
        <v/>
      </c>
      <c r="DK22" t="str">
        <f>""</f>
        <v/>
      </c>
      <c r="DL22" t="str">
        <f>""</f>
        <v/>
      </c>
      <c r="DM22" t="str">
        <f>""</f>
        <v/>
      </c>
      <c r="DN22" t="str">
        <f>""</f>
        <v/>
      </c>
      <c r="DO22" t="str">
        <f>""</f>
        <v/>
      </c>
      <c r="DP22" t="str">
        <f>""</f>
        <v/>
      </c>
      <c r="DQ22" t="str">
        <f>""</f>
        <v/>
      </c>
      <c r="DR22" t="str">
        <f>""</f>
        <v/>
      </c>
      <c r="DS22" t="str">
        <f>""</f>
        <v/>
      </c>
      <c r="DT22" t="str">
        <f>""</f>
        <v/>
      </c>
      <c r="DU22" t="str">
        <f>""</f>
        <v/>
      </c>
    </row>
    <row r="23" spans="1:125" x14ac:dyDescent="0.25">
      <c r="A23" t="str">
        <f>"    Guangzhou Automobile Group Co Ltd"</f>
        <v xml:space="preserve">    Guangzhou Automobile Group Co Ltd</v>
      </c>
      <c r="B23" t="str">
        <f>"2238 HK Equity"</f>
        <v>2238 HK Equity</v>
      </c>
      <c r="C23" t="str">
        <f t="shared" si="0"/>
        <v>RR900</v>
      </c>
      <c r="D23" t="str">
        <f t="shared" si="1"/>
        <v>PE_RATIO</v>
      </c>
      <c r="E23" t="str">
        <f t="shared" si="2"/>
        <v>Dynamic</v>
      </c>
      <c r="F23">
        <f ca="1">IF(AND(ISNUMBER($F$697),$B$677=1),$F$697,HLOOKUP(INDIRECT(ADDRESS(2,COLUMN())),OFFSET($BN$2,0,0,ROW()-1,60),ROW()-1,FALSE))</f>
        <v>7.2930401800000002</v>
      </c>
      <c r="G23">
        <f ca="1">IF(AND(ISNUMBER($G$697),$B$677=1),$G$697,HLOOKUP(INDIRECT(ADDRESS(2,COLUMN())),OFFSET($BN$2,0,0,ROW()-1,60),ROW()-1,FALSE))</f>
        <v>5.9125012229999996</v>
      </c>
      <c r="H23">
        <f ca="1">IF(AND(ISNUMBER($H$697),$B$677=1),$H$697,HLOOKUP(INDIRECT(ADDRESS(2,COLUMN())),OFFSET($BN$2,0,0,ROW()-1,60),ROW()-1,FALSE))</f>
        <v>6.5601999649999998</v>
      </c>
      <c r="I23">
        <f ca="1">IF(AND(ISNUMBER($I$697),$B$677=1),$I$697,HLOOKUP(INDIRECT(ADDRESS(2,COLUMN())),OFFSET($BN$2,0,0,ROW()-1,60),ROW()-1,FALSE))</f>
        <v>5.5339138070000002</v>
      </c>
      <c r="J23">
        <f ca="1">IF(AND(ISNUMBER($J$697),$B$677=1),$J$697,HLOOKUP(INDIRECT(ADDRESS(2,COLUMN())),OFFSET($BN$2,0,0,ROW()-1,60),ROW()-1,FALSE))</f>
        <v>7.3259875049999996</v>
      </c>
      <c r="K23">
        <f ca="1">IF(AND(ISNUMBER($K$697),$B$677=1),$K$697,HLOOKUP(INDIRECT(ADDRESS(2,COLUMN())),OFFSET($BN$2,0,0,ROW()-1,60),ROW()-1,FALSE))</f>
        <v>9.3754361829999997</v>
      </c>
      <c r="L23">
        <f ca="1">IF(AND(ISNUMBER($L$697),$B$677=1),$L$697,HLOOKUP(INDIRECT(ADDRESS(2,COLUMN())),OFFSET($BN$2,0,0,ROW()-1,60),ROW()-1,FALSE))</f>
        <v>10.38826242</v>
      </c>
      <c r="M23">
        <f ca="1">IF(AND(ISNUMBER($M$697),$B$677=1),$M$697,HLOOKUP(INDIRECT(ADDRESS(2,COLUMN())),OFFSET($BN$2,0,0,ROW()-1,60),ROW()-1,FALSE))</f>
        <v>9.0751206639999999</v>
      </c>
      <c r="N23">
        <f ca="1">IF(AND(ISNUMBER($N$697),$B$677=1),$N$697,HLOOKUP(INDIRECT(ADDRESS(2,COLUMN())),OFFSET($BN$2,0,0,ROW()-1,60),ROW()-1,FALSE))</f>
        <v>8.7057281900000003</v>
      </c>
      <c r="O23">
        <f ca="1">IF(AND(ISNUMBER($O$697),$B$677=1),$O$697,HLOOKUP(INDIRECT(ADDRESS(2,COLUMN())),OFFSET($BN$2,0,0,ROW()-1,60),ROW()-1,FALSE))</f>
        <v>8.613992863</v>
      </c>
      <c r="P23">
        <f ca="1">IF(AND(ISNUMBER($P$697),$B$677=1),$P$697,HLOOKUP(INDIRECT(ADDRESS(2,COLUMN())),OFFSET($BN$2,0,0,ROW()-1,60),ROW()-1,FALSE))</f>
        <v>7.7405369999999998</v>
      </c>
      <c r="Q23">
        <f ca="1">IF(AND(ISNUMBER($Q$697),$B$677=1),$Q$697,HLOOKUP(INDIRECT(ADDRESS(2,COLUMN())),OFFSET($BN$2,0,0,ROW()-1,60),ROW()-1,FALSE))</f>
        <v>7.8770236110000003</v>
      </c>
      <c r="R23">
        <f ca="1">IF(AND(ISNUMBER($R$697),$B$677=1),$R$697,HLOOKUP(INDIRECT(ADDRESS(2,COLUMN())),OFFSET($BN$2,0,0,ROW()-1,60),ROW()-1,FALSE))</f>
        <v>7.6512240240000002</v>
      </c>
      <c r="S23">
        <f ca="1">IF(AND(ISNUMBER($S$697),$B$677=1),$S$697,HLOOKUP(INDIRECT(ADDRESS(2,COLUMN())),OFFSET($BN$2,0,0,ROW()-1,60),ROW()-1,FALSE))</f>
        <v>8.7975337519999997</v>
      </c>
      <c r="T23">
        <f ca="1">IF(AND(ISNUMBER($T$697),$B$677=1),$T$697,HLOOKUP(INDIRECT(ADDRESS(2,COLUMN())),OFFSET($BN$2,0,0,ROW()-1,60),ROW()-1,FALSE))</f>
        <v>9.1944588169999992</v>
      </c>
      <c r="U23">
        <f ca="1">IF(AND(ISNUMBER($U$697),$B$677=1),$U$697,HLOOKUP(INDIRECT(ADDRESS(2,COLUMN())),OFFSET($BN$2,0,0,ROW()-1,60),ROW()-1,FALSE))</f>
        <v>11.64559865</v>
      </c>
      <c r="V23">
        <f ca="1">IF(AND(ISNUMBER($V$697),$B$677=1),$V$697,HLOOKUP(INDIRECT(ADDRESS(2,COLUMN())),OFFSET($BN$2,0,0,ROW()-1,60),ROW()-1,FALSE))</f>
        <v>13.504993839999999</v>
      </c>
      <c r="W23">
        <f ca="1">IF(AND(ISNUMBER($W$697),$B$677=1),$W$697,HLOOKUP(INDIRECT(ADDRESS(2,COLUMN())),OFFSET($BN$2,0,0,ROW()-1,60),ROW()-1,FALSE))</f>
        <v>11.546666549999999</v>
      </c>
      <c r="X23">
        <f ca="1">IF(AND(ISNUMBER($X$697),$B$677=1),$X$697,HLOOKUP(INDIRECT(ADDRESS(2,COLUMN())),OFFSET($BN$2,0,0,ROW()-1,60),ROW()-1,FALSE))</f>
        <v>14.395965390000001</v>
      </c>
      <c r="Y23">
        <f ca="1">IF(AND(ISNUMBER($Y$697),$B$677=1),$Y$697,HLOOKUP(INDIRECT(ADDRESS(2,COLUMN())),OFFSET($BN$2,0,0,ROW()-1,60),ROW()-1,FALSE))</f>
        <v>14.598983260000001</v>
      </c>
      <c r="Z23">
        <f ca="1">IF(AND(ISNUMBER($Z$697),$B$677=1),$Z$697,HLOOKUP(INDIRECT(ADDRESS(2,COLUMN())),OFFSET($BN$2,0,0,ROW()-1,60),ROW()-1,FALSE))</f>
        <v>13.8637479</v>
      </c>
      <c r="AA23">
        <f ca="1">IF(AND(ISNUMBER($AA$697),$B$677=1),$AA$697,HLOOKUP(INDIRECT(ADDRESS(2,COLUMN())),OFFSET($BN$2,0,0,ROW()-1,60),ROW()-1,FALSE))</f>
        <v>16.094465899999999</v>
      </c>
      <c r="AB23">
        <f ca="1">IF(AND(ISNUMBER($AB$697),$B$677=1),$AB$697,HLOOKUP(INDIRECT(ADDRESS(2,COLUMN())),OFFSET($BN$2,0,0,ROW()-1,60),ROW()-1,FALSE))</f>
        <v>28.187424570000001</v>
      </c>
      <c r="AC23">
        <f ca="1">IF(AND(ISNUMBER($AC$697),$B$677=1),$AC$697,HLOOKUP(INDIRECT(ADDRESS(2,COLUMN())),OFFSET($BN$2,0,0,ROW()-1,60),ROW()-1,FALSE))</f>
        <v>42.807183629999997</v>
      </c>
      <c r="AD23">
        <f ca="1">IF(AND(ISNUMBER($AD$697),$B$677=1),$AD$697,HLOOKUP(INDIRECT(ADDRESS(2,COLUMN())),OFFSET($BN$2,0,0,ROW()-1,60),ROW()-1,FALSE))</f>
        <v>47.577579819999997</v>
      </c>
      <c r="AE23">
        <f ca="1">IF(AND(ISNUMBER($AE$697),$B$677=1),$AE$697,HLOOKUP(INDIRECT(ADDRESS(2,COLUMN())),OFFSET($BN$2,0,0,ROW()-1,60),ROW()-1,FALSE))</f>
        <v>30.050374290000001</v>
      </c>
      <c r="AF23">
        <f ca="1">IF(AND(ISNUMBER($AF$697),$B$677=1),$AF$697,HLOOKUP(INDIRECT(ADDRESS(2,COLUMN())),OFFSET($BN$2,0,0,ROW()-1,60),ROW()-1,FALSE))</f>
        <v>7.3720091669999999</v>
      </c>
      <c r="AG23">
        <f ca="1">IF(AND(ISNUMBER($AG$697),$B$677=1),$AG$697,HLOOKUP(INDIRECT(ADDRESS(2,COLUMN())),OFFSET($BN$2,0,0,ROW()-1,60),ROW()-1,FALSE))</f>
        <v>8.1892813269999998</v>
      </c>
      <c r="AH23">
        <f ca="1">IF(AND(ISNUMBER($AH$697),$B$677=1),$AH$697,HLOOKUP(INDIRECT(ADDRESS(2,COLUMN())),OFFSET($BN$2,0,0,ROW()-1,60),ROW()-1,FALSE))</f>
        <v>10.343904849999999</v>
      </c>
      <c r="AI23">
        <f ca="1">IF(AND(ISNUMBER($AI$697),$B$677=1),$AI$697,HLOOKUP(INDIRECT(ADDRESS(2,COLUMN())),OFFSET($BN$2,0,0,ROW()-1,60),ROW()-1,FALSE))</f>
        <v>9.0990048229999996</v>
      </c>
      <c r="AJ23">
        <f ca="1">IF(AND(ISNUMBER($AJ$697),$B$677=1),$AJ$697,HLOOKUP(INDIRECT(ADDRESS(2,COLUMN())),OFFSET($BN$2,0,0,ROW()-1,60),ROW()-1,FALSE))</f>
        <v>13.38489641</v>
      </c>
      <c r="AK23">
        <f ca="1">IF(AND(ISNUMBER($AK$697),$B$677=1),$AK$697,HLOOKUP(INDIRECT(ADDRESS(2,COLUMN())),OFFSET($BN$2,0,0,ROW()-1,60),ROW()-1,FALSE))</f>
        <v>14.934621659999999</v>
      </c>
      <c r="AL23">
        <f ca="1">IF(AND(ISNUMBER($AL$697),$B$677=1),$AL$697,HLOOKUP(INDIRECT(ADDRESS(2,COLUMN())),OFFSET($BN$2,0,0,ROW()-1,60),ROW()-1,FALSE))</f>
        <v>11.06269988</v>
      </c>
      <c r="AM23">
        <f ca="1">IF(AND(ISNUMBER($AM$697),$B$677=1),$AM$697,HLOOKUP(INDIRECT(ADDRESS(2,COLUMN())),OFFSET($BN$2,0,0,ROW()-1,60),ROW()-1,FALSE))</f>
        <v>9.6163899409999996</v>
      </c>
      <c r="AN23">
        <f ca="1">IF(AND(ISNUMBER($AN$697),$B$677=1),$AN$697,HLOOKUP(INDIRECT(ADDRESS(2,COLUMN())),OFFSET($BN$2,0,0,ROW()-1,60),ROW()-1,FALSE))</f>
        <v>12.61416401</v>
      </c>
      <c r="AO23" t="str">
        <f ca="1">IF(AND(ISNUMBER($AO$697),$B$677=1),$AO$697,HLOOKUP(INDIRECT(ADDRESS(2,COLUMN())),OFFSET($BN$2,0,0,ROW()-1,60),ROW()-1,FALSE))</f>
        <v/>
      </c>
      <c r="AP23" t="str">
        <f ca="1">IF(AND(ISNUMBER($AP$697),$B$677=1),$AP$697,HLOOKUP(INDIRECT(ADDRESS(2,COLUMN())),OFFSET($BN$2,0,0,ROW()-1,60),ROW()-1,FALSE))</f>
        <v/>
      </c>
      <c r="AQ23" t="str">
        <f ca="1">IF(AND(ISNUMBER($AQ$697),$B$677=1),$AQ$697,HLOOKUP(INDIRECT(ADDRESS(2,COLUMN())),OFFSET($BN$2,0,0,ROW()-1,60),ROW()-1,FALSE))</f>
        <v/>
      </c>
      <c r="AR23" t="str">
        <f ca="1">IF(AND(ISNUMBER($AR$697),$B$677=1),$AR$697,HLOOKUP(INDIRECT(ADDRESS(2,COLUMN())),OFFSET($BN$2,0,0,ROW()-1,60),ROW()-1,FALSE))</f>
        <v/>
      </c>
      <c r="AS23" t="str">
        <f ca="1">IF(AND(ISNUMBER($AS$697),$B$677=1),$AS$697,HLOOKUP(INDIRECT(ADDRESS(2,COLUMN())),OFFSET($BN$2,0,0,ROW()-1,60),ROW()-1,FALSE))</f>
        <v/>
      </c>
      <c r="AT23" t="str">
        <f ca="1">IF(AND(ISNUMBER($AT$697),$B$677=1),$AT$697,HLOOKUP(INDIRECT(ADDRESS(2,COLUMN())),OFFSET($BN$2,0,0,ROW()-1,60),ROW()-1,FALSE))</f>
        <v/>
      </c>
      <c r="AU23" t="str">
        <f ca="1">IF(AND(ISNUMBER($AU$697),$B$677=1),$AU$697,HLOOKUP(INDIRECT(ADDRESS(2,COLUMN())),OFFSET($BN$2,0,0,ROW()-1,60),ROW()-1,FALSE))</f>
        <v/>
      </c>
      <c r="AV23" t="str">
        <f ca="1">IF(AND(ISNUMBER($AV$697),$B$677=1),$AV$697,HLOOKUP(INDIRECT(ADDRESS(2,COLUMN())),OFFSET($BN$2,0,0,ROW()-1,60),ROW()-1,FALSE))</f>
        <v/>
      </c>
      <c r="AW23" t="str">
        <f ca="1">IF(AND(ISNUMBER($AW$697),$B$677=1),$AW$697,HLOOKUP(INDIRECT(ADDRESS(2,COLUMN())),OFFSET($BN$2,0,0,ROW()-1,60),ROW()-1,FALSE))</f>
        <v/>
      </c>
      <c r="AX23" t="str">
        <f ca="1">IF(AND(ISNUMBER($AX$697),$B$677=1),$AX$697,HLOOKUP(INDIRECT(ADDRESS(2,COLUMN())),OFFSET($BN$2,0,0,ROW()-1,60),ROW()-1,FALSE))</f>
        <v/>
      </c>
      <c r="AY23" t="str">
        <f ca="1">IF(AND(ISNUMBER($AY$697),$B$677=1),$AY$697,HLOOKUP(INDIRECT(ADDRESS(2,COLUMN())),OFFSET($BN$2,0,0,ROW()-1,60),ROW()-1,FALSE))</f>
        <v/>
      </c>
      <c r="AZ23" t="str">
        <f ca="1">IF(AND(ISNUMBER($AZ$697),$B$677=1),$AZ$697,HLOOKUP(INDIRECT(ADDRESS(2,COLUMN())),OFFSET($BN$2,0,0,ROW()-1,60),ROW()-1,FALSE))</f>
        <v/>
      </c>
      <c r="BA23" t="str">
        <f ca="1">IF(AND(ISNUMBER($BA$697),$B$677=1),$BA$697,HLOOKUP(INDIRECT(ADDRESS(2,COLUMN())),OFFSET($BN$2,0,0,ROW()-1,60),ROW()-1,FALSE))</f>
        <v/>
      </c>
      <c r="BB23" t="str">
        <f ca="1">IF(AND(ISNUMBER($BB$697),$B$677=1),$BB$697,HLOOKUP(INDIRECT(ADDRESS(2,COLUMN())),OFFSET($BN$2,0,0,ROW()-1,60),ROW()-1,FALSE))</f>
        <v/>
      </c>
      <c r="BC23" t="str">
        <f ca="1">IF(AND(ISNUMBER($BC$697),$B$677=1),$BC$697,HLOOKUP(INDIRECT(ADDRESS(2,COLUMN())),OFFSET($BN$2,0,0,ROW()-1,60),ROW()-1,FALSE))</f>
        <v/>
      </c>
      <c r="BD23" t="str">
        <f ca="1">IF(AND(ISNUMBER($BD$697),$B$677=1),$BD$697,HLOOKUP(INDIRECT(ADDRESS(2,COLUMN())),OFFSET($BN$2,0,0,ROW()-1,60),ROW()-1,FALSE))</f>
        <v/>
      </c>
      <c r="BE23" t="str">
        <f ca="1">IF(AND(ISNUMBER($BE$697),$B$677=1),$BE$697,HLOOKUP(INDIRECT(ADDRESS(2,COLUMN())),OFFSET($BN$2,0,0,ROW()-1,60),ROW()-1,FALSE))</f>
        <v/>
      </c>
      <c r="BF23" t="str">
        <f ca="1">IF(AND(ISNUMBER($BF$697),$B$677=1),$BF$697,HLOOKUP(INDIRECT(ADDRESS(2,COLUMN())),OFFSET($BN$2,0,0,ROW()-1,60),ROW()-1,FALSE))</f>
        <v/>
      </c>
      <c r="BG23" t="str">
        <f ca="1">IF(AND(ISNUMBER($BG$697),$B$677=1),$BG$697,HLOOKUP(INDIRECT(ADDRESS(2,COLUMN())),OFFSET($BN$2,0,0,ROW()-1,60),ROW()-1,FALSE))</f>
        <v/>
      </c>
      <c r="BH23" t="str">
        <f ca="1">IF(AND(ISNUMBER($BH$697),$B$677=1),$BH$697,HLOOKUP(INDIRECT(ADDRESS(2,COLUMN())),OFFSET($BN$2,0,0,ROW()-1,60),ROW()-1,FALSE))</f>
        <v/>
      </c>
      <c r="BI23" t="str">
        <f ca="1">IF(AND(ISNUMBER($BI$697),$B$677=1),$BI$697,HLOOKUP(INDIRECT(ADDRESS(2,COLUMN())),OFFSET($BN$2,0,0,ROW()-1,60),ROW()-1,FALSE))</f>
        <v/>
      </c>
      <c r="BJ23" t="str">
        <f ca="1">IF(AND(ISNUMBER($BJ$697),$B$677=1),$BJ$697,HLOOKUP(INDIRECT(ADDRESS(2,COLUMN())),OFFSET($BN$2,0,0,ROW()-1,60),ROW()-1,FALSE))</f>
        <v/>
      </c>
      <c r="BK23" t="str">
        <f ca="1">IF(AND(ISNUMBER($BK$697),$B$677=1),$BK$697,HLOOKUP(INDIRECT(ADDRESS(2,COLUMN())),OFFSET($BN$2,0,0,ROW()-1,60),ROW()-1,FALSE))</f>
        <v/>
      </c>
      <c r="BL23" t="str">
        <f ca="1">IF(AND(ISNUMBER($BL$697),$B$677=1),$BL$697,HLOOKUP(INDIRECT(ADDRESS(2,COLUMN())),OFFSET($BN$2,0,0,ROW()-1,60),ROW()-1,FALSE))</f>
        <v/>
      </c>
      <c r="BM23" t="str">
        <f ca="1">IF(AND(ISNUMBER($BM$697),$B$677=1),$BM$697,HLOOKUP(INDIRECT(ADDRESS(2,COLUMN())),OFFSET($BN$2,0,0,ROW()-1,60),ROW()-1,FALSE))</f>
        <v/>
      </c>
      <c r="BN23">
        <f>7.29304018</f>
        <v>7.2930401800000002</v>
      </c>
      <c r="BO23">
        <f>5.912501223</f>
        <v>5.9125012229999996</v>
      </c>
      <c r="BP23">
        <f>6.560199965</f>
        <v>6.5601999649999998</v>
      </c>
      <c r="BQ23">
        <f>5.533913807</f>
        <v>5.5339138070000002</v>
      </c>
      <c r="BR23">
        <f>7.325987505</f>
        <v>7.3259875049999996</v>
      </c>
      <c r="BS23">
        <f>9.375436183</f>
        <v>9.3754361829999997</v>
      </c>
      <c r="BT23">
        <f>10.38826242</f>
        <v>10.38826242</v>
      </c>
      <c r="BU23">
        <f>9.075120664</f>
        <v>9.0751206639999999</v>
      </c>
      <c r="BV23">
        <f>8.70572819</f>
        <v>8.7057281900000003</v>
      </c>
      <c r="BW23">
        <f>8.613992863</f>
        <v>8.613992863</v>
      </c>
      <c r="BX23">
        <f>7.740537</f>
        <v>7.7405369999999998</v>
      </c>
      <c r="BY23">
        <f>7.877023611</f>
        <v>7.8770236110000003</v>
      </c>
      <c r="BZ23">
        <f>7.651224024</f>
        <v>7.6512240240000002</v>
      </c>
      <c r="CA23">
        <f>8.797533752</f>
        <v>8.7975337519999997</v>
      </c>
      <c r="CB23">
        <f>9.194458817</f>
        <v>9.1944588169999992</v>
      </c>
      <c r="CC23">
        <f>11.64559865</f>
        <v>11.64559865</v>
      </c>
      <c r="CD23">
        <f>13.50499384</f>
        <v>13.504993839999999</v>
      </c>
      <c r="CE23">
        <f>11.54666655</f>
        <v>11.546666549999999</v>
      </c>
      <c r="CF23">
        <f>14.39596539</f>
        <v>14.395965390000001</v>
      </c>
      <c r="CG23">
        <f>14.59898326</f>
        <v>14.598983260000001</v>
      </c>
      <c r="CH23">
        <f>13.8637479</f>
        <v>13.8637479</v>
      </c>
      <c r="CI23">
        <f>16.0944659</f>
        <v>16.094465899999999</v>
      </c>
      <c r="CJ23">
        <f>28.18742457</f>
        <v>28.187424570000001</v>
      </c>
      <c r="CK23">
        <f>42.80718363</f>
        <v>42.807183629999997</v>
      </c>
      <c r="CL23">
        <f>47.57757982</f>
        <v>47.577579819999997</v>
      </c>
      <c r="CM23">
        <f>30.05037429</f>
        <v>30.050374290000001</v>
      </c>
      <c r="CN23">
        <f>7.372009167</f>
        <v>7.3720091669999999</v>
      </c>
      <c r="CO23">
        <f>8.189281327</f>
        <v>8.1892813269999998</v>
      </c>
      <c r="CP23">
        <f>10.34390485</f>
        <v>10.343904849999999</v>
      </c>
      <c r="CQ23">
        <f>9.099004823</f>
        <v>9.0990048229999996</v>
      </c>
      <c r="CR23">
        <f>13.38489641</f>
        <v>13.38489641</v>
      </c>
      <c r="CS23">
        <f>14.93462166</f>
        <v>14.934621659999999</v>
      </c>
      <c r="CT23">
        <f>11.06269988</f>
        <v>11.06269988</v>
      </c>
      <c r="CU23">
        <f>9.616389941</f>
        <v>9.6163899409999996</v>
      </c>
      <c r="CV23">
        <f>12.61416401</f>
        <v>12.61416401</v>
      </c>
      <c r="CW23" t="str">
        <f>""</f>
        <v/>
      </c>
      <c r="CX23" t="str">
        <f>""</f>
        <v/>
      </c>
      <c r="CY23" t="str">
        <f>""</f>
        <v/>
      </c>
      <c r="CZ23" t="str">
        <f>""</f>
        <v/>
      </c>
      <c r="DA23" t="str">
        <f>""</f>
        <v/>
      </c>
      <c r="DB23" t="str">
        <f>""</f>
        <v/>
      </c>
      <c r="DC23" t="str">
        <f>""</f>
        <v/>
      </c>
      <c r="DD23" t="str">
        <f>""</f>
        <v/>
      </c>
      <c r="DE23" t="str">
        <f>""</f>
        <v/>
      </c>
      <c r="DF23" t="str">
        <f>""</f>
        <v/>
      </c>
      <c r="DG23" t="str">
        <f>""</f>
        <v/>
      </c>
      <c r="DH23" t="str">
        <f>""</f>
        <v/>
      </c>
      <c r="DI23" t="str">
        <f>""</f>
        <v/>
      </c>
      <c r="DJ23" t="str">
        <f>""</f>
        <v/>
      </c>
      <c r="DK23" t="str">
        <f>""</f>
        <v/>
      </c>
      <c r="DL23" t="str">
        <f>""</f>
        <v/>
      </c>
      <c r="DM23" t="str">
        <f>""</f>
        <v/>
      </c>
      <c r="DN23" t="str">
        <f>""</f>
        <v/>
      </c>
      <c r="DO23" t="str">
        <f>""</f>
        <v/>
      </c>
      <c r="DP23" t="str">
        <f>""</f>
        <v/>
      </c>
      <c r="DQ23" t="str">
        <f>""</f>
        <v/>
      </c>
      <c r="DR23" t="str">
        <f>""</f>
        <v/>
      </c>
      <c r="DS23" t="str">
        <f>""</f>
        <v/>
      </c>
      <c r="DT23" t="str">
        <f>""</f>
        <v/>
      </c>
      <c r="DU23" t="str">
        <f>""</f>
        <v/>
      </c>
    </row>
    <row r="24" spans="1:125" x14ac:dyDescent="0.25">
      <c r="A24" t="str">
        <f>"    Honda Motor Co Ltd"</f>
        <v xml:space="preserve">    Honda Motor Co Ltd</v>
      </c>
      <c r="B24" t="str">
        <f>"7267 JP Equity"</f>
        <v>7267 JP Equity</v>
      </c>
      <c r="C24" t="str">
        <f t="shared" si="0"/>
        <v>RR900</v>
      </c>
      <c r="D24" t="str">
        <f t="shared" si="1"/>
        <v>PE_RATIO</v>
      </c>
      <c r="E24" t="str">
        <f t="shared" si="2"/>
        <v>Dynamic</v>
      </c>
      <c r="F24">
        <f ca="1">IF(AND(ISNUMBER($F$698),$B$677=1),$F$698,HLOOKUP(INDIRECT(ADDRESS(2,COLUMN())),OFFSET($BN$2,0,0,ROW()-1,60),ROW()-1,FALSE))</f>
        <v>7.5554266099999996</v>
      </c>
      <c r="G24">
        <f ca="1">IF(AND(ISNUMBER($G$698),$B$677=1),$G$698,HLOOKUP(INDIRECT(ADDRESS(2,COLUMN())),OFFSET($BN$2,0,0,ROW()-1,60),ROW()-1,FALSE))</f>
        <v>6.9981383429999999</v>
      </c>
      <c r="H24">
        <f ca="1">IF(AND(ISNUMBER($H$698),$B$677=1),$H$698,HLOOKUP(INDIRECT(ADDRESS(2,COLUMN())),OFFSET($BN$2,0,0,ROW()-1,60),ROW()-1,FALSE))</f>
        <v>5.4029850750000001</v>
      </c>
      <c r="I24">
        <f ca="1">IF(AND(ISNUMBER($I$698),$B$677=1),$I$698,HLOOKUP(INDIRECT(ADDRESS(2,COLUMN())),OFFSET($BN$2,0,0,ROW()-1,60),ROW()-1,FALSE))</f>
        <v>5.3033403059999999</v>
      </c>
      <c r="J24">
        <f ca="1">IF(AND(ISNUMBER($J$698),$B$677=1),$J$698,HLOOKUP(INDIRECT(ADDRESS(2,COLUMN())),OFFSET($BN$2,0,0,ROW()-1,60),ROW()-1,FALSE))</f>
        <v>6.1962798619999999</v>
      </c>
      <c r="K24">
        <f ca="1">IF(AND(ISNUMBER($K$698),$B$677=1),$K$698,HLOOKUP(INDIRECT(ADDRESS(2,COLUMN())),OFFSET($BN$2,0,0,ROW()-1,60),ROW()-1,FALSE))</f>
        <v>6.6206433100000002</v>
      </c>
      <c r="L24">
        <f ca="1">IF(AND(ISNUMBER($L$698),$B$677=1),$L$698,HLOOKUP(INDIRECT(ADDRESS(2,COLUMN())),OFFSET($BN$2,0,0,ROW()-1,60),ROW()-1,FALSE))</f>
        <v>9.2943595059999993</v>
      </c>
      <c r="M24">
        <f ca="1">IF(AND(ISNUMBER($M$698),$B$677=1),$M$698,HLOOKUP(INDIRECT(ADDRESS(2,COLUMN())),OFFSET($BN$2,0,0,ROW()-1,60),ROW()-1,FALSE))</f>
        <v>8.5061491910000004</v>
      </c>
      <c r="N24">
        <f ca="1">IF(AND(ISNUMBER($N$698),$B$677=1),$N$698,HLOOKUP(INDIRECT(ADDRESS(2,COLUMN())),OFFSET($BN$2,0,0,ROW()-1,60),ROW()-1,FALSE))</f>
        <v>9.7953814670000003</v>
      </c>
      <c r="O24">
        <f ca="1">IF(AND(ISNUMBER($O$698),$B$677=1),$O$698,HLOOKUP(INDIRECT(ADDRESS(2,COLUMN())),OFFSET($BN$2,0,0,ROW()-1,60),ROW()-1,FALSE))</f>
        <v>14.40867474</v>
      </c>
      <c r="P24">
        <f ca="1">IF(AND(ISNUMBER($P$698),$B$677=1),$P$698,HLOOKUP(INDIRECT(ADDRESS(2,COLUMN())),OFFSET($BN$2,0,0,ROW()-1,60),ROW()-1,FALSE))</f>
        <v>13.604240280000001</v>
      </c>
      <c r="Q24">
        <f ca="1">IF(AND(ISNUMBER($Q$698),$B$677=1),$Q$698,HLOOKUP(INDIRECT(ADDRESS(2,COLUMN())),OFFSET($BN$2,0,0,ROW()-1,60),ROW()-1,FALSE))</f>
        <v>13.91518364</v>
      </c>
      <c r="R24">
        <f ca="1">IF(AND(ISNUMBER($R$698),$B$677=1),$R$698,HLOOKUP(INDIRECT(ADDRESS(2,COLUMN())),OFFSET($BN$2,0,0,ROW()-1,60),ROW()-1,FALSE))</f>
        <v>16.143544670000001</v>
      </c>
      <c r="S24">
        <f ca="1">IF(AND(ISNUMBER($S$698),$B$677=1),$S$698,HLOOKUP(INDIRECT(ADDRESS(2,COLUMN())),OFFSET($BN$2,0,0,ROW()-1,60),ROW()-1,FALSE))</f>
        <v>13.151698619999999</v>
      </c>
      <c r="T24">
        <f ca="1">IF(AND(ISNUMBER($T$698),$B$677=1),$T$698,HLOOKUP(INDIRECT(ADDRESS(2,COLUMN())),OFFSET($BN$2,0,0,ROW()-1,60),ROW()-1,FALSE))</f>
        <v>11.308515740000001</v>
      </c>
      <c r="U24">
        <f ca="1">IF(AND(ISNUMBER($U$698),$B$677=1),$U$698,HLOOKUP(INDIRECT(ADDRESS(2,COLUMN())),OFFSET($BN$2,0,0,ROW()-1,60),ROW()-1,FALSE))</f>
        <v>12.84574727</v>
      </c>
      <c r="V24">
        <f ca="1">IF(AND(ISNUMBER($V$698),$B$677=1),$V$698,HLOOKUP(INDIRECT(ADDRESS(2,COLUMN())),OFFSET($BN$2,0,0,ROW()-1,60),ROW()-1,FALSE))</f>
        <v>13.38890604</v>
      </c>
      <c r="W24">
        <f ca="1">IF(AND(ISNUMBER($W$698),$B$677=1),$W$698,HLOOKUP(INDIRECT(ADDRESS(2,COLUMN())),OFFSET($BN$2,0,0,ROW()-1,60),ROW()-1,FALSE))</f>
        <v>10.62592291</v>
      </c>
      <c r="X24">
        <f ca="1">IF(AND(ISNUMBER($X$698),$B$677=1),$X$698,HLOOKUP(INDIRECT(ADDRESS(2,COLUMN())),OFFSET($BN$2,0,0,ROW()-1,60),ROW()-1,FALSE))</f>
        <v>11.294397379999999</v>
      </c>
      <c r="Y24">
        <f ca="1">IF(AND(ISNUMBER($Y$698),$B$677=1),$Y$698,HLOOKUP(INDIRECT(ADDRESS(2,COLUMN())),OFFSET($BN$2,0,0,ROW()-1,60),ROW()-1,FALSE))</f>
        <v>10.491501789999999</v>
      </c>
      <c r="Z24">
        <f ca="1">IF(AND(ISNUMBER($Z$698),$B$677=1),$Z$698,HLOOKUP(INDIRECT(ADDRESS(2,COLUMN())),OFFSET($BN$2,0,0,ROW()-1,60),ROW()-1,FALSE))</f>
        <v>11.40042665</v>
      </c>
      <c r="AA24">
        <f ca="1">IF(AND(ISNUMBER($AA$698),$B$677=1),$AA$698,HLOOKUP(INDIRECT(ADDRESS(2,COLUMN())),OFFSET($BN$2,0,0,ROW()-1,60),ROW()-1,FALSE))</f>
        <v>16.267187620000001</v>
      </c>
      <c r="AB24">
        <f ca="1">IF(AND(ISNUMBER($AB$698),$B$677=1),$AB$698,HLOOKUP(INDIRECT(ADDRESS(2,COLUMN())),OFFSET($BN$2,0,0,ROW()-1,60),ROW()-1,FALSE))</f>
        <v>16.97958813</v>
      </c>
      <c r="AC24">
        <f ca="1">IF(AND(ISNUMBER($AC$698),$B$677=1),$AC$698,HLOOKUP(INDIRECT(ADDRESS(2,COLUMN())),OFFSET($BN$2,0,0,ROW()-1,60),ROW()-1,FALSE))</f>
        <v>18.554884189999999</v>
      </c>
      <c r="AD24">
        <f ca="1">IF(AND(ISNUMBER($AD$698),$B$677=1),$AD$698,HLOOKUP(INDIRECT(ADDRESS(2,COLUMN())),OFFSET($BN$2,0,0,ROW()-1,60),ROW()-1,FALSE))</f>
        <v>17.450422150000001</v>
      </c>
      <c r="AE24">
        <f ca="1">IF(AND(ISNUMBER($AE$698),$B$677=1),$AE$698,HLOOKUP(INDIRECT(ADDRESS(2,COLUMN())),OFFSET($BN$2,0,0,ROW()-1,60),ROW()-1,FALSE))</f>
        <v>15.61462916</v>
      </c>
      <c r="AF24">
        <f ca="1">IF(AND(ISNUMBER($AF$698),$B$677=1),$AF$698,HLOOKUP(INDIRECT(ADDRESS(2,COLUMN())),OFFSET($BN$2,0,0,ROW()-1,60),ROW()-1,FALSE))</f>
        <v>12.964206969999999</v>
      </c>
      <c r="AG24">
        <f ca="1">IF(AND(ISNUMBER($AG$698),$B$677=1),$AG$698,HLOOKUP(INDIRECT(ADDRESS(2,COLUMN())),OFFSET($BN$2,0,0,ROW()-1,60),ROW()-1,FALSE))</f>
        <v>15.90914622</v>
      </c>
      <c r="AH24">
        <f ca="1">IF(AND(ISNUMBER($AH$698),$B$677=1),$AH$698,HLOOKUP(INDIRECT(ADDRESS(2,COLUMN())),OFFSET($BN$2,0,0,ROW()-1,60),ROW()-1,FALSE))</f>
        <v>26.801612720000001</v>
      </c>
      <c r="AI24">
        <f ca="1">IF(AND(ISNUMBER($AI$698),$B$677=1),$AI$698,HLOOKUP(INDIRECT(ADDRESS(2,COLUMN())),OFFSET($BN$2,0,0,ROW()-1,60),ROW()-1,FALSE))</f>
        <v>22.94430015</v>
      </c>
      <c r="AJ24">
        <f ca="1">IF(AND(ISNUMBER($AJ$698),$B$677=1),$AJ$698,HLOOKUP(INDIRECT(ADDRESS(2,COLUMN())),OFFSET($BN$2,0,0,ROW()-1,60),ROW()-1,FALSE))</f>
        <v>19.016535900000001</v>
      </c>
      <c r="AK24">
        <f ca="1">IF(AND(ISNUMBER($AK$698),$B$677=1),$AK$698,HLOOKUP(INDIRECT(ADDRESS(2,COLUMN())),OFFSET($BN$2,0,0,ROW()-1,60),ROW()-1,FALSE))</f>
        <v>18.97238153</v>
      </c>
      <c r="AL24">
        <f ca="1">IF(AND(ISNUMBER($AL$698),$B$677=1),$AL$698,HLOOKUP(INDIRECT(ADDRESS(2,COLUMN())),OFFSET($BN$2,0,0,ROW()-1,60),ROW()-1,FALSE))</f>
        <v>10.584796130000001</v>
      </c>
      <c r="AM24">
        <f ca="1">IF(AND(ISNUMBER($AM$698),$B$677=1),$AM$698,HLOOKUP(INDIRECT(ADDRESS(2,COLUMN())),OFFSET($BN$2,0,0,ROW()-1,60),ROW()-1,FALSE))</f>
        <v>10.361138130000001</v>
      </c>
      <c r="AN24">
        <f ca="1">IF(AND(ISNUMBER($AN$698),$B$677=1),$AN$698,HLOOKUP(INDIRECT(ADDRESS(2,COLUMN())),OFFSET($BN$2,0,0,ROW()-1,60),ROW()-1,FALSE))</f>
        <v>8.7282064409999993</v>
      </c>
      <c r="AO24">
        <f ca="1">IF(AND(ISNUMBER($AO$698),$B$677=1),$AO$698,HLOOKUP(INDIRECT(ADDRESS(2,COLUMN())),OFFSET($BN$2,0,0,ROW()-1,60),ROW()-1,FALSE))</f>
        <v>8.8329098039999998</v>
      </c>
      <c r="AP24">
        <f ca="1">IF(AND(ISNUMBER($AP$698),$B$677=1),$AP$698,HLOOKUP(INDIRECT(ADDRESS(2,COLUMN())),OFFSET($BN$2,0,0,ROW()-1,60),ROW()-1,FALSE))</f>
        <v>22.31024674</v>
      </c>
      <c r="AQ24">
        <f ca="1">IF(AND(ISNUMBER($AQ$698),$B$677=1),$AQ$698,HLOOKUP(INDIRECT(ADDRESS(2,COLUMN())),OFFSET($BN$2,0,0,ROW()-1,60),ROW()-1,FALSE))</f>
        <v>560.56529499999999</v>
      </c>
      <c r="AR24" t="str">
        <f ca="1">IF(AND(ISNUMBER($AR$698),$B$677=1),$AR$698,HLOOKUP(INDIRECT(ADDRESS(2,COLUMN())),OFFSET($BN$2,0,0,ROW()-1,60),ROW()-1,FALSE))</f>
        <v/>
      </c>
      <c r="AS24">
        <f ca="1">IF(AND(ISNUMBER($AS$698),$B$677=1),$AS$698,HLOOKUP(INDIRECT(ADDRESS(2,COLUMN())),OFFSET($BN$2,0,0,ROW()-1,60),ROW()-1,FALSE))</f>
        <v>34.499668919999998</v>
      </c>
      <c r="AT24">
        <f ca="1">IF(AND(ISNUMBER($AT$698),$B$677=1),$AT$698,HLOOKUP(INDIRECT(ADDRESS(2,COLUMN())),OFFSET($BN$2,0,0,ROW()-1,60),ROW()-1,FALSE))</f>
        <v>30.659014790000001</v>
      </c>
      <c r="AU24">
        <f ca="1">IF(AND(ISNUMBER($AU$698),$B$677=1),$AU$698,HLOOKUP(INDIRECT(ADDRESS(2,COLUMN())),OFFSET($BN$2,0,0,ROW()-1,60),ROW()-1,FALSE))</f>
        <v>9.9213991979999996</v>
      </c>
      <c r="AV24">
        <f ca="1">IF(AND(ISNUMBER($AV$698),$B$677=1),$AV$698,HLOOKUP(INDIRECT(ADDRESS(2,COLUMN())),OFFSET($BN$2,0,0,ROW()-1,60),ROW()-1,FALSE))</f>
        <v>10.61126374</v>
      </c>
      <c r="AW24">
        <f ca="1">IF(AND(ISNUMBER($AW$698),$B$677=1),$AW$698,HLOOKUP(INDIRECT(ADDRESS(2,COLUMN())),OFFSET($BN$2,0,0,ROW()-1,60),ROW()-1,FALSE))</f>
        <v>10.676524949999999</v>
      </c>
      <c r="AX24">
        <f ca="1">IF(AND(ISNUMBER($AX$698),$B$677=1),$AX$698,HLOOKUP(INDIRECT(ADDRESS(2,COLUMN())),OFFSET($BN$2,0,0,ROW()-1,60),ROW()-1,FALSE))</f>
        <v>8.6075183420000005</v>
      </c>
      <c r="AY24">
        <f ca="1">IF(AND(ISNUMBER($AY$698),$B$677=1),$AY$698,HLOOKUP(INDIRECT(ADDRESS(2,COLUMN())),OFFSET($BN$2,0,0,ROW()-1,60),ROW()-1,FALSE))</f>
        <v>9.0755082280000003</v>
      </c>
      <c r="AZ24">
        <f ca="1">IF(AND(ISNUMBER($AZ$698),$B$677=1),$AZ$698,HLOOKUP(INDIRECT(ADDRESS(2,COLUMN())),OFFSET($BN$2,0,0,ROW()-1,60),ROW()-1,FALSE))</f>
        <v>10.09440618</v>
      </c>
      <c r="BA24">
        <f ca="1">IF(AND(ISNUMBER($BA$698),$B$677=1),$BA$698,HLOOKUP(INDIRECT(ADDRESS(2,COLUMN())),OFFSET($BN$2,0,0,ROW()-1,60),ROW()-1,FALSE))</f>
        <v>13.330884319999999</v>
      </c>
      <c r="BB24">
        <f ca="1">IF(AND(ISNUMBER($BB$698),$B$677=1),$BB$698,HLOOKUP(INDIRECT(ADDRESS(2,COLUMN())),OFFSET($BN$2,0,0,ROW()-1,60),ROW()-1,FALSE))</f>
        <v>12.660099389999999</v>
      </c>
      <c r="BC24">
        <f ca="1">IF(AND(ISNUMBER($BC$698),$B$677=1),$BC$698,HLOOKUP(INDIRECT(ADDRESS(2,COLUMN())),OFFSET($BN$2,0,0,ROW()-1,60),ROW()-1,FALSE))</f>
        <v>13.51136516</v>
      </c>
      <c r="BD24">
        <f ca="1">IF(AND(ISNUMBER($BD$698),$B$677=1),$BD$698,HLOOKUP(INDIRECT(ADDRESS(2,COLUMN())),OFFSET($BN$2,0,0,ROW()-1,60),ROW()-1,FALSE))</f>
        <v>11.64811093</v>
      </c>
      <c r="BE24">
        <f ca="1">IF(AND(ISNUMBER($BE$698),$B$677=1),$BE$698,HLOOKUP(INDIRECT(ADDRESS(2,COLUMN())),OFFSET($BN$2,0,0,ROW()-1,60),ROW()-1,FALSE))</f>
        <v>10.57643624</v>
      </c>
      <c r="BF24">
        <f ca="1">IF(AND(ISNUMBER($BF$698),$B$677=1),$BF$698,HLOOKUP(INDIRECT(ADDRESS(2,COLUMN())),OFFSET($BN$2,0,0,ROW()-1,60),ROW()-1,FALSE))</f>
        <v>11.22813983</v>
      </c>
      <c r="BG24">
        <f ca="1">IF(AND(ISNUMBER($BG$698),$B$677=1),$BG$698,HLOOKUP(INDIRECT(ADDRESS(2,COLUMN())),OFFSET($BN$2,0,0,ROW()-1,60),ROW()-1,FALSE))</f>
        <v>13.172961280000001</v>
      </c>
      <c r="BH24">
        <f ca="1">IF(AND(ISNUMBER($BH$698),$B$677=1),$BH$698,HLOOKUP(INDIRECT(ADDRESS(2,COLUMN())),OFFSET($BN$2,0,0,ROW()-1,60),ROW()-1,FALSE))</f>
        <v>12.162546219999999</v>
      </c>
      <c r="BI24">
        <f ca="1">IF(AND(ISNUMBER($BI$698),$B$677=1),$BI$698,HLOOKUP(INDIRECT(ADDRESS(2,COLUMN())),OFFSET($BN$2,0,0,ROW()-1,60),ROW()-1,FALSE))</f>
        <v>10.54602186</v>
      </c>
      <c r="BJ24">
        <f ca="1">IF(AND(ISNUMBER($BJ$698),$B$677=1),$BJ$698,HLOOKUP(INDIRECT(ADDRESS(2,COLUMN())),OFFSET($BN$2,0,0,ROW()-1,60),ROW()-1,FALSE))</f>
        <v>10.31543733</v>
      </c>
      <c r="BK24">
        <f ca="1">IF(AND(ISNUMBER($BK$698),$B$677=1),$BK$698,HLOOKUP(INDIRECT(ADDRESS(2,COLUMN())),OFFSET($BN$2,0,0,ROW()-1,60),ROW()-1,FALSE))</f>
        <v>10.670814500000001</v>
      </c>
      <c r="BL24">
        <f ca="1">IF(AND(ISNUMBER($BL$698),$B$677=1),$BL$698,HLOOKUP(INDIRECT(ADDRESS(2,COLUMN())),OFFSET($BN$2,0,0,ROW()-1,60),ROW()-1,FALSE))</f>
        <v>10.798808470000001</v>
      </c>
      <c r="BM24">
        <f ca="1">IF(AND(ISNUMBER($BM$698),$B$677=1),$BM$698,HLOOKUP(INDIRECT(ADDRESS(2,COLUMN())),OFFSET($BN$2,0,0,ROW()-1,60),ROW()-1,FALSE))</f>
        <v>10.47579197</v>
      </c>
      <c r="BN24">
        <f>7.55542661</f>
        <v>7.5554266099999996</v>
      </c>
      <c r="BO24">
        <f>6.998138343</f>
        <v>6.9981383429999999</v>
      </c>
      <c r="BP24">
        <f>5.402985075</f>
        <v>5.4029850750000001</v>
      </c>
      <c r="BQ24">
        <f>5.303340306</f>
        <v>5.3033403059999999</v>
      </c>
      <c r="BR24">
        <f>6.196279862</f>
        <v>6.1962798619999999</v>
      </c>
      <c r="BS24">
        <f>6.62064331</f>
        <v>6.6206433100000002</v>
      </c>
      <c r="BT24">
        <f>9.294359506</f>
        <v>9.2943595059999993</v>
      </c>
      <c r="BU24">
        <f>8.506149191</f>
        <v>8.5061491910000004</v>
      </c>
      <c r="BV24">
        <f>9.795381467</f>
        <v>9.7953814670000003</v>
      </c>
      <c r="BW24">
        <f>14.40867474</f>
        <v>14.40867474</v>
      </c>
      <c r="BX24">
        <f>13.60424028</f>
        <v>13.604240280000001</v>
      </c>
      <c r="BY24">
        <f>13.91518364</f>
        <v>13.91518364</v>
      </c>
      <c r="BZ24">
        <f>16.14354467</f>
        <v>16.143544670000001</v>
      </c>
      <c r="CA24">
        <f>13.15169862</f>
        <v>13.151698619999999</v>
      </c>
      <c r="CB24">
        <f>11.30851574</f>
        <v>11.308515740000001</v>
      </c>
      <c r="CC24">
        <f>12.84574727</f>
        <v>12.84574727</v>
      </c>
      <c r="CD24">
        <f>13.38890604</f>
        <v>13.38890604</v>
      </c>
      <c r="CE24">
        <f>10.62592291</f>
        <v>10.62592291</v>
      </c>
      <c r="CF24">
        <f>11.29439738</f>
        <v>11.294397379999999</v>
      </c>
      <c r="CG24">
        <f>10.49150179</f>
        <v>10.491501789999999</v>
      </c>
      <c r="CH24">
        <f>11.40042665</f>
        <v>11.40042665</v>
      </c>
      <c r="CI24">
        <f>16.26718762</f>
        <v>16.267187620000001</v>
      </c>
      <c r="CJ24">
        <f>16.97958813</f>
        <v>16.97958813</v>
      </c>
      <c r="CK24">
        <f>18.55488419</f>
        <v>18.554884189999999</v>
      </c>
      <c r="CL24">
        <f>17.45042215</f>
        <v>17.450422150000001</v>
      </c>
      <c r="CM24">
        <f>15.61462916</f>
        <v>15.61462916</v>
      </c>
      <c r="CN24">
        <f>12.96420697</f>
        <v>12.964206969999999</v>
      </c>
      <c r="CO24">
        <f>15.90914622</f>
        <v>15.90914622</v>
      </c>
      <c r="CP24">
        <f>26.80161272</f>
        <v>26.801612720000001</v>
      </c>
      <c r="CQ24">
        <f>22.94430015</f>
        <v>22.94430015</v>
      </c>
      <c r="CR24">
        <f>19.0165359</f>
        <v>19.016535900000001</v>
      </c>
      <c r="CS24">
        <f>18.97238153</f>
        <v>18.97238153</v>
      </c>
      <c r="CT24">
        <f>10.58479613</f>
        <v>10.584796130000001</v>
      </c>
      <c r="CU24">
        <f>10.36113813</f>
        <v>10.361138130000001</v>
      </c>
      <c r="CV24">
        <f>8.728206441</f>
        <v>8.7282064409999993</v>
      </c>
      <c r="CW24">
        <f>8.832909804</f>
        <v>8.8329098039999998</v>
      </c>
      <c r="CX24">
        <f>22.31024674</f>
        <v>22.31024674</v>
      </c>
      <c r="CY24">
        <f>560.565295</f>
        <v>560.56529499999999</v>
      </c>
      <c r="CZ24" t="str">
        <f>""</f>
        <v/>
      </c>
      <c r="DA24">
        <f>34.49966892</f>
        <v>34.499668919999998</v>
      </c>
      <c r="DB24">
        <f>30.65901479</f>
        <v>30.659014790000001</v>
      </c>
      <c r="DC24">
        <f>9.921399198</f>
        <v>9.9213991979999996</v>
      </c>
      <c r="DD24">
        <f>10.61126374</f>
        <v>10.61126374</v>
      </c>
      <c r="DE24">
        <f>10.67652495</f>
        <v>10.676524949999999</v>
      </c>
      <c r="DF24">
        <f>8.607518342</f>
        <v>8.6075183420000005</v>
      </c>
      <c r="DG24">
        <f>9.075508228</f>
        <v>9.0755082280000003</v>
      </c>
      <c r="DH24">
        <f>10.09440618</f>
        <v>10.09440618</v>
      </c>
      <c r="DI24">
        <f>13.33088432</f>
        <v>13.330884319999999</v>
      </c>
      <c r="DJ24">
        <f>12.66009939</f>
        <v>12.660099389999999</v>
      </c>
      <c r="DK24">
        <f>13.51136516</f>
        <v>13.51136516</v>
      </c>
      <c r="DL24">
        <f>11.64811093</f>
        <v>11.64811093</v>
      </c>
      <c r="DM24">
        <f>10.57643624</f>
        <v>10.57643624</v>
      </c>
      <c r="DN24">
        <f>11.22813983</f>
        <v>11.22813983</v>
      </c>
      <c r="DO24">
        <f>13.17296128</f>
        <v>13.172961280000001</v>
      </c>
      <c r="DP24">
        <f>12.16254622</f>
        <v>12.162546219999999</v>
      </c>
      <c r="DQ24">
        <f>10.54602186</f>
        <v>10.54602186</v>
      </c>
      <c r="DR24">
        <f>10.31543733</f>
        <v>10.31543733</v>
      </c>
      <c r="DS24">
        <f>10.6708145</f>
        <v>10.670814500000001</v>
      </c>
      <c r="DT24">
        <f>10.79880847</f>
        <v>10.798808470000001</v>
      </c>
      <c r="DU24">
        <f>10.47579197</f>
        <v>10.47579197</v>
      </c>
    </row>
    <row r="25" spans="1:125" x14ac:dyDescent="0.25">
      <c r="A25" t="str">
        <f>"    Hyundai Motor Co"</f>
        <v xml:space="preserve">    Hyundai Motor Co</v>
      </c>
      <c r="B25" t="str">
        <f>"005380 KS Equity"</f>
        <v>005380 KS Equity</v>
      </c>
      <c r="C25" t="str">
        <f t="shared" si="0"/>
        <v>RR900</v>
      </c>
      <c r="D25" t="str">
        <f t="shared" si="1"/>
        <v>PE_RATIO</v>
      </c>
      <c r="E25" t="str">
        <f t="shared" si="2"/>
        <v>Dynamic</v>
      </c>
      <c r="F25" t="str">
        <f ca="1">IF(AND(ISNUMBER($F$699),$B$677=1),$F$699,HLOOKUP(INDIRECT(ADDRESS(2,COLUMN())),OFFSET($BN$2,0,0,ROW()-1,60),ROW()-1,FALSE))</f>
        <v/>
      </c>
      <c r="G25">
        <f ca="1">IF(AND(ISNUMBER($G$699),$B$677=1),$G$699,HLOOKUP(INDIRECT(ADDRESS(2,COLUMN())),OFFSET($BN$2,0,0,ROW()-1,60),ROW()-1,FALSE))</f>
        <v>11.915535439999999</v>
      </c>
      <c r="H25">
        <f ca="1">IF(AND(ISNUMBER($H$699),$B$677=1),$H$699,HLOOKUP(INDIRECT(ADDRESS(2,COLUMN())),OFFSET($BN$2,0,0,ROW()-1,60),ROW()-1,FALSE))</f>
        <v>13.0216189</v>
      </c>
      <c r="I25">
        <f ca="1">IF(AND(ISNUMBER($I$699),$B$677=1),$I$699,HLOOKUP(INDIRECT(ADDRESS(2,COLUMN())),OFFSET($BN$2,0,0,ROW()-1,60),ROW()-1,FALSE))</f>
        <v>10.36761669</v>
      </c>
      <c r="J25">
        <f ca="1">IF(AND(ISNUMBER($J$699),$B$677=1),$J$699,HLOOKUP(INDIRECT(ADDRESS(2,COLUMN())),OFFSET($BN$2,0,0,ROW()-1,60),ROW()-1,FALSE))</f>
        <v>11.455256650000001</v>
      </c>
      <c r="K25">
        <f ca="1">IF(AND(ISNUMBER($K$699),$B$677=1),$K$699,HLOOKUP(INDIRECT(ADDRESS(2,COLUMN())),OFFSET($BN$2,0,0,ROW()-1,60),ROW()-1,FALSE))</f>
        <v>10.404855599999999</v>
      </c>
      <c r="L25">
        <f ca="1">IF(AND(ISNUMBER($L$699),$B$677=1),$L$699,HLOOKUP(INDIRECT(ADDRESS(2,COLUMN())),OFFSET($BN$2,0,0,ROW()-1,60),ROW()-1,FALSE))</f>
        <v>10.11922414</v>
      </c>
      <c r="M25">
        <f ca="1">IF(AND(ISNUMBER($M$699),$B$677=1),$M$699,HLOOKUP(INDIRECT(ADDRESS(2,COLUMN())),OFFSET($BN$2,0,0,ROW()-1,60),ROW()-1,FALSE))</f>
        <v>10.19124935</v>
      </c>
      <c r="N25">
        <f ca="1">IF(AND(ISNUMBER($N$699),$B$677=1),$N$699,HLOOKUP(INDIRECT(ADDRESS(2,COLUMN())),OFFSET($BN$2,0,0,ROW()-1,60),ROW()-1,FALSE))</f>
        <v>8.3858305259999995</v>
      </c>
      <c r="O25">
        <f ca="1">IF(AND(ISNUMBER($O$699),$B$677=1),$O$699,HLOOKUP(INDIRECT(ADDRESS(2,COLUMN())),OFFSET($BN$2,0,0,ROW()-1,60),ROW()-1,FALSE))</f>
        <v>7.2569367089999997</v>
      </c>
      <c r="P25">
        <f ca="1">IF(AND(ISNUMBER($P$699),$B$677=1),$P$699,HLOOKUP(INDIRECT(ADDRESS(2,COLUMN())),OFFSET($BN$2,0,0,ROW()-1,60),ROW()-1,FALSE))</f>
        <v>6.0313307939999996</v>
      </c>
      <c r="Q25">
        <f ca="1">IF(AND(ISNUMBER($Q$699),$B$677=1),$Q$699,HLOOKUP(INDIRECT(ADDRESS(2,COLUMN())),OFFSET($BN$2,0,0,ROW()-1,60),ROW()-1,FALSE))</f>
        <v>5.9206449299999999</v>
      </c>
      <c r="R25">
        <f ca="1">IF(AND(ISNUMBER($R$699),$B$677=1),$R$699,HLOOKUP(INDIRECT(ADDRESS(2,COLUMN())),OFFSET($BN$2,0,0,ROW()-1,60),ROW()-1,FALSE))</f>
        <v>6.6154722259999996</v>
      </c>
      <c r="S25">
        <f ca="1">IF(AND(ISNUMBER($S$699),$B$677=1),$S$699,HLOOKUP(INDIRECT(ADDRESS(2,COLUMN())),OFFSET($BN$2,0,0,ROW()-1,60),ROW()-1,FALSE))</f>
        <v>6.2450175310000002</v>
      </c>
      <c r="T25">
        <f ca="1">IF(AND(ISNUMBER($T$699),$B$677=1),$T$699,HLOOKUP(INDIRECT(ADDRESS(2,COLUMN())),OFFSET($BN$2,0,0,ROW()-1,60),ROW()-1,FALSE))</f>
        <v>6.8655485809999997</v>
      </c>
      <c r="U25">
        <f ca="1">IF(AND(ISNUMBER($U$699),$B$677=1),$U$699,HLOOKUP(INDIRECT(ADDRESS(2,COLUMN())),OFFSET($BN$2,0,0,ROW()-1,60),ROW()-1,FALSE))</f>
        <v>5.4182436540000003</v>
      </c>
      <c r="V25">
        <f ca="1">IF(AND(ISNUMBER($V$699),$B$677=1),$V$699,HLOOKUP(INDIRECT(ADDRESS(2,COLUMN())),OFFSET($BN$2,0,0,ROW()-1,60),ROW()-1,FALSE))</f>
        <v>6.233956192</v>
      </c>
      <c r="W25">
        <f ca="1">IF(AND(ISNUMBER($W$699),$B$677=1),$W$699,HLOOKUP(INDIRECT(ADDRESS(2,COLUMN())),OFFSET($BN$2,0,0,ROW()-1,60),ROW()-1,FALSE))</f>
        <v>6.2508357529999996</v>
      </c>
      <c r="X25">
        <f ca="1">IF(AND(ISNUMBER($X$699),$B$677=1),$X$699,HLOOKUP(INDIRECT(ADDRESS(2,COLUMN())),OFFSET($BN$2,0,0,ROW()-1,60),ROW()-1,FALSE))</f>
        <v>6.682569194</v>
      </c>
      <c r="Y25">
        <f ca="1">IF(AND(ISNUMBER($Y$699),$B$677=1),$Y$699,HLOOKUP(INDIRECT(ADDRESS(2,COLUMN())),OFFSET($BN$2,0,0,ROW()-1,60),ROW()-1,FALSE))</f>
        <v>7.450331126</v>
      </c>
      <c r="Z25">
        <f ca="1">IF(AND(ISNUMBER($Z$699),$B$677=1),$Z$699,HLOOKUP(INDIRECT(ADDRESS(2,COLUMN())),OFFSET($BN$2,0,0,ROW()-1,60),ROW()-1,FALSE))</f>
        <v>7.9987253029999996</v>
      </c>
      <c r="AA25">
        <f ca="1">IF(AND(ISNUMBER($AA$699),$B$677=1),$AA$699,HLOOKUP(INDIRECT(ADDRESS(2,COLUMN())),OFFSET($BN$2,0,0,ROW()-1,60),ROW()-1,FALSE))</f>
        <v>7.5220253809999997</v>
      </c>
      <c r="AB25">
        <f ca="1">IF(AND(ISNUMBER($AB$699),$B$677=1),$AB$699,HLOOKUP(INDIRECT(ADDRESS(2,COLUMN())),OFFSET($BN$2,0,0,ROW()-1,60),ROW()-1,FALSE))</f>
        <v>8.2395036600000005</v>
      </c>
      <c r="AC25">
        <f ca="1">IF(AND(ISNUMBER($AC$699),$B$677=1),$AC$699,HLOOKUP(INDIRECT(ADDRESS(2,COLUMN())),OFFSET($BN$2,0,0,ROW()-1,60),ROW()-1,FALSE))</f>
        <v>7.506407909</v>
      </c>
      <c r="AD25">
        <f ca="1">IF(AND(ISNUMBER($AD$699),$B$677=1),$AD$699,HLOOKUP(INDIRECT(ADDRESS(2,COLUMN())),OFFSET($BN$2,0,0,ROW()-1,60),ROW()-1,FALSE))</f>
        <v>7.4157452160000004</v>
      </c>
      <c r="AE25">
        <f ca="1">IF(AND(ISNUMBER($AE$699),$B$677=1),$AE$699,HLOOKUP(INDIRECT(ADDRESS(2,COLUMN())),OFFSET($BN$2,0,0,ROW()-1,60),ROW()-1,FALSE))</f>
        <v>6.9334264140000004</v>
      </c>
      <c r="AF25">
        <f ca="1">IF(AND(ISNUMBER($AF$699),$B$677=1),$AF$699,HLOOKUP(INDIRECT(ADDRESS(2,COLUMN())),OFFSET($BN$2,0,0,ROW()-1,60),ROW()-1,FALSE))</f>
        <v>7.8403580140000004</v>
      </c>
      <c r="AG25">
        <f ca="1">IF(AND(ISNUMBER($AG$699),$B$677=1),$AG$699,HLOOKUP(INDIRECT(ADDRESS(2,COLUMN())),OFFSET($BN$2,0,0,ROW()-1,60),ROW()-1,FALSE))</f>
        <v>7.4168855650000003</v>
      </c>
      <c r="AH25">
        <f ca="1">IF(AND(ISNUMBER($AH$699),$B$677=1),$AH$699,HLOOKUP(INDIRECT(ADDRESS(2,COLUMN())),OFFSET($BN$2,0,0,ROW()-1,60),ROW()-1,FALSE))</f>
        <v>7.7095161760000002</v>
      </c>
      <c r="AI25">
        <f ca="1">IF(AND(ISNUMBER($AI$699),$B$677=1),$AI$699,HLOOKUP(INDIRECT(ADDRESS(2,COLUMN())),OFFSET($BN$2,0,0,ROW()-1,60),ROW()-1,FALSE))</f>
        <v>7.5530871910000004</v>
      </c>
      <c r="AJ25">
        <f ca="1">IF(AND(ISNUMBER($AJ$699),$B$677=1),$AJ$699,HLOOKUP(INDIRECT(ADDRESS(2,COLUMN())),OFFSET($BN$2,0,0,ROW()-1,60),ROW()-1,FALSE))</f>
        <v>8.0302415749999998</v>
      </c>
      <c r="AK25">
        <f ca="1">IF(AND(ISNUMBER($AK$699),$B$677=1),$AK$699,HLOOKUP(INDIRECT(ADDRESS(2,COLUMN())),OFFSET($BN$2,0,0,ROW()-1,60),ROW()-1,FALSE))</f>
        <v>9.5550365490000004</v>
      </c>
      <c r="AL25">
        <f ca="1">IF(AND(ISNUMBER($AL$699),$B$677=1),$AL$699,HLOOKUP(INDIRECT(ADDRESS(2,COLUMN())),OFFSET($BN$2,0,0,ROW()-1,60),ROW()-1,FALSE))</f>
        <v>8.9377415829999993</v>
      </c>
      <c r="AM25">
        <f ca="1">IF(AND(ISNUMBER($AM$699),$B$677=1),$AM$699,HLOOKUP(INDIRECT(ADDRESS(2,COLUMN())),OFFSET($BN$2,0,0,ROW()-1,60),ROW()-1,FALSE))</f>
        <v>8.4577735950000008</v>
      </c>
      <c r="AN25" t="str">
        <f ca="1">IF(AND(ISNUMBER($AN$699),$B$677=1),$AN$699,HLOOKUP(INDIRECT(ADDRESS(2,COLUMN())),OFFSET($BN$2,0,0,ROW()-1,60),ROW()-1,FALSE))</f>
        <v/>
      </c>
      <c r="AO25" t="str">
        <f ca="1">IF(AND(ISNUMBER($AO$699),$B$677=1),$AO$699,HLOOKUP(INDIRECT(ADDRESS(2,COLUMN())),OFFSET($BN$2,0,0,ROW()-1,60),ROW()-1,FALSE))</f>
        <v/>
      </c>
      <c r="AP25" t="str">
        <f ca="1">IF(AND(ISNUMBER($AP$699),$B$677=1),$AP$699,HLOOKUP(INDIRECT(ADDRESS(2,COLUMN())),OFFSET($BN$2,0,0,ROW()-1,60),ROW()-1,FALSE))</f>
        <v/>
      </c>
      <c r="AQ25" t="str">
        <f ca="1">IF(AND(ISNUMBER($AQ$699),$B$677=1),$AQ$699,HLOOKUP(INDIRECT(ADDRESS(2,COLUMN())),OFFSET($BN$2,0,0,ROW()-1,60),ROW()-1,FALSE))</f>
        <v/>
      </c>
      <c r="AR25" t="str">
        <f ca="1">IF(AND(ISNUMBER($AR$699),$B$677=1),$AR$699,HLOOKUP(INDIRECT(ADDRESS(2,COLUMN())),OFFSET($BN$2,0,0,ROW()-1,60),ROW()-1,FALSE))</f>
        <v/>
      </c>
      <c r="AS25" t="str">
        <f ca="1">IF(AND(ISNUMBER($AS$699),$B$677=1),$AS$699,HLOOKUP(INDIRECT(ADDRESS(2,COLUMN())),OFFSET($BN$2,0,0,ROW()-1,60),ROW()-1,FALSE))</f>
        <v/>
      </c>
      <c r="AT25" t="str">
        <f ca="1">IF(AND(ISNUMBER($AT$699),$B$677=1),$AT$699,HLOOKUP(INDIRECT(ADDRESS(2,COLUMN())),OFFSET($BN$2,0,0,ROW()-1,60),ROW()-1,FALSE))</f>
        <v/>
      </c>
      <c r="AU25" t="str">
        <f ca="1">IF(AND(ISNUMBER($AU$699),$B$677=1),$AU$699,HLOOKUP(INDIRECT(ADDRESS(2,COLUMN())),OFFSET($BN$2,0,0,ROW()-1,60),ROW()-1,FALSE))</f>
        <v/>
      </c>
      <c r="AV25" t="str">
        <f ca="1">IF(AND(ISNUMBER($AV$699),$B$677=1),$AV$699,HLOOKUP(INDIRECT(ADDRESS(2,COLUMN())),OFFSET($BN$2,0,0,ROW()-1,60),ROW()-1,FALSE))</f>
        <v/>
      </c>
      <c r="AW25" t="str">
        <f ca="1">IF(AND(ISNUMBER($AW$699),$B$677=1),$AW$699,HLOOKUP(INDIRECT(ADDRESS(2,COLUMN())),OFFSET($BN$2,0,0,ROW()-1,60),ROW()-1,FALSE))</f>
        <v/>
      </c>
      <c r="AX25" t="str">
        <f ca="1">IF(AND(ISNUMBER($AX$699),$B$677=1),$AX$699,HLOOKUP(INDIRECT(ADDRESS(2,COLUMN())),OFFSET($BN$2,0,0,ROW()-1,60),ROW()-1,FALSE))</f>
        <v/>
      </c>
      <c r="AY25" t="str">
        <f ca="1">IF(AND(ISNUMBER($AY$699),$B$677=1),$AY$699,HLOOKUP(INDIRECT(ADDRESS(2,COLUMN())),OFFSET($BN$2,0,0,ROW()-1,60),ROW()-1,FALSE))</f>
        <v/>
      </c>
      <c r="AZ25" t="str">
        <f ca="1">IF(AND(ISNUMBER($AZ$699),$B$677=1),$AZ$699,HLOOKUP(INDIRECT(ADDRESS(2,COLUMN())),OFFSET($BN$2,0,0,ROW()-1,60),ROW()-1,FALSE))</f>
        <v/>
      </c>
      <c r="BA25" t="str">
        <f ca="1">IF(AND(ISNUMBER($BA$699),$B$677=1),$BA$699,HLOOKUP(INDIRECT(ADDRESS(2,COLUMN())),OFFSET($BN$2,0,0,ROW()-1,60),ROW()-1,FALSE))</f>
        <v/>
      </c>
      <c r="BB25" t="str">
        <f ca="1">IF(AND(ISNUMBER($BB$699),$B$677=1),$BB$699,HLOOKUP(INDIRECT(ADDRESS(2,COLUMN())),OFFSET($BN$2,0,0,ROW()-1,60),ROW()-1,FALSE))</f>
        <v/>
      </c>
      <c r="BC25" t="str">
        <f ca="1">IF(AND(ISNUMBER($BC$699),$B$677=1),$BC$699,HLOOKUP(INDIRECT(ADDRESS(2,COLUMN())),OFFSET($BN$2,0,0,ROW()-1,60),ROW()-1,FALSE))</f>
        <v/>
      </c>
      <c r="BD25" t="str">
        <f ca="1">IF(AND(ISNUMBER($BD$699),$B$677=1),$BD$699,HLOOKUP(INDIRECT(ADDRESS(2,COLUMN())),OFFSET($BN$2,0,0,ROW()-1,60),ROW()-1,FALSE))</f>
        <v/>
      </c>
      <c r="BE25" t="str">
        <f ca="1">IF(AND(ISNUMBER($BE$699),$B$677=1),$BE$699,HLOOKUP(INDIRECT(ADDRESS(2,COLUMN())),OFFSET($BN$2,0,0,ROW()-1,60),ROW()-1,FALSE))</f>
        <v/>
      </c>
      <c r="BF25" t="str">
        <f ca="1">IF(AND(ISNUMBER($BF$699),$B$677=1),$BF$699,HLOOKUP(INDIRECT(ADDRESS(2,COLUMN())),OFFSET($BN$2,0,0,ROW()-1,60),ROW()-1,FALSE))</f>
        <v/>
      </c>
      <c r="BG25" t="str">
        <f ca="1">IF(AND(ISNUMBER($BG$699),$B$677=1),$BG$699,HLOOKUP(INDIRECT(ADDRESS(2,COLUMN())),OFFSET($BN$2,0,0,ROW()-1,60),ROW()-1,FALSE))</f>
        <v/>
      </c>
      <c r="BH25" t="str">
        <f ca="1">IF(AND(ISNUMBER($BH$699),$B$677=1),$BH$699,HLOOKUP(INDIRECT(ADDRESS(2,COLUMN())),OFFSET($BN$2,0,0,ROW()-1,60),ROW()-1,FALSE))</f>
        <v/>
      </c>
      <c r="BI25" t="str">
        <f ca="1">IF(AND(ISNUMBER($BI$699),$B$677=1),$BI$699,HLOOKUP(INDIRECT(ADDRESS(2,COLUMN())),OFFSET($BN$2,0,0,ROW()-1,60),ROW()-1,FALSE))</f>
        <v/>
      </c>
      <c r="BJ25" t="str">
        <f ca="1">IF(AND(ISNUMBER($BJ$699),$B$677=1),$BJ$699,HLOOKUP(INDIRECT(ADDRESS(2,COLUMN())),OFFSET($BN$2,0,0,ROW()-1,60),ROW()-1,FALSE))</f>
        <v/>
      </c>
      <c r="BK25" t="str">
        <f ca="1">IF(AND(ISNUMBER($BK$699),$B$677=1),$BK$699,HLOOKUP(INDIRECT(ADDRESS(2,COLUMN())),OFFSET($BN$2,0,0,ROW()-1,60),ROW()-1,FALSE))</f>
        <v/>
      </c>
      <c r="BL25" t="str">
        <f ca="1">IF(AND(ISNUMBER($BL$699),$B$677=1),$BL$699,HLOOKUP(INDIRECT(ADDRESS(2,COLUMN())),OFFSET($BN$2,0,0,ROW()-1,60),ROW()-1,FALSE))</f>
        <v/>
      </c>
      <c r="BM25" t="str">
        <f ca="1">IF(AND(ISNUMBER($BM$699),$B$677=1),$BM$699,HLOOKUP(INDIRECT(ADDRESS(2,COLUMN())),OFFSET($BN$2,0,0,ROW()-1,60),ROW()-1,FALSE))</f>
        <v/>
      </c>
      <c r="BN25" t="str">
        <f>""</f>
        <v/>
      </c>
      <c r="BO25">
        <f>11.91553544</f>
        <v>11.915535439999999</v>
      </c>
      <c r="BP25">
        <f>13.0216189</f>
        <v>13.0216189</v>
      </c>
      <c r="BQ25">
        <f>10.36761669</f>
        <v>10.36761669</v>
      </c>
      <c r="BR25">
        <f>11.45525665</f>
        <v>11.455256650000001</v>
      </c>
      <c r="BS25">
        <f>10.4048556</f>
        <v>10.404855599999999</v>
      </c>
      <c r="BT25">
        <f>10.11922414</f>
        <v>10.11922414</v>
      </c>
      <c r="BU25">
        <f>10.19124935</f>
        <v>10.19124935</v>
      </c>
      <c r="BV25">
        <f>8.385830526</f>
        <v>8.3858305259999995</v>
      </c>
      <c r="BW25">
        <f>7.256936709</f>
        <v>7.2569367089999997</v>
      </c>
      <c r="BX25">
        <f>6.031330794</f>
        <v>6.0313307939999996</v>
      </c>
      <c r="BY25">
        <f>5.92064493</f>
        <v>5.9206449299999999</v>
      </c>
      <c r="BZ25">
        <f>6.615472226</f>
        <v>6.6154722259999996</v>
      </c>
      <c r="CA25">
        <f>6.245017531</f>
        <v>6.2450175310000002</v>
      </c>
      <c r="CB25">
        <f>6.865548581</f>
        <v>6.8655485809999997</v>
      </c>
      <c r="CC25">
        <f>5.418243654</f>
        <v>5.4182436540000003</v>
      </c>
      <c r="CD25">
        <f>6.233956192</f>
        <v>6.233956192</v>
      </c>
      <c r="CE25">
        <f>6.250835753</f>
        <v>6.2508357529999996</v>
      </c>
      <c r="CF25">
        <f>6.682569194</f>
        <v>6.682569194</v>
      </c>
      <c r="CG25">
        <f>7.450331126</f>
        <v>7.450331126</v>
      </c>
      <c r="CH25">
        <f>7.998725303</f>
        <v>7.9987253029999996</v>
      </c>
      <c r="CI25">
        <f>7.522025381</f>
        <v>7.5220253809999997</v>
      </c>
      <c r="CJ25">
        <f>8.23950366</f>
        <v>8.2395036600000005</v>
      </c>
      <c r="CK25">
        <f>7.506407909</f>
        <v>7.506407909</v>
      </c>
      <c r="CL25">
        <f>7.415745216</f>
        <v>7.4157452160000004</v>
      </c>
      <c r="CM25">
        <f>6.933426414</f>
        <v>6.9334264140000004</v>
      </c>
      <c r="CN25">
        <f>7.840358014</f>
        <v>7.8403580140000004</v>
      </c>
      <c r="CO25">
        <f>7.416885565</f>
        <v>7.4168855650000003</v>
      </c>
      <c r="CP25">
        <f>7.709516176</f>
        <v>7.7095161760000002</v>
      </c>
      <c r="CQ25">
        <f>7.553087191</f>
        <v>7.5530871910000004</v>
      </c>
      <c r="CR25">
        <f>8.030241575</f>
        <v>8.0302415749999998</v>
      </c>
      <c r="CS25">
        <f>9.555036549</f>
        <v>9.5550365490000004</v>
      </c>
      <c r="CT25">
        <f>8.937741583</f>
        <v>8.9377415829999993</v>
      </c>
      <c r="CU25">
        <f>8.457773595</f>
        <v>8.4577735950000008</v>
      </c>
      <c r="CV25" t="str">
        <f>""</f>
        <v/>
      </c>
      <c r="CW25" t="str">
        <f>""</f>
        <v/>
      </c>
      <c r="CX25" t="str">
        <f>""</f>
        <v/>
      </c>
      <c r="CY25" t="str">
        <f>""</f>
        <v/>
      </c>
      <c r="CZ25" t="str">
        <f>""</f>
        <v/>
      </c>
      <c r="DA25" t="str">
        <f>""</f>
        <v/>
      </c>
      <c r="DB25" t="str">
        <f>""</f>
        <v/>
      </c>
      <c r="DC25" t="str">
        <f>""</f>
        <v/>
      </c>
      <c r="DD25" t="str">
        <f>""</f>
        <v/>
      </c>
      <c r="DE25" t="str">
        <f>""</f>
        <v/>
      </c>
      <c r="DF25" t="str">
        <f>""</f>
        <v/>
      </c>
      <c r="DG25" t="str">
        <f>""</f>
        <v/>
      </c>
      <c r="DH25" t="str">
        <f>""</f>
        <v/>
      </c>
      <c r="DI25" t="str">
        <f>""</f>
        <v/>
      </c>
      <c r="DJ25" t="str">
        <f>""</f>
        <v/>
      </c>
      <c r="DK25" t="str">
        <f>""</f>
        <v/>
      </c>
      <c r="DL25" t="str">
        <f>""</f>
        <v/>
      </c>
      <c r="DM25" t="str">
        <f>""</f>
        <v/>
      </c>
      <c r="DN25" t="str">
        <f>""</f>
        <v/>
      </c>
      <c r="DO25" t="str">
        <f>""</f>
        <v/>
      </c>
      <c r="DP25" t="str">
        <f>""</f>
        <v/>
      </c>
      <c r="DQ25" t="str">
        <f>""</f>
        <v/>
      </c>
      <c r="DR25" t="str">
        <f>""</f>
        <v/>
      </c>
      <c r="DS25" t="str">
        <f>""</f>
        <v/>
      </c>
      <c r="DT25" t="str">
        <f>""</f>
        <v/>
      </c>
      <c r="DU25" t="str">
        <f>""</f>
        <v/>
      </c>
    </row>
    <row r="26" spans="1:125" x14ac:dyDescent="0.25">
      <c r="A26" t="str">
        <f>"    Kia Motors Corp"</f>
        <v xml:space="preserve">    Kia Motors Corp</v>
      </c>
      <c r="B26" t="str">
        <f>"000270 KS Equity"</f>
        <v>000270 KS Equity</v>
      </c>
      <c r="C26" t="str">
        <f t="shared" si="0"/>
        <v>RR900</v>
      </c>
      <c r="D26" t="str">
        <f t="shared" si="1"/>
        <v>PE_RATIO</v>
      </c>
      <c r="E26" t="str">
        <f t="shared" si="2"/>
        <v>Dynamic</v>
      </c>
      <c r="F26" t="str">
        <f ca="1">IF(AND(ISNUMBER($F$700),$B$677=1),$F$700,HLOOKUP(INDIRECT(ADDRESS(2,COLUMN())),OFFSET($BN$2,0,0,ROW()-1,60),ROW()-1,FALSE))</f>
        <v/>
      </c>
      <c r="G26">
        <f ca="1">IF(AND(ISNUMBER($G$700),$B$677=1),$G$700,HLOOKUP(INDIRECT(ADDRESS(2,COLUMN())),OFFSET($BN$2,0,0,ROW()-1,60),ROW()-1,FALSE))</f>
        <v>11.361292540000001</v>
      </c>
      <c r="H26">
        <f ca="1">IF(AND(ISNUMBER($H$700),$B$677=1),$H$700,HLOOKUP(INDIRECT(ADDRESS(2,COLUMN())),OFFSET($BN$2,0,0,ROW()-1,60),ROW()-1,FALSE))</f>
        <v>12.066002060000001</v>
      </c>
      <c r="I26">
        <f ca="1">IF(AND(ISNUMBER($I$700),$B$677=1),$I$700,HLOOKUP(INDIRECT(ADDRESS(2,COLUMN())),OFFSET($BN$2,0,0,ROW()-1,60),ROW()-1,FALSE))</f>
        <v>21.453407510000002</v>
      </c>
      <c r="J26">
        <f ca="1">IF(AND(ISNUMBER($J$700),$B$677=1),$J$700,HLOOKUP(INDIRECT(ADDRESS(2,COLUMN())),OFFSET($BN$2,0,0,ROW()-1,60),ROW()-1,FALSE))</f>
        <v>19.5954488</v>
      </c>
      <c r="K26">
        <f ca="1">IF(AND(ISNUMBER($K$700),$B$677=1),$K$700,HLOOKUP(INDIRECT(ADDRESS(2,COLUMN())),OFFSET($BN$2,0,0,ROW()-1,60),ROW()-1,FALSE))</f>
        <v>13.877381939999999</v>
      </c>
      <c r="L26">
        <f ca="1">IF(AND(ISNUMBER($L$700),$B$677=1),$L$700,HLOOKUP(INDIRECT(ADDRESS(2,COLUMN())),OFFSET($BN$2,0,0,ROW()-1,60),ROW()-1,FALSE))</f>
        <v>10.739699379999999</v>
      </c>
      <c r="M26">
        <f ca="1">IF(AND(ISNUMBER($M$700),$B$677=1),$M$700,HLOOKUP(INDIRECT(ADDRESS(2,COLUMN())),OFFSET($BN$2,0,0,ROW()-1,60),ROW()-1,FALSE))</f>
        <v>7.1642778189999996</v>
      </c>
      <c r="N26">
        <f ca="1">IF(AND(ISNUMBER($N$700),$B$677=1),$N$700,HLOOKUP(INDIRECT(ADDRESS(2,COLUMN())),OFFSET($BN$2,0,0,ROW()-1,60),ROW()-1,FALSE))</f>
        <v>5.771918222</v>
      </c>
      <c r="O26">
        <f ca="1">IF(AND(ISNUMBER($O$700),$B$677=1),$O$700,HLOOKUP(INDIRECT(ADDRESS(2,COLUMN())),OFFSET($BN$2,0,0,ROW()-1,60),ROW()-1,FALSE))</f>
        <v>5.7149015179999996</v>
      </c>
      <c r="P26">
        <f ca="1">IF(AND(ISNUMBER($P$700),$B$677=1),$P$700,HLOOKUP(INDIRECT(ADDRESS(2,COLUMN())),OFFSET($BN$2,0,0,ROW()-1,60),ROW()-1,FALSE))</f>
        <v>5.8969410050000004</v>
      </c>
      <c r="Q26">
        <f ca="1">IF(AND(ISNUMBER($Q$700),$B$677=1),$Q$700,HLOOKUP(INDIRECT(ADDRESS(2,COLUMN())),OFFSET($BN$2,0,0,ROW()-1,60),ROW()-1,FALSE))</f>
        <v>6.2948308800000001</v>
      </c>
      <c r="R26">
        <f ca="1">IF(AND(ISNUMBER($R$700),$B$677=1),$R$700,HLOOKUP(INDIRECT(ADDRESS(2,COLUMN())),OFFSET($BN$2,0,0,ROW()-1,60),ROW()-1,FALSE))</f>
        <v>7.245970529</v>
      </c>
      <c r="S26">
        <f ca="1">IF(AND(ISNUMBER($S$700),$B$677=1),$S$700,HLOOKUP(INDIRECT(ADDRESS(2,COLUMN())),OFFSET($BN$2,0,0,ROW()-1,60),ROW()-1,FALSE))</f>
        <v>8.0369470619999994</v>
      </c>
      <c r="T26">
        <f ca="1">IF(AND(ISNUMBER($T$700),$B$677=1),$T$700,HLOOKUP(INDIRECT(ADDRESS(2,COLUMN())),OFFSET($BN$2,0,0,ROW()-1,60),ROW()-1,FALSE))</f>
        <v>8.185882114</v>
      </c>
      <c r="U26">
        <f ca="1">IF(AND(ISNUMBER($U$700),$B$677=1),$U$700,HLOOKUP(INDIRECT(ADDRESS(2,COLUMN())),OFFSET($BN$2,0,0,ROW()-1,60),ROW()-1,FALSE))</f>
        <v>6.6628829229999997</v>
      </c>
      <c r="V26">
        <f ca="1">IF(AND(ISNUMBER($V$700),$B$677=1),$V$700,HLOOKUP(INDIRECT(ADDRESS(2,COLUMN())),OFFSET($BN$2,0,0,ROW()-1,60),ROW()-1,FALSE))</f>
        <v>6.0550375279999997</v>
      </c>
      <c r="W26">
        <f ca="1">IF(AND(ISNUMBER($W$700),$B$677=1),$W$700,HLOOKUP(INDIRECT(ADDRESS(2,COLUMN())),OFFSET($BN$2,0,0,ROW()-1,60),ROW()-1,FALSE))</f>
        <v>7.075351629</v>
      </c>
      <c r="X26">
        <f ca="1">IF(AND(ISNUMBER($X$700),$B$677=1),$X$700,HLOOKUP(INDIRECT(ADDRESS(2,COLUMN())),OFFSET($BN$2,0,0,ROW()-1,60),ROW()-1,FALSE))</f>
        <v>6.2023562019999998</v>
      </c>
      <c r="Y26">
        <f ca="1">IF(AND(ISNUMBER($Y$700),$B$677=1),$Y$700,HLOOKUP(INDIRECT(ADDRESS(2,COLUMN())),OFFSET($BN$2,0,0,ROW()-1,60),ROW()-1,FALSE))</f>
        <v>6.1090124120000002</v>
      </c>
      <c r="Z26">
        <f ca="1">IF(AND(ISNUMBER($Z$700),$B$677=1),$Z$700,HLOOKUP(INDIRECT(ADDRESS(2,COLUMN())),OFFSET($BN$2,0,0,ROW()-1,60),ROW()-1,FALSE))</f>
        <v>6.1431679270000004</v>
      </c>
      <c r="AA26">
        <f ca="1">IF(AND(ISNUMBER($AA$700),$B$677=1),$AA$700,HLOOKUP(INDIRECT(ADDRESS(2,COLUMN())),OFFSET($BN$2,0,0,ROW()-1,60),ROW()-1,FALSE))</f>
        <v>5.9522546419999998</v>
      </c>
      <c r="AB26">
        <f ca="1">IF(AND(ISNUMBER($AB$700),$B$677=1),$AB$700,HLOOKUP(INDIRECT(ADDRESS(2,COLUMN())),OFFSET($BN$2,0,0,ROW()-1,60),ROW()-1,FALSE))</f>
        <v>7.3343755340000003</v>
      </c>
      <c r="AC26">
        <f ca="1">IF(AND(ISNUMBER($AC$700),$B$677=1),$AC$700,HLOOKUP(INDIRECT(ADDRESS(2,COLUMN())),OFFSET($BN$2,0,0,ROW()-1,60),ROW()-1,FALSE))</f>
        <v>7.1205143089999998</v>
      </c>
      <c r="AD26">
        <f ca="1">IF(AND(ISNUMBER($AD$700),$B$677=1),$AD$700,HLOOKUP(INDIRECT(ADDRESS(2,COLUMN())),OFFSET($BN$2,0,0,ROW()-1,60),ROW()-1,FALSE))</f>
        <v>6.5317399229999999</v>
      </c>
      <c r="AE26">
        <f ca="1">IF(AND(ISNUMBER($AE$700),$B$677=1),$AE$700,HLOOKUP(INDIRECT(ADDRESS(2,COLUMN())),OFFSET($BN$2,0,0,ROW()-1,60),ROW()-1,FALSE))</f>
        <v>5.9179158039999997</v>
      </c>
      <c r="AF26">
        <f ca="1">IF(AND(ISNUMBER($AF$700),$B$677=1),$AF$700,HLOOKUP(INDIRECT(ADDRESS(2,COLUMN())),OFFSET($BN$2,0,0,ROW()-1,60),ROW()-1,FALSE))</f>
        <v>7.1963824550000002</v>
      </c>
      <c r="AG26">
        <f ca="1">IF(AND(ISNUMBER($AG$700),$B$677=1),$AG$700,HLOOKUP(INDIRECT(ADDRESS(2,COLUMN())),OFFSET($BN$2,0,0,ROW()-1,60),ROW()-1,FALSE))</f>
        <v>8.1695287620000006</v>
      </c>
      <c r="AH26">
        <f ca="1">IF(AND(ISNUMBER($AH$700),$B$677=1),$AH$700,HLOOKUP(INDIRECT(ADDRESS(2,COLUMN())),OFFSET($BN$2,0,0,ROW()-1,60),ROW()-1,FALSE))</f>
        <v>8.0414690150000006</v>
      </c>
      <c r="AI26">
        <f ca="1">IF(AND(ISNUMBER($AI$700),$B$677=1),$AI$700,HLOOKUP(INDIRECT(ADDRESS(2,COLUMN())),OFFSET($BN$2,0,0,ROW()-1,60),ROW()-1,FALSE))</f>
        <v>7.7813891569999996</v>
      </c>
      <c r="AJ26">
        <f ca="1">IF(AND(ISNUMBER($AJ$700),$B$677=1),$AJ$700,HLOOKUP(INDIRECT(ADDRESS(2,COLUMN())),OFFSET($BN$2,0,0,ROW()-1,60),ROW()-1,FALSE))</f>
        <v>8.1858599059999992</v>
      </c>
      <c r="AK26">
        <f ca="1">IF(AND(ISNUMBER($AK$700),$B$677=1),$AK$700,HLOOKUP(INDIRECT(ADDRESS(2,COLUMN())),OFFSET($BN$2,0,0,ROW()-1,60),ROW()-1,FALSE))</f>
        <v>8.0080289760000003</v>
      </c>
      <c r="AL26">
        <f ca="1">IF(AND(ISNUMBER($AL$700),$B$677=1),$AL$700,HLOOKUP(INDIRECT(ADDRESS(2,COLUMN())),OFFSET($BN$2,0,0,ROW()-1,60),ROW()-1,FALSE))</f>
        <v>8.7204465300000003</v>
      </c>
      <c r="AM26">
        <f ca="1">IF(AND(ISNUMBER($AM$700),$B$677=1),$AM$700,HLOOKUP(INDIRECT(ADDRESS(2,COLUMN())),OFFSET($BN$2,0,0,ROW()-1,60),ROW()-1,FALSE))</f>
        <v>7.4015143019999998</v>
      </c>
      <c r="AN26" t="str">
        <f ca="1">IF(AND(ISNUMBER($AN$700),$B$677=1),$AN$700,HLOOKUP(INDIRECT(ADDRESS(2,COLUMN())),OFFSET($BN$2,0,0,ROW()-1,60),ROW()-1,FALSE))</f>
        <v/>
      </c>
      <c r="AO26" t="str">
        <f ca="1">IF(AND(ISNUMBER($AO$700),$B$677=1),$AO$700,HLOOKUP(INDIRECT(ADDRESS(2,COLUMN())),OFFSET($BN$2,0,0,ROW()-1,60),ROW()-1,FALSE))</f>
        <v/>
      </c>
      <c r="AP26" t="str">
        <f ca="1">IF(AND(ISNUMBER($AP$700),$B$677=1),$AP$700,HLOOKUP(INDIRECT(ADDRESS(2,COLUMN())),OFFSET($BN$2,0,0,ROW()-1,60),ROW()-1,FALSE))</f>
        <v/>
      </c>
      <c r="AQ26" t="str">
        <f ca="1">IF(AND(ISNUMBER($AQ$700),$B$677=1),$AQ$700,HLOOKUP(INDIRECT(ADDRESS(2,COLUMN())),OFFSET($BN$2,0,0,ROW()-1,60),ROW()-1,FALSE))</f>
        <v/>
      </c>
      <c r="AR26" t="str">
        <f ca="1">IF(AND(ISNUMBER($AR$700),$B$677=1),$AR$700,HLOOKUP(INDIRECT(ADDRESS(2,COLUMN())),OFFSET($BN$2,0,0,ROW()-1,60),ROW()-1,FALSE))</f>
        <v/>
      </c>
      <c r="AS26" t="str">
        <f ca="1">IF(AND(ISNUMBER($AS$700),$B$677=1),$AS$700,HLOOKUP(INDIRECT(ADDRESS(2,COLUMN())),OFFSET($BN$2,0,0,ROW()-1,60),ROW()-1,FALSE))</f>
        <v/>
      </c>
      <c r="AT26" t="str">
        <f ca="1">IF(AND(ISNUMBER($AT$700),$B$677=1),$AT$700,HLOOKUP(INDIRECT(ADDRESS(2,COLUMN())),OFFSET($BN$2,0,0,ROW()-1,60),ROW()-1,FALSE))</f>
        <v/>
      </c>
      <c r="AU26" t="str">
        <f ca="1">IF(AND(ISNUMBER($AU$700),$B$677=1),$AU$700,HLOOKUP(INDIRECT(ADDRESS(2,COLUMN())),OFFSET($BN$2,0,0,ROW()-1,60),ROW()-1,FALSE))</f>
        <v/>
      </c>
      <c r="AV26" t="str">
        <f ca="1">IF(AND(ISNUMBER($AV$700),$B$677=1),$AV$700,HLOOKUP(INDIRECT(ADDRESS(2,COLUMN())),OFFSET($BN$2,0,0,ROW()-1,60),ROW()-1,FALSE))</f>
        <v/>
      </c>
      <c r="AW26" t="str">
        <f ca="1">IF(AND(ISNUMBER($AW$700),$B$677=1),$AW$700,HLOOKUP(INDIRECT(ADDRESS(2,COLUMN())),OFFSET($BN$2,0,0,ROW()-1,60),ROW()-1,FALSE))</f>
        <v/>
      </c>
      <c r="AX26" t="str">
        <f ca="1">IF(AND(ISNUMBER($AX$700),$B$677=1),$AX$700,HLOOKUP(INDIRECT(ADDRESS(2,COLUMN())),OFFSET($BN$2,0,0,ROW()-1,60),ROW()-1,FALSE))</f>
        <v/>
      </c>
      <c r="AY26" t="str">
        <f ca="1">IF(AND(ISNUMBER($AY$700),$B$677=1),$AY$700,HLOOKUP(INDIRECT(ADDRESS(2,COLUMN())),OFFSET($BN$2,0,0,ROW()-1,60),ROW()-1,FALSE))</f>
        <v/>
      </c>
      <c r="AZ26" t="str">
        <f ca="1">IF(AND(ISNUMBER($AZ$700),$B$677=1),$AZ$700,HLOOKUP(INDIRECT(ADDRESS(2,COLUMN())),OFFSET($BN$2,0,0,ROW()-1,60),ROW()-1,FALSE))</f>
        <v/>
      </c>
      <c r="BA26" t="str">
        <f ca="1">IF(AND(ISNUMBER($BA$700),$B$677=1),$BA$700,HLOOKUP(INDIRECT(ADDRESS(2,COLUMN())),OFFSET($BN$2,0,0,ROW()-1,60),ROW()-1,FALSE))</f>
        <v/>
      </c>
      <c r="BB26" t="str">
        <f ca="1">IF(AND(ISNUMBER($BB$700),$B$677=1),$BB$700,HLOOKUP(INDIRECT(ADDRESS(2,COLUMN())),OFFSET($BN$2,0,0,ROW()-1,60),ROW()-1,FALSE))</f>
        <v/>
      </c>
      <c r="BC26" t="str">
        <f ca="1">IF(AND(ISNUMBER($BC$700),$B$677=1),$BC$700,HLOOKUP(INDIRECT(ADDRESS(2,COLUMN())),OFFSET($BN$2,0,0,ROW()-1,60),ROW()-1,FALSE))</f>
        <v/>
      </c>
      <c r="BD26" t="str">
        <f ca="1">IF(AND(ISNUMBER($BD$700),$B$677=1),$BD$700,HLOOKUP(INDIRECT(ADDRESS(2,COLUMN())),OFFSET($BN$2,0,0,ROW()-1,60),ROW()-1,FALSE))</f>
        <v/>
      </c>
      <c r="BE26" t="str">
        <f ca="1">IF(AND(ISNUMBER($BE$700),$B$677=1),$BE$700,HLOOKUP(INDIRECT(ADDRESS(2,COLUMN())),OFFSET($BN$2,0,0,ROW()-1,60),ROW()-1,FALSE))</f>
        <v/>
      </c>
      <c r="BF26" t="str">
        <f ca="1">IF(AND(ISNUMBER($BF$700),$B$677=1),$BF$700,HLOOKUP(INDIRECT(ADDRESS(2,COLUMN())),OFFSET($BN$2,0,0,ROW()-1,60),ROW()-1,FALSE))</f>
        <v/>
      </c>
      <c r="BG26" t="str">
        <f ca="1">IF(AND(ISNUMBER($BG$700),$B$677=1),$BG$700,HLOOKUP(INDIRECT(ADDRESS(2,COLUMN())),OFFSET($BN$2,0,0,ROW()-1,60),ROW()-1,FALSE))</f>
        <v/>
      </c>
      <c r="BH26" t="str">
        <f ca="1">IF(AND(ISNUMBER($BH$700),$B$677=1),$BH$700,HLOOKUP(INDIRECT(ADDRESS(2,COLUMN())),OFFSET($BN$2,0,0,ROW()-1,60),ROW()-1,FALSE))</f>
        <v/>
      </c>
      <c r="BI26" t="str">
        <f ca="1">IF(AND(ISNUMBER($BI$700),$B$677=1),$BI$700,HLOOKUP(INDIRECT(ADDRESS(2,COLUMN())),OFFSET($BN$2,0,0,ROW()-1,60),ROW()-1,FALSE))</f>
        <v/>
      </c>
      <c r="BJ26" t="str">
        <f ca="1">IF(AND(ISNUMBER($BJ$700),$B$677=1),$BJ$700,HLOOKUP(INDIRECT(ADDRESS(2,COLUMN())),OFFSET($BN$2,0,0,ROW()-1,60),ROW()-1,FALSE))</f>
        <v/>
      </c>
      <c r="BK26" t="str">
        <f ca="1">IF(AND(ISNUMBER($BK$700),$B$677=1),$BK$700,HLOOKUP(INDIRECT(ADDRESS(2,COLUMN())),OFFSET($BN$2,0,0,ROW()-1,60),ROW()-1,FALSE))</f>
        <v/>
      </c>
      <c r="BL26" t="str">
        <f ca="1">IF(AND(ISNUMBER($BL$700),$B$677=1),$BL$700,HLOOKUP(INDIRECT(ADDRESS(2,COLUMN())),OFFSET($BN$2,0,0,ROW()-1,60),ROW()-1,FALSE))</f>
        <v/>
      </c>
      <c r="BM26" t="str">
        <f ca="1">IF(AND(ISNUMBER($BM$700),$B$677=1),$BM$700,HLOOKUP(INDIRECT(ADDRESS(2,COLUMN())),OFFSET($BN$2,0,0,ROW()-1,60),ROW()-1,FALSE))</f>
        <v/>
      </c>
      <c r="BN26" t="str">
        <f>""</f>
        <v/>
      </c>
      <c r="BO26">
        <f>11.36129254</f>
        <v>11.361292540000001</v>
      </c>
      <c r="BP26">
        <f>12.06600206</f>
        <v>12.066002060000001</v>
      </c>
      <c r="BQ26">
        <f>21.45340751</f>
        <v>21.453407510000002</v>
      </c>
      <c r="BR26">
        <f>19.5954488</f>
        <v>19.5954488</v>
      </c>
      <c r="BS26">
        <f>13.87738194</f>
        <v>13.877381939999999</v>
      </c>
      <c r="BT26">
        <f>10.73969938</f>
        <v>10.739699379999999</v>
      </c>
      <c r="BU26">
        <f>7.164277819</f>
        <v>7.1642778189999996</v>
      </c>
      <c r="BV26">
        <f>5.771918222</f>
        <v>5.771918222</v>
      </c>
      <c r="BW26">
        <f>5.714901518</f>
        <v>5.7149015179999996</v>
      </c>
      <c r="BX26">
        <f>5.896941005</f>
        <v>5.8969410050000004</v>
      </c>
      <c r="BY26">
        <f>6.29483088</f>
        <v>6.2948308800000001</v>
      </c>
      <c r="BZ26">
        <f>7.245970529</f>
        <v>7.245970529</v>
      </c>
      <c r="CA26">
        <f>8.036947062</f>
        <v>8.0369470619999994</v>
      </c>
      <c r="CB26">
        <f>8.185882114</f>
        <v>8.185882114</v>
      </c>
      <c r="CC26">
        <f>6.662882923</f>
        <v>6.6628829229999997</v>
      </c>
      <c r="CD26">
        <f>6.055037528</f>
        <v>6.0550375279999997</v>
      </c>
      <c r="CE26">
        <f>7.075351629</f>
        <v>7.075351629</v>
      </c>
      <c r="CF26">
        <f>6.202356202</f>
        <v>6.2023562019999998</v>
      </c>
      <c r="CG26">
        <f>6.109012412</f>
        <v>6.1090124120000002</v>
      </c>
      <c r="CH26">
        <f>6.143167927</f>
        <v>6.1431679270000004</v>
      </c>
      <c r="CI26">
        <f>5.952254642</f>
        <v>5.9522546419999998</v>
      </c>
      <c r="CJ26">
        <f>7.334375534</f>
        <v>7.3343755340000003</v>
      </c>
      <c r="CK26">
        <f>7.120514309</f>
        <v>7.1205143089999998</v>
      </c>
      <c r="CL26">
        <f>6.531739923</f>
        <v>6.5317399229999999</v>
      </c>
      <c r="CM26">
        <f>5.917915804</f>
        <v>5.9179158039999997</v>
      </c>
      <c r="CN26">
        <f>7.196382455</f>
        <v>7.1963824550000002</v>
      </c>
      <c r="CO26">
        <f>8.169528762</f>
        <v>8.1695287620000006</v>
      </c>
      <c r="CP26">
        <f>8.041469015</f>
        <v>8.0414690150000006</v>
      </c>
      <c r="CQ26">
        <f>7.781389157</f>
        <v>7.7813891569999996</v>
      </c>
      <c r="CR26">
        <f>8.185859906</f>
        <v>8.1858599059999992</v>
      </c>
      <c r="CS26">
        <f>8.008028976</f>
        <v>8.0080289760000003</v>
      </c>
      <c r="CT26">
        <f>8.72044653</f>
        <v>8.7204465300000003</v>
      </c>
      <c r="CU26">
        <f>7.401514302</f>
        <v>7.4015143019999998</v>
      </c>
      <c r="CV26" t="str">
        <f>""</f>
        <v/>
      </c>
      <c r="CW26" t="str">
        <f>""</f>
        <v/>
      </c>
      <c r="CX26" t="str">
        <f>""</f>
        <v/>
      </c>
      <c r="CY26" t="str">
        <f>""</f>
        <v/>
      </c>
      <c r="CZ26" t="str">
        <f>""</f>
        <v/>
      </c>
      <c r="DA26" t="str">
        <f>""</f>
        <v/>
      </c>
      <c r="DB26" t="str">
        <f>""</f>
        <v/>
      </c>
      <c r="DC26" t="str">
        <f>""</f>
        <v/>
      </c>
      <c r="DD26" t="str">
        <f>""</f>
        <v/>
      </c>
      <c r="DE26" t="str">
        <f>""</f>
        <v/>
      </c>
      <c r="DF26" t="str">
        <f>""</f>
        <v/>
      </c>
      <c r="DG26" t="str">
        <f>""</f>
        <v/>
      </c>
      <c r="DH26" t="str">
        <f>""</f>
        <v/>
      </c>
      <c r="DI26" t="str">
        <f>""</f>
        <v/>
      </c>
      <c r="DJ26" t="str">
        <f>""</f>
        <v/>
      </c>
      <c r="DK26" t="str">
        <f>""</f>
        <v/>
      </c>
      <c r="DL26" t="str">
        <f>""</f>
        <v/>
      </c>
      <c r="DM26" t="str">
        <f>""</f>
        <v/>
      </c>
      <c r="DN26" t="str">
        <f>""</f>
        <v/>
      </c>
      <c r="DO26" t="str">
        <f>""</f>
        <v/>
      </c>
      <c r="DP26" t="str">
        <f>""</f>
        <v/>
      </c>
      <c r="DQ26" t="str">
        <f>""</f>
        <v/>
      </c>
      <c r="DR26" t="str">
        <f>""</f>
        <v/>
      </c>
      <c r="DS26" t="str">
        <f>""</f>
        <v/>
      </c>
      <c r="DT26" t="str">
        <f>""</f>
        <v/>
      </c>
      <c r="DU26" t="str">
        <f>""</f>
        <v/>
      </c>
    </row>
    <row r="27" spans="1:125" x14ac:dyDescent="0.25">
      <c r="A27" t="str">
        <f>"    Mazda Motor Corp"</f>
        <v xml:space="preserve">    Mazda Motor Corp</v>
      </c>
      <c r="B27" t="str">
        <f>"7261 JP Equity"</f>
        <v>7261 JP Equity</v>
      </c>
      <c r="C27" t="str">
        <f t="shared" si="0"/>
        <v>RR900</v>
      </c>
      <c r="D27" t="str">
        <f t="shared" si="1"/>
        <v>PE_RATIO</v>
      </c>
      <c r="E27" t="str">
        <f t="shared" si="2"/>
        <v>Dynamic</v>
      </c>
      <c r="F27">
        <f ca="1">IF(AND(ISNUMBER($F$701),$B$677=1),$F$701,HLOOKUP(INDIRECT(ADDRESS(2,COLUMN())),OFFSET($BN$2,0,0,ROW()-1,60),ROW()-1,FALSE))</f>
        <v>12.62016873</v>
      </c>
      <c r="G27">
        <f ca="1">IF(AND(ISNUMBER($G$701),$B$677=1),$G$701,HLOOKUP(INDIRECT(ADDRESS(2,COLUMN())),OFFSET($BN$2,0,0,ROW()-1,60),ROW()-1,FALSE))</f>
        <v>11.134000390000001</v>
      </c>
      <c r="H27">
        <f ca="1">IF(AND(ISNUMBER($H$701),$B$677=1),$H$701,HLOOKUP(INDIRECT(ADDRESS(2,COLUMN())),OFFSET($BN$2,0,0,ROW()-1,60),ROW()-1,FALSE))</f>
        <v>11.707149599999999</v>
      </c>
      <c r="I27">
        <f ca="1">IF(AND(ISNUMBER($I$701),$B$677=1),$I$701,HLOOKUP(INDIRECT(ADDRESS(2,COLUMN())),OFFSET($BN$2,0,0,ROW()-1,60),ROW()-1,FALSE))</f>
        <v>8.7578079720000002</v>
      </c>
      <c r="J27">
        <f ca="1">IF(AND(ISNUMBER($J$701),$B$677=1),$J$701,HLOOKUP(INDIRECT(ADDRESS(2,COLUMN())),OFFSET($BN$2,0,0,ROW()-1,60),ROW()-1,FALSE))</f>
        <v>7.6544217689999998</v>
      </c>
      <c r="K27">
        <f ca="1">IF(AND(ISNUMBER($K$701),$B$677=1),$K$701,HLOOKUP(INDIRECT(ADDRESS(2,COLUMN())),OFFSET($BN$2,0,0,ROW()-1,60),ROW()-1,FALSE))</f>
        <v>9.2277167280000008</v>
      </c>
      <c r="L27">
        <f ca="1">IF(AND(ISNUMBER($L$701),$B$677=1),$L$701,HLOOKUP(INDIRECT(ADDRESS(2,COLUMN())),OFFSET($BN$2,0,0,ROW()-1,60),ROW()-1,FALSE))</f>
        <v>10.2077046</v>
      </c>
      <c r="M27">
        <f ca="1">IF(AND(ISNUMBER($M$701),$B$677=1),$M$701,HLOOKUP(INDIRECT(ADDRESS(2,COLUMN())),OFFSET($BN$2,0,0,ROW()-1,60),ROW()-1,FALSE))</f>
        <v>8.5875458679999994</v>
      </c>
      <c r="N27">
        <f ca="1">IF(AND(ISNUMBER($N$701),$B$677=1),$N$701,HLOOKUP(INDIRECT(ADDRESS(2,COLUMN())),OFFSET($BN$2,0,0,ROW()-1,60),ROW()-1,FALSE))</f>
        <v>10.218652390000001</v>
      </c>
      <c r="O27">
        <f ca="1">IF(AND(ISNUMBER($O$701),$B$677=1),$O$701,HLOOKUP(INDIRECT(ADDRESS(2,COLUMN())),OFFSET($BN$2,0,0,ROW()-1,60),ROW()-1,FALSE))</f>
        <v>12.574810919999999</v>
      </c>
      <c r="P27">
        <f ca="1">IF(AND(ISNUMBER($P$701),$B$677=1),$P$701,HLOOKUP(INDIRECT(ADDRESS(2,COLUMN())),OFFSET($BN$2,0,0,ROW()-1,60),ROW()-1,FALSE))</f>
        <v>8.9587598709999998</v>
      </c>
      <c r="Q27">
        <f ca="1">IF(AND(ISNUMBER($Q$701),$B$677=1),$Q$701,HLOOKUP(INDIRECT(ADDRESS(2,COLUMN())),OFFSET($BN$2,0,0,ROW()-1,60),ROW()-1,FALSE))</f>
        <v>6.8329227210000001</v>
      </c>
      <c r="R27">
        <f ca="1">IF(AND(ISNUMBER($R$701),$B$677=1),$R$701,HLOOKUP(INDIRECT(ADDRESS(2,COLUMN())),OFFSET($BN$2,0,0,ROW()-1,60),ROW()-1,FALSE))</f>
        <v>7.7670550560000002</v>
      </c>
      <c r="S27">
        <f ca="1">IF(AND(ISNUMBER($S$701),$B$677=1),$S$701,HLOOKUP(INDIRECT(ADDRESS(2,COLUMN())),OFFSET($BN$2,0,0,ROW()-1,60),ROW()-1,FALSE))</f>
        <v>10.00554983</v>
      </c>
      <c r="T27">
        <f ca="1">IF(AND(ISNUMBER($T$701),$B$677=1),$T$701,HLOOKUP(INDIRECT(ADDRESS(2,COLUMN())),OFFSET($BN$2,0,0,ROW()-1,60),ROW()-1,FALSE))</f>
        <v>7.306645939</v>
      </c>
      <c r="U27">
        <f ca="1">IF(AND(ISNUMBER($U$701),$B$677=1),$U$701,HLOOKUP(INDIRECT(ADDRESS(2,COLUMN())),OFFSET($BN$2,0,0,ROW()-1,60),ROW()-1,FALSE))</f>
        <v>9.7741909190000005</v>
      </c>
      <c r="V27">
        <f ca="1">IF(AND(ISNUMBER($V$701),$B$677=1),$V$701,HLOOKUP(INDIRECT(ADDRESS(2,COLUMN())),OFFSET($BN$2,0,0,ROW()-1,60),ROW()-1,FALSE))</f>
        <v>9.1809079269999998</v>
      </c>
      <c r="W27">
        <f ca="1">IF(AND(ISNUMBER($W$701),$B$677=1),$W$701,HLOOKUP(INDIRECT(ADDRESS(2,COLUMN())),OFFSET($BN$2,0,0,ROW()-1,60),ROW()-1,FALSE))</f>
        <v>9.2227962950000002</v>
      </c>
      <c r="X27">
        <f ca="1">IF(AND(ISNUMBER($X$701),$B$677=1),$X$701,HLOOKUP(INDIRECT(ADDRESS(2,COLUMN())),OFFSET($BN$2,0,0,ROW()-1,60),ROW()-1,FALSE))</f>
        <v>8.0544975099999991</v>
      </c>
      <c r="Y27">
        <f ca="1">IF(AND(ISNUMBER($Y$701),$B$677=1),$Y$701,HLOOKUP(INDIRECT(ADDRESS(2,COLUMN())),OFFSET($BN$2,0,0,ROW()-1,60),ROW()-1,FALSE))</f>
        <v>7.9259135660000002</v>
      </c>
      <c r="Z27">
        <f ca="1">IF(AND(ISNUMBER($Z$701),$B$677=1),$Z$701,HLOOKUP(INDIRECT(ADDRESS(2,COLUMN())),OFFSET($BN$2,0,0,ROW()-1,60),ROW()-1,FALSE))</f>
        <v>10.088105730000001</v>
      </c>
      <c r="AA27">
        <f ca="1">IF(AND(ISNUMBER($AA$701),$B$677=1),$AA$701,HLOOKUP(INDIRECT(ADDRESS(2,COLUMN())),OFFSET($BN$2,0,0,ROW()-1,60),ROW()-1,FALSE))</f>
        <v>18.875780710000001</v>
      </c>
      <c r="AB27">
        <f ca="1">IF(AND(ISNUMBER($AB$701),$B$677=1),$AB$701,HLOOKUP(INDIRECT(ADDRESS(2,COLUMN())),OFFSET($BN$2,0,0,ROW()-1,60),ROW()-1,FALSE))</f>
        <v>24.399776660000001</v>
      </c>
      <c r="AC27">
        <f ca="1">IF(AND(ISNUMBER($AC$701),$B$677=1),$AC$701,HLOOKUP(INDIRECT(ADDRESS(2,COLUMN())),OFFSET($BN$2,0,0,ROW()-1,60),ROW()-1,FALSE))</f>
        <v>25.291073740000002</v>
      </c>
      <c r="AD27">
        <f ca="1">IF(AND(ISNUMBER($AD$701),$B$677=1),$AD$701,HLOOKUP(INDIRECT(ADDRESS(2,COLUMN())),OFFSET($BN$2,0,0,ROW()-1,60),ROW()-1,FALSE))</f>
        <v>24.49869224</v>
      </c>
      <c r="AE27">
        <f ca="1">IF(AND(ISNUMBER($AE$701),$B$677=1),$AE$701,HLOOKUP(INDIRECT(ADDRESS(2,COLUMN())),OFFSET($BN$2,0,0,ROW()-1,60),ROW()-1,FALSE))</f>
        <v>15.919487650000001</v>
      </c>
      <c r="AF27" t="str">
        <f ca="1">IF(AND(ISNUMBER($AF$701),$B$677=1),$AF$701,HLOOKUP(INDIRECT(ADDRESS(2,COLUMN())),OFFSET($BN$2,0,0,ROW()-1,60),ROW()-1,FALSE))</f>
        <v/>
      </c>
      <c r="AG27" t="str">
        <f ca="1">IF(AND(ISNUMBER($AG$701),$B$677=1),$AG$701,HLOOKUP(INDIRECT(ADDRESS(2,COLUMN())),OFFSET($BN$2,0,0,ROW()-1,60),ROW()-1,FALSE))</f>
        <v/>
      </c>
      <c r="AH27" t="str">
        <f ca="1">IF(AND(ISNUMBER($AH$701),$B$677=1),$AH$701,HLOOKUP(INDIRECT(ADDRESS(2,COLUMN())),OFFSET($BN$2,0,0,ROW()-1,60),ROW()-1,FALSE))</f>
        <v/>
      </c>
      <c r="AI27" t="str">
        <f ca="1">IF(AND(ISNUMBER($AI$701),$B$677=1),$AI$701,HLOOKUP(INDIRECT(ADDRESS(2,COLUMN())),OFFSET($BN$2,0,0,ROW()-1,60),ROW()-1,FALSE))</f>
        <v/>
      </c>
      <c r="AJ27" t="str">
        <f ca="1">IF(AND(ISNUMBER($AJ$701),$B$677=1),$AJ$701,HLOOKUP(INDIRECT(ADDRESS(2,COLUMN())),OFFSET($BN$2,0,0,ROW()-1,60),ROW()-1,FALSE))</f>
        <v/>
      </c>
      <c r="AK27" t="str">
        <f ca="1">IF(AND(ISNUMBER($AK$701),$B$677=1),$AK$701,HLOOKUP(INDIRECT(ADDRESS(2,COLUMN())),OFFSET($BN$2,0,0,ROW()-1,60),ROW()-1,FALSE))</f>
        <v/>
      </c>
      <c r="AL27">
        <f ca="1">IF(AND(ISNUMBER($AL$701),$B$677=1),$AL$701,HLOOKUP(INDIRECT(ADDRESS(2,COLUMN())),OFFSET($BN$2,0,0,ROW()-1,60),ROW()-1,FALSE))</f>
        <v>25.006863150000001</v>
      </c>
      <c r="AM27">
        <f ca="1">IF(AND(ISNUMBER($AM$701),$B$677=1),$AM$701,HLOOKUP(INDIRECT(ADDRESS(2,COLUMN())),OFFSET($BN$2,0,0,ROW()-1,60),ROW()-1,FALSE))</f>
        <v>32.014280839999998</v>
      </c>
      <c r="AN27">
        <f ca="1">IF(AND(ISNUMBER($AN$701),$B$677=1),$AN$701,HLOOKUP(INDIRECT(ADDRESS(2,COLUMN())),OFFSET($BN$2,0,0,ROW()-1,60),ROW()-1,FALSE))</f>
        <v>17.511758579999999</v>
      </c>
      <c r="AO27">
        <f ca="1">IF(AND(ISNUMBER($AO$701),$B$677=1),$AO$701,HLOOKUP(INDIRECT(ADDRESS(2,COLUMN())),OFFSET($BN$2,0,0,ROW()-1,60),ROW()-1,FALSE))</f>
        <v>27.20911448</v>
      </c>
      <c r="AP27" t="str">
        <f ca="1">IF(AND(ISNUMBER($AP$701),$B$677=1),$AP$701,HLOOKUP(INDIRECT(ADDRESS(2,COLUMN())),OFFSET($BN$2,0,0,ROW()-1,60),ROW()-1,FALSE))</f>
        <v/>
      </c>
      <c r="AQ27" t="str">
        <f ca="1">IF(AND(ISNUMBER($AQ$701),$B$677=1),$AQ$701,HLOOKUP(INDIRECT(ADDRESS(2,COLUMN())),OFFSET($BN$2,0,0,ROW()-1,60),ROW()-1,FALSE))</f>
        <v/>
      </c>
      <c r="AR27" t="str">
        <f ca="1">IF(AND(ISNUMBER($AR$701),$B$677=1),$AR$701,HLOOKUP(INDIRECT(ADDRESS(2,COLUMN())),OFFSET($BN$2,0,0,ROW()-1,60),ROW()-1,FALSE))</f>
        <v/>
      </c>
      <c r="AS27" t="str">
        <f ca="1">IF(AND(ISNUMBER($AS$701),$B$677=1),$AS$701,HLOOKUP(INDIRECT(ADDRESS(2,COLUMN())),OFFSET($BN$2,0,0,ROW()-1,60),ROW()-1,FALSE))</f>
        <v/>
      </c>
      <c r="AT27">
        <f ca="1">IF(AND(ISNUMBER($AT$701),$B$677=1),$AT$701,HLOOKUP(INDIRECT(ADDRESS(2,COLUMN())),OFFSET($BN$2,0,0,ROW()-1,60),ROW()-1,FALSE))</f>
        <v>3.1850099649999999</v>
      </c>
      <c r="AU27">
        <f ca="1">IF(AND(ISNUMBER($AU$701),$B$677=1),$AU$701,HLOOKUP(INDIRECT(ADDRESS(2,COLUMN())),OFFSET($BN$2,0,0,ROW()-1,60),ROW()-1,FALSE))</f>
        <v>2.775242601</v>
      </c>
      <c r="AV27">
        <f ca="1">IF(AND(ISNUMBER($AV$701),$B$677=1),$AV$701,HLOOKUP(INDIRECT(ADDRESS(2,COLUMN())),OFFSET($BN$2,0,0,ROW()-1,60),ROW()-1,FALSE))</f>
        <v>6.3809000429999996</v>
      </c>
      <c r="AW27">
        <f ca="1">IF(AND(ISNUMBER($AW$701),$B$677=1),$AW$701,HLOOKUP(INDIRECT(ADDRESS(2,COLUMN())),OFFSET($BN$2,0,0,ROW()-1,60),ROW()-1,FALSE))</f>
        <v>7.4377041659999996</v>
      </c>
      <c r="AX27">
        <f ca="1">IF(AND(ISNUMBER($AX$701),$B$677=1),$AX$701,HLOOKUP(INDIRECT(ADDRESS(2,COLUMN())),OFFSET($BN$2,0,0,ROW()-1,60),ROW()-1,FALSE))</f>
        <v>5.4131141510000003</v>
      </c>
      <c r="AY27">
        <f ca="1">IF(AND(ISNUMBER($AY$701),$B$677=1),$AY$701,HLOOKUP(INDIRECT(ADDRESS(2,COLUMN())),OFFSET($BN$2,0,0,ROW()-1,60),ROW()-1,FALSE))</f>
        <v>10.242102750000001</v>
      </c>
      <c r="AZ27">
        <f ca="1">IF(AND(ISNUMBER($AZ$701),$B$677=1),$AZ$701,HLOOKUP(INDIRECT(ADDRESS(2,COLUMN())),OFFSET($BN$2,0,0,ROW()-1,60),ROW()-1,FALSE))</f>
        <v>10.80126418</v>
      </c>
      <c r="BA27">
        <f ca="1">IF(AND(ISNUMBER($BA$701),$B$677=1),$BA$701,HLOOKUP(INDIRECT(ADDRESS(2,COLUMN())),OFFSET($BN$2,0,0,ROW()-1,60),ROW()-1,FALSE))</f>
        <v>14.1745302</v>
      </c>
      <c r="BB27">
        <f ca="1">IF(AND(ISNUMBER($BB$701),$B$677=1),$BB$701,HLOOKUP(INDIRECT(ADDRESS(2,COLUMN())),OFFSET($BN$2,0,0,ROW()-1,60),ROW()-1,FALSE))</f>
        <v>12.405814749999999</v>
      </c>
      <c r="BC27">
        <f ca="1">IF(AND(ISNUMBER($BC$701),$B$677=1),$BC$701,HLOOKUP(INDIRECT(ADDRESS(2,COLUMN())),OFFSET($BN$2,0,0,ROW()-1,60),ROW()-1,FALSE))</f>
        <v>16.71601317</v>
      </c>
      <c r="BD27">
        <f ca="1">IF(AND(ISNUMBER($BD$701),$B$677=1),$BD$701,HLOOKUP(INDIRECT(ADDRESS(2,COLUMN())),OFFSET($BN$2,0,0,ROW()-1,60),ROW()-1,FALSE))</f>
        <v>15.68146511</v>
      </c>
      <c r="BE27">
        <f ca="1">IF(AND(ISNUMBER($BE$701),$B$677=1),$BE$701,HLOOKUP(INDIRECT(ADDRESS(2,COLUMN())),OFFSET($BN$2,0,0,ROW()-1,60),ROW()-1,FALSE))</f>
        <v>12.962594920000001</v>
      </c>
      <c r="BF27">
        <f ca="1">IF(AND(ISNUMBER($BF$701),$B$677=1),$BF$701,HLOOKUP(INDIRECT(ADDRESS(2,COLUMN())),OFFSET($BN$2,0,0,ROW()-1,60),ROW()-1,FALSE))</f>
        <v>14.03805026</v>
      </c>
      <c r="BG27">
        <f ca="1">IF(AND(ISNUMBER($BG$701),$B$677=1),$BG$701,HLOOKUP(INDIRECT(ADDRESS(2,COLUMN())),OFFSET($BN$2,0,0,ROW()-1,60),ROW()-1,FALSE))</f>
        <v>11.12209567</v>
      </c>
      <c r="BH27">
        <f ca="1">IF(AND(ISNUMBER($BH$701),$B$677=1),$BH$701,HLOOKUP(INDIRECT(ADDRESS(2,COLUMN())),OFFSET($BN$2,0,0,ROW()-1,60),ROW()-1,FALSE))</f>
        <v>10.607480389999999</v>
      </c>
      <c r="BI27">
        <f ca="1">IF(AND(ISNUMBER($BI$701),$B$677=1),$BI$701,HLOOKUP(INDIRECT(ADDRESS(2,COLUMN())),OFFSET($BN$2,0,0,ROW()-1,60),ROW()-1,FALSE))</f>
        <v>14.66399358</v>
      </c>
      <c r="BJ27">
        <f ca="1">IF(AND(ISNUMBER($BJ$701),$B$677=1),$BJ$701,HLOOKUP(INDIRECT(ADDRESS(2,COLUMN())),OFFSET($BN$2,0,0,ROW()-1,60),ROW()-1,FALSE))</f>
        <v>9.7244729989999996</v>
      </c>
      <c r="BK27" t="str">
        <f ca="1">IF(AND(ISNUMBER($BK$701),$B$677=1),$BK$701,HLOOKUP(INDIRECT(ADDRESS(2,COLUMN())),OFFSET($BN$2,0,0,ROW()-1,60),ROW()-1,FALSE))</f>
        <v/>
      </c>
      <c r="BL27" t="str">
        <f ca="1">IF(AND(ISNUMBER($BL$701),$B$677=1),$BL$701,HLOOKUP(INDIRECT(ADDRESS(2,COLUMN())),OFFSET($BN$2,0,0,ROW()-1,60),ROW()-1,FALSE))</f>
        <v/>
      </c>
      <c r="BM27" t="str">
        <f ca="1">IF(AND(ISNUMBER($BM$701),$B$677=1),$BM$701,HLOOKUP(INDIRECT(ADDRESS(2,COLUMN())),OFFSET($BN$2,0,0,ROW()-1,60),ROW()-1,FALSE))</f>
        <v/>
      </c>
      <c r="BN27">
        <f>12.62016873</f>
        <v>12.62016873</v>
      </c>
      <c r="BO27">
        <f>11.13400039</f>
        <v>11.134000390000001</v>
      </c>
      <c r="BP27">
        <f>11.7071496</f>
        <v>11.707149599999999</v>
      </c>
      <c r="BQ27">
        <f>8.757807972</f>
        <v>8.7578079720000002</v>
      </c>
      <c r="BR27">
        <f>7.654421769</f>
        <v>7.6544217689999998</v>
      </c>
      <c r="BS27">
        <f>9.227716728</f>
        <v>9.2277167280000008</v>
      </c>
      <c r="BT27">
        <f>10.2077046</f>
        <v>10.2077046</v>
      </c>
      <c r="BU27">
        <f>8.587545868</f>
        <v>8.5875458679999994</v>
      </c>
      <c r="BV27">
        <f>10.21865239</f>
        <v>10.218652390000001</v>
      </c>
      <c r="BW27">
        <f>12.57481092</f>
        <v>12.574810919999999</v>
      </c>
      <c r="BX27">
        <f>8.958759871</f>
        <v>8.9587598709999998</v>
      </c>
      <c r="BY27">
        <f>6.832922721</f>
        <v>6.8329227210000001</v>
      </c>
      <c r="BZ27">
        <f>7.767055056</f>
        <v>7.7670550560000002</v>
      </c>
      <c r="CA27">
        <f>10.00554983</f>
        <v>10.00554983</v>
      </c>
      <c r="CB27">
        <f>7.306645939</f>
        <v>7.306645939</v>
      </c>
      <c r="CC27">
        <f>9.774190919</f>
        <v>9.7741909190000005</v>
      </c>
      <c r="CD27">
        <f>9.180907927</f>
        <v>9.1809079269999998</v>
      </c>
      <c r="CE27">
        <f>9.222796295</f>
        <v>9.2227962950000002</v>
      </c>
      <c r="CF27">
        <f>8.05449751</f>
        <v>8.0544975099999991</v>
      </c>
      <c r="CG27">
        <f>7.925913566</f>
        <v>7.9259135660000002</v>
      </c>
      <c r="CH27">
        <f>10.08810573</f>
        <v>10.088105730000001</v>
      </c>
      <c r="CI27">
        <f>18.87578071</f>
        <v>18.875780710000001</v>
      </c>
      <c r="CJ27">
        <f>24.39977666</f>
        <v>24.399776660000001</v>
      </c>
      <c r="CK27">
        <f>25.29107374</f>
        <v>25.291073740000002</v>
      </c>
      <c r="CL27">
        <f>24.49869224</f>
        <v>24.49869224</v>
      </c>
      <c r="CM27">
        <f>15.91948765</f>
        <v>15.919487650000001</v>
      </c>
      <c r="CN27" t="str">
        <f>""</f>
        <v/>
      </c>
      <c r="CO27" t="str">
        <f>""</f>
        <v/>
      </c>
      <c r="CP27" t="str">
        <f>""</f>
        <v/>
      </c>
      <c r="CQ27" t="str">
        <f>""</f>
        <v/>
      </c>
      <c r="CR27" t="str">
        <f>""</f>
        <v/>
      </c>
      <c r="CS27" t="str">
        <f>""</f>
        <v/>
      </c>
      <c r="CT27">
        <f>25.00686315</f>
        <v>25.006863150000001</v>
      </c>
      <c r="CU27">
        <f>32.01428084</f>
        <v>32.014280839999998</v>
      </c>
      <c r="CV27">
        <f>17.51175858</f>
        <v>17.511758579999999</v>
      </c>
      <c r="CW27">
        <f>27.20911448</f>
        <v>27.20911448</v>
      </c>
      <c r="CX27" t="str">
        <f>""</f>
        <v/>
      </c>
      <c r="CY27" t="str">
        <f>""</f>
        <v/>
      </c>
      <c r="CZ27" t="str">
        <f>""</f>
        <v/>
      </c>
      <c r="DA27" t="str">
        <f>""</f>
        <v/>
      </c>
      <c r="DB27">
        <f>3.185009965</f>
        <v>3.1850099649999999</v>
      </c>
      <c r="DC27">
        <f>2.775242601</f>
        <v>2.775242601</v>
      </c>
      <c r="DD27">
        <f>6.380900043</f>
        <v>6.3809000429999996</v>
      </c>
      <c r="DE27">
        <f>7.437704166</f>
        <v>7.4377041659999996</v>
      </c>
      <c r="DF27">
        <f>5.413114151</f>
        <v>5.4131141510000003</v>
      </c>
      <c r="DG27">
        <f>10.24210275</f>
        <v>10.242102750000001</v>
      </c>
      <c r="DH27">
        <f>10.80126418</f>
        <v>10.80126418</v>
      </c>
      <c r="DI27">
        <f>14.1745302</f>
        <v>14.1745302</v>
      </c>
      <c r="DJ27">
        <f>12.40581475</f>
        <v>12.405814749999999</v>
      </c>
      <c r="DK27">
        <f>16.71601317</f>
        <v>16.71601317</v>
      </c>
      <c r="DL27">
        <f>15.68146511</f>
        <v>15.68146511</v>
      </c>
      <c r="DM27">
        <f>12.96259492</f>
        <v>12.962594920000001</v>
      </c>
      <c r="DN27">
        <f>14.03805026</f>
        <v>14.03805026</v>
      </c>
      <c r="DO27">
        <f>11.12209567</f>
        <v>11.12209567</v>
      </c>
      <c r="DP27">
        <f>10.60748039</f>
        <v>10.607480389999999</v>
      </c>
      <c r="DQ27">
        <f>14.66399358</f>
        <v>14.66399358</v>
      </c>
      <c r="DR27">
        <f>9.724472999</f>
        <v>9.7244729989999996</v>
      </c>
      <c r="DS27" t="str">
        <f>""</f>
        <v/>
      </c>
      <c r="DT27" t="str">
        <f>""</f>
        <v/>
      </c>
      <c r="DU27" t="str">
        <f>""</f>
        <v/>
      </c>
    </row>
    <row r="28" spans="1:125" x14ac:dyDescent="0.25">
      <c r="A28" t="str">
        <f>"    Mitsubishi Motors Corp"</f>
        <v xml:space="preserve">    Mitsubishi Motors Corp</v>
      </c>
      <c r="B28" t="str">
        <f>"7211 JP Equity"</f>
        <v>7211 JP Equity</v>
      </c>
      <c r="C28" t="str">
        <f t="shared" si="0"/>
        <v>RR900</v>
      </c>
      <c r="D28" t="str">
        <f t="shared" si="1"/>
        <v>PE_RATIO</v>
      </c>
      <c r="E28" t="str">
        <f t="shared" si="2"/>
        <v>Dynamic</v>
      </c>
      <c r="F28">
        <f ca="1">IF(AND(ISNUMBER($F$702),$B$677=1),$F$702,HLOOKUP(INDIRECT(ADDRESS(2,COLUMN())),OFFSET($BN$2,0,0,ROW()-1,60),ROW()-1,FALSE))</f>
        <v>8.6938319839999991</v>
      </c>
      <c r="G28">
        <f ca="1">IF(AND(ISNUMBER($G$702),$B$677=1),$G$702,HLOOKUP(INDIRECT(ADDRESS(2,COLUMN())),OFFSET($BN$2,0,0,ROW()-1,60),ROW()-1,FALSE))</f>
        <v>8.4007814679999999</v>
      </c>
      <c r="H28">
        <f ca="1">IF(AND(ISNUMBER($H$702),$B$677=1),$H$702,HLOOKUP(INDIRECT(ADDRESS(2,COLUMN())),OFFSET($BN$2,0,0,ROW()-1,60),ROW()-1,FALSE))</f>
        <v>10.75211154</v>
      </c>
      <c r="I28">
        <f ca="1">IF(AND(ISNUMBER($I$702),$B$677=1),$I$702,HLOOKUP(INDIRECT(ADDRESS(2,COLUMN())),OFFSET($BN$2,0,0,ROW()-1,60),ROW()-1,FALSE))</f>
        <v>11.65984418</v>
      </c>
      <c r="J28">
        <f ca="1">IF(AND(ISNUMBER($J$702),$B$677=1),$J$702,HLOOKUP(INDIRECT(ADDRESS(2,COLUMN())),OFFSET($BN$2,0,0,ROW()-1,60),ROW()-1,FALSE))</f>
        <v>10.53578845</v>
      </c>
      <c r="K28">
        <f ca="1">IF(AND(ISNUMBER($K$702),$B$677=1),$K$702,HLOOKUP(INDIRECT(ADDRESS(2,COLUMN())),OFFSET($BN$2,0,0,ROW()-1,60),ROW()-1,FALSE))</f>
        <v>14.28446082</v>
      </c>
      <c r="L28">
        <f ca="1">IF(AND(ISNUMBER($L$702),$B$677=1),$L$702,HLOOKUP(INDIRECT(ADDRESS(2,COLUMN())),OFFSET($BN$2,0,0,ROW()-1,60),ROW()-1,FALSE))</f>
        <v>11.881716839999999</v>
      </c>
      <c r="M28" t="str">
        <f ca="1">IF(AND(ISNUMBER($M$702),$B$677=1),$M$702,HLOOKUP(INDIRECT(ADDRESS(2,COLUMN())),OFFSET($BN$2,0,0,ROW()-1,60),ROW()-1,FALSE))</f>
        <v/>
      </c>
      <c r="N28" t="str">
        <f ca="1">IF(AND(ISNUMBER($N$702),$B$677=1),$N$702,HLOOKUP(INDIRECT(ADDRESS(2,COLUMN())),OFFSET($BN$2,0,0,ROW()-1,60),ROW()-1,FALSE))</f>
        <v/>
      </c>
      <c r="O28" t="str">
        <f ca="1">IF(AND(ISNUMBER($O$702),$B$677=1),$O$702,HLOOKUP(INDIRECT(ADDRESS(2,COLUMN())),OFFSET($BN$2,0,0,ROW()-1,60),ROW()-1,FALSE))</f>
        <v/>
      </c>
      <c r="P28" t="str">
        <f ca="1">IF(AND(ISNUMBER($P$702),$B$677=1),$P$702,HLOOKUP(INDIRECT(ADDRESS(2,COLUMN())),OFFSET($BN$2,0,0,ROW()-1,60),ROW()-1,FALSE))</f>
        <v/>
      </c>
      <c r="Q28">
        <f ca="1">IF(AND(ISNUMBER($Q$702),$B$677=1),$Q$702,HLOOKUP(INDIRECT(ADDRESS(2,COLUMN())),OFFSET($BN$2,0,0,ROW()-1,60),ROW()-1,FALSE))</f>
        <v>6.3279132789999997</v>
      </c>
      <c r="R28">
        <f ca="1">IF(AND(ISNUMBER($R$702),$B$677=1),$R$702,HLOOKUP(INDIRECT(ADDRESS(2,COLUMN())),OFFSET($BN$2,0,0,ROW()-1,60),ROW()-1,FALSE))</f>
        <v>11.42276423</v>
      </c>
      <c r="S28">
        <f ca="1">IF(AND(ISNUMBER($S$702),$B$677=1),$S$702,HLOOKUP(INDIRECT(ADDRESS(2,COLUMN())),OFFSET($BN$2,0,0,ROW()-1,60),ROW()-1,FALSE))</f>
        <v>10.515569169999999</v>
      </c>
      <c r="T28">
        <f ca="1">IF(AND(ISNUMBER($T$702),$B$677=1),$T$702,HLOOKUP(INDIRECT(ADDRESS(2,COLUMN())),OFFSET($BN$2,0,0,ROW()-1,60),ROW()-1,FALSE))</f>
        <v>8.202176455</v>
      </c>
      <c r="U28">
        <f ca="1">IF(AND(ISNUMBER($U$702),$B$677=1),$U$702,HLOOKUP(INDIRECT(ADDRESS(2,COLUMN())),OFFSET($BN$2,0,0,ROW()-1,60),ROW()-1,FALSE))</f>
        <v>8.9889579019999992</v>
      </c>
      <c r="V28">
        <f ca="1">IF(AND(ISNUMBER($V$702),$B$677=1),$V$702,HLOOKUP(INDIRECT(ADDRESS(2,COLUMN())),OFFSET($BN$2,0,0,ROW()-1,60),ROW()-1,FALSE))</f>
        <v>9.0296271640000008</v>
      </c>
      <c r="W28">
        <f ca="1">IF(AND(ISNUMBER($W$702),$B$677=1),$W$702,HLOOKUP(INDIRECT(ADDRESS(2,COLUMN())),OFFSET($BN$2,0,0,ROW()-1,60),ROW()-1,FALSE))</f>
        <v>9.2300016629999995</v>
      </c>
      <c r="X28">
        <f ca="1">IF(AND(ISNUMBER($X$702),$B$677=1),$X$702,HLOOKUP(INDIRECT(ADDRESS(2,COLUMN())),OFFSET($BN$2,0,0,ROW()-1,60),ROW()-1,FALSE))</f>
        <v>8.9406865050000004</v>
      </c>
      <c r="Y28">
        <f ca="1">IF(AND(ISNUMBER($Y$702),$B$677=1),$Y$702,HLOOKUP(INDIRECT(ADDRESS(2,COLUMN())),OFFSET($BN$2,0,0,ROW()-1,60),ROW()-1,FALSE))</f>
        <v>6.8021416400000003</v>
      </c>
      <c r="Z28">
        <f ca="1">IF(AND(ISNUMBER($Z$702),$B$677=1),$Z$702,HLOOKUP(INDIRECT(ADDRESS(2,COLUMN())),OFFSET($BN$2,0,0,ROW()-1,60),ROW()-1,FALSE))</f>
        <v>6.6490180390000004</v>
      </c>
      <c r="AA28">
        <f ca="1">IF(AND(ISNUMBER($AA$702),$B$677=1),$AA$702,HLOOKUP(INDIRECT(ADDRESS(2,COLUMN())),OFFSET($BN$2,0,0,ROW()-1,60),ROW()-1,FALSE))</f>
        <v>6.3922545580000003</v>
      </c>
      <c r="AB28">
        <f ca="1">IF(AND(ISNUMBER($AB$702),$B$677=1),$AB$702,HLOOKUP(INDIRECT(ADDRESS(2,COLUMN())),OFFSET($BN$2,0,0,ROW()-1,60),ROW()-1,FALSE))</f>
        <v>12.320982040000001</v>
      </c>
      <c r="AC28">
        <f ca="1">IF(AND(ISNUMBER($AC$702),$B$677=1),$AC$702,HLOOKUP(INDIRECT(ADDRESS(2,COLUMN())),OFFSET($BN$2,0,0,ROW()-1,60),ROW()-1,FALSE))</f>
        <v>23.734729489999999</v>
      </c>
      <c r="AD28">
        <f ca="1">IF(AND(ISNUMBER($AD$702),$B$677=1),$AD$702,HLOOKUP(INDIRECT(ADDRESS(2,COLUMN())),OFFSET($BN$2,0,0,ROW()-1,60),ROW()-1,FALSE))</f>
        <v>14.714714710000001</v>
      </c>
      <c r="AE28">
        <f ca="1">IF(AND(ISNUMBER($AE$702),$B$677=1),$AE$702,HLOOKUP(INDIRECT(ADDRESS(2,COLUMN())),OFFSET($BN$2,0,0,ROW()-1,60),ROW()-1,FALSE))</f>
        <v>17.449386000000001</v>
      </c>
      <c r="AF28">
        <f ca="1">IF(AND(ISNUMBER($AF$702),$B$677=1),$AF$702,HLOOKUP(INDIRECT(ADDRESS(2,COLUMN())),OFFSET($BN$2,0,0,ROW()-1,60),ROW()-1,FALSE))</f>
        <v>9.2087014039999993</v>
      </c>
      <c r="AG28">
        <f ca="1">IF(AND(ISNUMBER($AG$702),$B$677=1),$AG$702,HLOOKUP(INDIRECT(ADDRESS(2,COLUMN())),OFFSET($BN$2,0,0,ROW()-1,60),ROW()-1,FALSE))</f>
        <v>11.18920868</v>
      </c>
      <c r="AH28">
        <f ca="1">IF(AND(ISNUMBER($AH$702),$B$677=1),$AH$702,HLOOKUP(INDIRECT(ADDRESS(2,COLUMN())),OFFSET($BN$2,0,0,ROW()-1,60),ROW()-1,FALSE))</f>
        <v>21.760538700000001</v>
      </c>
      <c r="AI28">
        <f ca="1">IF(AND(ISNUMBER($AI$702),$B$677=1),$AI$702,HLOOKUP(INDIRECT(ADDRESS(2,COLUMN())),OFFSET($BN$2,0,0,ROW()-1,60),ROW()-1,FALSE))</f>
        <v>16.003787450000001</v>
      </c>
      <c r="AJ28">
        <f ca="1">IF(AND(ISNUMBER($AJ$702),$B$677=1),$AJ$702,HLOOKUP(INDIRECT(ADDRESS(2,COLUMN())),OFFSET($BN$2,0,0,ROW()-1,60),ROW()-1,FALSE))</f>
        <v>18.334161630000001</v>
      </c>
      <c r="AK28">
        <f ca="1">IF(AND(ISNUMBER($AK$702),$B$677=1),$AK$702,HLOOKUP(INDIRECT(ADDRESS(2,COLUMN())),OFFSET($BN$2,0,0,ROW()-1,60),ROW()-1,FALSE))</f>
        <v>17.172273300000001</v>
      </c>
      <c r="AL28">
        <f ca="1">IF(AND(ISNUMBER($AL$702),$B$677=1),$AL$702,HLOOKUP(INDIRECT(ADDRESS(2,COLUMN())),OFFSET($BN$2,0,0,ROW()-1,60),ROW()-1,FALSE))</f>
        <v>36.210352329999999</v>
      </c>
      <c r="AM28">
        <f ca="1">IF(AND(ISNUMBER($AM$702),$B$677=1),$AM$702,HLOOKUP(INDIRECT(ADDRESS(2,COLUMN())),OFFSET($BN$2,0,0,ROW()-1,60),ROW()-1,FALSE))</f>
        <v>23.18212368</v>
      </c>
      <c r="AN28">
        <f ca="1">IF(AND(ISNUMBER($AN$702),$B$677=1),$AN$702,HLOOKUP(INDIRECT(ADDRESS(2,COLUMN())),OFFSET($BN$2,0,0,ROW()-1,60),ROW()-1,FALSE))</f>
        <v>16.666337930000001</v>
      </c>
      <c r="AO28">
        <f ca="1">IF(AND(ISNUMBER($AO$702),$B$677=1),$AO$702,HLOOKUP(INDIRECT(ADDRESS(2,COLUMN())),OFFSET($BN$2,0,0,ROW()-1,60),ROW()-1,FALSE))</f>
        <v>32.192549049999997</v>
      </c>
      <c r="AP28">
        <f ca="1">IF(AND(ISNUMBER($AP$702),$B$677=1),$AP$702,HLOOKUP(INDIRECT(ADDRESS(2,COLUMN())),OFFSET($BN$2,0,0,ROW()-1,60),ROW()-1,FALSE))</f>
        <v>147.6522708</v>
      </c>
      <c r="AQ28" t="str">
        <f ca="1">IF(AND(ISNUMBER($AQ$702),$B$677=1),$AQ$702,HLOOKUP(INDIRECT(ADDRESS(2,COLUMN())),OFFSET($BN$2,0,0,ROW()-1,60),ROW()-1,FALSE))</f>
        <v/>
      </c>
      <c r="AR28" t="str">
        <f ca="1">IF(AND(ISNUMBER($AR$702),$B$677=1),$AR$702,HLOOKUP(INDIRECT(ADDRESS(2,COLUMN())),OFFSET($BN$2,0,0,ROW()-1,60),ROW()-1,FALSE))</f>
        <v/>
      </c>
      <c r="AS28" t="str">
        <f ca="1">IF(AND(ISNUMBER($AS$702),$B$677=1),$AS$702,HLOOKUP(INDIRECT(ADDRESS(2,COLUMN())),OFFSET($BN$2,0,0,ROW()-1,60),ROW()-1,FALSE))</f>
        <v/>
      </c>
      <c r="AT28">
        <f ca="1">IF(AND(ISNUMBER($AT$702),$B$677=1),$AT$702,HLOOKUP(INDIRECT(ADDRESS(2,COLUMN())),OFFSET($BN$2,0,0,ROW()-1,60),ROW()-1,FALSE))</f>
        <v>85.006693440000006</v>
      </c>
      <c r="AU28">
        <f ca="1">IF(AND(ISNUMBER($AU$702),$B$677=1),$AU$702,HLOOKUP(INDIRECT(ADDRESS(2,COLUMN())),OFFSET($BN$2,0,0,ROW()-1,60),ROW()-1,FALSE))</f>
        <v>81.659973230000006</v>
      </c>
      <c r="AV28">
        <f ca="1">IF(AND(ISNUMBER($AV$702),$B$677=1),$AV$702,HLOOKUP(INDIRECT(ADDRESS(2,COLUMN())),OFFSET($BN$2,0,0,ROW()-1,60),ROW()-1,FALSE))</f>
        <v>18.098606199999999</v>
      </c>
      <c r="AW28">
        <f ca="1">IF(AND(ISNUMBER($AW$702),$B$677=1),$AW$702,HLOOKUP(INDIRECT(ADDRESS(2,COLUMN())),OFFSET($BN$2,0,0,ROW()-1,60),ROW()-1,FALSE))</f>
        <v>20.02490143</v>
      </c>
      <c r="AX28">
        <f ca="1">IF(AND(ISNUMBER($AX$702),$B$677=1),$AX$702,HLOOKUP(INDIRECT(ADDRESS(2,COLUMN())),OFFSET($BN$2,0,0,ROW()-1,60),ROW()-1,FALSE))</f>
        <v>26.122969099999999</v>
      </c>
      <c r="AY28">
        <f ca="1">IF(AND(ISNUMBER($AY$702),$B$677=1),$AY$702,HLOOKUP(INDIRECT(ADDRESS(2,COLUMN())),OFFSET($BN$2,0,0,ROW()-1,60),ROW()-1,FALSE))</f>
        <v>24.64146023</v>
      </c>
      <c r="AZ28">
        <f ca="1">IF(AND(ISNUMBER($AZ$702),$B$677=1),$AZ$702,HLOOKUP(INDIRECT(ADDRESS(2,COLUMN())),OFFSET($BN$2,0,0,ROW()-1,60),ROW()-1,FALSE))</f>
        <v>49.900199600000001</v>
      </c>
      <c r="BA28">
        <f ca="1">IF(AND(ISNUMBER($BA$702),$B$677=1),$BA$702,HLOOKUP(INDIRECT(ADDRESS(2,COLUMN())),OFFSET($BN$2,0,0,ROW()-1,60),ROW()-1,FALSE))</f>
        <v>65.568022439999993</v>
      </c>
      <c r="BB28">
        <f ca="1">IF(AND(ISNUMBER($BB$702),$B$677=1),$BB$702,HLOOKUP(INDIRECT(ADDRESS(2,COLUMN())),OFFSET($BN$2,0,0,ROW()-1,60),ROW()-1,FALSE))</f>
        <v>114.8564295</v>
      </c>
      <c r="BC28" t="str">
        <f ca="1">IF(AND(ISNUMBER($BC$702),$B$677=1),$BC$702,HLOOKUP(INDIRECT(ADDRESS(2,COLUMN())),OFFSET($BN$2,0,0,ROW()-1,60),ROW()-1,FALSE))</f>
        <v/>
      </c>
      <c r="BD28" t="str">
        <f ca="1">IF(AND(ISNUMBER($BD$702),$B$677=1),$BD$702,HLOOKUP(INDIRECT(ADDRESS(2,COLUMN())),OFFSET($BN$2,0,0,ROW()-1,60),ROW()-1,FALSE))</f>
        <v/>
      </c>
      <c r="BE28" t="str">
        <f ca="1">IF(AND(ISNUMBER($BE$702),$B$677=1),$BE$702,HLOOKUP(INDIRECT(ADDRESS(2,COLUMN())),OFFSET($BN$2,0,0,ROW()-1,60),ROW()-1,FALSE))</f>
        <v/>
      </c>
      <c r="BF28" t="str">
        <f ca="1">IF(AND(ISNUMBER($BF$702),$B$677=1),$BF$702,HLOOKUP(INDIRECT(ADDRESS(2,COLUMN())),OFFSET($BN$2,0,0,ROW()-1,60),ROW()-1,FALSE))</f>
        <v/>
      </c>
      <c r="BG28" t="str">
        <f ca="1">IF(AND(ISNUMBER($BG$702),$B$677=1),$BG$702,HLOOKUP(INDIRECT(ADDRESS(2,COLUMN())),OFFSET($BN$2,0,0,ROW()-1,60),ROW()-1,FALSE))</f>
        <v/>
      </c>
      <c r="BH28" t="str">
        <f ca="1">IF(AND(ISNUMBER($BH$702),$B$677=1),$BH$702,HLOOKUP(INDIRECT(ADDRESS(2,COLUMN())),OFFSET($BN$2,0,0,ROW()-1,60),ROW()-1,FALSE))</f>
        <v/>
      </c>
      <c r="BI28" t="str">
        <f ca="1">IF(AND(ISNUMBER($BI$702),$B$677=1),$BI$702,HLOOKUP(INDIRECT(ADDRESS(2,COLUMN())),OFFSET($BN$2,0,0,ROW()-1,60),ROW()-1,FALSE))</f>
        <v/>
      </c>
      <c r="BJ28" t="str">
        <f ca="1">IF(AND(ISNUMBER($BJ$702),$B$677=1),$BJ$702,HLOOKUP(INDIRECT(ADDRESS(2,COLUMN())),OFFSET($BN$2,0,0,ROW()-1,60),ROW()-1,FALSE))</f>
        <v/>
      </c>
      <c r="BK28" t="str">
        <f ca="1">IF(AND(ISNUMBER($BK$702),$B$677=1),$BK$702,HLOOKUP(INDIRECT(ADDRESS(2,COLUMN())),OFFSET($BN$2,0,0,ROW()-1,60),ROW()-1,FALSE))</f>
        <v/>
      </c>
      <c r="BL28" t="str">
        <f ca="1">IF(AND(ISNUMBER($BL$702),$B$677=1),$BL$702,HLOOKUP(INDIRECT(ADDRESS(2,COLUMN())),OFFSET($BN$2,0,0,ROW()-1,60),ROW()-1,FALSE))</f>
        <v/>
      </c>
      <c r="BM28" t="str">
        <f ca="1">IF(AND(ISNUMBER($BM$702),$B$677=1),$BM$702,HLOOKUP(INDIRECT(ADDRESS(2,COLUMN())),OFFSET($BN$2,0,0,ROW()-1,60),ROW()-1,FALSE))</f>
        <v/>
      </c>
      <c r="BN28">
        <f>8.693831984</f>
        <v>8.6938319839999991</v>
      </c>
      <c r="BO28">
        <f>8.400781468</f>
        <v>8.4007814679999999</v>
      </c>
      <c r="BP28">
        <f>10.75211154</f>
        <v>10.75211154</v>
      </c>
      <c r="BQ28">
        <f>11.65984418</f>
        <v>11.65984418</v>
      </c>
      <c r="BR28">
        <f>10.53578845</f>
        <v>10.53578845</v>
      </c>
      <c r="BS28">
        <f>14.28446082</f>
        <v>14.28446082</v>
      </c>
      <c r="BT28">
        <f>11.88171684</f>
        <v>11.881716839999999</v>
      </c>
      <c r="BU28" t="str">
        <f>""</f>
        <v/>
      </c>
      <c r="BV28" t="str">
        <f>""</f>
        <v/>
      </c>
      <c r="BW28" t="str">
        <f>""</f>
        <v/>
      </c>
      <c r="BX28" t="str">
        <f>""</f>
        <v/>
      </c>
      <c r="BY28">
        <f>6.327913279</f>
        <v>6.3279132789999997</v>
      </c>
      <c r="BZ28">
        <f>11.42276423</f>
        <v>11.42276423</v>
      </c>
      <c r="CA28">
        <f>10.51556917</f>
        <v>10.515569169999999</v>
      </c>
      <c r="CB28">
        <f>8.202176455</f>
        <v>8.202176455</v>
      </c>
      <c r="CC28">
        <f>8.988957902</f>
        <v>8.9889579019999992</v>
      </c>
      <c r="CD28">
        <f>9.029627164</f>
        <v>9.0296271640000008</v>
      </c>
      <c r="CE28">
        <f>9.230001663</f>
        <v>9.2300016629999995</v>
      </c>
      <c r="CF28">
        <f>8.940686505</f>
        <v>8.9406865050000004</v>
      </c>
      <c r="CG28">
        <f>6.80214164</f>
        <v>6.8021416400000003</v>
      </c>
      <c r="CH28">
        <f>6.649018039</f>
        <v>6.6490180390000004</v>
      </c>
      <c r="CI28">
        <f>6.392254558</f>
        <v>6.3922545580000003</v>
      </c>
      <c r="CJ28">
        <f>12.32098204</f>
        <v>12.320982040000001</v>
      </c>
      <c r="CK28">
        <f>23.73472949</f>
        <v>23.734729489999999</v>
      </c>
      <c r="CL28">
        <f>14.71471471</f>
        <v>14.714714710000001</v>
      </c>
      <c r="CM28">
        <f>17.449386</f>
        <v>17.449386000000001</v>
      </c>
      <c r="CN28">
        <f>9.208701404</f>
        <v>9.2087014039999993</v>
      </c>
      <c r="CO28">
        <f>11.18920868</f>
        <v>11.18920868</v>
      </c>
      <c r="CP28">
        <f>21.7605387</f>
        <v>21.760538700000001</v>
      </c>
      <c r="CQ28">
        <f>16.00378745</f>
        <v>16.003787450000001</v>
      </c>
      <c r="CR28">
        <f>18.33416163</f>
        <v>18.334161630000001</v>
      </c>
      <c r="CS28">
        <f>17.1722733</f>
        <v>17.172273300000001</v>
      </c>
      <c r="CT28">
        <f>36.21035233</f>
        <v>36.210352329999999</v>
      </c>
      <c r="CU28">
        <f>23.18212368</f>
        <v>23.18212368</v>
      </c>
      <c r="CV28">
        <f>16.66633793</f>
        <v>16.666337930000001</v>
      </c>
      <c r="CW28">
        <f>32.19254905</f>
        <v>32.192549049999997</v>
      </c>
      <c r="CX28">
        <f>147.6522708</f>
        <v>147.6522708</v>
      </c>
      <c r="CY28" t="str">
        <f>""</f>
        <v/>
      </c>
      <c r="CZ28" t="str">
        <f>""</f>
        <v/>
      </c>
      <c r="DA28" t="str">
        <f>""</f>
        <v/>
      </c>
      <c r="DB28">
        <f>85.00669344</f>
        <v>85.006693440000006</v>
      </c>
      <c r="DC28">
        <f>81.65997323</f>
        <v>81.659973230000006</v>
      </c>
      <c r="DD28">
        <f>18.0986062</f>
        <v>18.098606199999999</v>
      </c>
      <c r="DE28">
        <f>20.02490143</f>
        <v>20.02490143</v>
      </c>
      <c r="DF28">
        <f>26.1229691</f>
        <v>26.122969099999999</v>
      </c>
      <c r="DG28">
        <f>24.64146023</f>
        <v>24.64146023</v>
      </c>
      <c r="DH28">
        <f>49.9001996</f>
        <v>49.900199600000001</v>
      </c>
      <c r="DI28">
        <f>65.56802244</f>
        <v>65.568022439999993</v>
      </c>
      <c r="DJ28">
        <f>114.8564295</f>
        <v>114.8564295</v>
      </c>
      <c r="DK28" t="str">
        <f>""</f>
        <v/>
      </c>
      <c r="DL28" t="str">
        <f>""</f>
        <v/>
      </c>
      <c r="DM28" t="str">
        <f>""</f>
        <v/>
      </c>
      <c r="DN28" t="str">
        <f>""</f>
        <v/>
      </c>
      <c r="DO28" t="str">
        <f>""</f>
        <v/>
      </c>
      <c r="DP28" t="str">
        <f>""</f>
        <v/>
      </c>
      <c r="DQ28" t="str">
        <f>""</f>
        <v/>
      </c>
      <c r="DR28" t="str">
        <f>""</f>
        <v/>
      </c>
      <c r="DS28" t="str">
        <f>""</f>
        <v/>
      </c>
      <c r="DT28" t="str">
        <f>""</f>
        <v/>
      </c>
      <c r="DU28" t="str">
        <f>""</f>
        <v/>
      </c>
    </row>
    <row r="29" spans="1:125" x14ac:dyDescent="0.25">
      <c r="A29" t="str">
        <f>"    Nissan Motor Co Ltd"</f>
        <v xml:space="preserve">    Nissan Motor Co Ltd</v>
      </c>
      <c r="B29" t="str">
        <f>"7201 JP Equity"</f>
        <v>7201 JP Equity</v>
      </c>
      <c r="C29" t="str">
        <f t="shared" si="0"/>
        <v>RR900</v>
      </c>
      <c r="D29" t="str">
        <f t="shared" si="1"/>
        <v>PE_RATIO</v>
      </c>
      <c r="E29" t="str">
        <f t="shared" si="2"/>
        <v>Dynamic</v>
      </c>
      <c r="F29">
        <f ca="1">IF(AND(ISNUMBER($F$703),$B$677=1),$F$703,HLOOKUP(INDIRECT(ADDRESS(2,COLUMN())),OFFSET($BN$2,0,0,ROW()-1,60),ROW()-1,FALSE))</f>
        <v>7.6346087220000003</v>
      </c>
      <c r="G29">
        <f ca="1">IF(AND(ISNUMBER($G$703),$B$677=1),$G$703,HLOOKUP(INDIRECT(ADDRESS(2,COLUMN())),OFFSET($BN$2,0,0,ROW()-1,60),ROW()-1,FALSE))</f>
        <v>7.092387145</v>
      </c>
      <c r="H29">
        <f ca="1">IF(AND(ISNUMBER($H$703),$B$677=1),$H$703,HLOOKUP(INDIRECT(ADDRESS(2,COLUMN())),OFFSET($BN$2,0,0,ROW()-1,60),ROW()-1,FALSE))</f>
        <v>5.8037370939999997</v>
      </c>
      <c r="I29">
        <f ca="1">IF(AND(ISNUMBER($I$703),$B$677=1),$I$703,HLOOKUP(INDIRECT(ADDRESS(2,COLUMN())),OFFSET($BN$2,0,0,ROW()-1,60),ROW()-1,FALSE))</f>
        <v>5.7927713949999999</v>
      </c>
      <c r="J29">
        <f ca="1">IF(AND(ISNUMBER($J$703),$B$677=1),$J$703,HLOOKUP(INDIRECT(ADDRESS(2,COLUMN())),OFFSET($BN$2,0,0,ROW()-1,60),ROW()-1,FALSE))</f>
        <v>5.7811943609999998</v>
      </c>
      <c r="K29">
        <f ca="1">IF(AND(ISNUMBER($K$703),$B$677=1),$K$703,HLOOKUP(INDIRECT(ADDRESS(2,COLUMN())),OFFSET($BN$2,0,0,ROW()-1,60),ROW()-1,FALSE))</f>
        <v>5.310801229</v>
      </c>
      <c r="L29">
        <f ca="1">IF(AND(ISNUMBER($L$703),$B$677=1),$L$703,HLOOKUP(INDIRECT(ADDRESS(2,COLUMN())),OFFSET($BN$2,0,0,ROW()-1,60),ROW()-1,FALSE))</f>
        <v>6.6366938610000004</v>
      </c>
      <c r="M29">
        <f ca="1">IF(AND(ISNUMBER($M$703),$B$677=1),$M$703,HLOOKUP(INDIRECT(ADDRESS(2,COLUMN())),OFFSET($BN$2,0,0,ROW()-1,60),ROW()-1,FALSE))</f>
        <v>6.6528214979999998</v>
      </c>
      <c r="N29">
        <f ca="1">IF(AND(ISNUMBER($N$703),$B$677=1),$N$703,HLOOKUP(INDIRECT(ADDRESS(2,COLUMN())),OFFSET($BN$2,0,0,ROW()-1,60),ROW()-1,FALSE))</f>
        <v>6.4405234010000001</v>
      </c>
      <c r="O29">
        <f ca="1">IF(AND(ISNUMBER($O$703),$B$677=1),$O$703,HLOOKUP(INDIRECT(ADDRESS(2,COLUMN())),OFFSET($BN$2,0,0,ROW()-1,60),ROW()-1,FALSE))</f>
        <v>9.8035945120000001</v>
      </c>
      <c r="P29">
        <f ca="1">IF(AND(ISNUMBER($P$703),$B$677=1),$P$703,HLOOKUP(INDIRECT(ADDRESS(2,COLUMN())),OFFSET($BN$2,0,0,ROW()-1,60),ROW()-1,FALSE))</f>
        <v>8.4167701600000004</v>
      </c>
      <c r="Q29">
        <f ca="1">IF(AND(ISNUMBER($Q$703),$B$677=1),$Q$703,HLOOKUP(INDIRECT(ADDRESS(2,COLUMN())),OFFSET($BN$2,0,0,ROW()-1,60),ROW()-1,FALSE))</f>
        <v>7.5450450450000002</v>
      </c>
      <c r="R29">
        <f ca="1">IF(AND(ISNUMBER($R$703),$B$677=1),$R$703,HLOOKUP(INDIRECT(ADDRESS(2,COLUMN())),OFFSET($BN$2,0,0,ROW()-1,60),ROW()-1,FALSE))</f>
        <v>8.3336000509999995</v>
      </c>
      <c r="S29">
        <f ca="1">IF(AND(ISNUMBER($S$703),$B$677=1),$S$703,HLOOKUP(INDIRECT(ADDRESS(2,COLUMN())),OFFSET($BN$2,0,0,ROW()-1,60),ROW()-1,FALSE))</f>
        <v>9.3853150440000004</v>
      </c>
      <c r="T29">
        <f ca="1">IF(AND(ISNUMBER($T$703),$B$677=1),$T$703,HLOOKUP(INDIRECT(ADDRESS(2,COLUMN())),OFFSET($BN$2,0,0,ROW()-1,60),ROW()-1,FALSE))</f>
        <v>8.3985874410000001</v>
      </c>
      <c r="U29">
        <f ca="1">IF(AND(ISNUMBER($U$703),$B$677=1),$U$703,HLOOKUP(INDIRECT(ADDRESS(2,COLUMN())),OFFSET($BN$2,0,0,ROW()-1,60),ROW()-1,FALSE))</f>
        <v>10.729613730000001</v>
      </c>
      <c r="V29">
        <f ca="1">IF(AND(ISNUMBER($V$703),$B$677=1),$V$703,HLOOKUP(INDIRECT(ADDRESS(2,COLUMN())),OFFSET($BN$2,0,0,ROW()-1,60),ROW()-1,FALSE))</f>
        <v>11.214953270000001</v>
      </c>
      <c r="W29">
        <f ca="1">IF(AND(ISNUMBER($W$703),$B$677=1),$W$703,HLOOKUP(INDIRECT(ADDRESS(2,COLUMN())),OFFSET($BN$2,0,0,ROW()-1,60),ROW()-1,FALSE))</f>
        <v>9.7653362900000005</v>
      </c>
      <c r="X29">
        <f ca="1">IF(AND(ISNUMBER($X$703),$B$677=1),$X$703,HLOOKUP(INDIRECT(ADDRESS(2,COLUMN())),OFFSET($BN$2,0,0,ROW()-1,60),ROW()-1,FALSE))</f>
        <v>10.27193235</v>
      </c>
      <c r="Y29">
        <f ca="1">IF(AND(ISNUMBER($Y$703),$B$677=1),$Y$703,HLOOKUP(INDIRECT(ADDRESS(2,COLUMN())),OFFSET($BN$2,0,0,ROW()-1,60),ROW()-1,FALSE))</f>
        <v>9.61</v>
      </c>
      <c r="Z29">
        <f ca="1">IF(AND(ISNUMBER($Z$703),$B$677=1),$Z$703,HLOOKUP(INDIRECT(ADDRESS(2,COLUMN())),OFFSET($BN$2,0,0,ROW()-1,60),ROW()-1,FALSE))</f>
        <v>9.9116569699999992</v>
      </c>
      <c r="AA29">
        <f ca="1">IF(AND(ISNUMBER($AA$703),$B$677=1),$AA$703,HLOOKUP(INDIRECT(ADDRESS(2,COLUMN())),OFFSET($BN$2,0,0,ROW()-1,60),ROW()-1,FALSE))</f>
        <v>9.6538167519999991</v>
      </c>
      <c r="AB29">
        <f ca="1">IF(AND(ISNUMBER($AB$703),$B$677=1),$AB$703,HLOOKUP(INDIRECT(ADDRESS(2,COLUMN())),OFFSET($BN$2,0,0,ROW()-1,60),ROW()-1,FALSE))</f>
        <v>11.67398268</v>
      </c>
      <c r="AC29">
        <f ca="1">IF(AND(ISNUMBER($AC$703),$B$677=1),$AC$703,HLOOKUP(INDIRECT(ADDRESS(2,COLUMN())),OFFSET($BN$2,0,0,ROW()-1,60),ROW()-1,FALSE))</f>
        <v>11.99427139</v>
      </c>
      <c r="AD29">
        <f ca="1">IF(AND(ISNUMBER($AD$703),$B$677=1),$AD$703,HLOOKUP(INDIRECT(ADDRESS(2,COLUMN())),OFFSET($BN$2,0,0,ROW()-1,60),ROW()-1,FALSE))</f>
        <v>11.119302129999999</v>
      </c>
      <c r="AE29">
        <f ca="1">IF(AND(ISNUMBER($AE$703),$B$677=1),$AE$703,HLOOKUP(INDIRECT(ADDRESS(2,COLUMN())),OFFSET($BN$2,0,0,ROW()-1,60),ROW()-1,FALSE))</f>
        <v>11.071135200000001</v>
      </c>
      <c r="AF29">
        <f ca="1">IF(AND(ISNUMBER($AF$703),$B$677=1),$AF$703,HLOOKUP(INDIRECT(ADDRESS(2,COLUMN())),OFFSET($BN$2,0,0,ROW()-1,60),ROW()-1,FALSE))</f>
        <v>8.2914031470000005</v>
      </c>
      <c r="AG29">
        <f ca="1">IF(AND(ISNUMBER($AG$703),$B$677=1),$AG$703,HLOOKUP(INDIRECT(ADDRESS(2,COLUMN())),OFFSET($BN$2,0,0,ROW()-1,60),ROW()-1,FALSE))</f>
        <v>9.5277455720000006</v>
      </c>
      <c r="AH29">
        <f ca="1">IF(AND(ISNUMBER($AH$703),$B$677=1),$AH$703,HLOOKUP(INDIRECT(ADDRESS(2,COLUMN())),OFFSET($BN$2,0,0,ROW()-1,60),ROW()-1,FALSE))</f>
        <v>10.788958969999999</v>
      </c>
      <c r="AI29">
        <f ca="1">IF(AND(ISNUMBER($AI$703),$B$677=1),$AI$703,HLOOKUP(INDIRECT(ADDRESS(2,COLUMN())),OFFSET($BN$2,0,0,ROW()-1,60),ROW()-1,FALSE))</f>
        <v>9.7490452059999999</v>
      </c>
      <c r="AJ29">
        <f ca="1">IF(AND(ISNUMBER($AJ$703),$B$677=1),$AJ$703,HLOOKUP(INDIRECT(ADDRESS(2,COLUMN())),OFFSET($BN$2,0,0,ROW()-1,60),ROW()-1,FALSE))</f>
        <v>9.8533640279999997</v>
      </c>
      <c r="AK29">
        <f ca="1">IF(AND(ISNUMBER($AK$703),$B$677=1),$AK$703,HLOOKUP(INDIRECT(ADDRESS(2,COLUMN())),OFFSET($BN$2,0,0,ROW()-1,60),ROW()-1,FALSE))</f>
        <v>11.839592919999999</v>
      </c>
      <c r="AL29">
        <f ca="1">IF(AND(ISNUMBER($AL$703),$B$677=1),$AL$703,HLOOKUP(INDIRECT(ADDRESS(2,COLUMN())),OFFSET($BN$2,0,0,ROW()-1,60),ROW()-1,FALSE))</f>
        <v>9.6537078940000001</v>
      </c>
      <c r="AM29">
        <f ca="1">IF(AND(ISNUMBER($AM$703),$B$677=1),$AM$703,HLOOKUP(INDIRECT(ADDRESS(2,COLUMN())),OFFSET($BN$2,0,0,ROW()-1,60),ROW()-1,FALSE))</f>
        <v>11.667896880000001</v>
      </c>
      <c r="AN29">
        <f ca="1">IF(AND(ISNUMBER($AN$703),$B$677=1),$AN$703,HLOOKUP(INDIRECT(ADDRESS(2,COLUMN())),OFFSET($BN$2,0,0,ROW()-1,60),ROW()-1,FALSE))</f>
        <v>12.53650957</v>
      </c>
      <c r="AO29">
        <f ca="1">IF(AND(ISNUMBER($AO$703),$B$677=1),$AO$703,HLOOKUP(INDIRECT(ADDRESS(2,COLUMN())),OFFSET($BN$2,0,0,ROW()-1,60),ROW()-1,FALSE))</f>
        <v>15.60701944</v>
      </c>
      <c r="AP29">
        <f ca="1">IF(AND(ISNUMBER($AP$703),$B$677=1),$AP$703,HLOOKUP(INDIRECT(ADDRESS(2,COLUMN())),OFFSET($BN$2,0,0,ROW()-1,60),ROW()-1,FALSE))</f>
        <v>77.01806809</v>
      </c>
      <c r="AQ29" t="str">
        <f ca="1">IF(AND(ISNUMBER($AQ$703),$B$677=1),$AQ$703,HLOOKUP(INDIRECT(ADDRESS(2,COLUMN())),OFFSET($BN$2,0,0,ROW()-1,60),ROW()-1,FALSE))</f>
        <v/>
      </c>
      <c r="AR29" t="str">
        <f ca="1">IF(AND(ISNUMBER($AR$703),$B$677=1),$AR$703,HLOOKUP(INDIRECT(ADDRESS(2,COLUMN())),OFFSET($BN$2,0,0,ROW()-1,60),ROW()-1,FALSE))</f>
        <v/>
      </c>
      <c r="AS29" t="str">
        <f ca="1">IF(AND(ISNUMBER($AS$703),$B$677=1),$AS$703,HLOOKUP(INDIRECT(ADDRESS(2,COLUMN())),OFFSET($BN$2,0,0,ROW()-1,60),ROW()-1,FALSE))</f>
        <v/>
      </c>
      <c r="AT29">
        <f ca="1">IF(AND(ISNUMBER($AT$703),$B$677=1),$AT$703,HLOOKUP(INDIRECT(ADDRESS(2,COLUMN())),OFFSET($BN$2,0,0,ROW()-1,60),ROW()-1,FALSE))</f>
        <v>8.1489841989999992</v>
      </c>
      <c r="AU29">
        <f ca="1">IF(AND(ISNUMBER($AU$703),$B$677=1),$AU$703,HLOOKUP(INDIRECT(ADDRESS(2,COLUMN())),OFFSET($BN$2,0,0,ROW()-1,60),ROW()-1,FALSE))</f>
        <v>7.2234762979999996</v>
      </c>
      <c r="AV29">
        <f ca="1">IF(AND(ISNUMBER($AV$703),$B$677=1),$AV$703,HLOOKUP(INDIRECT(ADDRESS(2,COLUMN())),OFFSET($BN$2,0,0,ROW()-1,60),ROW()-1,FALSE))</f>
        <v>7.182605111</v>
      </c>
      <c r="AW29">
        <f ca="1">IF(AND(ISNUMBER($AW$703),$B$677=1),$AW$703,HLOOKUP(INDIRECT(ADDRESS(2,COLUMN())),OFFSET($BN$2,0,0,ROW()-1,60),ROW()-1,FALSE))</f>
        <v>8.0982501500000001</v>
      </c>
      <c r="AX29">
        <f ca="1">IF(AND(ISNUMBER($AX$703),$B$677=1),$AX$703,HLOOKUP(INDIRECT(ADDRESS(2,COLUMN())),OFFSET($BN$2,0,0,ROW()-1,60),ROW()-1,FALSE))</f>
        <v>6.9952035319999997</v>
      </c>
      <c r="AY29">
        <f ca="1">IF(AND(ISNUMBER($AY$703),$B$677=1),$AY$703,HLOOKUP(INDIRECT(ADDRESS(2,COLUMN())),OFFSET($BN$2,0,0,ROW()-1,60),ROW()-1,FALSE))</f>
        <v>11.81862731</v>
      </c>
      <c r="AZ29">
        <f ca="1">IF(AND(ISNUMBER($AZ$703),$B$677=1),$AZ$703,HLOOKUP(INDIRECT(ADDRESS(2,COLUMN())),OFFSET($BN$2,0,0,ROW()-1,60),ROW()-1,FALSE))</f>
        <v>11.829029029999999</v>
      </c>
      <c r="BA29">
        <f ca="1">IF(AND(ISNUMBER($BA$703),$B$677=1),$BA$703,HLOOKUP(INDIRECT(ADDRESS(2,COLUMN())),OFFSET($BN$2,0,0,ROW()-1,60),ROW()-1,FALSE))</f>
        <v>12.23964147</v>
      </c>
      <c r="BB29">
        <f ca="1">IF(AND(ISNUMBER($BB$703),$B$677=1),$BB$703,HLOOKUP(INDIRECT(ADDRESS(2,COLUMN())),OFFSET($BN$2,0,0,ROW()-1,60),ROW()-1,FALSE))</f>
        <v>11.24385738</v>
      </c>
      <c r="BC29">
        <f ca="1">IF(AND(ISNUMBER($BC$703),$B$677=1),$BC$703,HLOOKUP(INDIRECT(ADDRESS(2,COLUMN())),OFFSET($BN$2,0,0,ROW()-1,60),ROW()-1,FALSE))</f>
        <v>11.0684576</v>
      </c>
      <c r="BD29">
        <f ca="1">IF(AND(ISNUMBER($BD$703),$B$677=1),$BD$703,HLOOKUP(INDIRECT(ADDRESS(2,COLUMN())),OFFSET($BN$2,0,0,ROW()-1,60),ROW()-1,FALSE))</f>
        <v>9.6556694840000006</v>
      </c>
      <c r="BE29">
        <f ca="1">IF(AND(ISNUMBER($BE$703),$B$677=1),$BE$703,HLOOKUP(INDIRECT(ADDRESS(2,COLUMN())),OFFSET($BN$2,0,0,ROW()-1,60),ROW()-1,FALSE))</f>
        <v>9.7799168200000004</v>
      </c>
      <c r="BF29">
        <f ca="1">IF(AND(ISNUMBER($BF$703),$B$677=1),$BF$703,HLOOKUP(INDIRECT(ADDRESS(2,COLUMN())),OFFSET($BN$2,0,0,ROW()-1,60),ROW()-1,FALSE))</f>
        <v>11.015424700000001</v>
      </c>
      <c r="BG29">
        <f ca="1">IF(AND(ISNUMBER($BG$703),$B$677=1),$BG$703,HLOOKUP(INDIRECT(ADDRESS(2,COLUMN())),OFFSET($BN$2,0,0,ROW()-1,60),ROW()-1,FALSE))</f>
        <v>9.6406773529999992</v>
      </c>
      <c r="BH29">
        <f ca="1">IF(AND(ISNUMBER($BH$703),$B$677=1),$BH$703,HLOOKUP(INDIRECT(ADDRESS(2,COLUMN())),OFFSET($BN$2,0,0,ROW()-1,60),ROW()-1,FALSE))</f>
        <v>10.47924761</v>
      </c>
      <c r="BI29">
        <f ca="1">IF(AND(ISNUMBER($BI$703),$B$677=1),$BI$703,HLOOKUP(INDIRECT(ADDRESS(2,COLUMN())),OFFSET($BN$2,0,0,ROW()-1,60),ROW()-1,FALSE))</f>
        <v>9.0616489229999999</v>
      </c>
      <c r="BJ29">
        <f ca="1">IF(AND(ISNUMBER($BJ$703),$B$677=1),$BJ$703,HLOOKUP(INDIRECT(ADDRESS(2,COLUMN())),OFFSET($BN$2,0,0,ROW()-1,60),ROW()-1,FALSE))</f>
        <v>8.7723498660000008</v>
      </c>
      <c r="BK29" t="str">
        <f ca="1">IF(AND(ISNUMBER($BK$703),$B$677=1),$BK$703,HLOOKUP(INDIRECT(ADDRESS(2,COLUMN())),OFFSET($BN$2,0,0,ROW()-1,60),ROW()-1,FALSE))</f>
        <v/>
      </c>
      <c r="BL29" t="str">
        <f ca="1">IF(AND(ISNUMBER($BL$703),$B$677=1),$BL$703,HLOOKUP(INDIRECT(ADDRESS(2,COLUMN())),OFFSET($BN$2,0,0,ROW()-1,60),ROW()-1,FALSE))</f>
        <v/>
      </c>
      <c r="BM29" t="str">
        <f ca="1">IF(AND(ISNUMBER($BM$703),$B$677=1),$BM$703,HLOOKUP(INDIRECT(ADDRESS(2,COLUMN())),OFFSET($BN$2,0,0,ROW()-1,60),ROW()-1,FALSE))</f>
        <v/>
      </c>
      <c r="BN29">
        <f>7.634608722</f>
        <v>7.6346087220000003</v>
      </c>
      <c r="BO29">
        <f>7.092387145</f>
        <v>7.092387145</v>
      </c>
      <c r="BP29">
        <f>5.803737094</f>
        <v>5.8037370939999997</v>
      </c>
      <c r="BQ29">
        <f>5.792771395</f>
        <v>5.7927713949999999</v>
      </c>
      <c r="BR29">
        <f>5.781194361</f>
        <v>5.7811943609999998</v>
      </c>
      <c r="BS29">
        <f>5.310801229</f>
        <v>5.310801229</v>
      </c>
      <c r="BT29">
        <f>6.636693861</f>
        <v>6.6366938610000004</v>
      </c>
      <c r="BU29">
        <f>6.652821498</f>
        <v>6.6528214979999998</v>
      </c>
      <c r="BV29">
        <f>6.440523401</f>
        <v>6.4405234010000001</v>
      </c>
      <c r="BW29">
        <f>9.803594512</f>
        <v>9.8035945120000001</v>
      </c>
      <c r="BX29">
        <f>8.41677016</f>
        <v>8.4167701600000004</v>
      </c>
      <c r="BY29">
        <f>7.545045045</f>
        <v>7.5450450450000002</v>
      </c>
      <c r="BZ29">
        <f>8.333600051</f>
        <v>8.3336000509999995</v>
      </c>
      <c r="CA29">
        <f>9.385315044</f>
        <v>9.3853150440000004</v>
      </c>
      <c r="CB29">
        <f>8.398587441</f>
        <v>8.3985874410000001</v>
      </c>
      <c r="CC29">
        <f>10.72961373</f>
        <v>10.729613730000001</v>
      </c>
      <c r="CD29">
        <f>11.21495327</f>
        <v>11.214953270000001</v>
      </c>
      <c r="CE29">
        <f>9.76533629</f>
        <v>9.7653362900000005</v>
      </c>
      <c r="CF29">
        <f>10.27193235</f>
        <v>10.27193235</v>
      </c>
      <c r="CG29">
        <f>9.61</f>
        <v>9.61</v>
      </c>
      <c r="CH29">
        <f>9.91165697</f>
        <v>9.9116569699999992</v>
      </c>
      <c r="CI29">
        <f>9.653816752</f>
        <v>9.6538167519999991</v>
      </c>
      <c r="CJ29">
        <f>11.67398268</f>
        <v>11.67398268</v>
      </c>
      <c r="CK29">
        <f>11.99427139</f>
        <v>11.99427139</v>
      </c>
      <c r="CL29">
        <f>11.11930213</f>
        <v>11.119302129999999</v>
      </c>
      <c r="CM29">
        <f>11.0711352</f>
        <v>11.071135200000001</v>
      </c>
      <c r="CN29">
        <f>8.291403147</f>
        <v>8.2914031470000005</v>
      </c>
      <c r="CO29">
        <f>9.527745572</f>
        <v>9.5277455720000006</v>
      </c>
      <c r="CP29">
        <f>10.78895897</f>
        <v>10.788958969999999</v>
      </c>
      <c r="CQ29">
        <f>9.749045206</f>
        <v>9.7490452059999999</v>
      </c>
      <c r="CR29">
        <f>9.853364028</f>
        <v>9.8533640279999997</v>
      </c>
      <c r="CS29">
        <f>11.83959292</f>
        <v>11.839592919999999</v>
      </c>
      <c r="CT29">
        <f>9.653707894</f>
        <v>9.6537078940000001</v>
      </c>
      <c r="CU29">
        <f>11.66789688</f>
        <v>11.667896880000001</v>
      </c>
      <c r="CV29">
        <f>12.53650957</f>
        <v>12.53650957</v>
      </c>
      <c r="CW29">
        <f>15.60701944</f>
        <v>15.60701944</v>
      </c>
      <c r="CX29">
        <f>77.01806809</f>
        <v>77.01806809</v>
      </c>
      <c r="CY29" t="str">
        <f>""</f>
        <v/>
      </c>
      <c r="CZ29" t="str">
        <f>""</f>
        <v/>
      </c>
      <c r="DA29" t="str">
        <f>""</f>
        <v/>
      </c>
      <c r="DB29">
        <f>8.148984199</f>
        <v>8.1489841989999992</v>
      </c>
      <c r="DC29">
        <f>7.223476298</f>
        <v>7.2234762979999996</v>
      </c>
      <c r="DD29">
        <f>7.182605111</f>
        <v>7.182605111</v>
      </c>
      <c r="DE29">
        <f>8.09825015</f>
        <v>8.0982501500000001</v>
      </c>
      <c r="DF29">
        <f>6.995203532</f>
        <v>6.9952035319999997</v>
      </c>
      <c r="DG29">
        <f>11.81862731</f>
        <v>11.81862731</v>
      </c>
      <c r="DH29">
        <f>11.82902903</f>
        <v>11.829029029999999</v>
      </c>
      <c r="DI29">
        <f>12.23964147</f>
        <v>12.23964147</v>
      </c>
      <c r="DJ29">
        <f>11.24385738</f>
        <v>11.24385738</v>
      </c>
      <c r="DK29">
        <f>11.0684576</f>
        <v>11.0684576</v>
      </c>
      <c r="DL29">
        <f>9.655669484</f>
        <v>9.6556694840000006</v>
      </c>
      <c r="DM29">
        <f>9.77991682</f>
        <v>9.7799168200000004</v>
      </c>
      <c r="DN29">
        <f>11.0154247</f>
        <v>11.015424700000001</v>
      </c>
      <c r="DO29">
        <f>9.640677353</f>
        <v>9.6406773529999992</v>
      </c>
      <c r="DP29">
        <f>10.47924761</f>
        <v>10.47924761</v>
      </c>
      <c r="DQ29">
        <f>9.061648923</f>
        <v>9.0616489229999999</v>
      </c>
      <c r="DR29">
        <f>8.772349866</f>
        <v>8.7723498660000008</v>
      </c>
      <c r="DS29" t="str">
        <f>""</f>
        <v/>
      </c>
      <c r="DT29" t="str">
        <f>""</f>
        <v/>
      </c>
      <c r="DU29" t="str">
        <f>""</f>
        <v/>
      </c>
    </row>
    <row r="30" spans="1:125" x14ac:dyDescent="0.25">
      <c r="A30" t="str">
        <f>"    Peugeot SA"</f>
        <v xml:space="preserve">    Peugeot SA</v>
      </c>
      <c r="B30" t="str">
        <f>"UG FP Equity"</f>
        <v>UG FP Equity</v>
      </c>
      <c r="C30" t="str">
        <f t="shared" si="0"/>
        <v>RR900</v>
      </c>
      <c r="D30" t="str">
        <f t="shared" si="1"/>
        <v>PE_RATIO</v>
      </c>
      <c r="E30" t="str">
        <f t="shared" si="2"/>
        <v>Dynamic</v>
      </c>
      <c r="F30" t="str">
        <f ca="1">IF(AND(ISNUMBER($F$704),$B$677=1),$F$704,HLOOKUP(INDIRECT(ADDRESS(2,COLUMN())),OFFSET($BN$2,0,0,ROW()-1,60),ROW()-1,FALSE))</f>
        <v/>
      </c>
      <c r="G30" t="str">
        <f ca="1">IF(AND(ISNUMBER($G$704),$B$677=1),$G$704,HLOOKUP(INDIRECT(ADDRESS(2,COLUMN())),OFFSET($BN$2,0,0,ROW()-1,60),ROW()-1,FALSE))</f>
        <v/>
      </c>
      <c r="H30" t="str">
        <f ca="1">IF(AND(ISNUMBER($H$704),$B$677=1),$H$704,HLOOKUP(INDIRECT(ADDRESS(2,COLUMN())),OFFSET($BN$2,0,0,ROW()-1,60),ROW()-1,FALSE))</f>
        <v/>
      </c>
      <c r="I30" t="str">
        <f ca="1">IF(AND(ISNUMBER($I$704),$B$677=1),$I$704,HLOOKUP(INDIRECT(ADDRESS(2,COLUMN())),OFFSET($BN$2,0,0,ROW()-1,60),ROW()-1,FALSE))</f>
        <v/>
      </c>
      <c r="J30" t="str">
        <f ca="1">IF(AND(ISNUMBER($J$704),$B$677=1),$J$704,HLOOKUP(INDIRECT(ADDRESS(2,COLUMN())),OFFSET($BN$2,0,0,ROW()-1,60),ROW()-1,FALSE))</f>
        <v/>
      </c>
      <c r="K30" t="str">
        <f ca="1">IF(AND(ISNUMBER($K$704),$B$677=1),$K$704,HLOOKUP(INDIRECT(ADDRESS(2,COLUMN())),OFFSET($BN$2,0,0,ROW()-1,60),ROW()-1,FALSE))</f>
        <v/>
      </c>
      <c r="L30" t="str">
        <f ca="1">IF(AND(ISNUMBER($L$704),$B$677=1),$L$704,HLOOKUP(INDIRECT(ADDRESS(2,COLUMN())),OFFSET($BN$2,0,0,ROW()-1,60),ROW()-1,FALSE))</f>
        <v/>
      </c>
      <c r="M30" t="str">
        <f ca="1">IF(AND(ISNUMBER($M$704),$B$677=1),$M$704,HLOOKUP(INDIRECT(ADDRESS(2,COLUMN())),OFFSET($BN$2,0,0,ROW()-1,60),ROW()-1,FALSE))</f>
        <v/>
      </c>
      <c r="N30" t="str">
        <f ca="1">IF(AND(ISNUMBER($N$704),$B$677=1),$N$704,HLOOKUP(INDIRECT(ADDRESS(2,COLUMN())),OFFSET($BN$2,0,0,ROW()-1,60),ROW()-1,FALSE))</f>
        <v/>
      </c>
      <c r="O30" t="str">
        <f ca="1">IF(AND(ISNUMBER($O$704),$B$677=1),$O$704,HLOOKUP(INDIRECT(ADDRESS(2,COLUMN())),OFFSET($BN$2,0,0,ROW()-1,60),ROW()-1,FALSE))</f>
        <v/>
      </c>
      <c r="P30" t="str">
        <f ca="1">IF(AND(ISNUMBER($P$704),$B$677=1),$P$704,HLOOKUP(INDIRECT(ADDRESS(2,COLUMN())),OFFSET($BN$2,0,0,ROW()-1,60),ROW()-1,FALSE))</f>
        <v/>
      </c>
      <c r="Q30" t="str">
        <f ca="1">IF(AND(ISNUMBER($Q$704),$B$677=1),$Q$704,HLOOKUP(INDIRECT(ADDRESS(2,COLUMN())),OFFSET($BN$2,0,0,ROW()-1,60),ROW()-1,FALSE))</f>
        <v/>
      </c>
      <c r="R30" t="str">
        <f ca="1">IF(AND(ISNUMBER($R$704),$B$677=1),$R$704,HLOOKUP(INDIRECT(ADDRESS(2,COLUMN())),OFFSET($BN$2,0,0,ROW()-1,60),ROW()-1,FALSE))</f>
        <v/>
      </c>
      <c r="S30" t="str">
        <f ca="1">IF(AND(ISNUMBER($S$704),$B$677=1),$S$704,HLOOKUP(INDIRECT(ADDRESS(2,COLUMN())),OFFSET($BN$2,0,0,ROW()-1,60),ROW()-1,FALSE))</f>
        <v/>
      </c>
      <c r="T30" t="str">
        <f ca="1">IF(AND(ISNUMBER($T$704),$B$677=1),$T$704,HLOOKUP(INDIRECT(ADDRESS(2,COLUMN())),OFFSET($BN$2,0,0,ROW()-1,60),ROW()-1,FALSE))</f>
        <v/>
      </c>
      <c r="U30" t="str">
        <f ca="1">IF(AND(ISNUMBER($U$704),$B$677=1),$U$704,HLOOKUP(INDIRECT(ADDRESS(2,COLUMN())),OFFSET($BN$2,0,0,ROW()-1,60),ROW()-1,FALSE))</f>
        <v/>
      </c>
      <c r="V30" t="str">
        <f ca="1">IF(AND(ISNUMBER($V$704),$B$677=1),$V$704,HLOOKUP(INDIRECT(ADDRESS(2,COLUMN())),OFFSET($BN$2,0,0,ROW()-1,60),ROW()-1,FALSE))</f>
        <v/>
      </c>
      <c r="W30" t="str">
        <f ca="1">IF(AND(ISNUMBER($W$704),$B$677=1),$W$704,HLOOKUP(INDIRECT(ADDRESS(2,COLUMN())),OFFSET($BN$2,0,0,ROW()-1,60),ROW()-1,FALSE))</f>
        <v/>
      </c>
      <c r="X30" t="str">
        <f ca="1">IF(AND(ISNUMBER($X$704),$B$677=1),$X$704,HLOOKUP(INDIRECT(ADDRESS(2,COLUMN())),OFFSET($BN$2,0,0,ROW()-1,60),ROW()-1,FALSE))</f>
        <v/>
      </c>
      <c r="Y30" t="str">
        <f ca="1">IF(AND(ISNUMBER($Y$704),$B$677=1),$Y$704,HLOOKUP(INDIRECT(ADDRESS(2,COLUMN())),OFFSET($BN$2,0,0,ROW()-1,60),ROW()-1,FALSE))</f>
        <v/>
      </c>
      <c r="Z30" t="str">
        <f ca="1">IF(AND(ISNUMBER($Z$704),$B$677=1),$Z$704,HLOOKUP(INDIRECT(ADDRESS(2,COLUMN())),OFFSET($BN$2,0,0,ROW()-1,60),ROW()-1,FALSE))</f>
        <v/>
      </c>
      <c r="AA30" t="str">
        <f ca="1">IF(AND(ISNUMBER($AA$704),$B$677=1),$AA$704,HLOOKUP(INDIRECT(ADDRESS(2,COLUMN())),OFFSET($BN$2,0,0,ROW()-1,60),ROW()-1,FALSE))</f>
        <v/>
      </c>
      <c r="AB30" t="str">
        <f ca="1">IF(AND(ISNUMBER($AB$704),$B$677=1),$AB$704,HLOOKUP(INDIRECT(ADDRESS(2,COLUMN())),OFFSET($BN$2,0,0,ROW()-1,60),ROW()-1,FALSE))</f>
        <v/>
      </c>
      <c r="AC30" t="str">
        <f ca="1">IF(AND(ISNUMBER($AC$704),$B$677=1),$AC$704,HLOOKUP(INDIRECT(ADDRESS(2,COLUMN())),OFFSET($BN$2,0,0,ROW()-1,60),ROW()-1,FALSE))</f>
        <v/>
      </c>
      <c r="AD30" t="str">
        <f ca="1">IF(AND(ISNUMBER($AD$704),$B$677=1),$AD$704,HLOOKUP(INDIRECT(ADDRESS(2,COLUMN())),OFFSET($BN$2,0,0,ROW()-1,60),ROW()-1,FALSE))</f>
        <v/>
      </c>
      <c r="AE30" t="str">
        <f ca="1">IF(AND(ISNUMBER($AE$704),$B$677=1),$AE$704,HLOOKUP(INDIRECT(ADDRESS(2,COLUMN())),OFFSET($BN$2,0,0,ROW()-1,60),ROW()-1,FALSE))</f>
        <v/>
      </c>
      <c r="AF30" t="str">
        <f ca="1">IF(AND(ISNUMBER($AF$704),$B$677=1),$AF$704,HLOOKUP(INDIRECT(ADDRESS(2,COLUMN())),OFFSET($BN$2,0,0,ROW()-1,60),ROW()-1,FALSE))</f>
        <v/>
      </c>
      <c r="AG30" t="str">
        <f ca="1">IF(AND(ISNUMBER($AG$704),$B$677=1),$AG$704,HLOOKUP(INDIRECT(ADDRESS(2,COLUMN())),OFFSET($BN$2,0,0,ROW()-1,60),ROW()-1,FALSE))</f>
        <v/>
      </c>
      <c r="AH30" t="str">
        <f ca="1">IF(AND(ISNUMBER($AH$704),$B$677=1),$AH$704,HLOOKUP(INDIRECT(ADDRESS(2,COLUMN())),OFFSET($BN$2,0,0,ROW()-1,60),ROW()-1,FALSE))</f>
        <v/>
      </c>
      <c r="AI30" t="str">
        <f ca="1">IF(AND(ISNUMBER($AI$704),$B$677=1),$AI$704,HLOOKUP(INDIRECT(ADDRESS(2,COLUMN())),OFFSET($BN$2,0,0,ROW()-1,60),ROW()-1,FALSE))</f>
        <v/>
      </c>
      <c r="AJ30" t="str">
        <f ca="1">IF(AND(ISNUMBER($AJ$704),$B$677=1),$AJ$704,HLOOKUP(INDIRECT(ADDRESS(2,COLUMN())),OFFSET($BN$2,0,0,ROW()-1,60),ROW()-1,FALSE))</f>
        <v/>
      </c>
      <c r="AK30" t="str">
        <f ca="1">IF(AND(ISNUMBER($AK$704),$B$677=1),$AK$704,HLOOKUP(INDIRECT(ADDRESS(2,COLUMN())),OFFSET($BN$2,0,0,ROW()-1,60),ROW()-1,FALSE))</f>
        <v/>
      </c>
      <c r="AL30" t="str">
        <f ca="1">IF(AND(ISNUMBER($AL$704),$B$677=1),$AL$704,HLOOKUP(INDIRECT(ADDRESS(2,COLUMN())),OFFSET($BN$2,0,0,ROW()-1,60),ROW()-1,FALSE))</f>
        <v/>
      </c>
      <c r="AM30" t="str">
        <f ca="1">IF(AND(ISNUMBER($AM$704),$B$677=1),$AM$704,HLOOKUP(INDIRECT(ADDRESS(2,COLUMN())),OFFSET($BN$2,0,0,ROW()-1,60),ROW()-1,FALSE))</f>
        <v/>
      </c>
      <c r="AN30" t="str">
        <f ca="1">IF(AND(ISNUMBER($AN$704),$B$677=1),$AN$704,HLOOKUP(INDIRECT(ADDRESS(2,COLUMN())),OFFSET($BN$2,0,0,ROW()-1,60),ROW()-1,FALSE))</f>
        <v/>
      </c>
      <c r="AO30" t="str">
        <f ca="1">IF(AND(ISNUMBER($AO$704),$B$677=1),$AO$704,HLOOKUP(INDIRECT(ADDRESS(2,COLUMN())),OFFSET($BN$2,0,0,ROW()-1,60),ROW()-1,FALSE))</f>
        <v/>
      </c>
      <c r="AP30" t="str">
        <f ca="1">IF(AND(ISNUMBER($AP$704),$B$677=1),$AP$704,HLOOKUP(INDIRECT(ADDRESS(2,COLUMN())),OFFSET($BN$2,0,0,ROW()-1,60),ROW()-1,FALSE))</f>
        <v/>
      </c>
      <c r="AQ30" t="str">
        <f ca="1">IF(AND(ISNUMBER($AQ$704),$B$677=1),$AQ$704,HLOOKUP(INDIRECT(ADDRESS(2,COLUMN())),OFFSET($BN$2,0,0,ROW()-1,60),ROW()-1,FALSE))</f>
        <v/>
      </c>
      <c r="AR30" t="str">
        <f ca="1">IF(AND(ISNUMBER($AR$704),$B$677=1),$AR$704,HLOOKUP(INDIRECT(ADDRESS(2,COLUMN())),OFFSET($BN$2,0,0,ROW()-1,60),ROW()-1,FALSE))</f>
        <v/>
      </c>
      <c r="AS30" t="str">
        <f ca="1">IF(AND(ISNUMBER($AS$704),$B$677=1),$AS$704,HLOOKUP(INDIRECT(ADDRESS(2,COLUMN())),OFFSET($BN$2,0,0,ROW()-1,60),ROW()-1,FALSE))</f>
        <v/>
      </c>
      <c r="AT30" t="str">
        <f ca="1">IF(AND(ISNUMBER($AT$704),$B$677=1),$AT$704,HLOOKUP(INDIRECT(ADDRESS(2,COLUMN())),OFFSET($BN$2,0,0,ROW()-1,60),ROW()-1,FALSE))</f>
        <v/>
      </c>
      <c r="AU30" t="str">
        <f ca="1">IF(AND(ISNUMBER($AU$704),$B$677=1),$AU$704,HLOOKUP(INDIRECT(ADDRESS(2,COLUMN())),OFFSET($BN$2,0,0,ROW()-1,60),ROW()-1,FALSE))</f>
        <v/>
      </c>
      <c r="AV30" t="str">
        <f ca="1">IF(AND(ISNUMBER($AV$704),$B$677=1),$AV$704,HLOOKUP(INDIRECT(ADDRESS(2,COLUMN())),OFFSET($BN$2,0,0,ROW()-1,60),ROW()-1,FALSE))</f>
        <v/>
      </c>
      <c r="AW30" t="str">
        <f ca="1">IF(AND(ISNUMBER($AW$704),$B$677=1),$AW$704,HLOOKUP(INDIRECT(ADDRESS(2,COLUMN())),OFFSET($BN$2,0,0,ROW()-1,60),ROW()-1,FALSE))</f>
        <v/>
      </c>
      <c r="AX30" t="str">
        <f ca="1">IF(AND(ISNUMBER($AX$704),$B$677=1),$AX$704,HLOOKUP(INDIRECT(ADDRESS(2,COLUMN())),OFFSET($BN$2,0,0,ROW()-1,60),ROW()-1,FALSE))</f>
        <v/>
      </c>
      <c r="AY30" t="str">
        <f ca="1">IF(AND(ISNUMBER($AY$704),$B$677=1),$AY$704,HLOOKUP(INDIRECT(ADDRESS(2,COLUMN())),OFFSET($BN$2,0,0,ROW()-1,60),ROW()-1,FALSE))</f>
        <v/>
      </c>
      <c r="AZ30" t="str">
        <f ca="1">IF(AND(ISNUMBER($AZ$704),$B$677=1),$AZ$704,HLOOKUP(INDIRECT(ADDRESS(2,COLUMN())),OFFSET($BN$2,0,0,ROW()-1,60),ROW()-1,FALSE))</f>
        <v/>
      </c>
      <c r="BA30" t="str">
        <f ca="1">IF(AND(ISNUMBER($BA$704),$B$677=1),$BA$704,HLOOKUP(INDIRECT(ADDRESS(2,COLUMN())),OFFSET($BN$2,0,0,ROW()-1,60),ROW()-1,FALSE))</f>
        <v/>
      </c>
      <c r="BB30" t="str">
        <f ca="1">IF(AND(ISNUMBER($BB$704),$B$677=1),$BB$704,HLOOKUP(INDIRECT(ADDRESS(2,COLUMN())),OFFSET($BN$2,0,0,ROW()-1,60),ROW()-1,FALSE))</f>
        <v/>
      </c>
      <c r="BC30" t="str">
        <f ca="1">IF(AND(ISNUMBER($BC$704),$B$677=1),$BC$704,HLOOKUP(INDIRECT(ADDRESS(2,COLUMN())),OFFSET($BN$2,0,0,ROW()-1,60),ROW()-1,FALSE))</f>
        <v/>
      </c>
      <c r="BD30" t="str">
        <f ca="1">IF(AND(ISNUMBER($BD$704),$B$677=1),$BD$704,HLOOKUP(INDIRECT(ADDRESS(2,COLUMN())),OFFSET($BN$2,0,0,ROW()-1,60),ROW()-1,FALSE))</f>
        <v/>
      </c>
      <c r="BE30" t="str">
        <f ca="1">IF(AND(ISNUMBER($BE$704),$B$677=1),$BE$704,HLOOKUP(INDIRECT(ADDRESS(2,COLUMN())),OFFSET($BN$2,0,0,ROW()-1,60),ROW()-1,FALSE))</f>
        <v/>
      </c>
      <c r="BF30" t="str">
        <f ca="1">IF(AND(ISNUMBER($BF$704),$B$677=1),$BF$704,HLOOKUP(INDIRECT(ADDRESS(2,COLUMN())),OFFSET($BN$2,0,0,ROW()-1,60),ROW()-1,FALSE))</f>
        <v/>
      </c>
      <c r="BG30" t="str">
        <f ca="1">IF(AND(ISNUMBER($BG$704),$B$677=1),$BG$704,HLOOKUP(INDIRECT(ADDRESS(2,COLUMN())),OFFSET($BN$2,0,0,ROW()-1,60),ROW()-1,FALSE))</f>
        <v/>
      </c>
      <c r="BH30" t="str">
        <f ca="1">IF(AND(ISNUMBER($BH$704),$B$677=1),$BH$704,HLOOKUP(INDIRECT(ADDRESS(2,COLUMN())),OFFSET($BN$2,0,0,ROW()-1,60),ROW()-1,FALSE))</f>
        <v/>
      </c>
      <c r="BI30" t="str">
        <f ca="1">IF(AND(ISNUMBER($BI$704),$B$677=1),$BI$704,HLOOKUP(INDIRECT(ADDRESS(2,COLUMN())),OFFSET($BN$2,0,0,ROW()-1,60),ROW()-1,FALSE))</f>
        <v/>
      </c>
      <c r="BJ30" t="str">
        <f ca="1">IF(AND(ISNUMBER($BJ$704),$B$677=1),$BJ$704,HLOOKUP(INDIRECT(ADDRESS(2,COLUMN())),OFFSET($BN$2,0,0,ROW()-1,60),ROW()-1,FALSE))</f>
        <v/>
      </c>
      <c r="BK30" t="str">
        <f ca="1">IF(AND(ISNUMBER($BK$704),$B$677=1),$BK$704,HLOOKUP(INDIRECT(ADDRESS(2,COLUMN())),OFFSET($BN$2,0,0,ROW()-1,60),ROW()-1,FALSE))</f>
        <v/>
      </c>
      <c r="BL30" t="str">
        <f ca="1">IF(AND(ISNUMBER($BL$704),$B$677=1),$BL$704,HLOOKUP(INDIRECT(ADDRESS(2,COLUMN())),OFFSET($BN$2,0,0,ROW()-1,60),ROW()-1,FALSE))</f>
        <v/>
      </c>
      <c r="BM30" t="str">
        <f ca="1">IF(AND(ISNUMBER($BM$704),$B$677=1),$BM$704,HLOOKUP(INDIRECT(ADDRESS(2,COLUMN())),OFFSET($BN$2,0,0,ROW()-1,60),ROW()-1,FALSE))</f>
        <v/>
      </c>
      <c r="BN30" t="str">
        <f>""</f>
        <v/>
      </c>
      <c r="BO30" t="str">
        <f>""</f>
        <v/>
      </c>
      <c r="BP30" t="str">
        <f>""</f>
        <v/>
      </c>
      <c r="BQ30" t="str">
        <f>""</f>
        <v/>
      </c>
      <c r="BR30" t="str">
        <f>""</f>
        <v/>
      </c>
      <c r="BS30" t="str">
        <f>""</f>
        <v/>
      </c>
      <c r="BT30" t="str">
        <f>""</f>
        <v/>
      </c>
      <c r="BU30" t="str">
        <f>""</f>
        <v/>
      </c>
      <c r="BV30" t="str">
        <f>""</f>
        <v/>
      </c>
      <c r="BW30" t="str">
        <f>""</f>
        <v/>
      </c>
      <c r="BX30" t="str">
        <f>""</f>
        <v/>
      </c>
      <c r="BY30" t="str">
        <f>""</f>
        <v/>
      </c>
      <c r="BZ30" t="str">
        <f>""</f>
        <v/>
      </c>
      <c r="CA30" t="str">
        <f>""</f>
        <v/>
      </c>
      <c r="CB30" t="str">
        <f>""</f>
        <v/>
      </c>
      <c r="CC30" t="str">
        <f>""</f>
        <v/>
      </c>
      <c r="CD30" t="str">
        <f>""</f>
        <v/>
      </c>
      <c r="CE30" t="str">
        <f>""</f>
        <v/>
      </c>
      <c r="CF30" t="str">
        <f>""</f>
        <v/>
      </c>
      <c r="CG30" t="str">
        <f>""</f>
        <v/>
      </c>
      <c r="CH30" t="str">
        <f>""</f>
        <v/>
      </c>
      <c r="CI30" t="str">
        <f>""</f>
        <v/>
      </c>
      <c r="CJ30" t="str">
        <f>""</f>
        <v/>
      </c>
      <c r="CK30" t="str">
        <f>""</f>
        <v/>
      </c>
      <c r="CL30" t="str">
        <f>""</f>
        <v/>
      </c>
      <c r="CM30" t="str">
        <f>""</f>
        <v/>
      </c>
      <c r="CN30" t="str">
        <f>""</f>
        <v/>
      </c>
      <c r="CO30" t="str">
        <f>""</f>
        <v/>
      </c>
      <c r="CP30" t="str">
        <f>""</f>
        <v/>
      </c>
      <c r="CQ30" t="str">
        <f>""</f>
        <v/>
      </c>
      <c r="CR30" t="str">
        <f>""</f>
        <v/>
      </c>
      <c r="CS30" t="str">
        <f>""</f>
        <v/>
      </c>
      <c r="CT30" t="str">
        <f>""</f>
        <v/>
      </c>
      <c r="CU30" t="str">
        <f>""</f>
        <v/>
      </c>
      <c r="CV30" t="str">
        <f>""</f>
        <v/>
      </c>
      <c r="CW30" t="str">
        <f>""</f>
        <v/>
      </c>
      <c r="CX30" t="str">
        <f>""</f>
        <v/>
      </c>
      <c r="CY30" t="str">
        <f>""</f>
        <v/>
      </c>
      <c r="CZ30" t="str">
        <f>""</f>
        <v/>
      </c>
      <c r="DA30" t="str">
        <f>""</f>
        <v/>
      </c>
      <c r="DB30" t="str">
        <f>""</f>
        <v/>
      </c>
      <c r="DC30" t="str">
        <f>""</f>
        <v/>
      </c>
      <c r="DD30" t="str">
        <f>""</f>
        <v/>
      </c>
      <c r="DE30" t="str">
        <f>""</f>
        <v/>
      </c>
      <c r="DF30" t="str">
        <f>""</f>
        <v/>
      </c>
      <c r="DG30" t="str">
        <f>""</f>
        <v/>
      </c>
      <c r="DH30" t="str">
        <f>""</f>
        <v/>
      </c>
      <c r="DI30" t="str">
        <f>""</f>
        <v/>
      </c>
      <c r="DJ30" t="str">
        <f>""</f>
        <v/>
      </c>
      <c r="DK30" t="str">
        <f>""</f>
        <v/>
      </c>
      <c r="DL30" t="str">
        <f>""</f>
        <v/>
      </c>
      <c r="DM30" t="str">
        <f>""</f>
        <v/>
      </c>
      <c r="DN30" t="str">
        <f>""</f>
        <v/>
      </c>
      <c r="DO30" t="str">
        <f>""</f>
        <v/>
      </c>
      <c r="DP30" t="str">
        <f>""</f>
        <v/>
      </c>
      <c r="DQ30" t="str">
        <f>""</f>
        <v/>
      </c>
      <c r="DR30" t="str">
        <f>""</f>
        <v/>
      </c>
      <c r="DS30" t="str">
        <f>""</f>
        <v/>
      </c>
      <c r="DT30" t="str">
        <f>""</f>
        <v/>
      </c>
      <c r="DU30" t="str">
        <f>""</f>
        <v/>
      </c>
    </row>
    <row r="31" spans="1:125" x14ac:dyDescent="0.25">
      <c r="A31" t="str">
        <f>"    Renault SA"</f>
        <v xml:space="preserve">    Renault SA</v>
      </c>
      <c r="B31" t="str">
        <f>"RNO FP Equity"</f>
        <v>RNO FP Equity</v>
      </c>
      <c r="C31" t="str">
        <f t="shared" si="0"/>
        <v>RR900</v>
      </c>
      <c r="D31" t="str">
        <f t="shared" si="1"/>
        <v>PE_RATIO</v>
      </c>
      <c r="E31" t="str">
        <f t="shared" si="2"/>
        <v>Dynamic</v>
      </c>
      <c r="F31" t="str">
        <f ca="1">IF(AND(ISNUMBER($F$705),$B$677=1),$F$705,HLOOKUP(INDIRECT(ADDRESS(2,COLUMN())),OFFSET($BN$2,0,0,ROW()-1,60),ROW()-1,FALSE))</f>
        <v/>
      </c>
      <c r="G31" t="str">
        <f ca="1">IF(AND(ISNUMBER($G$705),$B$677=1),$G$705,HLOOKUP(INDIRECT(ADDRESS(2,COLUMN())),OFFSET($BN$2,0,0,ROW()-1,60),ROW()-1,FALSE))</f>
        <v/>
      </c>
      <c r="H31" t="str">
        <f ca="1">IF(AND(ISNUMBER($H$705),$B$677=1),$H$705,HLOOKUP(INDIRECT(ADDRESS(2,COLUMN())),OFFSET($BN$2,0,0,ROW()-1,60),ROW()-1,FALSE))</f>
        <v/>
      </c>
      <c r="I31" t="str">
        <f ca="1">IF(AND(ISNUMBER($I$705),$B$677=1),$I$705,HLOOKUP(INDIRECT(ADDRESS(2,COLUMN())),OFFSET($BN$2,0,0,ROW()-1,60),ROW()-1,FALSE))</f>
        <v/>
      </c>
      <c r="J31" t="str">
        <f ca="1">IF(AND(ISNUMBER($J$705),$B$677=1),$J$705,HLOOKUP(INDIRECT(ADDRESS(2,COLUMN())),OFFSET($BN$2,0,0,ROW()-1,60),ROW()-1,FALSE))</f>
        <v/>
      </c>
      <c r="K31" t="str">
        <f ca="1">IF(AND(ISNUMBER($K$705),$B$677=1),$K$705,HLOOKUP(INDIRECT(ADDRESS(2,COLUMN())),OFFSET($BN$2,0,0,ROW()-1,60),ROW()-1,FALSE))</f>
        <v/>
      </c>
      <c r="L31" t="str">
        <f ca="1">IF(AND(ISNUMBER($L$705),$B$677=1),$L$705,HLOOKUP(INDIRECT(ADDRESS(2,COLUMN())),OFFSET($BN$2,0,0,ROW()-1,60),ROW()-1,FALSE))</f>
        <v/>
      </c>
      <c r="M31" t="str">
        <f ca="1">IF(AND(ISNUMBER($M$705),$B$677=1),$M$705,HLOOKUP(INDIRECT(ADDRESS(2,COLUMN())),OFFSET($BN$2,0,0,ROW()-1,60),ROW()-1,FALSE))</f>
        <v/>
      </c>
      <c r="N31" t="str">
        <f ca="1">IF(AND(ISNUMBER($N$705),$B$677=1),$N$705,HLOOKUP(INDIRECT(ADDRESS(2,COLUMN())),OFFSET($BN$2,0,0,ROW()-1,60),ROW()-1,FALSE))</f>
        <v/>
      </c>
      <c r="O31" t="str">
        <f ca="1">IF(AND(ISNUMBER($O$705),$B$677=1),$O$705,HLOOKUP(INDIRECT(ADDRESS(2,COLUMN())),OFFSET($BN$2,0,0,ROW()-1,60),ROW()-1,FALSE))</f>
        <v/>
      </c>
      <c r="P31" t="str">
        <f ca="1">IF(AND(ISNUMBER($P$705),$B$677=1),$P$705,HLOOKUP(INDIRECT(ADDRESS(2,COLUMN())),OFFSET($BN$2,0,0,ROW()-1,60),ROW()-1,FALSE))</f>
        <v/>
      </c>
      <c r="Q31" t="str">
        <f ca="1">IF(AND(ISNUMBER($Q$705),$B$677=1),$Q$705,HLOOKUP(INDIRECT(ADDRESS(2,COLUMN())),OFFSET($BN$2,0,0,ROW()-1,60),ROW()-1,FALSE))</f>
        <v/>
      </c>
      <c r="R31" t="str">
        <f ca="1">IF(AND(ISNUMBER($R$705),$B$677=1),$R$705,HLOOKUP(INDIRECT(ADDRESS(2,COLUMN())),OFFSET($BN$2,0,0,ROW()-1,60),ROW()-1,FALSE))</f>
        <v/>
      </c>
      <c r="S31" t="str">
        <f ca="1">IF(AND(ISNUMBER($S$705),$B$677=1),$S$705,HLOOKUP(INDIRECT(ADDRESS(2,COLUMN())),OFFSET($BN$2,0,0,ROW()-1,60),ROW()-1,FALSE))</f>
        <v/>
      </c>
      <c r="T31" t="str">
        <f ca="1">IF(AND(ISNUMBER($T$705),$B$677=1),$T$705,HLOOKUP(INDIRECT(ADDRESS(2,COLUMN())),OFFSET($BN$2,0,0,ROW()-1,60),ROW()-1,FALSE))</f>
        <v/>
      </c>
      <c r="U31" t="str">
        <f ca="1">IF(AND(ISNUMBER($U$705),$B$677=1),$U$705,HLOOKUP(INDIRECT(ADDRESS(2,COLUMN())),OFFSET($BN$2,0,0,ROW()-1,60),ROW()-1,FALSE))</f>
        <v/>
      </c>
      <c r="V31" t="str">
        <f ca="1">IF(AND(ISNUMBER($V$705),$B$677=1),$V$705,HLOOKUP(INDIRECT(ADDRESS(2,COLUMN())),OFFSET($BN$2,0,0,ROW()-1,60),ROW()-1,FALSE))</f>
        <v/>
      </c>
      <c r="W31" t="str">
        <f ca="1">IF(AND(ISNUMBER($W$705),$B$677=1),$W$705,HLOOKUP(INDIRECT(ADDRESS(2,COLUMN())),OFFSET($BN$2,0,0,ROW()-1,60),ROW()-1,FALSE))</f>
        <v/>
      </c>
      <c r="X31" t="str">
        <f ca="1">IF(AND(ISNUMBER($X$705),$B$677=1),$X$705,HLOOKUP(INDIRECT(ADDRESS(2,COLUMN())),OFFSET($BN$2,0,0,ROW()-1,60),ROW()-1,FALSE))</f>
        <v/>
      </c>
      <c r="Y31" t="str">
        <f ca="1">IF(AND(ISNUMBER($Y$705),$B$677=1),$Y$705,HLOOKUP(INDIRECT(ADDRESS(2,COLUMN())),OFFSET($BN$2,0,0,ROW()-1,60),ROW()-1,FALSE))</f>
        <v/>
      </c>
      <c r="Z31" t="str">
        <f ca="1">IF(AND(ISNUMBER($Z$705),$B$677=1),$Z$705,HLOOKUP(INDIRECT(ADDRESS(2,COLUMN())),OFFSET($BN$2,0,0,ROW()-1,60),ROW()-1,FALSE))</f>
        <v/>
      </c>
      <c r="AA31" t="str">
        <f ca="1">IF(AND(ISNUMBER($AA$705),$B$677=1),$AA$705,HLOOKUP(INDIRECT(ADDRESS(2,COLUMN())),OFFSET($BN$2,0,0,ROW()-1,60),ROW()-1,FALSE))</f>
        <v/>
      </c>
      <c r="AB31" t="str">
        <f ca="1">IF(AND(ISNUMBER($AB$705),$B$677=1),$AB$705,HLOOKUP(INDIRECT(ADDRESS(2,COLUMN())),OFFSET($BN$2,0,0,ROW()-1,60),ROW()-1,FALSE))</f>
        <v/>
      </c>
      <c r="AC31" t="str">
        <f ca="1">IF(AND(ISNUMBER($AC$705),$B$677=1),$AC$705,HLOOKUP(INDIRECT(ADDRESS(2,COLUMN())),OFFSET($BN$2,0,0,ROW()-1,60),ROW()-1,FALSE))</f>
        <v/>
      </c>
      <c r="AD31" t="str">
        <f ca="1">IF(AND(ISNUMBER($AD$705),$B$677=1),$AD$705,HLOOKUP(INDIRECT(ADDRESS(2,COLUMN())),OFFSET($BN$2,0,0,ROW()-1,60),ROW()-1,FALSE))</f>
        <v/>
      </c>
      <c r="AE31" t="str">
        <f ca="1">IF(AND(ISNUMBER($AE$705),$B$677=1),$AE$705,HLOOKUP(INDIRECT(ADDRESS(2,COLUMN())),OFFSET($BN$2,0,0,ROW()-1,60),ROW()-1,FALSE))</f>
        <v/>
      </c>
      <c r="AF31" t="str">
        <f ca="1">IF(AND(ISNUMBER($AF$705),$B$677=1),$AF$705,HLOOKUP(INDIRECT(ADDRESS(2,COLUMN())),OFFSET($BN$2,0,0,ROW()-1,60),ROW()-1,FALSE))</f>
        <v/>
      </c>
      <c r="AG31" t="str">
        <f ca="1">IF(AND(ISNUMBER($AG$705),$B$677=1),$AG$705,HLOOKUP(INDIRECT(ADDRESS(2,COLUMN())),OFFSET($BN$2,0,0,ROW()-1,60),ROW()-1,FALSE))</f>
        <v/>
      </c>
      <c r="AH31" t="str">
        <f ca="1">IF(AND(ISNUMBER($AH$705),$B$677=1),$AH$705,HLOOKUP(INDIRECT(ADDRESS(2,COLUMN())),OFFSET($BN$2,0,0,ROW()-1,60),ROW()-1,FALSE))</f>
        <v/>
      </c>
      <c r="AI31" t="str">
        <f ca="1">IF(AND(ISNUMBER($AI$705),$B$677=1),$AI$705,HLOOKUP(INDIRECT(ADDRESS(2,COLUMN())),OFFSET($BN$2,0,0,ROW()-1,60),ROW()-1,FALSE))</f>
        <v/>
      </c>
      <c r="AJ31" t="str">
        <f ca="1">IF(AND(ISNUMBER($AJ$705),$B$677=1),$AJ$705,HLOOKUP(INDIRECT(ADDRESS(2,COLUMN())),OFFSET($BN$2,0,0,ROW()-1,60),ROW()-1,FALSE))</f>
        <v/>
      </c>
      <c r="AK31" t="str">
        <f ca="1">IF(AND(ISNUMBER($AK$705),$B$677=1),$AK$705,HLOOKUP(INDIRECT(ADDRESS(2,COLUMN())),OFFSET($BN$2,0,0,ROW()-1,60),ROW()-1,FALSE))</f>
        <v/>
      </c>
      <c r="AL31" t="str">
        <f ca="1">IF(AND(ISNUMBER($AL$705),$B$677=1),$AL$705,HLOOKUP(INDIRECT(ADDRESS(2,COLUMN())),OFFSET($BN$2,0,0,ROW()-1,60),ROW()-1,FALSE))</f>
        <v/>
      </c>
      <c r="AM31" t="str">
        <f ca="1">IF(AND(ISNUMBER($AM$705),$B$677=1),$AM$705,HLOOKUP(INDIRECT(ADDRESS(2,COLUMN())),OFFSET($BN$2,0,0,ROW()-1,60),ROW()-1,FALSE))</f>
        <v/>
      </c>
      <c r="AN31" t="str">
        <f ca="1">IF(AND(ISNUMBER($AN$705),$B$677=1),$AN$705,HLOOKUP(INDIRECT(ADDRESS(2,COLUMN())),OFFSET($BN$2,0,0,ROW()-1,60),ROW()-1,FALSE))</f>
        <v/>
      </c>
      <c r="AO31" t="str">
        <f ca="1">IF(AND(ISNUMBER($AO$705),$B$677=1),$AO$705,HLOOKUP(INDIRECT(ADDRESS(2,COLUMN())),OFFSET($BN$2,0,0,ROW()-1,60),ROW()-1,FALSE))</f>
        <v/>
      </c>
      <c r="AP31" t="str">
        <f ca="1">IF(AND(ISNUMBER($AP$705),$B$677=1),$AP$705,HLOOKUP(INDIRECT(ADDRESS(2,COLUMN())),OFFSET($BN$2,0,0,ROW()-1,60),ROW()-1,FALSE))</f>
        <v/>
      </c>
      <c r="AQ31" t="str">
        <f ca="1">IF(AND(ISNUMBER($AQ$705),$B$677=1),$AQ$705,HLOOKUP(INDIRECT(ADDRESS(2,COLUMN())),OFFSET($BN$2,0,0,ROW()-1,60),ROW()-1,FALSE))</f>
        <v/>
      </c>
      <c r="AR31" t="str">
        <f ca="1">IF(AND(ISNUMBER($AR$705),$B$677=1),$AR$705,HLOOKUP(INDIRECT(ADDRESS(2,COLUMN())),OFFSET($BN$2,0,0,ROW()-1,60),ROW()-1,FALSE))</f>
        <v/>
      </c>
      <c r="AS31" t="str">
        <f ca="1">IF(AND(ISNUMBER($AS$705),$B$677=1),$AS$705,HLOOKUP(INDIRECT(ADDRESS(2,COLUMN())),OFFSET($BN$2,0,0,ROW()-1,60),ROW()-1,FALSE))</f>
        <v/>
      </c>
      <c r="AT31" t="str">
        <f ca="1">IF(AND(ISNUMBER($AT$705),$B$677=1),$AT$705,HLOOKUP(INDIRECT(ADDRESS(2,COLUMN())),OFFSET($BN$2,0,0,ROW()-1,60),ROW()-1,FALSE))</f>
        <v/>
      </c>
      <c r="AU31" t="str">
        <f ca="1">IF(AND(ISNUMBER($AU$705),$B$677=1),$AU$705,HLOOKUP(INDIRECT(ADDRESS(2,COLUMN())),OFFSET($BN$2,0,0,ROW()-1,60),ROW()-1,FALSE))</f>
        <v/>
      </c>
      <c r="AV31" t="str">
        <f ca="1">IF(AND(ISNUMBER($AV$705),$B$677=1),$AV$705,HLOOKUP(INDIRECT(ADDRESS(2,COLUMN())),OFFSET($BN$2,0,0,ROW()-1,60),ROW()-1,FALSE))</f>
        <v/>
      </c>
      <c r="AW31" t="str">
        <f ca="1">IF(AND(ISNUMBER($AW$705),$B$677=1),$AW$705,HLOOKUP(INDIRECT(ADDRESS(2,COLUMN())),OFFSET($BN$2,0,0,ROW()-1,60),ROW()-1,FALSE))</f>
        <v/>
      </c>
      <c r="AX31" t="str">
        <f ca="1">IF(AND(ISNUMBER($AX$705),$B$677=1),$AX$705,HLOOKUP(INDIRECT(ADDRESS(2,COLUMN())),OFFSET($BN$2,0,0,ROW()-1,60),ROW()-1,FALSE))</f>
        <v/>
      </c>
      <c r="AY31" t="str">
        <f ca="1">IF(AND(ISNUMBER($AY$705),$B$677=1),$AY$705,HLOOKUP(INDIRECT(ADDRESS(2,COLUMN())),OFFSET($BN$2,0,0,ROW()-1,60),ROW()-1,FALSE))</f>
        <v/>
      </c>
      <c r="AZ31" t="str">
        <f ca="1">IF(AND(ISNUMBER($AZ$705),$B$677=1),$AZ$705,HLOOKUP(INDIRECT(ADDRESS(2,COLUMN())),OFFSET($BN$2,0,0,ROW()-1,60),ROW()-1,FALSE))</f>
        <v/>
      </c>
      <c r="BA31" t="str">
        <f ca="1">IF(AND(ISNUMBER($BA$705),$B$677=1),$BA$705,HLOOKUP(INDIRECT(ADDRESS(2,COLUMN())),OFFSET($BN$2,0,0,ROW()-1,60),ROW()-1,FALSE))</f>
        <v/>
      </c>
      <c r="BB31" t="str">
        <f ca="1">IF(AND(ISNUMBER($BB$705),$B$677=1),$BB$705,HLOOKUP(INDIRECT(ADDRESS(2,COLUMN())),OFFSET($BN$2,0,0,ROW()-1,60),ROW()-1,FALSE))</f>
        <v/>
      </c>
      <c r="BC31" t="str">
        <f ca="1">IF(AND(ISNUMBER($BC$705),$B$677=1),$BC$705,HLOOKUP(INDIRECT(ADDRESS(2,COLUMN())),OFFSET($BN$2,0,0,ROW()-1,60),ROW()-1,FALSE))</f>
        <v/>
      </c>
      <c r="BD31" t="str">
        <f ca="1">IF(AND(ISNUMBER($BD$705),$B$677=1),$BD$705,HLOOKUP(INDIRECT(ADDRESS(2,COLUMN())),OFFSET($BN$2,0,0,ROW()-1,60),ROW()-1,FALSE))</f>
        <v/>
      </c>
      <c r="BE31" t="str">
        <f ca="1">IF(AND(ISNUMBER($BE$705),$B$677=1),$BE$705,HLOOKUP(INDIRECT(ADDRESS(2,COLUMN())),OFFSET($BN$2,0,0,ROW()-1,60),ROW()-1,FALSE))</f>
        <v/>
      </c>
      <c r="BF31" t="str">
        <f ca="1">IF(AND(ISNUMBER($BF$705),$B$677=1),$BF$705,HLOOKUP(INDIRECT(ADDRESS(2,COLUMN())),OFFSET($BN$2,0,0,ROW()-1,60),ROW()-1,FALSE))</f>
        <v/>
      </c>
      <c r="BG31" t="str">
        <f ca="1">IF(AND(ISNUMBER($BG$705),$B$677=1),$BG$705,HLOOKUP(INDIRECT(ADDRESS(2,COLUMN())),OFFSET($BN$2,0,0,ROW()-1,60),ROW()-1,FALSE))</f>
        <v/>
      </c>
      <c r="BH31" t="str">
        <f ca="1">IF(AND(ISNUMBER($BH$705),$B$677=1),$BH$705,HLOOKUP(INDIRECT(ADDRESS(2,COLUMN())),OFFSET($BN$2,0,0,ROW()-1,60),ROW()-1,FALSE))</f>
        <v/>
      </c>
      <c r="BI31" t="str">
        <f ca="1">IF(AND(ISNUMBER($BI$705),$B$677=1),$BI$705,HLOOKUP(INDIRECT(ADDRESS(2,COLUMN())),OFFSET($BN$2,0,0,ROW()-1,60),ROW()-1,FALSE))</f>
        <v/>
      </c>
      <c r="BJ31" t="str">
        <f ca="1">IF(AND(ISNUMBER($BJ$705),$B$677=1),$BJ$705,HLOOKUP(INDIRECT(ADDRESS(2,COLUMN())),OFFSET($BN$2,0,0,ROW()-1,60),ROW()-1,FALSE))</f>
        <v/>
      </c>
      <c r="BK31" t="str">
        <f ca="1">IF(AND(ISNUMBER($BK$705),$B$677=1),$BK$705,HLOOKUP(INDIRECT(ADDRESS(2,COLUMN())),OFFSET($BN$2,0,0,ROW()-1,60),ROW()-1,FALSE))</f>
        <v/>
      </c>
      <c r="BL31" t="str">
        <f ca="1">IF(AND(ISNUMBER($BL$705),$B$677=1),$BL$705,HLOOKUP(INDIRECT(ADDRESS(2,COLUMN())),OFFSET($BN$2,0,0,ROW()-1,60),ROW()-1,FALSE))</f>
        <v/>
      </c>
      <c r="BM31" t="str">
        <f ca="1">IF(AND(ISNUMBER($BM$705),$B$677=1),$BM$705,HLOOKUP(INDIRECT(ADDRESS(2,COLUMN())),OFFSET($BN$2,0,0,ROW()-1,60),ROW()-1,FALSE))</f>
        <v/>
      </c>
      <c r="BN31" t="str">
        <f>""</f>
        <v/>
      </c>
      <c r="BO31" t="str">
        <f>""</f>
        <v/>
      </c>
      <c r="BP31" t="str">
        <f>""</f>
        <v/>
      </c>
      <c r="BQ31" t="str">
        <f>""</f>
        <v/>
      </c>
      <c r="BR31" t="str">
        <f>""</f>
        <v/>
      </c>
      <c r="BS31" t="str">
        <f>""</f>
        <v/>
      </c>
      <c r="BT31" t="str">
        <f>""</f>
        <v/>
      </c>
      <c r="BU31" t="str">
        <f>""</f>
        <v/>
      </c>
      <c r="BV31" t="str">
        <f>""</f>
        <v/>
      </c>
      <c r="BW31" t="str">
        <f>""</f>
        <v/>
      </c>
      <c r="BX31" t="str">
        <f>""</f>
        <v/>
      </c>
      <c r="BY31" t="str">
        <f>""</f>
        <v/>
      </c>
      <c r="BZ31" t="str">
        <f>""</f>
        <v/>
      </c>
      <c r="CA31" t="str">
        <f>""</f>
        <v/>
      </c>
      <c r="CB31" t="str">
        <f>""</f>
        <v/>
      </c>
      <c r="CC31" t="str">
        <f>""</f>
        <v/>
      </c>
      <c r="CD31" t="str">
        <f>""</f>
        <v/>
      </c>
      <c r="CE31" t="str">
        <f>""</f>
        <v/>
      </c>
      <c r="CF31" t="str">
        <f>""</f>
        <v/>
      </c>
      <c r="CG31" t="str">
        <f>""</f>
        <v/>
      </c>
      <c r="CH31" t="str">
        <f>""</f>
        <v/>
      </c>
      <c r="CI31" t="str">
        <f>""</f>
        <v/>
      </c>
      <c r="CJ31" t="str">
        <f>""</f>
        <v/>
      </c>
      <c r="CK31" t="str">
        <f>""</f>
        <v/>
      </c>
      <c r="CL31" t="str">
        <f>""</f>
        <v/>
      </c>
      <c r="CM31" t="str">
        <f>""</f>
        <v/>
      </c>
      <c r="CN31" t="str">
        <f>""</f>
        <v/>
      </c>
      <c r="CO31" t="str">
        <f>""</f>
        <v/>
      </c>
      <c r="CP31" t="str">
        <f>""</f>
        <v/>
      </c>
      <c r="CQ31" t="str">
        <f>""</f>
        <v/>
      </c>
      <c r="CR31" t="str">
        <f>""</f>
        <v/>
      </c>
      <c r="CS31" t="str">
        <f>""</f>
        <v/>
      </c>
      <c r="CT31" t="str">
        <f>""</f>
        <v/>
      </c>
      <c r="CU31" t="str">
        <f>""</f>
        <v/>
      </c>
      <c r="CV31" t="str">
        <f>""</f>
        <v/>
      </c>
      <c r="CW31" t="str">
        <f>""</f>
        <v/>
      </c>
      <c r="CX31" t="str">
        <f>""</f>
        <v/>
      </c>
      <c r="CY31" t="str">
        <f>""</f>
        <v/>
      </c>
      <c r="CZ31" t="str">
        <f>""</f>
        <v/>
      </c>
      <c r="DA31" t="str">
        <f>""</f>
        <v/>
      </c>
      <c r="DB31" t="str">
        <f>""</f>
        <v/>
      </c>
      <c r="DC31" t="str">
        <f>""</f>
        <v/>
      </c>
      <c r="DD31" t="str">
        <f>""</f>
        <v/>
      </c>
      <c r="DE31" t="str">
        <f>""</f>
        <v/>
      </c>
      <c r="DF31" t="str">
        <f>""</f>
        <v/>
      </c>
      <c r="DG31" t="str">
        <f>""</f>
        <v/>
      </c>
      <c r="DH31" t="str">
        <f>""</f>
        <v/>
      </c>
      <c r="DI31" t="str">
        <f>""</f>
        <v/>
      </c>
      <c r="DJ31" t="str">
        <f>""</f>
        <v/>
      </c>
      <c r="DK31" t="str">
        <f>""</f>
        <v/>
      </c>
      <c r="DL31" t="str">
        <f>""</f>
        <v/>
      </c>
      <c r="DM31" t="str">
        <f>""</f>
        <v/>
      </c>
      <c r="DN31" t="str">
        <f>""</f>
        <v/>
      </c>
      <c r="DO31" t="str">
        <f>""</f>
        <v/>
      </c>
      <c r="DP31" t="str">
        <f>""</f>
        <v/>
      </c>
      <c r="DQ31" t="str">
        <f>""</f>
        <v/>
      </c>
      <c r="DR31" t="str">
        <f>""</f>
        <v/>
      </c>
      <c r="DS31" t="str">
        <f>""</f>
        <v/>
      </c>
      <c r="DT31" t="str">
        <f>""</f>
        <v/>
      </c>
      <c r="DU31" t="str">
        <f>""</f>
        <v/>
      </c>
    </row>
    <row r="32" spans="1:125" x14ac:dyDescent="0.25">
      <c r="A32" t="str">
        <f>"    SAIC Motor Corp Ltd"</f>
        <v xml:space="preserve">    SAIC Motor Corp Ltd</v>
      </c>
      <c r="B32" t="str">
        <f>"600104 CH Equity"</f>
        <v>600104 CH Equity</v>
      </c>
      <c r="C32" t="str">
        <f t="shared" si="0"/>
        <v>RR900</v>
      </c>
      <c r="D32" t="str">
        <f t="shared" si="1"/>
        <v>PE_RATIO</v>
      </c>
      <c r="E32" t="str">
        <f t="shared" si="2"/>
        <v>Dynamic</v>
      </c>
      <c r="F32">
        <f ca="1">IF(AND(ISNUMBER($F$706),$B$677=1),$F$706,HLOOKUP(INDIRECT(ADDRESS(2,COLUMN())),OFFSET($BN$2,0,0,ROW()-1,60),ROW()-1,FALSE))</f>
        <v>8.8636025410000006</v>
      </c>
      <c r="G32">
        <f ca="1">IF(AND(ISNUMBER($G$706),$B$677=1),$G$706,HLOOKUP(INDIRECT(ADDRESS(2,COLUMN())),OFFSET($BN$2,0,0,ROW()-1,60),ROW()-1,FALSE))</f>
        <v>8.3207419839999996</v>
      </c>
      <c r="H32">
        <f ca="1">IF(AND(ISNUMBER($H$706),$B$677=1),$H$706,HLOOKUP(INDIRECT(ADDRESS(2,COLUMN())),OFFSET($BN$2,0,0,ROW()-1,60),ROW()-1,FALSE))</f>
        <v>10.38298812</v>
      </c>
      <c r="I32">
        <f ca="1">IF(AND(ISNUMBER($I$706),$B$677=1),$I$706,HLOOKUP(INDIRECT(ADDRESS(2,COLUMN())),OFFSET($BN$2,0,0,ROW()-1,60),ROW()-1,FALSE))</f>
        <v>10.9198959</v>
      </c>
      <c r="J32">
        <f ca="1">IF(AND(ISNUMBER($J$706),$B$677=1),$J$706,HLOOKUP(INDIRECT(ADDRESS(2,COLUMN())),OFFSET($BN$2,0,0,ROW()-1,60),ROW()-1,FALSE))</f>
        <v>11.081135679999999</v>
      </c>
      <c r="K32">
        <f ca="1">IF(AND(ISNUMBER($K$706),$B$677=1),$K$706,HLOOKUP(INDIRECT(ADDRESS(2,COLUMN())),OFFSET($BN$2,0,0,ROW()-1,60),ROW()-1,FALSE))</f>
        <v>10.827323789999999</v>
      </c>
      <c r="L32">
        <f ca="1">IF(AND(ISNUMBER($L$706),$B$677=1),$L$706,HLOOKUP(INDIRECT(ADDRESS(2,COLUMN())),OFFSET($BN$2,0,0,ROW()-1,60),ROW()-1,FALSE))</f>
        <v>10.29920574</v>
      </c>
      <c r="M32">
        <f ca="1">IF(AND(ISNUMBER($M$706),$B$677=1),$M$706,HLOOKUP(INDIRECT(ADDRESS(2,COLUMN())),OFFSET($BN$2,0,0,ROW()-1,60),ROW()-1,FALSE))</f>
        <v>10.647074679999999</v>
      </c>
      <c r="N32">
        <f ca="1">IF(AND(ISNUMBER($N$706),$B$677=1),$N$706,HLOOKUP(INDIRECT(ADDRESS(2,COLUMN())),OFFSET($BN$2,0,0,ROW()-1,60),ROW()-1,FALSE))</f>
        <v>8.7403947780000006</v>
      </c>
      <c r="O32">
        <f ca="1">IF(AND(ISNUMBER($O$706),$B$677=1),$O$706,HLOOKUP(INDIRECT(ADDRESS(2,COLUMN())),OFFSET($BN$2,0,0,ROW()-1,60),ROW()-1,FALSE))</f>
        <v>8.0785211589999992</v>
      </c>
      <c r="P32">
        <f ca="1">IF(AND(ISNUMBER($P$706),$B$677=1),$P$706,HLOOKUP(INDIRECT(ADDRESS(2,COLUMN())),OFFSET($BN$2,0,0,ROW()-1,60),ROW()-1,FALSE))</f>
        <v>7.6182998189999998</v>
      </c>
      <c r="Q32">
        <f ca="1">IF(AND(ISNUMBER($Q$706),$B$677=1),$Q$706,HLOOKUP(INDIRECT(ADDRESS(2,COLUMN())),OFFSET($BN$2,0,0,ROW()-1,60),ROW()-1,FALSE))</f>
        <v>7.2904472499999997</v>
      </c>
      <c r="R32">
        <f ca="1">IF(AND(ISNUMBER($R$706),$B$677=1),$R$706,HLOOKUP(INDIRECT(ADDRESS(2,COLUMN())),OFFSET($BN$2,0,0,ROW()-1,60),ROW()-1,FALSE))</f>
        <v>7.3097310889999996</v>
      </c>
      <c r="S32">
        <f ca="1">IF(AND(ISNUMBER($S$706),$B$677=1),$S$706,HLOOKUP(INDIRECT(ADDRESS(2,COLUMN())),OFFSET($BN$2,0,0,ROW()-1,60),ROW()-1,FALSE))</f>
        <v>7.8555147969999997</v>
      </c>
      <c r="T32">
        <f ca="1">IF(AND(ISNUMBER($T$706),$B$677=1),$T$706,HLOOKUP(INDIRECT(ADDRESS(2,COLUMN())),OFFSET($BN$2,0,0,ROW()-1,60),ROW()-1,FALSE))</f>
        <v>6.4281098180000003</v>
      </c>
      <c r="U32">
        <f ca="1">IF(AND(ISNUMBER($U$706),$B$677=1),$U$706,HLOOKUP(INDIRECT(ADDRESS(2,COLUMN())),OFFSET($BN$2,0,0,ROW()-1,60),ROW()-1,FALSE))</f>
        <v>8.7241137979999994</v>
      </c>
      <c r="V32">
        <f ca="1">IF(AND(ISNUMBER($V$706),$B$677=1),$V$706,HLOOKUP(INDIRECT(ADDRESS(2,COLUMN())),OFFSET($BN$2,0,0,ROW()-1,60),ROW()-1,FALSE))</f>
        <v>9.6318808279999999</v>
      </c>
      <c r="W32">
        <f ca="1">IF(AND(ISNUMBER($W$706),$B$677=1),$W$706,HLOOKUP(INDIRECT(ADDRESS(2,COLUMN())),OFFSET($BN$2,0,0,ROW()-1,60),ROW()-1,FALSE))</f>
        <v>8.4627112520000001</v>
      </c>
      <c r="X32">
        <f ca="1">IF(AND(ISNUMBER($X$706),$B$677=1),$X$706,HLOOKUP(INDIRECT(ADDRESS(2,COLUMN())),OFFSET($BN$2,0,0,ROW()-1,60),ROW()-1,FALSE))</f>
        <v>7.3249863059999996</v>
      </c>
      <c r="Y32">
        <f ca="1">IF(AND(ISNUMBER($Y$706),$B$677=1),$Y$706,HLOOKUP(INDIRECT(ADDRESS(2,COLUMN())),OFFSET($BN$2,0,0,ROW()-1,60),ROW()-1,FALSE))</f>
        <v>6.2698134300000001</v>
      </c>
      <c r="Z32">
        <f ca="1">IF(AND(ISNUMBER($Z$706),$B$677=1),$Z$706,HLOOKUP(INDIRECT(ADDRESS(2,COLUMN())),OFFSET($BN$2,0,0,ROW()-1,60),ROW()-1,FALSE))</f>
        <v>5.9696140179999997</v>
      </c>
      <c r="AA32">
        <f ca="1">IF(AND(ISNUMBER($AA$706),$B$677=1),$AA$706,HLOOKUP(INDIRECT(ADDRESS(2,COLUMN())),OFFSET($BN$2,0,0,ROW()-1,60),ROW()-1,FALSE))</f>
        <v>6.2870067489999997</v>
      </c>
      <c r="AB32">
        <f ca="1">IF(AND(ISNUMBER($AB$706),$B$677=1),$AB$706,HLOOKUP(INDIRECT(ADDRESS(2,COLUMN())),OFFSET($BN$2,0,0,ROW()-1,60),ROW()-1,FALSE))</f>
        <v>6.5970972769999996</v>
      </c>
      <c r="AC32">
        <f ca="1">IF(AND(ISNUMBER($AC$706),$B$677=1),$AC$706,HLOOKUP(INDIRECT(ADDRESS(2,COLUMN())),OFFSET($BN$2,0,0,ROW()-1,60),ROW()-1,FALSE))</f>
        <v>6.7956100670000001</v>
      </c>
      <c r="AD32">
        <f ca="1">IF(AND(ISNUMBER($AD$706),$B$677=1),$AD$706,HLOOKUP(INDIRECT(ADDRESS(2,COLUMN())),OFFSET($BN$2,0,0,ROW()-1,60),ROW()-1,FALSE))</f>
        <v>7.6461328389999998</v>
      </c>
      <c r="AE32">
        <f ca="1">IF(AND(ISNUMBER($AE$706),$B$677=1),$AE$706,HLOOKUP(INDIRECT(ADDRESS(2,COLUMN())),OFFSET($BN$2,0,0,ROW()-1,60),ROW()-1,FALSE))</f>
        <v>9.3699256200000001</v>
      </c>
      <c r="AF32">
        <f ca="1">IF(AND(ISNUMBER($AF$706),$B$677=1),$AF$706,HLOOKUP(INDIRECT(ADDRESS(2,COLUMN())),OFFSET($BN$2,0,0,ROW()-1,60),ROW()-1,FALSE))</f>
        <v>6.232359293</v>
      </c>
      <c r="AG32">
        <f ca="1">IF(AND(ISNUMBER($AG$706),$B$677=1),$AG$706,HLOOKUP(INDIRECT(ADDRESS(2,COLUMN())),OFFSET($BN$2,0,0,ROW()-1,60),ROW()-1,FALSE))</f>
        <v>6.3289149030000003</v>
      </c>
      <c r="AH32">
        <f ca="1">IF(AND(ISNUMBER($AH$706),$B$677=1),$AH$706,HLOOKUP(INDIRECT(ADDRESS(2,COLUMN())),OFFSET($BN$2,0,0,ROW()-1,60),ROW()-1,FALSE))</f>
        <v>6.3607038039999999</v>
      </c>
      <c r="AI32">
        <f ca="1">IF(AND(ISNUMBER($AI$706),$B$677=1),$AI$706,HLOOKUP(INDIRECT(ADDRESS(2,COLUMN())),OFFSET($BN$2,0,0,ROW()-1,60),ROW()-1,FALSE))</f>
        <v>5.9168651160000003</v>
      </c>
      <c r="AJ32">
        <f ca="1">IF(AND(ISNUMBER($AJ$706),$B$677=1),$AJ$706,HLOOKUP(INDIRECT(ADDRESS(2,COLUMN())),OFFSET($BN$2,0,0,ROW()-1,60),ROW()-1,FALSE))</f>
        <v>6.5303867310000001</v>
      </c>
      <c r="AK32">
        <f ca="1">IF(AND(ISNUMBER($AK$706),$B$677=1),$AK$706,HLOOKUP(INDIRECT(ADDRESS(2,COLUMN())),OFFSET($BN$2,0,0,ROW()-1,60),ROW()-1,FALSE))</f>
        <v>8.1032126170000005</v>
      </c>
      <c r="AL32">
        <f ca="1">IF(AND(ISNUMBER($AL$706),$B$677=1),$AL$706,HLOOKUP(INDIRECT(ADDRESS(2,COLUMN())),OFFSET($BN$2,0,0,ROW()-1,60),ROW()-1,FALSE))</f>
        <v>9.7555697650000006</v>
      </c>
      <c r="AM32">
        <f ca="1">IF(AND(ISNUMBER($AM$706),$B$677=1),$AM$706,HLOOKUP(INDIRECT(ADDRESS(2,COLUMN())),OFFSET($BN$2,0,0,ROW()-1,60),ROW()-1,FALSE))</f>
        <v>7.7621552380000001</v>
      </c>
      <c r="AN32">
        <f ca="1">IF(AND(ISNUMBER($AN$706),$B$677=1),$AN$706,HLOOKUP(INDIRECT(ADDRESS(2,COLUMN())),OFFSET($BN$2,0,0,ROW()-1,60),ROW()-1,FALSE))</f>
        <v>11.7638181</v>
      </c>
      <c r="AO32">
        <f ca="1">IF(AND(ISNUMBER($AO$706),$B$677=1),$AO$706,HLOOKUP(INDIRECT(ADDRESS(2,COLUMN())),OFFSET($BN$2,0,0,ROW()-1,60),ROW()-1,FALSE))</f>
        <v>9.4874960510000008</v>
      </c>
      <c r="AP32">
        <f ca="1">IF(AND(ISNUMBER($AP$706),$B$677=1),$AP$706,HLOOKUP(INDIRECT(ADDRESS(2,COLUMN())),OFFSET($BN$2,0,0,ROW()-1,60),ROW()-1,FALSE))</f>
        <v>15.16702997</v>
      </c>
      <c r="AQ32">
        <f ca="1">IF(AND(ISNUMBER($AQ$706),$B$677=1),$AQ$706,HLOOKUP(INDIRECT(ADDRESS(2,COLUMN())),OFFSET($BN$2,0,0,ROW()-1,60),ROW()-1,FALSE))</f>
        <v>25.957692829999999</v>
      </c>
      <c r="AR32">
        <f ca="1">IF(AND(ISNUMBER($AR$706),$B$677=1),$AR$706,HLOOKUP(INDIRECT(ADDRESS(2,COLUMN())),OFFSET($BN$2,0,0,ROW()-1,60),ROW()-1,FALSE))</f>
        <v>53.755538860000001</v>
      </c>
      <c r="AS32">
        <f ca="1">IF(AND(ISNUMBER($AS$706),$B$677=1),$AS$706,HLOOKUP(INDIRECT(ADDRESS(2,COLUMN())),OFFSET($BN$2,0,0,ROW()-1,60),ROW()-1,FALSE))</f>
        <v>698.46757620000005</v>
      </c>
      <c r="AT32">
        <f ca="1">IF(AND(ISNUMBER($AT$706),$B$677=1),$AT$706,HLOOKUP(INDIRECT(ADDRESS(2,COLUMN())),OFFSET($BN$2,0,0,ROW()-1,60),ROW()-1,FALSE))</f>
        <v>1405.7142859999999</v>
      </c>
      <c r="AU32">
        <f ca="1">IF(AND(ISNUMBER($AU$706),$B$677=1),$AU$706,HLOOKUP(INDIRECT(ADDRESS(2,COLUMN())),OFFSET($BN$2,0,0,ROW()-1,60),ROW()-1,FALSE))</f>
        <v>53.6</v>
      </c>
      <c r="AV32">
        <f ca="1">IF(AND(ISNUMBER($AV$706),$B$677=1),$AV$706,HLOOKUP(INDIRECT(ADDRESS(2,COLUMN())),OFFSET($BN$2,0,0,ROW()-1,60),ROW()-1,FALSE))</f>
        <v>15.01210654</v>
      </c>
      <c r="AW32">
        <f ca="1">IF(AND(ISNUMBER($AW$706),$B$677=1),$AW$706,HLOOKUP(INDIRECT(ADDRESS(2,COLUMN())),OFFSET($BN$2,0,0,ROW()-1,60),ROW()-1,FALSE))</f>
        <v>13.25341888</v>
      </c>
      <c r="AX32">
        <f ca="1">IF(AND(ISNUMBER($AX$706),$B$677=1),$AX$706,HLOOKUP(INDIRECT(ADDRESS(2,COLUMN())),OFFSET($BN$2,0,0,ROW()-1,60),ROW()-1,FALSE))</f>
        <v>19.090656280000001</v>
      </c>
      <c r="AY32">
        <f ca="1">IF(AND(ISNUMBER($AY$706),$B$677=1),$AY$706,HLOOKUP(INDIRECT(ADDRESS(2,COLUMN())),OFFSET($BN$2,0,0,ROW()-1,60),ROW()-1,FALSE))</f>
        <v>37.174773760000001</v>
      </c>
      <c r="AZ32">
        <f ca="1">IF(AND(ISNUMBER($AZ$706),$B$677=1),$AZ$706,HLOOKUP(INDIRECT(ADDRESS(2,COLUMN())),OFFSET($BN$2,0,0,ROW()-1,60),ROW()-1,FALSE))</f>
        <v>43.511562820000002</v>
      </c>
      <c r="BA32">
        <f ca="1">IF(AND(ISNUMBER($BA$706),$B$677=1),$BA$706,HLOOKUP(INDIRECT(ADDRESS(2,COLUMN())),OFFSET($BN$2,0,0,ROW()-1,60),ROW()-1,FALSE))</f>
        <v>29.276148500000001</v>
      </c>
      <c r="BB32">
        <f ca="1">IF(AND(ISNUMBER($BB$706),$B$677=1),$BB$706,HLOOKUP(INDIRECT(ADDRESS(2,COLUMN())),OFFSET($BN$2,0,0,ROW()-1,60),ROW()-1,FALSE))</f>
        <v>27.006980800000001</v>
      </c>
      <c r="BC32">
        <f ca="1">IF(AND(ISNUMBER($BC$706),$B$677=1),$BC$706,HLOOKUP(INDIRECT(ADDRESS(2,COLUMN())),OFFSET($BN$2,0,0,ROW()-1,60),ROW()-1,FALSE))</f>
        <v>22.923681259999999</v>
      </c>
      <c r="BD32">
        <f ca="1">IF(AND(ISNUMBER($BD$706),$B$677=1),$BD$706,HLOOKUP(INDIRECT(ADDRESS(2,COLUMN())),OFFSET($BN$2,0,0,ROW()-1,60),ROW()-1,FALSE))</f>
        <v>14.553072630000001</v>
      </c>
      <c r="BE32">
        <f ca="1">IF(AND(ISNUMBER($BE$706),$B$677=1),$BE$706,HLOOKUP(INDIRECT(ADDRESS(2,COLUMN())),OFFSET($BN$2,0,0,ROW()-1,60),ROW()-1,FALSE))</f>
        <v>15.71045567</v>
      </c>
      <c r="BF32">
        <f ca="1">IF(AND(ISNUMBER($BF$706),$B$677=1),$BF$706,HLOOKUP(INDIRECT(ADDRESS(2,COLUMN())),OFFSET($BN$2,0,0,ROW()-1,60),ROW()-1,FALSE))</f>
        <v>9.5355190840000006</v>
      </c>
      <c r="BG32">
        <f ca="1">IF(AND(ISNUMBER($BG$706),$B$677=1),$BG$706,HLOOKUP(INDIRECT(ADDRESS(2,COLUMN())),OFFSET($BN$2,0,0,ROW()-1,60),ROW()-1,FALSE))</f>
        <v>9.8219584070000003</v>
      </c>
      <c r="BH32">
        <f ca="1">IF(AND(ISNUMBER($BH$706),$B$677=1),$BH$706,HLOOKUP(INDIRECT(ADDRESS(2,COLUMN())),OFFSET($BN$2,0,0,ROW()-1,60),ROW()-1,FALSE))</f>
        <v>16.53846145</v>
      </c>
      <c r="BI32">
        <f ca="1">IF(AND(ISNUMBER($BI$706),$B$677=1),$BI$706,HLOOKUP(INDIRECT(ADDRESS(2,COLUMN())),OFFSET($BN$2,0,0,ROW()-1,60),ROW()-1,FALSE))</f>
        <v>13.782051210000001</v>
      </c>
      <c r="BJ32">
        <f ca="1">IF(AND(ISNUMBER($BJ$706),$B$677=1),$BJ$706,HLOOKUP(INDIRECT(ADDRESS(2,COLUMN())),OFFSET($BN$2,0,0,ROW()-1,60),ROW()-1,FALSE))</f>
        <v>9.9769052889999994</v>
      </c>
      <c r="BK32">
        <f ca="1">IF(AND(ISNUMBER($BK$706),$B$677=1),$BK$706,HLOOKUP(INDIRECT(ADDRESS(2,COLUMN())),OFFSET($BN$2,0,0,ROW()-1,60),ROW()-1,FALSE))</f>
        <v>7.8652399820000003</v>
      </c>
      <c r="BL32">
        <f ca="1">IF(AND(ISNUMBER($BL$706),$B$677=1),$BL$706,HLOOKUP(INDIRECT(ADDRESS(2,COLUMN())),OFFSET($BN$2,0,0,ROW()-1,60),ROW()-1,FALSE))</f>
        <v>13.63648536</v>
      </c>
      <c r="BM32">
        <f ca="1">IF(AND(ISNUMBER($BM$706),$B$677=1),$BM$706,HLOOKUP(INDIRECT(ADDRESS(2,COLUMN())),OFFSET($BN$2,0,0,ROW()-1,60),ROW()-1,FALSE))</f>
        <v>14.055837309999999</v>
      </c>
      <c r="BN32">
        <f>8.863602541</f>
        <v>8.8636025410000006</v>
      </c>
      <c r="BO32">
        <f>8.320741984</f>
        <v>8.3207419839999996</v>
      </c>
      <c r="BP32">
        <f>10.38298812</f>
        <v>10.38298812</v>
      </c>
      <c r="BQ32">
        <f>10.9198959</f>
        <v>10.9198959</v>
      </c>
      <c r="BR32">
        <f>11.08113568</f>
        <v>11.081135679999999</v>
      </c>
      <c r="BS32">
        <f>10.82732379</f>
        <v>10.827323789999999</v>
      </c>
      <c r="BT32">
        <f>10.29920574</f>
        <v>10.29920574</v>
      </c>
      <c r="BU32">
        <f>10.64707468</f>
        <v>10.647074679999999</v>
      </c>
      <c r="BV32">
        <f>8.740394778</f>
        <v>8.7403947780000006</v>
      </c>
      <c r="BW32">
        <f>8.078521159</f>
        <v>8.0785211589999992</v>
      </c>
      <c r="BX32">
        <f>7.618299819</f>
        <v>7.6182998189999998</v>
      </c>
      <c r="BY32">
        <f>7.29044725</f>
        <v>7.2904472499999997</v>
      </c>
      <c r="BZ32">
        <f>7.309731089</f>
        <v>7.3097310889999996</v>
      </c>
      <c r="CA32">
        <f>7.855514797</f>
        <v>7.8555147969999997</v>
      </c>
      <c r="CB32">
        <f>6.428109818</f>
        <v>6.4281098180000003</v>
      </c>
      <c r="CC32">
        <f>8.724113798</f>
        <v>8.7241137979999994</v>
      </c>
      <c r="CD32">
        <f>9.631880828</f>
        <v>9.6318808279999999</v>
      </c>
      <c r="CE32">
        <f>8.462711252</f>
        <v>8.4627112520000001</v>
      </c>
      <c r="CF32">
        <f>7.324986306</f>
        <v>7.3249863059999996</v>
      </c>
      <c r="CG32">
        <f>6.26981343</f>
        <v>6.2698134300000001</v>
      </c>
      <c r="CH32">
        <f>5.969614018</f>
        <v>5.9696140179999997</v>
      </c>
      <c r="CI32">
        <f>6.287006749</f>
        <v>6.2870067489999997</v>
      </c>
      <c r="CJ32">
        <f>6.597097277</f>
        <v>6.5970972769999996</v>
      </c>
      <c r="CK32">
        <f>6.795610067</f>
        <v>6.7956100670000001</v>
      </c>
      <c r="CL32">
        <f>7.646132839</f>
        <v>7.6461328389999998</v>
      </c>
      <c r="CM32">
        <f>9.36992562</f>
        <v>9.3699256200000001</v>
      </c>
      <c r="CN32">
        <f>6.232359293</f>
        <v>6.232359293</v>
      </c>
      <c r="CO32">
        <f>6.328914903</f>
        <v>6.3289149030000003</v>
      </c>
      <c r="CP32">
        <f>6.360703804</f>
        <v>6.3607038039999999</v>
      </c>
      <c r="CQ32">
        <f>5.916865116</f>
        <v>5.9168651160000003</v>
      </c>
      <c r="CR32">
        <f>6.530386731</f>
        <v>6.5303867310000001</v>
      </c>
      <c r="CS32">
        <f>8.103212617</f>
        <v>8.1032126170000005</v>
      </c>
      <c r="CT32">
        <f>9.755569765</f>
        <v>9.7555697650000006</v>
      </c>
      <c r="CU32">
        <f>7.762155238</f>
        <v>7.7621552380000001</v>
      </c>
      <c r="CV32">
        <f>11.7638181</f>
        <v>11.7638181</v>
      </c>
      <c r="CW32">
        <f>9.487496051</f>
        <v>9.4874960510000008</v>
      </c>
      <c r="CX32">
        <f>15.16702997</f>
        <v>15.16702997</v>
      </c>
      <c r="CY32">
        <f>25.95769283</f>
        <v>25.957692829999999</v>
      </c>
      <c r="CZ32">
        <f>53.75553886</f>
        <v>53.755538860000001</v>
      </c>
      <c r="DA32">
        <f>698.4675762</f>
        <v>698.46757620000005</v>
      </c>
      <c r="DB32">
        <f>1405.714286</f>
        <v>1405.7142859999999</v>
      </c>
      <c r="DC32">
        <f>53.6</f>
        <v>53.6</v>
      </c>
      <c r="DD32">
        <f>15.01210654</f>
        <v>15.01210654</v>
      </c>
      <c r="DE32">
        <f>13.25341888</f>
        <v>13.25341888</v>
      </c>
      <c r="DF32">
        <f>19.09065628</f>
        <v>19.090656280000001</v>
      </c>
      <c r="DG32">
        <f>37.17477376</f>
        <v>37.174773760000001</v>
      </c>
      <c r="DH32">
        <f>43.51156282</f>
        <v>43.511562820000002</v>
      </c>
      <c r="DI32">
        <f>29.2761485</f>
        <v>29.276148500000001</v>
      </c>
      <c r="DJ32">
        <f>27.0069808</f>
        <v>27.006980800000001</v>
      </c>
      <c r="DK32">
        <f>22.92368126</f>
        <v>22.923681259999999</v>
      </c>
      <c r="DL32">
        <f>14.55307263</f>
        <v>14.553072630000001</v>
      </c>
      <c r="DM32">
        <f>15.71045567</f>
        <v>15.71045567</v>
      </c>
      <c r="DN32">
        <f>9.535519084</f>
        <v>9.5355190840000006</v>
      </c>
      <c r="DO32">
        <f>9.821958407</f>
        <v>9.8219584070000003</v>
      </c>
      <c r="DP32">
        <f>16.53846145</f>
        <v>16.53846145</v>
      </c>
      <c r="DQ32">
        <f>13.78205121</f>
        <v>13.782051210000001</v>
      </c>
      <c r="DR32">
        <f>9.976905289</f>
        <v>9.9769052889999994</v>
      </c>
      <c r="DS32">
        <f>7.865239982</f>
        <v>7.8652399820000003</v>
      </c>
      <c r="DT32">
        <f>13.63648536</f>
        <v>13.63648536</v>
      </c>
      <c r="DU32">
        <f>14.05583731</f>
        <v>14.055837309999999</v>
      </c>
    </row>
    <row r="33" spans="1:125" x14ac:dyDescent="0.25">
      <c r="A33" t="str">
        <f>"    Sanyang Motor Co Ltd"</f>
        <v xml:space="preserve">    Sanyang Motor Co Ltd</v>
      </c>
      <c r="B33" t="str">
        <f>"2206 TT Equity"</f>
        <v>2206 TT Equity</v>
      </c>
      <c r="C33" t="str">
        <f t="shared" si="0"/>
        <v>RR900</v>
      </c>
      <c r="D33" t="str">
        <f t="shared" si="1"/>
        <v>PE_RATIO</v>
      </c>
      <c r="E33" t="str">
        <f t="shared" si="2"/>
        <v>Dynamic</v>
      </c>
      <c r="F33">
        <f ca="1">IF(AND(ISNUMBER($F$707),$B$677=1),$F$707,HLOOKUP(INDIRECT(ADDRESS(2,COLUMN())),OFFSET($BN$2,0,0,ROW()-1,60),ROW()-1,FALSE))</f>
        <v>10.50108232</v>
      </c>
      <c r="G33">
        <f ca="1">IF(AND(ISNUMBER($G$707),$B$677=1),$G$707,HLOOKUP(INDIRECT(ADDRESS(2,COLUMN())),OFFSET($BN$2,0,0,ROW()-1,60),ROW()-1,FALSE))</f>
        <v>10.47489508</v>
      </c>
      <c r="H33">
        <f ca="1">IF(AND(ISNUMBER($H$707),$B$677=1),$H$707,HLOOKUP(INDIRECT(ADDRESS(2,COLUMN())),OFFSET($BN$2,0,0,ROW()-1,60),ROW()-1,FALSE))</f>
        <v>10.736767459999999</v>
      </c>
      <c r="I33">
        <f ca="1">IF(AND(ISNUMBER($I$707),$B$677=1),$I$707,HLOOKUP(INDIRECT(ADDRESS(2,COLUMN())),OFFSET($BN$2,0,0,ROW()-1,60),ROW()-1,FALSE))</f>
        <v>34.176563790000003</v>
      </c>
      <c r="J33">
        <f ca="1">IF(AND(ISNUMBER($J$707),$B$677=1),$J$707,HLOOKUP(INDIRECT(ADDRESS(2,COLUMN())),OFFSET($BN$2,0,0,ROW()-1,60),ROW()-1,FALSE))</f>
        <v>25.317903510000001</v>
      </c>
      <c r="K33">
        <f ca="1">IF(AND(ISNUMBER($K$707),$B$677=1),$K$707,HLOOKUP(INDIRECT(ADDRESS(2,COLUMN())),OFFSET($BN$2,0,0,ROW()-1,60),ROW()-1,FALSE))</f>
        <v>36.31260743</v>
      </c>
      <c r="L33">
        <f ca="1">IF(AND(ISNUMBER($L$707),$B$677=1),$L$707,HLOOKUP(INDIRECT(ADDRESS(2,COLUMN())),OFFSET($BN$2,0,0,ROW()-1,60),ROW()-1,FALSE))</f>
        <v>31.923838409999998</v>
      </c>
      <c r="M33">
        <f ca="1">IF(AND(ISNUMBER($M$707),$B$677=1),$M$707,HLOOKUP(INDIRECT(ADDRESS(2,COLUMN())),OFFSET($BN$2,0,0,ROW()-1,60),ROW()-1,FALSE))</f>
        <v>325.82982459999999</v>
      </c>
      <c r="N33" t="str">
        <f ca="1">IF(AND(ISNUMBER($N$707),$B$677=1),$N$707,HLOOKUP(INDIRECT(ADDRESS(2,COLUMN())),OFFSET($BN$2,0,0,ROW()-1,60),ROW()-1,FALSE))</f>
        <v/>
      </c>
      <c r="O33" t="str">
        <f ca="1">IF(AND(ISNUMBER($O$707),$B$677=1),$O$707,HLOOKUP(INDIRECT(ADDRESS(2,COLUMN())),OFFSET($BN$2,0,0,ROW()-1,60),ROW()-1,FALSE))</f>
        <v/>
      </c>
      <c r="P33">
        <f ca="1">IF(AND(ISNUMBER($P$707),$B$677=1),$P$707,HLOOKUP(INDIRECT(ADDRESS(2,COLUMN())),OFFSET($BN$2,0,0,ROW()-1,60),ROW()-1,FALSE))</f>
        <v>6.6302671860000002</v>
      </c>
      <c r="Q33">
        <f ca="1">IF(AND(ISNUMBER($Q$707),$B$677=1),$Q$707,HLOOKUP(INDIRECT(ADDRESS(2,COLUMN())),OFFSET($BN$2,0,0,ROW()-1,60),ROW()-1,FALSE))</f>
        <v>6.5511470520000001</v>
      </c>
      <c r="R33">
        <f ca="1">IF(AND(ISNUMBER($R$707),$B$677=1),$R$707,HLOOKUP(INDIRECT(ADDRESS(2,COLUMN())),OFFSET($BN$2,0,0,ROW()-1,60),ROW()-1,FALSE))</f>
        <v>6.2323320630000003</v>
      </c>
      <c r="S33">
        <f ca="1">IF(AND(ISNUMBER($S$707),$B$677=1),$S$707,HLOOKUP(INDIRECT(ADDRESS(2,COLUMN())),OFFSET($BN$2,0,0,ROW()-1,60),ROW()-1,FALSE))</f>
        <v>6.3222896339999997</v>
      </c>
      <c r="T33">
        <f ca="1">IF(AND(ISNUMBER($T$707),$B$677=1),$T$707,HLOOKUP(INDIRECT(ADDRESS(2,COLUMN())),OFFSET($BN$2,0,0,ROW()-1,60),ROW()-1,FALSE))</f>
        <v>6.1409151069999997</v>
      </c>
      <c r="U33" t="str">
        <f ca="1">IF(AND(ISNUMBER($U$707),$B$677=1),$U$707,HLOOKUP(INDIRECT(ADDRESS(2,COLUMN())),OFFSET($BN$2,0,0,ROW()-1,60),ROW()-1,FALSE))</f>
        <v/>
      </c>
      <c r="V33" t="str">
        <f ca="1">IF(AND(ISNUMBER($V$707),$B$677=1),$V$707,HLOOKUP(INDIRECT(ADDRESS(2,COLUMN())),OFFSET($BN$2,0,0,ROW()-1,60),ROW()-1,FALSE))</f>
        <v/>
      </c>
      <c r="W33" t="str">
        <f ca="1">IF(AND(ISNUMBER($W$707),$B$677=1),$W$707,HLOOKUP(INDIRECT(ADDRESS(2,COLUMN())),OFFSET($BN$2,0,0,ROW()-1,60),ROW()-1,FALSE))</f>
        <v/>
      </c>
      <c r="X33" t="str">
        <f ca="1">IF(AND(ISNUMBER($X$707),$B$677=1),$X$707,HLOOKUP(INDIRECT(ADDRESS(2,COLUMN())),OFFSET($BN$2,0,0,ROW()-1,60),ROW()-1,FALSE))</f>
        <v/>
      </c>
      <c r="Y33" t="str">
        <f ca="1">IF(AND(ISNUMBER($Y$707),$B$677=1),$Y$707,HLOOKUP(INDIRECT(ADDRESS(2,COLUMN())),OFFSET($BN$2,0,0,ROW()-1,60),ROW()-1,FALSE))</f>
        <v/>
      </c>
      <c r="Z33" t="str">
        <f ca="1">IF(AND(ISNUMBER($Z$707),$B$677=1),$Z$707,HLOOKUP(INDIRECT(ADDRESS(2,COLUMN())),OFFSET($BN$2,0,0,ROW()-1,60),ROW()-1,FALSE))</f>
        <v/>
      </c>
      <c r="AA33" t="str">
        <f ca="1">IF(AND(ISNUMBER($AA$707),$B$677=1),$AA$707,HLOOKUP(INDIRECT(ADDRESS(2,COLUMN())),OFFSET($BN$2,0,0,ROW()-1,60),ROW()-1,FALSE))</f>
        <v/>
      </c>
      <c r="AB33">
        <f ca="1">IF(AND(ISNUMBER($AB$707),$B$677=1),$AB$707,HLOOKUP(INDIRECT(ADDRESS(2,COLUMN())),OFFSET($BN$2,0,0,ROW()-1,60),ROW()-1,FALSE))</f>
        <v>175.6275952</v>
      </c>
      <c r="AC33">
        <f ca="1">IF(AND(ISNUMBER($AC$707),$B$677=1),$AC$707,HLOOKUP(INDIRECT(ADDRESS(2,COLUMN())),OFFSET($BN$2,0,0,ROW()-1,60),ROW()-1,FALSE))</f>
        <v>114.7461139</v>
      </c>
      <c r="AD33">
        <f ca="1">IF(AND(ISNUMBER($AD$707),$B$677=1),$AD$707,HLOOKUP(INDIRECT(ADDRESS(2,COLUMN())),OFFSET($BN$2,0,0,ROW()-1,60),ROW()-1,FALSE))</f>
        <v>106.5512968</v>
      </c>
      <c r="AE33">
        <f ca="1">IF(AND(ISNUMBER($AE$707),$B$677=1),$AE$707,HLOOKUP(INDIRECT(ADDRESS(2,COLUMN())),OFFSET($BN$2,0,0,ROW()-1,60),ROW()-1,FALSE))</f>
        <v>37.403242880000001</v>
      </c>
      <c r="AF33">
        <f ca="1">IF(AND(ISNUMBER($AF$707),$B$677=1),$AF$707,HLOOKUP(INDIRECT(ADDRESS(2,COLUMN())),OFFSET($BN$2,0,0,ROW()-1,60),ROW()-1,FALSE))</f>
        <v>38.224631840000001</v>
      </c>
      <c r="AG33">
        <f ca="1">IF(AND(ISNUMBER($AG$707),$B$677=1),$AG$707,HLOOKUP(INDIRECT(ADDRESS(2,COLUMN())),OFFSET($BN$2,0,0,ROW()-1,60),ROW()-1,FALSE))</f>
        <v>25.814425050000001</v>
      </c>
      <c r="AH33">
        <f ca="1">IF(AND(ISNUMBER($AH$707),$B$677=1),$AH$707,HLOOKUP(INDIRECT(ADDRESS(2,COLUMN())),OFFSET($BN$2,0,0,ROW()-1,60),ROW()-1,FALSE))</f>
        <v>17.574748970000002</v>
      </c>
      <c r="AI33">
        <f ca="1">IF(AND(ISNUMBER($AI$707),$B$677=1),$AI$707,HLOOKUP(INDIRECT(ADDRESS(2,COLUMN())),OFFSET($BN$2,0,0,ROW()-1,60),ROW()-1,FALSE))</f>
        <v>12.07304506</v>
      </c>
      <c r="AJ33">
        <f ca="1">IF(AND(ISNUMBER($AJ$707),$B$677=1),$AJ$707,HLOOKUP(INDIRECT(ADDRESS(2,COLUMN())),OFFSET($BN$2,0,0,ROW()-1,60),ROW()-1,FALSE))</f>
        <v>10.21981214</v>
      </c>
      <c r="AK33">
        <f ca="1">IF(AND(ISNUMBER($AK$707),$B$677=1),$AK$707,HLOOKUP(INDIRECT(ADDRESS(2,COLUMN())),OFFSET($BN$2,0,0,ROW()-1,60),ROW()-1,FALSE))</f>
        <v>11.38171399</v>
      </c>
      <c r="AL33">
        <f ca="1">IF(AND(ISNUMBER($AL$707),$B$677=1),$AL$707,HLOOKUP(INDIRECT(ADDRESS(2,COLUMN())),OFFSET($BN$2,0,0,ROW()-1,60),ROW()-1,FALSE))</f>
        <v>14.518391080000001</v>
      </c>
      <c r="AM33">
        <f ca="1">IF(AND(ISNUMBER($AM$707),$B$677=1),$AM$707,HLOOKUP(INDIRECT(ADDRESS(2,COLUMN())),OFFSET($BN$2,0,0,ROW()-1,60),ROW()-1,FALSE))</f>
        <v>21.89255842</v>
      </c>
      <c r="AN33">
        <f ca="1">IF(AND(ISNUMBER($AN$707),$B$677=1),$AN$707,HLOOKUP(INDIRECT(ADDRESS(2,COLUMN())),OFFSET($BN$2,0,0,ROW()-1,60),ROW()-1,FALSE))</f>
        <v>15.390877290000001</v>
      </c>
      <c r="AO33">
        <f ca="1">IF(AND(ISNUMBER($AO$707),$B$677=1),$AO$707,HLOOKUP(INDIRECT(ADDRESS(2,COLUMN())),OFFSET($BN$2,0,0,ROW()-1,60),ROW()-1,FALSE))</f>
        <v>12.887103939999999</v>
      </c>
      <c r="AP33">
        <f ca="1">IF(AND(ISNUMBER($AP$707),$B$677=1),$AP$707,HLOOKUP(INDIRECT(ADDRESS(2,COLUMN())),OFFSET($BN$2,0,0,ROW()-1,60),ROW()-1,FALSE))</f>
        <v>16.841056559999998</v>
      </c>
      <c r="AQ33">
        <f ca="1">IF(AND(ISNUMBER($AQ$707),$B$677=1),$AQ$707,HLOOKUP(INDIRECT(ADDRESS(2,COLUMN())),OFFSET($BN$2,0,0,ROW()-1,60),ROW()-1,FALSE))</f>
        <v>83.691143289999999</v>
      </c>
      <c r="AR33" t="str">
        <f ca="1">IF(AND(ISNUMBER($AR$707),$B$677=1),$AR$707,HLOOKUP(INDIRECT(ADDRESS(2,COLUMN())),OFFSET($BN$2,0,0,ROW()-1,60),ROW()-1,FALSE))</f>
        <v/>
      </c>
      <c r="AS33" t="str">
        <f ca="1">IF(AND(ISNUMBER($AS$707),$B$677=1),$AS$707,HLOOKUP(INDIRECT(ADDRESS(2,COLUMN())),OFFSET($BN$2,0,0,ROW()-1,60),ROW()-1,FALSE))</f>
        <v/>
      </c>
      <c r="AT33">
        <f ca="1">IF(AND(ISNUMBER($AT$707),$B$677=1),$AT$707,HLOOKUP(INDIRECT(ADDRESS(2,COLUMN())),OFFSET($BN$2,0,0,ROW()-1,60),ROW()-1,FALSE))</f>
        <v>214.0958521</v>
      </c>
      <c r="AU33">
        <f ca="1">IF(AND(ISNUMBER($AU$707),$B$677=1),$AU$707,HLOOKUP(INDIRECT(ADDRESS(2,COLUMN())),OFFSET($BN$2,0,0,ROW()-1,60),ROW()-1,FALSE))</f>
        <v>169.5154819</v>
      </c>
      <c r="AV33">
        <f ca="1">IF(AND(ISNUMBER($AV$707),$B$677=1),$AV$707,HLOOKUP(INDIRECT(ADDRESS(2,COLUMN())),OFFSET($BN$2,0,0,ROW()-1,60),ROW()-1,FALSE))</f>
        <v>12.455260709999999</v>
      </c>
      <c r="AW33" t="str">
        <f ca="1">IF(AND(ISNUMBER($AW$707),$B$677=1),$AW$707,HLOOKUP(INDIRECT(ADDRESS(2,COLUMN())),OFFSET($BN$2,0,0,ROW()-1,60),ROW()-1,FALSE))</f>
        <v/>
      </c>
      <c r="AX33" t="str">
        <f ca="1">IF(AND(ISNUMBER($AX$707),$B$677=1),$AX$707,HLOOKUP(INDIRECT(ADDRESS(2,COLUMN())),OFFSET($BN$2,0,0,ROW()-1,60),ROW()-1,FALSE))</f>
        <v/>
      </c>
      <c r="AY33" t="str">
        <f ca="1">IF(AND(ISNUMBER($AY$707),$B$677=1),$AY$707,HLOOKUP(INDIRECT(ADDRESS(2,COLUMN())),OFFSET($BN$2,0,0,ROW()-1,60),ROW()-1,FALSE))</f>
        <v/>
      </c>
      <c r="AZ33" t="str">
        <f ca="1">IF(AND(ISNUMBER($AZ$707),$B$677=1),$AZ$707,HLOOKUP(INDIRECT(ADDRESS(2,COLUMN())),OFFSET($BN$2,0,0,ROW()-1,60),ROW()-1,FALSE))</f>
        <v/>
      </c>
      <c r="BA33" t="str">
        <f ca="1">IF(AND(ISNUMBER($BA$707),$B$677=1),$BA$707,HLOOKUP(INDIRECT(ADDRESS(2,COLUMN())),OFFSET($BN$2,0,0,ROW()-1,60),ROW()-1,FALSE))</f>
        <v/>
      </c>
      <c r="BB33" t="str">
        <f ca="1">IF(AND(ISNUMBER($BB$707),$B$677=1),$BB$707,HLOOKUP(INDIRECT(ADDRESS(2,COLUMN())),OFFSET($BN$2,0,0,ROW()-1,60),ROW()-1,FALSE))</f>
        <v/>
      </c>
      <c r="BC33" t="str">
        <f ca="1">IF(AND(ISNUMBER($BC$707),$B$677=1),$BC$707,HLOOKUP(INDIRECT(ADDRESS(2,COLUMN())),OFFSET($BN$2,0,0,ROW()-1,60),ROW()-1,FALSE))</f>
        <v/>
      </c>
      <c r="BD33" t="str">
        <f ca="1">IF(AND(ISNUMBER($BD$707),$B$677=1),$BD$707,HLOOKUP(INDIRECT(ADDRESS(2,COLUMN())),OFFSET($BN$2,0,0,ROW()-1,60),ROW()-1,FALSE))</f>
        <v/>
      </c>
      <c r="BE33" t="str">
        <f ca="1">IF(AND(ISNUMBER($BE$707),$B$677=1),$BE$707,HLOOKUP(INDIRECT(ADDRESS(2,COLUMN())),OFFSET($BN$2,0,0,ROW()-1,60),ROW()-1,FALSE))</f>
        <v/>
      </c>
      <c r="BF33" t="str">
        <f ca="1">IF(AND(ISNUMBER($BF$707),$B$677=1),$BF$707,HLOOKUP(INDIRECT(ADDRESS(2,COLUMN())),OFFSET($BN$2,0,0,ROW()-1,60),ROW()-1,FALSE))</f>
        <v/>
      </c>
      <c r="BG33" t="str">
        <f ca="1">IF(AND(ISNUMBER($BG$707),$B$677=1),$BG$707,HLOOKUP(INDIRECT(ADDRESS(2,COLUMN())),OFFSET($BN$2,0,0,ROW()-1,60),ROW()-1,FALSE))</f>
        <v/>
      </c>
      <c r="BH33" t="str">
        <f ca="1">IF(AND(ISNUMBER($BH$707),$B$677=1),$BH$707,HLOOKUP(INDIRECT(ADDRESS(2,COLUMN())),OFFSET($BN$2,0,0,ROW()-1,60),ROW()-1,FALSE))</f>
        <v/>
      </c>
      <c r="BI33" t="str">
        <f ca="1">IF(AND(ISNUMBER($BI$707),$B$677=1),$BI$707,HLOOKUP(INDIRECT(ADDRESS(2,COLUMN())),OFFSET($BN$2,0,0,ROW()-1,60),ROW()-1,FALSE))</f>
        <v/>
      </c>
      <c r="BJ33" t="str">
        <f ca="1">IF(AND(ISNUMBER($BJ$707),$B$677=1),$BJ$707,HLOOKUP(INDIRECT(ADDRESS(2,COLUMN())),OFFSET($BN$2,0,0,ROW()-1,60),ROW()-1,FALSE))</f>
        <v/>
      </c>
      <c r="BK33" t="str">
        <f ca="1">IF(AND(ISNUMBER($BK$707),$B$677=1),$BK$707,HLOOKUP(INDIRECT(ADDRESS(2,COLUMN())),OFFSET($BN$2,0,0,ROW()-1,60),ROW()-1,FALSE))</f>
        <v/>
      </c>
      <c r="BL33" t="str">
        <f ca="1">IF(AND(ISNUMBER($BL$707),$B$677=1),$BL$707,HLOOKUP(INDIRECT(ADDRESS(2,COLUMN())),OFFSET($BN$2,0,0,ROW()-1,60),ROW()-1,FALSE))</f>
        <v/>
      </c>
      <c r="BM33" t="str">
        <f ca="1">IF(AND(ISNUMBER($BM$707),$B$677=1),$BM$707,HLOOKUP(INDIRECT(ADDRESS(2,COLUMN())),OFFSET($BN$2,0,0,ROW()-1,60),ROW()-1,FALSE))</f>
        <v/>
      </c>
      <c r="BN33">
        <f>10.50108232</f>
        <v>10.50108232</v>
      </c>
      <c r="BO33">
        <f>10.47489508</f>
        <v>10.47489508</v>
      </c>
      <c r="BP33">
        <f>10.73676746</f>
        <v>10.736767459999999</v>
      </c>
      <c r="BQ33">
        <f>34.17656379</f>
        <v>34.176563790000003</v>
      </c>
      <c r="BR33">
        <f>25.31790351</f>
        <v>25.317903510000001</v>
      </c>
      <c r="BS33">
        <f>36.31260743</f>
        <v>36.31260743</v>
      </c>
      <c r="BT33">
        <f>31.92383841</f>
        <v>31.923838409999998</v>
      </c>
      <c r="BU33">
        <f>325.8298246</f>
        <v>325.82982459999999</v>
      </c>
      <c r="BV33" t="str">
        <f>""</f>
        <v/>
      </c>
      <c r="BW33" t="str">
        <f>""</f>
        <v/>
      </c>
      <c r="BX33">
        <f>6.630267186</f>
        <v>6.6302671860000002</v>
      </c>
      <c r="BY33">
        <f>6.551147052</f>
        <v>6.5511470520000001</v>
      </c>
      <c r="BZ33">
        <f>6.232332063</f>
        <v>6.2323320630000003</v>
      </c>
      <c r="CA33">
        <f>6.322289634</f>
        <v>6.3222896339999997</v>
      </c>
      <c r="CB33">
        <f>6.140915107</f>
        <v>6.1409151069999997</v>
      </c>
      <c r="CC33" t="str">
        <f>""</f>
        <v/>
      </c>
      <c r="CD33" t="str">
        <f>""</f>
        <v/>
      </c>
      <c r="CE33" t="str">
        <f>""</f>
        <v/>
      </c>
      <c r="CF33" t="str">
        <f>""</f>
        <v/>
      </c>
      <c r="CG33" t="str">
        <f>""</f>
        <v/>
      </c>
      <c r="CH33" t="str">
        <f>""</f>
        <v/>
      </c>
      <c r="CI33" t="str">
        <f>""</f>
        <v/>
      </c>
      <c r="CJ33">
        <f>175.6275952</f>
        <v>175.6275952</v>
      </c>
      <c r="CK33">
        <f>114.7461139</f>
        <v>114.7461139</v>
      </c>
      <c r="CL33">
        <f>106.5512968</f>
        <v>106.5512968</v>
      </c>
      <c r="CM33">
        <f>37.40324288</f>
        <v>37.403242880000001</v>
      </c>
      <c r="CN33">
        <f>38.22463184</f>
        <v>38.224631840000001</v>
      </c>
      <c r="CO33">
        <f>25.81442505</f>
        <v>25.814425050000001</v>
      </c>
      <c r="CP33">
        <f>17.57474897</f>
        <v>17.574748970000002</v>
      </c>
      <c r="CQ33">
        <f>12.07304506</f>
        <v>12.07304506</v>
      </c>
      <c r="CR33">
        <f>10.21981214</f>
        <v>10.21981214</v>
      </c>
      <c r="CS33">
        <f>11.38171399</f>
        <v>11.38171399</v>
      </c>
      <c r="CT33">
        <f>14.51839108</f>
        <v>14.518391080000001</v>
      </c>
      <c r="CU33">
        <f>21.89255842</f>
        <v>21.89255842</v>
      </c>
      <c r="CV33">
        <f>15.39087729</f>
        <v>15.390877290000001</v>
      </c>
      <c r="CW33">
        <f>12.88710394</f>
        <v>12.887103939999999</v>
      </c>
      <c r="CX33">
        <f>16.84105656</f>
        <v>16.841056559999998</v>
      </c>
      <c r="CY33">
        <f>83.69114329</f>
        <v>83.691143289999999</v>
      </c>
      <c r="CZ33" t="str">
        <f>""</f>
        <v/>
      </c>
      <c r="DA33" t="str">
        <f>""</f>
        <v/>
      </c>
      <c r="DB33">
        <f>214.0958521</f>
        <v>214.0958521</v>
      </c>
      <c r="DC33">
        <f>169.5154819</f>
        <v>169.5154819</v>
      </c>
      <c r="DD33">
        <f>12.45526071</f>
        <v>12.455260709999999</v>
      </c>
      <c r="DE33" t="str">
        <f>""</f>
        <v/>
      </c>
      <c r="DF33" t="str">
        <f>""</f>
        <v/>
      </c>
      <c r="DG33" t="str">
        <f>""</f>
        <v/>
      </c>
      <c r="DH33" t="str">
        <f>""</f>
        <v/>
      </c>
      <c r="DI33" t="str">
        <f>""</f>
        <v/>
      </c>
      <c r="DJ33" t="str">
        <f>""</f>
        <v/>
      </c>
      <c r="DK33" t="str">
        <f>""</f>
        <v/>
      </c>
      <c r="DL33" t="str">
        <f>""</f>
        <v/>
      </c>
      <c r="DM33" t="str">
        <f>""</f>
        <v/>
      </c>
      <c r="DN33" t="str">
        <f>""</f>
        <v/>
      </c>
      <c r="DO33" t="str">
        <f>""</f>
        <v/>
      </c>
      <c r="DP33" t="str">
        <f>""</f>
        <v/>
      </c>
      <c r="DQ33" t="str">
        <f>""</f>
        <v/>
      </c>
      <c r="DR33" t="str">
        <f>""</f>
        <v/>
      </c>
      <c r="DS33" t="str">
        <f>""</f>
        <v/>
      </c>
      <c r="DT33" t="str">
        <f>""</f>
        <v/>
      </c>
      <c r="DU33" t="str">
        <f>""</f>
        <v/>
      </c>
    </row>
    <row r="34" spans="1:125" x14ac:dyDescent="0.25">
      <c r="A34" t="str">
        <f>"    Sollers PJSC"</f>
        <v xml:space="preserve">    Sollers PJSC</v>
      </c>
      <c r="B34" t="str">
        <f>"SVAV RM Equity"</f>
        <v>SVAV RM Equity</v>
      </c>
      <c r="C34" t="str">
        <f t="shared" si="0"/>
        <v>RR900</v>
      </c>
      <c r="D34" t="str">
        <f t="shared" si="1"/>
        <v>PE_RATIO</v>
      </c>
      <c r="E34" t="str">
        <f t="shared" si="2"/>
        <v>Dynamic</v>
      </c>
      <c r="F34" t="str">
        <f ca="1">IF(AND(ISNUMBER($F$708),$B$677=1),$F$708,HLOOKUP(INDIRECT(ADDRESS(2,COLUMN())),OFFSET($BN$2,0,0,ROW()-1,60),ROW()-1,FALSE))</f>
        <v/>
      </c>
      <c r="G34" t="str">
        <f ca="1">IF(AND(ISNUMBER($G$708),$B$677=1),$G$708,HLOOKUP(INDIRECT(ADDRESS(2,COLUMN())),OFFSET($BN$2,0,0,ROW()-1,60),ROW()-1,FALSE))</f>
        <v/>
      </c>
      <c r="H34" t="str">
        <f ca="1">IF(AND(ISNUMBER($H$708),$B$677=1),$H$708,HLOOKUP(INDIRECT(ADDRESS(2,COLUMN())),OFFSET($BN$2,0,0,ROW()-1,60),ROW()-1,FALSE))</f>
        <v/>
      </c>
      <c r="I34" t="str">
        <f ca="1">IF(AND(ISNUMBER($I$708),$B$677=1),$I$708,HLOOKUP(INDIRECT(ADDRESS(2,COLUMN())),OFFSET($BN$2,0,0,ROW()-1,60),ROW()-1,FALSE))</f>
        <v/>
      </c>
      <c r="J34" t="str">
        <f ca="1">IF(AND(ISNUMBER($J$708),$B$677=1),$J$708,HLOOKUP(INDIRECT(ADDRESS(2,COLUMN())),OFFSET($BN$2,0,0,ROW()-1,60),ROW()-1,FALSE))</f>
        <v/>
      </c>
      <c r="K34" t="str">
        <f ca="1">IF(AND(ISNUMBER($K$708),$B$677=1),$K$708,HLOOKUP(INDIRECT(ADDRESS(2,COLUMN())),OFFSET($BN$2,0,0,ROW()-1,60),ROW()-1,FALSE))</f>
        <v/>
      </c>
      <c r="L34" t="str">
        <f ca="1">IF(AND(ISNUMBER($L$708),$B$677=1),$L$708,HLOOKUP(INDIRECT(ADDRESS(2,COLUMN())),OFFSET($BN$2,0,0,ROW()-1,60),ROW()-1,FALSE))</f>
        <v/>
      </c>
      <c r="M34" t="str">
        <f ca="1">IF(AND(ISNUMBER($M$708),$B$677=1),$M$708,HLOOKUP(INDIRECT(ADDRESS(2,COLUMN())),OFFSET($BN$2,0,0,ROW()-1,60),ROW()-1,FALSE))</f>
        <v/>
      </c>
      <c r="N34" t="str">
        <f ca="1">IF(AND(ISNUMBER($N$708),$B$677=1),$N$708,HLOOKUP(INDIRECT(ADDRESS(2,COLUMN())),OFFSET($BN$2,0,0,ROW()-1,60),ROW()-1,FALSE))</f>
        <v/>
      </c>
      <c r="O34" t="str">
        <f ca="1">IF(AND(ISNUMBER($O$708),$B$677=1),$O$708,HLOOKUP(INDIRECT(ADDRESS(2,COLUMN())),OFFSET($BN$2,0,0,ROW()-1,60),ROW()-1,FALSE))</f>
        <v/>
      </c>
      <c r="P34" t="str">
        <f ca="1">IF(AND(ISNUMBER($P$708),$B$677=1),$P$708,HLOOKUP(INDIRECT(ADDRESS(2,COLUMN())),OFFSET($BN$2,0,0,ROW()-1,60),ROW()-1,FALSE))</f>
        <v/>
      </c>
      <c r="Q34" t="str">
        <f ca="1">IF(AND(ISNUMBER($Q$708),$B$677=1),$Q$708,HLOOKUP(INDIRECT(ADDRESS(2,COLUMN())),OFFSET($BN$2,0,0,ROW()-1,60),ROW()-1,FALSE))</f>
        <v/>
      </c>
      <c r="R34" t="str">
        <f ca="1">IF(AND(ISNUMBER($R$708),$B$677=1),$R$708,HLOOKUP(INDIRECT(ADDRESS(2,COLUMN())),OFFSET($BN$2,0,0,ROW()-1,60),ROW()-1,FALSE))</f>
        <v/>
      </c>
      <c r="S34" t="str">
        <f ca="1">IF(AND(ISNUMBER($S$708),$B$677=1),$S$708,HLOOKUP(INDIRECT(ADDRESS(2,COLUMN())),OFFSET($BN$2,0,0,ROW()-1,60),ROW()-1,FALSE))</f>
        <v/>
      </c>
      <c r="T34" t="str">
        <f ca="1">IF(AND(ISNUMBER($T$708),$B$677=1),$T$708,HLOOKUP(INDIRECT(ADDRESS(2,COLUMN())),OFFSET($BN$2,0,0,ROW()-1,60),ROW()-1,FALSE))</f>
        <v/>
      </c>
      <c r="U34" t="str">
        <f ca="1">IF(AND(ISNUMBER($U$708),$B$677=1),$U$708,HLOOKUP(INDIRECT(ADDRESS(2,COLUMN())),OFFSET($BN$2,0,0,ROW()-1,60),ROW()-1,FALSE))</f>
        <v/>
      </c>
      <c r="V34" t="str">
        <f ca="1">IF(AND(ISNUMBER($V$708),$B$677=1),$V$708,HLOOKUP(INDIRECT(ADDRESS(2,COLUMN())),OFFSET($BN$2,0,0,ROW()-1,60),ROW()-1,FALSE))</f>
        <v/>
      </c>
      <c r="W34" t="str">
        <f ca="1">IF(AND(ISNUMBER($W$708),$B$677=1),$W$708,HLOOKUP(INDIRECT(ADDRESS(2,COLUMN())),OFFSET($BN$2,0,0,ROW()-1,60),ROW()-1,FALSE))</f>
        <v/>
      </c>
      <c r="X34" t="str">
        <f ca="1">IF(AND(ISNUMBER($X$708),$B$677=1),$X$708,HLOOKUP(INDIRECT(ADDRESS(2,COLUMN())),OFFSET($BN$2,0,0,ROW()-1,60),ROW()-1,FALSE))</f>
        <v/>
      </c>
      <c r="Y34" t="str">
        <f ca="1">IF(AND(ISNUMBER($Y$708),$B$677=1),$Y$708,HLOOKUP(INDIRECT(ADDRESS(2,COLUMN())),OFFSET($BN$2,0,0,ROW()-1,60),ROW()-1,FALSE))</f>
        <v/>
      </c>
      <c r="Z34" t="str">
        <f ca="1">IF(AND(ISNUMBER($Z$708),$B$677=1),$Z$708,HLOOKUP(INDIRECT(ADDRESS(2,COLUMN())),OFFSET($BN$2,0,0,ROW()-1,60),ROW()-1,FALSE))</f>
        <v/>
      </c>
      <c r="AA34" t="str">
        <f ca="1">IF(AND(ISNUMBER($AA$708),$B$677=1),$AA$708,HLOOKUP(INDIRECT(ADDRESS(2,COLUMN())),OFFSET($BN$2,0,0,ROW()-1,60),ROW()-1,FALSE))</f>
        <v/>
      </c>
      <c r="AB34" t="str">
        <f ca="1">IF(AND(ISNUMBER($AB$708),$B$677=1),$AB$708,HLOOKUP(INDIRECT(ADDRESS(2,COLUMN())),OFFSET($BN$2,0,0,ROW()-1,60),ROW()-1,FALSE))</f>
        <v/>
      </c>
      <c r="AC34" t="str">
        <f ca="1">IF(AND(ISNUMBER($AC$708),$B$677=1),$AC$708,HLOOKUP(INDIRECT(ADDRESS(2,COLUMN())),OFFSET($BN$2,0,0,ROW()-1,60),ROW()-1,FALSE))</f>
        <v/>
      </c>
      <c r="AD34" t="str">
        <f ca="1">IF(AND(ISNUMBER($AD$708),$B$677=1),$AD$708,HLOOKUP(INDIRECT(ADDRESS(2,COLUMN())),OFFSET($BN$2,0,0,ROW()-1,60),ROW()-1,FALSE))</f>
        <v/>
      </c>
      <c r="AE34" t="str">
        <f ca="1">IF(AND(ISNUMBER($AE$708),$B$677=1),$AE$708,HLOOKUP(INDIRECT(ADDRESS(2,COLUMN())),OFFSET($BN$2,0,0,ROW()-1,60),ROW()-1,FALSE))</f>
        <v/>
      </c>
      <c r="AF34" t="str">
        <f ca="1">IF(AND(ISNUMBER($AF$708),$B$677=1),$AF$708,HLOOKUP(INDIRECT(ADDRESS(2,COLUMN())),OFFSET($BN$2,0,0,ROW()-1,60),ROW()-1,FALSE))</f>
        <v/>
      </c>
      <c r="AG34" t="str">
        <f ca="1">IF(AND(ISNUMBER($AG$708),$B$677=1),$AG$708,HLOOKUP(INDIRECT(ADDRESS(2,COLUMN())),OFFSET($BN$2,0,0,ROW()-1,60),ROW()-1,FALSE))</f>
        <v/>
      </c>
      <c r="AH34" t="str">
        <f ca="1">IF(AND(ISNUMBER($AH$708),$B$677=1),$AH$708,HLOOKUP(INDIRECT(ADDRESS(2,COLUMN())),OFFSET($BN$2,0,0,ROW()-1,60),ROW()-1,FALSE))</f>
        <v/>
      </c>
      <c r="AI34" t="str">
        <f ca="1">IF(AND(ISNUMBER($AI$708),$B$677=1),$AI$708,HLOOKUP(INDIRECT(ADDRESS(2,COLUMN())),OFFSET($BN$2,0,0,ROW()-1,60),ROW()-1,FALSE))</f>
        <v/>
      </c>
      <c r="AJ34" t="str">
        <f ca="1">IF(AND(ISNUMBER($AJ$708),$B$677=1),$AJ$708,HLOOKUP(INDIRECT(ADDRESS(2,COLUMN())),OFFSET($BN$2,0,0,ROW()-1,60),ROW()-1,FALSE))</f>
        <v/>
      </c>
      <c r="AK34" t="str">
        <f ca="1">IF(AND(ISNUMBER($AK$708),$B$677=1),$AK$708,HLOOKUP(INDIRECT(ADDRESS(2,COLUMN())),OFFSET($BN$2,0,0,ROW()-1,60),ROW()-1,FALSE))</f>
        <v/>
      </c>
      <c r="AL34" t="str">
        <f ca="1">IF(AND(ISNUMBER($AL$708),$B$677=1),$AL$708,HLOOKUP(INDIRECT(ADDRESS(2,COLUMN())),OFFSET($BN$2,0,0,ROW()-1,60),ROW()-1,FALSE))</f>
        <v/>
      </c>
      <c r="AM34" t="str">
        <f ca="1">IF(AND(ISNUMBER($AM$708),$B$677=1),$AM$708,HLOOKUP(INDIRECT(ADDRESS(2,COLUMN())),OFFSET($BN$2,0,0,ROW()-1,60),ROW()-1,FALSE))</f>
        <v/>
      </c>
      <c r="AN34" t="str">
        <f ca="1">IF(AND(ISNUMBER($AN$708),$B$677=1),$AN$708,HLOOKUP(INDIRECT(ADDRESS(2,COLUMN())),OFFSET($BN$2,0,0,ROW()-1,60),ROW()-1,FALSE))</f>
        <v/>
      </c>
      <c r="AO34" t="str">
        <f ca="1">IF(AND(ISNUMBER($AO$708),$B$677=1),$AO$708,HLOOKUP(INDIRECT(ADDRESS(2,COLUMN())),OFFSET($BN$2,0,0,ROW()-1,60),ROW()-1,FALSE))</f>
        <v/>
      </c>
      <c r="AP34" t="str">
        <f ca="1">IF(AND(ISNUMBER($AP$708),$B$677=1),$AP$708,HLOOKUP(INDIRECT(ADDRESS(2,COLUMN())),OFFSET($BN$2,0,0,ROW()-1,60),ROW()-1,FALSE))</f>
        <v/>
      </c>
      <c r="AQ34" t="str">
        <f ca="1">IF(AND(ISNUMBER($AQ$708),$B$677=1),$AQ$708,HLOOKUP(INDIRECT(ADDRESS(2,COLUMN())),OFFSET($BN$2,0,0,ROW()-1,60),ROW()-1,FALSE))</f>
        <v/>
      </c>
      <c r="AR34" t="str">
        <f ca="1">IF(AND(ISNUMBER($AR$708),$B$677=1),$AR$708,HLOOKUP(INDIRECT(ADDRESS(2,COLUMN())),OFFSET($BN$2,0,0,ROW()-1,60),ROW()-1,FALSE))</f>
        <v/>
      </c>
      <c r="AS34" t="str">
        <f ca="1">IF(AND(ISNUMBER($AS$708),$B$677=1),$AS$708,HLOOKUP(INDIRECT(ADDRESS(2,COLUMN())),OFFSET($BN$2,0,0,ROW()-1,60),ROW()-1,FALSE))</f>
        <v/>
      </c>
      <c r="AT34" t="str">
        <f ca="1">IF(AND(ISNUMBER($AT$708),$B$677=1),$AT$708,HLOOKUP(INDIRECT(ADDRESS(2,COLUMN())),OFFSET($BN$2,0,0,ROW()-1,60),ROW()-1,FALSE))</f>
        <v/>
      </c>
      <c r="AU34" t="str">
        <f ca="1">IF(AND(ISNUMBER($AU$708),$B$677=1),$AU$708,HLOOKUP(INDIRECT(ADDRESS(2,COLUMN())),OFFSET($BN$2,0,0,ROW()-1,60),ROW()-1,FALSE))</f>
        <v/>
      </c>
      <c r="AV34" t="str">
        <f ca="1">IF(AND(ISNUMBER($AV$708),$B$677=1),$AV$708,HLOOKUP(INDIRECT(ADDRESS(2,COLUMN())),OFFSET($BN$2,0,0,ROW()-1,60),ROW()-1,FALSE))</f>
        <v/>
      </c>
      <c r="AW34" t="str">
        <f ca="1">IF(AND(ISNUMBER($AW$708),$B$677=1),$AW$708,HLOOKUP(INDIRECT(ADDRESS(2,COLUMN())),OFFSET($BN$2,0,0,ROW()-1,60),ROW()-1,FALSE))</f>
        <v/>
      </c>
      <c r="AX34" t="str">
        <f ca="1">IF(AND(ISNUMBER($AX$708),$B$677=1),$AX$708,HLOOKUP(INDIRECT(ADDRESS(2,COLUMN())),OFFSET($BN$2,0,0,ROW()-1,60),ROW()-1,FALSE))</f>
        <v/>
      </c>
      <c r="AY34" t="str">
        <f ca="1">IF(AND(ISNUMBER($AY$708),$B$677=1),$AY$708,HLOOKUP(INDIRECT(ADDRESS(2,COLUMN())),OFFSET($BN$2,0,0,ROW()-1,60),ROW()-1,FALSE))</f>
        <v/>
      </c>
      <c r="AZ34" t="str">
        <f ca="1">IF(AND(ISNUMBER($AZ$708),$B$677=1),$AZ$708,HLOOKUP(INDIRECT(ADDRESS(2,COLUMN())),OFFSET($BN$2,0,0,ROW()-1,60),ROW()-1,FALSE))</f>
        <v/>
      </c>
      <c r="BA34" t="str">
        <f ca="1">IF(AND(ISNUMBER($BA$708),$B$677=1),$BA$708,HLOOKUP(INDIRECT(ADDRESS(2,COLUMN())),OFFSET($BN$2,0,0,ROW()-1,60),ROW()-1,FALSE))</f>
        <v/>
      </c>
      <c r="BB34" t="str">
        <f ca="1">IF(AND(ISNUMBER($BB$708),$B$677=1),$BB$708,HLOOKUP(INDIRECT(ADDRESS(2,COLUMN())),OFFSET($BN$2,0,0,ROW()-1,60),ROW()-1,FALSE))</f>
        <v/>
      </c>
      <c r="BC34" t="str">
        <f ca="1">IF(AND(ISNUMBER($BC$708),$B$677=1),$BC$708,HLOOKUP(INDIRECT(ADDRESS(2,COLUMN())),OFFSET($BN$2,0,0,ROW()-1,60),ROW()-1,FALSE))</f>
        <v/>
      </c>
      <c r="BD34" t="str">
        <f ca="1">IF(AND(ISNUMBER($BD$708),$B$677=1),$BD$708,HLOOKUP(INDIRECT(ADDRESS(2,COLUMN())),OFFSET($BN$2,0,0,ROW()-1,60),ROW()-1,FALSE))</f>
        <v/>
      </c>
      <c r="BE34" t="str">
        <f ca="1">IF(AND(ISNUMBER($BE$708),$B$677=1),$BE$708,HLOOKUP(INDIRECT(ADDRESS(2,COLUMN())),OFFSET($BN$2,0,0,ROW()-1,60),ROW()-1,FALSE))</f>
        <v/>
      </c>
      <c r="BF34" t="str">
        <f ca="1">IF(AND(ISNUMBER($BF$708),$B$677=1),$BF$708,HLOOKUP(INDIRECT(ADDRESS(2,COLUMN())),OFFSET($BN$2,0,0,ROW()-1,60),ROW()-1,FALSE))</f>
        <v/>
      </c>
      <c r="BG34" t="str">
        <f ca="1">IF(AND(ISNUMBER($BG$708),$B$677=1),$BG$708,HLOOKUP(INDIRECT(ADDRESS(2,COLUMN())),OFFSET($BN$2,0,0,ROW()-1,60),ROW()-1,FALSE))</f>
        <v/>
      </c>
      <c r="BH34" t="str">
        <f ca="1">IF(AND(ISNUMBER($BH$708),$B$677=1),$BH$708,HLOOKUP(INDIRECT(ADDRESS(2,COLUMN())),OFFSET($BN$2,0,0,ROW()-1,60),ROW()-1,FALSE))</f>
        <v/>
      </c>
      <c r="BI34" t="str">
        <f ca="1">IF(AND(ISNUMBER($BI$708),$B$677=1),$BI$708,HLOOKUP(INDIRECT(ADDRESS(2,COLUMN())),OFFSET($BN$2,0,0,ROW()-1,60),ROW()-1,FALSE))</f>
        <v/>
      </c>
      <c r="BJ34" t="str">
        <f ca="1">IF(AND(ISNUMBER($BJ$708),$B$677=1),$BJ$708,HLOOKUP(INDIRECT(ADDRESS(2,COLUMN())),OFFSET($BN$2,0,0,ROW()-1,60),ROW()-1,FALSE))</f>
        <v/>
      </c>
      <c r="BK34" t="str">
        <f ca="1">IF(AND(ISNUMBER($BK$708),$B$677=1),$BK$708,HLOOKUP(INDIRECT(ADDRESS(2,COLUMN())),OFFSET($BN$2,0,0,ROW()-1,60),ROW()-1,FALSE))</f>
        <v/>
      </c>
      <c r="BL34" t="str">
        <f ca="1">IF(AND(ISNUMBER($BL$708),$B$677=1),$BL$708,HLOOKUP(INDIRECT(ADDRESS(2,COLUMN())),OFFSET($BN$2,0,0,ROW()-1,60),ROW()-1,FALSE))</f>
        <v/>
      </c>
      <c r="BM34" t="str">
        <f ca="1">IF(AND(ISNUMBER($BM$708),$B$677=1),$BM$708,HLOOKUP(INDIRECT(ADDRESS(2,COLUMN())),OFFSET($BN$2,0,0,ROW()-1,60),ROW()-1,FALSE))</f>
        <v/>
      </c>
      <c r="BN34" t="str">
        <f>""</f>
        <v/>
      </c>
      <c r="BO34" t="str">
        <f>""</f>
        <v/>
      </c>
      <c r="BP34" t="str">
        <f>""</f>
        <v/>
      </c>
      <c r="BQ34" t="str">
        <f>""</f>
        <v/>
      </c>
      <c r="BR34" t="str">
        <f>""</f>
        <v/>
      </c>
      <c r="BS34" t="str">
        <f>""</f>
        <v/>
      </c>
      <c r="BT34" t="str">
        <f>""</f>
        <v/>
      </c>
      <c r="BU34" t="str">
        <f>""</f>
        <v/>
      </c>
      <c r="BV34" t="str">
        <f>""</f>
        <v/>
      </c>
      <c r="BW34" t="str">
        <f>""</f>
        <v/>
      </c>
      <c r="BX34" t="str">
        <f>""</f>
        <v/>
      </c>
      <c r="BY34" t="str">
        <f>""</f>
        <v/>
      </c>
      <c r="BZ34" t="str">
        <f>""</f>
        <v/>
      </c>
      <c r="CA34" t="str">
        <f>""</f>
        <v/>
      </c>
      <c r="CB34" t="str">
        <f>""</f>
        <v/>
      </c>
      <c r="CC34" t="str">
        <f>""</f>
        <v/>
      </c>
      <c r="CD34" t="str">
        <f>""</f>
        <v/>
      </c>
      <c r="CE34" t="str">
        <f>""</f>
        <v/>
      </c>
      <c r="CF34" t="str">
        <f>""</f>
        <v/>
      </c>
      <c r="CG34" t="str">
        <f>""</f>
        <v/>
      </c>
      <c r="CH34" t="str">
        <f>""</f>
        <v/>
      </c>
      <c r="CI34" t="str">
        <f>""</f>
        <v/>
      </c>
      <c r="CJ34" t="str">
        <f>""</f>
        <v/>
      </c>
      <c r="CK34" t="str">
        <f>""</f>
        <v/>
      </c>
      <c r="CL34" t="str">
        <f>""</f>
        <v/>
      </c>
      <c r="CM34" t="str">
        <f>""</f>
        <v/>
      </c>
      <c r="CN34" t="str">
        <f>""</f>
        <v/>
      </c>
      <c r="CO34" t="str">
        <f>""</f>
        <v/>
      </c>
      <c r="CP34" t="str">
        <f>""</f>
        <v/>
      </c>
      <c r="CQ34" t="str">
        <f>""</f>
        <v/>
      </c>
      <c r="CR34" t="str">
        <f>""</f>
        <v/>
      </c>
      <c r="CS34" t="str">
        <f>""</f>
        <v/>
      </c>
      <c r="CT34" t="str">
        <f>""</f>
        <v/>
      </c>
      <c r="CU34" t="str">
        <f>""</f>
        <v/>
      </c>
      <c r="CV34" t="str">
        <f>""</f>
        <v/>
      </c>
      <c r="CW34" t="str">
        <f>""</f>
        <v/>
      </c>
      <c r="CX34" t="str">
        <f>""</f>
        <v/>
      </c>
      <c r="CY34" t="str">
        <f>""</f>
        <v/>
      </c>
      <c r="CZ34" t="str">
        <f>""</f>
        <v/>
      </c>
      <c r="DA34" t="str">
        <f>""</f>
        <v/>
      </c>
      <c r="DB34" t="str">
        <f>""</f>
        <v/>
      </c>
      <c r="DC34" t="str">
        <f>""</f>
        <v/>
      </c>
      <c r="DD34" t="str">
        <f>""</f>
        <v/>
      </c>
      <c r="DE34" t="str">
        <f>""</f>
        <v/>
      </c>
      <c r="DF34" t="str">
        <f>""</f>
        <v/>
      </c>
      <c r="DG34" t="str">
        <f>""</f>
        <v/>
      </c>
      <c r="DH34" t="str">
        <f>""</f>
        <v/>
      </c>
      <c r="DI34" t="str">
        <f>""</f>
        <v/>
      </c>
      <c r="DJ34" t="str">
        <f>""</f>
        <v/>
      </c>
      <c r="DK34" t="str">
        <f>""</f>
        <v/>
      </c>
      <c r="DL34" t="str">
        <f>""</f>
        <v/>
      </c>
      <c r="DM34" t="str">
        <f>""</f>
        <v/>
      </c>
      <c r="DN34" t="str">
        <f>""</f>
        <v/>
      </c>
      <c r="DO34" t="str">
        <f>""</f>
        <v/>
      </c>
      <c r="DP34" t="str">
        <f>""</f>
        <v/>
      </c>
      <c r="DQ34" t="str">
        <f>""</f>
        <v/>
      </c>
      <c r="DR34" t="str">
        <f>""</f>
        <v/>
      </c>
      <c r="DS34" t="str">
        <f>""</f>
        <v/>
      </c>
      <c r="DT34" t="str">
        <f>""</f>
        <v/>
      </c>
      <c r="DU34" t="str">
        <f>""</f>
        <v/>
      </c>
    </row>
    <row r="35" spans="1:125" x14ac:dyDescent="0.25">
      <c r="A35" t="str">
        <f>"    Ssangyong Motor Co"</f>
        <v xml:space="preserve">    Ssangyong Motor Co</v>
      </c>
      <c r="B35" t="str">
        <f>"003620 KS Equity"</f>
        <v>003620 KS Equity</v>
      </c>
      <c r="C35" t="str">
        <f t="shared" si="0"/>
        <v>RR900</v>
      </c>
      <c r="D35" t="str">
        <f t="shared" si="1"/>
        <v>PE_RATIO</v>
      </c>
      <c r="E35" t="str">
        <f t="shared" si="2"/>
        <v>Dynamic</v>
      </c>
      <c r="F35" t="str">
        <f ca="1">IF(AND(ISNUMBER($F$709),$B$677=1),$F$709,HLOOKUP(INDIRECT(ADDRESS(2,COLUMN())),OFFSET($BN$2,0,0,ROW()-1,60),ROW()-1,FALSE))</f>
        <v/>
      </c>
      <c r="G35" t="str">
        <f ca="1">IF(AND(ISNUMBER($G$709),$B$677=1),$G$709,HLOOKUP(INDIRECT(ADDRESS(2,COLUMN())),OFFSET($BN$2,0,0,ROW()-1,60),ROW()-1,FALSE))</f>
        <v/>
      </c>
      <c r="H35" t="str">
        <f ca="1">IF(AND(ISNUMBER($H$709),$B$677=1),$H$709,HLOOKUP(INDIRECT(ADDRESS(2,COLUMN())),OFFSET($BN$2,0,0,ROW()-1,60),ROW()-1,FALSE))</f>
        <v/>
      </c>
      <c r="I35" t="str">
        <f ca="1">IF(AND(ISNUMBER($I$709),$B$677=1),$I$709,HLOOKUP(INDIRECT(ADDRESS(2,COLUMN())),OFFSET($BN$2,0,0,ROW()-1,60),ROW()-1,FALSE))</f>
        <v/>
      </c>
      <c r="J35" t="str">
        <f ca="1">IF(AND(ISNUMBER($J$709),$B$677=1),$J$709,HLOOKUP(INDIRECT(ADDRESS(2,COLUMN())),OFFSET($BN$2,0,0,ROW()-1,60),ROW()-1,FALSE))</f>
        <v/>
      </c>
      <c r="K35" t="str">
        <f ca="1">IF(AND(ISNUMBER($K$709),$B$677=1),$K$709,HLOOKUP(INDIRECT(ADDRESS(2,COLUMN())),OFFSET($BN$2,0,0,ROW()-1,60),ROW()-1,FALSE))</f>
        <v/>
      </c>
      <c r="L35">
        <f ca="1">IF(AND(ISNUMBER($L$709),$B$677=1),$L$709,HLOOKUP(INDIRECT(ADDRESS(2,COLUMN())),OFFSET($BN$2,0,0,ROW()-1,60),ROW()-1,FALSE))</f>
        <v>35.920880269999998</v>
      </c>
      <c r="M35">
        <f ca="1">IF(AND(ISNUMBER($M$709),$B$677=1),$M$709,HLOOKUP(INDIRECT(ADDRESS(2,COLUMN())),OFFSET($BN$2,0,0,ROW()-1,60),ROW()-1,FALSE))</f>
        <v>47.159082730000002</v>
      </c>
      <c r="N35">
        <f ca="1">IF(AND(ISNUMBER($N$709),$B$677=1),$N$709,HLOOKUP(INDIRECT(ADDRESS(2,COLUMN())),OFFSET($BN$2,0,0,ROW()-1,60),ROW()-1,FALSE))</f>
        <v>26.062071280000001</v>
      </c>
      <c r="O35">
        <f ca="1">IF(AND(ISNUMBER($O$709),$B$677=1),$O$709,HLOOKUP(INDIRECT(ADDRESS(2,COLUMN())),OFFSET($BN$2,0,0,ROW()-1,60),ROW()-1,FALSE))</f>
        <v>18.65067501</v>
      </c>
      <c r="P35">
        <f ca="1">IF(AND(ISNUMBER($P$709),$B$677=1),$P$709,HLOOKUP(INDIRECT(ADDRESS(2,COLUMN())),OFFSET($BN$2,0,0,ROW()-1,60),ROW()-1,FALSE))</f>
        <v>18.766089600000001</v>
      </c>
      <c r="Q35">
        <f ca="1">IF(AND(ISNUMBER($Q$709),$B$677=1),$Q$709,HLOOKUP(INDIRECT(ADDRESS(2,COLUMN())),OFFSET($BN$2,0,0,ROW()-1,60),ROW()-1,FALSE))</f>
        <v>78.734542439999998</v>
      </c>
      <c r="R35" t="str">
        <f ca="1">IF(AND(ISNUMBER($R$709),$B$677=1),$R$709,HLOOKUP(INDIRECT(ADDRESS(2,COLUMN())),OFFSET($BN$2,0,0,ROW()-1,60),ROW()-1,FALSE))</f>
        <v/>
      </c>
      <c r="S35" t="str">
        <f ca="1">IF(AND(ISNUMBER($S$709),$B$677=1),$S$709,HLOOKUP(INDIRECT(ADDRESS(2,COLUMN())),OFFSET($BN$2,0,0,ROW()-1,60),ROW()-1,FALSE))</f>
        <v/>
      </c>
      <c r="T35" t="str">
        <f ca="1">IF(AND(ISNUMBER($T$709),$B$677=1),$T$709,HLOOKUP(INDIRECT(ADDRESS(2,COLUMN())),OFFSET($BN$2,0,0,ROW()-1,60),ROW()-1,FALSE))</f>
        <v/>
      </c>
      <c r="U35" t="str">
        <f ca="1">IF(AND(ISNUMBER($U$709),$B$677=1),$U$709,HLOOKUP(INDIRECT(ADDRESS(2,COLUMN())),OFFSET($BN$2,0,0,ROW()-1,60),ROW()-1,FALSE))</f>
        <v/>
      </c>
      <c r="V35" t="str">
        <f ca="1">IF(AND(ISNUMBER($V$709),$B$677=1),$V$709,HLOOKUP(INDIRECT(ADDRESS(2,COLUMN())),OFFSET($BN$2,0,0,ROW()-1,60),ROW()-1,FALSE))</f>
        <v/>
      </c>
      <c r="W35" t="str">
        <f ca="1">IF(AND(ISNUMBER($W$709),$B$677=1),$W$709,HLOOKUP(INDIRECT(ADDRESS(2,COLUMN())),OFFSET($BN$2,0,0,ROW()-1,60),ROW()-1,FALSE))</f>
        <v/>
      </c>
      <c r="X35" t="str">
        <f ca="1">IF(AND(ISNUMBER($X$709),$B$677=1),$X$709,HLOOKUP(INDIRECT(ADDRESS(2,COLUMN())),OFFSET($BN$2,0,0,ROW()-1,60),ROW()-1,FALSE))</f>
        <v/>
      </c>
      <c r="Y35">
        <f ca="1">IF(AND(ISNUMBER($Y$709),$B$677=1),$Y$709,HLOOKUP(INDIRECT(ADDRESS(2,COLUMN())),OFFSET($BN$2,0,0,ROW()-1,60),ROW()-1,FALSE))</f>
        <v>66.667050900000007</v>
      </c>
      <c r="Z35">
        <f ca="1">IF(AND(ISNUMBER($Z$709),$B$677=1),$Z$709,HLOOKUP(INDIRECT(ADDRESS(2,COLUMN())),OFFSET($BN$2,0,0,ROW()-1,60),ROW()-1,FALSE))</f>
        <v>66.89667335</v>
      </c>
      <c r="AA35" t="str">
        <f ca="1">IF(AND(ISNUMBER($AA$709),$B$677=1),$AA$709,HLOOKUP(INDIRECT(ADDRESS(2,COLUMN())),OFFSET($BN$2,0,0,ROW()-1,60),ROW()-1,FALSE))</f>
        <v/>
      </c>
      <c r="AB35" t="str">
        <f ca="1">IF(AND(ISNUMBER($AB$709),$B$677=1),$AB$709,HLOOKUP(INDIRECT(ADDRESS(2,COLUMN())),OFFSET($BN$2,0,0,ROW()-1,60),ROW()-1,FALSE))</f>
        <v/>
      </c>
      <c r="AC35" t="str">
        <f ca="1">IF(AND(ISNUMBER($AC$709),$B$677=1),$AC$709,HLOOKUP(INDIRECT(ADDRESS(2,COLUMN())),OFFSET($BN$2,0,0,ROW()-1,60),ROW()-1,FALSE))</f>
        <v/>
      </c>
      <c r="AD35" t="str">
        <f ca="1">IF(AND(ISNUMBER($AD$709),$B$677=1),$AD$709,HLOOKUP(INDIRECT(ADDRESS(2,COLUMN())),OFFSET($BN$2,0,0,ROW()-1,60),ROW()-1,FALSE))</f>
        <v/>
      </c>
      <c r="AE35" t="str">
        <f ca="1">IF(AND(ISNUMBER($AE$709),$B$677=1),$AE$709,HLOOKUP(INDIRECT(ADDRESS(2,COLUMN())),OFFSET($BN$2,0,0,ROW()-1,60),ROW()-1,FALSE))</f>
        <v/>
      </c>
      <c r="AF35" t="str">
        <f ca="1">IF(AND(ISNUMBER($AF$709),$B$677=1),$AF$709,HLOOKUP(INDIRECT(ADDRESS(2,COLUMN())),OFFSET($BN$2,0,0,ROW()-1,60),ROW()-1,FALSE))</f>
        <v/>
      </c>
      <c r="AG35" t="str">
        <f ca="1">IF(AND(ISNUMBER($AG$709),$B$677=1),$AG$709,HLOOKUP(INDIRECT(ADDRESS(2,COLUMN())),OFFSET($BN$2,0,0,ROW()-1,60),ROW()-1,FALSE))</f>
        <v/>
      </c>
      <c r="AH35" t="str">
        <f ca="1">IF(AND(ISNUMBER($AH$709),$B$677=1),$AH$709,HLOOKUP(INDIRECT(ADDRESS(2,COLUMN())),OFFSET($BN$2,0,0,ROW()-1,60),ROW()-1,FALSE))</f>
        <v/>
      </c>
      <c r="AI35" t="str">
        <f ca="1">IF(AND(ISNUMBER($AI$709),$B$677=1),$AI$709,HLOOKUP(INDIRECT(ADDRESS(2,COLUMN())),OFFSET($BN$2,0,0,ROW()-1,60),ROW()-1,FALSE))</f>
        <v/>
      </c>
      <c r="AJ35" t="str">
        <f ca="1">IF(AND(ISNUMBER($AJ$709),$B$677=1),$AJ$709,HLOOKUP(INDIRECT(ADDRESS(2,COLUMN())),OFFSET($BN$2,0,0,ROW()-1,60),ROW()-1,FALSE))</f>
        <v/>
      </c>
      <c r="AK35" t="str">
        <f ca="1">IF(AND(ISNUMBER($AK$709),$B$677=1),$AK$709,HLOOKUP(INDIRECT(ADDRESS(2,COLUMN())),OFFSET($BN$2,0,0,ROW()-1,60),ROW()-1,FALSE))</f>
        <v/>
      </c>
      <c r="AL35" t="str">
        <f ca="1">IF(AND(ISNUMBER($AL$709),$B$677=1),$AL$709,HLOOKUP(INDIRECT(ADDRESS(2,COLUMN())),OFFSET($BN$2,0,0,ROW()-1,60),ROW()-1,FALSE))</f>
        <v/>
      </c>
      <c r="AM35" t="str">
        <f ca="1">IF(AND(ISNUMBER($AM$709),$B$677=1),$AM$709,HLOOKUP(INDIRECT(ADDRESS(2,COLUMN())),OFFSET($BN$2,0,0,ROW()-1,60),ROW()-1,FALSE))</f>
        <v/>
      </c>
      <c r="AN35" t="str">
        <f ca="1">IF(AND(ISNUMBER($AN$709),$B$677=1),$AN$709,HLOOKUP(INDIRECT(ADDRESS(2,COLUMN())),OFFSET($BN$2,0,0,ROW()-1,60),ROW()-1,FALSE))</f>
        <v/>
      </c>
      <c r="AO35" t="str">
        <f ca="1">IF(AND(ISNUMBER($AO$709),$B$677=1),$AO$709,HLOOKUP(INDIRECT(ADDRESS(2,COLUMN())),OFFSET($BN$2,0,0,ROW()-1,60),ROW()-1,FALSE))</f>
        <v/>
      </c>
      <c r="AP35" t="str">
        <f ca="1">IF(AND(ISNUMBER($AP$709),$B$677=1),$AP$709,HLOOKUP(INDIRECT(ADDRESS(2,COLUMN())),OFFSET($BN$2,0,0,ROW()-1,60),ROW()-1,FALSE))</f>
        <v/>
      </c>
      <c r="AQ35" t="str">
        <f ca="1">IF(AND(ISNUMBER($AQ$709),$B$677=1),$AQ$709,HLOOKUP(INDIRECT(ADDRESS(2,COLUMN())),OFFSET($BN$2,0,0,ROW()-1,60),ROW()-1,FALSE))</f>
        <v/>
      </c>
      <c r="AR35" t="str">
        <f ca="1">IF(AND(ISNUMBER($AR$709),$B$677=1),$AR$709,HLOOKUP(INDIRECT(ADDRESS(2,COLUMN())),OFFSET($BN$2,0,0,ROW()-1,60),ROW()-1,FALSE))</f>
        <v/>
      </c>
      <c r="AS35" t="str">
        <f ca="1">IF(AND(ISNUMBER($AS$709),$B$677=1),$AS$709,HLOOKUP(INDIRECT(ADDRESS(2,COLUMN())),OFFSET($BN$2,0,0,ROW()-1,60),ROW()-1,FALSE))</f>
        <v/>
      </c>
      <c r="AT35" t="str">
        <f ca="1">IF(AND(ISNUMBER($AT$709),$B$677=1),$AT$709,HLOOKUP(INDIRECT(ADDRESS(2,COLUMN())),OFFSET($BN$2,0,0,ROW()-1,60),ROW()-1,FALSE))</f>
        <v/>
      </c>
      <c r="AU35" t="str">
        <f ca="1">IF(AND(ISNUMBER($AU$709),$B$677=1),$AU$709,HLOOKUP(INDIRECT(ADDRESS(2,COLUMN())),OFFSET($BN$2,0,0,ROW()-1,60),ROW()-1,FALSE))</f>
        <v/>
      </c>
      <c r="AV35" t="str">
        <f ca="1">IF(AND(ISNUMBER($AV$709),$B$677=1),$AV$709,HLOOKUP(INDIRECT(ADDRESS(2,COLUMN())),OFFSET($BN$2,0,0,ROW()-1,60),ROW()-1,FALSE))</f>
        <v/>
      </c>
      <c r="AW35" t="str">
        <f ca="1">IF(AND(ISNUMBER($AW$709),$B$677=1),$AW$709,HLOOKUP(INDIRECT(ADDRESS(2,COLUMN())),OFFSET($BN$2,0,0,ROW()-1,60),ROW()-1,FALSE))</f>
        <v/>
      </c>
      <c r="AX35" t="str">
        <f ca="1">IF(AND(ISNUMBER($AX$709),$B$677=1),$AX$709,HLOOKUP(INDIRECT(ADDRESS(2,COLUMN())),OFFSET($BN$2,0,0,ROW()-1,60),ROW()-1,FALSE))</f>
        <v/>
      </c>
      <c r="AY35" t="str">
        <f ca="1">IF(AND(ISNUMBER($AY$709),$B$677=1),$AY$709,HLOOKUP(INDIRECT(ADDRESS(2,COLUMN())),OFFSET($BN$2,0,0,ROW()-1,60),ROW()-1,FALSE))</f>
        <v/>
      </c>
      <c r="AZ35" t="str">
        <f ca="1">IF(AND(ISNUMBER($AZ$709),$B$677=1),$AZ$709,HLOOKUP(INDIRECT(ADDRESS(2,COLUMN())),OFFSET($BN$2,0,0,ROW()-1,60),ROW()-1,FALSE))</f>
        <v/>
      </c>
      <c r="BA35" t="str">
        <f ca="1">IF(AND(ISNUMBER($BA$709),$B$677=1),$BA$709,HLOOKUP(INDIRECT(ADDRESS(2,COLUMN())),OFFSET($BN$2,0,0,ROW()-1,60),ROW()-1,FALSE))</f>
        <v/>
      </c>
      <c r="BB35" t="str">
        <f ca="1">IF(AND(ISNUMBER($BB$709),$B$677=1),$BB$709,HLOOKUP(INDIRECT(ADDRESS(2,COLUMN())),OFFSET($BN$2,0,0,ROW()-1,60),ROW()-1,FALSE))</f>
        <v/>
      </c>
      <c r="BC35" t="str">
        <f ca="1">IF(AND(ISNUMBER($BC$709),$B$677=1),$BC$709,HLOOKUP(INDIRECT(ADDRESS(2,COLUMN())),OFFSET($BN$2,0,0,ROW()-1,60),ROW()-1,FALSE))</f>
        <v/>
      </c>
      <c r="BD35" t="str">
        <f ca="1">IF(AND(ISNUMBER($BD$709),$B$677=1),$BD$709,HLOOKUP(INDIRECT(ADDRESS(2,COLUMN())),OFFSET($BN$2,0,0,ROW()-1,60),ROW()-1,FALSE))</f>
        <v/>
      </c>
      <c r="BE35" t="str">
        <f ca="1">IF(AND(ISNUMBER($BE$709),$B$677=1),$BE$709,HLOOKUP(INDIRECT(ADDRESS(2,COLUMN())),OFFSET($BN$2,0,0,ROW()-1,60),ROW()-1,FALSE))</f>
        <v/>
      </c>
      <c r="BF35" t="str">
        <f ca="1">IF(AND(ISNUMBER($BF$709),$B$677=1),$BF$709,HLOOKUP(INDIRECT(ADDRESS(2,COLUMN())),OFFSET($BN$2,0,0,ROW()-1,60),ROW()-1,FALSE))</f>
        <v/>
      </c>
      <c r="BG35" t="str">
        <f ca="1">IF(AND(ISNUMBER($BG$709),$B$677=1),$BG$709,HLOOKUP(INDIRECT(ADDRESS(2,COLUMN())),OFFSET($BN$2,0,0,ROW()-1,60),ROW()-1,FALSE))</f>
        <v/>
      </c>
      <c r="BH35" t="str">
        <f ca="1">IF(AND(ISNUMBER($BH$709),$B$677=1),$BH$709,HLOOKUP(INDIRECT(ADDRESS(2,COLUMN())),OFFSET($BN$2,0,0,ROW()-1,60),ROW()-1,FALSE))</f>
        <v/>
      </c>
      <c r="BI35" t="str">
        <f ca="1">IF(AND(ISNUMBER($BI$709),$B$677=1),$BI$709,HLOOKUP(INDIRECT(ADDRESS(2,COLUMN())),OFFSET($BN$2,0,0,ROW()-1,60),ROW()-1,FALSE))</f>
        <v/>
      </c>
      <c r="BJ35" t="str">
        <f ca="1">IF(AND(ISNUMBER($BJ$709),$B$677=1),$BJ$709,HLOOKUP(INDIRECT(ADDRESS(2,COLUMN())),OFFSET($BN$2,0,0,ROW()-1,60),ROW()-1,FALSE))</f>
        <v/>
      </c>
      <c r="BK35" t="str">
        <f ca="1">IF(AND(ISNUMBER($BK$709),$B$677=1),$BK$709,HLOOKUP(INDIRECT(ADDRESS(2,COLUMN())),OFFSET($BN$2,0,0,ROW()-1,60),ROW()-1,FALSE))</f>
        <v/>
      </c>
      <c r="BL35" t="str">
        <f ca="1">IF(AND(ISNUMBER($BL$709),$B$677=1),$BL$709,HLOOKUP(INDIRECT(ADDRESS(2,COLUMN())),OFFSET($BN$2,0,0,ROW()-1,60),ROW()-1,FALSE))</f>
        <v/>
      </c>
      <c r="BM35" t="str">
        <f ca="1">IF(AND(ISNUMBER($BM$709),$B$677=1),$BM$709,HLOOKUP(INDIRECT(ADDRESS(2,COLUMN())),OFFSET($BN$2,0,0,ROW()-1,60),ROW()-1,FALSE))</f>
        <v/>
      </c>
      <c r="BN35" t="str">
        <f>""</f>
        <v/>
      </c>
      <c r="BO35" t="str">
        <f>""</f>
        <v/>
      </c>
      <c r="BP35" t="str">
        <f>""</f>
        <v/>
      </c>
      <c r="BQ35" t="str">
        <f>""</f>
        <v/>
      </c>
      <c r="BR35" t="str">
        <f>""</f>
        <v/>
      </c>
      <c r="BS35" t="str">
        <f>""</f>
        <v/>
      </c>
      <c r="BT35">
        <f>35.92088027</f>
        <v>35.920880269999998</v>
      </c>
      <c r="BU35">
        <f>47.15908273</f>
        <v>47.159082730000002</v>
      </c>
      <c r="BV35">
        <f>26.06207128</f>
        <v>26.062071280000001</v>
      </c>
      <c r="BW35">
        <f>18.65067501</f>
        <v>18.65067501</v>
      </c>
      <c r="BX35">
        <f>18.7660896</f>
        <v>18.766089600000001</v>
      </c>
      <c r="BY35">
        <f>78.73454244</f>
        <v>78.734542439999998</v>
      </c>
      <c r="BZ35" t="str">
        <f>""</f>
        <v/>
      </c>
      <c r="CA35" t="str">
        <f>""</f>
        <v/>
      </c>
      <c r="CB35" t="str">
        <f>""</f>
        <v/>
      </c>
      <c r="CC35" t="str">
        <f>""</f>
        <v/>
      </c>
      <c r="CD35" t="str">
        <f>""</f>
        <v/>
      </c>
      <c r="CE35" t="str">
        <f>""</f>
        <v/>
      </c>
      <c r="CF35" t="str">
        <f>""</f>
        <v/>
      </c>
      <c r="CG35">
        <f>66.6670509</f>
        <v>66.667050900000007</v>
      </c>
      <c r="CH35">
        <f>66.89667335</f>
        <v>66.89667335</v>
      </c>
      <c r="CI35" t="str">
        <f>""</f>
        <v/>
      </c>
      <c r="CJ35" t="str">
        <f>""</f>
        <v/>
      </c>
      <c r="CK35" t="str">
        <f>""</f>
        <v/>
      </c>
      <c r="CL35" t="str">
        <f>""</f>
        <v/>
      </c>
      <c r="CM35" t="str">
        <f>""</f>
        <v/>
      </c>
      <c r="CN35" t="str">
        <f>""</f>
        <v/>
      </c>
      <c r="CO35" t="str">
        <f>""</f>
        <v/>
      </c>
      <c r="CP35" t="str">
        <f>""</f>
        <v/>
      </c>
      <c r="CQ35" t="str">
        <f>""</f>
        <v/>
      </c>
      <c r="CR35" t="str">
        <f>""</f>
        <v/>
      </c>
      <c r="CS35" t="str">
        <f>""</f>
        <v/>
      </c>
      <c r="CT35" t="str">
        <f>""</f>
        <v/>
      </c>
      <c r="CU35" t="str">
        <f>""</f>
        <v/>
      </c>
      <c r="CV35" t="str">
        <f>""</f>
        <v/>
      </c>
      <c r="CW35" t="str">
        <f>""</f>
        <v/>
      </c>
      <c r="CX35" t="str">
        <f>""</f>
        <v/>
      </c>
      <c r="CY35" t="str">
        <f>""</f>
        <v/>
      </c>
      <c r="CZ35" t="str">
        <f>""</f>
        <v/>
      </c>
      <c r="DA35" t="str">
        <f>""</f>
        <v/>
      </c>
      <c r="DB35" t="str">
        <f>""</f>
        <v/>
      </c>
      <c r="DC35" t="str">
        <f>""</f>
        <v/>
      </c>
      <c r="DD35" t="str">
        <f>""</f>
        <v/>
      </c>
      <c r="DE35" t="str">
        <f>""</f>
        <v/>
      </c>
      <c r="DF35" t="str">
        <f>""</f>
        <v/>
      </c>
      <c r="DG35" t="str">
        <f>""</f>
        <v/>
      </c>
      <c r="DH35" t="str">
        <f>""</f>
        <v/>
      </c>
      <c r="DI35" t="str">
        <f>""</f>
        <v/>
      </c>
      <c r="DJ35" t="str">
        <f>""</f>
        <v/>
      </c>
      <c r="DK35" t="str">
        <f>""</f>
        <v/>
      </c>
      <c r="DL35" t="str">
        <f>""</f>
        <v/>
      </c>
      <c r="DM35" t="str">
        <f>""</f>
        <v/>
      </c>
      <c r="DN35" t="str">
        <f>""</f>
        <v/>
      </c>
      <c r="DO35" t="str">
        <f>""</f>
        <v/>
      </c>
      <c r="DP35" t="str">
        <f>""</f>
        <v/>
      </c>
      <c r="DQ35" t="str">
        <f>""</f>
        <v/>
      </c>
      <c r="DR35" t="str">
        <f>""</f>
        <v/>
      </c>
      <c r="DS35" t="str">
        <f>""</f>
        <v/>
      </c>
      <c r="DT35" t="str">
        <f>""</f>
        <v/>
      </c>
      <c r="DU35" t="str">
        <f>""</f>
        <v/>
      </c>
    </row>
    <row r="36" spans="1:125" x14ac:dyDescent="0.25">
      <c r="A36" t="str">
        <f>"    Subaru Corp"</f>
        <v xml:space="preserve">    Subaru Corp</v>
      </c>
      <c r="B36" t="str">
        <f>"7270 JP Equity"</f>
        <v>7270 JP Equity</v>
      </c>
      <c r="C36" t="str">
        <f t="shared" si="0"/>
        <v>RR900</v>
      </c>
      <c r="D36" t="str">
        <f t="shared" si="1"/>
        <v>PE_RATIO</v>
      </c>
      <c r="E36" t="str">
        <f t="shared" si="2"/>
        <v>Dynamic</v>
      </c>
      <c r="F36">
        <f ca="1">IF(AND(ISNUMBER($F$710),$B$677=1),$F$710,HLOOKUP(INDIRECT(ADDRESS(2,COLUMN())),OFFSET($BN$2,0,0,ROW()-1,60),ROW()-1,FALSE))</f>
        <v>11.732166449999999</v>
      </c>
      <c r="G36">
        <f ca="1">IF(AND(ISNUMBER($G$710),$B$677=1),$G$710,HLOOKUP(INDIRECT(ADDRESS(2,COLUMN())),OFFSET($BN$2,0,0,ROW()-1,60),ROW()-1,FALSE))</f>
        <v>9.7424042269999998</v>
      </c>
      <c r="H36">
        <f ca="1">IF(AND(ISNUMBER($H$710),$B$677=1),$H$710,HLOOKUP(INDIRECT(ADDRESS(2,COLUMN())),OFFSET($BN$2,0,0,ROW()-1,60),ROW()-1,FALSE))</f>
        <v>14.85085136</v>
      </c>
      <c r="I36">
        <f ca="1">IF(AND(ISNUMBER($I$710),$B$677=1),$I$710,HLOOKUP(INDIRECT(ADDRESS(2,COLUMN())),OFFSET($BN$2,0,0,ROW()-1,60),ROW()-1,FALSE))</f>
        <v>13.475681099999999</v>
      </c>
      <c r="J36">
        <f ca="1">IF(AND(ISNUMBER($J$710),$B$677=1),$J$710,HLOOKUP(INDIRECT(ADDRESS(2,COLUMN())),OFFSET($BN$2,0,0,ROW()-1,60),ROW()-1,FALSE))</f>
        <v>12.132915799999999</v>
      </c>
      <c r="K36">
        <f ca="1">IF(AND(ISNUMBER($K$710),$B$677=1),$K$710,HLOOKUP(INDIRECT(ADDRESS(2,COLUMN())),OFFSET($BN$2,0,0,ROW()-1,60),ROW()-1,FALSE))</f>
        <v>12.06519177</v>
      </c>
      <c r="L36">
        <f ca="1">IF(AND(ISNUMBER($L$710),$B$677=1),$L$710,HLOOKUP(INDIRECT(ADDRESS(2,COLUMN())),OFFSET($BN$2,0,0,ROW()-1,60),ROW()-1,FALSE))</f>
        <v>15.294206279999999</v>
      </c>
      <c r="M36">
        <f ca="1">IF(AND(ISNUMBER($M$710),$B$677=1),$M$710,HLOOKUP(INDIRECT(ADDRESS(2,COLUMN())),OFFSET($BN$2,0,0,ROW()-1,60),ROW()-1,FALSE))</f>
        <v>10.182346300000001</v>
      </c>
      <c r="N36">
        <f ca="1">IF(AND(ISNUMBER($N$710),$B$677=1),$N$710,HLOOKUP(INDIRECT(ADDRESS(2,COLUMN())),OFFSET($BN$2,0,0,ROW()-1,60),ROW()-1,FALSE))</f>
        <v>11.17099863</v>
      </c>
      <c r="O36">
        <f ca="1">IF(AND(ISNUMBER($O$710),$B$677=1),$O$710,HLOOKUP(INDIRECT(ADDRESS(2,COLUMN())),OFFSET($BN$2,0,0,ROW()-1,60),ROW()-1,FALSE))</f>
        <v>12.094485000000001</v>
      </c>
      <c r="P36">
        <f ca="1">IF(AND(ISNUMBER($P$710),$B$677=1),$P$710,HLOOKUP(INDIRECT(ADDRESS(2,COLUMN())),OFFSET($BN$2,0,0,ROW()-1,60),ROW()-1,FALSE))</f>
        <v>7.1815173940000001</v>
      </c>
      <c r="Q36">
        <f ca="1">IF(AND(ISNUMBER($Q$710),$B$677=1),$Q$710,HLOOKUP(INDIRECT(ADDRESS(2,COLUMN())),OFFSET($BN$2,0,0,ROW()-1,60),ROW()-1,FALSE))</f>
        <v>6.2925170069999998</v>
      </c>
      <c r="R36">
        <f ca="1">IF(AND(ISNUMBER($R$710),$B$677=1),$R$710,HLOOKUP(INDIRECT(ADDRESS(2,COLUMN())),OFFSET($BN$2,0,0,ROW()-1,60),ROW()-1,FALSE))</f>
        <v>7.1040497550000001</v>
      </c>
      <c r="S36">
        <f ca="1">IF(AND(ISNUMBER($S$710),$B$677=1),$S$710,HLOOKUP(INDIRECT(ADDRESS(2,COLUMN())),OFFSET($BN$2,0,0,ROW()-1,60),ROW()-1,FALSE))</f>
        <v>9.5841833330000004</v>
      </c>
      <c r="T36">
        <f ca="1">IF(AND(ISNUMBER($T$710),$B$677=1),$T$710,HLOOKUP(INDIRECT(ADDRESS(2,COLUMN())),OFFSET($BN$2,0,0,ROW()-1,60),ROW()-1,FALSE))</f>
        <v>9.7713998899999996</v>
      </c>
      <c r="U36">
        <f ca="1">IF(AND(ISNUMBER($U$710),$B$677=1),$U$710,HLOOKUP(INDIRECT(ADDRESS(2,COLUMN())),OFFSET($BN$2,0,0,ROW()-1,60),ROW()-1,FALSE))</f>
        <v>11.973439580000001</v>
      </c>
      <c r="V36">
        <f ca="1">IF(AND(ISNUMBER($V$710),$B$677=1),$V$710,HLOOKUP(INDIRECT(ADDRESS(2,COLUMN())),OFFSET($BN$2,0,0,ROW()-1,60),ROW()-1,FALSE))</f>
        <v>11.89319665</v>
      </c>
      <c r="W36">
        <f ca="1">IF(AND(ISNUMBER($W$710),$B$677=1),$W$710,HLOOKUP(INDIRECT(ADDRESS(2,COLUMN())),OFFSET($BN$2,0,0,ROW()-1,60),ROW()-1,FALSE))</f>
        <v>15.576888240000001</v>
      </c>
      <c r="X36">
        <f ca="1">IF(AND(ISNUMBER($X$710),$B$677=1),$X$710,HLOOKUP(INDIRECT(ADDRESS(2,COLUMN())),OFFSET($BN$2,0,0,ROW()-1,60),ROW()-1,FALSE))</f>
        <v>12.872306439999999</v>
      </c>
      <c r="Y36">
        <f ca="1">IF(AND(ISNUMBER($Y$710),$B$677=1),$Y$710,HLOOKUP(INDIRECT(ADDRESS(2,COLUMN())),OFFSET($BN$2,0,0,ROW()-1,60),ROW()-1,FALSE))</f>
        <v>10.40430267</v>
      </c>
      <c r="Z36">
        <f ca="1">IF(AND(ISNUMBER($Z$710),$B$677=1),$Z$710,HLOOKUP(INDIRECT(ADDRESS(2,COLUMN())),OFFSET($BN$2,0,0,ROW()-1,60),ROW()-1,FALSE))</f>
        <v>10.54579792</v>
      </c>
      <c r="AA36">
        <f ca="1">IF(AND(ISNUMBER($AA$710),$B$677=1),$AA$710,HLOOKUP(INDIRECT(ADDRESS(2,COLUMN())),OFFSET($BN$2,0,0,ROW()-1,60),ROW()-1,FALSE))</f>
        <v>9.4879944609999995</v>
      </c>
      <c r="AB36">
        <f ca="1">IF(AND(ISNUMBER($AB$710),$B$677=1),$AB$710,HLOOKUP(INDIRECT(ADDRESS(2,COLUMN())),OFFSET($BN$2,0,0,ROW()-1,60),ROW()-1,FALSE))</f>
        <v>11.818062879999999</v>
      </c>
      <c r="AC36">
        <f ca="1">IF(AND(ISNUMBER($AC$710),$B$677=1),$AC$710,HLOOKUP(INDIRECT(ADDRESS(2,COLUMN())),OFFSET($BN$2,0,0,ROW()-1,60),ROW()-1,FALSE))</f>
        <v>12.57845457</v>
      </c>
      <c r="AD36">
        <f ca="1">IF(AND(ISNUMBER($AD$710),$B$677=1),$AD$710,HLOOKUP(INDIRECT(ADDRESS(2,COLUMN())),OFFSET($BN$2,0,0,ROW()-1,60),ROW()-1,FALSE))</f>
        <v>9.5346864189999998</v>
      </c>
      <c r="AE36">
        <f ca="1">IF(AND(ISNUMBER($AE$710),$B$677=1),$AE$710,HLOOKUP(INDIRECT(ADDRESS(2,COLUMN())),OFFSET($BN$2,0,0,ROW()-1,60),ROW()-1,FALSE))</f>
        <v>15.315773889999999</v>
      </c>
      <c r="AF36">
        <f ca="1">IF(AND(ISNUMBER($AF$710),$B$677=1),$AF$710,HLOOKUP(INDIRECT(ADDRESS(2,COLUMN())),OFFSET($BN$2,0,0,ROW()-1,60),ROW()-1,FALSE))</f>
        <v>10.961969310000001</v>
      </c>
      <c r="AG36">
        <f ca="1">IF(AND(ISNUMBER($AG$710),$B$677=1),$AG$710,HLOOKUP(INDIRECT(ADDRESS(2,COLUMN())),OFFSET($BN$2,0,0,ROW()-1,60),ROW()-1,FALSE))</f>
        <v>18.867391380000001</v>
      </c>
      <c r="AH36">
        <f ca="1">IF(AND(ISNUMBER($AH$710),$B$677=1),$AH$710,HLOOKUP(INDIRECT(ADDRESS(2,COLUMN())),OFFSET($BN$2,0,0,ROW()-1,60),ROW()-1,FALSE))</f>
        <v>13.49378314</v>
      </c>
      <c r="AI36">
        <f ca="1">IF(AND(ISNUMBER($AI$710),$B$677=1),$AI$710,HLOOKUP(INDIRECT(ADDRESS(2,COLUMN())),OFFSET($BN$2,0,0,ROW()-1,60),ROW()-1,FALSE))</f>
        <v>12.653751590000001</v>
      </c>
      <c r="AJ36">
        <f ca="1">IF(AND(ISNUMBER($AJ$710),$B$677=1),$AJ$710,HLOOKUP(INDIRECT(ADDRESS(2,COLUMN())),OFFSET($BN$2,0,0,ROW()-1,60),ROW()-1,FALSE))</f>
        <v>9.2770962509999997</v>
      </c>
      <c r="AK36">
        <f ca="1">IF(AND(ISNUMBER($AK$710),$B$677=1),$AK$710,HLOOKUP(INDIRECT(ADDRESS(2,COLUMN())),OFFSET($BN$2,0,0,ROW()-1,60),ROW()-1,FALSE))</f>
        <v>8.1317385570000003</v>
      </c>
      <c r="AL36">
        <f ca="1">IF(AND(ISNUMBER($AL$710),$B$677=1),$AL$710,HLOOKUP(INDIRECT(ADDRESS(2,COLUMN())),OFFSET($BN$2,0,0,ROW()-1,60),ROW()-1,FALSE))</f>
        <v>8.2984457999999997</v>
      </c>
      <c r="AM36">
        <f ca="1">IF(AND(ISNUMBER($AM$710),$B$677=1),$AM$710,HLOOKUP(INDIRECT(ADDRESS(2,COLUMN())),OFFSET($BN$2,0,0,ROW()-1,60),ROW()-1,FALSE))</f>
        <v>8.5867940259999997</v>
      </c>
      <c r="AN36">
        <f ca="1">IF(AND(ISNUMBER($AN$710),$B$677=1),$AN$710,HLOOKUP(INDIRECT(ADDRESS(2,COLUMN())),OFFSET($BN$2,0,0,ROW()-1,60),ROW()-1,FALSE))</f>
        <v>8.315296408</v>
      </c>
      <c r="AO36">
        <f ca="1">IF(AND(ISNUMBER($AO$710),$B$677=1),$AO$710,HLOOKUP(INDIRECT(ADDRESS(2,COLUMN())),OFFSET($BN$2,0,0,ROW()-1,60),ROW()-1,FALSE))</f>
        <v>17.016161490000002</v>
      </c>
      <c r="AP36" t="str">
        <f ca="1">IF(AND(ISNUMBER($AP$710),$B$677=1),$AP$710,HLOOKUP(INDIRECT(ADDRESS(2,COLUMN())),OFFSET($BN$2,0,0,ROW()-1,60),ROW()-1,FALSE))</f>
        <v/>
      </c>
      <c r="AQ36" t="str">
        <f ca="1">IF(AND(ISNUMBER($AQ$710),$B$677=1),$AQ$710,HLOOKUP(INDIRECT(ADDRESS(2,COLUMN())),OFFSET($BN$2,0,0,ROW()-1,60),ROW()-1,FALSE))</f>
        <v/>
      </c>
      <c r="AR36" t="str">
        <f ca="1">IF(AND(ISNUMBER($AR$710),$B$677=1),$AR$710,HLOOKUP(INDIRECT(ADDRESS(2,COLUMN())),OFFSET($BN$2,0,0,ROW()-1,60),ROW()-1,FALSE))</f>
        <v/>
      </c>
      <c r="AS36" t="str">
        <f ca="1">IF(AND(ISNUMBER($AS$710),$B$677=1),$AS$710,HLOOKUP(INDIRECT(ADDRESS(2,COLUMN())),OFFSET($BN$2,0,0,ROW()-1,60),ROW()-1,FALSE))</f>
        <v/>
      </c>
      <c r="AT36" t="str">
        <f ca="1">IF(AND(ISNUMBER($AT$710),$B$677=1),$AT$710,HLOOKUP(INDIRECT(ADDRESS(2,COLUMN())),OFFSET($BN$2,0,0,ROW()-1,60),ROW()-1,FALSE))</f>
        <v/>
      </c>
      <c r="AU36">
        <f ca="1">IF(AND(ISNUMBER($AU$710),$B$677=1),$AU$710,HLOOKUP(INDIRECT(ADDRESS(2,COLUMN())),OFFSET($BN$2,0,0,ROW()-1,60),ROW()-1,FALSE))</f>
        <v>11.741966659999999</v>
      </c>
      <c r="AV36">
        <f ca="1">IF(AND(ISNUMBER($AV$710),$B$677=1),$AV$710,HLOOKUP(INDIRECT(ADDRESS(2,COLUMN())),OFFSET($BN$2,0,0,ROW()-1,60),ROW()-1,FALSE))</f>
        <v>25.175163080000001</v>
      </c>
      <c r="AW36">
        <f ca="1">IF(AND(ISNUMBER($AW$710),$B$677=1),$AW$710,HLOOKUP(INDIRECT(ADDRESS(2,COLUMN())),OFFSET($BN$2,0,0,ROW()-1,60),ROW()-1,FALSE))</f>
        <v>18.428606869999999</v>
      </c>
      <c r="AX36">
        <f ca="1">IF(AND(ISNUMBER($AX$710),$B$677=1),$AX$710,HLOOKUP(INDIRECT(ADDRESS(2,COLUMN())),OFFSET($BN$2,0,0,ROW()-1,60),ROW()-1,FALSE))</f>
        <v>16.170938849999999</v>
      </c>
      <c r="AY36">
        <f ca="1">IF(AND(ISNUMBER($AY$710),$B$677=1),$AY$710,HLOOKUP(INDIRECT(ADDRESS(2,COLUMN())),OFFSET($BN$2,0,0,ROW()-1,60),ROW()-1,FALSE))</f>
        <v>14.907470869999999</v>
      </c>
      <c r="AZ36">
        <f ca="1">IF(AND(ISNUMBER($AZ$710),$B$677=1),$AZ$710,HLOOKUP(INDIRECT(ADDRESS(2,COLUMN())),OFFSET($BN$2,0,0,ROW()-1,60),ROW()-1,FALSE))</f>
        <v>12.875426729999999</v>
      </c>
      <c r="BA36">
        <f ca="1">IF(AND(ISNUMBER($BA$710),$B$677=1),$BA$710,HLOOKUP(INDIRECT(ADDRESS(2,COLUMN())),OFFSET($BN$2,0,0,ROW()-1,60),ROW()-1,FALSE))</f>
        <v>15.70485478</v>
      </c>
      <c r="BB36">
        <f ca="1">IF(AND(ISNUMBER($BB$710),$B$677=1),$BB$710,HLOOKUP(INDIRECT(ADDRESS(2,COLUMN())),OFFSET($BN$2,0,0,ROW()-1,60),ROW()-1,FALSE))</f>
        <v>13.768898180000001</v>
      </c>
      <c r="BC36">
        <f ca="1">IF(AND(ISNUMBER($BC$710),$B$677=1),$BC$710,HLOOKUP(INDIRECT(ADDRESS(2,COLUMN())),OFFSET($BN$2,0,0,ROW()-1,60),ROW()-1,FALSE))</f>
        <v>16.031695630000002</v>
      </c>
      <c r="BD36">
        <f ca="1">IF(AND(ISNUMBER($BD$710),$B$677=1),$BD$710,HLOOKUP(INDIRECT(ADDRESS(2,COLUMN())),OFFSET($BN$2,0,0,ROW()-1,60),ROW()-1,FALSE))</f>
        <v>25.22711915</v>
      </c>
      <c r="BE36">
        <f ca="1">IF(AND(ISNUMBER($BE$710),$B$677=1),$BE$710,HLOOKUP(INDIRECT(ADDRESS(2,COLUMN())),OFFSET($BN$2,0,0,ROW()-1,60),ROW()-1,FALSE))</f>
        <v>23.393244280000001</v>
      </c>
      <c r="BF36">
        <f ca="1">IF(AND(ISNUMBER($BF$710),$B$677=1),$BF$710,HLOOKUP(INDIRECT(ADDRESS(2,COLUMN())),OFFSET($BN$2,0,0,ROW()-1,60),ROW()-1,FALSE))</f>
        <v>33.48171086</v>
      </c>
      <c r="BG36">
        <f ca="1">IF(AND(ISNUMBER($BG$710),$B$677=1),$BG$710,HLOOKUP(INDIRECT(ADDRESS(2,COLUMN())),OFFSET($BN$2,0,0,ROW()-1,60),ROW()-1,FALSE))</f>
        <v>46.568450890000001</v>
      </c>
      <c r="BH36">
        <f ca="1">IF(AND(ISNUMBER($BH$710),$B$677=1),$BH$710,HLOOKUP(INDIRECT(ADDRESS(2,COLUMN())),OFFSET($BN$2,0,0,ROW()-1,60),ROW()-1,FALSE))</f>
        <v>22.30996412</v>
      </c>
      <c r="BI36">
        <f ca="1">IF(AND(ISNUMBER($BI$710),$B$677=1),$BI$710,HLOOKUP(INDIRECT(ADDRESS(2,COLUMN())),OFFSET($BN$2,0,0,ROW()-1,60),ROW()-1,FALSE))</f>
        <v>21.965263499999999</v>
      </c>
      <c r="BJ36">
        <f ca="1">IF(AND(ISNUMBER($BJ$710),$B$677=1),$BJ$710,HLOOKUP(INDIRECT(ADDRESS(2,COLUMN())),OFFSET($BN$2,0,0,ROW()-1,60),ROW()-1,FALSE))</f>
        <v>22.447641090000001</v>
      </c>
      <c r="BK36" t="str">
        <f ca="1">IF(AND(ISNUMBER($BK$710),$B$677=1),$BK$710,HLOOKUP(INDIRECT(ADDRESS(2,COLUMN())),OFFSET($BN$2,0,0,ROW()-1,60),ROW()-1,FALSE))</f>
        <v/>
      </c>
      <c r="BL36" t="str">
        <f ca="1">IF(AND(ISNUMBER($BL$710),$B$677=1),$BL$710,HLOOKUP(INDIRECT(ADDRESS(2,COLUMN())),OFFSET($BN$2,0,0,ROW()-1,60),ROW()-1,FALSE))</f>
        <v/>
      </c>
      <c r="BM36" t="str">
        <f ca="1">IF(AND(ISNUMBER($BM$710),$B$677=1),$BM$710,HLOOKUP(INDIRECT(ADDRESS(2,COLUMN())),OFFSET($BN$2,0,0,ROW()-1,60),ROW()-1,FALSE))</f>
        <v/>
      </c>
      <c r="BN36">
        <f>11.73216645</f>
        <v>11.732166449999999</v>
      </c>
      <c r="BO36">
        <f>9.742404227</f>
        <v>9.7424042269999998</v>
      </c>
      <c r="BP36">
        <f>14.85085136</f>
        <v>14.85085136</v>
      </c>
      <c r="BQ36">
        <f>13.4756811</f>
        <v>13.475681099999999</v>
      </c>
      <c r="BR36">
        <f>12.1329158</f>
        <v>12.132915799999999</v>
      </c>
      <c r="BS36">
        <f>12.06519177</f>
        <v>12.06519177</v>
      </c>
      <c r="BT36">
        <f>15.29420628</f>
        <v>15.294206279999999</v>
      </c>
      <c r="BU36">
        <f>10.1823463</f>
        <v>10.182346300000001</v>
      </c>
      <c r="BV36">
        <f>11.17099863</f>
        <v>11.17099863</v>
      </c>
      <c r="BW36">
        <f>12.094485</f>
        <v>12.094485000000001</v>
      </c>
      <c r="BX36">
        <f>7.181517394</f>
        <v>7.1815173940000001</v>
      </c>
      <c r="BY36">
        <f>6.292517007</f>
        <v>6.2925170069999998</v>
      </c>
      <c r="BZ36">
        <f>7.104049755</f>
        <v>7.1040497550000001</v>
      </c>
      <c r="CA36">
        <f>9.584183333</f>
        <v>9.5841833330000004</v>
      </c>
      <c r="CB36">
        <f>9.77139989</f>
        <v>9.7713998899999996</v>
      </c>
      <c r="CC36">
        <f>11.97343958</f>
        <v>11.973439580000001</v>
      </c>
      <c r="CD36">
        <f>11.89319665</f>
        <v>11.89319665</v>
      </c>
      <c r="CE36">
        <f>15.57688824</f>
        <v>15.576888240000001</v>
      </c>
      <c r="CF36">
        <f>12.87230644</f>
        <v>12.872306439999999</v>
      </c>
      <c r="CG36">
        <f>10.40430267</f>
        <v>10.40430267</v>
      </c>
      <c r="CH36">
        <f>10.54579792</f>
        <v>10.54579792</v>
      </c>
      <c r="CI36">
        <f>9.487994461</f>
        <v>9.4879944609999995</v>
      </c>
      <c r="CJ36">
        <f>11.81806288</f>
        <v>11.818062879999999</v>
      </c>
      <c r="CK36">
        <f>12.57845457</f>
        <v>12.57845457</v>
      </c>
      <c r="CL36">
        <f>9.534686419</f>
        <v>9.5346864189999998</v>
      </c>
      <c r="CM36">
        <f>15.31577389</f>
        <v>15.315773889999999</v>
      </c>
      <c r="CN36">
        <f>10.96196931</f>
        <v>10.961969310000001</v>
      </c>
      <c r="CO36">
        <f>18.86739138</f>
        <v>18.867391380000001</v>
      </c>
      <c r="CP36">
        <f>13.49378314</f>
        <v>13.49378314</v>
      </c>
      <c r="CQ36">
        <f>12.65375159</f>
        <v>12.653751590000001</v>
      </c>
      <c r="CR36">
        <f>9.277096251</f>
        <v>9.2770962509999997</v>
      </c>
      <c r="CS36">
        <f>8.131738557</f>
        <v>8.1317385570000003</v>
      </c>
      <c r="CT36">
        <f>8.2984458</f>
        <v>8.2984457999999997</v>
      </c>
      <c r="CU36">
        <f>8.586794026</f>
        <v>8.5867940259999997</v>
      </c>
      <c r="CV36">
        <f>8.315296408</f>
        <v>8.315296408</v>
      </c>
      <c r="CW36">
        <f>17.01616149</f>
        <v>17.016161490000002</v>
      </c>
      <c r="CX36" t="str">
        <f>""</f>
        <v/>
      </c>
      <c r="CY36" t="str">
        <f>""</f>
        <v/>
      </c>
      <c r="CZ36" t="str">
        <f>""</f>
        <v/>
      </c>
      <c r="DA36" t="str">
        <f>""</f>
        <v/>
      </c>
      <c r="DB36" t="str">
        <f>""</f>
        <v/>
      </c>
      <c r="DC36">
        <f>11.74196666</f>
        <v>11.741966659999999</v>
      </c>
      <c r="DD36">
        <f>25.17516308</f>
        <v>25.175163080000001</v>
      </c>
      <c r="DE36">
        <f>18.42860687</f>
        <v>18.428606869999999</v>
      </c>
      <c r="DF36">
        <f>16.17093885</f>
        <v>16.170938849999999</v>
      </c>
      <c r="DG36">
        <f>14.90747087</f>
        <v>14.907470869999999</v>
      </c>
      <c r="DH36">
        <f>12.87542673</f>
        <v>12.875426729999999</v>
      </c>
      <c r="DI36">
        <f>15.70485478</f>
        <v>15.70485478</v>
      </c>
      <c r="DJ36">
        <f>13.76889818</f>
        <v>13.768898180000001</v>
      </c>
      <c r="DK36">
        <f>16.03169563</f>
        <v>16.031695630000002</v>
      </c>
      <c r="DL36">
        <f>25.22711915</f>
        <v>25.22711915</v>
      </c>
      <c r="DM36">
        <f>23.39324428</f>
        <v>23.393244280000001</v>
      </c>
      <c r="DN36">
        <f>33.48171086</f>
        <v>33.48171086</v>
      </c>
      <c r="DO36">
        <f>46.56845089</f>
        <v>46.568450890000001</v>
      </c>
      <c r="DP36">
        <f>22.30996412</f>
        <v>22.30996412</v>
      </c>
      <c r="DQ36">
        <f>21.9652635</f>
        <v>21.965263499999999</v>
      </c>
      <c r="DR36">
        <f>22.44764109</f>
        <v>22.447641090000001</v>
      </c>
      <c r="DS36" t="str">
        <f>""</f>
        <v/>
      </c>
      <c r="DT36" t="str">
        <f>""</f>
        <v/>
      </c>
      <c r="DU36" t="str">
        <f>""</f>
        <v/>
      </c>
    </row>
    <row r="37" spans="1:125" x14ac:dyDescent="0.25">
      <c r="A37" t="str">
        <f>"    Suzuki Motor Corp"</f>
        <v xml:space="preserve">    Suzuki Motor Corp</v>
      </c>
      <c r="B37" t="str">
        <f>"7269 JP Equity"</f>
        <v>7269 JP Equity</v>
      </c>
      <c r="C37" t="str">
        <f t="shared" si="0"/>
        <v>RR900</v>
      </c>
      <c r="D37" t="str">
        <f t="shared" si="1"/>
        <v>PE_RATIO</v>
      </c>
      <c r="E37" t="str">
        <f t="shared" si="2"/>
        <v>Dynamic</v>
      </c>
      <c r="F37">
        <f ca="1">IF(AND(ISNUMBER($F$711),$B$677=1),$F$711,HLOOKUP(INDIRECT(ADDRESS(2,COLUMN())),OFFSET($BN$2,0,0,ROW()-1,60),ROW()-1,FALSE))</f>
        <v>11.09988358</v>
      </c>
      <c r="G37">
        <f ca="1">IF(AND(ISNUMBER($G$711),$B$677=1),$G$711,HLOOKUP(INDIRECT(ADDRESS(2,COLUMN())),OFFSET($BN$2,0,0,ROW()-1,60),ROW()-1,FALSE))</f>
        <v>10.69453996</v>
      </c>
      <c r="H37">
        <f ca="1">IF(AND(ISNUMBER($H$711),$B$677=1),$H$711,HLOOKUP(INDIRECT(ADDRESS(2,COLUMN())),OFFSET($BN$2,0,0,ROW()-1,60),ROW()-1,FALSE))</f>
        <v>11.62682674</v>
      </c>
      <c r="I37">
        <f ca="1">IF(AND(ISNUMBER($I$711),$B$677=1),$I$711,HLOOKUP(INDIRECT(ADDRESS(2,COLUMN())),OFFSET($BN$2,0,0,ROW()-1,60),ROW()-1,FALSE))</f>
        <v>11.434231670000001</v>
      </c>
      <c r="J37">
        <f ca="1">IF(AND(ISNUMBER($J$711),$B$677=1),$J$711,HLOOKUP(INDIRECT(ADDRESS(2,COLUMN())),OFFSET($BN$2,0,0,ROW()-1,60),ROW()-1,FALSE))</f>
        <v>11.7209074</v>
      </c>
      <c r="K37">
        <f ca="1">IF(AND(ISNUMBER($K$711),$B$677=1),$K$711,HLOOKUP(INDIRECT(ADDRESS(2,COLUMN())),OFFSET($BN$2,0,0,ROW()-1,60),ROW()-1,FALSE))</f>
        <v>15.100182569999999</v>
      </c>
      <c r="L37">
        <f ca="1">IF(AND(ISNUMBER($L$711),$B$677=1),$L$711,HLOOKUP(INDIRECT(ADDRESS(2,COLUMN())),OFFSET($BN$2,0,0,ROW()-1,60),ROW()-1,FALSE))</f>
        <v>15.855788090000001</v>
      </c>
      <c r="M37">
        <f ca="1">IF(AND(ISNUMBER($M$711),$B$677=1),$M$711,HLOOKUP(INDIRECT(ADDRESS(2,COLUMN())),OFFSET($BN$2,0,0,ROW()-1,60),ROW()-1,FALSE))</f>
        <v>12.546933299999999</v>
      </c>
      <c r="N37">
        <f ca="1">IF(AND(ISNUMBER($N$711),$B$677=1),$N$711,HLOOKUP(INDIRECT(ADDRESS(2,COLUMN())),OFFSET($BN$2,0,0,ROW()-1,60),ROW()-1,FALSE))</f>
        <v>12.749113879999999</v>
      </c>
      <c r="O37">
        <f ca="1">IF(AND(ISNUMBER($O$711),$B$677=1),$O$711,HLOOKUP(INDIRECT(ADDRESS(2,COLUMN())),OFFSET($BN$2,0,0,ROW()-1,60),ROW()-1,FALSE))</f>
        <v>12.284814190000001</v>
      </c>
      <c r="P37">
        <f ca="1">IF(AND(ISNUMBER($P$711),$B$677=1),$P$711,HLOOKUP(INDIRECT(ADDRESS(2,COLUMN())),OFFSET($BN$2,0,0,ROW()-1,60),ROW()-1,FALSE))</f>
        <v>10.82007123</v>
      </c>
      <c r="Q37">
        <f ca="1">IF(AND(ISNUMBER($Q$711),$B$677=1),$Q$711,HLOOKUP(INDIRECT(ADDRESS(2,COLUMN())),OFFSET($BN$2,0,0,ROW()-1,60),ROW()-1,FALSE))</f>
        <v>10.59164747</v>
      </c>
      <c r="R37">
        <f ca="1">IF(AND(ISNUMBER($R$711),$B$677=1),$R$711,HLOOKUP(INDIRECT(ADDRESS(2,COLUMN())),OFFSET($BN$2,0,0,ROW()-1,60),ROW()-1,FALSE))</f>
        <v>13.06579764</v>
      </c>
      <c r="S37">
        <f ca="1">IF(AND(ISNUMBER($S$711),$B$677=1),$S$711,HLOOKUP(INDIRECT(ADDRESS(2,COLUMN())),OFFSET($BN$2,0,0,ROW()-1,60),ROW()-1,FALSE))</f>
        <v>16.23773838</v>
      </c>
      <c r="T37">
        <f ca="1">IF(AND(ISNUMBER($T$711),$B$677=1),$T$711,HLOOKUP(INDIRECT(ADDRESS(2,COLUMN())),OFFSET($BN$2,0,0,ROW()-1,60),ROW()-1,FALSE))</f>
        <v>16.428891879999998</v>
      </c>
      <c r="U37">
        <f ca="1">IF(AND(ISNUMBER($U$711),$B$677=1),$U$711,HLOOKUP(INDIRECT(ADDRESS(2,COLUMN())),OFFSET($BN$2,0,0,ROW()-1,60),ROW()-1,FALSE))</f>
        <v>25.480650730000001</v>
      </c>
      <c r="V37">
        <f ca="1">IF(AND(ISNUMBER($V$711),$B$677=1),$V$711,HLOOKUP(INDIRECT(ADDRESS(2,COLUMN())),OFFSET($BN$2,0,0,ROW()-1,60),ROW()-1,FALSE))</f>
        <v>20.922622499999999</v>
      </c>
      <c r="W37">
        <f ca="1">IF(AND(ISNUMBER($W$711),$B$677=1),$W$711,HLOOKUP(INDIRECT(ADDRESS(2,COLUMN())),OFFSET($BN$2,0,0,ROW()-1,60),ROW()-1,FALSE))</f>
        <v>19.467322710000001</v>
      </c>
      <c r="X37">
        <f ca="1">IF(AND(ISNUMBER($X$711),$B$677=1),$X$711,HLOOKUP(INDIRECT(ADDRESS(2,COLUMN())),OFFSET($BN$2,0,0,ROW()-1,60),ROW()-1,FALSE))</f>
        <v>18.57785273</v>
      </c>
      <c r="Y37">
        <f ca="1">IF(AND(ISNUMBER($Y$711),$B$677=1),$Y$711,HLOOKUP(INDIRECT(ADDRESS(2,COLUMN())),OFFSET($BN$2,0,0,ROW()-1,60),ROW()-1,FALSE))</f>
        <v>15.087252149999999</v>
      </c>
      <c r="Z37">
        <f ca="1">IF(AND(ISNUMBER($Z$711),$B$677=1),$Z$711,HLOOKUP(INDIRECT(ADDRESS(2,COLUMN())),OFFSET($BN$2,0,0,ROW()-1,60),ROW()-1,FALSE))</f>
        <v>14.059808990000001</v>
      </c>
      <c r="AA37">
        <f ca="1">IF(AND(ISNUMBER($AA$711),$B$677=1),$AA$711,HLOOKUP(INDIRECT(ADDRESS(2,COLUMN())),OFFSET($BN$2,0,0,ROW()-1,60),ROW()-1,FALSE))</f>
        <v>13.860706759999999</v>
      </c>
      <c r="AB37">
        <f ca="1">IF(AND(ISNUMBER($AB$711),$B$677=1),$AB$711,HLOOKUP(INDIRECT(ADDRESS(2,COLUMN())),OFFSET($BN$2,0,0,ROW()-1,60),ROW()-1,FALSE))</f>
        <v>14.63687846</v>
      </c>
      <c r="AC37">
        <f ca="1">IF(AND(ISNUMBER($AC$711),$B$677=1),$AC$711,HLOOKUP(INDIRECT(ADDRESS(2,COLUMN())),OFFSET($BN$2,0,0,ROW()-1,60),ROW()-1,FALSE))</f>
        <v>15.466287960000001</v>
      </c>
      <c r="AD37">
        <f ca="1">IF(AND(ISNUMBER($AD$711),$B$677=1),$AD$711,HLOOKUP(INDIRECT(ADDRESS(2,COLUMN())),OFFSET($BN$2,0,0,ROW()-1,60),ROW()-1,FALSE))</f>
        <v>14.731332869999999</v>
      </c>
      <c r="AE37">
        <f ca="1">IF(AND(ISNUMBER($AE$711),$B$677=1),$AE$711,HLOOKUP(INDIRECT(ADDRESS(2,COLUMN())),OFFSET($BN$2,0,0,ROW()-1,60),ROW()-1,FALSE))</f>
        <v>20.38632226</v>
      </c>
      <c r="AF37">
        <f ca="1">IF(AND(ISNUMBER($AF$711),$B$677=1),$AF$711,HLOOKUP(INDIRECT(ADDRESS(2,COLUMN())),OFFSET($BN$2,0,0,ROW()-1,60),ROW()-1,FALSE))</f>
        <v>13.325629040000001</v>
      </c>
      <c r="AG37">
        <f ca="1">IF(AND(ISNUMBER($AG$711),$B$677=1),$AG$711,HLOOKUP(INDIRECT(ADDRESS(2,COLUMN())),OFFSET($BN$2,0,0,ROW()-1,60),ROW()-1,FALSE))</f>
        <v>15.250638889999999</v>
      </c>
      <c r="AH37">
        <f ca="1">IF(AND(ISNUMBER($AH$711),$B$677=1),$AH$711,HLOOKUP(INDIRECT(ADDRESS(2,COLUMN())),OFFSET($BN$2,0,0,ROW()-1,60),ROW()-1,FALSE))</f>
        <v>20.580752180000001</v>
      </c>
      <c r="AI37">
        <f ca="1">IF(AND(ISNUMBER($AI$711),$B$677=1),$AI$711,HLOOKUP(INDIRECT(ADDRESS(2,COLUMN())),OFFSET($BN$2,0,0,ROW()-1,60),ROW()-1,FALSE))</f>
        <v>20.681210490000002</v>
      </c>
      <c r="AJ37">
        <f ca="1">IF(AND(ISNUMBER($AJ$711),$B$677=1),$AJ$711,HLOOKUP(INDIRECT(ADDRESS(2,COLUMN())),OFFSET($BN$2,0,0,ROW()-1,60),ROW()-1,FALSE))</f>
        <v>20.651669299999998</v>
      </c>
      <c r="AK37">
        <f ca="1">IF(AND(ISNUMBER($AK$711),$B$677=1),$AK$711,HLOOKUP(INDIRECT(ADDRESS(2,COLUMN())),OFFSET($BN$2,0,0,ROW()-1,60),ROW()-1,FALSE))</f>
        <v>20.770247300000001</v>
      </c>
      <c r="AL37">
        <f ca="1">IF(AND(ISNUMBER($AL$711),$B$677=1),$AL$711,HLOOKUP(INDIRECT(ADDRESS(2,COLUMN())),OFFSET($BN$2,0,0,ROW()-1,60),ROW()-1,FALSE))</f>
        <v>23.04645811</v>
      </c>
      <c r="AM37">
        <f ca="1">IF(AND(ISNUMBER($AM$711),$B$677=1),$AM$711,HLOOKUP(INDIRECT(ADDRESS(2,COLUMN())),OFFSET($BN$2,0,0,ROW()-1,60),ROW()-1,FALSE))</f>
        <v>19.80276447</v>
      </c>
      <c r="AN37">
        <f ca="1">IF(AND(ISNUMBER($AN$711),$B$677=1),$AN$711,HLOOKUP(INDIRECT(ADDRESS(2,COLUMN())),OFFSET($BN$2,0,0,ROW()-1,60),ROW()-1,FALSE))</f>
        <v>20.395837199999999</v>
      </c>
      <c r="AO37">
        <f ca="1">IF(AND(ISNUMBER($AO$711),$B$677=1),$AO$711,HLOOKUP(INDIRECT(ADDRESS(2,COLUMN())),OFFSET($BN$2,0,0,ROW()-1,60),ROW()-1,FALSE))</f>
        <v>21.22595922</v>
      </c>
      <c r="AP37">
        <f ca="1">IF(AND(ISNUMBER($AP$711),$B$677=1),$AP$711,HLOOKUP(INDIRECT(ADDRESS(2,COLUMN())),OFFSET($BN$2,0,0,ROW()-1,60),ROW()-1,FALSE))</f>
        <v>34.073266609999997</v>
      </c>
      <c r="AQ37">
        <f ca="1">IF(AND(ISNUMBER($AQ$711),$B$677=1),$AQ$711,HLOOKUP(INDIRECT(ADDRESS(2,COLUMN())),OFFSET($BN$2,0,0,ROW()-1,60),ROW()-1,FALSE))</f>
        <v>46.578140959999999</v>
      </c>
      <c r="AR37">
        <f ca="1">IF(AND(ISNUMBER($AR$711),$B$677=1),$AR$711,HLOOKUP(INDIRECT(ADDRESS(2,COLUMN())),OFFSET($BN$2,0,0,ROW()-1,60),ROW()-1,FALSE))</f>
        <v>153.47985349999999</v>
      </c>
      <c r="AS37">
        <f ca="1">IF(AND(ISNUMBER($AS$711),$B$677=1),$AS$711,HLOOKUP(INDIRECT(ADDRESS(2,COLUMN())),OFFSET($BN$2,0,0,ROW()-1,60),ROW()-1,FALSE))</f>
        <v>272.61306530000002</v>
      </c>
      <c r="AT37">
        <f ca="1">IF(AND(ISNUMBER($AT$711),$B$677=1),$AT$711,HLOOKUP(INDIRECT(ADDRESS(2,COLUMN())),OFFSET($BN$2,0,0,ROW()-1,60),ROW()-1,FALSE))</f>
        <v>26.810401580000001</v>
      </c>
      <c r="AU37">
        <f ca="1">IF(AND(ISNUMBER($AU$711),$B$677=1),$AU$711,HLOOKUP(INDIRECT(ADDRESS(2,COLUMN())),OFFSET($BN$2,0,0,ROW()-1,60),ROW()-1,FALSE))</f>
        <v>16.303770579999998</v>
      </c>
      <c r="AV37">
        <f ca="1">IF(AND(ISNUMBER($AV$711),$B$677=1),$AV$711,HLOOKUP(INDIRECT(ADDRESS(2,COLUMN())),OFFSET($BN$2,0,0,ROW()-1,60),ROW()-1,FALSE))</f>
        <v>12.64412523</v>
      </c>
      <c r="AW37">
        <f ca="1">IF(AND(ISNUMBER($AW$711),$B$677=1),$AW$711,HLOOKUP(INDIRECT(ADDRESS(2,COLUMN())),OFFSET($BN$2,0,0,ROW()-1,60),ROW()-1,FALSE))</f>
        <v>13.81778145</v>
      </c>
      <c r="AX37">
        <f ca="1">IF(AND(ISNUMBER($AX$711),$B$677=1),$AX$711,HLOOKUP(INDIRECT(ADDRESS(2,COLUMN())),OFFSET($BN$2,0,0,ROW()-1,60),ROW()-1,FALSE))</f>
        <v>14.1323893</v>
      </c>
      <c r="AY37">
        <f ca="1">IF(AND(ISNUMBER($AY$711),$B$677=1),$AY$711,HLOOKUP(INDIRECT(ADDRESS(2,COLUMN())),OFFSET($BN$2,0,0,ROW()-1,60),ROW()-1,FALSE))</f>
        <v>17.810615550000001</v>
      </c>
      <c r="AZ37">
        <f ca="1">IF(AND(ISNUMBER($AZ$711),$B$677=1),$AZ$711,HLOOKUP(INDIRECT(ADDRESS(2,COLUMN())),OFFSET($BN$2,0,0,ROW()-1,60),ROW()-1,FALSE))</f>
        <v>18.659788259999999</v>
      </c>
      <c r="BA37">
        <f ca="1">IF(AND(ISNUMBER($BA$711),$B$677=1),$BA$711,HLOOKUP(INDIRECT(ADDRESS(2,COLUMN())),OFFSET($BN$2,0,0,ROW()-1,60),ROW()-1,FALSE))</f>
        <v>19.711424739999998</v>
      </c>
      <c r="BB37">
        <f ca="1">IF(AND(ISNUMBER($BB$711),$B$677=1),$BB$711,HLOOKUP(INDIRECT(ADDRESS(2,COLUMN())),OFFSET($BN$2,0,0,ROW()-1,60),ROW()-1,FALSE))</f>
        <v>18.05821139</v>
      </c>
      <c r="BC37">
        <f ca="1">IF(AND(ISNUMBER($BC$711),$B$677=1),$BC$711,HLOOKUP(INDIRECT(ADDRESS(2,COLUMN())),OFFSET($BN$2,0,0,ROW()-1,60),ROW()-1,FALSE))</f>
        <v>20.287160289999999</v>
      </c>
      <c r="BD37">
        <f ca="1">IF(AND(ISNUMBER($BD$711),$B$677=1),$BD$711,HLOOKUP(INDIRECT(ADDRESS(2,COLUMN())),OFFSET($BN$2,0,0,ROW()-1,60),ROW()-1,FALSE))</f>
        <v>19.136880139999999</v>
      </c>
      <c r="BE37">
        <f ca="1">IF(AND(ISNUMBER($BE$711),$B$677=1),$BE$711,HLOOKUP(INDIRECT(ADDRESS(2,COLUMN())),OFFSET($BN$2,0,0,ROW()-1,60),ROW()-1,FALSE))</f>
        <v>17.67839932</v>
      </c>
      <c r="BF37">
        <f ca="1">IF(AND(ISNUMBER($BF$711),$B$677=1),$BF$711,HLOOKUP(INDIRECT(ADDRESS(2,COLUMN())),OFFSET($BN$2,0,0,ROW()-1,60),ROW()-1,FALSE))</f>
        <v>21.50044235</v>
      </c>
      <c r="BG37">
        <f ca="1">IF(AND(ISNUMBER($BG$711),$B$677=1),$BG$711,HLOOKUP(INDIRECT(ADDRESS(2,COLUMN())),OFFSET($BN$2,0,0,ROW()-1,60),ROW()-1,FALSE))</f>
        <v>18.27513428</v>
      </c>
      <c r="BH37">
        <f ca="1">IF(AND(ISNUMBER($BH$711),$B$677=1),$BH$711,HLOOKUP(INDIRECT(ADDRESS(2,COLUMN())),OFFSET($BN$2,0,0,ROW()-1,60),ROW()-1,FALSE))</f>
        <v>17.825009640000001</v>
      </c>
      <c r="BI37">
        <f ca="1">IF(AND(ISNUMBER($BI$711),$B$677=1),$BI$711,HLOOKUP(INDIRECT(ADDRESS(2,COLUMN())),OFFSET($BN$2,0,0,ROW()-1,60),ROW()-1,FALSE))</f>
        <v>15.31890237</v>
      </c>
      <c r="BJ37">
        <f ca="1">IF(AND(ISNUMBER($BJ$711),$B$677=1),$BJ$711,HLOOKUP(INDIRECT(ADDRESS(2,COLUMN())),OFFSET($BN$2,0,0,ROW()-1,60),ROW()-1,FALSE))</f>
        <v>16.98231865</v>
      </c>
      <c r="BK37">
        <f ca="1">IF(AND(ISNUMBER($BK$711),$B$677=1),$BK$711,HLOOKUP(INDIRECT(ADDRESS(2,COLUMN())),OFFSET($BN$2,0,0,ROW()-1,60),ROW()-1,FALSE))</f>
        <v>20.761936909999999</v>
      </c>
      <c r="BL37">
        <f ca="1">IF(AND(ISNUMBER($BL$711),$B$677=1),$BL$711,HLOOKUP(INDIRECT(ADDRESS(2,COLUMN())),OFFSET($BN$2,0,0,ROW()-1,60),ROW()-1,FALSE))</f>
        <v>20.340245490000001</v>
      </c>
      <c r="BM37">
        <f ca="1">IF(AND(ISNUMBER($BM$711),$B$677=1),$BM$711,HLOOKUP(INDIRECT(ADDRESS(2,COLUMN())),OFFSET($BN$2,0,0,ROW()-1,60),ROW()-1,FALSE))</f>
        <v>21.564492000000001</v>
      </c>
      <c r="BN37">
        <f>11.09988358</f>
        <v>11.09988358</v>
      </c>
      <c r="BO37">
        <f>10.69453996</f>
        <v>10.69453996</v>
      </c>
      <c r="BP37">
        <f>11.62682674</f>
        <v>11.62682674</v>
      </c>
      <c r="BQ37">
        <f>11.43423167</f>
        <v>11.434231670000001</v>
      </c>
      <c r="BR37">
        <f>11.7209074</f>
        <v>11.7209074</v>
      </c>
      <c r="BS37">
        <f>15.10018257</f>
        <v>15.100182569999999</v>
      </c>
      <c r="BT37">
        <f>15.85578809</f>
        <v>15.855788090000001</v>
      </c>
      <c r="BU37">
        <f>12.5469333</f>
        <v>12.546933299999999</v>
      </c>
      <c r="BV37">
        <f>12.74911388</f>
        <v>12.749113879999999</v>
      </c>
      <c r="BW37">
        <f>12.28481419</f>
        <v>12.284814190000001</v>
      </c>
      <c r="BX37">
        <f>10.82007123</f>
        <v>10.82007123</v>
      </c>
      <c r="BY37">
        <f>10.59164747</f>
        <v>10.59164747</v>
      </c>
      <c r="BZ37">
        <f>13.06579764</f>
        <v>13.06579764</v>
      </c>
      <c r="CA37">
        <f>16.23773838</f>
        <v>16.23773838</v>
      </c>
      <c r="CB37">
        <f>16.42889188</f>
        <v>16.428891879999998</v>
      </c>
      <c r="CC37">
        <f>25.48065073</f>
        <v>25.480650730000001</v>
      </c>
      <c r="CD37">
        <f>20.9226225</f>
        <v>20.922622499999999</v>
      </c>
      <c r="CE37">
        <f>19.46732271</f>
        <v>19.467322710000001</v>
      </c>
      <c r="CF37">
        <f>18.57785273</f>
        <v>18.57785273</v>
      </c>
      <c r="CG37">
        <f>15.08725215</f>
        <v>15.087252149999999</v>
      </c>
      <c r="CH37">
        <f>14.05980899</f>
        <v>14.059808990000001</v>
      </c>
      <c r="CI37">
        <f>13.86070676</f>
        <v>13.860706759999999</v>
      </c>
      <c r="CJ37">
        <f>14.63687846</f>
        <v>14.63687846</v>
      </c>
      <c r="CK37">
        <f>15.46628796</f>
        <v>15.466287960000001</v>
      </c>
      <c r="CL37">
        <f>14.73133287</f>
        <v>14.731332869999999</v>
      </c>
      <c r="CM37">
        <f>20.38632226</f>
        <v>20.38632226</v>
      </c>
      <c r="CN37">
        <f>13.32562904</f>
        <v>13.325629040000001</v>
      </c>
      <c r="CO37">
        <f>15.25063889</f>
        <v>15.250638889999999</v>
      </c>
      <c r="CP37">
        <f>20.58075218</f>
        <v>20.580752180000001</v>
      </c>
      <c r="CQ37">
        <f>20.68121049</f>
        <v>20.681210490000002</v>
      </c>
      <c r="CR37">
        <f>20.6516693</f>
        <v>20.651669299999998</v>
      </c>
      <c r="CS37">
        <f>20.7702473</f>
        <v>20.770247300000001</v>
      </c>
      <c r="CT37">
        <f>23.04645811</f>
        <v>23.04645811</v>
      </c>
      <c r="CU37">
        <f>19.80276447</f>
        <v>19.80276447</v>
      </c>
      <c r="CV37">
        <f>20.3958372</f>
        <v>20.395837199999999</v>
      </c>
      <c r="CW37">
        <f>21.22595922</f>
        <v>21.22595922</v>
      </c>
      <c r="CX37">
        <f>34.07326661</f>
        <v>34.073266609999997</v>
      </c>
      <c r="CY37">
        <f>46.57814096</f>
        <v>46.578140959999999</v>
      </c>
      <c r="CZ37">
        <f>153.4798535</f>
        <v>153.47985349999999</v>
      </c>
      <c r="DA37">
        <f>272.6130653</f>
        <v>272.61306530000002</v>
      </c>
      <c r="DB37">
        <f>26.81040158</f>
        <v>26.810401580000001</v>
      </c>
      <c r="DC37">
        <f>16.30377058</f>
        <v>16.303770579999998</v>
      </c>
      <c r="DD37">
        <f>12.64412523</f>
        <v>12.64412523</v>
      </c>
      <c r="DE37">
        <f>13.81778145</f>
        <v>13.81778145</v>
      </c>
      <c r="DF37">
        <f>14.1323893</f>
        <v>14.1323893</v>
      </c>
      <c r="DG37">
        <f>17.81061555</f>
        <v>17.810615550000001</v>
      </c>
      <c r="DH37">
        <f>18.65978826</f>
        <v>18.659788259999999</v>
      </c>
      <c r="DI37">
        <f>19.71142474</f>
        <v>19.711424739999998</v>
      </c>
      <c r="DJ37">
        <f>18.05821139</f>
        <v>18.05821139</v>
      </c>
      <c r="DK37">
        <f>20.28716029</f>
        <v>20.287160289999999</v>
      </c>
      <c r="DL37">
        <f>19.13688014</f>
        <v>19.136880139999999</v>
      </c>
      <c r="DM37">
        <f>17.67839932</f>
        <v>17.67839932</v>
      </c>
      <c r="DN37">
        <f>21.50044235</f>
        <v>21.50044235</v>
      </c>
      <c r="DO37">
        <f>18.27513428</f>
        <v>18.27513428</v>
      </c>
      <c r="DP37">
        <f>17.82500964</f>
        <v>17.825009640000001</v>
      </c>
      <c r="DQ37">
        <f>15.31890237</f>
        <v>15.31890237</v>
      </c>
      <c r="DR37">
        <f>16.98231865</f>
        <v>16.98231865</v>
      </c>
      <c r="DS37">
        <f>20.76193691</f>
        <v>20.761936909999999</v>
      </c>
      <c r="DT37">
        <f>20.34024549</f>
        <v>20.340245490000001</v>
      </c>
      <c r="DU37">
        <f>21.564492</f>
        <v>21.564492000000001</v>
      </c>
    </row>
    <row r="38" spans="1:125" x14ac:dyDescent="0.25">
      <c r="A38" t="str">
        <f>"    Tata Motors Ltd"</f>
        <v xml:space="preserve">    Tata Motors Ltd</v>
      </c>
      <c r="B38" t="str">
        <f>"TTMT IN Equity"</f>
        <v>TTMT IN Equity</v>
      </c>
      <c r="C38" t="str">
        <f t="shared" si="0"/>
        <v>RR900</v>
      </c>
      <c r="D38" t="str">
        <f t="shared" si="1"/>
        <v>PE_RATIO</v>
      </c>
      <c r="E38" t="str">
        <f t="shared" si="2"/>
        <v>Dynamic</v>
      </c>
      <c r="F38" t="str">
        <f ca="1">IF(AND(ISNUMBER($F$712),$B$677=1),$F$712,HLOOKUP(INDIRECT(ADDRESS(2,COLUMN())),OFFSET($BN$2,0,0,ROW()-1,60),ROW()-1,FALSE))</f>
        <v/>
      </c>
      <c r="G38">
        <f ca="1">IF(AND(ISNUMBER($G$712),$B$677=1),$G$712,HLOOKUP(INDIRECT(ADDRESS(2,COLUMN())),OFFSET($BN$2,0,0,ROW()-1,60),ROW()-1,FALSE))</f>
        <v>161.17924529999999</v>
      </c>
      <c r="H38">
        <f ca="1">IF(AND(ISNUMBER($H$712),$B$677=1),$H$712,HLOOKUP(INDIRECT(ADDRESS(2,COLUMN())),OFFSET($BN$2,0,0,ROW()-1,60),ROW()-1,FALSE))</f>
        <v>211.03773580000001</v>
      </c>
      <c r="I38">
        <f ca="1">IF(AND(ISNUMBER($I$712),$B$677=1),$I$712,HLOOKUP(INDIRECT(ADDRESS(2,COLUMN())),OFFSET($BN$2,0,0,ROW()-1,60),ROW()-1,FALSE))</f>
        <v>23.51965066</v>
      </c>
      <c r="J38">
        <f ca="1">IF(AND(ISNUMBER($J$712),$B$677=1),$J$712,HLOOKUP(INDIRECT(ADDRESS(2,COLUMN())),OFFSET($BN$2,0,0,ROW()-1,60),ROW()-1,FALSE))</f>
        <v>12.375993940000001</v>
      </c>
      <c r="K38">
        <f ca="1">IF(AND(ISNUMBER($K$712),$B$677=1),$K$712,HLOOKUP(INDIRECT(ADDRESS(2,COLUMN())),OFFSET($BN$2,0,0,ROW()-1,60),ROW()-1,FALSE))</f>
        <v>13.162145689999999</v>
      </c>
      <c r="L38">
        <f ca="1">IF(AND(ISNUMBER($L$712),$B$677=1),$L$712,HLOOKUP(INDIRECT(ADDRESS(2,COLUMN())),OFFSET($BN$2,0,0,ROW()-1,60),ROW()-1,FALSE))</f>
        <v>13.582543980000001</v>
      </c>
      <c r="M38">
        <f ca="1">IF(AND(ISNUMBER($M$712),$B$677=1),$M$712,HLOOKUP(INDIRECT(ADDRESS(2,COLUMN())),OFFSET($BN$2,0,0,ROW()-1,60),ROW()-1,FALSE))</f>
        <v>17.526337120000001</v>
      </c>
      <c r="N38">
        <f ca="1">IF(AND(ISNUMBER($N$712),$B$677=1),$N$712,HLOOKUP(INDIRECT(ADDRESS(2,COLUMN())),OFFSET($BN$2,0,0,ROW()-1,60),ROW()-1,FALSE))</f>
        <v>21.281407040000001</v>
      </c>
      <c r="O38">
        <f ca="1">IF(AND(ISNUMBER($O$712),$B$677=1),$O$712,HLOOKUP(INDIRECT(ADDRESS(2,COLUMN())),OFFSET($BN$2,0,0,ROW()-1,60),ROW()-1,FALSE))</f>
        <v>19.281045750000001</v>
      </c>
      <c r="P38">
        <f ca="1">IF(AND(ISNUMBER($P$712),$B$677=1),$P$712,HLOOKUP(INDIRECT(ADDRESS(2,COLUMN())),OFFSET($BN$2,0,0,ROW()-1,60),ROW()-1,FALSE))</f>
        <v>16.281582950000001</v>
      </c>
      <c r="Q38">
        <f ca="1">IF(AND(ISNUMBER($Q$712),$B$677=1),$Q$712,HLOOKUP(INDIRECT(ADDRESS(2,COLUMN())),OFFSET($BN$2,0,0,ROW()-1,60),ROW()-1,FALSE))</f>
        <v>18.195324880000001</v>
      </c>
      <c r="R38">
        <f ca="1">IF(AND(ISNUMBER($R$712),$B$677=1),$R$712,HLOOKUP(INDIRECT(ADDRESS(2,COLUMN())),OFFSET($BN$2,0,0,ROW()-1,60),ROW()-1,FALSE))</f>
        <v>11.22857973</v>
      </c>
      <c r="S38">
        <f ca="1">IF(AND(ISNUMBER($S$712),$B$677=1),$S$712,HLOOKUP(INDIRECT(ADDRESS(2,COLUMN())),OFFSET($BN$2,0,0,ROW()-1,60),ROW()-1,FALSE))</f>
        <v>16.034137869999999</v>
      </c>
      <c r="T38">
        <f ca="1">IF(AND(ISNUMBER($T$712),$B$677=1),$T$712,HLOOKUP(INDIRECT(ADDRESS(2,COLUMN())),OFFSET($BN$2,0,0,ROW()-1,60),ROW()-1,FALSE))</f>
        <v>11.155826830000001</v>
      </c>
      <c r="U38">
        <f ca="1">IF(AND(ISNUMBER($U$712),$B$677=1),$U$712,HLOOKUP(INDIRECT(ADDRESS(2,COLUMN())),OFFSET($BN$2,0,0,ROW()-1,60),ROW()-1,FALSE))</f>
        <v>10.322666180000001</v>
      </c>
      <c r="V38">
        <f ca="1">IF(AND(ISNUMBER($V$712),$B$677=1),$V$712,HLOOKUP(INDIRECT(ADDRESS(2,COLUMN())),OFFSET($BN$2,0,0,ROW()-1,60),ROW()-1,FALSE))</f>
        <v>12.69497</v>
      </c>
      <c r="W38">
        <f ca="1">IF(AND(ISNUMBER($W$712),$B$677=1),$W$712,HLOOKUP(INDIRECT(ADDRESS(2,COLUMN())),OFFSET($BN$2,0,0,ROW()-1,60),ROW()-1,FALSE))</f>
        <v>9.8636544589999993</v>
      </c>
      <c r="X38">
        <f ca="1">IF(AND(ISNUMBER($X$712),$B$677=1),$X$712,HLOOKUP(INDIRECT(ADDRESS(2,COLUMN())),OFFSET($BN$2,0,0,ROW()-1,60),ROW()-1,FALSE))</f>
        <v>9.29219097</v>
      </c>
      <c r="Y38">
        <f ca="1">IF(AND(ISNUMBER($Y$712),$B$677=1),$Y$712,HLOOKUP(INDIRECT(ADDRESS(2,COLUMN())),OFFSET($BN$2,0,0,ROW()-1,60),ROW()-1,FALSE))</f>
        <v>7.8675665820000003</v>
      </c>
      <c r="Z38">
        <f ca="1">IF(AND(ISNUMBER($Z$712),$B$677=1),$Z$712,HLOOKUP(INDIRECT(ADDRESS(2,COLUMN())),OFFSET($BN$2,0,0,ROW()-1,60),ROW()-1,FALSE))</f>
        <v>9.1770257829999995</v>
      </c>
      <c r="AA38">
        <f ca="1">IF(AND(ISNUMBER($AA$712),$B$677=1),$AA$712,HLOOKUP(INDIRECT(ADDRESS(2,COLUMN())),OFFSET($BN$2,0,0,ROW()-1,60),ROW()-1,FALSE))</f>
        <v>8.6270914510000001</v>
      </c>
      <c r="AB38">
        <f ca="1">IF(AND(ISNUMBER($AB$712),$B$677=1),$AB$712,HLOOKUP(INDIRECT(ADDRESS(2,COLUMN())),OFFSET($BN$2,0,0,ROW()-1,60),ROW()-1,FALSE))</f>
        <v>9.8343685300000008</v>
      </c>
      <c r="AC38">
        <f ca="1">IF(AND(ISNUMBER($AC$712),$B$677=1),$AC$712,HLOOKUP(INDIRECT(ADDRESS(2,COLUMN())),OFFSET($BN$2,0,0,ROW()-1,60),ROW()-1,FALSE))</f>
        <v>9.5974070279999992</v>
      </c>
      <c r="AD38">
        <f ca="1">IF(AND(ISNUMBER($AD$712),$B$677=1),$AD$712,HLOOKUP(INDIRECT(ADDRESS(2,COLUMN())),OFFSET($BN$2,0,0,ROW()-1,60),ROW()-1,FALSE))</f>
        <v>8.6906683890000007</v>
      </c>
      <c r="AE38">
        <f ca="1">IF(AND(ISNUMBER($AE$712),$B$677=1),$AE$712,HLOOKUP(INDIRECT(ADDRESS(2,COLUMN())),OFFSET($BN$2,0,0,ROW()-1,60),ROW()-1,FALSE))</f>
        <v>8.1738557820000004</v>
      </c>
      <c r="AF38">
        <f ca="1">IF(AND(ISNUMBER($AF$712),$B$677=1),$AF$712,HLOOKUP(INDIRECT(ADDRESS(2,COLUMN())),OFFSET($BN$2,0,0,ROW()-1,60),ROW()-1,FALSE))</f>
        <v>6.0973105700000003</v>
      </c>
      <c r="AG38">
        <f ca="1">IF(AND(ISNUMBER($AG$712),$B$677=1),$AG$712,HLOOKUP(INDIRECT(ADDRESS(2,COLUMN())),OFFSET($BN$2,0,0,ROW()-1,60),ROW()-1,FALSE))</f>
        <v>5.6006003419999999</v>
      </c>
      <c r="AH38">
        <f ca="1">IF(AND(ISNUMBER($AH$712),$B$677=1),$AH$712,HLOOKUP(INDIRECT(ADDRESS(2,COLUMN())),OFFSET($BN$2,0,0,ROW()-1,60),ROW()-1,FALSE))</f>
        <v>6.4709889609999998</v>
      </c>
      <c r="AI38">
        <f ca="1">IF(AND(ISNUMBER($AI$712),$B$677=1),$AI$712,HLOOKUP(INDIRECT(ADDRESS(2,COLUMN())),OFFSET($BN$2,0,0,ROW()-1,60),ROW()-1,FALSE))</f>
        <v>5.7133383630000001</v>
      </c>
      <c r="AJ38">
        <f ca="1">IF(AND(ISNUMBER($AJ$712),$B$677=1),$AJ$712,HLOOKUP(INDIRECT(ADDRESS(2,COLUMN())),OFFSET($BN$2,0,0,ROW()-1,60),ROW()-1,FALSE))</f>
        <v>5.4878226799999998</v>
      </c>
      <c r="AK38">
        <f ca="1">IF(AND(ISNUMBER($AK$712),$B$677=1),$AK$712,HLOOKUP(INDIRECT(ADDRESS(2,COLUMN())),OFFSET($BN$2,0,0,ROW()-1,60),ROW()-1,FALSE))</f>
        <v>6.5585482099999997</v>
      </c>
      <c r="AL38">
        <f ca="1">IF(AND(ISNUMBER($AL$712),$B$677=1),$AL$712,HLOOKUP(INDIRECT(ADDRESS(2,COLUMN())),OFFSET($BN$2,0,0,ROW()-1,60),ROW()-1,FALSE))</f>
        <v>8.0560317510000008</v>
      </c>
      <c r="AM38">
        <f ca="1">IF(AND(ISNUMBER($AM$712),$B$677=1),$AM$712,HLOOKUP(INDIRECT(ADDRESS(2,COLUMN())),OFFSET($BN$2,0,0,ROW()-1,60),ROW()-1,FALSE))</f>
        <v>8.0517987009999992</v>
      </c>
      <c r="AN38">
        <f ca="1">IF(AND(ISNUMBER($AN$712),$B$677=1),$AN$712,HLOOKUP(INDIRECT(ADDRESS(2,COLUMN())),OFFSET($BN$2,0,0,ROW()-1,60),ROW()-1,FALSE))</f>
        <v>8.1279544470000005</v>
      </c>
      <c r="AO38">
        <f ca="1">IF(AND(ISNUMBER($AO$712),$B$677=1),$AO$712,HLOOKUP(INDIRECT(ADDRESS(2,COLUMN())),OFFSET($BN$2,0,0,ROW()-1,60),ROW()-1,FALSE))</f>
        <v>8.0630424900000008</v>
      </c>
      <c r="AP38">
        <f ca="1">IF(AND(ISNUMBER($AP$712),$B$677=1),$AP$712,HLOOKUP(INDIRECT(ADDRESS(2,COLUMN())),OFFSET($BN$2,0,0,ROW()-1,60),ROW()-1,FALSE))</f>
        <v>13.688843889999999</v>
      </c>
      <c r="AQ38">
        <f ca="1">IF(AND(ISNUMBER($AQ$712),$B$677=1),$AQ$712,HLOOKUP(INDIRECT(ADDRESS(2,COLUMN())),OFFSET($BN$2,0,0,ROW()-1,60),ROW()-1,FALSE))</f>
        <v>65.352990779999999</v>
      </c>
      <c r="AR38" t="str">
        <f ca="1">IF(AND(ISNUMBER($AR$712),$B$677=1),$AR$712,HLOOKUP(INDIRECT(ADDRESS(2,COLUMN())),OFFSET($BN$2,0,0,ROW()-1,60),ROW()-1,FALSE))</f>
        <v/>
      </c>
      <c r="AS38" t="str">
        <f ca="1">IF(AND(ISNUMBER($AS$712),$B$677=1),$AS$712,HLOOKUP(INDIRECT(ADDRESS(2,COLUMN())),OFFSET($BN$2,0,0,ROW()-1,60),ROW()-1,FALSE))</f>
        <v/>
      </c>
      <c r="AT38" t="str">
        <f ca="1">IF(AND(ISNUMBER($AT$712),$B$677=1),$AT$712,HLOOKUP(INDIRECT(ADDRESS(2,COLUMN())),OFFSET($BN$2,0,0,ROW()-1,60),ROW()-1,FALSE))</f>
        <v/>
      </c>
      <c r="AU38" t="str">
        <f ca="1">IF(AND(ISNUMBER($AU$712),$B$677=1),$AU$712,HLOOKUP(INDIRECT(ADDRESS(2,COLUMN())),OFFSET($BN$2,0,0,ROW()-1,60),ROW()-1,FALSE))</f>
        <v/>
      </c>
      <c r="AV38" t="str">
        <f ca="1">IF(AND(ISNUMBER($AV$712),$B$677=1),$AV$712,HLOOKUP(INDIRECT(ADDRESS(2,COLUMN())),OFFSET($BN$2,0,0,ROW()-1,60),ROW()-1,FALSE))</f>
        <v/>
      </c>
      <c r="AW38" t="str">
        <f ca="1">IF(AND(ISNUMBER($AW$712),$B$677=1),$AW$712,HLOOKUP(INDIRECT(ADDRESS(2,COLUMN())),OFFSET($BN$2,0,0,ROW()-1,60),ROW()-1,FALSE))</f>
        <v/>
      </c>
      <c r="AX38" t="str">
        <f ca="1">IF(AND(ISNUMBER($AX$712),$B$677=1),$AX$712,HLOOKUP(INDIRECT(ADDRESS(2,COLUMN())),OFFSET($BN$2,0,0,ROW()-1,60),ROW()-1,FALSE))</f>
        <v/>
      </c>
      <c r="AY38" t="str">
        <f ca="1">IF(AND(ISNUMBER($AY$712),$B$677=1),$AY$712,HLOOKUP(INDIRECT(ADDRESS(2,COLUMN())),OFFSET($BN$2,0,0,ROW()-1,60),ROW()-1,FALSE))</f>
        <v/>
      </c>
      <c r="AZ38" t="str">
        <f ca="1">IF(AND(ISNUMBER($AZ$712),$B$677=1),$AZ$712,HLOOKUP(INDIRECT(ADDRESS(2,COLUMN())),OFFSET($BN$2,0,0,ROW()-1,60),ROW()-1,FALSE))</f>
        <v/>
      </c>
      <c r="BA38" t="str">
        <f ca="1">IF(AND(ISNUMBER($BA$712),$B$677=1),$BA$712,HLOOKUP(INDIRECT(ADDRESS(2,COLUMN())),OFFSET($BN$2,0,0,ROW()-1,60),ROW()-1,FALSE))</f>
        <v/>
      </c>
      <c r="BB38" t="str">
        <f ca="1">IF(AND(ISNUMBER($BB$712),$B$677=1),$BB$712,HLOOKUP(INDIRECT(ADDRESS(2,COLUMN())),OFFSET($BN$2,0,0,ROW()-1,60),ROW()-1,FALSE))</f>
        <v/>
      </c>
      <c r="BC38" t="str">
        <f ca="1">IF(AND(ISNUMBER($BC$712),$B$677=1),$BC$712,HLOOKUP(INDIRECT(ADDRESS(2,COLUMN())),OFFSET($BN$2,0,0,ROW()-1,60),ROW()-1,FALSE))</f>
        <v/>
      </c>
      <c r="BD38" t="str">
        <f ca="1">IF(AND(ISNUMBER($BD$712),$B$677=1),$BD$712,HLOOKUP(INDIRECT(ADDRESS(2,COLUMN())),OFFSET($BN$2,0,0,ROW()-1,60),ROW()-1,FALSE))</f>
        <v/>
      </c>
      <c r="BE38" t="str">
        <f ca="1">IF(AND(ISNUMBER($BE$712),$B$677=1),$BE$712,HLOOKUP(INDIRECT(ADDRESS(2,COLUMN())),OFFSET($BN$2,0,0,ROW()-1,60),ROW()-1,FALSE))</f>
        <v/>
      </c>
      <c r="BF38" t="str">
        <f ca="1">IF(AND(ISNUMBER($BF$712),$B$677=1),$BF$712,HLOOKUP(INDIRECT(ADDRESS(2,COLUMN())),OFFSET($BN$2,0,0,ROW()-1,60),ROW()-1,FALSE))</f>
        <v/>
      </c>
      <c r="BG38" t="str">
        <f ca="1">IF(AND(ISNUMBER($BG$712),$B$677=1),$BG$712,HLOOKUP(INDIRECT(ADDRESS(2,COLUMN())),OFFSET($BN$2,0,0,ROW()-1,60),ROW()-1,FALSE))</f>
        <v/>
      </c>
      <c r="BH38" t="str">
        <f ca="1">IF(AND(ISNUMBER($BH$712),$B$677=1),$BH$712,HLOOKUP(INDIRECT(ADDRESS(2,COLUMN())),OFFSET($BN$2,0,0,ROW()-1,60),ROW()-1,FALSE))</f>
        <v/>
      </c>
      <c r="BI38" t="str">
        <f ca="1">IF(AND(ISNUMBER($BI$712),$B$677=1),$BI$712,HLOOKUP(INDIRECT(ADDRESS(2,COLUMN())),OFFSET($BN$2,0,0,ROW()-1,60),ROW()-1,FALSE))</f>
        <v/>
      </c>
      <c r="BJ38" t="str">
        <f ca="1">IF(AND(ISNUMBER($BJ$712),$B$677=1),$BJ$712,HLOOKUP(INDIRECT(ADDRESS(2,COLUMN())),OFFSET($BN$2,0,0,ROW()-1,60),ROW()-1,FALSE))</f>
        <v/>
      </c>
      <c r="BK38" t="str">
        <f ca="1">IF(AND(ISNUMBER($BK$712),$B$677=1),$BK$712,HLOOKUP(INDIRECT(ADDRESS(2,COLUMN())),OFFSET($BN$2,0,0,ROW()-1,60),ROW()-1,FALSE))</f>
        <v/>
      </c>
      <c r="BL38" t="str">
        <f ca="1">IF(AND(ISNUMBER($BL$712),$B$677=1),$BL$712,HLOOKUP(INDIRECT(ADDRESS(2,COLUMN())),OFFSET($BN$2,0,0,ROW()-1,60),ROW()-1,FALSE))</f>
        <v/>
      </c>
      <c r="BM38" t="str">
        <f ca="1">IF(AND(ISNUMBER($BM$712),$B$677=1),$BM$712,HLOOKUP(INDIRECT(ADDRESS(2,COLUMN())),OFFSET($BN$2,0,0,ROW()-1,60),ROW()-1,FALSE))</f>
        <v/>
      </c>
      <c r="BN38" t="str">
        <f>""</f>
        <v/>
      </c>
      <c r="BO38">
        <f>161.1792453</f>
        <v>161.17924529999999</v>
      </c>
      <c r="BP38">
        <f>211.0377358</f>
        <v>211.03773580000001</v>
      </c>
      <c r="BQ38">
        <f>23.51965066</f>
        <v>23.51965066</v>
      </c>
      <c r="BR38">
        <f>12.37599394</f>
        <v>12.375993940000001</v>
      </c>
      <c r="BS38">
        <f>13.16214569</f>
        <v>13.162145689999999</v>
      </c>
      <c r="BT38">
        <f>13.58254398</f>
        <v>13.582543980000001</v>
      </c>
      <c r="BU38">
        <f>17.52633712</f>
        <v>17.526337120000001</v>
      </c>
      <c r="BV38">
        <f>21.28140704</f>
        <v>21.281407040000001</v>
      </c>
      <c r="BW38">
        <f>19.28104575</f>
        <v>19.281045750000001</v>
      </c>
      <c r="BX38">
        <f>16.28158295</f>
        <v>16.281582950000001</v>
      </c>
      <c r="BY38">
        <f>18.19532488</f>
        <v>18.195324880000001</v>
      </c>
      <c r="BZ38">
        <f>11.22857973</f>
        <v>11.22857973</v>
      </c>
      <c r="CA38">
        <f>16.03413787</f>
        <v>16.034137869999999</v>
      </c>
      <c r="CB38">
        <f>11.15582683</f>
        <v>11.155826830000001</v>
      </c>
      <c r="CC38">
        <f>10.32266618</f>
        <v>10.322666180000001</v>
      </c>
      <c r="CD38">
        <f>12.69497</f>
        <v>12.69497</v>
      </c>
      <c r="CE38">
        <f>9.863654459</f>
        <v>9.8636544589999993</v>
      </c>
      <c r="CF38">
        <f>9.29219097</f>
        <v>9.29219097</v>
      </c>
      <c r="CG38">
        <f>7.867566582</f>
        <v>7.8675665820000003</v>
      </c>
      <c r="CH38">
        <f>9.177025783</f>
        <v>9.1770257829999995</v>
      </c>
      <c r="CI38">
        <f>8.627091451</f>
        <v>8.6270914510000001</v>
      </c>
      <c r="CJ38">
        <f>9.83436853</f>
        <v>9.8343685300000008</v>
      </c>
      <c r="CK38">
        <f>9.597407028</f>
        <v>9.5974070279999992</v>
      </c>
      <c r="CL38">
        <f>8.690668389</f>
        <v>8.6906683890000007</v>
      </c>
      <c r="CM38">
        <f>8.173855782</f>
        <v>8.1738557820000004</v>
      </c>
      <c r="CN38">
        <f>6.09731057</f>
        <v>6.0973105700000003</v>
      </c>
      <c r="CO38">
        <f>5.600600342</f>
        <v>5.6006003419999999</v>
      </c>
      <c r="CP38">
        <f>6.470988961</f>
        <v>6.4709889609999998</v>
      </c>
      <c r="CQ38">
        <f>5.713338363</f>
        <v>5.7133383630000001</v>
      </c>
      <c r="CR38">
        <f>5.48782268</f>
        <v>5.4878226799999998</v>
      </c>
      <c r="CS38">
        <f>6.55854821</f>
        <v>6.5585482099999997</v>
      </c>
      <c r="CT38">
        <f>8.056031751</f>
        <v>8.0560317510000008</v>
      </c>
      <c r="CU38">
        <f>8.051798701</f>
        <v>8.0517987009999992</v>
      </c>
      <c r="CV38">
        <f>8.127954447</f>
        <v>8.1279544470000005</v>
      </c>
      <c r="CW38">
        <f>8.06304249</f>
        <v>8.0630424900000008</v>
      </c>
      <c r="CX38">
        <f>13.68884389</f>
        <v>13.688843889999999</v>
      </c>
      <c r="CY38">
        <f>65.35299078</f>
        <v>65.352990779999999</v>
      </c>
      <c r="CZ38" t="str">
        <f>""</f>
        <v/>
      </c>
      <c r="DA38" t="str">
        <f>""</f>
        <v/>
      </c>
      <c r="DB38" t="str">
        <f>""</f>
        <v/>
      </c>
      <c r="DC38" t="str">
        <f>""</f>
        <v/>
      </c>
      <c r="DD38" t="str">
        <f>""</f>
        <v/>
      </c>
      <c r="DE38" t="str">
        <f>""</f>
        <v/>
      </c>
      <c r="DF38" t="str">
        <f>""</f>
        <v/>
      </c>
      <c r="DG38" t="str">
        <f>""</f>
        <v/>
      </c>
      <c r="DH38" t="str">
        <f>""</f>
        <v/>
      </c>
      <c r="DI38" t="str">
        <f>""</f>
        <v/>
      </c>
      <c r="DJ38" t="str">
        <f>""</f>
        <v/>
      </c>
      <c r="DK38" t="str">
        <f>""</f>
        <v/>
      </c>
      <c r="DL38" t="str">
        <f>""</f>
        <v/>
      </c>
      <c r="DM38" t="str">
        <f>""</f>
        <v/>
      </c>
      <c r="DN38" t="str">
        <f>""</f>
        <v/>
      </c>
      <c r="DO38" t="str">
        <f>""</f>
        <v/>
      </c>
      <c r="DP38" t="str">
        <f>""</f>
        <v/>
      </c>
      <c r="DQ38" t="str">
        <f>""</f>
        <v/>
      </c>
      <c r="DR38" t="str">
        <f>""</f>
        <v/>
      </c>
      <c r="DS38" t="str">
        <f>""</f>
        <v/>
      </c>
      <c r="DT38" t="str">
        <f>""</f>
        <v/>
      </c>
      <c r="DU38" t="str">
        <f>""</f>
        <v/>
      </c>
    </row>
    <row r="39" spans="1:125" x14ac:dyDescent="0.25">
      <c r="A39" t="str">
        <f>"    Tesla Inc"</f>
        <v xml:space="preserve">    Tesla Inc</v>
      </c>
      <c r="B39" t="str">
        <f>"TSLA US Equity"</f>
        <v>TSLA US Equity</v>
      </c>
      <c r="C39" t="str">
        <f t="shared" si="0"/>
        <v>RR900</v>
      </c>
      <c r="D39" t="str">
        <f t="shared" si="1"/>
        <v>PE_RATIO</v>
      </c>
      <c r="E39" t="str">
        <f t="shared" si="2"/>
        <v>Dynamic</v>
      </c>
      <c r="F39" t="str">
        <f ca="1">IF(AND(ISNUMBER($F$713),$B$677=1),$F$713,HLOOKUP(INDIRECT(ADDRESS(2,COLUMN())),OFFSET($BN$2,0,0,ROW()-1,60),ROW()-1,FALSE))</f>
        <v/>
      </c>
      <c r="G39" t="str">
        <f ca="1">IF(AND(ISNUMBER($G$713),$B$677=1),$G$713,HLOOKUP(INDIRECT(ADDRESS(2,COLUMN())),OFFSET($BN$2,0,0,ROW()-1,60),ROW()-1,FALSE))</f>
        <v/>
      </c>
      <c r="H39" t="str">
        <f ca="1">IF(AND(ISNUMBER($H$713),$B$677=1),$H$713,HLOOKUP(INDIRECT(ADDRESS(2,COLUMN())),OFFSET($BN$2,0,0,ROW()-1,60),ROW()-1,FALSE))</f>
        <v/>
      </c>
      <c r="I39" t="str">
        <f ca="1">IF(AND(ISNUMBER($I$713),$B$677=1),$I$713,HLOOKUP(INDIRECT(ADDRESS(2,COLUMN())),OFFSET($BN$2,0,0,ROW()-1,60),ROW()-1,FALSE))</f>
        <v/>
      </c>
      <c r="J39" t="str">
        <f ca="1">IF(AND(ISNUMBER($J$713),$B$677=1),$J$713,HLOOKUP(INDIRECT(ADDRESS(2,COLUMN())),OFFSET($BN$2,0,0,ROW()-1,60),ROW()-1,FALSE))</f>
        <v/>
      </c>
      <c r="K39" t="str">
        <f ca="1">IF(AND(ISNUMBER($K$713),$B$677=1),$K$713,HLOOKUP(INDIRECT(ADDRESS(2,COLUMN())),OFFSET($BN$2,0,0,ROW()-1,60),ROW()-1,FALSE))</f>
        <v/>
      </c>
      <c r="L39" t="str">
        <f ca="1">IF(AND(ISNUMBER($L$713),$B$677=1),$L$713,HLOOKUP(INDIRECT(ADDRESS(2,COLUMN())),OFFSET($BN$2,0,0,ROW()-1,60),ROW()-1,FALSE))</f>
        <v/>
      </c>
      <c r="M39" t="str">
        <f ca="1">IF(AND(ISNUMBER($M$713),$B$677=1),$M$713,HLOOKUP(INDIRECT(ADDRESS(2,COLUMN())),OFFSET($BN$2,0,0,ROW()-1,60),ROW()-1,FALSE))</f>
        <v/>
      </c>
      <c r="N39" t="str">
        <f ca="1">IF(AND(ISNUMBER($N$713),$B$677=1),$N$713,HLOOKUP(INDIRECT(ADDRESS(2,COLUMN())),OFFSET($BN$2,0,0,ROW()-1,60),ROW()-1,FALSE))</f>
        <v/>
      </c>
      <c r="O39" t="str">
        <f ca="1">IF(AND(ISNUMBER($O$713),$B$677=1),$O$713,HLOOKUP(INDIRECT(ADDRESS(2,COLUMN())),OFFSET($BN$2,0,0,ROW()-1,60),ROW()-1,FALSE))</f>
        <v/>
      </c>
      <c r="P39" t="str">
        <f ca="1">IF(AND(ISNUMBER($P$713),$B$677=1),$P$713,HLOOKUP(INDIRECT(ADDRESS(2,COLUMN())),OFFSET($BN$2,0,0,ROW()-1,60),ROW()-1,FALSE))</f>
        <v/>
      </c>
      <c r="Q39" t="str">
        <f ca="1">IF(AND(ISNUMBER($Q$713),$B$677=1),$Q$713,HLOOKUP(INDIRECT(ADDRESS(2,COLUMN())),OFFSET($BN$2,0,0,ROW()-1,60),ROW()-1,FALSE))</f>
        <v/>
      </c>
      <c r="R39" t="str">
        <f ca="1">IF(AND(ISNUMBER($R$713),$B$677=1),$R$713,HLOOKUP(INDIRECT(ADDRESS(2,COLUMN())),OFFSET($BN$2,0,0,ROW()-1,60),ROW()-1,FALSE))</f>
        <v/>
      </c>
      <c r="S39" t="str">
        <f ca="1">IF(AND(ISNUMBER($S$713),$B$677=1),$S$713,HLOOKUP(INDIRECT(ADDRESS(2,COLUMN())),OFFSET($BN$2,0,0,ROW()-1,60),ROW()-1,FALSE))</f>
        <v/>
      </c>
      <c r="T39" t="str">
        <f ca="1">IF(AND(ISNUMBER($T$713),$B$677=1),$T$713,HLOOKUP(INDIRECT(ADDRESS(2,COLUMN())),OFFSET($BN$2,0,0,ROW()-1,60),ROW()-1,FALSE))</f>
        <v/>
      </c>
      <c r="U39" t="str">
        <f ca="1">IF(AND(ISNUMBER($U$713),$B$677=1),$U$713,HLOOKUP(INDIRECT(ADDRESS(2,COLUMN())),OFFSET($BN$2,0,0,ROW()-1,60),ROW()-1,FALSE))</f>
        <v/>
      </c>
      <c r="V39" t="str">
        <f ca="1">IF(AND(ISNUMBER($V$713),$B$677=1),$V$713,HLOOKUP(INDIRECT(ADDRESS(2,COLUMN())),OFFSET($BN$2,0,0,ROW()-1,60),ROW()-1,FALSE))</f>
        <v/>
      </c>
      <c r="W39" t="str">
        <f ca="1">IF(AND(ISNUMBER($W$713),$B$677=1),$W$713,HLOOKUP(INDIRECT(ADDRESS(2,COLUMN())),OFFSET($BN$2,0,0,ROW()-1,60),ROW()-1,FALSE))</f>
        <v/>
      </c>
      <c r="X39" t="str">
        <f ca="1">IF(AND(ISNUMBER($X$713),$B$677=1),$X$713,HLOOKUP(INDIRECT(ADDRESS(2,COLUMN())),OFFSET($BN$2,0,0,ROW()-1,60),ROW()-1,FALSE))</f>
        <v/>
      </c>
      <c r="Y39" t="str">
        <f ca="1">IF(AND(ISNUMBER($Y$713),$B$677=1),$Y$713,HLOOKUP(INDIRECT(ADDRESS(2,COLUMN())),OFFSET($BN$2,0,0,ROW()-1,60),ROW()-1,FALSE))</f>
        <v/>
      </c>
      <c r="Z39" t="str">
        <f ca="1">IF(AND(ISNUMBER($Z$713),$B$677=1),$Z$713,HLOOKUP(INDIRECT(ADDRESS(2,COLUMN())),OFFSET($BN$2,0,0,ROW()-1,60),ROW()-1,FALSE))</f>
        <v/>
      </c>
      <c r="AA39" t="str">
        <f ca="1">IF(AND(ISNUMBER($AA$713),$B$677=1),$AA$713,HLOOKUP(INDIRECT(ADDRESS(2,COLUMN())),OFFSET($BN$2,0,0,ROW()-1,60),ROW()-1,FALSE))</f>
        <v/>
      </c>
      <c r="AB39" t="str">
        <f ca="1">IF(AND(ISNUMBER($AB$713),$B$677=1),$AB$713,HLOOKUP(INDIRECT(ADDRESS(2,COLUMN())),OFFSET($BN$2,0,0,ROW()-1,60),ROW()-1,FALSE))</f>
        <v/>
      </c>
      <c r="AC39" t="str">
        <f ca="1">IF(AND(ISNUMBER($AC$713),$B$677=1),$AC$713,HLOOKUP(INDIRECT(ADDRESS(2,COLUMN())),OFFSET($BN$2,0,0,ROW()-1,60),ROW()-1,FALSE))</f>
        <v/>
      </c>
      <c r="AD39" t="str">
        <f ca="1">IF(AND(ISNUMBER($AD$713),$B$677=1),$AD$713,HLOOKUP(INDIRECT(ADDRESS(2,COLUMN())),OFFSET($BN$2,0,0,ROW()-1,60),ROW()-1,FALSE))</f>
        <v/>
      </c>
      <c r="AE39" t="str">
        <f ca="1">IF(AND(ISNUMBER($AE$713),$B$677=1),$AE$713,HLOOKUP(INDIRECT(ADDRESS(2,COLUMN())),OFFSET($BN$2,0,0,ROW()-1,60),ROW()-1,FALSE))</f>
        <v/>
      </c>
      <c r="AF39" t="str">
        <f ca="1">IF(AND(ISNUMBER($AF$713),$B$677=1),$AF$713,HLOOKUP(INDIRECT(ADDRESS(2,COLUMN())),OFFSET($BN$2,0,0,ROW()-1,60),ROW()-1,FALSE))</f>
        <v/>
      </c>
      <c r="AG39" t="str">
        <f ca="1">IF(AND(ISNUMBER($AG$713),$B$677=1),$AG$713,HLOOKUP(INDIRECT(ADDRESS(2,COLUMN())),OFFSET($BN$2,0,0,ROW()-1,60),ROW()-1,FALSE))</f>
        <v/>
      </c>
      <c r="AH39" t="str">
        <f ca="1">IF(AND(ISNUMBER($AH$713),$B$677=1),$AH$713,HLOOKUP(INDIRECT(ADDRESS(2,COLUMN())),OFFSET($BN$2,0,0,ROW()-1,60),ROW()-1,FALSE))</f>
        <v/>
      </c>
      <c r="AI39" t="str">
        <f ca="1">IF(AND(ISNUMBER($AI$713),$B$677=1),$AI$713,HLOOKUP(INDIRECT(ADDRESS(2,COLUMN())),OFFSET($BN$2,0,0,ROW()-1,60),ROW()-1,FALSE))</f>
        <v/>
      </c>
      <c r="AJ39" t="str">
        <f ca="1">IF(AND(ISNUMBER($AJ$713),$B$677=1),$AJ$713,HLOOKUP(INDIRECT(ADDRESS(2,COLUMN())),OFFSET($BN$2,0,0,ROW()-1,60),ROW()-1,FALSE))</f>
        <v/>
      </c>
      <c r="AK39" t="str">
        <f ca="1">IF(AND(ISNUMBER($AK$713),$B$677=1),$AK$713,HLOOKUP(INDIRECT(ADDRESS(2,COLUMN())),OFFSET($BN$2,0,0,ROW()-1,60),ROW()-1,FALSE))</f>
        <v/>
      </c>
      <c r="AL39" t="str">
        <f ca="1">IF(AND(ISNUMBER($AL$713),$B$677=1),$AL$713,HLOOKUP(INDIRECT(ADDRESS(2,COLUMN())),OFFSET($BN$2,0,0,ROW()-1,60),ROW()-1,FALSE))</f>
        <v/>
      </c>
      <c r="AM39" t="str">
        <f ca="1">IF(AND(ISNUMBER($AM$713),$B$677=1),$AM$713,HLOOKUP(INDIRECT(ADDRESS(2,COLUMN())),OFFSET($BN$2,0,0,ROW()-1,60),ROW()-1,FALSE))</f>
        <v/>
      </c>
      <c r="AN39" t="str">
        <f ca="1">IF(AND(ISNUMBER($AN$713),$B$677=1),$AN$713,HLOOKUP(INDIRECT(ADDRESS(2,COLUMN())),OFFSET($BN$2,0,0,ROW()-1,60),ROW()-1,FALSE))</f>
        <v/>
      </c>
      <c r="AO39" t="str">
        <f ca="1">IF(AND(ISNUMBER($AO$713),$B$677=1),$AO$713,HLOOKUP(INDIRECT(ADDRESS(2,COLUMN())),OFFSET($BN$2,0,0,ROW()-1,60),ROW()-1,FALSE))</f>
        <v/>
      </c>
      <c r="AP39" t="str">
        <f ca="1">IF(AND(ISNUMBER($AP$713),$B$677=1),$AP$713,HLOOKUP(INDIRECT(ADDRESS(2,COLUMN())),OFFSET($BN$2,0,0,ROW()-1,60),ROW()-1,FALSE))</f>
        <v/>
      </c>
      <c r="AQ39" t="str">
        <f ca="1">IF(AND(ISNUMBER($AQ$713),$B$677=1),$AQ$713,HLOOKUP(INDIRECT(ADDRESS(2,COLUMN())),OFFSET($BN$2,0,0,ROW()-1,60),ROW()-1,FALSE))</f>
        <v/>
      </c>
      <c r="AR39" t="str">
        <f ca="1">IF(AND(ISNUMBER($AR$713),$B$677=1),$AR$713,HLOOKUP(INDIRECT(ADDRESS(2,COLUMN())),OFFSET($BN$2,0,0,ROW()-1,60),ROW()-1,FALSE))</f>
        <v/>
      </c>
      <c r="AS39" t="str">
        <f ca="1">IF(AND(ISNUMBER($AS$713),$B$677=1),$AS$713,HLOOKUP(INDIRECT(ADDRESS(2,COLUMN())),OFFSET($BN$2,0,0,ROW()-1,60),ROW()-1,FALSE))</f>
        <v/>
      </c>
      <c r="AT39" t="str">
        <f ca="1">IF(AND(ISNUMBER($AT$713),$B$677=1),$AT$713,HLOOKUP(INDIRECT(ADDRESS(2,COLUMN())),OFFSET($BN$2,0,0,ROW()-1,60),ROW()-1,FALSE))</f>
        <v/>
      </c>
      <c r="AU39" t="str">
        <f ca="1">IF(AND(ISNUMBER($AU$713),$B$677=1),$AU$713,HLOOKUP(INDIRECT(ADDRESS(2,COLUMN())),OFFSET($BN$2,0,0,ROW()-1,60),ROW()-1,FALSE))</f>
        <v/>
      </c>
      <c r="AV39" t="str">
        <f ca="1">IF(AND(ISNUMBER($AV$713),$B$677=1),$AV$713,HLOOKUP(INDIRECT(ADDRESS(2,COLUMN())),OFFSET($BN$2,0,0,ROW()-1,60),ROW()-1,FALSE))</f>
        <v/>
      </c>
      <c r="AW39" t="str">
        <f ca="1">IF(AND(ISNUMBER($AW$713),$B$677=1),$AW$713,HLOOKUP(INDIRECT(ADDRESS(2,COLUMN())),OFFSET($BN$2,0,0,ROW()-1,60),ROW()-1,FALSE))</f>
        <v/>
      </c>
      <c r="AX39" t="str">
        <f ca="1">IF(AND(ISNUMBER($AX$713),$B$677=1),$AX$713,HLOOKUP(INDIRECT(ADDRESS(2,COLUMN())),OFFSET($BN$2,0,0,ROW()-1,60),ROW()-1,FALSE))</f>
        <v/>
      </c>
      <c r="AY39" t="str">
        <f ca="1">IF(AND(ISNUMBER($AY$713),$B$677=1),$AY$713,HLOOKUP(INDIRECT(ADDRESS(2,COLUMN())),OFFSET($BN$2,0,0,ROW()-1,60),ROW()-1,FALSE))</f>
        <v/>
      </c>
      <c r="AZ39" t="str">
        <f ca="1">IF(AND(ISNUMBER($AZ$713),$B$677=1),$AZ$713,HLOOKUP(INDIRECT(ADDRESS(2,COLUMN())),OFFSET($BN$2,0,0,ROW()-1,60),ROW()-1,FALSE))</f>
        <v/>
      </c>
      <c r="BA39" t="str">
        <f ca="1">IF(AND(ISNUMBER($BA$713),$B$677=1),$BA$713,HLOOKUP(INDIRECT(ADDRESS(2,COLUMN())),OFFSET($BN$2,0,0,ROW()-1,60),ROW()-1,FALSE))</f>
        <v/>
      </c>
      <c r="BB39" t="str">
        <f ca="1">IF(AND(ISNUMBER($BB$713),$B$677=1),$BB$713,HLOOKUP(INDIRECT(ADDRESS(2,COLUMN())),OFFSET($BN$2,0,0,ROW()-1,60),ROW()-1,FALSE))</f>
        <v/>
      </c>
      <c r="BC39" t="str">
        <f ca="1">IF(AND(ISNUMBER($BC$713),$B$677=1),$BC$713,HLOOKUP(INDIRECT(ADDRESS(2,COLUMN())),OFFSET($BN$2,0,0,ROW()-1,60),ROW()-1,FALSE))</f>
        <v/>
      </c>
      <c r="BD39" t="str">
        <f ca="1">IF(AND(ISNUMBER($BD$713),$B$677=1),$BD$713,HLOOKUP(INDIRECT(ADDRESS(2,COLUMN())),OFFSET($BN$2,0,0,ROW()-1,60),ROW()-1,FALSE))</f>
        <v/>
      </c>
      <c r="BE39" t="str">
        <f ca="1">IF(AND(ISNUMBER($BE$713),$B$677=1),$BE$713,HLOOKUP(INDIRECT(ADDRESS(2,COLUMN())),OFFSET($BN$2,0,0,ROW()-1,60),ROW()-1,FALSE))</f>
        <v/>
      </c>
      <c r="BF39" t="str">
        <f ca="1">IF(AND(ISNUMBER($BF$713),$B$677=1),$BF$713,HLOOKUP(INDIRECT(ADDRESS(2,COLUMN())),OFFSET($BN$2,0,0,ROW()-1,60),ROW()-1,FALSE))</f>
        <v/>
      </c>
      <c r="BG39" t="str">
        <f ca="1">IF(AND(ISNUMBER($BG$713),$B$677=1),$BG$713,HLOOKUP(INDIRECT(ADDRESS(2,COLUMN())),OFFSET($BN$2,0,0,ROW()-1,60),ROW()-1,FALSE))</f>
        <v/>
      </c>
      <c r="BH39" t="str">
        <f ca="1">IF(AND(ISNUMBER($BH$713),$B$677=1),$BH$713,HLOOKUP(INDIRECT(ADDRESS(2,COLUMN())),OFFSET($BN$2,0,0,ROW()-1,60),ROW()-1,FALSE))</f>
        <v/>
      </c>
      <c r="BI39" t="str">
        <f ca="1">IF(AND(ISNUMBER($BI$713),$B$677=1),$BI$713,HLOOKUP(INDIRECT(ADDRESS(2,COLUMN())),OFFSET($BN$2,0,0,ROW()-1,60),ROW()-1,FALSE))</f>
        <v/>
      </c>
      <c r="BJ39" t="str">
        <f ca="1">IF(AND(ISNUMBER($BJ$713),$B$677=1),$BJ$713,HLOOKUP(INDIRECT(ADDRESS(2,COLUMN())),OFFSET($BN$2,0,0,ROW()-1,60),ROW()-1,FALSE))</f>
        <v/>
      </c>
      <c r="BK39" t="str">
        <f ca="1">IF(AND(ISNUMBER($BK$713),$B$677=1),$BK$713,HLOOKUP(INDIRECT(ADDRESS(2,COLUMN())),OFFSET($BN$2,0,0,ROW()-1,60),ROW()-1,FALSE))</f>
        <v/>
      </c>
      <c r="BL39" t="str">
        <f ca="1">IF(AND(ISNUMBER($BL$713),$B$677=1),$BL$713,HLOOKUP(INDIRECT(ADDRESS(2,COLUMN())),OFFSET($BN$2,0,0,ROW()-1,60),ROW()-1,FALSE))</f>
        <v/>
      </c>
      <c r="BM39" t="str">
        <f ca="1">IF(AND(ISNUMBER($BM$713),$B$677=1),$BM$713,HLOOKUP(INDIRECT(ADDRESS(2,COLUMN())),OFFSET($BN$2,0,0,ROW()-1,60),ROW()-1,FALSE))</f>
        <v/>
      </c>
      <c r="BN39" t="str">
        <f>""</f>
        <v/>
      </c>
      <c r="BO39" t="str">
        <f>""</f>
        <v/>
      </c>
      <c r="BP39" t="str">
        <f>""</f>
        <v/>
      </c>
      <c r="BQ39" t="str">
        <f>""</f>
        <v/>
      </c>
      <c r="BR39" t="str">
        <f>""</f>
        <v/>
      </c>
      <c r="BS39" t="str">
        <f>""</f>
        <v/>
      </c>
      <c r="BT39" t="str">
        <f>""</f>
        <v/>
      </c>
      <c r="BU39" t="str">
        <f>""</f>
        <v/>
      </c>
      <c r="BV39" t="str">
        <f>""</f>
        <v/>
      </c>
      <c r="BW39" t="str">
        <f>""</f>
        <v/>
      </c>
      <c r="BX39" t="str">
        <f>""</f>
        <v/>
      </c>
      <c r="BY39" t="str">
        <f>""</f>
        <v/>
      </c>
      <c r="BZ39" t="str">
        <f>""</f>
        <v/>
      </c>
      <c r="CA39" t="str">
        <f>""</f>
        <v/>
      </c>
      <c r="CB39" t="str">
        <f>""</f>
        <v/>
      </c>
      <c r="CC39" t="str">
        <f>""</f>
        <v/>
      </c>
      <c r="CD39" t="str">
        <f>""</f>
        <v/>
      </c>
      <c r="CE39" t="str">
        <f>""</f>
        <v/>
      </c>
      <c r="CF39" t="str">
        <f>""</f>
        <v/>
      </c>
      <c r="CG39" t="str">
        <f>""</f>
        <v/>
      </c>
      <c r="CH39" t="str">
        <f>""</f>
        <v/>
      </c>
      <c r="CI39" t="str">
        <f>""</f>
        <v/>
      </c>
      <c r="CJ39" t="str">
        <f>""</f>
        <v/>
      </c>
      <c r="CK39" t="str">
        <f>""</f>
        <v/>
      </c>
      <c r="CL39" t="str">
        <f>""</f>
        <v/>
      </c>
      <c r="CM39" t="str">
        <f>""</f>
        <v/>
      </c>
      <c r="CN39" t="str">
        <f>""</f>
        <v/>
      </c>
      <c r="CO39" t="str">
        <f>""</f>
        <v/>
      </c>
      <c r="CP39" t="str">
        <f>""</f>
        <v/>
      </c>
      <c r="CQ39" t="str">
        <f>""</f>
        <v/>
      </c>
      <c r="CR39" t="str">
        <f>""</f>
        <v/>
      </c>
      <c r="CS39" t="str">
        <f>""</f>
        <v/>
      </c>
      <c r="CT39" t="str">
        <f>""</f>
        <v/>
      </c>
      <c r="CU39" t="str">
        <f>""</f>
        <v/>
      </c>
      <c r="CV39" t="str">
        <f>""</f>
        <v/>
      </c>
      <c r="CW39" t="str">
        <f>""</f>
        <v/>
      </c>
      <c r="CX39" t="str">
        <f>""</f>
        <v/>
      </c>
      <c r="CY39" t="str">
        <f>""</f>
        <v/>
      </c>
      <c r="CZ39" t="str">
        <f>""</f>
        <v/>
      </c>
      <c r="DA39" t="str">
        <f>""</f>
        <v/>
      </c>
      <c r="DB39" t="str">
        <f>""</f>
        <v/>
      </c>
      <c r="DC39" t="str">
        <f>""</f>
        <v/>
      </c>
      <c r="DD39" t="str">
        <f>""</f>
        <v/>
      </c>
      <c r="DE39" t="str">
        <f>""</f>
        <v/>
      </c>
      <c r="DF39" t="str">
        <f>""</f>
        <v/>
      </c>
      <c r="DG39" t="str">
        <f>""</f>
        <v/>
      </c>
      <c r="DH39" t="str">
        <f>""</f>
        <v/>
      </c>
      <c r="DI39" t="str">
        <f>""</f>
        <v/>
      </c>
      <c r="DJ39" t="str">
        <f>""</f>
        <v/>
      </c>
      <c r="DK39" t="str">
        <f>""</f>
        <v/>
      </c>
      <c r="DL39" t="str">
        <f>""</f>
        <v/>
      </c>
      <c r="DM39" t="str">
        <f>""</f>
        <v/>
      </c>
      <c r="DN39" t="str">
        <f>""</f>
        <v/>
      </c>
      <c r="DO39" t="str">
        <f>""</f>
        <v/>
      </c>
      <c r="DP39" t="str">
        <f>""</f>
        <v/>
      </c>
      <c r="DQ39" t="str">
        <f>""</f>
        <v/>
      </c>
      <c r="DR39" t="str">
        <f>""</f>
        <v/>
      </c>
      <c r="DS39" t="str">
        <f>""</f>
        <v/>
      </c>
      <c r="DT39" t="str">
        <f>""</f>
        <v/>
      </c>
      <c r="DU39" t="str">
        <f>""</f>
        <v/>
      </c>
    </row>
    <row r="40" spans="1:125" x14ac:dyDescent="0.25">
      <c r="A40" t="str">
        <f>"    Tianjin Faw Xiali Automobile Co Ltd"</f>
        <v xml:space="preserve">    Tianjin Faw Xiali Automobile Co Ltd</v>
      </c>
      <c r="B40" t="str">
        <f>"000927 CH Equity"</f>
        <v>000927 CH Equity</v>
      </c>
      <c r="C40" t="str">
        <f t="shared" si="0"/>
        <v>RR900</v>
      </c>
      <c r="D40" t="str">
        <f t="shared" si="1"/>
        <v>PE_RATIO</v>
      </c>
      <c r="E40" t="str">
        <f t="shared" si="2"/>
        <v>Dynamic</v>
      </c>
      <c r="F40" t="str">
        <f ca="1">IF(AND(ISNUMBER($F$714),$B$677=1),$F$714,HLOOKUP(INDIRECT(ADDRESS(2,COLUMN())),OFFSET($BN$2,0,0,ROW()-1,60),ROW()-1,FALSE))</f>
        <v/>
      </c>
      <c r="G40" t="str">
        <f ca="1">IF(AND(ISNUMBER($G$714),$B$677=1),$G$714,HLOOKUP(INDIRECT(ADDRESS(2,COLUMN())),OFFSET($BN$2,0,0,ROW()-1,60),ROW()-1,FALSE))</f>
        <v/>
      </c>
      <c r="H40" t="str">
        <f ca="1">IF(AND(ISNUMBER($H$714),$B$677=1),$H$714,HLOOKUP(INDIRECT(ADDRESS(2,COLUMN())),OFFSET($BN$2,0,0,ROW()-1,60),ROW()-1,FALSE))</f>
        <v/>
      </c>
      <c r="I40" t="str">
        <f ca="1">IF(AND(ISNUMBER($I$714),$B$677=1),$I$714,HLOOKUP(INDIRECT(ADDRESS(2,COLUMN())),OFFSET($BN$2,0,0,ROW()-1,60),ROW()-1,FALSE))</f>
        <v/>
      </c>
      <c r="J40" t="str">
        <f ca="1">IF(AND(ISNUMBER($J$714),$B$677=1),$J$714,HLOOKUP(INDIRECT(ADDRESS(2,COLUMN())),OFFSET($BN$2,0,0,ROW()-1,60),ROW()-1,FALSE))</f>
        <v/>
      </c>
      <c r="K40" t="str">
        <f ca="1">IF(AND(ISNUMBER($K$714),$B$677=1),$K$714,HLOOKUP(INDIRECT(ADDRESS(2,COLUMN())),OFFSET($BN$2,0,0,ROW()-1,60),ROW()-1,FALSE))</f>
        <v/>
      </c>
      <c r="L40" t="str">
        <f ca="1">IF(AND(ISNUMBER($L$714),$B$677=1),$L$714,HLOOKUP(INDIRECT(ADDRESS(2,COLUMN())),OFFSET($BN$2,0,0,ROW()-1,60),ROW()-1,FALSE))</f>
        <v/>
      </c>
      <c r="M40">
        <f ca="1">IF(AND(ISNUMBER($M$714),$B$677=1),$M$714,HLOOKUP(INDIRECT(ADDRESS(2,COLUMN())),OFFSET($BN$2,0,0,ROW()-1,60),ROW()-1,FALSE))</f>
        <v>136.12511040000001</v>
      </c>
      <c r="N40">
        <f ca="1">IF(AND(ISNUMBER($N$714),$B$677=1),$N$714,HLOOKUP(INDIRECT(ADDRESS(2,COLUMN())),OFFSET($BN$2,0,0,ROW()-1,60),ROW()-1,FALSE))</f>
        <v>201.0702967</v>
      </c>
      <c r="O40">
        <f ca="1">IF(AND(ISNUMBER($O$714),$B$677=1),$O$714,HLOOKUP(INDIRECT(ADDRESS(2,COLUMN())),OFFSET($BN$2,0,0,ROW()-1,60),ROW()-1,FALSE))</f>
        <v>55.486939370000002</v>
      </c>
      <c r="P40">
        <f ca="1">IF(AND(ISNUMBER($P$714),$B$677=1),$P$714,HLOOKUP(INDIRECT(ADDRESS(2,COLUMN())),OFFSET($BN$2,0,0,ROW()-1,60),ROW()-1,FALSE))</f>
        <v>135.63807790000001</v>
      </c>
      <c r="Q40">
        <f ca="1">IF(AND(ISNUMBER($Q$714),$B$677=1),$Q$714,HLOOKUP(INDIRECT(ADDRESS(2,COLUMN())),OFFSET($BN$2,0,0,ROW()-1,60),ROW()-1,FALSE))</f>
        <v>201.34739089999999</v>
      </c>
      <c r="R40">
        <f ca="1">IF(AND(ISNUMBER($R$714),$B$677=1),$R$714,HLOOKUP(INDIRECT(ADDRESS(2,COLUMN())),OFFSET($BN$2,0,0,ROW()-1,60),ROW()-1,FALSE))</f>
        <v>91.9879222</v>
      </c>
      <c r="S40">
        <f ca="1">IF(AND(ISNUMBER($S$714),$B$677=1),$S$714,HLOOKUP(INDIRECT(ADDRESS(2,COLUMN())),OFFSET($BN$2,0,0,ROW()-1,60),ROW()-1,FALSE))</f>
        <v>741.62918539999998</v>
      </c>
      <c r="T40" t="str">
        <f ca="1">IF(AND(ISNUMBER($T$714),$B$677=1),$T$714,HLOOKUP(INDIRECT(ADDRESS(2,COLUMN())),OFFSET($BN$2,0,0,ROW()-1,60),ROW()-1,FALSE))</f>
        <v/>
      </c>
      <c r="U40" t="str">
        <f ca="1">IF(AND(ISNUMBER($U$714),$B$677=1),$U$714,HLOOKUP(INDIRECT(ADDRESS(2,COLUMN())),OFFSET($BN$2,0,0,ROW()-1,60),ROW()-1,FALSE))</f>
        <v/>
      </c>
      <c r="V40" t="str">
        <f ca="1">IF(AND(ISNUMBER($V$714),$B$677=1),$V$714,HLOOKUP(INDIRECT(ADDRESS(2,COLUMN())),OFFSET($BN$2,0,0,ROW()-1,60),ROW()-1,FALSE))</f>
        <v/>
      </c>
      <c r="W40" t="str">
        <f ca="1">IF(AND(ISNUMBER($W$714),$B$677=1),$W$714,HLOOKUP(INDIRECT(ADDRESS(2,COLUMN())),OFFSET($BN$2,0,0,ROW()-1,60),ROW()-1,FALSE))</f>
        <v/>
      </c>
      <c r="X40" t="str">
        <f ca="1">IF(AND(ISNUMBER($X$714),$B$677=1),$X$714,HLOOKUP(INDIRECT(ADDRESS(2,COLUMN())),OFFSET($BN$2,0,0,ROW()-1,60),ROW()-1,FALSE))</f>
        <v/>
      </c>
      <c r="Y40" t="str">
        <f ca="1">IF(AND(ISNUMBER($Y$714),$B$677=1),$Y$714,HLOOKUP(INDIRECT(ADDRESS(2,COLUMN())),OFFSET($BN$2,0,0,ROW()-1,60),ROW()-1,FALSE))</f>
        <v/>
      </c>
      <c r="Z40" t="str">
        <f ca="1">IF(AND(ISNUMBER($Z$714),$B$677=1),$Z$714,HLOOKUP(INDIRECT(ADDRESS(2,COLUMN())),OFFSET($BN$2,0,0,ROW()-1,60),ROW()-1,FALSE))</f>
        <v/>
      </c>
      <c r="AA40" t="str">
        <f ca="1">IF(AND(ISNUMBER($AA$714),$B$677=1),$AA$714,HLOOKUP(INDIRECT(ADDRESS(2,COLUMN())),OFFSET($BN$2,0,0,ROW()-1,60),ROW()-1,FALSE))</f>
        <v/>
      </c>
      <c r="AB40" t="str">
        <f ca="1">IF(AND(ISNUMBER($AB$714),$B$677=1),$AB$714,HLOOKUP(INDIRECT(ADDRESS(2,COLUMN())),OFFSET($BN$2,0,0,ROW()-1,60),ROW()-1,FALSE))</f>
        <v/>
      </c>
      <c r="AC40" t="str">
        <f ca="1">IF(AND(ISNUMBER($AC$714),$B$677=1),$AC$714,HLOOKUP(INDIRECT(ADDRESS(2,COLUMN())),OFFSET($BN$2,0,0,ROW()-1,60),ROW()-1,FALSE))</f>
        <v/>
      </c>
      <c r="AD40">
        <f ca="1">IF(AND(ISNUMBER($AD$714),$B$677=1),$AD$714,HLOOKUP(INDIRECT(ADDRESS(2,COLUMN())),OFFSET($BN$2,0,0,ROW()-1,60),ROW()-1,FALSE))</f>
        <v>261.23118369999997</v>
      </c>
      <c r="AE40">
        <f ca="1">IF(AND(ISNUMBER($AE$714),$B$677=1),$AE$714,HLOOKUP(INDIRECT(ADDRESS(2,COLUMN())),OFFSET($BN$2,0,0,ROW()-1,60),ROW()-1,FALSE))</f>
        <v>291.68863119999997</v>
      </c>
      <c r="AF40">
        <f ca="1">IF(AND(ISNUMBER($AF$714),$B$677=1),$AF$714,HLOOKUP(INDIRECT(ADDRESS(2,COLUMN())),OFFSET($BN$2,0,0,ROW()-1,60),ROW()-1,FALSE))</f>
        <v>99.977183629999999</v>
      </c>
      <c r="AG40">
        <f ca="1">IF(AND(ISNUMBER($AG$714),$B$677=1),$AG$714,HLOOKUP(INDIRECT(ADDRESS(2,COLUMN())),OFFSET($BN$2,0,0,ROW()-1,60),ROW()-1,FALSE))</f>
        <v>79.148265319999993</v>
      </c>
      <c r="AH40">
        <f ca="1">IF(AND(ISNUMBER($AH$714),$B$677=1),$AH$714,HLOOKUP(INDIRECT(ADDRESS(2,COLUMN())),OFFSET($BN$2,0,0,ROW()-1,60),ROW()-1,FALSE))</f>
        <v>98.464843579999993</v>
      </c>
      <c r="AI40">
        <f ca="1">IF(AND(ISNUMBER($AI$714),$B$677=1),$AI$714,HLOOKUP(INDIRECT(ADDRESS(2,COLUMN())),OFFSET($BN$2,0,0,ROW()-1,60),ROW()-1,FALSE))</f>
        <v>91.154574890000006</v>
      </c>
      <c r="AJ40">
        <f ca="1">IF(AND(ISNUMBER($AJ$714),$B$677=1),$AJ$714,HLOOKUP(INDIRECT(ADDRESS(2,COLUMN())),OFFSET($BN$2,0,0,ROW()-1,60),ROW()-1,FALSE))</f>
        <v>99.48091024</v>
      </c>
      <c r="AK40">
        <f ca="1">IF(AND(ISNUMBER($AK$714),$B$677=1),$AK$714,HLOOKUP(INDIRECT(ADDRESS(2,COLUMN())),OFFSET($BN$2,0,0,ROW()-1,60),ROW()-1,FALSE))</f>
        <v>207.1413901</v>
      </c>
      <c r="AL40">
        <f ca="1">IF(AND(ISNUMBER($AL$714),$B$677=1),$AL$714,HLOOKUP(INDIRECT(ADDRESS(2,COLUMN())),OFFSET($BN$2,0,0,ROW()-1,60),ROW()-1,FALSE))</f>
        <v>92.279226629999997</v>
      </c>
      <c r="AM40">
        <f ca="1">IF(AND(ISNUMBER($AM$714),$B$677=1),$AM$714,HLOOKUP(INDIRECT(ADDRESS(2,COLUMN())),OFFSET($BN$2,0,0,ROW()-1,60),ROW()-1,FALSE))</f>
        <v>43.960667340000001</v>
      </c>
      <c r="AN40">
        <f ca="1">IF(AND(ISNUMBER($AN$714),$B$677=1),$AN$714,HLOOKUP(INDIRECT(ADDRESS(2,COLUMN())),OFFSET($BN$2,0,0,ROW()-1,60),ROW()-1,FALSE))</f>
        <v>33.072697849999997</v>
      </c>
      <c r="AO40">
        <f ca="1">IF(AND(ISNUMBER($AO$714),$B$677=1),$AO$714,HLOOKUP(INDIRECT(ADDRESS(2,COLUMN())),OFFSET($BN$2,0,0,ROW()-1,60),ROW()-1,FALSE))</f>
        <v>30.761394249999999</v>
      </c>
      <c r="AP40">
        <f ca="1">IF(AND(ISNUMBER($AP$714),$B$677=1),$AP$714,HLOOKUP(INDIRECT(ADDRESS(2,COLUMN())),OFFSET($BN$2,0,0,ROW()-1,60),ROW()-1,FALSE))</f>
        <v>34.0917435</v>
      </c>
      <c r="AQ40">
        <f ca="1">IF(AND(ISNUMBER($AQ$714),$B$677=1),$AQ$714,HLOOKUP(INDIRECT(ADDRESS(2,COLUMN())),OFFSET($BN$2,0,0,ROW()-1,60),ROW()-1,FALSE))</f>
        <v>112.2715651</v>
      </c>
      <c r="AR40">
        <f ca="1">IF(AND(ISNUMBER($AR$714),$B$677=1),$AR$714,HLOOKUP(INDIRECT(ADDRESS(2,COLUMN())),OFFSET($BN$2,0,0,ROW()-1,60),ROW()-1,FALSE))</f>
        <v>356.35446230000002</v>
      </c>
      <c r="AS40">
        <f ca="1">IF(AND(ISNUMBER($AS$714),$B$677=1),$AS$714,HLOOKUP(INDIRECT(ADDRESS(2,COLUMN())),OFFSET($BN$2,0,0,ROW()-1,60),ROW()-1,FALSE))</f>
        <v>240.81858020000001</v>
      </c>
      <c r="AT40">
        <f ca="1">IF(AND(ISNUMBER($AT$714),$B$677=1),$AT$714,HLOOKUP(INDIRECT(ADDRESS(2,COLUMN())),OFFSET($BN$2,0,0,ROW()-1,60),ROW()-1,FALSE))</f>
        <v>95.02228058</v>
      </c>
      <c r="AU40">
        <f ca="1">IF(AND(ISNUMBER($AU$714),$B$677=1),$AU$714,HLOOKUP(INDIRECT(ADDRESS(2,COLUMN())),OFFSET($BN$2,0,0,ROW()-1,60),ROW()-1,FALSE))</f>
        <v>72.552081970000003</v>
      </c>
      <c r="AV40">
        <f ca="1">IF(AND(ISNUMBER($AV$714),$B$677=1),$AV$714,HLOOKUP(INDIRECT(ADDRESS(2,COLUMN())),OFFSET($BN$2,0,0,ROW()-1,60),ROW()-1,FALSE))</f>
        <v>22.305065689999999</v>
      </c>
      <c r="AW40">
        <f ca="1">IF(AND(ISNUMBER($AW$714),$B$677=1),$AW$714,HLOOKUP(INDIRECT(ADDRESS(2,COLUMN())),OFFSET($BN$2,0,0,ROW()-1,60),ROW()-1,FALSE))</f>
        <v>35.115588680000002</v>
      </c>
      <c r="AX40">
        <f ca="1">IF(AND(ISNUMBER($AX$714),$B$677=1),$AX$714,HLOOKUP(INDIRECT(ADDRESS(2,COLUMN())),OFFSET($BN$2,0,0,ROW()-1,60),ROW()-1,FALSE))</f>
        <v>94.724220119999998</v>
      </c>
      <c r="AY40">
        <f ca="1">IF(AND(ISNUMBER($AY$714),$B$677=1),$AY$714,HLOOKUP(INDIRECT(ADDRESS(2,COLUMN())),OFFSET($BN$2,0,0,ROW()-1,60),ROW()-1,FALSE))</f>
        <v>131.34057920000001</v>
      </c>
      <c r="AZ40">
        <f ca="1">IF(AND(ISNUMBER($AZ$714),$B$677=1),$AZ$714,HLOOKUP(INDIRECT(ADDRESS(2,COLUMN())),OFFSET($BN$2,0,0,ROW()-1,60),ROW()-1,FALSE))</f>
        <v>200.13175229999999</v>
      </c>
      <c r="BA40">
        <f ca="1">IF(AND(ISNUMBER($BA$714),$B$677=1),$BA$714,HLOOKUP(INDIRECT(ADDRESS(2,COLUMN())),OFFSET($BN$2,0,0,ROW()-1,60),ROW()-1,FALSE))</f>
        <v>66.88</v>
      </c>
      <c r="BB40">
        <f ca="1">IF(AND(ISNUMBER($BB$714),$B$677=1),$BB$714,HLOOKUP(INDIRECT(ADDRESS(2,COLUMN())),OFFSET($BN$2,0,0,ROW()-1,60),ROW()-1,FALSE))</f>
        <v>80</v>
      </c>
      <c r="BC40">
        <f ca="1">IF(AND(ISNUMBER($BC$714),$B$677=1),$BC$714,HLOOKUP(INDIRECT(ADDRESS(2,COLUMN())),OFFSET($BN$2,0,0,ROW()-1,60),ROW()-1,FALSE))</f>
        <v>20.339622640000002</v>
      </c>
      <c r="BD40">
        <f ca="1">IF(AND(ISNUMBER($BD$714),$B$677=1),$BD$714,HLOOKUP(INDIRECT(ADDRESS(2,COLUMN())),OFFSET($BN$2,0,0,ROW()-1,60),ROW()-1,FALSE))</f>
        <v>14.33962264</v>
      </c>
      <c r="BE40">
        <f ca="1">IF(AND(ISNUMBER($BE$714),$B$677=1),$BE$714,HLOOKUP(INDIRECT(ADDRESS(2,COLUMN())),OFFSET($BN$2,0,0,ROW()-1,60),ROW()-1,FALSE))</f>
        <v>25.976095440000002</v>
      </c>
      <c r="BF40">
        <f ca="1">IF(AND(ISNUMBER($BF$714),$B$677=1),$BF$714,HLOOKUP(INDIRECT(ADDRESS(2,COLUMN())),OFFSET($BN$2,0,0,ROW()-1,60),ROW()-1,FALSE))</f>
        <v>18.88888888</v>
      </c>
      <c r="BG40">
        <f ca="1">IF(AND(ISNUMBER($BG$714),$B$677=1),$BG$714,HLOOKUP(INDIRECT(ADDRESS(2,COLUMN())),OFFSET($BN$2,0,0,ROW()-1,60),ROW()-1,FALSE))</f>
        <v>24.723926299999999</v>
      </c>
      <c r="BH40">
        <f ca="1">IF(AND(ISNUMBER($BH$714),$B$677=1),$BH$714,HLOOKUP(INDIRECT(ADDRESS(2,COLUMN())),OFFSET($BN$2,0,0,ROW()-1,60),ROW()-1,FALSE))</f>
        <v>43.333333099999997</v>
      </c>
      <c r="BI40" t="str">
        <f ca="1">IF(AND(ISNUMBER($BI$714),$B$677=1),$BI$714,HLOOKUP(INDIRECT(ADDRESS(2,COLUMN())),OFFSET($BN$2,0,0,ROW()-1,60),ROW()-1,FALSE))</f>
        <v/>
      </c>
      <c r="BJ40">
        <f ca="1">IF(AND(ISNUMBER($BJ$714),$B$677=1),$BJ$714,HLOOKUP(INDIRECT(ADDRESS(2,COLUMN())),OFFSET($BN$2,0,0,ROW()-1,60),ROW()-1,FALSE))</f>
        <v>110.00000060000001</v>
      </c>
      <c r="BK40">
        <f ca="1">IF(AND(ISNUMBER($BK$714),$B$677=1),$BK$714,HLOOKUP(INDIRECT(ADDRESS(2,COLUMN())),OFFSET($BN$2,0,0,ROW()-1,60),ROW()-1,FALSE))</f>
        <v>130.00000069999999</v>
      </c>
      <c r="BL40">
        <f ca="1">IF(AND(ISNUMBER($BL$714),$B$677=1),$BL$714,HLOOKUP(INDIRECT(ADDRESS(2,COLUMN())),OFFSET($BN$2,0,0,ROW()-1,60),ROW()-1,FALSE))</f>
        <v>492.2222491</v>
      </c>
      <c r="BM40">
        <f ca="1">IF(AND(ISNUMBER($BM$714),$B$677=1),$BM$714,HLOOKUP(INDIRECT(ADDRESS(2,COLUMN())),OFFSET($BN$2,0,0,ROW()-1,60),ROW()-1,FALSE))</f>
        <v>35.256409550000001</v>
      </c>
      <c r="BN40" t="str">
        <f>""</f>
        <v/>
      </c>
      <c r="BO40" t="str">
        <f>""</f>
        <v/>
      </c>
      <c r="BP40" t="str">
        <f>""</f>
        <v/>
      </c>
      <c r="BQ40" t="str">
        <f>""</f>
        <v/>
      </c>
      <c r="BR40" t="str">
        <f>""</f>
        <v/>
      </c>
      <c r="BS40" t="str">
        <f>""</f>
        <v/>
      </c>
      <c r="BT40" t="str">
        <f>""</f>
        <v/>
      </c>
      <c r="BU40">
        <f>136.1251104</f>
        <v>136.12511040000001</v>
      </c>
      <c r="BV40">
        <f>201.0702967</f>
        <v>201.0702967</v>
      </c>
      <c r="BW40">
        <f>55.48693937</f>
        <v>55.486939370000002</v>
      </c>
      <c r="BX40">
        <f>135.6380779</f>
        <v>135.63807790000001</v>
      </c>
      <c r="BY40">
        <f>201.3473909</f>
        <v>201.34739089999999</v>
      </c>
      <c r="BZ40">
        <f>91.9879222</f>
        <v>91.9879222</v>
      </c>
      <c r="CA40">
        <f>741.6291854</f>
        <v>741.62918539999998</v>
      </c>
      <c r="CB40" t="str">
        <f>""</f>
        <v/>
      </c>
      <c r="CC40" t="str">
        <f>""</f>
        <v/>
      </c>
      <c r="CD40" t="str">
        <f>""</f>
        <v/>
      </c>
      <c r="CE40" t="str">
        <f>""</f>
        <v/>
      </c>
      <c r="CF40" t="str">
        <f>""</f>
        <v/>
      </c>
      <c r="CG40" t="str">
        <f>""</f>
        <v/>
      </c>
      <c r="CH40" t="str">
        <f>""</f>
        <v/>
      </c>
      <c r="CI40" t="str">
        <f>""</f>
        <v/>
      </c>
      <c r="CJ40" t="str">
        <f>""</f>
        <v/>
      </c>
      <c r="CK40" t="str">
        <f>""</f>
        <v/>
      </c>
      <c r="CL40">
        <f>261.2311837</f>
        <v>261.23118369999997</v>
      </c>
      <c r="CM40">
        <f>291.6886312</f>
        <v>291.68863119999997</v>
      </c>
      <c r="CN40">
        <f>99.97718363</f>
        <v>99.977183629999999</v>
      </c>
      <c r="CO40">
        <f>79.14826532</f>
        <v>79.148265319999993</v>
      </c>
      <c r="CP40">
        <f>98.46484358</f>
        <v>98.464843579999993</v>
      </c>
      <c r="CQ40">
        <f>91.15457489</f>
        <v>91.154574890000006</v>
      </c>
      <c r="CR40">
        <f>99.48091024</f>
        <v>99.48091024</v>
      </c>
      <c r="CS40">
        <f>207.1413901</f>
        <v>207.1413901</v>
      </c>
      <c r="CT40">
        <f>92.27922663</f>
        <v>92.279226629999997</v>
      </c>
      <c r="CU40">
        <f>43.96066734</f>
        <v>43.960667340000001</v>
      </c>
      <c r="CV40">
        <f>33.07269785</f>
        <v>33.072697849999997</v>
      </c>
      <c r="CW40">
        <f>30.76139425</f>
        <v>30.761394249999999</v>
      </c>
      <c r="CX40">
        <f>34.0917435</f>
        <v>34.0917435</v>
      </c>
      <c r="CY40">
        <f>112.2715651</f>
        <v>112.2715651</v>
      </c>
      <c r="CZ40">
        <f>356.3544623</f>
        <v>356.35446230000002</v>
      </c>
      <c r="DA40">
        <f>240.8185802</f>
        <v>240.81858020000001</v>
      </c>
      <c r="DB40">
        <f>95.02228058</f>
        <v>95.02228058</v>
      </c>
      <c r="DC40">
        <f>72.55208197</f>
        <v>72.552081970000003</v>
      </c>
      <c r="DD40">
        <f>22.30506569</f>
        <v>22.305065689999999</v>
      </c>
      <c r="DE40">
        <f>35.11558868</f>
        <v>35.115588680000002</v>
      </c>
      <c r="DF40">
        <f>94.72422012</f>
        <v>94.724220119999998</v>
      </c>
      <c r="DG40">
        <f>131.3405792</f>
        <v>131.34057920000001</v>
      </c>
      <c r="DH40">
        <f>200.1317523</f>
        <v>200.13175229999999</v>
      </c>
      <c r="DI40">
        <f>66.88</f>
        <v>66.88</v>
      </c>
      <c r="DJ40">
        <f>80</f>
        <v>80</v>
      </c>
      <c r="DK40">
        <f>20.33962264</f>
        <v>20.339622640000002</v>
      </c>
      <c r="DL40">
        <f>14.33962264</f>
        <v>14.33962264</v>
      </c>
      <c r="DM40">
        <f>25.97609544</f>
        <v>25.976095440000002</v>
      </c>
      <c r="DN40">
        <f>18.88888888</f>
        <v>18.88888888</v>
      </c>
      <c r="DO40">
        <f>24.7239263</f>
        <v>24.723926299999999</v>
      </c>
      <c r="DP40">
        <f>43.3333331</f>
        <v>43.333333099999997</v>
      </c>
      <c r="DQ40" t="str">
        <f>""</f>
        <v/>
      </c>
      <c r="DR40">
        <f>110.0000006</f>
        <v>110.00000060000001</v>
      </c>
      <c r="DS40">
        <f>130.0000007</f>
        <v>130.00000069999999</v>
      </c>
      <c r="DT40">
        <f>492.2222491</f>
        <v>492.2222491</v>
      </c>
      <c r="DU40">
        <f>35.25640955</f>
        <v>35.256409550000001</v>
      </c>
    </row>
    <row r="41" spans="1:125" x14ac:dyDescent="0.25">
      <c r="A41" t="str">
        <f>"    Tofas Turk Otomobil Fabrikasi AS"</f>
        <v xml:space="preserve">    Tofas Turk Otomobil Fabrikasi AS</v>
      </c>
      <c r="B41" t="str">
        <f>"TOASOTRY EO Equity"</f>
        <v>TOASOTRY EO Equity</v>
      </c>
      <c r="C41" t="str">
        <f t="shared" si="0"/>
        <v>RR900</v>
      </c>
      <c r="D41" t="str">
        <f t="shared" si="1"/>
        <v>PE_RATIO</v>
      </c>
      <c r="E41" t="str">
        <f t="shared" si="2"/>
        <v>Dynamic</v>
      </c>
      <c r="F41">
        <f ca="1">IF(AND(ISNUMBER($F$715),$B$677=1),$F$715,HLOOKUP(INDIRECT(ADDRESS(2,COLUMN())),OFFSET($BN$2,0,0,ROW()-1,60),ROW()-1,FALSE))</f>
        <v>7.5215511040000003</v>
      </c>
      <c r="G41">
        <f ca="1">IF(AND(ISNUMBER($G$715),$B$677=1),$G$715,HLOOKUP(INDIRECT(ADDRESS(2,COLUMN())),OFFSET($BN$2,0,0,ROW()-1,60),ROW()-1,FALSE))</f>
        <v>6.3557106829999999</v>
      </c>
      <c r="H41">
        <f ca="1">IF(AND(ISNUMBER($H$715),$B$677=1),$H$715,HLOOKUP(INDIRECT(ADDRESS(2,COLUMN())),OFFSET($BN$2,0,0,ROW()-1,60),ROW()-1,FALSE))</f>
        <v>7.4898389060000001</v>
      </c>
      <c r="I41">
        <f ca="1">IF(AND(ISNUMBER($I$715),$B$677=1),$I$715,HLOOKUP(INDIRECT(ADDRESS(2,COLUMN())),OFFSET($BN$2,0,0,ROW()-1,60),ROW()-1,FALSE))</f>
        <v>8.5789652109999999</v>
      </c>
      <c r="J41">
        <f ca="1">IF(AND(ISNUMBER($J$715),$B$677=1),$J$715,HLOOKUP(INDIRECT(ADDRESS(2,COLUMN())),OFFSET($BN$2,0,0,ROW()-1,60),ROW()-1,FALSE))</f>
        <v>10.057383550000001</v>
      </c>
      <c r="K41">
        <f ca="1">IF(AND(ISNUMBER($K$715),$B$677=1),$K$715,HLOOKUP(INDIRECT(ADDRESS(2,COLUMN())),OFFSET($BN$2,0,0,ROW()-1,60),ROW()-1,FALSE))</f>
        <v>12.905565920000001</v>
      </c>
      <c r="L41">
        <f ca="1">IF(AND(ISNUMBER($L$715),$B$677=1),$L$715,HLOOKUP(INDIRECT(ADDRESS(2,COLUMN())),OFFSET($BN$2,0,0,ROW()-1,60),ROW()-1,FALSE))</f>
        <v>13.593894710000001</v>
      </c>
      <c r="M41">
        <f ca="1">IF(AND(ISNUMBER($M$715),$B$677=1),$M$715,HLOOKUP(INDIRECT(ADDRESS(2,COLUMN())),OFFSET($BN$2,0,0,ROW()-1,60),ROW()-1,FALSE))</f>
        <v>13.621743609999999</v>
      </c>
      <c r="N41">
        <f ca="1">IF(AND(ISNUMBER($N$715),$B$677=1),$N$715,HLOOKUP(INDIRECT(ADDRESS(2,COLUMN())),OFFSET($BN$2,0,0,ROW()-1,60),ROW()-1,FALSE))</f>
        <v>13.73631924</v>
      </c>
      <c r="O41">
        <f ca="1">IF(AND(ISNUMBER($O$715),$B$677=1),$O$715,HLOOKUP(INDIRECT(ADDRESS(2,COLUMN())),OFFSET($BN$2,0,0,ROW()-1,60),ROW()-1,FALSE))</f>
        <v>12.690512419999999</v>
      </c>
      <c r="P41">
        <f ca="1">IF(AND(ISNUMBER($P$715),$B$677=1),$P$715,HLOOKUP(INDIRECT(ADDRESS(2,COLUMN())),OFFSET($BN$2,0,0,ROW()-1,60),ROW()-1,FALSE))</f>
        <v>11.55516742</v>
      </c>
      <c r="Q41">
        <f ca="1">IF(AND(ISNUMBER($Q$715),$B$677=1),$Q$715,HLOOKUP(INDIRECT(ADDRESS(2,COLUMN())),OFFSET($BN$2,0,0,ROW()-1,60),ROW()-1,FALSE))</f>
        <v>12.951608090000001</v>
      </c>
      <c r="R41">
        <f ca="1">IF(AND(ISNUMBER($R$715),$B$677=1),$R$715,HLOOKUP(INDIRECT(ADDRESS(2,COLUMN())),OFFSET($BN$2,0,0,ROW()-1,60),ROW()-1,FALSE))</f>
        <v>13.17384895</v>
      </c>
      <c r="S41">
        <f ca="1">IF(AND(ISNUMBER($S$715),$B$677=1),$S$715,HLOOKUP(INDIRECT(ADDRESS(2,COLUMN())),OFFSET($BN$2,0,0,ROW()-1,60),ROW()-1,FALSE))</f>
        <v>11.37963188</v>
      </c>
      <c r="T41">
        <f ca="1">IF(AND(ISNUMBER($T$715),$B$677=1),$T$715,HLOOKUP(INDIRECT(ADDRESS(2,COLUMN())),OFFSET($BN$2,0,0,ROW()-1,60),ROW()-1,FALSE))</f>
        <v>11.91079727</v>
      </c>
      <c r="U41">
        <f ca="1">IF(AND(ISNUMBER($U$715),$B$677=1),$U$715,HLOOKUP(INDIRECT(ADDRESS(2,COLUMN())),OFFSET($BN$2,0,0,ROW()-1,60),ROW()-1,FALSE))</f>
        <v>13.00606389</v>
      </c>
      <c r="V41">
        <f ca="1">IF(AND(ISNUMBER($V$715),$B$677=1),$V$715,HLOOKUP(INDIRECT(ADDRESS(2,COLUMN())),OFFSET($BN$2,0,0,ROW()-1,60),ROW()-1,FALSE))</f>
        <v>12.237419879999999</v>
      </c>
      <c r="W41">
        <f ca="1">IF(AND(ISNUMBER($W$715),$B$677=1),$W$715,HLOOKUP(INDIRECT(ADDRESS(2,COLUMN())),OFFSET($BN$2,0,0,ROW()-1,60),ROW()-1,FALSE))</f>
        <v>13.90540463</v>
      </c>
      <c r="X41">
        <f ca="1">IF(AND(ISNUMBER($X$715),$B$677=1),$X$715,HLOOKUP(INDIRECT(ADDRESS(2,COLUMN())),OFFSET($BN$2,0,0,ROW()-1,60),ROW()-1,FALSE))</f>
        <v>12.524804789999999</v>
      </c>
      <c r="Y41">
        <f ca="1">IF(AND(ISNUMBER($Y$715),$B$677=1),$Y$715,HLOOKUP(INDIRECT(ADDRESS(2,COLUMN())),OFFSET($BN$2,0,0,ROW()-1,60),ROW()-1,FALSE))</f>
        <v>13.391420549999999</v>
      </c>
      <c r="Z41">
        <f ca="1">IF(AND(ISNUMBER($Z$715),$B$677=1),$Z$715,HLOOKUP(INDIRECT(ADDRESS(2,COLUMN())),OFFSET($BN$2,0,0,ROW()-1,60),ROW()-1,FALSE))</f>
        <v>13.036872539999999</v>
      </c>
      <c r="AA41">
        <f ca="1">IF(AND(ISNUMBER($AA$715),$B$677=1),$AA$715,HLOOKUP(INDIRECT(ADDRESS(2,COLUMN())),OFFSET($BN$2,0,0,ROW()-1,60),ROW()-1,FALSE))</f>
        <v>15.367466179999999</v>
      </c>
      <c r="AB41">
        <f ca="1">IF(AND(ISNUMBER($AB$715),$B$677=1),$AB$715,HLOOKUP(INDIRECT(ADDRESS(2,COLUMN())),OFFSET($BN$2,0,0,ROW()-1,60),ROW()-1,FALSE))</f>
        <v>13.895792999999999</v>
      </c>
      <c r="AC41">
        <f ca="1">IF(AND(ISNUMBER($AC$715),$B$677=1),$AC$715,HLOOKUP(INDIRECT(ADDRESS(2,COLUMN())),OFFSET($BN$2,0,0,ROW()-1,60),ROW()-1,FALSE))</f>
        <v>13.768910910000001</v>
      </c>
      <c r="AD41">
        <f ca="1">IF(AND(ISNUMBER($AD$715),$B$677=1),$AD$715,HLOOKUP(INDIRECT(ADDRESS(2,COLUMN())),OFFSET($BN$2,0,0,ROW()-1,60),ROW()-1,FALSE))</f>
        <v>14.41734056</v>
      </c>
      <c r="AE41">
        <f ca="1">IF(AND(ISNUMBER($AE$715),$B$677=1),$AE$715,HLOOKUP(INDIRECT(ADDRESS(2,COLUMN())),OFFSET($BN$2,0,0,ROW()-1,60),ROW()-1,FALSE))</f>
        <v>11.805775219999999</v>
      </c>
      <c r="AF41">
        <f ca="1">IF(AND(ISNUMBER($AF$715),$B$677=1),$AF$715,HLOOKUP(INDIRECT(ADDRESS(2,COLUMN())),OFFSET($BN$2,0,0,ROW()-1,60),ROW()-1,FALSE))</f>
        <v>10.067456290000001</v>
      </c>
      <c r="AG41">
        <f ca="1">IF(AND(ISNUMBER($AG$715),$B$677=1),$AG$715,HLOOKUP(INDIRECT(ADDRESS(2,COLUMN())),OFFSET($BN$2,0,0,ROW()-1,60),ROW()-1,FALSE))</f>
        <v>8.0464406480000008</v>
      </c>
      <c r="AH41">
        <f ca="1">IF(AND(ISNUMBER($AH$715),$B$677=1),$AH$715,HLOOKUP(INDIRECT(ADDRESS(2,COLUMN())),OFFSET($BN$2,0,0,ROW()-1,60),ROW()-1,FALSE))</f>
        <v>7.8401837800000003</v>
      </c>
      <c r="AI41">
        <f ca="1">IF(AND(ISNUMBER($AI$715),$B$677=1),$AI$715,HLOOKUP(INDIRECT(ADDRESS(2,COLUMN())),OFFSET($BN$2,0,0,ROW()-1,60),ROW()-1,FALSE))</f>
        <v>6.2850616639999997</v>
      </c>
      <c r="AJ41">
        <f ca="1">IF(AND(ISNUMBER($AJ$715),$B$677=1),$AJ$715,HLOOKUP(INDIRECT(ADDRESS(2,COLUMN())),OFFSET($BN$2,0,0,ROW()-1,60),ROW()-1,FALSE))</f>
        <v>7.2252763900000003</v>
      </c>
      <c r="AK41">
        <f ca="1">IF(AND(ISNUMBER($AK$715),$B$677=1),$AK$715,HLOOKUP(INDIRECT(ADDRESS(2,COLUMN())),OFFSET($BN$2,0,0,ROW()-1,60),ROW()-1,FALSE))</f>
        <v>9.1471403890000005</v>
      </c>
      <c r="AL41">
        <f ca="1">IF(AND(ISNUMBER($AL$715),$B$677=1),$AL$715,HLOOKUP(INDIRECT(ADDRESS(2,COLUMN())),OFFSET($BN$2,0,0,ROW()-1,60),ROW()-1,FALSE))</f>
        <v>12.47503543</v>
      </c>
      <c r="AM41">
        <f ca="1">IF(AND(ISNUMBER($AM$715),$B$677=1),$AM$715,HLOOKUP(INDIRECT(ADDRESS(2,COLUMN())),OFFSET($BN$2,0,0,ROW()-1,60),ROW()-1,FALSE))</f>
        <v>10.21828088</v>
      </c>
      <c r="AN41">
        <f ca="1">IF(AND(ISNUMBER($AN$715),$B$677=1),$AN$715,HLOOKUP(INDIRECT(ADDRESS(2,COLUMN())),OFFSET($BN$2,0,0,ROW()-1,60),ROW()-1,FALSE))</f>
        <v>9.3005951230000008</v>
      </c>
      <c r="AO41">
        <f ca="1">IF(AND(ISNUMBER($AO$715),$B$677=1),$AO$715,HLOOKUP(INDIRECT(ADDRESS(2,COLUMN())),OFFSET($BN$2,0,0,ROW()-1,60),ROW()-1,FALSE))</f>
        <v>5.9576345719999999</v>
      </c>
      <c r="AP41">
        <f ca="1">IF(AND(ISNUMBER($AP$715),$B$677=1),$AP$715,HLOOKUP(INDIRECT(ADDRESS(2,COLUMN())),OFFSET($BN$2,0,0,ROW()-1,60),ROW()-1,FALSE))</f>
        <v>6.3587683359999998</v>
      </c>
      <c r="AQ41">
        <f ca="1">IF(AND(ISNUMBER($AQ$715),$B$677=1),$AQ$715,HLOOKUP(INDIRECT(ADDRESS(2,COLUMN())),OFFSET($BN$2,0,0,ROW()-1,60),ROW()-1,FALSE))</f>
        <v>6.4977973489999998</v>
      </c>
      <c r="AR41">
        <f ca="1">IF(AND(ISNUMBER($AR$715),$B$677=1),$AR$715,HLOOKUP(INDIRECT(ADDRESS(2,COLUMN())),OFFSET($BN$2,0,0,ROW()-1,60),ROW()-1,FALSE))</f>
        <v>8.7638008870000004</v>
      </c>
      <c r="AS41">
        <f ca="1">IF(AND(ISNUMBER($AS$715),$B$677=1),$AS$715,HLOOKUP(INDIRECT(ADDRESS(2,COLUMN())),OFFSET($BN$2,0,0,ROW()-1,60),ROW()-1,FALSE))</f>
        <v>10.54539207</v>
      </c>
      <c r="AT41">
        <f ca="1">IF(AND(ISNUMBER($AT$715),$B$677=1),$AT$715,HLOOKUP(INDIRECT(ADDRESS(2,COLUMN())),OFFSET($BN$2,0,0,ROW()-1,60),ROW()-1,FALSE))</f>
        <v>5.7607324540000002</v>
      </c>
      <c r="AU41">
        <f ca="1">IF(AND(ISNUMBER($AU$715),$B$677=1),$AU$715,HLOOKUP(INDIRECT(ADDRESS(2,COLUMN())),OFFSET($BN$2,0,0,ROW()-1,60),ROW()-1,FALSE))</f>
        <v>3.2716182690000002</v>
      </c>
      <c r="AV41">
        <f ca="1">IF(AND(ISNUMBER($AV$715),$B$677=1),$AV$715,HLOOKUP(INDIRECT(ADDRESS(2,COLUMN())),OFFSET($BN$2,0,0,ROW()-1,60),ROW()-1,FALSE))</f>
        <v>6.0704900979999996</v>
      </c>
      <c r="AW41">
        <f ca="1">IF(AND(ISNUMBER($AW$715),$B$677=1),$AW$715,HLOOKUP(INDIRECT(ADDRESS(2,COLUMN())),OFFSET($BN$2,0,0,ROW()-1,60),ROW()-1,FALSE))</f>
        <v>6.9756596110000002</v>
      </c>
      <c r="AX41">
        <f ca="1">IF(AND(ISNUMBER($AX$715),$B$677=1),$AX$715,HLOOKUP(INDIRECT(ADDRESS(2,COLUMN())),OFFSET($BN$2,0,0,ROW()-1,60),ROW()-1,FALSE))</f>
        <v>9.3249594350000002</v>
      </c>
      <c r="AY41">
        <f ca="1">IF(AND(ISNUMBER($AY$715),$B$677=1),$AY$715,HLOOKUP(INDIRECT(ADDRESS(2,COLUMN())),OFFSET($BN$2,0,0,ROW()-1,60),ROW()-1,FALSE))</f>
        <v>17.489577140000002</v>
      </c>
      <c r="AZ41">
        <f ca="1">IF(AND(ISNUMBER($AZ$715),$B$677=1),$AZ$715,HLOOKUP(INDIRECT(ADDRESS(2,COLUMN())),OFFSET($BN$2,0,0,ROW()-1,60),ROW()-1,FALSE))</f>
        <v>19.764524300000001</v>
      </c>
      <c r="BA41">
        <f ca="1">IF(AND(ISNUMBER($BA$715),$B$677=1),$BA$715,HLOOKUP(INDIRECT(ADDRESS(2,COLUMN())),OFFSET($BN$2,0,0,ROW()-1,60),ROW()-1,FALSE))</f>
        <v>24.82893442</v>
      </c>
      <c r="BB41">
        <f ca="1">IF(AND(ISNUMBER($BB$715),$B$677=1),$BB$715,HLOOKUP(INDIRECT(ADDRESS(2,COLUMN())),OFFSET($BN$2,0,0,ROW()-1,60),ROW()-1,FALSE))</f>
        <v>31.073379809999999</v>
      </c>
      <c r="BC41">
        <f ca="1">IF(AND(ISNUMBER($BC$715),$B$677=1),$BC$715,HLOOKUP(INDIRECT(ADDRESS(2,COLUMN())),OFFSET($BN$2,0,0,ROW()-1,60),ROW()-1,FALSE))</f>
        <v>29.880599100000001</v>
      </c>
      <c r="BD41">
        <f ca="1">IF(AND(ISNUMBER($BD$715),$B$677=1),$BD$715,HLOOKUP(INDIRECT(ADDRESS(2,COLUMN())),OFFSET($BN$2,0,0,ROW()-1,60),ROW()-1,FALSE))</f>
        <v>24.371795339999998</v>
      </c>
      <c r="BE41">
        <f ca="1">IF(AND(ISNUMBER($BE$715),$B$677=1),$BE$715,HLOOKUP(INDIRECT(ADDRESS(2,COLUMN())),OFFSET($BN$2,0,0,ROW()-1,60),ROW()-1,FALSE))</f>
        <v>23.25842638</v>
      </c>
      <c r="BF41">
        <f ca="1">IF(AND(ISNUMBER($BF$715),$B$677=1),$BF$715,HLOOKUP(INDIRECT(ADDRESS(2,COLUMN())),OFFSET($BN$2,0,0,ROW()-1,60),ROW()-1,FALSE))</f>
        <v>14.280924690000001</v>
      </c>
      <c r="BG41">
        <f ca="1">IF(AND(ISNUMBER($BG$715),$B$677=1),$BG$715,HLOOKUP(INDIRECT(ADDRESS(2,COLUMN())),OFFSET($BN$2,0,0,ROW()-1,60),ROW()-1,FALSE))</f>
        <v>10.495195409999999</v>
      </c>
      <c r="BH41">
        <f ca="1">IF(AND(ISNUMBER($BH$715),$B$677=1),$BH$715,HLOOKUP(INDIRECT(ADDRESS(2,COLUMN())),OFFSET($BN$2,0,0,ROW()-1,60),ROW()-1,FALSE))</f>
        <v>12.39730967</v>
      </c>
      <c r="BI41">
        <f ca="1">IF(AND(ISNUMBER($BI$715),$B$677=1),$BI$715,HLOOKUP(INDIRECT(ADDRESS(2,COLUMN())),OFFSET($BN$2,0,0,ROW()-1,60),ROW()-1,FALSE))</f>
        <v>16.801947800000001</v>
      </c>
      <c r="BJ41">
        <f ca="1">IF(AND(ISNUMBER($BJ$715),$B$677=1),$BJ$715,HLOOKUP(INDIRECT(ADDRESS(2,COLUMN())),OFFSET($BN$2,0,0,ROW()-1,60),ROW()-1,FALSE))</f>
        <v>20.35143167</v>
      </c>
      <c r="BK41">
        <f ca="1">IF(AND(ISNUMBER($BK$715),$B$677=1),$BK$715,HLOOKUP(INDIRECT(ADDRESS(2,COLUMN())),OFFSET($BN$2,0,0,ROW()-1,60),ROW()-1,FALSE))</f>
        <v>22.863121</v>
      </c>
      <c r="BL41">
        <f ca="1">IF(AND(ISNUMBER($BL$715),$B$677=1),$BL$715,HLOOKUP(INDIRECT(ADDRESS(2,COLUMN())),OFFSET($BN$2,0,0,ROW()-1,60),ROW()-1,FALSE))</f>
        <v>29.731790010000001</v>
      </c>
      <c r="BM41">
        <f ca="1">IF(AND(ISNUMBER($BM$715),$B$677=1),$BM$715,HLOOKUP(INDIRECT(ADDRESS(2,COLUMN())),OFFSET($BN$2,0,0,ROW()-1,60),ROW()-1,FALSE))</f>
        <v>16.16066442</v>
      </c>
      <c r="BN41">
        <f>7.521551104</f>
        <v>7.5215511040000003</v>
      </c>
      <c r="BO41">
        <f>6.355710683</f>
        <v>6.3557106829999999</v>
      </c>
      <c r="BP41">
        <f>7.489838906</f>
        <v>7.4898389060000001</v>
      </c>
      <c r="BQ41">
        <f>8.578965211</f>
        <v>8.5789652109999999</v>
      </c>
      <c r="BR41">
        <f>10.05738355</f>
        <v>10.057383550000001</v>
      </c>
      <c r="BS41">
        <f>12.90556592</f>
        <v>12.905565920000001</v>
      </c>
      <c r="BT41">
        <f>13.59389471</f>
        <v>13.593894710000001</v>
      </c>
      <c r="BU41">
        <f>13.62174361</f>
        <v>13.621743609999999</v>
      </c>
      <c r="BV41">
        <f>13.73631924</f>
        <v>13.73631924</v>
      </c>
      <c r="BW41">
        <f>12.69051242</f>
        <v>12.690512419999999</v>
      </c>
      <c r="BX41">
        <f>11.55516742</f>
        <v>11.55516742</v>
      </c>
      <c r="BY41">
        <f>12.95160809</f>
        <v>12.951608090000001</v>
      </c>
      <c r="BZ41">
        <f>13.17384895</f>
        <v>13.17384895</v>
      </c>
      <c r="CA41">
        <f>11.37963188</f>
        <v>11.37963188</v>
      </c>
      <c r="CB41">
        <f>11.91079727</f>
        <v>11.91079727</v>
      </c>
      <c r="CC41">
        <f>13.00606389</f>
        <v>13.00606389</v>
      </c>
      <c r="CD41">
        <f>12.23741988</f>
        <v>12.237419879999999</v>
      </c>
      <c r="CE41">
        <f>13.90540463</f>
        <v>13.90540463</v>
      </c>
      <c r="CF41">
        <f>12.52480479</f>
        <v>12.524804789999999</v>
      </c>
      <c r="CG41">
        <f>13.39142055</f>
        <v>13.391420549999999</v>
      </c>
      <c r="CH41">
        <f>13.03687254</f>
        <v>13.036872539999999</v>
      </c>
      <c r="CI41">
        <f>15.36746618</f>
        <v>15.367466179999999</v>
      </c>
      <c r="CJ41">
        <f>13.895793</f>
        <v>13.895792999999999</v>
      </c>
      <c r="CK41">
        <f>13.76891091</f>
        <v>13.768910910000001</v>
      </c>
      <c r="CL41">
        <f>14.41734056</f>
        <v>14.41734056</v>
      </c>
      <c r="CM41">
        <f>11.80577522</f>
        <v>11.805775219999999</v>
      </c>
      <c r="CN41">
        <f>10.06745629</f>
        <v>10.067456290000001</v>
      </c>
      <c r="CO41">
        <f>8.046440648</f>
        <v>8.0464406480000008</v>
      </c>
      <c r="CP41">
        <f>7.84018378</f>
        <v>7.8401837800000003</v>
      </c>
      <c r="CQ41">
        <f>6.285061664</f>
        <v>6.2850616639999997</v>
      </c>
      <c r="CR41">
        <f>7.22527639</f>
        <v>7.2252763900000003</v>
      </c>
      <c r="CS41">
        <f>9.147140389</f>
        <v>9.1471403890000005</v>
      </c>
      <c r="CT41">
        <f>12.47503543</f>
        <v>12.47503543</v>
      </c>
      <c r="CU41">
        <f>10.21828088</f>
        <v>10.21828088</v>
      </c>
      <c r="CV41">
        <f>9.300595123</f>
        <v>9.3005951230000008</v>
      </c>
      <c r="CW41">
        <f>5.957634572</f>
        <v>5.9576345719999999</v>
      </c>
      <c r="CX41">
        <f>6.358768336</f>
        <v>6.3587683359999998</v>
      </c>
      <c r="CY41">
        <f>6.497797349</f>
        <v>6.4977973489999998</v>
      </c>
      <c r="CZ41">
        <f>8.763800887</f>
        <v>8.7638008870000004</v>
      </c>
      <c r="DA41">
        <f>10.54539207</f>
        <v>10.54539207</v>
      </c>
      <c r="DB41">
        <f>5.760732454</f>
        <v>5.7607324540000002</v>
      </c>
      <c r="DC41">
        <f>3.271618269</f>
        <v>3.2716182690000002</v>
      </c>
      <c r="DD41">
        <f>6.070490098</f>
        <v>6.0704900979999996</v>
      </c>
      <c r="DE41">
        <f>6.975659611</f>
        <v>6.9756596110000002</v>
      </c>
      <c r="DF41">
        <f>9.324959435</f>
        <v>9.3249594350000002</v>
      </c>
      <c r="DG41">
        <f>17.48957714</f>
        <v>17.489577140000002</v>
      </c>
      <c r="DH41">
        <f>19.7645243</f>
        <v>19.764524300000001</v>
      </c>
      <c r="DI41">
        <f>24.82893442</f>
        <v>24.82893442</v>
      </c>
      <c r="DJ41">
        <f>31.07337981</f>
        <v>31.073379809999999</v>
      </c>
      <c r="DK41">
        <f>29.8805991</f>
        <v>29.880599100000001</v>
      </c>
      <c r="DL41">
        <f>24.37179534</f>
        <v>24.371795339999998</v>
      </c>
      <c r="DM41">
        <f>23.25842638</f>
        <v>23.25842638</v>
      </c>
      <c r="DN41">
        <f>14.28092469</f>
        <v>14.280924690000001</v>
      </c>
      <c r="DO41">
        <f>10.49519541</f>
        <v>10.495195409999999</v>
      </c>
      <c r="DP41">
        <f>12.39730967</f>
        <v>12.39730967</v>
      </c>
      <c r="DQ41">
        <f>16.8019478</f>
        <v>16.801947800000001</v>
      </c>
      <c r="DR41">
        <f>20.35143167</f>
        <v>20.35143167</v>
      </c>
      <c r="DS41">
        <f>22.863121</f>
        <v>22.863121</v>
      </c>
      <c r="DT41">
        <f>29.73179001</f>
        <v>29.731790010000001</v>
      </c>
      <c r="DU41">
        <f>16.16066442</f>
        <v>16.16066442</v>
      </c>
    </row>
    <row r="42" spans="1:125" x14ac:dyDescent="0.25">
      <c r="A42" t="str">
        <f>"    Toyota Motor Corp"</f>
        <v xml:space="preserve">    Toyota Motor Corp</v>
      </c>
      <c r="B42" t="str">
        <f>"7203 JP Equity"</f>
        <v>7203 JP Equity</v>
      </c>
      <c r="C42" t="str">
        <f t="shared" si="0"/>
        <v>RR900</v>
      </c>
      <c r="D42" t="str">
        <f t="shared" si="1"/>
        <v>PE_RATIO</v>
      </c>
      <c r="E42" t="str">
        <f t="shared" si="2"/>
        <v>Dynamic</v>
      </c>
      <c r="F42">
        <f ca="1">IF(AND(ISNUMBER($F$716),$B$677=1),$F$716,HLOOKUP(INDIRECT(ADDRESS(2,COLUMN())),OFFSET($BN$2,0,0,ROW()-1,60),ROW()-1,FALSE))</f>
        <v>10.302640050000001</v>
      </c>
      <c r="G42">
        <f ca="1">IF(AND(ISNUMBER($G$716),$B$677=1),$G$716,HLOOKUP(INDIRECT(ADDRESS(2,COLUMN())),OFFSET($BN$2,0,0,ROW()-1,60),ROW()-1,FALSE))</f>
        <v>9.8212369299999995</v>
      </c>
      <c r="H42">
        <f ca="1">IF(AND(ISNUMBER($H$716),$B$677=1),$H$716,HLOOKUP(INDIRECT(ADDRESS(2,COLUMN())),OFFSET($BN$2,0,0,ROW()-1,60),ROW()-1,FALSE))</f>
        <v>7.8016757930000002</v>
      </c>
      <c r="I42">
        <f ca="1">IF(AND(ISNUMBER($I$716),$B$677=1),$I$716,HLOOKUP(INDIRECT(ADDRESS(2,COLUMN())),OFFSET($BN$2,0,0,ROW()-1,60),ROW()-1,FALSE))</f>
        <v>8.3226929770000009</v>
      </c>
      <c r="J42">
        <f ca="1">IF(AND(ISNUMBER($J$716),$B$677=1),$J$716,HLOOKUP(INDIRECT(ADDRESS(2,COLUMN())),OFFSET($BN$2,0,0,ROW()-1,60),ROW()-1,FALSE))</f>
        <v>8.1068560840000004</v>
      </c>
      <c r="K42">
        <f ca="1">IF(AND(ISNUMBER($K$716),$B$677=1),$K$716,HLOOKUP(INDIRECT(ADDRESS(2,COLUMN())),OFFSET($BN$2,0,0,ROW()-1,60),ROW()-1,FALSE))</f>
        <v>8.8908884730000004</v>
      </c>
      <c r="L42">
        <f ca="1">IF(AND(ISNUMBER($L$716),$B$677=1),$L$716,HLOOKUP(INDIRECT(ADDRESS(2,COLUMN())),OFFSET($BN$2,0,0,ROW()-1,60),ROW()-1,FALSE))</f>
        <v>10.26731749</v>
      </c>
      <c r="M42">
        <f ca="1">IF(AND(ISNUMBER($M$716),$B$677=1),$M$716,HLOOKUP(INDIRECT(ADDRESS(2,COLUMN())),OFFSET($BN$2,0,0,ROW()-1,60),ROW()-1,FALSE))</f>
        <v>9.3685415410000008</v>
      </c>
      <c r="N42">
        <f ca="1">IF(AND(ISNUMBER($N$716),$B$677=1),$N$716,HLOOKUP(INDIRECT(ADDRESS(2,COLUMN())),OFFSET($BN$2,0,0,ROW()-1,60),ROW()-1,FALSE))</f>
        <v>9.9852914439999996</v>
      </c>
      <c r="O42">
        <f ca="1">IF(AND(ISNUMBER($O$716),$B$677=1),$O$716,HLOOKUP(INDIRECT(ADDRESS(2,COLUMN())),OFFSET($BN$2,0,0,ROW()-1,60),ROW()-1,FALSE))</f>
        <v>11.25603469</v>
      </c>
      <c r="P42">
        <f ca="1">IF(AND(ISNUMBER($P$716),$B$677=1),$P$716,HLOOKUP(INDIRECT(ADDRESS(2,COLUMN())),OFFSET($BN$2,0,0,ROW()-1,60),ROW()-1,FALSE))</f>
        <v>8.8655365499999998</v>
      </c>
      <c r="Q42">
        <f ca="1">IF(AND(ISNUMBER($Q$716),$B$677=1),$Q$716,HLOOKUP(INDIRECT(ADDRESS(2,COLUMN())),OFFSET($BN$2,0,0,ROW()-1,60),ROW()-1,FALSE))</f>
        <v>7.0553732279999997</v>
      </c>
      <c r="R42">
        <f ca="1">IF(AND(ISNUMBER($R$716),$B$677=1),$R$716,HLOOKUP(INDIRECT(ADDRESS(2,COLUMN())),OFFSET($BN$2,0,0,ROW()-1,60),ROW()-1,FALSE))</f>
        <v>8.039549396</v>
      </c>
      <c r="S42">
        <f ca="1">IF(AND(ISNUMBER($S$716),$B$677=1),$S$716,HLOOKUP(INDIRECT(ADDRESS(2,COLUMN())),OFFSET($BN$2,0,0,ROW()-1,60),ROW()-1,FALSE))</f>
        <v>10.073181229999999</v>
      </c>
      <c r="T42">
        <f ca="1">IF(AND(ISNUMBER($T$716),$B$677=1),$T$716,HLOOKUP(INDIRECT(ADDRESS(2,COLUMN())),OFFSET($BN$2,0,0,ROW()-1,60),ROW()-1,FALSE))</f>
        <v>9.5340344930000001</v>
      </c>
      <c r="U42">
        <f ca="1">IF(AND(ISNUMBER($U$716),$B$677=1),$U$716,HLOOKUP(INDIRECT(ADDRESS(2,COLUMN())),OFFSET($BN$2,0,0,ROW()-1,60),ROW()-1,FALSE))</f>
        <v>11.58910457</v>
      </c>
      <c r="V42">
        <f ca="1">IF(AND(ISNUMBER($V$716),$B$677=1),$V$716,HLOOKUP(INDIRECT(ADDRESS(2,COLUMN())),OFFSET($BN$2,0,0,ROW()-1,60),ROW()-1,FALSE))</f>
        <v>12.18742731</v>
      </c>
      <c r="W42">
        <f ca="1">IF(AND(ISNUMBER($W$716),$B$677=1),$W$716,HLOOKUP(INDIRECT(ADDRESS(2,COLUMN())),OFFSET($BN$2,0,0,ROW()-1,60),ROW()-1,FALSE))</f>
        <v>11.81620624</v>
      </c>
      <c r="X42">
        <f ca="1">IF(AND(ISNUMBER($X$716),$B$677=1),$X$716,HLOOKUP(INDIRECT(ADDRESS(2,COLUMN())),OFFSET($BN$2,0,0,ROW()-1,60),ROW()-1,FALSE))</f>
        <v>10.49938268</v>
      </c>
      <c r="Y42">
        <f ca="1">IF(AND(ISNUMBER($Y$716),$B$677=1),$Y$716,HLOOKUP(INDIRECT(ADDRESS(2,COLUMN())),OFFSET($BN$2,0,0,ROW()-1,60),ROW()-1,FALSE))</f>
        <v>10.430489120000001</v>
      </c>
      <c r="Z42">
        <f ca="1">IF(AND(ISNUMBER($Z$716),$B$677=1),$Z$716,HLOOKUP(INDIRECT(ADDRESS(2,COLUMN())),OFFSET($BN$2,0,0,ROW()-1,60),ROW()-1,FALSE))</f>
        <v>10.126714290000001</v>
      </c>
      <c r="AA42">
        <f ca="1">IF(AND(ISNUMBER($AA$716),$B$677=1),$AA$716,HLOOKUP(INDIRECT(ADDRESS(2,COLUMN())),OFFSET($BN$2,0,0,ROW()-1,60),ROW()-1,FALSE))</f>
        <v>11.05486104</v>
      </c>
      <c r="AB42">
        <f ca="1">IF(AND(ISNUMBER($AB$716),$B$677=1),$AB$716,HLOOKUP(INDIRECT(ADDRESS(2,COLUMN())),OFFSET($BN$2,0,0,ROW()-1,60),ROW()-1,FALSE))</f>
        <v>14.0428677</v>
      </c>
      <c r="AC42">
        <f ca="1">IF(AND(ISNUMBER($AC$716),$B$677=1),$AC$716,HLOOKUP(INDIRECT(ADDRESS(2,COLUMN())),OFFSET($BN$2,0,0,ROW()-1,60),ROW()-1,FALSE))</f>
        <v>15.375137970000001</v>
      </c>
      <c r="AD42">
        <f ca="1">IF(AND(ISNUMBER($AD$716),$B$677=1),$AD$716,HLOOKUP(INDIRECT(ADDRESS(2,COLUMN())),OFFSET($BN$2,0,0,ROW()-1,60),ROW()-1,FALSE))</f>
        <v>15.99631361</v>
      </c>
      <c r="AE42">
        <f ca="1">IF(AND(ISNUMBER($AE$716),$B$677=1),$AE$716,HLOOKUP(INDIRECT(ADDRESS(2,COLUMN())),OFFSET($BN$2,0,0,ROW()-1,60),ROW()-1,FALSE))</f>
        <v>16.48830336</v>
      </c>
      <c r="AF42">
        <f ca="1">IF(AND(ISNUMBER($AF$716),$B$677=1),$AF$716,HLOOKUP(INDIRECT(ADDRESS(2,COLUMN())),OFFSET($BN$2,0,0,ROW()-1,60),ROW()-1,FALSE))</f>
        <v>12.818379609999999</v>
      </c>
      <c r="AG42">
        <f ca="1">IF(AND(ISNUMBER($AG$716),$B$677=1),$AG$716,HLOOKUP(INDIRECT(ADDRESS(2,COLUMN())),OFFSET($BN$2,0,0,ROW()-1,60),ROW()-1,FALSE))</f>
        <v>17.589377370000001</v>
      </c>
      <c r="AH42">
        <f ca="1">IF(AND(ISNUMBER($AH$716),$B$677=1),$AH$716,HLOOKUP(INDIRECT(ADDRESS(2,COLUMN())),OFFSET($BN$2,0,0,ROW()-1,60),ROW()-1,FALSE))</f>
        <v>39.644879160000002</v>
      </c>
      <c r="AI42">
        <f ca="1">IF(AND(ISNUMBER($AI$716),$B$677=1),$AI$716,HLOOKUP(INDIRECT(ADDRESS(2,COLUMN())),OFFSET($BN$2,0,0,ROW()-1,60),ROW()-1,FALSE))</f>
        <v>42.800212500000001</v>
      </c>
      <c r="AJ42">
        <f ca="1">IF(AND(ISNUMBER($AJ$716),$B$677=1),$AJ$716,HLOOKUP(INDIRECT(ADDRESS(2,COLUMN())),OFFSET($BN$2,0,0,ROW()-1,60),ROW()-1,FALSE))</f>
        <v>42.01338586</v>
      </c>
      <c r="AK42">
        <f ca="1">IF(AND(ISNUMBER($AK$716),$B$677=1),$AK$716,HLOOKUP(INDIRECT(ADDRESS(2,COLUMN())),OFFSET($BN$2,0,0,ROW()-1,60),ROW()-1,FALSE))</f>
        <v>46.561865410000003</v>
      </c>
      <c r="AL42">
        <f ca="1">IF(AND(ISNUMBER($AL$716),$B$677=1),$AL$716,HLOOKUP(INDIRECT(ADDRESS(2,COLUMN())),OFFSET($BN$2,0,0,ROW()-1,60),ROW()-1,FALSE))</f>
        <v>25.735653859999999</v>
      </c>
      <c r="AM42">
        <f ca="1">IF(AND(ISNUMBER($AM$716),$B$677=1),$AM$716,HLOOKUP(INDIRECT(ADDRESS(2,COLUMN())),OFFSET($BN$2,0,0,ROW()-1,60),ROW()-1,FALSE))</f>
        <v>20.39840104</v>
      </c>
      <c r="AN42">
        <f ca="1">IF(AND(ISNUMBER($AN$716),$B$677=1),$AN$716,HLOOKUP(INDIRECT(ADDRESS(2,COLUMN())),OFFSET($BN$2,0,0,ROW()-1,60),ROW()-1,FALSE))</f>
        <v>16.951691239999999</v>
      </c>
      <c r="AO42">
        <f ca="1">IF(AND(ISNUMBER($AO$716),$B$677=1),$AO$716,HLOOKUP(INDIRECT(ADDRESS(2,COLUMN())),OFFSET($BN$2,0,0,ROW()-1,60),ROW()-1,FALSE))</f>
        <v>20.217202329999999</v>
      </c>
      <c r="AP42">
        <f ca="1">IF(AND(ISNUMBER($AP$716),$B$677=1),$AP$716,HLOOKUP(INDIRECT(ADDRESS(2,COLUMN())),OFFSET($BN$2,0,0,ROW()-1,60),ROW()-1,FALSE))</f>
        <v>56.075037829999999</v>
      </c>
      <c r="AQ42" t="str">
        <f ca="1">IF(AND(ISNUMBER($AQ$716),$B$677=1),$AQ$716,HLOOKUP(INDIRECT(ADDRESS(2,COLUMN())),OFFSET($BN$2,0,0,ROW()-1,60),ROW()-1,FALSE))</f>
        <v/>
      </c>
      <c r="AR42" t="str">
        <f ca="1">IF(AND(ISNUMBER($AR$716),$B$677=1),$AR$716,HLOOKUP(INDIRECT(ADDRESS(2,COLUMN())),OFFSET($BN$2,0,0,ROW()-1,60),ROW()-1,FALSE))</f>
        <v/>
      </c>
      <c r="AS42" t="str">
        <f ca="1">IF(AND(ISNUMBER($AS$716),$B$677=1),$AS$716,HLOOKUP(INDIRECT(ADDRESS(2,COLUMN())),OFFSET($BN$2,0,0,ROW()-1,60),ROW()-1,FALSE))</f>
        <v/>
      </c>
      <c r="AT42">
        <f ca="1">IF(AND(ISNUMBER($AT$716),$B$677=1),$AT$716,HLOOKUP(INDIRECT(ADDRESS(2,COLUMN())),OFFSET($BN$2,0,0,ROW()-1,60),ROW()-1,FALSE))</f>
        <v>15.340866630000001</v>
      </c>
      <c r="AU42">
        <f ca="1">IF(AND(ISNUMBER($AU$716),$B$677=1),$AU$716,HLOOKUP(INDIRECT(ADDRESS(2,COLUMN())),OFFSET($BN$2,0,0,ROW()-1,60),ROW()-1,FALSE))</f>
        <v>13.94846313</v>
      </c>
      <c r="AV42">
        <f ca="1">IF(AND(ISNUMBER($AV$716),$B$677=1),$AV$716,HLOOKUP(INDIRECT(ADDRESS(2,COLUMN())),OFFSET($BN$2,0,0,ROW()-1,60),ROW()-1,FALSE))</f>
        <v>10.90523271</v>
      </c>
      <c r="AW42">
        <f ca="1">IF(AND(ISNUMBER($AW$716),$B$677=1),$AW$716,HLOOKUP(INDIRECT(ADDRESS(2,COLUMN())),OFFSET($BN$2,0,0,ROW()-1,60),ROW()-1,FALSE))</f>
        <v>10.04768338</v>
      </c>
      <c r="AX42">
        <f ca="1">IF(AND(ISNUMBER($AX$716),$B$677=1),$AX$716,HLOOKUP(INDIRECT(ADDRESS(2,COLUMN())),OFFSET($BN$2,0,0,ROW()-1,60),ROW()-1,FALSE))</f>
        <v>9.1985525139999993</v>
      </c>
      <c r="AY42">
        <f ca="1">IF(AND(ISNUMBER($AY$716),$B$677=1),$AY$716,HLOOKUP(INDIRECT(ADDRESS(2,COLUMN())),OFFSET($BN$2,0,0,ROW()-1,60),ROW()-1,FALSE))</f>
        <v>10.45402307</v>
      </c>
      <c r="AZ42">
        <f ca="1">IF(AND(ISNUMBER($AZ$716),$B$677=1),$AZ$716,HLOOKUP(INDIRECT(ADDRESS(2,COLUMN())),OFFSET($BN$2,0,0,ROW()-1,60),ROW()-1,FALSE))</f>
        <v>11.96805694</v>
      </c>
      <c r="BA42">
        <f ca="1">IF(AND(ISNUMBER($BA$716),$B$677=1),$BA$716,HLOOKUP(INDIRECT(ADDRESS(2,COLUMN())),OFFSET($BN$2,0,0,ROW()-1,60),ROW()-1,FALSE))</f>
        <v>14.151739299999999</v>
      </c>
      <c r="BB42">
        <f ca="1">IF(AND(ISNUMBER($BB$716),$B$677=1),$BB$716,HLOOKUP(INDIRECT(ADDRESS(2,COLUMN())),OFFSET($BN$2,0,0,ROW()-1,60),ROW()-1,FALSE))</f>
        <v>14.734611109999999</v>
      </c>
      <c r="BC42">
        <f ca="1">IF(AND(ISNUMBER($BC$716),$B$677=1),$BC$716,HLOOKUP(INDIRECT(ADDRESS(2,COLUMN())),OFFSET($BN$2,0,0,ROW()-1,60),ROW()-1,FALSE))</f>
        <v>15.95455757</v>
      </c>
      <c r="BD42">
        <f ca="1">IF(AND(ISNUMBER($BD$716),$B$677=1),$BD$716,HLOOKUP(INDIRECT(ADDRESS(2,COLUMN())),OFFSET($BN$2,0,0,ROW()-1,60),ROW()-1,FALSE))</f>
        <v>13.15770597</v>
      </c>
      <c r="BE42">
        <f ca="1">IF(AND(ISNUMBER($BE$716),$B$677=1),$BE$716,HLOOKUP(INDIRECT(ADDRESS(2,COLUMN())),OFFSET($BN$2,0,0,ROW()-1,60),ROW()-1,FALSE))</f>
        <v>13.161653230000001</v>
      </c>
      <c r="BF42">
        <f ca="1">IF(AND(ISNUMBER($BF$716),$B$677=1),$BF$716,HLOOKUP(INDIRECT(ADDRESS(2,COLUMN())),OFFSET($BN$2,0,0,ROW()-1,60),ROW()-1,FALSE))</f>
        <v>15.247806499999999</v>
      </c>
      <c r="BG42">
        <f ca="1">IF(AND(ISNUMBER($BG$716),$B$677=1),$BG$716,HLOOKUP(INDIRECT(ADDRESS(2,COLUMN())),OFFSET($BN$2,0,0,ROW()-1,60),ROW()-1,FALSE))</f>
        <v>16.01549211</v>
      </c>
      <c r="BH42">
        <f ca="1">IF(AND(ISNUMBER($BH$716),$B$677=1),$BH$716,HLOOKUP(INDIRECT(ADDRESS(2,COLUMN())),OFFSET($BN$2,0,0,ROW()-1,60),ROW()-1,FALSE))</f>
        <v>14.84611432</v>
      </c>
      <c r="BI42">
        <f ca="1">IF(AND(ISNUMBER($BI$716),$B$677=1),$BI$716,HLOOKUP(INDIRECT(ADDRESS(2,COLUMN())),OFFSET($BN$2,0,0,ROW()-1,60),ROW()-1,FALSE))</f>
        <v>11.44092219</v>
      </c>
      <c r="BJ42">
        <f ca="1">IF(AND(ISNUMBER($BJ$716),$B$677=1),$BJ$716,HLOOKUP(INDIRECT(ADDRESS(2,COLUMN())),OFFSET($BN$2,0,0,ROW()-1,60),ROW()-1,FALSE))</f>
        <v>11.35328932</v>
      </c>
      <c r="BK42" t="str">
        <f ca="1">IF(AND(ISNUMBER($BK$716),$B$677=1),$BK$716,HLOOKUP(INDIRECT(ADDRESS(2,COLUMN())),OFFSET($BN$2,0,0,ROW()-1,60),ROW()-1,FALSE))</f>
        <v/>
      </c>
      <c r="BL42" t="str">
        <f ca="1">IF(AND(ISNUMBER($BL$716),$B$677=1),$BL$716,HLOOKUP(INDIRECT(ADDRESS(2,COLUMN())),OFFSET($BN$2,0,0,ROW()-1,60),ROW()-1,FALSE))</f>
        <v/>
      </c>
      <c r="BM42" t="str">
        <f ca="1">IF(AND(ISNUMBER($BM$716),$B$677=1),$BM$716,HLOOKUP(INDIRECT(ADDRESS(2,COLUMN())),OFFSET($BN$2,0,0,ROW()-1,60),ROW()-1,FALSE))</f>
        <v/>
      </c>
      <c r="BN42">
        <f>10.30264005</f>
        <v>10.302640050000001</v>
      </c>
      <c r="BO42">
        <f>9.82123693</f>
        <v>9.8212369299999995</v>
      </c>
      <c r="BP42">
        <f>7.801675793</f>
        <v>7.8016757930000002</v>
      </c>
      <c r="BQ42">
        <f>8.322692977</f>
        <v>8.3226929770000009</v>
      </c>
      <c r="BR42">
        <f>8.106856084</f>
        <v>8.1068560840000004</v>
      </c>
      <c r="BS42">
        <f>8.890888473</f>
        <v>8.8908884730000004</v>
      </c>
      <c r="BT42">
        <f>10.26731749</f>
        <v>10.26731749</v>
      </c>
      <c r="BU42">
        <f>9.368541541</f>
        <v>9.3685415410000008</v>
      </c>
      <c r="BV42">
        <f>9.985291444</f>
        <v>9.9852914439999996</v>
      </c>
      <c r="BW42">
        <f>11.25603469</f>
        <v>11.25603469</v>
      </c>
      <c r="BX42">
        <f>8.86553655</f>
        <v>8.8655365499999998</v>
      </c>
      <c r="BY42">
        <f>7.055373228</f>
        <v>7.0553732279999997</v>
      </c>
      <c r="BZ42">
        <f>8.039549396</f>
        <v>8.039549396</v>
      </c>
      <c r="CA42">
        <f>10.07318123</f>
        <v>10.073181229999999</v>
      </c>
      <c r="CB42">
        <f>9.534034493</f>
        <v>9.5340344930000001</v>
      </c>
      <c r="CC42">
        <f>11.58910457</f>
        <v>11.58910457</v>
      </c>
      <c r="CD42">
        <f>12.18742731</f>
        <v>12.18742731</v>
      </c>
      <c r="CE42">
        <f>11.81620624</f>
        <v>11.81620624</v>
      </c>
      <c r="CF42">
        <f>10.49938268</f>
        <v>10.49938268</v>
      </c>
      <c r="CG42">
        <f>10.43048912</f>
        <v>10.430489120000001</v>
      </c>
      <c r="CH42">
        <f>10.12671429</f>
        <v>10.126714290000001</v>
      </c>
      <c r="CI42">
        <f>11.05486104</f>
        <v>11.05486104</v>
      </c>
      <c r="CJ42">
        <f>14.0428677</f>
        <v>14.0428677</v>
      </c>
      <c r="CK42">
        <f>15.37513797</f>
        <v>15.375137970000001</v>
      </c>
      <c r="CL42">
        <f>15.99631361</f>
        <v>15.99631361</v>
      </c>
      <c r="CM42">
        <f>16.48830336</f>
        <v>16.48830336</v>
      </c>
      <c r="CN42">
        <f>12.81837961</f>
        <v>12.818379609999999</v>
      </c>
      <c r="CO42">
        <f>17.58937737</f>
        <v>17.589377370000001</v>
      </c>
      <c r="CP42">
        <f>39.64487916</f>
        <v>39.644879160000002</v>
      </c>
      <c r="CQ42">
        <f>42.8002125</f>
        <v>42.800212500000001</v>
      </c>
      <c r="CR42">
        <f>42.01338586</f>
        <v>42.01338586</v>
      </c>
      <c r="CS42">
        <f>46.56186541</f>
        <v>46.561865410000003</v>
      </c>
      <c r="CT42">
        <f>25.73565386</f>
        <v>25.735653859999999</v>
      </c>
      <c r="CU42">
        <f>20.39840104</f>
        <v>20.39840104</v>
      </c>
      <c r="CV42">
        <f>16.95169124</f>
        <v>16.951691239999999</v>
      </c>
      <c r="CW42">
        <f>20.21720233</f>
        <v>20.217202329999999</v>
      </c>
      <c r="CX42">
        <f>56.07503783</f>
        <v>56.075037829999999</v>
      </c>
      <c r="CY42" t="str">
        <f>""</f>
        <v/>
      </c>
      <c r="CZ42" t="str">
        <f>""</f>
        <v/>
      </c>
      <c r="DA42" t="str">
        <f>""</f>
        <v/>
      </c>
      <c r="DB42">
        <f>15.34086663</f>
        <v>15.340866630000001</v>
      </c>
      <c r="DC42">
        <f>13.94846313</f>
        <v>13.94846313</v>
      </c>
      <c r="DD42">
        <f>10.90523271</f>
        <v>10.90523271</v>
      </c>
      <c r="DE42">
        <f>10.04768338</f>
        <v>10.04768338</v>
      </c>
      <c r="DF42">
        <f>9.198552514</f>
        <v>9.1985525139999993</v>
      </c>
      <c r="DG42">
        <f>10.45402307</f>
        <v>10.45402307</v>
      </c>
      <c r="DH42">
        <f>11.96805694</f>
        <v>11.96805694</v>
      </c>
      <c r="DI42">
        <f>14.1517393</f>
        <v>14.151739299999999</v>
      </c>
      <c r="DJ42">
        <f>14.73461111</f>
        <v>14.734611109999999</v>
      </c>
      <c r="DK42">
        <f>15.95455757</f>
        <v>15.95455757</v>
      </c>
      <c r="DL42">
        <f>13.15770597</f>
        <v>13.15770597</v>
      </c>
      <c r="DM42">
        <f>13.16165323</f>
        <v>13.161653230000001</v>
      </c>
      <c r="DN42">
        <f>15.2478065</f>
        <v>15.247806499999999</v>
      </c>
      <c r="DO42">
        <f>16.01549211</f>
        <v>16.01549211</v>
      </c>
      <c r="DP42">
        <f>14.84611432</f>
        <v>14.84611432</v>
      </c>
      <c r="DQ42">
        <f>11.44092219</f>
        <v>11.44092219</v>
      </c>
      <c r="DR42">
        <f>11.35328932</f>
        <v>11.35328932</v>
      </c>
      <c r="DS42" t="str">
        <f>""</f>
        <v/>
      </c>
      <c r="DT42" t="str">
        <f>""</f>
        <v/>
      </c>
      <c r="DU42" t="str">
        <f>""</f>
        <v/>
      </c>
    </row>
    <row r="43" spans="1:125" x14ac:dyDescent="0.25">
      <c r="A43" t="str">
        <f>"    Volkswagen AG"</f>
        <v xml:space="preserve">    Volkswagen AG</v>
      </c>
      <c r="B43" t="str">
        <f>"VOW GR Equity"</f>
        <v>VOW GR Equity</v>
      </c>
      <c r="C43" t="str">
        <f t="shared" si="0"/>
        <v>RR900</v>
      </c>
      <c r="D43" t="str">
        <f t="shared" si="1"/>
        <v>PE_RATIO</v>
      </c>
      <c r="E43" t="str">
        <f t="shared" si="2"/>
        <v>Dynamic</v>
      </c>
      <c r="F43">
        <f ca="1">IF(AND(ISNUMBER($F$717),$B$677=1),$F$717,HLOOKUP(INDIRECT(ADDRESS(2,COLUMN())),OFFSET($BN$2,0,0,ROW()-1,60),ROW()-1,FALSE))</f>
        <v>6.5806548610000002</v>
      </c>
      <c r="G43">
        <f ca="1">IF(AND(ISNUMBER($G$717),$B$677=1),$G$717,HLOOKUP(INDIRECT(ADDRESS(2,COLUMN())),OFFSET($BN$2,0,0,ROW()-1,60),ROW()-1,FALSE))</f>
        <v>6.0340744309999996</v>
      </c>
      <c r="H43">
        <f ca="1">IF(AND(ISNUMBER($H$717),$B$677=1),$H$717,HLOOKUP(INDIRECT(ADDRESS(2,COLUMN())),OFFSET($BN$2,0,0,ROW()-1,60),ROW()-1,FALSE))</f>
        <v>5.7916523480000004</v>
      </c>
      <c r="I43">
        <f ca="1">IF(AND(ISNUMBER($I$717),$B$677=1),$I$717,HLOOKUP(INDIRECT(ADDRESS(2,COLUMN())),OFFSET($BN$2,0,0,ROW()-1,60),ROW()-1,FALSE))</f>
        <v>6.3089426340000001</v>
      </c>
      <c r="J43">
        <f ca="1">IF(AND(ISNUMBER($J$717),$B$677=1),$J$717,HLOOKUP(INDIRECT(ADDRESS(2,COLUMN())),OFFSET($BN$2,0,0,ROW()-1,60),ROW()-1,FALSE))</f>
        <v>7.388264071</v>
      </c>
      <c r="K43">
        <f ca="1">IF(AND(ISNUMBER($K$717),$B$677=1),$K$717,HLOOKUP(INDIRECT(ADDRESS(2,COLUMN())),OFFSET($BN$2,0,0,ROW()-1,60),ROW()-1,FALSE))</f>
        <v>7.5859497779999998</v>
      </c>
      <c r="L43">
        <f ca="1">IF(AND(ISNUMBER($L$717),$B$677=1),$L$717,HLOOKUP(INDIRECT(ADDRESS(2,COLUMN())),OFFSET($BN$2,0,0,ROW()-1,60),ROW()-1,FALSE))</f>
        <v>10.640090580000001</v>
      </c>
      <c r="M43">
        <f ca="1">IF(AND(ISNUMBER($M$717),$B$677=1),$M$717,HLOOKUP(INDIRECT(ADDRESS(2,COLUMN())),OFFSET($BN$2,0,0,ROW()-1,60),ROW()-1,FALSE))</f>
        <v>8.5073223200000001</v>
      </c>
      <c r="N43">
        <f ca="1">IF(AND(ISNUMBER($N$717),$B$677=1),$N$717,HLOOKUP(INDIRECT(ADDRESS(2,COLUMN())),OFFSET($BN$2,0,0,ROW()-1,60),ROW()-1,FALSE))</f>
        <v>11.403804770000001</v>
      </c>
      <c r="O43">
        <f ca="1">IF(AND(ISNUMBER($O$717),$B$677=1),$O$717,HLOOKUP(INDIRECT(ADDRESS(2,COLUMN())),OFFSET($BN$2,0,0,ROW()-1,60),ROW()-1,FALSE))</f>
        <v>13.360969130000001</v>
      </c>
      <c r="P43">
        <f ca="1">IF(AND(ISNUMBER($P$717),$B$677=1),$P$717,HLOOKUP(INDIRECT(ADDRESS(2,COLUMN())),OFFSET($BN$2,0,0,ROW()-1,60),ROW()-1,FALSE))</f>
        <v>204.09881110000001</v>
      </c>
      <c r="Q43" t="str">
        <f ca="1">IF(AND(ISNUMBER($Q$717),$B$677=1),$Q$717,HLOOKUP(INDIRECT(ADDRESS(2,COLUMN())),OFFSET($BN$2,0,0,ROW()-1,60),ROW()-1,FALSE))</f>
        <v/>
      </c>
      <c r="R43" t="str">
        <f ca="1">IF(AND(ISNUMBER($R$717),$B$677=1),$R$717,HLOOKUP(INDIRECT(ADDRESS(2,COLUMN())),OFFSET($BN$2,0,0,ROW()-1,60),ROW()-1,FALSE))</f>
        <v/>
      </c>
      <c r="S43">
        <f ca="1">IF(AND(ISNUMBER($S$717),$B$677=1),$S$717,HLOOKUP(INDIRECT(ADDRESS(2,COLUMN())),OFFSET($BN$2,0,0,ROW()-1,60),ROW()-1,FALSE))</f>
        <v>11.67605169</v>
      </c>
      <c r="T43">
        <f ca="1">IF(AND(ISNUMBER($T$717),$B$677=1),$T$717,HLOOKUP(INDIRECT(ADDRESS(2,COLUMN())),OFFSET($BN$2,0,0,ROW()-1,60),ROW()-1,FALSE))</f>
        <v>8.6945858479999991</v>
      </c>
      <c r="U43">
        <f ca="1">IF(AND(ISNUMBER($U$717),$B$677=1),$U$717,HLOOKUP(INDIRECT(ADDRESS(2,COLUMN())),OFFSET($BN$2,0,0,ROW()-1,60),ROW()-1,FALSE))</f>
        <v>9.6226668049999997</v>
      </c>
      <c r="V43">
        <f ca="1">IF(AND(ISNUMBER($V$717),$B$677=1),$V$717,HLOOKUP(INDIRECT(ADDRESS(2,COLUMN())),OFFSET($BN$2,0,0,ROW()-1,60),ROW()-1,FALSE))</f>
        <v>10.52684073</v>
      </c>
      <c r="W43">
        <f ca="1">IF(AND(ISNUMBER($W$717),$B$677=1),$W$717,HLOOKUP(INDIRECT(ADDRESS(2,COLUMN())),OFFSET($BN$2,0,0,ROW()-1,60),ROW()-1,FALSE))</f>
        <v>8.2372771230000001</v>
      </c>
      <c r="X43">
        <f ca="1">IF(AND(ISNUMBER($X$717),$B$677=1),$X$717,HLOOKUP(INDIRECT(ADDRESS(2,COLUMN())),OFFSET($BN$2,0,0,ROW()-1,60),ROW()-1,FALSE))</f>
        <v>7.4329622779999998</v>
      </c>
      <c r="Y43">
        <f ca="1">IF(AND(ISNUMBER($Y$717),$B$677=1),$Y$717,HLOOKUP(INDIRECT(ADDRESS(2,COLUMN())),OFFSET($BN$2,0,0,ROW()-1,60),ROW()-1,FALSE))</f>
        <v>9.4399682550000001</v>
      </c>
      <c r="Z43">
        <f ca="1">IF(AND(ISNUMBER($Z$717),$B$677=1),$Z$717,HLOOKUP(INDIRECT(ADDRESS(2,COLUMN())),OFFSET($BN$2,0,0,ROW()-1,60),ROW()-1,FALSE))</f>
        <v>9.5174683380000005</v>
      </c>
      <c r="AA43">
        <f ca="1">IF(AND(ISNUMBER($AA$717),$B$677=1),$AA$717,HLOOKUP(INDIRECT(ADDRESS(2,COLUMN())),OFFSET($BN$2,0,0,ROW()-1,60),ROW()-1,FALSE))</f>
        <v>10.569451900000001</v>
      </c>
      <c r="AB43">
        <f ca="1">IF(AND(ISNUMBER($AB$717),$B$677=1),$AB$717,HLOOKUP(INDIRECT(ADDRESS(2,COLUMN())),OFFSET($BN$2,0,0,ROW()-1,60),ROW()-1,FALSE))</f>
        <v>9.6928618100000001</v>
      </c>
      <c r="AC43">
        <f ca="1">IF(AND(ISNUMBER($AC$717),$B$677=1),$AC$717,HLOOKUP(INDIRECT(ADDRESS(2,COLUMN())),OFFSET($BN$2,0,0,ROW()-1,60),ROW()-1,FALSE))</f>
        <v>3.9728945229999999</v>
      </c>
      <c r="AD43">
        <f ca="1">IF(AND(ISNUMBER($AD$717),$B$677=1),$AD$717,HLOOKUP(INDIRECT(ADDRESS(2,COLUMN())),OFFSET($BN$2,0,0,ROW()-1,60),ROW()-1,FALSE))</f>
        <v>3.3280305769999998</v>
      </c>
      <c r="AE43">
        <f ca="1">IF(AND(ISNUMBER($AE$717),$B$677=1),$AE$717,HLOOKUP(INDIRECT(ADDRESS(2,COLUMN())),OFFSET($BN$2,0,0,ROW()-1,60),ROW()-1,FALSE))</f>
        <v>3.4946882989999999</v>
      </c>
      <c r="AF43">
        <f ca="1">IF(AND(ISNUMBER($AF$717),$B$677=1),$AF$717,HLOOKUP(INDIRECT(ADDRESS(2,COLUMN())),OFFSET($BN$2,0,0,ROW()-1,60),ROW()-1,FALSE))</f>
        <v>2.7395505149999999</v>
      </c>
      <c r="AG43">
        <f ca="1">IF(AND(ISNUMBER($AG$717),$B$677=1),$AG$717,HLOOKUP(INDIRECT(ADDRESS(2,COLUMN())),OFFSET($BN$2,0,0,ROW()-1,60),ROW()-1,FALSE))</f>
        <v>3.0583960549999998</v>
      </c>
      <c r="AH43">
        <f ca="1">IF(AND(ISNUMBER($AH$717),$B$677=1),$AH$717,HLOOKUP(INDIRECT(ADDRESS(2,COLUMN())),OFFSET($BN$2,0,0,ROW()-1,60),ROW()-1,FALSE))</f>
        <v>3.3272877159999998</v>
      </c>
      <c r="AI43">
        <f ca="1">IF(AND(ISNUMBER($AI$717),$B$677=1),$AI$717,HLOOKUP(INDIRECT(ADDRESS(2,COLUMN())),OFFSET($BN$2,0,0,ROW()-1,60),ROW()-1,FALSE))</f>
        <v>3.1314199399999998</v>
      </c>
      <c r="AJ43">
        <f ca="1">IF(AND(ISNUMBER($AJ$717),$B$677=1),$AJ$717,HLOOKUP(INDIRECT(ADDRESS(2,COLUMN())),OFFSET($BN$2,0,0,ROW()-1,60),ROW()-1,FALSE))</f>
        <v>2.6718281789999998</v>
      </c>
      <c r="AK43">
        <f ca="1">IF(AND(ISNUMBER($AK$717),$B$677=1),$AK$717,HLOOKUP(INDIRECT(ADDRESS(2,COLUMN())),OFFSET($BN$2,0,0,ROW()-1,60),ROW()-1,FALSE))</f>
        <v>5.1857158180000003</v>
      </c>
      <c r="AL43">
        <f ca="1">IF(AND(ISNUMBER($AL$717),$B$677=1),$AL$717,HLOOKUP(INDIRECT(ADDRESS(2,COLUMN())),OFFSET($BN$2,0,0,ROW()-1,60),ROW()-1,FALSE))</f>
        <v>6.3128788910000004</v>
      </c>
      <c r="AM43">
        <f ca="1">IF(AND(ISNUMBER($AM$717),$B$677=1),$AM$717,HLOOKUP(INDIRECT(ADDRESS(2,COLUMN())),OFFSET($BN$2,0,0,ROW()-1,60),ROW()-1,FALSE))</f>
        <v>7.1665474500000004</v>
      </c>
      <c r="AN43">
        <f ca="1">IF(AND(ISNUMBER($AN$717),$B$677=1),$AN$717,HLOOKUP(INDIRECT(ADDRESS(2,COLUMN())),OFFSET($BN$2,0,0,ROW()-1,60),ROW()-1,FALSE))</f>
        <v>9.1646122670000008</v>
      </c>
      <c r="AO43">
        <f ca="1">IF(AND(ISNUMBER($AO$717),$B$677=1),$AO$717,HLOOKUP(INDIRECT(ADDRESS(2,COLUMN())),OFFSET($BN$2,0,0,ROW()-1,60),ROW()-1,FALSE))</f>
        <v>14.728039280000001</v>
      </c>
      <c r="AP43">
        <f ca="1">IF(AND(ISNUMBER($AP$717),$B$677=1),$AP$717,HLOOKUP(INDIRECT(ADDRESS(2,COLUMN())),OFFSET($BN$2,0,0,ROW()-1,60),ROW()-1,FALSE))</f>
        <v>25.901822540000001</v>
      </c>
      <c r="AQ43">
        <f ca="1">IF(AND(ISNUMBER($AQ$717),$B$677=1),$AQ$717,HLOOKUP(INDIRECT(ADDRESS(2,COLUMN())),OFFSET($BN$2,0,0,ROW()-1,60),ROW()-1,FALSE))</f>
        <v>32.293429000000003</v>
      </c>
      <c r="AR43">
        <f ca="1">IF(AND(ISNUMBER($AR$717),$B$677=1),$AR$717,HLOOKUP(INDIRECT(ADDRESS(2,COLUMN())),OFFSET($BN$2,0,0,ROW()-1,60),ROW()-1,FALSE))</f>
        <v>26.666666670000001</v>
      </c>
      <c r="AS43">
        <f ca="1">IF(AND(ISNUMBER($AS$717),$B$677=1),$AS$717,HLOOKUP(INDIRECT(ADDRESS(2,COLUMN())),OFFSET($BN$2,0,0,ROW()-1,60),ROW()-1,FALSE))</f>
        <v>35.310395309999997</v>
      </c>
      <c r="AT43">
        <f ca="1">IF(AND(ISNUMBER($AT$717),$B$677=1),$AT$717,HLOOKUP(INDIRECT(ADDRESS(2,COLUMN())),OFFSET($BN$2,0,0,ROW()-1,60),ROW()-1,FALSE))</f>
        <v>22.38791423</v>
      </c>
      <c r="AU43">
        <f ca="1">IF(AND(ISNUMBER($AU$717),$B$677=1),$AU$717,HLOOKUP(INDIRECT(ADDRESS(2,COLUMN())),OFFSET($BN$2,0,0,ROW()-1,60),ROW()-1,FALSE))</f>
        <v>20.920502089999999</v>
      </c>
      <c r="AV43">
        <f ca="1">IF(AND(ISNUMBER($AV$717),$B$677=1),$AV$717,HLOOKUP(INDIRECT(ADDRESS(2,COLUMN())),OFFSET($BN$2,0,0,ROW()-1,60),ROW()-1,FALSE))</f>
        <v>22.05859066</v>
      </c>
      <c r="AW43">
        <f ca="1">IF(AND(ISNUMBER($AW$717),$B$677=1),$AW$717,HLOOKUP(INDIRECT(ADDRESS(2,COLUMN())),OFFSET($BN$2,0,0,ROW()-1,60),ROW()-1,FALSE))</f>
        <v>15.246038370000001</v>
      </c>
      <c r="AX43">
        <f ca="1">IF(AND(ISNUMBER($AX$717),$B$677=1),$AX$717,HLOOKUP(INDIRECT(ADDRESS(2,COLUMN())),OFFSET($BN$2,0,0,ROW()-1,60),ROW()-1,FALSE))</f>
        <v>16.794520550000001</v>
      </c>
      <c r="AY43">
        <f ca="1">IF(AND(ISNUMBER($AY$717),$B$677=1),$AY$717,HLOOKUP(INDIRECT(ADDRESS(2,COLUMN())),OFFSET($BN$2,0,0,ROW()-1,60),ROW()-1,FALSE))</f>
        <v>14.88560534</v>
      </c>
      <c r="AZ43">
        <f ca="1">IF(AND(ISNUMBER($AZ$717),$B$677=1),$AZ$717,HLOOKUP(INDIRECT(ADDRESS(2,COLUMN())),OFFSET($BN$2,0,0,ROW()-1,60),ROW()-1,FALSE))</f>
        <v>13.98589065</v>
      </c>
      <c r="BA43">
        <f ca="1">IF(AND(ISNUMBER($BA$717),$B$677=1),$BA$717,HLOOKUP(INDIRECT(ADDRESS(2,COLUMN())),OFFSET($BN$2,0,0,ROW()-1,60),ROW()-1,FALSE))</f>
        <v>13.059933409999999</v>
      </c>
      <c r="BB43">
        <f ca="1">IF(AND(ISNUMBER($BB$717),$B$677=1),$BB$717,HLOOKUP(INDIRECT(ADDRESS(2,COLUMN())),OFFSET($BN$2,0,0,ROW()-1,60),ROW()-1,FALSE))</f>
        <v>18.579207920000002</v>
      </c>
      <c r="BC43">
        <f ca="1">IF(AND(ISNUMBER($BC$717),$B$677=1),$BC$717,HLOOKUP(INDIRECT(ADDRESS(2,COLUMN())),OFFSET($BN$2,0,0,ROW()-1,60),ROW()-1,FALSE))</f>
        <v>17.077380949999998</v>
      </c>
      <c r="BD43">
        <f ca="1">IF(AND(ISNUMBER($BD$717),$B$677=1),$BD$717,HLOOKUP(INDIRECT(ADDRESS(2,COLUMN())),OFFSET($BN$2,0,0,ROW()-1,60),ROW()-1,FALSE))</f>
        <v>29.986666670000002</v>
      </c>
      <c r="BE43">
        <f ca="1">IF(AND(ISNUMBER($BE$717),$B$677=1),$BE$717,HLOOKUP(INDIRECT(ADDRESS(2,COLUMN())),OFFSET($BN$2,0,0,ROW()-1,60),ROW()-1,FALSE))</f>
        <v>19.723021580000001</v>
      </c>
      <c r="BF43">
        <f ca="1">IF(AND(ISNUMBER($BF$717),$B$677=1),$BF$717,HLOOKUP(INDIRECT(ADDRESS(2,COLUMN())),OFFSET($BN$2,0,0,ROW()-1,60),ROW()-1,FALSE))</f>
        <v>18.152492670000001</v>
      </c>
      <c r="BG43">
        <f ca="1">IF(AND(ISNUMBER($BG$717),$B$677=1),$BG$717,HLOOKUP(INDIRECT(ADDRESS(2,COLUMN())),OFFSET($BN$2,0,0,ROW()-1,60),ROW()-1,FALSE))</f>
        <v>16.340659339999998</v>
      </c>
      <c r="BH43">
        <f ca="1">IF(AND(ISNUMBER($BH$717),$B$677=1),$BH$717,HLOOKUP(INDIRECT(ADDRESS(2,COLUMN())),OFFSET($BN$2,0,0,ROW()-1,60),ROW()-1,FALSE))</f>
        <v>23.226244340000001</v>
      </c>
      <c r="BI43">
        <f ca="1">IF(AND(ISNUMBER($BI$717),$B$677=1),$BI$717,HLOOKUP(INDIRECT(ADDRESS(2,COLUMN())),OFFSET($BN$2,0,0,ROW()-1,60),ROW()-1,FALSE))</f>
        <v>20.955555560000001</v>
      </c>
      <c r="BJ43">
        <f ca="1">IF(AND(ISNUMBER($BJ$717),$B$677=1),$BJ$717,HLOOKUP(INDIRECT(ADDRESS(2,COLUMN())),OFFSET($BN$2,0,0,ROW()-1,60),ROW()-1,FALSE))</f>
        <v>18.90206186</v>
      </c>
      <c r="BK43">
        <f ca="1">IF(AND(ISNUMBER($BK$717),$B$677=1),$BK$717,HLOOKUP(INDIRECT(ADDRESS(2,COLUMN())),OFFSET($BN$2,0,0,ROW()-1,60),ROW()-1,FALSE))</f>
        <v>18.324175820000001</v>
      </c>
      <c r="BL43">
        <f ca="1">IF(AND(ISNUMBER($BL$717),$B$677=1),$BL$717,HLOOKUP(INDIRECT(ADDRESS(2,COLUMN())),OFFSET($BN$2,0,0,ROW()-1,60),ROW()-1,FALSE))</f>
        <v>16.19895288</v>
      </c>
      <c r="BM43">
        <f ca="1">IF(AND(ISNUMBER($BM$717),$B$677=1),$BM$717,HLOOKUP(INDIRECT(ADDRESS(2,COLUMN())),OFFSET($BN$2,0,0,ROW()-1,60),ROW()-1,FALSE))</f>
        <v>15.21929825</v>
      </c>
      <c r="BN43">
        <f>6.580654861</f>
        <v>6.5806548610000002</v>
      </c>
      <c r="BO43">
        <f>6.034074431</f>
        <v>6.0340744309999996</v>
      </c>
      <c r="BP43">
        <f>5.791652348</f>
        <v>5.7916523480000004</v>
      </c>
      <c r="BQ43">
        <f>6.308942634</f>
        <v>6.3089426340000001</v>
      </c>
      <c r="BR43">
        <f>7.388264071</f>
        <v>7.388264071</v>
      </c>
      <c r="BS43">
        <f>7.585949778</f>
        <v>7.5859497779999998</v>
      </c>
      <c r="BT43">
        <f>10.64009058</f>
        <v>10.640090580000001</v>
      </c>
      <c r="BU43">
        <f>8.50732232</f>
        <v>8.5073223200000001</v>
      </c>
      <c r="BV43">
        <f>11.40380477</f>
        <v>11.403804770000001</v>
      </c>
      <c r="BW43">
        <f>13.36096913</f>
        <v>13.360969130000001</v>
      </c>
      <c r="BX43">
        <f>204.0988111</f>
        <v>204.09881110000001</v>
      </c>
      <c r="BY43" t="str">
        <f>""</f>
        <v/>
      </c>
      <c r="BZ43" t="str">
        <f>""</f>
        <v/>
      </c>
      <c r="CA43">
        <f>11.67605169</f>
        <v>11.67605169</v>
      </c>
      <c r="CB43">
        <f>8.694585848</f>
        <v>8.6945858479999991</v>
      </c>
      <c r="CC43">
        <f>9.622666805</f>
        <v>9.6226668049999997</v>
      </c>
      <c r="CD43">
        <f>10.52684073</f>
        <v>10.52684073</v>
      </c>
      <c r="CE43">
        <f>8.237277123</f>
        <v>8.2372771230000001</v>
      </c>
      <c r="CF43">
        <f>7.432962278</f>
        <v>7.4329622779999998</v>
      </c>
      <c r="CG43">
        <f>9.439968255</f>
        <v>9.4399682550000001</v>
      </c>
      <c r="CH43">
        <f>9.517468338</f>
        <v>9.5174683380000005</v>
      </c>
      <c r="CI43">
        <f>10.5694519</f>
        <v>10.569451900000001</v>
      </c>
      <c r="CJ43">
        <f>9.69286181</f>
        <v>9.6928618100000001</v>
      </c>
      <c r="CK43">
        <f>3.972894523</f>
        <v>3.9728945229999999</v>
      </c>
      <c r="CL43">
        <f>3.328030577</f>
        <v>3.3280305769999998</v>
      </c>
      <c r="CM43">
        <f>3.494688299</f>
        <v>3.4946882989999999</v>
      </c>
      <c r="CN43">
        <f>2.739550515</f>
        <v>2.7395505149999999</v>
      </c>
      <c r="CO43">
        <f>3.058396055</f>
        <v>3.0583960549999998</v>
      </c>
      <c r="CP43">
        <f>3.327287716</f>
        <v>3.3272877159999998</v>
      </c>
      <c r="CQ43">
        <f>3.13141994</f>
        <v>3.1314199399999998</v>
      </c>
      <c r="CR43">
        <f>2.671828179</f>
        <v>2.6718281789999998</v>
      </c>
      <c r="CS43">
        <f>5.185715818</f>
        <v>5.1857158180000003</v>
      </c>
      <c r="CT43">
        <f>6.312878891</f>
        <v>6.3128788910000004</v>
      </c>
      <c r="CU43">
        <f>7.16654745</f>
        <v>7.1665474500000004</v>
      </c>
      <c r="CV43">
        <f>9.164612267</f>
        <v>9.1646122670000008</v>
      </c>
      <c r="CW43">
        <f>14.72803928</f>
        <v>14.728039280000001</v>
      </c>
      <c r="CX43">
        <f>25.90182254</f>
        <v>25.901822540000001</v>
      </c>
      <c r="CY43">
        <f>32.293429</f>
        <v>32.293429000000003</v>
      </c>
      <c r="CZ43">
        <f>26.66666667</f>
        <v>26.666666670000001</v>
      </c>
      <c r="DA43">
        <f>35.31039531</f>
        <v>35.310395309999997</v>
      </c>
      <c r="DB43">
        <f>22.38791423</f>
        <v>22.38791423</v>
      </c>
      <c r="DC43">
        <f>20.92050209</f>
        <v>20.920502089999999</v>
      </c>
      <c r="DD43">
        <f>22.05859066</f>
        <v>22.05859066</v>
      </c>
      <c r="DE43">
        <f>15.24603837</f>
        <v>15.246038370000001</v>
      </c>
      <c r="DF43">
        <f>16.79452055</f>
        <v>16.794520550000001</v>
      </c>
      <c r="DG43">
        <f>14.88560534</f>
        <v>14.88560534</v>
      </c>
      <c r="DH43">
        <f>13.98589065</f>
        <v>13.98589065</v>
      </c>
      <c r="DI43">
        <f>13.05993341</f>
        <v>13.059933409999999</v>
      </c>
      <c r="DJ43">
        <f>18.57920792</f>
        <v>18.579207920000002</v>
      </c>
      <c r="DK43">
        <f>17.07738095</f>
        <v>17.077380949999998</v>
      </c>
      <c r="DL43">
        <f>29.98666667</f>
        <v>29.986666670000002</v>
      </c>
      <c r="DM43">
        <f>19.72302158</f>
        <v>19.723021580000001</v>
      </c>
      <c r="DN43">
        <f>18.15249267</f>
        <v>18.152492670000001</v>
      </c>
      <c r="DO43">
        <f>16.34065934</f>
        <v>16.340659339999998</v>
      </c>
      <c r="DP43">
        <f>23.22624434</f>
        <v>23.226244340000001</v>
      </c>
      <c r="DQ43">
        <f>20.95555556</f>
        <v>20.955555560000001</v>
      </c>
      <c r="DR43">
        <f>18.90206186</f>
        <v>18.90206186</v>
      </c>
      <c r="DS43">
        <f>18.32417582</f>
        <v>18.324175820000001</v>
      </c>
      <c r="DT43">
        <f>16.19895288</f>
        <v>16.19895288</v>
      </c>
      <c r="DU43">
        <f>15.21929825</f>
        <v>15.21929825</v>
      </c>
    </row>
    <row r="44" spans="1:125" x14ac:dyDescent="0.25">
      <c r="A44" t="str">
        <f>"    Yulon Motor Co Ltd"</f>
        <v xml:space="preserve">    Yulon Motor Co Ltd</v>
      </c>
      <c r="B44" t="str">
        <f>"2201 TT Equity"</f>
        <v>2201 TT Equity</v>
      </c>
      <c r="C44" t="str">
        <f t="shared" si="0"/>
        <v>RR900</v>
      </c>
      <c r="D44" t="str">
        <f t="shared" si="1"/>
        <v>PE_RATIO</v>
      </c>
      <c r="E44" t="str">
        <f t="shared" si="2"/>
        <v>Dynamic</v>
      </c>
      <c r="F44">
        <f ca="1">IF(AND(ISNUMBER($F$718),$B$677=1),$F$718,HLOOKUP(INDIRECT(ADDRESS(2,COLUMN())),OFFSET($BN$2,0,0,ROW()-1,60),ROW()-1,FALSE))</f>
        <v>15.3959397</v>
      </c>
      <c r="G44">
        <f ca="1">IF(AND(ISNUMBER($G$718),$B$677=1),$G$718,HLOOKUP(INDIRECT(ADDRESS(2,COLUMN())),OFFSET($BN$2,0,0,ROW()-1,60),ROW()-1,FALSE))</f>
        <v>14.786601709999999</v>
      </c>
      <c r="H44">
        <f ca="1">IF(AND(ISNUMBER($H$718),$B$677=1),$H$718,HLOOKUP(INDIRECT(ADDRESS(2,COLUMN())),OFFSET($BN$2,0,0,ROW()-1,60),ROW()-1,FALSE))</f>
        <v>17.630178969999999</v>
      </c>
      <c r="I44">
        <f ca="1">IF(AND(ISNUMBER($I$718),$B$677=1),$I$718,HLOOKUP(INDIRECT(ADDRESS(2,COLUMN())),OFFSET($BN$2,0,0,ROW()-1,60),ROW()-1,FALSE))</f>
        <v>12.141893270000001</v>
      </c>
      <c r="J44">
        <f ca="1">IF(AND(ISNUMBER($J$718),$B$677=1),$J$718,HLOOKUP(INDIRECT(ADDRESS(2,COLUMN())),OFFSET($BN$2,0,0,ROW()-1,60),ROW()-1,FALSE))</f>
        <v>11.846198599999999</v>
      </c>
      <c r="K44">
        <f ca="1">IF(AND(ISNUMBER($K$718),$B$677=1),$K$718,HLOOKUP(INDIRECT(ADDRESS(2,COLUMN())),OFFSET($BN$2,0,0,ROW()-1,60),ROW()-1,FALSE))</f>
        <v>15.60294227</v>
      </c>
      <c r="L44">
        <f ca="1">IF(AND(ISNUMBER($L$718),$B$677=1),$L$718,HLOOKUP(INDIRECT(ADDRESS(2,COLUMN())),OFFSET($BN$2,0,0,ROW()-1,60),ROW()-1,FALSE))</f>
        <v>23.812303880000002</v>
      </c>
      <c r="M44">
        <f ca="1">IF(AND(ISNUMBER($M$718),$B$677=1),$M$718,HLOOKUP(INDIRECT(ADDRESS(2,COLUMN())),OFFSET($BN$2,0,0,ROW()-1,60),ROW()-1,FALSE))</f>
        <v>34.659052680000002</v>
      </c>
      <c r="N44">
        <f ca="1">IF(AND(ISNUMBER($N$718),$B$677=1),$N$718,HLOOKUP(INDIRECT(ADDRESS(2,COLUMN())),OFFSET($BN$2,0,0,ROW()-1,60),ROW()-1,FALSE))</f>
        <v>27.759407979999999</v>
      </c>
      <c r="O44">
        <f ca="1">IF(AND(ISNUMBER($O$718),$B$677=1),$O$718,HLOOKUP(INDIRECT(ADDRESS(2,COLUMN())),OFFSET($BN$2,0,0,ROW()-1,60),ROW()-1,FALSE))</f>
        <v>28.88949015</v>
      </c>
      <c r="P44">
        <f ca="1">IF(AND(ISNUMBER($P$718),$B$677=1),$P$718,HLOOKUP(INDIRECT(ADDRESS(2,COLUMN())),OFFSET($BN$2,0,0,ROW()-1,60),ROW()-1,FALSE))</f>
        <v>13.92419778</v>
      </c>
      <c r="Q44">
        <f ca="1">IF(AND(ISNUMBER($Q$718),$B$677=1),$Q$718,HLOOKUP(INDIRECT(ADDRESS(2,COLUMN())),OFFSET($BN$2,0,0,ROW()-1,60),ROW()-1,FALSE))</f>
        <v>12.765539589999999</v>
      </c>
      <c r="R44">
        <f ca="1">IF(AND(ISNUMBER($R$718),$B$677=1),$R$718,HLOOKUP(INDIRECT(ADDRESS(2,COLUMN())),OFFSET($BN$2,0,0,ROW()-1,60),ROW()-1,FALSE))</f>
        <v>14.750515679999999</v>
      </c>
      <c r="S44">
        <f ca="1">IF(AND(ISNUMBER($S$718),$B$677=1),$S$718,HLOOKUP(INDIRECT(ADDRESS(2,COLUMN())),OFFSET($BN$2,0,0,ROW()-1,60),ROW()-1,FALSE))</f>
        <v>13.19601323</v>
      </c>
      <c r="T44">
        <f ca="1">IF(AND(ISNUMBER($T$718),$B$677=1),$T$718,HLOOKUP(INDIRECT(ADDRESS(2,COLUMN())),OFFSET($BN$2,0,0,ROW()-1,60),ROW()-1,FALSE))</f>
        <v>21.849952779999999</v>
      </c>
      <c r="U44">
        <f ca="1">IF(AND(ISNUMBER($U$718),$B$677=1),$U$718,HLOOKUP(INDIRECT(ADDRESS(2,COLUMN())),OFFSET($BN$2,0,0,ROW()-1,60),ROW()-1,FALSE))</f>
        <v>22.128420250000001</v>
      </c>
      <c r="V44">
        <f ca="1">IF(AND(ISNUMBER($V$718),$B$677=1),$V$718,HLOOKUP(INDIRECT(ADDRESS(2,COLUMN())),OFFSET($BN$2,0,0,ROW()-1,60),ROW()-1,FALSE))</f>
        <v>27.267004249999999</v>
      </c>
      <c r="W44">
        <f ca="1">IF(AND(ISNUMBER($W$718),$B$677=1),$W$718,HLOOKUP(INDIRECT(ADDRESS(2,COLUMN())),OFFSET($BN$2,0,0,ROW()-1,60),ROW()-1,FALSE))</f>
        <v>30.63586214</v>
      </c>
      <c r="X44">
        <f ca="1">IF(AND(ISNUMBER($X$718),$B$677=1),$X$718,HLOOKUP(INDIRECT(ADDRESS(2,COLUMN())),OFFSET($BN$2,0,0,ROW()-1,60),ROW()-1,FALSE))</f>
        <v>29.499347449999998</v>
      </c>
      <c r="Y44">
        <f ca="1">IF(AND(ISNUMBER($Y$718),$B$677=1),$Y$718,HLOOKUP(INDIRECT(ADDRESS(2,COLUMN())),OFFSET($BN$2,0,0,ROW()-1,60),ROW()-1,FALSE))</f>
        <v>40.757895580000003</v>
      </c>
      <c r="Z44">
        <f ca="1">IF(AND(ISNUMBER($Z$718),$B$677=1),$Z$718,HLOOKUP(INDIRECT(ADDRESS(2,COLUMN())),OFFSET($BN$2,0,0,ROW()-1,60),ROW()-1,FALSE))</f>
        <v>35.36259313</v>
      </c>
      <c r="AA44">
        <f ca="1">IF(AND(ISNUMBER($AA$718),$B$677=1),$AA$718,HLOOKUP(INDIRECT(ADDRESS(2,COLUMN())),OFFSET($BN$2,0,0,ROW()-1,60),ROW()-1,FALSE))</f>
        <v>33.283880060000001</v>
      </c>
      <c r="AB44">
        <f ca="1">IF(AND(ISNUMBER($AB$718),$B$677=1),$AB$718,HLOOKUP(INDIRECT(ADDRESS(2,COLUMN())),OFFSET($BN$2,0,0,ROW()-1,60),ROW()-1,FALSE))</f>
        <v>23.62653465</v>
      </c>
      <c r="AC44">
        <f ca="1">IF(AND(ISNUMBER($AC$718),$B$677=1),$AC$718,HLOOKUP(INDIRECT(ADDRESS(2,COLUMN())),OFFSET($BN$2,0,0,ROW()-1,60),ROW()-1,FALSE))</f>
        <v>24.1801177</v>
      </c>
      <c r="AD44">
        <f ca="1">IF(AND(ISNUMBER($AD$718),$B$677=1),$AD$718,HLOOKUP(INDIRECT(ADDRESS(2,COLUMN())),OFFSET($BN$2,0,0,ROW()-1,60),ROW()-1,FALSE))</f>
        <v>26.499899259999999</v>
      </c>
      <c r="AE44">
        <f ca="1">IF(AND(ISNUMBER($AE$718),$B$677=1),$AE$718,HLOOKUP(INDIRECT(ADDRESS(2,COLUMN())),OFFSET($BN$2,0,0,ROW()-1,60),ROW()-1,FALSE))</f>
        <v>27.159125809999999</v>
      </c>
      <c r="AF44">
        <f ca="1">IF(AND(ISNUMBER($AF$718),$B$677=1),$AF$718,HLOOKUP(INDIRECT(ADDRESS(2,COLUMN())),OFFSET($BN$2,0,0,ROW()-1,60),ROW()-1,FALSE))</f>
        <v>27.604495880000002</v>
      </c>
      <c r="AG44">
        <f ca="1">IF(AND(ISNUMBER($AG$718),$B$677=1),$AG$718,HLOOKUP(INDIRECT(ADDRESS(2,COLUMN())),OFFSET($BN$2,0,0,ROW()-1,60),ROW()-1,FALSE))</f>
        <v>23.317875600000001</v>
      </c>
      <c r="AH44">
        <f ca="1">IF(AND(ISNUMBER($AH$718),$B$677=1),$AH$718,HLOOKUP(INDIRECT(ADDRESS(2,COLUMN())),OFFSET($BN$2,0,0,ROW()-1,60),ROW()-1,FALSE))</f>
        <v>26.230789089999998</v>
      </c>
      <c r="AI44">
        <f ca="1">IF(AND(ISNUMBER($AI$718),$B$677=1),$AI$718,HLOOKUP(INDIRECT(ADDRESS(2,COLUMN())),OFFSET($BN$2,0,0,ROW()-1,60),ROW()-1,FALSE))</f>
        <v>22.805567190000001</v>
      </c>
      <c r="AJ44">
        <f ca="1">IF(AND(ISNUMBER($AJ$718),$B$677=1),$AJ$718,HLOOKUP(INDIRECT(ADDRESS(2,COLUMN())),OFFSET($BN$2,0,0,ROW()-1,60),ROW()-1,FALSE))</f>
        <v>22.863057019999999</v>
      </c>
      <c r="AK44">
        <f ca="1">IF(AND(ISNUMBER($AK$718),$B$677=1),$AK$718,HLOOKUP(INDIRECT(ADDRESS(2,COLUMN())),OFFSET($BN$2,0,0,ROW()-1,60),ROW()-1,FALSE))</f>
        <v>27.36459185</v>
      </c>
      <c r="AL44">
        <f ca="1">IF(AND(ISNUMBER($AL$718),$B$677=1),$AL$718,HLOOKUP(INDIRECT(ADDRESS(2,COLUMN())),OFFSET($BN$2,0,0,ROW()-1,60),ROW()-1,FALSE))</f>
        <v>21.327539160000001</v>
      </c>
      <c r="AM44">
        <f ca="1">IF(AND(ISNUMBER($AM$718),$B$677=1),$AM$718,HLOOKUP(INDIRECT(ADDRESS(2,COLUMN())),OFFSET($BN$2,0,0,ROW()-1,60),ROW()-1,FALSE))</f>
        <v>23.585590849999999</v>
      </c>
      <c r="AN44">
        <f ca="1">IF(AND(ISNUMBER($AN$718),$B$677=1),$AN$718,HLOOKUP(INDIRECT(ADDRESS(2,COLUMN())),OFFSET($BN$2,0,0,ROW()-1,60),ROW()-1,FALSE))</f>
        <v>29.937767659999999</v>
      </c>
      <c r="AO44">
        <f ca="1">IF(AND(ISNUMBER($AO$718),$B$677=1),$AO$718,HLOOKUP(INDIRECT(ADDRESS(2,COLUMN())),OFFSET($BN$2,0,0,ROW()-1,60),ROW()-1,FALSE))</f>
        <v>17.54698647</v>
      </c>
      <c r="AP44">
        <f ca="1">IF(AND(ISNUMBER($AP$718),$B$677=1),$AP$718,HLOOKUP(INDIRECT(ADDRESS(2,COLUMN())),OFFSET($BN$2,0,0,ROW()-1,60),ROW()-1,FALSE))</f>
        <v>22.906730939999999</v>
      </c>
      <c r="AQ44">
        <f ca="1">IF(AND(ISNUMBER($AQ$718),$B$677=1),$AQ$718,HLOOKUP(INDIRECT(ADDRESS(2,COLUMN())),OFFSET($BN$2,0,0,ROW()-1,60),ROW()-1,FALSE))</f>
        <v>52.44495019</v>
      </c>
      <c r="AR44">
        <f ca="1">IF(AND(ISNUMBER($AR$718),$B$677=1),$AR$718,HLOOKUP(INDIRECT(ADDRESS(2,COLUMN())),OFFSET($BN$2,0,0,ROW()-1,60),ROW()-1,FALSE))</f>
        <v>41.986966430000003</v>
      </c>
      <c r="AS44">
        <f ca="1">IF(AND(ISNUMBER($AS$718),$B$677=1),$AS$718,HLOOKUP(INDIRECT(ADDRESS(2,COLUMN())),OFFSET($BN$2,0,0,ROW()-1,60),ROW()-1,FALSE))</f>
        <v>100.2583581</v>
      </c>
      <c r="AT44">
        <f ca="1">IF(AND(ISNUMBER($AT$718),$B$677=1),$AT$718,HLOOKUP(INDIRECT(ADDRESS(2,COLUMN())),OFFSET($BN$2,0,0,ROW()-1,60),ROW()-1,FALSE))</f>
        <v>62.338880070000002</v>
      </c>
      <c r="AU44">
        <f ca="1">IF(AND(ISNUMBER($AU$718),$B$677=1),$AU$718,HLOOKUP(INDIRECT(ADDRESS(2,COLUMN())),OFFSET($BN$2,0,0,ROW()-1,60),ROW()-1,FALSE))</f>
        <v>50.955258489999999</v>
      </c>
      <c r="AV44">
        <f ca="1">IF(AND(ISNUMBER($AV$718),$B$677=1),$AV$718,HLOOKUP(INDIRECT(ADDRESS(2,COLUMN())),OFFSET($BN$2,0,0,ROW()-1,60),ROW()-1,FALSE))</f>
        <v>22.02307459</v>
      </c>
      <c r="AW44" t="str">
        <f ca="1">IF(AND(ISNUMBER($AW$718),$B$677=1),$AW$718,HLOOKUP(INDIRECT(ADDRESS(2,COLUMN())),OFFSET($BN$2,0,0,ROW()-1,60),ROW()-1,FALSE))</f>
        <v/>
      </c>
      <c r="AX44" t="str">
        <f ca="1">IF(AND(ISNUMBER($AX$718),$B$677=1),$AX$718,HLOOKUP(INDIRECT(ADDRESS(2,COLUMN())),OFFSET($BN$2,0,0,ROW()-1,60),ROW()-1,FALSE))</f>
        <v/>
      </c>
      <c r="AY44" t="str">
        <f ca="1">IF(AND(ISNUMBER($AY$718),$B$677=1),$AY$718,HLOOKUP(INDIRECT(ADDRESS(2,COLUMN())),OFFSET($BN$2,0,0,ROW()-1,60),ROW()-1,FALSE))</f>
        <v/>
      </c>
      <c r="AZ44" t="str">
        <f ca="1">IF(AND(ISNUMBER($AZ$718),$B$677=1),$AZ$718,HLOOKUP(INDIRECT(ADDRESS(2,COLUMN())),OFFSET($BN$2,0,0,ROW()-1,60),ROW()-1,FALSE))</f>
        <v/>
      </c>
      <c r="BA44" t="str">
        <f ca="1">IF(AND(ISNUMBER($BA$718),$B$677=1),$BA$718,HLOOKUP(INDIRECT(ADDRESS(2,COLUMN())),OFFSET($BN$2,0,0,ROW()-1,60),ROW()-1,FALSE))</f>
        <v/>
      </c>
      <c r="BB44" t="str">
        <f ca="1">IF(AND(ISNUMBER($BB$718),$B$677=1),$BB$718,HLOOKUP(INDIRECT(ADDRESS(2,COLUMN())),OFFSET($BN$2,0,0,ROW()-1,60),ROW()-1,FALSE))</f>
        <v/>
      </c>
      <c r="BC44" t="str">
        <f ca="1">IF(AND(ISNUMBER($BC$718),$B$677=1),$BC$718,HLOOKUP(INDIRECT(ADDRESS(2,COLUMN())),OFFSET($BN$2,0,0,ROW()-1,60),ROW()-1,FALSE))</f>
        <v/>
      </c>
      <c r="BD44" t="str">
        <f ca="1">IF(AND(ISNUMBER($BD$718),$B$677=1),$BD$718,HLOOKUP(INDIRECT(ADDRESS(2,COLUMN())),OFFSET($BN$2,0,0,ROW()-1,60),ROW()-1,FALSE))</f>
        <v/>
      </c>
      <c r="BE44" t="str">
        <f ca="1">IF(AND(ISNUMBER($BE$718),$B$677=1),$BE$718,HLOOKUP(INDIRECT(ADDRESS(2,COLUMN())),OFFSET($BN$2,0,0,ROW()-1,60),ROW()-1,FALSE))</f>
        <v/>
      </c>
      <c r="BF44" t="str">
        <f ca="1">IF(AND(ISNUMBER($BF$718),$B$677=1),$BF$718,HLOOKUP(INDIRECT(ADDRESS(2,COLUMN())),OFFSET($BN$2,0,0,ROW()-1,60),ROW()-1,FALSE))</f>
        <v/>
      </c>
      <c r="BG44" t="str">
        <f ca="1">IF(AND(ISNUMBER($BG$718),$B$677=1),$BG$718,HLOOKUP(INDIRECT(ADDRESS(2,COLUMN())),OFFSET($BN$2,0,0,ROW()-1,60),ROW()-1,FALSE))</f>
        <v/>
      </c>
      <c r="BH44" t="str">
        <f ca="1">IF(AND(ISNUMBER($BH$718),$B$677=1),$BH$718,HLOOKUP(INDIRECT(ADDRESS(2,COLUMN())),OFFSET($BN$2,0,0,ROW()-1,60),ROW()-1,FALSE))</f>
        <v/>
      </c>
      <c r="BI44" t="str">
        <f ca="1">IF(AND(ISNUMBER($BI$718),$B$677=1),$BI$718,HLOOKUP(INDIRECT(ADDRESS(2,COLUMN())),OFFSET($BN$2,0,0,ROW()-1,60),ROW()-1,FALSE))</f>
        <v/>
      </c>
      <c r="BJ44" t="str">
        <f ca="1">IF(AND(ISNUMBER($BJ$718),$B$677=1),$BJ$718,HLOOKUP(INDIRECT(ADDRESS(2,COLUMN())),OFFSET($BN$2,0,0,ROW()-1,60),ROW()-1,FALSE))</f>
        <v/>
      </c>
      <c r="BK44" t="str">
        <f ca="1">IF(AND(ISNUMBER($BK$718),$B$677=1),$BK$718,HLOOKUP(INDIRECT(ADDRESS(2,COLUMN())),OFFSET($BN$2,0,0,ROW()-1,60),ROW()-1,FALSE))</f>
        <v/>
      </c>
      <c r="BL44" t="str">
        <f ca="1">IF(AND(ISNUMBER($BL$718),$B$677=1),$BL$718,HLOOKUP(INDIRECT(ADDRESS(2,COLUMN())),OFFSET($BN$2,0,0,ROW()-1,60),ROW()-1,FALSE))</f>
        <v/>
      </c>
      <c r="BM44" t="str">
        <f ca="1">IF(AND(ISNUMBER($BM$718),$B$677=1),$BM$718,HLOOKUP(INDIRECT(ADDRESS(2,COLUMN())),OFFSET($BN$2,0,0,ROW()-1,60),ROW()-1,FALSE))</f>
        <v/>
      </c>
      <c r="BN44">
        <f>15.3959397</f>
        <v>15.3959397</v>
      </c>
      <c r="BO44">
        <f>14.78660171</f>
        <v>14.786601709999999</v>
      </c>
      <c r="BP44">
        <f>17.63017897</f>
        <v>17.630178969999999</v>
      </c>
      <c r="BQ44">
        <f>12.14189327</f>
        <v>12.141893270000001</v>
      </c>
      <c r="BR44">
        <f>11.8461986</f>
        <v>11.846198599999999</v>
      </c>
      <c r="BS44">
        <f>15.60294227</f>
        <v>15.60294227</v>
      </c>
      <c r="BT44">
        <f>23.81230388</f>
        <v>23.812303880000002</v>
      </c>
      <c r="BU44">
        <f>34.65905268</f>
        <v>34.659052680000002</v>
      </c>
      <c r="BV44">
        <f>27.75940798</f>
        <v>27.759407979999999</v>
      </c>
      <c r="BW44">
        <f>28.88949015</f>
        <v>28.88949015</v>
      </c>
      <c r="BX44">
        <f>13.92419778</f>
        <v>13.92419778</v>
      </c>
      <c r="BY44">
        <f>12.76553959</f>
        <v>12.765539589999999</v>
      </c>
      <c r="BZ44">
        <f>14.75051568</f>
        <v>14.750515679999999</v>
      </c>
      <c r="CA44">
        <f>13.19601323</f>
        <v>13.19601323</v>
      </c>
      <c r="CB44">
        <f>21.84995278</f>
        <v>21.849952779999999</v>
      </c>
      <c r="CC44">
        <f>22.12842025</f>
        <v>22.128420250000001</v>
      </c>
      <c r="CD44">
        <f>27.26700425</f>
        <v>27.267004249999999</v>
      </c>
      <c r="CE44">
        <f>30.63586214</f>
        <v>30.63586214</v>
      </c>
      <c r="CF44">
        <f>29.49934745</f>
        <v>29.499347449999998</v>
      </c>
      <c r="CG44">
        <f>40.75789558</f>
        <v>40.757895580000003</v>
      </c>
      <c r="CH44">
        <f>35.36259313</f>
        <v>35.36259313</v>
      </c>
      <c r="CI44">
        <f>33.28388006</f>
        <v>33.283880060000001</v>
      </c>
      <c r="CJ44">
        <f>23.62653465</f>
        <v>23.62653465</v>
      </c>
      <c r="CK44">
        <f>24.1801177</f>
        <v>24.1801177</v>
      </c>
      <c r="CL44">
        <f>26.49989926</f>
        <v>26.499899259999999</v>
      </c>
      <c r="CM44">
        <f>27.15912581</f>
        <v>27.159125809999999</v>
      </c>
      <c r="CN44">
        <f>27.60449588</f>
        <v>27.604495880000002</v>
      </c>
      <c r="CO44">
        <f>23.3178756</f>
        <v>23.317875600000001</v>
      </c>
      <c r="CP44">
        <f>26.23078909</f>
        <v>26.230789089999998</v>
      </c>
      <c r="CQ44">
        <f>22.80556719</f>
        <v>22.805567190000001</v>
      </c>
      <c r="CR44">
        <f>22.86305702</f>
        <v>22.863057019999999</v>
      </c>
      <c r="CS44">
        <f>27.36459185</f>
        <v>27.36459185</v>
      </c>
      <c r="CT44">
        <f>21.32753916</f>
        <v>21.327539160000001</v>
      </c>
      <c r="CU44">
        <f>23.58559085</f>
        <v>23.585590849999999</v>
      </c>
      <c r="CV44">
        <f>29.93776766</f>
        <v>29.937767659999999</v>
      </c>
      <c r="CW44">
        <f>17.54698647</f>
        <v>17.54698647</v>
      </c>
      <c r="CX44">
        <f>22.90673094</f>
        <v>22.906730939999999</v>
      </c>
      <c r="CY44">
        <f>52.44495019</f>
        <v>52.44495019</v>
      </c>
      <c r="CZ44">
        <f>41.98696643</f>
        <v>41.986966430000003</v>
      </c>
      <c r="DA44">
        <f>100.2583581</f>
        <v>100.2583581</v>
      </c>
      <c r="DB44">
        <f>62.33888007</f>
        <v>62.338880070000002</v>
      </c>
      <c r="DC44">
        <f>50.95525849</f>
        <v>50.955258489999999</v>
      </c>
      <c r="DD44">
        <f>22.02307459</f>
        <v>22.02307459</v>
      </c>
      <c r="DE44" t="str">
        <f>""</f>
        <v/>
      </c>
      <c r="DF44" t="str">
        <f>""</f>
        <v/>
      </c>
      <c r="DG44" t="str">
        <f>""</f>
        <v/>
      </c>
      <c r="DH44" t="str">
        <f>""</f>
        <v/>
      </c>
      <c r="DI44" t="str">
        <f>""</f>
        <v/>
      </c>
      <c r="DJ44" t="str">
        <f>""</f>
        <v/>
      </c>
      <c r="DK44" t="str">
        <f>""</f>
        <v/>
      </c>
      <c r="DL44" t="str">
        <f>""</f>
        <v/>
      </c>
      <c r="DM44" t="str">
        <f>""</f>
        <v/>
      </c>
      <c r="DN44" t="str">
        <f>""</f>
        <v/>
      </c>
      <c r="DO44" t="str">
        <f>""</f>
        <v/>
      </c>
      <c r="DP44" t="str">
        <f>""</f>
        <v/>
      </c>
      <c r="DQ44" t="str">
        <f>""</f>
        <v/>
      </c>
      <c r="DR44" t="str">
        <f>""</f>
        <v/>
      </c>
      <c r="DS44" t="str">
        <f>""</f>
        <v/>
      </c>
      <c r="DT44" t="str">
        <f>""</f>
        <v/>
      </c>
      <c r="DU44" t="str">
        <f>""</f>
        <v/>
      </c>
    </row>
    <row r="45" spans="1:125" x14ac:dyDescent="0.25">
      <c r="A45" t="str">
        <f>"P/E FY1"</f>
        <v>P/E FY1</v>
      </c>
      <c r="B45" t="str">
        <f>"BRAUTOCV Index"</f>
        <v>BRAUTOCV Index</v>
      </c>
      <c r="E45" t="str">
        <f>"Average"</f>
        <v>Average</v>
      </c>
      <c r="F45">
        <f ca="1">IF(ISERROR(IF(AVERAGE($F$46:$F$85) = 0, "", AVERAGE($F$46:$F$85))), "", (IF(AVERAGE($F$46:$F$85) = 0, "", AVERAGE($F$46:$F$85))))</f>
        <v>45.131755565032265</v>
      </c>
      <c r="G45">
        <f ca="1">IF(ISERROR(IF(AVERAGE($G$46:$G$85) = 0, "", AVERAGE($G$46:$G$85))), "", (IF(AVERAGE($G$46:$G$85) = 0, "", AVERAGE($G$46:$G$85))))</f>
        <v>11.631560625677421</v>
      </c>
      <c r="H45">
        <f ca="1">IF(ISERROR(IF(AVERAGE($H$46:$H$85) = 0, "", AVERAGE($H$46:$H$85))), "", (IF(AVERAGE($H$46:$H$85) = 0, "", AVERAGE($H$46:$H$85))))</f>
        <v>13.683711999967741</v>
      </c>
      <c r="I45">
        <f ca="1">IF(ISERROR(IF(AVERAGE($I$46:$I$85) = 0, "", AVERAGE($I$46:$I$85))), "", (IF(AVERAGE($I$46:$I$85) = 0, "", AVERAGE($I$46:$I$85))))</f>
        <v>13.949673720129033</v>
      </c>
      <c r="J45">
        <f ca="1">IF(ISERROR(IF(AVERAGE($J$46:$J$85) = 0, "", AVERAGE($J$46:$J$85))), "", (IF(AVERAGE($J$46:$J$85) = 0, "", AVERAGE($J$46:$J$85))))</f>
        <v>16.849481654741936</v>
      </c>
      <c r="K45">
        <f ca="1">IF(ISERROR(IF(AVERAGE($K$46:$K$85) = 0, "", AVERAGE($K$46:$K$85))), "", (IF(AVERAGE($K$46:$K$85) = 0, "", AVERAGE($K$46:$K$85))))</f>
        <v>16.904692366625</v>
      </c>
      <c r="L45">
        <f ca="1">IF(ISERROR(IF(AVERAGE($L$46:$L$85) = 0, "", AVERAGE($L$46:$L$85))), "", (IF(AVERAGE($L$46:$L$85) = 0, "", AVERAGE($L$46:$L$85))))</f>
        <v>14.909511123870969</v>
      </c>
      <c r="M45">
        <f ca="1">IF(ISERROR(IF(AVERAGE($M$46:$M$85) = 0, "", AVERAGE($M$46:$M$85))), "", (IF(AVERAGE($M$46:$M$85) = 0, "", AVERAGE($M$46:$M$85))))</f>
        <v>14.273017685562502</v>
      </c>
      <c r="N45">
        <f ca="1">IF(ISERROR(IF(AVERAGE($N$46:$N$85) = 0, "", AVERAGE($N$46:$N$85))), "", (IF(AVERAGE($N$46:$N$85) = 0, "", AVERAGE($N$46:$N$85))))</f>
        <v>10.743660928468749</v>
      </c>
      <c r="O45">
        <f ca="1">IF(ISERROR(IF(AVERAGE($O$46:$O$85) = 0, "", AVERAGE($O$46:$O$85))), "", (IF(AVERAGE($O$46:$O$85) = 0, "", AVERAGE($O$46:$O$85))))</f>
        <v>22.841995019193547</v>
      </c>
      <c r="P45">
        <f ca="1">IF(ISERROR(IF(AVERAGE($P$46:$P$85) = 0, "", AVERAGE($P$46:$P$85))), "", (IF(AVERAGE($P$46:$P$85) = 0, "", AVERAGE($P$46:$P$85))))</f>
        <v>21.223100769499997</v>
      </c>
      <c r="Q45">
        <f ca="1">IF(ISERROR(IF(AVERAGE($Q$46:$Q$85) = 0, "", AVERAGE($Q$46:$Q$85))), "", (IF(AVERAGE($Q$46:$Q$85) = 0, "", AVERAGE($Q$46:$Q$85))))</f>
        <v>20.43107329415151</v>
      </c>
      <c r="R45">
        <f ca="1">IF(ISERROR(IF(AVERAGE($R$46:$R$85) = 0, "", AVERAGE($R$46:$R$85))), "", (IF(AVERAGE($R$46:$R$85) = 0, "", AVERAGE($R$46:$R$85))))</f>
        <v>8.469931435714285</v>
      </c>
      <c r="S45">
        <f ca="1">IF(ISERROR(IF(AVERAGE($S$46:$S$85) = 0, "", AVERAGE($S$46:$S$85))), "", (IF(AVERAGE($S$46:$S$85) = 0, "", AVERAGE($S$46:$S$85))))</f>
        <v>7.8654021021481508</v>
      </c>
      <c r="T45">
        <f ca="1">IF(ISERROR(IF(AVERAGE($T$46:$T$85) = 0, "", AVERAGE($T$46:$T$85))), "", (IF(AVERAGE($T$46:$T$85) = 0, "", AVERAGE($T$46:$T$85))))</f>
        <v>7.4582314485000003</v>
      </c>
      <c r="U45">
        <f ca="1">IF(ISERROR(IF(AVERAGE($U$46:$U$85) = 0, "", AVERAGE($U$46:$U$85))), "", (IF(AVERAGE($U$46:$U$85) = 0, "", AVERAGE($U$46:$U$85))))</f>
        <v>7.2083914191153857</v>
      </c>
      <c r="V45">
        <f ca="1">IF(ISERROR(IF(AVERAGE($V$46:$V$85) = 0, "", AVERAGE($V$46:$V$85))), "", (IF(AVERAGE($V$46:$V$85) = 0, "", AVERAGE($V$46:$V$85))))</f>
        <v>7.482729082583333</v>
      </c>
      <c r="W45">
        <f ca="1">IF(ISERROR(IF(AVERAGE($W$46:$W$85) = 0, "", AVERAGE($W$46:$W$85))), "", (IF(AVERAGE($W$46:$W$85) = 0, "", AVERAGE($W$46:$W$85))))</f>
        <v>6.8814992644999986</v>
      </c>
      <c r="X45">
        <f ca="1">IF(ISERROR(IF(AVERAGE($X$46:$X$85) = 0, "", AVERAGE($X$46:$X$85))), "", (IF(AVERAGE($X$46:$X$85) = 0, "", AVERAGE($X$46:$X$85))))</f>
        <v>7.0893157898461538</v>
      </c>
      <c r="Y45">
        <f ca="1">IF(ISERROR(IF(AVERAGE($Y$46:$Y$85) = 0, "", AVERAGE($Y$46:$Y$85))), "", (IF(AVERAGE($Y$46:$Y$85) = 0, "", AVERAGE($Y$46:$Y$85))))</f>
        <v>7.0793190203333332</v>
      </c>
      <c r="Z45">
        <f ca="1">IF(ISERROR(IF(AVERAGE($Z$46:$Z$85) = 0, "", AVERAGE($Z$46:$Z$85))), "", (IF(AVERAGE($Z$46:$Z$85) = 0, "", AVERAGE($Z$46:$Z$85))))</f>
        <v>7.092278952800001</v>
      </c>
      <c r="AA45">
        <f ca="1">IF(ISERROR(IF(AVERAGE($AA$46:$AA$85) = 0, "", AVERAGE($AA$46:$AA$85))), "", (IF(AVERAGE($AA$46:$AA$85) = 0, "", AVERAGE($AA$46:$AA$85))))</f>
        <v>7.0662706790000005</v>
      </c>
      <c r="AB45">
        <f ca="1">IF(ISERROR(IF(AVERAGE($AB$46:$AB$85) = 0, "", AVERAGE($AB$46:$AB$85))), "", (IF(AVERAGE($AB$46:$AB$85) = 0, "", AVERAGE($AB$46:$AB$85))))</f>
        <v>10.9405818595</v>
      </c>
      <c r="AC45">
        <f ca="1">IF(ISERROR(IF(AVERAGE($AC$46:$AC$85) = 0, "", AVERAGE($AC$46:$AC$85))), "", (IF(AVERAGE($AC$46:$AC$85) = 0, "", AVERAGE($AC$46:$AC$85))))</f>
        <v>8.5276512664999995</v>
      </c>
      <c r="AD45">
        <f ca="1">IF(ISERROR(IF(AVERAGE($AD$46:$AD$85) = 0, "", AVERAGE($AD$46:$AD$85))), "", (IF(AVERAGE($AD$46:$AD$85) = 0, "", AVERAGE($AD$46:$AD$85))))</f>
        <v>2.865255635</v>
      </c>
      <c r="AE45">
        <f ca="1">IF(ISERROR(IF(AVERAGE($AE$46:$AE$85) = 0, "", AVERAGE($AE$46:$AE$85))), "", (IF(AVERAGE($AE$46:$AE$85) = 0, "", AVERAGE($AE$46:$AE$85))))</f>
        <v>2.6948647084999999</v>
      </c>
      <c r="AF45">
        <f ca="1">IF(ISERROR(IF(AVERAGE($AF$46:$AF$85) = 0, "", AVERAGE($AF$46:$AF$85))), "", (IF(AVERAGE($AF$46:$AF$85) = 0, "", AVERAGE($AF$46:$AF$85))))</f>
        <v>1.7902255555</v>
      </c>
      <c r="AG45">
        <f ca="1">IF(ISERROR(IF(AVERAGE($AG$46:$AG$85) = 0, "", AVERAGE($AG$46:$AG$85))), "", (IF(AVERAGE($AG$46:$AG$85) = 0, "", AVERAGE($AG$46:$AG$85))))</f>
        <v>2.0285117124999998</v>
      </c>
      <c r="AH45">
        <f ca="1">IF(ISERROR(IF(AVERAGE($AH$46:$AH$85) = 0, "", AVERAGE($AH$46:$AH$85))), "", (IF(AVERAGE($AH$46:$AH$85) = 0, "", AVERAGE($AH$46:$AH$85))))</f>
        <v>2.3335417110000001</v>
      </c>
      <c r="AI45" t="str">
        <f ca="1">IF(ISERROR(IF(AVERAGE($AI$46:$AI$85) = 0, "", AVERAGE($AI$46:$AI$85))), "", (IF(AVERAGE($AI$46:$AI$85) = 0, "", AVERAGE($AI$46:$AI$85))))</f>
        <v/>
      </c>
      <c r="AJ45" t="str">
        <f ca="1">IF(ISERROR(IF(AVERAGE($AJ$46:$AJ$85) = 0, "", AVERAGE($AJ$46:$AJ$85))), "", (IF(AVERAGE($AJ$46:$AJ$85) = 0, "", AVERAGE($AJ$46:$AJ$85))))</f>
        <v/>
      </c>
      <c r="AK45" t="str">
        <f ca="1">IF(ISERROR(IF(AVERAGE($AK$46:$AK$85) = 0, "", AVERAGE($AK$46:$AK$85))), "", (IF(AVERAGE($AK$46:$AK$85) = 0, "", AVERAGE($AK$46:$AK$85))))</f>
        <v/>
      </c>
      <c r="AL45" t="str">
        <f ca="1">IF(ISERROR(IF(AVERAGE($AL$46:$AL$85) = 0, "", AVERAGE($AL$46:$AL$85))), "", (IF(AVERAGE($AL$46:$AL$85) = 0, "", AVERAGE($AL$46:$AL$85))))</f>
        <v/>
      </c>
      <c r="AM45" t="str">
        <f ca="1">IF(ISERROR(IF(AVERAGE($AM$46:$AM$85) = 0, "", AVERAGE($AM$46:$AM$85))), "", (IF(AVERAGE($AM$46:$AM$85) = 0, "", AVERAGE($AM$46:$AM$85))))</f>
        <v/>
      </c>
      <c r="AN45" t="str">
        <f ca="1">IF(ISERROR(IF(AVERAGE($AN$46:$AN$85) = 0, "", AVERAGE($AN$46:$AN$85))), "", (IF(AVERAGE($AN$46:$AN$85) = 0, "", AVERAGE($AN$46:$AN$85))))</f>
        <v/>
      </c>
      <c r="AO45" t="str">
        <f ca="1">IF(ISERROR(IF(AVERAGE($AO$46:$AO$85) = 0, "", AVERAGE($AO$46:$AO$85))), "", (IF(AVERAGE($AO$46:$AO$85) = 0, "", AVERAGE($AO$46:$AO$85))))</f>
        <v/>
      </c>
      <c r="AP45" t="str">
        <f ca="1">IF(ISERROR(IF(AVERAGE($AP$46:$AP$85) = 0, "", AVERAGE($AP$46:$AP$85))), "", (IF(AVERAGE($AP$46:$AP$85) = 0, "", AVERAGE($AP$46:$AP$85))))</f>
        <v/>
      </c>
      <c r="AQ45" t="str">
        <f ca="1">IF(ISERROR(IF(AVERAGE($AQ$46:$AQ$85) = 0, "", AVERAGE($AQ$46:$AQ$85))), "", (IF(AVERAGE($AQ$46:$AQ$85) = 0, "", AVERAGE($AQ$46:$AQ$85))))</f>
        <v/>
      </c>
      <c r="AR45" t="str">
        <f ca="1">IF(ISERROR(IF(AVERAGE($AR$46:$AR$85) = 0, "", AVERAGE($AR$46:$AR$85))), "", (IF(AVERAGE($AR$46:$AR$85) = 0, "", AVERAGE($AR$46:$AR$85))))</f>
        <v/>
      </c>
      <c r="AS45" t="str">
        <f ca="1">IF(ISERROR(IF(AVERAGE($AS$46:$AS$85) = 0, "", AVERAGE($AS$46:$AS$85))), "", (IF(AVERAGE($AS$46:$AS$85) = 0, "", AVERAGE($AS$46:$AS$85))))</f>
        <v/>
      </c>
      <c r="AT45" t="str">
        <f ca="1">IF(ISERROR(IF(AVERAGE($AT$46:$AT$85) = 0, "", AVERAGE($AT$46:$AT$85))), "", (IF(AVERAGE($AT$46:$AT$85) = 0, "", AVERAGE($AT$46:$AT$85))))</f>
        <v/>
      </c>
      <c r="AU45" t="str">
        <f ca="1">IF(ISERROR(IF(AVERAGE($AU$46:$AU$85) = 0, "", AVERAGE($AU$46:$AU$85))), "", (IF(AVERAGE($AU$46:$AU$85) = 0, "", AVERAGE($AU$46:$AU$85))))</f>
        <v/>
      </c>
      <c r="AV45" t="str">
        <f ca="1">IF(ISERROR(IF(AVERAGE($AV$46:$AV$85) = 0, "", AVERAGE($AV$46:$AV$85))), "", (IF(AVERAGE($AV$46:$AV$85) = 0, "", AVERAGE($AV$46:$AV$85))))</f>
        <v/>
      </c>
      <c r="AW45" t="str">
        <f ca="1">IF(ISERROR(IF(AVERAGE($AW$46:$AW$85) = 0, "", AVERAGE($AW$46:$AW$85))), "", (IF(AVERAGE($AW$46:$AW$85) = 0, "", AVERAGE($AW$46:$AW$85))))</f>
        <v/>
      </c>
      <c r="AX45" t="str">
        <f ca="1">IF(ISERROR(IF(AVERAGE($AX$46:$AX$85) = 0, "", AVERAGE($AX$46:$AX$85))), "", (IF(AVERAGE($AX$46:$AX$85) = 0, "", AVERAGE($AX$46:$AX$85))))</f>
        <v/>
      </c>
      <c r="AY45" t="str">
        <f ca="1">IF(ISERROR(IF(AVERAGE($AY$46:$AY$85) = 0, "", AVERAGE($AY$46:$AY$85))), "", (IF(AVERAGE($AY$46:$AY$85) = 0, "", AVERAGE($AY$46:$AY$85))))</f>
        <v/>
      </c>
      <c r="AZ45" t="str">
        <f ca="1">IF(ISERROR(IF(AVERAGE($AZ$46:$AZ$85) = 0, "", AVERAGE($AZ$46:$AZ$85))), "", (IF(AVERAGE($AZ$46:$AZ$85) = 0, "", AVERAGE($AZ$46:$AZ$85))))</f>
        <v/>
      </c>
      <c r="BA45" t="str">
        <f ca="1">IF(ISERROR(IF(AVERAGE($BA$46:$BA$85) = 0, "", AVERAGE($BA$46:$BA$85))), "", (IF(AVERAGE($BA$46:$BA$85) = 0, "", AVERAGE($BA$46:$BA$85))))</f>
        <v/>
      </c>
      <c r="BB45" t="str">
        <f ca="1">IF(ISERROR(IF(AVERAGE($BB$46:$BB$85) = 0, "", AVERAGE($BB$46:$BB$85))), "", (IF(AVERAGE($BB$46:$BB$85) = 0, "", AVERAGE($BB$46:$BB$85))))</f>
        <v/>
      </c>
      <c r="BC45" t="str">
        <f ca="1">IF(ISERROR(IF(AVERAGE($BC$46:$BC$85) = 0, "", AVERAGE($BC$46:$BC$85))), "", (IF(AVERAGE($BC$46:$BC$85) = 0, "", AVERAGE($BC$46:$BC$85))))</f>
        <v/>
      </c>
      <c r="BD45" t="str">
        <f ca="1">IF(ISERROR(IF(AVERAGE($BD$46:$BD$85) = 0, "", AVERAGE($BD$46:$BD$85))), "", (IF(AVERAGE($BD$46:$BD$85) = 0, "", AVERAGE($BD$46:$BD$85))))</f>
        <v/>
      </c>
      <c r="BE45" t="str">
        <f ca="1">IF(ISERROR(IF(AVERAGE($BE$46:$BE$85) = 0, "", AVERAGE($BE$46:$BE$85))), "", (IF(AVERAGE($BE$46:$BE$85) = 0, "", AVERAGE($BE$46:$BE$85))))</f>
        <v/>
      </c>
      <c r="BF45" t="str">
        <f ca="1">IF(ISERROR(IF(AVERAGE($BF$46:$BF$85) = 0, "", AVERAGE($BF$46:$BF$85))), "", (IF(AVERAGE($BF$46:$BF$85) = 0, "", AVERAGE($BF$46:$BF$85))))</f>
        <v/>
      </c>
      <c r="BG45" t="str">
        <f ca="1">IF(ISERROR(IF(AVERAGE($BG$46:$BG$85) = 0, "", AVERAGE($BG$46:$BG$85))), "", (IF(AVERAGE($BG$46:$BG$85) = 0, "", AVERAGE($BG$46:$BG$85))))</f>
        <v/>
      </c>
      <c r="BH45" t="str">
        <f ca="1">IF(ISERROR(IF(AVERAGE($BH$46:$BH$85) = 0, "", AVERAGE($BH$46:$BH$85))), "", (IF(AVERAGE($BH$46:$BH$85) = 0, "", AVERAGE($BH$46:$BH$85))))</f>
        <v/>
      </c>
      <c r="BI45" t="str">
        <f ca="1">IF(ISERROR(IF(AVERAGE($BI$46:$BI$85) = 0, "", AVERAGE($BI$46:$BI$85))), "", (IF(AVERAGE($BI$46:$BI$85) = 0, "", AVERAGE($BI$46:$BI$85))))</f>
        <v/>
      </c>
      <c r="BJ45" t="str">
        <f ca="1">IF(ISERROR(IF(AVERAGE($BJ$46:$BJ$85) = 0, "", AVERAGE($BJ$46:$BJ$85))), "", (IF(AVERAGE($BJ$46:$BJ$85) = 0, "", AVERAGE($BJ$46:$BJ$85))))</f>
        <v/>
      </c>
      <c r="BK45" t="str">
        <f ca="1">IF(ISERROR(IF(AVERAGE($BK$46:$BK$85) = 0, "", AVERAGE($BK$46:$BK$85))), "", (IF(AVERAGE($BK$46:$BK$85) = 0, "", AVERAGE($BK$46:$BK$85))))</f>
        <v/>
      </c>
      <c r="BL45" t="str">
        <f ca="1">IF(ISERROR(IF(AVERAGE($BL$46:$BL$85) = 0, "", AVERAGE($BL$46:$BL$85))), "", (IF(AVERAGE($BL$46:$BL$85) = 0, "", AVERAGE($BL$46:$BL$85))))</f>
        <v/>
      </c>
      <c r="BM45" t="str">
        <f ca="1">IF(ISERROR(IF(AVERAGE($BM$46:$BM$85) = 0, "", AVERAGE($BM$46:$BM$85))), "", (IF(AVERAGE($BM$46:$BM$85) = 0, "", AVERAGE($BM$46:$BM$85))))</f>
        <v/>
      </c>
      <c r="BN45">
        <f>45.13175557</f>
        <v>45.131755570000003</v>
      </c>
      <c r="BO45">
        <f>11.63156063</f>
        <v>11.631560629999999</v>
      </c>
      <c r="BP45">
        <f>13.683712</f>
        <v>13.683712</v>
      </c>
      <c r="BQ45">
        <f>13.94967372</f>
        <v>13.94967372</v>
      </c>
      <c r="BR45">
        <f>16.84948166</f>
        <v>16.849481659999999</v>
      </c>
      <c r="BS45">
        <f>16.90469237</f>
        <v>16.904692369999999</v>
      </c>
      <c r="BT45">
        <f>14.90951112</f>
        <v>14.909511119999999</v>
      </c>
      <c r="BU45">
        <f>14.27301769</f>
        <v>14.27301769</v>
      </c>
      <c r="BV45">
        <f>10.74366093</f>
        <v>10.743660930000001</v>
      </c>
      <c r="BW45">
        <f>22.84199502</f>
        <v>22.841995019999999</v>
      </c>
      <c r="BX45">
        <f>21.22310077</f>
        <v>21.223100769999999</v>
      </c>
      <c r="BY45">
        <f>20.43107329</f>
        <v>20.43107329</v>
      </c>
      <c r="BZ45">
        <f>8.469931435</f>
        <v>8.4699314349999995</v>
      </c>
      <c r="CA45">
        <f>7.865402102</f>
        <v>7.865402102</v>
      </c>
      <c r="CB45">
        <f>7.458231449</f>
        <v>7.4582314490000003</v>
      </c>
      <c r="CC45">
        <f>7.208391419</f>
        <v>7.2083914189999998</v>
      </c>
      <c r="CD45">
        <f>7.482729083</f>
        <v>7.4827290829999997</v>
      </c>
      <c r="CE45">
        <f>6.881499265</f>
        <v>6.8814992650000004</v>
      </c>
      <c r="CF45">
        <f>7.08931579</f>
        <v>7.0893157899999997</v>
      </c>
      <c r="CG45">
        <f>7.07931902</f>
        <v>7.0793190199999998</v>
      </c>
      <c r="CH45">
        <f>7.092278954</f>
        <v>7.0922789540000002</v>
      </c>
      <c r="CI45">
        <f>7.066270678</f>
        <v>7.0662706780000004</v>
      </c>
      <c r="CJ45">
        <f>10.94058186</f>
        <v>10.94058186</v>
      </c>
      <c r="CK45">
        <f>8.527651266</f>
        <v>8.5276512659999995</v>
      </c>
      <c r="CL45">
        <f>2.865255635</f>
        <v>2.865255635</v>
      </c>
      <c r="CM45">
        <f>2.694864708</f>
        <v>2.6948647079999999</v>
      </c>
      <c r="CN45">
        <f>1.790225555</f>
        <v>1.7902255549999999</v>
      </c>
      <c r="CO45">
        <f>2.028511712</f>
        <v>2.0285117119999998</v>
      </c>
      <c r="CP45">
        <f>2.333541711</f>
        <v>2.3335417110000001</v>
      </c>
      <c r="CQ45" t="str">
        <f>""</f>
        <v/>
      </c>
      <c r="CR45" t="str">
        <f>""</f>
        <v/>
      </c>
      <c r="CS45" t="str">
        <f>""</f>
        <v/>
      </c>
      <c r="CT45" t="str">
        <f>""</f>
        <v/>
      </c>
      <c r="CU45" t="str">
        <f>""</f>
        <v/>
      </c>
      <c r="CV45" t="str">
        <f>""</f>
        <v/>
      </c>
      <c r="CW45" t="str">
        <f>""</f>
        <v/>
      </c>
      <c r="CX45" t="str">
        <f>""</f>
        <v/>
      </c>
      <c r="CY45" t="str">
        <f>""</f>
        <v/>
      </c>
      <c r="CZ45" t="str">
        <f>""</f>
        <v/>
      </c>
      <c r="DA45" t="str">
        <f>""</f>
        <v/>
      </c>
      <c r="DB45" t="str">
        <f>""</f>
        <v/>
      </c>
      <c r="DC45" t="str">
        <f>""</f>
        <v/>
      </c>
      <c r="DD45" t="str">
        <f>""</f>
        <v/>
      </c>
      <c r="DE45" t="str">
        <f>""</f>
        <v/>
      </c>
      <c r="DF45" t="str">
        <f>""</f>
        <v/>
      </c>
      <c r="DG45" t="str">
        <f>""</f>
        <v/>
      </c>
      <c r="DH45" t="str">
        <f>""</f>
        <v/>
      </c>
      <c r="DI45" t="str">
        <f>""</f>
        <v/>
      </c>
      <c r="DJ45" t="str">
        <f>""</f>
        <v/>
      </c>
      <c r="DK45" t="str">
        <f>""</f>
        <v/>
      </c>
      <c r="DL45" t="str">
        <f>""</f>
        <v/>
      </c>
      <c r="DM45" t="str">
        <f>""</f>
        <v/>
      </c>
      <c r="DN45" t="str">
        <f>""</f>
        <v/>
      </c>
      <c r="DO45" t="str">
        <f>""</f>
        <v/>
      </c>
      <c r="DP45" t="str">
        <f>""</f>
        <v/>
      </c>
      <c r="DQ45" t="str">
        <f>""</f>
        <v/>
      </c>
      <c r="DR45" t="str">
        <f>""</f>
        <v/>
      </c>
      <c r="DS45" t="str">
        <f>""</f>
        <v/>
      </c>
      <c r="DT45" t="str">
        <f>""</f>
        <v/>
      </c>
      <c r="DU45" t="str">
        <f>""</f>
        <v/>
      </c>
    </row>
    <row r="46" spans="1:125" x14ac:dyDescent="0.25">
      <c r="A46" t="str">
        <f>"    AUDI AG"</f>
        <v xml:space="preserve">    AUDI AG</v>
      </c>
      <c r="B46" t="str">
        <f>"NSU GR Equity"</f>
        <v>NSU GR Equity</v>
      </c>
      <c r="C46" t="str">
        <f t="shared" ref="C46:C85" si="3">"EZ009"</f>
        <v>EZ009</v>
      </c>
      <c r="D46" t="str">
        <f t="shared" ref="D46:D85" si="4">"BEST_EST_PE_CUR_YR"</f>
        <v>BEST_EST_PE_CUR_YR</v>
      </c>
      <c r="E46" t="str">
        <f t="shared" ref="E46:E85" si="5">"Dynamic"</f>
        <v>Dynamic</v>
      </c>
      <c r="F46" t="str">
        <f ca="1">IF(AND(ISNUMBER($F$719),$B$677=1),$F$719,HLOOKUP(INDIRECT(ADDRESS(2,COLUMN())),OFFSET($BN$2,0,0,ROW()-1,60),ROW()-1,FALSE))</f>
        <v/>
      </c>
      <c r="G46" t="str">
        <f ca="1">IF(AND(ISNUMBER($G$719),$B$677=1),$G$719,HLOOKUP(INDIRECT(ADDRESS(2,COLUMN())),OFFSET($BN$2,0,0,ROW()-1,60),ROW()-1,FALSE))</f>
        <v/>
      </c>
      <c r="H46" t="str">
        <f ca="1">IF(AND(ISNUMBER($H$719),$B$677=1),$H$719,HLOOKUP(INDIRECT(ADDRESS(2,COLUMN())),OFFSET($BN$2,0,0,ROW()-1,60),ROW()-1,FALSE))</f>
        <v/>
      </c>
      <c r="I46" t="str">
        <f ca="1">IF(AND(ISNUMBER($I$719),$B$677=1),$I$719,HLOOKUP(INDIRECT(ADDRESS(2,COLUMN())),OFFSET($BN$2,0,0,ROW()-1,60),ROW()-1,FALSE))</f>
        <v/>
      </c>
      <c r="J46" t="str">
        <f ca="1">IF(AND(ISNUMBER($J$719),$B$677=1),$J$719,HLOOKUP(INDIRECT(ADDRESS(2,COLUMN())),OFFSET($BN$2,0,0,ROW()-1,60),ROW()-1,FALSE))</f>
        <v/>
      </c>
      <c r="K46" t="str">
        <f ca="1">IF(AND(ISNUMBER($K$719),$B$677=1),$K$719,HLOOKUP(INDIRECT(ADDRESS(2,COLUMN())),OFFSET($BN$2,0,0,ROW()-1,60),ROW()-1,FALSE))</f>
        <v/>
      </c>
      <c r="L46" t="str">
        <f ca="1">IF(AND(ISNUMBER($L$719),$B$677=1),$L$719,HLOOKUP(INDIRECT(ADDRESS(2,COLUMN())),OFFSET($BN$2,0,0,ROW()-1,60),ROW()-1,FALSE))</f>
        <v/>
      </c>
      <c r="M46" t="str">
        <f ca="1">IF(AND(ISNUMBER($M$719),$B$677=1),$M$719,HLOOKUP(INDIRECT(ADDRESS(2,COLUMN())),OFFSET($BN$2,0,0,ROW()-1,60),ROW()-1,FALSE))</f>
        <v/>
      </c>
      <c r="N46" t="str">
        <f ca="1">IF(AND(ISNUMBER($N$719),$B$677=1),$N$719,HLOOKUP(INDIRECT(ADDRESS(2,COLUMN())),OFFSET($BN$2,0,0,ROW()-1,60),ROW()-1,FALSE))</f>
        <v/>
      </c>
      <c r="O46" t="str">
        <f ca="1">IF(AND(ISNUMBER($O$719),$B$677=1),$O$719,HLOOKUP(INDIRECT(ADDRESS(2,COLUMN())),OFFSET($BN$2,0,0,ROW()-1,60),ROW()-1,FALSE))</f>
        <v/>
      </c>
      <c r="P46" t="str">
        <f ca="1">IF(AND(ISNUMBER($P$719),$B$677=1),$P$719,HLOOKUP(INDIRECT(ADDRESS(2,COLUMN())),OFFSET($BN$2,0,0,ROW()-1,60),ROW()-1,FALSE))</f>
        <v/>
      </c>
      <c r="Q46" t="str">
        <f ca="1">IF(AND(ISNUMBER($Q$719),$B$677=1),$Q$719,HLOOKUP(INDIRECT(ADDRESS(2,COLUMN())),OFFSET($BN$2,0,0,ROW()-1,60),ROW()-1,FALSE))</f>
        <v/>
      </c>
      <c r="R46" t="str">
        <f ca="1">IF(AND(ISNUMBER($R$719),$B$677=1),$R$719,HLOOKUP(INDIRECT(ADDRESS(2,COLUMN())),OFFSET($BN$2,0,0,ROW()-1,60),ROW()-1,FALSE))</f>
        <v/>
      </c>
      <c r="S46" t="str">
        <f ca="1">IF(AND(ISNUMBER($S$719),$B$677=1),$S$719,HLOOKUP(INDIRECT(ADDRESS(2,COLUMN())),OFFSET($BN$2,0,0,ROW()-1,60),ROW()-1,FALSE))</f>
        <v/>
      </c>
      <c r="T46" t="str">
        <f ca="1">IF(AND(ISNUMBER($T$719),$B$677=1),$T$719,HLOOKUP(INDIRECT(ADDRESS(2,COLUMN())),OFFSET($BN$2,0,0,ROW()-1,60),ROW()-1,FALSE))</f>
        <v/>
      </c>
      <c r="U46" t="str">
        <f ca="1">IF(AND(ISNUMBER($U$719),$B$677=1),$U$719,HLOOKUP(INDIRECT(ADDRESS(2,COLUMN())),OFFSET($BN$2,0,0,ROW()-1,60),ROW()-1,FALSE))</f>
        <v/>
      </c>
      <c r="V46" t="str">
        <f ca="1">IF(AND(ISNUMBER($V$719),$B$677=1),$V$719,HLOOKUP(INDIRECT(ADDRESS(2,COLUMN())),OFFSET($BN$2,0,0,ROW()-1,60),ROW()-1,FALSE))</f>
        <v/>
      </c>
      <c r="W46" t="str">
        <f ca="1">IF(AND(ISNUMBER($W$719),$B$677=1),$W$719,HLOOKUP(INDIRECT(ADDRESS(2,COLUMN())),OFFSET($BN$2,0,0,ROW()-1,60),ROW()-1,FALSE))</f>
        <v/>
      </c>
      <c r="X46" t="str">
        <f ca="1">IF(AND(ISNUMBER($X$719),$B$677=1),$X$719,HLOOKUP(INDIRECT(ADDRESS(2,COLUMN())),OFFSET($BN$2,0,0,ROW()-1,60),ROW()-1,FALSE))</f>
        <v/>
      </c>
      <c r="Y46" t="str">
        <f ca="1">IF(AND(ISNUMBER($Y$719),$B$677=1),$Y$719,HLOOKUP(INDIRECT(ADDRESS(2,COLUMN())),OFFSET($BN$2,0,0,ROW()-1,60),ROW()-1,FALSE))</f>
        <v/>
      </c>
      <c r="Z46" t="str">
        <f ca="1">IF(AND(ISNUMBER($Z$719),$B$677=1),$Z$719,HLOOKUP(INDIRECT(ADDRESS(2,COLUMN())),OFFSET($BN$2,0,0,ROW()-1,60),ROW()-1,FALSE))</f>
        <v/>
      </c>
      <c r="AA46" t="str">
        <f ca="1">IF(AND(ISNUMBER($AA$719),$B$677=1),$AA$719,HLOOKUP(INDIRECT(ADDRESS(2,COLUMN())),OFFSET($BN$2,0,0,ROW()-1,60),ROW()-1,FALSE))</f>
        <v/>
      </c>
      <c r="AB46" t="str">
        <f ca="1">IF(AND(ISNUMBER($AB$719),$B$677=1),$AB$719,HLOOKUP(INDIRECT(ADDRESS(2,COLUMN())),OFFSET($BN$2,0,0,ROW()-1,60),ROW()-1,FALSE))</f>
        <v/>
      </c>
      <c r="AC46" t="str">
        <f ca="1">IF(AND(ISNUMBER($AC$719),$B$677=1),$AC$719,HLOOKUP(INDIRECT(ADDRESS(2,COLUMN())),OFFSET($BN$2,0,0,ROW()-1,60),ROW()-1,FALSE))</f>
        <v/>
      </c>
      <c r="AD46" t="str">
        <f ca="1">IF(AND(ISNUMBER($AD$719),$B$677=1),$AD$719,HLOOKUP(INDIRECT(ADDRESS(2,COLUMN())),OFFSET($BN$2,0,0,ROW()-1,60),ROW()-1,FALSE))</f>
        <v/>
      </c>
      <c r="AE46" t="str">
        <f ca="1">IF(AND(ISNUMBER($AE$719),$B$677=1),$AE$719,HLOOKUP(INDIRECT(ADDRESS(2,COLUMN())),OFFSET($BN$2,0,0,ROW()-1,60),ROW()-1,FALSE))</f>
        <v/>
      </c>
      <c r="AF46" t="str">
        <f ca="1">IF(AND(ISNUMBER($AF$719),$B$677=1),$AF$719,HLOOKUP(INDIRECT(ADDRESS(2,COLUMN())),OFFSET($BN$2,0,0,ROW()-1,60),ROW()-1,FALSE))</f>
        <v/>
      </c>
      <c r="AG46" t="str">
        <f ca="1">IF(AND(ISNUMBER($AG$719),$B$677=1),$AG$719,HLOOKUP(INDIRECT(ADDRESS(2,COLUMN())),OFFSET($BN$2,0,0,ROW()-1,60),ROW()-1,FALSE))</f>
        <v/>
      </c>
      <c r="AH46" t="str">
        <f ca="1">IF(AND(ISNUMBER($AH$719),$B$677=1),$AH$719,HLOOKUP(INDIRECT(ADDRESS(2,COLUMN())),OFFSET($BN$2,0,0,ROW()-1,60),ROW()-1,FALSE))</f>
        <v/>
      </c>
      <c r="AI46" t="str">
        <f ca="1">IF(AND(ISNUMBER($AI$719),$B$677=1),$AI$719,HLOOKUP(INDIRECT(ADDRESS(2,COLUMN())),OFFSET($BN$2,0,0,ROW()-1,60),ROW()-1,FALSE))</f>
        <v/>
      </c>
      <c r="AJ46" t="str">
        <f ca="1">IF(AND(ISNUMBER($AJ$719),$B$677=1),$AJ$719,HLOOKUP(INDIRECT(ADDRESS(2,COLUMN())),OFFSET($BN$2,0,0,ROW()-1,60),ROW()-1,FALSE))</f>
        <v/>
      </c>
      <c r="AK46" t="str">
        <f ca="1">IF(AND(ISNUMBER($AK$719),$B$677=1),$AK$719,HLOOKUP(INDIRECT(ADDRESS(2,COLUMN())),OFFSET($BN$2,0,0,ROW()-1,60),ROW()-1,FALSE))</f>
        <v/>
      </c>
      <c r="AL46" t="str">
        <f ca="1">IF(AND(ISNUMBER($AL$719),$B$677=1),$AL$719,HLOOKUP(INDIRECT(ADDRESS(2,COLUMN())),OFFSET($BN$2,0,0,ROW()-1,60),ROW()-1,FALSE))</f>
        <v/>
      </c>
      <c r="AM46" t="str">
        <f ca="1">IF(AND(ISNUMBER($AM$719),$B$677=1),$AM$719,HLOOKUP(INDIRECT(ADDRESS(2,COLUMN())),OFFSET($BN$2,0,0,ROW()-1,60),ROW()-1,FALSE))</f>
        <v/>
      </c>
      <c r="AN46" t="str">
        <f ca="1">IF(AND(ISNUMBER($AN$719),$B$677=1),$AN$719,HLOOKUP(INDIRECT(ADDRESS(2,COLUMN())),OFFSET($BN$2,0,0,ROW()-1,60),ROW()-1,FALSE))</f>
        <v/>
      </c>
      <c r="AO46" t="str">
        <f ca="1">IF(AND(ISNUMBER($AO$719),$B$677=1),$AO$719,HLOOKUP(INDIRECT(ADDRESS(2,COLUMN())),OFFSET($BN$2,0,0,ROW()-1,60),ROW()-1,FALSE))</f>
        <v/>
      </c>
      <c r="AP46" t="str">
        <f ca="1">IF(AND(ISNUMBER($AP$719),$B$677=1),$AP$719,HLOOKUP(INDIRECT(ADDRESS(2,COLUMN())),OFFSET($BN$2,0,0,ROW()-1,60),ROW()-1,FALSE))</f>
        <v/>
      </c>
      <c r="AQ46" t="str">
        <f ca="1">IF(AND(ISNUMBER($AQ$719),$B$677=1),$AQ$719,HLOOKUP(INDIRECT(ADDRESS(2,COLUMN())),OFFSET($BN$2,0,0,ROW()-1,60),ROW()-1,FALSE))</f>
        <v/>
      </c>
      <c r="AR46" t="str">
        <f ca="1">IF(AND(ISNUMBER($AR$719),$B$677=1),$AR$719,HLOOKUP(INDIRECT(ADDRESS(2,COLUMN())),OFFSET($BN$2,0,0,ROW()-1,60),ROW()-1,FALSE))</f>
        <v/>
      </c>
      <c r="AS46" t="str">
        <f ca="1">IF(AND(ISNUMBER($AS$719),$B$677=1),$AS$719,HLOOKUP(INDIRECT(ADDRESS(2,COLUMN())),OFFSET($BN$2,0,0,ROW()-1,60),ROW()-1,FALSE))</f>
        <v/>
      </c>
      <c r="AT46" t="str">
        <f ca="1">IF(AND(ISNUMBER($AT$719),$B$677=1),$AT$719,HLOOKUP(INDIRECT(ADDRESS(2,COLUMN())),OFFSET($BN$2,0,0,ROW()-1,60),ROW()-1,FALSE))</f>
        <v/>
      </c>
      <c r="AU46" t="str">
        <f ca="1">IF(AND(ISNUMBER($AU$719),$B$677=1),$AU$719,HLOOKUP(INDIRECT(ADDRESS(2,COLUMN())),OFFSET($BN$2,0,0,ROW()-1,60),ROW()-1,FALSE))</f>
        <v/>
      </c>
      <c r="AV46" t="str">
        <f ca="1">IF(AND(ISNUMBER($AV$719),$B$677=1),$AV$719,HLOOKUP(INDIRECT(ADDRESS(2,COLUMN())),OFFSET($BN$2,0,0,ROW()-1,60),ROW()-1,FALSE))</f>
        <v/>
      </c>
      <c r="AW46" t="str">
        <f ca="1">IF(AND(ISNUMBER($AW$719),$B$677=1),$AW$719,HLOOKUP(INDIRECT(ADDRESS(2,COLUMN())),OFFSET($BN$2,0,0,ROW()-1,60),ROW()-1,FALSE))</f>
        <v/>
      </c>
      <c r="AX46" t="str">
        <f ca="1">IF(AND(ISNUMBER($AX$719),$B$677=1),$AX$719,HLOOKUP(INDIRECT(ADDRESS(2,COLUMN())),OFFSET($BN$2,0,0,ROW()-1,60),ROW()-1,FALSE))</f>
        <v/>
      </c>
      <c r="AY46" t="str">
        <f ca="1">IF(AND(ISNUMBER($AY$719),$B$677=1),$AY$719,HLOOKUP(INDIRECT(ADDRESS(2,COLUMN())),OFFSET($BN$2,0,0,ROW()-1,60),ROW()-1,FALSE))</f>
        <v/>
      </c>
      <c r="AZ46" t="str">
        <f ca="1">IF(AND(ISNUMBER($AZ$719),$B$677=1),$AZ$719,HLOOKUP(INDIRECT(ADDRESS(2,COLUMN())),OFFSET($BN$2,0,0,ROW()-1,60),ROW()-1,FALSE))</f>
        <v/>
      </c>
      <c r="BA46" t="str">
        <f ca="1">IF(AND(ISNUMBER($BA$719),$B$677=1),$BA$719,HLOOKUP(INDIRECT(ADDRESS(2,COLUMN())),OFFSET($BN$2,0,0,ROW()-1,60),ROW()-1,FALSE))</f>
        <v/>
      </c>
      <c r="BB46" t="str">
        <f ca="1">IF(AND(ISNUMBER($BB$719),$B$677=1),$BB$719,HLOOKUP(INDIRECT(ADDRESS(2,COLUMN())),OFFSET($BN$2,0,0,ROW()-1,60),ROW()-1,FALSE))</f>
        <v/>
      </c>
      <c r="BC46" t="str">
        <f ca="1">IF(AND(ISNUMBER($BC$719),$B$677=1),$BC$719,HLOOKUP(INDIRECT(ADDRESS(2,COLUMN())),OFFSET($BN$2,0,0,ROW()-1,60),ROW()-1,FALSE))</f>
        <v/>
      </c>
      <c r="BD46" t="str">
        <f ca="1">IF(AND(ISNUMBER($BD$719),$B$677=1),$BD$719,HLOOKUP(INDIRECT(ADDRESS(2,COLUMN())),OFFSET($BN$2,0,0,ROW()-1,60),ROW()-1,FALSE))</f>
        <v/>
      </c>
      <c r="BE46" t="str">
        <f ca="1">IF(AND(ISNUMBER($BE$719),$B$677=1),$BE$719,HLOOKUP(INDIRECT(ADDRESS(2,COLUMN())),OFFSET($BN$2,0,0,ROW()-1,60),ROW()-1,FALSE))</f>
        <v/>
      </c>
      <c r="BF46" t="str">
        <f ca="1">IF(AND(ISNUMBER($BF$719),$B$677=1),$BF$719,HLOOKUP(INDIRECT(ADDRESS(2,COLUMN())),OFFSET($BN$2,0,0,ROW()-1,60),ROW()-1,FALSE))</f>
        <v/>
      </c>
      <c r="BG46" t="str">
        <f ca="1">IF(AND(ISNUMBER($BG$719),$B$677=1),$BG$719,HLOOKUP(INDIRECT(ADDRESS(2,COLUMN())),OFFSET($BN$2,0,0,ROW()-1,60),ROW()-1,FALSE))</f>
        <v/>
      </c>
      <c r="BH46" t="str">
        <f ca="1">IF(AND(ISNUMBER($BH$719),$B$677=1),$BH$719,HLOOKUP(INDIRECT(ADDRESS(2,COLUMN())),OFFSET($BN$2,0,0,ROW()-1,60),ROW()-1,FALSE))</f>
        <v/>
      </c>
      <c r="BI46" t="str">
        <f ca="1">IF(AND(ISNUMBER($BI$719),$B$677=1),$BI$719,HLOOKUP(INDIRECT(ADDRESS(2,COLUMN())),OFFSET($BN$2,0,0,ROW()-1,60),ROW()-1,FALSE))</f>
        <v/>
      </c>
      <c r="BJ46" t="str">
        <f ca="1">IF(AND(ISNUMBER($BJ$719),$B$677=1),$BJ$719,HLOOKUP(INDIRECT(ADDRESS(2,COLUMN())),OFFSET($BN$2,0,0,ROW()-1,60),ROW()-1,FALSE))</f>
        <v/>
      </c>
      <c r="BK46" t="str">
        <f ca="1">IF(AND(ISNUMBER($BK$719),$B$677=1),$BK$719,HLOOKUP(INDIRECT(ADDRESS(2,COLUMN())),OFFSET($BN$2,0,0,ROW()-1,60),ROW()-1,FALSE))</f>
        <v/>
      </c>
      <c r="BL46" t="str">
        <f ca="1">IF(AND(ISNUMBER($BL$719),$B$677=1),$BL$719,HLOOKUP(INDIRECT(ADDRESS(2,COLUMN())),OFFSET($BN$2,0,0,ROW()-1,60),ROW()-1,FALSE))</f>
        <v/>
      </c>
      <c r="BM46" t="str">
        <f ca="1">IF(AND(ISNUMBER($BM$719),$B$677=1),$BM$719,HLOOKUP(INDIRECT(ADDRESS(2,COLUMN())),OFFSET($BN$2,0,0,ROW()-1,60),ROW()-1,FALSE))</f>
        <v/>
      </c>
      <c r="BN46" t="str">
        <f>""</f>
        <v/>
      </c>
      <c r="BO46" t="str">
        <f>""</f>
        <v/>
      </c>
      <c r="BP46" t="str">
        <f>""</f>
        <v/>
      </c>
      <c r="BQ46" t="str">
        <f>""</f>
        <v/>
      </c>
      <c r="BR46" t="str">
        <f>""</f>
        <v/>
      </c>
      <c r="BS46" t="str">
        <f>""</f>
        <v/>
      </c>
      <c r="BT46" t="str">
        <f>""</f>
        <v/>
      </c>
      <c r="BU46" t="str">
        <f>""</f>
        <v/>
      </c>
      <c r="BV46" t="str">
        <f>""</f>
        <v/>
      </c>
      <c r="BW46" t="str">
        <f>""</f>
        <v/>
      </c>
      <c r="BX46" t="str">
        <f>""</f>
        <v/>
      </c>
      <c r="BY46" t="str">
        <f>""</f>
        <v/>
      </c>
      <c r="BZ46" t="str">
        <f>""</f>
        <v/>
      </c>
      <c r="CA46" t="str">
        <f>""</f>
        <v/>
      </c>
      <c r="CB46" t="str">
        <f>""</f>
        <v/>
      </c>
      <c r="CC46" t="str">
        <f>""</f>
        <v/>
      </c>
      <c r="CD46" t="str">
        <f>""</f>
        <v/>
      </c>
      <c r="CE46" t="str">
        <f>""</f>
        <v/>
      </c>
      <c r="CF46" t="str">
        <f>""</f>
        <v/>
      </c>
      <c r="CG46" t="str">
        <f>""</f>
        <v/>
      </c>
      <c r="CH46" t="str">
        <f>""</f>
        <v/>
      </c>
      <c r="CI46" t="str">
        <f>""</f>
        <v/>
      </c>
      <c r="CJ46" t="str">
        <f>""</f>
        <v/>
      </c>
      <c r="CK46" t="str">
        <f>""</f>
        <v/>
      </c>
      <c r="CL46" t="str">
        <f>""</f>
        <v/>
      </c>
      <c r="CM46" t="str">
        <f>""</f>
        <v/>
      </c>
      <c r="CN46" t="str">
        <f>""</f>
        <v/>
      </c>
      <c r="CO46" t="str">
        <f>""</f>
        <v/>
      </c>
      <c r="CP46" t="str">
        <f>""</f>
        <v/>
      </c>
      <c r="CQ46" t="str">
        <f>""</f>
        <v/>
      </c>
      <c r="CR46" t="str">
        <f>""</f>
        <v/>
      </c>
      <c r="CS46" t="str">
        <f>""</f>
        <v/>
      </c>
      <c r="CT46" t="str">
        <f>""</f>
        <v/>
      </c>
      <c r="CU46" t="str">
        <f>""</f>
        <v/>
      </c>
      <c r="CV46" t="str">
        <f>""</f>
        <v/>
      </c>
      <c r="CW46" t="str">
        <f>""</f>
        <v/>
      </c>
      <c r="CX46" t="str">
        <f>""</f>
        <v/>
      </c>
      <c r="CY46" t="str">
        <f>""</f>
        <v/>
      </c>
      <c r="CZ46" t="str">
        <f>""</f>
        <v/>
      </c>
      <c r="DA46" t="str">
        <f>""</f>
        <v/>
      </c>
      <c r="DB46" t="str">
        <f>""</f>
        <v/>
      </c>
      <c r="DC46" t="str">
        <f>""</f>
        <v/>
      </c>
      <c r="DD46" t="str">
        <f>""</f>
        <v/>
      </c>
      <c r="DE46" t="str">
        <f>""</f>
        <v/>
      </c>
      <c r="DF46" t="str">
        <f>""</f>
        <v/>
      </c>
      <c r="DG46" t="str">
        <f>""</f>
        <v/>
      </c>
      <c r="DH46" t="str">
        <f>""</f>
        <v/>
      </c>
      <c r="DI46" t="str">
        <f>""</f>
        <v/>
      </c>
      <c r="DJ46" t="str">
        <f>""</f>
        <v/>
      </c>
      <c r="DK46" t="str">
        <f>""</f>
        <v/>
      </c>
      <c r="DL46" t="str">
        <f>""</f>
        <v/>
      </c>
      <c r="DM46" t="str">
        <f>""</f>
        <v/>
      </c>
      <c r="DN46" t="str">
        <f>""</f>
        <v/>
      </c>
      <c r="DO46" t="str">
        <f>""</f>
        <v/>
      </c>
      <c r="DP46" t="str">
        <f>""</f>
        <v/>
      </c>
      <c r="DQ46" t="str">
        <f>""</f>
        <v/>
      </c>
      <c r="DR46" t="str">
        <f>""</f>
        <v/>
      </c>
      <c r="DS46" t="str">
        <f>""</f>
        <v/>
      </c>
      <c r="DT46" t="str">
        <f>""</f>
        <v/>
      </c>
      <c r="DU46" t="str">
        <f>""</f>
        <v/>
      </c>
    </row>
    <row r="47" spans="1:125" x14ac:dyDescent="0.25">
      <c r="A47" t="str">
        <f>"    Avtovaz PJSC"</f>
        <v xml:space="preserve">    Avtovaz PJSC</v>
      </c>
      <c r="B47" t="str">
        <f>"AVAZ RM Equity"</f>
        <v>AVAZ RM Equity</v>
      </c>
      <c r="C47" t="str">
        <f t="shared" si="3"/>
        <v>EZ009</v>
      </c>
      <c r="D47" t="str">
        <f t="shared" si="4"/>
        <v>BEST_EST_PE_CUR_YR</v>
      </c>
      <c r="E47" t="str">
        <f t="shared" si="5"/>
        <v>Dynamic</v>
      </c>
      <c r="F47" t="str">
        <f ca="1">IF(AND(ISNUMBER($F$720),$B$677=1),$F$720,HLOOKUP(INDIRECT(ADDRESS(2,COLUMN())),OFFSET($BN$2,0,0,ROW()-1,60),ROW()-1,FALSE))</f>
        <v/>
      </c>
      <c r="G47" t="str">
        <f ca="1">IF(AND(ISNUMBER($G$720),$B$677=1),$G$720,HLOOKUP(INDIRECT(ADDRESS(2,COLUMN())),OFFSET($BN$2,0,0,ROW()-1,60),ROW()-1,FALSE))</f>
        <v/>
      </c>
      <c r="H47" t="str">
        <f ca="1">IF(AND(ISNUMBER($H$720),$B$677=1),$H$720,HLOOKUP(INDIRECT(ADDRESS(2,COLUMN())),OFFSET($BN$2,0,0,ROW()-1,60),ROW()-1,FALSE))</f>
        <v/>
      </c>
      <c r="I47" t="str">
        <f ca="1">IF(AND(ISNUMBER($I$720),$B$677=1),$I$720,HLOOKUP(INDIRECT(ADDRESS(2,COLUMN())),OFFSET($BN$2,0,0,ROW()-1,60),ROW()-1,FALSE))</f>
        <v/>
      </c>
      <c r="J47" t="str">
        <f ca="1">IF(AND(ISNUMBER($J$720),$B$677=1),$J$720,HLOOKUP(INDIRECT(ADDRESS(2,COLUMN())),OFFSET($BN$2,0,0,ROW()-1,60),ROW()-1,FALSE))</f>
        <v/>
      </c>
      <c r="K47" t="str">
        <f ca="1">IF(AND(ISNUMBER($K$720),$B$677=1),$K$720,HLOOKUP(INDIRECT(ADDRESS(2,COLUMN())),OFFSET($BN$2,0,0,ROW()-1,60),ROW()-1,FALSE))</f>
        <v/>
      </c>
      <c r="L47" t="str">
        <f ca="1">IF(AND(ISNUMBER($L$720),$B$677=1),$L$720,HLOOKUP(INDIRECT(ADDRESS(2,COLUMN())),OFFSET($BN$2,0,0,ROW()-1,60),ROW()-1,FALSE))</f>
        <v/>
      </c>
      <c r="M47" t="str">
        <f ca="1">IF(AND(ISNUMBER($M$720),$B$677=1),$M$720,HLOOKUP(INDIRECT(ADDRESS(2,COLUMN())),OFFSET($BN$2,0,0,ROW()-1,60),ROW()-1,FALSE))</f>
        <v/>
      </c>
      <c r="N47" t="str">
        <f ca="1">IF(AND(ISNUMBER($N$720),$B$677=1),$N$720,HLOOKUP(INDIRECT(ADDRESS(2,COLUMN())),OFFSET($BN$2,0,0,ROW()-1,60),ROW()-1,FALSE))</f>
        <v/>
      </c>
      <c r="O47" t="str">
        <f ca="1">IF(AND(ISNUMBER($O$720),$B$677=1),$O$720,HLOOKUP(INDIRECT(ADDRESS(2,COLUMN())),OFFSET($BN$2,0,0,ROW()-1,60),ROW()-1,FALSE))</f>
        <v/>
      </c>
      <c r="P47" t="str">
        <f ca="1">IF(AND(ISNUMBER($P$720),$B$677=1),$P$720,HLOOKUP(INDIRECT(ADDRESS(2,COLUMN())),OFFSET($BN$2,0,0,ROW()-1,60),ROW()-1,FALSE))</f>
        <v/>
      </c>
      <c r="Q47">
        <f ca="1">IF(AND(ISNUMBER($Q$720),$B$677=1),$Q$720,HLOOKUP(INDIRECT(ADDRESS(2,COLUMN())),OFFSET($BN$2,0,0,ROW()-1,60),ROW()-1,FALSE))</f>
        <v>1.370436081</v>
      </c>
      <c r="R47">
        <f ca="1">IF(AND(ISNUMBER($R$720),$B$677=1),$R$720,HLOOKUP(INDIRECT(ADDRESS(2,COLUMN())),OFFSET($BN$2,0,0,ROW()-1,60),ROW()-1,FALSE))</f>
        <v>1.4144409090000001</v>
      </c>
      <c r="S47">
        <f ca="1">IF(AND(ISNUMBER($S$720),$B$677=1),$S$720,HLOOKUP(INDIRECT(ADDRESS(2,COLUMN())),OFFSET($BN$2,0,0,ROW()-1,60),ROW()-1,FALSE))</f>
        <v>1.4788765509999999</v>
      </c>
      <c r="T47">
        <f ca="1">IF(AND(ISNUMBER($T$720),$B$677=1),$T$720,HLOOKUP(INDIRECT(ADDRESS(2,COLUMN())),OFFSET($BN$2,0,0,ROW()-1,60),ROW()-1,FALSE))</f>
        <v>1.3064107149999999</v>
      </c>
      <c r="U47">
        <f ca="1">IF(AND(ISNUMBER($U$720),$B$677=1),$U$720,HLOOKUP(INDIRECT(ADDRESS(2,COLUMN())),OFFSET($BN$2,0,0,ROW()-1,60),ROW()-1,FALSE))</f>
        <v>1.330381553</v>
      </c>
      <c r="V47">
        <f ca="1">IF(AND(ISNUMBER($V$720),$B$677=1),$V$720,HLOOKUP(INDIRECT(ADDRESS(2,COLUMN())),OFFSET($BN$2,0,0,ROW()-1,60),ROW()-1,FALSE))</f>
        <v>1.5660948020000001</v>
      </c>
      <c r="W47">
        <f ca="1">IF(AND(ISNUMBER($W$720),$B$677=1),$W$720,HLOOKUP(INDIRECT(ADDRESS(2,COLUMN())),OFFSET($BN$2,0,0,ROW()-1,60),ROW()-1,FALSE))</f>
        <v>1.3340689400000001</v>
      </c>
      <c r="X47">
        <f ca="1">IF(AND(ISNUMBER($X$720),$B$677=1),$X$720,HLOOKUP(INDIRECT(ADDRESS(2,COLUMN())),OFFSET($BN$2,0,0,ROW()-1,60),ROW()-1,FALSE))</f>
        <v>1.6795537970000001</v>
      </c>
      <c r="Y47">
        <f ca="1">IF(AND(ISNUMBER($Y$720),$B$677=1),$Y$720,HLOOKUP(INDIRECT(ADDRESS(2,COLUMN())),OFFSET($BN$2,0,0,ROW()-1,60),ROW()-1,FALSE))</f>
        <v>1.5557245989999999</v>
      </c>
      <c r="Z47">
        <f ca="1">IF(AND(ISNUMBER($Z$720),$B$677=1),$Z$720,HLOOKUP(INDIRECT(ADDRESS(2,COLUMN())),OFFSET($BN$2,0,0,ROW()-1,60),ROW()-1,FALSE))</f>
        <v>1.600113203</v>
      </c>
      <c r="AA47" t="str">
        <f ca="1">IF(AND(ISNUMBER($AA$720),$B$677=1),$AA$720,HLOOKUP(INDIRECT(ADDRESS(2,COLUMN())),OFFSET($BN$2,0,0,ROW()-1,60),ROW()-1,FALSE))</f>
        <v/>
      </c>
      <c r="AB47" t="str">
        <f ca="1">IF(AND(ISNUMBER($AB$720),$B$677=1),$AB$720,HLOOKUP(INDIRECT(ADDRESS(2,COLUMN())),OFFSET($BN$2,0,0,ROW()-1,60),ROW()-1,FALSE))</f>
        <v/>
      </c>
      <c r="AC47" t="str">
        <f ca="1">IF(AND(ISNUMBER($AC$720),$B$677=1),$AC$720,HLOOKUP(INDIRECT(ADDRESS(2,COLUMN())),OFFSET($BN$2,0,0,ROW()-1,60),ROW()-1,FALSE))</f>
        <v/>
      </c>
      <c r="AD47" t="str">
        <f ca="1">IF(AND(ISNUMBER($AD$720),$B$677=1),$AD$720,HLOOKUP(INDIRECT(ADDRESS(2,COLUMN())),OFFSET($BN$2,0,0,ROW()-1,60),ROW()-1,FALSE))</f>
        <v/>
      </c>
      <c r="AE47" t="str">
        <f ca="1">IF(AND(ISNUMBER($AE$720),$B$677=1),$AE$720,HLOOKUP(INDIRECT(ADDRESS(2,COLUMN())),OFFSET($BN$2,0,0,ROW()-1,60),ROW()-1,FALSE))</f>
        <v/>
      </c>
      <c r="AF47" t="str">
        <f ca="1">IF(AND(ISNUMBER($AF$720),$B$677=1),$AF$720,HLOOKUP(INDIRECT(ADDRESS(2,COLUMN())),OFFSET($BN$2,0,0,ROW()-1,60),ROW()-1,FALSE))</f>
        <v/>
      </c>
      <c r="AG47" t="str">
        <f ca="1">IF(AND(ISNUMBER($AG$720),$B$677=1),$AG$720,HLOOKUP(INDIRECT(ADDRESS(2,COLUMN())),OFFSET($BN$2,0,0,ROW()-1,60),ROW()-1,FALSE))</f>
        <v/>
      </c>
      <c r="AH47" t="str">
        <f ca="1">IF(AND(ISNUMBER($AH$720),$B$677=1),$AH$720,HLOOKUP(INDIRECT(ADDRESS(2,COLUMN())),OFFSET($BN$2,0,0,ROW()-1,60),ROW()-1,FALSE))</f>
        <v/>
      </c>
      <c r="AI47" t="str">
        <f ca="1">IF(AND(ISNUMBER($AI$720),$B$677=1),$AI$720,HLOOKUP(INDIRECT(ADDRESS(2,COLUMN())),OFFSET($BN$2,0,0,ROW()-1,60),ROW()-1,FALSE))</f>
        <v/>
      </c>
      <c r="AJ47" t="str">
        <f ca="1">IF(AND(ISNUMBER($AJ$720),$B$677=1),$AJ$720,HLOOKUP(INDIRECT(ADDRESS(2,COLUMN())),OFFSET($BN$2,0,0,ROW()-1,60),ROW()-1,FALSE))</f>
        <v/>
      </c>
      <c r="AK47" t="str">
        <f ca="1">IF(AND(ISNUMBER($AK$720),$B$677=1),$AK$720,HLOOKUP(INDIRECT(ADDRESS(2,COLUMN())),OFFSET($BN$2,0,0,ROW()-1,60),ROW()-1,FALSE))</f>
        <v/>
      </c>
      <c r="AL47" t="str">
        <f ca="1">IF(AND(ISNUMBER($AL$720),$B$677=1),$AL$720,HLOOKUP(INDIRECT(ADDRESS(2,COLUMN())),OFFSET($BN$2,0,0,ROW()-1,60),ROW()-1,FALSE))</f>
        <v/>
      </c>
      <c r="AM47" t="str">
        <f ca="1">IF(AND(ISNUMBER($AM$720),$B$677=1),$AM$720,HLOOKUP(INDIRECT(ADDRESS(2,COLUMN())),OFFSET($BN$2,0,0,ROW()-1,60),ROW()-1,FALSE))</f>
        <v/>
      </c>
      <c r="AN47" t="str">
        <f ca="1">IF(AND(ISNUMBER($AN$720),$B$677=1),$AN$720,HLOOKUP(INDIRECT(ADDRESS(2,COLUMN())),OFFSET($BN$2,0,0,ROW()-1,60),ROW()-1,FALSE))</f>
        <v/>
      </c>
      <c r="AO47" t="str">
        <f ca="1">IF(AND(ISNUMBER($AO$720),$B$677=1),$AO$720,HLOOKUP(INDIRECT(ADDRESS(2,COLUMN())),OFFSET($BN$2,0,0,ROW()-1,60),ROW()-1,FALSE))</f>
        <v/>
      </c>
      <c r="AP47" t="str">
        <f ca="1">IF(AND(ISNUMBER($AP$720),$B$677=1),$AP$720,HLOOKUP(INDIRECT(ADDRESS(2,COLUMN())),OFFSET($BN$2,0,0,ROW()-1,60),ROW()-1,FALSE))</f>
        <v/>
      </c>
      <c r="AQ47" t="str">
        <f ca="1">IF(AND(ISNUMBER($AQ$720),$B$677=1),$AQ$720,HLOOKUP(INDIRECT(ADDRESS(2,COLUMN())),OFFSET($BN$2,0,0,ROW()-1,60),ROW()-1,FALSE))</f>
        <v/>
      </c>
      <c r="AR47" t="str">
        <f ca="1">IF(AND(ISNUMBER($AR$720),$B$677=1),$AR$720,HLOOKUP(INDIRECT(ADDRESS(2,COLUMN())),OFFSET($BN$2,0,0,ROW()-1,60),ROW()-1,FALSE))</f>
        <v/>
      </c>
      <c r="AS47" t="str">
        <f ca="1">IF(AND(ISNUMBER($AS$720),$B$677=1),$AS$720,HLOOKUP(INDIRECT(ADDRESS(2,COLUMN())),OFFSET($BN$2,0,0,ROW()-1,60),ROW()-1,FALSE))</f>
        <v/>
      </c>
      <c r="AT47" t="str">
        <f ca="1">IF(AND(ISNUMBER($AT$720),$B$677=1),$AT$720,HLOOKUP(INDIRECT(ADDRESS(2,COLUMN())),OFFSET($BN$2,0,0,ROW()-1,60),ROW()-1,FALSE))</f>
        <v/>
      </c>
      <c r="AU47" t="str">
        <f ca="1">IF(AND(ISNUMBER($AU$720),$B$677=1),$AU$720,HLOOKUP(INDIRECT(ADDRESS(2,COLUMN())),OFFSET($BN$2,0,0,ROW()-1,60),ROW()-1,FALSE))</f>
        <v/>
      </c>
      <c r="AV47" t="str">
        <f ca="1">IF(AND(ISNUMBER($AV$720),$B$677=1),$AV$720,HLOOKUP(INDIRECT(ADDRESS(2,COLUMN())),OFFSET($BN$2,0,0,ROW()-1,60),ROW()-1,FALSE))</f>
        <v/>
      </c>
      <c r="AW47" t="str">
        <f ca="1">IF(AND(ISNUMBER($AW$720),$B$677=1),$AW$720,HLOOKUP(INDIRECT(ADDRESS(2,COLUMN())),OFFSET($BN$2,0,0,ROW()-1,60),ROW()-1,FALSE))</f>
        <v/>
      </c>
      <c r="AX47" t="str">
        <f ca="1">IF(AND(ISNUMBER($AX$720),$B$677=1),$AX$720,HLOOKUP(INDIRECT(ADDRESS(2,COLUMN())),OFFSET($BN$2,0,0,ROW()-1,60),ROW()-1,FALSE))</f>
        <v/>
      </c>
      <c r="AY47" t="str">
        <f ca="1">IF(AND(ISNUMBER($AY$720),$B$677=1),$AY$720,HLOOKUP(INDIRECT(ADDRESS(2,COLUMN())),OFFSET($BN$2,0,0,ROW()-1,60),ROW()-1,FALSE))</f>
        <v/>
      </c>
      <c r="AZ47" t="str">
        <f ca="1">IF(AND(ISNUMBER($AZ$720),$B$677=1),$AZ$720,HLOOKUP(INDIRECT(ADDRESS(2,COLUMN())),OFFSET($BN$2,0,0,ROW()-1,60),ROW()-1,FALSE))</f>
        <v/>
      </c>
      <c r="BA47" t="str">
        <f ca="1">IF(AND(ISNUMBER($BA$720),$B$677=1),$BA$720,HLOOKUP(INDIRECT(ADDRESS(2,COLUMN())),OFFSET($BN$2,0,0,ROW()-1,60),ROW()-1,FALSE))</f>
        <v/>
      </c>
      <c r="BB47" t="str">
        <f ca="1">IF(AND(ISNUMBER($BB$720),$B$677=1),$BB$720,HLOOKUP(INDIRECT(ADDRESS(2,COLUMN())),OFFSET($BN$2,0,0,ROW()-1,60),ROW()-1,FALSE))</f>
        <v/>
      </c>
      <c r="BC47" t="str">
        <f ca="1">IF(AND(ISNUMBER($BC$720),$B$677=1),$BC$720,HLOOKUP(INDIRECT(ADDRESS(2,COLUMN())),OFFSET($BN$2,0,0,ROW()-1,60),ROW()-1,FALSE))</f>
        <v/>
      </c>
      <c r="BD47" t="str">
        <f ca="1">IF(AND(ISNUMBER($BD$720),$B$677=1),$BD$720,HLOOKUP(INDIRECT(ADDRESS(2,COLUMN())),OFFSET($BN$2,0,0,ROW()-1,60),ROW()-1,FALSE))</f>
        <v/>
      </c>
      <c r="BE47" t="str">
        <f ca="1">IF(AND(ISNUMBER($BE$720),$B$677=1),$BE$720,HLOOKUP(INDIRECT(ADDRESS(2,COLUMN())),OFFSET($BN$2,0,0,ROW()-1,60),ROW()-1,FALSE))</f>
        <v/>
      </c>
      <c r="BF47" t="str">
        <f ca="1">IF(AND(ISNUMBER($BF$720),$B$677=1),$BF$720,HLOOKUP(INDIRECT(ADDRESS(2,COLUMN())),OFFSET($BN$2,0,0,ROW()-1,60),ROW()-1,FALSE))</f>
        <v/>
      </c>
      <c r="BG47" t="str">
        <f ca="1">IF(AND(ISNUMBER($BG$720),$B$677=1),$BG$720,HLOOKUP(INDIRECT(ADDRESS(2,COLUMN())),OFFSET($BN$2,0,0,ROW()-1,60),ROW()-1,FALSE))</f>
        <v/>
      </c>
      <c r="BH47" t="str">
        <f ca="1">IF(AND(ISNUMBER($BH$720),$B$677=1),$BH$720,HLOOKUP(INDIRECT(ADDRESS(2,COLUMN())),OFFSET($BN$2,0,0,ROW()-1,60),ROW()-1,FALSE))</f>
        <v/>
      </c>
      <c r="BI47" t="str">
        <f ca="1">IF(AND(ISNUMBER($BI$720),$B$677=1),$BI$720,HLOOKUP(INDIRECT(ADDRESS(2,COLUMN())),OFFSET($BN$2,0,0,ROW()-1,60),ROW()-1,FALSE))</f>
        <v/>
      </c>
      <c r="BJ47" t="str">
        <f ca="1">IF(AND(ISNUMBER($BJ$720),$B$677=1),$BJ$720,HLOOKUP(INDIRECT(ADDRESS(2,COLUMN())),OFFSET($BN$2,0,0,ROW()-1,60),ROW()-1,FALSE))</f>
        <v/>
      </c>
      <c r="BK47" t="str">
        <f ca="1">IF(AND(ISNUMBER($BK$720),$B$677=1),$BK$720,HLOOKUP(INDIRECT(ADDRESS(2,COLUMN())),OFFSET($BN$2,0,0,ROW()-1,60),ROW()-1,FALSE))</f>
        <v/>
      </c>
      <c r="BL47" t="str">
        <f ca="1">IF(AND(ISNUMBER($BL$720),$B$677=1),$BL$720,HLOOKUP(INDIRECT(ADDRESS(2,COLUMN())),OFFSET($BN$2,0,0,ROW()-1,60),ROW()-1,FALSE))</f>
        <v/>
      </c>
      <c r="BM47" t="str">
        <f ca="1">IF(AND(ISNUMBER($BM$720),$B$677=1),$BM$720,HLOOKUP(INDIRECT(ADDRESS(2,COLUMN())),OFFSET($BN$2,0,0,ROW()-1,60),ROW()-1,FALSE))</f>
        <v/>
      </c>
      <c r="BN47" t="str">
        <f>""</f>
        <v/>
      </c>
      <c r="BO47" t="str">
        <f>""</f>
        <v/>
      </c>
      <c r="BP47" t="str">
        <f>""</f>
        <v/>
      </c>
      <c r="BQ47" t="str">
        <f>""</f>
        <v/>
      </c>
      <c r="BR47" t="str">
        <f>""</f>
        <v/>
      </c>
      <c r="BS47" t="str">
        <f>""</f>
        <v/>
      </c>
      <c r="BT47" t="str">
        <f>""</f>
        <v/>
      </c>
      <c r="BU47" t="str">
        <f>""</f>
        <v/>
      </c>
      <c r="BV47" t="str">
        <f>""</f>
        <v/>
      </c>
      <c r="BW47" t="str">
        <f>""</f>
        <v/>
      </c>
      <c r="BX47" t="str">
        <f>""</f>
        <v/>
      </c>
      <c r="BY47">
        <f>1.370436081</f>
        <v>1.370436081</v>
      </c>
      <c r="BZ47">
        <f>1.414440909</f>
        <v>1.4144409090000001</v>
      </c>
      <c r="CA47">
        <f>1.478876551</f>
        <v>1.4788765509999999</v>
      </c>
      <c r="CB47">
        <f>1.306410715</f>
        <v>1.3064107149999999</v>
      </c>
      <c r="CC47">
        <f>1.330381553</f>
        <v>1.330381553</v>
      </c>
      <c r="CD47">
        <f>1.566094802</f>
        <v>1.5660948020000001</v>
      </c>
      <c r="CE47">
        <f>1.33406894</f>
        <v>1.3340689400000001</v>
      </c>
      <c r="CF47">
        <f>1.679553797</f>
        <v>1.6795537970000001</v>
      </c>
      <c r="CG47">
        <f>1.555724599</f>
        <v>1.5557245989999999</v>
      </c>
      <c r="CH47">
        <f>1.600113203</f>
        <v>1.600113203</v>
      </c>
      <c r="CI47" t="str">
        <f>""</f>
        <v/>
      </c>
      <c r="CJ47" t="str">
        <f>""</f>
        <v/>
      </c>
      <c r="CK47" t="str">
        <f>""</f>
        <v/>
      </c>
      <c r="CL47" t="str">
        <f>""</f>
        <v/>
      </c>
      <c r="CM47" t="str">
        <f>""</f>
        <v/>
      </c>
      <c r="CN47" t="str">
        <f>""</f>
        <v/>
      </c>
      <c r="CO47" t="str">
        <f>""</f>
        <v/>
      </c>
      <c r="CP47" t="str">
        <f>""</f>
        <v/>
      </c>
      <c r="CQ47" t="str">
        <f>""</f>
        <v/>
      </c>
      <c r="CR47" t="str">
        <f>""</f>
        <v/>
      </c>
      <c r="CS47" t="str">
        <f>""</f>
        <v/>
      </c>
      <c r="CT47" t="str">
        <f>""</f>
        <v/>
      </c>
      <c r="CU47" t="str">
        <f>""</f>
        <v/>
      </c>
      <c r="CV47" t="str">
        <f>""</f>
        <v/>
      </c>
      <c r="CW47" t="str">
        <f>""</f>
        <v/>
      </c>
      <c r="CX47" t="str">
        <f>""</f>
        <v/>
      </c>
      <c r="CY47" t="str">
        <f>""</f>
        <v/>
      </c>
      <c r="CZ47" t="str">
        <f>""</f>
        <v/>
      </c>
      <c r="DA47" t="str">
        <f>""</f>
        <v/>
      </c>
      <c r="DB47" t="str">
        <f>""</f>
        <v/>
      </c>
      <c r="DC47" t="str">
        <f>""</f>
        <v/>
      </c>
      <c r="DD47" t="str">
        <f>""</f>
        <v/>
      </c>
      <c r="DE47" t="str">
        <f>""</f>
        <v/>
      </c>
      <c r="DF47" t="str">
        <f>""</f>
        <v/>
      </c>
      <c r="DG47" t="str">
        <f>""</f>
        <v/>
      </c>
      <c r="DH47" t="str">
        <f>""</f>
        <v/>
      </c>
      <c r="DI47" t="str">
        <f>""</f>
        <v/>
      </c>
      <c r="DJ47" t="str">
        <f>""</f>
        <v/>
      </c>
      <c r="DK47" t="str">
        <f>""</f>
        <v/>
      </c>
      <c r="DL47" t="str">
        <f>""</f>
        <v/>
      </c>
      <c r="DM47" t="str">
        <f>""</f>
        <v/>
      </c>
      <c r="DN47" t="str">
        <f>""</f>
        <v/>
      </c>
      <c r="DO47" t="str">
        <f>""</f>
        <v/>
      </c>
      <c r="DP47" t="str">
        <f>""</f>
        <v/>
      </c>
      <c r="DQ47" t="str">
        <f>""</f>
        <v/>
      </c>
      <c r="DR47" t="str">
        <f>""</f>
        <v/>
      </c>
      <c r="DS47" t="str">
        <f>""</f>
        <v/>
      </c>
      <c r="DT47" t="str">
        <f>""</f>
        <v/>
      </c>
      <c r="DU47" t="str">
        <f>""</f>
        <v/>
      </c>
    </row>
    <row r="48" spans="1:125" x14ac:dyDescent="0.25">
      <c r="A48" t="str">
        <f>"    Bayerische Motoren Werke AG"</f>
        <v xml:space="preserve">    Bayerische Motoren Werke AG</v>
      </c>
      <c r="B48" t="str">
        <f>"BMW GR Equity"</f>
        <v>BMW GR Equity</v>
      </c>
      <c r="C48" t="str">
        <f t="shared" si="3"/>
        <v>EZ009</v>
      </c>
      <c r="D48" t="str">
        <f t="shared" si="4"/>
        <v>BEST_EST_PE_CUR_YR</v>
      </c>
      <c r="E48" t="str">
        <f t="shared" si="5"/>
        <v>Dynamic</v>
      </c>
      <c r="F48">
        <f ca="1">IF(AND(ISNUMBER($F$721),$B$677=1),$F$721,HLOOKUP(INDIRECT(ADDRESS(2,COLUMN())),OFFSET($BN$2,0,0,ROW()-1,60),ROW()-1,FALSE))</f>
        <v>7.0345807669999996</v>
      </c>
      <c r="G48">
        <f ca="1">IF(AND(ISNUMBER($G$721),$B$677=1),$G$721,HLOOKUP(INDIRECT(ADDRESS(2,COLUMN())),OFFSET($BN$2,0,0,ROW()-1,60),ROW()-1,FALSE))</f>
        <v>6.7629615459999997</v>
      </c>
      <c r="H48">
        <f ca="1">IF(AND(ISNUMBER($H$721),$B$677=1),$H$721,HLOOKUP(INDIRECT(ADDRESS(2,COLUMN())),OFFSET($BN$2,0,0,ROW()-1,60),ROW()-1,FALSE))</f>
        <v>7.4155583199999997</v>
      </c>
      <c r="I48">
        <f ca="1">IF(AND(ISNUMBER($I$721),$B$677=1),$I$721,HLOOKUP(INDIRECT(ADDRESS(2,COLUMN())),OFFSET($BN$2,0,0,ROW()-1,60),ROW()-1,FALSE))</f>
        <v>6.8539127359999998</v>
      </c>
      <c r="J48">
        <f ca="1">IF(AND(ISNUMBER($J$721),$B$677=1),$J$721,HLOOKUP(INDIRECT(ADDRESS(2,COLUMN())),OFFSET($BN$2,0,0,ROW()-1,60),ROW()-1,FALSE))</f>
        <v>7.9016657710000002</v>
      </c>
      <c r="K48">
        <f ca="1">IF(AND(ISNUMBER($K$721),$B$677=1),$K$721,HLOOKUP(INDIRECT(ADDRESS(2,COLUMN())),OFFSET($BN$2,0,0,ROW()-1,60),ROW()-1,FALSE))</f>
        <v>7.9116173119999997</v>
      </c>
      <c r="L48">
        <f ca="1">IF(AND(ISNUMBER($L$721),$B$677=1),$L$721,HLOOKUP(INDIRECT(ADDRESS(2,COLUMN())),OFFSET($BN$2,0,0,ROW()-1,60),ROW()-1,FALSE))</f>
        <v>7.8371943960000001</v>
      </c>
      <c r="M48">
        <f ca="1">IF(AND(ISNUMBER($M$721),$B$677=1),$M$721,HLOOKUP(INDIRECT(ADDRESS(2,COLUMN())),OFFSET($BN$2,0,0,ROW()-1,60),ROW()-1,FALSE))</f>
        <v>7.6357336829999998</v>
      </c>
      <c r="N48">
        <f ca="1">IF(AND(ISNUMBER($N$721),$B$677=1),$N$721,HLOOKUP(INDIRECT(ADDRESS(2,COLUMN())),OFFSET($BN$2,0,0,ROW()-1,60),ROW()-1,FALSE))</f>
        <v>8.2160837820000001</v>
      </c>
      <c r="O48">
        <f ca="1">IF(AND(ISNUMBER($O$721),$B$677=1),$O$721,HLOOKUP(INDIRECT(ADDRESS(2,COLUMN())),OFFSET($BN$2,0,0,ROW()-1,60),ROW()-1,FALSE))</f>
        <v>8.6341083760000004</v>
      </c>
      <c r="P48">
        <f ca="1">IF(AND(ISNUMBER($P$721),$B$677=1),$P$721,HLOOKUP(INDIRECT(ADDRESS(2,COLUMN())),OFFSET($BN$2,0,0,ROW()-1,60),ROW()-1,FALSE))</f>
        <v>7.7030090680000001</v>
      </c>
      <c r="Q48">
        <f ca="1">IF(AND(ISNUMBER($Q$721),$B$677=1),$Q$721,HLOOKUP(INDIRECT(ADDRESS(2,COLUMN())),OFFSET($BN$2,0,0,ROW()-1,60),ROW()-1,FALSE))</f>
        <v>6.6983789260000002</v>
      </c>
      <c r="R48">
        <f ca="1">IF(AND(ISNUMBER($R$721),$B$677=1),$R$721,HLOOKUP(INDIRECT(ADDRESS(2,COLUMN())),OFFSET($BN$2,0,0,ROW()-1,60),ROW()-1,FALSE))</f>
        <v>8.0064477729999997</v>
      </c>
      <c r="S48">
        <f ca="1">IF(AND(ISNUMBER($S$721),$B$677=1),$S$721,HLOOKUP(INDIRECT(ADDRESS(2,COLUMN())),OFFSET($BN$2,0,0,ROW()-1,60),ROW()-1,FALSE))</f>
        <v>9.6586861890000009</v>
      </c>
      <c r="T48">
        <f ca="1">IF(AND(ISNUMBER($T$721),$B$677=1),$T$721,HLOOKUP(INDIRECT(ADDRESS(2,COLUMN())),OFFSET($BN$2,0,0,ROW()-1,60),ROW()-1,FALSE))</f>
        <v>7.8971028969999999</v>
      </c>
      <c r="U48">
        <f ca="1">IF(AND(ISNUMBER($U$721),$B$677=1),$U$721,HLOOKUP(INDIRECT(ADDRESS(2,COLUMN())),OFFSET($BN$2,0,0,ROW()-1,60),ROW()-1,FALSE))</f>
        <v>8.8566034340000002</v>
      </c>
      <c r="V48">
        <f ca="1">IF(AND(ISNUMBER($V$721),$B$677=1),$V$721,HLOOKUP(INDIRECT(ADDRESS(2,COLUMN())),OFFSET($BN$2,0,0,ROW()-1,60),ROW()-1,FALSE))</f>
        <v>10.53989071</v>
      </c>
      <c r="W48">
        <f ca="1">IF(AND(ISNUMBER($W$721),$B$677=1),$W$721,HLOOKUP(INDIRECT(ADDRESS(2,COLUMN())),OFFSET($BN$2,0,0,ROW()-1,60),ROW()-1,FALSE))</f>
        <v>8.6151631480000006</v>
      </c>
      <c r="X48">
        <f ca="1">IF(AND(ISNUMBER($X$721),$B$677=1),$X$721,HLOOKUP(INDIRECT(ADDRESS(2,COLUMN())),OFFSET($BN$2,0,0,ROW()-1,60),ROW()-1,FALSE))</f>
        <v>8.0716227620000005</v>
      </c>
      <c r="Y48">
        <f ca="1">IF(AND(ISNUMBER($Y$721),$B$677=1),$Y$721,HLOOKUP(INDIRECT(ADDRESS(2,COLUMN())),OFFSET($BN$2,0,0,ROW()-1,60),ROW()-1,FALSE))</f>
        <v>8.7115004240000005</v>
      </c>
      <c r="Z48">
        <f ca="1">IF(AND(ISNUMBER($Z$721),$B$677=1),$Z$721,HLOOKUP(INDIRECT(ADDRESS(2,COLUMN())),OFFSET($BN$2,0,0,ROW()-1,60),ROW()-1,FALSE))</f>
        <v>7.9764603310000002</v>
      </c>
      <c r="AA48">
        <f ca="1">IF(AND(ISNUMBER($AA$721),$B$677=1),$AA$721,HLOOKUP(INDIRECT(ADDRESS(2,COLUMN())),OFFSET($BN$2,0,0,ROW()-1,60),ROW()-1,FALSE))</f>
        <v>8.3141463410000007</v>
      </c>
      <c r="AB48" t="str">
        <f ca="1">IF(AND(ISNUMBER($AB$721),$B$677=1),$AB$721,HLOOKUP(INDIRECT(ADDRESS(2,COLUMN())),OFFSET($BN$2,0,0,ROW()-1,60),ROW()-1,FALSE))</f>
        <v/>
      </c>
      <c r="AC48" t="str">
        <f ca="1">IF(AND(ISNUMBER($AC$721),$B$677=1),$AC$721,HLOOKUP(INDIRECT(ADDRESS(2,COLUMN())),OFFSET($BN$2,0,0,ROW()-1,60),ROW()-1,FALSE))</f>
        <v/>
      </c>
      <c r="AD48" t="str">
        <f ca="1">IF(AND(ISNUMBER($AD$721),$B$677=1),$AD$721,HLOOKUP(INDIRECT(ADDRESS(2,COLUMN())),OFFSET($BN$2,0,0,ROW()-1,60),ROW()-1,FALSE))</f>
        <v/>
      </c>
      <c r="AE48" t="str">
        <f ca="1">IF(AND(ISNUMBER($AE$721),$B$677=1),$AE$721,HLOOKUP(INDIRECT(ADDRESS(2,COLUMN())),OFFSET($BN$2,0,0,ROW()-1,60),ROW()-1,FALSE))</f>
        <v/>
      </c>
      <c r="AF48" t="str">
        <f ca="1">IF(AND(ISNUMBER($AF$721),$B$677=1),$AF$721,HLOOKUP(INDIRECT(ADDRESS(2,COLUMN())),OFFSET($BN$2,0,0,ROW()-1,60),ROW()-1,FALSE))</f>
        <v/>
      </c>
      <c r="AG48" t="str">
        <f ca="1">IF(AND(ISNUMBER($AG$721),$B$677=1),$AG$721,HLOOKUP(INDIRECT(ADDRESS(2,COLUMN())),OFFSET($BN$2,0,0,ROW()-1,60),ROW()-1,FALSE))</f>
        <v/>
      </c>
      <c r="AH48" t="str">
        <f ca="1">IF(AND(ISNUMBER($AH$721),$B$677=1),$AH$721,HLOOKUP(INDIRECT(ADDRESS(2,COLUMN())),OFFSET($BN$2,0,0,ROW()-1,60),ROW()-1,FALSE))</f>
        <v/>
      </c>
      <c r="AI48" t="str">
        <f ca="1">IF(AND(ISNUMBER($AI$721),$B$677=1),$AI$721,HLOOKUP(INDIRECT(ADDRESS(2,COLUMN())),OFFSET($BN$2,0,0,ROW()-1,60),ROW()-1,FALSE))</f>
        <v/>
      </c>
      <c r="AJ48" t="str">
        <f ca="1">IF(AND(ISNUMBER($AJ$721),$B$677=1),$AJ$721,HLOOKUP(INDIRECT(ADDRESS(2,COLUMN())),OFFSET($BN$2,0,0,ROW()-1,60),ROW()-1,FALSE))</f>
        <v/>
      </c>
      <c r="AK48" t="str">
        <f ca="1">IF(AND(ISNUMBER($AK$721),$B$677=1),$AK$721,HLOOKUP(INDIRECT(ADDRESS(2,COLUMN())),OFFSET($BN$2,0,0,ROW()-1,60),ROW()-1,FALSE))</f>
        <v/>
      </c>
      <c r="AL48" t="str">
        <f ca="1">IF(AND(ISNUMBER($AL$721),$B$677=1),$AL$721,HLOOKUP(INDIRECT(ADDRESS(2,COLUMN())),OFFSET($BN$2,0,0,ROW()-1,60),ROW()-1,FALSE))</f>
        <v/>
      </c>
      <c r="AM48" t="str">
        <f ca="1">IF(AND(ISNUMBER($AM$721),$B$677=1),$AM$721,HLOOKUP(INDIRECT(ADDRESS(2,COLUMN())),OFFSET($BN$2,0,0,ROW()-1,60),ROW()-1,FALSE))</f>
        <v/>
      </c>
      <c r="AN48" t="str">
        <f ca="1">IF(AND(ISNUMBER($AN$721),$B$677=1),$AN$721,HLOOKUP(INDIRECT(ADDRESS(2,COLUMN())),OFFSET($BN$2,0,0,ROW()-1,60),ROW()-1,FALSE))</f>
        <v/>
      </c>
      <c r="AO48" t="str">
        <f ca="1">IF(AND(ISNUMBER($AO$721),$B$677=1),$AO$721,HLOOKUP(INDIRECT(ADDRESS(2,COLUMN())),OFFSET($BN$2,0,0,ROW()-1,60),ROW()-1,FALSE))</f>
        <v/>
      </c>
      <c r="AP48" t="str">
        <f ca="1">IF(AND(ISNUMBER($AP$721),$B$677=1),$AP$721,HLOOKUP(INDIRECT(ADDRESS(2,COLUMN())),OFFSET($BN$2,0,0,ROW()-1,60),ROW()-1,FALSE))</f>
        <v/>
      </c>
      <c r="AQ48" t="str">
        <f ca="1">IF(AND(ISNUMBER($AQ$721),$B$677=1),$AQ$721,HLOOKUP(INDIRECT(ADDRESS(2,COLUMN())),OFFSET($BN$2,0,0,ROW()-1,60),ROW()-1,FALSE))</f>
        <v/>
      </c>
      <c r="AR48" t="str">
        <f ca="1">IF(AND(ISNUMBER($AR$721),$B$677=1),$AR$721,HLOOKUP(INDIRECT(ADDRESS(2,COLUMN())),OFFSET($BN$2,0,0,ROW()-1,60),ROW()-1,FALSE))</f>
        <v/>
      </c>
      <c r="AS48" t="str">
        <f ca="1">IF(AND(ISNUMBER($AS$721),$B$677=1),$AS$721,HLOOKUP(INDIRECT(ADDRESS(2,COLUMN())),OFFSET($BN$2,0,0,ROW()-1,60),ROW()-1,FALSE))</f>
        <v/>
      </c>
      <c r="AT48" t="str">
        <f ca="1">IF(AND(ISNUMBER($AT$721),$B$677=1),$AT$721,HLOOKUP(INDIRECT(ADDRESS(2,COLUMN())),OFFSET($BN$2,0,0,ROW()-1,60),ROW()-1,FALSE))</f>
        <v/>
      </c>
      <c r="AU48" t="str">
        <f ca="1">IF(AND(ISNUMBER($AU$721),$B$677=1),$AU$721,HLOOKUP(INDIRECT(ADDRESS(2,COLUMN())),OFFSET($BN$2,0,0,ROW()-1,60),ROW()-1,FALSE))</f>
        <v/>
      </c>
      <c r="AV48" t="str">
        <f ca="1">IF(AND(ISNUMBER($AV$721),$B$677=1),$AV$721,HLOOKUP(INDIRECT(ADDRESS(2,COLUMN())),OFFSET($BN$2,0,0,ROW()-1,60),ROW()-1,FALSE))</f>
        <v/>
      </c>
      <c r="AW48" t="str">
        <f ca="1">IF(AND(ISNUMBER($AW$721),$B$677=1),$AW$721,HLOOKUP(INDIRECT(ADDRESS(2,COLUMN())),OFFSET($BN$2,0,0,ROW()-1,60),ROW()-1,FALSE))</f>
        <v/>
      </c>
      <c r="AX48" t="str">
        <f ca="1">IF(AND(ISNUMBER($AX$721),$B$677=1),$AX$721,HLOOKUP(INDIRECT(ADDRESS(2,COLUMN())),OFFSET($BN$2,0,0,ROW()-1,60),ROW()-1,FALSE))</f>
        <v/>
      </c>
      <c r="AY48" t="str">
        <f ca="1">IF(AND(ISNUMBER($AY$721),$B$677=1),$AY$721,HLOOKUP(INDIRECT(ADDRESS(2,COLUMN())),OFFSET($BN$2,0,0,ROW()-1,60),ROW()-1,FALSE))</f>
        <v/>
      </c>
      <c r="AZ48" t="str">
        <f ca="1">IF(AND(ISNUMBER($AZ$721),$B$677=1),$AZ$721,HLOOKUP(INDIRECT(ADDRESS(2,COLUMN())),OFFSET($BN$2,0,0,ROW()-1,60),ROW()-1,FALSE))</f>
        <v/>
      </c>
      <c r="BA48" t="str">
        <f ca="1">IF(AND(ISNUMBER($BA$721),$B$677=1),$BA$721,HLOOKUP(INDIRECT(ADDRESS(2,COLUMN())),OFFSET($BN$2,0,0,ROW()-1,60),ROW()-1,FALSE))</f>
        <v/>
      </c>
      <c r="BB48" t="str">
        <f ca="1">IF(AND(ISNUMBER($BB$721),$B$677=1),$BB$721,HLOOKUP(INDIRECT(ADDRESS(2,COLUMN())),OFFSET($BN$2,0,0,ROW()-1,60),ROW()-1,FALSE))</f>
        <v/>
      </c>
      <c r="BC48" t="str">
        <f ca="1">IF(AND(ISNUMBER($BC$721),$B$677=1),$BC$721,HLOOKUP(INDIRECT(ADDRESS(2,COLUMN())),OFFSET($BN$2,0,0,ROW()-1,60),ROW()-1,FALSE))</f>
        <v/>
      </c>
      <c r="BD48" t="str">
        <f ca="1">IF(AND(ISNUMBER($BD$721),$B$677=1),$BD$721,HLOOKUP(INDIRECT(ADDRESS(2,COLUMN())),OFFSET($BN$2,0,0,ROW()-1,60),ROW()-1,FALSE))</f>
        <v/>
      </c>
      <c r="BE48" t="str">
        <f ca="1">IF(AND(ISNUMBER($BE$721),$B$677=1),$BE$721,HLOOKUP(INDIRECT(ADDRESS(2,COLUMN())),OFFSET($BN$2,0,0,ROW()-1,60),ROW()-1,FALSE))</f>
        <v/>
      </c>
      <c r="BF48" t="str">
        <f ca="1">IF(AND(ISNUMBER($BF$721),$B$677=1),$BF$721,HLOOKUP(INDIRECT(ADDRESS(2,COLUMN())),OFFSET($BN$2,0,0,ROW()-1,60),ROW()-1,FALSE))</f>
        <v/>
      </c>
      <c r="BG48" t="str">
        <f ca="1">IF(AND(ISNUMBER($BG$721),$B$677=1),$BG$721,HLOOKUP(INDIRECT(ADDRESS(2,COLUMN())),OFFSET($BN$2,0,0,ROW()-1,60),ROW()-1,FALSE))</f>
        <v/>
      </c>
      <c r="BH48" t="str">
        <f ca="1">IF(AND(ISNUMBER($BH$721),$B$677=1),$BH$721,HLOOKUP(INDIRECT(ADDRESS(2,COLUMN())),OFFSET($BN$2,0,0,ROW()-1,60),ROW()-1,FALSE))</f>
        <v/>
      </c>
      <c r="BI48" t="str">
        <f ca="1">IF(AND(ISNUMBER($BI$721),$B$677=1),$BI$721,HLOOKUP(INDIRECT(ADDRESS(2,COLUMN())),OFFSET($BN$2,0,0,ROW()-1,60),ROW()-1,FALSE))</f>
        <v/>
      </c>
      <c r="BJ48" t="str">
        <f ca="1">IF(AND(ISNUMBER($BJ$721),$B$677=1),$BJ$721,HLOOKUP(INDIRECT(ADDRESS(2,COLUMN())),OFFSET($BN$2,0,0,ROW()-1,60),ROW()-1,FALSE))</f>
        <v/>
      </c>
      <c r="BK48" t="str">
        <f ca="1">IF(AND(ISNUMBER($BK$721),$B$677=1),$BK$721,HLOOKUP(INDIRECT(ADDRESS(2,COLUMN())),OFFSET($BN$2,0,0,ROW()-1,60),ROW()-1,FALSE))</f>
        <v/>
      </c>
      <c r="BL48" t="str">
        <f ca="1">IF(AND(ISNUMBER($BL$721),$B$677=1),$BL$721,HLOOKUP(INDIRECT(ADDRESS(2,COLUMN())),OFFSET($BN$2,0,0,ROW()-1,60),ROW()-1,FALSE))</f>
        <v/>
      </c>
      <c r="BM48" t="str">
        <f ca="1">IF(AND(ISNUMBER($BM$721),$B$677=1),$BM$721,HLOOKUP(INDIRECT(ADDRESS(2,COLUMN())),OFFSET($BN$2,0,0,ROW()-1,60),ROW()-1,FALSE))</f>
        <v/>
      </c>
      <c r="BN48">
        <f>7.034580767</f>
        <v>7.0345807669999996</v>
      </c>
      <c r="BO48">
        <f>6.762961546</f>
        <v>6.7629615459999997</v>
      </c>
      <c r="BP48">
        <f>7.41555832</f>
        <v>7.4155583199999997</v>
      </c>
      <c r="BQ48">
        <f>6.853912736</f>
        <v>6.8539127359999998</v>
      </c>
      <c r="BR48">
        <f>7.901665771</f>
        <v>7.9016657710000002</v>
      </c>
      <c r="BS48">
        <f>7.911617312</f>
        <v>7.9116173119999997</v>
      </c>
      <c r="BT48">
        <f>7.837194396</f>
        <v>7.8371943960000001</v>
      </c>
      <c r="BU48">
        <f>7.635733683</f>
        <v>7.6357336829999998</v>
      </c>
      <c r="BV48">
        <f>8.216083782</f>
        <v>8.2160837820000001</v>
      </c>
      <c r="BW48">
        <f>8.634108376</f>
        <v>8.6341083760000004</v>
      </c>
      <c r="BX48">
        <f>7.703009068</f>
        <v>7.7030090680000001</v>
      </c>
      <c r="BY48">
        <f>6.698378926</f>
        <v>6.6983789260000002</v>
      </c>
      <c r="BZ48">
        <f>8.006447773</f>
        <v>8.0064477729999997</v>
      </c>
      <c r="CA48">
        <f>9.658686189</f>
        <v>9.6586861890000009</v>
      </c>
      <c r="CB48">
        <f>7.897102897</f>
        <v>7.8971028969999999</v>
      </c>
      <c r="CC48">
        <f>8.856603434</f>
        <v>8.8566034340000002</v>
      </c>
      <c r="CD48">
        <f>10.53989071</f>
        <v>10.53989071</v>
      </c>
      <c r="CE48">
        <f>8.615163148</f>
        <v>8.6151631480000006</v>
      </c>
      <c r="CF48">
        <f>8.071622762</f>
        <v>8.0716227620000005</v>
      </c>
      <c r="CG48">
        <f>8.711500424</f>
        <v>8.7115004240000005</v>
      </c>
      <c r="CH48">
        <f>7.976460331</f>
        <v>7.9764603310000002</v>
      </c>
      <c r="CI48">
        <f>8.314146341</f>
        <v>8.3141463410000007</v>
      </c>
      <c r="CJ48" t="str">
        <f>""</f>
        <v/>
      </c>
      <c r="CK48" t="str">
        <f>""</f>
        <v/>
      </c>
      <c r="CL48" t="str">
        <f>""</f>
        <v/>
      </c>
      <c r="CM48" t="str">
        <f>""</f>
        <v/>
      </c>
      <c r="CN48" t="str">
        <f>""</f>
        <v/>
      </c>
      <c r="CO48" t="str">
        <f>""</f>
        <v/>
      </c>
      <c r="CP48" t="str">
        <f>""</f>
        <v/>
      </c>
      <c r="CQ48" t="str">
        <f>""</f>
        <v/>
      </c>
      <c r="CR48" t="str">
        <f>""</f>
        <v/>
      </c>
      <c r="CS48" t="str">
        <f>""</f>
        <v/>
      </c>
      <c r="CT48" t="str">
        <f>""</f>
        <v/>
      </c>
      <c r="CU48" t="str">
        <f>""</f>
        <v/>
      </c>
      <c r="CV48" t="str">
        <f>""</f>
        <v/>
      </c>
      <c r="CW48" t="str">
        <f>""</f>
        <v/>
      </c>
      <c r="CX48" t="str">
        <f>""</f>
        <v/>
      </c>
      <c r="CY48" t="str">
        <f>""</f>
        <v/>
      </c>
      <c r="CZ48" t="str">
        <f>""</f>
        <v/>
      </c>
      <c r="DA48" t="str">
        <f>""</f>
        <v/>
      </c>
      <c r="DB48" t="str">
        <f>""</f>
        <v/>
      </c>
      <c r="DC48" t="str">
        <f>""</f>
        <v/>
      </c>
      <c r="DD48" t="str">
        <f>""</f>
        <v/>
      </c>
      <c r="DE48" t="str">
        <f>""</f>
        <v/>
      </c>
      <c r="DF48" t="str">
        <f>""</f>
        <v/>
      </c>
      <c r="DG48" t="str">
        <f>""</f>
        <v/>
      </c>
      <c r="DH48" t="str">
        <f>""</f>
        <v/>
      </c>
      <c r="DI48" t="str">
        <f>""</f>
        <v/>
      </c>
      <c r="DJ48" t="str">
        <f>""</f>
        <v/>
      </c>
      <c r="DK48" t="str">
        <f>""</f>
        <v/>
      </c>
      <c r="DL48" t="str">
        <f>""</f>
        <v/>
      </c>
      <c r="DM48" t="str">
        <f>""</f>
        <v/>
      </c>
      <c r="DN48" t="str">
        <f>""</f>
        <v/>
      </c>
      <c r="DO48" t="str">
        <f>""</f>
        <v/>
      </c>
      <c r="DP48" t="str">
        <f>""</f>
        <v/>
      </c>
      <c r="DQ48" t="str">
        <f>""</f>
        <v/>
      </c>
      <c r="DR48" t="str">
        <f>""</f>
        <v/>
      </c>
      <c r="DS48" t="str">
        <f>""</f>
        <v/>
      </c>
      <c r="DT48" t="str">
        <f>""</f>
        <v/>
      </c>
      <c r="DU48" t="str">
        <f>""</f>
        <v/>
      </c>
    </row>
    <row r="49" spans="1:125" x14ac:dyDescent="0.25">
      <c r="A49" t="str">
        <f>"    Brilliance China Automotive Holdings Ltd"</f>
        <v xml:space="preserve">    Brilliance China Automotive Holdings Ltd</v>
      </c>
      <c r="B49" t="str">
        <f>"1114 HK Equity"</f>
        <v>1114 HK Equity</v>
      </c>
      <c r="C49" t="str">
        <f t="shared" si="3"/>
        <v>EZ009</v>
      </c>
      <c r="D49" t="str">
        <f t="shared" si="4"/>
        <v>BEST_EST_PE_CUR_YR</v>
      </c>
      <c r="E49" t="str">
        <f t="shared" si="5"/>
        <v>Dynamic</v>
      </c>
      <c r="F49">
        <f ca="1">IF(AND(ISNUMBER($F$722),$B$677=1),$F$722,HLOOKUP(INDIRECT(ADDRESS(2,COLUMN())),OFFSET($BN$2,0,0,ROW()-1,60),ROW()-1,FALSE))</f>
        <v>5.1755601540000002</v>
      </c>
      <c r="G49">
        <f ca="1">IF(AND(ISNUMBER($G$722),$B$677=1),$G$722,HLOOKUP(INDIRECT(ADDRESS(2,COLUMN())),OFFSET($BN$2,0,0,ROW()-1,60),ROW()-1,FALSE))</f>
        <v>4.0063388050000004</v>
      </c>
      <c r="H49">
        <f ca="1">IF(AND(ISNUMBER($H$722),$B$677=1),$H$722,HLOOKUP(INDIRECT(ADDRESS(2,COLUMN())),OFFSET($BN$2,0,0,ROW()-1,60),ROW()-1,FALSE))</f>
        <v>8.2134128279999992</v>
      </c>
      <c r="I49">
        <f ca="1">IF(AND(ISNUMBER($I$722),$B$677=1),$I$722,HLOOKUP(INDIRECT(ADDRESS(2,COLUMN())),OFFSET($BN$2,0,0,ROW()-1,60),ROW()-1,FALSE))</f>
        <v>8.8549044259999992</v>
      </c>
      <c r="J49">
        <f ca="1">IF(AND(ISNUMBER($J$722),$B$677=1),$J$722,HLOOKUP(INDIRECT(ADDRESS(2,COLUMN())),OFFSET($BN$2,0,0,ROW()-1,60),ROW()-1,FALSE))</f>
        <v>9.3037832159999994</v>
      </c>
      <c r="K49">
        <f ca="1">IF(AND(ISNUMBER($K$722),$B$677=1),$K$722,HLOOKUP(INDIRECT(ADDRESS(2,COLUMN())),OFFSET($BN$2,0,0,ROW()-1,60),ROW()-1,FALSE))</f>
        <v>11.332792619999999</v>
      </c>
      <c r="L49">
        <f ca="1">IF(AND(ISNUMBER($L$722),$B$677=1),$L$722,HLOOKUP(INDIRECT(ADDRESS(2,COLUMN())),OFFSET($BN$2,0,0,ROW()-1,60),ROW()-1,FALSE))</f>
        <v>11.47164978</v>
      </c>
      <c r="M49">
        <f ca="1">IF(AND(ISNUMBER($M$722),$B$677=1),$M$722,HLOOKUP(INDIRECT(ADDRESS(2,COLUMN())),OFFSET($BN$2,0,0,ROW()-1,60),ROW()-1,FALSE))</f>
        <v>9.8112027449999992</v>
      </c>
      <c r="N49">
        <f ca="1">IF(AND(ISNUMBER($N$722),$B$677=1),$N$722,HLOOKUP(INDIRECT(ADDRESS(2,COLUMN())),OFFSET($BN$2,0,0,ROW()-1,60),ROW()-1,FALSE))</f>
        <v>9.4223612459999995</v>
      </c>
      <c r="O49">
        <f ca="1">IF(AND(ISNUMBER($O$722),$B$677=1),$O$722,HLOOKUP(INDIRECT(ADDRESS(2,COLUMN())),OFFSET($BN$2,0,0,ROW()-1,60),ROW()-1,FALSE))</f>
        <v>9.2174968340000003</v>
      </c>
      <c r="P49">
        <f ca="1">IF(AND(ISNUMBER($P$722),$B$677=1),$P$722,HLOOKUP(INDIRECT(ADDRESS(2,COLUMN())),OFFSET($BN$2,0,0,ROW()-1,60),ROW()-1,FALSE))</f>
        <v>7.2956642499999997</v>
      </c>
      <c r="Q49">
        <f ca="1">IF(AND(ISNUMBER($Q$722),$B$677=1),$Q$722,HLOOKUP(INDIRECT(ADDRESS(2,COLUMN())),OFFSET($BN$2,0,0,ROW()-1,60),ROW()-1,FALSE))</f>
        <v>6.6537433989999997</v>
      </c>
      <c r="R49">
        <f ca="1">IF(AND(ISNUMBER($R$722),$B$677=1),$R$722,HLOOKUP(INDIRECT(ADDRESS(2,COLUMN())),OFFSET($BN$2,0,0,ROW()-1,60),ROW()-1,FALSE))</f>
        <v>6.0457661089999997</v>
      </c>
      <c r="S49">
        <f ca="1">IF(AND(ISNUMBER($S$722),$B$677=1),$S$722,HLOOKUP(INDIRECT(ADDRESS(2,COLUMN())),OFFSET($BN$2,0,0,ROW()-1,60),ROW()-1,FALSE))</f>
        <v>5.4775759979999998</v>
      </c>
      <c r="T49">
        <f ca="1">IF(AND(ISNUMBER($T$722),$B$677=1),$T$722,HLOOKUP(INDIRECT(ADDRESS(2,COLUMN())),OFFSET($BN$2,0,0,ROW()-1,60),ROW()-1,FALSE))</f>
        <v>4.9763819439999999</v>
      </c>
      <c r="U49">
        <f ca="1">IF(AND(ISNUMBER($U$722),$B$677=1),$U$722,HLOOKUP(INDIRECT(ADDRESS(2,COLUMN())),OFFSET($BN$2,0,0,ROW()-1,60),ROW()-1,FALSE))</f>
        <v>4.9616211530000003</v>
      </c>
      <c r="V49">
        <f ca="1">IF(AND(ISNUMBER($V$722),$B$677=1),$V$722,HLOOKUP(INDIRECT(ADDRESS(2,COLUMN())),OFFSET($BN$2,0,0,ROW()-1,60),ROW()-1,FALSE))</f>
        <v>5.6637060869999996</v>
      </c>
      <c r="W49">
        <f ca="1">IF(AND(ISNUMBER($W$722),$B$677=1),$W$722,HLOOKUP(INDIRECT(ADDRESS(2,COLUMN())),OFFSET($BN$2,0,0,ROW()-1,60),ROW()-1,FALSE))</f>
        <v>4.7051309789999998</v>
      </c>
      <c r="X49" t="str">
        <f ca="1">IF(AND(ISNUMBER($X$722),$B$677=1),$X$722,HLOOKUP(INDIRECT(ADDRESS(2,COLUMN())),OFFSET($BN$2,0,0,ROW()-1,60),ROW()-1,FALSE))</f>
        <v/>
      </c>
      <c r="Y49" t="str">
        <f ca="1">IF(AND(ISNUMBER($Y$722),$B$677=1),$Y$722,HLOOKUP(INDIRECT(ADDRESS(2,COLUMN())),OFFSET($BN$2,0,0,ROW()-1,60),ROW()-1,FALSE))</f>
        <v/>
      </c>
      <c r="Z49" t="str">
        <f ca="1">IF(AND(ISNUMBER($Z$722),$B$677=1),$Z$722,HLOOKUP(INDIRECT(ADDRESS(2,COLUMN())),OFFSET($BN$2,0,0,ROW()-1,60),ROW()-1,FALSE))</f>
        <v/>
      </c>
      <c r="AA49" t="str">
        <f ca="1">IF(AND(ISNUMBER($AA$722),$B$677=1),$AA$722,HLOOKUP(INDIRECT(ADDRESS(2,COLUMN())),OFFSET($BN$2,0,0,ROW()-1,60),ROW()-1,FALSE))</f>
        <v/>
      </c>
      <c r="AB49" t="str">
        <f ca="1">IF(AND(ISNUMBER($AB$722),$B$677=1),$AB$722,HLOOKUP(INDIRECT(ADDRESS(2,COLUMN())),OFFSET($BN$2,0,0,ROW()-1,60),ROW()-1,FALSE))</f>
        <v/>
      </c>
      <c r="AC49" t="str">
        <f ca="1">IF(AND(ISNUMBER($AC$722),$B$677=1),$AC$722,HLOOKUP(INDIRECT(ADDRESS(2,COLUMN())),OFFSET($BN$2,0,0,ROW()-1,60),ROW()-1,FALSE))</f>
        <v/>
      </c>
      <c r="AD49" t="str">
        <f ca="1">IF(AND(ISNUMBER($AD$722),$B$677=1),$AD$722,HLOOKUP(INDIRECT(ADDRESS(2,COLUMN())),OFFSET($BN$2,0,0,ROW()-1,60),ROW()-1,FALSE))</f>
        <v/>
      </c>
      <c r="AE49" t="str">
        <f ca="1">IF(AND(ISNUMBER($AE$722),$B$677=1),$AE$722,HLOOKUP(INDIRECT(ADDRESS(2,COLUMN())),OFFSET($BN$2,0,0,ROW()-1,60),ROW()-1,FALSE))</f>
        <v/>
      </c>
      <c r="AF49" t="str">
        <f ca="1">IF(AND(ISNUMBER($AF$722),$B$677=1),$AF$722,HLOOKUP(INDIRECT(ADDRESS(2,COLUMN())),OFFSET($BN$2,0,0,ROW()-1,60),ROW()-1,FALSE))</f>
        <v/>
      </c>
      <c r="AG49" t="str">
        <f ca="1">IF(AND(ISNUMBER($AG$722),$B$677=1),$AG$722,HLOOKUP(INDIRECT(ADDRESS(2,COLUMN())),OFFSET($BN$2,0,0,ROW()-1,60),ROW()-1,FALSE))</f>
        <v/>
      </c>
      <c r="AH49" t="str">
        <f ca="1">IF(AND(ISNUMBER($AH$722),$B$677=1),$AH$722,HLOOKUP(INDIRECT(ADDRESS(2,COLUMN())),OFFSET($BN$2,0,0,ROW()-1,60),ROW()-1,FALSE))</f>
        <v/>
      </c>
      <c r="AI49" t="str">
        <f ca="1">IF(AND(ISNUMBER($AI$722),$B$677=1),$AI$722,HLOOKUP(INDIRECT(ADDRESS(2,COLUMN())),OFFSET($BN$2,0,0,ROW()-1,60),ROW()-1,FALSE))</f>
        <v/>
      </c>
      <c r="AJ49" t="str">
        <f ca="1">IF(AND(ISNUMBER($AJ$722),$B$677=1),$AJ$722,HLOOKUP(INDIRECT(ADDRESS(2,COLUMN())),OFFSET($BN$2,0,0,ROW()-1,60),ROW()-1,FALSE))</f>
        <v/>
      </c>
      <c r="AK49" t="str">
        <f ca="1">IF(AND(ISNUMBER($AK$722),$B$677=1),$AK$722,HLOOKUP(INDIRECT(ADDRESS(2,COLUMN())),OFFSET($BN$2,0,0,ROW()-1,60),ROW()-1,FALSE))</f>
        <v/>
      </c>
      <c r="AL49" t="str">
        <f ca="1">IF(AND(ISNUMBER($AL$722),$B$677=1),$AL$722,HLOOKUP(INDIRECT(ADDRESS(2,COLUMN())),OFFSET($BN$2,0,0,ROW()-1,60),ROW()-1,FALSE))</f>
        <v/>
      </c>
      <c r="AM49" t="str">
        <f ca="1">IF(AND(ISNUMBER($AM$722),$B$677=1),$AM$722,HLOOKUP(INDIRECT(ADDRESS(2,COLUMN())),OFFSET($BN$2,0,0,ROW()-1,60),ROW()-1,FALSE))</f>
        <v/>
      </c>
      <c r="AN49" t="str">
        <f ca="1">IF(AND(ISNUMBER($AN$722),$B$677=1),$AN$722,HLOOKUP(INDIRECT(ADDRESS(2,COLUMN())),OFFSET($BN$2,0,0,ROW()-1,60),ROW()-1,FALSE))</f>
        <v/>
      </c>
      <c r="AO49" t="str">
        <f ca="1">IF(AND(ISNUMBER($AO$722),$B$677=1),$AO$722,HLOOKUP(INDIRECT(ADDRESS(2,COLUMN())),OFFSET($BN$2,0,0,ROW()-1,60),ROW()-1,FALSE))</f>
        <v/>
      </c>
      <c r="AP49" t="str">
        <f ca="1">IF(AND(ISNUMBER($AP$722),$B$677=1),$AP$722,HLOOKUP(INDIRECT(ADDRESS(2,COLUMN())),OFFSET($BN$2,0,0,ROW()-1,60),ROW()-1,FALSE))</f>
        <v/>
      </c>
      <c r="AQ49" t="str">
        <f ca="1">IF(AND(ISNUMBER($AQ$722),$B$677=1),$AQ$722,HLOOKUP(INDIRECT(ADDRESS(2,COLUMN())),OFFSET($BN$2,0,0,ROW()-1,60),ROW()-1,FALSE))</f>
        <v/>
      </c>
      <c r="AR49" t="str">
        <f ca="1">IF(AND(ISNUMBER($AR$722),$B$677=1),$AR$722,HLOOKUP(INDIRECT(ADDRESS(2,COLUMN())),OFFSET($BN$2,0,0,ROW()-1,60),ROW()-1,FALSE))</f>
        <v/>
      </c>
      <c r="AS49" t="str">
        <f ca="1">IF(AND(ISNUMBER($AS$722),$B$677=1),$AS$722,HLOOKUP(INDIRECT(ADDRESS(2,COLUMN())),OFFSET($BN$2,0,0,ROW()-1,60),ROW()-1,FALSE))</f>
        <v/>
      </c>
      <c r="AT49" t="str">
        <f ca="1">IF(AND(ISNUMBER($AT$722),$B$677=1),$AT$722,HLOOKUP(INDIRECT(ADDRESS(2,COLUMN())),OFFSET($BN$2,0,0,ROW()-1,60),ROW()-1,FALSE))</f>
        <v/>
      </c>
      <c r="AU49" t="str">
        <f ca="1">IF(AND(ISNUMBER($AU$722),$B$677=1),$AU$722,HLOOKUP(INDIRECT(ADDRESS(2,COLUMN())),OFFSET($BN$2,0,0,ROW()-1,60),ROW()-1,FALSE))</f>
        <v/>
      </c>
      <c r="AV49" t="str">
        <f ca="1">IF(AND(ISNUMBER($AV$722),$B$677=1),$AV$722,HLOOKUP(INDIRECT(ADDRESS(2,COLUMN())),OFFSET($BN$2,0,0,ROW()-1,60),ROW()-1,FALSE))</f>
        <v/>
      </c>
      <c r="AW49" t="str">
        <f ca="1">IF(AND(ISNUMBER($AW$722),$B$677=1),$AW$722,HLOOKUP(INDIRECT(ADDRESS(2,COLUMN())),OFFSET($BN$2,0,0,ROW()-1,60),ROW()-1,FALSE))</f>
        <v/>
      </c>
      <c r="AX49" t="str">
        <f ca="1">IF(AND(ISNUMBER($AX$722),$B$677=1),$AX$722,HLOOKUP(INDIRECT(ADDRESS(2,COLUMN())),OFFSET($BN$2,0,0,ROW()-1,60),ROW()-1,FALSE))</f>
        <v/>
      </c>
      <c r="AY49" t="str">
        <f ca="1">IF(AND(ISNUMBER($AY$722),$B$677=1),$AY$722,HLOOKUP(INDIRECT(ADDRESS(2,COLUMN())),OFFSET($BN$2,0,0,ROW()-1,60),ROW()-1,FALSE))</f>
        <v/>
      </c>
      <c r="AZ49" t="str">
        <f ca="1">IF(AND(ISNUMBER($AZ$722),$B$677=1),$AZ$722,HLOOKUP(INDIRECT(ADDRESS(2,COLUMN())),OFFSET($BN$2,0,0,ROW()-1,60),ROW()-1,FALSE))</f>
        <v/>
      </c>
      <c r="BA49" t="str">
        <f ca="1">IF(AND(ISNUMBER($BA$722),$B$677=1),$BA$722,HLOOKUP(INDIRECT(ADDRESS(2,COLUMN())),OFFSET($BN$2,0,0,ROW()-1,60),ROW()-1,FALSE))</f>
        <v/>
      </c>
      <c r="BB49" t="str">
        <f ca="1">IF(AND(ISNUMBER($BB$722),$B$677=1),$BB$722,HLOOKUP(INDIRECT(ADDRESS(2,COLUMN())),OFFSET($BN$2,0,0,ROW()-1,60),ROW()-1,FALSE))</f>
        <v/>
      </c>
      <c r="BC49" t="str">
        <f ca="1">IF(AND(ISNUMBER($BC$722),$B$677=1),$BC$722,HLOOKUP(INDIRECT(ADDRESS(2,COLUMN())),OFFSET($BN$2,0,0,ROW()-1,60),ROW()-1,FALSE))</f>
        <v/>
      </c>
      <c r="BD49" t="str">
        <f ca="1">IF(AND(ISNUMBER($BD$722),$B$677=1),$BD$722,HLOOKUP(INDIRECT(ADDRESS(2,COLUMN())),OFFSET($BN$2,0,0,ROW()-1,60),ROW()-1,FALSE))</f>
        <v/>
      </c>
      <c r="BE49" t="str">
        <f ca="1">IF(AND(ISNUMBER($BE$722),$B$677=1),$BE$722,HLOOKUP(INDIRECT(ADDRESS(2,COLUMN())),OFFSET($BN$2,0,0,ROW()-1,60),ROW()-1,FALSE))</f>
        <v/>
      </c>
      <c r="BF49" t="str">
        <f ca="1">IF(AND(ISNUMBER($BF$722),$B$677=1),$BF$722,HLOOKUP(INDIRECT(ADDRESS(2,COLUMN())),OFFSET($BN$2,0,0,ROW()-1,60),ROW()-1,FALSE))</f>
        <v/>
      </c>
      <c r="BG49" t="str">
        <f ca="1">IF(AND(ISNUMBER($BG$722),$B$677=1),$BG$722,HLOOKUP(INDIRECT(ADDRESS(2,COLUMN())),OFFSET($BN$2,0,0,ROW()-1,60),ROW()-1,FALSE))</f>
        <v/>
      </c>
      <c r="BH49" t="str">
        <f ca="1">IF(AND(ISNUMBER($BH$722),$B$677=1),$BH$722,HLOOKUP(INDIRECT(ADDRESS(2,COLUMN())),OFFSET($BN$2,0,0,ROW()-1,60),ROW()-1,FALSE))</f>
        <v/>
      </c>
      <c r="BI49" t="str">
        <f ca="1">IF(AND(ISNUMBER($BI$722),$B$677=1),$BI$722,HLOOKUP(INDIRECT(ADDRESS(2,COLUMN())),OFFSET($BN$2,0,0,ROW()-1,60),ROW()-1,FALSE))</f>
        <v/>
      </c>
      <c r="BJ49" t="str">
        <f ca="1">IF(AND(ISNUMBER($BJ$722),$B$677=1),$BJ$722,HLOOKUP(INDIRECT(ADDRESS(2,COLUMN())),OFFSET($BN$2,0,0,ROW()-1,60),ROW()-1,FALSE))</f>
        <v/>
      </c>
      <c r="BK49" t="str">
        <f ca="1">IF(AND(ISNUMBER($BK$722),$B$677=1),$BK$722,HLOOKUP(INDIRECT(ADDRESS(2,COLUMN())),OFFSET($BN$2,0,0,ROW()-1,60),ROW()-1,FALSE))</f>
        <v/>
      </c>
      <c r="BL49" t="str">
        <f ca="1">IF(AND(ISNUMBER($BL$722),$B$677=1),$BL$722,HLOOKUP(INDIRECT(ADDRESS(2,COLUMN())),OFFSET($BN$2,0,0,ROW()-1,60),ROW()-1,FALSE))</f>
        <v/>
      </c>
      <c r="BM49" t="str">
        <f ca="1">IF(AND(ISNUMBER($BM$722),$B$677=1),$BM$722,HLOOKUP(INDIRECT(ADDRESS(2,COLUMN())),OFFSET($BN$2,0,0,ROW()-1,60),ROW()-1,FALSE))</f>
        <v/>
      </c>
      <c r="BN49">
        <f>5.175560154</f>
        <v>5.1755601540000002</v>
      </c>
      <c r="BO49">
        <f>4.006338805</f>
        <v>4.0063388050000004</v>
      </c>
      <c r="BP49">
        <f>8.213412828</f>
        <v>8.2134128279999992</v>
      </c>
      <c r="BQ49">
        <f>8.854904426</f>
        <v>8.8549044259999992</v>
      </c>
      <c r="BR49">
        <f>9.303783216</f>
        <v>9.3037832159999994</v>
      </c>
      <c r="BS49">
        <f>11.33279262</f>
        <v>11.332792619999999</v>
      </c>
      <c r="BT49">
        <f>11.47164978</f>
        <v>11.47164978</v>
      </c>
      <c r="BU49">
        <f>9.811202745</f>
        <v>9.8112027449999992</v>
      </c>
      <c r="BV49">
        <f>9.422361246</f>
        <v>9.4223612459999995</v>
      </c>
      <c r="BW49">
        <f>9.217496834</f>
        <v>9.2174968340000003</v>
      </c>
      <c r="BX49">
        <f>7.29566425</f>
        <v>7.2956642499999997</v>
      </c>
      <c r="BY49">
        <f>6.653743399</f>
        <v>6.6537433989999997</v>
      </c>
      <c r="BZ49">
        <f>6.045766109</f>
        <v>6.0457661089999997</v>
      </c>
      <c r="CA49">
        <f>5.477575998</f>
        <v>5.4775759979999998</v>
      </c>
      <c r="CB49">
        <f>4.976381944</f>
        <v>4.9763819439999999</v>
      </c>
      <c r="CC49">
        <f>4.961621153</f>
        <v>4.9616211530000003</v>
      </c>
      <c r="CD49">
        <f>5.663706087</f>
        <v>5.6637060869999996</v>
      </c>
      <c r="CE49">
        <f>4.705130979</f>
        <v>4.7051309789999998</v>
      </c>
      <c r="CF49" t="str">
        <f>""</f>
        <v/>
      </c>
      <c r="CG49" t="str">
        <f>""</f>
        <v/>
      </c>
      <c r="CH49" t="str">
        <f>""</f>
        <v/>
      </c>
      <c r="CI49" t="str">
        <f>""</f>
        <v/>
      </c>
      <c r="CJ49" t="str">
        <f>""</f>
        <v/>
      </c>
      <c r="CK49" t="str">
        <f>""</f>
        <v/>
      </c>
      <c r="CL49" t="str">
        <f>""</f>
        <v/>
      </c>
      <c r="CM49" t="str">
        <f>""</f>
        <v/>
      </c>
      <c r="CN49" t="str">
        <f>""</f>
        <v/>
      </c>
      <c r="CO49" t="str">
        <f>""</f>
        <v/>
      </c>
      <c r="CP49" t="str">
        <f>""</f>
        <v/>
      </c>
      <c r="CQ49" t="str">
        <f>""</f>
        <v/>
      </c>
      <c r="CR49" t="str">
        <f>""</f>
        <v/>
      </c>
      <c r="CS49" t="str">
        <f>""</f>
        <v/>
      </c>
      <c r="CT49" t="str">
        <f>""</f>
        <v/>
      </c>
      <c r="CU49" t="str">
        <f>""</f>
        <v/>
      </c>
      <c r="CV49" t="str">
        <f>""</f>
        <v/>
      </c>
      <c r="CW49" t="str">
        <f>""</f>
        <v/>
      </c>
      <c r="CX49" t="str">
        <f>""</f>
        <v/>
      </c>
      <c r="CY49" t="str">
        <f>""</f>
        <v/>
      </c>
      <c r="CZ49" t="str">
        <f>""</f>
        <v/>
      </c>
      <c r="DA49" t="str">
        <f>""</f>
        <v/>
      </c>
      <c r="DB49" t="str">
        <f>""</f>
        <v/>
      </c>
      <c r="DC49" t="str">
        <f>""</f>
        <v/>
      </c>
      <c r="DD49" t="str">
        <f>""</f>
        <v/>
      </c>
      <c r="DE49" t="str">
        <f>""</f>
        <v/>
      </c>
      <c r="DF49" t="str">
        <f>""</f>
        <v/>
      </c>
      <c r="DG49" t="str">
        <f>""</f>
        <v/>
      </c>
      <c r="DH49" t="str">
        <f>""</f>
        <v/>
      </c>
      <c r="DI49" t="str">
        <f>""</f>
        <v/>
      </c>
      <c r="DJ49" t="str">
        <f>""</f>
        <v/>
      </c>
      <c r="DK49" t="str">
        <f>""</f>
        <v/>
      </c>
      <c r="DL49" t="str">
        <f>""</f>
        <v/>
      </c>
      <c r="DM49" t="str">
        <f>""</f>
        <v/>
      </c>
      <c r="DN49" t="str">
        <f>""</f>
        <v/>
      </c>
      <c r="DO49" t="str">
        <f>""</f>
        <v/>
      </c>
      <c r="DP49" t="str">
        <f>""</f>
        <v/>
      </c>
      <c r="DQ49" t="str">
        <f>""</f>
        <v/>
      </c>
      <c r="DR49" t="str">
        <f>""</f>
        <v/>
      </c>
      <c r="DS49" t="str">
        <f>""</f>
        <v/>
      </c>
      <c r="DT49" t="str">
        <f>""</f>
        <v/>
      </c>
      <c r="DU49" t="str">
        <f>""</f>
        <v/>
      </c>
    </row>
    <row r="50" spans="1:125" x14ac:dyDescent="0.25">
      <c r="A50" t="str">
        <f>"    BYD Co Ltd"</f>
        <v xml:space="preserve">    BYD Co Ltd</v>
      </c>
      <c r="B50" t="str">
        <f>"1211 HK Equity"</f>
        <v>1211 HK Equity</v>
      </c>
      <c r="C50" t="str">
        <f t="shared" si="3"/>
        <v>EZ009</v>
      </c>
      <c r="D50" t="str">
        <f t="shared" si="4"/>
        <v>BEST_EST_PE_CUR_YR</v>
      </c>
      <c r="E50" t="str">
        <f t="shared" si="5"/>
        <v>Dynamic</v>
      </c>
      <c r="F50">
        <f ca="1">IF(AND(ISNUMBER($F$723),$B$677=1),$F$723,HLOOKUP(INDIRECT(ADDRESS(2,COLUMN())),OFFSET($BN$2,0,0,ROW()-1,60),ROW()-1,FALSE))</f>
        <v>37.91555443</v>
      </c>
      <c r="G50">
        <f ca="1">IF(AND(ISNUMBER($G$723),$B$677=1),$G$723,HLOOKUP(INDIRECT(ADDRESS(2,COLUMN())),OFFSET($BN$2,0,0,ROW()-1,60),ROW()-1,FALSE))</f>
        <v>37.719484659999999</v>
      </c>
      <c r="H50">
        <f ca="1">IF(AND(ISNUMBER($H$723),$B$677=1),$H$723,HLOOKUP(INDIRECT(ADDRESS(2,COLUMN())),OFFSET($BN$2,0,0,ROW()-1,60),ROW()-1,FALSE))</f>
        <v>36.677673009999999</v>
      </c>
      <c r="I50">
        <f ca="1">IF(AND(ISNUMBER($I$723),$B$677=1),$I$723,HLOOKUP(INDIRECT(ADDRESS(2,COLUMN())),OFFSET($BN$2,0,0,ROW()-1,60),ROW()-1,FALSE))</f>
        <v>25.199338399999998</v>
      </c>
      <c r="J50">
        <f ca="1">IF(AND(ISNUMBER($J$723),$B$677=1),$J$723,HLOOKUP(INDIRECT(ADDRESS(2,COLUMN())),OFFSET($BN$2,0,0,ROW()-1,60),ROW()-1,FALSE))</f>
        <v>23.699422569999999</v>
      </c>
      <c r="K50">
        <f ca="1">IF(AND(ISNUMBER($K$723),$B$677=1),$K$723,HLOOKUP(INDIRECT(ADDRESS(2,COLUMN())),OFFSET($BN$2,0,0,ROW()-1,60),ROW()-1,FALSE))</f>
        <v>23.321979670000001</v>
      </c>
      <c r="L50">
        <f ca="1">IF(AND(ISNUMBER($L$723),$B$677=1),$L$723,HLOOKUP(INDIRECT(ADDRESS(2,COLUMN())),OFFSET($BN$2,0,0,ROW()-1,60),ROW()-1,FALSE))</f>
        <v>24.722748960000001</v>
      </c>
      <c r="M50">
        <f ca="1">IF(AND(ISNUMBER($M$723),$B$677=1),$M$723,HLOOKUP(INDIRECT(ADDRESS(2,COLUMN())),OFFSET($BN$2,0,0,ROW()-1,60),ROW()-1,FALSE))</f>
        <v>17.63361475</v>
      </c>
      <c r="N50">
        <f ca="1">IF(AND(ISNUMBER($N$723),$B$677=1),$N$723,HLOOKUP(INDIRECT(ADDRESS(2,COLUMN())),OFFSET($BN$2,0,0,ROW()-1,60),ROW()-1,FALSE))</f>
        <v>16.039745839999998</v>
      </c>
      <c r="O50">
        <f ca="1">IF(AND(ISNUMBER($O$723),$B$677=1),$O$723,HLOOKUP(INDIRECT(ADDRESS(2,COLUMN())),OFFSET($BN$2,0,0,ROW()-1,60),ROW()-1,FALSE))</f>
        <v>13.938443250000001</v>
      </c>
      <c r="P50">
        <f ca="1">IF(AND(ISNUMBER($P$723),$B$677=1),$P$723,HLOOKUP(INDIRECT(ADDRESS(2,COLUMN())),OFFSET($BN$2,0,0,ROW()-1,60),ROW()-1,FALSE))</f>
        <v>17.570652410000001</v>
      </c>
      <c r="Q50">
        <f ca="1">IF(AND(ISNUMBER($Q$723),$B$677=1),$Q$723,HLOOKUP(INDIRECT(ADDRESS(2,COLUMN())),OFFSET($BN$2,0,0,ROW()-1,60),ROW()-1,FALSE))</f>
        <v>18.906952109999999</v>
      </c>
      <c r="R50">
        <f ca="1">IF(AND(ISNUMBER($R$723),$B$677=1),$R$723,HLOOKUP(INDIRECT(ADDRESS(2,COLUMN())),OFFSET($BN$2,0,0,ROW()-1,60),ROW()-1,FALSE))</f>
        <v>19.588279010000001</v>
      </c>
      <c r="S50" t="str">
        <f ca="1">IF(AND(ISNUMBER($S$723),$B$677=1),$S$723,HLOOKUP(INDIRECT(ADDRESS(2,COLUMN())),OFFSET($BN$2,0,0,ROW()-1,60),ROW()-1,FALSE))</f>
        <v/>
      </c>
      <c r="T50" t="str">
        <f ca="1">IF(AND(ISNUMBER($T$723),$B$677=1),$T$723,HLOOKUP(INDIRECT(ADDRESS(2,COLUMN())),OFFSET($BN$2,0,0,ROW()-1,60),ROW()-1,FALSE))</f>
        <v/>
      </c>
      <c r="U50" t="str">
        <f ca="1">IF(AND(ISNUMBER($U$723),$B$677=1),$U$723,HLOOKUP(INDIRECT(ADDRESS(2,COLUMN())),OFFSET($BN$2,0,0,ROW()-1,60),ROW()-1,FALSE))</f>
        <v/>
      </c>
      <c r="V50" t="str">
        <f ca="1">IF(AND(ISNUMBER($V$723),$B$677=1),$V$723,HLOOKUP(INDIRECT(ADDRESS(2,COLUMN())),OFFSET($BN$2,0,0,ROW()-1,60),ROW()-1,FALSE))</f>
        <v/>
      </c>
      <c r="W50" t="str">
        <f ca="1">IF(AND(ISNUMBER($W$723),$B$677=1),$W$723,HLOOKUP(INDIRECT(ADDRESS(2,COLUMN())),OFFSET($BN$2,0,0,ROW()-1,60),ROW()-1,FALSE))</f>
        <v/>
      </c>
      <c r="X50" t="str">
        <f ca="1">IF(AND(ISNUMBER($X$723),$B$677=1),$X$723,HLOOKUP(INDIRECT(ADDRESS(2,COLUMN())),OFFSET($BN$2,0,0,ROW()-1,60),ROW()-1,FALSE))</f>
        <v/>
      </c>
      <c r="Y50" t="str">
        <f ca="1">IF(AND(ISNUMBER($Y$723),$B$677=1),$Y$723,HLOOKUP(INDIRECT(ADDRESS(2,COLUMN())),OFFSET($BN$2,0,0,ROW()-1,60),ROW()-1,FALSE))</f>
        <v/>
      </c>
      <c r="Z50" t="str">
        <f ca="1">IF(AND(ISNUMBER($Z$723),$B$677=1),$Z$723,HLOOKUP(INDIRECT(ADDRESS(2,COLUMN())),OFFSET($BN$2,0,0,ROW()-1,60),ROW()-1,FALSE))</f>
        <v/>
      </c>
      <c r="AA50" t="str">
        <f ca="1">IF(AND(ISNUMBER($AA$723),$B$677=1),$AA$723,HLOOKUP(INDIRECT(ADDRESS(2,COLUMN())),OFFSET($BN$2,0,0,ROW()-1,60),ROW()-1,FALSE))</f>
        <v/>
      </c>
      <c r="AB50" t="str">
        <f ca="1">IF(AND(ISNUMBER($AB$723),$B$677=1),$AB$723,HLOOKUP(INDIRECT(ADDRESS(2,COLUMN())),OFFSET($BN$2,0,0,ROW()-1,60),ROW()-1,FALSE))</f>
        <v/>
      </c>
      <c r="AC50" t="str">
        <f ca="1">IF(AND(ISNUMBER($AC$723),$B$677=1),$AC$723,HLOOKUP(INDIRECT(ADDRESS(2,COLUMN())),OFFSET($BN$2,0,0,ROW()-1,60),ROW()-1,FALSE))</f>
        <v/>
      </c>
      <c r="AD50" t="str">
        <f ca="1">IF(AND(ISNUMBER($AD$723),$B$677=1),$AD$723,HLOOKUP(INDIRECT(ADDRESS(2,COLUMN())),OFFSET($BN$2,0,0,ROW()-1,60),ROW()-1,FALSE))</f>
        <v/>
      </c>
      <c r="AE50" t="str">
        <f ca="1">IF(AND(ISNUMBER($AE$723),$B$677=1),$AE$723,HLOOKUP(INDIRECT(ADDRESS(2,COLUMN())),OFFSET($BN$2,0,0,ROW()-1,60),ROW()-1,FALSE))</f>
        <v/>
      </c>
      <c r="AF50" t="str">
        <f ca="1">IF(AND(ISNUMBER($AF$723),$B$677=1),$AF$723,HLOOKUP(INDIRECT(ADDRESS(2,COLUMN())),OFFSET($BN$2,0,0,ROW()-1,60),ROW()-1,FALSE))</f>
        <v/>
      </c>
      <c r="AG50" t="str">
        <f ca="1">IF(AND(ISNUMBER($AG$723),$B$677=1),$AG$723,HLOOKUP(INDIRECT(ADDRESS(2,COLUMN())),OFFSET($BN$2,0,0,ROW()-1,60),ROW()-1,FALSE))</f>
        <v/>
      </c>
      <c r="AH50" t="str">
        <f ca="1">IF(AND(ISNUMBER($AH$723),$B$677=1),$AH$723,HLOOKUP(INDIRECT(ADDRESS(2,COLUMN())),OFFSET($BN$2,0,0,ROW()-1,60),ROW()-1,FALSE))</f>
        <v/>
      </c>
      <c r="AI50" t="str">
        <f ca="1">IF(AND(ISNUMBER($AI$723),$B$677=1),$AI$723,HLOOKUP(INDIRECT(ADDRESS(2,COLUMN())),OFFSET($BN$2,0,0,ROW()-1,60),ROW()-1,FALSE))</f>
        <v/>
      </c>
      <c r="AJ50" t="str">
        <f ca="1">IF(AND(ISNUMBER($AJ$723),$B$677=1),$AJ$723,HLOOKUP(INDIRECT(ADDRESS(2,COLUMN())),OFFSET($BN$2,0,0,ROW()-1,60),ROW()-1,FALSE))</f>
        <v/>
      </c>
      <c r="AK50" t="str">
        <f ca="1">IF(AND(ISNUMBER($AK$723),$B$677=1),$AK$723,HLOOKUP(INDIRECT(ADDRESS(2,COLUMN())),OFFSET($BN$2,0,0,ROW()-1,60),ROW()-1,FALSE))</f>
        <v/>
      </c>
      <c r="AL50" t="str">
        <f ca="1">IF(AND(ISNUMBER($AL$723),$B$677=1),$AL$723,HLOOKUP(INDIRECT(ADDRESS(2,COLUMN())),OFFSET($BN$2,0,0,ROW()-1,60),ROW()-1,FALSE))</f>
        <v/>
      </c>
      <c r="AM50" t="str">
        <f ca="1">IF(AND(ISNUMBER($AM$723),$B$677=1),$AM$723,HLOOKUP(INDIRECT(ADDRESS(2,COLUMN())),OFFSET($BN$2,0,0,ROW()-1,60),ROW()-1,FALSE))</f>
        <v/>
      </c>
      <c r="AN50" t="str">
        <f ca="1">IF(AND(ISNUMBER($AN$723),$B$677=1),$AN$723,HLOOKUP(INDIRECT(ADDRESS(2,COLUMN())),OFFSET($BN$2,0,0,ROW()-1,60),ROW()-1,FALSE))</f>
        <v/>
      </c>
      <c r="AO50" t="str">
        <f ca="1">IF(AND(ISNUMBER($AO$723),$B$677=1),$AO$723,HLOOKUP(INDIRECT(ADDRESS(2,COLUMN())),OFFSET($BN$2,0,0,ROW()-1,60),ROW()-1,FALSE))</f>
        <v/>
      </c>
      <c r="AP50" t="str">
        <f ca="1">IF(AND(ISNUMBER($AP$723),$B$677=1),$AP$723,HLOOKUP(INDIRECT(ADDRESS(2,COLUMN())),OFFSET($BN$2,0,0,ROW()-1,60),ROW()-1,FALSE))</f>
        <v/>
      </c>
      <c r="AQ50" t="str">
        <f ca="1">IF(AND(ISNUMBER($AQ$723),$B$677=1),$AQ$723,HLOOKUP(INDIRECT(ADDRESS(2,COLUMN())),OFFSET($BN$2,0,0,ROW()-1,60),ROW()-1,FALSE))</f>
        <v/>
      </c>
      <c r="AR50" t="str">
        <f ca="1">IF(AND(ISNUMBER($AR$723),$B$677=1),$AR$723,HLOOKUP(INDIRECT(ADDRESS(2,COLUMN())),OFFSET($BN$2,0,0,ROW()-1,60),ROW()-1,FALSE))</f>
        <v/>
      </c>
      <c r="AS50" t="str">
        <f ca="1">IF(AND(ISNUMBER($AS$723),$B$677=1),$AS$723,HLOOKUP(INDIRECT(ADDRESS(2,COLUMN())),OFFSET($BN$2,0,0,ROW()-1,60),ROW()-1,FALSE))</f>
        <v/>
      </c>
      <c r="AT50" t="str">
        <f ca="1">IF(AND(ISNUMBER($AT$723),$B$677=1),$AT$723,HLOOKUP(INDIRECT(ADDRESS(2,COLUMN())),OFFSET($BN$2,0,0,ROW()-1,60),ROW()-1,FALSE))</f>
        <v/>
      </c>
      <c r="AU50" t="str">
        <f ca="1">IF(AND(ISNUMBER($AU$723),$B$677=1),$AU$723,HLOOKUP(INDIRECT(ADDRESS(2,COLUMN())),OFFSET($BN$2,0,0,ROW()-1,60),ROW()-1,FALSE))</f>
        <v/>
      </c>
      <c r="AV50" t="str">
        <f ca="1">IF(AND(ISNUMBER($AV$723),$B$677=1),$AV$723,HLOOKUP(INDIRECT(ADDRESS(2,COLUMN())),OFFSET($BN$2,0,0,ROW()-1,60),ROW()-1,FALSE))</f>
        <v/>
      </c>
      <c r="AW50" t="str">
        <f ca="1">IF(AND(ISNUMBER($AW$723),$B$677=1),$AW$723,HLOOKUP(INDIRECT(ADDRESS(2,COLUMN())),OFFSET($BN$2,0,0,ROW()-1,60),ROW()-1,FALSE))</f>
        <v/>
      </c>
      <c r="AX50" t="str">
        <f ca="1">IF(AND(ISNUMBER($AX$723),$B$677=1),$AX$723,HLOOKUP(INDIRECT(ADDRESS(2,COLUMN())),OFFSET($BN$2,0,0,ROW()-1,60),ROW()-1,FALSE))</f>
        <v/>
      </c>
      <c r="AY50" t="str">
        <f ca="1">IF(AND(ISNUMBER($AY$723),$B$677=1),$AY$723,HLOOKUP(INDIRECT(ADDRESS(2,COLUMN())),OFFSET($BN$2,0,0,ROW()-1,60),ROW()-1,FALSE))</f>
        <v/>
      </c>
      <c r="AZ50" t="str">
        <f ca="1">IF(AND(ISNUMBER($AZ$723),$B$677=1),$AZ$723,HLOOKUP(INDIRECT(ADDRESS(2,COLUMN())),OFFSET($BN$2,0,0,ROW()-1,60),ROW()-1,FALSE))</f>
        <v/>
      </c>
      <c r="BA50" t="str">
        <f ca="1">IF(AND(ISNUMBER($BA$723),$B$677=1),$BA$723,HLOOKUP(INDIRECT(ADDRESS(2,COLUMN())),OFFSET($BN$2,0,0,ROW()-1,60),ROW()-1,FALSE))</f>
        <v/>
      </c>
      <c r="BB50" t="str">
        <f ca="1">IF(AND(ISNUMBER($BB$723),$B$677=1),$BB$723,HLOOKUP(INDIRECT(ADDRESS(2,COLUMN())),OFFSET($BN$2,0,0,ROW()-1,60),ROW()-1,FALSE))</f>
        <v/>
      </c>
      <c r="BC50" t="str">
        <f ca="1">IF(AND(ISNUMBER($BC$723),$B$677=1),$BC$723,HLOOKUP(INDIRECT(ADDRESS(2,COLUMN())),OFFSET($BN$2,0,0,ROW()-1,60),ROW()-1,FALSE))</f>
        <v/>
      </c>
      <c r="BD50" t="str">
        <f ca="1">IF(AND(ISNUMBER($BD$723),$B$677=1),$BD$723,HLOOKUP(INDIRECT(ADDRESS(2,COLUMN())),OFFSET($BN$2,0,0,ROW()-1,60),ROW()-1,FALSE))</f>
        <v/>
      </c>
      <c r="BE50" t="str">
        <f ca="1">IF(AND(ISNUMBER($BE$723),$B$677=1),$BE$723,HLOOKUP(INDIRECT(ADDRESS(2,COLUMN())),OFFSET($BN$2,0,0,ROW()-1,60),ROW()-1,FALSE))</f>
        <v/>
      </c>
      <c r="BF50" t="str">
        <f ca="1">IF(AND(ISNUMBER($BF$723),$B$677=1),$BF$723,HLOOKUP(INDIRECT(ADDRESS(2,COLUMN())),OFFSET($BN$2,0,0,ROW()-1,60),ROW()-1,FALSE))</f>
        <v/>
      </c>
      <c r="BG50" t="str">
        <f ca="1">IF(AND(ISNUMBER($BG$723),$B$677=1),$BG$723,HLOOKUP(INDIRECT(ADDRESS(2,COLUMN())),OFFSET($BN$2,0,0,ROW()-1,60),ROW()-1,FALSE))</f>
        <v/>
      </c>
      <c r="BH50" t="str">
        <f ca="1">IF(AND(ISNUMBER($BH$723),$B$677=1),$BH$723,HLOOKUP(INDIRECT(ADDRESS(2,COLUMN())),OFFSET($BN$2,0,0,ROW()-1,60),ROW()-1,FALSE))</f>
        <v/>
      </c>
      <c r="BI50" t="str">
        <f ca="1">IF(AND(ISNUMBER($BI$723),$B$677=1),$BI$723,HLOOKUP(INDIRECT(ADDRESS(2,COLUMN())),OFFSET($BN$2,0,0,ROW()-1,60),ROW()-1,FALSE))</f>
        <v/>
      </c>
      <c r="BJ50" t="str">
        <f ca="1">IF(AND(ISNUMBER($BJ$723),$B$677=1),$BJ$723,HLOOKUP(INDIRECT(ADDRESS(2,COLUMN())),OFFSET($BN$2,0,0,ROW()-1,60),ROW()-1,FALSE))</f>
        <v/>
      </c>
      <c r="BK50" t="str">
        <f ca="1">IF(AND(ISNUMBER($BK$723),$B$677=1),$BK$723,HLOOKUP(INDIRECT(ADDRESS(2,COLUMN())),OFFSET($BN$2,0,0,ROW()-1,60),ROW()-1,FALSE))</f>
        <v/>
      </c>
      <c r="BL50" t="str">
        <f ca="1">IF(AND(ISNUMBER($BL$723),$B$677=1),$BL$723,HLOOKUP(INDIRECT(ADDRESS(2,COLUMN())),OFFSET($BN$2,0,0,ROW()-1,60),ROW()-1,FALSE))</f>
        <v/>
      </c>
      <c r="BM50" t="str">
        <f ca="1">IF(AND(ISNUMBER($BM$723),$B$677=1),$BM$723,HLOOKUP(INDIRECT(ADDRESS(2,COLUMN())),OFFSET($BN$2,0,0,ROW()-1,60),ROW()-1,FALSE))</f>
        <v/>
      </c>
      <c r="BN50">
        <f>37.91555443</f>
        <v>37.91555443</v>
      </c>
      <c r="BO50">
        <f>37.71948466</f>
        <v>37.719484659999999</v>
      </c>
      <c r="BP50">
        <f>36.67767301</f>
        <v>36.677673009999999</v>
      </c>
      <c r="BQ50">
        <f>25.1993384</f>
        <v>25.199338399999998</v>
      </c>
      <c r="BR50">
        <f>23.69942257</f>
        <v>23.699422569999999</v>
      </c>
      <c r="BS50">
        <f>23.32197967</f>
        <v>23.321979670000001</v>
      </c>
      <c r="BT50">
        <f>24.72274896</f>
        <v>24.722748960000001</v>
      </c>
      <c r="BU50">
        <f>17.63361475</f>
        <v>17.63361475</v>
      </c>
      <c r="BV50">
        <f>16.03974584</f>
        <v>16.039745839999998</v>
      </c>
      <c r="BW50">
        <f>13.93844325</f>
        <v>13.938443250000001</v>
      </c>
      <c r="BX50">
        <f>17.57065241</f>
        <v>17.570652410000001</v>
      </c>
      <c r="BY50">
        <f>18.90695211</f>
        <v>18.906952109999999</v>
      </c>
      <c r="BZ50">
        <f>19.58827901</f>
        <v>19.588279010000001</v>
      </c>
      <c r="CA50" t="str">
        <f>""</f>
        <v/>
      </c>
      <c r="CB50" t="str">
        <f>""</f>
        <v/>
      </c>
      <c r="CC50" t="str">
        <f>""</f>
        <v/>
      </c>
      <c r="CD50" t="str">
        <f>""</f>
        <v/>
      </c>
      <c r="CE50" t="str">
        <f>""</f>
        <v/>
      </c>
      <c r="CF50" t="str">
        <f>""</f>
        <v/>
      </c>
      <c r="CG50" t="str">
        <f>""</f>
        <v/>
      </c>
      <c r="CH50" t="str">
        <f>""</f>
        <v/>
      </c>
      <c r="CI50" t="str">
        <f>""</f>
        <v/>
      </c>
      <c r="CJ50" t="str">
        <f>""</f>
        <v/>
      </c>
      <c r="CK50" t="str">
        <f>""</f>
        <v/>
      </c>
      <c r="CL50" t="str">
        <f>""</f>
        <v/>
      </c>
      <c r="CM50" t="str">
        <f>""</f>
        <v/>
      </c>
      <c r="CN50" t="str">
        <f>""</f>
        <v/>
      </c>
      <c r="CO50" t="str">
        <f>""</f>
        <v/>
      </c>
      <c r="CP50" t="str">
        <f>""</f>
        <v/>
      </c>
      <c r="CQ50" t="str">
        <f>""</f>
        <v/>
      </c>
      <c r="CR50" t="str">
        <f>""</f>
        <v/>
      </c>
      <c r="CS50" t="str">
        <f>""</f>
        <v/>
      </c>
      <c r="CT50" t="str">
        <f>""</f>
        <v/>
      </c>
      <c r="CU50" t="str">
        <f>""</f>
        <v/>
      </c>
      <c r="CV50" t="str">
        <f>""</f>
        <v/>
      </c>
      <c r="CW50" t="str">
        <f>""</f>
        <v/>
      </c>
      <c r="CX50" t="str">
        <f>""</f>
        <v/>
      </c>
      <c r="CY50" t="str">
        <f>""</f>
        <v/>
      </c>
      <c r="CZ50" t="str">
        <f>""</f>
        <v/>
      </c>
      <c r="DA50" t="str">
        <f>""</f>
        <v/>
      </c>
      <c r="DB50" t="str">
        <f>""</f>
        <v/>
      </c>
      <c r="DC50" t="str">
        <f>""</f>
        <v/>
      </c>
      <c r="DD50" t="str">
        <f>""</f>
        <v/>
      </c>
      <c r="DE50" t="str">
        <f>""</f>
        <v/>
      </c>
      <c r="DF50" t="str">
        <f>""</f>
        <v/>
      </c>
      <c r="DG50" t="str">
        <f>""</f>
        <v/>
      </c>
      <c r="DH50" t="str">
        <f>""</f>
        <v/>
      </c>
      <c r="DI50" t="str">
        <f>""</f>
        <v/>
      </c>
      <c r="DJ50" t="str">
        <f>""</f>
        <v/>
      </c>
      <c r="DK50" t="str">
        <f>""</f>
        <v/>
      </c>
      <c r="DL50" t="str">
        <f>""</f>
        <v/>
      </c>
      <c r="DM50" t="str">
        <f>""</f>
        <v/>
      </c>
      <c r="DN50" t="str">
        <f>""</f>
        <v/>
      </c>
      <c r="DO50" t="str">
        <f>""</f>
        <v/>
      </c>
      <c r="DP50" t="str">
        <f>""</f>
        <v/>
      </c>
      <c r="DQ50" t="str">
        <f>""</f>
        <v/>
      </c>
      <c r="DR50" t="str">
        <f>""</f>
        <v/>
      </c>
      <c r="DS50" t="str">
        <f>""</f>
        <v/>
      </c>
      <c r="DT50" t="str">
        <f>""</f>
        <v/>
      </c>
      <c r="DU50" t="str">
        <f>""</f>
        <v/>
      </c>
    </row>
    <row r="51" spans="1:125" x14ac:dyDescent="0.25">
      <c r="A51" t="str">
        <f>"    Chongqing Changan Automobile Co Ltd"</f>
        <v xml:space="preserve">    Chongqing Changan Automobile Co Ltd</v>
      </c>
      <c r="B51" t="str">
        <f>"200625 CH Equity"</f>
        <v>200625 CH Equity</v>
      </c>
      <c r="C51" t="str">
        <f t="shared" si="3"/>
        <v>EZ009</v>
      </c>
      <c r="D51" t="str">
        <f t="shared" si="4"/>
        <v>BEST_EST_PE_CUR_YR</v>
      </c>
      <c r="E51" t="str">
        <f t="shared" si="5"/>
        <v>Dynamic</v>
      </c>
      <c r="F51">
        <f ca="1">IF(AND(ISNUMBER($F$724),$B$677=1),$F$724,HLOOKUP(INDIRECT(ADDRESS(2,COLUMN())),OFFSET($BN$2,0,0,ROW()-1,60),ROW()-1,FALSE))</f>
        <v>10.21455821</v>
      </c>
      <c r="G51">
        <f ca="1">IF(AND(ISNUMBER($G$724),$B$677=1),$G$724,HLOOKUP(INDIRECT(ADDRESS(2,COLUMN())),OFFSET($BN$2,0,0,ROW()-1,60),ROW()-1,FALSE))</f>
        <v>5.5537042369999998</v>
      </c>
      <c r="H51">
        <f ca="1">IF(AND(ISNUMBER($H$724),$B$677=1),$H$724,HLOOKUP(INDIRECT(ADDRESS(2,COLUMN())),OFFSET($BN$2,0,0,ROW()-1,60),ROW()-1,FALSE))</f>
        <v>5.5979777359999998</v>
      </c>
      <c r="I51">
        <f ca="1">IF(AND(ISNUMBER($I$724),$B$677=1),$I$724,HLOOKUP(INDIRECT(ADDRESS(2,COLUMN())),OFFSET($BN$2,0,0,ROW()-1,60),ROW()-1,FALSE))</f>
        <v>4.3784469809999997</v>
      </c>
      <c r="J51">
        <f ca="1">IF(AND(ISNUMBER($J$724),$B$677=1),$J$724,HLOOKUP(INDIRECT(ADDRESS(2,COLUMN())),OFFSET($BN$2,0,0,ROW()-1,60),ROW()-1,FALSE))</f>
        <v>3.5130965540000001</v>
      </c>
      <c r="K51">
        <f ca="1">IF(AND(ISNUMBER($K$724),$B$677=1),$K$724,HLOOKUP(INDIRECT(ADDRESS(2,COLUMN())),OFFSET($BN$2,0,0,ROW()-1,60),ROW()-1,FALSE))</f>
        <v>3.7016840960000001</v>
      </c>
      <c r="L51">
        <f ca="1">IF(AND(ISNUMBER($L$724),$B$677=1),$L$724,HLOOKUP(INDIRECT(ADDRESS(2,COLUMN())),OFFSET($BN$2,0,0,ROW()-1,60),ROW()-1,FALSE))</f>
        <v>4.1601310099999997</v>
      </c>
      <c r="M51">
        <f ca="1">IF(AND(ISNUMBER($M$724),$B$677=1),$M$724,HLOOKUP(INDIRECT(ADDRESS(2,COLUMN())),OFFSET($BN$2,0,0,ROW()-1,60),ROW()-1,FALSE))</f>
        <v>3.8063320429999998</v>
      </c>
      <c r="N51">
        <f ca="1">IF(AND(ISNUMBER($N$724),$B$677=1),$N$724,HLOOKUP(INDIRECT(ADDRESS(2,COLUMN())),OFFSET($BN$2,0,0,ROW()-1,60),ROW()-1,FALSE))</f>
        <v>3.9462235049999999</v>
      </c>
      <c r="O51">
        <f ca="1">IF(AND(ISNUMBER($O$724),$B$677=1),$O$724,HLOOKUP(INDIRECT(ADDRESS(2,COLUMN())),OFFSET($BN$2,0,0,ROW()-1,60),ROW()-1,FALSE))</f>
        <v>4.079528185</v>
      </c>
      <c r="P51">
        <f ca="1">IF(AND(ISNUMBER($P$724),$B$677=1),$P$724,HLOOKUP(INDIRECT(ADDRESS(2,COLUMN())),OFFSET($BN$2,0,0,ROW()-1,60),ROW()-1,FALSE))</f>
        <v>4.1499884099999997</v>
      </c>
      <c r="Q51">
        <f ca="1">IF(AND(ISNUMBER($Q$724),$B$677=1),$Q$724,HLOOKUP(INDIRECT(ADDRESS(2,COLUMN())),OFFSET($BN$2,0,0,ROW()-1,60),ROW()-1,FALSE))</f>
        <v>3.5679553319999999</v>
      </c>
      <c r="R51">
        <f ca="1">IF(AND(ISNUMBER($R$724),$B$677=1),$R$724,HLOOKUP(INDIRECT(ADDRESS(2,COLUMN())),OFFSET($BN$2,0,0,ROW()-1,60),ROW()-1,FALSE))</f>
        <v>6.3289304260000003</v>
      </c>
      <c r="S51">
        <f ca="1">IF(AND(ISNUMBER($S$724),$B$677=1),$S$724,HLOOKUP(INDIRECT(ADDRESS(2,COLUMN())),OFFSET($BN$2,0,0,ROW()-1,60),ROW()-1,FALSE))</f>
        <v>7.1570850699999999</v>
      </c>
      <c r="T51">
        <f ca="1">IF(AND(ISNUMBER($T$724),$B$677=1),$T$724,HLOOKUP(INDIRECT(ADDRESS(2,COLUMN())),OFFSET($BN$2,0,0,ROW()-1,60),ROW()-1,FALSE))</f>
        <v>5.836023108</v>
      </c>
      <c r="U51">
        <f ca="1">IF(AND(ISNUMBER($U$724),$B$677=1),$U$724,HLOOKUP(INDIRECT(ADDRESS(2,COLUMN())),OFFSET($BN$2,0,0,ROW()-1,60),ROW()-1,FALSE))</f>
        <v>5.0658370760000002</v>
      </c>
      <c r="V51">
        <f ca="1">IF(AND(ISNUMBER($V$724),$B$677=1),$V$724,HLOOKUP(INDIRECT(ADDRESS(2,COLUMN())),OFFSET($BN$2,0,0,ROW()-1,60),ROW()-1,FALSE))</f>
        <v>5.7331546360000001</v>
      </c>
      <c r="W51" t="str">
        <f ca="1">IF(AND(ISNUMBER($W$724),$B$677=1),$W$724,HLOOKUP(INDIRECT(ADDRESS(2,COLUMN())),OFFSET($BN$2,0,0,ROW()-1,60),ROW()-1,FALSE))</f>
        <v/>
      </c>
      <c r="X51" t="str">
        <f ca="1">IF(AND(ISNUMBER($X$724),$B$677=1),$X$724,HLOOKUP(INDIRECT(ADDRESS(2,COLUMN())),OFFSET($BN$2,0,0,ROW()-1,60),ROW()-1,FALSE))</f>
        <v/>
      </c>
      <c r="Y51" t="str">
        <f ca="1">IF(AND(ISNUMBER($Y$724),$B$677=1),$Y$724,HLOOKUP(INDIRECT(ADDRESS(2,COLUMN())),OFFSET($BN$2,0,0,ROW()-1,60),ROW()-1,FALSE))</f>
        <v/>
      </c>
      <c r="Z51" t="str">
        <f ca="1">IF(AND(ISNUMBER($Z$724),$B$677=1),$Z$724,HLOOKUP(INDIRECT(ADDRESS(2,COLUMN())),OFFSET($BN$2,0,0,ROW()-1,60),ROW()-1,FALSE))</f>
        <v/>
      </c>
      <c r="AA51" t="str">
        <f ca="1">IF(AND(ISNUMBER($AA$724),$B$677=1),$AA$724,HLOOKUP(INDIRECT(ADDRESS(2,COLUMN())),OFFSET($BN$2,0,0,ROW()-1,60),ROW()-1,FALSE))</f>
        <v/>
      </c>
      <c r="AB51" t="str">
        <f ca="1">IF(AND(ISNUMBER($AB$724),$B$677=1),$AB$724,HLOOKUP(INDIRECT(ADDRESS(2,COLUMN())),OFFSET($BN$2,0,0,ROW()-1,60),ROW()-1,FALSE))</f>
        <v/>
      </c>
      <c r="AC51" t="str">
        <f ca="1">IF(AND(ISNUMBER($AC$724),$B$677=1),$AC$724,HLOOKUP(INDIRECT(ADDRESS(2,COLUMN())),OFFSET($BN$2,0,0,ROW()-1,60),ROW()-1,FALSE))</f>
        <v/>
      </c>
      <c r="AD51" t="str">
        <f ca="1">IF(AND(ISNUMBER($AD$724),$B$677=1),$AD$724,HLOOKUP(INDIRECT(ADDRESS(2,COLUMN())),OFFSET($BN$2,0,0,ROW()-1,60),ROW()-1,FALSE))</f>
        <v/>
      </c>
      <c r="AE51" t="str">
        <f ca="1">IF(AND(ISNUMBER($AE$724),$B$677=1),$AE$724,HLOOKUP(INDIRECT(ADDRESS(2,COLUMN())),OFFSET($BN$2,0,0,ROW()-1,60),ROW()-1,FALSE))</f>
        <v/>
      </c>
      <c r="AF51" t="str">
        <f ca="1">IF(AND(ISNUMBER($AF$724),$B$677=1),$AF$724,HLOOKUP(INDIRECT(ADDRESS(2,COLUMN())),OFFSET($BN$2,0,0,ROW()-1,60),ROW()-1,FALSE))</f>
        <v/>
      </c>
      <c r="AG51" t="str">
        <f ca="1">IF(AND(ISNUMBER($AG$724),$B$677=1),$AG$724,HLOOKUP(INDIRECT(ADDRESS(2,COLUMN())),OFFSET($BN$2,0,0,ROW()-1,60),ROW()-1,FALSE))</f>
        <v/>
      </c>
      <c r="AH51" t="str">
        <f ca="1">IF(AND(ISNUMBER($AH$724),$B$677=1),$AH$724,HLOOKUP(INDIRECT(ADDRESS(2,COLUMN())),OFFSET($BN$2,0,0,ROW()-1,60),ROW()-1,FALSE))</f>
        <v/>
      </c>
      <c r="AI51" t="str">
        <f ca="1">IF(AND(ISNUMBER($AI$724),$B$677=1),$AI$724,HLOOKUP(INDIRECT(ADDRESS(2,COLUMN())),OFFSET($BN$2,0,0,ROW()-1,60),ROW()-1,FALSE))</f>
        <v/>
      </c>
      <c r="AJ51" t="str">
        <f ca="1">IF(AND(ISNUMBER($AJ$724),$B$677=1),$AJ$724,HLOOKUP(INDIRECT(ADDRESS(2,COLUMN())),OFFSET($BN$2,0,0,ROW()-1,60),ROW()-1,FALSE))</f>
        <v/>
      </c>
      <c r="AK51" t="str">
        <f ca="1">IF(AND(ISNUMBER($AK$724),$B$677=1),$AK$724,HLOOKUP(INDIRECT(ADDRESS(2,COLUMN())),OFFSET($BN$2,0,0,ROW()-1,60),ROW()-1,FALSE))</f>
        <v/>
      </c>
      <c r="AL51" t="str">
        <f ca="1">IF(AND(ISNUMBER($AL$724),$B$677=1),$AL$724,HLOOKUP(INDIRECT(ADDRESS(2,COLUMN())),OFFSET($BN$2,0,0,ROW()-1,60),ROW()-1,FALSE))</f>
        <v/>
      </c>
      <c r="AM51" t="str">
        <f ca="1">IF(AND(ISNUMBER($AM$724),$B$677=1),$AM$724,HLOOKUP(INDIRECT(ADDRESS(2,COLUMN())),OFFSET($BN$2,0,0,ROW()-1,60),ROW()-1,FALSE))</f>
        <v/>
      </c>
      <c r="AN51" t="str">
        <f ca="1">IF(AND(ISNUMBER($AN$724),$B$677=1),$AN$724,HLOOKUP(INDIRECT(ADDRESS(2,COLUMN())),OFFSET($BN$2,0,0,ROW()-1,60),ROW()-1,FALSE))</f>
        <v/>
      </c>
      <c r="AO51" t="str">
        <f ca="1">IF(AND(ISNUMBER($AO$724),$B$677=1),$AO$724,HLOOKUP(INDIRECT(ADDRESS(2,COLUMN())),OFFSET($BN$2,0,0,ROW()-1,60),ROW()-1,FALSE))</f>
        <v/>
      </c>
      <c r="AP51" t="str">
        <f ca="1">IF(AND(ISNUMBER($AP$724),$B$677=1),$AP$724,HLOOKUP(INDIRECT(ADDRESS(2,COLUMN())),OFFSET($BN$2,0,0,ROW()-1,60),ROW()-1,FALSE))</f>
        <v/>
      </c>
      <c r="AQ51" t="str">
        <f ca="1">IF(AND(ISNUMBER($AQ$724),$B$677=1),$AQ$724,HLOOKUP(INDIRECT(ADDRESS(2,COLUMN())),OFFSET($BN$2,0,0,ROW()-1,60),ROW()-1,FALSE))</f>
        <v/>
      </c>
      <c r="AR51" t="str">
        <f ca="1">IF(AND(ISNUMBER($AR$724),$B$677=1),$AR$724,HLOOKUP(INDIRECT(ADDRESS(2,COLUMN())),OFFSET($BN$2,0,0,ROW()-1,60),ROW()-1,FALSE))</f>
        <v/>
      </c>
      <c r="AS51" t="str">
        <f ca="1">IF(AND(ISNUMBER($AS$724),$B$677=1),$AS$724,HLOOKUP(INDIRECT(ADDRESS(2,COLUMN())),OFFSET($BN$2,0,0,ROW()-1,60),ROW()-1,FALSE))</f>
        <v/>
      </c>
      <c r="AT51" t="str">
        <f ca="1">IF(AND(ISNUMBER($AT$724),$B$677=1),$AT$724,HLOOKUP(INDIRECT(ADDRESS(2,COLUMN())),OFFSET($BN$2,0,0,ROW()-1,60),ROW()-1,FALSE))</f>
        <v/>
      </c>
      <c r="AU51" t="str">
        <f ca="1">IF(AND(ISNUMBER($AU$724),$B$677=1),$AU$724,HLOOKUP(INDIRECT(ADDRESS(2,COLUMN())),OFFSET($BN$2,0,0,ROW()-1,60),ROW()-1,FALSE))</f>
        <v/>
      </c>
      <c r="AV51" t="str">
        <f ca="1">IF(AND(ISNUMBER($AV$724),$B$677=1),$AV$724,HLOOKUP(INDIRECT(ADDRESS(2,COLUMN())),OFFSET($BN$2,0,0,ROW()-1,60),ROW()-1,FALSE))</f>
        <v/>
      </c>
      <c r="AW51" t="str">
        <f ca="1">IF(AND(ISNUMBER($AW$724),$B$677=1),$AW$724,HLOOKUP(INDIRECT(ADDRESS(2,COLUMN())),OFFSET($BN$2,0,0,ROW()-1,60),ROW()-1,FALSE))</f>
        <v/>
      </c>
      <c r="AX51" t="str">
        <f ca="1">IF(AND(ISNUMBER($AX$724),$B$677=1),$AX$724,HLOOKUP(INDIRECT(ADDRESS(2,COLUMN())),OFFSET($BN$2,0,0,ROW()-1,60),ROW()-1,FALSE))</f>
        <v/>
      </c>
      <c r="AY51" t="str">
        <f ca="1">IF(AND(ISNUMBER($AY$724),$B$677=1),$AY$724,HLOOKUP(INDIRECT(ADDRESS(2,COLUMN())),OFFSET($BN$2,0,0,ROW()-1,60),ROW()-1,FALSE))</f>
        <v/>
      </c>
      <c r="AZ51" t="str">
        <f ca="1">IF(AND(ISNUMBER($AZ$724),$B$677=1),$AZ$724,HLOOKUP(INDIRECT(ADDRESS(2,COLUMN())),OFFSET($BN$2,0,0,ROW()-1,60),ROW()-1,FALSE))</f>
        <v/>
      </c>
      <c r="BA51" t="str">
        <f ca="1">IF(AND(ISNUMBER($BA$724),$B$677=1),$BA$724,HLOOKUP(INDIRECT(ADDRESS(2,COLUMN())),OFFSET($BN$2,0,0,ROW()-1,60),ROW()-1,FALSE))</f>
        <v/>
      </c>
      <c r="BB51" t="str">
        <f ca="1">IF(AND(ISNUMBER($BB$724),$B$677=1),$BB$724,HLOOKUP(INDIRECT(ADDRESS(2,COLUMN())),OFFSET($BN$2,0,0,ROW()-1,60),ROW()-1,FALSE))</f>
        <v/>
      </c>
      <c r="BC51" t="str">
        <f ca="1">IF(AND(ISNUMBER($BC$724),$B$677=1),$BC$724,HLOOKUP(INDIRECT(ADDRESS(2,COLUMN())),OFFSET($BN$2,0,0,ROW()-1,60),ROW()-1,FALSE))</f>
        <v/>
      </c>
      <c r="BD51" t="str">
        <f ca="1">IF(AND(ISNUMBER($BD$724),$B$677=1),$BD$724,HLOOKUP(INDIRECT(ADDRESS(2,COLUMN())),OFFSET($BN$2,0,0,ROW()-1,60),ROW()-1,FALSE))</f>
        <v/>
      </c>
      <c r="BE51" t="str">
        <f ca="1">IF(AND(ISNUMBER($BE$724),$B$677=1),$BE$724,HLOOKUP(INDIRECT(ADDRESS(2,COLUMN())),OFFSET($BN$2,0,0,ROW()-1,60),ROW()-1,FALSE))</f>
        <v/>
      </c>
      <c r="BF51" t="str">
        <f ca="1">IF(AND(ISNUMBER($BF$724),$B$677=1),$BF$724,HLOOKUP(INDIRECT(ADDRESS(2,COLUMN())),OFFSET($BN$2,0,0,ROW()-1,60),ROW()-1,FALSE))</f>
        <v/>
      </c>
      <c r="BG51" t="str">
        <f ca="1">IF(AND(ISNUMBER($BG$724),$B$677=1),$BG$724,HLOOKUP(INDIRECT(ADDRESS(2,COLUMN())),OFFSET($BN$2,0,0,ROW()-1,60),ROW()-1,FALSE))</f>
        <v/>
      </c>
      <c r="BH51" t="str">
        <f ca="1">IF(AND(ISNUMBER($BH$724),$B$677=1),$BH$724,HLOOKUP(INDIRECT(ADDRESS(2,COLUMN())),OFFSET($BN$2,0,0,ROW()-1,60),ROW()-1,FALSE))</f>
        <v/>
      </c>
      <c r="BI51" t="str">
        <f ca="1">IF(AND(ISNUMBER($BI$724),$B$677=1),$BI$724,HLOOKUP(INDIRECT(ADDRESS(2,COLUMN())),OFFSET($BN$2,0,0,ROW()-1,60),ROW()-1,FALSE))</f>
        <v/>
      </c>
      <c r="BJ51" t="str">
        <f ca="1">IF(AND(ISNUMBER($BJ$724),$B$677=1),$BJ$724,HLOOKUP(INDIRECT(ADDRESS(2,COLUMN())),OFFSET($BN$2,0,0,ROW()-1,60),ROW()-1,FALSE))</f>
        <v/>
      </c>
      <c r="BK51" t="str">
        <f ca="1">IF(AND(ISNUMBER($BK$724),$B$677=1),$BK$724,HLOOKUP(INDIRECT(ADDRESS(2,COLUMN())),OFFSET($BN$2,0,0,ROW()-1,60),ROW()-1,FALSE))</f>
        <v/>
      </c>
      <c r="BL51" t="str">
        <f ca="1">IF(AND(ISNUMBER($BL$724),$B$677=1),$BL$724,HLOOKUP(INDIRECT(ADDRESS(2,COLUMN())),OFFSET($BN$2,0,0,ROW()-1,60),ROW()-1,FALSE))</f>
        <v/>
      </c>
      <c r="BM51" t="str">
        <f ca="1">IF(AND(ISNUMBER($BM$724),$B$677=1),$BM$724,HLOOKUP(INDIRECT(ADDRESS(2,COLUMN())),OFFSET($BN$2,0,0,ROW()-1,60),ROW()-1,FALSE))</f>
        <v/>
      </c>
      <c r="BN51">
        <f>10.21455821</f>
        <v>10.21455821</v>
      </c>
      <c r="BO51">
        <f>5.553704237</f>
        <v>5.5537042369999998</v>
      </c>
      <c r="BP51">
        <f>5.597977736</f>
        <v>5.5979777359999998</v>
      </c>
      <c r="BQ51">
        <f>4.378446981</f>
        <v>4.3784469809999997</v>
      </c>
      <c r="BR51">
        <f>3.513096554</f>
        <v>3.5130965540000001</v>
      </c>
      <c r="BS51">
        <f>3.701684096</f>
        <v>3.7016840960000001</v>
      </c>
      <c r="BT51">
        <f>4.16013101</f>
        <v>4.1601310099999997</v>
      </c>
      <c r="BU51">
        <f>3.806332043</f>
        <v>3.8063320429999998</v>
      </c>
      <c r="BV51">
        <f>3.946223505</f>
        <v>3.9462235049999999</v>
      </c>
      <c r="BW51">
        <f>4.079528185</f>
        <v>4.079528185</v>
      </c>
      <c r="BX51">
        <f>4.14998841</f>
        <v>4.1499884099999997</v>
      </c>
      <c r="BY51">
        <f>3.567955332</f>
        <v>3.5679553319999999</v>
      </c>
      <c r="BZ51">
        <f>6.328930426</f>
        <v>6.3289304260000003</v>
      </c>
      <c r="CA51">
        <f>7.15708507</f>
        <v>7.1570850699999999</v>
      </c>
      <c r="CB51">
        <f>5.836023108</f>
        <v>5.836023108</v>
      </c>
      <c r="CC51">
        <f>5.065837076</f>
        <v>5.0658370760000002</v>
      </c>
      <c r="CD51">
        <f>5.733154636</f>
        <v>5.7331546360000001</v>
      </c>
      <c r="CE51" t="str">
        <f>""</f>
        <v/>
      </c>
      <c r="CF51" t="str">
        <f>""</f>
        <v/>
      </c>
      <c r="CG51" t="str">
        <f>""</f>
        <v/>
      </c>
      <c r="CH51" t="str">
        <f>""</f>
        <v/>
      </c>
      <c r="CI51" t="str">
        <f>""</f>
        <v/>
      </c>
      <c r="CJ51" t="str">
        <f>""</f>
        <v/>
      </c>
      <c r="CK51" t="str">
        <f>""</f>
        <v/>
      </c>
      <c r="CL51" t="str">
        <f>""</f>
        <v/>
      </c>
      <c r="CM51" t="str">
        <f>""</f>
        <v/>
      </c>
      <c r="CN51" t="str">
        <f>""</f>
        <v/>
      </c>
      <c r="CO51" t="str">
        <f>""</f>
        <v/>
      </c>
      <c r="CP51" t="str">
        <f>""</f>
        <v/>
      </c>
      <c r="CQ51" t="str">
        <f>""</f>
        <v/>
      </c>
      <c r="CR51" t="str">
        <f>""</f>
        <v/>
      </c>
      <c r="CS51" t="str">
        <f>""</f>
        <v/>
      </c>
      <c r="CT51" t="str">
        <f>""</f>
        <v/>
      </c>
      <c r="CU51" t="str">
        <f>""</f>
        <v/>
      </c>
      <c r="CV51" t="str">
        <f>""</f>
        <v/>
      </c>
      <c r="CW51" t="str">
        <f>""</f>
        <v/>
      </c>
      <c r="CX51" t="str">
        <f>""</f>
        <v/>
      </c>
      <c r="CY51" t="str">
        <f>""</f>
        <v/>
      </c>
      <c r="CZ51" t="str">
        <f>""</f>
        <v/>
      </c>
      <c r="DA51" t="str">
        <f>""</f>
        <v/>
      </c>
      <c r="DB51" t="str">
        <f>""</f>
        <v/>
      </c>
      <c r="DC51" t="str">
        <f>""</f>
        <v/>
      </c>
      <c r="DD51" t="str">
        <f>""</f>
        <v/>
      </c>
      <c r="DE51" t="str">
        <f>""</f>
        <v/>
      </c>
      <c r="DF51" t="str">
        <f>""</f>
        <v/>
      </c>
      <c r="DG51" t="str">
        <f>""</f>
        <v/>
      </c>
      <c r="DH51" t="str">
        <f>""</f>
        <v/>
      </c>
      <c r="DI51" t="str">
        <f>""</f>
        <v/>
      </c>
      <c r="DJ51" t="str">
        <f>""</f>
        <v/>
      </c>
      <c r="DK51" t="str">
        <f>""</f>
        <v/>
      </c>
      <c r="DL51" t="str">
        <f>""</f>
        <v/>
      </c>
      <c r="DM51" t="str">
        <f>""</f>
        <v/>
      </c>
      <c r="DN51" t="str">
        <f>""</f>
        <v/>
      </c>
      <c r="DO51" t="str">
        <f>""</f>
        <v/>
      </c>
      <c r="DP51" t="str">
        <f>""</f>
        <v/>
      </c>
      <c r="DQ51" t="str">
        <f>""</f>
        <v/>
      </c>
      <c r="DR51" t="str">
        <f>""</f>
        <v/>
      </c>
      <c r="DS51" t="str">
        <f>""</f>
        <v/>
      </c>
      <c r="DT51" t="str">
        <f>""</f>
        <v/>
      </c>
      <c r="DU51" t="str">
        <f>""</f>
        <v/>
      </c>
    </row>
    <row r="52" spans="1:125" x14ac:dyDescent="0.25">
      <c r="A52" t="str">
        <f>"    Daihatsu Motor Co Ltd"</f>
        <v xml:space="preserve">    Daihatsu Motor Co Ltd</v>
      </c>
      <c r="B52" t="str">
        <f>"7262 JP Equity"</f>
        <v>7262 JP Equity</v>
      </c>
      <c r="C52" t="str">
        <f t="shared" si="3"/>
        <v>EZ009</v>
      </c>
      <c r="D52" t="str">
        <f t="shared" si="4"/>
        <v>BEST_EST_PE_CUR_YR</v>
      </c>
      <c r="E52" t="str">
        <f t="shared" si="5"/>
        <v>Dynamic</v>
      </c>
      <c r="F52" t="str">
        <f ca="1">IF(AND(ISNUMBER($F$725),$B$677=1),$F$725,HLOOKUP(INDIRECT(ADDRESS(2,COLUMN())),OFFSET($BN$2,0,0,ROW()-1,60),ROW()-1,FALSE))</f>
        <v/>
      </c>
      <c r="G52" t="str">
        <f ca="1">IF(AND(ISNUMBER($G$725),$B$677=1),$G$725,HLOOKUP(INDIRECT(ADDRESS(2,COLUMN())),OFFSET($BN$2,0,0,ROW()-1,60),ROW()-1,FALSE))</f>
        <v/>
      </c>
      <c r="H52" t="str">
        <f ca="1">IF(AND(ISNUMBER($H$725),$B$677=1),$H$725,HLOOKUP(INDIRECT(ADDRESS(2,COLUMN())),OFFSET($BN$2,0,0,ROW()-1,60),ROW()-1,FALSE))</f>
        <v/>
      </c>
      <c r="I52" t="str">
        <f ca="1">IF(AND(ISNUMBER($I$725),$B$677=1),$I$725,HLOOKUP(INDIRECT(ADDRESS(2,COLUMN())),OFFSET($BN$2,0,0,ROW()-1,60),ROW()-1,FALSE))</f>
        <v/>
      </c>
      <c r="J52" t="str">
        <f ca="1">IF(AND(ISNUMBER($J$725),$B$677=1),$J$725,HLOOKUP(INDIRECT(ADDRESS(2,COLUMN())),OFFSET($BN$2,0,0,ROW()-1,60),ROW()-1,FALSE))</f>
        <v/>
      </c>
      <c r="K52" t="str">
        <f ca="1">IF(AND(ISNUMBER($K$725),$B$677=1),$K$725,HLOOKUP(INDIRECT(ADDRESS(2,COLUMN())),OFFSET($BN$2,0,0,ROW()-1,60),ROW()-1,FALSE))</f>
        <v/>
      </c>
      <c r="L52" t="str">
        <f ca="1">IF(AND(ISNUMBER($L$725),$B$677=1),$L$725,HLOOKUP(INDIRECT(ADDRESS(2,COLUMN())),OFFSET($BN$2,0,0,ROW()-1,60),ROW()-1,FALSE))</f>
        <v/>
      </c>
      <c r="M52" t="str">
        <f ca="1">IF(AND(ISNUMBER($M$725),$B$677=1),$M$725,HLOOKUP(INDIRECT(ADDRESS(2,COLUMN())),OFFSET($BN$2,0,0,ROW()-1,60),ROW()-1,FALSE))</f>
        <v/>
      </c>
      <c r="N52" t="str">
        <f ca="1">IF(AND(ISNUMBER($N$725),$B$677=1),$N$725,HLOOKUP(INDIRECT(ADDRESS(2,COLUMN())),OFFSET($BN$2,0,0,ROW()-1,60),ROW()-1,FALSE))</f>
        <v/>
      </c>
      <c r="O52" t="str">
        <f ca="1">IF(AND(ISNUMBER($O$725),$B$677=1),$O$725,HLOOKUP(INDIRECT(ADDRESS(2,COLUMN())),OFFSET($BN$2,0,0,ROW()-1,60),ROW()-1,FALSE))</f>
        <v/>
      </c>
      <c r="P52">
        <f ca="1">IF(AND(ISNUMBER($P$725),$B$677=1),$P$725,HLOOKUP(INDIRECT(ADDRESS(2,COLUMN())),OFFSET($BN$2,0,0,ROW()-1,60),ROW()-1,FALSE))</f>
        <v>13.38960981</v>
      </c>
      <c r="Q52">
        <f ca="1">IF(AND(ISNUMBER($Q$725),$B$677=1),$Q$725,HLOOKUP(INDIRECT(ADDRESS(2,COLUMN())),OFFSET($BN$2,0,0,ROW()-1,60),ROW()-1,FALSE))</f>
        <v>11.357978060000001</v>
      </c>
      <c r="R52">
        <f ca="1">IF(AND(ISNUMBER($R$725),$B$677=1),$R$725,HLOOKUP(INDIRECT(ADDRESS(2,COLUMN())),OFFSET($BN$2,0,0,ROW()-1,60),ROW()-1,FALSE))</f>
        <v>13.90910845</v>
      </c>
      <c r="S52">
        <f ca="1">IF(AND(ISNUMBER($S$725),$B$677=1),$S$725,HLOOKUP(INDIRECT(ADDRESS(2,COLUMN())),OFFSET($BN$2,0,0,ROW()-1,60),ROW()-1,FALSE))</f>
        <v>14.14899121</v>
      </c>
      <c r="T52">
        <f ca="1">IF(AND(ISNUMBER($T$725),$B$677=1),$T$725,HLOOKUP(INDIRECT(ADDRESS(2,COLUMN())),OFFSET($BN$2,0,0,ROW()-1,60),ROW()-1,FALSE))</f>
        <v>9.5144266539999993</v>
      </c>
      <c r="U52">
        <f ca="1">IF(AND(ISNUMBER($U$725),$B$677=1),$U$725,HLOOKUP(INDIRECT(ADDRESS(2,COLUMN())),OFFSET($BN$2,0,0,ROW()-1,60),ROW()-1,FALSE))</f>
        <v>11.032413650000001</v>
      </c>
      <c r="V52">
        <f ca="1">IF(AND(ISNUMBER($V$725),$B$677=1),$V$725,HLOOKUP(INDIRECT(ADDRESS(2,COLUMN())),OFFSET($BN$2,0,0,ROW()-1,60),ROW()-1,FALSE))</f>
        <v>11.800811550000001</v>
      </c>
      <c r="W52">
        <f ca="1">IF(AND(ISNUMBER($W$725),$B$677=1),$W$725,HLOOKUP(INDIRECT(ADDRESS(2,COLUMN())),OFFSET($BN$2,0,0,ROW()-1,60),ROW()-1,FALSE))</f>
        <v>9.0915372130000005</v>
      </c>
      <c r="X52">
        <f ca="1">IF(AND(ISNUMBER($X$725),$B$677=1),$X$725,HLOOKUP(INDIRECT(ADDRESS(2,COLUMN())),OFFSET($BN$2,0,0,ROW()-1,60),ROW()-1,FALSE))</f>
        <v>8.4155879309999992</v>
      </c>
      <c r="Y52">
        <f ca="1">IF(AND(ISNUMBER($Y$725),$B$677=1),$Y$725,HLOOKUP(INDIRECT(ADDRESS(2,COLUMN())),OFFSET($BN$2,0,0,ROW()-1,60),ROW()-1,FALSE))</f>
        <v>9.0284287729999999</v>
      </c>
      <c r="Z52">
        <f ca="1">IF(AND(ISNUMBER($Z$725),$B$677=1),$Z$725,HLOOKUP(INDIRECT(ADDRESS(2,COLUMN())),OFFSET($BN$2,0,0,ROW()-1,60),ROW()-1,FALSE))</f>
        <v>8.7106099340000007</v>
      </c>
      <c r="AA52">
        <f ca="1">IF(AND(ISNUMBER($AA$725),$B$677=1),$AA$725,HLOOKUP(INDIRECT(ADDRESS(2,COLUMN())),OFFSET($BN$2,0,0,ROW()-1,60),ROW()-1,FALSE))</f>
        <v>8.1171567180000004</v>
      </c>
      <c r="AB52" t="str">
        <f ca="1">IF(AND(ISNUMBER($AB$725),$B$677=1),$AB$725,HLOOKUP(INDIRECT(ADDRESS(2,COLUMN())),OFFSET($BN$2,0,0,ROW()-1,60),ROW()-1,FALSE))</f>
        <v/>
      </c>
      <c r="AC52" t="str">
        <f ca="1">IF(AND(ISNUMBER($AC$725),$B$677=1),$AC$725,HLOOKUP(INDIRECT(ADDRESS(2,COLUMN())),OFFSET($BN$2,0,0,ROW()-1,60),ROW()-1,FALSE))</f>
        <v/>
      </c>
      <c r="AD52" t="str">
        <f ca="1">IF(AND(ISNUMBER($AD$725),$B$677=1),$AD$725,HLOOKUP(INDIRECT(ADDRESS(2,COLUMN())),OFFSET($BN$2,0,0,ROW()-1,60),ROW()-1,FALSE))</f>
        <v/>
      </c>
      <c r="AE52" t="str">
        <f ca="1">IF(AND(ISNUMBER($AE$725),$B$677=1),$AE$725,HLOOKUP(INDIRECT(ADDRESS(2,COLUMN())),OFFSET($BN$2,0,0,ROW()-1,60),ROW()-1,FALSE))</f>
        <v/>
      </c>
      <c r="AF52" t="str">
        <f ca="1">IF(AND(ISNUMBER($AF$725),$B$677=1),$AF$725,HLOOKUP(INDIRECT(ADDRESS(2,COLUMN())),OFFSET($BN$2,0,0,ROW()-1,60),ROW()-1,FALSE))</f>
        <v/>
      </c>
      <c r="AG52" t="str">
        <f ca="1">IF(AND(ISNUMBER($AG$725),$B$677=1),$AG$725,HLOOKUP(INDIRECT(ADDRESS(2,COLUMN())),OFFSET($BN$2,0,0,ROW()-1,60),ROW()-1,FALSE))</f>
        <v/>
      </c>
      <c r="AH52" t="str">
        <f ca="1">IF(AND(ISNUMBER($AH$725),$B$677=1),$AH$725,HLOOKUP(INDIRECT(ADDRESS(2,COLUMN())),OFFSET($BN$2,0,0,ROW()-1,60),ROW()-1,FALSE))</f>
        <v/>
      </c>
      <c r="AI52" t="str">
        <f ca="1">IF(AND(ISNUMBER($AI$725),$B$677=1),$AI$725,HLOOKUP(INDIRECT(ADDRESS(2,COLUMN())),OFFSET($BN$2,0,0,ROW()-1,60),ROW()-1,FALSE))</f>
        <v/>
      </c>
      <c r="AJ52" t="str">
        <f ca="1">IF(AND(ISNUMBER($AJ$725),$B$677=1),$AJ$725,HLOOKUP(INDIRECT(ADDRESS(2,COLUMN())),OFFSET($BN$2,0,0,ROW()-1,60),ROW()-1,FALSE))</f>
        <v/>
      </c>
      <c r="AK52" t="str">
        <f ca="1">IF(AND(ISNUMBER($AK$725),$B$677=1),$AK$725,HLOOKUP(INDIRECT(ADDRESS(2,COLUMN())),OFFSET($BN$2,0,0,ROW()-1,60),ROW()-1,FALSE))</f>
        <v/>
      </c>
      <c r="AL52" t="str">
        <f ca="1">IF(AND(ISNUMBER($AL$725),$B$677=1),$AL$725,HLOOKUP(INDIRECT(ADDRESS(2,COLUMN())),OFFSET($BN$2,0,0,ROW()-1,60),ROW()-1,FALSE))</f>
        <v/>
      </c>
      <c r="AM52" t="str">
        <f ca="1">IF(AND(ISNUMBER($AM$725),$B$677=1),$AM$725,HLOOKUP(INDIRECT(ADDRESS(2,COLUMN())),OFFSET($BN$2,0,0,ROW()-1,60),ROW()-1,FALSE))</f>
        <v/>
      </c>
      <c r="AN52" t="str">
        <f ca="1">IF(AND(ISNUMBER($AN$725),$B$677=1),$AN$725,HLOOKUP(INDIRECT(ADDRESS(2,COLUMN())),OFFSET($BN$2,0,0,ROW()-1,60),ROW()-1,FALSE))</f>
        <v/>
      </c>
      <c r="AO52" t="str">
        <f ca="1">IF(AND(ISNUMBER($AO$725),$B$677=1),$AO$725,HLOOKUP(INDIRECT(ADDRESS(2,COLUMN())),OFFSET($BN$2,0,0,ROW()-1,60),ROW()-1,FALSE))</f>
        <v/>
      </c>
      <c r="AP52" t="str">
        <f ca="1">IF(AND(ISNUMBER($AP$725),$B$677=1),$AP$725,HLOOKUP(INDIRECT(ADDRESS(2,COLUMN())),OFFSET($BN$2,0,0,ROW()-1,60),ROW()-1,FALSE))</f>
        <v/>
      </c>
      <c r="AQ52" t="str">
        <f ca="1">IF(AND(ISNUMBER($AQ$725),$B$677=1),$AQ$725,HLOOKUP(INDIRECT(ADDRESS(2,COLUMN())),OFFSET($BN$2,0,0,ROW()-1,60),ROW()-1,FALSE))</f>
        <v/>
      </c>
      <c r="AR52" t="str">
        <f ca="1">IF(AND(ISNUMBER($AR$725),$B$677=1),$AR$725,HLOOKUP(INDIRECT(ADDRESS(2,COLUMN())),OFFSET($BN$2,0,0,ROW()-1,60),ROW()-1,FALSE))</f>
        <v/>
      </c>
      <c r="AS52" t="str">
        <f ca="1">IF(AND(ISNUMBER($AS$725),$B$677=1),$AS$725,HLOOKUP(INDIRECT(ADDRESS(2,COLUMN())),OFFSET($BN$2,0,0,ROW()-1,60),ROW()-1,FALSE))</f>
        <v/>
      </c>
      <c r="AT52" t="str">
        <f ca="1">IF(AND(ISNUMBER($AT$725),$B$677=1),$AT$725,HLOOKUP(INDIRECT(ADDRESS(2,COLUMN())),OFFSET($BN$2,0,0,ROW()-1,60),ROW()-1,FALSE))</f>
        <v/>
      </c>
      <c r="AU52" t="str">
        <f ca="1">IF(AND(ISNUMBER($AU$725),$B$677=1),$AU$725,HLOOKUP(INDIRECT(ADDRESS(2,COLUMN())),OFFSET($BN$2,0,0,ROW()-1,60),ROW()-1,FALSE))</f>
        <v/>
      </c>
      <c r="AV52" t="str">
        <f ca="1">IF(AND(ISNUMBER($AV$725),$B$677=1),$AV$725,HLOOKUP(INDIRECT(ADDRESS(2,COLUMN())),OFFSET($BN$2,0,0,ROW()-1,60),ROW()-1,FALSE))</f>
        <v/>
      </c>
      <c r="AW52" t="str">
        <f ca="1">IF(AND(ISNUMBER($AW$725),$B$677=1),$AW$725,HLOOKUP(INDIRECT(ADDRESS(2,COLUMN())),OFFSET($BN$2,0,0,ROW()-1,60),ROW()-1,FALSE))</f>
        <v/>
      </c>
      <c r="AX52" t="str">
        <f ca="1">IF(AND(ISNUMBER($AX$725),$B$677=1),$AX$725,HLOOKUP(INDIRECT(ADDRESS(2,COLUMN())),OFFSET($BN$2,0,0,ROW()-1,60),ROW()-1,FALSE))</f>
        <v/>
      </c>
      <c r="AY52" t="str">
        <f ca="1">IF(AND(ISNUMBER($AY$725),$B$677=1),$AY$725,HLOOKUP(INDIRECT(ADDRESS(2,COLUMN())),OFFSET($BN$2,0,0,ROW()-1,60),ROW()-1,FALSE))</f>
        <v/>
      </c>
      <c r="AZ52" t="str">
        <f ca="1">IF(AND(ISNUMBER($AZ$725),$B$677=1),$AZ$725,HLOOKUP(INDIRECT(ADDRESS(2,COLUMN())),OFFSET($BN$2,0,0,ROW()-1,60),ROW()-1,FALSE))</f>
        <v/>
      </c>
      <c r="BA52" t="str">
        <f ca="1">IF(AND(ISNUMBER($BA$725),$B$677=1),$BA$725,HLOOKUP(INDIRECT(ADDRESS(2,COLUMN())),OFFSET($BN$2,0,0,ROW()-1,60),ROW()-1,FALSE))</f>
        <v/>
      </c>
      <c r="BB52" t="str">
        <f ca="1">IF(AND(ISNUMBER($BB$725),$B$677=1),$BB$725,HLOOKUP(INDIRECT(ADDRESS(2,COLUMN())),OFFSET($BN$2,0,0,ROW()-1,60),ROW()-1,FALSE))</f>
        <v/>
      </c>
      <c r="BC52" t="str">
        <f ca="1">IF(AND(ISNUMBER($BC$725),$B$677=1),$BC$725,HLOOKUP(INDIRECT(ADDRESS(2,COLUMN())),OFFSET($BN$2,0,0,ROW()-1,60),ROW()-1,FALSE))</f>
        <v/>
      </c>
      <c r="BD52" t="str">
        <f ca="1">IF(AND(ISNUMBER($BD$725),$B$677=1),$BD$725,HLOOKUP(INDIRECT(ADDRESS(2,COLUMN())),OFFSET($BN$2,0,0,ROW()-1,60),ROW()-1,FALSE))</f>
        <v/>
      </c>
      <c r="BE52" t="str">
        <f ca="1">IF(AND(ISNUMBER($BE$725),$B$677=1),$BE$725,HLOOKUP(INDIRECT(ADDRESS(2,COLUMN())),OFFSET($BN$2,0,0,ROW()-1,60),ROW()-1,FALSE))</f>
        <v/>
      </c>
      <c r="BF52" t="str">
        <f ca="1">IF(AND(ISNUMBER($BF$725),$B$677=1),$BF$725,HLOOKUP(INDIRECT(ADDRESS(2,COLUMN())),OFFSET($BN$2,0,0,ROW()-1,60),ROW()-1,FALSE))</f>
        <v/>
      </c>
      <c r="BG52" t="str">
        <f ca="1">IF(AND(ISNUMBER($BG$725),$B$677=1),$BG$725,HLOOKUP(INDIRECT(ADDRESS(2,COLUMN())),OFFSET($BN$2,0,0,ROW()-1,60),ROW()-1,FALSE))</f>
        <v/>
      </c>
      <c r="BH52" t="str">
        <f ca="1">IF(AND(ISNUMBER($BH$725),$B$677=1),$BH$725,HLOOKUP(INDIRECT(ADDRESS(2,COLUMN())),OFFSET($BN$2,0,0,ROW()-1,60),ROW()-1,FALSE))</f>
        <v/>
      </c>
      <c r="BI52" t="str">
        <f ca="1">IF(AND(ISNUMBER($BI$725),$B$677=1),$BI$725,HLOOKUP(INDIRECT(ADDRESS(2,COLUMN())),OFFSET($BN$2,0,0,ROW()-1,60),ROW()-1,FALSE))</f>
        <v/>
      </c>
      <c r="BJ52" t="str">
        <f ca="1">IF(AND(ISNUMBER($BJ$725),$B$677=1),$BJ$725,HLOOKUP(INDIRECT(ADDRESS(2,COLUMN())),OFFSET($BN$2,0,0,ROW()-1,60),ROW()-1,FALSE))</f>
        <v/>
      </c>
      <c r="BK52" t="str">
        <f ca="1">IF(AND(ISNUMBER($BK$725),$B$677=1),$BK$725,HLOOKUP(INDIRECT(ADDRESS(2,COLUMN())),OFFSET($BN$2,0,0,ROW()-1,60),ROW()-1,FALSE))</f>
        <v/>
      </c>
      <c r="BL52" t="str">
        <f ca="1">IF(AND(ISNUMBER($BL$725),$B$677=1),$BL$725,HLOOKUP(INDIRECT(ADDRESS(2,COLUMN())),OFFSET($BN$2,0,0,ROW()-1,60),ROW()-1,FALSE))</f>
        <v/>
      </c>
      <c r="BM52" t="str">
        <f ca="1">IF(AND(ISNUMBER($BM$725),$B$677=1),$BM$725,HLOOKUP(INDIRECT(ADDRESS(2,COLUMN())),OFFSET($BN$2,0,0,ROW()-1,60),ROW()-1,FALSE))</f>
        <v/>
      </c>
      <c r="BN52" t="str">
        <f>""</f>
        <v/>
      </c>
      <c r="BO52" t="str">
        <f>""</f>
        <v/>
      </c>
      <c r="BP52" t="str">
        <f>""</f>
        <v/>
      </c>
      <c r="BQ52" t="str">
        <f>""</f>
        <v/>
      </c>
      <c r="BR52" t="str">
        <f>""</f>
        <v/>
      </c>
      <c r="BS52" t="str">
        <f>""</f>
        <v/>
      </c>
      <c r="BT52" t="str">
        <f>""</f>
        <v/>
      </c>
      <c r="BU52" t="str">
        <f>""</f>
        <v/>
      </c>
      <c r="BV52" t="str">
        <f>""</f>
        <v/>
      </c>
      <c r="BW52" t="str">
        <f>""</f>
        <v/>
      </c>
      <c r="BX52">
        <f>13.38960981</f>
        <v>13.38960981</v>
      </c>
      <c r="BY52">
        <f>11.35797806</f>
        <v>11.357978060000001</v>
      </c>
      <c r="BZ52">
        <f>13.90910845</f>
        <v>13.90910845</v>
      </c>
      <c r="CA52">
        <f>14.14899121</f>
        <v>14.14899121</v>
      </c>
      <c r="CB52">
        <f>9.514426654</f>
        <v>9.5144266539999993</v>
      </c>
      <c r="CC52">
        <f>11.03241365</f>
        <v>11.032413650000001</v>
      </c>
      <c r="CD52">
        <f>11.80081155</f>
        <v>11.800811550000001</v>
      </c>
      <c r="CE52">
        <f>9.091537213</f>
        <v>9.0915372130000005</v>
      </c>
      <c r="CF52">
        <f>8.415587931</f>
        <v>8.4155879309999992</v>
      </c>
      <c r="CG52">
        <f>9.028428773</f>
        <v>9.0284287729999999</v>
      </c>
      <c r="CH52">
        <f>8.710609934</f>
        <v>8.7106099340000007</v>
      </c>
      <c r="CI52">
        <f>8.117156718</f>
        <v>8.1171567180000004</v>
      </c>
      <c r="CJ52" t="str">
        <f>""</f>
        <v/>
      </c>
      <c r="CK52" t="str">
        <f>""</f>
        <v/>
      </c>
      <c r="CL52" t="str">
        <f>""</f>
        <v/>
      </c>
      <c r="CM52" t="str">
        <f>""</f>
        <v/>
      </c>
      <c r="CN52" t="str">
        <f>""</f>
        <v/>
      </c>
      <c r="CO52" t="str">
        <f>""</f>
        <v/>
      </c>
      <c r="CP52" t="str">
        <f>""</f>
        <v/>
      </c>
      <c r="CQ52" t="str">
        <f>""</f>
        <v/>
      </c>
      <c r="CR52" t="str">
        <f>""</f>
        <v/>
      </c>
      <c r="CS52" t="str">
        <f>""</f>
        <v/>
      </c>
      <c r="CT52" t="str">
        <f>""</f>
        <v/>
      </c>
      <c r="CU52" t="str">
        <f>""</f>
        <v/>
      </c>
      <c r="CV52" t="str">
        <f>""</f>
        <v/>
      </c>
      <c r="CW52" t="str">
        <f>""</f>
        <v/>
      </c>
      <c r="CX52" t="str">
        <f>""</f>
        <v/>
      </c>
      <c r="CY52" t="str">
        <f>""</f>
        <v/>
      </c>
      <c r="CZ52" t="str">
        <f>""</f>
        <v/>
      </c>
      <c r="DA52" t="str">
        <f>""</f>
        <v/>
      </c>
      <c r="DB52" t="str">
        <f>""</f>
        <v/>
      </c>
      <c r="DC52" t="str">
        <f>""</f>
        <v/>
      </c>
      <c r="DD52" t="str">
        <f>""</f>
        <v/>
      </c>
      <c r="DE52" t="str">
        <f>""</f>
        <v/>
      </c>
      <c r="DF52" t="str">
        <f>""</f>
        <v/>
      </c>
      <c r="DG52" t="str">
        <f>""</f>
        <v/>
      </c>
      <c r="DH52" t="str">
        <f>""</f>
        <v/>
      </c>
      <c r="DI52" t="str">
        <f>""</f>
        <v/>
      </c>
      <c r="DJ52" t="str">
        <f>""</f>
        <v/>
      </c>
      <c r="DK52" t="str">
        <f>""</f>
        <v/>
      </c>
      <c r="DL52" t="str">
        <f>""</f>
        <v/>
      </c>
      <c r="DM52" t="str">
        <f>""</f>
        <v/>
      </c>
      <c r="DN52" t="str">
        <f>""</f>
        <v/>
      </c>
      <c r="DO52" t="str">
        <f>""</f>
        <v/>
      </c>
      <c r="DP52" t="str">
        <f>""</f>
        <v/>
      </c>
      <c r="DQ52" t="str">
        <f>""</f>
        <v/>
      </c>
      <c r="DR52" t="str">
        <f>""</f>
        <v/>
      </c>
      <c r="DS52" t="str">
        <f>""</f>
        <v/>
      </c>
      <c r="DT52" t="str">
        <f>""</f>
        <v/>
      </c>
      <c r="DU52" t="str">
        <f>""</f>
        <v/>
      </c>
    </row>
    <row r="53" spans="1:125" x14ac:dyDescent="0.25">
      <c r="A53" t="str">
        <f>"    Daimler AG"</f>
        <v xml:space="preserve">    Daimler AG</v>
      </c>
      <c r="B53" t="str">
        <f>"DAI GR Equity"</f>
        <v>DAI GR Equity</v>
      </c>
      <c r="C53" t="str">
        <f t="shared" si="3"/>
        <v>EZ009</v>
      </c>
      <c r="D53" t="str">
        <f t="shared" si="4"/>
        <v>BEST_EST_PE_CUR_YR</v>
      </c>
      <c r="E53" t="str">
        <f t="shared" si="5"/>
        <v>Dynamic</v>
      </c>
      <c r="F53">
        <f ca="1">IF(AND(ISNUMBER($F$726),$B$677=1),$F$726,HLOOKUP(INDIRECT(ADDRESS(2,COLUMN())),OFFSET($BN$2,0,0,ROW()-1,60),ROW()-1,FALSE))</f>
        <v>6.7352413860000002</v>
      </c>
      <c r="G53">
        <f ca="1">IF(AND(ISNUMBER($G$726),$B$677=1),$G$726,HLOOKUP(INDIRECT(ADDRESS(2,COLUMN())),OFFSET($BN$2,0,0,ROW()-1,60),ROW()-1,FALSE))</f>
        <v>5.5153772219999997</v>
      </c>
      <c r="H53">
        <f ca="1">IF(AND(ISNUMBER($H$726),$B$677=1),$H$726,HLOOKUP(INDIRECT(ADDRESS(2,COLUMN())),OFFSET($BN$2,0,0,ROW()-1,60),ROW()-1,FALSE))</f>
        <v>6.029036906</v>
      </c>
      <c r="I53">
        <f ca="1">IF(AND(ISNUMBER($I$726),$B$677=1),$I$726,HLOOKUP(INDIRECT(ADDRESS(2,COLUMN())),OFFSET($BN$2,0,0,ROW()-1,60),ROW()-1,FALSE))</f>
        <v>5.8264637500000003</v>
      </c>
      <c r="J53">
        <f ca="1">IF(AND(ISNUMBER($J$726),$B$677=1),$J$726,HLOOKUP(INDIRECT(ADDRESS(2,COLUMN())),OFFSET($BN$2,0,0,ROW()-1,60),ROW()-1,FALSE))</f>
        <v>7.2152030910000002</v>
      </c>
      <c r="K53">
        <f ca="1">IF(AND(ISNUMBER($K$726),$B$677=1),$K$726,HLOOKUP(INDIRECT(ADDRESS(2,COLUMN())),OFFSET($BN$2,0,0,ROW()-1,60),ROW()-1,FALSE))</f>
        <v>7.7065418530000001</v>
      </c>
      <c r="L53">
        <f ca="1">IF(AND(ISNUMBER($L$726),$B$677=1),$L$726,HLOOKUP(INDIRECT(ADDRESS(2,COLUMN())),OFFSET($BN$2,0,0,ROW()-1,60),ROW()-1,FALSE))</f>
        <v>7.536653609</v>
      </c>
      <c r="M53">
        <f ca="1">IF(AND(ISNUMBER($M$726),$B$677=1),$M$726,HLOOKUP(INDIRECT(ADDRESS(2,COLUMN())),OFFSET($BN$2,0,0,ROW()-1,60),ROW()-1,FALSE))</f>
        <v>7.0243362830000002</v>
      </c>
      <c r="N53">
        <f ca="1">IF(AND(ISNUMBER($N$726),$B$677=1),$N$726,HLOOKUP(INDIRECT(ADDRESS(2,COLUMN())),OFFSET($BN$2,0,0,ROW()-1,60),ROW()-1,FALSE))</f>
        <v>8.0562033579999994</v>
      </c>
      <c r="O53">
        <f ca="1">IF(AND(ISNUMBER($O$726),$B$677=1),$O$726,HLOOKUP(INDIRECT(ADDRESS(2,COLUMN())),OFFSET($BN$2,0,0,ROW()-1,60),ROW()-1,FALSE))</f>
        <v>10.045454550000001</v>
      </c>
      <c r="P53">
        <f ca="1">IF(AND(ISNUMBER($P$726),$B$677=1),$P$726,HLOOKUP(INDIRECT(ADDRESS(2,COLUMN())),OFFSET($BN$2,0,0,ROW()-1,60),ROW()-1,FALSE))</f>
        <v>6.620179609</v>
      </c>
      <c r="Q53">
        <f ca="1">IF(AND(ISNUMBER($Q$726),$B$677=1),$Q$726,HLOOKUP(INDIRECT(ADDRESS(2,COLUMN())),OFFSET($BN$2,0,0,ROW()-1,60),ROW()-1,FALSE))</f>
        <v>7.4584254139999997</v>
      </c>
      <c r="R53">
        <f ca="1">IF(AND(ISNUMBER($R$726),$B$677=1),$R$726,HLOOKUP(INDIRECT(ADDRESS(2,COLUMN())),OFFSET($BN$2,0,0,ROW()-1,60),ROW()-1,FALSE))</f>
        <v>7.4145054950000002</v>
      </c>
      <c r="S53">
        <f ca="1">IF(AND(ISNUMBER($S$726),$B$677=1),$S$726,HLOOKUP(INDIRECT(ADDRESS(2,COLUMN())),OFFSET($BN$2,0,0,ROW()-1,60),ROW()-1,FALSE))</f>
        <v>8.5563030770000008</v>
      </c>
      <c r="T53">
        <f ca="1">IF(AND(ISNUMBER($T$726),$B$677=1),$T$726,HLOOKUP(INDIRECT(ADDRESS(2,COLUMN())),OFFSET($BN$2,0,0,ROW()-1,60),ROW()-1,FALSE))</f>
        <v>7.4038724370000004</v>
      </c>
      <c r="U53">
        <f ca="1">IF(AND(ISNUMBER($U$726),$B$677=1),$U$726,HLOOKUP(INDIRECT(ADDRESS(2,COLUMN())),OFFSET($BN$2,0,0,ROW()-1,60),ROW()-1,FALSE))</f>
        <v>9.5567190229999994</v>
      </c>
      <c r="V53">
        <f ca="1">IF(AND(ISNUMBER($V$726),$B$677=1),$V$726,HLOOKUP(INDIRECT(ADDRESS(2,COLUMN())),OFFSET($BN$2,0,0,ROW()-1,60),ROW()-1,FALSE))</f>
        <v>10.68328376</v>
      </c>
      <c r="W53" t="str">
        <f ca="1">IF(AND(ISNUMBER($W$726),$B$677=1),$W$726,HLOOKUP(INDIRECT(ADDRESS(2,COLUMN())),OFFSET($BN$2,0,0,ROW()-1,60),ROW()-1,FALSE))</f>
        <v/>
      </c>
      <c r="X53" t="str">
        <f ca="1">IF(AND(ISNUMBER($X$726),$B$677=1),$X$726,HLOOKUP(INDIRECT(ADDRESS(2,COLUMN())),OFFSET($BN$2,0,0,ROW()-1,60),ROW()-1,FALSE))</f>
        <v/>
      </c>
      <c r="Y53" t="str">
        <f ca="1">IF(AND(ISNUMBER($Y$726),$B$677=1),$Y$726,HLOOKUP(INDIRECT(ADDRESS(2,COLUMN())),OFFSET($BN$2,0,0,ROW()-1,60),ROW()-1,FALSE))</f>
        <v/>
      </c>
      <c r="Z53" t="str">
        <f ca="1">IF(AND(ISNUMBER($Z$726),$B$677=1),$Z$726,HLOOKUP(INDIRECT(ADDRESS(2,COLUMN())),OFFSET($BN$2,0,0,ROW()-1,60),ROW()-1,FALSE))</f>
        <v/>
      </c>
      <c r="AA53" t="str">
        <f ca="1">IF(AND(ISNUMBER($AA$726),$B$677=1),$AA$726,HLOOKUP(INDIRECT(ADDRESS(2,COLUMN())),OFFSET($BN$2,0,0,ROW()-1,60),ROW()-1,FALSE))</f>
        <v/>
      </c>
      <c r="AB53" t="str">
        <f ca="1">IF(AND(ISNUMBER($AB$726),$B$677=1),$AB$726,HLOOKUP(INDIRECT(ADDRESS(2,COLUMN())),OFFSET($BN$2,0,0,ROW()-1,60),ROW()-1,FALSE))</f>
        <v/>
      </c>
      <c r="AC53" t="str">
        <f ca="1">IF(AND(ISNUMBER($AC$726),$B$677=1),$AC$726,HLOOKUP(INDIRECT(ADDRESS(2,COLUMN())),OFFSET($BN$2,0,0,ROW()-1,60),ROW()-1,FALSE))</f>
        <v/>
      </c>
      <c r="AD53" t="str">
        <f ca="1">IF(AND(ISNUMBER($AD$726),$B$677=1),$AD$726,HLOOKUP(INDIRECT(ADDRESS(2,COLUMN())),OFFSET($BN$2,0,0,ROW()-1,60),ROW()-1,FALSE))</f>
        <v/>
      </c>
      <c r="AE53" t="str">
        <f ca="1">IF(AND(ISNUMBER($AE$726),$B$677=1),$AE$726,HLOOKUP(INDIRECT(ADDRESS(2,COLUMN())),OFFSET($BN$2,0,0,ROW()-1,60),ROW()-1,FALSE))</f>
        <v/>
      </c>
      <c r="AF53" t="str">
        <f ca="1">IF(AND(ISNUMBER($AF$726),$B$677=1),$AF$726,HLOOKUP(INDIRECT(ADDRESS(2,COLUMN())),OFFSET($BN$2,0,0,ROW()-1,60),ROW()-1,FALSE))</f>
        <v/>
      </c>
      <c r="AG53" t="str">
        <f ca="1">IF(AND(ISNUMBER($AG$726),$B$677=1),$AG$726,HLOOKUP(INDIRECT(ADDRESS(2,COLUMN())),OFFSET($BN$2,0,0,ROW()-1,60),ROW()-1,FALSE))</f>
        <v/>
      </c>
      <c r="AH53" t="str">
        <f ca="1">IF(AND(ISNUMBER($AH$726),$B$677=1),$AH$726,HLOOKUP(INDIRECT(ADDRESS(2,COLUMN())),OFFSET($BN$2,0,0,ROW()-1,60),ROW()-1,FALSE))</f>
        <v/>
      </c>
      <c r="AI53" t="str">
        <f ca="1">IF(AND(ISNUMBER($AI$726),$B$677=1),$AI$726,HLOOKUP(INDIRECT(ADDRESS(2,COLUMN())),OFFSET($BN$2,0,0,ROW()-1,60),ROW()-1,FALSE))</f>
        <v/>
      </c>
      <c r="AJ53" t="str">
        <f ca="1">IF(AND(ISNUMBER($AJ$726),$B$677=1),$AJ$726,HLOOKUP(INDIRECT(ADDRESS(2,COLUMN())),OFFSET($BN$2,0,0,ROW()-1,60),ROW()-1,FALSE))</f>
        <v/>
      </c>
      <c r="AK53" t="str">
        <f ca="1">IF(AND(ISNUMBER($AK$726),$B$677=1),$AK$726,HLOOKUP(INDIRECT(ADDRESS(2,COLUMN())),OFFSET($BN$2,0,0,ROW()-1,60),ROW()-1,FALSE))</f>
        <v/>
      </c>
      <c r="AL53" t="str">
        <f ca="1">IF(AND(ISNUMBER($AL$726),$B$677=1),$AL$726,HLOOKUP(INDIRECT(ADDRESS(2,COLUMN())),OFFSET($BN$2,0,0,ROW()-1,60),ROW()-1,FALSE))</f>
        <v/>
      </c>
      <c r="AM53" t="str">
        <f ca="1">IF(AND(ISNUMBER($AM$726),$B$677=1),$AM$726,HLOOKUP(INDIRECT(ADDRESS(2,COLUMN())),OFFSET($BN$2,0,0,ROW()-1,60),ROW()-1,FALSE))</f>
        <v/>
      </c>
      <c r="AN53" t="str">
        <f ca="1">IF(AND(ISNUMBER($AN$726),$B$677=1),$AN$726,HLOOKUP(INDIRECT(ADDRESS(2,COLUMN())),OFFSET($BN$2,0,0,ROW()-1,60),ROW()-1,FALSE))</f>
        <v/>
      </c>
      <c r="AO53" t="str">
        <f ca="1">IF(AND(ISNUMBER($AO$726),$B$677=1),$AO$726,HLOOKUP(INDIRECT(ADDRESS(2,COLUMN())),OFFSET($BN$2,0,0,ROW()-1,60),ROW()-1,FALSE))</f>
        <v/>
      </c>
      <c r="AP53" t="str">
        <f ca="1">IF(AND(ISNUMBER($AP$726),$B$677=1),$AP$726,HLOOKUP(INDIRECT(ADDRESS(2,COLUMN())),OFFSET($BN$2,0,0,ROW()-1,60),ROW()-1,FALSE))</f>
        <v/>
      </c>
      <c r="AQ53" t="str">
        <f ca="1">IF(AND(ISNUMBER($AQ$726),$B$677=1),$AQ$726,HLOOKUP(INDIRECT(ADDRESS(2,COLUMN())),OFFSET($BN$2,0,0,ROW()-1,60),ROW()-1,FALSE))</f>
        <v/>
      </c>
      <c r="AR53" t="str">
        <f ca="1">IF(AND(ISNUMBER($AR$726),$B$677=1),$AR$726,HLOOKUP(INDIRECT(ADDRESS(2,COLUMN())),OFFSET($BN$2,0,0,ROW()-1,60),ROW()-1,FALSE))</f>
        <v/>
      </c>
      <c r="AS53" t="str">
        <f ca="1">IF(AND(ISNUMBER($AS$726),$B$677=1),$AS$726,HLOOKUP(INDIRECT(ADDRESS(2,COLUMN())),OFFSET($BN$2,0,0,ROW()-1,60),ROW()-1,FALSE))</f>
        <v/>
      </c>
      <c r="AT53" t="str">
        <f ca="1">IF(AND(ISNUMBER($AT$726),$B$677=1),$AT$726,HLOOKUP(INDIRECT(ADDRESS(2,COLUMN())),OFFSET($BN$2,0,0,ROW()-1,60),ROW()-1,FALSE))</f>
        <v/>
      </c>
      <c r="AU53" t="str">
        <f ca="1">IF(AND(ISNUMBER($AU$726),$B$677=1),$AU$726,HLOOKUP(INDIRECT(ADDRESS(2,COLUMN())),OFFSET($BN$2,0,0,ROW()-1,60),ROW()-1,FALSE))</f>
        <v/>
      </c>
      <c r="AV53" t="str">
        <f ca="1">IF(AND(ISNUMBER($AV$726),$B$677=1),$AV$726,HLOOKUP(INDIRECT(ADDRESS(2,COLUMN())),OFFSET($BN$2,0,0,ROW()-1,60),ROW()-1,FALSE))</f>
        <v/>
      </c>
      <c r="AW53" t="str">
        <f ca="1">IF(AND(ISNUMBER($AW$726),$B$677=1),$AW$726,HLOOKUP(INDIRECT(ADDRESS(2,COLUMN())),OFFSET($BN$2,0,0,ROW()-1,60),ROW()-1,FALSE))</f>
        <v/>
      </c>
      <c r="AX53" t="str">
        <f ca="1">IF(AND(ISNUMBER($AX$726),$B$677=1),$AX$726,HLOOKUP(INDIRECT(ADDRESS(2,COLUMN())),OFFSET($BN$2,0,0,ROW()-1,60),ROW()-1,FALSE))</f>
        <v/>
      </c>
      <c r="AY53" t="str">
        <f ca="1">IF(AND(ISNUMBER($AY$726),$B$677=1),$AY$726,HLOOKUP(INDIRECT(ADDRESS(2,COLUMN())),OFFSET($BN$2,0,0,ROW()-1,60),ROW()-1,FALSE))</f>
        <v/>
      </c>
      <c r="AZ53" t="str">
        <f ca="1">IF(AND(ISNUMBER($AZ$726),$B$677=1),$AZ$726,HLOOKUP(INDIRECT(ADDRESS(2,COLUMN())),OFFSET($BN$2,0,0,ROW()-1,60),ROW()-1,FALSE))</f>
        <v/>
      </c>
      <c r="BA53" t="str">
        <f ca="1">IF(AND(ISNUMBER($BA$726),$B$677=1),$BA$726,HLOOKUP(INDIRECT(ADDRESS(2,COLUMN())),OFFSET($BN$2,0,0,ROW()-1,60),ROW()-1,FALSE))</f>
        <v/>
      </c>
      <c r="BB53" t="str">
        <f ca="1">IF(AND(ISNUMBER($BB$726),$B$677=1),$BB$726,HLOOKUP(INDIRECT(ADDRESS(2,COLUMN())),OFFSET($BN$2,0,0,ROW()-1,60),ROW()-1,FALSE))</f>
        <v/>
      </c>
      <c r="BC53" t="str">
        <f ca="1">IF(AND(ISNUMBER($BC$726),$B$677=1),$BC$726,HLOOKUP(INDIRECT(ADDRESS(2,COLUMN())),OFFSET($BN$2,0,0,ROW()-1,60),ROW()-1,FALSE))</f>
        <v/>
      </c>
      <c r="BD53" t="str">
        <f ca="1">IF(AND(ISNUMBER($BD$726),$B$677=1),$BD$726,HLOOKUP(INDIRECT(ADDRESS(2,COLUMN())),OFFSET($BN$2,0,0,ROW()-1,60),ROW()-1,FALSE))</f>
        <v/>
      </c>
      <c r="BE53" t="str">
        <f ca="1">IF(AND(ISNUMBER($BE$726),$B$677=1),$BE$726,HLOOKUP(INDIRECT(ADDRESS(2,COLUMN())),OFFSET($BN$2,0,0,ROW()-1,60),ROW()-1,FALSE))</f>
        <v/>
      </c>
      <c r="BF53" t="str">
        <f ca="1">IF(AND(ISNUMBER($BF$726),$B$677=1),$BF$726,HLOOKUP(INDIRECT(ADDRESS(2,COLUMN())),OFFSET($BN$2,0,0,ROW()-1,60),ROW()-1,FALSE))</f>
        <v/>
      </c>
      <c r="BG53" t="str">
        <f ca="1">IF(AND(ISNUMBER($BG$726),$B$677=1),$BG$726,HLOOKUP(INDIRECT(ADDRESS(2,COLUMN())),OFFSET($BN$2,0,0,ROW()-1,60),ROW()-1,FALSE))</f>
        <v/>
      </c>
      <c r="BH53" t="str">
        <f ca="1">IF(AND(ISNUMBER($BH$726),$B$677=1),$BH$726,HLOOKUP(INDIRECT(ADDRESS(2,COLUMN())),OFFSET($BN$2,0,0,ROW()-1,60),ROW()-1,FALSE))</f>
        <v/>
      </c>
      <c r="BI53" t="str">
        <f ca="1">IF(AND(ISNUMBER($BI$726),$B$677=1),$BI$726,HLOOKUP(INDIRECT(ADDRESS(2,COLUMN())),OFFSET($BN$2,0,0,ROW()-1,60),ROW()-1,FALSE))</f>
        <v/>
      </c>
      <c r="BJ53" t="str">
        <f ca="1">IF(AND(ISNUMBER($BJ$726),$B$677=1),$BJ$726,HLOOKUP(INDIRECT(ADDRESS(2,COLUMN())),OFFSET($BN$2,0,0,ROW()-1,60),ROW()-1,FALSE))</f>
        <v/>
      </c>
      <c r="BK53" t="str">
        <f ca="1">IF(AND(ISNUMBER($BK$726),$B$677=1),$BK$726,HLOOKUP(INDIRECT(ADDRESS(2,COLUMN())),OFFSET($BN$2,0,0,ROW()-1,60),ROW()-1,FALSE))</f>
        <v/>
      </c>
      <c r="BL53" t="str">
        <f ca="1">IF(AND(ISNUMBER($BL$726),$B$677=1),$BL$726,HLOOKUP(INDIRECT(ADDRESS(2,COLUMN())),OFFSET($BN$2,0,0,ROW()-1,60),ROW()-1,FALSE))</f>
        <v/>
      </c>
      <c r="BM53" t="str">
        <f ca="1">IF(AND(ISNUMBER($BM$726),$B$677=1),$BM$726,HLOOKUP(INDIRECT(ADDRESS(2,COLUMN())),OFFSET($BN$2,0,0,ROW()-1,60),ROW()-1,FALSE))</f>
        <v/>
      </c>
      <c r="BN53">
        <f>6.735241386</f>
        <v>6.7352413860000002</v>
      </c>
      <c r="BO53">
        <f>5.515377222</f>
        <v>5.5153772219999997</v>
      </c>
      <c r="BP53">
        <f>6.029036906</f>
        <v>6.029036906</v>
      </c>
      <c r="BQ53">
        <f>5.82646375</f>
        <v>5.8264637500000003</v>
      </c>
      <c r="BR53">
        <f>7.215203091</f>
        <v>7.2152030910000002</v>
      </c>
      <c r="BS53">
        <f>7.706541853</f>
        <v>7.7065418530000001</v>
      </c>
      <c r="BT53">
        <f>7.536653609</f>
        <v>7.536653609</v>
      </c>
      <c r="BU53">
        <f>7.024336283</f>
        <v>7.0243362830000002</v>
      </c>
      <c r="BV53">
        <f>8.056203358</f>
        <v>8.0562033579999994</v>
      </c>
      <c r="BW53">
        <f>10.04545455</f>
        <v>10.045454550000001</v>
      </c>
      <c r="BX53">
        <f>6.620179609</f>
        <v>6.620179609</v>
      </c>
      <c r="BY53">
        <f>7.458425414</f>
        <v>7.4584254139999997</v>
      </c>
      <c r="BZ53">
        <f>7.414505495</f>
        <v>7.4145054950000002</v>
      </c>
      <c r="CA53">
        <f>8.556303077</f>
        <v>8.5563030770000008</v>
      </c>
      <c r="CB53">
        <f>7.403872437</f>
        <v>7.4038724370000004</v>
      </c>
      <c r="CC53">
        <f>9.556719023</f>
        <v>9.5567190229999994</v>
      </c>
      <c r="CD53">
        <f>10.68328376</f>
        <v>10.68328376</v>
      </c>
      <c r="CE53" t="str">
        <f>""</f>
        <v/>
      </c>
      <c r="CF53" t="str">
        <f>""</f>
        <v/>
      </c>
      <c r="CG53" t="str">
        <f>""</f>
        <v/>
      </c>
      <c r="CH53" t="str">
        <f>""</f>
        <v/>
      </c>
      <c r="CI53" t="str">
        <f>""</f>
        <v/>
      </c>
      <c r="CJ53" t="str">
        <f>""</f>
        <v/>
      </c>
      <c r="CK53" t="str">
        <f>""</f>
        <v/>
      </c>
      <c r="CL53" t="str">
        <f>""</f>
        <v/>
      </c>
      <c r="CM53" t="str">
        <f>""</f>
        <v/>
      </c>
      <c r="CN53" t="str">
        <f>""</f>
        <v/>
      </c>
      <c r="CO53" t="str">
        <f>""</f>
        <v/>
      </c>
      <c r="CP53" t="str">
        <f>""</f>
        <v/>
      </c>
      <c r="CQ53" t="str">
        <f>""</f>
        <v/>
      </c>
      <c r="CR53" t="str">
        <f>""</f>
        <v/>
      </c>
      <c r="CS53" t="str">
        <f>""</f>
        <v/>
      </c>
      <c r="CT53" t="str">
        <f>""</f>
        <v/>
      </c>
      <c r="CU53" t="str">
        <f>""</f>
        <v/>
      </c>
      <c r="CV53" t="str">
        <f>""</f>
        <v/>
      </c>
      <c r="CW53" t="str">
        <f>""</f>
        <v/>
      </c>
      <c r="CX53" t="str">
        <f>""</f>
        <v/>
      </c>
      <c r="CY53" t="str">
        <f>""</f>
        <v/>
      </c>
      <c r="CZ53" t="str">
        <f>""</f>
        <v/>
      </c>
      <c r="DA53" t="str">
        <f>""</f>
        <v/>
      </c>
      <c r="DB53" t="str">
        <f>""</f>
        <v/>
      </c>
      <c r="DC53" t="str">
        <f>""</f>
        <v/>
      </c>
      <c r="DD53" t="str">
        <f>""</f>
        <v/>
      </c>
      <c r="DE53" t="str">
        <f>""</f>
        <v/>
      </c>
      <c r="DF53" t="str">
        <f>""</f>
        <v/>
      </c>
      <c r="DG53" t="str">
        <f>""</f>
        <v/>
      </c>
      <c r="DH53" t="str">
        <f>""</f>
        <v/>
      </c>
      <c r="DI53" t="str">
        <f>""</f>
        <v/>
      </c>
      <c r="DJ53" t="str">
        <f>""</f>
        <v/>
      </c>
      <c r="DK53" t="str">
        <f>""</f>
        <v/>
      </c>
      <c r="DL53" t="str">
        <f>""</f>
        <v/>
      </c>
      <c r="DM53" t="str">
        <f>""</f>
        <v/>
      </c>
      <c r="DN53" t="str">
        <f>""</f>
        <v/>
      </c>
      <c r="DO53" t="str">
        <f>""</f>
        <v/>
      </c>
      <c r="DP53" t="str">
        <f>""</f>
        <v/>
      </c>
      <c r="DQ53" t="str">
        <f>""</f>
        <v/>
      </c>
      <c r="DR53" t="str">
        <f>""</f>
        <v/>
      </c>
      <c r="DS53" t="str">
        <f>""</f>
        <v/>
      </c>
      <c r="DT53" t="str">
        <f>""</f>
        <v/>
      </c>
      <c r="DU53" t="str">
        <f>""</f>
        <v/>
      </c>
    </row>
    <row r="54" spans="1:125" x14ac:dyDescent="0.25">
      <c r="A54" t="str">
        <f>"    Dongfeng Motor Group Co Ltd"</f>
        <v xml:space="preserve">    Dongfeng Motor Group Co Ltd</v>
      </c>
      <c r="B54" t="str">
        <f>"489 HK Equity"</f>
        <v>489 HK Equity</v>
      </c>
      <c r="C54" t="str">
        <f t="shared" si="3"/>
        <v>EZ009</v>
      </c>
      <c r="D54" t="str">
        <f t="shared" si="4"/>
        <v>BEST_EST_PE_CUR_YR</v>
      </c>
      <c r="E54" t="str">
        <f t="shared" si="5"/>
        <v>Dynamic</v>
      </c>
      <c r="F54">
        <f ca="1">IF(AND(ISNUMBER($F$727),$B$677=1),$F$727,HLOOKUP(INDIRECT(ADDRESS(2,COLUMN())),OFFSET($BN$2,0,0,ROW()-1,60),ROW()-1,FALSE))</f>
        <v>4.3336770859999998</v>
      </c>
      <c r="G54">
        <f ca="1">IF(AND(ISNUMBER($G$727),$B$677=1),$G$727,HLOOKUP(INDIRECT(ADDRESS(2,COLUMN())),OFFSET($BN$2,0,0,ROW()-1,60),ROW()-1,FALSE))</f>
        <v>3.7653728690000001</v>
      </c>
      <c r="H54">
        <f ca="1">IF(AND(ISNUMBER($H$727),$B$677=1),$H$727,HLOOKUP(INDIRECT(ADDRESS(2,COLUMN())),OFFSET($BN$2,0,0,ROW()-1,60),ROW()-1,FALSE))</f>
        <v>4.1888338589999998</v>
      </c>
      <c r="I54">
        <f ca="1">IF(AND(ISNUMBER($I$727),$B$677=1),$I$727,HLOOKUP(INDIRECT(ADDRESS(2,COLUMN())),OFFSET($BN$2,0,0,ROW()-1,60),ROW()-1,FALSE))</f>
        <v>4.325312308</v>
      </c>
      <c r="J54">
        <f ca="1">IF(AND(ISNUMBER($J$727),$B$677=1),$J$727,HLOOKUP(INDIRECT(ADDRESS(2,COLUMN())),OFFSET($BN$2,0,0,ROW()-1,60),ROW()-1,FALSE))</f>
        <v>4.5586729369999999</v>
      </c>
      <c r="K54">
        <f ca="1">IF(AND(ISNUMBER($K$727),$B$677=1),$K$727,HLOOKUP(INDIRECT(ADDRESS(2,COLUMN())),OFFSET($BN$2,0,0,ROW()-1,60),ROW()-1,FALSE))</f>
        <v>4.8456547350000001</v>
      </c>
      <c r="L54">
        <f ca="1">IF(AND(ISNUMBER($L$727),$B$677=1),$L$727,HLOOKUP(INDIRECT(ADDRESS(2,COLUMN())),OFFSET($BN$2,0,0,ROW()-1,60),ROW()-1,FALSE))</f>
        <v>5.4072935639999997</v>
      </c>
      <c r="M54">
        <f ca="1">IF(AND(ISNUMBER($M$727),$B$677=1),$M$727,HLOOKUP(INDIRECT(ADDRESS(2,COLUMN())),OFFSET($BN$2,0,0,ROW()-1,60),ROW()-1,FALSE))</f>
        <v>5.0849334309999996</v>
      </c>
      <c r="N54">
        <f ca="1">IF(AND(ISNUMBER($N$727),$B$677=1),$N$727,HLOOKUP(INDIRECT(ADDRESS(2,COLUMN())),OFFSET($BN$2,0,0,ROW()-1,60),ROW()-1,FALSE))</f>
        <v>4.9908595660000001</v>
      </c>
      <c r="O54">
        <f ca="1">IF(AND(ISNUMBER($O$727),$B$677=1),$O$727,HLOOKUP(INDIRECT(ADDRESS(2,COLUMN())),OFFSET($BN$2,0,0,ROW()-1,60),ROW()-1,FALSE))</f>
        <v>4.4602438839999996</v>
      </c>
      <c r="P54">
        <f ca="1">IF(AND(ISNUMBER($P$727),$B$677=1),$P$727,HLOOKUP(INDIRECT(ADDRESS(2,COLUMN())),OFFSET($BN$2,0,0,ROW()-1,60),ROW()-1,FALSE))</f>
        <v>4.3060675750000001</v>
      </c>
      <c r="Q54">
        <f ca="1">IF(AND(ISNUMBER($Q$727),$B$677=1),$Q$727,HLOOKUP(INDIRECT(ADDRESS(2,COLUMN())),OFFSET($BN$2,0,0,ROW()-1,60),ROW()-1,FALSE))</f>
        <v>4.5291872</v>
      </c>
      <c r="R54">
        <f ca="1">IF(AND(ISNUMBER($R$727),$B$677=1),$R$727,HLOOKUP(INDIRECT(ADDRESS(2,COLUMN())),OFFSET($BN$2,0,0,ROW()-1,60),ROW()-1,FALSE))</f>
        <v>5.5387150839999997</v>
      </c>
      <c r="S54">
        <f ca="1">IF(AND(ISNUMBER($S$727),$B$677=1),$S$727,HLOOKUP(INDIRECT(ADDRESS(2,COLUMN())),OFFSET($BN$2,0,0,ROW()-1,60),ROW()-1,FALSE))</f>
        <v>7.4121458809999998</v>
      </c>
      <c r="T54">
        <f ca="1">IF(AND(ISNUMBER($T$727),$B$677=1),$T$727,HLOOKUP(INDIRECT(ADDRESS(2,COLUMN())),OFFSET($BN$2,0,0,ROW()-1,60),ROW()-1,FALSE))</f>
        <v>7.9962672020000003</v>
      </c>
      <c r="U54">
        <f ca="1">IF(AND(ISNUMBER($U$727),$B$677=1),$U$727,HLOOKUP(INDIRECT(ADDRESS(2,COLUMN())),OFFSET($BN$2,0,0,ROW()-1,60),ROW()-1,FALSE))</f>
        <v>4.619911707</v>
      </c>
      <c r="V54">
        <f ca="1">IF(AND(ISNUMBER($V$727),$B$677=1),$V$727,HLOOKUP(INDIRECT(ADDRESS(2,COLUMN())),OFFSET($BN$2,0,0,ROW()-1,60),ROW()-1,FALSE))</f>
        <v>5.0511087610000001</v>
      </c>
      <c r="W54">
        <f ca="1">IF(AND(ISNUMBER($W$727),$B$677=1),$W$727,HLOOKUP(INDIRECT(ADDRESS(2,COLUMN())),OFFSET($BN$2,0,0,ROW()-1,60),ROW()-1,FALSE))</f>
        <v>4.1075050199999996</v>
      </c>
      <c r="X54" t="str">
        <f ca="1">IF(AND(ISNUMBER($X$727),$B$677=1),$X$727,HLOOKUP(INDIRECT(ADDRESS(2,COLUMN())),OFFSET($BN$2,0,0,ROW()-1,60),ROW()-1,FALSE))</f>
        <v/>
      </c>
      <c r="Y54" t="str">
        <f ca="1">IF(AND(ISNUMBER($Y$727),$B$677=1),$Y$727,HLOOKUP(INDIRECT(ADDRESS(2,COLUMN())),OFFSET($BN$2,0,0,ROW()-1,60),ROW()-1,FALSE))</f>
        <v/>
      </c>
      <c r="Z54" t="str">
        <f ca="1">IF(AND(ISNUMBER($Z$727),$B$677=1),$Z$727,HLOOKUP(INDIRECT(ADDRESS(2,COLUMN())),OFFSET($BN$2,0,0,ROW()-1,60),ROW()-1,FALSE))</f>
        <v/>
      </c>
      <c r="AA54" t="str">
        <f ca="1">IF(AND(ISNUMBER($AA$727),$B$677=1),$AA$727,HLOOKUP(INDIRECT(ADDRESS(2,COLUMN())),OFFSET($BN$2,0,0,ROW()-1,60),ROW()-1,FALSE))</f>
        <v/>
      </c>
      <c r="AB54" t="str">
        <f ca="1">IF(AND(ISNUMBER($AB$727),$B$677=1),$AB$727,HLOOKUP(INDIRECT(ADDRESS(2,COLUMN())),OFFSET($BN$2,0,0,ROW()-1,60),ROW()-1,FALSE))</f>
        <v/>
      </c>
      <c r="AC54" t="str">
        <f ca="1">IF(AND(ISNUMBER($AC$727),$B$677=1),$AC$727,HLOOKUP(INDIRECT(ADDRESS(2,COLUMN())),OFFSET($BN$2,0,0,ROW()-1,60),ROW()-1,FALSE))</f>
        <v/>
      </c>
      <c r="AD54" t="str">
        <f ca="1">IF(AND(ISNUMBER($AD$727),$B$677=1),$AD$727,HLOOKUP(INDIRECT(ADDRESS(2,COLUMN())),OFFSET($BN$2,0,0,ROW()-1,60),ROW()-1,FALSE))</f>
        <v/>
      </c>
      <c r="AE54" t="str">
        <f ca="1">IF(AND(ISNUMBER($AE$727),$B$677=1),$AE$727,HLOOKUP(INDIRECT(ADDRESS(2,COLUMN())),OFFSET($BN$2,0,0,ROW()-1,60),ROW()-1,FALSE))</f>
        <v/>
      </c>
      <c r="AF54" t="str">
        <f ca="1">IF(AND(ISNUMBER($AF$727),$B$677=1),$AF$727,HLOOKUP(INDIRECT(ADDRESS(2,COLUMN())),OFFSET($BN$2,0,0,ROW()-1,60),ROW()-1,FALSE))</f>
        <v/>
      </c>
      <c r="AG54" t="str">
        <f ca="1">IF(AND(ISNUMBER($AG$727),$B$677=1),$AG$727,HLOOKUP(INDIRECT(ADDRESS(2,COLUMN())),OFFSET($BN$2,0,0,ROW()-1,60),ROW()-1,FALSE))</f>
        <v/>
      </c>
      <c r="AH54" t="str">
        <f ca="1">IF(AND(ISNUMBER($AH$727),$B$677=1),$AH$727,HLOOKUP(INDIRECT(ADDRESS(2,COLUMN())),OFFSET($BN$2,0,0,ROW()-1,60),ROW()-1,FALSE))</f>
        <v/>
      </c>
      <c r="AI54" t="str">
        <f ca="1">IF(AND(ISNUMBER($AI$727),$B$677=1),$AI$727,HLOOKUP(INDIRECT(ADDRESS(2,COLUMN())),OFFSET($BN$2,0,0,ROW()-1,60),ROW()-1,FALSE))</f>
        <v/>
      </c>
      <c r="AJ54" t="str">
        <f ca="1">IF(AND(ISNUMBER($AJ$727),$B$677=1),$AJ$727,HLOOKUP(INDIRECT(ADDRESS(2,COLUMN())),OFFSET($BN$2,0,0,ROW()-1,60),ROW()-1,FALSE))</f>
        <v/>
      </c>
      <c r="AK54" t="str">
        <f ca="1">IF(AND(ISNUMBER($AK$727),$B$677=1),$AK$727,HLOOKUP(INDIRECT(ADDRESS(2,COLUMN())),OFFSET($BN$2,0,0,ROW()-1,60),ROW()-1,FALSE))</f>
        <v/>
      </c>
      <c r="AL54" t="str">
        <f ca="1">IF(AND(ISNUMBER($AL$727),$B$677=1),$AL$727,HLOOKUP(INDIRECT(ADDRESS(2,COLUMN())),OFFSET($BN$2,0,0,ROW()-1,60),ROW()-1,FALSE))</f>
        <v/>
      </c>
      <c r="AM54" t="str">
        <f ca="1">IF(AND(ISNUMBER($AM$727),$B$677=1),$AM$727,HLOOKUP(INDIRECT(ADDRESS(2,COLUMN())),OFFSET($BN$2,0,0,ROW()-1,60),ROW()-1,FALSE))</f>
        <v/>
      </c>
      <c r="AN54" t="str">
        <f ca="1">IF(AND(ISNUMBER($AN$727),$B$677=1),$AN$727,HLOOKUP(INDIRECT(ADDRESS(2,COLUMN())),OFFSET($BN$2,0,0,ROW()-1,60),ROW()-1,FALSE))</f>
        <v/>
      </c>
      <c r="AO54" t="str">
        <f ca="1">IF(AND(ISNUMBER($AO$727),$B$677=1),$AO$727,HLOOKUP(INDIRECT(ADDRESS(2,COLUMN())),OFFSET($BN$2,0,0,ROW()-1,60),ROW()-1,FALSE))</f>
        <v/>
      </c>
      <c r="AP54" t="str">
        <f ca="1">IF(AND(ISNUMBER($AP$727),$B$677=1),$AP$727,HLOOKUP(INDIRECT(ADDRESS(2,COLUMN())),OFFSET($BN$2,0,0,ROW()-1,60),ROW()-1,FALSE))</f>
        <v/>
      </c>
      <c r="AQ54" t="str">
        <f ca="1">IF(AND(ISNUMBER($AQ$727),$B$677=1),$AQ$727,HLOOKUP(INDIRECT(ADDRESS(2,COLUMN())),OFFSET($BN$2,0,0,ROW()-1,60),ROW()-1,FALSE))</f>
        <v/>
      </c>
      <c r="AR54" t="str">
        <f ca="1">IF(AND(ISNUMBER($AR$727),$B$677=1),$AR$727,HLOOKUP(INDIRECT(ADDRESS(2,COLUMN())),OFFSET($BN$2,0,0,ROW()-1,60),ROW()-1,FALSE))</f>
        <v/>
      </c>
      <c r="AS54" t="str">
        <f ca="1">IF(AND(ISNUMBER($AS$727),$B$677=1),$AS$727,HLOOKUP(INDIRECT(ADDRESS(2,COLUMN())),OFFSET($BN$2,0,0,ROW()-1,60),ROW()-1,FALSE))</f>
        <v/>
      </c>
      <c r="AT54" t="str">
        <f ca="1">IF(AND(ISNUMBER($AT$727),$B$677=1),$AT$727,HLOOKUP(INDIRECT(ADDRESS(2,COLUMN())),OFFSET($BN$2,0,0,ROW()-1,60),ROW()-1,FALSE))</f>
        <v/>
      </c>
      <c r="AU54" t="str">
        <f ca="1">IF(AND(ISNUMBER($AU$727),$B$677=1),$AU$727,HLOOKUP(INDIRECT(ADDRESS(2,COLUMN())),OFFSET($BN$2,0,0,ROW()-1,60),ROW()-1,FALSE))</f>
        <v/>
      </c>
      <c r="AV54" t="str">
        <f ca="1">IF(AND(ISNUMBER($AV$727),$B$677=1),$AV$727,HLOOKUP(INDIRECT(ADDRESS(2,COLUMN())),OFFSET($BN$2,0,0,ROW()-1,60),ROW()-1,FALSE))</f>
        <v/>
      </c>
      <c r="AW54" t="str">
        <f ca="1">IF(AND(ISNUMBER($AW$727),$B$677=1),$AW$727,HLOOKUP(INDIRECT(ADDRESS(2,COLUMN())),OFFSET($BN$2,0,0,ROW()-1,60),ROW()-1,FALSE))</f>
        <v/>
      </c>
      <c r="AX54" t="str">
        <f ca="1">IF(AND(ISNUMBER($AX$727),$B$677=1),$AX$727,HLOOKUP(INDIRECT(ADDRESS(2,COLUMN())),OFFSET($BN$2,0,0,ROW()-1,60),ROW()-1,FALSE))</f>
        <v/>
      </c>
      <c r="AY54" t="str">
        <f ca="1">IF(AND(ISNUMBER($AY$727),$B$677=1),$AY$727,HLOOKUP(INDIRECT(ADDRESS(2,COLUMN())),OFFSET($BN$2,0,0,ROW()-1,60),ROW()-1,FALSE))</f>
        <v/>
      </c>
      <c r="AZ54" t="str">
        <f ca="1">IF(AND(ISNUMBER($AZ$727),$B$677=1),$AZ$727,HLOOKUP(INDIRECT(ADDRESS(2,COLUMN())),OFFSET($BN$2,0,0,ROW()-1,60),ROW()-1,FALSE))</f>
        <v/>
      </c>
      <c r="BA54" t="str">
        <f ca="1">IF(AND(ISNUMBER($BA$727),$B$677=1),$BA$727,HLOOKUP(INDIRECT(ADDRESS(2,COLUMN())),OFFSET($BN$2,0,0,ROW()-1,60),ROW()-1,FALSE))</f>
        <v/>
      </c>
      <c r="BB54" t="str">
        <f ca="1">IF(AND(ISNUMBER($BB$727),$B$677=1),$BB$727,HLOOKUP(INDIRECT(ADDRESS(2,COLUMN())),OFFSET($BN$2,0,0,ROW()-1,60),ROW()-1,FALSE))</f>
        <v/>
      </c>
      <c r="BC54" t="str">
        <f ca="1">IF(AND(ISNUMBER($BC$727),$B$677=1),$BC$727,HLOOKUP(INDIRECT(ADDRESS(2,COLUMN())),OFFSET($BN$2,0,0,ROW()-1,60),ROW()-1,FALSE))</f>
        <v/>
      </c>
      <c r="BD54" t="str">
        <f ca="1">IF(AND(ISNUMBER($BD$727),$B$677=1),$BD$727,HLOOKUP(INDIRECT(ADDRESS(2,COLUMN())),OFFSET($BN$2,0,0,ROW()-1,60),ROW()-1,FALSE))</f>
        <v/>
      </c>
      <c r="BE54" t="str">
        <f ca="1">IF(AND(ISNUMBER($BE$727),$B$677=1),$BE$727,HLOOKUP(INDIRECT(ADDRESS(2,COLUMN())),OFFSET($BN$2,0,0,ROW()-1,60),ROW()-1,FALSE))</f>
        <v/>
      </c>
      <c r="BF54" t="str">
        <f ca="1">IF(AND(ISNUMBER($BF$727),$B$677=1),$BF$727,HLOOKUP(INDIRECT(ADDRESS(2,COLUMN())),OFFSET($BN$2,0,0,ROW()-1,60),ROW()-1,FALSE))</f>
        <v/>
      </c>
      <c r="BG54" t="str">
        <f ca="1">IF(AND(ISNUMBER($BG$727),$B$677=1),$BG$727,HLOOKUP(INDIRECT(ADDRESS(2,COLUMN())),OFFSET($BN$2,0,0,ROW()-1,60),ROW()-1,FALSE))</f>
        <v/>
      </c>
      <c r="BH54" t="str">
        <f ca="1">IF(AND(ISNUMBER($BH$727),$B$677=1),$BH$727,HLOOKUP(INDIRECT(ADDRESS(2,COLUMN())),OFFSET($BN$2,0,0,ROW()-1,60),ROW()-1,FALSE))</f>
        <v/>
      </c>
      <c r="BI54" t="str">
        <f ca="1">IF(AND(ISNUMBER($BI$727),$B$677=1),$BI$727,HLOOKUP(INDIRECT(ADDRESS(2,COLUMN())),OFFSET($BN$2,0,0,ROW()-1,60),ROW()-1,FALSE))</f>
        <v/>
      </c>
      <c r="BJ54" t="str">
        <f ca="1">IF(AND(ISNUMBER($BJ$727),$B$677=1),$BJ$727,HLOOKUP(INDIRECT(ADDRESS(2,COLUMN())),OFFSET($BN$2,0,0,ROW()-1,60),ROW()-1,FALSE))</f>
        <v/>
      </c>
      <c r="BK54" t="str">
        <f ca="1">IF(AND(ISNUMBER($BK$727),$B$677=1),$BK$727,HLOOKUP(INDIRECT(ADDRESS(2,COLUMN())),OFFSET($BN$2,0,0,ROW()-1,60),ROW()-1,FALSE))</f>
        <v/>
      </c>
      <c r="BL54" t="str">
        <f ca="1">IF(AND(ISNUMBER($BL$727),$B$677=1),$BL$727,HLOOKUP(INDIRECT(ADDRESS(2,COLUMN())),OFFSET($BN$2,0,0,ROW()-1,60),ROW()-1,FALSE))</f>
        <v/>
      </c>
      <c r="BM54" t="str">
        <f ca="1">IF(AND(ISNUMBER($BM$727),$B$677=1),$BM$727,HLOOKUP(INDIRECT(ADDRESS(2,COLUMN())),OFFSET($BN$2,0,0,ROW()-1,60),ROW()-1,FALSE))</f>
        <v/>
      </c>
      <c r="BN54">
        <f>4.333677086</f>
        <v>4.3336770859999998</v>
      </c>
      <c r="BO54">
        <f>3.765372869</f>
        <v>3.7653728690000001</v>
      </c>
      <c r="BP54">
        <f>4.188833859</f>
        <v>4.1888338589999998</v>
      </c>
      <c r="BQ54">
        <f>4.325312308</f>
        <v>4.325312308</v>
      </c>
      <c r="BR54">
        <f>4.558672937</f>
        <v>4.5586729369999999</v>
      </c>
      <c r="BS54">
        <f>4.845654735</f>
        <v>4.8456547350000001</v>
      </c>
      <c r="BT54">
        <f>5.407293564</f>
        <v>5.4072935639999997</v>
      </c>
      <c r="BU54">
        <f>5.084933431</f>
        <v>5.0849334309999996</v>
      </c>
      <c r="BV54">
        <f>4.990859566</f>
        <v>4.9908595660000001</v>
      </c>
      <c r="BW54">
        <f>4.460243884</f>
        <v>4.4602438839999996</v>
      </c>
      <c r="BX54">
        <f>4.306067575</f>
        <v>4.3060675750000001</v>
      </c>
      <c r="BY54">
        <f>4.5291872</f>
        <v>4.5291872</v>
      </c>
      <c r="BZ54">
        <f>5.538715084</f>
        <v>5.5387150839999997</v>
      </c>
      <c r="CA54">
        <f>7.412145881</f>
        <v>7.4121458809999998</v>
      </c>
      <c r="CB54">
        <f>7.996267202</f>
        <v>7.9962672020000003</v>
      </c>
      <c r="CC54">
        <f>4.619911707</f>
        <v>4.619911707</v>
      </c>
      <c r="CD54">
        <f>5.051108761</f>
        <v>5.0511087610000001</v>
      </c>
      <c r="CE54">
        <f>4.10750502</f>
        <v>4.1075050199999996</v>
      </c>
      <c r="CF54" t="str">
        <f>""</f>
        <v/>
      </c>
      <c r="CG54" t="str">
        <f>""</f>
        <v/>
      </c>
      <c r="CH54" t="str">
        <f>""</f>
        <v/>
      </c>
      <c r="CI54" t="str">
        <f>""</f>
        <v/>
      </c>
      <c r="CJ54" t="str">
        <f>""</f>
        <v/>
      </c>
      <c r="CK54" t="str">
        <f>""</f>
        <v/>
      </c>
      <c r="CL54" t="str">
        <f>""</f>
        <v/>
      </c>
      <c r="CM54" t="str">
        <f>""</f>
        <v/>
      </c>
      <c r="CN54" t="str">
        <f>""</f>
        <v/>
      </c>
      <c r="CO54" t="str">
        <f>""</f>
        <v/>
      </c>
      <c r="CP54" t="str">
        <f>""</f>
        <v/>
      </c>
      <c r="CQ54" t="str">
        <f>""</f>
        <v/>
      </c>
      <c r="CR54" t="str">
        <f>""</f>
        <v/>
      </c>
      <c r="CS54" t="str">
        <f>""</f>
        <v/>
      </c>
      <c r="CT54" t="str">
        <f>""</f>
        <v/>
      </c>
      <c r="CU54" t="str">
        <f>""</f>
        <v/>
      </c>
      <c r="CV54" t="str">
        <f>""</f>
        <v/>
      </c>
      <c r="CW54" t="str">
        <f>""</f>
        <v/>
      </c>
      <c r="CX54" t="str">
        <f>""</f>
        <v/>
      </c>
      <c r="CY54" t="str">
        <f>""</f>
        <v/>
      </c>
      <c r="CZ54" t="str">
        <f>""</f>
        <v/>
      </c>
      <c r="DA54" t="str">
        <f>""</f>
        <v/>
      </c>
      <c r="DB54" t="str">
        <f>""</f>
        <v/>
      </c>
      <c r="DC54" t="str">
        <f>""</f>
        <v/>
      </c>
      <c r="DD54" t="str">
        <f>""</f>
        <v/>
      </c>
      <c r="DE54" t="str">
        <f>""</f>
        <v/>
      </c>
      <c r="DF54" t="str">
        <f>""</f>
        <v/>
      </c>
      <c r="DG54" t="str">
        <f>""</f>
        <v/>
      </c>
      <c r="DH54" t="str">
        <f>""</f>
        <v/>
      </c>
      <c r="DI54" t="str">
        <f>""</f>
        <v/>
      </c>
      <c r="DJ54" t="str">
        <f>""</f>
        <v/>
      </c>
      <c r="DK54" t="str">
        <f>""</f>
        <v/>
      </c>
      <c r="DL54" t="str">
        <f>""</f>
        <v/>
      </c>
      <c r="DM54" t="str">
        <f>""</f>
        <v/>
      </c>
      <c r="DN54" t="str">
        <f>""</f>
        <v/>
      </c>
      <c r="DO54" t="str">
        <f>""</f>
        <v/>
      </c>
      <c r="DP54" t="str">
        <f>""</f>
        <v/>
      </c>
      <c r="DQ54" t="str">
        <f>""</f>
        <v/>
      </c>
      <c r="DR54" t="str">
        <f>""</f>
        <v/>
      </c>
      <c r="DS54" t="str">
        <f>""</f>
        <v/>
      </c>
      <c r="DT54" t="str">
        <f>""</f>
        <v/>
      </c>
      <c r="DU54" t="str">
        <f>""</f>
        <v/>
      </c>
    </row>
    <row r="55" spans="1:125" x14ac:dyDescent="0.25">
      <c r="A55" t="str">
        <f>"    DRB-Hicom Bhd"</f>
        <v xml:space="preserve">    DRB-Hicom Bhd</v>
      </c>
      <c r="B55" t="str">
        <f>"DRB MK Equity"</f>
        <v>DRB MK Equity</v>
      </c>
      <c r="C55" t="str">
        <f t="shared" si="3"/>
        <v>EZ009</v>
      </c>
      <c r="D55" t="str">
        <f t="shared" si="4"/>
        <v>BEST_EST_PE_CUR_YR</v>
      </c>
      <c r="E55" t="str">
        <f t="shared" si="5"/>
        <v>Dynamic</v>
      </c>
      <c r="F55">
        <f ca="1">IF(AND(ISNUMBER($F$728),$B$677=1),$F$728,HLOOKUP(INDIRECT(ADDRESS(2,COLUMN())),OFFSET($BN$2,0,0,ROW()-1,60),ROW()-1,FALSE))</f>
        <v>308.33333329999999</v>
      </c>
      <c r="G55">
        <f ca="1">IF(AND(ISNUMBER($G$728),$B$677=1),$G$728,HLOOKUP(INDIRECT(ADDRESS(2,COLUMN())),OFFSET($BN$2,0,0,ROW()-1,60),ROW()-1,FALSE))</f>
        <v>65.517241380000002</v>
      </c>
      <c r="H55">
        <f ca="1">IF(AND(ISNUMBER($H$728),$B$677=1),$H$728,HLOOKUP(INDIRECT(ADDRESS(2,COLUMN())),OFFSET($BN$2,0,0,ROW()-1,60),ROW()-1,FALSE))</f>
        <v>74.827586210000007</v>
      </c>
      <c r="I55">
        <f ca="1">IF(AND(ISNUMBER($I$728),$B$677=1),$I$728,HLOOKUP(INDIRECT(ADDRESS(2,COLUMN())),OFFSET($BN$2,0,0,ROW()-1,60),ROW()-1,FALSE))</f>
        <v>25.128205130000001</v>
      </c>
      <c r="J55">
        <f ca="1">IF(AND(ISNUMBER($J$728),$B$677=1),$J$728,HLOOKUP(INDIRECT(ADDRESS(2,COLUMN())),OFFSET($BN$2,0,0,ROW()-1,60),ROW()-1,FALSE))</f>
        <v>152.5</v>
      </c>
      <c r="K55">
        <f ca="1">IF(AND(ISNUMBER($K$728),$B$677=1),$K$728,HLOOKUP(INDIRECT(ADDRESS(2,COLUMN())),OFFSET($BN$2,0,0,ROW()-1,60),ROW()-1,FALSE))</f>
        <v>166.36363639999999</v>
      </c>
      <c r="L55">
        <f ca="1">IF(AND(ISNUMBER($L$728),$B$677=1),$L$728,HLOOKUP(INDIRECT(ADDRESS(2,COLUMN())),OFFSET($BN$2,0,0,ROW()-1,60),ROW()-1,FALSE))</f>
        <v>113.5714286</v>
      </c>
      <c r="M55">
        <f ca="1">IF(AND(ISNUMBER($M$728),$B$677=1),$M$728,HLOOKUP(INDIRECT(ADDRESS(2,COLUMN())),OFFSET($BN$2,0,0,ROW()-1,60),ROW()-1,FALSE))</f>
        <v>111.25</v>
      </c>
      <c r="N55">
        <f ca="1">IF(AND(ISNUMBER($N$728),$B$677=1),$N$728,HLOOKUP(INDIRECT(ADDRESS(2,COLUMN())),OFFSET($BN$2,0,0,ROW()-1,60),ROW()-1,FALSE))</f>
        <v>24.310344829999998</v>
      </c>
      <c r="O55">
        <f ca="1">IF(AND(ISNUMBER($O$728),$B$677=1),$O$728,HLOOKUP(INDIRECT(ADDRESS(2,COLUMN())),OFFSET($BN$2,0,0,ROW()-1,60),ROW()-1,FALSE))</f>
        <v>19.82758621</v>
      </c>
      <c r="P55">
        <f ca="1">IF(AND(ISNUMBER($P$728),$B$677=1),$P$728,HLOOKUP(INDIRECT(ADDRESS(2,COLUMN())),OFFSET($BN$2,0,0,ROW()-1,60),ROW()-1,FALSE))</f>
        <v>23.015873020000001</v>
      </c>
      <c r="Q55">
        <f ca="1">IF(AND(ISNUMBER($Q$728),$B$677=1),$Q$728,HLOOKUP(INDIRECT(ADDRESS(2,COLUMN())),OFFSET($BN$2,0,0,ROW()-1,60),ROW()-1,FALSE))</f>
        <v>12.32876712</v>
      </c>
      <c r="R55" t="str">
        <f ca="1">IF(AND(ISNUMBER($R$728),$B$677=1),$R$728,HLOOKUP(INDIRECT(ADDRESS(2,COLUMN())),OFFSET($BN$2,0,0,ROW()-1,60),ROW()-1,FALSE))</f>
        <v/>
      </c>
      <c r="S55" t="str">
        <f ca="1">IF(AND(ISNUMBER($S$728),$B$677=1),$S$728,HLOOKUP(INDIRECT(ADDRESS(2,COLUMN())),OFFSET($BN$2,0,0,ROW()-1,60),ROW()-1,FALSE))</f>
        <v/>
      </c>
      <c r="T55" t="str">
        <f ca="1">IF(AND(ISNUMBER($T$728),$B$677=1),$T$728,HLOOKUP(INDIRECT(ADDRESS(2,COLUMN())),OFFSET($BN$2,0,0,ROW()-1,60),ROW()-1,FALSE))</f>
        <v/>
      </c>
      <c r="U55" t="str">
        <f ca="1">IF(AND(ISNUMBER($U$728),$B$677=1),$U$728,HLOOKUP(INDIRECT(ADDRESS(2,COLUMN())),OFFSET($BN$2,0,0,ROW()-1,60),ROW()-1,FALSE))</f>
        <v/>
      </c>
      <c r="V55" t="str">
        <f ca="1">IF(AND(ISNUMBER($V$728),$B$677=1),$V$728,HLOOKUP(INDIRECT(ADDRESS(2,COLUMN())),OFFSET($BN$2,0,0,ROW()-1,60),ROW()-1,FALSE))</f>
        <v/>
      </c>
      <c r="W55" t="str">
        <f ca="1">IF(AND(ISNUMBER($W$728),$B$677=1),$W$728,HLOOKUP(INDIRECT(ADDRESS(2,COLUMN())),OFFSET($BN$2,0,0,ROW()-1,60),ROW()-1,FALSE))</f>
        <v/>
      </c>
      <c r="X55" t="str">
        <f ca="1">IF(AND(ISNUMBER($X$728),$B$677=1),$X$728,HLOOKUP(INDIRECT(ADDRESS(2,COLUMN())),OFFSET($BN$2,0,0,ROW()-1,60),ROW()-1,FALSE))</f>
        <v/>
      </c>
      <c r="Y55" t="str">
        <f ca="1">IF(AND(ISNUMBER($Y$728),$B$677=1),$Y$728,HLOOKUP(INDIRECT(ADDRESS(2,COLUMN())),OFFSET($BN$2,0,0,ROW()-1,60),ROW()-1,FALSE))</f>
        <v/>
      </c>
      <c r="Z55" t="str">
        <f ca="1">IF(AND(ISNUMBER($Z$728),$B$677=1),$Z$728,HLOOKUP(INDIRECT(ADDRESS(2,COLUMN())),OFFSET($BN$2,0,0,ROW()-1,60),ROW()-1,FALSE))</f>
        <v/>
      </c>
      <c r="AA55" t="str">
        <f ca="1">IF(AND(ISNUMBER($AA$728),$B$677=1),$AA$728,HLOOKUP(INDIRECT(ADDRESS(2,COLUMN())),OFFSET($BN$2,0,0,ROW()-1,60),ROW()-1,FALSE))</f>
        <v/>
      </c>
      <c r="AB55" t="str">
        <f ca="1">IF(AND(ISNUMBER($AB$728),$B$677=1),$AB$728,HLOOKUP(INDIRECT(ADDRESS(2,COLUMN())),OFFSET($BN$2,0,0,ROW()-1,60),ROW()-1,FALSE))</f>
        <v/>
      </c>
      <c r="AC55" t="str">
        <f ca="1">IF(AND(ISNUMBER($AC$728),$B$677=1),$AC$728,HLOOKUP(INDIRECT(ADDRESS(2,COLUMN())),OFFSET($BN$2,0,0,ROW()-1,60),ROW()-1,FALSE))</f>
        <v/>
      </c>
      <c r="AD55" t="str">
        <f ca="1">IF(AND(ISNUMBER($AD$728),$B$677=1),$AD$728,HLOOKUP(INDIRECT(ADDRESS(2,COLUMN())),OFFSET($BN$2,0,0,ROW()-1,60),ROW()-1,FALSE))</f>
        <v/>
      </c>
      <c r="AE55" t="str">
        <f ca="1">IF(AND(ISNUMBER($AE$728),$B$677=1),$AE$728,HLOOKUP(INDIRECT(ADDRESS(2,COLUMN())),OFFSET($BN$2,0,0,ROW()-1,60),ROW()-1,FALSE))</f>
        <v/>
      </c>
      <c r="AF55" t="str">
        <f ca="1">IF(AND(ISNUMBER($AF$728),$B$677=1),$AF$728,HLOOKUP(INDIRECT(ADDRESS(2,COLUMN())),OFFSET($BN$2,0,0,ROW()-1,60),ROW()-1,FALSE))</f>
        <v/>
      </c>
      <c r="AG55" t="str">
        <f ca="1">IF(AND(ISNUMBER($AG$728),$B$677=1),$AG$728,HLOOKUP(INDIRECT(ADDRESS(2,COLUMN())),OFFSET($BN$2,0,0,ROW()-1,60),ROW()-1,FALSE))</f>
        <v/>
      </c>
      <c r="AH55" t="str">
        <f ca="1">IF(AND(ISNUMBER($AH$728),$B$677=1),$AH$728,HLOOKUP(INDIRECT(ADDRESS(2,COLUMN())),OFFSET($BN$2,0,0,ROW()-1,60),ROW()-1,FALSE))</f>
        <v/>
      </c>
      <c r="AI55" t="str">
        <f ca="1">IF(AND(ISNUMBER($AI$728),$B$677=1),$AI$728,HLOOKUP(INDIRECT(ADDRESS(2,COLUMN())),OFFSET($BN$2,0,0,ROW()-1,60),ROW()-1,FALSE))</f>
        <v/>
      </c>
      <c r="AJ55" t="str">
        <f ca="1">IF(AND(ISNUMBER($AJ$728),$B$677=1),$AJ$728,HLOOKUP(INDIRECT(ADDRESS(2,COLUMN())),OFFSET($BN$2,0,0,ROW()-1,60),ROW()-1,FALSE))</f>
        <v/>
      </c>
      <c r="AK55" t="str">
        <f ca="1">IF(AND(ISNUMBER($AK$728),$B$677=1),$AK$728,HLOOKUP(INDIRECT(ADDRESS(2,COLUMN())),OFFSET($BN$2,0,0,ROW()-1,60),ROW()-1,FALSE))</f>
        <v/>
      </c>
      <c r="AL55" t="str">
        <f ca="1">IF(AND(ISNUMBER($AL$728),$B$677=1),$AL$728,HLOOKUP(INDIRECT(ADDRESS(2,COLUMN())),OFFSET($BN$2,0,0,ROW()-1,60),ROW()-1,FALSE))</f>
        <v/>
      </c>
      <c r="AM55" t="str">
        <f ca="1">IF(AND(ISNUMBER($AM$728),$B$677=1),$AM$728,HLOOKUP(INDIRECT(ADDRESS(2,COLUMN())),OFFSET($BN$2,0,0,ROW()-1,60),ROW()-1,FALSE))</f>
        <v/>
      </c>
      <c r="AN55" t="str">
        <f ca="1">IF(AND(ISNUMBER($AN$728),$B$677=1),$AN$728,HLOOKUP(INDIRECT(ADDRESS(2,COLUMN())),OFFSET($BN$2,0,0,ROW()-1,60),ROW()-1,FALSE))</f>
        <v/>
      </c>
      <c r="AO55" t="str">
        <f ca="1">IF(AND(ISNUMBER($AO$728),$B$677=1),$AO$728,HLOOKUP(INDIRECT(ADDRESS(2,COLUMN())),OFFSET($BN$2,0,0,ROW()-1,60),ROW()-1,FALSE))</f>
        <v/>
      </c>
      <c r="AP55" t="str">
        <f ca="1">IF(AND(ISNUMBER($AP$728),$B$677=1),$AP$728,HLOOKUP(INDIRECT(ADDRESS(2,COLUMN())),OFFSET($BN$2,0,0,ROW()-1,60),ROW()-1,FALSE))</f>
        <v/>
      </c>
      <c r="AQ55" t="str">
        <f ca="1">IF(AND(ISNUMBER($AQ$728),$B$677=1),$AQ$728,HLOOKUP(INDIRECT(ADDRESS(2,COLUMN())),OFFSET($BN$2,0,0,ROW()-1,60),ROW()-1,FALSE))</f>
        <v/>
      </c>
      <c r="AR55" t="str">
        <f ca="1">IF(AND(ISNUMBER($AR$728),$B$677=1),$AR$728,HLOOKUP(INDIRECT(ADDRESS(2,COLUMN())),OFFSET($BN$2,0,0,ROW()-1,60),ROW()-1,FALSE))</f>
        <v/>
      </c>
      <c r="AS55" t="str">
        <f ca="1">IF(AND(ISNUMBER($AS$728),$B$677=1),$AS$728,HLOOKUP(INDIRECT(ADDRESS(2,COLUMN())),OFFSET($BN$2,0,0,ROW()-1,60),ROW()-1,FALSE))</f>
        <v/>
      </c>
      <c r="AT55" t="str">
        <f ca="1">IF(AND(ISNUMBER($AT$728),$B$677=1),$AT$728,HLOOKUP(INDIRECT(ADDRESS(2,COLUMN())),OFFSET($BN$2,0,0,ROW()-1,60),ROW()-1,FALSE))</f>
        <v/>
      </c>
      <c r="AU55" t="str">
        <f ca="1">IF(AND(ISNUMBER($AU$728),$B$677=1),$AU$728,HLOOKUP(INDIRECT(ADDRESS(2,COLUMN())),OFFSET($BN$2,0,0,ROW()-1,60),ROW()-1,FALSE))</f>
        <v/>
      </c>
      <c r="AV55" t="str">
        <f ca="1">IF(AND(ISNUMBER($AV$728),$B$677=1),$AV$728,HLOOKUP(INDIRECT(ADDRESS(2,COLUMN())),OFFSET($BN$2,0,0,ROW()-1,60),ROW()-1,FALSE))</f>
        <v/>
      </c>
      <c r="AW55" t="str">
        <f ca="1">IF(AND(ISNUMBER($AW$728),$B$677=1),$AW$728,HLOOKUP(INDIRECT(ADDRESS(2,COLUMN())),OFFSET($BN$2,0,0,ROW()-1,60),ROW()-1,FALSE))</f>
        <v/>
      </c>
      <c r="AX55" t="str">
        <f ca="1">IF(AND(ISNUMBER($AX$728),$B$677=1),$AX$728,HLOOKUP(INDIRECT(ADDRESS(2,COLUMN())),OFFSET($BN$2,0,0,ROW()-1,60),ROW()-1,FALSE))</f>
        <v/>
      </c>
      <c r="AY55" t="str">
        <f ca="1">IF(AND(ISNUMBER($AY$728),$B$677=1),$AY$728,HLOOKUP(INDIRECT(ADDRESS(2,COLUMN())),OFFSET($BN$2,0,0,ROW()-1,60),ROW()-1,FALSE))</f>
        <v/>
      </c>
      <c r="AZ55" t="str">
        <f ca="1">IF(AND(ISNUMBER($AZ$728),$B$677=1),$AZ$728,HLOOKUP(INDIRECT(ADDRESS(2,COLUMN())),OFFSET($BN$2,0,0,ROW()-1,60),ROW()-1,FALSE))</f>
        <v/>
      </c>
      <c r="BA55" t="str">
        <f ca="1">IF(AND(ISNUMBER($BA$728),$B$677=1),$BA$728,HLOOKUP(INDIRECT(ADDRESS(2,COLUMN())),OFFSET($BN$2,0,0,ROW()-1,60),ROW()-1,FALSE))</f>
        <v/>
      </c>
      <c r="BB55" t="str">
        <f ca="1">IF(AND(ISNUMBER($BB$728),$B$677=1),$BB$728,HLOOKUP(INDIRECT(ADDRESS(2,COLUMN())),OFFSET($BN$2,0,0,ROW()-1,60),ROW()-1,FALSE))</f>
        <v/>
      </c>
      <c r="BC55" t="str">
        <f ca="1">IF(AND(ISNUMBER($BC$728),$B$677=1),$BC$728,HLOOKUP(INDIRECT(ADDRESS(2,COLUMN())),OFFSET($BN$2,0,0,ROW()-1,60),ROW()-1,FALSE))</f>
        <v/>
      </c>
      <c r="BD55" t="str">
        <f ca="1">IF(AND(ISNUMBER($BD$728),$B$677=1),$BD$728,HLOOKUP(INDIRECT(ADDRESS(2,COLUMN())),OFFSET($BN$2,0,0,ROW()-1,60),ROW()-1,FALSE))</f>
        <v/>
      </c>
      <c r="BE55" t="str">
        <f ca="1">IF(AND(ISNUMBER($BE$728),$B$677=1),$BE$728,HLOOKUP(INDIRECT(ADDRESS(2,COLUMN())),OFFSET($BN$2,0,0,ROW()-1,60),ROW()-1,FALSE))</f>
        <v/>
      </c>
      <c r="BF55" t="str">
        <f ca="1">IF(AND(ISNUMBER($BF$728),$B$677=1),$BF$728,HLOOKUP(INDIRECT(ADDRESS(2,COLUMN())),OFFSET($BN$2,0,0,ROW()-1,60),ROW()-1,FALSE))</f>
        <v/>
      </c>
      <c r="BG55" t="str">
        <f ca="1">IF(AND(ISNUMBER($BG$728),$B$677=1),$BG$728,HLOOKUP(INDIRECT(ADDRESS(2,COLUMN())),OFFSET($BN$2,0,0,ROW()-1,60),ROW()-1,FALSE))</f>
        <v/>
      </c>
      <c r="BH55" t="str">
        <f ca="1">IF(AND(ISNUMBER($BH$728),$B$677=1),$BH$728,HLOOKUP(INDIRECT(ADDRESS(2,COLUMN())),OFFSET($BN$2,0,0,ROW()-1,60),ROW()-1,FALSE))</f>
        <v/>
      </c>
      <c r="BI55" t="str">
        <f ca="1">IF(AND(ISNUMBER($BI$728),$B$677=1),$BI$728,HLOOKUP(INDIRECT(ADDRESS(2,COLUMN())),OFFSET($BN$2,0,0,ROW()-1,60),ROW()-1,FALSE))</f>
        <v/>
      </c>
      <c r="BJ55" t="str">
        <f ca="1">IF(AND(ISNUMBER($BJ$728),$B$677=1),$BJ$728,HLOOKUP(INDIRECT(ADDRESS(2,COLUMN())),OFFSET($BN$2,0,0,ROW()-1,60),ROW()-1,FALSE))</f>
        <v/>
      </c>
      <c r="BK55" t="str">
        <f ca="1">IF(AND(ISNUMBER($BK$728),$B$677=1),$BK$728,HLOOKUP(INDIRECT(ADDRESS(2,COLUMN())),OFFSET($BN$2,0,0,ROW()-1,60),ROW()-1,FALSE))</f>
        <v/>
      </c>
      <c r="BL55" t="str">
        <f ca="1">IF(AND(ISNUMBER($BL$728),$B$677=1),$BL$728,HLOOKUP(INDIRECT(ADDRESS(2,COLUMN())),OFFSET($BN$2,0,0,ROW()-1,60),ROW()-1,FALSE))</f>
        <v/>
      </c>
      <c r="BM55" t="str">
        <f ca="1">IF(AND(ISNUMBER($BM$728),$B$677=1),$BM$728,HLOOKUP(INDIRECT(ADDRESS(2,COLUMN())),OFFSET($BN$2,0,0,ROW()-1,60),ROW()-1,FALSE))</f>
        <v/>
      </c>
      <c r="BN55">
        <f>308.3333333</f>
        <v>308.33333329999999</v>
      </c>
      <c r="BO55">
        <f>65.51724138</f>
        <v>65.517241380000002</v>
      </c>
      <c r="BP55">
        <f>74.82758621</f>
        <v>74.827586210000007</v>
      </c>
      <c r="BQ55">
        <f>25.12820513</f>
        <v>25.128205130000001</v>
      </c>
      <c r="BR55">
        <f>152.5</f>
        <v>152.5</v>
      </c>
      <c r="BS55">
        <f>166.3636364</f>
        <v>166.36363639999999</v>
      </c>
      <c r="BT55">
        <f>113.5714286</f>
        <v>113.5714286</v>
      </c>
      <c r="BU55">
        <f>111.25</f>
        <v>111.25</v>
      </c>
      <c r="BV55">
        <f>24.31034483</f>
        <v>24.310344829999998</v>
      </c>
      <c r="BW55">
        <f>19.82758621</f>
        <v>19.82758621</v>
      </c>
      <c r="BX55">
        <f>23.01587302</f>
        <v>23.015873020000001</v>
      </c>
      <c r="BY55">
        <f>12.32876712</f>
        <v>12.32876712</v>
      </c>
      <c r="BZ55" t="str">
        <f>""</f>
        <v/>
      </c>
      <c r="CA55" t="str">
        <f>""</f>
        <v/>
      </c>
      <c r="CB55" t="str">
        <f>""</f>
        <v/>
      </c>
      <c r="CC55" t="str">
        <f>""</f>
        <v/>
      </c>
      <c r="CD55" t="str">
        <f>""</f>
        <v/>
      </c>
      <c r="CE55" t="str">
        <f>""</f>
        <v/>
      </c>
      <c r="CF55" t="str">
        <f>""</f>
        <v/>
      </c>
      <c r="CG55" t="str">
        <f>""</f>
        <v/>
      </c>
      <c r="CH55" t="str">
        <f>""</f>
        <v/>
      </c>
      <c r="CI55" t="str">
        <f>""</f>
        <v/>
      </c>
      <c r="CJ55" t="str">
        <f>""</f>
        <v/>
      </c>
      <c r="CK55" t="str">
        <f>""</f>
        <v/>
      </c>
      <c r="CL55" t="str">
        <f>""</f>
        <v/>
      </c>
      <c r="CM55" t="str">
        <f>""</f>
        <v/>
      </c>
      <c r="CN55" t="str">
        <f>""</f>
        <v/>
      </c>
      <c r="CO55" t="str">
        <f>""</f>
        <v/>
      </c>
      <c r="CP55" t="str">
        <f>""</f>
        <v/>
      </c>
      <c r="CQ55" t="str">
        <f>""</f>
        <v/>
      </c>
      <c r="CR55" t="str">
        <f>""</f>
        <v/>
      </c>
      <c r="CS55" t="str">
        <f>""</f>
        <v/>
      </c>
      <c r="CT55" t="str">
        <f>""</f>
        <v/>
      </c>
      <c r="CU55" t="str">
        <f>""</f>
        <v/>
      </c>
      <c r="CV55" t="str">
        <f>""</f>
        <v/>
      </c>
      <c r="CW55" t="str">
        <f>""</f>
        <v/>
      </c>
      <c r="CX55" t="str">
        <f>""</f>
        <v/>
      </c>
      <c r="CY55" t="str">
        <f>""</f>
        <v/>
      </c>
      <c r="CZ55" t="str">
        <f>""</f>
        <v/>
      </c>
      <c r="DA55" t="str">
        <f>""</f>
        <v/>
      </c>
      <c r="DB55" t="str">
        <f>""</f>
        <v/>
      </c>
      <c r="DC55" t="str">
        <f>""</f>
        <v/>
      </c>
      <c r="DD55" t="str">
        <f>""</f>
        <v/>
      </c>
      <c r="DE55" t="str">
        <f>""</f>
        <v/>
      </c>
      <c r="DF55" t="str">
        <f>""</f>
        <v/>
      </c>
      <c r="DG55" t="str">
        <f>""</f>
        <v/>
      </c>
      <c r="DH55" t="str">
        <f>""</f>
        <v/>
      </c>
      <c r="DI55" t="str">
        <f>""</f>
        <v/>
      </c>
      <c r="DJ55" t="str">
        <f>""</f>
        <v/>
      </c>
      <c r="DK55" t="str">
        <f>""</f>
        <v/>
      </c>
      <c r="DL55" t="str">
        <f>""</f>
        <v/>
      </c>
      <c r="DM55" t="str">
        <f>""</f>
        <v/>
      </c>
      <c r="DN55" t="str">
        <f>""</f>
        <v/>
      </c>
      <c r="DO55" t="str">
        <f>""</f>
        <v/>
      </c>
      <c r="DP55" t="str">
        <f>""</f>
        <v/>
      </c>
      <c r="DQ55" t="str">
        <f>""</f>
        <v/>
      </c>
      <c r="DR55" t="str">
        <f>""</f>
        <v/>
      </c>
      <c r="DS55" t="str">
        <f>""</f>
        <v/>
      </c>
      <c r="DT55" t="str">
        <f>""</f>
        <v/>
      </c>
      <c r="DU55" t="str">
        <f>""</f>
        <v/>
      </c>
    </row>
    <row r="56" spans="1:125" x14ac:dyDescent="0.25">
      <c r="A56" t="str">
        <f>"    FAW CAR Co Ltd"</f>
        <v xml:space="preserve">    FAW CAR Co Ltd</v>
      </c>
      <c r="B56" t="str">
        <f>"000800 CH Equity"</f>
        <v>000800 CH Equity</v>
      </c>
      <c r="C56" t="str">
        <f t="shared" si="3"/>
        <v>EZ009</v>
      </c>
      <c r="D56" t="str">
        <f t="shared" si="4"/>
        <v>BEST_EST_PE_CUR_YR</v>
      </c>
      <c r="E56" t="str">
        <f t="shared" si="5"/>
        <v>Dynamic</v>
      </c>
      <c r="F56" t="str">
        <f ca="1">IF(AND(ISNUMBER($F$729),$B$677=1),$F$729,HLOOKUP(INDIRECT(ADDRESS(2,COLUMN())),OFFSET($BN$2,0,0,ROW()-1,60),ROW()-1,FALSE))</f>
        <v/>
      </c>
      <c r="G56" t="str">
        <f ca="1">IF(AND(ISNUMBER($G$729),$B$677=1),$G$729,HLOOKUP(INDIRECT(ADDRESS(2,COLUMN())),OFFSET($BN$2,0,0,ROW()-1,60),ROW()-1,FALSE))</f>
        <v/>
      </c>
      <c r="H56" t="str">
        <f ca="1">IF(AND(ISNUMBER($H$729),$B$677=1),$H$729,HLOOKUP(INDIRECT(ADDRESS(2,COLUMN())),OFFSET($BN$2,0,0,ROW()-1,60),ROW()-1,FALSE))</f>
        <v/>
      </c>
      <c r="I56" t="str">
        <f ca="1">IF(AND(ISNUMBER($I$729),$B$677=1),$I$729,HLOOKUP(INDIRECT(ADDRESS(2,COLUMN())),OFFSET($BN$2,0,0,ROW()-1,60),ROW()-1,FALSE))</f>
        <v/>
      </c>
      <c r="J56" t="str">
        <f ca="1">IF(AND(ISNUMBER($J$729),$B$677=1),$J$729,HLOOKUP(INDIRECT(ADDRESS(2,COLUMN())),OFFSET($BN$2,0,0,ROW()-1,60),ROW()-1,FALSE))</f>
        <v/>
      </c>
      <c r="K56">
        <f ca="1">IF(AND(ISNUMBER($K$729),$B$677=1),$K$729,HLOOKUP(INDIRECT(ADDRESS(2,COLUMN())),OFFSET($BN$2,0,0,ROW()-1,60),ROW()-1,FALSE))</f>
        <v>41.56</v>
      </c>
      <c r="L56">
        <f ca="1">IF(AND(ISNUMBER($L$729),$B$677=1),$L$729,HLOOKUP(INDIRECT(ADDRESS(2,COLUMN())),OFFSET($BN$2,0,0,ROW()-1,60),ROW()-1,FALSE))</f>
        <v>55.04</v>
      </c>
      <c r="M56">
        <f ca="1">IF(AND(ISNUMBER($M$729),$B$677=1),$M$729,HLOOKUP(INDIRECT(ADDRESS(2,COLUMN())),OFFSET($BN$2,0,0,ROW()-1,60),ROW()-1,FALSE))</f>
        <v>42.375</v>
      </c>
      <c r="N56">
        <f ca="1">IF(AND(ISNUMBER($N$729),$B$677=1),$N$729,HLOOKUP(INDIRECT(ADDRESS(2,COLUMN())),OFFSET($BN$2,0,0,ROW()-1,60),ROW()-1,FALSE))</f>
        <v>49</v>
      </c>
      <c r="O56">
        <f ca="1">IF(AND(ISNUMBER($O$729),$B$677=1),$O$729,HLOOKUP(INDIRECT(ADDRESS(2,COLUMN())),OFFSET($BN$2,0,0,ROW()-1,60),ROW()-1,FALSE))</f>
        <v>434.8</v>
      </c>
      <c r="P56">
        <f ca="1">IF(AND(ISNUMBER($P$729),$B$677=1),$P$729,HLOOKUP(INDIRECT(ADDRESS(2,COLUMN())),OFFSET($BN$2,0,0,ROW()-1,60),ROW()-1,FALSE))</f>
        <v>418.8</v>
      </c>
      <c r="Q56">
        <f ca="1">IF(AND(ISNUMBER($Q$729),$B$677=1),$Q$729,HLOOKUP(INDIRECT(ADDRESS(2,COLUMN())),OFFSET($BN$2,0,0,ROW()-1,60),ROW()-1,FALSE))</f>
        <v>435.2</v>
      </c>
      <c r="R56" t="str">
        <f ca="1">IF(AND(ISNUMBER($R$729),$B$677=1),$R$729,HLOOKUP(INDIRECT(ADDRESS(2,COLUMN())),OFFSET($BN$2,0,0,ROW()-1,60),ROW()-1,FALSE))</f>
        <v/>
      </c>
      <c r="S56" t="str">
        <f ca="1">IF(AND(ISNUMBER($S$729),$B$677=1),$S$729,HLOOKUP(INDIRECT(ADDRESS(2,COLUMN())),OFFSET($BN$2,0,0,ROW()-1,60),ROW()-1,FALSE))</f>
        <v/>
      </c>
      <c r="T56" t="str">
        <f ca="1">IF(AND(ISNUMBER($T$729),$B$677=1),$T$729,HLOOKUP(INDIRECT(ADDRESS(2,COLUMN())),OFFSET($BN$2,0,0,ROW()-1,60),ROW()-1,FALSE))</f>
        <v/>
      </c>
      <c r="U56" t="str">
        <f ca="1">IF(AND(ISNUMBER($U$729),$B$677=1),$U$729,HLOOKUP(INDIRECT(ADDRESS(2,COLUMN())),OFFSET($BN$2,0,0,ROW()-1,60),ROW()-1,FALSE))</f>
        <v/>
      </c>
      <c r="V56" t="str">
        <f ca="1">IF(AND(ISNUMBER($V$729),$B$677=1),$V$729,HLOOKUP(INDIRECT(ADDRESS(2,COLUMN())),OFFSET($BN$2,0,0,ROW()-1,60),ROW()-1,FALSE))</f>
        <v/>
      </c>
      <c r="W56" t="str">
        <f ca="1">IF(AND(ISNUMBER($W$729),$B$677=1),$W$729,HLOOKUP(INDIRECT(ADDRESS(2,COLUMN())),OFFSET($BN$2,0,0,ROW()-1,60),ROW()-1,FALSE))</f>
        <v/>
      </c>
      <c r="X56" t="str">
        <f ca="1">IF(AND(ISNUMBER($X$729),$B$677=1),$X$729,HLOOKUP(INDIRECT(ADDRESS(2,COLUMN())),OFFSET($BN$2,0,0,ROW()-1,60),ROW()-1,FALSE))</f>
        <v/>
      </c>
      <c r="Y56" t="str">
        <f ca="1">IF(AND(ISNUMBER($Y$729),$B$677=1),$Y$729,HLOOKUP(INDIRECT(ADDRESS(2,COLUMN())),OFFSET($BN$2,0,0,ROW()-1,60),ROW()-1,FALSE))</f>
        <v/>
      </c>
      <c r="Z56" t="str">
        <f ca="1">IF(AND(ISNUMBER($Z$729),$B$677=1),$Z$729,HLOOKUP(INDIRECT(ADDRESS(2,COLUMN())),OFFSET($BN$2,0,0,ROW()-1,60),ROW()-1,FALSE))</f>
        <v/>
      </c>
      <c r="AA56" t="str">
        <f ca="1">IF(AND(ISNUMBER($AA$729),$B$677=1),$AA$729,HLOOKUP(INDIRECT(ADDRESS(2,COLUMN())),OFFSET($BN$2,0,0,ROW()-1,60),ROW()-1,FALSE))</f>
        <v/>
      </c>
      <c r="AB56" t="str">
        <f ca="1">IF(AND(ISNUMBER($AB$729),$B$677=1),$AB$729,HLOOKUP(INDIRECT(ADDRESS(2,COLUMN())),OFFSET($BN$2,0,0,ROW()-1,60),ROW()-1,FALSE))</f>
        <v/>
      </c>
      <c r="AC56" t="str">
        <f ca="1">IF(AND(ISNUMBER($AC$729),$B$677=1),$AC$729,HLOOKUP(INDIRECT(ADDRESS(2,COLUMN())),OFFSET($BN$2,0,0,ROW()-1,60),ROW()-1,FALSE))</f>
        <v/>
      </c>
      <c r="AD56" t="str">
        <f ca="1">IF(AND(ISNUMBER($AD$729),$B$677=1),$AD$729,HLOOKUP(INDIRECT(ADDRESS(2,COLUMN())),OFFSET($BN$2,0,0,ROW()-1,60),ROW()-1,FALSE))</f>
        <v/>
      </c>
      <c r="AE56" t="str">
        <f ca="1">IF(AND(ISNUMBER($AE$729),$B$677=1),$AE$729,HLOOKUP(INDIRECT(ADDRESS(2,COLUMN())),OFFSET($BN$2,0,0,ROW()-1,60),ROW()-1,FALSE))</f>
        <v/>
      </c>
      <c r="AF56" t="str">
        <f ca="1">IF(AND(ISNUMBER($AF$729),$B$677=1),$AF$729,HLOOKUP(INDIRECT(ADDRESS(2,COLUMN())),OFFSET($BN$2,0,0,ROW()-1,60),ROW()-1,FALSE))</f>
        <v/>
      </c>
      <c r="AG56" t="str">
        <f ca="1">IF(AND(ISNUMBER($AG$729),$B$677=1),$AG$729,HLOOKUP(INDIRECT(ADDRESS(2,COLUMN())),OFFSET($BN$2,0,0,ROW()-1,60),ROW()-1,FALSE))</f>
        <v/>
      </c>
      <c r="AH56" t="str">
        <f ca="1">IF(AND(ISNUMBER($AH$729),$B$677=1),$AH$729,HLOOKUP(INDIRECT(ADDRESS(2,COLUMN())),OFFSET($BN$2,0,0,ROW()-1,60),ROW()-1,FALSE))</f>
        <v/>
      </c>
      <c r="AI56" t="str">
        <f ca="1">IF(AND(ISNUMBER($AI$729),$B$677=1),$AI$729,HLOOKUP(INDIRECT(ADDRESS(2,COLUMN())),OFFSET($BN$2,0,0,ROW()-1,60),ROW()-1,FALSE))</f>
        <v/>
      </c>
      <c r="AJ56" t="str">
        <f ca="1">IF(AND(ISNUMBER($AJ$729),$B$677=1),$AJ$729,HLOOKUP(INDIRECT(ADDRESS(2,COLUMN())),OFFSET($BN$2,0,0,ROW()-1,60),ROW()-1,FALSE))</f>
        <v/>
      </c>
      <c r="AK56" t="str">
        <f ca="1">IF(AND(ISNUMBER($AK$729),$B$677=1),$AK$729,HLOOKUP(INDIRECT(ADDRESS(2,COLUMN())),OFFSET($BN$2,0,0,ROW()-1,60),ROW()-1,FALSE))</f>
        <v/>
      </c>
      <c r="AL56" t="str">
        <f ca="1">IF(AND(ISNUMBER($AL$729),$B$677=1),$AL$729,HLOOKUP(INDIRECT(ADDRESS(2,COLUMN())),OFFSET($BN$2,0,0,ROW()-1,60),ROW()-1,FALSE))</f>
        <v/>
      </c>
      <c r="AM56" t="str">
        <f ca="1">IF(AND(ISNUMBER($AM$729),$B$677=1),$AM$729,HLOOKUP(INDIRECT(ADDRESS(2,COLUMN())),OFFSET($BN$2,0,0,ROW()-1,60),ROW()-1,FALSE))</f>
        <v/>
      </c>
      <c r="AN56" t="str">
        <f ca="1">IF(AND(ISNUMBER($AN$729),$B$677=1),$AN$729,HLOOKUP(INDIRECT(ADDRESS(2,COLUMN())),OFFSET($BN$2,0,0,ROW()-1,60),ROW()-1,FALSE))</f>
        <v/>
      </c>
      <c r="AO56" t="str">
        <f ca="1">IF(AND(ISNUMBER($AO$729),$B$677=1),$AO$729,HLOOKUP(INDIRECT(ADDRESS(2,COLUMN())),OFFSET($BN$2,0,0,ROW()-1,60),ROW()-1,FALSE))</f>
        <v/>
      </c>
      <c r="AP56" t="str">
        <f ca="1">IF(AND(ISNUMBER($AP$729),$B$677=1),$AP$729,HLOOKUP(INDIRECT(ADDRESS(2,COLUMN())),OFFSET($BN$2,0,0,ROW()-1,60),ROW()-1,FALSE))</f>
        <v/>
      </c>
      <c r="AQ56" t="str">
        <f ca="1">IF(AND(ISNUMBER($AQ$729),$B$677=1),$AQ$729,HLOOKUP(INDIRECT(ADDRESS(2,COLUMN())),OFFSET($BN$2,0,0,ROW()-1,60),ROW()-1,FALSE))</f>
        <v/>
      </c>
      <c r="AR56" t="str">
        <f ca="1">IF(AND(ISNUMBER($AR$729),$B$677=1),$AR$729,HLOOKUP(INDIRECT(ADDRESS(2,COLUMN())),OFFSET($BN$2,0,0,ROW()-1,60),ROW()-1,FALSE))</f>
        <v/>
      </c>
      <c r="AS56" t="str">
        <f ca="1">IF(AND(ISNUMBER($AS$729),$B$677=1),$AS$729,HLOOKUP(INDIRECT(ADDRESS(2,COLUMN())),OFFSET($BN$2,0,0,ROW()-1,60),ROW()-1,FALSE))</f>
        <v/>
      </c>
      <c r="AT56" t="str">
        <f ca="1">IF(AND(ISNUMBER($AT$729),$B$677=1),$AT$729,HLOOKUP(INDIRECT(ADDRESS(2,COLUMN())),OFFSET($BN$2,0,0,ROW()-1,60),ROW()-1,FALSE))</f>
        <v/>
      </c>
      <c r="AU56" t="str">
        <f ca="1">IF(AND(ISNUMBER($AU$729),$B$677=1),$AU$729,HLOOKUP(INDIRECT(ADDRESS(2,COLUMN())),OFFSET($BN$2,0,0,ROW()-1,60),ROW()-1,FALSE))</f>
        <v/>
      </c>
      <c r="AV56" t="str">
        <f ca="1">IF(AND(ISNUMBER($AV$729),$B$677=1),$AV$729,HLOOKUP(INDIRECT(ADDRESS(2,COLUMN())),OFFSET($BN$2,0,0,ROW()-1,60),ROW()-1,FALSE))</f>
        <v/>
      </c>
      <c r="AW56" t="str">
        <f ca="1">IF(AND(ISNUMBER($AW$729),$B$677=1),$AW$729,HLOOKUP(INDIRECT(ADDRESS(2,COLUMN())),OFFSET($BN$2,0,0,ROW()-1,60),ROW()-1,FALSE))</f>
        <v/>
      </c>
      <c r="AX56" t="str">
        <f ca="1">IF(AND(ISNUMBER($AX$729),$B$677=1),$AX$729,HLOOKUP(INDIRECT(ADDRESS(2,COLUMN())),OFFSET($BN$2,0,0,ROW()-1,60),ROW()-1,FALSE))</f>
        <v/>
      </c>
      <c r="AY56" t="str">
        <f ca="1">IF(AND(ISNUMBER($AY$729),$B$677=1),$AY$729,HLOOKUP(INDIRECT(ADDRESS(2,COLUMN())),OFFSET($BN$2,0,0,ROW()-1,60),ROW()-1,FALSE))</f>
        <v/>
      </c>
      <c r="AZ56" t="str">
        <f ca="1">IF(AND(ISNUMBER($AZ$729),$B$677=1),$AZ$729,HLOOKUP(INDIRECT(ADDRESS(2,COLUMN())),OFFSET($BN$2,0,0,ROW()-1,60),ROW()-1,FALSE))</f>
        <v/>
      </c>
      <c r="BA56" t="str">
        <f ca="1">IF(AND(ISNUMBER($BA$729),$B$677=1),$BA$729,HLOOKUP(INDIRECT(ADDRESS(2,COLUMN())),OFFSET($BN$2,0,0,ROW()-1,60),ROW()-1,FALSE))</f>
        <v/>
      </c>
      <c r="BB56" t="str">
        <f ca="1">IF(AND(ISNUMBER($BB$729),$B$677=1),$BB$729,HLOOKUP(INDIRECT(ADDRESS(2,COLUMN())),OFFSET($BN$2,0,0,ROW()-1,60),ROW()-1,FALSE))</f>
        <v/>
      </c>
      <c r="BC56" t="str">
        <f ca="1">IF(AND(ISNUMBER($BC$729),$B$677=1),$BC$729,HLOOKUP(INDIRECT(ADDRESS(2,COLUMN())),OFFSET($BN$2,0,0,ROW()-1,60),ROW()-1,FALSE))</f>
        <v/>
      </c>
      <c r="BD56" t="str">
        <f ca="1">IF(AND(ISNUMBER($BD$729),$B$677=1),$BD$729,HLOOKUP(INDIRECT(ADDRESS(2,COLUMN())),OFFSET($BN$2,0,0,ROW()-1,60),ROW()-1,FALSE))</f>
        <v/>
      </c>
      <c r="BE56" t="str">
        <f ca="1">IF(AND(ISNUMBER($BE$729),$B$677=1),$BE$729,HLOOKUP(INDIRECT(ADDRESS(2,COLUMN())),OFFSET($BN$2,0,0,ROW()-1,60),ROW()-1,FALSE))</f>
        <v/>
      </c>
      <c r="BF56" t="str">
        <f ca="1">IF(AND(ISNUMBER($BF$729),$B$677=1),$BF$729,HLOOKUP(INDIRECT(ADDRESS(2,COLUMN())),OFFSET($BN$2,0,0,ROW()-1,60),ROW()-1,FALSE))</f>
        <v/>
      </c>
      <c r="BG56" t="str">
        <f ca="1">IF(AND(ISNUMBER($BG$729),$B$677=1),$BG$729,HLOOKUP(INDIRECT(ADDRESS(2,COLUMN())),OFFSET($BN$2,0,0,ROW()-1,60),ROW()-1,FALSE))</f>
        <v/>
      </c>
      <c r="BH56" t="str">
        <f ca="1">IF(AND(ISNUMBER($BH$729),$B$677=1),$BH$729,HLOOKUP(INDIRECT(ADDRESS(2,COLUMN())),OFFSET($BN$2,0,0,ROW()-1,60),ROW()-1,FALSE))</f>
        <v/>
      </c>
      <c r="BI56" t="str">
        <f ca="1">IF(AND(ISNUMBER($BI$729),$B$677=1),$BI$729,HLOOKUP(INDIRECT(ADDRESS(2,COLUMN())),OFFSET($BN$2,0,0,ROW()-1,60),ROW()-1,FALSE))</f>
        <v/>
      </c>
      <c r="BJ56" t="str">
        <f ca="1">IF(AND(ISNUMBER($BJ$729),$B$677=1),$BJ$729,HLOOKUP(INDIRECT(ADDRESS(2,COLUMN())),OFFSET($BN$2,0,0,ROW()-1,60),ROW()-1,FALSE))</f>
        <v/>
      </c>
      <c r="BK56" t="str">
        <f ca="1">IF(AND(ISNUMBER($BK$729),$B$677=1),$BK$729,HLOOKUP(INDIRECT(ADDRESS(2,COLUMN())),OFFSET($BN$2,0,0,ROW()-1,60),ROW()-1,FALSE))</f>
        <v/>
      </c>
      <c r="BL56" t="str">
        <f ca="1">IF(AND(ISNUMBER($BL$729),$B$677=1),$BL$729,HLOOKUP(INDIRECT(ADDRESS(2,COLUMN())),OFFSET($BN$2,0,0,ROW()-1,60),ROW()-1,FALSE))</f>
        <v/>
      </c>
      <c r="BM56" t="str">
        <f ca="1">IF(AND(ISNUMBER($BM$729),$B$677=1),$BM$729,HLOOKUP(INDIRECT(ADDRESS(2,COLUMN())),OFFSET($BN$2,0,0,ROW()-1,60),ROW()-1,FALSE))</f>
        <v/>
      </c>
      <c r="BN56" t="str">
        <f>""</f>
        <v/>
      </c>
      <c r="BO56" t="str">
        <f>""</f>
        <v/>
      </c>
      <c r="BP56" t="str">
        <f>""</f>
        <v/>
      </c>
      <c r="BQ56" t="str">
        <f>""</f>
        <v/>
      </c>
      <c r="BR56" t="str">
        <f>""</f>
        <v/>
      </c>
      <c r="BS56">
        <f>41.56</f>
        <v>41.56</v>
      </c>
      <c r="BT56">
        <f>55.04</f>
        <v>55.04</v>
      </c>
      <c r="BU56">
        <f>42.375</f>
        <v>42.375</v>
      </c>
      <c r="BV56">
        <f>49</f>
        <v>49</v>
      </c>
      <c r="BW56">
        <f>434.8</f>
        <v>434.8</v>
      </c>
      <c r="BX56">
        <f>418.8</f>
        <v>418.8</v>
      </c>
      <c r="BY56">
        <f>435.2</f>
        <v>435.2</v>
      </c>
      <c r="BZ56" t="str">
        <f>""</f>
        <v/>
      </c>
      <c r="CA56" t="str">
        <f>""</f>
        <v/>
      </c>
      <c r="CB56" t="str">
        <f>""</f>
        <v/>
      </c>
      <c r="CC56" t="str">
        <f>""</f>
        <v/>
      </c>
      <c r="CD56" t="str">
        <f>""</f>
        <v/>
      </c>
      <c r="CE56" t="str">
        <f>""</f>
        <v/>
      </c>
      <c r="CF56" t="str">
        <f>""</f>
        <v/>
      </c>
      <c r="CG56" t="str">
        <f>""</f>
        <v/>
      </c>
      <c r="CH56" t="str">
        <f>""</f>
        <v/>
      </c>
      <c r="CI56" t="str">
        <f>""</f>
        <v/>
      </c>
      <c r="CJ56" t="str">
        <f>""</f>
        <v/>
      </c>
      <c r="CK56" t="str">
        <f>""</f>
        <v/>
      </c>
      <c r="CL56" t="str">
        <f>""</f>
        <v/>
      </c>
      <c r="CM56" t="str">
        <f>""</f>
        <v/>
      </c>
      <c r="CN56" t="str">
        <f>""</f>
        <v/>
      </c>
      <c r="CO56" t="str">
        <f>""</f>
        <v/>
      </c>
      <c r="CP56" t="str">
        <f>""</f>
        <v/>
      </c>
      <c r="CQ56" t="str">
        <f>""</f>
        <v/>
      </c>
      <c r="CR56" t="str">
        <f>""</f>
        <v/>
      </c>
      <c r="CS56" t="str">
        <f>""</f>
        <v/>
      </c>
      <c r="CT56" t="str">
        <f>""</f>
        <v/>
      </c>
      <c r="CU56" t="str">
        <f>""</f>
        <v/>
      </c>
      <c r="CV56" t="str">
        <f>""</f>
        <v/>
      </c>
      <c r="CW56" t="str">
        <f>""</f>
        <v/>
      </c>
      <c r="CX56" t="str">
        <f>""</f>
        <v/>
      </c>
      <c r="CY56" t="str">
        <f>""</f>
        <v/>
      </c>
      <c r="CZ56" t="str">
        <f>""</f>
        <v/>
      </c>
      <c r="DA56" t="str">
        <f>""</f>
        <v/>
      </c>
      <c r="DB56" t="str">
        <f>""</f>
        <v/>
      </c>
      <c r="DC56" t="str">
        <f>""</f>
        <v/>
      </c>
      <c r="DD56" t="str">
        <f>""</f>
        <v/>
      </c>
      <c r="DE56" t="str">
        <f>""</f>
        <v/>
      </c>
      <c r="DF56" t="str">
        <f>""</f>
        <v/>
      </c>
      <c r="DG56" t="str">
        <f>""</f>
        <v/>
      </c>
      <c r="DH56" t="str">
        <f>""</f>
        <v/>
      </c>
      <c r="DI56" t="str">
        <f>""</f>
        <v/>
      </c>
      <c r="DJ56" t="str">
        <f>""</f>
        <v/>
      </c>
      <c r="DK56" t="str">
        <f>""</f>
        <v/>
      </c>
      <c r="DL56" t="str">
        <f>""</f>
        <v/>
      </c>
      <c r="DM56" t="str">
        <f>""</f>
        <v/>
      </c>
      <c r="DN56" t="str">
        <f>""</f>
        <v/>
      </c>
      <c r="DO56" t="str">
        <f>""</f>
        <v/>
      </c>
      <c r="DP56" t="str">
        <f>""</f>
        <v/>
      </c>
      <c r="DQ56" t="str">
        <f>""</f>
        <v/>
      </c>
      <c r="DR56" t="str">
        <f>""</f>
        <v/>
      </c>
      <c r="DS56" t="str">
        <f>""</f>
        <v/>
      </c>
      <c r="DT56" t="str">
        <f>""</f>
        <v/>
      </c>
      <c r="DU56" t="str">
        <f>""</f>
        <v/>
      </c>
    </row>
    <row r="57" spans="1:125" x14ac:dyDescent="0.25">
      <c r="A57" t="str">
        <f>"    Fiat Chrysler Automobiles NV"</f>
        <v xml:space="preserve">    Fiat Chrysler Automobiles NV</v>
      </c>
      <c r="B57" t="str">
        <f>"FCAU US Equity"</f>
        <v>FCAU US Equity</v>
      </c>
      <c r="C57" t="str">
        <f t="shared" si="3"/>
        <v>EZ009</v>
      </c>
      <c r="D57" t="str">
        <f t="shared" si="4"/>
        <v>BEST_EST_PE_CUR_YR</v>
      </c>
      <c r="E57" t="str">
        <f t="shared" si="5"/>
        <v>Dynamic</v>
      </c>
      <c r="F57">
        <f ca="1">IF(AND(ISNUMBER($F$730),$B$677=1),$F$730,HLOOKUP(INDIRECT(ADDRESS(2,COLUMN())),OFFSET($BN$2,0,0,ROW()-1,60),ROW()-1,FALSE))</f>
        <v>4.4782987759999999</v>
      </c>
      <c r="G57">
        <f ca="1">IF(AND(ISNUMBER($G$730),$B$677=1),$G$730,HLOOKUP(INDIRECT(ADDRESS(2,COLUMN())),OFFSET($BN$2,0,0,ROW()-1,60),ROW()-1,FALSE))</f>
        <v>3.9261863930000001</v>
      </c>
      <c r="H57">
        <f ca="1">IF(AND(ISNUMBER($H$730),$B$677=1),$H$730,HLOOKUP(INDIRECT(ADDRESS(2,COLUMN())),OFFSET($BN$2,0,0,ROW()-1,60),ROW()-1,FALSE))</f>
        <v>4.4991440320000002</v>
      </c>
      <c r="I57">
        <f ca="1">IF(AND(ISNUMBER($I$730),$B$677=1),$I$730,HLOOKUP(INDIRECT(ADDRESS(2,COLUMN())),OFFSET($BN$2,0,0,ROW()-1,60),ROW()-1,FALSE))</f>
        <v>4.6062358440000004</v>
      </c>
      <c r="J57">
        <f ca="1">IF(AND(ISNUMBER($J$730),$B$677=1),$J$730,HLOOKUP(INDIRECT(ADDRESS(2,COLUMN())),OFFSET($BN$2,0,0,ROW()-1,60),ROW()-1,FALSE))</f>
        <v>4.994060062</v>
      </c>
      <c r="K57">
        <f ca="1">IF(AND(ISNUMBER($K$730),$B$677=1),$K$730,HLOOKUP(INDIRECT(ADDRESS(2,COLUMN())),OFFSET($BN$2,0,0,ROW()-1,60),ROW()-1,FALSE))</f>
        <v>5.3746689559999998</v>
      </c>
      <c r="L57">
        <f ca="1">IF(AND(ISNUMBER($L$730),$B$677=1),$L$730,HLOOKUP(INDIRECT(ADDRESS(2,COLUMN())),OFFSET($BN$2,0,0,ROW()-1,60),ROW()-1,FALSE))</f>
        <v>5.710992954</v>
      </c>
      <c r="M57">
        <f ca="1">IF(AND(ISNUMBER($M$730),$B$677=1),$M$730,HLOOKUP(INDIRECT(ADDRESS(2,COLUMN())),OFFSET($BN$2,0,0,ROW()-1,60),ROW()-1,FALSE))</f>
        <v>3.6482335460000002</v>
      </c>
      <c r="N57">
        <f ca="1">IF(AND(ISNUMBER($N$730),$B$677=1),$N$730,HLOOKUP(INDIRECT(ADDRESS(2,COLUMN())),OFFSET($BN$2,0,0,ROW()-1,60),ROW()-1,FALSE))</f>
        <v>4.2770272409999999</v>
      </c>
      <c r="O57">
        <f ca="1">IF(AND(ISNUMBER($O$730),$B$677=1),$O$730,HLOOKUP(INDIRECT(ADDRESS(2,COLUMN())),OFFSET($BN$2,0,0,ROW()-1,60),ROW()-1,FALSE))</f>
        <v>3.50081321</v>
      </c>
      <c r="P57">
        <f ca="1">IF(AND(ISNUMBER($P$730),$B$677=1),$P$730,HLOOKUP(INDIRECT(ADDRESS(2,COLUMN())),OFFSET($BN$2,0,0,ROW()-1,60),ROW()-1,FALSE))</f>
        <v>2.79413511</v>
      </c>
      <c r="Q57">
        <f ca="1">IF(AND(ISNUMBER($Q$730),$B$677=1),$Q$730,HLOOKUP(INDIRECT(ADDRESS(2,COLUMN())),OFFSET($BN$2,0,0,ROW()-1,60),ROW()-1,FALSE))</f>
        <v>7.2723124529999996</v>
      </c>
      <c r="R57">
        <f ca="1">IF(AND(ISNUMBER($R$730),$B$677=1),$R$730,HLOOKUP(INDIRECT(ADDRESS(2,COLUMN())),OFFSET($BN$2,0,0,ROW()-1,60),ROW()-1,FALSE))</f>
        <v>19.298035049999999</v>
      </c>
      <c r="S57">
        <f ca="1">IF(AND(ISNUMBER($S$730),$B$677=1),$S$730,HLOOKUP(INDIRECT(ADDRESS(2,COLUMN())),OFFSET($BN$2,0,0,ROW()-1,60),ROW()-1,FALSE))</f>
        <v>1.8140951489999999</v>
      </c>
      <c r="T57">
        <f ca="1">IF(AND(ISNUMBER($T$730),$B$677=1),$T$730,HLOOKUP(INDIRECT(ADDRESS(2,COLUMN())),OFFSET($BN$2,0,0,ROW()-1,60),ROW()-1,FALSE))</f>
        <v>1.589148091</v>
      </c>
      <c r="U57">
        <f ca="1">IF(AND(ISNUMBER($U$730),$B$677=1),$U$730,HLOOKUP(INDIRECT(ADDRESS(2,COLUMN())),OFFSET($BN$2,0,0,ROW()-1,60),ROW()-1,FALSE))</f>
        <v>0.77099929899999997</v>
      </c>
      <c r="V57" t="str">
        <f ca="1">IF(AND(ISNUMBER($V$730),$B$677=1),$V$730,HLOOKUP(INDIRECT(ADDRESS(2,COLUMN())),OFFSET($BN$2,0,0,ROW()-1,60),ROW()-1,FALSE))</f>
        <v/>
      </c>
      <c r="W57" t="str">
        <f ca="1">IF(AND(ISNUMBER($W$730),$B$677=1),$W$730,HLOOKUP(INDIRECT(ADDRESS(2,COLUMN())),OFFSET($BN$2,0,0,ROW()-1,60),ROW()-1,FALSE))</f>
        <v/>
      </c>
      <c r="X57" t="str">
        <f ca="1">IF(AND(ISNUMBER($X$730),$B$677=1),$X$730,HLOOKUP(INDIRECT(ADDRESS(2,COLUMN())),OFFSET($BN$2,0,0,ROW()-1,60),ROW()-1,FALSE))</f>
        <v/>
      </c>
      <c r="Y57" t="str">
        <f ca="1">IF(AND(ISNUMBER($Y$730),$B$677=1),$Y$730,HLOOKUP(INDIRECT(ADDRESS(2,COLUMN())),OFFSET($BN$2,0,0,ROW()-1,60),ROW()-1,FALSE))</f>
        <v/>
      </c>
      <c r="Z57" t="str">
        <f ca="1">IF(AND(ISNUMBER($Z$730),$B$677=1),$Z$730,HLOOKUP(INDIRECT(ADDRESS(2,COLUMN())),OFFSET($BN$2,0,0,ROW()-1,60),ROW()-1,FALSE))</f>
        <v/>
      </c>
      <c r="AA57" t="str">
        <f ca="1">IF(AND(ISNUMBER($AA$730),$B$677=1),$AA$730,HLOOKUP(INDIRECT(ADDRESS(2,COLUMN())),OFFSET($BN$2,0,0,ROW()-1,60),ROW()-1,FALSE))</f>
        <v/>
      </c>
      <c r="AB57" t="str">
        <f ca="1">IF(AND(ISNUMBER($AB$730),$B$677=1),$AB$730,HLOOKUP(INDIRECT(ADDRESS(2,COLUMN())),OFFSET($BN$2,0,0,ROW()-1,60),ROW()-1,FALSE))</f>
        <v/>
      </c>
      <c r="AC57" t="str">
        <f ca="1">IF(AND(ISNUMBER($AC$730),$B$677=1),$AC$730,HLOOKUP(INDIRECT(ADDRESS(2,COLUMN())),OFFSET($BN$2,0,0,ROW()-1,60),ROW()-1,FALSE))</f>
        <v/>
      </c>
      <c r="AD57" t="str">
        <f ca="1">IF(AND(ISNUMBER($AD$730),$B$677=1),$AD$730,HLOOKUP(INDIRECT(ADDRESS(2,COLUMN())),OFFSET($BN$2,0,0,ROW()-1,60),ROW()-1,FALSE))</f>
        <v/>
      </c>
      <c r="AE57" t="str">
        <f ca="1">IF(AND(ISNUMBER($AE$730),$B$677=1),$AE$730,HLOOKUP(INDIRECT(ADDRESS(2,COLUMN())),OFFSET($BN$2,0,0,ROW()-1,60),ROW()-1,FALSE))</f>
        <v/>
      </c>
      <c r="AF57" t="str">
        <f ca="1">IF(AND(ISNUMBER($AF$730),$B$677=1),$AF$730,HLOOKUP(INDIRECT(ADDRESS(2,COLUMN())),OFFSET($BN$2,0,0,ROW()-1,60),ROW()-1,FALSE))</f>
        <v/>
      </c>
      <c r="AG57" t="str">
        <f ca="1">IF(AND(ISNUMBER($AG$730),$B$677=1),$AG$730,HLOOKUP(INDIRECT(ADDRESS(2,COLUMN())),OFFSET($BN$2,0,0,ROW()-1,60),ROW()-1,FALSE))</f>
        <v/>
      </c>
      <c r="AH57" t="str">
        <f ca="1">IF(AND(ISNUMBER($AH$730),$B$677=1),$AH$730,HLOOKUP(INDIRECT(ADDRESS(2,COLUMN())),OFFSET($BN$2,0,0,ROW()-1,60),ROW()-1,FALSE))</f>
        <v/>
      </c>
      <c r="AI57" t="str">
        <f ca="1">IF(AND(ISNUMBER($AI$730),$B$677=1),$AI$730,HLOOKUP(INDIRECT(ADDRESS(2,COLUMN())),OFFSET($BN$2,0,0,ROW()-1,60),ROW()-1,FALSE))</f>
        <v/>
      </c>
      <c r="AJ57" t="str">
        <f ca="1">IF(AND(ISNUMBER($AJ$730),$B$677=1),$AJ$730,HLOOKUP(INDIRECT(ADDRESS(2,COLUMN())),OFFSET($BN$2,0,0,ROW()-1,60),ROW()-1,FALSE))</f>
        <v/>
      </c>
      <c r="AK57" t="str">
        <f ca="1">IF(AND(ISNUMBER($AK$730),$B$677=1),$AK$730,HLOOKUP(INDIRECT(ADDRESS(2,COLUMN())),OFFSET($BN$2,0,0,ROW()-1,60),ROW()-1,FALSE))</f>
        <v/>
      </c>
      <c r="AL57" t="str">
        <f ca="1">IF(AND(ISNUMBER($AL$730),$B$677=1),$AL$730,HLOOKUP(INDIRECT(ADDRESS(2,COLUMN())),OFFSET($BN$2,0,0,ROW()-1,60),ROW()-1,FALSE))</f>
        <v/>
      </c>
      <c r="AM57" t="str">
        <f ca="1">IF(AND(ISNUMBER($AM$730),$B$677=1),$AM$730,HLOOKUP(INDIRECT(ADDRESS(2,COLUMN())),OFFSET($BN$2,0,0,ROW()-1,60),ROW()-1,FALSE))</f>
        <v/>
      </c>
      <c r="AN57" t="str">
        <f ca="1">IF(AND(ISNUMBER($AN$730),$B$677=1),$AN$730,HLOOKUP(INDIRECT(ADDRESS(2,COLUMN())),OFFSET($BN$2,0,0,ROW()-1,60),ROW()-1,FALSE))</f>
        <v/>
      </c>
      <c r="AO57" t="str">
        <f ca="1">IF(AND(ISNUMBER($AO$730),$B$677=1),$AO$730,HLOOKUP(INDIRECT(ADDRESS(2,COLUMN())),OFFSET($BN$2,0,0,ROW()-1,60),ROW()-1,FALSE))</f>
        <v/>
      </c>
      <c r="AP57" t="str">
        <f ca="1">IF(AND(ISNUMBER($AP$730),$B$677=1),$AP$730,HLOOKUP(INDIRECT(ADDRESS(2,COLUMN())),OFFSET($BN$2,0,0,ROW()-1,60),ROW()-1,FALSE))</f>
        <v/>
      </c>
      <c r="AQ57" t="str">
        <f ca="1">IF(AND(ISNUMBER($AQ$730),$B$677=1),$AQ$730,HLOOKUP(INDIRECT(ADDRESS(2,COLUMN())),OFFSET($BN$2,0,0,ROW()-1,60),ROW()-1,FALSE))</f>
        <v/>
      </c>
      <c r="AR57" t="str">
        <f ca="1">IF(AND(ISNUMBER($AR$730),$B$677=1),$AR$730,HLOOKUP(INDIRECT(ADDRESS(2,COLUMN())),OFFSET($BN$2,0,0,ROW()-1,60),ROW()-1,FALSE))</f>
        <v/>
      </c>
      <c r="AS57" t="str">
        <f ca="1">IF(AND(ISNUMBER($AS$730),$B$677=1),$AS$730,HLOOKUP(INDIRECT(ADDRESS(2,COLUMN())),OFFSET($BN$2,0,0,ROW()-1,60),ROW()-1,FALSE))</f>
        <v/>
      </c>
      <c r="AT57" t="str">
        <f ca="1">IF(AND(ISNUMBER($AT$730),$B$677=1),$AT$730,HLOOKUP(INDIRECT(ADDRESS(2,COLUMN())),OFFSET($BN$2,0,0,ROW()-1,60),ROW()-1,FALSE))</f>
        <v/>
      </c>
      <c r="AU57" t="str">
        <f ca="1">IF(AND(ISNUMBER($AU$730),$B$677=1),$AU$730,HLOOKUP(INDIRECT(ADDRESS(2,COLUMN())),OFFSET($BN$2,0,0,ROW()-1,60),ROW()-1,FALSE))</f>
        <v/>
      </c>
      <c r="AV57" t="str">
        <f ca="1">IF(AND(ISNUMBER($AV$730),$B$677=1),$AV$730,HLOOKUP(INDIRECT(ADDRESS(2,COLUMN())),OFFSET($BN$2,0,0,ROW()-1,60),ROW()-1,FALSE))</f>
        <v/>
      </c>
      <c r="AW57" t="str">
        <f ca="1">IF(AND(ISNUMBER($AW$730),$B$677=1),$AW$730,HLOOKUP(INDIRECT(ADDRESS(2,COLUMN())),OFFSET($BN$2,0,0,ROW()-1,60),ROW()-1,FALSE))</f>
        <v/>
      </c>
      <c r="AX57" t="str">
        <f ca="1">IF(AND(ISNUMBER($AX$730),$B$677=1),$AX$730,HLOOKUP(INDIRECT(ADDRESS(2,COLUMN())),OFFSET($BN$2,0,0,ROW()-1,60),ROW()-1,FALSE))</f>
        <v/>
      </c>
      <c r="AY57" t="str">
        <f ca="1">IF(AND(ISNUMBER($AY$730),$B$677=1),$AY$730,HLOOKUP(INDIRECT(ADDRESS(2,COLUMN())),OFFSET($BN$2,0,0,ROW()-1,60),ROW()-1,FALSE))</f>
        <v/>
      </c>
      <c r="AZ57" t="str">
        <f ca="1">IF(AND(ISNUMBER($AZ$730),$B$677=1),$AZ$730,HLOOKUP(INDIRECT(ADDRESS(2,COLUMN())),OFFSET($BN$2,0,0,ROW()-1,60),ROW()-1,FALSE))</f>
        <v/>
      </c>
      <c r="BA57" t="str">
        <f ca="1">IF(AND(ISNUMBER($BA$730),$B$677=1),$BA$730,HLOOKUP(INDIRECT(ADDRESS(2,COLUMN())),OFFSET($BN$2,0,0,ROW()-1,60),ROW()-1,FALSE))</f>
        <v/>
      </c>
      <c r="BB57" t="str">
        <f ca="1">IF(AND(ISNUMBER($BB$730),$B$677=1),$BB$730,HLOOKUP(INDIRECT(ADDRESS(2,COLUMN())),OFFSET($BN$2,0,0,ROW()-1,60),ROW()-1,FALSE))</f>
        <v/>
      </c>
      <c r="BC57" t="str">
        <f ca="1">IF(AND(ISNUMBER($BC$730),$B$677=1),$BC$730,HLOOKUP(INDIRECT(ADDRESS(2,COLUMN())),OFFSET($BN$2,0,0,ROW()-1,60),ROW()-1,FALSE))</f>
        <v/>
      </c>
      <c r="BD57" t="str">
        <f ca="1">IF(AND(ISNUMBER($BD$730),$B$677=1),$BD$730,HLOOKUP(INDIRECT(ADDRESS(2,COLUMN())),OFFSET($BN$2,0,0,ROW()-1,60),ROW()-1,FALSE))</f>
        <v/>
      </c>
      <c r="BE57" t="str">
        <f ca="1">IF(AND(ISNUMBER($BE$730),$B$677=1),$BE$730,HLOOKUP(INDIRECT(ADDRESS(2,COLUMN())),OFFSET($BN$2,0,0,ROW()-1,60),ROW()-1,FALSE))</f>
        <v/>
      </c>
      <c r="BF57" t="str">
        <f ca="1">IF(AND(ISNUMBER($BF$730),$B$677=1),$BF$730,HLOOKUP(INDIRECT(ADDRESS(2,COLUMN())),OFFSET($BN$2,0,0,ROW()-1,60),ROW()-1,FALSE))</f>
        <v/>
      </c>
      <c r="BG57" t="str">
        <f ca="1">IF(AND(ISNUMBER($BG$730),$B$677=1),$BG$730,HLOOKUP(INDIRECT(ADDRESS(2,COLUMN())),OFFSET($BN$2,0,0,ROW()-1,60),ROW()-1,FALSE))</f>
        <v/>
      </c>
      <c r="BH57" t="str">
        <f ca="1">IF(AND(ISNUMBER($BH$730),$B$677=1),$BH$730,HLOOKUP(INDIRECT(ADDRESS(2,COLUMN())),OFFSET($BN$2,0,0,ROW()-1,60),ROW()-1,FALSE))</f>
        <v/>
      </c>
      <c r="BI57" t="str">
        <f ca="1">IF(AND(ISNUMBER($BI$730),$B$677=1),$BI$730,HLOOKUP(INDIRECT(ADDRESS(2,COLUMN())),OFFSET($BN$2,0,0,ROW()-1,60),ROW()-1,FALSE))</f>
        <v/>
      </c>
      <c r="BJ57" t="str">
        <f ca="1">IF(AND(ISNUMBER($BJ$730),$B$677=1),$BJ$730,HLOOKUP(INDIRECT(ADDRESS(2,COLUMN())),OFFSET($BN$2,0,0,ROW()-1,60),ROW()-1,FALSE))</f>
        <v/>
      </c>
      <c r="BK57" t="str">
        <f ca="1">IF(AND(ISNUMBER($BK$730),$B$677=1),$BK$730,HLOOKUP(INDIRECT(ADDRESS(2,COLUMN())),OFFSET($BN$2,0,0,ROW()-1,60),ROW()-1,FALSE))</f>
        <v/>
      </c>
      <c r="BL57" t="str">
        <f ca="1">IF(AND(ISNUMBER($BL$730),$B$677=1),$BL$730,HLOOKUP(INDIRECT(ADDRESS(2,COLUMN())),OFFSET($BN$2,0,0,ROW()-1,60),ROW()-1,FALSE))</f>
        <v/>
      </c>
      <c r="BM57" t="str">
        <f ca="1">IF(AND(ISNUMBER($BM$730),$B$677=1),$BM$730,HLOOKUP(INDIRECT(ADDRESS(2,COLUMN())),OFFSET($BN$2,0,0,ROW()-1,60),ROW()-1,FALSE))</f>
        <v/>
      </c>
      <c r="BN57">
        <f>4.478298776</f>
        <v>4.4782987759999999</v>
      </c>
      <c r="BO57">
        <f>3.926186393</f>
        <v>3.9261863930000001</v>
      </c>
      <c r="BP57">
        <f>4.499144032</f>
        <v>4.4991440320000002</v>
      </c>
      <c r="BQ57">
        <f>4.606235844</f>
        <v>4.6062358440000004</v>
      </c>
      <c r="BR57">
        <f>4.994060062</f>
        <v>4.994060062</v>
      </c>
      <c r="BS57">
        <f>5.374668956</f>
        <v>5.3746689559999998</v>
      </c>
      <c r="BT57">
        <f>5.710992954</f>
        <v>5.710992954</v>
      </c>
      <c r="BU57">
        <f>3.648233546</f>
        <v>3.6482335460000002</v>
      </c>
      <c r="BV57">
        <f>4.277027241</f>
        <v>4.2770272409999999</v>
      </c>
      <c r="BW57">
        <f>3.50081321</f>
        <v>3.50081321</v>
      </c>
      <c r="BX57">
        <f>2.79413511</f>
        <v>2.79413511</v>
      </c>
      <c r="BY57">
        <f>7.272312453</f>
        <v>7.2723124529999996</v>
      </c>
      <c r="BZ57">
        <f>19.29803505</f>
        <v>19.298035049999999</v>
      </c>
      <c r="CA57">
        <f>1.814095149</f>
        <v>1.8140951489999999</v>
      </c>
      <c r="CB57">
        <f>1.589148091</f>
        <v>1.589148091</v>
      </c>
      <c r="CC57">
        <f>0.770999299</f>
        <v>0.77099929899999997</v>
      </c>
      <c r="CD57" t="str">
        <f>""</f>
        <v/>
      </c>
      <c r="CE57" t="str">
        <f>""</f>
        <v/>
      </c>
      <c r="CF57" t="str">
        <f>""</f>
        <v/>
      </c>
      <c r="CG57" t="str">
        <f>""</f>
        <v/>
      </c>
      <c r="CH57" t="str">
        <f>""</f>
        <v/>
      </c>
      <c r="CI57" t="str">
        <f>""</f>
        <v/>
      </c>
      <c r="CJ57" t="str">
        <f>""</f>
        <v/>
      </c>
      <c r="CK57" t="str">
        <f>""</f>
        <v/>
      </c>
      <c r="CL57" t="str">
        <f>""</f>
        <v/>
      </c>
      <c r="CM57" t="str">
        <f>""</f>
        <v/>
      </c>
      <c r="CN57" t="str">
        <f>""</f>
        <v/>
      </c>
      <c r="CO57" t="str">
        <f>""</f>
        <v/>
      </c>
      <c r="CP57" t="str">
        <f>""</f>
        <v/>
      </c>
      <c r="CQ57" t="str">
        <f>""</f>
        <v/>
      </c>
      <c r="CR57" t="str">
        <f>""</f>
        <v/>
      </c>
      <c r="CS57" t="str">
        <f>""</f>
        <v/>
      </c>
      <c r="CT57" t="str">
        <f>""</f>
        <v/>
      </c>
      <c r="CU57" t="str">
        <f>""</f>
        <v/>
      </c>
      <c r="CV57" t="str">
        <f>""</f>
        <v/>
      </c>
      <c r="CW57" t="str">
        <f>""</f>
        <v/>
      </c>
      <c r="CX57" t="str">
        <f>""</f>
        <v/>
      </c>
      <c r="CY57" t="str">
        <f>""</f>
        <v/>
      </c>
      <c r="CZ57" t="str">
        <f>""</f>
        <v/>
      </c>
      <c r="DA57" t="str">
        <f>""</f>
        <v/>
      </c>
      <c r="DB57" t="str">
        <f>""</f>
        <v/>
      </c>
      <c r="DC57" t="str">
        <f>""</f>
        <v/>
      </c>
      <c r="DD57" t="str">
        <f>""</f>
        <v/>
      </c>
      <c r="DE57" t="str">
        <f>""</f>
        <v/>
      </c>
      <c r="DF57" t="str">
        <f>""</f>
        <v/>
      </c>
      <c r="DG57" t="str">
        <f>""</f>
        <v/>
      </c>
      <c r="DH57" t="str">
        <f>""</f>
        <v/>
      </c>
      <c r="DI57" t="str">
        <f>""</f>
        <v/>
      </c>
      <c r="DJ57" t="str">
        <f>""</f>
        <v/>
      </c>
      <c r="DK57" t="str">
        <f>""</f>
        <v/>
      </c>
      <c r="DL57" t="str">
        <f>""</f>
        <v/>
      </c>
      <c r="DM57" t="str">
        <f>""</f>
        <v/>
      </c>
      <c r="DN57" t="str">
        <f>""</f>
        <v/>
      </c>
      <c r="DO57" t="str">
        <f>""</f>
        <v/>
      </c>
      <c r="DP57" t="str">
        <f>""</f>
        <v/>
      </c>
      <c r="DQ57" t="str">
        <f>""</f>
        <v/>
      </c>
      <c r="DR57" t="str">
        <f>""</f>
        <v/>
      </c>
      <c r="DS57" t="str">
        <f>""</f>
        <v/>
      </c>
      <c r="DT57" t="str">
        <f>""</f>
        <v/>
      </c>
      <c r="DU57" t="str">
        <f>""</f>
        <v/>
      </c>
    </row>
    <row r="58" spans="1:125" x14ac:dyDescent="0.25">
      <c r="A58" t="str">
        <f>"    Ford Motor Co"</f>
        <v xml:space="preserve">    Ford Motor Co</v>
      </c>
      <c r="B58" t="str">
        <f>"F US Equity"</f>
        <v>F US Equity</v>
      </c>
      <c r="C58" t="str">
        <f t="shared" si="3"/>
        <v>EZ009</v>
      </c>
      <c r="D58" t="str">
        <f t="shared" si="4"/>
        <v>BEST_EST_PE_CUR_YR</v>
      </c>
      <c r="E58" t="str">
        <f t="shared" si="5"/>
        <v>Dynamic</v>
      </c>
      <c r="F58">
        <f ca="1">IF(AND(ISNUMBER($F$731),$B$677=1),$F$731,HLOOKUP(INDIRECT(ADDRESS(2,COLUMN())),OFFSET($BN$2,0,0,ROW()-1,60),ROW()-1,FALSE))</f>
        <v>7.2950127760000001</v>
      </c>
      <c r="G58">
        <f ca="1">IF(AND(ISNUMBER($G$731),$B$677=1),$G$731,HLOOKUP(INDIRECT(ADDRESS(2,COLUMN())),OFFSET($BN$2,0,0,ROW()-1,60),ROW()-1,FALSE))</f>
        <v>5.8486238530000003</v>
      </c>
      <c r="H58">
        <f ca="1">IF(AND(ISNUMBER($H$731),$B$677=1),$H$731,HLOOKUP(INDIRECT(ADDRESS(2,COLUMN())),OFFSET($BN$2,0,0,ROW()-1,60),ROW()-1,FALSE))</f>
        <v>6.6642651300000004</v>
      </c>
      <c r="I58">
        <f ca="1">IF(AND(ISNUMBER($I$731),$B$677=1),$I$731,HLOOKUP(INDIRECT(ADDRESS(2,COLUMN())),OFFSET($BN$2,0,0,ROW()-1,60),ROW()-1,FALSE))</f>
        <v>7.244764398</v>
      </c>
      <c r="J58">
        <f ca="1">IF(AND(ISNUMBER($J$731),$B$677=1),$J$731,HLOOKUP(INDIRECT(ADDRESS(2,COLUMN())),OFFSET($BN$2,0,0,ROW()-1,60),ROW()-1,FALSE))</f>
        <v>7.3474801059999999</v>
      </c>
      <c r="K58">
        <f ca="1">IF(AND(ISNUMBER($K$731),$B$677=1),$K$731,HLOOKUP(INDIRECT(ADDRESS(2,COLUMN())),OFFSET($BN$2,0,0,ROW()-1,60),ROW()-1,FALSE))</f>
        <v>7.6484996939999998</v>
      </c>
      <c r="L58">
        <f ca="1">IF(AND(ISNUMBER($L$731),$B$677=1),$L$731,HLOOKUP(INDIRECT(ADDRESS(2,COLUMN())),OFFSET($BN$2,0,0,ROW()-1,60),ROW()-1,FALSE))</f>
        <v>7.7576150359999998</v>
      </c>
      <c r="M58">
        <f ca="1">IF(AND(ISNUMBER($M$731),$B$677=1),$M$731,HLOOKUP(INDIRECT(ADDRESS(2,COLUMN())),OFFSET($BN$2,0,0,ROW()-1,60),ROW()-1,FALSE))</f>
        <v>6.574618096</v>
      </c>
      <c r="N58">
        <f ca="1">IF(AND(ISNUMBER($N$731),$B$677=1),$N$731,HLOOKUP(INDIRECT(ADDRESS(2,COLUMN())),OFFSET($BN$2,0,0,ROW()-1,60),ROW()-1,FALSE))</f>
        <v>6.7322151530000003</v>
      </c>
      <c r="O58">
        <f ca="1">IF(AND(ISNUMBER($O$731),$B$677=1),$O$731,HLOOKUP(INDIRECT(ADDRESS(2,COLUMN())),OFFSET($BN$2,0,0,ROW()-1,60),ROW()-1,FALSE))</f>
        <v>7.4417177910000003</v>
      </c>
      <c r="P58">
        <f ca="1">IF(AND(ISNUMBER($P$731),$B$677=1),$P$731,HLOOKUP(INDIRECT(ADDRESS(2,COLUMN())),OFFSET($BN$2,0,0,ROW()-1,60),ROW()-1,FALSE))</f>
        <v>6.4545454549999999</v>
      </c>
      <c r="Q58">
        <f ca="1">IF(AND(ISNUMBER($Q$731),$B$677=1),$Q$731,HLOOKUP(INDIRECT(ADDRESS(2,COLUMN())),OFFSET($BN$2,0,0,ROW()-1,60),ROW()-1,FALSE))</f>
        <v>6.7219251340000001</v>
      </c>
      <c r="R58">
        <f ca="1">IF(AND(ISNUMBER($R$731),$B$677=1),$R$731,HLOOKUP(INDIRECT(ADDRESS(2,COLUMN())),OFFSET($BN$2,0,0,ROW()-1,60),ROW()-1,FALSE))</f>
        <v>7.2192513370000002</v>
      </c>
      <c r="S58">
        <f ca="1">IF(AND(ISNUMBER($S$731),$B$677=1),$S$731,HLOOKUP(INDIRECT(ADDRESS(2,COLUMN())),OFFSET($BN$2,0,0,ROW()-1,60),ROW()-1,FALSE))</f>
        <v>7.5347593579999996</v>
      </c>
      <c r="T58" t="str">
        <f ca="1">IF(AND(ISNUMBER($T$731),$B$677=1),$T$731,HLOOKUP(INDIRECT(ADDRESS(2,COLUMN())),OFFSET($BN$2,0,0,ROW()-1,60),ROW()-1,FALSE))</f>
        <v/>
      </c>
      <c r="U58" t="str">
        <f ca="1">IF(AND(ISNUMBER($U$731),$B$677=1),$U$731,HLOOKUP(INDIRECT(ADDRESS(2,COLUMN())),OFFSET($BN$2,0,0,ROW()-1,60),ROW()-1,FALSE))</f>
        <v/>
      </c>
      <c r="V58" t="str">
        <f ca="1">IF(AND(ISNUMBER($V$731),$B$677=1),$V$731,HLOOKUP(INDIRECT(ADDRESS(2,COLUMN())),OFFSET($BN$2,0,0,ROW()-1,60),ROW()-1,FALSE))</f>
        <v/>
      </c>
      <c r="W58" t="str">
        <f ca="1">IF(AND(ISNUMBER($W$731),$B$677=1),$W$731,HLOOKUP(INDIRECT(ADDRESS(2,COLUMN())),OFFSET($BN$2,0,0,ROW()-1,60),ROW()-1,FALSE))</f>
        <v/>
      </c>
      <c r="X58" t="str">
        <f ca="1">IF(AND(ISNUMBER($X$731),$B$677=1),$X$731,HLOOKUP(INDIRECT(ADDRESS(2,COLUMN())),OFFSET($BN$2,0,0,ROW()-1,60),ROW()-1,FALSE))</f>
        <v/>
      </c>
      <c r="Y58" t="str">
        <f ca="1">IF(AND(ISNUMBER($Y$731),$B$677=1),$Y$731,HLOOKUP(INDIRECT(ADDRESS(2,COLUMN())),OFFSET($BN$2,0,0,ROW()-1,60),ROW()-1,FALSE))</f>
        <v/>
      </c>
      <c r="Z58" t="str">
        <f ca="1">IF(AND(ISNUMBER($Z$731),$B$677=1),$Z$731,HLOOKUP(INDIRECT(ADDRESS(2,COLUMN())),OFFSET($BN$2,0,0,ROW()-1,60),ROW()-1,FALSE))</f>
        <v/>
      </c>
      <c r="AA58" t="str">
        <f ca="1">IF(AND(ISNUMBER($AA$731),$B$677=1),$AA$731,HLOOKUP(INDIRECT(ADDRESS(2,COLUMN())),OFFSET($BN$2,0,0,ROW()-1,60),ROW()-1,FALSE))</f>
        <v/>
      </c>
      <c r="AB58" t="str">
        <f ca="1">IF(AND(ISNUMBER($AB$731),$B$677=1),$AB$731,HLOOKUP(INDIRECT(ADDRESS(2,COLUMN())),OFFSET($BN$2,0,0,ROW()-1,60),ROW()-1,FALSE))</f>
        <v/>
      </c>
      <c r="AC58" t="str">
        <f ca="1">IF(AND(ISNUMBER($AC$731),$B$677=1),$AC$731,HLOOKUP(INDIRECT(ADDRESS(2,COLUMN())),OFFSET($BN$2,0,0,ROW()-1,60),ROW()-1,FALSE))</f>
        <v/>
      </c>
      <c r="AD58" t="str">
        <f ca="1">IF(AND(ISNUMBER($AD$731),$B$677=1),$AD$731,HLOOKUP(INDIRECT(ADDRESS(2,COLUMN())),OFFSET($BN$2,0,0,ROW()-1,60),ROW()-1,FALSE))</f>
        <v/>
      </c>
      <c r="AE58" t="str">
        <f ca="1">IF(AND(ISNUMBER($AE$731),$B$677=1),$AE$731,HLOOKUP(INDIRECT(ADDRESS(2,COLUMN())),OFFSET($BN$2,0,0,ROW()-1,60),ROW()-1,FALSE))</f>
        <v/>
      </c>
      <c r="AF58" t="str">
        <f ca="1">IF(AND(ISNUMBER($AF$731),$B$677=1),$AF$731,HLOOKUP(INDIRECT(ADDRESS(2,COLUMN())),OFFSET($BN$2,0,0,ROW()-1,60),ROW()-1,FALSE))</f>
        <v/>
      </c>
      <c r="AG58" t="str">
        <f ca="1">IF(AND(ISNUMBER($AG$731),$B$677=1),$AG$731,HLOOKUP(INDIRECT(ADDRESS(2,COLUMN())),OFFSET($BN$2,0,0,ROW()-1,60),ROW()-1,FALSE))</f>
        <v/>
      </c>
      <c r="AH58" t="str">
        <f ca="1">IF(AND(ISNUMBER($AH$731),$B$677=1),$AH$731,HLOOKUP(INDIRECT(ADDRESS(2,COLUMN())),OFFSET($BN$2,0,0,ROW()-1,60),ROW()-1,FALSE))</f>
        <v/>
      </c>
      <c r="AI58" t="str">
        <f ca="1">IF(AND(ISNUMBER($AI$731),$B$677=1),$AI$731,HLOOKUP(INDIRECT(ADDRESS(2,COLUMN())),OFFSET($BN$2,0,0,ROW()-1,60),ROW()-1,FALSE))</f>
        <v/>
      </c>
      <c r="AJ58" t="str">
        <f ca="1">IF(AND(ISNUMBER($AJ$731),$B$677=1),$AJ$731,HLOOKUP(INDIRECT(ADDRESS(2,COLUMN())),OFFSET($BN$2,0,0,ROW()-1,60),ROW()-1,FALSE))</f>
        <v/>
      </c>
      <c r="AK58" t="str">
        <f ca="1">IF(AND(ISNUMBER($AK$731),$B$677=1),$AK$731,HLOOKUP(INDIRECT(ADDRESS(2,COLUMN())),OFFSET($BN$2,0,0,ROW()-1,60),ROW()-1,FALSE))</f>
        <v/>
      </c>
      <c r="AL58" t="str">
        <f ca="1">IF(AND(ISNUMBER($AL$731),$B$677=1),$AL$731,HLOOKUP(INDIRECT(ADDRESS(2,COLUMN())),OFFSET($BN$2,0,0,ROW()-1,60),ROW()-1,FALSE))</f>
        <v/>
      </c>
      <c r="AM58" t="str">
        <f ca="1">IF(AND(ISNUMBER($AM$731),$B$677=1),$AM$731,HLOOKUP(INDIRECT(ADDRESS(2,COLUMN())),OFFSET($BN$2,0,0,ROW()-1,60),ROW()-1,FALSE))</f>
        <v/>
      </c>
      <c r="AN58" t="str">
        <f ca="1">IF(AND(ISNUMBER($AN$731),$B$677=1),$AN$731,HLOOKUP(INDIRECT(ADDRESS(2,COLUMN())),OFFSET($BN$2,0,0,ROW()-1,60),ROW()-1,FALSE))</f>
        <v/>
      </c>
      <c r="AO58" t="str">
        <f ca="1">IF(AND(ISNUMBER($AO$731),$B$677=1),$AO$731,HLOOKUP(INDIRECT(ADDRESS(2,COLUMN())),OFFSET($BN$2,0,0,ROW()-1,60),ROW()-1,FALSE))</f>
        <v/>
      </c>
      <c r="AP58" t="str">
        <f ca="1">IF(AND(ISNUMBER($AP$731),$B$677=1),$AP$731,HLOOKUP(INDIRECT(ADDRESS(2,COLUMN())),OFFSET($BN$2,0,0,ROW()-1,60),ROW()-1,FALSE))</f>
        <v/>
      </c>
      <c r="AQ58" t="str">
        <f ca="1">IF(AND(ISNUMBER($AQ$731),$B$677=1),$AQ$731,HLOOKUP(INDIRECT(ADDRESS(2,COLUMN())),OFFSET($BN$2,0,0,ROW()-1,60),ROW()-1,FALSE))</f>
        <v/>
      </c>
      <c r="AR58" t="str">
        <f ca="1">IF(AND(ISNUMBER($AR$731),$B$677=1),$AR$731,HLOOKUP(INDIRECT(ADDRESS(2,COLUMN())),OFFSET($BN$2,0,0,ROW()-1,60),ROW()-1,FALSE))</f>
        <v/>
      </c>
      <c r="AS58" t="str">
        <f ca="1">IF(AND(ISNUMBER($AS$731),$B$677=1),$AS$731,HLOOKUP(INDIRECT(ADDRESS(2,COLUMN())),OFFSET($BN$2,0,0,ROW()-1,60),ROW()-1,FALSE))</f>
        <v/>
      </c>
      <c r="AT58" t="str">
        <f ca="1">IF(AND(ISNUMBER($AT$731),$B$677=1),$AT$731,HLOOKUP(INDIRECT(ADDRESS(2,COLUMN())),OFFSET($BN$2,0,0,ROW()-1,60),ROW()-1,FALSE))</f>
        <v/>
      </c>
      <c r="AU58" t="str">
        <f ca="1">IF(AND(ISNUMBER($AU$731),$B$677=1),$AU$731,HLOOKUP(INDIRECT(ADDRESS(2,COLUMN())),OFFSET($BN$2,0,0,ROW()-1,60),ROW()-1,FALSE))</f>
        <v/>
      </c>
      <c r="AV58" t="str">
        <f ca="1">IF(AND(ISNUMBER($AV$731),$B$677=1),$AV$731,HLOOKUP(INDIRECT(ADDRESS(2,COLUMN())),OFFSET($BN$2,0,0,ROW()-1,60),ROW()-1,FALSE))</f>
        <v/>
      </c>
      <c r="AW58" t="str">
        <f ca="1">IF(AND(ISNUMBER($AW$731),$B$677=1),$AW$731,HLOOKUP(INDIRECT(ADDRESS(2,COLUMN())),OFFSET($BN$2,0,0,ROW()-1,60),ROW()-1,FALSE))</f>
        <v/>
      </c>
      <c r="AX58" t="str">
        <f ca="1">IF(AND(ISNUMBER($AX$731),$B$677=1),$AX$731,HLOOKUP(INDIRECT(ADDRESS(2,COLUMN())),OFFSET($BN$2,0,0,ROW()-1,60),ROW()-1,FALSE))</f>
        <v/>
      </c>
      <c r="AY58" t="str">
        <f ca="1">IF(AND(ISNUMBER($AY$731),$B$677=1),$AY$731,HLOOKUP(INDIRECT(ADDRESS(2,COLUMN())),OFFSET($BN$2,0,0,ROW()-1,60),ROW()-1,FALSE))</f>
        <v/>
      </c>
      <c r="AZ58" t="str">
        <f ca="1">IF(AND(ISNUMBER($AZ$731),$B$677=1),$AZ$731,HLOOKUP(INDIRECT(ADDRESS(2,COLUMN())),OFFSET($BN$2,0,0,ROW()-1,60),ROW()-1,FALSE))</f>
        <v/>
      </c>
      <c r="BA58" t="str">
        <f ca="1">IF(AND(ISNUMBER($BA$731),$B$677=1),$BA$731,HLOOKUP(INDIRECT(ADDRESS(2,COLUMN())),OFFSET($BN$2,0,0,ROW()-1,60),ROW()-1,FALSE))</f>
        <v/>
      </c>
      <c r="BB58" t="str">
        <f ca="1">IF(AND(ISNUMBER($BB$731),$B$677=1),$BB$731,HLOOKUP(INDIRECT(ADDRESS(2,COLUMN())),OFFSET($BN$2,0,0,ROW()-1,60),ROW()-1,FALSE))</f>
        <v/>
      </c>
      <c r="BC58" t="str">
        <f ca="1">IF(AND(ISNUMBER($BC$731),$B$677=1),$BC$731,HLOOKUP(INDIRECT(ADDRESS(2,COLUMN())),OFFSET($BN$2,0,0,ROW()-1,60),ROW()-1,FALSE))</f>
        <v/>
      </c>
      <c r="BD58" t="str">
        <f ca="1">IF(AND(ISNUMBER($BD$731),$B$677=1),$BD$731,HLOOKUP(INDIRECT(ADDRESS(2,COLUMN())),OFFSET($BN$2,0,0,ROW()-1,60),ROW()-1,FALSE))</f>
        <v/>
      </c>
      <c r="BE58" t="str">
        <f ca="1">IF(AND(ISNUMBER($BE$731),$B$677=1),$BE$731,HLOOKUP(INDIRECT(ADDRESS(2,COLUMN())),OFFSET($BN$2,0,0,ROW()-1,60),ROW()-1,FALSE))</f>
        <v/>
      </c>
      <c r="BF58" t="str">
        <f ca="1">IF(AND(ISNUMBER($BF$731),$B$677=1),$BF$731,HLOOKUP(INDIRECT(ADDRESS(2,COLUMN())),OFFSET($BN$2,0,0,ROW()-1,60),ROW()-1,FALSE))</f>
        <v/>
      </c>
      <c r="BG58" t="str">
        <f ca="1">IF(AND(ISNUMBER($BG$731),$B$677=1),$BG$731,HLOOKUP(INDIRECT(ADDRESS(2,COLUMN())),OFFSET($BN$2,0,0,ROW()-1,60),ROW()-1,FALSE))</f>
        <v/>
      </c>
      <c r="BH58" t="str">
        <f ca="1">IF(AND(ISNUMBER($BH$731),$B$677=1),$BH$731,HLOOKUP(INDIRECT(ADDRESS(2,COLUMN())),OFFSET($BN$2,0,0,ROW()-1,60),ROW()-1,FALSE))</f>
        <v/>
      </c>
      <c r="BI58" t="str">
        <f ca="1">IF(AND(ISNUMBER($BI$731),$B$677=1),$BI$731,HLOOKUP(INDIRECT(ADDRESS(2,COLUMN())),OFFSET($BN$2,0,0,ROW()-1,60),ROW()-1,FALSE))</f>
        <v/>
      </c>
      <c r="BJ58" t="str">
        <f ca="1">IF(AND(ISNUMBER($BJ$731),$B$677=1),$BJ$731,HLOOKUP(INDIRECT(ADDRESS(2,COLUMN())),OFFSET($BN$2,0,0,ROW()-1,60),ROW()-1,FALSE))</f>
        <v/>
      </c>
      <c r="BK58" t="str">
        <f ca="1">IF(AND(ISNUMBER($BK$731),$B$677=1),$BK$731,HLOOKUP(INDIRECT(ADDRESS(2,COLUMN())),OFFSET($BN$2,0,0,ROW()-1,60),ROW()-1,FALSE))</f>
        <v/>
      </c>
      <c r="BL58" t="str">
        <f ca="1">IF(AND(ISNUMBER($BL$731),$B$677=1),$BL$731,HLOOKUP(INDIRECT(ADDRESS(2,COLUMN())),OFFSET($BN$2,0,0,ROW()-1,60),ROW()-1,FALSE))</f>
        <v/>
      </c>
      <c r="BM58" t="str">
        <f ca="1">IF(AND(ISNUMBER($BM$731),$B$677=1),$BM$731,HLOOKUP(INDIRECT(ADDRESS(2,COLUMN())),OFFSET($BN$2,0,0,ROW()-1,60),ROW()-1,FALSE))</f>
        <v/>
      </c>
      <c r="BN58">
        <f>7.295012776</f>
        <v>7.2950127760000001</v>
      </c>
      <c r="BO58">
        <f>5.848623853</f>
        <v>5.8486238530000003</v>
      </c>
      <c r="BP58">
        <f>6.66426513</f>
        <v>6.6642651300000004</v>
      </c>
      <c r="BQ58">
        <f>7.244764398</f>
        <v>7.244764398</v>
      </c>
      <c r="BR58">
        <f>7.347480106</f>
        <v>7.3474801059999999</v>
      </c>
      <c r="BS58">
        <f>7.648499694</f>
        <v>7.6484996939999998</v>
      </c>
      <c r="BT58">
        <f>7.757615036</f>
        <v>7.7576150359999998</v>
      </c>
      <c r="BU58">
        <f>6.574618096</f>
        <v>6.574618096</v>
      </c>
      <c r="BV58">
        <f>6.732215153</f>
        <v>6.7322151530000003</v>
      </c>
      <c r="BW58">
        <f>7.441717791</f>
        <v>7.4417177910000003</v>
      </c>
      <c r="BX58">
        <f>6.454545455</f>
        <v>6.4545454549999999</v>
      </c>
      <c r="BY58">
        <f>6.721925134</f>
        <v>6.7219251340000001</v>
      </c>
      <c r="BZ58">
        <f>7.219251337</f>
        <v>7.2192513370000002</v>
      </c>
      <c r="CA58">
        <f>7.534759358</f>
        <v>7.5347593579999996</v>
      </c>
      <c r="CB58" t="str">
        <f>""</f>
        <v/>
      </c>
      <c r="CC58" t="str">
        <f>""</f>
        <v/>
      </c>
      <c r="CD58" t="str">
        <f>""</f>
        <v/>
      </c>
      <c r="CE58" t="str">
        <f>""</f>
        <v/>
      </c>
      <c r="CF58" t="str">
        <f>""</f>
        <v/>
      </c>
      <c r="CG58" t="str">
        <f>""</f>
        <v/>
      </c>
      <c r="CH58" t="str">
        <f>""</f>
        <v/>
      </c>
      <c r="CI58" t="str">
        <f>""</f>
        <v/>
      </c>
      <c r="CJ58" t="str">
        <f>""</f>
        <v/>
      </c>
      <c r="CK58" t="str">
        <f>""</f>
        <v/>
      </c>
      <c r="CL58" t="str">
        <f>""</f>
        <v/>
      </c>
      <c r="CM58" t="str">
        <f>""</f>
        <v/>
      </c>
      <c r="CN58" t="str">
        <f>""</f>
        <v/>
      </c>
      <c r="CO58" t="str">
        <f>""</f>
        <v/>
      </c>
      <c r="CP58" t="str">
        <f>""</f>
        <v/>
      </c>
      <c r="CQ58" t="str">
        <f>""</f>
        <v/>
      </c>
      <c r="CR58" t="str">
        <f>""</f>
        <v/>
      </c>
      <c r="CS58" t="str">
        <f>""</f>
        <v/>
      </c>
      <c r="CT58" t="str">
        <f>""</f>
        <v/>
      </c>
      <c r="CU58" t="str">
        <f>""</f>
        <v/>
      </c>
      <c r="CV58" t="str">
        <f>""</f>
        <v/>
      </c>
      <c r="CW58" t="str">
        <f>""</f>
        <v/>
      </c>
      <c r="CX58" t="str">
        <f>""</f>
        <v/>
      </c>
      <c r="CY58" t="str">
        <f>""</f>
        <v/>
      </c>
      <c r="CZ58" t="str">
        <f>""</f>
        <v/>
      </c>
      <c r="DA58" t="str">
        <f>""</f>
        <v/>
      </c>
      <c r="DB58" t="str">
        <f>""</f>
        <v/>
      </c>
      <c r="DC58" t="str">
        <f>""</f>
        <v/>
      </c>
      <c r="DD58" t="str">
        <f>""</f>
        <v/>
      </c>
      <c r="DE58" t="str">
        <f>""</f>
        <v/>
      </c>
      <c r="DF58" t="str">
        <f>""</f>
        <v/>
      </c>
      <c r="DG58" t="str">
        <f>""</f>
        <v/>
      </c>
      <c r="DH58" t="str">
        <f>""</f>
        <v/>
      </c>
      <c r="DI58" t="str">
        <f>""</f>
        <v/>
      </c>
      <c r="DJ58" t="str">
        <f>""</f>
        <v/>
      </c>
      <c r="DK58" t="str">
        <f>""</f>
        <v/>
      </c>
      <c r="DL58" t="str">
        <f>""</f>
        <v/>
      </c>
      <c r="DM58" t="str">
        <f>""</f>
        <v/>
      </c>
      <c r="DN58" t="str">
        <f>""</f>
        <v/>
      </c>
      <c r="DO58" t="str">
        <f>""</f>
        <v/>
      </c>
      <c r="DP58" t="str">
        <f>""</f>
        <v/>
      </c>
      <c r="DQ58" t="str">
        <f>""</f>
        <v/>
      </c>
      <c r="DR58" t="str">
        <f>""</f>
        <v/>
      </c>
      <c r="DS58" t="str">
        <f>""</f>
        <v/>
      </c>
      <c r="DT58" t="str">
        <f>""</f>
        <v/>
      </c>
      <c r="DU58" t="str">
        <f>""</f>
        <v/>
      </c>
    </row>
    <row r="59" spans="1:125" x14ac:dyDescent="0.25">
      <c r="A59" t="str">
        <f>"    Ford Otomotiv Sanayi AS"</f>
        <v xml:space="preserve">    Ford Otomotiv Sanayi AS</v>
      </c>
      <c r="B59" t="str">
        <f>"FROTOTRY EO Equity"</f>
        <v>FROTOTRY EO Equity</v>
      </c>
      <c r="C59" t="str">
        <f t="shared" si="3"/>
        <v>EZ009</v>
      </c>
      <c r="D59" t="str">
        <f t="shared" si="4"/>
        <v>BEST_EST_PE_CUR_YR</v>
      </c>
      <c r="E59" t="str">
        <f t="shared" si="5"/>
        <v>Dynamic</v>
      </c>
      <c r="F59" t="str">
        <f ca="1">IF(AND(ISNUMBER($F$732),$B$677=1),$F$732,HLOOKUP(INDIRECT(ADDRESS(2,COLUMN())),OFFSET($BN$2,0,0,ROW()-1,60),ROW()-1,FALSE))</f>
        <v/>
      </c>
      <c r="G59" t="str">
        <f ca="1">IF(AND(ISNUMBER($G$732),$B$677=1),$G$732,HLOOKUP(INDIRECT(ADDRESS(2,COLUMN())),OFFSET($BN$2,0,0,ROW()-1,60),ROW()-1,FALSE))</f>
        <v/>
      </c>
      <c r="H59" t="str">
        <f ca="1">IF(AND(ISNUMBER($H$732),$B$677=1),$H$732,HLOOKUP(INDIRECT(ADDRESS(2,COLUMN())),OFFSET($BN$2,0,0,ROW()-1,60),ROW()-1,FALSE))</f>
        <v/>
      </c>
      <c r="I59" t="str">
        <f ca="1">IF(AND(ISNUMBER($I$732),$B$677=1),$I$732,HLOOKUP(INDIRECT(ADDRESS(2,COLUMN())),OFFSET($BN$2,0,0,ROW()-1,60),ROW()-1,FALSE))</f>
        <v/>
      </c>
      <c r="J59" t="str">
        <f ca="1">IF(AND(ISNUMBER($J$732),$B$677=1),$J$732,HLOOKUP(INDIRECT(ADDRESS(2,COLUMN())),OFFSET($BN$2,0,0,ROW()-1,60),ROW()-1,FALSE))</f>
        <v/>
      </c>
      <c r="K59" t="str">
        <f ca="1">IF(AND(ISNUMBER($K$732),$B$677=1),$K$732,HLOOKUP(INDIRECT(ADDRESS(2,COLUMN())),OFFSET($BN$2,0,0,ROW()-1,60),ROW()-1,FALSE))</f>
        <v/>
      </c>
      <c r="L59" t="str">
        <f ca="1">IF(AND(ISNUMBER($L$732),$B$677=1),$L$732,HLOOKUP(INDIRECT(ADDRESS(2,COLUMN())),OFFSET($BN$2,0,0,ROW()-1,60),ROW()-1,FALSE))</f>
        <v/>
      </c>
      <c r="M59" t="str">
        <f ca="1">IF(AND(ISNUMBER($M$732),$B$677=1),$M$732,HLOOKUP(INDIRECT(ADDRESS(2,COLUMN())),OFFSET($BN$2,0,0,ROW()-1,60),ROW()-1,FALSE))</f>
        <v/>
      </c>
      <c r="N59" t="str">
        <f ca="1">IF(AND(ISNUMBER($N$732),$B$677=1),$N$732,HLOOKUP(INDIRECT(ADDRESS(2,COLUMN())),OFFSET($BN$2,0,0,ROW()-1,60),ROW()-1,FALSE))</f>
        <v/>
      </c>
      <c r="O59" t="str">
        <f ca="1">IF(AND(ISNUMBER($O$732),$B$677=1),$O$732,HLOOKUP(INDIRECT(ADDRESS(2,COLUMN())),OFFSET($BN$2,0,0,ROW()-1,60),ROW()-1,FALSE))</f>
        <v/>
      </c>
      <c r="P59" t="str">
        <f ca="1">IF(AND(ISNUMBER($P$732),$B$677=1),$P$732,HLOOKUP(INDIRECT(ADDRESS(2,COLUMN())),OFFSET($BN$2,0,0,ROW()-1,60),ROW()-1,FALSE))</f>
        <v/>
      </c>
      <c r="Q59" t="str">
        <f ca="1">IF(AND(ISNUMBER($Q$732),$B$677=1),$Q$732,HLOOKUP(INDIRECT(ADDRESS(2,COLUMN())),OFFSET($BN$2,0,0,ROW()-1,60),ROW()-1,FALSE))</f>
        <v/>
      </c>
      <c r="R59" t="str">
        <f ca="1">IF(AND(ISNUMBER($R$732),$B$677=1),$R$732,HLOOKUP(INDIRECT(ADDRESS(2,COLUMN())),OFFSET($BN$2,0,0,ROW()-1,60),ROW()-1,FALSE))</f>
        <v/>
      </c>
      <c r="S59" t="str">
        <f ca="1">IF(AND(ISNUMBER($S$732),$B$677=1),$S$732,HLOOKUP(INDIRECT(ADDRESS(2,COLUMN())),OFFSET($BN$2,0,0,ROW()-1,60),ROW()-1,FALSE))</f>
        <v/>
      </c>
      <c r="T59" t="str">
        <f ca="1">IF(AND(ISNUMBER($T$732),$B$677=1),$T$732,HLOOKUP(INDIRECT(ADDRESS(2,COLUMN())),OFFSET($BN$2,0,0,ROW()-1,60),ROW()-1,FALSE))</f>
        <v/>
      </c>
      <c r="U59" t="str">
        <f ca="1">IF(AND(ISNUMBER($U$732),$B$677=1),$U$732,HLOOKUP(INDIRECT(ADDRESS(2,COLUMN())),OFFSET($BN$2,0,0,ROW()-1,60),ROW()-1,FALSE))</f>
        <v/>
      </c>
      <c r="V59" t="str">
        <f ca="1">IF(AND(ISNUMBER($V$732),$B$677=1),$V$732,HLOOKUP(INDIRECT(ADDRESS(2,COLUMN())),OFFSET($BN$2,0,0,ROW()-1,60),ROW()-1,FALSE))</f>
        <v/>
      </c>
      <c r="W59" t="str">
        <f ca="1">IF(AND(ISNUMBER($W$732),$B$677=1),$W$732,HLOOKUP(INDIRECT(ADDRESS(2,COLUMN())),OFFSET($BN$2,0,0,ROW()-1,60),ROW()-1,FALSE))</f>
        <v/>
      </c>
      <c r="X59" t="str">
        <f ca="1">IF(AND(ISNUMBER($X$732),$B$677=1),$X$732,HLOOKUP(INDIRECT(ADDRESS(2,COLUMN())),OFFSET($BN$2,0,0,ROW()-1,60),ROW()-1,FALSE))</f>
        <v/>
      </c>
      <c r="Y59" t="str">
        <f ca="1">IF(AND(ISNUMBER($Y$732),$B$677=1),$Y$732,HLOOKUP(INDIRECT(ADDRESS(2,COLUMN())),OFFSET($BN$2,0,0,ROW()-1,60),ROW()-1,FALSE))</f>
        <v/>
      </c>
      <c r="Z59" t="str">
        <f ca="1">IF(AND(ISNUMBER($Z$732),$B$677=1),$Z$732,HLOOKUP(INDIRECT(ADDRESS(2,COLUMN())),OFFSET($BN$2,0,0,ROW()-1,60),ROW()-1,FALSE))</f>
        <v/>
      </c>
      <c r="AA59" t="str">
        <f ca="1">IF(AND(ISNUMBER($AA$732),$B$677=1),$AA$732,HLOOKUP(INDIRECT(ADDRESS(2,COLUMN())),OFFSET($BN$2,0,0,ROW()-1,60),ROW()-1,FALSE))</f>
        <v/>
      </c>
      <c r="AB59" t="str">
        <f ca="1">IF(AND(ISNUMBER($AB$732),$B$677=1),$AB$732,HLOOKUP(INDIRECT(ADDRESS(2,COLUMN())),OFFSET($BN$2,0,0,ROW()-1,60),ROW()-1,FALSE))</f>
        <v/>
      </c>
      <c r="AC59" t="str">
        <f ca="1">IF(AND(ISNUMBER($AC$732),$B$677=1),$AC$732,HLOOKUP(INDIRECT(ADDRESS(2,COLUMN())),OFFSET($BN$2,0,0,ROW()-1,60),ROW()-1,FALSE))</f>
        <v/>
      </c>
      <c r="AD59" t="str">
        <f ca="1">IF(AND(ISNUMBER($AD$732),$B$677=1),$AD$732,HLOOKUP(INDIRECT(ADDRESS(2,COLUMN())),OFFSET($BN$2,0,0,ROW()-1,60),ROW()-1,FALSE))</f>
        <v/>
      </c>
      <c r="AE59" t="str">
        <f ca="1">IF(AND(ISNUMBER($AE$732),$B$677=1),$AE$732,HLOOKUP(INDIRECT(ADDRESS(2,COLUMN())),OFFSET($BN$2,0,0,ROW()-1,60),ROW()-1,FALSE))</f>
        <v/>
      </c>
      <c r="AF59" t="str">
        <f ca="1">IF(AND(ISNUMBER($AF$732),$B$677=1),$AF$732,HLOOKUP(INDIRECT(ADDRESS(2,COLUMN())),OFFSET($BN$2,0,0,ROW()-1,60),ROW()-1,FALSE))</f>
        <v/>
      </c>
      <c r="AG59" t="str">
        <f ca="1">IF(AND(ISNUMBER($AG$732),$B$677=1),$AG$732,HLOOKUP(INDIRECT(ADDRESS(2,COLUMN())),OFFSET($BN$2,0,0,ROW()-1,60),ROW()-1,FALSE))</f>
        <v/>
      </c>
      <c r="AH59" t="str">
        <f ca="1">IF(AND(ISNUMBER($AH$732),$B$677=1),$AH$732,HLOOKUP(INDIRECT(ADDRESS(2,COLUMN())),OFFSET($BN$2,0,0,ROW()-1,60),ROW()-1,FALSE))</f>
        <v/>
      </c>
      <c r="AI59" t="str">
        <f ca="1">IF(AND(ISNUMBER($AI$732),$B$677=1),$AI$732,HLOOKUP(INDIRECT(ADDRESS(2,COLUMN())),OFFSET($BN$2,0,0,ROW()-1,60),ROW()-1,FALSE))</f>
        <v/>
      </c>
      <c r="AJ59" t="str">
        <f ca="1">IF(AND(ISNUMBER($AJ$732),$B$677=1),$AJ$732,HLOOKUP(INDIRECT(ADDRESS(2,COLUMN())),OFFSET($BN$2,0,0,ROW()-1,60),ROW()-1,FALSE))</f>
        <v/>
      </c>
      <c r="AK59" t="str">
        <f ca="1">IF(AND(ISNUMBER($AK$732),$B$677=1),$AK$732,HLOOKUP(INDIRECT(ADDRESS(2,COLUMN())),OFFSET($BN$2,0,0,ROW()-1,60),ROW()-1,FALSE))</f>
        <v/>
      </c>
      <c r="AL59" t="str">
        <f ca="1">IF(AND(ISNUMBER($AL$732),$B$677=1),$AL$732,HLOOKUP(INDIRECT(ADDRESS(2,COLUMN())),OFFSET($BN$2,0,0,ROW()-1,60),ROW()-1,FALSE))</f>
        <v/>
      </c>
      <c r="AM59" t="str">
        <f ca="1">IF(AND(ISNUMBER($AM$732),$B$677=1),$AM$732,HLOOKUP(INDIRECT(ADDRESS(2,COLUMN())),OFFSET($BN$2,0,0,ROW()-1,60),ROW()-1,FALSE))</f>
        <v/>
      </c>
      <c r="AN59" t="str">
        <f ca="1">IF(AND(ISNUMBER($AN$732),$B$677=1),$AN$732,HLOOKUP(INDIRECT(ADDRESS(2,COLUMN())),OFFSET($BN$2,0,0,ROW()-1,60),ROW()-1,FALSE))</f>
        <v/>
      </c>
      <c r="AO59" t="str">
        <f ca="1">IF(AND(ISNUMBER($AO$732),$B$677=1),$AO$732,HLOOKUP(INDIRECT(ADDRESS(2,COLUMN())),OFFSET($BN$2,0,0,ROW()-1,60),ROW()-1,FALSE))</f>
        <v/>
      </c>
      <c r="AP59" t="str">
        <f ca="1">IF(AND(ISNUMBER($AP$732),$B$677=1),$AP$732,HLOOKUP(INDIRECT(ADDRESS(2,COLUMN())),OFFSET($BN$2,0,0,ROW()-1,60),ROW()-1,FALSE))</f>
        <v/>
      </c>
      <c r="AQ59" t="str">
        <f ca="1">IF(AND(ISNUMBER($AQ$732),$B$677=1),$AQ$732,HLOOKUP(INDIRECT(ADDRESS(2,COLUMN())),OFFSET($BN$2,0,0,ROW()-1,60),ROW()-1,FALSE))</f>
        <v/>
      </c>
      <c r="AR59" t="str">
        <f ca="1">IF(AND(ISNUMBER($AR$732),$B$677=1),$AR$732,HLOOKUP(INDIRECT(ADDRESS(2,COLUMN())),OFFSET($BN$2,0,0,ROW()-1,60),ROW()-1,FALSE))</f>
        <v/>
      </c>
      <c r="AS59" t="str">
        <f ca="1">IF(AND(ISNUMBER($AS$732),$B$677=1),$AS$732,HLOOKUP(INDIRECT(ADDRESS(2,COLUMN())),OFFSET($BN$2,0,0,ROW()-1,60),ROW()-1,FALSE))</f>
        <v/>
      </c>
      <c r="AT59" t="str">
        <f ca="1">IF(AND(ISNUMBER($AT$732),$B$677=1),$AT$732,HLOOKUP(INDIRECT(ADDRESS(2,COLUMN())),OFFSET($BN$2,0,0,ROW()-1,60),ROW()-1,FALSE))</f>
        <v/>
      </c>
      <c r="AU59" t="str">
        <f ca="1">IF(AND(ISNUMBER($AU$732),$B$677=1),$AU$732,HLOOKUP(INDIRECT(ADDRESS(2,COLUMN())),OFFSET($BN$2,0,0,ROW()-1,60),ROW()-1,FALSE))</f>
        <v/>
      </c>
      <c r="AV59" t="str">
        <f ca="1">IF(AND(ISNUMBER($AV$732),$B$677=1),$AV$732,HLOOKUP(INDIRECT(ADDRESS(2,COLUMN())),OFFSET($BN$2,0,0,ROW()-1,60),ROW()-1,FALSE))</f>
        <v/>
      </c>
      <c r="AW59" t="str">
        <f ca="1">IF(AND(ISNUMBER($AW$732),$B$677=1),$AW$732,HLOOKUP(INDIRECT(ADDRESS(2,COLUMN())),OFFSET($BN$2,0,0,ROW()-1,60),ROW()-1,FALSE))</f>
        <v/>
      </c>
      <c r="AX59" t="str">
        <f ca="1">IF(AND(ISNUMBER($AX$732),$B$677=1),$AX$732,HLOOKUP(INDIRECT(ADDRESS(2,COLUMN())),OFFSET($BN$2,0,0,ROW()-1,60),ROW()-1,FALSE))</f>
        <v/>
      </c>
      <c r="AY59" t="str">
        <f ca="1">IF(AND(ISNUMBER($AY$732),$B$677=1),$AY$732,HLOOKUP(INDIRECT(ADDRESS(2,COLUMN())),OFFSET($BN$2,0,0,ROW()-1,60),ROW()-1,FALSE))</f>
        <v/>
      </c>
      <c r="AZ59" t="str">
        <f ca="1">IF(AND(ISNUMBER($AZ$732),$B$677=1),$AZ$732,HLOOKUP(INDIRECT(ADDRESS(2,COLUMN())),OFFSET($BN$2,0,0,ROW()-1,60),ROW()-1,FALSE))</f>
        <v/>
      </c>
      <c r="BA59" t="str">
        <f ca="1">IF(AND(ISNUMBER($BA$732),$B$677=1),$BA$732,HLOOKUP(INDIRECT(ADDRESS(2,COLUMN())),OFFSET($BN$2,0,0,ROW()-1,60),ROW()-1,FALSE))</f>
        <v/>
      </c>
      <c r="BB59" t="str">
        <f ca="1">IF(AND(ISNUMBER($BB$732),$B$677=1),$BB$732,HLOOKUP(INDIRECT(ADDRESS(2,COLUMN())),OFFSET($BN$2,0,0,ROW()-1,60),ROW()-1,FALSE))</f>
        <v/>
      </c>
      <c r="BC59" t="str">
        <f ca="1">IF(AND(ISNUMBER($BC$732),$B$677=1),$BC$732,HLOOKUP(INDIRECT(ADDRESS(2,COLUMN())),OFFSET($BN$2,0,0,ROW()-1,60),ROW()-1,FALSE))</f>
        <v/>
      </c>
      <c r="BD59" t="str">
        <f ca="1">IF(AND(ISNUMBER($BD$732),$B$677=1),$BD$732,HLOOKUP(INDIRECT(ADDRESS(2,COLUMN())),OFFSET($BN$2,0,0,ROW()-1,60),ROW()-1,FALSE))</f>
        <v/>
      </c>
      <c r="BE59" t="str">
        <f ca="1">IF(AND(ISNUMBER($BE$732),$B$677=1),$BE$732,HLOOKUP(INDIRECT(ADDRESS(2,COLUMN())),OFFSET($BN$2,0,0,ROW()-1,60),ROW()-1,FALSE))</f>
        <v/>
      </c>
      <c r="BF59" t="str">
        <f ca="1">IF(AND(ISNUMBER($BF$732),$B$677=1),$BF$732,HLOOKUP(INDIRECT(ADDRESS(2,COLUMN())),OFFSET($BN$2,0,0,ROW()-1,60),ROW()-1,FALSE))</f>
        <v/>
      </c>
      <c r="BG59" t="str">
        <f ca="1">IF(AND(ISNUMBER($BG$732),$B$677=1),$BG$732,HLOOKUP(INDIRECT(ADDRESS(2,COLUMN())),OFFSET($BN$2,0,0,ROW()-1,60),ROW()-1,FALSE))</f>
        <v/>
      </c>
      <c r="BH59" t="str">
        <f ca="1">IF(AND(ISNUMBER($BH$732),$B$677=1),$BH$732,HLOOKUP(INDIRECT(ADDRESS(2,COLUMN())),OFFSET($BN$2,0,0,ROW()-1,60),ROW()-1,FALSE))</f>
        <v/>
      </c>
      <c r="BI59" t="str">
        <f ca="1">IF(AND(ISNUMBER($BI$732),$B$677=1),$BI$732,HLOOKUP(INDIRECT(ADDRESS(2,COLUMN())),OFFSET($BN$2,0,0,ROW()-1,60),ROW()-1,FALSE))</f>
        <v/>
      </c>
      <c r="BJ59" t="str">
        <f ca="1">IF(AND(ISNUMBER($BJ$732),$B$677=1),$BJ$732,HLOOKUP(INDIRECT(ADDRESS(2,COLUMN())),OFFSET($BN$2,0,0,ROW()-1,60),ROW()-1,FALSE))</f>
        <v/>
      </c>
      <c r="BK59" t="str">
        <f ca="1">IF(AND(ISNUMBER($BK$732),$B$677=1),$BK$732,HLOOKUP(INDIRECT(ADDRESS(2,COLUMN())),OFFSET($BN$2,0,0,ROW()-1,60),ROW()-1,FALSE))</f>
        <v/>
      </c>
      <c r="BL59" t="str">
        <f ca="1">IF(AND(ISNUMBER($BL$732),$B$677=1),$BL$732,HLOOKUP(INDIRECT(ADDRESS(2,COLUMN())),OFFSET($BN$2,0,0,ROW()-1,60),ROW()-1,FALSE))</f>
        <v/>
      </c>
      <c r="BM59" t="str">
        <f ca="1">IF(AND(ISNUMBER($BM$732),$B$677=1),$BM$732,HLOOKUP(INDIRECT(ADDRESS(2,COLUMN())),OFFSET($BN$2,0,0,ROW()-1,60),ROW()-1,FALSE))</f>
        <v/>
      </c>
      <c r="BN59" t="str">
        <f>""</f>
        <v/>
      </c>
      <c r="BO59" t="str">
        <f>""</f>
        <v/>
      </c>
      <c r="BP59" t="str">
        <f>""</f>
        <v/>
      </c>
      <c r="BQ59" t="str">
        <f>""</f>
        <v/>
      </c>
      <c r="BR59" t="str">
        <f>""</f>
        <v/>
      </c>
      <c r="BS59" t="str">
        <f>""</f>
        <v/>
      </c>
      <c r="BT59" t="str">
        <f>""</f>
        <v/>
      </c>
      <c r="BU59" t="str">
        <f>""</f>
        <v/>
      </c>
      <c r="BV59" t="str">
        <f>""</f>
        <v/>
      </c>
      <c r="BW59" t="str">
        <f>""</f>
        <v/>
      </c>
      <c r="BX59" t="str">
        <f>""</f>
        <v/>
      </c>
      <c r="BY59" t="str">
        <f>""</f>
        <v/>
      </c>
      <c r="BZ59" t="str">
        <f>""</f>
        <v/>
      </c>
      <c r="CA59" t="str">
        <f>""</f>
        <v/>
      </c>
      <c r="CB59" t="str">
        <f>""</f>
        <v/>
      </c>
      <c r="CC59" t="str">
        <f>""</f>
        <v/>
      </c>
      <c r="CD59" t="str">
        <f>""</f>
        <v/>
      </c>
      <c r="CE59" t="str">
        <f>""</f>
        <v/>
      </c>
      <c r="CF59" t="str">
        <f>""</f>
        <v/>
      </c>
      <c r="CG59" t="str">
        <f>""</f>
        <v/>
      </c>
      <c r="CH59" t="str">
        <f>""</f>
        <v/>
      </c>
      <c r="CI59" t="str">
        <f>""</f>
        <v/>
      </c>
      <c r="CJ59" t="str">
        <f>""</f>
        <v/>
      </c>
      <c r="CK59" t="str">
        <f>""</f>
        <v/>
      </c>
      <c r="CL59" t="str">
        <f>""</f>
        <v/>
      </c>
      <c r="CM59" t="str">
        <f>""</f>
        <v/>
      </c>
      <c r="CN59" t="str">
        <f>""</f>
        <v/>
      </c>
      <c r="CO59" t="str">
        <f>""</f>
        <v/>
      </c>
      <c r="CP59" t="str">
        <f>""</f>
        <v/>
      </c>
      <c r="CQ59" t="str">
        <f>""</f>
        <v/>
      </c>
      <c r="CR59" t="str">
        <f>""</f>
        <v/>
      </c>
      <c r="CS59" t="str">
        <f>""</f>
        <v/>
      </c>
      <c r="CT59" t="str">
        <f>""</f>
        <v/>
      </c>
      <c r="CU59" t="str">
        <f>""</f>
        <v/>
      </c>
      <c r="CV59" t="str">
        <f>""</f>
        <v/>
      </c>
      <c r="CW59" t="str">
        <f>""</f>
        <v/>
      </c>
      <c r="CX59" t="str">
        <f>""</f>
        <v/>
      </c>
      <c r="CY59" t="str">
        <f>""</f>
        <v/>
      </c>
      <c r="CZ59" t="str">
        <f>""</f>
        <v/>
      </c>
      <c r="DA59" t="str">
        <f>""</f>
        <v/>
      </c>
      <c r="DB59" t="str">
        <f>""</f>
        <v/>
      </c>
      <c r="DC59" t="str">
        <f>""</f>
        <v/>
      </c>
      <c r="DD59" t="str">
        <f>""</f>
        <v/>
      </c>
      <c r="DE59" t="str">
        <f>""</f>
        <v/>
      </c>
      <c r="DF59" t="str">
        <f>""</f>
        <v/>
      </c>
      <c r="DG59" t="str">
        <f>""</f>
        <v/>
      </c>
      <c r="DH59" t="str">
        <f>""</f>
        <v/>
      </c>
      <c r="DI59" t="str">
        <f>""</f>
        <v/>
      </c>
      <c r="DJ59" t="str">
        <f>""</f>
        <v/>
      </c>
      <c r="DK59" t="str">
        <f>""</f>
        <v/>
      </c>
      <c r="DL59" t="str">
        <f>""</f>
        <v/>
      </c>
      <c r="DM59" t="str">
        <f>""</f>
        <v/>
      </c>
      <c r="DN59" t="str">
        <f>""</f>
        <v/>
      </c>
      <c r="DO59" t="str">
        <f>""</f>
        <v/>
      </c>
      <c r="DP59" t="str">
        <f>""</f>
        <v/>
      </c>
      <c r="DQ59" t="str">
        <f>""</f>
        <v/>
      </c>
      <c r="DR59" t="str">
        <f>""</f>
        <v/>
      </c>
      <c r="DS59" t="str">
        <f>""</f>
        <v/>
      </c>
      <c r="DT59" t="str">
        <f>""</f>
        <v/>
      </c>
      <c r="DU59" t="str">
        <f>""</f>
        <v/>
      </c>
    </row>
    <row r="60" spans="1:125" x14ac:dyDescent="0.25">
      <c r="A60" t="str">
        <f>"    GAZ PJSC"</f>
        <v xml:space="preserve">    GAZ PJSC</v>
      </c>
      <c r="B60" t="str">
        <f>"GAZA RM Equity"</f>
        <v>GAZA RM Equity</v>
      </c>
      <c r="C60" t="str">
        <f t="shared" si="3"/>
        <v>EZ009</v>
      </c>
      <c r="D60" t="str">
        <f t="shared" si="4"/>
        <v>BEST_EST_PE_CUR_YR</v>
      </c>
      <c r="E60" t="str">
        <f t="shared" si="5"/>
        <v>Dynamic</v>
      </c>
      <c r="F60" t="str">
        <f ca="1">IF(AND(ISNUMBER($F$733),$B$677=1),$F$733,HLOOKUP(INDIRECT(ADDRESS(2,COLUMN())),OFFSET($BN$2,0,0,ROW()-1,60),ROW()-1,FALSE))</f>
        <v/>
      </c>
      <c r="G60" t="str">
        <f ca="1">IF(AND(ISNUMBER($G$733),$B$677=1),$G$733,HLOOKUP(INDIRECT(ADDRESS(2,COLUMN())),OFFSET($BN$2,0,0,ROW()-1,60),ROW()-1,FALSE))</f>
        <v/>
      </c>
      <c r="H60" t="str">
        <f ca="1">IF(AND(ISNUMBER($H$733),$B$677=1),$H$733,HLOOKUP(INDIRECT(ADDRESS(2,COLUMN())),OFFSET($BN$2,0,0,ROW()-1,60),ROW()-1,FALSE))</f>
        <v/>
      </c>
      <c r="I60" t="str">
        <f ca="1">IF(AND(ISNUMBER($I$733),$B$677=1),$I$733,HLOOKUP(INDIRECT(ADDRESS(2,COLUMN())),OFFSET($BN$2,0,0,ROW()-1,60),ROW()-1,FALSE))</f>
        <v/>
      </c>
      <c r="J60" t="str">
        <f ca="1">IF(AND(ISNUMBER($J$733),$B$677=1),$J$733,HLOOKUP(INDIRECT(ADDRESS(2,COLUMN())),OFFSET($BN$2,0,0,ROW()-1,60),ROW()-1,FALSE))</f>
        <v/>
      </c>
      <c r="K60" t="str">
        <f ca="1">IF(AND(ISNUMBER($K$733),$B$677=1),$K$733,HLOOKUP(INDIRECT(ADDRESS(2,COLUMN())),OFFSET($BN$2,0,0,ROW()-1,60),ROW()-1,FALSE))</f>
        <v/>
      </c>
      <c r="L60" t="str">
        <f ca="1">IF(AND(ISNUMBER($L$733),$B$677=1),$L$733,HLOOKUP(INDIRECT(ADDRESS(2,COLUMN())),OFFSET($BN$2,0,0,ROW()-1,60),ROW()-1,FALSE))</f>
        <v/>
      </c>
      <c r="M60" t="str">
        <f ca="1">IF(AND(ISNUMBER($M$733),$B$677=1),$M$733,HLOOKUP(INDIRECT(ADDRESS(2,COLUMN())),OFFSET($BN$2,0,0,ROW()-1,60),ROW()-1,FALSE))</f>
        <v/>
      </c>
      <c r="N60" t="str">
        <f ca="1">IF(AND(ISNUMBER($N$733),$B$677=1),$N$733,HLOOKUP(INDIRECT(ADDRESS(2,COLUMN())),OFFSET($BN$2,0,0,ROW()-1,60),ROW()-1,FALSE))</f>
        <v/>
      </c>
      <c r="O60" t="str">
        <f ca="1">IF(AND(ISNUMBER($O$733),$B$677=1),$O$733,HLOOKUP(INDIRECT(ADDRESS(2,COLUMN())),OFFSET($BN$2,0,0,ROW()-1,60),ROW()-1,FALSE))</f>
        <v/>
      </c>
      <c r="P60" t="str">
        <f ca="1">IF(AND(ISNUMBER($P$733),$B$677=1),$P$733,HLOOKUP(INDIRECT(ADDRESS(2,COLUMN())),OFFSET($BN$2,0,0,ROW()-1,60),ROW()-1,FALSE))</f>
        <v/>
      </c>
      <c r="Q60" t="str">
        <f ca="1">IF(AND(ISNUMBER($Q$733),$B$677=1),$Q$733,HLOOKUP(INDIRECT(ADDRESS(2,COLUMN())),OFFSET($BN$2,0,0,ROW()-1,60),ROW()-1,FALSE))</f>
        <v/>
      </c>
      <c r="R60" t="str">
        <f ca="1">IF(AND(ISNUMBER($R$733),$B$677=1),$R$733,HLOOKUP(INDIRECT(ADDRESS(2,COLUMN())),OFFSET($BN$2,0,0,ROW()-1,60),ROW()-1,FALSE))</f>
        <v/>
      </c>
      <c r="S60" t="str">
        <f ca="1">IF(AND(ISNUMBER($S$733),$B$677=1),$S$733,HLOOKUP(INDIRECT(ADDRESS(2,COLUMN())),OFFSET($BN$2,0,0,ROW()-1,60),ROW()-1,FALSE))</f>
        <v/>
      </c>
      <c r="T60" t="str">
        <f ca="1">IF(AND(ISNUMBER($T$733),$B$677=1),$T$733,HLOOKUP(INDIRECT(ADDRESS(2,COLUMN())),OFFSET($BN$2,0,0,ROW()-1,60),ROW()-1,FALSE))</f>
        <v/>
      </c>
      <c r="U60" t="str">
        <f ca="1">IF(AND(ISNUMBER($U$733),$B$677=1),$U$733,HLOOKUP(INDIRECT(ADDRESS(2,COLUMN())),OFFSET($BN$2,0,0,ROW()-1,60),ROW()-1,FALSE))</f>
        <v/>
      </c>
      <c r="V60" t="str">
        <f ca="1">IF(AND(ISNUMBER($V$733),$B$677=1),$V$733,HLOOKUP(INDIRECT(ADDRESS(2,COLUMN())),OFFSET($BN$2,0,0,ROW()-1,60),ROW()-1,FALSE))</f>
        <v/>
      </c>
      <c r="W60" t="str">
        <f ca="1">IF(AND(ISNUMBER($W$733),$B$677=1),$W$733,HLOOKUP(INDIRECT(ADDRESS(2,COLUMN())),OFFSET($BN$2,0,0,ROW()-1,60),ROW()-1,FALSE))</f>
        <v/>
      </c>
      <c r="X60" t="str">
        <f ca="1">IF(AND(ISNUMBER($X$733),$B$677=1),$X$733,HLOOKUP(INDIRECT(ADDRESS(2,COLUMN())),OFFSET($BN$2,0,0,ROW()-1,60),ROW()-1,FALSE))</f>
        <v/>
      </c>
      <c r="Y60" t="str">
        <f ca="1">IF(AND(ISNUMBER($Y$733),$B$677=1),$Y$733,HLOOKUP(INDIRECT(ADDRESS(2,COLUMN())),OFFSET($BN$2,0,0,ROW()-1,60),ROW()-1,FALSE))</f>
        <v/>
      </c>
      <c r="Z60" t="str">
        <f ca="1">IF(AND(ISNUMBER($Z$733),$B$677=1),$Z$733,HLOOKUP(INDIRECT(ADDRESS(2,COLUMN())),OFFSET($BN$2,0,0,ROW()-1,60),ROW()-1,FALSE))</f>
        <v/>
      </c>
      <c r="AA60" t="str">
        <f ca="1">IF(AND(ISNUMBER($AA$733),$B$677=1),$AA$733,HLOOKUP(INDIRECT(ADDRESS(2,COLUMN())),OFFSET($BN$2,0,0,ROW()-1,60),ROW()-1,FALSE))</f>
        <v/>
      </c>
      <c r="AB60" t="str">
        <f ca="1">IF(AND(ISNUMBER($AB$733),$B$677=1),$AB$733,HLOOKUP(INDIRECT(ADDRESS(2,COLUMN())),OFFSET($BN$2,0,0,ROW()-1,60),ROW()-1,FALSE))</f>
        <v/>
      </c>
      <c r="AC60" t="str">
        <f ca="1">IF(AND(ISNUMBER($AC$733),$B$677=1),$AC$733,HLOOKUP(INDIRECT(ADDRESS(2,COLUMN())),OFFSET($BN$2,0,0,ROW()-1,60),ROW()-1,FALSE))</f>
        <v/>
      </c>
      <c r="AD60" t="str">
        <f ca="1">IF(AND(ISNUMBER($AD$733),$B$677=1),$AD$733,HLOOKUP(INDIRECT(ADDRESS(2,COLUMN())),OFFSET($BN$2,0,0,ROW()-1,60),ROW()-1,FALSE))</f>
        <v/>
      </c>
      <c r="AE60" t="str">
        <f ca="1">IF(AND(ISNUMBER($AE$733),$B$677=1),$AE$733,HLOOKUP(INDIRECT(ADDRESS(2,COLUMN())),OFFSET($BN$2,0,0,ROW()-1,60),ROW()-1,FALSE))</f>
        <v/>
      </c>
      <c r="AF60" t="str">
        <f ca="1">IF(AND(ISNUMBER($AF$733),$B$677=1),$AF$733,HLOOKUP(INDIRECT(ADDRESS(2,COLUMN())),OFFSET($BN$2,0,0,ROW()-1,60),ROW()-1,FALSE))</f>
        <v/>
      </c>
      <c r="AG60" t="str">
        <f ca="1">IF(AND(ISNUMBER($AG$733),$B$677=1),$AG$733,HLOOKUP(INDIRECT(ADDRESS(2,COLUMN())),OFFSET($BN$2,0,0,ROW()-1,60),ROW()-1,FALSE))</f>
        <v/>
      </c>
      <c r="AH60" t="str">
        <f ca="1">IF(AND(ISNUMBER($AH$733),$B$677=1),$AH$733,HLOOKUP(INDIRECT(ADDRESS(2,COLUMN())),OFFSET($BN$2,0,0,ROW()-1,60),ROW()-1,FALSE))</f>
        <v/>
      </c>
      <c r="AI60" t="str">
        <f ca="1">IF(AND(ISNUMBER($AI$733),$B$677=1),$AI$733,HLOOKUP(INDIRECT(ADDRESS(2,COLUMN())),OFFSET($BN$2,0,0,ROW()-1,60),ROW()-1,FALSE))</f>
        <v/>
      </c>
      <c r="AJ60" t="str">
        <f ca="1">IF(AND(ISNUMBER($AJ$733),$B$677=1),$AJ$733,HLOOKUP(INDIRECT(ADDRESS(2,COLUMN())),OFFSET($BN$2,0,0,ROW()-1,60),ROW()-1,FALSE))</f>
        <v/>
      </c>
      <c r="AK60" t="str">
        <f ca="1">IF(AND(ISNUMBER($AK$733),$B$677=1),$AK$733,HLOOKUP(INDIRECT(ADDRESS(2,COLUMN())),OFFSET($BN$2,0,0,ROW()-1,60),ROW()-1,FALSE))</f>
        <v/>
      </c>
      <c r="AL60" t="str">
        <f ca="1">IF(AND(ISNUMBER($AL$733),$B$677=1),$AL$733,HLOOKUP(INDIRECT(ADDRESS(2,COLUMN())),OFFSET($BN$2,0,0,ROW()-1,60),ROW()-1,FALSE))</f>
        <v/>
      </c>
      <c r="AM60" t="str">
        <f ca="1">IF(AND(ISNUMBER($AM$733),$B$677=1),$AM$733,HLOOKUP(INDIRECT(ADDRESS(2,COLUMN())),OFFSET($BN$2,0,0,ROW()-1,60),ROW()-1,FALSE))</f>
        <v/>
      </c>
      <c r="AN60" t="str">
        <f ca="1">IF(AND(ISNUMBER($AN$733),$B$677=1),$AN$733,HLOOKUP(INDIRECT(ADDRESS(2,COLUMN())),OFFSET($BN$2,0,0,ROW()-1,60),ROW()-1,FALSE))</f>
        <v/>
      </c>
      <c r="AO60" t="str">
        <f ca="1">IF(AND(ISNUMBER($AO$733),$B$677=1),$AO$733,HLOOKUP(INDIRECT(ADDRESS(2,COLUMN())),OFFSET($BN$2,0,0,ROW()-1,60),ROW()-1,FALSE))</f>
        <v/>
      </c>
      <c r="AP60" t="str">
        <f ca="1">IF(AND(ISNUMBER($AP$733),$B$677=1),$AP$733,HLOOKUP(INDIRECT(ADDRESS(2,COLUMN())),OFFSET($BN$2,0,0,ROW()-1,60),ROW()-1,FALSE))</f>
        <v/>
      </c>
      <c r="AQ60" t="str">
        <f ca="1">IF(AND(ISNUMBER($AQ$733),$B$677=1),$AQ$733,HLOOKUP(INDIRECT(ADDRESS(2,COLUMN())),OFFSET($BN$2,0,0,ROW()-1,60),ROW()-1,FALSE))</f>
        <v/>
      </c>
      <c r="AR60" t="str">
        <f ca="1">IF(AND(ISNUMBER($AR$733),$B$677=1),$AR$733,HLOOKUP(INDIRECT(ADDRESS(2,COLUMN())),OFFSET($BN$2,0,0,ROW()-1,60),ROW()-1,FALSE))</f>
        <v/>
      </c>
      <c r="AS60" t="str">
        <f ca="1">IF(AND(ISNUMBER($AS$733),$B$677=1),$AS$733,HLOOKUP(INDIRECT(ADDRESS(2,COLUMN())),OFFSET($BN$2,0,0,ROW()-1,60),ROW()-1,FALSE))</f>
        <v/>
      </c>
      <c r="AT60" t="str">
        <f ca="1">IF(AND(ISNUMBER($AT$733),$B$677=1),$AT$733,HLOOKUP(INDIRECT(ADDRESS(2,COLUMN())),OFFSET($BN$2,0,0,ROW()-1,60),ROW()-1,FALSE))</f>
        <v/>
      </c>
      <c r="AU60" t="str">
        <f ca="1">IF(AND(ISNUMBER($AU$733),$B$677=1),$AU$733,HLOOKUP(INDIRECT(ADDRESS(2,COLUMN())),OFFSET($BN$2,0,0,ROW()-1,60),ROW()-1,FALSE))</f>
        <v/>
      </c>
      <c r="AV60" t="str">
        <f ca="1">IF(AND(ISNUMBER($AV$733),$B$677=1),$AV$733,HLOOKUP(INDIRECT(ADDRESS(2,COLUMN())),OFFSET($BN$2,0,0,ROW()-1,60),ROW()-1,FALSE))</f>
        <v/>
      </c>
      <c r="AW60" t="str">
        <f ca="1">IF(AND(ISNUMBER($AW$733),$B$677=1),$AW$733,HLOOKUP(INDIRECT(ADDRESS(2,COLUMN())),OFFSET($BN$2,0,0,ROW()-1,60),ROW()-1,FALSE))</f>
        <v/>
      </c>
      <c r="AX60" t="str">
        <f ca="1">IF(AND(ISNUMBER($AX$733),$B$677=1),$AX$733,HLOOKUP(INDIRECT(ADDRESS(2,COLUMN())),OFFSET($BN$2,0,0,ROW()-1,60),ROW()-1,FALSE))</f>
        <v/>
      </c>
      <c r="AY60" t="str">
        <f ca="1">IF(AND(ISNUMBER($AY$733),$B$677=1),$AY$733,HLOOKUP(INDIRECT(ADDRESS(2,COLUMN())),OFFSET($BN$2,0,0,ROW()-1,60),ROW()-1,FALSE))</f>
        <v/>
      </c>
      <c r="AZ60" t="str">
        <f ca="1">IF(AND(ISNUMBER($AZ$733),$B$677=1),$AZ$733,HLOOKUP(INDIRECT(ADDRESS(2,COLUMN())),OFFSET($BN$2,0,0,ROW()-1,60),ROW()-1,FALSE))</f>
        <v/>
      </c>
      <c r="BA60" t="str">
        <f ca="1">IF(AND(ISNUMBER($BA$733),$B$677=1),$BA$733,HLOOKUP(INDIRECT(ADDRESS(2,COLUMN())),OFFSET($BN$2,0,0,ROW()-1,60),ROW()-1,FALSE))</f>
        <v/>
      </c>
      <c r="BB60" t="str">
        <f ca="1">IF(AND(ISNUMBER($BB$733),$B$677=1),$BB$733,HLOOKUP(INDIRECT(ADDRESS(2,COLUMN())),OFFSET($BN$2,0,0,ROW()-1,60),ROW()-1,FALSE))</f>
        <v/>
      </c>
      <c r="BC60" t="str">
        <f ca="1">IF(AND(ISNUMBER($BC$733),$B$677=1),$BC$733,HLOOKUP(INDIRECT(ADDRESS(2,COLUMN())),OFFSET($BN$2,0,0,ROW()-1,60),ROW()-1,FALSE))</f>
        <v/>
      </c>
      <c r="BD60" t="str">
        <f ca="1">IF(AND(ISNUMBER($BD$733),$B$677=1),$BD$733,HLOOKUP(INDIRECT(ADDRESS(2,COLUMN())),OFFSET($BN$2,0,0,ROW()-1,60),ROW()-1,FALSE))</f>
        <v/>
      </c>
      <c r="BE60" t="str">
        <f ca="1">IF(AND(ISNUMBER($BE$733),$B$677=1),$BE$733,HLOOKUP(INDIRECT(ADDRESS(2,COLUMN())),OFFSET($BN$2,0,0,ROW()-1,60),ROW()-1,FALSE))</f>
        <v/>
      </c>
      <c r="BF60" t="str">
        <f ca="1">IF(AND(ISNUMBER($BF$733),$B$677=1),$BF$733,HLOOKUP(INDIRECT(ADDRESS(2,COLUMN())),OFFSET($BN$2,0,0,ROW()-1,60),ROW()-1,FALSE))</f>
        <v/>
      </c>
      <c r="BG60" t="str">
        <f ca="1">IF(AND(ISNUMBER($BG$733),$B$677=1),$BG$733,HLOOKUP(INDIRECT(ADDRESS(2,COLUMN())),OFFSET($BN$2,0,0,ROW()-1,60),ROW()-1,FALSE))</f>
        <v/>
      </c>
      <c r="BH60" t="str">
        <f ca="1">IF(AND(ISNUMBER($BH$733),$B$677=1),$BH$733,HLOOKUP(INDIRECT(ADDRESS(2,COLUMN())),OFFSET($BN$2,0,0,ROW()-1,60),ROW()-1,FALSE))</f>
        <v/>
      </c>
      <c r="BI60" t="str">
        <f ca="1">IF(AND(ISNUMBER($BI$733),$B$677=1),$BI$733,HLOOKUP(INDIRECT(ADDRESS(2,COLUMN())),OFFSET($BN$2,0,0,ROW()-1,60),ROW()-1,FALSE))</f>
        <v/>
      </c>
      <c r="BJ60" t="str">
        <f ca="1">IF(AND(ISNUMBER($BJ$733),$B$677=1),$BJ$733,HLOOKUP(INDIRECT(ADDRESS(2,COLUMN())),OFFSET($BN$2,0,0,ROW()-1,60),ROW()-1,FALSE))</f>
        <v/>
      </c>
      <c r="BK60" t="str">
        <f ca="1">IF(AND(ISNUMBER($BK$733),$B$677=1),$BK$733,HLOOKUP(INDIRECT(ADDRESS(2,COLUMN())),OFFSET($BN$2,0,0,ROW()-1,60),ROW()-1,FALSE))</f>
        <v/>
      </c>
      <c r="BL60" t="str">
        <f ca="1">IF(AND(ISNUMBER($BL$733),$B$677=1),$BL$733,HLOOKUP(INDIRECT(ADDRESS(2,COLUMN())),OFFSET($BN$2,0,0,ROW()-1,60),ROW()-1,FALSE))</f>
        <v/>
      </c>
      <c r="BM60" t="str">
        <f ca="1">IF(AND(ISNUMBER($BM$733),$B$677=1),$BM$733,HLOOKUP(INDIRECT(ADDRESS(2,COLUMN())),OFFSET($BN$2,0,0,ROW()-1,60),ROW()-1,FALSE))</f>
        <v/>
      </c>
      <c r="BN60" t="str">
        <f>""</f>
        <v/>
      </c>
      <c r="BO60" t="str">
        <f>""</f>
        <v/>
      </c>
      <c r="BP60" t="str">
        <f>""</f>
        <v/>
      </c>
      <c r="BQ60" t="str">
        <f>""</f>
        <v/>
      </c>
      <c r="BR60" t="str">
        <f>""</f>
        <v/>
      </c>
      <c r="BS60" t="str">
        <f>""</f>
        <v/>
      </c>
      <c r="BT60" t="str">
        <f>""</f>
        <v/>
      </c>
      <c r="BU60" t="str">
        <f>""</f>
        <v/>
      </c>
      <c r="BV60" t="str">
        <f>""</f>
        <v/>
      </c>
      <c r="BW60" t="str">
        <f>""</f>
        <v/>
      </c>
      <c r="BX60" t="str">
        <f>""</f>
        <v/>
      </c>
      <c r="BY60" t="str">
        <f>""</f>
        <v/>
      </c>
      <c r="BZ60" t="str">
        <f>""</f>
        <v/>
      </c>
      <c r="CA60" t="str">
        <f>""</f>
        <v/>
      </c>
      <c r="CB60" t="str">
        <f>""</f>
        <v/>
      </c>
      <c r="CC60" t="str">
        <f>""</f>
        <v/>
      </c>
      <c r="CD60" t="str">
        <f>""</f>
        <v/>
      </c>
      <c r="CE60" t="str">
        <f>""</f>
        <v/>
      </c>
      <c r="CF60" t="str">
        <f>""</f>
        <v/>
      </c>
      <c r="CG60" t="str">
        <f>""</f>
        <v/>
      </c>
      <c r="CH60" t="str">
        <f>""</f>
        <v/>
      </c>
      <c r="CI60" t="str">
        <f>""</f>
        <v/>
      </c>
      <c r="CJ60" t="str">
        <f>""</f>
        <v/>
      </c>
      <c r="CK60" t="str">
        <f>""</f>
        <v/>
      </c>
      <c r="CL60" t="str">
        <f>""</f>
        <v/>
      </c>
      <c r="CM60" t="str">
        <f>""</f>
        <v/>
      </c>
      <c r="CN60" t="str">
        <f>""</f>
        <v/>
      </c>
      <c r="CO60" t="str">
        <f>""</f>
        <v/>
      </c>
      <c r="CP60" t="str">
        <f>""</f>
        <v/>
      </c>
      <c r="CQ60" t="str">
        <f>""</f>
        <v/>
      </c>
      <c r="CR60" t="str">
        <f>""</f>
        <v/>
      </c>
      <c r="CS60" t="str">
        <f>""</f>
        <v/>
      </c>
      <c r="CT60" t="str">
        <f>""</f>
        <v/>
      </c>
      <c r="CU60" t="str">
        <f>""</f>
        <v/>
      </c>
      <c r="CV60" t="str">
        <f>""</f>
        <v/>
      </c>
      <c r="CW60" t="str">
        <f>""</f>
        <v/>
      </c>
      <c r="CX60" t="str">
        <f>""</f>
        <v/>
      </c>
      <c r="CY60" t="str">
        <f>""</f>
        <v/>
      </c>
      <c r="CZ60" t="str">
        <f>""</f>
        <v/>
      </c>
      <c r="DA60" t="str">
        <f>""</f>
        <v/>
      </c>
      <c r="DB60" t="str">
        <f>""</f>
        <v/>
      </c>
      <c r="DC60" t="str">
        <f>""</f>
        <v/>
      </c>
      <c r="DD60" t="str">
        <f>""</f>
        <v/>
      </c>
      <c r="DE60" t="str">
        <f>""</f>
        <v/>
      </c>
      <c r="DF60" t="str">
        <f>""</f>
        <v/>
      </c>
      <c r="DG60" t="str">
        <f>""</f>
        <v/>
      </c>
      <c r="DH60" t="str">
        <f>""</f>
        <v/>
      </c>
      <c r="DI60" t="str">
        <f>""</f>
        <v/>
      </c>
      <c r="DJ60" t="str">
        <f>""</f>
        <v/>
      </c>
      <c r="DK60" t="str">
        <f>""</f>
        <v/>
      </c>
      <c r="DL60" t="str">
        <f>""</f>
        <v/>
      </c>
      <c r="DM60" t="str">
        <f>""</f>
        <v/>
      </c>
      <c r="DN60" t="str">
        <f>""</f>
        <v/>
      </c>
      <c r="DO60" t="str">
        <f>""</f>
        <v/>
      </c>
      <c r="DP60" t="str">
        <f>""</f>
        <v/>
      </c>
      <c r="DQ60" t="str">
        <f>""</f>
        <v/>
      </c>
      <c r="DR60" t="str">
        <f>""</f>
        <v/>
      </c>
      <c r="DS60" t="str">
        <f>""</f>
        <v/>
      </c>
      <c r="DT60" t="str">
        <f>""</f>
        <v/>
      </c>
      <c r="DU60" t="str">
        <f>""</f>
        <v/>
      </c>
    </row>
    <row r="61" spans="1:125" x14ac:dyDescent="0.25">
      <c r="A61" t="str">
        <f>"    Geely Automobile Holdings Ltd"</f>
        <v xml:space="preserve">    Geely Automobile Holdings Ltd</v>
      </c>
      <c r="B61" t="str">
        <f>"175 HK Equity"</f>
        <v>175 HK Equity</v>
      </c>
      <c r="C61" t="str">
        <f t="shared" si="3"/>
        <v>EZ009</v>
      </c>
      <c r="D61" t="str">
        <f t="shared" si="4"/>
        <v>BEST_EST_PE_CUR_YR</v>
      </c>
      <c r="E61" t="str">
        <f t="shared" si="5"/>
        <v>Dynamic</v>
      </c>
      <c r="F61">
        <f ca="1">IF(AND(ISNUMBER($F$734),$B$677=1),$F$734,HLOOKUP(INDIRECT(ADDRESS(2,COLUMN())),OFFSET($BN$2,0,0,ROW()-1,60),ROW()-1,FALSE))</f>
        <v>9.0555671029999996</v>
      </c>
      <c r="G61">
        <f ca="1">IF(AND(ISNUMBER($G$734),$B$677=1),$G$734,HLOOKUP(INDIRECT(ADDRESS(2,COLUMN())),OFFSET($BN$2,0,0,ROW()-1,60),ROW()-1,FALSE))</f>
        <v>8.0743647979999995</v>
      </c>
      <c r="H61">
        <f ca="1">IF(AND(ISNUMBER($H$734),$B$677=1),$H$734,HLOOKUP(INDIRECT(ADDRESS(2,COLUMN())),OFFSET($BN$2,0,0,ROW()-1,60),ROW()-1,FALSE))</f>
        <v>8.8688037610000006</v>
      </c>
      <c r="I61">
        <f ca="1">IF(AND(ISNUMBER($I$734),$B$677=1),$I$734,HLOOKUP(INDIRECT(ADDRESS(2,COLUMN())),OFFSET($BN$2,0,0,ROW()-1,60),ROW()-1,FALSE))</f>
        <v>11.339820339999999</v>
      </c>
      <c r="J61">
        <f ca="1">IF(AND(ISNUMBER($J$734),$B$677=1),$J$734,HLOOKUP(INDIRECT(ADDRESS(2,COLUMN())),OFFSET($BN$2,0,0,ROW()-1,60),ROW()-1,FALSE))</f>
        <v>12.06856677</v>
      </c>
      <c r="K61">
        <f ca="1">IF(AND(ISNUMBER($K$734),$B$677=1),$K$734,HLOOKUP(INDIRECT(ADDRESS(2,COLUMN())),OFFSET($BN$2,0,0,ROW()-1,60),ROW()-1,FALSE))</f>
        <v>15.674318599999999</v>
      </c>
      <c r="L61">
        <f ca="1">IF(AND(ISNUMBER($L$734),$B$677=1),$L$734,HLOOKUP(INDIRECT(ADDRESS(2,COLUMN())),OFFSET($BN$2,0,0,ROW()-1,60),ROW()-1,FALSE))</f>
        <v>14.091668650000001</v>
      </c>
      <c r="M61">
        <f ca="1">IF(AND(ISNUMBER($M$734),$B$677=1),$M$734,HLOOKUP(INDIRECT(ADDRESS(2,COLUMN())),OFFSET($BN$2,0,0,ROW()-1,60),ROW()-1,FALSE))</f>
        <v>12.74526571</v>
      </c>
      <c r="N61">
        <f ca="1">IF(AND(ISNUMBER($N$734),$B$677=1),$N$734,HLOOKUP(INDIRECT(ADDRESS(2,COLUMN())),OFFSET($BN$2,0,0,ROW()-1,60),ROW()-1,FALSE))</f>
        <v>10.194799809999999</v>
      </c>
      <c r="O61">
        <f ca="1">IF(AND(ISNUMBER($O$734),$B$677=1),$O$734,HLOOKUP(INDIRECT(ADDRESS(2,COLUMN())),OFFSET($BN$2,0,0,ROW()-1,60),ROW()-1,FALSE))</f>
        <v>7.738519599</v>
      </c>
      <c r="P61">
        <f ca="1">IF(AND(ISNUMBER($P$734),$B$677=1),$P$734,HLOOKUP(INDIRECT(ADDRESS(2,COLUMN())),OFFSET($BN$2,0,0,ROW()-1,60),ROW()-1,FALSE))</f>
        <v>8.2155563800000007</v>
      </c>
      <c r="Q61">
        <f ca="1">IF(AND(ISNUMBER($Q$734),$B$677=1),$Q$734,HLOOKUP(INDIRECT(ADDRESS(2,COLUMN())),OFFSET($BN$2,0,0,ROW()-1,60),ROW()-1,FALSE))</f>
        <v>7.1299063890000003</v>
      </c>
      <c r="R61">
        <f ca="1">IF(AND(ISNUMBER($R$734),$B$677=1),$R$734,HLOOKUP(INDIRECT(ADDRESS(2,COLUMN())),OFFSET($BN$2,0,0,ROW()-1,60),ROW()-1,FALSE))</f>
        <v>6.5331170570000001</v>
      </c>
      <c r="S61">
        <f ca="1">IF(AND(ISNUMBER($S$734),$B$677=1),$S$734,HLOOKUP(INDIRECT(ADDRESS(2,COLUMN())),OFFSET($BN$2,0,0,ROW()-1,60),ROW()-1,FALSE))</f>
        <v>9.8776144820000003</v>
      </c>
      <c r="T61">
        <f ca="1">IF(AND(ISNUMBER($T$734),$B$677=1),$T$734,HLOOKUP(INDIRECT(ADDRESS(2,COLUMN())),OFFSET($BN$2,0,0,ROW()-1,60),ROW()-1,FALSE))</f>
        <v>8.6487531359999998</v>
      </c>
      <c r="U61">
        <f ca="1">IF(AND(ISNUMBER($U$734),$B$677=1),$U$734,HLOOKUP(INDIRECT(ADDRESS(2,COLUMN())),OFFSET($BN$2,0,0,ROW()-1,60),ROW()-1,FALSE))</f>
        <v>9.4581269349999992</v>
      </c>
      <c r="V61">
        <f ca="1">IF(AND(ISNUMBER($V$734),$B$677=1),$V$734,HLOOKUP(INDIRECT(ADDRESS(2,COLUMN())),OFFSET($BN$2,0,0,ROW()-1,60),ROW()-1,FALSE))</f>
        <v>12.766311959999999</v>
      </c>
      <c r="W61">
        <f ca="1">IF(AND(ISNUMBER($W$734),$B$677=1),$W$734,HLOOKUP(INDIRECT(ADDRESS(2,COLUMN())),OFFSET($BN$2,0,0,ROW()-1,60),ROW()-1,FALSE))</f>
        <v>7.9094535649999997</v>
      </c>
      <c r="X61" t="str">
        <f ca="1">IF(AND(ISNUMBER($X$734),$B$677=1),$X$734,HLOOKUP(INDIRECT(ADDRESS(2,COLUMN())),OFFSET($BN$2,0,0,ROW()-1,60),ROW()-1,FALSE))</f>
        <v/>
      </c>
      <c r="Y61" t="str">
        <f ca="1">IF(AND(ISNUMBER($Y$734),$B$677=1),$Y$734,HLOOKUP(INDIRECT(ADDRESS(2,COLUMN())),OFFSET($BN$2,0,0,ROW()-1,60),ROW()-1,FALSE))</f>
        <v/>
      </c>
      <c r="Z61" t="str">
        <f ca="1">IF(AND(ISNUMBER($Z$734),$B$677=1),$Z$734,HLOOKUP(INDIRECT(ADDRESS(2,COLUMN())),OFFSET($BN$2,0,0,ROW()-1,60),ROW()-1,FALSE))</f>
        <v/>
      </c>
      <c r="AA61" t="str">
        <f ca="1">IF(AND(ISNUMBER($AA$734),$B$677=1),$AA$734,HLOOKUP(INDIRECT(ADDRESS(2,COLUMN())),OFFSET($BN$2,0,0,ROW()-1,60),ROW()-1,FALSE))</f>
        <v/>
      </c>
      <c r="AB61" t="str">
        <f ca="1">IF(AND(ISNUMBER($AB$734),$B$677=1),$AB$734,HLOOKUP(INDIRECT(ADDRESS(2,COLUMN())),OFFSET($BN$2,0,0,ROW()-1,60),ROW()-1,FALSE))</f>
        <v/>
      </c>
      <c r="AC61" t="str">
        <f ca="1">IF(AND(ISNUMBER($AC$734),$B$677=1),$AC$734,HLOOKUP(INDIRECT(ADDRESS(2,COLUMN())),OFFSET($BN$2,0,0,ROW()-1,60),ROW()-1,FALSE))</f>
        <v/>
      </c>
      <c r="AD61" t="str">
        <f ca="1">IF(AND(ISNUMBER($AD$734),$B$677=1),$AD$734,HLOOKUP(INDIRECT(ADDRESS(2,COLUMN())),OFFSET($BN$2,0,0,ROW()-1,60),ROW()-1,FALSE))</f>
        <v/>
      </c>
      <c r="AE61" t="str">
        <f ca="1">IF(AND(ISNUMBER($AE$734),$B$677=1),$AE$734,HLOOKUP(INDIRECT(ADDRESS(2,COLUMN())),OFFSET($BN$2,0,0,ROW()-1,60),ROW()-1,FALSE))</f>
        <v/>
      </c>
      <c r="AF61" t="str">
        <f ca="1">IF(AND(ISNUMBER($AF$734),$B$677=1),$AF$734,HLOOKUP(INDIRECT(ADDRESS(2,COLUMN())),OFFSET($BN$2,0,0,ROW()-1,60),ROW()-1,FALSE))</f>
        <v/>
      </c>
      <c r="AG61" t="str">
        <f ca="1">IF(AND(ISNUMBER($AG$734),$B$677=1),$AG$734,HLOOKUP(INDIRECT(ADDRESS(2,COLUMN())),OFFSET($BN$2,0,0,ROW()-1,60),ROW()-1,FALSE))</f>
        <v/>
      </c>
      <c r="AH61" t="str">
        <f ca="1">IF(AND(ISNUMBER($AH$734),$B$677=1),$AH$734,HLOOKUP(INDIRECT(ADDRESS(2,COLUMN())),OFFSET($BN$2,0,0,ROW()-1,60),ROW()-1,FALSE))</f>
        <v/>
      </c>
      <c r="AI61" t="str">
        <f ca="1">IF(AND(ISNUMBER($AI$734),$B$677=1),$AI$734,HLOOKUP(INDIRECT(ADDRESS(2,COLUMN())),OFFSET($BN$2,0,0,ROW()-1,60),ROW()-1,FALSE))</f>
        <v/>
      </c>
      <c r="AJ61" t="str">
        <f ca="1">IF(AND(ISNUMBER($AJ$734),$B$677=1),$AJ$734,HLOOKUP(INDIRECT(ADDRESS(2,COLUMN())),OFFSET($BN$2,0,0,ROW()-1,60),ROW()-1,FALSE))</f>
        <v/>
      </c>
      <c r="AK61" t="str">
        <f ca="1">IF(AND(ISNUMBER($AK$734),$B$677=1),$AK$734,HLOOKUP(INDIRECT(ADDRESS(2,COLUMN())),OFFSET($BN$2,0,0,ROW()-1,60),ROW()-1,FALSE))</f>
        <v/>
      </c>
      <c r="AL61" t="str">
        <f ca="1">IF(AND(ISNUMBER($AL$734),$B$677=1),$AL$734,HLOOKUP(INDIRECT(ADDRESS(2,COLUMN())),OFFSET($BN$2,0,0,ROW()-1,60),ROW()-1,FALSE))</f>
        <v/>
      </c>
      <c r="AM61" t="str">
        <f ca="1">IF(AND(ISNUMBER($AM$734),$B$677=1),$AM$734,HLOOKUP(INDIRECT(ADDRESS(2,COLUMN())),OFFSET($BN$2,0,0,ROW()-1,60),ROW()-1,FALSE))</f>
        <v/>
      </c>
      <c r="AN61" t="str">
        <f ca="1">IF(AND(ISNUMBER($AN$734),$B$677=1),$AN$734,HLOOKUP(INDIRECT(ADDRESS(2,COLUMN())),OFFSET($BN$2,0,0,ROW()-1,60),ROW()-1,FALSE))</f>
        <v/>
      </c>
      <c r="AO61" t="str">
        <f ca="1">IF(AND(ISNUMBER($AO$734),$B$677=1),$AO$734,HLOOKUP(INDIRECT(ADDRESS(2,COLUMN())),OFFSET($BN$2,0,0,ROW()-1,60),ROW()-1,FALSE))</f>
        <v/>
      </c>
      <c r="AP61" t="str">
        <f ca="1">IF(AND(ISNUMBER($AP$734),$B$677=1),$AP$734,HLOOKUP(INDIRECT(ADDRESS(2,COLUMN())),OFFSET($BN$2,0,0,ROW()-1,60),ROW()-1,FALSE))</f>
        <v/>
      </c>
      <c r="AQ61" t="str">
        <f ca="1">IF(AND(ISNUMBER($AQ$734),$B$677=1),$AQ$734,HLOOKUP(INDIRECT(ADDRESS(2,COLUMN())),OFFSET($BN$2,0,0,ROW()-1,60),ROW()-1,FALSE))</f>
        <v/>
      </c>
      <c r="AR61" t="str">
        <f ca="1">IF(AND(ISNUMBER($AR$734),$B$677=1),$AR$734,HLOOKUP(INDIRECT(ADDRESS(2,COLUMN())),OFFSET($BN$2,0,0,ROW()-1,60),ROW()-1,FALSE))</f>
        <v/>
      </c>
      <c r="AS61" t="str">
        <f ca="1">IF(AND(ISNUMBER($AS$734),$B$677=1),$AS$734,HLOOKUP(INDIRECT(ADDRESS(2,COLUMN())),OFFSET($BN$2,0,0,ROW()-1,60),ROW()-1,FALSE))</f>
        <v/>
      </c>
      <c r="AT61" t="str">
        <f ca="1">IF(AND(ISNUMBER($AT$734),$B$677=1),$AT$734,HLOOKUP(INDIRECT(ADDRESS(2,COLUMN())),OFFSET($BN$2,0,0,ROW()-1,60),ROW()-1,FALSE))</f>
        <v/>
      </c>
      <c r="AU61" t="str">
        <f ca="1">IF(AND(ISNUMBER($AU$734),$B$677=1),$AU$734,HLOOKUP(INDIRECT(ADDRESS(2,COLUMN())),OFFSET($BN$2,0,0,ROW()-1,60),ROW()-1,FALSE))</f>
        <v/>
      </c>
      <c r="AV61" t="str">
        <f ca="1">IF(AND(ISNUMBER($AV$734),$B$677=1),$AV$734,HLOOKUP(INDIRECT(ADDRESS(2,COLUMN())),OFFSET($BN$2,0,0,ROW()-1,60),ROW()-1,FALSE))</f>
        <v/>
      </c>
      <c r="AW61" t="str">
        <f ca="1">IF(AND(ISNUMBER($AW$734),$B$677=1),$AW$734,HLOOKUP(INDIRECT(ADDRESS(2,COLUMN())),OFFSET($BN$2,0,0,ROW()-1,60),ROW()-1,FALSE))</f>
        <v/>
      </c>
      <c r="AX61" t="str">
        <f ca="1">IF(AND(ISNUMBER($AX$734),$B$677=1),$AX$734,HLOOKUP(INDIRECT(ADDRESS(2,COLUMN())),OFFSET($BN$2,0,0,ROW()-1,60),ROW()-1,FALSE))</f>
        <v/>
      </c>
      <c r="AY61" t="str">
        <f ca="1">IF(AND(ISNUMBER($AY$734),$B$677=1),$AY$734,HLOOKUP(INDIRECT(ADDRESS(2,COLUMN())),OFFSET($BN$2,0,0,ROW()-1,60),ROW()-1,FALSE))</f>
        <v/>
      </c>
      <c r="AZ61" t="str">
        <f ca="1">IF(AND(ISNUMBER($AZ$734),$B$677=1),$AZ$734,HLOOKUP(INDIRECT(ADDRESS(2,COLUMN())),OFFSET($BN$2,0,0,ROW()-1,60),ROW()-1,FALSE))</f>
        <v/>
      </c>
      <c r="BA61" t="str">
        <f ca="1">IF(AND(ISNUMBER($BA$734),$B$677=1),$BA$734,HLOOKUP(INDIRECT(ADDRESS(2,COLUMN())),OFFSET($BN$2,0,0,ROW()-1,60),ROW()-1,FALSE))</f>
        <v/>
      </c>
      <c r="BB61" t="str">
        <f ca="1">IF(AND(ISNUMBER($BB$734),$B$677=1),$BB$734,HLOOKUP(INDIRECT(ADDRESS(2,COLUMN())),OFFSET($BN$2,0,0,ROW()-1,60),ROW()-1,FALSE))</f>
        <v/>
      </c>
      <c r="BC61" t="str">
        <f ca="1">IF(AND(ISNUMBER($BC$734),$B$677=1),$BC$734,HLOOKUP(INDIRECT(ADDRESS(2,COLUMN())),OFFSET($BN$2,0,0,ROW()-1,60),ROW()-1,FALSE))</f>
        <v/>
      </c>
      <c r="BD61" t="str">
        <f ca="1">IF(AND(ISNUMBER($BD$734),$B$677=1),$BD$734,HLOOKUP(INDIRECT(ADDRESS(2,COLUMN())),OFFSET($BN$2,0,0,ROW()-1,60),ROW()-1,FALSE))</f>
        <v/>
      </c>
      <c r="BE61" t="str">
        <f ca="1">IF(AND(ISNUMBER($BE$734),$B$677=1),$BE$734,HLOOKUP(INDIRECT(ADDRESS(2,COLUMN())),OFFSET($BN$2,0,0,ROW()-1,60),ROW()-1,FALSE))</f>
        <v/>
      </c>
      <c r="BF61" t="str">
        <f ca="1">IF(AND(ISNUMBER($BF$734),$B$677=1),$BF$734,HLOOKUP(INDIRECT(ADDRESS(2,COLUMN())),OFFSET($BN$2,0,0,ROW()-1,60),ROW()-1,FALSE))</f>
        <v/>
      </c>
      <c r="BG61" t="str">
        <f ca="1">IF(AND(ISNUMBER($BG$734),$B$677=1),$BG$734,HLOOKUP(INDIRECT(ADDRESS(2,COLUMN())),OFFSET($BN$2,0,0,ROW()-1,60),ROW()-1,FALSE))</f>
        <v/>
      </c>
      <c r="BH61" t="str">
        <f ca="1">IF(AND(ISNUMBER($BH$734),$B$677=1),$BH$734,HLOOKUP(INDIRECT(ADDRESS(2,COLUMN())),OFFSET($BN$2,0,0,ROW()-1,60),ROW()-1,FALSE))</f>
        <v/>
      </c>
      <c r="BI61" t="str">
        <f ca="1">IF(AND(ISNUMBER($BI$734),$B$677=1),$BI$734,HLOOKUP(INDIRECT(ADDRESS(2,COLUMN())),OFFSET($BN$2,0,0,ROW()-1,60),ROW()-1,FALSE))</f>
        <v/>
      </c>
      <c r="BJ61" t="str">
        <f ca="1">IF(AND(ISNUMBER($BJ$734),$B$677=1),$BJ$734,HLOOKUP(INDIRECT(ADDRESS(2,COLUMN())),OFFSET($BN$2,0,0,ROW()-1,60),ROW()-1,FALSE))</f>
        <v/>
      </c>
      <c r="BK61" t="str">
        <f ca="1">IF(AND(ISNUMBER($BK$734),$B$677=1),$BK$734,HLOOKUP(INDIRECT(ADDRESS(2,COLUMN())),OFFSET($BN$2,0,0,ROW()-1,60),ROW()-1,FALSE))</f>
        <v/>
      </c>
      <c r="BL61" t="str">
        <f ca="1">IF(AND(ISNUMBER($BL$734),$B$677=1),$BL$734,HLOOKUP(INDIRECT(ADDRESS(2,COLUMN())),OFFSET($BN$2,0,0,ROW()-1,60),ROW()-1,FALSE))</f>
        <v/>
      </c>
      <c r="BM61" t="str">
        <f ca="1">IF(AND(ISNUMBER($BM$734),$B$677=1),$BM$734,HLOOKUP(INDIRECT(ADDRESS(2,COLUMN())),OFFSET($BN$2,0,0,ROW()-1,60),ROW()-1,FALSE))</f>
        <v/>
      </c>
      <c r="BN61">
        <f>9.055567103</f>
        <v>9.0555671029999996</v>
      </c>
      <c r="BO61">
        <f>8.074364798</f>
        <v>8.0743647979999995</v>
      </c>
      <c r="BP61">
        <f>8.868803761</f>
        <v>8.8688037610000006</v>
      </c>
      <c r="BQ61">
        <f>11.33982034</f>
        <v>11.339820339999999</v>
      </c>
      <c r="BR61">
        <f>12.06856677</f>
        <v>12.06856677</v>
      </c>
      <c r="BS61">
        <f>15.6743186</f>
        <v>15.674318599999999</v>
      </c>
      <c r="BT61">
        <f>14.09166865</f>
        <v>14.091668650000001</v>
      </c>
      <c r="BU61">
        <f>12.74526571</f>
        <v>12.74526571</v>
      </c>
      <c r="BV61">
        <f>10.19479981</f>
        <v>10.194799809999999</v>
      </c>
      <c r="BW61">
        <f>7.738519599</f>
        <v>7.738519599</v>
      </c>
      <c r="BX61">
        <f>8.21555638</f>
        <v>8.2155563800000007</v>
      </c>
      <c r="BY61">
        <f>7.129906389</f>
        <v>7.1299063890000003</v>
      </c>
      <c r="BZ61">
        <f>6.533117057</f>
        <v>6.5331170570000001</v>
      </c>
      <c r="CA61">
        <f>9.877614482</f>
        <v>9.8776144820000003</v>
      </c>
      <c r="CB61">
        <f>8.648753136</f>
        <v>8.6487531359999998</v>
      </c>
      <c r="CC61">
        <f>9.458126935</f>
        <v>9.4581269349999992</v>
      </c>
      <c r="CD61">
        <f>12.76631196</f>
        <v>12.766311959999999</v>
      </c>
      <c r="CE61">
        <f>7.909453565</f>
        <v>7.9094535649999997</v>
      </c>
      <c r="CF61" t="str">
        <f>""</f>
        <v/>
      </c>
      <c r="CG61" t="str">
        <f>""</f>
        <v/>
      </c>
      <c r="CH61" t="str">
        <f>""</f>
        <v/>
      </c>
      <c r="CI61" t="str">
        <f>""</f>
        <v/>
      </c>
      <c r="CJ61" t="str">
        <f>""</f>
        <v/>
      </c>
      <c r="CK61" t="str">
        <f>""</f>
        <v/>
      </c>
      <c r="CL61" t="str">
        <f>""</f>
        <v/>
      </c>
      <c r="CM61" t="str">
        <f>""</f>
        <v/>
      </c>
      <c r="CN61" t="str">
        <f>""</f>
        <v/>
      </c>
      <c r="CO61" t="str">
        <f>""</f>
        <v/>
      </c>
      <c r="CP61" t="str">
        <f>""</f>
        <v/>
      </c>
      <c r="CQ61" t="str">
        <f>""</f>
        <v/>
      </c>
      <c r="CR61" t="str">
        <f>""</f>
        <v/>
      </c>
      <c r="CS61" t="str">
        <f>""</f>
        <v/>
      </c>
      <c r="CT61" t="str">
        <f>""</f>
        <v/>
      </c>
      <c r="CU61" t="str">
        <f>""</f>
        <v/>
      </c>
      <c r="CV61" t="str">
        <f>""</f>
        <v/>
      </c>
      <c r="CW61" t="str">
        <f>""</f>
        <v/>
      </c>
      <c r="CX61" t="str">
        <f>""</f>
        <v/>
      </c>
      <c r="CY61" t="str">
        <f>""</f>
        <v/>
      </c>
      <c r="CZ61" t="str">
        <f>""</f>
        <v/>
      </c>
      <c r="DA61" t="str">
        <f>""</f>
        <v/>
      </c>
      <c r="DB61" t="str">
        <f>""</f>
        <v/>
      </c>
      <c r="DC61" t="str">
        <f>""</f>
        <v/>
      </c>
      <c r="DD61" t="str">
        <f>""</f>
        <v/>
      </c>
      <c r="DE61" t="str">
        <f>""</f>
        <v/>
      </c>
      <c r="DF61" t="str">
        <f>""</f>
        <v/>
      </c>
      <c r="DG61" t="str">
        <f>""</f>
        <v/>
      </c>
      <c r="DH61" t="str">
        <f>""</f>
        <v/>
      </c>
      <c r="DI61" t="str">
        <f>""</f>
        <v/>
      </c>
      <c r="DJ61" t="str">
        <f>""</f>
        <v/>
      </c>
      <c r="DK61" t="str">
        <f>""</f>
        <v/>
      </c>
      <c r="DL61" t="str">
        <f>""</f>
        <v/>
      </c>
      <c r="DM61" t="str">
        <f>""</f>
        <v/>
      </c>
      <c r="DN61" t="str">
        <f>""</f>
        <v/>
      </c>
      <c r="DO61" t="str">
        <f>""</f>
        <v/>
      </c>
      <c r="DP61" t="str">
        <f>""</f>
        <v/>
      </c>
      <c r="DQ61" t="str">
        <f>""</f>
        <v/>
      </c>
      <c r="DR61" t="str">
        <f>""</f>
        <v/>
      </c>
      <c r="DS61" t="str">
        <f>""</f>
        <v/>
      </c>
      <c r="DT61" t="str">
        <f>""</f>
        <v/>
      </c>
      <c r="DU61" t="str">
        <f>""</f>
        <v/>
      </c>
    </row>
    <row r="62" spans="1:125" x14ac:dyDescent="0.25">
      <c r="A62" t="str">
        <f>"    General Motors Co"</f>
        <v xml:space="preserve">    General Motors Co</v>
      </c>
      <c r="B62" t="str">
        <f>"GM US Equity"</f>
        <v>GM US Equity</v>
      </c>
      <c r="C62" t="str">
        <f t="shared" si="3"/>
        <v>EZ009</v>
      </c>
      <c r="D62" t="str">
        <f t="shared" si="4"/>
        <v>BEST_EST_PE_CUR_YR</v>
      </c>
      <c r="E62" t="str">
        <f t="shared" si="5"/>
        <v>Dynamic</v>
      </c>
      <c r="F62">
        <f ca="1">IF(AND(ISNUMBER($F$735),$B$677=1),$F$735,HLOOKUP(INDIRECT(ADDRESS(2,COLUMN())),OFFSET($BN$2,0,0,ROW()-1,60),ROW()-1,FALSE))</f>
        <v>5.9925238820000004</v>
      </c>
      <c r="G62">
        <f ca="1">IF(AND(ISNUMBER($G$735),$B$677=1),$G$735,HLOOKUP(INDIRECT(ADDRESS(2,COLUMN())),OFFSET($BN$2,0,0,ROW()-1,60),ROW()-1,FALSE))</f>
        <v>5.562021949</v>
      </c>
      <c r="H62">
        <f ca="1">IF(AND(ISNUMBER($H$735),$B$677=1),$H$735,HLOOKUP(INDIRECT(ADDRESS(2,COLUMN())),OFFSET($BN$2,0,0,ROW()-1,60),ROW()-1,FALSE))</f>
        <v>5.6342034810000001</v>
      </c>
      <c r="I62">
        <f ca="1">IF(AND(ISNUMBER($I$735),$B$677=1),$I$735,HLOOKUP(INDIRECT(ADDRESS(2,COLUMN())),OFFSET($BN$2,0,0,ROW()-1,60),ROW()-1,FALSE))</f>
        <v>6.1180124219999996</v>
      </c>
      <c r="J62">
        <f ca="1">IF(AND(ISNUMBER($J$735),$B$677=1),$J$735,HLOOKUP(INDIRECT(ADDRESS(2,COLUMN())),OFFSET($BN$2,0,0,ROW()-1,60),ROW()-1,FALSE))</f>
        <v>5.7436383749999997</v>
      </c>
      <c r="K62">
        <f ca="1">IF(AND(ISNUMBER($K$735),$B$677=1),$K$735,HLOOKUP(INDIRECT(ADDRESS(2,COLUMN())),OFFSET($BN$2,0,0,ROW()-1,60),ROW()-1,FALSE))</f>
        <v>7.1299356410000003</v>
      </c>
      <c r="L62">
        <f ca="1">IF(AND(ISNUMBER($L$735),$B$677=1),$L$735,HLOOKUP(INDIRECT(ADDRESS(2,COLUMN())),OFFSET($BN$2,0,0,ROW()-1,60),ROW()-1,FALSE))</f>
        <v>7.148167817</v>
      </c>
      <c r="M62">
        <f ca="1">IF(AND(ISNUMBER($M$735),$B$677=1),$M$735,HLOOKUP(INDIRECT(ADDRESS(2,COLUMN())),OFFSET($BN$2,0,0,ROW()-1,60),ROW()-1,FALSE))</f>
        <v>6.3061924539999996</v>
      </c>
      <c r="N62">
        <f ca="1">IF(AND(ISNUMBER($N$735),$B$677=1),$N$735,HLOOKUP(INDIRECT(ADDRESS(2,COLUMN())),OFFSET($BN$2,0,0,ROW()-1,60),ROW()-1,FALSE))</f>
        <v>6.5227817750000003</v>
      </c>
      <c r="O62">
        <f ca="1">IF(AND(ISNUMBER($O$735),$B$677=1),$O$735,HLOOKUP(INDIRECT(ADDRESS(2,COLUMN())),OFFSET($BN$2,0,0,ROW()-1,60),ROW()-1,FALSE))</f>
        <v>6.6871401150000001</v>
      </c>
      <c r="P62">
        <f ca="1">IF(AND(ISNUMBER($P$735),$B$677=1),$P$735,HLOOKUP(INDIRECT(ADDRESS(2,COLUMN())),OFFSET($BN$2,0,0,ROW()-1,60),ROW()-1,FALSE))</f>
        <v>5.9751739700000002</v>
      </c>
      <c r="Q62">
        <f ca="1">IF(AND(ISNUMBER($Q$735),$B$677=1),$Q$735,HLOOKUP(INDIRECT(ADDRESS(2,COLUMN())),OFFSET($BN$2,0,0,ROW()-1,60),ROW()-1,FALSE))</f>
        <v>5.2214022140000003</v>
      </c>
      <c r="R62">
        <f ca="1">IF(AND(ISNUMBER($R$735),$B$677=1),$R$735,HLOOKUP(INDIRECT(ADDRESS(2,COLUMN())),OFFSET($BN$2,0,0,ROW()-1,60),ROW()-1,FALSE))</f>
        <v>5.9639468689999999</v>
      </c>
      <c r="S62">
        <f ca="1">IF(AND(ISNUMBER($S$735),$B$677=1),$S$735,HLOOKUP(INDIRECT(ADDRESS(2,COLUMN())),OFFSET($BN$2,0,0,ROW()-1,60),ROW()-1,FALSE))</f>
        <v>6.4535104360000002</v>
      </c>
      <c r="T62" t="str">
        <f ca="1">IF(AND(ISNUMBER($T$735),$B$677=1),$T$735,HLOOKUP(INDIRECT(ADDRESS(2,COLUMN())),OFFSET($BN$2,0,0,ROW()-1,60),ROW()-1,FALSE))</f>
        <v/>
      </c>
      <c r="U62" t="str">
        <f ca="1">IF(AND(ISNUMBER($U$735),$B$677=1),$U$735,HLOOKUP(INDIRECT(ADDRESS(2,COLUMN())),OFFSET($BN$2,0,0,ROW()-1,60),ROW()-1,FALSE))</f>
        <v/>
      </c>
      <c r="V62" t="str">
        <f ca="1">IF(AND(ISNUMBER($V$735),$B$677=1),$V$735,HLOOKUP(INDIRECT(ADDRESS(2,COLUMN())),OFFSET($BN$2,0,0,ROW()-1,60),ROW()-1,FALSE))</f>
        <v/>
      </c>
      <c r="W62" t="str">
        <f ca="1">IF(AND(ISNUMBER($W$735),$B$677=1),$W$735,HLOOKUP(INDIRECT(ADDRESS(2,COLUMN())),OFFSET($BN$2,0,0,ROW()-1,60),ROW()-1,FALSE))</f>
        <v/>
      </c>
      <c r="X62" t="str">
        <f ca="1">IF(AND(ISNUMBER($X$735),$B$677=1),$X$735,HLOOKUP(INDIRECT(ADDRESS(2,COLUMN())),OFFSET($BN$2,0,0,ROW()-1,60),ROW()-1,FALSE))</f>
        <v/>
      </c>
      <c r="Y62" t="str">
        <f ca="1">IF(AND(ISNUMBER($Y$735),$B$677=1),$Y$735,HLOOKUP(INDIRECT(ADDRESS(2,COLUMN())),OFFSET($BN$2,0,0,ROW()-1,60),ROW()-1,FALSE))</f>
        <v/>
      </c>
      <c r="Z62" t="str">
        <f ca="1">IF(AND(ISNUMBER($Z$735),$B$677=1),$Z$735,HLOOKUP(INDIRECT(ADDRESS(2,COLUMN())),OFFSET($BN$2,0,0,ROW()-1,60),ROW()-1,FALSE))</f>
        <v/>
      </c>
      <c r="AA62" t="str">
        <f ca="1">IF(AND(ISNUMBER($AA$735),$B$677=1),$AA$735,HLOOKUP(INDIRECT(ADDRESS(2,COLUMN())),OFFSET($BN$2,0,0,ROW()-1,60),ROW()-1,FALSE))</f>
        <v/>
      </c>
      <c r="AB62" t="str">
        <f ca="1">IF(AND(ISNUMBER($AB$735),$B$677=1),$AB$735,HLOOKUP(INDIRECT(ADDRESS(2,COLUMN())),OFFSET($BN$2,0,0,ROW()-1,60),ROW()-1,FALSE))</f>
        <v/>
      </c>
      <c r="AC62" t="str">
        <f ca="1">IF(AND(ISNUMBER($AC$735),$B$677=1),$AC$735,HLOOKUP(INDIRECT(ADDRESS(2,COLUMN())),OFFSET($BN$2,0,0,ROW()-1,60),ROW()-1,FALSE))</f>
        <v/>
      </c>
      <c r="AD62" t="str">
        <f ca="1">IF(AND(ISNUMBER($AD$735),$B$677=1),$AD$735,HLOOKUP(INDIRECT(ADDRESS(2,COLUMN())),OFFSET($BN$2,0,0,ROW()-1,60),ROW()-1,FALSE))</f>
        <v/>
      </c>
      <c r="AE62" t="str">
        <f ca="1">IF(AND(ISNUMBER($AE$735),$B$677=1),$AE$735,HLOOKUP(INDIRECT(ADDRESS(2,COLUMN())),OFFSET($BN$2,0,0,ROW()-1,60),ROW()-1,FALSE))</f>
        <v/>
      </c>
      <c r="AF62" t="str">
        <f ca="1">IF(AND(ISNUMBER($AF$735),$B$677=1),$AF$735,HLOOKUP(INDIRECT(ADDRESS(2,COLUMN())),OFFSET($BN$2,0,0,ROW()-1,60),ROW()-1,FALSE))</f>
        <v/>
      </c>
      <c r="AG62" t="str">
        <f ca="1">IF(AND(ISNUMBER($AG$735),$B$677=1),$AG$735,HLOOKUP(INDIRECT(ADDRESS(2,COLUMN())),OFFSET($BN$2,0,0,ROW()-1,60),ROW()-1,FALSE))</f>
        <v/>
      </c>
      <c r="AH62" t="str">
        <f ca="1">IF(AND(ISNUMBER($AH$735),$B$677=1),$AH$735,HLOOKUP(INDIRECT(ADDRESS(2,COLUMN())),OFFSET($BN$2,0,0,ROW()-1,60),ROW()-1,FALSE))</f>
        <v/>
      </c>
      <c r="AI62" t="str">
        <f ca="1">IF(AND(ISNUMBER($AI$735),$B$677=1),$AI$735,HLOOKUP(INDIRECT(ADDRESS(2,COLUMN())),OFFSET($BN$2,0,0,ROW()-1,60),ROW()-1,FALSE))</f>
        <v/>
      </c>
      <c r="AJ62" t="str">
        <f ca="1">IF(AND(ISNUMBER($AJ$735),$B$677=1),$AJ$735,HLOOKUP(INDIRECT(ADDRESS(2,COLUMN())),OFFSET($BN$2,0,0,ROW()-1,60),ROW()-1,FALSE))</f>
        <v/>
      </c>
      <c r="AK62" t="str">
        <f ca="1">IF(AND(ISNUMBER($AK$735),$B$677=1),$AK$735,HLOOKUP(INDIRECT(ADDRESS(2,COLUMN())),OFFSET($BN$2,0,0,ROW()-1,60),ROW()-1,FALSE))</f>
        <v/>
      </c>
      <c r="AL62" t="str">
        <f ca="1">IF(AND(ISNUMBER($AL$735),$B$677=1),$AL$735,HLOOKUP(INDIRECT(ADDRESS(2,COLUMN())),OFFSET($BN$2,0,0,ROW()-1,60),ROW()-1,FALSE))</f>
        <v/>
      </c>
      <c r="AM62" t="str">
        <f ca="1">IF(AND(ISNUMBER($AM$735),$B$677=1),$AM$735,HLOOKUP(INDIRECT(ADDRESS(2,COLUMN())),OFFSET($BN$2,0,0,ROW()-1,60),ROW()-1,FALSE))</f>
        <v/>
      </c>
      <c r="AN62" t="str">
        <f ca="1">IF(AND(ISNUMBER($AN$735),$B$677=1),$AN$735,HLOOKUP(INDIRECT(ADDRESS(2,COLUMN())),OFFSET($BN$2,0,0,ROW()-1,60),ROW()-1,FALSE))</f>
        <v/>
      </c>
      <c r="AO62" t="str">
        <f ca="1">IF(AND(ISNUMBER($AO$735),$B$677=1),$AO$735,HLOOKUP(INDIRECT(ADDRESS(2,COLUMN())),OFFSET($BN$2,0,0,ROW()-1,60),ROW()-1,FALSE))</f>
        <v/>
      </c>
      <c r="AP62" t="str">
        <f ca="1">IF(AND(ISNUMBER($AP$735),$B$677=1),$AP$735,HLOOKUP(INDIRECT(ADDRESS(2,COLUMN())),OFFSET($BN$2,0,0,ROW()-1,60),ROW()-1,FALSE))</f>
        <v/>
      </c>
      <c r="AQ62" t="str">
        <f ca="1">IF(AND(ISNUMBER($AQ$735),$B$677=1),$AQ$735,HLOOKUP(INDIRECT(ADDRESS(2,COLUMN())),OFFSET($BN$2,0,0,ROW()-1,60),ROW()-1,FALSE))</f>
        <v/>
      </c>
      <c r="AR62" t="str">
        <f ca="1">IF(AND(ISNUMBER($AR$735),$B$677=1),$AR$735,HLOOKUP(INDIRECT(ADDRESS(2,COLUMN())),OFFSET($BN$2,0,0,ROW()-1,60),ROW()-1,FALSE))</f>
        <v/>
      </c>
      <c r="AS62" t="str">
        <f ca="1">IF(AND(ISNUMBER($AS$735),$B$677=1),$AS$735,HLOOKUP(INDIRECT(ADDRESS(2,COLUMN())),OFFSET($BN$2,0,0,ROW()-1,60),ROW()-1,FALSE))</f>
        <v/>
      </c>
      <c r="AT62" t="str">
        <f ca="1">IF(AND(ISNUMBER($AT$735),$B$677=1),$AT$735,HLOOKUP(INDIRECT(ADDRESS(2,COLUMN())),OFFSET($BN$2,0,0,ROW()-1,60),ROW()-1,FALSE))</f>
        <v/>
      </c>
      <c r="AU62" t="str">
        <f ca="1">IF(AND(ISNUMBER($AU$735),$B$677=1),$AU$735,HLOOKUP(INDIRECT(ADDRESS(2,COLUMN())),OFFSET($BN$2,0,0,ROW()-1,60),ROW()-1,FALSE))</f>
        <v/>
      </c>
      <c r="AV62" t="str">
        <f ca="1">IF(AND(ISNUMBER($AV$735),$B$677=1),$AV$735,HLOOKUP(INDIRECT(ADDRESS(2,COLUMN())),OFFSET($BN$2,0,0,ROW()-1,60),ROW()-1,FALSE))</f>
        <v/>
      </c>
      <c r="AW62" t="str">
        <f ca="1">IF(AND(ISNUMBER($AW$735),$B$677=1),$AW$735,HLOOKUP(INDIRECT(ADDRESS(2,COLUMN())),OFFSET($BN$2,0,0,ROW()-1,60),ROW()-1,FALSE))</f>
        <v/>
      </c>
      <c r="AX62" t="str">
        <f ca="1">IF(AND(ISNUMBER($AX$735),$B$677=1),$AX$735,HLOOKUP(INDIRECT(ADDRESS(2,COLUMN())),OFFSET($BN$2,0,0,ROW()-1,60),ROW()-1,FALSE))</f>
        <v/>
      </c>
      <c r="AY62" t="str">
        <f ca="1">IF(AND(ISNUMBER($AY$735),$B$677=1),$AY$735,HLOOKUP(INDIRECT(ADDRESS(2,COLUMN())),OFFSET($BN$2,0,0,ROW()-1,60),ROW()-1,FALSE))</f>
        <v/>
      </c>
      <c r="AZ62" t="str">
        <f ca="1">IF(AND(ISNUMBER($AZ$735),$B$677=1),$AZ$735,HLOOKUP(INDIRECT(ADDRESS(2,COLUMN())),OFFSET($BN$2,0,0,ROW()-1,60),ROW()-1,FALSE))</f>
        <v/>
      </c>
      <c r="BA62" t="str">
        <f ca="1">IF(AND(ISNUMBER($BA$735),$B$677=1),$BA$735,HLOOKUP(INDIRECT(ADDRESS(2,COLUMN())),OFFSET($BN$2,0,0,ROW()-1,60),ROW()-1,FALSE))</f>
        <v/>
      </c>
      <c r="BB62" t="str">
        <f ca="1">IF(AND(ISNUMBER($BB$735),$B$677=1),$BB$735,HLOOKUP(INDIRECT(ADDRESS(2,COLUMN())),OFFSET($BN$2,0,0,ROW()-1,60),ROW()-1,FALSE))</f>
        <v/>
      </c>
      <c r="BC62" t="str">
        <f ca="1">IF(AND(ISNUMBER($BC$735),$B$677=1),$BC$735,HLOOKUP(INDIRECT(ADDRESS(2,COLUMN())),OFFSET($BN$2,0,0,ROW()-1,60),ROW()-1,FALSE))</f>
        <v/>
      </c>
      <c r="BD62" t="str">
        <f ca="1">IF(AND(ISNUMBER($BD$735),$B$677=1),$BD$735,HLOOKUP(INDIRECT(ADDRESS(2,COLUMN())),OFFSET($BN$2,0,0,ROW()-1,60),ROW()-1,FALSE))</f>
        <v/>
      </c>
      <c r="BE62" t="str">
        <f ca="1">IF(AND(ISNUMBER($BE$735),$B$677=1),$BE$735,HLOOKUP(INDIRECT(ADDRESS(2,COLUMN())),OFFSET($BN$2,0,0,ROW()-1,60),ROW()-1,FALSE))</f>
        <v/>
      </c>
      <c r="BF62" t="str">
        <f ca="1">IF(AND(ISNUMBER($BF$735),$B$677=1),$BF$735,HLOOKUP(INDIRECT(ADDRESS(2,COLUMN())),OFFSET($BN$2,0,0,ROW()-1,60),ROW()-1,FALSE))</f>
        <v/>
      </c>
      <c r="BG62" t="str">
        <f ca="1">IF(AND(ISNUMBER($BG$735),$B$677=1),$BG$735,HLOOKUP(INDIRECT(ADDRESS(2,COLUMN())),OFFSET($BN$2,0,0,ROW()-1,60),ROW()-1,FALSE))</f>
        <v/>
      </c>
      <c r="BH62" t="str">
        <f ca="1">IF(AND(ISNUMBER($BH$735),$B$677=1),$BH$735,HLOOKUP(INDIRECT(ADDRESS(2,COLUMN())),OFFSET($BN$2,0,0,ROW()-1,60),ROW()-1,FALSE))</f>
        <v/>
      </c>
      <c r="BI62" t="str">
        <f ca="1">IF(AND(ISNUMBER($BI$735),$B$677=1),$BI$735,HLOOKUP(INDIRECT(ADDRESS(2,COLUMN())),OFFSET($BN$2,0,0,ROW()-1,60),ROW()-1,FALSE))</f>
        <v/>
      </c>
      <c r="BJ62" t="str">
        <f ca="1">IF(AND(ISNUMBER($BJ$735),$B$677=1),$BJ$735,HLOOKUP(INDIRECT(ADDRESS(2,COLUMN())),OFFSET($BN$2,0,0,ROW()-1,60),ROW()-1,FALSE))</f>
        <v/>
      </c>
      <c r="BK62" t="str">
        <f ca="1">IF(AND(ISNUMBER($BK$735),$B$677=1),$BK$735,HLOOKUP(INDIRECT(ADDRESS(2,COLUMN())),OFFSET($BN$2,0,0,ROW()-1,60),ROW()-1,FALSE))</f>
        <v/>
      </c>
      <c r="BL62" t="str">
        <f ca="1">IF(AND(ISNUMBER($BL$735),$B$677=1),$BL$735,HLOOKUP(INDIRECT(ADDRESS(2,COLUMN())),OFFSET($BN$2,0,0,ROW()-1,60),ROW()-1,FALSE))</f>
        <v/>
      </c>
      <c r="BM62" t="str">
        <f ca="1">IF(AND(ISNUMBER($BM$735),$B$677=1),$BM$735,HLOOKUP(INDIRECT(ADDRESS(2,COLUMN())),OFFSET($BN$2,0,0,ROW()-1,60),ROW()-1,FALSE))</f>
        <v/>
      </c>
      <c r="BN62">
        <f>5.992523882</f>
        <v>5.9925238820000004</v>
      </c>
      <c r="BO62">
        <f>5.562021949</f>
        <v>5.562021949</v>
      </c>
      <c r="BP62">
        <f>5.634203481</f>
        <v>5.6342034810000001</v>
      </c>
      <c r="BQ62">
        <f>6.118012422</f>
        <v>6.1180124219999996</v>
      </c>
      <c r="BR62">
        <f>5.743638375</f>
        <v>5.7436383749999997</v>
      </c>
      <c r="BS62">
        <f>7.129935641</f>
        <v>7.1299356410000003</v>
      </c>
      <c r="BT62">
        <f>7.148167817</f>
        <v>7.148167817</v>
      </c>
      <c r="BU62">
        <f>6.306192454</f>
        <v>6.3061924539999996</v>
      </c>
      <c r="BV62">
        <f>6.522781775</f>
        <v>6.5227817750000003</v>
      </c>
      <c r="BW62">
        <f>6.687140115</f>
        <v>6.6871401150000001</v>
      </c>
      <c r="BX62">
        <f>5.97517397</f>
        <v>5.9751739700000002</v>
      </c>
      <c r="BY62">
        <f>5.221402214</f>
        <v>5.2214022140000003</v>
      </c>
      <c r="BZ62">
        <f>5.963946869</f>
        <v>5.9639468689999999</v>
      </c>
      <c r="CA62">
        <f>6.453510436</f>
        <v>6.4535104360000002</v>
      </c>
      <c r="CB62" t="str">
        <f>""</f>
        <v/>
      </c>
      <c r="CC62" t="str">
        <f>""</f>
        <v/>
      </c>
      <c r="CD62" t="str">
        <f>""</f>
        <v/>
      </c>
      <c r="CE62" t="str">
        <f>""</f>
        <v/>
      </c>
      <c r="CF62" t="str">
        <f>""</f>
        <v/>
      </c>
      <c r="CG62" t="str">
        <f>""</f>
        <v/>
      </c>
      <c r="CH62" t="str">
        <f>""</f>
        <v/>
      </c>
      <c r="CI62" t="str">
        <f>""</f>
        <v/>
      </c>
      <c r="CJ62" t="str">
        <f>""</f>
        <v/>
      </c>
      <c r="CK62" t="str">
        <f>""</f>
        <v/>
      </c>
      <c r="CL62" t="str">
        <f>""</f>
        <v/>
      </c>
      <c r="CM62" t="str">
        <f>""</f>
        <v/>
      </c>
      <c r="CN62" t="str">
        <f>""</f>
        <v/>
      </c>
      <c r="CO62" t="str">
        <f>""</f>
        <v/>
      </c>
      <c r="CP62" t="str">
        <f>""</f>
        <v/>
      </c>
      <c r="CQ62" t="str">
        <f>""</f>
        <v/>
      </c>
      <c r="CR62" t="str">
        <f>""</f>
        <v/>
      </c>
      <c r="CS62" t="str">
        <f>""</f>
        <v/>
      </c>
      <c r="CT62" t="str">
        <f>""</f>
        <v/>
      </c>
      <c r="CU62" t="str">
        <f>""</f>
        <v/>
      </c>
      <c r="CV62" t="str">
        <f>""</f>
        <v/>
      </c>
      <c r="CW62" t="str">
        <f>""</f>
        <v/>
      </c>
      <c r="CX62" t="str">
        <f>""</f>
        <v/>
      </c>
      <c r="CY62" t="str">
        <f>""</f>
        <v/>
      </c>
      <c r="CZ62" t="str">
        <f>""</f>
        <v/>
      </c>
      <c r="DA62" t="str">
        <f>""</f>
        <v/>
      </c>
      <c r="DB62" t="str">
        <f>""</f>
        <v/>
      </c>
      <c r="DC62" t="str">
        <f>""</f>
        <v/>
      </c>
      <c r="DD62" t="str">
        <f>""</f>
        <v/>
      </c>
      <c r="DE62" t="str">
        <f>""</f>
        <v/>
      </c>
      <c r="DF62" t="str">
        <f>""</f>
        <v/>
      </c>
      <c r="DG62" t="str">
        <f>""</f>
        <v/>
      </c>
      <c r="DH62" t="str">
        <f>""</f>
        <v/>
      </c>
      <c r="DI62" t="str">
        <f>""</f>
        <v/>
      </c>
      <c r="DJ62" t="str">
        <f>""</f>
        <v/>
      </c>
      <c r="DK62" t="str">
        <f>""</f>
        <v/>
      </c>
      <c r="DL62" t="str">
        <f>""</f>
        <v/>
      </c>
      <c r="DM62" t="str">
        <f>""</f>
        <v/>
      </c>
      <c r="DN62" t="str">
        <f>""</f>
        <v/>
      </c>
      <c r="DO62" t="str">
        <f>""</f>
        <v/>
      </c>
      <c r="DP62" t="str">
        <f>""</f>
        <v/>
      </c>
      <c r="DQ62" t="str">
        <f>""</f>
        <v/>
      </c>
      <c r="DR62" t="str">
        <f>""</f>
        <v/>
      </c>
      <c r="DS62" t="str">
        <f>""</f>
        <v/>
      </c>
      <c r="DT62" t="str">
        <f>""</f>
        <v/>
      </c>
      <c r="DU62" t="str">
        <f>""</f>
        <v/>
      </c>
    </row>
    <row r="63" spans="1:125" x14ac:dyDescent="0.25">
      <c r="A63" t="str">
        <f>"    Great Wall Motor Co Ltd"</f>
        <v xml:space="preserve">    Great Wall Motor Co Ltd</v>
      </c>
      <c r="B63" t="str">
        <f>"2333 HK Equity"</f>
        <v>2333 HK Equity</v>
      </c>
      <c r="C63" t="str">
        <f t="shared" si="3"/>
        <v>EZ009</v>
      </c>
      <c r="D63" t="str">
        <f t="shared" si="4"/>
        <v>BEST_EST_PE_CUR_YR</v>
      </c>
      <c r="E63" t="str">
        <f t="shared" si="5"/>
        <v>Dynamic</v>
      </c>
      <c r="F63">
        <f ca="1">IF(AND(ISNUMBER($F$736),$B$677=1),$F$736,HLOOKUP(INDIRECT(ADDRESS(2,COLUMN())),OFFSET($BN$2,0,0,ROW()-1,60),ROW()-1,FALSE))</f>
        <v>8.3958106079999997</v>
      </c>
      <c r="G63">
        <f ca="1">IF(AND(ISNUMBER($G$736),$B$677=1),$G$736,HLOOKUP(INDIRECT(ADDRESS(2,COLUMN())),OFFSET($BN$2,0,0,ROW()-1,60),ROW()-1,FALSE))</f>
        <v>6.8938254810000004</v>
      </c>
      <c r="H63">
        <f ca="1">IF(AND(ISNUMBER($H$736),$B$677=1),$H$736,HLOOKUP(INDIRECT(ADDRESS(2,COLUMN())),OFFSET($BN$2,0,0,ROW()-1,60),ROW()-1,FALSE))</f>
        <v>5.9512812420000003</v>
      </c>
      <c r="I63">
        <f ca="1">IF(AND(ISNUMBER($I$736),$B$677=1),$I$736,HLOOKUP(INDIRECT(ADDRESS(2,COLUMN())),OFFSET($BN$2,0,0,ROW()-1,60),ROW()-1,FALSE))</f>
        <v>5.9451942469999999</v>
      </c>
      <c r="J63">
        <f ca="1">IF(AND(ISNUMBER($J$736),$B$677=1),$J$736,HLOOKUP(INDIRECT(ADDRESS(2,COLUMN())),OFFSET($BN$2,0,0,ROW()-1,60),ROW()-1,FALSE))</f>
        <v>7.7365577270000001</v>
      </c>
      <c r="K63">
        <f ca="1">IF(AND(ISNUMBER($K$736),$B$677=1),$K$736,HLOOKUP(INDIRECT(ADDRESS(2,COLUMN())),OFFSET($BN$2,0,0,ROW()-1,60),ROW()-1,FALSE))</f>
        <v>8.3102188950000002</v>
      </c>
      <c r="L63">
        <f ca="1">IF(AND(ISNUMBER($L$736),$B$677=1),$L$736,HLOOKUP(INDIRECT(ADDRESS(2,COLUMN())),OFFSET($BN$2,0,0,ROW()-1,60),ROW()-1,FALSE))</f>
        <v>8.1131300409999998</v>
      </c>
      <c r="M63">
        <f ca="1">IF(AND(ISNUMBER($M$736),$B$677=1),$M$736,HLOOKUP(INDIRECT(ADDRESS(2,COLUMN())),OFFSET($BN$2,0,0,ROW()-1,60),ROW()-1,FALSE))</f>
        <v>7.2390823729999996</v>
      </c>
      <c r="N63">
        <f ca="1">IF(AND(ISNUMBER($N$736),$B$677=1),$N$736,HLOOKUP(INDIRECT(ADDRESS(2,COLUMN())),OFFSET($BN$2,0,0,ROW()-1,60),ROW()-1,FALSE))</f>
        <v>6.4355364560000003</v>
      </c>
      <c r="O63">
        <f ca="1">IF(AND(ISNUMBER($O$736),$B$677=1),$O$736,HLOOKUP(INDIRECT(ADDRESS(2,COLUMN())),OFFSET($BN$2,0,0,ROW()-1,60),ROW()-1,FALSE))</f>
        <v>6.3402761099999996</v>
      </c>
      <c r="P63">
        <f ca="1">IF(AND(ISNUMBER($P$736),$B$677=1),$P$736,HLOOKUP(INDIRECT(ADDRESS(2,COLUMN())),OFFSET($BN$2,0,0,ROW()-1,60),ROW()-1,FALSE))</f>
        <v>6.5551284939999999</v>
      </c>
      <c r="Q63">
        <f ca="1">IF(AND(ISNUMBER($Q$736),$B$677=1),$Q$736,HLOOKUP(INDIRECT(ADDRESS(2,COLUMN())),OFFSET($BN$2,0,0,ROW()-1,60),ROW()-1,FALSE))</f>
        <v>6.131391292</v>
      </c>
      <c r="R63">
        <f ca="1">IF(AND(ISNUMBER($R$736),$B$677=1),$R$736,HLOOKUP(INDIRECT(ADDRESS(2,COLUMN())),OFFSET($BN$2,0,0,ROW()-1,60),ROW()-1,FALSE))</f>
        <v>6.059300854</v>
      </c>
      <c r="S63">
        <f ca="1">IF(AND(ISNUMBER($S$736),$B$677=1),$S$736,HLOOKUP(INDIRECT(ADDRESS(2,COLUMN())),OFFSET($BN$2,0,0,ROW()-1,60),ROW()-1,FALSE))</f>
        <v>11.11600932</v>
      </c>
      <c r="T63">
        <f ca="1">IF(AND(ISNUMBER($T$736),$B$677=1),$T$736,HLOOKUP(INDIRECT(ADDRESS(2,COLUMN())),OFFSET($BN$2,0,0,ROW()-1,60),ROW()-1,FALSE))</f>
        <v>10.480792940000001</v>
      </c>
      <c r="U63">
        <f ca="1">IF(AND(ISNUMBER($U$736),$B$677=1),$U$736,HLOOKUP(INDIRECT(ADDRESS(2,COLUMN())),OFFSET($BN$2,0,0,ROW()-1,60),ROW()-1,FALSE))</f>
        <v>6.576797386</v>
      </c>
      <c r="V63">
        <f ca="1">IF(AND(ISNUMBER($V$736),$B$677=1),$V$736,HLOOKUP(INDIRECT(ADDRESS(2,COLUMN())),OFFSET($BN$2,0,0,ROW()-1,60),ROW()-1,FALSE))</f>
        <v>10.98601603</v>
      </c>
      <c r="W63">
        <f ca="1">IF(AND(ISNUMBER($W$736),$B$677=1),$W$736,HLOOKUP(INDIRECT(ADDRESS(2,COLUMN())),OFFSET($BN$2,0,0,ROW()-1,60),ROW()-1,FALSE))</f>
        <v>10.796434959999999</v>
      </c>
      <c r="X63" t="str">
        <f ca="1">IF(AND(ISNUMBER($X$736),$B$677=1),$X$736,HLOOKUP(INDIRECT(ADDRESS(2,COLUMN())),OFFSET($BN$2,0,0,ROW()-1,60),ROW()-1,FALSE))</f>
        <v/>
      </c>
      <c r="Y63" t="str">
        <f ca="1">IF(AND(ISNUMBER($Y$736),$B$677=1),$Y$736,HLOOKUP(INDIRECT(ADDRESS(2,COLUMN())),OFFSET($BN$2,0,0,ROW()-1,60),ROW()-1,FALSE))</f>
        <v/>
      </c>
      <c r="Z63" t="str">
        <f ca="1">IF(AND(ISNUMBER($Z$736),$B$677=1),$Z$736,HLOOKUP(INDIRECT(ADDRESS(2,COLUMN())),OFFSET($BN$2,0,0,ROW()-1,60),ROW()-1,FALSE))</f>
        <v/>
      </c>
      <c r="AA63" t="str">
        <f ca="1">IF(AND(ISNUMBER($AA$736),$B$677=1),$AA$736,HLOOKUP(INDIRECT(ADDRESS(2,COLUMN())),OFFSET($BN$2,0,0,ROW()-1,60),ROW()-1,FALSE))</f>
        <v/>
      </c>
      <c r="AB63" t="str">
        <f ca="1">IF(AND(ISNUMBER($AB$736),$B$677=1),$AB$736,HLOOKUP(INDIRECT(ADDRESS(2,COLUMN())),OFFSET($BN$2,0,0,ROW()-1,60),ROW()-1,FALSE))</f>
        <v/>
      </c>
      <c r="AC63" t="str">
        <f ca="1">IF(AND(ISNUMBER($AC$736),$B$677=1),$AC$736,HLOOKUP(INDIRECT(ADDRESS(2,COLUMN())),OFFSET($BN$2,0,0,ROW()-1,60),ROW()-1,FALSE))</f>
        <v/>
      </c>
      <c r="AD63" t="str">
        <f ca="1">IF(AND(ISNUMBER($AD$736),$B$677=1),$AD$736,HLOOKUP(INDIRECT(ADDRESS(2,COLUMN())),OFFSET($BN$2,0,0,ROW()-1,60),ROW()-1,FALSE))</f>
        <v/>
      </c>
      <c r="AE63" t="str">
        <f ca="1">IF(AND(ISNUMBER($AE$736),$B$677=1),$AE$736,HLOOKUP(INDIRECT(ADDRESS(2,COLUMN())),OFFSET($BN$2,0,0,ROW()-1,60),ROW()-1,FALSE))</f>
        <v/>
      </c>
      <c r="AF63" t="str">
        <f ca="1">IF(AND(ISNUMBER($AF$736),$B$677=1),$AF$736,HLOOKUP(INDIRECT(ADDRESS(2,COLUMN())),OFFSET($BN$2,0,0,ROW()-1,60),ROW()-1,FALSE))</f>
        <v/>
      </c>
      <c r="AG63" t="str">
        <f ca="1">IF(AND(ISNUMBER($AG$736),$B$677=1),$AG$736,HLOOKUP(INDIRECT(ADDRESS(2,COLUMN())),OFFSET($BN$2,0,0,ROW()-1,60),ROW()-1,FALSE))</f>
        <v/>
      </c>
      <c r="AH63" t="str">
        <f ca="1">IF(AND(ISNUMBER($AH$736),$B$677=1),$AH$736,HLOOKUP(INDIRECT(ADDRESS(2,COLUMN())),OFFSET($BN$2,0,0,ROW()-1,60),ROW()-1,FALSE))</f>
        <v/>
      </c>
      <c r="AI63" t="str">
        <f ca="1">IF(AND(ISNUMBER($AI$736),$B$677=1),$AI$736,HLOOKUP(INDIRECT(ADDRESS(2,COLUMN())),OFFSET($BN$2,0,0,ROW()-1,60),ROW()-1,FALSE))</f>
        <v/>
      </c>
      <c r="AJ63" t="str">
        <f ca="1">IF(AND(ISNUMBER($AJ$736),$B$677=1),$AJ$736,HLOOKUP(INDIRECT(ADDRESS(2,COLUMN())),OFFSET($BN$2,0,0,ROW()-1,60),ROW()-1,FALSE))</f>
        <v/>
      </c>
      <c r="AK63" t="str">
        <f ca="1">IF(AND(ISNUMBER($AK$736),$B$677=1),$AK$736,HLOOKUP(INDIRECT(ADDRESS(2,COLUMN())),OFFSET($BN$2,0,0,ROW()-1,60),ROW()-1,FALSE))</f>
        <v/>
      </c>
      <c r="AL63" t="str">
        <f ca="1">IF(AND(ISNUMBER($AL$736),$B$677=1),$AL$736,HLOOKUP(INDIRECT(ADDRESS(2,COLUMN())),OFFSET($BN$2,0,0,ROW()-1,60),ROW()-1,FALSE))</f>
        <v/>
      </c>
      <c r="AM63" t="str">
        <f ca="1">IF(AND(ISNUMBER($AM$736),$B$677=1),$AM$736,HLOOKUP(INDIRECT(ADDRESS(2,COLUMN())),OFFSET($BN$2,0,0,ROW()-1,60),ROW()-1,FALSE))</f>
        <v/>
      </c>
      <c r="AN63" t="str">
        <f ca="1">IF(AND(ISNUMBER($AN$736),$B$677=1),$AN$736,HLOOKUP(INDIRECT(ADDRESS(2,COLUMN())),OFFSET($BN$2,0,0,ROW()-1,60),ROW()-1,FALSE))</f>
        <v/>
      </c>
      <c r="AO63" t="str">
        <f ca="1">IF(AND(ISNUMBER($AO$736),$B$677=1),$AO$736,HLOOKUP(INDIRECT(ADDRESS(2,COLUMN())),OFFSET($BN$2,0,0,ROW()-1,60),ROW()-1,FALSE))</f>
        <v/>
      </c>
      <c r="AP63" t="str">
        <f ca="1">IF(AND(ISNUMBER($AP$736),$B$677=1),$AP$736,HLOOKUP(INDIRECT(ADDRESS(2,COLUMN())),OFFSET($BN$2,0,0,ROW()-1,60),ROW()-1,FALSE))</f>
        <v/>
      </c>
      <c r="AQ63" t="str">
        <f ca="1">IF(AND(ISNUMBER($AQ$736),$B$677=1),$AQ$736,HLOOKUP(INDIRECT(ADDRESS(2,COLUMN())),OFFSET($BN$2,0,0,ROW()-1,60),ROW()-1,FALSE))</f>
        <v/>
      </c>
      <c r="AR63" t="str">
        <f ca="1">IF(AND(ISNUMBER($AR$736),$B$677=1),$AR$736,HLOOKUP(INDIRECT(ADDRESS(2,COLUMN())),OFFSET($BN$2,0,0,ROW()-1,60),ROW()-1,FALSE))</f>
        <v/>
      </c>
      <c r="AS63" t="str">
        <f ca="1">IF(AND(ISNUMBER($AS$736),$B$677=1),$AS$736,HLOOKUP(INDIRECT(ADDRESS(2,COLUMN())),OFFSET($BN$2,0,0,ROW()-1,60),ROW()-1,FALSE))</f>
        <v/>
      </c>
      <c r="AT63" t="str">
        <f ca="1">IF(AND(ISNUMBER($AT$736),$B$677=1),$AT$736,HLOOKUP(INDIRECT(ADDRESS(2,COLUMN())),OFFSET($BN$2,0,0,ROW()-1,60),ROW()-1,FALSE))</f>
        <v/>
      </c>
      <c r="AU63" t="str">
        <f ca="1">IF(AND(ISNUMBER($AU$736),$B$677=1),$AU$736,HLOOKUP(INDIRECT(ADDRESS(2,COLUMN())),OFFSET($BN$2,0,0,ROW()-1,60),ROW()-1,FALSE))</f>
        <v/>
      </c>
      <c r="AV63" t="str">
        <f ca="1">IF(AND(ISNUMBER($AV$736),$B$677=1),$AV$736,HLOOKUP(INDIRECT(ADDRESS(2,COLUMN())),OFFSET($BN$2,0,0,ROW()-1,60),ROW()-1,FALSE))</f>
        <v/>
      </c>
      <c r="AW63" t="str">
        <f ca="1">IF(AND(ISNUMBER($AW$736),$B$677=1),$AW$736,HLOOKUP(INDIRECT(ADDRESS(2,COLUMN())),OFFSET($BN$2,0,0,ROW()-1,60),ROW()-1,FALSE))</f>
        <v/>
      </c>
      <c r="AX63" t="str">
        <f ca="1">IF(AND(ISNUMBER($AX$736),$B$677=1),$AX$736,HLOOKUP(INDIRECT(ADDRESS(2,COLUMN())),OFFSET($BN$2,0,0,ROW()-1,60),ROW()-1,FALSE))</f>
        <v/>
      </c>
      <c r="AY63" t="str">
        <f ca="1">IF(AND(ISNUMBER($AY$736),$B$677=1),$AY$736,HLOOKUP(INDIRECT(ADDRESS(2,COLUMN())),OFFSET($BN$2,0,0,ROW()-1,60),ROW()-1,FALSE))</f>
        <v/>
      </c>
      <c r="AZ63" t="str">
        <f ca="1">IF(AND(ISNUMBER($AZ$736),$B$677=1),$AZ$736,HLOOKUP(INDIRECT(ADDRESS(2,COLUMN())),OFFSET($BN$2,0,0,ROW()-1,60),ROW()-1,FALSE))</f>
        <v/>
      </c>
      <c r="BA63" t="str">
        <f ca="1">IF(AND(ISNUMBER($BA$736),$B$677=1),$BA$736,HLOOKUP(INDIRECT(ADDRESS(2,COLUMN())),OFFSET($BN$2,0,0,ROW()-1,60),ROW()-1,FALSE))</f>
        <v/>
      </c>
      <c r="BB63" t="str">
        <f ca="1">IF(AND(ISNUMBER($BB$736),$B$677=1),$BB$736,HLOOKUP(INDIRECT(ADDRESS(2,COLUMN())),OFFSET($BN$2,0,0,ROW()-1,60),ROW()-1,FALSE))</f>
        <v/>
      </c>
      <c r="BC63" t="str">
        <f ca="1">IF(AND(ISNUMBER($BC$736),$B$677=1),$BC$736,HLOOKUP(INDIRECT(ADDRESS(2,COLUMN())),OFFSET($BN$2,0,0,ROW()-1,60),ROW()-1,FALSE))</f>
        <v/>
      </c>
      <c r="BD63" t="str">
        <f ca="1">IF(AND(ISNUMBER($BD$736),$B$677=1),$BD$736,HLOOKUP(INDIRECT(ADDRESS(2,COLUMN())),OFFSET($BN$2,0,0,ROW()-1,60),ROW()-1,FALSE))</f>
        <v/>
      </c>
      <c r="BE63" t="str">
        <f ca="1">IF(AND(ISNUMBER($BE$736),$B$677=1),$BE$736,HLOOKUP(INDIRECT(ADDRESS(2,COLUMN())),OFFSET($BN$2,0,0,ROW()-1,60),ROW()-1,FALSE))</f>
        <v/>
      </c>
      <c r="BF63" t="str">
        <f ca="1">IF(AND(ISNUMBER($BF$736),$B$677=1),$BF$736,HLOOKUP(INDIRECT(ADDRESS(2,COLUMN())),OFFSET($BN$2,0,0,ROW()-1,60),ROW()-1,FALSE))</f>
        <v/>
      </c>
      <c r="BG63" t="str">
        <f ca="1">IF(AND(ISNUMBER($BG$736),$B$677=1),$BG$736,HLOOKUP(INDIRECT(ADDRESS(2,COLUMN())),OFFSET($BN$2,0,0,ROW()-1,60),ROW()-1,FALSE))</f>
        <v/>
      </c>
      <c r="BH63" t="str">
        <f ca="1">IF(AND(ISNUMBER($BH$736),$B$677=1),$BH$736,HLOOKUP(INDIRECT(ADDRESS(2,COLUMN())),OFFSET($BN$2,0,0,ROW()-1,60),ROW()-1,FALSE))</f>
        <v/>
      </c>
      <c r="BI63" t="str">
        <f ca="1">IF(AND(ISNUMBER($BI$736),$B$677=1),$BI$736,HLOOKUP(INDIRECT(ADDRESS(2,COLUMN())),OFFSET($BN$2,0,0,ROW()-1,60),ROW()-1,FALSE))</f>
        <v/>
      </c>
      <c r="BJ63" t="str">
        <f ca="1">IF(AND(ISNUMBER($BJ$736),$B$677=1),$BJ$736,HLOOKUP(INDIRECT(ADDRESS(2,COLUMN())),OFFSET($BN$2,0,0,ROW()-1,60),ROW()-1,FALSE))</f>
        <v/>
      </c>
      <c r="BK63" t="str">
        <f ca="1">IF(AND(ISNUMBER($BK$736),$B$677=1),$BK$736,HLOOKUP(INDIRECT(ADDRESS(2,COLUMN())),OFFSET($BN$2,0,0,ROW()-1,60),ROW()-1,FALSE))</f>
        <v/>
      </c>
      <c r="BL63" t="str">
        <f ca="1">IF(AND(ISNUMBER($BL$736),$B$677=1),$BL$736,HLOOKUP(INDIRECT(ADDRESS(2,COLUMN())),OFFSET($BN$2,0,0,ROW()-1,60),ROW()-1,FALSE))</f>
        <v/>
      </c>
      <c r="BM63" t="str">
        <f ca="1">IF(AND(ISNUMBER($BM$736),$B$677=1),$BM$736,HLOOKUP(INDIRECT(ADDRESS(2,COLUMN())),OFFSET($BN$2,0,0,ROW()-1,60),ROW()-1,FALSE))</f>
        <v/>
      </c>
      <c r="BN63">
        <f>8.395810608</f>
        <v>8.3958106079999997</v>
      </c>
      <c r="BO63">
        <f>6.893825481</f>
        <v>6.8938254810000004</v>
      </c>
      <c r="BP63">
        <f>5.951281242</f>
        <v>5.9512812420000003</v>
      </c>
      <c r="BQ63">
        <f>5.945194247</f>
        <v>5.9451942469999999</v>
      </c>
      <c r="BR63">
        <f>7.736557727</f>
        <v>7.7365577270000001</v>
      </c>
      <c r="BS63">
        <f>8.310218895</f>
        <v>8.3102188950000002</v>
      </c>
      <c r="BT63">
        <f>8.113130041</f>
        <v>8.1131300409999998</v>
      </c>
      <c r="BU63">
        <f>7.239082373</f>
        <v>7.2390823729999996</v>
      </c>
      <c r="BV63">
        <f>6.435536456</f>
        <v>6.4355364560000003</v>
      </c>
      <c r="BW63">
        <f>6.34027611</f>
        <v>6.3402761099999996</v>
      </c>
      <c r="BX63">
        <f>6.555128494</f>
        <v>6.5551284939999999</v>
      </c>
      <c r="BY63">
        <f>6.131391292</f>
        <v>6.131391292</v>
      </c>
      <c r="BZ63">
        <f>6.059300854</f>
        <v>6.059300854</v>
      </c>
      <c r="CA63">
        <f>11.11600932</f>
        <v>11.11600932</v>
      </c>
      <c r="CB63">
        <f>10.48079294</f>
        <v>10.480792940000001</v>
      </c>
      <c r="CC63">
        <f>6.576797386</f>
        <v>6.576797386</v>
      </c>
      <c r="CD63">
        <f>10.98601603</f>
        <v>10.98601603</v>
      </c>
      <c r="CE63">
        <f>10.79643496</f>
        <v>10.796434959999999</v>
      </c>
      <c r="CF63" t="str">
        <f>""</f>
        <v/>
      </c>
      <c r="CG63" t="str">
        <f>""</f>
        <v/>
      </c>
      <c r="CH63" t="str">
        <f>""</f>
        <v/>
      </c>
      <c r="CI63" t="str">
        <f>""</f>
        <v/>
      </c>
      <c r="CJ63" t="str">
        <f>""</f>
        <v/>
      </c>
      <c r="CK63" t="str">
        <f>""</f>
        <v/>
      </c>
      <c r="CL63" t="str">
        <f>""</f>
        <v/>
      </c>
      <c r="CM63" t="str">
        <f>""</f>
        <v/>
      </c>
      <c r="CN63" t="str">
        <f>""</f>
        <v/>
      </c>
      <c r="CO63" t="str">
        <f>""</f>
        <v/>
      </c>
      <c r="CP63" t="str">
        <f>""</f>
        <v/>
      </c>
      <c r="CQ63" t="str">
        <f>""</f>
        <v/>
      </c>
      <c r="CR63" t="str">
        <f>""</f>
        <v/>
      </c>
      <c r="CS63" t="str">
        <f>""</f>
        <v/>
      </c>
      <c r="CT63" t="str">
        <f>""</f>
        <v/>
      </c>
      <c r="CU63" t="str">
        <f>""</f>
        <v/>
      </c>
      <c r="CV63" t="str">
        <f>""</f>
        <v/>
      </c>
      <c r="CW63" t="str">
        <f>""</f>
        <v/>
      </c>
      <c r="CX63" t="str">
        <f>""</f>
        <v/>
      </c>
      <c r="CY63" t="str">
        <f>""</f>
        <v/>
      </c>
      <c r="CZ63" t="str">
        <f>""</f>
        <v/>
      </c>
      <c r="DA63" t="str">
        <f>""</f>
        <v/>
      </c>
      <c r="DB63" t="str">
        <f>""</f>
        <v/>
      </c>
      <c r="DC63" t="str">
        <f>""</f>
        <v/>
      </c>
      <c r="DD63" t="str">
        <f>""</f>
        <v/>
      </c>
      <c r="DE63" t="str">
        <f>""</f>
        <v/>
      </c>
      <c r="DF63" t="str">
        <f>""</f>
        <v/>
      </c>
      <c r="DG63" t="str">
        <f>""</f>
        <v/>
      </c>
      <c r="DH63" t="str">
        <f>""</f>
        <v/>
      </c>
      <c r="DI63" t="str">
        <f>""</f>
        <v/>
      </c>
      <c r="DJ63" t="str">
        <f>""</f>
        <v/>
      </c>
      <c r="DK63" t="str">
        <f>""</f>
        <v/>
      </c>
      <c r="DL63" t="str">
        <f>""</f>
        <v/>
      </c>
      <c r="DM63" t="str">
        <f>""</f>
        <v/>
      </c>
      <c r="DN63" t="str">
        <f>""</f>
        <v/>
      </c>
      <c r="DO63" t="str">
        <f>""</f>
        <v/>
      </c>
      <c r="DP63" t="str">
        <f>""</f>
        <v/>
      </c>
      <c r="DQ63" t="str">
        <f>""</f>
        <v/>
      </c>
      <c r="DR63" t="str">
        <f>""</f>
        <v/>
      </c>
      <c r="DS63" t="str">
        <f>""</f>
        <v/>
      </c>
      <c r="DT63" t="str">
        <f>""</f>
        <v/>
      </c>
      <c r="DU63" t="str">
        <f>""</f>
        <v/>
      </c>
    </row>
    <row r="64" spans="1:125" x14ac:dyDescent="0.25">
      <c r="A64" t="str">
        <f>"    Guangzhou Automobile Group Co Ltd"</f>
        <v xml:space="preserve">    Guangzhou Automobile Group Co Ltd</v>
      </c>
      <c r="B64" t="str">
        <f>"2238 HK Equity"</f>
        <v>2238 HK Equity</v>
      </c>
      <c r="C64" t="str">
        <f t="shared" si="3"/>
        <v>EZ009</v>
      </c>
      <c r="D64" t="str">
        <f t="shared" si="4"/>
        <v>BEST_EST_PE_CUR_YR</v>
      </c>
      <c r="E64" t="str">
        <f t="shared" si="5"/>
        <v>Dynamic</v>
      </c>
      <c r="F64">
        <f ca="1">IF(AND(ISNUMBER($F$737),$B$677=1),$F$737,HLOOKUP(INDIRECT(ADDRESS(2,COLUMN())),OFFSET($BN$2,0,0,ROW()-1,60),ROW()-1,FALSE))</f>
        <v>6.9382550429999998</v>
      </c>
      <c r="G64">
        <f ca="1">IF(AND(ISNUMBER($G$737),$B$677=1),$G$737,HLOOKUP(INDIRECT(ADDRESS(2,COLUMN())),OFFSET($BN$2,0,0,ROW()-1,60),ROW()-1,FALSE))</f>
        <v>5.6732863670000002</v>
      </c>
      <c r="H64">
        <f ca="1">IF(AND(ISNUMBER($H$737),$B$677=1),$H$737,HLOOKUP(INDIRECT(ADDRESS(2,COLUMN())),OFFSET($BN$2,0,0,ROW()-1,60),ROW()-1,FALSE))</f>
        <v>6.0883109830000004</v>
      </c>
      <c r="I64">
        <f ca="1">IF(AND(ISNUMBER($I$737),$B$677=1),$I$737,HLOOKUP(INDIRECT(ADDRESS(2,COLUMN())),OFFSET($BN$2,0,0,ROW()-1,60),ROW()-1,FALSE))</f>
        <v>4.7857715169999997</v>
      </c>
      <c r="J64">
        <f ca="1">IF(AND(ISNUMBER($J$737),$B$677=1),$J$737,HLOOKUP(INDIRECT(ADDRESS(2,COLUMN())),OFFSET($BN$2,0,0,ROW()-1,60),ROW()-1,FALSE))</f>
        <v>6.1447127190000002</v>
      </c>
      <c r="K64">
        <f ca="1">IF(AND(ISNUMBER($K$737),$B$677=1),$K$737,HLOOKUP(INDIRECT(ADDRESS(2,COLUMN())),OFFSET($BN$2,0,0,ROW()-1,60),ROW()-1,FALSE))</f>
        <v>8.0187760600000004</v>
      </c>
      <c r="L64">
        <f ca="1">IF(AND(ISNUMBER($L$737),$B$677=1),$L$737,HLOOKUP(INDIRECT(ADDRESS(2,COLUMN())),OFFSET($BN$2,0,0,ROW()-1,60),ROW()-1,FALSE))</f>
        <v>8.4831106419999998</v>
      </c>
      <c r="M64">
        <f ca="1">IF(AND(ISNUMBER($M$737),$B$677=1),$M$737,HLOOKUP(INDIRECT(ADDRESS(2,COLUMN())),OFFSET($BN$2,0,0,ROW()-1,60),ROW()-1,FALSE))</f>
        <v>7.3740653910000002</v>
      </c>
      <c r="N64">
        <f ca="1">IF(AND(ISNUMBER($N$737),$B$677=1),$N$737,HLOOKUP(INDIRECT(ADDRESS(2,COLUMN())),OFFSET($BN$2,0,0,ROW()-1,60),ROW()-1,FALSE))</f>
        <v>7.7019140000000004</v>
      </c>
      <c r="O64">
        <f ca="1">IF(AND(ISNUMBER($O$737),$B$677=1),$O$737,HLOOKUP(INDIRECT(ADDRESS(2,COLUMN())),OFFSET($BN$2,0,0,ROW()-1,60),ROW()-1,FALSE))</f>
        <v>6.2593580419999997</v>
      </c>
      <c r="P64">
        <f ca="1">IF(AND(ISNUMBER($P$737),$B$677=1),$P$737,HLOOKUP(INDIRECT(ADDRESS(2,COLUMN())),OFFSET($BN$2,0,0,ROW()-1,60),ROW()-1,FALSE))</f>
        <v>6.3497926070000004</v>
      </c>
      <c r="Q64">
        <f ca="1">IF(AND(ISNUMBER($Q$737),$B$677=1),$Q$737,HLOOKUP(INDIRECT(ADDRESS(2,COLUMN())),OFFSET($BN$2,0,0,ROW()-1,60),ROW()-1,FALSE))</f>
        <v>6.7619198669999996</v>
      </c>
      <c r="R64">
        <f ca="1">IF(AND(ISNUMBER($R$737),$B$677=1),$R$737,HLOOKUP(INDIRECT(ADDRESS(2,COLUMN())),OFFSET($BN$2,0,0,ROW()-1,60),ROW()-1,FALSE))</f>
        <v>7.083614281</v>
      </c>
      <c r="S64">
        <f ca="1">IF(AND(ISNUMBER($S$737),$B$677=1),$S$737,HLOOKUP(INDIRECT(ADDRESS(2,COLUMN())),OFFSET($BN$2,0,0,ROW()-1,60),ROW()-1,FALSE))</f>
        <v>9.6084120829999993</v>
      </c>
      <c r="T64">
        <f ca="1">IF(AND(ISNUMBER($T$737),$B$677=1),$T$737,HLOOKUP(INDIRECT(ADDRESS(2,COLUMN())),OFFSET($BN$2,0,0,ROW()-1,60),ROW()-1,FALSE))</f>
        <v>14.220771389999999</v>
      </c>
      <c r="U64">
        <f ca="1">IF(AND(ISNUMBER($U$737),$B$677=1),$U$737,HLOOKUP(INDIRECT(ADDRESS(2,COLUMN())),OFFSET($BN$2,0,0,ROW()-1,60),ROW()-1,FALSE))</f>
        <v>7.0703555920000003</v>
      </c>
      <c r="V64">
        <f ca="1">IF(AND(ISNUMBER($V$737),$B$677=1),$V$737,HLOOKUP(INDIRECT(ADDRESS(2,COLUMN())),OFFSET($BN$2,0,0,ROW()-1,60),ROW()-1,FALSE))</f>
        <v>6.2344697580000004</v>
      </c>
      <c r="W64" t="str">
        <f ca="1">IF(AND(ISNUMBER($W$737),$B$677=1),$W$737,HLOOKUP(INDIRECT(ADDRESS(2,COLUMN())),OFFSET($BN$2,0,0,ROW()-1,60),ROW()-1,FALSE))</f>
        <v/>
      </c>
      <c r="X64" t="str">
        <f ca="1">IF(AND(ISNUMBER($X$737),$B$677=1),$X$737,HLOOKUP(INDIRECT(ADDRESS(2,COLUMN())),OFFSET($BN$2,0,0,ROW()-1,60),ROW()-1,FALSE))</f>
        <v/>
      </c>
      <c r="Y64" t="str">
        <f ca="1">IF(AND(ISNUMBER($Y$737),$B$677=1),$Y$737,HLOOKUP(INDIRECT(ADDRESS(2,COLUMN())),OFFSET($BN$2,0,0,ROW()-1,60),ROW()-1,FALSE))</f>
        <v/>
      </c>
      <c r="Z64" t="str">
        <f ca="1">IF(AND(ISNUMBER($Z$737),$B$677=1),$Z$737,HLOOKUP(INDIRECT(ADDRESS(2,COLUMN())),OFFSET($BN$2,0,0,ROW()-1,60),ROW()-1,FALSE))</f>
        <v/>
      </c>
      <c r="AA64" t="str">
        <f ca="1">IF(AND(ISNUMBER($AA$737),$B$677=1),$AA$737,HLOOKUP(INDIRECT(ADDRESS(2,COLUMN())),OFFSET($BN$2,0,0,ROW()-1,60),ROW()-1,FALSE))</f>
        <v/>
      </c>
      <c r="AB64" t="str">
        <f ca="1">IF(AND(ISNUMBER($AB$737),$B$677=1),$AB$737,HLOOKUP(INDIRECT(ADDRESS(2,COLUMN())),OFFSET($BN$2,0,0,ROW()-1,60),ROW()-1,FALSE))</f>
        <v/>
      </c>
      <c r="AC64" t="str">
        <f ca="1">IF(AND(ISNUMBER($AC$737),$B$677=1),$AC$737,HLOOKUP(INDIRECT(ADDRESS(2,COLUMN())),OFFSET($BN$2,0,0,ROW()-1,60),ROW()-1,FALSE))</f>
        <v/>
      </c>
      <c r="AD64" t="str">
        <f ca="1">IF(AND(ISNUMBER($AD$737),$B$677=1),$AD$737,HLOOKUP(INDIRECT(ADDRESS(2,COLUMN())),OFFSET($BN$2,0,0,ROW()-1,60),ROW()-1,FALSE))</f>
        <v/>
      </c>
      <c r="AE64" t="str">
        <f ca="1">IF(AND(ISNUMBER($AE$737),$B$677=1),$AE$737,HLOOKUP(INDIRECT(ADDRESS(2,COLUMN())),OFFSET($BN$2,0,0,ROW()-1,60),ROW()-1,FALSE))</f>
        <v/>
      </c>
      <c r="AF64" t="str">
        <f ca="1">IF(AND(ISNUMBER($AF$737),$B$677=1),$AF$737,HLOOKUP(INDIRECT(ADDRESS(2,COLUMN())),OFFSET($BN$2,0,0,ROW()-1,60),ROW()-1,FALSE))</f>
        <v/>
      </c>
      <c r="AG64" t="str">
        <f ca="1">IF(AND(ISNUMBER($AG$737),$B$677=1),$AG$737,HLOOKUP(INDIRECT(ADDRESS(2,COLUMN())),OFFSET($BN$2,0,0,ROW()-1,60),ROW()-1,FALSE))</f>
        <v/>
      </c>
      <c r="AH64" t="str">
        <f ca="1">IF(AND(ISNUMBER($AH$737),$B$677=1),$AH$737,HLOOKUP(INDIRECT(ADDRESS(2,COLUMN())),OFFSET($BN$2,0,0,ROW()-1,60),ROW()-1,FALSE))</f>
        <v/>
      </c>
      <c r="AI64" t="str">
        <f ca="1">IF(AND(ISNUMBER($AI$737),$B$677=1),$AI$737,HLOOKUP(INDIRECT(ADDRESS(2,COLUMN())),OFFSET($BN$2,0,0,ROW()-1,60),ROW()-1,FALSE))</f>
        <v/>
      </c>
      <c r="AJ64" t="str">
        <f ca="1">IF(AND(ISNUMBER($AJ$737),$B$677=1),$AJ$737,HLOOKUP(INDIRECT(ADDRESS(2,COLUMN())),OFFSET($BN$2,0,0,ROW()-1,60),ROW()-1,FALSE))</f>
        <v/>
      </c>
      <c r="AK64" t="str">
        <f ca="1">IF(AND(ISNUMBER($AK$737),$B$677=1),$AK$737,HLOOKUP(INDIRECT(ADDRESS(2,COLUMN())),OFFSET($BN$2,0,0,ROW()-1,60),ROW()-1,FALSE))</f>
        <v/>
      </c>
      <c r="AL64" t="str">
        <f ca="1">IF(AND(ISNUMBER($AL$737),$B$677=1),$AL$737,HLOOKUP(INDIRECT(ADDRESS(2,COLUMN())),OFFSET($BN$2,0,0,ROW()-1,60),ROW()-1,FALSE))</f>
        <v/>
      </c>
      <c r="AM64" t="str">
        <f ca="1">IF(AND(ISNUMBER($AM$737),$B$677=1),$AM$737,HLOOKUP(INDIRECT(ADDRESS(2,COLUMN())),OFFSET($BN$2,0,0,ROW()-1,60),ROW()-1,FALSE))</f>
        <v/>
      </c>
      <c r="AN64" t="str">
        <f ca="1">IF(AND(ISNUMBER($AN$737),$B$677=1),$AN$737,HLOOKUP(INDIRECT(ADDRESS(2,COLUMN())),OFFSET($BN$2,0,0,ROW()-1,60),ROW()-1,FALSE))</f>
        <v/>
      </c>
      <c r="AO64" t="str">
        <f ca="1">IF(AND(ISNUMBER($AO$737),$B$677=1),$AO$737,HLOOKUP(INDIRECT(ADDRESS(2,COLUMN())),OFFSET($BN$2,0,0,ROW()-1,60),ROW()-1,FALSE))</f>
        <v/>
      </c>
      <c r="AP64" t="str">
        <f ca="1">IF(AND(ISNUMBER($AP$737),$B$677=1),$AP$737,HLOOKUP(INDIRECT(ADDRESS(2,COLUMN())),OFFSET($BN$2,0,0,ROW()-1,60),ROW()-1,FALSE))</f>
        <v/>
      </c>
      <c r="AQ64" t="str">
        <f ca="1">IF(AND(ISNUMBER($AQ$737),$B$677=1),$AQ$737,HLOOKUP(INDIRECT(ADDRESS(2,COLUMN())),OFFSET($BN$2,0,0,ROW()-1,60),ROW()-1,FALSE))</f>
        <v/>
      </c>
      <c r="AR64" t="str">
        <f ca="1">IF(AND(ISNUMBER($AR$737),$B$677=1),$AR$737,HLOOKUP(INDIRECT(ADDRESS(2,COLUMN())),OFFSET($BN$2,0,0,ROW()-1,60),ROW()-1,FALSE))</f>
        <v/>
      </c>
      <c r="AS64" t="str">
        <f ca="1">IF(AND(ISNUMBER($AS$737),$B$677=1),$AS$737,HLOOKUP(INDIRECT(ADDRESS(2,COLUMN())),OFFSET($BN$2,0,0,ROW()-1,60),ROW()-1,FALSE))</f>
        <v/>
      </c>
      <c r="AT64" t="str">
        <f ca="1">IF(AND(ISNUMBER($AT$737),$B$677=1),$AT$737,HLOOKUP(INDIRECT(ADDRESS(2,COLUMN())),OFFSET($BN$2,0,0,ROW()-1,60),ROW()-1,FALSE))</f>
        <v/>
      </c>
      <c r="AU64" t="str">
        <f ca="1">IF(AND(ISNUMBER($AU$737),$B$677=1),$AU$737,HLOOKUP(INDIRECT(ADDRESS(2,COLUMN())),OFFSET($BN$2,0,0,ROW()-1,60),ROW()-1,FALSE))</f>
        <v/>
      </c>
      <c r="AV64" t="str">
        <f ca="1">IF(AND(ISNUMBER($AV$737),$B$677=1),$AV$737,HLOOKUP(INDIRECT(ADDRESS(2,COLUMN())),OFFSET($BN$2,0,0,ROW()-1,60),ROW()-1,FALSE))</f>
        <v/>
      </c>
      <c r="AW64" t="str">
        <f ca="1">IF(AND(ISNUMBER($AW$737),$B$677=1),$AW$737,HLOOKUP(INDIRECT(ADDRESS(2,COLUMN())),OFFSET($BN$2,0,0,ROW()-1,60),ROW()-1,FALSE))</f>
        <v/>
      </c>
      <c r="AX64" t="str">
        <f ca="1">IF(AND(ISNUMBER($AX$737),$B$677=1),$AX$737,HLOOKUP(INDIRECT(ADDRESS(2,COLUMN())),OFFSET($BN$2,0,0,ROW()-1,60),ROW()-1,FALSE))</f>
        <v/>
      </c>
      <c r="AY64" t="str">
        <f ca="1">IF(AND(ISNUMBER($AY$737),$B$677=1),$AY$737,HLOOKUP(INDIRECT(ADDRESS(2,COLUMN())),OFFSET($BN$2,0,0,ROW()-1,60),ROW()-1,FALSE))</f>
        <v/>
      </c>
      <c r="AZ64" t="str">
        <f ca="1">IF(AND(ISNUMBER($AZ$737),$B$677=1),$AZ$737,HLOOKUP(INDIRECT(ADDRESS(2,COLUMN())),OFFSET($BN$2,0,0,ROW()-1,60),ROW()-1,FALSE))</f>
        <v/>
      </c>
      <c r="BA64" t="str">
        <f ca="1">IF(AND(ISNUMBER($BA$737),$B$677=1),$BA$737,HLOOKUP(INDIRECT(ADDRESS(2,COLUMN())),OFFSET($BN$2,0,0,ROW()-1,60),ROW()-1,FALSE))</f>
        <v/>
      </c>
      <c r="BB64" t="str">
        <f ca="1">IF(AND(ISNUMBER($BB$737),$B$677=1),$BB$737,HLOOKUP(INDIRECT(ADDRESS(2,COLUMN())),OFFSET($BN$2,0,0,ROW()-1,60),ROW()-1,FALSE))</f>
        <v/>
      </c>
      <c r="BC64" t="str">
        <f ca="1">IF(AND(ISNUMBER($BC$737),$B$677=1),$BC$737,HLOOKUP(INDIRECT(ADDRESS(2,COLUMN())),OFFSET($BN$2,0,0,ROW()-1,60),ROW()-1,FALSE))</f>
        <v/>
      </c>
      <c r="BD64" t="str">
        <f ca="1">IF(AND(ISNUMBER($BD$737),$B$677=1),$BD$737,HLOOKUP(INDIRECT(ADDRESS(2,COLUMN())),OFFSET($BN$2,0,0,ROW()-1,60),ROW()-1,FALSE))</f>
        <v/>
      </c>
      <c r="BE64" t="str">
        <f ca="1">IF(AND(ISNUMBER($BE$737),$B$677=1),$BE$737,HLOOKUP(INDIRECT(ADDRESS(2,COLUMN())),OFFSET($BN$2,0,0,ROW()-1,60),ROW()-1,FALSE))</f>
        <v/>
      </c>
      <c r="BF64" t="str">
        <f ca="1">IF(AND(ISNUMBER($BF$737),$B$677=1),$BF$737,HLOOKUP(INDIRECT(ADDRESS(2,COLUMN())),OFFSET($BN$2,0,0,ROW()-1,60),ROW()-1,FALSE))</f>
        <v/>
      </c>
      <c r="BG64" t="str">
        <f ca="1">IF(AND(ISNUMBER($BG$737),$B$677=1),$BG$737,HLOOKUP(INDIRECT(ADDRESS(2,COLUMN())),OFFSET($BN$2,0,0,ROW()-1,60),ROW()-1,FALSE))</f>
        <v/>
      </c>
      <c r="BH64" t="str">
        <f ca="1">IF(AND(ISNUMBER($BH$737),$B$677=1),$BH$737,HLOOKUP(INDIRECT(ADDRESS(2,COLUMN())),OFFSET($BN$2,0,0,ROW()-1,60),ROW()-1,FALSE))</f>
        <v/>
      </c>
      <c r="BI64" t="str">
        <f ca="1">IF(AND(ISNUMBER($BI$737),$B$677=1),$BI$737,HLOOKUP(INDIRECT(ADDRESS(2,COLUMN())),OFFSET($BN$2,0,0,ROW()-1,60),ROW()-1,FALSE))</f>
        <v/>
      </c>
      <c r="BJ64" t="str">
        <f ca="1">IF(AND(ISNUMBER($BJ$737),$B$677=1),$BJ$737,HLOOKUP(INDIRECT(ADDRESS(2,COLUMN())),OFFSET($BN$2,0,0,ROW()-1,60),ROW()-1,FALSE))</f>
        <v/>
      </c>
      <c r="BK64" t="str">
        <f ca="1">IF(AND(ISNUMBER($BK$737),$B$677=1),$BK$737,HLOOKUP(INDIRECT(ADDRESS(2,COLUMN())),OFFSET($BN$2,0,0,ROW()-1,60),ROW()-1,FALSE))</f>
        <v/>
      </c>
      <c r="BL64" t="str">
        <f ca="1">IF(AND(ISNUMBER($BL$737),$B$677=1),$BL$737,HLOOKUP(INDIRECT(ADDRESS(2,COLUMN())),OFFSET($BN$2,0,0,ROW()-1,60),ROW()-1,FALSE))</f>
        <v/>
      </c>
      <c r="BM64" t="str">
        <f ca="1">IF(AND(ISNUMBER($BM$737),$B$677=1),$BM$737,HLOOKUP(INDIRECT(ADDRESS(2,COLUMN())),OFFSET($BN$2,0,0,ROW()-1,60),ROW()-1,FALSE))</f>
        <v/>
      </c>
      <c r="BN64">
        <f>6.938255043</f>
        <v>6.9382550429999998</v>
      </c>
      <c r="BO64">
        <f>5.673286367</f>
        <v>5.6732863670000002</v>
      </c>
      <c r="BP64">
        <f>6.088310983</f>
        <v>6.0883109830000004</v>
      </c>
      <c r="BQ64">
        <f>4.785771517</f>
        <v>4.7857715169999997</v>
      </c>
      <c r="BR64">
        <f>6.144712719</f>
        <v>6.1447127190000002</v>
      </c>
      <c r="BS64">
        <f>8.01877606</f>
        <v>8.0187760600000004</v>
      </c>
      <c r="BT64">
        <f>8.483110642</f>
        <v>8.4831106419999998</v>
      </c>
      <c r="BU64">
        <f>7.374065391</f>
        <v>7.3740653910000002</v>
      </c>
      <c r="BV64">
        <f>7.701914</f>
        <v>7.7019140000000004</v>
      </c>
      <c r="BW64">
        <f>6.259358042</f>
        <v>6.2593580419999997</v>
      </c>
      <c r="BX64">
        <f>6.349792607</f>
        <v>6.3497926070000004</v>
      </c>
      <c r="BY64">
        <f>6.761919867</f>
        <v>6.7619198669999996</v>
      </c>
      <c r="BZ64">
        <f>7.083614281</f>
        <v>7.083614281</v>
      </c>
      <c r="CA64">
        <f>9.608412083</f>
        <v>9.6084120829999993</v>
      </c>
      <c r="CB64">
        <f>14.22077139</f>
        <v>14.220771389999999</v>
      </c>
      <c r="CC64">
        <f>7.070355592</f>
        <v>7.0703555920000003</v>
      </c>
      <c r="CD64">
        <f>6.234469758</f>
        <v>6.2344697580000004</v>
      </c>
      <c r="CE64" t="str">
        <f>""</f>
        <v/>
      </c>
      <c r="CF64" t="str">
        <f>""</f>
        <v/>
      </c>
      <c r="CG64" t="str">
        <f>""</f>
        <v/>
      </c>
      <c r="CH64" t="str">
        <f>""</f>
        <v/>
      </c>
      <c r="CI64" t="str">
        <f>""</f>
        <v/>
      </c>
      <c r="CJ64" t="str">
        <f>""</f>
        <v/>
      </c>
      <c r="CK64" t="str">
        <f>""</f>
        <v/>
      </c>
      <c r="CL64" t="str">
        <f>""</f>
        <v/>
      </c>
      <c r="CM64" t="str">
        <f>""</f>
        <v/>
      </c>
      <c r="CN64" t="str">
        <f>""</f>
        <v/>
      </c>
      <c r="CO64" t="str">
        <f>""</f>
        <v/>
      </c>
      <c r="CP64" t="str">
        <f>""</f>
        <v/>
      </c>
      <c r="CQ64" t="str">
        <f>""</f>
        <v/>
      </c>
      <c r="CR64" t="str">
        <f>""</f>
        <v/>
      </c>
      <c r="CS64" t="str">
        <f>""</f>
        <v/>
      </c>
      <c r="CT64" t="str">
        <f>""</f>
        <v/>
      </c>
      <c r="CU64" t="str">
        <f>""</f>
        <v/>
      </c>
      <c r="CV64" t="str">
        <f>""</f>
        <v/>
      </c>
      <c r="CW64" t="str">
        <f>""</f>
        <v/>
      </c>
      <c r="CX64" t="str">
        <f>""</f>
        <v/>
      </c>
      <c r="CY64" t="str">
        <f>""</f>
        <v/>
      </c>
      <c r="CZ64" t="str">
        <f>""</f>
        <v/>
      </c>
      <c r="DA64" t="str">
        <f>""</f>
        <v/>
      </c>
      <c r="DB64" t="str">
        <f>""</f>
        <v/>
      </c>
      <c r="DC64" t="str">
        <f>""</f>
        <v/>
      </c>
      <c r="DD64" t="str">
        <f>""</f>
        <v/>
      </c>
      <c r="DE64" t="str">
        <f>""</f>
        <v/>
      </c>
      <c r="DF64" t="str">
        <f>""</f>
        <v/>
      </c>
      <c r="DG64" t="str">
        <f>""</f>
        <v/>
      </c>
      <c r="DH64" t="str">
        <f>""</f>
        <v/>
      </c>
      <c r="DI64" t="str">
        <f>""</f>
        <v/>
      </c>
      <c r="DJ64" t="str">
        <f>""</f>
        <v/>
      </c>
      <c r="DK64" t="str">
        <f>""</f>
        <v/>
      </c>
      <c r="DL64" t="str">
        <f>""</f>
        <v/>
      </c>
      <c r="DM64" t="str">
        <f>""</f>
        <v/>
      </c>
      <c r="DN64" t="str">
        <f>""</f>
        <v/>
      </c>
      <c r="DO64" t="str">
        <f>""</f>
        <v/>
      </c>
      <c r="DP64" t="str">
        <f>""</f>
        <v/>
      </c>
      <c r="DQ64" t="str">
        <f>""</f>
        <v/>
      </c>
      <c r="DR64" t="str">
        <f>""</f>
        <v/>
      </c>
      <c r="DS64" t="str">
        <f>""</f>
        <v/>
      </c>
      <c r="DT64" t="str">
        <f>""</f>
        <v/>
      </c>
      <c r="DU64" t="str">
        <f>""</f>
        <v/>
      </c>
    </row>
    <row r="65" spans="1:125" x14ac:dyDescent="0.25">
      <c r="A65" t="str">
        <f>"    Honda Motor Co Ltd"</f>
        <v xml:space="preserve">    Honda Motor Co Ltd</v>
      </c>
      <c r="B65" t="str">
        <f>"7267 JP Equity"</f>
        <v>7267 JP Equity</v>
      </c>
      <c r="C65" t="str">
        <f t="shared" si="3"/>
        <v>EZ009</v>
      </c>
      <c r="D65" t="str">
        <f t="shared" si="4"/>
        <v>BEST_EST_PE_CUR_YR</v>
      </c>
      <c r="E65" t="str">
        <f t="shared" si="5"/>
        <v>Dynamic</v>
      </c>
      <c r="F65">
        <f ca="1">IF(AND(ISNUMBER($F$738),$B$677=1),$F$738,HLOOKUP(INDIRECT(ADDRESS(2,COLUMN())),OFFSET($BN$2,0,0,ROW()-1,60),ROW()-1,FALSE))</f>
        <v>7.5955038860000004</v>
      </c>
      <c r="G65">
        <f ca="1">IF(AND(ISNUMBER($G$738),$B$677=1),$G$738,HLOOKUP(INDIRECT(ADDRESS(2,COLUMN())),OFFSET($BN$2,0,0,ROW()-1,60),ROW()-1,FALSE))</f>
        <v>7.0339705910000001</v>
      </c>
      <c r="H65">
        <f ca="1">IF(AND(ISNUMBER($H$738),$B$677=1),$H$738,HLOOKUP(INDIRECT(ADDRESS(2,COLUMN())),OFFSET($BN$2,0,0,ROW()-1,60),ROW()-1,FALSE))</f>
        <v>8.5731522479999995</v>
      </c>
      <c r="I65">
        <f ca="1">IF(AND(ISNUMBER($I$738),$B$677=1),$I$738,HLOOKUP(INDIRECT(ADDRESS(2,COLUMN())),OFFSET($BN$2,0,0,ROW()-1,60),ROW()-1,FALSE))</f>
        <v>8.0575247319999992</v>
      </c>
      <c r="J65">
        <f ca="1">IF(AND(ISNUMBER($J$738),$B$677=1),$J$738,HLOOKUP(INDIRECT(ADDRESS(2,COLUMN())),OFFSET($BN$2,0,0,ROW()-1,60),ROW()-1,FALSE))</f>
        <v>8.6498648159999991</v>
      </c>
      <c r="K65">
        <f ca="1">IF(AND(ISNUMBER($K$738),$B$677=1),$K$738,HLOOKUP(INDIRECT(ADDRESS(2,COLUMN())),OFFSET($BN$2,0,0,ROW()-1,60),ROW()-1,FALSE))</f>
        <v>9.5297316769999991</v>
      </c>
      <c r="L65">
        <f ca="1">IF(AND(ISNUMBER($L$738),$B$677=1),$L$738,HLOOKUP(INDIRECT(ADDRESS(2,COLUMN())),OFFSET($BN$2,0,0,ROW()-1,60),ROW()-1,FALSE))</f>
        <v>8.8334866559999998</v>
      </c>
      <c r="M65">
        <f ca="1">IF(AND(ISNUMBER($M$738),$B$677=1),$M$738,HLOOKUP(INDIRECT(ADDRESS(2,COLUMN())),OFFSET($BN$2,0,0,ROW()-1,60),ROW()-1,FALSE))</f>
        <v>8.2792685929999994</v>
      </c>
      <c r="N65">
        <f ca="1">IF(AND(ISNUMBER($N$738),$B$677=1),$N$738,HLOOKUP(INDIRECT(ADDRESS(2,COLUMN())),OFFSET($BN$2,0,0,ROW()-1,60),ROW()-1,FALSE))</f>
        <v>9.0344879650000003</v>
      </c>
      <c r="O65">
        <f ca="1">IF(AND(ISNUMBER($O$738),$B$677=1),$O$738,HLOOKUP(INDIRECT(ADDRESS(2,COLUMN())),OFFSET($BN$2,0,0,ROW()-1,60),ROW()-1,FALSE))</f>
        <v>9.7804202569999994</v>
      </c>
      <c r="P65">
        <f ca="1">IF(AND(ISNUMBER($P$738),$B$677=1),$P$738,HLOOKUP(INDIRECT(ADDRESS(2,COLUMN())),OFFSET($BN$2,0,0,ROW()-1,60),ROW()-1,FALSE))</f>
        <v>8.6631843919999998</v>
      </c>
      <c r="Q65">
        <f ca="1">IF(AND(ISNUMBER($Q$738),$B$677=1),$Q$738,HLOOKUP(INDIRECT(ADDRESS(2,COLUMN())),OFFSET($BN$2,0,0,ROW()-1,60),ROW()-1,FALSE))</f>
        <v>7.3280785760000002</v>
      </c>
      <c r="R65">
        <f ca="1">IF(AND(ISNUMBER($R$738),$B$677=1),$R$738,HLOOKUP(INDIRECT(ADDRESS(2,COLUMN())),OFFSET($BN$2,0,0,ROW()-1,60),ROW()-1,FALSE))</f>
        <v>6.8560256820000003</v>
      </c>
      <c r="S65">
        <f ca="1">IF(AND(ISNUMBER($S$738),$B$677=1),$S$738,HLOOKUP(INDIRECT(ADDRESS(2,COLUMN())),OFFSET($BN$2,0,0,ROW()-1,60),ROW()-1,FALSE))</f>
        <v>7.4321177729999999</v>
      </c>
      <c r="T65">
        <f ca="1">IF(AND(ISNUMBER($T$738),$B$677=1),$T$738,HLOOKUP(INDIRECT(ADDRESS(2,COLUMN())),OFFSET($BN$2,0,0,ROW()-1,60),ROW()-1,FALSE))</f>
        <v>7.8644444440000001</v>
      </c>
      <c r="U65">
        <f ca="1">IF(AND(ISNUMBER($U$738),$B$677=1),$U$738,HLOOKUP(INDIRECT(ADDRESS(2,COLUMN())),OFFSET($BN$2,0,0,ROW()-1,60),ROW()-1,FALSE))</f>
        <v>8.3426345160000004</v>
      </c>
      <c r="V65">
        <f ca="1">IF(AND(ISNUMBER($V$738),$B$677=1),$V$738,HLOOKUP(INDIRECT(ADDRESS(2,COLUMN())),OFFSET($BN$2,0,0,ROW()-1,60),ROW()-1,FALSE))</f>
        <v>8.2237673830000002</v>
      </c>
      <c r="W65">
        <f ca="1">IF(AND(ISNUMBER($W$738),$B$677=1),$W$738,HLOOKUP(INDIRECT(ADDRESS(2,COLUMN())),OFFSET($BN$2,0,0,ROW()-1,60),ROW()-1,FALSE))</f>
        <v>7.2596252830000001</v>
      </c>
      <c r="X65">
        <f ca="1">IF(AND(ISNUMBER($X$738),$B$677=1),$X$738,HLOOKUP(INDIRECT(ADDRESS(2,COLUMN())),OFFSET($BN$2,0,0,ROW()-1,60),ROW()-1,FALSE))</f>
        <v>7.679094675</v>
      </c>
      <c r="Y65">
        <f ca="1">IF(AND(ISNUMBER($Y$738),$B$677=1),$Y$738,HLOOKUP(INDIRECT(ADDRESS(2,COLUMN())),OFFSET($BN$2,0,0,ROW()-1,60),ROW()-1,FALSE))</f>
        <v>7.1555735379999996</v>
      </c>
      <c r="Z65" t="str">
        <f ca="1">IF(AND(ISNUMBER($Z$738),$B$677=1),$Z$738,HLOOKUP(INDIRECT(ADDRESS(2,COLUMN())),OFFSET($BN$2,0,0,ROW()-1,60),ROW()-1,FALSE))</f>
        <v/>
      </c>
      <c r="AA65" t="str">
        <f ca="1">IF(AND(ISNUMBER($AA$738),$B$677=1),$AA$738,HLOOKUP(INDIRECT(ADDRESS(2,COLUMN())),OFFSET($BN$2,0,0,ROW()-1,60),ROW()-1,FALSE))</f>
        <v/>
      </c>
      <c r="AB65" t="str">
        <f ca="1">IF(AND(ISNUMBER($AB$738),$B$677=1),$AB$738,HLOOKUP(INDIRECT(ADDRESS(2,COLUMN())),OFFSET($BN$2,0,0,ROW()-1,60),ROW()-1,FALSE))</f>
        <v/>
      </c>
      <c r="AC65" t="str">
        <f ca="1">IF(AND(ISNUMBER($AC$738),$B$677=1),$AC$738,HLOOKUP(INDIRECT(ADDRESS(2,COLUMN())),OFFSET($BN$2,0,0,ROW()-1,60),ROW()-1,FALSE))</f>
        <v/>
      </c>
      <c r="AD65" t="str">
        <f ca="1">IF(AND(ISNUMBER($AD$738),$B$677=1),$AD$738,HLOOKUP(INDIRECT(ADDRESS(2,COLUMN())),OFFSET($BN$2,0,0,ROW()-1,60),ROW()-1,FALSE))</f>
        <v/>
      </c>
      <c r="AE65" t="str">
        <f ca="1">IF(AND(ISNUMBER($AE$738),$B$677=1),$AE$738,HLOOKUP(INDIRECT(ADDRESS(2,COLUMN())),OFFSET($BN$2,0,0,ROW()-1,60),ROW()-1,FALSE))</f>
        <v/>
      </c>
      <c r="AF65" t="str">
        <f ca="1">IF(AND(ISNUMBER($AF$738),$B$677=1),$AF$738,HLOOKUP(INDIRECT(ADDRESS(2,COLUMN())),OFFSET($BN$2,0,0,ROW()-1,60),ROW()-1,FALSE))</f>
        <v/>
      </c>
      <c r="AG65" t="str">
        <f ca="1">IF(AND(ISNUMBER($AG$738),$B$677=1),$AG$738,HLOOKUP(INDIRECT(ADDRESS(2,COLUMN())),OFFSET($BN$2,0,0,ROW()-1,60),ROW()-1,FALSE))</f>
        <v/>
      </c>
      <c r="AH65" t="str">
        <f ca="1">IF(AND(ISNUMBER($AH$738),$B$677=1),$AH$738,HLOOKUP(INDIRECT(ADDRESS(2,COLUMN())),OFFSET($BN$2,0,0,ROW()-1,60),ROW()-1,FALSE))</f>
        <v/>
      </c>
      <c r="AI65" t="str">
        <f ca="1">IF(AND(ISNUMBER($AI$738),$B$677=1),$AI$738,HLOOKUP(INDIRECT(ADDRESS(2,COLUMN())),OFFSET($BN$2,0,0,ROW()-1,60),ROW()-1,FALSE))</f>
        <v/>
      </c>
      <c r="AJ65" t="str">
        <f ca="1">IF(AND(ISNUMBER($AJ$738),$B$677=1),$AJ$738,HLOOKUP(INDIRECT(ADDRESS(2,COLUMN())),OFFSET($BN$2,0,0,ROW()-1,60),ROW()-1,FALSE))</f>
        <v/>
      </c>
      <c r="AK65" t="str">
        <f ca="1">IF(AND(ISNUMBER($AK$738),$B$677=1),$AK$738,HLOOKUP(INDIRECT(ADDRESS(2,COLUMN())),OFFSET($BN$2,0,0,ROW()-1,60),ROW()-1,FALSE))</f>
        <v/>
      </c>
      <c r="AL65" t="str">
        <f ca="1">IF(AND(ISNUMBER($AL$738),$B$677=1),$AL$738,HLOOKUP(INDIRECT(ADDRESS(2,COLUMN())),OFFSET($BN$2,0,0,ROW()-1,60),ROW()-1,FALSE))</f>
        <v/>
      </c>
      <c r="AM65" t="str">
        <f ca="1">IF(AND(ISNUMBER($AM$738),$B$677=1),$AM$738,HLOOKUP(INDIRECT(ADDRESS(2,COLUMN())),OFFSET($BN$2,0,0,ROW()-1,60),ROW()-1,FALSE))</f>
        <v/>
      </c>
      <c r="AN65" t="str">
        <f ca="1">IF(AND(ISNUMBER($AN$738),$B$677=1),$AN$738,HLOOKUP(INDIRECT(ADDRESS(2,COLUMN())),OFFSET($BN$2,0,0,ROW()-1,60),ROW()-1,FALSE))</f>
        <v/>
      </c>
      <c r="AO65" t="str">
        <f ca="1">IF(AND(ISNUMBER($AO$738),$B$677=1),$AO$738,HLOOKUP(INDIRECT(ADDRESS(2,COLUMN())),OFFSET($BN$2,0,0,ROW()-1,60),ROW()-1,FALSE))</f>
        <v/>
      </c>
      <c r="AP65" t="str">
        <f ca="1">IF(AND(ISNUMBER($AP$738),$B$677=1),$AP$738,HLOOKUP(INDIRECT(ADDRESS(2,COLUMN())),OFFSET($BN$2,0,0,ROW()-1,60),ROW()-1,FALSE))</f>
        <v/>
      </c>
      <c r="AQ65" t="str">
        <f ca="1">IF(AND(ISNUMBER($AQ$738),$B$677=1),$AQ$738,HLOOKUP(INDIRECT(ADDRESS(2,COLUMN())),OFFSET($BN$2,0,0,ROW()-1,60),ROW()-1,FALSE))</f>
        <v/>
      </c>
      <c r="AR65" t="str">
        <f ca="1">IF(AND(ISNUMBER($AR$738),$B$677=1),$AR$738,HLOOKUP(INDIRECT(ADDRESS(2,COLUMN())),OFFSET($BN$2,0,0,ROW()-1,60),ROW()-1,FALSE))</f>
        <v/>
      </c>
      <c r="AS65" t="str">
        <f ca="1">IF(AND(ISNUMBER($AS$738),$B$677=1),$AS$738,HLOOKUP(INDIRECT(ADDRESS(2,COLUMN())),OFFSET($BN$2,0,0,ROW()-1,60),ROW()-1,FALSE))</f>
        <v/>
      </c>
      <c r="AT65" t="str">
        <f ca="1">IF(AND(ISNUMBER($AT$738),$B$677=1),$AT$738,HLOOKUP(INDIRECT(ADDRESS(2,COLUMN())),OFFSET($BN$2,0,0,ROW()-1,60),ROW()-1,FALSE))</f>
        <v/>
      </c>
      <c r="AU65" t="str">
        <f ca="1">IF(AND(ISNUMBER($AU$738),$B$677=1),$AU$738,HLOOKUP(INDIRECT(ADDRESS(2,COLUMN())),OFFSET($BN$2,0,0,ROW()-1,60),ROW()-1,FALSE))</f>
        <v/>
      </c>
      <c r="AV65" t="str">
        <f ca="1">IF(AND(ISNUMBER($AV$738),$B$677=1),$AV$738,HLOOKUP(INDIRECT(ADDRESS(2,COLUMN())),OFFSET($BN$2,0,0,ROW()-1,60),ROW()-1,FALSE))</f>
        <v/>
      </c>
      <c r="AW65" t="str">
        <f ca="1">IF(AND(ISNUMBER($AW$738),$B$677=1),$AW$738,HLOOKUP(INDIRECT(ADDRESS(2,COLUMN())),OFFSET($BN$2,0,0,ROW()-1,60),ROW()-1,FALSE))</f>
        <v/>
      </c>
      <c r="AX65" t="str">
        <f ca="1">IF(AND(ISNUMBER($AX$738),$B$677=1),$AX$738,HLOOKUP(INDIRECT(ADDRESS(2,COLUMN())),OFFSET($BN$2,0,0,ROW()-1,60),ROW()-1,FALSE))</f>
        <v/>
      </c>
      <c r="AY65" t="str">
        <f ca="1">IF(AND(ISNUMBER($AY$738),$B$677=1),$AY$738,HLOOKUP(INDIRECT(ADDRESS(2,COLUMN())),OFFSET($BN$2,0,0,ROW()-1,60),ROW()-1,FALSE))</f>
        <v/>
      </c>
      <c r="AZ65" t="str">
        <f ca="1">IF(AND(ISNUMBER($AZ$738),$B$677=1),$AZ$738,HLOOKUP(INDIRECT(ADDRESS(2,COLUMN())),OFFSET($BN$2,0,0,ROW()-1,60),ROW()-1,FALSE))</f>
        <v/>
      </c>
      <c r="BA65" t="str">
        <f ca="1">IF(AND(ISNUMBER($BA$738),$B$677=1),$BA$738,HLOOKUP(INDIRECT(ADDRESS(2,COLUMN())),OFFSET($BN$2,0,0,ROW()-1,60),ROW()-1,FALSE))</f>
        <v/>
      </c>
      <c r="BB65" t="str">
        <f ca="1">IF(AND(ISNUMBER($BB$738),$B$677=1),$BB$738,HLOOKUP(INDIRECT(ADDRESS(2,COLUMN())),OFFSET($BN$2,0,0,ROW()-1,60),ROW()-1,FALSE))</f>
        <v/>
      </c>
      <c r="BC65" t="str">
        <f ca="1">IF(AND(ISNUMBER($BC$738),$B$677=1),$BC$738,HLOOKUP(INDIRECT(ADDRESS(2,COLUMN())),OFFSET($BN$2,0,0,ROW()-1,60),ROW()-1,FALSE))</f>
        <v/>
      </c>
      <c r="BD65" t="str">
        <f ca="1">IF(AND(ISNUMBER($BD$738),$B$677=1),$BD$738,HLOOKUP(INDIRECT(ADDRESS(2,COLUMN())),OFFSET($BN$2,0,0,ROW()-1,60),ROW()-1,FALSE))</f>
        <v/>
      </c>
      <c r="BE65" t="str">
        <f ca="1">IF(AND(ISNUMBER($BE$738),$B$677=1),$BE$738,HLOOKUP(INDIRECT(ADDRESS(2,COLUMN())),OFFSET($BN$2,0,0,ROW()-1,60),ROW()-1,FALSE))</f>
        <v/>
      </c>
      <c r="BF65" t="str">
        <f ca="1">IF(AND(ISNUMBER($BF$738),$B$677=1),$BF$738,HLOOKUP(INDIRECT(ADDRESS(2,COLUMN())),OFFSET($BN$2,0,0,ROW()-1,60),ROW()-1,FALSE))</f>
        <v/>
      </c>
      <c r="BG65" t="str">
        <f ca="1">IF(AND(ISNUMBER($BG$738),$B$677=1),$BG$738,HLOOKUP(INDIRECT(ADDRESS(2,COLUMN())),OFFSET($BN$2,0,0,ROW()-1,60),ROW()-1,FALSE))</f>
        <v/>
      </c>
      <c r="BH65" t="str">
        <f ca="1">IF(AND(ISNUMBER($BH$738),$B$677=1),$BH$738,HLOOKUP(INDIRECT(ADDRESS(2,COLUMN())),OFFSET($BN$2,0,0,ROW()-1,60),ROW()-1,FALSE))</f>
        <v/>
      </c>
      <c r="BI65" t="str">
        <f ca="1">IF(AND(ISNUMBER($BI$738),$B$677=1),$BI$738,HLOOKUP(INDIRECT(ADDRESS(2,COLUMN())),OFFSET($BN$2,0,0,ROW()-1,60),ROW()-1,FALSE))</f>
        <v/>
      </c>
      <c r="BJ65" t="str">
        <f ca="1">IF(AND(ISNUMBER($BJ$738),$B$677=1),$BJ$738,HLOOKUP(INDIRECT(ADDRESS(2,COLUMN())),OFFSET($BN$2,0,0,ROW()-1,60),ROW()-1,FALSE))</f>
        <v/>
      </c>
      <c r="BK65" t="str">
        <f ca="1">IF(AND(ISNUMBER($BK$738),$B$677=1),$BK$738,HLOOKUP(INDIRECT(ADDRESS(2,COLUMN())),OFFSET($BN$2,0,0,ROW()-1,60),ROW()-1,FALSE))</f>
        <v/>
      </c>
      <c r="BL65" t="str">
        <f ca="1">IF(AND(ISNUMBER($BL$738),$B$677=1),$BL$738,HLOOKUP(INDIRECT(ADDRESS(2,COLUMN())),OFFSET($BN$2,0,0,ROW()-1,60),ROW()-1,FALSE))</f>
        <v/>
      </c>
      <c r="BM65" t="str">
        <f ca="1">IF(AND(ISNUMBER($BM$738),$B$677=1),$BM$738,HLOOKUP(INDIRECT(ADDRESS(2,COLUMN())),OFFSET($BN$2,0,0,ROW()-1,60),ROW()-1,FALSE))</f>
        <v/>
      </c>
      <c r="BN65">
        <f>7.595503886</f>
        <v>7.5955038860000004</v>
      </c>
      <c r="BO65">
        <f>7.033970591</f>
        <v>7.0339705910000001</v>
      </c>
      <c r="BP65">
        <f>8.573152248</f>
        <v>8.5731522479999995</v>
      </c>
      <c r="BQ65">
        <f>8.057524732</f>
        <v>8.0575247319999992</v>
      </c>
      <c r="BR65">
        <f>8.649864816</f>
        <v>8.6498648159999991</v>
      </c>
      <c r="BS65">
        <f>9.529731677</f>
        <v>9.5297316769999991</v>
      </c>
      <c r="BT65">
        <f>8.833486656</f>
        <v>8.8334866559999998</v>
      </c>
      <c r="BU65">
        <f>8.279268593</f>
        <v>8.2792685929999994</v>
      </c>
      <c r="BV65">
        <f>9.034487965</f>
        <v>9.0344879650000003</v>
      </c>
      <c r="BW65">
        <f>9.780420257</f>
        <v>9.7804202569999994</v>
      </c>
      <c r="BX65">
        <f>8.663184392</f>
        <v>8.6631843919999998</v>
      </c>
      <c r="BY65">
        <f>7.328078576</f>
        <v>7.3280785760000002</v>
      </c>
      <c r="BZ65">
        <f>6.856025682</f>
        <v>6.8560256820000003</v>
      </c>
      <c r="CA65">
        <f>7.432117773</f>
        <v>7.4321177729999999</v>
      </c>
      <c r="CB65">
        <f>7.864444444</f>
        <v>7.8644444440000001</v>
      </c>
      <c r="CC65">
        <f>8.342634516</f>
        <v>8.3426345160000004</v>
      </c>
      <c r="CD65">
        <f>8.223767383</f>
        <v>8.2237673830000002</v>
      </c>
      <c r="CE65">
        <f>7.259625283</f>
        <v>7.2596252830000001</v>
      </c>
      <c r="CF65">
        <f>7.679094675</f>
        <v>7.679094675</v>
      </c>
      <c r="CG65">
        <f>7.155573538</f>
        <v>7.1555735379999996</v>
      </c>
      <c r="CH65" t="str">
        <f>""</f>
        <v/>
      </c>
      <c r="CI65" t="str">
        <f>""</f>
        <v/>
      </c>
      <c r="CJ65" t="str">
        <f>""</f>
        <v/>
      </c>
      <c r="CK65" t="str">
        <f>""</f>
        <v/>
      </c>
      <c r="CL65" t="str">
        <f>""</f>
        <v/>
      </c>
      <c r="CM65" t="str">
        <f>""</f>
        <v/>
      </c>
      <c r="CN65" t="str">
        <f>""</f>
        <v/>
      </c>
      <c r="CO65" t="str">
        <f>""</f>
        <v/>
      </c>
      <c r="CP65" t="str">
        <f>""</f>
        <v/>
      </c>
      <c r="CQ65" t="str">
        <f>""</f>
        <v/>
      </c>
      <c r="CR65" t="str">
        <f>""</f>
        <v/>
      </c>
      <c r="CS65" t="str">
        <f>""</f>
        <v/>
      </c>
      <c r="CT65" t="str">
        <f>""</f>
        <v/>
      </c>
      <c r="CU65" t="str">
        <f>""</f>
        <v/>
      </c>
      <c r="CV65" t="str">
        <f>""</f>
        <v/>
      </c>
      <c r="CW65" t="str">
        <f>""</f>
        <v/>
      </c>
      <c r="CX65" t="str">
        <f>""</f>
        <v/>
      </c>
      <c r="CY65" t="str">
        <f>""</f>
        <v/>
      </c>
      <c r="CZ65" t="str">
        <f>""</f>
        <v/>
      </c>
      <c r="DA65" t="str">
        <f>""</f>
        <v/>
      </c>
      <c r="DB65" t="str">
        <f>""</f>
        <v/>
      </c>
      <c r="DC65" t="str">
        <f>""</f>
        <v/>
      </c>
      <c r="DD65" t="str">
        <f>""</f>
        <v/>
      </c>
      <c r="DE65" t="str">
        <f>""</f>
        <v/>
      </c>
      <c r="DF65" t="str">
        <f>""</f>
        <v/>
      </c>
      <c r="DG65" t="str">
        <f>""</f>
        <v/>
      </c>
      <c r="DH65" t="str">
        <f>""</f>
        <v/>
      </c>
      <c r="DI65" t="str">
        <f>""</f>
        <v/>
      </c>
      <c r="DJ65" t="str">
        <f>""</f>
        <v/>
      </c>
      <c r="DK65" t="str">
        <f>""</f>
        <v/>
      </c>
      <c r="DL65" t="str">
        <f>""</f>
        <v/>
      </c>
      <c r="DM65" t="str">
        <f>""</f>
        <v/>
      </c>
      <c r="DN65" t="str">
        <f>""</f>
        <v/>
      </c>
      <c r="DO65" t="str">
        <f>""</f>
        <v/>
      </c>
      <c r="DP65" t="str">
        <f>""</f>
        <v/>
      </c>
      <c r="DQ65" t="str">
        <f>""</f>
        <v/>
      </c>
      <c r="DR65" t="str">
        <f>""</f>
        <v/>
      </c>
      <c r="DS65" t="str">
        <f>""</f>
        <v/>
      </c>
      <c r="DT65" t="str">
        <f>""</f>
        <v/>
      </c>
      <c r="DU65" t="str">
        <f>""</f>
        <v/>
      </c>
    </row>
    <row r="66" spans="1:125" x14ac:dyDescent="0.25">
      <c r="A66" t="str">
        <f>"    Hyundai Motor Co"</f>
        <v xml:space="preserve">    Hyundai Motor Co</v>
      </c>
      <c r="B66" t="str">
        <f>"005380 KS Equity"</f>
        <v>005380 KS Equity</v>
      </c>
      <c r="C66" t="str">
        <f t="shared" si="3"/>
        <v>EZ009</v>
      </c>
      <c r="D66" t="str">
        <f t="shared" si="4"/>
        <v>BEST_EST_PE_CUR_YR</v>
      </c>
      <c r="E66" t="str">
        <f t="shared" si="5"/>
        <v>Dynamic</v>
      </c>
      <c r="F66">
        <f ca="1">IF(AND(ISNUMBER($F$739),$B$677=1),$F$739,HLOOKUP(INDIRECT(ADDRESS(2,COLUMN())),OFFSET($BN$2,0,0,ROW()-1,60),ROW()-1,FALSE))</f>
        <v>9.3325286950000006</v>
      </c>
      <c r="G66">
        <f ca="1">IF(AND(ISNUMBER($G$739),$B$677=1),$G$739,HLOOKUP(INDIRECT(ADDRESS(2,COLUMN())),OFFSET($BN$2,0,0,ROW()-1,60),ROW()-1,FALSE))</f>
        <v>8.0528714160000003</v>
      </c>
      <c r="H66">
        <f ca="1">IF(AND(ISNUMBER($H$739),$B$677=1),$H$739,HLOOKUP(INDIRECT(ADDRESS(2,COLUMN())),OFFSET($BN$2,0,0,ROW()-1,60),ROW()-1,FALSE))</f>
        <v>7.3752738679999998</v>
      </c>
      <c r="I66">
        <f ca="1">IF(AND(ISNUMBER($I$739),$B$677=1),$I$739,HLOOKUP(INDIRECT(ADDRESS(2,COLUMN())),OFFSET($BN$2,0,0,ROW()-1,60),ROW()-1,FALSE))</f>
        <v>6.886183945</v>
      </c>
      <c r="J66">
        <f ca="1">IF(AND(ISNUMBER($J$739),$B$677=1),$J$739,HLOOKUP(INDIRECT(ADDRESS(2,COLUMN())),OFFSET($BN$2,0,0,ROW()-1,60),ROW()-1,FALSE))</f>
        <v>7.3203589029999998</v>
      </c>
      <c r="K66">
        <f ca="1">IF(AND(ISNUMBER($K$739),$B$677=1),$K$739,HLOOKUP(INDIRECT(ADDRESS(2,COLUMN())),OFFSET($BN$2,0,0,ROW()-1,60),ROW()-1,FALSE))</f>
        <v>6.9970911390000001</v>
      </c>
      <c r="L66">
        <f ca="1">IF(AND(ISNUMBER($L$739),$B$677=1),$L$739,HLOOKUP(INDIRECT(ADDRESS(2,COLUMN())),OFFSET($BN$2,0,0,ROW()-1,60),ROW()-1,FALSE))</f>
        <v>6.8358573920000003</v>
      </c>
      <c r="M66">
        <f ca="1">IF(AND(ISNUMBER($M$739),$B$677=1),$M$739,HLOOKUP(INDIRECT(ADDRESS(2,COLUMN())),OFFSET($BN$2,0,0,ROW()-1,60),ROW()-1,FALSE))</f>
        <v>6.4593766959999996</v>
      </c>
      <c r="N66">
        <f ca="1">IF(AND(ISNUMBER($N$739),$B$677=1),$N$739,HLOOKUP(INDIRECT(ADDRESS(2,COLUMN())),OFFSET($BN$2,0,0,ROW()-1,60),ROW()-1,FALSE))</f>
        <v>6.438559079</v>
      </c>
      <c r="O66">
        <f ca="1">IF(AND(ISNUMBER($O$739),$B$677=1),$O$739,HLOOKUP(INDIRECT(ADDRESS(2,COLUMN())),OFFSET($BN$2,0,0,ROW()-1,60),ROW()-1,FALSE))</f>
        <v>5.4990826139999998</v>
      </c>
      <c r="P66">
        <f ca="1">IF(AND(ISNUMBER($P$739),$B$677=1),$P$739,HLOOKUP(INDIRECT(ADDRESS(2,COLUMN())),OFFSET($BN$2,0,0,ROW()-1,60),ROW()-1,FALSE))</f>
        <v>4.9814345060000003</v>
      </c>
      <c r="Q66">
        <f ca="1">IF(AND(ISNUMBER($Q$739),$B$677=1),$Q$739,HLOOKUP(INDIRECT(ADDRESS(2,COLUMN())),OFFSET($BN$2,0,0,ROW()-1,60),ROW()-1,FALSE))</f>
        <v>5.018447331</v>
      </c>
      <c r="R66">
        <f ca="1">IF(AND(ISNUMBER($R$739),$B$677=1),$R$739,HLOOKUP(INDIRECT(ADDRESS(2,COLUMN())),OFFSET($BN$2,0,0,ROW()-1,60),ROW()-1,FALSE))</f>
        <v>5.5995399929999996</v>
      </c>
      <c r="S66">
        <f ca="1">IF(AND(ISNUMBER($S$739),$B$677=1),$S$739,HLOOKUP(INDIRECT(ADDRESS(2,COLUMN())),OFFSET($BN$2,0,0,ROW()-1,60),ROW()-1,FALSE))</f>
        <v>4.7746799680000001</v>
      </c>
      <c r="T66">
        <f ca="1">IF(AND(ISNUMBER($T$739),$B$677=1),$T$739,HLOOKUP(INDIRECT(ADDRESS(2,COLUMN())),OFFSET($BN$2,0,0,ROW()-1,60),ROW()-1,FALSE))</f>
        <v>4.8874831350000001</v>
      </c>
      <c r="U66">
        <f ca="1">IF(AND(ISNUMBER($U$739),$B$677=1),$U$739,HLOOKUP(INDIRECT(ADDRESS(2,COLUMN())),OFFSET($BN$2,0,0,ROW()-1,60),ROW()-1,FALSE))</f>
        <v>3.7275017519999998</v>
      </c>
      <c r="V66">
        <f ca="1">IF(AND(ISNUMBER($V$739),$B$677=1),$V$739,HLOOKUP(INDIRECT(ADDRESS(2,COLUMN())),OFFSET($BN$2,0,0,ROW()-1,60),ROW()-1,FALSE))</f>
        <v>4.597982182</v>
      </c>
      <c r="W66" t="str">
        <f ca="1">IF(AND(ISNUMBER($W$739),$B$677=1),$W$739,HLOOKUP(INDIRECT(ADDRESS(2,COLUMN())),OFFSET($BN$2,0,0,ROW()-1,60),ROW()-1,FALSE))</f>
        <v/>
      </c>
      <c r="X66" t="str">
        <f ca="1">IF(AND(ISNUMBER($X$739),$B$677=1),$X$739,HLOOKUP(INDIRECT(ADDRESS(2,COLUMN())),OFFSET($BN$2,0,0,ROW()-1,60),ROW()-1,FALSE))</f>
        <v/>
      </c>
      <c r="Y66" t="str">
        <f ca="1">IF(AND(ISNUMBER($Y$739),$B$677=1),$Y$739,HLOOKUP(INDIRECT(ADDRESS(2,COLUMN())),OFFSET($BN$2,0,0,ROW()-1,60),ROW()-1,FALSE))</f>
        <v/>
      </c>
      <c r="Z66" t="str">
        <f ca="1">IF(AND(ISNUMBER($Z$739),$B$677=1),$Z$739,HLOOKUP(INDIRECT(ADDRESS(2,COLUMN())),OFFSET($BN$2,0,0,ROW()-1,60),ROW()-1,FALSE))</f>
        <v/>
      </c>
      <c r="AA66" t="str">
        <f ca="1">IF(AND(ISNUMBER($AA$739),$B$677=1),$AA$739,HLOOKUP(INDIRECT(ADDRESS(2,COLUMN())),OFFSET($BN$2,0,0,ROW()-1,60),ROW()-1,FALSE))</f>
        <v/>
      </c>
      <c r="AB66" t="str">
        <f ca="1">IF(AND(ISNUMBER($AB$739),$B$677=1),$AB$739,HLOOKUP(INDIRECT(ADDRESS(2,COLUMN())),OFFSET($BN$2,0,0,ROW()-1,60),ROW()-1,FALSE))</f>
        <v/>
      </c>
      <c r="AC66" t="str">
        <f ca="1">IF(AND(ISNUMBER($AC$739),$B$677=1),$AC$739,HLOOKUP(INDIRECT(ADDRESS(2,COLUMN())),OFFSET($BN$2,0,0,ROW()-1,60),ROW()-1,FALSE))</f>
        <v/>
      </c>
      <c r="AD66" t="str">
        <f ca="1">IF(AND(ISNUMBER($AD$739),$B$677=1),$AD$739,HLOOKUP(INDIRECT(ADDRESS(2,COLUMN())),OFFSET($BN$2,0,0,ROW()-1,60),ROW()-1,FALSE))</f>
        <v/>
      </c>
      <c r="AE66" t="str">
        <f ca="1">IF(AND(ISNUMBER($AE$739),$B$677=1),$AE$739,HLOOKUP(INDIRECT(ADDRESS(2,COLUMN())),OFFSET($BN$2,0,0,ROW()-1,60),ROW()-1,FALSE))</f>
        <v/>
      </c>
      <c r="AF66" t="str">
        <f ca="1">IF(AND(ISNUMBER($AF$739),$B$677=1),$AF$739,HLOOKUP(INDIRECT(ADDRESS(2,COLUMN())),OFFSET($BN$2,0,0,ROW()-1,60),ROW()-1,FALSE))</f>
        <v/>
      </c>
      <c r="AG66" t="str">
        <f ca="1">IF(AND(ISNUMBER($AG$739),$B$677=1),$AG$739,HLOOKUP(INDIRECT(ADDRESS(2,COLUMN())),OFFSET($BN$2,0,0,ROW()-1,60),ROW()-1,FALSE))</f>
        <v/>
      </c>
      <c r="AH66" t="str">
        <f ca="1">IF(AND(ISNUMBER($AH$739),$B$677=1),$AH$739,HLOOKUP(INDIRECT(ADDRESS(2,COLUMN())),OFFSET($BN$2,0,0,ROW()-1,60),ROW()-1,FALSE))</f>
        <v/>
      </c>
      <c r="AI66" t="str">
        <f ca="1">IF(AND(ISNUMBER($AI$739),$B$677=1),$AI$739,HLOOKUP(INDIRECT(ADDRESS(2,COLUMN())),OFFSET($BN$2,0,0,ROW()-1,60),ROW()-1,FALSE))</f>
        <v/>
      </c>
      <c r="AJ66" t="str">
        <f ca="1">IF(AND(ISNUMBER($AJ$739),$B$677=1),$AJ$739,HLOOKUP(INDIRECT(ADDRESS(2,COLUMN())),OFFSET($BN$2,0,0,ROW()-1,60),ROW()-1,FALSE))</f>
        <v/>
      </c>
      <c r="AK66" t="str">
        <f ca="1">IF(AND(ISNUMBER($AK$739),$B$677=1),$AK$739,HLOOKUP(INDIRECT(ADDRESS(2,COLUMN())),OFFSET($BN$2,0,0,ROW()-1,60),ROW()-1,FALSE))</f>
        <v/>
      </c>
      <c r="AL66" t="str">
        <f ca="1">IF(AND(ISNUMBER($AL$739),$B$677=1),$AL$739,HLOOKUP(INDIRECT(ADDRESS(2,COLUMN())),OFFSET($BN$2,0,0,ROW()-1,60),ROW()-1,FALSE))</f>
        <v/>
      </c>
      <c r="AM66" t="str">
        <f ca="1">IF(AND(ISNUMBER($AM$739),$B$677=1),$AM$739,HLOOKUP(INDIRECT(ADDRESS(2,COLUMN())),OFFSET($BN$2,0,0,ROW()-1,60),ROW()-1,FALSE))</f>
        <v/>
      </c>
      <c r="AN66" t="str">
        <f ca="1">IF(AND(ISNUMBER($AN$739),$B$677=1),$AN$739,HLOOKUP(INDIRECT(ADDRESS(2,COLUMN())),OFFSET($BN$2,0,0,ROW()-1,60),ROW()-1,FALSE))</f>
        <v/>
      </c>
      <c r="AO66" t="str">
        <f ca="1">IF(AND(ISNUMBER($AO$739),$B$677=1),$AO$739,HLOOKUP(INDIRECT(ADDRESS(2,COLUMN())),OFFSET($BN$2,0,0,ROW()-1,60),ROW()-1,FALSE))</f>
        <v/>
      </c>
      <c r="AP66" t="str">
        <f ca="1">IF(AND(ISNUMBER($AP$739),$B$677=1),$AP$739,HLOOKUP(INDIRECT(ADDRESS(2,COLUMN())),OFFSET($BN$2,0,0,ROW()-1,60),ROW()-1,FALSE))</f>
        <v/>
      </c>
      <c r="AQ66" t="str">
        <f ca="1">IF(AND(ISNUMBER($AQ$739),$B$677=1),$AQ$739,HLOOKUP(INDIRECT(ADDRESS(2,COLUMN())),OFFSET($BN$2,0,0,ROW()-1,60),ROW()-1,FALSE))</f>
        <v/>
      </c>
      <c r="AR66" t="str">
        <f ca="1">IF(AND(ISNUMBER($AR$739),$B$677=1),$AR$739,HLOOKUP(INDIRECT(ADDRESS(2,COLUMN())),OFFSET($BN$2,0,0,ROW()-1,60),ROW()-1,FALSE))</f>
        <v/>
      </c>
      <c r="AS66" t="str">
        <f ca="1">IF(AND(ISNUMBER($AS$739),$B$677=1),$AS$739,HLOOKUP(INDIRECT(ADDRESS(2,COLUMN())),OFFSET($BN$2,0,0,ROW()-1,60),ROW()-1,FALSE))</f>
        <v/>
      </c>
      <c r="AT66" t="str">
        <f ca="1">IF(AND(ISNUMBER($AT$739),$B$677=1),$AT$739,HLOOKUP(INDIRECT(ADDRESS(2,COLUMN())),OFFSET($BN$2,0,0,ROW()-1,60),ROW()-1,FALSE))</f>
        <v/>
      </c>
      <c r="AU66" t="str">
        <f ca="1">IF(AND(ISNUMBER($AU$739),$B$677=1),$AU$739,HLOOKUP(INDIRECT(ADDRESS(2,COLUMN())),OFFSET($BN$2,0,0,ROW()-1,60),ROW()-1,FALSE))</f>
        <v/>
      </c>
      <c r="AV66" t="str">
        <f ca="1">IF(AND(ISNUMBER($AV$739),$B$677=1),$AV$739,HLOOKUP(INDIRECT(ADDRESS(2,COLUMN())),OFFSET($BN$2,0,0,ROW()-1,60),ROW()-1,FALSE))</f>
        <v/>
      </c>
      <c r="AW66" t="str">
        <f ca="1">IF(AND(ISNUMBER($AW$739),$B$677=1),$AW$739,HLOOKUP(INDIRECT(ADDRESS(2,COLUMN())),OFFSET($BN$2,0,0,ROW()-1,60),ROW()-1,FALSE))</f>
        <v/>
      </c>
      <c r="AX66" t="str">
        <f ca="1">IF(AND(ISNUMBER($AX$739),$B$677=1),$AX$739,HLOOKUP(INDIRECT(ADDRESS(2,COLUMN())),OFFSET($BN$2,0,0,ROW()-1,60),ROW()-1,FALSE))</f>
        <v/>
      </c>
      <c r="AY66" t="str">
        <f ca="1">IF(AND(ISNUMBER($AY$739),$B$677=1),$AY$739,HLOOKUP(INDIRECT(ADDRESS(2,COLUMN())),OFFSET($BN$2,0,0,ROW()-1,60),ROW()-1,FALSE))</f>
        <v/>
      </c>
      <c r="AZ66" t="str">
        <f ca="1">IF(AND(ISNUMBER($AZ$739),$B$677=1),$AZ$739,HLOOKUP(INDIRECT(ADDRESS(2,COLUMN())),OFFSET($BN$2,0,0,ROW()-1,60),ROW()-1,FALSE))</f>
        <v/>
      </c>
      <c r="BA66" t="str">
        <f ca="1">IF(AND(ISNUMBER($BA$739),$B$677=1),$BA$739,HLOOKUP(INDIRECT(ADDRESS(2,COLUMN())),OFFSET($BN$2,0,0,ROW()-1,60),ROW()-1,FALSE))</f>
        <v/>
      </c>
      <c r="BB66" t="str">
        <f ca="1">IF(AND(ISNUMBER($BB$739),$B$677=1),$BB$739,HLOOKUP(INDIRECT(ADDRESS(2,COLUMN())),OFFSET($BN$2,0,0,ROW()-1,60),ROW()-1,FALSE))</f>
        <v/>
      </c>
      <c r="BC66" t="str">
        <f ca="1">IF(AND(ISNUMBER($BC$739),$B$677=1),$BC$739,HLOOKUP(INDIRECT(ADDRESS(2,COLUMN())),OFFSET($BN$2,0,0,ROW()-1,60),ROW()-1,FALSE))</f>
        <v/>
      </c>
      <c r="BD66" t="str">
        <f ca="1">IF(AND(ISNUMBER($BD$739),$B$677=1),$BD$739,HLOOKUP(INDIRECT(ADDRESS(2,COLUMN())),OFFSET($BN$2,0,0,ROW()-1,60),ROW()-1,FALSE))</f>
        <v/>
      </c>
      <c r="BE66" t="str">
        <f ca="1">IF(AND(ISNUMBER($BE$739),$B$677=1),$BE$739,HLOOKUP(INDIRECT(ADDRESS(2,COLUMN())),OFFSET($BN$2,0,0,ROW()-1,60),ROW()-1,FALSE))</f>
        <v/>
      </c>
      <c r="BF66" t="str">
        <f ca="1">IF(AND(ISNUMBER($BF$739),$B$677=1),$BF$739,HLOOKUP(INDIRECT(ADDRESS(2,COLUMN())),OFFSET($BN$2,0,0,ROW()-1,60),ROW()-1,FALSE))</f>
        <v/>
      </c>
      <c r="BG66" t="str">
        <f ca="1">IF(AND(ISNUMBER($BG$739),$B$677=1),$BG$739,HLOOKUP(INDIRECT(ADDRESS(2,COLUMN())),OFFSET($BN$2,0,0,ROW()-1,60),ROW()-1,FALSE))</f>
        <v/>
      </c>
      <c r="BH66" t="str">
        <f ca="1">IF(AND(ISNUMBER($BH$739),$B$677=1),$BH$739,HLOOKUP(INDIRECT(ADDRESS(2,COLUMN())),OFFSET($BN$2,0,0,ROW()-1,60),ROW()-1,FALSE))</f>
        <v/>
      </c>
      <c r="BI66" t="str">
        <f ca="1">IF(AND(ISNUMBER($BI$739),$B$677=1),$BI$739,HLOOKUP(INDIRECT(ADDRESS(2,COLUMN())),OFFSET($BN$2,0,0,ROW()-1,60),ROW()-1,FALSE))</f>
        <v/>
      </c>
      <c r="BJ66" t="str">
        <f ca="1">IF(AND(ISNUMBER($BJ$739),$B$677=1),$BJ$739,HLOOKUP(INDIRECT(ADDRESS(2,COLUMN())),OFFSET($BN$2,0,0,ROW()-1,60),ROW()-1,FALSE))</f>
        <v/>
      </c>
      <c r="BK66" t="str">
        <f ca="1">IF(AND(ISNUMBER($BK$739),$B$677=1),$BK$739,HLOOKUP(INDIRECT(ADDRESS(2,COLUMN())),OFFSET($BN$2,0,0,ROW()-1,60),ROW()-1,FALSE))</f>
        <v/>
      </c>
      <c r="BL66" t="str">
        <f ca="1">IF(AND(ISNUMBER($BL$739),$B$677=1),$BL$739,HLOOKUP(INDIRECT(ADDRESS(2,COLUMN())),OFFSET($BN$2,0,0,ROW()-1,60),ROW()-1,FALSE))</f>
        <v/>
      </c>
      <c r="BM66" t="str">
        <f ca="1">IF(AND(ISNUMBER($BM$739),$B$677=1),$BM$739,HLOOKUP(INDIRECT(ADDRESS(2,COLUMN())),OFFSET($BN$2,0,0,ROW()-1,60),ROW()-1,FALSE))</f>
        <v/>
      </c>
      <c r="BN66">
        <f>9.332528695</f>
        <v>9.3325286950000006</v>
      </c>
      <c r="BO66">
        <f>8.052871416</f>
        <v>8.0528714160000003</v>
      </c>
      <c r="BP66">
        <f>7.375273868</f>
        <v>7.3752738679999998</v>
      </c>
      <c r="BQ66">
        <f>6.886183945</f>
        <v>6.886183945</v>
      </c>
      <c r="BR66">
        <f>7.320358903</f>
        <v>7.3203589029999998</v>
      </c>
      <c r="BS66">
        <f>6.997091139</f>
        <v>6.9970911390000001</v>
      </c>
      <c r="BT66">
        <f>6.835857392</f>
        <v>6.8358573920000003</v>
      </c>
      <c r="BU66">
        <f>6.459376696</f>
        <v>6.4593766959999996</v>
      </c>
      <c r="BV66">
        <f>6.438559079</f>
        <v>6.438559079</v>
      </c>
      <c r="BW66">
        <f>5.499082614</f>
        <v>5.4990826139999998</v>
      </c>
      <c r="BX66">
        <f>4.981434506</f>
        <v>4.9814345060000003</v>
      </c>
      <c r="BY66">
        <f>5.018447331</f>
        <v>5.018447331</v>
      </c>
      <c r="BZ66">
        <f>5.599539993</f>
        <v>5.5995399929999996</v>
      </c>
      <c r="CA66">
        <f>4.774679968</f>
        <v>4.7746799680000001</v>
      </c>
      <c r="CB66">
        <f>4.887483135</f>
        <v>4.8874831350000001</v>
      </c>
      <c r="CC66">
        <f>3.727501752</f>
        <v>3.7275017519999998</v>
      </c>
      <c r="CD66">
        <f>4.597982182</f>
        <v>4.597982182</v>
      </c>
      <c r="CE66" t="str">
        <f>""</f>
        <v/>
      </c>
      <c r="CF66" t="str">
        <f>""</f>
        <v/>
      </c>
      <c r="CG66" t="str">
        <f>""</f>
        <v/>
      </c>
      <c r="CH66" t="str">
        <f>""</f>
        <v/>
      </c>
      <c r="CI66" t="str">
        <f>""</f>
        <v/>
      </c>
      <c r="CJ66" t="str">
        <f>""</f>
        <v/>
      </c>
      <c r="CK66" t="str">
        <f>""</f>
        <v/>
      </c>
      <c r="CL66" t="str">
        <f>""</f>
        <v/>
      </c>
      <c r="CM66" t="str">
        <f>""</f>
        <v/>
      </c>
      <c r="CN66" t="str">
        <f>""</f>
        <v/>
      </c>
      <c r="CO66" t="str">
        <f>""</f>
        <v/>
      </c>
      <c r="CP66" t="str">
        <f>""</f>
        <v/>
      </c>
      <c r="CQ66" t="str">
        <f>""</f>
        <v/>
      </c>
      <c r="CR66" t="str">
        <f>""</f>
        <v/>
      </c>
      <c r="CS66" t="str">
        <f>""</f>
        <v/>
      </c>
      <c r="CT66" t="str">
        <f>""</f>
        <v/>
      </c>
      <c r="CU66" t="str">
        <f>""</f>
        <v/>
      </c>
      <c r="CV66" t="str">
        <f>""</f>
        <v/>
      </c>
      <c r="CW66" t="str">
        <f>""</f>
        <v/>
      </c>
      <c r="CX66" t="str">
        <f>""</f>
        <v/>
      </c>
      <c r="CY66" t="str">
        <f>""</f>
        <v/>
      </c>
      <c r="CZ66" t="str">
        <f>""</f>
        <v/>
      </c>
      <c r="DA66" t="str">
        <f>""</f>
        <v/>
      </c>
      <c r="DB66" t="str">
        <f>""</f>
        <v/>
      </c>
      <c r="DC66" t="str">
        <f>""</f>
        <v/>
      </c>
      <c r="DD66" t="str">
        <f>""</f>
        <v/>
      </c>
      <c r="DE66" t="str">
        <f>""</f>
        <v/>
      </c>
      <c r="DF66" t="str">
        <f>""</f>
        <v/>
      </c>
      <c r="DG66" t="str">
        <f>""</f>
        <v/>
      </c>
      <c r="DH66" t="str">
        <f>""</f>
        <v/>
      </c>
      <c r="DI66" t="str">
        <f>""</f>
        <v/>
      </c>
      <c r="DJ66" t="str">
        <f>""</f>
        <v/>
      </c>
      <c r="DK66" t="str">
        <f>""</f>
        <v/>
      </c>
      <c r="DL66" t="str">
        <f>""</f>
        <v/>
      </c>
      <c r="DM66" t="str">
        <f>""</f>
        <v/>
      </c>
      <c r="DN66" t="str">
        <f>""</f>
        <v/>
      </c>
      <c r="DO66" t="str">
        <f>""</f>
        <v/>
      </c>
      <c r="DP66" t="str">
        <f>""</f>
        <v/>
      </c>
      <c r="DQ66" t="str">
        <f>""</f>
        <v/>
      </c>
      <c r="DR66" t="str">
        <f>""</f>
        <v/>
      </c>
      <c r="DS66" t="str">
        <f>""</f>
        <v/>
      </c>
      <c r="DT66" t="str">
        <f>""</f>
        <v/>
      </c>
      <c r="DU66" t="str">
        <f>""</f>
        <v/>
      </c>
    </row>
    <row r="67" spans="1:125" x14ac:dyDescent="0.25">
      <c r="A67" t="str">
        <f>"    Kia Motors Corp"</f>
        <v xml:space="preserve">    Kia Motors Corp</v>
      </c>
      <c r="B67" t="str">
        <f>"000270 KS Equity"</f>
        <v>000270 KS Equity</v>
      </c>
      <c r="C67" t="str">
        <f t="shared" si="3"/>
        <v>EZ009</v>
      </c>
      <c r="D67" t="str">
        <f t="shared" si="4"/>
        <v>BEST_EST_PE_CUR_YR</v>
      </c>
      <c r="E67" t="str">
        <f t="shared" si="5"/>
        <v>Dynamic</v>
      </c>
      <c r="F67">
        <f ca="1">IF(AND(ISNUMBER($F$740),$B$677=1),$F$740,HLOOKUP(INDIRECT(ADDRESS(2,COLUMN())),OFFSET($BN$2,0,0,ROW()-1,60),ROW()-1,FALSE))</f>
        <v>7.957838046</v>
      </c>
      <c r="G67">
        <f ca="1">IF(AND(ISNUMBER($G$740),$B$677=1),$G$740,HLOOKUP(INDIRECT(ADDRESS(2,COLUMN())),OFFSET($BN$2,0,0,ROW()-1,60),ROW()-1,FALSE))</f>
        <v>7.0309931179999996</v>
      </c>
      <c r="H67">
        <f ca="1">IF(AND(ISNUMBER($H$740),$B$677=1),$H$740,HLOOKUP(INDIRECT(ADDRESS(2,COLUMN())),OFFSET($BN$2,0,0,ROW()-1,60),ROW()-1,FALSE))</f>
        <v>6.5066910470000003</v>
      </c>
      <c r="I67">
        <f ca="1">IF(AND(ISNUMBER($I$740),$B$677=1),$I$740,HLOOKUP(INDIRECT(ADDRESS(2,COLUMN())),OFFSET($BN$2,0,0,ROW()-1,60),ROW()-1,FALSE))</f>
        <v>5.6368343830000001</v>
      </c>
      <c r="J67">
        <f ca="1">IF(AND(ISNUMBER($J$740),$B$677=1),$J$740,HLOOKUP(INDIRECT(ADDRESS(2,COLUMN())),OFFSET($BN$2,0,0,ROW()-1,60),ROW()-1,FALSE))</f>
        <v>5.5511584010000004</v>
      </c>
      <c r="K67">
        <f ca="1">IF(AND(ISNUMBER($K$740),$B$677=1),$K$740,HLOOKUP(INDIRECT(ADDRESS(2,COLUMN())),OFFSET($BN$2,0,0,ROW()-1,60),ROW()-1,FALSE))</f>
        <v>5.1874890149999997</v>
      </c>
      <c r="L67">
        <f ca="1">IF(AND(ISNUMBER($L$740),$B$677=1),$L$740,HLOOKUP(INDIRECT(ADDRESS(2,COLUMN())),OFFSET($BN$2,0,0,ROW()-1,60),ROW()-1,FALSE))</f>
        <v>4.7678774309999996</v>
      </c>
      <c r="M67">
        <f ca="1">IF(AND(ISNUMBER($M$740),$B$677=1),$M$740,HLOOKUP(INDIRECT(ADDRESS(2,COLUMN())),OFFSET($BN$2,0,0,ROW()-1,60),ROW()-1,FALSE))</f>
        <v>5.221721541</v>
      </c>
      <c r="N67">
        <f ca="1">IF(AND(ISNUMBER($N$740),$B$677=1),$N$740,HLOOKUP(INDIRECT(ADDRESS(2,COLUMN())),OFFSET($BN$2,0,0,ROW()-1,60),ROW()-1,FALSE))</f>
        <v>4.7220840080000004</v>
      </c>
      <c r="O67">
        <f ca="1">IF(AND(ISNUMBER($O$740),$B$677=1),$O$740,HLOOKUP(INDIRECT(ADDRESS(2,COLUMN())),OFFSET($BN$2,0,0,ROW()-1,60),ROW()-1,FALSE))</f>
        <v>4.8519344139999996</v>
      </c>
      <c r="P67">
        <f ca="1">IF(AND(ISNUMBER($P$740),$B$677=1),$P$740,HLOOKUP(INDIRECT(ADDRESS(2,COLUMN())),OFFSET($BN$2,0,0,ROW()-1,60),ROW()-1,FALSE))</f>
        <v>4.839820875</v>
      </c>
      <c r="Q67">
        <f ca="1">IF(AND(ISNUMBER($Q$740),$B$677=1),$Q$740,HLOOKUP(INDIRECT(ADDRESS(2,COLUMN())),OFFSET($BN$2,0,0,ROW()-1,60),ROW()-1,FALSE))</f>
        <v>6.982156711</v>
      </c>
      <c r="R67">
        <f ca="1">IF(AND(ISNUMBER($R$740),$B$677=1),$R$740,HLOOKUP(INDIRECT(ADDRESS(2,COLUMN())),OFFSET($BN$2,0,0,ROW()-1,60),ROW()-1,FALSE))</f>
        <v>7.0711573640000003</v>
      </c>
      <c r="S67">
        <f ca="1">IF(AND(ISNUMBER($S$740),$B$677=1),$S$740,HLOOKUP(INDIRECT(ADDRESS(2,COLUMN())),OFFSET($BN$2,0,0,ROW()-1,60),ROW()-1,FALSE))</f>
        <v>7.342497496</v>
      </c>
      <c r="T67">
        <f ca="1">IF(AND(ISNUMBER($T$740),$B$677=1),$T$740,HLOOKUP(INDIRECT(ADDRESS(2,COLUMN())),OFFSET($BN$2,0,0,ROW()-1,60),ROW()-1,FALSE))</f>
        <v>7.2597572289999999</v>
      </c>
      <c r="U67">
        <f ca="1">IF(AND(ISNUMBER($U$740),$B$677=1),$U$740,HLOOKUP(INDIRECT(ADDRESS(2,COLUMN())),OFFSET($BN$2,0,0,ROW()-1,60),ROW()-1,FALSE))</f>
        <v>5.5708319599999996</v>
      </c>
      <c r="V67">
        <f ca="1">IF(AND(ISNUMBER($V$740),$B$677=1),$V$740,HLOOKUP(INDIRECT(ADDRESS(2,COLUMN())),OFFSET($BN$2,0,0,ROW()-1,60),ROW()-1,FALSE))</f>
        <v>4.9945993130000002</v>
      </c>
      <c r="W67" t="str">
        <f ca="1">IF(AND(ISNUMBER($W$740),$B$677=1),$W$740,HLOOKUP(INDIRECT(ADDRESS(2,COLUMN())),OFFSET($BN$2,0,0,ROW()-1,60),ROW()-1,FALSE))</f>
        <v/>
      </c>
      <c r="X67" t="str">
        <f ca="1">IF(AND(ISNUMBER($X$740),$B$677=1),$X$740,HLOOKUP(INDIRECT(ADDRESS(2,COLUMN())),OFFSET($BN$2,0,0,ROW()-1,60),ROW()-1,FALSE))</f>
        <v/>
      </c>
      <c r="Y67" t="str">
        <f ca="1">IF(AND(ISNUMBER($Y$740),$B$677=1),$Y$740,HLOOKUP(INDIRECT(ADDRESS(2,COLUMN())),OFFSET($BN$2,0,0,ROW()-1,60),ROW()-1,FALSE))</f>
        <v/>
      </c>
      <c r="Z67" t="str">
        <f ca="1">IF(AND(ISNUMBER($Z$740),$B$677=1),$Z$740,HLOOKUP(INDIRECT(ADDRESS(2,COLUMN())),OFFSET($BN$2,0,0,ROW()-1,60),ROW()-1,FALSE))</f>
        <v/>
      </c>
      <c r="AA67" t="str">
        <f ca="1">IF(AND(ISNUMBER($AA$740),$B$677=1),$AA$740,HLOOKUP(INDIRECT(ADDRESS(2,COLUMN())),OFFSET($BN$2,0,0,ROW()-1,60),ROW()-1,FALSE))</f>
        <v/>
      </c>
      <c r="AB67" t="str">
        <f ca="1">IF(AND(ISNUMBER($AB$740),$B$677=1),$AB$740,HLOOKUP(INDIRECT(ADDRESS(2,COLUMN())),OFFSET($BN$2,0,0,ROW()-1,60),ROW()-1,FALSE))</f>
        <v/>
      </c>
      <c r="AC67" t="str">
        <f ca="1">IF(AND(ISNUMBER($AC$740),$B$677=1),$AC$740,HLOOKUP(INDIRECT(ADDRESS(2,COLUMN())),OFFSET($BN$2,0,0,ROW()-1,60),ROW()-1,FALSE))</f>
        <v/>
      </c>
      <c r="AD67" t="str">
        <f ca="1">IF(AND(ISNUMBER($AD$740),$B$677=1),$AD$740,HLOOKUP(INDIRECT(ADDRESS(2,COLUMN())),OFFSET($BN$2,0,0,ROW()-1,60),ROW()-1,FALSE))</f>
        <v/>
      </c>
      <c r="AE67" t="str">
        <f ca="1">IF(AND(ISNUMBER($AE$740),$B$677=1),$AE$740,HLOOKUP(INDIRECT(ADDRESS(2,COLUMN())),OFFSET($BN$2,0,0,ROW()-1,60),ROW()-1,FALSE))</f>
        <v/>
      </c>
      <c r="AF67" t="str">
        <f ca="1">IF(AND(ISNUMBER($AF$740),$B$677=1),$AF$740,HLOOKUP(INDIRECT(ADDRESS(2,COLUMN())),OFFSET($BN$2,0,0,ROW()-1,60),ROW()-1,FALSE))</f>
        <v/>
      </c>
      <c r="AG67" t="str">
        <f ca="1">IF(AND(ISNUMBER($AG$740),$B$677=1),$AG$740,HLOOKUP(INDIRECT(ADDRESS(2,COLUMN())),OFFSET($BN$2,0,0,ROW()-1,60),ROW()-1,FALSE))</f>
        <v/>
      </c>
      <c r="AH67" t="str">
        <f ca="1">IF(AND(ISNUMBER($AH$740),$B$677=1),$AH$740,HLOOKUP(INDIRECT(ADDRESS(2,COLUMN())),OFFSET($BN$2,0,0,ROW()-1,60),ROW()-1,FALSE))</f>
        <v/>
      </c>
      <c r="AI67" t="str">
        <f ca="1">IF(AND(ISNUMBER($AI$740),$B$677=1),$AI$740,HLOOKUP(INDIRECT(ADDRESS(2,COLUMN())),OFFSET($BN$2,0,0,ROW()-1,60),ROW()-1,FALSE))</f>
        <v/>
      </c>
      <c r="AJ67" t="str">
        <f ca="1">IF(AND(ISNUMBER($AJ$740),$B$677=1),$AJ$740,HLOOKUP(INDIRECT(ADDRESS(2,COLUMN())),OFFSET($BN$2,0,0,ROW()-1,60),ROW()-1,FALSE))</f>
        <v/>
      </c>
      <c r="AK67" t="str">
        <f ca="1">IF(AND(ISNUMBER($AK$740),$B$677=1),$AK$740,HLOOKUP(INDIRECT(ADDRESS(2,COLUMN())),OFFSET($BN$2,0,0,ROW()-1,60),ROW()-1,FALSE))</f>
        <v/>
      </c>
      <c r="AL67" t="str">
        <f ca="1">IF(AND(ISNUMBER($AL$740),$B$677=1),$AL$740,HLOOKUP(INDIRECT(ADDRESS(2,COLUMN())),OFFSET($BN$2,0,0,ROW()-1,60),ROW()-1,FALSE))</f>
        <v/>
      </c>
      <c r="AM67" t="str">
        <f ca="1">IF(AND(ISNUMBER($AM$740),$B$677=1),$AM$740,HLOOKUP(INDIRECT(ADDRESS(2,COLUMN())),OFFSET($BN$2,0,0,ROW()-1,60),ROW()-1,FALSE))</f>
        <v/>
      </c>
      <c r="AN67" t="str">
        <f ca="1">IF(AND(ISNUMBER($AN$740),$B$677=1),$AN$740,HLOOKUP(INDIRECT(ADDRESS(2,COLUMN())),OFFSET($BN$2,0,0,ROW()-1,60),ROW()-1,FALSE))</f>
        <v/>
      </c>
      <c r="AO67" t="str">
        <f ca="1">IF(AND(ISNUMBER($AO$740),$B$677=1),$AO$740,HLOOKUP(INDIRECT(ADDRESS(2,COLUMN())),OFFSET($BN$2,0,0,ROW()-1,60),ROW()-1,FALSE))</f>
        <v/>
      </c>
      <c r="AP67" t="str">
        <f ca="1">IF(AND(ISNUMBER($AP$740),$B$677=1),$AP$740,HLOOKUP(INDIRECT(ADDRESS(2,COLUMN())),OFFSET($BN$2,0,0,ROW()-1,60),ROW()-1,FALSE))</f>
        <v/>
      </c>
      <c r="AQ67" t="str">
        <f ca="1">IF(AND(ISNUMBER($AQ$740),$B$677=1),$AQ$740,HLOOKUP(INDIRECT(ADDRESS(2,COLUMN())),OFFSET($BN$2,0,0,ROW()-1,60),ROW()-1,FALSE))</f>
        <v/>
      </c>
      <c r="AR67" t="str">
        <f ca="1">IF(AND(ISNUMBER($AR$740),$B$677=1),$AR$740,HLOOKUP(INDIRECT(ADDRESS(2,COLUMN())),OFFSET($BN$2,0,0,ROW()-1,60),ROW()-1,FALSE))</f>
        <v/>
      </c>
      <c r="AS67" t="str">
        <f ca="1">IF(AND(ISNUMBER($AS$740),$B$677=1),$AS$740,HLOOKUP(INDIRECT(ADDRESS(2,COLUMN())),OFFSET($BN$2,0,0,ROW()-1,60),ROW()-1,FALSE))</f>
        <v/>
      </c>
      <c r="AT67" t="str">
        <f ca="1">IF(AND(ISNUMBER($AT$740),$B$677=1),$AT$740,HLOOKUP(INDIRECT(ADDRESS(2,COLUMN())),OFFSET($BN$2,0,0,ROW()-1,60),ROW()-1,FALSE))</f>
        <v/>
      </c>
      <c r="AU67" t="str">
        <f ca="1">IF(AND(ISNUMBER($AU$740),$B$677=1),$AU$740,HLOOKUP(INDIRECT(ADDRESS(2,COLUMN())),OFFSET($BN$2,0,0,ROW()-1,60),ROW()-1,FALSE))</f>
        <v/>
      </c>
      <c r="AV67" t="str">
        <f ca="1">IF(AND(ISNUMBER($AV$740),$B$677=1),$AV$740,HLOOKUP(INDIRECT(ADDRESS(2,COLUMN())),OFFSET($BN$2,0,0,ROW()-1,60),ROW()-1,FALSE))</f>
        <v/>
      </c>
      <c r="AW67" t="str">
        <f ca="1">IF(AND(ISNUMBER($AW$740),$B$677=1),$AW$740,HLOOKUP(INDIRECT(ADDRESS(2,COLUMN())),OFFSET($BN$2,0,0,ROW()-1,60),ROW()-1,FALSE))</f>
        <v/>
      </c>
      <c r="AX67" t="str">
        <f ca="1">IF(AND(ISNUMBER($AX$740),$B$677=1),$AX$740,HLOOKUP(INDIRECT(ADDRESS(2,COLUMN())),OFFSET($BN$2,0,0,ROW()-1,60),ROW()-1,FALSE))</f>
        <v/>
      </c>
      <c r="AY67" t="str">
        <f ca="1">IF(AND(ISNUMBER($AY$740),$B$677=1),$AY$740,HLOOKUP(INDIRECT(ADDRESS(2,COLUMN())),OFFSET($BN$2,0,0,ROW()-1,60),ROW()-1,FALSE))</f>
        <v/>
      </c>
      <c r="AZ67" t="str">
        <f ca="1">IF(AND(ISNUMBER($AZ$740),$B$677=1),$AZ$740,HLOOKUP(INDIRECT(ADDRESS(2,COLUMN())),OFFSET($BN$2,0,0,ROW()-1,60),ROW()-1,FALSE))</f>
        <v/>
      </c>
      <c r="BA67" t="str">
        <f ca="1">IF(AND(ISNUMBER($BA$740),$B$677=1),$BA$740,HLOOKUP(INDIRECT(ADDRESS(2,COLUMN())),OFFSET($BN$2,0,0,ROW()-1,60),ROW()-1,FALSE))</f>
        <v/>
      </c>
      <c r="BB67" t="str">
        <f ca="1">IF(AND(ISNUMBER($BB$740),$B$677=1),$BB$740,HLOOKUP(INDIRECT(ADDRESS(2,COLUMN())),OFFSET($BN$2,0,0,ROW()-1,60),ROW()-1,FALSE))</f>
        <v/>
      </c>
      <c r="BC67" t="str">
        <f ca="1">IF(AND(ISNUMBER($BC$740),$B$677=1),$BC$740,HLOOKUP(INDIRECT(ADDRESS(2,COLUMN())),OFFSET($BN$2,0,0,ROW()-1,60),ROW()-1,FALSE))</f>
        <v/>
      </c>
      <c r="BD67" t="str">
        <f ca="1">IF(AND(ISNUMBER($BD$740),$B$677=1),$BD$740,HLOOKUP(INDIRECT(ADDRESS(2,COLUMN())),OFFSET($BN$2,0,0,ROW()-1,60),ROW()-1,FALSE))</f>
        <v/>
      </c>
      <c r="BE67" t="str">
        <f ca="1">IF(AND(ISNUMBER($BE$740),$B$677=1),$BE$740,HLOOKUP(INDIRECT(ADDRESS(2,COLUMN())),OFFSET($BN$2,0,0,ROW()-1,60),ROW()-1,FALSE))</f>
        <v/>
      </c>
      <c r="BF67" t="str">
        <f ca="1">IF(AND(ISNUMBER($BF$740),$B$677=1),$BF$740,HLOOKUP(INDIRECT(ADDRESS(2,COLUMN())),OFFSET($BN$2,0,0,ROW()-1,60),ROW()-1,FALSE))</f>
        <v/>
      </c>
      <c r="BG67" t="str">
        <f ca="1">IF(AND(ISNUMBER($BG$740),$B$677=1),$BG$740,HLOOKUP(INDIRECT(ADDRESS(2,COLUMN())),OFFSET($BN$2,0,0,ROW()-1,60),ROW()-1,FALSE))</f>
        <v/>
      </c>
      <c r="BH67" t="str">
        <f ca="1">IF(AND(ISNUMBER($BH$740),$B$677=1),$BH$740,HLOOKUP(INDIRECT(ADDRESS(2,COLUMN())),OFFSET($BN$2,0,0,ROW()-1,60),ROW()-1,FALSE))</f>
        <v/>
      </c>
      <c r="BI67" t="str">
        <f ca="1">IF(AND(ISNUMBER($BI$740),$B$677=1),$BI$740,HLOOKUP(INDIRECT(ADDRESS(2,COLUMN())),OFFSET($BN$2,0,0,ROW()-1,60),ROW()-1,FALSE))</f>
        <v/>
      </c>
      <c r="BJ67" t="str">
        <f ca="1">IF(AND(ISNUMBER($BJ$740),$B$677=1),$BJ$740,HLOOKUP(INDIRECT(ADDRESS(2,COLUMN())),OFFSET($BN$2,0,0,ROW()-1,60),ROW()-1,FALSE))</f>
        <v/>
      </c>
      <c r="BK67" t="str">
        <f ca="1">IF(AND(ISNUMBER($BK$740),$B$677=1),$BK$740,HLOOKUP(INDIRECT(ADDRESS(2,COLUMN())),OFFSET($BN$2,0,0,ROW()-1,60),ROW()-1,FALSE))</f>
        <v/>
      </c>
      <c r="BL67" t="str">
        <f ca="1">IF(AND(ISNUMBER($BL$740),$B$677=1),$BL$740,HLOOKUP(INDIRECT(ADDRESS(2,COLUMN())),OFFSET($BN$2,0,0,ROW()-1,60),ROW()-1,FALSE))</f>
        <v/>
      </c>
      <c r="BM67" t="str">
        <f ca="1">IF(AND(ISNUMBER($BM$740),$B$677=1),$BM$740,HLOOKUP(INDIRECT(ADDRESS(2,COLUMN())),OFFSET($BN$2,0,0,ROW()-1,60),ROW()-1,FALSE))</f>
        <v/>
      </c>
      <c r="BN67">
        <f>7.957838046</f>
        <v>7.957838046</v>
      </c>
      <c r="BO67">
        <f>7.030993118</f>
        <v>7.0309931179999996</v>
      </c>
      <c r="BP67">
        <f>6.506691047</f>
        <v>6.5066910470000003</v>
      </c>
      <c r="BQ67">
        <f>5.636834383</f>
        <v>5.6368343830000001</v>
      </c>
      <c r="BR67">
        <f>5.551158401</f>
        <v>5.5511584010000004</v>
      </c>
      <c r="BS67">
        <f>5.187489015</f>
        <v>5.1874890149999997</v>
      </c>
      <c r="BT67">
        <f>4.767877431</f>
        <v>4.7678774309999996</v>
      </c>
      <c r="BU67">
        <f>5.221721541</f>
        <v>5.221721541</v>
      </c>
      <c r="BV67">
        <f>4.722084008</f>
        <v>4.7220840080000004</v>
      </c>
      <c r="BW67">
        <f>4.851934414</f>
        <v>4.8519344139999996</v>
      </c>
      <c r="BX67">
        <f>4.839820875</f>
        <v>4.839820875</v>
      </c>
      <c r="BY67">
        <f>6.982156711</f>
        <v>6.982156711</v>
      </c>
      <c r="BZ67">
        <f>7.071157364</f>
        <v>7.0711573640000003</v>
      </c>
      <c r="CA67">
        <f>7.342497496</f>
        <v>7.342497496</v>
      </c>
      <c r="CB67">
        <f>7.259757229</f>
        <v>7.2597572289999999</v>
      </c>
      <c r="CC67">
        <f>5.57083196</f>
        <v>5.5708319599999996</v>
      </c>
      <c r="CD67">
        <f>4.994599313</f>
        <v>4.9945993130000002</v>
      </c>
      <c r="CE67" t="str">
        <f>""</f>
        <v/>
      </c>
      <c r="CF67" t="str">
        <f>""</f>
        <v/>
      </c>
      <c r="CG67" t="str">
        <f>""</f>
        <v/>
      </c>
      <c r="CH67" t="str">
        <f>""</f>
        <v/>
      </c>
      <c r="CI67" t="str">
        <f>""</f>
        <v/>
      </c>
      <c r="CJ67" t="str">
        <f>""</f>
        <v/>
      </c>
      <c r="CK67" t="str">
        <f>""</f>
        <v/>
      </c>
      <c r="CL67" t="str">
        <f>""</f>
        <v/>
      </c>
      <c r="CM67" t="str">
        <f>""</f>
        <v/>
      </c>
      <c r="CN67" t="str">
        <f>""</f>
        <v/>
      </c>
      <c r="CO67" t="str">
        <f>""</f>
        <v/>
      </c>
      <c r="CP67" t="str">
        <f>""</f>
        <v/>
      </c>
      <c r="CQ67" t="str">
        <f>""</f>
        <v/>
      </c>
      <c r="CR67" t="str">
        <f>""</f>
        <v/>
      </c>
      <c r="CS67" t="str">
        <f>""</f>
        <v/>
      </c>
      <c r="CT67" t="str">
        <f>""</f>
        <v/>
      </c>
      <c r="CU67" t="str">
        <f>""</f>
        <v/>
      </c>
      <c r="CV67" t="str">
        <f>""</f>
        <v/>
      </c>
      <c r="CW67" t="str">
        <f>""</f>
        <v/>
      </c>
      <c r="CX67" t="str">
        <f>""</f>
        <v/>
      </c>
      <c r="CY67" t="str">
        <f>""</f>
        <v/>
      </c>
      <c r="CZ67" t="str">
        <f>""</f>
        <v/>
      </c>
      <c r="DA67" t="str">
        <f>""</f>
        <v/>
      </c>
      <c r="DB67" t="str">
        <f>""</f>
        <v/>
      </c>
      <c r="DC67" t="str">
        <f>""</f>
        <v/>
      </c>
      <c r="DD67" t="str">
        <f>""</f>
        <v/>
      </c>
      <c r="DE67" t="str">
        <f>""</f>
        <v/>
      </c>
      <c r="DF67" t="str">
        <f>""</f>
        <v/>
      </c>
      <c r="DG67" t="str">
        <f>""</f>
        <v/>
      </c>
      <c r="DH67" t="str">
        <f>""</f>
        <v/>
      </c>
      <c r="DI67" t="str">
        <f>""</f>
        <v/>
      </c>
      <c r="DJ67" t="str">
        <f>""</f>
        <v/>
      </c>
      <c r="DK67" t="str">
        <f>""</f>
        <v/>
      </c>
      <c r="DL67" t="str">
        <f>""</f>
        <v/>
      </c>
      <c r="DM67" t="str">
        <f>""</f>
        <v/>
      </c>
      <c r="DN67" t="str">
        <f>""</f>
        <v/>
      </c>
      <c r="DO67" t="str">
        <f>""</f>
        <v/>
      </c>
      <c r="DP67" t="str">
        <f>""</f>
        <v/>
      </c>
      <c r="DQ67" t="str">
        <f>""</f>
        <v/>
      </c>
      <c r="DR67" t="str">
        <f>""</f>
        <v/>
      </c>
      <c r="DS67" t="str">
        <f>""</f>
        <v/>
      </c>
      <c r="DT67" t="str">
        <f>""</f>
        <v/>
      </c>
      <c r="DU67" t="str">
        <f>""</f>
        <v/>
      </c>
    </row>
    <row r="68" spans="1:125" x14ac:dyDescent="0.25">
      <c r="A68" t="str">
        <f>"    Mazda Motor Corp"</f>
        <v xml:space="preserve">    Mazda Motor Corp</v>
      </c>
      <c r="B68" t="str">
        <f>"7261 JP Equity"</f>
        <v>7261 JP Equity</v>
      </c>
      <c r="C68" t="str">
        <f t="shared" si="3"/>
        <v>EZ009</v>
      </c>
      <c r="D68" t="str">
        <f t="shared" si="4"/>
        <v>BEST_EST_PE_CUR_YR</v>
      </c>
      <c r="E68" t="str">
        <f t="shared" si="5"/>
        <v>Dynamic</v>
      </c>
      <c r="F68">
        <f ca="1">IF(AND(ISNUMBER($F$741),$B$677=1),$F$741,HLOOKUP(INDIRECT(ADDRESS(2,COLUMN())),OFFSET($BN$2,0,0,ROW()-1,60),ROW()-1,FALSE))</f>
        <v>14.09217305</v>
      </c>
      <c r="G68">
        <f ca="1">IF(AND(ISNUMBER($G$741),$B$677=1),$G$741,HLOOKUP(INDIRECT(ADDRESS(2,COLUMN())),OFFSET($BN$2,0,0,ROW()-1,60),ROW()-1,FALSE))</f>
        <v>12.12619793</v>
      </c>
      <c r="H68">
        <f ca="1">IF(AND(ISNUMBER($H$741),$B$677=1),$H$741,HLOOKUP(INDIRECT(ADDRESS(2,COLUMN())),OFFSET($BN$2,0,0,ROW()-1,60),ROW()-1,FALSE))</f>
        <v>10.49537557</v>
      </c>
      <c r="I68">
        <f ca="1">IF(AND(ISNUMBER($I$741),$B$677=1),$I$741,HLOOKUP(INDIRECT(ADDRESS(2,COLUMN())),OFFSET($BN$2,0,0,ROW()-1,60),ROW()-1,FALSE))</f>
        <v>9.4066219849999992</v>
      </c>
      <c r="J68">
        <f ca="1">IF(AND(ISNUMBER($J$741),$B$677=1),$J$741,HLOOKUP(INDIRECT(ADDRESS(2,COLUMN())),OFFSET($BN$2,0,0,ROW()-1,60),ROW()-1,FALSE))</f>
        <v>7.8305069649999997</v>
      </c>
      <c r="K68">
        <f ca="1">IF(AND(ISNUMBER($K$741),$B$677=1),$K$741,HLOOKUP(INDIRECT(ADDRESS(2,COLUMN())),OFFSET($BN$2,0,0,ROW()-1,60),ROW()-1,FALSE))</f>
        <v>7.6623982320000001</v>
      </c>
      <c r="L68">
        <f ca="1">IF(AND(ISNUMBER($L$741),$B$677=1),$L$741,HLOOKUP(INDIRECT(ADDRESS(2,COLUMN())),OFFSET($BN$2,0,0,ROW()-1,60),ROW()-1,FALSE))</f>
        <v>7.9014992240000002</v>
      </c>
      <c r="M68">
        <f ca="1">IF(AND(ISNUMBER($M$741),$B$677=1),$M$741,HLOOKUP(INDIRECT(ADDRESS(2,COLUMN())),OFFSET($BN$2,0,0,ROW()-1,60),ROW()-1,FALSE))</f>
        <v>7.3588421090000002</v>
      </c>
      <c r="N68">
        <f ca="1">IF(AND(ISNUMBER($N$741),$B$677=1),$N$741,HLOOKUP(INDIRECT(ADDRESS(2,COLUMN())),OFFSET($BN$2,0,0,ROW()-1,60),ROW()-1,FALSE))</f>
        <v>6.3984353169999997</v>
      </c>
      <c r="O68">
        <f ca="1">IF(AND(ISNUMBER($O$741),$B$677=1),$O$741,HLOOKUP(INDIRECT(ADDRESS(2,COLUMN())),OFFSET($BN$2,0,0,ROW()-1,60),ROW()-1,FALSE))</f>
        <v>7.5942026680000003</v>
      </c>
      <c r="P68">
        <f ca="1">IF(AND(ISNUMBER($P$741),$B$677=1),$P$741,HLOOKUP(INDIRECT(ADDRESS(2,COLUMN())),OFFSET($BN$2,0,0,ROW()-1,60),ROW()-1,FALSE))</f>
        <v>6.2549265460000001</v>
      </c>
      <c r="Q68">
        <f ca="1">IF(AND(ISNUMBER($Q$741),$B$677=1),$Q$741,HLOOKUP(INDIRECT(ADDRESS(2,COLUMN())),OFFSET($BN$2,0,0,ROW()-1,60),ROW()-1,FALSE))</f>
        <v>4.9850338939999999</v>
      </c>
      <c r="R68">
        <f ca="1">IF(AND(ISNUMBER($R$741),$B$677=1),$R$741,HLOOKUP(INDIRECT(ADDRESS(2,COLUMN())),OFFSET($BN$2,0,0,ROW()-1,60),ROW()-1,FALSE))</f>
        <v>5.596985031</v>
      </c>
      <c r="S68">
        <f ca="1">IF(AND(ISNUMBER($S$741),$B$677=1),$S$741,HLOOKUP(INDIRECT(ADDRESS(2,COLUMN())),OFFSET($BN$2,0,0,ROW()-1,60),ROW()-1,FALSE))</f>
        <v>6.4054410720000003</v>
      </c>
      <c r="T68">
        <f ca="1">IF(AND(ISNUMBER($T$741),$B$677=1),$T$741,HLOOKUP(INDIRECT(ADDRESS(2,COLUMN())),OFFSET($BN$2,0,0,ROW()-1,60),ROW()-1,FALSE))</f>
        <v>5.5169985180000003</v>
      </c>
      <c r="U68">
        <f ca="1">IF(AND(ISNUMBER($U$741),$B$677=1),$U$741,HLOOKUP(INDIRECT(ADDRESS(2,COLUMN())),OFFSET($BN$2,0,0,ROW()-1,60),ROW()-1,FALSE))</f>
        <v>6.6533488710000004</v>
      </c>
      <c r="V68">
        <f ca="1">IF(AND(ISNUMBER($V$741),$B$677=1),$V$741,HLOOKUP(INDIRECT(ADDRESS(2,COLUMN())),OFFSET($BN$2,0,0,ROW()-1,60),ROW()-1,FALSE))</f>
        <v>7.6553672319999997</v>
      </c>
      <c r="W68">
        <f ca="1">IF(AND(ISNUMBER($W$741),$B$677=1),$W$741,HLOOKUP(INDIRECT(ADDRESS(2,COLUMN())),OFFSET($BN$2,0,0,ROW()-1,60),ROW()-1,FALSE))</f>
        <v>8.0106717750000005</v>
      </c>
      <c r="X68">
        <f ca="1">IF(AND(ISNUMBER($X$741),$B$677=1),$X$741,HLOOKUP(INDIRECT(ADDRESS(2,COLUMN())),OFFSET($BN$2,0,0,ROW()-1,60),ROW()-1,FALSE))</f>
        <v>7.7523970670000004</v>
      </c>
      <c r="Y68">
        <f ca="1">IF(AND(ISNUMBER($Y$741),$B$677=1),$Y$741,HLOOKUP(INDIRECT(ADDRESS(2,COLUMN())),OFFSET($BN$2,0,0,ROW()-1,60),ROW()-1,FALSE))</f>
        <v>7.2078907440000002</v>
      </c>
      <c r="Z68" t="str">
        <f ca="1">IF(AND(ISNUMBER($Z$741),$B$677=1),$Z$741,HLOOKUP(INDIRECT(ADDRESS(2,COLUMN())),OFFSET($BN$2,0,0,ROW()-1,60),ROW()-1,FALSE))</f>
        <v/>
      </c>
      <c r="AA68" t="str">
        <f ca="1">IF(AND(ISNUMBER($AA$741),$B$677=1),$AA$741,HLOOKUP(INDIRECT(ADDRESS(2,COLUMN())),OFFSET($BN$2,0,0,ROW()-1,60),ROW()-1,FALSE))</f>
        <v/>
      </c>
      <c r="AB68" t="str">
        <f ca="1">IF(AND(ISNUMBER($AB$741),$B$677=1),$AB$741,HLOOKUP(INDIRECT(ADDRESS(2,COLUMN())),OFFSET($BN$2,0,0,ROW()-1,60),ROW()-1,FALSE))</f>
        <v/>
      </c>
      <c r="AC68" t="str">
        <f ca="1">IF(AND(ISNUMBER($AC$741),$B$677=1),$AC$741,HLOOKUP(INDIRECT(ADDRESS(2,COLUMN())),OFFSET($BN$2,0,0,ROW()-1,60),ROW()-1,FALSE))</f>
        <v/>
      </c>
      <c r="AD68" t="str">
        <f ca="1">IF(AND(ISNUMBER($AD$741),$B$677=1),$AD$741,HLOOKUP(INDIRECT(ADDRESS(2,COLUMN())),OFFSET($BN$2,0,0,ROW()-1,60),ROW()-1,FALSE))</f>
        <v/>
      </c>
      <c r="AE68" t="str">
        <f ca="1">IF(AND(ISNUMBER($AE$741),$B$677=1),$AE$741,HLOOKUP(INDIRECT(ADDRESS(2,COLUMN())),OFFSET($BN$2,0,0,ROW()-1,60),ROW()-1,FALSE))</f>
        <v/>
      </c>
      <c r="AF68" t="str">
        <f ca="1">IF(AND(ISNUMBER($AF$741),$B$677=1),$AF$741,HLOOKUP(INDIRECT(ADDRESS(2,COLUMN())),OFFSET($BN$2,0,0,ROW()-1,60),ROW()-1,FALSE))</f>
        <v/>
      </c>
      <c r="AG68" t="str">
        <f ca="1">IF(AND(ISNUMBER($AG$741),$B$677=1),$AG$741,HLOOKUP(INDIRECT(ADDRESS(2,COLUMN())),OFFSET($BN$2,0,0,ROW()-1,60),ROW()-1,FALSE))</f>
        <v/>
      </c>
      <c r="AH68" t="str">
        <f ca="1">IF(AND(ISNUMBER($AH$741),$B$677=1),$AH$741,HLOOKUP(INDIRECT(ADDRESS(2,COLUMN())),OFFSET($BN$2,0,0,ROW()-1,60),ROW()-1,FALSE))</f>
        <v/>
      </c>
      <c r="AI68" t="str">
        <f ca="1">IF(AND(ISNUMBER($AI$741),$B$677=1),$AI$741,HLOOKUP(INDIRECT(ADDRESS(2,COLUMN())),OFFSET($BN$2,0,0,ROW()-1,60),ROW()-1,FALSE))</f>
        <v/>
      </c>
      <c r="AJ68" t="str">
        <f ca="1">IF(AND(ISNUMBER($AJ$741),$B$677=1),$AJ$741,HLOOKUP(INDIRECT(ADDRESS(2,COLUMN())),OFFSET($BN$2,0,0,ROW()-1,60),ROW()-1,FALSE))</f>
        <v/>
      </c>
      <c r="AK68" t="str">
        <f ca="1">IF(AND(ISNUMBER($AK$741),$B$677=1),$AK$741,HLOOKUP(INDIRECT(ADDRESS(2,COLUMN())),OFFSET($BN$2,0,0,ROW()-1,60),ROW()-1,FALSE))</f>
        <v/>
      </c>
      <c r="AL68" t="str">
        <f ca="1">IF(AND(ISNUMBER($AL$741),$B$677=1),$AL$741,HLOOKUP(INDIRECT(ADDRESS(2,COLUMN())),OFFSET($BN$2,0,0,ROW()-1,60),ROW()-1,FALSE))</f>
        <v/>
      </c>
      <c r="AM68" t="str">
        <f ca="1">IF(AND(ISNUMBER($AM$741),$B$677=1),$AM$741,HLOOKUP(INDIRECT(ADDRESS(2,COLUMN())),OFFSET($BN$2,0,0,ROW()-1,60),ROW()-1,FALSE))</f>
        <v/>
      </c>
      <c r="AN68" t="str">
        <f ca="1">IF(AND(ISNUMBER($AN$741),$B$677=1),$AN$741,HLOOKUP(INDIRECT(ADDRESS(2,COLUMN())),OFFSET($BN$2,0,0,ROW()-1,60),ROW()-1,FALSE))</f>
        <v/>
      </c>
      <c r="AO68" t="str">
        <f ca="1">IF(AND(ISNUMBER($AO$741),$B$677=1),$AO$741,HLOOKUP(INDIRECT(ADDRESS(2,COLUMN())),OFFSET($BN$2,0,0,ROW()-1,60),ROW()-1,FALSE))</f>
        <v/>
      </c>
      <c r="AP68" t="str">
        <f ca="1">IF(AND(ISNUMBER($AP$741),$B$677=1),$AP$741,HLOOKUP(INDIRECT(ADDRESS(2,COLUMN())),OFFSET($BN$2,0,0,ROW()-1,60),ROW()-1,FALSE))</f>
        <v/>
      </c>
      <c r="AQ68" t="str">
        <f ca="1">IF(AND(ISNUMBER($AQ$741),$B$677=1),$AQ$741,HLOOKUP(INDIRECT(ADDRESS(2,COLUMN())),OFFSET($BN$2,0,0,ROW()-1,60),ROW()-1,FALSE))</f>
        <v/>
      </c>
      <c r="AR68" t="str">
        <f ca="1">IF(AND(ISNUMBER($AR$741),$B$677=1),$AR$741,HLOOKUP(INDIRECT(ADDRESS(2,COLUMN())),OFFSET($BN$2,0,0,ROW()-1,60),ROW()-1,FALSE))</f>
        <v/>
      </c>
      <c r="AS68" t="str">
        <f ca="1">IF(AND(ISNUMBER($AS$741),$B$677=1),$AS$741,HLOOKUP(INDIRECT(ADDRESS(2,COLUMN())),OFFSET($BN$2,0,0,ROW()-1,60),ROW()-1,FALSE))</f>
        <v/>
      </c>
      <c r="AT68" t="str">
        <f ca="1">IF(AND(ISNUMBER($AT$741),$B$677=1),$AT$741,HLOOKUP(INDIRECT(ADDRESS(2,COLUMN())),OFFSET($BN$2,0,0,ROW()-1,60),ROW()-1,FALSE))</f>
        <v/>
      </c>
      <c r="AU68" t="str">
        <f ca="1">IF(AND(ISNUMBER($AU$741),$B$677=1),$AU$741,HLOOKUP(INDIRECT(ADDRESS(2,COLUMN())),OFFSET($BN$2,0,0,ROW()-1,60),ROW()-1,FALSE))</f>
        <v/>
      </c>
      <c r="AV68" t="str">
        <f ca="1">IF(AND(ISNUMBER($AV$741),$B$677=1),$AV$741,HLOOKUP(INDIRECT(ADDRESS(2,COLUMN())),OFFSET($BN$2,0,0,ROW()-1,60),ROW()-1,FALSE))</f>
        <v/>
      </c>
      <c r="AW68" t="str">
        <f ca="1">IF(AND(ISNUMBER($AW$741),$B$677=1),$AW$741,HLOOKUP(INDIRECT(ADDRESS(2,COLUMN())),OFFSET($BN$2,0,0,ROW()-1,60),ROW()-1,FALSE))</f>
        <v/>
      </c>
      <c r="AX68" t="str">
        <f ca="1">IF(AND(ISNUMBER($AX$741),$B$677=1),$AX$741,HLOOKUP(INDIRECT(ADDRESS(2,COLUMN())),OFFSET($BN$2,0,0,ROW()-1,60),ROW()-1,FALSE))</f>
        <v/>
      </c>
      <c r="AY68" t="str">
        <f ca="1">IF(AND(ISNUMBER($AY$741),$B$677=1),$AY$741,HLOOKUP(INDIRECT(ADDRESS(2,COLUMN())),OFFSET($BN$2,0,0,ROW()-1,60),ROW()-1,FALSE))</f>
        <v/>
      </c>
      <c r="AZ68" t="str">
        <f ca="1">IF(AND(ISNUMBER($AZ$741),$B$677=1),$AZ$741,HLOOKUP(INDIRECT(ADDRESS(2,COLUMN())),OFFSET($BN$2,0,0,ROW()-1,60),ROW()-1,FALSE))</f>
        <v/>
      </c>
      <c r="BA68" t="str">
        <f ca="1">IF(AND(ISNUMBER($BA$741),$B$677=1),$BA$741,HLOOKUP(INDIRECT(ADDRESS(2,COLUMN())),OFFSET($BN$2,0,0,ROW()-1,60),ROW()-1,FALSE))</f>
        <v/>
      </c>
      <c r="BB68" t="str">
        <f ca="1">IF(AND(ISNUMBER($BB$741),$B$677=1),$BB$741,HLOOKUP(INDIRECT(ADDRESS(2,COLUMN())),OFFSET($BN$2,0,0,ROW()-1,60),ROW()-1,FALSE))</f>
        <v/>
      </c>
      <c r="BC68" t="str">
        <f ca="1">IF(AND(ISNUMBER($BC$741),$B$677=1),$BC$741,HLOOKUP(INDIRECT(ADDRESS(2,COLUMN())),OFFSET($BN$2,0,0,ROW()-1,60),ROW()-1,FALSE))</f>
        <v/>
      </c>
      <c r="BD68" t="str">
        <f ca="1">IF(AND(ISNUMBER($BD$741),$B$677=1),$BD$741,HLOOKUP(INDIRECT(ADDRESS(2,COLUMN())),OFFSET($BN$2,0,0,ROW()-1,60),ROW()-1,FALSE))</f>
        <v/>
      </c>
      <c r="BE68" t="str">
        <f ca="1">IF(AND(ISNUMBER($BE$741),$B$677=1),$BE$741,HLOOKUP(INDIRECT(ADDRESS(2,COLUMN())),OFFSET($BN$2,0,0,ROW()-1,60),ROW()-1,FALSE))</f>
        <v/>
      </c>
      <c r="BF68" t="str">
        <f ca="1">IF(AND(ISNUMBER($BF$741),$B$677=1),$BF$741,HLOOKUP(INDIRECT(ADDRESS(2,COLUMN())),OFFSET($BN$2,0,0,ROW()-1,60),ROW()-1,FALSE))</f>
        <v/>
      </c>
      <c r="BG68" t="str">
        <f ca="1">IF(AND(ISNUMBER($BG$741),$B$677=1),$BG$741,HLOOKUP(INDIRECT(ADDRESS(2,COLUMN())),OFFSET($BN$2,0,0,ROW()-1,60),ROW()-1,FALSE))</f>
        <v/>
      </c>
      <c r="BH68" t="str">
        <f ca="1">IF(AND(ISNUMBER($BH$741),$B$677=1),$BH$741,HLOOKUP(INDIRECT(ADDRESS(2,COLUMN())),OFFSET($BN$2,0,0,ROW()-1,60),ROW()-1,FALSE))</f>
        <v/>
      </c>
      <c r="BI68" t="str">
        <f ca="1">IF(AND(ISNUMBER($BI$741),$B$677=1),$BI$741,HLOOKUP(INDIRECT(ADDRESS(2,COLUMN())),OFFSET($BN$2,0,0,ROW()-1,60),ROW()-1,FALSE))</f>
        <v/>
      </c>
      <c r="BJ68" t="str">
        <f ca="1">IF(AND(ISNUMBER($BJ$741),$B$677=1),$BJ$741,HLOOKUP(INDIRECT(ADDRESS(2,COLUMN())),OFFSET($BN$2,0,0,ROW()-1,60),ROW()-1,FALSE))</f>
        <v/>
      </c>
      <c r="BK68" t="str">
        <f ca="1">IF(AND(ISNUMBER($BK$741),$B$677=1),$BK$741,HLOOKUP(INDIRECT(ADDRESS(2,COLUMN())),OFFSET($BN$2,0,0,ROW()-1,60),ROW()-1,FALSE))</f>
        <v/>
      </c>
      <c r="BL68" t="str">
        <f ca="1">IF(AND(ISNUMBER($BL$741),$B$677=1),$BL$741,HLOOKUP(INDIRECT(ADDRESS(2,COLUMN())),OFFSET($BN$2,0,0,ROW()-1,60),ROW()-1,FALSE))</f>
        <v/>
      </c>
      <c r="BM68" t="str">
        <f ca="1">IF(AND(ISNUMBER($BM$741),$B$677=1),$BM$741,HLOOKUP(INDIRECT(ADDRESS(2,COLUMN())),OFFSET($BN$2,0,0,ROW()-1,60),ROW()-1,FALSE))</f>
        <v/>
      </c>
      <c r="BN68">
        <f>14.09217305</f>
        <v>14.09217305</v>
      </c>
      <c r="BO68">
        <f>12.12619793</f>
        <v>12.12619793</v>
      </c>
      <c r="BP68">
        <f>10.49537557</f>
        <v>10.49537557</v>
      </c>
      <c r="BQ68">
        <f>9.406621985</f>
        <v>9.4066219849999992</v>
      </c>
      <c r="BR68">
        <f>7.830506965</f>
        <v>7.8305069649999997</v>
      </c>
      <c r="BS68">
        <f>7.662398232</f>
        <v>7.6623982320000001</v>
      </c>
      <c r="BT68">
        <f>7.901499224</f>
        <v>7.9014992240000002</v>
      </c>
      <c r="BU68">
        <f>7.358842109</f>
        <v>7.3588421090000002</v>
      </c>
      <c r="BV68">
        <f>6.398435317</f>
        <v>6.3984353169999997</v>
      </c>
      <c r="BW68">
        <f>7.594202668</f>
        <v>7.5942026680000003</v>
      </c>
      <c r="BX68">
        <f>6.254926546</f>
        <v>6.2549265460000001</v>
      </c>
      <c r="BY68">
        <f>4.985033894</f>
        <v>4.9850338939999999</v>
      </c>
      <c r="BZ68">
        <f>5.596985031</f>
        <v>5.596985031</v>
      </c>
      <c r="CA68">
        <f>6.405441072</f>
        <v>6.4054410720000003</v>
      </c>
      <c r="CB68">
        <f>5.516998518</f>
        <v>5.5169985180000003</v>
      </c>
      <c r="CC68">
        <f>6.653348871</f>
        <v>6.6533488710000004</v>
      </c>
      <c r="CD68">
        <f>7.655367232</f>
        <v>7.6553672319999997</v>
      </c>
      <c r="CE68">
        <f>8.010671775</f>
        <v>8.0106717750000005</v>
      </c>
      <c r="CF68">
        <f>7.752397067</f>
        <v>7.7523970670000004</v>
      </c>
      <c r="CG68">
        <f>7.207890744</f>
        <v>7.2078907440000002</v>
      </c>
      <c r="CH68" t="str">
        <f>""</f>
        <v/>
      </c>
      <c r="CI68" t="str">
        <f>""</f>
        <v/>
      </c>
      <c r="CJ68" t="str">
        <f>""</f>
        <v/>
      </c>
      <c r="CK68" t="str">
        <f>""</f>
        <v/>
      </c>
      <c r="CL68" t="str">
        <f>""</f>
        <v/>
      </c>
      <c r="CM68" t="str">
        <f>""</f>
        <v/>
      </c>
      <c r="CN68" t="str">
        <f>""</f>
        <v/>
      </c>
      <c r="CO68" t="str">
        <f>""</f>
        <v/>
      </c>
      <c r="CP68" t="str">
        <f>""</f>
        <v/>
      </c>
      <c r="CQ68" t="str">
        <f>""</f>
        <v/>
      </c>
      <c r="CR68" t="str">
        <f>""</f>
        <v/>
      </c>
      <c r="CS68" t="str">
        <f>""</f>
        <v/>
      </c>
      <c r="CT68" t="str">
        <f>""</f>
        <v/>
      </c>
      <c r="CU68" t="str">
        <f>""</f>
        <v/>
      </c>
      <c r="CV68" t="str">
        <f>""</f>
        <v/>
      </c>
      <c r="CW68" t="str">
        <f>""</f>
        <v/>
      </c>
      <c r="CX68" t="str">
        <f>""</f>
        <v/>
      </c>
      <c r="CY68" t="str">
        <f>""</f>
        <v/>
      </c>
      <c r="CZ68" t="str">
        <f>""</f>
        <v/>
      </c>
      <c r="DA68" t="str">
        <f>""</f>
        <v/>
      </c>
      <c r="DB68" t="str">
        <f>""</f>
        <v/>
      </c>
      <c r="DC68" t="str">
        <f>""</f>
        <v/>
      </c>
      <c r="DD68" t="str">
        <f>""</f>
        <v/>
      </c>
      <c r="DE68" t="str">
        <f>""</f>
        <v/>
      </c>
      <c r="DF68" t="str">
        <f>""</f>
        <v/>
      </c>
      <c r="DG68" t="str">
        <f>""</f>
        <v/>
      </c>
      <c r="DH68" t="str">
        <f>""</f>
        <v/>
      </c>
      <c r="DI68" t="str">
        <f>""</f>
        <v/>
      </c>
      <c r="DJ68" t="str">
        <f>""</f>
        <v/>
      </c>
      <c r="DK68" t="str">
        <f>""</f>
        <v/>
      </c>
      <c r="DL68" t="str">
        <f>""</f>
        <v/>
      </c>
      <c r="DM68" t="str">
        <f>""</f>
        <v/>
      </c>
      <c r="DN68" t="str">
        <f>""</f>
        <v/>
      </c>
      <c r="DO68" t="str">
        <f>""</f>
        <v/>
      </c>
      <c r="DP68" t="str">
        <f>""</f>
        <v/>
      </c>
      <c r="DQ68" t="str">
        <f>""</f>
        <v/>
      </c>
      <c r="DR68" t="str">
        <f>""</f>
        <v/>
      </c>
      <c r="DS68" t="str">
        <f>""</f>
        <v/>
      </c>
      <c r="DT68" t="str">
        <f>""</f>
        <v/>
      </c>
      <c r="DU68" t="str">
        <f>""</f>
        <v/>
      </c>
    </row>
    <row r="69" spans="1:125" x14ac:dyDescent="0.25">
      <c r="A69" t="str">
        <f>"    Mitsubishi Motors Corp"</f>
        <v xml:space="preserve">    Mitsubishi Motors Corp</v>
      </c>
      <c r="B69" t="str">
        <f>"7211 JP Equity"</f>
        <v>7211 JP Equity</v>
      </c>
      <c r="C69" t="str">
        <f t="shared" si="3"/>
        <v>EZ009</v>
      </c>
      <c r="D69" t="str">
        <f t="shared" si="4"/>
        <v>BEST_EST_PE_CUR_YR</v>
      </c>
      <c r="E69" t="str">
        <f t="shared" si="5"/>
        <v>Dynamic</v>
      </c>
      <c r="F69">
        <f ca="1">IF(AND(ISNUMBER($F$742),$B$677=1),$F$742,HLOOKUP(INDIRECT(ADDRESS(2,COLUMN())),OFFSET($BN$2,0,0,ROW()-1,60),ROW()-1,FALSE))</f>
        <v>8.4214781379999994</v>
      </c>
      <c r="G69">
        <f ca="1">IF(AND(ISNUMBER($G$742),$B$677=1),$G$742,HLOOKUP(INDIRECT(ADDRESS(2,COLUMN())),OFFSET($BN$2,0,0,ROW()-1,60),ROW()-1,FALSE))</f>
        <v>7.9016105110000003</v>
      </c>
      <c r="H69">
        <f ca="1">IF(AND(ISNUMBER($H$742),$B$677=1),$H$742,HLOOKUP(INDIRECT(ADDRESS(2,COLUMN())),OFFSET($BN$2,0,0,ROW()-1,60),ROW()-1,FALSE))</f>
        <v>10.32852967</v>
      </c>
      <c r="I69">
        <f ca="1">IF(AND(ISNUMBER($I$742),$B$677=1),$I$742,HLOOKUP(INDIRECT(ADDRESS(2,COLUMN())),OFFSET($BN$2,0,0,ROW()-1,60),ROW()-1,FALSE))</f>
        <v>11.644621450000001</v>
      </c>
      <c r="J69">
        <f ca="1">IF(AND(ISNUMBER($J$742),$B$677=1),$J$742,HLOOKUP(INDIRECT(ADDRESS(2,COLUMN())),OFFSET($BN$2,0,0,ROW()-1,60),ROW()-1,FALSE))</f>
        <v>11.23628686</v>
      </c>
      <c r="K69">
        <f ca="1">IF(AND(ISNUMBER($K$742),$B$677=1),$K$742,HLOOKUP(INDIRECT(ADDRESS(2,COLUMN())),OFFSET($BN$2,0,0,ROW()-1,60),ROW()-1,FALSE))</f>
        <v>11.7487443</v>
      </c>
      <c r="L69">
        <f ca="1">IF(AND(ISNUMBER($L$742),$B$677=1),$L$742,HLOOKUP(INDIRECT(ADDRESS(2,COLUMN())),OFFSET($BN$2,0,0,ROW()-1,60),ROW()-1,FALSE))</f>
        <v>13.29906458</v>
      </c>
      <c r="M69">
        <f ca="1">IF(AND(ISNUMBER($M$742),$B$677=1),$M$742,HLOOKUP(INDIRECT(ADDRESS(2,COLUMN())),OFFSET($BN$2,0,0,ROW()-1,60),ROW()-1,FALSE))</f>
        <v>13.480526100000001</v>
      </c>
      <c r="N69">
        <f ca="1">IF(AND(ISNUMBER($N$742),$B$677=1),$N$742,HLOOKUP(INDIRECT(ADDRESS(2,COLUMN())),OFFSET($BN$2,0,0,ROW()-1,60),ROW()-1,FALSE))</f>
        <v>10.977110509999999</v>
      </c>
      <c r="O69">
        <f ca="1">IF(AND(ISNUMBER($O$742),$B$677=1),$O$742,HLOOKUP(INDIRECT(ADDRESS(2,COLUMN())),OFFSET($BN$2,0,0,ROW()-1,60),ROW()-1,FALSE))</f>
        <v>13.41254657</v>
      </c>
      <c r="P69">
        <f ca="1">IF(AND(ISNUMBER($P$742),$B$677=1),$P$742,HLOOKUP(INDIRECT(ADDRESS(2,COLUMN())),OFFSET($BN$2,0,0,ROW()-1,60),ROW()-1,FALSE))</f>
        <v>10.65207023</v>
      </c>
      <c r="Q69">
        <f ca="1">IF(AND(ISNUMBER($Q$742),$B$677=1),$Q$742,HLOOKUP(INDIRECT(ADDRESS(2,COLUMN())),OFFSET($BN$2,0,0,ROW()-1,60),ROW()-1,FALSE))</f>
        <v>8.5646457270000003</v>
      </c>
      <c r="R69" t="str">
        <f ca="1">IF(AND(ISNUMBER($R$742),$B$677=1),$R$742,HLOOKUP(INDIRECT(ADDRESS(2,COLUMN())),OFFSET($BN$2,0,0,ROW()-1,60),ROW()-1,FALSE))</f>
        <v/>
      </c>
      <c r="S69" t="str">
        <f ca="1">IF(AND(ISNUMBER($S$742),$B$677=1),$S$742,HLOOKUP(INDIRECT(ADDRESS(2,COLUMN())),OFFSET($BN$2,0,0,ROW()-1,60),ROW()-1,FALSE))</f>
        <v/>
      </c>
      <c r="T69" t="str">
        <f ca="1">IF(AND(ISNUMBER($T$742),$B$677=1),$T$742,HLOOKUP(INDIRECT(ADDRESS(2,COLUMN())),OFFSET($BN$2,0,0,ROW()-1,60),ROW()-1,FALSE))</f>
        <v/>
      </c>
      <c r="U69" t="str">
        <f ca="1">IF(AND(ISNUMBER($U$742),$B$677=1),$U$742,HLOOKUP(INDIRECT(ADDRESS(2,COLUMN())),OFFSET($BN$2,0,0,ROW()-1,60),ROW()-1,FALSE))</f>
        <v/>
      </c>
      <c r="V69" t="str">
        <f ca="1">IF(AND(ISNUMBER($V$742),$B$677=1),$V$742,HLOOKUP(INDIRECT(ADDRESS(2,COLUMN())),OFFSET($BN$2,0,0,ROW()-1,60),ROW()-1,FALSE))</f>
        <v/>
      </c>
      <c r="W69" t="str">
        <f ca="1">IF(AND(ISNUMBER($W$742),$B$677=1),$W$742,HLOOKUP(INDIRECT(ADDRESS(2,COLUMN())),OFFSET($BN$2,0,0,ROW()-1,60),ROW()-1,FALSE))</f>
        <v/>
      </c>
      <c r="X69" t="str">
        <f ca="1">IF(AND(ISNUMBER($X$742),$B$677=1),$X$742,HLOOKUP(INDIRECT(ADDRESS(2,COLUMN())),OFFSET($BN$2,0,0,ROW()-1,60),ROW()-1,FALSE))</f>
        <v/>
      </c>
      <c r="Y69" t="str">
        <f ca="1">IF(AND(ISNUMBER($Y$742),$B$677=1),$Y$742,HLOOKUP(INDIRECT(ADDRESS(2,COLUMN())),OFFSET($BN$2,0,0,ROW()-1,60),ROW()-1,FALSE))</f>
        <v/>
      </c>
      <c r="Z69" t="str">
        <f ca="1">IF(AND(ISNUMBER($Z$742),$B$677=1),$Z$742,HLOOKUP(INDIRECT(ADDRESS(2,COLUMN())),OFFSET($BN$2,0,0,ROW()-1,60),ROW()-1,FALSE))</f>
        <v/>
      </c>
      <c r="AA69" t="str">
        <f ca="1">IF(AND(ISNUMBER($AA$742),$B$677=1),$AA$742,HLOOKUP(INDIRECT(ADDRESS(2,COLUMN())),OFFSET($BN$2,0,0,ROW()-1,60),ROW()-1,FALSE))</f>
        <v/>
      </c>
      <c r="AB69" t="str">
        <f ca="1">IF(AND(ISNUMBER($AB$742),$B$677=1),$AB$742,HLOOKUP(INDIRECT(ADDRESS(2,COLUMN())),OFFSET($BN$2,0,0,ROW()-1,60),ROW()-1,FALSE))</f>
        <v/>
      </c>
      <c r="AC69" t="str">
        <f ca="1">IF(AND(ISNUMBER($AC$742),$B$677=1),$AC$742,HLOOKUP(INDIRECT(ADDRESS(2,COLUMN())),OFFSET($BN$2,0,0,ROW()-1,60),ROW()-1,FALSE))</f>
        <v/>
      </c>
      <c r="AD69" t="str">
        <f ca="1">IF(AND(ISNUMBER($AD$742),$B$677=1),$AD$742,HLOOKUP(INDIRECT(ADDRESS(2,COLUMN())),OFFSET($BN$2,0,0,ROW()-1,60),ROW()-1,FALSE))</f>
        <v/>
      </c>
      <c r="AE69" t="str">
        <f ca="1">IF(AND(ISNUMBER($AE$742),$B$677=1),$AE$742,HLOOKUP(INDIRECT(ADDRESS(2,COLUMN())),OFFSET($BN$2,0,0,ROW()-1,60),ROW()-1,FALSE))</f>
        <v/>
      </c>
      <c r="AF69" t="str">
        <f ca="1">IF(AND(ISNUMBER($AF$742),$B$677=1),$AF$742,HLOOKUP(INDIRECT(ADDRESS(2,COLUMN())),OFFSET($BN$2,0,0,ROW()-1,60),ROW()-1,FALSE))</f>
        <v/>
      </c>
      <c r="AG69" t="str">
        <f ca="1">IF(AND(ISNUMBER($AG$742),$B$677=1),$AG$742,HLOOKUP(INDIRECT(ADDRESS(2,COLUMN())),OFFSET($BN$2,0,0,ROW()-1,60),ROW()-1,FALSE))</f>
        <v/>
      </c>
      <c r="AH69" t="str">
        <f ca="1">IF(AND(ISNUMBER($AH$742),$B$677=1),$AH$742,HLOOKUP(INDIRECT(ADDRESS(2,COLUMN())),OFFSET($BN$2,0,0,ROW()-1,60),ROW()-1,FALSE))</f>
        <v/>
      </c>
      <c r="AI69" t="str">
        <f ca="1">IF(AND(ISNUMBER($AI$742),$B$677=1),$AI$742,HLOOKUP(INDIRECT(ADDRESS(2,COLUMN())),OFFSET($BN$2,0,0,ROW()-1,60),ROW()-1,FALSE))</f>
        <v/>
      </c>
      <c r="AJ69" t="str">
        <f ca="1">IF(AND(ISNUMBER($AJ$742),$B$677=1),$AJ$742,HLOOKUP(INDIRECT(ADDRESS(2,COLUMN())),OFFSET($BN$2,0,0,ROW()-1,60),ROW()-1,FALSE))</f>
        <v/>
      </c>
      <c r="AK69" t="str">
        <f ca="1">IF(AND(ISNUMBER($AK$742),$B$677=1),$AK$742,HLOOKUP(INDIRECT(ADDRESS(2,COLUMN())),OFFSET($BN$2,0,0,ROW()-1,60),ROW()-1,FALSE))</f>
        <v/>
      </c>
      <c r="AL69" t="str">
        <f ca="1">IF(AND(ISNUMBER($AL$742),$B$677=1),$AL$742,HLOOKUP(INDIRECT(ADDRESS(2,COLUMN())),OFFSET($BN$2,0,0,ROW()-1,60),ROW()-1,FALSE))</f>
        <v/>
      </c>
      <c r="AM69" t="str">
        <f ca="1">IF(AND(ISNUMBER($AM$742),$B$677=1),$AM$742,HLOOKUP(INDIRECT(ADDRESS(2,COLUMN())),OFFSET($BN$2,0,0,ROW()-1,60),ROW()-1,FALSE))</f>
        <v/>
      </c>
      <c r="AN69" t="str">
        <f ca="1">IF(AND(ISNUMBER($AN$742),$B$677=1),$AN$742,HLOOKUP(INDIRECT(ADDRESS(2,COLUMN())),OFFSET($BN$2,0,0,ROW()-1,60),ROW()-1,FALSE))</f>
        <v/>
      </c>
      <c r="AO69" t="str">
        <f ca="1">IF(AND(ISNUMBER($AO$742),$B$677=1),$AO$742,HLOOKUP(INDIRECT(ADDRESS(2,COLUMN())),OFFSET($BN$2,0,0,ROW()-1,60),ROW()-1,FALSE))</f>
        <v/>
      </c>
      <c r="AP69" t="str">
        <f ca="1">IF(AND(ISNUMBER($AP$742),$B$677=1),$AP$742,HLOOKUP(INDIRECT(ADDRESS(2,COLUMN())),OFFSET($BN$2,0,0,ROW()-1,60),ROW()-1,FALSE))</f>
        <v/>
      </c>
      <c r="AQ69" t="str">
        <f ca="1">IF(AND(ISNUMBER($AQ$742),$B$677=1),$AQ$742,HLOOKUP(INDIRECT(ADDRESS(2,COLUMN())),OFFSET($BN$2,0,0,ROW()-1,60),ROW()-1,FALSE))</f>
        <v/>
      </c>
      <c r="AR69" t="str">
        <f ca="1">IF(AND(ISNUMBER($AR$742),$B$677=1),$AR$742,HLOOKUP(INDIRECT(ADDRESS(2,COLUMN())),OFFSET($BN$2,0,0,ROW()-1,60),ROW()-1,FALSE))</f>
        <v/>
      </c>
      <c r="AS69" t="str">
        <f ca="1">IF(AND(ISNUMBER($AS$742),$B$677=1),$AS$742,HLOOKUP(INDIRECT(ADDRESS(2,COLUMN())),OFFSET($BN$2,0,0,ROW()-1,60),ROW()-1,FALSE))</f>
        <v/>
      </c>
      <c r="AT69" t="str">
        <f ca="1">IF(AND(ISNUMBER($AT$742),$B$677=1),$AT$742,HLOOKUP(INDIRECT(ADDRESS(2,COLUMN())),OFFSET($BN$2,0,0,ROW()-1,60),ROW()-1,FALSE))</f>
        <v/>
      </c>
      <c r="AU69" t="str">
        <f ca="1">IF(AND(ISNUMBER($AU$742),$B$677=1),$AU$742,HLOOKUP(INDIRECT(ADDRESS(2,COLUMN())),OFFSET($BN$2,0,0,ROW()-1,60),ROW()-1,FALSE))</f>
        <v/>
      </c>
      <c r="AV69" t="str">
        <f ca="1">IF(AND(ISNUMBER($AV$742),$B$677=1),$AV$742,HLOOKUP(INDIRECT(ADDRESS(2,COLUMN())),OFFSET($BN$2,0,0,ROW()-1,60),ROW()-1,FALSE))</f>
        <v/>
      </c>
      <c r="AW69" t="str">
        <f ca="1">IF(AND(ISNUMBER($AW$742),$B$677=1),$AW$742,HLOOKUP(INDIRECT(ADDRESS(2,COLUMN())),OFFSET($BN$2,0,0,ROW()-1,60),ROW()-1,FALSE))</f>
        <v/>
      </c>
      <c r="AX69" t="str">
        <f ca="1">IF(AND(ISNUMBER($AX$742),$B$677=1),$AX$742,HLOOKUP(INDIRECT(ADDRESS(2,COLUMN())),OFFSET($BN$2,0,0,ROW()-1,60),ROW()-1,FALSE))</f>
        <v/>
      </c>
      <c r="AY69" t="str">
        <f ca="1">IF(AND(ISNUMBER($AY$742),$B$677=1),$AY$742,HLOOKUP(INDIRECT(ADDRESS(2,COLUMN())),OFFSET($BN$2,0,0,ROW()-1,60),ROW()-1,FALSE))</f>
        <v/>
      </c>
      <c r="AZ69" t="str">
        <f ca="1">IF(AND(ISNUMBER($AZ$742),$B$677=1),$AZ$742,HLOOKUP(INDIRECT(ADDRESS(2,COLUMN())),OFFSET($BN$2,0,0,ROW()-1,60),ROW()-1,FALSE))</f>
        <v/>
      </c>
      <c r="BA69" t="str">
        <f ca="1">IF(AND(ISNUMBER($BA$742),$B$677=1),$BA$742,HLOOKUP(INDIRECT(ADDRESS(2,COLUMN())),OFFSET($BN$2,0,0,ROW()-1,60),ROW()-1,FALSE))</f>
        <v/>
      </c>
      <c r="BB69" t="str">
        <f ca="1">IF(AND(ISNUMBER($BB$742),$B$677=1),$BB$742,HLOOKUP(INDIRECT(ADDRESS(2,COLUMN())),OFFSET($BN$2,0,0,ROW()-1,60),ROW()-1,FALSE))</f>
        <v/>
      </c>
      <c r="BC69" t="str">
        <f ca="1">IF(AND(ISNUMBER($BC$742),$B$677=1),$BC$742,HLOOKUP(INDIRECT(ADDRESS(2,COLUMN())),OFFSET($BN$2,0,0,ROW()-1,60),ROW()-1,FALSE))</f>
        <v/>
      </c>
      <c r="BD69" t="str">
        <f ca="1">IF(AND(ISNUMBER($BD$742),$B$677=1),$BD$742,HLOOKUP(INDIRECT(ADDRESS(2,COLUMN())),OFFSET($BN$2,0,0,ROW()-1,60),ROW()-1,FALSE))</f>
        <v/>
      </c>
      <c r="BE69" t="str">
        <f ca="1">IF(AND(ISNUMBER($BE$742),$B$677=1),$BE$742,HLOOKUP(INDIRECT(ADDRESS(2,COLUMN())),OFFSET($BN$2,0,0,ROW()-1,60),ROW()-1,FALSE))</f>
        <v/>
      </c>
      <c r="BF69" t="str">
        <f ca="1">IF(AND(ISNUMBER($BF$742),$B$677=1),$BF$742,HLOOKUP(INDIRECT(ADDRESS(2,COLUMN())),OFFSET($BN$2,0,0,ROW()-1,60),ROW()-1,FALSE))</f>
        <v/>
      </c>
      <c r="BG69" t="str">
        <f ca="1">IF(AND(ISNUMBER($BG$742),$B$677=1),$BG$742,HLOOKUP(INDIRECT(ADDRESS(2,COLUMN())),OFFSET($BN$2,0,0,ROW()-1,60),ROW()-1,FALSE))</f>
        <v/>
      </c>
      <c r="BH69" t="str">
        <f ca="1">IF(AND(ISNUMBER($BH$742),$B$677=1),$BH$742,HLOOKUP(INDIRECT(ADDRESS(2,COLUMN())),OFFSET($BN$2,0,0,ROW()-1,60),ROW()-1,FALSE))</f>
        <v/>
      </c>
      <c r="BI69" t="str">
        <f ca="1">IF(AND(ISNUMBER($BI$742),$B$677=1),$BI$742,HLOOKUP(INDIRECT(ADDRESS(2,COLUMN())),OFFSET($BN$2,0,0,ROW()-1,60),ROW()-1,FALSE))</f>
        <v/>
      </c>
      <c r="BJ69" t="str">
        <f ca="1">IF(AND(ISNUMBER($BJ$742),$B$677=1),$BJ$742,HLOOKUP(INDIRECT(ADDRESS(2,COLUMN())),OFFSET($BN$2,0,0,ROW()-1,60),ROW()-1,FALSE))</f>
        <v/>
      </c>
      <c r="BK69" t="str">
        <f ca="1">IF(AND(ISNUMBER($BK$742),$B$677=1),$BK$742,HLOOKUP(INDIRECT(ADDRESS(2,COLUMN())),OFFSET($BN$2,0,0,ROW()-1,60),ROW()-1,FALSE))</f>
        <v/>
      </c>
      <c r="BL69" t="str">
        <f ca="1">IF(AND(ISNUMBER($BL$742),$B$677=1),$BL$742,HLOOKUP(INDIRECT(ADDRESS(2,COLUMN())),OFFSET($BN$2,0,0,ROW()-1,60),ROW()-1,FALSE))</f>
        <v/>
      </c>
      <c r="BM69" t="str">
        <f ca="1">IF(AND(ISNUMBER($BM$742),$B$677=1),$BM$742,HLOOKUP(INDIRECT(ADDRESS(2,COLUMN())),OFFSET($BN$2,0,0,ROW()-1,60),ROW()-1,FALSE))</f>
        <v/>
      </c>
      <c r="BN69">
        <f>8.421478138</f>
        <v>8.4214781379999994</v>
      </c>
      <c r="BO69">
        <f>7.901610511</f>
        <v>7.9016105110000003</v>
      </c>
      <c r="BP69">
        <f>10.32852967</f>
        <v>10.32852967</v>
      </c>
      <c r="BQ69">
        <f>11.64462145</f>
        <v>11.644621450000001</v>
      </c>
      <c r="BR69">
        <f>11.23628686</f>
        <v>11.23628686</v>
      </c>
      <c r="BS69">
        <f>11.7487443</f>
        <v>11.7487443</v>
      </c>
      <c r="BT69">
        <f>13.29906458</f>
        <v>13.29906458</v>
      </c>
      <c r="BU69">
        <f>13.4805261</f>
        <v>13.480526100000001</v>
      </c>
      <c r="BV69">
        <f>10.97711051</f>
        <v>10.977110509999999</v>
      </c>
      <c r="BW69">
        <f>13.41254657</f>
        <v>13.41254657</v>
      </c>
      <c r="BX69">
        <f>10.65207023</f>
        <v>10.65207023</v>
      </c>
      <c r="BY69">
        <f>8.564645727</f>
        <v>8.5646457270000003</v>
      </c>
      <c r="BZ69" t="str">
        <f>""</f>
        <v/>
      </c>
      <c r="CA69" t="str">
        <f>""</f>
        <v/>
      </c>
      <c r="CB69" t="str">
        <f>""</f>
        <v/>
      </c>
      <c r="CC69" t="str">
        <f>""</f>
        <v/>
      </c>
      <c r="CD69" t="str">
        <f>""</f>
        <v/>
      </c>
      <c r="CE69" t="str">
        <f>""</f>
        <v/>
      </c>
      <c r="CF69" t="str">
        <f>""</f>
        <v/>
      </c>
      <c r="CG69" t="str">
        <f>""</f>
        <v/>
      </c>
      <c r="CH69" t="str">
        <f>""</f>
        <v/>
      </c>
      <c r="CI69" t="str">
        <f>""</f>
        <v/>
      </c>
      <c r="CJ69" t="str">
        <f>""</f>
        <v/>
      </c>
      <c r="CK69" t="str">
        <f>""</f>
        <v/>
      </c>
      <c r="CL69" t="str">
        <f>""</f>
        <v/>
      </c>
      <c r="CM69" t="str">
        <f>""</f>
        <v/>
      </c>
      <c r="CN69" t="str">
        <f>""</f>
        <v/>
      </c>
      <c r="CO69" t="str">
        <f>""</f>
        <v/>
      </c>
      <c r="CP69" t="str">
        <f>""</f>
        <v/>
      </c>
      <c r="CQ69" t="str">
        <f>""</f>
        <v/>
      </c>
      <c r="CR69" t="str">
        <f>""</f>
        <v/>
      </c>
      <c r="CS69" t="str">
        <f>""</f>
        <v/>
      </c>
      <c r="CT69" t="str">
        <f>""</f>
        <v/>
      </c>
      <c r="CU69" t="str">
        <f>""</f>
        <v/>
      </c>
      <c r="CV69" t="str">
        <f>""</f>
        <v/>
      </c>
      <c r="CW69" t="str">
        <f>""</f>
        <v/>
      </c>
      <c r="CX69" t="str">
        <f>""</f>
        <v/>
      </c>
      <c r="CY69" t="str">
        <f>""</f>
        <v/>
      </c>
      <c r="CZ69" t="str">
        <f>""</f>
        <v/>
      </c>
      <c r="DA69" t="str">
        <f>""</f>
        <v/>
      </c>
      <c r="DB69" t="str">
        <f>""</f>
        <v/>
      </c>
      <c r="DC69" t="str">
        <f>""</f>
        <v/>
      </c>
      <c r="DD69" t="str">
        <f>""</f>
        <v/>
      </c>
      <c r="DE69" t="str">
        <f>""</f>
        <v/>
      </c>
      <c r="DF69" t="str">
        <f>""</f>
        <v/>
      </c>
      <c r="DG69" t="str">
        <f>""</f>
        <v/>
      </c>
      <c r="DH69" t="str">
        <f>""</f>
        <v/>
      </c>
      <c r="DI69" t="str">
        <f>""</f>
        <v/>
      </c>
      <c r="DJ69" t="str">
        <f>""</f>
        <v/>
      </c>
      <c r="DK69" t="str">
        <f>""</f>
        <v/>
      </c>
      <c r="DL69" t="str">
        <f>""</f>
        <v/>
      </c>
      <c r="DM69" t="str">
        <f>""</f>
        <v/>
      </c>
      <c r="DN69" t="str">
        <f>""</f>
        <v/>
      </c>
      <c r="DO69" t="str">
        <f>""</f>
        <v/>
      </c>
      <c r="DP69" t="str">
        <f>""</f>
        <v/>
      </c>
      <c r="DQ69" t="str">
        <f>""</f>
        <v/>
      </c>
      <c r="DR69" t="str">
        <f>""</f>
        <v/>
      </c>
      <c r="DS69" t="str">
        <f>""</f>
        <v/>
      </c>
      <c r="DT69" t="str">
        <f>""</f>
        <v/>
      </c>
      <c r="DU69" t="str">
        <f>""</f>
        <v/>
      </c>
    </row>
    <row r="70" spans="1:125" x14ac:dyDescent="0.25">
      <c r="A70" t="str">
        <f>"    Nissan Motor Co Ltd"</f>
        <v xml:space="preserve">    Nissan Motor Co Ltd</v>
      </c>
      <c r="B70" t="str">
        <f>"7201 JP Equity"</f>
        <v>7201 JP Equity</v>
      </c>
      <c r="C70" t="str">
        <f t="shared" si="3"/>
        <v>EZ009</v>
      </c>
      <c r="D70" t="str">
        <f t="shared" si="4"/>
        <v>BEST_EST_PE_CUR_YR</v>
      </c>
      <c r="E70" t="str">
        <f t="shared" si="5"/>
        <v>Dynamic</v>
      </c>
      <c r="F70">
        <f ca="1">IF(AND(ISNUMBER($F$743),$B$677=1),$F$743,HLOOKUP(INDIRECT(ADDRESS(2,COLUMN())),OFFSET($BN$2,0,0,ROW()-1,60),ROW()-1,FALSE))</f>
        <v>7.7589125909999996</v>
      </c>
      <c r="G70">
        <f ca="1">IF(AND(ISNUMBER($G$743),$B$677=1),$G$743,HLOOKUP(INDIRECT(ADDRESS(2,COLUMN())),OFFSET($BN$2,0,0,ROW()-1,60),ROW()-1,FALSE))</f>
        <v>6.5712664790000002</v>
      </c>
      <c r="H70">
        <f ca="1">IF(AND(ISNUMBER($H$743),$B$677=1),$H$743,HLOOKUP(INDIRECT(ADDRESS(2,COLUMN())),OFFSET($BN$2,0,0,ROW()-1,60),ROW()-1,FALSE))</f>
        <v>7.7488597119999998</v>
      </c>
      <c r="I70">
        <f ca="1">IF(AND(ISNUMBER($I$743),$B$677=1),$I$743,HLOOKUP(INDIRECT(ADDRESS(2,COLUMN())),OFFSET($BN$2,0,0,ROW()-1,60),ROW()-1,FALSE))</f>
        <v>7.6476138450000004</v>
      </c>
      <c r="J70">
        <f ca="1">IF(AND(ISNUMBER($J$743),$B$677=1),$J$743,HLOOKUP(INDIRECT(ADDRESS(2,COLUMN())),OFFSET($BN$2,0,0,ROW()-1,60),ROW()-1,FALSE))</f>
        <v>7.4376490559999997</v>
      </c>
      <c r="K70">
        <f ca="1">IF(AND(ISNUMBER($K$743),$B$677=1),$K$743,HLOOKUP(INDIRECT(ADDRESS(2,COLUMN())),OFFSET($BN$2,0,0,ROW()-1,60),ROW()-1,FALSE))</f>
        <v>7.0934747610000004</v>
      </c>
      <c r="L70">
        <f ca="1">IF(AND(ISNUMBER($L$743),$B$677=1),$L$743,HLOOKUP(INDIRECT(ADDRESS(2,COLUMN())),OFFSET($BN$2,0,0,ROW()-1,60),ROW()-1,FALSE))</f>
        <v>6.9765694930000004</v>
      </c>
      <c r="M70">
        <f ca="1">IF(AND(ISNUMBER($M$743),$B$677=1),$M$743,HLOOKUP(INDIRECT(ADDRESS(2,COLUMN())),OFFSET($BN$2,0,0,ROW()-1,60),ROW()-1,FALSE))</f>
        <v>6.9485879080000004</v>
      </c>
      <c r="N70">
        <f ca="1">IF(AND(ISNUMBER($N$743),$B$677=1),$N$743,HLOOKUP(INDIRECT(ADDRESS(2,COLUMN())),OFFSET($BN$2,0,0,ROW()-1,60),ROW()-1,FALSE))</f>
        <v>6.1817260459999996</v>
      </c>
      <c r="O70">
        <f ca="1">IF(AND(ISNUMBER($O$743),$B$677=1),$O$743,HLOOKUP(INDIRECT(ADDRESS(2,COLUMN())),OFFSET($BN$2,0,0,ROW()-1,60),ROW()-1,FALSE))</f>
        <v>6.8817544230000003</v>
      </c>
      <c r="P70">
        <f ca="1">IF(AND(ISNUMBER($P$743),$B$677=1),$P$743,HLOOKUP(INDIRECT(ADDRESS(2,COLUMN())),OFFSET($BN$2,0,0,ROW()-1,60),ROW()-1,FALSE))</f>
        <v>6.209363014</v>
      </c>
      <c r="Q70">
        <f ca="1">IF(AND(ISNUMBER($Q$743),$B$677=1),$Q$743,HLOOKUP(INDIRECT(ADDRESS(2,COLUMN())),OFFSET($BN$2,0,0,ROW()-1,60),ROW()-1,FALSE))</f>
        <v>5.343680322</v>
      </c>
      <c r="R70">
        <f ca="1">IF(AND(ISNUMBER($R$743),$B$677=1),$R$743,HLOOKUP(INDIRECT(ADDRESS(2,COLUMN())),OFFSET($BN$2,0,0,ROW()-1,60),ROW()-1,FALSE))</f>
        <v>5.6683356920000003</v>
      </c>
      <c r="S70">
        <f ca="1">IF(AND(ISNUMBER($S$743),$B$677=1),$S$743,HLOOKUP(INDIRECT(ADDRESS(2,COLUMN())),OFFSET($BN$2,0,0,ROW()-1,60),ROW()-1,FALSE))</f>
        <v>6.6219853019999997</v>
      </c>
      <c r="T70">
        <f ca="1">IF(AND(ISNUMBER($T$743),$B$677=1),$T$743,HLOOKUP(INDIRECT(ADDRESS(2,COLUMN())),OFFSET($BN$2,0,0,ROW()-1,60),ROW()-1,FALSE))</f>
        <v>5.7341433119999996</v>
      </c>
      <c r="U70">
        <f ca="1">IF(AND(ISNUMBER($U$743),$B$677=1),$U$743,HLOOKUP(INDIRECT(ADDRESS(2,COLUMN())),OFFSET($BN$2,0,0,ROW()-1,60),ROW()-1,FALSE))</f>
        <v>6.6792393529999998</v>
      </c>
      <c r="V70">
        <f ca="1">IF(AND(ISNUMBER($V$743),$B$677=1),$V$743,HLOOKUP(INDIRECT(ADDRESS(2,COLUMN())),OFFSET($BN$2,0,0,ROW()-1,60),ROW()-1,FALSE))</f>
        <v>7.3293413169999999</v>
      </c>
      <c r="W70">
        <f ca="1">IF(AND(ISNUMBER($W$743),$B$677=1),$W$743,HLOOKUP(INDIRECT(ADDRESS(2,COLUMN())),OFFSET($BN$2,0,0,ROW()-1,60),ROW()-1,FALSE))</f>
        <v>6.1098265899999999</v>
      </c>
      <c r="X70">
        <f ca="1">IF(AND(ISNUMBER($X$743),$B$677=1),$X$743,HLOOKUP(INDIRECT(ADDRESS(2,COLUMN())),OFFSET($BN$2,0,0,ROW()-1,60),ROW()-1,FALSE))</f>
        <v>6.5222696769999997</v>
      </c>
      <c r="Y70">
        <f ca="1">IF(AND(ISNUMBER($Y$743),$B$677=1),$Y$743,HLOOKUP(INDIRECT(ADDRESS(2,COLUMN())),OFFSET($BN$2,0,0,ROW()-1,60),ROW()-1,FALSE))</f>
        <v>5.9065765209999999</v>
      </c>
      <c r="Z70" t="str">
        <f ca="1">IF(AND(ISNUMBER($Z$743),$B$677=1),$Z$743,HLOOKUP(INDIRECT(ADDRESS(2,COLUMN())),OFFSET($BN$2,0,0,ROW()-1,60),ROW()-1,FALSE))</f>
        <v/>
      </c>
      <c r="AA70" t="str">
        <f ca="1">IF(AND(ISNUMBER($AA$743),$B$677=1),$AA$743,HLOOKUP(INDIRECT(ADDRESS(2,COLUMN())),OFFSET($BN$2,0,0,ROW()-1,60),ROW()-1,FALSE))</f>
        <v/>
      </c>
      <c r="AB70" t="str">
        <f ca="1">IF(AND(ISNUMBER($AB$743),$B$677=1),$AB$743,HLOOKUP(INDIRECT(ADDRESS(2,COLUMN())),OFFSET($BN$2,0,0,ROW()-1,60),ROW()-1,FALSE))</f>
        <v/>
      </c>
      <c r="AC70" t="str">
        <f ca="1">IF(AND(ISNUMBER($AC$743),$B$677=1),$AC$743,HLOOKUP(INDIRECT(ADDRESS(2,COLUMN())),OFFSET($BN$2,0,0,ROW()-1,60),ROW()-1,FALSE))</f>
        <v/>
      </c>
      <c r="AD70" t="str">
        <f ca="1">IF(AND(ISNUMBER($AD$743),$B$677=1),$AD$743,HLOOKUP(INDIRECT(ADDRESS(2,COLUMN())),OFFSET($BN$2,0,0,ROW()-1,60),ROW()-1,FALSE))</f>
        <v/>
      </c>
      <c r="AE70" t="str">
        <f ca="1">IF(AND(ISNUMBER($AE$743),$B$677=1),$AE$743,HLOOKUP(INDIRECT(ADDRESS(2,COLUMN())),OFFSET($BN$2,0,0,ROW()-1,60),ROW()-1,FALSE))</f>
        <v/>
      </c>
      <c r="AF70" t="str">
        <f ca="1">IF(AND(ISNUMBER($AF$743),$B$677=1),$AF$743,HLOOKUP(INDIRECT(ADDRESS(2,COLUMN())),OFFSET($BN$2,0,0,ROW()-1,60),ROW()-1,FALSE))</f>
        <v/>
      </c>
      <c r="AG70" t="str">
        <f ca="1">IF(AND(ISNUMBER($AG$743),$B$677=1),$AG$743,HLOOKUP(INDIRECT(ADDRESS(2,COLUMN())),OFFSET($BN$2,0,0,ROW()-1,60),ROW()-1,FALSE))</f>
        <v/>
      </c>
      <c r="AH70" t="str">
        <f ca="1">IF(AND(ISNUMBER($AH$743),$B$677=1),$AH$743,HLOOKUP(INDIRECT(ADDRESS(2,COLUMN())),OFFSET($BN$2,0,0,ROW()-1,60),ROW()-1,FALSE))</f>
        <v/>
      </c>
      <c r="AI70" t="str">
        <f ca="1">IF(AND(ISNUMBER($AI$743),$B$677=1),$AI$743,HLOOKUP(INDIRECT(ADDRESS(2,COLUMN())),OFFSET($BN$2,0,0,ROW()-1,60),ROW()-1,FALSE))</f>
        <v/>
      </c>
      <c r="AJ70" t="str">
        <f ca="1">IF(AND(ISNUMBER($AJ$743),$B$677=1),$AJ$743,HLOOKUP(INDIRECT(ADDRESS(2,COLUMN())),OFFSET($BN$2,0,0,ROW()-1,60),ROW()-1,FALSE))</f>
        <v/>
      </c>
      <c r="AK70" t="str">
        <f ca="1">IF(AND(ISNUMBER($AK$743),$B$677=1),$AK$743,HLOOKUP(INDIRECT(ADDRESS(2,COLUMN())),OFFSET($BN$2,0,0,ROW()-1,60),ROW()-1,FALSE))</f>
        <v/>
      </c>
      <c r="AL70" t="str">
        <f ca="1">IF(AND(ISNUMBER($AL$743),$B$677=1),$AL$743,HLOOKUP(INDIRECT(ADDRESS(2,COLUMN())),OFFSET($BN$2,0,0,ROW()-1,60),ROW()-1,FALSE))</f>
        <v/>
      </c>
      <c r="AM70" t="str">
        <f ca="1">IF(AND(ISNUMBER($AM$743),$B$677=1),$AM$743,HLOOKUP(INDIRECT(ADDRESS(2,COLUMN())),OFFSET($BN$2,0,0,ROW()-1,60),ROW()-1,FALSE))</f>
        <v/>
      </c>
      <c r="AN70" t="str">
        <f ca="1">IF(AND(ISNUMBER($AN$743),$B$677=1),$AN$743,HLOOKUP(INDIRECT(ADDRESS(2,COLUMN())),OFFSET($BN$2,0,0,ROW()-1,60),ROW()-1,FALSE))</f>
        <v/>
      </c>
      <c r="AO70" t="str">
        <f ca="1">IF(AND(ISNUMBER($AO$743),$B$677=1),$AO$743,HLOOKUP(INDIRECT(ADDRESS(2,COLUMN())),OFFSET($BN$2,0,0,ROW()-1,60),ROW()-1,FALSE))</f>
        <v/>
      </c>
      <c r="AP70" t="str">
        <f ca="1">IF(AND(ISNUMBER($AP$743),$B$677=1),$AP$743,HLOOKUP(INDIRECT(ADDRESS(2,COLUMN())),OFFSET($BN$2,0,0,ROW()-1,60),ROW()-1,FALSE))</f>
        <v/>
      </c>
      <c r="AQ70" t="str">
        <f ca="1">IF(AND(ISNUMBER($AQ$743),$B$677=1),$AQ$743,HLOOKUP(INDIRECT(ADDRESS(2,COLUMN())),OFFSET($BN$2,0,0,ROW()-1,60),ROW()-1,FALSE))</f>
        <v/>
      </c>
      <c r="AR70" t="str">
        <f ca="1">IF(AND(ISNUMBER($AR$743),$B$677=1),$AR$743,HLOOKUP(INDIRECT(ADDRESS(2,COLUMN())),OFFSET($BN$2,0,0,ROW()-1,60),ROW()-1,FALSE))</f>
        <v/>
      </c>
      <c r="AS70" t="str">
        <f ca="1">IF(AND(ISNUMBER($AS$743),$B$677=1),$AS$743,HLOOKUP(INDIRECT(ADDRESS(2,COLUMN())),OFFSET($BN$2,0,0,ROW()-1,60),ROW()-1,FALSE))</f>
        <v/>
      </c>
      <c r="AT70" t="str">
        <f ca="1">IF(AND(ISNUMBER($AT$743),$B$677=1),$AT$743,HLOOKUP(INDIRECT(ADDRESS(2,COLUMN())),OFFSET($BN$2,0,0,ROW()-1,60),ROW()-1,FALSE))</f>
        <v/>
      </c>
      <c r="AU70" t="str">
        <f ca="1">IF(AND(ISNUMBER($AU$743),$B$677=1),$AU$743,HLOOKUP(INDIRECT(ADDRESS(2,COLUMN())),OFFSET($BN$2,0,0,ROW()-1,60),ROW()-1,FALSE))</f>
        <v/>
      </c>
      <c r="AV70" t="str">
        <f ca="1">IF(AND(ISNUMBER($AV$743),$B$677=1),$AV$743,HLOOKUP(INDIRECT(ADDRESS(2,COLUMN())),OFFSET($BN$2,0,0,ROW()-1,60),ROW()-1,FALSE))</f>
        <v/>
      </c>
      <c r="AW70" t="str">
        <f ca="1">IF(AND(ISNUMBER($AW$743),$B$677=1),$AW$743,HLOOKUP(INDIRECT(ADDRESS(2,COLUMN())),OFFSET($BN$2,0,0,ROW()-1,60),ROW()-1,FALSE))</f>
        <v/>
      </c>
      <c r="AX70" t="str">
        <f ca="1">IF(AND(ISNUMBER($AX$743),$B$677=1),$AX$743,HLOOKUP(INDIRECT(ADDRESS(2,COLUMN())),OFFSET($BN$2,0,0,ROW()-1,60),ROW()-1,FALSE))</f>
        <v/>
      </c>
      <c r="AY70" t="str">
        <f ca="1">IF(AND(ISNUMBER($AY$743),$B$677=1),$AY$743,HLOOKUP(INDIRECT(ADDRESS(2,COLUMN())),OFFSET($BN$2,0,0,ROW()-1,60),ROW()-1,FALSE))</f>
        <v/>
      </c>
      <c r="AZ70" t="str">
        <f ca="1">IF(AND(ISNUMBER($AZ$743),$B$677=1),$AZ$743,HLOOKUP(INDIRECT(ADDRESS(2,COLUMN())),OFFSET($BN$2,0,0,ROW()-1,60),ROW()-1,FALSE))</f>
        <v/>
      </c>
      <c r="BA70" t="str">
        <f ca="1">IF(AND(ISNUMBER($BA$743),$B$677=1),$BA$743,HLOOKUP(INDIRECT(ADDRESS(2,COLUMN())),OFFSET($BN$2,0,0,ROW()-1,60),ROW()-1,FALSE))</f>
        <v/>
      </c>
      <c r="BB70" t="str">
        <f ca="1">IF(AND(ISNUMBER($BB$743),$B$677=1),$BB$743,HLOOKUP(INDIRECT(ADDRESS(2,COLUMN())),OFFSET($BN$2,0,0,ROW()-1,60),ROW()-1,FALSE))</f>
        <v/>
      </c>
      <c r="BC70" t="str">
        <f ca="1">IF(AND(ISNUMBER($BC$743),$B$677=1),$BC$743,HLOOKUP(INDIRECT(ADDRESS(2,COLUMN())),OFFSET($BN$2,0,0,ROW()-1,60),ROW()-1,FALSE))</f>
        <v/>
      </c>
      <c r="BD70" t="str">
        <f ca="1">IF(AND(ISNUMBER($BD$743),$B$677=1),$BD$743,HLOOKUP(INDIRECT(ADDRESS(2,COLUMN())),OFFSET($BN$2,0,0,ROW()-1,60),ROW()-1,FALSE))</f>
        <v/>
      </c>
      <c r="BE70" t="str">
        <f ca="1">IF(AND(ISNUMBER($BE$743),$B$677=1),$BE$743,HLOOKUP(INDIRECT(ADDRESS(2,COLUMN())),OFFSET($BN$2,0,0,ROW()-1,60),ROW()-1,FALSE))</f>
        <v/>
      </c>
      <c r="BF70" t="str">
        <f ca="1">IF(AND(ISNUMBER($BF$743),$B$677=1),$BF$743,HLOOKUP(INDIRECT(ADDRESS(2,COLUMN())),OFFSET($BN$2,0,0,ROW()-1,60),ROW()-1,FALSE))</f>
        <v/>
      </c>
      <c r="BG70" t="str">
        <f ca="1">IF(AND(ISNUMBER($BG$743),$B$677=1),$BG$743,HLOOKUP(INDIRECT(ADDRESS(2,COLUMN())),OFFSET($BN$2,0,0,ROW()-1,60),ROW()-1,FALSE))</f>
        <v/>
      </c>
      <c r="BH70" t="str">
        <f ca="1">IF(AND(ISNUMBER($BH$743),$B$677=1),$BH$743,HLOOKUP(INDIRECT(ADDRESS(2,COLUMN())),OFFSET($BN$2,0,0,ROW()-1,60),ROW()-1,FALSE))</f>
        <v/>
      </c>
      <c r="BI70" t="str">
        <f ca="1">IF(AND(ISNUMBER($BI$743),$B$677=1),$BI$743,HLOOKUP(INDIRECT(ADDRESS(2,COLUMN())),OFFSET($BN$2,0,0,ROW()-1,60),ROW()-1,FALSE))</f>
        <v/>
      </c>
      <c r="BJ70" t="str">
        <f ca="1">IF(AND(ISNUMBER($BJ$743),$B$677=1),$BJ$743,HLOOKUP(INDIRECT(ADDRESS(2,COLUMN())),OFFSET($BN$2,0,0,ROW()-1,60),ROW()-1,FALSE))</f>
        <v/>
      </c>
      <c r="BK70" t="str">
        <f ca="1">IF(AND(ISNUMBER($BK$743),$B$677=1),$BK$743,HLOOKUP(INDIRECT(ADDRESS(2,COLUMN())),OFFSET($BN$2,0,0,ROW()-1,60),ROW()-1,FALSE))</f>
        <v/>
      </c>
      <c r="BL70" t="str">
        <f ca="1">IF(AND(ISNUMBER($BL$743),$B$677=1),$BL$743,HLOOKUP(INDIRECT(ADDRESS(2,COLUMN())),OFFSET($BN$2,0,0,ROW()-1,60),ROW()-1,FALSE))</f>
        <v/>
      </c>
      <c r="BM70" t="str">
        <f ca="1">IF(AND(ISNUMBER($BM$743),$B$677=1),$BM$743,HLOOKUP(INDIRECT(ADDRESS(2,COLUMN())),OFFSET($BN$2,0,0,ROW()-1,60),ROW()-1,FALSE))</f>
        <v/>
      </c>
      <c r="BN70">
        <f>7.758912591</f>
        <v>7.7589125909999996</v>
      </c>
      <c r="BO70">
        <f>6.571266479</f>
        <v>6.5712664790000002</v>
      </c>
      <c r="BP70">
        <f>7.748859712</f>
        <v>7.7488597119999998</v>
      </c>
      <c r="BQ70">
        <f>7.647613845</f>
        <v>7.6476138450000004</v>
      </c>
      <c r="BR70">
        <f>7.437649056</f>
        <v>7.4376490559999997</v>
      </c>
      <c r="BS70">
        <f>7.093474761</f>
        <v>7.0934747610000004</v>
      </c>
      <c r="BT70">
        <f>6.976569493</f>
        <v>6.9765694930000004</v>
      </c>
      <c r="BU70">
        <f>6.948587908</f>
        <v>6.9485879080000004</v>
      </c>
      <c r="BV70">
        <f>6.181726046</f>
        <v>6.1817260459999996</v>
      </c>
      <c r="BW70">
        <f>6.881754423</f>
        <v>6.8817544230000003</v>
      </c>
      <c r="BX70">
        <f>6.209363014</f>
        <v>6.209363014</v>
      </c>
      <c r="BY70">
        <f>5.343680322</f>
        <v>5.343680322</v>
      </c>
      <c r="BZ70">
        <f>5.668335692</f>
        <v>5.6683356920000003</v>
      </c>
      <c r="CA70">
        <f>6.621985302</f>
        <v>6.6219853019999997</v>
      </c>
      <c r="CB70">
        <f>5.734143312</f>
        <v>5.7341433119999996</v>
      </c>
      <c r="CC70">
        <f>6.679239353</f>
        <v>6.6792393529999998</v>
      </c>
      <c r="CD70">
        <f>7.329341317</f>
        <v>7.3293413169999999</v>
      </c>
      <c r="CE70">
        <f>6.10982659</f>
        <v>6.1098265899999999</v>
      </c>
      <c r="CF70">
        <f>6.522269677</f>
        <v>6.5222696769999997</v>
      </c>
      <c r="CG70">
        <f>5.906576521</f>
        <v>5.9065765209999999</v>
      </c>
      <c r="CH70" t="str">
        <f>""</f>
        <v/>
      </c>
      <c r="CI70" t="str">
        <f>""</f>
        <v/>
      </c>
      <c r="CJ70" t="str">
        <f>""</f>
        <v/>
      </c>
      <c r="CK70" t="str">
        <f>""</f>
        <v/>
      </c>
      <c r="CL70" t="str">
        <f>""</f>
        <v/>
      </c>
      <c r="CM70" t="str">
        <f>""</f>
        <v/>
      </c>
      <c r="CN70" t="str">
        <f>""</f>
        <v/>
      </c>
      <c r="CO70" t="str">
        <f>""</f>
        <v/>
      </c>
      <c r="CP70" t="str">
        <f>""</f>
        <v/>
      </c>
      <c r="CQ70" t="str">
        <f>""</f>
        <v/>
      </c>
      <c r="CR70" t="str">
        <f>""</f>
        <v/>
      </c>
      <c r="CS70" t="str">
        <f>""</f>
        <v/>
      </c>
      <c r="CT70" t="str">
        <f>""</f>
        <v/>
      </c>
      <c r="CU70" t="str">
        <f>""</f>
        <v/>
      </c>
      <c r="CV70" t="str">
        <f>""</f>
        <v/>
      </c>
      <c r="CW70" t="str">
        <f>""</f>
        <v/>
      </c>
      <c r="CX70" t="str">
        <f>""</f>
        <v/>
      </c>
      <c r="CY70" t="str">
        <f>""</f>
        <v/>
      </c>
      <c r="CZ70" t="str">
        <f>""</f>
        <v/>
      </c>
      <c r="DA70" t="str">
        <f>""</f>
        <v/>
      </c>
      <c r="DB70" t="str">
        <f>""</f>
        <v/>
      </c>
      <c r="DC70" t="str">
        <f>""</f>
        <v/>
      </c>
      <c r="DD70" t="str">
        <f>""</f>
        <v/>
      </c>
      <c r="DE70" t="str">
        <f>""</f>
        <v/>
      </c>
      <c r="DF70" t="str">
        <f>""</f>
        <v/>
      </c>
      <c r="DG70" t="str">
        <f>""</f>
        <v/>
      </c>
      <c r="DH70" t="str">
        <f>""</f>
        <v/>
      </c>
      <c r="DI70" t="str">
        <f>""</f>
        <v/>
      </c>
      <c r="DJ70" t="str">
        <f>""</f>
        <v/>
      </c>
      <c r="DK70" t="str">
        <f>""</f>
        <v/>
      </c>
      <c r="DL70" t="str">
        <f>""</f>
        <v/>
      </c>
      <c r="DM70" t="str">
        <f>""</f>
        <v/>
      </c>
      <c r="DN70" t="str">
        <f>""</f>
        <v/>
      </c>
      <c r="DO70" t="str">
        <f>""</f>
        <v/>
      </c>
      <c r="DP70" t="str">
        <f>""</f>
        <v/>
      </c>
      <c r="DQ70" t="str">
        <f>""</f>
        <v/>
      </c>
      <c r="DR70" t="str">
        <f>""</f>
        <v/>
      </c>
      <c r="DS70" t="str">
        <f>""</f>
        <v/>
      </c>
      <c r="DT70" t="str">
        <f>""</f>
        <v/>
      </c>
      <c r="DU70" t="str">
        <f>""</f>
        <v/>
      </c>
    </row>
    <row r="71" spans="1:125" x14ac:dyDescent="0.25">
      <c r="A71" t="str">
        <f>"    Peugeot SA"</f>
        <v xml:space="preserve">    Peugeot SA</v>
      </c>
      <c r="B71" t="str">
        <f>"UG FP Equity"</f>
        <v>UG FP Equity</v>
      </c>
      <c r="C71" t="str">
        <f t="shared" si="3"/>
        <v>EZ009</v>
      </c>
      <c r="D71" t="str">
        <f t="shared" si="4"/>
        <v>BEST_EST_PE_CUR_YR</v>
      </c>
      <c r="E71" t="str">
        <f t="shared" si="5"/>
        <v>Dynamic</v>
      </c>
      <c r="F71">
        <f ca="1">IF(AND(ISNUMBER($F$744),$B$677=1),$F$744,HLOOKUP(INDIRECT(ADDRESS(2,COLUMN())),OFFSET($BN$2,0,0,ROW()-1,60),ROW()-1,FALSE))</f>
        <v>6.0919226589999997</v>
      </c>
      <c r="G71">
        <f ca="1">IF(AND(ISNUMBER($G$744),$B$677=1),$G$744,HLOOKUP(INDIRECT(ADDRESS(2,COLUMN())),OFFSET($BN$2,0,0,ROW()-1,60),ROW()-1,FALSE))</f>
        <v>4.8240620959999996</v>
      </c>
      <c r="H71">
        <f ca="1">IF(AND(ISNUMBER($H$744),$B$677=1),$H$744,HLOOKUP(INDIRECT(ADDRESS(2,COLUMN())),OFFSET($BN$2,0,0,ROW()-1,60),ROW()-1,FALSE))</f>
        <v>5.8104052030000002</v>
      </c>
      <c r="I71">
        <f ca="1">IF(AND(ISNUMBER($I$744),$B$677=1),$I$744,HLOOKUP(INDIRECT(ADDRESS(2,COLUMN())),OFFSET($BN$2,0,0,ROW()-1,60),ROW()-1,FALSE))</f>
        <v>6.4405663479999999</v>
      </c>
      <c r="J71">
        <f ca="1">IF(AND(ISNUMBER($J$744),$B$677=1),$J$744,HLOOKUP(INDIRECT(ADDRESS(2,COLUMN())),OFFSET($BN$2,0,0,ROW()-1,60),ROW()-1,FALSE))</f>
        <v>6.9597721610000001</v>
      </c>
      <c r="K71">
        <f ca="1">IF(AND(ISNUMBER($K$744),$B$677=1),$K$744,HLOOKUP(INDIRECT(ADDRESS(2,COLUMN())),OFFSET($BN$2,0,0,ROW()-1,60),ROW()-1,FALSE))</f>
        <v>6.6256350140000002</v>
      </c>
      <c r="L71">
        <f ca="1">IF(AND(ISNUMBER($L$744),$B$677=1),$L$744,HLOOKUP(INDIRECT(ADDRESS(2,COLUMN())),OFFSET($BN$2,0,0,ROW()-1,60),ROW()-1,FALSE))</f>
        <v>7.3166303560000001</v>
      </c>
      <c r="M71">
        <f ca="1">IF(AND(ISNUMBER($M$744),$B$677=1),$M$744,HLOOKUP(INDIRECT(ADDRESS(2,COLUMN())),OFFSET($BN$2,0,0,ROW()-1,60),ROW()-1,FALSE))</f>
        <v>6.5831134560000004</v>
      </c>
      <c r="N71">
        <f ca="1">IF(AND(ISNUMBER($N$744),$B$677=1),$N$744,HLOOKUP(INDIRECT(ADDRESS(2,COLUMN())),OFFSET($BN$2,0,0,ROW()-1,60),ROW()-1,FALSE))</f>
        <v>7.2904596369999997</v>
      </c>
      <c r="O71">
        <f ca="1">IF(AND(ISNUMBER($O$744),$B$677=1),$O$744,HLOOKUP(INDIRECT(ADDRESS(2,COLUMN())),OFFSET($BN$2,0,0,ROW()-1,60),ROW()-1,FALSE))</f>
        <v>6.6217948719999997</v>
      </c>
      <c r="P71">
        <f ca="1">IF(AND(ISNUMBER($P$744),$B$677=1),$P$744,HLOOKUP(INDIRECT(ADDRESS(2,COLUMN())),OFFSET($BN$2,0,0,ROW()-1,60),ROW()-1,FALSE))</f>
        <v>6.1238738740000001</v>
      </c>
      <c r="Q71">
        <f ca="1">IF(AND(ISNUMBER($Q$744),$B$677=1),$Q$744,HLOOKUP(INDIRECT(ADDRESS(2,COLUMN())),OFFSET($BN$2,0,0,ROW()-1,60),ROW()-1,FALSE))</f>
        <v>4.5826271189999996</v>
      </c>
      <c r="R71" t="str">
        <f ca="1">IF(AND(ISNUMBER($R$744),$B$677=1),$R$744,HLOOKUP(INDIRECT(ADDRESS(2,COLUMN())),OFFSET($BN$2,0,0,ROW()-1,60),ROW()-1,FALSE))</f>
        <v/>
      </c>
      <c r="S71" t="str">
        <f ca="1">IF(AND(ISNUMBER($S$744),$B$677=1),$S$744,HLOOKUP(INDIRECT(ADDRESS(2,COLUMN())),OFFSET($BN$2,0,0,ROW()-1,60),ROW()-1,FALSE))</f>
        <v/>
      </c>
      <c r="T71">
        <f ca="1">IF(AND(ISNUMBER($T$744),$B$677=1),$T$744,HLOOKUP(INDIRECT(ADDRESS(2,COLUMN())),OFFSET($BN$2,0,0,ROW()-1,60),ROW()-1,FALSE))</f>
        <v>6.5627306269999997</v>
      </c>
      <c r="U71">
        <f ca="1">IF(AND(ISNUMBER($U$744),$B$677=1),$U$744,HLOOKUP(INDIRECT(ADDRESS(2,COLUMN())),OFFSET($BN$2,0,0,ROW()-1,60),ROW()-1,FALSE))</f>
        <v>6.8062730629999999</v>
      </c>
      <c r="V71">
        <f ca="1">IF(AND(ISNUMBER($V$744),$B$677=1),$V$744,HLOOKUP(INDIRECT(ADDRESS(2,COLUMN())),OFFSET($BN$2,0,0,ROW()-1,60),ROW()-1,FALSE))</f>
        <v>3.6425233640000001</v>
      </c>
      <c r="W71">
        <f ca="1">IF(AND(ISNUMBER($W$744),$B$677=1),$W$744,HLOOKUP(INDIRECT(ADDRESS(2,COLUMN())),OFFSET($BN$2,0,0,ROW()-1,60),ROW()-1,FALSE))</f>
        <v>2.3878504669999998</v>
      </c>
      <c r="X71">
        <f ca="1">IF(AND(ISNUMBER($X$744),$B$677=1),$X$744,HLOOKUP(INDIRECT(ADDRESS(2,COLUMN())),OFFSET($BN$2,0,0,ROW()-1,60),ROW()-1,FALSE))</f>
        <v>2.372663551</v>
      </c>
      <c r="Y71">
        <f ca="1">IF(AND(ISNUMBER($Y$744),$B$677=1),$Y$744,HLOOKUP(INDIRECT(ADDRESS(2,COLUMN())),OFFSET($BN$2,0,0,ROW()-1,60),ROW()-1,FALSE))</f>
        <v>2.522196262</v>
      </c>
      <c r="Z71">
        <f ca="1">IF(AND(ISNUMBER($Z$744),$B$677=1),$Z$744,HLOOKUP(INDIRECT(ADDRESS(2,COLUMN())),OFFSET($BN$2,0,0,ROW()-1,60),ROW()-1,FALSE))</f>
        <v>2.646613146</v>
      </c>
      <c r="AA71">
        <f ca="1">IF(AND(ISNUMBER($AA$744),$B$677=1),$AA$744,HLOOKUP(INDIRECT(ADDRESS(2,COLUMN())),OFFSET($BN$2,0,0,ROW()-1,60),ROW()-1,FALSE))</f>
        <v>1.823930987</v>
      </c>
      <c r="AB71">
        <f ca="1">IF(AND(ISNUMBER($AB$744),$B$677=1),$AB$744,HLOOKUP(INDIRECT(ADDRESS(2,COLUMN())),OFFSET($BN$2,0,0,ROW()-1,60),ROW()-1,FALSE))</f>
        <v>2.3480357590000001</v>
      </c>
      <c r="AC71">
        <f ca="1">IF(AND(ISNUMBER($AC$744),$B$677=1),$AC$744,HLOOKUP(INDIRECT(ADDRESS(2,COLUMN())),OFFSET($BN$2,0,0,ROW()-1,60),ROW()-1,FALSE))</f>
        <v>1.2223313730000001</v>
      </c>
      <c r="AD71">
        <f ca="1">IF(AND(ISNUMBER($AD$744),$B$677=1),$AD$744,HLOOKUP(INDIRECT(ADDRESS(2,COLUMN())),OFFSET($BN$2,0,0,ROW()-1,60),ROW()-1,FALSE))</f>
        <v>1.0918849420000001</v>
      </c>
      <c r="AE71">
        <f ca="1">IF(AND(ISNUMBER($AE$744),$B$677=1),$AE$744,HLOOKUP(INDIRECT(ADDRESS(2,COLUMN())),OFFSET($BN$2,0,0,ROW()-1,60),ROW()-1,FALSE))</f>
        <v>1.057292481</v>
      </c>
      <c r="AF71">
        <f ca="1">IF(AND(ISNUMBER($AF$744),$B$677=1),$AF$744,HLOOKUP(INDIRECT(ADDRESS(2,COLUMN())),OFFSET($BN$2,0,0,ROW()-1,60),ROW()-1,FALSE))</f>
        <v>1.1885119280000001</v>
      </c>
      <c r="AG71">
        <f ca="1">IF(AND(ISNUMBER($AG$744),$B$677=1),$AG$744,HLOOKUP(INDIRECT(ADDRESS(2,COLUMN())),OFFSET($BN$2,0,0,ROW()-1,60),ROW()-1,FALSE))</f>
        <v>1.4982980450000001</v>
      </c>
      <c r="AH71">
        <f ca="1">IF(AND(ISNUMBER($AH$744),$B$677=1),$AH$744,HLOOKUP(INDIRECT(ADDRESS(2,COLUMN())),OFFSET($BN$2,0,0,ROW()-1,60),ROW()-1,FALSE))</f>
        <v>2.3335417110000001</v>
      </c>
      <c r="AI71" t="str">
        <f ca="1">IF(AND(ISNUMBER($AI$744),$B$677=1),$AI$744,HLOOKUP(INDIRECT(ADDRESS(2,COLUMN())),OFFSET($BN$2,0,0,ROW()-1,60),ROW()-1,FALSE))</f>
        <v/>
      </c>
      <c r="AJ71" t="str">
        <f ca="1">IF(AND(ISNUMBER($AJ$744),$B$677=1),$AJ$744,HLOOKUP(INDIRECT(ADDRESS(2,COLUMN())),OFFSET($BN$2,0,0,ROW()-1,60),ROW()-1,FALSE))</f>
        <v/>
      </c>
      <c r="AK71" t="str">
        <f ca="1">IF(AND(ISNUMBER($AK$744),$B$677=1),$AK$744,HLOOKUP(INDIRECT(ADDRESS(2,COLUMN())),OFFSET($BN$2,0,0,ROW()-1,60),ROW()-1,FALSE))</f>
        <v/>
      </c>
      <c r="AL71" t="str">
        <f ca="1">IF(AND(ISNUMBER($AL$744),$B$677=1),$AL$744,HLOOKUP(INDIRECT(ADDRESS(2,COLUMN())),OFFSET($BN$2,0,0,ROW()-1,60),ROW()-1,FALSE))</f>
        <v/>
      </c>
      <c r="AM71" t="str">
        <f ca="1">IF(AND(ISNUMBER($AM$744),$B$677=1),$AM$744,HLOOKUP(INDIRECT(ADDRESS(2,COLUMN())),OFFSET($BN$2,0,0,ROW()-1,60),ROW()-1,FALSE))</f>
        <v/>
      </c>
      <c r="AN71" t="str">
        <f ca="1">IF(AND(ISNUMBER($AN$744),$B$677=1),$AN$744,HLOOKUP(INDIRECT(ADDRESS(2,COLUMN())),OFFSET($BN$2,0,0,ROW()-1,60),ROW()-1,FALSE))</f>
        <v/>
      </c>
      <c r="AO71" t="str">
        <f ca="1">IF(AND(ISNUMBER($AO$744),$B$677=1),$AO$744,HLOOKUP(INDIRECT(ADDRESS(2,COLUMN())),OFFSET($BN$2,0,0,ROW()-1,60),ROW()-1,FALSE))</f>
        <v/>
      </c>
      <c r="AP71" t="str">
        <f ca="1">IF(AND(ISNUMBER($AP$744),$B$677=1),$AP$744,HLOOKUP(INDIRECT(ADDRESS(2,COLUMN())),OFFSET($BN$2,0,0,ROW()-1,60),ROW()-1,FALSE))</f>
        <v/>
      </c>
      <c r="AQ71" t="str">
        <f ca="1">IF(AND(ISNUMBER($AQ$744),$B$677=1),$AQ$744,HLOOKUP(INDIRECT(ADDRESS(2,COLUMN())),OFFSET($BN$2,0,0,ROW()-1,60),ROW()-1,FALSE))</f>
        <v/>
      </c>
      <c r="AR71" t="str">
        <f ca="1">IF(AND(ISNUMBER($AR$744),$B$677=1),$AR$744,HLOOKUP(INDIRECT(ADDRESS(2,COLUMN())),OFFSET($BN$2,0,0,ROW()-1,60),ROW()-1,FALSE))</f>
        <v/>
      </c>
      <c r="AS71" t="str">
        <f ca="1">IF(AND(ISNUMBER($AS$744),$B$677=1),$AS$744,HLOOKUP(INDIRECT(ADDRESS(2,COLUMN())),OFFSET($BN$2,0,0,ROW()-1,60),ROW()-1,FALSE))</f>
        <v/>
      </c>
      <c r="AT71" t="str">
        <f ca="1">IF(AND(ISNUMBER($AT$744),$B$677=1),$AT$744,HLOOKUP(INDIRECT(ADDRESS(2,COLUMN())),OFFSET($BN$2,0,0,ROW()-1,60),ROW()-1,FALSE))</f>
        <v/>
      </c>
      <c r="AU71" t="str">
        <f ca="1">IF(AND(ISNUMBER($AU$744),$B$677=1),$AU$744,HLOOKUP(INDIRECT(ADDRESS(2,COLUMN())),OFFSET($BN$2,0,0,ROW()-1,60),ROW()-1,FALSE))</f>
        <v/>
      </c>
      <c r="AV71" t="str">
        <f ca="1">IF(AND(ISNUMBER($AV$744),$B$677=1),$AV$744,HLOOKUP(INDIRECT(ADDRESS(2,COLUMN())),OFFSET($BN$2,0,0,ROW()-1,60),ROW()-1,FALSE))</f>
        <v/>
      </c>
      <c r="AW71" t="str">
        <f ca="1">IF(AND(ISNUMBER($AW$744),$B$677=1),$AW$744,HLOOKUP(INDIRECT(ADDRESS(2,COLUMN())),OFFSET($BN$2,0,0,ROW()-1,60),ROW()-1,FALSE))</f>
        <v/>
      </c>
      <c r="AX71" t="str">
        <f ca="1">IF(AND(ISNUMBER($AX$744),$B$677=1),$AX$744,HLOOKUP(INDIRECT(ADDRESS(2,COLUMN())),OFFSET($BN$2,0,0,ROW()-1,60),ROW()-1,FALSE))</f>
        <v/>
      </c>
      <c r="AY71" t="str">
        <f ca="1">IF(AND(ISNUMBER($AY$744),$B$677=1),$AY$744,HLOOKUP(INDIRECT(ADDRESS(2,COLUMN())),OFFSET($BN$2,0,0,ROW()-1,60),ROW()-1,FALSE))</f>
        <v/>
      </c>
      <c r="AZ71" t="str">
        <f ca="1">IF(AND(ISNUMBER($AZ$744),$B$677=1),$AZ$744,HLOOKUP(INDIRECT(ADDRESS(2,COLUMN())),OFFSET($BN$2,0,0,ROW()-1,60),ROW()-1,FALSE))</f>
        <v/>
      </c>
      <c r="BA71" t="str">
        <f ca="1">IF(AND(ISNUMBER($BA$744),$B$677=1),$BA$744,HLOOKUP(INDIRECT(ADDRESS(2,COLUMN())),OFFSET($BN$2,0,0,ROW()-1,60),ROW()-1,FALSE))</f>
        <v/>
      </c>
      <c r="BB71" t="str">
        <f ca="1">IF(AND(ISNUMBER($BB$744),$B$677=1),$BB$744,HLOOKUP(INDIRECT(ADDRESS(2,COLUMN())),OFFSET($BN$2,0,0,ROW()-1,60),ROW()-1,FALSE))</f>
        <v/>
      </c>
      <c r="BC71" t="str">
        <f ca="1">IF(AND(ISNUMBER($BC$744),$B$677=1),$BC$744,HLOOKUP(INDIRECT(ADDRESS(2,COLUMN())),OFFSET($BN$2,0,0,ROW()-1,60),ROW()-1,FALSE))</f>
        <v/>
      </c>
      <c r="BD71" t="str">
        <f ca="1">IF(AND(ISNUMBER($BD$744),$B$677=1),$BD$744,HLOOKUP(INDIRECT(ADDRESS(2,COLUMN())),OFFSET($BN$2,0,0,ROW()-1,60),ROW()-1,FALSE))</f>
        <v/>
      </c>
      <c r="BE71" t="str">
        <f ca="1">IF(AND(ISNUMBER($BE$744),$B$677=1),$BE$744,HLOOKUP(INDIRECT(ADDRESS(2,COLUMN())),OFFSET($BN$2,0,0,ROW()-1,60),ROW()-1,FALSE))</f>
        <v/>
      </c>
      <c r="BF71" t="str">
        <f ca="1">IF(AND(ISNUMBER($BF$744),$B$677=1),$BF$744,HLOOKUP(INDIRECT(ADDRESS(2,COLUMN())),OFFSET($BN$2,0,0,ROW()-1,60),ROW()-1,FALSE))</f>
        <v/>
      </c>
      <c r="BG71" t="str">
        <f ca="1">IF(AND(ISNUMBER($BG$744),$B$677=1),$BG$744,HLOOKUP(INDIRECT(ADDRESS(2,COLUMN())),OFFSET($BN$2,0,0,ROW()-1,60),ROW()-1,FALSE))</f>
        <v/>
      </c>
      <c r="BH71" t="str">
        <f ca="1">IF(AND(ISNUMBER($BH$744),$B$677=1),$BH$744,HLOOKUP(INDIRECT(ADDRESS(2,COLUMN())),OFFSET($BN$2,0,0,ROW()-1,60),ROW()-1,FALSE))</f>
        <v/>
      </c>
      <c r="BI71" t="str">
        <f ca="1">IF(AND(ISNUMBER($BI$744),$B$677=1),$BI$744,HLOOKUP(INDIRECT(ADDRESS(2,COLUMN())),OFFSET($BN$2,0,0,ROW()-1,60),ROW()-1,FALSE))</f>
        <v/>
      </c>
      <c r="BJ71" t="str">
        <f ca="1">IF(AND(ISNUMBER($BJ$744),$B$677=1),$BJ$744,HLOOKUP(INDIRECT(ADDRESS(2,COLUMN())),OFFSET($BN$2,0,0,ROW()-1,60),ROW()-1,FALSE))</f>
        <v/>
      </c>
      <c r="BK71" t="str">
        <f ca="1">IF(AND(ISNUMBER($BK$744),$B$677=1),$BK$744,HLOOKUP(INDIRECT(ADDRESS(2,COLUMN())),OFFSET($BN$2,0,0,ROW()-1,60),ROW()-1,FALSE))</f>
        <v/>
      </c>
      <c r="BL71" t="str">
        <f ca="1">IF(AND(ISNUMBER($BL$744),$B$677=1),$BL$744,HLOOKUP(INDIRECT(ADDRESS(2,COLUMN())),OFFSET($BN$2,0,0,ROW()-1,60),ROW()-1,FALSE))</f>
        <v/>
      </c>
      <c r="BM71" t="str">
        <f ca="1">IF(AND(ISNUMBER($BM$744),$B$677=1),$BM$744,HLOOKUP(INDIRECT(ADDRESS(2,COLUMN())),OFFSET($BN$2,0,0,ROW()-1,60),ROW()-1,FALSE))</f>
        <v/>
      </c>
      <c r="BN71">
        <f>6.091922659</f>
        <v>6.0919226589999997</v>
      </c>
      <c r="BO71">
        <f>4.824062096</f>
        <v>4.8240620959999996</v>
      </c>
      <c r="BP71">
        <f>5.810405203</f>
        <v>5.8104052030000002</v>
      </c>
      <c r="BQ71">
        <f>6.440566348</f>
        <v>6.4405663479999999</v>
      </c>
      <c r="BR71">
        <f>6.959772161</f>
        <v>6.9597721610000001</v>
      </c>
      <c r="BS71">
        <f>6.625635014</f>
        <v>6.6256350140000002</v>
      </c>
      <c r="BT71">
        <f>7.316630356</f>
        <v>7.3166303560000001</v>
      </c>
      <c r="BU71">
        <f>6.583113456</f>
        <v>6.5831134560000004</v>
      </c>
      <c r="BV71">
        <f>7.290459637</f>
        <v>7.2904596369999997</v>
      </c>
      <c r="BW71">
        <f>6.621794872</f>
        <v>6.6217948719999997</v>
      </c>
      <c r="BX71">
        <f>6.123873874</f>
        <v>6.1238738740000001</v>
      </c>
      <c r="BY71">
        <f>4.582627119</f>
        <v>4.5826271189999996</v>
      </c>
      <c r="BZ71" t="str">
        <f>""</f>
        <v/>
      </c>
      <c r="CA71" t="str">
        <f>""</f>
        <v/>
      </c>
      <c r="CB71">
        <f>6.562730627</f>
        <v>6.5627306269999997</v>
      </c>
      <c r="CC71">
        <f>6.806273063</f>
        <v>6.8062730629999999</v>
      </c>
      <c r="CD71">
        <f>3.642523364</f>
        <v>3.6425233640000001</v>
      </c>
      <c r="CE71">
        <f>2.387850467</f>
        <v>2.3878504669999998</v>
      </c>
      <c r="CF71">
        <f>2.372663551</f>
        <v>2.372663551</v>
      </c>
      <c r="CG71">
        <f>2.522196262</f>
        <v>2.522196262</v>
      </c>
      <c r="CH71">
        <f>2.646613146</f>
        <v>2.646613146</v>
      </c>
      <c r="CI71">
        <f>1.823930987</f>
        <v>1.823930987</v>
      </c>
      <c r="CJ71">
        <f>2.348035759</f>
        <v>2.3480357590000001</v>
      </c>
      <c r="CK71">
        <f>1.222331373</f>
        <v>1.2223313730000001</v>
      </c>
      <c r="CL71">
        <f>1.091884942</f>
        <v>1.0918849420000001</v>
      </c>
      <c r="CM71">
        <f>1.057292481</f>
        <v>1.057292481</v>
      </c>
      <c r="CN71">
        <f>1.188511928</f>
        <v>1.1885119280000001</v>
      </c>
      <c r="CO71">
        <f>1.498298045</f>
        <v>1.4982980450000001</v>
      </c>
      <c r="CP71">
        <f>2.333541711</f>
        <v>2.3335417110000001</v>
      </c>
      <c r="CQ71" t="str">
        <f>""</f>
        <v/>
      </c>
      <c r="CR71" t="str">
        <f>""</f>
        <v/>
      </c>
      <c r="CS71" t="str">
        <f>""</f>
        <v/>
      </c>
      <c r="CT71" t="str">
        <f>""</f>
        <v/>
      </c>
      <c r="CU71" t="str">
        <f>""</f>
        <v/>
      </c>
      <c r="CV71" t="str">
        <f>""</f>
        <v/>
      </c>
      <c r="CW71" t="str">
        <f>""</f>
        <v/>
      </c>
      <c r="CX71" t="str">
        <f>""</f>
        <v/>
      </c>
      <c r="CY71" t="str">
        <f>""</f>
        <v/>
      </c>
      <c r="CZ71" t="str">
        <f>""</f>
        <v/>
      </c>
      <c r="DA71" t="str">
        <f>""</f>
        <v/>
      </c>
      <c r="DB71" t="str">
        <f>""</f>
        <v/>
      </c>
      <c r="DC71" t="str">
        <f>""</f>
        <v/>
      </c>
      <c r="DD71" t="str">
        <f>""</f>
        <v/>
      </c>
      <c r="DE71" t="str">
        <f>""</f>
        <v/>
      </c>
      <c r="DF71" t="str">
        <f>""</f>
        <v/>
      </c>
      <c r="DG71" t="str">
        <f>""</f>
        <v/>
      </c>
      <c r="DH71" t="str">
        <f>""</f>
        <v/>
      </c>
      <c r="DI71" t="str">
        <f>""</f>
        <v/>
      </c>
      <c r="DJ71" t="str">
        <f>""</f>
        <v/>
      </c>
      <c r="DK71" t="str">
        <f>""</f>
        <v/>
      </c>
      <c r="DL71" t="str">
        <f>""</f>
        <v/>
      </c>
      <c r="DM71" t="str">
        <f>""</f>
        <v/>
      </c>
      <c r="DN71" t="str">
        <f>""</f>
        <v/>
      </c>
      <c r="DO71" t="str">
        <f>""</f>
        <v/>
      </c>
      <c r="DP71" t="str">
        <f>""</f>
        <v/>
      </c>
      <c r="DQ71" t="str">
        <f>""</f>
        <v/>
      </c>
      <c r="DR71" t="str">
        <f>""</f>
        <v/>
      </c>
      <c r="DS71" t="str">
        <f>""</f>
        <v/>
      </c>
      <c r="DT71" t="str">
        <f>""</f>
        <v/>
      </c>
      <c r="DU71" t="str">
        <f>""</f>
        <v/>
      </c>
    </row>
    <row r="72" spans="1:125" x14ac:dyDescent="0.25">
      <c r="A72" t="str">
        <f>"    Renault SA"</f>
        <v xml:space="preserve">    Renault SA</v>
      </c>
      <c r="B72" t="str">
        <f>"RNO FP Equity"</f>
        <v>RNO FP Equity</v>
      </c>
      <c r="C72" t="str">
        <f t="shared" si="3"/>
        <v>EZ009</v>
      </c>
      <c r="D72" t="str">
        <f t="shared" si="4"/>
        <v>BEST_EST_PE_CUR_YR</v>
      </c>
      <c r="E72" t="str">
        <f t="shared" si="5"/>
        <v>Dynamic</v>
      </c>
      <c r="F72">
        <f ca="1">IF(AND(ISNUMBER($F$745),$B$677=1),$F$745,HLOOKUP(INDIRECT(ADDRESS(2,COLUMN())),OFFSET($BN$2,0,0,ROW()-1,60),ROW()-1,FALSE))</f>
        <v>4.4270604130000004</v>
      </c>
      <c r="G72">
        <f ca="1">IF(AND(ISNUMBER($G$745),$B$677=1),$G$745,HLOOKUP(INDIRECT(ADDRESS(2,COLUMN())),OFFSET($BN$2,0,0,ROW()-1,60),ROW()-1,FALSE))</f>
        <v>3.613540011</v>
      </c>
      <c r="H72">
        <f ca="1">IF(AND(ISNUMBER($H$745),$B$677=1),$H$745,HLOOKUP(INDIRECT(ADDRESS(2,COLUMN())),OFFSET($BN$2,0,0,ROW()-1,60),ROW()-1,FALSE))</f>
        <v>4.7133999749999997</v>
      </c>
      <c r="I72">
        <f ca="1">IF(AND(ISNUMBER($I$745),$B$677=1),$I$745,HLOOKUP(INDIRECT(ADDRESS(2,COLUMN())),OFFSET($BN$2,0,0,ROW()-1,60),ROW()-1,FALSE))</f>
        <v>4.5029058979999999</v>
      </c>
      <c r="J72">
        <f ca="1">IF(AND(ISNUMBER($J$745),$B$677=1),$J$745,HLOOKUP(INDIRECT(ADDRESS(2,COLUMN())),OFFSET($BN$2,0,0,ROW()-1,60),ROW()-1,FALSE))</f>
        <v>5.9798445850000004</v>
      </c>
      <c r="K72">
        <f ca="1">IF(AND(ISNUMBER($K$745),$B$677=1),$K$745,HLOOKUP(INDIRECT(ADDRESS(2,COLUMN())),OFFSET($BN$2,0,0,ROW()-1,60),ROW()-1,FALSE))</f>
        <v>5.265767179</v>
      </c>
      <c r="L72">
        <f ca="1">IF(AND(ISNUMBER($L$745),$B$677=1),$L$745,HLOOKUP(INDIRECT(ADDRESS(2,COLUMN())),OFFSET($BN$2,0,0,ROW()-1,60),ROW()-1,FALSE))</f>
        <v>5.2211333079999998</v>
      </c>
      <c r="M72">
        <f ca="1">IF(AND(ISNUMBER($M$745),$B$677=1),$M$745,HLOOKUP(INDIRECT(ADDRESS(2,COLUMN())),OFFSET($BN$2,0,0,ROW()-1,60),ROW()-1,FALSE))</f>
        <v>5.0244087999999998</v>
      </c>
      <c r="N72">
        <f ca="1">IF(AND(ISNUMBER($N$745),$B$677=1),$N$745,HLOOKUP(INDIRECT(ADDRESS(2,COLUMN())),OFFSET($BN$2,0,0,ROW()-1,60),ROW()-1,FALSE))</f>
        <v>5.1482582030000001</v>
      </c>
      <c r="O72">
        <f ca="1">IF(AND(ISNUMBER($O$745),$B$677=1),$O$745,HLOOKUP(INDIRECT(ADDRESS(2,COLUMN())),OFFSET($BN$2,0,0,ROW()-1,60),ROW()-1,FALSE))</f>
        <v>6.376669433</v>
      </c>
      <c r="P72">
        <f ca="1">IF(AND(ISNUMBER($P$745),$B$677=1),$P$745,HLOOKUP(INDIRECT(ADDRESS(2,COLUMN())),OFFSET($BN$2,0,0,ROW()-1,60),ROW()-1,FALSE))</f>
        <v>5.8699839489999999</v>
      </c>
      <c r="Q72">
        <f ca="1">IF(AND(ISNUMBER($Q$745),$B$677=1),$Q$745,HLOOKUP(INDIRECT(ADDRESS(2,COLUMN())),OFFSET($BN$2,0,0,ROW()-1,60),ROW()-1,FALSE))</f>
        <v>6.4688090740000002</v>
      </c>
      <c r="R72">
        <f ca="1">IF(AND(ISNUMBER($R$745),$B$677=1),$R$745,HLOOKUP(INDIRECT(ADDRESS(2,COLUMN())),OFFSET($BN$2,0,0,ROW()-1,60),ROW()-1,FALSE))</f>
        <v>10.914999999999999</v>
      </c>
      <c r="S72">
        <f ca="1">IF(AND(ISNUMBER($S$745),$B$677=1),$S$745,HLOOKUP(INDIRECT(ADDRESS(2,COLUMN())),OFFSET($BN$2,0,0,ROW()-1,60),ROW()-1,FALSE))</f>
        <v>9.3095477389999992</v>
      </c>
      <c r="T72">
        <f ca="1">IF(AND(ISNUMBER($T$745),$B$677=1),$T$745,HLOOKUP(INDIRECT(ADDRESS(2,COLUMN())),OFFSET($BN$2,0,0,ROW()-1,60),ROW()-1,FALSE))</f>
        <v>6.4321608039999996</v>
      </c>
      <c r="U72">
        <f ca="1">IF(AND(ISNUMBER($U$745),$B$677=1),$U$745,HLOOKUP(INDIRECT(ADDRESS(2,COLUMN())),OFFSET($BN$2,0,0,ROW()-1,60),ROW()-1,FALSE))</f>
        <v>7.8504201680000003</v>
      </c>
      <c r="V72" t="str">
        <f ca="1">IF(AND(ISNUMBER($V$745),$B$677=1),$V$745,HLOOKUP(INDIRECT(ADDRESS(2,COLUMN())),OFFSET($BN$2,0,0,ROW()-1,60),ROW()-1,FALSE))</f>
        <v/>
      </c>
      <c r="W72" t="str">
        <f ca="1">IF(AND(ISNUMBER($W$745),$B$677=1),$W$745,HLOOKUP(INDIRECT(ADDRESS(2,COLUMN())),OFFSET($BN$2,0,0,ROW()-1,60),ROW()-1,FALSE))</f>
        <v/>
      </c>
      <c r="X72" t="str">
        <f ca="1">IF(AND(ISNUMBER($X$745),$B$677=1),$X$745,HLOOKUP(INDIRECT(ADDRESS(2,COLUMN())),OFFSET($BN$2,0,0,ROW()-1,60),ROW()-1,FALSE))</f>
        <v/>
      </c>
      <c r="Y72" t="str">
        <f ca="1">IF(AND(ISNUMBER($Y$745),$B$677=1),$Y$745,HLOOKUP(INDIRECT(ADDRESS(2,COLUMN())),OFFSET($BN$2,0,0,ROW()-1,60),ROW()-1,FALSE))</f>
        <v/>
      </c>
      <c r="Z72" t="str">
        <f ca="1">IF(AND(ISNUMBER($Z$745),$B$677=1),$Z$745,HLOOKUP(INDIRECT(ADDRESS(2,COLUMN())),OFFSET($BN$2,0,0,ROW()-1,60),ROW()-1,FALSE))</f>
        <v/>
      </c>
      <c r="AA72" t="str">
        <f ca="1">IF(AND(ISNUMBER($AA$745),$B$677=1),$AA$745,HLOOKUP(INDIRECT(ADDRESS(2,COLUMN())),OFFSET($BN$2,0,0,ROW()-1,60),ROW()-1,FALSE))</f>
        <v/>
      </c>
      <c r="AB72" t="str">
        <f ca="1">IF(AND(ISNUMBER($AB$745),$B$677=1),$AB$745,HLOOKUP(INDIRECT(ADDRESS(2,COLUMN())),OFFSET($BN$2,0,0,ROW()-1,60),ROW()-1,FALSE))</f>
        <v/>
      </c>
      <c r="AC72" t="str">
        <f ca="1">IF(AND(ISNUMBER($AC$745),$B$677=1),$AC$745,HLOOKUP(INDIRECT(ADDRESS(2,COLUMN())),OFFSET($BN$2,0,0,ROW()-1,60),ROW()-1,FALSE))</f>
        <v/>
      </c>
      <c r="AD72" t="str">
        <f ca="1">IF(AND(ISNUMBER($AD$745),$B$677=1),$AD$745,HLOOKUP(INDIRECT(ADDRESS(2,COLUMN())),OFFSET($BN$2,0,0,ROW()-1,60),ROW()-1,FALSE))</f>
        <v/>
      </c>
      <c r="AE72" t="str">
        <f ca="1">IF(AND(ISNUMBER($AE$745),$B$677=1),$AE$745,HLOOKUP(INDIRECT(ADDRESS(2,COLUMN())),OFFSET($BN$2,0,0,ROW()-1,60),ROW()-1,FALSE))</f>
        <v/>
      </c>
      <c r="AF72" t="str">
        <f ca="1">IF(AND(ISNUMBER($AF$745),$B$677=1),$AF$745,HLOOKUP(INDIRECT(ADDRESS(2,COLUMN())),OFFSET($BN$2,0,0,ROW()-1,60),ROW()-1,FALSE))</f>
        <v/>
      </c>
      <c r="AG72" t="str">
        <f ca="1">IF(AND(ISNUMBER($AG$745),$B$677=1),$AG$745,HLOOKUP(INDIRECT(ADDRESS(2,COLUMN())),OFFSET($BN$2,0,0,ROW()-1,60),ROW()-1,FALSE))</f>
        <v/>
      </c>
      <c r="AH72" t="str">
        <f ca="1">IF(AND(ISNUMBER($AH$745),$B$677=1),$AH$745,HLOOKUP(INDIRECT(ADDRESS(2,COLUMN())),OFFSET($BN$2,0,0,ROW()-1,60),ROW()-1,FALSE))</f>
        <v/>
      </c>
      <c r="AI72" t="str">
        <f ca="1">IF(AND(ISNUMBER($AI$745),$B$677=1),$AI$745,HLOOKUP(INDIRECT(ADDRESS(2,COLUMN())),OFFSET($BN$2,0,0,ROW()-1,60),ROW()-1,FALSE))</f>
        <v/>
      </c>
      <c r="AJ72" t="str">
        <f ca="1">IF(AND(ISNUMBER($AJ$745),$B$677=1),$AJ$745,HLOOKUP(INDIRECT(ADDRESS(2,COLUMN())),OFFSET($BN$2,0,0,ROW()-1,60),ROW()-1,FALSE))</f>
        <v/>
      </c>
      <c r="AK72" t="str">
        <f ca="1">IF(AND(ISNUMBER($AK$745),$B$677=1),$AK$745,HLOOKUP(INDIRECT(ADDRESS(2,COLUMN())),OFFSET($BN$2,0,0,ROW()-1,60),ROW()-1,FALSE))</f>
        <v/>
      </c>
      <c r="AL72" t="str">
        <f ca="1">IF(AND(ISNUMBER($AL$745),$B$677=1),$AL$745,HLOOKUP(INDIRECT(ADDRESS(2,COLUMN())),OFFSET($BN$2,0,0,ROW()-1,60),ROW()-1,FALSE))</f>
        <v/>
      </c>
      <c r="AM72" t="str">
        <f ca="1">IF(AND(ISNUMBER($AM$745),$B$677=1),$AM$745,HLOOKUP(INDIRECT(ADDRESS(2,COLUMN())),OFFSET($BN$2,0,0,ROW()-1,60),ROW()-1,FALSE))</f>
        <v/>
      </c>
      <c r="AN72" t="str">
        <f ca="1">IF(AND(ISNUMBER($AN$745),$B$677=1),$AN$745,HLOOKUP(INDIRECT(ADDRESS(2,COLUMN())),OFFSET($BN$2,0,0,ROW()-1,60),ROW()-1,FALSE))</f>
        <v/>
      </c>
      <c r="AO72" t="str">
        <f ca="1">IF(AND(ISNUMBER($AO$745),$B$677=1),$AO$745,HLOOKUP(INDIRECT(ADDRESS(2,COLUMN())),OFFSET($BN$2,0,0,ROW()-1,60),ROW()-1,FALSE))</f>
        <v/>
      </c>
      <c r="AP72" t="str">
        <f ca="1">IF(AND(ISNUMBER($AP$745),$B$677=1),$AP$745,HLOOKUP(INDIRECT(ADDRESS(2,COLUMN())),OFFSET($BN$2,0,0,ROW()-1,60),ROW()-1,FALSE))</f>
        <v/>
      </c>
      <c r="AQ72" t="str">
        <f ca="1">IF(AND(ISNUMBER($AQ$745),$B$677=1),$AQ$745,HLOOKUP(INDIRECT(ADDRESS(2,COLUMN())),OFFSET($BN$2,0,0,ROW()-1,60),ROW()-1,FALSE))</f>
        <v/>
      </c>
      <c r="AR72" t="str">
        <f ca="1">IF(AND(ISNUMBER($AR$745),$B$677=1),$AR$745,HLOOKUP(INDIRECT(ADDRESS(2,COLUMN())),OFFSET($BN$2,0,0,ROW()-1,60),ROW()-1,FALSE))</f>
        <v/>
      </c>
      <c r="AS72" t="str">
        <f ca="1">IF(AND(ISNUMBER($AS$745),$B$677=1),$AS$745,HLOOKUP(INDIRECT(ADDRESS(2,COLUMN())),OFFSET($BN$2,0,0,ROW()-1,60),ROW()-1,FALSE))</f>
        <v/>
      </c>
      <c r="AT72" t="str">
        <f ca="1">IF(AND(ISNUMBER($AT$745),$B$677=1),$AT$745,HLOOKUP(INDIRECT(ADDRESS(2,COLUMN())),OFFSET($BN$2,0,0,ROW()-1,60),ROW()-1,FALSE))</f>
        <v/>
      </c>
      <c r="AU72" t="str">
        <f ca="1">IF(AND(ISNUMBER($AU$745),$B$677=1),$AU$745,HLOOKUP(INDIRECT(ADDRESS(2,COLUMN())),OFFSET($BN$2,0,0,ROW()-1,60),ROW()-1,FALSE))</f>
        <v/>
      </c>
      <c r="AV72" t="str">
        <f ca="1">IF(AND(ISNUMBER($AV$745),$B$677=1),$AV$745,HLOOKUP(INDIRECT(ADDRESS(2,COLUMN())),OFFSET($BN$2,0,0,ROW()-1,60),ROW()-1,FALSE))</f>
        <v/>
      </c>
      <c r="AW72" t="str">
        <f ca="1">IF(AND(ISNUMBER($AW$745),$B$677=1),$AW$745,HLOOKUP(INDIRECT(ADDRESS(2,COLUMN())),OFFSET($BN$2,0,0,ROW()-1,60),ROW()-1,FALSE))</f>
        <v/>
      </c>
      <c r="AX72" t="str">
        <f ca="1">IF(AND(ISNUMBER($AX$745),$B$677=1),$AX$745,HLOOKUP(INDIRECT(ADDRESS(2,COLUMN())),OFFSET($BN$2,0,0,ROW()-1,60),ROW()-1,FALSE))</f>
        <v/>
      </c>
      <c r="AY72" t="str">
        <f ca="1">IF(AND(ISNUMBER($AY$745),$B$677=1),$AY$745,HLOOKUP(INDIRECT(ADDRESS(2,COLUMN())),OFFSET($BN$2,0,0,ROW()-1,60),ROW()-1,FALSE))</f>
        <v/>
      </c>
      <c r="AZ72" t="str">
        <f ca="1">IF(AND(ISNUMBER($AZ$745),$B$677=1),$AZ$745,HLOOKUP(INDIRECT(ADDRESS(2,COLUMN())),OFFSET($BN$2,0,0,ROW()-1,60),ROW()-1,FALSE))</f>
        <v/>
      </c>
      <c r="BA72" t="str">
        <f ca="1">IF(AND(ISNUMBER($BA$745),$B$677=1),$BA$745,HLOOKUP(INDIRECT(ADDRESS(2,COLUMN())),OFFSET($BN$2,0,0,ROW()-1,60),ROW()-1,FALSE))</f>
        <v/>
      </c>
      <c r="BB72" t="str">
        <f ca="1">IF(AND(ISNUMBER($BB$745),$B$677=1),$BB$745,HLOOKUP(INDIRECT(ADDRESS(2,COLUMN())),OFFSET($BN$2,0,0,ROW()-1,60),ROW()-1,FALSE))</f>
        <v/>
      </c>
      <c r="BC72" t="str">
        <f ca="1">IF(AND(ISNUMBER($BC$745),$B$677=1),$BC$745,HLOOKUP(INDIRECT(ADDRESS(2,COLUMN())),OFFSET($BN$2,0,0,ROW()-1,60),ROW()-1,FALSE))</f>
        <v/>
      </c>
      <c r="BD72" t="str">
        <f ca="1">IF(AND(ISNUMBER($BD$745),$B$677=1),$BD$745,HLOOKUP(INDIRECT(ADDRESS(2,COLUMN())),OFFSET($BN$2,0,0,ROW()-1,60),ROW()-1,FALSE))</f>
        <v/>
      </c>
      <c r="BE72" t="str">
        <f ca="1">IF(AND(ISNUMBER($BE$745),$B$677=1),$BE$745,HLOOKUP(INDIRECT(ADDRESS(2,COLUMN())),OFFSET($BN$2,0,0,ROW()-1,60),ROW()-1,FALSE))</f>
        <v/>
      </c>
      <c r="BF72" t="str">
        <f ca="1">IF(AND(ISNUMBER($BF$745),$B$677=1),$BF$745,HLOOKUP(INDIRECT(ADDRESS(2,COLUMN())),OFFSET($BN$2,0,0,ROW()-1,60),ROW()-1,FALSE))</f>
        <v/>
      </c>
      <c r="BG72" t="str">
        <f ca="1">IF(AND(ISNUMBER($BG$745),$B$677=1),$BG$745,HLOOKUP(INDIRECT(ADDRESS(2,COLUMN())),OFFSET($BN$2,0,0,ROW()-1,60),ROW()-1,FALSE))</f>
        <v/>
      </c>
      <c r="BH72" t="str">
        <f ca="1">IF(AND(ISNUMBER($BH$745),$B$677=1),$BH$745,HLOOKUP(INDIRECT(ADDRESS(2,COLUMN())),OFFSET($BN$2,0,0,ROW()-1,60),ROW()-1,FALSE))</f>
        <v/>
      </c>
      <c r="BI72" t="str">
        <f ca="1">IF(AND(ISNUMBER($BI$745),$B$677=1),$BI$745,HLOOKUP(INDIRECT(ADDRESS(2,COLUMN())),OFFSET($BN$2,0,0,ROW()-1,60),ROW()-1,FALSE))</f>
        <v/>
      </c>
      <c r="BJ72" t="str">
        <f ca="1">IF(AND(ISNUMBER($BJ$745),$B$677=1),$BJ$745,HLOOKUP(INDIRECT(ADDRESS(2,COLUMN())),OFFSET($BN$2,0,0,ROW()-1,60),ROW()-1,FALSE))</f>
        <v/>
      </c>
      <c r="BK72" t="str">
        <f ca="1">IF(AND(ISNUMBER($BK$745),$B$677=1),$BK$745,HLOOKUP(INDIRECT(ADDRESS(2,COLUMN())),OFFSET($BN$2,0,0,ROW()-1,60),ROW()-1,FALSE))</f>
        <v/>
      </c>
      <c r="BL72" t="str">
        <f ca="1">IF(AND(ISNUMBER($BL$745),$B$677=1),$BL$745,HLOOKUP(INDIRECT(ADDRESS(2,COLUMN())),OFFSET($BN$2,0,0,ROW()-1,60),ROW()-1,FALSE))</f>
        <v/>
      </c>
      <c r="BM72" t="str">
        <f ca="1">IF(AND(ISNUMBER($BM$745),$B$677=1),$BM$745,HLOOKUP(INDIRECT(ADDRESS(2,COLUMN())),OFFSET($BN$2,0,0,ROW()-1,60),ROW()-1,FALSE))</f>
        <v/>
      </c>
      <c r="BN72">
        <f>4.427060413</f>
        <v>4.4270604130000004</v>
      </c>
      <c r="BO72">
        <f>3.613540011</f>
        <v>3.613540011</v>
      </c>
      <c r="BP72">
        <f>4.713399975</f>
        <v>4.7133999749999997</v>
      </c>
      <c r="BQ72">
        <f>4.502905898</f>
        <v>4.5029058979999999</v>
      </c>
      <c r="BR72">
        <f>5.979844585</f>
        <v>5.9798445850000004</v>
      </c>
      <c r="BS72">
        <f>5.265767179</f>
        <v>5.265767179</v>
      </c>
      <c r="BT72">
        <f>5.221133308</f>
        <v>5.2211333079999998</v>
      </c>
      <c r="BU72">
        <f>5.0244088</f>
        <v>5.0244087999999998</v>
      </c>
      <c r="BV72">
        <f>5.148258203</f>
        <v>5.1482582030000001</v>
      </c>
      <c r="BW72">
        <f>6.376669433</f>
        <v>6.376669433</v>
      </c>
      <c r="BX72">
        <f>5.869983949</f>
        <v>5.8699839489999999</v>
      </c>
      <c r="BY72">
        <f>6.468809074</f>
        <v>6.4688090740000002</v>
      </c>
      <c r="BZ72">
        <f>10.915</f>
        <v>10.914999999999999</v>
      </c>
      <c r="CA72">
        <f>9.309547739</f>
        <v>9.3095477389999992</v>
      </c>
      <c r="CB72">
        <f>6.432160804</f>
        <v>6.4321608039999996</v>
      </c>
      <c r="CC72">
        <f>7.850420168</f>
        <v>7.8504201680000003</v>
      </c>
      <c r="CD72" t="str">
        <f>""</f>
        <v/>
      </c>
      <c r="CE72" t="str">
        <f>""</f>
        <v/>
      </c>
      <c r="CF72" t="str">
        <f>""</f>
        <v/>
      </c>
      <c r="CG72" t="str">
        <f>""</f>
        <v/>
      </c>
      <c r="CH72" t="str">
        <f>""</f>
        <v/>
      </c>
      <c r="CI72" t="str">
        <f>""</f>
        <v/>
      </c>
      <c r="CJ72" t="str">
        <f>""</f>
        <v/>
      </c>
      <c r="CK72" t="str">
        <f>""</f>
        <v/>
      </c>
      <c r="CL72" t="str">
        <f>""</f>
        <v/>
      </c>
      <c r="CM72" t="str">
        <f>""</f>
        <v/>
      </c>
      <c r="CN72" t="str">
        <f>""</f>
        <v/>
      </c>
      <c r="CO72" t="str">
        <f>""</f>
        <v/>
      </c>
      <c r="CP72" t="str">
        <f>""</f>
        <v/>
      </c>
      <c r="CQ72" t="str">
        <f>""</f>
        <v/>
      </c>
      <c r="CR72" t="str">
        <f>""</f>
        <v/>
      </c>
      <c r="CS72" t="str">
        <f>""</f>
        <v/>
      </c>
      <c r="CT72" t="str">
        <f>""</f>
        <v/>
      </c>
      <c r="CU72" t="str">
        <f>""</f>
        <v/>
      </c>
      <c r="CV72" t="str">
        <f>""</f>
        <v/>
      </c>
      <c r="CW72" t="str">
        <f>""</f>
        <v/>
      </c>
      <c r="CX72" t="str">
        <f>""</f>
        <v/>
      </c>
      <c r="CY72" t="str">
        <f>""</f>
        <v/>
      </c>
      <c r="CZ72" t="str">
        <f>""</f>
        <v/>
      </c>
      <c r="DA72" t="str">
        <f>""</f>
        <v/>
      </c>
      <c r="DB72" t="str">
        <f>""</f>
        <v/>
      </c>
      <c r="DC72" t="str">
        <f>""</f>
        <v/>
      </c>
      <c r="DD72" t="str">
        <f>""</f>
        <v/>
      </c>
      <c r="DE72" t="str">
        <f>""</f>
        <v/>
      </c>
      <c r="DF72" t="str">
        <f>""</f>
        <v/>
      </c>
      <c r="DG72" t="str">
        <f>""</f>
        <v/>
      </c>
      <c r="DH72" t="str">
        <f>""</f>
        <v/>
      </c>
      <c r="DI72" t="str">
        <f>""</f>
        <v/>
      </c>
      <c r="DJ72" t="str">
        <f>""</f>
        <v/>
      </c>
      <c r="DK72" t="str">
        <f>""</f>
        <v/>
      </c>
      <c r="DL72" t="str">
        <f>""</f>
        <v/>
      </c>
      <c r="DM72" t="str">
        <f>""</f>
        <v/>
      </c>
      <c r="DN72" t="str">
        <f>""</f>
        <v/>
      </c>
      <c r="DO72" t="str">
        <f>""</f>
        <v/>
      </c>
      <c r="DP72" t="str">
        <f>""</f>
        <v/>
      </c>
      <c r="DQ72" t="str">
        <f>""</f>
        <v/>
      </c>
      <c r="DR72" t="str">
        <f>""</f>
        <v/>
      </c>
      <c r="DS72" t="str">
        <f>""</f>
        <v/>
      </c>
      <c r="DT72" t="str">
        <f>""</f>
        <v/>
      </c>
      <c r="DU72" t="str">
        <f>""</f>
        <v/>
      </c>
    </row>
    <row r="73" spans="1:125" x14ac:dyDescent="0.25">
      <c r="A73" t="str">
        <f>"    SAIC Motor Corp Ltd"</f>
        <v xml:space="preserve">    SAIC Motor Corp Ltd</v>
      </c>
      <c r="B73" t="str">
        <f>"600104 CH Equity"</f>
        <v>600104 CH Equity</v>
      </c>
      <c r="C73" t="str">
        <f t="shared" si="3"/>
        <v>EZ009</v>
      </c>
      <c r="D73" t="str">
        <f t="shared" si="4"/>
        <v>BEST_EST_PE_CUR_YR</v>
      </c>
      <c r="E73" t="str">
        <f t="shared" si="5"/>
        <v>Dynamic</v>
      </c>
      <c r="F73">
        <f ca="1">IF(AND(ISNUMBER($F$746),$B$677=1),$F$746,HLOOKUP(INDIRECT(ADDRESS(2,COLUMN())),OFFSET($BN$2,0,0,ROW()-1,60),ROW()-1,FALSE))</f>
        <v>9.010499523</v>
      </c>
      <c r="G73">
        <f ca="1">IF(AND(ISNUMBER($G$746),$B$677=1),$G$746,HLOOKUP(INDIRECT(ADDRESS(2,COLUMN())),OFFSET($BN$2,0,0,ROW()-1,60),ROW()-1,FALSE))</f>
        <v>8.3894306390000004</v>
      </c>
      <c r="H73">
        <f ca="1">IF(AND(ISNUMBER($H$746),$B$677=1),$H$746,HLOOKUP(INDIRECT(ADDRESS(2,COLUMN())),OFFSET($BN$2,0,0,ROW()-1,60),ROW()-1,FALSE))</f>
        <v>10.217992020000001</v>
      </c>
      <c r="I73">
        <f ca="1">IF(AND(ISNUMBER($I$746),$B$677=1),$I$746,HLOOKUP(INDIRECT(ADDRESS(2,COLUMN())),OFFSET($BN$2,0,0,ROW()-1,60),ROW()-1,FALSE))</f>
        <v>10.83952912</v>
      </c>
      <c r="J73">
        <f ca="1">IF(AND(ISNUMBER($J$746),$B$677=1),$J$746,HLOOKUP(INDIRECT(ADDRESS(2,COLUMN())),OFFSET($BN$2,0,0,ROW()-1,60),ROW()-1,FALSE))</f>
        <v>10.287356320000001</v>
      </c>
      <c r="K73">
        <f ca="1">IF(AND(ISNUMBER($K$746),$B$677=1),$K$746,HLOOKUP(INDIRECT(ADDRESS(2,COLUMN())),OFFSET($BN$2,0,0,ROW()-1,60),ROW()-1,FALSE))</f>
        <v>9.4877109859999997</v>
      </c>
      <c r="L73">
        <f ca="1">IF(AND(ISNUMBER($L$746),$B$677=1),$L$746,HLOOKUP(INDIRECT(ADDRESS(2,COLUMN())),OFFSET($BN$2,0,0,ROW()-1,60),ROW()-1,FALSE))</f>
        <v>8.8898704360000007</v>
      </c>
      <c r="M73">
        <f ca="1">IF(AND(ISNUMBER($M$746),$B$677=1),$M$746,HLOOKUP(INDIRECT(ADDRESS(2,COLUMN())),OFFSET($BN$2,0,0,ROW()-1,60),ROW()-1,FALSE))</f>
        <v>9.0577596269999994</v>
      </c>
      <c r="N73">
        <f ca="1">IF(AND(ISNUMBER($N$746),$B$677=1),$N$746,HLOOKUP(INDIRECT(ADDRESS(2,COLUMN())),OFFSET($BN$2,0,0,ROW()-1,60),ROW()-1,FALSE))</f>
        <v>7.4801061009999996</v>
      </c>
      <c r="O73">
        <f ca="1">IF(AND(ISNUMBER($O$746),$B$677=1),$O$746,HLOOKUP(INDIRECT(ADDRESS(2,COLUMN())),OFFSET($BN$2,0,0,ROW()-1,60),ROW()-1,FALSE))</f>
        <v>6.9895678090000004</v>
      </c>
      <c r="P73">
        <f ca="1">IF(AND(ISNUMBER($P$746),$B$677=1),$P$746,HLOOKUP(INDIRECT(ADDRESS(2,COLUMN())),OFFSET($BN$2,0,0,ROW()-1,60),ROW()-1,FALSE))</f>
        <v>6.8645931510000002</v>
      </c>
      <c r="Q73">
        <f ca="1">IF(AND(ISNUMBER($Q$746),$B$677=1),$Q$746,HLOOKUP(INDIRECT(ADDRESS(2,COLUMN())),OFFSET($BN$2,0,0,ROW()-1,60),ROW()-1,FALSE))</f>
        <v>6.5241157559999996</v>
      </c>
      <c r="R73">
        <f ca="1">IF(AND(ISNUMBER($R$746),$B$677=1),$R$746,HLOOKUP(INDIRECT(ADDRESS(2,COLUMN())),OFFSET($BN$2,0,0,ROW()-1,60),ROW()-1,FALSE))</f>
        <v>7.6273764259999997</v>
      </c>
      <c r="S73">
        <f ca="1">IF(AND(ISNUMBER($S$746),$B$677=1),$S$746,HLOOKUP(INDIRECT(ADDRESS(2,COLUMN())),OFFSET($BN$2,0,0,ROW()-1,60),ROW()-1,FALSE))</f>
        <v>9.733944954</v>
      </c>
      <c r="T73">
        <f ca="1">IF(AND(ISNUMBER($T$746),$B$677=1),$T$746,HLOOKUP(INDIRECT(ADDRESS(2,COLUMN())),OFFSET($BN$2,0,0,ROW()-1,60),ROW()-1,FALSE))</f>
        <v>8.8421052630000005</v>
      </c>
      <c r="U73">
        <f ca="1">IF(AND(ISNUMBER($U$746),$B$677=1),$U$746,HLOOKUP(INDIRECT(ADDRESS(2,COLUMN())),OFFSET($BN$2,0,0,ROW()-1,60),ROW()-1,FALSE))</f>
        <v>6.8072289159999997</v>
      </c>
      <c r="V73">
        <f ca="1">IF(AND(ISNUMBER($V$746),$B$677=1),$V$746,HLOOKUP(INDIRECT(ADDRESS(2,COLUMN())),OFFSET($BN$2,0,0,ROW()-1,60),ROW()-1,FALSE))</f>
        <v>6.0782396089999997</v>
      </c>
      <c r="W73">
        <f ca="1">IF(AND(ISNUMBER($W$746),$B$677=1),$W$746,HLOOKUP(INDIRECT(ADDRESS(2,COLUMN())),OFFSET($BN$2,0,0,ROW()-1,60),ROW()-1,FALSE))</f>
        <v>5.8027027029999996</v>
      </c>
      <c r="X73" t="str">
        <f ca="1">IF(AND(ISNUMBER($X$746),$B$677=1),$X$746,HLOOKUP(INDIRECT(ADDRESS(2,COLUMN())),OFFSET($BN$2,0,0,ROW()-1,60),ROW()-1,FALSE))</f>
        <v/>
      </c>
      <c r="Y73" t="str">
        <f ca="1">IF(AND(ISNUMBER($Y$746),$B$677=1),$Y$746,HLOOKUP(INDIRECT(ADDRESS(2,COLUMN())),OFFSET($BN$2,0,0,ROW()-1,60),ROW()-1,FALSE))</f>
        <v/>
      </c>
      <c r="Z73" t="str">
        <f ca="1">IF(AND(ISNUMBER($Z$746),$B$677=1),$Z$746,HLOOKUP(INDIRECT(ADDRESS(2,COLUMN())),OFFSET($BN$2,0,0,ROW()-1,60),ROW()-1,FALSE))</f>
        <v/>
      </c>
      <c r="AA73" t="str">
        <f ca="1">IF(AND(ISNUMBER($AA$746),$B$677=1),$AA$746,HLOOKUP(INDIRECT(ADDRESS(2,COLUMN())),OFFSET($BN$2,0,0,ROW()-1,60),ROW()-1,FALSE))</f>
        <v/>
      </c>
      <c r="AB73" t="str">
        <f ca="1">IF(AND(ISNUMBER($AB$746),$B$677=1),$AB$746,HLOOKUP(INDIRECT(ADDRESS(2,COLUMN())),OFFSET($BN$2,0,0,ROW()-1,60),ROW()-1,FALSE))</f>
        <v/>
      </c>
      <c r="AC73" t="str">
        <f ca="1">IF(AND(ISNUMBER($AC$746),$B$677=1),$AC$746,HLOOKUP(INDIRECT(ADDRESS(2,COLUMN())),OFFSET($BN$2,0,0,ROW()-1,60),ROW()-1,FALSE))</f>
        <v/>
      </c>
      <c r="AD73" t="str">
        <f ca="1">IF(AND(ISNUMBER($AD$746),$B$677=1),$AD$746,HLOOKUP(INDIRECT(ADDRESS(2,COLUMN())),OFFSET($BN$2,0,0,ROW()-1,60),ROW()-1,FALSE))</f>
        <v/>
      </c>
      <c r="AE73" t="str">
        <f ca="1">IF(AND(ISNUMBER($AE$746),$B$677=1),$AE$746,HLOOKUP(INDIRECT(ADDRESS(2,COLUMN())),OFFSET($BN$2,0,0,ROW()-1,60),ROW()-1,FALSE))</f>
        <v/>
      </c>
      <c r="AF73" t="str">
        <f ca="1">IF(AND(ISNUMBER($AF$746),$B$677=1),$AF$746,HLOOKUP(INDIRECT(ADDRESS(2,COLUMN())),OFFSET($BN$2,0,0,ROW()-1,60),ROW()-1,FALSE))</f>
        <v/>
      </c>
      <c r="AG73" t="str">
        <f ca="1">IF(AND(ISNUMBER($AG$746),$B$677=1),$AG$746,HLOOKUP(INDIRECT(ADDRESS(2,COLUMN())),OFFSET($BN$2,0,0,ROW()-1,60),ROW()-1,FALSE))</f>
        <v/>
      </c>
      <c r="AH73" t="str">
        <f ca="1">IF(AND(ISNUMBER($AH$746),$B$677=1),$AH$746,HLOOKUP(INDIRECT(ADDRESS(2,COLUMN())),OFFSET($BN$2,0,0,ROW()-1,60),ROW()-1,FALSE))</f>
        <v/>
      </c>
      <c r="AI73" t="str">
        <f ca="1">IF(AND(ISNUMBER($AI$746),$B$677=1),$AI$746,HLOOKUP(INDIRECT(ADDRESS(2,COLUMN())),OFFSET($BN$2,0,0,ROW()-1,60),ROW()-1,FALSE))</f>
        <v/>
      </c>
      <c r="AJ73" t="str">
        <f ca="1">IF(AND(ISNUMBER($AJ$746),$B$677=1),$AJ$746,HLOOKUP(INDIRECT(ADDRESS(2,COLUMN())),OFFSET($BN$2,0,0,ROW()-1,60),ROW()-1,FALSE))</f>
        <v/>
      </c>
      <c r="AK73" t="str">
        <f ca="1">IF(AND(ISNUMBER($AK$746),$B$677=1),$AK$746,HLOOKUP(INDIRECT(ADDRESS(2,COLUMN())),OFFSET($BN$2,0,0,ROW()-1,60),ROW()-1,FALSE))</f>
        <v/>
      </c>
      <c r="AL73" t="str">
        <f ca="1">IF(AND(ISNUMBER($AL$746),$B$677=1),$AL$746,HLOOKUP(INDIRECT(ADDRESS(2,COLUMN())),OFFSET($BN$2,0,0,ROW()-1,60),ROW()-1,FALSE))</f>
        <v/>
      </c>
      <c r="AM73" t="str">
        <f ca="1">IF(AND(ISNUMBER($AM$746),$B$677=1),$AM$746,HLOOKUP(INDIRECT(ADDRESS(2,COLUMN())),OFFSET($BN$2,0,0,ROW()-1,60),ROW()-1,FALSE))</f>
        <v/>
      </c>
      <c r="AN73" t="str">
        <f ca="1">IF(AND(ISNUMBER($AN$746),$B$677=1),$AN$746,HLOOKUP(INDIRECT(ADDRESS(2,COLUMN())),OFFSET($BN$2,0,0,ROW()-1,60),ROW()-1,FALSE))</f>
        <v/>
      </c>
      <c r="AO73" t="str">
        <f ca="1">IF(AND(ISNUMBER($AO$746),$B$677=1),$AO$746,HLOOKUP(INDIRECT(ADDRESS(2,COLUMN())),OFFSET($BN$2,0,0,ROW()-1,60),ROW()-1,FALSE))</f>
        <v/>
      </c>
      <c r="AP73" t="str">
        <f ca="1">IF(AND(ISNUMBER($AP$746),$B$677=1),$AP$746,HLOOKUP(INDIRECT(ADDRESS(2,COLUMN())),OFFSET($BN$2,0,0,ROW()-1,60),ROW()-1,FALSE))</f>
        <v/>
      </c>
      <c r="AQ73" t="str">
        <f ca="1">IF(AND(ISNUMBER($AQ$746),$B$677=1),$AQ$746,HLOOKUP(INDIRECT(ADDRESS(2,COLUMN())),OFFSET($BN$2,0,0,ROW()-1,60),ROW()-1,FALSE))</f>
        <v/>
      </c>
      <c r="AR73" t="str">
        <f ca="1">IF(AND(ISNUMBER($AR$746),$B$677=1),$AR$746,HLOOKUP(INDIRECT(ADDRESS(2,COLUMN())),OFFSET($BN$2,0,0,ROW()-1,60),ROW()-1,FALSE))</f>
        <v/>
      </c>
      <c r="AS73" t="str">
        <f ca="1">IF(AND(ISNUMBER($AS$746),$B$677=1),$AS$746,HLOOKUP(INDIRECT(ADDRESS(2,COLUMN())),OFFSET($BN$2,0,0,ROW()-1,60),ROW()-1,FALSE))</f>
        <v/>
      </c>
      <c r="AT73" t="str">
        <f ca="1">IF(AND(ISNUMBER($AT$746),$B$677=1),$AT$746,HLOOKUP(INDIRECT(ADDRESS(2,COLUMN())),OFFSET($BN$2,0,0,ROW()-1,60),ROW()-1,FALSE))</f>
        <v/>
      </c>
      <c r="AU73" t="str">
        <f ca="1">IF(AND(ISNUMBER($AU$746),$B$677=1),$AU$746,HLOOKUP(INDIRECT(ADDRESS(2,COLUMN())),OFFSET($BN$2,0,0,ROW()-1,60),ROW()-1,FALSE))</f>
        <v/>
      </c>
      <c r="AV73" t="str">
        <f ca="1">IF(AND(ISNUMBER($AV$746),$B$677=1),$AV$746,HLOOKUP(INDIRECT(ADDRESS(2,COLUMN())),OFFSET($BN$2,0,0,ROW()-1,60),ROW()-1,FALSE))</f>
        <v/>
      </c>
      <c r="AW73" t="str">
        <f ca="1">IF(AND(ISNUMBER($AW$746),$B$677=1),$AW$746,HLOOKUP(INDIRECT(ADDRESS(2,COLUMN())),OFFSET($BN$2,0,0,ROW()-1,60),ROW()-1,FALSE))</f>
        <v/>
      </c>
      <c r="AX73" t="str">
        <f ca="1">IF(AND(ISNUMBER($AX$746),$B$677=1),$AX$746,HLOOKUP(INDIRECT(ADDRESS(2,COLUMN())),OFFSET($BN$2,0,0,ROW()-1,60),ROW()-1,FALSE))</f>
        <v/>
      </c>
      <c r="AY73" t="str">
        <f ca="1">IF(AND(ISNUMBER($AY$746),$B$677=1),$AY$746,HLOOKUP(INDIRECT(ADDRESS(2,COLUMN())),OFFSET($BN$2,0,0,ROW()-1,60),ROW()-1,FALSE))</f>
        <v/>
      </c>
      <c r="AZ73" t="str">
        <f ca="1">IF(AND(ISNUMBER($AZ$746),$B$677=1),$AZ$746,HLOOKUP(INDIRECT(ADDRESS(2,COLUMN())),OFFSET($BN$2,0,0,ROW()-1,60),ROW()-1,FALSE))</f>
        <v/>
      </c>
      <c r="BA73" t="str">
        <f ca="1">IF(AND(ISNUMBER($BA$746),$B$677=1),$BA$746,HLOOKUP(INDIRECT(ADDRESS(2,COLUMN())),OFFSET($BN$2,0,0,ROW()-1,60),ROW()-1,FALSE))</f>
        <v/>
      </c>
      <c r="BB73" t="str">
        <f ca="1">IF(AND(ISNUMBER($BB$746),$B$677=1),$BB$746,HLOOKUP(INDIRECT(ADDRESS(2,COLUMN())),OFFSET($BN$2,0,0,ROW()-1,60),ROW()-1,FALSE))</f>
        <v/>
      </c>
      <c r="BC73" t="str">
        <f ca="1">IF(AND(ISNUMBER($BC$746),$B$677=1),$BC$746,HLOOKUP(INDIRECT(ADDRESS(2,COLUMN())),OFFSET($BN$2,0,0,ROW()-1,60),ROW()-1,FALSE))</f>
        <v/>
      </c>
      <c r="BD73" t="str">
        <f ca="1">IF(AND(ISNUMBER($BD$746),$B$677=1),$BD$746,HLOOKUP(INDIRECT(ADDRESS(2,COLUMN())),OFFSET($BN$2,0,0,ROW()-1,60),ROW()-1,FALSE))</f>
        <v/>
      </c>
      <c r="BE73" t="str">
        <f ca="1">IF(AND(ISNUMBER($BE$746),$B$677=1),$BE$746,HLOOKUP(INDIRECT(ADDRESS(2,COLUMN())),OFFSET($BN$2,0,0,ROW()-1,60),ROW()-1,FALSE))</f>
        <v/>
      </c>
      <c r="BF73" t="str">
        <f ca="1">IF(AND(ISNUMBER($BF$746),$B$677=1),$BF$746,HLOOKUP(INDIRECT(ADDRESS(2,COLUMN())),OFFSET($BN$2,0,0,ROW()-1,60),ROW()-1,FALSE))</f>
        <v/>
      </c>
      <c r="BG73" t="str">
        <f ca="1">IF(AND(ISNUMBER($BG$746),$B$677=1),$BG$746,HLOOKUP(INDIRECT(ADDRESS(2,COLUMN())),OFFSET($BN$2,0,0,ROW()-1,60),ROW()-1,FALSE))</f>
        <v/>
      </c>
      <c r="BH73" t="str">
        <f ca="1">IF(AND(ISNUMBER($BH$746),$B$677=1),$BH$746,HLOOKUP(INDIRECT(ADDRESS(2,COLUMN())),OFFSET($BN$2,0,0,ROW()-1,60),ROW()-1,FALSE))</f>
        <v/>
      </c>
      <c r="BI73" t="str">
        <f ca="1">IF(AND(ISNUMBER($BI$746),$B$677=1),$BI$746,HLOOKUP(INDIRECT(ADDRESS(2,COLUMN())),OFFSET($BN$2,0,0,ROW()-1,60),ROW()-1,FALSE))</f>
        <v/>
      </c>
      <c r="BJ73" t="str">
        <f ca="1">IF(AND(ISNUMBER($BJ$746),$B$677=1),$BJ$746,HLOOKUP(INDIRECT(ADDRESS(2,COLUMN())),OFFSET($BN$2,0,0,ROW()-1,60),ROW()-1,FALSE))</f>
        <v/>
      </c>
      <c r="BK73" t="str">
        <f ca="1">IF(AND(ISNUMBER($BK$746),$B$677=1),$BK$746,HLOOKUP(INDIRECT(ADDRESS(2,COLUMN())),OFFSET($BN$2,0,0,ROW()-1,60),ROW()-1,FALSE))</f>
        <v/>
      </c>
      <c r="BL73" t="str">
        <f ca="1">IF(AND(ISNUMBER($BL$746),$B$677=1),$BL$746,HLOOKUP(INDIRECT(ADDRESS(2,COLUMN())),OFFSET($BN$2,0,0,ROW()-1,60),ROW()-1,FALSE))</f>
        <v/>
      </c>
      <c r="BM73" t="str">
        <f ca="1">IF(AND(ISNUMBER($BM$746),$B$677=1),$BM$746,HLOOKUP(INDIRECT(ADDRESS(2,COLUMN())),OFFSET($BN$2,0,0,ROW()-1,60),ROW()-1,FALSE))</f>
        <v/>
      </c>
      <c r="BN73">
        <f>9.010499523</f>
        <v>9.010499523</v>
      </c>
      <c r="BO73">
        <f>8.389430639</f>
        <v>8.3894306390000004</v>
      </c>
      <c r="BP73">
        <f>10.21799202</f>
        <v>10.217992020000001</v>
      </c>
      <c r="BQ73">
        <f>10.83952912</f>
        <v>10.83952912</v>
      </c>
      <c r="BR73">
        <f>10.28735632</f>
        <v>10.287356320000001</v>
      </c>
      <c r="BS73">
        <f>9.487710986</f>
        <v>9.4877109859999997</v>
      </c>
      <c r="BT73">
        <f>8.889870436</f>
        <v>8.8898704360000007</v>
      </c>
      <c r="BU73">
        <f>9.057759627</f>
        <v>9.0577596269999994</v>
      </c>
      <c r="BV73">
        <f>7.480106101</f>
        <v>7.4801061009999996</v>
      </c>
      <c r="BW73">
        <f>6.989567809</f>
        <v>6.9895678090000004</v>
      </c>
      <c r="BX73">
        <f>6.864593151</f>
        <v>6.8645931510000002</v>
      </c>
      <c r="BY73">
        <f>6.524115756</f>
        <v>6.5241157559999996</v>
      </c>
      <c r="BZ73">
        <f>7.627376426</f>
        <v>7.6273764259999997</v>
      </c>
      <c r="CA73">
        <f>9.733944954</f>
        <v>9.733944954</v>
      </c>
      <c r="CB73">
        <f>8.842105263</f>
        <v>8.8421052630000005</v>
      </c>
      <c r="CC73">
        <f>6.807228916</f>
        <v>6.8072289159999997</v>
      </c>
      <c r="CD73">
        <f>6.078239609</f>
        <v>6.0782396089999997</v>
      </c>
      <c r="CE73">
        <f>5.802702703</f>
        <v>5.8027027029999996</v>
      </c>
      <c r="CF73" t="str">
        <f>""</f>
        <v/>
      </c>
      <c r="CG73" t="str">
        <f>""</f>
        <v/>
      </c>
      <c r="CH73" t="str">
        <f>""</f>
        <v/>
      </c>
      <c r="CI73" t="str">
        <f>""</f>
        <v/>
      </c>
      <c r="CJ73" t="str">
        <f>""</f>
        <v/>
      </c>
      <c r="CK73" t="str">
        <f>""</f>
        <v/>
      </c>
      <c r="CL73" t="str">
        <f>""</f>
        <v/>
      </c>
      <c r="CM73" t="str">
        <f>""</f>
        <v/>
      </c>
      <c r="CN73" t="str">
        <f>""</f>
        <v/>
      </c>
      <c r="CO73" t="str">
        <f>""</f>
        <v/>
      </c>
      <c r="CP73" t="str">
        <f>""</f>
        <v/>
      </c>
      <c r="CQ73" t="str">
        <f>""</f>
        <v/>
      </c>
      <c r="CR73" t="str">
        <f>""</f>
        <v/>
      </c>
      <c r="CS73" t="str">
        <f>""</f>
        <v/>
      </c>
      <c r="CT73" t="str">
        <f>""</f>
        <v/>
      </c>
      <c r="CU73" t="str">
        <f>""</f>
        <v/>
      </c>
      <c r="CV73" t="str">
        <f>""</f>
        <v/>
      </c>
      <c r="CW73" t="str">
        <f>""</f>
        <v/>
      </c>
      <c r="CX73" t="str">
        <f>""</f>
        <v/>
      </c>
      <c r="CY73" t="str">
        <f>""</f>
        <v/>
      </c>
      <c r="CZ73" t="str">
        <f>""</f>
        <v/>
      </c>
      <c r="DA73" t="str">
        <f>""</f>
        <v/>
      </c>
      <c r="DB73" t="str">
        <f>""</f>
        <v/>
      </c>
      <c r="DC73" t="str">
        <f>""</f>
        <v/>
      </c>
      <c r="DD73" t="str">
        <f>""</f>
        <v/>
      </c>
      <c r="DE73" t="str">
        <f>""</f>
        <v/>
      </c>
      <c r="DF73" t="str">
        <f>""</f>
        <v/>
      </c>
      <c r="DG73" t="str">
        <f>""</f>
        <v/>
      </c>
      <c r="DH73" t="str">
        <f>""</f>
        <v/>
      </c>
      <c r="DI73" t="str">
        <f>""</f>
        <v/>
      </c>
      <c r="DJ73" t="str">
        <f>""</f>
        <v/>
      </c>
      <c r="DK73" t="str">
        <f>""</f>
        <v/>
      </c>
      <c r="DL73" t="str">
        <f>""</f>
        <v/>
      </c>
      <c r="DM73" t="str">
        <f>""</f>
        <v/>
      </c>
      <c r="DN73" t="str">
        <f>""</f>
        <v/>
      </c>
      <c r="DO73" t="str">
        <f>""</f>
        <v/>
      </c>
      <c r="DP73" t="str">
        <f>""</f>
        <v/>
      </c>
      <c r="DQ73" t="str">
        <f>""</f>
        <v/>
      </c>
      <c r="DR73" t="str">
        <f>""</f>
        <v/>
      </c>
      <c r="DS73" t="str">
        <f>""</f>
        <v/>
      </c>
      <c r="DT73" t="str">
        <f>""</f>
        <v/>
      </c>
      <c r="DU73" t="str">
        <f>""</f>
        <v/>
      </c>
    </row>
    <row r="74" spans="1:125" x14ac:dyDescent="0.25">
      <c r="A74" t="str">
        <f>"    Sanyang Motor Co Ltd"</f>
        <v xml:space="preserve">    Sanyang Motor Co Ltd</v>
      </c>
      <c r="B74" t="str">
        <f>"2206 TT Equity"</f>
        <v>2206 TT Equity</v>
      </c>
      <c r="C74" t="str">
        <f t="shared" si="3"/>
        <v>EZ009</v>
      </c>
      <c r="D74" t="str">
        <f t="shared" si="4"/>
        <v>BEST_EST_PE_CUR_YR</v>
      </c>
      <c r="E74" t="str">
        <f t="shared" si="5"/>
        <v>Dynamic</v>
      </c>
      <c r="F74">
        <f ca="1">IF(AND(ISNUMBER($F$747),$B$677=1),$F$747,HLOOKUP(INDIRECT(ADDRESS(2,COLUMN())),OFFSET($BN$2,0,0,ROW()-1,60),ROW()-1,FALSE))</f>
        <v>9.69047619</v>
      </c>
      <c r="G74">
        <f ca="1">IF(AND(ISNUMBER($G$747),$B$677=1),$G$747,HLOOKUP(INDIRECT(ADDRESS(2,COLUMN())),OFFSET($BN$2,0,0,ROW()-1,60),ROW()-1,FALSE))</f>
        <v>9.5238095240000007</v>
      </c>
      <c r="H74">
        <f ca="1">IF(AND(ISNUMBER($H$747),$B$677=1),$H$747,HLOOKUP(INDIRECT(ADDRESS(2,COLUMN())),OFFSET($BN$2,0,0,ROW()-1,60),ROW()-1,FALSE))</f>
        <v>20.5</v>
      </c>
      <c r="I74" t="str">
        <f ca="1">IF(AND(ISNUMBER($I$747),$B$677=1),$I$747,HLOOKUP(INDIRECT(ADDRESS(2,COLUMN())),OFFSET($BN$2,0,0,ROW()-1,60),ROW()-1,FALSE))</f>
        <v/>
      </c>
      <c r="J74" t="str">
        <f ca="1">IF(AND(ISNUMBER($J$747),$B$677=1),$J$747,HLOOKUP(INDIRECT(ADDRESS(2,COLUMN())),OFFSET($BN$2,0,0,ROW()-1,60),ROW()-1,FALSE))</f>
        <v/>
      </c>
      <c r="K74" t="str">
        <f ca="1">IF(AND(ISNUMBER($K$747),$B$677=1),$K$747,HLOOKUP(INDIRECT(ADDRESS(2,COLUMN())),OFFSET($BN$2,0,0,ROW()-1,60),ROW()-1,FALSE))</f>
        <v/>
      </c>
      <c r="L74" t="str">
        <f ca="1">IF(AND(ISNUMBER($L$747),$B$677=1),$L$747,HLOOKUP(INDIRECT(ADDRESS(2,COLUMN())),OFFSET($BN$2,0,0,ROW()-1,60),ROW()-1,FALSE))</f>
        <v/>
      </c>
      <c r="M74" t="str">
        <f ca="1">IF(AND(ISNUMBER($M$747),$B$677=1),$M$747,HLOOKUP(INDIRECT(ADDRESS(2,COLUMN())),OFFSET($BN$2,0,0,ROW()-1,60),ROW()-1,FALSE))</f>
        <v/>
      </c>
      <c r="N74" t="str">
        <f ca="1">IF(AND(ISNUMBER($N$747),$B$677=1),$N$747,HLOOKUP(INDIRECT(ADDRESS(2,COLUMN())),OFFSET($BN$2,0,0,ROW()-1,60),ROW()-1,FALSE))</f>
        <v/>
      </c>
      <c r="O74" t="str">
        <f ca="1">IF(AND(ISNUMBER($O$747),$B$677=1),$O$747,HLOOKUP(INDIRECT(ADDRESS(2,COLUMN())),OFFSET($BN$2,0,0,ROW()-1,60),ROW()-1,FALSE))</f>
        <v/>
      </c>
      <c r="P74" t="str">
        <f ca="1">IF(AND(ISNUMBER($P$747),$B$677=1),$P$747,HLOOKUP(INDIRECT(ADDRESS(2,COLUMN())),OFFSET($BN$2,0,0,ROW()-1,60),ROW()-1,FALSE))</f>
        <v/>
      </c>
      <c r="Q74" t="str">
        <f ca="1">IF(AND(ISNUMBER($Q$747),$B$677=1),$Q$747,HLOOKUP(INDIRECT(ADDRESS(2,COLUMN())),OFFSET($BN$2,0,0,ROW()-1,60),ROW()-1,FALSE))</f>
        <v/>
      </c>
      <c r="R74" t="str">
        <f ca="1">IF(AND(ISNUMBER($R$747),$B$677=1),$R$747,HLOOKUP(INDIRECT(ADDRESS(2,COLUMN())),OFFSET($BN$2,0,0,ROW()-1,60),ROW()-1,FALSE))</f>
        <v/>
      </c>
      <c r="S74" t="str">
        <f ca="1">IF(AND(ISNUMBER($S$747),$B$677=1),$S$747,HLOOKUP(INDIRECT(ADDRESS(2,COLUMN())),OFFSET($BN$2,0,0,ROW()-1,60),ROW()-1,FALSE))</f>
        <v/>
      </c>
      <c r="T74" t="str">
        <f ca="1">IF(AND(ISNUMBER($T$747),$B$677=1),$T$747,HLOOKUP(INDIRECT(ADDRESS(2,COLUMN())),OFFSET($BN$2,0,0,ROW()-1,60),ROW()-1,FALSE))</f>
        <v/>
      </c>
      <c r="U74" t="str">
        <f ca="1">IF(AND(ISNUMBER($U$747),$B$677=1),$U$747,HLOOKUP(INDIRECT(ADDRESS(2,COLUMN())),OFFSET($BN$2,0,0,ROW()-1,60),ROW()-1,FALSE))</f>
        <v/>
      </c>
      <c r="V74" t="str">
        <f ca="1">IF(AND(ISNUMBER($V$747),$B$677=1),$V$747,HLOOKUP(INDIRECT(ADDRESS(2,COLUMN())),OFFSET($BN$2,0,0,ROW()-1,60),ROW()-1,FALSE))</f>
        <v/>
      </c>
      <c r="W74" t="str">
        <f ca="1">IF(AND(ISNUMBER($W$747),$B$677=1),$W$747,HLOOKUP(INDIRECT(ADDRESS(2,COLUMN())),OFFSET($BN$2,0,0,ROW()-1,60),ROW()-1,FALSE))</f>
        <v/>
      </c>
      <c r="X74" t="str">
        <f ca="1">IF(AND(ISNUMBER($X$747),$B$677=1),$X$747,HLOOKUP(INDIRECT(ADDRESS(2,COLUMN())),OFFSET($BN$2,0,0,ROW()-1,60),ROW()-1,FALSE))</f>
        <v/>
      </c>
      <c r="Y74" t="str">
        <f ca="1">IF(AND(ISNUMBER($Y$747),$B$677=1),$Y$747,HLOOKUP(INDIRECT(ADDRESS(2,COLUMN())),OFFSET($BN$2,0,0,ROW()-1,60),ROW()-1,FALSE))</f>
        <v/>
      </c>
      <c r="Z74" t="str">
        <f ca="1">IF(AND(ISNUMBER($Z$747),$B$677=1),$Z$747,HLOOKUP(INDIRECT(ADDRESS(2,COLUMN())),OFFSET($BN$2,0,0,ROW()-1,60),ROW()-1,FALSE))</f>
        <v/>
      </c>
      <c r="AA74" t="str">
        <f ca="1">IF(AND(ISNUMBER($AA$747),$B$677=1),$AA$747,HLOOKUP(INDIRECT(ADDRESS(2,COLUMN())),OFFSET($BN$2,0,0,ROW()-1,60),ROW()-1,FALSE))</f>
        <v/>
      </c>
      <c r="AB74" t="str">
        <f ca="1">IF(AND(ISNUMBER($AB$747),$B$677=1),$AB$747,HLOOKUP(INDIRECT(ADDRESS(2,COLUMN())),OFFSET($BN$2,0,0,ROW()-1,60),ROW()-1,FALSE))</f>
        <v/>
      </c>
      <c r="AC74" t="str">
        <f ca="1">IF(AND(ISNUMBER($AC$747),$B$677=1),$AC$747,HLOOKUP(INDIRECT(ADDRESS(2,COLUMN())),OFFSET($BN$2,0,0,ROW()-1,60),ROW()-1,FALSE))</f>
        <v/>
      </c>
      <c r="AD74" t="str">
        <f ca="1">IF(AND(ISNUMBER($AD$747),$B$677=1),$AD$747,HLOOKUP(INDIRECT(ADDRESS(2,COLUMN())),OFFSET($BN$2,0,0,ROW()-1,60),ROW()-1,FALSE))</f>
        <v/>
      </c>
      <c r="AE74" t="str">
        <f ca="1">IF(AND(ISNUMBER($AE$747),$B$677=1),$AE$747,HLOOKUP(INDIRECT(ADDRESS(2,COLUMN())),OFFSET($BN$2,0,0,ROW()-1,60),ROW()-1,FALSE))</f>
        <v/>
      </c>
      <c r="AF74" t="str">
        <f ca="1">IF(AND(ISNUMBER($AF$747),$B$677=1),$AF$747,HLOOKUP(INDIRECT(ADDRESS(2,COLUMN())),OFFSET($BN$2,0,0,ROW()-1,60),ROW()-1,FALSE))</f>
        <v/>
      </c>
      <c r="AG74" t="str">
        <f ca="1">IF(AND(ISNUMBER($AG$747),$B$677=1),$AG$747,HLOOKUP(INDIRECT(ADDRESS(2,COLUMN())),OFFSET($BN$2,0,0,ROW()-1,60),ROW()-1,FALSE))</f>
        <v/>
      </c>
      <c r="AH74" t="str">
        <f ca="1">IF(AND(ISNUMBER($AH$747),$B$677=1),$AH$747,HLOOKUP(INDIRECT(ADDRESS(2,COLUMN())),OFFSET($BN$2,0,0,ROW()-1,60),ROW()-1,FALSE))</f>
        <v/>
      </c>
      <c r="AI74" t="str">
        <f ca="1">IF(AND(ISNUMBER($AI$747),$B$677=1),$AI$747,HLOOKUP(INDIRECT(ADDRESS(2,COLUMN())),OFFSET($BN$2,0,0,ROW()-1,60),ROW()-1,FALSE))</f>
        <v/>
      </c>
      <c r="AJ74" t="str">
        <f ca="1">IF(AND(ISNUMBER($AJ$747),$B$677=1),$AJ$747,HLOOKUP(INDIRECT(ADDRESS(2,COLUMN())),OFFSET($BN$2,0,0,ROW()-1,60),ROW()-1,FALSE))</f>
        <v/>
      </c>
      <c r="AK74" t="str">
        <f ca="1">IF(AND(ISNUMBER($AK$747),$B$677=1),$AK$747,HLOOKUP(INDIRECT(ADDRESS(2,COLUMN())),OFFSET($BN$2,0,0,ROW()-1,60),ROW()-1,FALSE))</f>
        <v/>
      </c>
      <c r="AL74" t="str">
        <f ca="1">IF(AND(ISNUMBER($AL$747),$B$677=1),$AL$747,HLOOKUP(INDIRECT(ADDRESS(2,COLUMN())),OFFSET($BN$2,0,0,ROW()-1,60),ROW()-1,FALSE))</f>
        <v/>
      </c>
      <c r="AM74" t="str">
        <f ca="1">IF(AND(ISNUMBER($AM$747),$B$677=1),$AM$747,HLOOKUP(INDIRECT(ADDRESS(2,COLUMN())),OFFSET($BN$2,0,0,ROW()-1,60),ROW()-1,FALSE))</f>
        <v/>
      </c>
      <c r="AN74" t="str">
        <f ca="1">IF(AND(ISNUMBER($AN$747),$B$677=1),$AN$747,HLOOKUP(INDIRECT(ADDRESS(2,COLUMN())),OFFSET($BN$2,0,0,ROW()-1,60),ROW()-1,FALSE))</f>
        <v/>
      </c>
      <c r="AO74" t="str">
        <f ca="1">IF(AND(ISNUMBER($AO$747),$B$677=1),$AO$747,HLOOKUP(INDIRECT(ADDRESS(2,COLUMN())),OFFSET($BN$2,0,0,ROW()-1,60),ROW()-1,FALSE))</f>
        <v/>
      </c>
      <c r="AP74" t="str">
        <f ca="1">IF(AND(ISNUMBER($AP$747),$B$677=1),$AP$747,HLOOKUP(INDIRECT(ADDRESS(2,COLUMN())),OFFSET($BN$2,0,0,ROW()-1,60),ROW()-1,FALSE))</f>
        <v/>
      </c>
      <c r="AQ74" t="str">
        <f ca="1">IF(AND(ISNUMBER($AQ$747),$B$677=1),$AQ$747,HLOOKUP(INDIRECT(ADDRESS(2,COLUMN())),OFFSET($BN$2,0,0,ROW()-1,60),ROW()-1,FALSE))</f>
        <v/>
      </c>
      <c r="AR74" t="str">
        <f ca="1">IF(AND(ISNUMBER($AR$747),$B$677=1),$AR$747,HLOOKUP(INDIRECT(ADDRESS(2,COLUMN())),OFFSET($BN$2,0,0,ROW()-1,60),ROW()-1,FALSE))</f>
        <v/>
      </c>
      <c r="AS74" t="str">
        <f ca="1">IF(AND(ISNUMBER($AS$747),$B$677=1),$AS$747,HLOOKUP(INDIRECT(ADDRESS(2,COLUMN())),OFFSET($BN$2,0,0,ROW()-1,60),ROW()-1,FALSE))</f>
        <v/>
      </c>
      <c r="AT74" t="str">
        <f ca="1">IF(AND(ISNUMBER($AT$747),$B$677=1),$AT$747,HLOOKUP(INDIRECT(ADDRESS(2,COLUMN())),OFFSET($BN$2,0,0,ROW()-1,60),ROW()-1,FALSE))</f>
        <v/>
      </c>
      <c r="AU74" t="str">
        <f ca="1">IF(AND(ISNUMBER($AU$747),$B$677=1),$AU$747,HLOOKUP(INDIRECT(ADDRESS(2,COLUMN())),OFFSET($BN$2,0,0,ROW()-1,60),ROW()-1,FALSE))</f>
        <v/>
      </c>
      <c r="AV74" t="str">
        <f ca="1">IF(AND(ISNUMBER($AV$747),$B$677=1),$AV$747,HLOOKUP(INDIRECT(ADDRESS(2,COLUMN())),OFFSET($BN$2,0,0,ROW()-1,60),ROW()-1,FALSE))</f>
        <v/>
      </c>
      <c r="AW74" t="str">
        <f ca="1">IF(AND(ISNUMBER($AW$747),$B$677=1),$AW$747,HLOOKUP(INDIRECT(ADDRESS(2,COLUMN())),OFFSET($BN$2,0,0,ROW()-1,60),ROW()-1,FALSE))</f>
        <v/>
      </c>
      <c r="AX74" t="str">
        <f ca="1">IF(AND(ISNUMBER($AX$747),$B$677=1),$AX$747,HLOOKUP(INDIRECT(ADDRESS(2,COLUMN())),OFFSET($BN$2,0,0,ROW()-1,60),ROW()-1,FALSE))</f>
        <v/>
      </c>
      <c r="AY74" t="str">
        <f ca="1">IF(AND(ISNUMBER($AY$747),$B$677=1),$AY$747,HLOOKUP(INDIRECT(ADDRESS(2,COLUMN())),OFFSET($BN$2,0,0,ROW()-1,60),ROW()-1,FALSE))</f>
        <v/>
      </c>
      <c r="AZ74" t="str">
        <f ca="1">IF(AND(ISNUMBER($AZ$747),$B$677=1),$AZ$747,HLOOKUP(INDIRECT(ADDRESS(2,COLUMN())),OFFSET($BN$2,0,0,ROW()-1,60),ROW()-1,FALSE))</f>
        <v/>
      </c>
      <c r="BA74" t="str">
        <f ca="1">IF(AND(ISNUMBER($BA$747),$B$677=1),$BA$747,HLOOKUP(INDIRECT(ADDRESS(2,COLUMN())),OFFSET($BN$2,0,0,ROW()-1,60),ROW()-1,FALSE))</f>
        <v/>
      </c>
      <c r="BB74" t="str">
        <f ca="1">IF(AND(ISNUMBER($BB$747),$B$677=1),$BB$747,HLOOKUP(INDIRECT(ADDRESS(2,COLUMN())),OFFSET($BN$2,0,0,ROW()-1,60),ROW()-1,FALSE))</f>
        <v/>
      </c>
      <c r="BC74" t="str">
        <f ca="1">IF(AND(ISNUMBER($BC$747),$B$677=1),$BC$747,HLOOKUP(INDIRECT(ADDRESS(2,COLUMN())),OFFSET($BN$2,0,0,ROW()-1,60),ROW()-1,FALSE))</f>
        <v/>
      </c>
      <c r="BD74" t="str">
        <f ca="1">IF(AND(ISNUMBER($BD$747),$B$677=1),$BD$747,HLOOKUP(INDIRECT(ADDRESS(2,COLUMN())),OFFSET($BN$2,0,0,ROW()-1,60),ROW()-1,FALSE))</f>
        <v/>
      </c>
      <c r="BE74" t="str">
        <f ca="1">IF(AND(ISNUMBER($BE$747),$B$677=1),$BE$747,HLOOKUP(INDIRECT(ADDRESS(2,COLUMN())),OFFSET($BN$2,0,0,ROW()-1,60),ROW()-1,FALSE))</f>
        <v/>
      </c>
      <c r="BF74" t="str">
        <f ca="1">IF(AND(ISNUMBER($BF$747),$B$677=1),$BF$747,HLOOKUP(INDIRECT(ADDRESS(2,COLUMN())),OFFSET($BN$2,0,0,ROW()-1,60),ROW()-1,FALSE))</f>
        <v/>
      </c>
      <c r="BG74" t="str">
        <f ca="1">IF(AND(ISNUMBER($BG$747),$B$677=1),$BG$747,HLOOKUP(INDIRECT(ADDRESS(2,COLUMN())),OFFSET($BN$2,0,0,ROW()-1,60),ROW()-1,FALSE))</f>
        <v/>
      </c>
      <c r="BH74" t="str">
        <f ca="1">IF(AND(ISNUMBER($BH$747),$B$677=1),$BH$747,HLOOKUP(INDIRECT(ADDRESS(2,COLUMN())),OFFSET($BN$2,0,0,ROW()-1,60),ROW()-1,FALSE))</f>
        <v/>
      </c>
      <c r="BI74" t="str">
        <f ca="1">IF(AND(ISNUMBER($BI$747),$B$677=1),$BI$747,HLOOKUP(INDIRECT(ADDRESS(2,COLUMN())),OFFSET($BN$2,0,0,ROW()-1,60),ROW()-1,FALSE))</f>
        <v/>
      </c>
      <c r="BJ74" t="str">
        <f ca="1">IF(AND(ISNUMBER($BJ$747),$B$677=1),$BJ$747,HLOOKUP(INDIRECT(ADDRESS(2,COLUMN())),OFFSET($BN$2,0,0,ROW()-1,60),ROW()-1,FALSE))</f>
        <v/>
      </c>
      <c r="BK74" t="str">
        <f ca="1">IF(AND(ISNUMBER($BK$747),$B$677=1),$BK$747,HLOOKUP(INDIRECT(ADDRESS(2,COLUMN())),OFFSET($BN$2,0,0,ROW()-1,60),ROW()-1,FALSE))</f>
        <v/>
      </c>
      <c r="BL74" t="str">
        <f ca="1">IF(AND(ISNUMBER($BL$747),$B$677=1),$BL$747,HLOOKUP(INDIRECT(ADDRESS(2,COLUMN())),OFFSET($BN$2,0,0,ROW()-1,60),ROW()-1,FALSE))</f>
        <v/>
      </c>
      <c r="BM74" t="str">
        <f ca="1">IF(AND(ISNUMBER($BM$747),$B$677=1),$BM$747,HLOOKUP(INDIRECT(ADDRESS(2,COLUMN())),OFFSET($BN$2,0,0,ROW()-1,60),ROW()-1,FALSE))</f>
        <v/>
      </c>
      <c r="BN74">
        <f>9.69047619</f>
        <v>9.69047619</v>
      </c>
      <c r="BO74">
        <f>9.523809524</f>
        <v>9.5238095240000007</v>
      </c>
      <c r="BP74">
        <f>20.5</f>
        <v>20.5</v>
      </c>
      <c r="BQ74" t="str">
        <f>""</f>
        <v/>
      </c>
      <c r="BR74" t="str">
        <f>""</f>
        <v/>
      </c>
      <c r="BS74" t="str">
        <f>""</f>
        <v/>
      </c>
      <c r="BT74" t="str">
        <f>""</f>
        <v/>
      </c>
      <c r="BU74" t="str">
        <f>""</f>
        <v/>
      </c>
      <c r="BV74" t="str">
        <f>""</f>
        <v/>
      </c>
      <c r="BW74" t="str">
        <f>""</f>
        <v/>
      </c>
      <c r="BX74" t="str">
        <f>""</f>
        <v/>
      </c>
      <c r="BY74" t="str">
        <f>""</f>
        <v/>
      </c>
      <c r="BZ74" t="str">
        <f>""</f>
        <v/>
      </c>
      <c r="CA74" t="str">
        <f>""</f>
        <v/>
      </c>
      <c r="CB74" t="str">
        <f>""</f>
        <v/>
      </c>
      <c r="CC74" t="str">
        <f>""</f>
        <v/>
      </c>
      <c r="CD74" t="str">
        <f>""</f>
        <v/>
      </c>
      <c r="CE74" t="str">
        <f>""</f>
        <v/>
      </c>
      <c r="CF74" t="str">
        <f>""</f>
        <v/>
      </c>
      <c r="CG74" t="str">
        <f>""</f>
        <v/>
      </c>
      <c r="CH74" t="str">
        <f>""</f>
        <v/>
      </c>
      <c r="CI74" t="str">
        <f>""</f>
        <v/>
      </c>
      <c r="CJ74" t="str">
        <f>""</f>
        <v/>
      </c>
      <c r="CK74" t="str">
        <f>""</f>
        <v/>
      </c>
      <c r="CL74" t="str">
        <f>""</f>
        <v/>
      </c>
      <c r="CM74" t="str">
        <f>""</f>
        <v/>
      </c>
      <c r="CN74" t="str">
        <f>""</f>
        <v/>
      </c>
      <c r="CO74" t="str">
        <f>""</f>
        <v/>
      </c>
      <c r="CP74" t="str">
        <f>""</f>
        <v/>
      </c>
      <c r="CQ74" t="str">
        <f>""</f>
        <v/>
      </c>
      <c r="CR74" t="str">
        <f>""</f>
        <v/>
      </c>
      <c r="CS74" t="str">
        <f>""</f>
        <v/>
      </c>
      <c r="CT74" t="str">
        <f>""</f>
        <v/>
      </c>
      <c r="CU74" t="str">
        <f>""</f>
        <v/>
      </c>
      <c r="CV74" t="str">
        <f>""</f>
        <v/>
      </c>
      <c r="CW74" t="str">
        <f>""</f>
        <v/>
      </c>
      <c r="CX74" t="str">
        <f>""</f>
        <v/>
      </c>
      <c r="CY74" t="str">
        <f>""</f>
        <v/>
      </c>
      <c r="CZ74" t="str">
        <f>""</f>
        <v/>
      </c>
      <c r="DA74" t="str">
        <f>""</f>
        <v/>
      </c>
      <c r="DB74" t="str">
        <f>""</f>
        <v/>
      </c>
      <c r="DC74" t="str">
        <f>""</f>
        <v/>
      </c>
      <c r="DD74" t="str">
        <f>""</f>
        <v/>
      </c>
      <c r="DE74" t="str">
        <f>""</f>
        <v/>
      </c>
      <c r="DF74" t="str">
        <f>""</f>
        <v/>
      </c>
      <c r="DG74" t="str">
        <f>""</f>
        <v/>
      </c>
      <c r="DH74" t="str">
        <f>""</f>
        <v/>
      </c>
      <c r="DI74" t="str">
        <f>""</f>
        <v/>
      </c>
      <c r="DJ74" t="str">
        <f>""</f>
        <v/>
      </c>
      <c r="DK74" t="str">
        <f>""</f>
        <v/>
      </c>
      <c r="DL74" t="str">
        <f>""</f>
        <v/>
      </c>
      <c r="DM74" t="str">
        <f>""</f>
        <v/>
      </c>
      <c r="DN74" t="str">
        <f>""</f>
        <v/>
      </c>
      <c r="DO74" t="str">
        <f>""</f>
        <v/>
      </c>
      <c r="DP74" t="str">
        <f>""</f>
        <v/>
      </c>
      <c r="DQ74" t="str">
        <f>""</f>
        <v/>
      </c>
      <c r="DR74" t="str">
        <f>""</f>
        <v/>
      </c>
      <c r="DS74" t="str">
        <f>""</f>
        <v/>
      </c>
      <c r="DT74" t="str">
        <f>""</f>
        <v/>
      </c>
      <c r="DU74" t="str">
        <f>""</f>
        <v/>
      </c>
    </row>
    <row r="75" spans="1:125" x14ac:dyDescent="0.25">
      <c r="A75" t="str">
        <f>"    Sollers PJSC"</f>
        <v xml:space="preserve">    Sollers PJSC</v>
      </c>
      <c r="B75" t="str">
        <f>"SVAV RM Equity"</f>
        <v>SVAV RM Equity</v>
      </c>
      <c r="C75" t="str">
        <f t="shared" si="3"/>
        <v>EZ009</v>
      </c>
      <c r="D75" t="str">
        <f t="shared" si="4"/>
        <v>BEST_EST_PE_CUR_YR</v>
      </c>
      <c r="E75" t="str">
        <f t="shared" si="5"/>
        <v>Dynamic</v>
      </c>
      <c r="F75">
        <f ca="1">IF(AND(ISNUMBER($F$748),$B$677=1),$F$748,HLOOKUP(INDIRECT(ADDRESS(2,COLUMN())),OFFSET($BN$2,0,0,ROW()-1,60),ROW()-1,FALSE))</f>
        <v>6.204265919</v>
      </c>
      <c r="G75">
        <f ca="1">IF(AND(ISNUMBER($G$748),$B$677=1),$G$748,HLOOKUP(INDIRECT(ADDRESS(2,COLUMN())),OFFSET($BN$2,0,0,ROW()-1,60),ROW()-1,FALSE))</f>
        <v>6.3521718820000004</v>
      </c>
      <c r="H75">
        <f ca="1">IF(AND(ISNUMBER($H$748),$B$677=1),$H$748,HLOOKUP(INDIRECT(ADDRESS(2,COLUMN())),OFFSET($BN$2,0,0,ROW()-1,60),ROW()-1,FALSE))</f>
        <v>7.9402148529999996</v>
      </c>
      <c r="I75">
        <f ca="1">IF(AND(ISNUMBER($I$748),$B$677=1),$I$748,HLOOKUP(INDIRECT(ADDRESS(2,COLUMN())),OFFSET($BN$2,0,0,ROW()-1,60),ROW()-1,FALSE))</f>
        <v>11.49144254</v>
      </c>
      <c r="J75">
        <f ca="1">IF(AND(ISNUMBER($J$748),$B$677=1),$J$748,HLOOKUP(INDIRECT(ADDRESS(2,COLUMN())),OFFSET($BN$2,0,0,ROW()-1,60),ROW()-1,FALSE))</f>
        <v>3.3272481009999999</v>
      </c>
      <c r="K75">
        <f ca="1">IF(AND(ISNUMBER($K$748),$B$677=1),$K$748,HLOOKUP(INDIRECT(ADDRESS(2,COLUMN())),OFFSET($BN$2,0,0,ROW()-1,60),ROW()-1,FALSE))</f>
        <v>3.4466517049999998</v>
      </c>
      <c r="L75">
        <f ca="1">IF(AND(ISNUMBER($L$748),$B$677=1),$L$748,HLOOKUP(INDIRECT(ADDRESS(2,COLUMN())),OFFSET($BN$2,0,0,ROW()-1,60),ROW()-1,FALSE))</f>
        <v>3.216210148</v>
      </c>
      <c r="M75">
        <f ca="1">IF(AND(ISNUMBER($M$748),$B$677=1),$M$748,HLOOKUP(INDIRECT(ADDRESS(2,COLUMN())),OFFSET($BN$2,0,0,ROW()-1,60),ROW()-1,FALSE))</f>
        <v>3.3176962639999998</v>
      </c>
      <c r="N75">
        <f ca="1">IF(AND(ISNUMBER($N$748),$B$677=1),$N$748,HLOOKUP(INDIRECT(ADDRESS(2,COLUMN())),OFFSET($BN$2,0,0,ROW()-1,60),ROW()-1,FALSE))</f>
        <v>3.181930591</v>
      </c>
      <c r="O75">
        <f ca="1">IF(AND(ISNUMBER($O$748),$B$677=1),$O$748,HLOOKUP(INDIRECT(ADDRESS(2,COLUMN())),OFFSET($BN$2,0,0,ROW()-1,60),ROW()-1,FALSE))</f>
        <v>2.7081751459999999</v>
      </c>
      <c r="P75">
        <f ca="1">IF(AND(ISNUMBER($P$748),$B$677=1),$P$748,HLOOKUP(INDIRECT(ADDRESS(2,COLUMN())),OFFSET($BN$2,0,0,ROW()-1,60),ROW()-1,FALSE))</f>
        <v>2.9911137289999998</v>
      </c>
      <c r="Q75">
        <f ca="1">IF(AND(ISNUMBER($Q$748),$B$677=1),$Q$748,HLOOKUP(INDIRECT(ADDRESS(2,COLUMN())),OFFSET($BN$2,0,0,ROW()-1,60),ROW()-1,FALSE))</f>
        <v>1.9527814729999999</v>
      </c>
      <c r="R75">
        <f ca="1">IF(AND(ISNUMBER($R$748),$B$677=1),$R$748,HLOOKUP(INDIRECT(ADDRESS(2,COLUMN())),OFFSET($BN$2,0,0,ROW()-1,60),ROW()-1,FALSE))</f>
        <v>2.9232297429999998</v>
      </c>
      <c r="S75">
        <f ca="1">IF(AND(ISNUMBER($S$748),$B$677=1),$S$748,HLOOKUP(INDIRECT(ADDRESS(2,COLUMN())),OFFSET($BN$2,0,0,ROW()-1,60),ROW()-1,FALSE))</f>
        <v>2.8522775650000001</v>
      </c>
      <c r="T75">
        <f ca="1">IF(AND(ISNUMBER($T$748),$B$677=1),$T$748,HLOOKUP(INDIRECT(ADDRESS(2,COLUMN())),OFFSET($BN$2,0,0,ROW()-1,60),ROW()-1,FALSE))</f>
        <v>3.1298793470000001</v>
      </c>
      <c r="U75">
        <f ca="1">IF(AND(ISNUMBER($U$748),$B$677=1),$U$748,HLOOKUP(INDIRECT(ADDRESS(2,COLUMN())),OFFSET($BN$2,0,0,ROW()-1,60),ROW()-1,FALSE))</f>
        <v>1.396885323</v>
      </c>
      <c r="V75">
        <f ca="1">IF(AND(ISNUMBER($V$748),$B$677=1),$V$748,HLOOKUP(INDIRECT(ADDRESS(2,COLUMN())),OFFSET($BN$2,0,0,ROW()-1,60),ROW()-1,FALSE))</f>
        <v>1.1389019979999999</v>
      </c>
      <c r="W75">
        <f ca="1">IF(AND(ISNUMBER($W$748),$B$677=1),$W$748,HLOOKUP(INDIRECT(ADDRESS(2,COLUMN())),OFFSET($BN$2,0,0,ROW()-1,60),ROW()-1,FALSE))</f>
        <v>1.371903418</v>
      </c>
      <c r="X75">
        <f ca="1">IF(AND(ISNUMBER($X$748),$B$677=1),$X$748,HLOOKUP(INDIRECT(ADDRESS(2,COLUMN())),OFFSET($BN$2,0,0,ROW()-1,60),ROW()-1,FALSE))</f>
        <v>1.797977422</v>
      </c>
      <c r="Y75">
        <f ca="1">IF(AND(ISNUMBER($Y$748),$B$677=1),$Y$748,HLOOKUP(INDIRECT(ADDRESS(2,COLUMN())),OFFSET($BN$2,0,0,ROW()-1,60),ROW()-1,FALSE))</f>
        <v>2.1555628009999999</v>
      </c>
      <c r="Z75" t="str">
        <f ca="1">IF(AND(ISNUMBER($Z$748),$B$677=1),$Z$748,HLOOKUP(INDIRECT(ADDRESS(2,COLUMN())),OFFSET($BN$2,0,0,ROW()-1,60),ROW()-1,FALSE))</f>
        <v/>
      </c>
      <c r="AA75" t="str">
        <f ca="1">IF(AND(ISNUMBER($AA$748),$B$677=1),$AA$748,HLOOKUP(INDIRECT(ADDRESS(2,COLUMN())),OFFSET($BN$2,0,0,ROW()-1,60),ROW()-1,FALSE))</f>
        <v/>
      </c>
      <c r="AB75" t="str">
        <f ca="1">IF(AND(ISNUMBER($AB$748),$B$677=1),$AB$748,HLOOKUP(INDIRECT(ADDRESS(2,COLUMN())),OFFSET($BN$2,0,0,ROW()-1,60),ROW()-1,FALSE))</f>
        <v/>
      </c>
      <c r="AC75" t="str">
        <f ca="1">IF(AND(ISNUMBER($AC$748),$B$677=1),$AC$748,HLOOKUP(INDIRECT(ADDRESS(2,COLUMN())),OFFSET($BN$2,0,0,ROW()-1,60),ROW()-1,FALSE))</f>
        <v/>
      </c>
      <c r="AD75" t="str">
        <f ca="1">IF(AND(ISNUMBER($AD$748),$B$677=1),$AD$748,HLOOKUP(INDIRECT(ADDRESS(2,COLUMN())),OFFSET($BN$2,0,0,ROW()-1,60),ROW()-1,FALSE))</f>
        <v/>
      </c>
      <c r="AE75" t="str">
        <f ca="1">IF(AND(ISNUMBER($AE$748),$B$677=1),$AE$748,HLOOKUP(INDIRECT(ADDRESS(2,COLUMN())),OFFSET($BN$2,0,0,ROW()-1,60),ROW()-1,FALSE))</f>
        <v/>
      </c>
      <c r="AF75" t="str">
        <f ca="1">IF(AND(ISNUMBER($AF$748),$B$677=1),$AF$748,HLOOKUP(INDIRECT(ADDRESS(2,COLUMN())),OFFSET($BN$2,0,0,ROW()-1,60),ROW()-1,FALSE))</f>
        <v/>
      </c>
      <c r="AG75" t="str">
        <f ca="1">IF(AND(ISNUMBER($AG$748),$B$677=1),$AG$748,HLOOKUP(INDIRECT(ADDRESS(2,COLUMN())),OFFSET($BN$2,0,0,ROW()-1,60),ROW()-1,FALSE))</f>
        <v/>
      </c>
      <c r="AH75" t="str">
        <f ca="1">IF(AND(ISNUMBER($AH$748),$B$677=1),$AH$748,HLOOKUP(INDIRECT(ADDRESS(2,COLUMN())),OFFSET($BN$2,0,0,ROW()-1,60),ROW()-1,FALSE))</f>
        <v/>
      </c>
      <c r="AI75" t="str">
        <f ca="1">IF(AND(ISNUMBER($AI$748),$B$677=1),$AI$748,HLOOKUP(INDIRECT(ADDRESS(2,COLUMN())),OFFSET($BN$2,0,0,ROW()-1,60),ROW()-1,FALSE))</f>
        <v/>
      </c>
      <c r="AJ75" t="str">
        <f ca="1">IF(AND(ISNUMBER($AJ$748),$B$677=1),$AJ$748,HLOOKUP(INDIRECT(ADDRESS(2,COLUMN())),OFFSET($BN$2,0,0,ROW()-1,60),ROW()-1,FALSE))</f>
        <v/>
      </c>
      <c r="AK75" t="str">
        <f ca="1">IF(AND(ISNUMBER($AK$748),$B$677=1),$AK$748,HLOOKUP(INDIRECT(ADDRESS(2,COLUMN())),OFFSET($BN$2,0,0,ROW()-1,60),ROW()-1,FALSE))</f>
        <v/>
      </c>
      <c r="AL75" t="str">
        <f ca="1">IF(AND(ISNUMBER($AL$748),$B$677=1),$AL$748,HLOOKUP(INDIRECT(ADDRESS(2,COLUMN())),OFFSET($BN$2,0,0,ROW()-1,60),ROW()-1,FALSE))</f>
        <v/>
      </c>
      <c r="AM75" t="str">
        <f ca="1">IF(AND(ISNUMBER($AM$748),$B$677=1),$AM$748,HLOOKUP(INDIRECT(ADDRESS(2,COLUMN())),OFFSET($BN$2,0,0,ROW()-1,60),ROW()-1,FALSE))</f>
        <v/>
      </c>
      <c r="AN75" t="str">
        <f ca="1">IF(AND(ISNUMBER($AN$748),$B$677=1),$AN$748,HLOOKUP(INDIRECT(ADDRESS(2,COLUMN())),OFFSET($BN$2,0,0,ROW()-1,60),ROW()-1,FALSE))</f>
        <v/>
      </c>
      <c r="AO75" t="str">
        <f ca="1">IF(AND(ISNUMBER($AO$748),$B$677=1),$AO$748,HLOOKUP(INDIRECT(ADDRESS(2,COLUMN())),OFFSET($BN$2,0,0,ROW()-1,60),ROW()-1,FALSE))</f>
        <v/>
      </c>
      <c r="AP75" t="str">
        <f ca="1">IF(AND(ISNUMBER($AP$748),$B$677=1),$AP$748,HLOOKUP(INDIRECT(ADDRESS(2,COLUMN())),OFFSET($BN$2,0,0,ROW()-1,60),ROW()-1,FALSE))</f>
        <v/>
      </c>
      <c r="AQ75" t="str">
        <f ca="1">IF(AND(ISNUMBER($AQ$748),$B$677=1),$AQ$748,HLOOKUP(INDIRECT(ADDRESS(2,COLUMN())),OFFSET($BN$2,0,0,ROW()-1,60),ROW()-1,FALSE))</f>
        <v/>
      </c>
      <c r="AR75" t="str">
        <f ca="1">IF(AND(ISNUMBER($AR$748),$B$677=1),$AR$748,HLOOKUP(INDIRECT(ADDRESS(2,COLUMN())),OFFSET($BN$2,0,0,ROW()-1,60),ROW()-1,FALSE))</f>
        <v/>
      </c>
      <c r="AS75" t="str">
        <f ca="1">IF(AND(ISNUMBER($AS$748),$B$677=1),$AS$748,HLOOKUP(INDIRECT(ADDRESS(2,COLUMN())),OFFSET($BN$2,0,0,ROW()-1,60),ROW()-1,FALSE))</f>
        <v/>
      </c>
      <c r="AT75" t="str">
        <f ca="1">IF(AND(ISNUMBER($AT$748),$B$677=1),$AT$748,HLOOKUP(INDIRECT(ADDRESS(2,COLUMN())),OFFSET($BN$2,0,0,ROW()-1,60),ROW()-1,FALSE))</f>
        <v/>
      </c>
      <c r="AU75" t="str">
        <f ca="1">IF(AND(ISNUMBER($AU$748),$B$677=1),$AU$748,HLOOKUP(INDIRECT(ADDRESS(2,COLUMN())),OFFSET($BN$2,0,0,ROW()-1,60),ROW()-1,FALSE))</f>
        <v/>
      </c>
      <c r="AV75" t="str">
        <f ca="1">IF(AND(ISNUMBER($AV$748),$B$677=1),$AV$748,HLOOKUP(INDIRECT(ADDRESS(2,COLUMN())),OFFSET($BN$2,0,0,ROW()-1,60),ROW()-1,FALSE))</f>
        <v/>
      </c>
      <c r="AW75" t="str">
        <f ca="1">IF(AND(ISNUMBER($AW$748),$B$677=1),$AW$748,HLOOKUP(INDIRECT(ADDRESS(2,COLUMN())),OFFSET($BN$2,0,0,ROW()-1,60),ROW()-1,FALSE))</f>
        <v/>
      </c>
      <c r="AX75" t="str">
        <f ca="1">IF(AND(ISNUMBER($AX$748),$B$677=1),$AX$748,HLOOKUP(INDIRECT(ADDRESS(2,COLUMN())),OFFSET($BN$2,0,0,ROW()-1,60),ROW()-1,FALSE))</f>
        <v/>
      </c>
      <c r="AY75" t="str">
        <f ca="1">IF(AND(ISNUMBER($AY$748),$B$677=1),$AY$748,HLOOKUP(INDIRECT(ADDRESS(2,COLUMN())),OFFSET($BN$2,0,0,ROW()-1,60),ROW()-1,FALSE))</f>
        <v/>
      </c>
      <c r="AZ75" t="str">
        <f ca="1">IF(AND(ISNUMBER($AZ$748),$B$677=1),$AZ$748,HLOOKUP(INDIRECT(ADDRESS(2,COLUMN())),OFFSET($BN$2,0,0,ROW()-1,60),ROW()-1,FALSE))</f>
        <v/>
      </c>
      <c r="BA75" t="str">
        <f ca="1">IF(AND(ISNUMBER($BA$748),$B$677=1),$BA$748,HLOOKUP(INDIRECT(ADDRESS(2,COLUMN())),OFFSET($BN$2,0,0,ROW()-1,60),ROW()-1,FALSE))</f>
        <v/>
      </c>
      <c r="BB75" t="str">
        <f ca="1">IF(AND(ISNUMBER($BB$748),$B$677=1),$BB$748,HLOOKUP(INDIRECT(ADDRESS(2,COLUMN())),OFFSET($BN$2,0,0,ROW()-1,60),ROW()-1,FALSE))</f>
        <v/>
      </c>
      <c r="BC75" t="str">
        <f ca="1">IF(AND(ISNUMBER($BC$748),$B$677=1),$BC$748,HLOOKUP(INDIRECT(ADDRESS(2,COLUMN())),OFFSET($BN$2,0,0,ROW()-1,60),ROW()-1,FALSE))</f>
        <v/>
      </c>
      <c r="BD75" t="str">
        <f ca="1">IF(AND(ISNUMBER($BD$748),$B$677=1),$BD$748,HLOOKUP(INDIRECT(ADDRESS(2,COLUMN())),OFFSET($BN$2,0,0,ROW()-1,60),ROW()-1,FALSE))</f>
        <v/>
      </c>
      <c r="BE75" t="str">
        <f ca="1">IF(AND(ISNUMBER($BE$748),$B$677=1),$BE$748,HLOOKUP(INDIRECT(ADDRESS(2,COLUMN())),OFFSET($BN$2,0,0,ROW()-1,60),ROW()-1,FALSE))</f>
        <v/>
      </c>
      <c r="BF75" t="str">
        <f ca="1">IF(AND(ISNUMBER($BF$748),$B$677=1),$BF$748,HLOOKUP(INDIRECT(ADDRESS(2,COLUMN())),OFFSET($BN$2,0,0,ROW()-1,60),ROW()-1,FALSE))</f>
        <v/>
      </c>
      <c r="BG75" t="str">
        <f ca="1">IF(AND(ISNUMBER($BG$748),$B$677=1),$BG$748,HLOOKUP(INDIRECT(ADDRESS(2,COLUMN())),OFFSET($BN$2,0,0,ROW()-1,60),ROW()-1,FALSE))</f>
        <v/>
      </c>
      <c r="BH75" t="str">
        <f ca="1">IF(AND(ISNUMBER($BH$748),$B$677=1),$BH$748,HLOOKUP(INDIRECT(ADDRESS(2,COLUMN())),OFFSET($BN$2,0,0,ROW()-1,60),ROW()-1,FALSE))</f>
        <v/>
      </c>
      <c r="BI75" t="str">
        <f ca="1">IF(AND(ISNUMBER($BI$748),$B$677=1),$BI$748,HLOOKUP(INDIRECT(ADDRESS(2,COLUMN())),OFFSET($BN$2,0,0,ROW()-1,60),ROW()-1,FALSE))</f>
        <v/>
      </c>
      <c r="BJ75" t="str">
        <f ca="1">IF(AND(ISNUMBER($BJ$748),$B$677=1),$BJ$748,HLOOKUP(INDIRECT(ADDRESS(2,COLUMN())),OFFSET($BN$2,0,0,ROW()-1,60),ROW()-1,FALSE))</f>
        <v/>
      </c>
      <c r="BK75" t="str">
        <f ca="1">IF(AND(ISNUMBER($BK$748),$B$677=1),$BK$748,HLOOKUP(INDIRECT(ADDRESS(2,COLUMN())),OFFSET($BN$2,0,0,ROW()-1,60),ROW()-1,FALSE))</f>
        <v/>
      </c>
      <c r="BL75" t="str">
        <f ca="1">IF(AND(ISNUMBER($BL$748),$B$677=1),$BL$748,HLOOKUP(INDIRECT(ADDRESS(2,COLUMN())),OFFSET($BN$2,0,0,ROW()-1,60),ROW()-1,FALSE))</f>
        <v/>
      </c>
      <c r="BM75" t="str">
        <f ca="1">IF(AND(ISNUMBER($BM$748),$B$677=1),$BM$748,HLOOKUP(INDIRECT(ADDRESS(2,COLUMN())),OFFSET($BN$2,0,0,ROW()-1,60),ROW()-1,FALSE))</f>
        <v/>
      </c>
      <c r="BN75">
        <f>6.204265919</f>
        <v>6.204265919</v>
      </c>
      <c r="BO75">
        <f>6.352171882</f>
        <v>6.3521718820000004</v>
      </c>
      <c r="BP75">
        <f>7.940214853</f>
        <v>7.9402148529999996</v>
      </c>
      <c r="BQ75">
        <f>11.49144254</f>
        <v>11.49144254</v>
      </c>
      <c r="BR75">
        <f>3.327248101</f>
        <v>3.3272481009999999</v>
      </c>
      <c r="BS75">
        <f>3.446651705</f>
        <v>3.4466517049999998</v>
      </c>
      <c r="BT75">
        <f>3.216210148</f>
        <v>3.216210148</v>
      </c>
      <c r="BU75">
        <f>3.317696264</f>
        <v>3.3176962639999998</v>
      </c>
      <c r="BV75">
        <f>3.181930591</f>
        <v>3.181930591</v>
      </c>
      <c r="BW75">
        <f>2.708175146</f>
        <v>2.7081751459999999</v>
      </c>
      <c r="BX75">
        <f>2.991113729</f>
        <v>2.9911137289999998</v>
      </c>
      <c r="BY75">
        <f>1.952781473</f>
        <v>1.9527814729999999</v>
      </c>
      <c r="BZ75">
        <f>2.923229743</f>
        <v>2.9232297429999998</v>
      </c>
      <c r="CA75">
        <f>2.852277565</f>
        <v>2.8522775650000001</v>
      </c>
      <c r="CB75">
        <f>3.129879347</f>
        <v>3.1298793470000001</v>
      </c>
      <c r="CC75">
        <f>1.396885323</f>
        <v>1.396885323</v>
      </c>
      <c r="CD75">
        <f>1.138901998</f>
        <v>1.1389019979999999</v>
      </c>
      <c r="CE75">
        <f>1.371903418</f>
        <v>1.371903418</v>
      </c>
      <c r="CF75">
        <f>1.797977422</f>
        <v>1.797977422</v>
      </c>
      <c r="CG75">
        <f>2.155562801</f>
        <v>2.1555628009999999</v>
      </c>
      <c r="CH75" t="str">
        <f>""</f>
        <v/>
      </c>
      <c r="CI75" t="str">
        <f>""</f>
        <v/>
      </c>
      <c r="CJ75" t="str">
        <f>""</f>
        <v/>
      </c>
      <c r="CK75" t="str">
        <f>""</f>
        <v/>
      </c>
      <c r="CL75" t="str">
        <f>""</f>
        <v/>
      </c>
      <c r="CM75" t="str">
        <f>""</f>
        <v/>
      </c>
      <c r="CN75" t="str">
        <f>""</f>
        <v/>
      </c>
      <c r="CO75" t="str">
        <f>""</f>
        <v/>
      </c>
      <c r="CP75" t="str">
        <f>""</f>
        <v/>
      </c>
      <c r="CQ75" t="str">
        <f>""</f>
        <v/>
      </c>
      <c r="CR75" t="str">
        <f>""</f>
        <v/>
      </c>
      <c r="CS75" t="str">
        <f>""</f>
        <v/>
      </c>
      <c r="CT75" t="str">
        <f>""</f>
        <v/>
      </c>
      <c r="CU75" t="str">
        <f>""</f>
        <v/>
      </c>
      <c r="CV75" t="str">
        <f>""</f>
        <v/>
      </c>
      <c r="CW75" t="str">
        <f>""</f>
        <v/>
      </c>
      <c r="CX75" t="str">
        <f>""</f>
        <v/>
      </c>
      <c r="CY75" t="str">
        <f>""</f>
        <v/>
      </c>
      <c r="CZ75" t="str">
        <f>""</f>
        <v/>
      </c>
      <c r="DA75" t="str">
        <f>""</f>
        <v/>
      </c>
      <c r="DB75" t="str">
        <f>""</f>
        <v/>
      </c>
      <c r="DC75" t="str">
        <f>""</f>
        <v/>
      </c>
      <c r="DD75" t="str">
        <f>""</f>
        <v/>
      </c>
      <c r="DE75" t="str">
        <f>""</f>
        <v/>
      </c>
      <c r="DF75" t="str">
        <f>""</f>
        <v/>
      </c>
      <c r="DG75" t="str">
        <f>""</f>
        <v/>
      </c>
      <c r="DH75" t="str">
        <f>""</f>
        <v/>
      </c>
      <c r="DI75" t="str">
        <f>""</f>
        <v/>
      </c>
      <c r="DJ75" t="str">
        <f>""</f>
        <v/>
      </c>
      <c r="DK75" t="str">
        <f>""</f>
        <v/>
      </c>
      <c r="DL75" t="str">
        <f>""</f>
        <v/>
      </c>
      <c r="DM75" t="str">
        <f>""</f>
        <v/>
      </c>
      <c r="DN75" t="str">
        <f>""</f>
        <v/>
      </c>
      <c r="DO75" t="str">
        <f>""</f>
        <v/>
      </c>
      <c r="DP75" t="str">
        <f>""</f>
        <v/>
      </c>
      <c r="DQ75" t="str">
        <f>""</f>
        <v/>
      </c>
      <c r="DR75" t="str">
        <f>""</f>
        <v/>
      </c>
      <c r="DS75" t="str">
        <f>""</f>
        <v/>
      </c>
      <c r="DT75" t="str">
        <f>""</f>
        <v/>
      </c>
      <c r="DU75" t="str">
        <f>""</f>
        <v/>
      </c>
    </row>
    <row r="76" spans="1:125" x14ac:dyDescent="0.25">
      <c r="A76" t="str">
        <f>"    Ssangyong Motor Co"</f>
        <v xml:space="preserve">    Ssangyong Motor Co</v>
      </c>
      <c r="B76" t="str">
        <f>"003620 KS Equity"</f>
        <v>003620 KS Equity</v>
      </c>
      <c r="C76" t="str">
        <f t="shared" si="3"/>
        <v>EZ009</v>
      </c>
      <c r="D76" t="str">
        <f t="shared" si="4"/>
        <v>BEST_EST_PE_CUR_YR</v>
      </c>
      <c r="E76" t="str">
        <f t="shared" si="5"/>
        <v>Dynamic</v>
      </c>
      <c r="F76" t="str">
        <f ca="1">IF(AND(ISNUMBER($F$749),$B$677=1),$F$749,HLOOKUP(INDIRECT(ADDRESS(2,COLUMN())),OFFSET($BN$2,0,0,ROW()-1,60),ROW()-1,FALSE))</f>
        <v/>
      </c>
      <c r="G76" t="str">
        <f ca="1">IF(AND(ISNUMBER($G$749),$B$677=1),$G$749,HLOOKUP(INDIRECT(ADDRESS(2,COLUMN())),OFFSET($BN$2,0,0,ROW()-1,60),ROW()-1,FALSE))</f>
        <v/>
      </c>
      <c r="H76" t="str">
        <f ca="1">IF(AND(ISNUMBER($H$749),$B$677=1),$H$749,HLOOKUP(INDIRECT(ADDRESS(2,COLUMN())),OFFSET($BN$2,0,0,ROW()-1,60),ROW()-1,FALSE))</f>
        <v/>
      </c>
      <c r="I76">
        <f ca="1">IF(AND(ISNUMBER($I$749),$B$677=1),$I$749,HLOOKUP(INDIRECT(ADDRESS(2,COLUMN())),OFFSET($BN$2,0,0,ROW()-1,60),ROW()-1,FALSE))</f>
        <v>14.639769449999999</v>
      </c>
      <c r="J76">
        <f ca="1">IF(AND(ISNUMBER($J$749),$B$677=1),$J$749,HLOOKUP(INDIRECT(ADDRESS(2,COLUMN())),OFFSET($BN$2,0,0,ROW()-1,60),ROW()-1,FALSE))</f>
        <v>14.30835735</v>
      </c>
      <c r="K76">
        <f ca="1">IF(AND(ISNUMBER($K$749),$B$677=1),$K$749,HLOOKUP(INDIRECT(ADDRESS(2,COLUMN())),OFFSET($BN$2,0,0,ROW()-1,60),ROW()-1,FALSE))</f>
        <v>14.75504323</v>
      </c>
      <c r="L76">
        <f ca="1">IF(AND(ISNUMBER($L$749),$B$677=1),$L$749,HLOOKUP(INDIRECT(ADDRESS(2,COLUMN())),OFFSET($BN$2,0,0,ROW()-1,60),ROW()-1,FALSE))</f>
        <v>9.3501805050000009</v>
      </c>
      <c r="M76">
        <f ca="1">IF(AND(ISNUMBER($M$749),$B$677=1),$M$749,HLOOKUP(INDIRECT(ADDRESS(2,COLUMN())),OFFSET($BN$2,0,0,ROW()-1,60),ROW()-1,FALSE))</f>
        <v>12.73743017</v>
      </c>
      <c r="N76">
        <f ca="1">IF(AND(ISNUMBER($N$749),$B$677=1),$N$749,HLOOKUP(INDIRECT(ADDRESS(2,COLUMN())),OFFSET($BN$2,0,0,ROW()-1,60),ROW()-1,FALSE))</f>
        <v>17.549668870000001</v>
      </c>
      <c r="O76" t="str">
        <f ca="1">IF(AND(ISNUMBER($O$749),$B$677=1),$O$749,HLOOKUP(INDIRECT(ADDRESS(2,COLUMN())),OFFSET($BN$2,0,0,ROW()-1,60),ROW()-1,FALSE))</f>
        <v/>
      </c>
      <c r="P76" t="str">
        <f ca="1">IF(AND(ISNUMBER($P$749),$B$677=1),$P$749,HLOOKUP(INDIRECT(ADDRESS(2,COLUMN())),OFFSET($BN$2,0,0,ROW()-1,60),ROW()-1,FALSE))</f>
        <v/>
      </c>
      <c r="Q76" t="str">
        <f ca="1">IF(AND(ISNUMBER($Q$749),$B$677=1),$Q$749,HLOOKUP(INDIRECT(ADDRESS(2,COLUMN())),OFFSET($BN$2,0,0,ROW()-1,60),ROW()-1,FALSE))</f>
        <v/>
      </c>
      <c r="R76" t="str">
        <f ca="1">IF(AND(ISNUMBER($R$749),$B$677=1),$R$749,HLOOKUP(INDIRECT(ADDRESS(2,COLUMN())),OFFSET($BN$2,0,0,ROW()-1,60),ROW()-1,FALSE))</f>
        <v/>
      </c>
      <c r="S76" t="str">
        <f ca="1">IF(AND(ISNUMBER($S$749),$B$677=1),$S$749,HLOOKUP(INDIRECT(ADDRESS(2,COLUMN())),OFFSET($BN$2,0,0,ROW()-1,60),ROW()-1,FALSE))</f>
        <v/>
      </c>
      <c r="T76" t="str">
        <f ca="1">IF(AND(ISNUMBER($T$749),$B$677=1),$T$749,HLOOKUP(INDIRECT(ADDRESS(2,COLUMN())),OFFSET($BN$2,0,0,ROW()-1,60),ROW()-1,FALSE))</f>
        <v/>
      </c>
      <c r="U76" t="str">
        <f ca="1">IF(AND(ISNUMBER($U$749),$B$677=1),$U$749,HLOOKUP(INDIRECT(ADDRESS(2,COLUMN())),OFFSET($BN$2,0,0,ROW()-1,60),ROW()-1,FALSE))</f>
        <v/>
      </c>
      <c r="V76" t="str">
        <f ca="1">IF(AND(ISNUMBER($V$749),$B$677=1),$V$749,HLOOKUP(INDIRECT(ADDRESS(2,COLUMN())),OFFSET($BN$2,0,0,ROW()-1,60),ROW()-1,FALSE))</f>
        <v/>
      </c>
      <c r="W76" t="str">
        <f ca="1">IF(AND(ISNUMBER($W$749),$B$677=1),$W$749,HLOOKUP(INDIRECT(ADDRESS(2,COLUMN())),OFFSET($BN$2,0,0,ROW()-1,60),ROW()-1,FALSE))</f>
        <v/>
      </c>
      <c r="X76" t="str">
        <f ca="1">IF(AND(ISNUMBER($X$749),$B$677=1),$X$749,HLOOKUP(INDIRECT(ADDRESS(2,COLUMN())),OFFSET($BN$2,0,0,ROW()-1,60),ROW()-1,FALSE))</f>
        <v/>
      </c>
      <c r="Y76" t="str">
        <f ca="1">IF(AND(ISNUMBER($Y$749),$B$677=1),$Y$749,HLOOKUP(INDIRECT(ADDRESS(2,COLUMN())),OFFSET($BN$2,0,0,ROW()-1,60),ROW()-1,FALSE))</f>
        <v/>
      </c>
      <c r="Z76" t="str">
        <f ca="1">IF(AND(ISNUMBER($Z$749),$B$677=1),$Z$749,HLOOKUP(INDIRECT(ADDRESS(2,COLUMN())),OFFSET($BN$2,0,0,ROW()-1,60),ROW()-1,FALSE))</f>
        <v/>
      </c>
      <c r="AA76" t="str">
        <f ca="1">IF(AND(ISNUMBER($AA$749),$B$677=1),$AA$749,HLOOKUP(INDIRECT(ADDRESS(2,COLUMN())),OFFSET($BN$2,0,0,ROW()-1,60),ROW()-1,FALSE))</f>
        <v/>
      </c>
      <c r="AB76" t="str">
        <f ca="1">IF(AND(ISNUMBER($AB$749),$B$677=1),$AB$749,HLOOKUP(INDIRECT(ADDRESS(2,COLUMN())),OFFSET($BN$2,0,0,ROW()-1,60),ROW()-1,FALSE))</f>
        <v/>
      </c>
      <c r="AC76" t="str">
        <f ca="1">IF(AND(ISNUMBER($AC$749),$B$677=1),$AC$749,HLOOKUP(INDIRECT(ADDRESS(2,COLUMN())),OFFSET($BN$2,0,0,ROW()-1,60),ROW()-1,FALSE))</f>
        <v/>
      </c>
      <c r="AD76" t="str">
        <f ca="1">IF(AND(ISNUMBER($AD$749),$B$677=1),$AD$749,HLOOKUP(INDIRECT(ADDRESS(2,COLUMN())),OFFSET($BN$2,0,0,ROW()-1,60),ROW()-1,FALSE))</f>
        <v/>
      </c>
      <c r="AE76" t="str">
        <f ca="1">IF(AND(ISNUMBER($AE$749),$B$677=1),$AE$749,HLOOKUP(INDIRECT(ADDRESS(2,COLUMN())),OFFSET($BN$2,0,0,ROW()-1,60),ROW()-1,FALSE))</f>
        <v/>
      </c>
      <c r="AF76" t="str">
        <f ca="1">IF(AND(ISNUMBER($AF$749),$B$677=1),$AF$749,HLOOKUP(INDIRECT(ADDRESS(2,COLUMN())),OFFSET($BN$2,0,0,ROW()-1,60),ROW()-1,FALSE))</f>
        <v/>
      </c>
      <c r="AG76" t="str">
        <f ca="1">IF(AND(ISNUMBER($AG$749),$B$677=1),$AG$749,HLOOKUP(INDIRECT(ADDRESS(2,COLUMN())),OFFSET($BN$2,0,0,ROW()-1,60),ROW()-1,FALSE))</f>
        <v/>
      </c>
      <c r="AH76" t="str">
        <f ca="1">IF(AND(ISNUMBER($AH$749),$B$677=1),$AH$749,HLOOKUP(INDIRECT(ADDRESS(2,COLUMN())),OFFSET($BN$2,0,0,ROW()-1,60),ROW()-1,FALSE))</f>
        <v/>
      </c>
      <c r="AI76" t="str">
        <f ca="1">IF(AND(ISNUMBER($AI$749),$B$677=1),$AI$749,HLOOKUP(INDIRECT(ADDRESS(2,COLUMN())),OFFSET($BN$2,0,0,ROW()-1,60),ROW()-1,FALSE))</f>
        <v/>
      </c>
      <c r="AJ76" t="str">
        <f ca="1">IF(AND(ISNUMBER($AJ$749),$B$677=1),$AJ$749,HLOOKUP(INDIRECT(ADDRESS(2,COLUMN())),OFFSET($BN$2,0,0,ROW()-1,60),ROW()-1,FALSE))</f>
        <v/>
      </c>
      <c r="AK76" t="str">
        <f ca="1">IF(AND(ISNUMBER($AK$749),$B$677=1),$AK$749,HLOOKUP(INDIRECT(ADDRESS(2,COLUMN())),OFFSET($BN$2,0,0,ROW()-1,60),ROW()-1,FALSE))</f>
        <v/>
      </c>
      <c r="AL76" t="str">
        <f ca="1">IF(AND(ISNUMBER($AL$749),$B$677=1),$AL$749,HLOOKUP(INDIRECT(ADDRESS(2,COLUMN())),OFFSET($BN$2,0,0,ROW()-1,60),ROW()-1,FALSE))</f>
        <v/>
      </c>
      <c r="AM76" t="str">
        <f ca="1">IF(AND(ISNUMBER($AM$749),$B$677=1),$AM$749,HLOOKUP(INDIRECT(ADDRESS(2,COLUMN())),OFFSET($BN$2,0,0,ROW()-1,60),ROW()-1,FALSE))</f>
        <v/>
      </c>
      <c r="AN76" t="str">
        <f ca="1">IF(AND(ISNUMBER($AN$749),$B$677=1),$AN$749,HLOOKUP(INDIRECT(ADDRESS(2,COLUMN())),OFFSET($BN$2,0,0,ROW()-1,60),ROW()-1,FALSE))</f>
        <v/>
      </c>
      <c r="AO76" t="str">
        <f ca="1">IF(AND(ISNUMBER($AO$749),$B$677=1),$AO$749,HLOOKUP(INDIRECT(ADDRESS(2,COLUMN())),OFFSET($BN$2,0,0,ROW()-1,60),ROW()-1,FALSE))</f>
        <v/>
      </c>
      <c r="AP76" t="str">
        <f ca="1">IF(AND(ISNUMBER($AP$749),$B$677=1),$AP$749,HLOOKUP(INDIRECT(ADDRESS(2,COLUMN())),OFFSET($BN$2,0,0,ROW()-1,60),ROW()-1,FALSE))</f>
        <v/>
      </c>
      <c r="AQ76" t="str">
        <f ca="1">IF(AND(ISNUMBER($AQ$749),$B$677=1),$AQ$749,HLOOKUP(INDIRECT(ADDRESS(2,COLUMN())),OFFSET($BN$2,0,0,ROW()-1,60),ROW()-1,FALSE))</f>
        <v/>
      </c>
      <c r="AR76" t="str">
        <f ca="1">IF(AND(ISNUMBER($AR$749),$B$677=1),$AR$749,HLOOKUP(INDIRECT(ADDRESS(2,COLUMN())),OFFSET($BN$2,0,0,ROW()-1,60),ROW()-1,FALSE))</f>
        <v/>
      </c>
      <c r="AS76" t="str">
        <f ca="1">IF(AND(ISNUMBER($AS$749),$B$677=1),$AS$749,HLOOKUP(INDIRECT(ADDRESS(2,COLUMN())),OFFSET($BN$2,0,0,ROW()-1,60),ROW()-1,FALSE))</f>
        <v/>
      </c>
      <c r="AT76" t="str">
        <f ca="1">IF(AND(ISNUMBER($AT$749),$B$677=1),$AT$749,HLOOKUP(INDIRECT(ADDRESS(2,COLUMN())),OFFSET($BN$2,0,0,ROW()-1,60),ROW()-1,FALSE))</f>
        <v/>
      </c>
      <c r="AU76" t="str">
        <f ca="1">IF(AND(ISNUMBER($AU$749),$B$677=1),$AU$749,HLOOKUP(INDIRECT(ADDRESS(2,COLUMN())),OFFSET($BN$2,0,0,ROW()-1,60),ROW()-1,FALSE))</f>
        <v/>
      </c>
      <c r="AV76" t="str">
        <f ca="1">IF(AND(ISNUMBER($AV$749),$B$677=1),$AV$749,HLOOKUP(INDIRECT(ADDRESS(2,COLUMN())),OFFSET($BN$2,0,0,ROW()-1,60),ROW()-1,FALSE))</f>
        <v/>
      </c>
      <c r="AW76" t="str">
        <f ca="1">IF(AND(ISNUMBER($AW$749),$B$677=1),$AW$749,HLOOKUP(INDIRECT(ADDRESS(2,COLUMN())),OFFSET($BN$2,0,0,ROW()-1,60),ROW()-1,FALSE))</f>
        <v/>
      </c>
      <c r="AX76" t="str">
        <f ca="1">IF(AND(ISNUMBER($AX$749),$B$677=1),$AX$749,HLOOKUP(INDIRECT(ADDRESS(2,COLUMN())),OFFSET($BN$2,0,0,ROW()-1,60),ROW()-1,FALSE))</f>
        <v/>
      </c>
      <c r="AY76" t="str">
        <f ca="1">IF(AND(ISNUMBER($AY$749),$B$677=1),$AY$749,HLOOKUP(INDIRECT(ADDRESS(2,COLUMN())),OFFSET($BN$2,0,0,ROW()-1,60),ROW()-1,FALSE))</f>
        <v/>
      </c>
      <c r="AZ76" t="str">
        <f ca="1">IF(AND(ISNUMBER($AZ$749),$B$677=1),$AZ$749,HLOOKUP(INDIRECT(ADDRESS(2,COLUMN())),OFFSET($BN$2,0,0,ROW()-1,60),ROW()-1,FALSE))</f>
        <v/>
      </c>
      <c r="BA76" t="str">
        <f ca="1">IF(AND(ISNUMBER($BA$749),$B$677=1),$BA$749,HLOOKUP(INDIRECT(ADDRESS(2,COLUMN())),OFFSET($BN$2,0,0,ROW()-1,60),ROW()-1,FALSE))</f>
        <v/>
      </c>
      <c r="BB76" t="str">
        <f ca="1">IF(AND(ISNUMBER($BB$749),$B$677=1),$BB$749,HLOOKUP(INDIRECT(ADDRESS(2,COLUMN())),OFFSET($BN$2,0,0,ROW()-1,60),ROW()-1,FALSE))</f>
        <v/>
      </c>
      <c r="BC76" t="str">
        <f ca="1">IF(AND(ISNUMBER($BC$749),$B$677=1),$BC$749,HLOOKUP(INDIRECT(ADDRESS(2,COLUMN())),OFFSET($BN$2,0,0,ROW()-1,60),ROW()-1,FALSE))</f>
        <v/>
      </c>
      <c r="BD76" t="str">
        <f ca="1">IF(AND(ISNUMBER($BD$749),$B$677=1),$BD$749,HLOOKUP(INDIRECT(ADDRESS(2,COLUMN())),OFFSET($BN$2,0,0,ROW()-1,60),ROW()-1,FALSE))</f>
        <v/>
      </c>
      <c r="BE76" t="str">
        <f ca="1">IF(AND(ISNUMBER($BE$749),$B$677=1),$BE$749,HLOOKUP(INDIRECT(ADDRESS(2,COLUMN())),OFFSET($BN$2,0,0,ROW()-1,60),ROW()-1,FALSE))</f>
        <v/>
      </c>
      <c r="BF76" t="str">
        <f ca="1">IF(AND(ISNUMBER($BF$749),$B$677=1),$BF$749,HLOOKUP(INDIRECT(ADDRESS(2,COLUMN())),OFFSET($BN$2,0,0,ROW()-1,60),ROW()-1,FALSE))</f>
        <v/>
      </c>
      <c r="BG76" t="str">
        <f ca="1">IF(AND(ISNUMBER($BG$749),$B$677=1),$BG$749,HLOOKUP(INDIRECT(ADDRESS(2,COLUMN())),OFFSET($BN$2,0,0,ROW()-1,60),ROW()-1,FALSE))</f>
        <v/>
      </c>
      <c r="BH76" t="str">
        <f ca="1">IF(AND(ISNUMBER($BH$749),$B$677=1),$BH$749,HLOOKUP(INDIRECT(ADDRESS(2,COLUMN())),OFFSET($BN$2,0,0,ROW()-1,60),ROW()-1,FALSE))</f>
        <v/>
      </c>
      <c r="BI76" t="str">
        <f ca="1">IF(AND(ISNUMBER($BI$749),$B$677=1),$BI$749,HLOOKUP(INDIRECT(ADDRESS(2,COLUMN())),OFFSET($BN$2,0,0,ROW()-1,60),ROW()-1,FALSE))</f>
        <v/>
      </c>
      <c r="BJ76" t="str">
        <f ca="1">IF(AND(ISNUMBER($BJ$749),$B$677=1),$BJ$749,HLOOKUP(INDIRECT(ADDRESS(2,COLUMN())),OFFSET($BN$2,0,0,ROW()-1,60),ROW()-1,FALSE))</f>
        <v/>
      </c>
      <c r="BK76" t="str">
        <f ca="1">IF(AND(ISNUMBER($BK$749),$B$677=1),$BK$749,HLOOKUP(INDIRECT(ADDRESS(2,COLUMN())),OFFSET($BN$2,0,0,ROW()-1,60),ROW()-1,FALSE))</f>
        <v/>
      </c>
      <c r="BL76" t="str">
        <f ca="1">IF(AND(ISNUMBER($BL$749),$B$677=1),$BL$749,HLOOKUP(INDIRECT(ADDRESS(2,COLUMN())),OFFSET($BN$2,0,0,ROW()-1,60),ROW()-1,FALSE))</f>
        <v/>
      </c>
      <c r="BM76" t="str">
        <f ca="1">IF(AND(ISNUMBER($BM$749),$B$677=1),$BM$749,HLOOKUP(INDIRECT(ADDRESS(2,COLUMN())),OFFSET($BN$2,0,0,ROW()-1,60),ROW()-1,FALSE))</f>
        <v/>
      </c>
      <c r="BN76" t="str">
        <f>""</f>
        <v/>
      </c>
      <c r="BO76" t="str">
        <f>""</f>
        <v/>
      </c>
      <c r="BP76" t="str">
        <f>""</f>
        <v/>
      </c>
      <c r="BQ76">
        <f>14.63976945</f>
        <v>14.639769449999999</v>
      </c>
      <c r="BR76">
        <f>14.30835735</f>
        <v>14.30835735</v>
      </c>
      <c r="BS76">
        <f>14.75504323</f>
        <v>14.75504323</v>
      </c>
      <c r="BT76">
        <f>9.350180505</f>
        <v>9.3501805050000009</v>
      </c>
      <c r="BU76">
        <f>12.73743017</f>
        <v>12.73743017</v>
      </c>
      <c r="BV76">
        <f>17.54966887</f>
        <v>17.549668870000001</v>
      </c>
      <c r="BW76" t="str">
        <f>""</f>
        <v/>
      </c>
      <c r="BX76" t="str">
        <f>""</f>
        <v/>
      </c>
      <c r="BY76" t="str">
        <f>""</f>
        <v/>
      </c>
      <c r="BZ76" t="str">
        <f>""</f>
        <v/>
      </c>
      <c r="CA76" t="str">
        <f>""</f>
        <v/>
      </c>
      <c r="CB76" t="str">
        <f>""</f>
        <v/>
      </c>
      <c r="CC76" t="str">
        <f>""</f>
        <v/>
      </c>
      <c r="CD76" t="str">
        <f>""</f>
        <v/>
      </c>
      <c r="CE76" t="str">
        <f>""</f>
        <v/>
      </c>
      <c r="CF76" t="str">
        <f>""</f>
        <v/>
      </c>
      <c r="CG76" t="str">
        <f>""</f>
        <v/>
      </c>
      <c r="CH76" t="str">
        <f>""</f>
        <v/>
      </c>
      <c r="CI76" t="str">
        <f>""</f>
        <v/>
      </c>
      <c r="CJ76" t="str">
        <f>""</f>
        <v/>
      </c>
      <c r="CK76" t="str">
        <f>""</f>
        <v/>
      </c>
      <c r="CL76" t="str">
        <f>""</f>
        <v/>
      </c>
      <c r="CM76" t="str">
        <f>""</f>
        <v/>
      </c>
      <c r="CN76" t="str">
        <f>""</f>
        <v/>
      </c>
      <c r="CO76" t="str">
        <f>""</f>
        <v/>
      </c>
      <c r="CP76" t="str">
        <f>""</f>
        <v/>
      </c>
      <c r="CQ76" t="str">
        <f>""</f>
        <v/>
      </c>
      <c r="CR76" t="str">
        <f>""</f>
        <v/>
      </c>
      <c r="CS76" t="str">
        <f>""</f>
        <v/>
      </c>
      <c r="CT76" t="str">
        <f>""</f>
        <v/>
      </c>
      <c r="CU76" t="str">
        <f>""</f>
        <v/>
      </c>
      <c r="CV76" t="str">
        <f>""</f>
        <v/>
      </c>
      <c r="CW76" t="str">
        <f>""</f>
        <v/>
      </c>
      <c r="CX76" t="str">
        <f>""</f>
        <v/>
      </c>
      <c r="CY76" t="str">
        <f>""</f>
        <v/>
      </c>
      <c r="CZ76" t="str">
        <f>""</f>
        <v/>
      </c>
      <c r="DA76" t="str">
        <f>""</f>
        <v/>
      </c>
      <c r="DB76" t="str">
        <f>""</f>
        <v/>
      </c>
      <c r="DC76" t="str">
        <f>""</f>
        <v/>
      </c>
      <c r="DD76" t="str">
        <f>""</f>
        <v/>
      </c>
      <c r="DE76" t="str">
        <f>""</f>
        <v/>
      </c>
      <c r="DF76" t="str">
        <f>""</f>
        <v/>
      </c>
      <c r="DG76" t="str">
        <f>""</f>
        <v/>
      </c>
      <c r="DH76" t="str">
        <f>""</f>
        <v/>
      </c>
      <c r="DI76" t="str">
        <f>""</f>
        <v/>
      </c>
      <c r="DJ76" t="str">
        <f>""</f>
        <v/>
      </c>
      <c r="DK76" t="str">
        <f>""</f>
        <v/>
      </c>
      <c r="DL76" t="str">
        <f>""</f>
        <v/>
      </c>
      <c r="DM76" t="str">
        <f>""</f>
        <v/>
      </c>
      <c r="DN76" t="str">
        <f>""</f>
        <v/>
      </c>
      <c r="DO76" t="str">
        <f>""</f>
        <v/>
      </c>
      <c r="DP76" t="str">
        <f>""</f>
        <v/>
      </c>
      <c r="DQ76" t="str">
        <f>""</f>
        <v/>
      </c>
      <c r="DR76" t="str">
        <f>""</f>
        <v/>
      </c>
      <c r="DS76" t="str">
        <f>""</f>
        <v/>
      </c>
      <c r="DT76" t="str">
        <f>""</f>
        <v/>
      </c>
      <c r="DU76" t="str">
        <f>""</f>
        <v/>
      </c>
    </row>
    <row r="77" spans="1:125" x14ac:dyDescent="0.25">
      <c r="A77" t="str">
        <f>"    Subaru Corp"</f>
        <v xml:space="preserve">    Subaru Corp</v>
      </c>
      <c r="B77" t="str">
        <f>"7270 JP Equity"</f>
        <v>7270 JP Equity</v>
      </c>
      <c r="C77" t="str">
        <f t="shared" si="3"/>
        <v>EZ009</v>
      </c>
      <c r="D77" t="str">
        <f t="shared" si="4"/>
        <v>BEST_EST_PE_CUR_YR</v>
      </c>
      <c r="E77" t="str">
        <f t="shared" si="5"/>
        <v>Dynamic</v>
      </c>
      <c r="F77">
        <f ca="1">IF(AND(ISNUMBER($F$750),$B$677=1),$F$750,HLOOKUP(INDIRECT(ADDRESS(2,COLUMN())),OFFSET($BN$2,0,0,ROW()-1,60),ROW()-1,FALSE))</f>
        <v>13.39154577</v>
      </c>
      <c r="G77">
        <f ca="1">IF(AND(ISNUMBER($G$750),$B$677=1),$G$750,HLOOKUP(INDIRECT(ADDRESS(2,COLUMN())),OFFSET($BN$2,0,0,ROW()-1,60),ROW()-1,FALSE))</f>
        <v>10.18518918</v>
      </c>
      <c r="H77">
        <f ca="1">IF(AND(ISNUMBER($H$750),$B$677=1),$H$750,HLOOKUP(INDIRECT(ADDRESS(2,COLUMN())),OFFSET($BN$2,0,0,ROW()-1,60),ROW()-1,FALSE))</f>
        <v>10.177105020000001</v>
      </c>
      <c r="I77">
        <f ca="1">IF(AND(ISNUMBER($I$750),$B$677=1),$I$750,HLOOKUP(INDIRECT(ADDRESS(2,COLUMN())),OFFSET($BN$2,0,0,ROW()-1,60),ROW()-1,FALSE))</f>
        <v>9.3945264139999995</v>
      </c>
      <c r="J77">
        <f ca="1">IF(AND(ISNUMBER($J$750),$B$677=1),$J$750,HLOOKUP(INDIRECT(ADDRESS(2,COLUMN())),OFFSET($BN$2,0,0,ROW()-1,60),ROW()-1,FALSE))</f>
        <v>9.1124090259999999</v>
      </c>
      <c r="K77">
        <f ca="1">IF(AND(ISNUMBER($K$750),$B$677=1),$K$750,HLOOKUP(INDIRECT(ADDRESS(2,COLUMN())),OFFSET($BN$2,0,0,ROW()-1,60),ROW()-1,FALSE))</f>
        <v>8.7065553100000006</v>
      </c>
      <c r="L77">
        <f ca="1">IF(AND(ISNUMBER($L$750),$B$677=1),$L$750,HLOOKUP(INDIRECT(ADDRESS(2,COLUMN())),OFFSET($BN$2,0,0,ROW()-1,60),ROW()-1,FALSE))</f>
        <v>8.8463373769999993</v>
      </c>
      <c r="M77">
        <f ca="1">IF(AND(ISNUMBER($M$750),$B$677=1),$M$750,HLOOKUP(INDIRECT(ADDRESS(2,COLUMN())),OFFSET($BN$2,0,0,ROW()-1,60),ROW()-1,FALSE))</f>
        <v>8.5238018049999997</v>
      </c>
      <c r="N77">
        <f ca="1">IF(AND(ISNUMBER($N$750),$B$677=1),$N$750,HLOOKUP(INDIRECT(ADDRESS(2,COLUMN())),OFFSET($BN$2,0,0,ROW()-1,60),ROW()-1,FALSE))</f>
        <v>7.5315011539999999</v>
      </c>
      <c r="O77">
        <f ca="1">IF(AND(ISNUMBER($O$750),$B$677=1),$O$750,HLOOKUP(INDIRECT(ADDRESS(2,COLUMN())),OFFSET($BN$2,0,0,ROW()-1,60),ROW()-1,FALSE))</f>
        <v>9.2534060369999995</v>
      </c>
      <c r="P77">
        <f ca="1">IF(AND(ISNUMBER($P$750),$B$677=1),$P$750,HLOOKUP(INDIRECT(ADDRESS(2,COLUMN())),OFFSET($BN$2,0,0,ROW()-1,60),ROW()-1,FALSE))</f>
        <v>8.1355065569999994</v>
      </c>
      <c r="Q77">
        <f ca="1">IF(AND(ISNUMBER($Q$750),$B$677=1),$Q$750,HLOOKUP(INDIRECT(ADDRESS(2,COLUMN())),OFFSET($BN$2,0,0,ROW()-1,60),ROW()-1,FALSE))</f>
        <v>7.039246125</v>
      </c>
      <c r="R77">
        <f ca="1">IF(AND(ISNUMBER($R$750),$B$677=1),$R$750,HLOOKUP(INDIRECT(ADDRESS(2,COLUMN())),OFFSET($BN$2,0,0,ROW()-1,60),ROW()-1,FALSE))</f>
        <v>7.5685453159999998</v>
      </c>
      <c r="S77">
        <f ca="1">IF(AND(ISNUMBER($S$750),$B$677=1),$S$750,HLOOKUP(INDIRECT(ADDRESS(2,COLUMN())),OFFSET($BN$2,0,0,ROW()-1,60),ROW()-1,FALSE))</f>
        <v>8.6093509160000004</v>
      </c>
      <c r="T77">
        <f ca="1">IF(AND(ISNUMBER($T$750),$B$677=1),$T$750,HLOOKUP(INDIRECT(ADDRESS(2,COLUMN())),OFFSET($BN$2,0,0,ROW()-1,60),ROW()-1,FALSE))</f>
        <v>7.419019574</v>
      </c>
      <c r="U77">
        <f ca="1">IF(AND(ISNUMBER($U$750),$B$677=1),$U$750,HLOOKUP(INDIRECT(ADDRESS(2,COLUMN())),OFFSET($BN$2,0,0,ROW()-1,60),ROW()-1,FALSE))</f>
        <v>7.8087649399999997</v>
      </c>
      <c r="V77">
        <f ca="1">IF(AND(ISNUMBER($V$750),$B$677=1),$V$750,HLOOKUP(INDIRECT(ADDRESS(2,COLUMN())),OFFSET($BN$2,0,0,ROW()-1,60),ROW()-1,FALSE))</f>
        <v>7.1357053459999999</v>
      </c>
      <c r="W77">
        <f ca="1">IF(AND(ISNUMBER($W$750),$B$677=1),$W$750,HLOOKUP(INDIRECT(ADDRESS(2,COLUMN())),OFFSET($BN$2,0,0,ROW()-1,60),ROW()-1,FALSE))</f>
        <v>7.6758300610000001</v>
      </c>
      <c r="X77">
        <f ca="1">IF(AND(ISNUMBER($X$750),$B$677=1),$X$750,HLOOKUP(INDIRECT(ADDRESS(2,COLUMN())),OFFSET($BN$2,0,0,ROW()-1,60),ROW()-1,FALSE))</f>
        <v>7.7313432840000003</v>
      </c>
      <c r="Y77">
        <f ca="1">IF(AND(ISNUMBER($Y$750),$B$677=1),$Y$750,HLOOKUP(INDIRECT(ADDRESS(2,COLUMN())),OFFSET($BN$2,0,0,ROW()-1,60),ROW()-1,FALSE))</f>
        <v>5.9808102349999999</v>
      </c>
      <c r="Z77" t="str">
        <f ca="1">IF(AND(ISNUMBER($Z$750),$B$677=1),$Z$750,HLOOKUP(INDIRECT(ADDRESS(2,COLUMN())),OFFSET($BN$2,0,0,ROW()-1,60),ROW()-1,FALSE))</f>
        <v/>
      </c>
      <c r="AA77" t="str">
        <f ca="1">IF(AND(ISNUMBER($AA$750),$B$677=1),$AA$750,HLOOKUP(INDIRECT(ADDRESS(2,COLUMN())),OFFSET($BN$2,0,0,ROW()-1,60),ROW()-1,FALSE))</f>
        <v/>
      </c>
      <c r="AB77" t="str">
        <f ca="1">IF(AND(ISNUMBER($AB$750),$B$677=1),$AB$750,HLOOKUP(INDIRECT(ADDRESS(2,COLUMN())),OFFSET($BN$2,0,0,ROW()-1,60),ROW()-1,FALSE))</f>
        <v/>
      </c>
      <c r="AC77" t="str">
        <f ca="1">IF(AND(ISNUMBER($AC$750),$B$677=1),$AC$750,HLOOKUP(INDIRECT(ADDRESS(2,COLUMN())),OFFSET($BN$2,0,0,ROW()-1,60),ROW()-1,FALSE))</f>
        <v/>
      </c>
      <c r="AD77" t="str">
        <f ca="1">IF(AND(ISNUMBER($AD$750),$B$677=1),$AD$750,HLOOKUP(INDIRECT(ADDRESS(2,COLUMN())),OFFSET($BN$2,0,0,ROW()-1,60),ROW()-1,FALSE))</f>
        <v/>
      </c>
      <c r="AE77" t="str">
        <f ca="1">IF(AND(ISNUMBER($AE$750),$B$677=1),$AE$750,HLOOKUP(INDIRECT(ADDRESS(2,COLUMN())),OFFSET($BN$2,0,0,ROW()-1,60),ROW()-1,FALSE))</f>
        <v/>
      </c>
      <c r="AF77" t="str">
        <f ca="1">IF(AND(ISNUMBER($AF$750),$B$677=1),$AF$750,HLOOKUP(INDIRECT(ADDRESS(2,COLUMN())),OFFSET($BN$2,0,0,ROW()-1,60),ROW()-1,FALSE))</f>
        <v/>
      </c>
      <c r="AG77" t="str">
        <f ca="1">IF(AND(ISNUMBER($AG$750),$B$677=1),$AG$750,HLOOKUP(INDIRECT(ADDRESS(2,COLUMN())),OFFSET($BN$2,0,0,ROW()-1,60),ROW()-1,FALSE))</f>
        <v/>
      </c>
      <c r="AH77" t="str">
        <f ca="1">IF(AND(ISNUMBER($AH$750),$B$677=1),$AH$750,HLOOKUP(INDIRECT(ADDRESS(2,COLUMN())),OFFSET($BN$2,0,0,ROW()-1,60),ROW()-1,FALSE))</f>
        <v/>
      </c>
      <c r="AI77" t="str">
        <f ca="1">IF(AND(ISNUMBER($AI$750),$B$677=1),$AI$750,HLOOKUP(INDIRECT(ADDRESS(2,COLUMN())),OFFSET($BN$2,0,0,ROW()-1,60),ROW()-1,FALSE))</f>
        <v/>
      </c>
      <c r="AJ77" t="str">
        <f ca="1">IF(AND(ISNUMBER($AJ$750),$B$677=1),$AJ$750,HLOOKUP(INDIRECT(ADDRESS(2,COLUMN())),OFFSET($BN$2,0,0,ROW()-1,60),ROW()-1,FALSE))</f>
        <v/>
      </c>
      <c r="AK77" t="str">
        <f ca="1">IF(AND(ISNUMBER($AK$750),$B$677=1),$AK$750,HLOOKUP(INDIRECT(ADDRESS(2,COLUMN())),OFFSET($BN$2,0,0,ROW()-1,60),ROW()-1,FALSE))</f>
        <v/>
      </c>
      <c r="AL77" t="str">
        <f ca="1">IF(AND(ISNUMBER($AL$750),$B$677=1),$AL$750,HLOOKUP(INDIRECT(ADDRESS(2,COLUMN())),OFFSET($BN$2,0,0,ROW()-1,60),ROW()-1,FALSE))</f>
        <v/>
      </c>
      <c r="AM77" t="str">
        <f ca="1">IF(AND(ISNUMBER($AM$750),$B$677=1),$AM$750,HLOOKUP(INDIRECT(ADDRESS(2,COLUMN())),OFFSET($BN$2,0,0,ROW()-1,60),ROW()-1,FALSE))</f>
        <v/>
      </c>
      <c r="AN77" t="str">
        <f ca="1">IF(AND(ISNUMBER($AN$750),$B$677=1),$AN$750,HLOOKUP(INDIRECT(ADDRESS(2,COLUMN())),OFFSET($BN$2,0,0,ROW()-1,60),ROW()-1,FALSE))</f>
        <v/>
      </c>
      <c r="AO77" t="str">
        <f ca="1">IF(AND(ISNUMBER($AO$750),$B$677=1),$AO$750,HLOOKUP(INDIRECT(ADDRESS(2,COLUMN())),OFFSET($BN$2,0,0,ROW()-1,60),ROW()-1,FALSE))</f>
        <v/>
      </c>
      <c r="AP77" t="str">
        <f ca="1">IF(AND(ISNUMBER($AP$750),$B$677=1),$AP$750,HLOOKUP(INDIRECT(ADDRESS(2,COLUMN())),OFFSET($BN$2,0,0,ROW()-1,60),ROW()-1,FALSE))</f>
        <v/>
      </c>
      <c r="AQ77" t="str">
        <f ca="1">IF(AND(ISNUMBER($AQ$750),$B$677=1),$AQ$750,HLOOKUP(INDIRECT(ADDRESS(2,COLUMN())),OFFSET($BN$2,0,0,ROW()-1,60),ROW()-1,FALSE))</f>
        <v/>
      </c>
      <c r="AR77" t="str">
        <f ca="1">IF(AND(ISNUMBER($AR$750),$B$677=1),$AR$750,HLOOKUP(INDIRECT(ADDRESS(2,COLUMN())),OFFSET($BN$2,0,0,ROW()-1,60),ROW()-1,FALSE))</f>
        <v/>
      </c>
      <c r="AS77" t="str">
        <f ca="1">IF(AND(ISNUMBER($AS$750),$B$677=1),$AS$750,HLOOKUP(INDIRECT(ADDRESS(2,COLUMN())),OFFSET($BN$2,0,0,ROW()-1,60),ROW()-1,FALSE))</f>
        <v/>
      </c>
      <c r="AT77" t="str">
        <f ca="1">IF(AND(ISNUMBER($AT$750),$B$677=1),$AT$750,HLOOKUP(INDIRECT(ADDRESS(2,COLUMN())),OFFSET($BN$2,0,0,ROW()-1,60),ROW()-1,FALSE))</f>
        <v/>
      </c>
      <c r="AU77" t="str">
        <f ca="1">IF(AND(ISNUMBER($AU$750),$B$677=1),$AU$750,HLOOKUP(INDIRECT(ADDRESS(2,COLUMN())),OFFSET($BN$2,0,0,ROW()-1,60),ROW()-1,FALSE))</f>
        <v/>
      </c>
      <c r="AV77" t="str">
        <f ca="1">IF(AND(ISNUMBER($AV$750),$B$677=1),$AV$750,HLOOKUP(INDIRECT(ADDRESS(2,COLUMN())),OFFSET($BN$2,0,0,ROW()-1,60),ROW()-1,FALSE))</f>
        <v/>
      </c>
      <c r="AW77" t="str">
        <f ca="1">IF(AND(ISNUMBER($AW$750),$B$677=1),$AW$750,HLOOKUP(INDIRECT(ADDRESS(2,COLUMN())),OFFSET($BN$2,0,0,ROW()-1,60),ROW()-1,FALSE))</f>
        <v/>
      </c>
      <c r="AX77" t="str">
        <f ca="1">IF(AND(ISNUMBER($AX$750),$B$677=1),$AX$750,HLOOKUP(INDIRECT(ADDRESS(2,COLUMN())),OFFSET($BN$2,0,0,ROW()-1,60),ROW()-1,FALSE))</f>
        <v/>
      </c>
      <c r="AY77" t="str">
        <f ca="1">IF(AND(ISNUMBER($AY$750),$B$677=1),$AY$750,HLOOKUP(INDIRECT(ADDRESS(2,COLUMN())),OFFSET($BN$2,0,0,ROW()-1,60),ROW()-1,FALSE))</f>
        <v/>
      </c>
      <c r="AZ77" t="str">
        <f ca="1">IF(AND(ISNUMBER($AZ$750),$B$677=1),$AZ$750,HLOOKUP(INDIRECT(ADDRESS(2,COLUMN())),OFFSET($BN$2,0,0,ROW()-1,60),ROW()-1,FALSE))</f>
        <v/>
      </c>
      <c r="BA77" t="str">
        <f ca="1">IF(AND(ISNUMBER($BA$750),$B$677=1),$BA$750,HLOOKUP(INDIRECT(ADDRESS(2,COLUMN())),OFFSET($BN$2,0,0,ROW()-1,60),ROW()-1,FALSE))</f>
        <v/>
      </c>
      <c r="BB77" t="str">
        <f ca="1">IF(AND(ISNUMBER($BB$750),$B$677=1),$BB$750,HLOOKUP(INDIRECT(ADDRESS(2,COLUMN())),OFFSET($BN$2,0,0,ROW()-1,60),ROW()-1,FALSE))</f>
        <v/>
      </c>
      <c r="BC77" t="str">
        <f ca="1">IF(AND(ISNUMBER($BC$750),$B$677=1),$BC$750,HLOOKUP(INDIRECT(ADDRESS(2,COLUMN())),OFFSET($BN$2,0,0,ROW()-1,60),ROW()-1,FALSE))</f>
        <v/>
      </c>
      <c r="BD77" t="str">
        <f ca="1">IF(AND(ISNUMBER($BD$750),$B$677=1),$BD$750,HLOOKUP(INDIRECT(ADDRESS(2,COLUMN())),OFFSET($BN$2,0,0,ROW()-1,60),ROW()-1,FALSE))</f>
        <v/>
      </c>
      <c r="BE77" t="str">
        <f ca="1">IF(AND(ISNUMBER($BE$750),$B$677=1),$BE$750,HLOOKUP(INDIRECT(ADDRESS(2,COLUMN())),OFFSET($BN$2,0,0,ROW()-1,60),ROW()-1,FALSE))</f>
        <v/>
      </c>
      <c r="BF77" t="str">
        <f ca="1">IF(AND(ISNUMBER($BF$750),$B$677=1),$BF$750,HLOOKUP(INDIRECT(ADDRESS(2,COLUMN())),OFFSET($BN$2,0,0,ROW()-1,60),ROW()-1,FALSE))</f>
        <v/>
      </c>
      <c r="BG77" t="str">
        <f ca="1">IF(AND(ISNUMBER($BG$750),$B$677=1),$BG$750,HLOOKUP(INDIRECT(ADDRESS(2,COLUMN())),OFFSET($BN$2,0,0,ROW()-1,60),ROW()-1,FALSE))</f>
        <v/>
      </c>
      <c r="BH77" t="str">
        <f ca="1">IF(AND(ISNUMBER($BH$750),$B$677=1),$BH$750,HLOOKUP(INDIRECT(ADDRESS(2,COLUMN())),OFFSET($BN$2,0,0,ROW()-1,60),ROW()-1,FALSE))</f>
        <v/>
      </c>
      <c r="BI77" t="str">
        <f ca="1">IF(AND(ISNUMBER($BI$750),$B$677=1),$BI$750,HLOOKUP(INDIRECT(ADDRESS(2,COLUMN())),OFFSET($BN$2,0,0,ROW()-1,60),ROW()-1,FALSE))</f>
        <v/>
      </c>
      <c r="BJ77" t="str">
        <f ca="1">IF(AND(ISNUMBER($BJ$750),$B$677=1),$BJ$750,HLOOKUP(INDIRECT(ADDRESS(2,COLUMN())),OFFSET($BN$2,0,0,ROW()-1,60),ROW()-1,FALSE))</f>
        <v/>
      </c>
      <c r="BK77" t="str">
        <f ca="1">IF(AND(ISNUMBER($BK$750),$B$677=1),$BK$750,HLOOKUP(INDIRECT(ADDRESS(2,COLUMN())),OFFSET($BN$2,0,0,ROW()-1,60),ROW()-1,FALSE))</f>
        <v/>
      </c>
      <c r="BL77" t="str">
        <f ca="1">IF(AND(ISNUMBER($BL$750),$B$677=1),$BL$750,HLOOKUP(INDIRECT(ADDRESS(2,COLUMN())),OFFSET($BN$2,0,0,ROW()-1,60),ROW()-1,FALSE))</f>
        <v/>
      </c>
      <c r="BM77" t="str">
        <f ca="1">IF(AND(ISNUMBER($BM$750),$B$677=1),$BM$750,HLOOKUP(INDIRECT(ADDRESS(2,COLUMN())),OFFSET($BN$2,0,0,ROW()-1,60),ROW()-1,FALSE))</f>
        <v/>
      </c>
      <c r="BN77">
        <f>13.39154577</f>
        <v>13.39154577</v>
      </c>
      <c r="BO77">
        <f>10.18518918</f>
        <v>10.18518918</v>
      </c>
      <c r="BP77">
        <f>10.17710502</f>
        <v>10.177105020000001</v>
      </c>
      <c r="BQ77">
        <f>9.394526414</f>
        <v>9.3945264139999995</v>
      </c>
      <c r="BR77">
        <f>9.112409026</f>
        <v>9.1124090259999999</v>
      </c>
      <c r="BS77">
        <f>8.70655531</f>
        <v>8.7065553100000006</v>
      </c>
      <c r="BT77">
        <f>8.846337377</f>
        <v>8.8463373769999993</v>
      </c>
      <c r="BU77">
        <f>8.523801805</f>
        <v>8.5238018049999997</v>
      </c>
      <c r="BV77">
        <f>7.531501154</f>
        <v>7.5315011539999999</v>
      </c>
      <c r="BW77">
        <f>9.253406037</f>
        <v>9.2534060369999995</v>
      </c>
      <c r="BX77">
        <f>8.135506557</f>
        <v>8.1355065569999994</v>
      </c>
      <c r="BY77">
        <f>7.039246125</f>
        <v>7.039246125</v>
      </c>
      <c r="BZ77">
        <f>7.568545316</f>
        <v>7.5685453159999998</v>
      </c>
      <c r="CA77">
        <f>8.609350916</f>
        <v>8.6093509160000004</v>
      </c>
      <c r="CB77">
        <f>7.419019574</f>
        <v>7.419019574</v>
      </c>
      <c r="CC77">
        <f>7.80876494</f>
        <v>7.8087649399999997</v>
      </c>
      <c r="CD77">
        <f>7.135705346</f>
        <v>7.1357053459999999</v>
      </c>
      <c r="CE77">
        <f>7.675830061</f>
        <v>7.6758300610000001</v>
      </c>
      <c r="CF77">
        <f>7.731343284</f>
        <v>7.7313432840000003</v>
      </c>
      <c r="CG77">
        <f>5.980810235</f>
        <v>5.9808102349999999</v>
      </c>
      <c r="CH77" t="str">
        <f>""</f>
        <v/>
      </c>
      <c r="CI77" t="str">
        <f>""</f>
        <v/>
      </c>
      <c r="CJ77" t="str">
        <f>""</f>
        <v/>
      </c>
      <c r="CK77" t="str">
        <f>""</f>
        <v/>
      </c>
      <c r="CL77" t="str">
        <f>""</f>
        <v/>
      </c>
      <c r="CM77" t="str">
        <f>""</f>
        <v/>
      </c>
      <c r="CN77" t="str">
        <f>""</f>
        <v/>
      </c>
      <c r="CO77" t="str">
        <f>""</f>
        <v/>
      </c>
      <c r="CP77" t="str">
        <f>""</f>
        <v/>
      </c>
      <c r="CQ77" t="str">
        <f>""</f>
        <v/>
      </c>
      <c r="CR77" t="str">
        <f>""</f>
        <v/>
      </c>
      <c r="CS77" t="str">
        <f>""</f>
        <v/>
      </c>
      <c r="CT77" t="str">
        <f>""</f>
        <v/>
      </c>
      <c r="CU77" t="str">
        <f>""</f>
        <v/>
      </c>
      <c r="CV77" t="str">
        <f>""</f>
        <v/>
      </c>
      <c r="CW77" t="str">
        <f>""</f>
        <v/>
      </c>
      <c r="CX77" t="str">
        <f>""</f>
        <v/>
      </c>
      <c r="CY77" t="str">
        <f>""</f>
        <v/>
      </c>
      <c r="CZ77" t="str">
        <f>""</f>
        <v/>
      </c>
      <c r="DA77" t="str">
        <f>""</f>
        <v/>
      </c>
      <c r="DB77" t="str">
        <f>""</f>
        <v/>
      </c>
      <c r="DC77" t="str">
        <f>""</f>
        <v/>
      </c>
      <c r="DD77" t="str">
        <f>""</f>
        <v/>
      </c>
      <c r="DE77" t="str">
        <f>""</f>
        <v/>
      </c>
      <c r="DF77" t="str">
        <f>""</f>
        <v/>
      </c>
      <c r="DG77" t="str">
        <f>""</f>
        <v/>
      </c>
      <c r="DH77" t="str">
        <f>""</f>
        <v/>
      </c>
      <c r="DI77" t="str">
        <f>""</f>
        <v/>
      </c>
      <c r="DJ77" t="str">
        <f>""</f>
        <v/>
      </c>
      <c r="DK77" t="str">
        <f>""</f>
        <v/>
      </c>
      <c r="DL77" t="str">
        <f>""</f>
        <v/>
      </c>
      <c r="DM77" t="str">
        <f>""</f>
        <v/>
      </c>
      <c r="DN77" t="str">
        <f>""</f>
        <v/>
      </c>
      <c r="DO77" t="str">
        <f>""</f>
        <v/>
      </c>
      <c r="DP77" t="str">
        <f>""</f>
        <v/>
      </c>
      <c r="DQ77" t="str">
        <f>""</f>
        <v/>
      </c>
      <c r="DR77" t="str">
        <f>""</f>
        <v/>
      </c>
      <c r="DS77" t="str">
        <f>""</f>
        <v/>
      </c>
      <c r="DT77" t="str">
        <f>""</f>
        <v/>
      </c>
      <c r="DU77" t="str">
        <f>""</f>
        <v/>
      </c>
    </row>
    <row r="78" spans="1:125" x14ac:dyDescent="0.25">
      <c r="A78" t="str">
        <f>"    Suzuki Motor Corp"</f>
        <v xml:space="preserve">    Suzuki Motor Corp</v>
      </c>
      <c r="B78" t="str">
        <f>"7269 JP Equity"</f>
        <v>7269 JP Equity</v>
      </c>
      <c r="C78" t="str">
        <f t="shared" si="3"/>
        <v>EZ009</v>
      </c>
      <c r="D78" t="str">
        <f t="shared" si="4"/>
        <v>BEST_EST_PE_CUR_YR</v>
      </c>
      <c r="E78" t="str">
        <f t="shared" si="5"/>
        <v>Dynamic</v>
      </c>
      <c r="F78">
        <f ca="1">IF(AND(ISNUMBER($F$751),$B$677=1),$F$751,HLOOKUP(INDIRECT(ADDRESS(2,COLUMN())),OFFSET($BN$2,0,0,ROW()-1,60),ROW()-1,FALSE))</f>
        <v>10.839866219999999</v>
      </c>
      <c r="G78">
        <f ca="1">IF(AND(ISNUMBER($G$751),$B$677=1),$G$751,HLOOKUP(INDIRECT(ADDRESS(2,COLUMN())),OFFSET($BN$2,0,0,ROW()-1,60),ROW()-1,FALSE))</f>
        <v>10.321855749999999</v>
      </c>
      <c r="H78">
        <f ca="1">IF(AND(ISNUMBER($H$751),$B$677=1),$H$751,HLOOKUP(INDIRECT(ADDRESS(2,COLUMN())),OFFSET($BN$2,0,0,ROW()-1,60),ROW()-1,FALSE))</f>
        <v>11.45431825</v>
      </c>
      <c r="I78">
        <f ca="1">IF(AND(ISNUMBER($I$751),$B$677=1),$I$751,HLOOKUP(INDIRECT(ADDRESS(2,COLUMN())),OFFSET($BN$2,0,0,ROW()-1,60),ROW()-1,FALSE))</f>
        <v>11.834388199999999</v>
      </c>
      <c r="J78">
        <f ca="1">IF(AND(ISNUMBER($J$751),$B$677=1),$J$751,HLOOKUP(INDIRECT(ADDRESS(2,COLUMN())),OFFSET($BN$2,0,0,ROW()-1,60),ROW()-1,FALSE))</f>
        <v>11.415183989999999</v>
      </c>
      <c r="K78">
        <f ca="1">IF(AND(ISNUMBER($K$751),$B$677=1),$K$751,HLOOKUP(INDIRECT(ADDRESS(2,COLUMN())),OFFSET($BN$2,0,0,ROW()-1,60),ROW()-1,FALSE))</f>
        <v>13.3895912</v>
      </c>
      <c r="L78">
        <f ca="1">IF(AND(ISNUMBER($L$751),$B$677=1),$L$751,HLOOKUP(INDIRECT(ADDRESS(2,COLUMN())),OFFSET($BN$2,0,0,ROW()-1,60),ROW()-1,FALSE))</f>
        <v>12.624328889999999</v>
      </c>
      <c r="M78">
        <f ca="1">IF(AND(ISNUMBER($M$751),$B$677=1),$M$751,HLOOKUP(INDIRECT(ADDRESS(2,COLUMN())),OFFSET($BN$2,0,0,ROW()-1,60),ROW()-1,FALSE))</f>
        <v>12.897324709999999</v>
      </c>
      <c r="N78">
        <f ca="1">IF(AND(ISNUMBER($N$751),$B$677=1),$N$751,HLOOKUP(INDIRECT(ADDRESS(2,COLUMN())),OFFSET($BN$2,0,0,ROW()-1,60),ROW()-1,FALSE))</f>
        <v>13.349391880000001</v>
      </c>
      <c r="O78">
        <f ca="1">IF(AND(ISNUMBER($O$751),$B$677=1),$O$751,HLOOKUP(INDIRECT(ADDRESS(2,COLUMN())),OFFSET($BN$2,0,0,ROW()-1,60),ROW()-1,FALSE))</f>
        <v>12.79989048</v>
      </c>
      <c r="P78">
        <f ca="1">IF(AND(ISNUMBER($P$751),$B$677=1),$P$751,HLOOKUP(INDIRECT(ADDRESS(2,COLUMN())),OFFSET($BN$2,0,0,ROW()-1,60),ROW()-1,FALSE))</f>
        <v>12.19742402</v>
      </c>
      <c r="Q78">
        <f ca="1">IF(AND(ISNUMBER($Q$751),$B$677=1),$Q$751,HLOOKUP(INDIRECT(ADDRESS(2,COLUMN())),OFFSET($BN$2,0,0,ROW()-1,60),ROW()-1,FALSE))</f>
        <v>10.29649878</v>
      </c>
      <c r="R78">
        <f ca="1">IF(AND(ISNUMBER($R$751),$B$677=1),$R$751,HLOOKUP(INDIRECT(ADDRESS(2,COLUMN())),OFFSET($BN$2,0,0,ROW()-1,60),ROW()-1,FALSE))</f>
        <v>10.44133813</v>
      </c>
      <c r="S78">
        <f ca="1">IF(AND(ISNUMBER($S$751),$B$677=1),$S$751,HLOOKUP(INDIRECT(ADDRESS(2,COLUMN())),OFFSET($BN$2,0,0,ROW()-1,60),ROW()-1,FALSE))</f>
        <v>10.279686310000001</v>
      </c>
      <c r="T78">
        <f ca="1">IF(AND(ISNUMBER($T$751),$B$677=1),$T$751,HLOOKUP(INDIRECT(ADDRESS(2,COLUMN())),OFFSET($BN$2,0,0,ROW()-1,60),ROW()-1,FALSE))</f>
        <v>12.825721489999999</v>
      </c>
      <c r="U78">
        <f ca="1">IF(AND(ISNUMBER($U$751),$B$677=1),$U$751,HLOOKUP(INDIRECT(ADDRESS(2,COLUMN())),OFFSET($BN$2,0,0,ROW()-1,60),ROW()-1,FALSE))</f>
        <v>14.96128519</v>
      </c>
      <c r="V78">
        <f ca="1">IF(AND(ISNUMBER($V$751),$B$677=1),$V$751,HLOOKUP(INDIRECT(ADDRESS(2,COLUMN())),OFFSET($BN$2,0,0,ROW()-1,60),ROW()-1,FALSE))</f>
        <v>12.36522334</v>
      </c>
      <c r="W78">
        <f ca="1">IF(AND(ISNUMBER($W$751),$B$677=1),$W$751,HLOOKUP(INDIRECT(ADDRESS(2,COLUMN())),OFFSET($BN$2,0,0,ROW()-1,60),ROW()-1,FALSE))</f>
        <v>12.49785408</v>
      </c>
      <c r="X78">
        <f ca="1">IF(AND(ISNUMBER($X$751),$B$677=1),$X$751,HLOOKUP(INDIRECT(ADDRESS(2,COLUMN())),OFFSET($BN$2,0,0,ROW()-1,60),ROW()-1,FALSE))</f>
        <v>12.369853689999999</v>
      </c>
      <c r="Y78">
        <f ca="1">IF(AND(ISNUMBER($Y$751),$B$677=1),$Y$751,HLOOKUP(INDIRECT(ADDRESS(2,COLUMN())),OFFSET($BN$2,0,0,ROW()-1,60),ROW()-1,FALSE))</f>
        <v>10.796189180000001</v>
      </c>
      <c r="Z78" t="str">
        <f ca="1">IF(AND(ISNUMBER($Z$751),$B$677=1),$Z$751,HLOOKUP(INDIRECT(ADDRESS(2,COLUMN())),OFFSET($BN$2,0,0,ROW()-1,60),ROW()-1,FALSE))</f>
        <v/>
      </c>
      <c r="AA78" t="str">
        <f ca="1">IF(AND(ISNUMBER($AA$751),$B$677=1),$AA$751,HLOOKUP(INDIRECT(ADDRESS(2,COLUMN())),OFFSET($BN$2,0,0,ROW()-1,60),ROW()-1,FALSE))</f>
        <v/>
      </c>
      <c r="AB78" t="str">
        <f ca="1">IF(AND(ISNUMBER($AB$751),$B$677=1),$AB$751,HLOOKUP(INDIRECT(ADDRESS(2,COLUMN())),OFFSET($BN$2,0,0,ROW()-1,60),ROW()-1,FALSE))</f>
        <v/>
      </c>
      <c r="AC78" t="str">
        <f ca="1">IF(AND(ISNUMBER($AC$751),$B$677=1),$AC$751,HLOOKUP(INDIRECT(ADDRESS(2,COLUMN())),OFFSET($BN$2,0,0,ROW()-1,60),ROW()-1,FALSE))</f>
        <v/>
      </c>
      <c r="AD78" t="str">
        <f ca="1">IF(AND(ISNUMBER($AD$751),$B$677=1),$AD$751,HLOOKUP(INDIRECT(ADDRESS(2,COLUMN())),OFFSET($BN$2,0,0,ROW()-1,60),ROW()-1,FALSE))</f>
        <v/>
      </c>
      <c r="AE78" t="str">
        <f ca="1">IF(AND(ISNUMBER($AE$751),$B$677=1),$AE$751,HLOOKUP(INDIRECT(ADDRESS(2,COLUMN())),OFFSET($BN$2,0,0,ROW()-1,60),ROW()-1,FALSE))</f>
        <v/>
      </c>
      <c r="AF78" t="str">
        <f ca="1">IF(AND(ISNUMBER($AF$751),$B$677=1),$AF$751,HLOOKUP(INDIRECT(ADDRESS(2,COLUMN())),OFFSET($BN$2,0,0,ROW()-1,60),ROW()-1,FALSE))</f>
        <v/>
      </c>
      <c r="AG78" t="str">
        <f ca="1">IF(AND(ISNUMBER($AG$751),$B$677=1),$AG$751,HLOOKUP(INDIRECT(ADDRESS(2,COLUMN())),OFFSET($BN$2,0,0,ROW()-1,60),ROW()-1,FALSE))</f>
        <v/>
      </c>
      <c r="AH78" t="str">
        <f ca="1">IF(AND(ISNUMBER($AH$751),$B$677=1),$AH$751,HLOOKUP(INDIRECT(ADDRESS(2,COLUMN())),OFFSET($BN$2,0,0,ROW()-1,60),ROW()-1,FALSE))</f>
        <v/>
      </c>
      <c r="AI78" t="str">
        <f ca="1">IF(AND(ISNUMBER($AI$751),$B$677=1),$AI$751,HLOOKUP(INDIRECT(ADDRESS(2,COLUMN())),OFFSET($BN$2,0,0,ROW()-1,60),ROW()-1,FALSE))</f>
        <v/>
      </c>
      <c r="AJ78" t="str">
        <f ca="1">IF(AND(ISNUMBER($AJ$751),$B$677=1),$AJ$751,HLOOKUP(INDIRECT(ADDRESS(2,COLUMN())),OFFSET($BN$2,0,0,ROW()-1,60),ROW()-1,FALSE))</f>
        <v/>
      </c>
      <c r="AK78" t="str">
        <f ca="1">IF(AND(ISNUMBER($AK$751),$B$677=1),$AK$751,HLOOKUP(INDIRECT(ADDRESS(2,COLUMN())),OFFSET($BN$2,0,0,ROW()-1,60),ROW()-1,FALSE))</f>
        <v/>
      </c>
      <c r="AL78" t="str">
        <f ca="1">IF(AND(ISNUMBER($AL$751),$B$677=1),$AL$751,HLOOKUP(INDIRECT(ADDRESS(2,COLUMN())),OFFSET($BN$2,0,0,ROW()-1,60),ROW()-1,FALSE))</f>
        <v/>
      </c>
      <c r="AM78" t="str">
        <f ca="1">IF(AND(ISNUMBER($AM$751),$B$677=1),$AM$751,HLOOKUP(INDIRECT(ADDRESS(2,COLUMN())),OFFSET($BN$2,0,0,ROW()-1,60),ROW()-1,FALSE))</f>
        <v/>
      </c>
      <c r="AN78" t="str">
        <f ca="1">IF(AND(ISNUMBER($AN$751),$B$677=1),$AN$751,HLOOKUP(INDIRECT(ADDRESS(2,COLUMN())),OFFSET($BN$2,0,0,ROW()-1,60),ROW()-1,FALSE))</f>
        <v/>
      </c>
      <c r="AO78" t="str">
        <f ca="1">IF(AND(ISNUMBER($AO$751),$B$677=1),$AO$751,HLOOKUP(INDIRECT(ADDRESS(2,COLUMN())),OFFSET($BN$2,0,0,ROW()-1,60),ROW()-1,FALSE))</f>
        <v/>
      </c>
      <c r="AP78" t="str">
        <f ca="1">IF(AND(ISNUMBER($AP$751),$B$677=1),$AP$751,HLOOKUP(INDIRECT(ADDRESS(2,COLUMN())),OFFSET($BN$2,0,0,ROW()-1,60),ROW()-1,FALSE))</f>
        <v/>
      </c>
      <c r="AQ78" t="str">
        <f ca="1">IF(AND(ISNUMBER($AQ$751),$B$677=1),$AQ$751,HLOOKUP(INDIRECT(ADDRESS(2,COLUMN())),OFFSET($BN$2,0,0,ROW()-1,60),ROW()-1,FALSE))</f>
        <v/>
      </c>
      <c r="AR78" t="str">
        <f ca="1">IF(AND(ISNUMBER($AR$751),$B$677=1),$AR$751,HLOOKUP(INDIRECT(ADDRESS(2,COLUMN())),OFFSET($BN$2,0,0,ROW()-1,60),ROW()-1,FALSE))</f>
        <v/>
      </c>
      <c r="AS78" t="str">
        <f ca="1">IF(AND(ISNUMBER($AS$751),$B$677=1),$AS$751,HLOOKUP(INDIRECT(ADDRESS(2,COLUMN())),OFFSET($BN$2,0,0,ROW()-1,60),ROW()-1,FALSE))</f>
        <v/>
      </c>
      <c r="AT78" t="str">
        <f ca="1">IF(AND(ISNUMBER($AT$751),$B$677=1),$AT$751,HLOOKUP(INDIRECT(ADDRESS(2,COLUMN())),OFFSET($BN$2,0,0,ROW()-1,60),ROW()-1,FALSE))</f>
        <v/>
      </c>
      <c r="AU78" t="str">
        <f ca="1">IF(AND(ISNUMBER($AU$751),$B$677=1),$AU$751,HLOOKUP(INDIRECT(ADDRESS(2,COLUMN())),OFFSET($BN$2,0,0,ROW()-1,60),ROW()-1,FALSE))</f>
        <v/>
      </c>
      <c r="AV78" t="str">
        <f ca="1">IF(AND(ISNUMBER($AV$751),$B$677=1),$AV$751,HLOOKUP(INDIRECT(ADDRESS(2,COLUMN())),OFFSET($BN$2,0,0,ROW()-1,60),ROW()-1,FALSE))</f>
        <v/>
      </c>
      <c r="AW78" t="str">
        <f ca="1">IF(AND(ISNUMBER($AW$751),$B$677=1),$AW$751,HLOOKUP(INDIRECT(ADDRESS(2,COLUMN())),OFFSET($BN$2,0,0,ROW()-1,60),ROW()-1,FALSE))</f>
        <v/>
      </c>
      <c r="AX78" t="str">
        <f ca="1">IF(AND(ISNUMBER($AX$751),$B$677=1),$AX$751,HLOOKUP(INDIRECT(ADDRESS(2,COLUMN())),OFFSET($BN$2,0,0,ROW()-1,60),ROW()-1,FALSE))</f>
        <v/>
      </c>
      <c r="AY78" t="str">
        <f ca="1">IF(AND(ISNUMBER($AY$751),$B$677=1),$AY$751,HLOOKUP(INDIRECT(ADDRESS(2,COLUMN())),OFFSET($BN$2,0,0,ROW()-1,60),ROW()-1,FALSE))</f>
        <v/>
      </c>
      <c r="AZ78" t="str">
        <f ca="1">IF(AND(ISNUMBER($AZ$751),$B$677=1),$AZ$751,HLOOKUP(INDIRECT(ADDRESS(2,COLUMN())),OFFSET($BN$2,0,0,ROW()-1,60),ROW()-1,FALSE))</f>
        <v/>
      </c>
      <c r="BA78" t="str">
        <f ca="1">IF(AND(ISNUMBER($BA$751),$B$677=1),$BA$751,HLOOKUP(INDIRECT(ADDRESS(2,COLUMN())),OFFSET($BN$2,0,0,ROW()-1,60),ROW()-1,FALSE))</f>
        <v/>
      </c>
      <c r="BB78" t="str">
        <f ca="1">IF(AND(ISNUMBER($BB$751),$B$677=1),$BB$751,HLOOKUP(INDIRECT(ADDRESS(2,COLUMN())),OFFSET($BN$2,0,0,ROW()-1,60),ROW()-1,FALSE))</f>
        <v/>
      </c>
      <c r="BC78" t="str">
        <f ca="1">IF(AND(ISNUMBER($BC$751),$B$677=1),$BC$751,HLOOKUP(INDIRECT(ADDRESS(2,COLUMN())),OFFSET($BN$2,0,0,ROW()-1,60),ROW()-1,FALSE))</f>
        <v/>
      </c>
      <c r="BD78" t="str">
        <f ca="1">IF(AND(ISNUMBER($BD$751),$B$677=1),$BD$751,HLOOKUP(INDIRECT(ADDRESS(2,COLUMN())),OFFSET($BN$2,0,0,ROW()-1,60),ROW()-1,FALSE))</f>
        <v/>
      </c>
      <c r="BE78" t="str">
        <f ca="1">IF(AND(ISNUMBER($BE$751),$B$677=1),$BE$751,HLOOKUP(INDIRECT(ADDRESS(2,COLUMN())),OFFSET($BN$2,0,0,ROW()-1,60),ROW()-1,FALSE))</f>
        <v/>
      </c>
      <c r="BF78" t="str">
        <f ca="1">IF(AND(ISNUMBER($BF$751),$B$677=1),$BF$751,HLOOKUP(INDIRECT(ADDRESS(2,COLUMN())),OFFSET($BN$2,0,0,ROW()-1,60),ROW()-1,FALSE))</f>
        <v/>
      </c>
      <c r="BG78" t="str">
        <f ca="1">IF(AND(ISNUMBER($BG$751),$B$677=1),$BG$751,HLOOKUP(INDIRECT(ADDRESS(2,COLUMN())),OFFSET($BN$2,0,0,ROW()-1,60),ROW()-1,FALSE))</f>
        <v/>
      </c>
      <c r="BH78" t="str">
        <f ca="1">IF(AND(ISNUMBER($BH$751),$B$677=1),$BH$751,HLOOKUP(INDIRECT(ADDRESS(2,COLUMN())),OFFSET($BN$2,0,0,ROW()-1,60),ROW()-1,FALSE))</f>
        <v/>
      </c>
      <c r="BI78" t="str">
        <f ca="1">IF(AND(ISNUMBER($BI$751),$B$677=1),$BI$751,HLOOKUP(INDIRECT(ADDRESS(2,COLUMN())),OFFSET($BN$2,0,0,ROW()-1,60),ROW()-1,FALSE))</f>
        <v/>
      </c>
      <c r="BJ78" t="str">
        <f ca="1">IF(AND(ISNUMBER($BJ$751),$B$677=1),$BJ$751,HLOOKUP(INDIRECT(ADDRESS(2,COLUMN())),OFFSET($BN$2,0,0,ROW()-1,60),ROW()-1,FALSE))</f>
        <v/>
      </c>
      <c r="BK78" t="str">
        <f ca="1">IF(AND(ISNUMBER($BK$751),$B$677=1),$BK$751,HLOOKUP(INDIRECT(ADDRESS(2,COLUMN())),OFFSET($BN$2,0,0,ROW()-1,60),ROW()-1,FALSE))</f>
        <v/>
      </c>
      <c r="BL78" t="str">
        <f ca="1">IF(AND(ISNUMBER($BL$751),$B$677=1),$BL$751,HLOOKUP(INDIRECT(ADDRESS(2,COLUMN())),OFFSET($BN$2,0,0,ROW()-1,60),ROW()-1,FALSE))</f>
        <v/>
      </c>
      <c r="BM78" t="str">
        <f ca="1">IF(AND(ISNUMBER($BM$751),$B$677=1),$BM$751,HLOOKUP(INDIRECT(ADDRESS(2,COLUMN())),OFFSET($BN$2,0,0,ROW()-1,60),ROW()-1,FALSE))</f>
        <v/>
      </c>
      <c r="BN78">
        <f>10.83986622</f>
        <v>10.839866219999999</v>
      </c>
      <c r="BO78">
        <f>10.32185575</f>
        <v>10.321855749999999</v>
      </c>
      <c r="BP78">
        <f>11.45431825</f>
        <v>11.45431825</v>
      </c>
      <c r="BQ78">
        <f>11.8343882</f>
        <v>11.834388199999999</v>
      </c>
      <c r="BR78">
        <f>11.41518399</f>
        <v>11.415183989999999</v>
      </c>
      <c r="BS78">
        <f>13.3895912</f>
        <v>13.3895912</v>
      </c>
      <c r="BT78">
        <f>12.62432889</f>
        <v>12.624328889999999</v>
      </c>
      <c r="BU78">
        <f>12.89732471</f>
        <v>12.897324709999999</v>
      </c>
      <c r="BV78">
        <f>13.34939188</f>
        <v>13.349391880000001</v>
      </c>
      <c r="BW78">
        <f>12.79989048</f>
        <v>12.79989048</v>
      </c>
      <c r="BX78">
        <f>12.19742402</f>
        <v>12.19742402</v>
      </c>
      <c r="BY78">
        <f>10.29649878</f>
        <v>10.29649878</v>
      </c>
      <c r="BZ78">
        <f>10.44133813</f>
        <v>10.44133813</v>
      </c>
      <c r="CA78">
        <f>10.27968631</f>
        <v>10.279686310000001</v>
      </c>
      <c r="CB78">
        <f>12.82572149</f>
        <v>12.825721489999999</v>
      </c>
      <c r="CC78">
        <f>14.96128519</f>
        <v>14.96128519</v>
      </c>
      <c r="CD78">
        <f>12.36522334</f>
        <v>12.36522334</v>
      </c>
      <c r="CE78">
        <f>12.49785408</f>
        <v>12.49785408</v>
      </c>
      <c r="CF78">
        <f>12.36985369</f>
        <v>12.369853689999999</v>
      </c>
      <c r="CG78">
        <f>10.79618918</f>
        <v>10.796189180000001</v>
      </c>
      <c r="CH78" t="str">
        <f>""</f>
        <v/>
      </c>
      <c r="CI78" t="str">
        <f>""</f>
        <v/>
      </c>
      <c r="CJ78" t="str">
        <f>""</f>
        <v/>
      </c>
      <c r="CK78" t="str">
        <f>""</f>
        <v/>
      </c>
      <c r="CL78" t="str">
        <f>""</f>
        <v/>
      </c>
      <c r="CM78" t="str">
        <f>""</f>
        <v/>
      </c>
      <c r="CN78" t="str">
        <f>""</f>
        <v/>
      </c>
      <c r="CO78" t="str">
        <f>""</f>
        <v/>
      </c>
      <c r="CP78" t="str">
        <f>""</f>
        <v/>
      </c>
      <c r="CQ78" t="str">
        <f>""</f>
        <v/>
      </c>
      <c r="CR78" t="str">
        <f>""</f>
        <v/>
      </c>
      <c r="CS78" t="str">
        <f>""</f>
        <v/>
      </c>
      <c r="CT78" t="str">
        <f>""</f>
        <v/>
      </c>
      <c r="CU78" t="str">
        <f>""</f>
        <v/>
      </c>
      <c r="CV78" t="str">
        <f>""</f>
        <v/>
      </c>
      <c r="CW78" t="str">
        <f>""</f>
        <v/>
      </c>
      <c r="CX78" t="str">
        <f>""</f>
        <v/>
      </c>
      <c r="CY78" t="str">
        <f>""</f>
        <v/>
      </c>
      <c r="CZ78" t="str">
        <f>""</f>
        <v/>
      </c>
      <c r="DA78" t="str">
        <f>""</f>
        <v/>
      </c>
      <c r="DB78" t="str">
        <f>""</f>
        <v/>
      </c>
      <c r="DC78" t="str">
        <f>""</f>
        <v/>
      </c>
      <c r="DD78" t="str">
        <f>""</f>
        <v/>
      </c>
      <c r="DE78" t="str">
        <f>""</f>
        <v/>
      </c>
      <c r="DF78" t="str">
        <f>""</f>
        <v/>
      </c>
      <c r="DG78" t="str">
        <f>""</f>
        <v/>
      </c>
      <c r="DH78" t="str">
        <f>""</f>
        <v/>
      </c>
      <c r="DI78" t="str">
        <f>""</f>
        <v/>
      </c>
      <c r="DJ78" t="str">
        <f>""</f>
        <v/>
      </c>
      <c r="DK78" t="str">
        <f>""</f>
        <v/>
      </c>
      <c r="DL78" t="str">
        <f>""</f>
        <v/>
      </c>
      <c r="DM78" t="str">
        <f>""</f>
        <v/>
      </c>
      <c r="DN78" t="str">
        <f>""</f>
        <v/>
      </c>
      <c r="DO78" t="str">
        <f>""</f>
        <v/>
      </c>
      <c r="DP78" t="str">
        <f>""</f>
        <v/>
      </c>
      <c r="DQ78" t="str">
        <f>""</f>
        <v/>
      </c>
      <c r="DR78" t="str">
        <f>""</f>
        <v/>
      </c>
      <c r="DS78" t="str">
        <f>""</f>
        <v/>
      </c>
      <c r="DT78" t="str">
        <f>""</f>
        <v/>
      </c>
      <c r="DU78" t="str">
        <f>""</f>
        <v/>
      </c>
    </row>
    <row r="79" spans="1:125" x14ac:dyDescent="0.25">
      <c r="A79" t="str">
        <f>"    Tata Motors Ltd"</f>
        <v xml:space="preserve">    Tata Motors Ltd</v>
      </c>
      <c r="B79" t="str">
        <f>"TTMT IN Equity"</f>
        <v>TTMT IN Equity</v>
      </c>
      <c r="C79" t="str">
        <f t="shared" si="3"/>
        <v>EZ009</v>
      </c>
      <c r="D79" t="str">
        <f t="shared" si="4"/>
        <v>BEST_EST_PE_CUR_YR</v>
      </c>
      <c r="E79" t="str">
        <f t="shared" si="5"/>
        <v>Dynamic</v>
      </c>
      <c r="F79">
        <f ca="1">IF(AND(ISNUMBER($F$752),$B$677=1),$F$752,HLOOKUP(INDIRECT(ADDRESS(2,COLUMN())),OFFSET($BN$2,0,0,ROW()-1,60),ROW()-1,FALSE))</f>
        <v>780.82901549999997</v>
      </c>
      <c r="G79">
        <f ca="1">IF(AND(ISNUMBER($G$752),$B$677=1),$G$752,HLOOKUP(INDIRECT(ADDRESS(2,COLUMN())),OFFSET($BN$2,0,0,ROW()-1,60),ROW()-1,FALSE))</f>
        <v>19.487700289999999</v>
      </c>
      <c r="H79">
        <f ca="1">IF(AND(ISNUMBER($H$752),$B$677=1),$H$752,HLOOKUP(INDIRECT(ADDRESS(2,COLUMN())),OFFSET($BN$2,0,0,ROW()-1,60),ROW()-1,FALSE))</f>
        <v>9.2483876299999999</v>
      </c>
      <c r="I79">
        <f ca="1">IF(AND(ISNUMBER($I$752),$B$677=1),$I$752,HLOOKUP(INDIRECT(ADDRESS(2,COLUMN())),OFFSET($BN$2,0,0,ROW()-1,60),ROW()-1,FALSE))</f>
        <v>8.5947722849999995</v>
      </c>
      <c r="J79">
        <f ca="1">IF(AND(ISNUMBER($J$752),$B$677=1),$J$752,HLOOKUP(INDIRECT(ADDRESS(2,COLUMN())),OFFSET($BN$2,0,0,ROW()-1,60),ROW()-1,FALSE))</f>
        <v>8.2164404219999998</v>
      </c>
      <c r="K79">
        <f ca="1">IF(AND(ISNUMBER($K$752),$B$677=1),$K$752,HLOOKUP(INDIRECT(ADDRESS(2,COLUMN())),OFFSET($BN$2,0,0,ROW()-1,60),ROW()-1,FALSE))</f>
        <v>9.4583643609999992</v>
      </c>
      <c r="L79">
        <f ca="1">IF(AND(ISNUMBER($L$752),$B$677=1),$L$752,HLOOKUP(INDIRECT(ADDRESS(2,COLUMN())),OFFSET($BN$2,0,0,ROW()-1,60),ROW()-1,FALSE))</f>
        <v>8.8996763750000003</v>
      </c>
      <c r="M79">
        <f ca="1">IF(AND(ISNUMBER($M$752),$B$677=1),$M$752,HLOOKUP(INDIRECT(ADDRESS(2,COLUMN())),OFFSET($BN$2,0,0,ROW()-1,60),ROW()-1,FALSE))</f>
        <v>8.2900511720000001</v>
      </c>
      <c r="N79">
        <f ca="1">IF(AND(ISNUMBER($N$752),$B$677=1),$N$752,HLOOKUP(INDIRECT(ADDRESS(2,COLUMN())),OFFSET($BN$2,0,0,ROW()-1,60),ROW()-1,FALSE))</f>
        <v>8.4777070059999993</v>
      </c>
      <c r="O79">
        <f ca="1">IF(AND(ISNUMBER($O$752),$B$677=1),$O$752,HLOOKUP(INDIRECT(ADDRESS(2,COLUMN())),OFFSET($BN$2,0,0,ROW()-1,60),ROW()-1,FALSE))</f>
        <v>7.3983510450000001</v>
      </c>
      <c r="P79">
        <f ca="1">IF(AND(ISNUMBER($P$752),$B$677=1),$P$752,HLOOKUP(INDIRECT(ADDRESS(2,COLUMN())),OFFSET($BN$2,0,0,ROW()-1,60),ROW()-1,FALSE))</f>
        <v>7.9258172550000001</v>
      </c>
      <c r="Q79">
        <f ca="1">IF(AND(ISNUMBER($Q$752),$B$677=1),$Q$752,HLOOKUP(INDIRECT(ADDRESS(2,COLUMN())),OFFSET($BN$2,0,0,ROW()-1,60),ROW()-1,FALSE))</f>
        <v>7.3117337999999998</v>
      </c>
      <c r="R79">
        <f ca="1">IF(AND(ISNUMBER($R$752),$B$677=1),$R$752,HLOOKUP(INDIRECT(ADDRESS(2,COLUMN())),OFFSET($BN$2,0,0,ROW()-1,60),ROW()-1,FALSE))</f>
        <v>9.5151365989999999</v>
      </c>
      <c r="S79">
        <f ca="1">IF(AND(ISNUMBER($S$752),$B$677=1),$S$752,HLOOKUP(INDIRECT(ADDRESS(2,COLUMN())),OFFSET($BN$2,0,0,ROW()-1,60),ROW()-1,FALSE))</f>
        <v>4.2389773589999997</v>
      </c>
      <c r="T79">
        <f ca="1">IF(AND(ISNUMBER($T$752),$B$677=1),$T$752,HLOOKUP(INDIRECT(ADDRESS(2,COLUMN())),OFFSET($BN$2,0,0,ROW()-1,60),ROW()-1,FALSE))</f>
        <v>3.2246220299999999</v>
      </c>
      <c r="U79">
        <f ca="1">IF(AND(ISNUMBER($U$752),$B$677=1),$U$752,HLOOKUP(INDIRECT(ADDRESS(2,COLUMN())),OFFSET($BN$2,0,0,ROW()-1,60),ROW()-1,FALSE))</f>
        <v>4.7393701220000004</v>
      </c>
      <c r="V79">
        <f ca="1">IF(AND(ISNUMBER($V$752),$B$677=1),$V$752,HLOOKUP(INDIRECT(ADDRESS(2,COLUMN())),OFFSET($BN$2,0,0,ROW()-1,60),ROW()-1,FALSE))</f>
        <v>4.7843318469999998</v>
      </c>
      <c r="W79">
        <f ca="1">IF(AND(ISNUMBER($W$752),$B$677=1),$W$752,HLOOKUP(INDIRECT(ADDRESS(2,COLUMN())),OFFSET($BN$2,0,0,ROW()-1,60),ROW()-1,FALSE))</f>
        <v>4.3091160430000004</v>
      </c>
      <c r="X79">
        <f ca="1">IF(AND(ISNUMBER($X$752),$B$677=1),$X$752,HLOOKUP(INDIRECT(ADDRESS(2,COLUMN())),OFFSET($BN$2,0,0,ROW()-1,60),ROW()-1,FALSE))</f>
        <v>4.3665071559999999</v>
      </c>
      <c r="Y79" t="str">
        <f ca="1">IF(AND(ISNUMBER($Y$752),$B$677=1),$Y$752,HLOOKUP(INDIRECT(ADDRESS(2,COLUMN())),OFFSET($BN$2,0,0,ROW()-1,60),ROW()-1,FALSE))</f>
        <v/>
      </c>
      <c r="Z79" t="str">
        <f ca="1">IF(AND(ISNUMBER($Z$752),$B$677=1),$Z$752,HLOOKUP(INDIRECT(ADDRESS(2,COLUMN())),OFFSET($BN$2,0,0,ROW()-1,60),ROW()-1,FALSE))</f>
        <v/>
      </c>
      <c r="AA79" t="str">
        <f ca="1">IF(AND(ISNUMBER($AA$752),$B$677=1),$AA$752,HLOOKUP(INDIRECT(ADDRESS(2,COLUMN())),OFFSET($BN$2,0,0,ROW()-1,60),ROW()-1,FALSE))</f>
        <v/>
      </c>
      <c r="AB79" t="str">
        <f ca="1">IF(AND(ISNUMBER($AB$752),$B$677=1),$AB$752,HLOOKUP(INDIRECT(ADDRESS(2,COLUMN())),OFFSET($BN$2,0,0,ROW()-1,60),ROW()-1,FALSE))</f>
        <v/>
      </c>
      <c r="AC79" t="str">
        <f ca="1">IF(AND(ISNUMBER($AC$752),$B$677=1),$AC$752,HLOOKUP(INDIRECT(ADDRESS(2,COLUMN())),OFFSET($BN$2,0,0,ROW()-1,60),ROW()-1,FALSE))</f>
        <v/>
      </c>
      <c r="AD79" t="str">
        <f ca="1">IF(AND(ISNUMBER($AD$752),$B$677=1),$AD$752,HLOOKUP(INDIRECT(ADDRESS(2,COLUMN())),OFFSET($BN$2,0,0,ROW()-1,60),ROW()-1,FALSE))</f>
        <v/>
      </c>
      <c r="AE79" t="str">
        <f ca="1">IF(AND(ISNUMBER($AE$752),$B$677=1),$AE$752,HLOOKUP(INDIRECT(ADDRESS(2,COLUMN())),OFFSET($BN$2,0,0,ROW()-1,60),ROW()-1,FALSE))</f>
        <v/>
      </c>
      <c r="AF79" t="str">
        <f ca="1">IF(AND(ISNUMBER($AF$752),$B$677=1),$AF$752,HLOOKUP(INDIRECT(ADDRESS(2,COLUMN())),OFFSET($BN$2,0,0,ROW()-1,60),ROW()-1,FALSE))</f>
        <v/>
      </c>
      <c r="AG79" t="str">
        <f ca="1">IF(AND(ISNUMBER($AG$752),$B$677=1),$AG$752,HLOOKUP(INDIRECT(ADDRESS(2,COLUMN())),OFFSET($BN$2,0,0,ROW()-1,60),ROW()-1,FALSE))</f>
        <v/>
      </c>
      <c r="AH79" t="str">
        <f ca="1">IF(AND(ISNUMBER($AH$752),$B$677=1),$AH$752,HLOOKUP(INDIRECT(ADDRESS(2,COLUMN())),OFFSET($BN$2,0,0,ROW()-1,60),ROW()-1,FALSE))</f>
        <v/>
      </c>
      <c r="AI79" t="str">
        <f ca="1">IF(AND(ISNUMBER($AI$752),$B$677=1),$AI$752,HLOOKUP(INDIRECT(ADDRESS(2,COLUMN())),OFFSET($BN$2,0,0,ROW()-1,60),ROW()-1,FALSE))</f>
        <v/>
      </c>
      <c r="AJ79" t="str">
        <f ca="1">IF(AND(ISNUMBER($AJ$752),$B$677=1),$AJ$752,HLOOKUP(INDIRECT(ADDRESS(2,COLUMN())),OFFSET($BN$2,0,0,ROW()-1,60),ROW()-1,FALSE))</f>
        <v/>
      </c>
      <c r="AK79" t="str">
        <f ca="1">IF(AND(ISNUMBER($AK$752),$B$677=1),$AK$752,HLOOKUP(INDIRECT(ADDRESS(2,COLUMN())),OFFSET($BN$2,0,0,ROW()-1,60),ROW()-1,FALSE))</f>
        <v/>
      </c>
      <c r="AL79" t="str">
        <f ca="1">IF(AND(ISNUMBER($AL$752),$B$677=1),$AL$752,HLOOKUP(INDIRECT(ADDRESS(2,COLUMN())),OFFSET($BN$2,0,0,ROW()-1,60),ROW()-1,FALSE))</f>
        <v/>
      </c>
      <c r="AM79" t="str">
        <f ca="1">IF(AND(ISNUMBER($AM$752),$B$677=1),$AM$752,HLOOKUP(INDIRECT(ADDRESS(2,COLUMN())),OFFSET($BN$2,0,0,ROW()-1,60),ROW()-1,FALSE))</f>
        <v/>
      </c>
      <c r="AN79" t="str">
        <f ca="1">IF(AND(ISNUMBER($AN$752),$B$677=1),$AN$752,HLOOKUP(INDIRECT(ADDRESS(2,COLUMN())),OFFSET($BN$2,0,0,ROW()-1,60),ROW()-1,FALSE))</f>
        <v/>
      </c>
      <c r="AO79" t="str">
        <f ca="1">IF(AND(ISNUMBER($AO$752),$B$677=1),$AO$752,HLOOKUP(INDIRECT(ADDRESS(2,COLUMN())),OFFSET($BN$2,0,0,ROW()-1,60),ROW()-1,FALSE))</f>
        <v/>
      </c>
      <c r="AP79" t="str">
        <f ca="1">IF(AND(ISNUMBER($AP$752),$B$677=1),$AP$752,HLOOKUP(INDIRECT(ADDRESS(2,COLUMN())),OFFSET($BN$2,0,0,ROW()-1,60),ROW()-1,FALSE))</f>
        <v/>
      </c>
      <c r="AQ79" t="str">
        <f ca="1">IF(AND(ISNUMBER($AQ$752),$B$677=1),$AQ$752,HLOOKUP(INDIRECT(ADDRESS(2,COLUMN())),OFFSET($BN$2,0,0,ROW()-1,60),ROW()-1,FALSE))</f>
        <v/>
      </c>
      <c r="AR79" t="str">
        <f ca="1">IF(AND(ISNUMBER($AR$752),$B$677=1),$AR$752,HLOOKUP(INDIRECT(ADDRESS(2,COLUMN())),OFFSET($BN$2,0,0,ROW()-1,60),ROW()-1,FALSE))</f>
        <v/>
      </c>
      <c r="AS79" t="str">
        <f ca="1">IF(AND(ISNUMBER($AS$752),$B$677=1),$AS$752,HLOOKUP(INDIRECT(ADDRESS(2,COLUMN())),OFFSET($BN$2,0,0,ROW()-1,60),ROW()-1,FALSE))</f>
        <v/>
      </c>
      <c r="AT79" t="str">
        <f ca="1">IF(AND(ISNUMBER($AT$752),$B$677=1),$AT$752,HLOOKUP(INDIRECT(ADDRESS(2,COLUMN())),OFFSET($BN$2,0,0,ROW()-1,60),ROW()-1,FALSE))</f>
        <v/>
      </c>
      <c r="AU79" t="str">
        <f ca="1">IF(AND(ISNUMBER($AU$752),$B$677=1),$AU$752,HLOOKUP(INDIRECT(ADDRESS(2,COLUMN())),OFFSET($BN$2,0,0,ROW()-1,60),ROW()-1,FALSE))</f>
        <v/>
      </c>
      <c r="AV79" t="str">
        <f ca="1">IF(AND(ISNUMBER($AV$752),$B$677=1),$AV$752,HLOOKUP(INDIRECT(ADDRESS(2,COLUMN())),OFFSET($BN$2,0,0,ROW()-1,60),ROW()-1,FALSE))</f>
        <v/>
      </c>
      <c r="AW79" t="str">
        <f ca="1">IF(AND(ISNUMBER($AW$752),$B$677=1),$AW$752,HLOOKUP(INDIRECT(ADDRESS(2,COLUMN())),OFFSET($BN$2,0,0,ROW()-1,60),ROW()-1,FALSE))</f>
        <v/>
      </c>
      <c r="AX79" t="str">
        <f ca="1">IF(AND(ISNUMBER($AX$752),$B$677=1),$AX$752,HLOOKUP(INDIRECT(ADDRESS(2,COLUMN())),OFFSET($BN$2,0,0,ROW()-1,60),ROW()-1,FALSE))</f>
        <v/>
      </c>
      <c r="AY79" t="str">
        <f ca="1">IF(AND(ISNUMBER($AY$752),$B$677=1),$AY$752,HLOOKUP(INDIRECT(ADDRESS(2,COLUMN())),OFFSET($BN$2,0,0,ROW()-1,60),ROW()-1,FALSE))</f>
        <v/>
      </c>
      <c r="AZ79" t="str">
        <f ca="1">IF(AND(ISNUMBER($AZ$752),$B$677=1),$AZ$752,HLOOKUP(INDIRECT(ADDRESS(2,COLUMN())),OFFSET($BN$2,0,0,ROW()-1,60),ROW()-1,FALSE))</f>
        <v/>
      </c>
      <c r="BA79" t="str">
        <f ca="1">IF(AND(ISNUMBER($BA$752),$B$677=1),$BA$752,HLOOKUP(INDIRECT(ADDRESS(2,COLUMN())),OFFSET($BN$2,0,0,ROW()-1,60),ROW()-1,FALSE))</f>
        <v/>
      </c>
      <c r="BB79" t="str">
        <f ca="1">IF(AND(ISNUMBER($BB$752),$B$677=1),$BB$752,HLOOKUP(INDIRECT(ADDRESS(2,COLUMN())),OFFSET($BN$2,0,0,ROW()-1,60),ROW()-1,FALSE))</f>
        <v/>
      </c>
      <c r="BC79" t="str">
        <f ca="1">IF(AND(ISNUMBER($BC$752),$B$677=1),$BC$752,HLOOKUP(INDIRECT(ADDRESS(2,COLUMN())),OFFSET($BN$2,0,0,ROW()-1,60),ROW()-1,FALSE))</f>
        <v/>
      </c>
      <c r="BD79" t="str">
        <f ca="1">IF(AND(ISNUMBER($BD$752),$B$677=1),$BD$752,HLOOKUP(INDIRECT(ADDRESS(2,COLUMN())),OFFSET($BN$2,0,0,ROW()-1,60),ROW()-1,FALSE))</f>
        <v/>
      </c>
      <c r="BE79" t="str">
        <f ca="1">IF(AND(ISNUMBER($BE$752),$B$677=1),$BE$752,HLOOKUP(INDIRECT(ADDRESS(2,COLUMN())),OFFSET($BN$2,0,0,ROW()-1,60),ROW()-1,FALSE))</f>
        <v/>
      </c>
      <c r="BF79" t="str">
        <f ca="1">IF(AND(ISNUMBER($BF$752),$B$677=1),$BF$752,HLOOKUP(INDIRECT(ADDRESS(2,COLUMN())),OFFSET($BN$2,0,0,ROW()-1,60),ROW()-1,FALSE))</f>
        <v/>
      </c>
      <c r="BG79" t="str">
        <f ca="1">IF(AND(ISNUMBER($BG$752),$B$677=1),$BG$752,HLOOKUP(INDIRECT(ADDRESS(2,COLUMN())),OFFSET($BN$2,0,0,ROW()-1,60),ROW()-1,FALSE))</f>
        <v/>
      </c>
      <c r="BH79" t="str">
        <f ca="1">IF(AND(ISNUMBER($BH$752),$B$677=1),$BH$752,HLOOKUP(INDIRECT(ADDRESS(2,COLUMN())),OFFSET($BN$2,0,0,ROW()-1,60),ROW()-1,FALSE))</f>
        <v/>
      </c>
      <c r="BI79" t="str">
        <f ca="1">IF(AND(ISNUMBER($BI$752),$B$677=1),$BI$752,HLOOKUP(INDIRECT(ADDRESS(2,COLUMN())),OFFSET($BN$2,0,0,ROW()-1,60),ROW()-1,FALSE))</f>
        <v/>
      </c>
      <c r="BJ79" t="str">
        <f ca="1">IF(AND(ISNUMBER($BJ$752),$B$677=1),$BJ$752,HLOOKUP(INDIRECT(ADDRESS(2,COLUMN())),OFFSET($BN$2,0,0,ROW()-1,60),ROW()-1,FALSE))</f>
        <v/>
      </c>
      <c r="BK79" t="str">
        <f ca="1">IF(AND(ISNUMBER($BK$752),$B$677=1),$BK$752,HLOOKUP(INDIRECT(ADDRESS(2,COLUMN())),OFFSET($BN$2,0,0,ROW()-1,60),ROW()-1,FALSE))</f>
        <v/>
      </c>
      <c r="BL79" t="str">
        <f ca="1">IF(AND(ISNUMBER($BL$752),$B$677=1),$BL$752,HLOOKUP(INDIRECT(ADDRESS(2,COLUMN())),OFFSET($BN$2,0,0,ROW()-1,60),ROW()-1,FALSE))</f>
        <v/>
      </c>
      <c r="BM79" t="str">
        <f ca="1">IF(AND(ISNUMBER($BM$752),$B$677=1),$BM$752,HLOOKUP(INDIRECT(ADDRESS(2,COLUMN())),OFFSET($BN$2,0,0,ROW()-1,60),ROW()-1,FALSE))</f>
        <v/>
      </c>
      <c r="BN79">
        <f>780.8290155</f>
        <v>780.82901549999997</v>
      </c>
      <c r="BO79">
        <f>19.48770029</f>
        <v>19.487700289999999</v>
      </c>
      <c r="BP79">
        <f>9.24838763</f>
        <v>9.2483876299999999</v>
      </c>
      <c r="BQ79">
        <f>8.594772285</f>
        <v>8.5947722849999995</v>
      </c>
      <c r="BR79">
        <f>8.216440422</f>
        <v>8.2164404219999998</v>
      </c>
      <c r="BS79">
        <f>9.458364361</f>
        <v>9.4583643609999992</v>
      </c>
      <c r="BT79">
        <f>8.899676375</f>
        <v>8.8996763750000003</v>
      </c>
      <c r="BU79">
        <f>8.290051172</f>
        <v>8.2900511720000001</v>
      </c>
      <c r="BV79">
        <f>8.477707006</f>
        <v>8.4777070059999993</v>
      </c>
      <c r="BW79">
        <f>7.398351045</f>
        <v>7.3983510450000001</v>
      </c>
      <c r="BX79">
        <f>7.925817255</f>
        <v>7.9258172550000001</v>
      </c>
      <c r="BY79">
        <f>7.3117338</f>
        <v>7.3117337999999998</v>
      </c>
      <c r="BZ79">
        <f>9.515136599</f>
        <v>9.5151365989999999</v>
      </c>
      <c r="CA79">
        <f>4.238977359</f>
        <v>4.2389773589999997</v>
      </c>
      <c r="CB79">
        <f>3.22462203</f>
        <v>3.2246220299999999</v>
      </c>
      <c r="CC79">
        <f>4.739370122</f>
        <v>4.7393701220000004</v>
      </c>
      <c r="CD79">
        <f>4.784331847</f>
        <v>4.7843318469999998</v>
      </c>
      <c r="CE79">
        <f>4.309116043</f>
        <v>4.3091160430000004</v>
      </c>
      <c r="CF79">
        <f>4.366507156</f>
        <v>4.3665071559999999</v>
      </c>
      <c r="CG79" t="str">
        <f>""</f>
        <v/>
      </c>
      <c r="CH79" t="str">
        <f>""</f>
        <v/>
      </c>
      <c r="CI79" t="str">
        <f>""</f>
        <v/>
      </c>
      <c r="CJ79" t="str">
        <f>""</f>
        <v/>
      </c>
      <c r="CK79" t="str">
        <f>""</f>
        <v/>
      </c>
      <c r="CL79" t="str">
        <f>""</f>
        <v/>
      </c>
      <c r="CM79" t="str">
        <f>""</f>
        <v/>
      </c>
      <c r="CN79" t="str">
        <f>""</f>
        <v/>
      </c>
      <c r="CO79" t="str">
        <f>""</f>
        <v/>
      </c>
      <c r="CP79" t="str">
        <f>""</f>
        <v/>
      </c>
      <c r="CQ79" t="str">
        <f>""</f>
        <v/>
      </c>
      <c r="CR79" t="str">
        <f>""</f>
        <v/>
      </c>
      <c r="CS79" t="str">
        <f>""</f>
        <v/>
      </c>
      <c r="CT79" t="str">
        <f>""</f>
        <v/>
      </c>
      <c r="CU79" t="str">
        <f>""</f>
        <v/>
      </c>
      <c r="CV79" t="str">
        <f>""</f>
        <v/>
      </c>
      <c r="CW79" t="str">
        <f>""</f>
        <v/>
      </c>
      <c r="CX79" t="str">
        <f>""</f>
        <v/>
      </c>
      <c r="CY79" t="str">
        <f>""</f>
        <v/>
      </c>
      <c r="CZ79" t="str">
        <f>""</f>
        <v/>
      </c>
      <c r="DA79" t="str">
        <f>""</f>
        <v/>
      </c>
      <c r="DB79" t="str">
        <f>""</f>
        <v/>
      </c>
      <c r="DC79" t="str">
        <f>""</f>
        <v/>
      </c>
      <c r="DD79" t="str">
        <f>""</f>
        <v/>
      </c>
      <c r="DE79" t="str">
        <f>""</f>
        <v/>
      </c>
      <c r="DF79" t="str">
        <f>""</f>
        <v/>
      </c>
      <c r="DG79" t="str">
        <f>""</f>
        <v/>
      </c>
      <c r="DH79" t="str">
        <f>""</f>
        <v/>
      </c>
      <c r="DI79" t="str">
        <f>""</f>
        <v/>
      </c>
      <c r="DJ79" t="str">
        <f>""</f>
        <v/>
      </c>
      <c r="DK79" t="str">
        <f>""</f>
        <v/>
      </c>
      <c r="DL79" t="str">
        <f>""</f>
        <v/>
      </c>
      <c r="DM79" t="str">
        <f>""</f>
        <v/>
      </c>
      <c r="DN79" t="str">
        <f>""</f>
        <v/>
      </c>
      <c r="DO79" t="str">
        <f>""</f>
        <v/>
      </c>
      <c r="DP79" t="str">
        <f>""</f>
        <v/>
      </c>
      <c r="DQ79" t="str">
        <f>""</f>
        <v/>
      </c>
      <c r="DR79" t="str">
        <f>""</f>
        <v/>
      </c>
      <c r="DS79" t="str">
        <f>""</f>
        <v/>
      </c>
      <c r="DT79" t="str">
        <f>""</f>
        <v/>
      </c>
      <c r="DU79" t="str">
        <f>""</f>
        <v/>
      </c>
    </row>
    <row r="80" spans="1:125" x14ac:dyDescent="0.25">
      <c r="A80" t="str">
        <f>"    Tesla Inc"</f>
        <v xml:space="preserve">    Tesla Inc</v>
      </c>
      <c r="B80" t="str">
        <f>"TSLA US Equity"</f>
        <v>TSLA US Equity</v>
      </c>
      <c r="C80" t="str">
        <f t="shared" si="3"/>
        <v>EZ009</v>
      </c>
      <c r="D80" t="str">
        <f t="shared" si="4"/>
        <v>BEST_EST_PE_CUR_YR</v>
      </c>
      <c r="E80" t="str">
        <f t="shared" si="5"/>
        <v>Dynamic</v>
      </c>
      <c r="F80">
        <f ca="1">IF(AND(ISNUMBER($F$753),$B$677=1),$F$753,HLOOKUP(INDIRECT(ADDRESS(2,COLUMN())),OFFSET($BN$2,0,0,ROW()-1,60),ROW()-1,FALSE))</f>
        <v>55.154923840000002</v>
      </c>
      <c r="G80">
        <f ca="1">IF(AND(ISNUMBER($G$753),$B$677=1),$G$753,HLOOKUP(INDIRECT(ADDRESS(2,COLUMN())),OFFSET($BN$2,0,0,ROW()-1,60),ROW()-1,FALSE))</f>
        <v>50.129280919999999</v>
      </c>
      <c r="H80">
        <f ca="1">IF(AND(ISNUMBER($H$753),$B$677=1),$H$753,HLOOKUP(INDIRECT(ADDRESS(2,COLUMN())),OFFSET($BN$2,0,0,ROW()-1,60),ROW()-1,FALSE))</f>
        <v>85.456885020000001</v>
      </c>
      <c r="I80">
        <f ca="1">IF(AND(ISNUMBER($I$753),$B$677=1),$I$753,HLOOKUP(INDIRECT(ADDRESS(2,COLUMN())),OFFSET($BN$2,0,0,ROW()-1,60),ROW()-1,FALSE))</f>
        <v>158.3014666</v>
      </c>
      <c r="J80">
        <f ca="1">IF(AND(ISNUMBER($J$753),$B$677=1),$J$753,HLOOKUP(INDIRECT(ADDRESS(2,COLUMN())),OFFSET($BN$2,0,0,ROW()-1,60),ROW()-1,FALSE))</f>
        <v>123.6902903</v>
      </c>
      <c r="K80">
        <f ca="1">IF(AND(ISNUMBER($K$753),$B$677=1),$K$753,HLOOKUP(INDIRECT(ADDRESS(2,COLUMN())),OFFSET($BN$2,0,0,ROW()-1,60),ROW()-1,FALSE))</f>
        <v>72.364361279999997</v>
      </c>
      <c r="L80">
        <f ca="1">IF(AND(ISNUMBER($L$753),$B$677=1),$L$753,HLOOKUP(INDIRECT(ADDRESS(2,COLUMN())),OFFSET($BN$2,0,0,ROW()-1,60),ROW()-1,FALSE))</f>
        <v>52.543753510000002</v>
      </c>
      <c r="M80">
        <f ca="1">IF(AND(ISNUMBER($M$753),$B$677=1),$M$753,HLOOKUP(INDIRECT(ADDRESS(2,COLUMN())),OFFSET($BN$2,0,0,ROW()-1,60),ROW()-1,FALSE))</f>
        <v>66.243689720000006</v>
      </c>
      <c r="N80">
        <f ca="1">IF(AND(ISNUMBER($N$753),$B$677=1),$N$753,HLOOKUP(INDIRECT(ADDRESS(2,COLUMN())),OFFSET($BN$2,0,0,ROW()-1,60),ROW()-1,FALSE))</f>
        <v>35.91017119</v>
      </c>
      <c r="O80">
        <f ca="1">IF(AND(ISNUMBER($O$753),$B$677=1),$O$753,HLOOKUP(INDIRECT(ADDRESS(2,COLUMN())),OFFSET($BN$2,0,0,ROW()-1,60),ROW()-1,FALSE))</f>
        <v>34.909988560000002</v>
      </c>
      <c r="P80">
        <f ca="1">IF(AND(ISNUMBER($P$753),$B$677=1),$P$753,HLOOKUP(INDIRECT(ADDRESS(2,COLUMN())),OFFSET($BN$2,0,0,ROW()-1,60),ROW()-1,FALSE))</f>
        <v>21.766688559999999</v>
      </c>
      <c r="Q80">
        <f ca="1">IF(AND(ISNUMBER($Q$753),$B$677=1),$Q$753,HLOOKUP(INDIRECT(ADDRESS(2,COLUMN())),OFFSET($BN$2,0,0,ROW()-1,60),ROW()-1,FALSE))</f>
        <v>18.977800349999999</v>
      </c>
      <c r="R80">
        <f ca="1">IF(AND(ISNUMBER($R$753),$B$677=1),$R$753,HLOOKUP(INDIRECT(ADDRESS(2,COLUMN())),OFFSET($BN$2,0,0,ROW()-1,60),ROW()-1,FALSE))</f>
        <v>24.788727260000002</v>
      </c>
      <c r="S80">
        <f ca="1">IF(AND(ISNUMBER($S$753),$B$677=1),$S$753,HLOOKUP(INDIRECT(ADDRESS(2,COLUMN())),OFFSET($BN$2,0,0,ROW()-1,60),ROW()-1,FALSE))</f>
        <v>21.61994941</v>
      </c>
      <c r="T80">
        <f ca="1">IF(AND(ISNUMBER($T$753),$B$677=1),$T$753,HLOOKUP(INDIRECT(ADDRESS(2,COLUMN())),OFFSET($BN$2,0,0,ROW()-1,60),ROW()-1,FALSE))</f>
        <v>22.36472646</v>
      </c>
      <c r="U80">
        <f ca="1">IF(AND(ISNUMBER($U$753),$B$677=1),$U$753,HLOOKUP(INDIRECT(ADDRESS(2,COLUMN())),OFFSET($BN$2,0,0,ROW()-1,60),ROW()-1,FALSE))</f>
        <v>21.359508160000001</v>
      </c>
      <c r="V80">
        <f ca="1">IF(AND(ISNUMBER($V$753),$B$677=1),$V$753,HLOOKUP(INDIRECT(ADDRESS(2,COLUMN())),OFFSET($BN$2,0,0,ROW()-1,60),ROW()-1,FALSE))</f>
        <v>13.8198446</v>
      </c>
      <c r="W80">
        <f ca="1">IF(AND(ISNUMBER($W$753),$B$677=1),$W$753,HLOOKUP(INDIRECT(ADDRESS(2,COLUMN())),OFFSET($BN$2,0,0,ROW()-1,60),ROW()-1,FALSE))</f>
        <v>14.13210743</v>
      </c>
      <c r="X80">
        <f ca="1">IF(AND(ISNUMBER($X$753),$B$677=1),$X$753,HLOOKUP(INDIRECT(ADDRESS(2,COLUMN())),OFFSET($BN$2,0,0,ROW()-1,60),ROW()-1,FALSE))</f>
        <v>16.49289066</v>
      </c>
      <c r="Y80">
        <f ca="1">IF(AND(ISNUMBER($Y$753),$B$677=1),$Y$753,HLOOKUP(INDIRECT(ADDRESS(2,COLUMN())),OFFSET($BN$2,0,0,ROW()-1,60),ROW()-1,FALSE))</f>
        <v>17.154810229999999</v>
      </c>
      <c r="Z80">
        <f ca="1">IF(AND(ISNUMBER($Z$753),$B$677=1),$Z$753,HLOOKUP(INDIRECT(ADDRESS(2,COLUMN())),OFFSET($BN$2,0,0,ROW()-1,60),ROW()-1,FALSE))</f>
        <v>14.527598149999999</v>
      </c>
      <c r="AA80">
        <f ca="1">IF(AND(ISNUMBER($AA$753),$B$677=1),$AA$753,HLOOKUP(INDIRECT(ADDRESS(2,COLUMN())),OFFSET($BN$2,0,0,ROW()-1,60),ROW()-1,FALSE))</f>
        <v>10.00984867</v>
      </c>
      <c r="AB80">
        <f ca="1">IF(AND(ISNUMBER($AB$753),$B$677=1),$AB$753,HLOOKUP(INDIRECT(ADDRESS(2,COLUMN())),OFFSET($BN$2,0,0,ROW()-1,60),ROW()-1,FALSE))</f>
        <v>19.533127960000002</v>
      </c>
      <c r="AC80">
        <f ca="1">IF(AND(ISNUMBER($AC$753),$B$677=1),$AC$753,HLOOKUP(INDIRECT(ADDRESS(2,COLUMN())),OFFSET($BN$2,0,0,ROW()-1,60),ROW()-1,FALSE))</f>
        <v>15.83297116</v>
      </c>
      <c r="AD80">
        <f ca="1">IF(AND(ISNUMBER($AD$753),$B$677=1),$AD$753,HLOOKUP(INDIRECT(ADDRESS(2,COLUMN())),OFFSET($BN$2,0,0,ROW()-1,60),ROW()-1,FALSE))</f>
        <v>4.638626328</v>
      </c>
      <c r="AE80">
        <f ca="1">IF(AND(ISNUMBER($AE$753),$B$677=1),$AE$753,HLOOKUP(INDIRECT(ADDRESS(2,COLUMN())),OFFSET($BN$2,0,0,ROW()-1,60),ROW()-1,FALSE))</f>
        <v>4.3324369359999997</v>
      </c>
      <c r="AF80">
        <f ca="1">IF(AND(ISNUMBER($AF$753),$B$677=1),$AF$753,HLOOKUP(INDIRECT(ADDRESS(2,COLUMN())),OFFSET($BN$2,0,0,ROW()-1,60),ROW()-1,FALSE))</f>
        <v>2.3919391829999999</v>
      </c>
      <c r="AG80">
        <f ca="1">IF(AND(ISNUMBER($AG$753),$B$677=1),$AG$753,HLOOKUP(INDIRECT(ADDRESS(2,COLUMN())),OFFSET($BN$2,0,0,ROW()-1,60),ROW()-1,FALSE))</f>
        <v>2.5587253799999998</v>
      </c>
      <c r="AH80" t="str">
        <f ca="1">IF(AND(ISNUMBER($AH$753),$B$677=1),$AH$753,HLOOKUP(INDIRECT(ADDRESS(2,COLUMN())),OFFSET($BN$2,0,0,ROW()-1,60),ROW()-1,FALSE))</f>
        <v/>
      </c>
      <c r="AI80" t="str">
        <f ca="1">IF(AND(ISNUMBER($AI$753),$B$677=1),$AI$753,HLOOKUP(INDIRECT(ADDRESS(2,COLUMN())),OFFSET($BN$2,0,0,ROW()-1,60),ROW()-1,FALSE))</f>
        <v/>
      </c>
      <c r="AJ80" t="str">
        <f ca="1">IF(AND(ISNUMBER($AJ$753),$B$677=1),$AJ$753,HLOOKUP(INDIRECT(ADDRESS(2,COLUMN())),OFFSET($BN$2,0,0,ROW()-1,60),ROW()-1,FALSE))</f>
        <v/>
      </c>
      <c r="AK80" t="str">
        <f ca="1">IF(AND(ISNUMBER($AK$753),$B$677=1),$AK$753,HLOOKUP(INDIRECT(ADDRESS(2,COLUMN())),OFFSET($BN$2,0,0,ROW()-1,60),ROW()-1,FALSE))</f>
        <v/>
      </c>
      <c r="AL80" t="str">
        <f ca="1">IF(AND(ISNUMBER($AL$753),$B$677=1),$AL$753,HLOOKUP(INDIRECT(ADDRESS(2,COLUMN())),OFFSET($BN$2,0,0,ROW()-1,60),ROW()-1,FALSE))</f>
        <v/>
      </c>
      <c r="AM80" t="str">
        <f ca="1">IF(AND(ISNUMBER($AM$753),$B$677=1),$AM$753,HLOOKUP(INDIRECT(ADDRESS(2,COLUMN())),OFFSET($BN$2,0,0,ROW()-1,60),ROW()-1,FALSE))</f>
        <v/>
      </c>
      <c r="AN80" t="str">
        <f ca="1">IF(AND(ISNUMBER($AN$753),$B$677=1),$AN$753,HLOOKUP(INDIRECT(ADDRESS(2,COLUMN())),OFFSET($BN$2,0,0,ROW()-1,60),ROW()-1,FALSE))</f>
        <v/>
      </c>
      <c r="AO80" t="str">
        <f ca="1">IF(AND(ISNUMBER($AO$753),$B$677=1),$AO$753,HLOOKUP(INDIRECT(ADDRESS(2,COLUMN())),OFFSET($BN$2,0,0,ROW()-1,60),ROW()-1,FALSE))</f>
        <v/>
      </c>
      <c r="AP80" t="str">
        <f ca="1">IF(AND(ISNUMBER($AP$753),$B$677=1),$AP$753,HLOOKUP(INDIRECT(ADDRESS(2,COLUMN())),OFFSET($BN$2,0,0,ROW()-1,60),ROW()-1,FALSE))</f>
        <v/>
      </c>
      <c r="AQ80" t="str">
        <f ca="1">IF(AND(ISNUMBER($AQ$753),$B$677=1),$AQ$753,HLOOKUP(INDIRECT(ADDRESS(2,COLUMN())),OFFSET($BN$2,0,0,ROW()-1,60),ROW()-1,FALSE))</f>
        <v/>
      </c>
      <c r="AR80" t="str">
        <f ca="1">IF(AND(ISNUMBER($AR$753),$B$677=1),$AR$753,HLOOKUP(INDIRECT(ADDRESS(2,COLUMN())),OFFSET($BN$2,0,0,ROW()-1,60),ROW()-1,FALSE))</f>
        <v/>
      </c>
      <c r="AS80" t="str">
        <f ca="1">IF(AND(ISNUMBER($AS$753),$B$677=1),$AS$753,HLOOKUP(INDIRECT(ADDRESS(2,COLUMN())),OFFSET($BN$2,0,0,ROW()-1,60),ROW()-1,FALSE))</f>
        <v/>
      </c>
      <c r="AT80" t="str">
        <f ca="1">IF(AND(ISNUMBER($AT$753),$B$677=1),$AT$753,HLOOKUP(INDIRECT(ADDRESS(2,COLUMN())),OFFSET($BN$2,0,0,ROW()-1,60),ROW()-1,FALSE))</f>
        <v/>
      </c>
      <c r="AU80" t="str">
        <f ca="1">IF(AND(ISNUMBER($AU$753),$B$677=1),$AU$753,HLOOKUP(INDIRECT(ADDRESS(2,COLUMN())),OFFSET($BN$2,0,0,ROW()-1,60),ROW()-1,FALSE))</f>
        <v/>
      </c>
      <c r="AV80" t="str">
        <f ca="1">IF(AND(ISNUMBER($AV$753),$B$677=1),$AV$753,HLOOKUP(INDIRECT(ADDRESS(2,COLUMN())),OFFSET($BN$2,0,0,ROW()-1,60),ROW()-1,FALSE))</f>
        <v/>
      </c>
      <c r="AW80" t="str">
        <f ca="1">IF(AND(ISNUMBER($AW$753),$B$677=1),$AW$753,HLOOKUP(INDIRECT(ADDRESS(2,COLUMN())),OFFSET($BN$2,0,0,ROW()-1,60),ROW()-1,FALSE))</f>
        <v/>
      </c>
      <c r="AX80" t="str">
        <f ca="1">IF(AND(ISNUMBER($AX$753),$B$677=1),$AX$753,HLOOKUP(INDIRECT(ADDRESS(2,COLUMN())),OFFSET($BN$2,0,0,ROW()-1,60),ROW()-1,FALSE))</f>
        <v/>
      </c>
      <c r="AY80" t="str">
        <f ca="1">IF(AND(ISNUMBER($AY$753),$B$677=1),$AY$753,HLOOKUP(INDIRECT(ADDRESS(2,COLUMN())),OFFSET($BN$2,0,0,ROW()-1,60),ROW()-1,FALSE))</f>
        <v/>
      </c>
      <c r="AZ80" t="str">
        <f ca="1">IF(AND(ISNUMBER($AZ$753),$B$677=1),$AZ$753,HLOOKUP(INDIRECT(ADDRESS(2,COLUMN())),OFFSET($BN$2,0,0,ROW()-1,60),ROW()-1,FALSE))</f>
        <v/>
      </c>
      <c r="BA80" t="str">
        <f ca="1">IF(AND(ISNUMBER($BA$753),$B$677=1),$BA$753,HLOOKUP(INDIRECT(ADDRESS(2,COLUMN())),OFFSET($BN$2,0,0,ROW()-1,60),ROW()-1,FALSE))</f>
        <v/>
      </c>
      <c r="BB80" t="str">
        <f ca="1">IF(AND(ISNUMBER($BB$753),$B$677=1),$BB$753,HLOOKUP(INDIRECT(ADDRESS(2,COLUMN())),OFFSET($BN$2,0,0,ROW()-1,60),ROW()-1,FALSE))</f>
        <v/>
      </c>
      <c r="BC80" t="str">
        <f ca="1">IF(AND(ISNUMBER($BC$753),$B$677=1),$BC$753,HLOOKUP(INDIRECT(ADDRESS(2,COLUMN())),OFFSET($BN$2,0,0,ROW()-1,60),ROW()-1,FALSE))</f>
        <v/>
      </c>
      <c r="BD80" t="str">
        <f ca="1">IF(AND(ISNUMBER($BD$753),$B$677=1),$BD$753,HLOOKUP(INDIRECT(ADDRESS(2,COLUMN())),OFFSET($BN$2,0,0,ROW()-1,60),ROW()-1,FALSE))</f>
        <v/>
      </c>
      <c r="BE80" t="str">
        <f ca="1">IF(AND(ISNUMBER($BE$753),$B$677=1),$BE$753,HLOOKUP(INDIRECT(ADDRESS(2,COLUMN())),OFFSET($BN$2,0,0,ROW()-1,60),ROW()-1,FALSE))</f>
        <v/>
      </c>
      <c r="BF80" t="str">
        <f ca="1">IF(AND(ISNUMBER($BF$753),$B$677=1),$BF$753,HLOOKUP(INDIRECT(ADDRESS(2,COLUMN())),OFFSET($BN$2,0,0,ROW()-1,60),ROW()-1,FALSE))</f>
        <v/>
      </c>
      <c r="BG80" t="str">
        <f ca="1">IF(AND(ISNUMBER($BG$753),$B$677=1),$BG$753,HLOOKUP(INDIRECT(ADDRESS(2,COLUMN())),OFFSET($BN$2,0,0,ROW()-1,60),ROW()-1,FALSE))</f>
        <v/>
      </c>
      <c r="BH80" t="str">
        <f ca="1">IF(AND(ISNUMBER($BH$753),$B$677=1),$BH$753,HLOOKUP(INDIRECT(ADDRESS(2,COLUMN())),OFFSET($BN$2,0,0,ROW()-1,60),ROW()-1,FALSE))</f>
        <v/>
      </c>
      <c r="BI80" t="str">
        <f ca="1">IF(AND(ISNUMBER($BI$753),$B$677=1),$BI$753,HLOOKUP(INDIRECT(ADDRESS(2,COLUMN())),OFFSET($BN$2,0,0,ROW()-1,60),ROW()-1,FALSE))</f>
        <v/>
      </c>
      <c r="BJ80" t="str">
        <f ca="1">IF(AND(ISNUMBER($BJ$753),$B$677=1),$BJ$753,HLOOKUP(INDIRECT(ADDRESS(2,COLUMN())),OFFSET($BN$2,0,0,ROW()-1,60),ROW()-1,FALSE))</f>
        <v/>
      </c>
      <c r="BK80" t="str">
        <f ca="1">IF(AND(ISNUMBER($BK$753),$B$677=1),$BK$753,HLOOKUP(INDIRECT(ADDRESS(2,COLUMN())),OFFSET($BN$2,0,0,ROW()-1,60),ROW()-1,FALSE))</f>
        <v/>
      </c>
      <c r="BL80" t="str">
        <f ca="1">IF(AND(ISNUMBER($BL$753),$B$677=1),$BL$753,HLOOKUP(INDIRECT(ADDRESS(2,COLUMN())),OFFSET($BN$2,0,0,ROW()-1,60),ROW()-1,FALSE))</f>
        <v/>
      </c>
      <c r="BM80" t="str">
        <f ca="1">IF(AND(ISNUMBER($BM$753),$B$677=1),$BM$753,HLOOKUP(INDIRECT(ADDRESS(2,COLUMN())),OFFSET($BN$2,0,0,ROW()-1,60),ROW()-1,FALSE))</f>
        <v/>
      </c>
      <c r="BN80">
        <f>55.15492384</f>
        <v>55.154923840000002</v>
      </c>
      <c r="BO80">
        <f>50.12928092</f>
        <v>50.129280919999999</v>
      </c>
      <c r="BP80">
        <f>85.45688502</f>
        <v>85.456885020000001</v>
      </c>
      <c r="BQ80">
        <f>158.3014666</f>
        <v>158.3014666</v>
      </c>
      <c r="BR80">
        <f>123.6902903</f>
        <v>123.6902903</v>
      </c>
      <c r="BS80">
        <f>72.36436128</f>
        <v>72.364361279999997</v>
      </c>
      <c r="BT80">
        <f>52.54375351</f>
        <v>52.543753510000002</v>
      </c>
      <c r="BU80">
        <f>66.24368972</f>
        <v>66.243689720000006</v>
      </c>
      <c r="BV80">
        <f>35.91017119</f>
        <v>35.91017119</v>
      </c>
      <c r="BW80">
        <f>34.90998856</f>
        <v>34.909988560000002</v>
      </c>
      <c r="BX80">
        <f>21.76668856</f>
        <v>21.766688559999999</v>
      </c>
      <c r="BY80">
        <f>18.97780035</f>
        <v>18.977800349999999</v>
      </c>
      <c r="BZ80">
        <f>24.78872726</f>
        <v>24.788727260000002</v>
      </c>
      <c r="CA80">
        <f>21.61994941</f>
        <v>21.61994941</v>
      </c>
      <c r="CB80">
        <f>22.36472646</f>
        <v>22.36472646</v>
      </c>
      <c r="CC80">
        <f>21.35950816</f>
        <v>21.359508160000001</v>
      </c>
      <c r="CD80">
        <f>13.8198446</f>
        <v>13.8198446</v>
      </c>
      <c r="CE80">
        <f>14.13210743</f>
        <v>14.13210743</v>
      </c>
      <c r="CF80">
        <f>16.49289066</f>
        <v>16.49289066</v>
      </c>
      <c r="CG80">
        <f>17.15481023</f>
        <v>17.154810229999999</v>
      </c>
      <c r="CH80">
        <f>14.52759815</f>
        <v>14.527598149999999</v>
      </c>
      <c r="CI80">
        <f>10.00984867</f>
        <v>10.00984867</v>
      </c>
      <c r="CJ80">
        <f>19.53312796</f>
        <v>19.533127960000002</v>
      </c>
      <c r="CK80">
        <f>15.83297116</f>
        <v>15.83297116</v>
      </c>
      <c r="CL80">
        <f>4.638626328</f>
        <v>4.638626328</v>
      </c>
      <c r="CM80">
        <f>4.332436936</f>
        <v>4.3324369359999997</v>
      </c>
      <c r="CN80">
        <f>2.391939183</f>
        <v>2.3919391829999999</v>
      </c>
      <c r="CO80">
        <f>2.55872538</f>
        <v>2.5587253799999998</v>
      </c>
      <c r="CP80" t="str">
        <f>""</f>
        <v/>
      </c>
      <c r="CQ80" t="str">
        <f>""</f>
        <v/>
      </c>
      <c r="CR80" t="str">
        <f>""</f>
        <v/>
      </c>
      <c r="CS80" t="str">
        <f>""</f>
        <v/>
      </c>
      <c r="CT80" t="str">
        <f>""</f>
        <v/>
      </c>
      <c r="CU80" t="str">
        <f>""</f>
        <v/>
      </c>
      <c r="CV80" t="str">
        <f>""</f>
        <v/>
      </c>
      <c r="CW80" t="str">
        <f>""</f>
        <v/>
      </c>
      <c r="CX80" t="str">
        <f>""</f>
        <v/>
      </c>
      <c r="CY80" t="str">
        <f>""</f>
        <v/>
      </c>
      <c r="CZ80" t="str">
        <f>""</f>
        <v/>
      </c>
      <c r="DA80" t="str">
        <f>""</f>
        <v/>
      </c>
      <c r="DB80" t="str">
        <f>""</f>
        <v/>
      </c>
      <c r="DC80" t="str">
        <f>""</f>
        <v/>
      </c>
      <c r="DD80" t="str">
        <f>""</f>
        <v/>
      </c>
      <c r="DE80" t="str">
        <f>""</f>
        <v/>
      </c>
      <c r="DF80" t="str">
        <f>""</f>
        <v/>
      </c>
      <c r="DG80" t="str">
        <f>""</f>
        <v/>
      </c>
      <c r="DH80" t="str">
        <f>""</f>
        <v/>
      </c>
      <c r="DI80" t="str">
        <f>""</f>
        <v/>
      </c>
      <c r="DJ80" t="str">
        <f>""</f>
        <v/>
      </c>
      <c r="DK80" t="str">
        <f>""</f>
        <v/>
      </c>
      <c r="DL80" t="str">
        <f>""</f>
        <v/>
      </c>
      <c r="DM80" t="str">
        <f>""</f>
        <v/>
      </c>
      <c r="DN80" t="str">
        <f>""</f>
        <v/>
      </c>
      <c r="DO80" t="str">
        <f>""</f>
        <v/>
      </c>
      <c r="DP80" t="str">
        <f>""</f>
        <v/>
      </c>
      <c r="DQ80" t="str">
        <f>""</f>
        <v/>
      </c>
      <c r="DR80" t="str">
        <f>""</f>
        <v/>
      </c>
      <c r="DS80" t="str">
        <f>""</f>
        <v/>
      </c>
      <c r="DT80" t="str">
        <f>""</f>
        <v/>
      </c>
      <c r="DU80" t="str">
        <f>""</f>
        <v/>
      </c>
    </row>
    <row r="81" spans="1:125" x14ac:dyDescent="0.25">
      <c r="A81" t="str">
        <f>"    Tianjin Faw Xiali Automobile Co Ltd"</f>
        <v xml:space="preserve">    Tianjin Faw Xiali Automobile Co Ltd</v>
      </c>
      <c r="B81" t="str">
        <f>"000927 CH Equity"</f>
        <v>000927 CH Equity</v>
      </c>
      <c r="C81" t="str">
        <f t="shared" si="3"/>
        <v>EZ009</v>
      </c>
      <c r="D81" t="str">
        <f t="shared" si="4"/>
        <v>BEST_EST_PE_CUR_YR</v>
      </c>
      <c r="E81" t="str">
        <f t="shared" si="5"/>
        <v>Dynamic</v>
      </c>
      <c r="F81" t="str">
        <f ca="1">IF(AND(ISNUMBER($F$754),$B$677=1),$F$754,HLOOKUP(INDIRECT(ADDRESS(2,COLUMN())),OFFSET($BN$2,0,0,ROW()-1,60),ROW()-1,FALSE))</f>
        <v/>
      </c>
      <c r="G81" t="str">
        <f ca="1">IF(AND(ISNUMBER($G$754),$B$677=1),$G$754,HLOOKUP(INDIRECT(ADDRESS(2,COLUMN())),OFFSET($BN$2,0,0,ROW()-1,60),ROW()-1,FALSE))</f>
        <v/>
      </c>
      <c r="H81" t="str">
        <f ca="1">IF(AND(ISNUMBER($H$754),$B$677=1),$H$754,HLOOKUP(INDIRECT(ADDRESS(2,COLUMN())),OFFSET($BN$2,0,0,ROW()-1,60),ROW()-1,FALSE))</f>
        <v/>
      </c>
      <c r="I81" t="str">
        <f ca="1">IF(AND(ISNUMBER($I$754),$B$677=1),$I$754,HLOOKUP(INDIRECT(ADDRESS(2,COLUMN())),OFFSET($BN$2,0,0,ROW()-1,60),ROW()-1,FALSE))</f>
        <v/>
      </c>
      <c r="J81" t="str">
        <f ca="1">IF(AND(ISNUMBER($J$754),$B$677=1),$J$754,HLOOKUP(INDIRECT(ADDRESS(2,COLUMN())),OFFSET($BN$2,0,0,ROW()-1,60),ROW()-1,FALSE))</f>
        <v/>
      </c>
      <c r="K81" t="str">
        <f ca="1">IF(AND(ISNUMBER($K$754),$B$677=1),$K$754,HLOOKUP(INDIRECT(ADDRESS(2,COLUMN())),OFFSET($BN$2,0,0,ROW()-1,60),ROW()-1,FALSE))</f>
        <v/>
      </c>
      <c r="L81" t="str">
        <f ca="1">IF(AND(ISNUMBER($L$754),$B$677=1),$L$754,HLOOKUP(INDIRECT(ADDRESS(2,COLUMN())),OFFSET($BN$2,0,0,ROW()-1,60),ROW()-1,FALSE))</f>
        <v/>
      </c>
      <c r="M81" t="str">
        <f ca="1">IF(AND(ISNUMBER($M$754),$B$677=1),$M$754,HLOOKUP(INDIRECT(ADDRESS(2,COLUMN())),OFFSET($BN$2,0,0,ROW()-1,60),ROW()-1,FALSE))</f>
        <v/>
      </c>
      <c r="N81" t="str">
        <f ca="1">IF(AND(ISNUMBER($N$754),$B$677=1),$N$754,HLOOKUP(INDIRECT(ADDRESS(2,COLUMN())),OFFSET($BN$2,0,0,ROW()-1,60),ROW()-1,FALSE))</f>
        <v/>
      </c>
      <c r="O81" t="str">
        <f ca="1">IF(AND(ISNUMBER($O$754),$B$677=1),$O$754,HLOOKUP(INDIRECT(ADDRESS(2,COLUMN())),OFFSET($BN$2,0,0,ROW()-1,60),ROW()-1,FALSE))</f>
        <v/>
      </c>
      <c r="P81" t="str">
        <f ca="1">IF(AND(ISNUMBER($P$754),$B$677=1),$P$754,HLOOKUP(INDIRECT(ADDRESS(2,COLUMN())),OFFSET($BN$2,0,0,ROW()-1,60),ROW()-1,FALSE))</f>
        <v/>
      </c>
      <c r="Q81" t="str">
        <f ca="1">IF(AND(ISNUMBER($Q$754),$B$677=1),$Q$754,HLOOKUP(INDIRECT(ADDRESS(2,COLUMN())),OFFSET($BN$2,0,0,ROW()-1,60),ROW()-1,FALSE))</f>
        <v/>
      </c>
      <c r="R81" t="str">
        <f ca="1">IF(AND(ISNUMBER($R$754),$B$677=1),$R$754,HLOOKUP(INDIRECT(ADDRESS(2,COLUMN())),OFFSET($BN$2,0,0,ROW()-1,60),ROW()-1,FALSE))</f>
        <v/>
      </c>
      <c r="S81" t="str">
        <f ca="1">IF(AND(ISNUMBER($S$754),$B$677=1),$S$754,HLOOKUP(INDIRECT(ADDRESS(2,COLUMN())),OFFSET($BN$2,0,0,ROW()-1,60),ROW()-1,FALSE))</f>
        <v/>
      </c>
      <c r="T81" t="str">
        <f ca="1">IF(AND(ISNUMBER($T$754),$B$677=1),$T$754,HLOOKUP(INDIRECT(ADDRESS(2,COLUMN())),OFFSET($BN$2,0,0,ROW()-1,60),ROW()-1,FALSE))</f>
        <v/>
      </c>
      <c r="U81" t="str">
        <f ca="1">IF(AND(ISNUMBER($U$754),$B$677=1),$U$754,HLOOKUP(INDIRECT(ADDRESS(2,COLUMN())),OFFSET($BN$2,0,0,ROW()-1,60),ROW()-1,FALSE))</f>
        <v/>
      </c>
      <c r="V81" t="str">
        <f ca="1">IF(AND(ISNUMBER($V$754),$B$677=1),$V$754,HLOOKUP(INDIRECT(ADDRESS(2,COLUMN())),OFFSET($BN$2,0,0,ROW()-1,60),ROW()-1,FALSE))</f>
        <v/>
      </c>
      <c r="W81" t="str">
        <f ca="1">IF(AND(ISNUMBER($W$754),$B$677=1),$W$754,HLOOKUP(INDIRECT(ADDRESS(2,COLUMN())),OFFSET($BN$2,0,0,ROW()-1,60),ROW()-1,FALSE))</f>
        <v/>
      </c>
      <c r="X81" t="str">
        <f ca="1">IF(AND(ISNUMBER($X$754),$B$677=1),$X$754,HLOOKUP(INDIRECT(ADDRESS(2,COLUMN())),OFFSET($BN$2,0,0,ROW()-1,60),ROW()-1,FALSE))</f>
        <v/>
      </c>
      <c r="Y81" t="str">
        <f ca="1">IF(AND(ISNUMBER($Y$754),$B$677=1),$Y$754,HLOOKUP(INDIRECT(ADDRESS(2,COLUMN())),OFFSET($BN$2,0,0,ROW()-1,60),ROW()-1,FALSE))</f>
        <v/>
      </c>
      <c r="Z81" t="str">
        <f ca="1">IF(AND(ISNUMBER($Z$754),$B$677=1),$Z$754,HLOOKUP(INDIRECT(ADDRESS(2,COLUMN())),OFFSET($BN$2,0,0,ROW()-1,60),ROW()-1,FALSE))</f>
        <v/>
      </c>
      <c r="AA81" t="str">
        <f ca="1">IF(AND(ISNUMBER($AA$754),$B$677=1),$AA$754,HLOOKUP(INDIRECT(ADDRESS(2,COLUMN())),OFFSET($BN$2,0,0,ROW()-1,60),ROW()-1,FALSE))</f>
        <v/>
      </c>
      <c r="AB81" t="str">
        <f ca="1">IF(AND(ISNUMBER($AB$754),$B$677=1),$AB$754,HLOOKUP(INDIRECT(ADDRESS(2,COLUMN())),OFFSET($BN$2,0,0,ROW()-1,60),ROW()-1,FALSE))</f>
        <v/>
      </c>
      <c r="AC81" t="str">
        <f ca="1">IF(AND(ISNUMBER($AC$754),$B$677=1),$AC$754,HLOOKUP(INDIRECT(ADDRESS(2,COLUMN())),OFFSET($BN$2,0,0,ROW()-1,60),ROW()-1,FALSE))</f>
        <v/>
      </c>
      <c r="AD81" t="str">
        <f ca="1">IF(AND(ISNUMBER($AD$754),$B$677=1),$AD$754,HLOOKUP(INDIRECT(ADDRESS(2,COLUMN())),OFFSET($BN$2,0,0,ROW()-1,60),ROW()-1,FALSE))</f>
        <v/>
      </c>
      <c r="AE81" t="str">
        <f ca="1">IF(AND(ISNUMBER($AE$754),$B$677=1),$AE$754,HLOOKUP(INDIRECT(ADDRESS(2,COLUMN())),OFFSET($BN$2,0,0,ROW()-1,60),ROW()-1,FALSE))</f>
        <v/>
      </c>
      <c r="AF81" t="str">
        <f ca="1">IF(AND(ISNUMBER($AF$754),$B$677=1),$AF$754,HLOOKUP(INDIRECT(ADDRESS(2,COLUMN())),OFFSET($BN$2,0,0,ROW()-1,60),ROW()-1,FALSE))</f>
        <v/>
      </c>
      <c r="AG81" t="str">
        <f ca="1">IF(AND(ISNUMBER($AG$754),$B$677=1),$AG$754,HLOOKUP(INDIRECT(ADDRESS(2,COLUMN())),OFFSET($BN$2,0,0,ROW()-1,60),ROW()-1,FALSE))</f>
        <v/>
      </c>
      <c r="AH81" t="str">
        <f ca="1">IF(AND(ISNUMBER($AH$754),$B$677=1),$AH$754,HLOOKUP(INDIRECT(ADDRESS(2,COLUMN())),OFFSET($BN$2,0,0,ROW()-1,60),ROW()-1,FALSE))</f>
        <v/>
      </c>
      <c r="AI81" t="str">
        <f ca="1">IF(AND(ISNUMBER($AI$754),$B$677=1),$AI$754,HLOOKUP(INDIRECT(ADDRESS(2,COLUMN())),OFFSET($BN$2,0,0,ROW()-1,60),ROW()-1,FALSE))</f>
        <v/>
      </c>
      <c r="AJ81" t="str">
        <f ca="1">IF(AND(ISNUMBER($AJ$754),$B$677=1),$AJ$754,HLOOKUP(INDIRECT(ADDRESS(2,COLUMN())),OFFSET($BN$2,0,0,ROW()-1,60),ROW()-1,FALSE))</f>
        <v/>
      </c>
      <c r="AK81" t="str">
        <f ca="1">IF(AND(ISNUMBER($AK$754),$B$677=1),$AK$754,HLOOKUP(INDIRECT(ADDRESS(2,COLUMN())),OFFSET($BN$2,0,0,ROW()-1,60),ROW()-1,FALSE))</f>
        <v/>
      </c>
      <c r="AL81" t="str">
        <f ca="1">IF(AND(ISNUMBER($AL$754),$B$677=1),$AL$754,HLOOKUP(INDIRECT(ADDRESS(2,COLUMN())),OFFSET($BN$2,0,0,ROW()-1,60),ROW()-1,FALSE))</f>
        <v/>
      </c>
      <c r="AM81" t="str">
        <f ca="1">IF(AND(ISNUMBER($AM$754),$B$677=1),$AM$754,HLOOKUP(INDIRECT(ADDRESS(2,COLUMN())),OFFSET($BN$2,0,0,ROW()-1,60),ROW()-1,FALSE))</f>
        <v/>
      </c>
      <c r="AN81" t="str">
        <f ca="1">IF(AND(ISNUMBER($AN$754),$B$677=1),$AN$754,HLOOKUP(INDIRECT(ADDRESS(2,COLUMN())),OFFSET($BN$2,0,0,ROW()-1,60),ROW()-1,FALSE))</f>
        <v/>
      </c>
      <c r="AO81" t="str">
        <f ca="1">IF(AND(ISNUMBER($AO$754),$B$677=1),$AO$754,HLOOKUP(INDIRECT(ADDRESS(2,COLUMN())),OFFSET($BN$2,0,0,ROW()-1,60),ROW()-1,FALSE))</f>
        <v/>
      </c>
      <c r="AP81" t="str">
        <f ca="1">IF(AND(ISNUMBER($AP$754),$B$677=1),$AP$754,HLOOKUP(INDIRECT(ADDRESS(2,COLUMN())),OFFSET($BN$2,0,0,ROW()-1,60),ROW()-1,FALSE))</f>
        <v/>
      </c>
      <c r="AQ81" t="str">
        <f ca="1">IF(AND(ISNUMBER($AQ$754),$B$677=1),$AQ$754,HLOOKUP(INDIRECT(ADDRESS(2,COLUMN())),OFFSET($BN$2,0,0,ROW()-1,60),ROW()-1,FALSE))</f>
        <v/>
      </c>
      <c r="AR81" t="str">
        <f ca="1">IF(AND(ISNUMBER($AR$754),$B$677=1),$AR$754,HLOOKUP(INDIRECT(ADDRESS(2,COLUMN())),OFFSET($BN$2,0,0,ROW()-1,60),ROW()-1,FALSE))</f>
        <v/>
      </c>
      <c r="AS81" t="str">
        <f ca="1">IF(AND(ISNUMBER($AS$754),$B$677=1),$AS$754,HLOOKUP(INDIRECT(ADDRESS(2,COLUMN())),OFFSET($BN$2,0,0,ROW()-1,60),ROW()-1,FALSE))</f>
        <v/>
      </c>
      <c r="AT81" t="str">
        <f ca="1">IF(AND(ISNUMBER($AT$754),$B$677=1),$AT$754,HLOOKUP(INDIRECT(ADDRESS(2,COLUMN())),OFFSET($BN$2,0,0,ROW()-1,60),ROW()-1,FALSE))</f>
        <v/>
      </c>
      <c r="AU81" t="str">
        <f ca="1">IF(AND(ISNUMBER($AU$754),$B$677=1),$AU$754,HLOOKUP(INDIRECT(ADDRESS(2,COLUMN())),OFFSET($BN$2,0,0,ROW()-1,60),ROW()-1,FALSE))</f>
        <v/>
      </c>
      <c r="AV81" t="str">
        <f ca="1">IF(AND(ISNUMBER($AV$754),$B$677=1),$AV$754,HLOOKUP(INDIRECT(ADDRESS(2,COLUMN())),OFFSET($BN$2,0,0,ROW()-1,60),ROW()-1,FALSE))</f>
        <v/>
      </c>
      <c r="AW81" t="str">
        <f ca="1">IF(AND(ISNUMBER($AW$754),$B$677=1),$AW$754,HLOOKUP(INDIRECT(ADDRESS(2,COLUMN())),OFFSET($BN$2,0,0,ROW()-1,60),ROW()-1,FALSE))</f>
        <v/>
      </c>
      <c r="AX81" t="str">
        <f ca="1">IF(AND(ISNUMBER($AX$754),$B$677=1),$AX$754,HLOOKUP(INDIRECT(ADDRESS(2,COLUMN())),OFFSET($BN$2,0,0,ROW()-1,60),ROW()-1,FALSE))</f>
        <v/>
      </c>
      <c r="AY81" t="str">
        <f ca="1">IF(AND(ISNUMBER($AY$754),$B$677=1),$AY$754,HLOOKUP(INDIRECT(ADDRESS(2,COLUMN())),OFFSET($BN$2,0,0,ROW()-1,60),ROW()-1,FALSE))</f>
        <v/>
      </c>
      <c r="AZ81" t="str">
        <f ca="1">IF(AND(ISNUMBER($AZ$754),$B$677=1),$AZ$754,HLOOKUP(INDIRECT(ADDRESS(2,COLUMN())),OFFSET($BN$2,0,0,ROW()-1,60),ROW()-1,FALSE))</f>
        <v/>
      </c>
      <c r="BA81" t="str">
        <f ca="1">IF(AND(ISNUMBER($BA$754),$B$677=1),$BA$754,HLOOKUP(INDIRECT(ADDRESS(2,COLUMN())),OFFSET($BN$2,0,0,ROW()-1,60),ROW()-1,FALSE))</f>
        <v/>
      </c>
      <c r="BB81" t="str">
        <f ca="1">IF(AND(ISNUMBER($BB$754),$B$677=1),$BB$754,HLOOKUP(INDIRECT(ADDRESS(2,COLUMN())),OFFSET($BN$2,0,0,ROW()-1,60),ROW()-1,FALSE))</f>
        <v/>
      </c>
      <c r="BC81" t="str">
        <f ca="1">IF(AND(ISNUMBER($BC$754),$B$677=1),$BC$754,HLOOKUP(INDIRECT(ADDRESS(2,COLUMN())),OFFSET($BN$2,0,0,ROW()-1,60),ROW()-1,FALSE))</f>
        <v/>
      </c>
      <c r="BD81" t="str">
        <f ca="1">IF(AND(ISNUMBER($BD$754),$B$677=1),$BD$754,HLOOKUP(INDIRECT(ADDRESS(2,COLUMN())),OFFSET($BN$2,0,0,ROW()-1,60),ROW()-1,FALSE))</f>
        <v/>
      </c>
      <c r="BE81" t="str">
        <f ca="1">IF(AND(ISNUMBER($BE$754),$B$677=1),$BE$754,HLOOKUP(INDIRECT(ADDRESS(2,COLUMN())),OFFSET($BN$2,0,0,ROW()-1,60),ROW()-1,FALSE))</f>
        <v/>
      </c>
      <c r="BF81" t="str">
        <f ca="1">IF(AND(ISNUMBER($BF$754),$B$677=1),$BF$754,HLOOKUP(INDIRECT(ADDRESS(2,COLUMN())),OFFSET($BN$2,0,0,ROW()-1,60),ROW()-1,FALSE))</f>
        <v/>
      </c>
      <c r="BG81" t="str">
        <f ca="1">IF(AND(ISNUMBER($BG$754),$B$677=1),$BG$754,HLOOKUP(INDIRECT(ADDRESS(2,COLUMN())),OFFSET($BN$2,0,0,ROW()-1,60),ROW()-1,FALSE))</f>
        <v/>
      </c>
      <c r="BH81" t="str">
        <f ca="1">IF(AND(ISNUMBER($BH$754),$B$677=1),$BH$754,HLOOKUP(INDIRECT(ADDRESS(2,COLUMN())),OFFSET($BN$2,0,0,ROW()-1,60),ROW()-1,FALSE))</f>
        <v/>
      </c>
      <c r="BI81" t="str">
        <f ca="1">IF(AND(ISNUMBER($BI$754),$B$677=1),$BI$754,HLOOKUP(INDIRECT(ADDRESS(2,COLUMN())),OFFSET($BN$2,0,0,ROW()-1,60),ROW()-1,FALSE))</f>
        <v/>
      </c>
      <c r="BJ81" t="str">
        <f ca="1">IF(AND(ISNUMBER($BJ$754),$B$677=1),$BJ$754,HLOOKUP(INDIRECT(ADDRESS(2,COLUMN())),OFFSET($BN$2,0,0,ROW()-1,60),ROW()-1,FALSE))</f>
        <v/>
      </c>
      <c r="BK81" t="str">
        <f ca="1">IF(AND(ISNUMBER($BK$754),$B$677=1),$BK$754,HLOOKUP(INDIRECT(ADDRESS(2,COLUMN())),OFFSET($BN$2,0,0,ROW()-1,60),ROW()-1,FALSE))</f>
        <v/>
      </c>
      <c r="BL81" t="str">
        <f ca="1">IF(AND(ISNUMBER($BL$754),$B$677=1),$BL$754,HLOOKUP(INDIRECT(ADDRESS(2,COLUMN())),OFFSET($BN$2,0,0,ROW()-1,60),ROW()-1,FALSE))</f>
        <v/>
      </c>
      <c r="BM81" t="str">
        <f ca="1">IF(AND(ISNUMBER($BM$754),$B$677=1),$BM$754,HLOOKUP(INDIRECT(ADDRESS(2,COLUMN())),OFFSET($BN$2,0,0,ROW()-1,60),ROW()-1,FALSE))</f>
        <v/>
      </c>
      <c r="BN81" t="str">
        <f>""</f>
        <v/>
      </c>
      <c r="BO81" t="str">
        <f>""</f>
        <v/>
      </c>
      <c r="BP81" t="str">
        <f>""</f>
        <v/>
      </c>
      <c r="BQ81" t="str">
        <f>""</f>
        <v/>
      </c>
      <c r="BR81" t="str">
        <f>""</f>
        <v/>
      </c>
      <c r="BS81" t="str">
        <f>""</f>
        <v/>
      </c>
      <c r="BT81" t="str">
        <f>""</f>
        <v/>
      </c>
      <c r="BU81" t="str">
        <f>""</f>
        <v/>
      </c>
      <c r="BV81" t="str">
        <f>""</f>
        <v/>
      </c>
      <c r="BW81" t="str">
        <f>""</f>
        <v/>
      </c>
      <c r="BX81" t="str">
        <f>""</f>
        <v/>
      </c>
      <c r="BY81" t="str">
        <f>""</f>
        <v/>
      </c>
      <c r="BZ81" t="str">
        <f>""</f>
        <v/>
      </c>
      <c r="CA81" t="str">
        <f>""</f>
        <v/>
      </c>
      <c r="CB81" t="str">
        <f>""</f>
        <v/>
      </c>
      <c r="CC81" t="str">
        <f>""</f>
        <v/>
      </c>
      <c r="CD81" t="str">
        <f>""</f>
        <v/>
      </c>
      <c r="CE81" t="str">
        <f>""</f>
        <v/>
      </c>
      <c r="CF81" t="str">
        <f>""</f>
        <v/>
      </c>
      <c r="CG81" t="str">
        <f>""</f>
        <v/>
      </c>
      <c r="CH81" t="str">
        <f>""</f>
        <v/>
      </c>
      <c r="CI81" t="str">
        <f>""</f>
        <v/>
      </c>
      <c r="CJ81" t="str">
        <f>""</f>
        <v/>
      </c>
      <c r="CK81" t="str">
        <f>""</f>
        <v/>
      </c>
      <c r="CL81" t="str">
        <f>""</f>
        <v/>
      </c>
      <c r="CM81" t="str">
        <f>""</f>
        <v/>
      </c>
      <c r="CN81" t="str">
        <f>""</f>
        <v/>
      </c>
      <c r="CO81" t="str">
        <f>""</f>
        <v/>
      </c>
      <c r="CP81" t="str">
        <f>""</f>
        <v/>
      </c>
      <c r="CQ81" t="str">
        <f>""</f>
        <v/>
      </c>
      <c r="CR81" t="str">
        <f>""</f>
        <v/>
      </c>
      <c r="CS81" t="str">
        <f>""</f>
        <v/>
      </c>
      <c r="CT81" t="str">
        <f>""</f>
        <v/>
      </c>
      <c r="CU81" t="str">
        <f>""</f>
        <v/>
      </c>
      <c r="CV81" t="str">
        <f>""</f>
        <v/>
      </c>
      <c r="CW81" t="str">
        <f>""</f>
        <v/>
      </c>
      <c r="CX81" t="str">
        <f>""</f>
        <v/>
      </c>
      <c r="CY81" t="str">
        <f>""</f>
        <v/>
      </c>
      <c r="CZ81" t="str">
        <f>""</f>
        <v/>
      </c>
      <c r="DA81" t="str">
        <f>""</f>
        <v/>
      </c>
      <c r="DB81" t="str">
        <f>""</f>
        <v/>
      </c>
      <c r="DC81" t="str">
        <f>""</f>
        <v/>
      </c>
      <c r="DD81" t="str">
        <f>""</f>
        <v/>
      </c>
      <c r="DE81" t="str">
        <f>""</f>
        <v/>
      </c>
      <c r="DF81" t="str">
        <f>""</f>
        <v/>
      </c>
      <c r="DG81" t="str">
        <f>""</f>
        <v/>
      </c>
      <c r="DH81" t="str">
        <f>""</f>
        <v/>
      </c>
      <c r="DI81" t="str">
        <f>""</f>
        <v/>
      </c>
      <c r="DJ81" t="str">
        <f>""</f>
        <v/>
      </c>
      <c r="DK81" t="str">
        <f>""</f>
        <v/>
      </c>
      <c r="DL81" t="str">
        <f>""</f>
        <v/>
      </c>
      <c r="DM81" t="str">
        <f>""</f>
        <v/>
      </c>
      <c r="DN81" t="str">
        <f>""</f>
        <v/>
      </c>
      <c r="DO81" t="str">
        <f>""</f>
        <v/>
      </c>
      <c r="DP81" t="str">
        <f>""</f>
        <v/>
      </c>
      <c r="DQ81" t="str">
        <f>""</f>
        <v/>
      </c>
      <c r="DR81" t="str">
        <f>""</f>
        <v/>
      </c>
      <c r="DS81" t="str">
        <f>""</f>
        <v/>
      </c>
      <c r="DT81" t="str">
        <f>""</f>
        <v/>
      </c>
      <c r="DU81" t="str">
        <f>""</f>
        <v/>
      </c>
    </row>
    <row r="82" spans="1:125" x14ac:dyDescent="0.25">
      <c r="A82" t="str">
        <f>"    Tofas Turk Otomobil Fabrikasi AS"</f>
        <v xml:space="preserve">    Tofas Turk Otomobil Fabrikasi AS</v>
      </c>
      <c r="B82" t="str">
        <f>"TOASOTRY EO Equity"</f>
        <v>TOASOTRY EO Equity</v>
      </c>
      <c r="C82" t="str">
        <f t="shared" si="3"/>
        <v>EZ009</v>
      </c>
      <c r="D82" t="str">
        <f t="shared" si="4"/>
        <v>BEST_EST_PE_CUR_YR</v>
      </c>
      <c r="E82" t="str">
        <f t="shared" si="5"/>
        <v>Dynamic</v>
      </c>
      <c r="F82" t="str">
        <f ca="1">IF(AND(ISNUMBER($F$755),$B$677=1),$F$755,HLOOKUP(INDIRECT(ADDRESS(2,COLUMN())),OFFSET($BN$2,0,0,ROW()-1,60),ROW()-1,FALSE))</f>
        <v/>
      </c>
      <c r="G82" t="str">
        <f ca="1">IF(AND(ISNUMBER($G$755),$B$677=1),$G$755,HLOOKUP(INDIRECT(ADDRESS(2,COLUMN())),OFFSET($BN$2,0,0,ROW()-1,60),ROW()-1,FALSE))</f>
        <v/>
      </c>
      <c r="H82" t="str">
        <f ca="1">IF(AND(ISNUMBER($H$755),$B$677=1),$H$755,HLOOKUP(INDIRECT(ADDRESS(2,COLUMN())),OFFSET($BN$2,0,0,ROW()-1,60),ROW()-1,FALSE))</f>
        <v/>
      </c>
      <c r="I82" t="str">
        <f ca="1">IF(AND(ISNUMBER($I$755),$B$677=1),$I$755,HLOOKUP(INDIRECT(ADDRESS(2,COLUMN())),OFFSET($BN$2,0,0,ROW()-1,60),ROW()-1,FALSE))</f>
        <v/>
      </c>
      <c r="J82" t="str">
        <f ca="1">IF(AND(ISNUMBER($J$755),$B$677=1),$J$755,HLOOKUP(INDIRECT(ADDRESS(2,COLUMN())),OFFSET($BN$2,0,0,ROW()-1,60),ROW()-1,FALSE))</f>
        <v/>
      </c>
      <c r="K82" t="str">
        <f ca="1">IF(AND(ISNUMBER($K$755),$B$677=1),$K$755,HLOOKUP(INDIRECT(ADDRESS(2,COLUMN())),OFFSET($BN$2,0,0,ROW()-1,60),ROW()-1,FALSE))</f>
        <v/>
      </c>
      <c r="L82" t="str">
        <f ca="1">IF(AND(ISNUMBER($L$755),$B$677=1),$L$755,HLOOKUP(INDIRECT(ADDRESS(2,COLUMN())),OFFSET($BN$2,0,0,ROW()-1,60),ROW()-1,FALSE))</f>
        <v/>
      </c>
      <c r="M82" t="str">
        <f ca="1">IF(AND(ISNUMBER($M$755),$B$677=1),$M$755,HLOOKUP(INDIRECT(ADDRESS(2,COLUMN())),OFFSET($BN$2,0,0,ROW()-1,60),ROW()-1,FALSE))</f>
        <v/>
      </c>
      <c r="N82" t="str">
        <f ca="1">IF(AND(ISNUMBER($N$755),$B$677=1),$N$755,HLOOKUP(INDIRECT(ADDRESS(2,COLUMN())),OFFSET($BN$2,0,0,ROW()-1,60),ROW()-1,FALSE))</f>
        <v/>
      </c>
      <c r="O82" t="str">
        <f ca="1">IF(AND(ISNUMBER($O$755),$B$677=1),$O$755,HLOOKUP(INDIRECT(ADDRESS(2,COLUMN())),OFFSET($BN$2,0,0,ROW()-1,60),ROW()-1,FALSE))</f>
        <v/>
      </c>
      <c r="P82" t="str">
        <f ca="1">IF(AND(ISNUMBER($P$755),$B$677=1),$P$755,HLOOKUP(INDIRECT(ADDRESS(2,COLUMN())),OFFSET($BN$2,0,0,ROW()-1,60),ROW()-1,FALSE))</f>
        <v/>
      </c>
      <c r="Q82" t="str">
        <f ca="1">IF(AND(ISNUMBER($Q$755),$B$677=1),$Q$755,HLOOKUP(INDIRECT(ADDRESS(2,COLUMN())),OFFSET($BN$2,0,0,ROW()-1,60),ROW()-1,FALSE))</f>
        <v/>
      </c>
      <c r="R82" t="str">
        <f ca="1">IF(AND(ISNUMBER($R$755),$B$677=1),$R$755,HLOOKUP(INDIRECT(ADDRESS(2,COLUMN())),OFFSET($BN$2,0,0,ROW()-1,60),ROW()-1,FALSE))</f>
        <v/>
      </c>
      <c r="S82" t="str">
        <f ca="1">IF(AND(ISNUMBER($S$755),$B$677=1),$S$755,HLOOKUP(INDIRECT(ADDRESS(2,COLUMN())),OFFSET($BN$2,0,0,ROW()-1,60),ROW()-1,FALSE))</f>
        <v/>
      </c>
      <c r="T82" t="str">
        <f ca="1">IF(AND(ISNUMBER($T$755),$B$677=1),$T$755,HLOOKUP(INDIRECT(ADDRESS(2,COLUMN())),OFFSET($BN$2,0,0,ROW()-1,60),ROW()-1,FALSE))</f>
        <v/>
      </c>
      <c r="U82" t="str">
        <f ca="1">IF(AND(ISNUMBER($U$755),$B$677=1),$U$755,HLOOKUP(INDIRECT(ADDRESS(2,COLUMN())),OFFSET($BN$2,0,0,ROW()-1,60),ROW()-1,FALSE))</f>
        <v/>
      </c>
      <c r="V82" t="str">
        <f ca="1">IF(AND(ISNUMBER($V$755),$B$677=1),$V$755,HLOOKUP(INDIRECT(ADDRESS(2,COLUMN())),OFFSET($BN$2,0,0,ROW()-1,60),ROW()-1,FALSE))</f>
        <v/>
      </c>
      <c r="W82" t="str">
        <f ca="1">IF(AND(ISNUMBER($W$755),$B$677=1),$W$755,HLOOKUP(INDIRECT(ADDRESS(2,COLUMN())),OFFSET($BN$2,0,0,ROW()-1,60),ROW()-1,FALSE))</f>
        <v/>
      </c>
      <c r="X82" t="str">
        <f ca="1">IF(AND(ISNUMBER($X$755),$B$677=1),$X$755,HLOOKUP(INDIRECT(ADDRESS(2,COLUMN())),OFFSET($BN$2,0,0,ROW()-1,60),ROW()-1,FALSE))</f>
        <v/>
      </c>
      <c r="Y82" t="str">
        <f ca="1">IF(AND(ISNUMBER($Y$755),$B$677=1),$Y$755,HLOOKUP(INDIRECT(ADDRESS(2,COLUMN())),OFFSET($BN$2,0,0,ROW()-1,60),ROW()-1,FALSE))</f>
        <v/>
      </c>
      <c r="Z82" t="str">
        <f ca="1">IF(AND(ISNUMBER($Z$755),$B$677=1),$Z$755,HLOOKUP(INDIRECT(ADDRESS(2,COLUMN())),OFFSET($BN$2,0,0,ROW()-1,60),ROW()-1,FALSE))</f>
        <v/>
      </c>
      <c r="AA82" t="str">
        <f ca="1">IF(AND(ISNUMBER($AA$755),$B$677=1),$AA$755,HLOOKUP(INDIRECT(ADDRESS(2,COLUMN())),OFFSET($BN$2,0,0,ROW()-1,60),ROW()-1,FALSE))</f>
        <v/>
      </c>
      <c r="AB82" t="str">
        <f ca="1">IF(AND(ISNUMBER($AB$755),$B$677=1),$AB$755,HLOOKUP(INDIRECT(ADDRESS(2,COLUMN())),OFFSET($BN$2,0,0,ROW()-1,60),ROW()-1,FALSE))</f>
        <v/>
      </c>
      <c r="AC82" t="str">
        <f ca="1">IF(AND(ISNUMBER($AC$755),$B$677=1),$AC$755,HLOOKUP(INDIRECT(ADDRESS(2,COLUMN())),OFFSET($BN$2,0,0,ROW()-1,60),ROW()-1,FALSE))</f>
        <v/>
      </c>
      <c r="AD82" t="str">
        <f ca="1">IF(AND(ISNUMBER($AD$755),$B$677=1),$AD$755,HLOOKUP(INDIRECT(ADDRESS(2,COLUMN())),OFFSET($BN$2,0,0,ROW()-1,60),ROW()-1,FALSE))</f>
        <v/>
      </c>
      <c r="AE82" t="str">
        <f ca="1">IF(AND(ISNUMBER($AE$755),$B$677=1),$AE$755,HLOOKUP(INDIRECT(ADDRESS(2,COLUMN())),OFFSET($BN$2,0,0,ROW()-1,60),ROW()-1,FALSE))</f>
        <v/>
      </c>
      <c r="AF82" t="str">
        <f ca="1">IF(AND(ISNUMBER($AF$755),$B$677=1),$AF$755,HLOOKUP(INDIRECT(ADDRESS(2,COLUMN())),OFFSET($BN$2,0,0,ROW()-1,60),ROW()-1,FALSE))</f>
        <v/>
      </c>
      <c r="AG82" t="str">
        <f ca="1">IF(AND(ISNUMBER($AG$755),$B$677=1),$AG$755,HLOOKUP(INDIRECT(ADDRESS(2,COLUMN())),OFFSET($BN$2,0,0,ROW()-1,60),ROW()-1,FALSE))</f>
        <v/>
      </c>
      <c r="AH82" t="str">
        <f ca="1">IF(AND(ISNUMBER($AH$755),$B$677=1),$AH$755,HLOOKUP(INDIRECT(ADDRESS(2,COLUMN())),OFFSET($BN$2,0,0,ROW()-1,60),ROW()-1,FALSE))</f>
        <v/>
      </c>
      <c r="AI82" t="str">
        <f ca="1">IF(AND(ISNUMBER($AI$755),$B$677=1),$AI$755,HLOOKUP(INDIRECT(ADDRESS(2,COLUMN())),OFFSET($BN$2,0,0,ROW()-1,60),ROW()-1,FALSE))</f>
        <v/>
      </c>
      <c r="AJ82" t="str">
        <f ca="1">IF(AND(ISNUMBER($AJ$755),$B$677=1),$AJ$755,HLOOKUP(INDIRECT(ADDRESS(2,COLUMN())),OFFSET($BN$2,0,0,ROW()-1,60),ROW()-1,FALSE))</f>
        <v/>
      </c>
      <c r="AK82" t="str">
        <f ca="1">IF(AND(ISNUMBER($AK$755),$B$677=1),$AK$755,HLOOKUP(INDIRECT(ADDRESS(2,COLUMN())),OFFSET($BN$2,0,0,ROW()-1,60),ROW()-1,FALSE))</f>
        <v/>
      </c>
      <c r="AL82" t="str">
        <f ca="1">IF(AND(ISNUMBER($AL$755),$B$677=1),$AL$755,HLOOKUP(INDIRECT(ADDRESS(2,COLUMN())),OFFSET($BN$2,0,0,ROW()-1,60),ROW()-1,FALSE))</f>
        <v/>
      </c>
      <c r="AM82" t="str">
        <f ca="1">IF(AND(ISNUMBER($AM$755),$B$677=1),$AM$755,HLOOKUP(INDIRECT(ADDRESS(2,COLUMN())),OFFSET($BN$2,0,0,ROW()-1,60),ROW()-1,FALSE))</f>
        <v/>
      </c>
      <c r="AN82" t="str">
        <f ca="1">IF(AND(ISNUMBER($AN$755),$B$677=1),$AN$755,HLOOKUP(INDIRECT(ADDRESS(2,COLUMN())),OFFSET($BN$2,0,0,ROW()-1,60),ROW()-1,FALSE))</f>
        <v/>
      </c>
      <c r="AO82" t="str">
        <f ca="1">IF(AND(ISNUMBER($AO$755),$B$677=1),$AO$755,HLOOKUP(INDIRECT(ADDRESS(2,COLUMN())),OFFSET($BN$2,0,0,ROW()-1,60),ROW()-1,FALSE))</f>
        <v/>
      </c>
      <c r="AP82" t="str">
        <f ca="1">IF(AND(ISNUMBER($AP$755),$B$677=1),$AP$755,HLOOKUP(INDIRECT(ADDRESS(2,COLUMN())),OFFSET($BN$2,0,0,ROW()-1,60),ROW()-1,FALSE))</f>
        <v/>
      </c>
      <c r="AQ82" t="str">
        <f ca="1">IF(AND(ISNUMBER($AQ$755),$B$677=1),$AQ$755,HLOOKUP(INDIRECT(ADDRESS(2,COLUMN())),OFFSET($BN$2,0,0,ROW()-1,60),ROW()-1,FALSE))</f>
        <v/>
      </c>
      <c r="AR82" t="str">
        <f ca="1">IF(AND(ISNUMBER($AR$755),$B$677=1),$AR$755,HLOOKUP(INDIRECT(ADDRESS(2,COLUMN())),OFFSET($BN$2,0,0,ROW()-1,60),ROW()-1,FALSE))</f>
        <v/>
      </c>
      <c r="AS82" t="str">
        <f ca="1">IF(AND(ISNUMBER($AS$755),$B$677=1),$AS$755,HLOOKUP(INDIRECT(ADDRESS(2,COLUMN())),OFFSET($BN$2,0,0,ROW()-1,60),ROW()-1,FALSE))</f>
        <v/>
      </c>
      <c r="AT82" t="str">
        <f ca="1">IF(AND(ISNUMBER($AT$755),$B$677=1),$AT$755,HLOOKUP(INDIRECT(ADDRESS(2,COLUMN())),OFFSET($BN$2,0,0,ROW()-1,60),ROW()-1,FALSE))</f>
        <v/>
      </c>
      <c r="AU82" t="str">
        <f ca="1">IF(AND(ISNUMBER($AU$755),$B$677=1),$AU$755,HLOOKUP(INDIRECT(ADDRESS(2,COLUMN())),OFFSET($BN$2,0,0,ROW()-1,60),ROW()-1,FALSE))</f>
        <v/>
      </c>
      <c r="AV82" t="str">
        <f ca="1">IF(AND(ISNUMBER($AV$755),$B$677=1),$AV$755,HLOOKUP(INDIRECT(ADDRESS(2,COLUMN())),OFFSET($BN$2,0,0,ROW()-1,60),ROW()-1,FALSE))</f>
        <v/>
      </c>
      <c r="AW82" t="str">
        <f ca="1">IF(AND(ISNUMBER($AW$755),$B$677=1),$AW$755,HLOOKUP(INDIRECT(ADDRESS(2,COLUMN())),OFFSET($BN$2,0,0,ROW()-1,60),ROW()-1,FALSE))</f>
        <v/>
      </c>
      <c r="AX82" t="str">
        <f ca="1">IF(AND(ISNUMBER($AX$755),$B$677=1),$AX$755,HLOOKUP(INDIRECT(ADDRESS(2,COLUMN())),OFFSET($BN$2,0,0,ROW()-1,60),ROW()-1,FALSE))</f>
        <v/>
      </c>
      <c r="AY82" t="str">
        <f ca="1">IF(AND(ISNUMBER($AY$755),$B$677=1),$AY$755,HLOOKUP(INDIRECT(ADDRESS(2,COLUMN())),OFFSET($BN$2,0,0,ROW()-1,60),ROW()-1,FALSE))</f>
        <v/>
      </c>
      <c r="AZ82" t="str">
        <f ca="1">IF(AND(ISNUMBER($AZ$755),$B$677=1),$AZ$755,HLOOKUP(INDIRECT(ADDRESS(2,COLUMN())),OFFSET($BN$2,0,0,ROW()-1,60),ROW()-1,FALSE))</f>
        <v/>
      </c>
      <c r="BA82" t="str">
        <f ca="1">IF(AND(ISNUMBER($BA$755),$B$677=1),$BA$755,HLOOKUP(INDIRECT(ADDRESS(2,COLUMN())),OFFSET($BN$2,0,0,ROW()-1,60),ROW()-1,FALSE))</f>
        <v/>
      </c>
      <c r="BB82" t="str">
        <f ca="1">IF(AND(ISNUMBER($BB$755),$B$677=1),$BB$755,HLOOKUP(INDIRECT(ADDRESS(2,COLUMN())),OFFSET($BN$2,0,0,ROW()-1,60),ROW()-1,FALSE))</f>
        <v/>
      </c>
      <c r="BC82" t="str">
        <f ca="1">IF(AND(ISNUMBER($BC$755),$B$677=1),$BC$755,HLOOKUP(INDIRECT(ADDRESS(2,COLUMN())),OFFSET($BN$2,0,0,ROW()-1,60),ROW()-1,FALSE))</f>
        <v/>
      </c>
      <c r="BD82" t="str">
        <f ca="1">IF(AND(ISNUMBER($BD$755),$B$677=1),$BD$755,HLOOKUP(INDIRECT(ADDRESS(2,COLUMN())),OFFSET($BN$2,0,0,ROW()-1,60),ROW()-1,FALSE))</f>
        <v/>
      </c>
      <c r="BE82" t="str">
        <f ca="1">IF(AND(ISNUMBER($BE$755),$B$677=1),$BE$755,HLOOKUP(INDIRECT(ADDRESS(2,COLUMN())),OFFSET($BN$2,0,0,ROW()-1,60),ROW()-1,FALSE))</f>
        <v/>
      </c>
      <c r="BF82" t="str">
        <f ca="1">IF(AND(ISNUMBER($BF$755),$B$677=1),$BF$755,HLOOKUP(INDIRECT(ADDRESS(2,COLUMN())),OFFSET($BN$2,0,0,ROW()-1,60),ROW()-1,FALSE))</f>
        <v/>
      </c>
      <c r="BG82" t="str">
        <f ca="1">IF(AND(ISNUMBER($BG$755),$B$677=1),$BG$755,HLOOKUP(INDIRECT(ADDRESS(2,COLUMN())),OFFSET($BN$2,0,0,ROW()-1,60),ROW()-1,FALSE))</f>
        <v/>
      </c>
      <c r="BH82" t="str">
        <f ca="1">IF(AND(ISNUMBER($BH$755),$B$677=1),$BH$755,HLOOKUP(INDIRECT(ADDRESS(2,COLUMN())),OFFSET($BN$2,0,0,ROW()-1,60),ROW()-1,FALSE))</f>
        <v/>
      </c>
      <c r="BI82" t="str">
        <f ca="1">IF(AND(ISNUMBER($BI$755),$B$677=1),$BI$755,HLOOKUP(INDIRECT(ADDRESS(2,COLUMN())),OFFSET($BN$2,0,0,ROW()-1,60),ROW()-1,FALSE))</f>
        <v/>
      </c>
      <c r="BJ82" t="str">
        <f ca="1">IF(AND(ISNUMBER($BJ$755),$B$677=1),$BJ$755,HLOOKUP(INDIRECT(ADDRESS(2,COLUMN())),OFFSET($BN$2,0,0,ROW()-1,60),ROW()-1,FALSE))</f>
        <v/>
      </c>
      <c r="BK82" t="str">
        <f ca="1">IF(AND(ISNUMBER($BK$755),$B$677=1),$BK$755,HLOOKUP(INDIRECT(ADDRESS(2,COLUMN())),OFFSET($BN$2,0,0,ROW()-1,60),ROW()-1,FALSE))</f>
        <v/>
      </c>
      <c r="BL82" t="str">
        <f ca="1">IF(AND(ISNUMBER($BL$755),$B$677=1),$BL$755,HLOOKUP(INDIRECT(ADDRESS(2,COLUMN())),OFFSET($BN$2,0,0,ROW()-1,60),ROW()-1,FALSE))</f>
        <v/>
      </c>
      <c r="BM82" t="str">
        <f ca="1">IF(AND(ISNUMBER($BM$755),$B$677=1),$BM$755,HLOOKUP(INDIRECT(ADDRESS(2,COLUMN())),OFFSET($BN$2,0,0,ROW()-1,60),ROW()-1,FALSE))</f>
        <v/>
      </c>
      <c r="BN82" t="str">
        <f>""</f>
        <v/>
      </c>
      <c r="BO82" t="str">
        <f>""</f>
        <v/>
      </c>
      <c r="BP82" t="str">
        <f>""</f>
        <v/>
      </c>
      <c r="BQ82" t="str">
        <f>""</f>
        <v/>
      </c>
      <c r="BR82" t="str">
        <f>""</f>
        <v/>
      </c>
      <c r="BS82" t="str">
        <f>""</f>
        <v/>
      </c>
      <c r="BT82" t="str">
        <f>""</f>
        <v/>
      </c>
      <c r="BU82" t="str">
        <f>""</f>
        <v/>
      </c>
      <c r="BV82" t="str">
        <f>""</f>
        <v/>
      </c>
      <c r="BW82" t="str">
        <f>""</f>
        <v/>
      </c>
      <c r="BX82" t="str">
        <f>""</f>
        <v/>
      </c>
      <c r="BY82" t="str">
        <f>""</f>
        <v/>
      </c>
      <c r="BZ82" t="str">
        <f>""</f>
        <v/>
      </c>
      <c r="CA82" t="str">
        <f>""</f>
        <v/>
      </c>
      <c r="CB82" t="str">
        <f>""</f>
        <v/>
      </c>
      <c r="CC82" t="str">
        <f>""</f>
        <v/>
      </c>
      <c r="CD82" t="str">
        <f>""</f>
        <v/>
      </c>
      <c r="CE82" t="str">
        <f>""</f>
        <v/>
      </c>
      <c r="CF82" t="str">
        <f>""</f>
        <v/>
      </c>
      <c r="CG82" t="str">
        <f>""</f>
        <v/>
      </c>
      <c r="CH82" t="str">
        <f>""</f>
        <v/>
      </c>
      <c r="CI82" t="str">
        <f>""</f>
        <v/>
      </c>
      <c r="CJ82" t="str">
        <f>""</f>
        <v/>
      </c>
      <c r="CK82" t="str">
        <f>""</f>
        <v/>
      </c>
      <c r="CL82" t="str">
        <f>""</f>
        <v/>
      </c>
      <c r="CM82" t="str">
        <f>""</f>
        <v/>
      </c>
      <c r="CN82" t="str">
        <f>""</f>
        <v/>
      </c>
      <c r="CO82" t="str">
        <f>""</f>
        <v/>
      </c>
      <c r="CP82" t="str">
        <f>""</f>
        <v/>
      </c>
      <c r="CQ82" t="str">
        <f>""</f>
        <v/>
      </c>
      <c r="CR82" t="str">
        <f>""</f>
        <v/>
      </c>
      <c r="CS82" t="str">
        <f>""</f>
        <v/>
      </c>
      <c r="CT82" t="str">
        <f>""</f>
        <v/>
      </c>
      <c r="CU82" t="str">
        <f>""</f>
        <v/>
      </c>
      <c r="CV82" t="str">
        <f>""</f>
        <v/>
      </c>
      <c r="CW82" t="str">
        <f>""</f>
        <v/>
      </c>
      <c r="CX82" t="str">
        <f>""</f>
        <v/>
      </c>
      <c r="CY82" t="str">
        <f>""</f>
        <v/>
      </c>
      <c r="CZ82" t="str">
        <f>""</f>
        <v/>
      </c>
      <c r="DA82" t="str">
        <f>""</f>
        <v/>
      </c>
      <c r="DB82" t="str">
        <f>""</f>
        <v/>
      </c>
      <c r="DC82" t="str">
        <f>""</f>
        <v/>
      </c>
      <c r="DD82" t="str">
        <f>""</f>
        <v/>
      </c>
      <c r="DE82" t="str">
        <f>""</f>
        <v/>
      </c>
      <c r="DF82" t="str">
        <f>""</f>
        <v/>
      </c>
      <c r="DG82" t="str">
        <f>""</f>
        <v/>
      </c>
      <c r="DH82" t="str">
        <f>""</f>
        <v/>
      </c>
      <c r="DI82" t="str">
        <f>""</f>
        <v/>
      </c>
      <c r="DJ82" t="str">
        <f>""</f>
        <v/>
      </c>
      <c r="DK82" t="str">
        <f>""</f>
        <v/>
      </c>
      <c r="DL82" t="str">
        <f>""</f>
        <v/>
      </c>
      <c r="DM82" t="str">
        <f>""</f>
        <v/>
      </c>
      <c r="DN82" t="str">
        <f>""</f>
        <v/>
      </c>
      <c r="DO82" t="str">
        <f>""</f>
        <v/>
      </c>
      <c r="DP82" t="str">
        <f>""</f>
        <v/>
      </c>
      <c r="DQ82" t="str">
        <f>""</f>
        <v/>
      </c>
      <c r="DR82" t="str">
        <f>""</f>
        <v/>
      </c>
      <c r="DS82" t="str">
        <f>""</f>
        <v/>
      </c>
      <c r="DT82" t="str">
        <f>""</f>
        <v/>
      </c>
      <c r="DU82" t="str">
        <f>""</f>
        <v/>
      </c>
    </row>
    <row r="83" spans="1:125" x14ac:dyDescent="0.25">
      <c r="A83" t="str">
        <f>"    Toyota Motor Corp"</f>
        <v xml:space="preserve">    Toyota Motor Corp</v>
      </c>
      <c r="B83" t="str">
        <f>"7203 JP Equity"</f>
        <v>7203 JP Equity</v>
      </c>
      <c r="C83" t="str">
        <f t="shared" si="3"/>
        <v>EZ009</v>
      </c>
      <c r="D83" t="str">
        <f t="shared" si="4"/>
        <v>BEST_EST_PE_CUR_YR</v>
      </c>
      <c r="E83" t="str">
        <f t="shared" si="5"/>
        <v>Dynamic</v>
      </c>
      <c r="F83">
        <f ca="1">IF(AND(ISNUMBER($F$756),$B$677=1),$F$756,HLOOKUP(INDIRECT(ADDRESS(2,COLUMN())),OFFSET($BN$2,0,0,ROW()-1,60),ROW()-1,FALSE))</f>
        <v>8.8184443350000006</v>
      </c>
      <c r="G83">
        <f ca="1">IF(AND(ISNUMBER($G$756),$B$677=1),$G$756,HLOOKUP(INDIRECT(ADDRESS(2,COLUMN())),OFFSET($BN$2,0,0,ROW()-1,60),ROW()-1,FALSE))</f>
        <v>7.8100521199999999</v>
      </c>
      <c r="H83">
        <f ca="1">IF(AND(ISNUMBER($H$756),$B$677=1),$H$756,HLOOKUP(INDIRECT(ADDRESS(2,COLUMN())),OFFSET($BN$2,0,0,ROW()-1,60),ROW()-1,FALSE))</f>
        <v>8.9183359479999993</v>
      </c>
      <c r="I83">
        <f ca="1">IF(AND(ISNUMBER($I$756),$B$677=1),$I$756,HLOOKUP(INDIRECT(ADDRESS(2,COLUMN())),OFFSET($BN$2,0,0,ROW()-1,60),ROW()-1,FALSE))</f>
        <v>9.1158629999999992</v>
      </c>
      <c r="J83">
        <f ca="1">IF(AND(ISNUMBER($J$756),$B$677=1),$J$756,HLOOKUP(INDIRECT(ADDRESS(2,COLUMN())),OFFSET($BN$2,0,0,ROW()-1,60),ROW()-1,FALSE))</f>
        <v>9.3869916240000002</v>
      </c>
      <c r="K83">
        <f ca="1">IF(AND(ISNUMBER($K$756),$B$677=1),$K$756,HLOOKUP(INDIRECT(ADDRESS(2,COLUMN())),OFFSET($BN$2,0,0,ROW()-1,60),ROW()-1,FALSE))</f>
        <v>10.28165139</v>
      </c>
      <c r="L83">
        <f ca="1">IF(AND(ISNUMBER($L$756),$B$677=1),$L$756,HLOOKUP(INDIRECT(ADDRESS(2,COLUMN())),OFFSET($BN$2,0,0,ROW()-1,60),ROW()-1,FALSE))</f>
        <v>10.090817360000001</v>
      </c>
      <c r="M83">
        <f ca="1">IF(AND(ISNUMBER($M$756),$B$677=1),$M$756,HLOOKUP(INDIRECT(ADDRESS(2,COLUMN())),OFFSET($BN$2,0,0,ROW()-1,60),ROW()-1,FALSE))</f>
        <v>9.1734693239999991</v>
      </c>
      <c r="N83">
        <f ca="1">IF(AND(ISNUMBER($N$756),$B$677=1),$N$756,HLOOKUP(INDIRECT(ADDRESS(2,COLUMN())),OFFSET($BN$2,0,0,ROW()-1,60),ROW()-1,FALSE))</f>
        <v>8.4312702159999997</v>
      </c>
      <c r="O83">
        <f ca="1">IF(AND(ISNUMBER($O$756),$B$677=1),$O$756,HLOOKUP(INDIRECT(ADDRESS(2,COLUMN())),OFFSET($BN$2,0,0,ROW()-1,60),ROW()-1,FALSE))</f>
        <v>9.9597872499999998</v>
      </c>
      <c r="P83">
        <f ca="1">IF(AND(ISNUMBER($P$756),$B$677=1),$P$756,HLOOKUP(INDIRECT(ADDRESS(2,COLUMN())),OFFSET($BN$2,0,0,ROW()-1,60),ROW()-1,FALSE))</f>
        <v>8.8500454059999996</v>
      </c>
      <c r="Q83">
        <f ca="1">IF(AND(ISNUMBER($Q$756),$B$677=1),$Q$756,HLOOKUP(INDIRECT(ADDRESS(2,COLUMN())),OFFSET($BN$2,0,0,ROW()-1,60),ROW()-1,FALSE))</f>
        <v>7.2722142969999997</v>
      </c>
      <c r="R83">
        <f ca="1">IF(AND(ISNUMBER($R$756),$B$677=1),$R$756,HLOOKUP(INDIRECT(ADDRESS(2,COLUMN())),OFFSET($BN$2,0,0,ROW()-1,60),ROW()-1,FALSE))</f>
        <v>7.0473064650000001</v>
      </c>
      <c r="S83">
        <f ca="1">IF(AND(ISNUMBER($S$756),$B$677=1),$S$756,HLOOKUP(INDIRECT(ADDRESS(2,COLUMN())),OFFSET($BN$2,0,0,ROW()-1,60),ROW()-1,FALSE))</f>
        <v>7.7122967259999999</v>
      </c>
      <c r="T83">
        <f ca="1">IF(AND(ISNUMBER($T$756),$B$677=1),$T$756,HLOOKUP(INDIRECT(ADDRESS(2,COLUMN())),OFFSET($BN$2,0,0,ROW()-1,60),ROW()-1,FALSE))</f>
        <v>7.162871848</v>
      </c>
      <c r="U83">
        <f ca="1">IF(AND(ISNUMBER($U$756),$B$677=1),$U$756,HLOOKUP(INDIRECT(ADDRESS(2,COLUMN())),OFFSET($BN$2,0,0,ROW()-1,60),ROW()-1,FALSE))</f>
        <v>8.376134704</v>
      </c>
      <c r="V83">
        <f ca="1">IF(AND(ISNUMBER($V$756),$B$677=1),$V$756,HLOOKUP(INDIRECT(ADDRESS(2,COLUMN())),OFFSET($BN$2,0,0,ROW()-1,60),ROW()-1,FALSE))</f>
        <v>8.7259290099999998</v>
      </c>
      <c r="W83">
        <f ca="1">IF(AND(ISNUMBER($W$756),$B$677=1),$W$756,HLOOKUP(INDIRECT(ADDRESS(2,COLUMN())),OFFSET($BN$2,0,0,ROW()-1,60),ROW()-1,FALSE))</f>
        <v>7.7502050860000002</v>
      </c>
      <c r="X83">
        <f ca="1">IF(AND(ISNUMBER($X$756),$B$677=1),$X$756,HLOOKUP(INDIRECT(ADDRESS(2,COLUMN())),OFFSET($BN$2,0,0,ROW()-1,60),ROW()-1,FALSE))</f>
        <v>6.9093435960000003</v>
      </c>
      <c r="Y83">
        <f ca="1">IF(AND(ISNUMBER($Y$756),$B$677=1),$Y$756,HLOOKUP(INDIRECT(ADDRESS(2,COLUMN())),OFFSET($BN$2,0,0,ROW()-1,60),ROW()-1,FALSE))</f>
        <v>6.7765649369999998</v>
      </c>
      <c r="Z83" t="str">
        <f ca="1">IF(AND(ISNUMBER($Z$756),$B$677=1),$Z$756,HLOOKUP(INDIRECT(ADDRESS(2,COLUMN())),OFFSET($BN$2,0,0,ROW()-1,60),ROW()-1,FALSE))</f>
        <v/>
      </c>
      <c r="AA83" t="str">
        <f ca="1">IF(AND(ISNUMBER($AA$756),$B$677=1),$AA$756,HLOOKUP(INDIRECT(ADDRESS(2,COLUMN())),OFFSET($BN$2,0,0,ROW()-1,60),ROW()-1,FALSE))</f>
        <v/>
      </c>
      <c r="AB83" t="str">
        <f ca="1">IF(AND(ISNUMBER($AB$756),$B$677=1),$AB$756,HLOOKUP(INDIRECT(ADDRESS(2,COLUMN())),OFFSET($BN$2,0,0,ROW()-1,60),ROW()-1,FALSE))</f>
        <v/>
      </c>
      <c r="AC83" t="str">
        <f ca="1">IF(AND(ISNUMBER($AC$756),$B$677=1),$AC$756,HLOOKUP(INDIRECT(ADDRESS(2,COLUMN())),OFFSET($BN$2,0,0,ROW()-1,60),ROW()-1,FALSE))</f>
        <v/>
      </c>
      <c r="AD83" t="str">
        <f ca="1">IF(AND(ISNUMBER($AD$756),$B$677=1),$AD$756,HLOOKUP(INDIRECT(ADDRESS(2,COLUMN())),OFFSET($BN$2,0,0,ROW()-1,60),ROW()-1,FALSE))</f>
        <v/>
      </c>
      <c r="AE83" t="str">
        <f ca="1">IF(AND(ISNUMBER($AE$756),$B$677=1),$AE$756,HLOOKUP(INDIRECT(ADDRESS(2,COLUMN())),OFFSET($BN$2,0,0,ROW()-1,60),ROW()-1,FALSE))</f>
        <v/>
      </c>
      <c r="AF83" t="str">
        <f ca="1">IF(AND(ISNUMBER($AF$756),$B$677=1),$AF$756,HLOOKUP(INDIRECT(ADDRESS(2,COLUMN())),OFFSET($BN$2,0,0,ROW()-1,60),ROW()-1,FALSE))</f>
        <v/>
      </c>
      <c r="AG83" t="str">
        <f ca="1">IF(AND(ISNUMBER($AG$756),$B$677=1),$AG$756,HLOOKUP(INDIRECT(ADDRESS(2,COLUMN())),OFFSET($BN$2,0,0,ROW()-1,60),ROW()-1,FALSE))</f>
        <v/>
      </c>
      <c r="AH83" t="str">
        <f ca="1">IF(AND(ISNUMBER($AH$756),$B$677=1),$AH$756,HLOOKUP(INDIRECT(ADDRESS(2,COLUMN())),OFFSET($BN$2,0,0,ROW()-1,60),ROW()-1,FALSE))</f>
        <v/>
      </c>
      <c r="AI83" t="str">
        <f ca="1">IF(AND(ISNUMBER($AI$756),$B$677=1),$AI$756,HLOOKUP(INDIRECT(ADDRESS(2,COLUMN())),OFFSET($BN$2,0,0,ROW()-1,60),ROW()-1,FALSE))</f>
        <v/>
      </c>
      <c r="AJ83" t="str">
        <f ca="1">IF(AND(ISNUMBER($AJ$756),$B$677=1),$AJ$756,HLOOKUP(INDIRECT(ADDRESS(2,COLUMN())),OFFSET($BN$2,0,0,ROW()-1,60),ROW()-1,FALSE))</f>
        <v/>
      </c>
      <c r="AK83" t="str">
        <f ca="1">IF(AND(ISNUMBER($AK$756),$B$677=1),$AK$756,HLOOKUP(INDIRECT(ADDRESS(2,COLUMN())),OFFSET($BN$2,0,0,ROW()-1,60),ROW()-1,FALSE))</f>
        <v/>
      </c>
      <c r="AL83" t="str">
        <f ca="1">IF(AND(ISNUMBER($AL$756),$B$677=1),$AL$756,HLOOKUP(INDIRECT(ADDRESS(2,COLUMN())),OFFSET($BN$2,0,0,ROW()-1,60),ROW()-1,FALSE))</f>
        <v/>
      </c>
      <c r="AM83" t="str">
        <f ca="1">IF(AND(ISNUMBER($AM$756),$B$677=1),$AM$756,HLOOKUP(INDIRECT(ADDRESS(2,COLUMN())),OFFSET($BN$2,0,0,ROW()-1,60),ROW()-1,FALSE))</f>
        <v/>
      </c>
      <c r="AN83" t="str">
        <f ca="1">IF(AND(ISNUMBER($AN$756),$B$677=1),$AN$756,HLOOKUP(INDIRECT(ADDRESS(2,COLUMN())),OFFSET($BN$2,0,0,ROW()-1,60),ROW()-1,FALSE))</f>
        <v/>
      </c>
      <c r="AO83" t="str">
        <f ca="1">IF(AND(ISNUMBER($AO$756),$B$677=1),$AO$756,HLOOKUP(INDIRECT(ADDRESS(2,COLUMN())),OFFSET($BN$2,0,0,ROW()-1,60),ROW()-1,FALSE))</f>
        <v/>
      </c>
      <c r="AP83" t="str">
        <f ca="1">IF(AND(ISNUMBER($AP$756),$B$677=1),$AP$756,HLOOKUP(INDIRECT(ADDRESS(2,COLUMN())),OFFSET($BN$2,0,0,ROW()-1,60),ROW()-1,FALSE))</f>
        <v/>
      </c>
      <c r="AQ83" t="str">
        <f ca="1">IF(AND(ISNUMBER($AQ$756),$B$677=1),$AQ$756,HLOOKUP(INDIRECT(ADDRESS(2,COLUMN())),OFFSET($BN$2,0,0,ROW()-1,60),ROW()-1,FALSE))</f>
        <v/>
      </c>
      <c r="AR83" t="str">
        <f ca="1">IF(AND(ISNUMBER($AR$756),$B$677=1),$AR$756,HLOOKUP(INDIRECT(ADDRESS(2,COLUMN())),OFFSET($BN$2,0,0,ROW()-1,60),ROW()-1,FALSE))</f>
        <v/>
      </c>
      <c r="AS83" t="str">
        <f ca="1">IF(AND(ISNUMBER($AS$756),$B$677=1),$AS$756,HLOOKUP(INDIRECT(ADDRESS(2,COLUMN())),OFFSET($BN$2,0,0,ROW()-1,60),ROW()-1,FALSE))</f>
        <v/>
      </c>
      <c r="AT83" t="str">
        <f ca="1">IF(AND(ISNUMBER($AT$756),$B$677=1),$AT$756,HLOOKUP(INDIRECT(ADDRESS(2,COLUMN())),OFFSET($BN$2,0,0,ROW()-1,60),ROW()-1,FALSE))</f>
        <v/>
      </c>
      <c r="AU83" t="str">
        <f ca="1">IF(AND(ISNUMBER($AU$756),$B$677=1),$AU$756,HLOOKUP(INDIRECT(ADDRESS(2,COLUMN())),OFFSET($BN$2,0,0,ROW()-1,60),ROW()-1,FALSE))</f>
        <v/>
      </c>
      <c r="AV83" t="str">
        <f ca="1">IF(AND(ISNUMBER($AV$756),$B$677=1),$AV$756,HLOOKUP(INDIRECT(ADDRESS(2,COLUMN())),OFFSET($BN$2,0,0,ROW()-1,60),ROW()-1,FALSE))</f>
        <v/>
      </c>
      <c r="AW83" t="str">
        <f ca="1">IF(AND(ISNUMBER($AW$756),$B$677=1),$AW$756,HLOOKUP(INDIRECT(ADDRESS(2,COLUMN())),OFFSET($BN$2,0,0,ROW()-1,60),ROW()-1,FALSE))</f>
        <v/>
      </c>
      <c r="AX83" t="str">
        <f ca="1">IF(AND(ISNUMBER($AX$756),$B$677=1),$AX$756,HLOOKUP(INDIRECT(ADDRESS(2,COLUMN())),OFFSET($BN$2,0,0,ROW()-1,60),ROW()-1,FALSE))</f>
        <v/>
      </c>
      <c r="AY83" t="str">
        <f ca="1">IF(AND(ISNUMBER($AY$756),$B$677=1),$AY$756,HLOOKUP(INDIRECT(ADDRESS(2,COLUMN())),OFFSET($BN$2,0,0,ROW()-1,60),ROW()-1,FALSE))</f>
        <v/>
      </c>
      <c r="AZ83" t="str">
        <f ca="1">IF(AND(ISNUMBER($AZ$756),$B$677=1),$AZ$756,HLOOKUP(INDIRECT(ADDRESS(2,COLUMN())),OFFSET($BN$2,0,0,ROW()-1,60),ROW()-1,FALSE))</f>
        <v/>
      </c>
      <c r="BA83" t="str">
        <f ca="1">IF(AND(ISNUMBER($BA$756),$B$677=1),$BA$756,HLOOKUP(INDIRECT(ADDRESS(2,COLUMN())),OFFSET($BN$2,0,0,ROW()-1,60),ROW()-1,FALSE))</f>
        <v/>
      </c>
      <c r="BB83" t="str">
        <f ca="1">IF(AND(ISNUMBER($BB$756),$B$677=1),$BB$756,HLOOKUP(INDIRECT(ADDRESS(2,COLUMN())),OFFSET($BN$2,0,0,ROW()-1,60),ROW()-1,FALSE))</f>
        <v/>
      </c>
      <c r="BC83" t="str">
        <f ca="1">IF(AND(ISNUMBER($BC$756),$B$677=1),$BC$756,HLOOKUP(INDIRECT(ADDRESS(2,COLUMN())),OFFSET($BN$2,0,0,ROW()-1,60),ROW()-1,FALSE))</f>
        <v/>
      </c>
      <c r="BD83" t="str">
        <f ca="1">IF(AND(ISNUMBER($BD$756),$B$677=1),$BD$756,HLOOKUP(INDIRECT(ADDRESS(2,COLUMN())),OFFSET($BN$2,0,0,ROW()-1,60),ROW()-1,FALSE))</f>
        <v/>
      </c>
      <c r="BE83" t="str">
        <f ca="1">IF(AND(ISNUMBER($BE$756),$B$677=1),$BE$756,HLOOKUP(INDIRECT(ADDRESS(2,COLUMN())),OFFSET($BN$2,0,0,ROW()-1,60),ROW()-1,FALSE))</f>
        <v/>
      </c>
      <c r="BF83" t="str">
        <f ca="1">IF(AND(ISNUMBER($BF$756),$B$677=1),$BF$756,HLOOKUP(INDIRECT(ADDRESS(2,COLUMN())),OFFSET($BN$2,0,0,ROW()-1,60),ROW()-1,FALSE))</f>
        <v/>
      </c>
      <c r="BG83" t="str">
        <f ca="1">IF(AND(ISNUMBER($BG$756),$B$677=1),$BG$756,HLOOKUP(INDIRECT(ADDRESS(2,COLUMN())),OFFSET($BN$2,0,0,ROW()-1,60),ROW()-1,FALSE))</f>
        <v/>
      </c>
      <c r="BH83" t="str">
        <f ca="1">IF(AND(ISNUMBER($BH$756),$B$677=1),$BH$756,HLOOKUP(INDIRECT(ADDRESS(2,COLUMN())),OFFSET($BN$2,0,0,ROW()-1,60),ROW()-1,FALSE))</f>
        <v/>
      </c>
      <c r="BI83" t="str">
        <f ca="1">IF(AND(ISNUMBER($BI$756),$B$677=1),$BI$756,HLOOKUP(INDIRECT(ADDRESS(2,COLUMN())),OFFSET($BN$2,0,0,ROW()-1,60),ROW()-1,FALSE))</f>
        <v/>
      </c>
      <c r="BJ83" t="str">
        <f ca="1">IF(AND(ISNUMBER($BJ$756),$B$677=1),$BJ$756,HLOOKUP(INDIRECT(ADDRESS(2,COLUMN())),OFFSET($BN$2,0,0,ROW()-1,60),ROW()-1,FALSE))</f>
        <v/>
      </c>
      <c r="BK83" t="str">
        <f ca="1">IF(AND(ISNUMBER($BK$756),$B$677=1),$BK$756,HLOOKUP(INDIRECT(ADDRESS(2,COLUMN())),OFFSET($BN$2,0,0,ROW()-1,60),ROW()-1,FALSE))</f>
        <v/>
      </c>
      <c r="BL83" t="str">
        <f ca="1">IF(AND(ISNUMBER($BL$756),$B$677=1),$BL$756,HLOOKUP(INDIRECT(ADDRESS(2,COLUMN())),OFFSET($BN$2,0,0,ROW()-1,60),ROW()-1,FALSE))</f>
        <v/>
      </c>
      <c r="BM83" t="str">
        <f ca="1">IF(AND(ISNUMBER($BM$756),$B$677=1),$BM$756,HLOOKUP(INDIRECT(ADDRESS(2,COLUMN())),OFFSET($BN$2,0,0,ROW()-1,60),ROW()-1,FALSE))</f>
        <v/>
      </c>
      <c r="BN83">
        <f>8.818444335</f>
        <v>8.8184443350000006</v>
      </c>
      <c r="BO83">
        <f>7.81005212</f>
        <v>7.8100521199999999</v>
      </c>
      <c r="BP83">
        <f>8.918335948</f>
        <v>8.9183359479999993</v>
      </c>
      <c r="BQ83">
        <f>9.115863</f>
        <v>9.1158629999999992</v>
      </c>
      <c r="BR83">
        <f>9.386991624</f>
        <v>9.3869916240000002</v>
      </c>
      <c r="BS83">
        <f>10.28165139</f>
        <v>10.28165139</v>
      </c>
      <c r="BT83">
        <f>10.09081736</f>
        <v>10.090817360000001</v>
      </c>
      <c r="BU83">
        <f>9.173469324</f>
        <v>9.1734693239999991</v>
      </c>
      <c r="BV83">
        <f>8.431270216</f>
        <v>8.4312702159999997</v>
      </c>
      <c r="BW83">
        <f>9.95978725</f>
        <v>9.9597872499999998</v>
      </c>
      <c r="BX83">
        <f>8.850045406</f>
        <v>8.8500454059999996</v>
      </c>
      <c r="BY83">
        <f>7.272214297</f>
        <v>7.2722142969999997</v>
      </c>
      <c r="BZ83">
        <f>7.047306465</f>
        <v>7.0473064650000001</v>
      </c>
      <c r="CA83">
        <f>7.712296726</f>
        <v>7.7122967259999999</v>
      </c>
      <c r="CB83">
        <f>7.162871848</f>
        <v>7.162871848</v>
      </c>
      <c r="CC83">
        <f>8.376134704</f>
        <v>8.376134704</v>
      </c>
      <c r="CD83">
        <f>8.72592901</f>
        <v>8.7259290099999998</v>
      </c>
      <c r="CE83">
        <f>7.750205086</f>
        <v>7.7502050860000002</v>
      </c>
      <c r="CF83">
        <f>6.909343596</f>
        <v>6.9093435960000003</v>
      </c>
      <c r="CG83">
        <f>6.776564937</f>
        <v>6.7765649369999998</v>
      </c>
      <c r="CH83" t="str">
        <f>""</f>
        <v/>
      </c>
      <c r="CI83" t="str">
        <f>""</f>
        <v/>
      </c>
      <c r="CJ83" t="str">
        <f>""</f>
        <v/>
      </c>
      <c r="CK83" t="str">
        <f>""</f>
        <v/>
      </c>
      <c r="CL83" t="str">
        <f>""</f>
        <v/>
      </c>
      <c r="CM83" t="str">
        <f>""</f>
        <v/>
      </c>
      <c r="CN83" t="str">
        <f>""</f>
        <v/>
      </c>
      <c r="CO83" t="str">
        <f>""</f>
        <v/>
      </c>
      <c r="CP83" t="str">
        <f>""</f>
        <v/>
      </c>
      <c r="CQ83" t="str">
        <f>""</f>
        <v/>
      </c>
      <c r="CR83" t="str">
        <f>""</f>
        <v/>
      </c>
      <c r="CS83" t="str">
        <f>""</f>
        <v/>
      </c>
      <c r="CT83" t="str">
        <f>""</f>
        <v/>
      </c>
      <c r="CU83" t="str">
        <f>""</f>
        <v/>
      </c>
      <c r="CV83" t="str">
        <f>""</f>
        <v/>
      </c>
      <c r="CW83" t="str">
        <f>""</f>
        <v/>
      </c>
      <c r="CX83" t="str">
        <f>""</f>
        <v/>
      </c>
      <c r="CY83" t="str">
        <f>""</f>
        <v/>
      </c>
      <c r="CZ83" t="str">
        <f>""</f>
        <v/>
      </c>
      <c r="DA83" t="str">
        <f>""</f>
        <v/>
      </c>
      <c r="DB83" t="str">
        <f>""</f>
        <v/>
      </c>
      <c r="DC83" t="str">
        <f>""</f>
        <v/>
      </c>
      <c r="DD83" t="str">
        <f>""</f>
        <v/>
      </c>
      <c r="DE83" t="str">
        <f>""</f>
        <v/>
      </c>
      <c r="DF83" t="str">
        <f>""</f>
        <v/>
      </c>
      <c r="DG83" t="str">
        <f>""</f>
        <v/>
      </c>
      <c r="DH83" t="str">
        <f>""</f>
        <v/>
      </c>
      <c r="DI83" t="str">
        <f>""</f>
        <v/>
      </c>
      <c r="DJ83" t="str">
        <f>""</f>
        <v/>
      </c>
      <c r="DK83" t="str">
        <f>""</f>
        <v/>
      </c>
      <c r="DL83" t="str">
        <f>""</f>
        <v/>
      </c>
      <c r="DM83" t="str">
        <f>""</f>
        <v/>
      </c>
      <c r="DN83" t="str">
        <f>""</f>
        <v/>
      </c>
      <c r="DO83" t="str">
        <f>""</f>
        <v/>
      </c>
      <c r="DP83" t="str">
        <f>""</f>
        <v/>
      </c>
      <c r="DQ83" t="str">
        <f>""</f>
        <v/>
      </c>
      <c r="DR83" t="str">
        <f>""</f>
        <v/>
      </c>
      <c r="DS83" t="str">
        <f>""</f>
        <v/>
      </c>
      <c r="DT83" t="str">
        <f>""</f>
        <v/>
      </c>
      <c r="DU83" t="str">
        <f>""</f>
        <v/>
      </c>
    </row>
    <row r="84" spans="1:125" x14ac:dyDescent="0.25">
      <c r="A84" t="str">
        <f>"    Volkswagen AG"</f>
        <v xml:space="preserve">    Volkswagen AG</v>
      </c>
      <c r="B84" t="str">
        <f>"VOW GR Equity"</f>
        <v>VOW GR Equity</v>
      </c>
      <c r="C84" t="str">
        <f t="shared" si="3"/>
        <v>EZ009</v>
      </c>
      <c r="D84" t="str">
        <f t="shared" si="4"/>
        <v>BEST_EST_PE_CUR_YR</v>
      </c>
      <c r="E84" t="str">
        <f t="shared" si="5"/>
        <v>Dynamic</v>
      </c>
      <c r="F84">
        <f ca="1">IF(AND(ISNUMBER($F$757),$B$677=1),$F$757,HLOOKUP(INDIRECT(ADDRESS(2,COLUMN())),OFFSET($BN$2,0,0,ROW()-1,60),ROW()-1,FALSE))</f>
        <v>5.6306385700000003</v>
      </c>
      <c r="G84">
        <f ca="1">IF(AND(ISNUMBER($G$757),$B$677=1),$G$757,HLOOKUP(INDIRECT(ADDRESS(2,COLUMN())),OFFSET($BN$2,0,0,ROW()-1,60),ROW()-1,FALSE))</f>
        <v>4.9084300790000004</v>
      </c>
      <c r="H84">
        <f ca="1">IF(AND(ISNUMBER($H$757),$B$677=1),$H$757,HLOOKUP(INDIRECT(ADDRESS(2,COLUMN())),OFFSET($BN$2,0,0,ROW()-1,60),ROW()-1,FALSE))</f>
        <v>5.2338217770000002</v>
      </c>
      <c r="I84">
        <f ca="1">IF(AND(ISNUMBER($I$757),$B$677=1),$I$757,HLOOKUP(INDIRECT(ADDRESS(2,COLUMN())),OFFSET($BN$2,0,0,ROW()-1,60),ROW()-1,FALSE))</f>
        <v>4.9504950499999998</v>
      </c>
      <c r="J84">
        <f ca="1">IF(AND(ISNUMBER($J$757),$B$677=1),$J$757,HLOOKUP(INDIRECT(ADDRESS(2,COLUMN())),OFFSET($BN$2,0,0,ROW()-1,60),ROW()-1,FALSE))</f>
        <v>5.7806955289999999</v>
      </c>
      <c r="K84">
        <f ca="1">IF(AND(ISNUMBER($K$757),$B$677=1),$K$757,HLOOKUP(INDIRECT(ADDRESS(2,COLUMN())),OFFSET($BN$2,0,0,ROW()-1,60),ROW()-1,FALSE))</f>
        <v>6.0900328510000001</v>
      </c>
      <c r="L84">
        <f ca="1">IF(AND(ISNUMBER($L$757),$B$677=1),$L$757,HLOOKUP(INDIRECT(ADDRESS(2,COLUMN())),OFFSET($BN$2,0,0,ROW()-1,60),ROW()-1,FALSE))</f>
        <v>5.5297667400000003</v>
      </c>
      <c r="M84">
        <f ca="1">IF(AND(ISNUMBER($M$757),$B$677=1),$M$757,HLOOKUP(INDIRECT(ADDRESS(2,COLUMN())),OFFSET($BN$2,0,0,ROW()-1,60),ROW()-1,FALSE))</f>
        <v>5.2308874379999999</v>
      </c>
      <c r="N84">
        <f ca="1">IF(AND(ISNUMBER($N$757),$B$677=1),$N$757,HLOOKUP(INDIRECT(ADDRESS(2,COLUMN())),OFFSET($BN$2,0,0,ROW()-1,60),ROW()-1,FALSE))</f>
        <v>5.723185376</v>
      </c>
      <c r="O84">
        <f ca="1">IF(AND(ISNUMBER($O$757),$B$677=1),$O$757,HLOOKUP(INDIRECT(ADDRESS(2,COLUMN())),OFFSET($BN$2,0,0,ROW()-1,60),ROW()-1,FALSE))</f>
        <v>6.6935878610000001</v>
      </c>
      <c r="P84">
        <f ca="1">IF(AND(ISNUMBER($P$757),$B$677=1),$P$757,HLOOKUP(INDIRECT(ADDRESS(2,COLUMN())),OFFSET($BN$2,0,0,ROW()-1,60),ROW()-1,FALSE))</f>
        <v>3.8430023919999998</v>
      </c>
      <c r="Q84">
        <f ca="1">IF(AND(ISNUMBER($Q$757),$B$677=1),$Q$757,HLOOKUP(INDIRECT(ADDRESS(2,COLUMN())),OFFSET($BN$2,0,0,ROW()-1,60),ROW()-1,FALSE))</f>
        <v>4.6168683809999997</v>
      </c>
      <c r="R84">
        <f ca="1">IF(AND(ISNUMBER($R$757),$B$677=1),$R$757,HLOOKUP(INDIRECT(ADDRESS(2,COLUMN())),OFFSET($BN$2,0,0,ROW()-1,60),ROW()-1,FALSE))</f>
        <v>5.1359177950000001</v>
      </c>
      <c r="S84">
        <f ca="1">IF(AND(ISNUMBER($S$757),$B$677=1),$S$757,HLOOKUP(INDIRECT(ADDRESS(2,COLUMN())),OFFSET($BN$2,0,0,ROW()-1,60),ROW()-1,FALSE))</f>
        <v>5.1390393640000003</v>
      </c>
      <c r="T84">
        <f ca="1">IF(AND(ISNUMBER($T$757),$B$677=1),$T$757,HLOOKUP(INDIRECT(ADDRESS(2,COLUMN())),OFFSET($BN$2,0,0,ROW()-1,60),ROW()-1,FALSE))</f>
        <v>4.8174030659999998</v>
      </c>
      <c r="U84">
        <f ca="1">IF(AND(ISNUMBER($U$757),$B$677=1),$U$757,HLOOKUP(INDIRECT(ADDRESS(2,COLUMN())),OFFSET($BN$2,0,0,ROW()-1,60),ROW()-1,FALSE))</f>
        <v>7.0389830509999998</v>
      </c>
      <c r="V84">
        <f ca="1">IF(AND(ISNUMBER($V$757),$B$677=1),$V$757,HLOOKUP(INDIRECT(ADDRESS(2,COLUMN())),OFFSET($BN$2,0,0,ROW()-1,60),ROW()-1,FALSE))</f>
        <v>8.0688933869999993</v>
      </c>
      <c r="W84" t="str">
        <f ca="1">IF(AND(ISNUMBER($W$757),$B$677=1),$W$757,HLOOKUP(INDIRECT(ADDRESS(2,COLUMN())),OFFSET($BN$2,0,0,ROW()-1,60),ROW()-1,FALSE))</f>
        <v/>
      </c>
      <c r="X84" t="str">
        <f ca="1">IF(AND(ISNUMBER($X$757),$B$677=1),$X$757,HLOOKUP(INDIRECT(ADDRESS(2,COLUMN())),OFFSET($BN$2,0,0,ROW()-1,60),ROW()-1,FALSE))</f>
        <v/>
      </c>
      <c r="Y84" t="str">
        <f ca="1">IF(AND(ISNUMBER($Y$757),$B$677=1),$Y$757,HLOOKUP(INDIRECT(ADDRESS(2,COLUMN())),OFFSET($BN$2,0,0,ROW()-1,60),ROW()-1,FALSE))</f>
        <v/>
      </c>
      <c r="Z84" t="str">
        <f ca="1">IF(AND(ISNUMBER($Z$757),$B$677=1),$Z$757,HLOOKUP(INDIRECT(ADDRESS(2,COLUMN())),OFFSET($BN$2,0,0,ROW()-1,60),ROW()-1,FALSE))</f>
        <v/>
      </c>
      <c r="AA84" t="str">
        <f ca="1">IF(AND(ISNUMBER($AA$757),$B$677=1),$AA$757,HLOOKUP(INDIRECT(ADDRESS(2,COLUMN())),OFFSET($BN$2,0,0,ROW()-1,60),ROW()-1,FALSE))</f>
        <v/>
      </c>
      <c r="AB84" t="str">
        <f ca="1">IF(AND(ISNUMBER($AB$757),$B$677=1),$AB$757,HLOOKUP(INDIRECT(ADDRESS(2,COLUMN())),OFFSET($BN$2,0,0,ROW()-1,60),ROW()-1,FALSE))</f>
        <v/>
      </c>
      <c r="AC84" t="str">
        <f ca="1">IF(AND(ISNUMBER($AC$757),$B$677=1),$AC$757,HLOOKUP(INDIRECT(ADDRESS(2,COLUMN())),OFFSET($BN$2,0,0,ROW()-1,60),ROW()-1,FALSE))</f>
        <v/>
      </c>
      <c r="AD84" t="str">
        <f ca="1">IF(AND(ISNUMBER($AD$757),$B$677=1),$AD$757,HLOOKUP(INDIRECT(ADDRESS(2,COLUMN())),OFFSET($BN$2,0,0,ROW()-1,60),ROW()-1,FALSE))</f>
        <v/>
      </c>
      <c r="AE84" t="str">
        <f ca="1">IF(AND(ISNUMBER($AE$757),$B$677=1),$AE$757,HLOOKUP(INDIRECT(ADDRESS(2,COLUMN())),OFFSET($BN$2,0,0,ROW()-1,60),ROW()-1,FALSE))</f>
        <v/>
      </c>
      <c r="AF84" t="str">
        <f ca="1">IF(AND(ISNUMBER($AF$757),$B$677=1),$AF$757,HLOOKUP(INDIRECT(ADDRESS(2,COLUMN())),OFFSET($BN$2,0,0,ROW()-1,60),ROW()-1,FALSE))</f>
        <v/>
      </c>
      <c r="AG84" t="str">
        <f ca="1">IF(AND(ISNUMBER($AG$757),$B$677=1),$AG$757,HLOOKUP(INDIRECT(ADDRESS(2,COLUMN())),OFFSET($BN$2,0,0,ROW()-1,60),ROW()-1,FALSE))</f>
        <v/>
      </c>
      <c r="AH84" t="str">
        <f ca="1">IF(AND(ISNUMBER($AH$757),$B$677=1),$AH$757,HLOOKUP(INDIRECT(ADDRESS(2,COLUMN())),OFFSET($BN$2,0,0,ROW()-1,60),ROW()-1,FALSE))</f>
        <v/>
      </c>
      <c r="AI84" t="str">
        <f ca="1">IF(AND(ISNUMBER($AI$757),$B$677=1),$AI$757,HLOOKUP(INDIRECT(ADDRESS(2,COLUMN())),OFFSET($BN$2,0,0,ROW()-1,60),ROW()-1,FALSE))</f>
        <v/>
      </c>
      <c r="AJ84" t="str">
        <f ca="1">IF(AND(ISNUMBER($AJ$757),$B$677=1),$AJ$757,HLOOKUP(INDIRECT(ADDRESS(2,COLUMN())),OFFSET($BN$2,0,0,ROW()-1,60),ROW()-1,FALSE))</f>
        <v/>
      </c>
      <c r="AK84" t="str">
        <f ca="1">IF(AND(ISNUMBER($AK$757),$B$677=1),$AK$757,HLOOKUP(INDIRECT(ADDRESS(2,COLUMN())),OFFSET($BN$2,0,0,ROW()-1,60),ROW()-1,FALSE))</f>
        <v/>
      </c>
      <c r="AL84" t="str">
        <f ca="1">IF(AND(ISNUMBER($AL$757),$B$677=1),$AL$757,HLOOKUP(INDIRECT(ADDRESS(2,COLUMN())),OFFSET($BN$2,0,0,ROW()-1,60),ROW()-1,FALSE))</f>
        <v/>
      </c>
      <c r="AM84" t="str">
        <f ca="1">IF(AND(ISNUMBER($AM$757),$B$677=1),$AM$757,HLOOKUP(INDIRECT(ADDRESS(2,COLUMN())),OFFSET($BN$2,0,0,ROW()-1,60),ROW()-1,FALSE))</f>
        <v/>
      </c>
      <c r="AN84" t="str">
        <f ca="1">IF(AND(ISNUMBER($AN$757),$B$677=1),$AN$757,HLOOKUP(INDIRECT(ADDRESS(2,COLUMN())),OFFSET($BN$2,0,0,ROW()-1,60),ROW()-1,FALSE))</f>
        <v/>
      </c>
      <c r="AO84" t="str">
        <f ca="1">IF(AND(ISNUMBER($AO$757),$B$677=1),$AO$757,HLOOKUP(INDIRECT(ADDRESS(2,COLUMN())),OFFSET($BN$2,0,0,ROW()-1,60),ROW()-1,FALSE))</f>
        <v/>
      </c>
      <c r="AP84" t="str">
        <f ca="1">IF(AND(ISNUMBER($AP$757),$B$677=1),$AP$757,HLOOKUP(INDIRECT(ADDRESS(2,COLUMN())),OFFSET($BN$2,0,0,ROW()-1,60),ROW()-1,FALSE))</f>
        <v/>
      </c>
      <c r="AQ84" t="str">
        <f ca="1">IF(AND(ISNUMBER($AQ$757),$B$677=1),$AQ$757,HLOOKUP(INDIRECT(ADDRESS(2,COLUMN())),OFFSET($BN$2,0,0,ROW()-1,60),ROW()-1,FALSE))</f>
        <v/>
      </c>
      <c r="AR84" t="str">
        <f ca="1">IF(AND(ISNUMBER($AR$757),$B$677=1),$AR$757,HLOOKUP(INDIRECT(ADDRESS(2,COLUMN())),OFFSET($BN$2,0,0,ROW()-1,60),ROW()-1,FALSE))</f>
        <v/>
      </c>
      <c r="AS84" t="str">
        <f ca="1">IF(AND(ISNUMBER($AS$757),$B$677=1),$AS$757,HLOOKUP(INDIRECT(ADDRESS(2,COLUMN())),OFFSET($BN$2,0,0,ROW()-1,60),ROW()-1,FALSE))</f>
        <v/>
      </c>
      <c r="AT84" t="str">
        <f ca="1">IF(AND(ISNUMBER($AT$757),$B$677=1),$AT$757,HLOOKUP(INDIRECT(ADDRESS(2,COLUMN())),OFFSET($BN$2,0,0,ROW()-1,60),ROW()-1,FALSE))</f>
        <v/>
      </c>
      <c r="AU84" t="str">
        <f ca="1">IF(AND(ISNUMBER($AU$757),$B$677=1),$AU$757,HLOOKUP(INDIRECT(ADDRESS(2,COLUMN())),OFFSET($BN$2,0,0,ROW()-1,60),ROW()-1,FALSE))</f>
        <v/>
      </c>
      <c r="AV84" t="str">
        <f ca="1">IF(AND(ISNUMBER($AV$757),$B$677=1),$AV$757,HLOOKUP(INDIRECT(ADDRESS(2,COLUMN())),OFFSET($BN$2,0,0,ROW()-1,60),ROW()-1,FALSE))</f>
        <v/>
      </c>
      <c r="AW84" t="str">
        <f ca="1">IF(AND(ISNUMBER($AW$757),$B$677=1),$AW$757,HLOOKUP(INDIRECT(ADDRESS(2,COLUMN())),OFFSET($BN$2,0,0,ROW()-1,60),ROW()-1,FALSE))</f>
        <v/>
      </c>
      <c r="AX84" t="str">
        <f ca="1">IF(AND(ISNUMBER($AX$757),$B$677=1),$AX$757,HLOOKUP(INDIRECT(ADDRESS(2,COLUMN())),OFFSET($BN$2,0,0,ROW()-1,60),ROW()-1,FALSE))</f>
        <v/>
      </c>
      <c r="AY84" t="str">
        <f ca="1">IF(AND(ISNUMBER($AY$757),$B$677=1),$AY$757,HLOOKUP(INDIRECT(ADDRESS(2,COLUMN())),OFFSET($BN$2,0,0,ROW()-1,60),ROW()-1,FALSE))</f>
        <v/>
      </c>
      <c r="AZ84" t="str">
        <f ca="1">IF(AND(ISNUMBER($AZ$757),$B$677=1),$AZ$757,HLOOKUP(INDIRECT(ADDRESS(2,COLUMN())),OFFSET($BN$2,0,0,ROW()-1,60),ROW()-1,FALSE))</f>
        <v/>
      </c>
      <c r="BA84" t="str">
        <f ca="1">IF(AND(ISNUMBER($BA$757),$B$677=1),$BA$757,HLOOKUP(INDIRECT(ADDRESS(2,COLUMN())),OFFSET($BN$2,0,0,ROW()-1,60),ROW()-1,FALSE))</f>
        <v/>
      </c>
      <c r="BB84" t="str">
        <f ca="1">IF(AND(ISNUMBER($BB$757),$B$677=1),$BB$757,HLOOKUP(INDIRECT(ADDRESS(2,COLUMN())),OFFSET($BN$2,0,0,ROW()-1,60),ROW()-1,FALSE))</f>
        <v/>
      </c>
      <c r="BC84" t="str">
        <f ca="1">IF(AND(ISNUMBER($BC$757),$B$677=1),$BC$757,HLOOKUP(INDIRECT(ADDRESS(2,COLUMN())),OFFSET($BN$2,0,0,ROW()-1,60),ROW()-1,FALSE))</f>
        <v/>
      </c>
      <c r="BD84" t="str">
        <f ca="1">IF(AND(ISNUMBER($BD$757),$B$677=1),$BD$757,HLOOKUP(INDIRECT(ADDRESS(2,COLUMN())),OFFSET($BN$2,0,0,ROW()-1,60),ROW()-1,FALSE))</f>
        <v/>
      </c>
      <c r="BE84" t="str">
        <f ca="1">IF(AND(ISNUMBER($BE$757),$B$677=1),$BE$757,HLOOKUP(INDIRECT(ADDRESS(2,COLUMN())),OFFSET($BN$2,0,0,ROW()-1,60),ROW()-1,FALSE))</f>
        <v/>
      </c>
      <c r="BF84" t="str">
        <f ca="1">IF(AND(ISNUMBER($BF$757),$B$677=1),$BF$757,HLOOKUP(INDIRECT(ADDRESS(2,COLUMN())),OFFSET($BN$2,0,0,ROW()-1,60),ROW()-1,FALSE))</f>
        <v/>
      </c>
      <c r="BG84" t="str">
        <f ca="1">IF(AND(ISNUMBER($BG$757),$B$677=1),$BG$757,HLOOKUP(INDIRECT(ADDRESS(2,COLUMN())),OFFSET($BN$2,0,0,ROW()-1,60),ROW()-1,FALSE))</f>
        <v/>
      </c>
      <c r="BH84" t="str">
        <f ca="1">IF(AND(ISNUMBER($BH$757),$B$677=1),$BH$757,HLOOKUP(INDIRECT(ADDRESS(2,COLUMN())),OFFSET($BN$2,0,0,ROW()-1,60),ROW()-1,FALSE))</f>
        <v/>
      </c>
      <c r="BI84" t="str">
        <f ca="1">IF(AND(ISNUMBER($BI$757),$B$677=1),$BI$757,HLOOKUP(INDIRECT(ADDRESS(2,COLUMN())),OFFSET($BN$2,0,0,ROW()-1,60),ROW()-1,FALSE))</f>
        <v/>
      </c>
      <c r="BJ84" t="str">
        <f ca="1">IF(AND(ISNUMBER($BJ$757),$B$677=1),$BJ$757,HLOOKUP(INDIRECT(ADDRESS(2,COLUMN())),OFFSET($BN$2,0,0,ROW()-1,60),ROW()-1,FALSE))</f>
        <v/>
      </c>
      <c r="BK84" t="str">
        <f ca="1">IF(AND(ISNUMBER($BK$757),$B$677=1),$BK$757,HLOOKUP(INDIRECT(ADDRESS(2,COLUMN())),OFFSET($BN$2,0,0,ROW()-1,60),ROW()-1,FALSE))</f>
        <v/>
      </c>
      <c r="BL84" t="str">
        <f ca="1">IF(AND(ISNUMBER($BL$757),$B$677=1),$BL$757,HLOOKUP(INDIRECT(ADDRESS(2,COLUMN())),OFFSET($BN$2,0,0,ROW()-1,60),ROW()-1,FALSE))</f>
        <v/>
      </c>
      <c r="BM84" t="str">
        <f ca="1">IF(AND(ISNUMBER($BM$757),$B$677=1),$BM$757,HLOOKUP(INDIRECT(ADDRESS(2,COLUMN())),OFFSET($BN$2,0,0,ROW()-1,60),ROW()-1,FALSE))</f>
        <v/>
      </c>
      <c r="BN84">
        <f>5.63063857</f>
        <v>5.6306385700000003</v>
      </c>
      <c r="BO84">
        <f>4.908430079</f>
        <v>4.9084300790000004</v>
      </c>
      <c r="BP84">
        <f>5.233821777</f>
        <v>5.2338217770000002</v>
      </c>
      <c r="BQ84">
        <f>4.95049505</f>
        <v>4.9504950499999998</v>
      </c>
      <c r="BR84">
        <f>5.780695529</f>
        <v>5.7806955289999999</v>
      </c>
      <c r="BS84">
        <f>6.090032851</f>
        <v>6.0900328510000001</v>
      </c>
      <c r="BT84">
        <f>5.52976674</f>
        <v>5.5297667400000003</v>
      </c>
      <c r="BU84">
        <f>5.230887438</f>
        <v>5.2308874379999999</v>
      </c>
      <c r="BV84">
        <f>5.723185376</f>
        <v>5.723185376</v>
      </c>
      <c r="BW84">
        <f>6.693587861</f>
        <v>6.6935878610000001</v>
      </c>
      <c r="BX84">
        <f>3.843002392</f>
        <v>3.8430023919999998</v>
      </c>
      <c r="BY84">
        <f>4.616868381</f>
        <v>4.6168683809999997</v>
      </c>
      <c r="BZ84">
        <f>5.135917795</f>
        <v>5.1359177950000001</v>
      </c>
      <c r="CA84">
        <f>5.139039364</f>
        <v>5.1390393640000003</v>
      </c>
      <c r="CB84">
        <f>4.817403066</f>
        <v>4.8174030659999998</v>
      </c>
      <c r="CC84">
        <f>7.038983051</f>
        <v>7.0389830509999998</v>
      </c>
      <c r="CD84">
        <f>8.068893387</f>
        <v>8.0688933869999993</v>
      </c>
      <c r="CE84" t="str">
        <f>""</f>
        <v/>
      </c>
      <c r="CF84" t="str">
        <f>""</f>
        <v/>
      </c>
      <c r="CG84" t="str">
        <f>""</f>
        <v/>
      </c>
      <c r="CH84" t="str">
        <f>""</f>
        <v/>
      </c>
      <c r="CI84" t="str">
        <f>""</f>
        <v/>
      </c>
      <c r="CJ84" t="str">
        <f>""</f>
        <v/>
      </c>
      <c r="CK84" t="str">
        <f>""</f>
        <v/>
      </c>
      <c r="CL84" t="str">
        <f>""</f>
        <v/>
      </c>
      <c r="CM84" t="str">
        <f>""</f>
        <v/>
      </c>
      <c r="CN84" t="str">
        <f>""</f>
        <v/>
      </c>
      <c r="CO84" t="str">
        <f>""</f>
        <v/>
      </c>
      <c r="CP84" t="str">
        <f>""</f>
        <v/>
      </c>
      <c r="CQ84" t="str">
        <f>""</f>
        <v/>
      </c>
      <c r="CR84" t="str">
        <f>""</f>
        <v/>
      </c>
      <c r="CS84" t="str">
        <f>""</f>
        <v/>
      </c>
      <c r="CT84" t="str">
        <f>""</f>
        <v/>
      </c>
      <c r="CU84" t="str">
        <f>""</f>
        <v/>
      </c>
      <c r="CV84" t="str">
        <f>""</f>
        <v/>
      </c>
      <c r="CW84" t="str">
        <f>""</f>
        <v/>
      </c>
      <c r="CX84" t="str">
        <f>""</f>
        <v/>
      </c>
      <c r="CY84" t="str">
        <f>""</f>
        <v/>
      </c>
      <c r="CZ84" t="str">
        <f>""</f>
        <v/>
      </c>
      <c r="DA84" t="str">
        <f>""</f>
        <v/>
      </c>
      <c r="DB84" t="str">
        <f>""</f>
        <v/>
      </c>
      <c r="DC84" t="str">
        <f>""</f>
        <v/>
      </c>
      <c r="DD84" t="str">
        <f>""</f>
        <v/>
      </c>
      <c r="DE84" t="str">
        <f>""</f>
        <v/>
      </c>
      <c r="DF84" t="str">
        <f>""</f>
        <v/>
      </c>
      <c r="DG84" t="str">
        <f>""</f>
        <v/>
      </c>
      <c r="DH84" t="str">
        <f>""</f>
        <v/>
      </c>
      <c r="DI84" t="str">
        <f>""</f>
        <v/>
      </c>
      <c r="DJ84" t="str">
        <f>""</f>
        <v/>
      </c>
      <c r="DK84" t="str">
        <f>""</f>
        <v/>
      </c>
      <c r="DL84" t="str">
        <f>""</f>
        <v/>
      </c>
      <c r="DM84" t="str">
        <f>""</f>
        <v/>
      </c>
      <c r="DN84" t="str">
        <f>""</f>
        <v/>
      </c>
      <c r="DO84" t="str">
        <f>""</f>
        <v/>
      </c>
      <c r="DP84" t="str">
        <f>""</f>
        <v/>
      </c>
      <c r="DQ84" t="str">
        <f>""</f>
        <v/>
      </c>
      <c r="DR84" t="str">
        <f>""</f>
        <v/>
      </c>
      <c r="DS84" t="str">
        <f>""</f>
        <v/>
      </c>
      <c r="DT84" t="str">
        <f>""</f>
        <v/>
      </c>
      <c r="DU84" t="str">
        <f>""</f>
        <v/>
      </c>
    </row>
    <row r="85" spans="1:125" x14ac:dyDescent="0.25">
      <c r="A85" t="str">
        <f>"    Yulon Motor Co Ltd"</f>
        <v xml:space="preserve">    Yulon Motor Co Ltd</v>
      </c>
      <c r="B85" t="str">
        <f>"2201 TT Equity"</f>
        <v>2201 TT Equity</v>
      </c>
      <c r="C85" t="str">
        <f t="shared" si="3"/>
        <v>EZ009</v>
      </c>
      <c r="D85" t="str">
        <f t="shared" si="4"/>
        <v>BEST_EST_PE_CUR_YR</v>
      </c>
      <c r="E85" t="str">
        <f t="shared" si="5"/>
        <v>Dynamic</v>
      </c>
      <c r="F85">
        <f ca="1">IF(AND(ISNUMBER($F$758),$B$677=1),$F$758,HLOOKUP(INDIRECT(ADDRESS(2,COLUMN())),OFFSET($BN$2,0,0,ROW()-1,60),ROW()-1,FALSE))</f>
        <v>11.93935565</v>
      </c>
      <c r="G85">
        <f ca="1">IF(AND(ISNUMBER($G$758),$B$677=1),$G$758,HLOOKUP(INDIRECT(ADDRESS(2,COLUMN())),OFFSET($BN$2,0,0,ROW()-1,60),ROW()-1,FALSE))</f>
        <v>11.4971573</v>
      </c>
      <c r="H85">
        <f ca="1">IF(AND(ISNUMBER($H$758),$B$677=1),$H$758,HLOOKUP(INDIRECT(ADDRESS(2,COLUMN())),OFFSET($BN$2,0,0,ROW()-1,60),ROW()-1,FALSE))</f>
        <v>12.840236689999999</v>
      </c>
      <c r="I85">
        <f ca="1">IF(AND(ISNUMBER($I$758),$B$677=1),$I$758,HLOOKUP(INDIRECT(ADDRESS(2,COLUMN())),OFFSET($BN$2,0,0,ROW()-1,60),ROW()-1,FALSE))</f>
        <v>12.448377580000001</v>
      </c>
      <c r="J85">
        <f ca="1">IF(AND(ISNUMBER($J$758),$B$677=1),$J$758,HLOOKUP(INDIRECT(ADDRESS(2,COLUMN())),OFFSET($BN$2,0,0,ROW()-1,60),ROW()-1,FALSE))</f>
        <v>13.116656989999999</v>
      </c>
      <c r="K85">
        <f ca="1">IF(AND(ISNUMBER($K$758),$B$677=1),$K$758,HLOOKUP(INDIRECT(ADDRESS(2,COLUMN())),OFFSET($BN$2,0,0,ROW()-1,60),ROW()-1,FALSE))</f>
        <v>13.95953757</v>
      </c>
      <c r="L85" t="str">
        <f ca="1">IF(AND(ISNUMBER($L$758),$B$677=1),$L$758,HLOOKUP(INDIRECT(ADDRESS(2,COLUMN())),OFFSET($BN$2,0,0,ROW()-1,60),ROW()-1,FALSE))</f>
        <v/>
      </c>
      <c r="M85">
        <f ca="1">IF(AND(ISNUMBER($M$758),$B$677=1),$M$758,HLOOKUP(INDIRECT(ADDRESS(2,COLUMN())),OFFSET($BN$2,0,0,ROW()-1,60),ROW()-1,FALSE))</f>
        <v>13.4</v>
      </c>
      <c r="N85">
        <f ca="1">IF(AND(ISNUMBER($N$758),$B$677=1),$N$758,HLOOKUP(INDIRECT(ADDRESS(2,COLUMN())),OFFSET($BN$2,0,0,ROW()-1,60),ROW()-1,FALSE))</f>
        <v>14.125</v>
      </c>
      <c r="O85">
        <f ca="1">IF(AND(ISNUMBER($O$758),$B$677=1),$O$758,HLOOKUP(INDIRECT(ADDRESS(2,COLUMN())),OFFSET($BN$2,0,0,ROW()-1,60),ROW()-1,FALSE))</f>
        <v>13.4</v>
      </c>
      <c r="P85">
        <f ca="1">IF(AND(ISNUMBER($P$758),$B$677=1),$P$758,HLOOKUP(INDIRECT(ADDRESS(2,COLUMN())),OFFSET($BN$2,0,0,ROW()-1,60),ROW()-1,FALSE))</f>
        <v>13.775</v>
      </c>
      <c r="Q85">
        <f ca="1">IF(AND(ISNUMBER($Q$758),$B$677=1),$Q$758,HLOOKUP(INDIRECT(ADDRESS(2,COLUMN())),OFFSET($BN$2,0,0,ROW()-1,60),ROW()-1,FALSE))</f>
        <v>13.65</v>
      </c>
      <c r="R85" t="str">
        <f ca="1">IF(AND(ISNUMBER($R$758),$B$677=1),$R$758,HLOOKUP(INDIRECT(ADDRESS(2,COLUMN())),OFFSET($BN$2,0,0,ROW()-1,60),ROW()-1,FALSE))</f>
        <v/>
      </c>
      <c r="S85" t="str">
        <f ca="1">IF(AND(ISNUMBER($S$758),$B$677=1),$S$758,HLOOKUP(INDIRECT(ADDRESS(2,COLUMN())),OFFSET($BN$2,0,0,ROW()-1,60),ROW()-1,FALSE))</f>
        <v/>
      </c>
      <c r="T85" t="str">
        <f ca="1">IF(AND(ISNUMBER($T$758),$B$677=1),$T$758,HLOOKUP(INDIRECT(ADDRESS(2,COLUMN())),OFFSET($BN$2,0,0,ROW()-1,60),ROW()-1,FALSE))</f>
        <v/>
      </c>
      <c r="U85" t="str">
        <f ca="1">IF(AND(ISNUMBER($U$758),$B$677=1),$U$758,HLOOKUP(INDIRECT(ADDRESS(2,COLUMN())),OFFSET($BN$2,0,0,ROW()-1,60),ROW()-1,FALSE))</f>
        <v/>
      </c>
      <c r="V85" t="str">
        <f ca="1">IF(AND(ISNUMBER($V$758),$B$677=1),$V$758,HLOOKUP(INDIRECT(ADDRESS(2,COLUMN())),OFFSET($BN$2,0,0,ROW()-1,60),ROW()-1,FALSE))</f>
        <v/>
      </c>
      <c r="W85" t="str">
        <f ca="1">IF(AND(ISNUMBER($W$758),$B$677=1),$W$758,HLOOKUP(INDIRECT(ADDRESS(2,COLUMN())),OFFSET($BN$2,0,0,ROW()-1,60),ROW()-1,FALSE))</f>
        <v/>
      </c>
      <c r="X85" t="str">
        <f ca="1">IF(AND(ISNUMBER($X$758),$B$677=1),$X$758,HLOOKUP(INDIRECT(ADDRESS(2,COLUMN())),OFFSET($BN$2,0,0,ROW()-1,60),ROW()-1,FALSE))</f>
        <v/>
      </c>
      <c r="Y85" t="str">
        <f ca="1">IF(AND(ISNUMBER($Y$758),$B$677=1),$Y$758,HLOOKUP(INDIRECT(ADDRESS(2,COLUMN())),OFFSET($BN$2,0,0,ROW()-1,60),ROW()-1,FALSE))</f>
        <v/>
      </c>
      <c r="Z85" t="str">
        <f ca="1">IF(AND(ISNUMBER($Z$758),$B$677=1),$Z$758,HLOOKUP(INDIRECT(ADDRESS(2,COLUMN())),OFFSET($BN$2,0,0,ROW()-1,60),ROW()-1,FALSE))</f>
        <v/>
      </c>
      <c r="AA85" t="str">
        <f ca="1">IF(AND(ISNUMBER($AA$758),$B$677=1),$AA$758,HLOOKUP(INDIRECT(ADDRESS(2,COLUMN())),OFFSET($BN$2,0,0,ROW()-1,60),ROW()-1,FALSE))</f>
        <v/>
      </c>
      <c r="AB85" t="str">
        <f ca="1">IF(AND(ISNUMBER($AB$758),$B$677=1),$AB$758,HLOOKUP(INDIRECT(ADDRESS(2,COLUMN())),OFFSET($BN$2,0,0,ROW()-1,60),ROW()-1,FALSE))</f>
        <v/>
      </c>
      <c r="AC85" t="str">
        <f ca="1">IF(AND(ISNUMBER($AC$758),$B$677=1),$AC$758,HLOOKUP(INDIRECT(ADDRESS(2,COLUMN())),OFFSET($BN$2,0,0,ROW()-1,60),ROW()-1,FALSE))</f>
        <v/>
      </c>
      <c r="AD85" t="str">
        <f ca="1">IF(AND(ISNUMBER($AD$758),$B$677=1),$AD$758,HLOOKUP(INDIRECT(ADDRESS(2,COLUMN())),OFFSET($BN$2,0,0,ROW()-1,60),ROW()-1,FALSE))</f>
        <v/>
      </c>
      <c r="AE85" t="str">
        <f ca="1">IF(AND(ISNUMBER($AE$758),$B$677=1),$AE$758,HLOOKUP(INDIRECT(ADDRESS(2,COLUMN())),OFFSET($BN$2,0,0,ROW()-1,60),ROW()-1,FALSE))</f>
        <v/>
      </c>
      <c r="AF85" t="str">
        <f ca="1">IF(AND(ISNUMBER($AF$758),$B$677=1),$AF$758,HLOOKUP(INDIRECT(ADDRESS(2,COLUMN())),OFFSET($BN$2,0,0,ROW()-1,60),ROW()-1,FALSE))</f>
        <v/>
      </c>
      <c r="AG85" t="str">
        <f ca="1">IF(AND(ISNUMBER($AG$758),$B$677=1),$AG$758,HLOOKUP(INDIRECT(ADDRESS(2,COLUMN())),OFFSET($BN$2,0,0,ROW()-1,60),ROW()-1,FALSE))</f>
        <v/>
      </c>
      <c r="AH85" t="str">
        <f ca="1">IF(AND(ISNUMBER($AH$758),$B$677=1),$AH$758,HLOOKUP(INDIRECT(ADDRESS(2,COLUMN())),OFFSET($BN$2,0,0,ROW()-1,60),ROW()-1,FALSE))</f>
        <v/>
      </c>
      <c r="AI85" t="str">
        <f ca="1">IF(AND(ISNUMBER($AI$758),$B$677=1),$AI$758,HLOOKUP(INDIRECT(ADDRESS(2,COLUMN())),OFFSET($BN$2,0,0,ROW()-1,60),ROW()-1,FALSE))</f>
        <v/>
      </c>
      <c r="AJ85" t="str">
        <f ca="1">IF(AND(ISNUMBER($AJ$758),$B$677=1),$AJ$758,HLOOKUP(INDIRECT(ADDRESS(2,COLUMN())),OFFSET($BN$2,0,0,ROW()-1,60),ROW()-1,FALSE))</f>
        <v/>
      </c>
      <c r="AK85" t="str">
        <f ca="1">IF(AND(ISNUMBER($AK$758),$B$677=1),$AK$758,HLOOKUP(INDIRECT(ADDRESS(2,COLUMN())),OFFSET($BN$2,0,0,ROW()-1,60),ROW()-1,FALSE))</f>
        <v/>
      </c>
      <c r="AL85" t="str">
        <f ca="1">IF(AND(ISNUMBER($AL$758),$B$677=1),$AL$758,HLOOKUP(INDIRECT(ADDRESS(2,COLUMN())),OFFSET($BN$2,0,0,ROW()-1,60),ROW()-1,FALSE))</f>
        <v/>
      </c>
      <c r="AM85" t="str">
        <f ca="1">IF(AND(ISNUMBER($AM$758),$B$677=1),$AM$758,HLOOKUP(INDIRECT(ADDRESS(2,COLUMN())),OFFSET($BN$2,0,0,ROW()-1,60),ROW()-1,FALSE))</f>
        <v/>
      </c>
      <c r="AN85" t="str">
        <f ca="1">IF(AND(ISNUMBER($AN$758),$B$677=1),$AN$758,HLOOKUP(INDIRECT(ADDRESS(2,COLUMN())),OFFSET($BN$2,0,0,ROW()-1,60),ROW()-1,FALSE))</f>
        <v/>
      </c>
      <c r="AO85" t="str">
        <f ca="1">IF(AND(ISNUMBER($AO$758),$B$677=1),$AO$758,HLOOKUP(INDIRECT(ADDRESS(2,COLUMN())),OFFSET($BN$2,0,0,ROW()-1,60),ROW()-1,FALSE))</f>
        <v/>
      </c>
      <c r="AP85" t="str">
        <f ca="1">IF(AND(ISNUMBER($AP$758),$B$677=1),$AP$758,HLOOKUP(INDIRECT(ADDRESS(2,COLUMN())),OFFSET($BN$2,0,0,ROW()-1,60),ROW()-1,FALSE))</f>
        <v/>
      </c>
      <c r="AQ85" t="str">
        <f ca="1">IF(AND(ISNUMBER($AQ$758),$B$677=1),$AQ$758,HLOOKUP(INDIRECT(ADDRESS(2,COLUMN())),OFFSET($BN$2,0,0,ROW()-1,60),ROW()-1,FALSE))</f>
        <v/>
      </c>
      <c r="AR85" t="str">
        <f ca="1">IF(AND(ISNUMBER($AR$758),$B$677=1),$AR$758,HLOOKUP(INDIRECT(ADDRESS(2,COLUMN())),OFFSET($BN$2,0,0,ROW()-1,60),ROW()-1,FALSE))</f>
        <v/>
      </c>
      <c r="AS85" t="str">
        <f ca="1">IF(AND(ISNUMBER($AS$758),$B$677=1),$AS$758,HLOOKUP(INDIRECT(ADDRESS(2,COLUMN())),OFFSET($BN$2,0,0,ROW()-1,60),ROW()-1,FALSE))</f>
        <v/>
      </c>
      <c r="AT85" t="str">
        <f ca="1">IF(AND(ISNUMBER($AT$758),$B$677=1),$AT$758,HLOOKUP(INDIRECT(ADDRESS(2,COLUMN())),OFFSET($BN$2,0,0,ROW()-1,60),ROW()-1,FALSE))</f>
        <v/>
      </c>
      <c r="AU85" t="str">
        <f ca="1">IF(AND(ISNUMBER($AU$758),$B$677=1),$AU$758,HLOOKUP(INDIRECT(ADDRESS(2,COLUMN())),OFFSET($BN$2,0,0,ROW()-1,60),ROW()-1,FALSE))</f>
        <v/>
      </c>
      <c r="AV85" t="str">
        <f ca="1">IF(AND(ISNUMBER($AV$758),$B$677=1),$AV$758,HLOOKUP(INDIRECT(ADDRESS(2,COLUMN())),OFFSET($BN$2,0,0,ROW()-1,60),ROW()-1,FALSE))</f>
        <v/>
      </c>
      <c r="AW85" t="str">
        <f ca="1">IF(AND(ISNUMBER($AW$758),$B$677=1),$AW$758,HLOOKUP(INDIRECT(ADDRESS(2,COLUMN())),OFFSET($BN$2,0,0,ROW()-1,60),ROW()-1,FALSE))</f>
        <v/>
      </c>
      <c r="AX85" t="str">
        <f ca="1">IF(AND(ISNUMBER($AX$758),$B$677=1),$AX$758,HLOOKUP(INDIRECT(ADDRESS(2,COLUMN())),OFFSET($BN$2,0,0,ROW()-1,60),ROW()-1,FALSE))</f>
        <v/>
      </c>
      <c r="AY85" t="str">
        <f ca="1">IF(AND(ISNUMBER($AY$758),$B$677=1),$AY$758,HLOOKUP(INDIRECT(ADDRESS(2,COLUMN())),OFFSET($BN$2,0,0,ROW()-1,60),ROW()-1,FALSE))</f>
        <v/>
      </c>
      <c r="AZ85" t="str">
        <f ca="1">IF(AND(ISNUMBER($AZ$758),$B$677=1),$AZ$758,HLOOKUP(INDIRECT(ADDRESS(2,COLUMN())),OFFSET($BN$2,0,0,ROW()-1,60),ROW()-1,FALSE))</f>
        <v/>
      </c>
      <c r="BA85" t="str">
        <f ca="1">IF(AND(ISNUMBER($BA$758),$B$677=1),$BA$758,HLOOKUP(INDIRECT(ADDRESS(2,COLUMN())),OFFSET($BN$2,0,0,ROW()-1,60),ROW()-1,FALSE))</f>
        <v/>
      </c>
      <c r="BB85" t="str">
        <f ca="1">IF(AND(ISNUMBER($BB$758),$B$677=1),$BB$758,HLOOKUP(INDIRECT(ADDRESS(2,COLUMN())),OFFSET($BN$2,0,0,ROW()-1,60),ROW()-1,FALSE))</f>
        <v/>
      </c>
      <c r="BC85" t="str">
        <f ca="1">IF(AND(ISNUMBER($BC$758),$B$677=1),$BC$758,HLOOKUP(INDIRECT(ADDRESS(2,COLUMN())),OFFSET($BN$2,0,0,ROW()-1,60),ROW()-1,FALSE))</f>
        <v/>
      </c>
      <c r="BD85" t="str">
        <f ca="1">IF(AND(ISNUMBER($BD$758),$B$677=1),$BD$758,HLOOKUP(INDIRECT(ADDRESS(2,COLUMN())),OFFSET($BN$2,0,0,ROW()-1,60),ROW()-1,FALSE))</f>
        <v/>
      </c>
      <c r="BE85" t="str">
        <f ca="1">IF(AND(ISNUMBER($BE$758),$B$677=1),$BE$758,HLOOKUP(INDIRECT(ADDRESS(2,COLUMN())),OFFSET($BN$2,0,0,ROW()-1,60),ROW()-1,FALSE))</f>
        <v/>
      </c>
      <c r="BF85" t="str">
        <f ca="1">IF(AND(ISNUMBER($BF$758),$B$677=1),$BF$758,HLOOKUP(INDIRECT(ADDRESS(2,COLUMN())),OFFSET($BN$2,0,0,ROW()-1,60),ROW()-1,FALSE))</f>
        <v/>
      </c>
      <c r="BG85" t="str">
        <f ca="1">IF(AND(ISNUMBER($BG$758),$B$677=1),$BG$758,HLOOKUP(INDIRECT(ADDRESS(2,COLUMN())),OFFSET($BN$2,0,0,ROW()-1,60),ROW()-1,FALSE))</f>
        <v/>
      </c>
      <c r="BH85" t="str">
        <f ca="1">IF(AND(ISNUMBER($BH$758),$B$677=1),$BH$758,HLOOKUP(INDIRECT(ADDRESS(2,COLUMN())),OFFSET($BN$2,0,0,ROW()-1,60),ROW()-1,FALSE))</f>
        <v/>
      </c>
      <c r="BI85" t="str">
        <f ca="1">IF(AND(ISNUMBER($BI$758),$B$677=1),$BI$758,HLOOKUP(INDIRECT(ADDRESS(2,COLUMN())),OFFSET($BN$2,0,0,ROW()-1,60),ROW()-1,FALSE))</f>
        <v/>
      </c>
      <c r="BJ85" t="str">
        <f ca="1">IF(AND(ISNUMBER($BJ$758),$B$677=1),$BJ$758,HLOOKUP(INDIRECT(ADDRESS(2,COLUMN())),OFFSET($BN$2,0,0,ROW()-1,60),ROW()-1,FALSE))</f>
        <v/>
      </c>
      <c r="BK85" t="str">
        <f ca="1">IF(AND(ISNUMBER($BK$758),$B$677=1),$BK$758,HLOOKUP(INDIRECT(ADDRESS(2,COLUMN())),OFFSET($BN$2,0,0,ROW()-1,60),ROW()-1,FALSE))</f>
        <v/>
      </c>
      <c r="BL85" t="str">
        <f ca="1">IF(AND(ISNUMBER($BL$758),$B$677=1),$BL$758,HLOOKUP(INDIRECT(ADDRESS(2,COLUMN())),OFFSET($BN$2,0,0,ROW()-1,60),ROW()-1,FALSE))</f>
        <v/>
      </c>
      <c r="BM85" t="str">
        <f ca="1">IF(AND(ISNUMBER($BM$758),$B$677=1),$BM$758,HLOOKUP(INDIRECT(ADDRESS(2,COLUMN())),OFFSET($BN$2,0,0,ROW()-1,60),ROW()-1,FALSE))</f>
        <v/>
      </c>
      <c r="BN85">
        <f>11.93935565</f>
        <v>11.93935565</v>
      </c>
      <c r="BO85">
        <f>11.4971573</f>
        <v>11.4971573</v>
      </c>
      <c r="BP85">
        <f>12.84023669</f>
        <v>12.840236689999999</v>
      </c>
      <c r="BQ85">
        <f>12.44837758</f>
        <v>12.448377580000001</v>
      </c>
      <c r="BR85">
        <f>13.11665699</f>
        <v>13.116656989999999</v>
      </c>
      <c r="BS85">
        <f>13.95953757</f>
        <v>13.95953757</v>
      </c>
      <c r="BT85" t="str">
        <f>""</f>
        <v/>
      </c>
      <c r="BU85">
        <f>13.4</f>
        <v>13.4</v>
      </c>
      <c r="BV85">
        <f>14.125</f>
        <v>14.125</v>
      </c>
      <c r="BW85">
        <f>13.4</f>
        <v>13.4</v>
      </c>
      <c r="BX85">
        <f>13.775</f>
        <v>13.775</v>
      </c>
      <c r="BY85">
        <f>13.65</f>
        <v>13.65</v>
      </c>
      <c r="BZ85" t="str">
        <f>""</f>
        <v/>
      </c>
      <c r="CA85" t="str">
        <f>""</f>
        <v/>
      </c>
      <c r="CB85" t="str">
        <f>""</f>
        <v/>
      </c>
      <c r="CC85" t="str">
        <f>""</f>
        <v/>
      </c>
      <c r="CD85" t="str">
        <f>""</f>
        <v/>
      </c>
      <c r="CE85" t="str">
        <f>""</f>
        <v/>
      </c>
      <c r="CF85" t="str">
        <f>""</f>
        <v/>
      </c>
      <c r="CG85" t="str">
        <f>""</f>
        <v/>
      </c>
      <c r="CH85" t="str">
        <f>""</f>
        <v/>
      </c>
      <c r="CI85" t="str">
        <f>""</f>
        <v/>
      </c>
      <c r="CJ85" t="str">
        <f>""</f>
        <v/>
      </c>
      <c r="CK85" t="str">
        <f>""</f>
        <v/>
      </c>
      <c r="CL85" t="str">
        <f>""</f>
        <v/>
      </c>
      <c r="CM85" t="str">
        <f>""</f>
        <v/>
      </c>
      <c r="CN85" t="str">
        <f>""</f>
        <v/>
      </c>
      <c r="CO85" t="str">
        <f>""</f>
        <v/>
      </c>
      <c r="CP85" t="str">
        <f>""</f>
        <v/>
      </c>
      <c r="CQ85" t="str">
        <f>""</f>
        <v/>
      </c>
      <c r="CR85" t="str">
        <f>""</f>
        <v/>
      </c>
      <c r="CS85" t="str">
        <f>""</f>
        <v/>
      </c>
      <c r="CT85" t="str">
        <f>""</f>
        <v/>
      </c>
      <c r="CU85" t="str">
        <f>""</f>
        <v/>
      </c>
      <c r="CV85" t="str">
        <f>""</f>
        <v/>
      </c>
      <c r="CW85" t="str">
        <f>""</f>
        <v/>
      </c>
      <c r="CX85" t="str">
        <f>""</f>
        <v/>
      </c>
      <c r="CY85" t="str">
        <f>""</f>
        <v/>
      </c>
      <c r="CZ85" t="str">
        <f>""</f>
        <v/>
      </c>
      <c r="DA85" t="str">
        <f>""</f>
        <v/>
      </c>
      <c r="DB85" t="str">
        <f>""</f>
        <v/>
      </c>
      <c r="DC85" t="str">
        <f>""</f>
        <v/>
      </c>
      <c r="DD85" t="str">
        <f>""</f>
        <v/>
      </c>
      <c r="DE85" t="str">
        <f>""</f>
        <v/>
      </c>
      <c r="DF85" t="str">
        <f>""</f>
        <v/>
      </c>
      <c r="DG85" t="str">
        <f>""</f>
        <v/>
      </c>
      <c r="DH85" t="str">
        <f>""</f>
        <v/>
      </c>
      <c r="DI85" t="str">
        <f>""</f>
        <v/>
      </c>
      <c r="DJ85" t="str">
        <f>""</f>
        <v/>
      </c>
      <c r="DK85" t="str">
        <f>""</f>
        <v/>
      </c>
      <c r="DL85" t="str">
        <f>""</f>
        <v/>
      </c>
      <c r="DM85" t="str">
        <f>""</f>
        <v/>
      </c>
      <c r="DN85" t="str">
        <f>""</f>
        <v/>
      </c>
      <c r="DO85" t="str">
        <f>""</f>
        <v/>
      </c>
      <c r="DP85" t="str">
        <f>""</f>
        <v/>
      </c>
      <c r="DQ85" t="str">
        <f>""</f>
        <v/>
      </c>
      <c r="DR85" t="str">
        <f>""</f>
        <v/>
      </c>
      <c r="DS85" t="str">
        <f>""</f>
        <v/>
      </c>
      <c r="DT85" t="str">
        <f>""</f>
        <v/>
      </c>
      <c r="DU85" t="str">
        <f>""</f>
        <v/>
      </c>
    </row>
    <row r="86" spans="1:125" x14ac:dyDescent="0.25">
      <c r="A86" t="str">
        <f>"P/E FY2"</f>
        <v>P/E FY2</v>
      </c>
      <c r="B86" t="str">
        <f>"BRAUTOCV Index"</f>
        <v>BRAUTOCV Index</v>
      </c>
      <c r="E86" t="str">
        <f>"Average"</f>
        <v>Average</v>
      </c>
      <c r="F86">
        <f ca="1">IF(ISERROR(IF(AVERAGE($F$87:$F$126) = 0, "", AVERAGE($F$87:$F$126))), "", (IF(AVERAGE($F$87:$F$126) = 0, "", AVERAGE($F$87:$F$126))))</f>
        <v>10.148282331999997</v>
      </c>
      <c r="G86">
        <f ca="1">IF(ISERROR(IF(AVERAGE($G$87:$G$126) = 0, "", AVERAGE($G$87:$G$126))), "", (IF(AVERAGE($G$87:$G$126) = 0, "", AVERAGE($G$87:$G$126))))</f>
        <v>9.0183968515161279</v>
      </c>
      <c r="H86">
        <f ca="1">IF(ISERROR(IF(AVERAGE($H$87:$H$126) = 0, "", AVERAGE($H$87:$H$126))), "", (IF(AVERAGE($H$87:$H$126) = 0, "", AVERAGE($H$87:$H$126))))</f>
        <v>9.4518039498666671</v>
      </c>
      <c r="I86">
        <f ca="1">IF(ISERROR(IF(AVERAGE($I$87:$I$126) = 0, "", AVERAGE($I$87:$I$126))), "", (IF(AVERAGE($I$87:$I$126) = 0, "", AVERAGE($I$87:$I$126))))</f>
        <v>8.7981845937666669</v>
      </c>
      <c r="J86">
        <f ca="1">IF(ISERROR(IF(AVERAGE($J$87:$J$126) = 0, "", AVERAGE($J$87:$J$126))), "", (IF(AVERAGE($J$87:$J$126) = 0, "", AVERAGE($J$87:$J$126))))</f>
        <v>9.8979731051666686</v>
      </c>
      <c r="K86">
        <f ca="1">IF(ISERROR(IF(AVERAGE($K$87:$K$126) = 0, "", AVERAGE($K$87:$K$126))), "", (IF(AVERAGE($K$87:$K$126) = 0, "", AVERAGE($K$87:$K$126))))</f>
        <v>10.607959017709675</v>
      </c>
      <c r="L86">
        <f ca="1">IF(ISERROR(IF(AVERAGE($L$87:$L$126) = 0, "", AVERAGE($L$87:$L$126))), "", (IF(AVERAGE($L$87:$L$126) = 0, "", AVERAGE($L$87:$L$126))))</f>
        <v>10.621471792366666</v>
      </c>
      <c r="M86">
        <f ca="1">IF(ISERROR(IF(AVERAGE($M$87:$M$126) = 0, "", AVERAGE($M$87:$M$126))), "", (IF(AVERAGE($M$87:$M$126) = 0, "", AVERAGE($M$87:$M$126))))</f>
        <v>9.4294157173666679</v>
      </c>
      <c r="N86">
        <f ca="1">IF(ISERROR(IF(AVERAGE($N$87:$N$126) = 0, "", AVERAGE($N$87:$N$126))), "", (IF(AVERAGE($N$87:$N$126) = 0, "", AVERAGE($N$87:$N$126))))</f>
        <v>7.5097010301428559</v>
      </c>
      <c r="O86">
        <f ca="1">IF(ISERROR(IF(AVERAGE($O$87:$O$126) = 0, "", AVERAGE($O$87:$O$126))), "", (IF(AVERAGE($O$87:$O$126) = 0, "", AVERAGE($O$87:$O$126))))</f>
        <v>7.5526250783461526</v>
      </c>
      <c r="P86">
        <f ca="1">IF(ISERROR(IF(AVERAGE($P$87:$P$126) = 0, "", AVERAGE($P$87:$P$126))), "", (IF(AVERAGE($P$87:$P$126) = 0, "", AVERAGE($P$87:$P$126))))</f>
        <v>6.8675733937727275</v>
      </c>
      <c r="Q86">
        <f ca="1">IF(ISERROR(IF(AVERAGE($Q$87:$Q$126) = 0, "", AVERAGE($Q$87:$Q$126))), "", (IF(AVERAGE($Q$87:$Q$126) = 0, "", AVERAGE($Q$87:$Q$126))))</f>
        <v>6.6301724591000006</v>
      </c>
      <c r="R86">
        <f ca="1">IF(ISERROR(IF(AVERAGE($R$87:$R$126) = 0, "", AVERAGE($R$87:$R$126))), "", (IF(AVERAGE($R$87:$R$126) = 0, "", AVERAGE($R$87:$R$126))))</f>
        <v>7.0566988655294098</v>
      </c>
      <c r="S86">
        <f ca="1">IF(ISERROR(IF(AVERAGE($S$87:$S$126) = 0, "", AVERAGE($S$87:$S$126))), "", (IF(AVERAGE($S$87:$S$126) = 0, "", AVERAGE($S$87:$S$126))))</f>
        <v>7.5156258044666666</v>
      </c>
      <c r="T86">
        <f ca="1">IF(ISERROR(IF(AVERAGE($T$87:$T$126) = 0, "", AVERAGE($T$87:$T$126))), "", (IF(AVERAGE($T$87:$T$126) = 0, "", AVERAGE($T$87:$T$126))))</f>
        <v>6.4292338540714278</v>
      </c>
      <c r="U86">
        <f ca="1">IF(ISERROR(IF(AVERAGE($U$87:$U$126) = 0, "", AVERAGE($U$87:$U$126))), "", (IF(AVERAGE($U$87:$U$126) = 0, "", AVERAGE($U$87:$U$126))))</f>
        <v>7.8195775199230759</v>
      </c>
      <c r="V86">
        <f ca="1">IF(ISERROR(IF(AVERAGE($V$87:$V$126) = 0, "", AVERAGE($V$87:$V$126))), "", (IF(AVERAGE($V$87:$V$126) = 0, "", AVERAGE($V$87:$V$126))))</f>
        <v>7.0698721558333339</v>
      </c>
      <c r="W86">
        <f ca="1">IF(ISERROR(IF(AVERAGE($W$87:$W$126) = 0, "", AVERAGE($W$87:$W$126))), "", (IF(AVERAGE($W$87:$W$126) = 0, "", AVERAGE($W$87:$W$126))))</f>
        <v>7.642432386666667</v>
      </c>
      <c r="X86">
        <f ca="1">IF(ISERROR(IF(AVERAGE($X$87:$X$126) = 0, "", AVERAGE($X$87:$X$126))), "", (IF(AVERAGE($X$87:$X$126) = 0, "", AVERAGE($X$87:$X$126))))</f>
        <v>7.7684779413333329</v>
      </c>
      <c r="Y86">
        <f ca="1">IF(ISERROR(IF(AVERAGE($Y$87:$Y$126) = 0, "", AVERAGE($Y$87:$Y$126))), "", (IF(AVERAGE($Y$87:$Y$126) = 0, "", AVERAGE($Y$87:$Y$126))))</f>
        <v>8.5176734783333341</v>
      </c>
      <c r="Z86">
        <f ca="1">IF(ISERROR(IF(AVERAGE($Z$87:$Z$126) = 0, "", AVERAGE($Z$87:$Z$126))), "", (IF(AVERAGE($Z$87:$Z$126) = 0, "", AVERAGE($Z$87:$Z$126))))</f>
        <v>8.1119978813333322</v>
      </c>
      <c r="AA86">
        <f ca="1">IF(ISERROR(IF(AVERAGE($AA$87:$AA$126) = 0, "", AVERAGE($AA$87:$AA$126))), "", (IF(AVERAGE($AA$87:$AA$126) = 0, "", AVERAGE($AA$87:$AA$126))))</f>
        <v>5.3907988229999999</v>
      </c>
      <c r="AB86">
        <f ca="1">IF(ISERROR(IF(AVERAGE($AB$87:$AB$126) = 0, "", AVERAGE($AB$87:$AB$126))), "", (IF(AVERAGE($AB$87:$AB$126) = 0, "", AVERAGE($AB$87:$AB$126))))</f>
        <v>9.8652269715000003</v>
      </c>
      <c r="AC86">
        <f ca="1">IF(ISERROR(IF(AVERAGE($AC$87:$AC$126) = 0, "", AVERAGE($AC$87:$AC$126))), "", (IF(AVERAGE($AC$87:$AC$126) = 0, "", AVERAGE($AC$87:$AC$126))))</f>
        <v>7.8750301599999997</v>
      </c>
      <c r="AD86">
        <f ca="1">IF(ISERROR(IF(AVERAGE($AD$87:$AD$126) = 0, "", AVERAGE($AD$87:$AD$126))), "", (IF(AVERAGE($AD$87:$AD$126) = 0, "", AVERAGE($AD$87:$AD$126))))</f>
        <v>2.6988850515</v>
      </c>
      <c r="AE86">
        <f ca="1">IF(ISERROR(IF(AVERAGE($AE$87:$AE$126) = 0, "", AVERAGE($AE$87:$AE$126))), "", (IF(AVERAGE($AE$87:$AE$126) = 0, "", AVERAGE($AE$87:$AE$126))))</f>
        <v>2.5399580319999999</v>
      </c>
      <c r="AF86">
        <f ca="1">IF(ISERROR(IF(AVERAGE($AF$87:$AF$126) = 0, "", AVERAGE($AF$87:$AF$126))), "", (IF(AVERAGE($AF$87:$AF$126) = 0, "", AVERAGE($AF$87:$AF$126))))</f>
        <v>1.7001516745</v>
      </c>
      <c r="AG86">
        <f ca="1">IF(ISERROR(IF(AVERAGE($AG$87:$AG$126) = 0, "", AVERAGE($AG$87:$AG$126))), "", (IF(AVERAGE($AG$87:$AG$126) = 0, "", AVERAGE($AG$87:$AG$126))))</f>
        <v>1.9296959885</v>
      </c>
      <c r="AH86">
        <f ca="1">IF(ISERROR(IF(AVERAGE($AH$87:$AH$126) = 0, "", AVERAGE($AH$87:$AH$126))), "", (IF(AVERAGE($AH$87:$AH$126) = 0, "", AVERAGE($AH$87:$AH$126))))</f>
        <v>2.322688029</v>
      </c>
      <c r="AI86" t="str">
        <f ca="1">IF(ISERROR(IF(AVERAGE($AI$87:$AI$126) = 0, "", AVERAGE($AI$87:$AI$126))), "", (IF(AVERAGE($AI$87:$AI$126) = 0, "", AVERAGE($AI$87:$AI$126))))</f>
        <v/>
      </c>
      <c r="AJ86" t="str">
        <f ca="1">IF(ISERROR(IF(AVERAGE($AJ$87:$AJ$126) = 0, "", AVERAGE($AJ$87:$AJ$126))), "", (IF(AVERAGE($AJ$87:$AJ$126) = 0, "", AVERAGE($AJ$87:$AJ$126))))</f>
        <v/>
      </c>
      <c r="AK86" t="str">
        <f ca="1">IF(ISERROR(IF(AVERAGE($AK$87:$AK$126) = 0, "", AVERAGE($AK$87:$AK$126))), "", (IF(AVERAGE($AK$87:$AK$126) = 0, "", AVERAGE($AK$87:$AK$126))))</f>
        <v/>
      </c>
      <c r="AL86" t="str">
        <f ca="1">IF(ISERROR(IF(AVERAGE($AL$87:$AL$126) = 0, "", AVERAGE($AL$87:$AL$126))), "", (IF(AVERAGE($AL$87:$AL$126) = 0, "", AVERAGE($AL$87:$AL$126))))</f>
        <v/>
      </c>
      <c r="AM86" t="str">
        <f ca="1">IF(ISERROR(IF(AVERAGE($AM$87:$AM$126) = 0, "", AVERAGE($AM$87:$AM$126))), "", (IF(AVERAGE($AM$87:$AM$126) = 0, "", AVERAGE($AM$87:$AM$126))))</f>
        <v/>
      </c>
      <c r="AN86" t="str">
        <f ca="1">IF(ISERROR(IF(AVERAGE($AN$87:$AN$126) = 0, "", AVERAGE($AN$87:$AN$126))), "", (IF(AVERAGE($AN$87:$AN$126) = 0, "", AVERAGE($AN$87:$AN$126))))</f>
        <v/>
      </c>
      <c r="AO86" t="str">
        <f ca="1">IF(ISERROR(IF(AVERAGE($AO$87:$AO$126) = 0, "", AVERAGE($AO$87:$AO$126))), "", (IF(AVERAGE($AO$87:$AO$126) = 0, "", AVERAGE($AO$87:$AO$126))))</f>
        <v/>
      </c>
      <c r="AP86" t="str">
        <f ca="1">IF(ISERROR(IF(AVERAGE($AP$87:$AP$126) = 0, "", AVERAGE($AP$87:$AP$126))), "", (IF(AVERAGE($AP$87:$AP$126) = 0, "", AVERAGE($AP$87:$AP$126))))</f>
        <v/>
      </c>
      <c r="AQ86" t="str">
        <f ca="1">IF(ISERROR(IF(AVERAGE($AQ$87:$AQ$126) = 0, "", AVERAGE($AQ$87:$AQ$126))), "", (IF(AVERAGE($AQ$87:$AQ$126) = 0, "", AVERAGE($AQ$87:$AQ$126))))</f>
        <v/>
      </c>
      <c r="AR86" t="str">
        <f ca="1">IF(ISERROR(IF(AVERAGE($AR$87:$AR$126) = 0, "", AVERAGE($AR$87:$AR$126))), "", (IF(AVERAGE($AR$87:$AR$126) = 0, "", AVERAGE($AR$87:$AR$126))))</f>
        <v/>
      </c>
      <c r="AS86" t="str">
        <f ca="1">IF(ISERROR(IF(AVERAGE($AS$87:$AS$126) = 0, "", AVERAGE($AS$87:$AS$126))), "", (IF(AVERAGE($AS$87:$AS$126) = 0, "", AVERAGE($AS$87:$AS$126))))</f>
        <v/>
      </c>
      <c r="AT86" t="str">
        <f ca="1">IF(ISERROR(IF(AVERAGE($AT$87:$AT$126) = 0, "", AVERAGE($AT$87:$AT$126))), "", (IF(AVERAGE($AT$87:$AT$126) = 0, "", AVERAGE($AT$87:$AT$126))))</f>
        <v/>
      </c>
      <c r="AU86" t="str">
        <f ca="1">IF(ISERROR(IF(AVERAGE($AU$87:$AU$126) = 0, "", AVERAGE($AU$87:$AU$126))), "", (IF(AVERAGE($AU$87:$AU$126) = 0, "", AVERAGE($AU$87:$AU$126))))</f>
        <v/>
      </c>
      <c r="AV86" t="str">
        <f ca="1">IF(ISERROR(IF(AVERAGE($AV$87:$AV$126) = 0, "", AVERAGE($AV$87:$AV$126))), "", (IF(AVERAGE($AV$87:$AV$126) = 0, "", AVERAGE($AV$87:$AV$126))))</f>
        <v/>
      </c>
      <c r="AW86" t="str">
        <f ca="1">IF(ISERROR(IF(AVERAGE($AW$87:$AW$126) = 0, "", AVERAGE($AW$87:$AW$126))), "", (IF(AVERAGE($AW$87:$AW$126) = 0, "", AVERAGE($AW$87:$AW$126))))</f>
        <v/>
      </c>
      <c r="AX86" t="str">
        <f ca="1">IF(ISERROR(IF(AVERAGE($AX$87:$AX$126) = 0, "", AVERAGE($AX$87:$AX$126))), "", (IF(AVERAGE($AX$87:$AX$126) = 0, "", AVERAGE($AX$87:$AX$126))))</f>
        <v/>
      </c>
      <c r="AY86" t="str">
        <f ca="1">IF(ISERROR(IF(AVERAGE($AY$87:$AY$126) = 0, "", AVERAGE($AY$87:$AY$126))), "", (IF(AVERAGE($AY$87:$AY$126) = 0, "", AVERAGE($AY$87:$AY$126))))</f>
        <v/>
      </c>
      <c r="AZ86" t="str">
        <f ca="1">IF(ISERROR(IF(AVERAGE($AZ$87:$AZ$126) = 0, "", AVERAGE($AZ$87:$AZ$126))), "", (IF(AVERAGE($AZ$87:$AZ$126) = 0, "", AVERAGE($AZ$87:$AZ$126))))</f>
        <v/>
      </c>
      <c r="BA86" t="str">
        <f ca="1">IF(ISERROR(IF(AVERAGE($BA$87:$BA$126) = 0, "", AVERAGE($BA$87:$BA$126))), "", (IF(AVERAGE($BA$87:$BA$126) = 0, "", AVERAGE($BA$87:$BA$126))))</f>
        <v/>
      </c>
      <c r="BB86" t="str">
        <f ca="1">IF(ISERROR(IF(AVERAGE($BB$87:$BB$126) = 0, "", AVERAGE($BB$87:$BB$126))), "", (IF(AVERAGE($BB$87:$BB$126) = 0, "", AVERAGE($BB$87:$BB$126))))</f>
        <v/>
      </c>
      <c r="BC86" t="str">
        <f ca="1">IF(ISERROR(IF(AVERAGE($BC$87:$BC$126) = 0, "", AVERAGE($BC$87:$BC$126))), "", (IF(AVERAGE($BC$87:$BC$126) = 0, "", AVERAGE($BC$87:$BC$126))))</f>
        <v/>
      </c>
      <c r="BD86" t="str">
        <f ca="1">IF(ISERROR(IF(AVERAGE($BD$87:$BD$126) = 0, "", AVERAGE($BD$87:$BD$126))), "", (IF(AVERAGE($BD$87:$BD$126) = 0, "", AVERAGE($BD$87:$BD$126))))</f>
        <v/>
      </c>
      <c r="BE86" t="str">
        <f ca="1">IF(ISERROR(IF(AVERAGE($BE$87:$BE$126) = 0, "", AVERAGE($BE$87:$BE$126))), "", (IF(AVERAGE($BE$87:$BE$126) = 0, "", AVERAGE($BE$87:$BE$126))))</f>
        <v/>
      </c>
      <c r="BF86" t="str">
        <f ca="1">IF(ISERROR(IF(AVERAGE($BF$87:$BF$126) = 0, "", AVERAGE($BF$87:$BF$126))), "", (IF(AVERAGE($BF$87:$BF$126) = 0, "", AVERAGE($BF$87:$BF$126))))</f>
        <v/>
      </c>
      <c r="BG86" t="str">
        <f ca="1">IF(ISERROR(IF(AVERAGE($BG$87:$BG$126) = 0, "", AVERAGE($BG$87:$BG$126))), "", (IF(AVERAGE($BG$87:$BG$126) = 0, "", AVERAGE($BG$87:$BG$126))))</f>
        <v/>
      </c>
      <c r="BH86" t="str">
        <f ca="1">IF(ISERROR(IF(AVERAGE($BH$87:$BH$126) = 0, "", AVERAGE($BH$87:$BH$126))), "", (IF(AVERAGE($BH$87:$BH$126) = 0, "", AVERAGE($BH$87:$BH$126))))</f>
        <v/>
      </c>
      <c r="BI86" t="str">
        <f ca="1">IF(ISERROR(IF(AVERAGE($BI$87:$BI$126) = 0, "", AVERAGE($BI$87:$BI$126))), "", (IF(AVERAGE($BI$87:$BI$126) = 0, "", AVERAGE($BI$87:$BI$126))))</f>
        <v/>
      </c>
      <c r="BJ86" t="str">
        <f ca="1">IF(ISERROR(IF(AVERAGE($BJ$87:$BJ$126) = 0, "", AVERAGE($BJ$87:$BJ$126))), "", (IF(AVERAGE($BJ$87:$BJ$126) = 0, "", AVERAGE($BJ$87:$BJ$126))))</f>
        <v/>
      </c>
      <c r="BK86" t="str">
        <f ca="1">IF(ISERROR(IF(AVERAGE($BK$87:$BK$126) = 0, "", AVERAGE($BK$87:$BK$126))), "", (IF(AVERAGE($BK$87:$BK$126) = 0, "", AVERAGE($BK$87:$BK$126))))</f>
        <v/>
      </c>
      <c r="BL86" t="str">
        <f ca="1">IF(ISERROR(IF(AVERAGE($BL$87:$BL$126) = 0, "", AVERAGE($BL$87:$BL$126))), "", (IF(AVERAGE($BL$87:$BL$126) = 0, "", AVERAGE($BL$87:$BL$126))))</f>
        <v/>
      </c>
      <c r="BM86" t="str">
        <f ca="1">IF(ISERROR(IF(AVERAGE($BM$87:$BM$126) = 0, "", AVERAGE($BM$87:$BM$126))), "", (IF(AVERAGE($BM$87:$BM$126) = 0, "", AVERAGE($BM$87:$BM$126))))</f>
        <v/>
      </c>
      <c r="BN86">
        <f>10.14828233</f>
        <v>10.148282330000001</v>
      </c>
      <c r="BO86">
        <f>9.018396852</f>
        <v>9.0183968520000004</v>
      </c>
      <c r="BP86">
        <f>9.45180395</f>
        <v>9.4518039500000004</v>
      </c>
      <c r="BQ86">
        <f>8.798184593</f>
        <v>8.7981845930000002</v>
      </c>
      <c r="BR86">
        <f>9.897973105</f>
        <v>9.8979731050000002</v>
      </c>
      <c r="BS86">
        <f>10.60795902</f>
        <v>10.607959019999999</v>
      </c>
      <c r="BT86">
        <f>10.62147179</f>
        <v>10.621471789999999</v>
      </c>
      <c r="BU86">
        <f>9.429415717</f>
        <v>9.4294157169999995</v>
      </c>
      <c r="BV86">
        <f>7.50970103</f>
        <v>7.5097010300000004</v>
      </c>
      <c r="BW86">
        <f>7.552625079</f>
        <v>7.5526250790000002</v>
      </c>
      <c r="BX86">
        <f>6.867573394</f>
        <v>6.8675733939999999</v>
      </c>
      <c r="BY86">
        <f>6.63017246</f>
        <v>6.6301724599999998</v>
      </c>
      <c r="BZ86">
        <f>7.056698865</f>
        <v>7.0566988650000004</v>
      </c>
      <c r="CA86">
        <f>7.515625804</f>
        <v>7.5156258039999999</v>
      </c>
      <c r="CB86">
        <f>6.429233854</f>
        <v>6.4292338539999996</v>
      </c>
      <c r="CC86">
        <f>7.81957752</f>
        <v>7.8195775200000002</v>
      </c>
      <c r="CD86">
        <f>7.069872155</f>
        <v>7.0698721549999997</v>
      </c>
      <c r="CE86">
        <f>7.642432387</f>
        <v>7.6424323870000004</v>
      </c>
      <c r="CF86">
        <f>7.76847794</f>
        <v>7.7684779400000004</v>
      </c>
      <c r="CG86">
        <f>8.51767348</f>
        <v>8.5176734799999991</v>
      </c>
      <c r="CH86">
        <f>8.111997883</f>
        <v>8.1119978830000008</v>
      </c>
      <c r="CI86">
        <f>5.390798823</f>
        <v>5.3907988229999999</v>
      </c>
      <c r="CJ86">
        <f>9.865226973</f>
        <v>9.8652269730000004</v>
      </c>
      <c r="CK86">
        <f>7.87503016</f>
        <v>7.8750301599999997</v>
      </c>
      <c r="CL86">
        <f>2.698885051</f>
        <v>2.698885051</v>
      </c>
      <c r="CM86">
        <f>2.539958032</f>
        <v>2.5399580319999999</v>
      </c>
      <c r="CN86">
        <f>1.700151675</f>
        <v>1.7001516750000001</v>
      </c>
      <c r="CO86">
        <f>1.929695988</f>
        <v>1.929695988</v>
      </c>
      <c r="CP86">
        <f>2.322688029</f>
        <v>2.322688029</v>
      </c>
      <c r="CQ86" t="str">
        <f>""</f>
        <v/>
      </c>
      <c r="CR86" t="str">
        <f>""</f>
        <v/>
      </c>
      <c r="CS86" t="str">
        <f>""</f>
        <v/>
      </c>
      <c r="CT86" t="str">
        <f>""</f>
        <v/>
      </c>
      <c r="CU86" t="str">
        <f>""</f>
        <v/>
      </c>
      <c r="CV86" t="str">
        <f>""</f>
        <v/>
      </c>
      <c r="CW86" t="str">
        <f>""</f>
        <v/>
      </c>
      <c r="CX86" t="str">
        <f>""</f>
        <v/>
      </c>
      <c r="CY86" t="str">
        <f>""</f>
        <v/>
      </c>
      <c r="CZ86" t="str">
        <f>""</f>
        <v/>
      </c>
      <c r="DA86" t="str">
        <f>""</f>
        <v/>
      </c>
      <c r="DB86" t="str">
        <f>""</f>
        <v/>
      </c>
      <c r="DC86" t="str">
        <f>""</f>
        <v/>
      </c>
      <c r="DD86" t="str">
        <f>""</f>
        <v/>
      </c>
      <c r="DE86" t="str">
        <f>""</f>
        <v/>
      </c>
      <c r="DF86" t="str">
        <f>""</f>
        <v/>
      </c>
      <c r="DG86" t="str">
        <f>""</f>
        <v/>
      </c>
      <c r="DH86" t="str">
        <f>""</f>
        <v/>
      </c>
      <c r="DI86" t="str">
        <f>""</f>
        <v/>
      </c>
      <c r="DJ86" t="str">
        <f>""</f>
        <v/>
      </c>
      <c r="DK86" t="str">
        <f>""</f>
        <v/>
      </c>
      <c r="DL86" t="str">
        <f>""</f>
        <v/>
      </c>
      <c r="DM86" t="str">
        <f>""</f>
        <v/>
      </c>
      <c r="DN86" t="str">
        <f>""</f>
        <v/>
      </c>
      <c r="DO86" t="str">
        <f>""</f>
        <v/>
      </c>
      <c r="DP86" t="str">
        <f>""</f>
        <v/>
      </c>
      <c r="DQ86" t="str">
        <f>""</f>
        <v/>
      </c>
      <c r="DR86" t="str">
        <f>""</f>
        <v/>
      </c>
      <c r="DS86" t="str">
        <f>""</f>
        <v/>
      </c>
      <c r="DT86" t="str">
        <f>""</f>
        <v/>
      </c>
      <c r="DU86" t="str">
        <f>""</f>
        <v/>
      </c>
    </row>
    <row r="87" spans="1:125" x14ac:dyDescent="0.25">
      <c r="A87" t="str">
        <f>"    AUDI AG"</f>
        <v xml:space="preserve">    AUDI AG</v>
      </c>
      <c r="B87" t="str">
        <f>"NSU GR Equity"</f>
        <v>NSU GR Equity</v>
      </c>
      <c r="C87" t="str">
        <f t="shared" ref="C87:C126" si="6">"EZ010"</f>
        <v>EZ010</v>
      </c>
      <c r="D87" t="str">
        <f t="shared" ref="D87:D126" si="7">"BEST_EST_PE_NXT_YR"</f>
        <v>BEST_EST_PE_NXT_YR</v>
      </c>
      <c r="E87" t="str">
        <f t="shared" ref="E87:E126" si="8">"Dynamic"</f>
        <v>Dynamic</v>
      </c>
      <c r="F87" t="str">
        <f ca="1">IF(AND(ISNUMBER($F$759),$B$677=1),$F$759,HLOOKUP(INDIRECT(ADDRESS(2,COLUMN())),OFFSET($BN$2,0,0,ROW()-1,60),ROW()-1,FALSE))</f>
        <v/>
      </c>
      <c r="G87" t="str">
        <f ca="1">IF(AND(ISNUMBER($G$759),$B$677=1),$G$759,HLOOKUP(INDIRECT(ADDRESS(2,COLUMN())),OFFSET($BN$2,0,0,ROW()-1,60),ROW()-1,FALSE))</f>
        <v/>
      </c>
      <c r="H87" t="str">
        <f ca="1">IF(AND(ISNUMBER($H$759),$B$677=1),$H$759,HLOOKUP(INDIRECT(ADDRESS(2,COLUMN())),OFFSET($BN$2,0,0,ROW()-1,60),ROW()-1,FALSE))</f>
        <v/>
      </c>
      <c r="I87" t="str">
        <f ca="1">IF(AND(ISNUMBER($I$759),$B$677=1),$I$759,HLOOKUP(INDIRECT(ADDRESS(2,COLUMN())),OFFSET($BN$2,0,0,ROW()-1,60),ROW()-1,FALSE))</f>
        <v/>
      </c>
      <c r="J87" t="str">
        <f ca="1">IF(AND(ISNUMBER($J$759),$B$677=1),$J$759,HLOOKUP(INDIRECT(ADDRESS(2,COLUMN())),OFFSET($BN$2,0,0,ROW()-1,60),ROW()-1,FALSE))</f>
        <v/>
      </c>
      <c r="K87" t="str">
        <f ca="1">IF(AND(ISNUMBER($K$759),$B$677=1),$K$759,HLOOKUP(INDIRECT(ADDRESS(2,COLUMN())),OFFSET($BN$2,0,0,ROW()-1,60),ROW()-1,FALSE))</f>
        <v/>
      </c>
      <c r="L87" t="str">
        <f ca="1">IF(AND(ISNUMBER($L$759),$B$677=1),$L$759,HLOOKUP(INDIRECT(ADDRESS(2,COLUMN())),OFFSET($BN$2,0,0,ROW()-1,60),ROW()-1,FALSE))</f>
        <v/>
      </c>
      <c r="M87" t="str">
        <f ca="1">IF(AND(ISNUMBER($M$759),$B$677=1),$M$759,HLOOKUP(INDIRECT(ADDRESS(2,COLUMN())),OFFSET($BN$2,0,0,ROW()-1,60),ROW()-1,FALSE))</f>
        <v/>
      </c>
      <c r="N87" t="str">
        <f ca="1">IF(AND(ISNUMBER($N$759),$B$677=1),$N$759,HLOOKUP(INDIRECT(ADDRESS(2,COLUMN())),OFFSET($BN$2,0,0,ROW()-1,60),ROW()-1,FALSE))</f>
        <v/>
      </c>
      <c r="O87" t="str">
        <f ca="1">IF(AND(ISNUMBER($O$759),$B$677=1),$O$759,HLOOKUP(INDIRECT(ADDRESS(2,COLUMN())),OFFSET($BN$2,0,0,ROW()-1,60),ROW()-1,FALSE))</f>
        <v/>
      </c>
      <c r="P87" t="str">
        <f ca="1">IF(AND(ISNUMBER($P$759),$B$677=1),$P$759,HLOOKUP(INDIRECT(ADDRESS(2,COLUMN())),OFFSET($BN$2,0,0,ROW()-1,60),ROW()-1,FALSE))</f>
        <v/>
      </c>
      <c r="Q87" t="str">
        <f ca="1">IF(AND(ISNUMBER($Q$759),$B$677=1),$Q$759,HLOOKUP(INDIRECT(ADDRESS(2,COLUMN())),OFFSET($BN$2,0,0,ROW()-1,60),ROW()-1,FALSE))</f>
        <v/>
      </c>
      <c r="R87" t="str">
        <f ca="1">IF(AND(ISNUMBER($R$759),$B$677=1),$R$759,HLOOKUP(INDIRECT(ADDRESS(2,COLUMN())),OFFSET($BN$2,0,0,ROW()-1,60),ROW()-1,FALSE))</f>
        <v/>
      </c>
      <c r="S87" t="str">
        <f ca="1">IF(AND(ISNUMBER($S$759),$B$677=1),$S$759,HLOOKUP(INDIRECT(ADDRESS(2,COLUMN())),OFFSET($BN$2,0,0,ROW()-1,60),ROW()-1,FALSE))</f>
        <v/>
      </c>
      <c r="T87" t="str">
        <f ca="1">IF(AND(ISNUMBER($T$759),$B$677=1),$T$759,HLOOKUP(INDIRECT(ADDRESS(2,COLUMN())),OFFSET($BN$2,0,0,ROW()-1,60),ROW()-1,FALSE))</f>
        <v/>
      </c>
      <c r="U87" t="str">
        <f ca="1">IF(AND(ISNUMBER($U$759),$B$677=1),$U$759,HLOOKUP(INDIRECT(ADDRESS(2,COLUMN())),OFFSET($BN$2,0,0,ROW()-1,60),ROW()-1,FALSE))</f>
        <v/>
      </c>
      <c r="V87" t="str">
        <f ca="1">IF(AND(ISNUMBER($V$759),$B$677=1),$V$759,HLOOKUP(INDIRECT(ADDRESS(2,COLUMN())),OFFSET($BN$2,0,0,ROW()-1,60),ROW()-1,FALSE))</f>
        <v/>
      </c>
      <c r="W87" t="str">
        <f ca="1">IF(AND(ISNUMBER($W$759),$B$677=1),$W$759,HLOOKUP(INDIRECT(ADDRESS(2,COLUMN())),OFFSET($BN$2,0,0,ROW()-1,60),ROW()-1,FALSE))</f>
        <v/>
      </c>
      <c r="X87" t="str">
        <f ca="1">IF(AND(ISNUMBER($X$759),$B$677=1),$X$759,HLOOKUP(INDIRECT(ADDRESS(2,COLUMN())),OFFSET($BN$2,0,0,ROW()-1,60),ROW()-1,FALSE))</f>
        <v/>
      </c>
      <c r="Y87" t="str">
        <f ca="1">IF(AND(ISNUMBER($Y$759),$B$677=1),$Y$759,HLOOKUP(INDIRECT(ADDRESS(2,COLUMN())),OFFSET($BN$2,0,0,ROW()-1,60),ROW()-1,FALSE))</f>
        <v/>
      </c>
      <c r="Z87" t="str">
        <f ca="1">IF(AND(ISNUMBER($Z$759),$B$677=1),$Z$759,HLOOKUP(INDIRECT(ADDRESS(2,COLUMN())),OFFSET($BN$2,0,0,ROW()-1,60),ROW()-1,FALSE))</f>
        <v/>
      </c>
      <c r="AA87" t="str">
        <f ca="1">IF(AND(ISNUMBER($AA$759),$B$677=1),$AA$759,HLOOKUP(INDIRECT(ADDRESS(2,COLUMN())),OFFSET($BN$2,0,0,ROW()-1,60),ROW()-1,FALSE))</f>
        <v/>
      </c>
      <c r="AB87" t="str">
        <f ca="1">IF(AND(ISNUMBER($AB$759),$B$677=1),$AB$759,HLOOKUP(INDIRECT(ADDRESS(2,COLUMN())),OFFSET($BN$2,0,0,ROW()-1,60),ROW()-1,FALSE))</f>
        <v/>
      </c>
      <c r="AC87" t="str">
        <f ca="1">IF(AND(ISNUMBER($AC$759),$B$677=1),$AC$759,HLOOKUP(INDIRECT(ADDRESS(2,COLUMN())),OFFSET($BN$2,0,0,ROW()-1,60),ROW()-1,FALSE))</f>
        <v/>
      </c>
      <c r="AD87" t="str">
        <f ca="1">IF(AND(ISNUMBER($AD$759),$B$677=1),$AD$759,HLOOKUP(INDIRECT(ADDRESS(2,COLUMN())),OFFSET($BN$2,0,0,ROW()-1,60),ROW()-1,FALSE))</f>
        <v/>
      </c>
      <c r="AE87" t="str">
        <f ca="1">IF(AND(ISNUMBER($AE$759),$B$677=1),$AE$759,HLOOKUP(INDIRECT(ADDRESS(2,COLUMN())),OFFSET($BN$2,0,0,ROW()-1,60),ROW()-1,FALSE))</f>
        <v/>
      </c>
      <c r="AF87" t="str">
        <f ca="1">IF(AND(ISNUMBER($AF$759),$B$677=1),$AF$759,HLOOKUP(INDIRECT(ADDRESS(2,COLUMN())),OFFSET($BN$2,0,0,ROW()-1,60),ROW()-1,FALSE))</f>
        <v/>
      </c>
      <c r="AG87" t="str">
        <f ca="1">IF(AND(ISNUMBER($AG$759),$B$677=1),$AG$759,HLOOKUP(INDIRECT(ADDRESS(2,COLUMN())),OFFSET($BN$2,0,0,ROW()-1,60),ROW()-1,FALSE))</f>
        <v/>
      </c>
      <c r="AH87" t="str">
        <f ca="1">IF(AND(ISNUMBER($AH$759),$B$677=1),$AH$759,HLOOKUP(INDIRECT(ADDRESS(2,COLUMN())),OFFSET($BN$2,0,0,ROW()-1,60),ROW()-1,FALSE))</f>
        <v/>
      </c>
      <c r="AI87" t="str">
        <f ca="1">IF(AND(ISNUMBER($AI$759),$B$677=1),$AI$759,HLOOKUP(INDIRECT(ADDRESS(2,COLUMN())),OFFSET($BN$2,0,0,ROW()-1,60),ROW()-1,FALSE))</f>
        <v/>
      </c>
      <c r="AJ87" t="str">
        <f ca="1">IF(AND(ISNUMBER($AJ$759),$B$677=1),$AJ$759,HLOOKUP(INDIRECT(ADDRESS(2,COLUMN())),OFFSET($BN$2,0,0,ROW()-1,60),ROW()-1,FALSE))</f>
        <v/>
      </c>
      <c r="AK87" t="str">
        <f ca="1">IF(AND(ISNUMBER($AK$759),$B$677=1),$AK$759,HLOOKUP(INDIRECT(ADDRESS(2,COLUMN())),OFFSET($BN$2,0,0,ROW()-1,60),ROW()-1,FALSE))</f>
        <v/>
      </c>
      <c r="AL87" t="str">
        <f ca="1">IF(AND(ISNUMBER($AL$759),$B$677=1),$AL$759,HLOOKUP(INDIRECT(ADDRESS(2,COLUMN())),OFFSET($BN$2,0,0,ROW()-1,60),ROW()-1,FALSE))</f>
        <v/>
      </c>
      <c r="AM87" t="str">
        <f ca="1">IF(AND(ISNUMBER($AM$759),$B$677=1),$AM$759,HLOOKUP(INDIRECT(ADDRESS(2,COLUMN())),OFFSET($BN$2,0,0,ROW()-1,60),ROW()-1,FALSE))</f>
        <v/>
      </c>
      <c r="AN87" t="str">
        <f ca="1">IF(AND(ISNUMBER($AN$759),$B$677=1),$AN$759,HLOOKUP(INDIRECT(ADDRESS(2,COLUMN())),OFFSET($BN$2,0,0,ROW()-1,60),ROW()-1,FALSE))</f>
        <v/>
      </c>
      <c r="AO87" t="str">
        <f ca="1">IF(AND(ISNUMBER($AO$759),$B$677=1),$AO$759,HLOOKUP(INDIRECT(ADDRESS(2,COLUMN())),OFFSET($BN$2,0,0,ROW()-1,60),ROW()-1,FALSE))</f>
        <v/>
      </c>
      <c r="AP87" t="str">
        <f ca="1">IF(AND(ISNUMBER($AP$759),$B$677=1),$AP$759,HLOOKUP(INDIRECT(ADDRESS(2,COLUMN())),OFFSET($BN$2,0,0,ROW()-1,60),ROW()-1,FALSE))</f>
        <v/>
      </c>
      <c r="AQ87" t="str">
        <f ca="1">IF(AND(ISNUMBER($AQ$759),$B$677=1),$AQ$759,HLOOKUP(INDIRECT(ADDRESS(2,COLUMN())),OFFSET($BN$2,0,0,ROW()-1,60),ROW()-1,FALSE))</f>
        <v/>
      </c>
      <c r="AR87" t="str">
        <f ca="1">IF(AND(ISNUMBER($AR$759),$B$677=1),$AR$759,HLOOKUP(INDIRECT(ADDRESS(2,COLUMN())),OFFSET($BN$2,0,0,ROW()-1,60),ROW()-1,FALSE))</f>
        <v/>
      </c>
      <c r="AS87" t="str">
        <f ca="1">IF(AND(ISNUMBER($AS$759),$B$677=1),$AS$759,HLOOKUP(INDIRECT(ADDRESS(2,COLUMN())),OFFSET($BN$2,0,0,ROW()-1,60),ROW()-1,FALSE))</f>
        <v/>
      </c>
      <c r="AT87" t="str">
        <f ca="1">IF(AND(ISNUMBER($AT$759),$B$677=1),$AT$759,HLOOKUP(INDIRECT(ADDRESS(2,COLUMN())),OFFSET($BN$2,0,0,ROW()-1,60),ROW()-1,FALSE))</f>
        <v/>
      </c>
      <c r="AU87" t="str">
        <f ca="1">IF(AND(ISNUMBER($AU$759),$B$677=1),$AU$759,HLOOKUP(INDIRECT(ADDRESS(2,COLUMN())),OFFSET($BN$2,0,0,ROW()-1,60),ROW()-1,FALSE))</f>
        <v/>
      </c>
      <c r="AV87" t="str">
        <f ca="1">IF(AND(ISNUMBER($AV$759),$B$677=1),$AV$759,HLOOKUP(INDIRECT(ADDRESS(2,COLUMN())),OFFSET($BN$2,0,0,ROW()-1,60),ROW()-1,FALSE))</f>
        <v/>
      </c>
      <c r="AW87" t="str">
        <f ca="1">IF(AND(ISNUMBER($AW$759),$B$677=1),$AW$759,HLOOKUP(INDIRECT(ADDRESS(2,COLUMN())),OFFSET($BN$2,0,0,ROW()-1,60),ROW()-1,FALSE))</f>
        <v/>
      </c>
      <c r="AX87" t="str">
        <f ca="1">IF(AND(ISNUMBER($AX$759),$B$677=1),$AX$759,HLOOKUP(INDIRECT(ADDRESS(2,COLUMN())),OFFSET($BN$2,0,0,ROW()-1,60),ROW()-1,FALSE))</f>
        <v/>
      </c>
      <c r="AY87" t="str">
        <f ca="1">IF(AND(ISNUMBER($AY$759),$B$677=1),$AY$759,HLOOKUP(INDIRECT(ADDRESS(2,COLUMN())),OFFSET($BN$2,0,0,ROW()-1,60),ROW()-1,FALSE))</f>
        <v/>
      </c>
      <c r="AZ87" t="str">
        <f ca="1">IF(AND(ISNUMBER($AZ$759),$B$677=1),$AZ$759,HLOOKUP(INDIRECT(ADDRESS(2,COLUMN())),OFFSET($BN$2,0,0,ROW()-1,60),ROW()-1,FALSE))</f>
        <v/>
      </c>
      <c r="BA87" t="str">
        <f ca="1">IF(AND(ISNUMBER($BA$759),$B$677=1),$BA$759,HLOOKUP(INDIRECT(ADDRESS(2,COLUMN())),OFFSET($BN$2,0,0,ROW()-1,60),ROW()-1,FALSE))</f>
        <v/>
      </c>
      <c r="BB87" t="str">
        <f ca="1">IF(AND(ISNUMBER($BB$759),$B$677=1),$BB$759,HLOOKUP(INDIRECT(ADDRESS(2,COLUMN())),OFFSET($BN$2,0,0,ROW()-1,60),ROW()-1,FALSE))</f>
        <v/>
      </c>
      <c r="BC87" t="str">
        <f ca="1">IF(AND(ISNUMBER($BC$759),$B$677=1),$BC$759,HLOOKUP(INDIRECT(ADDRESS(2,COLUMN())),OFFSET($BN$2,0,0,ROW()-1,60),ROW()-1,FALSE))</f>
        <v/>
      </c>
      <c r="BD87" t="str">
        <f ca="1">IF(AND(ISNUMBER($BD$759),$B$677=1),$BD$759,HLOOKUP(INDIRECT(ADDRESS(2,COLUMN())),OFFSET($BN$2,0,0,ROW()-1,60),ROW()-1,FALSE))</f>
        <v/>
      </c>
      <c r="BE87" t="str">
        <f ca="1">IF(AND(ISNUMBER($BE$759),$B$677=1),$BE$759,HLOOKUP(INDIRECT(ADDRESS(2,COLUMN())),OFFSET($BN$2,0,0,ROW()-1,60),ROW()-1,FALSE))</f>
        <v/>
      </c>
      <c r="BF87" t="str">
        <f ca="1">IF(AND(ISNUMBER($BF$759),$B$677=1),$BF$759,HLOOKUP(INDIRECT(ADDRESS(2,COLUMN())),OFFSET($BN$2,0,0,ROW()-1,60),ROW()-1,FALSE))</f>
        <v/>
      </c>
      <c r="BG87" t="str">
        <f ca="1">IF(AND(ISNUMBER($BG$759),$B$677=1),$BG$759,HLOOKUP(INDIRECT(ADDRESS(2,COLUMN())),OFFSET($BN$2,0,0,ROW()-1,60),ROW()-1,FALSE))</f>
        <v/>
      </c>
      <c r="BH87" t="str">
        <f ca="1">IF(AND(ISNUMBER($BH$759),$B$677=1),$BH$759,HLOOKUP(INDIRECT(ADDRESS(2,COLUMN())),OFFSET($BN$2,0,0,ROW()-1,60),ROW()-1,FALSE))</f>
        <v/>
      </c>
      <c r="BI87" t="str">
        <f ca="1">IF(AND(ISNUMBER($BI$759),$B$677=1),$BI$759,HLOOKUP(INDIRECT(ADDRESS(2,COLUMN())),OFFSET($BN$2,0,0,ROW()-1,60),ROW()-1,FALSE))</f>
        <v/>
      </c>
      <c r="BJ87" t="str">
        <f ca="1">IF(AND(ISNUMBER($BJ$759),$B$677=1),$BJ$759,HLOOKUP(INDIRECT(ADDRESS(2,COLUMN())),OFFSET($BN$2,0,0,ROW()-1,60),ROW()-1,FALSE))</f>
        <v/>
      </c>
      <c r="BK87" t="str">
        <f ca="1">IF(AND(ISNUMBER($BK$759),$B$677=1),$BK$759,HLOOKUP(INDIRECT(ADDRESS(2,COLUMN())),OFFSET($BN$2,0,0,ROW()-1,60),ROW()-1,FALSE))</f>
        <v/>
      </c>
      <c r="BL87" t="str">
        <f ca="1">IF(AND(ISNUMBER($BL$759),$B$677=1),$BL$759,HLOOKUP(INDIRECT(ADDRESS(2,COLUMN())),OFFSET($BN$2,0,0,ROW()-1,60),ROW()-1,FALSE))</f>
        <v/>
      </c>
      <c r="BM87" t="str">
        <f ca="1">IF(AND(ISNUMBER($BM$759),$B$677=1),$BM$759,HLOOKUP(INDIRECT(ADDRESS(2,COLUMN())),OFFSET($BN$2,0,0,ROW()-1,60),ROW()-1,FALSE))</f>
        <v/>
      </c>
      <c r="BN87" t="str">
        <f>""</f>
        <v/>
      </c>
      <c r="BO87" t="str">
        <f>""</f>
        <v/>
      </c>
      <c r="BP87" t="str">
        <f>""</f>
        <v/>
      </c>
      <c r="BQ87" t="str">
        <f>""</f>
        <v/>
      </c>
      <c r="BR87" t="str">
        <f>""</f>
        <v/>
      </c>
      <c r="BS87" t="str">
        <f>""</f>
        <v/>
      </c>
      <c r="BT87" t="str">
        <f>""</f>
        <v/>
      </c>
      <c r="BU87" t="str">
        <f>""</f>
        <v/>
      </c>
      <c r="BV87" t="str">
        <f>""</f>
        <v/>
      </c>
      <c r="BW87" t="str">
        <f>""</f>
        <v/>
      </c>
      <c r="BX87" t="str">
        <f>""</f>
        <v/>
      </c>
      <c r="BY87" t="str">
        <f>""</f>
        <v/>
      </c>
      <c r="BZ87" t="str">
        <f>""</f>
        <v/>
      </c>
      <c r="CA87" t="str">
        <f>""</f>
        <v/>
      </c>
      <c r="CB87" t="str">
        <f>""</f>
        <v/>
      </c>
      <c r="CC87" t="str">
        <f>""</f>
        <v/>
      </c>
      <c r="CD87" t="str">
        <f>""</f>
        <v/>
      </c>
      <c r="CE87" t="str">
        <f>""</f>
        <v/>
      </c>
      <c r="CF87" t="str">
        <f>""</f>
        <v/>
      </c>
      <c r="CG87" t="str">
        <f>""</f>
        <v/>
      </c>
      <c r="CH87" t="str">
        <f>""</f>
        <v/>
      </c>
      <c r="CI87" t="str">
        <f>""</f>
        <v/>
      </c>
      <c r="CJ87" t="str">
        <f>""</f>
        <v/>
      </c>
      <c r="CK87" t="str">
        <f>""</f>
        <v/>
      </c>
      <c r="CL87" t="str">
        <f>""</f>
        <v/>
      </c>
      <c r="CM87" t="str">
        <f>""</f>
        <v/>
      </c>
      <c r="CN87" t="str">
        <f>""</f>
        <v/>
      </c>
      <c r="CO87" t="str">
        <f>""</f>
        <v/>
      </c>
      <c r="CP87" t="str">
        <f>""</f>
        <v/>
      </c>
      <c r="CQ87" t="str">
        <f>""</f>
        <v/>
      </c>
      <c r="CR87" t="str">
        <f>""</f>
        <v/>
      </c>
      <c r="CS87" t="str">
        <f>""</f>
        <v/>
      </c>
      <c r="CT87" t="str">
        <f>""</f>
        <v/>
      </c>
      <c r="CU87" t="str">
        <f>""</f>
        <v/>
      </c>
      <c r="CV87" t="str">
        <f>""</f>
        <v/>
      </c>
      <c r="CW87" t="str">
        <f>""</f>
        <v/>
      </c>
      <c r="CX87" t="str">
        <f>""</f>
        <v/>
      </c>
      <c r="CY87" t="str">
        <f>""</f>
        <v/>
      </c>
      <c r="CZ87" t="str">
        <f>""</f>
        <v/>
      </c>
      <c r="DA87" t="str">
        <f>""</f>
        <v/>
      </c>
      <c r="DB87" t="str">
        <f>""</f>
        <v/>
      </c>
      <c r="DC87" t="str">
        <f>""</f>
        <v/>
      </c>
      <c r="DD87" t="str">
        <f>""</f>
        <v/>
      </c>
      <c r="DE87" t="str">
        <f>""</f>
        <v/>
      </c>
      <c r="DF87" t="str">
        <f>""</f>
        <v/>
      </c>
      <c r="DG87" t="str">
        <f>""</f>
        <v/>
      </c>
      <c r="DH87" t="str">
        <f>""</f>
        <v/>
      </c>
      <c r="DI87" t="str">
        <f>""</f>
        <v/>
      </c>
      <c r="DJ87" t="str">
        <f>""</f>
        <v/>
      </c>
      <c r="DK87" t="str">
        <f>""</f>
        <v/>
      </c>
      <c r="DL87" t="str">
        <f>""</f>
        <v/>
      </c>
      <c r="DM87" t="str">
        <f>""</f>
        <v/>
      </c>
      <c r="DN87" t="str">
        <f>""</f>
        <v/>
      </c>
      <c r="DO87" t="str">
        <f>""</f>
        <v/>
      </c>
      <c r="DP87" t="str">
        <f>""</f>
        <v/>
      </c>
      <c r="DQ87" t="str">
        <f>""</f>
        <v/>
      </c>
      <c r="DR87" t="str">
        <f>""</f>
        <v/>
      </c>
      <c r="DS87" t="str">
        <f>""</f>
        <v/>
      </c>
      <c r="DT87" t="str">
        <f>""</f>
        <v/>
      </c>
      <c r="DU87" t="str">
        <f>""</f>
        <v/>
      </c>
    </row>
    <row r="88" spans="1:125" x14ac:dyDescent="0.25">
      <c r="A88" t="str">
        <f>"    Avtovaz PJSC"</f>
        <v xml:space="preserve">    Avtovaz PJSC</v>
      </c>
      <c r="B88" t="str">
        <f>"AVAZ RM Equity"</f>
        <v>AVAZ RM Equity</v>
      </c>
      <c r="C88" t="str">
        <f t="shared" si="6"/>
        <v>EZ010</v>
      </c>
      <c r="D88" t="str">
        <f t="shared" si="7"/>
        <v>BEST_EST_PE_NXT_YR</v>
      </c>
      <c r="E88" t="str">
        <f t="shared" si="8"/>
        <v>Dynamic</v>
      </c>
      <c r="F88" t="str">
        <f ca="1">IF(AND(ISNUMBER($F$760),$B$677=1),$F$760,HLOOKUP(INDIRECT(ADDRESS(2,COLUMN())),OFFSET($BN$2,0,0,ROW()-1,60),ROW()-1,FALSE))</f>
        <v/>
      </c>
      <c r="G88" t="str">
        <f ca="1">IF(AND(ISNUMBER($G$760),$B$677=1),$G$760,HLOOKUP(INDIRECT(ADDRESS(2,COLUMN())),OFFSET($BN$2,0,0,ROW()-1,60),ROW()-1,FALSE))</f>
        <v/>
      </c>
      <c r="H88" t="str">
        <f ca="1">IF(AND(ISNUMBER($H$760),$B$677=1),$H$760,HLOOKUP(INDIRECT(ADDRESS(2,COLUMN())),OFFSET($BN$2,0,0,ROW()-1,60),ROW()-1,FALSE))</f>
        <v/>
      </c>
      <c r="I88" t="str">
        <f ca="1">IF(AND(ISNUMBER($I$760),$B$677=1),$I$760,HLOOKUP(INDIRECT(ADDRESS(2,COLUMN())),OFFSET($BN$2,0,0,ROW()-1,60),ROW()-1,FALSE))</f>
        <v/>
      </c>
      <c r="J88" t="str">
        <f ca="1">IF(AND(ISNUMBER($J$760),$B$677=1),$J$760,HLOOKUP(INDIRECT(ADDRESS(2,COLUMN())),OFFSET($BN$2,0,0,ROW()-1,60),ROW()-1,FALSE))</f>
        <v/>
      </c>
      <c r="K88" t="str">
        <f ca="1">IF(AND(ISNUMBER($K$760),$B$677=1),$K$760,HLOOKUP(INDIRECT(ADDRESS(2,COLUMN())),OFFSET($BN$2,0,0,ROW()-1,60),ROW()-1,FALSE))</f>
        <v/>
      </c>
      <c r="L88" t="str">
        <f ca="1">IF(AND(ISNUMBER($L$760),$B$677=1),$L$760,HLOOKUP(INDIRECT(ADDRESS(2,COLUMN())),OFFSET($BN$2,0,0,ROW()-1,60),ROW()-1,FALSE))</f>
        <v/>
      </c>
      <c r="M88" t="str">
        <f ca="1">IF(AND(ISNUMBER($M$760),$B$677=1),$M$760,HLOOKUP(INDIRECT(ADDRESS(2,COLUMN())),OFFSET($BN$2,0,0,ROW()-1,60),ROW()-1,FALSE))</f>
        <v/>
      </c>
      <c r="N88" t="str">
        <f ca="1">IF(AND(ISNUMBER($N$760),$B$677=1),$N$760,HLOOKUP(INDIRECT(ADDRESS(2,COLUMN())),OFFSET($BN$2,0,0,ROW()-1,60),ROW()-1,FALSE))</f>
        <v/>
      </c>
      <c r="O88" t="str">
        <f ca="1">IF(AND(ISNUMBER($O$760),$B$677=1),$O$760,HLOOKUP(INDIRECT(ADDRESS(2,COLUMN())),OFFSET($BN$2,0,0,ROW()-1,60),ROW()-1,FALSE))</f>
        <v/>
      </c>
      <c r="P88" t="str">
        <f ca="1">IF(AND(ISNUMBER($P$760),$B$677=1),$P$760,HLOOKUP(INDIRECT(ADDRESS(2,COLUMN())),OFFSET($BN$2,0,0,ROW()-1,60),ROW()-1,FALSE))</f>
        <v/>
      </c>
      <c r="Q88">
        <f ca="1">IF(AND(ISNUMBER($Q$760),$B$677=1),$Q$760,HLOOKUP(INDIRECT(ADDRESS(2,COLUMN())),OFFSET($BN$2,0,0,ROW()-1,60),ROW()-1,FALSE))</f>
        <v>0.95769297900000006</v>
      </c>
      <c r="R88">
        <f ca="1">IF(AND(ISNUMBER($R$760),$B$677=1),$R$760,HLOOKUP(INDIRECT(ADDRESS(2,COLUMN())),OFFSET($BN$2,0,0,ROW()-1,60),ROW()-1,FALSE))</f>
        <v>0.98844458800000001</v>
      </c>
      <c r="S88">
        <f ca="1">IF(AND(ISNUMBER($S$760),$B$677=1),$S$760,HLOOKUP(INDIRECT(ADDRESS(2,COLUMN())),OFFSET($BN$2,0,0,ROW()-1,60),ROW()-1,FALSE))</f>
        <v>1.033473731</v>
      </c>
      <c r="T88">
        <f ca="1">IF(AND(ISNUMBER($T$760),$B$677=1),$T$760,HLOOKUP(INDIRECT(ADDRESS(2,COLUMN())),OFFSET($BN$2,0,0,ROW()-1,60),ROW()-1,FALSE))</f>
        <v>1.3064107149999999</v>
      </c>
      <c r="U88">
        <f ca="1">IF(AND(ISNUMBER($U$760),$B$677=1),$U$760,HLOOKUP(INDIRECT(ADDRESS(2,COLUMN())),OFFSET($BN$2,0,0,ROW()-1,60),ROW()-1,FALSE))</f>
        <v>1.330381553</v>
      </c>
      <c r="V88">
        <f ca="1">IF(AND(ISNUMBER($V$760),$B$677=1),$V$760,HLOOKUP(INDIRECT(ADDRESS(2,COLUMN())),OFFSET($BN$2,0,0,ROW()-1,60),ROW()-1,FALSE))</f>
        <v>1.5660948020000001</v>
      </c>
      <c r="W88" t="str">
        <f ca="1">IF(AND(ISNUMBER($W$760),$B$677=1),$W$760,HLOOKUP(INDIRECT(ADDRESS(2,COLUMN())),OFFSET($BN$2,0,0,ROW()-1,60),ROW()-1,FALSE))</f>
        <v/>
      </c>
      <c r="X88" t="str">
        <f ca="1">IF(AND(ISNUMBER($X$760),$B$677=1),$X$760,HLOOKUP(INDIRECT(ADDRESS(2,COLUMN())),OFFSET($BN$2,0,0,ROW()-1,60),ROW()-1,FALSE))</f>
        <v/>
      </c>
      <c r="Y88" t="str">
        <f ca="1">IF(AND(ISNUMBER($Y$760),$B$677=1),$Y$760,HLOOKUP(INDIRECT(ADDRESS(2,COLUMN())),OFFSET($BN$2,0,0,ROW()-1,60),ROW()-1,FALSE))</f>
        <v/>
      </c>
      <c r="Z88" t="str">
        <f ca="1">IF(AND(ISNUMBER($Z$760),$B$677=1),$Z$760,HLOOKUP(INDIRECT(ADDRESS(2,COLUMN())),OFFSET($BN$2,0,0,ROW()-1,60),ROW()-1,FALSE))</f>
        <v/>
      </c>
      <c r="AA88" t="str">
        <f ca="1">IF(AND(ISNUMBER($AA$760),$B$677=1),$AA$760,HLOOKUP(INDIRECT(ADDRESS(2,COLUMN())),OFFSET($BN$2,0,0,ROW()-1,60),ROW()-1,FALSE))</f>
        <v/>
      </c>
      <c r="AB88" t="str">
        <f ca="1">IF(AND(ISNUMBER($AB$760),$B$677=1),$AB$760,HLOOKUP(INDIRECT(ADDRESS(2,COLUMN())),OFFSET($BN$2,0,0,ROW()-1,60),ROW()-1,FALSE))</f>
        <v/>
      </c>
      <c r="AC88" t="str">
        <f ca="1">IF(AND(ISNUMBER($AC$760),$B$677=1),$AC$760,HLOOKUP(INDIRECT(ADDRESS(2,COLUMN())),OFFSET($BN$2,0,0,ROW()-1,60),ROW()-1,FALSE))</f>
        <v/>
      </c>
      <c r="AD88" t="str">
        <f ca="1">IF(AND(ISNUMBER($AD$760),$B$677=1),$AD$760,HLOOKUP(INDIRECT(ADDRESS(2,COLUMN())),OFFSET($BN$2,0,0,ROW()-1,60),ROW()-1,FALSE))</f>
        <v/>
      </c>
      <c r="AE88" t="str">
        <f ca="1">IF(AND(ISNUMBER($AE$760),$B$677=1),$AE$760,HLOOKUP(INDIRECT(ADDRESS(2,COLUMN())),OFFSET($BN$2,0,0,ROW()-1,60),ROW()-1,FALSE))</f>
        <v/>
      </c>
      <c r="AF88" t="str">
        <f ca="1">IF(AND(ISNUMBER($AF$760),$B$677=1),$AF$760,HLOOKUP(INDIRECT(ADDRESS(2,COLUMN())),OFFSET($BN$2,0,0,ROW()-1,60),ROW()-1,FALSE))</f>
        <v/>
      </c>
      <c r="AG88" t="str">
        <f ca="1">IF(AND(ISNUMBER($AG$760),$B$677=1),$AG$760,HLOOKUP(INDIRECT(ADDRESS(2,COLUMN())),OFFSET($BN$2,0,0,ROW()-1,60),ROW()-1,FALSE))</f>
        <v/>
      </c>
      <c r="AH88" t="str">
        <f ca="1">IF(AND(ISNUMBER($AH$760),$B$677=1),$AH$760,HLOOKUP(INDIRECT(ADDRESS(2,COLUMN())),OFFSET($BN$2,0,0,ROW()-1,60),ROW()-1,FALSE))</f>
        <v/>
      </c>
      <c r="AI88" t="str">
        <f ca="1">IF(AND(ISNUMBER($AI$760),$B$677=1),$AI$760,HLOOKUP(INDIRECT(ADDRESS(2,COLUMN())),OFFSET($BN$2,0,0,ROW()-1,60),ROW()-1,FALSE))</f>
        <v/>
      </c>
      <c r="AJ88" t="str">
        <f ca="1">IF(AND(ISNUMBER($AJ$760),$B$677=1),$AJ$760,HLOOKUP(INDIRECT(ADDRESS(2,COLUMN())),OFFSET($BN$2,0,0,ROW()-1,60),ROW()-1,FALSE))</f>
        <v/>
      </c>
      <c r="AK88" t="str">
        <f ca="1">IF(AND(ISNUMBER($AK$760),$B$677=1),$AK$760,HLOOKUP(INDIRECT(ADDRESS(2,COLUMN())),OFFSET($BN$2,0,0,ROW()-1,60),ROW()-1,FALSE))</f>
        <v/>
      </c>
      <c r="AL88" t="str">
        <f ca="1">IF(AND(ISNUMBER($AL$760),$B$677=1),$AL$760,HLOOKUP(INDIRECT(ADDRESS(2,COLUMN())),OFFSET($BN$2,0,0,ROW()-1,60),ROW()-1,FALSE))</f>
        <v/>
      </c>
      <c r="AM88" t="str">
        <f ca="1">IF(AND(ISNUMBER($AM$760),$B$677=1),$AM$760,HLOOKUP(INDIRECT(ADDRESS(2,COLUMN())),OFFSET($BN$2,0,0,ROW()-1,60),ROW()-1,FALSE))</f>
        <v/>
      </c>
      <c r="AN88" t="str">
        <f ca="1">IF(AND(ISNUMBER($AN$760),$B$677=1),$AN$760,HLOOKUP(INDIRECT(ADDRESS(2,COLUMN())),OFFSET($BN$2,0,0,ROW()-1,60),ROW()-1,FALSE))</f>
        <v/>
      </c>
      <c r="AO88" t="str">
        <f ca="1">IF(AND(ISNUMBER($AO$760),$B$677=1),$AO$760,HLOOKUP(INDIRECT(ADDRESS(2,COLUMN())),OFFSET($BN$2,0,0,ROW()-1,60),ROW()-1,FALSE))</f>
        <v/>
      </c>
      <c r="AP88" t="str">
        <f ca="1">IF(AND(ISNUMBER($AP$760),$B$677=1),$AP$760,HLOOKUP(INDIRECT(ADDRESS(2,COLUMN())),OFFSET($BN$2,0,0,ROW()-1,60),ROW()-1,FALSE))</f>
        <v/>
      </c>
      <c r="AQ88" t="str">
        <f ca="1">IF(AND(ISNUMBER($AQ$760),$B$677=1),$AQ$760,HLOOKUP(INDIRECT(ADDRESS(2,COLUMN())),OFFSET($BN$2,0,0,ROW()-1,60),ROW()-1,FALSE))</f>
        <v/>
      </c>
      <c r="AR88" t="str">
        <f ca="1">IF(AND(ISNUMBER($AR$760),$B$677=1),$AR$760,HLOOKUP(INDIRECT(ADDRESS(2,COLUMN())),OFFSET($BN$2,0,0,ROW()-1,60),ROW()-1,FALSE))</f>
        <v/>
      </c>
      <c r="AS88" t="str">
        <f ca="1">IF(AND(ISNUMBER($AS$760),$B$677=1),$AS$760,HLOOKUP(INDIRECT(ADDRESS(2,COLUMN())),OFFSET($BN$2,0,0,ROW()-1,60),ROW()-1,FALSE))</f>
        <v/>
      </c>
      <c r="AT88" t="str">
        <f ca="1">IF(AND(ISNUMBER($AT$760),$B$677=1),$AT$760,HLOOKUP(INDIRECT(ADDRESS(2,COLUMN())),OFFSET($BN$2,0,0,ROW()-1,60),ROW()-1,FALSE))</f>
        <v/>
      </c>
      <c r="AU88" t="str">
        <f ca="1">IF(AND(ISNUMBER($AU$760),$B$677=1),$AU$760,HLOOKUP(INDIRECT(ADDRESS(2,COLUMN())),OFFSET($BN$2,0,0,ROW()-1,60),ROW()-1,FALSE))</f>
        <v/>
      </c>
      <c r="AV88" t="str">
        <f ca="1">IF(AND(ISNUMBER($AV$760),$B$677=1),$AV$760,HLOOKUP(INDIRECT(ADDRESS(2,COLUMN())),OFFSET($BN$2,0,0,ROW()-1,60),ROW()-1,FALSE))</f>
        <v/>
      </c>
      <c r="AW88" t="str">
        <f ca="1">IF(AND(ISNUMBER($AW$760),$B$677=1),$AW$760,HLOOKUP(INDIRECT(ADDRESS(2,COLUMN())),OFFSET($BN$2,0,0,ROW()-1,60),ROW()-1,FALSE))</f>
        <v/>
      </c>
      <c r="AX88" t="str">
        <f ca="1">IF(AND(ISNUMBER($AX$760),$B$677=1),$AX$760,HLOOKUP(INDIRECT(ADDRESS(2,COLUMN())),OFFSET($BN$2,0,0,ROW()-1,60),ROW()-1,FALSE))</f>
        <v/>
      </c>
      <c r="AY88" t="str">
        <f ca="1">IF(AND(ISNUMBER($AY$760),$B$677=1),$AY$760,HLOOKUP(INDIRECT(ADDRESS(2,COLUMN())),OFFSET($BN$2,0,0,ROW()-1,60),ROW()-1,FALSE))</f>
        <v/>
      </c>
      <c r="AZ88" t="str">
        <f ca="1">IF(AND(ISNUMBER($AZ$760),$B$677=1),$AZ$760,HLOOKUP(INDIRECT(ADDRESS(2,COLUMN())),OFFSET($BN$2,0,0,ROW()-1,60),ROW()-1,FALSE))</f>
        <v/>
      </c>
      <c r="BA88" t="str">
        <f ca="1">IF(AND(ISNUMBER($BA$760),$B$677=1),$BA$760,HLOOKUP(INDIRECT(ADDRESS(2,COLUMN())),OFFSET($BN$2,0,0,ROW()-1,60),ROW()-1,FALSE))</f>
        <v/>
      </c>
      <c r="BB88" t="str">
        <f ca="1">IF(AND(ISNUMBER($BB$760),$B$677=1),$BB$760,HLOOKUP(INDIRECT(ADDRESS(2,COLUMN())),OFFSET($BN$2,0,0,ROW()-1,60),ROW()-1,FALSE))</f>
        <v/>
      </c>
      <c r="BC88" t="str">
        <f ca="1">IF(AND(ISNUMBER($BC$760),$B$677=1),$BC$760,HLOOKUP(INDIRECT(ADDRESS(2,COLUMN())),OFFSET($BN$2,0,0,ROW()-1,60),ROW()-1,FALSE))</f>
        <v/>
      </c>
      <c r="BD88" t="str">
        <f ca="1">IF(AND(ISNUMBER($BD$760),$B$677=1),$BD$760,HLOOKUP(INDIRECT(ADDRESS(2,COLUMN())),OFFSET($BN$2,0,0,ROW()-1,60),ROW()-1,FALSE))</f>
        <v/>
      </c>
      <c r="BE88" t="str">
        <f ca="1">IF(AND(ISNUMBER($BE$760),$B$677=1),$BE$760,HLOOKUP(INDIRECT(ADDRESS(2,COLUMN())),OFFSET($BN$2,0,0,ROW()-1,60),ROW()-1,FALSE))</f>
        <v/>
      </c>
      <c r="BF88" t="str">
        <f ca="1">IF(AND(ISNUMBER($BF$760),$B$677=1),$BF$760,HLOOKUP(INDIRECT(ADDRESS(2,COLUMN())),OFFSET($BN$2,0,0,ROW()-1,60),ROW()-1,FALSE))</f>
        <v/>
      </c>
      <c r="BG88" t="str">
        <f ca="1">IF(AND(ISNUMBER($BG$760),$B$677=1),$BG$760,HLOOKUP(INDIRECT(ADDRESS(2,COLUMN())),OFFSET($BN$2,0,0,ROW()-1,60),ROW()-1,FALSE))</f>
        <v/>
      </c>
      <c r="BH88" t="str">
        <f ca="1">IF(AND(ISNUMBER($BH$760),$B$677=1),$BH$760,HLOOKUP(INDIRECT(ADDRESS(2,COLUMN())),OFFSET($BN$2,0,0,ROW()-1,60),ROW()-1,FALSE))</f>
        <v/>
      </c>
      <c r="BI88" t="str">
        <f ca="1">IF(AND(ISNUMBER($BI$760),$B$677=1),$BI$760,HLOOKUP(INDIRECT(ADDRESS(2,COLUMN())),OFFSET($BN$2,0,0,ROW()-1,60),ROW()-1,FALSE))</f>
        <v/>
      </c>
      <c r="BJ88" t="str">
        <f ca="1">IF(AND(ISNUMBER($BJ$760),$B$677=1),$BJ$760,HLOOKUP(INDIRECT(ADDRESS(2,COLUMN())),OFFSET($BN$2,0,0,ROW()-1,60),ROW()-1,FALSE))</f>
        <v/>
      </c>
      <c r="BK88" t="str">
        <f ca="1">IF(AND(ISNUMBER($BK$760),$B$677=1),$BK$760,HLOOKUP(INDIRECT(ADDRESS(2,COLUMN())),OFFSET($BN$2,0,0,ROW()-1,60),ROW()-1,FALSE))</f>
        <v/>
      </c>
      <c r="BL88" t="str">
        <f ca="1">IF(AND(ISNUMBER($BL$760),$B$677=1),$BL$760,HLOOKUP(INDIRECT(ADDRESS(2,COLUMN())),OFFSET($BN$2,0,0,ROW()-1,60),ROW()-1,FALSE))</f>
        <v/>
      </c>
      <c r="BM88" t="str">
        <f ca="1">IF(AND(ISNUMBER($BM$760),$B$677=1),$BM$760,HLOOKUP(INDIRECT(ADDRESS(2,COLUMN())),OFFSET($BN$2,0,0,ROW()-1,60),ROW()-1,FALSE))</f>
        <v/>
      </c>
      <c r="BN88" t="str">
        <f>""</f>
        <v/>
      </c>
      <c r="BO88" t="str">
        <f>""</f>
        <v/>
      </c>
      <c r="BP88" t="str">
        <f>""</f>
        <v/>
      </c>
      <c r="BQ88" t="str">
        <f>""</f>
        <v/>
      </c>
      <c r="BR88" t="str">
        <f>""</f>
        <v/>
      </c>
      <c r="BS88" t="str">
        <f>""</f>
        <v/>
      </c>
      <c r="BT88" t="str">
        <f>""</f>
        <v/>
      </c>
      <c r="BU88" t="str">
        <f>""</f>
        <v/>
      </c>
      <c r="BV88" t="str">
        <f>""</f>
        <v/>
      </c>
      <c r="BW88" t="str">
        <f>""</f>
        <v/>
      </c>
      <c r="BX88" t="str">
        <f>""</f>
        <v/>
      </c>
      <c r="BY88">
        <f>0.957692979</f>
        <v>0.95769297900000006</v>
      </c>
      <c r="BZ88">
        <f>0.988444588</f>
        <v>0.98844458800000001</v>
      </c>
      <c r="CA88">
        <f>1.033473731</f>
        <v>1.033473731</v>
      </c>
      <c r="CB88">
        <f>1.306410715</f>
        <v>1.3064107149999999</v>
      </c>
      <c r="CC88">
        <f>1.330381553</f>
        <v>1.330381553</v>
      </c>
      <c r="CD88">
        <f>1.566094802</f>
        <v>1.5660948020000001</v>
      </c>
      <c r="CE88" t="str">
        <f>""</f>
        <v/>
      </c>
      <c r="CF88" t="str">
        <f>""</f>
        <v/>
      </c>
      <c r="CG88" t="str">
        <f>""</f>
        <v/>
      </c>
      <c r="CH88" t="str">
        <f>""</f>
        <v/>
      </c>
      <c r="CI88" t="str">
        <f>""</f>
        <v/>
      </c>
      <c r="CJ88" t="str">
        <f>""</f>
        <v/>
      </c>
      <c r="CK88" t="str">
        <f>""</f>
        <v/>
      </c>
      <c r="CL88" t="str">
        <f>""</f>
        <v/>
      </c>
      <c r="CM88" t="str">
        <f>""</f>
        <v/>
      </c>
      <c r="CN88" t="str">
        <f>""</f>
        <v/>
      </c>
      <c r="CO88" t="str">
        <f>""</f>
        <v/>
      </c>
      <c r="CP88" t="str">
        <f>""</f>
        <v/>
      </c>
      <c r="CQ88" t="str">
        <f>""</f>
        <v/>
      </c>
      <c r="CR88" t="str">
        <f>""</f>
        <v/>
      </c>
      <c r="CS88" t="str">
        <f>""</f>
        <v/>
      </c>
      <c r="CT88" t="str">
        <f>""</f>
        <v/>
      </c>
      <c r="CU88" t="str">
        <f>""</f>
        <v/>
      </c>
      <c r="CV88" t="str">
        <f>""</f>
        <v/>
      </c>
      <c r="CW88" t="str">
        <f>""</f>
        <v/>
      </c>
      <c r="CX88" t="str">
        <f>""</f>
        <v/>
      </c>
      <c r="CY88" t="str">
        <f>""</f>
        <v/>
      </c>
      <c r="CZ88" t="str">
        <f>""</f>
        <v/>
      </c>
      <c r="DA88" t="str">
        <f>""</f>
        <v/>
      </c>
      <c r="DB88" t="str">
        <f>""</f>
        <v/>
      </c>
      <c r="DC88" t="str">
        <f>""</f>
        <v/>
      </c>
      <c r="DD88" t="str">
        <f>""</f>
        <v/>
      </c>
      <c r="DE88" t="str">
        <f>""</f>
        <v/>
      </c>
      <c r="DF88" t="str">
        <f>""</f>
        <v/>
      </c>
      <c r="DG88" t="str">
        <f>""</f>
        <v/>
      </c>
      <c r="DH88" t="str">
        <f>""</f>
        <v/>
      </c>
      <c r="DI88" t="str">
        <f>""</f>
        <v/>
      </c>
      <c r="DJ88" t="str">
        <f>""</f>
        <v/>
      </c>
      <c r="DK88" t="str">
        <f>""</f>
        <v/>
      </c>
      <c r="DL88" t="str">
        <f>""</f>
        <v/>
      </c>
      <c r="DM88" t="str">
        <f>""</f>
        <v/>
      </c>
      <c r="DN88" t="str">
        <f>""</f>
        <v/>
      </c>
      <c r="DO88" t="str">
        <f>""</f>
        <v/>
      </c>
      <c r="DP88" t="str">
        <f>""</f>
        <v/>
      </c>
      <c r="DQ88" t="str">
        <f>""</f>
        <v/>
      </c>
      <c r="DR88" t="str">
        <f>""</f>
        <v/>
      </c>
      <c r="DS88" t="str">
        <f>""</f>
        <v/>
      </c>
      <c r="DT88" t="str">
        <f>""</f>
        <v/>
      </c>
      <c r="DU88" t="str">
        <f>""</f>
        <v/>
      </c>
    </row>
    <row r="89" spans="1:125" x14ac:dyDescent="0.25">
      <c r="A89" t="str">
        <f>"    Bayerische Motoren Werke AG"</f>
        <v xml:space="preserve">    Bayerische Motoren Werke AG</v>
      </c>
      <c r="B89" t="str">
        <f>"BMW GR Equity"</f>
        <v>BMW GR Equity</v>
      </c>
      <c r="C89" t="str">
        <f t="shared" si="6"/>
        <v>EZ010</v>
      </c>
      <c r="D89" t="str">
        <f t="shared" si="7"/>
        <v>BEST_EST_PE_NXT_YR</v>
      </c>
      <c r="E89" t="str">
        <f t="shared" si="8"/>
        <v>Dynamic</v>
      </c>
      <c r="F89">
        <f ca="1">IF(AND(ISNUMBER($F$761),$B$677=1),$F$761,HLOOKUP(INDIRECT(ADDRESS(2,COLUMN())),OFFSET($BN$2,0,0,ROW()-1,60),ROW()-1,FALSE))</f>
        <v>7.0977917980000003</v>
      </c>
      <c r="G89">
        <f ca="1">IF(AND(ISNUMBER($G$761),$B$677=1),$G$761,HLOOKUP(INDIRECT(ADDRESS(2,COLUMN())),OFFSET($BN$2,0,0,ROW()-1,60),ROW()-1,FALSE))</f>
        <v>6.5329883569999998</v>
      </c>
      <c r="H89">
        <f ca="1">IF(AND(ISNUMBER($H$761),$B$677=1),$H$761,HLOOKUP(INDIRECT(ADDRESS(2,COLUMN())),OFFSET($BN$2,0,0,ROW()-1,60),ROW()-1,FALSE))</f>
        <v>7.0282035</v>
      </c>
      <c r="I89">
        <f ca="1">IF(AND(ISNUMBER($I$761),$B$677=1),$I$761,HLOOKUP(INDIRECT(ADDRESS(2,COLUMN())),OFFSET($BN$2,0,0,ROW()-1,60),ROW()-1,FALSE))</f>
        <v>6.5773859979999996</v>
      </c>
      <c r="J89">
        <f ca="1">IF(AND(ISNUMBER($J$761),$B$677=1),$J$761,HLOOKUP(INDIRECT(ADDRESS(2,COLUMN())),OFFSET($BN$2,0,0,ROW()-1,60),ROW()-1,FALSE))</f>
        <v>7.4752181650000002</v>
      </c>
      <c r="K89">
        <f ca="1">IF(AND(ISNUMBER($K$761),$B$677=1),$K$761,HLOOKUP(INDIRECT(ADDRESS(2,COLUMN())),OFFSET($BN$2,0,0,ROW()-1,60),ROW()-1,FALSE))</f>
        <v>7.6313939179999997</v>
      </c>
      <c r="L89">
        <f ca="1">IF(AND(ISNUMBER($L$761),$B$677=1),$L$761,HLOOKUP(INDIRECT(ADDRESS(2,COLUMN())),OFFSET($BN$2,0,0,ROW()-1,60),ROW()-1,FALSE))</f>
        <v>7.6399178790000004</v>
      </c>
      <c r="M89">
        <f ca="1">IF(AND(ISNUMBER($M$761),$B$677=1),$M$761,HLOOKUP(INDIRECT(ADDRESS(2,COLUMN())),OFFSET($BN$2,0,0,ROW()-1,60),ROW()-1,FALSE))</f>
        <v>7.3800343919999998</v>
      </c>
      <c r="N89">
        <f ca="1">IF(AND(ISNUMBER($N$761),$B$677=1),$N$761,HLOOKUP(INDIRECT(ADDRESS(2,COLUMN())),OFFSET($BN$2,0,0,ROW()-1,60),ROW()-1,FALSE))</f>
        <v>8.0105854799999996</v>
      </c>
      <c r="O89">
        <f ca="1">IF(AND(ISNUMBER($O$761),$B$677=1),$O$761,HLOOKUP(INDIRECT(ADDRESS(2,COLUMN())),OFFSET($BN$2,0,0,ROW()-1,60),ROW()-1,FALSE))</f>
        <v>9.5327604729999997</v>
      </c>
      <c r="P89">
        <f ca="1">IF(AND(ISNUMBER($P$761),$B$677=1),$P$761,HLOOKUP(INDIRECT(ADDRESS(2,COLUMN())),OFFSET($BN$2,0,0,ROW()-1,60),ROW()-1,FALSE))</f>
        <v>7.2467280660000002</v>
      </c>
      <c r="Q89">
        <f ca="1">IF(AND(ISNUMBER($Q$761),$B$677=1),$Q$761,HLOOKUP(INDIRECT(ADDRESS(2,COLUMN())),OFFSET($BN$2,0,0,ROW()-1,60),ROW()-1,FALSE))</f>
        <v>7.4720840869999998</v>
      </c>
      <c r="R89">
        <f ca="1">IF(AND(ISNUMBER($R$761),$B$677=1),$R$761,HLOOKUP(INDIRECT(ADDRESS(2,COLUMN())),OFFSET($BN$2,0,0,ROW()-1,60),ROW()-1,FALSE))</f>
        <v>7.959861933</v>
      </c>
      <c r="S89">
        <f ca="1">IF(AND(ISNUMBER($S$761),$B$677=1),$S$761,HLOOKUP(INDIRECT(ADDRESS(2,COLUMN())),OFFSET($BN$2,0,0,ROW()-1,60),ROW()-1,FALSE))</f>
        <v>9.7367108810000005</v>
      </c>
      <c r="T89">
        <f ca="1">IF(AND(ISNUMBER($T$761),$B$677=1),$T$761,HLOOKUP(INDIRECT(ADDRESS(2,COLUMN())),OFFSET($BN$2,0,0,ROW()-1,60),ROW()-1,FALSE))</f>
        <v>7.5667655790000001</v>
      </c>
      <c r="U89">
        <f ca="1">IF(AND(ISNUMBER($U$761),$B$677=1),$U$761,HLOOKUP(INDIRECT(ADDRESS(2,COLUMN())),OFFSET($BN$2,0,0,ROW()-1,60),ROW()-1,FALSE))</f>
        <v>9.3155555559999996</v>
      </c>
      <c r="V89">
        <f ca="1">IF(AND(ISNUMBER($V$761),$B$677=1),$V$761,HLOOKUP(INDIRECT(ADDRESS(2,COLUMN())),OFFSET($BN$2,0,0,ROW()-1,60),ROW()-1,FALSE))</f>
        <v>11.99253886</v>
      </c>
      <c r="W89" t="str">
        <f ca="1">IF(AND(ISNUMBER($W$761),$B$677=1),$W$761,HLOOKUP(INDIRECT(ADDRESS(2,COLUMN())),OFFSET($BN$2,0,0,ROW()-1,60),ROW()-1,FALSE))</f>
        <v/>
      </c>
      <c r="X89" t="str">
        <f ca="1">IF(AND(ISNUMBER($X$761),$B$677=1),$X$761,HLOOKUP(INDIRECT(ADDRESS(2,COLUMN())),OFFSET($BN$2,0,0,ROW()-1,60),ROW()-1,FALSE))</f>
        <v/>
      </c>
      <c r="Y89" t="str">
        <f ca="1">IF(AND(ISNUMBER($Y$761),$B$677=1),$Y$761,HLOOKUP(INDIRECT(ADDRESS(2,COLUMN())),OFFSET($BN$2,0,0,ROW()-1,60),ROW()-1,FALSE))</f>
        <v/>
      </c>
      <c r="Z89" t="str">
        <f ca="1">IF(AND(ISNUMBER($Z$761),$B$677=1),$Z$761,HLOOKUP(INDIRECT(ADDRESS(2,COLUMN())),OFFSET($BN$2,0,0,ROW()-1,60),ROW()-1,FALSE))</f>
        <v/>
      </c>
      <c r="AA89" t="str">
        <f ca="1">IF(AND(ISNUMBER($AA$761),$B$677=1),$AA$761,HLOOKUP(INDIRECT(ADDRESS(2,COLUMN())),OFFSET($BN$2,0,0,ROW()-1,60),ROW()-1,FALSE))</f>
        <v/>
      </c>
      <c r="AB89" t="str">
        <f ca="1">IF(AND(ISNUMBER($AB$761),$B$677=1),$AB$761,HLOOKUP(INDIRECT(ADDRESS(2,COLUMN())),OFFSET($BN$2,0,0,ROW()-1,60),ROW()-1,FALSE))</f>
        <v/>
      </c>
      <c r="AC89" t="str">
        <f ca="1">IF(AND(ISNUMBER($AC$761),$B$677=1),$AC$761,HLOOKUP(INDIRECT(ADDRESS(2,COLUMN())),OFFSET($BN$2,0,0,ROW()-1,60),ROW()-1,FALSE))</f>
        <v/>
      </c>
      <c r="AD89" t="str">
        <f ca="1">IF(AND(ISNUMBER($AD$761),$B$677=1),$AD$761,HLOOKUP(INDIRECT(ADDRESS(2,COLUMN())),OFFSET($BN$2,0,0,ROW()-1,60),ROW()-1,FALSE))</f>
        <v/>
      </c>
      <c r="AE89" t="str">
        <f ca="1">IF(AND(ISNUMBER($AE$761),$B$677=1),$AE$761,HLOOKUP(INDIRECT(ADDRESS(2,COLUMN())),OFFSET($BN$2,0,0,ROW()-1,60),ROW()-1,FALSE))</f>
        <v/>
      </c>
      <c r="AF89" t="str">
        <f ca="1">IF(AND(ISNUMBER($AF$761),$B$677=1),$AF$761,HLOOKUP(INDIRECT(ADDRESS(2,COLUMN())),OFFSET($BN$2,0,0,ROW()-1,60),ROW()-1,FALSE))</f>
        <v/>
      </c>
      <c r="AG89" t="str">
        <f ca="1">IF(AND(ISNUMBER($AG$761),$B$677=1),$AG$761,HLOOKUP(INDIRECT(ADDRESS(2,COLUMN())),OFFSET($BN$2,0,0,ROW()-1,60),ROW()-1,FALSE))</f>
        <v/>
      </c>
      <c r="AH89" t="str">
        <f ca="1">IF(AND(ISNUMBER($AH$761),$B$677=1),$AH$761,HLOOKUP(INDIRECT(ADDRESS(2,COLUMN())),OFFSET($BN$2,0,0,ROW()-1,60),ROW()-1,FALSE))</f>
        <v/>
      </c>
      <c r="AI89" t="str">
        <f ca="1">IF(AND(ISNUMBER($AI$761),$B$677=1),$AI$761,HLOOKUP(INDIRECT(ADDRESS(2,COLUMN())),OFFSET($BN$2,0,0,ROW()-1,60),ROW()-1,FALSE))</f>
        <v/>
      </c>
      <c r="AJ89" t="str">
        <f ca="1">IF(AND(ISNUMBER($AJ$761),$B$677=1),$AJ$761,HLOOKUP(INDIRECT(ADDRESS(2,COLUMN())),OFFSET($BN$2,0,0,ROW()-1,60),ROW()-1,FALSE))</f>
        <v/>
      </c>
      <c r="AK89" t="str">
        <f ca="1">IF(AND(ISNUMBER($AK$761),$B$677=1),$AK$761,HLOOKUP(INDIRECT(ADDRESS(2,COLUMN())),OFFSET($BN$2,0,0,ROW()-1,60),ROW()-1,FALSE))</f>
        <v/>
      </c>
      <c r="AL89" t="str">
        <f ca="1">IF(AND(ISNUMBER($AL$761),$B$677=1),$AL$761,HLOOKUP(INDIRECT(ADDRESS(2,COLUMN())),OFFSET($BN$2,0,0,ROW()-1,60),ROW()-1,FALSE))</f>
        <v/>
      </c>
      <c r="AM89" t="str">
        <f ca="1">IF(AND(ISNUMBER($AM$761),$B$677=1),$AM$761,HLOOKUP(INDIRECT(ADDRESS(2,COLUMN())),OFFSET($BN$2,0,0,ROW()-1,60),ROW()-1,FALSE))</f>
        <v/>
      </c>
      <c r="AN89" t="str">
        <f ca="1">IF(AND(ISNUMBER($AN$761),$B$677=1),$AN$761,HLOOKUP(INDIRECT(ADDRESS(2,COLUMN())),OFFSET($BN$2,0,0,ROW()-1,60),ROW()-1,FALSE))</f>
        <v/>
      </c>
      <c r="AO89" t="str">
        <f ca="1">IF(AND(ISNUMBER($AO$761),$B$677=1),$AO$761,HLOOKUP(INDIRECT(ADDRESS(2,COLUMN())),OFFSET($BN$2,0,0,ROW()-1,60),ROW()-1,FALSE))</f>
        <v/>
      </c>
      <c r="AP89" t="str">
        <f ca="1">IF(AND(ISNUMBER($AP$761),$B$677=1),$AP$761,HLOOKUP(INDIRECT(ADDRESS(2,COLUMN())),OFFSET($BN$2,0,0,ROW()-1,60),ROW()-1,FALSE))</f>
        <v/>
      </c>
      <c r="AQ89" t="str">
        <f ca="1">IF(AND(ISNUMBER($AQ$761),$B$677=1),$AQ$761,HLOOKUP(INDIRECT(ADDRESS(2,COLUMN())),OFFSET($BN$2,0,0,ROW()-1,60),ROW()-1,FALSE))</f>
        <v/>
      </c>
      <c r="AR89" t="str">
        <f ca="1">IF(AND(ISNUMBER($AR$761),$B$677=1),$AR$761,HLOOKUP(INDIRECT(ADDRESS(2,COLUMN())),OFFSET($BN$2,0,0,ROW()-1,60),ROW()-1,FALSE))</f>
        <v/>
      </c>
      <c r="AS89" t="str">
        <f ca="1">IF(AND(ISNUMBER($AS$761),$B$677=1),$AS$761,HLOOKUP(INDIRECT(ADDRESS(2,COLUMN())),OFFSET($BN$2,0,0,ROW()-1,60),ROW()-1,FALSE))</f>
        <v/>
      </c>
      <c r="AT89" t="str">
        <f ca="1">IF(AND(ISNUMBER($AT$761),$B$677=1),$AT$761,HLOOKUP(INDIRECT(ADDRESS(2,COLUMN())),OFFSET($BN$2,0,0,ROW()-1,60),ROW()-1,FALSE))</f>
        <v/>
      </c>
      <c r="AU89" t="str">
        <f ca="1">IF(AND(ISNUMBER($AU$761),$B$677=1),$AU$761,HLOOKUP(INDIRECT(ADDRESS(2,COLUMN())),OFFSET($BN$2,0,0,ROW()-1,60),ROW()-1,FALSE))</f>
        <v/>
      </c>
      <c r="AV89" t="str">
        <f ca="1">IF(AND(ISNUMBER($AV$761),$B$677=1),$AV$761,HLOOKUP(INDIRECT(ADDRESS(2,COLUMN())),OFFSET($BN$2,0,0,ROW()-1,60),ROW()-1,FALSE))</f>
        <v/>
      </c>
      <c r="AW89" t="str">
        <f ca="1">IF(AND(ISNUMBER($AW$761),$B$677=1),$AW$761,HLOOKUP(INDIRECT(ADDRESS(2,COLUMN())),OFFSET($BN$2,0,0,ROW()-1,60),ROW()-1,FALSE))</f>
        <v/>
      </c>
      <c r="AX89" t="str">
        <f ca="1">IF(AND(ISNUMBER($AX$761),$B$677=1),$AX$761,HLOOKUP(INDIRECT(ADDRESS(2,COLUMN())),OFFSET($BN$2,0,0,ROW()-1,60),ROW()-1,FALSE))</f>
        <v/>
      </c>
      <c r="AY89" t="str">
        <f ca="1">IF(AND(ISNUMBER($AY$761),$B$677=1),$AY$761,HLOOKUP(INDIRECT(ADDRESS(2,COLUMN())),OFFSET($BN$2,0,0,ROW()-1,60),ROW()-1,FALSE))</f>
        <v/>
      </c>
      <c r="AZ89" t="str">
        <f ca="1">IF(AND(ISNUMBER($AZ$761),$B$677=1),$AZ$761,HLOOKUP(INDIRECT(ADDRESS(2,COLUMN())),OFFSET($BN$2,0,0,ROW()-1,60),ROW()-1,FALSE))</f>
        <v/>
      </c>
      <c r="BA89" t="str">
        <f ca="1">IF(AND(ISNUMBER($BA$761),$B$677=1),$BA$761,HLOOKUP(INDIRECT(ADDRESS(2,COLUMN())),OFFSET($BN$2,0,0,ROW()-1,60),ROW()-1,FALSE))</f>
        <v/>
      </c>
      <c r="BB89" t="str">
        <f ca="1">IF(AND(ISNUMBER($BB$761),$B$677=1),$BB$761,HLOOKUP(INDIRECT(ADDRESS(2,COLUMN())),OFFSET($BN$2,0,0,ROW()-1,60),ROW()-1,FALSE))</f>
        <v/>
      </c>
      <c r="BC89" t="str">
        <f ca="1">IF(AND(ISNUMBER($BC$761),$B$677=1),$BC$761,HLOOKUP(INDIRECT(ADDRESS(2,COLUMN())),OFFSET($BN$2,0,0,ROW()-1,60),ROW()-1,FALSE))</f>
        <v/>
      </c>
      <c r="BD89" t="str">
        <f ca="1">IF(AND(ISNUMBER($BD$761),$B$677=1),$BD$761,HLOOKUP(INDIRECT(ADDRESS(2,COLUMN())),OFFSET($BN$2,0,0,ROW()-1,60),ROW()-1,FALSE))</f>
        <v/>
      </c>
      <c r="BE89" t="str">
        <f ca="1">IF(AND(ISNUMBER($BE$761),$B$677=1),$BE$761,HLOOKUP(INDIRECT(ADDRESS(2,COLUMN())),OFFSET($BN$2,0,0,ROW()-1,60),ROW()-1,FALSE))</f>
        <v/>
      </c>
      <c r="BF89" t="str">
        <f ca="1">IF(AND(ISNUMBER($BF$761),$B$677=1),$BF$761,HLOOKUP(INDIRECT(ADDRESS(2,COLUMN())),OFFSET($BN$2,0,0,ROW()-1,60),ROW()-1,FALSE))</f>
        <v/>
      </c>
      <c r="BG89" t="str">
        <f ca="1">IF(AND(ISNUMBER($BG$761),$B$677=1),$BG$761,HLOOKUP(INDIRECT(ADDRESS(2,COLUMN())),OFFSET($BN$2,0,0,ROW()-1,60),ROW()-1,FALSE))</f>
        <v/>
      </c>
      <c r="BH89" t="str">
        <f ca="1">IF(AND(ISNUMBER($BH$761),$B$677=1),$BH$761,HLOOKUP(INDIRECT(ADDRESS(2,COLUMN())),OFFSET($BN$2,0,0,ROW()-1,60),ROW()-1,FALSE))</f>
        <v/>
      </c>
      <c r="BI89" t="str">
        <f ca="1">IF(AND(ISNUMBER($BI$761),$B$677=1),$BI$761,HLOOKUP(INDIRECT(ADDRESS(2,COLUMN())),OFFSET($BN$2,0,0,ROW()-1,60),ROW()-1,FALSE))</f>
        <v/>
      </c>
      <c r="BJ89" t="str">
        <f ca="1">IF(AND(ISNUMBER($BJ$761),$B$677=1),$BJ$761,HLOOKUP(INDIRECT(ADDRESS(2,COLUMN())),OFFSET($BN$2,0,0,ROW()-1,60),ROW()-1,FALSE))</f>
        <v/>
      </c>
      <c r="BK89" t="str">
        <f ca="1">IF(AND(ISNUMBER($BK$761),$B$677=1),$BK$761,HLOOKUP(INDIRECT(ADDRESS(2,COLUMN())),OFFSET($BN$2,0,0,ROW()-1,60),ROW()-1,FALSE))</f>
        <v/>
      </c>
      <c r="BL89" t="str">
        <f ca="1">IF(AND(ISNUMBER($BL$761),$B$677=1),$BL$761,HLOOKUP(INDIRECT(ADDRESS(2,COLUMN())),OFFSET($BN$2,0,0,ROW()-1,60),ROW()-1,FALSE))</f>
        <v/>
      </c>
      <c r="BM89" t="str">
        <f ca="1">IF(AND(ISNUMBER($BM$761),$B$677=1),$BM$761,HLOOKUP(INDIRECT(ADDRESS(2,COLUMN())),OFFSET($BN$2,0,0,ROW()-1,60),ROW()-1,FALSE))</f>
        <v/>
      </c>
      <c r="BN89">
        <f>7.097791798</f>
        <v>7.0977917980000003</v>
      </c>
      <c r="BO89">
        <f>6.532988357</f>
        <v>6.5329883569999998</v>
      </c>
      <c r="BP89">
        <f>7.0282035</f>
        <v>7.0282035</v>
      </c>
      <c r="BQ89">
        <f>6.577385998</f>
        <v>6.5773859979999996</v>
      </c>
      <c r="BR89">
        <f>7.475218165</f>
        <v>7.4752181650000002</v>
      </c>
      <c r="BS89">
        <f>7.631393918</f>
        <v>7.6313939179999997</v>
      </c>
      <c r="BT89">
        <f>7.639917879</f>
        <v>7.6399178790000004</v>
      </c>
      <c r="BU89">
        <f>7.380034392</f>
        <v>7.3800343919999998</v>
      </c>
      <c r="BV89">
        <f>8.01058548</f>
        <v>8.0105854799999996</v>
      </c>
      <c r="BW89">
        <f>9.532760473</f>
        <v>9.5327604729999997</v>
      </c>
      <c r="BX89">
        <f>7.246728066</f>
        <v>7.2467280660000002</v>
      </c>
      <c r="BY89">
        <f>7.472084087</f>
        <v>7.4720840869999998</v>
      </c>
      <c r="BZ89">
        <f>7.959861933</f>
        <v>7.959861933</v>
      </c>
      <c r="CA89">
        <f>9.736710881</f>
        <v>9.7367108810000005</v>
      </c>
      <c r="CB89">
        <f>7.566765579</f>
        <v>7.5667655790000001</v>
      </c>
      <c r="CC89">
        <f>9.315555556</f>
        <v>9.3155555559999996</v>
      </c>
      <c r="CD89">
        <f>11.99253886</f>
        <v>11.99253886</v>
      </c>
      <c r="CE89" t="str">
        <f>""</f>
        <v/>
      </c>
      <c r="CF89" t="str">
        <f>""</f>
        <v/>
      </c>
      <c r="CG89" t="str">
        <f>""</f>
        <v/>
      </c>
      <c r="CH89" t="str">
        <f>""</f>
        <v/>
      </c>
      <c r="CI89" t="str">
        <f>""</f>
        <v/>
      </c>
      <c r="CJ89" t="str">
        <f>""</f>
        <v/>
      </c>
      <c r="CK89" t="str">
        <f>""</f>
        <v/>
      </c>
      <c r="CL89" t="str">
        <f>""</f>
        <v/>
      </c>
      <c r="CM89" t="str">
        <f>""</f>
        <v/>
      </c>
      <c r="CN89" t="str">
        <f>""</f>
        <v/>
      </c>
      <c r="CO89" t="str">
        <f>""</f>
        <v/>
      </c>
      <c r="CP89" t="str">
        <f>""</f>
        <v/>
      </c>
      <c r="CQ89" t="str">
        <f>""</f>
        <v/>
      </c>
      <c r="CR89" t="str">
        <f>""</f>
        <v/>
      </c>
      <c r="CS89" t="str">
        <f>""</f>
        <v/>
      </c>
      <c r="CT89" t="str">
        <f>""</f>
        <v/>
      </c>
      <c r="CU89" t="str">
        <f>""</f>
        <v/>
      </c>
      <c r="CV89" t="str">
        <f>""</f>
        <v/>
      </c>
      <c r="CW89" t="str">
        <f>""</f>
        <v/>
      </c>
      <c r="CX89" t="str">
        <f>""</f>
        <v/>
      </c>
      <c r="CY89" t="str">
        <f>""</f>
        <v/>
      </c>
      <c r="CZ89" t="str">
        <f>""</f>
        <v/>
      </c>
      <c r="DA89" t="str">
        <f>""</f>
        <v/>
      </c>
      <c r="DB89" t="str">
        <f>""</f>
        <v/>
      </c>
      <c r="DC89" t="str">
        <f>""</f>
        <v/>
      </c>
      <c r="DD89" t="str">
        <f>""</f>
        <v/>
      </c>
      <c r="DE89" t="str">
        <f>""</f>
        <v/>
      </c>
      <c r="DF89" t="str">
        <f>""</f>
        <v/>
      </c>
      <c r="DG89" t="str">
        <f>""</f>
        <v/>
      </c>
      <c r="DH89" t="str">
        <f>""</f>
        <v/>
      </c>
      <c r="DI89" t="str">
        <f>""</f>
        <v/>
      </c>
      <c r="DJ89" t="str">
        <f>""</f>
        <v/>
      </c>
      <c r="DK89" t="str">
        <f>""</f>
        <v/>
      </c>
      <c r="DL89" t="str">
        <f>""</f>
        <v/>
      </c>
      <c r="DM89" t="str">
        <f>""</f>
        <v/>
      </c>
      <c r="DN89" t="str">
        <f>""</f>
        <v/>
      </c>
      <c r="DO89" t="str">
        <f>""</f>
        <v/>
      </c>
      <c r="DP89" t="str">
        <f>""</f>
        <v/>
      </c>
      <c r="DQ89" t="str">
        <f>""</f>
        <v/>
      </c>
      <c r="DR89" t="str">
        <f>""</f>
        <v/>
      </c>
      <c r="DS89" t="str">
        <f>""</f>
        <v/>
      </c>
      <c r="DT89" t="str">
        <f>""</f>
        <v/>
      </c>
      <c r="DU89" t="str">
        <f>""</f>
        <v/>
      </c>
    </row>
    <row r="90" spans="1:125" x14ac:dyDescent="0.25">
      <c r="A90" t="str">
        <f>"    Brilliance China Automotive Holdings Ltd"</f>
        <v xml:space="preserve">    Brilliance China Automotive Holdings Ltd</v>
      </c>
      <c r="B90" t="str">
        <f>"1114 HK Equity"</f>
        <v>1114 HK Equity</v>
      </c>
      <c r="C90" t="str">
        <f t="shared" si="6"/>
        <v>EZ010</v>
      </c>
      <c r="D90" t="str">
        <f t="shared" si="7"/>
        <v>BEST_EST_PE_NXT_YR</v>
      </c>
      <c r="E90" t="str">
        <f t="shared" si="8"/>
        <v>Dynamic</v>
      </c>
      <c r="F90">
        <f ca="1">IF(AND(ISNUMBER($F$762),$B$677=1),$F$762,HLOOKUP(INDIRECT(ADDRESS(2,COLUMN())),OFFSET($BN$2,0,0,ROW()-1,60),ROW()-1,FALSE))</f>
        <v>4.418756546</v>
      </c>
      <c r="G90">
        <f ca="1">IF(AND(ISNUMBER($G$762),$B$677=1),$G$762,HLOOKUP(INDIRECT(ADDRESS(2,COLUMN())),OFFSET($BN$2,0,0,ROW()-1,60),ROW()-1,FALSE))</f>
        <v>3.375148974</v>
      </c>
      <c r="H90">
        <f ca="1">IF(AND(ISNUMBER($H$762),$B$677=1),$H$762,HLOOKUP(INDIRECT(ADDRESS(2,COLUMN())),OFFSET($BN$2,0,0,ROW()-1,60),ROW()-1,FALSE))</f>
        <v>6.8428248500000004</v>
      </c>
      <c r="I90">
        <f ca="1">IF(AND(ISNUMBER($I$762),$B$677=1),$I$762,HLOOKUP(INDIRECT(ADDRESS(2,COLUMN())),OFFSET($BN$2,0,0,ROW()-1,60),ROW()-1,FALSE))</f>
        <v>6.9784710890000001</v>
      </c>
      <c r="J90">
        <f ca="1">IF(AND(ISNUMBER($J$762),$B$677=1),$J$762,HLOOKUP(INDIRECT(ADDRESS(2,COLUMN())),OFFSET($BN$2,0,0,ROW()-1,60),ROW()-1,FALSE))</f>
        <v>7.276299485</v>
      </c>
      <c r="K90">
        <f ca="1">IF(AND(ISNUMBER($K$762),$B$677=1),$K$762,HLOOKUP(INDIRECT(ADDRESS(2,COLUMN())),OFFSET($BN$2,0,0,ROW()-1,60),ROW()-1,FALSE))</f>
        <v>8.9727677650000004</v>
      </c>
      <c r="L90">
        <f ca="1">IF(AND(ISNUMBER($L$762),$B$677=1),$L$762,HLOOKUP(INDIRECT(ADDRESS(2,COLUMN())),OFFSET($BN$2,0,0,ROW()-1,60),ROW()-1,FALSE))</f>
        <v>9.1868646199999997</v>
      </c>
      <c r="M90">
        <f ca="1">IF(AND(ISNUMBER($M$762),$B$677=1),$M$762,HLOOKUP(INDIRECT(ADDRESS(2,COLUMN())),OFFSET($BN$2,0,0,ROW()-1,60),ROW()-1,FALSE))</f>
        <v>7.970808957</v>
      </c>
      <c r="N90">
        <f ca="1">IF(AND(ISNUMBER($N$762),$B$677=1),$N$762,HLOOKUP(INDIRECT(ADDRESS(2,COLUMN())),OFFSET($BN$2,0,0,ROW()-1,60),ROW()-1,FALSE))</f>
        <v>7.4512325659999998</v>
      </c>
      <c r="O90">
        <f ca="1">IF(AND(ISNUMBER($O$762),$B$677=1),$O$762,HLOOKUP(INDIRECT(ADDRESS(2,COLUMN())),OFFSET($BN$2,0,0,ROW()-1,60),ROW()-1,FALSE))</f>
        <v>7.080403123</v>
      </c>
      <c r="P90" t="str">
        <f ca="1">IF(AND(ISNUMBER($P$762),$B$677=1),$P$762,HLOOKUP(INDIRECT(ADDRESS(2,COLUMN())),OFFSET($BN$2,0,0,ROW()-1,60),ROW()-1,FALSE))</f>
        <v/>
      </c>
      <c r="Q90" t="str">
        <f ca="1">IF(AND(ISNUMBER($Q$762),$B$677=1),$Q$762,HLOOKUP(INDIRECT(ADDRESS(2,COLUMN())),OFFSET($BN$2,0,0,ROW()-1,60),ROW()-1,FALSE))</f>
        <v/>
      </c>
      <c r="R90" t="str">
        <f ca="1">IF(AND(ISNUMBER($R$762),$B$677=1),$R$762,HLOOKUP(INDIRECT(ADDRESS(2,COLUMN())),OFFSET($BN$2,0,0,ROW()-1,60),ROW()-1,FALSE))</f>
        <v/>
      </c>
      <c r="S90" t="str">
        <f ca="1">IF(AND(ISNUMBER($S$762),$B$677=1),$S$762,HLOOKUP(INDIRECT(ADDRESS(2,COLUMN())),OFFSET($BN$2,0,0,ROW()-1,60),ROW()-1,FALSE))</f>
        <v/>
      </c>
      <c r="T90" t="str">
        <f ca="1">IF(AND(ISNUMBER($T$762),$B$677=1),$T$762,HLOOKUP(INDIRECT(ADDRESS(2,COLUMN())),OFFSET($BN$2,0,0,ROW()-1,60),ROW()-1,FALSE))</f>
        <v/>
      </c>
      <c r="U90" t="str">
        <f ca="1">IF(AND(ISNUMBER($U$762),$B$677=1),$U$762,HLOOKUP(INDIRECT(ADDRESS(2,COLUMN())),OFFSET($BN$2,0,0,ROW()-1,60),ROW()-1,FALSE))</f>
        <v/>
      </c>
      <c r="V90" t="str">
        <f ca="1">IF(AND(ISNUMBER($V$762),$B$677=1),$V$762,HLOOKUP(INDIRECT(ADDRESS(2,COLUMN())),OFFSET($BN$2,0,0,ROW()-1,60),ROW()-1,FALSE))</f>
        <v/>
      </c>
      <c r="W90" t="str">
        <f ca="1">IF(AND(ISNUMBER($W$762),$B$677=1),$W$762,HLOOKUP(INDIRECT(ADDRESS(2,COLUMN())),OFFSET($BN$2,0,0,ROW()-1,60),ROW()-1,FALSE))</f>
        <v/>
      </c>
      <c r="X90" t="str">
        <f ca="1">IF(AND(ISNUMBER($X$762),$B$677=1),$X$762,HLOOKUP(INDIRECT(ADDRESS(2,COLUMN())),OFFSET($BN$2,0,0,ROW()-1,60),ROW()-1,FALSE))</f>
        <v/>
      </c>
      <c r="Y90" t="str">
        <f ca="1">IF(AND(ISNUMBER($Y$762),$B$677=1),$Y$762,HLOOKUP(INDIRECT(ADDRESS(2,COLUMN())),OFFSET($BN$2,0,0,ROW()-1,60),ROW()-1,FALSE))</f>
        <v/>
      </c>
      <c r="Z90" t="str">
        <f ca="1">IF(AND(ISNUMBER($Z$762),$B$677=1),$Z$762,HLOOKUP(INDIRECT(ADDRESS(2,COLUMN())),OFFSET($BN$2,0,0,ROW()-1,60),ROW()-1,FALSE))</f>
        <v/>
      </c>
      <c r="AA90" t="str">
        <f ca="1">IF(AND(ISNUMBER($AA$762),$B$677=1),$AA$762,HLOOKUP(INDIRECT(ADDRESS(2,COLUMN())),OFFSET($BN$2,0,0,ROW()-1,60),ROW()-1,FALSE))</f>
        <v/>
      </c>
      <c r="AB90" t="str">
        <f ca="1">IF(AND(ISNUMBER($AB$762),$B$677=1),$AB$762,HLOOKUP(INDIRECT(ADDRESS(2,COLUMN())),OFFSET($BN$2,0,0,ROW()-1,60),ROW()-1,FALSE))</f>
        <v/>
      </c>
      <c r="AC90" t="str">
        <f ca="1">IF(AND(ISNUMBER($AC$762),$B$677=1),$AC$762,HLOOKUP(INDIRECT(ADDRESS(2,COLUMN())),OFFSET($BN$2,0,0,ROW()-1,60),ROW()-1,FALSE))</f>
        <v/>
      </c>
      <c r="AD90" t="str">
        <f ca="1">IF(AND(ISNUMBER($AD$762),$B$677=1),$AD$762,HLOOKUP(INDIRECT(ADDRESS(2,COLUMN())),OFFSET($BN$2,0,0,ROW()-1,60),ROW()-1,FALSE))</f>
        <v/>
      </c>
      <c r="AE90" t="str">
        <f ca="1">IF(AND(ISNUMBER($AE$762),$B$677=1),$AE$762,HLOOKUP(INDIRECT(ADDRESS(2,COLUMN())),OFFSET($BN$2,0,0,ROW()-1,60),ROW()-1,FALSE))</f>
        <v/>
      </c>
      <c r="AF90" t="str">
        <f ca="1">IF(AND(ISNUMBER($AF$762),$B$677=1),$AF$762,HLOOKUP(INDIRECT(ADDRESS(2,COLUMN())),OFFSET($BN$2,0,0,ROW()-1,60),ROW()-1,FALSE))</f>
        <v/>
      </c>
      <c r="AG90" t="str">
        <f ca="1">IF(AND(ISNUMBER($AG$762),$B$677=1),$AG$762,HLOOKUP(INDIRECT(ADDRESS(2,COLUMN())),OFFSET($BN$2,0,0,ROW()-1,60),ROW()-1,FALSE))</f>
        <v/>
      </c>
      <c r="AH90" t="str">
        <f ca="1">IF(AND(ISNUMBER($AH$762),$B$677=1),$AH$762,HLOOKUP(INDIRECT(ADDRESS(2,COLUMN())),OFFSET($BN$2,0,0,ROW()-1,60),ROW()-1,FALSE))</f>
        <v/>
      </c>
      <c r="AI90" t="str">
        <f ca="1">IF(AND(ISNUMBER($AI$762),$B$677=1),$AI$762,HLOOKUP(INDIRECT(ADDRESS(2,COLUMN())),OFFSET($BN$2,0,0,ROW()-1,60),ROW()-1,FALSE))</f>
        <v/>
      </c>
      <c r="AJ90" t="str">
        <f ca="1">IF(AND(ISNUMBER($AJ$762),$B$677=1),$AJ$762,HLOOKUP(INDIRECT(ADDRESS(2,COLUMN())),OFFSET($BN$2,0,0,ROW()-1,60),ROW()-1,FALSE))</f>
        <v/>
      </c>
      <c r="AK90" t="str">
        <f ca="1">IF(AND(ISNUMBER($AK$762),$B$677=1),$AK$762,HLOOKUP(INDIRECT(ADDRESS(2,COLUMN())),OFFSET($BN$2,0,0,ROW()-1,60),ROW()-1,FALSE))</f>
        <v/>
      </c>
      <c r="AL90" t="str">
        <f ca="1">IF(AND(ISNUMBER($AL$762),$B$677=1),$AL$762,HLOOKUP(INDIRECT(ADDRESS(2,COLUMN())),OFFSET($BN$2,0,0,ROW()-1,60),ROW()-1,FALSE))</f>
        <v/>
      </c>
      <c r="AM90" t="str">
        <f ca="1">IF(AND(ISNUMBER($AM$762),$B$677=1),$AM$762,HLOOKUP(INDIRECT(ADDRESS(2,COLUMN())),OFFSET($BN$2,0,0,ROW()-1,60),ROW()-1,FALSE))</f>
        <v/>
      </c>
      <c r="AN90" t="str">
        <f ca="1">IF(AND(ISNUMBER($AN$762),$B$677=1),$AN$762,HLOOKUP(INDIRECT(ADDRESS(2,COLUMN())),OFFSET($BN$2,0,0,ROW()-1,60),ROW()-1,FALSE))</f>
        <v/>
      </c>
      <c r="AO90" t="str">
        <f ca="1">IF(AND(ISNUMBER($AO$762),$B$677=1),$AO$762,HLOOKUP(INDIRECT(ADDRESS(2,COLUMN())),OFFSET($BN$2,0,0,ROW()-1,60),ROW()-1,FALSE))</f>
        <v/>
      </c>
      <c r="AP90" t="str">
        <f ca="1">IF(AND(ISNUMBER($AP$762),$B$677=1),$AP$762,HLOOKUP(INDIRECT(ADDRESS(2,COLUMN())),OFFSET($BN$2,0,0,ROW()-1,60),ROW()-1,FALSE))</f>
        <v/>
      </c>
      <c r="AQ90" t="str">
        <f ca="1">IF(AND(ISNUMBER($AQ$762),$B$677=1),$AQ$762,HLOOKUP(INDIRECT(ADDRESS(2,COLUMN())),OFFSET($BN$2,0,0,ROW()-1,60),ROW()-1,FALSE))</f>
        <v/>
      </c>
      <c r="AR90" t="str">
        <f ca="1">IF(AND(ISNUMBER($AR$762),$B$677=1),$AR$762,HLOOKUP(INDIRECT(ADDRESS(2,COLUMN())),OFFSET($BN$2,0,0,ROW()-1,60),ROW()-1,FALSE))</f>
        <v/>
      </c>
      <c r="AS90" t="str">
        <f ca="1">IF(AND(ISNUMBER($AS$762),$B$677=1),$AS$762,HLOOKUP(INDIRECT(ADDRESS(2,COLUMN())),OFFSET($BN$2,0,0,ROW()-1,60),ROW()-1,FALSE))</f>
        <v/>
      </c>
      <c r="AT90" t="str">
        <f ca="1">IF(AND(ISNUMBER($AT$762),$B$677=1),$AT$762,HLOOKUP(INDIRECT(ADDRESS(2,COLUMN())),OFFSET($BN$2,0,0,ROW()-1,60),ROW()-1,FALSE))</f>
        <v/>
      </c>
      <c r="AU90" t="str">
        <f ca="1">IF(AND(ISNUMBER($AU$762),$B$677=1),$AU$762,HLOOKUP(INDIRECT(ADDRESS(2,COLUMN())),OFFSET($BN$2,0,0,ROW()-1,60),ROW()-1,FALSE))</f>
        <v/>
      </c>
      <c r="AV90" t="str">
        <f ca="1">IF(AND(ISNUMBER($AV$762),$B$677=1),$AV$762,HLOOKUP(INDIRECT(ADDRESS(2,COLUMN())),OFFSET($BN$2,0,0,ROW()-1,60),ROW()-1,FALSE))</f>
        <v/>
      </c>
      <c r="AW90" t="str">
        <f ca="1">IF(AND(ISNUMBER($AW$762),$B$677=1),$AW$762,HLOOKUP(INDIRECT(ADDRESS(2,COLUMN())),OFFSET($BN$2,0,0,ROW()-1,60),ROW()-1,FALSE))</f>
        <v/>
      </c>
      <c r="AX90" t="str">
        <f ca="1">IF(AND(ISNUMBER($AX$762),$B$677=1),$AX$762,HLOOKUP(INDIRECT(ADDRESS(2,COLUMN())),OFFSET($BN$2,0,0,ROW()-1,60),ROW()-1,FALSE))</f>
        <v/>
      </c>
      <c r="AY90" t="str">
        <f ca="1">IF(AND(ISNUMBER($AY$762),$B$677=1),$AY$762,HLOOKUP(INDIRECT(ADDRESS(2,COLUMN())),OFFSET($BN$2,0,0,ROW()-1,60),ROW()-1,FALSE))</f>
        <v/>
      </c>
      <c r="AZ90" t="str">
        <f ca="1">IF(AND(ISNUMBER($AZ$762),$B$677=1),$AZ$762,HLOOKUP(INDIRECT(ADDRESS(2,COLUMN())),OFFSET($BN$2,0,0,ROW()-1,60),ROW()-1,FALSE))</f>
        <v/>
      </c>
      <c r="BA90" t="str">
        <f ca="1">IF(AND(ISNUMBER($BA$762),$B$677=1),$BA$762,HLOOKUP(INDIRECT(ADDRESS(2,COLUMN())),OFFSET($BN$2,0,0,ROW()-1,60),ROW()-1,FALSE))</f>
        <v/>
      </c>
      <c r="BB90" t="str">
        <f ca="1">IF(AND(ISNUMBER($BB$762),$B$677=1),$BB$762,HLOOKUP(INDIRECT(ADDRESS(2,COLUMN())),OFFSET($BN$2,0,0,ROW()-1,60),ROW()-1,FALSE))</f>
        <v/>
      </c>
      <c r="BC90" t="str">
        <f ca="1">IF(AND(ISNUMBER($BC$762),$B$677=1),$BC$762,HLOOKUP(INDIRECT(ADDRESS(2,COLUMN())),OFFSET($BN$2,0,0,ROW()-1,60),ROW()-1,FALSE))</f>
        <v/>
      </c>
      <c r="BD90" t="str">
        <f ca="1">IF(AND(ISNUMBER($BD$762),$B$677=1),$BD$762,HLOOKUP(INDIRECT(ADDRESS(2,COLUMN())),OFFSET($BN$2,0,0,ROW()-1,60),ROW()-1,FALSE))</f>
        <v/>
      </c>
      <c r="BE90" t="str">
        <f ca="1">IF(AND(ISNUMBER($BE$762),$B$677=1),$BE$762,HLOOKUP(INDIRECT(ADDRESS(2,COLUMN())),OFFSET($BN$2,0,0,ROW()-1,60),ROW()-1,FALSE))</f>
        <v/>
      </c>
      <c r="BF90" t="str">
        <f ca="1">IF(AND(ISNUMBER($BF$762),$B$677=1),$BF$762,HLOOKUP(INDIRECT(ADDRESS(2,COLUMN())),OFFSET($BN$2,0,0,ROW()-1,60),ROW()-1,FALSE))</f>
        <v/>
      </c>
      <c r="BG90" t="str">
        <f ca="1">IF(AND(ISNUMBER($BG$762),$B$677=1),$BG$762,HLOOKUP(INDIRECT(ADDRESS(2,COLUMN())),OFFSET($BN$2,0,0,ROW()-1,60),ROW()-1,FALSE))</f>
        <v/>
      </c>
      <c r="BH90" t="str">
        <f ca="1">IF(AND(ISNUMBER($BH$762),$B$677=1),$BH$762,HLOOKUP(INDIRECT(ADDRESS(2,COLUMN())),OFFSET($BN$2,0,0,ROW()-1,60),ROW()-1,FALSE))</f>
        <v/>
      </c>
      <c r="BI90" t="str">
        <f ca="1">IF(AND(ISNUMBER($BI$762),$B$677=1),$BI$762,HLOOKUP(INDIRECT(ADDRESS(2,COLUMN())),OFFSET($BN$2,0,0,ROW()-1,60),ROW()-1,FALSE))</f>
        <v/>
      </c>
      <c r="BJ90" t="str">
        <f ca="1">IF(AND(ISNUMBER($BJ$762),$B$677=1),$BJ$762,HLOOKUP(INDIRECT(ADDRESS(2,COLUMN())),OFFSET($BN$2,0,0,ROW()-1,60),ROW()-1,FALSE))</f>
        <v/>
      </c>
      <c r="BK90" t="str">
        <f ca="1">IF(AND(ISNUMBER($BK$762),$B$677=1),$BK$762,HLOOKUP(INDIRECT(ADDRESS(2,COLUMN())),OFFSET($BN$2,0,0,ROW()-1,60),ROW()-1,FALSE))</f>
        <v/>
      </c>
      <c r="BL90" t="str">
        <f ca="1">IF(AND(ISNUMBER($BL$762),$B$677=1),$BL$762,HLOOKUP(INDIRECT(ADDRESS(2,COLUMN())),OFFSET($BN$2,0,0,ROW()-1,60),ROW()-1,FALSE))</f>
        <v/>
      </c>
      <c r="BM90" t="str">
        <f ca="1">IF(AND(ISNUMBER($BM$762),$B$677=1),$BM$762,HLOOKUP(INDIRECT(ADDRESS(2,COLUMN())),OFFSET($BN$2,0,0,ROW()-1,60),ROW()-1,FALSE))</f>
        <v/>
      </c>
      <c r="BN90">
        <f>4.418756546</f>
        <v>4.418756546</v>
      </c>
      <c r="BO90">
        <f>3.375148974</f>
        <v>3.375148974</v>
      </c>
      <c r="BP90">
        <f>6.84282485</f>
        <v>6.8428248500000004</v>
      </c>
      <c r="BQ90">
        <f>6.978471089</f>
        <v>6.9784710890000001</v>
      </c>
      <c r="BR90">
        <f>7.276299485</f>
        <v>7.276299485</v>
      </c>
      <c r="BS90">
        <f>8.972767765</f>
        <v>8.9727677650000004</v>
      </c>
      <c r="BT90">
        <f>9.18686462</f>
        <v>9.1868646199999997</v>
      </c>
      <c r="BU90">
        <f>7.970808957</f>
        <v>7.970808957</v>
      </c>
      <c r="BV90">
        <f>7.451232566</f>
        <v>7.4512325659999998</v>
      </c>
      <c r="BW90">
        <f>7.080403123</f>
        <v>7.080403123</v>
      </c>
      <c r="BX90" t="str">
        <f>""</f>
        <v/>
      </c>
      <c r="BY90" t="str">
        <f>""</f>
        <v/>
      </c>
      <c r="BZ90" t="str">
        <f>""</f>
        <v/>
      </c>
      <c r="CA90" t="str">
        <f>""</f>
        <v/>
      </c>
      <c r="CB90" t="str">
        <f>""</f>
        <v/>
      </c>
      <c r="CC90" t="str">
        <f>""</f>
        <v/>
      </c>
      <c r="CD90" t="str">
        <f>""</f>
        <v/>
      </c>
      <c r="CE90" t="str">
        <f>""</f>
        <v/>
      </c>
      <c r="CF90" t="str">
        <f>""</f>
        <v/>
      </c>
      <c r="CG90" t="str">
        <f>""</f>
        <v/>
      </c>
      <c r="CH90" t="str">
        <f>""</f>
        <v/>
      </c>
      <c r="CI90" t="str">
        <f>""</f>
        <v/>
      </c>
      <c r="CJ90" t="str">
        <f>""</f>
        <v/>
      </c>
      <c r="CK90" t="str">
        <f>""</f>
        <v/>
      </c>
      <c r="CL90" t="str">
        <f>""</f>
        <v/>
      </c>
      <c r="CM90" t="str">
        <f>""</f>
        <v/>
      </c>
      <c r="CN90" t="str">
        <f>""</f>
        <v/>
      </c>
      <c r="CO90" t="str">
        <f>""</f>
        <v/>
      </c>
      <c r="CP90" t="str">
        <f>""</f>
        <v/>
      </c>
      <c r="CQ90" t="str">
        <f>""</f>
        <v/>
      </c>
      <c r="CR90" t="str">
        <f>""</f>
        <v/>
      </c>
      <c r="CS90" t="str">
        <f>""</f>
        <v/>
      </c>
      <c r="CT90" t="str">
        <f>""</f>
        <v/>
      </c>
      <c r="CU90" t="str">
        <f>""</f>
        <v/>
      </c>
      <c r="CV90" t="str">
        <f>""</f>
        <v/>
      </c>
      <c r="CW90" t="str">
        <f>""</f>
        <v/>
      </c>
      <c r="CX90" t="str">
        <f>""</f>
        <v/>
      </c>
      <c r="CY90" t="str">
        <f>""</f>
        <v/>
      </c>
      <c r="CZ90" t="str">
        <f>""</f>
        <v/>
      </c>
      <c r="DA90" t="str">
        <f>""</f>
        <v/>
      </c>
      <c r="DB90" t="str">
        <f>""</f>
        <v/>
      </c>
      <c r="DC90" t="str">
        <f>""</f>
        <v/>
      </c>
      <c r="DD90" t="str">
        <f>""</f>
        <v/>
      </c>
      <c r="DE90" t="str">
        <f>""</f>
        <v/>
      </c>
      <c r="DF90" t="str">
        <f>""</f>
        <v/>
      </c>
      <c r="DG90" t="str">
        <f>""</f>
        <v/>
      </c>
      <c r="DH90" t="str">
        <f>""</f>
        <v/>
      </c>
      <c r="DI90" t="str">
        <f>""</f>
        <v/>
      </c>
      <c r="DJ90" t="str">
        <f>""</f>
        <v/>
      </c>
      <c r="DK90" t="str">
        <f>""</f>
        <v/>
      </c>
      <c r="DL90" t="str">
        <f>""</f>
        <v/>
      </c>
      <c r="DM90" t="str">
        <f>""</f>
        <v/>
      </c>
      <c r="DN90" t="str">
        <f>""</f>
        <v/>
      </c>
      <c r="DO90" t="str">
        <f>""</f>
        <v/>
      </c>
      <c r="DP90" t="str">
        <f>""</f>
        <v/>
      </c>
      <c r="DQ90" t="str">
        <f>""</f>
        <v/>
      </c>
      <c r="DR90" t="str">
        <f>""</f>
        <v/>
      </c>
      <c r="DS90" t="str">
        <f>""</f>
        <v/>
      </c>
      <c r="DT90" t="str">
        <f>""</f>
        <v/>
      </c>
      <c r="DU90" t="str">
        <f>""</f>
        <v/>
      </c>
    </row>
    <row r="91" spans="1:125" x14ac:dyDescent="0.25">
      <c r="A91" t="str">
        <f>"    BYD Co Ltd"</f>
        <v xml:space="preserve">    BYD Co Ltd</v>
      </c>
      <c r="B91" t="str">
        <f>"1211 HK Equity"</f>
        <v>1211 HK Equity</v>
      </c>
      <c r="C91" t="str">
        <f t="shared" si="6"/>
        <v>EZ010</v>
      </c>
      <c r="D91" t="str">
        <f t="shared" si="7"/>
        <v>BEST_EST_PE_NXT_YR</v>
      </c>
      <c r="E91" t="str">
        <f t="shared" si="8"/>
        <v>Dynamic</v>
      </c>
      <c r="F91">
        <f ca="1">IF(AND(ISNUMBER($F$763),$B$677=1),$F$763,HLOOKUP(INDIRECT(ADDRESS(2,COLUMN())),OFFSET($BN$2,0,0,ROW()-1,60),ROW()-1,FALSE))</f>
        <v>28.386379940000001</v>
      </c>
      <c r="G91">
        <f ca="1">IF(AND(ISNUMBER($G$763),$B$677=1),$G$763,HLOOKUP(INDIRECT(ADDRESS(2,COLUMN())),OFFSET($BN$2,0,0,ROW()-1,60),ROW()-1,FALSE))</f>
        <v>27.57244541</v>
      </c>
      <c r="H91">
        <f ca="1">IF(AND(ISNUMBER($H$763),$B$677=1),$H$763,HLOOKUP(INDIRECT(ADDRESS(2,COLUMN())),OFFSET($BN$2,0,0,ROW()-1,60),ROW()-1,FALSE))</f>
        <v>28.58138482</v>
      </c>
      <c r="I91">
        <f ca="1">IF(AND(ISNUMBER($I$763),$B$677=1),$I$763,HLOOKUP(INDIRECT(ADDRESS(2,COLUMN())),OFFSET($BN$2,0,0,ROW()-1,60),ROW()-1,FALSE))</f>
        <v>19.161119840000001</v>
      </c>
      <c r="J91">
        <f ca="1">IF(AND(ISNUMBER($J$763),$B$677=1),$J$763,HLOOKUP(INDIRECT(ADDRESS(2,COLUMN())),OFFSET($BN$2,0,0,ROW()-1,60),ROW()-1,FALSE))</f>
        <v>18.977838770000002</v>
      </c>
      <c r="K91">
        <f ca="1">IF(AND(ISNUMBER($K$763),$B$677=1),$K$763,HLOOKUP(INDIRECT(ADDRESS(2,COLUMN())),OFFSET($BN$2,0,0,ROW()-1,60),ROW()-1,FALSE))</f>
        <v>19.265983210000002</v>
      </c>
      <c r="L91">
        <f ca="1">IF(AND(ISNUMBER($L$763),$B$677=1),$L$763,HLOOKUP(INDIRECT(ADDRESS(2,COLUMN())),OFFSET($BN$2,0,0,ROW()-1,60),ROW()-1,FALSE))</f>
        <v>20.45708849</v>
      </c>
      <c r="M91">
        <f ca="1">IF(AND(ISNUMBER($M$763),$B$677=1),$M$763,HLOOKUP(INDIRECT(ADDRESS(2,COLUMN())),OFFSET($BN$2,0,0,ROW()-1,60),ROW()-1,FALSE))</f>
        <v>15.32282359</v>
      </c>
      <c r="N91">
        <f ca="1">IF(AND(ISNUMBER($N$763),$B$677=1),$N$763,HLOOKUP(INDIRECT(ADDRESS(2,COLUMN())),OFFSET($BN$2,0,0,ROW()-1,60),ROW()-1,FALSE))</f>
        <v>14.253555909999999</v>
      </c>
      <c r="O91" t="str">
        <f ca="1">IF(AND(ISNUMBER($O$763),$B$677=1),$O$763,HLOOKUP(INDIRECT(ADDRESS(2,COLUMN())),OFFSET($BN$2,0,0,ROW()-1,60),ROW()-1,FALSE))</f>
        <v/>
      </c>
      <c r="P91" t="str">
        <f ca="1">IF(AND(ISNUMBER($P$763),$B$677=1),$P$763,HLOOKUP(INDIRECT(ADDRESS(2,COLUMN())),OFFSET($BN$2,0,0,ROW()-1,60),ROW()-1,FALSE))</f>
        <v/>
      </c>
      <c r="Q91" t="str">
        <f ca="1">IF(AND(ISNUMBER($Q$763),$B$677=1),$Q$763,HLOOKUP(INDIRECT(ADDRESS(2,COLUMN())),OFFSET($BN$2,0,0,ROW()-1,60),ROW()-1,FALSE))</f>
        <v/>
      </c>
      <c r="R91" t="str">
        <f ca="1">IF(AND(ISNUMBER($R$763),$B$677=1),$R$763,HLOOKUP(INDIRECT(ADDRESS(2,COLUMN())),OFFSET($BN$2,0,0,ROW()-1,60),ROW()-1,FALSE))</f>
        <v/>
      </c>
      <c r="S91" t="str">
        <f ca="1">IF(AND(ISNUMBER($S$763),$B$677=1),$S$763,HLOOKUP(INDIRECT(ADDRESS(2,COLUMN())),OFFSET($BN$2,0,0,ROW()-1,60),ROW()-1,FALSE))</f>
        <v/>
      </c>
      <c r="T91" t="str">
        <f ca="1">IF(AND(ISNUMBER($T$763),$B$677=1),$T$763,HLOOKUP(INDIRECT(ADDRESS(2,COLUMN())),OFFSET($BN$2,0,0,ROW()-1,60),ROW()-1,FALSE))</f>
        <v/>
      </c>
      <c r="U91" t="str">
        <f ca="1">IF(AND(ISNUMBER($U$763),$B$677=1),$U$763,HLOOKUP(INDIRECT(ADDRESS(2,COLUMN())),OFFSET($BN$2,0,0,ROW()-1,60),ROW()-1,FALSE))</f>
        <v/>
      </c>
      <c r="V91" t="str">
        <f ca="1">IF(AND(ISNUMBER($V$763),$B$677=1),$V$763,HLOOKUP(INDIRECT(ADDRESS(2,COLUMN())),OFFSET($BN$2,0,0,ROW()-1,60),ROW()-1,FALSE))</f>
        <v/>
      </c>
      <c r="W91" t="str">
        <f ca="1">IF(AND(ISNUMBER($W$763),$B$677=1),$W$763,HLOOKUP(INDIRECT(ADDRESS(2,COLUMN())),OFFSET($BN$2,0,0,ROW()-1,60),ROW()-1,FALSE))</f>
        <v/>
      </c>
      <c r="X91" t="str">
        <f ca="1">IF(AND(ISNUMBER($X$763),$B$677=1),$X$763,HLOOKUP(INDIRECT(ADDRESS(2,COLUMN())),OFFSET($BN$2,0,0,ROW()-1,60),ROW()-1,FALSE))</f>
        <v/>
      </c>
      <c r="Y91" t="str">
        <f ca="1">IF(AND(ISNUMBER($Y$763),$B$677=1),$Y$763,HLOOKUP(INDIRECT(ADDRESS(2,COLUMN())),OFFSET($BN$2,0,0,ROW()-1,60),ROW()-1,FALSE))</f>
        <v/>
      </c>
      <c r="Z91" t="str">
        <f ca="1">IF(AND(ISNUMBER($Z$763),$B$677=1),$Z$763,HLOOKUP(INDIRECT(ADDRESS(2,COLUMN())),OFFSET($BN$2,0,0,ROW()-1,60),ROW()-1,FALSE))</f>
        <v/>
      </c>
      <c r="AA91" t="str">
        <f ca="1">IF(AND(ISNUMBER($AA$763),$B$677=1),$AA$763,HLOOKUP(INDIRECT(ADDRESS(2,COLUMN())),OFFSET($BN$2,0,0,ROW()-1,60),ROW()-1,FALSE))</f>
        <v/>
      </c>
      <c r="AB91" t="str">
        <f ca="1">IF(AND(ISNUMBER($AB$763),$B$677=1),$AB$763,HLOOKUP(INDIRECT(ADDRESS(2,COLUMN())),OFFSET($BN$2,0,0,ROW()-1,60),ROW()-1,FALSE))</f>
        <v/>
      </c>
      <c r="AC91" t="str">
        <f ca="1">IF(AND(ISNUMBER($AC$763),$B$677=1),$AC$763,HLOOKUP(INDIRECT(ADDRESS(2,COLUMN())),OFFSET($BN$2,0,0,ROW()-1,60),ROW()-1,FALSE))</f>
        <v/>
      </c>
      <c r="AD91" t="str">
        <f ca="1">IF(AND(ISNUMBER($AD$763),$B$677=1),$AD$763,HLOOKUP(INDIRECT(ADDRESS(2,COLUMN())),OFFSET($BN$2,0,0,ROW()-1,60),ROW()-1,FALSE))</f>
        <v/>
      </c>
      <c r="AE91" t="str">
        <f ca="1">IF(AND(ISNUMBER($AE$763),$B$677=1),$AE$763,HLOOKUP(INDIRECT(ADDRESS(2,COLUMN())),OFFSET($BN$2,0,0,ROW()-1,60),ROW()-1,FALSE))</f>
        <v/>
      </c>
      <c r="AF91" t="str">
        <f ca="1">IF(AND(ISNUMBER($AF$763),$B$677=1),$AF$763,HLOOKUP(INDIRECT(ADDRESS(2,COLUMN())),OFFSET($BN$2,0,0,ROW()-1,60),ROW()-1,FALSE))</f>
        <v/>
      </c>
      <c r="AG91" t="str">
        <f ca="1">IF(AND(ISNUMBER($AG$763),$B$677=1),$AG$763,HLOOKUP(INDIRECT(ADDRESS(2,COLUMN())),OFFSET($BN$2,0,0,ROW()-1,60),ROW()-1,FALSE))</f>
        <v/>
      </c>
      <c r="AH91" t="str">
        <f ca="1">IF(AND(ISNUMBER($AH$763),$B$677=1),$AH$763,HLOOKUP(INDIRECT(ADDRESS(2,COLUMN())),OFFSET($BN$2,0,0,ROW()-1,60),ROW()-1,FALSE))</f>
        <v/>
      </c>
      <c r="AI91" t="str">
        <f ca="1">IF(AND(ISNUMBER($AI$763),$B$677=1),$AI$763,HLOOKUP(INDIRECT(ADDRESS(2,COLUMN())),OFFSET($BN$2,0,0,ROW()-1,60),ROW()-1,FALSE))</f>
        <v/>
      </c>
      <c r="AJ91" t="str">
        <f ca="1">IF(AND(ISNUMBER($AJ$763),$B$677=1),$AJ$763,HLOOKUP(INDIRECT(ADDRESS(2,COLUMN())),OFFSET($BN$2,0,0,ROW()-1,60),ROW()-1,FALSE))</f>
        <v/>
      </c>
      <c r="AK91" t="str">
        <f ca="1">IF(AND(ISNUMBER($AK$763),$B$677=1),$AK$763,HLOOKUP(INDIRECT(ADDRESS(2,COLUMN())),OFFSET($BN$2,0,0,ROW()-1,60),ROW()-1,FALSE))</f>
        <v/>
      </c>
      <c r="AL91" t="str">
        <f ca="1">IF(AND(ISNUMBER($AL$763),$B$677=1),$AL$763,HLOOKUP(INDIRECT(ADDRESS(2,COLUMN())),OFFSET($BN$2,0,0,ROW()-1,60),ROW()-1,FALSE))</f>
        <v/>
      </c>
      <c r="AM91" t="str">
        <f ca="1">IF(AND(ISNUMBER($AM$763),$B$677=1),$AM$763,HLOOKUP(INDIRECT(ADDRESS(2,COLUMN())),OFFSET($BN$2,0,0,ROW()-1,60),ROW()-1,FALSE))</f>
        <v/>
      </c>
      <c r="AN91" t="str">
        <f ca="1">IF(AND(ISNUMBER($AN$763),$B$677=1),$AN$763,HLOOKUP(INDIRECT(ADDRESS(2,COLUMN())),OFFSET($BN$2,0,0,ROW()-1,60),ROW()-1,FALSE))</f>
        <v/>
      </c>
      <c r="AO91" t="str">
        <f ca="1">IF(AND(ISNUMBER($AO$763),$B$677=1),$AO$763,HLOOKUP(INDIRECT(ADDRESS(2,COLUMN())),OFFSET($BN$2,0,0,ROW()-1,60),ROW()-1,FALSE))</f>
        <v/>
      </c>
      <c r="AP91" t="str">
        <f ca="1">IF(AND(ISNUMBER($AP$763),$B$677=1),$AP$763,HLOOKUP(INDIRECT(ADDRESS(2,COLUMN())),OFFSET($BN$2,0,0,ROW()-1,60),ROW()-1,FALSE))</f>
        <v/>
      </c>
      <c r="AQ91" t="str">
        <f ca="1">IF(AND(ISNUMBER($AQ$763),$B$677=1),$AQ$763,HLOOKUP(INDIRECT(ADDRESS(2,COLUMN())),OFFSET($BN$2,0,0,ROW()-1,60),ROW()-1,FALSE))</f>
        <v/>
      </c>
      <c r="AR91" t="str">
        <f ca="1">IF(AND(ISNUMBER($AR$763),$B$677=1),$AR$763,HLOOKUP(INDIRECT(ADDRESS(2,COLUMN())),OFFSET($BN$2,0,0,ROW()-1,60),ROW()-1,FALSE))</f>
        <v/>
      </c>
      <c r="AS91" t="str">
        <f ca="1">IF(AND(ISNUMBER($AS$763),$B$677=1),$AS$763,HLOOKUP(INDIRECT(ADDRESS(2,COLUMN())),OFFSET($BN$2,0,0,ROW()-1,60),ROW()-1,FALSE))</f>
        <v/>
      </c>
      <c r="AT91" t="str">
        <f ca="1">IF(AND(ISNUMBER($AT$763),$B$677=1),$AT$763,HLOOKUP(INDIRECT(ADDRESS(2,COLUMN())),OFFSET($BN$2,0,0,ROW()-1,60),ROW()-1,FALSE))</f>
        <v/>
      </c>
      <c r="AU91" t="str">
        <f ca="1">IF(AND(ISNUMBER($AU$763),$B$677=1),$AU$763,HLOOKUP(INDIRECT(ADDRESS(2,COLUMN())),OFFSET($BN$2,0,0,ROW()-1,60),ROW()-1,FALSE))</f>
        <v/>
      </c>
      <c r="AV91" t="str">
        <f ca="1">IF(AND(ISNUMBER($AV$763),$B$677=1),$AV$763,HLOOKUP(INDIRECT(ADDRESS(2,COLUMN())),OFFSET($BN$2,0,0,ROW()-1,60),ROW()-1,FALSE))</f>
        <v/>
      </c>
      <c r="AW91" t="str">
        <f ca="1">IF(AND(ISNUMBER($AW$763),$B$677=1),$AW$763,HLOOKUP(INDIRECT(ADDRESS(2,COLUMN())),OFFSET($BN$2,0,0,ROW()-1,60),ROW()-1,FALSE))</f>
        <v/>
      </c>
      <c r="AX91" t="str">
        <f ca="1">IF(AND(ISNUMBER($AX$763),$B$677=1),$AX$763,HLOOKUP(INDIRECT(ADDRESS(2,COLUMN())),OFFSET($BN$2,0,0,ROW()-1,60),ROW()-1,FALSE))</f>
        <v/>
      </c>
      <c r="AY91" t="str">
        <f ca="1">IF(AND(ISNUMBER($AY$763),$B$677=1),$AY$763,HLOOKUP(INDIRECT(ADDRESS(2,COLUMN())),OFFSET($BN$2,0,0,ROW()-1,60),ROW()-1,FALSE))</f>
        <v/>
      </c>
      <c r="AZ91" t="str">
        <f ca="1">IF(AND(ISNUMBER($AZ$763),$B$677=1),$AZ$763,HLOOKUP(INDIRECT(ADDRESS(2,COLUMN())),OFFSET($BN$2,0,0,ROW()-1,60),ROW()-1,FALSE))</f>
        <v/>
      </c>
      <c r="BA91" t="str">
        <f ca="1">IF(AND(ISNUMBER($BA$763),$B$677=1),$BA$763,HLOOKUP(INDIRECT(ADDRESS(2,COLUMN())),OFFSET($BN$2,0,0,ROW()-1,60),ROW()-1,FALSE))</f>
        <v/>
      </c>
      <c r="BB91" t="str">
        <f ca="1">IF(AND(ISNUMBER($BB$763),$B$677=1),$BB$763,HLOOKUP(INDIRECT(ADDRESS(2,COLUMN())),OFFSET($BN$2,0,0,ROW()-1,60),ROW()-1,FALSE))</f>
        <v/>
      </c>
      <c r="BC91" t="str">
        <f ca="1">IF(AND(ISNUMBER($BC$763),$B$677=1),$BC$763,HLOOKUP(INDIRECT(ADDRESS(2,COLUMN())),OFFSET($BN$2,0,0,ROW()-1,60),ROW()-1,FALSE))</f>
        <v/>
      </c>
      <c r="BD91" t="str">
        <f ca="1">IF(AND(ISNUMBER($BD$763),$B$677=1),$BD$763,HLOOKUP(INDIRECT(ADDRESS(2,COLUMN())),OFFSET($BN$2,0,0,ROW()-1,60),ROW()-1,FALSE))</f>
        <v/>
      </c>
      <c r="BE91" t="str">
        <f ca="1">IF(AND(ISNUMBER($BE$763),$B$677=1),$BE$763,HLOOKUP(INDIRECT(ADDRESS(2,COLUMN())),OFFSET($BN$2,0,0,ROW()-1,60),ROW()-1,FALSE))</f>
        <v/>
      </c>
      <c r="BF91" t="str">
        <f ca="1">IF(AND(ISNUMBER($BF$763),$B$677=1),$BF$763,HLOOKUP(INDIRECT(ADDRESS(2,COLUMN())),OFFSET($BN$2,0,0,ROW()-1,60),ROW()-1,FALSE))</f>
        <v/>
      </c>
      <c r="BG91" t="str">
        <f ca="1">IF(AND(ISNUMBER($BG$763),$B$677=1),$BG$763,HLOOKUP(INDIRECT(ADDRESS(2,COLUMN())),OFFSET($BN$2,0,0,ROW()-1,60),ROW()-1,FALSE))</f>
        <v/>
      </c>
      <c r="BH91" t="str">
        <f ca="1">IF(AND(ISNUMBER($BH$763),$B$677=1),$BH$763,HLOOKUP(INDIRECT(ADDRESS(2,COLUMN())),OFFSET($BN$2,0,0,ROW()-1,60),ROW()-1,FALSE))</f>
        <v/>
      </c>
      <c r="BI91" t="str">
        <f ca="1">IF(AND(ISNUMBER($BI$763),$B$677=1),$BI$763,HLOOKUP(INDIRECT(ADDRESS(2,COLUMN())),OFFSET($BN$2,0,0,ROW()-1,60),ROW()-1,FALSE))</f>
        <v/>
      </c>
      <c r="BJ91" t="str">
        <f ca="1">IF(AND(ISNUMBER($BJ$763),$B$677=1),$BJ$763,HLOOKUP(INDIRECT(ADDRESS(2,COLUMN())),OFFSET($BN$2,0,0,ROW()-1,60),ROW()-1,FALSE))</f>
        <v/>
      </c>
      <c r="BK91" t="str">
        <f ca="1">IF(AND(ISNUMBER($BK$763),$B$677=1),$BK$763,HLOOKUP(INDIRECT(ADDRESS(2,COLUMN())),OFFSET($BN$2,0,0,ROW()-1,60),ROW()-1,FALSE))</f>
        <v/>
      </c>
      <c r="BL91" t="str">
        <f ca="1">IF(AND(ISNUMBER($BL$763),$B$677=1),$BL$763,HLOOKUP(INDIRECT(ADDRESS(2,COLUMN())),OFFSET($BN$2,0,0,ROW()-1,60),ROW()-1,FALSE))</f>
        <v/>
      </c>
      <c r="BM91" t="str">
        <f ca="1">IF(AND(ISNUMBER($BM$763),$B$677=1),$BM$763,HLOOKUP(INDIRECT(ADDRESS(2,COLUMN())),OFFSET($BN$2,0,0,ROW()-1,60),ROW()-1,FALSE))</f>
        <v/>
      </c>
      <c r="BN91">
        <f>28.38637994</f>
        <v>28.386379940000001</v>
      </c>
      <c r="BO91">
        <f>27.57244541</f>
        <v>27.57244541</v>
      </c>
      <c r="BP91">
        <f>28.58138482</f>
        <v>28.58138482</v>
      </c>
      <c r="BQ91">
        <f>19.16111984</f>
        <v>19.161119840000001</v>
      </c>
      <c r="BR91">
        <f>18.97783877</f>
        <v>18.977838770000002</v>
      </c>
      <c r="BS91">
        <f>19.26598321</f>
        <v>19.265983210000002</v>
      </c>
      <c r="BT91">
        <f>20.45708849</f>
        <v>20.45708849</v>
      </c>
      <c r="BU91">
        <f>15.32282359</f>
        <v>15.32282359</v>
      </c>
      <c r="BV91">
        <f>14.25355591</f>
        <v>14.253555909999999</v>
      </c>
      <c r="BW91" t="str">
        <f>""</f>
        <v/>
      </c>
      <c r="BX91" t="str">
        <f>""</f>
        <v/>
      </c>
      <c r="BY91" t="str">
        <f>""</f>
        <v/>
      </c>
      <c r="BZ91" t="str">
        <f>""</f>
        <v/>
      </c>
      <c r="CA91" t="str">
        <f>""</f>
        <v/>
      </c>
      <c r="CB91" t="str">
        <f>""</f>
        <v/>
      </c>
      <c r="CC91" t="str">
        <f>""</f>
        <v/>
      </c>
      <c r="CD91" t="str">
        <f>""</f>
        <v/>
      </c>
      <c r="CE91" t="str">
        <f>""</f>
        <v/>
      </c>
      <c r="CF91" t="str">
        <f>""</f>
        <v/>
      </c>
      <c r="CG91" t="str">
        <f>""</f>
        <v/>
      </c>
      <c r="CH91" t="str">
        <f>""</f>
        <v/>
      </c>
      <c r="CI91" t="str">
        <f>""</f>
        <v/>
      </c>
      <c r="CJ91" t="str">
        <f>""</f>
        <v/>
      </c>
      <c r="CK91" t="str">
        <f>""</f>
        <v/>
      </c>
      <c r="CL91" t="str">
        <f>""</f>
        <v/>
      </c>
      <c r="CM91" t="str">
        <f>""</f>
        <v/>
      </c>
      <c r="CN91" t="str">
        <f>""</f>
        <v/>
      </c>
      <c r="CO91" t="str">
        <f>""</f>
        <v/>
      </c>
      <c r="CP91" t="str">
        <f>""</f>
        <v/>
      </c>
      <c r="CQ91" t="str">
        <f>""</f>
        <v/>
      </c>
      <c r="CR91" t="str">
        <f>""</f>
        <v/>
      </c>
      <c r="CS91" t="str">
        <f>""</f>
        <v/>
      </c>
      <c r="CT91" t="str">
        <f>""</f>
        <v/>
      </c>
      <c r="CU91" t="str">
        <f>""</f>
        <v/>
      </c>
      <c r="CV91" t="str">
        <f>""</f>
        <v/>
      </c>
      <c r="CW91" t="str">
        <f>""</f>
        <v/>
      </c>
      <c r="CX91" t="str">
        <f>""</f>
        <v/>
      </c>
      <c r="CY91" t="str">
        <f>""</f>
        <v/>
      </c>
      <c r="CZ91" t="str">
        <f>""</f>
        <v/>
      </c>
      <c r="DA91" t="str">
        <f>""</f>
        <v/>
      </c>
      <c r="DB91" t="str">
        <f>""</f>
        <v/>
      </c>
      <c r="DC91" t="str">
        <f>""</f>
        <v/>
      </c>
      <c r="DD91" t="str">
        <f>""</f>
        <v/>
      </c>
      <c r="DE91" t="str">
        <f>""</f>
        <v/>
      </c>
      <c r="DF91" t="str">
        <f>""</f>
        <v/>
      </c>
      <c r="DG91" t="str">
        <f>""</f>
        <v/>
      </c>
      <c r="DH91" t="str">
        <f>""</f>
        <v/>
      </c>
      <c r="DI91" t="str">
        <f>""</f>
        <v/>
      </c>
      <c r="DJ91" t="str">
        <f>""</f>
        <v/>
      </c>
      <c r="DK91" t="str">
        <f>""</f>
        <v/>
      </c>
      <c r="DL91" t="str">
        <f>""</f>
        <v/>
      </c>
      <c r="DM91" t="str">
        <f>""</f>
        <v/>
      </c>
      <c r="DN91" t="str">
        <f>""</f>
        <v/>
      </c>
      <c r="DO91" t="str">
        <f>""</f>
        <v/>
      </c>
      <c r="DP91" t="str">
        <f>""</f>
        <v/>
      </c>
      <c r="DQ91" t="str">
        <f>""</f>
        <v/>
      </c>
      <c r="DR91" t="str">
        <f>""</f>
        <v/>
      </c>
      <c r="DS91" t="str">
        <f>""</f>
        <v/>
      </c>
      <c r="DT91" t="str">
        <f>""</f>
        <v/>
      </c>
      <c r="DU91" t="str">
        <f>""</f>
        <v/>
      </c>
    </row>
    <row r="92" spans="1:125" x14ac:dyDescent="0.25">
      <c r="A92" t="str">
        <f>"    Chongqing Changan Automobile Co Ltd"</f>
        <v xml:space="preserve">    Chongqing Changan Automobile Co Ltd</v>
      </c>
      <c r="B92" t="str">
        <f>"200625 CH Equity"</f>
        <v>200625 CH Equity</v>
      </c>
      <c r="C92" t="str">
        <f t="shared" si="6"/>
        <v>EZ010</v>
      </c>
      <c r="D92" t="str">
        <f t="shared" si="7"/>
        <v>BEST_EST_PE_NXT_YR</v>
      </c>
      <c r="E92" t="str">
        <f t="shared" si="8"/>
        <v>Dynamic</v>
      </c>
      <c r="F92">
        <f ca="1">IF(AND(ISNUMBER($F$764),$B$677=1),$F$764,HLOOKUP(INDIRECT(ADDRESS(2,COLUMN())),OFFSET($BN$2,0,0,ROW()-1,60),ROW()-1,FALSE))</f>
        <v>6.5527354539999996</v>
      </c>
      <c r="G92">
        <f ca="1">IF(AND(ISNUMBER($G$764),$B$677=1),$G$764,HLOOKUP(INDIRECT(ADDRESS(2,COLUMN())),OFFSET($BN$2,0,0,ROW()-1,60),ROW()-1,FALSE))</f>
        <v>4.1371723869999997</v>
      </c>
      <c r="H92">
        <f ca="1">IF(AND(ISNUMBER($H$764),$B$677=1),$H$764,HLOOKUP(INDIRECT(ADDRESS(2,COLUMN())),OFFSET($BN$2,0,0,ROW()-1,60),ROW()-1,FALSE))</f>
        <v>4.8620472709999998</v>
      </c>
      <c r="I92">
        <f ca="1">IF(AND(ISNUMBER($I$764),$B$677=1),$I$764,HLOOKUP(INDIRECT(ADDRESS(2,COLUMN())),OFFSET($BN$2,0,0,ROW()-1,60),ROW()-1,FALSE))</f>
        <v>4.395696279</v>
      </c>
      <c r="J92">
        <f ca="1">IF(AND(ISNUMBER($J$764),$B$677=1),$J$764,HLOOKUP(INDIRECT(ADDRESS(2,COLUMN())),OFFSET($BN$2,0,0,ROW()-1,60),ROW()-1,FALSE))</f>
        <v>3.2550129989999999</v>
      </c>
      <c r="K92">
        <f ca="1">IF(AND(ISNUMBER($K$764),$B$677=1),$K$764,HLOOKUP(INDIRECT(ADDRESS(2,COLUMN())),OFFSET($BN$2,0,0,ROW()-1,60),ROW()-1,FALSE))</f>
        <v>3.5813793629999999</v>
      </c>
      <c r="L92">
        <f ca="1">IF(AND(ISNUMBER($L$764),$B$677=1),$L$764,HLOOKUP(INDIRECT(ADDRESS(2,COLUMN())),OFFSET($BN$2,0,0,ROW()-1,60),ROW()-1,FALSE))</f>
        <v>4.1017841519999996</v>
      </c>
      <c r="M92">
        <f ca="1">IF(AND(ISNUMBER($M$764),$B$677=1),$M$764,HLOOKUP(INDIRECT(ADDRESS(2,COLUMN())),OFFSET($BN$2,0,0,ROW()-1,60),ROW()-1,FALSE))</f>
        <v>3.7268679090000001</v>
      </c>
      <c r="N92">
        <f ca="1">IF(AND(ISNUMBER($N$764),$B$677=1),$N$764,HLOOKUP(INDIRECT(ADDRESS(2,COLUMN())),OFFSET($BN$2,0,0,ROW()-1,60),ROW()-1,FALSE))</f>
        <v>4.0671290759999996</v>
      </c>
      <c r="O92">
        <f ca="1">IF(AND(ISNUMBER($O$764),$B$677=1),$O$764,HLOOKUP(INDIRECT(ADDRESS(2,COLUMN())),OFFSET($BN$2,0,0,ROW()-1,60),ROW()-1,FALSE))</f>
        <v>4.2236136489999998</v>
      </c>
      <c r="P92">
        <f ca="1">IF(AND(ISNUMBER($P$764),$B$677=1),$P$764,HLOOKUP(INDIRECT(ADDRESS(2,COLUMN())),OFFSET($BN$2,0,0,ROW()-1,60),ROW()-1,FALSE))</f>
        <v>3.7335634560000002</v>
      </c>
      <c r="Q92" t="str">
        <f ca="1">IF(AND(ISNUMBER($Q$764),$B$677=1),$Q$764,HLOOKUP(INDIRECT(ADDRESS(2,COLUMN())),OFFSET($BN$2,0,0,ROW()-1,60),ROW()-1,FALSE))</f>
        <v/>
      </c>
      <c r="R92" t="str">
        <f ca="1">IF(AND(ISNUMBER($R$764),$B$677=1),$R$764,HLOOKUP(INDIRECT(ADDRESS(2,COLUMN())),OFFSET($BN$2,0,0,ROW()-1,60),ROW()-1,FALSE))</f>
        <v/>
      </c>
      <c r="S92" t="str">
        <f ca="1">IF(AND(ISNUMBER($S$764),$B$677=1),$S$764,HLOOKUP(INDIRECT(ADDRESS(2,COLUMN())),OFFSET($BN$2,0,0,ROW()-1,60),ROW()-1,FALSE))</f>
        <v/>
      </c>
      <c r="T92" t="str">
        <f ca="1">IF(AND(ISNUMBER($T$764),$B$677=1),$T$764,HLOOKUP(INDIRECT(ADDRESS(2,COLUMN())),OFFSET($BN$2,0,0,ROW()-1,60),ROW()-1,FALSE))</f>
        <v/>
      </c>
      <c r="U92" t="str">
        <f ca="1">IF(AND(ISNUMBER($U$764),$B$677=1),$U$764,HLOOKUP(INDIRECT(ADDRESS(2,COLUMN())),OFFSET($BN$2,0,0,ROW()-1,60),ROW()-1,FALSE))</f>
        <v/>
      </c>
      <c r="V92" t="str">
        <f ca="1">IF(AND(ISNUMBER($V$764),$B$677=1),$V$764,HLOOKUP(INDIRECT(ADDRESS(2,COLUMN())),OFFSET($BN$2,0,0,ROW()-1,60),ROW()-1,FALSE))</f>
        <v/>
      </c>
      <c r="W92" t="str">
        <f ca="1">IF(AND(ISNUMBER($W$764),$B$677=1),$W$764,HLOOKUP(INDIRECT(ADDRESS(2,COLUMN())),OFFSET($BN$2,0,0,ROW()-1,60),ROW()-1,FALSE))</f>
        <v/>
      </c>
      <c r="X92" t="str">
        <f ca="1">IF(AND(ISNUMBER($X$764),$B$677=1),$X$764,HLOOKUP(INDIRECT(ADDRESS(2,COLUMN())),OFFSET($BN$2,0,0,ROW()-1,60),ROW()-1,FALSE))</f>
        <v/>
      </c>
      <c r="Y92" t="str">
        <f ca="1">IF(AND(ISNUMBER($Y$764),$B$677=1),$Y$764,HLOOKUP(INDIRECT(ADDRESS(2,COLUMN())),OFFSET($BN$2,0,0,ROW()-1,60),ROW()-1,FALSE))</f>
        <v/>
      </c>
      <c r="Z92" t="str">
        <f ca="1">IF(AND(ISNUMBER($Z$764),$B$677=1),$Z$764,HLOOKUP(INDIRECT(ADDRESS(2,COLUMN())),OFFSET($BN$2,0,0,ROW()-1,60),ROW()-1,FALSE))</f>
        <v/>
      </c>
      <c r="AA92" t="str">
        <f ca="1">IF(AND(ISNUMBER($AA$764),$B$677=1),$AA$764,HLOOKUP(INDIRECT(ADDRESS(2,COLUMN())),OFFSET($BN$2,0,0,ROW()-1,60),ROW()-1,FALSE))</f>
        <v/>
      </c>
      <c r="AB92" t="str">
        <f ca="1">IF(AND(ISNUMBER($AB$764),$B$677=1),$AB$764,HLOOKUP(INDIRECT(ADDRESS(2,COLUMN())),OFFSET($BN$2,0,0,ROW()-1,60),ROW()-1,FALSE))</f>
        <v/>
      </c>
      <c r="AC92" t="str">
        <f ca="1">IF(AND(ISNUMBER($AC$764),$B$677=1),$AC$764,HLOOKUP(INDIRECT(ADDRESS(2,COLUMN())),OFFSET($BN$2,0,0,ROW()-1,60),ROW()-1,FALSE))</f>
        <v/>
      </c>
      <c r="AD92" t="str">
        <f ca="1">IF(AND(ISNUMBER($AD$764),$B$677=1),$AD$764,HLOOKUP(INDIRECT(ADDRESS(2,COLUMN())),OFFSET($BN$2,0,0,ROW()-1,60),ROW()-1,FALSE))</f>
        <v/>
      </c>
      <c r="AE92" t="str">
        <f ca="1">IF(AND(ISNUMBER($AE$764),$B$677=1),$AE$764,HLOOKUP(INDIRECT(ADDRESS(2,COLUMN())),OFFSET($BN$2,0,0,ROW()-1,60),ROW()-1,FALSE))</f>
        <v/>
      </c>
      <c r="AF92" t="str">
        <f ca="1">IF(AND(ISNUMBER($AF$764),$B$677=1),$AF$764,HLOOKUP(INDIRECT(ADDRESS(2,COLUMN())),OFFSET($BN$2,0,0,ROW()-1,60),ROW()-1,FALSE))</f>
        <v/>
      </c>
      <c r="AG92" t="str">
        <f ca="1">IF(AND(ISNUMBER($AG$764),$B$677=1),$AG$764,HLOOKUP(INDIRECT(ADDRESS(2,COLUMN())),OFFSET($BN$2,0,0,ROW()-1,60),ROW()-1,FALSE))</f>
        <v/>
      </c>
      <c r="AH92" t="str">
        <f ca="1">IF(AND(ISNUMBER($AH$764),$B$677=1),$AH$764,HLOOKUP(INDIRECT(ADDRESS(2,COLUMN())),OFFSET($BN$2,0,0,ROW()-1,60),ROW()-1,FALSE))</f>
        <v/>
      </c>
      <c r="AI92" t="str">
        <f ca="1">IF(AND(ISNUMBER($AI$764),$B$677=1),$AI$764,HLOOKUP(INDIRECT(ADDRESS(2,COLUMN())),OFFSET($BN$2,0,0,ROW()-1,60),ROW()-1,FALSE))</f>
        <v/>
      </c>
      <c r="AJ92" t="str">
        <f ca="1">IF(AND(ISNUMBER($AJ$764),$B$677=1),$AJ$764,HLOOKUP(INDIRECT(ADDRESS(2,COLUMN())),OFFSET($BN$2,0,0,ROW()-1,60),ROW()-1,FALSE))</f>
        <v/>
      </c>
      <c r="AK92" t="str">
        <f ca="1">IF(AND(ISNUMBER($AK$764),$B$677=1),$AK$764,HLOOKUP(INDIRECT(ADDRESS(2,COLUMN())),OFFSET($BN$2,0,0,ROW()-1,60),ROW()-1,FALSE))</f>
        <v/>
      </c>
      <c r="AL92" t="str">
        <f ca="1">IF(AND(ISNUMBER($AL$764),$B$677=1),$AL$764,HLOOKUP(INDIRECT(ADDRESS(2,COLUMN())),OFFSET($BN$2,0,0,ROW()-1,60),ROW()-1,FALSE))</f>
        <v/>
      </c>
      <c r="AM92" t="str">
        <f ca="1">IF(AND(ISNUMBER($AM$764),$B$677=1),$AM$764,HLOOKUP(INDIRECT(ADDRESS(2,COLUMN())),OFFSET($BN$2,0,0,ROW()-1,60),ROW()-1,FALSE))</f>
        <v/>
      </c>
      <c r="AN92" t="str">
        <f ca="1">IF(AND(ISNUMBER($AN$764),$B$677=1),$AN$764,HLOOKUP(INDIRECT(ADDRESS(2,COLUMN())),OFFSET($BN$2,0,0,ROW()-1,60),ROW()-1,FALSE))</f>
        <v/>
      </c>
      <c r="AO92" t="str">
        <f ca="1">IF(AND(ISNUMBER($AO$764),$B$677=1),$AO$764,HLOOKUP(INDIRECT(ADDRESS(2,COLUMN())),OFFSET($BN$2,0,0,ROW()-1,60),ROW()-1,FALSE))</f>
        <v/>
      </c>
      <c r="AP92" t="str">
        <f ca="1">IF(AND(ISNUMBER($AP$764),$B$677=1),$AP$764,HLOOKUP(INDIRECT(ADDRESS(2,COLUMN())),OFFSET($BN$2,0,0,ROW()-1,60),ROW()-1,FALSE))</f>
        <v/>
      </c>
      <c r="AQ92" t="str">
        <f ca="1">IF(AND(ISNUMBER($AQ$764),$B$677=1),$AQ$764,HLOOKUP(INDIRECT(ADDRESS(2,COLUMN())),OFFSET($BN$2,0,0,ROW()-1,60),ROW()-1,FALSE))</f>
        <v/>
      </c>
      <c r="AR92" t="str">
        <f ca="1">IF(AND(ISNUMBER($AR$764),$B$677=1),$AR$764,HLOOKUP(INDIRECT(ADDRESS(2,COLUMN())),OFFSET($BN$2,0,0,ROW()-1,60),ROW()-1,FALSE))</f>
        <v/>
      </c>
      <c r="AS92" t="str">
        <f ca="1">IF(AND(ISNUMBER($AS$764),$B$677=1),$AS$764,HLOOKUP(INDIRECT(ADDRESS(2,COLUMN())),OFFSET($BN$2,0,0,ROW()-1,60),ROW()-1,FALSE))</f>
        <v/>
      </c>
      <c r="AT92" t="str">
        <f ca="1">IF(AND(ISNUMBER($AT$764),$B$677=1),$AT$764,HLOOKUP(INDIRECT(ADDRESS(2,COLUMN())),OFFSET($BN$2,0,0,ROW()-1,60),ROW()-1,FALSE))</f>
        <v/>
      </c>
      <c r="AU92" t="str">
        <f ca="1">IF(AND(ISNUMBER($AU$764),$B$677=1),$AU$764,HLOOKUP(INDIRECT(ADDRESS(2,COLUMN())),OFFSET($BN$2,0,0,ROW()-1,60),ROW()-1,FALSE))</f>
        <v/>
      </c>
      <c r="AV92" t="str">
        <f ca="1">IF(AND(ISNUMBER($AV$764),$B$677=1),$AV$764,HLOOKUP(INDIRECT(ADDRESS(2,COLUMN())),OFFSET($BN$2,0,0,ROW()-1,60),ROW()-1,FALSE))</f>
        <v/>
      </c>
      <c r="AW92" t="str">
        <f ca="1">IF(AND(ISNUMBER($AW$764),$B$677=1),$AW$764,HLOOKUP(INDIRECT(ADDRESS(2,COLUMN())),OFFSET($BN$2,0,0,ROW()-1,60),ROW()-1,FALSE))</f>
        <v/>
      </c>
      <c r="AX92" t="str">
        <f ca="1">IF(AND(ISNUMBER($AX$764),$B$677=1),$AX$764,HLOOKUP(INDIRECT(ADDRESS(2,COLUMN())),OFFSET($BN$2,0,0,ROW()-1,60),ROW()-1,FALSE))</f>
        <v/>
      </c>
      <c r="AY92" t="str">
        <f ca="1">IF(AND(ISNUMBER($AY$764),$B$677=1),$AY$764,HLOOKUP(INDIRECT(ADDRESS(2,COLUMN())),OFFSET($BN$2,0,0,ROW()-1,60),ROW()-1,FALSE))</f>
        <v/>
      </c>
      <c r="AZ92" t="str">
        <f ca="1">IF(AND(ISNUMBER($AZ$764),$B$677=1),$AZ$764,HLOOKUP(INDIRECT(ADDRESS(2,COLUMN())),OFFSET($BN$2,0,0,ROW()-1,60),ROW()-1,FALSE))</f>
        <v/>
      </c>
      <c r="BA92" t="str">
        <f ca="1">IF(AND(ISNUMBER($BA$764),$B$677=1),$BA$764,HLOOKUP(INDIRECT(ADDRESS(2,COLUMN())),OFFSET($BN$2,0,0,ROW()-1,60),ROW()-1,FALSE))</f>
        <v/>
      </c>
      <c r="BB92" t="str">
        <f ca="1">IF(AND(ISNUMBER($BB$764),$B$677=1),$BB$764,HLOOKUP(INDIRECT(ADDRESS(2,COLUMN())),OFFSET($BN$2,0,0,ROW()-1,60),ROW()-1,FALSE))</f>
        <v/>
      </c>
      <c r="BC92" t="str">
        <f ca="1">IF(AND(ISNUMBER($BC$764),$B$677=1),$BC$764,HLOOKUP(INDIRECT(ADDRESS(2,COLUMN())),OFFSET($BN$2,0,0,ROW()-1,60),ROW()-1,FALSE))</f>
        <v/>
      </c>
      <c r="BD92" t="str">
        <f ca="1">IF(AND(ISNUMBER($BD$764),$B$677=1),$BD$764,HLOOKUP(INDIRECT(ADDRESS(2,COLUMN())),OFFSET($BN$2,0,0,ROW()-1,60),ROW()-1,FALSE))</f>
        <v/>
      </c>
      <c r="BE92" t="str">
        <f ca="1">IF(AND(ISNUMBER($BE$764),$B$677=1),$BE$764,HLOOKUP(INDIRECT(ADDRESS(2,COLUMN())),OFFSET($BN$2,0,0,ROW()-1,60),ROW()-1,FALSE))</f>
        <v/>
      </c>
      <c r="BF92" t="str">
        <f ca="1">IF(AND(ISNUMBER($BF$764),$B$677=1),$BF$764,HLOOKUP(INDIRECT(ADDRESS(2,COLUMN())),OFFSET($BN$2,0,0,ROW()-1,60),ROW()-1,FALSE))</f>
        <v/>
      </c>
      <c r="BG92" t="str">
        <f ca="1">IF(AND(ISNUMBER($BG$764),$B$677=1),$BG$764,HLOOKUP(INDIRECT(ADDRESS(2,COLUMN())),OFFSET($BN$2,0,0,ROW()-1,60),ROW()-1,FALSE))</f>
        <v/>
      </c>
      <c r="BH92" t="str">
        <f ca="1">IF(AND(ISNUMBER($BH$764),$B$677=1),$BH$764,HLOOKUP(INDIRECT(ADDRESS(2,COLUMN())),OFFSET($BN$2,0,0,ROW()-1,60),ROW()-1,FALSE))</f>
        <v/>
      </c>
      <c r="BI92" t="str">
        <f ca="1">IF(AND(ISNUMBER($BI$764),$B$677=1),$BI$764,HLOOKUP(INDIRECT(ADDRESS(2,COLUMN())),OFFSET($BN$2,0,0,ROW()-1,60),ROW()-1,FALSE))</f>
        <v/>
      </c>
      <c r="BJ92" t="str">
        <f ca="1">IF(AND(ISNUMBER($BJ$764),$B$677=1),$BJ$764,HLOOKUP(INDIRECT(ADDRESS(2,COLUMN())),OFFSET($BN$2,0,0,ROW()-1,60),ROW()-1,FALSE))</f>
        <v/>
      </c>
      <c r="BK92" t="str">
        <f ca="1">IF(AND(ISNUMBER($BK$764),$B$677=1),$BK$764,HLOOKUP(INDIRECT(ADDRESS(2,COLUMN())),OFFSET($BN$2,0,0,ROW()-1,60),ROW()-1,FALSE))</f>
        <v/>
      </c>
      <c r="BL92" t="str">
        <f ca="1">IF(AND(ISNUMBER($BL$764),$B$677=1),$BL$764,HLOOKUP(INDIRECT(ADDRESS(2,COLUMN())),OFFSET($BN$2,0,0,ROW()-1,60),ROW()-1,FALSE))</f>
        <v/>
      </c>
      <c r="BM92" t="str">
        <f ca="1">IF(AND(ISNUMBER($BM$764),$B$677=1),$BM$764,HLOOKUP(INDIRECT(ADDRESS(2,COLUMN())),OFFSET($BN$2,0,0,ROW()-1,60),ROW()-1,FALSE))</f>
        <v/>
      </c>
      <c r="BN92">
        <f>6.552735454</f>
        <v>6.5527354539999996</v>
      </c>
      <c r="BO92">
        <f>4.137172387</f>
        <v>4.1371723869999997</v>
      </c>
      <c r="BP92">
        <f>4.862047271</f>
        <v>4.8620472709999998</v>
      </c>
      <c r="BQ92">
        <f>4.395696279</f>
        <v>4.395696279</v>
      </c>
      <c r="BR92">
        <f>3.255012999</f>
        <v>3.2550129989999999</v>
      </c>
      <c r="BS92">
        <f>3.581379363</f>
        <v>3.5813793629999999</v>
      </c>
      <c r="BT92">
        <f>4.101784152</f>
        <v>4.1017841519999996</v>
      </c>
      <c r="BU92">
        <f>3.726867909</f>
        <v>3.7268679090000001</v>
      </c>
      <c r="BV92">
        <f>4.067129076</f>
        <v>4.0671290759999996</v>
      </c>
      <c r="BW92">
        <f>4.223613649</f>
        <v>4.2236136489999998</v>
      </c>
      <c r="BX92">
        <f>3.733563456</f>
        <v>3.7335634560000002</v>
      </c>
      <c r="BY92" t="str">
        <f>""</f>
        <v/>
      </c>
      <c r="BZ92" t="str">
        <f>""</f>
        <v/>
      </c>
      <c r="CA92" t="str">
        <f>""</f>
        <v/>
      </c>
      <c r="CB92" t="str">
        <f>""</f>
        <v/>
      </c>
      <c r="CC92" t="str">
        <f>""</f>
        <v/>
      </c>
      <c r="CD92" t="str">
        <f>""</f>
        <v/>
      </c>
      <c r="CE92" t="str">
        <f>""</f>
        <v/>
      </c>
      <c r="CF92" t="str">
        <f>""</f>
        <v/>
      </c>
      <c r="CG92" t="str">
        <f>""</f>
        <v/>
      </c>
      <c r="CH92" t="str">
        <f>""</f>
        <v/>
      </c>
      <c r="CI92" t="str">
        <f>""</f>
        <v/>
      </c>
      <c r="CJ92" t="str">
        <f>""</f>
        <v/>
      </c>
      <c r="CK92" t="str">
        <f>""</f>
        <v/>
      </c>
      <c r="CL92" t="str">
        <f>""</f>
        <v/>
      </c>
      <c r="CM92" t="str">
        <f>""</f>
        <v/>
      </c>
      <c r="CN92" t="str">
        <f>""</f>
        <v/>
      </c>
      <c r="CO92" t="str">
        <f>""</f>
        <v/>
      </c>
      <c r="CP92" t="str">
        <f>""</f>
        <v/>
      </c>
      <c r="CQ92" t="str">
        <f>""</f>
        <v/>
      </c>
      <c r="CR92" t="str">
        <f>""</f>
        <v/>
      </c>
      <c r="CS92" t="str">
        <f>""</f>
        <v/>
      </c>
      <c r="CT92" t="str">
        <f>""</f>
        <v/>
      </c>
      <c r="CU92" t="str">
        <f>""</f>
        <v/>
      </c>
      <c r="CV92" t="str">
        <f>""</f>
        <v/>
      </c>
      <c r="CW92" t="str">
        <f>""</f>
        <v/>
      </c>
      <c r="CX92" t="str">
        <f>""</f>
        <v/>
      </c>
      <c r="CY92" t="str">
        <f>""</f>
        <v/>
      </c>
      <c r="CZ92" t="str">
        <f>""</f>
        <v/>
      </c>
      <c r="DA92" t="str">
        <f>""</f>
        <v/>
      </c>
      <c r="DB92" t="str">
        <f>""</f>
        <v/>
      </c>
      <c r="DC92" t="str">
        <f>""</f>
        <v/>
      </c>
      <c r="DD92" t="str">
        <f>""</f>
        <v/>
      </c>
      <c r="DE92" t="str">
        <f>""</f>
        <v/>
      </c>
      <c r="DF92" t="str">
        <f>""</f>
        <v/>
      </c>
      <c r="DG92" t="str">
        <f>""</f>
        <v/>
      </c>
      <c r="DH92" t="str">
        <f>""</f>
        <v/>
      </c>
      <c r="DI92" t="str">
        <f>""</f>
        <v/>
      </c>
      <c r="DJ92" t="str">
        <f>""</f>
        <v/>
      </c>
      <c r="DK92" t="str">
        <f>""</f>
        <v/>
      </c>
      <c r="DL92" t="str">
        <f>""</f>
        <v/>
      </c>
      <c r="DM92" t="str">
        <f>""</f>
        <v/>
      </c>
      <c r="DN92" t="str">
        <f>""</f>
        <v/>
      </c>
      <c r="DO92" t="str">
        <f>""</f>
        <v/>
      </c>
      <c r="DP92" t="str">
        <f>""</f>
        <v/>
      </c>
      <c r="DQ92" t="str">
        <f>""</f>
        <v/>
      </c>
      <c r="DR92" t="str">
        <f>""</f>
        <v/>
      </c>
      <c r="DS92" t="str">
        <f>""</f>
        <v/>
      </c>
      <c r="DT92" t="str">
        <f>""</f>
        <v/>
      </c>
      <c r="DU92" t="str">
        <f>""</f>
        <v/>
      </c>
    </row>
    <row r="93" spans="1:125" x14ac:dyDescent="0.25">
      <c r="A93" t="str">
        <f>"    Daihatsu Motor Co Ltd"</f>
        <v xml:space="preserve">    Daihatsu Motor Co Ltd</v>
      </c>
      <c r="B93" t="str">
        <f>"7262 JP Equity"</f>
        <v>7262 JP Equity</v>
      </c>
      <c r="C93" t="str">
        <f t="shared" si="6"/>
        <v>EZ010</v>
      </c>
      <c r="D93" t="str">
        <f t="shared" si="7"/>
        <v>BEST_EST_PE_NXT_YR</v>
      </c>
      <c r="E93" t="str">
        <f t="shared" si="8"/>
        <v>Dynamic</v>
      </c>
      <c r="F93" t="str">
        <f ca="1">IF(AND(ISNUMBER($F$765),$B$677=1),$F$765,HLOOKUP(INDIRECT(ADDRESS(2,COLUMN())),OFFSET($BN$2,0,0,ROW()-1,60),ROW()-1,FALSE))</f>
        <v/>
      </c>
      <c r="G93" t="str">
        <f ca="1">IF(AND(ISNUMBER($G$765),$B$677=1),$G$765,HLOOKUP(INDIRECT(ADDRESS(2,COLUMN())),OFFSET($BN$2,0,0,ROW()-1,60),ROW()-1,FALSE))</f>
        <v/>
      </c>
      <c r="H93" t="str">
        <f ca="1">IF(AND(ISNUMBER($H$765),$B$677=1),$H$765,HLOOKUP(INDIRECT(ADDRESS(2,COLUMN())),OFFSET($BN$2,0,0,ROW()-1,60),ROW()-1,FALSE))</f>
        <v/>
      </c>
      <c r="I93" t="str">
        <f ca="1">IF(AND(ISNUMBER($I$765),$B$677=1),$I$765,HLOOKUP(INDIRECT(ADDRESS(2,COLUMN())),OFFSET($BN$2,0,0,ROW()-1,60),ROW()-1,FALSE))</f>
        <v/>
      </c>
      <c r="J93" t="str">
        <f ca="1">IF(AND(ISNUMBER($J$765),$B$677=1),$J$765,HLOOKUP(INDIRECT(ADDRESS(2,COLUMN())),OFFSET($BN$2,0,0,ROW()-1,60),ROW()-1,FALSE))</f>
        <v/>
      </c>
      <c r="K93" t="str">
        <f ca="1">IF(AND(ISNUMBER($K$765),$B$677=1),$K$765,HLOOKUP(INDIRECT(ADDRESS(2,COLUMN())),OFFSET($BN$2,0,0,ROW()-1,60),ROW()-1,FALSE))</f>
        <v/>
      </c>
      <c r="L93" t="str">
        <f ca="1">IF(AND(ISNUMBER($L$765),$B$677=1),$L$765,HLOOKUP(INDIRECT(ADDRESS(2,COLUMN())),OFFSET($BN$2,0,0,ROW()-1,60),ROW()-1,FALSE))</f>
        <v/>
      </c>
      <c r="M93" t="str">
        <f ca="1">IF(AND(ISNUMBER($M$765),$B$677=1),$M$765,HLOOKUP(INDIRECT(ADDRESS(2,COLUMN())),OFFSET($BN$2,0,0,ROW()-1,60),ROW()-1,FALSE))</f>
        <v/>
      </c>
      <c r="N93" t="str">
        <f ca="1">IF(AND(ISNUMBER($N$765),$B$677=1),$N$765,HLOOKUP(INDIRECT(ADDRESS(2,COLUMN())),OFFSET($BN$2,0,0,ROW()-1,60),ROW()-1,FALSE))</f>
        <v/>
      </c>
      <c r="O93" t="str">
        <f ca="1">IF(AND(ISNUMBER($O$765),$B$677=1),$O$765,HLOOKUP(INDIRECT(ADDRESS(2,COLUMN())),OFFSET($BN$2,0,0,ROW()-1,60),ROW()-1,FALSE))</f>
        <v/>
      </c>
      <c r="P93">
        <f ca="1">IF(AND(ISNUMBER($P$765),$B$677=1),$P$765,HLOOKUP(INDIRECT(ADDRESS(2,COLUMN())),OFFSET($BN$2,0,0,ROW()-1,60),ROW()-1,FALSE))</f>
        <v>12.08824173</v>
      </c>
      <c r="Q93">
        <f ca="1">IF(AND(ISNUMBER($Q$765),$B$677=1),$Q$765,HLOOKUP(INDIRECT(ADDRESS(2,COLUMN())),OFFSET($BN$2,0,0,ROW()-1,60),ROW()-1,FALSE))</f>
        <v>10.376796130000001</v>
      </c>
      <c r="R93">
        <f ca="1">IF(AND(ISNUMBER($R$765),$B$677=1),$R$765,HLOOKUP(INDIRECT(ADDRESS(2,COLUMN())),OFFSET($BN$2,0,0,ROW()-1,60),ROW()-1,FALSE))</f>
        <v>12.83919435</v>
      </c>
      <c r="S93">
        <f ca="1">IF(AND(ISNUMBER($S$765),$B$677=1),$S$765,HLOOKUP(INDIRECT(ADDRESS(2,COLUMN())),OFFSET($BN$2,0,0,ROW()-1,60),ROW()-1,FALSE))</f>
        <v>13.15188382</v>
      </c>
      <c r="T93">
        <f ca="1">IF(AND(ISNUMBER($T$765),$B$677=1),$T$765,HLOOKUP(INDIRECT(ADDRESS(2,COLUMN())),OFFSET($BN$2,0,0,ROW()-1,60),ROW()-1,FALSE))</f>
        <v>8.937759282</v>
      </c>
      <c r="U93">
        <f ca="1">IF(AND(ISNUMBER($U$765),$B$677=1),$U$765,HLOOKUP(INDIRECT(ADDRESS(2,COLUMN())),OFFSET($BN$2,0,0,ROW()-1,60),ROW()-1,FALSE))</f>
        <v>10.576584670000001</v>
      </c>
      <c r="V93">
        <f ca="1">IF(AND(ISNUMBER($V$765),$B$677=1),$V$765,HLOOKUP(INDIRECT(ADDRESS(2,COLUMN())),OFFSET($BN$2,0,0,ROW()-1,60),ROW()-1,FALSE))</f>
        <v>11.91494879</v>
      </c>
      <c r="W93">
        <f ca="1">IF(AND(ISNUMBER($W$765),$B$677=1),$W$765,HLOOKUP(INDIRECT(ADDRESS(2,COLUMN())),OFFSET($BN$2,0,0,ROW()-1,60),ROW()-1,FALSE))</f>
        <v>8.3904564540000006</v>
      </c>
      <c r="X93">
        <f ca="1">IF(AND(ISNUMBER($X$765),$B$677=1),$X$765,HLOOKUP(INDIRECT(ADDRESS(2,COLUMN())),OFFSET($BN$2,0,0,ROW()-1,60),ROW()-1,FALSE))</f>
        <v>7.1831433369999997</v>
      </c>
      <c r="Y93">
        <f ca="1">IF(AND(ISNUMBER($Y$765),$B$677=1),$Y$765,HLOOKUP(INDIRECT(ADDRESS(2,COLUMN())),OFFSET($BN$2,0,0,ROW()-1,60),ROW()-1,FALSE))</f>
        <v>8.4992921189999997</v>
      </c>
      <c r="Z93">
        <f ca="1">IF(AND(ISNUMBER($Z$765),$B$677=1),$Z$765,HLOOKUP(INDIRECT(ADDRESS(2,COLUMN())),OFFSET($BN$2,0,0,ROW()-1,60),ROW()-1,FALSE))</f>
        <v>9.5896896369999993</v>
      </c>
      <c r="AA93" t="str">
        <f ca="1">IF(AND(ISNUMBER($AA$765),$B$677=1),$AA$765,HLOOKUP(INDIRECT(ADDRESS(2,COLUMN())),OFFSET($BN$2,0,0,ROW()-1,60),ROW()-1,FALSE))</f>
        <v/>
      </c>
      <c r="AB93" t="str">
        <f ca="1">IF(AND(ISNUMBER($AB$765),$B$677=1),$AB$765,HLOOKUP(INDIRECT(ADDRESS(2,COLUMN())),OFFSET($BN$2,0,0,ROW()-1,60),ROW()-1,FALSE))</f>
        <v/>
      </c>
      <c r="AC93" t="str">
        <f ca="1">IF(AND(ISNUMBER($AC$765),$B$677=1),$AC$765,HLOOKUP(INDIRECT(ADDRESS(2,COLUMN())),OFFSET($BN$2,0,0,ROW()-1,60),ROW()-1,FALSE))</f>
        <v/>
      </c>
      <c r="AD93" t="str">
        <f ca="1">IF(AND(ISNUMBER($AD$765),$B$677=1),$AD$765,HLOOKUP(INDIRECT(ADDRESS(2,COLUMN())),OFFSET($BN$2,0,0,ROW()-1,60),ROW()-1,FALSE))</f>
        <v/>
      </c>
      <c r="AE93" t="str">
        <f ca="1">IF(AND(ISNUMBER($AE$765),$B$677=1),$AE$765,HLOOKUP(INDIRECT(ADDRESS(2,COLUMN())),OFFSET($BN$2,0,0,ROW()-1,60),ROW()-1,FALSE))</f>
        <v/>
      </c>
      <c r="AF93" t="str">
        <f ca="1">IF(AND(ISNUMBER($AF$765),$B$677=1),$AF$765,HLOOKUP(INDIRECT(ADDRESS(2,COLUMN())),OFFSET($BN$2,0,0,ROW()-1,60),ROW()-1,FALSE))</f>
        <v/>
      </c>
      <c r="AG93" t="str">
        <f ca="1">IF(AND(ISNUMBER($AG$765),$B$677=1),$AG$765,HLOOKUP(INDIRECT(ADDRESS(2,COLUMN())),OFFSET($BN$2,0,0,ROW()-1,60),ROW()-1,FALSE))</f>
        <v/>
      </c>
      <c r="AH93" t="str">
        <f ca="1">IF(AND(ISNUMBER($AH$765),$B$677=1),$AH$765,HLOOKUP(INDIRECT(ADDRESS(2,COLUMN())),OFFSET($BN$2,0,0,ROW()-1,60),ROW()-1,FALSE))</f>
        <v/>
      </c>
      <c r="AI93" t="str">
        <f ca="1">IF(AND(ISNUMBER($AI$765),$B$677=1),$AI$765,HLOOKUP(INDIRECT(ADDRESS(2,COLUMN())),OFFSET($BN$2,0,0,ROW()-1,60),ROW()-1,FALSE))</f>
        <v/>
      </c>
      <c r="AJ93" t="str">
        <f ca="1">IF(AND(ISNUMBER($AJ$765),$B$677=1),$AJ$765,HLOOKUP(INDIRECT(ADDRESS(2,COLUMN())),OFFSET($BN$2,0,0,ROW()-1,60),ROW()-1,FALSE))</f>
        <v/>
      </c>
      <c r="AK93" t="str">
        <f ca="1">IF(AND(ISNUMBER($AK$765),$B$677=1),$AK$765,HLOOKUP(INDIRECT(ADDRESS(2,COLUMN())),OFFSET($BN$2,0,0,ROW()-1,60),ROW()-1,FALSE))</f>
        <v/>
      </c>
      <c r="AL93" t="str">
        <f ca="1">IF(AND(ISNUMBER($AL$765),$B$677=1),$AL$765,HLOOKUP(INDIRECT(ADDRESS(2,COLUMN())),OFFSET($BN$2,0,0,ROW()-1,60),ROW()-1,FALSE))</f>
        <v/>
      </c>
      <c r="AM93" t="str">
        <f ca="1">IF(AND(ISNUMBER($AM$765),$B$677=1),$AM$765,HLOOKUP(INDIRECT(ADDRESS(2,COLUMN())),OFFSET($BN$2,0,0,ROW()-1,60),ROW()-1,FALSE))</f>
        <v/>
      </c>
      <c r="AN93" t="str">
        <f ca="1">IF(AND(ISNUMBER($AN$765),$B$677=1),$AN$765,HLOOKUP(INDIRECT(ADDRESS(2,COLUMN())),OFFSET($BN$2,0,0,ROW()-1,60),ROW()-1,FALSE))</f>
        <v/>
      </c>
      <c r="AO93" t="str">
        <f ca="1">IF(AND(ISNUMBER($AO$765),$B$677=1),$AO$765,HLOOKUP(INDIRECT(ADDRESS(2,COLUMN())),OFFSET($BN$2,0,0,ROW()-1,60),ROW()-1,FALSE))</f>
        <v/>
      </c>
      <c r="AP93" t="str">
        <f ca="1">IF(AND(ISNUMBER($AP$765),$B$677=1),$AP$765,HLOOKUP(INDIRECT(ADDRESS(2,COLUMN())),OFFSET($BN$2,0,0,ROW()-1,60),ROW()-1,FALSE))</f>
        <v/>
      </c>
      <c r="AQ93" t="str">
        <f ca="1">IF(AND(ISNUMBER($AQ$765),$B$677=1),$AQ$765,HLOOKUP(INDIRECT(ADDRESS(2,COLUMN())),OFFSET($BN$2,0,0,ROW()-1,60),ROW()-1,FALSE))</f>
        <v/>
      </c>
      <c r="AR93" t="str">
        <f ca="1">IF(AND(ISNUMBER($AR$765),$B$677=1),$AR$765,HLOOKUP(INDIRECT(ADDRESS(2,COLUMN())),OFFSET($BN$2,0,0,ROW()-1,60),ROW()-1,FALSE))</f>
        <v/>
      </c>
      <c r="AS93" t="str">
        <f ca="1">IF(AND(ISNUMBER($AS$765),$B$677=1),$AS$765,HLOOKUP(INDIRECT(ADDRESS(2,COLUMN())),OFFSET($BN$2,0,0,ROW()-1,60),ROW()-1,FALSE))</f>
        <v/>
      </c>
      <c r="AT93" t="str">
        <f ca="1">IF(AND(ISNUMBER($AT$765),$B$677=1),$AT$765,HLOOKUP(INDIRECT(ADDRESS(2,COLUMN())),OFFSET($BN$2,0,0,ROW()-1,60),ROW()-1,FALSE))</f>
        <v/>
      </c>
      <c r="AU93" t="str">
        <f ca="1">IF(AND(ISNUMBER($AU$765),$B$677=1),$AU$765,HLOOKUP(INDIRECT(ADDRESS(2,COLUMN())),OFFSET($BN$2,0,0,ROW()-1,60),ROW()-1,FALSE))</f>
        <v/>
      </c>
      <c r="AV93" t="str">
        <f ca="1">IF(AND(ISNUMBER($AV$765),$B$677=1),$AV$765,HLOOKUP(INDIRECT(ADDRESS(2,COLUMN())),OFFSET($BN$2,0,0,ROW()-1,60),ROW()-1,FALSE))</f>
        <v/>
      </c>
      <c r="AW93" t="str">
        <f ca="1">IF(AND(ISNUMBER($AW$765),$B$677=1),$AW$765,HLOOKUP(INDIRECT(ADDRESS(2,COLUMN())),OFFSET($BN$2,0,0,ROW()-1,60),ROW()-1,FALSE))</f>
        <v/>
      </c>
      <c r="AX93" t="str">
        <f ca="1">IF(AND(ISNUMBER($AX$765),$B$677=1),$AX$765,HLOOKUP(INDIRECT(ADDRESS(2,COLUMN())),OFFSET($BN$2,0,0,ROW()-1,60),ROW()-1,FALSE))</f>
        <v/>
      </c>
      <c r="AY93" t="str">
        <f ca="1">IF(AND(ISNUMBER($AY$765),$B$677=1),$AY$765,HLOOKUP(INDIRECT(ADDRESS(2,COLUMN())),OFFSET($BN$2,0,0,ROW()-1,60),ROW()-1,FALSE))</f>
        <v/>
      </c>
      <c r="AZ93" t="str">
        <f ca="1">IF(AND(ISNUMBER($AZ$765),$B$677=1),$AZ$765,HLOOKUP(INDIRECT(ADDRESS(2,COLUMN())),OFFSET($BN$2,0,0,ROW()-1,60),ROW()-1,FALSE))</f>
        <v/>
      </c>
      <c r="BA93" t="str">
        <f ca="1">IF(AND(ISNUMBER($BA$765),$B$677=1),$BA$765,HLOOKUP(INDIRECT(ADDRESS(2,COLUMN())),OFFSET($BN$2,0,0,ROW()-1,60),ROW()-1,FALSE))</f>
        <v/>
      </c>
      <c r="BB93" t="str">
        <f ca="1">IF(AND(ISNUMBER($BB$765),$B$677=1),$BB$765,HLOOKUP(INDIRECT(ADDRESS(2,COLUMN())),OFFSET($BN$2,0,0,ROW()-1,60),ROW()-1,FALSE))</f>
        <v/>
      </c>
      <c r="BC93" t="str">
        <f ca="1">IF(AND(ISNUMBER($BC$765),$B$677=1),$BC$765,HLOOKUP(INDIRECT(ADDRESS(2,COLUMN())),OFFSET($BN$2,0,0,ROW()-1,60),ROW()-1,FALSE))</f>
        <v/>
      </c>
      <c r="BD93" t="str">
        <f ca="1">IF(AND(ISNUMBER($BD$765),$B$677=1),$BD$765,HLOOKUP(INDIRECT(ADDRESS(2,COLUMN())),OFFSET($BN$2,0,0,ROW()-1,60),ROW()-1,FALSE))</f>
        <v/>
      </c>
      <c r="BE93" t="str">
        <f ca="1">IF(AND(ISNUMBER($BE$765),$B$677=1),$BE$765,HLOOKUP(INDIRECT(ADDRESS(2,COLUMN())),OFFSET($BN$2,0,0,ROW()-1,60),ROW()-1,FALSE))</f>
        <v/>
      </c>
      <c r="BF93" t="str">
        <f ca="1">IF(AND(ISNUMBER($BF$765),$B$677=1),$BF$765,HLOOKUP(INDIRECT(ADDRESS(2,COLUMN())),OFFSET($BN$2,0,0,ROW()-1,60),ROW()-1,FALSE))</f>
        <v/>
      </c>
      <c r="BG93" t="str">
        <f ca="1">IF(AND(ISNUMBER($BG$765),$B$677=1),$BG$765,HLOOKUP(INDIRECT(ADDRESS(2,COLUMN())),OFFSET($BN$2,0,0,ROW()-1,60),ROW()-1,FALSE))</f>
        <v/>
      </c>
      <c r="BH93" t="str">
        <f ca="1">IF(AND(ISNUMBER($BH$765),$B$677=1),$BH$765,HLOOKUP(INDIRECT(ADDRESS(2,COLUMN())),OFFSET($BN$2,0,0,ROW()-1,60),ROW()-1,FALSE))</f>
        <v/>
      </c>
      <c r="BI93" t="str">
        <f ca="1">IF(AND(ISNUMBER($BI$765),$B$677=1),$BI$765,HLOOKUP(INDIRECT(ADDRESS(2,COLUMN())),OFFSET($BN$2,0,0,ROW()-1,60),ROW()-1,FALSE))</f>
        <v/>
      </c>
      <c r="BJ93" t="str">
        <f ca="1">IF(AND(ISNUMBER($BJ$765),$B$677=1),$BJ$765,HLOOKUP(INDIRECT(ADDRESS(2,COLUMN())),OFFSET($BN$2,0,0,ROW()-1,60),ROW()-1,FALSE))</f>
        <v/>
      </c>
      <c r="BK93" t="str">
        <f ca="1">IF(AND(ISNUMBER($BK$765),$B$677=1),$BK$765,HLOOKUP(INDIRECT(ADDRESS(2,COLUMN())),OFFSET($BN$2,0,0,ROW()-1,60),ROW()-1,FALSE))</f>
        <v/>
      </c>
      <c r="BL93" t="str">
        <f ca="1">IF(AND(ISNUMBER($BL$765),$B$677=1),$BL$765,HLOOKUP(INDIRECT(ADDRESS(2,COLUMN())),OFFSET($BN$2,0,0,ROW()-1,60),ROW()-1,FALSE))</f>
        <v/>
      </c>
      <c r="BM93" t="str">
        <f ca="1">IF(AND(ISNUMBER($BM$765),$B$677=1),$BM$765,HLOOKUP(INDIRECT(ADDRESS(2,COLUMN())),OFFSET($BN$2,0,0,ROW()-1,60),ROW()-1,FALSE))</f>
        <v/>
      </c>
      <c r="BN93" t="str">
        <f>""</f>
        <v/>
      </c>
      <c r="BO93" t="str">
        <f>""</f>
        <v/>
      </c>
      <c r="BP93" t="str">
        <f>""</f>
        <v/>
      </c>
      <c r="BQ93" t="str">
        <f>""</f>
        <v/>
      </c>
      <c r="BR93" t="str">
        <f>""</f>
        <v/>
      </c>
      <c r="BS93" t="str">
        <f>""</f>
        <v/>
      </c>
      <c r="BT93" t="str">
        <f>""</f>
        <v/>
      </c>
      <c r="BU93" t="str">
        <f>""</f>
        <v/>
      </c>
      <c r="BV93" t="str">
        <f>""</f>
        <v/>
      </c>
      <c r="BW93" t="str">
        <f>""</f>
        <v/>
      </c>
      <c r="BX93">
        <f>12.08824173</f>
        <v>12.08824173</v>
      </c>
      <c r="BY93">
        <f>10.37679613</f>
        <v>10.376796130000001</v>
      </c>
      <c r="BZ93">
        <f>12.83919435</f>
        <v>12.83919435</v>
      </c>
      <c r="CA93">
        <f>13.15188382</f>
        <v>13.15188382</v>
      </c>
      <c r="CB93">
        <f>8.937759282</f>
        <v>8.937759282</v>
      </c>
      <c r="CC93">
        <f>10.57658467</f>
        <v>10.576584670000001</v>
      </c>
      <c r="CD93">
        <f>11.91494879</f>
        <v>11.91494879</v>
      </c>
      <c r="CE93">
        <f>8.390456454</f>
        <v>8.3904564540000006</v>
      </c>
      <c r="CF93">
        <f>7.183143337</f>
        <v>7.1831433369999997</v>
      </c>
      <c r="CG93">
        <f>8.499292119</f>
        <v>8.4992921189999997</v>
      </c>
      <c r="CH93">
        <f>9.589689637</f>
        <v>9.5896896369999993</v>
      </c>
      <c r="CI93" t="str">
        <f>""</f>
        <v/>
      </c>
      <c r="CJ93" t="str">
        <f>""</f>
        <v/>
      </c>
      <c r="CK93" t="str">
        <f>""</f>
        <v/>
      </c>
      <c r="CL93" t="str">
        <f>""</f>
        <v/>
      </c>
      <c r="CM93" t="str">
        <f>""</f>
        <v/>
      </c>
      <c r="CN93" t="str">
        <f>""</f>
        <v/>
      </c>
      <c r="CO93" t="str">
        <f>""</f>
        <v/>
      </c>
      <c r="CP93" t="str">
        <f>""</f>
        <v/>
      </c>
      <c r="CQ93" t="str">
        <f>""</f>
        <v/>
      </c>
      <c r="CR93" t="str">
        <f>""</f>
        <v/>
      </c>
      <c r="CS93" t="str">
        <f>""</f>
        <v/>
      </c>
      <c r="CT93" t="str">
        <f>""</f>
        <v/>
      </c>
      <c r="CU93" t="str">
        <f>""</f>
        <v/>
      </c>
      <c r="CV93" t="str">
        <f>""</f>
        <v/>
      </c>
      <c r="CW93" t="str">
        <f>""</f>
        <v/>
      </c>
      <c r="CX93" t="str">
        <f>""</f>
        <v/>
      </c>
      <c r="CY93" t="str">
        <f>""</f>
        <v/>
      </c>
      <c r="CZ93" t="str">
        <f>""</f>
        <v/>
      </c>
      <c r="DA93" t="str">
        <f>""</f>
        <v/>
      </c>
      <c r="DB93" t="str">
        <f>""</f>
        <v/>
      </c>
      <c r="DC93" t="str">
        <f>""</f>
        <v/>
      </c>
      <c r="DD93" t="str">
        <f>""</f>
        <v/>
      </c>
      <c r="DE93" t="str">
        <f>""</f>
        <v/>
      </c>
      <c r="DF93" t="str">
        <f>""</f>
        <v/>
      </c>
      <c r="DG93" t="str">
        <f>""</f>
        <v/>
      </c>
      <c r="DH93" t="str">
        <f>""</f>
        <v/>
      </c>
      <c r="DI93" t="str">
        <f>""</f>
        <v/>
      </c>
      <c r="DJ93" t="str">
        <f>""</f>
        <v/>
      </c>
      <c r="DK93" t="str">
        <f>""</f>
        <v/>
      </c>
      <c r="DL93" t="str">
        <f>""</f>
        <v/>
      </c>
      <c r="DM93" t="str">
        <f>""</f>
        <v/>
      </c>
      <c r="DN93" t="str">
        <f>""</f>
        <v/>
      </c>
      <c r="DO93" t="str">
        <f>""</f>
        <v/>
      </c>
      <c r="DP93" t="str">
        <f>""</f>
        <v/>
      </c>
      <c r="DQ93" t="str">
        <f>""</f>
        <v/>
      </c>
      <c r="DR93" t="str">
        <f>""</f>
        <v/>
      </c>
      <c r="DS93" t="str">
        <f>""</f>
        <v/>
      </c>
      <c r="DT93" t="str">
        <f>""</f>
        <v/>
      </c>
      <c r="DU93" t="str">
        <f>""</f>
        <v/>
      </c>
    </row>
    <row r="94" spans="1:125" x14ac:dyDescent="0.25">
      <c r="A94" t="str">
        <f>"    Daimler AG"</f>
        <v xml:space="preserve">    Daimler AG</v>
      </c>
      <c r="B94" t="str">
        <f>"DAI GR Equity"</f>
        <v>DAI GR Equity</v>
      </c>
      <c r="C94" t="str">
        <f t="shared" si="6"/>
        <v>EZ010</v>
      </c>
      <c r="D94" t="str">
        <f t="shared" si="7"/>
        <v>BEST_EST_PE_NXT_YR</v>
      </c>
      <c r="E94" t="str">
        <f t="shared" si="8"/>
        <v>Dynamic</v>
      </c>
      <c r="F94">
        <f ca="1">IF(AND(ISNUMBER($F$766),$B$677=1),$F$766,HLOOKUP(INDIRECT(ADDRESS(2,COLUMN())),OFFSET($BN$2,0,0,ROW()-1,60),ROW()-1,FALSE))</f>
        <v>6.6343611180000002</v>
      </c>
      <c r="G94">
        <f ca="1">IF(AND(ISNUMBER($G$766),$B$677=1),$G$766,HLOOKUP(INDIRECT(ADDRESS(2,COLUMN())),OFFSET($BN$2,0,0,ROW()-1,60),ROW()-1,FALSE))</f>
        <v>5.4693828929999997</v>
      </c>
      <c r="H94">
        <f ca="1">IF(AND(ISNUMBER($H$766),$B$677=1),$H$766,HLOOKUP(INDIRECT(ADDRESS(2,COLUMN())),OFFSET($BN$2,0,0,ROW()-1,60),ROW()-1,FALSE))</f>
        <v>5.8855349989999999</v>
      </c>
      <c r="I94">
        <f ca="1">IF(AND(ISNUMBER($I$766),$B$677=1),$I$766,HLOOKUP(INDIRECT(ADDRESS(2,COLUMN())),OFFSET($BN$2,0,0,ROW()-1,60),ROW()-1,FALSE))</f>
        <v>5.750495463</v>
      </c>
      <c r="J94">
        <f ca="1">IF(AND(ISNUMBER($J$766),$B$677=1),$J$766,HLOOKUP(INDIRECT(ADDRESS(2,COLUMN())),OFFSET($BN$2,0,0,ROW()-1,60),ROW()-1,FALSE))</f>
        <v>7.1487688809999996</v>
      </c>
      <c r="K94">
        <f ca="1">IF(AND(ISNUMBER($K$766),$B$677=1),$K$766,HLOOKUP(INDIRECT(ADDRESS(2,COLUMN())),OFFSET($BN$2,0,0,ROW()-1,60),ROW()-1,FALSE))</f>
        <v>7.4557708509999996</v>
      </c>
      <c r="L94">
        <f ca="1">IF(AND(ISNUMBER($L$766),$B$677=1),$L$766,HLOOKUP(INDIRECT(ADDRESS(2,COLUMN())),OFFSET($BN$2,0,0,ROW()-1,60),ROW()-1,FALSE))</f>
        <v>7.0757591680000003</v>
      </c>
      <c r="M94">
        <f ca="1">IF(AND(ISNUMBER($M$766),$B$677=1),$M$766,HLOOKUP(INDIRECT(ADDRESS(2,COLUMN())),OFFSET($BN$2,0,0,ROW()-1,60),ROW()-1,FALSE))</f>
        <v>7.0041914849999998</v>
      </c>
      <c r="N94">
        <f ca="1">IF(AND(ISNUMBER($N$766),$B$677=1),$N$766,HLOOKUP(INDIRECT(ADDRESS(2,COLUMN())),OFFSET($BN$2,0,0,ROW()-1,60),ROW()-1,FALSE))</f>
        <v>10.629230769999999</v>
      </c>
      <c r="O94">
        <f ca="1">IF(AND(ISNUMBER($O$766),$B$677=1),$O$766,HLOOKUP(INDIRECT(ADDRESS(2,COLUMN())),OFFSET($BN$2,0,0,ROW()-1,60),ROW()-1,FALSE))</f>
        <v>7.903225806</v>
      </c>
      <c r="P94">
        <f ca="1">IF(AND(ISNUMBER($P$766),$B$677=1),$P$766,HLOOKUP(INDIRECT(ADDRESS(2,COLUMN())),OFFSET($BN$2,0,0,ROW()-1,60),ROW()-1,FALSE))</f>
        <v>6.5101298700000001</v>
      </c>
      <c r="Q94">
        <f ca="1">IF(AND(ISNUMBER($Q$766),$B$677=1),$Q$766,HLOOKUP(INDIRECT(ADDRESS(2,COLUMN())),OFFSET($BN$2,0,0,ROW()-1,60),ROW()-1,FALSE))</f>
        <v>6.4592105259999997</v>
      </c>
      <c r="R94" t="str">
        <f ca="1">IF(AND(ISNUMBER($R$766),$B$677=1),$R$766,HLOOKUP(INDIRECT(ADDRESS(2,COLUMN())),OFFSET($BN$2,0,0,ROW()-1,60),ROW()-1,FALSE))</f>
        <v/>
      </c>
      <c r="S94" t="str">
        <f ca="1">IF(AND(ISNUMBER($S$766),$B$677=1),$S$766,HLOOKUP(INDIRECT(ADDRESS(2,COLUMN())),OFFSET($BN$2,0,0,ROW()-1,60),ROW()-1,FALSE))</f>
        <v/>
      </c>
      <c r="T94" t="str">
        <f ca="1">IF(AND(ISNUMBER($T$766),$B$677=1),$T$766,HLOOKUP(INDIRECT(ADDRESS(2,COLUMN())),OFFSET($BN$2,0,0,ROW()-1,60),ROW()-1,FALSE))</f>
        <v/>
      </c>
      <c r="U94" t="str">
        <f ca="1">IF(AND(ISNUMBER($U$766),$B$677=1),$U$766,HLOOKUP(INDIRECT(ADDRESS(2,COLUMN())),OFFSET($BN$2,0,0,ROW()-1,60),ROW()-1,FALSE))</f>
        <v/>
      </c>
      <c r="V94" t="str">
        <f ca="1">IF(AND(ISNUMBER($V$766),$B$677=1),$V$766,HLOOKUP(INDIRECT(ADDRESS(2,COLUMN())),OFFSET($BN$2,0,0,ROW()-1,60),ROW()-1,FALSE))</f>
        <v/>
      </c>
      <c r="W94" t="str">
        <f ca="1">IF(AND(ISNUMBER($W$766),$B$677=1),$W$766,HLOOKUP(INDIRECT(ADDRESS(2,COLUMN())),OFFSET($BN$2,0,0,ROW()-1,60),ROW()-1,FALSE))</f>
        <v/>
      </c>
      <c r="X94" t="str">
        <f ca="1">IF(AND(ISNUMBER($X$766),$B$677=1),$X$766,HLOOKUP(INDIRECT(ADDRESS(2,COLUMN())),OFFSET($BN$2,0,0,ROW()-1,60),ROW()-1,FALSE))</f>
        <v/>
      </c>
      <c r="Y94" t="str">
        <f ca="1">IF(AND(ISNUMBER($Y$766),$B$677=1),$Y$766,HLOOKUP(INDIRECT(ADDRESS(2,COLUMN())),OFFSET($BN$2,0,0,ROW()-1,60),ROW()-1,FALSE))</f>
        <v/>
      </c>
      <c r="Z94" t="str">
        <f ca="1">IF(AND(ISNUMBER($Z$766),$B$677=1),$Z$766,HLOOKUP(INDIRECT(ADDRESS(2,COLUMN())),OFFSET($BN$2,0,0,ROW()-1,60),ROW()-1,FALSE))</f>
        <v/>
      </c>
      <c r="AA94" t="str">
        <f ca="1">IF(AND(ISNUMBER($AA$766),$B$677=1),$AA$766,HLOOKUP(INDIRECT(ADDRESS(2,COLUMN())),OFFSET($BN$2,0,0,ROW()-1,60),ROW()-1,FALSE))</f>
        <v/>
      </c>
      <c r="AB94" t="str">
        <f ca="1">IF(AND(ISNUMBER($AB$766),$B$677=1),$AB$766,HLOOKUP(INDIRECT(ADDRESS(2,COLUMN())),OFFSET($BN$2,0,0,ROW()-1,60),ROW()-1,FALSE))</f>
        <v/>
      </c>
      <c r="AC94" t="str">
        <f ca="1">IF(AND(ISNUMBER($AC$766),$B$677=1),$AC$766,HLOOKUP(INDIRECT(ADDRESS(2,COLUMN())),OFFSET($BN$2,0,0,ROW()-1,60),ROW()-1,FALSE))</f>
        <v/>
      </c>
      <c r="AD94" t="str">
        <f ca="1">IF(AND(ISNUMBER($AD$766),$B$677=1),$AD$766,HLOOKUP(INDIRECT(ADDRESS(2,COLUMN())),OFFSET($BN$2,0,0,ROW()-1,60),ROW()-1,FALSE))</f>
        <v/>
      </c>
      <c r="AE94" t="str">
        <f ca="1">IF(AND(ISNUMBER($AE$766),$B$677=1),$AE$766,HLOOKUP(INDIRECT(ADDRESS(2,COLUMN())),OFFSET($BN$2,0,0,ROW()-1,60),ROW()-1,FALSE))</f>
        <v/>
      </c>
      <c r="AF94" t="str">
        <f ca="1">IF(AND(ISNUMBER($AF$766),$B$677=1),$AF$766,HLOOKUP(INDIRECT(ADDRESS(2,COLUMN())),OFFSET($BN$2,0,0,ROW()-1,60),ROW()-1,FALSE))</f>
        <v/>
      </c>
      <c r="AG94" t="str">
        <f ca="1">IF(AND(ISNUMBER($AG$766),$B$677=1),$AG$766,HLOOKUP(INDIRECT(ADDRESS(2,COLUMN())),OFFSET($BN$2,0,0,ROW()-1,60),ROW()-1,FALSE))</f>
        <v/>
      </c>
      <c r="AH94" t="str">
        <f ca="1">IF(AND(ISNUMBER($AH$766),$B$677=1),$AH$766,HLOOKUP(INDIRECT(ADDRESS(2,COLUMN())),OFFSET($BN$2,0,0,ROW()-1,60),ROW()-1,FALSE))</f>
        <v/>
      </c>
      <c r="AI94" t="str">
        <f ca="1">IF(AND(ISNUMBER($AI$766),$B$677=1),$AI$766,HLOOKUP(INDIRECT(ADDRESS(2,COLUMN())),OFFSET($BN$2,0,0,ROW()-1,60),ROW()-1,FALSE))</f>
        <v/>
      </c>
      <c r="AJ94" t="str">
        <f ca="1">IF(AND(ISNUMBER($AJ$766),$B$677=1),$AJ$766,HLOOKUP(INDIRECT(ADDRESS(2,COLUMN())),OFFSET($BN$2,0,0,ROW()-1,60),ROW()-1,FALSE))</f>
        <v/>
      </c>
      <c r="AK94" t="str">
        <f ca="1">IF(AND(ISNUMBER($AK$766),$B$677=1),$AK$766,HLOOKUP(INDIRECT(ADDRESS(2,COLUMN())),OFFSET($BN$2,0,0,ROW()-1,60),ROW()-1,FALSE))</f>
        <v/>
      </c>
      <c r="AL94" t="str">
        <f ca="1">IF(AND(ISNUMBER($AL$766),$B$677=1),$AL$766,HLOOKUP(INDIRECT(ADDRESS(2,COLUMN())),OFFSET($BN$2,0,0,ROW()-1,60),ROW()-1,FALSE))</f>
        <v/>
      </c>
      <c r="AM94" t="str">
        <f ca="1">IF(AND(ISNUMBER($AM$766),$B$677=1),$AM$766,HLOOKUP(INDIRECT(ADDRESS(2,COLUMN())),OFFSET($BN$2,0,0,ROW()-1,60),ROW()-1,FALSE))</f>
        <v/>
      </c>
      <c r="AN94" t="str">
        <f ca="1">IF(AND(ISNUMBER($AN$766),$B$677=1),$AN$766,HLOOKUP(INDIRECT(ADDRESS(2,COLUMN())),OFFSET($BN$2,0,0,ROW()-1,60),ROW()-1,FALSE))</f>
        <v/>
      </c>
      <c r="AO94" t="str">
        <f ca="1">IF(AND(ISNUMBER($AO$766),$B$677=1),$AO$766,HLOOKUP(INDIRECT(ADDRESS(2,COLUMN())),OFFSET($BN$2,0,0,ROW()-1,60),ROW()-1,FALSE))</f>
        <v/>
      </c>
      <c r="AP94" t="str">
        <f ca="1">IF(AND(ISNUMBER($AP$766),$B$677=1),$AP$766,HLOOKUP(INDIRECT(ADDRESS(2,COLUMN())),OFFSET($BN$2,0,0,ROW()-1,60),ROW()-1,FALSE))</f>
        <v/>
      </c>
      <c r="AQ94" t="str">
        <f ca="1">IF(AND(ISNUMBER($AQ$766),$B$677=1),$AQ$766,HLOOKUP(INDIRECT(ADDRESS(2,COLUMN())),OFFSET($BN$2,0,0,ROW()-1,60),ROW()-1,FALSE))</f>
        <v/>
      </c>
      <c r="AR94" t="str">
        <f ca="1">IF(AND(ISNUMBER($AR$766),$B$677=1),$AR$766,HLOOKUP(INDIRECT(ADDRESS(2,COLUMN())),OFFSET($BN$2,0,0,ROW()-1,60),ROW()-1,FALSE))</f>
        <v/>
      </c>
      <c r="AS94" t="str">
        <f ca="1">IF(AND(ISNUMBER($AS$766),$B$677=1),$AS$766,HLOOKUP(INDIRECT(ADDRESS(2,COLUMN())),OFFSET($BN$2,0,0,ROW()-1,60),ROW()-1,FALSE))</f>
        <v/>
      </c>
      <c r="AT94" t="str">
        <f ca="1">IF(AND(ISNUMBER($AT$766),$B$677=1),$AT$766,HLOOKUP(INDIRECT(ADDRESS(2,COLUMN())),OFFSET($BN$2,0,0,ROW()-1,60),ROW()-1,FALSE))</f>
        <v/>
      </c>
      <c r="AU94" t="str">
        <f ca="1">IF(AND(ISNUMBER($AU$766),$B$677=1),$AU$766,HLOOKUP(INDIRECT(ADDRESS(2,COLUMN())),OFFSET($BN$2,0,0,ROW()-1,60),ROW()-1,FALSE))</f>
        <v/>
      </c>
      <c r="AV94" t="str">
        <f ca="1">IF(AND(ISNUMBER($AV$766),$B$677=1),$AV$766,HLOOKUP(INDIRECT(ADDRESS(2,COLUMN())),OFFSET($BN$2,0,0,ROW()-1,60),ROW()-1,FALSE))</f>
        <v/>
      </c>
      <c r="AW94" t="str">
        <f ca="1">IF(AND(ISNUMBER($AW$766),$B$677=1),$AW$766,HLOOKUP(INDIRECT(ADDRESS(2,COLUMN())),OFFSET($BN$2,0,0,ROW()-1,60),ROW()-1,FALSE))</f>
        <v/>
      </c>
      <c r="AX94" t="str">
        <f ca="1">IF(AND(ISNUMBER($AX$766),$B$677=1),$AX$766,HLOOKUP(INDIRECT(ADDRESS(2,COLUMN())),OFFSET($BN$2,0,0,ROW()-1,60),ROW()-1,FALSE))</f>
        <v/>
      </c>
      <c r="AY94" t="str">
        <f ca="1">IF(AND(ISNUMBER($AY$766),$B$677=1),$AY$766,HLOOKUP(INDIRECT(ADDRESS(2,COLUMN())),OFFSET($BN$2,0,0,ROW()-1,60),ROW()-1,FALSE))</f>
        <v/>
      </c>
      <c r="AZ94" t="str">
        <f ca="1">IF(AND(ISNUMBER($AZ$766),$B$677=1),$AZ$766,HLOOKUP(INDIRECT(ADDRESS(2,COLUMN())),OFFSET($BN$2,0,0,ROW()-1,60),ROW()-1,FALSE))</f>
        <v/>
      </c>
      <c r="BA94" t="str">
        <f ca="1">IF(AND(ISNUMBER($BA$766),$B$677=1),$BA$766,HLOOKUP(INDIRECT(ADDRESS(2,COLUMN())),OFFSET($BN$2,0,0,ROW()-1,60),ROW()-1,FALSE))</f>
        <v/>
      </c>
      <c r="BB94" t="str">
        <f ca="1">IF(AND(ISNUMBER($BB$766),$B$677=1),$BB$766,HLOOKUP(INDIRECT(ADDRESS(2,COLUMN())),OFFSET($BN$2,0,0,ROW()-1,60),ROW()-1,FALSE))</f>
        <v/>
      </c>
      <c r="BC94" t="str">
        <f ca="1">IF(AND(ISNUMBER($BC$766),$B$677=1),$BC$766,HLOOKUP(INDIRECT(ADDRESS(2,COLUMN())),OFFSET($BN$2,0,0,ROW()-1,60),ROW()-1,FALSE))</f>
        <v/>
      </c>
      <c r="BD94" t="str">
        <f ca="1">IF(AND(ISNUMBER($BD$766),$B$677=1),$BD$766,HLOOKUP(INDIRECT(ADDRESS(2,COLUMN())),OFFSET($BN$2,0,0,ROW()-1,60),ROW()-1,FALSE))</f>
        <v/>
      </c>
      <c r="BE94" t="str">
        <f ca="1">IF(AND(ISNUMBER($BE$766),$B$677=1),$BE$766,HLOOKUP(INDIRECT(ADDRESS(2,COLUMN())),OFFSET($BN$2,0,0,ROW()-1,60),ROW()-1,FALSE))</f>
        <v/>
      </c>
      <c r="BF94" t="str">
        <f ca="1">IF(AND(ISNUMBER($BF$766),$B$677=1),$BF$766,HLOOKUP(INDIRECT(ADDRESS(2,COLUMN())),OFFSET($BN$2,0,0,ROW()-1,60),ROW()-1,FALSE))</f>
        <v/>
      </c>
      <c r="BG94" t="str">
        <f ca="1">IF(AND(ISNUMBER($BG$766),$B$677=1),$BG$766,HLOOKUP(INDIRECT(ADDRESS(2,COLUMN())),OFFSET($BN$2,0,0,ROW()-1,60),ROW()-1,FALSE))</f>
        <v/>
      </c>
      <c r="BH94" t="str">
        <f ca="1">IF(AND(ISNUMBER($BH$766),$B$677=1),$BH$766,HLOOKUP(INDIRECT(ADDRESS(2,COLUMN())),OFFSET($BN$2,0,0,ROW()-1,60),ROW()-1,FALSE))</f>
        <v/>
      </c>
      <c r="BI94" t="str">
        <f ca="1">IF(AND(ISNUMBER($BI$766),$B$677=1),$BI$766,HLOOKUP(INDIRECT(ADDRESS(2,COLUMN())),OFFSET($BN$2,0,0,ROW()-1,60),ROW()-1,FALSE))</f>
        <v/>
      </c>
      <c r="BJ94" t="str">
        <f ca="1">IF(AND(ISNUMBER($BJ$766),$B$677=1),$BJ$766,HLOOKUP(INDIRECT(ADDRESS(2,COLUMN())),OFFSET($BN$2,0,0,ROW()-1,60),ROW()-1,FALSE))</f>
        <v/>
      </c>
      <c r="BK94" t="str">
        <f ca="1">IF(AND(ISNUMBER($BK$766),$B$677=1),$BK$766,HLOOKUP(INDIRECT(ADDRESS(2,COLUMN())),OFFSET($BN$2,0,0,ROW()-1,60),ROW()-1,FALSE))</f>
        <v/>
      </c>
      <c r="BL94" t="str">
        <f ca="1">IF(AND(ISNUMBER($BL$766),$B$677=1),$BL$766,HLOOKUP(INDIRECT(ADDRESS(2,COLUMN())),OFFSET($BN$2,0,0,ROW()-1,60),ROW()-1,FALSE))</f>
        <v/>
      </c>
      <c r="BM94" t="str">
        <f ca="1">IF(AND(ISNUMBER($BM$766),$B$677=1),$BM$766,HLOOKUP(INDIRECT(ADDRESS(2,COLUMN())),OFFSET($BN$2,0,0,ROW()-1,60),ROW()-1,FALSE))</f>
        <v/>
      </c>
      <c r="BN94">
        <f>6.634361118</f>
        <v>6.6343611180000002</v>
      </c>
      <c r="BO94">
        <f>5.469382893</f>
        <v>5.4693828929999997</v>
      </c>
      <c r="BP94">
        <f>5.885534999</f>
        <v>5.8855349989999999</v>
      </c>
      <c r="BQ94">
        <f>5.750495463</f>
        <v>5.750495463</v>
      </c>
      <c r="BR94">
        <f>7.148768881</f>
        <v>7.1487688809999996</v>
      </c>
      <c r="BS94">
        <f>7.455770851</f>
        <v>7.4557708509999996</v>
      </c>
      <c r="BT94">
        <f>7.075759168</f>
        <v>7.0757591680000003</v>
      </c>
      <c r="BU94">
        <f>7.004191485</f>
        <v>7.0041914849999998</v>
      </c>
      <c r="BV94">
        <f>10.62923077</f>
        <v>10.629230769999999</v>
      </c>
      <c r="BW94">
        <f>7.903225806</f>
        <v>7.903225806</v>
      </c>
      <c r="BX94">
        <f>6.51012987</f>
        <v>6.5101298700000001</v>
      </c>
      <c r="BY94">
        <f>6.459210526</f>
        <v>6.4592105259999997</v>
      </c>
      <c r="BZ94" t="str">
        <f>""</f>
        <v/>
      </c>
      <c r="CA94" t="str">
        <f>""</f>
        <v/>
      </c>
      <c r="CB94" t="str">
        <f>""</f>
        <v/>
      </c>
      <c r="CC94" t="str">
        <f>""</f>
        <v/>
      </c>
      <c r="CD94" t="str">
        <f>""</f>
        <v/>
      </c>
      <c r="CE94" t="str">
        <f>""</f>
        <v/>
      </c>
      <c r="CF94" t="str">
        <f>""</f>
        <v/>
      </c>
      <c r="CG94" t="str">
        <f>""</f>
        <v/>
      </c>
      <c r="CH94" t="str">
        <f>""</f>
        <v/>
      </c>
      <c r="CI94" t="str">
        <f>""</f>
        <v/>
      </c>
      <c r="CJ94" t="str">
        <f>""</f>
        <v/>
      </c>
      <c r="CK94" t="str">
        <f>""</f>
        <v/>
      </c>
      <c r="CL94" t="str">
        <f>""</f>
        <v/>
      </c>
      <c r="CM94" t="str">
        <f>""</f>
        <v/>
      </c>
      <c r="CN94" t="str">
        <f>""</f>
        <v/>
      </c>
      <c r="CO94" t="str">
        <f>""</f>
        <v/>
      </c>
      <c r="CP94" t="str">
        <f>""</f>
        <v/>
      </c>
      <c r="CQ94" t="str">
        <f>""</f>
        <v/>
      </c>
      <c r="CR94" t="str">
        <f>""</f>
        <v/>
      </c>
      <c r="CS94" t="str">
        <f>""</f>
        <v/>
      </c>
      <c r="CT94" t="str">
        <f>""</f>
        <v/>
      </c>
      <c r="CU94" t="str">
        <f>""</f>
        <v/>
      </c>
      <c r="CV94" t="str">
        <f>""</f>
        <v/>
      </c>
      <c r="CW94" t="str">
        <f>""</f>
        <v/>
      </c>
      <c r="CX94" t="str">
        <f>""</f>
        <v/>
      </c>
      <c r="CY94" t="str">
        <f>""</f>
        <v/>
      </c>
      <c r="CZ94" t="str">
        <f>""</f>
        <v/>
      </c>
      <c r="DA94" t="str">
        <f>""</f>
        <v/>
      </c>
      <c r="DB94" t="str">
        <f>""</f>
        <v/>
      </c>
      <c r="DC94" t="str">
        <f>""</f>
        <v/>
      </c>
      <c r="DD94" t="str">
        <f>""</f>
        <v/>
      </c>
      <c r="DE94" t="str">
        <f>""</f>
        <v/>
      </c>
      <c r="DF94" t="str">
        <f>""</f>
        <v/>
      </c>
      <c r="DG94" t="str">
        <f>""</f>
        <v/>
      </c>
      <c r="DH94" t="str">
        <f>""</f>
        <v/>
      </c>
      <c r="DI94" t="str">
        <f>""</f>
        <v/>
      </c>
      <c r="DJ94" t="str">
        <f>""</f>
        <v/>
      </c>
      <c r="DK94" t="str">
        <f>""</f>
        <v/>
      </c>
      <c r="DL94" t="str">
        <f>""</f>
        <v/>
      </c>
      <c r="DM94" t="str">
        <f>""</f>
        <v/>
      </c>
      <c r="DN94" t="str">
        <f>""</f>
        <v/>
      </c>
      <c r="DO94" t="str">
        <f>""</f>
        <v/>
      </c>
      <c r="DP94" t="str">
        <f>""</f>
        <v/>
      </c>
      <c r="DQ94" t="str">
        <f>""</f>
        <v/>
      </c>
      <c r="DR94" t="str">
        <f>""</f>
        <v/>
      </c>
      <c r="DS94" t="str">
        <f>""</f>
        <v/>
      </c>
      <c r="DT94" t="str">
        <f>""</f>
        <v/>
      </c>
      <c r="DU94" t="str">
        <f>""</f>
        <v/>
      </c>
    </row>
    <row r="95" spans="1:125" x14ac:dyDescent="0.25">
      <c r="A95" t="str">
        <f>"    Dongfeng Motor Group Co Ltd"</f>
        <v xml:space="preserve">    Dongfeng Motor Group Co Ltd</v>
      </c>
      <c r="B95" t="str">
        <f>"489 HK Equity"</f>
        <v>489 HK Equity</v>
      </c>
      <c r="C95" t="str">
        <f t="shared" si="6"/>
        <v>EZ010</v>
      </c>
      <c r="D95" t="str">
        <f t="shared" si="7"/>
        <v>BEST_EST_PE_NXT_YR</v>
      </c>
      <c r="E95" t="str">
        <f t="shared" si="8"/>
        <v>Dynamic</v>
      </c>
      <c r="F95">
        <f ca="1">IF(AND(ISNUMBER($F$767),$B$677=1),$F$767,HLOOKUP(INDIRECT(ADDRESS(2,COLUMN())),OFFSET($BN$2,0,0,ROW()-1,60),ROW()-1,FALSE))</f>
        <v>4.3736065430000002</v>
      </c>
      <c r="G95">
        <f ca="1">IF(AND(ISNUMBER($G$767),$B$677=1),$G$767,HLOOKUP(INDIRECT(ADDRESS(2,COLUMN())),OFFSET($BN$2,0,0,ROW()-1,60),ROW()-1,FALSE))</f>
        <v>3.7562996809999998</v>
      </c>
      <c r="H95">
        <f ca="1">IF(AND(ISNUMBER($H$767),$B$677=1),$H$767,HLOOKUP(INDIRECT(ADDRESS(2,COLUMN())),OFFSET($BN$2,0,0,ROW()-1,60),ROW()-1,FALSE))</f>
        <v>4.1349739259999998</v>
      </c>
      <c r="I95">
        <f ca="1">IF(AND(ISNUMBER($I$767),$B$677=1),$I$767,HLOOKUP(INDIRECT(ADDRESS(2,COLUMN())),OFFSET($BN$2,0,0,ROW()-1,60),ROW()-1,FALSE))</f>
        <v>4.1832871279999999</v>
      </c>
      <c r="J95">
        <f ca="1">IF(AND(ISNUMBER($J$767),$B$677=1),$J$767,HLOOKUP(INDIRECT(ADDRESS(2,COLUMN())),OFFSET($BN$2,0,0,ROW()-1,60),ROW()-1,FALSE))</f>
        <v>4.4262976800000002</v>
      </c>
      <c r="K95">
        <f ca="1">IF(AND(ISNUMBER($K$767),$B$677=1),$K$767,HLOOKUP(INDIRECT(ADDRESS(2,COLUMN())),OFFSET($BN$2,0,0,ROW()-1,60),ROW()-1,FALSE))</f>
        <v>4.7039012529999997</v>
      </c>
      <c r="L95">
        <f ca="1">IF(AND(ISNUMBER($L$767),$B$677=1),$L$767,HLOOKUP(INDIRECT(ADDRESS(2,COLUMN())),OFFSET($BN$2,0,0,ROW()-1,60),ROW()-1,FALSE))</f>
        <v>5.2423581749999997</v>
      </c>
      <c r="M95">
        <f ca="1">IF(AND(ISNUMBER($M$767),$B$677=1),$M$767,HLOOKUP(INDIRECT(ADDRESS(2,COLUMN())),OFFSET($BN$2,0,0,ROW()-1,60),ROW()-1,FALSE))</f>
        <v>4.8126355519999997</v>
      </c>
      <c r="N95">
        <f ca="1">IF(AND(ISNUMBER($N$767),$B$677=1),$N$767,HLOOKUP(INDIRECT(ADDRESS(2,COLUMN())),OFFSET($BN$2,0,0,ROW()-1,60),ROW()-1,FALSE))</f>
        <v>4.728182747</v>
      </c>
      <c r="O95">
        <f ca="1">IF(AND(ISNUMBER($O$767),$B$677=1),$O$767,HLOOKUP(INDIRECT(ADDRESS(2,COLUMN())),OFFSET($BN$2,0,0,ROW()-1,60),ROW()-1,FALSE))</f>
        <v>5.0940680150000004</v>
      </c>
      <c r="P95" t="str">
        <f ca="1">IF(AND(ISNUMBER($P$767),$B$677=1),$P$767,HLOOKUP(INDIRECT(ADDRESS(2,COLUMN())),OFFSET($BN$2,0,0,ROW()-1,60),ROW()-1,FALSE))</f>
        <v/>
      </c>
      <c r="Q95" t="str">
        <f ca="1">IF(AND(ISNUMBER($Q$767),$B$677=1),$Q$767,HLOOKUP(INDIRECT(ADDRESS(2,COLUMN())),OFFSET($BN$2,0,0,ROW()-1,60),ROW()-1,FALSE))</f>
        <v/>
      </c>
      <c r="R95" t="str">
        <f ca="1">IF(AND(ISNUMBER($R$767),$B$677=1),$R$767,HLOOKUP(INDIRECT(ADDRESS(2,COLUMN())),OFFSET($BN$2,0,0,ROW()-1,60),ROW()-1,FALSE))</f>
        <v/>
      </c>
      <c r="S95" t="str">
        <f ca="1">IF(AND(ISNUMBER($S$767),$B$677=1),$S$767,HLOOKUP(INDIRECT(ADDRESS(2,COLUMN())),OFFSET($BN$2,0,0,ROW()-1,60),ROW()-1,FALSE))</f>
        <v/>
      </c>
      <c r="T95" t="str">
        <f ca="1">IF(AND(ISNUMBER($T$767),$B$677=1),$T$767,HLOOKUP(INDIRECT(ADDRESS(2,COLUMN())),OFFSET($BN$2,0,0,ROW()-1,60),ROW()-1,FALSE))</f>
        <v/>
      </c>
      <c r="U95" t="str">
        <f ca="1">IF(AND(ISNUMBER($U$767),$B$677=1),$U$767,HLOOKUP(INDIRECT(ADDRESS(2,COLUMN())),OFFSET($BN$2,0,0,ROW()-1,60),ROW()-1,FALSE))</f>
        <v/>
      </c>
      <c r="V95" t="str">
        <f ca="1">IF(AND(ISNUMBER($V$767),$B$677=1),$V$767,HLOOKUP(INDIRECT(ADDRESS(2,COLUMN())),OFFSET($BN$2,0,0,ROW()-1,60),ROW()-1,FALSE))</f>
        <v/>
      </c>
      <c r="W95" t="str">
        <f ca="1">IF(AND(ISNUMBER($W$767),$B$677=1),$W$767,HLOOKUP(INDIRECT(ADDRESS(2,COLUMN())),OFFSET($BN$2,0,0,ROW()-1,60),ROW()-1,FALSE))</f>
        <v/>
      </c>
      <c r="X95" t="str">
        <f ca="1">IF(AND(ISNUMBER($X$767),$B$677=1),$X$767,HLOOKUP(INDIRECT(ADDRESS(2,COLUMN())),OFFSET($BN$2,0,0,ROW()-1,60),ROW()-1,FALSE))</f>
        <v/>
      </c>
      <c r="Y95" t="str">
        <f ca="1">IF(AND(ISNUMBER($Y$767),$B$677=1),$Y$767,HLOOKUP(INDIRECT(ADDRESS(2,COLUMN())),OFFSET($BN$2,0,0,ROW()-1,60),ROW()-1,FALSE))</f>
        <v/>
      </c>
      <c r="Z95" t="str">
        <f ca="1">IF(AND(ISNUMBER($Z$767),$B$677=1),$Z$767,HLOOKUP(INDIRECT(ADDRESS(2,COLUMN())),OFFSET($BN$2,0,0,ROW()-1,60),ROW()-1,FALSE))</f>
        <v/>
      </c>
      <c r="AA95" t="str">
        <f ca="1">IF(AND(ISNUMBER($AA$767),$B$677=1),$AA$767,HLOOKUP(INDIRECT(ADDRESS(2,COLUMN())),OFFSET($BN$2,0,0,ROW()-1,60),ROW()-1,FALSE))</f>
        <v/>
      </c>
      <c r="AB95" t="str">
        <f ca="1">IF(AND(ISNUMBER($AB$767),$B$677=1),$AB$767,HLOOKUP(INDIRECT(ADDRESS(2,COLUMN())),OFFSET($BN$2,0,0,ROW()-1,60),ROW()-1,FALSE))</f>
        <v/>
      </c>
      <c r="AC95" t="str">
        <f ca="1">IF(AND(ISNUMBER($AC$767),$B$677=1),$AC$767,HLOOKUP(INDIRECT(ADDRESS(2,COLUMN())),OFFSET($BN$2,0,0,ROW()-1,60),ROW()-1,FALSE))</f>
        <v/>
      </c>
      <c r="AD95" t="str">
        <f ca="1">IF(AND(ISNUMBER($AD$767),$B$677=1),$AD$767,HLOOKUP(INDIRECT(ADDRESS(2,COLUMN())),OFFSET($BN$2,0,0,ROW()-1,60),ROW()-1,FALSE))</f>
        <v/>
      </c>
      <c r="AE95" t="str">
        <f ca="1">IF(AND(ISNUMBER($AE$767),$B$677=1),$AE$767,HLOOKUP(INDIRECT(ADDRESS(2,COLUMN())),OFFSET($BN$2,0,0,ROW()-1,60),ROW()-1,FALSE))</f>
        <v/>
      </c>
      <c r="AF95" t="str">
        <f ca="1">IF(AND(ISNUMBER($AF$767),$B$677=1),$AF$767,HLOOKUP(INDIRECT(ADDRESS(2,COLUMN())),OFFSET($BN$2,0,0,ROW()-1,60),ROW()-1,FALSE))</f>
        <v/>
      </c>
      <c r="AG95" t="str">
        <f ca="1">IF(AND(ISNUMBER($AG$767),$B$677=1),$AG$767,HLOOKUP(INDIRECT(ADDRESS(2,COLUMN())),OFFSET($BN$2,0,0,ROW()-1,60),ROW()-1,FALSE))</f>
        <v/>
      </c>
      <c r="AH95" t="str">
        <f ca="1">IF(AND(ISNUMBER($AH$767),$B$677=1),$AH$767,HLOOKUP(INDIRECT(ADDRESS(2,COLUMN())),OFFSET($BN$2,0,0,ROW()-1,60),ROW()-1,FALSE))</f>
        <v/>
      </c>
      <c r="AI95" t="str">
        <f ca="1">IF(AND(ISNUMBER($AI$767),$B$677=1),$AI$767,HLOOKUP(INDIRECT(ADDRESS(2,COLUMN())),OFFSET($BN$2,0,0,ROW()-1,60),ROW()-1,FALSE))</f>
        <v/>
      </c>
      <c r="AJ95" t="str">
        <f ca="1">IF(AND(ISNUMBER($AJ$767),$B$677=1),$AJ$767,HLOOKUP(INDIRECT(ADDRESS(2,COLUMN())),OFFSET($BN$2,0,0,ROW()-1,60),ROW()-1,FALSE))</f>
        <v/>
      </c>
      <c r="AK95" t="str">
        <f ca="1">IF(AND(ISNUMBER($AK$767),$B$677=1),$AK$767,HLOOKUP(INDIRECT(ADDRESS(2,COLUMN())),OFFSET($BN$2,0,0,ROW()-1,60),ROW()-1,FALSE))</f>
        <v/>
      </c>
      <c r="AL95" t="str">
        <f ca="1">IF(AND(ISNUMBER($AL$767),$B$677=1),$AL$767,HLOOKUP(INDIRECT(ADDRESS(2,COLUMN())),OFFSET($BN$2,0,0,ROW()-1,60),ROW()-1,FALSE))</f>
        <v/>
      </c>
      <c r="AM95" t="str">
        <f ca="1">IF(AND(ISNUMBER($AM$767),$B$677=1),$AM$767,HLOOKUP(INDIRECT(ADDRESS(2,COLUMN())),OFFSET($BN$2,0,0,ROW()-1,60),ROW()-1,FALSE))</f>
        <v/>
      </c>
      <c r="AN95" t="str">
        <f ca="1">IF(AND(ISNUMBER($AN$767),$B$677=1),$AN$767,HLOOKUP(INDIRECT(ADDRESS(2,COLUMN())),OFFSET($BN$2,0,0,ROW()-1,60),ROW()-1,FALSE))</f>
        <v/>
      </c>
      <c r="AO95" t="str">
        <f ca="1">IF(AND(ISNUMBER($AO$767),$B$677=1),$AO$767,HLOOKUP(INDIRECT(ADDRESS(2,COLUMN())),OFFSET($BN$2,0,0,ROW()-1,60),ROW()-1,FALSE))</f>
        <v/>
      </c>
      <c r="AP95" t="str">
        <f ca="1">IF(AND(ISNUMBER($AP$767),$B$677=1),$AP$767,HLOOKUP(INDIRECT(ADDRESS(2,COLUMN())),OFFSET($BN$2,0,0,ROW()-1,60),ROW()-1,FALSE))</f>
        <v/>
      </c>
      <c r="AQ95" t="str">
        <f ca="1">IF(AND(ISNUMBER($AQ$767),$B$677=1),$AQ$767,HLOOKUP(INDIRECT(ADDRESS(2,COLUMN())),OFFSET($BN$2,0,0,ROW()-1,60),ROW()-1,FALSE))</f>
        <v/>
      </c>
      <c r="AR95" t="str">
        <f ca="1">IF(AND(ISNUMBER($AR$767),$B$677=1),$AR$767,HLOOKUP(INDIRECT(ADDRESS(2,COLUMN())),OFFSET($BN$2,0,0,ROW()-1,60),ROW()-1,FALSE))</f>
        <v/>
      </c>
      <c r="AS95" t="str">
        <f ca="1">IF(AND(ISNUMBER($AS$767),$B$677=1),$AS$767,HLOOKUP(INDIRECT(ADDRESS(2,COLUMN())),OFFSET($BN$2,0,0,ROW()-1,60),ROW()-1,FALSE))</f>
        <v/>
      </c>
      <c r="AT95" t="str">
        <f ca="1">IF(AND(ISNUMBER($AT$767),$B$677=1),$AT$767,HLOOKUP(INDIRECT(ADDRESS(2,COLUMN())),OFFSET($BN$2,0,0,ROW()-1,60),ROW()-1,FALSE))</f>
        <v/>
      </c>
      <c r="AU95" t="str">
        <f ca="1">IF(AND(ISNUMBER($AU$767),$B$677=1),$AU$767,HLOOKUP(INDIRECT(ADDRESS(2,COLUMN())),OFFSET($BN$2,0,0,ROW()-1,60),ROW()-1,FALSE))</f>
        <v/>
      </c>
      <c r="AV95" t="str">
        <f ca="1">IF(AND(ISNUMBER($AV$767),$B$677=1),$AV$767,HLOOKUP(INDIRECT(ADDRESS(2,COLUMN())),OFFSET($BN$2,0,0,ROW()-1,60),ROW()-1,FALSE))</f>
        <v/>
      </c>
      <c r="AW95" t="str">
        <f ca="1">IF(AND(ISNUMBER($AW$767),$B$677=1),$AW$767,HLOOKUP(INDIRECT(ADDRESS(2,COLUMN())),OFFSET($BN$2,0,0,ROW()-1,60),ROW()-1,FALSE))</f>
        <v/>
      </c>
      <c r="AX95" t="str">
        <f ca="1">IF(AND(ISNUMBER($AX$767),$B$677=1),$AX$767,HLOOKUP(INDIRECT(ADDRESS(2,COLUMN())),OFFSET($BN$2,0,0,ROW()-1,60),ROW()-1,FALSE))</f>
        <v/>
      </c>
      <c r="AY95" t="str">
        <f ca="1">IF(AND(ISNUMBER($AY$767),$B$677=1),$AY$767,HLOOKUP(INDIRECT(ADDRESS(2,COLUMN())),OFFSET($BN$2,0,0,ROW()-1,60),ROW()-1,FALSE))</f>
        <v/>
      </c>
      <c r="AZ95" t="str">
        <f ca="1">IF(AND(ISNUMBER($AZ$767),$B$677=1),$AZ$767,HLOOKUP(INDIRECT(ADDRESS(2,COLUMN())),OFFSET($BN$2,0,0,ROW()-1,60),ROW()-1,FALSE))</f>
        <v/>
      </c>
      <c r="BA95" t="str">
        <f ca="1">IF(AND(ISNUMBER($BA$767),$B$677=1),$BA$767,HLOOKUP(INDIRECT(ADDRESS(2,COLUMN())),OFFSET($BN$2,0,0,ROW()-1,60),ROW()-1,FALSE))</f>
        <v/>
      </c>
      <c r="BB95" t="str">
        <f ca="1">IF(AND(ISNUMBER($BB$767),$B$677=1),$BB$767,HLOOKUP(INDIRECT(ADDRESS(2,COLUMN())),OFFSET($BN$2,0,0,ROW()-1,60),ROW()-1,FALSE))</f>
        <v/>
      </c>
      <c r="BC95" t="str">
        <f ca="1">IF(AND(ISNUMBER($BC$767),$B$677=1),$BC$767,HLOOKUP(INDIRECT(ADDRESS(2,COLUMN())),OFFSET($BN$2,0,0,ROW()-1,60),ROW()-1,FALSE))</f>
        <v/>
      </c>
      <c r="BD95" t="str">
        <f ca="1">IF(AND(ISNUMBER($BD$767),$B$677=1),$BD$767,HLOOKUP(INDIRECT(ADDRESS(2,COLUMN())),OFFSET($BN$2,0,0,ROW()-1,60),ROW()-1,FALSE))</f>
        <v/>
      </c>
      <c r="BE95" t="str">
        <f ca="1">IF(AND(ISNUMBER($BE$767),$B$677=1),$BE$767,HLOOKUP(INDIRECT(ADDRESS(2,COLUMN())),OFFSET($BN$2,0,0,ROW()-1,60),ROW()-1,FALSE))</f>
        <v/>
      </c>
      <c r="BF95" t="str">
        <f ca="1">IF(AND(ISNUMBER($BF$767),$B$677=1),$BF$767,HLOOKUP(INDIRECT(ADDRESS(2,COLUMN())),OFFSET($BN$2,0,0,ROW()-1,60),ROW()-1,FALSE))</f>
        <v/>
      </c>
      <c r="BG95" t="str">
        <f ca="1">IF(AND(ISNUMBER($BG$767),$B$677=1),$BG$767,HLOOKUP(INDIRECT(ADDRESS(2,COLUMN())),OFFSET($BN$2,0,0,ROW()-1,60),ROW()-1,FALSE))</f>
        <v/>
      </c>
      <c r="BH95" t="str">
        <f ca="1">IF(AND(ISNUMBER($BH$767),$B$677=1),$BH$767,HLOOKUP(INDIRECT(ADDRESS(2,COLUMN())),OFFSET($BN$2,0,0,ROW()-1,60),ROW()-1,FALSE))</f>
        <v/>
      </c>
      <c r="BI95" t="str">
        <f ca="1">IF(AND(ISNUMBER($BI$767),$B$677=1),$BI$767,HLOOKUP(INDIRECT(ADDRESS(2,COLUMN())),OFFSET($BN$2,0,0,ROW()-1,60),ROW()-1,FALSE))</f>
        <v/>
      </c>
      <c r="BJ95" t="str">
        <f ca="1">IF(AND(ISNUMBER($BJ$767),$B$677=1),$BJ$767,HLOOKUP(INDIRECT(ADDRESS(2,COLUMN())),OFFSET($BN$2,0,0,ROW()-1,60),ROW()-1,FALSE))</f>
        <v/>
      </c>
      <c r="BK95" t="str">
        <f ca="1">IF(AND(ISNUMBER($BK$767),$B$677=1),$BK$767,HLOOKUP(INDIRECT(ADDRESS(2,COLUMN())),OFFSET($BN$2,0,0,ROW()-1,60),ROW()-1,FALSE))</f>
        <v/>
      </c>
      <c r="BL95" t="str">
        <f ca="1">IF(AND(ISNUMBER($BL$767),$B$677=1),$BL$767,HLOOKUP(INDIRECT(ADDRESS(2,COLUMN())),OFFSET($BN$2,0,0,ROW()-1,60),ROW()-1,FALSE))</f>
        <v/>
      </c>
      <c r="BM95" t="str">
        <f ca="1">IF(AND(ISNUMBER($BM$767),$B$677=1),$BM$767,HLOOKUP(INDIRECT(ADDRESS(2,COLUMN())),OFFSET($BN$2,0,0,ROW()-1,60),ROW()-1,FALSE))</f>
        <v/>
      </c>
      <c r="BN95">
        <f>4.373606543</f>
        <v>4.3736065430000002</v>
      </c>
      <c r="BO95">
        <f>3.756299681</f>
        <v>3.7562996809999998</v>
      </c>
      <c r="BP95">
        <f>4.134973926</f>
        <v>4.1349739259999998</v>
      </c>
      <c r="BQ95">
        <f>4.183287128</f>
        <v>4.1832871279999999</v>
      </c>
      <c r="BR95">
        <f>4.42629768</f>
        <v>4.4262976800000002</v>
      </c>
      <c r="BS95">
        <f>4.703901253</f>
        <v>4.7039012529999997</v>
      </c>
      <c r="BT95">
        <f>5.242358175</f>
        <v>5.2423581749999997</v>
      </c>
      <c r="BU95">
        <f>4.812635552</f>
        <v>4.8126355519999997</v>
      </c>
      <c r="BV95">
        <f>4.728182747</f>
        <v>4.728182747</v>
      </c>
      <c r="BW95">
        <f>5.094068015</f>
        <v>5.0940680150000004</v>
      </c>
      <c r="BX95" t="str">
        <f>""</f>
        <v/>
      </c>
      <c r="BY95" t="str">
        <f>""</f>
        <v/>
      </c>
      <c r="BZ95" t="str">
        <f>""</f>
        <v/>
      </c>
      <c r="CA95" t="str">
        <f>""</f>
        <v/>
      </c>
      <c r="CB95" t="str">
        <f>""</f>
        <v/>
      </c>
      <c r="CC95" t="str">
        <f>""</f>
        <v/>
      </c>
      <c r="CD95" t="str">
        <f>""</f>
        <v/>
      </c>
      <c r="CE95" t="str">
        <f>""</f>
        <v/>
      </c>
      <c r="CF95" t="str">
        <f>""</f>
        <v/>
      </c>
      <c r="CG95" t="str">
        <f>""</f>
        <v/>
      </c>
      <c r="CH95" t="str">
        <f>""</f>
        <v/>
      </c>
      <c r="CI95" t="str">
        <f>""</f>
        <v/>
      </c>
      <c r="CJ95" t="str">
        <f>""</f>
        <v/>
      </c>
      <c r="CK95" t="str">
        <f>""</f>
        <v/>
      </c>
      <c r="CL95" t="str">
        <f>""</f>
        <v/>
      </c>
      <c r="CM95" t="str">
        <f>""</f>
        <v/>
      </c>
      <c r="CN95" t="str">
        <f>""</f>
        <v/>
      </c>
      <c r="CO95" t="str">
        <f>""</f>
        <v/>
      </c>
      <c r="CP95" t="str">
        <f>""</f>
        <v/>
      </c>
      <c r="CQ95" t="str">
        <f>""</f>
        <v/>
      </c>
      <c r="CR95" t="str">
        <f>""</f>
        <v/>
      </c>
      <c r="CS95" t="str">
        <f>""</f>
        <v/>
      </c>
      <c r="CT95" t="str">
        <f>""</f>
        <v/>
      </c>
      <c r="CU95" t="str">
        <f>""</f>
        <v/>
      </c>
      <c r="CV95" t="str">
        <f>""</f>
        <v/>
      </c>
      <c r="CW95" t="str">
        <f>""</f>
        <v/>
      </c>
      <c r="CX95" t="str">
        <f>""</f>
        <v/>
      </c>
      <c r="CY95" t="str">
        <f>""</f>
        <v/>
      </c>
      <c r="CZ95" t="str">
        <f>""</f>
        <v/>
      </c>
      <c r="DA95" t="str">
        <f>""</f>
        <v/>
      </c>
      <c r="DB95" t="str">
        <f>""</f>
        <v/>
      </c>
      <c r="DC95" t="str">
        <f>""</f>
        <v/>
      </c>
      <c r="DD95" t="str">
        <f>""</f>
        <v/>
      </c>
      <c r="DE95" t="str">
        <f>""</f>
        <v/>
      </c>
      <c r="DF95" t="str">
        <f>""</f>
        <v/>
      </c>
      <c r="DG95" t="str">
        <f>""</f>
        <v/>
      </c>
      <c r="DH95" t="str">
        <f>""</f>
        <v/>
      </c>
      <c r="DI95" t="str">
        <f>""</f>
        <v/>
      </c>
      <c r="DJ95" t="str">
        <f>""</f>
        <v/>
      </c>
      <c r="DK95" t="str">
        <f>""</f>
        <v/>
      </c>
      <c r="DL95" t="str">
        <f>""</f>
        <v/>
      </c>
      <c r="DM95" t="str">
        <f>""</f>
        <v/>
      </c>
      <c r="DN95" t="str">
        <f>""</f>
        <v/>
      </c>
      <c r="DO95" t="str">
        <f>""</f>
        <v/>
      </c>
      <c r="DP95" t="str">
        <f>""</f>
        <v/>
      </c>
      <c r="DQ95" t="str">
        <f>""</f>
        <v/>
      </c>
      <c r="DR95" t="str">
        <f>""</f>
        <v/>
      </c>
      <c r="DS95" t="str">
        <f>""</f>
        <v/>
      </c>
      <c r="DT95" t="str">
        <f>""</f>
        <v/>
      </c>
      <c r="DU95" t="str">
        <f>""</f>
        <v/>
      </c>
    </row>
    <row r="96" spans="1:125" x14ac:dyDescent="0.25">
      <c r="A96" t="str">
        <f>"    DRB-Hicom Bhd"</f>
        <v xml:space="preserve">    DRB-Hicom Bhd</v>
      </c>
      <c r="B96" t="str">
        <f>"DRB MK Equity"</f>
        <v>DRB MK Equity</v>
      </c>
      <c r="C96" t="str">
        <f t="shared" si="6"/>
        <v>EZ010</v>
      </c>
      <c r="D96" t="str">
        <f t="shared" si="7"/>
        <v>BEST_EST_PE_NXT_YR</v>
      </c>
      <c r="E96" t="str">
        <f t="shared" si="8"/>
        <v>Dynamic</v>
      </c>
      <c r="F96">
        <f ca="1">IF(AND(ISNUMBER($F$768),$B$677=1),$F$768,HLOOKUP(INDIRECT(ADDRESS(2,COLUMN())),OFFSET($BN$2,0,0,ROW()-1,60),ROW()-1,FALSE))</f>
        <v>24.34210526</v>
      </c>
      <c r="G96">
        <f ca="1">IF(AND(ISNUMBER($G$768),$B$677=1),$G$768,HLOOKUP(INDIRECT(ADDRESS(2,COLUMN())),OFFSET($BN$2,0,0,ROW()-1,60),ROW()-1,FALSE))</f>
        <v>22.368421049999998</v>
      </c>
      <c r="H96">
        <f ca="1">IF(AND(ISNUMBER($H$768),$B$677=1),$H$768,HLOOKUP(INDIRECT(ADDRESS(2,COLUMN())),OFFSET($BN$2,0,0,ROW()-1,60),ROW()-1,FALSE))</f>
        <v>27.820512820000001</v>
      </c>
      <c r="I96">
        <f ca="1">IF(AND(ISNUMBER($I$768),$B$677=1),$I$768,HLOOKUP(INDIRECT(ADDRESS(2,COLUMN())),OFFSET($BN$2,0,0,ROW()-1,60),ROW()-1,FALSE))</f>
        <v>20.206185569999999</v>
      </c>
      <c r="J96">
        <f ca="1">IF(AND(ISNUMBER($J$768),$B$677=1),$J$768,HLOOKUP(INDIRECT(ADDRESS(2,COLUMN())),OFFSET($BN$2,0,0,ROW()-1,60),ROW()-1,FALSE))</f>
        <v>58.095238100000003</v>
      </c>
      <c r="K96">
        <f ca="1">IF(AND(ISNUMBER($K$768),$B$677=1),$K$768,HLOOKUP(INDIRECT(ADDRESS(2,COLUMN())),OFFSET($BN$2,0,0,ROW()-1,60),ROW()-1,FALSE))</f>
        <v>43.571428570000002</v>
      </c>
      <c r="L96">
        <f ca="1">IF(AND(ISNUMBER($L$768),$B$677=1),$L$768,HLOOKUP(INDIRECT(ADDRESS(2,COLUMN())),OFFSET($BN$2,0,0,ROW()-1,60),ROW()-1,FALSE))</f>
        <v>29.10714286</v>
      </c>
      <c r="M96">
        <f ca="1">IF(AND(ISNUMBER($M$768),$B$677=1),$M$768,HLOOKUP(INDIRECT(ADDRESS(2,COLUMN())),OFFSET($BN$2,0,0,ROW()-1,60),ROW()-1,FALSE))</f>
        <v>16.330275230000002</v>
      </c>
      <c r="N96" t="str">
        <f ca="1">IF(AND(ISNUMBER($N$768),$B$677=1),$N$768,HLOOKUP(INDIRECT(ADDRESS(2,COLUMN())),OFFSET($BN$2,0,0,ROW()-1,60),ROW()-1,FALSE))</f>
        <v/>
      </c>
      <c r="O96" t="str">
        <f ca="1">IF(AND(ISNUMBER($O$768),$B$677=1),$O$768,HLOOKUP(INDIRECT(ADDRESS(2,COLUMN())),OFFSET($BN$2,0,0,ROW()-1,60),ROW()-1,FALSE))</f>
        <v/>
      </c>
      <c r="P96" t="str">
        <f ca="1">IF(AND(ISNUMBER($P$768),$B$677=1),$P$768,HLOOKUP(INDIRECT(ADDRESS(2,COLUMN())),OFFSET($BN$2,0,0,ROW()-1,60),ROW()-1,FALSE))</f>
        <v/>
      </c>
      <c r="Q96" t="str">
        <f ca="1">IF(AND(ISNUMBER($Q$768),$B$677=1),$Q$768,HLOOKUP(INDIRECT(ADDRESS(2,COLUMN())),OFFSET($BN$2,0,0,ROW()-1,60),ROW()-1,FALSE))</f>
        <v/>
      </c>
      <c r="R96" t="str">
        <f ca="1">IF(AND(ISNUMBER($R$768),$B$677=1),$R$768,HLOOKUP(INDIRECT(ADDRESS(2,COLUMN())),OFFSET($BN$2,0,0,ROW()-1,60),ROW()-1,FALSE))</f>
        <v/>
      </c>
      <c r="S96" t="str">
        <f ca="1">IF(AND(ISNUMBER($S$768),$B$677=1),$S$768,HLOOKUP(INDIRECT(ADDRESS(2,COLUMN())),OFFSET($BN$2,0,0,ROW()-1,60),ROW()-1,FALSE))</f>
        <v/>
      </c>
      <c r="T96" t="str">
        <f ca="1">IF(AND(ISNUMBER($T$768),$B$677=1),$T$768,HLOOKUP(INDIRECT(ADDRESS(2,COLUMN())),OFFSET($BN$2,0,0,ROW()-1,60),ROW()-1,FALSE))</f>
        <v/>
      </c>
      <c r="U96" t="str">
        <f ca="1">IF(AND(ISNUMBER($U$768),$B$677=1),$U$768,HLOOKUP(INDIRECT(ADDRESS(2,COLUMN())),OFFSET($BN$2,0,0,ROW()-1,60),ROW()-1,FALSE))</f>
        <v/>
      </c>
      <c r="V96" t="str">
        <f ca="1">IF(AND(ISNUMBER($V$768),$B$677=1),$V$768,HLOOKUP(INDIRECT(ADDRESS(2,COLUMN())),OFFSET($BN$2,0,0,ROW()-1,60),ROW()-1,FALSE))</f>
        <v/>
      </c>
      <c r="W96" t="str">
        <f ca="1">IF(AND(ISNUMBER($W$768),$B$677=1),$W$768,HLOOKUP(INDIRECT(ADDRESS(2,COLUMN())),OFFSET($BN$2,0,0,ROW()-1,60),ROW()-1,FALSE))</f>
        <v/>
      </c>
      <c r="X96" t="str">
        <f ca="1">IF(AND(ISNUMBER($X$768),$B$677=1),$X$768,HLOOKUP(INDIRECT(ADDRESS(2,COLUMN())),OFFSET($BN$2,0,0,ROW()-1,60),ROW()-1,FALSE))</f>
        <v/>
      </c>
      <c r="Y96" t="str">
        <f ca="1">IF(AND(ISNUMBER($Y$768),$B$677=1),$Y$768,HLOOKUP(INDIRECT(ADDRESS(2,COLUMN())),OFFSET($BN$2,0,0,ROW()-1,60),ROW()-1,FALSE))</f>
        <v/>
      </c>
      <c r="Z96" t="str">
        <f ca="1">IF(AND(ISNUMBER($Z$768),$B$677=1),$Z$768,HLOOKUP(INDIRECT(ADDRESS(2,COLUMN())),OFFSET($BN$2,0,0,ROW()-1,60),ROW()-1,FALSE))</f>
        <v/>
      </c>
      <c r="AA96" t="str">
        <f ca="1">IF(AND(ISNUMBER($AA$768),$B$677=1),$AA$768,HLOOKUP(INDIRECT(ADDRESS(2,COLUMN())),OFFSET($BN$2,0,0,ROW()-1,60),ROW()-1,FALSE))</f>
        <v/>
      </c>
      <c r="AB96" t="str">
        <f ca="1">IF(AND(ISNUMBER($AB$768),$B$677=1),$AB$768,HLOOKUP(INDIRECT(ADDRESS(2,COLUMN())),OFFSET($BN$2,0,0,ROW()-1,60),ROW()-1,FALSE))</f>
        <v/>
      </c>
      <c r="AC96" t="str">
        <f ca="1">IF(AND(ISNUMBER($AC$768),$B$677=1),$AC$768,HLOOKUP(INDIRECT(ADDRESS(2,COLUMN())),OFFSET($BN$2,0,0,ROW()-1,60),ROW()-1,FALSE))</f>
        <v/>
      </c>
      <c r="AD96" t="str">
        <f ca="1">IF(AND(ISNUMBER($AD$768),$B$677=1),$AD$768,HLOOKUP(INDIRECT(ADDRESS(2,COLUMN())),OFFSET($BN$2,0,0,ROW()-1,60),ROW()-1,FALSE))</f>
        <v/>
      </c>
      <c r="AE96" t="str">
        <f ca="1">IF(AND(ISNUMBER($AE$768),$B$677=1),$AE$768,HLOOKUP(INDIRECT(ADDRESS(2,COLUMN())),OFFSET($BN$2,0,0,ROW()-1,60),ROW()-1,FALSE))</f>
        <v/>
      </c>
      <c r="AF96" t="str">
        <f ca="1">IF(AND(ISNUMBER($AF$768),$B$677=1),$AF$768,HLOOKUP(INDIRECT(ADDRESS(2,COLUMN())),OFFSET($BN$2,0,0,ROW()-1,60),ROW()-1,FALSE))</f>
        <v/>
      </c>
      <c r="AG96" t="str">
        <f ca="1">IF(AND(ISNUMBER($AG$768),$B$677=1),$AG$768,HLOOKUP(INDIRECT(ADDRESS(2,COLUMN())),OFFSET($BN$2,0,0,ROW()-1,60),ROW()-1,FALSE))</f>
        <v/>
      </c>
      <c r="AH96" t="str">
        <f ca="1">IF(AND(ISNUMBER($AH$768),$B$677=1),$AH$768,HLOOKUP(INDIRECT(ADDRESS(2,COLUMN())),OFFSET($BN$2,0,0,ROW()-1,60),ROW()-1,FALSE))</f>
        <v/>
      </c>
      <c r="AI96" t="str">
        <f ca="1">IF(AND(ISNUMBER($AI$768),$B$677=1),$AI$768,HLOOKUP(INDIRECT(ADDRESS(2,COLUMN())),OFFSET($BN$2,0,0,ROW()-1,60),ROW()-1,FALSE))</f>
        <v/>
      </c>
      <c r="AJ96" t="str">
        <f ca="1">IF(AND(ISNUMBER($AJ$768),$B$677=1),$AJ$768,HLOOKUP(INDIRECT(ADDRESS(2,COLUMN())),OFFSET($BN$2,0,0,ROW()-1,60),ROW()-1,FALSE))</f>
        <v/>
      </c>
      <c r="AK96" t="str">
        <f ca="1">IF(AND(ISNUMBER($AK$768),$B$677=1),$AK$768,HLOOKUP(INDIRECT(ADDRESS(2,COLUMN())),OFFSET($BN$2,0,0,ROW()-1,60),ROW()-1,FALSE))</f>
        <v/>
      </c>
      <c r="AL96" t="str">
        <f ca="1">IF(AND(ISNUMBER($AL$768),$B$677=1),$AL$768,HLOOKUP(INDIRECT(ADDRESS(2,COLUMN())),OFFSET($BN$2,0,0,ROW()-1,60),ROW()-1,FALSE))</f>
        <v/>
      </c>
      <c r="AM96" t="str">
        <f ca="1">IF(AND(ISNUMBER($AM$768),$B$677=1),$AM$768,HLOOKUP(INDIRECT(ADDRESS(2,COLUMN())),OFFSET($BN$2,0,0,ROW()-1,60),ROW()-1,FALSE))</f>
        <v/>
      </c>
      <c r="AN96" t="str">
        <f ca="1">IF(AND(ISNUMBER($AN$768),$B$677=1),$AN$768,HLOOKUP(INDIRECT(ADDRESS(2,COLUMN())),OFFSET($BN$2,0,0,ROW()-1,60),ROW()-1,FALSE))</f>
        <v/>
      </c>
      <c r="AO96" t="str">
        <f ca="1">IF(AND(ISNUMBER($AO$768),$B$677=1),$AO$768,HLOOKUP(INDIRECT(ADDRESS(2,COLUMN())),OFFSET($BN$2,0,0,ROW()-1,60),ROW()-1,FALSE))</f>
        <v/>
      </c>
      <c r="AP96" t="str">
        <f ca="1">IF(AND(ISNUMBER($AP$768),$B$677=1),$AP$768,HLOOKUP(INDIRECT(ADDRESS(2,COLUMN())),OFFSET($BN$2,0,0,ROW()-1,60),ROW()-1,FALSE))</f>
        <v/>
      </c>
      <c r="AQ96" t="str">
        <f ca="1">IF(AND(ISNUMBER($AQ$768),$B$677=1),$AQ$768,HLOOKUP(INDIRECT(ADDRESS(2,COLUMN())),OFFSET($BN$2,0,0,ROW()-1,60),ROW()-1,FALSE))</f>
        <v/>
      </c>
      <c r="AR96" t="str">
        <f ca="1">IF(AND(ISNUMBER($AR$768),$B$677=1),$AR$768,HLOOKUP(INDIRECT(ADDRESS(2,COLUMN())),OFFSET($BN$2,0,0,ROW()-1,60),ROW()-1,FALSE))</f>
        <v/>
      </c>
      <c r="AS96" t="str">
        <f ca="1">IF(AND(ISNUMBER($AS$768),$B$677=1),$AS$768,HLOOKUP(INDIRECT(ADDRESS(2,COLUMN())),OFFSET($BN$2,0,0,ROW()-1,60),ROW()-1,FALSE))</f>
        <v/>
      </c>
      <c r="AT96" t="str">
        <f ca="1">IF(AND(ISNUMBER($AT$768),$B$677=1),$AT$768,HLOOKUP(INDIRECT(ADDRESS(2,COLUMN())),OFFSET($BN$2,0,0,ROW()-1,60),ROW()-1,FALSE))</f>
        <v/>
      </c>
      <c r="AU96" t="str">
        <f ca="1">IF(AND(ISNUMBER($AU$768),$B$677=1),$AU$768,HLOOKUP(INDIRECT(ADDRESS(2,COLUMN())),OFFSET($BN$2,0,0,ROW()-1,60),ROW()-1,FALSE))</f>
        <v/>
      </c>
      <c r="AV96" t="str">
        <f ca="1">IF(AND(ISNUMBER($AV$768),$B$677=1),$AV$768,HLOOKUP(INDIRECT(ADDRESS(2,COLUMN())),OFFSET($BN$2,0,0,ROW()-1,60),ROW()-1,FALSE))</f>
        <v/>
      </c>
      <c r="AW96" t="str">
        <f ca="1">IF(AND(ISNUMBER($AW$768),$B$677=1),$AW$768,HLOOKUP(INDIRECT(ADDRESS(2,COLUMN())),OFFSET($BN$2,0,0,ROW()-1,60),ROW()-1,FALSE))</f>
        <v/>
      </c>
      <c r="AX96" t="str">
        <f ca="1">IF(AND(ISNUMBER($AX$768),$B$677=1),$AX$768,HLOOKUP(INDIRECT(ADDRESS(2,COLUMN())),OFFSET($BN$2,0,0,ROW()-1,60),ROW()-1,FALSE))</f>
        <v/>
      </c>
      <c r="AY96" t="str">
        <f ca="1">IF(AND(ISNUMBER($AY$768),$B$677=1),$AY$768,HLOOKUP(INDIRECT(ADDRESS(2,COLUMN())),OFFSET($BN$2,0,0,ROW()-1,60),ROW()-1,FALSE))</f>
        <v/>
      </c>
      <c r="AZ96" t="str">
        <f ca="1">IF(AND(ISNUMBER($AZ$768),$B$677=1),$AZ$768,HLOOKUP(INDIRECT(ADDRESS(2,COLUMN())),OFFSET($BN$2,0,0,ROW()-1,60),ROW()-1,FALSE))</f>
        <v/>
      </c>
      <c r="BA96" t="str">
        <f ca="1">IF(AND(ISNUMBER($BA$768),$B$677=1),$BA$768,HLOOKUP(INDIRECT(ADDRESS(2,COLUMN())),OFFSET($BN$2,0,0,ROW()-1,60),ROW()-1,FALSE))</f>
        <v/>
      </c>
      <c r="BB96" t="str">
        <f ca="1">IF(AND(ISNUMBER($BB$768),$B$677=1),$BB$768,HLOOKUP(INDIRECT(ADDRESS(2,COLUMN())),OFFSET($BN$2,0,0,ROW()-1,60),ROW()-1,FALSE))</f>
        <v/>
      </c>
      <c r="BC96" t="str">
        <f ca="1">IF(AND(ISNUMBER($BC$768),$B$677=1),$BC$768,HLOOKUP(INDIRECT(ADDRESS(2,COLUMN())),OFFSET($BN$2,0,0,ROW()-1,60),ROW()-1,FALSE))</f>
        <v/>
      </c>
      <c r="BD96" t="str">
        <f ca="1">IF(AND(ISNUMBER($BD$768),$B$677=1),$BD$768,HLOOKUP(INDIRECT(ADDRESS(2,COLUMN())),OFFSET($BN$2,0,0,ROW()-1,60),ROW()-1,FALSE))</f>
        <v/>
      </c>
      <c r="BE96" t="str">
        <f ca="1">IF(AND(ISNUMBER($BE$768),$B$677=1),$BE$768,HLOOKUP(INDIRECT(ADDRESS(2,COLUMN())),OFFSET($BN$2,0,0,ROW()-1,60),ROW()-1,FALSE))</f>
        <v/>
      </c>
      <c r="BF96" t="str">
        <f ca="1">IF(AND(ISNUMBER($BF$768),$B$677=1),$BF$768,HLOOKUP(INDIRECT(ADDRESS(2,COLUMN())),OFFSET($BN$2,0,0,ROW()-1,60),ROW()-1,FALSE))</f>
        <v/>
      </c>
      <c r="BG96" t="str">
        <f ca="1">IF(AND(ISNUMBER($BG$768),$B$677=1),$BG$768,HLOOKUP(INDIRECT(ADDRESS(2,COLUMN())),OFFSET($BN$2,0,0,ROW()-1,60),ROW()-1,FALSE))</f>
        <v/>
      </c>
      <c r="BH96" t="str">
        <f ca="1">IF(AND(ISNUMBER($BH$768),$B$677=1),$BH$768,HLOOKUP(INDIRECT(ADDRESS(2,COLUMN())),OFFSET($BN$2,0,0,ROW()-1,60),ROW()-1,FALSE))</f>
        <v/>
      </c>
      <c r="BI96" t="str">
        <f ca="1">IF(AND(ISNUMBER($BI$768),$B$677=1),$BI$768,HLOOKUP(INDIRECT(ADDRESS(2,COLUMN())),OFFSET($BN$2,0,0,ROW()-1,60),ROW()-1,FALSE))</f>
        <v/>
      </c>
      <c r="BJ96" t="str">
        <f ca="1">IF(AND(ISNUMBER($BJ$768),$B$677=1),$BJ$768,HLOOKUP(INDIRECT(ADDRESS(2,COLUMN())),OFFSET($BN$2,0,0,ROW()-1,60),ROW()-1,FALSE))</f>
        <v/>
      </c>
      <c r="BK96" t="str">
        <f ca="1">IF(AND(ISNUMBER($BK$768),$B$677=1),$BK$768,HLOOKUP(INDIRECT(ADDRESS(2,COLUMN())),OFFSET($BN$2,0,0,ROW()-1,60),ROW()-1,FALSE))</f>
        <v/>
      </c>
      <c r="BL96" t="str">
        <f ca="1">IF(AND(ISNUMBER($BL$768),$B$677=1),$BL$768,HLOOKUP(INDIRECT(ADDRESS(2,COLUMN())),OFFSET($BN$2,0,0,ROW()-1,60),ROW()-1,FALSE))</f>
        <v/>
      </c>
      <c r="BM96" t="str">
        <f ca="1">IF(AND(ISNUMBER($BM$768),$B$677=1),$BM$768,HLOOKUP(INDIRECT(ADDRESS(2,COLUMN())),OFFSET($BN$2,0,0,ROW()-1,60),ROW()-1,FALSE))</f>
        <v/>
      </c>
      <c r="BN96">
        <f>24.34210526</f>
        <v>24.34210526</v>
      </c>
      <c r="BO96">
        <f>22.36842105</f>
        <v>22.368421049999998</v>
      </c>
      <c r="BP96">
        <f>27.82051282</f>
        <v>27.820512820000001</v>
      </c>
      <c r="BQ96">
        <f>20.20618557</f>
        <v>20.206185569999999</v>
      </c>
      <c r="BR96">
        <f>58.0952381</f>
        <v>58.095238100000003</v>
      </c>
      <c r="BS96">
        <f>43.57142857</f>
        <v>43.571428570000002</v>
      </c>
      <c r="BT96">
        <f>29.10714286</f>
        <v>29.10714286</v>
      </c>
      <c r="BU96">
        <f>16.33027523</f>
        <v>16.330275230000002</v>
      </c>
      <c r="BV96" t="str">
        <f>""</f>
        <v/>
      </c>
      <c r="BW96" t="str">
        <f>""</f>
        <v/>
      </c>
      <c r="BX96" t="str">
        <f>""</f>
        <v/>
      </c>
      <c r="BY96" t="str">
        <f>""</f>
        <v/>
      </c>
      <c r="BZ96" t="str">
        <f>""</f>
        <v/>
      </c>
      <c r="CA96" t="str">
        <f>""</f>
        <v/>
      </c>
      <c r="CB96" t="str">
        <f>""</f>
        <v/>
      </c>
      <c r="CC96" t="str">
        <f>""</f>
        <v/>
      </c>
      <c r="CD96" t="str">
        <f>""</f>
        <v/>
      </c>
      <c r="CE96" t="str">
        <f>""</f>
        <v/>
      </c>
      <c r="CF96" t="str">
        <f>""</f>
        <v/>
      </c>
      <c r="CG96" t="str">
        <f>""</f>
        <v/>
      </c>
      <c r="CH96" t="str">
        <f>""</f>
        <v/>
      </c>
      <c r="CI96" t="str">
        <f>""</f>
        <v/>
      </c>
      <c r="CJ96" t="str">
        <f>""</f>
        <v/>
      </c>
      <c r="CK96" t="str">
        <f>""</f>
        <v/>
      </c>
      <c r="CL96" t="str">
        <f>""</f>
        <v/>
      </c>
      <c r="CM96" t="str">
        <f>""</f>
        <v/>
      </c>
      <c r="CN96" t="str">
        <f>""</f>
        <v/>
      </c>
      <c r="CO96" t="str">
        <f>""</f>
        <v/>
      </c>
      <c r="CP96" t="str">
        <f>""</f>
        <v/>
      </c>
      <c r="CQ96" t="str">
        <f>""</f>
        <v/>
      </c>
      <c r="CR96" t="str">
        <f>""</f>
        <v/>
      </c>
      <c r="CS96" t="str">
        <f>""</f>
        <v/>
      </c>
      <c r="CT96" t="str">
        <f>""</f>
        <v/>
      </c>
      <c r="CU96" t="str">
        <f>""</f>
        <v/>
      </c>
      <c r="CV96" t="str">
        <f>""</f>
        <v/>
      </c>
      <c r="CW96" t="str">
        <f>""</f>
        <v/>
      </c>
      <c r="CX96" t="str">
        <f>""</f>
        <v/>
      </c>
      <c r="CY96" t="str">
        <f>""</f>
        <v/>
      </c>
      <c r="CZ96" t="str">
        <f>""</f>
        <v/>
      </c>
      <c r="DA96" t="str">
        <f>""</f>
        <v/>
      </c>
      <c r="DB96" t="str">
        <f>""</f>
        <v/>
      </c>
      <c r="DC96" t="str">
        <f>""</f>
        <v/>
      </c>
      <c r="DD96" t="str">
        <f>""</f>
        <v/>
      </c>
      <c r="DE96" t="str">
        <f>""</f>
        <v/>
      </c>
      <c r="DF96" t="str">
        <f>""</f>
        <v/>
      </c>
      <c r="DG96" t="str">
        <f>""</f>
        <v/>
      </c>
      <c r="DH96" t="str">
        <f>""</f>
        <v/>
      </c>
      <c r="DI96" t="str">
        <f>""</f>
        <v/>
      </c>
      <c r="DJ96" t="str">
        <f>""</f>
        <v/>
      </c>
      <c r="DK96" t="str">
        <f>""</f>
        <v/>
      </c>
      <c r="DL96" t="str">
        <f>""</f>
        <v/>
      </c>
      <c r="DM96" t="str">
        <f>""</f>
        <v/>
      </c>
      <c r="DN96" t="str">
        <f>""</f>
        <v/>
      </c>
      <c r="DO96" t="str">
        <f>""</f>
        <v/>
      </c>
      <c r="DP96" t="str">
        <f>""</f>
        <v/>
      </c>
      <c r="DQ96" t="str">
        <f>""</f>
        <v/>
      </c>
      <c r="DR96" t="str">
        <f>""</f>
        <v/>
      </c>
      <c r="DS96" t="str">
        <f>""</f>
        <v/>
      </c>
      <c r="DT96" t="str">
        <f>""</f>
        <v/>
      </c>
      <c r="DU96" t="str">
        <f>""</f>
        <v/>
      </c>
    </row>
    <row r="97" spans="1:125" x14ac:dyDescent="0.25">
      <c r="A97" t="str">
        <f>"    FAW CAR Co Ltd"</f>
        <v xml:space="preserve">    FAW CAR Co Ltd</v>
      </c>
      <c r="B97" t="str">
        <f>"000800 CH Equity"</f>
        <v>000800 CH Equity</v>
      </c>
      <c r="C97" t="str">
        <f t="shared" si="6"/>
        <v>EZ010</v>
      </c>
      <c r="D97" t="str">
        <f t="shared" si="7"/>
        <v>BEST_EST_PE_NXT_YR</v>
      </c>
      <c r="E97" t="str">
        <f t="shared" si="8"/>
        <v>Dynamic</v>
      </c>
      <c r="F97" t="str">
        <f ca="1">IF(AND(ISNUMBER($F$769),$B$677=1),$F$769,HLOOKUP(INDIRECT(ADDRESS(2,COLUMN())),OFFSET($BN$2,0,0,ROW()-1,60),ROW()-1,FALSE))</f>
        <v/>
      </c>
      <c r="G97" t="str">
        <f ca="1">IF(AND(ISNUMBER($G$769),$B$677=1),$G$769,HLOOKUP(INDIRECT(ADDRESS(2,COLUMN())),OFFSET($BN$2,0,0,ROW()-1,60),ROW()-1,FALSE))</f>
        <v/>
      </c>
      <c r="H97" t="str">
        <f ca="1">IF(AND(ISNUMBER($H$769),$B$677=1),$H$769,HLOOKUP(INDIRECT(ADDRESS(2,COLUMN())),OFFSET($BN$2,0,0,ROW()-1,60),ROW()-1,FALSE))</f>
        <v/>
      </c>
      <c r="I97" t="str">
        <f ca="1">IF(AND(ISNUMBER($I$769),$B$677=1),$I$769,HLOOKUP(INDIRECT(ADDRESS(2,COLUMN())),OFFSET($BN$2,0,0,ROW()-1,60),ROW()-1,FALSE))</f>
        <v/>
      </c>
      <c r="J97" t="str">
        <f ca="1">IF(AND(ISNUMBER($J$769),$B$677=1),$J$769,HLOOKUP(INDIRECT(ADDRESS(2,COLUMN())),OFFSET($BN$2,0,0,ROW()-1,60),ROW()-1,FALSE))</f>
        <v/>
      </c>
      <c r="K97">
        <f ca="1">IF(AND(ISNUMBER($K$769),$B$677=1),$K$769,HLOOKUP(INDIRECT(ADDRESS(2,COLUMN())),OFFSET($BN$2,0,0,ROW()-1,60),ROW()-1,FALSE))</f>
        <v>37.107142860000003</v>
      </c>
      <c r="L97">
        <f ca="1">IF(AND(ISNUMBER($L$769),$B$677=1),$L$769,HLOOKUP(INDIRECT(ADDRESS(2,COLUMN())),OFFSET($BN$2,0,0,ROW()-1,60),ROW()-1,FALSE))</f>
        <v>49.142857139999997</v>
      </c>
      <c r="M97">
        <f ca="1">IF(AND(ISNUMBER($M$769),$B$677=1),$M$769,HLOOKUP(INDIRECT(ADDRESS(2,COLUMN())),OFFSET($BN$2,0,0,ROW()-1,60),ROW()-1,FALSE))</f>
        <v>39.11538462</v>
      </c>
      <c r="N97" t="str">
        <f ca="1">IF(AND(ISNUMBER($N$769),$B$677=1),$N$769,HLOOKUP(INDIRECT(ADDRESS(2,COLUMN())),OFFSET($BN$2,0,0,ROW()-1,60),ROW()-1,FALSE))</f>
        <v/>
      </c>
      <c r="O97" t="str">
        <f ca="1">IF(AND(ISNUMBER($O$769),$B$677=1),$O$769,HLOOKUP(INDIRECT(ADDRESS(2,COLUMN())),OFFSET($BN$2,0,0,ROW()-1,60),ROW()-1,FALSE))</f>
        <v/>
      </c>
      <c r="P97" t="str">
        <f ca="1">IF(AND(ISNUMBER($P$769),$B$677=1),$P$769,HLOOKUP(INDIRECT(ADDRESS(2,COLUMN())),OFFSET($BN$2,0,0,ROW()-1,60),ROW()-1,FALSE))</f>
        <v/>
      </c>
      <c r="Q97" t="str">
        <f ca="1">IF(AND(ISNUMBER($Q$769),$B$677=1),$Q$769,HLOOKUP(INDIRECT(ADDRESS(2,COLUMN())),OFFSET($BN$2,0,0,ROW()-1,60),ROW()-1,FALSE))</f>
        <v/>
      </c>
      <c r="R97" t="str">
        <f ca="1">IF(AND(ISNUMBER($R$769),$B$677=1),$R$769,HLOOKUP(INDIRECT(ADDRESS(2,COLUMN())),OFFSET($BN$2,0,0,ROW()-1,60),ROW()-1,FALSE))</f>
        <v/>
      </c>
      <c r="S97" t="str">
        <f ca="1">IF(AND(ISNUMBER($S$769),$B$677=1),$S$769,HLOOKUP(INDIRECT(ADDRESS(2,COLUMN())),OFFSET($BN$2,0,0,ROW()-1,60),ROW()-1,FALSE))</f>
        <v/>
      </c>
      <c r="T97" t="str">
        <f ca="1">IF(AND(ISNUMBER($T$769),$B$677=1),$T$769,HLOOKUP(INDIRECT(ADDRESS(2,COLUMN())),OFFSET($BN$2,0,0,ROW()-1,60),ROW()-1,FALSE))</f>
        <v/>
      </c>
      <c r="U97" t="str">
        <f ca="1">IF(AND(ISNUMBER($U$769),$B$677=1),$U$769,HLOOKUP(INDIRECT(ADDRESS(2,COLUMN())),OFFSET($BN$2,0,0,ROW()-1,60),ROW()-1,FALSE))</f>
        <v/>
      </c>
      <c r="V97" t="str">
        <f ca="1">IF(AND(ISNUMBER($V$769),$B$677=1),$V$769,HLOOKUP(INDIRECT(ADDRESS(2,COLUMN())),OFFSET($BN$2,0,0,ROW()-1,60),ROW()-1,FALSE))</f>
        <v/>
      </c>
      <c r="W97" t="str">
        <f ca="1">IF(AND(ISNUMBER($W$769),$B$677=1),$W$769,HLOOKUP(INDIRECT(ADDRESS(2,COLUMN())),OFFSET($BN$2,0,0,ROW()-1,60),ROW()-1,FALSE))</f>
        <v/>
      </c>
      <c r="X97" t="str">
        <f ca="1">IF(AND(ISNUMBER($X$769),$B$677=1),$X$769,HLOOKUP(INDIRECT(ADDRESS(2,COLUMN())),OFFSET($BN$2,0,0,ROW()-1,60),ROW()-1,FALSE))</f>
        <v/>
      </c>
      <c r="Y97" t="str">
        <f ca="1">IF(AND(ISNUMBER($Y$769),$B$677=1),$Y$769,HLOOKUP(INDIRECT(ADDRESS(2,COLUMN())),OFFSET($BN$2,0,0,ROW()-1,60),ROW()-1,FALSE))</f>
        <v/>
      </c>
      <c r="Z97" t="str">
        <f ca="1">IF(AND(ISNUMBER($Z$769),$B$677=1),$Z$769,HLOOKUP(INDIRECT(ADDRESS(2,COLUMN())),OFFSET($BN$2,0,0,ROW()-1,60),ROW()-1,FALSE))</f>
        <v/>
      </c>
      <c r="AA97" t="str">
        <f ca="1">IF(AND(ISNUMBER($AA$769),$B$677=1),$AA$769,HLOOKUP(INDIRECT(ADDRESS(2,COLUMN())),OFFSET($BN$2,0,0,ROW()-1,60),ROW()-1,FALSE))</f>
        <v/>
      </c>
      <c r="AB97" t="str">
        <f ca="1">IF(AND(ISNUMBER($AB$769),$B$677=1),$AB$769,HLOOKUP(INDIRECT(ADDRESS(2,COLUMN())),OFFSET($BN$2,0,0,ROW()-1,60),ROW()-1,FALSE))</f>
        <v/>
      </c>
      <c r="AC97" t="str">
        <f ca="1">IF(AND(ISNUMBER($AC$769),$B$677=1),$AC$769,HLOOKUP(INDIRECT(ADDRESS(2,COLUMN())),OFFSET($BN$2,0,0,ROW()-1,60),ROW()-1,FALSE))</f>
        <v/>
      </c>
      <c r="AD97" t="str">
        <f ca="1">IF(AND(ISNUMBER($AD$769),$B$677=1),$AD$769,HLOOKUP(INDIRECT(ADDRESS(2,COLUMN())),OFFSET($BN$2,0,0,ROW()-1,60),ROW()-1,FALSE))</f>
        <v/>
      </c>
      <c r="AE97" t="str">
        <f ca="1">IF(AND(ISNUMBER($AE$769),$B$677=1),$AE$769,HLOOKUP(INDIRECT(ADDRESS(2,COLUMN())),OFFSET($BN$2,0,0,ROW()-1,60),ROW()-1,FALSE))</f>
        <v/>
      </c>
      <c r="AF97" t="str">
        <f ca="1">IF(AND(ISNUMBER($AF$769),$B$677=1),$AF$769,HLOOKUP(INDIRECT(ADDRESS(2,COLUMN())),OFFSET($BN$2,0,0,ROW()-1,60),ROW()-1,FALSE))</f>
        <v/>
      </c>
      <c r="AG97" t="str">
        <f ca="1">IF(AND(ISNUMBER($AG$769),$B$677=1),$AG$769,HLOOKUP(INDIRECT(ADDRESS(2,COLUMN())),OFFSET($BN$2,0,0,ROW()-1,60),ROW()-1,FALSE))</f>
        <v/>
      </c>
      <c r="AH97" t="str">
        <f ca="1">IF(AND(ISNUMBER($AH$769),$B$677=1),$AH$769,HLOOKUP(INDIRECT(ADDRESS(2,COLUMN())),OFFSET($BN$2,0,0,ROW()-1,60),ROW()-1,FALSE))</f>
        <v/>
      </c>
      <c r="AI97" t="str">
        <f ca="1">IF(AND(ISNUMBER($AI$769),$B$677=1),$AI$769,HLOOKUP(INDIRECT(ADDRESS(2,COLUMN())),OFFSET($BN$2,0,0,ROW()-1,60),ROW()-1,FALSE))</f>
        <v/>
      </c>
      <c r="AJ97" t="str">
        <f ca="1">IF(AND(ISNUMBER($AJ$769),$B$677=1),$AJ$769,HLOOKUP(INDIRECT(ADDRESS(2,COLUMN())),OFFSET($BN$2,0,0,ROW()-1,60),ROW()-1,FALSE))</f>
        <v/>
      </c>
      <c r="AK97" t="str">
        <f ca="1">IF(AND(ISNUMBER($AK$769),$B$677=1),$AK$769,HLOOKUP(INDIRECT(ADDRESS(2,COLUMN())),OFFSET($BN$2,0,0,ROW()-1,60),ROW()-1,FALSE))</f>
        <v/>
      </c>
      <c r="AL97" t="str">
        <f ca="1">IF(AND(ISNUMBER($AL$769),$B$677=1),$AL$769,HLOOKUP(INDIRECT(ADDRESS(2,COLUMN())),OFFSET($BN$2,0,0,ROW()-1,60),ROW()-1,FALSE))</f>
        <v/>
      </c>
      <c r="AM97" t="str">
        <f ca="1">IF(AND(ISNUMBER($AM$769),$B$677=1),$AM$769,HLOOKUP(INDIRECT(ADDRESS(2,COLUMN())),OFFSET($BN$2,0,0,ROW()-1,60),ROW()-1,FALSE))</f>
        <v/>
      </c>
      <c r="AN97" t="str">
        <f ca="1">IF(AND(ISNUMBER($AN$769),$B$677=1),$AN$769,HLOOKUP(INDIRECT(ADDRESS(2,COLUMN())),OFFSET($BN$2,0,0,ROW()-1,60),ROW()-1,FALSE))</f>
        <v/>
      </c>
      <c r="AO97" t="str">
        <f ca="1">IF(AND(ISNUMBER($AO$769),$B$677=1),$AO$769,HLOOKUP(INDIRECT(ADDRESS(2,COLUMN())),OFFSET($BN$2,0,0,ROW()-1,60),ROW()-1,FALSE))</f>
        <v/>
      </c>
      <c r="AP97" t="str">
        <f ca="1">IF(AND(ISNUMBER($AP$769),$B$677=1),$AP$769,HLOOKUP(INDIRECT(ADDRESS(2,COLUMN())),OFFSET($BN$2,0,0,ROW()-1,60),ROW()-1,FALSE))</f>
        <v/>
      </c>
      <c r="AQ97" t="str">
        <f ca="1">IF(AND(ISNUMBER($AQ$769),$B$677=1),$AQ$769,HLOOKUP(INDIRECT(ADDRESS(2,COLUMN())),OFFSET($BN$2,0,0,ROW()-1,60),ROW()-1,FALSE))</f>
        <v/>
      </c>
      <c r="AR97" t="str">
        <f ca="1">IF(AND(ISNUMBER($AR$769),$B$677=1),$AR$769,HLOOKUP(INDIRECT(ADDRESS(2,COLUMN())),OFFSET($BN$2,0,0,ROW()-1,60),ROW()-1,FALSE))</f>
        <v/>
      </c>
      <c r="AS97" t="str">
        <f ca="1">IF(AND(ISNUMBER($AS$769),$B$677=1),$AS$769,HLOOKUP(INDIRECT(ADDRESS(2,COLUMN())),OFFSET($BN$2,0,0,ROW()-1,60),ROW()-1,FALSE))</f>
        <v/>
      </c>
      <c r="AT97" t="str">
        <f ca="1">IF(AND(ISNUMBER($AT$769),$B$677=1),$AT$769,HLOOKUP(INDIRECT(ADDRESS(2,COLUMN())),OFFSET($BN$2,0,0,ROW()-1,60),ROW()-1,FALSE))</f>
        <v/>
      </c>
      <c r="AU97" t="str">
        <f ca="1">IF(AND(ISNUMBER($AU$769),$B$677=1),$AU$769,HLOOKUP(INDIRECT(ADDRESS(2,COLUMN())),OFFSET($BN$2,0,0,ROW()-1,60),ROW()-1,FALSE))</f>
        <v/>
      </c>
      <c r="AV97" t="str">
        <f ca="1">IF(AND(ISNUMBER($AV$769),$B$677=1),$AV$769,HLOOKUP(INDIRECT(ADDRESS(2,COLUMN())),OFFSET($BN$2,0,0,ROW()-1,60),ROW()-1,FALSE))</f>
        <v/>
      </c>
      <c r="AW97" t="str">
        <f ca="1">IF(AND(ISNUMBER($AW$769),$B$677=1),$AW$769,HLOOKUP(INDIRECT(ADDRESS(2,COLUMN())),OFFSET($BN$2,0,0,ROW()-1,60),ROW()-1,FALSE))</f>
        <v/>
      </c>
      <c r="AX97" t="str">
        <f ca="1">IF(AND(ISNUMBER($AX$769),$B$677=1),$AX$769,HLOOKUP(INDIRECT(ADDRESS(2,COLUMN())),OFFSET($BN$2,0,0,ROW()-1,60),ROW()-1,FALSE))</f>
        <v/>
      </c>
      <c r="AY97" t="str">
        <f ca="1">IF(AND(ISNUMBER($AY$769),$B$677=1),$AY$769,HLOOKUP(INDIRECT(ADDRESS(2,COLUMN())),OFFSET($BN$2,0,0,ROW()-1,60),ROW()-1,FALSE))</f>
        <v/>
      </c>
      <c r="AZ97" t="str">
        <f ca="1">IF(AND(ISNUMBER($AZ$769),$B$677=1),$AZ$769,HLOOKUP(INDIRECT(ADDRESS(2,COLUMN())),OFFSET($BN$2,0,0,ROW()-1,60),ROW()-1,FALSE))</f>
        <v/>
      </c>
      <c r="BA97" t="str">
        <f ca="1">IF(AND(ISNUMBER($BA$769),$B$677=1),$BA$769,HLOOKUP(INDIRECT(ADDRESS(2,COLUMN())),OFFSET($BN$2,0,0,ROW()-1,60),ROW()-1,FALSE))</f>
        <v/>
      </c>
      <c r="BB97" t="str">
        <f ca="1">IF(AND(ISNUMBER($BB$769),$B$677=1),$BB$769,HLOOKUP(INDIRECT(ADDRESS(2,COLUMN())),OFFSET($BN$2,0,0,ROW()-1,60),ROW()-1,FALSE))</f>
        <v/>
      </c>
      <c r="BC97" t="str">
        <f ca="1">IF(AND(ISNUMBER($BC$769),$B$677=1),$BC$769,HLOOKUP(INDIRECT(ADDRESS(2,COLUMN())),OFFSET($BN$2,0,0,ROW()-1,60),ROW()-1,FALSE))</f>
        <v/>
      </c>
      <c r="BD97" t="str">
        <f ca="1">IF(AND(ISNUMBER($BD$769),$B$677=1),$BD$769,HLOOKUP(INDIRECT(ADDRESS(2,COLUMN())),OFFSET($BN$2,0,0,ROW()-1,60),ROW()-1,FALSE))</f>
        <v/>
      </c>
      <c r="BE97" t="str">
        <f ca="1">IF(AND(ISNUMBER($BE$769),$B$677=1),$BE$769,HLOOKUP(INDIRECT(ADDRESS(2,COLUMN())),OFFSET($BN$2,0,0,ROW()-1,60),ROW()-1,FALSE))</f>
        <v/>
      </c>
      <c r="BF97" t="str">
        <f ca="1">IF(AND(ISNUMBER($BF$769),$B$677=1),$BF$769,HLOOKUP(INDIRECT(ADDRESS(2,COLUMN())),OFFSET($BN$2,0,0,ROW()-1,60),ROW()-1,FALSE))</f>
        <v/>
      </c>
      <c r="BG97" t="str">
        <f ca="1">IF(AND(ISNUMBER($BG$769),$B$677=1),$BG$769,HLOOKUP(INDIRECT(ADDRESS(2,COLUMN())),OFFSET($BN$2,0,0,ROW()-1,60),ROW()-1,FALSE))</f>
        <v/>
      </c>
      <c r="BH97" t="str">
        <f ca="1">IF(AND(ISNUMBER($BH$769),$B$677=1),$BH$769,HLOOKUP(INDIRECT(ADDRESS(2,COLUMN())),OFFSET($BN$2,0,0,ROW()-1,60),ROW()-1,FALSE))</f>
        <v/>
      </c>
      <c r="BI97" t="str">
        <f ca="1">IF(AND(ISNUMBER($BI$769),$B$677=1),$BI$769,HLOOKUP(INDIRECT(ADDRESS(2,COLUMN())),OFFSET($BN$2,0,0,ROW()-1,60),ROW()-1,FALSE))</f>
        <v/>
      </c>
      <c r="BJ97" t="str">
        <f ca="1">IF(AND(ISNUMBER($BJ$769),$B$677=1),$BJ$769,HLOOKUP(INDIRECT(ADDRESS(2,COLUMN())),OFFSET($BN$2,0,0,ROW()-1,60),ROW()-1,FALSE))</f>
        <v/>
      </c>
      <c r="BK97" t="str">
        <f ca="1">IF(AND(ISNUMBER($BK$769),$B$677=1),$BK$769,HLOOKUP(INDIRECT(ADDRESS(2,COLUMN())),OFFSET($BN$2,0,0,ROW()-1,60),ROW()-1,FALSE))</f>
        <v/>
      </c>
      <c r="BL97" t="str">
        <f ca="1">IF(AND(ISNUMBER($BL$769),$B$677=1),$BL$769,HLOOKUP(INDIRECT(ADDRESS(2,COLUMN())),OFFSET($BN$2,0,0,ROW()-1,60),ROW()-1,FALSE))</f>
        <v/>
      </c>
      <c r="BM97" t="str">
        <f ca="1">IF(AND(ISNUMBER($BM$769),$B$677=1),$BM$769,HLOOKUP(INDIRECT(ADDRESS(2,COLUMN())),OFFSET($BN$2,0,0,ROW()-1,60),ROW()-1,FALSE))</f>
        <v/>
      </c>
      <c r="BN97" t="str">
        <f>""</f>
        <v/>
      </c>
      <c r="BO97" t="str">
        <f>""</f>
        <v/>
      </c>
      <c r="BP97" t="str">
        <f>""</f>
        <v/>
      </c>
      <c r="BQ97" t="str">
        <f>""</f>
        <v/>
      </c>
      <c r="BR97" t="str">
        <f>""</f>
        <v/>
      </c>
      <c r="BS97">
        <f>37.10714286</f>
        <v>37.107142860000003</v>
      </c>
      <c r="BT97">
        <f>49.14285714</f>
        <v>49.142857139999997</v>
      </c>
      <c r="BU97">
        <f>39.11538462</f>
        <v>39.11538462</v>
      </c>
      <c r="BV97" t="str">
        <f>""</f>
        <v/>
      </c>
      <c r="BW97" t="str">
        <f>""</f>
        <v/>
      </c>
      <c r="BX97" t="str">
        <f>""</f>
        <v/>
      </c>
      <c r="BY97" t="str">
        <f>""</f>
        <v/>
      </c>
      <c r="BZ97" t="str">
        <f>""</f>
        <v/>
      </c>
      <c r="CA97" t="str">
        <f>""</f>
        <v/>
      </c>
      <c r="CB97" t="str">
        <f>""</f>
        <v/>
      </c>
      <c r="CC97" t="str">
        <f>""</f>
        <v/>
      </c>
      <c r="CD97" t="str">
        <f>""</f>
        <v/>
      </c>
      <c r="CE97" t="str">
        <f>""</f>
        <v/>
      </c>
      <c r="CF97" t="str">
        <f>""</f>
        <v/>
      </c>
      <c r="CG97" t="str">
        <f>""</f>
        <v/>
      </c>
      <c r="CH97" t="str">
        <f>""</f>
        <v/>
      </c>
      <c r="CI97" t="str">
        <f>""</f>
        <v/>
      </c>
      <c r="CJ97" t="str">
        <f>""</f>
        <v/>
      </c>
      <c r="CK97" t="str">
        <f>""</f>
        <v/>
      </c>
      <c r="CL97" t="str">
        <f>""</f>
        <v/>
      </c>
      <c r="CM97" t="str">
        <f>""</f>
        <v/>
      </c>
      <c r="CN97" t="str">
        <f>""</f>
        <v/>
      </c>
      <c r="CO97" t="str">
        <f>""</f>
        <v/>
      </c>
      <c r="CP97" t="str">
        <f>""</f>
        <v/>
      </c>
      <c r="CQ97" t="str">
        <f>""</f>
        <v/>
      </c>
      <c r="CR97" t="str">
        <f>""</f>
        <v/>
      </c>
      <c r="CS97" t="str">
        <f>""</f>
        <v/>
      </c>
      <c r="CT97" t="str">
        <f>""</f>
        <v/>
      </c>
      <c r="CU97" t="str">
        <f>""</f>
        <v/>
      </c>
      <c r="CV97" t="str">
        <f>""</f>
        <v/>
      </c>
      <c r="CW97" t="str">
        <f>""</f>
        <v/>
      </c>
      <c r="CX97" t="str">
        <f>""</f>
        <v/>
      </c>
      <c r="CY97" t="str">
        <f>""</f>
        <v/>
      </c>
      <c r="CZ97" t="str">
        <f>""</f>
        <v/>
      </c>
      <c r="DA97" t="str">
        <f>""</f>
        <v/>
      </c>
      <c r="DB97" t="str">
        <f>""</f>
        <v/>
      </c>
      <c r="DC97" t="str">
        <f>""</f>
        <v/>
      </c>
      <c r="DD97" t="str">
        <f>""</f>
        <v/>
      </c>
      <c r="DE97" t="str">
        <f>""</f>
        <v/>
      </c>
      <c r="DF97" t="str">
        <f>""</f>
        <v/>
      </c>
      <c r="DG97" t="str">
        <f>""</f>
        <v/>
      </c>
      <c r="DH97" t="str">
        <f>""</f>
        <v/>
      </c>
      <c r="DI97" t="str">
        <f>""</f>
        <v/>
      </c>
      <c r="DJ97" t="str">
        <f>""</f>
        <v/>
      </c>
      <c r="DK97" t="str">
        <f>""</f>
        <v/>
      </c>
      <c r="DL97" t="str">
        <f>""</f>
        <v/>
      </c>
      <c r="DM97" t="str">
        <f>""</f>
        <v/>
      </c>
      <c r="DN97" t="str">
        <f>""</f>
        <v/>
      </c>
      <c r="DO97" t="str">
        <f>""</f>
        <v/>
      </c>
      <c r="DP97" t="str">
        <f>""</f>
        <v/>
      </c>
      <c r="DQ97" t="str">
        <f>""</f>
        <v/>
      </c>
      <c r="DR97" t="str">
        <f>""</f>
        <v/>
      </c>
      <c r="DS97" t="str">
        <f>""</f>
        <v/>
      </c>
      <c r="DT97" t="str">
        <f>""</f>
        <v/>
      </c>
      <c r="DU97" t="str">
        <f>""</f>
        <v/>
      </c>
    </row>
    <row r="98" spans="1:125" x14ac:dyDescent="0.25">
      <c r="A98" t="str">
        <f>"    Fiat Chrysler Automobiles NV"</f>
        <v xml:space="preserve">    Fiat Chrysler Automobiles NV</v>
      </c>
      <c r="B98" t="str">
        <f>"FCAU US Equity"</f>
        <v>FCAU US Equity</v>
      </c>
      <c r="C98" t="str">
        <f t="shared" si="6"/>
        <v>EZ010</v>
      </c>
      <c r="D98" t="str">
        <f t="shared" si="7"/>
        <v>BEST_EST_PE_NXT_YR</v>
      </c>
      <c r="E98" t="str">
        <f t="shared" si="8"/>
        <v>Dynamic</v>
      </c>
      <c r="F98">
        <f ca="1">IF(AND(ISNUMBER($F$770),$B$677=1),$F$770,HLOOKUP(INDIRECT(ADDRESS(2,COLUMN())),OFFSET($BN$2,0,0,ROW()-1,60),ROW()-1,FALSE))</f>
        <v>4.1091302030000003</v>
      </c>
      <c r="G98">
        <f ca="1">IF(AND(ISNUMBER($G$770),$B$677=1),$G$770,HLOOKUP(INDIRECT(ADDRESS(2,COLUMN())),OFFSET($BN$2,0,0,ROW()-1,60),ROW()-1,FALSE))</f>
        <v>3.5973263360000001</v>
      </c>
      <c r="H98">
        <f ca="1">IF(AND(ISNUMBER($H$770),$B$677=1),$H$770,HLOOKUP(INDIRECT(ADDRESS(2,COLUMN())),OFFSET($BN$2,0,0,ROW()-1,60),ROW()-1,FALSE))</f>
        <v>4.1091936909999998</v>
      </c>
      <c r="I98">
        <f ca="1">IF(AND(ISNUMBER($I$770),$B$677=1),$I$770,HLOOKUP(INDIRECT(ADDRESS(2,COLUMN())),OFFSET($BN$2,0,0,ROW()-1,60),ROW()-1,FALSE))</f>
        <v>4.2706178149999996</v>
      </c>
      <c r="J98">
        <f ca="1">IF(AND(ISNUMBER($J$770),$B$677=1),$J$770,HLOOKUP(INDIRECT(ADDRESS(2,COLUMN())),OFFSET($BN$2,0,0,ROW()-1,60),ROW()-1,FALSE))</f>
        <v>4.7837085349999997</v>
      </c>
      <c r="K98">
        <f ca="1">IF(AND(ISNUMBER($K$770),$B$677=1),$K$770,HLOOKUP(INDIRECT(ADDRESS(2,COLUMN())),OFFSET($BN$2,0,0,ROW()-1,60),ROW()-1,FALSE))</f>
        <v>5.6274027259999997</v>
      </c>
      <c r="L98">
        <f ca="1">IF(AND(ISNUMBER($L$770),$B$677=1),$L$770,HLOOKUP(INDIRECT(ADDRESS(2,COLUMN())),OFFSET($BN$2,0,0,ROW()-1,60),ROW()-1,FALSE))</f>
        <v>6.5831272350000001</v>
      </c>
      <c r="M98">
        <f ca="1">IF(AND(ISNUMBER($M$770),$B$677=1),$M$770,HLOOKUP(INDIRECT(ADDRESS(2,COLUMN())),OFFSET($BN$2,0,0,ROW()-1,60),ROW()-1,FALSE))</f>
        <v>4.0320087630000003</v>
      </c>
      <c r="N98">
        <f ca="1">IF(AND(ISNUMBER($N$770),$B$677=1),$N$770,HLOOKUP(INDIRECT(ADDRESS(2,COLUMN())),OFFSET($BN$2,0,0,ROW()-1,60),ROW()-1,FALSE))</f>
        <v>4.4522083139999999</v>
      </c>
      <c r="O98">
        <f ca="1">IF(AND(ISNUMBER($O$770),$B$677=1),$O$770,HLOOKUP(INDIRECT(ADDRESS(2,COLUMN())),OFFSET($BN$2,0,0,ROW()-1,60),ROW()-1,FALSE))</f>
        <v>3.564428452</v>
      </c>
      <c r="P98">
        <f ca="1">IF(AND(ISNUMBER($P$770),$B$677=1),$P$770,HLOOKUP(INDIRECT(ADDRESS(2,COLUMN())),OFFSET($BN$2,0,0,ROW()-1,60),ROW()-1,FALSE))</f>
        <v>2.2179126949999999</v>
      </c>
      <c r="Q98">
        <f ca="1">IF(AND(ISNUMBER($Q$770),$B$677=1),$Q$770,HLOOKUP(INDIRECT(ADDRESS(2,COLUMN())),OFFSET($BN$2,0,0,ROW()-1,60),ROW()-1,FALSE))</f>
        <v>19.739133800000001</v>
      </c>
      <c r="R98">
        <f ca="1">IF(AND(ISNUMBER($R$770),$B$677=1),$R$770,HLOOKUP(INDIRECT(ADDRESS(2,COLUMN())),OFFSET($BN$2,0,0,ROW()-1,60),ROW()-1,FALSE))</f>
        <v>11.55170672</v>
      </c>
      <c r="S98">
        <f ca="1">IF(AND(ISNUMBER($S$770),$B$677=1),$S$770,HLOOKUP(INDIRECT(ADDRESS(2,COLUMN())),OFFSET($BN$2,0,0,ROW()-1,60),ROW()-1,FALSE))</f>
        <v>12.555163</v>
      </c>
      <c r="T98">
        <f ca="1">IF(AND(ISNUMBER($T$770),$B$677=1),$T$770,HLOOKUP(INDIRECT(ADDRESS(2,COLUMN())),OFFSET($BN$2,0,0,ROW()-1,60),ROW()-1,FALSE))</f>
        <v>5.1456615169999997</v>
      </c>
      <c r="U98" t="str">
        <f ca="1">IF(AND(ISNUMBER($U$770),$B$677=1),$U$770,HLOOKUP(INDIRECT(ADDRESS(2,COLUMN())),OFFSET($BN$2,0,0,ROW()-1,60),ROW()-1,FALSE))</f>
        <v/>
      </c>
      <c r="V98" t="str">
        <f ca="1">IF(AND(ISNUMBER($V$770),$B$677=1),$V$770,HLOOKUP(INDIRECT(ADDRESS(2,COLUMN())),OFFSET($BN$2,0,0,ROW()-1,60),ROW()-1,FALSE))</f>
        <v/>
      </c>
      <c r="W98" t="str">
        <f ca="1">IF(AND(ISNUMBER($W$770),$B$677=1),$W$770,HLOOKUP(INDIRECT(ADDRESS(2,COLUMN())),OFFSET($BN$2,0,0,ROW()-1,60),ROW()-1,FALSE))</f>
        <v/>
      </c>
      <c r="X98" t="str">
        <f ca="1">IF(AND(ISNUMBER($X$770),$B$677=1),$X$770,HLOOKUP(INDIRECT(ADDRESS(2,COLUMN())),OFFSET($BN$2,0,0,ROW()-1,60),ROW()-1,FALSE))</f>
        <v/>
      </c>
      <c r="Y98" t="str">
        <f ca="1">IF(AND(ISNUMBER($Y$770),$B$677=1),$Y$770,HLOOKUP(INDIRECT(ADDRESS(2,COLUMN())),OFFSET($BN$2,0,0,ROW()-1,60),ROW()-1,FALSE))</f>
        <v/>
      </c>
      <c r="Z98" t="str">
        <f ca="1">IF(AND(ISNUMBER($Z$770),$B$677=1),$Z$770,HLOOKUP(INDIRECT(ADDRESS(2,COLUMN())),OFFSET($BN$2,0,0,ROW()-1,60),ROW()-1,FALSE))</f>
        <v/>
      </c>
      <c r="AA98" t="str">
        <f ca="1">IF(AND(ISNUMBER($AA$770),$B$677=1),$AA$770,HLOOKUP(INDIRECT(ADDRESS(2,COLUMN())),OFFSET($BN$2,0,0,ROW()-1,60),ROW()-1,FALSE))</f>
        <v/>
      </c>
      <c r="AB98" t="str">
        <f ca="1">IF(AND(ISNUMBER($AB$770),$B$677=1),$AB$770,HLOOKUP(INDIRECT(ADDRESS(2,COLUMN())),OFFSET($BN$2,0,0,ROW()-1,60),ROW()-1,FALSE))</f>
        <v/>
      </c>
      <c r="AC98" t="str">
        <f ca="1">IF(AND(ISNUMBER($AC$770),$B$677=1),$AC$770,HLOOKUP(INDIRECT(ADDRESS(2,COLUMN())),OFFSET($BN$2,0,0,ROW()-1,60),ROW()-1,FALSE))</f>
        <v/>
      </c>
      <c r="AD98" t="str">
        <f ca="1">IF(AND(ISNUMBER($AD$770),$B$677=1),$AD$770,HLOOKUP(INDIRECT(ADDRESS(2,COLUMN())),OFFSET($BN$2,0,0,ROW()-1,60),ROW()-1,FALSE))</f>
        <v/>
      </c>
      <c r="AE98" t="str">
        <f ca="1">IF(AND(ISNUMBER($AE$770),$B$677=1),$AE$770,HLOOKUP(INDIRECT(ADDRESS(2,COLUMN())),OFFSET($BN$2,0,0,ROW()-1,60),ROW()-1,FALSE))</f>
        <v/>
      </c>
      <c r="AF98" t="str">
        <f ca="1">IF(AND(ISNUMBER($AF$770),$B$677=1),$AF$770,HLOOKUP(INDIRECT(ADDRESS(2,COLUMN())),OFFSET($BN$2,0,0,ROW()-1,60),ROW()-1,FALSE))</f>
        <v/>
      </c>
      <c r="AG98" t="str">
        <f ca="1">IF(AND(ISNUMBER($AG$770),$B$677=1),$AG$770,HLOOKUP(INDIRECT(ADDRESS(2,COLUMN())),OFFSET($BN$2,0,0,ROW()-1,60),ROW()-1,FALSE))</f>
        <v/>
      </c>
      <c r="AH98" t="str">
        <f ca="1">IF(AND(ISNUMBER($AH$770),$B$677=1),$AH$770,HLOOKUP(INDIRECT(ADDRESS(2,COLUMN())),OFFSET($BN$2,0,0,ROW()-1,60),ROW()-1,FALSE))</f>
        <v/>
      </c>
      <c r="AI98" t="str">
        <f ca="1">IF(AND(ISNUMBER($AI$770),$B$677=1),$AI$770,HLOOKUP(INDIRECT(ADDRESS(2,COLUMN())),OFFSET($BN$2,0,0,ROW()-1,60),ROW()-1,FALSE))</f>
        <v/>
      </c>
      <c r="AJ98" t="str">
        <f ca="1">IF(AND(ISNUMBER($AJ$770),$B$677=1),$AJ$770,HLOOKUP(INDIRECT(ADDRESS(2,COLUMN())),OFFSET($BN$2,0,0,ROW()-1,60),ROW()-1,FALSE))</f>
        <v/>
      </c>
      <c r="AK98" t="str">
        <f ca="1">IF(AND(ISNUMBER($AK$770),$B$677=1),$AK$770,HLOOKUP(INDIRECT(ADDRESS(2,COLUMN())),OFFSET($BN$2,0,0,ROW()-1,60),ROW()-1,FALSE))</f>
        <v/>
      </c>
      <c r="AL98" t="str">
        <f ca="1">IF(AND(ISNUMBER($AL$770),$B$677=1),$AL$770,HLOOKUP(INDIRECT(ADDRESS(2,COLUMN())),OFFSET($BN$2,0,0,ROW()-1,60),ROW()-1,FALSE))</f>
        <v/>
      </c>
      <c r="AM98" t="str">
        <f ca="1">IF(AND(ISNUMBER($AM$770),$B$677=1),$AM$770,HLOOKUP(INDIRECT(ADDRESS(2,COLUMN())),OFFSET($BN$2,0,0,ROW()-1,60),ROW()-1,FALSE))</f>
        <v/>
      </c>
      <c r="AN98" t="str">
        <f ca="1">IF(AND(ISNUMBER($AN$770),$B$677=1),$AN$770,HLOOKUP(INDIRECT(ADDRESS(2,COLUMN())),OFFSET($BN$2,0,0,ROW()-1,60),ROW()-1,FALSE))</f>
        <v/>
      </c>
      <c r="AO98" t="str">
        <f ca="1">IF(AND(ISNUMBER($AO$770),$B$677=1),$AO$770,HLOOKUP(INDIRECT(ADDRESS(2,COLUMN())),OFFSET($BN$2,0,0,ROW()-1,60),ROW()-1,FALSE))</f>
        <v/>
      </c>
      <c r="AP98" t="str">
        <f ca="1">IF(AND(ISNUMBER($AP$770),$B$677=1),$AP$770,HLOOKUP(INDIRECT(ADDRESS(2,COLUMN())),OFFSET($BN$2,0,0,ROW()-1,60),ROW()-1,FALSE))</f>
        <v/>
      </c>
      <c r="AQ98" t="str">
        <f ca="1">IF(AND(ISNUMBER($AQ$770),$B$677=1),$AQ$770,HLOOKUP(INDIRECT(ADDRESS(2,COLUMN())),OFFSET($BN$2,0,0,ROW()-1,60),ROW()-1,FALSE))</f>
        <v/>
      </c>
      <c r="AR98" t="str">
        <f ca="1">IF(AND(ISNUMBER($AR$770),$B$677=1),$AR$770,HLOOKUP(INDIRECT(ADDRESS(2,COLUMN())),OFFSET($BN$2,0,0,ROW()-1,60),ROW()-1,FALSE))</f>
        <v/>
      </c>
      <c r="AS98" t="str">
        <f ca="1">IF(AND(ISNUMBER($AS$770),$B$677=1),$AS$770,HLOOKUP(INDIRECT(ADDRESS(2,COLUMN())),OFFSET($BN$2,0,0,ROW()-1,60),ROW()-1,FALSE))</f>
        <v/>
      </c>
      <c r="AT98" t="str">
        <f ca="1">IF(AND(ISNUMBER($AT$770),$B$677=1),$AT$770,HLOOKUP(INDIRECT(ADDRESS(2,COLUMN())),OFFSET($BN$2,0,0,ROW()-1,60),ROW()-1,FALSE))</f>
        <v/>
      </c>
      <c r="AU98" t="str">
        <f ca="1">IF(AND(ISNUMBER($AU$770),$B$677=1),$AU$770,HLOOKUP(INDIRECT(ADDRESS(2,COLUMN())),OFFSET($BN$2,0,0,ROW()-1,60),ROW()-1,FALSE))</f>
        <v/>
      </c>
      <c r="AV98" t="str">
        <f ca="1">IF(AND(ISNUMBER($AV$770),$B$677=1),$AV$770,HLOOKUP(INDIRECT(ADDRESS(2,COLUMN())),OFFSET($BN$2,0,0,ROW()-1,60),ROW()-1,FALSE))</f>
        <v/>
      </c>
      <c r="AW98" t="str">
        <f ca="1">IF(AND(ISNUMBER($AW$770),$B$677=1),$AW$770,HLOOKUP(INDIRECT(ADDRESS(2,COLUMN())),OFFSET($BN$2,0,0,ROW()-1,60),ROW()-1,FALSE))</f>
        <v/>
      </c>
      <c r="AX98" t="str">
        <f ca="1">IF(AND(ISNUMBER($AX$770),$B$677=1),$AX$770,HLOOKUP(INDIRECT(ADDRESS(2,COLUMN())),OFFSET($BN$2,0,0,ROW()-1,60),ROW()-1,FALSE))</f>
        <v/>
      </c>
      <c r="AY98" t="str">
        <f ca="1">IF(AND(ISNUMBER($AY$770),$B$677=1),$AY$770,HLOOKUP(INDIRECT(ADDRESS(2,COLUMN())),OFFSET($BN$2,0,0,ROW()-1,60),ROW()-1,FALSE))</f>
        <v/>
      </c>
      <c r="AZ98" t="str">
        <f ca="1">IF(AND(ISNUMBER($AZ$770),$B$677=1),$AZ$770,HLOOKUP(INDIRECT(ADDRESS(2,COLUMN())),OFFSET($BN$2,0,0,ROW()-1,60),ROW()-1,FALSE))</f>
        <v/>
      </c>
      <c r="BA98" t="str">
        <f ca="1">IF(AND(ISNUMBER($BA$770),$B$677=1),$BA$770,HLOOKUP(INDIRECT(ADDRESS(2,COLUMN())),OFFSET($BN$2,0,0,ROW()-1,60),ROW()-1,FALSE))</f>
        <v/>
      </c>
      <c r="BB98" t="str">
        <f ca="1">IF(AND(ISNUMBER($BB$770),$B$677=1),$BB$770,HLOOKUP(INDIRECT(ADDRESS(2,COLUMN())),OFFSET($BN$2,0,0,ROW()-1,60),ROW()-1,FALSE))</f>
        <v/>
      </c>
      <c r="BC98" t="str">
        <f ca="1">IF(AND(ISNUMBER($BC$770),$B$677=1),$BC$770,HLOOKUP(INDIRECT(ADDRESS(2,COLUMN())),OFFSET($BN$2,0,0,ROW()-1,60),ROW()-1,FALSE))</f>
        <v/>
      </c>
      <c r="BD98" t="str">
        <f ca="1">IF(AND(ISNUMBER($BD$770),$B$677=1),$BD$770,HLOOKUP(INDIRECT(ADDRESS(2,COLUMN())),OFFSET($BN$2,0,0,ROW()-1,60),ROW()-1,FALSE))</f>
        <v/>
      </c>
      <c r="BE98" t="str">
        <f ca="1">IF(AND(ISNUMBER($BE$770),$B$677=1),$BE$770,HLOOKUP(INDIRECT(ADDRESS(2,COLUMN())),OFFSET($BN$2,0,0,ROW()-1,60),ROW()-1,FALSE))</f>
        <v/>
      </c>
      <c r="BF98" t="str">
        <f ca="1">IF(AND(ISNUMBER($BF$770),$B$677=1),$BF$770,HLOOKUP(INDIRECT(ADDRESS(2,COLUMN())),OFFSET($BN$2,0,0,ROW()-1,60),ROW()-1,FALSE))</f>
        <v/>
      </c>
      <c r="BG98" t="str">
        <f ca="1">IF(AND(ISNUMBER($BG$770),$B$677=1),$BG$770,HLOOKUP(INDIRECT(ADDRESS(2,COLUMN())),OFFSET($BN$2,0,0,ROW()-1,60),ROW()-1,FALSE))</f>
        <v/>
      </c>
      <c r="BH98" t="str">
        <f ca="1">IF(AND(ISNUMBER($BH$770),$B$677=1),$BH$770,HLOOKUP(INDIRECT(ADDRESS(2,COLUMN())),OFFSET($BN$2,0,0,ROW()-1,60),ROW()-1,FALSE))</f>
        <v/>
      </c>
      <c r="BI98" t="str">
        <f ca="1">IF(AND(ISNUMBER($BI$770),$B$677=1),$BI$770,HLOOKUP(INDIRECT(ADDRESS(2,COLUMN())),OFFSET($BN$2,0,0,ROW()-1,60),ROW()-1,FALSE))</f>
        <v/>
      </c>
      <c r="BJ98" t="str">
        <f ca="1">IF(AND(ISNUMBER($BJ$770),$B$677=1),$BJ$770,HLOOKUP(INDIRECT(ADDRESS(2,COLUMN())),OFFSET($BN$2,0,0,ROW()-1,60),ROW()-1,FALSE))</f>
        <v/>
      </c>
      <c r="BK98" t="str">
        <f ca="1">IF(AND(ISNUMBER($BK$770),$B$677=1),$BK$770,HLOOKUP(INDIRECT(ADDRESS(2,COLUMN())),OFFSET($BN$2,0,0,ROW()-1,60),ROW()-1,FALSE))</f>
        <v/>
      </c>
      <c r="BL98" t="str">
        <f ca="1">IF(AND(ISNUMBER($BL$770),$B$677=1),$BL$770,HLOOKUP(INDIRECT(ADDRESS(2,COLUMN())),OFFSET($BN$2,0,0,ROW()-1,60),ROW()-1,FALSE))</f>
        <v/>
      </c>
      <c r="BM98" t="str">
        <f ca="1">IF(AND(ISNUMBER($BM$770),$B$677=1),$BM$770,HLOOKUP(INDIRECT(ADDRESS(2,COLUMN())),OFFSET($BN$2,0,0,ROW()-1,60),ROW()-1,FALSE))</f>
        <v/>
      </c>
      <c r="BN98">
        <f>4.109130203</f>
        <v>4.1091302030000003</v>
      </c>
      <c r="BO98">
        <f>3.597326336</f>
        <v>3.5973263360000001</v>
      </c>
      <c r="BP98">
        <f>4.109193691</f>
        <v>4.1091936909999998</v>
      </c>
      <c r="BQ98">
        <f>4.270617815</f>
        <v>4.2706178149999996</v>
      </c>
      <c r="BR98">
        <f>4.783708535</f>
        <v>4.7837085349999997</v>
      </c>
      <c r="BS98">
        <f>5.627402726</f>
        <v>5.6274027259999997</v>
      </c>
      <c r="BT98">
        <f>6.583127235</f>
        <v>6.5831272350000001</v>
      </c>
      <c r="BU98">
        <f>4.032008763</f>
        <v>4.0320087630000003</v>
      </c>
      <c r="BV98">
        <f>4.452208314</f>
        <v>4.4522083139999999</v>
      </c>
      <c r="BW98">
        <f>3.564428452</f>
        <v>3.564428452</v>
      </c>
      <c r="BX98">
        <f>2.217912695</f>
        <v>2.2179126949999999</v>
      </c>
      <c r="BY98">
        <f>19.7391338</f>
        <v>19.739133800000001</v>
      </c>
      <c r="BZ98">
        <f>11.55170672</f>
        <v>11.55170672</v>
      </c>
      <c r="CA98">
        <f>12.555163</f>
        <v>12.555163</v>
      </c>
      <c r="CB98">
        <f>5.145661517</f>
        <v>5.1456615169999997</v>
      </c>
      <c r="CC98" t="str">
        <f>""</f>
        <v/>
      </c>
      <c r="CD98" t="str">
        <f>""</f>
        <v/>
      </c>
      <c r="CE98" t="str">
        <f>""</f>
        <v/>
      </c>
      <c r="CF98" t="str">
        <f>""</f>
        <v/>
      </c>
      <c r="CG98" t="str">
        <f>""</f>
        <v/>
      </c>
      <c r="CH98" t="str">
        <f>""</f>
        <v/>
      </c>
      <c r="CI98" t="str">
        <f>""</f>
        <v/>
      </c>
      <c r="CJ98" t="str">
        <f>""</f>
        <v/>
      </c>
      <c r="CK98" t="str">
        <f>""</f>
        <v/>
      </c>
      <c r="CL98" t="str">
        <f>""</f>
        <v/>
      </c>
      <c r="CM98" t="str">
        <f>""</f>
        <v/>
      </c>
      <c r="CN98" t="str">
        <f>""</f>
        <v/>
      </c>
      <c r="CO98" t="str">
        <f>""</f>
        <v/>
      </c>
      <c r="CP98" t="str">
        <f>""</f>
        <v/>
      </c>
      <c r="CQ98" t="str">
        <f>""</f>
        <v/>
      </c>
      <c r="CR98" t="str">
        <f>""</f>
        <v/>
      </c>
      <c r="CS98" t="str">
        <f>""</f>
        <v/>
      </c>
      <c r="CT98" t="str">
        <f>""</f>
        <v/>
      </c>
      <c r="CU98" t="str">
        <f>""</f>
        <v/>
      </c>
      <c r="CV98" t="str">
        <f>""</f>
        <v/>
      </c>
      <c r="CW98" t="str">
        <f>""</f>
        <v/>
      </c>
      <c r="CX98" t="str">
        <f>""</f>
        <v/>
      </c>
      <c r="CY98" t="str">
        <f>""</f>
        <v/>
      </c>
      <c r="CZ98" t="str">
        <f>""</f>
        <v/>
      </c>
      <c r="DA98" t="str">
        <f>""</f>
        <v/>
      </c>
      <c r="DB98" t="str">
        <f>""</f>
        <v/>
      </c>
      <c r="DC98" t="str">
        <f>""</f>
        <v/>
      </c>
      <c r="DD98" t="str">
        <f>""</f>
        <v/>
      </c>
      <c r="DE98" t="str">
        <f>""</f>
        <v/>
      </c>
      <c r="DF98" t="str">
        <f>""</f>
        <v/>
      </c>
      <c r="DG98" t="str">
        <f>""</f>
        <v/>
      </c>
      <c r="DH98" t="str">
        <f>""</f>
        <v/>
      </c>
      <c r="DI98" t="str">
        <f>""</f>
        <v/>
      </c>
      <c r="DJ98" t="str">
        <f>""</f>
        <v/>
      </c>
      <c r="DK98" t="str">
        <f>""</f>
        <v/>
      </c>
      <c r="DL98" t="str">
        <f>""</f>
        <v/>
      </c>
      <c r="DM98" t="str">
        <f>""</f>
        <v/>
      </c>
      <c r="DN98" t="str">
        <f>""</f>
        <v/>
      </c>
      <c r="DO98" t="str">
        <f>""</f>
        <v/>
      </c>
      <c r="DP98" t="str">
        <f>""</f>
        <v/>
      </c>
      <c r="DQ98" t="str">
        <f>""</f>
        <v/>
      </c>
      <c r="DR98" t="str">
        <f>""</f>
        <v/>
      </c>
      <c r="DS98" t="str">
        <f>""</f>
        <v/>
      </c>
      <c r="DT98" t="str">
        <f>""</f>
        <v/>
      </c>
      <c r="DU98" t="str">
        <f>""</f>
        <v/>
      </c>
    </row>
    <row r="99" spans="1:125" x14ac:dyDescent="0.25">
      <c r="A99" t="str">
        <f>"    Ford Motor Co"</f>
        <v xml:space="preserve">    Ford Motor Co</v>
      </c>
      <c r="B99" t="str">
        <f>"F US Equity"</f>
        <v>F US Equity</v>
      </c>
      <c r="C99" t="str">
        <f t="shared" si="6"/>
        <v>EZ010</v>
      </c>
      <c r="D99" t="str">
        <f t="shared" si="7"/>
        <v>BEST_EST_PE_NXT_YR</v>
      </c>
      <c r="E99" t="str">
        <f t="shared" si="8"/>
        <v>Dynamic</v>
      </c>
      <c r="F99">
        <f ca="1">IF(AND(ISNUMBER($F$771),$B$677=1),$F$771,HLOOKUP(INDIRECT(ADDRESS(2,COLUMN())),OFFSET($BN$2,0,0,ROW()-1,60),ROW()-1,FALSE))</f>
        <v>6.5378788749999996</v>
      </c>
      <c r="G99">
        <f ca="1">IF(AND(ISNUMBER($G$771),$B$677=1),$G$771,HLOOKUP(INDIRECT(ADDRESS(2,COLUMN())),OFFSET($BN$2,0,0,ROW()-1,60),ROW()-1,FALSE))</f>
        <v>4.9546632119999998</v>
      </c>
      <c r="H99">
        <f ca="1">IF(AND(ISNUMBER($H$771),$B$677=1),$H$771,HLOOKUP(INDIRECT(ADDRESS(2,COLUMN())),OFFSET($BN$2,0,0,ROW()-1,60),ROW()-1,FALSE))</f>
        <v>5.8804831530000001</v>
      </c>
      <c r="I99">
        <f ca="1">IF(AND(ISNUMBER($I$771),$B$677=1),$I$771,HLOOKUP(INDIRECT(ADDRESS(2,COLUMN())),OFFSET($BN$2,0,0,ROW()-1,60),ROW()-1,FALSE))</f>
        <v>6.6486486490000001</v>
      </c>
      <c r="J99">
        <f ca="1">IF(AND(ISNUMBER($J$771),$B$677=1),$J$771,HLOOKUP(INDIRECT(ADDRESS(2,COLUMN())),OFFSET($BN$2,0,0,ROW()-1,60),ROW()-1,FALSE))</f>
        <v>7.0259987319999997</v>
      </c>
      <c r="K99">
        <f ca="1">IF(AND(ISNUMBER($K$771),$B$677=1),$K$771,HLOOKUP(INDIRECT(ADDRESS(2,COLUMN())),OFFSET($BN$2,0,0,ROW()-1,60),ROW()-1,FALSE))</f>
        <v>7.6767055930000003</v>
      </c>
      <c r="L99">
        <f ca="1">IF(AND(ISNUMBER($L$771),$B$677=1),$L$771,HLOOKUP(INDIRECT(ADDRESS(2,COLUMN())),OFFSET($BN$2,0,0,ROW()-1,60),ROW()-1,FALSE))</f>
        <v>7.2854534390000003</v>
      </c>
      <c r="M99">
        <f ca="1">IF(AND(ISNUMBER($M$771),$B$677=1),$M$771,HLOOKUP(INDIRECT(ADDRESS(2,COLUMN())),OFFSET($BN$2,0,0,ROW()-1,60),ROW()-1,FALSE))</f>
        <v>6.0486486490000004</v>
      </c>
      <c r="N99">
        <f ca="1">IF(AND(ISNUMBER($N$771),$B$677=1),$N$771,HLOOKUP(INDIRECT(ADDRESS(2,COLUMN())),OFFSET($BN$2,0,0,ROW()-1,60),ROW()-1,FALSE))</f>
        <v>5.9692307690000002</v>
      </c>
      <c r="O99">
        <f ca="1">IF(AND(ISNUMBER($O$771),$B$677=1),$O$771,HLOOKUP(INDIRECT(ADDRESS(2,COLUMN())),OFFSET($BN$2,0,0,ROW()-1,60),ROW()-1,FALSE))</f>
        <v>6.3507853399999998</v>
      </c>
      <c r="P99">
        <f ca="1">IF(AND(ISNUMBER($P$771),$B$677=1),$P$771,HLOOKUP(INDIRECT(ADDRESS(2,COLUMN())),OFFSET($BN$2,0,0,ROW()-1,60),ROW()-1,FALSE))</f>
        <v>6.0099009900000002</v>
      </c>
      <c r="Q99" t="str">
        <f ca="1">IF(AND(ISNUMBER($Q$771),$B$677=1),$Q$771,HLOOKUP(INDIRECT(ADDRESS(2,COLUMN())),OFFSET($BN$2,0,0,ROW()-1,60),ROW()-1,FALSE))</f>
        <v/>
      </c>
      <c r="R99" t="str">
        <f ca="1">IF(AND(ISNUMBER($R$771),$B$677=1),$R$771,HLOOKUP(INDIRECT(ADDRESS(2,COLUMN())),OFFSET($BN$2,0,0,ROW()-1,60),ROW()-1,FALSE))</f>
        <v/>
      </c>
      <c r="S99" t="str">
        <f ca="1">IF(AND(ISNUMBER($S$771),$B$677=1),$S$771,HLOOKUP(INDIRECT(ADDRESS(2,COLUMN())),OFFSET($BN$2,0,0,ROW()-1,60),ROW()-1,FALSE))</f>
        <v/>
      </c>
      <c r="T99" t="str">
        <f ca="1">IF(AND(ISNUMBER($T$771),$B$677=1),$T$771,HLOOKUP(INDIRECT(ADDRESS(2,COLUMN())),OFFSET($BN$2,0,0,ROW()-1,60),ROW()-1,FALSE))</f>
        <v/>
      </c>
      <c r="U99" t="str">
        <f ca="1">IF(AND(ISNUMBER($U$771),$B$677=1),$U$771,HLOOKUP(INDIRECT(ADDRESS(2,COLUMN())),OFFSET($BN$2,0,0,ROW()-1,60),ROW()-1,FALSE))</f>
        <v/>
      </c>
      <c r="V99" t="str">
        <f ca="1">IF(AND(ISNUMBER($V$771),$B$677=1),$V$771,HLOOKUP(INDIRECT(ADDRESS(2,COLUMN())),OFFSET($BN$2,0,0,ROW()-1,60),ROW()-1,FALSE))</f>
        <v/>
      </c>
      <c r="W99" t="str">
        <f ca="1">IF(AND(ISNUMBER($W$771),$B$677=1),$W$771,HLOOKUP(INDIRECT(ADDRESS(2,COLUMN())),OFFSET($BN$2,0,0,ROW()-1,60),ROW()-1,FALSE))</f>
        <v/>
      </c>
      <c r="X99" t="str">
        <f ca="1">IF(AND(ISNUMBER($X$771),$B$677=1),$X$771,HLOOKUP(INDIRECT(ADDRESS(2,COLUMN())),OFFSET($BN$2,0,0,ROW()-1,60),ROW()-1,FALSE))</f>
        <v/>
      </c>
      <c r="Y99" t="str">
        <f ca="1">IF(AND(ISNUMBER($Y$771),$B$677=1),$Y$771,HLOOKUP(INDIRECT(ADDRESS(2,COLUMN())),OFFSET($BN$2,0,0,ROW()-1,60),ROW()-1,FALSE))</f>
        <v/>
      </c>
      <c r="Z99" t="str">
        <f ca="1">IF(AND(ISNUMBER($Z$771),$B$677=1),$Z$771,HLOOKUP(INDIRECT(ADDRESS(2,COLUMN())),OFFSET($BN$2,0,0,ROW()-1,60),ROW()-1,FALSE))</f>
        <v/>
      </c>
      <c r="AA99" t="str">
        <f ca="1">IF(AND(ISNUMBER($AA$771),$B$677=1),$AA$771,HLOOKUP(INDIRECT(ADDRESS(2,COLUMN())),OFFSET($BN$2,0,0,ROW()-1,60),ROW()-1,FALSE))</f>
        <v/>
      </c>
      <c r="AB99" t="str">
        <f ca="1">IF(AND(ISNUMBER($AB$771),$B$677=1),$AB$771,HLOOKUP(INDIRECT(ADDRESS(2,COLUMN())),OFFSET($BN$2,0,0,ROW()-1,60),ROW()-1,FALSE))</f>
        <v/>
      </c>
      <c r="AC99" t="str">
        <f ca="1">IF(AND(ISNUMBER($AC$771),$B$677=1),$AC$771,HLOOKUP(INDIRECT(ADDRESS(2,COLUMN())),OFFSET($BN$2,0,0,ROW()-1,60),ROW()-1,FALSE))</f>
        <v/>
      </c>
      <c r="AD99" t="str">
        <f ca="1">IF(AND(ISNUMBER($AD$771),$B$677=1),$AD$771,HLOOKUP(INDIRECT(ADDRESS(2,COLUMN())),OFFSET($BN$2,0,0,ROW()-1,60),ROW()-1,FALSE))</f>
        <v/>
      </c>
      <c r="AE99" t="str">
        <f ca="1">IF(AND(ISNUMBER($AE$771),$B$677=1),$AE$771,HLOOKUP(INDIRECT(ADDRESS(2,COLUMN())),OFFSET($BN$2,0,0,ROW()-1,60),ROW()-1,FALSE))</f>
        <v/>
      </c>
      <c r="AF99" t="str">
        <f ca="1">IF(AND(ISNUMBER($AF$771),$B$677=1),$AF$771,HLOOKUP(INDIRECT(ADDRESS(2,COLUMN())),OFFSET($BN$2,0,0,ROW()-1,60),ROW()-1,FALSE))</f>
        <v/>
      </c>
      <c r="AG99" t="str">
        <f ca="1">IF(AND(ISNUMBER($AG$771),$B$677=1),$AG$771,HLOOKUP(INDIRECT(ADDRESS(2,COLUMN())),OFFSET($BN$2,0,0,ROW()-1,60),ROW()-1,FALSE))</f>
        <v/>
      </c>
      <c r="AH99" t="str">
        <f ca="1">IF(AND(ISNUMBER($AH$771),$B$677=1),$AH$771,HLOOKUP(INDIRECT(ADDRESS(2,COLUMN())),OFFSET($BN$2,0,0,ROW()-1,60),ROW()-1,FALSE))</f>
        <v/>
      </c>
      <c r="AI99" t="str">
        <f ca="1">IF(AND(ISNUMBER($AI$771),$B$677=1),$AI$771,HLOOKUP(INDIRECT(ADDRESS(2,COLUMN())),OFFSET($BN$2,0,0,ROW()-1,60),ROW()-1,FALSE))</f>
        <v/>
      </c>
      <c r="AJ99" t="str">
        <f ca="1">IF(AND(ISNUMBER($AJ$771),$B$677=1),$AJ$771,HLOOKUP(INDIRECT(ADDRESS(2,COLUMN())),OFFSET($BN$2,0,0,ROW()-1,60),ROW()-1,FALSE))</f>
        <v/>
      </c>
      <c r="AK99" t="str">
        <f ca="1">IF(AND(ISNUMBER($AK$771),$B$677=1),$AK$771,HLOOKUP(INDIRECT(ADDRESS(2,COLUMN())),OFFSET($BN$2,0,0,ROW()-1,60),ROW()-1,FALSE))</f>
        <v/>
      </c>
      <c r="AL99" t="str">
        <f ca="1">IF(AND(ISNUMBER($AL$771),$B$677=1),$AL$771,HLOOKUP(INDIRECT(ADDRESS(2,COLUMN())),OFFSET($BN$2,0,0,ROW()-1,60),ROW()-1,FALSE))</f>
        <v/>
      </c>
      <c r="AM99" t="str">
        <f ca="1">IF(AND(ISNUMBER($AM$771),$B$677=1),$AM$771,HLOOKUP(INDIRECT(ADDRESS(2,COLUMN())),OFFSET($BN$2,0,0,ROW()-1,60),ROW()-1,FALSE))</f>
        <v/>
      </c>
      <c r="AN99" t="str">
        <f ca="1">IF(AND(ISNUMBER($AN$771),$B$677=1),$AN$771,HLOOKUP(INDIRECT(ADDRESS(2,COLUMN())),OFFSET($BN$2,0,0,ROW()-1,60),ROW()-1,FALSE))</f>
        <v/>
      </c>
      <c r="AO99" t="str">
        <f ca="1">IF(AND(ISNUMBER($AO$771),$B$677=1),$AO$771,HLOOKUP(INDIRECT(ADDRESS(2,COLUMN())),OFFSET($BN$2,0,0,ROW()-1,60),ROW()-1,FALSE))</f>
        <v/>
      </c>
      <c r="AP99" t="str">
        <f ca="1">IF(AND(ISNUMBER($AP$771),$B$677=1),$AP$771,HLOOKUP(INDIRECT(ADDRESS(2,COLUMN())),OFFSET($BN$2,0,0,ROW()-1,60),ROW()-1,FALSE))</f>
        <v/>
      </c>
      <c r="AQ99" t="str">
        <f ca="1">IF(AND(ISNUMBER($AQ$771),$B$677=1),$AQ$771,HLOOKUP(INDIRECT(ADDRESS(2,COLUMN())),OFFSET($BN$2,0,0,ROW()-1,60),ROW()-1,FALSE))</f>
        <v/>
      </c>
      <c r="AR99" t="str">
        <f ca="1">IF(AND(ISNUMBER($AR$771),$B$677=1),$AR$771,HLOOKUP(INDIRECT(ADDRESS(2,COLUMN())),OFFSET($BN$2,0,0,ROW()-1,60),ROW()-1,FALSE))</f>
        <v/>
      </c>
      <c r="AS99" t="str">
        <f ca="1">IF(AND(ISNUMBER($AS$771),$B$677=1),$AS$771,HLOOKUP(INDIRECT(ADDRESS(2,COLUMN())),OFFSET($BN$2,0,0,ROW()-1,60),ROW()-1,FALSE))</f>
        <v/>
      </c>
      <c r="AT99" t="str">
        <f ca="1">IF(AND(ISNUMBER($AT$771),$B$677=1),$AT$771,HLOOKUP(INDIRECT(ADDRESS(2,COLUMN())),OFFSET($BN$2,0,0,ROW()-1,60),ROW()-1,FALSE))</f>
        <v/>
      </c>
      <c r="AU99" t="str">
        <f ca="1">IF(AND(ISNUMBER($AU$771),$B$677=1),$AU$771,HLOOKUP(INDIRECT(ADDRESS(2,COLUMN())),OFFSET($BN$2,0,0,ROW()-1,60),ROW()-1,FALSE))</f>
        <v/>
      </c>
      <c r="AV99" t="str">
        <f ca="1">IF(AND(ISNUMBER($AV$771),$B$677=1),$AV$771,HLOOKUP(INDIRECT(ADDRESS(2,COLUMN())),OFFSET($BN$2,0,0,ROW()-1,60),ROW()-1,FALSE))</f>
        <v/>
      </c>
      <c r="AW99" t="str">
        <f ca="1">IF(AND(ISNUMBER($AW$771),$B$677=1),$AW$771,HLOOKUP(INDIRECT(ADDRESS(2,COLUMN())),OFFSET($BN$2,0,0,ROW()-1,60),ROW()-1,FALSE))</f>
        <v/>
      </c>
      <c r="AX99" t="str">
        <f ca="1">IF(AND(ISNUMBER($AX$771),$B$677=1),$AX$771,HLOOKUP(INDIRECT(ADDRESS(2,COLUMN())),OFFSET($BN$2,0,0,ROW()-1,60),ROW()-1,FALSE))</f>
        <v/>
      </c>
      <c r="AY99" t="str">
        <f ca="1">IF(AND(ISNUMBER($AY$771),$B$677=1),$AY$771,HLOOKUP(INDIRECT(ADDRESS(2,COLUMN())),OFFSET($BN$2,0,0,ROW()-1,60),ROW()-1,FALSE))</f>
        <v/>
      </c>
      <c r="AZ99" t="str">
        <f ca="1">IF(AND(ISNUMBER($AZ$771),$B$677=1),$AZ$771,HLOOKUP(INDIRECT(ADDRESS(2,COLUMN())),OFFSET($BN$2,0,0,ROW()-1,60),ROW()-1,FALSE))</f>
        <v/>
      </c>
      <c r="BA99" t="str">
        <f ca="1">IF(AND(ISNUMBER($BA$771),$B$677=1),$BA$771,HLOOKUP(INDIRECT(ADDRESS(2,COLUMN())),OFFSET($BN$2,0,0,ROW()-1,60),ROW()-1,FALSE))</f>
        <v/>
      </c>
      <c r="BB99" t="str">
        <f ca="1">IF(AND(ISNUMBER($BB$771),$B$677=1),$BB$771,HLOOKUP(INDIRECT(ADDRESS(2,COLUMN())),OFFSET($BN$2,0,0,ROW()-1,60),ROW()-1,FALSE))</f>
        <v/>
      </c>
      <c r="BC99" t="str">
        <f ca="1">IF(AND(ISNUMBER($BC$771),$B$677=1),$BC$771,HLOOKUP(INDIRECT(ADDRESS(2,COLUMN())),OFFSET($BN$2,0,0,ROW()-1,60),ROW()-1,FALSE))</f>
        <v/>
      </c>
      <c r="BD99" t="str">
        <f ca="1">IF(AND(ISNUMBER($BD$771),$B$677=1),$BD$771,HLOOKUP(INDIRECT(ADDRESS(2,COLUMN())),OFFSET($BN$2,0,0,ROW()-1,60),ROW()-1,FALSE))</f>
        <v/>
      </c>
      <c r="BE99" t="str">
        <f ca="1">IF(AND(ISNUMBER($BE$771),$B$677=1),$BE$771,HLOOKUP(INDIRECT(ADDRESS(2,COLUMN())),OFFSET($BN$2,0,0,ROW()-1,60),ROW()-1,FALSE))</f>
        <v/>
      </c>
      <c r="BF99" t="str">
        <f ca="1">IF(AND(ISNUMBER($BF$771),$B$677=1),$BF$771,HLOOKUP(INDIRECT(ADDRESS(2,COLUMN())),OFFSET($BN$2,0,0,ROW()-1,60),ROW()-1,FALSE))</f>
        <v/>
      </c>
      <c r="BG99" t="str">
        <f ca="1">IF(AND(ISNUMBER($BG$771),$B$677=1),$BG$771,HLOOKUP(INDIRECT(ADDRESS(2,COLUMN())),OFFSET($BN$2,0,0,ROW()-1,60),ROW()-1,FALSE))</f>
        <v/>
      </c>
      <c r="BH99" t="str">
        <f ca="1">IF(AND(ISNUMBER($BH$771),$B$677=1),$BH$771,HLOOKUP(INDIRECT(ADDRESS(2,COLUMN())),OFFSET($BN$2,0,0,ROW()-1,60),ROW()-1,FALSE))</f>
        <v/>
      </c>
      <c r="BI99" t="str">
        <f ca="1">IF(AND(ISNUMBER($BI$771),$B$677=1),$BI$771,HLOOKUP(INDIRECT(ADDRESS(2,COLUMN())),OFFSET($BN$2,0,0,ROW()-1,60),ROW()-1,FALSE))</f>
        <v/>
      </c>
      <c r="BJ99" t="str">
        <f ca="1">IF(AND(ISNUMBER($BJ$771),$B$677=1),$BJ$771,HLOOKUP(INDIRECT(ADDRESS(2,COLUMN())),OFFSET($BN$2,0,0,ROW()-1,60),ROW()-1,FALSE))</f>
        <v/>
      </c>
      <c r="BK99" t="str">
        <f ca="1">IF(AND(ISNUMBER($BK$771),$B$677=1),$BK$771,HLOOKUP(INDIRECT(ADDRESS(2,COLUMN())),OFFSET($BN$2,0,0,ROW()-1,60),ROW()-1,FALSE))</f>
        <v/>
      </c>
      <c r="BL99" t="str">
        <f ca="1">IF(AND(ISNUMBER($BL$771),$B$677=1),$BL$771,HLOOKUP(INDIRECT(ADDRESS(2,COLUMN())),OFFSET($BN$2,0,0,ROW()-1,60),ROW()-1,FALSE))</f>
        <v/>
      </c>
      <c r="BM99" t="str">
        <f ca="1">IF(AND(ISNUMBER($BM$771),$B$677=1),$BM$771,HLOOKUP(INDIRECT(ADDRESS(2,COLUMN())),OFFSET($BN$2,0,0,ROW()-1,60),ROW()-1,FALSE))</f>
        <v/>
      </c>
      <c r="BN99">
        <f>6.537878875</f>
        <v>6.5378788749999996</v>
      </c>
      <c r="BO99">
        <f>4.954663212</f>
        <v>4.9546632119999998</v>
      </c>
      <c r="BP99">
        <f>5.880483153</f>
        <v>5.8804831530000001</v>
      </c>
      <c r="BQ99">
        <f>6.648648649</f>
        <v>6.6486486490000001</v>
      </c>
      <c r="BR99">
        <f>7.025998732</f>
        <v>7.0259987319999997</v>
      </c>
      <c r="BS99">
        <f>7.676705593</f>
        <v>7.6767055930000003</v>
      </c>
      <c r="BT99">
        <f>7.285453439</f>
        <v>7.2854534390000003</v>
      </c>
      <c r="BU99">
        <f>6.048648649</f>
        <v>6.0486486490000004</v>
      </c>
      <c r="BV99">
        <f>5.969230769</f>
        <v>5.9692307690000002</v>
      </c>
      <c r="BW99">
        <f>6.35078534</f>
        <v>6.3507853399999998</v>
      </c>
      <c r="BX99">
        <f>6.00990099</f>
        <v>6.0099009900000002</v>
      </c>
      <c r="BY99" t="str">
        <f>""</f>
        <v/>
      </c>
      <c r="BZ99" t="str">
        <f>""</f>
        <v/>
      </c>
      <c r="CA99" t="str">
        <f>""</f>
        <v/>
      </c>
      <c r="CB99" t="str">
        <f>""</f>
        <v/>
      </c>
      <c r="CC99" t="str">
        <f>""</f>
        <v/>
      </c>
      <c r="CD99" t="str">
        <f>""</f>
        <v/>
      </c>
      <c r="CE99" t="str">
        <f>""</f>
        <v/>
      </c>
      <c r="CF99" t="str">
        <f>""</f>
        <v/>
      </c>
      <c r="CG99" t="str">
        <f>""</f>
        <v/>
      </c>
      <c r="CH99" t="str">
        <f>""</f>
        <v/>
      </c>
      <c r="CI99" t="str">
        <f>""</f>
        <v/>
      </c>
      <c r="CJ99" t="str">
        <f>""</f>
        <v/>
      </c>
      <c r="CK99" t="str">
        <f>""</f>
        <v/>
      </c>
      <c r="CL99" t="str">
        <f>""</f>
        <v/>
      </c>
      <c r="CM99" t="str">
        <f>""</f>
        <v/>
      </c>
      <c r="CN99" t="str">
        <f>""</f>
        <v/>
      </c>
      <c r="CO99" t="str">
        <f>""</f>
        <v/>
      </c>
      <c r="CP99" t="str">
        <f>""</f>
        <v/>
      </c>
      <c r="CQ99" t="str">
        <f>""</f>
        <v/>
      </c>
      <c r="CR99" t="str">
        <f>""</f>
        <v/>
      </c>
      <c r="CS99" t="str">
        <f>""</f>
        <v/>
      </c>
      <c r="CT99" t="str">
        <f>""</f>
        <v/>
      </c>
      <c r="CU99" t="str">
        <f>""</f>
        <v/>
      </c>
      <c r="CV99" t="str">
        <f>""</f>
        <v/>
      </c>
      <c r="CW99" t="str">
        <f>""</f>
        <v/>
      </c>
      <c r="CX99" t="str">
        <f>""</f>
        <v/>
      </c>
      <c r="CY99" t="str">
        <f>""</f>
        <v/>
      </c>
      <c r="CZ99" t="str">
        <f>""</f>
        <v/>
      </c>
      <c r="DA99" t="str">
        <f>""</f>
        <v/>
      </c>
      <c r="DB99" t="str">
        <f>""</f>
        <v/>
      </c>
      <c r="DC99" t="str">
        <f>""</f>
        <v/>
      </c>
      <c r="DD99" t="str">
        <f>""</f>
        <v/>
      </c>
      <c r="DE99" t="str">
        <f>""</f>
        <v/>
      </c>
      <c r="DF99" t="str">
        <f>""</f>
        <v/>
      </c>
      <c r="DG99" t="str">
        <f>""</f>
        <v/>
      </c>
      <c r="DH99" t="str">
        <f>""</f>
        <v/>
      </c>
      <c r="DI99" t="str">
        <f>""</f>
        <v/>
      </c>
      <c r="DJ99" t="str">
        <f>""</f>
        <v/>
      </c>
      <c r="DK99" t="str">
        <f>""</f>
        <v/>
      </c>
      <c r="DL99" t="str">
        <f>""</f>
        <v/>
      </c>
      <c r="DM99" t="str">
        <f>""</f>
        <v/>
      </c>
      <c r="DN99" t="str">
        <f>""</f>
        <v/>
      </c>
      <c r="DO99" t="str">
        <f>""</f>
        <v/>
      </c>
      <c r="DP99" t="str">
        <f>""</f>
        <v/>
      </c>
      <c r="DQ99" t="str">
        <f>""</f>
        <v/>
      </c>
      <c r="DR99" t="str">
        <f>""</f>
        <v/>
      </c>
      <c r="DS99" t="str">
        <f>""</f>
        <v/>
      </c>
      <c r="DT99" t="str">
        <f>""</f>
        <v/>
      </c>
      <c r="DU99" t="str">
        <f>""</f>
        <v/>
      </c>
    </row>
    <row r="100" spans="1:125" x14ac:dyDescent="0.25">
      <c r="A100" t="str">
        <f>"    Ford Otomotiv Sanayi AS"</f>
        <v xml:space="preserve">    Ford Otomotiv Sanayi AS</v>
      </c>
      <c r="B100" t="str">
        <f>"FROTOTRY EO Equity"</f>
        <v>FROTOTRY EO Equity</v>
      </c>
      <c r="C100" t="str">
        <f t="shared" si="6"/>
        <v>EZ010</v>
      </c>
      <c r="D100" t="str">
        <f t="shared" si="7"/>
        <v>BEST_EST_PE_NXT_YR</v>
      </c>
      <c r="E100" t="str">
        <f t="shared" si="8"/>
        <v>Dynamic</v>
      </c>
      <c r="F100" t="str">
        <f ca="1">IF(AND(ISNUMBER($F$772),$B$677=1),$F$772,HLOOKUP(INDIRECT(ADDRESS(2,COLUMN())),OFFSET($BN$2,0,0,ROW()-1,60),ROW()-1,FALSE))</f>
        <v/>
      </c>
      <c r="G100" t="str">
        <f ca="1">IF(AND(ISNUMBER($G$772),$B$677=1),$G$772,HLOOKUP(INDIRECT(ADDRESS(2,COLUMN())),OFFSET($BN$2,0,0,ROW()-1,60),ROW()-1,FALSE))</f>
        <v/>
      </c>
      <c r="H100" t="str">
        <f ca="1">IF(AND(ISNUMBER($H$772),$B$677=1),$H$772,HLOOKUP(INDIRECT(ADDRESS(2,COLUMN())),OFFSET($BN$2,0,0,ROW()-1,60),ROW()-1,FALSE))</f>
        <v/>
      </c>
      <c r="I100" t="str">
        <f ca="1">IF(AND(ISNUMBER($I$772),$B$677=1),$I$772,HLOOKUP(INDIRECT(ADDRESS(2,COLUMN())),OFFSET($BN$2,0,0,ROW()-1,60),ROW()-1,FALSE))</f>
        <v/>
      </c>
      <c r="J100" t="str">
        <f ca="1">IF(AND(ISNUMBER($J$772),$B$677=1),$J$772,HLOOKUP(INDIRECT(ADDRESS(2,COLUMN())),OFFSET($BN$2,0,0,ROW()-1,60),ROW()-1,FALSE))</f>
        <v/>
      </c>
      <c r="K100" t="str">
        <f ca="1">IF(AND(ISNUMBER($K$772),$B$677=1),$K$772,HLOOKUP(INDIRECT(ADDRESS(2,COLUMN())),OFFSET($BN$2,0,0,ROW()-1,60),ROW()-1,FALSE))</f>
        <v/>
      </c>
      <c r="L100" t="str">
        <f ca="1">IF(AND(ISNUMBER($L$772),$B$677=1),$L$772,HLOOKUP(INDIRECT(ADDRESS(2,COLUMN())),OFFSET($BN$2,0,0,ROW()-1,60),ROW()-1,FALSE))</f>
        <v/>
      </c>
      <c r="M100" t="str">
        <f ca="1">IF(AND(ISNUMBER($M$772),$B$677=1),$M$772,HLOOKUP(INDIRECT(ADDRESS(2,COLUMN())),OFFSET($BN$2,0,0,ROW()-1,60),ROW()-1,FALSE))</f>
        <v/>
      </c>
      <c r="N100" t="str">
        <f ca="1">IF(AND(ISNUMBER($N$772),$B$677=1),$N$772,HLOOKUP(INDIRECT(ADDRESS(2,COLUMN())),OFFSET($BN$2,0,0,ROW()-1,60),ROW()-1,FALSE))</f>
        <v/>
      </c>
      <c r="O100" t="str">
        <f ca="1">IF(AND(ISNUMBER($O$772),$B$677=1),$O$772,HLOOKUP(INDIRECT(ADDRESS(2,COLUMN())),OFFSET($BN$2,0,0,ROW()-1,60),ROW()-1,FALSE))</f>
        <v/>
      </c>
      <c r="P100" t="str">
        <f ca="1">IF(AND(ISNUMBER($P$772),$B$677=1),$P$772,HLOOKUP(INDIRECT(ADDRESS(2,COLUMN())),OFFSET($BN$2,0,0,ROW()-1,60),ROW()-1,FALSE))</f>
        <v/>
      </c>
      <c r="Q100" t="str">
        <f ca="1">IF(AND(ISNUMBER($Q$772),$B$677=1),$Q$772,HLOOKUP(INDIRECT(ADDRESS(2,COLUMN())),OFFSET($BN$2,0,0,ROW()-1,60),ROW()-1,FALSE))</f>
        <v/>
      </c>
      <c r="R100" t="str">
        <f ca="1">IF(AND(ISNUMBER($R$772),$B$677=1),$R$772,HLOOKUP(INDIRECT(ADDRESS(2,COLUMN())),OFFSET($BN$2,0,0,ROW()-1,60),ROW()-1,FALSE))</f>
        <v/>
      </c>
      <c r="S100" t="str">
        <f ca="1">IF(AND(ISNUMBER($S$772),$B$677=1),$S$772,HLOOKUP(INDIRECT(ADDRESS(2,COLUMN())),OFFSET($BN$2,0,0,ROW()-1,60),ROW()-1,FALSE))</f>
        <v/>
      </c>
      <c r="T100" t="str">
        <f ca="1">IF(AND(ISNUMBER($T$772),$B$677=1),$T$772,HLOOKUP(INDIRECT(ADDRESS(2,COLUMN())),OFFSET($BN$2,0,0,ROW()-1,60),ROW()-1,FALSE))</f>
        <v/>
      </c>
      <c r="U100" t="str">
        <f ca="1">IF(AND(ISNUMBER($U$772),$B$677=1),$U$772,HLOOKUP(INDIRECT(ADDRESS(2,COLUMN())),OFFSET($BN$2,0,0,ROW()-1,60),ROW()-1,FALSE))</f>
        <v/>
      </c>
      <c r="V100" t="str">
        <f ca="1">IF(AND(ISNUMBER($V$772),$B$677=1),$V$772,HLOOKUP(INDIRECT(ADDRESS(2,COLUMN())),OFFSET($BN$2,0,0,ROW()-1,60),ROW()-1,FALSE))</f>
        <v/>
      </c>
      <c r="W100" t="str">
        <f ca="1">IF(AND(ISNUMBER($W$772),$B$677=1),$W$772,HLOOKUP(INDIRECT(ADDRESS(2,COLUMN())),OFFSET($BN$2,0,0,ROW()-1,60),ROW()-1,FALSE))</f>
        <v/>
      </c>
      <c r="X100" t="str">
        <f ca="1">IF(AND(ISNUMBER($X$772),$B$677=1),$X$772,HLOOKUP(INDIRECT(ADDRESS(2,COLUMN())),OFFSET($BN$2,0,0,ROW()-1,60),ROW()-1,FALSE))</f>
        <v/>
      </c>
      <c r="Y100" t="str">
        <f ca="1">IF(AND(ISNUMBER($Y$772),$B$677=1),$Y$772,HLOOKUP(INDIRECT(ADDRESS(2,COLUMN())),OFFSET($BN$2,0,0,ROW()-1,60),ROW()-1,FALSE))</f>
        <v/>
      </c>
      <c r="Z100" t="str">
        <f ca="1">IF(AND(ISNUMBER($Z$772),$B$677=1),$Z$772,HLOOKUP(INDIRECT(ADDRESS(2,COLUMN())),OFFSET($BN$2,0,0,ROW()-1,60),ROW()-1,FALSE))</f>
        <v/>
      </c>
      <c r="AA100" t="str">
        <f ca="1">IF(AND(ISNUMBER($AA$772),$B$677=1),$AA$772,HLOOKUP(INDIRECT(ADDRESS(2,COLUMN())),OFFSET($BN$2,0,0,ROW()-1,60),ROW()-1,FALSE))</f>
        <v/>
      </c>
      <c r="AB100" t="str">
        <f ca="1">IF(AND(ISNUMBER($AB$772),$B$677=1),$AB$772,HLOOKUP(INDIRECT(ADDRESS(2,COLUMN())),OFFSET($BN$2,0,0,ROW()-1,60),ROW()-1,FALSE))</f>
        <v/>
      </c>
      <c r="AC100" t="str">
        <f ca="1">IF(AND(ISNUMBER($AC$772),$B$677=1),$AC$772,HLOOKUP(INDIRECT(ADDRESS(2,COLUMN())),OFFSET($BN$2,0,0,ROW()-1,60),ROW()-1,FALSE))</f>
        <v/>
      </c>
      <c r="AD100" t="str">
        <f ca="1">IF(AND(ISNUMBER($AD$772),$B$677=1),$AD$772,HLOOKUP(INDIRECT(ADDRESS(2,COLUMN())),OFFSET($BN$2,0,0,ROW()-1,60),ROW()-1,FALSE))</f>
        <v/>
      </c>
      <c r="AE100" t="str">
        <f ca="1">IF(AND(ISNUMBER($AE$772),$B$677=1),$AE$772,HLOOKUP(INDIRECT(ADDRESS(2,COLUMN())),OFFSET($BN$2,0,0,ROW()-1,60),ROW()-1,FALSE))</f>
        <v/>
      </c>
      <c r="AF100" t="str">
        <f ca="1">IF(AND(ISNUMBER($AF$772),$B$677=1),$AF$772,HLOOKUP(INDIRECT(ADDRESS(2,COLUMN())),OFFSET($BN$2,0,0,ROW()-1,60),ROW()-1,FALSE))</f>
        <v/>
      </c>
      <c r="AG100" t="str">
        <f ca="1">IF(AND(ISNUMBER($AG$772),$B$677=1),$AG$772,HLOOKUP(INDIRECT(ADDRESS(2,COLUMN())),OFFSET($BN$2,0,0,ROW()-1,60),ROW()-1,FALSE))</f>
        <v/>
      </c>
      <c r="AH100" t="str">
        <f ca="1">IF(AND(ISNUMBER($AH$772),$B$677=1),$AH$772,HLOOKUP(INDIRECT(ADDRESS(2,COLUMN())),OFFSET($BN$2,0,0,ROW()-1,60),ROW()-1,FALSE))</f>
        <v/>
      </c>
      <c r="AI100" t="str">
        <f ca="1">IF(AND(ISNUMBER($AI$772),$B$677=1),$AI$772,HLOOKUP(INDIRECT(ADDRESS(2,COLUMN())),OFFSET($BN$2,0,0,ROW()-1,60),ROW()-1,FALSE))</f>
        <v/>
      </c>
      <c r="AJ100" t="str">
        <f ca="1">IF(AND(ISNUMBER($AJ$772),$B$677=1),$AJ$772,HLOOKUP(INDIRECT(ADDRESS(2,COLUMN())),OFFSET($BN$2,0,0,ROW()-1,60),ROW()-1,FALSE))</f>
        <v/>
      </c>
      <c r="AK100" t="str">
        <f ca="1">IF(AND(ISNUMBER($AK$772),$B$677=1),$AK$772,HLOOKUP(INDIRECT(ADDRESS(2,COLUMN())),OFFSET($BN$2,0,0,ROW()-1,60),ROW()-1,FALSE))</f>
        <v/>
      </c>
      <c r="AL100" t="str">
        <f ca="1">IF(AND(ISNUMBER($AL$772),$B$677=1),$AL$772,HLOOKUP(INDIRECT(ADDRESS(2,COLUMN())),OFFSET($BN$2,0,0,ROW()-1,60),ROW()-1,FALSE))</f>
        <v/>
      </c>
      <c r="AM100" t="str">
        <f ca="1">IF(AND(ISNUMBER($AM$772),$B$677=1),$AM$772,HLOOKUP(INDIRECT(ADDRESS(2,COLUMN())),OFFSET($BN$2,0,0,ROW()-1,60),ROW()-1,FALSE))</f>
        <v/>
      </c>
      <c r="AN100" t="str">
        <f ca="1">IF(AND(ISNUMBER($AN$772),$B$677=1),$AN$772,HLOOKUP(INDIRECT(ADDRESS(2,COLUMN())),OFFSET($BN$2,0,0,ROW()-1,60),ROW()-1,FALSE))</f>
        <v/>
      </c>
      <c r="AO100" t="str">
        <f ca="1">IF(AND(ISNUMBER($AO$772),$B$677=1),$AO$772,HLOOKUP(INDIRECT(ADDRESS(2,COLUMN())),OFFSET($BN$2,0,0,ROW()-1,60),ROW()-1,FALSE))</f>
        <v/>
      </c>
      <c r="AP100" t="str">
        <f ca="1">IF(AND(ISNUMBER($AP$772),$B$677=1),$AP$772,HLOOKUP(INDIRECT(ADDRESS(2,COLUMN())),OFFSET($BN$2,0,0,ROW()-1,60),ROW()-1,FALSE))</f>
        <v/>
      </c>
      <c r="AQ100" t="str">
        <f ca="1">IF(AND(ISNUMBER($AQ$772),$B$677=1),$AQ$772,HLOOKUP(INDIRECT(ADDRESS(2,COLUMN())),OFFSET($BN$2,0,0,ROW()-1,60),ROW()-1,FALSE))</f>
        <v/>
      </c>
      <c r="AR100" t="str">
        <f ca="1">IF(AND(ISNUMBER($AR$772),$B$677=1),$AR$772,HLOOKUP(INDIRECT(ADDRESS(2,COLUMN())),OFFSET($BN$2,0,0,ROW()-1,60),ROW()-1,FALSE))</f>
        <v/>
      </c>
      <c r="AS100" t="str">
        <f ca="1">IF(AND(ISNUMBER($AS$772),$B$677=1),$AS$772,HLOOKUP(INDIRECT(ADDRESS(2,COLUMN())),OFFSET($BN$2,0,0,ROW()-1,60),ROW()-1,FALSE))</f>
        <v/>
      </c>
      <c r="AT100" t="str">
        <f ca="1">IF(AND(ISNUMBER($AT$772),$B$677=1),$AT$772,HLOOKUP(INDIRECT(ADDRESS(2,COLUMN())),OFFSET($BN$2,0,0,ROW()-1,60),ROW()-1,FALSE))</f>
        <v/>
      </c>
      <c r="AU100" t="str">
        <f ca="1">IF(AND(ISNUMBER($AU$772),$B$677=1),$AU$772,HLOOKUP(INDIRECT(ADDRESS(2,COLUMN())),OFFSET($BN$2,0,0,ROW()-1,60),ROW()-1,FALSE))</f>
        <v/>
      </c>
      <c r="AV100" t="str">
        <f ca="1">IF(AND(ISNUMBER($AV$772),$B$677=1),$AV$772,HLOOKUP(INDIRECT(ADDRESS(2,COLUMN())),OFFSET($BN$2,0,0,ROW()-1,60),ROW()-1,FALSE))</f>
        <v/>
      </c>
      <c r="AW100" t="str">
        <f ca="1">IF(AND(ISNUMBER($AW$772),$B$677=1),$AW$772,HLOOKUP(INDIRECT(ADDRESS(2,COLUMN())),OFFSET($BN$2,0,0,ROW()-1,60),ROW()-1,FALSE))</f>
        <v/>
      </c>
      <c r="AX100" t="str">
        <f ca="1">IF(AND(ISNUMBER($AX$772),$B$677=1),$AX$772,HLOOKUP(INDIRECT(ADDRESS(2,COLUMN())),OFFSET($BN$2,0,0,ROW()-1,60),ROW()-1,FALSE))</f>
        <v/>
      </c>
      <c r="AY100" t="str">
        <f ca="1">IF(AND(ISNUMBER($AY$772),$B$677=1),$AY$772,HLOOKUP(INDIRECT(ADDRESS(2,COLUMN())),OFFSET($BN$2,0,0,ROW()-1,60),ROW()-1,FALSE))</f>
        <v/>
      </c>
      <c r="AZ100" t="str">
        <f ca="1">IF(AND(ISNUMBER($AZ$772),$B$677=1),$AZ$772,HLOOKUP(INDIRECT(ADDRESS(2,COLUMN())),OFFSET($BN$2,0,0,ROW()-1,60),ROW()-1,FALSE))</f>
        <v/>
      </c>
      <c r="BA100" t="str">
        <f ca="1">IF(AND(ISNUMBER($BA$772),$B$677=1),$BA$772,HLOOKUP(INDIRECT(ADDRESS(2,COLUMN())),OFFSET($BN$2,0,0,ROW()-1,60),ROW()-1,FALSE))</f>
        <v/>
      </c>
      <c r="BB100" t="str">
        <f ca="1">IF(AND(ISNUMBER($BB$772),$B$677=1),$BB$772,HLOOKUP(INDIRECT(ADDRESS(2,COLUMN())),OFFSET($BN$2,0,0,ROW()-1,60),ROW()-1,FALSE))</f>
        <v/>
      </c>
      <c r="BC100" t="str">
        <f ca="1">IF(AND(ISNUMBER($BC$772),$B$677=1),$BC$772,HLOOKUP(INDIRECT(ADDRESS(2,COLUMN())),OFFSET($BN$2,0,0,ROW()-1,60),ROW()-1,FALSE))</f>
        <v/>
      </c>
      <c r="BD100" t="str">
        <f ca="1">IF(AND(ISNUMBER($BD$772),$B$677=1),$BD$772,HLOOKUP(INDIRECT(ADDRESS(2,COLUMN())),OFFSET($BN$2,0,0,ROW()-1,60),ROW()-1,FALSE))</f>
        <v/>
      </c>
      <c r="BE100" t="str">
        <f ca="1">IF(AND(ISNUMBER($BE$772),$B$677=1),$BE$772,HLOOKUP(INDIRECT(ADDRESS(2,COLUMN())),OFFSET($BN$2,0,0,ROW()-1,60),ROW()-1,FALSE))</f>
        <v/>
      </c>
      <c r="BF100" t="str">
        <f ca="1">IF(AND(ISNUMBER($BF$772),$B$677=1),$BF$772,HLOOKUP(INDIRECT(ADDRESS(2,COLUMN())),OFFSET($BN$2,0,0,ROW()-1,60),ROW()-1,FALSE))</f>
        <v/>
      </c>
      <c r="BG100" t="str">
        <f ca="1">IF(AND(ISNUMBER($BG$772),$B$677=1),$BG$772,HLOOKUP(INDIRECT(ADDRESS(2,COLUMN())),OFFSET($BN$2,0,0,ROW()-1,60),ROW()-1,FALSE))</f>
        <v/>
      </c>
      <c r="BH100" t="str">
        <f ca="1">IF(AND(ISNUMBER($BH$772),$B$677=1),$BH$772,HLOOKUP(INDIRECT(ADDRESS(2,COLUMN())),OFFSET($BN$2,0,0,ROW()-1,60),ROW()-1,FALSE))</f>
        <v/>
      </c>
      <c r="BI100" t="str">
        <f ca="1">IF(AND(ISNUMBER($BI$772),$B$677=1),$BI$772,HLOOKUP(INDIRECT(ADDRESS(2,COLUMN())),OFFSET($BN$2,0,0,ROW()-1,60),ROW()-1,FALSE))</f>
        <v/>
      </c>
      <c r="BJ100" t="str">
        <f ca="1">IF(AND(ISNUMBER($BJ$772),$B$677=1),$BJ$772,HLOOKUP(INDIRECT(ADDRESS(2,COLUMN())),OFFSET($BN$2,0,0,ROW()-1,60),ROW()-1,FALSE))</f>
        <v/>
      </c>
      <c r="BK100" t="str">
        <f ca="1">IF(AND(ISNUMBER($BK$772),$B$677=1),$BK$772,HLOOKUP(INDIRECT(ADDRESS(2,COLUMN())),OFFSET($BN$2,0,0,ROW()-1,60),ROW()-1,FALSE))</f>
        <v/>
      </c>
      <c r="BL100" t="str">
        <f ca="1">IF(AND(ISNUMBER($BL$772),$B$677=1),$BL$772,HLOOKUP(INDIRECT(ADDRESS(2,COLUMN())),OFFSET($BN$2,0,0,ROW()-1,60),ROW()-1,FALSE))</f>
        <v/>
      </c>
      <c r="BM100" t="str">
        <f ca="1">IF(AND(ISNUMBER($BM$772),$B$677=1),$BM$772,HLOOKUP(INDIRECT(ADDRESS(2,COLUMN())),OFFSET($BN$2,0,0,ROW()-1,60),ROW()-1,FALSE))</f>
        <v/>
      </c>
      <c r="BN100" t="str">
        <f>""</f>
        <v/>
      </c>
      <c r="BO100" t="str">
        <f>""</f>
        <v/>
      </c>
      <c r="BP100" t="str">
        <f>""</f>
        <v/>
      </c>
      <c r="BQ100" t="str">
        <f>""</f>
        <v/>
      </c>
      <c r="BR100" t="str">
        <f>""</f>
        <v/>
      </c>
      <c r="BS100" t="str">
        <f>""</f>
        <v/>
      </c>
      <c r="BT100" t="str">
        <f>""</f>
        <v/>
      </c>
      <c r="BU100" t="str">
        <f>""</f>
        <v/>
      </c>
      <c r="BV100" t="str">
        <f>""</f>
        <v/>
      </c>
      <c r="BW100" t="str">
        <f>""</f>
        <v/>
      </c>
      <c r="BX100" t="str">
        <f>""</f>
        <v/>
      </c>
      <c r="BY100" t="str">
        <f>""</f>
        <v/>
      </c>
      <c r="BZ100" t="str">
        <f>""</f>
        <v/>
      </c>
      <c r="CA100" t="str">
        <f>""</f>
        <v/>
      </c>
      <c r="CB100" t="str">
        <f>""</f>
        <v/>
      </c>
      <c r="CC100" t="str">
        <f>""</f>
        <v/>
      </c>
      <c r="CD100" t="str">
        <f>""</f>
        <v/>
      </c>
      <c r="CE100" t="str">
        <f>""</f>
        <v/>
      </c>
      <c r="CF100" t="str">
        <f>""</f>
        <v/>
      </c>
      <c r="CG100" t="str">
        <f>""</f>
        <v/>
      </c>
      <c r="CH100" t="str">
        <f>""</f>
        <v/>
      </c>
      <c r="CI100" t="str">
        <f>""</f>
        <v/>
      </c>
      <c r="CJ100" t="str">
        <f>""</f>
        <v/>
      </c>
      <c r="CK100" t="str">
        <f>""</f>
        <v/>
      </c>
      <c r="CL100" t="str">
        <f>""</f>
        <v/>
      </c>
      <c r="CM100" t="str">
        <f>""</f>
        <v/>
      </c>
      <c r="CN100" t="str">
        <f>""</f>
        <v/>
      </c>
      <c r="CO100" t="str">
        <f>""</f>
        <v/>
      </c>
      <c r="CP100" t="str">
        <f>""</f>
        <v/>
      </c>
      <c r="CQ100" t="str">
        <f>""</f>
        <v/>
      </c>
      <c r="CR100" t="str">
        <f>""</f>
        <v/>
      </c>
      <c r="CS100" t="str">
        <f>""</f>
        <v/>
      </c>
      <c r="CT100" t="str">
        <f>""</f>
        <v/>
      </c>
      <c r="CU100" t="str">
        <f>""</f>
        <v/>
      </c>
      <c r="CV100" t="str">
        <f>""</f>
        <v/>
      </c>
      <c r="CW100" t="str">
        <f>""</f>
        <v/>
      </c>
      <c r="CX100" t="str">
        <f>""</f>
        <v/>
      </c>
      <c r="CY100" t="str">
        <f>""</f>
        <v/>
      </c>
      <c r="CZ100" t="str">
        <f>""</f>
        <v/>
      </c>
      <c r="DA100" t="str">
        <f>""</f>
        <v/>
      </c>
      <c r="DB100" t="str">
        <f>""</f>
        <v/>
      </c>
      <c r="DC100" t="str">
        <f>""</f>
        <v/>
      </c>
      <c r="DD100" t="str">
        <f>""</f>
        <v/>
      </c>
      <c r="DE100" t="str">
        <f>""</f>
        <v/>
      </c>
      <c r="DF100" t="str">
        <f>""</f>
        <v/>
      </c>
      <c r="DG100" t="str">
        <f>""</f>
        <v/>
      </c>
      <c r="DH100" t="str">
        <f>""</f>
        <v/>
      </c>
      <c r="DI100" t="str">
        <f>""</f>
        <v/>
      </c>
      <c r="DJ100" t="str">
        <f>""</f>
        <v/>
      </c>
      <c r="DK100" t="str">
        <f>""</f>
        <v/>
      </c>
      <c r="DL100" t="str">
        <f>""</f>
        <v/>
      </c>
      <c r="DM100" t="str">
        <f>""</f>
        <v/>
      </c>
      <c r="DN100" t="str">
        <f>""</f>
        <v/>
      </c>
      <c r="DO100" t="str">
        <f>""</f>
        <v/>
      </c>
      <c r="DP100" t="str">
        <f>""</f>
        <v/>
      </c>
      <c r="DQ100" t="str">
        <f>""</f>
        <v/>
      </c>
      <c r="DR100" t="str">
        <f>""</f>
        <v/>
      </c>
      <c r="DS100" t="str">
        <f>""</f>
        <v/>
      </c>
      <c r="DT100" t="str">
        <f>""</f>
        <v/>
      </c>
      <c r="DU100" t="str">
        <f>""</f>
        <v/>
      </c>
    </row>
    <row r="101" spans="1:125" x14ac:dyDescent="0.25">
      <c r="A101" t="str">
        <f>"    GAZ PJSC"</f>
        <v xml:space="preserve">    GAZ PJSC</v>
      </c>
      <c r="B101" t="str">
        <f>"GAZA RM Equity"</f>
        <v>GAZA RM Equity</v>
      </c>
      <c r="C101" t="str">
        <f t="shared" si="6"/>
        <v>EZ010</v>
      </c>
      <c r="D101" t="str">
        <f t="shared" si="7"/>
        <v>BEST_EST_PE_NXT_YR</v>
      </c>
      <c r="E101" t="str">
        <f t="shared" si="8"/>
        <v>Dynamic</v>
      </c>
      <c r="F101" t="str">
        <f ca="1">IF(AND(ISNUMBER($F$773),$B$677=1),$F$773,HLOOKUP(INDIRECT(ADDRESS(2,COLUMN())),OFFSET($BN$2,0,0,ROW()-1,60),ROW()-1,FALSE))</f>
        <v/>
      </c>
      <c r="G101" t="str">
        <f ca="1">IF(AND(ISNUMBER($G$773),$B$677=1),$G$773,HLOOKUP(INDIRECT(ADDRESS(2,COLUMN())),OFFSET($BN$2,0,0,ROW()-1,60),ROW()-1,FALSE))</f>
        <v/>
      </c>
      <c r="H101" t="str">
        <f ca="1">IF(AND(ISNUMBER($H$773),$B$677=1),$H$773,HLOOKUP(INDIRECT(ADDRESS(2,COLUMN())),OFFSET($BN$2,0,0,ROW()-1,60),ROW()-1,FALSE))</f>
        <v/>
      </c>
      <c r="I101" t="str">
        <f ca="1">IF(AND(ISNUMBER($I$773),$B$677=1),$I$773,HLOOKUP(INDIRECT(ADDRESS(2,COLUMN())),OFFSET($BN$2,0,0,ROW()-1,60),ROW()-1,FALSE))</f>
        <v/>
      </c>
      <c r="J101" t="str">
        <f ca="1">IF(AND(ISNUMBER($J$773),$B$677=1),$J$773,HLOOKUP(INDIRECT(ADDRESS(2,COLUMN())),OFFSET($BN$2,0,0,ROW()-1,60),ROW()-1,FALSE))</f>
        <v/>
      </c>
      <c r="K101" t="str">
        <f ca="1">IF(AND(ISNUMBER($K$773),$B$677=1),$K$773,HLOOKUP(INDIRECT(ADDRESS(2,COLUMN())),OFFSET($BN$2,0,0,ROW()-1,60),ROW()-1,FALSE))</f>
        <v/>
      </c>
      <c r="L101" t="str">
        <f ca="1">IF(AND(ISNUMBER($L$773),$B$677=1),$L$773,HLOOKUP(INDIRECT(ADDRESS(2,COLUMN())),OFFSET($BN$2,0,0,ROW()-1,60),ROW()-1,FALSE))</f>
        <v/>
      </c>
      <c r="M101" t="str">
        <f ca="1">IF(AND(ISNUMBER($M$773),$B$677=1),$M$773,HLOOKUP(INDIRECT(ADDRESS(2,COLUMN())),OFFSET($BN$2,0,0,ROW()-1,60),ROW()-1,FALSE))</f>
        <v/>
      </c>
      <c r="N101" t="str">
        <f ca="1">IF(AND(ISNUMBER($N$773),$B$677=1),$N$773,HLOOKUP(INDIRECT(ADDRESS(2,COLUMN())),OFFSET($BN$2,0,0,ROW()-1,60),ROW()-1,FALSE))</f>
        <v/>
      </c>
      <c r="O101" t="str">
        <f ca="1">IF(AND(ISNUMBER($O$773),$B$677=1),$O$773,HLOOKUP(INDIRECT(ADDRESS(2,COLUMN())),OFFSET($BN$2,0,0,ROW()-1,60),ROW()-1,FALSE))</f>
        <v/>
      </c>
      <c r="P101" t="str">
        <f ca="1">IF(AND(ISNUMBER($P$773),$B$677=1),$P$773,HLOOKUP(INDIRECT(ADDRESS(2,COLUMN())),OFFSET($BN$2,0,0,ROW()-1,60),ROW()-1,FALSE))</f>
        <v/>
      </c>
      <c r="Q101" t="str">
        <f ca="1">IF(AND(ISNUMBER($Q$773),$B$677=1),$Q$773,HLOOKUP(INDIRECT(ADDRESS(2,COLUMN())),OFFSET($BN$2,0,0,ROW()-1,60),ROW()-1,FALSE))</f>
        <v/>
      </c>
      <c r="R101" t="str">
        <f ca="1">IF(AND(ISNUMBER($R$773),$B$677=1),$R$773,HLOOKUP(INDIRECT(ADDRESS(2,COLUMN())),OFFSET($BN$2,0,0,ROW()-1,60),ROW()-1,FALSE))</f>
        <v/>
      </c>
      <c r="S101" t="str">
        <f ca="1">IF(AND(ISNUMBER($S$773),$B$677=1),$S$773,HLOOKUP(INDIRECT(ADDRESS(2,COLUMN())),OFFSET($BN$2,0,0,ROW()-1,60),ROW()-1,FALSE))</f>
        <v/>
      </c>
      <c r="T101" t="str">
        <f ca="1">IF(AND(ISNUMBER($T$773),$B$677=1),$T$773,HLOOKUP(INDIRECT(ADDRESS(2,COLUMN())),OFFSET($BN$2,0,0,ROW()-1,60),ROW()-1,FALSE))</f>
        <v/>
      </c>
      <c r="U101" t="str">
        <f ca="1">IF(AND(ISNUMBER($U$773),$B$677=1),$U$773,HLOOKUP(INDIRECT(ADDRESS(2,COLUMN())),OFFSET($BN$2,0,0,ROW()-1,60),ROW()-1,FALSE))</f>
        <v/>
      </c>
      <c r="V101" t="str">
        <f ca="1">IF(AND(ISNUMBER($V$773),$B$677=1),$V$773,HLOOKUP(INDIRECT(ADDRESS(2,COLUMN())),OFFSET($BN$2,0,0,ROW()-1,60),ROW()-1,FALSE))</f>
        <v/>
      </c>
      <c r="W101" t="str">
        <f ca="1">IF(AND(ISNUMBER($W$773),$B$677=1),$W$773,HLOOKUP(INDIRECT(ADDRESS(2,COLUMN())),OFFSET($BN$2,0,0,ROW()-1,60),ROW()-1,FALSE))</f>
        <v/>
      </c>
      <c r="X101" t="str">
        <f ca="1">IF(AND(ISNUMBER($X$773),$B$677=1),$X$773,HLOOKUP(INDIRECT(ADDRESS(2,COLUMN())),OFFSET($BN$2,0,0,ROW()-1,60),ROW()-1,FALSE))</f>
        <v/>
      </c>
      <c r="Y101" t="str">
        <f ca="1">IF(AND(ISNUMBER($Y$773),$B$677=1),$Y$773,HLOOKUP(INDIRECT(ADDRESS(2,COLUMN())),OFFSET($BN$2,0,0,ROW()-1,60),ROW()-1,FALSE))</f>
        <v/>
      </c>
      <c r="Z101" t="str">
        <f ca="1">IF(AND(ISNUMBER($Z$773),$B$677=1),$Z$773,HLOOKUP(INDIRECT(ADDRESS(2,COLUMN())),OFFSET($BN$2,0,0,ROW()-1,60),ROW()-1,FALSE))</f>
        <v/>
      </c>
      <c r="AA101" t="str">
        <f ca="1">IF(AND(ISNUMBER($AA$773),$B$677=1),$AA$773,HLOOKUP(INDIRECT(ADDRESS(2,COLUMN())),OFFSET($BN$2,0,0,ROW()-1,60),ROW()-1,FALSE))</f>
        <v/>
      </c>
      <c r="AB101" t="str">
        <f ca="1">IF(AND(ISNUMBER($AB$773),$B$677=1),$AB$773,HLOOKUP(INDIRECT(ADDRESS(2,COLUMN())),OFFSET($BN$2,0,0,ROW()-1,60),ROW()-1,FALSE))</f>
        <v/>
      </c>
      <c r="AC101" t="str">
        <f ca="1">IF(AND(ISNUMBER($AC$773),$B$677=1),$AC$773,HLOOKUP(INDIRECT(ADDRESS(2,COLUMN())),OFFSET($BN$2,0,0,ROW()-1,60),ROW()-1,FALSE))</f>
        <v/>
      </c>
      <c r="AD101" t="str">
        <f ca="1">IF(AND(ISNUMBER($AD$773),$B$677=1),$AD$773,HLOOKUP(INDIRECT(ADDRESS(2,COLUMN())),OFFSET($BN$2,0,0,ROW()-1,60),ROW()-1,FALSE))</f>
        <v/>
      </c>
      <c r="AE101" t="str">
        <f ca="1">IF(AND(ISNUMBER($AE$773),$B$677=1),$AE$773,HLOOKUP(INDIRECT(ADDRESS(2,COLUMN())),OFFSET($BN$2,0,0,ROW()-1,60),ROW()-1,FALSE))</f>
        <v/>
      </c>
      <c r="AF101" t="str">
        <f ca="1">IF(AND(ISNUMBER($AF$773),$B$677=1),$AF$773,HLOOKUP(INDIRECT(ADDRESS(2,COLUMN())),OFFSET($BN$2,0,0,ROW()-1,60),ROW()-1,FALSE))</f>
        <v/>
      </c>
      <c r="AG101" t="str">
        <f ca="1">IF(AND(ISNUMBER($AG$773),$B$677=1),$AG$773,HLOOKUP(INDIRECT(ADDRESS(2,COLUMN())),OFFSET($BN$2,0,0,ROW()-1,60),ROW()-1,FALSE))</f>
        <v/>
      </c>
      <c r="AH101" t="str">
        <f ca="1">IF(AND(ISNUMBER($AH$773),$B$677=1),$AH$773,HLOOKUP(INDIRECT(ADDRESS(2,COLUMN())),OFFSET($BN$2,0,0,ROW()-1,60),ROW()-1,FALSE))</f>
        <v/>
      </c>
      <c r="AI101" t="str">
        <f ca="1">IF(AND(ISNUMBER($AI$773),$B$677=1),$AI$773,HLOOKUP(INDIRECT(ADDRESS(2,COLUMN())),OFFSET($BN$2,0,0,ROW()-1,60),ROW()-1,FALSE))</f>
        <v/>
      </c>
      <c r="AJ101" t="str">
        <f ca="1">IF(AND(ISNUMBER($AJ$773),$B$677=1),$AJ$773,HLOOKUP(INDIRECT(ADDRESS(2,COLUMN())),OFFSET($BN$2,0,0,ROW()-1,60),ROW()-1,FALSE))</f>
        <v/>
      </c>
      <c r="AK101" t="str">
        <f ca="1">IF(AND(ISNUMBER($AK$773),$B$677=1),$AK$773,HLOOKUP(INDIRECT(ADDRESS(2,COLUMN())),OFFSET($BN$2,0,0,ROW()-1,60),ROW()-1,FALSE))</f>
        <v/>
      </c>
      <c r="AL101" t="str">
        <f ca="1">IF(AND(ISNUMBER($AL$773),$B$677=1),$AL$773,HLOOKUP(INDIRECT(ADDRESS(2,COLUMN())),OFFSET($BN$2,0,0,ROW()-1,60),ROW()-1,FALSE))</f>
        <v/>
      </c>
      <c r="AM101" t="str">
        <f ca="1">IF(AND(ISNUMBER($AM$773),$B$677=1),$AM$773,HLOOKUP(INDIRECT(ADDRESS(2,COLUMN())),OFFSET($BN$2,0,0,ROW()-1,60),ROW()-1,FALSE))</f>
        <v/>
      </c>
      <c r="AN101" t="str">
        <f ca="1">IF(AND(ISNUMBER($AN$773),$B$677=1),$AN$773,HLOOKUP(INDIRECT(ADDRESS(2,COLUMN())),OFFSET($BN$2,0,0,ROW()-1,60),ROW()-1,FALSE))</f>
        <v/>
      </c>
      <c r="AO101" t="str">
        <f ca="1">IF(AND(ISNUMBER($AO$773),$B$677=1),$AO$773,HLOOKUP(INDIRECT(ADDRESS(2,COLUMN())),OFFSET($BN$2,0,0,ROW()-1,60),ROW()-1,FALSE))</f>
        <v/>
      </c>
      <c r="AP101" t="str">
        <f ca="1">IF(AND(ISNUMBER($AP$773),$B$677=1),$AP$773,HLOOKUP(INDIRECT(ADDRESS(2,COLUMN())),OFFSET($BN$2,0,0,ROW()-1,60),ROW()-1,FALSE))</f>
        <v/>
      </c>
      <c r="AQ101" t="str">
        <f ca="1">IF(AND(ISNUMBER($AQ$773),$B$677=1),$AQ$773,HLOOKUP(INDIRECT(ADDRESS(2,COLUMN())),OFFSET($BN$2,0,0,ROW()-1,60),ROW()-1,FALSE))</f>
        <v/>
      </c>
      <c r="AR101" t="str">
        <f ca="1">IF(AND(ISNUMBER($AR$773),$B$677=1),$AR$773,HLOOKUP(INDIRECT(ADDRESS(2,COLUMN())),OFFSET($BN$2,0,0,ROW()-1,60),ROW()-1,FALSE))</f>
        <v/>
      </c>
      <c r="AS101" t="str">
        <f ca="1">IF(AND(ISNUMBER($AS$773),$B$677=1),$AS$773,HLOOKUP(INDIRECT(ADDRESS(2,COLUMN())),OFFSET($BN$2,0,0,ROW()-1,60),ROW()-1,FALSE))</f>
        <v/>
      </c>
      <c r="AT101" t="str">
        <f ca="1">IF(AND(ISNUMBER($AT$773),$B$677=1),$AT$773,HLOOKUP(INDIRECT(ADDRESS(2,COLUMN())),OFFSET($BN$2,0,0,ROW()-1,60),ROW()-1,FALSE))</f>
        <v/>
      </c>
      <c r="AU101" t="str">
        <f ca="1">IF(AND(ISNUMBER($AU$773),$B$677=1),$AU$773,HLOOKUP(INDIRECT(ADDRESS(2,COLUMN())),OFFSET($BN$2,0,0,ROW()-1,60),ROW()-1,FALSE))</f>
        <v/>
      </c>
      <c r="AV101" t="str">
        <f ca="1">IF(AND(ISNUMBER($AV$773),$B$677=1),$AV$773,HLOOKUP(INDIRECT(ADDRESS(2,COLUMN())),OFFSET($BN$2,0,0,ROW()-1,60),ROW()-1,FALSE))</f>
        <v/>
      </c>
      <c r="AW101" t="str">
        <f ca="1">IF(AND(ISNUMBER($AW$773),$B$677=1),$AW$773,HLOOKUP(INDIRECT(ADDRESS(2,COLUMN())),OFFSET($BN$2,0,0,ROW()-1,60),ROW()-1,FALSE))</f>
        <v/>
      </c>
      <c r="AX101" t="str">
        <f ca="1">IF(AND(ISNUMBER($AX$773),$B$677=1),$AX$773,HLOOKUP(INDIRECT(ADDRESS(2,COLUMN())),OFFSET($BN$2,0,0,ROW()-1,60),ROW()-1,FALSE))</f>
        <v/>
      </c>
      <c r="AY101" t="str">
        <f ca="1">IF(AND(ISNUMBER($AY$773),$B$677=1),$AY$773,HLOOKUP(INDIRECT(ADDRESS(2,COLUMN())),OFFSET($BN$2,0,0,ROW()-1,60),ROW()-1,FALSE))</f>
        <v/>
      </c>
      <c r="AZ101" t="str">
        <f ca="1">IF(AND(ISNUMBER($AZ$773),$B$677=1),$AZ$773,HLOOKUP(INDIRECT(ADDRESS(2,COLUMN())),OFFSET($BN$2,0,0,ROW()-1,60),ROW()-1,FALSE))</f>
        <v/>
      </c>
      <c r="BA101" t="str">
        <f ca="1">IF(AND(ISNUMBER($BA$773),$B$677=1),$BA$773,HLOOKUP(INDIRECT(ADDRESS(2,COLUMN())),OFFSET($BN$2,0,0,ROW()-1,60),ROW()-1,FALSE))</f>
        <v/>
      </c>
      <c r="BB101" t="str">
        <f ca="1">IF(AND(ISNUMBER($BB$773),$B$677=1),$BB$773,HLOOKUP(INDIRECT(ADDRESS(2,COLUMN())),OFFSET($BN$2,0,0,ROW()-1,60),ROW()-1,FALSE))</f>
        <v/>
      </c>
      <c r="BC101" t="str">
        <f ca="1">IF(AND(ISNUMBER($BC$773),$B$677=1),$BC$773,HLOOKUP(INDIRECT(ADDRESS(2,COLUMN())),OFFSET($BN$2,0,0,ROW()-1,60),ROW()-1,FALSE))</f>
        <v/>
      </c>
      <c r="BD101" t="str">
        <f ca="1">IF(AND(ISNUMBER($BD$773),$B$677=1),$BD$773,HLOOKUP(INDIRECT(ADDRESS(2,COLUMN())),OFFSET($BN$2,0,0,ROW()-1,60),ROW()-1,FALSE))</f>
        <v/>
      </c>
      <c r="BE101" t="str">
        <f ca="1">IF(AND(ISNUMBER($BE$773),$B$677=1),$BE$773,HLOOKUP(INDIRECT(ADDRESS(2,COLUMN())),OFFSET($BN$2,0,0,ROW()-1,60),ROW()-1,FALSE))</f>
        <v/>
      </c>
      <c r="BF101" t="str">
        <f ca="1">IF(AND(ISNUMBER($BF$773),$B$677=1),$BF$773,HLOOKUP(INDIRECT(ADDRESS(2,COLUMN())),OFFSET($BN$2,0,0,ROW()-1,60),ROW()-1,FALSE))</f>
        <v/>
      </c>
      <c r="BG101" t="str">
        <f ca="1">IF(AND(ISNUMBER($BG$773),$B$677=1),$BG$773,HLOOKUP(INDIRECT(ADDRESS(2,COLUMN())),OFFSET($BN$2,0,0,ROW()-1,60),ROW()-1,FALSE))</f>
        <v/>
      </c>
      <c r="BH101" t="str">
        <f ca="1">IF(AND(ISNUMBER($BH$773),$B$677=1),$BH$773,HLOOKUP(INDIRECT(ADDRESS(2,COLUMN())),OFFSET($BN$2,0,0,ROW()-1,60),ROW()-1,FALSE))</f>
        <v/>
      </c>
      <c r="BI101" t="str">
        <f ca="1">IF(AND(ISNUMBER($BI$773),$B$677=1),$BI$773,HLOOKUP(INDIRECT(ADDRESS(2,COLUMN())),OFFSET($BN$2,0,0,ROW()-1,60),ROW()-1,FALSE))</f>
        <v/>
      </c>
      <c r="BJ101" t="str">
        <f ca="1">IF(AND(ISNUMBER($BJ$773),$B$677=1),$BJ$773,HLOOKUP(INDIRECT(ADDRESS(2,COLUMN())),OFFSET($BN$2,0,0,ROW()-1,60),ROW()-1,FALSE))</f>
        <v/>
      </c>
      <c r="BK101" t="str">
        <f ca="1">IF(AND(ISNUMBER($BK$773),$B$677=1),$BK$773,HLOOKUP(INDIRECT(ADDRESS(2,COLUMN())),OFFSET($BN$2,0,0,ROW()-1,60),ROW()-1,FALSE))</f>
        <v/>
      </c>
      <c r="BL101" t="str">
        <f ca="1">IF(AND(ISNUMBER($BL$773),$B$677=1),$BL$773,HLOOKUP(INDIRECT(ADDRESS(2,COLUMN())),OFFSET($BN$2,0,0,ROW()-1,60),ROW()-1,FALSE))</f>
        <v/>
      </c>
      <c r="BM101" t="str">
        <f ca="1">IF(AND(ISNUMBER($BM$773),$B$677=1),$BM$773,HLOOKUP(INDIRECT(ADDRESS(2,COLUMN())),OFFSET($BN$2,0,0,ROW()-1,60),ROW()-1,FALSE))</f>
        <v/>
      </c>
      <c r="BN101" t="str">
        <f>""</f>
        <v/>
      </c>
      <c r="BO101" t="str">
        <f>""</f>
        <v/>
      </c>
      <c r="BP101" t="str">
        <f>""</f>
        <v/>
      </c>
      <c r="BQ101" t="str">
        <f>""</f>
        <v/>
      </c>
      <c r="BR101" t="str">
        <f>""</f>
        <v/>
      </c>
      <c r="BS101" t="str">
        <f>""</f>
        <v/>
      </c>
      <c r="BT101" t="str">
        <f>""</f>
        <v/>
      </c>
      <c r="BU101" t="str">
        <f>""</f>
        <v/>
      </c>
      <c r="BV101" t="str">
        <f>""</f>
        <v/>
      </c>
      <c r="BW101" t="str">
        <f>""</f>
        <v/>
      </c>
      <c r="BX101" t="str">
        <f>""</f>
        <v/>
      </c>
      <c r="BY101" t="str">
        <f>""</f>
        <v/>
      </c>
      <c r="BZ101" t="str">
        <f>""</f>
        <v/>
      </c>
      <c r="CA101" t="str">
        <f>""</f>
        <v/>
      </c>
      <c r="CB101" t="str">
        <f>""</f>
        <v/>
      </c>
      <c r="CC101" t="str">
        <f>""</f>
        <v/>
      </c>
      <c r="CD101" t="str">
        <f>""</f>
        <v/>
      </c>
      <c r="CE101" t="str">
        <f>""</f>
        <v/>
      </c>
      <c r="CF101" t="str">
        <f>""</f>
        <v/>
      </c>
      <c r="CG101" t="str">
        <f>""</f>
        <v/>
      </c>
      <c r="CH101" t="str">
        <f>""</f>
        <v/>
      </c>
      <c r="CI101" t="str">
        <f>""</f>
        <v/>
      </c>
      <c r="CJ101" t="str">
        <f>""</f>
        <v/>
      </c>
      <c r="CK101" t="str">
        <f>""</f>
        <v/>
      </c>
      <c r="CL101" t="str">
        <f>""</f>
        <v/>
      </c>
      <c r="CM101" t="str">
        <f>""</f>
        <v/>
      </c>
      <c r="CN101" t="str">
        <f>""</f>
        <v/>
      </c>
      <c r="CO101" t="str">
        <f>""</f>
        <v/>
      </c>
      <c r="CP101" t="str">
        <f>""</f>
        <v/>
      </c>
      <c r="CQ101" t="str">
        <f>""</f>
        <v/>
      </c>
      <c r="CR101" t="str">
        <f>""</f>
        <v/>
      </c>
      <c r="CS101" t="str">
        <f>""</f>
        <v/>
      </c>
      <c r="CT101" t="str">
        <f>""</f>
        <v/>
      </c>
      <c r="CU101" t="str">
        <f>""</f>
        <v/>
      </c>
      <c r="CV101" t="str">
        <f>""</f>
        <v/>
      </c>
      <c r="CW101" t="str">
        <f>""</f>
        <v/>
      </c>
      <c r="CX101" t="str">
        <f>""</f>
        <v/>
      </c>
      <c r="CY101" t="str">
        <f>""</f>
        <v/>
      </c>
      <c r="CZ101" t="str">
        <f>""</f>
        <v/>
      </c>
      <c r="DA101" t="str">
        <f>""</f>
        <v/>
      </c>
      <c r="DB101" t="str">
        <f>""</f>
        <v/>
      </c>
      <c r="DC101" t="str">
        <f>""</f>
        <v/>
      </c>
      <c r="DD101" t="str">
        <f>""</f>
        <v/>
      </c>
      <c r="DE101" t="str">
        <f>""</f>
        <v/>
      </c>
      <c r="DF101" t="str">
        <f>""</f>
        <v/>
      </c>
      <c r="DG101" t="str">
        <f>""</f>
        <v/>
      </c>
      <c r="DH101" t="str">
        <f>""</f>
        <v/>
      </c>
      <c r="DI101" t="str">
        <f>""</f>
        <v/>
      </c>
      <c r="DJ101" t="str">
        <f>""</f>
        <v/>
      </c>
      <c r="DK101" t="str">
        <f>""</f>
        <v/>
      </c>
      <c r="DL101" t="str">
        <f>""</f>
        <v/>
      </c>
      <c r="DM101" t="str">
        <f>""</f>
        <v/>
      </c>
      <c r="DN101" t="str">
        <f>""</f>
        <v/>
      </c>
      <c r="DO101" t="str">
        <f>""</f>
        <v/>
      </c>
      <c r="DP101" t="str">
        <f>""</f>
        <v/>
      </c>
      <c r="DQ101" t="str">
        <f>""</f>
        <v/>
      </c>
      <c r="DR101" t="str">
        <f>""</f>
        <v/>
      </c>
      <c r="DS101" t="str">
        <f>""</f>
        <v/>
      </c>
      <c r="DT101" t="str">
        <f>""</f>
        <v/>
      </c>
      <c r="DU101" t="str">
        <f>""</f>
        <v/>
      </c>
    </row>
    <row r="102" spans="1:125" x14ac:dyDescent="0.25">
      <c r="A102" t="str">
        <f>"    Geely Automobile Holdings Ltd"</f>
        <v xml:space="preserve">    Geely Automobile Holdings Ltd</v>
      </c>
      <c r="B102" t="str">
        <f>"175 HK Equity"</f>
        <v>175 HK Equity</v>
      </c>
      <c r="C102" t="str">
        <f t="shared" si="6"/>
        <v>EZ010</v>
      </c>
      <c r="D102" t="str">
        <f t="shared" si="7"/>
        <v>BEST_EST_PE_NXT_YR</v>
      </c>
      <c r="E102" t="str">
        <f t="shared" si="8"/>
        <v>Dynamic</v>
      </c>
      <c r="F102">
        <f ca="1">IF(AND(ISNUMBER($F$774),$B$677=1),$F$774,HLOOKUP(INDIRECT(ADDRESS(2,COLUMN())),OFFSET($BN$2,0,0,ROW()-1,60),ROW()-1,FALSE))</f>
        <v>8.6089911909999994</v>
      </c>
      <c r="G102">
        <f ca="1">IF(AND(ISNUMBER($G$774),$B$677=1),$G$774,HLOOKUP(INDIRECT(ADDRESS(2,COLUMN())),OFFSET($BN$2,0,0,ROW()-1,60),ROW()-1,FALSE))</f>
        <v>6.6481741980000004</v>
      </c>
      <c r="H102">
        <f ca="1">IF(AND(ISNUMBER($H$774),$B$677=1),$H$774,HLOOKUP(INDIRECT(ADDRESS(2,COLUMN())),OFFSET($BN$2,0,0,ROW()-1,60),ROW()-1,FALSE))</f>
        <v>7.1506177580000001</v>
      </c>
      <c r="I102">
        <f ca="1">IF(AND(ISNUMBER($I$774),$B$677=1),$I$774,HLOOKUP(INDIRECT(ADDRESS(2,COLUMN())),OFFSET($BN$2,0,0,ROW()-1,60),ROW()-1,FALSE))</f>
        <v>8.6504671779999995</v>
      </c>
      <c r="J102">
        <f ca="1">IF(AND(ISNUMBER($J$774),$B$677=1),$J$774,HLOOKUP(INDIRECT(ADDRESS(2,COLUMN())),OFFSET($BN$2,0,0,ROW()-1,60),ROW()-1,FALSE))</f>
        <v>9.298731772</v>
      </c>
      <c r="K102">
        <f ca="1">IF(AND(ISNUMBER($K$774),$B$677=1),$K$774,HLOOKUP(INDIRECT(ADDRESS(2,COLUMN())),OFFSET($BN$2,0,0,ROW()-1,60),ROW()-1,FALSE))</f>
        <v>11.96766637</v>
      </c>
      <c r="L102">
        <f ca="1">IF(AND(ISNUMBER($L$774),$B$677=1),$L$774,HLOOKUP(INDIRECT(ADDRESS(2,COLUMN())),OFFSET($BN$2,0,0,ROW()-1,60),ROW()-1,FALSE))</f>
        <v>11.338320769999999</v>
      </c>
      <c r="M102">
        <f ca="1">IF(AND(ISNUMBER($M$774),$B$677=1),$M$774,HLOOKUP(INDIRECT(ADDRESS(2,COLUMN())),OFFSET($BN$2,0,0,ROW()-1,60),ROW()-1,FALSE))</f>
        <v>10.49125035</v>
      </c>
      <c r="N102">
        <f ca="1">IF(AND(ISNUMBER($N$774),$B$677=1),$N$774,HLOOKUP(INDIRECT(ADDRESS(2,COLUMN())),OFFSET($BN$2,0,0,ROW()-1,60),ROW()-1,FALSE))</f>
        <v>8.2082838700000007</v>
      </c>
      <c r="O102">
        <f ca="1">IF(AND(ISNUMBER($O$774),$B$677=1),$O$774,HLOOKUP(INDIRECT(ADDRESS(2,COLUMN())),OFFSET($BN$2,0,0,ROW()-1,60),ROW()-1,FALSE))</f>
        <v>15.790264990000001</v>
      </c>
      <c r="P102">
        <f ca="1">IF(AND(ISNUMBER($P$774),$B$677=1),$P$774,HLOOKUP(INDIRECT(ADDRESS(2,COLUMN())),OFFSET($BN$2,0,0,ROW()-1,60),ROW()-1,FALSE))</f>
        <v>14.16205433</v>
      </c>
      <c r="Q102" t="str">
        <f ca="1">IF(AND(ISNUMBER($Q$774),$B$677=1),$Q$774,HLOOKUP(INDIRECT(ADDRESS(2,COLUMN())),OFFSET($BN$2,0,0,ROW()-1,60),ROW()-1,FALSE))</f>
        <v/>
      </c>
      <c r="R102" t="str">
        <f ca="1">IF(AND(ISNUMBER($R$774),$B$677=1),$R$774,HLOOKUP(INDIRECT(ADDRESS(2,COLUMN())),OFFSET($BN$2,0,0,ROW()-1,60),ROW()-1,FALSE))</f>
        <v/>
      </c>
      <c r="S102" t="str">
        <f ca="1">IF(AND(ISNUMBER($S$774),$B$677=1),$S$774,HLOOKUP(INDIRECT(ADDRESS(2,COLUMN())),OFFSET($BN$2,0,0,ROW()-1,60),ROW()-1,FALSE))</f>
        <v/>
      </c>
      <c r="T102" t="str">
        <f ca="1">IF(AND(ISNUMBER($T$774),$B$677=1),$T$774,HLOOKUP(INDIRECT(ADDRESS(2,COLUMN())),OFFSET($BN$2,0,0,ROW()-1,60),ROW()-1,FALSE))</f>
        <v/>
      </c>
      <c r="U102" t="str">
        <f ca="1">IF(AND(ISNUMBER($U$774),$B$677=1),$U$774,HLOOKUP(INDIRECT(ADDRESS(2,COLUMN())),OFFSET($BN$2,0,0,ROW()-1,60),ROW()-1,FALSE))</f>
        <v/>
      </c>
      <c r="V102" t="str">
        <f ca="1">IF(AND(ISNUMBER($V$774),$B$677=1),$V$774,HLOOKUP(INDIRECT(ADDRESS(2,COLUMN())),OFFSET($BN$2,0,0,ROW()-1,60),ROW()-1,FALSE))</f>
        <v/>
      </c>
      <c r="W102" t="str">
        <f ca="1">IF(AND(ISNUMBER($W$774),$B$677=1),$W$774,HLOOKUP(INDIRECT(ADDRESS(2,COLUMN())),OFFSET($BN$2,0,0,ROW()-1,60),ROW()-1,FALSE))</f>
        <v/>
      </c>
      <c r="X102" t="str">
        <f ca="1">IF(AND(ISNUMBER($X$774),$B$677=1),$X$774,HLOOKUP(INDIRECT(ADDRESS(2,COLUMN())),OFFSET($BN$2,0,0,ROW()-1,60),ROW()-1,FALSE))</f>
        <v/>
      </c>
      <c r="Y102" t="str">
        <f ca="1">IF(AND(ISNUMBER($Y$774),$B$677=1),$Y$774,HLOOKUP(INDIRECT(ADDRESS(2,COLUMN())),OFFSET($BN$2,0,0,ROW()-1,60),ROW()-1,FALSE))</f>
        <v/>
      </c>
      <c r="Z102" t="str">
        <f ca="1">IF(AND(ISNUMBER($Z$774),$B$677=1),$Z$774,HLOOKUP(INDIRECT(ADDRESS(2,COLUMN())),OFFSET($BN$2,0,0,ROW()-1,60),ROW()-1,FALSE))</f>
        <v/>
      </c>
      <c r="AA102" t="str">
        <f ca="1">IF(AND(ISNUMBER($AA$774),$B$677=1),$AA$774,HLOOKUP(INDIRECT(ADDRESS(2,COLUMN())),OFFSET($BN$2,0,0,ROW()-1,60),ROW()-1,FALSE))</f>
        <v/>
      </c>
      <c r="AB102" t="str">
        <f ca="1">IF(AND(ISNUMBER($AB$774),$B$677=1),$AB$774,HLOOKUP(INDIRECT(ADDRESS(2,COLUMN())),OFFSET($BN$2,0,0,ROW()-1,60),ROW()-1,FALSE))</f>
        <v/>
      </c>
      <c r="AC102" t="str">
        <f ca="1">IF(AND(ISNUMBER($AC$774),$B$677=1),$AC$774,HLOOKUP(INDIRECT(ADDRESS(2,COLUMN())),OFFSET($BN$2,0,0,ROW()-1,60),ROW()-1,FALSE))</f>
        <v/>
      </c>
      <c r="AD102" t="str">
        <f ca="1">IF(AND(ISNUMBER($AD$774),$B$677=1),$AD$774,HLOOKUP(INDIRECT(ADDRESS(2,COLUMN())),OFFSET($BN$2,0,0,ROW()-1,60),ROW()-1,FALSE))</f>
        <v/>
      </c>
      <c r="AE102" t="str">
        <f ca="1">IF(AND(ISNUMBER($AE$774),$B$677=1),$AE$774,HLOOKUP(INDIRECT(ADDRESS(2,COLUMN())),OFFSET($BN$2,0,0,ROW()-1,60),ROW()-1,FALSE))</f>
        <v/>
      </c>
      <c r="AF102" t="str">
        <f ca="1">IF(AND(ISNUMBER($AF$774),$B$677=1),$AF$774,HLOOKUP(INDIRECT(ADDRESS(2,COLUMN())),OFFSET($BN$2,0,0,ROW()-1,60),ROW()-1,FALSE))</f>
        <v/>
      </c>
      <c r="AG102" t="str">
        <f ca="1">IF(AND(ISNUMBER($AG$774),$B$677=1),$AG$774,HLOOKUP(INDIRECT(ADDRESS(2,COLUMN())),OFFSET($BN$2,0,0,ROW()-1,60),ROW()-1,FALSE))</f>
        <v/>
      </c>
      <c r="AH102" t="str">
        <f ca="1">IF(AND(ISNUMBER($AH$774),$B$677=1),$AH$774,HLOOKUP(INDIRECT(ADDRESS(2,COLUMN())),OFFSET($BN$2,0,0,ROW()-1,60),ROW()-1,FALSE))</f>
        <v/>
      </c>
      <c r="AI102" t="str">
        <f ca="1">IF(AND(ISNUMBER($AI$774),$B$677=1),$AI$774,HLOOKUP(INDIRECT(ADDRESS(2,COLUMN())),OFFSET($BN$2,0,0,ROW()-1,60),ROW()-1,FALSE))</f>
        <v/>
      </c>
      <c r="AJ102" t="str">
        <f ca="1">IF(AND(ISNUMBER($AJ$774),$B$677=1),$AJ$774,HLOOKUP(INDIRECT(ADDRESS(2,COLUMN())),OFFSET($BN$2,0,0,ROW()-1,60),ROW()-1,FALSE))</f>
        <v/>
      </c>
      <c r="AK102" t="str">
        <f ca="1">IF(AND(ISNUMBER($AK$774),$B$677=1),$AK$774,HLOOKUP(INDIRECT(ADDRESS(2,COLUMN())),OFFSET($BN$2,0,0,ROW()-1,60),ROW()-1,FALSE))</f>
        <v/>
      </c>
      <c r="AL102" t="str">
        <f ca="1">IF(AND(ISNUMBER($AL$774),$B$677=1),$AL$774,HLOOKUP(INDIRECT(ADDRESS(2,COLUMN())),OFFSET($BN$2,0,0,ROW()-1,60),ROW()-1,FALSE))</f>
        <v/>
      </c>
      <c r="AM102" t="str">
        <f ca="1">IF(AND(ISNUMBER($AM$774),$B$677=1),$AM$774,HLOOKUP(INDIRECT(ADDRESS(2,COLUMN())),OFFSET($BN$2,0,0,ROW()-1,60),ROW()-1,FALSE))</f>
        <v/>
      </c>
      <c r="AN102" t="str">
        <f ca="1">IF(AND(ISNUMBER($AN$774),$B$677=1),$AN$774,HLOOKUP(INDIRECT(ADDRESS(2,COLUMN())),OFFSET($BN$2,0,0,ROW()-1,60),ROW()-1,FALSE))</f>
        <v/>
      </c>
      <c r="AO102" t="str">
        <f ca="1">IF(AND(ISNUMBER($AO$774),$B$677=1),$AO$774,HLOOKUP(INDIRECT(ADDRESS(2,COLUMN())),OFFSET($BN$2,0,0,ROW()-1,60),ROW()-1,FALSE))</f>
        <v/>
      </c>
      <c r="AP102" t="str">
        <f ca="1">IF(AND(ISNUMBER($AP$774),$B$677=1),$AP$774,HLOOKUP(INDIRECT(ADDRESS(2,COLUMN())),OFFSET($BN$2,0,0,ROW()-1,60),ROW()-1,FALSE))</f>
        <v/>
      </c>
      <c r="AQ102" t="str">
        <f ca="1">IF(AND(ISNUMBER($AQ$774),$B$677=1),$AQ$774,HLOOKUP(INDIRECT(ADDRESS(2,COLUMN())),OFFSET($BN$2,0,0,ROW()-1,60),ROW()-1,FALSE))</f>
        <v/>
      </c>
      <c r="AR102" t="str">
        <f ca="1">IF(AND(ISNUMBER($AR$774),$B$677=1),$AR$774,HLOOKUP(INDIRECT(ADDRESS(2,COLUMN())),OFFSET($BN$2,0,0,ROW()-1,60),ROW()-1,FALSE))</f>
        <v/>
      </c>
      <c r="AS102" t="str">
        <f ca="1">IF(AND(ISNUMBER($AS$774),$B$677=1),$AS$774,HLOOKUP(INDIRECT(ADDRESS(2,COLUMN())),OFFSET($BN$2,0,0,ROW()-1,60),ROW()-1,FALSE))</f>
        <v/>
      </c>
      <c r="AT102" t="str">
        <f ca="1">IF(AND(ISNUMBER($AT$774),$B$677=1),$AT$774,HLOOKUP(INDIRECT(ADDRESS(2,COLUMN())),OFFSET($BN$2,0,0,ROW()-1,60),ROW()-1,FALSE))</f>
        <v/>
      </c>
      <c r="AU102" t="str">
        <f ca="1">IF(AND(ISNUMBER($AU$774),$B$677=1),$AU$774,HLOOKUP(INDIRECT(ADDRESS(2,COLUMN())),OFFSET($BN$2,0,0,ROW()-1,60),ROW()-1,FALSE))</f>
        <v/>
      </c>
      <c r="AV102" t="str">
        <f ca="1">IF(AND(ISNUMBER($AV$774),$B$677=1),$AV$774,HLOOKUP(INDIRECT(ADDRESS(2,COLUMN())),OFFSET($BN$2,0,0,ROW()-1,60),ROW()-1,FALSE))</f>
        <v/>
      </c>
      <c r="AW102" t="str">
        <f ca="1">IF(AND(ISNUMBER($AW$774),$B$677=1),$AW$774,HLOOKUP(INDIRECT(ADDRESS(2,COLUMN())),OFFSET($BN$2,0,0,ROW()-1,60),ROW()-1,FALSE))</f>
        <v/>
      </c>
      <c r="AX102" t="str">
        <f ca="1">IF(AND(ISNUMBER($AX$774),$B$677=1),$AX$774,HLOOKUP(INDIRECT(ADDRESS(2,COLUMN())),OFFSET($BN$2,0,0,ROW()-1,60),ROW()-1,FALSE))</f>
        <v/>
      </c>
      <c r="AY102" t="str">
        <f ca="1">IF(AND(ISNUMBER($AY$774),$B$677=1),$AY$774,HLOOKUP(INDIRECT(ADDRESS(2,COLUMN())),OFFSET($BN$2,0,0,ROW()-1,60),ROW()-1,FALSE))</f>
        <v/>
      </c>
      <c r="AZ102" t="str">
        <f ca="1">IF(AND(ISNUMBER($AZ$774),$B$677=1),$AZ$774,HLOOKUP(INDIRECT(ADDRESS(2,COLUMN())),OFFSET($BN$2,0,0,ROW()-1,60),ROW()-1,FALSE))</f>
        <v/>
      </c>
      <c r="BA102" t="str">
        <f ca="1">IF(AND(ISNUMBER($BA$774),$B$677=1),$BA$774,HLOOKUP(INDIRECT(ADDRESS(2,COLUMN())),OFFSET($BN$2,0,0,ROW()-1,60),ROW()-1,FALSE))</f>
        <v/>
      </c>
      <c r="BB102" t="str">
        <f ca="1">IF(AND(ISNUMBER($BB$774),$B$677=1),$BB$774,HLOOKUP(INDIRECT(ADDRESS(2,COLUMN())),OFFSET($BN$2,0,0,ROW()-1,60),ROW()-1,FALSE))</f>
        <v/>
      </c>
      <c r="BC102" t="str">
        <f ca="1">IF(AND(ISNUMBER($BC$774),$B$677=1),$BC$774,HLOOKUP(INDIRECT(ADDRESS(2,COLUMN())),OFFSET($BN$2,0,0,ROW()-1,60),ROW()-1,FALSE))</f>
        <v/>
      </c>
      <c r="BD102" t="str">
        <f ca="1">IF(AND(ISNUMBER($BD$774),$B$677=1),$BD$774,HLOOKUP(INDIRECT(ADDRESS(2,COLUMN())),OFFSET($BN$2,0,0,ROW()-1,60),ROW()-1,FALSE))</f>
        <v/>
      </c>
      <c r="BE102" t="str">
        <f ca="1">IF(AND(ISNUMBER($BE$774),$B$677=1),$BE$774,HLOOKUP(INDIRECT(ADDRESS(2,COLUMN())),OFFSET($BN$2,0,0,ROW()-1,60),ROW()-1,FALSE))</f>
        <v/>
      </c>
      <c r="BF102" t="str">
        <f ca="1">IF(AND(ISNUMBER($BF$774),$B$677=1),$BF$774,HLOOKUP(INDIRECT(ADDRESS(2,COLUMN())),OFFSET($BN$2,0,0,ROW()-1,60),ROW()-1,FALSE))</f>
        <v/>
      </c>
      <c r="BG102" t="str">
        <f ca="1">IF(AND(ISNUMBER($BG$774),$B$677=1),$BG$774,HLOOKUP(INDIRECT(ADDRESS(2,COLUMN())),OFFSET($BN$2,0,0,ROW()-1,60),ROW()-1,FALSE))</f>
        <v/>
      </c>
      <c r="BH102" t="str">
        <f ca="1">IF(AND(ISNUMBER($BH$774),$B$677=1),$BH$774,HLOOKUP(INDIRECT(ADDRESS(2,COLUMN())),OFFSET($BN$2,0,0,ROW()-1,60),ROW()-1,FALSE))</f>
        <v/>
      </c>
      <c r="BI102" t="str">
        <f ca="1">IF(AND(ISNUMBER($BI$774),$B$677=1),$BI$774,HLOOKUP(INDIRECT(ADDRESS(2,COLUMN())),OFFSET($BN$2,0,0,ROW()-1,60),ROW()-1,FALSE))</f>
        <v/>
      </c>
      <c r="BJ102" t="str">
        <f ca="1">IF(AND(ISNUMBER($BJ$774),$B$677=1),$BJ$774,HLOOKUP(INDIRECT(ADDRESS(2,COLUMN())),OFFSET($BN$2,0,0,ROW()-1,60),ROW()-1,FALSE))</f>
        <v/>
      </c>
      <c r="BK102" t="str">
        <f ca="1">IF(AND(ISNUMBER($BK$774),$B$677=1),$BK$774,HLOOKUP(INDIRECT(ADDRESS(2,COLUMN())),OFFSET($BN$2,0,0,ROW()-1,60),ROW()-1,FALSE))</f>
        <v/>
      </c>
      <c r="BL102" t="str">
        <f ca="1">IF(AND(ISNUMBER($BL$774),$B$677=1),$BL$774,HLOOKUP(INDIRECT(ADDRESS(2,COLUMN())),OFFSET($BN$2,0,0,ROW()-1,60),ROW()-1,FALSE))</f>
        <v/>
      </c>
      <c r="BM102" t="str">
        <f ca="1">IF(AND(ISNUMBER($BM$774),$B$677=1),$BM$774,HLOOKUP(INDIRECT(ADDRESS(2,COLUMN())),OFFSET($BN$2,0,0,ROW()-1,60),ROW()-1,FALSE))</f>
        <v/>
      </c>
      <c r="BN102">
        <f>8.608991191</f>
        <v>8.6089911909999994</v>
      </c>
      <c r="BO102">
        <f>6.648174198</f>
        <v>6.6481741980000004</v>
      </c>
      <c r="BP102">
        <f>7.150617758</f>
        <v>7.1506177580000001</v>
      </c>
      <c r="BQ102">
        <f>8.650467178</f>
        <v>8.6504671779999995</v>
      </c>
      <c r="BR102">
        <f>9.298731772</f>
        <v>9.298731772</v>
      </c>
      <c r="BS102">
        <f>11.96766637</f>
        <v>11.96766637</v>
      </c>
      <c r="BT102">
        <f>11.33832077</f>
        <v>11.338320769999999</v>
      </c>
      <c r="BU102">
        <f>10.49125035</f>
        <v>10.49125035</v>
      </c>
      <c r="BV102">
        <f>8.20828387</f>
        <v>8.2082838700000007</v>
      </c>
      <c r="BW102">
        <f>15.79026499</f>
        <v>15.790264990000001</v>
      </c>
      <c r="BX102">
        <f>14.16205433</f>
        <v>14.16205433</v>
      </c>
      <c r="BY102" t="str">
        <f>""</f>
        <v/>
      </c>
      <c r="BZ102" t="str">
        <f>""</f>
        <v/>
      </c>
      <c r="CA102" t="str">
        <f>""</f>
        <v/>
      </c>
      <c r="CB102" t="str">
        <f>""</f>
        <v/>
      </c>
      <c r="CC102" t="str">
        <f>""</f>
        <v/>
      </c>
      <c r="CD102" t="str">
        <f>""</f>
        <v/>
      </c>
      <c r="CE102" t="str">
        <f>""</f>
        <v/>
      </c>
      <c r="CF102" t="str">
        <f>""</f>
        <v/>
      </c>
      <c r="CG102" t="str">
        <f>""</f>
        <v/>
      </c>
      <c r="CH102" t="str">
        <f>""</f>
        <v/>
      </c>
      <c r="CI102" t="str">
        <f>""</f>
        <v/>
      </c>
      <c r="CJ102" t="str">
        <f>""</f>
        <v/>
      </c>
      <c r="CK102" t="str">
        <f>""</f>
        <v/>
      </c>
      <c r="CL102" t="str">
        <f>""</f>
        <v/>
      </c>
      <c r="CM102" t="str">
        <f>""</f>
        <v/>
      </c>
      <c r="CN102" t="str">
        <f>""</f>
        <v/>
      </c>
      <c r="CO102" t="str">
        <f>""</f>
        <v/>
      </c>
      <c r="CP102" t="str">
        <f>""</f>
        <v/>
      </c>
      <c r="CQ102" t="str">
        <f>""</f>
        <v/>
      </c>
      <c r="CR102" t="str">
        <f>""</f>
        <v/>
      </c>
      <c r="CS102" t="str">
        <f>""</f>
        <v/>
      </c>
      <c r="CT102" t="str">
        <f>""</f>
        <v/>
      </c>
      <c r="CU102" t="str">
        <f>""</f>
        <v/>
      </c>
      <c r="CV102" t="str">
        <f>""</f>
        <v/>
      </c>
      <c r="CW102" t="str">
        <f>""</f>
        <v/>
      </c>
      <c r="CX102" t="str">
        <f>""</f>
        <v/>
      </c>
      <c r="CY102" t="str">
        <f>""</f>
        <v/>
      </c>
      <c r="CZ102" t="str">
        <f>""</f>
        <v/>
      </c>
      <c r="DA102" t="str">
        <f>""</f>
        <v/>
      </c>
      <c r="DB102" t="str">
        <f>""</f>
        <v/>
      </c>
      <c r="DC102" t="str">
        <f>""</f>
        <v/>
      </c>
      <c r="DD102" t="str">
        <f>""</f>
        <v/>
      </c>
      <c r="DE102" t="str">
        <f>""</f>
        <v/>
      </c>
      <c r="DF102" t="str">
        <f>""</f>
        <v/>
      </c>
      <c r="DG102" t="str">
        <f>""</f>
        <v/>
      </c>
      <c r="DH102" t="str">
        <f>""</f>
        <v/>
      </c>
      <c r="DI102" t="str">
        <f>""</f>
        <v/>
      </c>
      <c r="DJ102" t="str">
        <f>""</f>
        <v/>
      </c>
      <c r="DK102" t="str">
        <f>""</f>
        <v/>
      </c>
      <c r="DL102" t="str">
        <f>""</f>
        <v/>
      </c>
      <c r="DM102" t="str">
        <f>""</f>
        <v/>
      </c>
      <c r="DN102" t="str">
        <f>""</f>
        <v/>
      </c>
      <c r="DO102" t="str">
        <f>""</f>
        <v/>
      </c>
      <c r="DP102" t="str">
        <f>""</f>
        <v/>
      </c>
      <c r="DQ102" t="str">
        <f>""</f>
        <v/>
      </c>
      <c r="DR102" t="str">
        <f>""</f>
        <v/>
      </c>
      <c r="DS102" t="str">
        <f>""</f>
        <v/>
      </c>
      <c r="DT102" t="str">
        <f>""</f>
        <v/>
      </c>
      <c r="DU102" t="str">
        <f>""</f>
        <v/>
      </c>
    </row>
    <row r="103" spans="1:125" x14ac:dyDescent="0.25">
      <c r="A103" t="str">
        <f>"    General Motors Co"</f>
        <v xml:space="preserve">    General Motors Co</v>
      </c>
      <c r="B103" t="str">
        <f>"GM US Equity"</f>
        <v>GM US Equity</v>
      </c>
      <c r="C103" t="str">
        <f t="shared" si="6"/>
        <v>EZ010</v>
      </c>
      <c r="D103" t="str">
        <f t="shared" si="7"/>
        <v>BEST_EST_PE_NXT_YR</v>
      </c>
      <c r="E103" t="str">
        <f t="shared" si="8"/>
        <v>Dynamic</v>
      </c>
      <c r="F103">
        <f ca="1">IF(AND(ISNUMBER($F$775),$B$677=1),$F$775,HLOOKUP(INDIRECT(ADDRESS(2,COLUMN())),OFFSET($BN$2,0,0,ROW()-1,60),ROW()-1,FALSE))</f>
        <v>6.214398976</v>
      </c>
      <c r="G103">
        <f ca="1">IF(AND(ISNUMBER($G$775),$B$677=1),$G$775,HLOOKUP(INDIRECT(ADDRESS(2,COLUMN())),OFFSET($BN$2,0,0,ROW()-1,60),ROW()-1,FALSE))</f>
        <v>5.6455696199999998</v>
      </c>
      <c r="H103">
        <f ca="1">IF(AND(ISNUMBER($H$775),$B$677=1),$H$775,HLOOKUP(INDIRECT(ADDRESS(2,COLUMN())),OFFSET($BN$2,0,0,ROW()-1,60),ROW()-1,FALSE))</f>
        <v>5.9049456329999996</v>
      </c>
      <c r="I103">
        <f ca="1">IF(AND(ISNUMBER($I$775),$B$677=1),$I$775,HLOOKUP(INDIRECT(ADDRESS(2,COLUMN())),OFFSET($BN$2,0,0,ROW()-1,60),ROW()-1,FALSE))</f>
        <v>6.377468436</v>
      </c>
      <c r="J103">
        <f ca="1">IF(AND(ISNUMBER($J$775),$B$677=1),$J$775,HLOOKUP(INDIRECT(ADDRESS(2,COLUMN())),OFFSET($BN$2,0,0,ROW()-1,60),ROW()-1,FALSE))</f>
        <v>5.9740259739999999</v>
      </c>
      <c r="K103">
        <f ca="1">IF(AND(ISNUMBER($K$775),$B$677=1),$K$775,HLOOKUP(INDIRECT(ADDRESS(2,COLUMN())),OFFSET($BN$2,0,0,ROW()-1,60),ROW()-1,FALSE))</f>
        <v>6.5198027679999999</v>
      </c>
      <c r="L103">
        <f ca="1">IF(AND(ISNUMBER($L$775),$B$677=1),$L$775,HLOOKUP(INDIRECT(ADDRESS(2,COLUMN())),OFFSET($BN$2,0,0,ROW()-1,60),ROW()-1,FALSE))</f>
        <v>7.1876112499999998</v>
      </c>
      <c r="M103">
        <f ca="1">IF(AND(ISNUMBER($M$775),$B$677=1),$M$775,HLOOKUP(INDIRECT(ADDRESS(2,COLUMN())),OFFSET($BN$2,0,0,ROW()-1,60),ROW()-1,FALSE))</f>
        <v>6.0747826089999997</v>
      </c>
      <c r="N103">
        <f ca="1">IF(AND(ISNUMBER($N$775),$B$677=1),$N$775,HLOOKUP(INDIRECT(ADDRESS(2,COLUMN())),OFFSET($BN$2,0,0,ROW()-1,60),ROW()-1,FALSE))</f>
        <v>5.8591549299999999</v>
      </c>
      <c r="O103">
        <f ca="1">IF(AND(ISNUMBER($O$775),$B$677=1),$O$775,HLOOKUP(INDIRECT(ADDRESS(2,COLUMN())),OFFSET($BN$2,0,0,ROW()-1,60),ROW()-1,FALSE))</f>
        <v>6.3751143639999999</v>
      </c>
      <c r="P103">
        <f ca="1">IF(AND(ISNUMBER($P$775),$B$677=1),$P$775,HLOOKUP(INDIRECT(ADDRESS(2,COLUMN())),OFFSET($BN$2,0,0,ROW()-1,60),ROW()-1,FALSE))</f>
        <v>5.5834797890000001</v>
      </c>
      <c r="Q103">
        <f ca="1">IF(AND(ISNUMBER($Q$775),$B$677=1),$Q$775,HLOOKUP(INDIRECT(ADDRESS(2,COLUMN())),OFFSET($BN$2,0,0,ROW()-1,60),ROW()-1,FALSE))</f>
        <v>4.8376068380000001</v>
      </c>
      <c r="R103">
        <f ca="1">IF(AND(ISNUMBER($R$775),$B$677=1),$R$775,HLOOKUP(INDIRECT(ADDRESS(2,COLUMN())),OFFSET($BN$2,0,0,ROW()-1,60),ROW()-1,FALSE))</f>
        <v>4.9809825669999999</v>
      </c>
      <c r="S103">
        <f ca="1">IF(AND(ISNUMBER($S$775),$B$677=1),$S$775,HLOOKUP(INDIRECT(ADDRESS(2,COLUMN())),OFFSET($BN$2,0,0,ROW()-1,60),ROW()-1,FALSE))</f>
        <v>5.3898573689999996</v>
      </c>
      <c r="T103" t="str">
        <f ca="1">IF(AND(ISNUMBER($T$775),$B$677=1),$T$775,HLOOKUP(INDIRECT(ADDRESS(2,COLUMN())),OFFSET($BN$2,0,0,ROW()-1,60),ROW()-1,FALSE))</f>
        <v/>
      </c>
      <c r="U103" t="str">
        <f ca="1">IF(AND(ISNUMBER($U$775),$B$677=1),$U$775,HLOOKUP(INDIRECT(ADDRESS(2,COLUMN())),OFFSET($BN$2,0,0,ROW()-1,60),ROW()-1,FALSE))</f>
        <v/>
      </c>
      <c r="V103" t="str">
        <f ca="1">IF(AND(ISNUMBER($V$775),$B$677=1),$V$775,HLOOKUP(INDIRECT(ADDRESS(2,COLUMN())),OFFSET($BN$2,0,0,ROW()-1,60),ROW()-1,FALSE))</f>
        <v/>
      </c>
      <c r="W103" t="str">
        <f ca="1">IF(AND(ISNUMBER($W$775),$B$677=1),$W$775,HLOOKUP(INDIRECT(ADDRESS(2,COLUMN())),OFFSET($BN$2,0,0,ROW()-1,60),ROW()-1,FALSE))</f>
        <v/>
      </c>
      <c r="X103" t="str">
        <f ca="1">IF(AND(ISNUMBER($X$775),$B$677=1),$X$775,HLOOKUP(INDIRECT(ADDRESS(2,COLUMN())),OFFSET($BN$2,0,0,ROW()-1,60),ROW()-1,FALSE))</f>
        <v/>
      </c>
      <c r="Y103" t="str">
        <f ca="1">IF(AND(ISNUMBER($Y$775),$B$677=1),$Y$775,HLOOKUP(INDIRECT(ADDRESS(2,COLUMN())),OFFSET($BN$2,0,0,ROW()-1,60),ROW()-1,FALSE))</f>
        <v/>
      </c>
      <c r="Z103" t="str">
        <f ca="1">IF(AND(ISNUMBER($Z$775),$B$677=1),$Z$775,HLOOKUP(INDIRECT(ADDRESS(2,COLUMN())),OFFSET($BN$2,0,0,ROW()-1,60),ROW()-1,FALSE))</f>
        <v/>
      </c>
      <c r="AA103" t="str">
        <f ca="1">IF(AND(ISNUMBER($AA$775),$B$677=1),$AA$775,HLOOKUP(INDIRECT(ADDRESS(2,COLUMN())),OFFSET($BN$2,0,0,ROW()-1,60),ROW()-1,FALSE))</f>
        <v/>
      </c>
      <c r="AB103" t="str">
        <f ca="1">IF(AND(ISNUMBER($AB$775),$B$677=1),$AB$775,HLOOKUP(INDIRECT(ADDRESS(2,COLUMN())),OFFSET($BN$2,0,0,ROW()-1,60),ROW()-1,FALSE))</f>
        <v/>
      </c>
      <c r="AC103" t="str">
        <f ca="1">IF(AND(ISNUMBER($AC$775),$B$677=1),$AC$775,HLOOKUP(INDIRECT(ADDRESS(2,COLUMN())),OFFSET($BN$2,0,0,ROW()-1,60),ROW()-1,FALSE))</f>
        <v/>
      </c>
      <c r="AD103" t="str">
        <f ca="1">IF(AND(ISNUMBER($AD$775),$B$677=1),$AD$775,HLOOKUP(INDIRECT(ADDRESS(2,COLUMN())),OFFSET($BN$2,0,0,ROW()-1,60),ROW()-1,FALSE))</f>
        <v/>
      </c>
      <c r="AE103" t="str">
        <f ca="1">IF(AND(ISNUMBER($AE$775),$B$677=1),$AE$775,HLOOKUP(INDIRECT(ADDRESS(2,COLUMN())),OFFSET($BN$2,0,0,ROW()-1,60),ROW()-1,FALSE))</f>
        <v/>
      </c>
      <c r="AF103" t="str">
        <f ca="1">IF(AND(ISNUMBER($AF$775),$B$677=1),$AF$775,HLOOKUP(INDIRECT(ADDRESS(2,COLUMN())),OFFSET($BN$2,0,0,ROW()-1,60),ROW()-1,FALSE))</f>
        <v/>
      </c>
      <c r="AG103" t="str">
        <f ca="1">IF(AND(ISNUMBER($AG$775),$B$677=1),$AG$775,HLOOKUP(INDIRECT(ADDRESS(2,COLUMN())),OFFSET($BN$2,0,0,ROW()-1,60),ROW()-1,FALSE))</f>
        <v/>
      </c>
      <c r="AH103" t="str">
        <f ca="1">IF(AND(ISNUMBER($AH$775),$B$677=1),$AH$775,HLOOKUP(INDIRECT(ADDRESS(2,COLUMN())),OFFSET($BN$2,0,0,ROW()-1,60),ROW()-1,FALSE))</f>
        <v/>
      </c>
      <c r="AI103" t="str">
        <f ca="1">IF(AND(ISNUMBER($AI$775),$B$677=1),$AI$775,HLOOKUP(INDIRECT(ADDRESS(2,COLUMN())),OFFSET($BN$2,0,0,ROW()-1,60),ROW()-1,FALSE))</f>
        <v/>
      </c>
      <c r="AJ103" t="str">
        <f ca="1">IF(AND(ISNUMBER($AJ$775),$B$677=1),$AJ$775,HLOOKUP(INDIRECT(ADDRESS(2,COLUMN())),OFFSET($BN$2,0,0,ROW()-1,60),ROW()-1,FALSE))</f>
        <v/>
      </c>
      <c r="AK103" t="str">
        <f ca="1">IF(AND(ISNUMBER($AK$775),$B$677=1),$AK$775,HLOOKUP(INDIRECT(ADDRESS(2,COLUMN())),OFFSET($BN$2,0,0,ROW()-1,60),ROW()-1,FALSE))</f>
        <v/>
      </c>
      <c r="AL103" t="str">
        <f ca="1">IF(AND(ISNUMBER($AL$775),$B$677=1),$AL$775,HLOOKUP(INDIRECT(ADDRESS(2,COLUMN())),OFFSET($BN$2,0,0,ROW()-1,60),ROW()-1,FALSE))</f>
        <v/>
      </c>
      <c r="AM103" t="str">
        <f ca="1">IF(AND(ISNUMBER($AM$775),$B$677=1),$AM$775,HLOOKUP(INDIRECT(ADDRESS(2,COLUMN())),OFFSET($BN$2,0,0,ROW()-1,60),ROW()-1,FALSE))</f>
        <v/>
      </c>
      <c r="AN103" t="str">
        <f ca="1">IF(AND(ISNUMBER($AN$775),$B$677=1),$AN$775,HLOOKUP(INDIRECT(ADDRESS(2,COLUMN())),OFFSET($BN$2,0,0,ROW()-1,60),ROW()-1,FALSE))</f>
        <v/>
      </c>
      <c r="AO103" t="str">
        <f ca="1">IF(AND(ISNUMBER($AO$775),$B$677=1),$AO$775,HLOOKUP(INDIRECT(ADDRESS(2,COLUMN())),OFFSET($BN$2,0,0,ROW()-1,60),ROW()-1,FALSE))</f>
        <v/>
      </c>
      <c r="AP103" t="str">
        <f ca="1">IF(AND(ISNUMBER($AP$775),$B$677=1),$AP$775,HLOOKUP(INDIRECT(ADDRESS(2,COLUMN())),OFFSET($BN$2,0,0,ROW()-1,60),ROW()-1,FALSE))</f>
        <v/>
      </c>
      <c r="AQ103" t="str">
        <f ca="1">IF(AND(ISNUMBER($AQ$775),$B$677=1),$AQ$775,HLOOKUP(INDIRECT(ADDRESS(2,COLUMN())),OFFSET($BN$2,0,0,ROW()-1,60),ROW()-1,FALSE))</f>
        <v/>
      </c>
      <c r="AR103" t="str">
        <f ca="1">IF(AND(ISNUMBER($AR$775),$B$677=1),$AR$775,HLOOKUP(INDIRECT(ADDRESS(2,COLUMN())),OFFSET($BN$2,0,0,ROW()-1,60),ROW()-1,FALSE))</f>
        <v/>
      </c>
      <c r="AS103" t="str">
        <f ca="1">IF(AND(ISNUMBER($AS$775),$B$677=1),$AS$775,HLOOKUP(INDIRECT(ADDRESS(2,COLUMN())),OFFSET($BN$2,0,0,ROW()-1,60),ROW()-1,FALSE))</f>
        <v/>
      </c>
      <c r="AT103" t="str">
        <f ca="1">IF(AND(ISNUMBER($AT$775),$B$677=1),$AT$775,HLOOKUP(INDIRECT(ADDRESS(2,COLUMN())),OFFSET($BN$2,0,0,ROW()-1,60),ROW()-1,FALSE))</f>
        <v/>
      </c>
      <c r="AU103" t="str">
        <f ca="1">IF(AND(ISNUMBER($AU$775),$B$677=1),$AU$775,HLOOKUP(INDIRECT(ADDRESS(2,COLUMN())),OFFSET($BN$2,0,0,ROW()-1,60),ROW()-1,FALSE))</f>
        <v/>
      </c>
      <c r="AV103" t="str">
        <f ca="1">IF(AND(ISNUMBER($AV$775),$B$677=1),$AV$775,HLOOKUP(INDIRECT(ADDRESS(2,COLUMN())),OFFSET($BN$2,0,0,ROW()-1,60),ROW()-1,FALSE))</f>
        <v/>
      </c>
      <c r="AW103" t="str">
        <f ca="1">IF(AND(ISNUMBER($AW$775),$B$677=1),$AW$775,HLOOKUP(INDIRECT(ADDRESS(2,COLUMN())),OFFSET($BN$2,0,0,ROW()-1,60),ROW()-1,FALSE))</f>
        <v/>
      </c>
      <c r="AX103" t="str">
        <f ca="1">IF(AND(ISNUMBER($AX$775),$B$677=1),$AX$775,HLOOKUP(INDIRECT(ADDRESS(2,COLUMN())),OFFSET($BN$2,0,0,ROW()-1,60),ROW()-1,FALSE))</f>
        <v/>
      </c>
      <c r="AY103" t="str">
        <f ca="1">IF(AND(ISNUMBER($AY$775),$B$677=1),$AY$775,HLOOKUP(INDIRECT(ADDRESS(2,COLUMN())),OFFSET($BN$2,0,0,ROW()-1,60),ROW()-1,FALSE))</f>
        <v/>
      </c>
      <c r="AZ103" t="str">
        <f ca="1">IF(AND(ISNUMBER($AZ$775),$B$677=1),$AZ$775,HLOOKUP(INDIRECT(ADDRESS(2,COLUMN())),OFFSET($BN$2,0,0,ROW()-1,60),ROW()-1,FALSE))</f>
        <v/>
      </c>
      <c r="BA103" t="str">
        <f ca="1">IF(AND(ISNUMBER($BA$775),$B$677=1),$BA$775,HLOOKUP(INDIRECT(ADDRESS(2,COLUMN())),OFFSET($BN$2,0,0,ROW()-1,60),ROW()-1,FALSE))</f>
        <v/>
      </c>
      <c r="BB103" t="str">
        <f ca="1">IF(AND(ISNUMBER($BB$775),$B$677=1),$BB$775,HLOOKUP(INDIRECT(ADDRESS(2,COLUMN())),OFFSET($BN$2,0,0,ROW()-1,60),ROW()-1,FALSE))</f>
        <v/>
      </c>
      <c r="BC103" t="str">
        <f ca="1">IF(AND(ISNUMBER($BC$775),$B$677=1),$BC$775,HLOOKUP(INDIRECT(ADDRESS(2,COLUMN())),OFFSET($BN$2,0,0,ROW()-1,60),ROW()-1,FALSE))</f>
        <v/>
      </c>
      <c r="BD103" t="str">
        <f ca="1">IF(AND(ISNUMBER($BD$775),$B$677=1),$BD$775,HLOOKUP(INDIRECT(ADDRESS(2,COLUMN())),OFFSET($BN$2,0,0,ROW()-1,60),ROW()-1,FALSE))</f>
        <v/>
      </c>
      <c r="BE103" t="str">
        <f ca="1">IF(AND(ISNUMBER($BE$775),$B$677=1),$BE$775,HLOOKUP(INDIRECT(ADDRESS(2,COLUMN())),OFFSET($BN$2,0,0,ROW()-1,60),ROW()-1,FALSE))</f>
        <v/>
      </c>
      <c r="BF103" t="str">
        <f ca="1">IF(AND(ISNUMBER($BF$775),$B$677=1),$BF$775,HLOOKUP(INDIRECT(ADDRESS(2,COLUMN())),OFFSET($BN$2,0,0,ROW()-1,60),ROW()-1,FALSE))</f>
        <v/>
      </c>
      <c r="BG103" t="str">
        <f ca="1">IF(AND(ISNUMBER($BG$775),$B$677=1),$BG$775,HLOOKUP(INDIRECT(ADDRESS(2,COLUMN())),OFFSET($BN$2,0,0,ROW()-1,60),ROW()-1,FALSE))</f>
        <v/>
      </c>
      <c r="BH103" t="str">
        <f ca="1">IF(AND(ISNUMBER($BH$775),$B$677=1),$BH$775,HLOOKUP(INDIRECT(ADDRESS(2,COLUMN())),OFFSET($BN$2,0,0,ROW()-1,60),ROW()-1,FALSE))</f>
        <v/>
      </c>
      <c r="BI103" t="str">
        <f ca="1">IF(AND(ISNUMBER($BI$775),$B$677=1),$BI$775,HLOOKUP(INDIRECT(ADDRESS(2,COLUMN())),OFFSET($BN$2,0,0,ROW()-1,60),ROW()-1,FALSE))</f>
        <v/>
      </c>
      <c r="BJ103" t="str">
        <f ca="1">IF(AND(ISNUMBER($BJ$775),$B$677=1),$BJ$775,HLOOKUP(INDIRECT(ADDRESS(2,COLUMN())),OFFSET($BN$2,0,0,ROW()-1,60),ROW()-1,FALSE))</f>
        <v/>
      </c>
      <c r="BK103" t="str">
        <f ca="1">IF(AND(ISNUMBER($BK$775),$B$677=1),$BK$775,HLOOKUP(INDIRECT(ADDRESS(2,COLUMN())),OFFSET($BN$2,0,0,ROW()-1,60),ROW()-1,FALSE))</f>
        <v/>
      </c>
      <c r="BL103" t="str">
        <f ca="1">IF(AND(ISNUMBER($BL$775),$B$677=1),$BL$775,HLOOKUP(INDIRECT(ADDRESS(2,COLUMN())),OFFSET($BN$2,0,0,ROW()-1,60),ROW()-1,FALSE))</f>
        <v/>
      </c>
      <c r="BM103" t="str">
        <f ca="1">IF(AND(ISNUMBER($BM$775),$B$677=1),$BM$775,HLOOKUP(INDIRECT(ADDRESS(2,COLUMN())),OFFSET($BN$2,0,0,ROW()-1,60),ROW()-1,FALSE))</f>
        <v/>
      </c>
      <c r="BN103">
        <f>6.214398976</f>
        <v>6.214398976</v>
      </c>
      <c r="BO103">
        <f>5.64556962</f>
        <v>5.6455696199999998</v>
      </c>
      <c r="BP103">
        <f>5.904945633</f>
        <v>5.9049456329999996</v>
      </c>
      <c r="BQ103">
        <f>6.377468436</f>
        <v>6.377468436</v>
      </c>
      <c r="BR103">
        <f>5.974025974</f>
        <v>5.9740259739999999</v>
      </c>
      <c r="BS103">
        <f>6.519802768</f>
        <v>6.5198027679999999</v>
      </c>
      <c r="BT103">
        <f>7.18761125</f>
        <v>7.1876112499999998</v>
      </c>
      <c r="BU103">
        <f>6.074782609</f>
        <v>6.0747826089999997</v>
      </c>
      <c r="BV103">
        <f>5.85915493</f>
        <v>5.8591549299999999</v>
      </c>
      <c r="BW103">
        <f>6.375114364</f>
        <v>6.3751143639999999</v>
      </c>
      <c r="BX103">
        <f>5.583479789</f>
        <v>5.5834797890000001</v>
      </c>
      <c r="BY103">
        <f>4.837606838</f>
        <v>4.8376068380000001</v>
      </c>
      <c r="BZ103">
        <f>4.980982567</f>
        <v>4.9809825669999999</v>
      </c>
      <c r="CA103">
        <f>5.389857369</f>
        <v>5.3898573689999996</v>
      </c>
      <c r="CB103" t="str">
        <f>""</f>
        <v/>
      </c>
      <c r="CC103" t="str">
        <f>""</f>
        <v/>
      </c>
      <c r="CD103" t="str">
        <f>""</f>
        <v/>
      </c>
      <c r="CE103" t="str">
        <f>""</f>
        <v/>
      </c>
      <c r="CF103" t="str">
        <f>""</f>
        <v/>
      </c>
      <c r="CG103" t="str">
        <f>""</f>
        <v/>
      </c>
      <c r="CH103" t="str">
        <f>""</f>
        <v/>
      </c>
      <c r="CI103" t="str">
        <f>""</f>
        <v/>
      </c>
      <c r="CJ103" t="str">
        <f>""</f>
        <v/>
      </c>
      <c r="CK103" t="str">
        <f>""</f>
        <v/>
      </c>
      <c r="CL103" t="str">
        <f>""</f>
        <v/>
      </c>
      <c r="CM103" t="str">
        <f>""</f>
        <v/>
      </c>
      <c r="CN103" t="str">
        <f>""</f>
        <v/>
      </c>
      <c r="CO103" t="str">
        <f>""</f>
        <v/>
      </c>
      <c r="CP103" t="str">
        <f>""</f>
        <v/>
      </c>
      <c r="CQ103" t="str">
        <f>""</f>
        <v/>
      </c>
      <c r="CR103" t="str">
        <f>""</f>
        <v/>
      </c>
      <c r="CS103" t="str">
        <f>""</f>
        <v/>
      </c>
      <c r="CT103" t="str">
        <f>""</f>
        <v/>
      </c>
      <c r="CU103" t="str">
        <f>""</f>
        <v/>
      </c>
      <c r="CV103" t="str">
        <f>""</f>
        <v/>
      </c>
      <c r="CW103" t="str">
        <f>""</f>
        <v/>
      </c>
      <c r="CX103" t="str">
        <f>""</f>
        <v/>
      </c>
      <c r="CY103" t="str">
        <f>""</f>
        <v/>
      </c>
      <c r="CZ103" t="str">
        <f>""</f>
        <v/>
      </c>
      <c r="DA103" t="str">
        <f>""</f>
        <v/>
      </c>
      <c r="DB103" t="str">
        <f>""</f>
        <v/>
      </c>
      <c r="DC103" t="str">
        <f>""</f>
        <v/>
      </c>
      <c r="DD103" t="str">
        <f>""</f>
        <v/>
      </c>
      <c r="DE103" t="str">
        <f>""</f>
        <v/>
      </c>
      <c r="DF103" t="str">
        <f>""</f>
        <v/>
      </c>
      <c r="DG103" t="str">
        <f>""</f>
        <v/>
      </c>
      <c r="DH103" t="str">
        <f>""</f>
        <v/>
      </c>
      <c r="DI103" t="str">
        <f>""</f>
        <v/>
      </c>
      <c r="DJ103" t="str">
        <f>""</f>
        <v/>
      </c>
      <c r="DK103" t="str">
        <f>""</f>
        <v/>
      </c>
      <c r="DL103" t="str">
        <f>""</f>
        <v/>
      </c>
      <c r="DM103" t="str">
        <f>""</f>
        <v/>
      </c>
      <c r="DN103" t="str">
        <f>""</f>
        <v/>
      </c>
      <c r="DO103" t="str">
        <f>""</f>
        <v/>
      </c>
      <c r="DP103" t="str">
        <f>""</f>
        <v/>
      </c>
      <c r="DQ103" t="str">
        <f>""</f>
        <v/>
      </c>
      <c r="DR103" t="str">
        <f>""</f>
        <v/>
      </c>
      <c r="DS103" t="str">
        <f>""</f>
        <v/>
      </c>
      <c r="DT103" t="str">
        <f>""</f>
        <v/>
      </c>
      <c r="DU103" t="str">
        <f>""</f>
        <v/>
      </c>
    </row>
    <row r="104" spans="1:125" x14ac:dyDescent="0.25">
      <c r="A104" t="str">
        <f>"    Great Wall Motor Co Ltd"</f>
        <v xml:space="preserve">    Great Wall Motor Co Ltd</v>
      </c>
      <c r="B104" t="str">
        <f>"2333 HK Equity"</f>
        <v>2333 HK Equity</v>
      </c>
      <c r="C104" t="str">
        <f t="shared" si="6"/>
        <v>EZ010</v>
      </c>
      <c r="D104" t="str">
        <f t="shared" si="7"/>
        <v>BEST_EST_PE_NXT_YR</v>
      </c>
      <c r="E104" t="str">
        <f t="shared" si="8"/>
        <v>Dynamic</v>
      </c>
      <c r="F104">
        <f ca="1">IF(AND(ISNUMBER($F$776),$B$677=1),$F$776,HLOOKUP(INDIRECT(ADDRESS(2,COLUMN())),OFFSET($BN$2,0,0,ROW()-1,60),ROW()-1,FALSE))</f>
        <v>8.3245388709999997</v>
      </c>
      <c r="G104">
        <f ca="1">IF(AND(ISNUMBER($G$776),$B$677=1),$G$776,HLOOKUP(INDIRECT(ADDRESS(2,COLUMN())),OFFSET($BN$2,0,0,ROW()-1,60),ROW()-1,FALSE))</f>
        <v>6.6162217700000001</v>
      </c>
      <c r="H104">
        <f ca="1">IF(AND(ISNUMBER($H$776),$B$677=1),$H$776,HLOOKUP(INDIRECT(ADDRESS(2,COLUMN())),OFFSET($BN$2,0,0,ROW()-1,60),ROW()-1,FALSE))</f>
        <v>5.7557726599999999</v>
      </c>
      <c r="I104">
        <f ca="1">IF(AND(ISNUMBER($I$776),$B$677=1),$I$776,HLOOKUP(INDIRECT(ADDRESS(2,COLUMN())),OFFSET($BN$2,0,0,ROW()-1,60),ROW()-1,FALSE))</f>
        <v>5.2490212420000004</v>
      </c>
      <c r="J104">
        <f ca="1">IF(AND(ISNUMBER($J$776),$B$677=1),$J$776,HLOOKUP(INDIRECT(ADDRESS(2,COLUMN())),OFFSET($BN$2,0,0,ROW()-1,60),ROW()-1,FALSE))</f>
        <v>6.6815725820000003</v>
      </c>
      <c r="K104">
        <f ca="1">IF(AND(ISNUMBER($K$776),$B$677=1),$K$776,HLOOKUP(INDIRECT(ADDRESS(2,COLUMN())),OFFSET($BN$2,0,0,ROW()-1,60),ROW()-1,FALSE))</f>
        <v>7.2724549749999996</v>
      </c>
      <c r="L104">
        <f ca="1">IF(AND(ISNUMBER($L$776),$B$677=1),$L$776,HLOOKUP(INDIRECT(ADDRESS(2,COLUMN())),OFFSET($BN$2,0,0,ROW()-1,60),ROW()-1,FALSE))</f>
        <v>7.3722384190000003</v>
      </c>
      <c r="M104">
        <f ca="1">IF(AND(ISNUMBER($M$776),$B$677=1),$M$776,HLOOKUP(INDIRECT(ADDRESS(2,COLUMN())),OFFSET($BN$2,0,0,ROW()-1,60),ROW()-1,FALSE))</f>
        <v>6.8983493459999998</v>
      </c>
      <c r="N104">
        <f ca="1">IF(AND(ISNUMBER($N$776),$B$677=1),$N$776,HLOOKUP(INDIRECT(ADDRESS(2,COLUMN())),OFFSET($BN$2,0,0,ROW()-1,60),ROW()-1,FALSE))</f>
        <v>6.2857527019999999</v>
      </c>
      <c r="O104">
        <f ca="1">IF(AND(ISNUMBER($O$776),$B$677=1),$O$776,HLOOKUP(INDIRECT(ADDRESS(2,COLUMN())),OFFSET($BN$2,0,0,ROW()-1,60),ROW()-1,FALSE))</f>
        <v>8.9996697000000001</v>
      </c>
      <c r="P104" t="str">
        <f ca="1">IF(AND(ISNUMBER($P$776),$B$677=1),$P$776,HLOOKUP(INDIRECT(ADDRESS(2,COLUMN())),OFFSET($BN$2,0,0,ROW()-1,60),ROW()-1,FALSE))</f>
        <v/>
      </c>
      <c r="Q104" t="str">
        <f ca="1">IF(AND(ISNUMBER($Q$776),$B$677=1),$Q$776,HLOOKUP(INDIRECT(ADDRESS(2,COLUMN())),OFFSET($BN$2,0,0,ROW()-1,60),ROW()-1,FALSE))</f>
        <v/>
      </c>
      <c r="R104" t="str">
        <f ca="1">IF(AND(ISNUMBER($R$776),$B$677=1),$R$776,HLOOKUP(INDIRECT(ADDRESS(2,COLUMN())),OFFSET($BN$2,0,0,ROW()-1,60),ROW()-1,FALSE))</f>
        <v/>
      </c>
      <c r="S104" t="str">
        <f ca="1">IF(AND(ISNUMBER($S$776),$B$677=1),$S$776,HLOOKUP(INDIRECT(ADDRESS(2,COLUMN())),OFFSET($BN$2,0,0,ROW()-1,60),ROW()-1,FALSE))</f>
        <v/>
      </c>
      <c r="T104" t="str">
        <f ca="1">IF(AND(ISNUMBER($T$776),$B$677=1),$T$776,HLOOKUP(INDIRECT(ADDRESS(2,COLUMN())),OFFSET($BN$2,0,0,ROW()-1,60),ROW()-1,FALSE))</f>
        <v/>
      </c>
      <c r="U104" t="str">
        <f ca="1">IF(AND(ISNUMBER($U$776),$B$677=1),$U$776,HLOOKUP(INDIRECT(ADDRESS(2,COLUMN())),OFFSET($BN$2,0,0,ROW()-1,60),ROW()-1,FALSE))</f>
        <v/>
      </c>
      <c r="V104" t="str">
        <f ca="1">IF(AND(ISNUMBER($V$776),$B$677=1),$V$776,HLOOKUP(INDIRECT(ADDRESS(2,COLUMN())),OFFSET($BN$2,0,0,ROW()-1,60),ROW()-1,FALSE))</f>
        <v/>
      </c>
      <c r="W104" t="str">
        <f ca="1">IF(AND(ISNUMBER($W$776),$B$677=1),$W$776,HLOOKUP(INDIRECT(ADDRESS(2,COLUMN())),OFFSET($BN$2,0,0,ROW()-1,60),ROW()-1,FALSE))</f>
        <v/>
      </c>
      <c r="X104" t="str">
        <f ca="1">IF(AND(ISNUMBER($X$776),$B$677=1),$X$776,HLOOKUP(INDIRECT(ADDRESS(2,COLUMN())),OFFSET($BN$2,0,0,ROW()-1,60),ROW()-1,FALSE))</f>
        <v/>
      </c>
      <c r="Y104" t="str">
        <f ca="1">IF(AND(ISNUMBER($Y$776),$B$677=1),$Y$776,HLOOKUP(INDIRECT(ADDRESS(2,COLUMN())),OFFSET($BN$2,0,0,ROW()-1,60),ROW()-1,FALSE))</f>
        <v/>
      </c>
      <c r="Z104" t="str">
        <f ca="1">IF(AND(ISNUMBER($Z$776),$B$677=1),$Z$776,HLOOKUP(INDIRECT(ADDRESS(2,COLUMN())),OFFSET($BN$2,0,0,ROW()-1,60),ROW()-1,FALSE))</f>
        <v/>
      </c>
      <c r="AA104" t="str">
        <f ca="1">IF(AND(ISNUMBER($AA$776),$B$677=1),$AA$776,HLOOKUP(INDIRECT(ADDRESS(2,COLUMN())),OFFSET($BN$2,0,0,ROW()-1,60),ROW()-1,FALSE))</f>
        <v/>
      </c>
      <c r="AB104" t="str">
        <f ca="1">IF(AND(ISNUMBER($AB$776),$B$677=1),$AB$776,HLOOKUP(INDIRECT(ADDRESS(2,COLUMN())),OFFSET($BN$2,0,0,ROW()-1,60),ROW()-1,FALSE))</f>
        <v/>
      </c>
      <c r="AC104" t="str">
        <f ca="1">IF(AND(ISNUMBER($AC$776),$B$677=1),$AC$776,HLOOKUP(INDIRECT(ADDRESS(2,COLUMN())),OFFSET($BN$2,0,0,ROW()-1,60),ROW()-1,FALSE))</f>
        <v/>
      </c>
      <c r="AD104" t="str">
        <f ca="1">IF(AND(ISNUMBER($AD$776),$B$677=1),$AD$776,HLOOKUP(INDIRECT(ADDRESS(2,COLUMN())),OFFSET($BN$2,0,0,ROW()-1,60),ROW()-1,FALSE))</f>
        <v/>
      </c>
      <c r="AE104" t="str">
        <f ca="1">IF(AND(ISNUMBER($AE$776),$B$677=1),$AE$776,HLOOKUP(INDIRECT(ADDRESS(2,COLUMN())),OFFSET($BN$2,0,0,ROW()-1,60),ROW()-1,FALSE))</f>
        <v/>
      </c>
      <c r="AF104" t="str">
        <f ca="1">IF(AND(ISNUMBER($AF$776),$B$677=1),$AF$776,HLOOKUP(INDIRECT(ADDRESS(2,COLUMN())),OFFSET($BN$2,0,0,ROW()-1,60),ROW()-1,FALSE))</f>
        <v/>
      </c>
      <c r="AG104" t="str">
        <f ca="1">IF(AND(ISNUMBER($AG$776),$B$677=1),$AG$776,HLOOKUP(INDIRECT(ADDRESS(2,COLUMN())),OFFSET($BN$2,0,0,ROW()-1,60),ROW()-1,FALSE))</f>
        <v/>
      </c>
      <c r="AH104" t="str">
        <f ca="1">IF(AND(ISNUMBER($AH$776),$B$677=1),$AH$776,HLOOKUP(INDIRECT(ADDRESS(2,COLUMN())),OFFSET($BN$2,0,0,ROW()-1,60),ROW()-1,FALSE))</f>
        <v/>
      </c>
      <c r="AI104" t="str">
        <f ca="1">IF(AND(ISNUMBER($AI$776),$B$677=1),$AI$776,HLOOKUP(INDIRECT(ADDRESS(2,COLUMN())),OFFSET($BN$2,0,0,ROW()-1,60),ROW()-1,FALSE))</f>
        <v/>
      </c>
      <c r="AJ104" t="str">
        <f ca="1">IF(AND(ISNUMBER($AJ$776),$B$677=1),$AJ$776,HLOOKUP(INDIRECT(ADDRESS(2,COLUMN())),OFFSET($BN$2,0,0,ROW()-1,60),ROW()-1,FALSE))</f>
        <v/>
      </c>
      <c r="AK104" t="str">
        <f ca="1">IF(AND(ISNUMBER($AK$776),$B$677=1),$AK$776,HLOOKUP(INDIRECT(ADDRESS(2,COLUMN())),OFFSET($BN$2,0,0,ROW()-1,60),ROW()-1,FALSE))</f>
        <v/>
      </c>
      <c r="AL104" t="str">
        <f ca="1">IF(AND(ISNUMBER($AL$776),$B$677=1),$AL$776,HLOOKUP(INDIRECT(ADDRESS(2,COLUMN())),OFFSET($BN$2,0,0,ROW()-1,60),ROW()-1,FALSE))</f>
        <v/>
      </c>
      <c r="AM104" t="str">
        <f ca="1">IF(AND(ISNUMBER($AM$776),$B$677=1),$AM$776,HLOOKUP(INDIRECT(ADDRESS(2,COLUMN())),OFFSET($BN$2,0,0,ROW()-1,60),ROW()-1,FALSE))</f>
        <v/>
      </c>
      <c r="AN104" t="str">
        <f ca="1">IF(AND(ISNUMBER($AN$776),$B$677=1),$AN$776,HLOOKUP(INDIRECT(ADDRESS(2,COLUMN())),OFFSET($BN$2,0,0,ROW()-1,60),ROW()-1,FALSE))</f>
        <v/>
      </c>
      <c r="AO104" t="str">
        <f ca="1">IF(AND(ISNUMBER($AO$776),$B$677=1),$AO$776,HLOOKUP(INDIRECT(ADDRESS(2,COLUMN())),OFFSET($BN$2,0,0,ROW()-1,60),ROW()-1,FALSE))</f>
        <v/>
      </c>
      <c r="AP104" t="str">
        <f ca="1">IF(AND(ISNUMBER($AP$776),$B$677=1),$AP$776,HLOOKUP(INDIRECT(ADDRESS(2,COLUMN())),OFFSET($BN$2,0,0,ROW()-1,60),ROW()-1,FALSE))</f>
        <v/>
      </c>
      <c r="AQ104" t="str">
        <f ca="1">IF(AND(ISNUMBER($AQ$776),$B$677=1),$AQ$776,HLOOKUP(INDIRECT(ADDRESS(2,COLUMN())),OFFSET($BN$2,0,0,ROW()-1,60),ROW()-1,FALSE))</f>
        <v/>
      </c>
      <c r="AR104" t="str">
        <f ca="1">IF(AND(ISNUMBER($AR$776),$B$677=1),$AR$776,HLOOKUP(INDIRECT(ADDRESS(2,COLUMN())),OFFSET($BN$2,0,0,ROW()-1,60),ROW()-1,FALSE))</f>
        <v/>
      </c>
      <c r="AS104" t="str">
        <f ca="1">IF(AND(ISNUMBER($AS$776),$B$677=1),$AS$776,HLOOKUP(INDIRECT(ADDRESS(2,COLUMN())),OFFSET($BN$2,0,0,ROW()-1,60),ROW()-1,FALSE))</f>
        <v/>
      </c>
      <c r="AT104" t="str">
        <f ca="1">IF(AND(ISNUMBER($AT$776),$B$677=1),$AT$776,HLOOKUP(INDIRECT(ADDRESS(2,COLUMN())),OFFSET($BN$2,0,0,ROW()-1,60),ROW()-1,FALSE))</f>
        <v/>
      </c>
      <c r="AU104" t="str">
        <f ca="1">IF(AND(ISNUMBER($AU$776),$B$677=1),$AU$776,HLOOKUP(INDIRECT(ADDRESS(2,COLUMN())),OFFSET($BN$2,0,0,ROW()-1,60),ROW()-1,FALSE))</f>
        <v/>
      </c>
      <c r="AV104" t="str">
        <f ca="1">IF(AND(ISNUMBER($AV$776),$B$677=1),$AV$776,HLOOKUP(INDIRECT(ADDRESS(2,COLUMN())),OFFSET($BN$2,0,0,ROW()-1,60),ROW()-1,FALSE))</f>
        <v/>
      </c>
      <c r="AW104" t="str">
        <f ca="1">IF(AND(ISNUMBER($AW$776),$B$677=1),$AW$776,HLOOKUP(INDIRECT(ADDRESS(2,COLUMN())),OFFSET($BN$2,0,0,ROW()-1,60),ROW()-1,FALSE))</f>
        <v/>
      </c>
      <c r="AX104" t="str">
        <f ca="1">IF(AND(ISNUMBER($AX$776),$B$677=1),$AX$776,HLOOKUP(INDIRECT(ADDRESS(2,COLUMN())),OFFSET($BN$2,0,0,ROW()-1,60),ROW()-1,FALSE))</f>
        <v/>
      </c>
      <c r="AY104" t="str">
        <f ca="1">IF(AND(ISNUMBER($AY$776),$B$677=1),$AY$776,HLOOKUP(INDIRECT(ADDRESS(2,COLUMN())),OFFSET($BN$2,0,0,ROW()-1,60),ROW()-1,FALSE))</f>
        <v/>
      </c>
      <c r="AZ104" t="str">
        <f ca="1">IF(AND(ISNUMBER($AZ$776),$B$677=1),$AZ$776,HLOOKUP(INDIRECT(ADDRESS(2,COLUMN())),OFFSET($BN$2,0,0,ROW()-1,60),ROW()-1,FALSE))</f>
        <v/>
      </c>
      <c r="BA104" t="str">
        <f ca="1">IF(AND(ISNUMBER($BA$776),$B$677=1),$BA$776,HLOOKUP(INDIRECT(ADDRESS(2,COLUMN())),OFFSET($BN$2,0,0,ROW()-1,60),ROW()-1,FALSE))</f>
        <v/>
      </c>
      <c r="BB104" t="str">
        <f ca="1">IF(AND(ISNUMBER($BB$776),$B$677=1),$BB$776,HLOOKUP(INDIRECT(ADDRESS(2,COLUMN())),OFFSET($BN$2,0,0,ROW()-1,60),ROW()-1,FALSE))</f>
        <v/>
      </c>
      <c r="BC104" t="str">
        <f ca="1">IF(AND(ISNUMBER($BC$776),$B$677=1),$BC$776,HLOOKUP(INDIRECT(ADDRESS(2,COLUMN())),OFFSET($BN$2,0,0,ROW()-1,60),ROW()-1,FALSE))</f>
        <v/>
      </c>
      <c r="BD104" t="str">
        <f ca="1">IF(AND(ISNUMBER($BD$776),$B$677=1),$BD$776,HLOOKUP(INDIRECT(ADDRESS(2,COLUMN())),OFFSET($BN$2,0,0,ROW()-1,60),ROW()-1,FALSE))</f>
        <v/>
      </c>
      <c r="BE104" t="str">
        <f ca="1">IF(AND(ISNUMBER($BE$776),$B$677=1),$BE$776,HLOOKUP(INDIRECT(ADDRESS(2,COLUMN())),OFFSET($BN$2,0,0,ROW()-1,60),ROW()-1,FALSE))</f>
        <v/>
      </c>
      <c r="BF104" t="str">
        <f ca="1">IF(AND(ISNUMBER($BF$776),$B$677=1),$BF$776,HLOOKUP(INDIRECT(ADDRESS(2,COLUMN())),OFFSET($BN$2,0,0,ROW()-1,60),ROW()-1,FALSE))</f>
        <v/>
      </c>
      <c r="BG104" t="str">
        <f ca="1">IF(AND(ISNUMBER($BG$776),$B$677=1),$BG$776,HLOOKUP(INDIRECT(ADDRESS(2,COLUMN())),OFFSET($BN$2,0,0,ROW()-1,60),ROW()-1,FALSE))</f>
        <v/>
      </c>
      <c r="BH104" t="str">
        <f ca="1">IF(AND(ISNUMBER($BH$776),$B$677=1),$BH$776,HLOOKUP(INDIRECT(ADDRESS(2,COLUMN())),OFFSET($BN$2,0,0,ROW()-1,60),ROW()-1,FALSE))</f>
        <v/>
      </c>
      <c r="BI104" t="str">
        <f ca="1">IF(AND(ISNUMBER($BI$776),$B$677=1),$BI$776,HLOOKUP(INDIRECT(ADDRESS(2,COLUMN())),OFFSET($BN$2,0,0,ROW()-1,60),ROW()-1,FALSE))</f>
        <v/>
      </c>
      <c r="BJ104" t="str">
        <f ca="1">IF(AND(ISNUMBER($BJ$776),$B$677=1),$BJ$776,HLOOKUP(INDIRECT(ADDRESS(2,COLUMN())),OFFSET($BN$2,0,0,ROW()-1,60),ROW()-1,FALSE))</f>
        <v/>
      </c>
      <c r="BK104" t="str">
        <f ca="1">IF(AND(ISNUMBER($BK$776),$B$677=1),$BK$776,HLOOKUP(INDIRECT(ADDRESS(2,COLUMN())),OFFSET($BN$2,0,0,ROW()-1,60),ROW()-1,FALSE))</f>
        <v/>
      </c>
      <c r="BL104" t="str">
        <f ca="1">IF(AND(ISNUMBER($BL$776),$B$677=1),$BL$776,HLOOKUP(INDIRECT(ADDRESS(2,COLUMN())),OFFSET($BN$2,0,0,ROW()-1,60),ROW()-1,FALSE))</f>
        <v/>
      </c>
      <c r="BM104" t="str">
        <f ca="1">IF(AND(ISNUMBER($BM$776),$B$677=1),$BM$776,HLOOKUP(INDIRECT(ADDRESS(2,COLUMN())),OFFSET($BN$2,0,0,ROW()-1,60),ROW()-1,FALSE))</f>
        <v/>
      </c>
      <c r="BN104">
        <f>8.324538871</f>
        <v>8.3245388709999997</v>
      </c>
      <c r="BO104">
        <f>6.61622177</f>
        <v>6.6162217700000001</v>
      </c>
      <c r="BP104">
        <f>5.75577266</f>
        <v>5.7557726599999999</v>
      </c>
      <c r="BQ104">
        <f>5.249021242</f>
        <v>5.2490212420000004</v>
      </c>
      <c r="BR104">
        <f>6.681572582</f>
        <v>6.6815725820000003</v>
      </c>
      <c r="BS104">
        <f>7.272454975</f>
        <v>7.2724549749999996</v>
      </c>
      <c r="BT104">
        <f>7.372238419</f>
        <v>7.3722384190000003</v>
      </c>
      <c r="BU104">
        <f>6.898349346</f>
        <v>6.8983493459999998</v>
      </c>
      <c r="BV104">
        <f>6.285752702</f>
        <v>6.2857527019999999</v>
      </c>
      <c r="BW104">
        <f>8.9996697</f>
        <v>8.9996697000000001</v>
      </c>
      <c r="BX104" t="str">
        <f>""</f>
        <v/>
      </c>
      <c r="BY104" t="str">
        <f>""</f>
        <v/>
      </c>
      <c r="BZ104" t="str">
        <f>""</f>
        <v/>
      </c>
      <c r="CA104" t="str">
        <f>""</f>
        <v/>
      </c>
      <c r="CB104" t="str">
        <f>""</f>
        <v/>
      </c>
      <c r="CC104" t="str">
        <f>""</f>
        <v/>
      </c>
      <c r="CD104" t="str">
        <f>""</f>
        <v/>
      </c>
      <c r="CE104" t="str">
        <f>""</f>
        <v/>
      </c>
      <c r="CF104" t="str">
        <f>""</f>
        <v/>
      </c>
      <c r="CG104" t="str">
        <f>""</f>
        <v/>
      </c>
      <c r="CH104" t="str">
        <f>""</f>
        <v/>
      </c>
      <c r="CI104" t="str">
        <f>""</f>
        <v/>
      </c>
      <c r="CJ104" t="str">
        <f>""</f>
        <v/>
      </c>
      <c r="CK104" t="str">
        <f>""</f>
        <v/>
      </c>
      <c r="CL104" t="str">
        <f>""</f>
        <v/>
      </c>
      <c r="CM104" t="str">
        <f>""</f>
        <v/>
      </c>
      <c r="CN104" t="str">
        <f>""</f>
        <v/>
      </c>
      <c r="CO104" t="str">
        <f>""</f>
        <v/>
      </c>
      <c r="CP104" t="str">
        <f>""</f>
        <v/>
      </c>
      <c r="CQ104" t="str">
        <f>""</f>
        <v/>
      </c>
      <c r="CR104" t="str">
        <f>""</f>
        <v/>
      </c>
      <c r="CS104" t="str">
        <f>""</f>
        <v/>
      </c>
      <c r="CT104" t="str">
        <f>""</f>
        <v/>
      </c>
      <c r="CU104" t="str">
        <f>""</f>
        <v/>
      </c>
      <c r="CV104" t="str">
        <f>""</f>
        <v/>
      </c>
      <c r="CW104" t="str">
        <f>""</f>
        <v/>
      </c>
      <c r="CX104" t="str">
        <f>""</f>
        <v/>
      </c>
      <c r="CY104" t="str">
        <f>""</f>
        <v/>
      </c>
      <c r="CZ104" t="str">
        <f>""</f>
        <v/>
      </c>
      <c r="DA104" t="str">
        <f>""</f>
        <v/>
      </c>
      <c r="DB104" t="str">
        <f>""</f>
        <v/>
      </c>
      <c r="DC104" t="str">
        <f>""</f>
        <v/>
      </c>
      <c r="DD104" t="str">
        <f>""</f>
        <v/>
      </c>
      <c r="DE104" t="str">
        <f>""</f>
        <v/>
      </c>
      <c r="DF104" t="str">
        <f>""</f>
        <v/>
      </c>
      <c r="DG104" t="str">
        <f>""</f>
        <v/>
      </c>
      <c r="DH104" t="str">
        <f>""</f>
        <v/>
      </c>
      <c r="DI104" t="str">
        <f>""</f>
        <v/>
      </c>
      <c r="DJ104" t="str">
        <f>""</f>
        <v/>
      </c>
      <c r="DK104" t="str">
        <f>""</f>
        <v/>
      </c>
      <c r="DL104" t="str">
        <f>""</f>
        <v/>
      </c>
      <c r="DM104" t="str">
        <f>""</f>
        <v/>
      </c>
      <c r="DN104" t="str">
        <f>""</f>
        <v/>
      </c>
      <c r="DO104" t="str">
        <f>""</f>
        <v/>
      </c>
      <c r="DP104" t="str">
        <f>""</f>
        <v/>
      </c>
      <c r="DQ104" t="str">
        <f>""</f>
        <v/>
      </c>
      <c r="DR104" t="str">
        <f>""</f>
        <v/>
      </c>
      <c r="DS104" t="str">
        <f>""</f>
        <v/>
      </c>
      <c r="DT104" t="str">
        <f>""</f>
        <v/>
      </c>
      <c r="DU104" t="str">
        <f>""</f>
        <v/>
      </c>
    </row>
    <row r="105" spans="1:125" x14ac:dyDescent="0.25">
      <c r="A105" t="str">
        <f>"    Guangzhou Automobile Group Co Ltd"</f>
        <v xml:space="preserve">    Guangzhou Automobile Group Co Ltd</v>
      </c>
      <c r="B105" t="str">
        <f>"2238 HK Equity"</f>
        <v>2238 HK Equity</v>
      </c>
      <c r="C105" t="str">
        <f t="shared" si="6"/>
        <v>EZ010</v>
      </c>
      <c r="D105" t="str">
        <f t="shared" si="7"/>
        <v>BEST_EST_PE_NXT_YR</v>
      </c>
      <c r="E105" t="str">
        <f t="shared" si="8"/>
        <v>Dynamic</v>
      </c>
      <c r="F105">
        <f ca="1">IF(AND(ISNUMBER($F$777),$B$677=1),$F$777,HLOOKUP(INDIRECT(ADDRESS(2,COLUMN())),OFFSET($BN$2,0,0,ROW()-1,60),ROW()-1,FALSE))</f>
        <v>6.3152497929999996</v>
      </c>
      <c r="G105">
        <f ca="1">IF(AND(ISNUMBER($G$777),$B$677=1),$G$777,HLOOKUP(INDIRECT(ADDRESS(2,COLUMN())),OFFSET($BN$2,0,0,ROW()-1,60),ROW()-1,FALSE))</f>
        <v>5.1378301249999998</v>
      </c>
      <c r="H105">
        <f ca="1">IF(AND(ISNUMBER($H$777),$B$677=1),$H$777,HLOOKUP(INDIRECT(ADDRESS(2,COLUMN())),OFFSET($BN$2,0,0,ROW()-1,60),ROW()-1,FALSE))</f>
        <v>5.498835787</v>
      </c>
      <c r="I105">
        <f ca="1">IF(AND(ISNUMBER($I$777),$B$677=1),$I$777,HLOOKUP(INDIRECT(ADDRESS(2,COLUMN())),OFFSET($BN$2,0,0,ROW()-1,60),ROW()-1,FALSE))</f>
        <v>4.2683908119999998</v>
      </c>
      <c r="J105">
        <f ca="1">IF(AND(ISNUMBER($J$777),$B$677=1),$J$777,HLOOKUP(INDIRECT(ADDRESS(2,COLUMN())),OFFSET($BN$2,0,0,ROW()-1,60),ROW()-1,FALSE))</f>
        <v>5.4360171499999996</v>
      </c>
      <c r="K105">
        <f ca="1">IF(AND(ISNUMBER($K$777),$B$677=1),$K$777,HLOOKUP(INDIRECT(ADDRESS(2,COLUMN())),OFFSET($BN$2,0,0,ROW()-1,60),ROW()-1,FALSE))</f>
        <v>7.224785775</v>
      </c>
      <c r="L105">
        <f ca="1">IF(AND(ISNUMBER($L$777),$B$677=1),$L$777,HLOOKUP(INDIRECT(ADDRESS(2,COLUMN())),OFFSET($BN$2,0,0,ROW()-1,60),ROW()-1,FALSE))</f>
        <v>7.8797859629999998</v>
      </c>
      <c r="M105">
        <f ca="1">IF(AND(ISNUMBER($M$777),$B$677=1),$M$777,HLOOKUP(INDIRECT(ADDRESS(2,COLUMN())),OFFSET($BN$2,0,0,ROW()-1,60),ROW()-1,FALSE))</f>
        <v>6.6773033069999999</v>
      </c>
      <c r="N105">
        <f ca="1">IF(AND(ISNUMBER($N$777),$B$677=1),$N$777,HLOOKUP(INDIRECT(ADDRESS(2,COLUMN())),OFFSET($BN$2,0,0,ROW()-1,60),ROW()-1,FALSE))</f>
        <v>7.3150271580000004</v>
      </c>
      <c r="O105">
        <f ca="1">IF(AND(ISNUMBER($O$777),$B$677=1),$O$777,HLOOKUP(INDIRECT(ADDRESS(2,COLUMN())),OFFSET($BN$2,0,0,ROW()-1,60),ROW()-1,FALSE))</f>
        <v>6.8141647780000003</v>
      </c>
      <c r="P105" t="str">
        <f ca="1">IF(AND(ISNUMBER($P$777),$B$677=1),$P$777,HLOOKUP(INDIRECT(ADDRESS(2,COLUMN())),OFFSET($BN$2,0,0,ROW()-1,60),ROW()-1,FALSE))</f>
        <v/>
      </c>
      <c r="Q105" t="str">
        <f ca="1">IF(AND(ISNUMBER($Q$777),$B$677=1),$Q$777,HLOOKUP(INDIRECT(ADDRESS(2,COLUMN())),OFFSET($BN$2,0,0,ROW()-1,60),ROW()-1,FALSE))</f>
        <v/>
      </c>
      <c r="R105" t="str">
        <f ca="1">IF(AND(ISNUMBER($R$777),$B$677=1),$R$777,HLOOKUP(INDIRECT(ADDRESS(2,COLUMN())),OFFSET($BN$2,0,0,ROW()-1,60),ROW()-1,FALSE))</f>
        <v/>
      </c>
      <c r="S105" t="str">
        <f ca="1">IF(AND(ISNUMBER($S$777),$B$677=1),$S$777,HLOOKUP(INDIRECT(ADDRESS(2,COLUMN())),OFFSET($BN$2,0,0,ROW()-1,60),ROW()-1,FALSE))</f>
        <v/>
      </c>
      <c r="T105" t="str">
        <f ca="1">IF(AND(ISNUMBER($T$777),$B$677=1),$T$777,HLOOKUP(INDIRECT(ADDRESS(2,COLUMN())),OFFSET($BN$2,0,0,ROW()-1,60),ROW()-1,FALSE))</f>
        <v/>
      </c>
      <c r="U105" t="str">
        <f ca="1">IF(AND(ISNUMBER($U$777),$B$677=1),$U$777,HLOOKUP(INDIRECT(ADDRESS(2,COLUMN())),OFFSET($BN$2,0,0,ROW()-1,60),ROW()-1,FALSE))</f>
        <v/>
      </c>
      <c r="V105" t="str">
        <f ca="1">IF(AND(ISNUMBER($V$777),$B$677=1),$V$777,HLOOKUP(INDIRECT(ADDRESS(2,COLUMN())),OFFSET($BN$2,0,0,ROW()-1,60),ROW()-1,FALSE))</f>
        <v/>
      </c>
      <c r="W105" t="str">
        <f ca="1">IF(AND(ISNUMBER($W$777),$B$677=1),$W$777,HLOOKUP(INDIRECT(ADDRESS(2,COLUMN())),OFFSET($BN$2,0,0,ROW()-1,60),ROW()-1,FALSE))</f>
        <v/>
      </c>
      <c r="X105" t="str">
        <f ca="1">IF(AND(ISNUMBER($X$777),$B$677=1),$X$777,HLOOKUP(INDIRECT(ADDRESS(2,COLUMN())),OFFSET($BN$2,0,0,ROW()-1,60),ROW()-1,FALSE))</f>
        <v/>
      </c>
      <c r="Y105" t="str">
        <f ca="1">IF(AND(ISNUMBER($Y$777),$B$677=1),$Y$777,HLOOKUP(INDIRECT(ADDRESS(2,COLUMN())),OFFSET($BN$2,0,0,ROW()-1,60),ROW()-1,FALSE))</f>
        <v/>
      </c>
      <c r="Z105" t="str">
        <f ca="1">IF(AND(ISNUMBER($Z$777),$B$677=1),$Z$777,HLOOKUP(INDIRECT(ADDRESS(2,COLUMN())),OFFSET($BN$2,0,0,ROW()-1,60),ROW()-1,FALSE))</f>
        <v/>
      </c>
      <c r="AA105" t="str">
        <f ca="1">IF(AND(ISNUMBER($AA$777),$B$677=1),$AA$777,HLOOKUP(INDIRECT(ADDRESS(2,COLUMN())),OFFSET($BN$2,0,0,ROW()-1,60),ROW()-1,FALSE))</f>
        <v/>
      </c>
      <c r="AB105" t="str">
        <f ca="1">IF(AND(ISNUMBER($AB$777),$B$677=1),$AB$777,HLOOKUP(INDIRECT(ADDRESS(2,COLUMN())),OFFSET($BN$2,0,0,ROW()-1,60),ROW()-1,FALSE))</f>
        <v/>
      </c>
      <c r="AC105" t="str">
        <f ca="1">IF(AND(ISNUMBER($AC$777),$B$677=1),$AC$777,HLOOKUP(INDIRECT(ADDRESS(2,COLUMN())),OFFSET($BN$2,0,0,ROW()-1,60),ROW()-1,FALSE))</f>
        <v/>
      </c>
      <c r="AD105" t="str">
        <f ca="1">IF(AND(ISNUMBER($AD$777),$B$677=1),$AD$777,HLOOKUP(INDIRECT(ADDRESS(2,COLUMN())),OFFSET($BN$2,0,0,ROW()-1,60),ROW()-1,FALSE))</f>
        <v/>
      </c>
      <c r="AE105" t="str">
        <f ca="1">IF(AND(ISNUMBER($AE$777),$B$677=1),$AE$777,HLOOKUP(INDIRECT(ADDRESS(2,COLUMN())),OFFSET($BN$2,0,0,ROW()-1,60),ROW()-1,FALSE))</f>
        <v/>
      </c>
      <c r="AF105" t="str">
        <f ca="1">IF(AND(ISNUMBER($AF$777),$B$677=1),$AF$777,HLOOKUP(INDIRECT(ADDRESS(2,COLUMN())),OFFSET($BN$2,0,0,ROW()-1,60),ROW()-1,FALSE))</f>
        <v/>
      </c>
      <c r="AG105" t="str">
        <f ca="1">IF(AND(ISNUMBER($AG$777),$B$677=1),$AG$777,HLOOKUP(INDIRECT(ADDRESS(2,COLUMN())),OFFSET($BN$2,0,0,ROW()-1,60),ROW()-1,FALSE))</f>
        <v/>
      </c>
      <c r="AH105" t="str">
        <f ca="1">IF(AND(ISNUMBER($AH$777),$B$677=1),$AH$777,HLOOKUP(INDIRECT(ADDRESS(2,COLUMN())),OFFSET($BN$2,0,0,ROW()-1,60),ROW()-1,FALSE))</f>
        <v/>
      </c>
      <c r="AI105" t="str">
        <f ca="1">IF(AND(ISNUMBER($AI$777),$B$677=1),$AI$777,HLOOKUP(INDIRECT(ADDRESS(2,COLUMN())),OFFSET($BN$2,0,0,ROW()-1,60),ROW()-1,FALSE))</f>
        <v/>
      </c>
      <c r="AJ105" t="str">
        <f ca="1">IF(AND(ISNUMBER($AJ$777),$B$677=1),$AJ$777,HLOOKUP(INDIRECT(ADDRESS(2,COLUMN())),OFFSET($BN$2,0,0,ROW()-1,60),ROW()-1,FALSE))</f>
        <v/>
      </c>
      <c r="AK105" t="str">
        <f ca="1">IF(AND(ISNUMBER($AK$777),$B$677=1),$AK$777,HLOOKUP(INDIRECT(ADDRESS(2,COLUMN())),OFFSET($BN$2,0,0,ROW()-1,60),ROW()-1,FALSE))</f>
        <v/>
      </c>
      <c r="AL105" t="str">
        <f ca="1">IF(AND(ISNUMBER($AL$777),$B$677=1),$AL$777,HLOOKUP(INDIRECT(ADDRESS(2,COLUMN())),OFFSET($BN$2,0,0,ROW()-1,60),ROW()-1,FALSE))</f>
        <v/>
      </c>
      <c r="AM105" t="str">
        <f ca="1">IF(AND(ISNUMBER($AM$777),$B$677=1),$AM$777,HLOOKUP(INDIRECT(ADDRESS(2,COLUMN())),OFFSET($BN$2,0,0,ROW()-1,60),ROW()-1,FALSE))</f>
        <v/>
      </c>
      <c r="AN105" t="str">
        <f ca="1">IF(AND(ISNUMBER($AN$777),$B$677=1),$AN$777,HLOOKUP(INDIRECT(ADDRESS(2,COLUMN())),OFFSET($BN$2,0,0,ROW()-1,60),ROW()-1,FALSE))</f>
        <v/>
      </c>
      <c r="AO105" t="str">
        <f ca="1">IF(AND(ISNUMBER($AO$777),$B$677=1),$AO$777,HLOOKUP(INDIRECT(ADDRESS(2,COLUMN())),OFFSET($BN$2,0,0,ROW()-1,60),ROW()-1,FALSE))</f>
        <v/>
      </c>
      <c r="AP105" t="str">
        <f ca="1">IF(AND(ISNUMBER($AP$777),$B$677=1),$AP$777,HLOOKUP(INDIRECT(ADDRESS(2,COLUMN())),OFFSET($BN$2,0,0,ROW()-1,60),ROW()-1,FALSE))</f>
        <v/>
      </c>
      <c r="AQ105" t="str">
        <f ca="1">IF(AND(ISNUMBER($AQ$777),$B$677=1),$AQ$777,HLOOKUP(INDIRECT(ADDRESS(2,COLUMN())),OFFSET($BN$2,0,0,ROW()-1,60),ROW()-1,FALSE))</f>
        <v/>
      </c>
      <c r="AR105" t="str">
        <f ca="1">IF(AND(ISNUMBER($AR$777),$B$677=1),$AR$777,HLOOKUP(INDIRECT(ADDRESS(2,COLUMN())),OFFSET($BN$2,0,0,ROW()-1,60),ROW()-1,FALSE))</f>
        <v/>
      </c>
      <c r="AS105" t="str">
        <f ca="1">IF(AND(ISNUMBER($AS$777),$B$677=1),$AS$777,HLOOKUP(INDIRECT(ADDRESS(2,COLUMN())),OFFSET($BN$2,0,0,ROW()-1,60),ROW()-1,FALSE))</f>
        <v/>
      </c>
      <c r="AT105" t="str">
        <f ca="1">IF(AND(ISNUMBER($AT$777),$B$677=1),$AT$777,HLOOKUP(INDIRECT(ADDRESS(2,COLUMN())),OFFSET($BN$2,0,0,ROW()-1,60),ROW()-1,FALSE))</f>
        <v/>
      </c>
      <c r="AU105" t="str">
        <f ca="1">IF(AND(ISNUMBER($AU$777),$B$677=1),$AU$777,HLOOKUP(INDIRECT(ADDRESS(2,COLUMN())),OFFSET($BN$2,0,0,ROW()-1,60),ROW()-1,FALSE))</f>
        <v/>
      </c>
      <c r="AV105" t="str">
        <f ca="1">IF(AND(ISNUMBER($AV$777),$B$677=1),$AV$777,HLOOKUP(INDIRECT(ADDRESS(2,COLUMN())),OFFSET($BN$2,0,0,ROW()-1,60),ROW()-1,FALSE))</f>
        <v/>
      </c>
      <c r="AW105" t="str">
        <f ca="1">IF(AND(ISNUMBER($AW$777),$B$677=1),$AW$777,HLOOKUP(INDIRECT(ADDRESS(2,COLUMN())),OFFSET($BN$2,0,0,ROW()-1,60),ROW()-1,FALSE))</f>
        <v/>
      </c>
      <c r="AX105" t="str">
        <f ca="1">IF(AND(ISNUMBER($AX$777),$B$677=1),$AX$777,HLOOKUP(INDIRECT(ADDRESS(2,COLUMN())),OFFSET($BN$2,0,0,ROW()-1,60),ROW()-1,FALSE))</f>
        <v/>
      </c>
      <c r="AY105" t="str">
        <f ca="1">IF(AND(ISNUMBER($AY$777),$B$677=1),$AY$777,HLOOKUP(INDIRECT(ADDRESS(2,COLUMN())),OFFSET($BN$2,0,0,ROW()-1,60),ROW()-1,FALSE))</f>
        <v/>
      </c>
      <c r="AZ105" t="str">
        <f ca="1">IF(AND(ISNUMBER($AZ$777),$B$677=1),$AZ$777,HLOOKUP(INDIRECT(ADDRESS(2,COLUMN())),OFFSET($BN$2,0,0,ROW()-1,60),ROW()-1,FALSE))</f>
        <v/>
      </c>
      <c r="BA105" t="str">
        <f ca="1">IF(AND(ISNUMBER($BA$777),$B$677=1),$BA$777,HLOOKUP(INDIRECT(ADDRESS(2,COLUMN())),OFFSET($BN$2,0,0,ROW()-1,60),ROW()-1,FALSE))</f>
        <v/>
      </c>
      <c r="BB105" t="str">
        <f ca="1">IF(AND(ISNUMBER($BB$777),$B$677=1),$BB$777,HLOOKUP(INDIRECT(ADDRESS(2,COLUMN())),OFFSET($BN$2,0,0,ROW()-1,60),ROW()-1,FALSE))</f>
        <v/>
      </c>
      <c r="BC105" t="str">
        <f ca="1">IF(AND(ISNUMBER($BC$777),$B$677=1),$BC$777,HLOOKUP(INDIRECT(ADDRESS(2,COLUMN())),OFFSET($BN$2,0,0,ROW()-1,60),ROW()-1,FALSE))</f>
        <v/>
      </c>
      <c r="BD105" t="str">
        <f ca="1">IF(AND(ISNUMBER($BD$777),$B$677=1),$BD$777,HLOOKUP(INDIRECT(ADDRESS(2,COLUMN())),OFFSET($BN$2,0,0,ROW()-1,60),ROW()-1,FALSE))</f>
        <v/>
      </c>
      <c r="BE105" t="str">
        <f ca="1">IF(AND(ISNUMBER($BE$777),$B$677=1),$BE$777,HLOOKUP(INDIRECT(ADDRESS(2,COLUMN())),OFFSET($BN$2,0,0,ROW()-1,60),ROW()-1,FALSE))</f>
        <v/>
      </c>
      <c r="BF105" t="str">
        <f ca="1">IF(AND(ISNUMBER($BF$777),$B$677=1),$BF$777,HLOOKUP(INDIRECT(ADDRESS(2,COLUMN())),OFFSET($BN$2,0,0,ROW()-1,60),ROW()-1,FALSE))</f>
        <v/>
      </c>
      <c r="BG105" t="str">
        <f ca="1">IF(AND(ISNUMBER($BG$777),$B$677=1),$BG$777,HLOOKUP(INDIRECT(ADDRESS(2,COLUMN())),OFFSET($BN$2,0,0,ROW()-1,60),ROW()-1,FALSE))</f>
        <v/>
      </c>
      <c r="BH105" t="str">
        <f ca="1">IF(AND(ISNUMBER($BH$777),$B$677=1),$BH$777,HLOOKUP(INDIRECT(ADDRESS(2,COLUMN())),OFFSET($BN$2,0,0,ROW()-1,60),ROW()-1,FALSE))</f>
        <v/>
      </c>
      <c r="BI105" t="str">
        <f ca="1">IF(AND(ISNUMBER($BI$777),$B$677=1),$BI$777,HLOOKUP(INDIRECT(ADDRESS(2,COLUMN())),OFFSET($BN$2,0,0,ROW()-1,60),ROW()-1,FALSE))</f>
        <v/>
      </c>
      <c r="BJ105" t="str">
        <f ca="1">IF(AND(ISNUMBER($BJ$777),$B$677=1),$BJ$777,HLOOKUP(INDIRECT(ADDRESS(2,COLUMN())),OFFSET($BN$2,0,0,ROW()-1,60),ROW()-1,FALSE))</f>
        <v/>
      </c>
      <c r="BK105" t="str">
        <f ca="1">IF(AND(ISNUMBER($BK$777),$B$677=1),$BK$777,HLOOKUP(INDIRECT(ADDRESS(2,COLUMN())),OFFSET($BN$2,0,0,ROW()-1,60),ROW()-1,FALSE))</f>
        <v/>
      </c>
      <c r="BL105" t="str">
        <f ca="1">IF(AND(ISNUMBER($BL$777),$B$677=1),$BL$777,HLOOKUP(INDIRECT(ADDRESS(2,COLUMN())),OFFSET($BN$2,0,0,ROW()-1,60),ROW()-1,FALSE))</f>
        <v/>
      </c>
      <c r="BM105" t="str">
        <f ca="1">IF(AND(ISNUMBER($BM$777),$B$677=1),$BM$777,HLOOKUP(INDIRECT(ADDRESS(2,COLUMN())),OFFSET($BN$2,0,0,ROW()-1,60),ROW()-1,FALSE))</f>
        <v/>
      </c>
      <c r="BN105">
        <f>6.315249793</f>
        <v>6.3152497929999996</v>
      </c>
      <c r="BO105">
        <f>5.137830125</f>
        <v>5.1378301249999998</v>
      </c>
      <c r="BP105">
        <f>5.498835787</f>
        <v>5.498835787</v>
      </c>
      <c r="BQ105">
        <f>4.268390812</f>
        <v>4.2683908119999998</v>
      </c>
      <c r="BR105">
        <f>5.43601715</f>
        <v>5.4360171499999996</v>
      </c>
      <c r="BS105">
        <f>7.224785775</f>
        <v>7.224785775</v>
      </c>
      <c r="BT105">
        <f>7.879785963</f>
        <v>7.8797859629999998</v>
      </c>
      <c r="BU105">
        <f>6.677303307</f>
        <v>6.6773033069999999</v>
      </c>
      <c r="BV105">
        <f>7.315027158</f>
        <v>7.3150271580000004</v>
      </c>
      <c r="BW105">
        <f>6.814164778</f>
        <v>6.8141647780000003</v>
      </c>
      <c r="BX105" t="str">
        <f>""</f>
        <v/>
      </c>
      <c r="BY105" t="str">
        <f>""</f>
        <v/>
      </c>
      <c r="BZ105" t="str">
        <f>""</f>
        <v/>
      </c>
      <c r="CA105" t="str">
        <f>""</f>
        <v/>
      </c>
      <c r="CB105" t="str">
        <f>""</f>
        <v/>
      </c>
      <c r="CC105" t="str">
        <f>""</f>
        <v/>
      </c>
      <c r="CD105" t="str">
        <f>""</f>
        <v/>
      </c>
      <c r="CE105" t="str">
        <f>""</f>
        <v/>
      </c>
      <c r="CF105" t="str">
        <f>""</f>
        <v/>
      </c>
      <c r="CG105" t="str">
        <f>""</f>
        <v/>
      </c>
      <c r="CH105" t="str">
        <f>""</f>
        <v/>
      </c>
      <c r="CI105" t="str">
        <f>""</f>
        <v/>
      </c>
      <c r="CJ105" t="str">
        <f>""</f>
        <v/>
      </c>
      <c r="CK105" t="str">
        <f>""</f>
        <v/>
      </c>
      <c r="CL105" t="str">
        <f>""</f>
        <v/>
      </c>
      <c r="CM105" t="str">
        <f>""</f>
        <v/>
      </c>
      <c r="CN105" t="str">
        <f>""</f>
        <v/>
      </c>
      <c r="CO105" t="str">
        <f>""</f>
        <v/>
      </c>
      <c r="CP105" t="str">
        <f>""</f>
        <v/>
      </c>
      <c r="CQ105" t="str">
        <f>""</f>
        <v/>
      </c>
      <c r="CR105" t="str">
        <f>""</f>
        <v/>
      </c>
      <c r="CS105" t="str">
        <f>""</f>
        <v/>
      </c>
      <c r="CT105" t="str">
        <f>""</f>
        <v/>
      </c>
      <c r="CU105" t="str">
        <f>""</f>
        <v/>
      </c>
      <c r="CV105" t="str">
        <f>""</f>
        <v/>
      </c>
      <c r="CW105" t="str">
        <f>""</f>
        <v/>
      </c>
      <c r="CX105" t="str">
        <f>""</f>
        <v/>
      </c>
      <c r="CY105" t="str">
        <f>""</f>
        <v/>
      </c>
      <c r="CZ105" t="str">
        <f>""</f>
        <v/>
      </c>
      <c r="DA105" t="str">
        <f>""</f>
        <v/>
      </c>
      <c r="DB105" t="str">
        <f>""</f>
        <v/>
      </c>
      <c r="DC105" t="str">
        <f>""</f>
        <v/>
      </c>
      <c r="DD105" t="str">
        <f>""</f>
        <v/>
      </c>
      <c r="DE105" t="str">
        <f>""</f>
        <v/>
      </c>
      <c r="DF105" t="str">
        <f>""</f>
        <v/>
      </c>
      <c r="DG105" t="str">
        <f>""</f>
        <v/>
      </c>
      <c r="DH105" t="str">
        <f>""</f>
        <v/>
      </c>
      <c r="DI105" t="str">
        <f>""</f>
        <v/>
      </c>
      <c r="DJ105" t="str">
        <f>""</f>
        <v/>
      </c>
      <c r="DK105" t="str">
        <f>""</f>
        <v/>
      </c>
      <c r="DL105" t="str">
        <f>""</f>
        <v/>
      </c>
      <c r="DM105" t="str">
        <f>""</f>
        <v/>
      </c>
      <c r="DN105" t="str">
        <f>""</f>
        <v/>
      </c>
      <c r="DO105" t="str">
        <f>""</f>
        <v/>
      </c>
      <c r="DP105" t="str">
        <f>""</f>
        <v/>
      </c>
      <c r="DQ105" t="str">
        <f>""</f>
        <v/>
      </c>
      <c r="DR105" t="str">
        <f>""</f>
        <v/>
      </c>
      <c r="DS105" t="str">
        <f>""</f>
        <v/>
      </c>
      <c r="DT105" t="str">
        <f>""</f>
        <v/>
      </c>
      <c r="DU105" t="str">
        <f>""</f>
        <v/>
      </c>
    </row>
    <row r="106" spans="1:125" x14ac:dyDescent="0.25">
      <c r="A106" t="str">
        <f>"    Honda Motor Co Ltd"</f>
        <v xml:space="preserve">    Honda Motor Co Ltd</v>
      </c>
      <c r="B106" t="str">
        <f>"7267 JP Equity"</f>
        <v>7267 JP Equity</v>
      </c>
      <c r="C106" t="str">
        <f t="shared" si="6"/>
        <v>EZ010</v>
      </c>
      <c r="D106" t="str">
        <f t="shared" si="7"/>
        <v>BEST_EST_PE_NXT_YR</v>
      </c>
      <c r="E106" t="str">
        <f t="shared" si="8"/>
        <v>Dynamic</v>
      </c>
      <c r="F106">
        <f ca="1">IF(AND(ISNUMBER($F$778),$B$677=1),$F$778,HLOOKUP(INDIRECT(ADDRESS(2,COLUMN())),OFFSET($BN$2,0,0,ROW()-1,60),ROW()-1,FALSE))</f>
        <v>7.360596878</v>
      </c>
      <c r="G106">
        <f ca="1">IF(AND(ISNUMBER($G$778),$B$677=1),$G$778,HLOOKUP(INDIRECT(ADDRESS(2,COLUMN())),OFFSET($BN$2,0,0,ROW()-1,60),ROW()-1,FALSE))</f>
        <v>6.744413636</v>
      </c>
      <c r="H106">
        <f ca="1">IF(AND(ISNUMBER($H$778),$B$677=1),$H$778,HLOOKUP(INDIRECT(ADDRESS(2,COLUMN())),OFFSET($BN$2,0,0,ROW()-1,60),ROW()-1,FALSE))</f>
        <v>7.9913185330000003</v>
      </c>
      <c r="I106">
        <f ca="1">IF(AND(ISNUMBER($I$778),$B$677=1),$I$778,HLOOKUP(INDIRECT(ADDRESS(2,COLUMN())),OFFSET($BN$2,0,0,ROW()-1,60),ROW()-1,FALSE))</f>
        <v>7.4244319269999997</v>
      </c>
      <c r="J106">
        <f ca="1">IF(AND(ISNUMBER($J$778),$B$677=1),$J$778,HLOOKUP(INDIRECT(ADDRESS(2,COLUMN())),OFFSET($BN$2,0,0,ROW()-1,60),ROW()-1,FALSE))</f>
        <v>7.9826562619999999</v>
      </c>
      <c r="K106">
        <f ca="1">IF(AND(ISNUMBER($K$778),$B$677=1),$K$778,HLOOKUP(INDIRECT(ADDRESS(2,COLUMN())),OFFSET($BN$2,0,0,ROW()-1,60),ROW()-1,FALSE))</f>
        <v>8.841656059</v>
      </c>
      <c r="L106">
        <f ca="1">IF(AND(ISNUMBER($L$778),$B$677=1),$L$778,HLOOKUP(INDIRECT(ADDRESS(2,COLUMN())),OFFSET($BN$2,0,0,ROW()-1,60),ROW()-1,FALSE))</f>
        <v>8.1584881819999993</v>
      </c>
      <c r="M106">
        <f ca="1">IF(AND(ISNUMBER($M$778),$B$677=1),$M$778,HLOOKUP(INDIRECT(ADDRESS(2,COLUMN())),OFFSET($BN$2,0,0,ROW()-1,60),ROW()-1,FALSE))</f>
        <v>7.5939327849999998</v>
      </c>
      <c r="N106">
        <f ca="1">IF(AND(ISNUMBER($N$778),$B$677=1),$N$778,HLOOKUP(INDIRECT(ADDRESS(2,COLUMN())),OFFSET($BN$2,0,0,ROW()-1,60),ROW()-1,FALSE))</f>
        <v>6.4454082960000001</v>
      </c>
      <c r="O106">
        <f ca="1">IF(AND(ISNUMBER($O$778),$B$677=1),$O$778,HLOOKUP(INDIRECT(ADDRESS(2,COLUMN())),OFFSET($BN$2,0,0,ROW()-1,60),ROW()-1,FALSE))</f>
        <v>7.3275399639999996</v>
      </c>
      <c r="P106">
        <f ca="1">IF(AND(ISNUMBER($P$778),$B$677=1),$P$778,HLOOKUP(INDIRECT(ADDRESS(2,COLUMN())),OFFSET($BN$2,0,0,ROW()-1,60),ROW()-1,FALSE))</f>
        <v>7.4913411769999998</v>
      </c>
      <c r="Q106">
        <f ca="1">IF(AND(ISNUMBER($Q$778),$B$677=1),$Q$778,HLOOKUP(INDIRECT(ADDRESS(2,COLUMN())),OFFSET($BN$2,0,0,ROW()-1,60),ROW()-1,FALSE))</f>
        <v>5.6308894509999998</v>
      </c>
      <c r="R106">
        <f ca="1">IF(AND(ISNUMBER($R$778),$B$677=1),$R$778,HLOOKUP(INDIRECT(ADDRESS(2,COLUMN())),OFFSET($BN$2,0,0,ROW()-1,60),ROW()-1,FALSE))</f>
        <v>7.5158304920000001</v>
      </c>
      <c r="S106">
        <f ca="1">IF(AND(ISNUMBER($S$778),$B$677=1),$S$778,HLOOKUP(INDIRECT(ADDRESS(2,COLUMN())),OFFSET($BN$2,0,0,ROW()-1,60),ROW()-1,FALSE))</f>
        <v>8.2611451509999991</v>
      </c>
      <c r="T106">
        <f ca="1">IF(AND(ISNUMBER($T$778),$B$677=1),$T$778,HLOOKUP(INDIRECT(ADDRESS(2,COLUMN())),OFFSET($BN$2,0,0,ROW()-1,60),ROW()-1,FALSE))</f>
        <v>7.4867780829999999</v>
      </c>
      <c r="U106">
        <f ca="1">IF(AND(ISNUMBER($U$778),$B$677=1),$U$778,HLOOKUP(INDIRECT(ADDRESS(2,COLUMN())),OFFSET($BN$2,0,0,ROW()-1,60),ROW()-1,FALSE))</f>
        <v>8.3207309390000006</v>
      </c>
      <c r="V106" t="str">
        <f ca="1">IF(AND(ISNUMBER($V$778),$B$677=1),$V$778,HLOOKUP(INDIRECT(ADDRESS(2,COLUMN())),OFFSET($BN$2,0,0,ROW()-1,60),ROW()-1,FALSE))</f>
        <v/>
      </c>
      <c r="W106" t="str">
        <f ca="1">IF(AND(ISNUMBER($W$778),$B$677=1),$W$778,HLOOKUP(INDIRECT(ADDRESS(2,COLUMN())),OFFSET($BN$2,0,0,ROW()-1,60),ROW()-1,FALSE))</f>
        <v/>
      </c>
      <c r="X106" t="str">
        <f ca="1">IF(AND(ISNUMBER($X$778),$B$677=1),$X$778,HLOOKUP(INDIRECT(ADDRESS(2,COLUMN())),OFFSET($BN$2,0,0,ROW()-1,60),ROW()-1,FALSE))</f>
        <v/>
      </c>
      <c r="Y106" t="str">
        <f ca="1">IF(AND(ISNUMBER($Y$778),$B$677=1),$Y$778,HLOOKUP(INDIRECT(ADDRESS(2,COLUMN())),OFFSET($BN$2,0,0,ROW()-1,60),ROW()-1,FALSE))</f>
        <v/>
      </c>
      <c r="Z106" t="str">
        <f ca="1">IF(AND(ISNUMBER($Z$778),$B$677=1),$Z$778,HLOOKUP(INDIRECT(ADDRESS(2,COLUMN())),OFFSET($BN$2,0,0,ROW()-1,60),ROW()-1,FALSE))</f>
        <v/>
      </c>
      <c r="AA106" t="str">
        <f ca="1">IF(AND(ISNUMBER($AA$778),$B$677=1),$AA$778,HLOOKUP(INDIRECT(ADDRESS(2,COLUMN())),OFFSET($BN$2,0,0,ROW()-1,60),ROW()-1,FALSE))</f>
        <v/>
      </c>
      <c r="AB106" t="str">
        <f ca="1">IF(AND(ISNUMBER($AB$778),$B$677=1),$AB$778,HLOOKUP(INDIRECT(ADDRESS(2,COLUMN())),OFFSET($BN$2,0,0,ROW()-1,60),ROW()-1,FALSE))</f>
        <v/>
      </c>
      <c r="AC106" t="str">
        <f ca="1">IF(AND(ISNUMBER($AC$778),$B$677=1),$AC$778,HLOOKUP(INDIRECT(ADDRESS(2,COLUMN())),OFFSET($BN$2,0,0,ROW()-1,60),ROW()-1,FALSE))</f>
        <v/>
      </c>
      <c r="AD106" t="str">
        <f ca="1">IF(AND(ISNUMBER($AD$778),$B$677=1),$AD$778,HLOOKUP(INDIRECT(ADDRESS(2,COLUMN())),OFFSET($BN$2,0,0,ROW()-1,60),ROW()-1,FALSE))</f>
        <v/>
      </c>
      <c r="AE106" t="str">
        <f ca="1">IF(AND(ISNUMBER($AE$778),$B$677=1),$AE$778,HLOOKUP(INDIRECT(ADDRESS(2,COLUMN())),OFFSET($BN$2,0,0,ROW()-1,60),ROW()-1,FALSE))</f>
        <v/>
      </c>
      <c r="AF106" t="str">
        <f ca="1">IF(AND(ISNUMBER($AF$778),$B$677=1),$AF$778,HLOOKUP(INDIRECT(ADDRESS(2,COLUMN())),OFFSET($BN$2,0,0,ROW()-1,60),ROW()-1,FALSE))</f>
        <v/>
      </c>
      <c r="AG106" t="str">
        <f ca="1">IF(AND(ISNUMBER($AG$778),$B$677=1),$AG$778,HLOOKUP(INDIRECT(ADDRESS(2,COLUMN())),OFFSET($BN$2,0,0,ROW()-1,60),ROW()-1,FALSE))</f>
        <v/>
      </c>
      <c r="AH106" t="str">
        <f ca="1">IF(AND(ISNUMBER($AH$778),$B$677=1),$AH$778,HLOOKUP(INDIRECT(ADDRESS(2,COLUMN())),OFFSET($BN$2,0,0,ROW()-1,60),ROW()-1,FALSE))</f>
        <v/>
      </c>
      <c r="AI106" t="str">
        <f ca="1">IF(AND(ISNUMBER($AI$778),$B$677=1),$AI$778,HLOOKUP(INDIRECT(ADDRESS(2,COLUMN())),OFFSET($BN$2,0,0,ROW()-1,60),ROW()-1,FALSE))</f>
        <v/>
      </c>
      <c r="AJ106" t="str">
        <f ca="1">IF(AND(ISNUMBER($AJ$778),$B$677=1),$AJ$778,HLOOKUP(INDIRECT(ADDRESS(2,COLUMN())),OFFSET($BN$2,0,0,ROW()-1,60),ROW()-1,FALSE))</f>
        <v/>
      </c>
      <c r="AK106" t="str">
        <f ca="1">IF(AND(ISNUMBER($AK$778),$B$677=1),$AK$778,HLOOKUP(INDIRECT(ADDRESS(2,COLUMN())),OFFSET($BN$2,0,0,ROW()-1,60),ROW()-1,FALSE))</f>
        <v/>
      </c>
      <c r="AL106" t="str">
        <f ca="1">IF(AND(ISNUMBER($AL$778),$B$677=1),$AL$778,HLOOKUP(INDIRECT(ADDRESS(2,COLUMN())),OFFSET($BN$2,0,0,ROW()-1,60),ROW()-1,FALSE))</f>
        <v/>
      </c>
      <c r="AM106" t="str">
        <f ca="1">IF(AND(ISNUMBER($AM$778),$B$677=1),$AM$778,HLOOKUP(INDIRECT(ADDRESS(2,COLUMN())),OFFSET($BN$2,0,0,ROW()-1,60),ROW()-1,FALSE))</f>
        <v/>
      </c>
      <c r="AN106" t="str">
        <f ca="1">IF(AND(ISNUMBER($AN$778),$B$677=1),$AN$778,HLOOKUP(INDIRECT(ADDRESS(2,COLUMN())),OFFSET($BN$2,0,0,ROW()-1,60),ROW()-1,FALSE))</f>
        <v/>
      </c>
      <c r="AO106" t="str">
        <f ca="1">IF(AND(ISNUMBER($AO$778),$B$677=1),$AO$778,HLOOKUP(INDIRECT(ADDRESS(2,COLUMN())),OFFSET($BN$2,0,0,ROW()-1,60),ROW()-1,FALSE))</f>
        <v/>
      </c>
      <c r="AP106" t="str">
        <f ca="1">IF(AND(ISNUMBER($AP$778),$B$677=1),$AP$778,HLOOKUP(INDIRECT(ADDRESS(2,COLUMN())),OFFSET($BN$2,0,0,ROW()-1,60),ROW()-1,FALSE))</f>
        <v/>
      </c>
      <c r="AQ106" t="str">
        <f ca="1">IF(AND(ISNUMBER($AQ$778),$B$677=1),$AQ$778,HLOOKUP(INDIRECT(ADDRESS(2,COLUMN())),OFFSET($BN$2,0,0,ROW()-1,60),ROW()-1,FALSE))</f>
        <v/>
      </c>
      <c r="AR106" t="str">
        <f ca="1">IF(AND(ISNUMBER($AR$778),$B$677=1),$AR$778,HLOOKUP(INDIRECT(ADDRESS(2,COLUMN())),OFFSET($BN$2,0,0,ROW()-1,60),ROW()-1,FALSE))</f>
        <v/>
      </c>
      <c r="AS106" t="str">
        <f ca="1">IF(AND(ISNUMBER($AS$778),$B$677=1),$AS$778,HLOOKUP(INDIRECT(ADDRESS(2,COLUMN())),OFFSET($BN$2,0,0,ROW()-1,60),ROW()-1,FALSE))</f>
        <v/>
      </c>
      <c r="AT106" t="str">
        <f ca="1">IF(AND(ISNUMBER($AT$778),$B$677=1),$AT$778,HLOOKUP(INDIRECT(ADDRESS(2,COLUMN())),OFFSET($BN$2,0,0,ROW()-1,60),ROW()-1,FALSE))</f>
        <v/>
      </c>
      <c r="AU106" t="str">
        <f ca="1">IF(AND(ISNUMBER($AU$778),$B$677=1),$AU$778,HLOOKUP(INDIRECT(ADDRESS(2,COLUMN())),OFFSET($BN$2,0,0,ROW()-1,60),ROW()-1,FALSE))</f>
        <v/>
      </c>
      <c r="AV106" t="str">
        <f ca="1">IF(AND(ISNUMBER($AV$778),$B$677=1),$AV$778,HLOOKUP(INDIRECT(ADDRESS(2,COLUMN())),OFFSET($BN$2,0,0,ROW()-1,60),ROW()-1,FALSE))</f>
        <v/>
      </c>
      <c r="AW106" t="str">
        <f ca="1">IF(AND(ISNUMBER($AW$778),$B$677=1),$AW$778,HLOOKUP(INDIRECT(ADDRESS(2,COLUMN())),OFFSET($BN$2,0,0,ROW()-1,60),ROW()-1,FALSE))</f>
        <v/>
      </c>
      <c r="AX106" t="str">
        <f ca="1">IF(AND(ISNUMBER($AX$778),$B$677=1),$AX$778,HLOOKUP(INDIRECT(ADDRESS(2,COLUMN())),OFFSET($BN$2,0,0,ROW()-1,60),ROW()-1,FALSE))</f>
        <v/>
      </c>
      <c r="AY106" t="str">
        <f ca="1">IF(AND(ISNUMBER($AY$778),$B$677=1),$AY$778,HLOOKUP(INDIRECT(ADDRESS(2,COLUMN())),OFFSET($BN$2,0,0,ROW()-1,60),ROW()-1,FALSE))</f>
        <v/>
      </c>
      <c r="AZ106" t="str">
        <f ca="1">IF(AND(ISNUMBER($AZ$778),$B$677=1),$AZ$778,HLOOKUP(INDIRECT(ADDRESS(2,COLUMN())),OFFSET($BN$2,0,0,ROW()-1,60),ROW()-1,FALSE))</f>
        <v/>
      </c>
      <c r="BA106" t="str">
        <f ca="1">IF(AND(ISNUMBER($BA$778),$B$677=1),$BA$778,HLOOKUP(INDIRECT(ADDRESS(2,COLUMN())),OFFSET($BN$2,0,0,ROW()-1,60),ROW()-1,FALSE))</f>
        <v/>
      </c>
      <c r="BB106" t="str">
        <f ca="1">IF(AND(ISNUMBER($BB$778),$B$677=1),$BB$778,HLOOKUP(INDIRECT(ADDRESS(2,COLUMN())),OFFSET($BN$2,0,0,ROW()-1,60),ROW()-1,FALSE))</f>
        <v/>
      </c>
      <c r="BC106" t="str">
        <f ca="1">IF(AND(ISNUMBER($BC$778),$B$677=1),$BC$778,HLOOKUP(INDIRECT(ADDRESS(2,COLUMN())),OFFSET($BN$2,0,0,ROW()-1,60),ROW()-1,FALSE))</f>
        <v/>
      </c>
      <c r="BD106" t="str">
        <f ca="1">IF(AND(ISNUMBER($BD$778),$B$677=1),$BD$778,HLOOKUP(INDIRECT(ADDRESS(2,COLUMN())),OFFSET($BN$2,0,0,ROW()-1,60),ROW()-1,FALSE))</f>
        <v/>
      </c>
      <c r="BE106" t="str">
        <f ca="1">IF(AND(ISNUMBER($BE$778),$B$677=1),$BE$778,HLOOKUP(INDIRECT(ADDRESS(2,COLUMN())),OFFSET($BN$2,0,0,ROW()-1,60),ROW()-1,FALSE))</f>
        <v/>
      </c>
      <c r="BF106" t="str">
        <f ca="1">IF(AND(ISNUMBER($BF$778),$B$677=1),$BF$778,HLOOKUP(INDIRECT(ADDRESS(2,COLUMN())),OFFSET($BN$2,0,0,ROW()-1,60),ROW()-1,FALSE))</f>
        <v/>
      </c>
      <c r="BG106" t="str">
        <f ca="1">IF(AND(ISNUMBER($BG$778),$B$677=1),$BG$778,HLOOKUP(INDIRECT(ADDRESS(2,COLUMN())),OFFSET($BN$2,0,0,ROW()-1,60),ROW()-1,FALSE))</f>
        <v/>
      </c>
      <c r="BH106" t="str">
        <f ca="1">IF(AND(ISNUMBER($BH$778),$B$677=1),$BH$778,HLOOKUP(INDIRECT(ADDRESS(2,COLUMN())),OFFSET($BN$2,0,0,ROW()-1,60),ROW()-1,FALSE))</f>
        <v/>
      </c>
      <c r="BI106" t="str">
        <f ca="1">IF(AND(ISNUMBER($BI$778),$B$677=1),$BI$778,HLOOKUP(INDIRECT(ADDRESS(2,COLUMN())),OFFSET($BN$2,0,0,ROW()-1,60),ROW()-1,FALSE))</f>
        <v/>
      </c>
      <c r="BJ106" t="str">
        <f ca="1">IF(AND(ISNUMBER($BJ$778),$B$677=1),$BJ$778,HLOOKUP(INDIRECT(ADDRESS(2,COLUMN())),OFFSET($BN$2,0,0,ROW()-1,60),ROW()-1,FALSE))</f>
        <v/>
      </c>
      <c r="BK106" t="str">
        <f ca="1">IF(AND(ISNUMBER($BK$778),$B$677=1),$BK$778,HLOOKUP(INDIRECT(ADDRESS(2,COLUMN())),OFFSET($BN$2,0,0,ROW()-1,60),ROW()-1,FALSE))</f>
        <v/>
      </c>
      <c r="BL106" t="str">
        <f ca="1">IF(AND(ISNUMBER($BL$778),$B$677=1),$BL$778,HLOOKUP(INDIRECT(ADDRESS(2,COLUMN())),OFFSET($BN$2,0,0,ROW()-1,60),ROW()-1,FALSE))</f>
        <v/>
      </c>
      <c r="BM106" t="str">
        <f ca="1">IF(AND(ISNUMBER($BM$778),$B$677=1),$BM$778,HLOOKUP(INDIRECT(ADDRESS(2,COLUMN())),OFFSET($BN$2,0,0,ROW()-1,60),ROW()-1,FALSE))</f>
        <v/>
      </c>
      <c r="BN106">
        <f>7.360596878</f>
        <v>7.360596878</v>
      </c>
      <c r="BO106">
        <f>6.744413636</f>
        <v>6.744413636</v>
      </c>
      <c r="BP106">
        <f>7.991318533</f>
        <v>7.9913185330000003</v>
      </c>
      <c r="BQ106">
        <f>7.424431927</f>
        <v>7.4244319269999997</v>
      </c>
      <c r="BR106">
        <f>7.982656262</f>
        <v>7.9826562619999999</v>
      </c>
      <c r="BS106">
        <f>8.841656059</f>
        <v>8.841656059</v>
      </c>
      <c r="BT106">
        <f>8.158488182</f>
        <v>8.1584881819999993</v>
      </c>
      <c r="BU106">
        <f>7.593932785</f>
        <v>7.5939327849999998</v>
      </c>
      <c r="BV106">
        <f>6.445408296</f>
        <v>6.4454082960000001</v>
      </c>
      <c r="BW106">
        <f>7.327539964</f>
        <v>7.3275399639999996</v>
      </c>
      <c r="BX106">
        <f>7.491341177</f>
        <v>7.4913411769999998</v>
      </c>
      <c r="BY106">
        <f>5.630889451</f>
        <v>5.6308894509999998</v>
      </c>
      <c r="BZ106">
        <f>7.515830492</f>
        <v>7.5158304920000001</v>
      </c>
      <c r="CA106">
        <f>8.261145151</f>
        <v>8.2611451509999991</v>
      </c>
      <c r="CB106">
        <f>7.486778083</f>
        <v>7.4867780829999999</v>
      </c>
      <c r="CC106">
        <f>8.320730939</f>
        <v>8.3207309390000006</v>
      </c>
      <c r="CD106" t="str">
        <f>""</f>
        <v/>
      </c>
      <c r="CE106" t="str">
        <f>""</f>
        <v/>
      </c>
      <c r="CF106" t="str">
        <f>""</f>
        <v/>
      </c>
      <c r="CG106" t="str">
        <f>""</f>
        <v/>
      </c>
      <c r="CH106" t="str">
        <f>""</f>
        <v/>
      </c>
      <c r="CI106" t="str">
        <f>""</f>
        <v/>
      </c>
      <c r="CJ106" t="str">
        <f>""</f>
        <v/>
      </c>
      <c r="CK106" t="str">
        <f>""</f>
        <v/>
      </c>
      <c r="CL106" t="str">
        <f>""</f>
        <v/>
      </c>
      <c r="CM106" t="str">
        <f>""</f>
        <v/>
      </c>
      <c r="CN106" t="str">
        <f>""</f>
        <v/>
      </c>
      <c r="CO106" t="str">
        <f>""</f>
        <v/>
      </c>
      <c r="CP106" t="str">
        <f>""</f>
        <v/>
      </c>
      <c r="CQ106" t="str">
        <f>""</f>
        <v/>
      </c>
      <c r="CR106" t="str">
        <f>""</f>
        <v/>
      </c>
      <c r="CS106" t="str">
        <f>""</f>
        <v/>
      </c>
      <c r="CT106" t="str">
        <f>""</f>
        <v/>
      </c>
      <c r="CU106" t="str">
        <f>""</f>
        <v/>
      </c>
      <c r="CV106" t="str">
        <f>""</f>
        <v/>
      </c>
      <c r="CW106" t="str">
        <f>""</f>
        <v/>
      </c>
      <c r="CX106" t="str">
        <f>""</f>
        <v/>
      </c>
      <c r="CY106" t="str">
        <f>""</f>
        <v/>
      </c>
      <c r="CZ106" t="str">
        <f>""</f>
        <v/>
      </c>
      <c r="DA106" t="str">
        <f>""</f>
        <v/>
      </c>
      <c r="DB106" t="str">
        <f>""</f>
        <v/>
      </c>
      <c r="DC106" t="str">
        <f>""</f>
        <v/>
      </c>
      <c r="DD106" t="str">
        <f>""</f>
        <v/>
      </c>
      <c r="DE106" t="str">
        <f>""</f>
        <v/>
      </c>
      <c r="DF106" t="str">
        <f>""</f>
        <v/>
      </c>
      <c r="DG106" t="str">
        <f>""</f>
        <v/>
      </c>
      <c r="DH106" t="str">
        <f>""</f>
        <v/>
      </c>
      <c r="DI106" t="str">
        <f>""</f>
        <v/>
      </c>
      <c r="DJ106" t="str">
        <f>""</f>
        <v/>
      </c>
      <c r="DK106" t="str">
        <f>""</f>
        <v/>
      </c>
      <c r="DL106" t="str">
        <f>""</f>
        <v/>
      </c>
      <c r="DM106" t="str">
        <f>""</f>
        <v/>
      </c>
      <c r="DN106" t="str">
        <f>""</f>
        <v/>
      </c>
      <c r="DO106" t="str">
        <f>""</f>
        <v/>
      </c>
      <c r="DP106" t="str">
        <f>""</f>
        <v/>
      </c>
      <c r="DQ106" t="str">
        <f>""</f>
        <v/>
      </c>
      <c r="DR106" t="str">
        <f>""</f>
        <v/>
      </c>
      <c r="DS106" t="str">
        <f>""</f>
        <v/>
      </c>
      <c r="DT106" t="str">
        <f>""</f>
        <v/>
      </c>
      <c r="DU106" t="str">
        <f>""</f>
        <v/>
      </c>
    </row>
    <row r="107" spans="1:125" x14ac:dyDescent="0.25">
      <c r="A107" t="str">
        <f>"    Hyundai Motor Co"</f>
        <v xml:space="preserve">    Hyundai Motor Co</v>
      </c>
      <c r="B107" t="str">
        <f>"005380 KS Equity"</f>
        <v>005380 KS Equity</v>
      </c>
      <c r="C107" t="str">
        <f t="shared" si="6"/>
        <v>EZ010</v>
      </c>
      <c r="D107" t="str">
        <f t="shared" si="7"/>
        <v>BEST_EST_PE_NXT_YR</v>
      </c>
      <c r="E107" t="str">
        <f t="shared" si="8"/>
        <v>Dynamic</v>
      </c>
      <c r="F107">
        <f ca="1">IF(AND(ISNUMBER($F$779),$B$677=1),$F$779,HLOOKUP(INDIRECT(ADDRESS(2,COLUMN())),OFFSET($BN$2,0,0,ROW()-1,60),ROW()-1,FALSE))</f>
        <v>7.9951445139999997</v>
      </c>
      <c r="G107">
        <f ca="1">IF(AND(ISNUMBER($G$779),$B$677=1),$G$779,HLOOKUP(INDIRECT(ADDRESS(2,COLUMN())),OFFSET($BN$2,0,0,ROW()-1,60),ROW()-1,FALSE))</f>
        <v>7.1017317379999998</v>
      </c>
      <c r="H107">
        <f ca="1">IF(AND(ISNUMBER($H$779),$B$677=1),$H$779,HLOOKUP(INDIRECT(ADDRESS(2,COLUMN())),OFFSET($BN$2,0,0,ROW()-1,60),ROW()-1,FALSE))</f>
        <v>6.6037099389999998</v>
      </c>
      <c r="I107">
        <f ca="1">IF(AND(ISNUMBER($I$779),$B$677=1),$I$779,HLOOKUP(INDIRECT(ADDRESS(2,COLUMN())),OFFSET($BN$2,0,0,ROW()-1,60),ROW()-1,FALSE))</f>
        <v>6.1785363650000003</v>
      </c>
      <c r="J107">
        <f ca="1">IF(AND(ISNUMBER($J$779),$B$677=1),$J$779,HLOOKUP(INDIRECT(ADDRESS(2,COLUMN())),OFFSET($BN$2,0,0,ROW()-1,60),ROW()-1,FALSE))</f>
        <v>6.7234944849999998</v>
      </c>
      <c r="K107">
        <f ca="1">IF(AND(ISNUMBER($K$779),$B$677=1),$K$779,HLOOKUP(INDIRECT(ADDRESS(2,COLUMN())),OFFSET($BN$2,0,0,ROW()-1,60),ROW()-1,FALSE))</f>
        <v>6.2291172340000003</v>
      </c>
      <c r="L107">
        <f ca="1">IF(AND(ISNUMBER($L$779),$B$677=1),$L$779,HLOOKUP(INDIRECT(ADDRESS(2,COLUMN())),OFFSET($BN$2,0,0,ROW()-1,60),ROW()-1,FALSE))</f>
        <v>6.0905103250000003</v>
      </c>
      <c r="M107">
        <f ca="1">IF(AND(ISNUMBER($M$779),$B$677=1),$M$779,HLOOKUP(INDIRECT(ADDRESS(2,COLUMN())),OFFSET($BN$2,0,0,ROW()-1,60),ROW()-1,FALSE))</f>
        <v>5.8921315109999997</v>
      </c>
      <c r="N107">
        <f ca="1">IF(AND(ISNUMBER($N$779),$B$677=1),$N$779,HLOOKUP(INDIRECT(ADDRESS(2,COLUMN())),OFFSET($BN$2,0,0,ROW()-1,60),ROW()-1,FALSE))</f>
        <v>5.9839663889999999</v>
      </c>
      <c r="O107">
        <f ca="1">IF(AND(ISNUMBER($O$779),$B$677=1),$O$779,HLOOKUP(INDIRECT(ADDRESS(2,COLUMN())),OFFSET($BN$2,0,0,ROW()-1,60),ROW()-1,FALSE))</f>
        <v>4.9653437709999997</v>
      </c>
      <c r="P107">
        <f ca="1">IF(AND(ISNUMBER($P$779),$B$677=1),$P$779,HLOOKUP(INDIRECT(ADDRESS(2,COLUMN())),OFFSET($BN$2,0,0,ROW()-1,60),ROW()-1,FALSE))</f>
        <v>4.0099434760000001</v>
      </c>
      <c r="Q107">
        <f ca="1">IF(AND(ISNUMBER($Q$779),$B$677=1),$Q$779,HLOOKUP(INDIRECT(ADDRESS(2,COLUMN())),OFFSET($BN$2,0,0,ROW()-1,60),ROW()-1,FALSE))</f>
        <v>4.7086312860000001</v>
      </c>
      <c r="R107">
        <f ca="1">IF(AND(ISNUMBER($R$779),$B$677=1),$R$779,HLOOKUP(INDIRECT(ADDRESS(2,COLUMN())),OFFSET($BN$2,0,0,ROW()-1,60),ROW()-1,FALSE))</f>
        <v>5.0772169790000001</v>
      </c>
      <c r="S107" t="str">
        <f ca="1">IF(AND(ISNUMBER($S$779),$B$677=1),$S$779,HLOOKUP(INDIRECT(ADDRESS(2,COLUMN())),OFFSET($BN$2,0,0,ROW()-1,60),ROW()-1,FALSE))</f>
        <v/>
      </c>
      <c r="T107" t="str">
        <f ca="1">IF(AND(ISNUMBER($T$779),$B$677=1),$T$779,HLOOKUP(INDIRECT(ADDRESS(2,COLUMN())),OFFSET($BN$2,0,0,ROW()-1,60),ROW()-1,FALSE))</f>
        <v/>
      </c>
      <c r="U107" t="str">
        <f ca="1">IF(AND(ISNUMBER($U$779),$B$677=1),$U$779,HLOOKUP(INDIRECT(ADDRESS(2,COLUMN())),OFFSET($BN$2,0,0,ROW()-1,60),ROW()-1,FALSE))</f>
        <v/>
      </c>
      <c r="V107" t="str">
        <f ca="1">IF(AND(ISNUMBER($V$779),$B$677=1),$V$779,HLOOKUP(INDIRECT(ADDRESS(2,COLUMN())),OFFSET($BN$2,0,0,ROW()-1,60),ROW()-1,FALSE))</f>
        <v/>
      </c>
      <c r="W107" t="str">
        <f ca="1">IF(AND(ISNUMBER($W$779),$B$677=1),$W$779,HLOOKUP(INDIRECT(ADDRESS(2,COLUMN())),OFFSET($BN$2,0,0,ROW()-1,60),ROW()-1,FALSE))</f>
        <v/>
      </c>
      <c r="X107" t="str">
        <f ca="1">IF(AND(ISNUMBER($X$779),$B$677=1),$X$779,HLOOKUP(INDIRECT(ADDRESS(2,COLUMN())),OFFSET($BN$2,0,0,ROW()-1,60),ROW()-1,FALSE))</f>
        <v/>
      </c>
      <c r="Y107" t="str">
        <f ca="1">IF(AND(ISNUMBER($Y$779),$B$677=1),$Y$779,HLOOKUP(INDIRECT(ADDRESS(2,COLUMN())),OFFSET($BN$2,0,0,ROW()-1,60),ROW()-1,FALSE))</f>
        <v/>
      </c>
      <c r="Z107" t="str">
        <f ca="1">IF(AND(ISNUMBER($Z$779),$B$677=1),$Z$779,HLOOKUP(INDIRECT(ADDRESS(2,COLUMN())),OFFSET($BN$2,0,0,ROW()-1,60),ROW()-1,FALSE))</f>
        <v/>
      </c>
      <c r="AA107" t="str">
        <f ca="1">IF(AND(ISNUMBER($AA$779),$B$677=1),$AA$779,HLOOKUP(INDIRECT(ADDRESS(2,COLUMN())),OFFSET($BN$2,0,0,ROW()-1,60),ROW()-1,FALSE))</f>
        <v/>
      </c>
      <c r="AB107" t="str">
        <f ca="1">IF(AND(ISNUMBER($AB$779),$B$677=1),$AB$779,HLOOKUP(INDIRECT(ADDRESS(2,COLUMN())),OFFSET($BN$2,0,0,ROW()-1,60),ROW()-1,FALSE))</f>
        <v/>
      </c>
      <c r="AC107" t="str">
        <f ca="1">IF(AND(ISNUMBER($AC$779),$B$677=1),$AC$779,HLOOKUP(INDIRECT(ADDRESS(2,COLUMN())),OFFSET($BN$2,0,0,ROW()-1,60),ROW()-1,FALSE))</f>
        <v/>
      </c>
      <c r="AD107" t="str">
        <f ca="1">IF(AND(ISNUMBER($AD$779),$B$677=1),$AD$779,HLOOKUP(INDIRECT(ADDRESS(2,COLUMN())),OFFSET($BN$2,0,0,ROW()-1,60),ROW()-1,FALSE))</f>
        <v/>
      </c>
      <c r="AE107" t="str">
        <f ca="1">IF(AND(ISNUMBER($AE$779),$B$677=1),$AE$779,HLOOKUP(INDIRECT(ADDRESS(2,COLUMN())),OFFSET($BN$2,0,0,ROW()-1,60),ROW()-1,FALSE))</f>
        <v/>
      </c>
      <c r="AF107" t="str">
        <f ca="1">IF(AND(ISNUMBER($AF$779),$B$677=1),$AF$779,HLOOKUP(INDIRECT(ADDRESS(2,COLUMN())),OFFSET($BN$2,0,0,ROW()-1,60),ROW()-1,FALSE))</f>
        <v/>
      </c>
      <c r="AG107" t="str">
        <f ca="1">IF(AND(ISNUMBER($AG$779),$B$677=1),$AG$779,HLOOKUP(INDIRECT(ADDRESS(2,COLUMN())),OFFSET($BN$2,0,0,ROW()-1,60),ROW()-1,FALSE))</f>
        <v/>
      </c>
      <c r="AH107" t="str">
        <f ca="1">IF(AND(ISNUMBER($AH$779),$B$677=1),$AH$779,HLOOKUP(INDIRECT(ADDRESS(2,COLUMN())),OFFSET($BN$2,0,0,ROW()-1,60),ROW()-1,FALSE))</f>
        <v/>
      </c>
      <c r="AI107" t="str">
        <f ca="1">IF(AND(ISNUMBER($AI$779),$B$677=1),$AI$779,HLOOKUP(INDIRECT(ADDRESS(2,COLUMN())),OFFSET($BN$2,0,0,ROW()-1,60),ROW()-1,FALSE))</f>
        <v/>
      </c>
      <c r="AJ107" t="str">
        <f ca="1">IF(AND(ISNUMBER($AJ$779),$B$677=1),$AJ$779,HLOOKUP(INDIRECT(ADDRESS(2,COLUMN())),OFFSET($BN$2,0,0,ROW()-1,60),ROW()-1,FALSE))</f>
        <v/>
      </c>
      <c r="AK107" t="str">
        <f ca="1">IF(AND(ISNUMBER($AK$779),$B$677=1),$AK$779,HLOOKUP(INDIRECT(ADDRESS(2,COLUMN())),OFFSET($BN$2,0,0,ROW()-1,60),ROW()-1,FALSE))</f>
        <v/>
      </c>
      <c r="AL107" t="str">
        <f ca="1">IF(AND(ISNUMBER($AL$779),$B$677=1),$AL$779,HLOOKUP(INDIRECT(ADDRESS(2,COLUMN())),OFFSET($BN$2,0,0,ROW()-1,60),ROW()-1,FALSE))</f>
        <v/>
      </c>
      <c r="AM107" t="str">
        <f ca="1">IF(AND(ISNUMBER($AM$779),$B$677=1),$AM$779,HLOOKUP(INDIRECT(ADDRESS(2,COLUMN())),OFFSET($BN$2,0,0,ROW()-1,60),ROW()-1,FALSE))</f>
        <v/>
      </c>
      <c r="AN107" t="str">
        <f ca="1">IF(AND(ISNUMBER($AN$779),$B$677=1),$AN$779,HLOOKUP(INDIRECT(ADDRESS(2,COLUMN())),OFFSET($BN$2,0,0,ROW()-1,60),ROW()-1,FALSE))</f>
        <v/>
      </c>
      <c r="AO107" t="str">
        <f ca="1">IF(AND(ISNUMBER($AO$779),$B$677=1),$AO$779,HLOOKUP(INDIRECT(ADDRESS(2,COLUMN())),OFFSET($BN$2,0,0,ROW()-1,60),ROW()-1,FALSE))</f>
        <v/>
      </c>
      <c r="AP107" t="str">
        <f ca="1">IF(AND(ISNUMBER($AP$779),$B$677=1),$AP$779,HLOOKUP(INDIRECT(ADDRESS(2,COLUMN())),OFFSET($BN$2,0,0,ROW()-1,60),ROW()-1,FALSE))</f>
        <v/>
      </c>
      <c r="AQ107" t="str">
        <f ca="1">IF(AND(ISNUMBER($AQ$779),$B$677=1),$AQ$779,HLOOKUP(INDIRECT(ADDRESS(2,COLUMN())),OFFSET($BN$2,0,0,ROW()-1,60),ROW()-1,FALSE))</f>
        <v/>
      </c>
      <c r="AR107" t="str">
        <f ca="1">IF(AND(ISNUMBER($AR$779),$B$677=1),$AR$779,HLOOKUP(INDIRECT(ADDRESS(2,COLUMN())),OFFSET($BN$2,0,0,ROW()-1,60),ROW()-1,FALSE))</f>
        <v/>
      </c>
      <c r="AS107" t="str">
        <f ca="1">IF(AND(ISNUMBER($AS$779),$B$677=1),$AS$779,HLOOKUP(INDIRECT(ADDRESS(2,COLUMN())),OFFSET($BN$2,0,0,ROW()-1,60),ROW()-1,FALSE))</f>
        <v/>
      </c>
      <c r="AT107" t="str">
        <f ca="1">IF(AND(ISNUMBER($AT$779),$B$677=1),$AT$779,HLOOKUP(INDIRECT(ADDRESS(2,COLUMN())),OFFSET($BN$2,0,0,ROW()-1,60),ROW()-1,FALSE))</f>
        <v/>
      </c>
      <c r="AU107" t="str">
        <f ca="1">IF(AND(ISNUMBER($AU$779),$B$677=1),$AU$779,HLOOKUP(INDIRECT(ADDRESS(2,COLUMN())),OFFSET($BN$2,0,0,ROW()-1,60),ROW()-1,FALSE))</f>
        <v/>
      </c>
      <c r="AV107" t="str">
        <f ca="1">IF(AND(ISNUMBER($AV$779),$B$677=1),$AV$779,HLOOKUP(INDIRECT(ADDRESS(2,COLUMN())),OFFSET($BN$2,0,0,ROW()-1,60),ROW()-1,FALSE))</f>
        <v/>
      </c>
      <c r="AW107" t="str">
        <f ca="1">IF(AND(ISNUMBER($AW$779),$B$677=1),$AW$779,HLOOKUP(INDIRECT(ADDRESS(2,COLUMN())),OFFSET($BN$2,0,0,ROW()-1,60),ROW()-1,FALSE))</f>
        <v/>
      </c>
      <c r="AX107" t="str">
        <f ca="1">IF(AND(ISNUMBER($AX$779),$B$677=1),$AX$779,HLOOKUP(INDIRECT(ADDRESS(2,COLUMN())),OFFSET($BN$2,0,0,ROW()-1,60),ROW()-1,FALSE))</f>
        <v/>
      </c>
      <c r="AY107" t="str">
        <f ca="1">IF(AND(ISNUMBER($AY$779),$B$677=1),$AY$779,HLOOKUP(INDIRECT(ADDRESS(2,COLUMN())),OFFSET($BN$2,0,0,ROW()-1,60),ROW()-1,FALSE))</f>
        <v/>
      </c>
      <c r="AZ107" t="str">
        <f ca="1">IF(AND(ISNUMBER($AZ$779),$B$677=1),$AZ$779,HLOOKUP(INDIRECT(ADDRESS(2,COLUMN())),OFFSET($BN$2,0,0,ROW()-1,60),ROW()-1,FALSE))</f>
        <v/>
      </c>
      <c r="BA107" t="str">
        <f ca="1">IF(AND(ISNUMBER($BA$779),$B$677=1),$BA$779,HLOOKUP(INDIRECT(ADDRESS(2,COLUMN())),OFFSET($BN$2,0,0,ROW()-1,60),ROW()-1,FALSE))</f>
        <v/>
      </c>
      <c r="BB107" t="str">
        <f ca="1">IF(AND(ISNUMBER($BB$779),$B$677=1),$BB$779,HLOOKUP(INDIRECT(ADDRESS(2,COLUMN())),OFFSET($BN$2,0,0,ROW()-1,60),ROW()-1,FALSE))</f>
        <v/>
      </c>
      <c r="BC107" t="str">
        <f ca="1">IF(AND(ISNUMBER($BC$779),$B$677=1),$BC$779,HLOOKUP(INDIRECT(ADDRESS(2,COLUMN())),OFFSET($BN$2,0,0,ROW()-1,60),ROW()-1,FALSE))</f>
        <v/>
      </c>
      <c r="BD107" t="str">
        <f ca="1">IF(AND(ISNUMBER($BD$779),$B$677=1),$BD$779,HLOOKUP(INDIRECT(ADDRESS(2,COLUMN())),OFFSET($BN$2,0,0,ROW()-1,60),ROW()-1,FALSE))</f>
        <v/>
      </c>
      <c r="BE107" t="str">
        <f ca="1">IF(AND(ISNUMBER($BE$779),$B$677=1),$BE$779,HLOOKUP(INDIRECT(ADDRESS(2,COLUMN())),OFFSET($BN$2,0,0,ROW()-1,60),ROW()-1,FALSE))</f>
        <v/>
      </c>
      <c r="BF107" t="str">
        <f ca="1">IF(AND(ISNUMBER($BF$779),$B$677=1),$BF$779,HLOOKUP(INDIRECT(ADDRESS(2,COLUMN())),OFFSET($BN$2,0,0,ROW()-1,60),ROW()-1,FALSE))</f>
        <v/>
      </c>
      <c r="BG107" t="str">
        <f ca="1">IF(AND(ISNUMBER($BG$779),$B$677=1),$BG$779,HLOOKUP(INDIRECT(ADDRESS(2,COLUMN())),OFFSET($BN$2,0,0,ROW()-1,60),ROW()-1,FALSE))</f>
        <v/>
      </c>
      <c r="BH107" t="str">
        <f ca="1">IF(AND(ISNUMBER($BH$779),$B$677=1),$BH$779,HLOOKUP(INDIRECT(ADDRESS(2,COLUMN())),OFFSET($BN$2,0,0,ROW()-1,60),ROW()-1,FALSE))</f>
        <v/>
      </c>
      <c r="BI107" t="str">
        <f ca="1">IF(AND(ISNUMBER($BI$779),$B$677=1),$BI$779,HLOOKUP(INDIRECT(ADDRESS(2,COLUMN())),OFFSET($BN$2,0,0,ROW()-1,60),ROW()-1,FALSE))</f>
        <v/>
      </c>
      <c r="BJ107" t="str">
        <f ca="1">IF(AND(ISNUMBER($BJ$779),$B$677=1),$BJ$779,HLOOKUP(INDIRECT(ADDRESS(2,COLUMN())),OFFSET($BN$2,0,0,ROW()-1,60),ROW()-1,FALSE))</f>
        <v/>
      </c>
      <c r="BK107" t="str">
        <f ca="1">IF(AND(ISNUMBER($BK$779),$B$677=1),$BK$779,HLOOKUP(INDIRECT(ADDRESS(2,COLUMN())),OFFSET($BN$2,0,0,ROW()-1,60),ROW()-1,FALSE))</f>
        <v/>
      </c>
      <c r="BL107" t="str">
        <f ca="1">IF(AND(ISNUMBER($BL$779),$B$677=1),$BL$779,HLOOKUP(INDIRECT(ADDRESS(2,COLUMN())),OFFSET($BN$2,0,0,ROW()-1,60),ROW()-1,FALSE))</f>
        <v/>
      </c>
      <c r="BM107" t="str">
        <f ca="1">IF(AND(ISNUMBER($BM$779),$B$677=1),$BM$779,HLOOKUP(INDIRECT(ADDRESS(2,COLUMN())),OFFSET($BN$2,0,0,ROW()-1,60),ROW()-1,FALSE))</f>
        <v/>
      </c>
      <c r="BN107">
        <f>7.995144514</f>
        <v>7.9951445139999997</v>
      </c>
      <c r="BO107">
        <f>7.101731738</f>
        <v>7.1017317379999998</v>
      </c>
      <c r="BP107">
        <f>6.603709939</f>
        <v>6.6037099389999998</v>
      </c>
      <c r="BQ107">
        <f>6.178536365</f>
        <v>6.1785363650000003</v>
      </c>
      <c r="BR107">
        <f>6.723494485</f>
        <v>6.7234944849999998</v>
      </c>
      <c r="BS107">
        <f>6.229117234</f>
        <v>6.2291172340000003</v>
      </c>
      <c r="BT107">
        <f>6.090510325</f>
        <v>6.0905103250000003</v>
      </c>
      <c r="BU107">
        <f>5.892131511</f>
        <v>5.8921315109999997</v>
      </c>
      <c r="BV107">
        <f>5.983966389</f>
        <v>5.9839663889999999</v>
      </c>
      <c r="BW107">
        <f>4.965343771</f>
        <v>4.9653437709999997</v>
      </c>
      <c r="BX107">
        <f>4.009943476</f>
        <v>4.0099434760000001</v>
      </c>
      <c r="BY107">
        <f>4.708631286</f>
        <v>4.7086312860000001</v>
      </c>
      <c r="BZ107">
        <f>5.077216979</f>
        <v>5.0772169790000001</v>
      </c>
      <c r="CA107" t="str">
        <f>""</f>
        <v/>
      </c>
      <c r="CB107" t="str">
        <f>""</f>
        <v/>
      </c>
      <c r="CC107" t="str">
        <f>""</f>
        <v/>
      </c>
      <c r="CD107" t="str">
        <f>""</f>
        <v/>
      </c>
      <c r="CE107" t="str">
        <f>""</f>
        <v/>
      </c>
      <c r="CF107" t="str">
        <f>""</f>
        <v/>
      </c>
      <c r="CG107" t="str">
        <f>""</f>
        <v/>
      </c>
      <c r="CH107" t="str">
        <f>""</f>
        <v/>
      </c>
      <c r="CI107" t="str">
        <f>""</f>
        <v/>
      </c>
      <c r="CJ107" t="str">
        <f>""</f>
        <v/>
      </c>
      <c r="CK107" t="str">
        <f>""</f>
        <v/>
      </c>
      <c r="CL107" t="str">
        <f>""</f>
        <v/>
      </c>
      <c r="CM107" t="str">
        <f>""</f>
        <v/>
      </c>
      <c r="CN107" t="str">
        <f>""</f>
        <v/>
      </c>
      <c r="CO107" t="str">
        <f>""</f>
        <v/>
      </c>
      <c r="CP107" t="str">
        <f>""</f>
        <v/>
      </c>
      <c r="CQ107" t="str">
        <f>""</f>
        <v/>
      </c>
      <c r="CR107" t="str">
        <f>""</f>
        <v/>
      </c>
      <c r="CS107" t="str">
        <f>""</f>
        <v/>
      </c>
      <c r="CT107" t="str">
        <f>""</f>
        <v/>
      </c>
      <c r="CU107" t="str">
        <f>""</f>
        <v/>
      </c>
      <c r="CV107" t="str">
        <f>""</f>
        <v/>
      </c>
      <c r="CW107" t="str">
        <f>""</f>
        <v/>
      </c>
      <c r="CX107" t="str">
        <f>""</f>
        <v/>
      </c>
      <c r="CY107" t="str">
        <f>""</f>
        <v/>
      </c>
      <c r="CZ107" t="str">
        <f>""</f>
        <v/>
      </c>
      <c r="DA107" t="str">
        <f>""</f>
        <v/>
      </c>
      <c r="DB107" t="str">
        <f>""</f>
        <v/>
      </c>
      <c r="DC107" t="str">
        <f>""</f>
        <v/>
      </c>
      <c r="DD107" t="str">
        <f>""</f>
        <v/>
      </c>
      <c r="DE107" t="str">
        <f>""</f>
        <v/>
      </c>
      <c r="DF107" t="str">
        <f>""</f>
        <v/>
      </c>
      <c r="DG107" t="str">
        <f>""</f>
        <v/>
      </c>
      <c r="DH107" t="str">
        <f>""</f>
        <v/>
      </c>
      <c r="DI107" t="str">
        <f>""</f>
        <v/>
      </c>
      <c r="DJ107" t="str">
        <f>""</f>
        <v/>
      </c>
      <c r="DK107" t="str">
        <f>""</f>
        <v/>
      </c>
      <c r="DL107" t="str">
        <f>""</f>
        <v/>
      </c>
      <c r="DM107" t="str">
        <f>""</f>
        <v/>
      </c>
      <c r="DN107" t="str">
        <f>""</f>
        <v/>
      </c>
      <c r="DO107" t="str">
        <f>""</f>
        <v/>
      </c>
      <c r="DP107" t="str">
        <f>""</f>
        <v/>
      </c>
      <c r="DQ107" t="str">
        <f>""</f>
        <v/>
      </c>
      <c r="DR107" t="str">
        <f>""</f>
        <v/>
      </c>
      <c r="DS107" t="str">
        <f>""</f>
        <v/>
      </c>
      <c r="DT107" t="str">
        <f>""</f>
        <v/>
      </c>
      <c r="DU107" t="str">
        <f>""</f>
        <v/>
      </c>
    </row>
    <row r="108" spans="1:125" x14ac:dyDescent="0.25">
      <c r="A108" t="str">
        <f>"    Kia Motors Corp"</f>
        <v xml:space="preserve">    Kia Motors Corp</v>
      </c>
      <c r="B108" t="str">
        <f>"000270 KS Equity"</f>
        <v>000270 KS Equity</v>
      </c>
      <c r="C108" t="str">
        <f t="shared" si="6"/>
        <v>EZ010</v>
      </c>
      <c r="D108" t="str">
        <f t="shared" si="7"/>
        <v>BEST_EST_PE_NXT_YR</v>
      </c>
      <c r="E108" t="str">
        <f t="shared" si="8"/>
        <v>Dynamic</v>
      </c>
      <c r="F108">
        <f ca="1">IF(AND(ISNUMBER($F$780),$B$677=1),$F$780,HLOOKUP(INDIRECT(ADDRESS(2,COLUMN())),OFFSET($BN$2,0,0,ROW()-1,60),ROW()-1,FALSE))</f>
        <v>7.1031491920000001</v>
      </c>
      <c r="G108">
        <f ca="1">IF(AND(ISNUMBER($G$780),$B$677=1),$G$780,HLOOKUP(INDIRECT(ADDRESS(2,COLUMN())),OFFSET($BN$2,0,0,ROW()-1,60),ROW()-1,FALSE))</f>
        <v>6.269110789</v>
      </c>
      <c r="H108">
        <f ca="1">IF(AND(ISNUMBER($H$780),$B$677=1),$H$780,HLOOKUP(INDIRECT(ADDRESS(2,COLUMN())),OFFSET($BN$2,0,0,ROW()-1,60),ROW()-1,FALSE))</f>
        <v>5.7770255759999998</v>
      </c>
      <c r="I108">
        <f ca="1">IF(AND(ISNUMBER($I$780),$B$677=1),$I$780,HLOOKUP(INDIRECT(ADDRESS(2,COLUMN())),OFFSET($BN$2,0,0,ROW()-1,60),ROW()-1,FALSE))</f>
        <v>5.0576630969999998</v>
      </c>
      <c r="J108">
        <f ca="1">IF(AND(ISNUMBER($J$780),$B$677=1),$J$780,HLOOKUP(INDIRECT(ADDRESS(2,COLUMN())),OFFSET($BN$2,0,0,ROW()-1,60),ROW()-1,FALSE))</f>
        <v>5.2303681930000003</v>
      </c>
      <c r="K108">
        <f ca="1">IF(AND(ISNUMBER($K$780),$B$677=1),$K$780,HLOOKUP(INDIRECT(ADDRESS(2,COLUMN())),OFFSET($BN$2,0,0,ROW()-1,60),ROW()-1,FALSE))</f>
        <v>4.8187502609999999</v>
      </c>
      <c r="L108">
        <f ca="1">IF(AND(ISNUMBER($L$780),$B$677=1),$L$780,HLOOKUP(INDIRECT(ADDRESS(2,COLUMN())),OFFSET($BN$2,0,0,ROW()-1,60),ROW()-1,FALSE))</f>
        <v>4.6348954469999999</v>
      </c>
      <c r="M108">
        <f ca="1">IF(AND(ISNUMBER($M$780),$B$677=1),$M$780,HLOOKUP(INDIRECT(ADDRESS(2,COLUMN())),OFFSET($BN$2,0,0,ROW()-1,60),ROW()-1,FALSE))</f>
        <v>5.4311509210000004</v>
      </c>
      <c r="N108">
        <f ca="1">IF(AND(ISNUMBER($N$780),$B$677=1),$N$780,HLOOKUP(INDIRECT(ADDRESS(2,COLUMN())),OFFSET($BN$2,0,0,ROW()-1,60),ROW()-1,FALSE))</f>
        <v>5.0913838120000001</v>
      </c>
      <c r="O108">
        <f ca="1">IF(AND(ISNUMBER($O$780),$B$677=1),$O$780,HLOOKUP(INDIRECT(ADDRESS(2,COLUMN())),OFFSET($BN$2,0,0,ROW()-1,60),ROW()-1,FALSE))</f>
        <v>4.6745918370000004</v>
      </c>
      <c r="P108">
        <f ca="1">IF(AND(ISNUMBER($P$780),$B$677=1),$P$780,HLOOKUP(INDIRECT(ADDRESS(2,COLUMN())),OFFSET($BN$2,0,0,ROW()-1,60),ROW()-1,FALSE))</f>
        <v>4.4527783650000003</v>
      </c>
      <c r="Q108">
        <f ca="1">IF(AND(ISNUMBER($Q$780),$B$677=1),$Q$780,HLOOKUP(INDIRECT(ADDRESS(2,COLUMN())),OFFSET($BN$2,0,0,ROW()-1,60),ROW()-1,FALSE))</f>
        <v>6.8486961319999997</v>
      </c>
      <c r="R108">
        <f ca="1">IF(AND(ISNUMBER($R$780),$B$677=1),$R$780,HLOOKUP(INDIRECT(ADDRESS(2,COLUMN())),OFFSET($BN$2,0,0,ROW()-1,60),ROW()-1,FALSE))</f>
        <v>6.0288787030000002</v>
      </c>
      <c r="S108" t="str">
        <f ca="1">IF(AND(ISNUMBER($S$780),$B$677=1),$S$780,HLOOKUP(INDIRECT(ADDRESS(2,COLUMN())),OFFSET($BN$2,0,0,ROW()-1,60),ROW()-1,FALSE))</f>
        <v/>
      </c>
      <c r="T108" t="str">
        <f ca="1">IF(AND(ISNUMBER($T$780),$B$677=1),$T$780,HLOOKUP(INDIRECT(ADDRESS(2,COLUMN())),OFFSET($BN$2,0,0,ROW()-1,60),ROW()-1,FALSE))</f>
        <v/>
      </c>
      <c r="U108" t="str">
        <f ca="1">IF(AND(ISNUMBER($U$780),$B$677=1),$U$780,HLOOKUP(INDIRECT(ADDRESS(2,COLUMN())),OFFSET($BN$2,0,0,ROW()-1,60),ROW()-1,FALSE))</f>
        <v/>
      </c>
      <c r="V108" t="str">
        <f ca="1">IF(AND(ISNUMBER($V$780),$B$677=1),$V$780,HLOOKUP(INDIRECT(ADDRESS(2,COLUMN())),OFFSET($BN$2,0,0,ROW()-1,60),ROW()-1,FALSE))</f>
        <v/>
      </c>
      <c r="W108" t="str">
        <f ca="1">IF(AND(ISNUMBER($W$780),$B$677=1),$W$780,HLOOKUP(INDIRECT(ADDRESS(2,COLUMN())),OFFSET($BN$2,0,0,ROW()-1,60),ROW()-1,FALSE))</f>
        <v/>
      </c>
      <c r="X108" t="str">
        <f ca="1">IF(AND(ISNUMBER($X$780),$B$677=1),$X$780,HLOOKUP(INDIRECT(ADDRESS(2,COLUMN())),OFFSET($BN$2,0,0,ROW()-1,60),ROW()-1,FALSE))</f>
        <v/>
      </c>
      <c r="Y108" t="str">
        <f ca="1">IF(AND(ISNUMBER($Y$780),$B$677=1),$Y$780,HLOOKUP(INDIRECT(ADDRESS(2,COLUMN())),OFFSET($BN$2,0,0,ROW()-1,60),ROW()-1,FALSE))</f>
        <v/>
      </c>
      <c r="Z108" t="str">
        <f ca="1">IF(AND(ISNUMBER($Z$780),$B$677=1),$Z$780,HLOOKUP(INDIRECT(ADDRESS(2,COLUMN())),OFFSET($BN$2,0,0,ROW()-1,60),ROW()-1,FALSE))</f>
        <v/>
      </c>
      <c r="AA108" t="str">
        <f ca="1">IF(AND(ISNUMBER($AA$780),$B$677=1),$AA$780,HLOOKUP(INDIRECT(ADDRESS(2,COLUMN())),OFFSET($BN$2,0,0,ROW()-1,60),ROW()-1,FALSE))</f>
        <v/>
      </c>
      <c r="AB108" t="str">
        <f ca="1">IF(AND(ISNUMBER($AB$780),$B$677=1),$AB$780,HLOOKUP(INDIRECT(ADDRESS(2,COLUMN())),OFFSET($BN$2,0,0,ROW()-1,60),ROW()-1,FALSE))</f>
        <v/>
      </c>
      <c r="AC108" t="str">
        <f ca="1">IF(AND(ISNUMBER($AC$780),$B$677=1),$AC$780,HLOOKUP(INDIRECT(ADDRESS(2,COLUMN())),OFFSET($BN$2,0,0,ROW()-1,60),ROW()-1,FALSE))</f>
        <v/>
      </c>
      <c r="AD108" t="str">
        <f ca="1">IF(AND(ISNUMBER($AD$780),$B$677=1),$AD$780,HLOOKUP(INDIRECT(ADDRESS(2,COLUMN())),OFFSET($BN$2,0,0,ROW()-1,60),ROW()-1,FALSE))</f>
        <v/>
      </c>
      <c r="AE108" t="str">
        <f ca="1">IF(AND(ISNUMBER($AE$780),$B$677=1),$AE$780,HLOOKUP(INDIRECT(ADDRESS(2,COLUMN())),OFFSET($BN$2,0,0,ROW()-1,60),ROW()-1,FALSE))</f>
        <v/>
      </c>
      <c r="AF108" t="str">
        <f ca="1">IF(AND(ISNUMBER($AF$780),$B$677=1),$AF$780,HLOOKUP(INDIRECT(ADDRESS(2,COLUMN())),OFFSET($BN$2,0,0,ROW()-1,60),ROW()-1,FALSE))</f>
        <v/>
      </c>
      <c r="AG108" t="str">
        <f ca="1">IF(AND(ISNUMBER($AG$780),$B$677=1),$AG$780,HLOOKUP(INDIRECT(ADDRESS(2,COLUMN())),OFFSET($BN$2,0,0,ROW()-1,60),ROW()-1,FALSE))</f>
        <v/>
      </c>
      <c r="AH108" t="str">
        <f ca="1">IF(AND(ISNUMBER($AH$780),$B$677=1),$AH$780,HLOOKUP(INDIRECT(ADDRESS(2,COLUMN())),OFFSET($BN$2,0,0,ROW()-1,60),ROW()-1,FALSE))</f>
        <v/>
      </c>
      <c r="AI108" t="str">
        <f ca="1">IF(AND(ISNUMBER($AI$780),$B$677=1),$AI$780,HLOOKUP(INDIRECT(ADDRESS(2,COLUMN())),OFFSET($BN$2,0,0,ROW()-1,60),ROW()-1,FALSE))</f>
        <v/>
      </c>
      <c r="AJ108" t="str">
        <f ca="1">IF(AND(ISNUMBER($AJ$780),$B$677=1),$AJ$780,HLOOKUP(INDIRECT(ADDRESS(2,COLUMN())),OFFSET($BN$2,0,0,ROW()-1,60),ROW()-1,FALSE))</f>
        <v/>
      </c>
      <c r="AK108" t="str">
        <f ca="1">IF(AND(ISNUMBER($AK$780),$B$677=1),$AK$780,HLOOKUP(INDIRECT(ADDRESS(2,COLUMN())),OFFSET($BN$2,0,0,ROW()-1,60),ROW()-1,FALSE))</f>
        <v/>
      </c>
      <c r="AL108" t="str">
        <f ca="1">IF(AND(ISNUMBER($AL$780),$B$677=1),$AL$780,HLOOKUP(INDIRECT(ADDRESS(2,COLUMN())),OFFSET($BN$2,0,0,ROW()-1,60),ROW()-1,FALSE))</f>
        <v/>
      </c>
      <c r="AM108" t="str">
        <f ca="1">IF(AND(ISNUMBER($AM$780),$B$677=1),$AM$780,HLOOKUP(INDIRECT(ADDRESS(2,COLUMN())),OFFSET($BN$2,0,0,ROW()-1,60),ROW()-1,FALSE))</f>
        <v/>
      </c>
      <c r="AN108" t="str">
        <f ca="1">IF(AND(ISNUMBER($AN$780),$B$677=1),$AN$780,HLOOKUP(INDIRECT(ADDRESS(2,COLUMN())),OFFSET($BN$2,0,0,ROW()-1,60),ROW()-1,FALSE))</f>
        <v/>
      </c>
      <c r="AO108" t="str">
        <f ca="1">IF(AND(ISNUMBER($AO$780),$B$677=1),$AO$780,HLOOKUP(INDIRECT(ADDRESS(2,COLUMN())),OFFSET($BN$2,0,0,ROW()-1,60),ROW()-1,FALSE))</f>
        <v/>
      </c>
      <c r="AP108" t="str">
        <f ca="1">IF(AND(ISNUMBER($AP$780),$B$677=1),$AP$780,HLOOKUP(INDIRECT(ADDRESS(2,COLUMN())),OFFSET($BN$2,0,0,ROW()-1,60),ROW()-1,FALSE))</f>
        <v/>
      </c>
      <c r="AQ108" t="str">
        <f ca="1">IF(AND(ISNUMBER($AQ$780),$B$677=1),$AQ$780,HLOOKUP(INDIRECT(ADDRESS(2,COLUMN())),OFFSET($BN$2,0,0,ROW()-1,60),ROW()-1,FALSE))</f>
        <v/>
      </c>
      <c r="AR108" t="str">
        <f ca="1">IF(AND(ISNUMBER($AR$780),$B$677=1),$AR$780,HLOOKUP(INDIRECT(ADDRESS(2,COLUMN())),OFFSET($BN$2,0,0,ROW()-1,60),ROW()-1,FALSE))</f>
        <v/>
      </c>
      <c r="AS108" t="str">
        <f ca="1">IF(AND(ISNUMBER($AS$780),$B$677=1),$AS$780,HLOOKUP(INDIRECT(ADDRESS(2,COLUMN())),OFFSET($BN$2,0,0,ROW()-1,60),ROW()-1,FALSE))</f>
        <v/>
      </c>
      <c r="AT108" t="str">
        <f ca="1">IF(AND(ISNUMBER($AT$780),$B$677=1),$AT$780,HLOOKUP(INDIRECT(ADDRESS(2,COLUMN())),OFFSET($BN$2,0,0,ROW()-1,60),ROW()-1,FALSE))</f>
        <v/>
      </c>
      <c r="AU108" t="str">
        <f ca="1">IF(AND(ISNUMBER($AU$780),$B$677=1),$AU$780,HLOOKUP(INDIRECT(ADDRESS(2,COLUMN())),OFFSET($BN$2,0,0,ROW()-1,60),ROW()-1,FALSE))</f>
        <v/>
      </c>
      <c r="AV108" t="str">
        <f ca="1">IF(AND(ISNUMBER($AV$780),$B$677=1),$AV$780,HLOOKUP(INDIRECT(ADDRESS(2,COLUMN())),OFFSET($BN$2,0,0,ROW()-1,60),ROW()-1,FALSE))</f>
        <v/>
      </c>
      <c r="AW108" t="str">
        <f ca="1">IF(AND(ISNUMBER($AW$780),$B$677=1),$AW$780,HLOOKUP(INDIRECT(ADDRESS(2,COLUMN())),OFFSET($BN$2,0,0,ROW()-1,60),ROW()-1,FALSE))</f>
        <v/>
      </c>
      <c r="AX108" t="str">
        <f ca="1">IF(AND(ISNUMBER($AX$780),$B$677=1),$AX$780,HLOOKUP(INDIRECT(ADDRESS(2,COLUMN())),OFFSET($BN$2,0,0,ROW()-1,60),ROW()-1,FALSE))</f>
        <v/>
      </c>
      <c r="AY108" t="str">
        <f ca="1">IF(AND(ISNUMBER($AY$780),$B$677=1),$AY$780,HLOOKUP(INDIRECT(ADDRESS(2,COLUMN())),OFFSET($BN$2,0,0,ROW()-1,60),ROW()-1,FALSE))</f>
        <v/>
      </c>
      <c r="AZ108" t="str">
        <f ca="1">IF(AND(ISNUMBER($AZ$780),$B$677=1),$AZ$780,HLOOKUP(INDIRECT(ADDRESS(2,COLUMN())),OFFSET($BN$2,0,0,ROW()-1,60),ROW()-1,FALSE))</f>
        <v/>
      </c>
      <c r="BA108" t="str">
        <f ca="1">IF(AND(ISNUMBER($BA$780),$B$677=1),$BA$780,HLOOKUP(INDIRECT(ADDRESS(2,COLUMN())),OFFSET($BN$2,0,0,ROW()-1,60),ROW()-1,FALSE))</f>
        <v/>
      </c>
      <c r="BB108" t="str">
        <f ca="1">IF(AND(ISNUMBER($BB$780),$B$677=1),$BB$780,HLOOKUP(INDIRECT(ADDRESS(2,COLUMN())),OFFSET($BN$2,0,0,ROW()-1,60),ROW()-1,FALSE))</f>
        <v/>
      </c>
      <c r="BC108" t="str">
        <f ca="1">IF(AND(ISNUMBER($BC$780),$B$677=1),$BC$780,HLOOKUP(INDIRECT(ADDRESS(2,COLUMN())),OFFSET($BN$2,0,0,ROW()-1,60),ROW()-1,FALSE))</f>
        <v/>
      </c>
      <c r="BD108" t="str">
        <f ca="1">IF(AND(ISNUMBER($BD$780),$B$677=1),$BD$780,HLOOKUP(INDIRECT(ADDRESS(2,COLUMN())),OFFSET($BN$2,0,0,ROW()-1,60),ROW()-1,FALSE))</f>
        <v/>
      </c>
      <c r="BE108" t="str">
        <f ca="1">IF(AND(ISNUMBER($BE$780),$B$677=1),$BE$780,HLOOKUP(INDIRECT(ADDRESS(2,COLUMN())),OFFSET($BN$2,0,0,ROW()-1,60),ROW()-1,FALSE))</f>
        <v/>
      </c>
      <c r="BF108" t="str">
        <f ca="1">IF(AND(ISNUMBER($BF$780),$B$677=1),$BF$780,HLOOKUP(INDIRECT(ADDRESS(2,COLUMN())),OFFSET($BN$2,0,0,ROW()-1,60),ROW()-1,FALSE))</f>
        <v/>
      </c>
      <c r="BG108" t="str">
        <f ca="1">IF(AND(ISNUMBER($BG$780),$B$677=1),$BG$780,HLOOKUP(INDIRECT(ADDRESS(2,COLUMN())),OFFSET($BN$2,0,0,ROW()-1,60),ROW()-1,FALSE))</f>
        <v/>
      </c>
      <c r="BH108" t="str">
        <f ca="1">IF(AND(ISNUMBER($BH$780),$B$677=1),$BH$780,HLOOKUP(INDIRECT(ADDRESS(2,COLUMN())),OFFSET($BN$2,0,0,ROW()-1,60),ROW()-1,FALSE))</f>
        <v/>
      </c>
      <c r="BI108" t="str">
        <f ca="1">IF(AND(ISNUMBER($BI$780),$B$677=1),$BI$780,HLOOKUP(INDIRECT(ADDRESS(2,COLUMN())),OFFSET($BN$2,0,0,ROW()-1,60),ROW()-1,FALSE))</f>
        <v/>
      </c>
      <c r="BJ108" t="str">
        <f ca="1">IF(AND(ISNUMBER($BJ$780),$B$677=1),$BJ$780,HLOOKUP(INDIRECT(ADDRESS(2,COLUMN())),OFFSET($BN$2,0,0,ROW()-1,60),ROW()-1,FALSE))</f>
        <v/>
      </c>
      <c r="BK108" t="str">
        <f ca="1">IF(AND(ISNUMBER($BK$780),$B$677=1),$BK$780,HLOOKUP(INDIRECT(ADDRESS(2,COLUMN())),OFFSET($BN$2,0,0,ROW()-1,60),ROW()-1,FALSE))</f>
        <v/>
      </c>
      <c r="BL108" t="str">
        <f ca="1">IF(AND(ISNUMBER($BL$780),$B$677=1),$BL$780,HLOOKUP(INDIRECT(ADDRESS(2,COLUMN())),OFFSET($BN$2,0,0,ROW()-1,60),ROW()-1,FALSE))</f>
        <v/>
      </c>
      <c r="BM108" t="str">
        <f ca="1">IF(AND(ISNUMBER($BM$780),$B$677=1),$BM$780,HLOOKUP(INDIRECT(ADDRESS(2,COLUMN())),OFFSET($BN$2,0,0,ROW()-1,60),ROW()-1,FALSE))</f>
        <v/>
      </c>
      <c r="BN108">
        <f>7.103149192</f>
        <v>7.1031491920000001</v>
      </c>
      <c r="BO108">
        <f>6.269110789</f>
        <v>6.269110789</v>
      </c>
      <c r="BP108">
        <f>5.777025576</f>
        <v>5.7770255759999998</v>
      </c>
      <c r="BQ108">
        <f>5.057663097</f>
        <v>5.0576630969999998</v>
      </c>
      <c r="BR108">
        <f>5.230368193</f>
        <v>5.2303681930000003</v>
      </c>
      <c r="BS108">
        <f>4.818750261</f>
        <v>4.8187502609999999</v>
      </c>
      <c r="BT108">
        <f>4.634895447</f>
        <v>4.6348954469999999</v>
      </c>
      <c r="BU108">
        <f>5.431150921</f>
        <v>5.4311509210000004</v>
      </c>
      <c r="BV108">
        <f>5.091383812</f>
        <v>5.0913838120000001</v>
      </c>
      <c r="BW108">
        <f>4.674591837</f>
        <v>4.6745918370000004</v>
      </c>
      <c r="BX108">
        <f>4.452778365</f>
        <v>4.4527783650000003</v>
      </c>
      <c r="BY108">
        <f>6.848696132</f>
        <v>6.8486961319999997</v>
      </c>
      <c r="BZ108">
        <f>6.028878703</f>
        <v>6.0288787030000002</v>
      </c>
      <c r="CA108" t="str">
        <f>""</f>
        <v/>
      </c>
      <c r="CB108" t="str">
        <f>""</f>
        <v/>
      </c>
      <c r="CC108" t="str">
        <f>""</f>
        <v/>
      </c>
      <c r="CD108" t="str">
        <f>""</f>
        <v/>
      </c>
      <c r="CE108" t="str">
        <f>""</f>
        <v/>
      </c>
      <c r="CF108" t="str">
        <f>""</f>
        <v/>
      </c>
      <c r="CG108" t="str">
        <f>""</f>
        <v/>
      </c>
      <c r="CH108" t="str">
        <f>""</f>
        <v/>
      </c>
      <c r="CI108" t="str">
        <f>""</f>
        <v/>
      </c>
      <c r="CJ108" t="str">
        <f>""</f>
        <v/>
      </c>
      <c r="CK108" t="str">
        <f>""</f>
        <v/>
      </c>
      <c r="CL108" t="str">
        <f>""</f>
        <v/>
      </c>
      <c r="CM108" t="str">
        <f>""</f>
        <v/>
      </c>
      <c r="CN108" t="str">
        <f>""</f>
        <v/>
      </c>
      <c r="CO108" t="str">
        <f>""</f>
        <v/>
      </c>
      <c r="CP108" t="str">
        <f>""</f>
        <v/>
      </c>
      <c r="CQ108" t="str">
        <f>""</f>
        <v/>
      </c>
      <c r="CR108" t="str">
        <f>""</f>
        <v/>
      </c>
      <c r="CS108" t="str">
        <f>""</f>
        <v/>
      </c>
      <c r="CT108" t="str">
        <f>""</f>
        <v/>
      </c>
      <c r="CU108" t="str">
        <f>""</f>
        <v/>
      </c>
      <c r="CV108" t="str">
        <f>""</f>
        <v/>
      </c>
      <c r="CW108" t="str">
        <f>""</f>
        <v/>
      </c>
      <c r="CX108" t="str">
        <f>""</f>
        <v/>
      </c>
      <c r="CY108" t="str">
        <f>""</f>
        <v/>
      </c>
      <c r="CZ108" t="str">
        <f>""</f>
        <v/>
      </c>
      <c r="DA108" t="str">
        <f>""</f>
        <v/>
      </c>
      <c r="DB108" t="str">
        <f>""</f>
        <v/>
      </c>
      <c r="DC108" t="str">
        <f>""</f>
        <v/>
      </c>
      <c r="DD108" t="str">
        <f>""</f>
        <v/>
      </c>
      <c r="DE108" t="str">
        <f>""</f>
        <v/>
      </c>
      <c r="DF108" t="str">
        <f>""</f>
        <v/>
      </c>
      <c r="DG108" t="str">
        <f>""</f>
        <v/>
      </c>
      <c r="DH108" t="str">
        <f>""</f>
        <v/>
      </c>
      <c r="DI108" t="str">
        <f>""</f>
        <v/>
      </c>
      <c r="DJ108" t="str">
        <f>""</f>
        <v/>
      </c>
      <c r="DK108" t="str">
        <f>""</f>
        <v/>
      </c>
      <c r="DL108" t="str">
        <f>""</f>
        <v/>
      </c>
      <c r="DM108" t="str">
        <f>""</f>
        <v/>
      </c>
      <c r="DN108" t="str">
        <f>""</f>
        <v/>
      </c>
      <c r="DO108" t="str">
        <f>""</f>
        <v/>
      </c>
      <c r="DP108" t="str">
        <f>""</f>
        <v/>
      </c>
      <c r="DQ108" t="str">
        <f>""</f>
        <v/>
      </c>
      <c r="DR108" t="str">
        <f>""</f>
        <v/>
      </c>
      <c r="DS108" t="str">
        <f>""</f>
        <v/>
      </c>
      <c r="DT108" t="str">
        <f>""</f>
        <v/>
      </c>
      <c r="DU108" t="str">
        <f>""</f>
        <v/>
      </c>
    </row>
    <row r="109" spans="1:125" x14ac:dyDescent="0.25">
      <c r="A109" t="str">
        <f>"    Mazda Motor Corp"</f>
        <v xml:space="preserve">    Mazda Motor Corp</v>
      </c>
      <c r="B109" t="str">
        <f>"7261 JP Equity"</f>
        <v>7261 JP Equity</v>
      </c>
      <c r="C109" t="str">
        <f t="shared" si="6"/>
        <v>EZ010</v>
      </c>
      <c r="D109" t="str">
        <f t="shared" si="7"/>
        <v>BEST_EST_PE_NXT_YR</v>
      </c>
      <c r="E109" t="str">
        <f t="shared" si="8"/>
        <v>Dynamic</v>
      </c>
      <c r="F109">
        <f ca="1">IF(AND(ISNUMBER($F$781),$B$677=1),$F$781,HLOOKUP(INDIRECT(ADDRESS(2,COLUMN())),OFFSET($BN$2,0,0,ROW()-1,60),ROW()-1,FALSE))</f>
        <v>9.3966725360000005</v>
      </c>
      <c r="G109">
        <f ca="1">IF(AND(ISNUMBER($G$781),$B$677=1),$G$781,HLOOKUP(INDIRECT(ADDRESS(2,COLUMN())),OFFSET($BN$2,0,0,ROW()-1,60),ROW()-1,FALSE))</f>
        <v>8.0295430589999999</v>
      </c>
      <c r="H109">
        <f ca="1">IF(AND(ISNUMBER($H$781),$B$677=1),$H$781,HLOOKUP(INDIRECT(ADDRESS(2,COLUMN())),OFFSET($BN$2,0,0,ROW()-1,60),ROW()-1,FALSE))</f>
        <v>8.4851199360000003</v>
      </c>
      <c r="I109">
        <f ca="1">IF(AND(ISNUMBER($I$781),$B$677=1),$I$781,HLOOKUP(INDIRECT(ADDRESS(2,COLUMN())),OFFSET($BN$2,0,0,ROW()-1,60),ROW()-1,FALSE))</f>
        <v>8.2012193280000005</v>
      </c>
      <c r="J109">
        <f ca="1">IF(AND(ISNUMBER($J$781),$B$677=1),$J$781,HLOOKUP(INDIRECT(ADDRESS(2,COLUMN())),OFFSET($BN$2,0,0,ROW()-1,60),ROW()-1,FALSE))</f>
        <v>6.9540238409999997</v>
      </c>
      <c r="K109">
        <f ca="1">IF(AND(ISNUMBER($K$781),$B$677=1),$K$781,HLOOKUP(INDIRECT(ADDRESS(2,COLUMN())),OFFSET($BN$2,0,0,ROW()-1,60),ROW()-1,FALSE))</f>
        <v>6.8067802110000004</v>
      </c>
      <c r="L109">
        <f ca="1">IF(AND(ISNUMBER($L$781),$B$677=1),$L$781,HLOOKUP(INDIRECT(ADDRESS(2,COLUMN())),OFFSET($BN$2,0,0,ROW()-1,60),ROW()-1,FALSE))</f>
        <v>7.1224777140000004</v>
      </c>
      <c r="M109">
        <f ca="1">IF(AND(ISNUMBER($M$781),$B$677=1),$M$781,HLOOKUP(INDIRECT(ADDRESS(2,COLUMN())),OFFSET($BN$2,0,0,ROW()-1,60),ROW()-1,FALSE))</f>
        <v>6.700768794</v>
      </c>
      <c r="N109">
        <f ca="1">IF(AND(ISNUMBER($N$781),$B$677=1),$N$781,HLOOKUP(INDIRECT(ADDRESS(2,COLUMN())),OFFSET($BN$2,0,0,ROW()-1,60),ROW()-1,FALSE))</f>
        <v>5.2967221779999996</v>
      </c>
      <c r="O109">
        <f ca="1">IF(AND(ISNUMBER($O$781),$B$677=1),$O$781,HLOOKUP(INDIRECT(ADDRESS(2,COLUMN())),OFFSET($BN$2,0,0,ROW()-1,60),ROW()-1,FALSE))</f>
        <v>6.7849538679999997</v>
      </c>
      <c r="P109">
        <f ca="1">IF(AND(ISNUMBER($P$781),$B$677=1),$P$781,HLOOKUP(INDIRECT(ADDRESS(2,COLUMN())),OFFSET($BN$2,0,0,ROW()-1,60),ROW()-1,FALSE))</f>
        <v>5.6050242099999998</v>
      </c>
      <c r="Q109">
        <f ca="1">IF(AND(ISNUMBER($Q$781),$B$677=1),$Q$781,HLOOKUP(INDIRECT(ADDRESS(2,COLUMN())),OFFSET($BN$2,0,0,ROW()-1,60),ROW()-1,FALSE))</f>
        <v>4.5443449820000001</v>
      </c>
      <c r="R109">
        <f ca="1">IF(AND(ISNUMBER($R$781),$B$677=1),$R$781,HLOOKUP(INDIRECT(ADDRESS(2,COLUMN())),OFFSET($BN$2,0,0,ROW()-1,60),ROW()-1,FALSE))</f>
        <v>5.6824467219999999</v>
      </c>
      <c r="S109">
        <f ca="1">IF(AND(ISNUMBER($S$781),$B$677=1),$S$781,HLOOKUP(INDIRECT(ADDRESS(2,COLUMN())),OFFSET($BN$2,0,0,ROW()-1,60),ROW()-1,FALSE))</f>
        <v>6.9207567860000001</v>
      </c>
      <c r="T109">
        <f ca="1">IF(AND(ISNUMBER($T$781),$B$677=1),$T$781,HLOOKUP(INDIRECT(ADDRESS(2,COLUMN())),OFFSET($BN$2,0,0,ROW()-1,60),ROW()-1,FALSE))</f>
        <v>5.1324051319999997</v>
      </c>
      <c r="U109">
        <f ca="1">IF(AND(ISNUMBER($U$781),$B$677=1),$U$781,HLOOKUP(INDIRECT(ADDRESS(2,COLUMN())),OFFSET($BN$2,0,0,ROW()-1,60),ROW()-1,FALSE))</f>
        <v>6.8927852830000003</v>
      </c>
      <c r="V109" t="str">
        <f ca="1">IF(AND(ISNUMBER($V$781),$B$677=1),$V$781,HLOOKUP(INDIRECT(ADDRESS(2,COLUMN())),OFFSET($BN$2,0,0,ROW()-1,60),ROW()-1,FALSE))</f>
        <v/>
      </c>
      <c r="W109" t="str">
        <f ca="1">IF(AND(ISNUMBER($W$781),$B$677=1),$W$781,HLOOKUP(INDIRECT(ADDRESS(2,COLUMN())),OFFSET($BN$2,0,0,ROW()-1,60),ROW()-1,FALSE))</f>
        <v/>
      </c>
      <c r="X109" t="str">
        <f ca="1">IF(AND(ISNUMBER($X$781),$B$677=1),$X$781,HLOOKUP(INDIRECT(ADDRESS(2,COLUMN())),OFFSET($BN$2,0,0,ROW()-1,60),ROW()-1,FALSE))</f>
        <v/>
      </c>
      <c r="Y109" t="str">
        <f ca="1">IF(AND(ISNUMBER($Y$781),$B$677=1),$Y$781,HLOOKUP(INDIRECT(ADDRESS(2,COLUMN())),OFFSET($BN$2,0,0,ROW()-1,60),ROW()-1,FALSE))</f>
        <v/>
      </c>
      <c r="Z109" t="str">
        <f ca="1">IF(AND(ISNUMBER($Z$781),$B$677=1),$Z$781,HLOOKUP(INDIRECT(ADDRESS(2,COLUMN())),OFFSET($BN$2,0,0,ROW()-1,60),ROW()-1,FALSE))</f>
        <v/>
      </c>
      <c r="AA109" t="str">
        <f ca="1">IF(AND(ISNUMBER($AA$781),$B$677=1),$AA$781,HLOOKUP(INDIRECT(ADDRESS(2,COLUMN())),OFFSET($BN$2,0,0,ROW()-1,60),ROW()-1,FALSE))</f>
        <v/>
      </c>
      <c r="AB109" t="str">
        <f ca="1">IF(AND(ISNUMBER($AB$781),$B$677=1),$AB$781,HLOOKUP(INDIRECT(ADDRESS(2,COLUMN())),OFFSET($BN$2,0,0,ROW()-1,60),ROW()-1,FALSE))</f>
        <v/>
      </c>
      <c r="AC109" t="str">
        <f ca="1">IF(AND(ISNUMBER($AC$781),$B$677=1),$AC$781,HLOOKUP(INDIRECT(ADDRESS(2,COLUMN())),OFFSET($BN$2,0,0,ROW()-1,60),ROW()-1,FALSE))</f>
        <v/>
      </c>
      <c r="AD109" t="str">
        <f ca="1">IF(AND(ISNUMBER($AD$781),$B$677=1),$AD$781,HLOOKUP(INDIRECT(ADDRESS(2,COLUMN())),OFFSET($BN$2,0,0,ROW()-1,60),ROW()-1,FALSE))</f>
        <v/>
      </c>
      <c r="AE109" t="str">
        <f ca="1">IF(AND(ISNUMBER($AE$781),$B$677=1),$AE$781,HLOOKUP(INDIRECT(ADDRESS(2,COLUMN())),OFFSET($BN$2,0,0,ROW()-1,60),ROW()-1,FALSE))</f>
        <v/>
      </c>
      <c r="AF109" t="str">
        <f ca="1">IF(AND(ISNUMBER($AF$781),$B$677=1),$AF$781,HLOOKUP(INDIRECT(ADDRESS(2,COLUMN())),OFFSET($BN$2,0,0,ROW()-1,60),ROW()-1,FALSE))</f>
        <v/>
      </c>
      <c r="AG109" t="str">
        <f ca="1">IF(AND(ISNUMBER($AG$781),$B$677=1),$AG$781,HLOOKUP(INDIRECT(ADDRESS(2,COLUMN())),OFFSET($BN$2,0,0,ROW()-1,60),ROW()-1,FALSE))</f>
        <v/>
      </c>
      <c r="AH109" t="str">
        <f ca="1">IF(AND(ISNUMBER($AH$781),$B$677=1),$AH$781,HLOOKUP(INDIRECT(ADDRESS(2,COLUMN())),OFFSET($BN$2,0,0,ROW()-1,60),ROW()-1,FALSE))</f>
        <v/>
      </c>
      <c r="AI109" t="str">
        <f ca="1">IF(AND(ISNUMBER($AI$781),$B$677=1),$AI$781,HLOOKUP(INDIRECT(ADDRESS(2,COLUMN())),OFFSET($BN$2,0,0,ROW()-1,60),ROW()-1,FALSE))</f>
        <v/>
      </c>
      <c r="AJ109" t="str">
        <f ca="1">IF(AND(ISNUMBER($AJ$781),$B$677=1),$AJ$781,HLOOKUP(INDIRECT(ADDRESS(2,COLUMN())),OFFSET($BN$2,0,0,ROW()-1,60),ROW()-1,FALSE))</f>
        <v/>
      </c>
      <c r="AK109" t="str">
        <f ca="1">IF(AND(ISNUMBER($AK$781),$B$677=1),$AK$781,HLOOKUP(INDIRECT(ADDRESS(2,COLUMN())),OFFSET($BN$2,0,0,ROW()-1,60),ROW()-1,FALSE))</f>
        <v/>
      </c>
      <c r="AL109" t="str">
        <f ca="1">IF(AND(ISNUMBER($AL$781),$B$677=1),$AL$781,HLOOKUP(INDIRECT(ADDRESS(2,COLUMN())),OFFSET($BN$2,0,0,ROW()-1,60),ROW()-1,FALSE))</f>
        <v/>
      </c>
      <c r="AM109" t="str">
        <f ca="1">IF(AND(ISNUMBER($AM$781),$B$677=1),$AM$781,HLOOKUP(INDIRECT(ADDRESS(2,COLUMN())),OFFSET($BN$2,0,0,ROW()-1,60),ROW()-1,FALSE))</f>
        <v/>
      </c>
      <c r="AN109" t="str">
        <f ca="1">IF(AND(ISNUMBER($AN$781),$B$677=1),$AN$781,HLOOKUP(INDIRECT(ADDRESS(2,COLUMN())),OFFSET($BN$2,0,0,ROW()-1,60),ROW()-1,FALSE))</f>
        <v/>
      </c>
      <c r="AO109" t="str">
        <f ca="1">IF(AND(ISNUMBER($AO$781),$B$677=1),$AO$781,HLOOKUP(INDIRECT(ADDRESS(2,COLUMN())),OFFSET($BN$2,0,0,ROW()-1,60),ROW()-1,FALSE))</f>
        <v/>
      </c>
      <c r="AP109" t="str">
        <f ca="1">IF(AND(ISNUMBER($AP$781),$B$677=1),$AP$781,HLOOKUP(INDIRECT(ADDRESS(2,COLUMN())),OFFSET($BN$2,0,0,ROW()-1,60),ROW()-1,FALSE))</f>
        <v/>
      </c>
      <c r="AQ109" t="str">
        <f ca="1">IF(AND(ISNUMBER($AQ$781),$B$677=1),$AQ$781,HLOOKUP(INDIRECT(ADDRESS(2,COLUMN())),OFFSET($BN$2,0,0,ROW()-1,60),ROW()-1,FALSE))</f>
        <v/>
      </c>
      <c r="AR109" t="str">
        <f ca="1">IF(AND(ISNUMBER($AR$781),$B$677=1),$AR$781,HLOOKUP(INDIRECT(ADDRESS(2,COLUMN())),OFFSET($BN$2,0,0,ROW()-1,60),ROW()-1,FALSE))</f>
        <v/>
      </c>
      <c r="AS109" t="str">
        <f ca="1">IF(AND(ISNUMBER($AS$781),$B$677=1),$AS$781,HLOOKUP(INDIRECT(ADDRESS(2,COLUMN())),OFFSET($BN$2,0,0,ROW()-1,60),ROW()-1,FALSE))</f>
        <v/>
      </c>
      <c r="AT109" t="str">
        <f ca="1">IF(AND(ISNUMBER($AT$781),$B$677=1),$AT$781,HLOOKUP(INDIRECT(ADDRESS(2,COLUMN())),OFFSET($BN$2,0,0,ROW()-1,60),ROW()-1,FALSE))</f>
        <v/>
      </c>
      <c r="AU109" t="str">
        <f ca="1">IF(AND(ISNUMBER($AU$781),$B$677=1),$AU$781,HLOOKUP(INDIRECT(ADDRESS(2,COLUMN())),OFFSET($BN$2,0,0,ROW()-1,60),ROW()-1,FALSE))</f>
        <v/>
      </c>
      <c r="AV109" t="str">
        <f ca="1">IF(AND(ISNUMBER($AV$781),$B$677=1),$AV$781,HLOOKUP(INDIRECT(ADDRESS(2,COLUMN())),OFFSET($BN$2,0,0,ROW()-1,60),ROW()-1,FALSE))</f>
        <v/>
      </c>
      <c r="AW109" t="str">
        <f ca="1">IF(AND(ISNUMBER($AW$781),$B$677=1),$AW$781,HLOOKUP(INDIRECT(ADDRESS(2,COLUMN())),OFFSET($BN$2,0,0,ROW()-1,60),ROW()-1,FALSE))</f>
        <v/>
      </c>
      <c r="AX109" t="str">
        <f ca="1">IF(AND(ISNUMBER($AX$781),$B$677=1),$AX$781,HLOOKUP(INDIRECT(ADDRESS(2,COLUMN())),OFFSET($BN$2,0,0,ROW()-1,60),ROW()-1,FALSE))</f>
        <v/>
      </c>
      <c r="AY109" t="str">
        <f ca="1">IF(AND(ISNUMBER($AY$781),$B$677=1),$AY$781,HLOOKUP(INDIRECT(ADDRESS(2,COLUMN())),OFFSET($BN$2,0,0,ROW()-1,60),ROW()-1,FALSE))</f>
        <v/>
      </c>
      <c r="AZ109" t="str">
        <f ca="1">IF(AND(ISNUMBER($AZ$781),$B$677=1),$AZ$781,HLOOKUP(INDIRECT(ADDRESS(2,COLUMN())),OFFSET($BN$2,0,0,ROW()-1,60),ROW()-1,FALSE))</f>
        <v/>
      </c>
      <c r="BA109" t="str">
        <f ca="1">IF(AND(ISNUMBER($BA$781),$B$677=1),$BA$781,HLOOKUP(INDIRECT(ADDRESS(2,COLUMN())),OFFSET($BN$2,0,0,ROW()-1,60),ROW()-1,FALSE))</f>
        <v/>
      </c>
      <c r="BB109" t="str">
        <f ca="1">IF(AND(ISNUMBER($BB$781),$B$677=1),$BB$781,HLOOKUP(INDIRECT(ADDRESS(2,COLUMN())),OFFSET($BN$2,0,0,ROW()-1,60),ROW()-1,FALSE))</f>
        <v/>
      </c>
      <c r="BC109" t="str">
        <f ca="1">IF(AND(ISNUMBER($BC$781),$B$677=1),$BC$781,HLOOKUP(INDIRECT(ADDRESS(2,COLUMN())),OFFSET($BN$2,0,0,ROW()-1,60),ROW()-1,FALSE))</f>
        <v/>
      </c>
      <c r="BD109" t="str">
        <f ca="1">IF(AND(ISNUMBER($BD$781),$B$677=1),$BD$781,HLOOKUP(INDIRECT(ADDRESS(2,COLUMN())),OFFSET($BN$2,0,0,ROW()-1,60),ROW()-1,FALSE))</f>
        <v/>
      </c>
      <c r="BE109" t="str">
        <f ca="1">IF(AND(ISNUMBER($BE$781),$B$677=1),$BE$781,HLOOKUP(INDIRECT(ADDRESS(2,COLUMN())),OFFSET($BN$2,0,0,ROW()-1,60),ROW()-1,FALSE))</f>
        <v/>
      </c>
      <c r="BF109" t="str">
        <f ca="1">IF(AND(ISNUMBER($BF$781),$B$677=1),$BF$781,HLOOKUP(INDIRECT(ADDRESS(2,COLUMN())),OFFSET($BN$2,0,0,ROW()-1,60),ROW()-1,FALSE))</f>
        <v/>
      </c>
      <c r="BG109" t="str">
        <f ca="1">IF(AND(ISNUMBER($BG$781),$B$677=1),$BG$781,HLOOKUP(INDIRECT(ADDRESS(2,COLUMN())),OFFSET($BN$2,0,0,ROW()-1,60),ROW()-1,FALSE))</f>
        <v/>
      </c>
      <c r="BH109" t="str">
        <f ca="1">IF(AND(ISNUMBER($BH$781),$B$677=1),$BH$781,HLOOKUP(INDIRECT(ADDRESS(2,COLUMN())),OFFSET($BN$2,0,0,ROW()-1,60),ROW()-1,FALSE))</f>
        <v/>
      </c>
      <c r="BI109" t="str">
        <f ca="1">IF(AND(ISNUMBER($BI$781),$B$677=1),$BI$781,HLOOKUP(INDIRECT(ADDRESS(2,COLUMN())),OFFSET($BN$2,0,0,ROW()-1,60),ROW()-1,FALSE))</f>
        <v/>
      </c>
      <c r="BJ109" t="str">
        <f ca="1">IF(AND(ISNUMBER($BJ$781),$B$677=1),$BJ$781,HLOOKUP(INDIRECT(ADDRESS(2,COLUMN())),OFFSET($BN$2,0,0,ROW()-1,60),ROW()-1,FALSE))</f>
        <v/>
      </c>
      <c r="BK109" t="str">
        <f ca="1">IF(AND(ISNUMBER($BK$781),$B$677=1),$BK$781,HLOOKUP(INDIRECT(ADDRESS(2,COLUMN())),OFFSET($BN$2,0,0,ROW()-1,60),ROW()-1,FALSE))</f>
        <v/>
      </c>
      <c r="BL109" t="str">
        <f ca="1">IF(AND(ISNUMBER($BL$781),$B$677=1),$BL$781,HLOOKUP(INDIRECT(ADDRESS(2,COLUMN())),OFFSET($BN$2,0,0,ROW()-1,60),ROW()-1,FALSE))</f>
        <v/>
      </c>
      <c r="BM109" t="str">
        <f ca="1">IF(AND(ISNUMBER($BM$781),$B$677=1),$BM$781,HLOOKUP(INDIRECT(ADDRESS(2,COLUMN())),OFFSET($BN$2,0,0,ROW()-1,60),ROW()-1,FALSE))</f>
        <v/>
      </c>
      <c r="BN109">
        <f>9.396672536</f>
        <v>9.3966725360000005</v>
      </c>
      <c r="BO109">
        <f>8.029543059</f>
        <v>8.0295430589999999</v>
      </c>
      <c r="BP109">
        <f>8.485119936</f>
        <v>8.4851199360000003</v>
      </c>
      <c r="BQ109">
        <f>8.201219328</f>
        <v>8.2012193280000005</v>
      </c>
      <c r="BR109">
        <f>6.954023841</f>
        <v>6.9540238409999997</v>
      </c>
      <c r="BS109">
        <f>6.806780211</f>
        <v>6.8067802110000004</v>
      </c>
      <c r="BT109">
        <f>7.122477714</f>
        <v>7.1224777140000004</v>
      </c>
      <c r="BU109">
        <f>6.700768794</f>
        <v>6.700768794</v>
      </c>
      <c r="BV109">
        <f>5.296722178</f>
        <v>5.2967221779999996</v>
      </c>
      <c r="BW109">
        <f>6.784953868</f>
        <v>6.7849538679999997</v>
      </c>
      <c r="BX109">
        <f>5.60502421</f>
        <v>5.6050242099999998</v>
      </c>
      <c r="BY109">
        <f>4.544344982</f>
        <v>4.5443449820000001</v>
      </c>
      <c r="BZ109">
        <f>5.682446722</f>
        <v>5.6824467219999999</v>
      </c>
      <c r="CA109">
        <f>6.920756786</f>
        <v>6.9207567860000001</v>
      </c>
      <c r="CB109">
        <f>5.132405132</f>
        <v>5.1324051319999997</v>
      </c>
      <c r="CC109">
        <f>6.892785283</f>
        <v>6.8927852830000003</v>
      </c>
      <c r="CD109" t="str">
        <f>""</f>
        <v/>
      </c>
      <c r="CE109" t="str">
        <f>""</f>
        <v/>
      </c>
      <c r="CF109" t="str">
        <f>""</f>
        <v/>
      </c>
      <c r="CG109" t="str">
        <f>""</f>
        <v/>
      </c>
      <c r="CH109" t="str">
        <f>""</f>
        <v/>
      </c>
      <c r="CI109" t="str">
        <f>""</f>
        <v/>
      </c>
      <c r="CJ109" t="str">
        <f>""</f>
        <v/>
      </c>
      <c r="CK109" t="str">
        <f>""</f>
        <v/>
      </c>
      <c r="CL109" t="str">
        <f>""</f>
        <v/>
      </c>
      <c r="CM109" t="str">
        <f>""</f>
        <v/>
      </c>
      <c r="CN109" t="str">
        <f>""</f>
        <v/>
      </c>
      <c r="CO109" t="str">
        <f>""</f>
        <v/>
      </c>
      <c r="CP109" t="str">
        <f>""</f>
        <v/>
      </c>
      <c r="CQ109" t="str">
        <f>""</f>
        <v/>
      </c>
      <c r="CR109" t="str">
        <f>""</f>
        <v/>
      </c>
      <c r="CS109" t="str">
        <f>""</f>
        <v/>
      </c>
      <c r="CT109" t="str">
        <f>""</f>
        <v/>
      </c>
      <c r="CU109" t="str">
        <f>""</f>
        <v/>
      </c>
      <c r="CV109" t="str">
        <f>""</f>
        <v/>
      </c>
      <c r="CW109" t="str">
        <f>""</f>
        <v/>
      </c>
      <c r="CX109" t="str">
        <f>""</f>
        <v/>
      </c>
      <c r="CY109" t="str">
        <f>""</f>
        <v/>
      </c>
      <c r="CZ109" t="str">
        <f>""</f>
        <v/>
      </c>
      <c r="DA109" t="str">
        <f>""</f>
        <v/>
      </c>
      <c r="DB109" t="str">
        <f>""</f>
        <v/>
      </c>
      <c r="DC109" t="str">
        <f>""</f>
        <v/>
      </c>
      <c r="DD109" t="str">
        <f>""</f>
        <v/>
      </c>
      <c r="DE109" t="str">
        <f>""</f>
        <v/>
      </c>
      <c r="DF109" t="str">
        <f>""</f>
        <v/>
      </c>
      <c r="DG109" t="str">
        <f>""</f>
        <v/>
      </c>
      <c r="DH109" t="str">
        <f>""</f>
        <v/>
      </c>
      <c r="DI109" t="str">
        <f>""</f>
        <v/>
      </c>
      <c r="DJ109" t="str">
        <f>""</f>
        <v/>
      </c>
      <c r="DK109" t="str">
        <f>""</f>
        <v/>
      </c>
      <c r="DL109" t="str">
        <f>""</f>
        <v/>
      </c>
      <c r="DM109" t="str">
        <f>""</f>
        <v/>
      </c>
      <c r="DN109" t="str">
        <f>""</f>
        <v/>
      </c>
      <c r="DO109" t="str">
        <f>""</f>
        <v/>
      </c>
      <c r="DP109" t="str">
        <f>""</f>
        <v/>
      </c>
      <c r="DQ109" t="str">
        <f>""</f>
        <v/>
      </c>
      <c r="DR109" t="str">
        <f>""</f>
        <v/>
      </c>
      <c r="DS109" t="str">
        <f>""</f>
        <v/>
      </c>
      <c r="DT109" t="str">
        <f>""</f>
        <v/>
      </c>
      <c r="DU109" t="str">
        <f>""</f>
        <v/>
      </c>
    </row>
    <row r="110" spans="1:125" x14ac:dyDescent="0.25">
      <c r="A110" t="str">
        <f>"    Mitsubishi Motors Corp"</f>
        <v xml:space="preserve">    Mitsubishi Motors Corp</v>
      </c>
      <c r="B110" t="str">
        <f>"7211 JP Equity"</f>
        <v>7211 JP Equity</v>
      </c>
      <c r="C110" t="str">
        <f t="shared" si="6"/>
        <v>EZ010</v>
      </c>
      <c r="D110" t="str">
        <f t="shared" si="7"/>
        <v>BEST_EST_PE_NXT_YR</v>
      </c>
      <c r="E110" t="str">
        <f t="shared" si="8"/>
        <v>Dynamic</v>
      </c>
      <c r="F110">
        <f ca="1">IF(AND(ISNUMBER($F$782),$B$677=1),$F$782,HLOOKUP(INDIRECT(ADDRESS(2,COLUMN())),OFFSET($BN$2,0,0,ROW()-1,60),ROW()-1,FALSE))</f>
        <v>7.6343337360000003</v>
      </c>
      <c r="G110">
        <f ca="1">IF(AND(ISNUMBER($G$782),$B$677=1),$G$782,HLOOKUP(INDIRECT(ADDRESS(2,COLUMN())),OFFSET($BN$2,0,0,ROW()-1,60),ROW()-1,FALSE))</f>
        <v>7.0384660349999999</v>
      </c>
      <c r="H110">
        <f ca="1">IF(AND(ISNUMBER($H$782),$B$677=1),$H$782,HLOOKUP(INDIRECT(ADDRESS(2,COLUMN())),OFFSET($BN$2,0,0,ROW()-1,60),ROW()-1,FALSE))</f>
        <v>9.2084414540000008</v>
      </c>
      <c r="I110">
        <f ca="1">IF(AND(ISNUMBER($I$782),$B$677=1),$I$782,HLOOKUP(INDIRECT(ADDRESS(2,COLUMN())),OFFSET($BN$2,0,0,ROW()-1,60),ROW()-1,FALSE))</f>
        <v>10.16122165</v>
      </c>
      <c r="J110">
        <f ca="1">IF(AND(ISNUMBER($J$782),$B$677=1),$J$782,HLOOKUP(INDIRECT(ADDRESS(2,COLUMN())),OFFSET($BN$2,0,0,ROW()-1,60),ROW()-1,FALSE))</f>
        <v>9.9538278420000008</v>
      </c>
      <c r="K110">
        <f ca="1">IF(AND(ISNUMBER($K$782),$B$677=1),$K$782,HLOOKUP(INDIRECT(ADDRESS(2,COLUMN())),OFFSET($BN$2,0,0,ROW()-1,60),ROW()-1,FALSE))</f>
        <v>10.212531050000001</v>
      </c>
      <c r="L110">
        <f ca="1">IF(AND(ISNUMBER($L$782),$B$677=1),$L$782,HLOOKUP(INDIRECT(ADDRESS(2,COLUMN())),OFFSET($BN$2,0,0,ROW()-1,60),ROW()-1,FALSE))</f>
        <v>11.876801540000001</v>
      </c>
      <c r="M110">
        <f ca="1">IF(AND(ISNUMBER($M$782),$B$677=1),$M$782,HLOOKUP(INDIRECT(ADDRESS(2,COLUMN())),OFFSET($BN$2,0,0,ROW()-1,60),ROW()-1,FALSE))</f>
        <v>11.87153079</v>
      </c>
      <c r="N110">
        <f ca="1">IF(AND(ISNUMBER($N$782),$B$677=1),$N$782,HLOOKUP(INDIRECT(ADDRESS(2,COLUMN())),OFFSET($BN$2,0,0,ROW()-1,60),ROW()-1,FALSE))</f>
        <v>5.8479020979999996</v>
      </c>
      <c r="O110">
        <f ca="1">IF(AND(ISNUMBER($O$782),$B$677=1),$O$782,HLOOKUP(INDIRECT(ADDRESS(2,COLUMN())),OFFSET($BN$2,0,0,ROW()-1,60),ROW()-1,FALSE))</f>
        <v>6.2770970779999997</v>
      </c>
      <c r="P110">
        <f ca="1">IF(AND(ISNUMBER($P$782),$B$677=1),$P$782,HLOOKUP(INDIRECT(ADDRESS(2,COLUMN())),OFFSET($BN$2,0,0,ROW()-1,60),ROW()-1,FALSE))</f>
        <v>4.9946751860000003</v>
      </c>
      <c r="Q110">
        <f ca="1">IF(AND(ISNUMBER($Q$782),$B$677=1),$Q$782,HLOOKUP(INDIRECT(ADDRESS(2,COLUMN())),OFFSET($BN$2,0,0,ROW()-1,60),ROW()-1,FALSE))</f>
        <v>4.2443438909999998</v>
      </c>
      <c r="R110" t="str">
        <f ca="1">IF(AND(ISNUMBER($R$782),$B$677=1),$R$782,HLOOKUP(INDIRECT(ADDRESS(2,COLUMN())),OFFSET($BN$2,0,0,ROW()-1,60),ROW()-1,FALSE))</f>
        <v/>
      </c>
      <c r="S110" t="str">
        <f ca="1">IF(AND(ISNUMBER($S$782),$B$677=1),$S$782,HLOOKUP(INDIRECT(ADDRESS(2,COLUMN())),OFFSET($BN$2,0,0,ROW()-1,60),ROW()-1,FALSE))</f>
        <v/>
      </c>
      <c r="T110" t="str">
        <f ca="1">IF(AND(ISNUMBER($T$782),$B$677=1),$T$782,HLOOKUP(INDIRECT(ADDRESS(2,COLUMN())),OFFSET($BN$2,0,0,ROW()-1,60),ROW()-1,FALSE))</f>
        <v/>
      </c>
      <c r="U110" t="str">
        <f ca="1">IF(AND(ISNUMBER($U$782),$B$677=1),$U$782,HLOOKUP(INDIRECT(ADDRESS(2,COLUMN())),OFFSET($BN$2,0,0,ROW()-1,60),ROW()-1,FALSE))</f>
        <v/>
      </c>
      <c r="V110" t="str">
        <f ca="1">IF(AND(ISNUMBER($V$782),$B$677=1),$V$782,HLOOKUP(INDIRECT(ADDRESS(2,COLUMN())),OFFSET($BN$2,0,0,ROW()-1,60),ROW()-1,FALSE))</f>
        <v/>
      </c>
      <c r="W110" t="str">
        <f ca="1">IF(AND(ISNUMBER($W$782),$B$677=1),$W$782,HLOOKUP(INDIRECT(ADDRESS(2,COLUMN())),OFFSET($BN$2,0,0,ROW()-1,60),ROW()-1,FALSE))</f>
        <v/>
      </c>
      <c r="X110" t="str">
        <f ca="1">IF(AND(ISNUMBER($X$782),$B$677=1),$X$782,HLOOKUP(INDIRECT(ADDRESS(2,COLUMN())),OFFSET($BN$2,0,0,ROW()-1,60),ROW()-1,FALSE))</f>
        <v/>
      </c>
      <c r="Y110" t="str">
        <f ca="1">IF(AND(ISNUMBER($Y$782),$B$677=1),$Y$782,HLOOKUP(INDIRECT(ADDRESS(2,COLUMN())),OFFSET($BN$2,0,0,ROW()-1,60),ROW()-1,FALSE))</f>
        <v/>
      </c>
      <c r="Z110" t="str">
        <f ca="1">IF(AND(ISNUMBER($Z$782),$B$677=1),$Z$782,HLOOKUP(INDIRECT(ADDRESS(2,COLUMN())),OFFSET($BN$2,0,0,ROW()-1,60),ROW()-1,FALSE))</f>
        <v/>
      </c>
      <c r="AA110" t="str">
        <f ca="1">IF(AND(ISNUMBER($AA$782),$B$677=1),$AA$782,HLOOKUP(INDIRECT(ADDRESS(2,COLUMN())),OFFSET($BN$2,0,0,ROW()-1,60),ROW()-1,FALSE))</f>
        <v/>
      </c>
      <c r="AB110" t="str">
        <f ca="1">IF(AND(ISNUMBER($AB$782),$B$677=1),$AB$782,HLOOKUP(INDIRECT(ADDRESS(2,COLUMN())),OFFSET($BN$2,0,0,ROW()-1,60),ROW()-1,FALSE))</f>
        <v/>
      </c>
      <c r="AC110" t="str">
        <f ca="1">IF(AND(ISNUMBER($AC$782),$B$677=1),$AC$782,HLOOKUP(INDIRECT(ADDRESS(2,COLUMN())),OFFSET($BN$2,0,0,ROW()-1,60),ROW()-1,FALSE))</f>
        <v/>
      </c>
      <c r="AD110" t="str">
        <f ca="1">IF(AND(ISNUMBER($AD$782),$B$677=1),$AD$782,HLOOKUP(INDIRECT(ADDRESS(2,COLUMN())),OFFSET($BN$2,0,0,ROW()-1,60),ROW()-1,FALSE))</f>
        <v/>
      </c>
      <c r="AE110" t="str">
        <f ca="1">IF(AND(ISNUMBER($AE$782),$B$677=1),$AE$782,HLOOKUP(INDIRECT(ADDRESS(2,COLUMN())),OFFSET($BN$2,0,0,ROW()-1,60),ROW()-1,FALSE))</f>
        <v/>
      </c>
      <c r="AF110" t="str">
        <f ca="1">IF(AND(ISNUMBER($AF$782),$B$677=1),$AF$782,HLOOKUP(INDIRECT(ADDRESS(2,COLUMN())),OFFSET($BN$2,0,0,ROW()-1,60),ROW()-1,FALSE))</f>
        <v/>
      </c>
      <c r="AG110" t="str">
        <f ca="1">IF(AND(ISNUMBER($AG$782),$B$677=1),$AG$782,HLOOKUP(INDIRECT(ADDRESS(2,COLUMN())),OFFSET($BN$2,0,0,ROW()-1,60),ROW()-1,FALSE))</f>
        <v/>
      </c>
      <c r="AH110" t="str">
        <f ca="1">IF(AND(ISNUMBER($AH$782),$B$677=1),$AH$782,HLOOKUP(INDIRECT(ADDRESS(2,COLUMN())),OFFSET($BN$2,0,0,ROW()-1,60),ROW()-1,FALSE))</f>
        <v/>
      </c>
      <c r="AI110" t="str">
        <f ca="1">IF(AND(ISNUMBER($AI$782),$B$677=1),$AI$782,HLOOKUP(INDIRECT(ADDRESS(2,COLUMN())),OFFSET($BN$2,0,0,ROW()-1,60),ROW()-1,FALSE))</f>
        <v/>
      </c>
      <c r="AJ110" t="str">
        <f ca="1">IF(AND(ISNUMBER($AJ$782),$B$677=1),$AJ$782,HLOOKUP(INDIRECT(ADDRESS(2,COLUMN())),OFFSET($BN$2,0,0,ROW()-1,60),ROW()-1,FALSE))</f>
        <v/>
      </c>
      <c r="AK110" t="str">
        <f ca="1">IF(AND(ISNUMBER($AK$782),$B$677=1),$AK$782,HLOOKUP(INDIRECT(ADDRESS(2,COLUMN())),OFFSET($BN$2,0,0,ROW()-1,60),ROW()-1,FALSE))</f>
        <v/>
      </c>
      <c r="AL110" t="str">
        <f ca="1">IF(AND(ISNUMBER($AL$782),$B$677=1),$AL$782,HLOOKUP(INDIRECT(ADDRESS(2,COLUMN())),OFFSET($BN$2,0,0,ROW()-1,60),ROW()-1,FALSE))</f>
        <v/>
      </c>
      <c r="AM110" t="str">
        <f ca="1">IF(AND(ISNUMBER($AM$782),$B$677=1),$AM$782,HLOOKUP(INDIRECT(ADDRESS(2,COLUMN())),OFFSET($BN$2,0,0,ROW()-1,60),ROW()-1,FALSE))</f>
        <v/>
      </c>
      <c r="AN110" t="str">
        <f ca="1">IF(AND(ISNUMBER($AN$782),$B$677=1),$AN$782,HLOOKUP(INDIRECT(ADDRESS(2,COLUMN())),OFFSET($BN$2,0,0,ROW()-1,60),ROW()-1,FALSE))</f>
        <v/>
      </c>
      <c r="AO110" t="str">
        <f ca="1">IF(AND(ISNUMBER($AO$782),$B$677=1),$AO$782,HLOOKUP(INDIRECT(ADDRESS(2,COLUMN())),OFFSET($BN$2,0,0,ROW()-1,60),ROW()-1,FALSE))</f>
        <v/>
      </c>
      <c r="AP110" t="str">
        <f ca="1">IF(AND(ISNUMBER($AP$782),$B$677=1),$AP$782,HLOOKUP(INDIRECT(ADDRESS(2,COLUMN())),OFFSET($BN$2,0,0,ROW()-1,60),ROW()-1,FALSE))</f>
        <v/>
      </c>
      <c r="AQ110" t="str">
        <f ca="1">IF(AND(ISNUMBER($AQ$782),$B$677=1),$AQ$782,HLOOKUP(INDIRECT(ADDRESS(2,COLUMN())),OFFSET($BN$2,0,0,ROW()-1,60),ROW()-1,FALSE))</f>
        <v/>
      </c>
      <c r="AR110" t="str">
        <f ca="1">IF(AND(ISNUMBER($AR$782),$B$677=1),$AR$782,HLOOKUP(INDIRECT(ADDRESS(2,COLUMN())),OFFSET($BN$2,0,0,ROW()-1,60),ROW()-1,FALSE))</f>
        <v/>
      </c>
      <c r="AS110" t="str">
        <f ca="1">IF(AND(ISNUMBER($AS$782),$B$677=1),$AS$782,HLOOKUP(INDIRECT(ADDRESS(2,COLUMN())),OFFSET($BN$2,0,0,ROW()-1,60),ROW()-1,FALSE))</f>
        <v/>
      </c>
      <c r="AT110" t="str">
        <f ca="1">IF(AND(ISNUMBER($AT$782),$B$677=1),$AT$782,HLOOKUP(INDIRECT(ADDRESS(2,COLUMN())),OFFSET($BN$2,0,0,ROW()-1,60),ROW()-1,FALSE))</f>
        <v/>
      </c>
      <c r="AU110" t="str">
        <f ca="1">IF(AND(ISNUMBER($AU$782),$B$677=1),$AU$782,HLOOKUP(INDIRECT(ADDRESS(2,COLUMN())),OFFSET($BN$2,0,0,ROW()-1,60),ROW()-1,FALSE))</f>
        <v/>
      </c>
      <c r="AV110" t="str">
        <f ca="1">IF(AND(ISNUMBER($AV$782),$B$677=1),$AV$782,HLOOKUP(INDIRECT(ADDRESS(2,COLUMN())),OFFSET($BN$2,0,0,ROW()-1,60),ROW()-1,FALSE))</f>
        <v/>
      </c>
      <c r="AW110" t="str">
        <f ca="1">IF(AND(ISNUMBER($AW$782),$B$677=1),$AW$782,HLOOKUP(INDIRECT(ADDRESS(2,COLUMN())),OFFSET($BN$2,0,0,ROW()-1,60),ROW()-1,FALSE))</f>
        <v/>
      </c>
      <c r="AX110" t="str">
        <f ca="1">IF(AND(ISNUMBER($AX$782),$B$677=1),$AX$782,HLOOKUP(INDIRECT(ADDRESS(2,COLUMN())),OFFSET($BN$2,0,0,ROW()-1,60),ROW()-1,FALSE))</f>
        <v/>
      </c>
      <c r="AY110" t="str">
        <f ca="1">IF(AND(ISNUMBER($AY$782),$B$677=1),$AY$782,HLOOKUP(INDIRECT(ADDRESS(2,COLUMN())),OFFSET($BN$2,0,0,ROW()-1,60),ROW()-1,FALSE))</f>
        <v/>
      </c>
      <c r="AZ110" t="str">
        <f ca="1">IF(AND(ISNUMBER($AZ$782),$B$677=1),$AZ$782,HLOOKUP(INDIRECT(ADDRESS(2,COLUMN())),OFFSET($BN$2,0,0,ROW()-1,60),ROW()-1,FALSE))</f>
        <v/>
      </c>
      <c r="BA110" t="str">
        <f ca="1">IF(AND(ISNUMBER($BA$782),$B$677=1),$BA$782,HLOOKUP(INDIRECT(ADDRESS(2,COLUMN())),OFFSET($BN$2,0,0,ROW()-1,60),ROW()-1,FALSE))</f>
        <v/>
      </c>
      <c r="BB110" t="str">
        <f ca="1">IF(AND(ISNUMBER($BB$782),$B$677=1),$BB$782,HLOOKUP(INDIRECT(ADDRESS(2,COLUMN())),OFFSET($BN$2,0,0,ROW()-1,60),ROW()-1,FALSE))</f>
        <v/>
      </c>
      <c r="BC110" t="str">
        <f ca="1">IF(AND(ISNUMBER($BC$782),$B$677=1),$BC$782,HLOOKUP(INDIRECT(ADDRESS(2,COLUMN())),OFFSET($BN$2,0,0,ROW()-1,60),ROW()-1,FALSE))</f>
        <v/>
      </c>
      <c r="BD110" t="str">
        <f ca="1">IF(AND(ISNUMBER($BD$782),$B$677=1),$BD$782,HLOOKUP(INDIRECT(ADDRESS(2,COLUMN())),OFFSET($BN$2,0,0,ROW()-1,60),ROW()-1,FALSE))</f>
        <v/>
      </c>
      <c r="BE110" t="str">
        <f ca="1">IF(AND(ISNUMBER($BE$782),$B$677=1),$BE$782,HLOOKUP(INDIRECT(ADDRESS(2,COLUMN())),OFFSET($BN$2,0,0,ROW()-1,60),ROW()-1,FALSE))</f>
        <v/>
      </c>
      <c r="BF110" t="str">
        <f ca="1">IF(AND(ISNUMBER($BF$782),$B$677=1),$BF$782,HLOOKUP(INDIRECT(ADDRESS(2,COLUMN())),OFFSET($BN$2,0,0,ROW()-1,60),ROW()-1,FALSE))</f>
        <v/>
      </c>
      <c r="BG110" t="str">
        <f ca="1">IF(AND(ISNUMBER($BG$782),$B$677=1),$BG$782,HLOOKUP(INDIRECT(ADDRESS(2,COLUMN())),OFFSET($BN$2,0,0,ROW()-1,60),ROW()-1,FALSE))</f>
        <v/>
      </c>
      <c r="BH110" t="str">
        <f ca="1">IF(AND(ISNUMBER($BH$782),$B$677=1),$BH$782,HLOOKUP(INDIRECT(ADDRESS(2,COLUMN())),OFFSET($BN$2,0,0,ROW()-1,60),ROW()-1,FALSE))</f>
        <v/>
      </c>
      <c r="BI110" t="str">
        <f ca="1">IF(AND(ISNUMBER($BI$782),$B$677=1),$BI$782,HLOOKUP(INDIRECT(ADDRESS(2,COLUMN())),OFFSET($BN$2,0,0,ROW()-1,60),ROW()-1,FALSE))</f>
        <v/>
      </c>
      <c r="BJ110" t="str">
        <f ca="1">IF(AND(ISNUMBER($BJ$782),$B$677=1),$BJ$782,HLOOKUP(INDIRECT(ADDRESS(2,COLUMN())),OFFSET($BN$2,0,0,ROW()-1,60),ROW()-1,FALSE))</f>
        <v/>
      </c>
      <c r="BK110" t="str">
        <f ca="1">IF(AND(ISNUMBER($BK$782),$B$677=1),$BK$782,HLOOKUP(INDIRECT(ADDRESS(2,COLUMN())),OFFSET($BN$2,0,0,ROW()-1,60),ROW()-1,FALSE))</f>
        <v/>
      </c>
      <c r="BL110" t="str">
        <f ca="1">IF(AND(ISNUMBER($BL$782),$B$677=1),$BL$782,HLOOKUP(INDIRECT(ADDRESS(2,COLUMN())),OFFSET($BN$2,0,0,ROW()-1,60),ROW()-1,FALSE))</f>
        <v/>
      </c>
      <c r="BM110" t="str">
        <f ca="1">IF(AND(ISNUMBER($BM$782),$B$677=1),$BM$782,HLOOKUP(INDIRECT(ADDRESS(2,COLUMN())),OFFSET($BN$2,0,0,ROW()-1,60),ROW()-1,FALSE))</f>
        <v/>
      </c>
      <c r="BN110">
        <f>7.634333736</f>
        <v>7.6343337360000003</v>
      </c>
      <c r="BO110">
        <f>7.038466035</f>
        <v>7.0384660349999999</v>
      </c>
      <c r="BP110">
        <f>9.208441454</f>
        <v>9.2084414540000008</v>
      </c>
      <c r="BQ110">
        <f>10.16122165</f>
        <v>10.16122165</v>
      </c>
      <c r="BR110">
        <f>9.953827842</f>
        <v>9.9538278420000008</v>
      </c>
      <c r="BS110">
        <f>10.21253105</f>
        <v>10.212531050000001</v>
      </c>
      <c r="BT110">
        <f>11.87680154</f>
        <v>11.876801540000001</v>
      </c>
      <c r="BU110">
        <f>11.87153079</f>
        <v>11.87153079</v>
      </c>
      <c r="BV110">
        <f>5.847902098</f>
        <v>5.8479020979999996</v>
      </c>
      <c r="BW110">
        <f>6.277097078</f>
        <v>6.2770970779999997</v>
      </c>
      <c r="BX110">
        <f>4.994675186</f>
        <v>4.9946751860000003</v>
      </c>
      <c r="BY110">
        <f>4.244343891</f>
        <v>4.2443438909999998</v>
      </c>
      <c r="BZ110" t="str">
        <f>""</f>
        <v/>
      </c>
      <c r="CA110" t="str">
        <f>""</f>
        <v/>
      </c>
      <c r="CB110" t="str">
        <f>""</f>
        <v/>
      </c>
      <c r="CC110" t="str">
        <f>""</f>
        <v/>
      </c>
      <c r="CD110" t="str">
        <f>""</f>
        <v/>
      </c>
      <c r="CE110" t="str">
        <f>""</f>
        <v/>
      </c>
      <c r="CF110" t="str">
        <f>""</f>
        <v/>
      </c>
      <c r="CG110" t="str">
        <f>""</f>
        <v/>
      </c>
      <c r="CH110" t="str">
        <f>""</f>
        <v/>
      </c>
      <c r="CI110" t="str">
        <f>""</f>
        <v/>
      </c>
      <c r="CJ110" t="str">
        <f>""</f>
        <v/>
      </c>
      <c r="CK110" t="str">
        <f>""</f>
        <v/>
      </c>
      <c r="CL110" t="str">
        <f>""</f>
        <v/>
      </c>
      <c r="CM110" t="str">
        <f>""</f>
        <v/>
      </c>
      <c r="CN110" t="str">
        <f>""</f>
        <v/>
      </c>
      <c r="CO110" t="str">
        <f>""</f>
        <v/>
      </c>
      <c r="CP110" t="str">
        <f>""</f>
        <v/>
      </c>
      <c r="CQ110" t="str">
        <f>""</f>
        <v/>
      </c>
      <c r="CR110" t="str">
        <f>""</f>
        <v/>
      </c>
      <c r="CS110" t="str">
        <f>""</f>
        <v/>
      </c>
      <c r="CT110" t="str">
        <f>""</f>
        <v/>
      </c>
      <c r="CU110" t="str">
        <f>""</f>
        <v/>
      </c>
      <c r="CV110" t="str">
        <f>""</f>
        <v/>
      </c>
      <c r="CW110" t="str">
        <f>""</f>
        <v/>
      </c>
      <c r="CX110" t="str">
        <f>""</f>
        <v/>
      </c>
      <c r="CY110" t="str">
        <f>""</f>
        <v/>
      </c>
      <c r="CZ110" t="str">
        <f>""</f>
        <v/>
      </c>
      <c r="DA110" t="str">
        <f>""</f>
        <v/>
      </c>
      <c r="DB110" t="str">
        <f>""</f>
        <v/>
      </c>
      <c r="DC110" t="str">
        <f>""</f>
        <v/>
      </c>
      <c r="DD110" t="str">
        <f>""</f>
        <v/>
      </c>
      <c r="DE110" t="str">
        <f>""</f>
        <v/>
      </c>
      <c r="DF110" t="str">
        <f>""</f>
        <v/>
      </c>
      <c r="DG110" t="str">
        <f>""</f>
        <v/>
      </c>
      <c r="DH110" t="str">
        <f>""</f>
        <v/>
      </c>
      <c r="DI110" t="str">
        <f>""</f>
        <v/>
      </c>
      <c r="DJ110" t="str">
        <f>""</f>
        <v/>
      </c>
      <c r="DK110" t="str">
        <f>""</f>
        <v/>
      </c>
      <c r="DL110" t="str">
        <f>""</f>
        <v/>
      </c>
      <c r="DM110" t="str">
        <f>""</f>
        <v/>
      </c>
      <c r="DN110" t="str">
        <f>""</f>
        <v/>
      </c>
      <c r="DO110" t="str">
        <f>""</f>
        <v/>
      </c>
      <c r="DP110" t="str">
        <f>""</f>
        <v/>
      </c>
      <c r="DQ110" t="str">
        <f>""</f>
        <v/>
      </c>
      <c r="DR110" t="str">
        <f>""</f>
        <v/>
      </c>
      <c r="DS110" t="str">
        <f>""</f>
        <v/>
      </c>
      <c r="DT110" t="str">
        <f>""</f>
        <v/>
      </c>
      <c r="DU110" t="str">
        <f>""</f>
        <v/>
      </c>
    </row>
    <row r="111" spans="1:125" x14ac:dyDescent="0.25">
      <c r="A111" t="str">
        <f>"    Nissan Motor Co Ltd"</f>
        <v xml:space="preserve">    Nissan Motor Co Ltd</v>
      </c>
      <c r="B111" t="str">
        <f>"7201 JP Equity"</f>
        <v>7201 JP Equity</v>
      </c>
      <c r="C111" t="str">
        <f t="shared" si="6"/>
        <v>EZ010</v>
      </c>
      <c r="D111" t="str">
        <f t="shared" si="7"/>
        <v>BEST_EST_PE_NXT_YR</v>
      </c>
      <c r="E111" t="str">
        <f t="shared" si="8"/>
        <v>Dynamic</v>
      </c>
      <c r="F111">
        <f ca="1">IF(AND(ISNUMBER($F$783),$B$677=1),$F$783,HLOOKUP(INDIRECT(ADDRESS(2,COLUMN())),OFFSET($BN$2,0,0,ROW()-1,60),ROW()-1,FALSE))</f>
        <v>7.2035388960000004</v>
      </c>
      <c r="G111">
        <f ca="1">IF(AND(ISNUMBER($G$783),$B$677=1),$G$783,HLOOKUP(INDIRECT(ADDRESS(2,COLUMN())),OFFSET($BN$2,0,0,ROW()-1,60),ROW()-1,FALSE))</f>
        <v>6.0901028049999999</v>
      </c>
      <c r="H111">
        <f ca="1">IF(AND(ISNUMBER($H$783),$B$677=1),$H$783,HLOOKUP(INDIRECT(ADDRESS(2,COLUMN())),OFFSET($BN$2,0,0,ROW()-1,60),ROW()-1,FALSE))</f>
        <v>7.0569265379999999</v>
      </c>
      <c r="I111">
        <f ca="1">IF(AND(ISNUMBER($I$783),$B$677=1),$I$783,HLOOKUP(INDIRECT(ADDRESS(2,COLUMN())),OFFSET($BN$2,0,0,ROW()-1,60),ROW()-1,FALSE))</f>
        <v>6.9886547810000001</v>
      </c>
      <c r="J111">
        <f ca="1">IF(AND(ISNUMBER($J$783),$B$677=1),$J$783,HLOOKUP(INDIRECT(ADDRESS(2,COLUMN())),OFFSET($BN$2,0,0,ROW()-1,60),ROW()-1,FALSE))</f>
        <v>6.8272049270000004</v>
      </c>
      <c r="K111">
        <f ca="1">IF(AND(ISNUMBER($K$783),$B$677=1),$K$783,HLOOKUP(INDIRECT(ADDRESS(2,COLUMN())),OFFSET($BN$2,0,0,ROW()-1,60),ROW()-1,FALSE))</f>
        <v>6.6535195250000001</v>
      </c>
      <c r="L111">
        <f ca="1">IF(AND(ISNUMBER($L$783),$B$677=1),$L$783,HLOOKUP(INDIRECT(ADDRESS(2,COLUMN())),OFFSET($BN$2,0,0,ROW()-1,60),ROW()-1,FALSE))</f>
        <v>6.5373853979999996</v>
      </c>
      <c r="M111">
        <f ca="1">IF(AND(ISNUMBER($M$783),$B$677=1),$M$783,HLOOKUP(INDIRECT(ADDRESS(2,COLUMN())),OFFSET($BN$2,0,0,ROW()-1,60),ROW()-1,FALSE))</f>
        <v>6.4930916520000004</v>
      </c>
      <c r="N111">
        <f ca="1">IF(AND(ISNUMBER($N$783),$B$677=1),$N$783,HLOOKUP(INDIRECT(ADDRESS(2,COLUMN())),OFFSET($BN$2,0,0,ROW()-1,60),ROW()-1,FALSE))</f>
        <v>4.7757170249999996</v>
      </c>
      <c r="O111">
        <f ca="1">IF(AND(ISNUMBER($O$783),$B$677=1),$O$783,HLOOKUP(INDIRECT(ADDRESS(2,COLUMN())),OFFSET($BN$2,0,0,ROW()-1,60),ROW()-1,FALSE))</f>
        <v>5.4748265099999998</v>
      </c>
      <c r="P111">
        <f ca="1">IF(AND(ISNUMBER($P$783),$B$677=1),$P$783,HLOOKUP(INDIRECT(ADDRESS(2,COLUMN())),OFFSET($BN$2,0,0,ROW()-1,60),ROW()-1,FALSE))</f>
        <v>4.746265341</v>
      </c>
      <c r="Q111">
        <f ca="1">IF(AND(ISNUMBER($Q$783),$B$677=1),$Q$783,HLOOKUP(INDIRECT(ADDRESS(2,COLUMN())),OFFSET($BN$2,0,0,ROW()-1,60),ROW()-1,FALSE))</f>
        <v>4.5352359020000002</v>
      </c>
      <c r="R111">
        <f ca="1">IF(AND(ISNUMBER($R$783),$B$677=1),$R$783,HLOOKUP(INDIRECT(ADDRESS(2,COLUMN())),OFFSET($BN$2,0,0,ROW()-1,60),ROW()-1,FALSE))</f>
        <v>7.1238030099999996</v>
      </c>
      <c r="S111">
        <f ca="1">IF(AND(ISNUMBER($S$783),$B$677=1),$S$783,HLOOKUP(INDIRECT(ADDRESS(2,COLUMN())),OFFSET($BN$2,0,0,ROW()-1,60),ROW()-1,FALSE))</f>
        <v>6.8790322579999996</v>
      </c>
      <c r="T111">
        <f ca="1">IF(AND(ISNUMBER($T$783),$B$677=1),$T$783,HLOOKUP(INDIRECT(ADDRESS(2,COLUMN())),OFFSET($BN$2,0,0,ROW()-1,60),ROW()-1,FALSE))</f>
        <v>6.2657502860000003</v>
      </c>
      <c r="U111">
        <f ca="1">IF(AND(ISNUMBER($U$783),$B$677=1),$U$783,HLOOKUP(INDIRECT(ADDRESS(2,COLUMN())),OFFSET($BN$2,0,0,ROW()-1,60),ROW()-1,FALSE))</f>
        <v>7.158899495</v>
      </c>
      <c r="V111" t="str">
        <f ca="1">IF(AND(ISNUMBER($V$783),$B$677=1),$V$783,HLOOKUP(INDIRECT(ADDRESS(2,COLUMN())),OFFSET($BN$2,0,0,ROW()-1,60),ROW()-1,FALSE))</f>
        <v/>
      </c>
      <c r="W111" t="str">
        <f ca="1">IF(AND(ISNUMBER($W$783),$B$677=1),$W$783,HLOOKUP(INDIRECT(ADDRESS(2,COLUMN())),OFFSET($BN$2,0,0,ROW()-1,60),ROW()-1,FALSE))</f>
        <v/>
      </c>
      <c r="X111" t="str">
        <f ca="1">IF(AND(ISNUMBER($X$783),$B$677=1),$X$783,HLOOKUP(INDIRECT(ADDRESS(2,COLUMN())),OFFSET($BN$2,0,0,ROW()-1,60),ROW()-1,FALSE))</f>
        <v/>
      </c>
      <c r="Y111" t="str">
        <f ca="1">IF(AND(ISNUMBER($Y$783),$B$677=1),$Y$783,HLOOKUP(INDIRECT(ADDRESS(2,COLUMN())),OFFSET($BN$2,0,0,ROW()-1,60),ROW()-1,FALSE))</f>
        <v/>
      </c>
      <c r="Z111" t="str">
        <f ca="1">IF(AND(ISNUMBER($Z$783),$B$677=1),$Z$783,HLOOKUP(INDIRECT(ADDRESS(2,COLUMN())),OFFSET($BN$2,0,0,ROW()-1,60),ROW()-1,FALSE))</f>
        <v/>
      </c>
      <c r="AA111" t="str">
        <f ca="1">IF(AND(ISNUMBER($AA$783),$B$677=1),$AA$783,HLOOKUP(INDIRECT(ADDRESS(2,COLUMN())),OFFSET($BN$2,0,0,ROW()-1,60),ROW()-1,FALSE))</f>
        <v/>
      </c>
      <c r="AB111" t="str">
        <f ca="1">IF(AND(ISNUMBER($AB$783),$B$677=1),$AB$783,HLOOKUP(INDIRECT(ADDRESS(2,COLUMN())),OFFSET($BN$2,0,0,ROW()-1,60),ROW()-1,FALSE))</f>
        <v/>
      </c>
      <c r="AC111" t="str">
        <f ca="1">IF(AND(ISNUMBER($AC$783),$B$677=1),$AC$783,HLOOKUP(INDIRECT(ADDRESS(2,COLUMN())),OFFSET($BN$2,0,0,ROW()-1,60),ROW()-1,FALSE))</f>
        <v/>
      </c>
      <c r="AD111" t="str">
        <f ca="1">IF(AND(ISNUMBER($AD$783),$B$677=1),$AD$783,HLOOKUP(INDIRECT(ADDRESS(2,COLUMN())),OFFSET($BN$2,0,0,ROW()-1,60),ROW()-1,FALSE))</f>
        <v/>
      </c>
      <c r="AE111" t="str">
        <f ca="1">IF(AND(ISNUMBER($AE$783),$B$677=1),$AE$783,HLOOKUP(INDIRECT(ADDRESS(2,COLUMN())),OFFSET($BN$2,0,0,ROW()-1,60),ROW()-1,FALSE))</f>
        <v/>
      </c>
      <c r="AF111" t="str">
        <f ca="1">IF(AND(ISNUMBER($AF$783),$B$677=1),$AF$783,HLOOKUP(INDIRECT(ADDRESS(2,COLUMN())),OFFSET($BN$2,0,0,ROW()-1,60),ROW()-1,FALSE))</f>
        <v/>
      </c>
      <c r="AG111" t="str">
        <f ca="1">IF(AND(ISNUMBER($AG$783),$B$677=1),$AG$783,HLOOKUP(INDIRECT(ADDRESS(2,COLUMN())),OFFSET($BN$2,0,0,ROW()-1,60),ROW()-1,FALSE))</f>
        <v/>
      </c>
      <c r="AH111" t="str">
        <f ca="1">IF(AND(ISNUMBER($AH$783),$B$677=1),$AH$783,HLOOKUP(INDIRECT(ADDRESS(2,COLUMN())),OFFSET($BN$2,0,0,ROW()-1,60),ROW()-1,FALSE))</f>
        <v/>
      </c>
      <c r="AI111" t="str">
        <f ca="1">IF(AND(ISNUMBER($AI$783),$B$677=1),$AI$783,HLOOKUP(INDIRECT(ADDRESS(2,COLUMN())),OFFSET($BN$2,0,0,ROW()-1,60),ROW()-1,FALSE))</f>
        <v/>
      </c>
      <c r="AJ111" t="str">
        <f ca="1">IF(AND(ISNUMBER($AJ$783),$B$677=1),$AJ$783,HLOOKUP(INDIRECT(ADDRESS(2,COLUMN())),OFFSET($BN$2,0,0,ROW()-1,60),ROW()-1,FALSE))</f>
        <v/>
      </c>
      <c r="AK111" t="str">
        <f ca="1">IF(AND(ISNUMBER($AK$783),$B$677=1),$AK$783,HLOOKUP(INDIRECT(ADDRESS(2,COLUMN())),OFFSET($BN$2,0,0,ROW()-1,60),ROW()-1,FALSE))</f>
        <v/>
      </c>
      <c r="AL111" t="str">
        <f ca="1">IF(AND(ISNUMBER($AL$783),$B$677=1),$AL$783,HLOOKUP(INDIRECT(ADDRESS(2,COLUMN())),OFFSET($BN$2,0,0,ROW()-1,60),ROW()-1,FALSE))</f>
        <v/>
      </c>
      <c r="AM111" t="str">
        <f ca="1">IF(AND(ISNUMBER($AM$783),$B$677=1),$AM$783,HLOOKUP(INDIRECT(ADDRESS(2,COLUMN())),OFFSET($BN$2,0,0,ROW()-1,60),ROW()-1,FALSE))</f>
        <v/>
      </c>
      <c r="AN111" t="str">
        <f ca="1">IF(AND(ISNUMBER($AN$783),$B$677=1),$AN$783,HLOOKUP(INDIRECT(ADDRESS(2,COLUMN())),OFFSET($BN$2,0,0,ROW()-1,60),ROW()-1,FALSE))</f>
        <v/>
      </c>
      <c r="AO111" t="str">
        <f ca="1">IF(AND(ISNUMBER($AO$783),$B$677=1),$AO$783,HLOOKUP(INDIRECT(ADDRESS(2,COLUMN())),OFFSET($BN$2,0,0,ROW()-1,60),ROW()-1,FALSE))</f>
        <v/>
      </c>
      <c r="AP111" t="str">
        <f ca="1">IF(AND(ISNUMBER($AP$783),$B$677=1),$AP$783,HLOOKUP(INDIRECT(ADDRESS(2,COLUMN())),OFFSET($BN$2,0,0,ROW()-1,60),ROW()-1,FALSE))</f>
        <v/>
      </c>
      <c r="AQ111" t="str">
        <f ca="1">IF(AND(ISNUMBER($AQ$783),$B$677=1),$AQ$783,HLOOKUP(INDIRECT(ADDRESS(2,COLUMN())),OFFSET($BN$2,0,0,ROW()-1,60),ROW()-1,FALSE))</f>
        <v/>
      </c>
      <c r="AR111" t="str">
        <f ca="1">IF(AND(ISNUMBER($AR$783),$B$677=1),$AR$783,HLOOKUP(INDIRECT(ADDRESS(2,COLUMN())),OFFSET($BN$2,0,0,ROW()-1,60),ROW()-1,FALSE))</f>
        <v/>
      </c>
      <c r="AS111" t="str">
        <f ca="1">IF(AND(ISNUMBER($AS$783),$B$677=1),$AS$783,HLOOKUP(INDIRECT(ADDRESS(2,COLUMN())),OFFSET($BN$2,0,0,ROW()-1,60),ROW()-1,FALSE))</f>
        <v/>
      </c>
      <c r="AT111" t="str">
        <f ca="1">IF(AND(ISNUMBER($AT$783),$B$677=1),$AT$783,HLOOKUP(INDIRECT(ADDRESS(2,COLUMN())),OFFSET($BN$2,0,0,ROW()-1,60),ROW()-1,FALSE))</f>
        <v/>
      </c>
      <c r="AU111" t="str">
        <f ca="1">IF(AND(ISNUMBER($AU$783),$B$677=1),$AU$783,HLOOKUP(INDIRECT(ADDRESS(2,COLUMN())),OFFSET($BN$2,0,0,ROW()-1,60),ROW()-1,FALSE))</f>
        <v/>
      </c>
      <c r="AV111" t="str">
        <f ca="1">IF(AND(ISNUMBER($AV$783),$B$677=1),$AV$783,HLOOKUP(INDIRECT(ADDRESS(2,COLUMN())),OFFSET($BN$2,0,0,ROW()-1,60),ROW()-1,FALSE))</f>
        <v/>
      </c>
      <c r="AW111" t="str">
        <f ca="1">IF(AND(ISNUMBER($AW$783),$B$677=1),$AW$783,HLOOKUP(INDIRECT(ADDRESS(2,COLUMN())),OFFSET($BN$2,0,0,ROW()-1,60),ROW()-1,FALSE))</f>
        <v/>
      </c>
      <c r="AX111" t="str">
        <f ca="1">IF(AND(ISNUMBER($AX$783),$B$677=1),$AX$783,HLOOKUP(INDIRECT(ADDRESS(2,COLUMN())),OFFSET($BN$2,0,0,ROW()-1,60),ROW()-1,FALSE))</f>
        <v/>
      </c>
      <c r="AY111" t="str">
        <f ca="1">IF(AND(ISNUMBER($AY$783),$B$677=1),$AY$783,HLOOKUP(INDIRECT(ADDRESS(2,COLUMN())),OFFSET($BN$2,0,0,ROW()-1,60),ROW()-1,FALSE))</f>
        <v/>
      </c>
      <c r="AZ111" t="str">
        <f ca="1">IF(AND(ISNUMBER($AZ$783),$B$677=1),$AZ$783,HLOOKUP(INDIRECT(ADDRESS(2,COLUMN())),OFFSET($BN$2,0,0,ROW()-1,60),ROW()-1,FALSE))</f>
        <v/>
      </c>
      <c r="BA111" t="str">
        <f ca="1">IF(AND(ISNUMBER($BA$783),$B$677=1),$BA$783,HLOOKUP(INDIRECT(ADDRESS(2,COLUMN())),OFFSET($BN$2,0,0,ROW()-1,60),ROW()-1,FALSE))</f>
        <v/>
      </c>
      <c r="BB111" t="str">
        <f ca="1">IF(AND(ISNUMBER($BB$783),$B$677=1),$BB$783,HLOOKUP(INDIRECT(ADDRESS(2,COLUMN())),OFFSET($BN$2,0,0,ROW()-1,60),ROW()-1,FALSE))</f>
        <v/>
      </c>
      <c r="BC111" t="str">
        <f ca="1">IF(AND(ISNUMBER($BC$783),$B$677=1),$BC$783,HLOOKUP(INDIRECT(ADDRESS(2,COLUMN())),OFFSET($BN$2,0,0,ROW()-1,60),ROW()-1,FALSE))</f>
        <v/>
      </c>
      <c r="BD111" t="str">
        <f ca="1">IF(AND(ISNUMBER($BD$783),$B$677=1),$BD$783,HLOOKUP(INDIRECT(ADDRESS(2,COLUMN())),OFFSET($BN$2,0,0,ROW()-1,60),ROW()-1,FALSE))</f>
        <v/>
      </c>
      <c r="BE111" t="str">
        <f ca="1">IF(AND(ISNUMBER($BE$783),$B$677=1),$BE$783,HLOOKUP(INDIRECT(ADDRESS(2,COLUMN())),OFFSET($BN$2,0,0,ROW()-1,60),ROW()-1,FALSE))</f>
        <v/>
      </c>
      <c r="BF111" t="str">
        <f ca="1">IF(AND(ISNUMBER($BF$783),$B$677=1),$BF$783,HLOOKUP(INDIRECT(ADDRESS(2,COLUMN())),OFFSET($BN$2,0,0,ROW()-1,60),ROW()-1,FALSE))</f>
        <v/>
      </c>
      <c r="BG111" t="str">
        <f ca="1">IF(AND(ISNUMBER($BG$783),$B$677=1),$BG$783,HLOOKUP(INDIRECT(ADDRESS(2,COLUMN())),OFFSET($BN$2,0,0,ROW()-1,60),ROW()-1,FALSE))</f>
        <v/>
      </c>
      <c r="BH111" t="str">
        <f ca="1">IF(AND(ISNUMBER($BH$783),$B$677=1),$BH$783,HLOOKUP(INDIRECT(ADDRESS(2,COLUMN())),OFFSET($BN$2,0,0,ROW()-1,60),ROW()-1,FALSE))</f>
        <v/>
      </c>
      <c r="BI111" t="str">
        <f ca="1">IF(AND(ISNUMBER($BI$783),$B$677=1),$BI$783,HLOOKUP(INDIRECT(ADDRESS(2,COLUMN())),OFFSET($BN$2,0,0,ROW()-1,60),ROW()-1,FALSE))</f>
        <v/>
      </c>
      <c r="BJ111" t="str">
        <f ca="1">IF(AND(ISNUMBER($BJ$783),$B$677=1),$BJ$783,HLOOKUP(INDIRECT(ADDRESS(2,COLUMN())),OFFSET($BN$2,0,0,ROW()-1,60),ROW()-1,FALSE))</f>
        <v/>
      </c>
      <c r="BK111" t="str">
        <f ca="1">IF(AND(ISNUMBER($BK$783),$B$677=1),$BK$783,HLOOKUP(INDIRECT(ADDRESS(2,COLUMN())),OFFSET($BN$2,0,0,ROW()-1,60),ROW()-1,FALSE))</f>
        <v/>
      </c>
      <c r="BL111" t="str">
        <f ca="1">IF(AND(ISNUMBER($BL$783),$B$677=1),$BL$783,HLOOKUP(INDIRECT(ADDRESS(2,COLUMN())),OFFSET($BN$2,0,0,ROW()-1,60),ROW()-1,FALSE))</f>
        <v/>
      </c>
      <c r="BM111" t="str">
        <f ca="1">IF(AND(ISNUMBER($BM$783),$B$677=1),$BM$783,HLOOKUP(INDIRECT(ADDRESS(2,COLUMN())),OFFSET($BN$2,0,0,ROW()-1,60),ROW()-1,FALSE))</f>
        <v/>
      </c>
      <c r="BN111">
        <f>7.203538896</f>
        <v>7.2035388960000004</v>
      </c>
      <c r="BO111">
        <f>6.090102805</f>
        <v>6.0901028049999999</v>
      </c>
      <c r="BP111">
        <f>7.056926538</f>
        <v>7.0569265379999999</v>
      </c>
      <c r="BQ111">
        <f>6.988654781</f>
        <v>6.9886547810000001</v>
      </c>
      <c r="BR111">
        <f>6.827204927</f>
        <v>6.8272049270000004</v>
      </c>
      <c r="BS111">
        <f>6.653519525</f>
        <v>6.6535195250000001</v>
      </c>
      <c r="BT111">
        <f>6.537385398</f>
        <v>6.5373853979999996</v>
      </c>
      <c r="BU111">
        <f>6.493091652</f>
        <v>6.4930916520000004</v>
      </c>
      <c r="BV111">
        <f>4.775717025</f>
        <v>4.7757170249999996</v>
      </c>
      <c r="BW111">
        <f>5.47482651</f>
        <v>5.4748265099999998</v>
      </c>
      <c r="BX111">
        <f>4.746265341</f>
        <v>4.746265341</v>
      </c>
      <c r="BY111">
        <f>4.535235902</f>
        <v>4.5352359020000002</v>
      </c>
      <c r="BZ111">
        <f>7.12380301</f>
        <v>7.1238030099999996</v>
      </c>
      <c r="CA111">
        <f>6.879032258</f>
        <v>6.8790322579999996</v>
      </c>
      <c r="CB111">
        <f>6.265750286</f>
        <v>6.2657502860000003</v>
      </c>
      <c r="CC111">
        <f>7.158899495</f>
        <v>7.158899495</v>
      </c>
      <c r="CD111" t="str">
        <f>""</f>
        <v/>
      </c>
      <c r="CE111" t="str">
        <f>""</f>
        <v/>
      </c>
      <c r="CF111" t="str">
        <f>""</f>
        <v/>
      </c>
      <c r="CG111" t="str">
        <f>""</f>
        <v/>
      </c>
      <c r="CH111" t="str">
        <f>""</f>
        <v/>
      </c>
      <c r="CI111" t="str">
        <f>""</f>
        <v/>
      </c>
      <c r="CJ111" t="str">
        <f>""</f>
        <v/>
      </c>
      <c r="CK111" t="str">
        <f>""</f>
        <v/>
      </c>
      <c r="CL111" t="str">
        <f>""</f>
        <v/>
      </c>
      <c r="CM111" t="str">
        <f>""</f>
        <v/>
      </c>
      <c r="CN111" t="str">
        <f>""</f>
        <v/>
      </c>
      <c r="CO111" t="str">
        <f>""</f>
        <v/>
      </c>
      <c r="CP111" t="str">
        <f>""</f>
        <v/>
      </c>
      <c r="CQ111" t="str">
        <f>""</f>
        <v/>
      </c>
      <c r="CR111" t="str">
        <f>""</f>
        <v/>
      </c>
      <c r="CS111" t="str">
        <f>""</f>
        <v/>
      </c>
      <c r="CT111" t="str">
        <f>""</f>
        <v/>
      </c>
      <c r="CU111" t="str">
        <f>""</f>
        <v/>
      </c>
      <c r="CV111" t="str">
        <f>""</f>
        <v/>
      </c>
      <c r="CW111" t="str">
        <f>""</f>
        <v/>
      </c>
      <c r="CX111" t="str">
        <f>""</f>
        <v/>
      </c>
      <c r="CY111" t="str">
        <f>""</f>
        <v/>
      </c>
      <c r="CZ111" t="str">
        <f>""</f>
        <v/>
      </c>
      <c r="DA111" t="str">
        <f>""</f>
        <v/>
      </c>
      <c r="DB111" t="str">
        <f>""</f>
        <v/>
      </c>
      <c r="DC111" t="str">
        <f>""</f>
        <v/>
      </c>
      <c r="DD111" t="str">
        <f>""</f>
        <v/>
      </c>
      <c r="DE111" t="str">
        <f>""</f>
        <v/>
      </c>
      <c r="DF111" t="str">
        <f>""</f>
        <v/>
      </c>
      <c r="DG111" t="str">
        <f>""</f>
        <v/>
      </c>
      <c r="DH111" t="str">
        <f>""</f>
        <v/>
      </c>
      <c r="DI111" t="str">
        <f>""</f>
        <v/>
      </c>
      <c r="DJ111" t="str">
        <f>""</f>
        <v/>
      </c>
      <c r="DK111" t="str">
        <f>""</f>
        <v/>
      </c>
      <c r="DL111" t="str">
        <f>""</f>
        <v/>
      </c>
      <c r="DM111" t="str">
        <f>""</f>
        <v/>
      </c>
      <c r="DN111" t="str">
        <f>""</f>
        <v/>
      </c>
      <c r="DO111" t="str">
        <f>""</f>
        <v/>
      </c>
      <c r="DP111" t="str">
        <f>""</f>
        <v/>
      </c>
      <c r="DQ111" t="str">
        <f>""</f>
        <v/>
      </c>
      <c r="DR111" t="str">
        <f>""</f>
        <v/>
      </c>
      <c r="DS111" t="str">
        <f>""</f>
        <v/>
      </c>
      <c r="DT111" t="str">
        <f>""</f>
        <v/>
      </c>
      <c r="DU111" t="str">
        <f>""</f>
        <v/>
      </c>
    </row>
    <row r="112" spans="1:125" x14ac:dyDescent="0.25">
      <c r="A112" t="str">
        <f>"    Peugeot SA"</f>
        <v xml:space="preserve">    Peugeot SA</v>
      </c>
      <c r="B112" t="str">
        <f>"UG FP Equity"</f>
        <v>UG FP Equity</v>
      </c>
      <c r="C112" t="str">
        <f t="shared" si="6"/>
        <v>EZ010</v>
      </c>
      <c r="D112" t="str">
        <f t="shared" si="7"/>
        <v>BEST_EST_PE_NXT_YR</v>
      </c>
      <c r="E112" t="str">
        <f t="shared" si="8"/>
        <v>Dynamic</v>
      </c>
      <c r="F112">
        <f ca="1">IF(AND(ISNUMBER($F$784),$B$677=1),$F$784,HLOOKUP(INDIRECT(ADDRESS(2,COLUMN())),OFFSET($BN$2,0,0,ROW()-1,60),ROW()-1,FALSE))</f>
        <v>5.7421173080000001</v>
      </c>
      <c r="G112">
        <f ca="1">IF(AND(ISNUMBER($G$784),$B$677=1),$G$784,HLOOKUP(INDIRECT(ADDRESS(2,COLUMN())),OFFSET($BN$2,0,0,ROW()-1,60),ROW()-1,FALSE))</f>
        <v>4.8290598290000002</v>
      </c>
      <c r="H112">
        <f ca="1">IF(AND(ISNUMBER($H$784),$B$677=1),$H$784,HLOOKUP(INDIRECT(ADDRESS(2,COLUMN())),OFFSET($BN$2,0,0,ROW()-1,60),ROW()-1,FALSE))</f>
        <v>5.7742977880000002</v>
      </c>
      <c r="I112">
        <f ca="1">IF(AND(ISNUMBER($I$784),$B$677=1),$I$784,HLOOKUP(INDIRECT(ADDRESS(2,COLUMN())),OFFSET($BN$2,0,0,ROW()-1,60),ROW()-1,FALSE))</f>
        <v>6.1490097449999999</v>
      </c>
      <c r="J112">
        <f ca="1">IF(AND(ISNUMBER($J$784),$B$677=1),$J$784,HLOOKUP(INDIRECT(ADDRESS(2,COLUMN())),OFFSET($BN$2,0,0,ROW()-1,60),ROW()-1,FALSE))</f>
        <v>6.4330371829999997</v>
      </c>
      <c r="K112">
        <f ca="1">IF(AND(ISNUMBER($K$784),$B$677=1),$K$784,HLOOKUP(INDIRECT(ADDRESS(2,COLUMN())),OFFSET($BN$2,0,0,ROW()-1,60),ROW()-1,FALSE))</f>
        <v>5.7338518770000002</v>
      </c>
      <c r="L112">
        <f ca="1">IF(AND(ISNUMBER($L$784),$B$677=1),$L$784,HLOOKUP(INDIRECT(ADDRESS(2,COLUMN())),OFFSET($BN$2,0,0,ROW()-1,60),ROW()-1,FALSE))</f>
        <v>6.948275862</v>
      </c>
      <c r="M112">
        <f ca="1">IF(AND(ISNUMBER($M$784),$B$677=1),$M$784,HLOOKUP(INDIRECT(ADDRESS(2,COLUMN())),OFFSET($BN$2,0,0,ROW()-1,60),ROW()-1,FALSE))</f>
        <v>6.9943932719999999</v>
      </c>
      <c r="N112">
        <f ca="1">IF(AND(ISNUMBER($N$784),$B$677=1),$N$784,HLOOKUP(INDIRECT(ADDRESS(2,COLUMN())),OFFSET($BN$2,0,0,ROW()-1,60),ROW()-1,FALSE))</f>
        <v>7.6821326819999998</v>
      </c>
      <c r="O112">
        <f ca="1">IF(AND(ISNUMBER($O$784),$B$677=1),$O$784,HLOOKUP(INDIRECT(ADDRESS(2,COLUMN())),OFFSET($BN$2,0,0,ROW()-1,60),ROW()-1,FALSE))</f>
        <v>5.3431034479999999</v>
      </c>
      <c r="P112">
        <f ca="1">IF(AND(ISNUMBER($P$784),$B$677=1),$P$784,HLOOKUP(INDIRECT(ADDRESS(2,COLUMN())),OFFSET($BN$2,0,0,ROW()-1,60),ROW()-1,FALSE))</f>
        <v>5.834763948</v>
      </c>
      <c r="Q112">
        <f ca="1">IF(AND(ISNUMBER($Q$784),$B$677=1),$Q$784,HLOOKUP(INDIRECT(ADDRESS(2,COLUMN())),OFFSET($BN$2,0,0,ROW()-1,60),ROW()-1,FALSE))</f>
        <v>4.224609375</v>
      </c>
      <c r="R112">
        <f ca="1">IF(AND(ISNUMBER($R$784),$B$677=1),$R$784,HLOOKUP(INDIRECT(ADDRESS(2,COLUMN())),OFFSET($BN$2,0,0,ROW()-1,60),ROW()-1,FALSE))</f>
        <v>3.502325581</v>
      </c>
      <c r="S112">
        <f ca="1">IF(AND(ISNUMBER($S$784),$B$677=1),$S$784,HLOOKUP(INDIRECT(ADDRESS(2,COLUMN())),OFFSET($BN$2,0,0,ROW()-1,60),ROW()-1,FALSE))</f>
        <v>3.768604651</v>
      </c>
      <c r="T112">
        <f ca="1">IF(AND(ISNUMBER($T$784),$B$677=1),$T$784,HLOOKUP(INDIRECT(ADDRESS(2,COLUMN())),OFFSET($BN$2,0,0,ROW()-1,60),ROW()-1,FALSE))</f>
        <v>3.1290697669999998</v>
      </c>
      <c r="U112">
        <f ca="1">IF(AND(ISNUMBER($U$784),$B$677=1),$U$784,HLOOKUP(INDIRECT(ADDRESS(2,COLUMN())),OFFSET($BN$2,0,0,ROW()-1,60),ROW()-1,FALSE))</f>
        <v>4.289534884</v>
      </c>
      <c r="V112">
        <f ca="1">IF(AND(ISNUMBER($V$784),$B$677=1),$V$784,HLOOKUP(INDIRECT(ADDRESS(2,COLUMN())),OFFSET($BN$2,0,0,ROW()-1,60),ROW()-1,FALSE))</f>
        <v>3.6255813950000002</v>
      </c>
      <c r="W112">
        <f ca="1">IF(AND(ISNUMBER($W$784),$B$677=1),$W$784,HLOOKUP(INDIRECT(ADDRESS(2,COLUMN())),OFFSET($BN$2,0,0,ROW()-1,60),ROW()-1,FALSE))</f>
        <v>2.3767441859999998</v>
      </c>
      <c r="X112">
        <f ca="1">IF(AND(ISNUMBER($X$784),$B$677=1),$X$784,HLOOKUP(INDIRECT(ADDRESS(2,COLUMN())),OFFSET($BN$2,0,0,ROW()-1,60),ROW()-1,FALSE))</f>
        <v>2.3616279069999999</v>
      </c>
      <c r="Y112">
        <f ca="1">IF(AND(ISNUMBER($Y$784),$B$677=1),$Y$784,HLOOKUP(INDIRECT(ADDRESS(2,COLUMN())),OFFSET($BN$2,0,0,ROW()-1,60),ROW()-1,FALSE))</f>
        <v>2.5104651160000002</v>
      </c>
      <c r="Z112">
        <f ca="1">IF(AND(ISNUMBER($Z$784),$B$677=1),$Z$784,HLOOKUP(INDIRECT(ADDRESS(2,COLUMN())),OFFSET($BN$2,0,0,ROW()-1,60),ROW()-1,FALSE))</f>
        <v>2.6343033170000001</v>
      </c>
      <c r="AA112">
        <f ca="1">IF(AND(ISNUMBER($AA$784),$B$677=1),$AA$784,HLOOKUP(INDIRECT(ADDRESS(2,COLUMN())),OFFSET($BN$2,0,0,ROW()-1,60),ROW()-1,FALSE))</f>
        <v>1.815447587</v>
      </c>
      <c r="AB112">
        <f ca="1">IF(AND(ISNUMBER($AB$784),$B$677=1),$AB$784,HLOOKUP(INDIRECT(ADDRESS(2,COLUMN())),OFFSET($BN$2,0,0,ROW()-1,60),ROW()-1,FALSE))</f>
        <v>2.3371146629999999</v>
      </c>
      <c r="AC112">
        <f ca="1">IF(AND(ISNUMBER($AC$784),$B$677=1),$AC$784,HLOOKUP(INDIRECT(ADDRESS(2,COLUMN())),OFFSET($BN$2,0,0,ROW()-1,60),ROW()-1,FALSE))</f>
        <v>1.2166461099999999</v>
      </c>
      <c r="AD112">
        <f ca="1">IF(AND(ISNUMBER($AD$784),$B$677=1),$AD$784,HLOOKUP(INDIRECT(ADDRESS(2,COLUMN())),OFFSET($BN$2,0,0,ROW()-1,60),ROW()-1,FALSE))</f>
        <v>1.0868064070000001</v>
      </c>
      <c r="AE112">
        <f ca="1">IF(AND(ISNUMBER($AE$784),$B$677=1),$AE$784,HLOOKUP(INDIRECT(ADDRESS(2,COLUMN())),OFFSET($BN$2,0,0,ROW()-1,60),ROW()-1,FALSE))</f>
        <v>1.052374841</v>
      </c>
      <c r="AF112">
        <f ca="1">IF(AND(ISNUMBER($AF$784),$B$677=1),$AF$784,HLOOKUP(INDIRECT(ADDRESS(2,COLUMN())),OFFSET($BN$2,0,0,ROW()-1,60),ROW()-1,FALSE))</f>
        <v>1.182983965</v>
      </c>
      <c r="AG112">
        <f ca="1">IF(AND(ISNUMBER($AG$784),$B$677=1),$AG$784,HLOOKUP(INDIRECT(ADDRESS(2,COLUMN())),OFFSET($BN$2,0,0,ROW()-1,60),ROW()-1,FALSE))</f>
        <v>1.4913292170000001</v>
      </c>
      <c r="AH112">
        <f ca="1">IF(AND(ISNUMBER($AH$784),$B$677=1),$AH$784,HLOOKUP(INDIRECT(ADDRESS(2,COLUMN())),OFFSET($BN$2,0,0,ROW()-1,60),ROW()-1,FALSE))</f>
        <v>2.322688029</v>
      </c>
      <c r="AI112" t="str">
        <f ca="1">IF(AND(ISNUMBER($AI$784),$B$677=1),$AI$784,HLOOKUP(INDIRECT(ADDRESS(2,COLUMN())),OFFSET($BN$2,0,0,ROW()-1,60),ROW()-1,FALSE))</f>
        <v/>
      </c>
      <c r="AJ112" t="str">
        <f ca="1">IF(AND(ISNUMBER($AJ$784),$B$677=1),$AJ$784,HLOOKUP(INDIRECT(ADDRESS(2,COLUMN())),OFFSET($BN$2,0,0,ROW()-1,60),ROW()-1,FALSE))</f>
        <v/>
      </c>
      <c r="AK112" t="str">
        <f ca="1">IF(AND(ISNUMBER($AK$784),$B$677=1),$AK$784,HLOOKUP(INDIRECT(ADDRESS(2,COLUMN())),OFFSET($BN$2,0,0,ROW()-1,60),ROW()-1,FALSE))</f>
        <v/>
      </c>
      <c r="AL112" t="str">
        <f ca="1">IF(AND(ISNUMBER($AL$784),$B$677=1),$AL$784,HLOOKUP(INDIRECT(ADDRESS(2,COLUMN())),OFFSET($BN$2,0,0,ROW()-1,60),ROW()-1,FALSE))</f>
        <v/>
      </c>
      <c r="AM112" t="str">
        <f ca="1">IF(AND(ISNUMBER($AM$784),$B$677=1),$AM$784,HLOOKUP(INDIRECT(ADDRESS(2,COLUMN())),OFFSET($BN$2,0,0,ROW()-1,60),ROW()-1,FALSE))</f>
        <v/>
      </c>
      <c r="AN112" t="str">
        <f ca="1">IF(AND(ISNUMBER($AN$784),$B$677=1),$AN$784,HLOOKUP(INDIRECT(ADDRESS(2,COLUMN())),OFFSET($BN$2,0,0,ROW()-1,60),ROW()-1,FALSE))</f>
        <v/>
      </c>
      <c r="AO112" t="str">
        <f ca="1">IF(AND(ISNUMBER($AO$784),$B$677=1),$AO$784,HLOOKUP(INDIRECT(ADDRESS(2,COLUMN())),OFFSET($BN$2,0,0,ROW()-1,60),ROW()-1,FALSE))</f>
        <v/>
      </c>
      <c r="AP112" t="str">
        <f ca="1">IF(AND(ISNUMBER($AP$784),$B$677=1),$AP$784,HLOOKUP(INDIRECT(ADDRESS(2,COLUMN())),OFFSET($BN$2,0,0,ROW()-1,60),ROW()-1,FALSE))</f>
        <v/>
      </c>
      <c r="AQ112" t="str">
        <f ca="1">IF(AND(ISNUMBER($AQ$784),$B$677=1),$AQ$784,HLOOKUP(INDIRECT(ADDRESS(2,COLUMN())),OFFSET($BN$2,0,0,ROW()-1,60),ROW()-1,FALSE))</f>
        <v/>
      </c>
      <c r="AR112" t="str">
        <f ca="1">IF(AND(ISNUMBER($AR$784),$B$677=1),$AR$784,HLOOKUP(INDIRECT(ADDRESS(2,COLUMN())),OFFSET($BN$2,0,0,ROW()-1,60),ROW()-1,FALSE))</f>
        <v/>
      </c>
      <c r="AS112" t="str">
        <f ca="1">IF(AND(ISNUMBER($AS$784),$B$677=1),$AS$784,HLOOKUP(INDIRECT(ADDRESS(2,COLUMN())),OFFSET($BN$2,0,0,ROW()-1,60),ROW()-1,FALSE))</f>
        <v/>
      </c>
      <c r="AT112" t="str">
        <f ca="1">IF(AND(ISNUMBER($AT$784),$B$677=1),$AT$784,HLOOKUP(INDIRECT(ADDRESS(2,COLUMN())),OFFSET($BN$2,0,0,ROW()-1,60),ROW()-1,FALSE))</f>
        <v/>
      </c>
      <c r="AU112" t="str">
        <f ca="1">IF(AND(ISNUMBER($AU$784),$B$677=1),$AU$784,HLOOKUP(INDIRECT(ADDRESS(2,COLUMN())),OFFSET($BN$2,0,0,ROW()-1,60),ROW()-1,FALSE))</f>
        <v/>
      </c>
      <c r="AV112" t="str">
        <f ca="1">IF(AND(ISNUMBER($AV$784),$B$677=1),$AV$784,HLOOKUP(INDIRECT(ADDRESS(2,COLUMN())),OFFSET($BN$2,0,0,ROW()-1,60),ROW()-1,FALSE))</f>
        <v/>
      </c>
      <c r="AW112" t="str">
        <f ca="1">IF(AND(ISNUMBER($AW$784),$B$677=1),$AW$784,HLOOKUP(INDIRECT(ADDRESS(2,COLUMN())),OFFSET($BN$2,0,0,ROW()-1,60),ROW()-1,FALSE))</f>
        <v/>
      </c>
      <c r="AX112" t="str">
        <f ca="1">IF(AND(ISNUMBER($AX$784),$B$677=1),$AX$784,HLOOKUP(INDIRECT(ADDRESS(2,COLUMN())),OFFSET($BN$2,0,0,ROW()-1,60),ROW()-1,FALSE))</f>
        <v/>
      </c>
      <c r="AY112" t="str">
        <f ca="1">IF(AND(ISNUMBER($AY$784),$B$677=1),$AY$784,HLOOKUP(INDIRECT(ADDRESS(2,COLUMN())),OFFSET($BN$2,0,0,ROW()-1,60),ROW()-1,FALSE))</f>
        <v/>
      </c>
      <c r="AZ112" t="str">
        <f ca="1">IF(AND(ISNUMBER($AZ$784),$B$677=1),$AZ$784,HLOOKUP(INDIRECT(ADDRESS(2,COLUMN())),OFFSET($BN$2,0,0,ROW()-1,60),ROW()-1,FALSE))</f>
        <v/>
      </c>
      <c r="BA112" t="str">
        <f ca="1">IF(AND(ISNUMBER($BA$784),$B$677=1),$BA$784,HLOOKUP(INDIRECT(ADDRESS(2,COLUMN())),OFFSET($BN$2,0,0,ROW()-1,60),ROW()-1,FALSE))</f>
        <v/>
      </c>
      <c r="BB112" t="str">
        <f ca="1">IF(AND(ISNUMBER($BB$784),$B$677=1),$BB$784,HLOOKUP(INDIRECT(ADDRESS(2,COLUMN())),OFFSET($BN$2,0,0,ROW()-1,60),ROW()-1,FALSE))</f>
        <v/>
      </c>
      <c r="BC112" t="str">
        <f ca="1">IF(AND(ISNUMBER($BC$784),$B$677=1),$BC$784,HLOOKUP(INDIRECT(ADDRESS(2,COLUMN())),OFFSET($BN$2,0,0,ROW()-1,60),ROW()-1,FALSE))</f>
        <v/>
      </c>
      <c r="BD112" t="str">
        <f ca="1">IF(AND(ISNUMBER($BD$784),$B$677=1),$BD$784,HLOOKUP(INDIRECT(ADDRESS(2,COLUMN())),OFFSET($BN$2,0,0,ROW()-1,60),ROW()-1,FALSE))</f>
        <v/>
      </c>
      <c r="BE112" t="str">
        <f ca="1">IF(AND(ISNUMBER($BE$784),$B$677=1),$BE$784,HLOOKUP(INDIRECT(ADDRESS(2,COLUMN())),OFFSET($BN$2,0,0,ROW()-1,60),ROW()-1,FALSE))</f>
        <v/>
      </c>
      <c r="BF112" t="str">
        <f ca="1">IF(AND(ISNUMBER($BF$784),$B$677=1),$BF$784,HLOOKUP(INDIRECT(ADDRESS(2,COLUMN())),OFFSET($BN$2,0,0,ROW()-1,60),ROW()-1,FALSE))</f>
        <v/>
      </c>
      <c r="BG112" t="str">
        <f ca="1">IF(AND(ISNUMBER($BG$784),$B$677=1),$BG$784,HLOOKUP(INDIRECT(ADDRESS(2,COLUMN())),OFFSET($BN$2,0,0,ROW()-1,60),ROW()-1,FALSE))</f>
        <v/>
      </c>
      <c r="BH112" t="str">
        <f ca="1">IF(AND(ISNUMBER($BH$784),$B$677=1),$BH$784,HLOOKUP(INDIRECT(ADDRESS(2,COLUMN())),OFFSET($BN$2,0,0,ROW()-1,60),ROW()-1,FALSE))</f>
        <v/>
      </c>
      <c r="BI112" t="str">
        <f ca="1">IF(AND(ISNUMBER($BI$784),$B$677=1),$BI$784,HLOOKUP(INDIRECT(ADDRESS(2,COLUMN())),OFFSET($BN$2,0,0,ROW()-1,60),ROW()-1,FALSE))</f>
        <v/>
      </c>
      <c r="BJ112" t="str">
        <f ca="1">IF(AND(ISNUMBER($BJ$784),$B$677=1),$BJ$784,HLOOKUP(INDIRECT(ADDRESS(2,COLUMN())),OFFSET($BN$2,0,0,ROW()-1,60),ROW()-1,FALSE))</f>
        <v/>
      </c>
      <c r="BK112" t="str">
        <f ca="1">IF(AND(ISNUMBER($BK$784),$B$677=1),$BK$784,HLOOKUP(INDIRECT(ADDRESS(2,COLUMN())),OFFSET($BN$2,0,0,ROW()-1,60),ROW()-1,FALSE))</f>
        <v/>
      </c>
      <c r="BL112" t="str">
        <f ca="1">IF(AND(ISNUMBER($BL$784),$B$677=1),$BL$784,HLOOKUP(INDIRECT(ADDRESS(2,COLUMN())),OFFSET($BN$2,0,0,ROW()-1,60),ROW()-1,FALSE))</f>
        <v/>
      </c>
      <c r="BM112" t="str">
        <f ca="1">IF(AND(ISNUMBER($BM$784),$B$677=1),$BM$784,HLOOKUP(INDIRECT(ADDRESS(2,COLUMN())),OFFSET($BN$2,0,0,ROW()-1,60),ROW()-1,FALSE))</f>
        <v/>
      </c>
      <c r="BN112">
        <f>5.742117308</f>
        <v>5.7421173080000001</v>
      </c>
      <c r="BO112">
        <f>4.829059829</f>
        <v>4.8290598290000002</v>
      </c>
      <c r="BP112">
        <f>5.774297788</f>
        <v>5.7742977880000002</v>
      </c>
      <c r="BQ112">
        <f>6.149009745</f>
        <v>6.1490097449999999</v>
      </c>
      <c r="BR112">
        <f>6.433037183</f>
        <v>6.4330371829999997</v>
      </c>
      <c r="BS112">
        <f>5.733851877</f>
        <v>5.7338518770000002</v>
      </c>
      <c r="BT112">
        <f>6.948275862</f>
        <v>6.948275862</v>
      </c>
      <c r="BU112">
        <f>6.994393272</f>
        <v>6.9943932719999999</v>
      </c>
      <c r="BV112">
        <f>7.682132682</f>
        <v>7.6821326819999998</v>
      </c>
      <c r="BW112">
        <f>5.343103448</f>
        <v>5.3431034479999999</v>
      </c>
      <c r="BX112">
        <f>5.834763948</f>
        <v>5.834763948</v>
      </c>
      <c r="BY112">
        <f>4.224609375</f>
        <v>4.224609375</v>
      </c>
      <c r="BZ112">
        <f>3.502325581</f>
        <v>3.502325581</v>
      </c>
      <c r="CA112">
        <f>3.768604651</f>
        <v>3.768604651</v>
      </c>
      <c r="CB112">
        <f>3.129069767</f>
        <v>3.1290697669999998</v>
      </c>
      <c r="CC112">
        <f>4.289534884</f>
        <v>4.289534884</v>
      </c>
      <c r="CD112">
        <f>3.625581395</f>
        <v>3.6255813950000002</v>
      </c>
      <c r="CE112">
        <f>2.376744186</f>
        <v>2.3767441859999998</v>
      </c>
      <c r="CF112">
        <f>2.361627907</f>
        <v>2.3616279069999999</v>
      </c>
      <c r="CG112">
        <f>2.510465116</f>
        <v>2.5104651160000002</v>
      </c>
      <c r="CH112">
        <f>2.634303317</f>
        <v>2.6343033170000001</v>
      </c>
      <c r="CI112">
        <f>1.815447587</f>
        <v>1.815447587</v>
      </c>
      <c r="CJ112">
        <f>2.337114663</f>
        <v>2.3371146629999999</v>
      </c>
      <c r="CK112">
        <f>1.21664611</f>
        <v>1.2166461099999999</v>
      </c>
      <c r="CL112">
        <f>1.086806407</f>
        <v>1.0868064070000001</v>
      </c>
      <c r="CM112">
        <f>1.052374841</f>
        <v>1.052374841</v>
      </c>
      <c r="CN112">
        <f>1.182983965</f>
        <v>1.182983965</v>
      </c>
      <c r="CO112">
        <f>1.491329217</f>
        <v>1.4913292170000001</v>
      </c>
      <c r="CP112">
        <f>2.322688029</f>
        <v>2.322688029</v>
      </c>
      <c r="CQ112" t="str">
        <f>""</f>
        <v/>
      </c>
      <c r="CR112" t="str">
        <f>""</f>
        <v/>
      </c>
      <c r="CS112" t="str">
        <f>""</f>
        <v/>
      </c>
      <c r="CT112" t="str">
        <f>""</f>
        <v/>
      </c>
      <c r="CU112" t="str">
        <f>""</f>
        <v/>
      </c>
      <c r="CV112" t="str">
        <f>""</f>
        <v/>
      </c>
      <c r="CW112" t="str">
        <f>""</f>
        <v/>
      </c>
      <c r="CX112" t="str">
        <f>""</f>
        <v/>
      </c>
      <c r="CY112" t="str">
        <f>""</f>
        <v/>
      </c>
      <c r="CZ112" t="str">
        <f>""</f>
        <v/>
      </c>
      <c r="DA112" t="str">
        <f>""</f>
        <v/>
      </c>
      <c r="DB112" t="str">
        <f>""</f>
        <v/>
      </c>
      <c r="DC112" t="str">
        <f>""</f>
        <v/>
      </c>
      <c r="DD112" t="str">
        <f>""</f>
        <v/>
      </c>
      <c r="DE112" t="str">
        <f>""</f>
        <v/>
      </c>
      <c r="DF112" t="str">
        <f>""</f>
        <v/>
      </c>
      <c r="DG112" t="str">
        <f>""</f>
        <v/>
      </c>
      <c r="DH112" t="str">
        <f>""</f>
        <v/>
      </c>
      <c r="DI112" t="str">
        <f>""</f>
        <v/>
      </c>
      <c r="DJ112" t="str">
        <f>""</f>
        <v/>
      </c>
      <c r="DK112" t="str">
        <f>""</f>
        <v/>
      </c>
      <c r="DL112" t="str">
        <f>""</f>
        <v/>
      </c>
      <c r="DM112" t="str">
        <f>""</f>
        <v/>
      </c>
      <c r="DN112" t="str">
        <f>""</f>
        <v/>
      </c>
      <c r="DO112" t="str">
        <f>""</f>
        <v/>
      </c>
      <c r="DP112" t="str">
        <f>""</f>
        <v/>
      </c>
      <c r="DQ112" t="str">
        <f>""</f>
        <v/>
      </c>
      <c r="DR112" t="str">
        <f>""</f>
        <v/>
      </c>
      <c r="DS112" t="str">
        <f>""</f>
        <v/>
      </c>
      <c r="DT112" t="str">
        <f>""</f>
        <v/>
      </c>
      <c r="DU112" t="str">
        <f>""</f>
        <v/>
      </c>
    </row>
    <row r="113" spans="1:125" x14ac:dyDescent="0.25">
      <c r="A113" t="str">
        <f>"    Renault SA"</f>
        <v xml:space="preserve">    Renault SA</v>
      </c>
      <c r="B113" t="str">
        <f>"RNO FP Equity"</f>
        <v>RNO FP Equity</v>
      </c>
      <c r="C113" t="str">
        <f t="shared" si="6"/>
        <v>EZ010</v>
      </c>
      <c r="D113" t="str">
        <f t="shared" si="7"/>
        <v>BEST_EST_PE_NXT_YR</v>
      </c>
      <c r="E113" t="str">
        <f t="shared" si="8"/>
        <v>Dynamic</v>
      </c>
      <c r="F113">
        <f ca="1">IF(AND(ISNUMBER($F$785),$B$677=1),$F$785,HLOOKUP(INDIRECT(ADDRESS(2,COLUMN())),OFFSET($BN$2,0,0,ROW()-1,60),ROW()-1,FALSE))</f>
        <v>4.317644563</v>
      </c>
      <c r="G113">
        <f ca="1">IF(AND(ISNUMBER($G$785),$B$677=1),$G$785,HLOOKUP(INDIRECT(ADDRESS(2,COLUMN())),OFFSET($BN$2,0,0,ROW()-1,60),ROW()-1,FALSE))</f>
        <v>3.4825076610000001</v>
      </c>
      <c r="H113">
        <f ca="1">IF(AND(ISNUMBER($H$785),$B$677=1),$H$785,HLOOKUP(INDIRECT(ADDRESS(2,COLUMN())),OFFSET($BN$2,0,0,ROW()-1,60),ROW()-1,FALSE))</f>
        <v>4.5485072349999998</v>
      </c>
      <c r="I113">
        <f ca="1">IF(AND(ISNUMBER($I$785),$B$677=1),$I$785,HLOOKUP(INDIRECT(ADDRESS(2,COLUMN())),OFFSET($BN$2,0,0,ROW()-1,60),ROW()-1,FALSE))</f>
        <v>4.42654835</v>
      </c>
      <c r="J113">
        <f ca="1">IF(AND(ISNUMBER($J$785),$B$677=1),$J$785,HLOOKUP(INDIRECT(ADDRESS(2,COLUMN())),OFFSET($BN$2,0,0,ROW()-1,60),ROW()-1,FALSE))</f>
        <v>5.9628306799999997</v>
      </c>
      <c r="K113">
        <f ca="1">IF(AND(ISNUMBER($K$785),$B$677=1),$K$785,HLOOKUP(INDIRECT(ADDRESS(2,COLUMN())),OFFSET($BN$2,0,0,ROW()-1,60),ROW()-1,FALSE))</f>
        <v>5.3310038119999996</v>
      </c>
      <c r="L113">
        <f ca="1">IF(AND(ISNUMBER($L$785),$B$677=1),$L$785,HLOOKUP(INDIRECT(ADDRESS(2,COLUMN())),OFFSET($BN$2,0,0,ROW()-1,60),ROW()-1,FALSE))</f>
        <v>5.36712948</v>
      </c>
      <c r="M113">
        <f ca="1">IF(AND(ISNUMBER($M$785),$B$677=1),$M$785,HLOOKUP(INDIRECT(ADDRESS(2,COLUMN())),OFFSET($BN$2,0,0,ROW()-1,60),ROW()-1,FALSE))</f>
        <v>5.1909346960000002</v>
      </c>
      <c r="N113">
        <f ca="1">IF(AND(ISNUMBER($N$785),$B$677=1),$N$785,HLOOKUP(INDIRECT(ADDRESS(2,COLUMN())),OFFSET($BN$2,0,0,ROW()-1,60),ROW()-1,FALSE))</f>
        <v>5.1440303219999999</v>
      </c>
      <c r="O113">
        <f ca="1">IF(AND(ISNUMBER($O$785),$B$677=1),$O$785,HLOOKUP(INDIRECT(ADDRESS(2,COLUMN())),OFFSET($BN$2,0,0,ROW()-1,60),ROW()-1,FALSE))</f>
        <v>6.6308356220000002</v>
      </c>
      <c r="P113">
        <f ca="1">IF(AND(ISNUMBER($P$785),$B$677=1),$P$785,HLOOKUP(INDIRECT(ADDRESS(2,COLUMN())),OFFSET($BN$2,0,0,ROW()-1,60),ROW()-1,FALSE))</f>
        <v>5.8116805720000002</v>
      </c>
      <c r="Q113">
        <f ca="1">IF(AND(ISNUMBER($Q$785),$B$677=1),$Q$785,HLOOKUP(INDIRECT(ADDRESS(2,COLUMN())),OFFSET($BN$2,0,0,ROW()-1,60),ROW()-1,FALSE))</f>
        <v>5.2364192809999999</v>
      </c>
      <c r="R113" t="str">
        <f ca="1">IF(AND(ISNUMBER($R$785),$B$677=1),$R$785,HLOOKUP(INDIRECT(ADDRESS(2,COLUMN())),OFFSET($BN$2,0,0,ROW()-1,60),ROW()-1,FALSE))</f>
        <v/>
      </c>
      <c r="S113" t="str">
        <f ca="1">IF(AND(ISNUMBER($S$785),$B$677=1),$S$785,HLOOKUP(INDIRECT(ADDRESS(2,COLUMN())),OFFSET($BN$2,0,0,ROW()-1,60),ROW()-1,FALSE))</f>
        <v/>
      </c>
      <c r="T113" t="str">
        <f ca="1">IF(AND(ISNUMBER($T$785),$B$677=1),$T$785,HLOOKUP(INDIRECT(ADDRESS(2,COLUMN())),OFFSET($BN$2,0,0,ROW()-1,60),ROW()-1,FALSE))</f>
        <v/>
      </c>
      <c r="U113" t="str">
        <f ca="1">IF(AND(ISNUMBER($U$785),$B$677=1),$U$785,HLOOKUP(INDIRECT(ADDRESS(2,COLUMN())),OFFSET($BN$2,0,0,ROW()-1,60),ROW()-1,FALSE))</f>
        <v/>
      </c>
      <c r="V113" t="str">
        <f ca="1">IF(AND(ISNUMBER($V$785),$B$677=1),$V$785,HLOOKUP(INDIRECT(ADDRESS(2,COLUMN())),OFFSET($BN$2,0,0,ROW()-1,60),ROW()-1,FALSE))</f>
        <v/>
      </c>
      <c r="W113" t="str">
        <f ca="1">IF(AND(ISNUMBER($W$785),$B$677=1),$W$785,HLOOKUP(INDIRECT(ADDRESS(2,COLUMN())),OFFSET($BN$2,0,0,ROW()-1,60),ROW()-1,FALSE))</f>
        <v/>
      </c>
      <c r="X113" t="str">
        <f ca="1">IF(AND(ISNUMBER($X$785),$B$677=1),$X$785,HLOOKUP(INDIRECT(ADDRESS(2,COLUMN())),OFFSET($BN$2,0,0,ROW()-1,60),ROW()-1,FALSE))</f>
        <v/>
      </c>
      <c r="Y113" t="str">
        <f ca="1">IF(AND(ISNUMBER($Y$785),$B$677=1),$Y$785,HLOOKUP(INDIRECT(ADDRESS(2,COLUMN())),OFFSET($BN$2,0,0,ROW()-1,60),ROW()-1,FALSE))</f>
        <v/>
      </c>
      <c r="Z113" t="str">
        <f ca="1">IF(AND(ISNUMBER($Z$785),$B$677=1),$Z$785,HLOOKUP(INDIRECT(ADDRESS(2,COLUMN())),OFFSET($BN$2,0,0,ROW()-1,60),ROW()-1,FALSE))</f>
        <v/>
      </c>
      <c r="AA113" t="str">
        <f ca="1">IF(AND(ISNUMBER($AA$785),$B$677=1),$AA$785,HLOOKUP(INDIRECT(ADDRESS(2,COLUMN())),OFFSET($BN$2,0,0,ROW()-1,60),ROW()-1,FALSE))</f>
        <v/>
      </c>
      <c r="AB113" t="str">
        <f ca="1">IF(AND(ISNUMBER($AB$785),$B$677=1),$AB$785,HLOOKUP(INDIRECT(ADDRESS(2,COLUMN())),OFFSET($BN$2,0,0,ROW()-1,60),ROW()-1,FALSE))</f>
        <v/>
      </c>
      <c r="AC113" t="str">
        <f ca="1">IF(AND(ISNUMBER($AC$785),$B$677=1),$AC$785,HLOOKUP(INDIRECT(ADDRESS(2,COLUMN())),OFFSET($BN$2,0,0,ROW()-1,60),ROW()-1,FALSE))</f>
        <v/>
      </c>
      <c r="AD113" t="str">
        <f ca="1">IF(AND(ISNUMBER($AD$785),$B$677=1),$AD$785,HLOOKUP(INDIRECT(ADDRESS(2,COLUMN())),OFFSET($BN$2,0,0,ROW()-1,60),ROW()-1,FALSE))</f>
        <v/>
      </c>
      <c r="AE113" t="str">
        <f ca="1">IF(AND(ISNUMBER($AE$785),$B$677=1),$AE$785,HLOOKUP(INDIRECT(ADDRESS(2,COLUMN())),OFFSET($BN$2,0,0,ROW()-1,60),ROW()-1,FALSE))</f>
        <v/>
      </c>
      <c r="AF113" t="str">
        <f ca="1">IF(AND(ISNUMBER($AF$785),$B$677=1),$AF$785,HLOOKUP(INDIRECT(ADDRESS(2,COLUMN())),OFFSET($BN$2,0,0,ROW()-1,60),ROW()-1,FALSE))</f>
        <v/>
      </c>
      <c r="AG113" t="str">
        <f ca="1">IF(AND(ISNUMBER($AG$785),$B$677=1),$AG$785,HLOOKUP(INDIRECT(ADDRESS(2,COLUMN())),OFFSET($BN$2,0,0,ROW()-1,60),ROW()-1,FALSE))</f>
        <v/>
      </c>
      <c r="AH113" t="str">
        <f ca="1">IF(AND(ISNUMBER($AH$785),$B$677=1),$AH$785,HLOOKUP(INDIRECT(ADDRESS(2,COLUMN())),OFFSET($BN$2,0,0,ROW()-1,60),ROW()-1,FALSE))</f>
        <v/>
      </c>
      <c r="AI113" t="str">
        <f ca="1">IF(AND(ISNUMBER($AI$785),$B$677=1),$AI$785,HLOOKUP(INDIRECT(ADDRESS(2,COLUMN())),OFFSET($BN$2,0,0,ROW()-1,60),ROW()-1,FALSE))</f>
        <v/>
      </c>
      <c r="AJ113" t="str">
        <f ca="1">IF(AND(ISNUMBER($AJ$785),$B$677=1),$AJ$785,HLOOKUP(INDIRECT(ADDRESS(2,COLUMN())),OFFSET($BN$2,0,0,ROW()-1,60),ROW()-1,FALSE))</f>
        <v/>
      </c>
      <c r="AK113" t="str">
        <f ca="1">IF(AND(ISNUMBER($AK$785),$B$677=1),$AK$785,HLOOKUP(INDIRECT(ADDRESS(2,COLUMN())),OFFSET($BN$2,0,0,ROW()-1,60),ROW()-1,FALSE))</f>
        <v/>
      </c>
      <c r="AL113" t="str">
        <f ca="1">IF(AND(ISNUMBER($AL$785),$B$677=1),$AL$785,HLOOKUP(INDIRECT(ADDRESS(2,COLUMN())),OFFSET($BN$2,0,0,ROW()-1,60),ROW()-1,FALSE))</f>
        <v/>
      </c>
      <c r="AM113" t="str">
        <f ca="1">IF(AND(ISNUMBER($AM$785),$B$677=1),$AM$785,HLOOKUP(INDIRECT(ADDRESS(2,COLUMN())),OFFSET($BN$2,0,0,ROW()-1,60),ROW()-1,FALSE))</f>
        <v/>
      </c>
      <c r="AN113" t="str">
        <f ca="1">IF(AND(ISNUMBER($AN$785),$B$677=1),$AN$785,HLOOKUP(INDIRECT(ADDRESS(2,COLUMN())),OFFSET($BN$2,0,0,ROW()-1,60),ROW()-1,FALSE))</f>
        <v/>
      </c>
      <c r="AO113" t="str">
        <f ca="1">IF(AND(ISNUMBER($AO$785),$B$677=1),$AO$785,HLOOKUP(INDIRECT(ADDRESS(2,COLUMN())),OFFSET($BN$2,0,0,ROW()-1,60),ROW()-1,FALSE))</f>
        <v/>
      </c>
      <c r="AP113" t="str">
        <f ca="1">IF(AND(ISNUMBER($AP$785),$B$677=1),$AP$785,HLOOKUP(INDIRECT(ADDRESS(2,COLUMN())),OFFSET($BN$2,0,0,ROW()-1,60),ROW()-1,FALSE))</f>
        <v/>
      </c>
      <c r="AQ113" t="str">
        <f ca="1">IF(AND(ISNUMBER($AQ$785),$B$677=1),$AQ$785,HLOOKUP(INDIRECT(ADDRESS(2,COLUMN())),OFFSET($BN$2,0,0,ROW()-1,60),ROW()-1,FALSE))</f>
        <v/>
      </c>
      <c r="AR113" t="str">
        <f ca="1">IF(AND(ISNUMBER($AR$785),$B$677=1),$AR$785,HLOOKUP(INDIRECT(ADDRESS(2,COLUMN())),OFFSET($BN$2,0,0,ROW()-1,60),ROW()-1,FALSE))</f>
        <v/>
      </c>
      <c r="AS113" t="str">
        <f ca="1">IF(AND(ISNUMBER($AS$785),$B$677=1),$AS$785,HLOOKUP(INDIRECT(ADDRESS(2,COLUMN())),OFFSET($BN$2,0,0,ROW()-1,60),ROW()-1,FALSE))</f>
        <v/>
      </c>
      <c r="AT113" t="str">
        <f ca="1">IF(AND(ISNUMBER($AT$785),$B$677=1),$AT$785,HLOOKUP(INDIRECT(ADDRESS(2,COLUMN())),OFFSET($BN$2,0,0,ROW()-1,60),ROW()-1,FALSE))</f>
        <v/>
      </c>
      <c r="AU113" t="str">
        <f ca="1">IF(AND(ISNUMBER($AU$785),$B$677=1),$AU$785,HLOOKUP(INDIRECT(ADDRESS(2,COLUMN())),OFFSET($BN$2,0,0,ROW()-1,60),ROW()-1,FALSE))</f>
        <v/>
      </c>
      <c r="AV113" t="str">
        <f ca="1">IF(AND(ISNUMBER($AV$785),$B$677=1),$AV$785,HLOOKUP(INDIRECT(ADDRESS(2,COLUMN())),OFFSET($BN$2,0,0,ROW()-1,60),ROW()-1,FALSE))</f>
        <v/>
      </c>
      <c r="AW113" t="str">
        <f ca="1">IF(AND(ISNUMBER($AW$785),$B$677=1),$AW$785,HLOOKUP(INDIRECT(ADDRESS(2,COLUMN())),OFFSET($BN$2,0,0,ROW()-1,60),ROW()-1,FALSE))</f>
        <v/>
      </c>
      <c r="AX113" t="str">
        <f ca="1">IF(AND(ISNUMBER($AX$785),$B$677=1),$AX$785,HLOOKUP(INDIRECT(ADDRESS(2,COLUMN())),OFFSET($BN$2,0,0,ROW()-1,60),ROW()-1,FALSE))</f>
        <v/>
      </c>
      <c r="AY113" t="str">
        <f ca="1">IF(AND(ISNUMBER($AY$785),$B$677=1),$AY$785,HLOOKUP(INDIRECT(ADDRESS(2,COLUMN())),OFFSET($BN$2,0,0,ROW()-1,60),ROW()-1,FALSE))</f>
        <v/>
      </c>
      <c r="AZ113" t="str">
        <f ca="1">IF(AND(ISNUMBER($AZ$785),$B$677=1),$AZ$785,HLOOKUP(INDIRECT(ADDRESS(2,COLUMN())),OFFSET($BN$2,0,0,ROW()-1,60),ROW()-1,FALSE))</f>
        <v/>
      </c>
      <c r="BA113" t="str">
        <f ca="1">IF(AND(ISNUMBER($BA$785),$B$677=1),$BA$785,HLOOKUP(INDIRECT(ADDRESS(2,COLUMN())),OFFSET($BN$2,0,0,ROW()-1,60),ROW()-1,FALSE))</f>
        <v/>
      </c>
      <c r="BB113" t="str">
        <f ca="1">IF(AND(ISNUMBER($BB$785),$B$677=1),$BB$785,HLOOKUP(INDIRECT(ADDRESS(2,COLUMN())),OFFSET($BN$2,0,0,ROW()-1,60),ROW()-1,FALSE))</f>
        <v/>
      </c>
      <c r="BC113" t="str">
        <f ca="1">IF(AND(ISNUMBER($BC$785),$B$677=1),$BC$785,HLOOKUP(INDIRECT(ADDRESS(2,COLUMN())),OFFSET($BN$2,0,0,ROW()-1,60),ROW()-1,FALSE))</f>
        <v/>
      </c>
      <c r="BD113" t="str">
        <f ca="1">IF(AND(ISNUMBER($BD$785),$B$677=1),$BD$785,HLOOKUP(INDIRECT(ADDRESS(2,COLUMN())),OFFSET($BN$2,0,0,ROW()-1,60),ROW()-1,FALSE))</f>
        <v/>
      </c>
      <c r="BE113" t="str">
        <f ca="1">IF(AND(ISNUMBER($BE$785),$B$677=1),$BE$785,HLOOKUP(INDIRECT(ADDRESS(2,COLUMN())),OFFSET($BN$2,0,0,ROW()-1,60),ROW()-1,FALSE))</f>
        <v/>
      </c>
      <c r="BF113" t="str">
        <f ca="1">IF(AND(ISNUMBER($BF$785),$B$677=1),$BF$785,HLOOKUP(INDIRECT(ADDRESS(2,COLUMN())),OFFSET($BN$2,0,0,ROW()-1,60),ROW()-1,FALSE))</f>
        <v/>
      </c>
      <c r="BG113" t="str">
        <f ca="1">IF(AND(ISNUMBER($BG$785),$B$677=1),$BG$785,HLOOKUP(INDIRECT(ADDRESS(2,COLUMN())),OFFSET($BN$2,0,0,ROW()-1,60),ROW()-1,FALSE))</f>
        <v/>
      </c>
      <c r="BH113" t="str">
        <f ca="1">IF(AND(ISNUMBER($BH$785),$B$677=1),$BH$785,HLOOKUP(INDIRECT(ADDRESS(2,COLUMN())),OFFSET($BN$2,0,0,ROW()-1,60),ROW()-1,FALSE))</f>
        <v/>
      </c>
      <c r="BI113" t="str">
        <f ca="1">IF(AND(ISNUMBER($BI$785),$B$677=1),$BI$785,HLOOKUP(INDIRECT(ADDRESS(2,COLUMN())),OFFSET($BN$2,0,0,ROW()-1,60),ROW()-1,FALSE))</f>
        <v/>
      </c>
      <c r="BJ113" t="str">
        <f ca="1">IF(AND(ISNUMBER($BJ$785),$B$677=1),$BJ$785,HLOOKUP(INDIRECT(ADDRESS(2,COLUMN())),OFFSET($BN$2,0,0,ROW()-1,60),ROW()-1,FALSE))</f>
        <v/>
      </c>
      <c r="BK113" t="str">
        <f ca="1">IF(AND(ISNUMBER($BK$785),$B$677=1),$BK$785,HLOOKUP(INDIRECT(ADDRESS(2,COLUMN())),OFFSET($BN$2,0,0,ROW()-1,60),ROW()-1,FALSE))</f>
        <v/>
      </c>
      <c r="BL113" t="str">
        <f ca="1">IF(AND(ISNUMBER($BL$785),$B$677=1),$BL$785,HLOOKUP(INDIRECT(ADDRESS(2,COLUMN())),OFFSET($BN$2,0,0,ROW()-1,60),ROW()-1,FALSE))</f>
        <v/>
      </c>
      <c r="BM113" t="str">
        <f ca="1">IF(AND(ISNUMBER($BM$785),$B$677=1),$BM$785,HLOOKUP(INDIRECT(ADDRESS(2,COLUMN())),OFFSET($BN$2,0,0,ROW()-1,60),ROW()-1,FALSE))</f>
        <v/>
      </c>
      <c r="BN113">
        <f>4.317644563</f>
        <v>4.317644563</v>
      </c>
      <c r="BO113">
        <f>3.482507661</f>
        <v>3.4825076610000001</v>
      </c>
      <c r="BP113">
        <f>4.548507235</f>
        <v>4.5485072349999998</v>
      </c>
      <c r="BQ113">
        <f>4.42654835</f>
        <v>4.42654835</v>
      </c>
      <c r="BR113">
        <f>5.96283068</f>
        <v>5.9628306799999997</v>
      </c>
      <c r="BS113">
        <f>5.331003812</f>
        <v>5.3310038119999996</v>
      </c>
      <c r="BT113">
        <f>5.36712948</f>
        <v>5.36712948</v>
      </c>
      <c r="BU113">
        <f>5.190934696</f>
        <v>5.1909346960000002</v>
      </c>
      <c r="BV113">
        <f>5.144030322</f>
        <v>5.1440303219999999</v>
      </c>
      <c r="BW113">
        <f>6.630835622</f>
        <v>6.6308356220000002</v>
      </c>
      <c r="BX113">
        <f>5.811680572</f>
        <v>5.8116805720000002</v>
      </c>
      <c r="BY113">
        <f>5.236419281</f>
        <v>5.2364192809999999</v>
      </c>
      <c r="BZ113" t="str">
        <f>""</f>
        <v/>
      </c>
      <c r="CA113" t="str">
        <f>""</f>
        <v/>
      </c>
      <c r="CB113" t="str">
        <f>""</f>
        <v/>
      </c>
      <c r="CC113" t="str">
        <f>""</f>
        <v/>
      </c>
      <c r="CD113" t="str">
        <f>""</f>
        <v/>
      </c>
      <c r="CE113" t="str">
        <f>""</f>
        <v/>
      </c>
      <c r="CF113" t="str">
        <f>""</f>
        <v/>
      </c>
      <c r="CG113" t="str">
        <f>""</f>
        <v/>
      </c>
      <c r="CH113" t="str">
        <f>""</f>
        <v/>
      </c>
      <c r="CI113" t="str">
        <f>""</f>
        <v/>
      </c>
      <c r="CJ113" t="str">
        <f>""</f>
        <v/>
      </c>
      <c r="CK113" t="str">
        <f>""</f>
        <v/>
      </c>
      <c r="CL113" t="str">
        <f>""</f>
        <v/>
      </c>
      <c r="CM113" t="str">
        <f>""</f>
        <v/>
      </c>
      <c r="CN113" t="str">
        <f>""</f>
        <v/>
      </c>
      <c r="CO113" t="str">
        <f>""</f>
        <v/>
      </c>
      <c r="CP113" t="str">
        <f>""</f>
        <v/>
      </c>
      <c r="CQ113" t="str">
        <f>""</f>
        <v/>
      </c>
      <c r="CR113" t="str">
        <f>""</f>
        <v/>
      </c>
      <c r="CS113" t="str">
        <f>""</f>
        <v/>
      </c>
      <c r="CT113" t="str">
        <f>""</f>
        <v/>
      </c>
      <c r="CU113" t="str">
        <f>""</f>
        <v/>
      </c>
      <c r="CV113" t="str">
        <f>""</f>
        <v/>
      </c>
      <c r="CW113" t="str">
        <f>""</f>
        <v/>
      </c>
      <c r="CX113" t="str">
        <f>""</f>
        <v/>
      </c>
      <c r="CY113" t="str">
        <f>""</f>
        <v/>
      </c>
      <c r="CZ113" t="str">
        <f>""</f>
        <v/>
      </c>
      <c r="DA113" t="str">
        <f>""</f>
        <v/>
      </c>
      <c r="DB113" t="str">
        <f>""</f>
        <v/>
      </c>
      <c r="DC113" t="str">
        <f>""</f>
        <v/>
      </c>
      <c r="DD113" t="str">
        <f>""</f>
        <v/>
      </c>
      <c r="DE113" t="str">
        <f>""</f>
        <v/>
      </c>
      <c r="DF113" t="str">
        <f>""</f>
        <v/>
      </c>
      <c r="DG113" t="str">
        <f>""</f>
        <v/>
      </c>
      <c r="DH113" t="str">
        <f>""</f>
        <v/>
      </c>
      <c r="DI113" t="str">
        <f>""</f>
        <v/>
      </c>
      <c r="DJ113" t="str">
        <f>""</f>
        <v/>
      </c>
      <c r="DK113" t="str">
        <f>""</f>
        <v/>
      </c>
      <c r="DL113" t="str">
        <f>""</f>
        <v/>
      </c>
      <c r="DM113" t="str">
        <f>""</f>
        <v/>
      </c>
      <c r="DN113" t="str">
        <f>""</f>
        <v/>
      </c>
      <c r="DO113" t="str">
        <f>""</f>
        <v/>
      </c>
      <c r="DP113" t="str">
        <f>""</f>
        <v/>
      </c>
      <c r="DQ113" t="str">
        <f>""</f>
        <v/>
      </c>
      <c r="DR113" t="str">
        <f>""</f>
        <v/>
      </c>
      <c r="DS113" t="str">
        <f>""</f>
        <v/>
      </c>
      <c r="DT113" t="str">
        <f>""</f>
        <v/>
      </c>
      <c r="DU113" t="str">
        <f>""</f>
        <v/>
      </c>
    </row>
    <row r="114" spans="1:125" x14ac:dyDescent="0.25">
      <c r="A114" t="str">
        <f>"    SAIC Motor Corp Ltd"</f>
        <v xml:space="preserve">    SAIC Motor Corp Ltd</v>
      </c>
      <c r="B114" t="str">
        <f>"600104 CH Equity"</f>
        <v>600104 CH Equity</v>
      </c>
      <c r="C114" t="str">
        <f t="shared" si="6"/>
        <v>EZ010</v>
      </c>
      <c r="D114" t="str">
        <f t="shared" si="7"/>
        <v>BEST_EST_PE_NXT_YR</v>
      </c>
      <c r="E114" t="str">
        <f t="shared" si="8"/>
        <v>Dynamic</v>
      </c>
      <c r="F114">
        <f ca="1">IF(AND(ISNUMBER($F$786),$B$677=1),$F$786,HLOOKUP(INDIRECT(ADDRESS(2,COLUMN())),OFFSET($BN$2,0,0,ROW()-1,60),ROW()-1,FALSE))</f>
        <v>8.5198555959999993</v>
      </c>
      <c r="G114">
        <f ca="1">IF(AND(ISNUMBER($G$786),$B$677=1),$G$786,HLOOKUP(INDIRECT(ADDRESS(2,COLUMN())),OFFSET($BN$2,0,0,ROW()-1,60),ROW()-1,FALSE))</f>
        <v>7.825704225</v>
      </c>
      <c r="H114">
        <f ca="1">IF(AND(ISNUMBER($H$786),$B$677=1),$H$786,HLOOKUP(INDIRECT(ADDRESS(2,COLUMN())),OFFSET($BN$2,0,0,ROW()-1,60),ROW()-1,FALSE))</f>
        <v>9.4277620399999993</v>
      </c>
      <c r="I114">
        <f ca="1">IF(AND(ISNUMBER($I$786),$B$677=1),$I$786,HLOOKUP(INDIRECT(ADDRESS(2,COLUMN())),OFFSET($BN$2,0,0,ROW()-1,60),ROW()-1,FALSE))</f>
        <v>9.9629840549999997</v>
      </c>
      <c r="J114">
        <f ca="1">IF(AND(ISNUMBER($J$786),$B$677=1),$J$786,HLOOKUP(INDIRECT(ADDRESS(2,COLUMN())),OFFSET($BN$2,0,0,ROW()-1,60),ROW()-1,FALSE))</f>
        <v>9.4603616129999999</v>
      </c>
      <c r="K114">
        <f ca="1">IF(AND(ISNUMBER($K$786),$B$677=1),$K$786,HLOOKUP(INDIRECT(ADDRESS(2,COLUMN())),OFFSET($BN$2,0,0,ROW()-1,60),ROW()-1,FALSE))</f>
        <v>8.7017925040000002</v>
      </c>
      <c r="L114">
        <f ca="1">IF(AND(ISNUMBER($L$786),$B$677=1),$L$786,HLOOKUP(INDIRECT(ADDRESS(2,COLUMN())),OFFSET($BN$2,0,0,ROW()-1,60),ROW()-1,FALSE))</f>
        <v>8.1616653150000005</v>
      </c>
      <c r="M114">
        <f ca="1">IF(AND(ISNUMBER($M$786),$B$677=1),$M$786,HLOOKUP(INDIRECT(ADDRESS(2,COLUMN())),OFFSET($BN$2,0,0,ROW()-1,60),ROW()-1,FALSE))</f>
        <v>8.3602584810000007</v>
      </c>
      <c r="N114">
        <f ca="1">IF(AND(ISNUMBER($N$786),$B$677=1),$N$786,HLOOKUP(INDIRECT(ADDRESS(2,COLUMN())),OFFSET($BN$2,0,0,ROW()-1,60),ROW()-1,FALSE))</f>
        <v>8.0828025480000001</v>
      </c>
      <c r="O114">
        <f ca="1">IF(AND(ISNUMBER($O$786),$B$677=1),$O$786,HLOOKUP(INDIRECT(ADDRESS(2,COLUMN())),OFFSET($BN$2,0,0,ROW()-1,60),ROW()-1,FALSE))</f>
        <v>7.4681528659999996</v>
      </c>
      <c r="P114" t="str">
        <f ca="1">IF(AND(ISNUMBER($P$786),$B$677=1),$P$786,HLOOKUP(INDIRECT(ADDRESS(2,COLUMN())),OFFSET($BN$2,0,0,ROW()-1,60),ROW()-1,FALSE))</f>
        <v/>
      </c>
      <c r="Q114" t="str">
        <f ca="1">IF(AND(ISNUMBER($Q$786),$B$677=1),$Q$786,HLOOKUP(INDIRECT(ADDRESS(2,COLUMN())),OFFSET($BN$2,0,0,ROW()-1,60),ROW()-1,FALSE))</f>
        <v/>
      </c>
      <c r="R114" t="str">
        <f ca="1">IF(AND(ISNUMBER($R$786),$B$677=1),$R$786,HLOOKUP(INDIRECT(ADDRESS(2,COLUMN())),OFFSET($BN$2,0,0,ROW()-1,60),ROW()-1,FALSE))</f>
        <v/>
      </c>
      <c r="S114" t="str">
        <f ca="1">IF(AND(ISNUMBER($S$786),$B$677=1),$S$786,HLOOKUP(INDIRECT(ADDRESS(2,COLUMN())),OFFSET($BN$2,0,0,ROW()-1,60),ROW()-1,FALSE))</f>
        <v/>
      </c>
      <c r="T114" t="str">
        <f ca="1">IF(AND(ISNUMBER($T$786),$B$677=1),$T$786,HLOOKUP(INDIRECT(ADDRESS(2,COLUMN())),OFFSET($BN$2,0,0,ROW()-1,60),ROW()-1,FALSE))</f>
        <v/>
      </c>
      <c r="U114" t="str">
        <f ca="1">IF(AND(ISNUMBER($U$786),$B$677=1),$U$786,HLOOKUP(INDIRECT(ADDRESS(2,COLUMN())),OFFSET($BN$2,0,0,ROW()-1,60),ROW()-1,FALSE))</f>
        <v/>
      </c>
      <c r="V114" t="str">
        <f ca="1">IF(AND(ISNUMBER($V$786),$B$677=1),$V$786,HLOOKUP(INDIRECT(ADDRESS(2,COLUMN())),OFFSET($BN$2,0,0,ROW()-1,60),ROW()-1,FALSE))</f>
        <v/>
      </c>
      <c r="W114" t="str">
        <f ca="1">IF(AND(ISNUMBER($W$786),$B$677=1),$W$786,HLOOKUP(INDIRECT(ADDRESS(2,COLUMN())),OFFSET($BN$2,0,0,ROW()-1,60),ROW()-1,FALSE))</f>
        <v/>
      </c>
      <c r="X114" t="str">
        <f ca="1">IF(AND(ISNUMBER($X$786),$B$677=1),$X$786,HLOOKUP(INDIRECT(ADDRESS(2,COLUMN())),OFFSET($BN$2,0,0,ROW()-1,60),ROW()-1,FALSE))</f>
        <v/>
      </c>
      <c r="Y114" t="str">
        <f ca="1">IF(AND(ISNUMBER($Y$786),$B$677=1),$Y$786,HLOOKUP(INDIRECT(ADDRESS(2,COLUMN())),OFFSET($BN$2,0,0,ROW()-1,60),ROW()-1,FALSE))</f>
        <v/>
      </c>
      <c r="Z114" t="str">
        <f ca="1">IF(AND(ISNUMBER($Z$786),$B$677=1),$Z$786,HLOOKUP(INDIRECT(ADDRESS(2,COLUMN())),OFFSET($BN$2,0,0,ROW()-1,60),ROW()-1,FALSE))</f>
        <v/>
      </c>
      <c r="AA114" t="str">
        <f ca="1">IF(AND(ISNUMBER($AA$786),$B$677=1),$AA$786,HLOOKUP(INDIRECT(ADDRESS(2,COLUMN())),OFFSET($BN$2,0,0,ROW()-1,60),ROW()-1,FALSE))</f>
        <v/>
      </c>
      <c r="AB114" t="str">
        <f ca="1">IF(AND(ISNUMBER($AB$786),$B$677=1),$AB$786,HLOOKUP(INDIRECT(ADDRESS(2,COLUMN())),OFFSET($BN$2,0,0,ROW()-1,60),ROW()-1,FALSE))</f>
        <v/>
      </c>
      <c r="AC114" t="str">
        <f ca="1">IF(AND(ISNUMBER($AC$786),$B$677=1),$AC$786,HLOOKUP(INDIRECT(ADDRESS(2,COLUMN())),OFFSET($BN$2,0,0,ROW()-1,60),ROW()-1,FALSE))</f>
        <v/>
      </c>
      <c r="AD114" t="str">
        <f ca="1">IF(AND(ISNUMBER($AD$786),$B$677=1),$AD$786,HLOOKUP(INDIRECT(ADDRESS(2,COLUMN())),OFFSET($BN$2,0,0,ROW()-1,60),ROW()-1,FALSE))</f>
        <v/>
      </c>
      <c r="AE114" t="str">
        <f ca="1">IF(AND(ISNUMBER($AE$786),$B$677=1),$AE$786,HLOOKUP(INDIRECT(ADDRESS(2,COLUMN())),OFFSET($BN$2,0,0,ROW()-1,60),ROW()-1,FALSE))</f>
        <v/>
      </c>
      <c r="AF114" t="str">
        <f ca="1">IF(AND(ISNUMBER($AF$786),$B$677=1),$AF$786,HLOOKUP(INDIRECT(ADDRESS(2,COLUMN())),OFFSET($BN$2,0,0,ROW()-1,60),ROW()-1,FALSE))</f>
        <v/>
      </c>
      <c r="AG114" t="str">
        <f ca="1">IF(AND(ISNUMBER($AG$786),$B$677=1),$AG$786,HLOOKUP(INDIRECT(ADDRESS(2,COLUMN())),OFFSET($BN$2,0,0,ROW()-1,60),ROW()-1,FALSE))</f>
        <v/>
      </c>
      <c r="AH114" t="str">
        <f ca="1">IF(AND(ISNUMBER($AH$786),$B$677=1),$AH$786,HLOOKUP(INDIRECT(ADDRESS(2,COLUMN())),OFFSET($BN$2,0,0,ROW()-1,60),ROW()-1,FALSE))</f>
        <v/>
      </c>
      <c r="AI114" t="str">
        <f ca="1">IF(AND(ISNUMBER($AI$786),$B$677=1),$AI$786,HLOOKUP(INDIRECT(ADDRESS(2,COLUMN())),OFFSET($BN$2,0,0,ROW()-1,60),ROW()-1,FALSE))</f>
        <v/>
      </c>
      <c r="AJ114" t="str">
        <f ca="1">IF(AND(ISNUMBER($AJ$786),$B$677=1),$AJ$786,HLOOKUP(INDIRECT(ADDRESS(2,COLUMN())),OFFSET($BN$2,0,0,ROW()-1,60),ROW()-1,FALSE))</f>
        <v/>
      </c>
      <c r="AK114" t="str">
        <f ca="1">IF(AND(ISNUMBER($AK$786),$B$677=1),$AK$786,HLOOKUP(INDIRECT(ADDRESS(2,COLUMN())),OFFSET($BN$2,0,0,ROW()-1,60),ROW()-1,FALSE))</f>
        <v/>
      </c>
      <c r="AL114" t="str">
        <f ca="1">IF(AND(ISNUMBER($AL$786),$B$677=1),$AL$786,HLOOKUP(INDIRECT(ADDRESS(2,COLUMN())),OFFSET($BN$2,0,0,ROW()-1,60),ROW()-1,FALSE))</f>
        <v/>
      </c>
      <c r="AM114" t="str">
        <f ca="1">IF(AND(ISNUMBER($AM$786),$B$677=1),$AM$786,HLOOKUP(INDIRECT(ADDRESS(2,COLUMN())),OFFSET($BN$2,0,0,ROW()-1,60),ROW()-1,FALSE))</f>
        <v/>
      </c>
      <c r="AN114" t="str">
        <f ca="1">IF(AND(ISNUMBER($AN$786),$B$677=1),$AN$786,HLOOKUP(INDIRECT(ADDRESS(2,COLUMN())),OFFSET($BN$2,0,0,ROW()-1,60),ROW()-1,FALSE))</f>
        <v/>
      </c>
      <c r="AO114" t="str">
        <f ca="1">IF(AND(ISNUMBER($AO$786),$B$677=1),$AO$786,HLOOKUP(INDIRECT(ADDRESS(2,COLUMN())),OFFSET($BN$2,0,0,ROW()-1,60),ROW()-1,FALSE))</f>
        <v/>
      </c>
      <c r="AP114" t="str">
        <f ca="1">IF(AND(ISNUMBER($AP$786),$B$677=1),$AP$786,HLOOKUP(INDIRECT(ADDRESS(2,COLUMN())),OFFSET($BN$2,0,0,ROW()-1,60),ROW()-1,FALSE))</f>
        <v/>
      </c>
      <c r="AQ114" t="str">
        <f ca="1">IF(AND(ISNUMBER($AQ$786),$B$677=1),$AQ$786,HLOOKUP(INDIRECT(ADDRESS(2,COLUMN())),OFFSET($BN$2,0,0,ROW()-1,60),ROW()-1,FALSE))</f>
        <v/>
      </c>
      <c r="AR114" t="str">
        <f ca="1">IF(AND(ISNUMBER($AR$786),$B$677=1),$AR$786,HLOOKUP(INDIRECT(ADDRESS(2,COLUMN())),OFFSET($BN$2,0,0,ROW()-1,60),ROW()-1,FALSE))</f>
        <v/>
      </c>
      <c r="AS114" t="str">
        <f ca="1">IF(AND(ISNUMBER($AS$786),$B$677=1),$AS$786,HLOOKUP(INDIRECT(ADDRESS(2,COLUMN())),OFFSET($BN$2,0,0,ROW()-1,60),ROW()-1,FALSE))</f>
        <v/>
      </c>
      <c r="AT114" t="str">
        <f ca="1">IF(AND(ISNUMBER($AT$786),$B$677=1),$AT$786,HLOOKUP(INDIRECT(ADDRESS(2,COLUMN())),OFFSET($BN$2,0,0,ROW()-1,60),ROW()-1,FALSE))</f>
        <v/>
      </c>
      <c r="AU114" t="str">
        <f ca="1">IF(AND(ISNUMBER($AU$786),$B$677=1),$AU$786,HLOOKUP(INDIRECT(ADDRESS(2,COLUMN())),OFFSET($BN$2,0,0,ROW()-1,60),ROW()-1,FALSE))</f>
        <v/>
      </c>
      <c r="AV114" t="str">
        <f ca="1">IF(AND(ISNUMBER($AV$786),$B$677=1),$AV$786,HLOOKUP(INDIRECT(ADDRESS(2,COLUMN())),OFFSET($BN$2,0,0,ROW()-1,60),ROW()-1,FALSE))</f>
        <v/>
      </c>
      <c r="AW114" t="str">
        <f ca="1">IF(AND(ISNUMBER($AW$786),$B$677=1),$AW$786,HLOOKUP(INDIRECT(ADDRESS(2,COLUMN())),OFFSET($BN$2,0,0,ROW()-1,60),ROW()-1,FALSE))</f>
        <v/>
      </c>
      <c r="AX114" t="str">
        <f ca="1">IF(AND(ISNUMBER($AX$786),$B$677=1),$AX$786,HLOOKUP(INDIRECT(ADDRESS(2,COLUMN())),OFFSET($BN$2,0,0,ROW()-1,60),ROW()-1,FALSE))</f>
        <v/>
      </c>
      <c r="AY114" t="str">
        <f ca="1">IF(AND(ISNUMBER($AY$786),$B$677=1),$AY$786,HLOOKUP(INDIRECT(ADDRESS(2,COLUMN())),OFFSET($BN$2,0,0,ROW()-1,60),ROW()-1,FALSE))</f>
        <v/>
      </c>
      <c r="AZ114" t="str">
        <f ca="1">IF(AND(ISNUMBER($AZ$786),$B$677=1),$AZ$786,HLOOKUP(INDIRECT(ADDRESS(2,COLUMN())),OFFSET($BN$2,0,0,ROW()-1,60),ROW()-1,FALSE))</f>
        <v/>
      </c>
      <c r="BA114" t="str">
        <f ca="1">IF(AND(ISNUMBER($BA$786),$B$677=1),$BA$786,HLOOKUP(INDIRECT(ADDRESS(2,COLUMN())),OFFSET($BN$2,0,0,ROW()-1,60),ROW()-1,FALSE))</f>
        <v/>
      </c>
      <c r="BB114" t="str">
        <f ca="1">IF(AND(ISNUMBER($BB$786),$B$677=1),$BB$786,HLOOKUP(INDIRECT(ADDRESS(2,COLUMN())),OFFSET($BN$2,0,0,ROW()-1,60),ROW()-1,FALSE))</f>
        <v/>
      </c>
      <c r="BC114" t="str">
        <f ca="1">IF(AND(ISNUMBER($BC$786),$B$677=1),$BC$786,HLOOKUP(INDIRECT(ADDRESS(2,COLUMN())),OFFSET($BN$2,0,0,ROW()-1,60),ROW()-1,FALSE))</f>
        <v/>
      </c>
      <c r="BD114" t="str">
        <f ca="1">IF(AND(ISNUMBER($BD$786),$B$677=1),$BD$786,HLOOKUP(INDIRECT(ADDRESS(2,COLUMN())),OFFSET($BN$2,0,0,ROW()-1,60),ROW()-1,FALSE))</f>
        <v/>
      </c>
      <c r="BE114" t="str">
        <f ca="1">IF(AND(ISNUMBER($BE$786),$B$677=1),$BE$786,HLOOKUP(INDIRECT(ADDRESS(2,COLUMN())),OFFSET($BN$2,0,0,ROW()-1,60),ROW()-1,FALSE))</f>
        <v/>
      </c>
      <c r="BF114" t="str">
        <f ca="1">IF(AND(ISNUMBER($BF$786),$B$677=1),$BF$786,HLOOKUP(INDIRECT(ADDRESS(2,COLUMN())),OFFSET($BN$2,0,0,ROW()-1,60),ROW()-1,FALSE))</f>
        <v/>
      </c>
      <c r="BG114" t="str">
        <f ca="1">IF(AND(ISNUMBER($BG$786),$B$677=1),$BG$786,HLOOKUP(INDIRECT(ADDRESS(2,COLUMN())),OFFSET($BN$2,0,0,ROW()-1,60),ROW()-1,FALSE))</f>
        <v/>
      </c>
      <c r="BH114" t="str">
        <f ca="1">IF(AND(ISNUMBER($BH$786),$B$677=1),$BH$786,HLOOKUP(INDIRECT(ADDRESS(2,COLUMN())),OFFSET($BN$2,0,0,ROW()-1,60),ROW()-1,FALSE))</f>
        <v/>
      </c>
      <c r="BI114" t="str">
        <f ca="1">IF(AND(ISNUMBER($BI$786),$B$677=1),$BI$786,HLOOKUP(INDIRECT(ADDRESS(2,COLUMN())),OFFSET($BN$2,0,0,ROW()-1,60),ROW()-1,FALSE))</f>
        <v/>
      </c>
      <c r="BJ114" t="str">
        <f ca="1">IF(AND(ISNUMBER($BJ$786),$B$677=1),$BJ$786,HLOOKUP(INDIRECT(ADDRESS(2,COLUMN())),OFFSET($BN$2,0,0,ROW()-1,60),ROW()-1,FALSE))</f>
        <v/>
      </c>
      <c r="BK114" t="str">
        <f ca="1">IF(AND(ISNUMBER($BK$786),$B$677=1),$BK$786,HLOOKUP(INDIRECT(ADDRESS(2,COLUMN())),OFFSET($BN$2,0,0,ROW()-1,60),ROW()-1,FALSE))</f>
        <v/>
      </c>
      <c r="BL114" t="str">
        <f ca="1">IF(AND(ISNUMBER($BL$786),$B$677=1),$BL$786,HLOOKUP(INDIRECT(ADDRESS(2,COLUMN())),OFFSET($BN$2,0,0,ROW()-1,60),ROW()-1,FALSE))</f>
        <v/>
      </c>
      <c r="BM114" t="str">
        <f ca="1">IF(AND(ISNUMBER($BM$786),$B$677=1),$BM$786,HLOOKUP(INDIRECT(ADDRESS(2,COLUMN())),OFFSET($BN$2,0,0,ROW()-1,60),ROW()-1,FALSE))</f>
        <v/>
      </c>
      <c r="BN114">
        <f>8.519855596</f>
        <v>8.5198555959999993</v>
      </c>
      <c r="BO114">
        <f>7.825704225</f>
        <v>7.825704225</v>
      </c>
      <c r="BP114">
        <f>9.42776204</f>
        <v>9.4277620399999993</v>
      </c>
      <c r="BQ114">
        <f>9.962984055</f>
        <v>9.9629840549999997</v>
      </c>
      <c r="BR114">
        <f>9.460361613</f>
        <v>9.4603616129999999</v>
      </c>
      <c r="BS114">
        <f>8.701792504</f>
        <v>8.7017925040000002</v>
      </c>
      <c r="BT114">
        <f>8.161665315</f>
        <v>8.1616653150000005</v>
      </c>
      <c r="BU114">
        <f>8.360258481</f>
        <v>8.3602584810000007</v>
      </c>
      <c r="BV114">
        <f>8.082802548</f>
        <v>8.0828025480000001</v>
      </c>
      <c r="BW114">
        <f>7.468152866</f>
        <v>7.4681528659999996</v>
      </c>
      <c r="BX114" t="str">
        <f>""</f>
        <v/>
      </c>
      <c r="BY114" t="str">
        <f>""</f>
        <v/>
      </c>
      <c r="BZ114" t="str">
        <f>""</f>
        <v/>
      </c>
      <c r="CA114" t="str">
        <f>""</f>
        <v/>
      </c>
      <c r="CB114" t="str">
        <f>""</f>
        <v/>
      </c>
      <c r="CC114" t="str">
        <f>""</f>
        <v/>
      </c>
      <c r="CD114" t="str">
        <f>""</f>
        <v/>
      </c>
      <c r="CE114" t="str">
        <f>""</f>
        <v/>
      </c>
      <c r="CF114" t="str">
        <f>""</f>
        <v/>
      </c>
      <c r="CG114" t="str">
        <f>""</f>
        <v/>
      </c>
      <c r="CH114" t="str">
        <f>""</f>
        <v/>
      </c>
      <c r="CI114" t="str">
        <f>""</f>
        <v/>
      </c>
      <c r="CJ114" t="str">
        <f>""</f>
        <v/>
      </c>
      <c r="CK114" t="str">
        <f>""</f>
        <v/>
      </c>
      <c r="CL114" t="str">
        <f>""</f>
        <v/>
      </c>
      <c r="CM114" t="str">
        <f>""</f>
        <v/>
      </c>
      <c r="CN114" t="str">
        <f>""</f>
        <v/>
      </c>
      <c r="CO114" t="str">
        <f>""</f>
        <v/>
      </c>
      <c r="CP114" t="str">
        <f>""</f>
        <v/>
      </c>
      <c r="CQ114" t="str">
        <f>""</f>
        <v/>
      </c>
      <c r="CR114" t="str">
        <f>""</f>
        <v/>
      </c>
      <c r="CS114" t="str">
        <f>""</f>
        <v/>
      </c>
      <c r="CT114" t="str">
        <f>""</f>
        <v/>
      </c>
      <c r="CU114" t="str">
        <f>""</f>
        <v/>
      </c>
      <c r="CV114" t="str">
        <f>""</f>
        <v/>
      </c>
      <c r="CW114" t="str">
        <f>""</f>
        <v/>
      </c>
      <c r="CX114" t="str">
        <f>""</f>
        <v/>
      </c>
      <c r="CY114" t="str">
        <f>""</f>
        <v/>
      </c>
      <c r="CZ114" t="str">
        <f>""</f>
        <v/>
      </c>
      <c r="DA114" t="str">
        <f>""</f>
        <v/>
      </c>
      <c r="DB114" t="str">
        <f>""</f>
        <v/>
      </c>
      <c r="DC114" t="str">
        <f>""</f>
        <v/>
      </c>
      <c r="DD114" t="str">
        <f>""</f>
        <v/>
      </c>
      <c r="DE114" t="str">
        <f>""</f>
        <v/>
      </c>
      <c r="DF114" t="str">
        <f>""</f>
        <v/>
      </c>
      <c r="DG114" t="str">
        <f>""</f>
        <v/>
      </c>
      <c r="DH114" t="str">
        <f>""</f>
        <v/>
      </c>
      <c r="DI114" t="str">
        <f>""</f>
        <v/>
      </c>
      <c r="DJ114" t="str">
        <f>""</f>
        <v/>
      </c>
      <c r="DK114" t="str">
        <f>""</f>
        <v/>
      </c>
      <c r="DL114" t="str">
        <f>""</f>
        <v/>
      </c>
      <c r="DM114" t="str">
        <f>""</f>
        <v/>
      </c>
      <c r="DN114" t="str">
        <f>""</f>
        <v/>
      </c>
      <c r="DO114" t="str">
        <f>""</f>
        <v/>
      </c>
      <c r="DP114" t="str">
        <f>""</f>
        <v/>
      </c>
      <c r="DQ114" t="str">
        <f>""</f>
        <v/>
      </c>
      <c r="DR114" t="str">
        <f>""</f>
        <v/>
      </c>
      <c r="DS114" t="str">
        <f>""</f>
        <v/>
      </c>
      <c r="DT114" t="str">
        <f>""</f>
        <v/>
      </c>
      <c r="DU114" t="str">
        <f>""</f>
        <v/>
      </c>
    </row>
    <row r="115" spans="1:125" x14ac:dyDescent="0.25">
      <c r="A115" t="str">
        <f>"    Sanyang Motor Co Ltd"</f>
        <v xml:space="preserve">    Sanyang Motor Co Ltd</v>
      </c>
      <c r="B115" t="str">
        <f>"2206 TT Equity"</f>
        <v>2206 TT Equity</v>
      </c>
      <c r="C115" t="str">
        <f t="shared" si="6"/>
        <v>EZ010</v>
      </c>
      <c r="D115" t="str">
        <f t="shared" si="7"/>
        <v>BEST_EST_PE_NXT_YR</v>
      </c>
      <c r="E115" t="str">
        <f t="shared" si="8"/>
        <v>Dynamic</v>
      </c>
      <c r="F115">
        <f ca="1">IF(AND(ISNUMBER($F$787),$B$677=1),$F$787,HLOOKUP(INDIRECT(ADDRESS(2,COLUMN())),OFFSET($BN$2,0,0,ROW()-1,60),ROW()-1,FALSE))</f>
        <v>25.4375</v>
      </c>
      <c r="G115">
        <f ca="1">IF(AND(ISNUMBER($G$787),$B$677=1),$G$787,HLOOKUP(INDIRECT(ADDRESS(2,COLUMN())),OFFSET($BN$2,0,0,ROW()-1,60),ROW()-1,FALSE))</f>
        <v>25</v>
      </c>
      <c r="H115" t="str">
        <f ca="1">IF(AND(ISNUMBER($H$787),$B$677=1),$H$787,HLOOKUP(INDIRECT(ADDRESS(2,COLUMN())),OFFSET($BN$2,0,0,ROW()-1,60),ROW()-1,FALSE))</f>
        <v/>
      </c>
      <c r="I115" t="str">
        <f ca="1">IF(AND(ISNUMBER($I$787),$B$677=1),$I$787,HLOOKUP(INDIRECT(ADDRESS(2,COLUMN())),OFFSET($BN$2,0,0,ROW()-1,60),ROW()-1,FALSE))</f>
        <v/>
      </c>
      <c r="J115" t="str">
        <f ca="1">IF(AND(ISNUMBER($J$787),$B$677=1),$J$787,HLOOKUP(INDIRECT(ADDRESS(2,COLUMN())),OFFSET($BN$2,0,0,ROW()-1,60),ROW()-1,FALSE))</f>
        <v/>
      </c>
      <c r="K115" t="str">
        <f ca="1">IF(AND(ISNUMBER($K$787),$B$677=1),$K$787,HLOOKUP(INDIRECT(ADDRESS(2,COLUMN())),OFFSET($BN$2,0,0,ROW()-1,60),ROW()-1,FALSE))</f>
        <v/>
      </c>
      <c r="L115" t="str">
        <f ca="1">IF(AND(ISNUMBER($L$787),$B$677=1),$L$787,HLOOKUP(INDIRECT(ADDRESS(2,COLUMN())),OFFSET($BN$2,0,0,ROW()-1,60),ROW()-1,FALSE))</f>
        <v/>
      </c>
      <c r="M115" t="str">
        <f ca="1">IF(AND(ISNUMBER($M$787),$B$677=1),$M$787,HLOOKUP(INDIRECT(ADDRESS(2,COLUMN())),OFFSET($BN$2,0,0,ROW()-1,60),ROW()-1,FALSE))</f>
        <v/>
      </c>
      <c r="N115" t="str">
        <f ca="1">IF(AND(ISNUMBER($N$787),$B$677=1),$N$787,HLOOKUP(INDIRECT(ADDRESS(2,COLUMN())),OFFSET($BN$2,0,0,ROW()-1,60),ROW()-1,FALSE))</f>
        <v/>
      </c>
      <c r="O115" t="str">
        <f ca="1">IF(AND(ISNUMBER($O$787),$B$677=1),$O$787,HLOOKUP(INDIRECT(ADDRESS(2,COLUMN())),OFFSET($BN$2,0,0,ROW()-1,60),ROW()-1,FALSE))</f>
        <v/>
      </c>
      <c r="P115" t="str">
        <f ca="1">IF(AND(ISNUMBER($P$787),$B$677=1),$P$787,HLOOKUP(INDIRECT(ADDRESS(2,COLUMN())),OFFSET($BN$2,0,0,ROW()-1,60),ROW()-1,FALSE))</f>
        <v/>
      </c>
      <c r="Q115" t="str">
        <f ca="1">IF(AND(ISNUMBER($Q$787),$B$677=1),$Q$787,HLOOKUP(INDIRECT(ADDRESS(2,COLUMN())),OFFSET($BN$2,0,0,ROW()-1,60),ROW()-1,FALSE))</f>
        <v/>
      </c>
      <c r="R115" t="str">
        <f ca="1">IF(AND(ISNUMBER($R$787),$B$677=1),$R$787,HLOOKUP(INDIRECT(ADDRESS(2,COLUMN())),OFFSET($BN$2,0,0,ROW()-1,60),ROW()-1,FALSE))</f>
        <v/>
      </c>
      <c r="S115" t="str">
        <f ca="1">IF(AND(ISNUMBER($S$787),$B$677=1),$S$787,HLOOKUP(INDIRECT(ADDRESS(2,COLUMN())),OFFSET($BN$2,0,0,ROW()-1,60),ROW()-1,FALSE))</f>
        <v/>
      </c>
      <c r="T115" t="str">
        <f ca="1">IF(AND(ISNUMBER($T$787),$B$677=1),$T$787,HLOOKUP(INDIRECT(ADDRESS(2,COLUMN())),OFFSET($BN$2,0,0,ROW()-1,60),ROW()-1,FALSE))</f>
        <v/>
      </c>
      <c r="U115" t="str">
        <f ca="1">IF(AND(ISNUMBER($U$787),$B$677=1),$U$787,HLOOKUP(INDIRECT(ADDRESS(2,COLUMN())),OFFSET($BN$2,0,0,ROW()-1,60),ROW()-1,FALSE))</f>
        <v/>
      </c>
      <c r="V115" t="str">
        <f ca="1">IF(AND(ISNUMBER($V$787),$B$677=1),$V$787,HLOOKUP(INDIRECT(ADDRESS(2,COLUMN())),OFFSET($BN$2,0,0,ROW()-1,60),ROW()-1,FALSE))</f>
        <v/>
      </c>
      <c r="W115" t="str">
        <f ca="1">IF(AND(ISNUMBER($W$787),$B$677=1),$W$787,HLOOKUP(INDIRECT(ADDRESS(2,COLUMN())),OFFSET($BN$2,0,0,ROW()-1,60),ROW()-1,FALSE))</f>
        <v/>
      </c>
      <c r="X115" t="str">
        <f ca="1">IF(AND(ISNUMBER($X$787),$B$677=1),$X$787,HLOOKUP(INDIRECT(ADDRESS(2,COLUMN())),OFFSET($BN$2,0,0,ROW()-1,60),ROW()-1,FALSE))</f>
        <v/>
      </c>
      <c r="Y115" t="str">
        <f ca="1">IF(AND(ISNUMBER($Y$787),$B$677=1),$Y$787,HLOOKUP(INDIRECT(ADDRESS(2,COLUMN())),OFFSET($BN$2,0,0,ROW()-1,60),ROW()-1,FALSE))</f>
        <v/>
      </c>
      <c r="Z115" t="str">
        <f ca="1">IF(AND(ISNUMBER($Z$787),$B$677=1),$Z$787,HLOOKUP(INDIRECT(ADDRESS(2,COLUMN())),OFFSET($BN$2,0,0,ROW()-1,60),ROW()-1,FALSE))</f>
        <v/>
      </c>
      <c r="AA115" t="str">
        <f ca="1">IF(AND(ISNUMBER($AA$787),$B$677=1),$AA$787,HLOOKUP(INDIRECT(ADDRESS(2,COLUMN())),OFFSET($BN$2,0,0,ROW()-1,60),ROW()-1,FALSE))</f>
        <v/>
      </c>
      <c r="AB115" t="str">
        <f ca="1">IF(AND(ISNUMBER($AB$787),$B$677=1),$AB$787,HLOOKUP(INDIRECT(ADDRESS(2,COLUMN())),OFFSET($BN$2,0,0,ROW()-1,60),ROW()-1,FALSE))</f>
        <v/>
      </c>
      <c r="AC115" t="str">
        <f ca="1">IF(AND(ISNUMBER($AC$787),$B$677=1),$AC$787,HLOOKUP(INDIRECT(ADDRESS(2,COLUMN())),OFFSET($BN$2,0,0,ROW()-1,60),ROW()-1,FALSE))</f>
        <v/>
      </c>
      <c r="AD115" t="str">
        <f ca="1">IF(AND(ISNUMBER($AD$787),$B$677=1),$AD$787,HLOOKUP(INDIRECT(ADDRESS(2,COLUMN())),OFFSET($BN$2,0,0,ROW()-1,60),ROW()-1,FALSE))</f>
        <v/>
      </c>
      <c r="AE115" t="str">
        <f ca="1">IF(AND(ISNUMBER($AE$787),$B$677=1),$AE$787,HLOOKUP(INDIRECT(ADDRESS(2,COLUMN())),OFFSET($BN$2,0,0,ROW()-1,60),ROW()-1,FALSE))</f>
        <v/>
      </c>
      <c r="AF115" t="str">
        <f ca="1">IF(AND(ISNUMBER($AF$787),$B$677=1),$AF$787,HLOOKUP(INDIRECT(ADDRESS(2,COLUMN())),OFFSET($BN$2,0,0,ROW()-1,60),ROW()-1,FALSE))</f>
        <v/>
      </c>
      <c r="AG115" t="str">
        <f ca="1">IF(AND(ISNUMBER($AG$787),$B$677=1),$AG$787,HLOOKUP(INDIRECT(ADDRESS(2,COLUMN())),OFFSET($BN$2,0,0,ROW()-1,60),ROW()-1,FALSE))</f>
        <v/>
      </c>
      <c r="AH115" t="str">
        <f ca="1">IF(AND(ISNUMBER($AH$787),$B$677=1),$AH$787,HLOOKUP(INDIRECT(ADDRESS(2,COLUMN())),OFFSET($BN$2,0,0,ROW()-1,60),ROW()-1,FALSE))</f>
        <v/>
      </c>
      <c r="AI115" t="str">
        <f ca="1">IF(AND(ISNUMBER($AI$787),$B$677=1),$AI$787,HLOOKUP(INDIRECT(ADDRESS(2,COLUMN())),OFFSET($BN$2,0,0,ROW()-1,60),ROW()-1,FALSE))</f>
        <v/>
      </c>
      <c r="AJ115" t="str">
        <f ca="1">IF(AND(ISNUMBER($AJ$787),$B$677=1),$AJ$787,HLOOKUP(INDIRECT(ADDRESS(2,COLUMN())),OFFSET($BN$2,0,0,ROW()-1,60),ROW()-1,FALSE))</f>
        <v/>
      </c>
      <c r="AK115" t="str">
        <f ca="1">IF(AND(ISNUMBER($AK$787),$B$677=1),$AK$787,HLOOKUP(INDIRECT(ADDRESS(2,COLUMN())),OFFSET($BN$2,0,0,ROW()-1,60),ROW()-1,FALSE))</f>
        <v/>
      </c>
      <c r="AL115" t="str">
        <f ca="1">IF(AND(ISNUMBER($AL$787),$B$677=1),$AL$787,HLOOKUP(INDIRECT(ADDRESS(2,COLUMN())),OFFSET($BN$2,0,0,ROW()-1,60),ROW()-1,FALSE))</f>
        <v/>
      </c>
      <c r="AM115" t="str">
        <f ca="1">IF(AND(ISNUMBER($AM$787),$B$677=1),$AM$787,HLOOKUP(INDIRECT(ADDRESS(2,COLUMN())),OFFSET($BN$2,0,0,ROW()-1,60),ROW()-1,FALSE))</f>
        <v/>
      </c>
      <c r="AN115" t="str">
        <f ca="1">IF(AND(ISNUMBER($AN$787),$B$677=1),$AN$787,HLOOKUP(INDIRECT(ADDRESS(2,COLUMN())),OFFSET($BN$2,0,0,ROW()-1,60),ROW()-1,FALSE))</f>
        <v/>
      </c>
      <c r="AO115" t="str">
        <f ca="1">IF(AND(ISNUMBER($AO$787),$B$677=1),$AO$787,HLOOKUP(INDIRECT(ADDRESS(2,COLUMN())),OFFSET($BN$2,0,0,ROW()-1,60),ROW()-1,FALSE))</f>
        <v/>
      </c>
      <c r="AP115" t="str">
        <f ca="1">IF(AND(ISNUMBER($AP$787),$B$677=1),$AP$787,HLOOKUP(INDIRECT(ADDRESS(2,COLUMN())),OFFSET($BN$2,0,0,ROW()-1,60),ROW()-1,FALSE))</f>
        <v/>
      </c>
      <c r="AQ115" t="str">
        <f ca="1">IF(AND(ISNUMBER($AQ$787),$B$677=1),$AQ$787,HLOOKUP(INDIRECT(ADDRESS(2,COLUMN())),OFFSET($BN$2,0,0,ROW()-1,60),ROW()-1,FALSE))</f>
        <v/>
      </c>
      <c r="AR115" t="str">
        <f ca="1">IF(AND(ISNUMBER($AR$787),$B$677=1),$AR$787,HLOOKUP(INDIRECT(ADDRESS(2,COLUMN())),OFFSET($BN$2,0,0,ROW()-1,60),ROW()-1,FALSE))</f>
        <v/>
      </c>
      <c r="AS115" t="str">
        <f ca="1">IF(AND(ISNUMBER($AS$787),$B$677=1),$AS$787,HLOOKUP(INDIRECT(ADDRESS(2,COLUMN())),OFFSET($BN$2,0,0,ROW()-1,60),ROW()-1,FALSE))</f>
        <v/>
      </c>
      <c r="AT115" t="str">
        <f ca="1">IF(AND(ISNUMBER($AT$787),$B$677=1),$AT$787,HLOOKUP(INDIRECT(ADDRESS(2,COLUMN())),OFFSET($BN$2,0,0,ROW()-1,60),ROW()-1,FALSE))</f>
        <v/>
      </c>
      <c r="AU115" t="str">
        <f ca="1">IF(AND(ISNUMBER($AU$787),$B$677=1),$AU$787,HLOOKUP(INDIRECT(ADDRESS(2,COLUMN())),OFFSET($BN$2,0,0,ROW()-1,60),ROW()-1,FALSE))</f>
        <v/>
      </c>
      <c r="AV115" t="str">
        <f ca="1">IF(AND(ISNUMBER($AV$787),$B$677=1),$AV$787,HLOOKUP(INDIRECT(ADDRESS(2,COLUMN())),OFFSET($BN$2,0,0,ROW()-1,60),ROW()-1,FALSE))</f>
        <v/>
      </c>
      <c r="AW115" t="str">
        <f ca="1">IF(AND(ISNUMBER($AW$787),$B$677=1),$AW$787,HLOOKUP(INDIRECT(ADDRESS(2,COLUMN())),OFFSET($BN$2,0,0,ROW()-1,60),ROW()-1,FALSE))</f>
        <v/>
      </c>
      <c r="AX115" t="str">
        <f ca="1">IF(AND(ISNUMBER($AX$787),$B$677=1),$AX$787,HLOOKUP(INDIRECT(ADDRESS(2,COLUMN())),OFFSET($BN$2,0,0,ROW()-1,60),ROW()-1,FALSE))</f>
        <v/>
      </c>
      <c r="AY115" t="str">
        <f ca="1">IF(AND(ISNUMBER($AY$787),$B$677=1),$AY$787,HLOOKUP(INDIRECT(ADDRESS(2,COLUMN())),OFFSET($BN$2,0,0,ROW()-1,60),ROW()-1,FALSE))</f>
        <v/>
      </c>
      <c r="AZ115" t="str">
        <f ca="1">IF(AND(ISNUMBER($AZ$787),$B$677=1),$AZ$787,HLOOKUP(INDIRECT(ADDRESS(2,COLUMN())),OFFSET($BN$2,0,0,ROW()-1,60),ROW()-1,FALSE))</f>
        <v/>
      </c>
      <c r="BA115" t="str">
        <f ca="1">IF(AND(ISNUMBER($BA$787),$B$677=1),$BA$787,HLOOKUP(INDIRECT(ADDRESS(2,COLUMN())),OFFSET($BN$2,0,0,ROW()-1,60),ROW()-1,FALSE))</f>
        <v/>
      </c>
      <c r="BB115" t="str">
        <f ca="1">IF(AND(ISNUMBER($BB$787),$B$677=1),$BB$787,HLOOKUP(INDIRECT(ADDRESS(2,COLUMN())),OFFSET($BN$2,0,0,ROW()-1,60),ROW()-1,FALSE))</f>
        <v/>
      </c>
      <c r="BC115" t="str">
        <f ca="1">IF(AND(ISNUMBER($BC$787),$B$677=1),$BC$787,HLOOKUP(INDIRECT(ADDRESS(2,COLUMN())),OFFSET($BN$2,0,0,ROW()-1,60),ROW()-1,FALSE))</f>
        <v/>
      </c>
      <c r="BD115" t="str">
        <f ca="1">IF(AND(ISNUMBER($BD$787),$B$677=1),$BD$787,HLOOKUP(INDIRECT(ADDRESS(2,COLUMN())),OFFSET($BN$2,0,0,ROW()-1,60),ROW()-1,FALSE))</f>
        <v/>
      </c>
      <c r="BE115" t="str">
        <f ca="1">IF(AND(ISNUMBER($BE$787),$B$677=1),$BE$787,HLOOKUP(INDIRECT(ADDRESS(2,COLUMN())),OFFSET($BN$2,0,0,ROW()-1,60),ROW()-1,FALSE))</f>
        <v/>
      </c>
      <c r="BF115" t="str">
        <f ca="1">IF(AND(ISNUMBER($BF$787),$B$677=1),$BF$787,HLOOKUP(INDIRECT(ADDRESS(2,COLUMN())),OFFSET($BN$2,0,0,ROW()-1,60),ROW()-1,FALSE))</f>
        <v/>
      </c>
      <c r="BG115" t="str">
        <f ca="1">IF(AND(ISNUMBER($BG$787),$B$677=1),$BG$787,HLOOKUP(INDIRECT(ADDRESS(2,COLUMN())),OFFSET($BN$2,0,0,ROW()-1,60),ROW()-1,FALSE))</f>
        <v/>
      </c>
      <c r="BH115" t="str">
        <f ca="1">IF(AND(ISNUMBER($BH$787),$B$677=1),$BH$787,HLOOKUP(INDIRECT(ADDRESS(2,COLUMN())),OFFSET($BN$2,0,0,ROW()-1,60),ROW()-1,FALSE))</f>
        <v/>
      </c>
      <c r="BI115" t="str">
        <f ca="1">IF(AND(ISNUMBER($BI$787),$B$677=1),$BI$787,HLOOKUP(INDIRECT(ADDRESS(2,COLUMN())),OFFSET($BN$2,0,0,ROW()-1,60),ROW()-1,FALSE))</f>
        <v/>
      </c>
      <c r="BJ115" t="str">
        <f ca="1">IF(AND(ISNUMBER($BJ$787),$B$677=1),$BJ$787,HLOOKUP(INDIRECT(ADDRESS(2,COLUMN())),OFFSET($BN$2,0,0,ROW()-1,60),ROW()-1,FALSE))</f>
        <v/>
      </c>
      <c r="BK115" t="str">
        <f ca="1">IF(AND(ISNUMBER($BK$787),$B$677=1),$BK$787,HLOOKUP(INDIRECT(ADDRESS(2,COLUMN())),OFFSET($BN$2,0,0,ROW()-1,60),ROW()-1,FALSE))</f>
        <v/>
      </c>
      <c r="BL115" t="str">
        <f ca="1">IF(AND(ISNUMBER($BL$787),$B$677=1),$BL$787,HLOOKUP(INDIRECT(ADDRESS(2,COLUMN())),OFFSET($BN$2,0,0,ROW()-1,60),ROW()-1,FALSE))</f>
        <v/>
      </c>
      <c r="BM115" t="str">
        <f ca="1">IF(AND(ISNUMBER($BM$787),$B$677=1),$BM$787,HLOOKUP(INDIRECT(ADDRESS(2,COLUMN())),OFFSET($BN$2,0,0,ROW()-1,60),ROW()-1,FALSE))</f>
        <v/>
      </c>
      <c r="BN115">
        <f>25.4375</f>
        <v>25.4375</v>
      </c>
      <c r="BO115">
        <f>25</f>
        <v>25</v>
      </c>
      <c r="BP115" t="str">
        <f>""</f>
        <v/>
      </c>
      <c r="BQ115" t="str">
        <f>""</f>
        <v/>
      </c>
      <c r="BR115" t="str">
        <f>""</f>
        <v/>
      </c>
      <c r="BS115" t="str">
        <f>""</f>
        <v/>
      </c>
      <c r="BT115" t="str">
        <f>""</f>
        <v/>
      </c>
      <c r="BU115" t="str">
        <f>""</f>
        <v/>
      </c>
      <c r="BV115" t="str">
        <f>""</f>
        <v/>
      </c>
      <c r="BW115" t="str">
        <f>""</f>
        <v/>
      </c>
      <c r="BX115" t="str">
        <f>""</f>
        <v/>
      </c>
      <c r="BY115" t="str">
        <f>""</f>
        <v/>
      </c>
      <c r="BZ115" t="str">
        <f>""</f>
        <v/>
      </c>
      <c r="CA115" t="str">
        <f>""</f>
        <v/>
      </c>
      <c r="CB115" t="str">
        <f>""</f>
        <v/>
      </c>
      <c r="CC115" t="str">
        <f>""</f>
        <v/>
      </c>
      <c r="CD115" t="str">
        <f>""</f>
        <v/>
      </c>
      <c r="CE115" t="str">
        <f>""</f>
        <v/>
      </c>
      <c r="CF115" t="str">
        <f>""</f>
        <v/>
      </c>
      <c r="CG115" t="str">
        <f>""</f>
        <v/>
      </c>
      <c r="CH115" t="str">
        <f>""</f>
        <v/>
      </c>
      <c r="CI115" t="str">
        <f>""</f>
        <v/>
      </c>
      <c r="CJ115" t="str">
        <f>""</f>
        <v/>
      </c>
      <c r="CK115" t="str">
        <f>""</f>
        <v/>
      </c>
      <c r="CL115" t="str">
        <f>""</f>
        <v/>
      </c>
      <c r="CM115" t="str">
        <f>""</f>
        <v/>
      </c>
      <c r="CN115" t="str">
        <f>""</f>
        <v/>
      </c>
      <c r="CO115" t="str">
        <f>""</f>
        <v/>
      </c>
      <c r="CP115" t="str">
        <f>""</f>
        <v/>
      </c>
      <c r="CQ115" t="str">
        <f>""</f>
        <v/>
      </c>
      <c r="CR115" t="str">
        <f>""</f>
        <v/>
      </c>
      <c r="CS115" t="str">
        <f>""</f>
        <v/>
      </c>
      <c r="CT115" t="str">
        <f>""</f>
        <v/>
      </c>
      <c r="CU115" t="str">
        <f>""</f>
        <v/>
      </c>
      <c r="CV115" t="str">
        <f>""</f>
        <v/>
      </c>
      <c r="CW115" t="str">
        <f>""</f>
        <v/>
      </c>
      <c r="CX115" t="str">
        <f>""</f>
        <v/>
      </c>
      <c r="CY115" t="str">
        <f>""</f>
        <v/>
      </c>
      <c r="CZ115" t="str">
        <f>""</f>
        <v/>
      </c>
      <c r="DA115" t="str">
        <f>""</f>
        <v/>
      </c>
      <c r="DB115" t="str">
        <f>""</f>
        <v/>
      </c>
      <c r="DC115" t="str">
        <f>""</f>
        <v/>
      </c>
      <c r="DD115" t="str">
        <f>""</f>
        <v/>
      </c>
      <c r="DE115" t="str">
        <f>""</f>
        <v/>
      </c>
      <c r="DF115" t="str">
        <f>""</f>
        <v/>
      </c>
      <c r="DG115" t="str">
        <f>""</f>
        <v/>
      </c>
      <c r="DH115" t="str">
        <f>""</f>
        <v/>
      </c>
      <c r="DI115" t="str">
        <f>""</f>
        <v/>
      </c>
      <c r="DJ115" t="str">
        <f>""</f>
        <v/>
      </c>
      <c r="DK115" t="str">
        <f>""</f>
        <v/>
      </c>
      <c r="DL115" t="str">
        <f>""</f>
        <v/>
      </c>
      <c r="DM115" t="str">
        <f>""</f>
        <v/>
      </c>
      <c r="DN115" t="str">
        <f>""</f>
        <v/>
      </c>
      <c r="DO115" t="str">
        <f>""</f>
        <v/>
      </c>
      <c r="DP115" t="str">
        <f>""</f>
        <v/>
      </c>
      <c r="DQ115" t="str">
        <f>""</f>
        <v/>
      </c>
      <c r="DR115" t="str">
        <f>""</f>
        <v/>
      </c>
      <c r="DS115" t="str">
        <f>""</f>
        <v/>
      </c>
      <c r="DT115" t="str">
        <f>""</f>
        <v/>
      </c>
      <c r="DU115" t="str">
        <f>""</f>
        <v/>
      </c>
    </row>
    <row r="116" spans="1:125" x14ac:dyDescent="0.25">
      <c r="A116" t="str">
        <f>"    Sollers PJSC"</f>
        <v xml:space="preserve">    Sollers PJSC</v>
      </c>
      <c r="B116" t="str">
        <f>"SVAV RM Equity"</f>
        <v>SVAV RM Equity</v>
      </c>
      <c r="C116" t="str">
        <f t="shared" si="6"/>
        <v>EZ010</v>
      </c>
      <c r="D116" t="str">
        <f t="shared" si="7"/>
        <v>BEST_EST_PE_NXT_YR</v>
      </c>
      <c r="E116" t="str">
        <f t="shared" si="8"/>
        <v>Dynamic</v>
      </c>
      <c r="F116">
        <f ca="1">IF(AND(ISNUMBER($F$788),$B$677=1),$F$788,HLOOKUP(INDIRECT(ADDRESS(2,COLUMN())),OFFSET($BN$2,0,0,ROW()-1,60),ROW()-1,FALSE))</f>
        <v>12.825877050000001</v>
      </c>
      <c r="G116">
        <f ca="1">IF(AND(ISNUMBER($G$788),$B$677=1),$G$788,HLOOKUP(INDIRECT(ADDRESS(2,COLUMN())),OFFSET($BN$2,0,0,ROW()-1,60),ROW()-1,FALSE))</f>
        <v>13.131638239999999</v>
      </c>
      <c r="H116">
        <f ca="1">IF(AND(ISNUMBER($H$788),$B$677=1),$H$788,HLOOKUP(INDIRECT(ADDRESS(2,COLUMN())),OFFSET($BN$2,0,0,ROW()-1,60),ROW()-1,FALSE))</f>
        <v>16.414547800000001</v>
      </c>
      <c r="I116">
        <f ca="1">IF(AND(ISNUMBER($I$788),$B$677=1),$I$788,HLOOKUP(INDIRECT(ADDRESS(2,COLUMN())),OFFSET($BN$2,0,0,ROW()-1,60),ROW()-1,FALSE))</f>
        <v>10.655399839999999</v>
      </c>
      <c r="J116">
        <f ca="1">IF(AND(ISNUMBER($J$788),$B$677=1),$J$788,HLOOKUP(INDIRECT(ADDRESS(2,COLUMN())),OFFSET($BN$2,0,0,ROW()-1,60),ROW()-1,FALSE))</f>
        <v>7.445967317</v>
      </c>
      <c r="K116">
        <f ca="1">IF(AND(ISNUMBER($K$788),$B$677=1),$K$788,HLOOKUP(INDIRECT(ADDRESS(2,COLUMN())),OFFSET($BN$2,0,0,ROW()-1,60),ROW()-1,FALSE))</f>
        <v>6.2543991959999996</v>
      </c>
      <c r="L116">
        <f ca="1">IF(AND(ISNUMBER($L$788),$B$677=1),$L$788,HLOOKUP(INDIRECT(ADDRESS(2,COLUMN())),OFFSET($BN$2,0,0,ROW()-1,60),ROW()-1,FALSE))</f>
        <v>5.6564659429999997</v>
      </c>
      <c r="M116">
        <f ca="1">IF(AND(ISNUMBER($M$788),$B$677=1),$M$788,HLOOKUP(INDIRECT(ADDRESS(2,COLUMN())),OFFSET($BN$2,0,0,ROW()-1,60),ROW()-1,FALSE))</f>
        <v>5.7946692989999997</v>
      </c>
      <c r="N116">
        <f ca="1">IF(AND(ISNUMBER($N$788),$B$677=1),$N$788,HLOOKUP(INDIRECT(ADDRESS(2,COLUMN())),OFFSET($BN$2,0,0,ROW()-1,60),ROW()-1,FALSE))</f>
        <v>5.3364055300000004</v>
      </c>
      <c r="O116">
        <f ca="1">IF(AND(ISNUMBER($O$788),$B$677=1),$O$788,HLOOKUP(INDIRECT(ADDRESS(2,COLUMN())),OFFSET($BN$2,0,0,ROW()-1,60),ROW()-1,FALSE))</f>
        <v>5.1343570060000001</v>
      </c>
      <c r="P116">
        <f ca="1">IF(AND(ISNUMBER($P$788),$B$677=1),$P$788,HLOOKUP(INDIRECT(ADDRESS(2,COLUMN())),OFFSET($BN$2,0,0,ROW()-1,60),ROW()-1,FALSE))</f>
        <v>5.6046065260000004</v>
      </c>
      <c r="Q116">
        <f ca="1">IF(AND(ISNUMBER($Q$788),$B$677=1),$Q$788,HLOOKUP(INDIRECT(ADDRESS(2,COLUMN())),OFFSET($BN$2,0,0,ROW()-1,60),ROW()-1,FALSE))</f>
        <v>2.5158328980000002</v>
      </c>
      <c r="R116">
        <f ca="1">IF(AND(ISNUMBER($R$788),$B$677=1),$R$788,HLOOKUP(INDIRECT(ADDRESS(2,COLUMN())),OFFSET($BN$2,0,0,ROW()-1,60),ROW()-1,FALSE))</f>
        <v>2.3938179069999999</v>
      </c>
      <c r="S116">
        <f ca="1">IF(AND(ISNUMBER($S$788),$B$677=1),$S$788,HLOOKUP(INDIRECT(ADDRESS(2,COLUMN())),OFFSET($BN$2,0,0,ROW()-1,60),ROW()-1,FALSE))</f>
        <v>2.335715531</v>
      </c>
      <c r="T116">
        <f ca="1">IF(AND(ISNUMBER($T$788),$B$677=1),$T$788,HLOOKUP(INDIRECT(ADDRESS(2,COLUMN())),OFFSET($BN$2,0,0,ROW()-1,60),ROW()-1,FALSE))</f>
        <v>2.5623147990000001</v>
      </c>
      <c r="U116">
        <f ca="1">IF(AND(ISNUMBER($U$788),$B$677=1),$U$788,HLOOKUP(INDIRECT(ADDRESS(2,COLUMN())),OFFSET($BN$2,0,0,ROW()-1,60),ROW()-1,FALSE))</f>
        <v>1.396885323</v>
      </c>
      <c r="V116">
        <f ca="1">IF(AND(ISNUMBER($V$788),$B$677=1),$V$788,HLOOKUP(INDIRECT(ADDRESS(2,COLUMN())),OFFSET($BN$2,0,0,ROW()-1,60),ROW()-1,FALSE))</f>
        <v>1.1389019979999999</v>
      </c>
      <c r="W116" t="str">
        <f ca="1">IF(AND(ISNUMBER($W$788),$B$677=1),$W$788,HLOOKUP(INDIRECT(ADDRESS(2,COLUMN())),OFFSET($BN$2,0,0,ROW()-1,60),ROW()-1,FALSE))</f>
        <v/>
      </c>
      <c r="X116" t="str">
        <f ca="1">IF(AND(ISNUMBER($X$788),$B$677=1),$X$788,HLOOKUP(INDIRECT(ADDRESS(2,COLUMN())),OFFSET($BN$2,0,0,ROW()-1,60),ROW()-1,FALSE))</f>
        <v/>
      </c>
      <c r="Y116" t="str">
        <f ca="1">IF(AND(ISNUMBER($Y$788),$B$677=1),$Y$788,HLOOKUP(INDIRECT(ADDRESS(2,COLUMN())),OFFSET($BN$2,0,0,ROW()-1,60),ROW()-1,FALSE))</f>
        <v/>
      </c>
      <c r="Z116" t="str">
        <f ca="1">IF(AND(ISNUMBER($Z$788),$B$677=1),$Z$788,HLOOKUP(INDIRECT(ADDRESS(2,COLUMN())),OFFSET($BN$2,0,0,ROW()-1,60),ROW()-1,FALSE))</f>
        <v/>
      </c>
      <c r="AA116" t="str">
        <f ca="1">IF(AND(ISNUMBER($AA$788),$B$677=1),$AA$788,HLOOKUP(INDIRECT(ADDRESS(2,COLUMN())),OFFSET($BN$2,0,0,ROW()-1,60),ROW()-1,FALSE))</f>
        <v/>
      </c>
      <c r="AB116" t="str">
        <f ca="1">IF(AND(ISNUMBER($AB$788),$B$677=1),$AB$788,HLOOKUP(INDIRECT(ADDRESS(2,COLUMN())),OFFSET($BN$2,0,0,ROW()-1,60),ROW()-1,FALSE))</f>
        <v/>
      </c>
      <c r="AC116" t="str">
        <f ca="1">IF(AND(ISNUMBER($AC$788),$B$677=1),$AC$788,HLOOKUP(INDIRECT(ADDRESS(2,COLUMN())),OFFSET($BN$2,0,0,ROW()-1,60),ROW()-1,FALSE))</f>
        <v/>
      </c>
      <c r="AD116" t="str">
        <f ca="1">IF(AND(ISNUMBER($AD$788),$B$677=1),$AD$788,HLOOKUP(INDIRECT(ADDRESS(2,COLUMN())),OFFSET($BN$2,0,0,ROW()-1,60),ROW()-1,FALSE))</f>
        <v/>
      </c>
      <c r="AE116" t="str">
        <f ca="1">IF(AND(ISNUMBER($AE$788),$B$677=1),$AE$788,HLOOKUP(INDIRECT(ADDRESS(2,COLUMN())),OFFSET($BN$2,0,0,ROW()-1,60),ROW()-1,FALSE))</f>
        <v/>
      </c>
      <c r="AF116" t="str">
        <f ca="1">IF(AND(ISNUMBER($AF$788),$B$677=1),$AF$788,HLOOKUP(INDIRECT(ADDRESS(2,COLUMN())),OFFSET($BN$2,0,0,ROW()-1,60),ROW()-1,FALSE))</f>
        <v/>
      </c>
      <c r="AG116" t="str">
        <f ca="1">IF(AND(ISNUMBER($AG$788),$B$677=1),$AG$788,HLOOKUP(INDIRECT(ADDRESS(2,COLUMN())),OFFSET($BN$2,0,0,ROW()-1,60),ROW()-1,FALSE))</f>
        <v/>
      </c>
      <c r="AH116" t="str">
        <f ca="1">IF(AND(ISNUMBER($AH$788),$B$677=1),$AH$788,HLOOKUP(INDIRECT(ADDRESS(2,COLUMN())),OFFSET($BN$2,0,0,ROW()-1,60),ROW()-1,FALSE))</f>
        <v/>
      </c>
      <c r="AI116" t="str">
        <f ca="1">IF(AND(ISNUMBER($AI$788),$B$677=1),$AI$788,HLOOKUP(INDIRECT(ADDRESS(2,COLUMN())),OFFSET($BN$2,0,0,ROW()-1,60),ROW()-1,FALSE))</f>
        <v/>
      </c>
      <c r="AJ116" t="str">
        <f ca="1">IF(AND(ISNUMBER($AJ$788),$B$677=1),$AJ$788,HLOOKUP(INDIRECT(ADDRESS(2,COLUMN())),OFFSET($BN$2,0,0,ROW()-1,60),ROW()-1,FALSE))</f>
        <v/>
      </c>
      <c r="AK116" t="str">
        <f ca="1">IF(AND(ISNUMBER($AK$788),$B$677=1),$AK$788,HLOOKUP(INDIRECT(ADDRESS(2,COLUMN())),OFFSET($BN$2,0,0,ROW()-1,60),ROW()-1,FALSE))</f>
        <v/>
      </c>
      <c r="AL116" t="str">
        <f ca="1">IF(AND(ISNUMBER($AL$788),$B$677=1),$AL$788,HLOOKUP(INDIRECT(ADDRESS(2,COLUMN())),OFFSET($BN$2,0,0,ROW()-1,60),ROW()-1,FALSE))</f>
        <v/>
      </c>
      <c r="AM116" t="str">
        <f ca="1">IF(AND(ISNUMBER($AM$788),$B$677=1),$AM$788,HLOOKUP(INDIRECT(ADDRESS(2,COLUMN())),OFFSET($BN$2,0,0,ROW()-1,60),ROW()-1,FALSE))</f>
        <v/>
      </c>
      <c r="AN116" t="str">
        <f ca="1">IF(AND(ISNUMBER($AN$788),$B$677=1),$AN$788,HLOOKUP(INDIRECT(ADDRESS(2,COLUMN())),OFFSET($BN$2,0,0,ROW()-1,60),ROW()-1,FALSE))</f>
        <v/>
      </c>
      <c r="AO116" t="str">
        <f ca="1">IF(AND(ISNUMBER($AO$788),$B$677=1),$AO$788,HLOOKUP(INDIRECT(ADDRESS(2,COLUMN())),OFFSET($BN$2,0,0,ROW()-1,60),ROW()-1,FALSE))</f>
        <v/>
      </c>
      <c r="AP116" t="str">
        <f ca="1">IF(AND(ISNUMBER($AP$788),$B$677=1),$AP$788,HLOOKUP(INDIRECT(ADDRESS(2,COLUMN())),OFFSET($BN$2,0,0,ROW()-1,60),ROW()-1,FALSE))</f>
        <v/>
      </c>
      <c r="AQ116" t="str">
        <f ca="1">IF(AND(ISNUMBER($AQ$788),$B$677=1),$AQ$788,HLOOKUP(INDIRECT(ADDRESS(2,COLUMN())),OFFSET($BN$2,0,0,ROW()-1,60),ROW()-1,FALSE))</f>
        <v/>
      </c>
      <c r="AR116" t="str">
        <f ca="1">IF(AND(ISNUMBER($AR$788),$B$677=1),$AR$788,HLOOKUP(INDIRECT(ADDRESS(2,COLUMN())),OFFSET($BN$2,0,0,ROW()-1,60),ROW()-1,FALSE))</f>
        <v/>
      </c>
      <c r="AS116" t="str">
        <f ca="1">IF(AND(ISNUMBER($AS$788),$B$677=1),$AS$788,HLOOKUP(INDIRECT(ADDRESS(2,COLUMN())),OFFSET($BN$2,0,0,ROW()-1,60),ROW()-1,FALSE))</f>
        <v/>
      </c>
      <c r="AT116" t="str">
        <f ca="1">IF(AND(ISNUMBER($AT$788),$B$677=1),$AT$788,HLOOKUP(INDIRECT(ADDRESS(2,COLUMN())),OFFSET($BN$2,0,0,ROW()-1,60),ROW()-1,FALSE))</f>
        <v/>
      </c>
      <c r="AU116" t="str">
        <f ca="1">IF(AND(ISNUMBER($AU$788),$B$677=1),$AU$788,HLOOKUP(INDIRECT(ADDRESS(2,COLUMN())),OFFSET($BN$2,0,0,ROW()-1,60),ROW()-1,FALSE))</f>
        <v/>
      </c>
      <c r="AV116" t="str">
        <f ca="1">IF(AND(ISNUMBER($AV$788),$B$677=1),$AV$788,HLOOKUP(INDIRECT(ADDRESS(2,COLUMN())),OFFSET($BN$2,0,0,ROW()-1,60),ROW()-1,FALSE))</f>
        <v/>
      </c>
      <c r="AW116" t="str">
        <f ca="1">IF(AND(ISNUMBER($AW$788),$B$677=1),$AW$788,HLOOKUP(INDIRECT(ADDRESS(2,COLUMN())),OFFSET($BN$2,0,0,ROW()-1,60),ROW()-1,FALSE))</f>
        <v/>
      </c>
      <c r="AX116" t="str">
        <f ca="1">IF(AND(ISNUMBER($AX$788),$B$677=1),$AX$788,HLOOKUP(INDIRECT(ADDRESS(2,COLUMN())),OFFSET($BN$2,0,0,ROW()-1,60),ROW()-1,FALSE))</f>
        <v/>
      </c>
      <c r="AY116" t="str">
        <f ca="1">IF(AND(ISNUMBER($AY$788),$B$677=1),$AY$788,HLOOKUP(INDIRECT(ADDRESS(2,COLUMN())),OFFSET($BN$2,0,0,ROW()-1,60),ROW()-1,FALSE))</f>
        <v/>
      </c>
      <c r="AZ116" t="str">
        <f ca="1">IF(AND(ISNUMBER($AZ$788),$B$677=1),$AZ$788,HLOOKUP(INDIRECT(ADDRESS(2,COLUMN())),OFFSET($BN$2,0,0,ROW()-1,60),ROW()-1,FALSE))</f>
        <v/>
      </c>
      <c r="BA116" t="str">
        <f ca="1">IF(AND(ISNUMBER($BA$788),$B$677=1),$BA$788,HLOOKUP(INDIRECT(ADDRESS(2,COLUMN())),OFFSET($BN$2,0,0,ROW()-1,60),ROW()-1,FALSE))</f>
        <v/>
      </c>
      <c r="BB116" t="str">
        <f ca="1">IF(AND(ISNUMBER($BB$788),$B$677=1),$BB$788,HLOOKUP(INDIRECT(ADDRESS(2,COLUMN())),OFFSET($BN$2,0,0,ROW()-1,60),ROW()-1,FALSE))</f>
        <v/>
      </c>
      <c r="BC116" t="str">
        <f ca="1">IF(AND(ISNUMBER($BC$788),$B$677=1),$BC$788,HLOOKUP(INDIRECT(ADDRESS(2,COLUMN())),OFFSET($BN$2,0,0,ROW()-1,60),ROW()-1,FALSE))</f>
        <v/>
      </c>
      <c r="BD116" t="str">
        <f ca="1">IF(AND(ISNUMBER($BD$788),$B$677=1),$BD$788,HLOOKUP(INDIRECT(ADDRESS(2,COLUMN())),OFFSET($BN$2,0,0,ROW()-1,60),ROW()-1,FALSE))</f>
        <v/>
      </c>
      <c r="BE116" t="str">
        <f ca="1">IF(AND(ISNUMBER($BE$788),$B$677=1),$BE$788,HLOOKUP(INDIRECT(ADDRESS(2,COLUMN())),OFFSET($BN$2,0,0,ROW()-1,60),ROW()-1,FALSE))</f>
        <v/>
      </c>
      <c r="BF116" t="str">
        <f ca="1">IF(AND(ISNUMBER($BF$788),$B$677=1),$BF$788,HLOOKUP(INDIRECT(ADDRESS(2,COLUMN())),OFFSET($BN$2,0,0,ROW()-1,60),ROW()-1,FALSE))</f>
        <v/>
      </c>
      <c r="BG116" t="str">
        <f ca="1">IF(AND(ISNUMBER($BG$788),$B$677=1),$BG$788,HLOOKUP(INDIRECT(ADDRESS(2,COLUMN())),OFFSET($BN$2,0,0,ROW()-1,60),ROW()-1,FALSE))</f>
        <v/>
      </c>
      <c r="BH116" t="str">
        <f ca="1">IF(AND(ISNUMBER($BH$788),$B$677=1),$BH$788,HLOOKUP(INDIRECT(ADDRESS(2,COLUMN())),OFFSET($BN$2,0,0,ROW()-1,60),ROW()-1,FALSE))</f>
        <v/>
      </c>
      <c r="BI116" t="str">
        <f ca="1">IF(AND(ISNUMBER($BI$788),$B$677=1),$BI$788,HLOOKUP(INDIRECT(ADDRESS(2,COLUMN())),OFFSET($BN$2,0,0,ROW()-1,60),ROW()-1,FALSE))</f>
        <v/>
      </c>
      <c r="BJ116" t="str">
        <f ca="1">IF(AND(ISNUMBER($BJ$788),$B$677=1),$BJ$788,HLOOKUP(INDIRECT(ADDRESS(2,COLUMN())),OFFSET($BN$2,0,0,ROW()-1,60),ROW()-1,FALSE))</f>
        <v/>
      </c>
      <c r="BK116" t="str">
        <f ca="1">IF(AND(ISNUMBER($BK$788),$B$677=1),$BK$788,HLOOKUP(INDIRECT(ADDRESS(2,COLUMN())),OFFSET($BN$2,0,0,ROW()-1,60),ROW()-1,FALSE))</f>
        <v/>
      </c>
      <c r="BL116" t="str">
        <f ca="1">IF(AND(ISNUMBER($BL$788),$B$677=1),$BL$788,HLOOKUP(INDIRECT(ADDRESS(2,COLUMN())),OFFSET($BN$2,0,0,ROW()-1,60),ROW()-1,FALSE))</f>
        <v/>
      </c>
      <c r="BM116" t="str">
        <f ca="1">IF(AND(ISNUMBER($BM$788),$B$677=1),$BM$788,HLOOKUP(INDIRECT(ADDRESS(2,COLUMN())),OFFSET($BN$2,0,0,ROW()-1,60),ROW()-1,FALSE))</f>
        <v/>
      </c>
      <c r="BN116">
        <f>12.82587705</f>
        <v>12.825877050000001</v>
      </c>
      <c r="BO116">
        <f>13.13163824</f>
        <v>13.131638239999999</v>
      </c>
      <c r="BP116">
        <f>16.4145478</f>
        <v>16.414547800000001</v>
      </c>
      <c r="BQ116">
        <f>10.65539984</f>
        <v>10.655399839999999</v>
      </c>
      <c r="BR116">
        <f>7.445967317</f>
        <v>7.445967317</v>
      </c>
      <c r="BS116">
        <f>6.254399196</f>
        <v>6.2543991959999996</v>
      </c>
      <c r="BT116">
        <f>5.656465943</f>
        <v>5.6564659429999997</v>
      </c>
      <c r="BU116">
        <f>5.794669299</f>
        <v>5.7946692989999997</v>
      </c>
      <c r="BV116">
        <f>5.33640553</f>
        <v>5.3364055300000004</v>
      </c>
      <c r="BW116">
        <f>5.134357006</f>
        <v>5.1343570060000001</v>
      </c>
      <c r="BX116">
        <f>5.604606526</f>
        <v>5.6046065260000004</v>
      </c>
      <c r="BY116">
        <f>2.515832898</f>
        <v>2.5158328980000002</v>
      </c>
      <c r="BZ116">
        <f>2.393817907</f>
        <v>2.3938179069999999</v>
      </c>
      <c r="CA116">
        <f>2.335715531</f>
        <v>2.335715531</v>
      </c>
      <c r="CB116">
        <f>2.562314799</f>
        <v>2.5623147990000001</v>
      </c>
      <c r="CC116">
        <f>1.396885323</f>
        <v>1.396885323</v>
      </c>
      <c r="CD116">
        <f>1.138901998</f>
        <v>1.1389019979999999</v>
      </c>
      <c r="CE116" t="str">
        <f>""</f>
        <v/>
      </c>
      <c r="CF116" t="str">
        <f>""</f>
        <v/>
      </c>
      <c r="CG116" t="str">
        <f>""</f>
        <v/>
      </c>
      <c r="CH116" t="str">
        <f>""</f>
        <v/>
      </c>
      <c r="CI116" t="str">
        <f>""</f>
        <v/>
      </c>
      <c r="CJ116" t="str">
        <f>""</f>
        <v/>
      </c>
      <c r="CK116" t="str">
        <f>""</f>
        <v/>
      </c>
      <c r="CL116" t="str">
        <f>""</f>
        <v/>
      </c>
      <c r="CM116" t="str">
        <f>""</f>
        <v/>
      </c>
      <c r="CN116" t="str">
        <f>""</f>
        <v/>
      </c>
      <c r="CO116" t="str">
        <f>""</f>
        <v/>
      </c>
      <c r="CP116" t="str">
        <f>""</f>
        <v/>
      </c>
      <c r="CQ116" t="str">
        <f>""</f>
        <v/>
      </c>
      <c r="CR116" t="str">
        <f>""</f>
        <v/>
      </c>
      <c r="CS116" t="str">
        <f>""</f>
        <v/>
      </c>
      <c r="CT116" t="str">
        <f>""</f>
        <v/>
      </c>
      <c r="CU116" t="str">
        <f>""</f>
        <v/>
      </c>
      <c r="CV116" t="str">
        <f>""</f>
        <v/>
      </c>
      <c r="CW116" t="str">
        <f>""</f>
        <v/>
      </c>
      <c r="CX116" t="str">
        <f>""</f>
        <v/>
      </c>
      <c r="CY116" t="str">
        <f>""</f>
        <v/>
      </c>
      <c r="CZ116" t="str">
        <f>""</f>
        <v/>
      </c>
      <c r="DA116" t="str">
        <f>""</f>
        <v/>
      </c>
      <c r="DB116" t="str">
        <f>""</f>
        <v/>
      </c>
      <c r="DC116" t="str">
        <f>""</f>
        <v/>
      </c>
      <c r="DD116" t="str">
        <f>""</f>
        <v/>
      </c>
      <c r="DE116" t="str">
        <f>""</f>
        <v/>
      </c>
      <c r="DF116" t="str">
        <f>""</f>
        <v/>
      </c>
      <c r="DG116" t="str">
        <f>""</f>
        <v/>
      </c>
      <c r="DH116" t="str">
        <f>""</f>
        <v/>
      </c>
      <c r="DI116" t="str">
        <f>""</f>
        <v/>
      </c>
      <c r="DJ116" t="str">
        <f>""</f>
        <v/>
      </c>
      <c r="DK116" t="str">
        <f>""</f>
        <v/>
      </c>
      <c r="DL116" t="str">
        <f>""</f>
        <v/>
      </c>
      <c r="DM116" t="str">
        <f>""</f>
        <v/>
      </c>
      <c r="DN116" t="str">
        <f>""</f>
        <v/>
      </c>
      <c r="DO116" t="str">
        <f>""</f>
        <v/>
      </c>
      <c r="DP116" t="str">
        <f>""</f>
        <v/>
      </c>
      <c r="DQ116" t="str">
        <f>""</f>
        <v/>
      </c>
      <c r="DR116" t="str">
        <f>""</f>
        <v/>
      </c>
      <c r="DS116" t="str">
        <f>""</f>
        <v/>
      </c>
      <c r="DT116" t="str">
        <f>""</f>
        <v/>
      </c>
      <c r="DU116" t="str">
        <f>""</f>
        <v/>
      </c>
    </row>
    <row r="117" spans="1:125" x14ac:dyDescent="0.25">
      <c r="A117" t="str">
        <f>"    Ssangyong Motor Co"</f>
        <v xml:space="preserve">    Ssangyong Motor Co</v>
      </c>
      <c r="B117" t="str">
        <f>"003620 KS Equity"</f>
        <v>003620 KS Equity</v>
      </c>
      <c r="C117" t="str">
        <f t="shared" si="6"/>
        <v>EZ010</v>
      </c>
      <c r="D117" t="str">
        <f t="shared" si="7"/>
        <v>BEST_EST_PE_NXT_YR</v>
      </c>
      <c r="E117" t="str">
        <f t="shared" si="8"/>
        <v>Dynamic</v>
      </c>
      <c r="F117">
        <f ca="1">IF(AND(ISNUMBER($F$789),$B$677=1),$F$789,HLOOKUP(INDIRECT(ADDRESS(2,COLUMN())),OFFSET($BN$2,0,0,ROW()-1,60),ROW()-1,FALSE))</f>
        <v>11.90140845</v>
      </c>
      <c r="G117" t="str">
        <f ca="1">IF(AND(ISNUMBER($G$789),$B$677=1),$G$789,HLOOKUP(INDIRECT(ADDRESS(2,COLUMN())),OFFSET($BN$2,0,0,ROW()-1,60),ROW()-1,FALSE))</f>
        <v/>
      </c>
      <c r="H117" t="str">
        <f ca="1">IF(AND(ISNUMBER($H$789),$B$677=1),$H$789,HLOOKUP(INDIRECT(ADDRESS(2,COLUMN())),OFFSET($BN$2,0,0,ROW()-1,60),ROW()-1,FALSE))</f>
        <v/>
      </c>
      <c r="I117">
        <f ca="1">IF(AND(ISNUMBER($I$789),$B$677=1),$I$789,HLOOKUP(INDIRECT(ADDRESS(2,COLUMN())),OFFSET($BN$2,0,0,ROW()-1,60),ROW()-1,FALSE))</f>
        <v>7.8153846150000001</v>
      </c>
      <c r="J117">
        <f ca="1">IF(AND(ISNUMBER($J$789),$B$677=1),$J$789,HLOOKUP(INDIRECT(ADDRESS(2,COLUMN())),OFFSET($BN$2,0,0,ROW()-1,60),ROW()-1,FALSE))</f>
        <v>7.6384615379999996</v>
      </c>
      <c r="K117">
        <f ca="1">IF(AND(ISNUMBER($K$789),$B$677=1),$K$789,HLOOKUP(INDIRECT(ADDRESS(2,COLUMN())),OFFSET($BN$2,0,0,ROW()-1,60),ROW()-1,FALSE))</f>
        <v>7.8769230769999998</v>
      </c>
      <c r="L117" t="str">
        <f ca="1">IF(AND(ISNUMBER($L$789),$B$677=1),$L$789,HLOOKUP(INDIRECT(ADDRESS(2,COLUMN())),OFFSET($BN$2,0,0,ROW()-1,60),ROW()-1,FALSE))</f>
        <v/>
      </c>
      <c r="M117" t="str">
        <f ca="1">IF(AND(ISNUMBER($M$789),$B$677=1),$M$789,HLOOKUP(INDIRECT(ADDRESS(2,COLUMN())),OFFSET($BN$2,0,0,ROW()-1,60),ROW()-1,FALSE))</f>
        <v/>
      </c>
      <c r="N117" t="str">
        <f ca="1">IF(AND(ISNUMBER($N$789),$B$677=1),$N$789,HLOOKUP(INDIRECT(ADDRESS(2,COLUMN())),OFFSET($BN$2,0,0,ROW()-1,60),ROW()-1,FALSE))</f>
        <v/>
      </c>
      <c r="O117" t="str">
        <f ca="1">IF(AND(ISNUMBER($O$789),$B$677=1),$O$789,HLOOKUP(INDIRECT(ADDRESS(2,COLUMN())),OFFSET($BN$2,0,0,ROW()-1,60),ROW()-1,FALSE))</f>
        <v/>
      </c>
      <c r="P117" t="str">
        <f ca="1">IF(AND(ISNUMBER($P$789),$B$677=1),$P$789,HLOOKUP(INDIRECT(ADDRESS(2,COLUMN())),OFFSET($BN$2,0,0,ROW()-1,60),ROW()-1,FALSE))</f>
        <v/>
      </c>
      <c r="Q117" t="str">
        <f ca="1">IF(AND(ISNUMBER($Q$789),$B$677=1),$Q$789,HLOOKUP(INDIRECT(ADDRESS(2,COLUMN())),OFFSET($BN$2,0,0,ROW()-1,60),ROW()-1,FALSE))</f>
        <v/>
      </c>
      <c r="R117" t="str">
        <f ca="1">IF(AND(ISNUMBER($R$789),$B$677=1),$R$789,HLOOKUP(INDIRECT(ADDRESS(2,COLUMN())),OFFSET($BN$2,0,0,ROW()-1,60),ROW()-1,FALSE))</f>
        <v/>
      </c>
      <c r="S117" t="str">
        <f ca="1">IF(AND(ISNUMBER($S$789),$B$677=1),$S$789,HLOOKUP(INDIRECT(ADDRESS(2,COLUMN())),OFFSET($BN$2,0,0,ROW()-1,60),ROW()-1,FALSE))</f>
        <v/>
      </c>
      <c r="T117" t="str">
        <f ca="1">IF(AND(ISNUMBER($T$789),$B$677=1),$T$789,HLOOKUP(INDIRECT(ADDRESS(2,COLUMN())),OFFSET($BN$2,0,0,ROW()-1,60),ROW()-1,FALSE))</f>
        <v/>
      </c>
      <c r="U117" t="str">
        <f ca="1">IF(AND(ISNUMBER($U$789),$B$677=1),$U$789,HLOOKUP(INDIRECT(ADDRESS(2,COLUMN())),OFFSET($BN$2,0,0,ROW()-1,60),ROW()-1,FALSE))</f>
        <v/>
      </c>
      <c r="V117" t="str">
        <f ca="1">IF(AND(ISNUMBER($V$789),$B$677=1),$V$789,HLOOKUP(INDIRECT(ADDRESS(2,COLUMN())),OFFSET($BN$2,0,0,ROW()-1,60),ROW()-1,FALSE))</f>
        <v/>
      </c>
      <c r="W117" t="str">
        <f ca="1">IF(AND(ISNUMBER($W$789),$B$677=1),$W$789,HLOOKUP(INDIRECT(ADDRESS(2,COLUMN())),OFFSET($BN$2,0,0,ROW()-1,60),ROW()-1,FALSE))</f>
        <v/>
      </c>
      <c r="X117" t="str">
        <f ca="1">IF(AND(ISNUMBER($X$789),$B$677=1),$X$789,HLOOKUP(INDIRECT(ADDRESS(2,COLUMN())),OFFSET($BN$2,0,0,ROW()-1,60),ROW()-1,FALSE))</f>
        <v/>
      </c>
      <c r="Y117" t="str">
        <f ca="1">IF(AND(ISNUMBER($Y$789),$B$677=1),$Y$789,HLOOKUP(INDIRECT(ADDRESS(2,COLUMN())),OFFSET($BN$2,0,0,ROW()-1,60),ROW()-1,FALSE))</f>
        <v/>
      </c>
      <c r="Z117" t="str">
        <f ca="1">IF(AND(ISNUMBER($Z$789),$B$677=1),$Z$789,HLOOKUP(INDIRECT(ADDRESS(2,COLUMN())),OFFSET($BN$2,0,0,ROW()-1,60),ROW()-1,FALSE))</f>
        <v/>
      </c>
      <c r="AA117" t="str">
        <f ca="1">IF(AND(ISNUMBER($AA$789),$B$677=1),$AA$789,HLOOKUP(INDIRECT(ADDRESS(2,COLUMN())),OFFSET($BN$2,0,0,ROW()-1,60),ROW()-1,FALSE))</f>
        <v/>
      </c>
      <c r="AB117" t="str">
        <f ca="1">IF(AND(ISNUMBER($AB$789),$B$677=1),$AB$789,HLOOKUP(INDIRECT(ADDRESS(2,COLUMN())),OFFSET($BN$2,0,0,ROW()-1,60),ROW()-1,FALSE))</f>
        <v/>
      </c>
      <c r="AC117" t="str">
        <f ca="1">IF(AND(ISNUMBER($AC$789),$B$677=1),$AC$789,HLOOKUP(INDIRECT(ADDRESS(2,COLUMN())),OFFSET($BN$2,0,0,ROW()-1,60),ROW()-1,FALSE))</f>
        <v/>
      </c>
      <c r="AD117" t="str">
        <f ca="1">IF(AND(ISNUMBER($AD$789),$B$677=1),$AD$789,HLOOKUP(INDIRECT(ADDRESS(2,COLUMN())),OFFSET($BN$2,0,0,ROW()-1,60),ROW()-1,FALSE))</f>
        <v/>
      </c>
      <c r="AE117" t="str">
        <f ca="1">IF(AND(ISNUMBER($AE$789),$B$677=1),$AE$789,HLOOKUP(INDIRECT(ADDRESS(2,COLUMN())),OFFSET($BN$2,0,0,ROW()-1,60),ROW()-1,FALSE))</f>
        <v/>
      </c>
      <c r="AF117" t="str">
        <f ca="1">IF(AND(ISNUMBER($AF$789),$B$677=1),$AF$789,HLOOKUP(INDIRECT(ADDRESS(2,COLUMN())),OFFSET($BN$2,0,0,ROW()-1,60),ROW()-1,FALSE))</f>
        <v/>
      </c>
      <c r="AG117" t="str">
        <f ca="1">IF(AND(ISNUMBER($AG$789),$B$677=1),$AG$789,HLOOKUP(INDIRECT(ADDRESS(2,COLUMN())),OFFSET($BN$2,0,0,ROW()-1,60),ROW()-1,FALSE))</f>
        <v/>
      </c>
      <c r="AH117" t="str">
        <f ca="1">IF(AND(ISNUMBER($AH$789),$B$677=1),$AH$789,HLOOKUP(INDIRECT(ADDRESS(2,COLUMN())),OFFSET($BN$2,0,0,ROW()-1,60),ROW()-1,FALSE))</f>
        <v/>
      </c>
      <c r="AI117" t="str">
        <f ca="1">IF(AND(ISNUMBER($AI$789),$B$677=1),$AI$789,HLOOKUP(INDIRECT(ADDRESS(2,COLUMN())),OFFSET($BN$2,0,0,ROW()-1,60),ROW()-1,FALSE))</f>
        <v/>
      </c>
      <c r="AJ117" t="str">
        <f ca="1">IF(AND(ISNUMBER($AJ$789),$B$677=1),$AJ$789,HLOOKUP(INDIRECT(ADDRESS(2,COLUMN())),OFFSET($BN$2,0,0,ROW()-1,60),ROW()-1,FALSE))</f>
        <v/>
      </c>
      <c r="AK117" t="str">
        <f ca="1">IF(AND(ISNUMBER($AK$789),$B$677=1),$AK$789,HLOOKUP(INDIRECT(ADDRESS(2,COLUMN())),OFFSET($BN$2,0,0,ROW()-1,60),ROW()-1,FALSE))</f>
        <v/>
      </c>
      <c r="AL117" t="str">
        <f ca="1">IF(AND(ISNUMBER($AL$789),$B$677=1),$AL$789,HLOOKUP(INDIRECT(ADDRESS(2,COLUMN())),OFFSET($BN$2,0,0,ROW()-1,60),ROW()-1,FALSE))</f>
        <v/>
      </c>
      <c r="AM117" t="str">
        <f ca="1">IF(AND(ISNUMBER($AM$789),$B$677=1),$AM$789,HLOOKUP(INDIRECT(ADDRESS(2,COLUMN())),OFFSET($BN$2,0,0,ROW()-1,60),ROW()-1,FALSE))</f>
        <v/>
      </c>
      <c r="AN117" t="str">
        <f ca="1">IF(AND(ISNUMBER($AN$789),$B$677=1),$AN$789,HLOOKUP(INDIRECT(ADDRESS(2,COLUMN())),OFFSET($BN$2,0,0,ROW()-1,60),ROW()-1,FALSE))</f>
        <v/>
      </c>
      <c r="AO117" t="str">
        <f ca="1">IF(AND(ISNUMBER($AO$789),$B$677=1),$AO$789,HLOOKUP(INDIRECT(ADDRESS(2,COLUMN())),OFFSET($BN$2,0,0,ROW()-1,60),ROW()-1,FALSE))</f>
        <v/>
      </c>
      <c r="AP117" t="str">
        <f ca="1">IF(AND(ISNUMBER($AP$789),$B$677=1),$AP$789,HLOOKUP(INDIRECT(ADDRESS(2,COLUMN())),OFFSET($BN$2,0,0,ROW()-1,60),ROW()-1,FALSE))</f>
        <v/>
      </c>
      <c r="AQ117" t="str">
        <f ca="1">IF(AND(ISNUMBER($AQ$789),$B$677=1),$AQ$789,HLOOKUP(INDIRECT(ADDRESS(2,COLUMN())),OFFSET($BN$2,0,0,ROW()-1,60),ROW()-1,FALSE))</f>
        <v/>
      </c>
      <c r="AR117" t="str">
        <f ca="1">IF(AND(ISNUMBER($AR$789),$B$677=1),$AR$789,HLOOKUP(INDIRECT(ADDRESS(2,COLUMN())),OFFSET($BN$2,0,0,ROW()-1,60),ROW()-1,FALSE))</f>
        <v/>
      </c>
      <c r="AS117" t="str">
        <f ca="1">IF(AND(ISNUMBER($AS$789),$B$677=1),$AS$789,HLOOKUP(INDIRECT(ADDRESS(2,COLUMN())),OFFSET($BN$2,0,0,ROW()-1,60),ROW()-1,FALSE))</f>
        <v/>
      </c>
      <c r="AT117" t="str">
        <f ca="1">IF(AND(ISNUMBER($AT$789),$B$677=1),$AT$789,HLOOKUP(INDIRECT(ADDRESS(2,COLUMN())),OFFSET($BN$2,0,0,ROW()-1,60),ROW()-1,FALSE))</f>
        <v/>
      </c>
      <c r="AU117" t="str">
        <f ca="1">IF(AND(ISNUMBER($AU$789),$B$677=1),$AU$789,HLOOKUP(INDIRECT(ADDRESS(2,COLUMN())),OFFSET($BN$2,0,0,ROW()-1,60),ROW()-1,FALSE))</f>
        <v/>
      </c>
      <c r="AV117" t="str">
        <f ca="1">IF(AND(ISNUMBER($AV$789),$B$677=1),$AV$789,HLOOKUP(INDIRECT(ADDRESS(2,COLUMN())),OFFSET($BN$2,0,0,ROW()-1,60),ROW()-1,FALSE))</f>
        <v/>
      </c>
      <c r="AW117" t="str">
        <f ca="1">IF(AND(ISNUMBER($AW$789),$B$677=1),$AW$789,HLOOKUP(INDIRECT(ADDRESS(2,COLUMN())),OFFSET($BN$2,0,0,ROW()-1,60),ROW()-1,FALSE))</f>
        <v/>
      </c>
      <c r="AX117" t="str">
        <f ca="1">IF(AND(ISNUMBER($AX$789),$B$677=1),$AX$789,HLOOKUP(INDIRECT(ADDRESS(2,COLUMN())),OFFSET($BN$2,0,0,ROW()-1,60),ROW()-1,FALSE))</f>
        <v/>
      </c>
      <c r="AY117" t="str">
        <f ca="1">IF(AND(ISNUMBER($AY$789),$B$677=1),$AY$789,HLOOKUP(INDIRECT(ADDRESS(2,COLUMN())),OFFSET($BN$2,0,0,ROW()-1,60),ROW()-1,FALSE))</f>
        <v/>
      </c>
      <c r="AZ117" t="str">
        <f ca="1">IF(AND(ISNUMBER($AZ$789),$B$677=1),$AZ$789,HLOOKUP(INDIRECT(ADDRESS(2,COLUMN())),OFFSET($BN$2,0,0,ROW()-1,60),ROW()-1,FALSE))</f>
        <v/>
      </c>
      <c r="BA117" t="str">
        <f ca="1">IF(AND(ISNUMBER($BA$789),$B$677=1),$BA$789,HLOOKUP(INDIRECT(ADDRESS(2,COLUMN())),OFFSET($BN$2,0,0,ROW()-1,60),ROW()-1,FALSE))</f>
        <v/>
      </c>
      <c r="BB117" t="str">
        <f ca="1">IF(AND(ISNUMBER($BB$789),$B$677=1),$BB$789,HLOOKUP(INDIRECT(ADDRESS(2,COLUMN())),OFFSET($BN$2,0,0,ROW()-1,60),ROW()-1,FALSE))</f>
        <v/>
      </c>
      <c r="BC117" t="str">
        <f ca="1">IF(AND(ISNUMBER($BC$789),$B$677=1),$BC$789,HLOOKUP(INDIRECT(ADDRESS(2,COLUMN())),OFFSET($BN$2,0,0,ROW()-1,60),ROW()-1,FALSE))</f>
        <v/>
      </c>
      <c r="BD117" t="str">
        <f ca="1">IF(AND(ISNUMBER($BD$789),$B$677=1),$BD$789,HLOOKUP(INDIRECT(ADDRESS(2,COLUMN())),OFFSET($BN$2,0,0,ROW()-1,60),ROW()-1,FALSE))</f>
        <v/>
      </c>
      <c r="BE117" t="str">
        <f ca="1">IF(AND(ISNUMBER($BE$789),$B$677=1),$BE$789,HLOOKUP(INDIRECT(ADDRESS(2,COLUMN())),OFFSET($BN$2,0,0,ROW()-1,60),ROW()-1,FALSE))</f>
        <v/>
      </c>
      <c r="BF117" t="str">
        <f ca="1">IF(AND(ISNUMBER($BF$789),$B$677=1),$BF$789,HLOOKUP(INDIRECT(ADDRESS(2,COLUMN())),OFFSET($BN$2,0,0,ROW()-1,60),ROW()-1,FALSE))</f>
        <v/>
      </c>
      <c r="BG117" t="str">
        <f ca="1">IF(AND(ISNUMBER($BG$789),$B$677=1),$BG$789,HLOOKUP(INDIRECT(ADDRESS(2,COLUMN())),OFFSET($BN$2,0,0,ROW()-1,60),ROW()-1,FALSE))</f>
        <v/>
      </c>
      <c r="BH117" t="str">
        <f ca="1">IF(AND(ISNUMBER($BH$789),$B$677=1),$BH$789,HLOOKUP(INDIRECT(ADDRESS(2,COLUMN())),OFFSET($BN$2,0,0,ROW()-1,60),ROW()-1,FALSE))</f>
        <v/>
      </c>
      <c r="BI117" t="str">
        <f ca="1">IF(AND(ISNUMBER($BI$789),$B$677=1),$BI$789,HLOOKUP(INDIRECT(ADDRESS(2,COLUMN())),OFFSET($BN$2,0,0,ROW()-1,60),ROW()-1,FALSE))</f>
        <v/>
      </c>
      <c r="BJ117" t="str">
        <f ca="1">IF(AND(ISNUMBER($BJ$789),$B$677=1),$BJ$789,HLOOKUP(INDIRECT(ADDRESS(2,COLUMN())),OFFSET($BN$2,0,0,ROW()-1,60),ROW()-1,FALSE))</f>
        <v/>
      </c>
      <c r="BK117" t="str">
        <f ca="1">IF(AND(ISNUMBER($BK$789),$B$677=1),$BK$789,HLOOKUP(INDIRECT(ADDRESS(2,COLUMN())),OFFSET($BN$2,0,0,ROW()-1,60),ROW()-1,FALSE))</f>
        <v/>
      </c>
      <c r="BL117" t="str">
        <f ca="1">IF(AND(ISNUMBER($BL$789),$B$677=1),$BL$789,HLOOKUP(INDIRECT(ADDRESS(2,COLUMN())),OFFSET($BN$2,0,0,ROW()-1,60),ROW()-1,FALSE))</f>
        <v/>
      </c>
      <c r="BM117" t="str">
        <f ca="1">IF(AND(ISNUMBER($BM$789),$B$677=1),$BM$789,HLOOKUP(INDIRECT(ADDRESS(2,COLUMN())),OFFSET($BN$2,0,0,ROW()-1,60),ROW()-1,FALSE))</f>
        <v/>
      </c>
      <c r="BN117">
        <f>11.90140845</f>
        <v>11.90140845</v>
      </c>
      <c r="BO117" t="str">
        <f>""</f>
        <v/>
      </c>
      <c r="BP117" t="str">
        <f>""</f>
        <v/>
      </c>
      <c r="BQ117">
        <f>7.815384615</f>
        <v>7.8153846150000001</v>
      </c>
      <c r="BR117">
        <f>7.638461538</f>
        <v>7.6384615379999996</v>
      </c>
      <c r="BS117">
        <f>7.876923077</f>
        <v>7.8769230769999998</v>
      </c>
      <c r="BT117" t="str">
        <f>""</f>
        <v/>
      </c>
      <c r="BU117" t="str">
        <f>""</f>
        <v/>
      </c>
      <c r="BV117" t="str">
        <f>""</f>
        <v/>
      </c>
      <c r="BW117" t="str">
        <f>""</f>
        <v/>
      </c>
      <c r="BX117" t="str">
        <f>""</f>
        <v/>
      </c>
      <c r="BY117" t="str">
        <f>""</f>
        <v/>
      </c>
      <c r="BZ117" t="str">
        <f>""</f>
        <v/>
      </c>
      <c r="CA117" t="str">
        <f>""</f>
        <v/>
      </c>
      <c r="CB117" t="str">
        <f>""</f>
        <v/>
      </c>
      <c r="CC117" t="str">
        <f>""</f>
        <v/>
      </c>
      <c r="CD117" t="str">
        <f>""</f>
        <v/>
      </c>
      <c r="CE117" t="str">
        <f>""</f>
        <v/>
      </c>
      <c r="CF117" t="str">
        <f>""</f>
        <v/>
      </c>
      <c r="CG117" t="str">
        <f>""</f>
        <v/>
      </c>
      <c r="CH117" t="str">
        <f>""</f>
        <v/>
      </c>
      <c r="CI117" t="str">
        <f>""</f>
        <v/>
      </c>
      <c r="CJ117" t="str">
        <f>""</f>
        <v/>
      </c>
      <c r="CK117" t="str">
        <f>""</f>
        <v/>
      </c>
      <c r="CL117" t="str">
        <f>""</f>
        <v/>
      </c>
      <c r="CM117" t="str">
        <f>""</f>
        <v/>
      </c>
      <c r="CN117" t="str">
        <f>""</f>
        <v/>
      </c>
      <c r="CO117" t="str">
        <f>""</f>
        <v/>
      </c>
      <c r="CP117" t="str">
        <f>""</f>
        <v/>
      </c>
      <c r="CQ117" t="str">
        <f>""</f>
        <v/>
      </c>
      <c r="CR117" t="str">
        <f>""</f>
        <v/>
      </c>
      <c r="CS117" t="str">
        <f>""</f>
        <v/>
      </c>
      <c r="CT117" t="str">
        <f>""</f>
        <v/>
      </c>
      <c r="CU117" t="str">
        <f>""</f>
        <v/>
      </c>
      <c r="CV117" t="str">
        <f>""</f>
        <v/>
      </c>
      <c r="CW117" t="str">
        <f>""</f>
        <v/>
      </c>
      <c r="CX117" t="str">
        <f>""</f>
        <v/>
      </c>
      <c r="CY117" t="str">
        <f>""</f>
        <v/>
      </c>
      <c r="CZ117" t="str">
        <f>""</f>
        <v/>
      </c>
      <c r="DA117" t="str">
        <f>""</f>
        <v/>
      </c>
      <c r="DB117" t="str">
        <f>""</f>
        <v/>
      </c>
      <c r="DC117" t="str">
        <f>""</f>
        <v/>
      </c>
      <c r="DD117" t="str">
        <f>""</f>
        <v/>
      </c>
      <c r="DE117" t="str">
        <f>""</f>
        <v/>
      </c>
      <c r="DF117" t="str">
        <f>""</f>
        <v/>
      </c>
      <c r="DG117" t="str">
        <f>""</f>
        <v/>
      </c>
      <c r="DH117" t="str">
        <f>""</f>
        <v/>
      </c>
      <c r="DI117" t="str">
        <f>""</f>
        <v/>
      </c>
      <c r="DJ117" t="str">
        <f>""</f>
        <v/>
      </c>
      <c r="DK117" t="str">
        <f>""</f>
        <v/>
      </c>
      <c r="DL117" t="str">
        <f>""</f>
        <v/>
      </c>
      <c r="DM117" t="str">
        <f>""</f>
        <v/>
      </c>
      <c r="DN117" t="str">
        <f>""</f>
        <v/>
      </c>
      <c r="DO117" t="str">
        <f>""</f>
        <v/>
      </c>
      <c r="DP117" t="str">
        <f>""</f>
        <v/>
      </c>
      <c r="DQ117" t="str">
        <f>""</f>
        <v/>
      </c>
      <c r="DR117" t="str">
        <f>""</f>
        <v/>
      </c>
      <c r="DS117" t="str">
        <f>""</f>
        <v/>
      </c>
      <c r="DT117" t="str">
        <f>""</f>
        <v/>
      </c>
      <c r="DU117" t="str">
        <f>""</f>
        <v/>
      </c>
    </row>
    <row r="118" spans="1:125" x14ac:dyDescent="0.25">
      <c r="A118" t="str">
        <f>"    Subaru Corp"</f>
        <v xml:space="preserve">    Subaru Corp</v>
      </c>
      <c r="B118" t="str">
        <f>"7270 JP Equity"</f>
        <v>7270 JP Equity</v>
      </c>
      <c r="C118" t="str">
        <f t="shared" si="6"/>
        <v>EZ010</v>
      </c>
      <c r="D118" t="str">
        <f t="shared" si="7"/>
        <v>BEST_EST_PE_NXT_YR</v>
      </c>
      <c r="E118" t="str">
        <f t="shared" si="8"/>
        <v>Dynamic</v>
      </c>
      <c r="F118">
        <f ca="1">IF(AND(ISNUMBER($F$790),$B$677=1),$F$790,HLOOKUP(INDIRECT(ADDRESS(2,COLUMN())),OFFSET($BN$2,0,0,ROW()-1,60),ROW()-1,FALSE))</f>
        <v>8.8573084939999998</v>
      </c>
      <c r="G118">
        <f ca="1">IF(AND(ISNUMBER($G$790),$B$677=1),$G$790,HLOOKUP(INDIRECT(ADDRESS(2,COLUMN())),OFFSET($BN$2,0,0,ROW()-1,60),ROW()-1,FALSE))</f>
        <v>6.9601120700000001</v>
      </c>
      <c r="H118">
        <f ca="1">IF(AND(ISNUMBER($H$790),$B$677=1),$H$790,HLOOKUP(INDIRECT(ADDRESS(2,COLUMN())),OFFSET($BN$2,0,0,ROW()-1,60),ROW()-1,FALSE))</f>
        <v>9.0410510479999999</v>
      </c>
      <c r="I118">
        <f ca="1">IF(AND(ISNUMBER($I$790),$B$677=1),$I$790,HLOOKUP(INDIRECT(ADDRESS(2,COLUMN())),OFFSET($BN$2,0,0,ROW()-1,60),ROW()-1,FALSE))</f>
        <v>8.3864038839999999</v>
      </c>
      <c r="J118">
        <f ca="1">IF(AND(ISNUMBER($J$790),$B$677=1),$J$790,HLOOKUP(INDIRECT(ADDRESS(2,COLUMN())),OFFSET($BN$2,0,0,ROW()-1,60),ROW()-1,FALSE))</f>
        <v>8.4805120899999995</v>
      </c>
      <c r="K118">
        <f ca="1">IF(AND(ISNUMBER($K$790),$B$677=1),$K$790,HLOOKUP(INDIRECT(ADDRESS(2,COLUMN())),OFFSET($BN$2,0,0,ROW()-1,60),ROW()-1,FALSE))</f>
        <v>8.2593191079999997</v>
      </c>
      <c r="L118">
        <f ca="1">IF(AND(ISNUMBER($L$790),$B$677=1),$L$790,HLOOKUP(INDIRECT(ADDRESS(2,COLUMN())),OFFSET($BN$2,0,0,ROW()-1,60),ROW()-1,FALSE))</f>
        <v>8.4141066850000001</v>
      </c>
      <c r="M118">
        <f ca="1">IF(AND(ISNUMBER($M$790),$B$677=1),$M$790,HLOOKUP(INDIRECT(ADDRESS(2,COLUMN())),OFFSET($BN$2,0,0,ROW()-1,60),ROW()-1,FALSE))</f>
        <v>7.9518770710000002</v>
      </c>
      <c r="N118">
        <f ca="1">IF(AND(ISNUMBER($N$790),$B$677=1),$N$790,HLOOKUP(INDIRECT(ADDRESS(2,COLUMN())),OFFSET($BN$2,0,0,ROW()-1,60),ROW()-1,FALSE))</f>
        <v>6.113648274</v>
      </c>
      <c r="O118">
        <f ca="1">IF(AND(ISNUMBER($O$790),$B$677=1),$O$790,HLOOKUP(INDIRECT(ADDRESS(2,COLUMN())),OFFSET($BN$2,0,0,ROW()-1,60),ROW()-1,FALSE))</f>
        <v>8.415483643</v>
      </c>
      <c r="P118">
        <f ca="1">IF(AND(ISNUMBER($P$790),$B$677=1),$P$790,HLOOKUP(INDIRECT(ADDRESS(2,COLUMN())),OFFSET($BN$2,0,0,ROW()-1,60),ROW()-1,FALSE))</f>
        <v>7.2100614439999999</v>
      </c>
      <c r="Q118">
        <f ca="1">IF(AND(ISNUMBER($Q$790),$B$677=1),$Q$790,HLOOKUP(INDIRECT(ADDRESS(2,COLUMN())),OFFSET($BN$2,0,0,ROW()-1,60),ROW()-1,FALSE))</f>
        <v>6.4146071559999998</v>
      </c>
      <c r="R118">
        <f ca="1">IF(AND(ISNUMBER($R$790),$B$677=1),$R$790,HLOOKUP(INDIRECT(ADDRESS(2,COLUMN())),OFFSET($BN$2,0,0,ROW()-1,60),ROW()-1,FALSE))</f>
        <v>7.1013845470000003</v>
      </c>
      <c r="S118">
        <f ca="1">IF(AND(ISNUMBER($S$790),$B$677=1),$S$790,HLOOKUP(INDIRECT(ADDRESS(2,COLUMN())),OFFSET($BN$2,0,0,ROW()-1,60),ROW()-1,FALSE))</f>
        <v>8.2721737700000002</v>
      </c>
      <c r="T118">
        <f ca="1">IF(AND(ISNUMBER($T$790),$B$677=1),$T$790,HLOOKUP(INDIRECT(ADDRESS(2,COLUMN())),OFFSET($BN$2,0,0,ROW()-1,60),ROW()-1,FALSE))</f>
        <v>7.1264559070000004</v>
      </c>
      <c r="U118">
        <f ca="1">IF(AND(ISNUMBER($U$790),$B$677=1),$U$790,HLOOKUP(INDIRECT(ADDRESS(2,COLUMN())),OFFSET($BN$2,0,0,ROW()-1,60),ROW()-1,FALSE))</f>
        <v>7.5170918789999996</v>
      </c>
      <c r="V118" t="str">
        <f ca="1">IF(AND(ISNUMBER($V$790),$B$677=1),$V$790,HLOOKUP(INDIRECT(ADDRESS(2,COLUMN())),OFFSET($BN$2,0,0,ROW()-1,60),ROW()-1,FALSE))</f>
        <v/>
      </c>
      <c r="W118" t="str">
        <f ca="1">IF(AND(ISNUMBER($W$790),$B$677=1),$W$790,HLOOKUP(INDIRECT(ADDRESS(2,COLUMN())),OFFSET($BN$2,0,0,ROW()-1,60),ROW()-1,FALSE))</f>
        <v/>
      </c>
      <c r="X118" t="str">
        <f ca="1">IF(AND(ISNUMBER($X$790),$B$677=1),$X$790,HLOOKUP(INDIRECT(ADDRESS(2,COLUMN())),OFFSET($BN$2,0,0,ROW()-1,60),ROW()-1,FALSE))</f>
        <v/>
      </c>
      <c r="Y118" t="str">
        <f ca="1">IF(AND(ISNUMBER($Y$790),$B$677=1),$Y$790,HLOOKUP(INDIRECT(ADDRESS(2,COLUMN())),OFFSET($BN$2,0,0,ROW()-1,60),ROW()-1,FALSE))</f>
        <v/>
      </c>
      <c r="Z118" t="str">
        <f ca="1">IF(AND(ISNUMBER($Z$790),$B$677=1),$Z$790,HLOOKUP(INDIRECT(ADDRESS(2,COLUMN())),OFFSET($BN$2,0,0,ROW()-1,60),ROW()-1,FALSE))</f>
        <v/>
      </c>
      <c r="AA118" t="str">
        <f ca="1">IF(AND(ISNUMBER($AA$790),$B$677=1),$AA$790,HLOOKUP(INDIRECT(ADDRESS(2,COLUMN())),OFFSET($BN$2,0,0,ROW()-1,60),ROW()-1,FALSE))</f>
        <v/>
      </c>
      <c r="AB118" t="str">
        <f ca="1">IF(AND(ISNUMBER($AB$790),$B$677=1),$AB$790,HLOOKUP(INDIRECT(ADDRESS(2,COLUMN())),OFFSET($BN$2,0,0,ROW()-1,60),ROW()-1,FALSE))</f>
        <v/>
      </c>
      <c r="AC118" t="str">
        <f ca="1">IF(AND(ISNUMBER($AC$790),$B$677=1),$AC$790,HLOOKUP(INDIRECT(ADDRESS(2,COLUMN())),OFFSET($BN$2,0,0,ROW()-1,60),ROW()-1,FALSE))</f>
        <v/>
      </c>
      <c r="AD118" t="str">
        <f ca="1">IF(AND(ISNUMBER($AD$790),$B$677=1),$AD$790,HLOOKUP(INDIRECT(ADDRESS(2,COLUMN())),OFFSET($BN$2,0,0,ROW()-1,60),ROW()-1,FALSE))</f>
        <v/>
      </c>
      <c r="AE118" t="str">
        <f ca="1">IF(AND(ISNUMBER($AE$790),$B$677=1),$AE$790,HLOOKUP(INDIRECT(ADDRESS(2,COLUMN())),OFFSET($BN$2,0,0,ROW()-1,60),ROW()-1,FALSE))</f>
        <v/>
      </c>
      <c r="AF118" t="str">
        <f ca="1">IF(AND(ISNUMBER($AF$790),$B$677=1),$AF$790,HLOOKUP(INDIRECT(ADDRESS(2,COLUMN())),OFFSET($BN$2,0,0,ROW()-1,60),ROW()-1,FALSE))</f>
        <v/>
      </c>
      <c r="AG118" t="str">
        <f ca="1">IF(AND(ISNUMBER($AG$790),$B$677=1),$AG$790,HLOOKUP(INDIRECT(ADDRESS(2,COLUMN())),OFFSET($BN$2,0,0,ROW()-1,60),ROW()-1,FALSE))</f>
        <v/>
      </c>
      <c r="AH118" t="str">
        <f ca="1">IF(AND(ISNUMBER($AH$790),$B$677=1),$AH$790,HLOOKUP(INDIRECT(ADDRESS(2,COLUMN())),OFFSET($BN$2,0,0,ROW()-1,60),ROW()-1,FALSE))</f>
        <v/>
      </c>
      <c r="AI118" t="str">
        <f ca="1">IF(AND(ISNUMBER($AI$790),$B$677=1),$AI$790,HLOOKUP(INDIRECT(ADDRESS(2,COLUMN())),OFFSET($BN$2,0,0,ROW()-1,60),ROW()-1,FALSE))</f>
        <v/>
      </c>
      <c r="AJ118" t="str">
        <f ca="1">IF(AND(ISNUMBER($AJ$790),$B$677=1),$AJ$790,HLOOKUP(INDIRECT(ADDRESS(2,COLUMN())),OFFSET($BN$2,0,0,ROW()-1,60),ROW()-1,FALSE))</f>
        <v/>
      </c>
      <c r="AK118" t="str">
        <f ca="1">IF(AND(ISNUMBER($AK$790),$B$677=1),$AK$790,HLOOKUP(INDIRECT(ADDRESS(2,COLUMN())),OFFSET($BN$2,0,0,ROW()-1,60),ROW()-1,FALSE))</f>
        <v/>
      </c>
      <c r="AL118" t="str">
        <f ca="1">IF(AND(ISNUMBER($AL$790),$B$677=1),$AL$790,HLOOKUP(INDIRECT(ADDRESS(2,COLUMN())),OFFSET($BN$2,0,0,ROW()-1,60),ROW()-1,FALSE))</f>
        <v/>
      </c>
      <c r="AM118" t="str">
        <f ca="1">IF(AND(ISNUMBER($AM$790),$B$677=1),$AM$790,HLOOKUP(INDIRECT(ADDRESS(2,COLUMN())),OFFSET($BN$2,0,0,ROW()-1,60),ROW()-1,FALSE))</f>
        <v/>
      </c>
      <c r="AN118" t="str">
        <f ca="1">IF(AND(ISNUMBER($AN$790),$B$677=1),$AN$790,HLOOKUP(INDIRECT(ADDRESS(2,COLUMN())),OFFSET($BN$2,0,0,ROW()-1,60),ROW()-1,FALSE))</f>
        <v/>
      </c>
      <c r="AO118" t="str">
        <f ca="1">IF(AND(ISNUMBER($AO$790),$B$677=1),$AO$790,HLOOKUP(INDIRECT(ADDRESS(2,COLUMN())),OFFSET($BN$2,0,0,ROW()-1,60),ROW()-1,FALSE))</f>
        <v/>
      </c>
      <c r="AP118" t="str">
        <f ca="1">IF(AND(ISNUMBER($AP$790),$B$677=1),$AP$790,HLOOKUP(INDIRECT(ADDRESS(2,COLUMN())),OFFSET($BN$2,0,0,ROW()-1,60),ROW()-1,FALSE))</f>
        <v/>
      </c>
      <c r="AQ118" t="str">
        <f ca="1">IF(AND(ISNUMBER($AQ$790),$B$677=1),$AQ$790,HLOOKUP(INDIRECT(ADDRESS(2,COLUMN())),OFFSET($BN$2,0,0,ROW()-1,60),ROW()-1,FALSE))</f>
        <v/>
      </c>
      <c r="AR118" t="str">
        <f ca="1">IF(AND(ISNUMBER($AR$790),$B$677=1),$AR$790,HLOOKUP(INDIRECT(ADDRESS(2,COLUMN())),OFFSET($BN$2,0,0,ROW()-1,60),ROW()-1,FALSE))</f>
        <v/>
      </c>
      <c r="AS118" t="str">
        <f ca="1">IF(AND(ISNUMBER($AS$790),$B$677=1),$AS$790,HLOOKUP(INDIRECT(ADDRESS(2,COLUMN())),OFFSET($BN$2,0,0,ROW()-1,60),ROW()-1,FALSE))</f>
        <v/>
      </c>
      <c r="AT118" t="str">
        <f ca="1">IF(AND(ISNUMBER($AT$790),$B$677=1),$AT$790,HLOOKUP(INDIRECT(ADDRESS(2,COLUMN())),OFFSET($BN$2,0,0,ROW()-1,60),ROW()-1,FALSE))</f>
        <v/>
      </c>
      <c r="AU118" t="str">
        <f ca="1">IF(AND(ISNUMBER($AU$790),$B$677=1),$AU$790,HLOOKUP(INDIRECT(ADDRESS(2,COLUMN())),OFFSET($BN$2,0,0,ROW()-1,60),ROW()-1,FALSE))</f>
        <v/>
      </c>
      <c r="AV118" t="str">
        <f ca="1">IF(AND(ISNUMBER($AV$790),$B$677=1),$AV$790,HLOOKUP(INDIRECT(ADDRESS(2,COLUMN())),OFFSET($BN$2,0,0,ROW()-1,60),ROW()-1,FALSE))</f>
        <v/>
      </c>
      <c r="AW118" t="str">
        <f ca="1">IF(AND(ISNUMBER($AW$790),$B$677=1),$AW$790,HLOOKUP(INDIRECT(ADDRESS(2,COLUMN())),OFFSET($BN$2,0,0,ROW()-1,60),ROW()-1,FALSE))</f>
        <v/>
      </c>
      <c r="AX118" t="str">
        <f ca="1">IF(AND(ISNUMBER($AX$790),$B$677=1),$AX$790,HLOOKUP(INDIRECT(ADDRESS(2,COLUMN())),OFFSET($BN$2,0,0,ROW()-1,60),ROW()-1,FALSE))</f>
        <v/>
      </c>
      <c r="AY118" t="str">
        <f ca="1">IF(AND(ISNUMBER($AY$790),$B$677=1),$AY$790,HLOOKUP(INDIRECT(ADDRESS(2,COLUMN())),OFFSET($BN$2,0,0,ROW()-1,60),ROW()-1,FALSE))</f>
        <v/>
      </c>
      <c r="AZ118" t="str">
        <f ca="1">IF(AND(ISNUMBER($AZ$790),$B$677=1),$AZ$790,HLOOKUP(INDIRECT(ADDRESS(2,COLUMN())),OFFSET($BN$2,0,0,ROW()-1,60),ROW()-1,FALSE))</f>
        <v/>
      </c>
      <c r="BA118" t="str">
        <f ca="1">IF(AND(ISNUMBER($BA$790),$B$677=1),$BA$790,HLOOKUP(INDIRECT(ADDRESS(2,COLUMN())),OFFSET($BN$2,0,0,ROW()-1,60),ROW()-1,FALSE))</f>
        <v/>
      </c>
      <c r="BB118" t="str">
        <f ca="1">IF(AND(ISNUMBER($BB$790),$B$677=1),$BB$790,HLOOKUP(INDIRECT(ADDRESS(2,COLUMN())),OFFSET($BN$2,0,0,ROW()-1,60),ROW()-1,FALSE))</f>
        <v/>
      </c>
      <c r="BC118" t="str">
        <f ca="1">IF(AND(ISNUMBER($BC$790),$B$677=1),$BC$790,HLOOKUP(INDIRECT(ADDRESS(2,COLUMN())),OFFSET($BN$2,0,0,ROW()-1,60),ROW()-1,FALSE))</f>
        <v/>
      </c>
      <c r="BD118" t="str">
        <f ca="1">IF(AND(ISNUMBER($BD$790),$B$677=1),$BD$790,HLOOKUP(INDIRECT(ADDRESS(2,COLUMN())),OFFSET($BN$2,0,0,ROW()-1,60),ROW()-1,FALSE))</f>
        <v/>
      </c>
      <c r="BE118" t="str">
        <f ca="1">IF(AND(ISNUMBER($BE$790),$B$677=1),$BE$790,HLOOKUP(INDIRECT(ADDRESS(2,COLUMN())),OFFSET($BN$2,0,0,ROW()-1,60),ROW()-1,FALSE))</f>
        <v/>
      </c>
      <c r="BF118" t="str">
        <f ca="1">IF(AND(ISNUMBER($BF$790),$B$677=1),$BF$790,HLOOKUP(INDIRECT(ADDRESS(2,COLUMN())),OFFSET($BN$2,0,0,ROW()-1,60),ROW()-1,FALSE))</f>
        <v/>
      </c>
      <c r="BG118" t="str">
        <f ca="1">IF(AND(ISNUMBER($BG$790),$B$677=1),$BG$790,HLOOKUP(INDIRECT(ADDRESS(2,COLUMN())),OFFSET($BN$2,0,0,ROW()-1,60),ROW()-1,FALSE))</f>
        <v/>
      </c>
      <c r="BH118" t="str">
        <f ca="1">IF(AND(ISNUMBER($BH$790),$B$677=1),$BH$790,HLOOKUP(INDIRECT(ADDRESS(2,COLUMN())),OFFSET($BN$2,0,0,ROW()-1,60),ROW()-1,FALSE))</f>
        <v/>
      </c>
      <c r="BI118" t="str">
        <f ca="1">IF(AND(ISNUMBER($BI$790),$B$677=1),$BI$790,HLOOKUP(INDIRECT(ADDRESS(2,COLUMN())),OFFSET($BN$2,0,0,ROW()-1,60),ROW()-1,FALSE))</f>
        <v/>
      </c>
      <c r="BJ118" t="str">
        <f ca="1">IF(AND(ISNUMBER($BJ$790),$B$677=1),$BJ$790,HLOOKUP(INDIRECT(ADDRESS(2,COLUMN())),OFFSET($BN$2,0,0,ROW()-1,60),ROW()-1,FALSE))</f>
        <v/>
      </c>
      <c r="BK118" t="str">
        <f ca="1">IF(AND(ISNUMBER($BK$790),$B$677=1),$BK$790,HLOOKUP(INDIRECT(ADDRESS(2,COLUMN())),OFFSET($BN$2,0,0,ROW()-1,60),ROW()-1,FALSE))</f>
        <v/>
      </c>
      <c r="BL118" t="str">
        <f ca="1">IF(AND(ISNUMBER($BL$790),$B$677=1),$BL$790,HLOOKUP(INDIRECT(ADDRESS(2,COLUMN())),OFFSET($BN$2,0,0,ROW()-1,60),ROW()-1,FALSE))</f>
        <v/>
      </c>
      <c r="BM118" t="str">
        <f ca="1">IF(AND(ISNUMBER($BM$790),$B$677=1),$BM$790,HLOOKUP(INDIRECT(ADDRESS(2,COLUMN())),OFFSET($BN$2,0,0,ROW()-1,60),ROW()-1,FALSE))</f>
        <v/>
      </c>
      <c r="BN118">
        <f>8.857308494</f>
        <v>8.8573084939999998</v>
      </c>
      <c r="BO118">
        <f>6.96011207</f>
        <v>6.9601120700000001</v>
      </c>
      <c r="BP118">
        <f>9.041051048</f>
        <v>9.0410510479999999</v>
      </c>
      <c r="BQ118">
        <f>8.386403884</f>
        <v>8.3864038839999999</v>
      </c>
      <c r="BR118">
        <f>8.48051209</f>
        <v>8.4805120899999995</v>
      </c>
      <c r="BS118">
        <f>8.259319108</f>
        <v>8.2593191079999997</v>
      </c>
      <c r="BT118">
        <f>8.414106685</f>
        <v>8.4141066850000001</v>
      </c>
      <c r="BU118">
        <f>7.951877071</f>
        <v>7.9518770710000002</v>
      </c>
      <c r="BV118">
        <f>6.113648274</f>
        <v>6.113648274</v>
      </c>
      <c r="BW118">
        <f>8.415483643</f>
        <v>8.415483643</v>
      </c>
      <c r="BX118">
        <f>7.210061444</f>
        <v>7.2100614439999999</v>
      </c>
      <c r="BY118">
        <f>6.414607156</f>
        <v>6.4146071559999998</v>
      </c>
      <c r="BZ118">
        <f>7.101384547</f>
        <v>7.1013845470000003</v>
      </c>
      <c r="CA118">
        <f>8.27217377</f>
        <v>8.2721737700000002</v>
      </c>
      <c r="CB118">
        <f>7.126455907</f>
        <v>7.1264559070000004</v>
      </c>
      <c r="CC118">
        <f>7.517091879</f>
        <v>7.5170918789999996</v>
      </c>
      <c r="CD118" t="str">
        <f>""</f>
        <v/>
      </c>
      <c r="CE118" t="str">
        <f>""</f>
        <v/>
      </c>
      <c r="CF118" t="str">
        <f>""</f>
        <v/>
      </c>
      <c r="CG118" t="str">
        <f>""</f>
        <v/>
      </c>
      <c r="CH118" t="str">
        <f>""</f>
        <v/>
      </c>
      <c r="CI118" t="str">
        <f>""</f>
        <v/>
      </c>
      <c r="CJ118" t="str">
        <f>""</f>
        <v/>
      </c>
      <c r="CK118" t="str">
        <f>""</f>
        <v/>
      </c>
      <c r="CL118" t="str">
        <f>""</f>
        <v/>
      </c>
      <c r="CM118" t="str">
        <f>""</f>
        <v/>
      </c>
      <c r="CN118" t="str">
        <f>""</f>
        <v/>
      </c>
      <c r="CO118" t="str">
        <f>""</f>
        <v/>
      </c>
      <c r="CP118" t="str">
        <f>""</f>
        <v/>
      </c>
      <c r="CQ118" t="str">
        <f>""</f>
        <v/>
      </c>
      <c r="CR118" t="str">
        <f>""</f>
        <v/>
      </c>
      <c r="CS118" t="str">
        <f>""</f>
        <v/>
      </c>
      <c r="CT118" t="str">
        <f>""</f>
        <v/>
      </c>
      <c r="CU118" t="str">
        <f>""</f>
        <v/>
      </c>
      <c r="CV118" t="str">
        <f>""</f>
        <v/>
      </c>
      <c r="CW118" t="str">
        <f>""</f>
        <v/>
      </c>
      <c r="CX118" t="str">
        <f>""</f>
        <v/>
      </c>
      <c r="CY118" t="str">
        <f>""</f>
        <v/>
      </c>
      <c r="CZ118" t="str">
        <f>""</f>
        <v/>
      </c>
      <c r="DA118" t="str">
        <f>""</f>
        <v/>
      </c>
      <c r="DB118" t="str">
        <f>""</f>
        <v/>
      </c>
      <c r="DC118" t="str">
        <f>""</f>
        <v/>
      </c>
      <c r="DD118" t="str">
        <f>""</f>
        <v/>
      </c>
      <c r="DE118" t="str">
        <f>""</f>
        <v/>
      </c>
      <c r="DF118" t="str">
        <f>""</f>
        <v/>
      </c>
      <c r="DG118" t="str">
        <f>""</f>
        <v/>
      </c>
      <c r="DH118" t="str">
        <f>""</f>
        <v/>
      </c>
      <c r="DI118" t="str">
        <f>""</f>
        <v/>
      </c>
      <c r="DJ118" t="str">
        <f>""</f>
        <v/>
      </c>
      <c r="DK118" t="str">
        <f>""</f>
        <v/>
      </c>
      <c r="DL118" t="str">
        <f>""</f>
        <v/>
      </c>
      <c r="DM118" t="str">
        <f>""</f>
        <v/>
      </c>
      <c r="DN118" t="str">
        <f>""</f>
        <v/>
      </c>
      <c r="DO118" t="str">
        <f>""</f>
        <v/>
      </c>
      <c r="DP118" t="str">
        <f>""</f>
        <v/>
      </c>
      <c r="DQ118" t="str">
        <f>""</f>
        <v/>
      </c>
      <c r="DR118" t="str">
        <f>""</f>
        <v/>
      </c>
      <c r="DS118" t="str">
        <f>""</f>
        <v/>
      </c>
      <c r="DT118" t="str">
        <f>""</f>
        <v/>
      </c>
      <c r="DU118" t="str">
        <f>""</f>
        <v/>
      </c>
    </row>
    <row r="119" spans="1:125" x14ac:dyDescent="0.25">
      <c r="A119" t="str">
        <f>"    Suzuki Motor Corp"</f>
        <v xml:space="preserve">    Suzuki Motor Corp</v>
      </c>
      <c r="B119" t="str">
        <f>"7269 JP Equity"</f>
        <v>7269 JP Equity</v>
      </c>
      <c r="C119" t="str">
        <f t="shared" si="6"/>
        <v>EZ010</v>
      </c>
      <c r="D119" t="str">
        <f t="shared" si="7"/>
        <v>BEST_EST_PE_NXT_YR</v>
      </c>
      <c r="E119" t="str">
        <f t="shared" si="8"/>
        <v>Dynamic</v>
      </c>
      <c r="F119">
        <f ca="1">IF(AND(ISNUMBER($F$791),$B$677=1),$F$791,HLOOKUP(INDIRECT(ADDRESS(2,COLUMN())),OFFSET($BN$2,0,0,ROW()-1,60),ROW()-1,FALSE))</f>
        <v>10.58117586</v>
      </c>
      <c r="G119">
        <f ca="1">IF(AND(ISNUMBER($G$791),$B$677=1),$G$791,HLOOKUP(INDIRECT(ADDRESS(2,COLUMN())),OFFSET($BN$2,0,0,ROW()-1,60),ROW()-1,FALSE))</f>
        <v>10.096430249999999</v>
      </c>
      <c r="H119">
        <f ca="1">IF(AND(ISNUMBER($H$791),$B$677=1),$H$791,HLOOKUP(INDIRECT(ADDRESS(2,COLUMN())),OFFSET($BN$2,0,0,ROW()-1,60),ROW()-1,FALSE))</f>
        <v>10.915543749999999</v>
      </c>
      <c r="I119">
        <f ca="1">IF(AND(ISNUMBER($I$791),$B$677=1),$I$791,HLOOKUP(INDIRECT(ADDRESS(2,COLUMN())),OFFSET($BN$2,0,0,ROW()-1,60),ROW()-1,FALSE))</f>
        <v>11.0756085</v>
      </c>
      <c r="J119">
        <f ca="1">IF(AND(ISNUMBER($J$791),$B$677=1),$J$791,HLOOKUP(INDIRECT(ADDRESS(2,COLUMN())),OFFSET($BN$2,0,0,ROW()-1,60),ROW()-1,FALSE))</f>
        <v>10.86744186</v>
      </c>
      <c r="K119">
        <f ca="1">IF(AND(ISNUMBER($K$791),$B$677=1),$K$791,HLOOKUP(INDIRECT(ADDRESS(2,COLUMN())),OFFSET($BN$2,0,0,ROW()-1,60),ROW()-1,FALSE))</f>
        <v>12.57885851</v>
      </c>
      <c r="L119">
        <f ca="1">IF(AND(ISNUMBER($L$791),$B$677=1),$L$791,HLOOKUP(INDIRECT(ADDRESS(2,COLUMN())),OFFSET($BN$2,0,0,ROW()-1,60),ROW()-1,FALSE))</f>
        <v>11.854262070000001</v>
      </c>
      <c r="M119">
        <f ca="1">IF(AND(ISNUMBER($M$791),$B$677=1),$M$791,HLOOKUP(INDIRECT(ADDRESS(2,COLUMN())),OFFSET($BN$2,0,0,ROW()-1,60),ROW()-1,FALSE))</f>
        <v>11.86120829</v>
      </c>
      <c r="N119">
        <f ca="1">IF(AND(ISNUMBER($N$791),$B$677=1),$N$791,HLOOKUP(INDIRECT(ADDRESS(2,COLUMN())),OFFSET($BN$2,0,0,ROW()-1,60),ROW()-1,FALSE))</f>
        <v>11.81876529</v>
      </c>
      <c r="O119">
        <f ca="1">IF(AND(ISNUMBER($O$791),$B$677=1),$O$791,HLOOKUP(INDIRECT(ADDRESS(2,COLUMN())),OFFSET($BN$2,0,0,ROW()-1,60),ROW()-1,FALSE))</f>
        <v>10.47392339</v>
      </c>
      <c r="P119">
        <f ca="1">IF(AND(ISNUMBER($P$791),$B$677=1),$P$791,HLOOKUP(INDIRECT(ADDRESS(2,COLUMN())),OFFSET($BN$2,0,0,ROW()-1,60),ROW()-1,FALSE))</f>
        <v>11.889386249999999</v>
      </c>
      <c r="Q119">
        <f ca="1">IF(AND(ISNUMBER($Q$791),$B$677=1),$Q$791,HLOOKUP(INDIRECT(ADDRESS(2,COLUMN())),OFFSET($BN$2,0,0,ROW()-1,60),ROW()-1,FALSE))</f>
        <v>10.014293139999999</v>
      </c>
      <c r="R119">
        <f ca="1">IF(AND(ISNUMBER($R$791),$B$677=1),$R$791,HLOOKUP(INDIRECT(ADDRESS(2,COLUMN())),OFFSET($BN$2,0,0,ROW()-1,60),ROW()-1,FALSE))</f>
        <v>11.3046743</v>
      </c>
      <c r="S119">
        <f ca="1">IF(AND(ISNUMBER($S$791),$B$677=1),$S$791,HLOOKUP(INDIRECT(ADDRESS(2,COLUMN())),OFFSET($BN$2,0,0,ROW()-1,60),ROW()-1,FALSE))</f>
        <v>10.08442266</v>
      </c>
      <c r="T119">
        <f ca="1">IF(AND(ISNUMBER($T$791),$B$677=1),$T$791,HLOOKUP(INDIRECT(ADDRESS(2,COLUMN())),OFFSET($BN$2,0,0,ROW()-1,60),ROW()-1,FALSE))</f>
        <v>11.874189360000001</v>
      </c>
      <c r="U119">
        <f ca="1">IF(AND(ISNUMBER($U$791),$B$677=1),$U$791,HLOOKUP(INDIRECT(ADDRESS(2,COLUMN())),OFFSET($BN$2,0,0,ROW()-1,60),ROW()-1,FALSE))</f>
        <v>14.678736239999999</v>
      </c>
      <c r="V119" t="str">
        <f ca="1">IF(AND(ISNUMBER($V$791),$B$677=1),$V$791,HLOOKUP(INDIRECT(ADDRESS(2,COLUMN())),OFFSET($BN$2,0,0,ROW()-1,60),ROW()-1,FALSE))</f>
        <v/>
      </c>
      <c r="W119" t="str">
        <f ca="1">IF(AND(ISNUMBER($W$791),$B$677=1),$W$791,HLOOKUP(INDIRECT(ADDRESS(2,COLUMN())),OFFSET($BN$2,0,0,ROW()-1,60),ROW()-1,FALSE))</f>
        <v/>
      </c>
      <c r="X119" t="str">
        <f ca="1">IF(AND(ISNUMBER($X$791),$B$677=1),$X$791,HLOOKUP(INDIRECT(ADDRESS(2,COLUMN())),OFFSET($BN$2,0,0,ROW()-1,60),ROW()-1,FALSE))</f>
        <v/>
      </c>
      <c r="Y119" t="str">
        <f ca="1">IF(AND(ISNUMBER($Y$791),$B$677=1),$Y$791,HLOOKUP(INDIRECT(ADDRESS(2,COLUMN())),OFFSET($BN$2,0,0,ROW()-1,60),ROW()-1,FALSE))</f>
        <v/>
      </c>
      <c r="Z119" t="str">
        <f ca="1">IF(AND(ISNUMBER($Z$791),$B$677=1),$Z$791,HLOOKUP(INDIRECT(ADDRESS(2,COLUMN())),OFFSET($BN$2,0,0,ROW()-1,60),ROW()-1,FALSE))</f>
        <v/>
      </c>
      <c r="AA119" t="str">
        <f ca="1">IF(AND(ISNUMBER($AA$791),$B$677=1),$AA$791,HLOOKUP(INDIRECT(ADDRESS(2,COLUMN())),OFFSET($BN$2,0,0,ROW()-1,60),ROW()-1,FALSE))</f>
        <v/>
      </c>
      <c r="AB119" t="str">
        <f ca="1">IF(AND(ISNUMBER($AB$791),$B$677=1),$AB$791,HLOOKUP(INDIRECT(ADDRESS(2,COLUMN())),OFFSET($BN$2,0,0,ROW()-1,60),ROW()-1,FALSE))</f>
        <v/>
      </c>
      <c r="AC119" t="str">
        <f ca="1">IF(AND(ISNUMBER($AC$791),$B$677=1),$AC$791,HLOOKUP(INDIRECT(ADDRESS(2,COLUMN())),OFFSET($BN$2,0,0,ROW()-1,60),ROW()-1,FALSE))</f>
        <v/>
      </c>
      <c r="AD119" t="str">
        <f ca="1">IF(AND(ISNUMBER($AD$791),$B$677=1),$AD$791,HLOOKUP(INDIRECT(ADDRESS(2,COLUMN())),OFFSET($BN$2,0,0,ROW()-1,60),ROW()-1,FALSE))</f>
        <v/>
      </c>
      <c r="AE119" t="str">
        <f ca="1">IF(AND(ISNUMBER($AE$791),$B$677=1),$AE$791,HLOOKUP(INDIRECT(ADDRESS(2,COLUMN())),OFFSET($BN$2,0,0,ROW()-1,60),ROW()-1,FALSE))</f>
        <v/>
      </c>
      <c r="AF119" t="str">
        <f ca="1">IF(AND(ISNUMBER($AF$791),$B$677=1),$AF$791,HLOOKUP(INDIRECT(ADDRESS(2,COLUMN())),OFFSET($BN$2,0,0,ROW()-1,60),ROW()-1,FALSE))</f>
        <v/>
      </c>
      <c r="AG119" t="str">
        <f ca="1">IF(AND(ISNUMBER($AG$791),$B$677=1),$AG$791,HLOOKUP(INDIRECT(ADDRESS(2,COLUMN())),OFFSET($BN$2,0,0,ROW()-1,60),ROW()-1,FALSE))</f>
        <v/>
      </c>
      <c r="AH119" t="str">
        <f ca="1">IF(AND(ISNUMBER($AH$791),$B$677=1),$AH$791,HLOOKUP(INDIRECT(ADDRESS(2,COLUMN())),OFFSET($BN$2,0,0,ROW()-1,60),ROW()-1,FALSE))</f>
        <v/>
      </c>
      <c r="AI119" t="str">
        <f ca="1">IF(AND(ISNUMBER($AI$791),$B$677=1),$AI$791,HLOOKUP(INDIRECT(ADDRESS(2,COLUMN())),OFFSET($BN$2,0,0,ROW()-1,60),ROW()-1,FALSE))</f>
        <v/>
      </c>
      <c r="AJ119" t="str">
        <f ca="1">IF(AND(ISNUMBER($AJ$791),$B$677=1),$AJ$791,HLOOKUP(INDIRECT(ADDRESS(2,COLUMN())),OFFSET($BN$2,0,0,ROW()-1,60),ROW()-1,FALSE))</f>
        <v/>
      </c>
      <c r="AK119" t="str">
        <f ca="1">IF(AND(ISNUMBER($AK$791),$B$677=1),$AK$791,HLOOKUP(INDIRECT(ADDRESS(2,COLUMN())),OFFSET($BN$2,0,0,ROW()-1,60),ROW()-1,FALSE))</f>
        <v/>
      </c>
      <c r="AL119" t="str">
        <f ca="1">IF(AND(ISNUMBER($AL$791),$B$677=1),$AL$791,HLOOKUP(INDIRECT(ADDRESS(2,COLUMN())),OFFSET($BN$2,0,0,ROW()-1,60),ROW()-1,FALSE))</f>
        <v/>
      </c>
      <c r="AM119" t="str">
        <f ca="1">IF(AND(ISNUMBER($AM$791),$B$677=1),$AM$791,HLOOKUP(INDIRECT(ADDRESS(2,COLUMN())),OFFSET($BN$2,0,0,ROW()-1,60),ROW()-1,FALSE))</f>
        <v/>
      </c>
      <c r="AN119" t="str">
        <f ca="1">IF(AND(ISNUMBER($AN$791),$B$677=1),$AN$791,HLOOKUP(INDIRECT(ADDRESS(2,COLUMN())),OFFSET($BN$2,0,0,ROW()-1,60),ROW()-1,FALSE))</f>
        <v/>
      </c>
      <c r="AO119" t="str">
        <f ca="1">IF(AND(ISNUMBER($AO$791),$B$677=1),$AO$791,HLOOKUP(INDIRECT(ADDRESS(2,COLUMN())),OFFSET($BN$2,0,0,ROW()-1,60),ROW()-1,FALSE))</f>
        <v/>
      </c>
      <c r="AP119" t="str">
        <f ca="1">IF(AND(ISNUMBER($AP$791),$B$677=1),$AP$791,HLOOKUP(INDIRECT(ADDRESS(2,COLUMN())),OFFSET($BN$2,0,0,ROW()-1,60),ROW()-1,FALSE))</f>
        <v/>
      </c>
      <c r="AQ119" t="str">
        <f ca="1">IF(AND(ISNUMBER($AQ$791),$B$677=1),$AQ$791,HLOOKUP(INDIRECT(ADDRESS(2,COLUMN())),OFFSET($BN$2,0,0,ROW()-1,60),ROW()-1,FALSE))</f>
        <v/>
      </c>
      <c r="AR119" t="str">
        <f ca="1">IF(AND(ISNUMBER($AR$791),$B$677=1),$AR$791,HLOOKUP(INDIRECT(ADDRESS(2,COLUMN())),OFFSET($BN$2,0,0,ROW()-1,60),ROW()-1,FALSE))</f>
        <v/>
      </c>
      <c r="AS119" t="str">
        <f ca="1">IF(AND(ISNUMBER($AS$791),$B$677=1),$AS$791,HLOOKUP(INDIRECT(ADDRESS(2,COLUMN())),OFFSET($BN$2,0,0,ROW()-1,60),ROW()-1,FALSE))</f>
        <v/>
      </c>
      <c r="AT119" t="str">
        <f ca="1">IF(AND(ISNUMBER($AT$791),$B$677=1),$AT$791,HLOOKUP(INDIRECT(ADDRESS(2,COLUMN())),OFFSET($BN$2,0,0,ROW()-1,60),ROW()-1,FALSE))</f>
        <v/>
      </c>
      <c r="AU119" t="str">
        <f ca="1">IF(AND(ISNUMBER($AU$791),$B$677=1),$AU$791,HLOOKUP(INDIRECT(ADDRESS(2,COLUMN())),OFFSET($BN$2,0,0,ROW()-1,60),ROW()-1,FALSE))</f>
        <v/>
      </c>
      <c r="AV119" t="str">
        <f ca="1">IF(AND(ISNUMBER($AV$791),$B$677=1),$AV$791,HLOOKUP(INDIRECT(ADDRESS(2,COLUMN())),OFFSET($BN$2,0,0,ROW()-1,60),ROW()-1,FALSE))</f>
        <v/>
      </c>
      <c r="AW119" t="str">
        <f ca="1">IF(AND(ISNUMBER($AW$791),$B$677=1),$AW$791,HLOOKUP(INDIRECT(ADDRESS(2,COLUMN())),OFFSET($BN$2,0,0,ROW()-1,60),ROW()-1,FALSE))</f>
        <v/>
      </c>
      <c r="AX119" t="str">
        <f ca="1">IF(AND(ISNUMBER($AX$791),$B$677=1),$AX$791,HLOOKUP(INDIRECT(ADDRESS(2,COLUMN())),OFFSET($BN$2,0,0,ROW()-1,60),ROW()-1,FALSE))</f>
        <v/>
      </c>
      <c r="AY119" t="str">
        <f ca="1">IF(AND(ISNUMBER($AY$791),$B$677=1),$AY$791,HLOOKUP(INDIRECT(ADDRESS(2,COLUMN())),OFFSET($BN$2,0,0,ROW()-1,60),ROW()-1,FALSE))</f>
        <v/>
      </c>
      <c r="AZ119" t="str">
        <f ca="1">IF(AND(ISNUMBER($AZ$791),$B$677=1),$AZ$791,HLOOKUP(INDIRECT(ADDRESS(2,COLUMN())),OFFSET($BN$2,0,0,ROW()-1,60),ROW()-1,FALSE))</f>
        <v/>
      </c>
      <c r="BA119" t="str">
        <f ca="1">IF(AND(ISNUMBER($BA$791),$B$677=1),$BA$791,HLOOKUP(INDIRECT(ADDRESS(2,COLUMN())),OFFSET($BN$2,0,0,ROW()-1,60),ROW()-1,FALSE))</f>
        <v/>
      </c>
      <c r="BB119" t="str">
        <f ca="1">IF(AND(ISNUMBER($BB$791),$B$677=1),$BB$791,HLOOKUP(INDIRECT(ADDRESS(2,COLUMN())),OFFSET($BN$2,0,0,ROW()-1,60),ROW()-1,FALSE))</f>
        <v/>
      </c>
      <c r="BC119" t="str">
        <f ca="1">IF(AND(ISNUMBER($BC$791),$B$677=1),$BC$791,HLOOKUP(INDIRECT(ADDRESS(2,COLUMN())),OFFSET($BN$2,0,0,ROW()-1,60),ROW()-1,FALSE))</f>
        <v/>
      </c>
      <c r="BD119" t="str">
        <f ca="1">IF(AND(ISNUMBER($BD$791),$B$677=1),$BD$791,HLOOKUP(INDIRECT(ADDRESS(2,COLUMN())),OFFSET($BN$2,0,0,ROW()-1,60),ROW()-1,FALSE))</f>
        <v/>
      </c>
      <c r="BE119" t="str">
        <f ca="1">IF(AND(ISNUMBER($BE$791),$B$677=1),$BE$791,HLOOKUP(INDIRECT(ADDRESS(2,COLUMN())),OFFSET($BN$2,0,0,ROW()-1,60),ROW()-1,FALSE))</f>
        <v/>
      </c>
      <c r="BF119" t="str">
        <f ca="1">IF(AND(ISNUMBER($BF$791),$B$677=1),$BF$791,HLOOKUP(INDIRECT(ADDRESS(2,COLUMN())),OFFSET($BN$2,0,0,ROW()-1,60),ROW()-1,FALSE))</f>
        <v/>
      </c>
      <c r="BG119" t="str">
        <f ca="1">IF(AND(ISNUMBER($BG$791),$B$677=1),$BG$791,HLOOKUP(INDIRECT(ADDRESS(2,COLUMN())),OFFSET($BN$2,0,0,ROW()-1,60),ROW()-1,FALSE))</f>
        <v/>
      </c>
      <c r="BH119" t="str">
        <f ca="1">IF(AND(ISNUMBER($BH$791),$B$677=1),$BH$791,HLOOKUP(INDIRECT(ADDRESS(2,COLUMN())),OFFSET($BN$2,0,0,ROW()-1,60),ROW()-1,FALSE))</f>
        <v/>
      </c>
      <c r="BI119" t="str">
        <f ca="1">IF(AND(ISNUMBER($BI$791),$B$677=1),$BI$791,HLOOKUP(INDIRECT(ADDRESS(2,COLUMN())),OFFSET($BN$2,0,0,ROW()-1,60),ROW()-1,FALSE))</f>
        <v/>
      </c>
      <c r="BJ119" t="str">
        <f ca="1">IF(AND(ISNUMBER($BJ$791),$B$677=1),$BJ$791,HLOOKUP(INDIRECT(ADDRESS(2,COLUMN())),OFFSET($BN$2,0,0,ROW()-1,60),ROW()-1,FALSE))</f>
        <v/>
      </c>
      <c r="BK119" t="str">
        <f ca="1">IF(AND(ISNUMBER($BK$791),$B$677=1),$BK$791,HLOOKUP(INDIRECT(ADDRESS(2,COLUMN())),OFFSET($BN$2,0,0,ROW()-1,60),ROW()-1,FALSE))</f>
        <v/>
      </c>
      <c r="BL119" t="str">
        <f ca="1">IF(AND(ISNUMBER($BL$791),$B$677=1),$BL$791,HLOOKUP(INDIRECT(ADDRESS(2,COLUMN())),OFFSET($BN$2,0,0,ROW()-1,60),ROW()-1,FALSE))</f>
        <v/>
      </c>
      <c r="BM119" t="str">
        <f ca="1">IF(AND(ISNUMBER($BM$791),$B$677=1),$BM$791,HLOOKUP(INDIRECT(ADDRESS(2,COLUMN())),OFFSET($BN$2,0,0,ROW()-1,60),ROW()-1,FALSE))</f>
        <v/>
      </c>
      <c r="BN119">
        <f>10.58117586</f>
        <v>10.58117586</v>
      </c>
      <c r="BO119">
        <f>10.09643025</f>
        <v>10.096430249999999</v>
      </c>
      <c r="BP119">
        <f>10.91554375</f>
        <v>10.915543749999999</v>
      </c>
      <c r="BQ119">
        <f>11.0756085</f>
        <v>11.0756085</v>
      </c>
      <c r="BR119">
        <f>10.86744186</f>
        <v>10.86744186</v>
      </c>
      <c r="BS119">
        <f>12.57885851</f>
        <v>12.57885851</v>
      </c>
      <c r="BT119">
        <f>11.85426207</f>
        <v>11.854262070000001</v>
      </c>
      <c r="BU119">
        <f>11.86120829</f>
        <v>11.86120829</v>
      </c>
      <c r="BV119">
        <f>11.81876529</f>
        <v>11.81876529</v>
      </c>
      <c r="BW119">
        <f>10.47392339</f>
        <v>10.47392339</v>
      </c>
      <c r="BX119">
        <f>11.88938625</f>
        <v>11.889386249999999</v>
      </c>
      <c r="BY119">
        <f>10.01429314</f>
        <v>10.014293139999999</v>
      </c>
      <c r="BZ119">
        <f>11.3046743</f>
        <v>11.3046743</v>
      </c>
      <c r="CA119">
        <f>10.08442266</f>
        <v>10.08442266</v>
      </c>
      <c r="CB119">
        <f>11.87418936</f>
        <v>11.874189360000001</v>
      </c>
      <c r="CC119">
        <f>14.67873624</f>
        <v>14.678736239999999</v>
      </c>
      <c r="CD119" t="str">
        <f>""</f>
        <v/>
      </c>
      <c r="CE119" t="str">
        <f>""</f>
        <v/>
      </c>
      <c r="CF119" t="str">
        <f>""</f>
        <v/>
      </c>
      <c r="CG119" t="str">
        <f>""</f>
        <v/>
      </c>
      <c r="CH119" t="str">
        <f>""</f>
        <v/>
      </c>
      <c r="CI119" t="str">
        <f>""</f>
        <v/>
      </c>
      <c r="CJ119" t="str">
        <f>""</f>
        <v/>
      </c>
      <c r="CK119" t="str">
        <f>""</f>
        <v/>
      </c>
      <c r="CL119" t="str">
        <f>""</f>
        <v/>
      </c>
      <c r="CM119" t="str">
        <f>""</f>
        <v/>
      </c>
      <c r="CN119" t="str">
        <f>""</f>
        <v/>
      </c>
      <c r="CO119" t="str">
        <f>""</f>
        <v/>
      </c>
      <c r="CP119" t="str">
        <f>""</f>
        <v/>
      </c>
      <c r="CQ119" t="str">
        <f>""</f>
        <v/>
      </c>
      <c r="CR119" t="str">
        <f>""</f>
        <v/>
      </c>
      <c r="CS119" t="str">
        <f>""</f>
        <v/>
      </c>
      <c r="CT119" t="str">
        <f>""</f>
        <v/>
      </c>
      <c r="CU119" t="str">
        <f>""</f>
        <v/>
      </c>
      <c r="CV119" t="str">
        <f>""</f>
        <v/>
      </c>
      <c r="CW119" t="str">
        <f>""</f>
        <v/>
      </c>
      <c r="CX119" t="str">
        <f>""</f>
        <v/>
      </c>
      <c r="CY119" t="str">
        <f>""</f>
        <v/>
      </c>
      <c r="CZ119" t="str">
        <f>""</f>
        <v/>
      </c>
      <c r="DA119" t="str">
        <f>""</f>
        <v/>
      </c>
      <c r="DB119" t="str">
        <f>""</f>
        <v/>
      </c>
      <c r="DC119" t="str">
        <f>""</f>
        <v/>
      </c>
      <c r="DD119" t="str">
        <f>""</f>
        <v/>
      </c>
      <c r="DE119" t="str">
        <f>""</f>
        <v/>
      </c>
      <c r="DF119" t="str">
        <f>""</f>
        <v/>
      </c>
      <c r="DG119" t="str">
        <f>""</f>
        <v/>
      </c>
      <c r="DH119" t="str">
        <f>""</f>
        <v/>
      </c>
      <c r="DI119" t="str">
        <f>""</f>
        <v/>
      </c>
      <c r="DJ119" t="str">
        <f>""</f>
        <v/>
      </c>
      <c r="DK119" t="str">
        <f>""</f>
        <v/>
      </c>
      <c r="DL119" t="str">
        <f>""</f>
        <v/>
      </c>
      <c r="DM119" t="str">
        <f>""</f>
        <v/>
      </c>
      <c r="DN119" t="str">
        <f>""</f>
        <v/>
      </c>
      <c r="DO119" t="str">
        <f>""</f>
        <v/>
      </c>
      <c r="DP119" t="str">
        <f>""</f>
        <v/>
      </c>
      <c r="DQ119" t="str">
        <f>""</f>
        <v/>
      </c>
      <c r="DR119" t="str">
        <f>""</f>
        <v/>
      </c>
      <c r="DS119" t="str">
        <f>""</f>
        <v/>
      </c>
      <c r="DT119" t="str">
        <f>""</f>
        <v/>
      </c>
      <c r="DU119" t="str">
        <f>""</f>
        <v/>
      </c>
    </row>
    <row r="120" spans="1:125" x14ac:dyDescent="0.25">
      <c r="A120" t="str">
        <f>"    Tata Motors Ltd"</f>
        <v xml:space="preserve">    Tata Motors Ltd</v>
      </c>
      <c r="B120" t="str">
        <f>"TTMT IN Equity"</f>
        <v>TTMT IN Equity</v>
      </c>
      <c r="C120" t="str">
        <f t="shared" si="6"/>
        <v>EZ010</v>
      </c>
      <c r="D120" t="str">
        <f t="shared" si="7"/>
        <v>BEST_EST_PE_NXT_YR</v>
      </c>
      <c r="E120" t="str">
        <f t="shared" si="8"/>
        <v>Dynamic</v>
      </c>
      <c r="F120">
        <f ca="1">IF(AND(ISNUMBER($F$792),$B$677=1),$F$792,HLOOKUP(INDIRECT(ADDRESS(2,COLUMN())),OFFSET($BN$2,0,0,ROW()-1,60),ROW()-1,FALSE))</f>
        <v>10.07780537</v>
      </c>
      <c r="G120">
        <f ca="1">IF(AND(ISNUMBER($G$792),$B$677=1),$G$792,HLOOKUP(INDIRECT(ADDRESS(2,COLUMN())),OFFSET($BN$2,0,0,ROW()-1,60),ROW()-1,FALSE))</f>
        <v>7.4807242479999996</v>
      </c>
      <c r="H120">
        <f ca="1">IF(AND(ISNUMBER($H$792),$B$677=1),$H$792,HLOOKUP(INDIRECT(ADDRESS(2,COLUMN())),OFFSET($BN$2,0,0,ROW()-1,60),ROW()-1,FALSE))</f>
        <v>6.5578095679999997</v>
      </c>
      <c r="I120">
        <f ca="1">IF(AND(ISNUMBER($I$792),$B$677=1),$I$792,HLOOKUP(INDIRECT(ADDRESS(2,COLUMN())),OFFSET($BN$2,0,0,ROW()-1,60),ROW()-1,FALSE))</f>
        <v>6.7891897339999998</v>
      </c>
      <c r="J120">
        <f ca="1">IF(AND(ISNUMBER($J$792),$B$677=1),$J$792,HLOOKUP(INDIRECT(ADDRESS(2,COLUMN())),OFFSET($BN$2,0,0,ROW()-1,60),ROW()-1,FALSE))</f>
        <v>6.6618429370000003</v>
      </c>
      <c r="K120">
        <f ca="1">IF(AND(ISNUMBER($K$792),$B$677=1),$K$792,HLOOKUP(INDIRECT(ADDRESS(2,COLUMN())),OFFSET($BN$2,0,0,ROW()-1,60),ROW()-1,FALSE))</f>
        <v>8.1913884669999995</v>
      </c>
      <c r="L120">
        <f ca="1">IF(AND(ISNUMBER($L$792),$B$677=1),$L$792,HLOOKUP(INDIRECT(ADDRESS(2,COLUMN())),OFFSET($BN$2,0,0,ROW()-1,60),ROW()-1,FALSE))</f>
        <v>8.0314456599999993</v>
      </c>
      <c r="M120">
        <f ca="1">IF(AND(ISNUMBER($M$792),$B$677=1),$M$792,HLOOKUP(INDIRECT(ADDRESS(2,COLUMN())),OFFSET($BN$2,0,0,ROW()-1,60),ROW()-1,FALSE))</f>
        <v>6.9037890639999997</v>
      </c>
      <c r="N120">
        <f ca="1">IF(AND(ISNUMBER($N$792),$B$677=1),$N$792,HLOOKUP(INDIRECT(ADDRESS(2,COLUMN())),OFFSET($BN$2,0,0,ROW()-1,60),ROW()-1,FALSE))</f>
        <v>7.6444043319999997</v>
      </c>
      <c r="O120" t="str">
        <f ca="1">IF(AND(ISNUMBER($O$792),$B$677=1),$O$792,HLOOKUP(INDIRECT(ADDRESS(2,COLUMN())),OFFSET($BN$2,0,0,ROW()-1,60),ROW()-1,FALSE))</f>
        <v/>
      </c>
      <c r="P120" t="str">
        <f ca="1">IF(AND(ISNUMBER($P$792),$B$677=1),$P$792,HLOOKUP(INDIRECT(ADDRESS(2,COLUMN())),OFFSET($BN$2,0,0,ROW()-1,60),ROW()-1,FALSE))</f>
        <v/>
      </c>
      <c r="Q120" t="str">
        <f ca="1">IF(AND(ISNUMBER($Q$792),$B$677=1),$Q$792,HLOOKUP(INDIRECT(ADDRESS(2,COLUMN())),OFFSET($BN$2,0,0,ROW()-1,60),ROW()-1,FALSE))</f>
        <v/>
      </c>
      <c r="R120">
        <f ca="1">IF(AND(ISNUMBER($R$792),$B$677=1),$R$792,HLOOKUP(INDIRECT(ADDRESS(2,COLUMN())),OFFSET($BN$2,0,0,ROW()-1,60),ROW()-1,FALSE))</f>
        <v>4.0085776979999999</v>
      </c>
      <c r="S120">
        <f ca="1">IF(AND(ISNUMBER($S$792),$B$677=1),$S$792,HLOOKUP(INDIRECT(ADDRESS(2,COLUMN())),OFFSET($BN$2,0,0,ROW()-1,60),ROW()-1,FALSE))</f>
        <v>3.902852583</v>
      </c>
      <c r="T120">
        <f ca="1">IF(AND(ISNUMBER($T$792),$B$677=1),$T$792,HLOOKUP(INDIRECT(ADDRESS(2,COLUMN())),OFFSET($BN$2,0,0,ROW()-1,60),ROW()-1,FALSE))</f>
        <v>2.616314729</v>
      </c>
      <c r="U120">
        <f ca="1">IF(AND(ISNUMBER($U$792),$B$677=1),$U$792,HLOOKUP(INDIRECT(ADDRESS(2,COLUMN())),OFFSET($BN$2,0,0,ROW()-1,60),ROW()-1,FALSE))</f>
        <v>3.9940202390000001</v>
      </c>
      <c r="V120" t="str">
        <f ca="1">IF(AND(ISNUMBER($V$792),$B$677=1),$V$792,HLOOKUP(INDIRECT(ADDRESS(2,COLUMN())),OFFSET($BN$2,0,0,ROW()-1,60),ROW()-1,FALSE))</f>
        <v/>
      </c>
      <c r="W120" t="str">
        <f ca="1">IF(AND(ISNUMBER($W$792),$B$677=1),$W$792,HLOOKUP(INDIRECT(ADDRESS(2,COLUMN())),OFFSET($BN$2,0,0,ROW()-1,60),ROW()-1,FALSE))</f>
        <v/>
      </c>
      <c r="X120" t="str">
        <f ca="1">IF(AND(ISNUMBER($X$792),$B$677=1),$X$792,HLOOKUP(INDIRECT(ADDRESS(2,COLUMN())),OFFSET($BN$2,0,0,ROW()-1,60),ROW()-1,FALSE))</f>
        <v/>
      </c>
      <c r="Y120" t="str">
        <f ca="1">IF(AND(ISNUMBER($Y$792),$B$677=1),$Y$792,HLOOKUP(INDIRECT(ADDRESS(2,COLUMN())),OFFSET($BN$2,0,0,ROW()-1,60),ROW()-1,FALSE))</f>
        <v/>
      </c>
      <c r="Z120" t="str">
        <f ca="1">IF(AND(ISNUMBER($Z$792),$B$677=1),$Z$792,HLOOKUP(INDIRECT(ADDRESS(2,COLUMN())),OFFSET($BN$2,0,0,ROW()-1,60),ROW()-1,FALSE))</f>
        <v/>
      </c>
      <c r="AA120" t="str">
        <f ca="1">IF(AND(ISNUMBER($AA$792),$B$677=1),$AA$792,HLOOKUP(INDIRECT(ADDRESS(2,COLUMN())),OFFSET($BN$2,0,0,ROW()-1,60),ROW()-1,FALSE))</f>
        <v/>
      </c>
      <c r="AB120" t="str">
        <f ca="1">IF(AND(ISNUMBER($AB$792),$B$677=1),$AB$792,HLOOKUP(INDIRECT(ADDRESS(2,COLUMN())),OFFSET($BN$2,0,0,ROW()-1,60),ROW()-1,FALSE))</f>
        <v/>
      </c>
      <c r="AC120" t="str">
        <f ca="1">IF(AND(ISNUMBER($AC$792),$B$677=1),$AC$792,HLOOKUP(INDIRECT(ADDRESS(2,COLUMN())),OFFSET($BN$2,0,0,ROW()-1,60),ROW()-1,FALSE))</f>
        <v/>
      </c>
      <c r="AD120" t="str">
        <f ca="1">IF(AND(ISNUMBER($AD$792),$B$677=1),$AD$792,HLOOKUP(INDIRECT(ADDRESS(2,COLUMN())),OFFSET($BN$2,0,0,ROW()-1,60),ROW()-1,FALSE))</f>
        <v/>
      </c>
      <c r="AE120" t="str">
        <f ca="1">IF(AND(ISNUMBER($AE$792),$B$677=1),$AE$792,HLOOKUP(INDIRECT(ADDRESS(2,COLUMN())),OFFSET($BN$2,0,0,ROW()-1,60),ROW()-1,FALSE))</f>
        <v/>
      </c>
      <c r="AF120" t="str">
        <f ca="1">IF(AND(ISNUMBER($AF$792),$B$677=1),$AF$792,HLOOKUP(INDIRECT(ADDRESS(2,COLUMN())),OFFSET($BN$2,0,0,ROW()-1,60),ROW()-1,FALSE))</f>
        <v/>
      </c>
      <c r="AG120" t="str">
        <f ca="1">IF(AND(ISNUMBER($AG$792),$B$677=1),$AG$792,HLOOKUP(INDIRECT(ADDRESS(2,COLUMN())),OFFSET($BN$2,0,0,ROW()-1,60),ROW()-1,FALSE))</f>
        <v/>
      </c>
      <c r="AH120" t="str">
        <f ca="1">IF(AND(ISNUMBER($AH$792),$B$677=1),$AH$792,HLOOKUP(INDIRECT(ADDRESS(2,COLUMN())),OFFSET($BN$2,0,0,ROW()-1,60),ROW()-1,FALSE))</f>
        <v/>
      </c>
      <c r="AI120" t="str">
        <f ca="1">IF(AND(ISNUMBER($AI$792),$B$677=1),$AI$792,HLOOKUP(INDIRECT(ADDRESS(2,COLUMN())),OFFSET($BN$2,0,0,ROW()-1,60),ROW()-1,FALSE))</f>
        <v/>
      </c>
      <c r="AJ120" t="str">
        <f ca="1">IF(AND(ISNUMBER($AJ$792),$B$677=1),$AJ$792,HLOOKUP(INDIRECT(ADDRESS(2,COLUMN())),OFFSET($BN$2,0,0,ROW()-1,60),ROW()-1,FALSE))</f>
        <v/>
      </c>
      <c r="AK120" t="str">
        <f ca="1">IF(AND(ISNUMBER($AK$792),$B$677=1),$AK$792,HLOOKUP(INDIRECT(ADDRESS(2,COLUMN())),OFFSET($BN$2,0,0,ROW()-1,60),ROW()-1,FALSE))</f>
        <v/>
      </c>
      <c r="AL120" t="str">
        <f ca="1">IF(AND(ISNUMBER($AL$792),$B$677=1),$AL$792,HLOOKUP(INDIRECT(ADDRESS(2,COLUMN())),OFFSET($BN$2,0,0,ROW()-1,60),ROW()-1,FALSE))</f>
        <v/>
      </c>
      <c r="AM120" t="str">
        <f ca="1">IF(AND(ISNUMBER($AM$792),$B$677=1),$AM$792,HLOOKUP(INDIRECT(ADDRESS(2,COLUMN())),OFFSET($BN$2,0,0,ROW()-1,60),ROW()-1,FALSE))</f>
        <v/>
      </c>
      <c r="AN120" t="str">
        <f ca="1">IF(AND(ISNUMBER($AN$792),$B$677=1),$AN$792,HLOOKUP(INDIRECT(ADDRESS(2,COLUMN())),OFFSET($BN$2,0,0,ROW()-1,60),ROW()-1,FALSE))</f>
        <v/>
      </c>
      <c r="AO120" t="str">
        <f ca="1">IF(AND(ISNUMBER($AO$792),$B$677=1),$AO$792,HLOOKUP(INDIRECT(ADDRESS(2,COLUMN())),OFFSET($BN$2,0,0,ROW()-1,60),ROW()-1,FALSE))</f>
        <v/>
      </c>
      <c r="AP120" t="str">
        <f ca="1">IF(AND(ISNUMBER($AP$792),$B$677=1),$AP$792,HLOOKUP(INDIRECT(ADDRESS(2,COLUMN())),OFFSET($BN$2,0,0,ROW()-1,60),ROW()-1,FALSE))</f>
        <v/>
      </c>
      <c r="AQ120" t="str">
        <f ca="1">IF(AND(ISNUMBER($AQ$792),$B$677=1),$AQ$792,HLOOKUP(INDIRECT(ADDRESS(2,COLUMN())),OFFSET($BN$2,0,0,ROW()-1,60),ROW()-1,FALSE))</f>
        <v/>
      </c>
      <c r="AR120" t="str">
        <f ca="1">IF(AND(ISNUMBER($AR$792),$B$677=1),$AR$792,HLOOKUP(INDIRECT(ADDRESS(2,COLUMN())),OFFSET($BN$2,0,0,ROW()-1,60),ROW()-1,FALSE))</f>
        <v/>
      </c>
      <c r="AS120" t="str">
        <f ca="1">IF(AND(ISNUMBER($AS$792),$B$677=1),$AS$792,HLOOKUP(INDIRECT(ADDRESS(2,COLUMN())),OFFSET($BN$2,0,0,ROW()-1,60),ROW()-1,FALSE))</f>
        <v/>
      </c>
      <c r="AT120" t="str">
        <f ca="1">IF(AND(ISNUMBER($AT$792),$B$677=1),$AT$792,HLOOKUP(INDIRECT(ADDRESS(2,COLUMN())),OFFSET($BN$2,0,0,ROW()-1,60),ROW()-1,FALSE))</f>
        <v/>
      </c>
      <c r="AU120" t="str">
        <f ca="1">IF(AND(ISNUMBER($AU$792),$B$677=1),$AU$792,HLOOKUP(INDIRECT(ADDRESS(2,COLUMN())),OFFSET($BN$2,0,0,ROW()-1,60),ROW()-1,FALSE))</f>
        <v/>
      </c>
      <c r="AV120" t="str">
        <f ca="1">IF(AND(ISNUMBER($AV$792),$B$677=1),$AV$792,HLOOKUP(INDIRECT(ADDRESS(2,COLUMN())),OFFSET($BN$2,0,0,ROW()-1,60),ROW()-1,FALSE))</f>
        <v/>
      </c>
      <c r="AW120" t="str">
        <f ca="1">IF(AND(ISNUMBER($AW$792),$B$677=1),$AW$792,HLOOKUP(INDIRECT(ADDRESS(2,COLUMN())),OFFSET($BN$2,0,0,ROW()-1,60),ROW()-1,FALSE))</f>
        <v/>
      </c>
      <c r="AX120" t="str">
        <f ca="1">IF(AND(ISNUMBER($AX$792),$B$677=1),$AX$792,HLOOKUP(INDIRECT(ADDRESS(2,COLUMN())),OFFSET($BN$2,0,0,ROW()-1,60),ROW()-1,FALSE))</f>
        <v/>
      </c>
      <c r="AY120" t="str">
        <f ca="1">IF(AND(ISNUMBER($AY$792),$B$677=1),$AY$792,HLOOKUP(INDIRECT(ADDRESS(2,COLUMN())),OFFSET($BN$2,0,0,ROW()-1,60),ROW()-1,FALSE))</f>
        <v/>
      </c>
      <c r="AZ120" t="str">
        <f ca="1">IF(AND(ISNUMBER($AZ$792),$B$677=1),$AZ$792,HLOOKUP(INDIRECT(ADDRESS(2,COLUMN())),OFFSET($BN$2,0,0,ROW()-1,60),ROW()-1,FALSE))</f>
        <v/>
      </c>
      <c r="BA120" t="str">
        <f ca="1">IF(AND(ISNUMBER($BA$792),$B$677=1),$BA$792,HLOOKUP(INDIRECT(ADDRESS(2,COLUMN())),OFFSET($BN$2,0,0,ROW()-1,60),ROW()-1,FALSE))</f>
        <v/>
      </c>
      <c r="BB120" t="str">
        <f ca="1">IF(AND(ISNUMBER($BB$792),$B$677=1),$BB$792,HLOOKUP(INDIRECT(ADDRESS(2,COLUMN())),OFFSET($BN$2,0,0,ROW()-1,60),ROW()-1,FALSE))</f>
        <v/>
      </c>
      <c r="BC120" t="str">
        <f ca="1">IF(AND(ISNUMBER($BC$792),$B$677=1),$BC$792,HLOOKUP(INDIRECT(ADDRESS(2,COLUMN())),OFFSET($BN$2,0,0,ROW()-1,60),ROW()-1,FALSE))</f>
        <v/>
      </c>
      <c r="BD120" t="str">
        <f ca="1">IF(AND(ISNUMBER($BD$792),$B$677=1),$BD$792,HLOOKUP(INDIRECT(ADDRESS(2,COLUMN())),OFFSET($BN$2,0,0,ROW()-1,60),ROW()-1,FALSE))</f>
        <v/>
      </c>
      <c r="BE120" t="str">
        <f ca="1">IF(AND(ISNUMBER($BE$792),$B$677=1),$BE$792,HLOOKUP(INDIRECT(ADDRESS(2,COLUMN())),OFFSET($BN$2,0,0,ROW()-1,60),ROW()-1,FALSE))</f>
        <v/>
      </c>
      <c r="BF120" t="str">
        <f ca="1">IF(AND(ISNUMBER($BF$792),$B$677=1),$BF$792,HLOOKUP(INDIRECT(ADDRESS(2,COLUMN())),OFFSET($BN$2,0,0,ROW()-1,60),ROW()-1,FALSE))</f>
        <v/>
      </c>
      <c r="BG120" t="str">
        <f ca="1">IF(AND(ISNUMBER($BG$792),$B$677=1),$BG$792,HLOOKUP(INDIRECT(ADDRESS(2,COLUMN())),OFFSET($BN$2,0,0,ROW()-1,60),ROW()-1,FALSE))</f>
        <v/>
      </c>
      <c r="BH120" t="str">
        <f ca="1">IF(AND(ISNUMBER($BH$792),$B$677=1),$BH$792,HLOOKUP(INDIRECT(ADDRESS(2,COLUMN())),OFFSET($BN$2,0,0,ROW()-1,60),ROW()-1,FALSE))</f>
        <v/>
      </c>
      <c r="BI120" t="str">
        <f ca="1">IF(AND(ISNUMBER($BI$792),$B$677=1),$BI$792,HLOOKUP(INDIRECT(ADDRESS(2,COLUMN())),OFFSET($BN$2,0,0,ROW()-1,60),ROW()-1,FALSE))</f>
        <v/>
      </c>
      <c r="BJ120" t="str">
        <f ca="1">IF(AND(ISNUMBER($BJ$792),$B$677=1),$BJ$792,HLOOKUP(INDIRECT(ADDRESS(2,COLUMN())),OFFSET($BN$2,0,0,ROW()-1,60),ROW()-1,FALSE))</f>
        <v/>
      </c>
      <c r="BK120" t="str">
        <f ca="1">IF(AND(ISNUMBER($BK$792),$B$677=1),$BK$792,HLOOKUP(INDIRECT(ADDRESS(2,COLUMN())),OFFSET($BN$2,0,0,ROW()-1,60),ROW()-1,FALSE))</f>
        <v/>
      </c>
      <c r="BL120" t="str">
        <f ca="1">IF(AND(ISNUMBER($BL$792),$B$677=1),$BL$792,HLOOKUP(INDIRECT(ADDRESS(2,COLUMN())),OFFSET($BN$2,0,0,ROW()-1,60),ROW()-1,FALSE))</f>
        <v/>
      </c>
      <c r="BM120" t="str">
        <f ca="1">IF(AND(ISNUMBER($BM$792),$B$677=1),$BM$792,HLOOKUP(INDIRECT(ADDRESS(2,COLUMN())),OFFSET($BN$2,0,0,ROW()-1,60),ROW()-1,FALSE))</f>
        <v/>
      </c>
      <c r="BN120">
        <f>10.07780537</f>
        <v>10.07780537</v>
      </c>
      <c r="BO120">
        <f>7.480724248</f>
        <v>7.4807242479999996</v>
      </c>
      <c r="BP120">
        <f>6.557809568</f>
        <v>6.5578095679999997</v>
      </c>
      <c r="BQ120">
        <f>6.789189734</f>
        <v>6.7891897339999998</v>
      </c>
      <c r="BR120">
        <f>6.661842937</f>
        <v>6.6618429370000003</v>
      </c>
      <c r="BS120">
        <f>8.191388467</f>
        <v>8.1913884669999995</v>
      </c>
      <c r="BT120">
        <f>8.03144566</f>
        <v>8.0314456599999993</v>
      </c>
      <c r="BU120">
        <f>6.903789064</f>
        <v>6.9037890639999997</v>
      </c>
      <c r="BV120">
        <f>7.644404332</f>
        <v>7.6444043319999997</v>
      </c>
      <c r="BW120" t="str">
        <f>""</f>
        <v/>
      </c>
      <c r="BX120" t="str">
        <f>""</f>
        <v/>
      </c>
      <c r="BY120" t="str">
        <f>""</f>
        <v/>
      </c>
      <c r="BZ120">
        <f>4.008577698</f>
        <v>4.0085776979999999</v>
      </c>
      <c r="CA120">
        <f>3.902852583</f>
        <v>3.902852583</v>
      </c>
      <c r="CB120">
        <f>2.616314729</f>
        <v>2.616314729</v>
      </c>
      <c r="CC120">
        <f>3.994020239</f>
        <v>3.9940202390000001</v>
      </c>
      <c r="CD120" t="str">
        <f>""</f>
        <v/>
      </c>
      <c r="CE120" t="str">
        <f>""</f>
        <v/>
      </c>
      <c r="CF120" t="str">
        <f>""</f>
        <v/>
      </c>
      <c r="CG120" t="str">
        <f>""</f>
        <v/>
      </c>
      <c r="CH120" t="str">
        <f>""</f>
        <v/>
      </c>
      <c r="CI120" t="str">
        <f>""</f>
        <v/>
      </c>
      <c r="CJ120" t="str">
        <f>""</f>
        <v/>
      </c>
      <c r="CK120" t="str">
        <f>""</f>
        <v/>
      </c>
      <c r="CL120" t="str">
        <f>""</f>
        <v/>
      </c>
      <c r="CM120" t="str">
        <f>""</f>
        <v/>
      </c>
      <c r="CN120" t="str">
        <f>""</f>
        <v/>
      </c>
      <c r="CO120" t="str">
        <f>""</f>
        <v/>
      </c>
      <c r="CP120" t="str">
        <f>""</f>
        <v/>
      </c>
      <c r="CQ120" t="str">
        <f>""</f>
        <v/>
      </c>
      <c r="CR120" t="str">
        <f>""</f>
        <v/>
      </c>
      <c r="CS120" t="str">
        <f>""</f>
        <v/>
      </c>
      <c r="CT120" t="str">
        <f>""</f>
        <v/>
      </c>
      <c r="CU120" t="str">
        <f>""</f>
        <v/>
      </c>
      <c r="CV120" t="str">
        <f>""</f>
        <v/>
      </c>
      <c r="CW120" t="str">
        <f>""</f>
        <v/>
      </c>
      <c r="CX120" t="str">
        <f>""</f>
        <v/>
      </c>
      <c r="CY120" t="str">
        <f>""</f>
        <v/>
      </c>
      <c r="CZ120" t="str">
        <f>""</f>
        <v/>
      </c>
      <c r="DA120" t="str">
        <f>""</f>
        <v/>
      </c>
      <c r="DB120" t="str">
        <f>""</f>
        <v/>
      </c>
      <c r="DC120" t="str">
        <f>""</f>
        <v/>
      </c>
      <c r="DD120" t="str">
        <f>""</f>
        <v/>
      </c>
      <c r="DE120" t="str">
        <f>""</f>
        <v/>
      </c>
      <c r="DF120" t="str">
        <f>""</f>
        <v/>
      </c>
      <c r="DG120" t="str">
        <f>""</f>
        <v/>
      </c>
      <c r="DH120" t="str">
        <f>""</f>
        <v/>
      </c>
      <c r="DI120" t="str">
        <f>""</f>
        <v/>
      </c>
      <c r="DJ120" t="str">
        <f>""</f>
        <v/>
      </c>
      <c r="DK120" t="str">
        <f>""</f>
        <v/>
      </c>
      <c r="DL120" t="str">
        <f>""</f>
        <v/>
      </c>
      <c r="DM120" t="str">
        <f>""</f>
        <v/>
      </c>
      <c r="DN120" t="str">
        <f>""</f>
        <v/>
      </c>
      <c r="DO120" t="str">
        <f>""</f>
        <v/>
      </c>
      <c r="DP120" t="str">
        <f>""</f>
        <v/>
      </c>
      <c r="DQ120" t="str">
        <f>""</f>
        <v/>
      </c>
      <c r="DR120" t="str">
        <f>""</f>
        <v/>
      </c>
      <c r="DS120" t="str">
        <f>""</f>
        <v/>
      </c>
      <c r="DT120" t="str">
        <f>""</f>
        <v/>
      </c>
      <c r="DU120" t="str">
        <f>""</f>
        <v/>
      </c>
    </row>
    <row r="121" spans="1:125" x14ac:dyDescent="0.25">
      <c r="A121" t="str">
        <f>"    Tesla Inc"</f>
        <v xml:space="preserve">    Tesla Inc</v>
      </c>
      <c r="B121" t="str">
        <f>"TSLA US Equity"</f>
        <v>TSLA US Equity</v>
      </c>
      <c r="C121" t="str">
        <f t="shared" si="6"/>
        <v>EZ010</v>
      </c>
      <c r="D121" t="str">
        <f t="shared" si="7"/>
        <v>BEST_EST_PE_NXT_YR</v>
      </c>
      <c r="E121" t="str">
        <f t="shared" si="8"/>
        <v>Dynamic</v>
      </c>
      <c r="F121">
        <f ca="1">IF(AND(ISNUMBER($F$793),$B$677=1),$F$793,HLOOKUP(INDIRECT(ADDRESS(2,COLUMN())),OFFSET($BN$2,0,0,ROW()-1,60),ROW()-1,FALSE))</f>
        <v>31.67711804</v>
      </c>
      <c r="G121">
        <f ca="1">IF(AND(ISNUMBER($G$793),$B$677=1),$G$793,HLOOKUP(INDIRECT(ADDRESS(2,COLUMN())),OFFSET($BN$2,0,0,ROW()-1,60),ROW()-1,FALSE))</f>
        <v>29.115669400000002</v>
      </c>
      <c r="H121">
        <f ca="1">IF(AND(ISNUMBER($H$793),$B$677=1),$H$793,HLOOKUP(INDIRECT(ADDRESS(2,COLUMN())),OFFSET($BN$2,0,0,ROW()-1,60),ROW()-1,FALSE))</f>
        <v>27.531449129999999</v>
      </c>
      <c r="I121">
        <f ca="1">IF(AND(ISNUMBER($I$793),$B$677=1),$I$793,HLOOKUP(INDIRECT(ADDRESS(2,COLUMN())),OFFSET($BN$2,0,0,ROW()-1,60),ROW()-1,FALSE))</f>
        <v>38.618567890000001</v>
      </c>
      <c r="J121">
        <f ca="1">IF(AND(ISNUMBER($J$793),$B$677=1),$J$793,HLOOKUP(INDIRECT(ADDRESS(2,COLUMN())),OFFSET($BN$2,0,0,ROW()-1,60),ROW()-1,FALSE))</f>
        <v>29.85091336</v>
      </c>
      <c r="K121">
        <f ca="1">IF(AND(ISNUMBER($K$793),$B$677=1),$K$793,HLOOKUP(INDIRECT(ADDRESS(2,COLUMN())),OFFSET($BN$2,0,0,ROW()-1,60),ROW()-1,FALSE))</f>
        <v>27.72327117</v>
      </c>
      <c r="L121">
        <f ca="1">IF(AND(ISNUMBER($L$793),$B$677=1),$L$793,HLOOKUP(INDIRECT(ADDRESS(2,COLUMN())),OFFSET($BN$2,0,0,ROW()-1,60),ROW()-1,FALSE))</f>
        <v>24.678261320000001</v>
      </c>
      <c r="M121">
        <f ca="1">IF(AND(ISNUMBER($M$793),$B$677=1),$M$793,HLOOKUP(INDIRECT(ADDRESS(2,COLUMN())),OFFSET($BN$2,0,0,ROW()-1,60),ROW()-1,FALSE))</f>
        <v>29.622555380000001</v>
      </c>
      <c r="N121">
        <f ca="1">IF(AND(ISNUMBER($N$793),$B$677=1),$N$793,HLOOKUP(INDIRECT(ADDRESS(2,COLUMN())),OFFSET($BN$2,0,0,ROW()-1,60),ROW()-1,FALSE))</f>
        <v>23.608987729999999</v>
      </c>
      <c r="O121">
        <f ca="1">IF(AND(ISNUMBER($O$793),$B$677=1),$O$793,HLOOKUP(INDIRECT(ADDRESS(2,COLUMN())),OFFSET($BN$2,0,0,ROW()-1,60),ROW()-1,FALSE))</f>
        <v>21.26506247</v>
      </c>
      <c r="P121">
        <f ca="1">IF(AND(ISNUMBER($P$793),$B$677=1),$P$793,HLOOKUP(INDIRECT(ADDRESS(2,COLUMN())),OFFSET($BN$2,0,0,ROW()-1,60),ROW()-1,FALSE))</f>
        <v>13.937374739999999</v>
      </c>
      <c r="Q121">
        <f ca="1">IF(AND(ISNUMBER($Q$793),$B$677=1),$Q$793,HLOOKUP(INDIRECT(ADDRESS(2,COLUMN())),OFFSET($BN$2,0,0,ROW()-1,60),ROW()-1,FALSE))</f>
        <v>12.94299479</v>
      </c>
      <c r="R121">
        <f ca="1">IF(AND(ISNUMBER($R$793),$B$677=1),$R$793,HLOOKUP(INDIRECT(ADDRESS(2,COLUMN())),OFFSET($BN$2,0,0,ROW()-1,60),ROW()-1,FALSE))</f>
        <v>15.614755150000001</v>
      </c>
      <c r="S121">
        <f ca="1">IF(AND(ISNUMBER($S$793),$B$677=1),$S$793,HLOOKUP(INDIRECT(ADDRESS(2,COLUMN())),OFFSET($BN$2,0,0,ROW()-1,60),ROW()-1,FALSE))</f>
        <v>13.57759373</v>
      </c>
      <c r="T121">
        <f ca="1">IF(AND(ISNUMBER($T$793),$B$677=1),$T$793,HLOOKUP(INDIRECT(ADDRESS(2,COLUMN())),OFFSET($BN$2,0,0,ROW()-1,60),ROW()-1,FALSE))</f>
        <v>14.49638479</v>
      </c>
      <c r="U121">
        <f ca="1">IF(AND(ISNUMBER($U$793),$B$677=1),$U$793,HLOOKUP(INDIRECT(ADDRESS(2,COLUMN())),OFFSET($BN$2,0,0,ROW()-1,60),ROW()-1,FALSE))</f>
        <v>18.745974530000002</v>
      </c>
      <c r="V121">
        <f ca="1">IF(AND(ISNUMBER($V$793),$B$677=1),$V$793,HLOOKUP(INDIRECT(ADDRESS(2,COLUMN())),OFFSET($BN$2,0,0,ROW()-1,60),ROW()-1,FALSE))</f>
        <v>12.181167090000001</v>
      </c>
      <c r="W121">
        <f ca="1">IF(AND(ISNUMBER($W$793),$B$677=1),$W$793,HLOOKUP(INDIRECT(ADDRESS(2,COLUMN())),OFFSET($BN$2,0,0,ROW()-1,60),ROW()-1,FALSE))</f>
        <v>12.16009652</v>
      </c>
      <c r="X121">
        <f ca="1">IF(AND(ISNUMBER($X$793),$B$677=1),$X$793,HLOOKUP(INDIRECT(ADDRESS(2,COLUMN())),OFFSET($BN$2,0,0,ROW()-1,60),ROW()-1,FALSE))</f>
        <v>13.76066258</v>
      </c>
      <c r="Y121">
        <f ca="1">IF(AND(ISNUMBER($Y$793),$B$677=1),$Y$793,HLOOKUP(INDIRECT(ADDRESS(2,COLUMN())),OFFSET($BN$2,0,0,ROW()-1,60),ROW()-1,FALSE))</f>
        <v>14.5432632</v>
      </c>
      <c r="Z121">
        <f ca="1">IF(AND(ISNUMBER($Z$793),$B$677=1),$Z$793,HLOOKUP(INDIRECT(ADDRESS(2,COLUMN())),OFFSET($BN$2,0,0,ROW()-1,60),ROW()-1,FALSE))</f>
        <v>12.11200069</v>
      </c>
      <c r="AA121">
        <f ca="1">IF(AND(ISNUMBER($AA$793),$B$677=1),$AA$793,HLOOKUP(INDIRECT(ADDRESS(2,COLUMN())),OFFSET($BN$2,0,0,ROW()-1,60),ROW()-1,FALSE))</f>
        <v>8.9661500590000003</v>
      </c>
      <c r="AB121">
        <f ca="1">IF(AND(ISNUMBER($AB$793),$B$677=1),$AB$793,HLOOKUP(INDIRECT(ADDRESS(2,COLUMN())),OFFSET($BN$2,0,0,ROW()-1,60),ROW()-1,FALSE))</f>
        <v>17.393339279999999</v>
      </c>
      <c r="AC121">
        <f ca="1">IF(AND(ISNUMBER($AC$793),$B$677=1),$AC$793,HLOOKUP(INDIRECT(ADDRESS(2,COLUMN())),OFFSET($BN$2,0,0,ROW()-1,60),ROW()-1,FALSE))</f>
        <v>14.53341421</v>
      </c>
      <c r="AD121">
        <f ca="1">IF(AND(ISNUMBER($AD$793),$B$677=1),$AD$793,HLOOKUP(INDIRECT(ADDRESS(2,COLUMN())),OFFSET($BN$2,0,0,ROW()-1,60),ROW()-1,FALSE))</f>
        <v>4.310963696</v>
      </c>
      <c r="AE121">
        <f ca="1">IF(AND(ISNUMBER($AE$793),$B$677=1),$AE$793,HLOOKUP(INDIRECT(ADDRESS(2,COLUMN())),OFFSET($BN$2,0,0,ROW()-1,60),ROW()-1,FALSE))</f>
        <v>4.0275412230000001</v>
      </c>
      <c r="AF121">
        <f ca="1">IF(AND(ISNUMBER($AF$793),$B$677=1),$AF$793,HLOOKUP(INDIRECT(ADDRESS(2,COLUMN())),OFFSET($BN$2,0,0,ROW()-1,60),ROW()-1,FALSE))</f>
        <v>2.2173193840000001</v>
      </c>
      <c r="AG121">
        <f ca="1">IF(AND(ISNUMBER($AG$793),$B$677=1),$AG$793,HLOOKUP(INDIRECT(ADDRESS(2,COLUMN())),OFFSET($BN$2,0,0,ROW()-1,60),ROW()-1,FALSE))</f>
        <v>2.3680627599999999</v>
      </c>
      <c r="AH121" t="str">
        <f ca="1">IF(AND(ISNUMBER($AH$793),$B$677=1),$AH$793,HLOOKUP(INDIRECT(ADDRESS(2,COLUMN())),OFFSET($BN$2,0,0,ROW()-1,60),ROW()-1,FALSE))</f>
        <v/>
      </c>
      <c r="AI121" t="str">
        <f ca="1">IF(AND(ISNUMBER($AI$793),$B$677=1),$AI$793,HLOOKUP(INDIRECT(ADDRESS(2,COLUMN())),OFFSET($BN$2,0,0,ROW()-1,60),ROW()-1,FALSE))</f>
        <v/>
      </c>
      <c r="AJ121" t="str">
        <f ca="1">IF(AND(ISNUMBER($AJ$793),$B$677=1),$AJ$793,HLOOKUP(INDIRECT(ADDRESS(2,COLUMN())),OFFSET($BN$2,0,0,ROW()-1,60),ROW()-1,FALSE))</f>
        <v/>
      </c>
      <c r="AK121" t="str">
        <f ca="1">IF(AND(ISNUMBER($AK$793),$B$677=1),$AK$793,HLOOKUP(INDIRECT(ADDRESS(2,COLUMN())),OFFSET($BN$2,0,0,ROW()-1,60),ROW()-1,FALSE))</f>
        <v/>
      </c>
      <c r="AL121" t="str">
        <f ca="1">IF(AND(ISNUMBER($AL$793),$B$677=1),$AL$793,HLOOKUP(INDIRECT(ADDRESS(2,COLUMN())),OFFSET($BN$2,0,0,ROW()-1,60),ROW()-1,FALSE))</f>
        <v/>
      </c>
      <c r="AM121" t="str">
        <f ca="1">IF(AND(ISNUMBER($AM$793),$B$677=1),$AM$793,HLOOKUP(INDIRECT(ADDRESS(2,COLUMN())),OFFSET($BN$2,0,0,ROW()-1,60),ROW()-1,FALSE))</f>
        <v/>
      </c>
      <c r="AN121" t="str">
        <f ca="1">IF(AND(ISNUMBER($AN$793),$B$677=1),$AN$793,HLOOKUP(INDIRECT(ADDRESS(2,COLUMN())),OFFSET($BN$2,0,0,ROW()-1,60),ROW()-1,FALSE))</f>
        <v/>
      </c>
      <c r="AO121" t="str">
        <f ca="1">IF(AND(ISNUMBER($AO$793),$B$677=1),$AO$793,HLOOKUP(INDIRECT(ADDRESS(2,COLUMN())),OFFSET($BN$2,0,0,ROW()-1,60),ROW()-1,FALSE))</f>
        <v/>
      </c>
      <c r="AP121" t="str">
        <f ca="1">IF(AND(ISNUMBER($AP$793),$B$677=1),$AP$793,HLOOKUP(INDIRECT(ADDRESS(2,COLUMN())),OFFSET($BN$2,0,0,ROW()-1,60),ROW()-1,FALSE))</f>
        <v/>
      </c>
      <c r="AQ121" t="str">
        <f ca="1">IF(AND(ISNUMBER($AQ$793),$B$677=1),$AQ$793,HLOOKUP(INDIRECT(ADDRESS(2,COLUMN())),OFFSET($BN$2,0,0,ROW()-1,60),ROW()-1,FALSE))</f>
        <v/>
      </c>
      <c r="AR121" t="str">
        <f ca="1">IF(AND(ISNUMBER($AR$793),$B$677=1),$AR$793,HLOOKUP(INDIRECT(ADDRESS(2,COLUMN())),OFFSET($BN$2,0,0,ROW()-1,60),ROW()-1,FALSE))</f>
        <v/>
      </c>
      <c r="AS121" t="str">
        <f ca="1">IF(AND(ISNUMBER($AS$793),$B$677=1),$AS$793,HLOOKUP(INDIRECT(ADDRESS(2,COLUMN())),OFFSET($BN$2,0,0,ROW()-1,60),ROW()-1,FALSE))</f>
        <v/>
      </c>
      <c r="AT121" t="str">
        <f ca="1">IF(AND(ISNUMBER($AT$793),$B$677=1),$AT$793,HLOOKUP(INDIRECT(ADDRESS(2,COLUMN())),OFFSET($BN$2,0,0,ROW()-1,60),ROW()-1,FALSE))</f>
        <v/>
      </c>
      <c r="AU121" t="str">
        <f ca="1">IF(AND(ISNUMBER($AU$793),$B$677=1),$AU$793,HLOOKUP(INDIRECT(ADDRESS(2,COLUMN())),OFFSET($BN$2,0,0,ROW()-1,60),ROW()-1,FALSE))</f>
        <v/>
      </c>
      <c r="AV121" t="str">
        <f ca="1">IF(AND(ISNUMBER($AV$793),$B$677=1),$AV$793,HLOOKUP(INDIRECT(ADDRESS(2,COLUMN())),OFFSET($BN$2,0,0,ROW()-1,60),ROW()-1,FALSE))</f>
        <v/>
      </c>
      <c r="AW121" t="str">
        <f ca="1">IF(AND(ISNUMBER($AW$793),$B$677=1),$AW$793,HLOOKUP(INDIRECT(ADDRESS(2,COLUMN())),OFFSET($BN$2,0,0,ROW()-1,60),ROW()-1,FALSE))</f>
        <v/>
      </c>
      <c r="AX121" t="str">
        <f ca="1">IF(AND(ISNUMBER($AX$793),$B$677=1),$AX$793,HLOOKUP(INDIRECT(ADDRESS(2,COLUMN())),OFFSET($BN$2,0,0,ROW()-1,60),ROW()-1,FALSE))</f>
        <v/>
      </c>
      <c r="AY121" t="str">
        <f ca="1">IF(AND(ISNUMBER($AY$793),$B$677=1),$AY$793,HLOOKUP(INDIRECT(ADDRESS(2,COLUMN())),OFFSET($BN$2,0,0,ROW()-1,60),ROW()-1,FALSE))</f>
        <v/>
      </c>
      <c r="AZ121" t="str">
        <f ca="1">IF(AND(ISNUMBER($AZ$793),$B$677=1),$AZ$793,HLOOKUP(INDIRECT(ADDRESS(2,COLUMN())),OFFSET($BN$2,0,0,ROW()-1,60),ROW()-1,FALSE))</f>
        <v/>
      </c>
      <c r="BA121" t="str">
        <f ca="1">IF(AND(ISNUMBER($BA$793),$B$677=1),$BA$793,HLOOKUP(INDIRECT(ADDRESS(2,COLUMN())),OFFSET($BN$2,0,0,ROW()-1,60),ROW()-1,FALSE))</f>
        <v/>
      </c>
      <c r="BB121" t="str">
        <f ca="1">IF(AND(ISNUMBER($BB$793),$B$677=1),$BB$793,HLOOKUP(INDIRECT(ADDRESS(2,COLUMN())),OFFSET($BN$2,0,0,ROW()-1,60),ROW()-1,FALSE))</f>
        <v/>
      </c>
      <c r="BC121" t="str">
        <f ca="1">IF(AND(ISNUMBER($BC$793),$B$677=1),$BC$793,HLOOKUP(INDIRECT(ADDRESS(2,COLUMN())),OFFSET($BN$2,0,0,ROW()-1,60),ROW()-1,FALSE))</f>
        <v/>
      </c>
      <c r="BD121" t="str">
        <f ca="1">IF(AND(ISNUMBER($BD$793),$B$677=1),$BD$793,HLOOKUP(INDIRECT(ADDRESS(2,COLUMN())),OFFSET($BN$2,0,0,ROW()-1,60),ROW()-1,FALSE))</f>
        <v/>
      </c>
      <c r="BE121" t="str">
        <f ca="1">IF(AND(ISNUMBER($BE$793),$B$677=1),$BE$793,HLOOKUP(INDIRECT(ADDRESS(2,COLUMN())),OFFSET($BN$2,0,0,ROW()-1,60),ROW()-1,FALSE))</f>
        <v/>
      </c>
      <c r="BF121" t="str">
        <f ca="1">IF(AND(ISNUMBER($BF$793),$B$677=1),$BF$793,HLOOKUP(INDIRECT(ADDRESS(2,COLUMN())),OFFSET($BN$2,0,0,ROW()-1,60),ROW()-1,FALSE))</f>
        <v/>
      </c>
      <c r="BG121" t="str">
        <f ca="1">IF(AND(ISNUMBER($BG$793),$B$677=1),$BG$793,HLOOKUP(INDIRECT(ADDRESS(2,COLUMN())),OFFSET($BN$2,0,0,ROW()-1,60),ROW()-1,FALSE))</f>
        <v/>
      </c>
      <c r="BH121" t="str">
        <f ca="1">IF(AND(ISNUMBER($BH$793),$B$677=1),$BH$793,HLOOKUP(INDIRECT(ADDRESS(2,COLUMN())),OFFSET($BN$2,0,0,ROW()-1,60),ROW()-1,FALSE))</f>
        <v/>
      </c>
      <c r="BI121" t="str">
        <f ca="1">IF(AND(ISNUMBER($BI$793),$B$677=1),$BI$793,HLOOKUP(INDIRECT(ADDRESS(2,COLUMN())),OFFSET($BN$2,0,0,ROW()-1,60),ROW()-1,FALSE))</f>
        <v/>
      </c>
      <c r="BJ121" t="str">
        <f ca="1">IF(AND(ISNUMBER($BJ$793),$B$677=1),$BJ$793,HLOOKUP(INDIRECT(ADDRESS(2,COLUMN())),OFFSET($BN$2,0,0,ROW()-1,60),ROW()-1,FALSE))</f>
        <v/>
      </c>
      <c r="BK121" t="str">
        <f ca="1">IF(AND(ISNUMBER($BK$793),$B$677=1),$BK$793,HLOOKUP(INDIRECT(ADDRESS(2,COLUMN())),OFFSET($BN$2,0,0,ROW()-1,60),ROW()-1,FALSE))</f>
        <v/>
      </c>
      <c r="BL121" t="str">
        <f ca="1">IF(AND(ISNUMBER($BL$793),$B$677=1),$BL$793,HLOOKUP(INDIRECT(ADDRESS(2,COLUMN())),OFFSET($BN$2,0,0,ROW()-1,60),ROW()-1,FALSE))</f>
        <v/>
      </c>
      <c r="BM121" t="str">
        <f ca="1">IF(AND(ISNUMBER($BM$793),$B$677=1),$BM$793,HLOOKUP(INDIRECT(ADDRESS(2,COLUMN())),OFFSET($BN$2,0,0,ROW()-1,60),ROW()-1,FALSE))</f>
        <v/>
      </c>
      <c r="BN121">
        <f>31.67711804</f>
        <v>31.67711804</v>
      </c>
      <c r="BO121">
        <f>29.1156694</f>
        <v>29.115669400000002</v>
      </c>
      <c r="BP121">
        <f>27.53144913</f>
        <v>27.531449129999999</v>
      </c>
      <c r="BQ121">
        <f>38.61856789</f>
        <v>38.618567890000001</v>
      </c>
      <c r="BR121">
        <f>29.85091336</f>
        <v>29.85091336</v>
      </c>
      <c r="BS121">
        <f>27.72327117</f>
        <v>27.72327117</v>
      </c>
      <c r="BT121">
        <f>24.67826132</f>
        <v>24.678261320000001</v>
      </c>
      <c r="BU121">
        <f>29.62255538</f>
        <v>29.622555380000001</v>
      </c>
      <c r="BV121">
        <f>23.60898773</f>
        <v>23.608987729999999</v>
      </c>
      <c r="BW121">
        <f>21.26506247</f>
        <v>21.26506247</v>
      </c>
      <c r="BX121">
        <f>13.93737474</f>
        <v>13.937374739999999</v>
      </c>
      <c r="BY121">
        <f>12.94299479</f>
        <v>12.94299479</v>
      </c>
      <c r="BZ121">
        <f>15.61475515</f>
        <v>15.614755150000001</v>
      </c>
      <c r="CA121">
        <f>13.57759373</f>
        <v>13.57759373</v>
      </c>
      <c r="CB121">
        <f>14.49638479</f>
        <v>14.49638479</v>
      </c>
      <c r="CC121">
        <f>18.74597453</f>
        <v>18.745974530000002</v>
      </c>
      <c r="CD121">
        <f>12.18116709</f>
        <v>12.181167090000001</v>
      </c>
      <c r="CE121">
        <f>12.16009652</f>
        <v>12.16009652</v>
      </c>
      <c r="CF121">
        <f>13.76066258</f>
        <v>13.76066258</v>
      </c>
      <c r="CG121">
        <f>14.5432632</f>
        <v>14.5432632</v>
      </c>
      <c r="CH121">
        <f>12.11200069</f>
        <v>12.11200069</v>
      </c>
      <c r="CI121">
        <f>8.966150059</f>
        <v>8.9661500590000003</v>
      </c>
      <c r="CJ121">
        <f>17.39333928</f>
        <v>17.393339279999999</v>
      </c>
      <c r="CK121">
        <f>14.53341421</f>
        <v>14.53341421</v>
      </c>
      <c r="CL121">
        <f>4.310963696</f>
        <v>4.310963696</v>
      </c>
      <c r="CM121">
        <f>4.027541223</f>
        <v>4.0275412230000001</v>
      </c>
      <c r="CN121">
        <f>2.217319384</f>
        <v>2.2173193840000001</v>
      </c>
      <c r="CO121">
        <f>2.36806276</f>
        <v>2.3680627599999999</v>
      </c>
      <c r="CP121" t="str">
        <f>""</f>
        <v/>
      </c>
      <c r="CQ121" t="str">
        <f>""</f>
        <v/>
      </c>
      <c r="CR121" t="str">
        <f>""</f>
        <v/>
      </c>
      <c r="CS121" t="str">
        <f>""</f>
        <v/>
      </c>
      <c r="CT121" t="str">
        <f>""</f>
        <v/>
      </c>
      <c r="CU121" t="str">
        <f>""</f>
        <v/>
      </c>
      <c r="CV121" t="str">
        <f>""</f>
        <v/>
      </c>
      <c r="CW121" t="str">
        <f>""</f>
        <v/>
      </c>
      <c r="CX121" t="str">
        <f>""</f>
        <v/>
      </c>
      <c r="CY121" t="str">
        <f>""</f>
        <v/>
      </c>
      <c r="CZ121" t="str">
        <f>""</f>
        <v/>
      </c>
      <c r="DA121" t="str">
        <f>""</f>
        <v/>
      </c>
      <c r="DB121" t="str">
        <f>""</f>
        <v/>
      </c>
      <c r="DC121" t="str">
        <f>""</f>
        <v/>
      </c>
      <c r="DD121" t="str">
        <f>""</f>
        <v/>
      </c>
      <c r="DE121" t="str">
        <f>""</f>
        <v/>
      </c>
      <c r="DF121" t="str">
        <f>""</f>
        <v/>
      </c>
      <c r="DG121" t="str">
        <f>""</f>
        <v/>
      </c>
      <c r="DH121" t="str">
        <f>""</f>
        <v/>
      </c>
      <c r="DI121" t="str">
        <f>""</f>
        <v/>
      </c>
      <c r="DJ121" t="str">
        <f>""</f>
        <v/>
      </c>
      <c r="DK121" t="str">
        <f>""</f>
        <v/>
      </c>
      <c r="DL121" t="str">
        <f>""</f>
        <v/>
      </c>
      <c r="DM121" t="str">
        <f>""</f>
        <v/>
      </c>
      <c r="DN121" t="str">
        <f>""</f>
        <v/>
      </c>
      <c r="DO121" t="str">
        <f>""</f>
        <v/>
      </c>
      <c r="DP121" t="str">
        <f>""</f>
        <v/>
      </c>
      <c r="DQ121" t="str">
        <f>""</f>
        <v/>
      </c>
      <c r="DR121" t="str">
        <f>""</f>
        <v/>
      </c>
      <c r="DS121" t="str">
        <f>""</f>
        <v/>
      </c>
      <c r="DT121" t="str">
        <f>""</f>
        <v/>
      </c>
      <c r="DU121" t="str">
        <f>""</f>
        <v/>
      </c>
    </row>
    <row r="122" spans="1:125" x14ac:dyDescent="0.25">
      <c r="A122" t="str">
        <f>"    Tianjin Faw Xiali Automobile Co Ltd"</f>
        <v xml:space="preserve">    Tianjin Faw Xiali Automobile Co Ltd</v>
      </c>
      <c r="B122" t="str">
        <f>"000927 CH Equity"</f>
        <v>000927 CH Equity</v>
      </c>
      <c r="C122" t="str">
        <f t="shared" si="6"/>
        <v>EZ010</v>
      </c>
      <c r="D122" t="str">
        <f t="shared" si="7"/>
        <v>BEST_EST_PE_NXT_YR</v>
      </c>
      <c r="E122" t="str">
        <f t="shared" si="8"/>
        <v>Dynamic</v>
      </c>
      <c r="F122" t="str">
        <f ca="1">IF(AND(ISNUMBER($F$794),$B$677=1),$F$794,HLOOKUP(INDIRECT(ADDRESS(2,COLUMN())),OFFSET($BN$2,0,0,ROW()-1,60),ROW()-1,FALSE))</f>
        <v/>
      </c>
      <c r="G122" t="str">
        <f ca="1">IF(AND(ISNUMBER($G$794),$B$677=1),$G$794,HLOOKUP(INDIRECT(ADDRESS(2,COLUMN())),OFFSET($BN$2,0,0,ROW()-1,60),ROW()-1,FALSE))</f>
        <v/>
      </c>
      <c r="H122" t="str">
        <f ca="1">IF(AND(ISNUMBER($H$794),$B$677=1),$H$794,HLOOKUP(INDIRECT(ADDRESS(2,COLUMN())),OFFSET($BN$2,0,0,ROW()-1,60),ROW()-1,FALSE))</f>
        <v/>
      </c>
      <c r="I122" t="str">
        <f ca="1">IF(AND(ISNUMBER($I$794),$B$677=1),$I$794,HLOOKUP(INDIRECT(ADDRESS(2,COLUMN())),OFFSET($BN$2,0,0,ROW()-1,60),ROW()-1,FALSE))</f>
        <v/>
      </c>
      <c r="J122" t="str">
        <f ca="1">IF(AND(ISNUMBER($J$794),$B$677=1),$J$794,HLOOKUP(INDIRECT(ADDRESS(2,COLUMN())),OFFSET($BN$2,0,0,ROW()-1,60),ROW()-1,FALSE))</f>
        <v/>
      </c>
      <c r="K122" t="str">
        <f ca="1">IF(AND(ISNUMBER($K$794),$B$677=1),$K$794,HLOOKUP(INDIRECT(ADDRESS(2,COLUMN())),OFFSET($BN$2,0,0,ROW()-1,60),ROW()-1,FALSE))</f>
        <v/>
      </c>
      <c r="L122" t="str">
        <f ca="1">IF(AND(ISNUMBER($L$794),$B$677=1),$L$794,HLOOKUP(INDIRECT(ADDRESS(2,COLUMN())),OFFSET($BN$2,0,0,ROW()-1,60),ROW()-1,FALSE))</f>
        <v/>
      </c>
      <c r="M122" t="str">
        <f ca="1">IF(AND(ISNUMBER($M$794),$B$677=1),$M$794,HLOOKUP(INDIRECT(ADDRESS(2,COLUMN())),OFFSET($BN$2,0,0,ROW()-1,60),ROW()-1,FALSE))</f>
        <v/>
      </c>
      <c r="N122" t="str">
        <f ca="1">IF(AND(ISNUMBER($N$794),$B$677=1),$N$794,HLOOKUP(INDIRECT(ADDRESS(2,COLUMN())),OFFSET($BN$2,0,0,ROW()-1,60),ROW()-1,FALSE))</f>
        <v/>
      </c>
      <c r="O122" t="str">
        <f ca="1">IF(AND(ISNUMBER($O$794),$B$677=1),$O$794,HLOOKUP(INDIRECT(ADDRESS(2,COLUMN())),OFFSET($BN$2,0,0,ROW()-1,60),ROW()-1,FALSE))</f>
        <v/>
      </c>
      <c r="P122" t="str">
        <f ca="1">IF(AND(ISNUMBER($P$794),$B$677=1),$P$794,HLOOKUP(INDIRECT(ADDRESS(2,COLUMN())),OFFSET($BN$2,0,0,ROW()-1,60),ROW()-1,FALSE))</f>
        <v/>
      </c>
      <c r="Q122" t="str">
        <f ca="1">IF(AND(ISNUMBER($Q$794),$B$677=1),$Q$794,HLOOKUP(INDIRECT(ADDRESS(2,COLUMN())),OFFSET($BN$2,0,0,ROW()-1,60),ROW()-1,FALSE))</f>
        <v/>
      </c>
      <c r="R122" t="str">
        <f ca="1">IF(AND(ISNUMBER($R$794),$B$677=1),$R$794,HLOOKUP(INDIRECT(ADDRESS(2,COLUMN())),OFFSET($BN$2,0,0,ROW()-1,60),ROW()-1,FALSE))</f>
        <v/>
      </c>
      <c r="S122" t="str">
        <f ca="1">IF(AND(ISNUMBER($S$794),$B$677=1),$S$794,HLOOKUP(INDIRECT(ADDRESS(2,COLUMN())),OFFSET($BN$2,0,0,ROW()-1,60),ROW()-1,FALSE))</f>
        <v/>
      </c>
      <c r="T122" t="str">
        <f ca="1">IF(AND(ISNUMBER($T$794),$B$677=1),$T$794,HLOOKUP(INDIRECT(ADDRESS(2,COLUMN())),OFFSET($BN$2,0,0,ROW()-1,60),ROW()-1,FALSE))</f>
        <v/>
      </c>
      <c r="U122" t="str">
        <f ca="1">IF(AND(ISNUMBER($U$794),$B$677=1),$U$794,HLOOKUP(INDIRECT(ADDRESS(2,COLUMN())),OFFSET($BN$2,0,0,ROW()-1,60),ROW()-1,FALSE))</f>
        <v/>
      </c>
      <c r="V122" t="str">
        <f ca="1">IF(AND(ISNUMBER($V$794),$B$677=1),$V$794,HLOOKUP(INDIRECT(ADDRESS(2,COLUMN())),OFFSET($BN$2,0,0,ROW()-1,60),ROW()-1,FALSE))</f>
        <v/>
      </c>
      <c r="W122" t="str">
        <f ca="1">IF(AND(ISNUMBER($W$794),$B$677=1),$W$794,HLOOKUP(INDIRECT(ADDRESS(2,COLUMN())),OFFSET($BN$2,0,0,ROW()-1,60),ROW()-1,FALSE))</f>
        <v/>
      </c>
      <c r="X122" t="str">
        <f ca="1">IF(AND(ISNUMBER($X$794),$B$677=1),$X$794,HLOOKUP(INDIRECT(ADDRESS(2,COLUMN())),OFFSET($BN$2,0,0,ROW()-1,60),ROW()-1,FALSE))</f>
        <v/>
      </c>
      <c r="Y122" t="str">
        <f ca="1">IF(AND(ISNUMBER($Y$794),$B$677=1),$Y$794,HLOOKUP(INDIRECT(ADDRESS(2,COLUMN())),OFFSET($BN$2,0,0,ROW()-1,60),ROW()-1,FALSE))</f>
        <v/>
      </c>
      <c r="Z122" t="str">
        <f ca="1">IF(AND(ISNUMBER($Z$794),$B$677=1),$Z$794,HLOOKUP(INDIRECT(ADDRESS(2,COLUMN())),OFFSET($BN$2,0,0,ROW()-1,60),ROW()-1,FALSE))</f>
        <v/>
      </c>
      <c r="AA122" t="str">
        <f ca="1">IF(AND(ISNUMBER($AA$794),$B$677=1),$AA$794,HLOOKUP(INDIRECT(ADDRESS(2,COLUMN())),OFFSET($BN$2,0,0,ROW()-1,60),ROW()-1,FALSE))</f>
        <v/>
      </c>
      <c r="AB122" t="str">
        <f ca="1">IF(AND(ISNUMBER($AB$794),$B$677=1),$AB$794,HLOOKUP(INDIRECT(ADDRESS(2,COLUMN())),OFFSET($BN$2,0,0,ROW()-1,60),ROW()-1,FALSE))</f>
        <v/>
      </c>
      <c r="AC122" t="str">
        <f ca="1">IF(AND(ISNUMBER($AC$794),$B$677=1),$AC$794,HLOOKUP(INDIRECT(ADDRESS(2,COLUMN())),OFFSET($BN$2,0,0,ROW()-1,60),ROW()-1,FALSE))</f>
        <v/>
      </c>
      <c r="AD122" t="str">
        <f ca="1">IF(AND(ISNUMBER($AD$794),$B$677=1),$AD$794,HLOOKUP(INDIRECT(ADDRESS(2,COLUMN())),OFFSET($BN$2,0,0,ROW()-1,60),ROW()-1,FALSE))</f>
        <v/>
      </c>
      <c r="AE122" t="str">
        <f ca="1">IF(AND(ISNUMBER($AE$794),$B$677=1),$AE$794,HLOOKUP(INDIRECT(ADDRESS(2,COLUMN())),OFFSET($BN$2,0,0,ROW()-1,60),ROW()-1,FALSE))</f>
        <v/>
      </c>
      <c r="AF122" t="str">
        <f ca="1">IF(AND(ISNUMBER($AF$794),$B$677=1),$AF$794,HLOOKUP(INDIRECT(ADDRESS(2,COLUMN())),OFFSET($BN$2,0,0,ROW()-1,60),ROW()-1,FALSE))</f>
        <v/>
      </c>
      <c r="AG122" t="str">
        <f ca="1">IF(AND(ISNUMBER($AG$794),$B$677=1),$AG$794,HLOOKUP(INDIRECT(ADDRESS(2,COLUMN())),OFFSET($BN$2,0,0,ROW()-1,60),ROW()-1,FALSE))</f>
        <v/>
      </c>
      <c r="AH122" t="str">
        <f ca="1">IF(AND(ISNUMBER($AH$794),$B$677=1),$AH$794,HLOOKUP(INDIRECT(ADDRESS(2,COLUMN())),OFFSET($BN$2,0,0,ROW()-1,60),ROW()-1,FALSE))</f>
        <v/>
      </c>
      <c r="AI122" t="str">
        <f ca="1">IF(AND(ISNUMBER($AI$794),$B$677=1),$AI$794,HLOOKUP(INDIRECT(ADDRESS(2,COLUMN())),OFFSET($BN$2,0,0,ROW()-1,60),ROW()-1,FALSE))</f>
        <v/>
      </c>
      <c r="AJ122" t="str">
        <f ca="1">IF(AND(ISNUMBER($AJ$794),$B$677=1),$AJ$794,HLOOKUP(INDIRECT(ADDRESS(2,COLUMN())),OFFSET($BN$2,0,0,ROW()-1,60),ROW()-1,FALSE))</f>
        <v/>
      </c>
      <c r="AK122" t="str">
        <f ca="1">IF(AND(ISNUMBER($AK$794),$B$677=1),$AK$794,HLOOKUP(INDIRECT(ADDRESS(2,COLUMN())),OFFSET($BN$2,0,0,ROW()-1,60),ROW()-1,FALSE))</f>
        <v/>
      </c>
      <c r="AL122" t="str">
        <f ca="1">IF(AND(ISNUMBER($AL$794),$B$677=1),$AL$794,HLOOKUP(INDIRECT(ADDRESS(2,COLUMN())),OFFSET($BN$2,0,0,ROW()-1,60),ROW()-1,FALSE))</f>
        <v/>
      </c>
      <c r="AM122" t="str">
        <f ca="1">IF(AND(ISNUMBER($AM$794),$B$677=1),$AM$794,HLOOKUP(INDIRECT(ADDRESS(2,COLUMN())),OFFSET($BN$2,0,0,ROW()-1,60),ROW()-1,FALSE))</f>
        <v/>
      </c>
      <c r="AN122" t="str">
        <f ca="1">IF(AND(ISNUMBER($AN$794),$B$677=1),$AN$794,HLOOKUP(INDIRECT(ADDRESS(2,COLUMN())),OFFSET($BN$2,0,0,ROW()-1,60),ROW()-1,FALSE))</f>
        <v/>
      </c>
      <c r="AO122" t="str">
        <f ca="1">IF(AND(ISNUMBER($AO$794),$B$677=1),$AO$794,HLOOKUP(INDIRECT(ADDRESS(2,COLUMN())),OFFSET($BN$2,0,0,ROW()-1,60),ROW()-1,FALSE))</f>
        <v/>
      </c>
      <c r="AP122" t="str">
        <f ca="1">IF(AND(ISNUMBER($AP$794),$B$677=1),$AP$794,HLOOKUP(INDIRECT(ADDRESS(2,COLUMN())),OFFSET($BN$2,0,0,ROW()-1,60),ROW()-1,FALSE))</f>
        <v/>
      </c>
      <c r="AQ122" t="str">
        <f ca="1">IF(AND(ISNUMBER($AQ$794),$B$677=1),$AQ$794,HLOOKUP(INDIRECT(ADDRESS(2,COLUMN())),OFFSET($BN$2,0,0,ROW()-1,60),ROW()-1,FALSE))</f>
        <v/>
      </c>
      <c r="AR122" t="str">
        <f ca="1">IF(AND(ISNUMBER($AR$794),$B$677=1),$AR$794,HLOOKUP(INDIRECT(ADDRESS(2,COLUMN())),OFFSET($BN$2,0,0,ROW()-1,60),ROW()-1,FALSE))</f>
        <v/>
      </c>
      <c r="AS122" t="str">
        <f ca="1">IF(AND(ISNUMBER($AS$794),$B$677=1),$AS$794,HLOOKUP(INDIRECT(ADDRESS(2,COLUMN())),OFFSET($BN$2,0,0,ROW()-1,60),ROW()-1,FALSE))</f>
        <v/>
      </c>
      <c r="AT122" t="str">
        <f ca="1">IF(AND(ISNUMBER($AT$794),$B$677=1),$AT$794,HLOOKUP(INDIRECT(ADDRESS(2,COLUMN())),OFFSET($BN$2,0,0,ROW()-1,60),ROW()-1,FALSE))</f>
        <v/>
      </c>
      <c r="AU122" t="str">
        <f ca="1">IF(AND(ISNUMBER($AU$794),$B$677=1),$AU$794,HLOOKUP(INDIRECT(ADDRESS(2,COLUMN())),OFFSET($BN$2,0,0,ROW()-1,60),ROW()-1,FALSE))</f>
        <v/>
      </c>
      <c r="AV122" t="str">
        <f ca="1">IF(AND(ISNUMBER($AV$794),$B$677=1),$AV$794,HLOOKUP(INDIRECT(ADDRESS(2,COLUMN())),OFFSET($BN$2,0,0,ROW()-1,60),ROW()-1,FALSE))</f>
        <v/>
      </c>
      <c r="AW122" t="str">
        <f ca="1">IF(AND(ISNUMBER($AW$794),$B$677=1),$AW$794,HLOOKUP(INDIRECT(ADDRESS(2,COLUMN())),OFFSET($BN$2,0,0,ROW()-1,60),ROW()-1,FALSE))</f>
        <v/>
      </c>
      <c r="AX122" t="str">
        <f ca="1">IF(AND(ISNUMBER($AX$794),$B$677=1),$AX$794,HLOOKUP(INDIRECT(ADDRESS(2,COLUMN())),OFFSET($BN$2,0,0,ROW()-1,60),ROW()-1,FALSE))</f>
        <v/>
      </c>
      <c r="AY122" t="str">
        <f ca="1">IF(AND(ISNUMBER($AY$794),$B$677=1),$AY$794,HLOOKUP(INDIRECT(ADDRESS(2,COLUMN())),OFFSET($BN$2,0,0,ROW()-1,60),ROW()-1,FALSE))</f>
        <v/>
      </c>
      <c r="AZ122" t="str">
        <f ca="1">IF(AND(ISNUMBER($AZ$794),$B$677=1),$AZ$794,HLOOKUP(INDIRECT(ADDRESS(2,COLUMN())),OFFSET($BN$2,0,0,ROW()-1,60),ROW()-1,FALSE))</f>
        <v/>
      </c>
      <c r="BA122" t="str">
        <f ca="1">IF(AND(ISNUMBER($BA$794),$B$677=1),$BA$794,HLOOKUP(INDIRECT(ADDRESS(2,COLUMN())),OFFSET($BN$2,0,0,ROW()-1,60),ROW()-1,FALSE))</f>
        <v/>
      </c>
      <c r="BB122" t="str">
        <f ca="1">IF(AND(ISNUMBER($BB$794),$B$677=1),$BB$794,HLOOKUP(INDIRECT(ADDRESS(2,COLUMN())),OFFSET($BN$2,0,0,ROW()-1,60),ROW()-1,FALSE))</f>
        <v/>
      </c>
      <c r="BC122" t="str">
        <f ca="1">IF(AND(ISNUMBER($BC$794),$B$677=1),$BC$794,HLOOKUP(INDIRECT(ADDRESS(2,COLUMN())),OFFSET($BN$2,0,0,ROW()-1,60),ROW()-1,FALSE))</f>
        <v/>
      </c>
      <c r="BD122" t="str">
        <f ca="1">IF(AND(ISNUMBER($BD$794),$B$677=1),$BD$794,HLOOKUP(INDIRECT(ADDRESS(2,COLUMN())),OFFSET($BN$2,0,0,ROW()-1,60),ROW()-1,FALSE))</f>
        <v/>
      </c>
      <c r="BE122" t="str">
        <f ca="1">IF(AND(ISNUMBER($BE$794),$B$677=1),$BE$794,HLOOKUP(INDIRECT(ADDRESS(2,COLUMN())),OFFSET($BN$2,0,0,ROW()-1,60),ROW()-1,FALSE))</f>
        <v/>
      </c>
      <c r="BF122" t="str">
        <f ca="1">IF(AND(ISNUMBER($BF$794),$B$677=1),$BF$794,HLOOKUP(INDIRECT(ADDRESS(2,COLUMN())),OFFSET($BN$2,0,0,ROW()-1,60),ROW()-1,FALSE))</f>
        <v/>
      </c>
      <c r="BG122" t="str">
        <f ca="1">IF(AND(ISNUMBER($BG$794),$B$677=1),$BG$794,HLOOKUP(INDIRECT(ADDRESS(2,COLUMN())),OFFSET($BN$2,0,0,ROW()-1,60),ROW()-1,FALSE))</f>
        <v/>
      </c>
      <c r="BH122" t="str">
        <f ca="1">IF(AND(ISNUMBER($BH$794),$B$677=1),$BH$794,HLOOKUP(INDIRECT(ADDRESS(2,COLUMN())),OFFSET($BN$2,0,0,ROW()-1,60),ROW()-1,FALSE))</f>
        <v/>
      </c>
      <c r="BI122" t="str">
        <f ca="1">IF(AND(ISNUMBER($BI$794),$B$677=1),$BI$794,HLOOKUP(INDIRECT(ADDRESS(2,COLUMN())),OFFSET($BN$2,0,0,ROW()-1,60),ROW()-1,FALSE))</f>
        <v/>
      </c>
      <c r="BJ122" t="str">
        <f ca="1">IF(AND(ISNUMBER($BJ$794),$B$677=1),$BJ$794,HLOOKUP(INDIRECT(ADDRESS(2,COLUMN())),OFFSET($BN$2,0,0,ROW()-1,60),ROW()-1,FALSE))</f>
        <v/>
      </c>
      <c r="BK122" t="str">
        <f ca="1">IF(AND(ISNUMBER($BK$794),$B$677=1),$BK$794,HLOOKUP(INDIRECT(ADDRESS(2,COLUMN())),OFFSET($BN$2,0,0,ROW()-1,60),ROW()-1,FALSE))</f>
        <v/>
      </c>
      <c r="BL122" t="str">
        <f ca="1">IF(AND(ISNUMBER($BL$794),$B$677=1),$BL$794,HLOOKUP(INDIRECT(ADDRESS(2,COLUMN())),OFFSET($BN$2,0,0,ROW()-1,60),ROW()-1,FALSE))</f>
        <v/>
      </c>
      <c r="BM122" t="str">
        <f ca="1">IF(AND(ISNUMBER($BM$794),$B$677=1),$BM$794,HLOOKUP(INDIRECT(ADDRESS(2,COLUMN())),OFFSET($BN$2,0,0,ROW()-1,60),ROW()-1,FALSE))</f>
        <v/>
      </c>
      <c r="BN122" t="str">
        <f>""</f>
        <v/>
      </c>
      <c r="BO122" t="str">
        <f>""</f>
        <v/>
      </c>
      <c r="BP122" t="str">
        <f>""</f>
        <v/>
      </c>
      <c r="BQ122" t="str">
        <f>""</f>
        <v/>
      </c>
      <c r="BR122" t="str">
        <f>""</f>
        <v/>
      </c>
      <c r="BS122" t="str">
        <f>""</f>
        <v/>
      </c>
      <c r="BT122" t="str">
        <f>""</f>
        <v/>
      </c>
      <c r="BU122" t="str">
        <f>""</f>
        <v/>
      </c>
      <c r="BV122" t="str">
        <f>""</f>
        <v/>
      </c>
      <c r="BW122" t="str">
        <f>""</f>
        <v/>
      </c>
      <c r="BX122" t="str">
        <f>""</f>
        <v/>
      </c>
      <c r="BY122" t="str">
        <f>""</f>
        <v/>
      </c>
      <c r="BZ122" t="str">
        <f>""</f>
        <v/>
      </c>
      <c r="CA122" t="str">
        <f>""</f>
        <v/>
      </c>
      <c r="CB122" t="str">
        <f>""</f>
        <v/>
      </c>
      <c r="CC122" t="str">
        <f>""</f>
        <v/>
      </c>
      <c r="CD122" t="str">
        <f>""</f>
        <v/>
      </c>
      <c r="CE122" t="str">
        <f>""</f>
        <v/>
      </c>
      <c r="CF122" t="str">
        <f>""</f>
        <v/>
      </c>
      <c r="CG122" t="str">
        <f>""</f>
        <v/>
      </c>
      <c r="CH122" t="str">
        <f>""</f>
        <v/>
      </c>
      <c r="CI122" t="str">
        <f>""</f>
        <v/>
      </c>
      <c r="CJ122" t="str">
        <f>""</f>
        <v/>
      </c>
      <c r="CK122" t="str">
        <f>""</f>
        <v/>
      </c>
      <c r="CL122" t="str">
        <f>""</f>
        <v/>
      </c>
      <c r="CM122" t="str">
        <f>""</f>
        <v/>
      </c>
      <c r="CN122" t="str">
        <f>""</f>
        <v/>
      </c>
      <c r="CO122" t="str">
        <f>""</f>
        <v/>
      </c>
      <c r="CP122" t="str">
        <f>""</f>
        <v/>
      </c>
      <c r="CQ122" t="str">
        <f>""</f>
        <v/>
      </c>
      <c r="CR122" t="str">
        <f>""</f>
        <v/>
      </c>
      <c r="CS122" t="str">
        <f>""</f>
        <v/>
      </c>
      <c r="CT122" t="str">
        <f>""</f>
        <v/>
      </c>
      <c r="CU122" t="str">
        <f>""</f>
        <v/>
      </c>
      <c r="CV122" t="str">
        <f>""</f>
        <v/>
      </c>
      <c r="CW122" t="str">
        <f>""</f>
        <v/>
      </c>
      <c r="CX122" t="str">
        <f>""</f>
        <v/>
      </c>
      <c r="CY122" t="str">
        <f>""</f>
        <v/>
      </c>
      <c r="CZ122" t="str">
        <f>""</f>
        <v/>
      </c>
      <c r="DA122" t="str">
        <f>""</f>
        <v/>
      </c>
      <c r="DB122" t="str">
        <f>""</f>
        <v/>
      </c>
      <c r="DC122" t="str">
        <f>""</f>
        <v/>
      </c>
      <c r="DD122" t="str">
        <f>""</f>
        <v/>
      </c>
      <c r="DE122" t="str">
        <f>""</f>
        <v/>
      </c>
      <c r="DF122" t="str">
        <f>""</f>
        <v/>
      </c>
      <c r="DG122" t="str">
        <f>""</f>
        <v/>
      </c>
      <c r="DH122" t="str">
        <f>""</f>
        <v/>
      </c>
      <c r="DI122" t="str">
        <f>""</f>
        <v/>
      </c>
      <c r="DJ122" t="str">
        <f>""</f>
        <v/>
      </c>
      <c r="DK122" t="str">
        <f>""</f>
        <v/>
      </c>
      <c r="DL122" t="str">
        <f>""</f>
        <v/>
      </c>
      <c r="DM122" t="str">
        <f>""</f>
        <v/>
      </c>
      <c r="DN122" t="str">
        <f>""</f>
        <v/>
      </c>
      <c r="DO122" t="str">
        <f>""</f>
        <v/>
      </c>
      <c r="DP122" t="str">
        <f>""</f>
        <v/>
      </c>
      <c r="DQ122" t="str">
        <f>""</f>
        <v/>
      </c>
      <c r="DR122" t="str">
        <f>""</f>
        <v/>
      </c>
      <c r="DS122" t="str">
        <f>""</f>
        <v/>
      </c>
      <c r="DT122" t="str">
        <f>""</f>
        <v/>
      </c>
      <c r="DU122" t="str">
        <f>""</f>
        <v/>
      </c>
    </row>
    <row r="123" spans="1:125" x14ac:dyDescent="0.25">
      <c r="A123" t="str">
        <f>"    Tofas Turk Otomobil Fabrikasi AS"</f>
        <v xml:space="preserve">    Tofas Turk Otomobil Fabrikasi AS</v>
      </c>
      <c r="B123" t="str">
        <f>"TOASOTRY EO Equity"</f>
        <v>TOASOTRY EO Equity</v>
      </c>
      <c r="C123" t="str">
        <f t="shared" si="6"/>
        <v>EZ010</v>
      </c>
      <c r="D123" t="str">
        <f t="shared" si="7"/>
        <v>BEST_EST_PE_NXT_YR</v>
      </c>
      <c r="E123" t="str">
        <f t="shared" si="8"/>
        <v>Dynamic</v>
      </c>
      <c r="F123" t="str">
        <f ca="1">IF(AND(ISNUMBER($F$795),$B$677=1),$F$795,HLOOKUP(INDIRECT(ADDRESS(2,COLUMN())),OFFSET($BN$2,0,0,ROW()-1,60),ROW()-1,FALSE))</f>
        <v/>
      </c>
      <c r="G123" t="str">
        <f ca="1">IF(AND(ISNUMBER($G$795),$B$677=1),$G$795,HLOOKUP(INDIRECT(ADDRESS(2,COLUMN())),OFFSET($BN$2,0,0,ROW()-1,60),ROW()-1,FALSE))</f>
        <v/>
      </c>
      <c r="H123" t="str">
        <f ca="1">IF(AND(ISNUMBER($H$795),$B$677=1),$H$795,HLOOKUP(INDIRECT(ADDRESS(2,COLUMN())),OFFSET($BN$2,0,0,ROW()-1,60),ROW()-1,FALSE))</f>
        <v/>
      </c>
      <c r="I123" t="str">
        <f ca="1">IF(AND(ISNUMBER($I$795),$B$677=1),$I$795,HLOOKUP(INDIRECT(ADDRESS(2,COLUMN())),OFFSET($BN$2,0,0,ROW()-1,60),ROW()-1,FALSE))</f>
        <v/>
      </c>
      <c r="J123" t="str">
        <f ca="1">IF(AND(ISNUMBER($J$795),$B$677=1),$J$795,HLOOKUP(INDIRECT(ADDRESS(2,COLUMN())),OFFSET($BN$2,0,0,ROW()-1,60),ROW()-1,FALSE))</f>
        <v/>
      </c>
      <c r="K123" t="str">
        <f ca="1">IF(AND(ISNUMBER($K$795),$B$677=1),$K$795,HLOOKUP(INDIRECT(ADDRESS(2,COLUMN())),OFFSET($BN$2,0,0,ROW()-1,60),ROW()-1,FALSE))</f>
        <v/>
      </c>
      <c r="L123" t="str">
        <f ca="1">IF(AND(ISNUMBER($L$795),$B$677=1),$L$795,HLOOKUP(INDIRECT(ADDRESS(2,COLUMN())),OFFSET($BN$2,0,0,ROW()-1,60),ROW()-1,FALSE))</f>
        <v/>
      </c>
      <c r="M123" t="str">
        <f ca="1">IF(AND(ISNUMBER($M$795),$B$677=1),$M$795,HLOOKUP(INDIRECT(ADDRESS(2,COLUMN())),OFFSET($BN$2,0,0,ROW()-1,60),ROW()-1,FALSE))</f>
        <v/>
      </c>
      <c r="N123" t="str">
        <f ca="1">IF(AND(ISNUMBER($N$795),$B$677=1),$N$795,HLOOKUP(INDIRECT(ADDRESS(2,COLUMN())),OFFSET($BN$2,0,0,ROW()-1,60),ROW()-1,FALSE))</f>
        <v/>
      </c>
      <c r="O123" t="str">
        <f ca="1">IF(AND(ISNUMBER($O$795),$B$677=1),$O$795,HLOOKUP(INDIRECT(ADDRESS(2,COLUMN())),OFFSET($BN$2,0,0,ROW()-1,60),ROW()-1,FALSE))</f>
        <v/>
      </c>
      <c r="P123" t="str">
        <f ca="1">IF(AND(ISNUMBER($P$795),$B$677=1),$P$795,HLOOKUP(INDIRECT(ADDRESS(2,COLUMN())),OFFSET($BN$2,0,0,ROW()-1,60),ROW()-1,FALSE))</f>
        <v/>
      </c>
      <c r="Q123" t="str">
        <f ca="1">IF(AND(ISNUMBER($Q$795),$B$677=1),$Q$795,HLOOKUP(INDIRECT(ADDRESS(2,COLUMN())),OFFSET($BN$2,0,0,ROW()-1,60),ROW()-1,FALSE))</f>
        <v/>
      </c>
      <c r="R123" t="str">
        <f ca="1">IF(AND(ISNUMBER($R$795),$B$677=1),$R$795,HLOOKUP(INDIRECT(ADDRESS(2,COLUMN())),OFFSET($BN$2,0,0,ROW()-1,60),ROW()-1,FALSE))</f>
        <v/>
      </c>
      <c r="S123" t="str">
        <f ca="1">IF(AND(ISNUMBER($S$795),$B$677=1),$S$795,HLOOKUP(INDIRECT(ADDRESS(2,COLUMN())),OFFSET($BN$2,0,0,ROW()-1,60),ROW()-1,FALSE))</f>
        <v/>
      </c>
      <c r="T123" t="str">
        <f ca="1">IF(AND(ISNUMBER($T$795),$B$677=1),$T$795,HLOOKUP(INDIRECT(ADDRESS(2,COLUMN())),OFFSET($BN$2,0,0,ROW()-1,60),ROW()-1,FALSE))</f>
        <v/>
      </c>
      <c r="U123" t="str">
        <f ca="1">IF(AND(ISNUMBER($U$795),$B$677=1),$U$795,HLOOKUP(INDIRECT(ADDRESS(2,COLUMN())),OFFSET($BN$2,0,0,ROW()-1,60),ROW()-1,FALSE))</f>
        <v/>
      </c>
      <c r="V123" t="str">
        <f ca="1">IF(AND(ISNUMBER($V$795),$B$677=1),$V$795,HLOOKUP(INDIRECT(ADDRESS(2,COLUMN())),OFFSET($BN$2,0,0,ROW()-1,60),ROW()-1,FALSE))</f>
        <v/>
      </c>
      <c r="W123" t="str">
        <f ca="1">IF(AND(ISNUMBER($W$795),$B$677=1),$W$795,HLOOKUP(INDIRECT(ADDRESS(2,COLUMN())),OFFSET($BN$2,0,0,ROW()-1,60),ROW()-1,FALSE))</f>
        <v/>
      </c>
      <c r="X123" t="str">
        <f ca="1">IF(AND(ISNUMBER($X$795),$B$677=1),$X$795,HLOOKUP(INDIRECT(ADDRESS(2,COLUMN())),OFFSET($BN$2,0,0,ROW()-1,60),ROW()-1,FALSE))</f>
        <v/>
      </c>
      <c r="Y123" t="str">
        <f ca="1">IF(AND(ISNUMBER($Y$795),$B$677=1),$Y$795,HLOOKUP(INDIRECT(ADDRESS(2,COLUMN())),OFFSET($BN$2,0,0,ROW()-1,60),ROW()-1,FALSE))</f>
        <v/>
      </c>
      <c r="Z123" t="str">
        <f ca="1">IF(AND(ISNUMBER($Z$795),$B$677=1),$Z$795,HLOOKUP(INDIRECT(ADDRESS(2,COLUMN())),OFFSET($BN$2,0,0,ROW()-1,60),ROW()-1,FALSE))</f>
        <v/>
      </c>
      <c r="AA123" t="str">
        <f ca="1">IF(AND(ISNUMBER($AA$795),$B$677=1),$AA$795,HLOOKUP(INDIRECT(ADDRESS(2,COLUMN())),OFFSET($BN$2,0,0,ROW()-1,60),ROW()-1,FALSE))</f>
        <v/>
      </c>
      <c r="AB123" t="str">
        <f ca="1">IF(AND(ISNUMBER($AB$795),$B$677=1),$AB$795,HLOOKUP(INDIRECT(ADDRESS(2,COLUMN())),OFFSET($BN$2,0,0,ROW()-1,60),ROW()-1,FALSE))</f>
        <v/>
      </c>
      <c r="AC123" t="str">
        <f ca="1">IF(AND(ISNUMBER($AC$795),$B$677=1),$AC$795,HLOOKUP(INDIRECT(ADDRESS(2,COLUMN())),OFFSET($BN$2,0,0,ROW()-1,60),ROW()-1,FALSE))</f>
        <v/>
      </c>
      <c r="AD123" t="str">
        <f ca="1">IF(AND(ISNUMBER($AD$795),$B$677=1),$AD$795,HLOOKUP(INDIRECT(ADDRESS(2,COLUMN())),OFFSET($BN$2,0,0,ROW()-1,60),ROW()-1,FALSE))</f>
        <v/>
      </c>
      <c r="AE123" t="str">
        <f ca="1">IF(AND(ISNUMBER($AE$795),$B$677=1),$AE$795,HLOOKUP(INDIRECT(ADDRESS(2,COLUMN())),OFFSET($BN$2,0,0,ROW()-1,60),ROW()-1,FALSE))</f>
        <v/>
      </c>
      <c r="AF123" t="str">
        <f ca="1">IF(AND(ISNUMBER($AF$795),$B$677=1),$AF$795,HLOOKUP(INDIRECT(ADDRESS(2,COLUMN())),OFFSET($BN$2,0,0,ROW()-1,60),ROW()-1,FALSE))</f>
        <v/>
      </c>
      <c r="AG123" t="str">
        <f ca="1">IF(AND(ISNUMBER($AG$795),$B$677=1),$AG$795,HLOOKUP(INDIRECT(ADDRESS(2,COLUMN())),OFFSET($BN$2,0,0,ROW()-1,60),ROW()-1,FALSE))</f>
        <v/>
      </c>
      <c r="AH123" t="str">
        <f ca="1">IF(AND(ISNUMBER($AH$795),$B$677=1),$AH$795,HLOOKUP(INDIRECT(ADDRESS(2,COLUMN())),OFFSET($BN$2,0,0,ROW()-1,60),ROW()-1,FALSE))</f>
        <v/>
      </c>
      <c r="AI123" t="str">
        <f ca="1">IF(AND(ISNUMBER($AI$795),$B$677=1),$AI$795,HLOOKUP(INDIRECT(ADDRESS(2,COLUMN())),OFFSET($BN$2,0,0,ROW()-1,60),ROW()-1,FALSE))</f>
        <v/>
      </c>
      <c r="AJ123" t="str">
        <f ca="1">IF(AND(ISNUMBER($AJ$795),$B$677=1),$AJ$795,HLOOKUP(INDIRECT(ADDRESS(2,COLUMN())),OFFSET($BN$2,0,0,ROW()-1,60),ROW()-1,FALSE))</f>
        <v/>
      </c>
      <c r="AK123" t="str">
        <f ca="1">IF(AND(ISNUMBER($AK$795),$B$677=1),$AK$795,HLOOKUP(INDIRECT(ADDRESS(2,COLUMN())),OFFSET($BN$2,0,0,ROW()-1,60),ROW()-1,FALSE))</f>
        <v/>
      </c>
      <c r="AL123" t="str">
        <f ca="1">IF(AND(ISNUMBER($AL$795),$B$677=1),$AL$795,HLOOKUP(INDIRECT(ADDRESS(2,COLUMN())),OFFSET($BN$2,0,0,ROW()-1,60),ROW()-1,FALSE))</f>
        <v/>
      </c>
      <c r="AM123" t="str">
        <f ca="1">IF(AND(ISNUMBER($AM$795),$B$677=1),$AM$795,HLOOKUP(INDIRECT(ADDRESS(2,COLUMN())),OFFSET($BN$2,0,0,ROW()-1,60),ROW()-1,FALSE))</f>
        <v/>
      </c>
      <c r="AN123" t="str">
        <f ca="1">IF(AND(ISNUMBER($AN$795),$B$677=1),$AN$795,HLOOKUP(INDIRECT(ADDRESS(2,COLUMN())),OFFSET($BN$2,0,0,ROW()-1,60),ROW()-1,FALSE))</f>
        <v/>
      </c>
      <c r="AO123" t="str">
        <f ca="1">IF(AND(ISNUMBER($AO$795),$B$677=1),$AO$795,HLOOKUP(INDIRECT(ADDRESS(2,COLUMN())),OFFSET($BN$2,0,0,ROW()-1,60),ROW()-1,FALSE))</f>
        <v/>
      </c>
      <c r="AP123" t="str">
        <f ca="1">IF(AND(ISNUMBER($AP$795),$B$677=1),$AP$795,HLOOKUP(INDIRECT(ADDRESS(2,COLUMN())),OFFSET($BN$2,0,0,ROW()-1,60),ROW()-1,FALSE))</f>
        <v/>
      </c>
      <c r="AQ123" t="str">
        <f ca="1">IF(AND(ISNUMBER($AQ$795),$B$677=1),$AQ$795,HLOOKUP(INDIRECT(ADDRESS(2,COLUMN())),OFFSET($BN$2,0,0,ROW()-1,60),ROW()-1,FALSE))</f>
        <v/>
      </c>
      <c r="AR123" t="str">
        <f ca="1">IF(AND(ISNUMBER($AR$795),$B$677=1),$AR$795,HLOOKUP(INDIRECT(ADDRESS(2,COLUMN())),OFFSET($BN$2,0,0,ROW()-1,60),ROW()-1,FALSE))</f>
        <v/>
      </c>
      <c r="AS123" t="str">
        <f ca="1">IF(AND(ISNUMBER($AS$795),$B$677=1),$AS$795,HLOOKUP(INDIRECT(ADDRESS(2,COLUMN())),OFFSET($BN$2,0,0,ROW()-1,60),ROW()-1,FALSE))</f>
        <v/>
      </c>
      <c r="AT123" t="str">
        <f ca="1">IF(AND(ISNUMBER($AT$795),$B$677=1),$AT$795,HLOOKUP(INDIRECT(ADDRESS(2,COLUMN())),OFFSET($BN$2,0,0,ROW()-1,60),ROW()-1,FALSE))</f>
        <v/>
      </c>
      <c r="AU123" t="str">
        <f ca="1">IF(AND(ISNUMBER($AU$795),$B$677=1),$AU$795,HLOOKUP(INDIRECT(ADDRESS(2,COLUMN())),OFFSET($BN$2,0,0,ROW()-1,60),ROW()-1,FALSE))</f>
        <v/>
      </c>
      <c r="AV123" t="str">
        <f ca="1">IF(AND(ISNUMBER($AV$795),$B$677=1),$AV$795,HLOOKUP(INDIRECT(ADDRESS(2,COLUMN())),OFFSET($BN$2,0,0,ROW()-1,60),ROW()-1,FALSE))</f>
        <v/>
      </c>
      <c r="AW123" t="str">
        <f ca="1">IF(AND(ISNUMBER($AW$795),$B$677=1),$AW$795,HLOOKUP(INDIRECT(ADDRESS(2,COLUMN())),OFFSET($BN$2,0,0,ROW()-1,60),ROW()-1,FALSE))</f>
        <v/>
      </c>
      <c r="AX123" t="str">
        <f ca="1">IF(AND(ISNUMBER($AX$795),$B$677=1),$AX$795,HLOOKUP(INDIRECT(ADDRESS(2,COLUMN())),OFFSET($BN$2,0,0,ROW()-1,60),ROW()-1,FALSE))</f>
        <v/>
      </c>
      <c r="AY123" t="str">
        <f ca="1">IF(AND(ISNUMBER($AY$795),$B$677=1),$AY$795,HLOOKUP(INDIRECT(ADDRESS(2,COLUMN())),OFFSET($BN$2,0,0,ROW()-1,60),ROW()-1,FALSE))</f>
        <v/>
      </c>
      <c r="AZ123" t="str">
        <f ca="1">IF(AND(ISNUMBER($AZ$795),$B$677=1),$AZ$795,HLOOKUP(INDIRECT(ADDRESS(2,COLUMN())),OFFSET($BN$2,0,0,ROW()-1,60),ROW()-1,FALSE))</f>
        <v/>
      </c>
      <c r="BA123" t="str">
        <f ca="1">IF(AND(ISNUMBER($BA$795),$B$677=1),$BA$795,HLOOKUP(INDIRECT(ADDRESS(2,COLUMN())),OFFSET($BN$2,0,0,ROW()-1,60),ROW()-1,FALSE))</f>
        <v/>
      </c>
      <c r="BB123" t="str">
        <f ca="1">IF(AND(ISNUMBER($BB$795),$B$677=1),$BB$795,HLOOKUP(INDIRECT(ADDRESS(2,COLUMN())),OFFSET($BN$2,0,0,ROW()-1,60),ROW()-1,FALSE))</f>
        <v/>
      </c>
      <c r="BC123" t="str">
        <f ca="1">IF(AND(ISNUMBER($BC$795),$B$677=1),$BC$795,HLOOKUP(INDIRECT(ADDRESS(2,COLUMN())),OFFSET($BN$2,0,0,ROW()-1,60),ROW()-1,FALSE))</f>
        <v/>
      </c>
      <c r="BD123" t="str">
        <f ca="1">IF(AND(ISNUMBER($BD$795),$B$677=1),$BD$795,HLOOKUP(INDIRECT(ADDRESS(2,COLUMN())),OFFSET($BN$2,0,0,ROW()-1,60),ROW()-1,FALSE))</f>
        <v/>
      </c>
      <c r="BE123" t="str">
        <f ca="1">IF(AND(ISNUMBER($BE$795),$B$677=1),$BE$795,HLOOKUP(INDIRECT(ADDRESS(2,COLUMN())),OFFSET($BN$2,0,0,ROW()-1,60),ROW()-1,FALSE))</f>
        <v/>
      </c>
      <c r="BF123" t="str">
        <f ca="1">IF(AND(ISNUMBER($BF$795),$B$677=1),$BF$795,HLOOKUP(INDIRECT(ADDRESS(2,COLUMN())),OFFSET($BN$2,0,0,ROW()-1,60),ROW()-1,FALSE))</f>
        <v/>
      </c>
      <c r="BG123" t="str">
        <f ca="1">IF(AND(ISNUMBER($BG$795),$B$677=1),$BG$795,HLOOKUP(INDIRECT(ADDRESS(2,COLUMN())),OFFSET($BN$2,0,0,ROW()-1,60),ROW()-1,FALSE))</f>
        <v/>
      </c>
      <c r="BH123" t="str">
        <f ca="1">IF(AND(ISNUMBER($BH$795),$B$677=1),$BH$795,HLOOKUP(INDIRECT(ADDRESS(2,COLUMN())),OFFSET($BN$2,0,0,ROW()-1,60),ROW()-1,FALSE))</f>
        <v/>
      </c>
      <c r="BI123" t="str">
        <f ca="1">IF(AND(ISNUMBER($BI$795),$B$677=1),$BI$795,HLOOKUP(INDIRECT(ADDRESS(2,COLUMN())),OFFSET($BN$2,0,0,ROW()-1,60),ROW()-1,FALSE))</f>
        <v/>
      </c>
      <c r="BJ123" t="str">
        <f ca="1">IF(AND(ISNUMBER($BJ$795),$B$677=1),$BJ$795,HLOOKUP(INDIRECT(ADDRESS(2,COLUMN())),OFFSET($BN$2,0,0,ROW()-1,60),ROW()-1,FALSE))</f>
        <v/>
      </c>
      <c r="BK123" t="str">
        <f ca="1">IF(AND(ISNUMBER($BK$795),$B$677=1),$BK$795,HLOOKUP(INDIRECT(ADDRESS(2,COLUMN())),OFFSET($BN$2,0,0,ROW()-1,60),ROW()-1,FALSE))</f>
        <v/>
      </c>
      <c r="BL123" t="str">
        <f ca="1">IF(AND(ISNUMBER($BL$795),$B$677=1),$BL$795,HLOOKUP(INDIRECT(ADDRESS(2,COLUMN())),OFFSET($BN$2,0,0,ROW()-1,60),ROW()-1,FALSE))</f>
        <v/>
      </c>
      <c r="BM123" t="str">
        <f ca="1">IF(AND(ISNUMBER($BM$795),$B$677=1),$BM$795,HLOOKUP(INDIRECT(ADDRESS(2,COLUMN())),OFFSET($BN$2,0,0,ROW()-1,60),ROW()-1,FALSE))</f>
        <v/>
      </c>
      <c r="BN123" t="str">
        <f>""</f>
        <v/>
      </c>
      <c r="BO123" t="str">
        <f>""</f>
        <v/>
      </c>
      <c r="BP123" t="str">
        <f>""</f>
        <v/>
      </c>
      <c r="BQ123" t="str">
        <f>""</f>
        <v/>
      </c>
      <c r="BR123" t="str">
        <f>""</f>
        <v/>
      </c>
      <c r="BS123" t="str">
        <f>""</f>
        <v/>
      </c>
      <c r="BT123" t="str">
        <f>""</f>
        <v/>
      </c>
      <c r="BU123" t="str">
        <f>""</f>
        <v/>
      </c>
      <c r="BV123" t="str">
        <f>""</f>
        <v/>
      </c>
      <c r="BW123" t="str">
        <f>""</f>
        <v/>
      </c>
      <c r="BX123" t="str">
        <f>""</f>
        <v/>
      </c>
      <c r="BY123" t="str">
        <f>""</f>
        <v/>
      </c>
      <c r="BZ123" t="str">
        <f>""</f>
        <v/>
      </c>
      <c r="CA123" t="str">
        <f>""</f>
        <v/>
      </c>
      <c r="CB123" t="str">
        <f>""</f>
        <v/>
      </c>
      <c r="CC123" t="str">
        <f>""</f>
        <v/>
      </c>
      <c r="CD123" t="str">
        <f>""</f>
        <v/>
      </c>
      <c r="CE123" t="str">
        <f>""</f>
        <v/>
      </c>
      <c r="CF123" t="str">
        <f>""</f>
        <v/>
      </c>
      <c r="CG123" t="str">
        <f>""</f>
        <v/>
      </c>
      <c r="CH123" t="str">
        <f>""</f>
        <v/>
      </c>
      <c r="CI123" t="str">
        <f>""</f>
        <v/>
      </c>
      <c r="CJ123" t="str">
        <f>""</f>
        <v/>
      </c>
      <c r="CK123" t="str">
        <f>""</f>
        <v/>
      </c>
      <c r="CL123" t="str">
        <f>""</f>
        <v/>
      </c>
      <c r="CM123" t="str">
        <f>""</f>
        <v/>
      </c>
      <c r="CN123" t="str">
        <f>""</f>
        <v/>
      </c>
      <c r="CO123" t="str">
        <f>""</f>
        <v/>
      </c>
      <c r="CP123" t="str">
        <f>""</f>
        <v/>
      </c>
      <c r="CQ123" t="str">
        <f>""</f>
        <v/>
      </c>
      <c r="CR123" t="str">
        <f>""</f>
        <v/>
      </c>
      <c r="CS123" t="str">
        <f>""</f>
        <v/>
      </c>
      <c r="CT123" t="str">
        <f>""</f>
        <v/>
      </c>
      <c r="CU123" t="str">
        <f>""</f>
        <v/>
      </c>
      <c r="CV123" t="str">
        <f>""</f>
        <v/>
      </c>
      <c r="CW123" t="str">
        <f>""</f>
        <v/>
      </c>
      <c r="CX123" t="str">
        <f>""</f>
        <v/>
      </c>
      <c r="CY123" t="str">
        <f>""</f>
        <v/>
      </c>
      <c r="CZ123" t="str">
        <f>""</f>
        <v/>
      </c>
      <c r="DA123" t="str">
        <f>""</f>
        <v/>
      </c>
      <c r="DB123" t="str">
        <f>""</f>
        <v/>
      </c>
      <c r="DC123" t="str">
        <f>""</f>
        <v/>
      </c>
      <c r="DD123" t="str">
        <f>""</f>
        <v/>
      </c>
      <c r="DE123" t="str">
        <f>""</f>
        <v/>
      </c>
      <c r="DF123" t="str">
        <f>""</f>
        <v/>
      </c>
      <c r="DG123" t="str">
        <f>""</f>
        <v/>
      </c>
      <c r="DH123" t="str">
        <f>""</f>
        <v/>
      </c>
      <c r="DI123" t="str">
        <f>""</f>
        <v/>
      </c>
      <c r="DJ123" t="str">
        <f>""</f>
        <v/>
      </c>
      <c r="DK123" t="str">
        <f>""</f>
        <v/>
      </c>
      <c r="DL123" t="str">
        <f>""</f>
        <v/>
      </c>
      <c r="DM123" t="str">
        <f>""</f>
        <v/>
      </c>
      <c r="DN123" t="str">
        <f>""</f>
        <v/>
      </c>
      <c r="DO123" t="str">
        <f>""</f>
        <v/>
      </c>
      <c r="DP123" t="str">
        <f>""</f>
        <v/>
      </c>
      <c r="DQ123" t="str">
        <f>""</f>
        <v/>
      </c>
      <c r="DR123" t="str">
        <f>""</f>
        <v/>
      </c>
      <c r="DS123" t="str">
        <f>""</f>
        <v/>
      </c>
      <c r="DT123" t="str">
        <f>""</f>
        <v/>
      </c>
      <c r="DU123" t="str">
        <f>""</f>
        <v/>
      </c>
    </row>
    <row r="124" spans="1:125" x14ac:dyDescent="0.25">
      <c r="A124" t="str">
        <f>"    Toyota Motor Corp"</f>
        <v xml:space="preserve">    Toyota Motor Corp</v>
      </c>
      <c r="B124" t="str">
        <f>"7203 JP Equity"</f>
        <v>7203 JP Equity</v>
      </c>
      <c r="C124" t="str">
        <f t="shared" si="6"/>
        <v>EZ010</v>
      </c>
      <c r="D124" t="str">
        <f t="shared" si="7"/>
        <v>BEST_EST_PE_NXT_YR</v>
      </c>
      <c r="E124" t="str">
        <f t="shared" si="8"/>
        <v>Dynamic</v>
      </c>
      <c r="F124">
        <f ca="1">IF(AND(ISNUMBER($F$796),$B$677=1),$F$796,HLOOKUP(INDIRECT(ADDRESS(2,COLUMN())),OFFSET($BN$2,0,0,ROW()-1,60),ROW()-1,FALSE))</f>
        <v>7.8587144660000003</v>
      </c>
      <c r="G124">
        <f ca="1">IF(AND(ISNUMBER($G$796),$B$677=1),$G$796,HLOOKUP(INDIRECT(ADDRESS(2,COLUMN())),OFFSET($BN$2,0,0,ROW()-1,60),ROW()-1,FALSE))</f>
        <v>7.4534306030000002</v>
      </c>
      <c r="H124">
        <f ca="1">IF(AND(ISNUMBER($H$796),$B$677=1),$H$796,HLOOKUP(INDIRECT(ADDRESS(2,COLUMN())),OFFSET($BN$2,0,0,ROW()-1,60),ROW()-1,FALSE))</f>
        <v>8.3642498169999993</v>
      </c>
      <c r="I124">
        <f ca="1">IF(AND(ISNUMBER($I$796),$B$677=1),$I$796,HLOOKUP(INDIRECT(ADDRESS(2,COLUMN())),OFFSET($BN$2,0,0,ROW()-1,60),ROW()-1,FALSE))</f>
        <v>8.5153484109999997</v>
      </c>
      <c r="J124">
        <f ca="1">IF(AND(ISNUMBER($J$796),$B$677=1),$J$796,HLOOKUP(INDIRECT(ADDRESS(2,COLUMN())),OFFSET($BN$2,0,0,ROW()-1,60),ROW()-1,FALSE))</f>
        <v>8.7644275960000009</v>
      </c>
      <c r="K124">
        <f ca="1">IF(AND(ISNUMBER($K$796),$B$677=1),$K$796,HLOOKUP(INDIRECT(ADDRESS(2,COLUMN())),OFFSET($BN$2,0,0,ROW()-1,60),ROW()-1,FALSE))</f>
        <v>9.5747448679999998</v>
      </c>
      <c r="L124">
        <f ca="1">IF(AND(ISNUMBER($L$796),$B$677=1),$L$796,HLOOKUP(INDIRECT(ADDRESS(2,COLUMN())),OFFSET($BN$2,0,0,ROW()-1,60),ROW()-1,FALSE))</f>
        <v>9.4167640860000006</v>
      </c>
      <c r="M124">
        <f ca="1">IF(AND(ISNUMBER($M$796),$B$677=1),$M$796,HLOOKUP(INDIRECT(ADDRESS(2,COLUMN())),OFFSET($BN$2,0,0,ROW()-1,60),ROW()-1,FALSE))</f>
        <v>8.62962746</v>
      </c>
      <c r="N124">
        <f ca="1">IF(AND(ISNUMBER($N$796),$B$677=1),$N$796,HLOOKUP(INDIRECT(ADDRESS(2,COLUMN())),OFFSET($BN$2,0,0,ROW()-1,60),ROW()-1,FALSE))</f>
        <v>7.1702792989999997</v>
      </c>
      <c r="O124">
        <f ca="1">IF(AND(ISNUMBER($O$796),$B$677=1),$O$796,HLOOKUP(INDIRECT(ADDRESS(2,COLUMN())),OFFSET($BN$2,0,0,ROW()-1,60),ROW()-1,FALSE))</f>
        <v>8.7018129829999999</v>
      </c>
      <c r="P124">
        <f ca="1">IF(AND(ISNUMBER($P$796),$B$677=1),$P$796,HLOOKUP(INDIRECT(ADDRESS(2,COLUMN())),OFFSET($BN$2,0,0,ROW()-1,60),ROW()-1,FALSE))</f>
        <v>8.1625446690000008</v>
      </c>
      <c r="Q124">
        <f ca="1">IF(AND(ISNUMBER($Q$796),$B$677=1),$Q$796,HLOOKUP(INDIRECT(ADDRESS(2,COLUMN())),OFFSET($BN$2,0,0,ROW()-1,60),ROW()-1,FALSE))</f>
        <v>6.4739931799999999</v>
      </c>
      <c r="R124">
        <f ca="1">IF(AND(ISNUMBER($R$796),$B$677=1),$R$796,HLOOKUP(INDIRECT(ADDRESS(2,COLUMN())),OFFSET($BN$2,0,0,ROW()-1,60),ROW()-1,FALSE))</f>
        <v>6.2899794670000002</v>
      </c>
      <c r="S124">
        <f ca="1">IF(AND(ISNUMBER($S$796),$B$677=1),$S$796,HLOOKUP(INDIRECT(ADDRESS(2,COLUMN())),OFFSET($BN$2,0,0,ROW()-1,60),ROW()-1,FALSE))</f>
        <v>6.865001146</v>
      </c>
      <c r="T124">
        <f ca="1">IF(AND(ISNUMBER($T$796),$B$677=1),$T$796,HLOOKUP(INDIRECT(ADDRESS(2,COLUMN())),OFFSET($BN$2,0,0,ROW()-1,60),ROW()-1,FALSE))</f>
        <v>6.3630140109999997</v>
      </c>
      <c r="U124">
        <f ca="1">IF(AND(ISNUMBER($U$796),$B$677=1),$U$796,HLOOKUP(INDIRECT(ADDRESS(2,COLUMN())),OFFSET($BN$2,0,0,ROW()-1,60),ROW()-1,FALSE))</f>
        <v>7.4373271680000004</v>
      </c>
      <c r="V124" t="str">
        <f ca="1">IF(AND(ISNUMBER($V$796),$B$677=1),$V$796,HLOOKUP(INDIRECT(ADDRESS(2,COLUMN())),OFFSET($BN$2,0,0,ROW()-1,60),ROW()-1,FALSE))</f>
        <v/>
      </c>
      <c r="W124" t="str">
        <f ca="1">IF(AND(ISNUMBER($W$796),$B$677=1),$W$796,HLOOKUP(INDIRECT(ADDRESS(2,COLUMN())),OFFSET($BN$2,0,0,ROW()-1,60),ROW()-1,FALSE))</f>
        <v/>
      </c>
      <c r="X124" t="str">
        <f ca="1">IF(AND(ISNUMBER($X$796),$B$677=1),$X$796,HLOOKUP(INDIRECT(ADDRESS(2,COLUMN())),OFFSET($BN$2,0,0,ROW()-1,60),ROW()-1,FALSE))</f>
        <v/>
      </c>
      <c r="Y124" t="str">
        <f ca="1">IF(AND(ISNUMBER($Y$796),$B$677=1),$Y$796,HLOOKUP(INDIRECT(ADDRESS(2,COLUMN())),OFFSET($BN$2,0,0,ROW()-1,60),ROW()-1,FALSE))</f>
        <v/>
      </c>
      <c r="Z124" t="str">
        <f ca="1">IF(AND(ISNUMBER($Z$796),$B$677=1),$Z$796,HLOOKUP(INDIRECT(ADDRESS(2,COLUMN())),OFFSET($BN$2,0,0,ROW()-1,60),ROW()-1,FALSE))</f>
        <v/>
      </c>
      <c r="AA124" t="str">
        <f ca="1">IF(AND(ISNUMBER($AA$796),$B$677=1),$AA$796,HLOOKUP(INDIRECT(ADDRESS(2,COLUMN())),OFFSET($BN$2,0,0,ROW()-1,60),ROW()-1,FALSE))</f>
        <v/>
      </c>
      <c r="AB124" t="str">
        <f ca="1">IF(AND(ISNUMBER($AB$796),$B$677=1),$AB$796,HLOOKUP(INDIRECT(ADDRESS(2,COLUMN())),OFFSET($BN$2,0,0,ROW()-1,60),ROW()-1,FALSE))</f>
        <v/>
      </c>
      <c r="AC124" t="str">
        <f ca="1">IF(AND(ISNUMBER($AC$796),$B$677=1),$AC$796,HLOOKUP(INDIRECT(ADDRESS(2,COLUMN())),OFFSET($BN$2,0,0,ROW()-1,60),ROW()-1,FALSE))</f>
        <v/>
      </c>
      <c r="AD124" t="str">
        <f ca="1">IF(AND(ISNUMBER($AD$796),$B$677=1),$AD$796,HLOOKUP(INDIRECT(ADDRESS(2,COLUMN())),OFFSET($BN$2,0,0,ROW()-1,60),ROW()-1,FALSE))</f>
        <v/>
      </c>
      <c r="AE124" t="str">
        <f ca="1">IF(AND(ISNUMBER($AE$796),$B$677=1),$AE$796,HLOOKUP(INDIRECT(ADDRESS(2,COLUMN())),OFFSET($BN$2,0,0,ROW()-1,60),ROW()-1,FALSE))</f>
        <v/>
      </c>
      <c r="AF124" t="str">
        <f ca="1">IF(AND(ISNUMBER($AF$796),$B$677=1),$AF$796,HLOOKUP(INDIRECT(ADDRESS(2,COLUMN())),OFFSET($BN$2,0,0,ROW()-1,60),ROW()-1,FALSE))</f>
        <v/>
      </c>
      <c r="AG124" t="str">
        <f ca="1">IF(AND(ISNUMBER($AG$796),$B$677=1),$AG$796,HLOOKUP(INDIRECT(ADDRESS(2,COLUMN())),OFFSET($BN$2,0,0,ROW()-1,60),ROW()-1,FALSE))</f>
        <v/>
      </c>
      <c r="AH124" t="str">
        <f ca="1">IF(AND(ISNUMBER($AH$796),$B$677=1),$AH$796,HLOOKUP(INDIRECT(ADDRESS(2,COLUMN())),OFFSET($BN$2,0,0,ROW()-1,60),ROW()-1,FALSE))</f>
        <v/>
      </c>
      <c r="AI124" t="str">
        <f ca="1">IF(AND(ISNUMBER($AI$796),$B$677=1),$AI$796,HLOOKUP(INDIRECT(ADDRESS(2,COLUMN())),OFFSET($BN$2,0,0,ROW()-1,60),ROW()-1,FALSE))</f>
        <v/>
      </c>
      <c r="AJ124" t="str">
        <f ca="1">IF(AND(ISNUMBER($AJ$796),$B$677=1),$AJ$796,HLOOKUP(INDIRECT(ADDRESS(2,COLUMN())),OFFSET($BN$2,0,0,ROW()-1,60),ROW()-1,FALSE))</f>
        <v/>
      </c>
      <c r="AK124" t="str">
        <f ca="1">IF(AND(ISNUMBER($AK$796),$B$677=1),$AK$796,HLOOKUP(INDIRECT(ADDRESS(2,COLUMN())),OFFSET($BN$2,0,0,ROW()-1,60),ROW()-1,FALSE))</f>
        <v/>
      </c>
      <c r="AL124" t="str">
        <f ca="1">IF(AND(ISNUMBER($AL$796),$B$677=1),$AL$796,HLOOKUP(INDIRECT(ADDRESS(2,COLUMN())),OFFSET($BN$2,0,0,ROW()-1,60),ROW()-1,FALSE))</f>
        <v/>
      </c>
      <c r="AM124" t="str">
        <f ca="1">IF(AND(ISNUMBER($AM$796),$B$677=1),$AM$796,HLOOKUP(INDIRECT(ADDRESS(2,COLUMN())),OFFSET($BN$2,0,0,ROW()-1,60),ROW()-1,FALSE))</f>
        <v/>
      </c>
      <c r="AN124" t="str">
        <f ca="1">IF(AND(ISNUMBER($AN$796),$B$677=1),$AN$796,HLOOKUP(INDIRECT(ADDRESS(2,COLUMN())),OFFSET($BN$2,0,0,ROW()-1,60),ROW()-1,FALSE))</f>
        <v/>
      </c>
      <c r="AO124" t="str">
        <f ca="1">IF(AND(ISNUMBER($AO$796),$B$677=1),$AO$796,HLOOKUP(INDIRECT(ADDRESS(2,COLUMN())),OFFSET($BN$2,0,0,ROW()-1,60),ROW()-1,FALSE))</f>
        <v/>
      </c>
      <c r="AP124" t="str">
        <f ca="1">IF(AND(ISNUMBER($AP$796),$B$677=1),$AP$796,HLOOKUP(INDIRECT(ADDRESS(2,COLUMN())),OFFSET($BN$2,0,0,ROW()-1,60),ROW()-1,FALSE))</f>
        <v/>
      </c>
      <c r="AQ124" t="str">
        <f ca="1">IF(AND(ISNUMBER($AQ$796),$B$677=1),$AQ$796,HLOOKUP(INDIRECT(ADDRESS(2,COLUMN())),OFFSET($BN$2,0,0,ROW()-1,60),ROW()-1,FALSE))</f>
        <v/>
      </c>
      <c r="AR124" t="str">
        <f ca="1">IF(AND(ISNUMBER($AR$796),$B$677=1),$AR$796,HLOOKUP(INDIRECT(ADDRESS(2,COLUMN())),OFFSET($BN$2,0,0,ROW()-1,60),ROW()-1,FALSE))</f>
        <v/>
      </c>
      <c r="AS124" t="str">
        <f ca="1">IF(AND(ISNUMBER($AS$796),$B$677=1),$AS$796,HLOOKUP(INDIRECT(ADDRESS(2,COLUMN())),OFFSET($BN$2,0,0,ROW()-1,60),ROW()-1,FALSE))</f>
        <v/>
      </c>
      <c r="AT124" t="str">
        <f ca="1">IF(AND(ISNUMBER($AT$796),$B$677=1),$AT$796,HLOOKUP(INDIRECT(ADDRESS(2,COLUMN())),OFFSET($BN$2,0,0,ROW()-1,60),ROW()-1,FALSE))</f>
        <v/>
      </c>
      <c r="AU124" t="str">
        <f ca="1">IF(AND(ISNUMBER($AU$796),$B$677=1),$AU$796,HLOOKUP(INDIRECT(ADDRESS(2,COLUMN())),OFFSET($BN$2,0,0,ROW()-1,60),ROW()-1,FALSE))</f>
        <v/>
      </c>
      <c r="AV124" t="str">
        <f ca="1">IF(AND(ISNUMBER($AV$796),$B$677=1),$AV$796,HLOOKUP(INDIRECT(ADDRESS(2,COLUMN())),OFFSET($BN$2,0,0,ROW()-1,60),ROW()-1,FALSE))</f>
        <v/>
      </c>
      <c r="AW124" t="str">
        <f ca="1">IF(AND(ISNUMBER($AW$796),$B$677=1),$AW$796,HLOOKUP(INDIRECT(ADDRESS(2,COLUMN())),OFFSET($BN$2,0,0,ROW()-1,60),ROW()-1,FALSE))</f>
        <v/>
      </c>
      <c r="AX124" t="str">
        <f ca="1">IF(AND(ISNUMBER($AX$796),$B$677=1),$AX$796,HLOOKUP(INDIRECT(ADDRESS(2,COLUMN())),OFFSET($BN$2,0,0,ROW()-1,60),ROW()-1,FALSE))</f>
        <v/>
      </c>
      <c r="AY124" t="str">
        <f ca="1">IF(AND(ISNUMBER($AY$796),$B$677=1),$AY$796,HLOOKUP(INDIRECT(ADDRESS(2,COLUMN())),OFFSET($BN$2,0,0,ROW()-1,60),ROW()-1,FALSE))</f>
        <v/>
      </c>
      <c r="AZ124" t="str">
        <f ca="1">IF(AND(ISNUMBER($AZ$796),$B$677=1),$AZ$796,HLOOKUP(INDIRECT(ADDRESS(2,COLUMN())),OFFSET($BN$2,0,0,ROW()-1,60),ROW()-1,FALSE))</f>
        <v/>
      </c>
      <c r="BA124" t="str">
        <f ca="1">IF(AND(ISNUMBER($BA$796),$B$677=1),$BA$796,HLOOKUP(INDIRECT(ADDRESS(2,COLUMN())),OFFSET($BN$2,0,0,ROW()-1,60),ROW()-1,FALSE))</f>
        <v/>
      </c>
      <c r="BB124" t="str">
        <f ca="1">IF(AND(ISNUMBER($BB$796),$B$677=1),$BB$796,HLOOKUP(INDIRECT(ADDRESS(2,COLUMN())),OFFSET($BN$2,0,0,ROW()-1,60),ROW()-1,FALSE))</f>
        <v/>
      </c>
      <c r="BC124" t="str">
        <f ca="1">IF(AND(ISNUMBER($BC$796),$B$677=1),$BC$796,HLOOKUP(INDIRECT(ADDRESS(2,COLUMN())),OFFSET($BN$2,0,0,ROW()-1,60),ROW()-1,FALSE))</f>
        <v/>
      </c>
      <c r="BD124" t="str">
        <f ca="1">IF(AND(ISNUMBER($BD$796),$B$677=1),$BD$796,HLOOKUP(INDIRECT(ADDRESS(2,COLUMN())),OFFSET($BN$2,0,0,ROW()-1,60),ROW()-1,FALSE))</f>
        <v/>
      </c>
      <c r="BE124" t="str">
        <f ca="1">IF(AND(ISNUMBER($BE$796),$B$677=1),$BE$796,HLOOKUP(INDIRECT(ADDRESS(2,COLUMN())),OFFSET($BN$2,0,0,ROW()-1,60),ROW()-1,FALSE))</f>
        <v/>
      </c>
      <c r="BF124" t="str">
        <f ca="1">IF(AND(ISNUMBER($BF$796),$B$677=1),$BF$796,HLOOKUP(INDIRECT(ADDRESS(2,COLUMN())),OFFSET($BN$2,0,0,ROW()-1,60),ROW()-1,FALSE))</f>
        <v/>
      </c>
      <c r="BG124" t="str">
        <f ca="1">IF(AND(ISNUMBER($BG$796),$B$677=1),$BG$796,HLOOKUP(INDIRECT(ADDRESS(2,COLUMN())),OFFSET($BN$2,0,0,ROW()-1,60),ROW()-1,FALSE))</f>
        <v/>
      </c>
      <c r="BH124" t="str">
        <f ca="1">IF(AND(ISNUMBER($BH$796),$B$677=1),$BH$796,HLOOKUP(INDIRECT(ADDRESS(2,COLUMN())),OFFSET($BN$2,0,0,ROW()-1,60),ROW()-1,FALSE))</f>
        <v/>
      </c>
      <c r="BI124" t="str">
        <f ca="1">IF(AND(ISNUMBER($BI$796),$B$677=1),$BI$796,HLOOKUP(INDIRECT(ADDRESS(2,COLUMN())),OFFSET($BN$2,0,0,ROW()-1,60),ROW()-1,FALSE))</f>
        <v/>
      </c>
      <c r="BJ124" t="str">
        <f ca="1">IF(AND(ISNUMBER($BJ$796),$B$677=1),$BJ$796,HLOOKUP(INDIRECT(ADDRESS(2,COLUMN())),OFFSET($BN$2,0,0,ROW()-1,60),ROW()-1,FALSE))</f>
        <v/>
      </c>
      <c r="BK124" t="str">
        <f ca="1">IF(AND(ISNUMBER($BK$796),$B$677=1),$BK$796,HLOOKUP(INDIRECT(ADDRESS(2,COLUMN())),OFFSET($BN$2,0,0,ROW()-1,60),ROW()-1,FALSE))</f>
        <v/>
      </c>
      <c r="BL124" t="str">
        <f ca="1">IF(AND(ISNUMBER($BL$796),$B$677=1),$BL$796,HLOOKUP(INDIRECT(ADDRESS(2,COLUMN())),OFFSET($BN$2,0,0,ROW()-1,60),ROW()-1,FALSE))</f>
        <v/>
      </c>
      <c r="BM124" t="str">
        <f ca="1">IF(AND(ISNUMBER($BM$796),$B$677=1),$BM$796,HLOOKUP(INDIRECT(ADDRESS(2,COLUMN())),OFFSET($BN$2,0,0,ROW()-1,60),ROW()-1,FALSE))</f>
        <v/>
      </c>
      <c r="BN124">
        <f>7.858714466</f>
        <v>7.8587144660000003</v>
      </c>
      <c r="BO124">
        <f>7.453430603</f>
        <v>7.4534306030000002</v>
      </c>
      <c r="BP124">
        <f>8.364249817</f>
        <v>8.3642498169999993</v>
      </c>
      <c r="BQ124">
        <f>8.515348411</f>
        <v>8.5153484109999997</v>
      </c>
      <c r="BR124">
        <f>8.764427596</f>
        <v>8.7644275960000009</v>
      </c>
      <c r="BS124">
        <f>9.574744868</f>
        <v>9.5747448679999998</v>
      </c>
      <c r="BT124">
        <f>9.416764086</f>
        <v>9.4167640860000006</v>
      </c>
      <c r="BU124">
        <f>8.62962746</f>
        <v>8.62962746</v>
      </c>
      <c r="BV124">
        <f>7.170279299</f>
        <v>7.1702792989999997</v>
      </c>
      <c r="BW124">
        <f>8.701812983</f>
        <v>8.7018129829999999</v>
      </c>
      <c r="BX124">
        <f>8.162544669</f>
        <v>8.1625446690000008</v>
      </c>
      <c r="BY124">
        <f>6.47399318</f>
        <v>6.4739931799999999</v>
      </c>
      <c r="BZ124">
        <f>6.289979467</f>
        <v>6.2899794670000002</v>
      </c>
      <c r="CA124">
        <f>6.865001146</f>
        <v>6.865001146</v>
      </c>
      <c r="CB124">
        <f>6.363014011</f>
        <v>6.3630140109999997</v>
      </c>
      <c r="CC124">
        <f>7.437327168</f>
        <v>7.4373271680000004</v>
      </c>
      <c r="CD124" t="str">
        <f>""</f>
        <v/>
      </c>
      <c r="CE124" t="str">
        <f>""</f>
        <v/>
      </c>
      <c r="CF124" t="str">
        <f>""</f>
        <v/>
      </c>
      <c r="CG124" t="str">
        <f>""</f>
        <v/>
      </c>
      <c r="CH124" t="str">
        <f>""</f>
        <v/>
      </c>
      <c r="CI124" t="str">
        <f>""</f>
        <v/>
      </c>
      <c r="CJ124" t="str">
        <f>""</f>
        <v/>
      </c>
      <c r="CK124" t="str">
        <f>""</f>
        <v/>
      </c>
      <c r="CL124" t="str">
        <f>""</f>
        <v/>
      </c>
      <c r="CM124" t="str">
        <f>""</f>
        <v/>
      </c>
      <c r="CN124" t="str">
        <f>""</f>
        <v/>
      </c>
      <c r="CO124" t="str">
        <f>""</f>
        <v/>
      </c>
      <c r="CP124" t="str">
        <f>""</f>
        <v/>
      </c>
      <c r="CQ124" t="str">
        <f>""</f>
        <v/>
      </c>
      <c r="CR124" t="str">
        <f>""</f>
        <v/>
      </c>
      <c r="CS124" t="str">
        <f>""</f>
        <v/>
      </c>
      <c r="CT124" t="str">
        <f>""</f>
        <v/>
      </c>
      <c r="CU124" t="str">
        <f>""</f>
        <v/>
      </c>
      <c r="CV124" t="str">
        <f>""</f>
        <v/>
      </c>
      <c r="CW124" t="str">
        <f>""</f>
        <v/>
      </c>
      <c r="CX124" t="str">
        <f>""</f>
        <v/>
      </c>
      <c r="CY124" t="str">
        <f>""</f>
        <v/>
      </c>
      <c r="CZ124" t="str">
        <f>""</f>
        <v/>
      </c>
      <c r="DA124" t="str">
        <f>""</f>
        <v/>
      </c>
      <c r="DB124" t="str">
        <f>""</f>
        <v/>
      </c>
      <c r="DC124" t="str">
        <f>""</f>
        <v/>
      </c>
      <c r="DD124" t="str">
        <f>""</f>
        <v/>
      </c>
      <c r="DE124" t="str">
        <f>""</f>
        <v/>
      </c>
      <c r="DF124" t="str">
        <f>""</f>
        <v/>
      </c>
      <c r="DG124" t="str">
        <f>""</f>
        <v/>
      </c>
      <c r="DH124" t="str">
        <f>""</f>
        <v/>
      </c>
      <c r="DI124" t="str">
        <f>""</f>
        <v/>
      </c>
      <c r="DJ124" t="str">
        <f>""</f>
        <v/>
      </c>
      <c r="DK124" t="str">
        <f>""</f>
        <v/>
      </c>
      <c r="DL124" t="str">
        <f>""</f>
        <v/>
      </c>
      <c r="DM124" t="str">
        <f>""</f>
        <v/>
      </c>
      <c r="DN124" t="str">
        <f>""</f>
        <v/>
      </c>
      <c r="DO124" t="str">
        <f>""</f>
        <v/>
      </c>
      <c r="DP124" t="str">
        <f>""</f>
        <v/>
      </c>
      <c r="DQ124" t="str">
        <f>""</f>
        <v/>
      </c>
      <c r="DR124" t="str">
        <f>""</f>
        <v/>
      </c>
      <c r="DS124" t="str">
        <f>""</f>
        <v/>
      </c>
      <c r="DT124" t="str">
        <f>""</f>
        <v/>
      </c>
      <c r="DU124" t="str">
        <f>""</f>
        <v/>
      </c>
    </row>
    <row r="125" spans="1:125" x14ac:dyDescent="0.25">
      <c r="A125" t="str">
        <f>"    Volkswagen AG"</f>
        <v xml:space="preserve">    Volkswagen AG</v>
      </c>
      <c r="B125" t="str">
        <f>"VOW GR Equity"</f>
        <v>VOW GR Equity</v>
      </c>
      <c r="C125" t="str">
        <f t="shared" si="6"/>
        <v>EZ010</v>
      </c>
      <c r="D125" t="str">
        <f t="shared" si="7"/>
        <v>BEST_EST_PE_NXT_YR</v>
      </c>
      <c r="E125" t="str">
        <f t="shared" si="8"/>
        <v>Dynamic</v>
      </c>
      <c r="F125">
        <f ca="1">IF(AND(ISNUMBER($F$797),$B$677=1),$F$797,HLOOKUP(INDIRECT(ADDRESS(2,COLUMN())),OFFSET($BN$2,0,0,ROW()-1,60),ROW()-1,FALSE))</f>
        <v>5.4204888169999998</v>
      </c>
      <c r="G125">
        <f ca="1">IF(AND(ISNUMBER($G$797),$B$677=1),$G$797,HLOOKUP(INDIRECT(ADDRESS(2,COLUMN())),OFFSET($BN$2,0,0,ROW()-1,60),ROW()-1,FALSE))</f>
        <v>4.6698224059999998</v>
      </c>
      <c r="H125">
        <f ca="1">IF(AND(ISNUMBER($H$797),$B$677=1),$H$797,HLOOKUP(INDIRECT(ADDRESS(2,COLUMN())),OFFSET($BN$2,0,0,ROW()-1,60),ROW()-1,FALSE))</f>
        <v>4.9010274760000003</v>
      </c>
      <c r="I125">
        <f ca="1">IF(AND(ISNUMBER($I$797),$B$677=1),$I$797,HLOOKUP(INDIRECT(ADDRESS(2,COLUMN())),OFFSET($BN$2,0,0,ROW()-1,60),ROW()-1,FALSE))</f>
        <v>4.8221101419999997</v>
      </c>
      <c r="J125">
        <f ca="1">IF(AND(ISNUMBER($J$797),$B$677=1),$J$797,HLOOKUP(INDIRECT(ADDRESS(2,COLUMN())),OFFSET($BN$2,0,0,ROW()-1,60),ROW()-1,FALSE))</f>
        <v>5.8470926060000004</v>
      </c>
      <c r="K125">
        <f ca="1">IF(AND(ISNUMBER($K$797),$B$677=1),$K$797,HLOOKUP(INDIRECT(ADDRESS(2,COLUMN())),OFFSET($BN$2,0,0,ROW()-1,60),ROW()-1,FALSE))</f>
        <v>6.4802366229999997</v>
      </c>
      <c r="L125">
        <f ca="1">IF(AND(ISNUMBER($L$797),$B$677=1),$L$797,HLOOKUP(INDIRECT(ADDRESS(2,COLUMN())),OFFSET($BN$2,0,0,ROW()-1,60),ROW()-1,FALSE))</f>
        <v>6.0949091839999996</v>
      </c>
      <c r="M125">
        <f ca="1">IF(AND(ISNUMBER($M$797),$B$677=1),$M$797,HLOOKUP(INDIRECT(ADDRESS(2,COLUMN())),OFFSET($BN$2,0,0,ROW()-1,60),ROW()-1,FALSE))</f>
        <v>5.7051872960000001</v>
      </c>
      <c r="N125">
        <f ca="1">IF(AND(ISNUMBER($N$797),$B$677=1),$N$797,HLOOKUP(INDIRECT(ADDRESS(2,COLUMN())),OFFSET($BN$2,0,0,ROW()-1,60),ROW()-1,FALSE))</f>
        <v>6.9994987469999996</v>
      </c>
      <c r="O125">
        <f ca="1">IF(AND(ISNUMBER($O$797),$B$677=1),$O$797,HLOOKUP(INDIRECT(ADDRESS(2,COLUMN())),OFFSET($BN$2,0,0,ROW()-1,60),ROW()-1,FALSE))</f>
        <v>5.7026688910000001</v>
      </c>
      <c r="P125">
        <f ca="1">IF(AND(ISNUMBER($P$797),$B$677=1),$P$797,HLOOKUP(INDIRECT(ADDRESS(2,COLUMN())),OFFSET($BN$2,0,0,ROW()-1,60),ROW()-1,FALSE))</f>
        <v>3.7841578330000001</v>
      </c>
      <c r="Q125">
        <f ca="1">IF(AND(ISNUMBER($Q$797),$B$677=1),$Q$797,HLOOKUP(INDIRECT(ADDRESS(2,COLUMN())),OFFSET($BN$2,0,0,ROW()-1,60),ROW()-1,FALSE))</f>
        <v>4.4260333579999998</v>
      </c>
      <c r="R125" t="str">
        <f ca="1">IF(AND(ISNUMBER($R$797),$B$677=1),$R$797,HLOOKUP(INDIRECT(ADDRESS(2,COLUMN())),OFFSET($BN$2,0,0,ROW()-1,60),ROW()-1,FALSE))</f>
        <v/>
      </c>
      <c r="S125" t="str">
        <f ca="1">IF(AND(ISNUMBER($S$797),$B$677=1),$S$797,HLOOKUP(INDIRECT(ADDRESS(2,COLUMN())),OFFSET($BN$2,0,0,ROW()-1,60),ROW()-1,FALSE))</f>
        <v/>
      </c>
      <c r="T125" t="str">
        <f ca="1">IF(AND(ISNUMBER($T$797),$B$677=1),$T$797,HLOOKUP(INDIRECT(ADDRESS(2,COLUMN())),OFFSET($BN$2,0,0,ROW()-1,60),ROW()-1,FALSE))</f>
        <v/>
      </c>
      <c r="U125" t="str">
        <f ca="1">IF(AND(ISNUMBER($U$797),$B$677=1),$U$797,HLOOKUP(INDIRECT(ADDRESS(2,COLUMN())),OFFSET($BN$2,0,0,ROW()-1,60),ROW()-1,FALSE))</f>
        <v/>
      </c>
      <c r="V125" t="str">
        <f ca="1">IF(AND(ISNUMBER($V$797),$B$677=1),$V$797,HLOOKUP(INDIRECT(ADDRESS(2,COLUMN())),OFFSET($BN$2,0,0,ROW()-1,60),ROW()-1,FALSE))</f>
        <v/>
      </c>
      <c r="W125" t="str">
        <f ca="1">IF(AND(ISNUMBER($W$797),$B$677=1),$W$797,HLOOKUP(INDIRECT(ADDRESS(2,COLUMN())),OFFSET($BN$2,0,0,ROW()-1,60),ROW()-1,FALSE))</f>
        <v/>
      </c>
      <c r="X125" t="str">
        <f ca="1">IF(AND(ISNUMBER($X$797),$B$677=1),$X$797,HLOOKUP(INDIRECT(ADDRESS(2,COLUMN())),OFFSET($BN$2,0,0,ROW()-1,60),ROW()-1,FALSE))</f>
        <v/>
      </c>
      <c r="Y125" t="str">
        <f ca="1">IF(AND(ISNUMBER($Y$797),$B$677=1),$Y$797,HLOOKUP(INDIRECT(ADDRESS(2,COLUMN())),OFFSET($BN$2,0,0,ROW()-1,60),ROW()-1,FALSE))</f>
        <v/>
      </c>
      <c r="Z125" t="str">
        <f ca="1">IF(AND(ISNUMBER($Z$797),$B$677=1),$Z$797,HLOOKUP(INDIRECT(ADDRESS(2,COLUMN())),OFFSET($BN$2,0,0,ROW()-1,60),ROW()-1,FALSE))</f>
        <v/>
      </c>
      <c r="AA125" t="str">
        <f ca="1">IF(AND(ISNUMBER($AA$797),$B$677=1),$AA$797,HLOOKUP(INDIRECT(ADDRESS(2,COLUMN())),OFFSET($BN$2,0,0,ROW()-1,60),ROW()-1,FALSE))</f>
        <v/>
      </c>
      <c r="AB125" t="str">
        <f ca="1">IF(AND(ISNUMBER($AB$797),$B$677=1),$AB$797,HLOOKUP(INDIRECT(ADDRESS(2,COLUMN())),OFFSET($BN$2,0,0,ROW()-1,60),ROW()-1,FALSE))</f>
        <v/>
      </c>
      <c r="AC125" t="str">
        <f ca="1">IF(AND(ISNUMBER($AC$797),$B$677=1),$AC$797,HLOOKUP(INDIRECT(ADDRESS(2,COLUMN())),OFFSET($BN$2,0,0,ROW()-1,60),ROW()-1,FALSE))</f>
        <v/>
      </c>
      <c r="AD125" t="str">
        <f ca="1">IF(AND(ISNUMBER($AD$797),$B$677=1),$AD$797,HLOOKUP(INDIRECT(ADDRESS(2,COLUMN())),OFFSET($BN$2,0,0,ROW()-1,60),ROW()-1,FALSE))</f>
        <v/>
      </c>
      <c r="AE125" t="str">
        <f ca="1">IF(AND(ISNUMBER($AE$797),$B$677=1),$AE$797,HLOOKUP(INDIRECT(ADDRESS(2,COLUMN())),OFFSET($BN$2,0,0,ROW()-1,60),ROW()-1,FALSE))</f>
        <v/>
      </c>
      <c r="AF125" t="str">
        <f ca="1">IF(AND(ISNUMBER($AF$797),$B$677=1),$AF$797,HLOOKUP(INDIRECT(ADDRESS(2,COLUMN())),OFFSET($BN$2,0,0,ROW()-1,60),ROW()-1,FALSE))</f>
        <v/>
      </c>
      <c r="AG125" t="str">
        <f ca="1">IF(AND(ISNUMBER($AG$797),$B$677=1),$AG$797,HLOOKUP(INDIRECT(ADDRESS(2,COLUMN())),OFFSET($BN$2,0,0,ROW()-1,60),ROW()-1,FALSE))</f>
        <v/>
      </c>
      <c r="AH125" t="str">
        <f ca="1">IF(AND(ISNUMBER($AH$797),$B$677=1),$AH$797,HLOOKUP(INDIRECT(ADDRESS(2,COLUMN())),OFFSET($BN$2,0,0,ROW()-1,60),ROW()-1,FALSE))</f>
        <v/>
      </c>
      <c r="AI125" t="str">
        <f ca="1">IF(AND(ISNUMBER($AI$797),$B$677=1),$AI$797,HLOOKUP(INDIRECT(ADDRESS(2,COLUMN())),OFFSET($BN$2,0,0,ROW()-1,60),ROW()-1,FALSE))</f>
        <v/>
      </c>
      <c r="AJ125" t="str">
        <f ca="1">IF(AND(ISNUMBER($AJ$797),$B$677=1),$AJ$797,HLOOKUP(INDIRECT(ADDRESS(2,COLUMN())),OFFSET($BN$2,0,0,ROW()-1,60),ROW()-1,FALSE))</f>
        <v/>
      </c>
      <c r="AK125" t="str">
        <f ca="1">IF(AND(ISNUMBER($AK$797),$B$677=1),$AK$797,HLOOKUP(INDIRECT(ADDRESS(2,COLUMN())),OFFSET($BN$2,0,0,ROW()-1,60),ROW()-1,FALSE))</f>
        <v/>
      </c>
      <c r="AL125" t="str">
        <f ca="1">IF(AND(ISNUMBER($AL$797),$B$677=1),$AL$797,HLOOKUP(INDIRECT(ADDRESS(2,COLUMN())),OFFSET($BN$2,0,0,ROW()-1,60),ROW()-1,FALSE))</f>
        <v/>
      </c>
      <c r="AM125" t="str">
        <f ca="1">IF(AND(ISNUMBER($AM$797),$B$677=1),$AM$797,HLOOKUP(INDIRECT(ADDRESS(2,COLUMN())),OFFSET($BN$2,0,0,ROW()-1,60),ROW()-1,FALSE))</f>
        <v/>
      </c>
      <c r="AN125" t="str">
        <f ca="1">IF(AND(ISNUMBER($AN$797),$B$677=1),$AN$797,HLOOKUP(INDIRECT(ADDRESS(2,COLUMN())),OFFSET($BN$2,0,0,ROW()-1,60),ROW()-1,FALSE))</f>
        <v/>
      </c>
      <c r="AO125" t="str">
        <f ca="1">IF(AND(ISNUMBER($AO$797),$B$677=1),$AO$797,HLOOKUP(INDIRECT(ADDRESS(2,COLUMN())),OFFSET($BN$2,0,0,ROW()-1,60),ROW()-1,FALSE))</f>
        <v/>
      </c>
      <c r="AP125" t="str">
        <f ca="1">IF(AND(ISNUMBER($AP$797),$B$677=1),$AP$797,HLOOKUP(INDIRECT(ADDRESS(2,COLUMN())),OFFSET($BN$2,0,0,ROW()-1,60),ROW()-1,FALSE))</f>
        <v/>
      </c>
      <c r="AQ125" t="str">
        <f ca="1">IF(AND(ISNUMBER($AQ$797),$B$677=1),$AQ$797,HLOOKUP(INDIRECT(ADDRESS(2,COLUMN())),OFFSET($BN$2,0,0,ROW()-1,60),ROW()-1,FALSE))</f>
        <v/>
      </c>
      <c r="AR125" t="str">
        <f ca="1">IF(AND(ISNUMBER($AR$797),$B$677=1),$AR$797,HLOOKUP(INDIRECT(ADDRESS(2,COLUMN())),OFFSET($BN$2,0,0,ROW()-1,60),ROW()-1,FALSE))</f>
        <v/>
      </c>
      <c r="AS125" t="str">
        <f ca="1">IF(AND(ISNUMBER($AS$797),$B$677=1),$AS$797,HLOOKUP(INDIRECT(ADDRESS(2,COLUMN())),OFFSET($BN$2,0,0,ROW()-1,60),ROW()-1,FALSE))</f>
        <v/>
      </c>
      <c r="AT125" t="str">
        <f ca="1">IF(AND(ISNUMBER($AT$797),$B$677=1),$AT$797,HLOOKUP(INDIRECT(ADDRESS(2,COLUMN())),OFFSET($BN$2,0,0,ROW()-1,60),ROW()-1,FALSE))</f>
        <v/>
      </c>
      <c r="AU125" t="str">
        <f ca="1">IF(AND(ISNUMBER($AU$797),$B$677=1),$AU$797,HLOOKUP(INDIRECT(ADDRESS(2,COLUMN())),OFFSET($BN$2,0,0,ROW()-1,60),ROW()-1,FALSE))</f>
        <v/>
      </c>
      <c r="AV125" t="str">
        <f ca="1">IF(AND(ISNUMBER($AV$797),$B$677=1),$AV$797,HLOOKUP(INDIRECT(ADDRESS(2,COLUMN())),OFFSET($BN$2,0,0,ROW()-1,60),ROW()-1,FALSE))</f>
        <v/>
      </c>
      <c r="AW125" t="str">
        <f ca="1">IF(AND(ISNUMBER($AW$797),$B$677=1),$AW$797,HLOOKUP(INDIRECT(ADDRESS(2,COLUMN())),OFFSET($BN$2,0,0,ROW()-1,60),ROW()-1,FALSE))</f>
        <v/>
      </c>
      <c r="AX125" t="str">
        <f ca="1">IF(AND(ISNUMBER($AX$797),$B$677=1),$AX$797,HLOOKUP(INDIRECT(ADDRESS(2,COLUMN())),OFFSET($BN$2,0,0,ROW()-1,60),ROW()-1,FALSE))</f>
        <v/>
      </c>
      <c r="AY125" t="str">
        <f ca="1">IF(AND(ISNUMBER($AY$797),$B$677=1),$AY$797,HLOOKUP(INDIRECT(ADDRESS(2,COLUMN())),OFFSET($BN$2,0,0,ROW()-1,60),ROW()-1,FALSE))</f>
        <v/>
      </c>
      <c r="AZ125" t="str">
        <f ca="1">IF(AND(ISNUMBER($AZ$797),$B$677=1),$AZ$797,HLOOKUP(INDIRECT(ADDRESS(2,COLUMN())),OFFSET($BN$2,0,0,ROW()-1,60),ROW()-1,FALSE))</f>
        <v/>
      </c>
      <c r="BA125" t="str">
        <f ca="1">IF(AND(ISNUMBER($BA$797),$B$677=1),$BA$797,HLOOKUP(INDIRECT(ADDRESS(2,COLUMN())),OFFSET($BN$2,0,0,ROW()-1,60),ROW()-1,FALSE))</f>
        <v/>
      </c>
      <c r="BB125" t="str">
        <f ca="1">IF(AND(ISNUMBER($BB$797),$B$677=1),$BB$797,HLOOKUP(INDIRECT(ADDRESS(2,COLUMN())),OFFSET($BN$2,0,0,ROW()-1,60),ROW()-1,FALSE))</f>
        <v/>
      </c>
      <c r="BC125" t="str">
        <f ca="1">IF(AND(ISNUMBER($BC$797),$B$677=1),$BC$797,HLOOKUP(INDIRECT(ADDRESS(2,COLUMN())),OFFSET($BN$2,0,0,ROW()-1,60),ROW()-1,FALSE))</f>
        <v/>
      </c>
      <c r="BD125" t="str">
        <f ca="1">IF(AND(ISNUMBER($BD$797),$B$677=1),$BD$797,HLOOKUP(INDIRECT(ADDRESS(2,COLUMN())),OFFSET($BN$2,0,0,ROW()-1,60),ROW()-1,FALSE))</f>
        <v/>
      </c>
      <c r="BE125" t="str">
        <f ca="1">IF(AND(ISNUMBER($BE$797),$B$677=1),$BE$797,HLOOKUP(INDIRECT(ADDRESS(2,COLUMN())),OFFSET($BN$2,0,0,ROW()-1,60),ROW()-1,FALSE))</f>
        <v/>
      </c>
      <c r="BF125" t="str">
        <f ca="1">IF(AND(ISNUMBER($BF$797),$B$677=1),$BF$797,HLOOKUP(INDIRECT(ADDRESS(2,COLUMN())),OFFSET($BN$2,0,0,ROW()-1,60),ROW()-1,FALSE))</f>
        <v/>
      </c>
      <c r="BG125" t="str">
        <f ca="1">IF(AND(ISNUMBER($BG$797),$B$677=1),$BG$797,HLOOKUP(INDIRECT(ADDRESS(2,COLUMN())),OFFSET($BN$2,0,0,ROW()-1,60),ROW()-1,FALSE))</f>
        <v/>
      </c>
      <c r="BH125" t="str">
        <f ca="1">IF(AND(ISNUMBER($BH$797),$B$677=1),$BH$797,HLOOKUP(INDIRECT(ADDRESS(2,COLUMN())),OFFSET($BN$2,0,0,ROW()-1,60),ROW()-1,FALSE))</f>
        <v/>
      </c>
      <c r="BI125" t="str">
        <f ca="1">IF(AND(ISNUMBER($BI$797),$B$677=1),$BI$797,HLOOKUP(INDIRECT(ADDRESS(2,COLUMN())),OFFSET($BN$2,0,0,ROW()-1,60),ROW()-1,FALSE))</f>
        <v/>
      </c>
      <c r="BJ125" t="str">
        <f ca="1">IF(AND(ISNUMBER($BJ$797),$B$677=1),$BJ$797,HLOOKUP(INDIRECT(ADDRESS(2,COLUMN())),OFFSET($BN$2,0,0,ROW()-1,60),ROW()-1,FALSE))</f>
        <v/>
      </c>
      <c r="BK125" t="str">
        <f ca="1">IF(AND(ISNUMBER($BK$797),$B$677=1),$BK$797,HLOOKUP(INDIRECT(ADDRESS(2,COLUMN())),OFFSET($BN$2,0,0,ROW()-1,60),ROW()-1,FALSE))</f>
        <v/>
      </c>
      <c r="BL125" t="str">
        <f ca="1">IF(AND(ISNUMBER($BL$797),$B$677=1),$BL$797,HLOOKUP(INDIRECT(ADDRESS(2,COLUMN())),OFFSET($BN$2,0,0,ROW()-1,60),ROW()-1,FALSE))</f>
        <v/>
      </c>
      <c r="BM125" t="str">
        <f ca="1">IF(AND(ISNUMBER($BM$797),$B$677=1),$BM$797,HLOOKUP(INDIRECT(ADDRESS(2,COLUMN())),OFFSET($BN$2,0,0,ROW()-1,60),ROW()-1,FALSE))</f>
        <v/>
      </c>
      <c r="BN125">
        <f>5.420488817</f>
        <v>5.4204888169999998</v>
      </c>
      <c r="BO125">
        <f>4.669822406</f>
        <v>4.6698224059999998</v>
      </c>
      <c r="BP125">
        <f>4.901027476</f>
        <v>4.9010274760000003</v>
      </c>
      <c r="BQ125">
        <f>4.822110142</f>
        <v>4.8221101419999997</v>
      </c>
      <c r="BR125">
        <f>5.847092606</f>
        <v>5.8470926060000004</v>
      </c>
      <c r="BS125">
        <f>6.480236623</f>
        <v>6.4802366229999997</v>
      </c>
      <c r="BT125">
        <f>6.094909184</f>
        <v>6.0949091839999996</v>
      </c>
      <c r="BU125">
        <f>5.705187296</f>
        <v>5.7051872960000001</v>
      </c>
      <c r="BV125">
        <f>6.999498747</f>
        <v>6.9994987469999996</v>
      </c>
      <c r="BW125">
        <f>5.702668891</f>
        <v>5.7026688910000001</v>
      </c>
      <c r="BX125">
        <f>3.784157833</f>
        <v>3.7841578330000001</v>
      </c>
      <c r="BY125">
        <f>4.426033358</f>
        <v>4.4260333579999998</v>
      </c>
      <c r="BZ125" t="str">
        <f>""</f>
        <v/>
      </c>
      <c r="CA125" t="str">
        <f>""</f>
        <v/>
      </c>
      <c r="CB125" t="str">
        <f>""</f>
        <v/>
      </c>
      <c r="CC125" t="str">
        <f>""</f>
        <v/>
      </c>
      <c r="CD125" t="str">
        <f>""</f>
        <v/>
      </c>
      <c r="CE125" t="str">
        <f>""</f>
        <v/>
      </c>
      <c r="CF125" t="str">
        <f>""</f>
        <v/>
      </c>
      <c r="CG125" t="str">
        <f>""</f>
        <v/>
      </c>
      <c r="CH125" t="str">
        <f>""</f>
        <v/>
      </c>
      <c r="CI125" t="str">
        <f>""</f>
        <v/>
      </c>
      <c r="CJ125" t="str">
        <f>""</f>
        <v/>
      </c>
      <c r="CK125" t="str">
        <f>""</f>
        <v/>
      </c>
      <c r="CL125" t="str">
        <f>""</f>
        <v/>
      </c>
      <c r="CM125" t="str">
        <f>""</f>
        <v/>
      </c>
      <c r="CN125" t="str">
        <f>""</f>
        <v/>
      </c>
      <c r="CO125" t="str">
        <f>""</f>
        <v/>
      </c>
      <c r="CP125" t="str">
        <f>""</f>
        <v/>
      </c>
      <c r="CQ125" t="str">
        <f>""</f>
        <v/>
      </c>
      <c r="CR125" t="str">
        <f>""</f>
        <v/>
      </c>
      <c r="CS125" t="str">
        <f>""</f>
        <v/>
      </c>
      <c r="CT125" t="str">
        <f>""</f>
        <v/>
      </c>
      <c r="CU125" t="str">
        <f>""</f>
        <v/>
      </c>
      <c r="CV125" t="str">
        <f>""</f>
        <v/>
      </c>
      <c r="CW125" t="str">
        <f>""</f>
        <v/>
      </c>
      <c r="CX125" t="str">
        <f>""</f>
        <v/>
      </c>
      <c r="CY125" t="str">
        <f>""</f>
        <v/>
      </c>
      <c r="CZ125" t="str">
        <f>""</f>
        <v/>
      </c>
      <c r="DA125" t="str">
        <f>""</f>
        <v/>
      </c>
      <c r="DB125" t="str">
        <f>""</f>
        <v/>
      </c>
      <c r="DC125" t="str">
        <f>""</f>
        <v/>
      </c>
      <c r="DD125" t="str">
        <f>""</f>
        <v/>
      </c>
      <c r="DE125" t="str">
        <f>""</f>
        <v/>
      </c>
      <c r="DF125" t="str">
        <f>""</f>
        <v/>
      </c>
      <c r="DG125" t="str">
        <f>""</f>
        <v/>
      </c>
      <c r="DH125" t="str">
        <f>""</f>
        <v/>
      </c>
      <c r="DI125" t="str">
        <f>""</f>
        <v/>
      </c>
      <c r="DJ125" t="str">
        <f>""</f>
        <v/>
      </c>
      <c r="DK125" t="str">
        <f>""</f>
        <v/>
      </c>
      <c r="DL125" t="str">
        <f>""</f>
        <v/>
      </c>
      <c r="DM125" t="str">
        <f>""</f>
        <v/>
      </c>
      <c r="DN125" t="str">
        <f>""</f>
        <v/>
      </c>
      <c r="DO125" t="str">
        <f>""</f>
        <v/>
      </c>
      <c r="DP125" t="str">
        <f>""</f>
        <v/>
      </c>
      <c r="DQ125" t="str">
        <f>""</f>
        <v/>
      </c>
      <c r="DR125" t="str">
        <f>""</f>
        <v/>
      </c>
      <c r="DS125" t="str">
        <f>""</f>
        <v/>
      </c>
      <c r="DT125" t="str">
        <f>""</f>
        <v/>
      </c>
      <c r="DU125" t="str">
        <f>""</f>
        <v/>
      </c>
    </row>
    <row r="126" spans="1:125" x14ac:dyDescent="0.25">
      <c r="A126" t="str">
        <f>"    Yulon Motor Co Ltd"</f>
        <v xml:space="preserve">    Yulon Motor Co Ltd</v>
      </c>
      <c r="B126" t="str">
        <f>"2201 TT Equity"</f>
        <v>2201 TT Equity</v>
      </c>
      <c r="C126" t="str">
        <f t="shared" si="6"/>
        <v>EZ010</v>
      </c>
      <c r="D126" t="str">
        <f t="shared" si="7"/>
        <v>BEST_EST_PE_NXT_YR</v>
      </c>
      <c r="E126" t="str">
        <f t="shared" si="8"/>
        <v>Dynamic</v>
      </c>
      <c r="F126">
        <f ca="1">IF(AND(ISNUMBER($F$798),$B$677=1),$F$798,HLOOKUP(INDIRECT(ADDRESS(2,COLUMN())),OFFSET($BN$2,0,0,ROW()-1,60),ROW()-1,FALSE))</f>
        <v>12.91866029</v>
      </c>
      <c r="G126">
        <f ca="1">IF(AND(ISNUMBER($G$798),$B$677=1),$G$798,HLOOKUP(INDIRECT(ADDRESS(2,COLUMN())),OFFSET($BN$2,0,0,ROW()-1,60),ROW()-1,FALSE))</f>
        <v>12.440191390000001</v>
      </c>
      <c r="H126">
        <f ca="1">IF(AND(ISNUMBER($H$798),$B$677=1),$H$798,HLOOKUP(INDIRECT(ADDRESS(2,COLUMN())),OFFSET($BN$2,0,0,ROW()-1,60),ROW()-1,FALSE))</f>
        <v>15.5</v>
      </c>
      <c r="I126" t="str">
        <f ca="1">IF(AND(ISNUMBER($I$798),$B$677=1),$I$798,HLOOKUP(INDIRECT(ADDRESS(2,COLUMN())),OFFSET($BN$2,0,0,ROW()-1,60),ROW()-1,FALSE))</f>
        <v/>
      </c>
      <c r="J126" t="str">
        <f ca="1">IF(AND(ISNUMBER($J$798),$B$677=1),$J$798,HLOOKUP(INDIRECT(ADDRESS(2,COLUMN())),OFFSET($BN$2,0,0,ROW()-1,60),ROW()-1,FALSE))</f>
        <v/>
      </c>
      <c r="K126" t="str">
        <f ca="1">IF(AND(ISNUMBER($K$798),$B$677=1),$K$798,HLOOKUP(INDIRECT(ADDRESS(2,COLUMN())),OFFSET($BN$2,0,0,ROW()-1,60),ROW()-1,FALSE))</f>
        <v/>
      </c>
      <c r="L126" t="str">
        <f ca="1">IF(AND(ISNUMBER($L$798),$B$677=1),$L$798,HLOOKUP(INDIRECT(ADDRESS(2,COLUMN())),OFFSET($BN$2,0,0,ROW()-1,60),ROW()-1,FALSE))</f>
        <v/>
      </c>
      <c r="M126" t="str">
        <f ca="1">IF(AND(ISNUMBER($M$798),$B$677=1),$M$798,HLOOKUP(INDIRECT(ADDRESS(2,COLUMN())),OFFSET($BN$2,0,0,ROW()-1,60),ROW()-1,FALSE))</f>
        <v/>
      </c>
      <c r="N126" t="str">
        <f ca="1">IF(AND(ISNUMBER($N$798),$B$677=1),$N$798,HLOOKUP(INDIRECT(ADDRESS(2,COLUMN())),OFFSET($BN$2,0,0,ROW()-1,60),ROW()-1,FALSE))</f>
        <v/>
      </c>
      <c r="O126" t="str">
        <f ca="1">IF(AND(ISNUMBER($O$798),$B$677=1),$O$798,HLOOKUP(INDIRECT(ADDRESS(2,COLUMN())),OFFSET($BN$2,0,0,ROW()-1,60),ROW()-1,FALSE))</f>
        <v/>
      </c>
      <c r="P126" t="str">
        <f ca="1">IF(AND(ISNUMBER($P$798),$B$677=1),$P$798,HLOOKUP(INDIRECT(ADDRESS(2,COLUMN())),OFFSET($BN$2,0,0,ROW()-1,60),ROW()-1,FALSE))</f>
        <v/>
      </c>
      <c r="Q126" t="str">
        <f ca="1">IF(AND(ISNUMBER($Q$798),$B$677=1),$Q$798,HLOOKUP(INDIRECT(ADDRESS(2,COLUMN())),OFFSET($BN$2,0,0,ROW()-1,60),ROW()-1,FALSE))</f>
        <v/>
      </c>
      <c r="R126" t="str">
        <f ca="1">IF(AND(ISNUMBER($R$798),$B$677=1),$R$798,HLOOKUP(INDIRECT(ADDRESS(2,COLUMN())),OFFSET($BN$2,0,0,ROW()-1,60),ROW()-1,FALSE))</f>
        <v/>
      </c>
      <c r="S126" t="str">
        <f ca="1">IF(AND(ISNUMBER($S$798),$B$677=1),$S$798,HLOOKUP(INDIRECT(ADDRESS(2,COLUMN())),OFFSET($BN$2,0,0,ROW()-1,60),ROW()-1,FALSE))</f>
        <v/>
      </c>
      <c r="T126" t="str">
        <f ca="1">IF(AND(ISNUMBER($T$798),$B$677=1),$T$798,HLOOKUP(INDIRECT(ADDRESS(2,COLUMN())),OFFSET($BN$2,0,0,ROW()-1,60),ROW()-1,FALSE))</f>
        <v/>
      </c>
      <c r="U126" t="str">
        <f ca="1">IF(AND(ISNUMBER($U$798),$B$677=1),$U$798,HLOOKUP(INDIRECT(ADDRESS(2,COLUMN())),OFFSET($BN$2,0,0,ROW()-1,60),ROW()-1,FALSE))</f>
        <v/>
      </c>
      <c r="V126" t="str">
        <f ca="1">IF(AND(ISNUMBER($V$798),$B$677=1),$V$798,HLOOKUP(INDIRECT(ADDRESS(2,COLUMN())),OFFSET($BN$2,0,0,ROW()-1,60),ROW()-1,FALSE))</f>
        <v/>
      </c>
      <c r="W126" t="str">
        <f ca="1">IF(AND(ISNUMBER($W$798),$B$677=1),$W$798,HLOOKUP(INDIRECT(ADDRESS(2,COLUMN())),OFFSET($BN$2,0,0,ROW()-1,60),ROW()-1,FALSE))</f>
        <v/>
      </c>
      <c r="X126" t="str">
        <f ca="1">IF(AND(ISNUMBER($X$798),$B$677=1),$X$798,HLOOKUP(INDIRECT(ADDRESS(2,COLUMN())),OFFSET($BN$2,0,0,ROW()-1,60),ROW()-1,FALSE))</f>
        <v/>
      </c>
      <c r="Y126" t="str">
        <f ca="1">IF(AND(ISNUMBER($Y$798),$B$677=1),$Y$798,HLOOKUP(INDIRECT(ADDRESS(2,COLUMN())),OFFSET($BN$2,0,0,ROW()-1,60),ROW()-1,FALSE))</f>
        <v/>
      </c>
      <c r="Z126" t="str">
        <f ca="1">IF(AND(ISNUMBER($Z$798),$B$677=1),$Z$798,HLOOKUP(INDIRECT(ADDRESS(2,COLUMN())),OFFSET($BN$2,0,0,ROW()-1,60),ROW()-1,FALSE))</f>
        <v/>
      </c>
      <c r="AA126" t="str">
        <f ca="1">IF(AND(ISNUMBER($AA$798),$B$677=1),$AA$798,HLOOKUP(INDIRECT(ADDRESS(2,COLUMN())),OFFSET($BN$2,0,0,ROW()-1,60),ROW()-1,FALSE))</f>
        <v/>
      </c>
      <c r="AB126" t="str">
        <f ca="1">IF(AND(ISNUMBER($AB$798),$B$677=1),$AB$798,HLOOKUP(INDIRECT(ADDRESS(2,COLUMN())),OFFSET($BN$2,0,0,ROW()-1,60),ROW()-1,FALSE))</f>
        <v/>
      </c>
      <c r="AC126" t="str">
        <f ca="1">IF(AND(ISNUMBER($AC$798),$B$677=1),$AC$798,HLOOKUP(INDIRECT(ADDRESS(2,COLUMN())),OFFSET($BN$2,0,0,ROW()-1,60),ROW()-1,FALSE))</f>
        <v/>
      </c>
      <c r="AD126" t="str">
        <f ca="1">IF(AND(ISNUMBER($AD$798),$B$677=1),$AD$798,HLOOKUP(INDIRECT(ADDRESS(2,COLUMN())),OFFSET($BN$2,0,0,ROW()-1,60),ROW()-1,FALSE))</f>
        <v/>
      </c>
      <c r="AE126" t="str">
        <f ca="1">IF(AND(ISNUMBER($AE$798),$B$677=1),$AE$798,HLOOKUP(INDIRECT(ADDRESS(2,COLUMN())),OFFSET($BN$2,0,0,ROW()-1,60),ROW()-1,FALSE))</f>
        <v/>
      </c>
      <c r="AF126" t="str">
        <f ca="1">IF(AND(ISNUMBER($AF$798),$B$677=1),$AF$798,HLOOKUP(INDIRECT(ADDRESS(2,COLUMN())),OFFSET($BN$2,0,0,ROW()-1,60),ROW()-1,FALSE))</f>
        <v/>
      </c>
      <c r="AG126" t="str">
        <f ca="1">IF(AND(ISNUMBER($AG$798),$B$677=1),$AG$798,HLOOKUP(INDIRECT(ADDRESS(2,COLUMN())),OFFSET($BN$2,0,0,ROW()-1,60),ROW()-1,FALSE))</f>
        <v/>
      </c>
      <c r="AH126" t="str">
        <f ca="1">IF(AND(ISNUMBER($AH$798),$B$677=1),$AH$798,HLOOKUP(INDIRECT(ADDRESS(2,COLUMN())),OFFSET($BN$2,0,0,ROW()-1,60),ROW()-1,FALSE))</f>
        <v/>
      </c>
      <c r="AI126" t="str">
        <f ca="1">IF(AND(ISNUMBER($AI$798),$B$677=1),$AI$798,HLOOKUP(INDIRECT(ADDRESS(2,COLUMN())),OFFSET($BN$2,0,0,ROW()-1,60),ROW()-1,FALSE))</f>
        <v/>
      </c>
      <c r="AJ126" t="str">
        <f ca="1">IF(AND(ISNUMBER($AJ$798),$B$677=1),$AJ$798,HLOOKUP(INDIRECT(ADDRESS(2,COLUMN())),OFFSET($BN$2,0,0,ROW()-1,60),ROW()-1,FALSE))</f>
        <v/>
      </c>
      <c r="AK126" t="str">
        <f ca="1">IF(AND(ISNUMBER($AK$798),$B$677=1),$AK$798,HLOOKUP(INDIRECT(ADDRESS(2,COLUMN())),OFFSET($BN$2,0,0,ROW()-1,60),ROW()-1,FALSE))</f>
        <v/>
      </c>
      <c r="AL126" t="str">
        <f ca="1">IF(AND(ISNUMBER($AL$798),$B$677=1),$AL$798,HLOOKUP(INDIRECT(ADDRESS(2,COLUMN())),OFFSET($BN$2,0,0,ROW()-1,60),ROW()-1,FALSE))</f>
        <v/>
      </c>
      <c r="AM126" t="str">
        <f ca="1">IF(AND(ISNUMBER($AM$798),$B$677=1),$AM$798,HLOOKUP(INDIRECT(ADDRESS(2,COLUMN())),OFFSET($BN$2,0,0,ROW()-1,60),ROW()-1,FALSE))</f>
        <v/>
      </c>
      <c r="AN126" t="str">
        <f ca="1">IF(AND(ISNUMBER($AN$798),$B$677=1),$AN$798,HLOOKUP(INDIRECT(ADDRESS(2,COLUMN())),OFFSET($BN$2,0,0,ROW()-1,60),ROW()-1,FALSE))</f>
        <v/>
      </c>
      <c r="AO126" t="str">
        <f ca="1">IF(AND(ISNUMBER($AO$798),$B$677=1),$AO$798,HLOOKUP(INDIRECT(ADDRESS(2,COLUMN())),OFFSET($BN$2,0,0,ROW()-1,60),ROW()-1,FALSE))</f>
        <v/>
      </c>
      <c r="AP126" t="str">
        <f ca="1">IF(AND(ISNUMBER($AP$798),$B$677=1),$AP$798,HLOOKUP(INDIRECT(ADDRESS(2,COLUMN())),OFFSET($BN$2,0,0,ROW()-1,60),ROW()-1,FALSE))</f>
        <v/>
      </c>
      <c r="AQ126" t="str">
        <f ca="1">IF(AND(ISNUMBER($AQ$798),$B$677=1),$AQ$798,HLOOKUP(INDIRECT(ADDRESS(2,COLUMN())),OFFSET($BN$2,0,0,ROW()-1,60),ROW()-1,FALSE))</f>
        <v/>
      </c>
      <c r="AR126" t="str">
        <f ca="1">IF(AND(ISNUMBER($AR$798),$B$677=1),$AR$798,HLOOKUP(INDIRECT(ADDRESS(2,COLUMN())),OFFSET($BN$2,0,0,ROW()-1,60),ROW()-1,FALSE))</f>
        <v/>
      </c>
      <c r="AS126" t="str">
        <f ca="1">IF(AND(ISNUMBER($AS$798),$B$677=1),$AS$798,HLOOKUP(INDIRECT(ADDRESS(2,COLUMN())),OFFSET($BN$2,0,0,ROW()-1,60),ROW()-1,FALSE))</f>
        <v/>
      </c>
      <c r="AT126" t="str">
        <f ca="1">IF(AND(ISNUMBER($AT$798),$B$677=1),$AT$798,HLOOKUP(INDIRECT(ADDRESS(2,COLUMN())),OFFSET($BN$2,0,0,ROW()-1,60),ROW()-1,FALSE))</f>
        <v/>
      </c>
      <c r="AU126" t="str">
        <f ca="1">IF(AND(ISNUMBER($AU$798),$B$677=1),$AU$798,HLOOKUP(INDIRECT(ADDRESS(2,COLUMN())),OFFSET($BN$2,0,0,ROW()-1,60),ROW()-1,FALSE))</f>
        <v/>
      </c>
      <c r="AV126" t="str">
        <f ca="1">IF(AND(ISNUMBER($AV$798),$B$677=1),$AV$798,HLOOKUP(INDIRECT(ADDRESS(2,COLUMN())),OFFSET($BN$2,0,0,ROW()-1,60),ROW()-1,FALSE))</f>
        <v/>
      </c>
      <c r="AW126" t="str">
        <f ca="1">IF(AND(ISNUMBER($AW$798),$B$677=1),$AW$798,HLOOKUP(INDIRECT(ADDRESS(2,COLUMN())),OFFSET($BN$2,0,0,ROW()-1,60),ROW()-1,FALSE))</f>
        <v/>
      </c>
      <c r="AX126" t="str">
        <f ca="1">IF(AND(ISNUMBER($AX$798),$B$677=1),$AX$798,HLOOKUP(INDIRECT(ADDRESS(2,COLUMN())),OFFSET($BN$2,0,0,ROW()-1,60),ROW()-1,FALSE))</f>
        <v/>
      </c>
      <c r="AY126" t="str">
        <f ca="1">IF(AND(ISNUMBER($AY$798),$B$677=1),$AY$798,HLOOKUP(INDIRECT(ADDRESS(2,COLUMN())),OFFSET($BN$2,0,0,ROW()-1,60),ROW()-1,FALSE))</f>
        <v/>
      </c>
      <c r="AZ126" t="str">
        <f ca="1">IF(AND(ISNUMBER($AZ$798),$B$677=1),$AZ$798,HLOOKUP(INDIRECT(ADDRESS(2,COLUMN())),OFFSET($BN$2,0,0,ROW()-1,60),ROW()-1,FALSE))</f>
        <v/>
      </c>
      <c r="BA126" t="str">
        <f ca="1">IF(AND(ISNUMBER($BA$798),$B$677=1),$BA$798,HLOOKUP(INDIRECT(ADDRESS(2,COLUMN())),OFFSET($BN$2,0,0,ROW()-1,60),ROW()-1,FALSE))</f>
        <v/>
      </c>
      <c r="BB126" t="str">
        <f ca="1">IF(AND(ISNUMBER($BB$798),$B$677=1),$BB$798,HLOOKUP(INDIRECT(ADDRESS(2,COLUMN())),OFFSET($BN$2,0,0,ROW()-1,60),ROW()-1,FALSE))</f>
        <v/>
      </c>
      <c r="BC126" t="str">
        <f ca="1">IF(AND(ISNUMBER($BC$798),$B$677=1),$BC$798,HLOOKUP(INDIRECT(ADDRESS(2,COLUMN())),OFFSET($BN$2,0,0,ROW()-1,60),ROW()-1,FALSE))</f>
        <v/>
      </c>
      <c r="BD126" t="str">
        <f ca="1">IF(AND(ISNUMBER($BD$798),$B$677=1),$BD$798,HLOOKUP(INDIRECT(ADDRESS(2,COLUMN())),OFFSET($BN$2,0,0,ROW()-1,60),ROW()-1,FALSE))</f>
        <v/>
      </c>
      <c r="BE126" t="str">
        <f ca="1">IF(AND(ISNUMBER($BE$798),$B$677=1),$BE$798,HLOOKUP(INDIRECT(ADDRESS(2,COLUMN())),OFFSET($BN$2,0,0,ROW()-1,60),ROW()-1,FALSE))</f>
        <v/>
      </c>
      <c r="BF126" t="str">
        <f ca="1">IF(AND(ISNUMBER($BF$798),$B$677=1),$BF$798,HLOOKUP(INDIRECT(ADDRESS(2,COLUMN())),OFFSET($BN$2,0,0,ROW()-1,60),ROW()-1,FALSE))</f>
        <v/>
      </c>
      <c r="BG126" t="str">
        <f ca="1">IF(AND(ISNUMBER($BG$798),$B$677=1),$BG$798,HLOOKUP(INDIRECT(ADDRESS(2,COLUMN())),OFFSET($BN$2,0,0,ROW()-1,60),ROW()-1,FALSE))</f>
        <v/>
      </c>
      <c r="BH126" t="str">
        <f ca="1">IF(AND(ISNUMBER($BH$798),$B$677=1),$BH$798,HLOOKUP(INDIRECT(ADDRESS(2,COLUMN())),OFFSET($BN$2,0,0,ROW()-1,60),ROW()-1,FALSE))</f>
        <v/>
      </c>
      <c r="BI126" t="str">
        <f ca="1">IF(AND(ISNUMBER($BI$798),$B$677=1),$BI$798,HLOOKUP(INDIRECT(ADDRESS(2,COLUMN())),OFFSET($BN$2,0,0,ROW()-1,60),ROW()-1,FALSE))</f>
        <v/>
      </c>
      <c r="BJ126" t="str">
        <f ca="1">IF(AND(ISNUMBER($BJ$798),$B$677=1),$BJ$798,HLOOKUP(INDIRECT(ADDRESS(2,COLUMN())),OFFSET($BN$2,0,0,ROW()-1,60),ROW()-1,FALSE))</f>
        <v/>
      </c>
      <c r="BK126" t="str">
        <f ca="1">IF(AND(ISNUMBER($BK$798),$B$677=1),$BK$798,HLOOKUP(INDIRECT(ADDRESS(2,COLUMN())),OFFSET($BN$2,0,0,ROW()-1,60),ROW()-1,FALSE))</f>
        <v/>
      </c>
      <c r="BL126" t="str">
        <f ca="1">IF(AND(ISNUMBER($BL$798),$B$677=1),$BL$798,HLOOKUP(INDIRECT(ADDRESS(2,COLUMN())),OFFSET($BN$2,0,0,ROW()-1,60),ROW()-1,FALSE))</f>
        <v/>
      </c>
      <c r="BM126" t="str">
        <f ca="1">IF(AND(ISNUMBER($BM$798),$B$677=1),$BM$798,HLOOKUP(INDIRECT(ADDRESS(2,COLUMN())),OFFSET($BN$2,0,0,ROW()-1,60),ROW()-1,FALSE))</f>
        <v/>
      </c>
      <c r="BN126">
        <f>12.91866029</f>
        <v>12.91866029</v>
      </c>
      <c r="BO126">
        <f>12.44019139</f>
        <v>12.440191390000001</v>
      </c>
      <c r="BP126">
        <f>15.5</f>
        <v>15.5</v>
      </c>
      <c r="BQ126" t="str">
        <f>""</f>
        <v/>
      </c>
      <c r="BR126" t="str">
        <f>""</f>
        <v/>
      </c>
      <c r="BS126" t="str">
        <f>""</f>
        <v/>
      </c>
      <c r="BT126" t="str">
        <f>""</f>
        <v/>
      </c>
      <c r="BU126" t="str">
        <f>""</f>
        <v/>
      </c>
      <c r="BV126" t="str">
        <f>""</f>
        <v/>
      </c>
      <c r="BW126" t="str">
        <f>""</f>
        <v/>
      </c>
      <c r="BX126" t="str">
        <f>""</f>
        <v/>
      </c>
      <c r="BY126" t="str">
        <f>""</f>
        <v/>
      </c>
      <c r="BZ126" t="str">
        <f>""</f>
        <v/>
      </c>
      <c r="CA126" t="str">
        <f>""</f>
        <v/>
      </c>
      <c r="CB126" t="str">
        <f>""</f>
        <v/>
      </c>
      <c r="CC126" t="str">
        <f>""</f>
        <v/>
      </c>
      <c r="CD126" t="str">
        <f>""</f>
        <v/>
      </c>
      <c r="CE126" t="str">
        <f>""</f>
        <v/>
      </c>
      <c r="CF126" t="str">
        <f>""</f>
        <v/>
      </c>
      <c r="CG126" t="str">
        <f>""</f>
        <v/>
      </c>
      <c r="CH126" t="str">
        <f>""</f>
        <v/>
      </c>
      <c r="CI126" t="str">
        <f>""</f>
        <v/>
      </c>
      <c r="CJ126" t="str">
        <f>""</f>
        <v/>
      </c>
      <c r="CK126" t="str">
        <f>""</f>
        <v/>
      </c>
      <c r="CL126" t="str">
        <f>""</f>
        <v/>
      </c>
      <c r="CM126" t="str">
        <f>""</f>
        <v/>
      </c>
      <c r="CN126" t="str">
        <f>""</f>
        <v/>
      </c>
      <c r="CO126" t="str">
        <f>""</f>
        <v/>
      </c>
      <c r="CP126" t="str">
        <f>""</f>
        <v/>
      </c>
      <c r="CQ126" t="str">
        <f>""</f>
        <v/>
      </c>
      <c r="CR126" t="str">
        <f>""</f>
        <v/>
      </c>
      <c r="CS126" t="str">
        <f>""</f>
        <v/>
      </c>
      <c r="CT126" t="str">
        <f>""</f>
        <v/>
      </c>
      <c r="CU126" t="str">
        <f>""</f>
        <v/>
      </c>
      <c r="CV126" t="str">
        <f>""</f>
        <v/>
      </c>
      <c r="CW126" t="str">
        <f>""</f>
        <v/>
      </c>
      <c r="CX126" t="str">
        <f>""</f>
        <v/>
      </c>
      <c r="CY126" t="str">
        <f>""</f>
        <v/>
      </c>
      <c r="CZ126" t="str">
        <f>""</f>
        <v/>
      </c>
      <c r="DA126" t="str">
        <f>""</f>
        <v/>
      </c>
      <c r="DB126" t="str">
        <f>""</f>
        <v/>
      </c>
      <c r="DC126" t="str">
        <f>""</f>
        <v/>
      </c>
      <c r="DD126" t="str">
        <f>""</f>
        <v/>
      </c>
      <c r="DE126" t="str">
        <f>""</f>
        <v/>
      </c>
      <c r="DF126" t="str">
        <f>""</f>
        <v/>
      </c>
      <c r="DG126" t="str">
        <f>""</f>
        <v/>
      </c>
      <c r="DH126" t="str">
        <f>""</f>
        <v/>
      </c>
      <c r="DI126" t="str">
        <f>""</f>
        <v/>
      </c>
      <c r="DJ126" t="str">
        <f>""</f>
        <v/>
      </c>
      <c r="DK126" t="str">
        <f>""</f>
        <v/>
      </c>
      <c r="DL126" t="str">
        <f>""</f>
        <v/>
      </c>
      <c r="DM126" t="str">
        <f>""</f>
        <v/>
      </c>
      <c r="DN126" t="str">
        <f>""</f>
        <v/>
      </c>
      <c r="DO126" t="str">
        <f>""</f>
        <v/>
      </c>
      <c r="DP126" t="str">
        <f>""</f>
        <v/>
      </c>
      <c r="DQ126" t="str">
        <f>""</f>
        <v/>
      </c>
      <c r="DR126" t="str">
        <f>""</f>
        <v/>
      </c>
      <c r="DS126" t="str">
        <f>""</f>
        <v/>
      </c>
      <c r="DT126" t="str">
        <f>""</f>
        <v/>
      </c>
      <c r="DU126" t="str">
        <f>""</f>
        <v/>
      </c>
    </row>
    <row r="127" spans="1:125" x14ac:dyDescent="0.25">
      <c r="A127" t="str">
        <f>"P/Book"</f>
        <v>P/Book</v>
      </c>
      <c r="B127" t="str">
        <f>"BRAUTOCV Index"</f>
        <v>BRAUTOCV Index</v>
      </c>
      <c r="E127" t="str">
        <f>"Average"</f>
        <v>Average</v>
      </c>
      <c r="F127">
        <f ca="1">IF(ISERROR(IF(AVERAGE($F$128:$F$167) = 0, "", AVERAGE($F$128:$F$167))), "", (IF(AVERAGE($F$128:$F$167) = 0, "", AVERAGE($F$128:$F$167))))</f>
        <v>1.747719298</v>
      </c>
      <c r="G127">
        <f ca="1">IF(ISERROR(IF(AVERAGE($G$128:$G$167) = 0, "", AVERAGE($G$128:$G$167))), "", (IF(AVERAGE($G$128:$G$167) = 0, "", AVERAGE($G$128:$G$167))))</f>
        <v>1.4496982044137932</v>
      </c>
      <c r="H127">
        <f ca="1">IF(ISERROR(IF(AVERAGE($H$128:$H$167) = 0, "", AVERAGE($H$128:$H$167))), "", (IF(AVERAGE($H$128:$H$167) = 0, "", AVERAGE($H$128:$H$167))))</f>
        <v>1.6601081125862072</v>
      </c>
      <c r="I127">
        <f ca="1">IF(ISERROR(IF(AVERAGE($I$128:$I$167) = 0, "", AVERAGE($I$128:$I$167))), "", (IF(AVERAGE($I$128:$I$167) = 0, "", AVERAGE($I$128:$I$167))))</f>
        <v>1.8340119724137933</v>
      </c>
      <c r="J127">
        <f ca="1">IF(ISERROR(IF(AVERAGE($J$128:$J$167) = 0, "", AVERAGE($J$128:$J$167))), "", (IF(AVERAGE($J$128:$J$167) = 0, "", AVERAGE($J$128:$J$167))))</f>
        <v>5.4423722603333333</v>
      </c>
      <c r="K127">
        <f ca="1">IF(ISERROR(IF(AVERAGE($K$128:$K$167) = 0, "", AVERAGE($K$128:$K$167))), "", (IF(AVERAGE($K$128:$K$167) = 0, "", AVERAGE($K$128:$K$167))))</f>
        <v>6.0661316766666671</v>
      </c>
      <c r="L127">
        <f ca="1">IF(ISERROR(IF(AVERAGE($L$128:$L$167) = 0, "", AVERAGE($L$128:$L$167))), "", (IF(AVERAGE($L$128:$L$167) = 0, "", AVERAGE($L$128:$L$167))))</f>
        <v>2.4100396686333334</v>
      </c>
      <c r="M127">
        <f ca="1">IF(ISERROR(IF(AVERAGE($M$128:$M$167) = 0, "", AVERAGE($M$128:$M$167))), "", (IF(AVERAGE($M$128:$M$167) = 0, "", AVERAGE($M$128:$M$167))))</f>
        <v>2.0805599085000006</v>
      </c>
      <c r="N127">
        <f ca="1">IF(ISERROR(IF(AVERAGE($N$128:$N$167) = 0, "", AVERAGE($N$128:$N$167))), "", (IF(AVERAGE($N$128:$N$167) = 0, "", AVERAGE($N$128:$N$167))))</f>
        <v>2.0038202548000004</v>
      </c>
      <c r="O127">
        <f ca="1">IF(ISERROR(IF(AVERAGE($O$128:$O$167) = 0, "", AVERAGE($O$128:$O$167))), "", (IF(AVERAGE($O$128:$O$167) = 0, "", AVERAGE($O$128:$O$167))))</f>
        <v>1.8090759404000001</v>
      </c>
      <c r="P127">
        <f ca="1">IF(ISERROR(IF(AVERAGE($P$128:$P$167) = 0, "", AVERAGE($P$128:$P$167))), "", (IF(AVERAGE($P$128:$P$167) = 0, "", AVERAGE($P$128:$P$167))))</f>
        <v>2.0483003142903229</v>
      </c>
      <c r="Q127">
        <f ca="1">IF(ISERROR(IF(AVERAGE($Q$128:$Q$167) = 0, "", AVERAGE($Q$128:$Q$167))), "", (IF(AVERAGE($Q$128:$Q$167) = 0, "", AVERAGE($Q$128:$Q$167))))</f>
        <v>1.9236068563870972</v>
      </c>
      <c r="R127">
        <f ca="1">IF(ISERROR(IF(AVERAGE($R$128:$R$167) = 0, "", AVERAGE($R$128:$R$167))), "", (IF(AVERAGE($R$128:$R$167) = 0, "", AVERAGE($R$128:$R$167))))</f>
        <v>2.6755752676129032</v>
      </c>
      <c r="S127">
        <f ca="1">IF(ISERROR(IF(AVERAGE($S$128:$S$167) = 0, "", AVERAGE($S$128:$S$167))), "", (IF(AVERAGE($S$128:$S$167) = 0, "", AVERAGE($S$128:$S$167))))</f>
        <v>2.5755390933125</v>
      </c>
      <c r="T127">
        <f ca="1">IF(ISERROR(IF(AVERAGE($T$128:$T$167) = 0, "", AVERAGE($T$128:$T$167))), "", (IF(AVERAGE($T$128:$T$167) = 0, "", AVERAGE($T$128:$T$167))))</f>
        <v>2.4944284208125</v>
      </c>
      <c r="U127">
        <f ca="1">IF(ISERROR(IF(AVERAGE($U$128:$U$167) = 0, "", AVERAGE($U$128:$U$167))), "", (IF(AVERAGE($U$128:$U$167) = 0, "", AVERAGE($U$128:$U$167))))</f>
        <v>3.8041838389032261</v>
      </c>
      <c r="V127">
        <f ca="1">IF(ISERROR(IF(AVERAGE($V$128:$V$167) = 0, "", AVERAGE($V$128:$V$167))), "", (IF(AVERAGE($V$128:$V$167) = 0, "", AVERAGE($V$128:$V$167))))</f>
        <v>3.0699453549032247</v>
      </c>
      <c r="W127">
        <f ca="1">IF(ISERROR(IF(AVERAGE($W$128:$W$167) = 0, "", AVERAGE($W$128:$W$167))), "", (IF(AVERAGE($W$128:$W$167) = 0, "", AVERAGE($W$128:$W$167))))</f>
        <v>2.8899874190645161</v>
      </c>
      <c r="X127">
        <f ca="1">IF(ISERROR(IF(AVERAGE($X$128:$X$167) = 0, "", AVERAGE($X$128:$X$167))), "", (IF(AVERAGE($X$128:$X$167) = 0, "", AVERAGE($X$128:$X$167))))</f>
        <v>2.7525985692999999</v>
      </c>
      <c r="Y127">
        <f ca="1">IF(ISERROR(IF(AVERAGE($Y$128:$Y$167) = 0, "", AVERAGE($Y$128:$Y$167))), "", (IF(AVERAGE($Y$128:$Y$167) = 0, "", AVERAGE($Y$128:$Y$167))))</f>
        <v>2.7899397964666663</v>
      </c>
      <c r="Z127">
        <f ca="1">IF(ISERROR(IF(AVERAGE($Z$128:$Z$167) = 0, "", AVERAGE($Z$128:$Z$167))), "", (IF(AVERAGE($Z$128:$Z$167) = 0, "", AVERAGE($Z$128:$Z$167))))</f>
        <v>2.6735083711666667</v>
      </c>
      <c r="AA127">
        <f ca="1">IF(ISERROR(IF(AVERAGE($AA$128:$AA$167) = 0, "", AVERAGE($AA$128:$AA$167))), "", (IF(AVERAGE($AA$128:$AA$167) = 0, "", AVERAGE($AA$128:$AA$167))))</f>
        <v>3.1626550518333327</v>
      </c>
      <c r="AB127">
        <f ca="1">IF(ISERROR(IF(AVERAGE($AB$128:$AB$167) = 0, "", AVERAGE($AB$128:$AB$167))), "", (IF(AVERAGE($AB$128:$AB$167) = 0, "", AVERAGE($AB$128:$AB$167))))</f>
        <v>7.401642417033333</v>
      </c>
      <c r="AC127">
        <f ca="1">IF(ISERROR(IF(AVERAGE($AC$128:$AC$167) = 0, "", AVERAGE($AC$128:$AC$167))), "", (IF(AVERAGE($AC$128:$AC$167) = 0, "", AVERAGE($AC$128:$AC$167))))</f>
        <v>2.4908609882068964</v>
      </c>
      <c r="AD127">
        <f ca="1">IF(ISERROR(IF(AVERAGE($AD$128:$AD$167) = 0, "", AVERAGE($AD$128:$AD$167))), "", (IF(AVERAGE($AD$128:$AD$167) = 0, "", AVERAGE($AD$128:$AD$167))))</f>
        <v>2.5506500807931021</v>
      </c>
      <c r="AE127">
        <f ca="1">IF(ISERROR(IF(AVERAGE($AE$128:$AE$167) = 0, "", AVERAGE($AE$128:$AE$167))), "", (IF(AVERAGE($AE$128:$AE$167) = 0, "", AVERAGE($AE$128:$AE$167))))</f>
        <v>2.6218215721724141</v>
      </c>
      <c r="AF127">
        <f ca="1">IF(ISERROR(IF(AVERAGE($AF$128:$AF$167) = 0, "", AVERAGE($AF$128:$AF$167))), "", (IF(AVERAGE($AF$128:$AF$167) = 0, "", AVERAGE($AF$128:$AF$167))))</f>
        <v>3.0360047698928567</v>
      </c>
      <c r="AG127">
        <f ca="1">IF(ISERROR(IF(AVERAGE($AG$128:$AG$167) = 0, "", AVERAGE($AG$128:$AG$167))), "", (IF(AVERAGE($AG$128:$AG$167) = 0, "", AVERAGE($AG$128:$AG$167))))</f>
        <v>3.2960163797142856</v>
      </c>
      <c r="AH127">
        <f ca="1">IF(ISERROR(IF(AVERAGE($AH$128:$AH$167) = 0, "", AVERAGE($AH$128:$AH$167))), "", (IF(AVERAGE($AH$128:$AH$167) = 0, "", AVERAGE($AH$128:$AH$167))))</f>
        <v>2.469715217428571</v>
      </c>
      <c r="AI127">
        <f ca="1">IF(ISERROR(IF(AVERAGE($AI$128:$AI$167) = 0, "", AVERAGE($AI$128:$AI$167))), "", (IF(AVERAGE($AI$128:$AI$167) = 0, "", AVERAGE($AI$128:$AI$167))))</f>
        <v>1.8286405604642861</v>
      </c>
      <c r="AJ127">
        <f ca="1">IF(ISERROR(IF(AVERAGE($AJ$128:$AJ$167) = 0, "", AVERAGE($AJ$128:$AJ$167))), "", (IF(AVERAGE($AJ$128:$AJ$167) = 0, "", AVERAGE($AJ$128:$AJ$167))))</f>
        <v>1.8026670231785717</v>
      </c>
      <c r="AK127">
        <f ca="1">IF(ISERROR(IF(AVERAGE($AK$128:$AK$167) = 0, "", AVERAGE($AK$128:$AK$167))), "", (IF(AVERAGE($AK$128:$AK$167) = 0, "", AVERAGE($AK$128:$AK$167))))</f>
        <v>2.2940468047142857</v>
      </c>
      <c r="AL127">
        <f ca="1">IF(ISERROR(IF(AVERAGE($AL$128:$AL$167) = 0, "", AVERAGE($AL$128:$AL$167))), "", (IF(AVERAGE($AL$128:$AL$167) = 0, "", AVERAGE($AL$128:$AL$167))))</f>
        <v>3.1136141106428568</v>
      </c>
      <c r="AM127">
        <f ca="1">IF(ISERROR(IF(AVERAGE($AM$128:$AM$167) = 0, "", AVERAGE($AM$128:$AM$167))), "", (IF(AVERAGE($AM$128:$AM$167) = 0, "", AVERAGE($AM$128:$AM$167))))</f>
        <v>2.31987354952</v>
      </c>
      <c r="AN127">
        <f ca="1">IF(ISERROR(IF(AVERAGE($AN$128:$AN$167) = 0, "", AVERAGE($AN$128:$AN$167))), "", (IF(AVERAGE($AN$128:$AN$167) = 0, "", AVERAGE($AN$128:$AN$167))))</f>
        <v>2.3162410507826086</v>
      </c>
      <c r="AO127">
        <f ca="1">IF(ISERROR(IF(AVERAGE($AO$128:$AO$167) = 0, "", AVERAGE($AO$128:$AO$167))), "", (IF(AVERAGE($AO$128:$AO$167) = 0, "", AVERAGE($AO$128:$AO$167))))</f>
        <v>1.7763852148571431</v>
      </c>
      <c r="AP127">
        <f ca="1">IF(ISERROR(IF(AVERAGE($AP$128:$AP$167) = 0, "", AVERAGE($AP$128:$AP$167))), "", (IF(AVERAGE($AP$128:$AP$167) = 0, "", AVERAGE($AP$128:$AP$167))))</f>
        <v>2.119730569428572</v>
      </c>
      <c r="AQ127">
        <f ca="1">IF(ISERROR(IF(AVERAGE($AQ$128:$AQ$167) = 0, "", AVERAGE($AQ$128:$AQ$167))), "", (IF(AVERAGE($AQ$128:$AQ$167) = 0, "", AVERAGE($AQ$128:$AQ$167))))</f>
        <v>2.1187813165000002</v>
      </c>
      <c r="AR127">
        <f ca="1">IF(ISERROR(IF(AVERAGE($AR$128:$AR$167) = 0, "", AVERAGE($AR$128:$AR$167))), "", (IF(AVERAGE($AR$128:$AR$167) = 0, "", AVERAGE($AR$128:$AR$167))))</f>
        <v>1.8290346290000001</v>
      </c>
      <c r="AS127">
        <f ca="1">IF(ISERROR(IF(AVERAGE($AS$128:$AS$167) = 0, "", AVERAGE($AS$128:$AS$167))), "", (IF(AVERAGE($AS$128:$AS$167) = 0, "", AVERAGE($AS$128:$AS$167))))</f>
        <v>1.4986732911</v>
      </c>
      <c r="AT127">
        <f ca="1">IF(ISERROR(IF(AVERAGE($AT$128:$AT$167) = 0, "", AVERAGE($AT$128:$AT$167))), "", (IF(AVERAGE($AT$128:$AT$167) = 0, "", AVERAGE($AT$128:$AT$167))))</f>
        <v>1.10907944615</v>
      </c>
      <c r="AU127">
        <f ca="1">IF(ISERROR(IF(AVERAGE($AU$128:$AU$167) = 0, "", AVERAGE($AU$128:$AU$167))), "", (IF(AVERAGE($AU$128:$AU$167) = 0, "", AVERAGE($AU$128:$AU$167))))</f>
        <v>0.87306351278947358</v>
      </c>
      <c r="AV127">
        <f ca="1">IF(ISERROR(IF(AVERAGE($AV$128:$AV$167) = 0, "", AVERAGE($AV$128:$AV$167))), "", (IF(AVERAGE($AV$128:$AV$167) = 0, "", AVERAGE($AV$128:$AV$167))))</f>
        <v>1.1213001768421054</v>
      </c>
      <c r="AW127">
        <f ca="1">IF(ISERROR(IF(AVERAGE($AW$128:$AW$167) = 0, "", AVERAGE($AW$128:$AW$167))), "", (IF(AVERAGE($AW$128:$AW$167) = 0, "", AVERAGE($AW$128:$AW$167))))</f>
        <v>1.3664362572380955</v>
      </c>
      <c r="AX127">
        <f ca="1">IF(ISERROR(IF(AVERAGE($AX$128:$AX$167) = 0, "", AVERAGE($AX$128:$AX$167))), "", (IF(AVERAGE($AX$128:$AX$167) = 0, "", AVERAGE($AX$128:$AX$167))))</f>
        <v>1.7003972184285718</v>
      </c>
      <c r="AY127">
        <f ca="1">IF(ISERROR(IF(AVERAGE($AY$128:$AY$167) = 0, "", AVERAGE($AY$128:$AY$167))), "", (IF(AVERAGE($AY$128:$AY$167) = 0, "", AVERAGE($AY$128:$AY$167))))</f>
        <v>2.4261182033888891</v>
      </c>
      <c r="AZ127">
        <f ca="1">IF(ISERROR(IF(AVERAGE($AZ$128:$AZ$167) = 0, "", AVERAGE($AZ$128:$AZ$167))), "", (IF(AVERAGE($AZ$128:$AZ$167) = 0, "", AVERAGE($AZ$128:$AZ$167))))</f>
        <v>2.5856413432941179</v>
      </c>
      <c r="BA127">
        <f ca="1">IF(ISERROR(IF(AVERAGE($BA$128:$BA$167) = 0, "", AVERAGE($BA$128:$BA$167))), "", (IF(AVERAGE($BA$128:$BA$167) = 0, "", AVERAGE($BA$128:$BA$167))))</f>
        <v>2.0825109144705878</v>
      </c>
      <c r="BB127">
        <f ca="1">IF(ISERROR(IF(AVERAGE($BB$128:$BB$167) = 0, "", AVERAGE($BB$128:$BB$167))), "", (IF(AVERAGE($BB$128:$BB$167) = 0, "", AVERAGE($BB$128:$BB$167))))</f>
        <v>1.9987332524117651</v>
      </c>
      <c r="BC127">
        <f ca="1">IF(ISERROR(IF(AVERAGE($BC$128:$BC$167) = 0, "", AVERAGE($BC$128:$BC$167))), "", (IF(AVERAGE($BC$128:$BC$167) = 0, "", AVERAGE($BC$128:$BC$167))))</f>
        <v>1.7522952661111111</v>
      </c>
      <c r="BD127">
        <f ca="1">IF(ISERROR(IF(AVERAGE($BD$128:$BD$167) = 0, "", AVERAGE($BD$128:$BD$167))), "", (IF(AVERAGE($BD$128:$BD$167) = 0, "", AVERAGE($BD$128:$BD$167))))</f>
        <v>1.6001251154999998</v>
      </c>
      <c r="BE127">
        <f ca="1">IF(ISERROR(IF(AVERAGE($BE$128:$BE$167) = 0, "", AVERAGE($BE$128:$BE$167))), "", (IF(AVERAGE($BE$128:$BE$167) = 0, "", AVERAGE($BE$128:$BE$167))))</f>
        <v>1.555552475611111</v>
      </c>
      <c r="BF127">
        <f ca="1">IF(ISERROR(IF(AVERAGE($BF$128:$BF$167) = 0, "", AVERAGE($BF$128:$BF$167))), "", (IF(AVERAGE($BF$128:$BF$167) = 0, "", AVERAGE($BF$128:$BF$167))))</f>
        <v>1.5883455400555555</v>
      </c>
      <c r="BG127">
        <f ca="1">IF(ISERROR(IF(AVERAGE($BG$128:$BG$167) = 0, "", AVERAGE($BG$128:$BG$167))), "", (IF(AVERAGE($BG$128:$BG$167) = 0, "", AVERAGE($BG$128:$BG$167))))</f>
        <v>1.4083529336111111</v>
      </c>
      <c r="BH127">
        <f ca="1">IF(ISERROR(IF(AVERAGE($BH$128:$BH$167) = 0, "", AVERAGE($BH$128:$BH$167))), "", (IF(AVERAGE($BH$128:$BH$167) = 0, "", AVERAGE($BH$128:$BH$167))))</f>
        <v>1.4294641925000002</v>
      </c>
      <c r="BI127">
        <f ca="1">IF(ISERROR(IF(AVERAGE($BI$128:$BI$167) = 0, "", AVERAGE($BI$128:$BI$167))), "", (IF(AVERAGE($BI$128:$BI$167) = 0, "", AVERAGE($BI$128:$BI$167))))</f>
        <v>1.2827134758888892</v>
      </c>
      <c r="BJ127">
        <f ca="1">IF(ISERROR(IF(AVERAGE($BJ$128:$BJ$167) = 0, "", AVERAGE($BJ$128:$BJ$167))), "", (IF(AVERAGE($BJ$128:$BJ$167) = 0, "", AVERAGE($BJ$128:$BJ$167))))</f>
        <v>1.2727700320555553</v>
      </c>
      <c r="BK127">
        <f ca="1">IF(ISERROR(IF(AVERAGE($BK$128:$BK$167) = 0, "", AVERAGE($BK$128:$BK$167))), "", (IF(AVERAGE($BK$128:$BK$167) = 0, "", AVERAGE($BK$128:$BK$167))))</f>
        <v>1.3584753675000001</v>
      </c>
      <c r="BL127">
        <f ca="1">IF(ISERROR(IF(AVERAGE($BL$128:$BL$167) = 0, "", AVERAGE($BL$128:$BL$167))), "", (IF(AVERAGE($BL$128:$BL$167) = 0, "", AVERAGE($BL$128:$BL$167))))</f>
        <v>1.5986115716470588</v>
      </c>
      <c r="BM127">
        <f ca="1">IF(ISERROR(IF(AVERAGE($BM$128:$BM$167) = 0, "", AVERAGE($BM$128:$BM$167))), "", (IF(AVERAGE($BM$128:$BM$167) = 0, "", AVERAGE($BM$128:$BM$167))))</f>
        <v>2.1552511859411765</v>
      </c>
      <c r="BN127">
        <f>1.747719298</f>
        <v>1.747719298</v>
      </c>
      <c r="BO127">
        <f>1.449698204</f>
        <v>1.4496982039999999</v>
      </c>
      <c r="BP127">
        <f>1.660108113</f>
        <v>1.6601081129999999</v>
      </c>
      <c r="BQ127">
        <f>1.834011973</f>
        <v>1.834011973</v>
      </c>
      <c r="BR127">
        <f>5.44237226</f>
        <v>5.44237226</v>
      </c>
      <c r="BS127">
        <f>6.066131675</f>
        <v>6.0661316750000003</v>
      </c>
      <c r="BT127">
        <f>2.410039669</f>
        <v>2.4100396690000001</v>
      </c>
      <c r="BU127">
        <f>2.080559909</f>
        <v>2.0805599090000002</v>
      </c>
      <c r="BV127">
        <f>2.003820255</f>
        <v>2.0038202549999999</v>
      </c>
      <c r="BW127">
        <f>1.80907594</f>
        <v>1.80907594</v>
      </c>
      <c r="BX127">
        <f>2.048300314</f>
        <v>2.048300314</v>
      </c>
      <c r="BY127">
        <f>1.923606856</f>
        <v>1.9236068559999999</v>
      </c>
      <c r="BZ127">
        <f>2.675575268</f>
        <v>2.6755752679999998</v>
      </c>
      <c r="CA127">
        <f>2.575539093</f>
        <v>2.5755390930000002</v>
      </c>
      <c r="CB127">
        <f>2.494428421</f>
        <v>2.4944284209999998</v>
      </c>
      <c r="CC127">
        <f>3.804183839</f>
        <v>3.8041838389999998</v>
      </c>
      <c r="CD127">
        <f>3.069945355</f>
        <v>3.0699453550000002</v>
      </c>
      <c r="CE127">
        <f>2.889987419</f>
        <v>2.8899874190000001</v>
      </c>
      <c r="CF127">
        <f>2.752598569</f>
        <v>2.7525985689999999</v>
      </c>
      <c r="CG127">
        <f>2.789939796</f>
        <v>2.7899397960000001</v>
      </c>
      <c r="CH127">
        <f>2.673508371</f>
        <v>2.6735083710000001</v>
      </c>
      <c r="CI127">
        <f>3.162655052</f>
        <v>3.1626550519999999</v>
      </c>
      <c r="CJ127">
        <f>7.401642418</f>
        <v>7.4016424179999998</v>
      </c>
      <c r="CK127">
        <f>2.490860988</f>
        <v>2.4908609880000001</v>
      </c>
      <c r="CL127">
        <f>2.550650081</f>
        <v>2.5506500810000001</v>
      </c>
      <c r="CM127">
        <f>2.621821572</f>
        <v>2.621821572</v>
      </c>
      <c r="CN127">
        <f>3.03600477</f>
        <v>3.0360047699999999</v>
      </c>
      <c r="CO127">
        <f>3.29601638</f>
        <v>3.2960163800000002</v>
      </c>
      <c r="CP127">
        <f>2.469715217</f>
        <v>2.4697152170000001</v>
      </c>
      <c r="CQ127">
        <f>1.828640561</f>
        <v>1.8286405610000001</v>
      </c>
      <c r="CR127">
        <f>1.802667023</f>
        <v>1.8026670229999999</v>
      </c>
      <c r="CS127">
        <f>2.294046805</f>
        <v>2.2940468049999998</v>
      </c>
      <c r="CT127">
        <f>3.113614111</f>
        <v>3.113614111</v>
      </c>
      <c r="CU127">
        <f>2.31987355</f>
        <v>2.3198735500000001</v>
      </c>
      <c r="CV127">
        <f>2.316241051</f>
        <v>2.316241051</v>
      </c>
      <c r="CW127">
        <f>1.776385215</f>
        <v>1.7763852149999999</v>
      </c>
      <c r="CX127">
        <f>2.119730569</f>
        <v>2.1197305690000001</v>
      </c>
      <c r="CY127">
        <f>2.118781316</f>
        <v>2.1187813160000002</v>
      </c>
      <c r="CZ127">
        <f>1.829034629</f>
        <v>1.8290346289999999</v>
      </c>
      <c r="DA127">
        <f>1.498673291</f>
        <v>1.498673291</v>
      </c>
      <c r="DB127">
        <f>1.109079446</f>
        <v>1.109079446</v>
      </c>
      <c r="DC127">
        <f>0.873063513</f>
        <v>0.87306351299999996</v>
      </c>
      <c r="DD127">
        <f>1.121300177</f>
        <v>1.121300177</v>
      </c>
      <c r="DE127">
        <f>1.366436257</f>
        <v>1.3664362569999999</v>
      </c>
      <c r="DF127">
        <f>1.700397218</f>
        <v>1.700397218</v>
      </c>
      <c r="DG127">
        <f>2.426118203</f>
        <v>2.4261182030000001</v>
      </c>
      <c r="DH127">
        <f>2.585641343</f>
        <v>2.5856413429999998</v>
      </c>
      <c r="DI127">
        <f>2.082510914</f>
        <v>2.0825109140000002</v>
      </c>
      <c r="DJ127">
        <f>1.998733252</f>
        <v>1.9987332520000001</v>
      </c>
      <c r="DK127">
        <f>1.752295266</f>
        <v>1.752295266</v>
      </c>
      <c r="DL127">
        <f>1.600125115</f>
        <v>1.600125115</v>
      </c>
      <c r="DM127">
        <f>1.555552476</f>
        <v>1.5555524759999999</v>
      </c>
      <c r="DN127">
        <f>1.58834554</f>
        <v>1.5883455399999999</v>
      </c>
      <c r="DO127">
        <f>1.408352934</f>
        <v>1.4083529340000001</v>
      </c>
      <c r="DP127">
        <f>1.429464193</f>
        <v>1.429464193</v>
      </c>
      <c r="DQ127">
        <f>1.282713476</f>
        <v>1.2827134760000001</v>
      </c>
      <c r="DR127">
        <f>1.272770032</f>
        <v>1.2727700319999999</v>
      </c>
      <c r="DS127">
        <f>1.358475367</f>
        <v>1.358475367</v>
      </c>
      <c r="DT127">
        <f>1.598611572</f>
        <v>1.598611572</v>
      </c>
      <c r="DU127">
        <f>2.155251186</f>
        <v>2.1552511860000001</v>
      </c>
    </row>
    <row r="128" spans="1:125" x14ac:dyDescent="0.25">
      <c r="A128" t="str">
        <f>"    AUDI AG"</f>
        <v xml:space="preserve">    AUDI AG</v>
      </c>
      <c r="B128" t="str">
        <f>"NSU GR Equity"</f>
        <v>NSU GR Equity</v>
      </c>
      <c r="C128" t="str">
        <f t="shared" ref="C128:C167" si="9">"RR903"</f>
        <v>RR903</v>
      </c>
      <c r="D128" t="str">
        <f t="shared" ref="D128:D167" si="10">"PX_TO_BOOK_RATIO"</f>
        <v>PX_TO_BOOK_RATIO</v>
      </c>
      <c r="E128" t="str">
        <f t="shared" ref="E128:E167" si="11">"Dynamic"</f>
        <v>Dynamic</v>
      </c>
      <c r="F128" t="str">
        <f ca="1">IF(AND(ISNUMBER($F$799),$B$677=1),$F$799,HLOOKUP(INDIRECT(ADDRESS(2,COLUMN())),OFFSET($BN$2,0,0,ROW()-1,60),ROW()-1,FALSE))</f>
        <v/>
      </c>
      <c r="G128" t="str">
        <f ca="1">IF(AND(ISNUMBER($G$799),$B$677=1),$G$799,HLOOKUP(INDIRECT(ADDRESS(2,COLUMN())),OFFSET($BN$2,0,0,ROW()-1,60),ROW()-1,FALSE))</f>
        <v/>
      </c>
      <c r="H128" t="str">
        <f ca="1">IF(AND(ISNUMBER($H$799),$B$677=1),$H$799,HLOOKUP(INDIRECT(ADDRESS(2,COLUMN())),OFFSET($BN$2,0,0,ROW()-1,60),ROW()-1,FALSE))</f>
        <v/>
      </c>
      <c r="I128" t="str">
        <f ca="1">IF(AND(ISNUMBER($I$799),$B$677=1),$I$799,HLOOKUP(INDIRECT(ADDRESS(2,COLUMN())),OFFSET($BN$2,0,0,ROW()-1,60),ROW()-1,FALSE))</f>
        <v/>
      </c>
      <c r="J128" t="str">
        <f ca="1">IF(AND(ISNUMBER($J$799),$B$677=1),$J$799,HLOOKUP(INDIRECT(ADDRESS(2,COLUMN())),OFFSET($BN$2,0,0,ROW()-1,60),ROW()-1,FALSE))</f>
        <v/>
      </c>
      <c r="K128" t="str">
        <f ca="1">IF(AND(ISNUMBER($K$799),$B$677=1),$K$799,HLOOKUP(INDIRECT(ADDRESS(2,COLUMN())),OFFSET($BN$2,0,0,ROW()-1,60),ROW()-1,FALSE))</f>
        <v/>
      </c>
      <c r="L128" t="str">
        <f ca="1">IF(AND(ISNUMBER($L$799),$B$677=1),$L$799,HLOOKUP(INDIRECT(ADDRESS(2,COLUMN())),OFFSET($BN$2,0,0,ROW()-1,60),ROW()-1,FALSE))</f>
        <v/>
      </c>
      <c r="M128" t="str">
        <f ca="1">IF(AND(ISNUMBER($M$799),$B$677=1),$M$799,HLOOKUP(INDIRECT(ADDRESS(2,COLUMN())),OFFSET($BN$2,0,0,ROW()-1,60),ROW()-1,FALSE))</f>
        <v/>
      </c>
      <c r="N128" t="str">
        <f ca="1">IF(AND(ISNUMBER($N$799),$B$677=1),$N$799,HLOOKUP(INDIRECT(ADDRESS(2,COLUMN())),OFFSET($BN$2,0,0,ROW()-1,60),ROW()-1,FALSE))</f>
        <v/>
      </c>
      <c r="O128" t="str">
        <f ca="1">IF(AND(ISNUMBER($O$799),$B$677=1),$O$799,HLOOKUP(INDIRECT(ADDRESS(2,COLUMN())),OFFSET($BN$2,0,0,ROW()-1,60),ROW()-1,FALSE))</f>
        <v/>
      </c>
      <c r="P128" t="str">
        <f ca="1">IF(AND(ISNUMBER($P$799),$B$677=1),$P$799,HLOOKUP(INDIRECT(ADDRESS(2,COLUMN())),OFFSET($BN$2,0,0,ROW()-1,60),ROW()-1,FALSE))</f>
        <v/>
      </c>
      <c r="Q128" t="str">
        <f ca="1">IF(AND(ISNUMBER($Q$799),$B$677=1),$Q$799,HLOOKUP(INDIRECT(ADDRESS(2,COLUMN())),OFFSET($BN$2,0,0,ROW()-1,60),ROW()-1,FALSE))</f>
        <v/>
      </c>
      <c r="R128" t="str">
        <f ca="1">IF(AND(ISNUMBER($R$799),$B$677=1),$R$799,HLOOKUP(INDIRECT(ADDRESS(2,COLUMN())),OFFSET($BN$2,0,0,ROW()-1,60),ROW()-1,FALSE))</f>
        <v/>
      </c>
      <c r="S128" t="str">
        <f ca="1">IF(AND(ISNUMBER($S$799),$B$677=1),$S$799,HLOOKUP(INDIRECT(ADDRESS(2,COLUMN())),OFFSET($BN$2,0,0,ROW()-1,60),ROW()-1,FALSE))</f>
        <v/>
      </c>
      <c r="T128" t="str">
        <f ca="1">IF(AND(ISNUMBER($T$799),$B$677=1),$T$799,HLOOKUP(INDIRECT(ADDRESS(2,COLUMN())),OFFSET($BN$2,0,0,ROW()-1,60),ROW()-1,FALSE))</f>
        <v/>
      </c>
      <c r="U128" t="str">
        <f ca="1">IF(AND(ISNUMBER($U$799),$B$677=1),$U$799,HLOOKUP(INDIRECT(ADDRESS(2,COLUMN())),OFFSET($BN$2,0,0,ROW()-1,60),ROW()-1,FALSE))</f>
        <v/>
      </c>
      <c r="V128" t="str">
        <f ca="1">IF(AND(ISNUMBER($V$799),$B$677=1),$V$799,HLOOKUP(INDIRECT(ADDRESS(2,COLUMN())),OFFSET($BN$2,0,0,ROW()-1,60),ROW()-1,FALSE))</f>
        <v/>
      </c>
      <c r="W128" t="str">
        <f ca="1">IF(AND(ISNUMBER($W$799),$B$677=1),$W$799,HLOOKUP(INDIRECT(ADDRESS(2,COLUMN())),OFFSET($BN$2,0,0,ROW()-1,60),ROW()-1,FALSE))</f>
        <v/>
      </c>
      <c r="X128" t="str">
        <f ca="1">IF(AND(ISNUMBER($X$799),$B$677=1),$X$799,HLOOKUP(INDIRECT(ADDRESS(2,COLUMN())),OFFSET($BN$2,0,0,ROW()-1,60),ROW()-1,FALSE))</f>
        <v/>
      </c>
      <c r="Y128" t="str">
        <f ca="1">IF(AND(ISNUMBER($Y$799),$B$677=1),$Y$799,HLOOKUP(INDIRECT(ADDRESS(2,COLUMN())),OFFSET($BN$2,0,0,ROW()-1,60),ROW()-1,FALSE))</f>
        <v/>
      </c>
      <c r="Z128" t="str">
        <f ca="1">IF(AND(ISNUMBER($Z$799),$B$677=1),$Z$799,HLOOKUP(INDIRECT(ADDRESS(2,COLUMN())),OFFSET($BN$2,0,0,ROW()-1,60),ROW()-1,FALSE))</f>
        <v/>
      </c>
      <c r="AA128" t="str">
        <f ca="1">IF(AND(ISNUMBER($AA$799),$B$677=1),$AA$799,HLOOKUP(INDIRECT(ADDRESS(2,COLUMN())),OFFSET($BN$2,0,0,ROW()-1,60),ROW()-1,FALSE))</f>
        <v/>
      </c>
      <c r="AB128" t="str">
        <f ca="1">IF(AND(ISNUMBER($AB$799),$B$677=1),$AB$799,HLOOKUP(INDIRECT(ADDRESS(2,COLUMN())),OFFSET($BN$2,0,0,ROW()-1,60),ROW()-1,FALSE))</f>
        <v/>
      </c>
      <c r="AC128" t="str">
        <f ca="1">IF(AND(ISNUMBER($AC$799),$B$677=1),$AC$799,HLOOKUP(INDIRECT(ADDRESS(2,COLUMN())),OFFSET($BN$2,0,0,ROW()-1,60),ROW()-1,FALSE))</f>
        <v/>
      </c>
      <c r="AD128" t="str">
        <f ca="1">IF(AND(ISNUMBER($AD$799),$B$677=1),$AD$799,HLOOKUP(INDIRECT(ADDRESS(2,COLUMN())),OFFSET($BN$2,0,0,ROW()-1,60),ROW()-1,FALSE))</f>
        <v/>
      </c>
      <c r="AE128" t="str">
        <f ca="1">IF(AND(ISNUMBER($AE$799),$B$677=1),$AE$799,HLOOKUP(INDIRECT(ADDRESS(2,COLUMN())),OFFSET($BN$2,0,0,ROW()-1,60),ROW()-1,FALSE))</f>
        <v/>
      </c>
      <c r="AF128" t="str">
        <f ca="1">IF(AND(ISNUMBER($AF$799),$B$677=1),$AF$799,HLOOKUP(INDIRECT(ADDRESS(2,COLUMN())),OFFSET($BN$2,0,0,ROW()-1,60),ROW()-1,FALSE))</f>
        <v/>
      </c>
      <c r="AG128" t="str">
        <f ca="1">IF(AND(ISNUMBER($AG$799),$B$677=1),$AG$799,HLOOKUP(INDIRECT(ADDRESS(2,COLUMN())),OFFSET($BN$2,0,0,ROW()-1,60),ROW()-1,FALSE))</f>
        <v/>
      </c>
      <c r="AH128" t="str">
        <f ca="1">IF(AND(ISNUMBER($AH$799),$B$677=1),$AH$799,HLOOKUP(INDIRECT(ADDRESS(2,COLUMN())),OFFSET($BN$2,0,0,ROW()-1,60),ROW()-1,FALSE))</f>
        <v/>
      </c>
      <c r="AI128" t="str">
        <f ca="1">IF(AND(ISNUMBER($AI$799),$B$677=1),$AI$799,HLOOKUP(INDIRECT(ADDRESS(2,COLUMN())),OFFSET($BN$2,0,0,ROW()-1,60),ROW()-1,FALSE))</f>
        <v/>
      </c>
      <c r="AJ128" t="str">
        <f ca="1">IF(AND(ISNUMBER($AJ$799),$B$677=1),$AJ$799,HLOOKUP(INDIRECT(ADDRESS(2,COLUMN())),OFFSET($BN$2,0,0,ROW()-1,60),ROW()-1,FALSE))</f>
        <v/>
      </c>
      <c r="AK128" t="str">
        <f ca="1">IF(AND(ISNUMBER($AK$799),$B$677=1),$AK$799,HLOOKUP(INDIRECT(ADDRESS(2,COLUMN())),OFFSET($BN$2,0,0,ROW()-1,60),ROW()-1,FALSE))</f>
        <v/>
      </c>
      <c r="AL128" t="str">
        <f ca="1">IF(AND(ISNUMBER($AL$799),$B$677=1),$AL$799,HLOOKUP(INDIRECT(ADDRESS(2,COLUMN())),OFFSET($BN$2,0,0,ROW()-1,60),ROW()-1,FALSE))</f>
        <v/>
      </c>
      <c r="AM128" t="str">
        <f ca="1">IF(AND(ISNUMBER($AM$799),$B$677=1),$AM$799,HLOOKUP(INDIRECT(ADDRESS(2,COLUMN())),OFFSET($BN$2,0,0,ROW()-1,60),ROW()-1,FALSE))</f>
        <v/>
      </c>
      <c r="AN128" t="str">
        <f ca="1">IF(AND(ISNUMBER($AN$799),$B$677=1),$AN$799,HLOOKUP(INDIRECT(ADDRESS(2,COLUMN())),OFFSET($BN$2,0,0,ROW()-1,60),ROW()-1,FALSE))</f>
        <v/>
      </c>
      <c r="AO128" t="str">
        <f ca="1">IF(AND(ISNUMBER($AO$799),$B$677=1),$AO$799,HLOOKUP(INDIRECT(ADDRESS(2,COLUMN())),OFFSET($BN$2,0,0,ROW()-1,60),ROW()-1,FALSE))</f>
        <v/>
      </c>
      <c r="AP128" t="str">
        <f ca="1">IF(AND(ISNUMBER($AP$799),$B$677=1),$AP$799,HLOOKUP(INDIRECT(ADDRESS(2,COLUMN())),OFFSET($BN$2,0,0,ROW()-1,60),ROW()-1,FALSE))</f>
        <v/>
      </c>
      <c r="AQ128" t="str">
        <f ca="1">IF(AND(ISNUMBER($AQ$799),$B$677=1),$AQ$799,HLOOKUP(INDIRECT(ADDRESS(2,COLUMN())),OFFSET($BN$2,0,0,ROW()-1,60),ROW()-1,FALSE))</f>
        <v/>
      </c>
      <c r="AR128" t="str">
        <f ca="1">IF(AND(ISNUMBER($AR$799),$B$677=1),$AR$799,HLOOKUP(INDIRECT(ADDRESS(2,COLUMN())),OFFSET($BN$2,0,0,ROW()-1,60),ROW()-1,FALSE))</f>
        <v/>
      </c>
      <c r="AS128" t="str">
        <f ca="1">IF(AND(ISNUMBER($AS$799),$B$677=1),$AS$799,HLOOKUP(INDIRECT(ADDRESS(2,COLUMN())),OFFSET($BN$2,0,0,ROW()-1,60),ROW()-1,FALSE))</f>
        <v/>
      </c>
      <c r="AT128" t="str">
        <f ca="1">IF(AND(ISNUMBER($AT$799),$B$677=1),$AT$799,HLOOKUP(INDIRECT(ADDRESS(2,COLUMN())),OFFSET($BN$2,0,0,ROW()-1,60),ROW()-1,FALSE))</f>
        <v/>
      </c>
      <c r="AU128" t="str">
        <f ca="1">IF(AND(ISNUMBER($AU$799),$B$677=1),$AU$799,HLOOKUP(INDIRECT(ADDRESS(2,COLUMN())),OFFSET($BN$2,0,0,ROW()-1,60),ROW()-1,FALSE))</f>
        <v/>
      </c>
      <c r="AV128" t="str">
        <f ca="1">IF(AND(ISNUMBER($AV$799),$B$677=1),$AV$799,HLOOKUP(INDIRECT(ADDRESS(2,COLUMN())),OFFSET($BN$2,0,0,ROW()-1,60),ROW()-1,FALSE))</f>
        <v/>
      </c>
      <c r="AW128" t="str">
        <f ca="1">IF(AND(ISNUMBER($AW$799),$B$677=1),$AW$799,HLOOKUP(INDIRECT(ADDRESS(2,COLUMN())),OFFSET($BN$2,0,0,ROW()-1,60),ROW()-1,FALSE))</f>
        <v/>
      </c>
      <c r="AX128" t="str">
        <f ca="1">IF(AND(ISNUMBER($AX$799),$B$677=1),$AX$799,HLOOKUP(INDIRECT(ADDRESS(2,COLUMN())),OFFSET($BN$2,0,0,ROW()-1,60),ROW()-1,FALSE))</f>
        <v/>
      </c>
      <c r="AY128" t="str">
        <f ca="1">IF(AND(ISNUMBER($AY$799),$B$677=1),$AY$799,HLOOKUP(INDIRECT(ADDRESS(2,COLUMN())),OFFSET($BN$2,0,0,ROW()-1,60),ROW()-1,FALSE))</f>
        <v/>
      </c>
      <c r="AZ128" t="str">
        <f ca="1">IF(AND(ISNUMBER($AZ$799),$B$677=1),$AZ$799,HLOOKUP(INDIRECT(ADDRESS(2,COLUMN())),OFFSET($BN$2,0,0,ROW()-1,60),ROW()-1,FALSE))</f>
        <v/>
      </c>
      <c r="BA128" t="str">
        <f ca="1">IF(AND(ISNUMBER($BA$799),$B$677=1),$BA$799,HLOOKUP(INDIRECT(ADDRESS(2,COLUMN())),OFFSET($BN$2,0,0,ROW()-1,60),ROW()-1,FALSE))</f>
        <v/>
      </c>
      <c r="BB128" t="str">
        <f ca="1">IF(AND(ISNUMBER($BB$799),$B$677=1),$BB$799,HLOOKUP(INDIRECT(ADDRESS(2,COLUMN())),OFFSET($BN$2,0,0,ROW()-1,60),ROW()-1,FALSE))</f>
        <v/>
      </c>
      <c r="BC128" t="str">
        <f ca="1">IF(AND(ISNUMBER($BC$799),$B$677=1),$BC$799,HLOOKUP(INDIRECT(ADDRESS(2,COLUMN())),OFFSET($BN$2,0,0,ROW()-1,60),ROW()-1,FALSE))</f>
        <v/>
      </c>
      <c r="BD128" t="str">
        <f ca="1">IF(AND(ISNUMBER($BD$799),$B$677=1),$BD$799,HLOOKUP(INDIRECT(ADDRESS(2,COLUMN())),OFFSET($BN$2,0,0,ROW()-1,60),ROW()-1,FALSE))</f>
        <v/>
      </c>
      <c r="BE128" t="str">
        <f ca="1">IF(AND(ISNUMBER($BE$799),$B$677=1),$BE$799,HLOOKUP(INDIRECT(ADDRESS(2,COLUMN())),OFFSET($BN$2,0,0,ROW()-1,60),ROW()-1,FALSE))</f>
        <v/>
      </c>
      <c r="BF128" t="str">
        <f ca="1">IF(AND(ISNUMBER($BF$799),$B$677=1),$BF$799,HLOOKUP(INDIRECT(ADDRESS(2,COLUMN())),OFFSET($BN$2,0,0,ROW()-1,60),ROW()-1,FALSE))</f>
        <v/>
      </c>
      <c r="BG128" t="str">
        <f ca="1">IF(AND(ISNUMBER($BG$799),$B$677=1),$BG$799,HLOOKUP(INDIRECT(ADDRESS(2,COLUMN())),OFFSET($BN$2,0,0,ROW()-1,60),ROW()-1,FALSE))</f>
        <v/>
      </c>
      <c r="BH128" t="str">
        <f ca="1">IF(AND(ISNUMBER($BH$799),$B$677=1),$BH$799,HLOOKUP(INDIRECT(ADDRESS(2,COLUMN())),OFFSET($BN$2,0,0,ROW()-1,60),ROW()-1,FALSE))</f>
        <v/>
      </c>
      <c r="BI128" t="str">
        <f ca="1">IF(AND(ISNUMBER($BI$799),$B$677=1),$BI$799,HLOOKUP(INDIRECT(ADDRESS(2,COLUMN())),OFFSET($BN$2,0,0,ROW()-1,60),ROW()-1,FALSE))</f>
        <v/>
      </c>
      <c r="BJ128" t="str">
        <f ca="1">IF(AND(ISNUMBER($BJ$799),$B$677=1),$BJ$799,HLOOKUP(INDIRECT(ADDRESS(2,COLUMN())),OFFSET($BN$2,0,0,ROW()-1,60),ROW()-1,FALSE))</f>
        <v/>
      </c>
      <c r="BK128" t="str">
        <f ca="1">IF(AND(ISNUMBER($BK$799),$B$677=1),$BK$799,HLOOKUP(INDIRECT(ADDRESS(2,COLUMN())),OFFSET($BN$2,0,0,ROW()-1,60),ROW()-1,FALSE))</f>
        <v/>
      </c>
      <c r="BL128" t="str">
        <f ca="1">IF(AND(ISNUMBER($BL$799),$B$677=1),$BL$799,HLOOKUP(INDIRECT(ADDRESS(2,COLUMN())),OFFSET($BN$2,0,0,ROW()-1,60),ROW()-1,FALSE))</f>
        <v/>
      </c>
      <c r="BM128" t="str">
        <f ca="1">IF(AND(ISNUMBER($BM$799),$B$677=1),$BM$799,HLOOKUP(INDIRECT(ADDRESS(2,COLUMN())),OFFSET($BN$2,0,0,ROW()-1,60),ROW()-1,FALSE))</f>
        <v/>
      </c>
      <c r="BN128" t="str">
        <f>""</f>
        <v/>
      </c>
      <c r="BO128" t="str">
        <f>""</f>
        <v/>
      </c>
      <c r="BP128" t="str">
        <f>""</f>
        <v/>
      </c>
      <c r="BQ128" t="str">
        <f>""</f>
        <v/>
      </c>
      <c r="BR128" t="str">
        <f>""</f>
        <v/>
      </c>
      <c r="BS128" t="str">
        <f>""</f>
        <v/>
      </c>
      <c r="BT128" t="str">
        <f>""</f>
        <v/>
      </c>
      <c r="BU128" t="str">
        <f>""</f>
        <v/>
      </c>
      <c r="BV128" t="str">
        <f>""</f>
        <v/>
      </c>
      <c r="BW128" t="str">
        <f>""</f>
        <v/>
      </c>
      <c r="BX128" t="str">
        <f>""</f>
        <v/>
      </c>
      <c r="BY128" t="str">
        <f>""</f>
        <v/>
      </c>
      <c r="BZ128" t="str">
        <f>""</f>
        <v/>
      </c>
      <c r="CA128" t="str">
        <f>""</f>
        <v/>
      </c>
      <c r="CB128" t="str">
        <f>""</f>
        <v/>
      </c>
      <c r="CC128" t="str">
        <f>""</f>
        <v/>
      </c>
      <c r="CD128" t="str">
        <f>""</f>
        <v/>
      </c>
      <c r="CE128" t="str">
        <f>""</f>
        <v/>
      </c>
      <c r="CF128" t="str">
        <f>""</f>
        <v/>
      </c>
      <c r="CG128" t="str">
        <f>""</f>
        <v/>
      </c>
      <c r="CH128" t="str">
        <f>""</f>
        <v/>
      </c>
      <c r="CI128" t="str">
        <f>""</f>
        <v/>
      </c>
      <c r="CJ128" t="str">
        <f>""</f>
        <v/>
      </c>
      <c r="CK128" t="str">
        <f>""</f>
        <v/>
      </c>
      <c r="CL128" t="str">
        <f>""</f>
        <v/>
      </c>
      <c r="CM128" t="str">
        <f>""</f>
        <v/>
      </c>
      <c r="CN128" t="str">
        <f>""</f>
        <v/>
      </c>
      <c r="CO128" t="str">
        <f>""</f>
        <v/>
      </c>
      <c r="CP128" t="str">
        <f>""</f>
        <v/>
      </c>
      <c r="CQ128" t="str">
        <f>""</f>
        <v/>
      </c>
      <c r="CR128" t="str">
        <f>""</f>
        <v/>
      </c>
      <c r="CS128" t="str">
        <f>""</f>
        <v/>
      </c>
      <c r="CT128" t="str">
        <f>""</f>
        <v/>
      </c>
      <c r="CU128" t="str">
        <f>""</f>
        <v/>
      </c>
      <c r="CV128" t="str">
        <f>""</f>
        <v/>
      </c>
      <c r="CW128" t="str">
        <f>""</f>
        <v/>
      </c>
      <c r="CX128" t="str">
        <f>""</f>
        <v/>
      </c>
      <c r="CY128" t="str">
        <f>""</f>
        <v/>
      </c>
      <c r="CZ128" t="str">
        <f>""</f>
        <v/>
      </c>
      <c r="DA128" t="str">
        <f>""</f>
        <v/>
      </c>
      <c r="DB128" t="str">
        <f>""</f>
        <v/>
      </c>
      <c r="DC128" t="str">
        <f>""</f>
        <v/>
      </c>
      <c r="DD128" t="str">
        <f>""</f>
        <v/>
      </c>
      <c r="DE128" t="str">
        <f>""</f>
        <v/>
      </c>
      <c r="DF128" t="str">
        <f>""</f>
        <v/>
      </c>
      <c r="DG128" t="str">
        <f>""</f>
        <v/>
      </c>
      <c r="DH128" t="str">
        <f>""</f>
        <v/>
      </c>
      <c r="DI128" t="str">
        <f>""</f>
        <v/>
      </c>
      <c r="DJ128" t="str">
        <f>""</f>
        <v/>
      </c>
      <c r="DK128" t="str">
        <f>""</f>
        <v/>
      </c>
      <c r="DL128" t="str">
        <f>""</f>
        <v/>
      </c>
      <c r="DM128" t="str">
        <f>""</f>
        <v/>
      </c>
      <c r="DN128" t="str">
        <f>""</f>
        <v/>
      </c>
      <c r="DO128" t="str">
        <f>""</f>
        <v/>
      </c>
      <c r="DP128" t="str">
        <f>""</f>
        <v/>
      </c>
      <c r="DQ128" t="str">
        <f>""</f>
        <v/>
      </c>
      <c r="DR128" t="str">
        <f>""</f>
        <v/>
      </c>
      <c r="DS128" t="str">
        <f>""</f>
        <v/>
      </c>
      <c r="DT128" t="str">
        <f>""</f>
        <v/>
      </c>
      <c r="DU128" t="str">
        <f>""</f>
        <v/>
      </c>
    </row>
    <row r="129" spans="1:125" x14ac:dyDescent="0.25">
      <c r="A129" t="str">
        <f>"    Avtovaz PJSC"</f>
        <v xml:space="preserve">    Avtovaz PJSC</v>
      </c>
      <c r="B129" t="str">
        <f>"AVAZ RM Equity"</f>
        <v>AVAZ RM Equity</v>
      </c>
      <c r="C129" t="str">
        <f t="shared" si="9"/>
        <v>RR903</v>
      </c>
      <c r="D129" t="str">
        <f t="shared" si="10"/>
        <v>PX_TO_BOOK_RATIO</v>
      </c>
      <c r="E129" t="str">
        <f t="shared" si="11"/>
        <v>Dynamic</v>
      </c>
      <c r="F129" t="str">
        <f ca="1">IF(AND(ISNUMBER($F$800),$B$677=1),$F$800,HLOOKUP(INDIRECT(ADDRESS(2,COLUMN())),OFFSET($BN$2,0,0,ROW()-1,60),ROW()-1,FALSE))</f>
        <v/>
      </c>
      <c r="G129" t="str">
        <f ca="1">IF(AND(ISNUMBER($G$800),$B$677=1),$G$800,HLOOKUP(INDIRECT(ADDRESS(2,COLUMN())),OFFSET($BN$2,0,0,ROW()-1,60),ROW()-1,FALSE))</f>
        <v/>
      </c>
      <c r="H129" t="str">
        <f ca="1">IF(AND(ISNUMBER($H$800),$B$677=1),$H$800,HLOOKUP(INDIRECT(ADDRESS(2,COLUMN())),OFFSET($BN$2,0,0,ROW()-1,60),ROW()-1,FALSE))</f>
        <v/>
      </c>
      <c r="I129" t="str">
        <f ca="1">IF(AND(ISNUMBER($I$800),$B$677=1),$I$800,HLOOKUP(INDIRECT(ADDRESS(2,COLUMN())),OFFSET($BN$2,0,0,ROW()-1,60),ROW()-1,FALSE))</f>
        <v/>
      </c>
      <c r="J129" t="str">
        <f ca="1">IF(AND(ISNUMBER($J$800),$B$677=1),$J$800,HLOOKUP(INDIRECT(ADDRESS(2,COLUMN())),OFFSET($BN$2,0,0,ROW()-1,60),ROW()-1,FALSE))</f>
        <v/>
      </c>
      <c r="K129" t="str">
        <f ca="1">IF(AND(ISNUMBER($K$800),$B$677=1),$K$800,HLOOKUP(INDIRECT(ADDRESS(2,COLUMN())),OFFSET($BN$2,0,0,ROW()-1,60),ROW()-1,FALSE))</f>
        <v/>
      </c>
      <c r="L129" t="str">
        <f ca="1">IF(AND(ISNUMBER($L$800),$B$677=1),$L$800,HLOOKUP(INDIRECT(ADDRESS(2,COLUMN())),OFFSET($BN$2,0,0,ROW()-1,60),ROW()-1,FALSE))</f>
        <v/>
      </c>
      <c r="M129" t="str">
        <f ca="1">IF(AND(ISNUMBER($M$800),$B$677=1),$M$800,HLOOKUP(INDIRECT(ADDRESS(2,COLUMN())),OFFSET($BN$2,0,0,ROW()-1,60),ROW()-1,FALSE))</f>
        <v/>
      </c>
      <c r="N129" t="str">
        <f ca="1">IF(AND(ISNUMBER($N$800),$B$677=1),$N$800,HLOOKUP(INDIRECT(ADDRESS(2,COLUMN())),OFFSET($BN$2,0,0,ROW()-1,60),ROW()-1,FALSE))</f>
        <v/>
      </c>
      <c r="O129" t="str">
        <f ca="1">IF(AND(ISNUMBER($O$800),$B$677=1),$O$800,HLOOKUP(INDIRECT(ADDRESS(2,COLUMN())),OFFSET($BN$2,0,0,ROW()-1,60),ROW()-1,FALSE))</f>
        <v/>
      </c>
      <c r="P129" t="str">
        <f ca="1">IF(AND(ISNUMBER($P$800),$B$677=1),$P$800,HLOOKUP(INDIRECT(ADDRESS(2,COLUMN())),OFFSET($BN$2,0,0,ROW()-1,60),ROW()-1,FALSE))</f>
        <v/>
      </c>
      <c r="Q129" t="str">
        <f ca="1">IF(AND(ISNUMBER($Q$800),$B$677=1),$Q$800,HLOOKUP(INDIRECT(ADDRESS(2,COLUMN())),OFFSET($BN$2,0,0,ROW()-1,60),ROW()-1,FALSE))</f>
        <v/>
      </c>
      <c r="R129" t="str">
        <f ca="1">IF(AND(ISNUMBER($R$800),$B$677=1),$R$800,HLOOKUP(INDIRECT(ADDRESS(2,COLUMN())),OFFSET($BN$2,0,0,ROW()-1,60),ROW()-1,FALSE))</f>
        <v/>
      </c>
      <c r="S129">
        <f ca="1">IF(AND(ISNUMBER($S$800),$B$677=1),$S$800,HLOOKUP(INDIRECT(ADDRESS(2,COLUMN())),OFFSET($BN$2,0,0,ROW()-1,60),ROW()-1,FALSE))</f>
        <v>0.92380669000000004</v>
      </c>
      <c r="T129">
        <f ca="1">IF(AND(ISNUMBER($T$800),$B$677=1),$T$800,HLOOKUP(INDIRECT(ADDRESS(2,COLUMN())),OFFSET($BN$2,0,0,ROW()-1,60),ROW()-1,FALSE))</f>
        <v>0.96001521499999998</v>
      </c>
      <c r="U129" t="str">
        <f ca="1">IF(AND(ISNUMBER($U$800),$B$677=1),$U$800,HLOOKUP(INDIRECT(ADDRESS(2,COLUMN())),OFFSET($BN$2,0,0,ROW()-1,60),ROW()-1,FALSE))</f>
        <v/>
      </c>
      <c r="V129" t="str">
        <f ca="1">IF(AND(ISNUMBER($V$800),$B$677=1),$V$800,HLOOKUP(INDIRECT(ADDRESS(2,COLUMN())),OFFSET($BN$2,0,0,ROW()-1,60),ROW()-1,FALSE))</f>
        <v/>
      </c>
      <c r="W129" t="str">
        <f ca="1">IF(AND(ISNUMBER($W$800),$B$677=1),$W$800,HLOOKUP(INDIRECT(ADDRESS(2,COLUMN())),OFFSET($BN$2,0,0,ROW()-1,60),ROW()-1,FALSE))</f>
        <v/>
      </c>
      <c r="X129" t="str">
        <f ca="1">IF(AND(ISNUMBER($X$800),$B$677=1),$X$800,HLOOKUP(INDIRECT(ADDRESS(2,COLUMN())),OFFSET($BN$2,0,0,ROW()-1,60),ROW()-1,FALSE))</f>
        <v/>
      </c>
      <c r="Y129" t="str">
        <f ca="1">IF(AND(ISNUMBER($Y$800),$B$677=1),$Y$800,HLOOKUP(INDIRECT(ADDRESS(2,COLUMN())),OFFSET($BN$2,0,0,ROW()-1,60),ROW()-1,FALSE))</f>
        <v/>
      </c>
      <c r="Z129" t="str">
        <f ca="1">IF(AND(ISNUMBER($Z$800),$B$677=1),$Z$800,HLOOKUP(INDIRECT(ADDRESS(2,COLUMN())),OFFSET($BN$2,0,0,ROW()-1,60),ROW()-1,FALSE))</f>
        <v/>
      </c>
      <c r="AA129" t="str">
        <f ca="1">IF(AND(ISNUMBER($AA$800),$B$677=1),$AA$800,HLOOKUP(INDIRECT(ADDRESS(2,COLUMN())),OFFSET($BN$2,0,0,ROW()-1,60),ROW()-1,FALSE))</f>
        <v/>
      </c>
      <c r="AB129" t="str">
        <f ca="1">IF(AND(ISNUMBER($AB$800),$B$677=1),$AB$800,HLOOKUP(INDIRECT(ADDRESS(2,COLUMN())),OFFSET($BN$2,0,0,ROW()-1,60),ROW()-1,FALSE))</f>
        <v/>
      </c>
      <c r="AC129" t="str">
        <f ca="1">IF(AND(ISNUMBER($AC$800),$B$677=1),$AC$800,HLOOKUP(INDIRECT(ADDRESS(2,COLUMN())),OFFSET($BN$2,0,0,ROW()-1,60),ROW()-1,FALSE))</f>
        <v/>
      </c>
      <c r="AD129" t="str">
        <f ca="1">IF(AND(ISNUMBER($AD$800),$B$677=1),$AD$800,HLOOKUP(INDIRECT(ADDRESS(2,COLUMN())),OFFSET($BN$2,0,0,ROW()-1,60),ROW()-1,FALSE))</f>
        <v/>
      </c>
      <c r="AE129" t="str">
        <f ca="1">IF(AND(ISNUMBER($AE$800),$B$677=1),$AE$800,HLOOKUP(INDIRECT(ADDRESS(2,COLUMN())),OFFSET($BN$2,0,0,ROW()-1,60),ROW()-1,FALSE))</f>
        <v/>
      </c>
      <c r="AF129" t="str">
        <f ca="1">IF(AND(ISNUMBER($AF$800),$B$677=1),$AF$800,HLOOKUP(INDIRECT(ADDRESS(2,COLUMN())),OFFSET($BN$2,0,0,ROW()-1,60),ROW()-1,FALSE))</f>
        <v/>
      </c>
      <c r="AG129" t="str">
        <f ca="1">IF(AND(ISNUMBER($AG$800),$B$677=1),$AG$800,HLOOKUP(INDIRECT(ADDRESS(2,COLUMN())),OFFSET($BN$2,0,0,ROW()-1,60),ROW()-1,FALSE))</f>
        <v/>
      </c>
      <c r="AH129" t="str">
        <f ca="1">IF(AND(ISNUMBER($AH$800),$B$677=1),$AH$800,HLOOKUP(INDIRECT(ADDRESS(2,COLUMN())),OFFSET($BN$2,0,0,ROW()-1,60),ROW()-1,FALSE))</f>
        <v/>
      </c>
      <c r="AI129" t="str">
        <f ca="1">IF(AND(ISNUMBER($AI$800),$B$677=1),$AI$800,HLOOKUP(INDIRECT(ADDRESS(2,COLUMN())),OFFSET($BN$2,0,0,ROW()-1,60),ROW()-1,FALSE))</f>
        <v/>
      </c>
      <c r="AJ129" t="str">
        <f ca="1">IF(AND(ISNUMBER($AJ$800),$B$677=1),$AJ$800,HLOOKUP(INDIRECT(ADDRESS(2,COLUMN())),OFFSET($BN$2,0,0,ROW()-1,60),ROW()-1,FALSE))</f>
        <v/>
      </c>
      <c r="AK129" t="str">
        <f ca="1">IF(AND(ISNUMBER($AK$800),$B$677=1),$AK$800,HLOOKUP(INDIRECT(ADDRESS(2,COLUMN())),OFFSET($BN$2,0,0,ROW()-1,60),ROW()-1,FALSE))</f>
        <v/>
      </c>
      <c r="AL129" t="str">
        <f ca="1">IF(AND(ISNUMBER($AL$800),$B$677=1),$AL$800,HLOOKUP(INDIRECT(ADDRESS(2,COLUMN())),OFFSET($BN$2,0,0,ROW()-1,60),ROW()-1,FALSE))</f>
        <v/>
      </c>
      <c r="AM129" t="str">
        <f ca="1">IF(AND(ISNUMBER($AM$800),$B$677=1),$AM$800,HLOOKUP(INDIRECT(ADDRESS(2,COLUMN())),OFFSET($BN$2,0,0,ROW()-1,60),ROW()-1,FALSE))</f>
        <v/>
      </c>
      <c r="AN129" t="str">
        <f ca="1">IF(AND(ISNUMBER($AN$800),$B$677=1),$AN$800,HLOOKUP(INDIRECT(ADDRESS(2,COLUMN())),OFFSET($BN$2,0,0,ROW()-1,60),ROW()-1,FALSE))</f>
        <v/>
      </c>
      <c r="AO129" t="str">
        <f ca="1">IF(AND(ISNUMBER($AO$800),$B$677=1),$AO$800,HLOOKUP(INDIRECT(ADDRESS(2,COLUMN())),OFFSET($BN$2,0,0,ROW()-1,60),ROW()-1,FALSE))</f>
        <v/>
      </c>
      <c r="AP129" t="str">
        <f ca="1">IF(AND(ISNUMBER($AP$800),$B$677=1),$AP$800,HLOOKUP(INDIRECT(ADDRESS(2,COLUMN())),OFFSET($BN$2,0,0,ROW()-1,60),ROW()-1,FALSE))</f>
        <v/>
      </c>
      <c r="AQ129" t="str">
        <f ca="1">IF(AND(ISNUMBER($AQ$800),$B$677=1),$AQ$800,HLOOKUP(INDIRECT(ADDRESS(2,COLUMN())),OFFSET($BN$2,0,0,ROW()-1,60),ROW()-1,FALSE))</f>
        <v/>
      </c>
      <c r="AR129" t="str">
        <f ca="1">IF(AND(ISNUMBER($AR$800),$B$677=1),$AR$800,HLOOKUP(INDIRECT(ADDRESS(2,COLUMN())),OFFSET($BN$2,0,0,ROW()-1,60),ROW()-1,FALSE))</f>
        <v/>
      </c>
      <c r="AS129" t="str">
        <f ca="1">IF(AND(ISNUMBER($AS$800),$B$677=1),$AS$800,HLOOKUP(INDIRECT(ADDRESS(2,COLUMN())),OFFSET($BN$2,0,0,ROW()-1,60),ROW()-1,FALSE))</f>
        <v/>
      </c>
      <c r="AT129" t="str">
        <f ca="1">IF(AND(ISNUMBER($AT$800),$B$677=1),$AT$800,HLOOKUP(INDIRECT(ADDRESS(2,COLUMN())),OFFSET($BN$2,0,0,ROW()-1,60),ROW()-1,FALSE))</f>
        <v/>
      </c>
      <c r="AU129" t="str">
        <f ca="1">IF(AND(ISNUMBER($AU$800),$B$677=1),$AU$800,HLOOKUP(INDIRECT(ADDRESS(2,COLUMN())),OFFSET($BN$2,0,0,ROW()-1,60),ROW()-1,FALSE))</f>
        <v/>
      </c>
      <c r="AV129" t="str">
        <f ca="1">IF(AND(ISNUMBER($AV$800),$B$677=1),$AV$800,HLOOKUP(INDIRECT(ADDRESS(2,COLUMN())),OFFSET($BN$2,0,0,ROW()-1,60),ROW()-1,FALSE))</f>
        <v/>
      </c>
      <c r="AW129" t="str">
        <f ca="1">IF(AND(ISNUMBER($AW$800),$B$677=1),$AW$800,HLOOKUP(INDIRECT(ADDRESS(2,COLUMN())),OFFSET($BN$2,0,0,ROW()-1,60),ROW()-1,FALSE))</f>
        <v/>
      </c>
      <c r="AX129" t="str">
        <f ca="1">IF(AND(ISNUMBER($AX$800),$B$677=1),$AX$800,HLOOKUP(INDIRECT(ADDRESS(2,COLUMN())),OFFSET($BN$2,0,0,ROW()-1,60),ROW()-1,FALSE))</f>
        <v/>
      </c>
      <c r="AY129" t="str">
        <f ca="1">IF(AND(ISNUMBER($AY$800),$B$677=1),$AY$800,HLOOKUP(INDIRECT(ADDRESS(2,COLUMN())),OFFSET($BN$2,0,0,ROW()-1,60),ROW()-1,FALSE))</f>
        <v/>
      </c>
      <c r="AZ129" t="str">
        <f ca="1">IF(AND(ISNUMBER($AZ$800),$B$677=1),$AZ$800,HLOOKUP(INDIRECT(ADDRESS(2,COLUMN())),OFFSET($BN$2,0,0,ROW()-1,60),ROW()-1,FALSE))</f>
        <v/>
      </c>
      <c r="BA129" t="str">
        <f ca="1">IF(AND(ISNUMBER($BA$800),$B$677=1),$BA$800,HLOOKUP(INDIRECT(ADDRESS(2,COLUMN())),OFFSET($BN$2,0,0,ROW()-1,60),ROW()-1,FALSE))</f>
        <v/>
      </c>
      <c r="BB129" t="str">
        <f ca="1">IF(AND(ISNUMBER($BB$800),$B$677=1),$BB$800,HLOOKUP(INDIRECT(ADDRESS(2,COLUMN())),OFFSET($BN$2,0,0,ROW()-1,60),ROW()-1,FALSE))</f>
        <v/>
      </c>
      <c r="BC129" t="str">
        <f ca="1">IF(AND(ISNUMBER($BC$800),$B$677=1),$BC$800,HLOOKUP(INDIRECT(ADDRESS(2,COLUMN())),OFFSET($BN$2,0,0,ROW()-1,60),ROW()-1,FALSE))</f>
        <v/>
      </c>
      <c r="BD129" t="str">
        <f ca="1">IF(AND(ISNUMBER($BD$800),$B$677=1),$BD$800,HLOOKUP(INDIRECT(ADDRESS(2,COLUMN())),OFFSET($BN$2,0,0,ROW()-1,60),ROW()-1,FALSE))</f>
        <v/>
      </c>
      <c r="BE129" t="str">
        <f ca="1">IF(AND(ISNUMBER($BE$800),$B$677=1),$BE$800,HLOOKUP(INDIRECT(ADDRESS(2,COLUMN())),OFFSET($BN$2,0,0,ROW()-1,60),ROW()-1,FALSE))</f>
        <v/>
      </c>
      <c r="BF129" t="str">
        <f ca="1">IF(AND(ISNUMBER($BF$800),$B$677=1),$BF$800,HLOOKUP(INDIRECT(ADDRESS(2,COLUMN())),OFFSET($BN$2,0,0,ROW()-1,60),ROW()-1,FALSE))</f>
        <v/>
      </c>
      <c r="BG129" t="str">
        <f ca="1">IF(AND(ISNUMBER($BG$800),$B$677=1),$BG$800,HLOOKUP(INDIRECT(ADDRESS(2,COLUMN())),OFFSET($BN$2,0,0,ROW()-1,60),ROW()-1,FALSE))</f>
        <v/>
      </c>
      <c r="BH129" t="str">
        <f ca="1">IF(AND(ISNUMBER($BH$800),$B$677=1),$BH$800,HLOOKUP(INDIRECT(ADDRESS(2,COLUMN())),OFFSET($BN$2,0,0,ROW()-1,60),ROW()-1,FALSE))</f>
        <v/>
      </c>
      <c r="BI129" t="str">
        <f ca="1">IF(AND(ISNUMBER($BI$800),$B$677=1),$BI$800,HLOOKUP(INDIRECT(ADDRESS(2,COLUMN())),OFFSET($BN$2,0,0,ROW()-1,60),ROW()-1,FALSE))</f>
        <v/>
      </c>
      <c r="BJ129" t="str">
        <f ca="1">IF(AND(ISNUMBER($BJ$800),$B$677=1),$BJ$800,HLOOKUP(INDIRECT(ADDRESS(2,COLUMN())),OFFSET($BN$2,0,0,ROW()-1,60),ROW()-1,FALSE))</f>
        <v/>
      </c>
      <c r="BK129" t="str">
        <f ca="1">IF(AND(ISNUMBER($BK$800),$B$677=1),$BK$800,HLOOKUP(INDIRECT(ADDRESS(2,COLUMN())),OFFSET($BN$2,0,0,ROW()-1,60),ROW()-1,FALSE))</f>
        <v/>
      </c>
      <c r="BL129" t="str">
        <f ca="1">IF(AND(ISNUMBER($BL$800),$B$677=1),$BL$800,HLOOKUP(INDIRECT(ADDRESS(2,COLUMN())),OFFSET($BN$2,0,0,ROW()-1,60),ROW()-1,FALSE))</f>
        <v/>
      </c>
      <c r="BM129" t="str">
        <f ca="1">IF(AND(ISNUMBER($BM$800),$B$677=1),$BM$800,HLOOKUP(INDIRECT(ADDRESS(2,COLUMN())),OFFSET($BN$2,0,0,ROW()-1,60),ROW()-1,FALSE))</f>
        <v/>
      </c>
      <c r="BN129" t="str">
        <f>""</f>
        <v/>
      </c>
      <c r="BO129" t="str">
        <f>""</f>
        <v/>
      </c>
      <c r="BP129" t="str">
        <f>""</f>
        <v/>
      </c>
      <c r="BQ129" t="str">
        <f>""</f>
        <v/>
      </c>
      <c r="BR129" t="str">
        <f>""</f>
        <v/>
      </c>
      <c r="BS129" t="str">
        <f>""</f>
        <v/>
      </c>
      <c r="BT129" t="str">
        <f>""</f>
        <v/>
      </c>
      <c r="BU129" t="str">
        <f>""</f>
        <v/>
      </c>
      <c r="BV129" t="str">
        <f>""</f>
        <v/>
      </c>
      <c r="BW129" t="str">
        <f>""</f>
        <v/>
      </c>
      <c r="BX129" t="str">
        <f>""</f>
        <v/>
      </c>
      <c r="BY129" t="str">
        <f>""</f>
        <v/>
      </c>
      <c r="BZ129" t="str">
        <f>""</f>
        <v/>
      </c>
      <c r="CA129">
        <f>0.92380669</f>
        <v>0.92380669000000004</v>
      </c>
      <c r="CB129">
        <f>0.960015215</f>
        <v>0.96001521499999998</v>
      </c>
      <c r="CC129" t="str">
        <f>""</f>
        <v/>
      </c>
      <c r="CD129" t="str">
        <f>""</f>
        <v/>
      </c>
      <c r="CE129" t="str">
        <f>""</f>
        <v/>
      </c>
      <c r="CF129" t="str">
        <f>""</f>
        <v/>
      </c>
      <c r="CG129" t="str">
        <f>""</f>
        <v/>
      </c>
      <c r="CH129" t="str">
        <f>""</f>
        <v/>
      </c>
      <c r="CI129" t="str">
        <f>""</f>
        <v/>
      </c>
      <c r="CJ129" t="str">
        <f>""</f>
        <v/>
      </c>
      <c r="CK129" t="str">
        <f>""</f>
        <v/>
      </c>
      <c r="CL129" t="str">
        <f>""</f>
        <v/>
      </c>
      <c r="CM129" t="str">
        <f>""</f>
        <v/>
      </c>
      <c r="CN129" t="str">
        <f>""</f>
        <v/>
      </c>
      <c r="CO129" t="str">
        <f>""</f>
        <v/>
      </c>
      <c r="CP129" t="str">
        <f>""</f>
        <v/>
      </c>
      <c r="CQ129" t="str">
        <f>""</f>
        <v/>
      </c>
      <c r="CR129" t="str">
        <f>""</f>
        <v/>
      </c>
      <c r="CS129" t="str">
        <f>""</f>
        <v/>
      </c>
      <c r="CT129" t="str">
        <f>""</f>
        <v/>
      </c>
      <c r="CU129" t="str">
        <f>""</f>
        <v/>
      </c>
      <c r="CV129" t="str">
        <f>""</f>
        <v/>
      </c>
      <c r="CW129" t="str">
        <f>""</f>
        <v/>
      </c>
      <c r="CX129" t="str">
        <f>""</f>
        <v/>
      </c>
      <c r="CY129" t="str">
        <f>""</f>
        <v/>
      </c>
      <c r="CZ129" t="str">
        <f>""</f>
        <v/>
      </c>
      <c r="DA129" t="str">
        <f>""</f>
        <v/>
      </c>
      <c r="DB129" t="str">
        <f>""</f>
        <v/>
      </c>
      <c r="DC129" t="str">
        <f>""</f>
        <v/>
      </c>
      <c r="DD129" t="str">
        <f>""</f>
        <v/>
      </c>
      <c r="DE129" t="str">
        <f>""</f>
        <v/>
      </c>
      <c r="DF129" t="str">
        <f>""</f>
        <v/>
      </c>
      <c r="DG129" t="str">
        <f>""</f>
        <v/>
      </c>
      <c r="DH129" t="str">
        <f>""</f>
        <v/>
      </c>
      <c r="DI129" t="str">
        <f>""</f>
        <v/>
      </c>
      <c r="DJ129" t="str">
        <f>""</f>
        <v/>
      </c>
      <c r="DK129" t="str">
        <f>""</f>
        <v/>
      </c>
      <c r="DL129" t="str">
        <f>""</f>
        <v/>
      </c>
      <c r="DM129" t="str">
        <f>""</f>
        <v/>
      </c>
      <c r="DN129" t="str">
        <f>""</f>
        <v/>
      </c>
      <c r="DO129" t="str">
        <f>""</f>
        <v/>
      </c>
      <c r="DP129" t="str">
        <f>""</f>
        <v/>
      </c>
      <c r="DQ129" t="str">
        <f>""</f>
        <v/>
      </c>
      <c r="DR129" t="str">
        <f>""</f>
        <v/>
      </c>
      <c r="DS129" t="str">
        <f>""</f>
        <v/>
      </c>
      <c r="DT129" t="str">
        <f>""</f>
        <v/>
      </c>
      <c r="DU129" t="str">
        <f>""</f>
        <v/>
      </c>
    </row>
    <row r="130" spans="1:125" x14ac:dyDescent="0.25">
      <c r="A130" t="str">
        <f>"    Bayerische Motoren Werke AG"</f>
        <v xml:space="preserve">    Bayerische Motoren Werke AG</v>
      </c>
      <c r="B130" t="str">
        <f>"BMW GR Equity"</f>
        <v>BMW GR Equity</v>
      </c>
      <c r="C130" t="str">
        <f t="shared" si="9"/>
        <v>RR903</v>
      </c>
      <c r="D130" t="str">
        <f t="shared" si="10"/>
        <v>PX_TO_BOOK_RATIO</v>
      </c>
      <c r="E130" t="str">
        <f t="shared" si="11"/>
        <v>Dynamic</v>
      </c>
      <c r="F130">
        <f ca="1">IF(AND(ISNUMBER($F$801),$B$677=1),$F$801,HLOOKUP(INDIRECT(ADDRESS(2,COLUMN())),OFFSET($BN$2,0,0,ROW()-1,60),ROW()-1,FALSE))</f>
        <v>0.85222704800000004</v>
      </c>
      <c r="G130">
        <f ca="1">IF(AND(ISNUMBER($G$801),$B$677=1),$G$801,HLOOKUP(INDIRECT(ADDRESS(2,COLUMN())),OFFSET($BN$2,0,0,ROW()-1,60),ROW()-1,FALSE))</f>
        <v>0.82469822500000001</v>
      </c>
      <c r="H130">
        <f ca="1">IF(AND(ISNUMBER($H$801),$B$677=1),$H$801,HLOOKUP(INDIRECT(ADDRESS(2,COLUMN())),OFFSET($BN$2,0,0,ROW()-1,60),ROW()-1,FALSE))</f>
        <v>0.90401856300000005</v>
      </c>
      <c r="I130">
        <f ca="1">IF(AND(ISNUMBER($I$801),$B$677=1),$I$801,HLOOKUP(INDIRECT(ADDRESS(2,COLUMN())),OFFSET($BN$2,0,0,ROW()-1,60),ROW()-1,FALSE))</f>
        <v>0.92309847099999998</v>
      </c>
      <c r="J130">
        <f ca="1">IF(AND(ISNUMBER($J$801),$B$677=1),$J$801,HLOOKUP(INDIRECT(ADDRESS(2,COLUMN())),OFFSET($BN$2,0,0,ROW()-1,60),ROW()-1,FALSE))</f>
        <v>1.035925242</v>
      </c>
      <c r="K130">
        <f ca="1">IF(AND(ISNUMBER($K$801),$B$677=1),$K$801,HLOOKUP(INDIRECT(ADDRESS(2,COLUMN())),OFFSET($BN$2,0,0,ROW()-1,60),ROW()-1,FALSE))</f>
        <v>1.055208828</v>
      </c>
      <c r="L130">
        <f ca="1">IF(AND(ISNUMBER($L$801),$B$677=1),$L$801,HLOOKUP(INDIRECT(ADDRESS(2,COLUMN())),OFFSET($BN$2,0,0,ROW()-1,60),ROW()-1,FALSE))</f>
        <v>1.0737511340000001</v>
      </c>
      <c r="M130">
        <f ca="1">IF(AND(ISNUMBER($M$801),$B$677=1),$M$801,HLOOKUP(INDIRECT(ADDRESS(2,COLUMN())),OFFSET($BN$2,0,0,ROW()-1,60),ROW()-1,FALSE))</f>
        <v>1.0668823249999999</v>
      </c>
      <c r="N130">
        <f ca="1">IF(AND(ISNUMBER($N$801),$B$677=1),$N$801,HLOOKUP(INDIRECT(ADDRESS(2,COLUMN())),OFFSET($BN$2,0,0,ROW()-1,60),ROW()-1,FALSE))</f>
        <v>1.1394154679999999</v>
      </c>
      <c r="O130">
        <f ca="1">IF(AND(ISNUMBER($O$801),$B$677=1),$O$801,HLOOKUP(INDIRECT(ADDRESS(2,COLUMN())),OFFSET($BN$2,0,0,ROW()-1,60),ROW()-1,FALSE))</f>
        <v>1.237973953</v>
      </c>
      <c r="P130">
        <f ca="1">IF(AND(ISNUMBER($P$801),$B$677=1),$P$801,HLOOKUP(INDIRECT(ADDRESS(2,COLUMN())),OFFSET($BN$2,0,0,ROW()-1,60),ROW()-1,FALSE))</f>
        <v>1.0864622770000001</v>
      </c>
      <c r="Q130">
        <f ca="1">IF(AND(ISNUMBER($Q$801),$B$677=1),$Q$801,HLOOKUP(INDIRECT(ADDRESS(2,COLUMN())),OFFSET($BN$2,0,0,ROW()-1,60),ROW()-1,FALSE))</f>
        <v>0.99460185800000001</v>
      </c>
      <c r="R130">
        <f ca="1">IF(AND(ISNUMBER($R$801),$B$677=1),$R$801,HLOOKUP(INDIRECT(ADDRESS(2,COLUMN())),OFFSET($BN$2,0,0,ROW()-1,60),ROW()-1,FALSE))</f>
        <v>1.191081821</v>
      </c>
      <c r="S130">
        <f ca="1">IF(AND(ISNUMBER($S$801),$B$677=1),$S$801,HLOOKUP(INDIRECT(ADDRESS(2,COLUMN())),OFFSET($BN$2,0,0,ROW()-1,60),ROW()-1,FALSE))</f>
        <v>1.507731792</v>
      </c>
      <c r="T130">
        <f ca="1">IF(AND(ISNUMBER($T$801),$B$677=1),$T$801,HLOOKUP(INDIRECT(ADDRESS(2,COLUMN())),OFFSET($BN$2,0,0,ROW()-1,60),ROW()-1,FALSE))</f>
        <v>1.272176824</v>
      </c>
      <c r="U130">
        <f ca="1">IF(AND(ISNUMBER($U$801),$B$677=1),$U$801,HLOOKUP(INDIRECT(ADDRESS(2,COLUMN())),OFFSET($BN$2,0,0,ROW()-1,60),ROW()-1,FALSE))</f>
        <v>1.687698586</v>
      </c>
      <c r="V130">
        <f ca="1">IF(AND(ISNUMBER($V$801),$B$677=1),$V$801,HLOOKUP(INDIRECT(ADDRESS(2,COLUMN())),OFFSET($BN$2,0,0,ROW()-1,60),ROW()-1,FALSE))</f>
        <v>2.117410977</v>
      </c>
      <c r="W130">
        <f ca="1">IF(AND(ISNUMBER($W$801),$B$677=1),$W$801,HLOOKUP(INDIRECT(ADDRESS(2,COLUMN())),OFFSET($BN$2,0,0,ROW()-1,60),ROW()-1,FALSE))</f>
        <v>1.502448255</v>
      </c>
      <c r="X130">
        <f ca="1">IF(AND(ISNUMBER($X$801),$B$677=1),$X$801,HLOOKUP(INDIRECT(ADDRESS(2,COLUMN())),OFFSET($BN$2,0,0,ROW()-1,60),ROW()-1,FALSE))</f>
        <v>1.539270841</v>
      </c>
      <c r="Y130">
        <f ca="1">IF(AND(ISNUMBER($Y$801),$B$677=1),$Y$801,HLOOKUP(INDIRECT(ADDRESS(2,COLUMN())),OFFSET($BN$2,0,0,ROW()-1,60),ROW()-1,FALSE))</f>
        <v>1.678428874</v>
      </c>
      <c r="Z130">
        <f ca="1">IF(AND(ISNUMBER($Z$801),$B$677=1),$Z$801,HLOOKUP(INDIRECT(ADDRESS(2,COLUMN())),OFFSET($BN$2,0,0,ROW()-1,60),ROW()-1,FALSE))</f>
        <v>1.632962587</v>
      </c>
      <c r="AA130">
        <f ca="1">IF(AND(ISNUMBER($AA$801),$B$677=1),$AA$801,HLOOKUP(INDIRECT(ADDRESS(2,COLUMN())),OFFSET($BN$2,0,0,ROW()-1,60),ROW()-1,FALSE))</f>
        <v>1.5792965560000001</v>
      </c>
      <c r="AB130">
        <f ca="1">IF(AND(ISNUMBER($AB$801),$B$677=1),$AB$801,HLOOKUP(INDIRECT(ADDRESS(2,COLUMN())),OFFSET($BN$2,0,0,ROW()-1,60),ROW()-1,FALSE))</f>
        <v>1.5488449909999999</v>
      </c>
      <c r="AC130">
        <f ca="1">IF(AND(ISNUMBER($AC$801),$B$677=1),$AC$801,HLOOKUP(INDIRECT(ADDRESS(2,COLUMN())),OFFSET($BN$2,0,0,ROW()-1,60),ROW()-1,FALSE))</f>
        <v>1.371454819</v>
      </c>
      <c r="AD130">
        <f ca="1">IF(AND(ISNUMBER($AD$801),$B$677=1),$AD$801,HLOOKUP(INDIRECT(ADDRESS(2,COLUMN())),OFFSET($BN$2,0,0,ROW()-1,60),ROW()-1,FALSE))</f>
        <v>1.4071723350000001</v>
      </c>
      <c r="AE130">
        <f ca="1">IF(AND(ISNUMBER($AE$801),$B$677=1),$AE$801,HLOOKUP(INDIRECT(ADDRESS(2,COLUMN())),OFFSET($BN$2,0,0,ROW()-1,60),ROW()-1,FALSE))</f>
        <v>1.5686189020000001</v>
      </c>
      <c r="AF130">
        <f ca="1">IF(AND(ISNUMBER($AF$801),$B$677=1),$AF$801,HLOOKUP(INDIRECT(ADDRESS(2,COLUMN())),OFFSET($BN$2,0,0,ROW()-1,60),ROW()-1,FALSE))</f>
        <v>1.3027415920000001</v>
      </c>
      <c r="AG130">
        <f ca="1">IF(AND(ISNUMBER($AG$801),$B$677=1),$AG$801,HLOOKUP(INDIRECT(ADDRESS(2,COLUMN())),OFFSET($BN$2,0,0,ROW()-1,60),ROW()-1,FALSE))</f>
        <v>1.3597166460000001</v>
      </c>
      <c r="AH130">
        <f ca="1">IF(AND(ISNUMBER($AH$801),$B$677=1),$AH$801,HLOOKUP(INDIRECT(ADDRESS(2,COLUMN())),OFFSET($BN$2,0,0,ROW()-1,60),ROW()-1,FALSE))</f>
        <v>1.552439484</v>
      </c>
      <c r="AI130">
        <f ca="1">IF(AND(ISNUMBER($AI$801),$B$677=1),$AI$801,HLOOKUP(INDIRECT(ADDRESS(2,COLUMN())),OFFSET($BN$2,0,0,ROW()-1,60),ROW()-1,FALSE))</f>
        <v>1.2549791239999999</v>
      </c>
      <c r="AJ130">
        <f ca="1">IF(AND(ISNUMBER($AJ$801),$B$677=1),$AJ$801,HLOOKUP(INDIRECT(ADDRESS(2,COLUMN())),OFFSET($BN$2,0,0,ROW()-1,60),ROW()-1,FALSE))</f>
        <v>1.256416712</v>
      </c>
      <c r="AK130">
        <f ca="1">IF(AND(ISNUMBER($AK$801),$B$677=1),$AK$801,HLOOKUP(INDIRECT(ADDRESS(2,COLUMN())),OFFSET($BN$2,0,0,ROW()-1,60),ROW()-1,FALSE))</f>
        <v>1.739478922</v>
      </c>
      <c r="AL130">
        <f ca="1">IF(AND(ISNUMBER($AL$801),$B$677=1),$AL$801,HLOOKUP(INDIRECT(ADDRESS(2,COLUMN())),OFFSET($BN$2,0,0,ROW()-1,60),ROW()-1,FALSE))</f>
        <v>1.5600530050000001</v>
      </c>
      <c r="AM130">
        <f ca="1">IF(AND(ISNUMBER($AM$801),$B$677=1),$AM$801,HLOOKUP(INDIRECT(ADDRESS(2,COLUMN())),OFFSET($BN$2,0,0,ROW()-1,60),ROW()-1,FALSE))</f>
        <v>1.6129553249999999</v>
      </c>
      <c r="AN130">
        <f ca="1">IF(AND(ISNUMBER($AN$801),$B$677=1),$AN$801,HLOOKUP(INDIRECT(ADDRESS(2,COLUMN())),OFFSET($BN$2,0,0,ROW()-1,60),ROW()-1,FALSE))</f>
        <v>1.551361217</v>
      </c>
      <c r="AO130">
        <f ca="1">IF(AND(ISNUMBER($AO$801),$B$677=1),$AO$801,HLOOKUP(INDIRECT(ADDRESS(2,COLUMN())),OFFSET($BN$2,0,0,ROW()-1,60),ROW()-1,FALSE))</f>
        <v>1.3009924310000001</v>
      </c>
      <c r="AP130">
        <f ca="1">IF(AND(ISNUMBER($AP$801),$B$677=1),$AP$801,HLOOKUP(INDIRECT(ADDRESS(2,COLUMN())),OFFSET($BN$2,0,0,ROW()-1,60),ROW()-1,FALSE))</f>
        <v>1.1263136579999999</v>
      </c>
      <c r="AQ130">
        <f ca="1">IF(AND(ISNUMBER($AQ$801),$B$677=1),$AQ$801,HLOOKUP(INDIRECT(ADDRESS(2,COLUMN())),OFFSET($BN$2,0,0,ROW()-1,60),ROW()-1,FALSE))</f>
        <v>1.046035863</v>
      </c>
      <c r="AR130">
        <f ca="1">IF(AND(ISNUMBER($AR$801),$B$677=1),$AR$801,HLOOKUP(INDIRECT(ADDRESS(2,COLUMN())),OFFSET($BN$2,0,0,ROW()-1,60),ROW()-1,FALSE))</f>
        <v>1.0798698680000001</v>
      </c>
      <c r="AS130">
        <f ca="1">IF(AND(ISNUMBER($AS$801),$B$677=1),$AS$801,HLOOKUP(INDIRECT(ADDRESS(2,COLUMN())),OFFSET($BN$2,0,0,ROW()-1,60),ROW()-1,FALSE))</f>
        <v>0.87053800599999998</v>
      </c>
      <c r="AT130">
        <f ca="1">IF(AND(ISNUMBER($AT$801),$B$677=1),$AT$801,HLOOKUP(INDIRECT(ADDRESS(2,COLUMN())),OFFSET($BN$2,0,0,ROW()-1,60),ROW()-1,FALSE))</f>
        <v>0.71458436400000003</v>
      </c>
      <c r="AU130">
        <f ca="1">IF(AND(ISNUMBER($AU$801),$B$677=1),$AU$801,HLOOKUP(INDIRECT(ADDRESS(2,COLUMN())),OFFSET($BN$2,0,0,ROW()-1,60),ROW()-1,FALSE))</f>
        <v>0.69722319300000002</v>
      </c>
      <c r="AV130">
        <f ca="1">IF(AND(ISNUMBER($AV$801),$B$677=1),$AV$801,HLOOKUP(INDIRECT(ADDRESS(2,COLUMN())),OFFSET($BN$2,0,0,ROW()-1,60),ROW()-1,FALSE))</f>
        <v>0.81040868300000002</v>
      </c>
      <c r="AW130">
        <f ca="1">IF(AND(ISNUMBER($AW$801),$B$677=1),$AW$801,HLOOKUP(INDIRECT(ADDRESS(2,COLUMN())),OFFSET($BN$2,0,0,ROW()-1,60),ROW()-1,FALSE))</f>
        <v>0.90715000999999995</v>
      </c>
      <c r="AX130">
        <f ca="1">IF(AND(ISNUMBER($AX$801),$B$677=1),$AX$801,HLOOKUP(INDIRECT(ADDRESS(2,COLUMN())),OFFSET($BN$2,0,0,ROW()-1,60),ROW()-1,FALSE))</f>
        <v>1.0139850100000001</v>
      </c>
      <c r="AY130">
        <f ca="1">IF(AND(ISNUMBER($AY$801),$B$677=1),$AY$801,HLOOKUP(INDIRECT(ADDRESS(2,COLUMN())),OFFSET($BN$2,0,0,ROW()-1,60),ROW()-1,FALSE))</f>
        <v>1.285927153</v>
      </c>
      <c r="AZ130">
        <f ca="1">IF(AND(ISNUMBER($AZ$801),$B$677=1),$AZ$801,HLOOKUP(INDIRECT(ADDRESS(2,COLUMN())),OFFSET($BN$2,0,0,ROW()-1,60),ROW()-1,FALSE))</f>
        <v>1.418958202</v>
      </c>
      <c r="BA130">
        <f ca="1">IF(AND(ISNUMBER($BA$801),$B$677=1),$BA$801,HLOOKUP(INDIRECT(ADDRESS(2,COLUMN())),OFFSET($BN$2,0,0,ROW()-1,60),ROW()-1,FALSE))</f>
        <v>1.5489076669999999</v>
      </c>
      <c r="BB130">
        <f ca="1">IF(AND(ISNUMBER($BB$801),$B$677=1),$BB$801,HLOOKUP(INDIRECT(ADDRESS(2,COLUMN())),OFFSET($BN$2,0,0,ROW()-1,60),ROW()-1,FALSE))</f>
        <v>1.475065445</v>
      </c>
      <c r="BC130">
        <f ca="1">IF(AND(ISNUMBER($BC$801),$B$677=1),$BC$801,HLOOKUP(INDIRECT(ADDRESS(2,COLUMN())),OFFSET($BN$2,0,0,ROW()-1,60),ROW()-1,FALSE))</f>
        <v>1.4950697610000001</v>
      </c>
      <c r="BD130">
        <f ca="1">IF(AND(ISNUMBER($BD$801),$B$677=1),$BD$801,HLOOKUP(INDIRECT(ADDRESS(2,COLUMN())),OFFSET($BN$2,0,0,ROW()-1,60),ROW()-1,FALSE))</f>
        <v>1.5212664979999999</v>
      </c>
      <c r="BE130">
        <f ca="1">IF(AND(ISNUMBER($BE$801),$B$677=1),$BE$801,HLOOKUP(INDIRECT(ADDRESS(2,COLUMN())),OFFSET($BN$2,0,0,ROW()-1,60),ROW()-1,FALSE))</f>
        <v>1.417701415</v>
      </c>
      <c r="BF130">
        <f ca="1">IF(AND(ISNUMBER($BF$801),$B$677=1),$BF$801,HLOOKUP(INDIRECT(ADDRESS(2,COLUMN())),OFFSET($BN$2,0,0,ROW()-1,60),ROW()-1,FALSE))</f>
        <v>1.724243829</v>
      </c>
      <c r="BG130">
        <f ca="1">IF(AND(ISNUMBER($BG$801),$B$677=1),$BG$801,HLOOKUP(INDIRECT(ADDRESS(2,COLUMN())),OFFSET($BN$2,0,0,ROW()-1,60),ROW()-1,FALSE))</f>
        <v>1.470199196</v>
      </c>
      <c r="BH130">
        <f ca="1">IF(AND(ISNUMBER($BH$801),$B$677=1),$BH$801,HLOOKUP(INDIRECT(ADDRESS(2,COLUMN())),OFFSET($BN$2,0,0,ROW()-1,60),ROW()-1,FALSE))</f>
        <v>1.4407631169999999</v>
      </c>
      <c r="BI130">
        <f ca="1">IF(AND(ISNUMBER($BI$801),$B$677=1),$BI$801,HLOOKUP(INDIRECT(ADDRESS(2,COLUMN())),OFFSET($BN$2,0,0,ROW()-1,60),ROW()-1,FALSE))</f>
        <v>1.4441162919999999</v>
      </c>
      <c r="BJ130">
        <f ca="1">IF(AND(ISNUMBER($BJ$801),$B$677=1),$BJ$801,HLOOKUP(INDIRECT(ADDRESS(2,COLUMN())),OFFSET($BN$2,0,0,ROW()-1,60),ROW()-1,FALSE))</f>
        <v>1.3355641110000001</v>
      </c>
      <c r="BK130">
        <f ca="1">IF(AND(ISNUMBER($BK$801),$B$677=1),$BK$801,HLOOKUP(INDIRECT(ADDRESS(2,COLUMN())),OFFSET($BN$2,0,0,ROW()-1,60),ROW()-1,FALSE))</f>
        <v>1.354232458</v>
      </c>
      <c r="BL130">
        <f ca="1">IF(AND(ISNUMBER($BL$801),$B$677=1),$BL$801,HLOOKUP(INDIRECT(ADDRESS(2,COLUMN())),OFFSET($BN$2,0,0,ROW()-1,60),ROW()-1,FALSE))</f>
        <v>1.3274644330000001</v>
      </c>
      <c r="BM130">
        <f ca="1">IF(AND(ISNUMBER($BM$801),$B$677=1),$BM$801,HLOOKUP(INDIRECT(ADDRESS(2,COLUMN())),OFFSET($BN$2,0,0,ROW()-1,60),ROW()-1,FALSE))</f>
        <v>1.477677436</v>
      </c>
      <c r="BN130">
        <f>0.852227048</f>
        <v>0.85222704800000004</v>
      </c>
      <c r="BO130">
        <f>0.824698225</f>
        <v>0.82469822500000001</v>
      </c>
      <c r="BP130">
        <f>0.904018563</f>
        <v>0.90401856300000005</v>
      </c>
      <c r="BQ130">
        <f>0.923098471</f>
        <v>0.92309847099999998</v>
      </c>
      <c r="BR130">
        <f>1.035925242</f>
        <v>1.035925242</v>
      </c>
      <c r="BS130">
        <f>1.055208828</f>
        <v>1.055208828</v>
      </c>
      <c r="BT130">
        <f>1.073751134</f>
        <v>1.0737511340000001</v>
      </c>
      <c r="BU130">
        <f>1.066882325</f>
        <v>1.0668823249999999</v>
      </c>
      <c r="BV130">
        <f>1.139415468</f>
        <v>1.1394154679999999</v>
      </c>
      <c r="BW130">
        <f>1.237973953</f>
        <v>1.237973953</v>
      </c>
      <c r="BX130">
        <f>1.086462277</f>
        <v>1.0864622770000001</v>
      </c>
      <c r="BY130">
        <f>0.994601858</f>
        <v>0.99460185800000001</v>
      </c>
      <c r="BZ130">
        <f>1.191081821</f>
        <v>1.191081821</v>
      </c>
      <c r="CA130">
        <f>1.507731792</f>
        <v>1.507731792</v>
      </c>
      <c r="CB130">
        <f>1.272176824</f>
        <v>1.272176824</v>
      </c>
      <c r="CC130">
        <f>1.687698586</f>
        <v>1.687698586</v>
      </c>
      <c r="CD130">
        <f>2.117410977</f>
        <v>2.117410977</v>
      </c>
      <c r="CE130">
        <f>1.502448255</f>
        <v>1.502448255</v>
      </c>
      <c r="CF130">
        <f>1.539270841</f>
        <v>1.539270841</v>
      </c>
      <c r="CG130">
        <f>1.678428874</f>
        <v>1.678428874</v>
      </c>
      <c r="CH130">
        <f>1.632962587</f>
        <v>1.632962587</v>
      </c>
      <c r="CI130">
        <f>1.579296556</f>
        <v>1.5792965560000001</v>
      </c>
      <c r="CJ130">
        <f>1.548844991</f>
        <v>1.5488449909999999</v>
      </c>
      <c r="CK130">
        <f>1.371454819</f>
        <v>1.371454819</v>
      </c>
      <c r="CL130">
        <f>1.407172335</f>
        <v>1.4071723350000001</v>
      </c>
      <c r="CM130">
        <f>1.568618902</f>
        <v>1.5686189020000001</v>
      </c>
      <c r="CN130">
        <f>1.302741592</f>
        <v>1.3027415920000001</v>
      </c>
      <c r="CO130">
        <f>1.359716646</f>
        <v>1.3597166460000001</v>
      </c>
      <c r="CP130">
        <f>1.552439484</f>
        <v>1.552439484</v>
      </c>
      <c r="CQ130">
        <f>1.254979124</f>
        <v>1.2549791239999999</v>
      </c>
      <c r="CR130">
        <f>1.256416712</f>
        <v>1.256416712</v>
      </c>
      <c r="CS130">
        <f>1.739478922</f>
        <v>1.739478922</v>
      </c>
      <c r="CT130">
        <f>1.560053005</f>
        <v>1.5600530050000001</v>
      </c>
      <c r="CU130">
        <f>1.612955325</f>
        <v>1.6129553249999999</v>
      </c>
      <c r="CV130">
        <f>1.551361217</f>
        <v>1.551361217</v>
      </c>
      <c r="CW130">
        <f>1.300992431</f>
        <v>1.3009924310000001</v>
      </c>
      <c r="CX130">
        <f>1.126313658</f>
        <v>1.1263136579999999</v>
      </c>
      <c r="CY130">
        <f>1.046035863</f>
        <v>1.046035863</v>
      </c>
      <c r="CZ130">
        <f>1.079869868</f>
        <v>1.0798698680000001</v>
      </c>
      <c r="DA130">
        <f>0.870538006</f>
        <v>0.87053800599999998</v>
      </c>
      <c r="DB130">
        <f>0.714584364</f>
        <v>0.71458436400000003</v>
      </c>
      <c r="DC130">
        <f>0.697223193</f>
        <v>0.69722319300000002</v>
      </c>
      <c r="DD130">
        <f>0.810408683</f>
        <v>0.81040868300000002</v>
      </c>
      <c r="DE130">
        <f>0.90715001</f>
        <v>0.90715000999999995</v>
      </c>
      <c r="DF130">
        <f>1.01398501</f>
        <v>1.0139850100000001</v>
      </c>
      <c r="DG130">
        <f>1.285927153</f>
        <v>1.285927153</v>
      </c>
      <c r="DH130">
        <f>1.418958202</f>
        <v>1.418958202</v>
      </c>
      <c r="DI130">
        <f>1.548907667</f>
        <v>1.5489076669999999</v>
      </c>
      <c r="DJ130">
        <f>1.475065445</f>
        <v>1.475065445</v>
      </c>
      <c r="DK130">
        <f>1.495069761</f>
        <v>1.4950697610000001</v>
      </c>
      <c r="DL130">
        <f>1.521266498</f>
        <v>1.5212664979999999</v>
      </c>
      <c r="DM130">
        <f>1.417701415</f>
        <v>1.417701415</v>
      </c>
      <c r="DN130">
        <f>1.724243829</f>
        <v>1.724243829</v>
      </c>
      <c r="DO130">
        <f>1.470199196</f>
        <v>1.470199196</v>
      </c>
      <c r="DP130">
        <f>1.440763117</f>
        <v>1.4407631169999999</v>
      </c>
      <c r="DQ130">
        <f>1.444116292</f>
        <v>1.4441162919999999</v>
      </c>
      <c r="DR130">
        <f>1.335564111</f>
        <v>1.3355641110000001</v>
      </c>
      <c r="DS130">
        <f>1.354232458</f>
        <v>1.354232458</v>
      </c>
      <c r="DT130">
        <f>1.327464433</f>
        <v>1.3274644330000001</v>
      </c>
      <c r="DU130">
        <f>1.477677436</f>
        <v>1.477677436</v>
      </c>
    </row>
    <row r="131" spans="1:125" x14ac:dyDescent="0.25">
      <c r="A131" t="str">
        <f>"    Brilliance China Automotive Holdings Ltd"</f>
        <v xml:space="preserve">    Brilliance China Automotive Holdings Ltd</v>
      </c>
      <c r="B131" t="str">
        <f>"1114 HK Equity"</f>
        <v>1114 HK Equity</v>
      </c>
      <c r="C131" t="str">
        <f t="shared" si="9"/>
        <v>RR903</v>
      </c>
      <c r="D131" t="str">
        <f t="shared" si="10"/>
        <v>PX_TO_BOOK_RATIO</v>
      </c>
      <c r="E131" t="str">
        <f t="shared" si="11"/>
        <v>Dynamic</v>
      </c>
      <c r="F131" t="str">
        <f ca="1">IF(AND(ISNUMBER($F$802),$B$677=1),$F$802,HLOOKUP(INDIRECT(ADDRESS(2,COLUMN())),OFFSET($BN$2,0,0,ROW()-1,60),ROW()-1,FALSE))</f>
        <v/>
      </c>
      <c r="G131" t="str">
        <f ca="1">IF(AND(ISNUMBER($G$802),$B$677=1),$G$802,HLOOKUP(INDIRECT(ADDRESS(2,COLUMN())),OFFSET($BN$2,0,0,ROW()-1,60),ROW()-1,FALSE))</f>
        <v/>
      </c>
      <c r="H131" t="str">
        <f ca="1">IF(AND(ISNUMBER($H$802),$B$677=1),$H$802,HLOOKUP(INDIRECT(ADDRESS(2,COLUMN())),OFFSET($BN$2,0,0,ROW()-1,60),ROW()-1,FALSE))</f>
        <v/>
      </c>
      <c r="I131" t="str">
        <f ca="1">IF(AND(ISNUMBER($I$802),$B$677=1),$I$802,HLOOKUP(INDIRECT(ADDRESS(2,COLUMN())),OFFSET($BN$2,0,0,ROW()-1,60),ROW()-1,FALSE))</f>
        <v/>
      </c>
      <c r="J131" t="str">
        <f ca="1">IF(AND(ISNUMBER($J$802),$B$677=1),$J$802,HLOOKUP(INDIRECT(ADDRESS(2,COLUMN())),OFFSET($BN$2,0,0,ROW()-1,60),ROW()-1,FALSE))</f>
        <v/>
      </c>
      <c r="K131" t="str">
        <f ca="1">IF(AND(ISNUMBER($K$802),$B$677=1),$K$802,HLOOKUP(INDIRECT(ADDRESS(2,COLUMN())),OFFSET($BN$2,0,0,ROW()-1,60),ROW()-1,FALSE))</f>
        <v/>
      </c>
      <c r="L131" t="str">
        <f ca="1">IF(AND(ISNUMBER($L$802),$B$677=1),$L$802,HLOOKUP(INDIRECT(ADDRESS(2,COLUMN())),OFFSET($BN$2,0,0,ROW()-1,60),ROW()-1,FALSE))</f>
        <v/>
      </c>
      <c r="M131" t="str">
        <f ca="1">IF(AND(ISNUMBER($M$802),$B$677=1),$M$802,HLOOKUP(INDIRECT(ADDRESS(2,COLUMN())),OFFSET($BN$2,0,0,ROW()-1,60),ROW()-1,FALSE))</f>
        <v/>
      </c>
      <c r="N131" t="str">
        <f ca="1">IF(AND(ISNUMBER($N$802),$B$677=1),$N$802,HLOOKUP(INDIRECT(ADDRESS(2,COLUMN())),OFFSET($BN$2,0,0,ROW()-1,60),ROW()-1,FALSE))</f>
        <v/>
      </c>
      <c r="O131" t="str">
        <f ca="1">IF(AND(ISNUMBER($O$802),$B$677=1),$O$802,HLOOKUP(INDIRECT(ADDRESS(2,COLUMN())),OFFSET($BN$2,0,0,ROW()-1,60),ROW()-1,FALSE))</f>
        <v/>
      </c>
      <c r="P131" t="str">
        <f ca="1">IF(AND(ISNUMBER($P$802),$B$677=1),$P$802,HLOOKUP(INDIRECT(ADDRESS(2,COLUMN())),OFFSET($BN$2,0,0,ROW()-1,60),ROW()-1,FALSE))</f>
        <v/>
      </c>
      <c r="Q131" t="str">
        <f ca="1">IF(AND(ISNUMBER($Q$802),$B$677=1),$Q$802,HLOOKUP(INDIRECT(ADDRESS(2,COLUMN())),OFFSET($BN$2,0,0,ROW()-1,60),ROW()-1,FALSE))</f>
        <v/>
      </c>
      <c r="R131" t="str">
        <f ca="1">IF(AND(ISNUMBER($R$802),$B$677=1),$R$802,HLOOKUP(INDIRECT(ADDRESS(2,COLUMN())),OFFSET($BN$2,0,0,ROW()-1,60),ROW()-1,FALSE))</f>
        <v/>
      </c>
      <c r="S131" t="str">
        <f ca="1">IF(AND(ISNUMBER($S$802),$B$677=1),$S$802,HLOOKUP(INDIRECT(ADDRESS(2,COLUMN())),OFFSET($BN$2,0,0,ROW()-1,60),ROW()-1,FALSE))</f>
        <v/>
      </c>
      <c r="T131" t="str">
        <f ca="1">IF(AND(ISNUMBER($T$802),$B$677=1),$T$802,HLOOKUP(INDIRECT(ADDRESS(2,COLUMN())),OFFSET($BN$2,0,0,ROW()-1,60),ROW()-1,FALSE))</f>
        <v/>
      </c>
      <c r="U131" t="str">
        <f ca="1">IF(AND(ISNUMBER($U$802),$B$677=1),$U$802,HLOOKUP(INDIRECT(ADDRESS(2,COLUMN())),OFFSET($BN$2,0,0,ROW()-1,60),ROW()-1,FALSE))</f>
        <v/>
      </c>
      <c r="V131" t="str">
        <f ca="1">IF(AND(ISNUMBER($V$802),$B$677=1),$V$802,HLOOKUP(INDIRECT(ADDRESS(2,COLUMN())),OFFSET($BN$2,0,0,ROW()-1,60),ROW()-1,FALSE))</f>
        <v/>
      </c>
      <c r="W131" t="str">
        <f ca="1">IF(AND(ISNUMBER($W$802),$B$677=1),$W$802,HLOOKUP(INDIRECT(ADDRESS(2,COLUMN())),OFFSET($BN$2,0,0,ROW()-1,60),ROW()-1,FALSE))</f>
        <v/>
      </c>
      <c r="X131" t="str">
        <f ca="1">IF(AND(ISNUMBER($X$802),$B$677=1),$X$802,HLOOKUP(INDIRECT(ADDRESS(2,COLUMN())),OFFSET($BN$2,0,0,ROW()-1,60),ROW()-1,FALSE))</f>
        <v/>
      </c>
      <c r="Y131" t="str">
        <f ca="1">IF(AND(ISNUMBER($Y$802),$B$677=1),$Y$802,HLOOKUP(INDIRECT(ADDRESS(2,COLUMN())),OFFSET($BN$2,0,0,ROW()-1,60),ROW()-1,FALSE))</f>
        <v/>
      </c>
      <c r="Z131" t="str">
        <f ca="1">IF(AND(ISNUMBER($Z$802),$B$677=1),$Z$802,HLOOKUP(INDIRECT(ADDRESS(2,COLUMN())),OFFSET($BN$2,0,0,ROW()-1,60),ROW()-1,FALSE))</f>
        <v/>
      </c>
      <c r="AA131" t="str">
        <f ca="1">IF(AND(ISNUMBER($AA$802),$B$677=1),$AA$802,HLOOKUP(INDIRECT(ADDRESS(2,COLUMN())),OFFSET($BN$2,0,0,ROW()-1,60),ROW()-1,FALSE))</f>
        <v/>
      </c>
      <c r="AB131" t="str">
        <f ca="1">IF(AND(ISNUMBER($AB$802),$B$677=1),$AB$802,HLOOKUP(INDIRECT(ADDRESS(2,COLUMN())),OFFSET($BN$2,0,0,ROW()-1,60),ROW()-1,FALSE))</f>
        <v/>
      </c>
      <c r="AC131" t="str">
        <f ca="1">IF(AND(ISNUMBER($AC$802),$B$677=1),$AC$802,HLOOKUP(INDIRECT(ADDRESS(2,COLUMN())),OFFSET($BN$2,0,0,ROW()-1,60),ROW()-1,FALSE))</f>
        <v/>
      </c>
      <c r="AD131" t="str">
        <f ca="1">IF(AND(ISNUMBER($AD$802),$B$677=1),$AD$802,HLOOKUP(INDIRECT(ADDRESS(2,COLUMN())),OFFSET($BN$2,0,0,ROW()-1,60),ROW()-1,FALSE))</f>
        <v/>
      </c>
      <c r="AE131" t="str">
        <f ca="1">IF(AND(ISNUMBER($AE$802),$B$677=1),$AE$802,HLOOKUP(INDIRECT(ADDRESS(2,COLUMN())),OFFSET($BN$2,0,0,ROW()-1,60),ROW()-1,FALSE))</f>
        <v/>
      </c>
      <c r="AF131" t="str">
        <f ca="1">IF(AND(ISNUMBER($AF$802),$B$677=1),$AF$802,HLOOKUP(INDIRECT(ADDRESS(2,COLUMN())),OFFSET($BN$2,0,0,ROW()-1,60),ROW()-1,FALSE))</f>
        <v/>
      </c>
      <c r="AG131" t="str">
        <f ca="1">IF(AND(ISNUMBER($AG$802),$B$677=1),$AG$802,HLOOKUP(INDIRECT(ADDRESS(2,COLUMN())),OFFSET($BN$2,0,0,ROW()-1,60),ROW()-1,FALSE))</f>
        <v/>
      </c>
      <c r="AH131" t="str">
        <f ca="1">IF(AND(ISNUMBER($AH$802),$B$677=1),$AH$802,HLOOKUP(INDIRECT(ADDRESS(2,COLUMN())),OFFSET($BN$2,0,0,ROW()-1,60),ROW()-1,FALSE))</f>
        <v/>
      </c>
      <c r="AI131" t="str">
        <f ca="1">IF(AND(ISNUMBER($AI$802),$B$677=1),$AI$802,HLOOKUP(INDIRECT(ADDRESS(2,COLUMN())),OFFSET($BN$2,0,0,ROW()-1,60),ROW()-1,FALSE))</f>
        <v/>
      </c>
      <c r="AJ131" t="str">
        <f ca="1">IF(AND(ISNUMBER($AJ$802),$B$677=1),$AJ$802,HLOOKUP(INDIRECT(ADDRESS(2,COLUMN())),OFFSET($BN$2,0,0,ROW()-1,60),ROW()-1,FALSE))</f>
        <v/>
      </c>
      <c r="AK131" t="str">
        <f ca="1">IF(AND(ISNUMBER($AK$802),$B$677=1),$AK$802,HLOOKUP(INDIRECT(ADDRESS(2,COLUMN())),OFFSET($BN$2,0,0,ROW()-1,60),ROW()-1,FALSE))</f>
        <v/>
      </c>
      <c r="AL131" t="str">
        <f ca="1">IF(AND(ISNUMBER($AL$802),$B$677=1),$AL$802,HLOOKUP(INDIRECT(ADDRESS(2,COLUMN())),OFFSET($BN$2,0,0,ROW()-1,60),ROW()-1,FALSE))</f>
        <v/>
      </c>
      <c r="AM131" t="str">
        <f ca="1">IF(AND(ISNUMBER($AM$802),$B$677=1),$AM$802,HLOOKUP(INDIRECT(ADDRESS(2,COLUMN())),OFFSET($BN$2,0,0,ROW()-1,60),ROW()-1,FALSE))</f>
        <v/>
      </c>
      <c r="AN131" t="str">
        <f ca="1">IF(AND(ISNUMBER($AN$802),$B$677=1),$AN$802,HLOOKUP(INDIRECT(ADDRESS(2,COLUMN())),OFFSET($BN$2,0,0,ROW()-1,60),ROW()-1,FALSE))</f>
        <v/>
      </c>
      <c r="AO131" t="str">
        <f ca="1">IF(AND(ISNUMBER($AO$802),$B$677=1),$AO$802,HLOOKUP(INDIRECT(ADDRESS(2,COLUMN())),OFFSET($BN$2,0,0,ROW()-1,60),ROW()-1,FALSE))</f>
        <v/>
      </c>
      <c r="AP131" t="str">
        <f ca="1">IF(AND(ISNUMBER($AP$802),$B$677=1),$AP$802,HLOOKUP(INDIRECT(ADDRESS(2,COLUMN())),OFFSET($BN$2,0,0,ROW()-1,60),ROW()-1,FALSE))</f>
        <v/>
      </c>
      <c r="AQ131" t="str">
        <f ca="1">IF(AND(ISNUMBER($AQ$802),$B$677=1),$AQ$802,HLOOKUP(INDIRECT(ADDRESS(2,COLUMN())),OFFSET($BN$2,0,0,ROW()-1,60),ROW()-1,FALSE))</f>
        <v/>
      </c>
      <c r="AR131" t="str">
        <f ca="1">IF(AND(ISNUMBER($AR$802),$B$677=1),$AR$802,HLOOKUP(INDIRECT(ADDRESS(2,COLUMN())),OFFSET($BN$2,0,0,ROW()-1,60),ROW()-1,FALSE))</f>
        <v/>
      </c>
      <c r="AS131" t="str">
        <f ca="1">IF(AND(ISNUMBER($AS$802),$B$677=1),$AS$802,HLOOKUP(INDIRECT(ADDRESS(2,COLUMN())),OFFSET($BN$2,0,0,ROW()-1,60),ROW()-1,FALSE))</f>
        <v/>
      </c>
      <c r="AT131" t="str">
        <f ca="1">IF(AND(ISNUMBER($AT$802),$B$677=1),$AT$802,HLOOKUP(INDIRECT(ADDRESS(2,COLUMN())),OFFSET($BN$2,0,0,ROW()-1,60),ROW()-1,FALSE))</f>
        <v/>
      </c>
      <c r="AU131" t="str">
        <f ca="1">IF(AND(ISNUMBER($AU$802),$B$677=1),$AU$802,HLOOKUP(INDIRECT(ADDRESS(2,COLUMN())),OFFSET($BN$2,0,0,ROW()-1,60),ROW()-1,FALSE))</f>
        <v/>
      </c>
      <c r="AV131" t="str">
        <f ca="1">IF(AND(ISNUMBER($AV$802),$B$677=1),$AV$802,HLOOKUP(INDIRECT(ADDRESS(2,COLUMN())),OFFSET($BN$2,0,0,ROW()-1,60),ROW()-1,FALSE))</f>
        <v/>
      </c>
      <c r="AW131" t="str">
        <f ca="1">IF(AND(ISNUMBER($AW$802),$B$677=1),$AW$802,HLOOKUP(INDIRECT(ADDRESS(2,COLUMN())),OFFSET($BN$2,0,0,ROW()-1,60),ROW()-1,FALSE))</f>
        <v/>
      </c>
      <c r="AX131" t="str">
        <f ca="1">IF(AND(ISNUMBER($AX$802),$B$677=1),$AX$802,HLOOKUP(INDIRECT(ADDRESS(2,COLUMN())),OFFSET($BN$2,0,0,ROW()-1,60),ROW()-1,FALSE))</f>
        <v/>
      </c>
      <c r="AY131" t="str">
        <f ca="1">IF(AND(ISNUMBER($AY$802),$B$677=1),$AY$802,HLOOKUP(INDIRECT(ADDRESS(2,COLUMN())),OFFSET($BN$2,0,0,ROW()-1,60),ROW()-1,FALSE))</f>
        <v/>
      </c>
      <c r="AZ131" t="str">
        <f ca="1">IF(AND(ISNUMBER($AZ$802),$B$677=1),$AZ$802,HLOOKUP(INDIRECT(ADDRESS(2,COLUMN())),OFFSET($BN$2,0,0,ROW()-1,60),ROW()-1,FALSE))</f>
        <v/>
      </c>
      <c r="BA131" t="str">
        <f ca="1">IF(AND(ISNUMBER($BA$802),$B$677=1),$BA$802,HLOOKUP(INDIRECT(ADDRESS(2,COLUMN())),OFFSET($BN$2,0,0,ROW()-1,60),ROW()-1,FALSE))</f>
        <v/>
      </c>
      <c r="BB131" t="str">
        <f ca="1">IF(AND(ISNUMBER($BB$802),$B$677=1),$BB$802,HLOOKUP(INDIRECT(ADDRESS(2,COLUMN())),OFFSET($BN$2,0,0,ROW()-1,60),ROW()-1,FALSE))</f>
        <v/>
      </c>
      <c r="BC131" t="str">
        <f ca="1">IF(AND(ISNUMBER($BC$802),$B$677=1),$BC$802,HLOOKUP(INDIRECT(ADDRESS(2,COLUMN())),OFFSET($BN$2,0,0,ROW()-1,60),ROW()-1,FALSE))</f>
        <v/>
      </c>
      <c r="BD131" t="str">
        <f ca="1">IF(AND(ISNUMBER($BD$802),$B$677=1),$BD$802,HLOOKUP(INDIRECT(ADDRESS(2,COLUMN())),OFFSET($BN$2,0,0,ROW()-1,60),ROW()-1,FALSE))</f>
        <v/>
      </c>
      <c r="BE131" t="str">
        <f ca="1">IF(AND(ISNUMBER($BE$802),$B$677=1),$BE$802,HLOOKUP(INDIRECT(ADDRESS(2,COLUMN())),OFFSET($BN$2,0,0,ROW()-1,60),ROW()-1,FALSE))</f>
        <v/>
      </c>
      <c r="BF131" t="str">
        <f ca="1">IF(AND(ISNUMBER($BF$802),$B$677=1),$BF$802,HLOOKUP(INDIRECT(ADDRESS(2,COLUMN())),OFFSET($BN$2,0,0,ROW()-1,60),ROW()-1,FALSE))</f>
        <v/>
      </c>
      <c r="BG131" t="str">
        <f ca="1">IF(AND(ISNUMBER($BG$802),$B$677=1),$BG$802,HLOOKUP(INDIRECT(ADDRESS(2,COLUMN())),OFFSET($BN$2,0,0,ROW()-1,60),ROW()-1,FALSE))</f>
        <v/>
      </c>
      <c r="BH131" t="str">
        <f ca="1">IF(AND(ISNUMBER($BH$802),$B$677=1),$BH$802,HLOOKUP(INDIRECT(ADDRESS(2,COLUMN())),OFFSET($BN$2,0,0,ROW()-1,60),ROW()-1,FALSE))</f>
        <v/>
      </c>
      <c r="BI131" t="str">
        <f ca="1">IF(AND(ISNUMBER($BI$802),$B$677=1),$BI$802,HLOOKUP(INDIRECT(ADDRESS(2,COLUMN())),OFFSET($BN$2,0,0,ROW()-1,60),ROW()-1,FALSE))</f>
        <v/>
      </c>
      <c r="BJ131" t="str">
        <f ca="1">IF(AND(ISNUMBER($BJ$802),$B$677=1),$BJ$802,HLOOKUP(INDIRECT(ADDRESS(2,COLUMN())),OFFSET($BN$2,0,0,ROW()-1,60),ROW()-1,FALSE))</f>
        <v/>
      </c>
      <c r="BK131" t="str">
        <f ca="1">IF(AND(ISNUMBER($BK$802),$B$677=1),$BK$802,HLOOKUP(INDIRECT(ADDRESS(2,COLUMN())),OFFSET($BN$2,0,0,ROW()-1,60),ROW()-1,FALSE))</f>
        <v/>
      </c>
      <c r="BL131" t="str">
        <f ca="1">IF(AND(ISNUMBER($BL$802),$B$677=1),$BL$802,HLOOKUP(INDIRECT(ADDRESS(2,COLUMN())),OFFSET($BN$2,0,0,ROW()-1,60),ROW()-1,FALSE))</f>
        <v/>
      </c>
      <c r="BM131" t="str">
        <f ca="1">IF(AND(ISNUMBER($BM$802),$B$677=1),$BM$802,HLOOKUP(INDIRECT(ADDRESS(2,COLUMN())),OFFSET($BN$2,0,0,ROW()-1,60),ROW()-1,FALSE))</f>
        <v/>
      </c>
      <c r="BN131" t="str">
        <f>""</f>
        <v/>
      </c>
      <c r="BO131" t="str">
        <f>""</f>
        <v/>
      </c>
      <c r="BP131" t="str">
        <f>""</f>
        <v/>
      </c>
      <c r="BQ131" t="str">
        <f>""</f>
        <v/>
      </c>
      <c r="BR131" t="str">
        <f>""</f>
        <v/>
      </c>
      <c r="BS131" t="str">
        <f>""</f>
        <v/>
      </c>
      <c r="BT131" t="str">
        <f>""</f>
        <v/>
      </c>
      <c r="BU131" t="str">
        <f>""</f>
        <v/>
      </c>
      <c r="BV131" t="str">
        <f>""</f>
        <v/>
      </c>
      <c r="BW131" t="str">
        <f>""</f>
        <v/>
      </c>
      <c r="BX131" t="str">
        <f>""</f>
        <v/>
      </c>
      <c r="BY131" t="str">
        <f>""</f>
        <v/>
      </c>
      <c r="BZ131" t="str">
        <f>""</f>
        <v/>
      </c>
      <c r="CA131" t="str">
        <f>""</f>
        <v/>
      </c>
      <c r="CB131" t="str">
        <f>""</f>
        <v/>
      </c>
      <c r="CC131" t="str">
        <f>""</f>
        <v/>
      </c>
      <c r="CD131" t="str">
        <f>""</f>
        <v/>
      </c>
      <c r="CE131" t="str">
        <f>""</f>
        <v/>
      </c>
      <c r="CF131" t="str">
        <f>""</f>
        <v/>
      </c>
      <c r="CG131" t="str">
        <f>""</f>
        <v/>
      </c>
      <c r="CH131" t="str">
        <f>""</f>
        <v/>
      </c>
      <c r="CI131" t="str">
        <f>""</f>
        <v/>
      </c>
      <c r="CJ131" t="str">
        <f>""</f>
        <v/>
      </c>
      <c r="CK131" t="str">
        <f>""</f>
        <v/>
      </c>
      <c r="CL131" t="str">
        <f>""</f>
        <v/>
      </c>
      <c r="CM131" t="str">
        <f>""</f>
        <v/>
      </c>
      <c r="CN131" t="str">
        <f>""</f>
        <v/>
      </c>
      <c r="CO131" t="str">
        <f>""</f>
        <v/>
      </c>
      <c r="CP131" t="str">
        <f>""</f>
        <v/>
      </c>
      <c r="CQ131" t="str">
        <f>""</f>
        <v/>
      </c>
      <c r="CR131" t="str">
        <f>""</f>
        <v/>
      </c>
      <c r="CS131" t="str">
        <f>""</f>
        <v/>
      </c>
      <c r="CT131" t="str">
        <f>""</f>
        <v/>
      </c>
      <c r="CU131" t="str">
        <f>""</f>
        <v/>
      </c>
      <c r="CV131" t="str">
        <f>""</f>
        <v/>
      </c>
      <c r="CW131" t="str">
        <f>""</f>
        <v/>
      </c>
      <c r="CX131" t="str">
        <f>""</f>
        <v/>
      </c>
      <c r="CY131" t="str">
        <f>""</f>
        <v/>
      </c>
      <c r="CZ131" t="str">
        <f>""</f>
        <v/>
      </c>
      <c r="DA131" t="str">
        <f>""</f>
        <v/>
      </c>
      <c r="DB131" t="str">
        <f>""</f>
        <v/>
      </c>
      <c r="DC131" t="str">
        <f>""</f>
        <v/>
      </c>
      <c r="DD131" t="str">
        <f>""</f>
        <v/>
      </c>
      <c r="DE131" t="str">
        <f>""</f>
        <v/>
      </c>
      <c r="DF131" t="str">
        <f>""</f>
        <v/>
      </c>
      <c r="DG131" t="str">
        <f>""</f>
        <v/>
      </c>
      <c r="DH131" t="str">
        <f>""</f>
        <v/>
      </c>
      <c r="DI131" t="str">
        <f>""</f>
        <v/>
      </c>
      <c r="DJ131" t="str">
        <f>""</f>
        <v/>
      </c>
      <c r="DK131" t="str">
        <f>""</f>
        <v/>
      </c>
      <c r="DL131" t="str">
        <f>""</f>
        <v/>
      </c>
      <c r="DM131" t="str">
        <f>""</f>
        <v/>
      </c>
      <c r="DN131" t="str">
        <f>""</f>
        <v/>
      </c>
      <c r="DO131" t="str">
        <f>""</f>
        <v/>
      </c>
      <c r="DP131" t="str">
        <f>""</f>
        <v/>
      </c>
      <c r="DQ131" t="str">
        <f>""</f>
        <v/>
      </c>
      <c r="DR131" t="str">
        <f>""</f>
        <v/>
      </c>
      <c r="DS131" t="str">
        <f>""</f>
        <v/>
      </c>
      <c r="DT131" t="str">
        <f>""</f>
        <v/>
      </c>
      <c r="DU131" t="str">
        <f>""</f>
        <v/>
      </c>
    </row>
    <row r="132" spans="1:125" x14ac:dyDescent="0.25">
      <c r="A132" t="str">
        <f>"    BYD Co Ltd"</f>
        <v xml:space="preserve">    BYD Co Ltd</v>
      </c>
      <c r="B132" t="str">
        <f>"1211 HK Equity"</f>
        <v>1211 HK Equity</v>
      </c>
      <c r="C132" t="str">
        <f t="shared" si="9"/>
        <v>RR903</v>
      </c>
      <c r="D132" t="str">
        <f t="shared" si="10"/>
        <v>PX_TO_BOOK_RATIO</v>
      </c>
      <c r="E132" t="str">
        <f t="shared" si="11"/>
        <v>Dynamic</v>
      </c>
      <c r="F132">
        <f ca="1">IF(AND(ISNUMBER($F$803),$B$677=1),$F$803,HLOOKUP(INDIRECT(ADDRESS(2,COLUMN())),OFFSET($BN$2,0,0,ROW()-1,60),ROW()-1,FALSE))</f>
        <v>2.3184545569999999</v>
      </c>
      <c r="G132">
        <f ca="1">IF(AND(ISNUMBER($G$803),$B$677=1),$G$803,HLOOKUP(INDIRECT(ADDRESS(2,COLUMN())),OFFSET($BN$2,0,0,ROW()-1,60),ROW()-1,FALSE))</f>
        <v>2.3659518909999999</v>
      </c>
      <c r="H132">
        <f ca="1">IF(AND(ISNUMBER($H$803),$B$677=1),$H$803,HLOOKUP(INDIRECT(ADDRESS(2,COLUMN())),OFFSET($BN$2,0,0,ROW()-1,60),ROW()-1,FALSE))</f>
        <v>2.6606301179999998</v>
      </c>
      <c r="I132">
        <f ca="1">IF(AND(ISNUMBER($I$803),$B$677=1),$I$803,HLOOKUP(INDIRECT(ADDRESS(2,COLUMN())),OFFSET($BN$2,0,0,ROW()-1,60),ROW()-1,FALSE))</f>
        <v>2.175979586</v>
      </c>
      <c r="J132">
        <f ca="1">IF(AND(ISNUMBER($J$803),$B$677=1),$J$803,HLOOKUP(INDIRECT(ADDRESS(2,COLUMN())),OFFSET($BN$2,0,0,ROW()-1,60),ROW()-1,FALSE))</f>
        <v>2.6220556780000002</v>
      </c>
      <c r="K132">
        <f ca="1">IF(AND(ISNUMBER($K$803),$B$677=1),$K$803,HLOOKUP(INDIRECT(ADDRESS(2,COLUMN())),OFFSET($BN$2,0,0,ROW()-1,60),ROW()-1,FALSE))</f>
        <v>3.0276375280000001</v>
      </c>
      <c r="L132">
        <f ca="1">IF(AND(ISNUMBER($L$803),$B$677=1),$L$803,HLOOKUP(INDIRECT(ADDRESS(2,COLUMN())),OFFSET($BN$2,0,0,ROW()-1,60),ROW()-1,FALSE))</f>
        <v>3.343638356</v>
      </c>
      <c r="M132">
        <f ca="1">IF(AND(ISNUMBER($M$803),$B$677=1),$M$803,HLOOKUP(INDIRECT(ADDRESS(2,COLUMN())),OFFSET($BN$2,0,0,ROW()-1,60),ROW()-1,FALSE))</f>
        <v>2.3192367300000001</v>
      </c>
      <c r="N132">
        <f ca="1">IF(AND(ISNUMBER($N$803),$B$677=1),$N$803,HLOOKUP(INDIRECT(ADDRESS(2,COLUMN())),OFFSET($BN$2,0,0,ROW()-1,60),ROW()-1,FALSE))</f>
        <v>2.1586411320000001</v>
      </c>
      <c r="O132">
        <f ca="1">IF(AND(ISNUMBER($O$803),$B$677=1),$O$803,HLOOKUP(INDIRECT(ADDRESS(2,COLUMN())),OFFSET($BN$2,0,0,ROW()-1,60),ROW()-1,FALSE))</f>
        <v>2.1016034760000002</v>
      </c>
      <c r="P132">
        <f ca="1">IF(AND(ISNUMBER($P$803),$B$677=1),$P$803,HLOOKUP(INDIRECT(ADDRESS(2,COLUMN())),OFFSET($BN$2,0,0,ROW()-1,60),ROW()-1,FALSE))</f>
        <v>2.551933553</v>
      </c>
      <c r="Q132">
        <f ca="1">IF(AND(ISNUMBER($Q$803),$B$677=1),$Q$803,HLOOKUP(INDIRECT(ADDRESS(2,COLUMN())),OFFSET($BN$2,0,0,ROW()-1,60),ROW()-1,FALSE))</f>
        <v>3.1783940030000002</v>
      </c>
      <c r="R132">
        <f ca="1">IF(AND(ISNUMBER($R$803),$B$677=1),$R$803,HLOOKUP(INDIRECT(ADDRESS(2,COLUMN())),OFFSET($BN$2,0,0,ROW()-1,60),ROW()-1,FALSE))</f>
        <v>3.1280176389999998</v>
      </c>
      <c r="S132">
        <f ca="1">IF(AND(ISNUMBER($S$803),$B$677=1),$S$803,HLOOKUP(INDIRECT(ADDRESS(2,COLUMN())),OFFSET($BN$2,0,0,ROW()-1,60),ROW()-1,FALSE))</f>
        <v>2.7372374069999998</v>
      </c>
      <c r="T132">
        <f ca="1">IF(AND(ISNUMBER($T$803),$B$677=1),$T$803,HLOOKUP(INDIRECT(ADDRESS(2,COLUMN())),OFFSET($BN$2,0,0,ROW()-1,60),ROW()-1,FALSE))</f>
        <v>3.0419332749999999</v>
      </c>
      <c r="U132">
        <f ca="1">IF(AND(ISNUMBER($U$803),$B$677=1),$U$803,HLOOKUP(INDIRECT(ADDRESS(2,COLUMN())),OFFSET($BN$2,0,0,ROW()-1,60),ROW()-1,FALSE))</f>
        <v>3.566656321</v>
      </c>
      <c r="V132">
        <f ca="1">IF(AND(ISNUMBER($V$803),$B$677=1),$V$803,HLOOKUP(INDIRECT(ADDRESS(2,COLUMN())),OFFSET($BN$2,0,0,ROW()-1,60),ROW()-1,FALSE))</f>
        <v>3.0992066130000002</v>
      </c>
      <c r="W132">
        <f ca="1">IF(AND(ISNUMBER($W$803),$B$677=1),$W$803,HLOOKUP(INDIRECT(ADDRESS(2,COLUMN())),OFFSET($BN$2,0,0,ROW()-1,60),ROW()-1,FALSE))</f>
        <v>2.371667398</v>
      </c>
      <c r="X132">
        <f ca="1">IF(AND(ISNUMBER($X$803),$B$677=1),$X$803,HLOOKUP(INDIRECT(ADDRESS(2,COLUMN())),OFFSET($BN$2,0,0,ROW()-1,60),ROW()-1,FALSE))</f>
        <v>3.9829987710000001</v>
      </c>
      <c r="Y132">
        <f ca="1">IF(AND(ISNUMBER($Y$803),$B$677=1),$Y$803,HLOOKUP(INDIRECT(ADDRESS(2,COLUMN())),OFFSET($BN$2,0,0,ROW()-1,60),ROW()-1,FALSE))</f>
        <v>3.4851527409999998</v>
      </c>
      <c r="Z132">
        <f ca="1">IF(AND(ISNUMBER($Z$803),$B$677=1),$Z$803,HLOOKUP(INDIRECT(ADDRESS(2,COLUMN())),OFFSET($BN$2,0,0,ROW()-1,60),ROW()-1,FALSE))</f>
        <v>4.1651720819999998</v>
      </c>
      <c r="AA132">
        <f ca="1">IF(AND(ISNUMBER($AA$803),$B$677=1),$AA$803,HLOOKUP(INDIRECT(ADDRESS(2,COLUMN())),OFFSET($BN$2,0,0,ROW()-1,60),ROW()-1,FALSE))</f>
        <v>3.2163731609999999</v>
      </c>
      <c r="AB132">
        <f ca="1">IF(AND(ISNUMBER($AB$803),$B$677=1),$AB$803,HLOOKUP(INDIRECT(ADDRESS(2,COLUMN())),OFFSET($BN$2,0,0,ROW()-1,60),ROW()-1,FALSE))</f>
        <v>2.9739312230000001</v>
      </c>
      <c r="AC132">
        <f ca="1">IF(AND(ISNUMBER($AC$803),$B$677=1),$AC$803,HLOOKUP(INDIRECT(ADDRESS(2,COLUMN())),OFFSET($BN$2,0,0,ROW()-1,60),ROW()-1,FALSE))</f>
        <v>2.2172072049999998</v>
      </c>
      <c r="AD132">
        <f ca="1">IF(AND(ISNUMBER($AD$803),$B$677=1),$AD$803,HLOOKUP(INDIRECT(ADDRESS(2,COLUMN())),OFFSET($BN$2,0,0,ROW()-1,60),ROW()-1,FALSE))</f>
        <v>2.1863484209999999</v>
      </c>
      <c r="AE132">
        <f ca="1">IF(AND(ISNUMBER($AE$803),$B$677=1),$AE$803,HLOOKUP(INDIRECT(ADDRESS(2,COLUMN())),OFFSET($BN$2,0,0,ROW()-1,60),ROW()-1,FALSE))</f>
        <v>2.0771033999999999</v>
      </c>
      <c r="AF132">
        <f ca="1">IF(AND(ISNUMBER($AF$803),$B$677=1),$AF$803,HLOOKUP(INDIRECT(ADDRESS(2,COLUMN())),OFFSET($BN$2,0,0,ROW()-1,60),ROW()-1,FALSE))</f>
        <v>1.2195841860000001</v>
      </c>
      <c r="AG132">
        <f ca="1">IF(AND(ISNUMBER($AG$803),$B$677=1),$AG$803,HLOOKUP(INDIRECT(ADDRESS(2,COLUMN())),OFFSET($BN$2,0,0,ROW()-1,60),ROW()-1,FALSE))</f>
        <v>1.335590657</v>
      </c>
      <c r="AH132">
        <f ca="1">IF(AND(ISNUMBER($AH$803),$B$677=1),$AH$803,HLOOKUP(INDIRECT(ADDRESS(2,COLUMN())),OFFSET($BN$2,0,0,ROW()-1,60),ROW()-1,FALSE))</f>
        <v>1.9588667049999999</v>
      </c>
      <c r="AI132">
        <f ca="1">IF(AND(ISNUMBER($AI$803),$B$677=1),$AI$803,HLOOKUP(INDIRECT(ADDRESS(2,COLUMN())),OFFSET($BN$2,0,0,ROW()-1,60),ROW()-1,FALSE))</f>
        <v>1.522190953</v>
      </c>
      <c r="AJ132">
        <f ca="1">IF(AND(ISNUMBER($AJ$803),$B$677=1),$AJ$803,HLOOKUP(INDIRECT(ADDRESS(2,COLUMN())),OFFSET($BN$2,0,0,ROW()-1,60),ROW()-1,FALSE))</f>
        <v>1.2641195009999999</v>
      </c>
      <c r="AK132">
        <f ca="1">IF(AND(ISNUMBER($AK$803),$B$677=1),$AK$803,HLOOKUP(INDIRECT(ADDRESS(2,COLUMN())),OFFSET($BN$2,0,0,ROW()-1,60),ROW()-1,FALSE))</f>
        <v>2.5747896099999998</v>
      </c>
      <c r="AL132">
        <f ca="1">IF(AND(ISNUMBER($AL$803),$B$677=1),$AL$803,HLOOKUP(INDIRECT(ADDRESS(2,COLUMN())),OFFSET($BN$2,0,0,ROW()-1,60),ROW()-1,FALSE))</f>
        <v>3.0926890440000001</v>
      </c>
      <c r="AM132">
        <f ca="1">IF(AND(ISNUMBER($AM$803),$B$677=1),$AM$803,HLOOKUP(INDIRECT(ADDRESS(2,COLUMN())),OFFSET($BN$2,0,0,ROW()-1,60),ROW()-1,FALSE))</f>
        <v>4.2681679490000004</v>
      </c>
      <c r="AN132">
        <f ca="1">IF(AND(ISNUMBER($AN$803),$B$677=1),$AN$803,HLOOKUP(INDIRECT(ADDRESS(2,COLUMN())),OFFSET($BN$2,0,0,ROW()-1,60),ROW()-1,FALSE))</f>
        <v>6.6572203539999997</v>
      </c>
      <c r="AO132">
        <f ca="1">IF(AND(ISNUMBER($AO$803),$B$677=1),$AO$803,HLOOKUP(INDIRECT(ADDRESS(2,COLUMN())),OFFSET($BN$2,0,0,ROW()-1,60),ROW()-1,FALSE))</f>
        <v>6.292162169</v>
      </c>
      <c r="AP132">
        <f ca="1">IF(AND(ISNUMBER($AP$803),$B$677=1),$AP$803,HLOOKUP(INDIRECT(ADDRESS(2,COLUMN())),OFFSET($BN$2,0,0,ROW()-1,60),ROW()-1,FALSE))</f>
        <v>8.4006808419999999</v>
      </c>
      <c r="AQ132">
        <f ca="1">IF(AND(ISNUMBER($AQ$803),$B$677=1),$AQ$803,HLOOKUP(INDIRECT(ADDRESS(2,COLUMN())),OFFSET($BN$2,0,0,ROW()-1,60),ROW()-1,FALSE))</f>
        <v>8.2197878069999994</v>
      </c>
      <c r="AR132">
        <f ca="1">IF(AND(ISNUMBER($AR$803),$B$677=1),$AR$803,HLOOKUP(INDIRECT(ADDRESS(2,COLUMN())),OFFSET($BN$2,0,0,ROW()-1,60),ROW()-1,FALSE))</f>
        <v>8.4181053190000004</v>
      </c>
      <c r="AS132" t="str">
        <f ca="1">IF(AND(ISNUMBER($AS$803),$B$677=1),$AS$803,HLOOKUP(INDIRECT(ADDRESS(2,COLUMN())),OFFSET($BN$2,0,0,ROW()-1,60),ROW()-1,FALSE))</f>
        <v/>
      </c>
      <c r="AT132" t="str">
        <f ca="1">IF(AND(ISNUMBER($AT$803),$B$677=1),$AT$803,HLOOKUP(INDIRECT(ADDRESS(2,COLUMN())),OFFSET($BN$2,0,0,ROW()-1,60),ROW()-1,FALSE))</f>
        <v/>
      </c>
      <c r="AU132" t="str">
        <f ca="1">IF(AND(ISNUMBER($AU$803),$B$677=1),$AU$803,HLOOKUP(INDIRECT(ADDRESS(2,COLUMN())),OFFSET($BN$2,0,0,ROW()-1,60),ROW()-1,FALSE))</f>
        <v/>
      </c>
      <c r="AV132" t="str">
        <f ca="1">IF(AND(ISNUMBER($AV$803),$B$677=1),$AV$803,HLOOKUP(INDIRECT(ADDRESS(2,COLUMN())),OFFSET($BN$2,0,0,ROW()-1,60),ROW()-1,FALSE))</f>
        <v/>
      </c>
      <c r="AW132" t="str">
        <f ca="1">IF(AND(ISNUMBER($AW$803),$B$677=1),$AW$803,HLOOKUP(INDIRECT(ADDRESS(2,COLUMN())),OFFSET($BN$2,0,0,ROW()-1,60),ROW()-1,FALSE))</f>
        <v/>
      </c>
      <c r="AX132" t="str">
        <f ca="1">IF(AND(ISNUMBER($AX$803),$B$677=1),$AX$803,HLOOKUP(INDIRECT(ADDRESS(2,COLUMN())),OFFSET($BN$2,0,0,ROW()-1,60),ROW()-1,FALSE))</f>
        <v/>
      </c>
      <c r="AY132" t="str">
        <f ca="1">IF(AND(ISNUMBER($AY$803),$B$677=1),$AY$803,HLOOKUP(INDIRECT(ADDRESS(2,COLUMN())),OFFSET($BN$2,0,0,ROW()-1,60),ROW()-1,FALSE))</f>
        <v/>
      </c>
      <c r="AZ132" t="str">
        <f ca="1">IF(AND(ISNUMBER($AZ$803),$B$677=1),$AZ$803,HLOOKUP(INDIRECT(ADDRESS(2,COLUMN())),OFFSET($BN$2,0,0,ROW()-1,60),ROW()-1,FALSE))</f>
        <v/>
      </c>
      <c r="BA132" t="str">
        <f ca="1">IF(AND(ISNUMBER($BA$803),$B$677=1),$BA$803,HLOOKUP(INDIRECT(ADDRESS(2,COLUMN())),OFFSET($BN$2,0,0,ROW()-1,60),ROW()-1,FALSE))</f>
        <v/>
      </c>
      <c r="BB132" t="str">
        <f ca="1">IF(AND(ISNUMBER($BB$803),$B$677=1),$BB$803,HLOOKUP(INDIRECT(ADDRESS(2,COLUMN())),OFFSET($BN$2,0,0,ROW()-1,60),ROW()-1,FALSE))</f>
        <v/>
      </c>
      <c r="BC132" t="str">
        <f ca="1">IF(AND(ISNUMBER($BC$803),$B$677=1),$BC$803,HLOOKUP(INDIRECT(ADDRESS(2,COLUMN())),OFFSET($BN$2,0,0,ROW()-1,60),ROW()-1,FALSE))</f>
        <v/>
      </c>
      <c r="BD132" t="str">
        <f ca="1">IF(AND(ISNUMBER($BD$803),$B$677=1),$BD$803,HLOOKUP(INDIRECT(ADDRESS(2,COLUMN())),OFFSET($BN$2,0,0,ROW()-1,60),ROW()-1,FALSE))</f>
        <v/>
      </c>
      <c r="BE132" t="str">
        <f ca="1">IF(AND(ISNUMBER($BE$803),$B$677=1),$BE$803,HLOOKUP(INDIRECT(ADDRESS(2,COLUMN())),OFFSET($BN$2,0,0,ROW()-1,60),ROW()-1,FALSE))</f>
        <v/>
      </c>
      <c r="BF132" t="str">
        <f ca="1">IF(AND(ISNUMBER($BF$803),$B$677=1),$BF$803,HLOOKUP(INDIRECT(ADDRESS(2,COLUMN())),OFFSET($BN$2,0,0,ROW()-1,60),ROW()-1,FALSE))</f>
        <v/>
      </c>
      <c r="BG132" t="str">
        <f ca="1">IF(AND(ISNUMBER($BG$803),$B$677=1),$BG$803,HLOOKUP(INDIRECT(ADDRESS(2,COLUMN())),OFFSET($BN$2,0,0,ROW()-1,60),ROW()-1,FALSE))</f>
        <v/>
      </c>
      <c r="BH132" t="str">
        <f ca="1">IF(AND(ISNUMBER($BH$803),$B$677=1),$BH$803,HLOOKUP(INDIRECT(ADDRESS(2,COLUMN())),OFFSET($BN$2,0,0,ROW()-1,60),ROW()-1,FALSE))</f>
        <v/>
      </c>
      <c r="BI132" t="str">
        <f ca="1">IF(AND(ISNUMBER($BI$803),$B$677=1),$BI$803,HLOOKUP(INDIRECT(ADDRESS(2,COLUMN())),OFFSET($BN$2,0,0,ROW()-1,60),ROW()-1,FALSE))</f>
        <v/>
      </c>
      <c r="BJ132" t="str">
        <f ca="1">IF(AND(ISNUMBER($BJ$803),$B$677=1),$BJ$803,HLOOKUP(INDIRECT(ADDRESS(2,COLUMN())),OFFSET($BN$2,0,0,ROW()-1,60),ROW()-1,FALSE))</f>
        <v/>
      </c>
      <c r="BK132" t="str">
        <f ca="1">IF(AND(ISNUMBER($BK$803),$B$677=1),$BK$803,HLOOKUP(INDIRECT(ADDRESS(2,COLUMN())),OFFSET($BN$2,0,0,ROW()-1,60),ROW()-1,FALSE))</f>
        <v/>
      </c>
      <c r="BL132" t="str">
        <f ca="1">IF(AND(ISNUMBER($BL$803),$B$677=1),$BL$803,HLOOKUP(INDIRECT(ADDRESS(2,COLUMN())),OFFSET($BN$2,0,0,ROW()-1,60),ROW()-1,FALSE))</f>
        <v/>
      </c>
      <c r="BM132" t="str">
        <f ca="1">IF(AND(ISNUMBER($BM$803),$B$677=1),$BM$803,HLOOKUP(INDIRECT(ADDRESS(2,COLUMN())),OFFSET($BN$2,0,0,ROW()-1,60),ROW()-1,FALSE))</f>
        <v/>
      </c>
      <c r="BN132">
        <f>2.318454557</f>
        <v>2.3184545569999999</v>
      </c>
      <c r="BO132">
        <f>2.365951891</f>
        <v>2.3659518909999999</v>
      </c>
      <c r="BP132">
        <f>2.660630118</f>
        <v>2.6606301179999998</v>
      </c>
      <c r="BQ132">
        <f>2.175979586</f>
        <v>2.175979586</v>
      </c>
      <c r="BR132">
        <f>2.622055678</f>
        <v>2.6220556780000002</v>
      </c>
      <c r="BS132">
        <f>3.027637528</f>
        <v>3.0276375280000001</v>
      </c>
      <c r="BT132">
        <f>3.343638356</f>
        <v>3.343638356</v>
      </c>
      <c r="BU132">
        <f>2.31923673</f>
        <v>2.3192367300000001</v>
      </c>
      <c r="BV132">
        <f>2.158641132</f>
        <v>2.1586411320000001</v>
      </c>
      <c r="BW132">
        <f>2.101603476</f>
        <v>2.1016034760000002</v>
      </c>
      <c r="BX132">
        <f>2.551933553</f>
        <v>2.551933553</v>
      </c>
      <c r="BY132">
        <f>3.178394003</f>
        <v>3.1783940030000002</v>
      </c>
      <c r="BZ132">
        <f>3.128017639</f>
        <v>3.1280176389999998</v>
      </c>
      <c r="CA132">
        <f>2.737237407</f>
        <v>2.7372374069999998</v>
      </c>
      <c r="CB132">
        <f>3.041933275</f>
        <v>3.0419332749999999</v>
      </c>
      <c r="CC132">
        <f>3.566656321</f>
        <v>3.566656321</v>
      </c>
      <c r="CD132">
        <f>3.099206613</f>
        <v>3.0992066130000002</v>
      </c>
      <c r="CE132">
        <f>2.371667398</f>
        <v>2.371667398</v>
      </c>
      <c r="CF132">
        <f>3.982998771</f>
        <v>3.9829987710000001</v>
      </c>
      <c r="CG132">
        <f>3.485152741</f>
        <v>3.4851527409999998</v>
      </c>
      <c r="CH132">
        <f>4.165172082</f>
        <v>4.1651720819999998</v>
      </c>
      <c r="CI132">
        <f>3.216373161</f>
        <v>3.2163731609999999</v>
      </c>
      <c r="CJ132">
        <f>2.973931223</f>
        <v>2.9739312230000001</v>
      </c>
      <c r="CK132">
        <f>2.217207205</f>
        <v>2.2172072049999998</v>
      </c>
      <c r="CL132">
        <f>2.186348421</f>
        <v>2.1863484209999999</v>
      </c>
      <c r="CM132">
        <f>2.0771034</f>
        <v>2.0771033999999999</v>
      </c>
      <c r="CN132">
        <f>1.219584186</f>
        <v>1.2195841860000001</v>
      </c>
      <c r="CO132">
        <f>1.335590657</f>
        <v>1.335590657</v>
      </c>
      <c r="CP132">
        <f>1.958866705</f>
        <v>1.9588667049999999</v>
      </c>
      <c r="CQ132">
        <f>1.522190953</f>
        <v>1.522190953</v>
      </c>
      <c r="CR132">
        <f>1.264119501</f>
        <v>1.2641195009999999</v>
      </c>
      <c r="CS132">
        <f>2.57478961</f>
        <v>2.5747896099999998</v>
      </c>
      <c r="CT132">
        <f>3.092689044</f>
        <v>3.0926890440000001</v>
      </c>
      <c r="CU132">
        <f>4.268167949</f>
        <v>4.2681679490000004</v>
      </c>
      <c r="CV132">
        <f>6.657220354</f>
        <v>6.6572203539999997</v>
      </c>
      <c r="CW132">
        <f>6.292162169</f>
        <v>6.292162169</v>
      </c>
      <c r="CX132">
        <f>8.400680842</f>
        <v>8.4006808419999999</v>
      </c>
      <c r="CY132">
        <f>8.219787807</f>
        <v>8.2197878069999994</v>
      </c>
      <c r="CZ132">
        <f>8.418105319</f>
        <v>8.4181053190000004</v>
      </c>
      <c r="DA132" t="str">
        <f>""</f>
        <v/>
      </c>
      <c r="DB132" t="str">
        <f>""</f>
        <v/>
      </c>
      <c r="DC132" t="str">
        <f>""</f>
        <v/>
      </c>
      <c r="DD132" t="str">
        <f>""</f>
        <v/>
      </c>
      <c r="DE132" t="str">
        <f>""</f>
        <v/>
      </c>
      <c r="DF132" t="str">
        <f>""</f>
        <v/>
      </c>
      <c r="DG132" t="str">
        <f>""</f>
        <v/>
      </c>
      <c r="DH132" t="str">
        <f>""</f>
        <v/>
      </c>
      <c r="DI132" t="str">
        <f>""</f>
        <v/>
      </c>
      <c r="DJ132" t="str">
        <f>""</f>
        <v/>
      </c>
      <c r="DK132" t="str">
        <f>""</f>
        <v/>
      </c>
      <c r="DL132" t="str">
        <f>""</f>
        <v/>
      </c>
      <c r="DM132" t="str">
        <f>""</f>
        <v/>
      </c>
      <c r="DN132" t="str">
        <f>""</f>
        <v/>
      </c>
      <c r="DO132" t="str">
        <f>""</f>
        <v/>
      </c>
      <c r="DP132" t="str">
        <f>""</f>
        <v/>
      </c>
      <c r="DQ132" t="str">
        <f>""</f>
        <v/>
      </c>
      <c r="DR132" t="str">
        <f>""</f>
        <v/>
      </c>
      <c r="DS132" t="str">
        <f>""</f>
        <v/>
      </c>
      <c r="DT132" t="str">
        <f>""</f>
        <v/>
      </c>
      <c r="DU132" t="str">
        <f>""</f>
        <v/>
      </c>
    </row>
    <row r="133" spans="1:125" x14ac:dyDescent="0.25">
      <c r="A133" t="str">
        <f>"    Chongqing Changan Automobile Co Ltd"</f>
        <v xml:space="preserve">    Chongqing Changan Automobile Co Ltd</v>
      </c>
      <c r="B133" t="str">
        <f>"200625 CH Equity"</f>
        <v>200625 CH Equity</v>
      </c>
      <c r="C133" t="str">
        <f t="shared" si="9"/>
        <v>RR903</v>
      </c>
      <c r="D133" t="str">
        <f t="shared" si="10"/>
        <v>PX_TO_BOOK_RATIO</v>
      </c>
      <c r="E133" t="str">
        <f t="shared" si="11"/>
        <v>Dynamic</v>
      </c>
      <c r="F133">
        <f ca="1">IF(AND(ISNUMBER($F$804),$B$677=1),$F$804,HLOOKUP(INDIRECT(ADDRESS(2,COLUMN())),OFFSET($BN$2,0,0,ROW()-1,60),ROW()-1,FALSE))</f>
        <v>0.379387323</v>
      </c>
      <c r="G133">
        <f ca="1">IF(AND(ISNUMBER($G$804),$B$677=1),$G$804,HLOOKUP(INDIRECT(ADDRESS(2,COLUMN())),OFFSET($BN$2,0,0,ROW()-1,60),ROW()-1,FALSE))</f>
        <v>0.31398916900000001</v>
      </c>
      <c r="H133">
        <f ca="1">IF(AND(ISNUMBER($H$804),$B$677=1),$H$804,HLOOKUP(INDIRECT(ADDRESS(2,COLUMN())),OFFSET($BN$2,0,0,ROW()-1,60),ROW()-1,FALSE))</f>
        <v>0.568195334</v>
      </c>
      <c r="I133">
        <f ca="1">IF(AND(ISNUMBER($I$804),$B$677=1),$I$804,HLOOKUP(INDIRECT(ADDRESS(2,COLUMN())),OFFSET($BN$2,0,0,ROW()-1,60),ROW()-1,FALSE))</f>
        <v>0.67952788500000005</v>
      </c>
      <c r="J133">
        <f ca="1">IF(AND(ISNUMBER($J$804),$B$677=1),$J$804,HLOOKUP(INDIRECT(ADDRESS(2,COLUMN())),OFFSET($BN$2,0,0,ROW()-1,60),ROW()-1,FALSE))</f>
        <v>0.63878824400000001</v>
      </c>
      <c r="K133">
        <f ca="1">IF(AND(ISNUMBER($K$804),$B$677=1),$K$804,HLOOKUP(INDIRECT(ADDRESS(2,COLUMN())),OFFSET($BN$2,0,0,ROW()-1,60),ROW()-1,FALSE))</f>
        <v>0.72271341600000005</v>
      </c>
      <c r="L133">
        <f ca="1">IF(AND(ISNUMBER($L$804),$B$677=1),$L$804,HLOOKUP(INDIRECT(ADDRESS(2,COLUMN())),OFFSET($BN$2,0,0,ROW()-1,60),ROW()-1,FALSE))</f>
        <v>0.90934411000000004</v>
      </c>
      <c r="M133">
        <f ca="1">IF(AND(ISNUMBER($M$804),$B$677=1),$M$804,HLOOKUP(INDIRECT(ADDRESS(2,COLUMN())),OFFSET($BN$2,0,0,ROW()-1,60),ROW()-1,FALSE))</f>
        <v>0.95050359299999998</v>
      </c>
      <c r="N133">
        <f ca="1">IF(AND(ISNUMBER($N$804),$B$677=1),$N$804,HLOOKUP(INDIRECT(ADDRESS(2,COLUMN())),OFFSET($BN$2,0,0,ROW()-1,60),ROW()-1,FALSE))</f>
        <v>0.998501835</v>
      </c>
      <c r="O133">
        <f ca="1">IF(AND(ISNUMBER($O$804),$B$677=1),$O$804,HLOOKUP(INDIRECT(ADDRESS(2,COLUMN())),OFFSET($BN$2,0,0,ROW()-1,60),ROW()-1,FALSE))</f>
        <v>1.0939747319999999</v>
      </c>
      <c r="P133">
        <f ca="1">IF(AND(ISNUMBER($P$804),$B$677=1),$P$804,HLOOKUP(INDIRECT(ADDRESS(2,COLUMN())),OFFSET($BN$2,0,0,ROW()-1,60),ROW()-1,FALSE))</f>
        <v>1.297425155</v>
      </c>
      <c r="Q133">
        <f ca="1">IF(AND(ISNUMBER($Q$804),$B$677=1),$Q$804,HLOOKUP(INDIRECT(ADDRESS(2,COLUMN())),OFFSET($BN$2,0,0,ROW()-1,60),ROW()-1,FALSE))</f>
        <v>1.1737112199999999</v>
      </c>
      <c r="R133">
        <f ca="1">IF(AND(ISNUMBER($R$804),$B$677=1),$R$804,HLOOKUP(INDIRECT(ADDRESS(2,COLUMN())),OFFSET($BN$2,0,0,ROW()-1,60),ROW()-1,FALSE))</f>
        <v>1.5223500480000001</v>
      </c>
      <c r="S133">
        <f ca="1">IF(AND(ISNUMBER($S$804),$B$677=1),$S$804,HLOOKUP(INDIRECT(ADDRESS(2,COLUMN())),OFFSET($BN$2,0,0,ROW()-1,60),ROW()-1,FALSE))</f>
        <v>1.941107404</v>
      </c>
      <c r="T133">
        <f ca="1">IF(AND(ISNUMBER($T$804),$B$677=1),$T$804,HLOOKUP(INDIRECT(ADDRESS(2,COLUMN())),OFFSET($BN$2,0,0,ROW()-1,60),ROW()-1,FALSE))</f>
        <v>1.610247518</v>
      </c>
      <c r="U133">
        <f ca="1">IF(AND(ISNUMBER($U$804),$B$677=1),$U$804,HLOOKUP(INDIRECT(ADDRESS(2,COLUMN())),OFFSET($BN$2,0,0,ROW()-1,60),ROW()-1,FALSE))</f>
        <v>2.505885943</v>
      </c>
      <c r="V133">
        <f ca="1">IF(AND(ISNUMBER($V$804),$B$677=1),$V$804,HLOOKUP(INDIRECT(ADDRESS(2,COLUMN())),OFFSET($BN$2,0,0,ROW()-1,60),ROW()-1,FALSE))</f>
        <v>3.1073664110000001</v>
      </c>
      <c r="W133">
        <f ca="1">IF(AND(ISNUMBER($W$804),$B$677=1),$W$804,HLOOKUP(INDIRECT(ADDRESS(2,COLUMN())),OFFSET($BN$2,0,0,ROW()-1,60),ROW()-1,FALSE))</f>
        <v>2.5567990410000001</v>
      </c>
      <c r="X133">
        <f ca="1">IF(AND(ISNUMBER($X$804),$B$677=1),$X$804,HLOOKUP(INDIRECT(ADDRESS(2,COLUMN())),OFFSET($BN$2,0,0,ROW()-1,60),ROW()-1,FALSE))</f>
        <v>2.6258928880000001</v>
      </c>
      <c r="Y133">
        <f ca="1">IF(AND(ISNUMBER($Y$804),$B$677=1),$Y$804,HLOOKUP(INDIRECT(ADDRESS(2,COLUMN())),OFFSET($BN$2,0,0,ROW()-1,60),ROW()-1,FALSE))</f>
        <v>2.6480498809999999</v>
      </c>
      <c r="Z133">
        <f ca="1">IF(AND(ISNUMBER($Z$804),$B$677=1),$Z$804,HLOOKUP(INDIRECT(ADDRESS(2,COLUMN())),OFFSET($BN$2,0,0,ROW()-1,60),ROW()-1,FALSE))</f>
        <v>2.3233890220000002</v>
      </c>
      <c r="AA133">
        <f ca="1">IF(AND(ISNUMBER($AA$804),$B$677=1),$AA$804,HLOOKUP(INDIRECT(ADDRESS(2,COLUMN())),OFFSET($BN$2,0,0,ROW()-1,60),ROW()-1,FALSE))</f>
        <v>3.17556846</v>
      </c>
      <c r="AB133">
        <f ca="1">IF(AND(ISNUMBER($AB$804),$B$677=1),$AB$804,HLOOKUP(INDIRECT(ADDRESS(2,COLUMN())),OFFSET($BN$2,0,0,ROW()-1,60),ROW()-1,FALSE))</f>
        <v>2.4811395690000002</v>
      </c>
      <c r="AC133">
        <f ca="1">IF(AND(ISNUMBER($AC$804),$B$677=1),$AC$804,HLOOKUP(INDIRECT(ADDRESS(2,COLUMN())),OFFSET($BN$2,0,0,ROW()-1,60),ROW()-1,FALSE))</f>
        <v>2.0458709939999999</v>
      </c>
      <c r="AD133">
        <f ca="1">IF(AND(ISNUMBER($AD$804),$B$677=1),$AD$804,HLOOKUP(INDIRECT(ADDRESS(2,COLUMN())),OFFSET($BN$2,0,0,ROW()-1,60),ROW()-1,FALSE))</f>
        <v>1.766018149</v>
      </c>
      <c r="AE133">
        <f ca="1">IF(AND(ISNUMBER($AE$804),$B$677=1),$AE$804,HLOOKUP(INDIRECT(ADDRESS(2,COLUMN())),OFFSET($BN$2,0,0,ROW()-1,60),ROW()-1,FALSE))</f>
        <v>1.0518030030000001</v>
      </c>
      <c r="AF133">
        <f ca="1">IF(AND(ISNUMBER($AF$804),$B$677=1),$AF$804,HLOOKUP(INDIRECT(ADDRESS(2,COLUMN())),OFFSET($BN$2,0,0,ROW()-1,60),ROW()-1,FALSE))</f>
        <v>0.730417647</v>
      </c>
      <c r="AG133">
        <f ca="1">IF(AND(ISNUMBER($AG$804),$B$677=1),$AG$804,HLOOKUP(INDIRECT(ADDRESS(2,COLUMN())),OFFSET($BN$2,0,0,ROW()-1,60),ROW()-1,FALSE))</f>
        <v>0.79373629999999995</v>
      </c>
      <c r="AH133">
        <f ca="1">IF(AND(ISNUMBER($AH$804),$B$677=1),$AH$804,HLOOKUP(INDIRECT(ADDRESS(2,COLUMN())),OFFSET($BN$2,0,0,ROW()-1,60),ROW()-1,FALSE))</f>
        <v>0.84498256199999999</v>
      </c>
      <c r="AI133">
        <f ca="1">IF(AND(ISNUMBER($AI$804),$B$677=1),$AI$804,HLOOKUP(INDIRECT(ADDRESS(2,COLUMN())),OFFSET($BN$2,0,0,ROW()-1,60),ROW()-1,FALSE))</f>
        <v>0.73962040399999995</v>
      </c>
      <c r="AJ133">
        <f ca="1">IF(AND(ISNUMBER($AJ$804),$B$677=1),$AJ$804,HLOOKUP(INDIRECT(ADDRESS(2,COLUMN())),OFFSET($BN$2,0,0,ROW()-1,60),ROW()-1,FALSE))</f>
        <v>0.56690323399999998</v>
      </c>
      <c r="AK133">
        <f ca="1">IF(AND(ISNUMBER($AK$804),$B$677=1),$AK$804,HLOOKUP(INDIRECT(ADDRESS(2,COLUMN())),OFFSET($BN$2,0,0,ROW()-1,60),ROW()-1,FALSE))</f>
        <v>0.82171476099999996</v>
      </c>
      <c r="AL133">
        <f ca="1">IF(AND(ISNUMBER($AL$804),$B$677=1),$AL$804,HLOOKUP(INDIRECT(ADDRESS(2,COLUMN())),OFFSET($BN$2,0,0,ROW()-1,60),ROW()-1,FALSE))</f>
        <v>0.95067612999999995</v>
      </c>
      <c r="AM133">
        <f ca="1">IF(AND(ISNUMBER($AM$804),$B$677=1),$AM$804,HLOOKUP(INDIRECT(ADDRESS(2,COLUMN())),OFFSET($BN$2,0,0,ROW()-1,60),ROW()-1,FALSE))</f>
        <v>1.201173582</v>
      </c>
      <c r="AN133">
        <f ca="1">IF(AND(ISNUMBER($AN$804),$B$677=1),$AN$804,HLOOKUP(INDIRECT(ADDRESS(2,COLUMN())),OFFSET($BN$2,0,0,ROW()-1,60),ROW()-1,FALSE))</f>
        <v>1.3500909240000001</v>
      </c>
      <c r="AO133">
        <f ca="1">IF(AND(ISNUMBER($AO$804),$B$677=1),$AO$804,HLOOKUP(INDIRECT(ADDRESS(2,COLUMN())),OFFSET($BN$2,0,0,ROW()-1,60),ROW()-1,FALSE))</f>
        <v>0.91176030799999996</v>
      </c>
      <c r="AP133">
        <f ca="1">IF(AND(ISNUMBER($AP$804),$B$677=1),$AP$804,HLOOKUP(INDIRECT(ADDRESS(2,COLUMN())),OFFSET($BN$2,0,0,ROW()-1,60),ROW()-1,FALSE))</f>
        <v>1.4647555759999999</v>
      </c>
      <c r="AQ133">
        <f ca="1">IF(AND(ISNUMBER($AQ$804),$B$677=1),$AQ$804,HLOOKUP(INDIRECT(ADDRESS(2,COLUMN())),OFFSET($BN$2,0,0,ROW()-1,60),ROW()-1,FALSE))</f>
        <v>1.7971478869999999</v>
      </c>
      <c r="AR133">
        <f ca="1">IF(AND(ISNUMBER($AR$804),$B$677=1),$AR$804,HLOOKUP(INDIRECT(ADDRESS(2,COLUMN())),OFFSET($BN$2,0,0,ROW()-1,60),ROW()-1,FALSE))</f>
        <v>1.113545046</v>
      </c>
      <c r="AS133">
        <f ca="1">IF(AND(ISNUMBER($AS$804),$B$677=1),$AS$804,HLOOKUP(INDIRECT(ADDRESS(2,COLUMN())),OFFSET($BN$2,0,0,ROW()-1,60),ROW()-1,FALSE))</f>
        <v>0.91022787199999999</v>
      </c>
      <c r="AT133">
        <f ca="1">IF(AND(ISNUMBER($AT$804),$B$677=1),$AT$804,HLOOKUP(INDIRECT(ADDRESS(2,COLUMN())),OFFSET($BN$2,0,0,ROW()-1,60),ROW()-1,FALSE))</f>
        <v>0.79884283099999998</v>
      </c>
      <c r="AU133">
        <f ca="1">IF(AND(ISNUMBER($AU$804),$B$677=1),$AU$804,HLOOKUP(INDIRECT(ADDRESS(2,COLUMN())),OFFSET($BN$2,0,0,ROW()-1,60),ROW()-1,FALSE))</f>
        <v>0.43551174100000001</v>
      </c>
      <c r="AV133">
        <f ca="1">IF(AND(ISNUMBER($AV$804),$B$677=1),$AV$804,HLOOKUP(INDIRECT(ADDRESS(2,COLUMN())),OFFSET($BN$2,0,0,ROW()-1,60),ROW()-1,FALSE))</f>
        <v>0.48050052500000001</v>
      </c>
      <c r="AW133">
        <f ca="1">IF(AND(ISNUMBER($AW$804),$B$677=1),$AW$804,HLOOKUP(INDIRECT(ADDRESS(2,COLUMN())),OFFSET($BN$2,0,0,ROW()-1,60),ROW()-1,FALSE))</f>
        <v>0.74920719300000005</v>
      </c>
      <c r="AX133">
        <f ca="1">IF(AND(ISNUMBER($AX$804),$B$677=1),$AX$804,HLOOKUP(INDIRECT(ADDRESS(2,COLUMN())),OFFSET($BN$2,0,0,ROW()-1,60),ROW()-1,FALSE))</f>
        <v>1.142112896</v>
      </c>
      <c r="AY133">
        <f ca="1">IF(AND(ISNUMBER($AY$804),$B$677=1),$AY$804,HLOOKUP(INDIRECT(ADDRESS(2,COLUMN())),OFFSET($BN$2,0,0,ROW()-1,60),ROW()-1,FALSE))</f>
        <v>1.9952959880000001</v>
      </c>
      <c r="AZ133">
        <f ca="1">IF(AND(ISNUMBER($AZ$804),$B$677=1),$AZ$804,HLOOKUP(INDIRECT(ADDRESS(2,COLUMN())),OFFSET($BN$2,0,0,ROW()-1,60),ROW()-1,FALSE))</f>
        <v>2.4803678640000002</v>
      </c>
      <c r="BA133">
        <f ca="1">IF(AND(ISNUMBER($BA$804),$B$677=1),$BA$804,HLOOKUP(INDIRECT(ADDRESS(2,COLUMN())),OFFSET($BN$2,0,0,ROW()-1,60),ROW()-1,FALSE))</f>
        <v>1.919534316</v>
      </c>
      <c r="BB133">
        <f ca="1">IF(AND(ISNUMBER($BB$804),$B$677=1),$BB$804,HLOOKUP(INDIRECT(ADDRESS(2,COLUMN())),OFFSET($BN$2,0,0,ROW()-1,60),ROW()-1,FALSE))</f>
        <v>1.75605012</v>
      </c>
      <c r="BC133">
        <f ca="1">IF(AND(ISNUMBER($BC$804),$B$677=1),$BC$804,HLOOKUP(INDIRECT(ADDRESS(2,COLUMN())),OFFSET($BN$2,0,0,ROW()-1,60),ROW()-1,FALSE))</f>
        <v>1.4622819039999999</v>
      </c>
      <c r="BD133">
        <f ca="1">IF(AND(ISNUMBER($BD$804),$B$677=1),$BD$804,HLOOKUP(INDIRECT(ADDRESS(2,COLUMN())),OFFSET($BN$2,0,0,ROW()-1,60),ROW()-1,FALSE))</f>
        <v>0.910383516</v>
      </c>
      <c r="BE133">
        <f ca="1">IF(AND(ISNUMBER($BE$804),$B$677=1),$BE$804,HLOOKUP(INDIRECT(ADDRESS(2,COLUMN())),OFFSET($BN$2,0,0,ROW()-1,60),ROW()-1,FALSE))</f>
        <v>0.92841123999999997</v>
      </c>
      <c r="BF133">
        <f ca="1">IF(AND(ISNUMBER($BF$804),$B$677=1),$BF$804,HLOOKUP(INDIRECT(ADDRESS(2,COLUMN())),OFFSET($BN$2,0,0,ROW()-1,60),ROW()-1,FALSE))</f>
        <v>0.917419231</v>
      </c>
      <c r="BG133">
        <f ca="1">IF(AND(ISNUMBER($BG$804),$B$677=1),$BG$804,HLOOKUP(INDIRECT(ADDRESS(2,COLUMN())),OFFSET($BN$2,0,0,ROW()-1,60),ROW()-1,FALSE))</f>
        <v>0.54882791500000006</v>
      </c>
      <c r="BH133">
        <f ca="1">IF(AND(ISNUMBER($BH$804),$B$677=1),$BH$804,HLOOKUP(INDIRECT(ADDRESS(2,COLUMN())),OFFSET($BN$2,0,0,ROW()-1,60),ROW()-1,FALSE))</f>
        <v>0.83033053999999995</v>
      </c>
      <c r="BI133">
        <f ca="1">IF(AND(ISNUMBER($BI$804),$B$677=1),$BI$804,HLOOKUP(INDIRECT(ADDRESS(2,COLUMN())),OFFSET($BN$2,0,0,ROW()-1,60),ROW()-1,FALSE))</f>
        <v>1.0936427950000001</v>
      </c>
      <c r="BJ133">
        <f ca="1">IF(AND(ISNUMBER($BJ$804),$B$677=1),$BJ$804,HLOOKUP(INDIRECT(ADDRESS(2,COLUMN())),OFFSET($BN$2,0,0,ROW()-1,60),ROW()-1,FALSE))</f>
        <v>0.93660502199999995</v>
      </c>
      <c r="BK133">
        <f ca="1">IF(AND(ISNUMBER($BK$804),$B$677=1),$BK$804,HLOOKUP(INDIRECT(ADDRESS(2,COLUMN())),OFFSET($BN$2,0,0,ROW()-1,60),ROW()-1,FALSE))</f>
        <v>0.87807576300000001</v>
      </c>
      <c r="BL133" t="str">
        <f ca="1">IF(AND(ISNUMBER($BL$804),$B$677=1),$BL$804,HLOOKUP(INDIRECT(ADDRESS(2,COLUMN())),OFFSET($BN$2,0,0,ROW()-1,60),ROW()-1,FALSE))</f>
        <v/>
      </c>
      <c r="BM133" t="str">
        <f ca="1">IF(AND(ISNUMBER($BM$804),$B$677=1),$BM$804,HLOOKUP(INDIRECT(ADDRESS(2,COLUMN())),OFFSET($BN$2,0,0,ROW()-1,60),ROW()-1,FALSE))</f>
        <v/>
      </c>
      <c r="BN133">
        <f>0.379387323</f>
        <v>0.379387323</v>
      </c>
      <c r="BO133">
        <f>0.313989169</f>
        <v>0.31398916900000001</v>
      </c>
      <c r="BP133">
        <f>0.568195334</f>
        <v>0.568195334</v>
      </c>
      <c r="BQ133">
        <f>0.679527885</f>
        <v>0.67952788500000005</v>
      </c>
      <c r="BR133">
        <f>0.638788244</f>
        <v>0.63878824400000001</v>
      </c>
      <c r="BS133">
        <f>0.722713416</f>
        <v>0.72271341600000005</v>
      </c>
      <c r="BT133">
        <f>0.90934411</f>
        <v>0.90934411000000004</v>
      </c>
      <c r="BU133">
        <f>0.950503593</f>
        <v>0.95050359299999998</v>
      </c>
      <c r="BV133">
        <f>0.998501835</f>
        <v>0.998501835</v>
      </c>
      <c r="BW133">
        <f>1.093974732</f>
        <v>1.0939747319999999</v>
      </c>
      <c r="BX133">
        <f>1.297425155</f>
        <v>1.297425155</v>
      </c>
      <c r="BY133">
        <f>1.17371122</f>
        <v>1.1737112199999999</v>
      </c>
      <c r="BZ133">
        <f>1.522350048</f>
        <v>1.5223500480000001</v>
      </c>
      <c r="CA133">
        <f>1.941107404</f>
        <v>1.941107404</v>
      </c>
      <c r="CB133">
        <f>1.610247518</f>
        <v>1.610247518</v>
      </c>
      <c r="CC133">
        <f>2.505885943</f>
        <v>2.505885943</v>
      </c>
      <c r="CD133">
        <f>3.107366411</f>
        <v>3.1073664110000001</v>
      </c>
      <c r="CE133">
        <f>2.556799041</f>
        <v>2.5567990410000001</v>
      </c>
      <c r="CF133">
        <f>2.625892888</f>
        <v>2.6258928880000001</v>
      </c>
      <c r="CG133">
        <f>2.648049881</f>
        <v>2.6480498809999999</v>
      </c>
      <c r="CH133">
        <f>2.323389022</f>
        <v>2.3233890220000002</v>
      </c>
      <c r="CI133">
        <f>3.17556846</f>
        <v>3.17556846</v>
      </c>
      <c r="CJ133">
        <f>2.481139569</f>
        <v>2.4811395690000002</v>
      </c>
      <c r="CK133">
        <f>2.045870994</f>
        <v>2.0458709939999999</v>
      </c>
      <c r="CL133">
        <f>1.766018149</f>
        <v>1.766018149</v>
      </c>
      <c r="CM133">
        <f>1.051803003</f>
        <v>1.0518030030000001</v>
      </c>
      <c r="CN133">
        <f>0.730417647</f>
        <v>0.730417647</v>
      </c>
      <c r="CO133">
        <f>0.7937363</f>
        <v>0.79373629999999995</v>
      </c>
      <c r="CP133">
        <f>0.844982562</f>
        <v>0.84498256199999999</v>
      </c>
      <c r="CQ133">
        <f>0.739620404</f>
        <v>0.73962040399999995</v>
      </c>
      <c r="CR133">
        <f>0.566903234</f>
        <v>0.56690323399999998</v>
      </c>
      <c r="CS133">
        <f>0.821714761</f>
        <v>0.82171476099999996</v>
      </c>
      <c r="CT133">
        <f>0.95067613</f>
        <v>0.95067612999999995</v>
      </c>
      <c r="CU133">
        <f>1.201173582</f>
        <v>1.201173582</v>
      </c>
      <c r="CV133">
        <f>1.350090924</f>
        <v>1.3500909240000001</v>
      </c>
      <c r="CW133">
        <f>0.911760308</f>
        <v>0.91176030799999996</v>
      </c>
      <c r="CX133">
        <f>1.464755576</f>
        <v>1.4647555759999999</v>
      </c>
      <c r="CY133">
        <f>1.797147887</f>
        <v>1.7971478869999999</v>
      </c>
      <c r="CZ133">
        <f>1.113545046</f>
        <v>1.113545046</v>
      </c>
      <c r="DA133">
        <f>0.910227872</f>
        <v>0.91022787199999999</v>
      </c>
      <c r="DB133">
        <f>0.798842831</f>
        <v>0.79884283099999998</v>
      </c>
      <c r="DC133">
        <f>0.435511741</f>
        <v>0.43551174100000001</v>
      </c>
      <c r="DD133">
        <f>0.480500525</f>
        <v>0.48050052500000001</v>
      </c>
      <c r="DE133">
        <f>0.749207193</f>
        <v>0.74920719300000005</v>
      </c>
      <c r="DF133">
        <f>1.142112896</f>
        <v>1.142112896</v>
      </c>
      <c r="DG133">
        <f>1.995295988</f>
        <v>1.9952959880000001</v>
      </c>
      <c r="DH133">
        <f>2.480367864</f>
        <v>2.4803678640000002</v>
      </c>
      <c r="DI133">
        <f>1.919534316</f>
        <v>1.919534316</v>
      </c>
      <c r="DJ133">
        <f>1.75605012</f>
        <v>1.75605012</v>
      </c>
      <c r="DK133">
        <f>1.462281904</f>
        <v>1.4622819039999999</v>
      </c>
      <c r="DL133">
        <f>0.910383516</f>
        <v>0.910383516</v>
      </c>
      <c r="DM133">
        <f>0.92841124</f>
        <v>0.92841123999999997</v>
      </c>
      <c r="DN133">
        <f>0.917419231</f>
        <v>0.917419231</v>
      </c>
      <c r="DO133">
        <f>0.548827915</f>
        <v>0.54882791500000006</v>
      </c>
      <c r="DP133">
        <f>0.83033054</f>
        <v>0.83033053999999995</v>
      </c>
      <c r="DQ133">
        <f>1.093642795</f>
        <v>1.0936427950000001</v>
      </c>
      <c r="DR133">
        <f>0.936605022</f>
        <v>0.93660502199999995</v>
      </c>
      <c r="DS133">
        <f>0.878075763</f>
        <v>0.87807576300000001</v>
      </c>
      <c r="DT133" t="str">
        <f>""</f>
        <v/>
      </c>
      <c r="DU133" t="str">
        <f>""</f>
        <v/>
      </c>
    </row>
    <row r="134" spans="1:125" x14ac:dyDescent="0.25">
      <c r="A134" t="str">
        <f>"    Daihatsu Motor Co Ltd"</f>
        <v xml:space="preserve">    Daihatsu Motor Co Ltd</v>
      </c>
      <c r="B134" t="str">
        <f>"7262 JP Equity"</f>
        <v>7262 JP Equity</v>
      </c>
      <c r="C134" t="str">
        <f t="shared" si="9"/>
        <v>RR903</v>
      </c>
      <c r="D134" t="str">
        <f t="shared" si="10"/>
        <v>PX_TO_BOOK_RATIO</v>
      </c>
      <c r="E134" t="str">
        <f t="shared" si="11"/>
        <v>Dynamic</v>
      </c>
      <c r="F134" t="str">
        <f ca="1">IF(AND(ISNUMBER($F$805),$B$677=1),$F$805,HLOOKUP(INDIRECT(ADDRESS(2,COLUMN())),OFFSET($BN$2,0,0,ROW()-1,60),ROW()-1,FALSE))</f>
        <v/>
      </c>
      <c r="G134" t="str">
        <f ca="1">IF(AND(ISNUMBER($G$805),$B$677=1),$G$805,HLOOKUP(INDIRECT(ADDRESS(2,COLUMN())),OFFSET($BN$2,0,0,ROW()-1,60),ROW()-1,FALSE))</f>
        <v/>
      </c>
      <c r="H134" t="str">
        <f ca="1">IF(AND(ISNUMBER($H$805),$B$677=1),$H$805,HLOOKUP(INDIRECT(ADDRESS(2,COLUMN())),OFFSET($BN$2,0,0,ROW()-1,60),ROW()-1,FALSE))</f>
        <v/>
      </c>
      <c r="I134" t="str">
        <f ca="1">IF(AND(ISNUMBER($I$805),$B$677=1),$I$805,HLOOKUP(INDIRECT(ADDRESS(2,COLUMN())),OFFSET($BN$2,0,0,ROW()-1,60),ROW()-1,FALSE))</f>
        <v/>
      </c>
      <c r="J134" t="str">
        <f ca="1">IF(AND(ISNUMBER($J$805),$B$677=1),$J$805,HLOOKUP(INDIRECT(ADDRESS(2,COLUMN())),OFFSET($BN$2,0,0,ROW()-1,60),ROW()-1,FALSE))</f>
        <v/>
      </c>
      <c r="K134" t="str">
        <f ca="1">IF(AND(ISNUMBER($K$805),$B$677=1),$K$805,HLOOKUP(INDIRECT(ADDRESS(2,COLUMN())),OFFSET($BN$2,0,0,ROW()-1,60),ROW()-1,FALSE))</f>
        <v/>
      </c>
      <c r="L134" t="str">
        <f ca="1">IF(AND(ISNUMBER($L$805),$B$677=1),$L$805,HLOOKUP(INDIRECT(ADDRESS(2,COLUMN())),OFFSET($BN$2,0,0,ROW()-1,60),ROW()-1,FALSE))</f>
        <v/>
      </c>
      <c r="M134" t="str">
        <f ca="1">IF(AND(ISNUMBER($M$805),$B$677=1),$M$805,HLOOKUP(INDIRECT(ADDRESS(2,COLUMN())),OFFSET($BN$2,0,0,ROW()-1,60),ROW()-1,FALSE))</f>
        <v/>
      </c>
      <c r="N134" t="str">
        <f ca="1">IF(AND(ISNUMBER($N$805),$B$677=1),$N$805,HLOOKUP(INDIRECT(ADDRESS(2,COLUMN())),OFFSET($BN$2,0,0,ROW()-1,60),ROW()-1,FALSE))</f>
        <v/>
      </c>
      <c r="O134" t="str">
        <f ca="1">IF(AND(ISNUMBER($O$805),$B$677=1),$O$805,HLOOKUP(INDIRECT(ADDRESS(2,COLUMN())),OFFSET($BN$2,0,0,ROW()-1,60),ROW()-1,FALSE))</f>
        <v/>
      </c>
      <c r="P134">
        <f ca="1">IF(AND(ISNUMBER($P$805),$B$677=1),$P$805,HLOOKUP(INDIRECT(ADDRESS(2,COLUMN())),OFFSET($BN$2,0,0,ROW()-1,60),ROW()-1,FALSE))</f>
        <v>1.0253322629999999</v>
      </c>
      <c r="Q134">
        <f ca="1">IF(AND(ISNUMBER($Q$805),$B$677=1),$Q$805,HLOOKUP(INDIRECT(ADDRESS(2,COLUMN())),OFFSET($BN$2,0,0,ROW()-1,60),ROW()-1,FALSE))</f>
        <v>0.90980186799999996</v>
      </c>
      <c r="R134">
        <f ca="1">IF(AND(ISNUMBER($R$805),$B$677=1),$R$805,HLOOKUP(INDIRECT(ADDRESS(2,COLUMN())),OFFSET($BN$2,0,0,ROW()-1,60),ROW()-1,FALSE))</f>
        <v>1.090661952</v>
      </c>
      <c r="S134">
        <f ca="1">IF(AND(ISNUMBER($S$805),$B$677=1),$S$805,HLOOKUP(INDIRECT(ADDRESS(2,COLUMN())),OFFSET($BN$2,0,0,ROW()-1,60),ROW()-1,FALSE))</f>
        <v>1.149948497</v>
      </c>
      <c r="T134">
        <f ca="1">IF(AND(ISNUMBER($T$805),$B$677=1),$T$805,HLOOKUP(INDIRECT(ADDRESS(2,COLUMN())),OFFSET($BN$2,0,0,ROW()-1,60),ROW()-1,FALSE))</f>
        <v>0.97244748599999997</v>
      </c>
      <c r="U134">
        <f ca="1">IF(AND(ISNUMBER($U$805),$B$677=1),$U$805,HLOOKUP(INDIRECT(ADDRESS(2,COLUMN())),OFFSET($BN$2,0,0,ROW()-1,60),ROW()-1,FALSE))</f>
        <v>1.2093336320000001</v>
      </c>
      <c r="V134">
        <f ca="1">IF(AND(ISNUMBER($V$805),$B$677=1),$V$805,HLOOKUP(INDIRECT(ADDRESS(2,COLUMN())),OFFSET($BN$2,0,0,ROW()-1,60),ROW()-1,FALSE))</f>
        <v>1.26643935</v>
      </c>
      <c r="W134">
        <f ca="1">IF(AND(ISNUMBER($W$805),$B$677=1),$W$805,HLOOKUP(INDIRECT(ADDRESS(2,COLUMN())),OFFSET($BN$2,0,0,ROW()-1,60),ROW()-1,FALSE))</f>
        <v>1.161062246</v>
      </c>
      <c r="X134">
        <f ca="1">IF(AND(ISNUMBER($X$805),$B$677=1),$X$805,HLOOKUP(INDIRECT(ADDRESS(2,COLUMN())),OFFSET($BN$2,0,0,ROW()-1,60),ROW()-1,FALSE))</f>
        <v>1.2980231630000001</v>
      </c>
      <c r="Y134">
        <f ca="1">IF(AND(ISNUMBER($Y$805),$B$677=1),$Y$805,HLOOKUP(INDIRECT(ADDRESS(2,COLUMN())),OFFSET($BN$2,0,0,ROW()-1,60),ROW()-1,FALSE))</f>
        <v>1.3690512500000001</v>
      </c>
      <c r="Z134">
        <f ca="1">IF(AND(ISNUMBER($Z$805),$B$677=1),$Z$805,HLOOKUP(INDIRECT(ADDRESS(2,COLUMN())),OFFSET($BN$2,0,0,ROW()-1,60),ROW()-1,FALSE))</f>
        <v>1.4098706969999999</v>
      </c>
      <c r="AA134">
        <f ca="1">IF(AND(ISNUMBER($AA$805),$B$677=1),$AA$805,HLOOKUP(INDIRECT(ADDRESS(2,COLUMN())),OFFSET($BN$2,0,0,ROW()-1,60),ROW()-1,FALSE))</f>
        <v>1.4347080990000001</v>
      </c>
      <c r="AB134">
        <f ca="1">IF(AND(ISNUMBER($AB$805),$B$677=1),$AB$805,HLOOKUP(INDIRECT(ADDRESS(2,COLUMN())),OFFSET($BN$2,0,0,ROW()-1,60),ROW()-1,FALSE))</f>
        <v>1.5531710460000001</v>
      </c>
      <c r="AC134">
        <f ca="1">IF(AND(ISNUMBER($AC$805),$B$677=1),$AC$805,HLOOKUP(INDIRECT(ADDRESS(2,COLUMN())),OFFSET($BN$2,0,0,ROW()-1,60),ROW()-1,FALSE))</f>
        <v>1.552401822</v>
      </c>
      <c r="AD134">
        <f ca="1">IF(AND(ISNUMBER($AD$805),$B$677=1),$AD$805,HLOOKUP(INDIRECT(ADDRESS(2,COLUMN())),OFFSET($BN$2,0,0,ROW()-1,60),ROW()-1,FALSE))</f>
        <v>1.661331347</v>
      </c>
      <c r="AE134">
        <f ca="1">IF(AND(ISNUMBER($AE$805),$B$677=1),$AE$805,HLOOKUP(INDIRECT(ADDRESS(2,COLUMN())),OFFSET($BN$2,0,0,ROW()-1,60),ROW()-1,FALSE))</f>
        <v>1.568389273</v>
      </c>
      <c r="AF134">
        <f ca="1">IF(AND(ISNUMBER($AF$805),$B$677=1),$AF$805,HLOOKUP(INDIRECT(ADDRESS(2,COLUMN())),OFFSET($BN$2,0,0,ROW()-1,60),ROW()-1,FALSE))</f>
        <v>1.22218966</v>
      </c>
      <c r="AG134">
        <f ca="1">IF(AND(ISNUMBER($AG$805),$B$677=1),$AG$805,HLOOKUP(INDIRECT(ADDRESS(2,COLUMN())),OFFSET($BN$2,0,0,ROW()-1,60),ROW()-1,FALSE))</f>
        <v>1.3609997979999999</v>
      </c>
      <c r="AH134">
        <f ca="1">IF(AND(ISNUMBER($AH$805),$B$677=1),$AH$805,HLOOKUP(INDIRECT(ADDRESS(2,COLUMN())),OFFSET($BN$2,0,0,ROW()-1,60),ROW()-1,FALSE))</f>
        <v>1.501321986</v>
      </c>
      <c r="AI134">
        <f ca="1">IF(AND(ISNUMBER($AI$805),$B$677=1),$AI$805,HLOOKUP(INDIRECT(ADDRESS(2,COLUMN())),OFFSET($BN$2,0,0,ROW()-1,60),ROW()-1,FALSE))</f>
        <v>1.485640981</v>
      </c>
      <c r="AJ134">
        <f ca="1">IF(AND(ISNUMBER($AJ$805),$B$677=1),$AJ$805,HLOOKUP(INDIRECT(ADDRESS(2,COLUMN())),OFFSET($BN$2,0,0,ROW()-1,60),ROW()-1,FALSE))</f>
        <v>1.537225659</v>
      </c>
      <c r="AK134">
        <f ca="1">IF(AND(ISNUMBER($AK$805),$B$677=1),$AK$805,HLOOKUP(INDIRECT(ADDRESS(2,COLUMN())),OFFSET($BN$2,0,0,ROW()-1,60),ROW()-1,FALSE))</f>
        <v>1.527667624</v>
      </c>
      <c r="AL134">
        <f ca="1">IF(AND(ISNUMBER($AL$805),$B$677=1),$AL$805,HLOOKUP(INDIRECT(ADDRESS(2,COLUMN())),OFFSET($BN$2,0,0,ROW()-1,60),ROW()-1,FALSE))</f>
        <v>1.3449798509999999</v>
      </c>
      <c r="AM134">
        <f ca="1">IF(AND(ISNUMBER($AM$805),$B$677=1),$AM$805,HLOOKUP(INDIRECT(ADDRESS(2,COLUMN())),OFFSET($BN$2,0,0,ROW()-1,60),ROW()-1,FALSE))</f>
        <v>1.434076173</v>
      </c>
      <c r="AN134">
        <f ca="1">IF(AND(ISNUMBER($AN$805),$B$677=1),$AN$805,HLOOKUP(INDIRECT(ADDRESS(2,COLUMN())),OFFSET($BN$2,0,0,ROW()-1,60),ROW()-1,FALSE))</f>
        <v>1.30924204</v>
      </c>
      <c r="AO134">
        <f ca="1">IF(AND(ISNUMBER($AO$805),$B$677=1),$AO$805,HLOOKUP(INDIRECT(ADDRESS(2,COLUMN())),OFFSET($BN$2,0,0,ROW()-1,60),ROW()-1,FALSE))</f>
        <v>0.98774994199999999</v>
      </c>
      <c r="AP134">
        <f ca="1">IF(AND(ISNUMBER($AP$805),$B$677=1),$AP$805,HLOOKUP(INDIRECT(ADDRESS(2,COLUMN())),OFFSET($BN$2,0,0,ROW()-1,60),ROW()-1,FALSE))</f>
        <v>1.110094269</v>
      </c>
      <c r="AQ134">
        <f ca="1">IF(AND(ISNUMBER($AQ$805),$B$677=1),$AQ$805,HLOOKUP(INDIRECT(ADDRESS(2,COLUMN())),OFFSET($BN$2,0,0,ROW()-1,60),ROW()-1,FALSE))</f>
        <v>1.1810627220000001</v>
      </c>
      <c r="AR134">
        <f ca="1">IF(AND(ISNUMBER($AR$805),$B$677=1),$AR$805,HLOOKUP(INDIRECT(ADDRESS(2,COLUMN())),OFFSET($BN$2,0,0,ROW()-1,60),ROW()-1,FALSE))</f>
        <v>1.193208651</v>
      </c>
      <c r="AS134">
        <f ca="1">IF(AND(ISNUMBER($AS$805),$B$677=1),$AS$805,HLOOKUP(INDIRECT(ADDRESS(2,COLUMN())),OFFSET($BN$2,0,0,ROW()-1,60),ROW()-1,FALSE))</f>
        <v>1.16280059</v>
      </c>
      <c r="AT134">
        <f ca="1">IF(AND(ISNUMBER($AT$805),$B$677=1),$AT$805,HLOOKUP(INDIRECT(ADDRESS(2,COLUMN())),OFFSET($BN$2,0,0,ROW()-1,60),ROW()-1,FALSE))</f>
        <v>1.0232418050000001</v>
      </c>
      <c r="AU134">
        <f ca="1">IF(AND(ISNUMBER($AU$805),$B$677=1),$AU$805,HLOOKUP(INDIRECT(ADDRESS(2,COLUMN())),OFFSET($BN$2,0,0,ROW()-1,60),ROW()-1,FALSE))</f>
        <v>1.041484946</v>
      </c>
      <c r="AV134">
        <f ca="1">IF(AND(ISNUMBER($AV$805),$B$677=1),$AV$805,HLOOKUP(INDIRECT(ADDRESS(2,COLUMN())),OFFSET($BN$2,0,0,ROW()-1,60),ROW()-1,FALSE))</f>
        <v>1.4368394369999999</v>
      </c>
      <c r="AW134">
        <f ca="1">IF(AND(ISNUMBER($AW$805),$B$677=1),$AW$805,HLOOKUP(INDIRECT(ADDRESS(2,COLUMN())),OFFSET($BN$2,0,0,ROW()-1,60),ROW()-1,FALSE))</f>
        <v>1.5338305889999999</v>
      </c>
      <c r="AX134">
        <f ca="1">IF(AND(ISNUMBER($AX$805),$B$677=1),$AX$805,HLOOKUP(INDIRECT(ADDRESS(2,COLUMN())),OFFSET($BN$2,0,0,ROW()-1,60),ROW()-1,FALSE))</f>
        <v>1.5544679050000001</v>
      </c>
      <c r="AY134">
        <f ca="1">IF(AND(ISNUMBER($AY$805),$B$677=1),$AY$805,HLOOKUP(INDIRECT(ADDRESS(2,COLUMN())),OFFSET($BN$2,0,0,ROW()-1,60),ROW()-1,FALSE))</f>
        <v>1.386708184</v>
      </c>
      <c r="AZ134">
        <f ca="1">IF(AND(ISNUMBER($AZ$805),$B$677=1),$AZ$805,HLOOKUP(INDIRECT(ADDRESS(2,COLUMN())),OFFSET($BN$2,0,0,ROW()-1,60),ROW()-1,FALSE))</f>
        <v>1.5850468719999999</v>
      </c>
      <c r="BA134">
        <f ca="1">IF(AND(ISNUMBER($BA$805),$B$677=1),$BA$805,HLOOKUP(INDIRECT(ADDRESS(2,COLUMN())),OFFSET($BN$2,0,0,ROW()-1,60),ROW()-1,FALSE))</f>
        <v>1.472082541</v>
      </c>
      <c r="BB134">
        <f ca="1">IF(AND(ISNUMBER($BB$805),$B$677=1),$BB$805,HLOOKUP(INDIRECT(ADDRESS(2,COLUMN())),OFFSET($BN$2,0,0,ROW()-1,60),ROW()-1,FALSE))</f>
        <v>1.496119859</v>
      </c>
      <c r="BC134">
        <f ca="1">IF(AND(ISNUMBER($BC$805),$B$677=1),$BC$805,HLOOKUP(INDIRECT(ADDRESS(2,COLUMN())),OFFSET($BN$2,0,0,ROW()-1,60),ROW()-1,FALSE))</f>
        <v>1.6752685380000001</v>
      </c>
      <c r="BD134">
        <f ca="1">IF(AND(ISNUMBER($BD$805),$B$677=1),$BD$805,HLOOKUP(INDIRECT(ADDRESS(2,COLUMN())),OFFSET($BN$2,0,0,ROW()-1,60),ROW()-1,FALSE))</f>
        <v>1.5226990250000001</v>
      </c>
      <c r="BE134">
        <f ca="1">IF(AND(ISNUMBER($BE$805),$B$677=1),$BE$805,HLOOKUP(INDIRECT(ADDRESS(2,COLUMN())),OFFSET($BN$2,0,0,ROW()-1,60),ROW()-1,FALSE))</f>
        <v>1.452356186</v>
      </c>
      <c r="BF134">
        <f ca="1">IF(AND(ISNUMBER($BF$805),$B$677=1),$BF$805,HLOOKUP(INDIRECT(ADDRESS(2,COLUMN())),OFFSET($BN$2,0,0,ROW()-1,60),ROW()-1,FALSE))</f>
        <v>1.702659371</v>
      </c>
      <c r="BG134">
        <f ca="1">IF(AND(ISNUMBER($BG$805),$B$677=1),$BG$805,HLOOKUP(INDIRECT(ADDRESS(2,COLUMN())),OFFSET($BN$2,0,0,ROW()-1,60),ROW()-1,FALSE))</f>
        <v>1.970146526</v>
      </c>
      <c r="BH134">
        <f ca="1">IF(AND(ISNUMBER($BH$805),$B$677=1),$BH$805,HLOOKUP(INDIRECT(ADDRESS(2,COLUMN())),OFFSET($BN$2,0,0,ROW()-1,60),ROW()-1,FALSE))</f>
        <v>1.883541648</v>
      </c>
      <c r="BI134">
        <f ca="1">IF(AND(ISNUMBER($BI$805),$B$677=1),$BI$805,HLOOKUP(INDIRECT(ADDRESS(2,COLUMN())),OFFSET($BN$2,0,0,ROW()-1,60),ROW()-1,FALSE))</f>
        <v>1.6945081849999999</v>
      </c>
      <c r="BJ134">
        <f ca="1">IF(AND(ISNUMBER($BJ$805),$B$677=1),$BJ$805,HLOOKUP(INDIRECT(ADDRESS(2,COLUMN())),OFFSET($BN$2,0,0,ROW()-1,60),ROW()-1,FALSE))</f>
        <v>1.474488274</v>
      </c>
      <c r="BK134">
        <f ca="1">IF(AND(ISNUMBER($BK$805),$B$677=1),$BK$805,HLOOKUP(INDIRECT(ADDRESS(2,COLUMN())),OFFSET($BN$2,0,0,ROW()-1,60),ROW()-1,FALSE))</f>
        <v>1.5645146219999999</v>
      </c>
      <c r="BL134">
        <f ca="1">IF(AND(ISNUMBER($BL$805),$B$677=1),$BL$805,HLOOKUP(INDIRECT(ADDRESS(2,COLUMN())),OFFSET($BN$2,0,0,ROW()-1,60),ROW()-1,FALSE))</f>
        <v>1.688986409</v>
      </c>
      <c r="BM134" t="str">
        <f ca="1">IF(AND(ISNUMBER($BM$805),$B$677=1),$BM$805,HLOOKUP(INDIRECT(ADDRESS(2,COLUMN())),OFFSET($BN$2,0,0,ROW()-1,60),ROW()-1,FALSE))</f>
        <v/>
      </c>
      <c r="BN134" t="str">
        <f>""</f>
        <v/>
      </c>
      <c r="BO134" t="str">
        <f>""</f>
        <v/>
      </c>
      <c r="BP134" t="str">
        <f>""</f>
        <v/>
      </c>
      <c r="BQ134" t="str">
        <f>""</f>
        <v/>
      </c>
      <c r="BR134" t="str">
        <f>""</f>
        <v/>
      </c>
      <c r="BS134" t="str">
        <f>""</f>
        <v/>
      </c>
      <c r="BT134" t="str">
        <f>""</f>
        <v/>
      </c>
      <c r="BU134" t="str">
        <f>""</f>
        <v/>
      </c>
      <c r="BV134" t="str">
        <f>""</f>
        <v/>
      </c>
      <c r="BW134" t="str">
        <f>""</f>
        <v/>
      </c>
      <c r="BX134">
        <f>1.025332263</f>
        <v>1.0253322629999999</v>
      </c>
      <c r="BY134">
        <f>0.909801868</f>
        <v>0.90980186799999996</v>
      </c>
      <c r="BZ134">
        <f>1.090661952</f>
        <v>1.090661952</v>
      </c>
      <c r="CA134">
        <f>1.149948497</f>
        <v>1.149948497</v>
      </c>
      <c r="CB134">
        <f>0.972447486</f>
        <v>0.97244748599999997</v>
      </c>
      <c r="CC134">
        <f>1.209333632</f>
        <v>1.2093336320000001</v>
      </c>
      <c r="CD134">
        <f>1.26643935</f>
        <v>1.26643935</v>
      </c>
      <c r="CE134">
        <f>1.161062246</f>
        <v>1.161062246</v>
      </c>
      <c r="CF134">
        <f>1.298023163</f>
        <v>1.2980231630000001</v>
      </c>
      <c r="CG134">
        <f>1.36905125</f>
        <v>1.3690512500000001</v>
      </c>
      <c r="CH134">
        <f>1.409870697</f>
        <v>1.4098706969999999</v>
      </c>
      <c r="CI134">
        <f>1.434708099</f>
        <v>1.4347080990000001</v>
      </c>
      <c r="CJ134">
        <f>1.553171046</f>
        <v>1.5531710460000001</v>
      </c>
      <c r="CK134">
        <f>1.552401822</f>
        <v>1.552401822</v>
      </c>
      <c r="CL134">
        <f>1.661331347</f>
        <v>1.661331347</v>
      </c>
      <c r="CM134">
        <f>1.568389273</f>
        <v>1.568389273</v>
      </c>
      <c r="CN134">
        <f>1.22218966</f>
        <v>1.22218966</v>
      </c>
      <c r="CO134">
        <f>1.360999798</f>
        <v>1.3609997979999999</v>
      </c>
      <c r="CP134">
        <f>1.501321986</f>
        <v>1.501321986</v>
      </c>
      <c r="CQ134">
        <f>1.485640981</f>
        <v>1.485640981</v>
      </c>
      <c r="CR134">
        <f>1.537225659</f>
        <v>1.537225659</v>
      </c>
      <c r="CS134">
        <f>1.527667624</f>
        <v>1.527667624</v>
      </c>
      <c r="CT134">
        <f>1.344979851</f>
        <v>1.3449798509999999</v>
      </c>
      <c r="CU134">
        <f>1.434076173</f>
        <v>1.434076173</v>
      </c>
      <c r="CV134">
        <f>1.30924204</f>
        <v>1.30924204</v>
      </c>
      <c r="CW134">
        <f>0.987749942</f>
        <v>0.98774994199999999</v>
      </c>
      <c r="CX134">
        <f>1.110094269</f>
        <v>1.110094269</v>
      </c>
      <c r="CY134">
        <f>1.181062722</f>
        <v>1.1810627220000001</v>
      </c>
      <c r="CZ134">
        <f>1.193208651</f>
        <v>1.193208651</v>
      </c>
      <c r="DA134">
        <f>1.16280059</f>
        <v>1.16280059</v>
      </c>
      <c r="DB134">
        <f>1.023241805</f>
        <v>1.0232418050000001</v>
      </c>
      <c r="DC134">
        <f>1.041484946</f>
        <v>1.041484946</v>
      </c>
      <c r="DD134">
        <f>1.436839437</f>
        <v>1.4368394369999999</v>
      </c>
      <c r="DE134">
        <f>1.533830589</f>
        <v>1.5338305889999999</v>
      </c>
      <c r="DF134">
        <f>1.554467905</f>
        <v>1.5544679050000001</v>
      </c>
      <c r="DG134">
        <f>1.386708184</f>
        <v>1.386708184</v>
      </c>
      <c r="DH134">
        <f>1.585046872</f>
        <v>1.5850468719999999</v>
      </c>
      <c r="DI134">
        <f>1.472082541</f>
        <v>1.472082541</v>
      </c>
      <c r="DJ134">
        <f>1.496119859</f>
        <v>1.496119859</v>
      </c>
      <c r="DK134">
        <f>1.675268538</f>
        <v>1.6752685380000001</v>
      </c>
      <c r="DL134">
        <f>1.522699025</f>
        <v>1.5226990250000001</v>
      </c>
      <c r="DM134">
        <f>1.452356186</f>
        <v>1.452356186</v>
      </c>
      <c r="DN134">
        <f>1.702659371</f>
        <v>1.702659371</v>
      </c>
      <c r="DO134">
        <f>1.970146526</f>
        <v>1.970146526</v>
      </c>
      <c r="DP134">
        <f>1.883541648</f>
        <v>1.883541648</v>
      </c>
      <c r="DQ134">
        <f>1.694508185</f>
        <v>1.6945081849999999</v>
      </c>
      <c r="DR134">
        <f>1.474488274</f>
        <v>1.474488274</v>
      </c>
      <c r="DS134">
        <f>1.564514622</f>
        <v>1.5645146219999999</v>
      </c>
      <c r="DT134">
        <f>1.688986409</f>
        <v>1.688986409</v>
      </c>
      <c r="DU134" t="str">
        <f>""</f>
        <v/>
      </c>
    </row>
    <row r="135" spans="1:125" x14ac:dyDescent="0.25">
      <c r="A135" t="str">
        <f>"    Daimler AG"</f>
        <v xml:space="preserve">    Daimler AG</v>
      </c>
      <c r="B135" t="str">
        <f>"DAI GR Equity"</f>
        <v>DAI GR Equity</v>
      </c>
      <c r="C135" t="str">
        <f t="shared" si="9"/>
        <v>RR903</v>
      </c>
      <c r="D135" t="str">
        <f t="shared" si="10"/>
        <v>PX_TO_BOOK_RATIO</v>
      </c>
      <c r="E135" t="str">
        <f t="shared" si="11"/>
        <v>Dynamic</v>
      </c>
      <c r="F135">
        <f ca="1">IF(AND(ISNUMBER($F$806),$B$677=1),$F$806,HLOOKUP(INDIRECT(ADDRESS(2,COLUMN())),OFFSET($BN$2,0,0,ROW()-1,60),ROW()-1,FALSE))</f>
        <v>0.86421358699999995</v>
      </c>
      <c r="G135">
        <f ca="1">IF(AND(ISNUMBER($G$806),$B$677=1),$G$806,HLOOKUP(INDIRECT(ADDRESS(2,COLUMN())),OFFSET($BN$2,0,0,ROW()-1,60),ROW()-1,FALSE))</f>
        <v>0.75964092999999999</v>
      </c>
      <c r="H135">
        <f ca="1">IF(AND(ISNUMBER($H$806),$B$677=1),$H$806,HLOOKUP(INDIRECT(ADDRESS(2,COLUMN())),OFFSET($BN$2,0,0,ROW()-1,60),ROW()-1,FALSE))</f>
        <v>0.90613022799999998</v>
      </c>
      <c r="I135">
        <f ca="1">IF(AND(ISNUMBER($I$806),$B$677=1),$I$806,HLOOKUP(INDIRECT(ADDRESS(2,COLUMN())),OFFSET($BN$2,0,0,ROW()-1,60),ROW()-1,FALSE))</f>
        <v>0.93672491300000005</v>
      </c>
      <c r="J135">
        <f ca="1">IF(AND(ISNUMBER($J$806),$B$677=1),$J$806,HLOOKUP(INDIRECT(ADDRESS(2,COLUMN())),OFFSET($BN$2,0,0,ROW()-1,60),ROW()-1,FALSE))</f>
        <v>1.128408664</v>
      </c>
      <c r="K135">
        <f ca="1">IF(AND(ISNUMBER($K$806),$B$677=1),$K$806,HLOOKUP(INDIRECT(ADDRESS(2,COLUMN())),OFFSET($BN$2,0,0,ROW()-1,60),ROW()-1,FALSE))</f>
        <v>1.18611533</v>
      </c>
      <c r="L135">
        <f ca="1">IF(AND(ISNUMBER($L$806),$B$677=1),$L$806,HLOOKUP(INDIRECT(ADDRESS(2,COLUMN())),OFFSET($BN$2,0,0,ROW()-1,60),ROW()-1,FALSE))</f>
        <v>1.1701887820000001</v>
      </c>
      <c r="M135">
        <f ca="1">IF(AND(ISNUMBER($M$806),$B$677=1),$M$806,HLOOKUP(INDIRECT(ADDRESS(2,COLUMN())),OFFSET($BN$2,0,0,ROW()-1,60),ROW()-1,FALSE))</f>
        <v>1.140167167</v>
      </c>
      <c r="N135">
        <f ca="1">IF(AND(ISNUMBER($N$806),$B$677=1),$N$806,HLOOKUP(INDIRECT(ADDRESS(2,COLUMN())),OFFSET($BN$2,0,0,ROW()-1,60),ROW()-1,FALSE))</f>
        <v>1.286956435</v>
      </c>
      <c r="O135">
        <f ca="1">IF(AND(ISNUMBER($O$806),$B$677=1),$O$806,HLOOKUP(INDIRECT(ADDRESS(2,COLUMN())),OFFSET($BN$2,0,0,ROW()-1,60),ROW()-1,FALSE))</f>
        <v>1.305787748</v>
      </c>
      <c r="P135">
        <f ca="1">IF(AND(ISNUMBER($P$806),$B$677=1),$P$806,HLOOKUP(INDIRECT(ADDRESS(2,COLUMN())),OFFSET($BN$2,0,0,ROW()-1,60),ROW()-1,FALSE))</f>
        <v>1.248508465</v>
      </c>
      <c r="Q135">
        <f ca="1">IF(AND(ISNUMBER($Q$806),$B$677=1),$Q$806,HLOOKUP(INDIRECT(ADDRESS(2,COLUMN())),OFFSET($BN$2,0,0,ROW()-1,60),ROW()-1,FALSE))</f>
        <v>1.1247688899999999</v>
      </c>
      <c r="R135">
        <f ca="1">IF(AND(ISNUMBER($R$806),$B$677=1),$R$806,HLOOKUP(INDIRECT(ADDRESS(2,COLUMN())),OFFSET($BN$2,0,0,ROW()-1,60),ROW()-1,FALSE))</f>
        <v>1.3443881769999999</v>
      </c>
      <c r="S135">
        <f ca="1">IF(AND(ISNUMBER($S$806),$B$677=1),$S$806,HLOOKUP(INDIRECT(ADDRESS(2,COLUMN())),OFFSET($BN$2,0,0,ROW()-1,60),ROW()-1,FALSE))</f>
        <v>1.549832901</v>
      </c>
      <c r="T135">
        <f ca="1">IF(AND(ISNUMBER($T$806),$B$677=1),$T$806,HLOOKUP(INDIRECT(ADDRESS(2,COLUMN())),OFFSET($BN$2,0,0,ROW()-1,60),ROW()-1,FALSE))</f>
        <v>1.3950255519999999</v>
      </c>
      <c r="U135">
        <f ca="1">IF(AND(ISNUMBER($U$806),$B$677=1),$U$806,HLOOKUP(INDIRECT(ADDRESS(2,COLUMN())),OFFSET($BN$2,0,0,ROW()-1,60),ROW()-1,FALSE))</f>
        <v>1.8124200150000001</v>
      </c>
      <c r="V135">
        <f ca="1">IF(AND(ISNUMBER($V$806),$B$677=1),$V$806,HLOOKUP(INDIRECT(ADDRESS(2,COLUMN())),OFFSET($BN$2,0,0,ROW()-1,60),ROW()-1,FALSE))</f>
        <v>2.1093202039999999</v>
      </c>
      <c r="W135">
        <f ca="1">IF(AND(ISNUMBER($W$806),$B$677=1),$W$806,HLOOKUP(INDIRECT(ADDRESS(2,COLUMN())),OFFSET($BN$2,0,0,ROW()-1,60),ROW()-1,FALSE))</f>
        <v>1.690092752</v>
      </c>
      <c r="X135">
        <f ca="1">IF(AND(ISNUMBER($X$806),$B$677=1),$X$806,HLOOKUP(INDIRECT(ADDRESS(2,COLUMN())),OFFSET($BN$2,0,0,ROW()-1,60),ROW()-1,FALSE))</f>
        <v>1.462321762</v>
      </c>
      <c r="Y135">
        <f ca="1">IF(AND(ISNUMBER($Y$806),$B$677=1),$Y$806,HLOOKUP(INDIRECT(ADDRESS(2,COLUMN())),OFFSET($BN$2,0,0,ROW()-1,60),ROW()-1,FALSE))</f>
        <v>1.7384695299999999</v>
      </c>
      <c r="Z135">
        <f ca="1">IF(AND(ISNUMBER($Z$806),$B$677=1),$Z$806,HLOOKUP(INDIRECT(ADDRESS(2,COLUMN())),OFFSET($BN$2,0,0,ROW()-1,60),ROW()-1,FALSE))</f>
        <v>1.7206923169999999</v>
      </c>
      <c r="AA135">
        <f ca="1">IF(AND(ISNUMBER($AA$806),$B$677=1),$AA$806,HLOOKUP(INDIRECT(ADDRESS(2,COLUMN())),OFFSET($BN$2,0,0,ROW()-1,60),ROW()-1,FALSE))</f>
        <v>1.5769212749999999</v>
      </c>
      <c r="AB135">
        <f ca="1">IF(AND(ISNUMBER($AB$806),$B$677=1),$AB$806,HLOOKUP(INDIRECT(ADDRESS(2,COLUMN())),OFFSET($BN$2,0,0,ROW()-1,60),ROW()-1,FALSE))</f>
        <v>1.5012340710000001</v>
      </c>
      <c r="AC135">
        <f ca="1">IF(AND(ISNUMBER($AC$806),$B$677=1),$AC$806,HLOOKUP(INDIRECT(ADDRESS(2,COLUMN())),OFFSET($BN$2,0,0,ROW()-1,60),ROW()-1,FALSE))</f>
        <v>1.257264524</v>
      </c>
      <c r="AD135">
        <f ca="1">IF(AND(ISNUMBER($AD$806),$B$677=1),$AD$806,HLOOKUP(INDIRECT(ADDRESS(2,COLUMN())),OFFSET($BN$2,0,0,ROW()-1,60),ROW()-1,FALSE))</f>
        <v>1.174786294</v>
      </c>
      <c r="AE135">
        <f ca="1">IF(AND(ISNUMBER($AE$806),$B$677=1),$AE$806,HLOOKUP(INDIRECT(ADDRESS(2,COLUMN())),OFFSET($BN$2,0,0,ROW()-1,60),ROW()-1,FALSE))</f>
        <v>1.1637839860000001</v>
      </c>
      <c r="AF135">
        <f ca="1">IF(AND(ISNUMBER($AF$806),$B$677=1),$AF$806,HLOOKUP(INDIRECT(ADDRESS(2,COLUMN())),OFFSET($BN$2,0,0,ROW()-1,60),ROW()-1,FALSE))</f>
        <v>0.98044843699999995</v>
      </c>
      <c r="AG135">
        <f ca="1">IF(AND(ISNUMBER($AG$806),$B$677=1),$AG$806,HLOOKUP(INDIRECT(ADDRESS(2,COLUMN())),OFFSET($BN$2,0,0,ROW()-1,60),ROW()-1,FALSE))</f>
        <v>0.93713808899999995</v>
      </c>
      <c r="AH135">
        <f ca="1">IF(AND(ISNUMBER($AH$806),$B$677=1),$AH$806,HLOOKUP(INDIRECT(ADDRESS(2,COLUMN())),OFFSET($BN$2,0,0,ROW()-1,60),ROW()-1,FALSE))</f>
        <v>1.1712026680000001</v>
      </c>
      <c r="AI135">
        <f ca="1">IF(AND(ISNUMBER($AI$806),$B$677=1),$AI$806,HLOOKUP(INDIRECT(ADDRESS(2,COLUMN())),OFFSET($BN$2,0,0,ROW()-1,60),ROW()-1,FALSE))</f>
        <v>0.912802746</v>
      </c>
      <c r="AJ135">
        <f ca="1">IF(AND(ISNUMBER($AJ$806),$B$677=1),$AJ$806,HLOOKUP(INDIRECT(ADDRESS(2,COLUMN())),OFFSET($BN$2,0,0,ROW()-1,60),ROW()-1,FALSE))</f>
        <v>0.938406729</v>
      </c>
      <c r="AK135">
        <f ca="1">IF(AND(ISNUMBER($AK$806),$B$677=1),$AK$806,HLOOKUP(INDIRECT(ADDRESS(2,COLUMN())),OFFSET($BN$2,0,0,ROW()-1,60),ROW()-1,FALSE))</f>
        <v>1.489277253</v>
      </c>
      <c r="AL135">
        <f ca="1">IF(AND(ISNUMBER($AL$806),$B$677=1),$AL$806,HLOOKUP(INDIRECT(ADDRESS(2,COLUMN())),OFFSET($BN$2,0,0,ROW()-1,60),ROW()-1,FALSE))</f>
        <v>1.4382692720000001</v>
      </c>
      <c r="AM135">
        <f ca="1">IF(AND(ISNUMBER($AM$806),$B$677=1),$AM$806,HLOOKUP(INDIRECT(ADDRESS(2,COLUMN())),OFFSET($BN$2,0,0,ROW()-1,60),ROW()-1,FALSE))</f>
        <v>1.4859302780000001</v>
      </c>
      <c r="AN135">
        <f ca="1">IF(AND(ISNUMBER($AN$806),$B$677=1),$AN$806,HLOOKUP(INDIRECT(ADDRESS(2,COLUMN())),OFFSET($BN$2,0,0,ROW()-1,60),ROW()-1,FALSE))</f>
        <v>1.4327658320000001</v>
      </c>
      <c r="AO135">
        <f ca="1">IF(AND(ISNUMBER($AO$806),$B$677=1),$AO$806,HLOOKUP(INDIRECT(ADDRESS(2,COLUMN())),OFFSET($BN$2,0,0,ROW()-1,60),ROW()-1,FALSE))</f>
        <v>1.3381310040000001</v>
      </c>
      <c r="AP135">
        <f ca="1">IF(AND(ISNUMBER($AP$806),$B$677=1),$AP$806,HLOOKUP(INDIRECT(ADDRESS(2,COLUMN())),OFFSET($BN$2,0,0,ROW()-1,60),ROW()-1,FALSE))</f>
        <v>1.1576690270000001</v>
      </c>
      <c r="AQ135">
        <f ca="1">IF(AND(ISNUMBER($AQ$806),$B$677=1),$AQ$806,HLOOKUP(INDIRECT(ADDRESS(2,COLUMN())),OFFSET($BN$2,0,0,ROW()-1,60),ROW()-1,FALSE))</f>
        <v>1.2599465649999999</v>
      </c>
      <c r="AR135">
        <f ca="1">IF(AND(ISNUMBER($AR$806),$B$677=1),$AR$806,HLOOKUP(INDIRECT(ADDRESS(2,COLUMN())),OFFSET($BN$2,0,0,ROW()-1,60),ROW()-1,FALSE))</f>
        <v>1.164462994</v>
      </c>
      <c r="AS135">
        <f ca="1">IF(AND(ISNUMBER($AS$806),$B$677=1),$AS$806,HLOOKUP(INDIRECT(ADDRESS(2,COLUMN())),OFFSET($BN$2,0,0,ROW()-1,60),ROW()-1,FALSE))</f>
        <v>0.87505436700000006</v>
      </c>
      <c r="AT135">
        <f ca="1">IF(AND(ISNUMBER($AT$806),$B$677=1),$AT$806,HLOOKUP(INDIRECT(ADDRESS(2,COLUMN())),OFFSET($BN$2,0,0,ROW()-1,60),ROW()-1,FALSE))</f>
        <v>0.62478645499999996</v>
      </c>
      <c r="AU135">
        <f ca="1">IF(AND(ISNUMBER($AU$806),$B$677=1),$AU$806,HLOOKUP(INDIRECT(ADDRESS(2,COLUMN())),OFFSET($BN$2,0,0,ROW()-1,60),ROW()-1,FALSE))</f>
        <v>0.79331913099999996</v>
      </c>
      <c r="AV135">
        <f ca="1">IF(AND(ISNUMBER($AV$806),$B$677=1),$AV$806,HLOOKUP(INDIRECT(ADDRESS(2,COLUMN())),OFFSET($BN$2,0,0,ROW()-1,60),ROW()-1,FALSE))</f>
        <v>1.059460378</v>
      </c>
      <c r="AW135">
        <f ca="1">IF(AND(ISNUMBER($AW$806),$B$677=1),$AW$806,HLOOKUP(INDIRECT(ADDRESS(2,COLUMN())),OFFSET($BN$2,0,0,ROW()-1,60),ROW()-1,FALSE))</f>
        <v>1.1109961310000001</v>
      </c>
      <c r="AX135">
        <f ca="1">IF(AND(ISNUMBER($AX$806),$B$677=1),$AX$806,HLOOKUP(INDIRECT(ADDRESS(2,COLUMN())),OFFSET($BN$2,0,0,ROW()-1,60),ROW()-1,FALSE))</f>
        <v>1.5675738939999999</v>
      </c>
      <c r="AY135">
        <f ca="1">IF(AND(ISNUMBER($AY$806),$B$677=1),$AY$806,HLOOKUP(INDIRECT(ADDRESS(2,COLUMN())),OFFSET($BN$2,0,0,ROW()-1,60),ROW()-1,FALSE))</f>
        <v>1.8287237869999999</v>
      </c>
      <c r="AZ135">
        <f ca="1">IF(AND(ISNUMBER($AZ$806),$B$677=1),$AZ$806,HLOOKUP(INDIRECT(ADDRESS(2,COLUMN())),OFFSET($BN$2,0,0,ROW()-1,60),ROW()-1,FALSE))</f>
        <v>2.0084420989999998</v>
      </c>
      <c r="BA135">
        <f ca="1">IF(AND(ISNUMBER($BA$806),$B$677=1),$BA$806,HLOOKUP(INDIRECT(ADDRESS(2,COLUMN())),OFFSET($BN$2,0,0,ROW()-1,60),ROW()-1,FALSE))</f>
        <v>1.808130467</v>
      </c>
      <c r="BB135">
        <f ca="1">IF(AND(ISNUMBER($BB$806),$B$677=1),$BB$806,HLOOKUP(INDIRECT(ADDRESS(2,COLUMN())),OFFSET($BN$2,0,0,ROW()-1,60),ROW()-1,FALSE))</f>
        <v>1.6480444169999999</v>
      </c>
      <c r="BC135">
        <f ca="1">IF(AND(ISNUMBER($BC$806),$B$677=1),$BC$806,HLOOKUP(INDIRECT(ADDRESS(2,COLUMN())),OFFSET($BN$2,0,0,ROW()-1,60),ROW()-1,FALSE))</f>
        <v>1.308490183</v>
      </c>
      <c r="BD135">
        <f ca="1">IF(AND(ISNUMBER($BD$806),$B$677=1),$BD$806,HLOOKUP(INDIRECT(ADDRESS(2,COLUMN())),OFFSET($BN$2,0,0,ROW()-1,60),ROW()-1,FALSE))</f>
        <v>1.0969617190000001</v>
      </c>
      <c r="BE135">
        <f ca="1">IF(AND(ISNUMBER($BE$806),$B$677=1),$BE$806,HLOOKUP(INDIRECT(ADDRESS(2,COLUMN())),OFFSET($BN$2,0,0,ROW()-1,60),ROW()-1,FALSE))</f>
        <v>1.0845430979999999</v>
      </c>
      <c r="BF135">
        <f ca="1">IF(AND(ISNUMBER($BF$806),$B$677=1),$BF$806,HLOOKUP(INDIRECT(ADDRESS(2,COLUMN())),OFFSET($BN$2,0,0,ROW()-1,60),ROW()-1,FALSE))</f>
        <v>1.3230842780000001</v>
      </c>
      <c r="BG135">
        <f ca="1">IF(AND(ISNUMBER($BG$806),$B$677=1),$BG$806,HLOOKUP(INDIRECT(ADDRESS(2,COLUMN())),OFFSET($BN$2,0,0,ROW()-1,60),ROW()-1,FALSE))</f>
        <v>1.2050802519999999</v>
      </c>
      <c r="BH135">
        <f ca="1">IF(AND(ISNUMBER($BH$806),$B$677=1),$BH$806,HLOOKUP(INDIRECT(ADDRESS(2,COLUMN())),OFFSET($BN$2,0,0,ROW()-1,60),ROW()-1,FALSE))</f>
        <v>1.266985359</v>
      </c>
      <c r="BI135">
        <f ca="1">IF(AND(ISNUMBER($BI$806),$B$677=1),$BI$806,HLOOKUP(INDIRECT(ADDRESS(2,COLUMN())),OFFSET($BN$2,0,0,ROW()-1,60),ROW()-1,FALSE))</f>
        <v>0.99927065100000001</v>
      </c>
      <c r="BJ135">
        <f ca="1">IF(AND(ISNUMBER($BJ$806),$B$677=1),$BJ$806,HLOOKUP(INDIRECT(ADDRESS(2,COLUMN())),OFFSET($BN$2,0,0,ROW()-1,60),ROW()-1,FALSE))</f>
        <v>1.017892748</v>
      </c>
      <c r="BK135">
        <f ca="1">IF(AND(ISNUMBER($BK$806),$B$677=1),$BK$806,HLOOKUP(INDIRECT(ADDRESS(2,COLUMN())),OFFSET($BN$2,0,0,ROW()-1,60),ROW()-1,FALSE))</f>
        <v>1.064732148</v>
      </c>
      <c r="BL135">
        <f ca="1">IF(AND(ISNUMBER($BL$806),$B$677=1),$BL$806,HLOOKUP(INDIRECT(ADDRESS(2,COLUMN())),OFFSET($BN$2,0,0,ROW()-1,60),ROW()-1,FALSE))</f>
        <v>0.97261624300000005</v>
      </c>
      <c r="BM135">
        <f ca="1">IF(AND(ISNUMBER($BM$806),$B$677=1),$BM$806,HLOOKUP(INDIRECT(ADDRESS(2,COLUMN())),OFFSET($BN$2,0,0,ROW()-1,60),ROW()-1,FALSE))</f>
        <v>1.135786347</v>
      </c>
      <c r="BN135">
        <f>0.864213587</f>
        <v>0.86421358699999995</v>
      </c>
      <c r="BO135">
        <f>0.75964093</f>
        <v>0.75964092999999999</v>
      </c>
      <c r="BP135">
        <f>0.906130228</f>
        <v>0.90613022799999998</v>
      </c>
      <c r="BQ135">
        <f>0.936724913</f>
        <v>0.93672491300000005</v>
      </c>
      <c r="BR135">
        <f>1.128408664</f>
        <v>1.128408664</v>
      </c>
      <c r="BS135">
        <f>1.18611533</f>
        <v>1.18611533</v>
      </c>
      <c r="BT135">
        <f>1.170188782</f>
        <v>1.1701887820000001</v>
      </c>
      <c r="BU135">
        <f>1.140167167</f>
        <v>1.140167167</v>
      </c>
      <c r="BV135">
        <f>1.286956435</f>
        <v>1.286956435</v>
      </c>
      <c r="BW135">
        <f>1.305787748</f>
        <v>1.305787748</v>
      </c>
      <c r="BX135">
        <f>1.248508465</f>
        <v>1.248508465</v>
      </c>
      <c r="BY135">
        <f>1.12476889</f>
        <v>1.1247688899999999</v>
      </c>
      <c r="BZ135">
        <f>1.344388177</f>
        <v>1.3443881769999999</v>
      </c>
      <c r="CA135">
        <f>1.549832901</f>
        <v>1.549832901</v>
      </c>
      <c r="CB135">
        <f>1.395025552</f>
        <v>1.3950255519999999</v>
      </c>
      <c r="CC135">
        <f>1.812420015</f>
        <v>1.8124200150000001</v>
      </c>
      <c r="CD135">
        <f>2.109320204</f>
        <v>2.1093202039999999</v>
      </c>
      <c r="CE135">
        <f>1.690092752</f>
        <v>1.690092752</v>
      </c>
      <c r="CF135">
        <f>1.462321762</f>
        <v>1.462321762</v>
      </c>
      <c r="CG135">
        <f>1.73846953</f>
        <v>1.7384695299999999</v>
      </c>
      <c r="CH135">
        <f>1.720692317</f>
        <v>1.7206923169999999</v>
      </c>
      <c r="CI135">
        <f>1.576921275</f>
        <v>1.5769212749999999</v>
      </c>
      <c r="CJ135">
        <f>1.501234071</f>
        <v>1.5012340710000001</v>
      </c>
      <c r="CK135">
        <f>1.257264524</f>
        <v>1.257264524</v>
      </c>
      <c r="CL135">
        <f>1.174786294</f>
        <v>1.174786294</v>
      </c>
      <c r="CM135">
        <f>1.163783986</f>
        <v>1.1637839860000001</v>
      </c>
      <c r="CN135">
        <f>0.980448437</f>
        <v>0.98044843699999995</v>
      </c>
      <c r="CO135">
        <f>0.937138089</f>
        <v>0.93713808899999995</v>
      </c>
      <c r="CP135">
        <f>1.171202668</f>
        <v>1.1712026680000001</v>
      </c>
      <c r="CQ135">
        <f>0.912802746</f>
        <v>0.912802746</v>
      </c>
      <c r="CR135">
        <f>0.938406729</f>
        <v>0.938406729</v>
      </c>
      <c r="CS135">
        <f>1.489277253</f>
        <v>1.489277253</v>
      </c>
      <c r="CT135">
        <f>1.438269272</f>
        <v>1.4382692720000001</v>
      </c>
      <c r="CU135">
        <f>1.485930278</f>
        <v>1.4859302780000001</v>
      </c>
      <c r="CV135">
        <f>1.432765832</f>
        <v>1.4327658320000001</v>
      </c>
      <c r="CW135">
        <f>1.338131004</f>
        <v>1.3381310040000001</v>
      </c>
      <c r="CX135">
        <f>1.157669027</f>
        <v>1.1576690270000001</v>
      </c>
      <c r="CY135">
        <f>1.259946565</f>
        <v>1.2599465649999999</v>
      </c>
      <c r="CZ135">
        <f>1.164462994</f>
        <v>1.164462994</v>
      </c>
      <c r="DA135">
        <f>0.875054367</f>
        <v>0.87505436700000006</v>
      </c>
      <c r="DB135">
        <f>0.624786455</f>
        <v>0.62478645499999996</v>
      </c>
      <c r="DC135">
        <f>0.793319131</f>
        <v>0.79331913099999996</v>
      </c>
      <c r="DD135">
        <f>1.059460378</f>
        <v>1.059460378</v>
      </c>
      <c r="DE135">
        <f>1.110996131</f>
        <v>1.1109961310000001</v>
      </c>
      <c r="DF135">
        <f>1.567573894</f>
        <v>1.5675738939999999</v>
      </c>
      <c r="DG135">
        <f>1.828723787</f>
        <v>1.8287237869999999</v>
      </c>
      <c r="DH135">
        <f>2.008442099</f>
        <v>2.0084420989999998</v>
      </c>
      <c r="DI135">
        <f>1.808130467</f>
        <v>1.808130467</v>
      </c>
      <c r="DJ135">
        <f>1.648044417</f>
        <v>1.6480444169999999</v>
      </c>
      <c r="DK135">
        <f>1.308490183</f>
        <v>1.308490183</v>
      </c>
      <c r="DL135">
        <f>1.096961719</f>
        <v>1.0969617190000001</v>
      </c>
      <c r="DM135">
        <f>1.084543098</f>
        <v>1.0845430979999999</v>
      </c>
      <c r="DN135">
        <f>1.323084278</f>
        <v>1.3230842780000001</v>
      </c>
      <c r="DO135">
        <f>1.205080252</f>
        <v>1.2050802519999999</v>
      </c>
      <c r="DP135">
        <f>1.266985359</f>
        <v>1.266985359</v>
      </c>
      <c r="DQ135">
        <f>0.999270651</f>
        <v>0.99927065100000001</v>
      </c>
      <c r="DR135">
        <f>1.017892748</f>
        <v>1.017892748</v>
      </c>
      <c r="DS135">
        <f>1.064732148</f>
        <v>1.064732148</v>
      </c>
      <c r="DT135">
        <f>0.972616243</f>
        <v>0.97261624300000005</v>
      </c>
      <c r="DU135">
        <f>1.135786347</f>
        <v>1.135786347</v>
      </c>
    </row>
    <row r="136" spans="1:125" x14ac:dyDescent="0.25">
      <c r="A136" t="str">
        <f>"    Dongfeng Motor Group Co Ltd"</f>
        <v xml:space="preserve">    Dongfeng Motor Group Co Ltd</v>
      </c>
      <c r="B136" t="str">
        <f>"489 HK Equity"</f>
        <v>489 HK Equity</v>
      </c>
      <c r="C136" t="str">
        <f t="shared" si="9"/>
        <v>RR903</v>
      </c>
      <c r="D136" t="str">
        <f t="shared" si="10"/>
        <v>PX_TO_BOOK_RATIO</v>
      </c>
      <c r="E136" t="str">
        <f t="shared" si="11"/>
        <v>Dynamic</v>
      </c>
      <c r="F136" t="str">
        <f ca="1">IF(AND(ISNUMBER($F$807),$B$677=1),$F$807,HLOOKUP(INDIRECT(ADDRESS(2,COLUMN())),OFFSET($BN$2,0,0,ROW()-1,60),ROW()-1,FALSE))</f>
        <v/>
      </c>
      <c r="G136" t="str">
        <f ca="1">IF(AND(ISNUMBER($G$807),$B$677=1),$G$807,HLOOKUP(INDIRECT(ADDRESS(2,COLUMN())),OFFSET($BN$2,0,0,ROW()-1,60),ROW()-1,FALSE))</f>
        <v/>
      </c>
      <c r="H136" t="str">
        <f ca="1">IF(AND(ISNUMBER($H$807),$B$677=1),$H$807,HLOOKUP(INDIRECT(ADDRESS(2,COLUMN())),OFFSET($BN$2,0,0,ROW()-1,60),ROW()-1,FALSE))</f>
        <v/>
      </c>
      <c r="I136" t="str">
        <f ca="1">IF(AND(ISNUMBER($I$807),$B$677=1),$I$807,HLOOKUP(INDIRECT(ADDRESS(2,COLUMN())),OFFSET($BN$2,0,0,ROW()-1,60),ROW()-1,FALSE))</f>
        <v/>
      </c>
      <c r="J136" t="str">
        <f ca="1">IF(AND(ISNUMBER($J$807),$B$677=1),$J$807,HLOOKUP(INDIRECT(ADDRESS(2,COLUMN())),OFFSET($BN$2,0,0,ROW()-1,60),ROW()-1,FALSE))</f>
        <v/>
      </c>
      <c r="K136" t="str">
        <f ca="1">IF(AND(ISNUMBER($K$807),$B$677=1),$K$807,HLOOKUP(INDIRECT(ADDRESS(2,COLUMN())),OFFSET($BN$2,0,0,ROW()-1,60),ROW()-1,FALSE))</f>
        <v/>
      </c>
      <c r="L136" t="str">
        <f ca="1">IF(AND(ISNUMBER($L$807),$B$677=1),$L$807,HLOOKUP(INDIRECT(ADDRESS(2,COLUMN())),OFFSET($BN$2,0,0,ROW()-1,60),ROW()-1,FALSE))</f>
        <v/>
      </c>
      <c r="M136" t="str">
        <f ca="1">IF(AND(ISNUMBER($M$807),$B$677=1),$M$807,HLOOKUP(INDIRECT(ADDRESS(2,COLUMN())),OFFSET($BN$2,0,0,ROW()-1,60),ROW()-1,FALSE))</f>
        <v/>
      </c>
      <c r="N136" t="str">
        <f ca="1">IF(AND(ISNUMBER($N$807),$B$677=1),$N$807,HLOOKUP(INDIRECT(ADDRESS(2,COLUMN())),OFFSET($BN$2,0,0,ROW()-1,60),ROW()-1,FALSE))</f>
        <v/>
      </c>
      <c r="O136" t="str">
        <f ca="1">IF(AND(ISNUMBER($O$807),$B$677=1),$O$807,HLOOKUP(INDIRECT(ADDRESS(2,COLUMN())),OFFSET($BN$2,0,0,ROW()-1,60),ROW()-1,FALSE))</f>
        <v/>
      </c>
      <c r="P136" t="str">
        <f ca="1">IF(AND(ISNUMBER($P$807),$B$677=1),$P$807,HLOOKUP(INDIRECT(ADDRESS(2,COLUMN())),OFFSET($BN$2,0,0,ROW()-1,60),ROW()-1,FALSE))</f>
        <v/>
      </c>
      <c r="Q136" t="str">
        <f ca="1">IF(AND(ISNUMBER($Q$807),$B$677=1),$Q$807,HLOOKUP(INDIRECT(ADDRESS(2,COLUMN())),OFFSET($BN$2,0,0,ROW()-1,60),ROW()-1,FALSE))</f>
        <v/>
      </c>
      <c r="R136" t="str">
        <f ca="1">IF(AND(ISNUMBER($R$807),$B$677=1),$R$807,HLOOKUP(INDIRECT(ADDRESS(2,COLUMN())),OFFSET($BN$2,0,0,ROW()-1,60),ROW()-1,FALSE))</f>
        <v/>
      </c>
      <c r="S136" t="str">
        <f ca="1">IF(AND(ISNUMBER($S$807),$B$677=1),$S$807,HLOOKUP(INDIRECT(ADDRESS(2,COLUMN())),OFFSET($BN$2,0,0,ROW()-1,60),ROW()-1,FALSE))</f>
        <v/>
      </c>
      <c r="T136" t="str">
        <f ca="1">IF(AND(ISNUMBER($T$807),$B$677=1),$T$807,HLOOKUP(INDIRECT(ADDRESS(2,COLUMN())),OFFSET($BN$2,0,0,ROW()-1,60),ROW()-1,FALSE))</f>
        <v/>
      </c>
      <c r="U136" t="str">
        <f ca="1">IF(AND(ISNUMBER($U$807),$B$677=1),$U$807,HLOOKUP(INDIRECT(ADDRESS(2,COLUMN())),OFFSET($BN$2,0,0,ROW()-1,60),ROW()-1,FALSE))</f>
        <v/>
      </c>
      <c r="V136" t="str">
        <f ca="1">IF(AND(ISNUMBER($V$807),$B$677=1),$V$807,HLOOKUP(INDIRECT(ADDRESS(2,COLUMN())),OFFSET($BN$2,0,0,ROW()-1,60),ROW()-1,FALSE))</f>
        <v/>
      </c>
      <c r="W136" t="str">
        <f ca="1">IF(AND(ISNUMBER($W$807),$B$677=1),$W$807,HLOOKUP(INDIRECT(ADDRESS(2,COLUMN())),OFFSET($BN$2,0,0,ROW()-1,60),ROW()-1,FALSE))</f>
        <v/>
      </c>
      <c r="X136" t="str">
        <f ca="1">IF(AND(ISNUMBER($X$807),$B$677=1),$X$807,HLOOKUP(INDIRECT(ADDRESS(2,COLUMN())),OFFSET($BN$2,0,0,ROW()-1,60),ROW()-1,FALSE))</f>
        <v/>
      </c>
      <c r="Y136" t="str">
        <f ca="1">IF(AND(ISNUMBER($Y$807),$B$677=1),$Y$807,HLOOKUP(INDIRECT(ADDRESS(2,COLUMN())),OFFSET($BN$2,0,0,ROW()-1,60),ROW()-1,FALSE))</f>
        <v/>
      </c>
      <c r="Z136" t="str">
        <f ca="1">IF(AND(ISNUMBER($Z$807),$B$677=1),$Z$807,HLOOKUP(INDIRECT(ADDRESS(2,COLUMN())),OFFSET($BN$2,0,0,ROW()-1,60),ROW()-1,FALSE))</f>
        <v/>
      </c>
      <c r="AA136" t="str">
        <f ca="1">IF(AND(ISNUMBER($AA$807),$B$677=1),$AA$807,HLOOKUP(INDIRECT(ADDRESS(2,COLUMN())),OFFSET($BN$2,0,0,ROW()-1,60),ROW()-1,FALSE))</f>
        <v/>
      </c>
      <c r="AB136" t="str">
        <f ca="1">IF(AND(ISNUMBER($AB$807),$B$677=1),$AB$807,HLOOKUP(INDIRECT(ADDRESS(2,COLUMN())),OFFSET($BN$2,0,0,ROW()-1,60),ROW()-1,FALSE))</f>
        <v/>
      </c>
      <c r="AC136" t="str">
        <f ca="1">IF(AND(ISNUMBER($AC$807),$B$677=1),$AC$807,HLOOKUP(INDIRECT(ADDRESS(2,COLUMN())),OFFSET($BN$2,0,0,ROW()-1,60),ROW()-1,FALSE))</f>
        <v/>
      </c>
      <c r="AD136" t="str">
        <f ca="1">IF(AND(ISNUMBER($AD$807),$B$677=1),$AD$807,HLOOKUP(INDIRECT(ADDRESS(2,COLUMN())),OFFSET($BN$2,0,0,ROW()-1,60),ROW()-1,FALSE))</f>
        <v/>
      </c>
      <c r="AE136" t="str">
        <f ca="1">IF(AND(ISNUMBER($AE$807),$B$677=1),$AE$807,HLOOKUP(INDIRECT(ADDRESS(2,COLUMN())),OFFSET($BN$2,0,0,ROW()-1,60),ROW()-1,FALSE))</f>
        <v/>
      </c>
      <c r="AF136" t="str">
        <f ca="1">IF(AND(ISNUMBER($AF$807),$B$677=1),$AF$807,HLOOKUP(INDIRECT(ADDRESS(2,COLUMN())),OFFSET($BN$2,0,0,ROW()-1,60),ROW()-1,FALSE))</f>
        <v/>
      </c>
      <c r="AG136" t="str">
        <f ca="1">IF(AND(ISNUMBER($AG$807),$B$677=1),$AG$807,HLOOKUP(INDIRECT(ADDRESS(2,COLUMN())),OFFSET($BN$2,0,0,ROW()-1,60),ROW()-1,FALSE))</f>
        <v/>
      </c>
      <c r="AH136" t="str">
        <f ca="1">IF(AND(ISNUMBER($AH$807),$B$677=1),$AH$807,HLOOKUP(INDIRECT(ADDRESS(2,COLUMN())),OFFSET($BN$2,0,0,ROW()-1,60),ROW()-1,FALSE))</f>
        <v/>
      </c>
      <c r="AI136" t="str">
        <f ca="1">IF(AND(ISNUMBER($AI$807),$B$677=1),$AI$807,HLOOKUP(INDIRECT(ADDRESS(2,COLUMN())),OFFSET($BN$2,0,0,ROW()-1,60),ROW()-1,FALSE))</f>
        <v/>
      </c>
      <c r="AJ136" t="str">
        <f ca="1">IF(AND(ISNUMBER($AJ$807),$B$677=1),$AJ$807,HLOOKUP(INDIRECT(ADDRESS(2,COLUMN())),OFFSET($BN$2,0,0,ROW()-1,60),ROW()-1,FALSE))</f>
        <v/>
      </c>
      <c r="AK136" t="str">
        <f ca="1">IF(AND(ISNUMBER($AK$807),$B$677=1),$AK$807,HLOOKUP(INDIRECT(ADDRESS(2,COLUMN())),OFFSET($BN$2,0,0,ROW()-1,60),ROW()-1,FALSE))</f>
        <v/>
      </c>
      <c r="AL136" t="str">
        <f ca="1">IF(AND(ISNUMBER($AL$807),$B$677=1),$AL$807,HLOOKUP(INDIRECT(ADDRESS(2,COLUMN())),OFFSET($BN$2,0,0,ROW()-1,60),ROW()-1,FALSE))</f>
        <v/>
      </c>
      <c r="AM136" t="str">
        <f ca="1">IF(AND(ISNUMBER($AM$807),$B$677=1),$AM$807,HLOOKUP(INDIRECT(ADDRESS(2,COLUMN())),OFFSET($BN$2,0,0,ROW()-1,60),ROW()-1,FALSE))</f>
        <v/>
      </c>
      <c r="AN136" t="str">
        <f ca="1">IF(AND(ISNUMBER($AN$807),$B$677=1),$AN$807,HLOOKUP(INDIRECT(ADDRESS(2,COLUMN())),OFFSET($BN$2,0,0,ROW()-1,60),ROW()-1,FALSE))</f>
        <v/>
      </c>
      <c r="AO136" t="str">
        <f ca="1">IF(AND(ISNUMBER($AO$807),$B$677=1),$AO$807,HLOOKUP(INDIRECT(ADDRESS(2,COLUMN())),OFFSET($BN$2,0,0,ROW()-1,60),ROW()-1,FALSE))</f>
        <v/>
      </c>
      <c r="AP136" t="str">
        <f ca="1">IF(AND(ISNUMBER($AP$807),$B$677=1),$AP$807,HLOOKUP(INDIRECT(ADDRESS(2,COLUMN())),OFFSET($BN$2,0,0,ROW()-1,60),ROW()-1,FALSE))</f>
        <v/>
      </c>
      <c r="AQ136" t="str">
        <f ca="1">IF(AND(ISNUMBER($AQ$807),$B$677=1),$AQ$807,HLOOKUP(INDIRECT(ADDRESS(2,COLUMN())),OFFSET($BN$2,0,0,ROW()-1,60),ROW()-1,FALSE))</f>
        <v/>
      </c>
      <c r="AR136" t="str">
        <f ca="1">IF(AND(ISNUMBER($AR$807),$B$677=1),$AR$807,HLOOKUP(INDIRECT(ADDRESS(2,COLUMN())),OFFSET($BN$2,0,0,ROW()-1,60),ROW()-1,FALSE))</f>
        <v/>
      </c>
      <c r="AS136" t="str">
        <f ca="1">IF(AND(ISNUMBER($AS$807),$B$677=1),$AS$807,HLOOKUP(INDIRECT(ADDRESS(2,COLUMN())),OFFSET($BN$2,0,0,ROW()-1,60),ROW()-1,FALSE))</f>
        <v/>
      </c>
      <c r="AT136" t="str">
        <f ca="1">IF(AND(ISNUMBER($AT$807),$B$677=1),$AT$807,HLOOKUP(INDIRECT(ADDRESS(2,COLUMN())),OFFSET($BN$2,0,0,ROW()-1,60),ROW()-1,FALSE))</f>
        <v/>
      </c>
      <c r="AU136" t="str">
        <f ca="1">IF(AND(ISNUMBER($AU$807),$B$677=1),$AU$807,HLOOKUP(INDIRECT(ADDRESS(2,COLUMN())),OFFSET($BN$2,0,0,ROW()-1,60),ROW()-1,FALSE))</f>
        <v/>
      </c>
      <c r="AV136" t="str">
        <f ca="1">IF(AND(ISNUMBER($AV$807),$B$677=1),$AV$807,HLOOKUP(INDIRECT(ADDRESS(2,COLUMN())),OFFSET($BN$2,0,0,ROW()-1,60),ROW()-1,FALSE))</f>
        <v/>
      </c>
      <c r="AW136" t="str">
        <f ca="1">IF(AND(ISNUMBER($AW$807),$B$677=1),$AW$807,HLOOKUP(INDIRECT(ADDRESS(2,COLUMN())),OFFSET($BN$2,0,0,ROW()-1,60),ROW()-1,FALSE))</f>
        <v/>
      </c>
      <c r="AX136" t="str">
        <f ca="1">IF(AND(ISNUMBER($AX$807),$B$677=1),$AX$807,HLOOKUP(INDIRECT(ADDRESS(2,COLUMN())),OFFSET($BN$2,0,0,ROW()-1,60),ROW()-1,FALSE))</f>
        <v/>
      </c>
      <c r="AY136" t="str">
        <f ca="1">IF(AND(ISNUMBER($AY$807),$B$677=1),$AY$807,HLOOKUP(INDIRECT(ADDRESS(2,COLUMN())),OFFSET($BN$2,0,0,ROW()-1,60),ROW()-1,FALSE))</f>
        <v/>
      </c>
      <c r="AZ136" t="str">
        <f ca="1">IF(AND(ISNUMBER($AZ$807),$B$677=1),$AZ$807,HLOOKUP(INDIRECT(ADDRESS(2,COLUMN())),OFFSET($BN$2,0,0,ROW()-1,60),ROW()-1,FALSE))</f>
        <v/>
      </c>
      <c r="BA136" t="str">
        <f ca="1">IF(AND(ISNUMBER($BA$807),$B$677=1),$BA$807,HLOOKUP(INDIRECT(ADDRESS(2,COLUMN())),OFFSET($BN$2,0,0,ROW()-1,60),ROW()-1,FALSE))</f>
        <v/>
      </c>
      <c r="BB136" t="str">
        <f ca="1">IF(AND(ISNUMBER($BB$807),$B$677=1),$BB$807,HLOOKUP(INDIRECT(ADDRESS(2,COLUMN())),OFFSET($BN$2,0,0,ROW()-1,60),ROW()-1,FALSE))</f>
        <v/>
      </c>
      <c r="BC136" t="str">
        <f ca="1">IF(AND(ISNUMBER($BC$807),$B$677=1),$BC$807,HLOOKUP(INDIRECT(ADDRESS(2,COLUMN())),OFFSET($BN$2,0,0,ROW()-1,60),ROW()-1,FALSE))</f>
        <v/>
      </c>
      <c r="BD136" t="str">
        <f ca="1">IF(AND(ISNUMBER($BD$807),$B$677=1),$BD$807,HLOOKUP(INDIRECT(ADDRESS(2,COLUMN())),OFFSET($BN$2,0,0,ROW()-1,60),ROW()-1,FALSE))</f>
        <v/>
      </c>
      <c r="BE136" t="str">
        <f ca="1">IF(AND(ISNUMBER($BE$807),$B$677=1),$BE$807,HLOOKUP(INDIRECT(ADDRESS(2,COLUMN())),OFFSET($BN$2,0,0,ROW()-1,60),ROW()-1,FALSE))</f>
        <v/>
      </c>
      <c r="BF136" t="str">
        <f ca="1">IF(AND(ISNUMBER($BF$807),$B$677=1),$BF$807,HLOOKUP(INDIRECT(ADDRESS(2,COLUMN())),OFFSET($BN$2,0,0,ROW()-1,60),ROW()-1,FALSE))</f>
        <v/>
      </c>
      <c r="BG136" t="str">
        <f ca="1">IF(AND(ISNUMBER($BG$807),$B$677=1),$BG$807,HLOOKUP(INDIRECT(ADDRESS(2,COLUMN())),OFFSET($BN$2,0,0,ROW()-1,60),ROW()-1,FALSE))</f>
        <v/>
      </c>
      <c r="BH136" t="str">
        <f ca="1">IF(AND(ISNUMBER($BH$807),$B$677=1),$BH$807,HLOOKUP(INDIRECT(ADDRESS(2,COLUMN())),OFFSET($BN$2,0,0,ROW()-1,60),ROW()-1,FALSE))</f>
        <v/>
      </c>
      <c r="BI136" t="str">
        <f ca="1">IF(AND(ISNUMBER($BI$807),$B$677=1),$BI$807,HLOOKUP(INDIRECT(ADDRESS(2,COLUMN())),OFFSET($BN$2,0,0,ROW()-1,60),ROW()-1,FALSE))</f>
        <v/>
      </c>
      <c r="BJ136" t="str">
        <f ca="1">IF(AND(ISNUMBER($BJ$807),$B$677=1),$BJ$807,HLOOKUP(INDIRECT(ADDRESS(2,COLUMN())),OFFSET($BN$2,0,0,ROW()-1,60),ROW()-1,FALSE))</f>
        <v/>
      </c>
      <c r="BK136" t="str">
        <f ca="1">IF(AND(ISNUMBER($BK$807),$B$677=1),$BK$807,HLOOKUP(INDIRECT(ADDRESS(2,COLUMN())),OFFSET($BN$2,0,0,ROW()-1,60),ROW()-1,FALSE))</f>
        <v/>
      </c>
      <c r="BL136" t="str">
        <f ca="1">IF(AND(ISNUMBER($BL$807),$B$677=1),$BL$807,HLOOKUP(INDIRECT(ADDRESS(2,COLUMN())),OFFSET($BN$2,0,0,ROW()-1,60),ROW()-1,FALSE))</f>
        <v/>
      </c>
      <c r="BM136" t="str">
        <f ca="1">IF(AND(ISNUMBER($BM$807),$B$677=1),$BM$807,HLOOKUP(INDIRECT(ADDRESS(2,COLUMN())),OFFSET($BN$2,0,0,ROW()-1,60),ROW()-1,FALSE))</f>
        <v/>
      </c>
      <c r="BN136" t="str">
        <f>""</f>
        <v/>
      </c>
      <c r="BO136" t="str">
        <f>""</f>
        <v/>
      </c>
      <c r="BP136" t="str">
        <f>""</f>
        <v/>
      </c>
      <c r="BQ136" t="str">
        <f>""</f>
        <v/>
      </c>
      <c r="BR136" t="str">
        <f>""</f>
        <v/>
      </c>
      <c r="BS136" t="str">
        <f>""</f>
        <v/>
      </c>
      <c r="BT136" t="str">
        <f>""</f>
        <v/>
      </c>
      <c r="BU136" t="str">
        <f>""</f>
        <v/>
      </c>
      <c r="BV136" t="str">
        <f>""</f>
        <v/>
      </c>
      <c r="BW136" t="str">
        <f>""</f>
        <v/>
      </c>
      <c r="BX136" t="str">
        <f>""</f>
        <v/>
      </c>
      <c r="BY136" t="str">
        <f>""</f>
        <v/>
      </c>
      <c r="BZ136" t="str">
        <f>""</f>
        <v/>
      </c>
      <c r="CA136" t="str">
        <f>""</f>
        <v/>
      </c>
      <c r="CB136" t="str">
        <f>""</f>
        <v/>
      </c>
      <c r="CC136" t="str">
        <f>""</f>
        <v/>
      </c>
      <c r="CD136" t="str">
        <f>""</f>
        <v/>
      </c>
      <c r="CE136" t="str">
        <f>""</f>
        <v/>
      </c>
      <c r="CF136" t="str">
        <f>""</f>
        <v/>
      </c>
      <c r="CG136" t="str">
        <f>""</f>
        <v/>
      </c>
      <c r="CH136" t="str">
        <f>""</f>
        <v/>
      </c>
      <c r="CI136" t="str">
        <f>""</f>
        <v/>
      </c>
      <c r="CJ136" t="str">
        <f>""</f>
        <v/>
      </c>
      <c r="CK136" t="str">
        <f>""</f>
        <v/>
      </c>
      <c r="CL136" t="str">
        <f>""</f>
        <v/>
      </c>
      <c r="CM136" t="str">
        <f>""</f>
        <v/>
      </c>
      <c r="CN136" t="str">
        <f>""</f>
        <v/>
      </c>
      <c r="CO136" t="str">
        <f>""</f>
        <v/>
      </c>
      <c r="CP136" t="str">
        <f>""</f>
        <v/>
      </c>
      <c r="CQ136" t="str">
        <f>""</f>
        <v/>
      </c>
      <c r="CR136" t="str">
        <f>""</f>
        <v/>
      </c>
      <c r="CS136" t="str">
        <f>""</f>
        <v/>
      </c>
      <c r="CT136" t="str">
        <f>""</f>
        <v/>
      </c>
      <c r="CU136" t="str">
        <f>""</f>
        <v/>
      </c>
      <c r="CV136" t="str">
        <f>""</f>
        <v/>
      </c>
      <c r="CW136" t="str">
        <f>""</f>
        <v/>
      </c>
      <c r="CX136" t="str">
        <f>""</f>
        <v/>
      </c>
      <c r="CY136" t="str">
        <f>""</f>
        <v/>
      </c>
      <c r="CZ136" t="str">
        <f>""</f>
        <v/>
      </c>
      <c r="DA136" t="str">
        <f>""</f>
        <v/>
      </c>
      <c r="DB136" t="str">
        <f>""</f>
        <v/>
      </c>
      <c r="DC136" t="str">
        <f>""</f>
        <v/>
      </c>
      <c r="DD136" t="str">
        <f>""</f>
        <v/>
      </c>
      <c r="DE136" t="str">
        <f>""</f>
        <v/>
      </c>
      <c r="DF136" t="str">
        <f>""</f>
        <v/>
      </c>
      <c r="DG136" t="str">
        <f>""</f>
        <v/>
      </c>
      <c r="DH136" t="str">
        <f>""</f>
        <v/>
      </c>
      <c r="DI136" t="str">
        <f>""</f>
        <v/>
      </c>
      <c r="DJ136" t="str">
        <f>""</f>
        <v/>
      </c>
      <c r="DK136" t="str">
        <f>""</f>
        <v/>
      </c>
      <c r="DL136" t="str">
        <f>""</f>
        <v/>
      </c>
      <c r="DM136" t="str">
        <f>""</f>
        <v/>
      </c>
      <c r="DN136" t="str">
        <f>""</f>
        <v/>
      </c>
      <c r="DO136" t="str">
        <f>""</f>
        <v/>
      </c>
      <c r="DP136" t="str">
        <f>""</f>
        <v/>
      </c>
      <c r="DQ136" t="str">
        <f>""</f>
        <v/>
      </c>
      <c r="DR136" t="str">
        <f>""</f>
        <v/>
      </c>
      <c r="DS136" t="str">
        <f>""</f>
        <v/>
      </c>
      <c r="DT136" t="str">
        <f>""</f>
        <v/>
      </c>
      <c r="DU136" t="str">
        <f>""</f>
        <v/>
      </c>
    </row>
    <row r="137" spans="1:125" x14ac:dyDescent="0.25">
      <c r="A137" t="str">
        <f>"    DRB-Hicom Bhd"</f>
        <v xml:space="preserve">    DRB-Hicom Bhd</v>
      </c>
      <c r="B137" t="str">
        <f>"DRB MK Equity"</f>
        <v>DRB MK Equity</v>
      </c>
      <c r="C137" t="str">
        <f t="shared" si="9"/>
        <v>RR903</v>
      </c>
      <c r="D137" t="str">
        <f t="shared" si="10"/>
        <v>PX_TO_BOOK_RATIO</v>
      </c>
      <c r="E137" t="str">
        <f t="shared" si="11"/>
        <v>Dynamic</v>
      </c>
      <c r="F137" t="str">
        <f ca="1">IF(AND(ISNUMBER($F$808),$B$677=1),$F$808,HLOOKUP(INDIRECT(ADDRESS(2,COLUMN())),OFFSET($BN$2,0,0,ROW()-1,60),ROW()-1,FALSE))</f>
        <v/>
      </c>
      <c r="G137">
        <f ca="1">IF(AND(ISNUMBER($G$808),$B$677=1),$G$808,HLOOKUP(INDIRECT(ADDRESS(2,COLUMN())),OFFSET($BN$2,0,0,ROW()-1,60),ROW()-1,FALSE))</f>
        <v>0.498356731</v>
      </c>
      <c r="H137">
        <f ca="1">IF(AND(ISNUMBER($H$808),$B$677=1),$H$808,HLOOKUP(INDIRECT(ADDRESS(2,COLUMN())),OFFSET($BN$2,0,0,ROW()-1,60),ROW()-1,FALSE))</f>
        <v>0.64371077799999998</v>
      </c>
      <c r="I137">
        <f ca="1">IF(AND(ISNUMBER($I$808),$B$677=1),$I$808,HLOOKUP(INDIRECT(ADDRESS(2,COLUMN())),OFFSET($BN$2,0,0,ROW()-1,60),ROW()-1,FALSE))</f>
        <v>0.57763497900000005</v>
      </c>
      <c r="J137">
        <f ca="1">IF(AND(ISNUMBER($J$808),$B$677=1),$J$808,HLOOKUP(INDIRECT(ADDRESS(2,COLUMN())),OFFSET($BN$2,0,0,ROW()-1,60),ROW()-1,FALSE))</f>
        <v>0.70931536799999995</v>
      </c>
      <c r="K137">
        <f ca="1">IF(AND(ISNUMBER($K$808),$B$677=1),$K$808,HLOOKUP(INDIRECT(ADDRESS(2,COLUMN())),OFFSET($BN$2,0,0,ROW()-1,60),ROW()-1,FALSE))</f>
        <v>0.52257297000000003</v>
      </c>
      <c r="L137">
        <f ca="1">IF(AND(ISNUMBER($L$808),$B$677=1),$L$808,HLOOKUP(INDIRECT(ADDRESS(2,COLUMN())),OFFSET($BN$2,0,0,ROW()-1,60),ROW()-1,FALSE))</f>
        <v>0.460604285</v>
      </c>
      <c r="M137">
        <f ca="1">IF(AND(ISNUMBER($M$808),$B$677=1),$M$808,HLOOKUP(INDIRECT(ADDRESS(2,COLUMN())),OFFSET($BN$2,0,0,ROW()-1,60),ROW()-1,FALSE))</f>
        <v>0.58361703399999998</v>
      </c>
      <c r="N137">
        <f ca="1">IF(AND(ISNUMBER($N$808),$B$677=1),$N$808,HLOOKUP(INDIRECT(ADDRESS(2,COLUMN())),OFFSET($BN$2,0,0,ROW()-1,60),ROW()-1,FALSE))</f>
        <v>0.44920474399999999</v>
      </c>
      <c r="O137">
        <f ca="1">IF(AND(ISNUMBER($O$808),$B$677=1),$O$808,HLOOKUP(INDIRECT(ADDRESS(2,COLUMN())),OFFSET($BN$2,0,0,ROW()-1,60),ROW()-1,FALSE))</f>
        <v>0.349158523</v>
      </c>
      <c r="P137">
        <f ca="1">IF(AND(ISNUMBER($P$808),$B$677=1),$P$808,HLOOKUP(INDIRECT(ADDRESS(2,COLUMN())),OFFSET($BN$2,0,0,ROW()-1,60),ROW()-1,FALSE))</f>
        <v>0.45855037599999998</v>
      </c>
      <c r="Q137">
        <f ca="1">IF(AND(ISNUMBER($Q$808),$B$677=1),$Q$808,HLOOKUP(INDIRECT(ADDRESS(2,COLUMN())),OFFSET($BN$2,0,0,ROW()-1,60),ROW()-1,FALSE))</f>
        <v>0.27366636799999999</v>
      </c>
      <c r="R137">
        <f ca="1">IF(AND(ISNUMBER($R$808),$B$677=1),$R$808,HLOOKUP(INDIRECT(ADDRESS(2,COLUMN())),OFFSET($BN$2,0,0,ROW()-1,60),ROW()-1,FALSE))</f>
        <v>0.30141148299999998</v>
      </c>
      <c r="S137">
        <f ca="1">IF(AND(ISNUMBER($S$808),$B$677=1),$S$808,HLOOKUP(INDIRECT(ADDRESS(2,COLUMN())),OFFSET($BN$2,0,0,ROW()-1,60),ROW()-1,FALSE))</f>
        <v>0.32635646499999998</v>
      </c>
      <c r="T137">
        <f ca="1">IF(AND(ISNUMBER($T$808),$B$677=1),$T$808,HLOOKUP(INDIRECT(ADDRESS(2,COLUMN())),OFFSET($BN$2,0,0,ROW()-1,60),ROW()-1,FALSE))</f>
        <v>0.34034849</v>
      </c>
      <c r="U137">
        <f ca="1">IF(AND(ISNUMBER($U$808),$B$677=1),$U$808,HLOOKUP(INDIRECT(ADDRESS(2,COLUMN())),OFFSET($BN$2,0,0,ROW()-1,60),ROW()-1,FALSE))</f>
        <v>0.40501981199999998</v>
      </c>
      <c r="V137">
        <f ca="1">IF(AND(ISNUMBER($V$808),$B$677=1),$V$808,HLOOKUP(INDIRECT(ADDRESS(2,COLUMN())),OFFSET($BN$2,0,0,ROW()-1,60),ROW()-1,FALSE))</f>
        <v>0.50306847700000001</v>
      </c>
      <c r="W137">
        <f ca="1">IF(AND(ISNUMBER($W$808),$B$677=1),$W$808,HLOOKUP(INDIRECT(ADDRESS(2,COLUMN())),OFFSET($BN$2,0,0,ROW()-1,60),ROW()-1,FALSE))</f>
        <v>0.45241469099999998</v>
      </c>
      <c r="X137">
        <f ca="1">IF(AND(ISNUMBER($X$808),$B$677=1),$X$808,HLOOKUP(INDIRECT(ADDRESS(2,COLUMN())),OFFSET($BN$2,0,0,ROW()-1,60),ROW()-1,FALSE))</f>
        <v>0.59073063699999995</v>
      </c>
      <c r="Y137">
        <f ca="1">IF(AND(ISNUMBER($Y$808),$B$677=1),$Y$808,HLOOKUP(INDIRECT(ADDRESS(2,COLUMN())),OFFSET($BN$2,0,0,ROW()-1,60),ROW()-1,FALSE))</f>
        <v>0.57674415099999998</v>
      </c>
      <c r="Z137">
        <f ca="1">IF(AND(ISNUMBER($Z$808),$B$677=1),$Z$808,HLOOKUP(INDIRECT(ADDRESS(2,COLUMN())),OFFSET($BN$2,0,0,ROW()-1,60),ROW()-1,FALSE))</f>
        <v>0.65309532800000003</v>
      </c>
      <c r="AA137">
        <f ca="1">IF(AND(ISNUMBER($AA$808),$B$677=1),$AA$808,HLOOKUP(INDIRECT(ADDRESS(2,COLUMN())),OFFSET($BN$2,0,0,ROW()-1,60),ROW()-1,FALSE))</f>
        <v>0.75908187999999999</v>
      </c>
      <c r="AB137">
        <f ca="1">IF(AND(ISNUMBER($AB$808),$B$677=1),$AB$808,HLOOKUP(INDIRECT(ADDRESS(2,COLUMN())),OFFSET($BN$2,0,0,ROW()-1,60),ROW()-1,FALSE))</f>
        <v>0.72643319500000003</v>
      </c>
      <c r="AC137">
        <f ca="1">IF(AND(ISNUMBER($AC$808),$B$677=1),$AC$808,HLOOKUP(INDIRECT(ADDRESS(2,COLUMN())),OFFSET($BN$2,0,0,ROW()-1,60),ROW()-1,FALSE))</f>
        <v>0.73769668399999999</v>
      </c>
      <c r="AD137">
        <f ca="1">IF(AND(ISNUMBER($AD$808),$B$677=1),$AD$808,HLOOKUP(INDIRECT(ADDRESS(2,COLUMN())),OFFSET($BN$2,0,0,ROW()-1,60),ROW()-1,FALSE))</f>
        <v>0.69198027900000003</v>
      </c>
      <c r="AE137">
        <f ca="1">IF(AND(ISNUMBER($AE$808),$B$677=1),$AE$808,HLOOKUP(INDIRECT(ADDRESS(2,COLUMN())),OFFSET($BN$2,0,0,ROW()-1,60),ROW()-1,FALSE))</f>
        <v>0.78642082599999996</v>
      </c>
      <c r="AF137">
        <f ca="1">IF(AND(ISNUMBER($AF$808),$B$677=1),$AF$808,HLOOKUP(INDIRECT(ADDRESS(2,COLUMN())),OFFSET($BN$2,0,0,ROW()-1,60),ROW()-1,FALSE))</f>
        <v>0.71208506800000004</v>
      </c>
      <c r="AG137">
        <f ca="1">IF(AND(ISNUMBER($AG$808),$B$677=1),$AG$808,HLOOKUP(INDIRECT(ADDRESS(2,COLUMN())),OFFSET($BN$2,0,0,ROW()-1,60),ROW()-1,FALSE))</f>
        <v>0.77376409400000001</v>
      </c>
      <c r="AH137">
        <f ca="1">IF(AND(ISNUMBER($AH$808),$B$677=1),$AH$808,HLOOKUP(INDIRECT(ADDRESS(2,COLUMN())),OFFSET($BN$2,0,0,ROW()-1,60),ROW()-1,FALSE))</f>
        <v>0.74314958600000003</v>
      </c>
      <c r="AI137">
        <f ca="1">IF(AND(ISNUMBER($AI$808),$B$677=1),$AI$808,HLOOKUP(INDIRECT(ADDRESS(2,COLUMN())),OFFSET($BN$2,0,0,ROW()-1,60),ROW()-1,FALSE))</f>
        <v>0.76351595699999997</v>
      </c>
      <c r="AJ137">
        <f ca="1">IF(AND(ISNUMBER($AJ$808),$B$677=1),$AJ$808,HLOOKUP(INDIRECT(ADDRESS(2,COLUMN())),OFFSET($BN$2,0,0,ROW()-1,60),ROW()-1,FALSE))</f>
        <v>0.658869598</v>
      </c>
      <c r="AK137">
        <f ca="1">IF(AND(ISNUMBER($AK$808),$B$677=1),$AK$808,HLOOKUP(INDIRECT(ADDRESS(2,COLUMN())),OFFSET($BN$2,0,0,ROW()-1,60),ROW()-1,FALSE))</f>
        <v>0.86397437399999999</v>
      </c>
      <c r="AL137">
        <f ca="1">IF(AND(ISNUMBER($AL$808),$B$677=1),$AL$808,HLOOKUP(INDIRECT(ADDRESS(2,COLUMN())),OFFSET($BN$2,0,0,ROW()-1,60),ROW()-1,FALSE))</f>
        <v>0.89279879100000004</v>
      </c>
      <c r="AM137">
        <f ca="1">IF(AND(ISNUMBER($AM$808),$B$677=1),$AM$808,HLOOKUP(INDIRECT(ADDRESS(2,COLUMN())),OFFSET($BN$2,0,0,ROW()-1,60),ROW()-1,FALSE))</f>
        <v>0.76283964999999998</v>
      </c>
      <c r="AN137">
        <f ca="1">IF(AND(ISNUMBER($AN$808),$B$677=1),$AN$808,HLOOKUP(INDIRECT(ADDRESS(2,COLUMN())),OFFSET($BN$2,0,0,ROW()-1,60),ROW()-1,FALSE))</f>
        <v>0.50034478900000001</v>
      </c>
      <c r="AO137">
        <f ca="1">IF(AND(ISNUMBER($AO$808),$B$677=1),$AO$808,HLOOKUP(INDIRECT(ADDRESS(2,COLUMN())),OFFSET($BN$2,0,0,ROW()-1,60),ROW()-1,FALSE))</f>
        <v>0.42696324000000002</v>
      </c>
      <c r="AP137">
        <f ca="1">IF(AND(ISNUMBER($AP$808),$B$677=1),$AP$808,HLOOKUP(INDIRECT(ADDRESS(2,COLUMN())),OFFSET($BN$2,0,0,ROW()-1,60),ROW()-1,FALSE))</f>
        <v>0.489669038</v>
      </c>
      <c r="AQ137">
        <f ca="1">IF(AND(ISNUMBER($AQ$808),$B$677=1),$AQ$808,HLOOKUP(INDIRECT(ADDRESS(2,COLUMN())),OFFSET($BN$2,0,0,ROW()-1,60),ROW()-1,FALSE))</f>
        <v>0.45077303299999999</v>
      </c>
      <c r="AR137">
        <f ca="1">IF(AND(ISNUMBER($AR$808),$B$677=1),$AR$808,HLOOKUP(INDIRECT(ADDRESS(2,COLUMN())),OFFSET($BN$2,0,0,ROW()-1,60),ROW()-1,FALSE))</f>
        <v>0.52933442200000003</v>
      </c>
      <c r="AS137">
        <f ca="1">IF(AND(ISNUMBER($AS$808),$B$677=1),$AS$808,HLOOKUP(INDIRECT(ADDRESS(2,COLUMN())),OFFSET($BN$2,0,0,ROW()-1,60),ROW()-1,FALSE))</f>
        <v>0.47898548499999999</v>
      </c>
      <c r="AT137">
        <f ca="1">IF(AND(ISNUMBER($AT$808),$B$677=1),$AT$808,HLOOKUP(INDIRECT(ADDRESS(2,COLUMN())),OFFSET($BN$2,0,0,ROW()-1,60),ROW()-1,FALSE))</f>
        <v>0.285171279</v>
      </c>
      <c r="AU137">
        <f ca="1">IF(AND(ISNUMBER($AU$808),$B$677=1),$AU$808,HLOOKUP(INDIRECT(ADDRESS(2,COLUMN())),OFFSET($BN$2,0,0,ROW()-1,60),ROW()-1,FALSE))</f>
        <v>0.295454987</v>
      </c>
      <c r="AV137">
        <f ca="1">IF(AND(ISNUMBER($AV$808),$B$677=1),$AV$808,HLOOKUP(INDIRECT(ADDRESS(2,COLUMN())),OFFSET($BN$2,0,0,ROW()-1,60),ROW()-1,FALSE))</f>
        <v>0.258957463</v>
      </c>
      <c r="AW137">
        <f ca="1">IF(AND(ISNUMBER($AW$808),$B$677=1),$AW$808,HLOOKUP(INDIRECT(ADDRESS(2,COLUMN())),OFFSET($BN$2,0,0,ROW()-1,60),ROW()-1,FALSE))</f>
        <v>0.27558474199999999</v>
      </c>
      <c r="AX137">
        <f ca="1">IF(AND(ISNUMBER($AX$808),$B$677=1),$AX$808,HLOOKUP(INDIRECT(ADDRESS(2,COLUMN())),OFFSET($BN$2,0,0,ROW()-1,60),ROW()-1,FALSE))</f>
        <v>0.44339111199999998</v>
      </c>
      <c r="AY137">
        <f ca="1">IF(AND(ISNUMBER($AY$808),$B$677=1),$AY$808,HLOOKUP(INDIRECT(ADDRESS(2,COLUMN())),OFFSET($BN$2,0,0,ROW()-1,60),ROW()-1,FALSE))</f>
        <v>0.56305454399999999</v>
      </c>
      <c r="AZ137">
        <f ca="1">IF(AND(ISNUMBER($AZ$808),$B$677=1),$AZ$808,HLOOKUP(INDIRECT(ADDRESS(2,COLUMN())),OFFSET($BN$2,0,0,ROW()-1,60),ROW()-1,FALSE))</f>
        <v>0.72537657499999997</v>
      </c>
      <c r="BA137">
        <f ca="1">IF(AND(ISNUMBER($BA$808),$B$677=1),$BA$808,HLOOKUP(INDIRECT(ADDRESS(2,COLUMN())),OFFSET($BN$2,0,0,ROW()-1,60),ROW()-1,FALSE))</f>
        <v>0.69843527500000002</v>
      </c>
      <c r="BB137">
        <f ca="1">IF(AND(ISNUMBER($BB$808),$B$677=1),$BB$808,HLOOKUP(INDIRECT(ADDRESS(2,COLUMN())),OFFSET($BN$2,0,0,ROW()-1,60),ROW()-1,FALSE))</f>
        <v>0.75529971200000001</v>
      </c>
      <c r="BC137">
        <f ca="1">IF(AND(ISNUMBER($BC$808),$B$677=1),$BC$808,HLOOKUP(INDIRECT(ADDRESS(2,COLUMN())),OFFSET($BN$2,0,0,ROW()-1,60),ROW()-1,FALSE))</f>
        <v>0.66018605399999997</v>
      </c>
      <c r="BD137">
        <f ca="1">IF(AND(ISNUMBER($BD$808),$B$677=1),$BD$808,HLOOKUP(INDIRECT(ADDRESS(2,COLUMN())),OFFSET($BN$2,0,0,ROW()-1,60),ROW()-1,FALSE))</f>
        <v>0.57472667499999996</v>
      </c>
      <c r="BE137">
        <f ca="1">IF(AND(ISNUMBER($BE$808),$B$677=1),$BE$808,HLOOKUP(INDIRECT(ADDRESS(2,COLUMN())),OFFSET($BN$2,0,0,ROW()-1,60),ROW()-1,FALSE))</f>
        <v>0.57249059199999996</v>
      </c>
      <c r="BF137">
        <f ca="1">IF(AND(ISNUMBER($BF$808),$B$677=1),$BF$808,HLOOKUP(INDIRECT(ADDRESS(2,COLUMN())),OFFSET($BN$2,0,0,ROW()-1,60),ROW()-1,FALSE))</f>
        <v>0.58914011399999999</v>
      </c>
      <c r="BG137">
        <f ca="1">IF(AND(ISNUMBER($BG$808),$B$677=1),$BG$808,HLOOKUP(INDIRECT(ADDRESS(2,COLUMN())),OFFSET($BN$2,0,0,ROW()-1,60),ROW()-1,FALSE))</f>
        <v>0.46490436800000001</v>
      </c>
      <c r="BH137">
        <f ca="1">IF(AND(ISNUMBER($BH$808),$B$677=1),$BH$808,HLOOKUP(INDIRECT(ADDRESS(2,COLUMN())),OFFSET($BN$2,0,0,ROW()-1,60),ROW()-1,FALSE))</f>
        <v>0.571454982</v>
      </c>
      <c r="BI137">
        <f ca="1">IF(AND(ISNUMBER($BI$808),$B$677=1),$BI$808,HLOOKUP(INDIRECT(ADDRESS(2,COLUMN())),OFFSET($BN$2,0,0,ROW()-1,60),ROW()-1,FALSE))</f>
        <v>0.42631094400000002</v>
      </c>
      <c r="BJ137">
        <f ca="1">IF(AND(ISNUMBER($BJ$808),$B$677=1),$BJ$808,HLOOKUP(INDIRECT(ADDRESS(2,COLUMN())),OFFSET($BN$2,0,0,ROW()-1,60),ROW()-1,FALSE))</f>
        <v>0.69203371899999999</v>
      </c>
      <c r="BK137">
        <f ca="1">IF(AND(ISNUMBER($BK$808),$B$677=1),$BK$808,HLOOKUP(INDIRECT(ADDRESS(2,COLUMN())),OFFSET($BN$2,0,0,ROW()-1,60),ROW()-1,FALSE))</f>
        <v>0.81239010599999995</v>
      </c>
      <c r="BL137">
        <f ca="1">IF(AND(ISNUMBER($BL$808),$B$677=1),$BL$808,HLOOKUP(INDIRECT(ADDRESS(2,COLUMN())),OFFSET($BN$2,0,0,ROW()-1,60),ROW()-1,FALSE))</f>
        <v>0.788550105</v>
      </c>
      <c r="BM137">
        <f ca="1">IF(AND(ISNUMBER($BM$808),$B$677=1),$BM$808,HLOOKUP(INDIRECT(ADDRESS(2,COLUMN())),OFFSET($BN$2,0,0,ROW()-1,60),ROW()-1,FALSE))</f>
        <v>0.59987397600000003</v>
      </c>
      <c r="BN137" t="str">
        <f>""</f>
        <v/>
      </c>
      <c r="BO137">
        <f>0.498356731</f>
        <v>0.498356731</v>
      </c>
      <c r="BP137">
        <f>0.643710778</f>
        <v>0.64371077799999998</v>
      </c>
      <c r="BQ137">
        <f>0.577634979</f>
        <v>0.57763497900000005</v>
      </c>
      <c r="BR137">
        <f>0.709315368</f>
        <v>0.70931536799999995</v>
      </c>
      <c r="BS137">
        <f>0.52257297</f>
        <v>0.52257297000000003</v>
      </c>
      <c r="BT137">
        <f>0.460604285</f>
        <v>0.460604285</v>
      </c>
      <c r="BU137">
        <f>0.583617034</f>
        <v>0.58361703399999998</v>
      </c>
      <c r="BV137">
        <f>0.449204744</f>
        <v>0.44920474399999999</v>
      </c>
      <c r="BW137">
        <f>0.349158523</f>
        <v>0.349158523</v>
      </c>
      <c r="BX137">
        <f>0.458550376</f>
        <v>0.45855037599999998</v>
      </c>
      <c r="BY137">
        <f>0.273666368</f>
        <v>0.27366636799999999</v>
      </c>
      <c r="BZ137">
        <f>0.301411483</f>
        <v>0.30141148299999998</v>
      </c>
      <c r="CA137">
        <f>0.326356465</f>
        <v>0.32635646499999998</v>
      </c>
      <c r="CB137">
        <f>0.34034849</f>
        <v>0.34034849</v>
      </c>
      <c r="CC137">
        <f>0.405019812</f>
        <v>0.40501981199999998</v>
      </c>
      <c r="CD137">
        <f>0.503068477</f>
        <v>0.50306847700000001</v>
      </c>
      <c r="CE137">
        <f>0.452414691</f>
        <v>0.45241469099999998</v>
      </c>
      <c r="CF137">
        <f>0.590730637</f>
        <v>0.59073063699999995</v>
      </c>
      <c r="CG137">
        <f>0.576744151</f>
        <v>0.57674415099999998</v>
      </c>
      <c r="CH137">
        <f>0.653095328</f>
        <v>0.65309532800000003</v>
      </c>
      <c r="CI137">
        <f>0.75908188</f>
        <v>0.75908187999999999</v>
      </c>
      <c r="CJ137">
        <f>0.726433195</f>
        <v>0.72643319500000003</v>
      </c>
      <c r="CK137">
        <f>0.737696684</f>
        <v>0.73769668399999999</v>
      </c>
      <c r="CL137">
        <f>0.691980279</f>
        <v>0.69198027900000003</v>
      </c>
      <c r="CM137">
        <f>0.786420826</f>
        <v>0.78642082599999996</v>
      </c>
      <c r="CN137">
        <f>0.712085068</f>
        <v>0.71208506800000004</v>
      </c>
      <c r="CO137">
        <f>0.773764094</f>
        <v>0.77376409400000001</v>
      </c>
      <c r="CP137">
        <f>0.743149586</f>
        <v>0.74314958600000003</v>
      </c>
      <c r="CQ137">
        <f>0.763515957</f>
        <v>0.76351595699999997</v>
      </c>
      <c r="CR137">
        <f>0.658869598</f>
        <v>0.658869598</v>
      </c>
      <c r="CS137">
        <f>0.863974374</f>
        <v>0.86397437399999999</v>
      </c>
      <c r="CT137">
        <f>0.892798791</f>
        <v>0.89279879100000004</v>
      </c>
      <c r="CU137">
        <f>0.76283965</f>
        <v>0.76283964999999998</v>
      </c>
      <c r="CV137">
        <f>0.500344789</f>
        <v>0.50034478900000001</v>
      </c>
      <c r="CW137">
        <f>0.42696324</f>
        <v>0.42696324000000002</v>
      </c>
      <c r="CX137">
        <f>0.489669038</f>
        <v>0.489669038</v>
      </c>
      <c r="CY137">
        <f>0.450773033</f>
        <v>0.45077303299999999</v>
      </c>
      <c r="CZ137">
        <f>0.529334422</f>
        <v>0.52933442200000003</v>
      </c>
      <c r="DA137">
        <f>0.478985485</f>
        <v>0.47898548499999999</v>
      </c>
      <c r="DB137">
        <f>0.285171279</f>
        <v>0.285171279</v>
      </c>
      <c r="DC137">
        <f>0.295454987</f>
        <v>0.295454987</v>
      </c>
      <c r="DD137">
        <f>0.258957463</f>
        <v>0.258957463</v>
      </c>
      <c r="DE137">
        <f>0.275584742</f>
        <v>0.27558474199999999</v>
      </c>
      <c r="DF137">
        <f>0.443391112</f>
        <v>0.44339111199999998</v>
      </c>
      <c r="DG137">
        <f>0.563054544</f>
        <v>0.56305454399999999</v>
      </c>
      <c r="DH137">
        <f>0.725376575</f>
        <v>0.72537657499999997</v>
      </c>
      <c r="DI137">
        <f>0.698435275</f>
        <v>0.69843527500000002</v>
      </c>
      <c r="DJ137">
        <f>0.755299712</f>
        <v>0.75529971200000001</v>
      </c>
      <c r="DK137">
        <f>0.660186054</f>
        <v>0.66018605399999997</v>
      </c>
      <c r="DL137">
        <f>0.574726675</f>
        <v>0.57472667499999996</v>
      </c>
      <c r="DM137">
        <f>0.572490592</f>
        <v>0.57249059199999996</v>
      </c>
      <c r="DN137">
        <f>0.589140114</f>
        <v>0.58914011399999999</v>
      </c>
      <c r="DO137">
        <f>0.464904368</f>
        <v>0.46490436800000001</v>
      </c>
      <c r="DP137">
        <f>0.571454982</f>
        <v>0.571454982</v>
      </c>
      <c r="DQ137">
        <f>0.426310944</f>
        <v>0.42631094400000002</v>
      </c>
      <c r="DR137">
        <f>0.692033719</f>
        <v>0.69203371899999999</v>
      </c>
      <c r="DS137">
        <f>0.812390106</f>
        <v>0.81239010599999995</v>
      </c>
      <c r="DT137">
        <f>0.788550105</f>
        <v>0.788550105</v>
      </c>
      <c r="DU137">
        <f>0.599873976</f>
        <v>0.59987397600000003</v>
      </c>
    </row>
    <row r="138" spans="1:125" x14ac:dyDescent="0.25">
      <c r="A138" t="str">
        <f>"    FAW CAR Co Ltd"</f>
        <v xml:space="preserve">    FAW CAR Co Ltd</v>
      </c>
      <c r="B138" t="str">
        <f>"000800 CH Equity"</f>
        <v>000800 CH Equity</v>
      </c>
      <c r="C138" t="str">
        <f t="shared" si="9"/>
        <v>RR903</v>
      </c>
      <c r="D138" t="str">
        <f t="shared" si="10"/>
        <v>PX_TO_BOOK_RATIO</v>
      </c>
      <c r="E138" t="str">
        <f t="shared" si="11"/>
        <v>Dynamic</v>
      </c>
      <c r="F138">
        <f ca="1">IF(AND(ISNUMBER($F$809),$B$677=1),$F$809,HLOOKUP(INDIRECT(ADDRESS(2,COLUMN())),OFFSET($BN$2,0,0,ROW()-1,60),ROW()-1,FALSE))</f>
        <v>1.623776855</v>
      </c>
      <c r="G138">
        <f ca="1">IF(AND(ISNUMBER($G$809),$B$677=1),$G$809,HLOOKUP(INDIRECT(ADDRESS(2,COLUMN())),OFFSET($BN$2,0,0,ROW()-1,60),ROW()-1,FALSE))</f>
        <v>1.3353295380000001</v>
      </c>
      <c r="H138">
        <f ca="1">IF(AND(ISNUMBER($H$809),$B$677=1),$H$809,HLOOKUP(INDIRECT(ADDRESS(2,COLUMN())),OFFSET($BN$2,0,0,ROW()-1,60),ROW()-1,FALSE))</f>
        <v>1.329278196</v>
      </c>
      <c r="I138">
        <f ca="1">IF(AND(ISNUMBER($I$809),$B$677=1),$I$809,HLOOKUP(INDIRECT(ADDRESS(2,COLUMN())),OFFSET($BN$2,0,0,ROW()-1,60),ROW()-1,FALSE))</f>
        <v>1.519963218</v>
      </c>
      <c r="J138">
        <f ca="1">IF(AND(ISNUMBER($J$809),$B$677=1),$J$809,HLOOKUP(INDIRECT(ADDRESS(2,COLUMN())),OFFSET($BN$2,0,0,ROW()-1,60),ROW()-1,FALSE))</f>
        <v>2.0719006590000002</v>
      </c>
      <c r="K138">
        <f ca="1">IF(AND(ISNUMBER($K$809),$B$677=1),$K$809,HLOOKUP(INDIRECT(ADDRESS(2,COLUMN())),OFFSET($BN$2,0,0,ROW()-1,60),ROW()-1,FALSE))</f>
        <v>2.1954902839999999</v>
      </c>
      <c r="L138">
        <f ca="1">IF(AND(ISNUMBER($L$809),$B$677=1),$L$809,HLOOKUP(INDIRECT(ADDRESS(2,COLUMN())),OFFSET($BN$2,0,0,ROW()-1,60),ROW()-1,FALSE))</f>
        <v>2.80286349</v>
      </c>
      <c r="M138">
        <f ca="1">IF(AND(ISNUMBER($M$809),$B$677=1),$M$809,HLOOKUP(INDIRECT(ADDRESS(2,COLUMN())),OFFSET($BN$2,0,0,ROW()-1,60),ROW()-1,FALSE))</f>
        <v>2.077637492</v>
      </c>
      <c r="N138">
        <f ca="1">IF(AND(ISNUMBER($N$809),$B$677=1),$N$809,HLOOKUP(INDIRECT(ADDRESS(2,COLUMN())),OFFSET($BN$2,0,0,ROW()-1,60),ROW()-1,FALSE))</f>
        <v>2.4367798089999999</v>
      </c>
      <c r="O138">
        <f ca="1">IF(AND(ISNUMBER($O$809),$B$677=1),$O$809,HLOOKUP(INDIRECT(ADDRESS(2,COLUMN())),OFFSET($BN$2,0,0,ROW()-1,60),ROW()-1,FALSE))</f>
        <v>2.3008854269999999</v>
      </c>
      <c r="P138">
        <f ca="1">IF(AND(ISNUMBER($P$809),$B$677=1),$P$809,HLOOKUP(INDIRECT(ADDRESS(2,COLUMN())),OFFSET($BN$2,0,0,ROW()-1,60),ROW()-1,FALSE))</f>
        <v>2.149462513</v>
      </c>
      <c r="Q138">
        <f ca="1">IF(AND(ISNUMBER($Q$809),$B$677=1),$Q$809,HLOOKUP(INDIRECT(ADDRESS(2,COLUMN())),OFFSET($BN$2,0,0,ROW()-1,60),ROW()-1,FALSE))</f>
        <v>2.2660923130000001</v>
      </c>
      <c r="R138">
        <f ca="1">IF(AND(ISNUMBER($R$809),$B$677=1),$R$809,HLOOKUP(INDIRECT(ADDRESS(2,COLUMN())),OFFSET($BN$2,0,0,ROW()-1,60),ROW()-1,FALSE))</f>
        <v>2.7677601279999999</v>
      </c>
      <c r="S138">
        <f ca="1">IF(AND(ISNUMBER($S$809),$B$677=1),$S$809,HLOOKUP(INDIRECT(ADDRESS(2,COLUMN())),OFFSET($BN$2,0,0,ROW()-1,60),ROW()-1,FALSE))</f>
        <v>3.0581157559999999</v>
      </c>
      <c r="T138">
        <f ca="1">IF(AND(ISNUMBER($T$809),$B$677=1),$T$809,HLOOKUP(INDIRECT(ADDRESS(2,COLUMN())),OFFSET($BN$2,0,0,ROW()-1,60),ROW()-1,FALSE))</f>
        <v>2.7040022399999999</v>
      </c>
      <c r="U138">
        <f ca="1">IF(AND(ISNUMBER($U$809),$B$677=1),$U$809,HLOOKUP(INDIRECT(ADDRESS(2,COLUMN())),OFFSET($BN$2,0,0,ROW()-1,60),ROW()-1,FALSE))</f>
        <v>4.5503944440000001</v>
      </c>
      <c r="V138">
        <f ca="1">IF(AND(ISNUMBER($V$809),$B$677=1),$V$809,HLOOKUP(INDIRECT(ADDRESS(2,COLUMN())),OFFSET($BN$2,0,0,ROW()-1,60),ROW()-1,FALSE))</f>
        <v>3.5908164710000001</v>
      </c>
      <c r="W138">
        <f ca="1">IF(AND(ISNUMBER($W$809),$B$677=1),$W$809,HLOOKUP(INDIRECT(ADDRESS(2,COLUMN())),OFFSET($BN$2,0,0,ROW()-1,60),ROW()-1,FALSE))</f>
        <v>2.8413920180000001</v>
      </c>
      <c r="X138">
        <f ca="1">IF(AND(ISNUMBER($X$809),$B$677=1),$X$809,HLOOKUP(INDIRECT(ADDRESS(2,COLUMN())),OFFSET($BN$2,0,0,ROW()-1,60),ROW()-1,FALSE))</f>
        <v>2.0461361290000002</v>
      </c>
      <c r="Y138">
        <f ca="1">IF(AND(ISNUMBER($Y$809),$B$677=1),$Y$809,HLOOKUP(INDIRECT(ADDRESS(2,COLUMN())),OFFSET($BN$2,0,0,ROW()-1,60),ROW()-1,FALSE))</f>
        <v>1.7559348880000001</v>
      </c>
      <c r="Z138">
        <f ca="1">IF(AND(ISNUMBER($Z$809),$B$677=1),$Z$809,HLOOKUP(INDIRECT(ADDRESS(2,COLUMN())),OFFSET($BN$2,0,0,ROW()-1,60),ROW()-1,FALSE))</f>
        <v>1.8519273940000001</v>
      </c>
      <c r="AA138">
        <f ca="1">IF(AND(ISNUMBER($AA$809),$B$677=1),$AA$809,HLOOKUP(INDIRECT(ADDRESS(2,COLUMN())),OFFSET($BN$2,0,0,ROW()-1,60),ROW()-1,FALSE))</f>
        <v>2.250048064</v>
      </c>
      <c r="AB138">
        <f ca="1">IF(AND(ISNUMBER($AB$809),$B$677=1),$AB$809,HLOOKUP(INDIRECT(ADDRESS(2,COLUMN())),OFFSET($BN$2,0,0,ROW()-1,60),ROW()-1,FALSE))</f>
        <v>2.5749530200000001</v>
      </c>
      <c r="AC138">
        <f ca="1">IF(AND(ISNUMBER($AC$809),$B$677=1),$AC$809,HLOOKUP(INDIRECT(ADDRESS(2,COLUMN())),OFFSET($BN$2,0,0,ROW()-1,60),ROW()-1,FALSE))</f>
        <v>2.4309973810000001</v>
      </c>
      <c r="AD138">
        <f ca="1">IF(AND(ISNUMBER($AD$809),$B$677=1),$AD$809,HLOOKUP(INDIRECT(ADDRESS(2,COLUMN())),OFFSET($BN$2,0,0,ROW()-1,60),ROW()-1,FALSE))</f>
        <v>1.6022095009999999</v>
      </c>
      <c r="AE138">
        <f ca="1">IF(AND(ISNUMBER($AE$809),$B$677=1),$AE$809,HLOOKUP(INDIRECT(ADDRESS(2,COLUMN())),OFFSET($BN$2,0,0,ROW()-1,60),ROW()-1,FALSE))</f>
        <v>1.780063196</v>
      </c>
      <c r="AF138">
        <f ca="1">IF(AND(ISNUMBER($AF$809),$B$677=1),$AF$809,HLOOKUP(INDIRECT(ADDRESS(2,COLUMN())),OFFSET($BN$2,0,0,ROW()-1,60),ROW()-1,FALSE))</f>
        <v>1.3776300480000001</v>
      </c>
      <c r="AG138">
        <f ca="1">IF(AND(ISNUMBER($AG$809),$B$677=1),$AG$809,HLOOKUP(INDIRECT(ADDRESS(2,COLUMN())),OFFSET($BN$2,0,0,ROW()-1,60),ROW()-1,FALSE))</f>
        <v>2.128024881</v>
      </c>
      <c r="AH138">
        <f ca="1">IF(AND(ISNUMBER($AH$809),$B$677=1),$AH$809,HLOOKUP(INDIRECT(ADDRESS(2,COLUMN())),OFFSET($BN$2,0,0,ROW()-1,60),ROW()-1,FALSE))</f>
        <v>2.0474965530000002</v>
      </c>
      <c r="AI138">
        <f ca="1">IF(AND(ISNUMBER($AI$809),$B$677=1),$AI$809,HLOOKUP(INDIRECT(ADDRESS(2,COLUMN())),OFFSET($BN$2,0,0,ROW()-1,60),ROW()-1,FALSE))</f>
        <v>1.7221764509999999</v>
      </c>
      <c r="AJ138">
        <f ca="1">IF(AND(ISNUMBER($AJ$809),$B$677=1),$AJ$809,HLOOKUP(INDIRECT(ADDRESS(2,COLUMN())),OFFSET($BN$2,0,0,ROW()-1,60),ROW()-1,FALSE))</f>
        <v>2.0896870129999998</v>
      </c>
      <c r="AK138">
        <f ca="1">IF(AND(ISNUMBER($AK$809),$B$677=1),$AK$809,HLOOKUP(INDIRECT(ADDRESS(2,COLUMN())),OFFSET($BN$2,0,0,ROW()-1,60),ROW()-1,FALSE))</f>
        <v>2.572855272</v>
      </c>
      <c r="AL138">
        <f ca="1">IF(AND(ISNUMBER($AL$809),$B$677=1),$AL$809,HLOOKUP(INDIRECT(ADDRESS(2,COLUMN())),OFFSET($BN$2,0,0,ROW()-1,60),ROW()-1,FALSE))</f>
        <v>3.01902078</v>
      </c>
      <c r="AM138">
        <f ca="1">IF(AND(ISNUMBER($AM$809),$B$677=1),$AM$809,HLOOKUP(INDIRECT(ADDRESS(2,COLUMN())),OFFSET($BN$2,0,0,ROW()-1,60),ROW()-1,FALSE))</f>
        <v>3.0269546300000001</v>
      </c>
      <c r="AN138">
        <f ca="1">IF(AND(ISNUMBER($AN$809),$B$677=1),$AN$809,HLOOKUP(INDIRECT(ADDRESS(2,COLUMN())),OFFSET($BN$2,0,0,ROW()-1,60),ROW()-1,FALSE))</f>
        <v>3.5232869550000001</v>
      </c>
      <c r="AO138">
        <f ca="1">IF(AND(ISNUMBER($AO$809),$B$677=1),$AO$809,HLOOKUP(INDIRECT(ADDRESS(2,COLUMN())),OFFSET($BN$2,0,0,ROW()-1,60),ROW()-1,FALSE))</f>
        <v>2.9912760070000002</v>
      </c>
      <c r="AP138">
        <f ca="1">IF(AND(ISNUMBER($AP$809),$B$677=1),$AP$809,HLOOKUP(INDIRECT(ADDRESS(2,COLUMN())),OFFSET($BN$2,0,0,ROW()-1,60),ROW()-1,FALSE))</f>
        <v>4.3099699620000003</v>
      </c>
      <c r="AQ138">
        <f ca="1">IF(AND(ISNUMBER($AQ$809),$B$677=1),$AQ$809,HLOOKUP(INDIRECT(ADDRESS(2,COLUMN())),OFFSET($BN$2,0,0,ROW()-1,60),ROW()-1,FALSE))</f>
        <v>5.6536707359999996</v>
      </c>
      <c r="AR138">
        <f ca="1">IF(AND(ISNUMBER($AR$809),$B$677=1),$AR$809,HLOOKUP(INDIRECT(ADDRESS(2,COLUMN())),OFFSET($BN$2,0,0,ROW()-1,60),ROW()-1,FALSE))</f>
        <v>4.0152792760000002</v>
      </c>
      <c r="AS138">
        <f ca="1">IF(AND(ISNUMBER($AS$809),$B$677=1),$AS$809,HLOOKUP(INDIRECT(ADDRESS(2,COLUMN())),OFFSET($BN$2,0,0,ROW()-1,60),ROW()-1,FALSE))</f>
        <v>3.8429413449999998</v>
      </c>
      <c r="AT138">
        <f ca="1">IF(AND(ISNUMBER($AT$809),$B$677=1),$AT$809,HLOOKUP(INDIRECT(ADDRESS(2,COLUMN())),OFFSET($BN$2,0,0,ROW()-1,60),ROW()-1,FALSE))</f>
        <v>2.9286105089999999</v>
      </c>
      <c r="AU138">
        <f ca="1">IF(AND(ISNUMBER($AU$809),$B$677=1),$AU$809,HLOOKUP(INDIRECT(ADDRESS(2,COLUMN())),OFFSET($BN$2,0,0,ROW()-1,60),ROW()-1,FALSE))</f>
        <v>1.779442019</v>
      </c>
      <c r="AV138">
        <f ca="1">IF(AND(ISNUMBER($AV$809),$B$677=1),$AV$809,HLOOKUP(INDIRECT(ADDRESS(2,COLUMN())),OFFSET($BN$2,0,0,ROW()-1,60),ROW()-1,FALSE))</f>
        <v>1.7545353770000001</v>
      </c>
      <c r="AW138">
        <f ca="1">IF(AND(ISNUMBER($AW$809),$B$677=1),$AW$809,HLOOKUP(INDIRECT(ADDRESS(2,COLUMN())),OFFSET($BN$2,0,0,ROW()-1,60),ROW()-1,FALSE))</f>
        <v>2.1670107949999999</v>
      </c>
      <c r="AX138">
        <f ca="1">IF(AND(ISNUMBER($AX$809),$B$677=1),$AX$809,HLOOKUP(INDIRECT(ADDRESS(2,COLUMN())),OFFSET($BN$2,0,0,ROW()-1,60),ROW()-1,FALSE))</f>
        <v>3.546225019</v>
      </c>
      <c r="AY138">
        <f ca="1">IF(AND(ISNUMBER($AY$809),$B$677=1),$AY$809,HLOOKUP(INDIRECT(ADDRESS(2,COLUMN())),OFFSET($BN$2,0,0,ROW()-1,60),ROW()-1,FALSE))</f>
        <v>5.3153100819999999</v>
      </c>
      <c r="AZ138">
        <f ca="1">IF(AND(ISNUMBER($AZ$809),$B$677=1),$AZ$809,HLOOKUP(INDIRECT(ADDRESS(2,COLUMN())),OFFSET($BN$2,0,0,ROW()-1,60),ROW()-1,FALSE))</f>
        <v>6.0444892819999998</v>
      </c>
      <c r="BA138">
        <f ca="1">IF(AND(ISNUMBER($BA$809),$B$677=1),$BA$809,HLOOKUP(INDIRECT(ADDRESS(2,COLUMN())),OFFSET($BN$2,0,0,ROW()-1,60),ROW()-1,FALSE))</f>
        <v>3.2585132049999999</v>
      </c>
      <c r="BB138">
        <f ca="1">IF(AND(ISNUMBER($BB$809),$B$677=1),$BB$809,HLOOKUP(INDIRECT(ADDRESS(2,COLUMN())),OFFSET($BN$2,0,0,ROW()-1,60),ROW()-1,FALSE))</f>
        <v>2.7252262260000002</v>
      </c>
      <c r="BC138">
        <f ca="1">IF(AND(ISNUMBER($BC$809),$B$677=1),$BC$809,HLOOKUP(INDIRECT(ADDRESS(2,COLUMN())),OFFSET($BN$2,0,0,ROW()-1,60),ROW()-1,FALSE))</f>
        <v>1.2148962050000001</v>
      </c>
      <c r="BD138">
        <f ca="1">IF(AND(ISNUMBER($BD$809),$B$677=1),$BD$809,HLOOKUP(INDIRECT(ADDRESS(2,COLUMN())),OFFSET($BN$2,0,0,ROW()-1,60),ROW()-1,FALSE))</f>
        <v>1.883128983</v>
      </c>
      <c r="BE138">
        <f ca="1">IF(AND(ISNUMBER($BE$809),$B$677=1),$BE$809,HLOOKUP(INDIRECT(ADDRESS(2,COLUMN())),OFFSET($BN$2,0,0,ROW()-1,60),ROW()-1,FALSE))</f>
        <v>1.0470566189999999</v>
      </c>
      <c r="BF138">
        <f ca="1">IF(AND(ISNUMBER($BF$809),$B$677=1),$BF$809,HLOOKUP(INDIRECT(ADDRESS(2,COLUMN())),OFFSET($BN$2,0,0,ROW()-1,60),ROW()-1,FALSE))</f>
        <v>1.0352633760000001</v>
      </c>
      <c r="BG138">
        <f ca="1">IF(AND(ISNUMBER($BG$809),$B$677=1),$BG$809,HLOOKUP(INDIRECT(ADDRESS(2,COLUMN())),OFFSET($BN$2,0,0,ROW()-1,60),ROW()-1,FALSE))</f>
        <v>0.94722044999999999</v>
      </c>
      <c r="BH138">
        <f ca="1">IF(AND(ISNUMBER($BH$809),$B$677=1),$BH$809,HLOOKUP(INDIRECT(ADDRESS(2,COLUMN())),OFFSET($BN$2,0,0,ROW()-1,60),ROW()-1,FALSE))</f>
        <v>0.87426702000000001</v>
      </c>
      <c r="BI138">
        <f ca="1">IF(AND(ISNUMBER($BI$809),$B$677=1),$BI$809,HLOOKUP(INDIRECT(ADDRESS(2,COLUMN())),OFFSET($BN$2,0,0,ROW()-1,60),ROW()-1,FALSE))</f>
        <v>0.84416480199999999</v>
      </c>
      <c r="BJ138">
        <f ca="1">IF(AND(ISNUMBER($BJ$809),$B$677=1),$BJ$809,HLOOKUP(INDIRECT(ADDRESS(2,COLUMN())),OFFSET($BN$2,0,0,ROW()-1,60),ROW()-1,FALSE))</f>
        <v>1.0396872619999999</v>
      </c>
      <c r="BK138">
        <f ca="1">IF(AND(ISNUMBER($BK$809),$B$677=1),$BK$809,HLOOKUP(INDIRECT(ADDRESS(2,COLUMN())),OFFSET($BN$2,0,0,ROW()-1,60),ROW()-1,FALSE))</f>
        <v>1.163699668</v>
      </c>
      <c r="BL138">
        <f ca="1">IF(AND(ISNUMBER($BL$809),$B$677=1),$BL$809,HLOOKUP(INDIRECT(ADDRESS(2,COLUMN())),OFFSET($BN$2,0,0,ROW()-1,60),ROW()-1,FALSE))</f>
        <v>1.808671828</v>
      </c>
      <c r="BM138">
        <f ca="1">IF(AND(ISNUMBER($BM$809),$B$677=1),$BM$809,HLOOKUP(INDIRECT(ADDRESS(2,COLUMN())),OFFSET($BN$2,0,0,ROW()-1,60),ROW()-1,FALSE))</f>
        <v>1.969853893</v>
      </c>
      <c r="BN138">
        <f>1.623776855</f>
        <v>1.623776855</v>
      </c>
      <c r="BO138">
        <f>1.335329538</f>
        <v>1.3353295380000001</v>
      </c>
      <c r="BP138">
        <f>1.329278196</f>
        <v>1.329278196</v>
      </c>
      <c r="BQ138">
        <f>1.519963218</f>
        <v>1.519963218</v>
      </c>
      <c r="BR138">
        <f>2.071900659</f>
        <v>2.0719006590000002</v>
      </c>
      <c r="BS138">
        <f>2.195490284</f>
        <v>2.1954902839999999</v>
      </c>
      <c r="BT138">
        <f>2.80286349</f>
        <v>2.80286349</v>
      </c>
      <c r="BU138">
        <f>2.077637492</f>
        <v>2.077637492</v>
      </c>
      <c r="BV138">
        <f>2.436779809</f>
        <v>2.4367798089999999</v>
      </c>
      <c r="BW138">
        <f>2.300885427</f>
        <v>2.3008854269999999</v>
      </c>
      <c r="BX138">
        <f>2.149462513</f>
        <v>2.149462513</v>
      </c>
      <c r="BY138">
        <f>2.266092313</f>
        <v>2.2660923130000001</v>
      </c>
      <c r="BZ138">
        <f>2.767760128</f>
        <v>2.7677601279999999</v>
      </c>
      <c r="CA138">
        <f>3.058115756</f>
        <v>3.0581157559999999</v>
      </c>
      <c r="CB138">
        <f>2.70400224</f>
        <v>2.7040022399999999</v>
      </c>
      <c r="CC138">
        <f>4.550394444</f>
        <v>4.5503944440000001</v>
      </c>
      <c r="CD138">
        <f>3.590816471</f>
        <v>3.5908164710000001</v>
      </c>
      <c r="CE138">
        <f>2.841392018</f>
        <v>2.8413920180000001</v>
      </c>
      <c r="CF138">
        <f>2.046136129</f>
        <v>2.0461361290000002</v>
      </c>
      <c r="CG138">
        <f>1.755934888</f>
        <v>1.7559348880000001</v>
      </c>
      <c r="CH138">
        <f>1.851927394</f>
        <v>1.8519273940000001</v>
      </c>
      <c r="CI138">
        <f>2.250048064</f>
        <v>2.250048064</v>
      </c>
      <c r="CJ138">
        <f>2.57495302</f>
        <v>2.5749530200000001</v>
      </c>
      <c r="CK138">
        <f>2.430997381</f>
        <v>2.4309973810000001</v>
      </c>
      <c r="CL138">
        <f>1.602209501</f>
        <v>1.6022095009999999</v>
      </c>
      <c r="CM138">
        <f>1.780063196</f>
        <v>1.780063196</v>
      </c>
      <c r="CN138">
        <f>1.377630048</f>
        <v>1.3776300480000001</v>
      </c>
      <c r="CO138">
        <f>2.128024881</f>
        <v>2.128024881</v>
      </c>
      <c r="CP138">
        <f>2.047496553</f>
        <v>2.0474965530000002</v>
      </c>
      <c r="CQ138">
        <f>1.722176451</f>
        <v>1.7221764509999999</v>
      </c>
      <c r="CR138">
        <f>2.089687013</f>
        <v>2.0896870129999998</v>
      </c>
      <c r="CS138">
        <f>2.572855272</f>
        <v>2.572855272</v>
      </c>
      <c r="CT138">
        <f>3.01902078</f>
        <v>3.01902078</v>
      </c>
      <c r="CU138">
        <f>3.02695463</f>
        <v>3.0269546300000001</v>
      </c>
      <c r="CV138">
        <f>3.523286955</f>
        <v>3.5232869550000001</v>
      </c>
      <c r="CW138">
        <f>2.991276007</f>
        <v>2.9912760070000002</v>
      </c>
      <c r="CX138">
        <f>4.309969962</f>
        <v>4.3099699620000003</v>
      </c>
      <c r="CY138">
        <f>5.653670736</f>
        <v>5.6536707359999996</v>
      </c>
      <c r="CZ138">
        <f>4.015279276</f>
        <v>4.0152792760000002</v>
      </c>
      <c r="DA138">
        <f>3.842941345</f>
        <v>3.8429413449999998</v>
      </c>
      <c r="DB138">
        <f>2.928610509</f>
        <v>2.9286105089999999</v>
      </c>
      <c r="DC138">
        <f>1.779442019</f>
        <v>1.779442019</v>
      </c>
      <c r="DD138">
        <f>1.754535377</f>
        <v>1.7545353770000001</v>
      </c>
      <c r="DE138">
        <f>2.167010795</f>
        <v>2.1670107949999999</v>
      </c>
      <c r="DF138">
        <f>3.546225019</f>
        <v>3.546225019</v>
      </c>
      <c r="DG138">
        <f>5.315310082</f>
        <v>5.3153100819999999</v>
      </c>
      <c r="DH138">
        <f>6.044489282</f>
        <v>6.0444892819999998</v>
      </c>
      <c r="DI138">
        <f>3.258513205</f>
        <v>3.2585132049999999</v>
      </c>
      <c r="DJ138">
        <f>2.725226226</f>
        <v>2.7252262260000002</v>
      </c>
      <c r="DK138">
        <f>1.214896205</f>
        <v>1.2148962050000001</v>
      </c>
      <c r="DL138">
        <f>1.883128983</f>
        <v>1.883128983</v>
      </c>
      <c r="DM138">
        <f>1.047056619</f>
        <v>1.0470566189999999</v>
      </c>
      <c r="DN138">
        <f>1.035263376</f>
        <v>1.0352633760000001</v>
      </c>
      <c r="DO138">
        <f>0.94722045</f>
        <v>0.94722044999999999</v>
      </c>
      <c r="DP138">
        <f>0.87426702</f>
        <v>0.87426702000000001</v>
      </c>
      <c r="DQ138">
        <f>0.844164802</f>
        <v>0.84416480199999999</v>
      </c>
      <c r="DR138">
        <f>1.039687262</f>
        <v>1.0396872619999999</v>
      </c>
      <c r="DS138">
        <f>1.163699668</f>
        <v>1.163699668</v>
      </c>
      <c r="DT138">
        <f>1.808671828</f>
        <v>1.808671828</v>
      </c>
      <c r="DU138">
        <f>1.969853893</f>
        <v>1.969853893</v>
      </c>
    </row>
    <row r="139" spans="1:125" x14ac:dyDescent="0.25">
      <c r="A139" t="str">
        <f>"    Fiat Chrysler Automobiles NV"</f>
        <v xml:space="preserve">    Fiat Chrysler Automobiles NV</v>
      </c>
      <c r="B139" t="str">
        <f>"FCAU US Equity"</f>
        <v>FCAU US Equity</v>
      </c>
      <c r="C139" t="str">
        <f t="shared" si="9"/>
        <v>RR903</v>
      </c>
      <c r="D139" t="str">
        <f t="shared" si="10"/>
        <v>PX_TO_BOOK_RATIO</v>
      </c>
      <c r="E139" t="str">
        <f t="shared" si="11"/>
        <v>Dynamic</v>
      </c>
      <c r="F139">
        <f ca="1">IF(AND(ISNUMBER($F$810),$B$677=1),$F$810,HLOOKUP(INDIRECT(ADDRESS(2,COLUMN())),OFFSET($BN$2,0,0,ROW()-1,60),ROW()-1,FALSE))</f>
        <v>1.0457757999999999</v>
      </c>
      <c r="G139">
        <f ca="1">IF(AND(ISNUMBER($G$810),$B$677=1),$G$810,HLOOKUP(INDIRECT(ADDRESS(2,COLUMN())),OFFSET($BN$2,0,0,ROW()-1,60),ROW()-1,FALSE))</f>
        <v>1.001643676</v>
      </c>
      <c r="H139">
        <f ca="1">IF(AND(ISNUMBER($H$810),$B$677=1),$H$810,HLOOKUP(INDIRECT(ADDRESS(2,COLUMN())),OFFSET($BN$2,0,0,ROW()-1,60),ROW()-1,FALSE))</f>
        <v>1.291916837</v>
      </c>
      <c r="I139">
        <f ca="1">IF(AND(ISNUMBER($I$810),$B$677=1),$I$810,HLOOKUP(INDIRECT(ADDRESS(2,COLUMN())),OFFSET($BN$2,0,0,ROW()-1,60),ROW()-1,FALSE))</f>
        <v>1.409828232</v>
      </c>
      <c r="J139">
        <f ca="1">IF(AND(ISNUMBER($J$810),$B$677=1),$J$810,HLOOKUP(INDIRECT(ADDRESS(2,COLUMN())),OFFSET($BN$2,0,0,ROW()-1,60),ROW()-1,FALSE))</f>
        <v>1.5192547540000001</v>
      </c>
      <c r="K139">
        <f ca="1">IF(AND(ISNUMBER($K$810),$B$677=1),$K$810,HLOOKUP(INDIRECT(ADDRESS(2,COLUMN())),OFFSET($BN$2,0,0,ROW()-1,60),ROW()-1,FALSE))</f>
        <v>1.389239458</v>
      </c>
      <c r="L139">
        <f ca="1">IF(AND(ISNUMBER($L$810),$B$677=1),$L$810,HLOOKUP(INDIRECT(ADDRESS(2,COLUMN())),OFFSET($BN$2,0,0,ROW()-1,60),ROW()-1,FALSE))</f>
        <v>1.454511187</v>
      </c>
      <c r="M139">
        <f ca="1">IF(AND(ISNUMBER($M$810),$B$677=1),$M$810,HLOOKUP(INDIRECT(ADDRESS(2,COLUMN())),OFFSET($BN$2,0,0,ROW()-1,60),ROW()-1,FALSE))</f>
        <v>0.91196485400000005</v>
      </c>
      <c r="N139">
        <f ca="1">IF(AND(ISNUMBER($N$810),$B$677=1),$N$810,HLOOKUP(INDIRECT(ADDRESS(2,COLUMN())),OFFSET($BN$2,0,0,ROW()-1,60),ROW()-1,FALSE))</f>
        <v>1.0008555509999999</v>
      </c>
      <c r="O139">
        <f ca="1">IF(AND(ISNUMBER($O$810),$B$677=1),$O$810,HLOOKUP(INDIRECT(ADDRESS(2,COLUMN())),OFFSET($BN$2,0,0,ROW()-1,60),ROW()-1,FALSE))</f>
        <v>0.87377168900000002</v>
      </c>
      <c r="P139">
        <f ca="1">IF(AND(ISNUMBER($P$810),$B$677=1),$P$810,HLOOKUP(INDIRECT(ADDRESS(2,COLUMN())),OFFSET($BN$2,0,0,ROW()-1,60),ROW()-1,FALSE))</f>
        <v>0.56183680599999997</v>
      </c>
      <c r="Q139">
        <f ca="1">IF(AND(ISNUMBER($Q$810),$B$677=1),$Q$810,HLOOKUP(INDIRECT(ADDRESS(2,COLUMN())),OFFSET($BN$2,0,0,ROW()-1,60),ROW()-1,FALSE))</f>
        <v>0.56619229100000001</v>
      </c>
      <c r="R139">
        <f ca="1">IF(AND(ISNUMBER($R$810),$B$677=1),$R$810,HLOOKUP(INDIRECT(ADDRESS(2,COLUMN())),OFFSET($BN$2,0,0,ROW()-1,60),ROW()-1,FALSE))</f>
        <v>0.74964836999999995</v>
      </c>
      <c r="S139">
        <f ca="1">IF(AND(ISNUMBER($S$810),$B$677=1),$S$810,HLOOKUP(INDIRECT(ADDRESS(2,COLUMN())),OFFSET($BN$2,0,0,ROW()-1,60),ROW()-1,FALSE))</f>
        <v>0.84990460300000004</v>
      </c>
      <c r="T139">
        <f ca="1">IF(AND(ISNUMBER($T$810),$B$677=1),$T$810,HLOOKUP(INDIRECT(ADDRESS(2,COLUMN())),OFFSET($BN$2,0,0,ROW()-1,60),ROW()-1,FALSE))</f>
        <v>0.92308681000000004</v>
      </c>
      <c r="U139">
        <f ca="1">IF(AND(ISNUMBER($U$810),$B$677=1),$U$810,HLOOKUP(INDIRECT(ADDRESS(2,COLUMN())),OFFSET($BN$2,0,0,ROW()-1,60),ROW()-1,FALSE))</f>
        <v>0.98459444100000004</v>
      </c>
      <c r="V139">
        <f ca="1">IF(AND(ISNUMBER($V$810),$B$677=1),$V$810,HLOOKUP(INDIRECT(ADDRESS(2,COLUMN())),OFFSET($BN$2,0,0,ROW()-1,60),ROW()-1,FALSE))</f>
        <v>1.131316191</v>
      </c>
      <c r="W139">
        <f ca="1">IF(AND(ISNUMBER($W$810),$B$677=1),$W$810,HLOOKUP(INDIRECT(ADDRESS(2,COLUMN())),OFFSET($BN$2,0,0,ROW()-1,60),ROW()-1,FALSE))</f>
        <v>0.75308034700000004</v>
      </c>
      <c r="X139" t="str">
        <f ca="1">IF(AND(ISNUMBER($X$810),$B$677=1),$X$810,HLOOKUP(INDIRECT(ADDRESS(2,COLUMN())),OFFSET($BN$2,0,0,ROW()-1,60),ROW()-1,FALSE))</f>
        <v/>
      </c>
      <c r="Y139" t="str">
        <f ca="1">IF(AND(ISNUMBER($Y$810),$B$677=1),$Y$810,HLOOKUP(INDIRECT(ADDRESS(2,COLUMN())),OFFSET($BN$2,0,0,ROW()-1,60),ROW()-1,FALSE))</f>
        <v/>
      </c>
      <c r="Z139" t="str">
        <f ca="1">IF(AND(ISNUMBER($Z$810),$B$677=1),$Z$810,HLOOKUP(INDIRECT(ADDRESS(2,COLUMN())),OFFSET($BN$2,0,0,ROW()-1,60),ROW()-1,FALSE))</f>
        <v/>
      </c>
      <c r="AA139" t="str">
        <f ca="1">IF(AND(ISNUMBER($AA$810),$B$677=1),$AA$810,HLOOKUP(INDIRECT(ADDRESS(2,COLUMN())),OFFSET($BN$2,0,0,ROW()-1,60),ROW()-1,FALSE))</f>
        <v/>
      </c>
      <c r="AB139" t="str">
        <f ca="1">IF(AND(ISNUMBER($AB$810),$B$677=1),$AB$810,HLOOKUP(INDIRECT(ADDRESS(2,COLUMN())),OFFSET($BN$2,0,0,ROW()-1,60),ROW()-1,FALSE))</f>
        <v/>
      </c>
      <c r="AC139" t="str">
        <f ca="1">IF(AND(ISNUMBER($AC$810),$B$677=1),$AC$810,HLOOKUP(INDIRECT(ADDRESS(2,COLUMN())),OFFSET($BN$2,0,0,ROW()-1,60),ROW()-1,FALSE))</f>
        <v/>
      </c>
      <c r="AD139" t="str">
        <f ca="1">IF(AND(ISNUMBER($AD$810),$B$677=1),$AD$810,HLOOKUP(INDIRECT(ADDRESS(2,COLUMN())),OFFSET($BN$2,0,0,ROW()-1,60),ROW()-1,FALSE))</f>
        <v/>
      </c>
      <c r="AE139" t="str">
        <f ca="1">IF(AND(ISNUMBER($AE$810),$B$677=1),$AE$810,HLOOKUP(INDIRECT(ADDRESS(2,COLUMN())),OFFSET($BN$2,0,0,ROW()-1,60),ROW()-1,FALSE))</f>
        <v/>
      </c>
      <c r="AF139" t="str">
        <f ca="1">IF(AND(ISNUMBER($AF$810),$B$677=1),$AF$810,HLOOKUP(INDIRECT(ADDRESS(2,COLUMN())),OFFSET($BN$2,0,0,ROW()-1,60),ROW()-1,FALSE))</f>
        <v/>
      </c>
      <c r="AG139" t="str">
        <f ca="1">IF(AND(ISNUMBER($AG$810),$B$677=1),$AG$810,HLOOKUP(INDIRECT(ADDRESS(2,COLUMN())),OFFSET($BN$2,0,0,ROW()-1,60),ROW()-1,FALSE))</f>
        <v/>
      </c>
      <c r="AH139" t="str">
        <f ca="1">IF(AND(ISNUMBER($AH$810),$B$677=1),$AH$810,HLOOKUP(INDIRECT(ADDRESS(2,COLUMN())),OFFSET($BN$2,0,0,ROW()-1,60),ROW()-1,FALSE))</f>
        <v/>
      </c>
      <c r="AI139" t="str">
        <f ca="1">IF(AND(ISNUMBER($AI$810),$B$677=1),$AI$810,HLOOKUP(INDIRECT(ADDRESS(2,COLUMN())),OFFSET($BN$2,0,0,ROW()-1,60),ROW()-1,FALSE))</f>
        <v/>
      </c>
      <c r="AJ139" t="str">
        <f ca="1">IF(AND(ISNUMBER($AJ$810),$B$677=1),$AJ$810,HLOOKUP(INDIRECT(ADDRESS(2,COLUMN())),OFFSET($BN$2,0,0,ROW()-1,60),ROW()-1,FALSE))</f>
        <v/>
      </c>
      <c r="AK139" t="str">
        <f ca="1">IF(AND(ISNUMBER($AK$810),$B$677=1),$AK$810,HLOOKUP(INDIRECT(ADDRESS(2,COLUMN())),OFFSET($BN$2,0,0,ROW()-1,60),ROW()-1,FALSE))</f>
        <v/>
      </c>
      <c r="AL139" t="str">
        <f ca="1">IF(AND(ISNUMBER($AL$810),$B$677=1),$AL$810,HLOOKUP(INDIRECT(ADDRESS(2,COLUMN())),OFFSET($BN$2,0,0,ROW()-1,60),ROW()-1,FALSE))</f>
        <v/>
      </c>
      <c r="AM139" t="str">
        <f ca="1">IF(AND(ISNUMBER($AM$810),$B$677=1),$AM$810,HLOOKUP(INDIRECT(ADDRESS(2,COLUMN())),OFFSET($BN$2,0,0,ROW()-1,60),ROW()-1,FALSE))</f>
        <v/>
      </c>
      <c r="AN139" t="str">
        <f ca="1">IF(AND(ISNUMBER($AN$810),$B$677=1),$AN$810,HLOOKUP(INDIRECT(ADDRESS(2,COLUMN())),OFFSET($BN$2,0,0,ROW()-1,60),ROW()-1,FALSE))</f>
        <v/>
      </c>
      <c r="AO139" t="str">
        <f ca="1">IF(AND(ISNUMBER($AO$810),$B$677=1),$AO$810,HLOOKUP(INDIRECT(ADDRESS(2,COLUMN())),OFFSET($BN$2,0,0,ROW()-1,60),ROW()-1,FALSE))</f>
        <v/>
      </c>
      <c r="AP139" t="str">
        <f ca="1">IF(AND(ISNUMBER($AP$810),$B$677=1),$AP$810,HLOOKUP(INDIRECT(ADDRESS(2,COLUMN())),OFFSET($BN$2,0,0,ROW()-1,60),ROW()-1,FALSE))</f>
        <v/>
      </c>
      <c r="AQ139" t="str">
        <f ca="1">IF(AND(ISNUMBER($AQ$810),$B$677=1),$AQ$810,HLOOKUP(INDIRECT(ADDRESS(2,COLUMN())),OFFSET($BN$2,0,0,ROW()-1,60),ROW()-1,FALSE))</f>
        <v/>
      </c>
      <c r="AR139" t="str">
        <f ca="1">IF(AND(ISNUMBER($AR$810),$B$677=1),$AR$810,HLOOKUP(INDIRECT(ADDRESS(2,COLUMN())),OFFSET($BN$2,0,0,ROW()-1,60),ROW()-1,FALSE))</f>
        <v/>
      </c>
      <c r="AS139" t="str">
        <f ca="1">IF(AND(ISNUMBER($AS$810),$B$677=1),$AS$810,HLOOKUP(INDIRECT(ADDRESS(2,COLUMN())),OFFSET($BN$2,0,0,ROW()-1,60),ROW()-1,FALSE))</f>
        <v/>
      </c>
      <c r="AT139" t="str">
        <f ca="1">IF(AND(ISNUMBER($AT$810),$B$677=1),$AT$810,HLOOKUP(INDIRECT(ADDRESS(2,COLUMN())),OFFSET($BN$2,0,0,ROW()-1,60),ROW()-1,FALSE))</f>
        <v/>
      </c>
      <c r="AU139" t="str">
        <f ca="1">IF(AND(ISNUMBER($AU$810),$B$677=1),$AU$810,HLOOKUP(INDIRECT(ADDRESS(2,COLUMN())),OFFSET($BN$2,0,0,ROW()-1,60),ROW()-1,FALSE))</f>
        <v/>
      </c>
      <c r="AV139" t="str">
        <f ca="1">IF(AND(ISNUMBER($AV$810),$B$677=1),$AV$810,HLOOKUP(INDIRECT(ADDRESS(2,COLUMN())),OFFSET($BN$2,0,0,ROW()-1,60),ROW()-1,FALSE))</f>
        <v/>
      </c>
      <c r="AW139" t="str">
        <f ca="1">IF(AND(ISNUMBER($AW$810),$B$677=1),$AW$810,HLOOKUP(INDIRECT(ADDRESS(2,COLUMN())),OFFSET($BN$2,0,0,ROW()-1,60),ROW()-1,FALSE))</f>
        <v/>
      </c>
      <c r="AX139" t="str">
        <f ca="1">IF(AND(ISNUMBER($AX$810),$B$677=1),$AX$810,HLOOKUP(INDIRECT(ADDRESS(2,COLUMN())),OFFSET($BN$2,0,0,ROW()-1,60),ROW()-1,FALSE))</f>
        <v/>
      </c>
      <c r="AY139" t="str">
        <f ca="1">IF(AND(ISNUMBER($AY$810),$B$677=1),$AY$810,HLOOKUP(INDIRECT(ADDRESS(2,COLUMN())),OFFSET($BN$2,0,0,ROW()-1,60),ROW()-1,FALSE))</f>
        <v/>
      </c>
      <c r="AZ139" t="str">
        <f ca="1">IF(AND(ISNUMBER($AZ$810),$B$677=1),$AZ$810,HLOOKUP(INDIRECT(ADDRESS(2,COLUMN())),OFFSET($BN$2,0,0,ROW()-1,60),ROW()-1,FALSE))</f>
        <v/>
      </c>
      <c r="BA139" t="str">
        <f ca="1">IF(AND(ISNUMBER($BA$810),$B$677=1),$BA$810,HLOOKUP(INDIRECT(ADDRESS(2,COLUMN())),OFFSET($BN$2,0,0,ROW()-1,60),ROW()-1,FALSE))</f>
        <v/>
      </c>
      <c r="BB139" t="str">
        <f ca="1">IF(AND(ISNUMBER($BB$810),$B$677=1),$BB$810,HLOOKUP(INDIRECT(ADDRESS(2,COLUMN())),OFFSET($BN$2,0,0,ROW()-1,60),ROW()-1,FALSE))</f>
        <v/>
      </c>
      <c r="BC139" t="str">
        <f ca="1">IF(AND(ISNUMBER($BC$810),$B$677=1),$BC$810,HLOOKUP(INDIRECT(ADDRESS(2,COLUMN())),OFFSET($BN$2,0,0,ROW()-1,60),ROW()-1,FALSE))</f>
        <v/>
      </c>
      <c r="BD139" t="str">
        <f ca="1">IF(AND(ISNUMBER($BD$810),$B$677=1),$BD$810,HLOOKUP(INDIRECT(ADDRESS(2,COLUMN())),OFFSET($BN$2,0,0,ROW()-1,60),ROW()-1,FALSE))</f>
        <v/>
      </c>
      <c r="BE139" t="str">
        <f ca="1">IF(AND(ISNUMBER($BE$810),$B$677=1),$BE$810,HLOOKUP(INDIRECT(ADDRESS(2,COLUMN())),OFFSET($BN$2,0,0,ROW()-1,60),ROW()-1,FALSE))</f>
        <v/>
      </c>
      <c r="BF139" t="str">
        <f ca="1">IF(AND(ISNUMBER($BF$810),$B$677=1),$BF$810,HLOOKUP(INDIRECT(ADDRESS(2,COLUMN())),OFFSET($BN$2,0,0,ROW()-1,60),ROW()-1,FALSE))</f>
        <v/>
      </c>
      <c r="BG139" t="str">
        <f ca="1">IF(AND(ISNUMBER($BG$810),$B$677=1),$BG$810,HLOOKUP(INDIRECT(ADDRESS(2,COLUMN())),OFFSET($BN$2,0,0,ROW()-1,60),ROW()-1,FALSE))</f>
        <v/>
      </c>
      <c r="BH139" t="str">
        <f ca="1">IF(AND(ISNUMBER($BH$810),$B$677=1),$BH$810,HLOOKUP(INDIRECT(ADDRESS(2,COLUMN())),OFFSET($BN$2,0,0,ROW()-1,60),ROW()-1,FALSE))</f>
        <v/>
      </c>
      <c r="BI139" t="str">
        <f ca="1">IF(AND(ISNUMBER($BI$810),$B$677=1),$BI$810,HLOOKUP(INDIRECT(ADDRESS(2,COLUMN())),OFFSET($BN$2,0,0,ROW()-1,60),ROW()-1,FALSE))</f>
        <v/>
      </c>
      <c r="BJ139" t="str">
        <f ca="1">IF(AND(ISNUMBER($BJ$810),$B$677=1),$BJ$810,HLOOKUP(INDIRECT(ADDRESS(2,COLUMN())),OFFSET($BN$2,0,0,ROW()-1,60),ROW()-1,FALSE))</f>
        <v/>
      </c>
      <c r="BK139" t="str">
        <f ca="1">IF(AND(ISNUMBER($BK$810),$B$677=1),$BK$810,HLOOKUP(INDIRECT(ADDRESS(2,COLUMN())),OFFSET($BN$2,0,0,ROW()-1,60),ROW()-1,FALSE))</f>
        <v/>
      </c>
      <c r="BL139" t="str">
        <f ca="1">IF(AND(ISNUMBER($BL$810),$B$677=1),$BL$810,HLOOKUP(INDIRECT(ADDRESS(2,COLUMN())),OFFSET($BN$2,0,0,ROW()-1,60),ROW()-1,FALSE))</f>
        <v/>
      </c>
      <c r="BM139" t="str">
        <f ca="1">IF(AND(ISNUMBER($BM$810),$B$677=1),$BM$810,HLOOKUP(INDIRECT(ADDRESS(2,COLUMN())),OFFSET($BN$2,0,0,ROW()-1,60),ROW()-1,FALSE))</f>
        <v/>
      </c>
      <c r="BN139">
        <f>1.0457758</f>
        <v>1.0457757999999999</v>
      </c>
      <c r="BO139">
        <f>1.001643676</f>
        <v>1.001643676</v>
      </c>
      <c r="BP139">
        <f>1.291916837</f>
        <v>1.291916837</v>
      </c>
      <c r="BQ139">
        <f>1.409828232</f>
        <v>1.409828232</v>
      </c>
      <c r="BR139">
        <f>1.519254754</f>
        <v>1.5192547540000001</v>
      </c>
      <c r="BS139">
        <f>1.389239458</f>
        <v>1.389239458</v>
      </c>
      <c r="BT139">
        <f>1.454511187</f>
        <v>1.454511187</v>
      </c>
      <c r="BU139">
        <f>0.911964854</f>
        <v>0.91196485400000005</v>
      </c>
      <c r="BV139">
        <f>1.000855551</f>
        <v>1.0008555509999999</v>
      </c>
      <c r="BW139">
        <f>0.873771689</f>
        <v>0.87377168900000002</v>
      </c>
      <c r="BX139">
        <f>0.561836806</f>
        <v>0.56183680599999997</v>
      </c>
      <c r="BY139">
        <f>0.566192291</f>
        <v>0.56619229100000001</v>
      </c>
      <c r="BZ139">
        <f>0.74964837</f>
        <v>0.74964836999999995</v>
      </c>
      <c r="CA139">
        <f>0.849904603</f>
        <v>0.84990460300000004</v>
      </c>
      <c r="CB139">
        <f>0.92308681</f>
        <v>0.92308681000000004</v>
      </c>
      <c r="CC139">
        <f>0.984594441</f>
        <v>0.98459444100000004</v>
      </c>
      <c r="CD139">
        <f>1.131316191</f>
        <v>1.131316191</v>
      </c>
      <c r="CE139">
        <f>0.753080347</f>
        <v>0.75308034700000004</v>
      </c>
      <c r="CF139" t="str">
        <f>""</f>
        <v/>
      </c>
      <c r="CG139" t="str">
        <f>""</f>
        <v/>
      </c>
      <c r="CH139" t="str">
        <f>""</f>
        <v/>
      </c>
      <c r="CI139" t="str">
        <f>""</f>
        <v/>
      </c>
      <c r="CJ139" t="str">
        <f>""</f>
        <v/>
      </c>
      <c r="CK139" t="str">
        <f>""</f>
        <v/>
      </c>
      <c r="CL139" t="str">
        <f>""</f>
        <v/>
      </c>
      <c r="CM139" t="str">
        <f>""</f>
        <v/>
      </c>
      <c r="CN139" t="str">
        <f>""</f>
        <v/>
      </c>
      <c r="CO139" t="str">
        <f>""</f>
        <v/>
      </c>
      <c r="CP139" t="str">
        <f>""</f>
        <v/>
      </c>
      <c r="CQ139" t="str">
        <f>""</f>
        <v/>
      </c>
      <c r="CR139" t="str">
        <f>""</f>
        <v/>
      </c>
      <c r="CS139" t="str">
        <f>""</f>
        <v/>
      </c>
      <c r="CT139" t="str">
        <f>""</f>
        <v/>
      </c>
      <c r="CU139" t="str">
        <f>""</f>
        <v/>
      </c>
      <c r="CV139" t="str">
        <f>""</f>
        <v/>
      </c>
      <c r="CW139" t="str">
        <f>""</f>
        <v/>
      </c>
      <c r="CX139" t="str">
        <f>""</f>
        <v/>
      </c>
      <c r="CY139" t="str">
        <f>""</f>
        <v/>
      </c>
      <c r="CZ139" t="str">
        <f>""</f>
        <v/>
      </c>
      <c r="DA139" t="str">
        <f>""</f>
        <v/>
      </c>
      <c r="DB139" t="str">
        <f>""</f>
        <v/>
      </c>
      <c r="DC139" t="str">
        <f>""</f>
        <v/>
      </c>
      <c r="DD139" t="str">
        <f>""</f>
        <v/>
      </c>
      <c r="DE139" t="str">
        <f>""</f>
        <v/>
      </c>
      <c r="DF139" t="str">
        <f>""</f>
        <v/>
      </c>
      <c r="DG139" t="str">
        <f>""</f>
        <v/>
      </c>
      <c r="DH139" t="str">
        <f>""</f>
        <v/>
      </c>
      <c r="DI139" t="str">
        <f>""</f>
        <v/>
      </c>
      <c r="DJ139" t="str">
        <f>""</f>
        <v/>
      </c>
      <c r="DK139" t="str">
        <f>""</f>
        <v/>
      </c>
      <c r="DL139" t="str">
        <f>""</f>
        <v/>
      </c>
      <c r="DM139" t="str">
        <f>""</f>
        <v/>
      </c>
      <c r="DN139" t="str">
        <f>""</f>
        <v/>
      </c>
      <c r="DO139" t="str">
        <f>""</f>
        <v/>
      </c>
      <c r="DP139" t="str">
        <f>""</f>
        <v/>
      </c>
      <c r="DQ139" t="str">
        <f>""</f>
        <v/>
      </c>
      <c r="DR139" t="str">
        <f>""</f>
        <v/>
      </c>
      <c r="DS139" t="str">
        <f>""</f>
        <v/>
      </c>
      <c r="DT139" t="str">
        <f>""</f>
        <v/>
      </c>
      <c r="DU139" t="str">
        <f>""</f>
        <v/>
      </c>
    </row>
    <row r="140" spans="1:125" x14ac:dyDescent="0.25">
      <c r="A140" t="str">
        <f>"    Ford Motor Co"</f>
        <v xml:space="preserve">    Ford Motor Co</v>
      </c>
      <c r="B140" t="str">
        <f>"F US Equity"</f>
        <v>F US Equity</v>
      </c>
      <c r="C140" t="str">
        <f t="shared" si="9"/>
        <v>RR903</v>
      </c>
      <c r="D140" t="str">
        <f t="shared" si="10"/>
        <v>PX_TO_BOOK_RATIO</v>
      </c>
      <c r="E140" t="str">
        <f t="shared" si="11"/>
        <v>Dynamic</v>
      </c>
      <c r="F140">
        <f ca="1">IF(AND(ISNUMBER($F$811),$B$677=1),$F$811,HLOOKUP(INDIRECT(ADDRESS(2,COLUMN())),OFFSET($BN$2,0,0,ROW()-1,60),ROW()-1,FALSE))</f>
        <v>0.96441015299999999</v>
      </c>
      <c r="G140">
        <f ca="1">IF(AND(ISNUMBER($G$811),$B$677=1),$G$811,HLOOKUP(INDIRECT(ADDRESS(2,COLUMN())),OFFSET($BN$2,0,0,ROW()-1,60),ROW()-1,FALSE))</f>
        <v>0.84704221300000004</v>
      </c>
      <c r="H140">
        <f ca="1">IF(AND(ISNUMBER($H$811),$B$677=1),$H$811,HLOOKUP(INDIRECT(ADDRESS(2,COLUMN())),OFFSET($BN$2,0,0,ROW()-1,60),ROW()-1,FALSE))</f>
        <v>1.0056191940000001</v>
      </c>
      <c r="I140">
        <f ca="1">IF(AND(ISNUMBER($I$811),$B$677=1),$I$811,HLOOKUP(INDIRECT(ADDRESS(2,COLUMN())),OFFSET($BN$2,0,0,ROW()-1,60),ROW()-1,FALSE))</f>
        <v>1.2107788690000001</v>
      </c>
      <c r="J140">
        <f ca="1">IF(AND(ISNUMBER($J$811),$B$677=1),$J$811,HLOOKUP(INDIRECT(ADDRESS(2,COLUMN())),OFFSET($BN$2,0,0,ROW()-1,60),ROW()-1,FALSE))</f>
        <v>1.213002379</v>
      </c>
      <c r="K140">
        <f ca="1">IF(AND(ISNUMBER($K$811),$B$677=1),$K$811,HLOOKUP(INDIRECT(ADDRESS(2,COLUMN())),OFFSET($BN$2,0,0,ROW()-1,60),ROW()-1,FALSE))</f>
        <v>1.3948834160000001</v>
      </c>
      <c r="L140">
        <f ca="1">IF(AND(ISNUMBER($L$811),$B$677=1),$L$811,HLOOKUP(INDIRECT(ADDRESS(2,COLUMN())),OFFSET($BN$2,0,0,ROW()-1,60),ROW()-1,FALSE))</f>
        <v>1.430545076</v>
      </c>
      <c r="M140">
        <f ca="1">IF(AND(ISNUMBER($M$811),$B$677=1),$M$811,HLOOKUP(INDIRECT(ADDRESS(2,COLUMN())),OFFSET($BN$2,0,0,ROW()-1,60),ROW()-1,FALSE))</f>
        <v>1.378363107</v>
      </c>
      <c r="N140">
        <f ca="1">IF(AND(ISNUMBER($N$811),$B$677=1),$N$811,HLOOKUP(INDIRECT(ADDRESS(2,COLUMN())),OFFSET($BN$2,0,0,ROW()-1,60),ROW()-1,FALSE))</f>
        <v>1.5137764330000001</v>
      </c>
      <c r="O140">
        <f ca="1">IF(AND(ISNUMBER($O$811),$B$677=1),$O$811,HLOOKUP(INDIRECT(ADDRESS(2,COLUMN())),OFFSET($BN$2,0,0,ROW()-1,60),ROW()-1,FALSE))</f>
        <v>1.652664541</v>
      </c>
      <c r="P140">
        <f ca="1">IF(AND(ISNUMBER($P$811),$B$677=1),$P$811,HLOOKUP(INDIRECT(ADDRESS(2,COLUMN())),OFFSET($BN$2,0,0,ROW()-1,60),ROW()-1,FALSE))</f>
        <v>1.5234003140000001</v>
      </c>
      <c r="Q140">
        <f ca="1">IF(AND(ISNUMBER($Q$811),$B$677=1),$Q$811,HLOOKUP(INDIRECT(ADDRESS(2,COLUMN())),OFFSET($BN$2,0,0,ROW()-1,60),ROW()-1,FALSE))</f>
        <v>1.6037904279999999</v>
      </c>
      <c r="R140">
        <f ca="1">IF(AND(ISNUMBER($R$811),$B$677=1),$R$811,HLOOKUP(INDIRECT(ADDRESS(2,COLUMN())),OFFSET($BN$2,0,0,ROW()-1,60),ROW()-1,FALSE))</f>
        <v>1.8116289350000001</v>
      </c>
      <c r="S140">
        <f ca="1">IF(AND(ISNUMBER($S$811),$B$677=1),$S$811,HLOOKUP(INDIRECT(ADDRESS(2,COLUMN())),OFFSET($BN$2,0,0,ROW()-1,60),ROW()-1,FALSE))</f>
        <v>1.952742188</v>
      </c>
      <c r="T140">
        <f ca="1">IF(AND(ISNUMBER($T$811),$B$677=1),$T$811,HLOOKUP(INDIRECT(ADDRESS(2,COLUMN())),OFFSET($BN$2,0,0,ROW()-1,60),ROW()-1,FALSE))</f>
        <v>1.9608342059999999</v>
      </c>
      <c r="U140">
        <f ca="1">IF(AND(ISNUMBER($U$811),$B$677=1),$U$811,HLOOKUP(INDIRECT(ADDRESS(2,COLUMN())),OFFSET($BN$2,0,0,ROW()-1,60),ROW()-1,FALSE))</f>
        <v>2.261610396</v>
      </c>
      <c r="V140">
        <f ca="1">IF(AND(ISNUMBER($V$811),$B$677=1),$V$811,HLOOKUP(INDIRECT(ADDRESS(2,COLUMN())),OFFSET($BN$2,0,0,ROW()-1,60),ROW()-1,FALSE))</f>
        <v>2.571942505</v>
      </c>
      <c r="W140">
        <f ca="1">IF(AND(ISNUMBER($W$811),$B$677=1),$W$811,HLOOKUP(INDIRECT(ADDRESS(2,COLUMN())),OFFSET($BN$2,0,0,ROW()-1,60),ROW()-1,FALSE))</f>
        <v>2.5090882350000001</v>
      </c>
      <c r="X140">
        <f ca="1">IF(AND(ISNUMBER($X$811),$B$677=1),$X$811,HLOOKUP(INDIRECT(ADDRESS(2,COLUMN())),OFFSET($BN$2,0,0,ROW()-1,60),ROW()-1,FALSE))</f>
        <v>2.1779188440000001</v>
      </c>
      <c r="Y140">
        <f ca="1">IF(AND(ISNUMBER($Y$811),$B$677=1),$Y$811,HLOOKUP(INDIRECT(ADDRESS(2,COLUMN())),OFFSET($BN$2,0,0,ROW()-1,60),ROW()-1,FALSE))</f>
        <v>2.4971847619999998</v>
      </c>
      <c r="Z140">
        <f ca="1">IF(AND(ISNUMBER($Z$811),$B$677=1),$Z$811,HLOOKUP(INDIRECT(ADDRESS(2,COLUMN())),OFFSET($BN$2,0,0,ROW()-1,60),ROW()-1,FALSE))</f>
        <v>2.3040537200000002</v>
      </c>
      <c r="AA140">
        <f ca="1">IF(AND(ISNUMBER($AA$811),$B$677=1),$AA$811,HLOOKUP(INDIRECT(ADDRESS(2,COLUMN())),OFFSET($BN$2,0,0,ROW()-1,60),ROW()-1,FALSE))</f>
        <v>2.3304679560000001</v>
      </c>
      <c r="AB140">
        <f ca="1">IF(AND(ISNUMBER($AB$811),$B$677=1),$AB$811,HLOOKUP(INDIRECT(ADDRESS(2,COLUMN())),OFFSET($BN$2,0,0,ROW()-1,60),ROW()-1,FALSE))</f>
        <v>3.2512164280000002</v>
      </c>
      <c r="AC140">
        <f ca="1">IF(AND(ISNUMBER($AC$811),$B$677=1),$AC$811,HLOOKUP(INDIRECT(ADDRESS(2,COLUMN())),OFFSET($BN$2,0,0,ROW()-1,60),ROW()-1,FALSE))</f>
        <v>3.1777810030000002</v>
      </c>
      <c r="AD140">
        <f ca="1">IF(AND(ISNUMBER($AD$811),$B$677=1),$AD$811,HLOOKUP(INDIRECT(ADDRESS(2,COLUMN())),OFFSET($BN$2,0,0,ROW()-1,60),ROW()-1,FALSE))</f>
        <v>2.9380710269999999</v>
      </c>
      <c r="AE140">
        <f ca="1">IF(AND(ISNUMBER($AE$811),$B$677=1),$AE$811,HLOOKUP(INDIRECT(ADDRESS(2,COLUMN())),OFFSET($BN$2,0,0,ROW()-1,60),ROW()-1,FALSE))</f>
        <v>3.185119915</v>
      </c>
      <c r="AF140">
        <f ca="1">IF(AND(ISNUMBER($AF$811),$B$677=1),$AF$811,HLOOKUP(INDIRECT(ADDRESS(2,COLUMN())),OFFSET($BN$2,0,0,ROW()-1,60),ROW()-1,FALSE))</f>
        <v>1.9952681539999999</v>
      </c>
      <c r="AG140">
        <f ca="1">IF(AND(ISNUMBER($AG$811),$B$677=1),$AG$811,HLOOKUP(INDIRECT(ADDRESS(2,COLUMN())),OFFSET($BN$2,0,0,ROW()-1,60),ROW()-1,FALSE))</f>
        <v>2.146990551</v>
      </c>
      <c r="AH140">
        <f ca="1">IF(AND(ISNUMBER($AH$811),$B$677=1),$AH$811,HLOOKUP(INDIRECT(ADDRESS(2,COLUMN())),OFFSET($BN$2,0,0,ROW()-1,60),ROW()-1,FALSE))</f>
        <v>2.8669869050000001</v>
      </c>
      <c r="AI140">
        <f ca="1">IF(AND(ISNUMBER($AI$811),$B$677=1),$AI$811,HLOOKUP(INDIRECT(ADDRESS(2,COLUMN())),OFFSET($BN$2,0,0,ROW()-1,60),ROW()-1,FALSE))</f>
        <v>2.721322598</v>
      </c>
      <c r="AJ140">
        <f ca="1">IF(AND(ISNUMBER($AJ$811),$B$677=1),$AJ$811,HLOOKUP(INDIRECT(ADDRESS(2,COLUMN())),OFFSET($BN$2,0,0,ROW()-1,60),ROW()-1,FALSE))</f>
        <v>6.1429236029999998</v>
      </c>
      <c r="AK140">
        <f ca="1">IF(AND(ISNUMBER($AK$811),$B$677=1),$AK$811,HLOOKUP(INDIRECT(ADDRESS(2,COLUMN())),OFFSET($BN$2,0,0,ROW()-1,60),ROW()-1,FALSE))</f>
        <v>9.8699638780000001</v>
      </c>
      <c r="AL140">
        <f ca="1">IF(AND(ISNUMBER($AL$811),$B$677=1),$AL$811,HLOOKUP(INDIRECT(ADDRESS(2,COLUMN())),OFFSET($BN$2,0,0,ROW()-1,60),ROW()-1,FALSE))</f>
        <v>23.343338320000001</v>
      </c>
      <c r="AM140" t="str">
        <f ca="1">IF(AND(ISNUMBER($AM$811),$B$677=1),$AM$811,HLOOKUP(INDIRECT(ADDRESS(2,COLUMN())),OFFSET($BN$2,0,0,ROW()-1,60),ROW()-1,FALSE))</f>
        <v/>
      </c>
      <c r="AN140" t="str">
        <f ca="1">IF(AND(ISNUMBER($AN$811),$B$677=1),$AN$811,HLOOKUP(INDIRECT(ADDRESS(2,COLUMN())),OFFSET($BN$2,0,0,ROW()-1,60),ROW()-1,FALSE))</f>
        <v/>
      </c>
      <c r="AO140" t="str">
        <f ca="1">IF(AND(ISNUMBER($AO$811),$B$677=1),$AO$811,HLOOKUP(INDIRECT(ADDRESS(2,COLUMN())),OFFSET($BN$2,0,0,ROW()-1,60),ROW()-1,FALSE))</f>
        <v/>
      </c>
      <c r="AP140" t="str">
        <f ca="1">IF(AND(ISNUMBER($AP$811),$B$677=1),$AP$811,HLOOKUP(INDIRECT(ADDRESS(2,COLUMN())),OFFSET($BN$2,0,0,ROW()-1,60),ROW()-1,FALSE))</f>
        <v/>
      </c>
      <c r="AQ140" t="str">
        <f ca="1">IF(AND(ISNUMBER($AQ$811),$B$677=1),$AQ$811,HLOOKUP(INDIRECT(ADDRESS(2,COLUMN())),OFFSET($BN$2,0,0,ROW()-1,60),ROW()-1,FALSE))</f>
        <v/>
      </c>
      <c r="AR140" t="str">
        <f ca="1">IF(AND(ISNUMBER($AR$811),$B$677=1),$AR$811,HLOOKUP(INDIRECT(ADDRESS(2,COLUMN())),OFFSET($BN$2,0,0,ROW()-1,60),ROW()-1,FALSE))</f>
        <v/>
      </c>
      <c r="AS140" t="str">
        <f ca="1">IF(AND(ISNUMBER($AS$811),$B$677=1),$AS$811,HLOOKUP(INDIRECT(ADDRESS(2,COLUMN())),OFFSET($BN$2,0,0,ROW()-1,60),ROW()-1,FALSE))</f>
        <v/>
      </c>
      <c r="AT140" t="str">
        <f ca="1">IF(AND(ISNUMBER($AT$811),$B$677=1),$AT$811,HLOOKUP(INDIRECT(ADDRESS(2,COLUMN())),OFFSET($BN$2,0,0,ROW()-1,60),ROW()-1,FALSE))</f>
        <v/>
      </c>
      <c r="AU140" t="str">
        <f ca="1">IF(AND(ISNUMBER($AU$811),$B$677=1),$AU$811,HLOOKUP(INDIRECT(ADDRESS(2,COLUMN())),OFFSET($BN$2,0,0,ROW()-1,60),ROW()-1,FALSE))</f>
        <v/>
      </c>
      <c r="AV140" t="str">
        <f ca="1">IF(AND(ISNUMBER($AV$811),$B$677=1),$AV$811,HLOOKUP(INDIRECT(ADDRESS(2,COLUMN())),OFFSET($BN$2,0,0,ROW()-1,60),ROW()-1,FALSE))</f>
        <v/>
      </c>
      <c r="AW140">
        <f ca="1">IF(AND(ISNUMBER($AW$811),$B$677=1),$AW$811,HLOOKUP(INDIRECT(ADDRESS(2,COLUMN())),OFFSET($BN$2,0,0,ROW()-1,60),ROW()-1,FALSE))</f>
        <v>2.2865370280000001</v>
      </c>
      <c r="AX140">
        <f ca="1">IF(AND(ISNUMBER($AX$811),$B$677=1),$AX$811,HLOOKUP(INDIRECT(ADDRESS(2,COLUMN())),OFFSET($BN$2,0,0,ROW()-1,60),ROW()-1,FALSE))</f>
        <v>2.6263035750000001</v>
      </c>
      <c r="AY140">
        <f ca="1">IF(AND(ISNUMBER($AY$811),$B$677=1),$AY$811,HLOOKUP(INDIRECT(ADDRESS(2,COLUMN())),OFFSET($BN$2,0,0,ROW()-1,60),ROW()-1,FALSE))</f>
        <v>4.0977392510000001</v>
      </c>
      <c r="AZ140" t="str">
        <f ca="1">IF(AND(ISNUMBER($AZ$811),$B$677=1),$AZ$811,HLOOKUP(INDIRECT(ADDRESS(2,COLUMN())),OFFSET($BN$2,0,0,ROW()-1,60),ROW()-1,FALSE))</f>
        <v/>
      </c>
      <c r="BA140" t="str">
        <f ca="1">IF(AND(ISNUMBER($BA$811),$B$677=1),$BA$811,HLOOKUP(INDIRECT(ADDRESS(2,COLUMN())),OFFSET($BN$2,0,0,ROW()-1,60),ROW()-1,FALSE))</f>
        <v/>
      </c>
      <c r="BB140" t="str">
        <f ca="1">IF(AND(ISNUMBER($BB$811),$B$677=1),$BB$811,HLOOKUP(INDIRECT(ADDRESS(2,COLUMN())),OFFSET($BN$2,0,0,ROW()-1,60),ROW()-1,FALSE))</f>
        <v/>
      </c>
      <c r="BC140">
        <f ca="1">IF(AND(ISNUMBER($BC$811),$B$677=1),$BC$811,HLOOKUP(INDIRECT(ADDRESS(2,COLUMN())),OFFSET($BN$2,0,0,ROW()-1,60),ROW()-1,FALSE))</f>
        <v>1.7517444</v>
      </c>
      <c r="BD140">
        <f ca="1">IF(AND(ISNUMBER($BD$811),$B$677=1),$BD$811,HLOOKUP(INDIRECT(ADDRESS(2,COLUMN())),OFFSET($BN$2,0,0,ROW()-1,60),ROW()-1,FALSE))</f>
        <v>1.889548292</v>
      </c>
      <c r="BE140">
        <f ca="1">IF(AND(ISNUMBER($BE$811),$B$677=1),$BE$811,HLOOKUP(INDIRECT(ADDRESS(2,COLUMN())),OFFSET($BN$2,0,0,ROW()-1,60),ROW()-1,FALSE))</f>
        <v>0.92232421899999995</v>
      </c>
      <c r="BF140">
        <f ca="1">IF(AND(ISNUMBER($BF$811),$B$677=1),$BF$811,HLOOKUP(INDIRECT(ADDRESS(2,COLUMN())),OFFSET($BN$2,0,0,ROW()-1,60),ROW()-1,FALSE))</f>
        <v>1.270510289</v>
      </c>
      <c r="BG140">
        <f ca="1">IF(AND(ISNUMBER($BG$811),$B$677=1),$BG$811,HLOOKUP(INDIRECT(ADDRESS(2,COLUMN())),OFFSET($BN$2,0,0,ROW()-1,60),ROW()-1,FALSE))</f>
        <v>1.1178459670000001</v>
      </c>
      <c r="BH140">
        <f ca="1">IF(AND(ISNUMBER($BH$811),$B$677=1),$BH$811,HLOOKUP(INDIRECT(ADDRESS(2,COLUMN())),OFFSET($BN$2,0,0,ROW()-1,60),ROW()-1,FALSE))</f>
        <v>1.4776967679999999</v>
      </c>
      <c r="BI140">
        <f ca="1">IF(AND(ISNUMBER($BI$811),$B$677=1),$BI$811,HLOOKUP(INDIRECT(ADDRESS(2,COLUMN())),OFFSET($BN$2,0,0,ROW()-1,60),ROW()-1,FALSE))</f>
        <v>1.5122116619999999</v>
      </c>
      <c r="BJ140">
        <f ca="1">IF(AND(ISNUMBER($BJ$811),$B$677=1),$BJ$811,HLOOKUP(INDIRECT(ADDRESS(2,COLUMN())),OFFSET($BN$2,0,0,ROW()-1,60),ROW()-1,FALSE))</f>
        <v>1.3306444420000001</v>
      </c>
      <c r="BK140">
        <f ca="1">IF(AND(ISNUMBER($BK$811),$B$677=1),$BK$811,HLOOKUP(INDIRECT(ADDRESS(2,COLUMN())),OFFSET($BN$2,0,0,ROW()-1,60),ROW()-1,FALSE))</f>
        <v>2.0165906109999998</v>
      </c>
      <c r="BL140">
        <f ca="1">IF(AND(ISNUMBER($BL$811),$B$677=1),$BL$811,HLOOKUP(INDIRECT(ADDRESS(2,COLUMN())),OFFSET($BN$2,0,0,ROW()-1,60),ROW()-1,FALSE))</f>
        <v>1.827197057</v>
      </c>
      <c r="BM140">
        <f ca="1">IF(AND(ISNUMBER($BM$811),$B$677=1),$BM$811,HLOOKUP(INDIRECT(ADDRESS(2,COLUMN())),OFFSET($BN$2,0,0,ROW()-1,60),ROW()-1,FALSE))</f>
        <v>2.1116559659999998</v>
      </c>
      <c r="BN140">
        <f>0.964410153</f>
        <v>0.96441015299999999</v>
      </c>
      <c r="BO140">
        <f>0.847042213</f>
        <v>0.84704221300000004</v>
      </c>
      <c r="BP140">
        <f>1.005619194</f>
        <v>1.0056191940000001</v>
      </c>
      <c r="BQ140">
        <f>1.210778869</f>
        <v>1.2107788690000001</v>
      </c>
      <c r="BR140">
        <f>1.213002379</f>
        <v>1.213002379</v>
      </c>
      <c r="BS140">
        <f>1.394883416</f>
        <v>1.3948834160000001</v>
      </c>
      <c r="BT140">
        <f>1.430545076</f>
        <v>1.430545076</v>
      </c>
      <c r="BU140">
        <f>1.378363107</f>
        <v>1.378363107</v>
      </c>
      <c r="BV140">
        <f>1.513776433</f>
        <v>1.5137764330000001</v>
      </c>
      <c r="BW140">
        <f>1.652664541</f>
        <v>1.652664541</v>
      </c>
      <c r="BX140">
        <f>1.523400314</f>
        <v>1.5234003140000001</v>
      </c>
      <c r="BY140">
        <f>1.603790428</f>
        <v>1.6037904279999999</v>
      </c>
      <c r="BZ140">
        <f>1.811628935</f>
        <v>1.8116289350000001</v>
      </c>
      <c r="CA140">
        <f>1.952742188</f>
        <v>1.952742188</v>
      </c>
      <c r="CB140">
        <f>1.960834206</f>
        <v>1.9608342059999999</v>
      </c>
      <c r="CC140">
        <f>2.261610396</f>
        <v>2.261610396</v>
      </c>
      <c r="CD140">
        <f>2.571942505</f>
        <v>2.571942505</v>
      </c>
      <c r="CE140">
        <f>2.509088235</f>
        <v>2.5090882350000001</v>
      </c>
      <c r="CF140">
        <f>2.177918844</f>
        <v>2.1779188440000001</v>
      </c>
      <c r="CG140">
        <f>2.497184762</f>
        <v>2.4971847619999998</v>
      </c>
      <c r="CH140">
        <f>2.30405372</f>
        <v>2.3040537200000002</v>
      </c>
      <c r="CI140">
        <f>2.330467956</f>
        <v>2.3304679560000001</v>
      </c>
      <c r="CJ140">
        <f>3.251216428</f>
        <v>3.2512164280000002</v>
      </c>
      <c r="CK140">
        <f>3.177781003</f>
        <v>3.1777810030000002</v>
      </c>
      <c r="CL140">
        <f>2.938071027</f>
        <v>2.9380710269999999</v>
      </c>
      <c r="CM140">
        <f>3.185119915</f>
        <v>3.185119915</v>
      </c>
      <c r="CN140">
        <f>1.995268154</f>
        <v>1.9952681539999999</v>
      </c>
      <c r="CO140">
        <f>2.146990551</f>
        <v>2.146990551</v>
      </c>
      <c r="CP140">
        <f>2.866986905</f>
        <v>2.8669869050000001</v>
      </c>
      <c r="CQ140">
        <f>2.721322598</f>
        <v>2.721322598</v>
      </c>
      <c r="CR140">
        <f>6.142923603</f>
        <v>6.1429236029999998</v>
      </c>
      <c r="CS140">
        <f>9.869963878</f>
        <v>9.8699638780000001</v>
      </c>
      <c r="CT140">
        <f>23.34333832</f>
        <v>23.343338320000001</v>
      </c>
      <c r="CU140" t="str">
        <f>""</f>
        <v/>
      </c>
      <c r="CV140" t="str">
        <f>""</f>
        <v/>
      </c>
      <c r="CW140" t="str">
        <f>""</f>
        <v/>
      </c>
      <c r="CX140" t="str">
        <f>""</f>
        <v/>
      </c>
      <c r="CY140" t="str">
        <f>""</f>
        <v/>
      </c>
      <c r="CZ140" t="str">
        <f>""</f>
        <v/>
      </c>
      <c r="DA140" t="str">
        <f>""</f>
        <v/>
      </c>
      <c r="DB140" t="str">
        <f>""</f>
        <v/>
      </c>
      <c r="DC140" t="str">
        <f>""</f>
        <v/>
      </c>
      <c r="DD140" t="str">
        <f>""</f>
        <v/>
      </c>
      <c r="DE140">
        <f>2.286537028</f>
        <v>2.2865370280000001</v>
      </c>
      <c r="DF140">
        <f>2.626303575</f>
        <v>2.6263035750000001</v>
      </c>
      <c r="DG140">
        <f>4.097739251</f>
        <v>4.0977392510000001</v>
      </c>
      <c r="DH140" t="str">
        <f>""</f>
        <v/>
      </c>
      <c r="DI140" t="str">
        <f>""</f>
        <v/>
      </c>
      <c r="DJ140" t="str">
        <f>""</f>
        <v/>
      </c>
      <c r="DK140">
        <f>1.7517444</f>
        <v>1.7517444</v>
      </c>
      <c r="DL140">
        <f>1.889548292</f>
        <v>1.889548292</v>
      </c>
      <c r="DM140">
        <f>0.922324219</f>
        <v>0.92232421899999995</v>
      </c>
      <c r="DN140">
        <f>1.270510289</f>
        <v>1.270510289</v>
      </c>
      <c r="DO140">
        <f>1.117845967</f>
        <v>1.1178459670000001</v>
      </c>
      <c r="DP140">
        <f>1.477696768</f>
        <v>1.4776967679999999</v>
      </c>
      <c r="DQ140">
        <f>1.512211662</f>
        <v>1.5122116619999999</v>
      </c>
      <c r="DR140">
        <f>1.330644442</f>
        <v>1.3306444420000001</v>
      </c>
      <c r="DS140">
        <f>2.016590611</f>
        <v>2.0165906109999998</v>
      </c>
      <c r="DT140">
        <f>1.827197057</f>
        <v>1.827197057</v>
      </c>
      <c r="DU140">
        <f>2.111655966</f>
        <v>2.1116559659999998</v>
      </c>
    </row>
    <row r="141" spans="1:125" x14ac:dyDescent="0.25">
      <c r="A141" t="str">
        <f>"    Ford Otomotiv Sanayi AS"</f>
        <v xml:space="preserve">    Ford Otomotiv Sanayi AS</v>
      </c>
      <c r="B141" t="str">
        <f>"FROTOTRY EO Equity"</f>
        <v>FROTOTRY EO Equity</v>
      </c>
      <c r="C141" t="str">
        <f t="shared" si="9"/>
        <v>RR903</v>
      </c>
      <c r="D141" t="str">
        <f t="shared" si="10"/>
        <v>PX_TO_BOOK_RATIO</v>
      </c>
      <c r="E141" t="str">
        <f t="shared" si="11"/>
        <v>Dynamic</v>
      </c>
      <c r="F141">
        <f ca="1">IF(AND(ISNUMBER($F$812),$B$677=1),$F$812,HLOOKUP(INDIRECT(ADDRESS(2,COLUMN())),OFFSET($BN$2,0,0,ROW()-1,60),ROW()-1,FALSE))</f>
        <v>4.970844713</v>
      </c>
      <c r="G141">
        <f ca="1">IF(AND(ISNUMBER($G$812),$B$677=1),$G$812,HLOOKUP(INDIRECT(ADDRESS(2,COLUMN())),OFFSET($BN$2,0,0,ROW()-1,60),ROW()-1,FALSE))</f>
        <v>4.5066588510000001</v>
      </c>
      <c r="H141">
        <f ca="1">IF(AND(ISNUMBER($H$812),$B$677=1),$H$812,HLOOKUP(INDIRECT(ADDRESS(2,COLUMN())),OFFSET($BN$2,0,0,ROW()-1,60),ROW()-1,FALSE))</f>
        <v>6.7503742840000003</v>
      </c>
      <c r="I141">
        <f ca="1">IF(AND(ISNUMBER($I$812),$B$677=1),$I$812,HLOOKUP(INDIRECT(ADDRESS(2,COLUMN())),OFFSET($BN$2,0,0,ROW()-1,60),ROW()-1,FALSE))</f>
        <v>5.97330936</v>
      </c>
      <c r="J141">
        <f ca="1">IF(AND(ISNUMBER($J$812),$B$677=1),$J$812,HLOOKUP(INDIRECT(ADDRESS(2,COLUMN())),OFFSET($BN$2,0,0,ROW()-1,60),ROW()-1,FALSE))</f>
        <v>6.7738121649999998</v>
      </c>
      <c r="K141">
        <f ca="1">IF(AND(ISNUMBER($K$812),$B$677=1),$K$812,HLOOKUP(INDIRECT(ADDRESS(2,COLUMN())),OFFSET($BN$2,0,0,ROW()-1,60),ROW()-1,FALSE))</f>
        <v>5.7205449399999999</v>
      </c>
      <c r="L141">
        <f ca="1">IF(AND(ISNUMBER($L$812),$B$677=1),$L$812,HLOOKUP(INDIRECT(ADDRESS(2,COLUMN())),OFFSET($BN$2,0,0,ROW()-1,60),ROW()-1,FALSE))</f>
        <v>4.3980464599999998</v>
      </c>
      <c r="M141">
        <f ca="1">IF(AND(ISNUMBER($M$812),$B$677=1),$M$812,HLOOKUP(INDIRECT(ADDRESS(2,COLUMN())),OFFSET($BN$2,0,0,ROW()-1,60),ROW()-1,FALSE))</f>
        <v>4.5247578080000004</v>
      </c>
      <c r="N141">
        <f ca="1">IF(AND(ISNUMBER($N$812),$B$677=1),$N$812,HLOOKUP(INDIRECT(ADDRESS(2,COLUMN())),OFFSET($BN$2,0,0,ROW()-1,60),ROW()-1,FALSE))</f>
        <v>4.2012069240000001</v>
      </c>
      <c r="O141">
        <f ca="1">IF(AND(ISNUMBER($O$812),$B$677=1),$O$812,HLOOKUP(INDIRECT(ADDRESS(2,COLUMN())),OFFSET($BN$2,0,0,ROW()-1,60),ROW()-1,FALSE))</f>
        <v>3.3919466109999998</v>
      </c>
      <c r="P141">
        <f ca="1">IF(AND(ISNUMBER($P$812),$B$677=1),$P$812,HLOOKUP(INDIRECT(ADDRESS(2,COLUMN())),OFFSET($BN$2,0,0,ROW()-1,60),ROW()-1,FALSE))</f>
        <v>3.368613683</v>
      </c>
      <c r="Q141">
        <f ca="1">IF(AND(ISNUMBER($Q$812),$B$677=1),$Q$812,HLOOKUP(INDIRECT(ADDRESS(2,COLUMN())),OFFSET($BN$2,0,0,ROW()-1,60),ROW()-1,FALSE))</f>
        <v>3.3702373099999998</v>
      </c>
      <c r="R141">
        <f ca="1">IF(AND(ISNUMBER($R$812),$B$677=1),$R$812,HLOOKUP(INDIRECT(ADDRESS(2,COLUMN())),OFFSET($BN$2,0,0,ROW()-1,60),ROW()-1,FALSE))</f>
        <v>4.4745924590000001</v>
      </c>
      <c r="S141">
        <f ca="1">IF(AND(ISNUMBER($S$812),$B$677=1),$S$812,HLOOKUP(INDIRECT(ADDRESS(2,COLUMN())),OFFSET($BN$2,0,0,ROW()-1,60),ROW()-1,FALSE))</f>
        <v>3.4725676839999999</v>
      </c>
      <c r="T141">
        <f ca="1">IF(AND(ISNUMBER($T$812),$B$677=1),$T$812,HLOOKUP(INDIRECT(ADDRESS(2,COLUMN())),OFFSET($BN$2,0,0,ROW()-1,60),ROW()-1,FALSE))</f>
        <v>3.9896208460000002</v>
      </c>
      <c r="U141">
        <f ca="1">IF(AND(ISNUMBER($U$812),$B$677=1),$U$812,HLOOKUP(INDIRECT(ADDRESS(2,COLUMN())),OFFSET($BN$2,0,0,ROW()-1,60),ROW()-1,FALSE))</f>
        <v>4.3559255280000002</v>
      </c>
      <c r="V141">
        <f ca="1">IF(AND(ISNUMBER($V$812),$B$677=1),$V$812,HLOOKUP(INDIRECT(ADDRESS(2,COLUMN())),OFFSET($BN$2,0,0,ROW()-1,60),ROW()-1,FALSE))</f>
        <v>4.2331165559999997</v>
      </c>
      <c r="W141">
        <f ca="1">IF(AND(ISNUMBER($W$812),$B$677=1),$W$812,HLOOKUP(INDIRECT(ADDRESS(2,COLUMN())),OFFSET($BN$2,0,0,ROW()-1,60),ROW()-1,FALSE))</f>
        <v>4.1471920740000003</v>
      </c>
      <c r="X141">
        <f ca="1">IF(AND(ISNUMBER($X$812),$B$677=1),$X$812,HLOOKUP(INDIRECT(ADDRESS(2,COLUMN())),OFFSET($BN$2,0,0,ROW()-1,60),ROW()-1,FALSE))</f>
        <v>3.3176493890000001</v>
      </c>
      <c r="Y141">
        <f ca="1">IF(AND(ISNUMBER($Y$812),$B$677=1),$Y$812,HLOOKUP(INDIRECT(ADDRESS(2,COLUMN())),OFFSET($BN$2,0,0,ROW()-1,60),ROW()-1,FALSE))</f>
        <v>3.514519645</v>
      </c>
      <c r="Z141">
        <f ca="1">IF(AND(ISNUMBER($Z$812),$B$677=1),$Z$812,HLOOKUP(INDIRECT(ADDRESS(2,COLUMN())),OFFSET($BN$2,0,0,ROW()-1,60),ROW()-1,FALSE))</f>
        <v>3.167794609</v>
      </c>
      <c r="AA141">
        <f ca="1">IF(AND(ISNUMBER($AA$812),$B$677=1),$AA$812,HLOOKUP(INDIRECT(ADDRESS(2,COLUMN())),OFFSET($BN$2,0,0,ROW()-1,60),ROW()-1,FALSE))</f>
        <v>3.5614958259999998</v>
      </c>
      <c r="AB141">
        <f ca="1">IF(AND(ISNUMBER($AB$812),$B$677=1),$AB$812,HLOOKUP(INDIRECT(ADDRESS(2,COLUMN())),OFFSET($BN$2,0,0,ROW()-1,60),ROW()-1,FALSE))</f>
        <v>4.5737006840000003</v>
      </c>
      <c r="AC141">
        <f ca="1">IF(AND(ISNUMBER($AC$812),$B$677=1),$AC$812,HLOOKUP(INDIRECT(ADDRESS(2,COLUMN())),OFFSET($BN$2,0,0,ROW()-1,60),ROW()-1,FALSE))</f>
        <v>4.460247614</v>
      </c>
      <c r="AD141">
        <f ca="1">IF(AND(ISNUMBER($AD$812),$B$677=1),$AD$812,HLOOKUP(INDIRECT(ADDRESS(2,COLUMN())),OFFSET($BN$2,0,0,ROW()-1,60),ROW()-1,FALSE))</f>
        <v>4.9262621390000003</v>
      </c>
      <c r="AE141">
        <f ca="1">IF(AND(ISNUMBER($AE$812),$B$677=1),$AE$812,HLOOKUP(INDIRECT(ADDRESS(2,COLUMN())),OFFSET($BN$2,0,0,ROW()-1,60),ROW()-1,FALSE))</f>
        <v>3.7628933820000001</v>
      </c>
      <c r="AF141">
        <f ca="1">IF(AND(ISNUMBER($AF$812),$B$677=1),$AF$812,HLOOKUP(INDIRECT(ADDRESS(2,COLUMN())),OFFSET($BN$2,0,0,ROW()-1,60),ROW()-1,FALSE))</f>
        <v>3.2247525079999999</v>
      </c>
      <c r="AG141">
        <f ca="1">IF(AND(ISNUMBER($AG$812),$B$677=1),$AG$812,HLOOKUP(INDIRECT(ADDRESS(2,COLUMN())),OFFSET($BN$2,0,0,ROW()-1,60),ROW()-1,FALSE))</f>
        <v>3.0634543249999999</v>
      </c>
      <c r="AH141">
        <f ca="1">IF(AND(ISNUMBER($AH$812),$B$677=1),$AH$812,HLOOKUP(INDIRECT(ADDRESS(2,COLUMN())),OFFSET($BN$2,0,0,ROW()-1,60),ROW()-1,FALSE))</f>
        <v>3.4395914080000001</v>
      </c>
      <c r="AI141">
        <f ca="1">IF(AND(ISNUMBER($AI$812),$B$677=1),$AI$812,HLOOKUP(INDIRECT(ADDRESS(2,COLUMN())),OFFSET($BN$2,0,0,ROW()-1,60),ROW()-1,FALSE))</f>
        <v>2.8284009710000002</v>
      </c>
      <c r="AJ141">
        <f ca="1">IF(AND(ISNUMBER($AJ$812),$B$677=1),$AJ$812,HLOOKUP(INDIRECT(ADDRESS(2,COLUMN())),OFFSET($BN$2,0,0,ROW()-1,60),ROW()-1,FALSE))</f>
        <v>2.3346306270000001</v>
      </c>
      <c r="AK141">
        <f ca="1">IF(AND(ISNUMBER($AK$812),$B$677=1),$AK$812,HLOOKUP(INDIRECT(ADDRESS(2,COLUMN())),OFFSET($BN$2,0,0,ROW()-1,60),ROW()-1,FALSE))</f>
        <v>2.7391737279999999</v>
      </c>
      <c r="AL141">
        <f ca="1">IF(AND(ISNUMBER($AL$812),$B$677=1),$AL$812,HLOOKUP(INDIRECT(ADDRESS(2,COLUMN())),OFFSET($BN$2,0,0,ROW()-1,60),ROW()-1,FALSE))</f>
        <v>3.2414789389999998</v>
      </c>
      <c r="AM141">
        <f ca="1">IF(AND(ISNUMBER($AM$812),$B$677=1),$AM$812,HLOOKUP(INDIRECT(ADDRESS(2,COLUMN())),OFFSET($BN$2,0,0,ROW()-1,60),ROW()-1,FALSE))</f>
        <v>2.6092653060000002</v>
      </c>
      <c r="AN141">
        <f ca="1">IF(AND(ISNUMBER($AN$812),$B$677=1),$AN$812,HLOOKUP(INDIRECT(ADDRESS(2,COLUMN())),OFFSET($BN$2,0,0,ROW()-1,60),ROW()-1,FALSE))</f>
        <v>2.5615538870000001</v>
      </c>
      <c r="AO141">
        <f ca="1">IF(AND(ISNUMBER($AO$812),$B$677=1),$AO$812,HLOOKUP(INDIRECT(ADDRESS(2,COLUMN())),OFFSET($BN$2,0,0,ROW()-1,60),ROW()-1,FALSE))</f>
        <v>2.2783622189999999</v>
      </c>
      <c r="AP141">
        <f ca="1">IF(AND(ISNUMBER($AP$812),$B$677=1),$AP$812,HLOOKUP(INDIRECT(ADDRESS(2,COLUMN())),OFFSET($BN$2,0,0,ROW()-1,60),ROW()-1,FALSE))</f>
        <v>2.6413042949999999</v>
      </c>
      <c r="AQ141">
        <f ca="1">IF(AND(ISNUMBER($AQ$812),$B$677=1),$AQ$812,HLOOKUP(INDIRECT(ADDRESS(2,COLUMN())),OFFSET($BN$2,0,0,ROW()-1,60),ROW()-1,FALSE))</f>
        <v>1.925103966</v>
      </c>
      <c r="AR141">
        <f ca="1">IF(AND(ISNUMBER($AR$812),$B$677=1),$AR$812,HLOOKUP(INDIRECT(ADDRESS(2,COLUMN())),OFFSET($BN$2,0,0,ROW()-1,60),ROW()-1,FALSE))</f>
        <v>1.7838323009999999</v>
      </c>
      <c r="AS141">
        <f ca="1">IF(AND(ISNUMBER($AS$812),$B$677=1),$AS$812,HLOOKUP(INDIRECT(ADDRESS(2,COLUMN())),OFFSET($BN$2,0,0,ROW()-1,60),ROW()-1,FALSE))</f>
        <v>1.2119055700000001</v>
      </c>
      <c r="AT141">
        <f ca="1">IF(AND(ISNUMBER($AT$812),$B$677=1),$AT$812,HLOOKUP(INDIRECT(ADDRESS(2,COLUMN())),OFFSET($BN$2,0,0,ROW()-1,60),ROW()-1,FALSE))</f>
        <v>0.96450891400000005</v>
      </c>
      <c r="AU141">
        <f ca="1">IF(AND(ISNUMBER($AU$812),$B$677=1),$AU$812,HLOOKUP(INDIRECT(ADDRESS(2,COLUMN())),OFFSET($BN$2,0,0,ROW()-1,60),ROW()-1,FALSE))</f>
        <v>0.89379772099999999</v>
      </c>
      <c r="AV141">
        <f ca="1">IF(AND(ISNUMBER($AV$812),$B$677=1),$AV$812,HLOOKUP(INDIRECT(ADDRESS(2,COLUMN())),OFFSET($BN$2,0,0,ROW()-1,60),ROW()-1,FALSE))</f>
        <v>1.3052134909999999</v>
      </c>
      <c r="AW141">
        <f ca="1">IF(AND(ISNUMBER($AW$812),$B$677=1),$AW$812,HLOOKUP(INDIRECT(ADDRESS(2,COLUMN())),OFFSET($BN$2,0,0,ROW()-1,60),ROW()-1,FALSE))</f>
        <v>1.7365874750000001</v>
      </c>
      <c r="AX141">
        <f ca="1">IF(AND(ISNUMBER($AX$812),$B$677=1),$AX$812,HLOOKUP(INDIRECT(ADDRESS(2,COLUMN())),OFFSET($BN$2,0,0,ROW()-1,60),ROW()-1,FALSE))</f>
        <v>1.938286712</v>
      </c>
      <c r="AY141">
        <f ca="1">IF(AND(ISNUMBER($AY$812),$B$677=1),$AY$812,HLOOKUP(INDIRECT(ADDRESS(2,COLUMN())),OFFSET($BN$2,0,0,ROW()-1,60),ROW()-1,FALSE))</f>
        <v>2.4746284190000001</v>
      </c>
      <c r="AZ141">
        <f ca="1">IF(AND(ISNUMBER($AZ$812),$B$677=1),$AZ$812,HLOOKUP(INDIRECT(ADDRESS(2,COLUMN())),OFFSET($BN$2,0,0,ROW()-1,60),ROW()-1,FALSE))</f>
        <v>2.5259380889999998</v>
      </c>
      <c r="BA141">
        <f ca="1">IF(AND(ISNUMBER($BA$812),$B$677=1),$BA$812,HLOOKUP(INDIRECT(ADDRESS(2,COLUMN())),OFFSET($BN$2,0,0,ROW()-1,60),ROW()-1,FALSE))</f>
        <v>2.6122307259999999</v>
      </c>
      <c r="BB141">
        <f ca="1">IF(AND(ISNUMBER($BB$812),$B$677=1),$BB$812,HLOOKUP(INDIRECT(ADDRESS(2,COLUMN())),OFFSET($BN$2,0,0,ROW()-1,60),ROW()-1,FALSE))</f>
        <v>2.8039747350000002</v>
      </c>
      <c r="BC141">
        <f ca="1">IF(AND(ISNUMBER($BC$812),$B$677=1),$BC$812,HLOOKUP(INDIRECT(ADDRESS(2,COLUMN())),OFFSET($BN$2,0,0,ROW()-1,60),ROW()-1,FALSE))</f>
        <v>2.4520917469999999</v>
      </c>
      <c r="BD141">
        <f ca="1">IF(AND(ISNUMBER($BD$812),$B$677=1),$BD$812,HLOOKUP(INDIRECT(ADDRESS(2,COLUMN())),OFFSET($BN$2,0,0,ROW()-1,60),ROW()-1,FALSE))</f>
        <v>2.3261901219999999</v>
      </c>
      <c r="BE141">
        <f ca="1">IF(AND(ISNUMBER($BE$812),$B$677=1),$BE$812,HLOOKUP(INDIRECT(ADDRESS(2,COLUMN())),OFFSET($BN$2,0,0,ROW()-1,60),ROW()-1,FALSE))</f>
        <v>2.1826190030000001</v>
      </c>
      <c r="BF141">
        <f ca="1">IF(AND(ISNUMBER($BF$812),$B$677=1),$BF$812,HLOOKUP(INDIRECT(ADDRESS(2,COLUMN())),OFFSET($BN$2,0,0,ROW()-1,60),ROW()-1,FALSE))</f>
        <v>2.702649627</v>
      </c>
      <c r="BG141">
        <f ca="1">IF(AND(ISNUMBER($BG$812),$B$677=1),$BG$812,HLOOKUP(INDIRECT(ADDRESS(2,COLUMN())),OFFSET($BN$2,0,0,ROW()-1,60),ROW()-1,FALSE))</f>
        <v>2.580689553</v>
      </c>
      <c r="BH141">
        <f ca="1">IF(AND(ISNUMBER($BH$812),$B$677=1),$BH$812,HLOOKUP(INDIRECT(ADDRESS(2,COLUMN())),OFFSET($BN$2,0,0,ROW()-1,60),ROW()-1,FALSE))</f>
        <v>2.1499623030000001</v>
      </c>
      <c r="BI141">
        <f ca="1">IF(AND(ISNUMBER($BI$812),$B$677=1),$BI$812,HLOOKUP(INDIRECT(ADDRESS(2,COLUMN())),OFFSET($BN$2,0,0,ROW()-1,60),ROW()-1,FALSE))</f>
        <v>1.9274558909999999</v>
      </c>
      <c r="BJ141">
        <f ca="1">IF(AND(ISNUMBER($BJ$812),$B$677=1),$BJ$812,HLOOKUP(INDIRECT(ADDRESS(2,COLUMN())),OFFSET($BN$2,0,0,ROW()-1,60),ROW()-1,FALSE))</f>
        <v>2.0053482740000002</v>
      </c>
      <c r="BK141">
        <f ca="1">IF(AND(ISNUMBER($BK$812),$B$677=1),$BK$812,HLOOKUP(INDIRECT(ADDRESS(2,COLUMN())),OFFSET($BN$2,0,0,ROW()-1,60),ROW()-1,FALSE))</f>
        <v>1.965113718</v>
      </c>
      <c r="BL141">
        <f ca="1">IF(AND(ISNUMBER($BL$812),$B$677=1),$BL$812,HLOOKUP(INDIRECT(ADDRESS(2,COLUMN())),OFFSET($BN$2,0,0,ROW()-1,60),ROW()-1,FALSE))</f>
        <v>2.2711366700000002</v>
      </c>
      <c r="BM141">
        <f ca="1">IF(AND(ISNUMBER($BM$812),$B$677=1),$BM$812,HLOOKUP(INDIRECT(ADDRESS(2,COLUMN())),OFFSET($BN$2,0,0,ROW()-1,60),ROW()-1,FALSE))</f>
        <v>2.1308552939999998</v>
      </c>
      <c r="BN141">
        <f>4.970844713</f>
        <v>4.970844713</v>
      </c>
      <c r="BO141">
        <f>4.506658851</f>
        <v>4.5066588510000001</v>
      </c>
      <c r="BP141">
        <f>6.750374284</f>
        <v>6.7503742840000003</v>
      </c>
      <c r="BQ141">
        <f>5.97330936</f>
        <v>5.97330936</v>
      </c>
      <c r="BR141">
        <f>6.773812165</f>
        <v>6.7738121649999998</v>
      </c>
      <c r="BS141">
        <f>5.72054494</f>
        <v>5.7205449399999999</v>
      </c>
      <c r="BT141">
        <f>4.39804646</f>
        <v>4.3980464599999998</v>
      </c>
      <c r="BU141">
        <f>4.524757808</f>
        <v>4.5247578080000004</v>
      </c>
      <c r="BV141">
        <f>4.201206924</f>
        <v>4.2012069240000001</v>
      </c>
      <c r="BW141">
        <f>3.391946611</f>
        <v>3.3919466109999998</v>
      </c>
      <c r="BX141">
        <f>3.368613683</f>
        <v>3.368613683</v>
      </c>
      <c r="BY141">
        <f>3.37023731</f>
        <v>3.3702373099999998</v>
      </c>
      <c r="BZ141">
        <f>4.474592459</f>
        <v>4.4745924590000001</v>
      </c>
      <c r="CA141">
        <f>3.472567684</f>
        <v>3.4725676839999999</v>
      </c>
      <c r="CB141">
        <f>3.989620846</f>
        <v>3.9896208460000002</v>
      </c>
      <c r="CC141">
        <f>4.355925528</f>
        <v>4.3559255280000002</v>
      </c>
      <c r="CD141">
        <f>4.233116556</f>
        <v>4.2331165559999997</v>
      </c>
      <c r="CE141">
        <f>4.147192074</f>
        <v>4.1471920740000003</v>
      </c>
      <c r="CF141">
        <f>3.317649389</f>
        <v>3.3176493890000001</v>
      </c>
      <c r="CG141">
        <f>3.514519645</f>
        <v>3.514519645</v>
      </c>
      <c r="CH141">
        <f>3.167794609</f>
        <v>3.167794609</v>
      </c>
      <c r="CI141">
        <f>3.561495826</f>
        <v>3.5614958259999998</v>
      </c>
      <c r="CJ141">
        <f>4.573700684</f>
        <v>4.5737006840000003</v>
      </c>
      <c r="CK141">
        <f>4.460247614</f>
        <v>4.460247614</v>
      </c>
      <c r="CL141">
        <f>4.926262139</f>
        <v>4.9262621390000003</v>
      </c>
      <c r="CM141">
        <f>3.762893382</f>
        <v>3.7628933820000001</v>
      </c>
      <c r="CN141">
        <f>3.224752508</f>
        <v>3.2247525079999999</v>
      </c>
      <c r="CO141">
        <f>3.063454325</f>
        <v>3.0634543249999999</v>
      </c>
      <c r="CP141">
        <f>3.439591408</f>
        <v>3.4395914080000001</v>
      </c>
      <c r="CQ141">
        <f>2.828400971</f>
        <v>2.8284009710000002</v>
      </c>
      <c r="CR141">
        <f>2.334630627</f>
        <v>2.3346306270000001</v>
      </c>
      <c r="CS141">
        <f>2.739173728</f>
        <v>2.7391737279999999</v>
      </c>
      <c r="CT141">
        <f>3.241478939</f>
        <v>3.2414789389999998</v>
      </c>
      <c r="CU141">
        <f>2.609265306</f>
        <v>2.6092653060000002</v>
      </c>
      <c r="CV141">
        <f>2.561553887</f>
        <v>2.5615538870000001</v>
      </c>
      <c r="CW141">
        <f>2.278362219</f>
        <v>2.2783622189999999</v>
      </c>
      <c r="CX141">
        <f>2.641304295</f>
        <v>2.6413042949999999</v>
      </c>
      <c r="CY141">
        <f>1.925103966</f>
        <v>1.925103966</v>
      </c>
      <c r="CZ141">
        <f>1.783832301</f>
        <v>1.7838323009999999</v>
      </c>
      <c r="DA141">
        <f>1.21190557</f>
        <v>1.2119055700000001</v>
      </c>
      <c r="DB141">
        <f>0.964508914</f>
        <v>0.96450891400000005</v>
      </c>
      <c r="DC141">
        <f>0.893797721</f>
        <v>0.89379772099999999</v>
      </c>
      <c r="DD141">
        <f>1.305213491</f>
        <v>1.3052134909999999</v>
      </c>
      <c r="DE141">
        <f>1.736587475</f>
        <v>1.7365874750000001</v>
      </c>
      <c r="DF141">
        <f>1.938286712</f>
        <v>1.938286712</v>
      </c>
      <c r="DG141">
        <f>2.474628419</f>
        <v>2.4746284190000001</v>
      </c>
      <c r="DH141">
        <f>2.525938089</f>
        <v>2.5259380889999998</v>
      </c>
      <c r="DI141">
        <f>2.612230726</f>
        <v>2.6122307259999999</v>
      </c>
      <c r="DJ141">
        <f>2.803974735</f>
        <v>2.8039747350000002</v>
      </c>
      <c r="DK141">
        <f>2.452091747</f>
        <v>2.4520917469999999</v>
      </c>
      <c r="DL141">
        <f>2.326190122</f>
        <v>2.3261901219999999</v>
      </c>
      <c r="DM141">
        <f>2.182619003</f>
        <v>2.1826190030000001</v>
      </c>
      <c r="DN141">
        <f>2.702649627</f>
        <v>2.702649627</v>
      </c>
      <c r="DO141">
        <f>2.580689553</f>
        <v>2.580689553</v>
      </c>
      <c r="DP141">
        <f>2.149962303</f>
        <v>2.1499623030000001</v>
      </c>
      <c r="DQ141">
        <f>1.927455891</f>
        <v>1.9274558909999999</v>
      </c>
      <c r="DR141">
        <f>2.005348274</f>
        <v>2.0053482740000002</v>
      </c>
      <c r="DS141">
        <f>1.965113718</f>
        <v>1.965113718</v>
      </c>
      <c r="DT141">
        <f>2.27113667</f>
        <v>2.2711366700000002</v>
      </c>
      <c r="DU141">
        <f>2.130855294</f>
        <v>2.1308552939999998</v>
      </c>
    </row>
    <row r="142" spans="1:125" x14ac:dyDescent="0.25">
      <c r="A142" t="str">
        <f>"    GAZ PJSC"</f>
        <v xml:space="preserve">    GAZ PJSC</v>
      </c>
      <c r="B142" t="str">
        <f>"GAZA RM Equity"</f>
        <v>GAZA RM Equity</v>
      </c>
      <c r="C142" t="str">
        <f t="shared" si="9"/>
        <v>RR903</v>
      </c>
      <c r="D142" t="str">
        <f t="shared" si="10"/>
        <v>PX_TO_BOOK_RATIO</v>
      </c>
      <c r="E142" t="str">
        <f t="shared" si="11"/>
        <v>Dynamic</v>
      </c>
      <c r="F142" t="str">
        <f ca="1">IF(AND(ISNUMBER($F$813),$B$677=1),$F$813,HLOOKUP(INDIRECT(ADDRESS(2,COLUMN())),OFFSET($BN$2,0,0,ROW()-1,60),ROW()-1,FALSE))</f>
        <v/>
      </c>
      <c r="G142" t="str">
        <f ca="1">IF(AND(ISNUMBER($G$813),$B$677=1),$G$813,HLOOKUP(INDIRECT(ADDRESS(2,COLUMN())),OFFSET($BN$2,0,0,ROW()-1,60),ROW()-1,FALSE))</f>
        <v/>
      </c>
      <c r="H142" t="str">
        <f ca="1">IF(AND(ISNUMBER($H$813),$B$677=1),$H$813,HLOOKUP(INDIRECT(ADDRESS(2,COLUMN())),OFFSET($BN$2,0,0,ROW()-1,60),ROW()-1,FALSE))</f>
        <v/>
      </c>
      <c r="I142" t="str">
        <f ca="1">IF(AND(ISNUMBER($I$813),$B$677=1),$I$813,HLOOKUP(INDIRECT(ADDRESS(2,COLUMN())),OFFSET($BN$2,0,0,ROW()-1,60),ROW()-1,FALSE))</f>
        <v/>
      </c>
      <c r="J142" t="str">
        <f ca="1">IF(AND(ISNUMBER($J$813),$B$677=1),$J$813,HLOOKUP(INDIRECT(ADDRESS(2,COLUMN())),OFFSET($BN$2,0,0,ROW()-1,60),ROW()-1,FALSE))</f>
        <v/>
      </c>
      <c r="K142" t="str">
        <f ca="1">IF(AND(ISNUMBER($K$813),$B$677=1),$K$813,HLOOKUP(INDIRECT(ADDRESS(2,COLUMN())),OFFSET($BN$2,0,0,ROW()-1,60),ROW()-1,FALSE))</f>
        <v/>
      </c>
      <c r="L142" t="str">
        <f ca="1">IF(AND(ISNUMBER($L$813),$B$677=1),$L$813,HLOOKUP(INDIRECT(ADDRESS(2,COLUMN())),OFFSET($BN$2,0,0,ROW()-1,60),ROW()-1,FALSE))</f>
        <v/>
      </c>
      <c r="M142" t="str">
        <f ca="1">IF(AND(ISNUMBER($M$813),$B$677=1),$M$813,HLOOKUP(INDIRECT(ADDRESS(2,COLUMN())),OFFSET($BN$2,0,0,ROW()-1,60),ROW()-1,FALSE))</f>
        <v/>
      </c>
      <c r="N142" t="str">
        <f ca="1">IF(AND(ISNUMBER($N$813),$B$677=1),$N$813,HLOOKUP(INDIRECT(ADDRESS(2,COLUMN())),OFFSET($BN$2,0,0,ROW()-1,60),ROW()-1,FALSE))</f>
        <v/>
      </c>
      <c r="O142" t="str">
        <f ca="1">IF(AND(ISNUMBER($O$813),$B$677=1),$O$813,HLOOKUP(INDIRECT(ADDRESS(2,COLUMN())),OFFSET($BN$2,0,0,ROW()-1,60),ROW()-1,FALSE))</f>
        <v/>
      </c>
      <c r="P142" t="str">
        <f ca="1">IF(AND(ISNUMBER($P$813),$B$677=1),$P$813,HLOOKUP(INDIRECT(ADDRESS(2,COLUMN())),OFFSET($BN$2,0,0,ROW()-1,60),ROW()-1,FALSE))</f>
        <v/>
      </c>
      <c r="Q142" t="str">
        <f ca="1">IF(AND(ISNUMBER($Q$813),$B$677=1),$Q$813,HLOOKUP(INDIRECT(ADDRESS(2,COLUMN())),OFFSET($BN$2,0,0,ROW()-1,60),ROW()-1,FALSE))</f>
        <v/>
      </c>
      <c r="R142" t="str">
        <f ca="1">IF(AND(ISNUMBER($R$813),$B$677=1),$R$813,HLOOKUP(INDIRECT(ADDRESS(2,COLUMN())),OFFSET($BN$2,0,0,ROW()-1,60),ROW()-1,FALSE))</f>
        <v/>
      </c>
      <c r="S142" t="str">
        <f ca="1">IF(AND(ISNUMBER($S$813),$B$677=1),$S$813,HLOOKUP(INDIRECT(ADDRESS(2,COLUMN())),OFFSET($BN$2,0,0,ROW()-1,60),ROW()-1,FALSE))</f>
        <v/>
      </c>
      <c r="T142" t="str">
        <f ca="1">IF(AND(ISNUMBER($T$813),$B$677=1),$T$813,HLOOKUP(INDIRECT(ADDRESS(2,COLUMN())),OFFSET($BN$2,0,0,ROW()-1,60),ROW()-1,FALSE))</f>
        <v/>
      </c>
      <c r="U142" t="str">
        <f ca="1">IF(AND(ISNUMBER($U$813),$B$677=1),$U$813,HLOOKUP(INDIRECT(ADDRESS(2,COLUMN())),OFFSET($BN$2,0,0,ROW()-1,60),ROW()-1,FALSE))</f>
        <v/>
      </c>
      <c r="V142" t="str">
        <f ca="1">IF(AND(ISNUMBER($V$813),$B$677=1),$V$813,HLOOKUP(INDIRECT(ADDRESS(2,COLUMN())),OFFSET($BN$2,0,0,ROW()-1,60),ROW()-1,FALSE))</f>
        <v/>
      </c>
      <c r="W142" t="str">
        <f ca="1">IF(AND(ISNUMBER($W$813),$B$677=1),$W$813,HLOOKUP(INDIRECT(ADDRESS(2,COLUMN())),OFFSET($BN$2,0,0,ROW()-1,60),ROW()-1,FALSE))</f>
        <v/>
      </c>
      <c r="X142" t="str">
        <f ca="1">IF(AND(ISNUMBER($X$813),$B$677=1),$X$813,HLOOKUP(INDIRECT(ADDRESS(2,COLUMN())),OFFSET($BN$2,0,0,ROW()-1,60),ROW()-1,FALSE))</f>
        <v/>
      </c>
      <c r="Y142" t="str">
        <f ca="1">IF(AND(ISNUMBER($Y$813),$B$677=1),$Y$813,HLOOKUP(INDIRECT(ADDRESS(2,COLUMN())),OFFSET($BN$2,0,0,ROW()-1,60),ROW()-1,FALSE))</f>
        <v/>
      </c>
      <c r="Z142" t="str">
        <f ca="1">IF(AND(ISNUMBER($Z$813),$B$677=1),$Z$813,HLOOKUP(INDIRECT(ADDRESS(2,COLUMN())),OFFSET($BN$2,0,0,ROW()-1,60),ROW()-1,FALSE))</f>
        <v/>
      </c>
      <c r="AA142" t="str">
        <f ca="1">IF(AND(ISNUMBER($AA$813),$B$677=1),$AA$813,HLOOKUP(INDIRECT(ADDRESS(2,COLUMN())),OFFSET($BN$2,0,0,ROW()-1,60),ROW()-1,FALSE))</f>
        <v/>
      </c>
      <c r="AB142" t="str">
        <f ca="1">IF(AND(ISNUMBER($AB$813),$B$677=1),$AB$813,HLOOKUP(INDIRECT(ADDRESS(2,COLUMN())),OFFSET($BN$2,0,0,ROW()-1,60),ROW()-1,FALSE))</f>
        <v/>
      </c>
      <c r="AC142" t="str">
        <f ca="1">IF(AND(ISNUMBER($AC$813),$B$677=1),$AC$813,HLOOKUP(INDIRECT(ADDRESS(2,COLUMN())),OFFSET($BN$2,0,0,ROW()-1,60),ROW()-1,FALSE))</f>
        <v/>
      </c>
      <c r="AD142" t="str">
        <f ca="1">IF(AND(ISNUMBER($AD$813),$B$677=1),$AD$813,HLOOKUP(INDIRECT(ADDRESS(2,COLUMN())),OFFSET($BN$2,0,0,ROW()-1,60),ROW()-1,FALSE))</f>
        <v/>
      </c>
      <c r="AE142" t="str">
        <f ca="1">IF(AND(ISNUMBER($AE$813),$B$677=1),$AE$813,HLOOKUP(INDIRECT(ADDRESS(2,COLUMN())),OFFSET($BN$2,0,0,ROW()-1,60),ROW()-1,FALSE))</f>
        <v/>
      </c>
      <c r="AF142" t="str">
        <f ca="1">IF(AND(ISNUMBER($AF$813),$B$677=1),$AF$813,HLOOKUP(INDIRECT(ADDRESS(2,COLUMN())),OFFSET($BN$2,0,0,ROW()-1,60),ROW()-1,FALSE))</f>
        <v/>
      </c>
      <c r="AG142" t="str">
        <f ca="1">IF(AND(ISNUMBER($AG$813),$B$677=1),$AG$813,HLOOKUP(INDIRECT(ADDRESS(2,COLUMN())),OFFSET($BN$2,0,0,ROW()-1,60),ROW()-1,FALSE))</f>
        <v/>
      </c>
      <c r="AH142" t="str">
        <f ca="1">IF(AND(ISNUMBER($AH$813),$B$677=1),$AH$813,HLOOKUP(INDIRECT(ADDRESS(2,COLUMN())),OFFSET($BN$2,0,0,ROW()-1,60),ROW()-1,FALSE))</f>
        <v/>
      </c>
      <c r="AI142" t="str">
        <f ca="1">IF(AND(ISNUMBER($AI$813),$B$677=1),$AI$813,HLOOKUP(INDIRECT(ADDRESS(2,COLUMN())),OFFSET($BN$2,0,0,ROW()-1,60),ROW()-1,FALSE))</f>
        <v/>
      </c>
      <c r="AJ142" t="str">
        <f ca="1">IF(AND(ISNUMBER($AJ$813),$B$677=1),$AJ$813,HLOOKUP(INDIRECT(ADDRESS(2,COLUMN())),OFFSET($BN$2,0,0,ROW()-1,60),ROW()-1,FALSE))</f>
        <v/>
      </c>
      <c r="AK142" t="str">
        <f ca="1">IF(AND(ISNUMBER($AK$813),$B$677=1),$AK$813,HLOOKUP(INDIRECT(ADDRESS(2,COLUMN())),OFFSET($BN$2,0,0,ROW()-1,60),ROW()-1,FALSE))</f>
        <v/>
      </c>
      <c r="AL142" t="str">
        <f ca="1">IF(AND(ISNUMBER($AL$813),$B$677=1),$AL$813,HLOOKUP(INDIRECT(ADDRESS(2,COLUMN())),OFFSET($BN$2,0,0,ROW()-1,60),ROW()-1,FALSE))</f>
        <v/>
      </c>
      <c r="AM142" t="str">
        <f ca="1">IF(AND(ISNUMBER($AM$813),$B$677=1),$AM$813,HLOOKUP(INDIRECT(ADDRESS(2,COLUMN())),OFFSET($BN$2,0,0,ROW()-1,60),ROW()-1,FALSE))</f>
        <v/>
      </c>
      <c r="AN142" t="str">
        <f ca="1">IF(AND(ISNUMBER($AN$813),$B$677=1),$AN$813,HLOOKUP(INDIRECT(ADDRESS(2,COLUMN())),OFFSET($BN$2,0,0,ROW()-1,60),ROW()-1,FALSE))</f>
        <v/>
      </c>
      <c r="AO142" t="str">
        <f ca="1">IF(AND(ISNUMBER($AO$813),$B$677=1),$AO$813,HLOOKUP(INDIRECT(ADDRESS(2,COLUMN())),OFFSET($BN$2,0,0,ROW()-1,60),ROW()-1,FALSE))</f>
        <v/>
      </c>
      <c r="AP142" t="str">
        <f ca="1">IF(AND(ISNUMBER($AP$813),$B$677=1),$AP$813,HLOOKUP(INDIRECT(ADDRESS(2,COLUMN())),OFFSET($BN$2,0,0,ROW()-1,60),ROW()-1,FALSE))</f>
        <v/>
      </c>
      <c r="AQ142" t="str">
        <f ca="1">IF(AND(ISNUMBER($AQ$813),$B$677=1),$AQ$813,HLOOKUP(INDIRECT(ADDRESS(2,COLUMN())),OFFSET($BN$2,0,0,ROW()-1,60),ROW()-1,FALSE))</f>
        <v/>
      </c>
      <c r="AR142" t="str">
        <f ca="1">IF(AND(ISNUMBER($AR$813),$B$677=1),$AR$813,HLOOKUP(INDIRECT(ADDRESS(2,COLUMN())),OFFSET($BN$2,0,0,ROW()-1,60),ROW()-1,FALSE))</f>
        <v/>
      </c>
      <c r="AS142" t="str">
        <f ca="1">IF(AND(ISNUMBER($AS$813),$B$677=1),$AS$813,HLOOKUP(INDIRECT(ADDRESS(2,COLUMN())),OFFSET($BN$2,0,0,ROW()-1,60),ROW()-1,FALSE))</f>
        <v/>
      </c>
      <c r="AT142" t="str">
        <f ca="1">IF(AND(ISNUMBER($AT$813),$B$677=1),$AT$813,HLOOKUP(INDIRECT(ADDRESS(2,COLUMN())),OFFSET($BN$2,0,0,ROW()-1,60),ROW()-1,FALSE))</f>
        <v/>
      </c>
      <c r="AU142" t="str">
        <f ca="1">IF(AND(ISNUMBER($AU$813),$B$677=1),$AU$813,HLOOKUP(INDIRECT(ADDRESS(2,COLUMN())),OFFSET($BN$2,0,0,ROW()-1,60),ROW()-1,FALSE))</f>
        <v/>
      </c>
      <c r="AV142" t="str">
        <f ca="1">IF(AND(ISNUMBER($AV$813),$B$677=1),$AV$813,HLOOKUP(INDIRECT(ADDRESS(2,COLUMN())),OFFSET($BN$2,0,0,ROW()-1,60),ROW()-1,FALSE))</f>
        <v/>
      </c>
      <c r="AW142" t="str">
        <f ca="1">IF(AND(ISNUMBER($AW$813),$B$677=1),$AW$813,HLOOKUP(INDIRECT(ADDRESS(2,COLUMN())),OFFSET($BN$2,0,0,ROW()-1,60),ROW()-1,FALSE))</f>
        <v/>
      </c>
      <c r="AX142" t="str">
        <f ca="1">IF(AND(ISNUMBER($AX$813),$B$677=1),$AX$813,HLOOKUP(INDIRECT(ADDRESS(2,COLUMN())),OFFSET($BN$2,0,0,ROW()-1,60),ROW()-1,FALSE))</f>
        <v/>
      </c>
      <c r="AY142" t="str">
        <f ca="1">IF(AND(ISNUMBER($AY$813),$B$677=1),$AY$813,HLOOKUP(INDIRECT(ADDRESS(2,COLUMN())),OFFSET($BN$2,0,0,ROW()-1,60),ROW()-1,FALSE))</f>
        <v/>
      </c>
      <c r="AZ142" t="str">
        <f ca="1">IF(AND(ISNUMBER($AZ$813),$B$677=1),$AZ$813,HLOOKUP(INDIRECT(ADDRESS(2,COLUMN())),OFFSET($BN$2,0,0,ROW()-1,60),ROW()-1,FALSE))</f>
        <v/>
      </c>
      <c r="BA142" t="str">
        <f ca="1">IF(AND(ISNUMBER($BA$813),$B$677=1),$BA$813,HLOOKUP(INDIRECT(ADDRESS(2,COLUMN())),OFFSET($BN$2,0,0,ROW()-1,60),ROW()-1,FALSE))</f>
        <v/>
      </c>
      <c r="BB142" t="str">
        <f ca="1">IF(AND(ISNUMBER($BB$813),$B$677=1),$BB$813,HLOOKUP(INDIRECT(ADDRESS(2,COLUMN())),OFFSET($BN$2,0,0,ROW()-1,60),ROW()-1,FALSE))</f>
        <v/>
      </c>
      <c r="BC142" t="str">
        <f ca="1">IF(AND(ISNUMBER($BC$813),$B$677=1),$BC$813,HLOOKUP(INDIRECT(ADDRESS(2,COLUMN())),OFFSET($BN$2,0,0,ROW()-1,60),ROW()-1,FALSE))</f>
        <v/>
      </c>
      <c r="BD142" t="str">
        <f ca="1">IF(AND(ISNUMBER($BD$813),$B$677=1),$BD$813,HLOOKUP(INDIRECT(ADDRESS(2,COLUMN())),OFFSET($BN$2,0,0,ROW()-1,60),ROW()-1,FALSE))</f>
        <v/>
      </c>
      <c r="BE142" t="str">
        <f ca="1">IF(AND(ISNUMBER($BE$813),$B$677=1),$BE$813,HLOOKUP(INDIRECT(ADDRESS(2,COLUMN())),OFFSET($BN$2,0,0,ROW()-1,60),ROW()-1,FALSE))</f>
        <v/>
      </c>
      <c r="BF142" t="str">
        <f ca="1">IF(AND(ISNUMBER($BF$813),$B$677=1),$BF$813,HLOOKUP(INDIRECT(ADDRESS(2,COLUMN())),OFFSET($BN$2,0,0,ROW()-1,60),ROW()-1,FALSE))</f>
        <v/>
      </c>
      <c r="BG142" t="str">
        <f ca="1">IF(AND(ISNUMBER($BG$813),$B$677=1),$BG$813,HLOOKUP(INDIRECT(ADDRESS(2,COLUMN())),OFFSET($BN$2,0,0,ROW()-1,60),ROW()-1,FALSE))</f>
        <v/>
      </c>
      <c r="BH142" t="str">
        <f ca="1">IF(AND(ISNUMBER($BH$813),$B$677=1),$BH$813,HLOOKUP(INDIRECT(ADDRESS(2,COLUMN())),OFFSET($BN$2,0,0,ROW()-1,60),ROW()-1,FALSE))</f>
        <v/>
      </c>
      <c r="BI142" t="str">
        <f ca="1">IF(AND(ISNUMBER($BI$813),$B$677=1),$BI$813,HLOOKUP(INDIRECT(ADDRESS(2,COLUMN())),OFFSET($BN$2,0,0,ROW()-1,60),ROW()-1,FALSE))</f>
        <v/>
      </c>
      <c r="BJ142" t="str">
        <f ca="1">IF(AND(ISNUMBER($BJ$813),$B$677=1),$BJ$813,HLOOKUP(INDIRECT(ADDRESS(2,COLUMN())),OFFSET($BN$2,0,0,ROW()-1,60),ROW()-1,FALSE))</f>
        <v/>
      </c>
      <c r="BK142" t="str">
        <f ca="1">IF(AND(ISNUMBER($BK$813),$B$677=1),$BK$813,HLOOKUP(INDIRECT(ADDRESS(2,COLUMN())),OFFSET($BN$2,0,0,ROW()-1,60),ROW()-1,FALSE))</f>
        <v/>
      </c>
      <c r="BL142" t="str">
        <f ca="1">IF(AND(ISNUMBER($BL$813),$B$677=1),$BL$813,HLOOKUP(INDIRECT(ADDRESS(2,COLUMN())),OFFSET($BN$2,0,0,ROW()-1,60),ROW()-1,FALSE))</f>
        <v/>
      </c>
      <c r="BM142" t="str">
        <f ca="1">IF(AND(ISNUMBER($BM$813),$B$677=1),$BM$813,HLOOKUP(INDIRECT(ADDRESS(2,COLUMN())),OFFSET($BN$2,0,0,ROW()-1,60),ROW()-1,FALSE))</f>
        <v/>
      </c>
      <c r="BN142" t="str">
        <f>""</f>
        <v/>
      </c>
      <c r="BO142" t="str">
        <f>""</f>
        <v/>
      </c>
      <c r="BP142" t="str">
        <f>""</f>
        <v/>
      </c>
      <c r="BQ142" t="str">
        <f>""</f>
        <v/>
      </c>
      <c r="BR142" t="str">
        <f>""</f>
        <v/>
      </c>
      <c r="BS142" t="str">
        <f>""</f>
        <v/>
      </c>
      <c r="BT142" t="str">
        <f>""</f>
        <v/>
      </c>
      <c r="BU142" t="str">
        <f>""</f>
        <v/>
      </c>
      <c r="BV142" t="str">
        <f>""</f>
        <v/>
      </c>
      <c r="BW142" t="str">
        <f>""</f>
        <v/>
      </c>
      <c r="BX142" t="str">
        <f>""</f>
        <v/>
      </c>
      <c r="BY142" t="str">
        <f>""</f>
        <v/>
      </c>
      <c r="BZ142" t="str">
        <f>""</f>
        <v/>
      </c>
      <c r="CA142" t="str">
        <f>""</f>
        <v/>
      </c>
      <c r="CB142" t="str">
        <f>""</f>
        <v/>
      </c>
      <c r="CC142" t="str">
        <f>""</f>
        <v/>
      </c>
      <c r="CD142" t="str">
        <f>""</f>
        <v/>
      </c>
      <c r="CE142" t="str">
        <f>""</f>
        <v/>
      </c>
      <c r="CF142" t="str">
        <f>""</f>
        <v/>
      </c>
      <c r="CG142" t="str">
        <f>""</f>
        <v/>
      </c>
      <c r="CH142" t="str">
        <f>""</f>
        <v/>
      </c>
      <c r="CI142" t="str">
        <f>""</f>
        <v/>
      </c>
      <c r="CJ142" t="str">
        <f>""</f>
        <v/>
      </c>
      <c r="CK142" t="str">
        <f>""</f>
        <v/>
      </c>
      <c r="CL142" t="str">
        <f>""</f>
        <v/>
      </c>
      <c r="CM142" t="str">
        <f>""</f>
        <v/>
      </c>
      <c r="CN142" t="str">
        <f>""</f>
        <v/>
      </c>
      <c r="CO142" t="str">
        <f>""</f>
        <v/>
      </c>
      <c r="CP142" t="str">
        <f>""</f>
        <v/>
      </c>
      <c r="CQ142" t="str">
        <f>""</f>
        <v/>
      </c>
      <c r="CR142" t="str">
        <f>""</f>
        <v/>
      </c>
      <c r="CS142" t="str">
        <f>""</f>
        <v/>
      </c>
      <c r="CT142" t="str">
        <f>""</f>
        <v/>
      </c>
      <c r="CU142" t="str">
        <f>""</f>
        <v/>
      </c>
      <c r="CV142" t="str">
        <f>""</f>
        <v/>
      </c>
      <c r="CW142" t="str">
        <f>""</f>
        <v/>
      </c>
      <c r="CX142" t="str">
        <f>""</f>
        <v/>
      </c>
      <c r="CY142" t="str">
        <f>""</f>
        <v/>
      </c>
      <c r="CZ142" t="str">
        <f>""</f>
        <v/>
      </c>
      <c r="DA142" t="str">
        <f>""</f>
        <v/>
      </c>
      <c r="DB142" t="str">
        <f>""</f>
        <v/>
      </c>
      <c r="DC142" t="str">
        <f>""</f>
        <v/>
      </c>
      <c r="DD142" t="str">
        <f>""</f>
        <v/>
      </c>
      <c r="DE142" t="str">
        <f>""</f>
        <v/>
      </c>
      <c r="DF142" t="str">
        <f>""</f>
        <v/>
      </c>
      <c r="DG142" t="str">
        <f>""</f>
        <v/>
      </c>
      <c r="DH142" t="str">
        <f>""</f>
        <v/>
      </c>
      <c r="DI142" t="str">
        <f>""</f>
        <v/>
      </c>
      <c r="DJ142" t="str">
        <f>""</f>
        <v/>
      </c>
      <c r="DK142" t="str">
        <f>""</f>
        <v/>
      </c>
      <c r="DL142" t="str">
        <f>""</f>
        <v/>
      </c>
      <c r="DM142" t="str">
        <f>""</f>
        <v/>
      </c>
      <c r="DN142" t="str">
        <f>""</f>
        <v/>
      </c>
      <c r="DO142" t="str">
        <f>""</f>
        <v/>
      </c>
      <c r="DP142" t="str">
        <f>""</f>
        <v/>
      </c>
      <c r="DQ142" t="str">
        <f>""</f>
        <v/>
      </c>
      <c r="DR142" t="str">
        <f>""</f>
        <v/>
      </c>
      <c r="DS142" t="str">
        <f>""</f>
        <v/>
      </c>
      <c r="DT142" t="str">
        <f>""</f>
        <v/>
      </c>
      <c r="DU142" t="str">
        <f>""</f>
        <v/>
      </c>
    </row>
    <row r="143" spans="1:125" x14ac:dyDescent="0.25">
      <c r="A143" t="str">
        <f>"    Geely Automobile Holdings Ltd"</f>
        <v xml:space="preserve">    Geely Automobile Holdings Ltd</v>
      </c>
      <c r="B143" t="str">
        <f>"175 HK Equity"</f>
        <v>175 HK Equity</v>
      </c>
      <c r="C143" t="str">
        <f t="shared" si="9"/>
        <v>RR903</v>
      </c>
      <c r="D143" t="str">
        <f t="shared" si="10"/>
        <v>PX_TO_BOOK_RATIO</v>
      </c>
      <c r="E143" t="str">
        <f t="shared" si="11"/>
        <v>Dynamic</v>
      </c>
      <c r="F143" t="str">
        <f ca="1">IF(AND(ISNUMBER($F$814),$B$677=1),$F$814,HLOOKUP(INDIRECT(ADDRESS(2,COLUMN())),OFFSET($BN$2,0,0,ROW()-1,60),ROW()-1,FALSE))</f>
        <v/>
      </c>
      <c r="G143" t="str">
        <f ca="1">IF(AND(ISNUMBER($G$814),$B$677=1),$G$814,HLOOKUP(INDIRECT(ADDRESS(2,COLUMN())),OFFSET($BN$2,0,0,ROW()-1,60),ROW()-1,FALSE))</f>
        <v/>
      </c>
      <c r="H143" t="str">
        <f ca="1">IF(AND(ISNUMBER($H$814),$B$677=1),$H$814,HLOOKUP(INDIRECT(ADDRESS(2,COLUMN())),OFFSET($BN$2,0,0,ROW()-1,60),ROW()-1,FALSE))</f>
        <v/>
      </c>
      <c r="I143" t="str">
        <f ca="1">IF(AND(ISNUMBER($I$814),$B$677=1),$I$814,HLOOKUP(INDIRECT(ADDRESS(2,COLUMN())),OFFSET($BN$2,0,0,ROW()-1,60),ROW()-1,FALSE))</f>
        <v/>
      </c>
      <c r="J143" t="str">
        <f ca="1">IF(AND(ISNUMBER($J$814),$B$677=1),$J$814,HLOOKUP(INDIRECT(ADDRESS(2,COLUMN())),OFFSET($BN$2,0,0,ROW()-1,60),ROW()-1,FALSE))</f>
        <v/>
      </c>
      <c r="K143" t="str">
        <f ca="1">IF(AND(ISNUMBER($K$814),$B$677=1),$K$814,HLOOKUP(INDIRECT(ADDRESS(2,COLUMN())),OFFSET($BN$2,0,0,ROW()-1,60),ROW()-1,FALSE))</f>
        <v/>
      </c>
      <c r="L143" t="str">
        <f ca="1">IF(AND(ISNUMBER($L$814),$B$677=1),$L$814,HLOOKUP(INDIRECT(ADDRESS(2,COLUMN())),OFFSET($BN$2,0,0,ROW()-1,60),ROW()-1,FALSE))</f>
        <v/>
      </c>
      <c r="M143" t="str">
        <f ca="1">IF(AND(ISNUMBER($M$814),$B$677=1),$M$814,HLOOKUP(INDIRECT(ADDRESS(2,COLUMN())),OFFSET($BN$2,0,0,ROW()-1,60),ROW()-1,FALSE))</f>
        <v/>
      </c>
      <c r="N143" t="str">
        <f ca="1">IF(AND(ISNUMBER($N$814),$B$677=1),$N$814,HLOOKUP(INDIRECT(ADDRESS(2,COLUMN())),OFFSET($BN$2,0,0,ROW()-1,60),ROW()-1,FALSE))</f>
        <v/>
      </c>
      <c r="O143" t="str">
        <f ca="1">IF(AND(ISNUMBER($O$814),$B$677=1),$O$814,HLOOKUP(INDIRECT(ADDRESS(2,COLUMN())),OFFSET($BN$2,0,0,ROW()-1,60),ROW()-1,FALSE))</f>
        <v/>
      </c>
      <c r="P143" t="str">
        <f ca="1">IF(AND(ISNUMBER($P$814),$B$677=1),$P$814,HLOOKUP(INDIRECT(ADDRESS(2,COLUMN())),OFFSET($BN$2,0,0,ROW()-1,60),ROW()-1,FALSE))</f>
        <v/>
      </c>
      <c r="Q143" t="str">
        <f ca="1">IF(AND(ISNUMBER($Q$814),$B$677=1),$Q$814,HLOOKUP(INDIRECT(ADDRESS(2,COLUMN())),OFFSET($BN$2,0,0,ROW()-1,60),ROW()-1,FALSE))</f>
        <v/>
      </c>
      <c r="R143" t="str">
        <f ca="1">IF(AND(ISNUMBER($R$814),$B$677=1),$R$814,HLOOKUP(INDIRECT(ADDRESS(2,COLUMN())),OFFSET($BN$2,0,0,ROW()-1,60),ROW()-1,FALSE))</f>
        <v/>
      </c>
      <c r="S143" t="str">
        <f ca="1">IF(AND(ISNUMBER($S$814),$B$677=1),$S$814,HLOOKUP(INDIRECT(ADDRESS(2,COLUMN())),OFFSET($BN$2,0,0,ROW()-1,60),ROW()-1,FALSE))</f>
        <v/>
      </c>
      <c r="T143" t="str">
        <f ca="1">IF(AND(ISNUMBER($T$814),$B$677=1),$T$814,HLOOKUP(INDIRECT(ADDRESS(2,COLUMN())),OFFSET($BN$2,0,0,ROW()-1,60),ROW()-1,FALSE))</f>
        <v/>
      </c>
      <c r="U143" t="str">
        <f ca="1">IF(AND(ISNUMBER($U$814),$B$677=1),$U$814,HLOOKUP(INDIRECT(ADDRESS(2,COLUMN())),OFFSET($BN$2,0,0,ROW()-1,60),ROW()-1,FALSE))</f>
        <v/>
      </c>
      <c r="V143" t="str">
        <f ca="1">IF(AND(ISNUMBER($V$814),$B$677=1),$V$814,HLOOKUP(INDIRECT(ADDRESS(2,COLUMN())),OFFSET($BN$2,0,0,ROW()-1,60),ROW()-1,FALSE))</f>
        <v/>
      </c>
      <c r="W143" t="str">
        <f ca="1">IF(AND(ISNUMBER($W$814),$B$677=1),$W$814,HLOOKUP(INDIRECT(ADDRESS(2,COLUMN())),OFFSET($BN$2,0,0,ROW()-1,60),ROW()-1,FALSE))</f>
        <v/>
      </c>
      <c r="X143" t="str">
        <f ca="1">IF(AND(ISNUMBER($X$814),$B$677=1),$X$814,HLOOKUP(INDIRECT(ADDRESS(2,COLUMN())),OFFSET($BN$2,0,0,ROW()-1,60),ROW()-1,FALSE))</f>
        <v/>
      </c>
      <c r="Y143" t="str">
        <f ca="1">IF(AND(ISNUMBER($Y$814),$B$677=1),$Y$814,HLOOKUP(INDIRECT(ADDRESS(2,COLUMN())),OFFSET($BN$2,0,0,ROW()-1,60),ROW()-1,FALSE))</f>
        <v/>
      </c>
      <c r="Z143" t="str">
        <f ca="1">IF(AND(ISNUMBER($Z$814),$B$677=1),$Z$814,HLOOKUP(INDIRECT(ADDRESS(2,COLUMN())),OFFSET($BN$2,0,0,ROW()-1,60),ROW()-1,FALSE))</f>
        <v/>
      </c>
      <c r="AA143" t="str">
        <f ca="1">IF(AND(ISNUMBER($AA$814),$B$677=1),$AA$814,HLOOKUP(INDIRECT(ADDRESS(2,COLUMN())),OFFSET($BN$2,0,0,ROW()-1,60),ROW()-1,FALSE))</f>
        <v/>
      </c>
      <c r="AB143" t="str">
        <f ca="1">IF(AND(ISNUMBER($AB$814),$B$677=1),$AB$814,HLOOKUP(INDIRECT(ADDRESS(2,COLUMN())),OFFSET($BN$2,0,0,ROW()-1,60),ROW()-1,FALSE))</f>
        <v/>
      </c>
      <c r="AC143" t="str">
        <f ca="1">IF(AND(ISNUMBER($AC$814),$B$677=1),$AC$814,HLOOKUP(INDIRECT(ADDRESS(2,COLUMN())),OFFSET($BN$2,0,0,ROW()-1,60),ROW()-1,FALSE))</f>
        <v/>
      </c>
      <c r="AD143" t="str">
        <f ca="1">IF(AND(ISNUMBER($AD$814),$B$677=1),$AD$814,HLOOKUP(INDIRECT(ADDRESS(2,COLUMN())),OFFSET($BN$2,0,0,ROW()-1,60),ROW()-1,FALSE))</f>
        <v/>
      </c>
      <c r="AE143" t="str">
        <f ca="1">IF(AND(ISNUMBER($AE$814),$B$677=1),$AE$814,HLOOKUP(INDIRECT(ADDRESS(2,COLUMN())),OFFSET($BN$2,0,0,ROW()-1,60),ROW()-1,FALSE))</f>
        <v/>
      </c>
      <c r="AF143" t="str">
        <f ca="1">IF(AND(ISNUMBER($AF$814),$B$677=1),$AF$814,HLOOKUP(INDIRECT(ADDRESS(2,COLUMN())),OFFSET($BN$2,0,0,ROW()-1,60),ROW()-1,FALSE))</f>
        <v/>
      </c>
      <c r="AG143" t="str">
        <f ca="1">IF(AND(ISNUMBER($AG$814),$B$677=1),$AG$814,HLOOKUP(INDIRECT(ADDRESS(2,COLUMN())),OFFSET($BN$2,0,0,ROW()-1,60),ROW()-1,FALSE))</f>
        <v/>
      </c>
      <c r="AH143" t="str">
        <f ca="1">IF(AND(ISNUMBER($AH$814),$B$677=1),$AH$814,HLOOKUP(INDIRECT(ADDRESS(2,COLUMN())),OFFSET($BN$2,0,0,ROW()-1,60),ROW()-1,FALSE))</f>
        <v/>
      </c>
      <c r="AI143" t="str">
        <f ca="1">IF(AND(ISNUMBER($AI$814),$B$677=1),$AI$814,HLOOKUP(INDIRECT(ADDRESS(2,COLUMN())),OFFSET($BN$2,0,0,ROW()-1,60),ROW()-1,FALSE))</f>
        <v/>
      </c>
      <c r="AJ143" t="str">
        <f ca="1">IF(AND(ISNUMBER($AJ$814),$B$677=1),$AJ$814,HLOOKUP(INDIRECT(ADDRESS(2,COLUMN())),OFFSET($BN$2,0,0,ROW()-1,60),ROW()-1,FALSE))</f>
        <v/>
      </c>
      <c r="AK143" t="str">
        <f ca="1">IF(AND(ISNUMBER($AK$814),$B$677=1),$AK$814,HLOOKUP(INDIRECT(ADDRESS(2,COLUMN())),OFFSET($BN$2,0,0,ROW()-1,60),ROW()-1,FALSE))</f>
        <v/>
      </c>
      <c r="AL143" t="str">
        <f ca="1">IF(AND(ISNUMBER($AL$814),$B$677=1),$AL$814,HLOOKUP(INDIRECT(ADDRESS(2,COLUMN())),OFFSET($BN$2,0,0,ROW()-1,60),ROW()-1,FALSE))</f>
        <v/>
      </c>
      <c r="AM143" t="str">
        <f ca="1">IF(AND(ISNUMBER($AM$814),$B$677=1),$AM$814,HLOOKUP(INDIRECT(ADDRESS(2,COLUMN())),OFFSET($BN$2,0,0,ROW()-1,60),ROW()-1,FALSE))</f>
        <v/>
      </c>
      <c r="AN143" t="str">
        <f ca="1">IF(AND(ISNUMBER($AN$814),$B$677=1),$AN$814,HLOOKUP(INDIRECT(ADDRESS(2,COLUMN())),OFFSET($BN$2,0,0,ROW()-1,60),ROW()-1,FALSE))</f>
        <v/>
      </c>
      <c r="AO143" t="str">
        <f ca="1">IF(AND(ISNUMBER($AO$814),$B$677=1),$AO$814,HLOOKUP(INDIRECT(ADDRESS(2,COLUMN())),OFFSET($BN$2,0,0,ROW()-1,60),ROW()-1,FALSE))</f>
        <v/>
      </c>
      <c r="AP143" t="str">
        <f ca="1">IF(AND(ISNUMBER($AP$814),$B$677=1),$AP$814,HLOOKUP(INDIRECT(ADDRESS(2,COLUMN())),OFFSET($BN$2,0,0,ROW()-1,60),ROW()-1,FALSE))</f>
        <v/>
      </c>
      <c r="AQ143" t="str">
        <f ca="1">IF(AND(ISNUMBER($AQ$814),$B$677=1),$AQ$814,HLOOKUP(INDIRECT(ADDRESS(2,COLUMN())),OFFSET($BN$2,0,0,ROW()-1,60),ROW()-1,FALSE))</f>
        <v/>
      </c>
      <c r="AR143" t="str">
        <f ca="1">IF(AND(ISNUMBER($AR$814),$B$677=1),$AR$814,HLOOKUP(INDIRECT(ADDRESS(2,COLUMN())),OFFSET($BN$2,0,0,ROW()-1,60),ROW()-1,FALSE))</f>
        <v/>
      </c>
      <c r="AS143" t="str">
        <f ca="1">IF(AND(ISNUMBER($AS$814),$B$677=1),$AS$814,HLOOKUP(INDIRECT(ADDRESS(2,COLUMN())),OFFSET($BN$2,0,0,ROW()-1,60),ROW()-1,FALSE))</f>
        <v/>
      </c>
      <c r="AT143" t="str">
        <f ca="1">IF(AND(ISNUMBER($AT$814),$B$677=1),$AT$814,HLOOKUP(INDIRECT(ADDRESS(2,COLUMN())),OFFSET($BN$2,0,0,ROW()-1,60),ROW()-1,FALSE))</f>
        <v/>
      </c>
      <c r="AU143" t="str">
        <f ca="1">IF(AND(ISNUMBER($AU$814),$B$677=1),$AU$814,HLOOKUP(INDIRECT(ADDRESS(2,COLUMN())),OFFSET($BN$2,0,0,ROW()-1,60),ROW()-1,FALSE))</f>
        <v/>
      </c>
      <c r="AV143" t="str">
        <f ca="1">IF(AND(ISNUMBER($AV$814),$B$677=1),$AV$814,HLOOKUP(INDIRECT(ADDRESS(2,COLUMN())),OFFSET($BN$2,0,0,ROW()-1,60),ROW()-1,FALSE))</f>
        <v/>
      </c>
      <c r="AW143" t="str">
        <f ca="1">IF(AND(ISNUMBER($AW$814),$B$677=1),$AW$814,HLOOKUP(INDIRECT(ADDRESS(2,COLUMN())),OFFSET($BN$2,0,0,ROW()-1,60),ROW()-1,FALSE))</f>
        <v/>
      </c>
      <c r="AX143" t="str">
        <f ca="1">IF(AND(ISNUMBER($AX$814),$B$677=1),$AX$814,HLOOKUP(INDIRECT(ADDRESS(2,COLUMN())),OFFSET($BN$2,0,0,ROW()-1,60),ROW()-1,FALSE))</f>
        <v/>
      </c>
      <c r="AY143" t="str">
        <f ca="1">IF(AND(ISNUMBER($AY$814),$B$677=1),$AY$814,HLOOKUP(INDIRECT(ADDRESS(2,COLUMN())),OFFSET($BN$2,0,0,ROW()-1,60),ROW()-1,FALSE))</f>
        <v/>
      </c>
      <c r="AZ143" t="str">
        <f ca="1">IF(AND(ISNUMBER($AZ$814),$B$677=1),$AZ$814,HLOOKUP(INDIRECT(ADDRESS(2,COLUMN())),OFFSET($BN$2,0,0,ROW()-1,60),ROW()-1,FALSE))</f>
        <v/>
      </c>
      <c r="BA143" t="str">
        <f ca="1">IF(AND(ISNUMBER($BA$814),$B$677=1),$BA$814,HLOOKUP(INDIRECT(ADDRESS(2,COLUMN())),OFFSET($BN$2,0,0,ROW()-1,60),ROW()-1,FALSE))</f>
        <v/>
      </c>
      <c r="BB143" t="str">
        <f ca="1">IF(AND(ISNUMBER($BB$814),$B$677=1),$BB$814,HLOOKUP(INDIRECT(ADDRESS(2,COLUMN())),OFFSET($BN$2,0,0,ROW()-1,60),ROW()-1,FALSE))</f>
        <v/>
      </c>
      <c r="BC143" t="str">
        <f ca="1">IF(AND(ISNUMBER($BC$814),$B$677=1),$BC$814,HLOOKUP(INDIRECT(ADDRESS(2,COLUMN())),OFFSET($BN$2,0,0,ROW()-1,60),ROW()-1,FALSE))</f>
        <v/>
      </c>
      <c r="BD143" t="str">
        <f ca="1">IF(AND(ISNUMBER($BD$814),$B$677=1),$BD$814,HLOOKUP(INDIRECT(ADDRESS(2,COLUMN())),OFFSET($BN$2,0,0,ROW()-1,60),ROW()-1,FALSE))</f>
        <v/>
      </c>
      <c r="BE143" t="str">
        <f ca="1">IF(AND(ISNUMBER($BE$814),$B$677=1),$BE$814,HLOOKUP(INDIRECT(ADDRESS(2,COLUMN())),OFFSET($BN$2,0,0,ROW()-1,60),ROW()-1,FALSE))</f>
        <v/>
      </c>
      <c r="BF143" t="str">
        <f ca="1">IF(AND(ISNUMBER($BF$814),$B$677=1),$BF$814,HLOOKUP(INDIRECT(ADDRESS(2,COLUMN())),OFFSET($BN$2,0,0,ROW()-1,60),ROW()-1,FALSE))</f>
        <v/>
      </c>
      <c r="BG143" t="str">
        <f ca="1">IF(AND(ISNUMBER($BG$814),$B$677=1),$BG$814,HLOOKUP(INDIRECT(ADDRESS(2,COLUMN())),OFFSET($BN$2,0,0,ROW()-1,60),ROW()-1,FALSE))</f>
        <v/>
      </c>
      <c r="BH143" t="str">
        <f ca="1">IF(AND(ISNUMBER($BH$814),$B$677=1),$BH$814,HLOOKUP(INDIRECT(ADDRESS(2,COLUMN())),OFFSET($BN$2,0,0,ROW()-1,60),ROW()-1,FALSE))</f>
        <v/>
      </c>
      <c r="BI143" t="str">
        <f ca="1">IF(AND(ISNUMBER($BI$814),$B$677=1),$BI$814,HLOOKUP(INDIRECT(ADDRESS(2,COLUMN())),OFFSET($BN$2,0,0,ROW()-1,60),ROW()-1,FALSE))</f>
        <v/>
      </c>
      <c r="BJ143" t="str">
        <f ca="1">IF(AND(ISNUMBER($BJ$814),$B$677=1),$BJ$814,HLOOKUP(INDIRECT(ADDRESS(2,COLUMN())),OFFSET($BN$2,0,0,ROW()-1,60),ROW()-1,FALSE))</f>
        <v/>
      </c>
      <c r="BK143" t="str">
        <f ca="1">IF(AND(ISNUMBER($BK$814),$B$677=1),$BK$814,HLOOKUP(INDIRECT(ADDRESS(2,COLUMN())),OFFSET($BN$2,0,0,ROW()-1,60),ROW()-1,FALSE))</f>
        <v/>
      </c>
      <c r="BL143" t="str">
        <f ca="1">IF(AND(ISNUMBER($BL$814),$B$677=1),$BL$814,HLOOKUP(INDIRECT(ADDRESS(2,COLUMN())),OFFSET($BN$2,0,0,ROW()-1,60),ROW()-1,FALSE))</f>
        <v/>
      </c>
      <c r="BM143" t="str">
        <f ca="1">IF(AND(ISNUMBER($BM$814),$B$677=1),$BM$814,HLOOKUP(INDIRECT(ADDRESS(2,COLUMN())),OFFSET($BN$2,0,0,ROW()-1,60),ROW()-1,FALSE))</f>
        <v/>
      </c>
      <c r="BN143" t="str">
        <f>""</f>
        <v/>
      </c>
      <c r="BO143" t="str">
        <f>""</f>
        <v/>
      </c>
      <c r="BP143" t="str">
        <f>""</f>
        <v/>
      </c>
      <c r="BQ143" t="str">
        <f>""</f>
        <v/>
      </c>
      <c r="BR143" t="str">
        <f>""</f>
        <v/>
      </c>
      <c r="BS143" t="str">
        <f>""</f>
        <v/>
      </c>
      <c r="BT143" t="str">
        <f>""</f>
        <v/>
      </c>
      <c r="BU143" t="str">
        <f>""</f>
        <v/>
      </c>
      <c r="BV143" t="str">
        <f>""</f>
        <v/>
      </c>
      <c r="BW143" t="str">
        <f>""</f>
        <v/>
      </c>
      <c r="BX143" t="str">
        <f>""</f>
        <v/>
      </c>
      <c r="BY143" t="str">
        <f>""</f>
        <v/>
      </c>
      <c r="BZ143" t="str">
        <f>""</f>
        <v/>
      </c>
      <c r="CA143" t="str">
        <f>""</f>
        <v/>
      </c>
      <c r="CB143" t="str">
        <f>""</f>
        <v/>
      </c>
      <c r="CC143" t="str">
        <f>""</f>
        <v/>
      </c>
      <c r="CD143" t="str">
        <f>""</f>
        <v/>
      </c>
      <c r="CE143" t="str">
        <f>""</f>
        <v/>
      </c>
      <c r="CF143" t="str">
        <f>""</f>
        <v/>
      </c>
      <c r="CG143" t="str">
        <f>""</f>
        <v/>
      </c>
      <c r="CH143" t="str">
        <f>""</f>
        <v/>
      </c>
      <c r="CI143" t="str">
        <f>""</f>
        <v/>
      </c>
      <c r="CJ143" t="str">
        <f>""</f>
        <v/>
      </c>
      <c r="CK143" t="str">
        <f>""</f>
        <v/>
      </c>
      <c r="CL143" t="str">
        <f>""</f>
        <v/>
      </c>
      <c r="CM143" t="str">
        <f>""</f>
        <v/>
      </c>
      <c r="CN143" t="str">
        <f>""</f>
        <v/>
      </c>
      <c r="CO143" t="str">
        <f>""</f>
        <v/>
      </c>
      <c r="CP143" t="str">
        <f>""</f>
        <v/>
      </c>
      <c r="CQ143" t="str">
        <f>""</f>
        <v/>
      </c>
      <c r="CR143" t="str">
        <f>""</f>
        <v/>
      </c>
      <c r="CS143" t="str">
        <f>""</f>
        <v/>
      </c>
      <c r="CT143" t="str">
        <f>""</f>
        <v/>
      </c>
      <c r="CU143" t="str">
        <f>""</f>
        <v/>
      </c>
      <c r="CV143" t="str">
        <f>""</f>
        <v/>
      </c>
      <c r="CW143" t="str">
        <f>""</f>
        <v/>
      </c>
      <c r="CX143" t="str">
        <f>""</f>
        <v/>
      </c>
      <c r="CY143" t="str">
        <f>""</f>
        <v/>
      </c>
      <c r="CZ143" t="str">
        <f>""</f>
        <v/>
      </c>
      <c r="DA143" t="str">
        <f>""</f>
        <v/>
      </c>
      <c r="DB143" t="str">
        <f>""</f>
        <v/>
      </c>
      <c r="DC143" t="str">
        <f>""</f>
        <v/>
      </c>
      <c r="DD143" t="str">
        <f>""</f>
        <v/>
      </c>
      <c r="DE143" t="str">
        <f>""</f>
        <v/>
      </c>
      <c r="DF143" t="str">
        <f>""</f>
        <v/>
      </c>
      <c r="DG143" t="str">
        <f>""</f>
        <v/>
      </c>
      <c r="DH143" t="str">
        <f>""</f>
        <v/>
      </c>
      <c r="DI143" t="str">
        <f>""</f>
        <v/>
      </c>
      <c r="DJ143" t="str">
        <f>""</f>
        <v/>
      </c>
      <c r="DK143" t="str">
        <f>""</f>
        <v/>
      </c>
      <c r="DL143" t="str">
        <f>""</f>
        <v/>
      </c>
      <c r="DM143" t="str">
        <f>""</f>
        <v/>
      </c>
      <c r="DN143" t="str">
        <f>""</f>
        <v/>
      </c>
      <c r="DO143" t="str">
        <f>""</f>
        <v/>
      </c>
      <c r="DP143" t="str">
        <f>""</f>
        <v/>
      </c>
      <c r="DQ143" t="str">
        <f>""</f>
        <v/>
      </c>
      <c r="DR143" t="str">
        <f>""</f>
        <v/>
      </c>
      <c r="DS143" t="str">
        <f>""</f>
        <v/>
      </c>
      <c r="DT143" t="str">
        <f>""</f>
        <v/>
      </c>
      <c r="DU143" t="str">
        <f>""</f>
        <v/>
      </c>
    </row>
    <row r="144" spans="1:125" x14ac:dyDescent="0.25">
      <c r="A144" t="str">
        <f>"    General Motors Co"</f>
        <v xml:space="preserve">    General Motors Co</v>
      </c>
      <c r="B144" t="str">
        <f>"GM US Equity"</f>
        <v>GM US Equity</v>
      </c>
      <c r="C144" t="str">
        <f t="shared" si="9"/>
        <v>RR903</v>
      </c>
      <c r="D144" t="str">
        <f t="shared" si="10"/>
        <v>PX_TO_BOOK_RATIO</v>
      </c>
      <c r="E144" t="str">
        <f t="shared" si="11"/>
        <v>Dynamic</v>
      </c>
      <c r="F144">
        <f ca="1">IF(AND(ISNUMBER($F$815),$B$677=1),$F$815,HLOOKUP(INDIRECT(ADDRESS(2,COLUMN())),OFFSET($BN$2,0,0,ROW()-1,60),ROW()-1,FALSE))</f>
        <v>1.4149511619999999</v>
      </c>
      <c r="G144">
        <f ca="1">IF(AND(ISNUMBER($G$815),$B$677=1),$G$815,HLOOKUP(INDIRECT(ADDRESS(2,COLUMN())),OFFSET($BN$2,0,0,ROW()-1,60),ROW()-1,FALSE))</f>
        <v>1.205095214</v>
      </c>
      <c r="H144">
        <f ca="1">IF(AND(ISNUMBER($H$815),$B$677=1),$H$815,HLOOKUP(INDIRECT(ADDRESS(2,COLUMN())),OFFSET($BN$2,0,0,ROW()-1,60),ROW()-1,FALSE))</f>
        <v>1.2384855889999999</v>
      </c>
      <c r="I144">
        <f ca="1">IF(AND(ISNUMBER($I$815),$B$677=1),$I$815,HLOOKUP(INDIRECT(ADDRESS(2,COLUMN())),OFFSET($BN$2,0,0,ROW()-1,60),ROW()-1,FALSE))</f>
        <v>1.5245570879999999</v>
      </c>
      <c r="J144">
        <f ca="1">IF(AND(ISNUMBER($J$815),$B$677=1),$J$815,HLOOKUP(INDIRECT(ADDRESS(2,COLUMN())),OFFSET($BN$2,0,0,ROW()-1,60),ROW()-1,FALSE))</f>
        <v>1.483351799</v>
      </c>
      <c r="K144">
        <f ca="1">IF(AND(ISNUMBER($K$815),$B$677=1),$K$815,HLOOKUP(INDIRECT(ADDRESS(2,COLUMN())),OFFSET($BN$2,0,0,ROW()-1,60),ROW()-1,FALSE))</f>
        <v>1.6395531560000001</v>
      </c>
      <c r="L144">
        <f ca="1">IF(AND(ISNUMBER($L$815),$B$677=1),$L$815,HLOOKUP(INDIRECT(ADDRESS(2,COLUMN())),OFFSET($BN$2,0,0,ROW()-1,60),ROW()-1,FALSE))</f>
        <v>1.3382572260000001</v>
      </c>
      <c r="M144">
        <f ca="1">IF(AND(ISNUMBER($M$815),$B$677=1),$M$815,HLOOKUP(INDIRECT(ADDRESS(2,COLUMN())),OFFSET($BN$2,0,0,ROW()-1,60),ROW()-1,FALSE))</f>
        <v>1.151007227</v>
      </c>
      <c r="N144">
        <f ca="1">IF(AND(ISNUMBER($N$815),$B$677=1),$N$815,HLOOKUP(INDIRECT(ADDRESS(2,COLUMN())),OFFSET($BN$2,0,0,ROW()-1,60),ROW()-1,FALSE))</f>
        <v>1.1537457579999999</v>
      </c>
      <c r="O144">
        <f ca="1">IF(AND(ISNUMBER($O$815),$B$677=1),$O$815,HLOOKUP(INDIRECT(ADDRESS(2,COLUMN())),OFFSET($BN$2,0,0,ROW()-1,60),ROW()-1,FALSE))</f>
        <v>1.192170819</v>
      </c>
      <c r="P144">
        <f ca="1">IF(AND(ISNUMBER($P$815),$B$677=1),$P$815,HLOOKUP(INDIRECT(ADDRESS(2,COLUMN())),OFFSET($BN$2,0,0,ROW()-1,60),ROW()-1,FALSE))</f>
        <v>1.06563059</v>
      </c>
      <c r="Q144">
        <f ca="1">IF(AND(ISNUMBER($Q$815),$B$677=1),$Q$815,HLOOKUP(INDIRECT(ADDRESS(2,COLUMN())),OFFSET($BN$2,0,0,ROW()-1,60),ROW()-1,FALSE))</f>
        <v>1.037818015</v>
      </c>
      <c r="R144">
        <f ca="1">IF(AND(ISNUMBER($R$815),$B$677=1),$R$815,HLOOKUP(INDIRECT(ADDRESS(2,COLUMN())),OFFSET($BN$2,0,0,ROW()-1,60),ROW()-1,FALSE))</f>
        <v>1.151788332</v>
      </c>
      <c r="S144">
        <f ca="1">IF(AND(ISNUMBER($S$815),$B$677=1),$S$815,HLOOKUP(INDIRECT(ADDRESS(2,COLUMN())),OFFSET($BN$2,0,0,ROW()-1,60),ROW()-1,FALSE))</f>
        <v>1.279501392</v>
      </c>
      <c r="T144">
        <f ca="1">IF(AND(ISNUMBER($T$815),$B$677=1),$T$815,HLOOKUP(INDIRECT(ADDRESS(2,COLUMN())),OFFSET($BN$2,0,0,ROW()-1,60),ROW()-1,FALSE))</f>
        <v>1.386685143</v>
      </c>
      <c r="U144">
        <f ca="1">IF(AND(ISNUMBER($U$815),$B$677=1),$U$815,HLOOKUP(INDIRECT(ADDRESS(2,COLUMN())),OFFSET($BN$2,0,0,ROW()-1,60),ROW()-1,FALSE))</f>
        <v>1.5173277190000001</v>
      </c>
      <c r="V144">
        <f ca="1">IF(AND(ISNUMBER($V$815),$B$677=1),$V$815,HLOOKUP(INDIRECT(ADDRESS(2,COLUMN())),OFFSET($BN$2,0,0,ROW()-1,60),ROW()-1,FALSE))</f>
        <v>1.6515731229999999</v>
      </c>
      <c r="W144">
        <f ca="1">IF(AND(ISNUMBER($W$815),$B$677=1),$W$815,HLOOKUP(INDIRECT(ADDRESS(2,COLUMN())),OFFSET($BN$2,0,0,ROW()-1,60),ROW()-1,FALSE))</f>
        <v>1.575316581</v>
      </c>
      <c r="X144">
        <f ca="1">IF(AND(ISNUMBER($X$815),$B$677=1),$X$815,HLOOKUP(INDIRECT(ADDRESS(2,COLUMN())),OFFSET($BN$2,0,0,ROW()-1,60),ROW()-1,FALSE))</f>
        <v>1.2810267470000001</v>
      </c>
      <c r="Y144">
        <f ca="1">IF(AND(ISNUMBER($Y$815),$B$677=1),$Y$815,HLOOKUP(INDIRECT(ADDRESS(2,COLUMN())),OFFSET($BN$2,0,0,ROW()-1,60),ROW()-1,FALSE))</f>
        <v>1.4936350780000001</v>
      </c>
      <c r="Z144">
        <f ca="1">IF(AND(ISNUMBER($Z$815),$B$677=1),$Z$815,HLOOKUP(INDIRECT(ADDRESS(2,COLUMN())),OFFSET($BN$2,0,0,ROW()-1,60),ROW()-1,FALSE))</f>
        <v>1.408022908</v>
      </c>
      <c r="AA144">
        <f ca="1">IF(AND(ISNUMBER($AA$815),$B$677=1),$AA$815,HLOOKUP(INDIRECT(ADDRESS(2,COLUMN())),OFFSET($BN$2,0,0,ROW()-1,60),ROW()-1,FALSE))</f>
        <v>1.44863031</v>
      </c>
      <c r="AB144">
        <f ca="1">IF(AND(ISNUMBER($AB$815),$B$677=1),$AB$815,HLOOKUP(INDIRECT(ADDRESS(2,COLUMN())),OFFSET($BN$2,0,0,ROW()-1,60),ROW()-1,FALSE))</f>
        <v>1.747692094</v>
      </c>
      <c r="AC144">
        <f ca="1">IF(AND(ISNUMBER($AC$815),$B$677=1),$AC$815,HLOOKUP(INDIRECT(ADDRESS(2,COLUMN())),OFFSET($BN$2,0,0,ROW()-1,60),ROW()-1,FALSE))</f>
        <v>1.6665118109999999</v>
      </c>
      <c r="AD144">
        <f ca="1">IF(AND(ISNUMBER($AD$815),$B$677=1),$AD$815,HLOOKUP(INDIRECT(ADDRESS(2,COLUMN())),OFFSET($BN$2,0,0,ROW()-1,60),ROW()-1,FALSE))</f>
        <v>1.4321223709999999</v>
      </c>
      <c r="AE144">
        <f ca="1">IF(AND(ISNUMBER($AE$815),$B$677=1),$AE$815,HLOOKUP(INDIRECT(ADDRESS(2,COLUMN())),OFFSET($BN$2,0,0,ROW()-1,60),ROW()-1,FALSE))</f>
        <v>1.523712867</v>
      </c>
      <c r="AF144">
        <f ca="1">IF(AND(ISNUMBER($AF$815),$B$677=1),$AF$815,HLOOKUP(INDIRECT(ADDRESS(2,COLUMN())),OFFSET($BN$2,0,0,ROW()-1,60),ROW()-1,FALSE))</f>
        <v>1.139377082</v>
      </c>
      <c r="AG144">
        <f ca="1">IF(AND(ISNUMBER($AG$815),$B$677=1),$AG$815,HLOOKUP(INDIRECT(ADDRESS(2,COLUMN())),OFFSET($BN$2,0,0,ROW()-1,60),ROW()-1,FALSE))</f>
        <v>1.0188510829999999</v>
      </c>
      <c r="AH144">
        <f ca="1">IF(AND(ISNUMBER($AH$815),$B$677=1),$AH$815,HLOOKUP(INDIRECT(ADDRESS(2,COLUMN())),OFFSET($BN$2,0,0,ROW()-1,60),ROW()-1,FALSE))</f>
        <v>1.391438307</v>
      </c>
      <c r="AI144">
        <f ca="1">IF(AND(ISNUMBER($AI$815),$B$677=1),$AI$815,HLOOKUP(INDIRECT(ADDRESS(2,COLUMN())),OFFSET($BN$2,0,0,ROW()-1,60),ROW()-1,FALSE))</f>
        <v>1.1438213479999999</v>
      </c>
      <c r="AJ144">
        <f ca="1">IF(AND(ISNUMBER($AJ$815),$B$677=1),$AJ$815,HLOOKUP(INDIRECT(ADDRESS(2,COLUMN())),OFFSET($BN$2,0,0,ROW()-1,60),ROW()-1,FALSE))</f>
        <v>0.91895669800000002</v>
      </c>
      <c r="AK144">
        <f ca="1">IF(AND(ISNUMBER($AK$815),$B$677=1),$AK$815,HLOOKUP(INDIRECT(ADDRESS(2,COLUMN())),OFFSET($BN$2,0,0,ROW()-1,60),ROW()-1,FALSE))</f>
        <v>1.4829184689999999</v>
      </c>
      <c r="AL144">
        <f ca="1">IF(AND(ISNUMBER($AL$815),$B$677=1),$AL$815,HLOOKUP(INDIRECT(ADDRESS(2,COLUMN())),OFFSET($BN$2,0,0,ROW()-1,60),ROW()-1,FALSE))</f>
        <v>1.7416570769999999</v>
      </c>
      <c r="AM144">
        <f ca="1">IF(AND(ISNUMBER($AM$815),$B$677=1),$AM$815,HLOOKUP(INDIRECT(ADDRESS(2,COLUMN())),OFFSET($BN$2,0,0,ROW()-1,60),ROW()-1,FALSE))</f>
        <v>2.1441331479999999</v>
      </c>
      <c r="AN144" t="str">
        <f ca="1">IF(AND(ISNUMBER($AN$815),$B$677=1),$AN$815,HLOOKUP(INDIRECT(ADDRESS(2,COLUMN())),OFFSET($BN$2,0,0,ROW()-1,60),ROW()-1,FALSE))</f>
        <v/>
      </c>
      <c r="AO144" t="str">
        <f ca="1">IF(AND(ISNUMBER($AO$815),$B$677=1),$AO$815,HLOOKUP(INDIRECT(ADDRESS(2,COLUMN())),OFFSET($BN$2,0,0,ROW()-1,60),ROW()-1,FALSE))</f>
        <v/>
      </c>
      <c r="AP144" t="str">
        <f ca="1">IF(AND(ISNUMBER($AP$815),$B$677=1),$AP$815,HLOOKUP(INDIRECT(ADDRESS(2,COLUMN())),OFFSET($BN$2,0,0,ROW()-1,60),ROW()-1,FALSE))</f>
        <v/>
      </c>
      <c r="AQ144" t="str">
        <f ca="1">IF(AND(ISNUMBER($AQ$815),$B$677=1),$AQ$815,HLOOKUP(INDIRECT(ADDRESS(2,COLUMN())),OFFSET($BN$2,0,0,ROW()-1,60),ROW()-1,FALSE))</f>
        <v/>
      </c>
      <c r="AR144" t="str">
        <f ca="1">IF(AND(ISNUMBER($AR$815),$B$677=1),$AR$815,HLOOKUP(INDIRECT(ADDRESS(2,COLUMN())),OFFSET($BN$2,0,0,ROW()-1,60),ROW()-1,FALSE))</f>
        <v/>
      </c>
      <c r="AS144" t="str">
        <f ca="1">IF(AND(ISNUMBER($AS$815),$B$677=1),$AS$815,HLOOKUP(INDIRECT(ADDRESS(2,COLUMN())),OFFSET($BN$2,0,0,ROW()-1,60),ROW()-1,FALSE))</f>
        <v/>
      </c>
      <c r="AT144" t="str">
        <f ca="1">IF(AND(ISNUMBER($AT$815),$B$677=1),$AT$815,HLOOKUP(INDIRECT(ADDRESS(2,COLUMN())),OFFSET($BN$2,0,0,ROW()-1,60),ROW()-1,FALSE))</f>
        <v/>
      </c>
      <c r="AU144" t="str">
        <f ca="1">IF(AND(ISNUMBER($AU$815),$B$677=1),$AU$815,HLOOKUP(INDIRECT(ADDRESS(2,COLUMN())),OFFSET($BN$2,0,0,ROW()-1,60),ROW()-1,FALSE))</f>
        <v/>
      </c>
      <c r="AV144" t="str">
        <f ca="1">IF(AND(ISNUMBER($AV$815),$B$677=1),$AV$815,HLOOKUP(INDIRECT(ADDRESS(2,COLUMN())),OFFSET($BN$2,0,0,ROW()-1,60),ROW()-1,FALSE))</f>
        <v/>
      </c>
      <c r="AW144" t="str">
        <f ca="1">IF(AND(ISNUMBER($AW$815),$B$677=1),$AW$815,HLOOKUP(INDIRECT(ADDRESS(2,COLUMN())),OFFSET($BN$2,0,0,ROW()-1,60),ROW()-1,FALSE))</f>
        <v/>
      </c>
      <c r="AX144" t="str">
        <f ca="1">IF(AND(ISNUMBER($AX$815),$B$677=1),$AX$815,HLOOKUP(INDIRECT(ADDRESS(2,COLUMN())),OFFSET($BN$2,0,0,ROW()-1,60),ROW()-1,FALSE))</f>
        <v/>
      </c>
      <c r="AY144" t="str">
        <f ca="1">IF(AND(ISNUMBER($AY$815),$B$677=1),$AY$815,HLOOKUP(INDIRECT(ADDRESS(2,COLUMN())),OFFSET($BN$2,0,0,ROW()-1,60),ROW()-1,FALSE))</f>
        <v/>
      </c>
      <c r="AZ144" t="str">
        <f ca="1">IF(AND(ISNUMBER($AZ$815),$B$677=1),$AZ$815,HLOOKUP(INDIRECT(ADDRESS(2,COLUMN())),OFFSET($BN$2,0,0,ROW()-1,60),ROW()-1,FALSE))</f>
        <v/>
      </c>
      <c r="BA144" t="str">
        <f ca="1">IF(AND(ISNUMBER($BA$815),$B$677=1),$BA$815,HLOOKUP(INDIRECT(ADDRESS(2,COLUMN())),OFFSET($BN$2,0,0,ROW()-1,60),ROW()-1,FALSE))</f>
        <v/>
      </c>
      <c r="BB144" t="str">
        <f ca="1">IF(AND(ISNUMBER($BB$815),$B$677=1),$BB$815,HLOOKUP(INDIRECT(ADDRESS(2,COLUMN())),OFFSET($BN$2,0,0,ROW()-1,60),ROW()-1,FALSE))</f>
        <v/>
      </c>
      <c r="BC144" t="str">
        <f ca="1">IF(AND(ISNUMBER($BC$815),$B$677=1),$BC$815,HLOOKUP(INDIRECT(ADDRESS(2,COLUMN())),OFFSET($BN$2,0,0,ROW()-1,60),ROW()-1,FALSE))</f>
        <v/>
      </c>
      <c r="BD144" t="str">
        <f ca="1">IF(AND(ISNUMBER($BD$815),$B$677=1),$BD$815,HLOOKUP(INDIRECT(ADDRESS(2,COLUMN())),OFFSET($BN$2,0,0,ROW()-1,60),ROW()-1,FALSE))</f>
        <v/>
      </c>
      <c r="BE144" t="str">
        <f ca="1">IF(AND(ISNUMBER($BE$815),$B$677=1),$BE$815,HLOOKUP(INDIRECT(ADDRESS(2,COLUMN())),OFFSET($BN$2,0,0,ROW()-1,60),ROW()-1,FALSE))</f>
        <v/>
      </c>
      <c r="BF144" t="str">
        <f ca="1">IF(AND(ISNUMBER($BF$815),$B$677=1),$BF$815,HLOOKUP(INDIRECT(ADDRESS(2,COLUMN())),OFFSET($BN$2,0,0,ROW()-1,60),ROW()-1,FALSE))</f>
        <v/>
      </c>
      <c r="BG144" t="str">
        <f ca="1">IF(AND(ISNUMBER($BG$815),$B$677=1),$BG$815,HLOOKUP(INDIRECT(ADDRESS(2,COLUMN())),OFFSET($BN$2,0,0,ROW()-1,60),ROW()-1,FALSE))</f>
        <v/>
      </c>
      <c r="BH144" t="str">
        <f ca="1">IF(AND(ISNUMBER($BH$815),$B$677=1),$BH$815,HLOOKUP(INDIRECT(ADDRESS(2,COLUMN())),OFFSET($BN$2,0,0,ROW()-1,60),ROW()-1,FALSE))</f>
        <v/>
      </c>
      <c r="BI144" t="str">
        <f ca="1">IF(AND(ISNUMBER($BI$815),$B$677=1),$BI$815,HLOOKUP(INDIRECT(ADDRESS(2,COLUMN())),OFFSET($BN$2,0,0,ROW()-1,60),ROW()-1,FALSE))</f>
        <v/>
      </c>
      <c r="BJ144" t="str">
        <f ca="1">IF(AND(ISNUMBER($BJ$815),$B$677=1),$BJ$815,HLOOKUP(INDIRECT(ADDRESS(2,COLUMN())),OFFSET($BN$2,0,0,ROW()-1,60),ROW()-1,FALSE))</f>
        <v/>
      </c>
      <c r="BK144" t="str">
        <f ca="1">IF(AND(ISNUMBER($BK$815),$B$677=1),$BK$815,HLOOKUP(INDIRECT(ADDRESS(2,COLUMN())),OFFSET($BN$2,0,0,ROW()-1,60),ROW()-1,FALSE))</f>
        <v/>
      </c>
      <c r="BL144" t="str">
        <f ca="1">IF(AND(ISNUMBER($BL$815),$B$677=1),$BL$815,HLOOKUP(INDIRECT(ADDRESS(2,COLUMN())),OFFSET($BN$2,0,0,ROW()-1,60),ROW()-1,FALSE))</f>
        <v/>
      </c>
      <c r="BM144" t="str">
        <f ca="1">IF(AND(ISNUMBER($BM$815),$B$677=1),$BM$815,HLOOKUP(INDIRECT(ADDRESS(2,COLUMN())),OFFSET($BN$2,0,0,ROW()-1,60),ROW()-1,FALSE))</f>
        <v/>
      </c>
      <c r="BN144">
        <f>1.414951162</f>
        <v>1.4149511619999999</v>
      </c>
      <c r="BO144">
        <f>1.205095214</f>
        <v>1.205095214</v>
      </c>
      <c r="BP144">
        <f>1.238485589</f>
        <v>1.2384855889999999</v>
      </c>
      <c r="BQ144">
        <f>1.524557088</f>
        <v>1.5245570879999999</v>
      </c>
      <c r="BR144">
        <f>1.483351799</f>
        <v>1.483351799</v>
      </c>
      <c r="BS144">
        <f>1.639553156</f>
        <v>1.6395531560000001</v>
      </c>
      <c r="BT144">
        <f>1.338257226</f>
        <v>1.3382572260000001</v>
      </c>
      <c r="BU144">
        <f>1.151007227</f>
        <v>1.151007227</v>
      </c>
      <c r="BV144">
        <f>1.153745758</f>
        <v>1.1537457579999999</v>
      </c>
      <c r="BW144">
        <f>1.192170819</f>
        <v>1.192170819</v>
      </c>
      <c r="BX144">
        <f>1.06563059</f>
        <v>1.06563059</v>
      </c>
      <c r="BY144">
        <f>1.037818015</f>
        <v>1.037818015</v>
      </c>
      <c r="BZ144">
        <f>1.151788332</f>
        <v>1.151788332</v>
      </c>
      <c r="CA144">
        <f>1.279501392</f>
        <v>1.279501392</v>
      </c>
      <c r="CB144">
        <f>1.386685143</f>
        <v>1.386685143</v>
      </c>
      <c r="CC144">
        <f>1.517327719</f>
        <v>1.5173277190000001</v>
      </c>
      <c r="CD144">
        <f>1.651573123</f>
        <v>1.6515731229999999</v>
      </c>
      <c r="CE144">
        <f>1.575316581</f>
        <v>1.575316581</v>
      </c>
      <c r="CF144">
        <f>1.281026747</f>
        <v>1.2810267470000001</v>
      </c>
      <c r="CG144">
        <f>1.493635078</f>
        <v>1.4936350780000001</v>
      </c>
      <c r="CH144">
        <f>1.408022908</f>
        <v>1.408022908</v>
      </c>
      <c r="CI144">
        <f>1.44863031</f>
        <v>1.44863031</v>
      </c>
      <c r="CJ144">
        <f>1.747692094</f>
        <v>1.747692094</v>
      </c>
      <c r="CK144">
        <f>1.666511811</f>
        <v>1.6665118109999999</v>
      </c>
      <c r="CL144">
        <f>1.432122371</f>
        <v>1.4321223709999999</v>
      </c>
      <c r="CM144">
        <f>1.523712867</f>
        <v>1.523712867</v>
      </c>
      <c r="CN144">
        <f>1.139377082</f>
        <v>1.139377082</v>
      </c>
      <c r="CO144">
        <f>1.018851083</f>
        <v>1.0188510829999999</v>
      </c>
      <c r="CP144">
        <f>1.391438307</f>
        <v>1.391438307</v>
      </c>
      <c r="CQ144">
        <f>1.143821348</f>
        <v>1.1438213479999999</v>
      </c>
      <c r="CR144">
        <f>0.918956698</f>
        <v>0.91895669800000002</v>
      </c>
      <c r="CS144">
        <f>1.482918469</f>
        <v>1.4829184689999999</v>
      </c>
      <c r="CT144">
        <f>1.741657077</f>
        <v>1.7416570769999999</v>
      </c>
      <c r="CU144">
        <f>2.144133148</f>
        <v>2.1441331479999999</v>
      </c>
      <c r="CV144" t="str">
        <f>""</f>
        <v/>
      </c>
      <c r="CW144" t="str">
        <f>""</f>
        <v/>
      </c>
      <c r="CX144" t="str">
        <f>""</f>
        <v/>
      </c>
      <c r="CY144" t="str">
        <f>""</f>
        <v/>
      </c>
      <c r="CZ144" t="str">
        <f>""</f>
        <v/>
      </c>
      <c r="DA144" t="str">
        <f>""</f>
        <v/>
      </c>
      <c r="DB144" t="str">
        <f>""</f>
        <v/>
      </c>
      <c r="DC144" t="str">
        <f>""</f>
        <v/>
      </c>
      <c r="DD144" t="str">
        <f>""</f>
        <v/>
      </c>
      <c r="DE144" t="str">
        <f>""</f>
        <v/>
      </c>
      <c r="DF144" t="str">
        <f>""</f>
        <v/>
      </c>
      <c r="DG144" t="str">
        <f>""</f>
        <v/>
      </c>
      <c r="DH144" t="str">
        <f>""</f>
        <v/>
      </c>
      <c r="DI144" t="str">
        <f>""</f>
        <v/>
      </c>
      <c r="DJ144" t="str">
        <f>""</f>
        <v/>
      </c>
      <c r="DK144" t="str">
        <f>""</f>
        <v/>
      </c>
      <c r="DL144" t="str">
        <f>""</f>
        <v/>
      </c>
      <c r="DM144" t="str">
        <f>""</f>
        <v/>
      </c>
      <c r="DN144" t="str">
        <f>""</f>
        <v/>
      </c>
      <c r="DO144" t="str">
        <f>""</f>
        <v/>
      </c>
      <c r="DP144" t="str">
        <f>""</f>
        <v/>
      </c>
      <c r="DQ144" t="str">
        <f>""</f>
        <v/>
      </c>
      <c r="DR144" t="str">
        <f>""</f>
        <v/>
      </c>
      <c r="DS144" t="str">
        <f>""</f>
        <v/>
      </c>
      <c r="DT144" t="str">
        <f>""</f>
        <v/>
      </c>
      <c r="DU144" t="str">
        <f>""</f>
        <v/>
      </c>
    </row>
    <row r="145" spans="1:125" x14ac:dyDescent="0.25">
      <c r="A145" t="str">
        <f>"    Great Wall Motor Co Ltd"</f>
        <v xml:space="preserve">    Great Wall Motor Co Ltd</v>
      </c>
      <c r="B145" t="str">
        <f>"2333 HK Equity"</f>
        <v>2333 HK Equity</v>
      </c>
      <c r="C145" t="str">
        <f t="shared" si="9"/>
        <v>RR903</v>
      </c>
      <c r="D145" t="str">
        <f t="shared" si="10"/>
        <v>PX_TO_BOOK_RATIO</v>
      </c>
      <c r="E145" t="str">
        <f t="shared" si="11"/>
        <v>Dynamic</v>
      </c>
      <c r="F145">
        <f ca="1">IF(AND(ISNUMBER($F$816),$B$677=1),$F$816,HLOOKUP(INDIRECT(ADDRESS(2,COLUMN())),OFFSET($BN$2,0,0,ROW()-1,60),ROW()-1,FALSE))</f>
        <v>0.99527859399999996</v>
      </c>
      <c r="G145">
        <f ca="1">IF(AND(ISNUMBER($G$816),$B$677=1),$G$816,HLOOKUP(INDIRECT(ADDRESS(2,COLUMN())),OFFSET($BN$2,0,0,ROW()-1,60),ROW()-1,FALSE))</f>
        <v>0.70148946199999995</v>
      </c>
      <c r="H145">
        <f ca="1">IF(AND(ISNUMBER($H$816),$B$677=1),$H$816,HLOOKUP(INDIRECT(ADDRESS(2,COLUMN())),OFFSET($BN$2,0,0,ROW()-1,60),ROW()-1,FALSE))</f>
        <v>0.77920750400000005</v>
      </c>
      <c r="I145">
        <f ca="1">IF(AND(ISNUMBER($I$816),$B$677=1),$I$816,HLOOKUP(INDIRECT(ADDRESS(2,COLUMN())),OFFSET($BN$2,0,0,ROW()-1,60),ROW()-1,FALSE))</f>
        <v>0.90388116500000004</v>
      </c>
      <c r="J145">
        <f ca="1">IF(AND(ISNUMBER($J$816),$B$677=1),$J$816,HLOOKUP(INDIRECT(ADDRESS(2,COLUMN())),OFFSET($BN$2,0,0,ROW()-1,60),ROW()-1,FALSE))</f>
        <v>1.1270385220000001</v>
      </c>
      <c r="K145">
        <f ca="1">IF(AND(ISNUMBER($K$816),$B$677=1),$K$816,HLOOKUP(INDIRECT(ADDRESS(2,COLUMN())),OFFSET($BN$2,0,0,ROW()-1,60),ROW()-1,FALSE))</f>
        <v>1.3847103780000001</v>
      </c>
      <c r="L145">
        <f ca="1">IF(AND(ISNUMBER($L$816),$B$677=1),$L$816,HLOOKUP(INDIRECT(ADDRESS(2,COLUMN())),OFFSET($BN$2,0,0,ROW()-1,60),ROW()-1,FALSE))</f>
        <v>1.5848513909999999</v>
      </c>
      <c r="M145">
        <f ca="1">IF(AND(ISNUMBER($M$816),$B$677=1),$M$816,HLOOKUP(INDIRECT(ADDRESS(2,COLUMN())),OFFSET($BN$2,0,0,ROW()-1,60),ROW()-1,FALSE))</f>
        <v>1.639215525</v>
      </c>
      <c r="N145">
        <f ca="1">IF(AND(ISNUMBER($N$816),$B$677=1),$N$816,HLOOKUP(INDIRECT(ADDRESS(2,COLUMN())),OFFSET($BN$2,0,0,ROW()-1,60),ROW()-1,FALSE))</f>
        <v>1.449751003</v>
      </c>
      <c r="O145">
        <f ca="1">IF(AND(ISNUMBER($O$816),$B$677=1),$O$816,HLOOKUP(INDIRECT(ADDRESS(2,COLUMN())),OFFSET($BN$2,0,0,ROW()-1,60),ROW()-1,FALSE))</f>
        <v>1.250508097</v>
      </c>
      <c r="P145">
        <f ca="1">IF(AND(ISNUMBER($P$816),$B$677=1),$P$816,HLOOKUP(INDIRECT(ADDRESS(2,COLUMN())),OFFSET($BN$2,0,0,ROW()-1,60),ROW()-1,FALSE))</f>
        <v>1.349303691</v>
      </c>
      <c r="Q145">
        <f ca="1">IF(AND(ISNUMBER($Q$816),$B$677=1),$Q$816,HLOOKUP(INDIRECT(ADDRESS(2,COLUMN())),OFFSET($BN$2,0,0,ROW()-1,60),ROW()-1,FALSE))</f>
        <v>1.208040504</v>
      </c>
      <c r="R145">
        <f ca="1">IF(AND(ISNUMBER($R$816),$B$677=1),$R$816,HLOOKUP(INDIRECT(ADDRESS(2,COLUMN())),OFFSET($BN$2,0,0,ROW()-1,60),ROW()-1,FALSE))</f>
        <v>1.173568274</v>
      </c>
      <c r="S145">
        <f ca="1">IF(AND(ISNUMBER($S$816),$B$677=1),$S$816,HLOOKUP(INDIRECT(ADDRESS(2,COLUMN())),OFFSET($BN$2,0,0,ROW()-1,60),ROW()-1,FALSE))</f>
        <v>1.799906709</v>
      </c>
      <c r="T145">
        <f ca="1">IF(AND(ISNUMBER($T$816),$B$677=1),$T$816,HLOOKUP(INDIRECT(ADDRESS(2,COLUMN())),OFFSET($BN$2,0,0,ROW()-1,60),ROW()-1,FALSE))</f>
        <v>1.915210877</v>
      </c>
      <c r="U145">
        <f ca="1">IF(AND(ISNUMBER($U$816),$B$677=1),$U$816,HLOOKUP(INDIRECT(ADDRESS(2,COLUMN())),OFFSET($BN$2,0,0,ROW()-1,60),ROW()-1,FALSE))</f>
        <v>2.5867562049999999</v>
      </c>
      <c r="V145">
        <f ca="1">IF(AND(ISNUMBER($V$816),$B$677=1),$V$816,HLOOKUP(INDIRECT(ADDRESS(2,COLUMN())),OFFSET($BN$2,0,0,ROW()-1,60),ROW()-1,FALSE))</f>
        <v>3.7060885699999999</v>
      </c>
      <c r="W145">
        <f ca="1">IF(AND(ISNUMBER($W$816),$B$677=1),$W$816,HLOOKUP(INDIRECT(ADDRESS(2,COLUMN())),OFFSET($BN$2,0,0,ROW()-1,60),ROW()-1,FALSE))</f>
        <v>3.2109049120000002</v>
      </c>
      <c r="X145">
        <f ca="1">IF(AND(ISNUMBER($X$816),$B$677=1),$X$816,HLOOKUP(INDIRECT(ADDRESS(2,COLUMN())),OFFSET($BN$2,0,0,ROW()-1,60),ROW()-1,FALSE))</f>
        <v>2.3341410169999999</v>
      </c>
      <c r="Y145">
        <f ca="1">IF(AND(ISNUMBER($Y$816),$B$677=1),$Y$816,HLOOKUP(INDIRECT(ADDRESS(2,COLUMN())),OFFSET($BN$2,0,0,ROW()-1,60),ROW()-1,FALSE))</f>
        <v>2.3810219620000002</v>
      </c>
      <c r="Z145">
        <f ca="1">IF(AND(ISNUMBER($Z$816),$B$677=1),$Z$816,HLOOKUP(INDIRECT(ADDRESS(2,COLUMN())),OFFSET($BN$2,0,0,ROW()-1,60),ROW()-1,FALSE))</f>
        <v>3.1626102999999999</v>
      </c>
      <c r="AA145">
        <f ca="1">IF(AND(ISNUMBER($AA$816),$B$677=1),$AA$816,HLOOKUP(INDIRECT(ADDRESS(2,COLUMN())),OFFSET($BN$2,0,0,ROW()-1,60),ROW()-1,FALSE))</f>
        <v>3.6306299809999998</v>
      </c>
      <c r="AB145">
        <f ca="1">IF(AND(ISNUMBER($AB$816),$B$677=1),$AB$816,HLOOKUP(INDIRECT(ADDRESS(2,COLUMN())),OFFSET($BN$2,0,0,ROW()-1,60),ROW()-1,FALSE))</f>
        <v>3.8910147799999999</v>
      </c>
      <c r="AC145">
        <f ca="1">IF(AND(ISNUMBER($AC$816),$B$677=1),$AC$816,HLOOKUP(INDIRECT(ADDRESS(2,COLUMN())),OFFSET($BN$2,0,0,ROW()-1,60),ROW()-1,FALSE))</f>
        <v>3.374165965</v>
      </c>
      <c r="AD145">
        <f ca="1">IF(AND(ISNUMBER($AD$816),$B$677=1),$AD$816,HLOOKUP(INDIRECT(ADDRESS(2,COLUMN())),OFFSET($BN$2,0,0,ROW()-1,60),ROW()-1,FALSE))</f>
        <v>2.7360957880000001</v>
      </c>
      <c r="AE145">
        <f ca="1">IF(AND(ISNUMBER($AE$816),$B$677=1),$AE$816,HLOOKUP(INDIRECT(ADDRESS(2,COLUMN())),OFFSET($BN$2,0,0,ROW()-1,60),ROW()-1,FALSE))</f>
        <v>2.7813567259999998</v>
      </c>
      <c r="AF145">
        <f ca="1">IF(AND(ISNUMBER($AF$816),$B$677=1),$AF$816,HLOOKUP(INDIRECT(ADDRESS(2,COLUMN())),OFFSET($BN$2,0,0,ROW()-1,60),ROW()-1,FALSE))</f>
        <v>2.5649217580000001</v>
      </c>
      <c r="AG145">
        <f ca="1">IF(AND(ISNUMBER($AG$816),$B$677=1),$AG$816,HLOOKUP(INDIRECT(ADDRESS(2,COLUMN())),OFFSET($BN$2,0,0,ROW()-1,60),ROW()-1,FALSE))</f>
        <v>2.1090322119999998</v>
      </c>
      <c r="AH145">
        <f ca="1">IF(AND(ISNUMBER($AH$816),$B$677=1),$AH$816,HLOOKUP(INDIRECT(ADDRESS(2,COLUMN())),OFFSET($BN$2,0,0,ROW()-1,60),ROW()-1,FALSE))</f>
        <v>2.090085916</v>
      </c>
      <c r="AI145">
        <f ca="1">IF(AND(ISNUMBER($AI$816),$B$677=1),$AI$816,HLOOKUP(INDIRECT(ADDRESS(2,COLUMN())),OFFSET($BN$2,0,0,ROW()-1,60),ROW()-1,FALSE))</f>
        <v>1.773803671</v>
      </c>
      <c r="AJ145">
        <f ca="1">IF(AND(ISNUMBER($AJ$816),$B$677=1),$AJ$816,HLOOKUP(INDIRECT(ADDRESS(2,COLUMN())),OFFSET($BN$2,0,0,ROW()-1,60),ROW()-1,FALSE))</f>
        <v>1.418100191</v>
      </c>
      <c r="AK145">
        <f ca="1">IF(AND(ISNUMBER($AK$816),$B$677=1),$AK$816,HLOOKUP(INDIRECT(ADDRESS(2,COLUMN())),OFFSET($BN$2,0,0,ROW()-1,60),ROW()-1,FALSE))</f>
        <v>2.6735469209999998</v>
      </c>
      <c r="AL145">
        <f ca="1">IF(AND(ISNUMBER($AL$816),$B$677=1),$AL$816,HLOOKUP(INDIRECT(ADDRESS(2,COLUMN())),OFFSET($BN$2,0,0,ROW()-1,60),ROW()-1,FALSE))</f>
        <v>3.0447592590000001</v>
      </c>
      <c r="AM145" t="str">
        <f ca="1">IF(AND(ISNUMBER($AM$816),$B$677=1),$AM$816,HLOOKUP(INDIRECT(ADDRESS(2,COLUMN())),OFFSET($BN$2,0,0,ROW()-1,60),ROW()-1,FALSE))</f>
        <v/>
      </c>
      <c r="AN145" t="str">
        <f ca="1">IF(AND(ISNUMBER($AN$816),$B$677=1),$AN$816,HLOOKUP(INDIRECT(ADDRESS(2,COLUMN())),OFFSET($BN$2,0,0,ROW()-1,60),ROW()-1,FALSE))</f>
        <v/>
      </c>
      <c r="AO145" t="str">
        <f ca="1">IF(AND(ISNUMBER($AO$816),$B$677=1),$AO$816,HLOOKUP(INDIRECT(ADDRESS(2,COLUMN())),OFFSET($BN$2,0,0,ROW()-1,60),ROW()-1,FALSE))</f>
        <v/>
      </c>
      <c r="AP145" t="str">
        <f ca="1">IF(AND(ISNUMBER($AP$816),$B$677=1),$AP$816,HLOOKUP(INDIRECT(ADDRESS(2,COLUMN())),OFFSET($BN$2,0,0,ROW()-1,60),ROW()-1,FALSE))</f>
        <v/>
      </c>
      <c r="AQ145" t="str">
        <f ca="1">IF(AND(ISNUMBER($AQ$816),$B$677=1),$AQ$816,HLOOKUP(INDIRECT(ADDRESS(2,COLUMN())),OFFSET($BN$2,0,0,ROW()-1,60),ROW()-1,FALSE))</f>
        <v/>
      </c>
      <c r="AR145" t="str">
        <f ca="1">IF(AND(ISNUMBER($AR$816),$B$677=1),$AR$816,HLOOKUP(INDIRECT(ADDRESS(2,COLUMN())),OFFSET($BN$2,0,0,ROW()-1,60),ROW()-1,FALSE))</f>
        <v/>
      </c>
      <c r="AS145" t="str">
        <f ca="1">IF(AND(ISNUMBER($AS$816),$B$677=1),$AS$816,HLOOKUP(INDIRECT(ADDRESS(2,COLUMN())),OFFSET($BN$2,0,0,ROW()-1,60),ROW()-1,FALSE))</f>
        <v/>
      </c>
      <c r="AT145" t="str">
        <f ca="1">IF(AND(ISNUMBER($AT$816),$B$677=1),$AT$816,HLOOKUP(INDIRECT(ADDRESS(2,COLUMN())),OFFSET($BN$2,0,0,ROW()-1,60),ROW()-1,FALSE))</f>
        <v/>
      </c>
      <c r="AU145" t="str">
        <f ca="1">IF(AND(ISNUMBER($AU$816),$B$677=1),$AU$816,HLOOKUP(INDIRECT(ADDRESS(2,COLUMN())),OFFSET($BN$2,0,0,ROW()-1,60),ROW()-1,FALSE))</f>
        <v/>
      </c>
      <c r="AV145" t="str">
        <f ca="1">IF(AND(ISNUMBER($AV$816),$B$677=1),$AV$816,HLOOKUP(INDIRECT(ADDRESS(2,COLUMN())),OFFSET($BN$2,0,0,ROW()-1,60),ROW()-1,FALSE))</f>
        <v/>
      </c>
      <c r="AW145" t="str">
        <f ca="1">IF(AND(ISNUMBER($AW$816),$B$677=1),$AW$816,HLOOKUP(INDIRECT(ADDRESS(2,COLUMN())),OFFSET($BN$2,0,0,ROW()-1,60),ROW()-1,FALSE))</f>
        <v/>
      </c>
      <c r="AX145" t="str">
        <f ca="1">IF(AND(ISNUMBER($AX$816),$B$677=1),$AX$816,HLOOKUP(INDIRECT(ADDRESS(2,COLUMN())),OFFSET($BN$2,0,0,ROW()-1,60),ROW()-1,FALSE))</f>
        <v/>
      </c>
      <c r="AY145" t="str">
        <f ca="1">IF(AND(ISNUMBER($AY$816),$B$677=1),$AY$816,HLOOKUP(INDIRECT(ADDRESS(2,COLUMN())),OFFSET($BN$2,0,0,ROW()-1,60),ROW()-1,FALSE))</f>
        <v/>
      </c>
      <c r="AZ145" t="str">
        <f ca="1">IF(AND(ISNUMBER($AZ$816),$B$677=1),$AZ$816,HLOOKUP(INDIRECT(ADDRESS(2,COLUMN())),OFFSET($BN$2,0,0,ROW()-1,60),ROW()-1,FALSE))</f>
        <v/>
      </c>
      <c r="BA145" t="str">
        <f ca="1">IF(AND(ISNUMBER($BA$816),$B$677=1),$BA$816,HLOOKUP(INDIRECT(ADDRESS(2,COLUMN())),OFFSET($BN$2,0,0,ROW()-1,60),ROW()-1,FALSE))</f>
        <v/>
      </c>
      <c r="BB145" t="str">
        <f ca="1">IF(AND(ISNUMBER($BB$816),$B$677=1),$BB$816,HLOOKUP(INDIRECT(ADDRESS(2,COLUMN())),OFFSET($BN$2,0,0,ROW()-1,60),ROW()-1,FALSE))</f>
        <v/>
      </c>
      <c r="BC145" t="str">
        <f ca="1">IF(AND(ISNUMBER($BC$816),$B$677=1),$BC$816,HLOOKUP(INDIRECT(ADDRESS(2,COLUMN())),OFFSET($BN$2,0,0,ROW()-1,60),ROW()-1,FALSE))</f>
        <v/>
      </c>
      <c r="BD145" t="str">
        <f ca="1">IF(AND(ISNUMBER($BD$816),$B$677=1),$BD$816,HLOOKUP(INDIRECT(ADDRESS(2,COLUMN())),OFFSET($BN$2,0,0,ROW()-1,60),ROW()-1,FALSE))</f>
        <v/>
      </c>
      <c r="BE145" t="str">
        <f ca="1">IF(AND(ISNUMBER($BE$816),$B$677=1),$BE$816,HLOOKUP(INDIRECT(ADDRESS(2,COLUMN())),OFFSET($BN$2,0,0,ROW()-1,60),ROW()-1,FALSE))</f>
        <v/>
      </c>
      <c r="BF145" t="str">
        <f ca="1">IF(AND(ISNUMBER($BF$816),$B$677=1),$BF$816,HLOOKUP(INDIRECT(ADDRESS(2,COLUMN())),OFFSET($BN$2,0,0,ROW()-1,60),ROW()-1,FALSE))</f>
        <v/>
      </c>
      <c r="BG145" t="str">
        <f ca="1">IF(AND(ISNUMBER($BG$816),$B$677=1),$BG$816,HLOOKUP(INDIRECT(ADDRESS(2,COLUMN())),OFFSET($BN$2,0,0,ROW()-1,60),ROW()-1,FALSE))</f>
        <v/>
      </c>
      <c r="BH145" t="str">
        <f ca="1">IF(AND(ISNUMBER($BH$816),$B$677=1),$BH$816,HLOOKUP(INDIRECT(ADDRESS(2,COLUMN())),OFFSET($BN$2,0,0,ROW()-1,60),ROW()-1,FALSE))</f>
        <v/>
      </c>
      <c r="BI145" t="str">
        <f ca="1">IF(AND(ISNUMBER($BI$816),$B$677=1),$BI$816,HLOOKUP(INDIRECT(ADDRESS(2,COLUMN())),OFFSET($BN$2,0,0,ROW()-1,60),ROW()-1,FALSE))</f>
        <v/>
      </c>
      <c r="BJ145" t="str">
        <f ca="1">IF(AND(ISNUMBER($BJ$816),$B$677=1),$BJ$816,HLOOKUP(INDIRECT(ADDRESS(2,COLUMN())),OFFSET($BN$2,0,0,ROW()-1,60),ROW()-1,FALSE))</f>
        <v/>
      </c>
      <c r="BK145" t="str">
        <f ca="1">IF(AND(ISNUMBER($BK$816),$B$677=1),$BK$816,HLOOKUP(INDIRECT(ADDRESS(2,COLUMN())),OFFSET($BN$2,0,0,ROW()-1,60),ROW()-1,FALSE))</f>
        <v/>
      </c>
      <c r="BL145" t="str">
        <f ca="1">IF(AND(ISNUMBER($BL$816),$B$677=1),$BL$816,HLOOKUP(INDIRECT(ADDRESS(2,COLUMN())),OFFSET($BN$2,0,0,ROW()-1,60),ROW()-1,FALSE))</f>
        <v/>
      </c>
      <c r="BM145" t="str">
        <f ca="1">IF(AND(ISNUMBER($BM$816),$B$677=1),$BM$816,HLOOKUP(INDIRECT(ADDRESS(2,COLUMN())),OFFSET($BN$2,0,0,ROW()-1,60),ROW()-1,FALSE))</f>
        <v/>
      </c>
      <c r="BN145">
        <f>0.995278594</f>
        <v>0.99527859399999996</v>
      </c>
      <c r="BO145">
        <f>0.701489462</f>
        <v>0.70148946199999995</v>
      </c>
      <c r="BP145">
        <f>0.779207504</f>
        <v>0.77920750400000005</v>
      </c>
      <c r="BQ145">
        <f>0.903881165</f>
        <v>0.90388116500000004</v>
      </c>
      <c r="BR145">
        <f>1.127038522</f>
        <v>1.1270385220000001</v>
      </c>
      <c r="BS145">
        <f>1.384710378</f>
        <v>1.3847103780000001</v>
      </c>
      <c r="BT145">
        <f>1.584851391</f>
        <v>1.5848513909999999</v>
      </c>
      <c r="BU145">
        <f>1.639215525</f>
        <v>1.639215525</v>
      </c>
      <c r="BV145">
        <f>1.449751003</f>
        <v>1.449751003</v>
      </c>
      <c r="BW145">
        <f>1.250508097</f>
        <v>1.250508097</v>
      </c>
      <c r="BX145">
        <f>1.349303691</f>
        <v>1.349303691</v>
      </c>
      <c r="BY145">
        <f>1.208040504</f>
        <v>1.208040504</v>
      </c>
      <c r="BZ145">
        <f>1.173568274</f>
        <v>1.173568274</v>
      </c>
      <c r="CA145">
        <f>1.799906709</f>
        <v>1.799906709</v>
      </c>
      <c r="CB145">
        <f>1.915210877</f>
        <v>1.915210877</v>
      </c>
      <c r="CC145">
        <f>2.586756205</f>
        <v>2.5867562049999999</v>
      </c>
      <c r="CD145">
        <f>3.70608857</f>
        <v>3.7060885699999999</v>
      </c>
      <c r="CE145">
        <f>3.210904912</f>
        <v>3.2109049120000002</v>
      </c>
      <c r="CF145">
        <f>2.334141017</f>
        <v>2.3341410169999999</v>
      </c>
      <c r="CG145">
        <f>2.381021962</f>
        <v>2.3810219620000002</v>
      </c>
      <c r="CH145">
        <f>3.1626103</f>
        <v>3.1626102999999999</v>
      </c>
      <c r="CI145">
        <f>3.630629981</f>
        <v>3.6306299809999998</v>
      </c>
      <c r="CJ145">
        <f>3.89101478</f>
        <v>3.8910147799999999</v>
      </c>
      <c r="CK145">
        <f>3.374165965</f>
        <v>3.374165965</v>
      </c>
      <c r="CL145">
        <f>2.736095788</f>
        <v>2.7360957880000001</v>
      </c>
      <c r="CM145">
        <f>2.781356726</f>
        <v>2.7813567259999998</v>
      </c>
      <c r="CN145">
        <f>2.564921758</f>
        <v>2.5649217580000001</v>
      </c>
      <c r="CO145">
        <f>2.109032212</f>
        <v>2.1090322119999998</v>
      </c>
      <c r="CP145">
        <f>2.090085916</f>
        <v>2.090085916</v>
      </c>
      <c r="CQ145">
        <f>1.773803671</f>
        <v>1.773803671</v>
      </c>
      <c r="CR145">
        <f>1.418100191</f>
        <v>1.418100191</v>
      </c>
      <c r="CS145">
        <f>2.673546921</f>
        <v>2.6735469209999998</v>
      </c>
      <c r="CT145">
        <f>3.044759259</f>
        <v>3.0447592590000001</v>
      </c>
      <c r="CU145" t="str">
        <f>""</f>
        <v/>
      </c>
      <c r="CV145" t="str">
        <f>""</f>
        <v/>
      </c>
      <c r="CW145" t="str">
        <f>""</f>
        <v/>
      </c>
      <c r="CX145" t="str">
        <f>""</f>
        <v/>
      </c>
      <c r="CY145" t="str">
        <f>""</f>
        <v/>
      </c>
      <c r="CZ145" t="str">
        <f>""</f>
        <v/>
      </c>
      <c r="DA145" t="str">
        <f>""</f>
        <v/>
      </c>
      <c r="DB145" t="str">
        <f>""</f>
        <v/>
      </c>
      <c r="DC145" t="str">
        <f>""</f>
        <v/>
      </c>
      <c r="DD145" t="str">
        <f>""</f>
        <v/>
      </c>
      <c r="DE145" t="str">
        <f>""</f>
        <v/>
      </c>
      <c r="DF145" t="str">
        <f>""</f>
        <v/>
      </c>
      <c r="DG145" t="str">
        <f>""</f>
        <v/>
      </c>
      <c r="DH145" t="str">
        <f>""</f>
        <v/>
      </c>
      <c r="DI145" t="str">
        <f>""</f>
        <v/>
      </c>
      <c r="DJ145" t="str">
        <f>""</f>
        <v/>
      </c>
      <c r="DK145" t="str">
        <f>""</f>
        <v/>
      </c>
      <c r="DL145" t="str">
        <f>""</f>
        <v/>
      </c>
      <c r="DM145" t="str">
        <f>""</f>
        <v/>
      </c>
      <c r="DN145" t="str">
        <f>""</f>
        <v/>
      </c>
      <c r="DO145" t="str">
        <f>""</f>
        <v/>
      </c>
      <c r="DP145" t="str">
        <f>""</f>
        <v/>
      </c>
      <c r="DQ145" t="str">
        <f>""</f>
        <v/>
      </c>
      <c r="DR145" t="str">
        <f>""</f>
        <v/>
      </c>
      <c r="DS145" t="str">
        <f>""</f>
        <v/>
      </c>
      <c r="DT145" t="str">
        <f>""</f>
        <v/>
      </c>
      <c r="DU145" t="str">
        <f>""</f>
        <v/>
      </c>
    </row>
    <row r="146" spans="1:125" x14ac:dyDescent="0.25">
      <c r="A146" t="str">
        <f>"    Guangzhou Automobile Group Co Ltd"</f>
        <v xml:space="preserve">    Guangzhou Automobile Group Co Ltd</v>
      </c>
      <c r="B146" t="str">
        <f>"2238 HK Equity"</f>
        <v>2238 HK Equity</v>
      </c>
      <c r="C146" t="str">
        <f t="shared" si="9"/>
        <v>RR903</v>
      </c>
      <c r="D146" t="str">
        <f t="shared" si="10"/>
        <v>PX_TO_BOOK_RATIO</v>
      </c>
      <c r="E146" t="str">
        <f t="shared" si="11"/>
        <v>Dynamic</v>
      </c>
      <c r="F146">
        <f ca="1">IF(AND(ISNUMBER($F$817),$B$677=1),$F$817,HLOOKUP(INDIRECT(ADDRESS(2,COLUMN())),OFFSET($BN$2,0,0,ROW()-1,60),ROW()-1,FALSE))</f>
        <v>1.1441035639999999</v>
      </c>
      <c r="G146">
        <f ca="1">IF(AND(ISNUMBER($G$817),$B$677=1),$G$817,HLOOKUP(INDIRECT(ADDRESS(2,COLUMN())),OFFSET($BN$2,0,0,ROW()-1,60),ROW()-1,FALSE))</f>
        <v>0.92753002299999998</v>
      </c>
      <c r="H146">
        <f ca="1">IF(AND(ISNUMBER($H$817),$B$677=1),$H$817,HLOOKUP(INDIRECT(ADDRESS(2,COLUMN())),OFFSET($BN$2,0,0,ROW()-1,60),ROW()-1,FALSE))</f>
        <v>1.029138463</v>
      </c>
      <c r="I146">
        <f ca="1">IF(AND(ISNUMBER($I$817),$B$677=1),$I$817,HLOOKUP(INDIRECT(ADDRESS(2,COLUMN())),OFFSET($BN$2,0,0,ROW()-1,60),ROW()-1,FALSE))</f>
        <v>0.90112336100000001</v>
      </c>
      <c r="J146">
        <f ca="1">IF(AND(ISNUMBER($J$817),$B$677=1),$J$817,HLOOKUP(INDIRECT(ADDRESS(2,COLUMN())),OFFSET($BN$2,0,0,ROW()-1,60),ROW()-1,FALSE))</f>
        <v>1.15883863</v>
      </c>
      <c r="K146">
        <f ca="1">IF(AND(ISNUMBER($K$817),$B$677=1),$K$817,HLOOKUP(INDIRECT(ADDRESS(2,COLUMN())),OFFSET($BN$2,0,0,ROW()-1,60),ROW()-1,FALSE))</f>
        <v>1.621739515</v>
      </c>
      <c r="L146">
        <f ca="1">IF(AND(ISNUMBER($L$817),$B$677=1),$L$817,HLOOKUP(INDIRECT(ADDRESS(2,COLUMN())),OFFSET($BN$2,0,0,ROW()-1,60),ROW()-1,FALSE))</f>
        <v>1.9304107829999999</v>
      </c>
      <c r="M146">
        <f ca="1">IF(AND(ISNUMBER($M$817),$B$677=1),$M$817,HLOOKUP(INDIRECT(ADDRESS(2,COLUMN())),OFFSET($BN$2,0,0,ROW()-1,60),ROW()-1,FALSE))</f>
        <v>1.556298771</v>
      </c>
      <c r="N146">
        <f ca="1">IF(AND(ISNUMBER($N$817),$B$677=1),$N$817,HLOOKUP(INDIRECT(ADDRESS(2,COLUMN())),OFFSET($BN$2,0,0,ROW()-1,60),ROW()-1,FALSE))</f>
        <v>1.4972012290000001</v>
      </c>
      <c r="O146">
        <f ca="1">IF(AND(ISNUMBER($O$817),$B$677=1),$O$817,HLOOKUP(INDIRECT(ADDRESS(2,COLUMN())),OFFSET($BN$2,0,0,ROW()-1,60),ROW()-1,FALSE))</f>
        <v>1.2368414590000001</v>
      </c>
      <c r="P146">
        <f ca="1">IF(AND(ISNUMBER($P$817),$B$677=1),$P$817,HLOOKUP(INDIRECT(ADDRESS(2,COLUMN())),OFFSET($BN$2,0,0,ROW()-1,60),ROW()-1,FALSE))</f>
        <v>1.3340618209999999</v>
      </c>
      <c r="Q146">
        <f ca="1">IF(AND(ISNUMBER($Q$817),$B$677=1),$Q$817,HLOOKUP(INDIRECT(ADDRESS(2,COLUMN())),OFFSET($BN$2,0,0,ROW()-1,60),ROW()-1,FALSE))</f>
        <v>1.2201588350000001</v>
      </c>
      <c r="R146">
        <f ca="1">IF(AND(ISNUMBER($R$817),$B$677=1),$R$817,HLOOKUP(INDIRECT(ADDRESS(2,COLUMN())),OFFSET($BN$2,0,0,ROW()-1,60),ROW()-1,FALSE))</f>
        <v>1.056097219</v>
      </c>
      <c r="S146">
        <f ca="1">IF(AND(ISNUMBER($S$817),$B$677=1),$S$817,HLOOKUP(INDIRECT(ADDRESS(2,COLUMN())),OFFSET($BN$2,0,0,ROW()-1,60),ROW()-1,FALSE))</f>
        <v>0.964481056</v>
      </c>
      <c r="T146">
        <f ca="1">IF(AND(ISNUMBER($T$817),$B$677=1),$T$817,HLOOKUP(INDIRECT(ADDRESS(2,COLUMN())),OFFSET($BN$2,0,0,ROW()-1,60),ROW()-1,FALSE))</f>
        <v>0.90140807700000003</v>
      </c>
      <c r="U146">
        <f ca="1">IF(AND(ISNUMBER($U$817),$B$677=1),$U$817,HLOOKUP(INDIRECT(ADDRESS(2,COLUMN())),OFFSET($BN$2,0,0,ROW()-1,60),ROW()-1,FALSE))</f>
        <v>1.0106562109999999</v>
      </c>
      <c r="V146">
        <f ca="1">IF(AND(ISNUMBER($V$817),$B$677=1),$V$817,HLOOKUP(INDIRECT(ADDRESS(2,COLUMN())),OFFSET($BN$2,0,0,ROW()-1,60),ROW()-1,FALSE))</f>
        <v>1.0653875100000001</v>
      </c>
      <c r="W146">
        <f ca="1">IF(AND(ISNUMBER($W$817),$B$677=1),$W$817,HLOOKUP(INDIRECT(ADDRESS(2,COLUMN())),OFFSET($BN$2,0,0,ROW()-1,60),ROW()-1,FALSE))</f>
        <v>1.027409826</v>
      </c>
      <c r="X146">
        <f ca="1">IF(AND(ISNUMBER($X$817),$B$677=1),$X$817,HLOOKUP(INDIRECT(ADDRESS(2,COLUMN())),OFFSET($BN$2,0,0,ROW()-1,60),ROW()-1,FALSE))</f>
        <v>1.1114525689999999</v>
      </c>
      <c r="Y146">
        <f ca="1">IF(AND(ISNUMBER($Y$817),$B$677=1),$Y$817,HLOOKUP(INDIRECT(ADDRESS(2,COLUMN())),OFFSET($BN$2,0,0,ROW()-1,60),ROW()-1,FALSE))</f>
        <v>1.3470882449999999</v>
      </c>
      <c r="Z146">
        <f ca="1">IF(AND(ISNUMBER($Z$817),$B$677=1),$Z$817,HLOOKUP(INDIRECT(ADDRESS(2,COLUMN())),OFFSET($BN$2,0,0,ROW()-1,60),ROW()-1,FALSE))</f>
        <v>1.2327475290000001</v>
      </c>
      <c r="AA146">
        <f ca="1">IF(AND(ISNUMBER($AA$817),$B$677=1),$AA$817,HLOOKUP(INDIRECT(ADDRESS(2,COLUMN())),OFFSET($BN$2,0,0,ROW()-1,60),ROW()-1,FALSE))</f>
        <v>1.2807523510000001</v>
      </c>
      <c r="AB146">
        <f ca="1">IF(AND(ISNUMBER($AB$817),$B$677=1),$AB$817,HLOOKUP(INDIRECT(ADDRESS(2,COLUMN())),OFFSET($BN$2,0,0,ROW()-1,60),ROW()-1,FALSE))</f>
        <v>1.301528848</v>
      </c>
      <c r="AC146">
        <f ca="1">IF(AND(ISNUMBER($AC$817),$B$677=1),$AC$817,HLOOKUP(INDIRECT(ADDRESS(2,COLUMN())),OFFSET($BN$2,0,0,ROW()-1,60),ROW()-1,FALSE))</f>
        <v>1.1599331500000001</v>
      </c>
      <c r="AD146">
        <f ca="1">IF(AND(ISNUMBER($AD$817),$B$677=1),$AD$817,HLOOKUP(INDIRECT(ADDRESS(2,COLUMN())),OFFSET($BN$2,0,0,ROW()-1,60),ROW()-1,FALSE))</f>
        <v>1.072027493</v>
      </c>
      <c r="AE146">
        <f ca="1">IF(AND(ISNUMBER($AE$817),$B$677=1),$AE$817,HLOOKUP(INDIRECT(ADDRESS(2,COLUMN())),OFFSET($BN$2,0,0,ROW()-1,60),ROW()-1,FALSE))</f>
        <v>1.143858453</v>
      </c>
      <c r="AF146">
        <f ca="1">IF(AND(ISNUMBER($AF$817),$B$677=1),$AF$817,HLOOKUP(INDIRECT(ADDRESS(2,COLUMN())),OFFSET($BN$2,0,0,ROW()-1,60),ROW()-1,FALSE))</f>
        <v>0.83579034500000005</v>
      </c>
      <c r="AG146">
        <f ca="1">IF(AND(ISNUMBER($AG$817),$B$677=1),$AG$817,HLOOKUP(INDIRECT(ADDRESS(2,COLUMN())),OFFSET($BN$2,0,0,ROW()-1,60),ROW()-1,FALSE))</f>
        <v>1.064706047</v>
      </c>
      <c r="AH146">
        <f ca="1">IF(AND(ISNUMBER($AH$817),$B$677=1),$AH$817,HLOOKUP(INDIRECT(ADDRESS(2,COLUMN())),OFFSET($BN$2,0,0,ROW()-1,60),ROW()-1,FALSE))</f>
        <v>1.2336595539999999</v>
      </c>
      <c r="AI146">
        <f ca="1">IF(AND(ISNUMBER($AI$817),$B$677=1),$AI$817,HLOOKUP(INDIRECT(ADDRESS(2,COLUMN())),OFFSET($BN$2,0,0,ROW()-1,60),ROW()-1,FALSE))</f>
        <v>1.108236934</v>
      </c>
      <c r="AJ146">
        <f ca="1">IF(AND(ISNUMBER($AJ$817),$B$677=1),$AJ$817,HLOOKUP(INDIRECT(ADDRESS(2,COLUMN())),OFFSET($BN$2,0,0,ROW()-1,60),ROW()-1,FALSE))</f>
        <v>1.4079559820000001</v>
      </c>
      <c r="AK146">
        <f ca="1">IF(AND(ISNUMBER($AK$817),$B$677=1),$AK$817,HLOOKUP(INDIRECT(ADDRESS(2,COLUMN())),OFFSET($BN$2,0,0,ROW()-1,60),ROW()-1,FALSE))</f>
        <v>1.8242325340000001</v>
      </c>
      <c r="AL146">
        <f ca="1">IF(AND(ISNUMBER($AL$817),$B$677=1),$AL$817,HLOOKUP(INDIRECT(ADDRESS(2,COLUMN())),OFFSET($BN$2,0,0,ROW()-1,60),ROW()-1,FALSE))</f>
        <v>1.8119088430000001</v>
      </c>
      <c r="AM146">
        <f ca="1">IF(AND(ISNUMBER($AM$817),$B$677=1),$AM$817,HLOOKUP(INDIRECT(ADDRESS(2,COLUMN())),OFFSET($BN$2,0,0,ROW()-1,60),ROW()-1,FALSE))</f>
        <v>2.1859241620000001</v>
      </c>
      <c r="AN146">
        <f ca="1">IF(AND(ISNUMBER($AN$817),$B$677=1),$AN$817,HLOOKUP(INDIRECT(ADDRESS(2,COLUMN())),OFFSET($BN$2,0,0,ROW()-1,60),ROW()-1,FALSE))</f>
        <v>2.814125674</v>
      </c>
      <c r="AO146" t="str">
        <f ca="1">IF(AND(ISNUMBER($AO$817),$B$677=1),$AO$817,HLOOKUP(INDIRECT(ADDRESS(2,COLUMN())),OFFSET($BN$2,0,0,ROW()-1,60),ROW()-1,FALSE))</f>
        <v/>
      </c>
      <c r="AP146" t="str">
        <f ca="1">IF(AND(ISNUMBER($AP$817),$B$677=1),$AP$817,HLOOKUP(INDIRECT(ADDRESS(2,COLUMN())),OFFSET($BN$2,0,0,ROW()-1,60),ROW()-1,FALSE))</f>
        <v/>
      </c>
      <c r="AQ146" t="str">
        <f ca="1">IF(AND(ISNUMBER($AQ$817),$B$677=1),$AQ$817,HLOOKUP(INDIRECT(ADDRESS(2,COLUMN())),OFFSET($BN$2,0,0,ROW()-1,60),ROW()-1,FALSE))</f>
        <v/>
      </c>
      <c r="AR146" t="str">
        <f ca="1">IF(AND(ISNUMBER($AR$817),$B$677=1),$AR$817,HLOOKUP(INDIRECT(ADDRESS(2,COLUMN())),OFFSET($BN$2,0,0,ROW()-1,60),ROW()-1,FALSE))</f>
        <v/>
      </c>
      <c r="AS146" t="str">
        <f ca="1">IF(AND(ISNUMBER($AS$817),$B$677=1),$AS$817,HLOOKUP(INDIRECT(ADDRESS(2,COLUMN())),OFFSET($BN$2,0,0,ROW()-1,60),ROW()-1,FALSE))</f>
        <v/>
      </c>
      <c r="AT146" t="str">
        <f ca="1">IF(AND(ISNUMBER($AT$817),$B$677=1),$AT$817,HLOOKUP(INDIRECT(ADDRESS(2,COLUMN())),OFFSET($BN$2,0,0,ROW()-1,60),ROW()-1,FALSE))</f>
        <v/>
      </c>
      <c r="AU146" t="str">
        <f ca="1">IF(AND(ISNUMBER($AU$817),$B$677=1),$AU$817,HLOOKUP(INDIRECT(ADDRESS(2,COLUMN())),OFFSET($BN$2,0,0,ROW()-1,60),ROW()-1,FALSE))</f>
        <v/>
      </c>
      <c r="AV146" t="str">
        <f ca="1">IF(AND(ISNUMBER($AV$817),$B$677=1),$AV$817,HLOOKUP(INDIRECT(ADDRESS(2,COLUMN())),OFFSET($BN$2,0,0,ROW()-1,60),ROW()-1,FALSE))</f>
        <v/>
      </c>
      <c r="AW146" t="str">
        <f ca="1">IF(AND(ISNUMBER($AW$817),$B$677=1),$AW$817,HLOOKUP(INDIRECT(ADDRESS(2,COLUMN())),OFFSET($BN$2,0,0,ROW()-1,60),ROW()-1,FALSE))</f>
        <v/>
      </c>
      <c r="AX146" t="str">
        <f ca="1">IF(AND(ISNUMBER($AX$817),$B$677=1),$AX$817,HLOOKUP(INDIRECT(ADDRESS(2,COLUMN())),OFFSET($BN$2,0,0,ROW()-1,60),ROW()-1,FALSE))</f>
        <v/>
      </c>
      <c r="AY146" t="str">
        <f ca="1">IF(AND(ISNUMBER($AY$817),$B$677=1),$AY$817,HLOOKUP(INDIRECT(ADDRESS(2,COLUMN())),OFFSET($BN$2,0,0,ROW()-1,60),ROW()-1,FALSE))</f>
        <v/>
      </c>
      <c r="AZ146" t="str">
        <f ca="1">IF(AND(ISNUMBER($AZ$817),$B$677=1),$AZ$817,HLOOKUP(INDIRECT(ADDRESS(2,COLUMN())),OFFSET($BN$2,0,0,ROW()-1,60),ROW()-1,FALSE))</f>
        <v/>
      </c>
      <c r="BA146" t="str">
        <f ca="1">IF(AND(ISNUMBER($BA$817),$B$677=1),$BA$817,HLOOKUP(INDIRECT(ADDRESS(2,COLUMN())),OFFSET($BN$2,0,0,ROW()-1,60),ROW()-1,FALSE))</f>
        <v/>
      </c>
      <c r="BB146" t="str">
        <f ca="1">IF(AND(ISNUMBER($BB$817),$B$677=1),$BB$817,HLOOKUP(INDIRECT(ADDRESS(2,COLUMN())),OFFSET($BN$2,0,0,ROW()-1,60),ROW()-1,FALSE))</f>
        <v/>
      </c>
      <c r="BC146" t="str">
        <f ca="1">IF(AND(ISNUMBER($BC$817),$B$677=1),$BC$817,HLOOKUP(INDIRECT(ADDRESS(2,COLUMN())),OFFSET($BN$2,0,0,ROW()-1,60),ROW()-1,FALSE))</f>
        <v/>
      </c>
      <c r="BD146" t="str">
        <f ca="1">IF(AND(ISNUMBER($BD$817),$B$677=1),$BD$817,HLOOKUP(INDIRECT(ADDRESS(2,COLUMN())),OFFSET($BN$2,0,0,ROW()-1,60),ROW()-1,FALSE))</f>
        <v/>
      </c>
      <c r="BE146" t="str">
        <f ca="1">IF(AND(ISNUMBER($BE$817),$B$677=1),$BE$817,HLOOKUP(INDIRECT(ADDRESS(2,COLUMN())),OFFSET($BN$2,0,0,ROW()-1,60),ROW()-1,FALSE))</f>
        <v/>
      </c>
      <c r="BF146" t="str">
        <f ca="1">IF(AND(ISNUMBER($BF$817),$B$677=1),$BF$817,HLOOKUP(INDIRECT(ADDRESS(2,COLUMN())),OFFSET($BN$2,0,0,ROW()-1,60),ROW()-1,FALSE))</f>
        <v/>
      </c>
      <c r="BG146" t="str">
        <f ca="1">IF(AND(ISNUMBER($BG$817),$B$677=1),$BG$817,HLOOKUP(INDIRECT(ADDRESS(2,COLUMN())),OFFSET($BN$2,0,0,ROW()-1,60),ROW()-1,FALSE))</f>
        <v/>
      </c>
      <c r="BH146" t="str">
        <f ca="1">IF(AND(ISNUMBER($BH$817),$B$677=1),$BH$817,HLOOKUP(INDIRECT(ADDRESS(2,COLUMN())),OFFSET($BN$2,0,0,ROW()-1,60),ROW()-1,FALSE))</f>
        <v/>
      </c>
      <c r="BI146" t="str">
        <f ca="1">IF(AND(ISNUMBER($BI$817),$B$677=1),$BI$817,HLOOKUP(INDIRECT(ADDRESS(2,COLUMN())),OFFSET($BN$2,0,0,ROW()-1,60),ROW()-1,FALSE))</f>
        <v/>
      </c>
      <c r="BJ146" t="str">
        <f ca="1">IF(AND(ISNUMBER($BJ$817),$B$677=1),$BJ$817,HLOOKUP(INDIRECT(ADDRESS(2,COLUMN())),OFFSET($BN$2,0,0,ROW()-1,60),ROW()-1,FALSE))</f>
        <v/>
      </c>
      <c r="BK146" t="str">
        <f ca="1">IF(AND(ISNUMBER($BK$817),$B$677=1),$BK$817,HLOOKUP(INDIRECT(ADDRESS(2,COLUMN())),OFFSET($BN$2,0,0,ROW()-1,60),ROW()-1,FALSE))</f>
        <v/>
      </c>
      <c r="BL146" t="str">
        <f ca="1">IF(AND(ISNUMBER($BL$817),$B$677=1),$BL$817,HLOOKUP(INDIRECT(ADDRESS(2,COLUMN())),OFFSET($BN$2,0,0,ROW()-1,60),ROW()-1,FALSE))</f>
        <v/>
      </c>
      <c r="BM146" t="str">
        <f ca="1">IF(AND(ISNUMBER($BM$817),$B$677=1),$BM$817,HLOOKUP(INDIRECT(ADDRESS(2,COLUMN())),OFFSET($BN$2,0,0,ROW()-1,60),ROW()-1,FALSE))</f>
        <v/>
      </c>
      <c r="BN146">
        <f>1.144103564</f>
        <v>1.1441035639999999</v>
      </c>
      <c r="BO146">
        <f>0.927530023</f>
        <v>0.92753002299999998</v>
      </c>
      <c r="BP146">
        <f>1.029138463</f>
        <v>1.029138463</v>
      </c>
      <c r="BQ146">
        <f>0.901123361</f>
        <v>0.90112336100000001</v>
      </c>
      <c r="BR146">
        <f>1.15883863</f>
        <v>1.15883863</v>
      </c>
      <c r="BS146">
        <f>1.621739515</f>
        <v>1.621739515</v>
      </c>
      <c r="BT146">
        <f>1.930410783</f>
        <v>1.9304107829999999</v>
      </c>
      <c r="BU146">
        <f>1.556298771</f>
        <v>1.556298771</v>
      </c>
      <c r="BV146">
        <f>1.497201229</f>
        <v>1.4972012290000001</v>
      </c>
      <c r="BW146">
        <f>1.236841459</f>
        <v>1.2368414590000001</v>
      </c>
      <c r="BX146">
        <f>1.334061821</f>
        <v>1.3340618209999999</v>
      </c>
      <c r="BY146">
        <f>1.220158835</f>
        <v>1.2201588350000001</v>
      </c>
      <c r="BZ146">
        <f>1.056097219</f>
        <v>1.056097219</v>
      </c>
      <c r="CA146">
        <f>0.964481056</f>
        <v>0.964481056</v>
      </c>
      <c r="CB146">
        <f>0.901408077</f>
        <v>0.90140807700000003</v>
      </c>
      <c r="CC146">
        <f>1.010656211</f>
        <v>1.0106562109999999</v>
      </c>
      <c r="CD146">
        <f>1.06538751</f>
        <v>1.0653875100000001</v>
      </c>
      <c r="CE146">
        <f>1.027409826</f>
        <v>1.027409826</v>
      </c>
      <c r="CF146">
        <f>1.111452569</f>
        <v>1.1114525689999999</v>
      </c>
      <c r="CG146">
        <f>1.347088245</f>
        <v>1.3470882449999999</v>
      </c>
      <c r="CH146">
        <f>1.232747529</f>
        <v>1.2327475290000001</v>
      </c>
      <c r="CI146">
        <f>1.280752351</f>
        <v>1.2807523510000001</v>
      </c>
      <c r="CJ146">
        <f>1.301528848</f>
        <v>1.301528848</v>
      </c>
      <c r="CK146">
        <f>1.15993315</f>
        <v>1.1599331500000001</v>
      </c>
      <c r="CL146">
        <f>1.072027493</f>
        <v>1.072027493</v>
      </c>
      <c r="CM146">
        <f>1.143858453</f>
        <v>1.143858453</v>
      </c>
      <c r="CN146">
        <f>0.835790345</f>
        <v>0.83579034500000005</v>
      </c>
      <c r="CO146">
        <f>1.064706047</f>
        <v>1.064706047</v>
      </c>
      <c r="CP146">
        <f>1.233659554</f>
        <v>1.2336595539999999</v>
      </c>
      <c r="CQ146">
        <f>1.108236934</f>
        <v>1.108236934</v>
      </c>
      <c r="CR146">
        <f>1.407955982</f>
        <v>1.4079559820000001</v>
      </c>
      <c r="CS146">
        <f>1.824232534</f>
        <v>1.8242325340000001</v>
      </c>
      <c r="CT146">
        <f>1.811908843</f>
        <v>1.8119088430000001</v>
      </c>
      <c r="CU146">
        <f>2.185924162</f>
        <v>2.1859241620000001</v>
      </c>
      <c r="CV146">
        <f>2.814125674</f>
        <v>2.814125674</v>
      </c>
      <c r="CW146" t="str">
        <f>""</f>
        <v/>
      </c>
      <c r="CX146" t="str">
        <f>""</f>
        <v/>
      </c>
      <c r="CY146" t="str">
        <f>""</f>
        <v/>
      </c>
      <c r="CZ146" t="str">
        <f>""</f>
        <v/>
      </c>
      <c r="DA146" t="str">
        <f>""</f>
        <v/>
      </c>
      <c r="DB146" t="str">
        <f>""</f>
        <v/>
      </c>
      <c r="DC146" t="str">
        <f>""</f>
        <v/>
      </c>
      <c r="DD146" t="str">
        <f>""</f>
        <v/>
      </c>
      <c r="DE146" t="str">
        <f>""</f>
        <v/>
      </c>
      <c r="DF146" t="str">
        <f>""</f>
        <v/>
      </c>
      <c r="DG146" t="str">
        <f>""</f>
        <v/>
      </c>
      <c r="DH146" t="str">
        <f>""</f>
        <v/>
      </c>
      <c r="DI146" t="str">
        <f>""</f>
        <v/>
      </c>
      <c r="DJ146" t="str">
        <f>""</f>
        <v/>
      </c>
      <c r="DK146" t="str">
        <f>""</f>
        <v/>
      </c>
      <c r="DL146" t="str">
        <f>""</f>
        <v/>
      </c>
      <c r="DM146" t="str">
        <f>""</f>
        <v/>
      </c>
      <c r="DN146" t="str">
        <f>""</f>
        <v/>
      </c>
      <c r="DO146" t="str">
        <f>""</f>
        <v/>
      </c>
      <c r="DP146" t="str">
        <f>""</f>
        <v/>
      </c>
      <c r="DQ146" t="str">
        <f>""</f>
        <v/>
      </c>
      <c r="DR146" t="str">
        <f>""</f>
        <v/>
      </c>
      <c r="DS146" t="str">
        <f>""</f>
        <v/>
      </c>
      <c r="DT146" t="str">
        <f>""</f>
        <v/>
      </c>
      <c r="DU146" t="str">
        <f>""</f>
        <v/>
      </c>
    </row>
    <row r="147" spans="1:125" x14ac:dyDescent="0.25">
      <c r="A147" t="str">
        <f>"    Honda Motor Co Ltd"</f>
        <v xml:space="preserve">    Honda Motor Co Ltd</v>
      </c>
      <c r="B147" t="str">
        <f>"7267 JP Equity"</f>
        <v>7267 JP Equity</v>
      </c>
      <c r="C147" t="str">
        <f t="shared" si="9"/>
        <v>RR903</v>
      </c>
      <c r="D147" t="str">
        <f t="shared" si="10"/>
        <v>PX_TO_BOOK_RATIO</v>
      </c>
      <c r="E147" t="str">
        <f t="shared" si="11"/>
        <v>Dynamic</v>
      </c>
      <c r="F147">
        <f ca="1">IF(AND(ISNUMBER($F$818),$B$677=1),$F$818,HLOOKUP(INDIRECT(ADDRESS(2,COLUMN())),OFFSET($BN$2,0,0,ROW()-1,60),ROW()-1,FALSE))</f>
        <v>0.66356170299999995</v>
      </c>
      <c r="G147">
        <f ca="1">IF(AND(ISNUMBER($G$818),$B$677=1),$G$818,HLOOKUP(INDIRECT(ADDRESS(2,COLUMN())),OFFSET($BN$2,0,0,ROW()-1,60),ROW()-1,FALSE))</f>
        <v>0.61461739199999998</v>
      </c>
      <c r="H147">
        <f ca="1">IF(AND(ISNUMBER($H$818),$B$677=1),$H$818,HLOOKUP(INDIRECT(ADDRESS(2,COLUMN())),OFFSET($BN$2,0,0,ROW()-1,60),ROW()-1,FALSE))</f>
        <v>0.723556482</v>
      </c>
      <c r="I147">
        <f ca="1">IF(AND(ISNUMBER($I$818),$B$677=1),$I$818,HLOOKUP(INDIRECT(ADDRESS(2,COLUMN())),OFFSET($BN$2,0,0,ROW()-1,60),ROW()-1,FALSE))</f>
        <v>0.70945052900000005</v>
      </c>
      <c r="J147">
        <f ca="1">IF(AND(ISNUMBER($J$818),$B$677=1),$J$818,HLOOKUP(INDIRECT(ADDRESS(2,COLUMN())),OFFSET($BN$2,0,0,ROW()-1,60),ROW()-1,FALSE))</f>
        <v>0.82037759200000004</v>
      </c>
      <c r="K147">
        <f ca="1">IF(AND(ISNUMBER($K$818),$B$677=1),$K$818,HLOOKUP(INDIRECT(ADDRESS(2,COLUMN())),OFFSET($BN$2,0,0,ROW()-1,60),ROW()-1,FALSE))</f>
        <v>0.84255097400000001</v>
      </c>
      <c r="L147">
        <f ca="1">IF(AND(ISNUMBER($L$818),$B$677=1),$L$818,HLOOKUP(INDIRECT(ADDRESS(2,COLUMN())),OFFSET($BN$2,0,0,ROW()-1,60),ROW()-1,FALSE))</f>
        <v>0.78055738699999999</v>
      </c>
      <c r="M147">
        <f ca="1">IF(AND(ISNUMBER($M$818),$B$677=1),$M$818,HLOOKUP(INDIRECT(ADDRESS(2,COLUMN())),OFFSET($BN$2,0,0,ROW()-1,60),ROW()-1,FALSE))</f>
        <v>0.73906081099999998</v>
      </c>
      <c r="N147">
        <f ca="1">IF(AND(ISNUMBER($N$818),$B$677=1),$N$818,HLOOKUP(INDIRECT(ADDRESS(2,COLUMN())),OFFSET($BN$2,0,0,ROW()-1,60),ROW()-1,FALSE))</f>
        <v>0.827854223</v>
      </c>
      <c r="O147">
        <f ca="1">IF(AND(ISNUMBER($O$818),$B$677=1),$O$818,HLOOKUP(INDIRECT(ADDRESS(2,COLUMN())),OFFSET($BN$2,0,0,ROW()-1,60),ROW()-1,FALSE))</f>
        <v>0.84269084699999997</v>
      </c>
      <c r="P147">
        <f ca="1">IF(AND(ISNUMBER($P$818),$B$677=1),$P$818,HLOOKUP(INDIRECT(ADDRESS(2,COLUMN())),OFFSET($BN$2,0,0,ROW()-1,60),ROW()-1,FALSE))</f>
        <v>0.79275826000000005</v>
      </c>
      <c r="Q147">
        <f ca="1">IF(AND(ISNUMBER($Q$818),$B$677=1),$Q$818,HLOOKUP(INDIRECT(ADDRESS(2,COLUMN())),OFFSET($BN$2,0,0,ROW()-1,60),ROW()-1,FALSE))</f>
        <v>0.71361928100000005</v>
      </c>
      <c r="R147">
        <f ca="1">IF(AND(ISNUMBER($R$818),$B$677=1),$R$818,HLOOKUP(INDIRECT(ADDRESS(2,COLUMN())),OFFSET($BN$2,0,0,ROW()-1,60),ROW()-1,FALSE))</f>
        <v>0.82258405000000001</v>
      </c>
      <c r="S147">
        <f ca="1">IF(AND(ISNUMBER($S$818),$B$677=1),$S$818,HLOOKUP(INDIRECT(ADDRESS(2,COLUMN())),OFFSET($BN$2,0,0,ROW()-1,60),ROW()-1,FALSE))</f>
        <v>0.97369639900000005</v>
      </c>
      <c r="T147">
        <f ca="1">IF(AND(ISNUMBER($T$818),$B$677=1),$T$818,HLOOKUP(INDIRECT(ADDRESS(2,COLUMN())),OFFSET($BN$2,0,0,ROW()-1,60),ROW()-1,FALSE))</f>
        <v>0.89339124800000003</v>
      </c>
      <c r="U147">
        <f ca="1">IF(AND(ISNUMBER($U$818),$B$677=1),$U$818,HLOOKUP(INDIRECT(ADDRESS(2,COLUMN())),OFFSET($BN$2,0,0,ROW()-1,60),ROW()-1,FALSE))</f>
        <v>0.97205587199999999</v>
      </c>
      <c r="V147">
        <f ca="1">IF(AND(ISNUMBER($V$818),$B$677=1),$V$818,HLOOKUP(INDIRECT(ADDRESS(2,COLUMN())),OFFSET($BN$2,0,0,ROW()-1,60),ROW()-1,FALSE))</f>
        <v>1.04577093</v>
      </c>
      <c r="W147">
        <f ca="1">IF(AND(ISNUMBER($W$818),$B$677=1),$W$818,HLOOKUP(INDIRECT(ADDRESS(2,COLUMN())),OFFSET($BN$2,0,0,ROW()-1,60),ROW()-1,FALSE))</f>
        <v>0.93689842499999998</v>
      </c>
      <c r="X147">
        <f ca="1">IF(AND(ISNUMBER($X$818),$B$677=1),$X$818,HLOOKUP(INDIRECT(ADDRESS(2,COLUMN())),OFFSET($BN$2,0,0,ROW()-1,60),ROW()-1,FALSE))</f>
        <v>1.0849401809999999</v>
      </c>
      <c r="Y147">
        <f ca="1">IF(AND(ISNUMBER($Y$818),$B$677=1),$Y$818,HLOOKUP(INDIRECT(ADDRESS(2,COLUMN())),OFFSET($BN$2,0,0,ROW()-1,60),ROW()-1,FALSE))</f>
        <v>1.0663581550000001</v>
      </c>
      <c r="Z147">
        <f ca="1">IF(AND(ISNUMBER($Z$818),$B$677=1),$Z$818,HLOOKUP(INDIRECT(ADDRESS(2,COLUMN())),OFFSET($BN$2,0,0,ROW()-1,60),ROW()-1,FALSE))</f>
        <v>1.1065297249999999</v>
      </c>
      <c r="AA147">
        <f ca="1">IF(AND(ISNUMBER($AA$818),$B$677=1),$AA$818,HLOOKUP(INDIRECT(ADDRESS(2,COLUMN())),OFFSET($BN$2,0,0,ROW()-1,60),ROW()-1,FALSE))</f>
        <v>1.3503953630000001</v>
      </c>
      <c r="AB147">
        <f ca="1">IF(AND(ISNUMBER($AB$818),$B$677=1),$AB$818,HLOOKUP(INDIRECT(ADDRESS(2,COLUMN())),OFFSET($BN$2,0,0,ROW()-1,60),ROW()-1,FALSE))</f>
        <v>1.2291051049999999</v>
      </c>
      <c r="AC147">
        <f ca="1">IF(AND(ISNUMBER($AC$818),$B$677=1),$AC$818,HLOOKUP(INDIRECT(ADDRESS(2,COLUMN())),OFFSET($BN$2,0,0,ROW()-1,60),ROW()-1,FALSE))</f>
        <v>1.2472810969999999</v>
      </c>
      <c r="AD147">
        <f ca="1">IF(AND(ISNUMBER($AD$818),$B$677=1),$AD$818,HLOOKUP(INDIRECT(ADDRESS(2,COLUMN())),OFFSET($BN$2,0,0,ROW()-1,60),ROW()-1,FALSE))</f>
        <v>1.2718999740000001</v>
      </c>
      <c r="AE147">
        <f ca="1">IF(AND(ISNUMBER($AE$818),$B$677=1),$AE$818,HLOOKUP(INDIRECT(ADDRESS(2,COLUMN())),OFFSET($BN$2,0,0,ROW()-1,60),ROW()-1,FALSE))</f>
        <v>1.2061149419999999</v>
      </c>
      <c r="AF147">
        <f ca="1">IF(AND(ISNUMBER($AF$818),$B$677=1),$AF$818,HLOOKUP(INDIRECT(ADDRESS(2,COLUMN())),OFFSET($BN$2,0,0,ROW()-1,60),ROW()-1,FALSE))</f>
        <v>0.98277939800000003</v>
      </c>
      <c r="AG147">
        <f ca="1">IF(AND(ISNUMBER($AG$818),$B$677=1),$AG$818,HLOOKUP(INDIRECT(ADDRESS(2,COLUMN())),OFFSET($BN$2,0,0,ROW()-1,60),ROW()-1,FALSE))</f>
        <v>1.1134776280000001</v>
      </c>
      <c r="AH147">
        <f ca="1">IF(AND(ISNUMBER($AH$818),$B$677=1),$AH$818,HLOOKUP(INDIRECT(ADDRESS(2,COLUMN())),OFFSET($BN$2,0,0,ROW()-1,60),ROW()-1,FALSE))</f>
        <v>1.2874696969999999</v>
      </c>
      <c r="AI147">
        <f ca="1">IF(AND(ISNUMBER($AI$818),$B$677=1),$AI$818,HLOOKUP(INDIRECT(ADDRESS(2,COLUMN())),OFFSET($BN$2,0,0,ROW()-1,60),ROW()-1,FALSE))</f>
        <v>0.99680072900000005</v>
      </c>
      <c r="AJ147">
        <f ca="1">IF(AND(ISNUMBER($AJ$818),$B$677=1),$AJ$818,HLOOKUP(INDIRECT(ADDRESS(2,COLUMN())),OFFSET($BN$2,0,0,ROW()-1,60),ROW()-1,FALSE))</f>
        <v>0.96421255500000003</v>
      </c>
      <c r="AK147">
        <f ca="1">IF(AND(ISNUMBER($AK$818),$B$677=1),$AK$818,HLOOKUP(INDIRECT(ADDRESS(2,COLUMN())),OFFSET($BN$2,0,0,ROW()-1,60),ROW()-1,FALSE))</f>
        <v>1.2569868479999999</v>
      </c>
      <c r="AL147">
        <f ca="1">IF(AND(ISNUMBER($AL$818),$B$677=1),$AL$818,HLOOKUP(INDIRECT(ADDRESS(2,COLUMN())),OFFSET($BN$2,0,0,ROW()-1,60),ROW()-1,FALSE))</f>
        <v>1.265668427</v>
      </c>
      <c r="AM147">
        <f ca="1">IF(AND(ISNUMBER($AM$818),$B$677=1),$AM$818,HLOOKUP(INDIRECT(ADDRESS(2,COLUMN())),OFFSET($BN$2,0,0,ROW()-1,60),ROW()-1,FALSE))</f>
        <v>1.320365161</v>
      </c>
      <c r="AN147">
        <f ca="1">IF(AND(ISNUMBER($AN$818),$B$677=1),$AN$818,HLOOKUP(INDIRECT(ADDRESS(2,COLUMN())),OFFSET($BN$2,0,0,ROW()-1,60),ROW()-1,FALSE))</f>
        <v>1.2196832369999999</v>
      </c>
      <c r="AO147">
        <f ca="1">IF(AND(ISNUMBER($AO$818),$B$677=1),$AO$818,HLOOKUP(INDIRECT(ADDRESS(2,COLUMN())),OFFSET($BN$2,0,0,ROW()-1,60),ROW()-1,FALSE))</f>
        <v>1.0658399110000001</v>
      </c>
      <c r="AP147">
        <f ca="1">IF(AND(ISNUMBER($AP$818),$B$677=1),$AP$818,HLOOKUP(INDIRECT(ADDRESS(2,COLUMN())),OFFSET($BN$2,0,0,ROW()-1,60),ROW()-1,FALSE))</f>
        <v>1.3833880919999999</v>
      </c>
      <c r="AQ147">
        <f ca="1">IF(AND(ISNUMBER($AQ$818),$B$677=1),$AQ$818,HLOOKUP(INDIRECT(ADDRESS(2,COLUMN())),OFFSET($BN$2,0,0,ROW()-1,60),ROW()-1,FALSE))</f>
        <v>1.3438343500000001</v>
      </c>
      <c r="AR147">
        <f ca="1">IF(AND(ISNUMBER($AR$818),$B$677=1),$AR$818,HLOOKUP(INDIRECT(ADDRESS(2,COLUMN())),OFFSET($BN$2,0,0,ROW()-1,60),ROW()-1,FALSE))</f>
        <v>1.2447983469999999</v>
      </c>
      <c r="AS147">
        <f ca="1">IF(AND(ISNUMBER($AS$818),$B$677=1),$AS$818,HLOOKUP(INDIRECT(ADDRESS(2,COLUMN())),OFFSET($BN$2,0,0,ROW()-1,60),ROW()-1,FALSE))</f>
        <v>1.188651457</v>
      </c>
      <c r="AT147">
        <f ca="1">IF(AND(ISNUMBER($AT$818),$B$677=1),$AT$818,HLOOKUP(INDIRECT(ADDRESS(2,COLUMN())),OFFSET($BN$2,0,0,ROW()-1,60),ROW()-1,FALSE))</f>
        <v>1.048294965</v>
      </c>
      <c r="AU147">
        <f ca="1">IF(AND(ISNUMBER($AU$818),$B$677=1),$AU$818,HLOOKUP(INDIRECT(ADDRESS(2,COLUMN())),OFFSET($BN$2,0,0,ROW()-1,60),ROW()-1,FALSE))</f>
        <v>0.81258790299999994</v>
      </c>
      <c r="AV147">
        <f ca="1">IF(AND(ISNUMBER($AV$818),$B$677=1),$AV$818,HLOOKUP(INDIRECT(ADDRESS(2,COLUMN())),OFFSET($BN$2,0,0,ROW()-1,60),ROW()-1,FALSE))</f>
        <v>1.1774018310000001</v>
      </c>
      <c r="AW147">
        <f ca="1">IF(AND(ISNUMBER($AW$818),$B$677=1),$AW$818,HLOOKUP(INDIRECT(ADDRESS(2,COLUMN())),OFFSET($BN$2,0,0,ROW()-1,60),ROW()-1,FALSE))</f>
        <v>1.375508043</v>
      </c>
      <c r="AX147">
        <f ca="1">IF(AND(ISNUMBER($AX$818),$B$677=1),$AX$818,HLOOKUP(INDIRECT(ADDRESS(2,COLUMN())),OFFSET($BN$2,0,0,ROW()-1,60),ROW()-1,FALSE))</f>
        <v>1.136016567</v>
      </c>
      <c r="AY147">
        <f ca="1">IF(AND(ISNUMBER($AY$818),$B$677=1),$AY$818,HLOOKUP(INDIRECT(ADDRESS(2,COLUMN())),OFFSET($BN$2,0,0,ROW()-1,60),ROW()-1,FALSE))</f>
        <v>1.3721572879999999</v>
      </c>
      <c r="AZ147">
        <f ca="1">IF(AND(ISNUMBER($AZ$818),$B$677=1),$AZ$818,HLOOKUP(INDIRECT(ADDRESS(2,COLUMN())),OFFSET($BN$2,0,0,ROW()-1,60),ROW()-1,FALSE))</f>
        <v>1.447500708</v>
      </c>
      <c r="BA147">
        <f ca="1">IF(AND(ISNUMBER($BA$818),$B$677=1),$BA$818,HLOOKUP(INDIRECT(ADDRESS(2,COLUMN())),OFFSET($BN$2,0,0,ROW()-1,60),ROW()-1,FALSE))</f>
        <v>1.7174112580000001</v>
      </c>
      <c r="BB147">
        <f ca="1">IF(AND(ISNUMBER($BB$818),$B$677=1),$BB$818,HLOOKUP(INDIRECT(ADDRESS(2,COLUMN())),OFFSET($BN$2,0,0,ROW()-1,60),ROW()-1,FALSE))</f>
        <v>1.670542202</v>
      </c>
      <c r="BC147">
        <f ca="1">IF(AND(ISNUMBER($BC$818),$B$677=1),$BC$818,HLOOKUP(INDIRECT(ADDRESS(2,COLUMN())),OFFSET($BN$2,0,0,ROW()-1,60),ROW()-1,FALSE))</f>
        <v>1.9041059769999999</v>
      </c>
      <c r="BD147">
        <f ca="1">IF(AND(ISNUMBER($BD$818),$B$677=1),$BD$818,HLOOKUP(INDIRECT(ADDRESS(2,COLUMN())),OFFSET($BN$2,0,0,ROW()-1,60),ROW()-1,FALSE))</f>
        <v>1.661780445</v>
      </c>
      <c r="BE147">
        <f ca="1">IF(AND(ISNUMBER($BE$818),$B$677=1),$BE$818,HLOOKUP(INDIRECT(ADDRESS(2,COLUMN())),OFFSET($BN$2,0,0,ROW()-1,60),ROW()-1,FALSE))</f>
        <v>1.5790572220000001</v>
      </c>
      <c r="BF147">
        <f ca="1">IF(AND(ISNUMBER($BF$818),$B$677=1),$BF$818,HLOOKUP(INDIRECT(ADDRESS(2,COLUMN())),OFFSET($BN$2,0,0,ROW()-1,60),ROW()-1,FALSE))</f>
        <v>1.6133586740000001</v>
      </c>
      <c r="BG147">
        <f ca="1">IF(AND(ISNUMBER($BG$818),$B$677=1),$BG$818,HLOOKUP(INDIRECT(ADDRESS(2,COLUMN())),OFFSET($BN$2,0,0,ROW()-1,60),ROW()-1,FALSE))</f>
        <v>1.6166963860000001</v>
      </c>
      <c r="BH147">
        <f ca="1">IF(AND(ISNUMBER($BH$818),$B$677=1),$BH$818,HLOOKUP(INDIRECT(ADDRESS(2,COLUMN())),OFFSET($BN$2,0,0,ROW()-1,60),ROW()-1,FALSE))</f>
        <v>1.630405334</v>
      </c>
      <c r="BI147">
        <f ca="1">IF(AND(ISNUMBER($BI$818),$B$677=1),$BI$818,HLOOKUP(INDIRECT(ADDRESS(2,COLUMN())),OFFSET($BN$2,0,0,ROW()-1,60),ROW()-1,FALSE))</f>
        <v>1.535220072</v>
      </c>
      <c r="BJ147">
        <f ca="1">IF(AND(ISNUMBER($BJ$818),$B$677=1),$BJ$818,HLOOKUP(INDIRECT(ADDRESS(2,COLUMN())),OFFSET($BN$2,0,0,ROW()-1,60),ROW()-1,FALSE))</f>
        <v>1.509914247</v>
      </c>
      <c r="BK147">
        <f ca="1">IF(AND(ISNUMBER($BK$818),$B$677=1),$BK$818,HLOOKUP(INDIRECT(ADDRESS(2,COLUMN())),OFFSET($BN$2,0,0,ROW()-1,60),ROW()-1,FALSE))</f>
        <v>1.5527203000000001</v>
      </c>
      <c r="BL147">
        <f ca="1">IF(AND(ISNUMBER($BL$818),$B$677=1),$BL$818,HLOOKUP(INDIRECT(ADDRESS(2,COLUMN())),OFFSET($BN$2,0,0,ROW()-1,60),ROW()-1,FALSE))</f>
        <v>1.591463801</v>
      </c>
      <c r="BM147">
        <f ca="1">IF(AND(ISNUMBER($BM$818),$B$677=1),$BM$818,HLOOKUP(INDIRECT(ADDRESS(2,COLUMN())),OFFSET($BN$2,0,0,ROW()-1,60),ROW()-1,FALSE))</f>
        <v>1.7316468570000001</v>
      </c>
      <c r="BN147">
        <f>0.663561703</f>
        <v>0.66356170299999995</v>
      </c>
      <c r="BO147">
        <f>0.614617392</f>
        <v>0.61461739199999998</v>
      </c>
      <c r="BP147">
        <f>0.723556482</f>
        <v>0.723556482</v>
      </c>
      <c r="BQ147">
        <f>0.709450529</f>
        <v>0.70945052900000005</v>
      </c>
      <c r="BR147">
        <f>0.820377592</f>
        <v>0.82037759200000004</v>
      </c>
      <c r="BS147">
        <f>0.842550974</f>
        <v>0.84255097400000001</v>
      </c>
      <c r="BT147">
        <f>0.780557387</f>
        <v>0.78055738699999999</v>
      </c>
      <c r="BU147">
        <f>0.739060811</f>
        <v>0.73906081099999998</v>
      </c>
      <c r="BV147">
        <f>0.827854223</f>
        <v>0.827854223</v>
      </c>
      <c r="BW147">
        <f>0.842690847</f>
        <v>0.84269084699999997</v>
      </c>
      <c r="BX147">
        <f>0.79275826</f>
        <v>0.79275826000000005</v>
      </c>
      <c r="BY147">
        <f>0.713619281</f>
        <v>0.71361928100000005</v>
      </c>
      <c r="BZ147">
        <f>0.82258405</f>
        <v>0.82258405000000001</v>
      </c>
      <c r="CA147">
        <f>0.973696399</f>
        <v>0.97369639900000005</v>
      </c>
      <c r="CB147">
        <f>0.893391248</f>
        <v>0.89339124800000003</v>
      </c>
      <c r="CC147">
        <f>0.972055872</f>
        <v>0.97205587199999999</v>
      </c>
      <c r="CD147">
        <f>1.04577093</f>
        <v>1.04577093</v>
      </c>
      <c r="CE147">
        <f>0.936898425</f>
        <v>0.93689842499999998</v>
      </c>
      <c r="CF147">
        <f>1.084940181</f>
        <v>1.0849401809999999</v>
      </c>
      <c r="CG147">
        <f>1.066358155</f>
        <v>1.0663581550000001</v>
      </c>
      <c r="CH147">
        <f>1.106529725</f>
        <v>1.1065297249999999</v>
      </c>
      <c r="CI147">
        <f>1.350395363</f>
        <v>1.3503953630000001</v>
      </c>
      <c r="CJ147">
        <f>1.229105105</f>
        <v>1.2291051049999999</v>
      </c>
      <c r="CK147">
        <f>1.247281097</f>
        <v>1.2472810969999999</v>
      </c>
      <c r="CL147">
        <f>1.271899974</f>
        <v>1.2718999740000001</v>
      </c>
      <c r="CM147">
        <f>1.206114942</f>
        <v>1.2061149419999999</v>
      </c>
      <c r="CN147">
        <f>0.982779398</f>
        <v>0.98277939800000003</v>
      </c>
      <c r="CO147">
        <f>1.113477628</f>
        <v>1.1134776280000001</v>
      </c>
      <c r="CP147">
        <f>1.287469697</f>
        <v>1.2874696969999999</v>
      </c>
      <c r="CQ147">
        <f>0.996800729</f>
        <v>0.99680072900000005</v>
      </c>
      <c r="CR147">
        <f>0.964212555</f>
        <v>0.96421255500000003</v>
      </c>
      <c r="CS147">
        <f>1.256986848</f>
        <v>1.2569868479999999</v>
      </c>
      <c r="CT147">
        <f>1.265668427</f>
        <v>1.265668427</v>
      </c>
      <c r="CU147">
        <f>1.320365161</f>
        <v>1.320365161</v>
      </c>
      <c r="CV147">
        <f>1.219683237</f>
        <v>1.2196832369999999</v>
      </c>
      <c r="CW147">
        <f>1.065839911</f>
        <v>1.0658399110000001</v>
      </c>
      <c r="CX147">
        <f>1.383388092</f>
        <v>1.3833880919999999</v>
      </c>
      <c r="CY147">
        <f>1.34383435</f>
        <v>1.3438343500000001</v>
      </c>
      <c r="CZ147">
        <f>1.244798347</f>
        <v>1.2447983469999999</v>
      </c>
      <c r="DA147">
        <f>1.188651457</f>
        <v>1.188651457</v>
      </c>
      <c r="DB147">
        <f>1.048294965</f>
        <v>1.048294965</v>
      </c>
      <c r="DC147">
        <f>0.812587903</f>
        <v>0.81258790299999994</v>
      </c>
      <c r="DD147">
        <f>1.177401831</f>
        <v>1.1774018310000001</v>
      </c>
      <c r="DE147">
        <f>1.375508043</f>
        <v>1.375508043</v>
      </c>
      <c r="DF147">
        <f>1.136016567</f>
        <v>1.136016567</v>
      </c>
      <c r="DG147">
        <f>1.372157288</f>
        <v>1.3721572879999999</v>
      </c>
      <c r="DH147">
        <f>1.447500708</f>
        <v>1.447500708</v>
      </c>
      <c r="DI147">
        <f>1.717411258</f>
        <v>1.7174112580000001</v>
      </c>
      <c r="DJ147">
        <f>1.670542202</f>
        <v>1.670542202</v>
      </c>
      <c r="DK147">
        <f>1.904105977</f>
        <v>1.9041059769999999</v>
      </c>
      <c r="DL147">
        <f>1.661780445</f>
        <v>1.661780445</v>
      </c>
      <c r="DM147">
        <f>1.579057222</f>
        <v>1.5790572220000001</v>
      </c>
      <c r="DN147">
        <f>1.613358674</f>
        <v>1.6133586740000001</v>
      </c>
      <c r="DO147">
        <f>1.616696386</f>
        <v>1.6166963860000001</v>
      </c>
      <c r="DP147">
        <f>1.630405334</f>
        <v>1.630405334</v>
      </c>
      <c r="DQ147">
        <f>1.535220072</f>
        <v>1.535220072</v>
      </c>
      <c r="DR147">
        <f>1.509914247</f>
        <v>1.509914247</v>
      </c>
      <c r="DS147">
        <f>1.5527203</f>
        <v>1.5527203000000001</v>
      </c>
      <c r="DT147">
        <f>1.591463801</f>
        <v>1.591463801</v>
      </c>
      <c r="DU147">
        <f>1.731646857</f>
        <v>1.7316468570000001</v>
      </c>
    </row>
    <row r="148" spans="1:125" x14ac:dyDescent="0.25">
      <c r="A148" t="str">
        <f>"    Hyundai Motor Co"</f>
        <v xml:space="preserve">    Hyundai Motor Co</v>
      </c>
      <c r="B148" t="str">
        <f>"005380 KS Equity"</f>
        <v>005380 KS Equity</v>
      </c>
      <c r="C148" t="str">
        <f t="shared" si="9"/>
        <v>RR903</v>
      </c>
      <c r="D148" t="str">
        <f t="shared" si="10"/>
        <v>PX_TO_BOOK_RATIO</v>
      </c>
      <c r="E148" t="str">
        <f t="shared" si="11"/>
        <v>Dynamic</v>
      </c>
      <c r="F148" t="str">
        <f ca="1">IF(AND(ISNUMBER($F$819),$B$677=1),$F$819,HLOOKUP(INDIRECT(ADDRESS(2,COLUMN())),OFFSET($BN$2,0,0,ROW()-1,60),ROW()-1,FALSE))</f>
        <v/>
      </c>
      <c r="G148">
        <f ca="1">IF(AND(ISNUMBER($G$819),$B$677=1),$G$819,HLOOKUP(INDIRECT(ADDRESS(2,COLUMN())),OFFSET($BN$2,0,0,ROW()-1,60),ROW()-1,FALSE))</f>
        <v>0.35392348200000001</v>
      </c>
      <c r="H148">
        <f ca="1">IF(AND(ISNUMBER($H$819),$B$677=1),$H$819,HLOOKUP(INDIRECT(ADDRESS(2,COLUMN())),OFFSET($BN$2,0,0,ROW()-1,60),ROW()-1,FALSE))</f>
        <v>0.38677713800000002</v>
      </c>
      <c r="I148">
        <f ca="1">IF(AND(ISNUMBER($I$819),$B$677=1),$I$819,HLOOKUP(INDIRECT(ADDRESS(2,COLUMN())),OFFSET($BN$2,0,0,ROW()-1,60),ROW()-1,FALSE))</f>
        <v>0.37308769200000003</v>
      </c>
      <c r="J148">
        <f ca="1">IF(AND(ISNUMBER($J$819),$B$677=1),$J$819,HLOOKUP(INDIRECT(ADDRESS(2,COLUMN())),OFFSET($BN$2,0,0,ROW()-1,60),ROW()-1,FALSE))</f>
        <v>0.433283961</v>
      </c>
      <c r="K148">
        <f ca="1">IF(AND(ISNUMBER($K$819),$B$677=1),$K$819,HLOOKUP(INDIRECT(ADDRESS(2,COLUMN())),OFFSET($BN$2,0,0,ROW()-1,60),ROW()-1,FALSE))</f>
        <v>0.46967074399999997</v>
      </c>
      <c r="L148">
        <f ca="1">IF(AND(ISNUMBER($L$819),$B$677=1),$L$819,HLOOKUP(INDIRECT(ADDRESS(2,COLUMN())),OFFSET($BN$2,0,0,ROW()-1,60),ROW()-1,FALSE))</f>
        <v>0.45286854900000001</v>
      </c>
      <c r="M148">
        <f ca="1">IF(AND(ISNUMBER($M$819),$B$677=1),$M$819,HLOOKUP(INDIRECT(ADDRESS(2,COLUMN())),OFFSET($BN$2,0,0,ROW()-1,60),ROW()-1,FALSE))</f>
        <v>0.48548014</v>
      </c>
      <c r="N148">
        <f ca="1">IF(AND(ISNUMBER($N$819),$B$677=1),$N$819,HLOOKUP(INDIRECT(ADDRESS(2,COLUMN())),OFFSET($BN$2,0,0,ROW()-1,60),ROW()-1,FALSE))</f>
        <v>0.49208511199999999</v>
      </c>
      <c r="O148">
        <f ca="1">IF(AND(ISNUMBER($O$819),$B$677=1),$O$819,HLOOKUP(INDIRECT(ADDRESS(2,COLUMN())),OFFSET($BN$2,0,0,ROW()-1,60),ROW()-1,FALSE))</f>
        <v>0.45214613599999998</v>
      </c>
      <c r="P148">
        <f ca="1">IF(AND(ISNUMBER($P$819),$B$677=1),$P$819,HLOOKUP(INDIRECT(ADDRESS(2,COLUMN())),OFFSET($BN$2,0,0,ROW()-1,60),ROW()-1,FALSE))</f>
        <v>0.43883213199999999</v>
      </c>
      <c r="Q148">
        <f ca="1">IF(AND(ISNUMBER($Q$819),$B$677=1),$Q$819,HLOOKUP(INDIRECT(ADDRESS(2,COLUMN())),OFFSET($BN$2,0,0,ROW()-1,60),ROW()-1,FALSE))</f>
        <v>0.43907264600000001</v>
      </c>
      <c r="R148">
        <f ca="1">IF(AND(ISNUMBER($R$819),$B$677=1),$R$819,HLOOKUP(INDIRECT(ADDRESS(2,COLUMN())),OFFSET($BN$2,0,0,ROW()-1,60),ROW()-1,FALSE))</f>
        <v>0.50638534800000001</v>
      </c>
      <c r="S148">
        <f ca="1">IF(AND(ISNUMBER($S$819),$B$677=1),$S$819,HLOOKUP(INDIRECT(ADDRESS(2,COLUMN())),OFFSET($BN$2,0,0,ROW()-1,60),ROW()-1,FALSE))</f>
        <v>0.50010552699999999</v>
      </c>
      <c r="T148">
        <f ca="1">IF(AND(ISNUMBER($T$819),$B$677=1),$T$819,HLOOKUP(INDIRECT(ADDRESS(2,COLUMN())),OFFSET($BN$2,0,0,ROW()-1,60),ROW()-1,FALSE))</f>
        <v>0.55520169500000005</v>
      </c>
      <c r="U148">
        <f ca="1">IF(AND(ISNUMBER($U$819),$B$677=1),$U$819,HLOOKUP(INDIRECT(ADDRESS(2,COLUMN())),OFFSET($BN$2,0,0,ROW()-1,60),ROW()-1,FALSE))</f>
        <v>0.47031615900000001</v>
      </c>
      <c r="V148">
        <f ca="1">IF(AND(ISNUMBER($V$819),$B$677=1),$V$819,HLOOKUP(INDIRECT(ADDRESS(2,COLUMN())),OFFSET($BN$2,0,0,ROW()-1,60),ROW()-1,FALSE))</f>
        <v>0.60432950200000002</v>
      </c>
      <c r="W148">
        <f ca="1">IF(AND(ISNUMBER($W$819),$B$677=1),$W$819,HLOOKUP(INDIRECT(ADDRESS(2,COLUMN())),OFFSET($BN$2,0,0,ROW()-1,60),ROW()-1,FALSE))</f>
        <v>0.61511727599999999</v>
      </c>
      <c r="X148">
        <f ca="1">IF(AND(ISNUMBER($X$819),$B$677=1),$X$819,HLOOKUP(INDIRECT(ADDRESS(2,COLUMN())),OFFSET($BN$2,0,0,ROW()-1,60),ROW()-1,FALSE))</f>
        <v>0.70950360800000001</v>
      </c>
      <c r="Y148">
        <f ca="1">IF(AND(ISNUMBER($Y$819),$B$677=1),$Y$819,HLOOKUP(INDIRECT(ADDRESS(2,COLUMN())),OFFSET($BN$2,0,0,ROW()-1,60),ROW()-1,FALSE))</f>
        <v>0.88133278000000004</v>
      </c>
      <c r="Z148">
        <f ca="1">IF(AND(ISNUMBER($Z$819),$B$677=1),$Z$819,HLOOKUP(INDIRECT(ADDRESS(2,COLUMN())),OFFSET($BN$2,0,0,ROW()-1,60),ROW()-1,FALSE))</f>
        <v>0.99342013299999998</v>
      </c>
      <c r="AA148">
        <f ca="1">IF(AND(ISNUMBER($AA$819),$B$677=1),$AA$819,HLOOKUP(INDIRECT(ADDRESS(2,COLUMN())),OFFSET($BN$2,0,0,ROW()-1,60),ROW()-1,FALSE))</f>
        <v>0.95915173200000003</v>
      </c>
      <c r="AB148">
        <f ca="1">IF(AND(ISNUMBER($AB$819),$B$677=1),$AB$819,HLOOKUP(INDIRECT(ADDRESS(2,COLUMN())),OFFSET($BN$2,0,0,ROW()-1,60),ROW()-1,FALSE))</f>
        <v>1.0612124140000001</v>
      </c>
      <c r="AC148">
        <f ca="1">IF(AND(ISNUMBER($AC$819),$B$677=1),$AC$819,HLOOKUP(INDIRECT(ADDRESS(2,COLUMN())),OFFSET($BN$2,0,0,ROW()-1,60),ROW()-1,FALSE))</f>
        <v>0.98348463799999997</v>
      </c>
      <c r="AD148">
        <f ca="1">IF(AND(ISNUMBER($AD$819),$B$677=1),$AD$819,HLOOKUP(INDIRECT(ADDRESS(2,COLUMN())),OFFSET($BN$2,0,0,ROW()-1,60),ROW()-1,FALSE))</f>
        <v>1.033604046</v>
      </c>
      <c r="AE148">
        <f ca="1">IF(AND(ISNUMBER($AE$819),$B$677=1),$AE$819,HLOOKUP(INDIRECT(ADDRESS(2,COLUMN())),OFFSET($BN$2,0,0,ROW()-1,60),ROW()-1,FALSE))</f>
        <v>1.0461561800000001</v>
      </c>
      <c r="AF148">
        <f ca="1">IF(AND(ISNUMBER($AF$819),$B$677=1),$AF$819,HLOOKUP(INDIRECT(ADDRESS(2,COLUMN())),OFFSET($BN$2,0,0,ROW()-1,60),ROW()-1,FALSE))</f>
        <v>1.232433546</v>
      </c>
      <c r="AG148">
        <f ca="1">IF(AND(ISNUMBER($AG$819),$B$677=1),$AG$819,HLOOKUP(INDIRECT(ADDRESS(2,COLUMN())),OFFSET($BN$2,0,0,ROW()-1,60),ROW()-1,FALSE))</f>
        <v>1.190799655</v>
      </c>
      <c r="AH148">
        <f ca="1">IF(AND(ISNUMBER($AH$819),$B$677=1),$AH$819,HLOOKUP(INDIRECT(ADDRESS(2,COLUMN())),OFFSET($BN$2,0,0,ROW()-1,60),ROW()-1,FALSE))</f>
        <v>1.2609279980000001</v>
      </c>
      <c r="AI148">
        <f ca="1">IF(AND(ISNUMBER($AI$819),$B$677=1),$AI$819,HLOOKUP(INDIRECT(ADDRESS(2,COLUMN())),OFFSET($BN$2,0,0,ROW()-1,60),ROW()-1,FALSE))</f>
        <v>1.2118545519999999</v>
      </c>
      <c r="AJ148">
        <f ca="1">IF(AND(ISNUMBER($AJ$819),$B$677=1),$AJ$819,HLOOKUP(INDIRECT(ADDRESS(2,COLUMN())),OFFSET($BN$2,0,0,ROW()-1,60),ROW()-1,FALSE))</f>
        <v>1.2519600239999999</v>
      </c>
      <c r="AK148">
        <f ca="1">IF(AND(ISNUMBER($AK$819),$B$677=1),$AK$819,HLOOKUP(INDIRECT(ADDRESS(2,COLUMN())),OFFSET($BN$2,0,0,ROW()-1,60),ROW()-1,FALSE))</f>
        <v>1.488148061</v>
      </c>
      <c r="AL148">
        <f ca="1">IF(AND(ISNUMBER($AL$819),$B$677=1),$AL$819,HLOOKUP(INDIRECT(ADDRESS(2,COLUMN())),OFFSET($BN$2,0,0,ROW()-1,60),ROW()-1,FALSE))</f>
        <v>1.3582673940000001</v>
      </c>
      <c r="AM148">
        <f ca="1">IF(AND(ISNUMBER($AM$819),$B$677=1),$AM$819,HLOOKUP(INDIRECT(ADDRESS(2,COLUMN())),OFFSET($BN$2,0,0,ROW()-1,60),ROW()-1,FALSE))</f>
        <v>1.219769031</v>
      </c>
      <c r="AN148" t="str">
        <f ca="1">IF(AND(ISNUMBER($AN$819),$B$677=1),$AN$819,HLOOKUP(INDIRECT(ADDRESS(2,COLUMN())),OFFSET($BN$2,0,0,ROW()-1,60),ROW()-1,FALSE))</f>
        <v/>
      </c>
      <c r="AO148" t="str">
        <f ca="1">IF(AND(ISNUMBER($AO$819),$B$677=1),$AO$819,HLOOKUP(INDIRECT(ADDRESS(2,COLUMN())),OFFSET($BN$2,0,0,ROW()-1,60),ROW()-1,FALSE))</f>
        <v/>
      </c>
      <c r="AP148" t="str">
        <f ca="1">IF(AND(ISNUMBER($AP$819),$B$677=1),$AP$819,HLOOKUP(INDIRECT(ADDRESS(2,COLUMN())),OFFSET($BN$2,0,0,ROW()-1,60),ROW()-1,FALSE))</f>
        <v/>
      </c>
      <c r="AQ148" t="str">
        <f ca="1">IF(AND(ISNUMBER($AQ$819),$B$677=1),$AQ$819,HLOOKUP(INDIRECT(ADDRESS(2,COLUMN())),OFFSET($BN$2,0,0,ROW()-1,60),ROW()-1,FALSE))</f>
        <v/>
      </c>
      <c r="AR148" t="str">
        <f ca="1">IF(AND(ISNUMBER($AR$819),$B$677=1),$AR$819,HLOOKUP(INDIRECT(ADDRESS(2,COLUMN())),OFFSET($BN$2,0,0,ROW()-1,60),ROW()-1,FALSE))</f>
        <v/>
      </c>
      <c r="AS148" t="str">
        <f ca="1">IF(AND(ISNUMBER($AS$819),$B$677=1),$AS$819,HLOOKUP(INDIRECT(ADDRESS(2,COLUMN())),OFFSET($BN$2,0,0,ROW()-1,60),ROW()-1,FALSE))</f>
        <v/>
      </c>
      <c r="AT148" t="str">
        <f ca="1">IF(AND(ISNUMBER($AT$819),$B$677=1),$AT$819,HLOOKUP(INDIRECT(ADDRESS(2,COLUMN())),OFFSET($BN$2,0,0,ROW()-1,60),ROW()-1,FALSE))</f>
        <v/>
      </c>
      <c r="AU148" t="str">
        <f ca="1">IF(AND(ISNUMBER($AU$819),$B$677=1),$AU$819,HLOOKUP(INDIRECT(ADDRESS(2,COLUMN())),OFFSET($BN$2,0,0,ROW()-1,60),ROW()-1,FALSE))</f>
        <v/>
      </c>
      <c r="AV148" t="str">
        <f ca="1">IF(AND(ISNUMBER($AV$819),$B$677=1),$AV$819,HLOOKUP(INDIRECT(ADDRESS(2,COLUMN())),OFFSET($BN$2,0,0,ROW()-1,60),ROW()-1,FALSE))</f>
        <v/>
      </c>
      <c r="AW148" t="str">
        <f ca="1">IF(AND(ISNUMBER($AW$819),$B$677=1),$AW$819,HLOOKUP(INDIRECT(ADDRESS(2,COLUMN())),OFFSET($BN$2,0,0,ROW()-1,60),ROW()-1,FALSE))</f>
        <v/>
      </c>
      <c r="AX148" t="str">
        <f ca="1">IF(AND(ISNUMBER($AX$819),$B$677=1),$AX$819,HLOOKUP(INDIRECT(ADDRESS(2,COLUMN())),OFFSET($BN$2,0,0,ROW()-1,60),ROW()-1,FALSE))</f>
        <v/>
      </c>
      <c r="AY148" t="str">
        <f ca="1">IF(AND(ISNUMBER($AY$819),$B$677=1),$AY$819,HLOOKUP(INDIRECT(ADDRESS(2,COLUMN())),OFFSET($BN$2,0,0,ROW()-1,60),ROW()-1,FALSE))</f>
        <v/>
      </c>
      <c r="AZ148" t="str">
        <f ca="1">IF(AND(ISNUMBER($AZ$819),$B$677=1),$AZ$819,HLOOKUP(INDIRECT(ADDRESS(2,COLUMN())),OFFSET($BN$2,0,0,ROW()-1,60),ROW()-1,FALSE))</f>
        <v/>
      </c>
      <c r="BA148" t="str">
        <f ca="1">IF(AND(ISNUMBER($BA$819),$B$677=1),$BA$819,HLOOKUP(INDIRECT(ADDRESS(2,COLUMN())),OFFSET($BN$2,0,0,ROW()-1,60),ROW()-1,FALSE))</f>
        <v/>
      </c>
      <c r="BB148" t="str">
        <f ca="1">IF(AND(ISNUMBER($BB$819),$B$677=1),$BB$819,HLOOKUP(INDIRECT(ADDRESS(2,COLUMN())),OFFSET($BN$2,0,0,ROW()-1,60),ROW()-1,FALSE))</f>
        <v/>
      </c>
      <c r="BC148" t="str">
        <f ca="1">IF(AND(ISNUMBER($BC$819),$B$677=1),$BC$819,HLOOKUP(INDIRECT(ADDRESS(2,COLUMN())),OFFSET($BN$2,0,0,ROW()-1,60),ROW()-1,FALSE))</f>
        <v/>
      </c>
      <c r="BD148" t="str">
        <f ca="1">IF(AND(ISNUMBER($BD$819),$B$677=1),$BD$819,HLOOKUP(INDIRECT(ADDRESS(2,COLUMN())),OFFSET($BN$2,0,0,ROW()-1,60),ROW()-1,FALSE))</f>
        <v/>
      </c>
      <c r="BE148" t="str">
        <f ca="1">IF(AND(ISNUMBER($BE$819),$B$677=1),$BE$819,HLOOKUP(INDIRECT(ADDRESS(2,COLUMN())),OFFSET($BN$2,0,0,ROW()-1,60),ROW()-1,FALSE))</f>
        <v/>
      </c>
      <c r="BF148" t="str">
        <f ca="1">IF(AND(ISNUMBER($BF$819),$B$677=1),$BF$819,HLOOKUP(INDIRECT(ADDRESS(2,COLUMN())),OFFSET($BN$2,0,0,ROW()-1,60),ROW()-1,FALSE))</f>
        <v/>
      </c>
      <c r="BG148" t="str">
        <f ca="1">IF(AND(ISNUMBER($BG$819),$B$677=1),$BG$819,HLOOKUP(INDIRECT(ADDRESS(2,COLUMN())),OFFSET($BN$2,0,0,ROW()-1,60),ROW()-1,FALSE))</f>
        <v/>
      </c>
      <c r="BH148" t="str">
        <f ca="1">IF(AND(ISNUMBER($BH$819),$B$677=1),$BH$819,HLOOKUP(INDIRECT(ADDRESS(2,COLUMN())),OFFSET($BN$2,0,0,ROW()-1,60),ROW()-1,FALSE))</f>
        <v/>
      </c>
      <c r="BI148" t="str">
        <f ca="1">IF(AND(ISNUMBER($BI$819),$B$677=1),$BI$819,HLOOKUP(INDIRECT(ADDRESS(2,COLUMN())),OFFSET($BN$2,0,0,ROW()-1,60),ROW()-1,FALSE))</f>
        <v/>
      </c>
      <c r="BJ148" t="str">
        <f ca="1">IF(AND(ISNUMBER($BJ$819),$B$677=1),$BJ$819,HLOOKUP(INDIRECT(ADDRESS(2,COLUMN())),OFFSET($BN$2,0,0,ROW()-1,60),ROW()-1,FALSE))</f>
        <v/>
      </c>
      <c r="BK148" t="str">
        <f ca="1">IF(AND(ISNUMBER($BK$819),$B$677=1),$BK$819,HLOOKUP(INDIRECT(ADDRESS(2,COLUMN())),OFFSET($BN$2,0,0,ROW()-1,60),ROW()-1,FALSE))</f>
        <v/>
      </c>
      <c r="BL148" t="str">
        <f ca="1">IF(AND(ISNUMBER($BL$819),$B$677=1),$BL$819,HLOOKUP(INDIRECT(ADDRESS(2,COLUMN())),OFFSET($BN$2,0,0,ROW()-1,60),ROW()-1,FALSE))</f>
        <v/>
      </c>
      <c r="BM148" t="str">
        <f ca="1">IF(AND(ISNUMBER($BM$819),$B$677=1),$BM$819,HLOOKUP(INDIRECT(ADDRESS(2,COLUMN())),OFFSET($BN$2,0,0,ROW()-1,60),ROW()-1,FALSE))</f>
        <v/>
      </c>
      <c r="BN148" t="str">
        <f>""</f>
        <v/>
      </c>
      <c r="BO148">
        <f>0.353923482</f>
        <v>0.35392348200000001</v>
      </c>
      <c r="BP148">
        <f>0.386777138</f>
        <v>0.38677713800000002</v>
      </c>
      <c r="BQ148">
        <f>0.373087692</f>
        <v>0.37308769200000003</v>
      </c>
      <c r="BR148">
        <f>0.433283961</f>
        <v>0.433283961</v>
      </c>
      <c r="BS148">
        <f>0.469670744</f>
        <v>0.46967074399999997</v>
      </c>
      <c r="BT148">
        <f>0.452868549</f>
        <v>0.45286854900000001</v>
      </c>
      <c r="BU148">
        <f>0.48548014</f>
        <v>0.48548014</v>
      </c>
      <c r="BV148">
        <f>0.492085112</f>
        <v>0.49208511199999999</v>
      </c>
      <c r="BW148">
        <f>0.452146136</f>
        <v>0.45214613599999998</v>
      </c>
      <c r="BX148">
        <f>0.438832132</f>
        <v>0.43883213199999999</v>
      </c>
      <c r="BY148">
        <f>0.439072646</f>
        <v>0.43907264600000001</v>
      </c>
      <c r="BZ148">
        <f>0.506385348</f>
        <v>0.50638534800000001</v>
      </c>
      <c r="CA148">
        <f>0.500105527</f>
        <v>0.50010552699999999</v>
      </c>
      <c r="CB148">
        <f>0.555201695</f>
        <v>0.55520169500000005</v>
      </c>
      <c r="CC148">
        <f>0.470316159</f>
        <v>0.47031615900000001</v>
      </c>
      <c r="CD148">
        <f>0.604329502</f>
        <v>0.60432950200000002</v>
      </c>
      <c r="CE148">
        <f>0.615117276</f>
        <v>0.61511727599999999</v>
      </c>
      <c r="CF148">
        <f>0.709503608</f>
        <v>0.70950360800000001</v>
      </c>
      <c r="CG148">
        <f>0.88133278</f>
        <v>0.88133278000000004</v>
      </c>
      <c r="CH148">
        <f>0.993420133</f>
        <v>0.99342013299999998</v>
      </c>
      <c r="CI148">
        <f>0.959151732</f>
        <v>0.95915173200000003</v>
      </c>
      <c r="CJ148">
        <f>1.061212414</f>
        <v>1.0612124140000001</v>
      </c>
      <c r="CK148">
        <f>0.983484638</f>
        <v>0.98348463799999997</v>
      </c>
      <c r="CL148">
        <f>1.033604046</f>
        <v>1.033604046</v>
      </c>
      <c r="CM148">
        <f>1.04615618</f>
        <v>1.0461561800000001</v>
      </c>
      <c r="CN148">
        <f>1.232433546</f>
        <v>1.232433546</v>
      </c>
      <c r="CO148">
        <f>1.190799655</f>
        <v>1.190799655</v>
      </c>
      <c r="CP148">
        <f>1.260927998</f>
        <v>1.2609279980000001</v>
      </c>
      <c r="CQ148">
        <f>1.211854552</f>
        <v>1.2118545519999999</v>
      </c>
      <c r="CR148">
        <f>1.251960024</f>
        <v>1.2519600239999999</v>
      </c>
      <c r="CS148">
        <f>1.488148061</f>
        <v>1.488148061</v>
      </c>
      <c r="CT148">
        <f>1.358267394</f>
        <v>1.3582673940000001</v>
      </c>
      <c r="CU148">
        <f>1.219769031</f>
        <v>1.219769031</v>
      </c>
      <c r="CV148" t="str">
        <f>""</f>
        <v/>
      </c>
      <c r="CW148" t="str">
        <f>""</f>
        <v/>
      </c>
      <c r="CX148" t="str">
        <f>""</f>
        <v/>
      </c>
      <c r="CY148" t="str">
        <f>""</f>
        <v/>
      </c>
      <c r="CZ148" t="str">
        <f>""</f>
        <v/>
      </c>
      <c r="DA148" t="str">
        <f>""</f>
        <v/>
      </c>
      <c r="DB148" t="str">
        <f>""</f>
        <v/>
      </c>
      <c r="DC148" t="str">
        <f>""</f>
        <v/>
      </c>
      <c r="DD148" t="str">
        <f>""</f>
        <v/>
      </c>
      <c r="DE148" t="str">
        <f>""</f>
        <v/>
      </c>
      <c r="DF148" t="str">
        <f>""</f>
        <v/>
      </c>
      <c r="DG148" t="str">
        <f>""</f>
        <v/>
      </c>
      <c r="DH148" t="str">
        <f>""</f>
        <v/>
      </c>
      <c r="DI148" t="str">
        <f>""</f>
        <v/>
      </c>
      <c r="DJ148" t="str">
        <f>""</f>
        <v/>
      </c>
      <c r="DK148" t="str">
        <f>""</f>
        <v/>
      </c>
      <c r="DL148" t="str">
        <f>""</f>
        <v/>
      </c>
      <c r="DM148" t="str">
        <f>""</f>
        <v/>
      </c>
      <c r="DN148" t="str">
        <f>""</f>
        <v/>
      </c>
      <c r="DO148" t="str">
        <f>""</f>
        <v/>
      </c>
      <c r="DP148" t="str">
        <f>""</f>
        <v/>
      </c>
      <c r="DQ148" t="str">
        <f>""</f>
        <v/>
      </c>
      <c r="DR148" t="str">
        <f>""</f>
        <v/>
      </c>
      <c r="DS148" t="str">
        <f>""</f>
        <v/>
      </c>
      <c r="DT148" t="str">
        <f>""</f>
        <v/>
      </c>
      <c r="DU148" t="str">
        <f>""</f>
        <v/>
      </c>
    </row>
    <row r="149" spans="1:125" x14ac:dyDescent="0.25">
      <c r="A149" t="str">
        <f>"    Kia Motors Corp"</f>
        <v xml:space="preserve">    Kia Motors Corp</v>
      </c>
      <c r="B149" t="str">
        <f>"000270 KS Equity"</f>
        <v>000270 KS Equity</v>
      </c>
      <c r="C149" t="str">
        <f t="shared" si="9"/>
        <v>RR903</v>
      </c>
      <c r="D149" t="str">
        <f t="shared" si="10"/>
        <v>PX_TO_BOOK_RATIO</v>
      </c>
      <c r="E149" t="str">
        <f t="shared" si="11"/>
        <v>Dynamic</v>
      </c>
      <c r="F149" t="str">
        <f ca="1">IF(AND(ISNUMBER($F$820),$B$677=1),$F$820,HLOOKUP(INDIRECT(ADDRESS(2,COLUMN())),OFFSET($BN$2,0,0,ROW()-1,60),ROW()-1,FALSE))</f>
        <v/>
      </c>
      <c r="G149">
        <f ca="1">IF(AND(ISNUMBER($G$820),$B$677=1),$G$820,HLOOKUP(INDIRECT(ADDRESS(2,COLUMN())),OFFSET($BN$2,0,0,ROW()-1,60),ROW()-1,FALSE))</f>
        <v>0.48457031299999997</v>
      </c>
      <c r="H149">
        <f ca="1">IF(AND(ISNUMBER($H$820),$B$677=1),$H$820,HLOOKUP(INDIRECT(ADDRESS(2,COLUMN())),OFFSET($BN$2,0,0,ROW()-1,60),ROW()-1,FALSE))</f>
        <v>0.51462686800000002</v>
      </c>
      <c r="I149">
        <f ca="1">IF(AND(ISNUMBER($I$820),$B$677=1),$I$820,HLOOKUP(INDIRECT(ADDRESS(2,COLUMN())),OFFSET($BN$2,0,0,ROW()-1,60),ROW()-1,FALSE))</f>
        <v>0.45423135999999997</v>
      </c>
      <c r="J149">
        <f ca="1">IF(AND(ISNUMBER($J$820),$B$677=1),$J$820,HLOOKUP(INDIRECT(ADDRESS(2,COLUMN())),OFFSET($BN$2,0,0,ROW()-1,60),ROW()-1,FALSE))</f>
        <v>0.46076168899999997</v>
      </c>
      <c r="K149">
        <f ca="1">IF(AND(ISNUMBER($K$820),$B$677=1),$K$820,HLOOKUP(INDIRECT(ADDRESS(2,COLUMN())),OFFSET($BN$2,0,0,ROW()-1,60),ROW()-1,FALSE))</f>
        <v>0.50002266500000003</v>
      </c>
      <c r="L149">
        <f ca="1">IF(AND(ISNUMBER($L$820),$B$677=1),$L$820,HLOOKUP(INDIRECT(ADDRESS(2,COLUMN())),OFFSET($BN$2,0,0,ROW()-1,60),ROW()-1,FALSE))</f>
        <v>0.46998257300000001</v>
      </c>
      <c r="M149">
        <f ca="1">IF(AND(ISNUMBER($M$820),$B$677=1),$M$820,HLOOKUP(INDIRECT(ADDRESS(2,COLUMN())),OFFSET($BN$2,0,0,ROW()-1,60),ROW()-1,FALSE))</f>
        <v>0.56410427100000005</v>
      </c>
      <c r="N149">
        <f ca="1">IF(AND(ISNUMBER($N$820),$B$677=1),$N$820,HLOOKUP(INDIRECT(ADDRESS(2,COLUMN())),OFFSET($BN$2,0,0,ROW()-1,60),ROW()-1,FALSE))</f>
        <v>0.56129345399999997</v>
      </c>
      <c r="O149">
        <f ca="1">IF(AND(ISNUMBER($O$820),$B$677=1),$O$820,HLOOKUP(INDIRECT(ADDRESS(2,COLUMN())),OFFSET($BN$2,0,0,ROW()-1,60),ROW()-1,FALSE))</f>
        <v>0.59860256499999998</v>
      </c>
      <c r="P149">
        <f ca="1">IF(AND(ISNUMBER($P$820),$B$677=1),$P$820,HLOOKUP(INDIRECT(ADDRESS(2,COLUMN())),OFFSET($BN$2,0,0,ROW()-1,60),ROW()-1,FALSE))</f>
        <v>0.66056733999999995</v>
      </c>
      <c r="Q149">
        <f ca="1">IF(AND(ISNUMBER($Q$820),$B$677=1),$Q$820,HLOOKUP(INDIRECT(ADDRESS(2,COLUMN())),OFFSET($BN$2,0,0,ROW()-1,60),ROW()-1,FALSE))</f>
        <v>0.685510014</v>
      </c>
      <c r="R149">
        <f ca="1">IF(AND(ISNUMBER($R$820),$B$677=1),$R$820,HLOOKUP(INDIRECT(ADDRESS(2,COLUMN())),OFFSET($BN$2,0,0,ROW()-1,60),ROW()-1,FALSE))</f>
        <v>0.79599352999999995</v>
      </c>
      <c r="S149">
        <f ca="1">IF(AND(ISNUMBER($S$820),$B$677=1),$S$820,HLOOKUP(INDIRECT(ADDRESS(2,COLUMN())),OFFSET($BN$2,0,0,ROW()-1,60),ROW()-1,FALSE))</f>
        <v>0.87130123299999995</v>
      </c>
      <c r="T149">
        <f ca="1">IF(AND(ISNUMBER($T$820),$B$677=1),$T$820,HLOOKUP(INDIRECT(ADDRESS(2,COLUMN())),OFFSET($BN$2,0,0,ROW()-1,60),ROW()-1,FALSE))</f>
        <v>0.89620218699999998</v>
      </c>
      <c r="U149">
        <f ca="1">IF(AND(ISNUMBER($U$820),$B$677=1),$U$820,HLOOKUP(INDIRECT(ADDRESS(2,COLUMN())),OFFSET($BN$2,0,0,ROW()-1,60),ROW()-1,FALSE))</f>
        <v>0.78038211899999999</v>
      </c>
      <c r="V149">
        <f ca="1">IF(AND(ISNUMBER($V$820),$B$677=1),$V$820,HLOOKUP(INDIRECT(ADDRESS(2,COLUMN())),OFFSET($BN$2,0,0,ROW()-1,60),ROW()-1,FALSE))</f>
        <v>0.81660360200000004</v>
      </c>
      <c r="W149">
        <f ca="1">IF(AND(ISNUMBER($W$820),$B$677=1),$W$820,HLOOKUP(INDIRECT(ADDRESS(2,COLUMN())),OFFSET($BN$2,0,0,ROW()-1,60),ROW()-1,FALSE))</f>
        <v>0.94204121900000004</v>
      </c>
      <c r="X149">
        <f ca="1">IF(AND(ISNUMBER($X$820),$B$677=1),$X$820,HLOOKUP(INDIRECT(ADDRESS(2,COLUMN())),OFFSET($BN$2,0,0,ROW()-1,60),ROW()-1,FALSE))</f>
        <v>0.97594497099999999</v>
      </c>
      <c r="Y149">
        <f ca="1">IF(AND(ISNUMBER($Y$820),$B$677=1),$Y$820,HLOOKUP(INDIRECT(ADDRESS(2,COLUMN())),OFFSET($BN$2,0,0,ROW()-1,60),ROW()-1,FALSE))</f>
        <v>1.060577605</v>
      </c>
      <c r="Z149">
        <f ca="1">IF(AND(ISNUMBER($Z$820),$B$677=1),$Z$820,HLOOKUP(INDIRECT(ADDRESS(2,COLUMN())),OFFSET($BN$2,0,0,ROW()-1,60),ROW()-1,FALSE))</f>
        <v>1.1549068659999999</v>
      </c>
      <c r="AA149">
        <f ca="1">IF(AND(ISNUMBER($AA$820),$B$677=1),$AA$820,HLOOKUP(INDIRECT(ADDRESS(2,COLUMN())),OFFSET($BN$2,0,0,ROW()-1,60),ROW()-1,FALSE))</f>
        <v>1.1216934780000001</v>
      </c>
      <c r="AB149">
        <f ca="1">IF(AND(ISNUMBER($AB$820),$B$677=1),$AB$820,HLOOKUP(INDIRECT(ADDRESS(2,COLUMN())),OFFSET($BN$2,0,0,ROW()-1,60),ROW()-1,FALSE))</f>
        <v>1.3599219339999999</v>
      </c>
      <c r="AC149">
        <f ca="1">IF(AND(ISNUMBER($AC$820),$B$677=1),$AC$820,HLOOKUP(INDIRECT(ADDRESS(2,COLUMN())),OFFSET($BN$2,0,0,ROW()-1,60),ROW()-1,FALSE))</f>
        <v>1.3491179090000001</v>
      </c>
      <c r="AD149">
        <f ca="1">IF(AND(ISNUMBER($AD$820),$B$677=1),$AD$820,HLOOKUP(INDIRECT(ADDRESS(2,COLUMN())),OFFSET($BN$2,0,0,ROW()-1,60),ROW()-1,FALSE))</f>
        <v>1.3029022509999999</v>
      </c>
      <c r="AE149">
        <f ca="1">IF(AND(ISNUMBER($AE$820),$B$677=1),$AE$820,HLOOKUP(INDIRECT(ADDRESS(2,COLUMN())),OFFSET($BN$2,0,0,ROW()-1,60),ROW()-1,FALSE))</f>
        <v>1.358118551</v>
      </c>
      <c r="AF149">
        <f ca="1">IF(AND(ISNUMBER($AF$820),$B$677=1),$AF$820,HLOOKUP(INDIRECT(ADDRESS(2,COLUMN())),OFFSET($BN$2,0,0,ROW()-1,60),ROW()-1,FALSE))</f>
        <v>1.7142597939999999</v>
      </c>
      <c r="AG149">
        <f ca="1">IF(AND(ISNUMBER($AG$820),$B$677=1),$AG$820,HLOOKUP(INDIRECT(ADDRESS(2,COLUMN())),OFFSET($BN$2,0,0,ROW()-1,60),ROW()-1,FALSE))</f>
        <v>1.954160812</v>
      </c>
      <c r="AH149">
        <f ca="1">IF(AND(ISNUMBER($AH$820),$B$677=1),$AH$820,HLOOKUP(INDIRECT(ADDRESS(2,COLUMN())),OFFSET($BN$2,0,0,ROW()-1,60),ROW()-1,FALSE))</f>
        <v>2.0762365159999998</v>
      </c>
      <c r="AI149">
        <f ca="1">IF(AND(ISNUMBER($AI$820),$B$677=1),$AI$820,HLOOKUP(INDIRECT(ADDRESS(2,COLUMN())),OFFSET($BN$2,0,0,ROW()-1,60),ROW()-1,FALSE))</f>
        <v>1.992709034</v>
      </c>
      <c r="AJ149">
        <f ca="1">IF(AND(ISNUMBER($AJ$820),$B$677=1),$AJ$820,HLOOKUP(INDIRECT(ADDRESS(2,COLUMN())),OFFSET($BN$2,0,0,ROW()-1,60),ROW()-1,FALSE))</f>
        <v>2.219682084</v>
      </c>
      <c r="AK149">
        <f ca="1">IF(AND(ISNUMBER($AK$820),$B$677=1),$AK$820,HLOOKUP(INDIRECT(ADDRESS(2,COLUMN())),OFFSET($BN$2,0,0,ROW()-1,60),ROW()-1,FALSE))</f>
        <v>2.306329131</v>
      </c>
      <c r="AL149">
        <f ca="1">IF(AND(ISNUMBER($AL$820),$B$677=1),$AL$820,HLOOKUP(INDIRECT(ADDRESS(2,COLUMN())),OFFSET($BN$2,0,0,ROW()-1,60),ROW()-1,FALSE))</f>
        <v>2.5212434520000002</v>
      </c>
      <c r="AM149" t="str">
        <f ca="1">IF(AND(ISNUMBER($AM$820),$B$677=1),$AM$820,HLOOKUP(INDIRECT(ADDRESS(2,COLUMN())),OFFSET($BN$2,0,0,ROW()-1,60),ROW()-1,FALSE))</f>
        <v/>
      </c>
      <c r="AN149" t="str">
        <f ca="1">IF(AND(ISNUMBER($AN$820),$B$677=1),$AN$820,HLOOKUP(INDIRECT(ADDRESS(2,COLUMN())),OFFSET($BN$2,0,0,ROW()-1,60),ROW()-1,FALSE))</f>
        <v/>
      </c>
      <c r="AO149" t="str">
        <f ca="1">IF(AND(ISNUMBER($AO$820),$B$677=1),$AO$820,HLOOKUP(INDIRECT(ADDRESS(2,COLUMN())),OFFSET($BN$2,0,0,ROW()-1,60),ROW()-1,FALSE))</f>
        <v/>
      </c>
      <c r="AP149" t="str">
        <f ca="1">IF(AND(ISNUMBER($AP$820),$B$677=1),$AP$820,HLOOKUP(INDIRECT(ADDRESS(2,COLUMN())),OFFSET($BN$2,0,0,ROW()-1,60),ROW()-1,FALSE))</f>
        <v/>
      </c>
      <c r="AQ149" t="str">
        <f ca="1">IF(AND(ISNUMBER($AQ$820),$B$677=1),$AQ$820,HLOOKUP(INDIRECT(ADDRESS(2,COLUMN())),OFFSET($BN$2,0,0,ROW()-1,60),ROW()-1,FALSE))</f>
        <v/>
      </c>
      <c r="AR149" t="str">
        <f ca="1">IF(AND(ISNUMBER($AR$820),$B$677=1),$AR$820,HLOOKUP(INDIRECT(ADDRESS(2,COLUMN())),OFFSET($BN$2,0,0,ROW()-1,60),ROW()-1,FALSE))</f>
        <v/>
      </c>
      <c r="AS149" t="str">
        <f ca="1">IF(AND(ISNUMBER($AS$820),$B$677=1),$AS$820,HLOOKUP(INDIRECT(ADDRESS(2,COLUMN())),OFFSET($BN$2,0,0,ROW()-1,60),ROW()-1,FALSE))</f>
        <v/>
      </c>
      <c r="AT149" t="str">
        <f ca="1">IF(AND(ISNUMBER($AT$820),$B$677=1),$AT$820,HLOOKUP(INDIRECT(ADDRESS(2,COLUMN())),OFFSET($BN$2,0,0,ROW()-1,60),ROW()-1,FALSE))</f>
        <v/>
      </c>
      <c r="AU149" t="str">
        <f ca="1">IF(AND(ISNUMBER($AU$820),$B$677=1),$AU$820,HLOOKUP(INDIRECT(ADDRESS(2,COLUMN())),OFFSET($BN$2,0,0,ROW()-1,60),ROW()-1,FALSE))</f>
        <v/>
      </c>
      <c r="AV149" t="str">
        <f ca="1">IF(AND(ISNUMBER($AV$820),$B$677=1),$AV$820,HLOOKUP(INDIRECT(ADDRESS(2,COLUMN())),OFFSET($BN$2,0,0,ROW()-1,60),ROW()-1,FALSE))</f>
        <v/>
      </c>
      <c r="AW149" t="str">
        <f ca="1">IF(AND(ISNUMBER($AW$820),$B$677=1),$AW$820,HLOOKUP(INDIRECT(ADDRESS(2,COLUMN())),OFFSET($BN$2,0,0,ROW()-1,60),ROW()-1,FALSE))</f>
        <v/>
      </c>
      <c r="AX149" t="str">
        <f ca="1">IF(AND(ISNUMBER($AX$820),$B$677=1),$AX$820,HLOOKUP(INDIRECT(ADDRESS(2,COLUMN())),OFFSET($BN$2,0,0,ROW()-1,60),ROW()-1,FALSE))</f>
        <v/>
      </c>
      <c r="AY149" t="str">
        <f ca="1">IF(AND(ISNUMBER($AY$820),$B$677=1),$AY$820,HLOOKUP(INDIRECT(ADDRESS(2,COLUMN())),OFFSET($BN$2,0,0,ROW()-1,60),ROW()-1,FALSE))</f>
        <v/>
      </c>
      <c r="AZ149" t="str">
        <f ca="1">IF(AND(ISNUMBER($AZ$820),$B$677=1),$AZ$820,HLOOKUP(INDIRECT(ADDRESS(2,COLUMN())),OFFSET($BN$2,0,0,ROW()-1,60),ROW()-1,FALSE))</f>
        <v/>
      </c>
      <c r="BA149" t="str">
        <f ca="1">IF(AND(ISNUMBER($BA$820),$B$677=1),$BA$820,HLOOKUP(INDIRECT(ADDRESS(2,COLUMN())),OFFSET($BN$2,0,0,ROW()-1,60),ROW()-1,FALSE))</f>
        <v/>
      </c>
      <c r="BB149" t="str">
        <f ca="1">IF(AND(ISNUMBER($BB$820),$B$677=1),$BB$820,HLOOKUP(INDIRECT(ADDRESS(2,COLUMN())),OFFSET($BN$2,0,0,ROW()-1,60),ROW()-1,FALSE))</f>
        <v/>
      </c>
      <c r="BC149" t="str">
        <f ca="1">IF(AND(ISNUMBER($BC$820),$B$677=1),$BC$820,HLOOKUP(INDIRECT(ADDRESS(2,COLUMN())),OFFSET($BN$2,0,0,ROW()-1,60),ROW()-1,FALSE))</f>
        <v/>
      </c>
      <c r="BD149" t="str">
        <f ca="1">IF(AND(ISNUMBER($BD$820),$B$677=1),$BD$820,HLOOKUP(INDIRECT(ADDRESS(2,COLUMN())),OFFSET($BN$2,0,0,ROW()-1,60),ROW()-1,FALSE))</f>
        <v/>
      </c>
      <c r="BE149" t="str">
        <f ca="1">IF(AND(ISNUMBER($BE$820),$B$677=1),$BE$820,HLOOKUP(INDIRECT(ADDRESS(2,COLUMN())),OFFSET($BN$2,0,0,ROW()-1,60),ROW()-1,FALSE))</f>
        <v/>
      </c>
      <c r="BF149" t="str">
        <f ca="1">IF(AND(ISNUMBER($BF$820),$B$677=1),$BF$820,HLOOKUP(INDIRECT(ADDRESS(2,COLUMN())),OFFSET($BN$2,0,0,ROW()-1,60),ROW()-1,FALSE))</f>
        <v/>
      </c>
      <c r="BG149" t="str">
        <f ca="1">IF(AND(ISNUMBER($BG$820),$B$677=1),$BG$820,HLOOKUP(INDIRECT(ADDRESS(2,COLUMN())),OFFSET($BN$2,0,0,ROW()-1,60),ROW()-1,FALSE))</f>
        <v/>
      </c>
      <c r="BH149" t="str">
        <f ca="1">IF(AND(ISNUMBER($BH$820),$B$677=1),$BH$820,HLOOKUP(INDIRECT(ADDRESS(2,COLUMN())),OFFSET($BN$2,0,0,ROW()-1,60),ROW()-1,FALSE))</f>
        <v/>
      </c>
      <c r="BI149" t="str">
        <f ca="1">IF(AND(ISNUMBER($BI$820),$B$677=1),$BI$820,HLOOKUP(INDIRECT(ADDRESS(2,COLUMN())),OFFSET($BN$2,0,0,ROW()-1,60),ROW()-1,FALSE))</f>
        <v/>
      </c>
      <c r="BJ149" t="str">
        <f ca="1">IF(AND(ISNUMBER($BJ$820),$B$677=1),$BJ$820,HLOOKUP(INDIRECT(ADDRESS(2,COLUMN())),OFFSET($BN$2,0,0,ROW()-1,60),ROW()-1,FALSE))</f>
        <v/>
      </c>
      <c r="BK149" t="str">
        <f ca="1">IF(AND(ISNUMBER($BK$820),$B$677=1),$BK$820,HLOOKUP(INDIRECT(ADDRESS(2,COLUMN())),OFFSET($BN$2,0,0,ROW()-1,60),ROW()-1,FALSE))</f>
        <v/>
      </c>
      <c r="BL149" t="str">
        <f ca="1">IF(AND(ISNUMBER($BL$820),$B$677=1),$BL$820,HLOOKUP(INDIRECT(ADDRESS(2,COLUMN())),OFFSET($BN$2,0,0,ROW()-1,60),ROW()-1,FALSE))</f>
        <v/>
      </c>
      <c r="BM149" t="str">
        <f ca="1">IF(AND(ISNUMBER($BM$820),$B$677=1),$BM$820,HLOOKUP(INDIRECT(ADDRESS(2,COLUMN())),OFFSET($BN$2,0,0,ROW()-1,60),ROW()-1,FALSE))</f>
        <v/>
      </c>
      <c r="BN149" t="str">
        <f>""</f>
        <v/>
      </c>
      <c r="BO149">
        <f>0.484570313</f>
        <v>0.48457031299999997</v>
      </c>
      <c r="BP149">
        <f>0.514626868</f>
        <v>0.51462686800000002</v>
      </c>
      <c r="BQ149">
        <f>0.45423136</f>
        <v>0.45423135999999997</v>
      </c>
      <c r="BR149">
        <f>0.460761689</f>
        <v>0.46076168899999997</v>
      </c>
      <c r="BS149">
        <f>0.500022665</f>
        <v>0.50002266500000003</v>
      </c>
      <c r="BT149">
        <f>0.469982573</f>
        <v>0.46998257300000001</v>
      </c>
      <c r="BU149">
        <f>0.564104271</f>
        <v>0.56410427100000005</v>
      </c>
      <c r="BV149">
        <f>0.561293454</f>
        <v>0.56129345399999997</v>
      </c>
      <c r="BW149">
        <f>0.598602565</f>
        <v>0.59860256499999998</v>
      </c>
      <c r="BX149">
        <f>0.66056734</f>
        <v>0.66056733999999995</v>
      </c>
      <c r="BY149">
        <f>0.685510014</f>
        <v>0.685510014</v>
      </c>
      <c r="BZ149">
        <f>0.79599353</f>
        <v>0.79599352999999995</v>
      </c>
      <c r="CA149">
        <f>0.871301233</f>
        <v>0.87130123299999995</v>
      </c>
      <c r="CB149">
        <f>0.896202187</f>
        <v>0.89620218699999998</v>
      </c>
      <c r="CC149">
        <f>0.780382119</f>
        <v>0.78038211899999999</v>
      </c>
      <c r="CD149">
        <f>0.816603602</f>
        <v>0.81660360200000004</v>
      </c>
      <c r="CE149">
        <f>0.942041219</f>
        <v>0.94204121900000004</v>
      </c>
      <c r="CF149">
        <f>0.975944971</f>
        <v>0.97594497099999999</v>
      </c>
      <c r="CG149">
        <f>1.060577605</f>
        <v>1.060577605</v>
      </c>
      <c r="CH149">
        <f>1.154906866</f>
        <v>1.1549068659999999</v>
      </c>
      <c r="CI149">
        <f>1.121693478</f>
        <v>1.1216934780000001</v>
      </c>
      <c r="CJ149">
        <f>1.359921934</f>
        <v>1.3599219339999999</v>
      </c>
      <c r="CK149">
        <f>1.349117909</f>
        <v>1.3491179090000001</v>
      </c>
      <c r="CL149">
        <f>1.302902251</f>
        <v>1.3029022509999999</v>
      </c>
      <c r="CM149">
        <f>1.358118551</f>
        <v>1.358118551</v>
      </c>
      <c r="CN149">
        <f>1.714259794</f>
        <v>1.7142597939999999</v>
      </c>
      <c r="CO149">
        <f>1.954160812</f>
        <v>1.954160812</v>
      </c>
      <c r="CP149">
        <f>2.076236516</f>
        <v>2.0762365159999998</v>
      </c>
      <c r="CQ149">
        <f>1.992709034</f>
        <v>1.992709034</v>
      </c>
      <c r="CR149">
        <f>2.219682084</f>
        <v>2.219682084</v>
      </c>
      <c r="CS149">
        <f>2.306329131</f>
        <v>2.306329131</v>
      </c>
      <c r="CT149">
        <f>2.521243452</f>
        <v>2.5212434520000002</v>
      </c>
      <c r="CU149" t="str">
        <f>""</f>
        <v/>
      </c>
      <c r="CV149" t="str">
        <f>""</f>
        <v/>
      </c>
      <c r="CW149" t="str">
        <f>""</f>
        <v/>
      </c>
      <c r="CX149" t="str">
        <f>""</f>
        <v/>
      </c>
      <c r="CY149" t="str">
        <f>""</f>
        <v/>
      </c>
      <c r="CZ149" t="str">
        <f>""</f>
        <v/>
      </c>
      <c r="DA149" t="str">
        <f>""</f>
        <v/>
      </c>
      <c r="DB149" t="str">
        <f>""</f>
        <v/>
      </c>
      <c r="DC149" t="str">
        <f>""</f>
        <v/>
      </c>
      <c r="DD149" t="str">
        <f>""</f>
        <v/>
      </c>
      <c r="DE149" t="str">
        <f>""</f>
        <v/>
      </c>
      <c r="DF149" t="str">
        <f>""</f>
        <v/>
      </c>
      <c r="DG149" t="str">
        <f>""</f>
        <v/>
      </c>
      <c r="DH149" t="str">
        <f>""</f>
        <v/>
      </c>
      <c r="DI149" t="str">
        <f>""</f>
        <v/>
      </c>
      <c r="DJ149" t="str">
        <f>""</f>
        <v/>
      </c>
      <c r="DK149" t="str">
        <f>""</f>
        <v/>
      </c>
      <c r="DL149" t="str">
        <f>""</f>
        <v/>
      </c>
      <c r="DM149" t="str">
        <f>""</f>
        <v/>
      </c>
      <c r="DN149" t="str">
        <f>""</f>
        <v/>
      </c>
      <c r="DO149" t="str">
        <f>""</f>
        <v/>
      </c>
      <c r="DP149" t="str">
        <f>""</f>
        <v/>
      </c>
      <c r="DQ149" t="str">
        <f>""</f>
        <v/>
      </c>
      <c r="DR149" t="str">
        <f>""</f>
        <v/>
      </c>
      <c r="DS149" t="str">
        <f>""</f>
        <v/>
      </c>
      <c r="DT149" t="str">
        <f>""</f>
        <v/>
      </c>
      <c r="DU149" t="str">
        <f>""</f>
        <v/>
      </c>
    </row>
    <row r="150" spans="1:125" x14ac:dyDescent="0.25">
      <c r="A150" t="str">
        <f>"    Mazda Motor Corp"</f>
        <v xml:space="preserve">    Mazda Motor Corp</v>
      </c>
      <c r="B150" t="str">
        <f>"7261 JP Equity"</f>
        <v>7261 JP Equity</v>
      </c>
      <c r="C150" t="str">
        <f t="shared" si="9"/>
        <v>RR903</v>
      </c>
      <c r="D150" t="str">
        <f t="shared" si="10"/>
        <v>PX_TO_BOOK_RATIO</v>
      </c>
      <c r="E150" t="str">
        <f t="shared" si="11"/>
        <v>Dynamic</v>
      </c>
      <c r="F150">
        <f ca="1">IF(AND(ISNUMBER($F$821),$B$677=1),$F$821,HLOOKUP(INDIRECT(ADDRESS(2,COLUMN())),OFFSET($BN$2,0,0,ROW()-1,60),ROW()-1,FALSE))</f>
        <v>0.67507848999999998</v>
      </c>
      <c r="G150">
        <f ca="1">IF(AND(ISNUMBER($G$821),$B$677=1),$G$821,HLOOKUP(INDIRECT(ADDRESS(2,COLUMN())),OFFSET($BN$2,0,0,ROW()-1,60),ROW()-1,FALSE))</f>
        <v>0.59558032299999997</v>
      </c>
      <c r="H150">
        <f ca="1">IF(AND(ISNUMBER($H$821),$B$677=1),$H$821,HLOOKUP(INDIRECT(ADDRESS(2,COLUMN())),OFFSET($BN$2,0,0,ROW()-1,60),ROW()-1,FALSE))</f>
        <v>0.71294830300000001</v>
      </c>
      <c r="I150">
        <f ca="1">IF(AND(ISNUMBER($I$821),$B$677=1),$I$821,HLOOKUP(INDIRECT(ADDRESS(2,COLUMN())),OFFSET($BN$2,0,0,ROW()-1,60),ROW()-1,FALSE))</f>
        <v>0.71415880799999998</v>
      </c>
      <c r="J150">
        <f ca="1">IF(AND(ISNUMBER($J$821),$B$677=1),$J$821,HLOOKUP(INDIRECT(ADDRESS(2,COLUMN())),OFFSET($BN$2,0,0,ROW()-1,60),ROW()-1,FALSE))</f>
        <v>0.74237851799999999</v>
      </c>
      <c r="K150">
        <f ca="1">IF(AND(ISNUMBER($K$821),$B$677=1),$K$821,HLOOKUP(INDIRECT(ADDRESS(2,COLUMN())),OFFSET($BN$2,0,0,ROW()-1,60),ROW()-1,FALSE))</f>
        <v>0.81092769399999998</v>
      </c>
      <c r="L150">
        <f ca="1">IF(AND(ISNUMBER($L$821),$B$677=1),$L$821,HLOOKUP(INDIRECT(ADDRESS(2,COLUMN())),OFFSET($BN$2,0,0,ROW()-1,60),ROW()-1,FALSE))</f>
        <v>0.940151446</v>
      </c>
      <c r="M150">
        <f ca="1">IF(AND(ISNUMBER($M$821),$B$677=1),$M$821,HLOOKUP(INDIRECT(ADDRESS(2,COLUMN())),OFFSET($BN$2,0,0,ROW()-1,60),ROW()-1,FALSE))</f>
        <v>0.88238665699999996</v>
      </c>
      <c r="N150">
        <f ca="1">IF(AND(ISNUMBER($N$821),$B$677=1),$N$821,HLOOKUP(INDIRECT(ADDRESS(2,COLUMN())),OFFSET($BN$2,0,0,ROW()-1,60),ROW()-1,FALSE))</f>
        <v>0.92187396399999999</v>
      </c>
      <c r="O150">
        <f ca="1">IF(AND(ISNUMBER($O$821),$B$677=1),$O$821,HLOOKUP(INDIRECT(ADDRESS(2,COLUMN())),OFFSET($BN$2,0,0,ROW()-1,60),ROW()-1,FALSE))</f>
        <v>1.133121517</v>
      </c>
      <c r="P150">
        <f ca="1">IF(AND(ISNUMBER($P$821),$B$677=1),$P$821,HLOOKUP(INDIRECT(ADDRESS(2,COLUMN())),OFFSET($BN$2,0,0,ROW()-1,60),ROW()-1,FALSE))</f>
        <v>0.93528898199999999</v>
      </c>
      <c r="Q150">
        <f ca="1">IF(AND(ISNUMBER($Q$821),$B$677=1),$Q$821,HLOOKUP(INDIRECT(ADDRESS(2,COLUMN())),OFFSET($BN$2,0,0,ROW()-1,60),ROW()-1,FALSE))</f>
        <v>0.85065622399999996</v>
      </c>
      <c r="R150">
        <f ca="1">IF(AND(ISNUMBER($R$821),$B$677=1),$R$821,HLOOKUP(INDIRECT(ADDRESS(2,COLUMN())),OFFSET($BN$2,0,0,ROW()-1,60),ROW()-1,FALSE))</f>
        <v>1.0944128719999999</v>
      </c>
      <c r="S150">
        <f ca="1">IF(AND(ISNUMBER($S$821),$B$677=1),$S$821,HLOOKUP(INDIRECT(ADDRESS(2,COLUMN())),OFFSET($BN$2,0,0,ROW()-1,60),ROW()-1,FALSE))</f>
        <v>1.5553195390000001</v>
      </c>
      <c r="T150">
        <f ca="1">IF(AND(ISNUMBER($T$821),$B$677=1),$T$821,HLOOKUP(INDIRECT(ADDRESS(2,COLUMN())),OFFSET($BN$2,0,0,ROW()-1,60),ROW()-1,FALSE))</f>
        <v>1.0471482009999999</v>
      </c>
      <c r="U150">
        <f ca="1">IF(AND(ISNUMBER($U$821),$B$677=1),$U$821,HLOOKUP(INDIRECT(ADDRESS(2,COLUMN())),OFFSET($BN$2,0,0,ROW()-1,60),ROW()-1,FALSE))</f>
        <v>1.594509231</v>
      </c>
      <c r="V150">
        <f ca="1">IF(AND(ISNUMBER($V$821),$B$677=1),$V$821,HLOOKUP(INDIRECT(ADDRESS(2,COLUMN())),OFFSET($BN$2,0,0,ROW()-1,60),ROW()-1,FALSE))</f>
        <v>1.676737999</v>
      </c>
      <c r="W150">
        <f ca="1">IF(AND(ISNUMBER($W$821),$B$677=1),$W$821,HLOOKUP(INDIRECT(ADDRESS(2,COLUMN())),OFFSET($BN$2,0,0,ROW()-1,60),ROW()-1,FALSE))</f>
        <v>1.8177646970000001</v>
      </c>
      <c r="X150">
        <f ca="1">IF(AND(ISNUMBER($X$821),$B$677=1),$X$821,HLOOKUP(INDIRECT(ADDRESS(2,COLUMN())),OFFSET($BN$2,0,0,ROW()-1,60),ROW()-1,FALSE))</f>
        <v>2.171909243</v>
      </c>
      <c r="Y150">
        <f ca="1">IF(AND(ISNUMBER($Y$821),$B$677=1),$Y$821,HLOOKUP(INDIRECT(ADDRESS(2,COLUMN())),OFFSET($BN$2,0,0,ROW()-1,60),ROW()-1,FALSE))</f>
        <v>2.0041403350000002</v>
      </c>
      <c r="Z150">
        <f ca="1">IF(AND(ISNUMBER($Z$821),$B$677=1),$Z$821,HLOOKUP(INDIRECT(ADDRESS(2,COLUMN())),OFFSET($BN$2,0,0,ROW()-1,60),ROW()-1,FALSE))</f>
        <v>2.0720125679999999</v>
      </c>
      <c r="AA150">
        <f ca="1">IF(AND(ISNUMBER($AA$821),$B$677=1),$AA$821,HLOOKUP(INDIRECT(ADDRESS(2,COLUMN())),OFFSET($BN$2,0,0,ROW()-1,60),ROW()-1,FALSE))</f>
        <v>2.7401740399999999</v>
      </c>
      <c r="AB150">
        <f ca="1">IF(AND(ISNUMBER($AB$821),$B$677=1),$AB$821,HLOOKUP(INDIRECT(ADDRESS(2,COLUMN())),OFFSET($BN$2,0,0,ROW()-1,60),ROW()-1,FALSE))</f>
        <v>2.3921083959999998</v>
      </c>
      <c r="AC150">
        <f ca="1">IF(AND(ISNUMBER($AC$821),$B$677=1),$AC$821,HLOOKUP(INDIRECT(ADDRESS(2,COLUMN())),OFFSET($BN$2,0,0,ROW()-1,60),ROW()-1,FALSE))</f>
        <v>2.2445297360000001</v>
      </c>
      <c r="AD150">
        <f ca="1">IF(AND(ISNUMBER($AD$821),$B$677=1),$AD$821,HLOOKUP(INDIRECT(ADDRESS(2,COLUMN())),OFFSET($BN$2,0,0,ROW()-1,60),ROW()-1,FALSE))</f>
        <v>1.6923733670000001</v>
      </c>
      <c r="AE150">
        <f ca="1">IF(AND(ISNUMBER($AE$821),$B$677=1),$AE$821,HLOOKUP(INDIRECT(ADDRESS(2,COLUMN())),OFFSET($BN$2,0,0,ROW()-1,60),ROW()-1,FALSE))</f>
        <v>1.085389816</v>
      </c>
      <c r="AF150">
        <f ca="1">IF(AND(ISNUMBER($AF$821),$B$677=1),$AF$821,HLOOKUP(INDIRECT(ADDRESS(2,COLUMN())),OFFSET($BN$2,0,0,ROW()-1,60),ROW()-1,FALSE))</f>
        <v>0.56834652299999999</v>
      </c>
      <c r="AG150">
        <f ca="1">IF(AND(ISNUMBER($AG$821),$B$677=1),$AG$821,HLOOKUP(INDIRECT(ADDRESS(2,COLUMN())),OFFSET($BN$2,0,0,ROW()-1,60),ROW()-1,FALSE))</f>
        <v>0.67860779500000001</v>
      </c>
      <c r="AH150">
        <f ca="1">IF(AND(ISNUMBER($AH$821),$B$677=1),$AH$821,HLOOKUP(INDIRECT(ADDRESS(2,COLUMN())),OFFSET($BN$2,0,0,ROW()-1,60),ROW()-1,FALSE))</f>
        <v>0.92393597100000002</v>
      </c>
      <c r="AI150">
        <f ca="1">IF(AND(ISNUMBER($AI$821),$B$677=1),$AI$821,HLOOKUP(INDIRECT(ADDRESS(2,COLUMN())),OFFSET($BN$2,0,0,ROW()-1,60),ROW()-1,FALSE))</f>
        <v>0.743422994</v>
      </c>
      <c r="AJ150">
        <f ca="1">IF(AND(ISNUMBER($AJ$821),$B$677=1),$AJ$821,HLOOKUP(INDIRECT(ADDRESS(2,COLUMN())),OFFSET($BN$2,0,0,ROW()-1,60),ROW()-1,FALSE))</f>
        <v>0.71237758100000004</v>
      </c>
      <c r="AK150">
        <f ca="1">IF(AND(ISNUMBER($AK$821),$B$677=1),$AK$821,HLOOKUP(INDIRECT(ADDRESS(2,COLUMN())),OFFSET($BN$2,0,0,ROW()-1,60),ROW()-1,FALSE))</f>
        <v>0.91370200700000004</v>
      </c>
      <c r="AL150">
        <f ca="1">IF(AND(ISNUMBER($AL$821),$B$677=1),$AL$821,HLOOKUP(INDIRECT(ADDRESS(2,COLUMN())),OFFSET($BN$2,0,0,ROW()-1,60),ROW()-1,FALSE))</f>
        <v>0.75463413899999998</v>
      </c>
      <c r="AM150">
        <f ca="1">IF(AND(ISNUMBER($AM$821),$B$677=1),$AM$821,HLOOKUP(INDIRECT(ADDRESS(2,COLUMN())),OFFSET($BN$2,0,0,ROW()-1,60),ROW()-1,FALSE))</f>
        <v>0.83260830299999999</v>
      </c>
      <c r="AN150">
        <f ca="1">IF(AND(ISNUMBER($AN$821),$B$677=1),$AN$821,HLOOKUP(INDIRECT(ADDRESS(2,COLUMN())),OFFSET($BN$2,0,0,ROW()-1,60),ROW()-1,FALSE))</f>
        <v>0.71116890099999996</v>
      </c>
      <c r="AO150">
        <f ca="1">IF(AND(ISNUMBER($AO$821),$B$677=1),$AO$821,HLOOKUP(INDIRECT(ADDRESS(2,COLUMN())),OFFSET($BN$2,0,0,ROW()-1,60),ROW()-1,FALSE))</f>
        <v>0.74348755300000002</v>
      </c>
      <c r="AP150">
        <f ca="1">IF(AND(ISNUMBER($AP$821),$B$677=1),$AP$821,HLOOKUP(INDIRECT(ADDRESS(2,COLUMN())),OFFSET($BN$2,0,0,ROW()-1,60),ROW()-1,FALSE))</f>
        <v>0.91582982700000004</v>
      </c>
      <c r="AQ150">
        <f ca="1">IF(AND(ISNUMBER($AQ$821),$B$677=1),$AQ$821,HLOOKUP(INDIRECT(ADDRESS(2,COLUMN())),OFFSET($BN$2,0,0,ROW()-1,60),ROW()-1,FALSE))</f>
        <v>0.75431752500000004</v>
      </c>
      <c r="AR150">
        <f ca="1">IF(AND(ISNUMBER($AR$821),$B$677=1),$AR$821,HLOOKUP(INDIRECT(ADDRESS(2,COLUMN())),OFFSET($BN$2,0,0,ROW()-1,60),ROW()-1,FALSE))</f>
        <v>0.65078304499999995</v>
      </c>
      <c r="AS150">
        <f ca="1">IF(AND(ISNUMBER($AS$821),$B$677=1),$AS$821,HLOOKUP(INDIRECT(ADDRESS(2,COLUMN())),OFFSET($BN$2,0,0,ROW()-1,60),ROW()-1,FALSE))</f>
        <v>0.81022911500000006</v>
      </c>
      <c r="AT150">
        <f ca="1">IF(AND(ISNUMBER($AT$821),$B$677=1),$AT$821,HLOOKUP(INDIRECT(ADDRESS(2,COLUMN())),OFFSET($BN$2,0,0,ROW()-1,60),ROW()-1,FALSE))</f>
        <v>0.52023301</v>
      </c>
      <c r="AU150">
        <f ca="1">IF(AND(ISNUMBER($AU$821),$B$677=1),$AU$821,HLOOKUP(INDIRECT(ADDRESS(2,COLUMN())),OFFSET($BN$2,0,0,ROW()-1,60),ROW()-1,FALSE))</f>
        <v>0.37534551700000002</v>
      </c>
      <c r="AV150">
        <f ca="1">IF(AND(ISNUMBER($AV$821),$B$677=1),$AV$821,HLOOKUP(INDIRECT(ADDRESS(2,COLUMN())),OFFSET($BN$2,0,0,ROW()-1,60),ROW()-1,FALSE))</f>
        <v>1.032043778</v>
      </c>
      <c r="AW150">
        <f ca="1">IF(AND(ISNUMBER($AW$821),$B$677=1),$AW$821,HLOOKUP(INDIRECT(ADDRESS(2,COLUMN())),OFFSET($BN$2,0,0,ROW()-1,60),ROW()-1,FALSE))</f>
        <v>1.416952776</v>
      </c>
      <c r="AX150">
        <f ca="1">IF(AND(ISNUMBER($AX$821),$B$677=1),$AX$821,HLOOKUP(INDIRECT(ADDRESS(2,COLUMN())),OFFSET($BN$2,0,0,ROW()-1,60),ROW()-1,FALSE))</f>
        <v>0.90058853000000005</v>
      </c>
      <c r="AY150">
        <f ca="1">IF(AND(ISNUMBER($AY$821),$B$677=1),$AY$821,HLOOKUP(INDIRECT(ADDRESS(2,COLUMN())),OFFSET($BN$2,0,0,ROW()-1,60),ROW()-1,FALSE))</f>
        <v>1.5611448400000001</v>
      </c>
      <c r="AZ150">
        <f ca="1">IF(AND(ISNUMBER($AZ$821),$B$677=1),$AZ$821,HLOOKUP(INDIRECT(ADDRESS(2,COLUMN())),OFFSET($BN$2,0,0,ROW()-1,60),ROW()-1,FALSE))</f>
        <v>1.638163032</v>
      </c>
      <c r="BA150">
        <f ca="1">IF(AND(ISNUMBER($BA$821),$B$677=1),$BA$821,HLOOKUP(INDIRECT(ADDRESS(2,COLUMN())),OFFSET($BN$2,0,0,ROW()-1,60),ROW()-1,FALSE))</f>
        <v>2.093632736</v>
      </c>
      <c r="BB150">
        <f ca="1">IF(AND(ISNUMBER($BB$821),$B$677=1),$BB$821,HLOOKUP(INDIRECT(ADDRESS(2,COLUMN())),OFFSET($BN$2,0,0,ROW()-1,60),ROW()-1,FALSE))</f>
        <v>1.9483831840000001</v>
      </c>
      <c r="BC150">
        <f ca="1">IF(AND(ISNUMBER($BC$821),$B$677=1),$BC$821,HLOOKUP(INDIRECT(ADDRESS(2,COLUMN())),OFFSET($BN$2,0,0,ROW()-1,60),ROW()-1,FALSE))</f>
        <v>2.6204830690000001</v>
      </c>
      <c r="BD150">
        <f ca="1">IF(AND(ISNUMBER($BD$821),$B$677=1),$BD$821,HLOOKUP(INDIRECT(ADDRESS(2,COLUMN())),OFFSET($BN$2,0,0,ROW()-1,60),ROW()-1,FALSE))</f>
        <v>2.4170324700000001</v>
      </c>
      <c r="BE150">
        <f ca="1">IF(AND(ISNUMBER($BE$821),$B$677=1),$BE$821,HLOOKUP(INDIRECT(ADDRESS(2,COLUMN())),OFFSET($BN$2,0,0,ROW()-1,60),ROW()-1,FALSE))</f>
        <v>2.5294096700000002</v>
      </c>
      <c r="BF150">
        <f ca="1">IF(AND(ISNUMBER($BF$821),$B$677=1),$BF$821,HLOOKUP(INDIRECT(ADDRESS(2,COLUMN())),OFFSET($BN$2,0,0,ROW()-1,60),ROW()-1,FALSE))</f>
        <v>2.5150925719999999</v>
      </c>
      <c r="BG150">
        <f ca="1">IF(AND(ISNUMBER($BG$821),$B$677=1),$BG$821,HLOOKUP(INDIRECT(ADDRESS(2,COLUMN())),OFFSET($BN$2,0,0,ROW()-1,60),ROW()-1,FALSE))</f>
        <v>2.059958741</v>
      </c>
      <c r="BH150">
        <f ca="1">IF(AND(ISNUMBER($BH$821),$B$677=1),$BH$821,HLOOKUP(INDIRECT(ADDRESS(2,COLUMN())),OFFSET($BN$2,0,0,ROW()-1,60),ROW()-1,FALSE))</f>
        <v>1.982854715</v>
      </c>
      <c r="BI150">
        <f ca="1">IF(AND(ISNUMBER($BI$821),$B$677=1),$BI$821,HLOOKUP(INDIRECT(ADDRESS(2,COLUMN())),OFFSET($BN$2,0,0,ROW()-1,60),ROW()-1,FALSE))</f>
        <v>1.8988628519999999</v>
      </c>
      <c r="BJ150">
        <f ca="1">IF(AND(ISNUMBER($BJ$821),$B$677=1),$BJ$821,HLOOKUP(INDIRECT(ADDRESS(2,COLUMN())),OFFSET($BN$2,0,0,ROW()-1,60),ROW()-1,FALSE))</f>
        <v>1.661982858</v>
      </c>
      <c r="BK150">
        <f ca="1">IF(AND(ISNUMBER($BK$821),$B$677=1),$BK$821,HLOOKUP(INDIRECT(ADDRESS(2,COLUMN())),OFFSET($BN$2,0,0,ROW()-1,60),ROW()-1,FALSE))</f>
        <v>1.5714310570000001</v>
      </c>
      <c r="BL150">
        <f ca="1">IF(AND(ISNUMBER($BL$821),$B$677=1),$BL$821,HLOOKUP(INDIRECT(ADDRESS(2,COLUMN())),OFFSET($BN$2,0,0,ROW()-1,60),ROW()-1,FALSE))</f>
        <v>1.722536689</v>
      </c>
      <c r="BM150">
        <f ca="1">IF(AND(ISNUMBER($BM$821),$B$677=1),$BM$821,HLOOKUP(INDIRECT(ADDRESS(2,COLUMN())),OFFSET($BN$2,0,0,ROW()-1,60),ROW()-1,FALSE))</f>
        <v>2.0198165220000002</v>
      </c>
      <c r="BN150">
        <f>0.67507849</f>
        <v>0.67507848999999998</v>
      </c>
      <c r="BO150">
        <f>0.595580323</f>
        <v>0.59558032299999997</v>
      </c>
      <c r="BP150">
        <f>0.712948303</f>
        <v>0.71294830300000001</v>
      </c>
      <c r="BQ150">
        <f>0.714158808</f>
        <v>0.71415880799999998</v>
      </c>
      <c r="BR150">
        <f>0.742378518</f>
        <v>0.74237851799999999</v>
      </c>
      <c r="BS150">
        <f>0.810927694</f>
        <v>0.81092769399999998</v>
      </c>
      <c r="BT150">
        <f>0.940151446</f>
        <v>0.940151446</v>
      </c>
      <c r="BU150">
        <f>0.882386657</f>
        <v>0.88238665699999996</v>
      </c>
      <c r="BV150">
        <f>0.921873964</f>
        <v>0.92187396399999999</v>
      </c>
      <c r="BW150">
        <f>1.133121517</f>
        <v>1.133121517</v>
      </c>
      <c r="BX150">
        <f>0.935288982</f>
        <v>0.93528898199999999</v>
      </c>
      <c r="BY150">
        <f>0.850656224</f>
        <v>0.85065622399999996</v>
      </c>
      <c r="BZ150">
        <f>1.094412872</f>
        <v>1.0944128719999999</v>
      </c>
      <c r="CA150">
        <f>1.555319539</f>
        <v>1.5553195390000001</v>
      </c>
      <c r="CB150">
        <f>1.047148201</f>
        <v>1.0471482009999999</v>
      </c>
      <c r="CC150">
        <f>1.594509231</f>
        <v>1.594509231</v>
      </c>
      <c r="CD150">
        <f>1.676737999</f>
        <v>1.676737999</v>
      </c>
      <c r="CE150">
        <f>1.817764697</f>
        <v>1.8177646970000001</v>
      </c>
      <c r="CF150">
        <f>2.171909243</f>
        <v>2.171909243</v>
      </c>
      <c r="CG150">
        <f>2.004140335</f>
        <v>2.0041403350000002</v>
      </c>
      <c r="CH150">
        <f>2.072012568</f>
        <v>2.0720125679999999</v>
      </c>
      <c r="CI150">
        <f>2.74017404</f>
        <v>2.7401740399999999</v>
      </c>
      <c r="CJ150">
        <f>2.392108396</f>
        <v>2.3921083959999998</v>
      </c>
      <c r="CK150">
        <f>2.244529736</f>
        <v>2.2445297360000001</v>
      </c>
      <c r="CL150">
        <f>1.692373367</f>
        <v>1.6923733670000001</v>
      </c>
      <c r="CM150">
        <f>1.085389816</f>
        <v>1.085389816</v>
      </c>
      <c r="CN150">
        <f>0.568346523</f>
        <v>0.56834652299999999</v>
      </c>
      <c r="CO150">
        <f>0.678607795</f>
        <v>0.67860779500000001</v>
      </c>
      <c r="CP150">
        <f>0.923935971</f>
        <v>0.92393597100000002</v>
      </c>
      <c r="CQ150">
        <f>0.743422994</f>
        <v>0.743422994</v>
      </c>
      <c r="CR150">
        <f>0.712377581</f>
        <v>0.71237758100000004</v>
      </c>
      <c r="CS150">
        <f>0.913702007</f>
        <v>0.91370200700000004</v>
      </c>
      <c r="CT150">
        <f>0.754634139</f>
        <v>0.75463413899999998</v>
      </c>
      <c r="CU150">
        <f>0.832608303</f>
        <v>0.83260830299999999</v>
      </c>
      <c r="CV150">
        <f>0.711168901</f>
        <v>0.71116890099999996</v>
      </c>
      <c r="CW150">
        <f>0.743487553</f>
        <v>0.74348755300000002</v>
      </c>
      <c r="CX150">
        <f>0.915829827</f>
        <v>0.91582982700000004</v>
      </c>
      <c r="CY150">
        <f>0.754317525</f>
        <v>0.75431752500000004</v>
      </c>
      <c r="CZ150">
        <f>0.650783045</f>
        <v>0.65078304499999995</v>
      </c>
      <c r="DA150">
        <f>0.810229115</f>
        <v>0.81022911500000006</v>
      </c>
      <c r="DB150">
        <f>0.52023301</f>
        <v>0.52023301</v>
      </c>
      <c r="DC150">
        <f>0.375345517</f>
        <v>0.37534551700000002</v>
      </c>
      <c r="DD150">
        <f>1.032043778</f>
        <v>1.032043778</v>
      </c>
      <c r="DE150">
        <f>1.416952776</f>
        <v>1.416952776</v>
      </c>
      <c r="DF150">
        <f>0.90058853</f>
        <v>0.90058853000000005</v>
      </c>
      <c r="DG150">
        <f>1.56114484</f>
        <v>1.5611448400000001</v>
      </c>
      <c r="DH150">
        <f>1.638163032</f>
        <v>1.638163032</v>
      </c>
      <c r="DI150">
        <f>2.093632736</f>
        <v>2.093632736</v>
      </c>
      <c r="DJ150">
        <f>1.948383184</f>
        <v>1.9483831840000001</v>
      </c>
      <c r="DK150">
        <f>2.620483069</f>
        <v>2.6204830690000001</v>
      </c>
      <c r="DL150">
        <f>2.41703247</f>
        <v>2.4170324700000001</v>
      </c>
      <c r="DM150">
        <f>2.52940967</f>
        <v>2.5294096700000002</v>
      </c>
      <c r="DN150">
        <f>2.515092572</f>
        <v>2.5150925719999999</v>
      </c>
      <c r="DO150">
        <f>2.059958741</f>
        <v>2.059958741</v>
      </c>
      <c r="DP150">
        <f>1.982854715</f>
        <v>1.982854715</v>
      </c>
      <c r="DQ150">
        <f>1.898862852</f>
        <v>1.8988628519999999</v>
      </c>
      <c r="DR150">
        <f>1.661982858</f>
        <v>1.661982858</v>
      </c>
      <c r="DS150">
        <f>1.571431057</f>
        <v>1.5714310570000001</v>
      </c>
      <c r="DT150">
        <f>1.722536689</f>
        <v>1.722536689</v>
      </c>
      <c r="DU150">
        <f>2.019816522</f>
        <v>2.0198165220000002</v>
      </c>
    </row>
    <row r="151" spans="1:125" x14ac:dyDescent="0.25">
      <c r="A151" t="str">
        <f>"    Mitsubishi Motors Corp"</f>
        <v xml:space="preserve">    Mitsubishi Motors Corp</v>
      </c>
      <c r="B151" t="str">
        <f>"7211 JP Equity"</f>
        <v>7211 JP Equity</v>
      </c>
      <c r="C151" t="str">
        <f t="shared" si="9"/>
        <v>RR903</v>
      </c>
      <c r="D151" t="str">
        <f t="shared" si="10"/>
        <v>PX_TO_BOOK_RATIO</v>
      </c>
      <c r="E151" t="str">
        <f t="shared" si="11"/>
        <v>Dynamic</v>
      </c>
      <c r="F151">
        <f ca="1">IF(AND(ISNUMBER($F$822),$B$677=1),$F$822,HLOOKUP(INDIRECT(ADDRESS(2,COLUMN())),OFFSET($BN$2,0,0,ROW()-1,60),ROW()-1,FALSE))</f>
        <v>1.148113717</v>
      </c>
      <c r="G151">
        <f ca="1">IF(AND(ISNUMBER($G$822),$B$677=1),$G$822,HLOOKUP(INDIRECT(ADDRESS(2,COLUMN())),OFFSET($BN$2,0,0,ROW()-1,60),ROW()-1,FALSE))</f>
        <v>1.109413255</v>
      </c>
      <c r="H151">
        <f ca="1">IF(AND(ISNUMBER($H$822),$B$677=1),$H$822,HLOOKUP(INDIRECT(ADDRESS(2,COLUMN())),OFFSET($BN$2,0,0,ROW()-1,60),ROW()-1,FALSE))</f>
        <v>1.465166389</v>
      </c>
      <c r="I151">
        <f ca="1">IF(AND(ISNUMBER($I$822),$B$677=1),$I$822,HLOOKUP(INDIRECT(ADDRESS(2,COLUMN())),OFFSET($BN$2,0,0,ROW()-1,60),ROW()-1,FALSE))</f>
        <v>1.678830936</v>
      </c>
      <c r="J151">
        <f ca="1">IF(AND(ISNUMBER($J$822),$B$677=1),$J$822,HLOOKUP(INDIRECT(ADDRESS(2,COLUMN())),OFFSET($BN$2,0,0,ROW()-1,60),ROW()-1,FALSE))</f>
        <v>1.45176284</v>
      </c>
      <c r="K151">
        <f ca="1">IF(AND(ISNUMBER($K$822),$B$677=1),$K$822,HLOOKUP(INDIRECT(ADDRESS(2,COLUMN())),OFFSET($BN$2,0,0,ROW()-1,60),ROW()-1,FALSE))</f>
        <v>1.613119102</v>
      </c>
      <c r="L151">
        <f ca="1">IF(AND(ISNUMBER($L$822),$B$677=1),$L$822,HLOOKUP(INDIRECT(ADDRESS(2,COLUMN())),OFFSET($BN$2,0,0,ROW()-1,60),ROW()-1,FALSE))</f>
        <v>1.8049931269999999</v>
      </c>
      <c r="M151">
        <f ca="1">IF(AND(ISNUMBER($M$822),$B$677=1),$M$822,HLOOKUP(INDIRECT(ADDRESS(2,COLUMN())),OFFSET($BN$2,0,0,ROW()-1,60),ROW()-1,FALSE))</f>
        <v>1.565991922</v>
      </c>
      <c r="N151">
        <f ca="1">IF(AND(ISNUMBER($N$822),$B$677=1),$N$822,HLOOKUP(INDIRECT(ADDRESS(2,COLUMN())),OFFSET($BN$2,0,0,ROW()-1,60),ROW()-1,FALSE))</f>
        <v>1.4437583039999999</v>
      </c>
      <c r="O151">
        <f ca="1">IF(AND(ISNUMBER($O$822),$B$677=1),$O$822,HLOOKUP(INDIRECT(ADDRESS(2,COLUMN())),OFFSET($BN$2,0,0,ROW()-1,60),ROW()-1,FALSE))</f>
        <v>1.4667075570000001</v>
      </c>
      <c r="P151">
        <f ca="1">IF(AND(ISNUMBER($P$822),$B$677=1),$P$822,HLOOKUP(INDIRECT(ADDRESS(2,COLUMN())),OFFSET($BN$2,0,0,ROW()-1,60),ROW()-1,FALSE))</f>
        <v>1.1223585789999999</v>
      </c>
      <c r="Q151">
        <f ca="1">IF(AND(ISNUMBER($Q$822),$B$677=1),$Q$822,HLOOKUP(INDIRECT(ADDRESS(2,COLUMN())),OFFSET($BN$2,0,0,ROW()-1,60),ROW()-1,FALSE))</f>
        <v>0.90653877999999999</v>
      </c>
      <c r="R151">
        <f ca="1">IF(AND(ISNUMBER($R$822),$B$677=1),$R$822,HLOOKUP(INDIRECT(ADDRESS(2,COLUMN())),OFFSET($BN$2,0,0,ROW()-1,60),ROW()-1,FALSE))</f>
        <v>1.2352564859999999</v>
      </c>
      <c r="S151">
        <f ca="1">IF(AND(ISNUMBER($S$822),$B$677=1),$S$822,HLOOKUP(INDIRECT(ADDRESS(2,COLUMN())),OFFSET($BN$2,0,0,ROW()-1,60),ROW()-1,FALSE))</f>
        <v>1.4613304789999999</v>
      </c>
      <c r="T151">
        <f ca="1">IF(AND(ISNUMBER($T$822),$B$677=1),$T$822,HLOOKUP(INDIRECT(ADDRESS(2,COLUMN())),OFFSET($BN$2,0,0,ROW()-1,60),ROW()-1,FALSE))</f>
        <v>1.3280047559999999</v>
      </c>
      <c r="U151">
        <f ca="1">IF(AND(ISNUMBER($U$822),$B$677=1),$U$822,HLOOKUP(INDIRECT(ADDRESS(2,COLUMN())),OFFSET($BN$2,0,0,ROW()-1,60),ROW()-1,FALSE))</f>
        <v>1.5271876529999999</v>
      </c>
      <c r="V151">
        <f ca="1">IF(AND(ISNUMBER($V$822),$B$677=1),$V$822,HLOOKUP(INDIRECT(ADDRESS(2,COLUMN())),OFFSET($BN$2,0,0,ROW()-1,60),ROW()-1,FALSE))</f>
        <v>1.6200220750000001</v>
      </c>
      <c r="W151">
        <f ca="1">IF(AND(ISNUMBER($W$822),$B$677=1),$W$822,HLOOKUP(INDIRECT(ADDRESS(2,COLUMN())),OFFSET($BN$2,0,0,ROW()-1,60),ROW()-1,FALSE))</f>
        <v>1.6840351979999999</v>
      </c>
      <c r="X151">
        <f ca="1">IF(AND(ISNUMBER($X$822),$B$677=1),$X$822,HLOOKUP(INDIRECT(ADDRESS(2,COLUMN())),OFFSET($BN$2,0,0,ROW()-1,60),ROW()-1,FALSE))</f>
        <v>2.2012924489999999</v>
      </c>
      <c r="Y151">
        <f ca="1">IF(AND(ISNUMBER($Y$822),$B$677=1),$Y$822,HLOOKUP(INDIRECT(ADDRESS(2,COLUMN())),OFFSET($BN$2,0,0,ROW()-1,60),ROW()-1,FALSE))</f>
        <v>2.0153723289999999</v>
      </c>
      <c r="Z151">
        <f ca="1">IF(AND(ISNUMBER($Z$822),$B$677=1),$Z$822,HLOOKUP(INDIRECT(ADDRESS(2,COLUMN())),OFFSET($BN$2,0,0,ROW()-1,60),ROW()-1,FALSE))</f>
        <v>1.964945237</v>
      </c>
      <c r="AA151">
        <f ca="1">IF(AND(ISNUMBER($AA$822),$B$677=1),$AA$822,HLOOKUP(INDIRECT(ADDRESS(2,COLUMN())),OFFSET($BN$2,0,0,ROW()-1,60),ROW()-1,FALSE))</f>
        <v>12.7950304</v>
      </c>
      <c r="AB151">
        <f ca="1">IF(AND(ISNUMBER($AB$822),$B$677=1),$AB$822,HLOOKUP(INDIRECT(ADDRESS(2,COLUMN())),OFFSET($BN$2,0,0,ROW()-1,60),ROW()-1,FALSE))</f>
        <v>130.17882900000001</v>
      </c>
      <c r="AC151" t="str">
        <f ca="1">IF(AND(ISNUMBER($AC$822),$B$677=1),$AC$822,HLOOKUP(INDIRECT(ADDRESS(2,COLUMN())),OFFSET($BN$2,0,0,ROW()-1,60),ROW()-1,FALSE))</f>
        <v/>
      </c>
      <c r="AD151" t="str">
        <f ca="1">IF(AND(ISNUMBER($AD$822),$B$677=1),$AD$822,HLOOKUP(INDIRECT(ADDRESS(2,COLUMN())),OFFSET($BN$2,0,0,ROW()-1,60),ROW()-1,FALSE))</f>
        <v/>
      </c>
      <c r="AE151" t="str">
        <f ca="1">IF(AND(ISNUMBER($AE$822),$B$677=1),$AE$822,HLOOKUP(INDIRECT(ADDRESS(2,COLUMN())),OFFSET($BN$2,0,0,ROW()-1,60),ROW()-1,FALSE))</f>
        <v/>
      </c>
      <c r="AF151" t="str">
        <f ca="1">IF(AND(ISNUMBER($AF$822),$B$677=1),$AF$822,HLOOKUP(INDIRECT(ADDRESS(2,COLUMN())),OFFSET($BN$2,0,0,ROW()-1,60),ROW()-1,FALSE))</f>
        <v/>
      </c>
      <c r="AG151" t="str">
        <f ca="1">IF(AND(ISNUMBER($AG$822),$B$677=1),$AG$822,HLOOKUP(INDIRECT(ADDRESS(2,COLUMN())),OFFSET($BN$2,0,0,ROW()-1,60),ROW()-1,FALSE))</f>
        <v/>
      </c>
      <c r="AH151" t="str">
        <f ca="1">IF(AND(ISNUMBER($AH$822),$B$677=1),$AH$822,HLOOKUP(INDIRECT(ADDRESS(2,COLUMN())),OFFSET($BN$2,0,0,ROW()-1,60),ROW()-1,FALSE))</f>
        <v/>
      </c>
      <c r="AI151" t="str">
        <f ca="1">IF(AND(ISNUMBER($AI$822),$B$677=1),$AI$822,HLOOKUP(INDIRECT(ADDRESS(2,COLUMN())),OFFSET($BN$2,0,0,ROW()-1,60),ROW()-1,FALSE))</f>
        <v/>
      </c>
      <c r="AJ151" t="str">
        <f ca="1">IF(AND(ISNUMBER($AJ$822),$B$677=1),$AJ$822,HLOOKUP(INDIRECT(ADDRESS(2,COLUMN())),OFFSET($BN$2,0,0,ROW()-1,60),ROW()-1,FALSE))</f>
        <v/>
      </c>
      <c r="AK151" t="str">
        <f ca="1">IF(AND(ISNUMBER($AK$822),$B$677=1),$AK$822,HLOOKUP(INDIRECT(ADDRESS(2,COLUMN())),OFFSET($BN$2,0,0,ROW()-1,60),ROW()-1,FALSE))</f>
        <v/>
      </c>
      <c r="AL151" t="str">
        <f ca="1">IF(AND(ISNUMBER($AL$822),$B$677=1),$AL$822,HLOOKUP(INDIRECT(ADDRESS(2,COLUMN())),OFFSET($BN$2,0,0,ROW()-1,60),ROW()-1,FALSE))</f>
        <v/>
      </c>
      <c r="AM151" t="str">
        <f ca="1">IF(AND(ISNUMBER($AM$822),$B$677=1),$AM$822,HLOOKUP(INDIRECT(ADDRESS(2,COLUMN())),OFFSET($BN$2,0,0,ROW()-1,60),ROW()-1,FALSE))</f>
        <v/>
      </c>
      <c r="AN151" t="str">
        <f ca="1">IF(AND(ISNUMBER($AN$822),$B$677=1),$AN$822,HLOOKUP(INDIRECT(ADDRESS(2,COLUMN())),OFFSET($BN$2,0,0,ROW()-1,60),ROW()-1,FALSE))</f>
        <v/>
      </c>
      <c r="AO151" t="str">
        <f ca="1">IF(AND(ISNUMBER($AO$822),$B$677=1),$AO$822,HLOOKUP(INDIRECT(ADDRESS(2,COLUMN())),OFFSET($BN$2,0,0,ROW()-1,60),ROW()-1,FALSE))</f>
        <v/>
      </c>
      <c r="AP151" t="str">
        <f ca="1">IF(AND(ISNUMBER($AP$822),$B$677=1),$AP$822,HLOOKUP(INDIRECT(ADDRESS(2,COLUMN())),OFFSET($BN$2,0,0,ROW()-1,60),ROW()-1,FALSE))</f>
        <v/>
      </c>
      <c r="AQ151" t="str">
        <f ca="1">IF(AND(ISNUMBER($AQ$822),$B$677=1),$AQ$822,HLOOKUP(INDIRECT(ADDRESS(2,COLUMN())),OFFSET($BN$2,0,0,ROW()-1,60),ROW()-1,FALSE))</f>
        <v/>
      </c>
      <c r="AR151" t="str">
        <f ca="1">IF(AND(ISNUMBER($AR$822),$B$677=1),$AR$822,HLOOKUP(INDIRECT(ADDRESS(2,COLUMN())),OFFSET($BN$2,0,0,ROW()-1,60),ROW()-1,FALSE))</f>
        <v/>
      </c>
      <c r="AS151" t="str">
        <f ca="1">IF(AND(ISNUMBER($AS$822),$B$677=1),$AS$822,HLOOKUP(INDIRECT(ADDRESS(2,COLUMN())),OFFSET($BN$2,0,0,ROW()-1,60),ROW()-1,FALSE))</f>
        <v/>
      </c>
      <c r="AT151" t="str">
        <f ca="1">IF(AND(ISNUMBER($AT$822),$B$677=1),$AT$822,HLOOKUP(INDIRECT(ADDRESS(2,COLUMN())),OFFSET($BN$2,0,0,ROW()-1,60),ROW()-1,FALSE))</f>
        <v/>
      </c>
      <c r="AU151" t="str">
        <f ca="1">IF(AND(ISNUMBER($AU$822),$B$677=1),$AU$822,HLOOKUP(INDIRECT(ADDRESS(2,COLUMN())),OFFSET($BN$2,0,0,ROW()-1,60),ROW()-1,FALSE))</f>
        <v/>
      </c>
      <c r="AV151" t="str">
        <f ca="1">IF(AND(ISNUMBER($AV$822),$B$677=1),$AV$822,HLOOKUP(INDIRECT(ADDRESS(2,COLUMN())),OFFSET($BN$2,0,0,ROW()-1,60),ROW()-1,FALSE))</f>
        <v/>
      </c>
      <c r="AW151" t="str">
        <f ca="1">IF(AND(ISNUMBER($AW$822),$B$677=1),$AW$822,HLOOKUP(INDIRECT(ADDRESS(2,COLUMN())),OFFSET($BN$2,0,0,ROW()-1,60),ROW()-1,FALSE))</f>
        <v/>
      </c>
      <c r="AX151" t="str">
        <f ca="1">IF(AND(ISNUMBER($AX$822),$B$677=1),$AX$822,HLOOKUP(INDIRECT(ADDRESS(2,COLUMN())),OFFSET($BN$2,0,0,ROW()-1,60),ROW()-1,FALSE))</f>
        <v/>
      </c>
      <c r="AY151" t="str">
        <f ca="1">IF(AND(ISNUMBER($AY$822),$B$677=1),$AY$822,HLOOKUP(INDIRECT(ADDRESS(2,COLUMN())),OFFSET($BN$2,0,0,ROW()-1,60),ROW()-1,FALSE))</f>
        <v/>
      </c>
      <c r="AZ151" t="str">
        <f ca="1">IF(AND(ISNUMBER($AZ$822),$B$677=1),$AZ$822,HLOOKUP(INDIRECT(ADDRESS(2,COLUMN())),OFFSET($BN$2,0,0,ROW()-1,60),ROW()-1,FALSE))</f>
        <v/>
      </c>
      <c r="BA151" t="str">
        <f ca="1">IF(AND(ISNUMBER($BA$822),$B$677=1),$BA$822,HLOOKUP(INDIRECT(ADDRESS(2,COLUMN())),OFFSET($BN$2,0,0,ROW()-1,60),ROW()-1,FALSE))</f>
        <v/>
      </c>
      <c r="BB151" t="str">
        <f ca="1">IF(AND(ISNUMBER($BB$822),$B$677=1),$BB$822,HLOOKUP(INDIRECT(ADDRESS(2,COLUMN())),OFFSET($BN$2,0,0,ROW()-1,60),ROW()-1,FALSE))</f>
        <v/>
      </c>
      <c r="BC151" t="str">
        <f ca="1">IF(AND(ISNUMBER($BC$822),$B$677=1),$BC$822,HLOOKUP(INDIRECT(ADDRESS(2,COLUMN())),OFFSET($BN$2,0,0,ROW()-1,60),ROW()-1,FALSE))</f>
        <v/>
      </c>
      <c r="BD151" t="str">
        <f ca="1">IF(AND(ISNUMBER($BD$822),$B$677=1),$BD$822,HLOOKUP(INDIRECT(ADDRESS(2,COLUMN())),OFFSET($BN$2,0,0,ROW()-1,60),ROW()-1,FALSE))</f>
        <v/>
      </c>
      <c r="BE151" t="str">
        <f ca="1">IF(AND(ISNUMBER($BE$822),$B$677=1),$BE$822,HLOOKUP(INDIRECT(ADDRESS(2,COLUMN())),OFFSET($BN$2,0,0,ROW()-1,60),ROW()-1,FALSE))</f>
        <v/>
      </c>
      <c r="BF151" t="str">
        <f ca="1">IF(AND(ISNUMBER($BF$822),$B$677=1),$BF$822,HLOOKUP(INDIRECT(ADDRESS(2,COLUMN())),OFFSET($BN$2,0,0,ROW()-1,60),ROW()-1,FALSE))</f>
        <v/>
      </c>
      <c r="BG151" t="str">
        <f ca="1">IF(AND(ISNUMBER($BG$822),$B$677=1),$BG$822,HLOOKUP(INDIRECT(ADDRESS(2,COLUMN())),OFFSET($BN$2,0,0,ROW()-1,60),ROW()-1,FALSE))</f>
        <v/>
      </c>
      <c r="BH151" t="str">
        <f ca="1">IF(AND(ISNUMBER($BH$822),$B$677=1),$BH$822,HLOOKUP(INDIRECT(ADDRESS(2,COLUMN())),OFFSET($BN$2,0,0,ROW()-1,60),ROW()-1,FALSE))</f>
        <v/>
      </c>
      <c r="BI151" t="str">
        <f ca="1">IF(AND(ISNUMBER($BI$822),$B$677=1),$BI$822,HLOOKUP(INDIRECT(ADDRESS(2,COLUMN())),OFFSET($BN$2,0,0,ROW()-1,60),ROW()-1,FALSE))</f>
        <v/>
      </c>
      <c r="BJ151" t="str">
        <f ca="1">IF(AND(ISNUMBER($BJ$822),$B$677=1),$BJ$822,HLOOKUP(INDIRECT(ADDRESS(2,COLUMN())),OFFSET($BN$2,0,0,ROW()-1,60),ROW()-1,FALSE))</f>
        <v/>
      </c>
      <c r="BK151" t="str">
        <f ca="1">IF(AND(ISNUMBER($BK$822),$B$677=1),$BK$822,HLOOKUP(INDIRECT(ADDRESS(2,COLUMN())),OFFSET($BN$2,0,0,ROW()-1,60),ROW()-1,FALSE))</f>
        <v/>
      </c>
      <c r="BL151" t="str">
        <f ca="1">IF(AND(ISNUMBER($BL$822),$B$677=1),$BL$822,HLOOKUP(INDIRECT(ADDRESS(2,COLUMN())),OFFSET($BN$2,0,0,ROW()-1,60),ROW()-1,FALSE))</f>
        <v/>
      </c>
      <c r="BM151">
        <f ca="1">IF(AND(ISNUMBER($BM$822),$B$677=1),$BM$822,HLOOKUP(INDIRECT(ADDRESS(2,COLUMN())),OFFSET($BN$2,0,0,ROW()-1,60),ROW()-1,FALSE))</f>
        <v>9.0078644860000008</v>
      </c>
      <c r="BN151">
        <f>1.148113717</f>
        <v>1.148113717</v>
      </c>
      <c r="BO151">
        <f>1.109413255</f>
        <v>1.109413255</v>
      </c>
      <c r="BP151">
        <f>1.465166389</f>
        <v>1.465166389</v>
      </c>
      <c r="BQ151">
        <f>1.678830936</f>
        <v>1.678830936</v>
      </c>
      <c r="BR151">
        <f>1.45176284</f>
        <v>1.45176284</v>
      </c>
      <c r="BS151">
        <f>1.613119102</f>
        <v>1.613119102</v>
      </c>
      <c r="BT151">
        <f>1.804993127</f>
        <v>1.8049931269999999</v>
      </c>
      <c r="BU151">
        <f>1.565991922</f>
        <v>1.565991922</v>
      </c>
      <c r="BV151">
        <f>1.443758304</f>
        <v>1.4437583039999999</v>
      </c>
      <c r="BW151">
        <f>1.466707557</f>
        <v>1.4667075570000001</v>
      </c>
      <c r="BX151">
        <f>1.122358579</f>
        <v>1.1223585789999999</v>
      </c>
      <c r="BY151">
        <f>0.90653878</f>
        <v>0.90653877999999999</v>
      </c>
      <c r="BZ151">
        <f>1.235256486</f>
        <v>1.2352564859999999</v>
      </c>
      <c r="CA151">
        <f>1.461330479</f>
        <v>1.4613304789999999</v>
      </c>
      <c r="CB151">
        <f>1.328004756</f>
        <v>1.3280047559999999</v>
      </c>
      <c r="CC151">
        <f>1.527187653</f>
        <v>1.5271876529999999</v>
      </c>
      <c r="CD151">
        <f>1.620022075</f>
        <v>1.6200220750000001</v>
      </c>
      <c r="CE151">
        <f>1.684035198</f>
        <v>1.6840351979999999</v>
      </c>
      <c r="CF151">
        <f>2.201292449</f>
        <v>2.2012924489999999</v>
      </c>
      <c r="CG151">
        <f>2.015372329</f>
        <v>2.0153723289999999</v>
      </c>
      <c r="CH151">
        <f>1.964945237</f>
        <v>1.964945237</v>
      </c>
      <c r="CI151">
        <f>12.7950304</f>
        <v>12.7950304</v>
      </c>
      <c r="CJ151">
        <f>130.178829</f>
        <v>130.17882900000001</v>
      </c>
      <c r="CK151" t="str">
        <f>""</f>
        <v/>
      </c>
      <c r="CL151" t="str">
        <f>""</f>
        <v/>
      </c>
      <c r="CM151" t="str">
        <f>""</f>
        <v/>
      </c>
      <c r="CN151" t="str">
        <f>""</f>
        <v/>
      </c>
      <c r="CO151" t="str">
        <f>""</f>
        <v/>
      </c>
      <c r="CP151" t="str">
        <f>""</f>
        <v/>
      </c>
      <c r="CQ151" t="str">
        <f>""</f>
        <v/>
      </c>
      <c r="CR151" t="str">
        <f>""</f>
        <v/>
      </c>
      <c r="CS151" t="str">
        <f>""</f>
        <v/>
      </c>
      <c r="CT151" t="str">
        <f>""</f>
        <v/>
      </c>
      <c r="CU151" t="str">
        <f>""</f>
        <v/>
      </c>
      <c r="CV151" t="str">
        <f>""</f>
        <v/>
      </c>
      <c r="CW151" t="str">
        <f>""</f>
        <v/>
      </c>
      <c r="CX151" t="str">
        <f>""</f>
        <v/>
      </c>
      <c r="CY151" t="str">
        <f>""</f>
        <v/>
      </c>
      <c r="CZ151" t="str">
        <f>""</f>
        <v/>
      </c>
      <c r="DA151" t="str">
        <f>""</f>
        <v/>
      </c>
      <c r="DB151" t="str">
        <f>""</f>
        <v/>
      </c>
      <c r="DC151" t="str">
        <f>""</f>
        <v/>
      </c>
      <c r="DD151" t="str">
        <f>""</f>
        <v/>
      </c>
      <c r="DE151" t="str">
        <f>""</f>
        <v/>
      </c>
      <c r="DF151" t="str">
        <f>""</f>
        <v/>
      </c>
      <c r="DG151" t="str">
        <f>""</f>
        <v/>
      </c>
      <c r="DH151" t="str">
        <f>""</f>
        <v/>
      </c>
      <c r="DI151" t="str">
        <f>""</f>
        <v/>
      </c>
      <c r="DJ151" t="str">
        <f>""</f>
        <v/>
      </c>
      <c r="DK151" t="str">
        <f>""</f>
        <v/>
      </c>
      <c r="DL151" t="str">
        <f>""</f>
        <v/>
      </c>
      <c r="DM151" t="str">
        <f>""</f>
        <v/>
      </c>
      <c r="DN151" t="str">
        <f>""</f>
        <v/>
      </c>
      <c r="DO151" t="str">
        <f>""</f>
        <v/>
      </c>
      <c r="DP151" t="str">
        <f>""</f>
        <v/>
      </c>
      <c r="DQ151" t="str">
        <f>""</f>
        <v/>
      </c>
      <c r="DR151" t="str">
        <f>""</f>
        <v/>
      </c>
      <c r="DS151" t="str">
        <f>""</f>
        <v/>
      </c>
      <c r="DT151" t="str">
        <f>""</f>
        <v/>
      </c>
      <c r="DU151">
        <f>9.007864486</f>
        <v>9.0078644860000008</v>
      </c>
    </row>
    <row r="152" spans="1:125" x14ac:dyDescent="0.25">
      <c r="A152" t="str">
        <f>"    Nissan Motor Co Ltd"</f>
        <v xml:space="preserve">    Nissan Motor Co Ltd</v>
      </c>
      <c r="B152" t="str">
        <f>"7201 JP Equity"</f>
        <v>7201 JP Equity</v>
      </c>
      <c r="C152" t="str">
        <f t="shared" si="9"/>
        <v>RR903</v>
      </c>
      <c r="D152" t="str">
        <f t="shared" si="10"/>
        <v>PX_TO_BOOK_RATIO</v>
      </c>
      <c r="E152" t="str">
        <f t="shared" si="11"/>
        <v>Dynamic</v>
      </c>
      <c r="F152">
        <f ca="1">IF(AND(ISNUMBER($F$823),$B$677=1),$F$823,HLOOKUP(INDIRECT(ADDRESS(2,COLUMN())),OFFSET($BN$2,0,0,ROW()-1,60),ROW()-1,FALSE))</f>
        <v>0.69451043099999998</v>
      </c>
      <c r="G152">
        <f ca="1">IF(AND(ISNUMBER($G$823),$B$677=1),$G$823,HLOOKUP(INDIRECT(ADDRESS(2,COLUMN())),OFFSET($BN$2,0,0,ROW()-1,60),ROW()-1,FALSE))</f>
        <v>0.64518523900000002</v>
      </c>
      <c r="H152">
        <f ca="1">IF(AND(ISNUMBER($H$823),$B$677=1),$H$823,HLOOKUP(INDIRECT(ADDRESS(2,COLUMN())),OFFSET($BN$2,0,0,ROW()-1,60),ROW()-1,FALSE))</f>
        <v>0.75940268600000005</v>
      </c>
      <c r="I152">
        <f ca="1">IF(AND(ISNUMBER($I$823),$B$677=1),$I$823,HLOOKUP(INDIRECT(ADDRESS(2,COLUMN())),OFFSET($BN$2,0,0,ROW()-1,60),ROW()-1,FALSE))</f>
        <v>0.79501898500000001</v>
      </c>
      <c r="J152">
        <f ca="1">IF(AND(ISNUMBER($J$823),$B$677=1),$J$823,HLOOKUP(INDIRECT(ADDRESS(2,COLUMN())),OFFSET($BN$2,0,0,ROW()-1,60),ROW()-1,FALSE))</f>
        <v>0.80170409099999995</v>
      </c>
      <c r="K152">
        <f ca="1">IF(AND(ISNUMBER($K$823),$B$677=1),$K$823,HLOOKUP(INDIRECT(ADDRESS(2,COLUMN())),OFFSET($BN$2,0,0,ROW()-1,60),ROW()-1,FALSE))</f>
        <v>0.82704683700000003</v>
      </c>
      <c r="L152">
        <f ca="1">IF(AND(ISNUMBER($L$823),$B$677=1),$L$823,HLOOKUP(INDIRECT(ADDRESS(2,COLUMN())),OFFSET($BN$2,0,0,ROW()-1,60),ROW()-1,FALSE))</f>
        <v>0.85690069499999999</v>
      </c>
      <c r="M152">
        <f ca="1">IF(AND(ISNUMBER($M$823),$B$677=1),$M$823,HLOOKUP(INDIRECT(ADDRESS(2,COLUMN())),OFFSET($BN$2,0,0,ROW()-1,60),ROW()-1,FALSE))</f>
        <v>0.89470768899999997</v>
      </c>
      <c r="N152">
        <f ca="1">IF(AND(ISNUMBER($N$823),$B$677=1),$N$823,HLOOKUP(INDIRECT(ADDRESS(2,COLUMN())),OFFSET($BN$2,0,0,ROW()-1,60),ROW()-1,FALSE))</f>
        <v>0.86363506199999995</v>
      </c>
      <c r="O152">
        <f ca="1">IF(AND(ISNUMBER($O$823),$B$677=1),$O$823,HLOOKUP(INDIRECT(ADDRESS(2,COLUMN())),OFFSET($BN$2,0,0,ROW()-1,60),ROW()-1,FALSE))</f>
        <v>1.026574082</v>
      </c>
      <c r="P152">
        <f ca="1">IF(AND(ISNUMBER($P$823),$B$677=1),$P$823,HLOOKUP(INDIRECT(ADDRESS(2,COLUMN())),OFFSET($BN$2,0,0,ROW()-1,60),ROW()-1,FALSE))</f>
        <v>0.923052121</v>
      </c>
      <c r="Q152">
        <f ca="1">IF(AND(ISNUMBER($Q$823),$B$677=1),$Q$823,HLOOKUP(INDIRECT(ADDRESS(2,COLUMN())),OFFSET($BN$2,0,0,ROW()-1,60),ROW()-1,FALSE))</f>
        <v>0.85174911099999995</v>
      </c>
      <c r="R152">
        <f ca="1">IF(AND(ISNUMBER($R$823),$B$677=1),$R$823,HLOOKUP(INDIRECT(ADDRESS(2,COLUMN())),OFFSET($BN$2,0,0,ROW()-1,60),ROW()-1,FALSE))</f>
        <v>0.91946268900000006</v>
      </c>
      <c r="S152">
        <f ca="1">IF(AND(ISNUMBER($S$823),$B$677=1),$S$823,HLOOKUP(INDIRECT(ADDRESS(2,COLUMN())),OFFSET($BN$2,0,0,ROW()-1,60),ROW()-1,FALSE))</f>
        <v>1.087053415</v>
      </c>
      <c r="T152">
        <f ca="1">IF(AND(ISNUMBER($T$823),$B$677=1),$T$823,HLOOKUP(INDIRECT(ADDRESS(2,COLUMN())),OFFSET($BN$2,0,0,ROW()-1,60),ROW()-1,FALSE))</f>
        <v>0.93000558700000002</v>
      </c>
      <c r="U152">
        <f ca="1">IF(AND(ISNUMBER($U$823),$B$677=1),$U$823,HLOOKUP(INDIRECT(ADDRESS(2,COLUMN())),OFFSET($BN$2,0,0,ROW()-1,60),ROW()-1,FALSE))</f>
        <v>1.0835478460000001</v>
      </c>
      <c r="V152">
        <f ca="1">IF(AND(ISNUMBER($V$823),$B$677=1),$V$823,HLOOKUP(INDIRECT(ADDRESS(2,COLUMN())),OFFSET($BN$2,0,0,ROW()-1,60),ROW()-1,FALSE))</f>
        <v>1.0612311379999999</v>
      </c>
      <c r="W152">
        <f ca="1">IF(AND(ISNUMBER($W$823),$B$677=1),$W$823,HLOOKUP(INDIRECT(ADDRESS(2,COLUMN())),OFFSET($BN$2,0,0,ROW()-1,60),ROW()-1,FALSE))</f>
        <v>0.940942151</v>
      </c>
      <c r="X152">
        <f ca="1">IF(AND(ISNUMBER($X$823),$B$677=1),$X$823,HLOOKUP(INDIRECT(ADDRESS(2,COLUMN())),OFFSET($BN$2,0,0,ROW()-1,60),ROW()-1,FALSE))</f>
        <v>0.99489985599999997</v>
      </c>
      <c r="Y152">
        <f ca="1">IF(AND(ISNUMBER($Y$823),$B$677=1),$Y$823,HLOOKUP(INDIRECT(ADDRESS(2,COLUMN())),OFFSET($BN$2,0,0,ROW()-1,60),ROW()-1,FALSE))</f>
        <v>0.94002921900000003</v>
      </c>
      <c r="Z152">
        <f ca="1">IF(AND(ISNUMBER($Z$823),$B$677=1),$Z$823,HLOOKUP(INDIRECT(ADDRESS(2,COLUMN())),OFFSET($BN$2,0,0,ROW()-1,60),ROW()-1,FALSE))</f>
        <v>0.88834443200000002</v>
      </c>
      <c r="AA152">
        <f ca="1">IF(AND(ISNUMBER($AA$823),$B$677=1),$AA$823,HLOOKUP(INDIRECT(ADDRESS(2,COLUMN())),OFFSET($BN$2,0,0,ROW()-1,60),ROW()-1,FALSE))</f>
        <v>0.877726216</v>
      </c>
      <c r="AB152">
        <f ca="1">IF(AND(ISNUMBER($AB$823),$B$677=1),$AB$823,HLOOKUP(INDIRECT(ADDRESS(2,COLUMN())),OFFSET($BN$2,0,0,ROW()-1,60),ROW()-1,FALSE))</f>
        <v>1.0198504610000001</v>
      </c>
      <c r="AC152">
        <f ca="1">IF(AND(ISNUMBER($AC$823),$B$677=1),$AC$823,HLOOKUP(INDIRECT(ADDRESS(2,COLUMN())),OFFSET($BN$2,0,0,ROW()-1,60),ROW()-1,FALSE))</f>
        <v>1.0850594360000001</v>
      </c>
      <c r="AD152">
        <f ca="1">IF(AND(ISNUMBER($AD$823),$B$677=1),$AD$823,HLOOKUP(INDIRECT(ADDRESS(2,COLUMN())),OFFSET($BN$2,0,0,ROW()-1,60),ROW()-1,FALSE))</f>
        <v>1.015759933</v>
      </c>
      <c r="AE152">
        <f ca="1">IF(AND(ISNUMBER($AE$823),$B$677=1),$AE$823,HLOOKUP(INDIRECT(ADDRESS(2,COLUMN())),OFFSET($BN$2,0,0,ROW()-1,60),ROW()-1,FALSE))</f>
        <v>1.0092507580000001</v>
      </c>
      <c r="AF152">
        <f ca="1">IF(AND(ISNUMBER($AF$823),$B$677=1),$AF$823,HLOOKUP(INDIRECT(ADDRESS(2,COLUMN())),OFFSET($BN$2,0,0,ROW()-1,60),ROW()-1,FALSE))</f>
        <v>0.87982979100000003</v>
      </c>
      <c r="AG152">
        <f ca="1">IF(AND(ISNUMBER($AG$823),$B$677=1),$AG$823,HLOOKUP(INDIRECT(ADDRESS(2,COLUMN())),OFFSET($BN$2,0,0,ROW()-1,60),ROW()-1,FALSE))</f>
        <v>1.0137513979999999</v>
      </c>
      <c r="AH152">
        <f ca="1">IF(AND(ISNUMBER($AH$823),$B$677=1),$AH$823,HLOOKUP(INDIRECT(ADDRESS(2,COLUMN())),OFFSET($BN$2,0,0,ROW()-1,60),ROW()-1,FALSE))</f>
        <v>1.1725665919999999</v>
      </c>
      <c r="AI152">
        <f ca="1">IF(AND(ISNUMBER($AI$823),$B$677=1),$AI$823,HLOOKUP(INDIRECT(ADDRESS(2,COLUMN())),OFFSET($BN$2,0,0,ROW()-1,60),ROW()-1,FALSE))</f>
        <v>0.99183923299999999</v>
      </c>
      <c r="AJ152">
        <f ca="1">IF(AND(ISNUMBER($AJ$823),$B$677=1),$AJ$823,HLOOKUP(INDIRECT(ADDRESS(2,COLUMN())),OFFSET($BN$2,0,0,ROW()-1,60),ROW()-1,FALSE))</f>
        <v>0.99635244499999998</v>
      </c>
      <c r="AK152">
        <f ca="1">IF(AND(ISNUMBER($AK$823),$B$677=1),$AK$823,HLOOKUP(INDIRECT(ADDRESS(2,COLUMN())),OFFSET($BN$2,0,0,ROW()-1,60),ROW()-1,FALSE))</f>
        <v>1.1743056549999999</v>
      </c>
      <c r="AL152">
        <f ca="1">IF(AND(ISNUMBER($AL$823),$B$677=1),$AL$823,HLOOKUP(INDIRECT(ADDRESS(2,COLUMN())),OFFSET($BN$2,0,0,ROW()-1,60),ROW()-1,FALSE))</f>
        <v>1.0486866109999999</v>
      </c>
      <c r="AM152">
        <f ca="1">IF(AND(ISNUMBER($AM$823),$B$677=1),$AM$823,HLOOKUP(INDIRECT(ADDRESS(2,COLUMN())),OFFSET($BN$2,0,0,ROW()-1,60),ROW()-1,FALSE))</f>
        <v>1.1317871079999999</v>
      </c>
      <c r="AN152">
        <f ca="1">IF(AND(ISNUMBER($AN$823),$B$677=1),$AN$823,HLOOKUP(INDIRECT(ADDRESS(2,COLUMN())),OFFSET($BN$2,0,0,ROW()-1,60),ROW()-1,FALSE))</f>
        <v>1.0762659880000001</v>
      </c>
      <c r="AO152">
        <f ca="1">IF(AND(ISNUMBER($AO$823),$B$677=1),$AO$823,HLOOKUP(INDIRECT(ADDRESS(2,COLUMN())),OFFSET($BN$2,0,0,ROW()-1,60),ROW()-1,FALSE))</f>
        <v>0.940334314</v>
      </c>
      <c r="AP152">
        <f ca="1">IF(AND(ISNUMBER($AP$823),$B$677=1),$AP$823,HLOOKUP(INDIRECT(ADDRESS(2,COLUMN())),OFFSET($BN$2,0,0,ROW()-1,60),ROW()-1,FALSE))</f>
        <v>1.205439173</v>
      </c>
      <c r="AQ152">
        <f ca="1">IF(AND(ISNUMBER($AQ$823),$B$677=1),$AQ$823,HLOOKUP(INDIRECT(ADDRESS(2,COLUMN())),OFFSET($BN$2,0,0,ROW()-1,60),ROW()-1,FALSE))</f>
        <v>1.227665451</v>
      </c>
      <c r="AR152">
        <f ca="1">IF(AND(ISNUMBER($AR$823),$B$677=1),$AR$823,HLOOKUP(INDIRECT(ADDRESS(2,COLUMN())),OFFSET($BN$2,0,0,ROW()-1,60),ROW()-1,FALSE))</f>
        <v>0.94935435599999995</v>
      </c>
      <c r="AS152">
        <f ca="1">IF(AND(ISNUMBER($AS$823),$B$677=1),$AS$823,HLOOKUP(INDIRECT(ADDRESS(2,COLUMN())),OFFSET($BN$2,0,0,ROW()-1,60),ROW()-1,FALSE))</f>
        <v>0.89150294699999999</v>
      </c>
      <c r="AT152">
        <f ca="1">IF(AND(ISNUMBER($AT$823),$B$677=1),$AT$823,HLOOKUP(INDIRECT(ADDRESS(2,COLUMN())),OFFSET($BN$2,0,0,ROW()-1,60),ROW()-1,FALSE))</f>
        <v>0.54254447400000005</v>
      </c>
      <c r="AU152">
        <f ca="1">IF(AND(ISNUMBER($AU$823),$B$677=1),$AU$823,HLOOKUP(INDIRECT(ADDRESS(2,COLUMN())),OFFSET($BN$2,0,0,ROW()-1,60),ROW()-1,FALSE))</f>
        <v>0.44770670299999998</v>
      </c>
      <c r="AV152">
        <f ca="1">IF(AND(ISNUMBER($AV$823),$B$677=1),$AV$823,HLOOKUP(INDIRECT(ADDRESS(2,COLUMN())),OFFSET($BN$2,0,0,ROW()-1,60),ROW()-1,FALSE))</f>
        <v>0.80702217200000004</v>
      </c>
      <c r="AW152">
        <f ca="1">IF(AND(ISNUMBER($AW$823),$B$677=1),$AW$823,HLOOKUP(INDIRECT(ADDRESS(2,COLUMN())),OFFSET($BN$2,0,0,ROW()-1,60),ROW()-1,FALSE))</f>
        <v>0.99679913399999998</v>
      </c>
      <c r="AX152">
        <f ca="1">IF(AND(ISNUMBER($AX$823),$B$677=1),$AX$823,HLOOKUP(INDIRECT(ADDRESS(2,COLUMN())),OFFSET($BN$2,0,0,ROW()-1,60),ROW()-1,FALSE))</f>
        <v>0.95747877000000003</v>
      </c>
      <c r="AY152">
        <f ca="1">IF(AND(ISNUMBER($AY$823),$B$677=1),$AY$823,HLOOKUP(INDIRECT(ADDRESS(2,COLUMN())),OFFSET($BN$2,0,0,ROW()-1,60),ROW()-1,FALSE))</f>
        <v>1.3559695730000001</v>
      </c>
      <c r="AZ152">
        <f ca="1">IF(AND(ISNUMBER($AZ$823),$B$677=1),$AZ$823,HLOOKUP(INDIRECT(ADDRESS(2,COLUMN())),OFFSET($BN$2,0,0,ROW()-1,60),ROW()-1,FALSE))</f>
        <v>1.272406688</v>
      </c>
      <c r="BA152">
        <f ca="1">IF(AND(ISNUMBER($BA$823),$B$677=1),$BA$823,HLOOKUP(INDIRECT(ADDRESS(2,COLUMN())),OFFSET($BN$2,0,0,ROW()-1,60),ROW()-1,FALSE))</f>
        <v>1.4613316810000001</v>
      </c>
      <c r="BB152">
        <f ca="1">IF(AND(ISNUMBER($BB$823),$B$677=1),$BB$823,HLOOKUP(INDIRECT(ADDRESS(2,COLUMN())),OFFSET($BN$2,0,0,ROW()-1,60),ROW()-1,FALSE))</f>
        <v>1.4635844149999999</v>
      </c>
      <c r="BC152">
        <f ca="1">IF(AND(ISNUMBER($BC$823),$B$677=1),$BC$823,HLOOKUP(INDIRECT(ADDRESS(2,COLUMN())),OFFSET($BN$2,0,0,ROW()-1,60),ROW()-1,FALSE))</f>
        <v>1.720515231</v>
      </c>
      <c r="BD152">
        <f ca="1">IF(AND(ISNUMBER($BD$823),$B$677=1),$BD$823,HLOOKUP(INDIRECT(ADDRESS(2,COLUMN())),OFFSET($BN$2,0,0,ROW()-1,60),ROW()-1,FALSE))</f>
        <v>1.637948046</v>
      </c>
      <c r="BE152">
        <f ca="1">IF(AND(ISNUMBER($BE$823),$B$677=1),$BE$823,HLOOKUP(INDIRECT(ADDRESS(2,COLUMN())),OFFSET($BN$2,0,0,ROW()-1,60),ROW()-1,FALSE))</f>
        <v>1.637154156</v>
      </c>
      <c r="BF152">
        <f ca="1">IF(AND(ISNUMBER($BF$823),$B$677=1),$BF$823,HLOOKUP(INDIRECT(ADDRESS(2,COLUMN())),OFFSET($BN$2,0,0,ROW()-1,60),ROW()-1,FALSE))</f>
        <v>1.855236401</v>
      </c>
      <c r="BG152">
        <f ca="1">IF(AND(ISNUMBER($BG$823),$B$677=1),$BG$823,HLOOKUP(INDIRECT(ADDRESS(2,COLUMN())),OFFSET($BN$2,0,0,ROW()-1,60),ROW()-1,FALSE))</f>
        <v>1.7809237899999999</v>
      </c>
      <c r="BH152">
        <f ca="1">IF(AND(ISNUMBER($BH$823),$B$677=1),$BH$823,HLOOKUP(INDIRECT(ADDRESS(2,COLUMN())),OFFSET($BN$2,0,0,ROW()-1,60),ROW()-1,FALSE))</f>
        <v>1.9444627059999999</v>
      </c>
      <c r="BI152">
        <f ca="1">IF(AND(ISNUMBER($BI$823),$B$677=1),$BI$823,HLOOKUP(INDIRECT(ADDRESS(2,COLUMN())),OFFSET($BN$2,0,0,ROW()-1,60),ROW()-1,FALSE))</f>
        <v>1.8045279729999999</v>
      </c>
      <c r="BJ152">
        <f ca="1">IF(AND(ISNUMBER($BJ$823),$B$677=1),$BJ$823,HLOOKUP(INDIRECT(ADDRESS(2,COLUMN())),OFFSET($BN$2,0,0,ROW()-1,60),ROW()-1,FALSE))</f>
        <v>1.817760075</v>
      </c>
      <c r="BK152">
        <f ca="1">IF(AND(ISNUMBER($BK$823),$B$677=1),$BK$823,HLOOKUP(INDIRECT(ADDRESS(2,COLUMN())),OFFSET($BN$2,0,0,ROW()-1,60),ROW()-1,FALSE))</f>
        <v>2.0092855200000002</v>
      </c>
      <c r="BL152">
        <f ca="1">IF(AND(ISNUMBER($BL$823),$B$677=1),$BL$823,HLOOKUP(INDIRECT(ADDRESS(2,COLUMN())),OFFSET($BN$2,0,0,ROW()-1,60),ROW()-1,FALSE))</f>
        <v>2.1780872850000002</v>
      </c>
      <c r="BM152">
        <f ca="1">IF(AND(ISNUMBER($BM$823),$B$677=1),$BM$823,HLOOKUP(INDIRECT(ADDRESS(2,COLUMN())),OFFSET($BN$2,0,0,ROW()-1,60),ROW()-1,FALSE))</f>
        <v>2.4233336190000001</v>
      </c>
      <c r="BN152">
        <f>0.694510431</f>
        <v>0.69451043099999998</v>
      </c>
      <c r="BO152">
        <f>0.645185239</f>
        <v>0.64518523900000002</v>
      </c>
      <c r="BP152">
        <f>0.759402686</f>
        <v>0.75940268600000005</v>
      </c>
      <c r="BQ152">
        <f>0.795018985</f>
        <v>0.79501898500000001</v>
      </c>
      <c r="BR152">
        <f>0.801704091</f>
        <v>0.80170409099999995</v>
      </c>
      <c r="BS152">
        <f>0.827046837</f>
        <v>0.82704683700000003</v>
      </c>
      <c r="BT152">
        <f>0.856900695</f>
        <v>0.85690069499999999</v>
      </c>
      <c r="BU152">
        <f>0.894707689</f>
        <v>0.89470768899999997</v>
      </c>
      <c r="BV152">
        <f>0.863635062</f>
        <v>0.86363506199999995</v>
      </c>
      <c r="BW152">
        <f>1.026574082</f>
        <v>1.026574082</v>
      </c>
      <c r="BX152">
        <f>0.923052121</f>
        <v>0.923052121</v>
      </c>
      <c r="BY152">
        <f>0.851749111</f>
        <v>0.85174911099999995</v>
      </c>
      <c r="BZ152">
        <f>0.919462689</f>
        <v>0.91946268900000006</v>
      </c>
      <c r="CA152">
        <f>1.087053415</f>
        <v>1.087053415</v>
      </c>
      <c r="CB152">
        <f>0.930005587</f>
        <v>0.93000558700000002</v>
      </c>
      <c r="CC152">
        <f>1.083547846</f>
        <v>1.0835478460000001</v>
      </c>
      <c r="CD152">
        <f>1.061231138</f>
        <v>1.0612311379999999</v>
      </c>
      <c r="CE152">
        <f>0.940942151</f>
        <v>0.940942151</v>
      </c>
      <c r="CF152">
        <f>0.994899856</f>
        <v>0.99489985599999997</v>
      </c>
      <c r="CG152">
        <f>0.940029219</f>
        <v>0.94002921900000003</v>
      </c>
      <c r="CH152">
        <f>0.888344432</f>
        <v>0.88834443200000002</v>
      </c>
      <c r="CI152">
        <f>0.877726216</f>
        <v>0.877726216</v>
      </c>
      <c r="CJ152">
        <f>1.019850461</f>
        <v>1.0198504610000001</v>
      </c>
      <c r="CK152">
        <f>1.085059436</f>
        <v>1.0850594360000001</v>
      </c>
      <c r="CL152">
        <f>1.015759933</f>
        <v>1.015759933</v>
      </c>
      <c r="CM152">
        <f>1.009250758</f>
        <v>1.0092507580000001</v>
      </c>
      <c r="CN152">
        <f>0.879829791</f>
        <v>0.87982979100000003</v>
      </c>
      <c r="CO152">
        <f>1.013751398</f>
        <v>1.0137513979999999</v>
      </c>
      <c r="CP152">
        <f>1.172566592</f>
        <v>1.1725665919999999</v>
      </c>
      <c r="CQ152">
        <f>0.991839233</f>
        <v>0.99183923299999999</v>
      </c>
      <c r="CR152">
        <f>0.996352445</f>
        <v>0.99635244499999998</v>
      </c>
      <c r="CS152">
        <f>1.174305655</f>
        <v>1.1743056549999999</v>
      </c>
      <c r="CT152">
        <f>1.048686611</f>
        <v>1.0486866109999999</v>
      </c>
      <c r="CU152">
        <f>1.131787108</f>
        <v>1.1317871079999999</v>
      </c>
      <c r="CV152">
        <f>1.076265988</f>
        <v>1.0762659880000001</v>
      </c>
      <c r="CW152">
        <f>0.940334314</f>
        <v>0.940334314</v>
      </c>
      <c r="CX152">
        <f>1.205439173</f>
        <v>1.205439173</v>
      </c>
      <c r="CY152">
        <f>1.227665451</f>
        <v>1.227665451</v>
      </c>
      <c r="CZ152">
        <f>0.949354356</f>
        <v>0.94935435599999995</v>
      </c>
      <c r="DA152">
        <f>0.891502947</f>
        <v>0.89150294699999999</v>
      </c>
      <c r="DB152">
        <f>0.542544474</f>
        <v>0.54254447400000005</v>
      </c>
      <c r="DC152">
        <f>0.447706703</f>
        <v>0.44770670299999998</v>
      </c>
      <c r="DD152">
        <f>0.807022172</f>
        <v>0.80702217200000004</v>
      </c>
      <c r="DE152">
        <f>0.996799134</f>
        <v>0.99679913399999998</v>
      </c>
      <c r="DF152">
        <f>0.95747877</f>
        <v>0.95747877000000003</v>
      </c>
      <c r="DG152">
        <f>1.355969573</f>
        <v>1.3559695730000001</v>
      </c>
      <c r="DH152">
        <f>1.272406688</f>
        <v>1.272406688</v>
      </c>
      <c r="DI152">
        <f>1.461331681</f>
        <v>1.4613316810000001</v>
      </c>
      <c r="DJ152">
        <f>1.463584415</f>
        <v>1.4635844149999999</v>
      </c>
      <c r="DK152">
        <f>1.720515231</f>
        <v>1.720515231</v>
      </c>
      <c r="DL152">
        <f>1.637948046</f>
        <v>1.637948046</v>
      </c>
      <c r="DM152">
        <f>1.637154156</f>
        <v>1.637154156</v>
      </c>
      <c r="DN152">
        <f>1.855236401</f>
        <v>1.855236401</v>
      </c>
      <c r="DO152">
        <f>1.78092379</f>
        <v>1.7809237899999999</v>
      </c>
      <c r="DP152">
        <f>1.944462706</f>
        <v>1.9444627059999999</v>
      </c>
      <c r="DQ152">
        <f>1.804527973</f>
        <v>1.8045279729999999</v>
      </c>
      <c r="DR152">
        <f>1.817760075</f>
        <v>1.817760075</v>
      </c>
      <c r="DS152">
        <f>2.00928552</f>
        <v>2.0092855200000002</v>
      </c>
      <c r="DT152">
        <f>2.178087285</f>
        <v>2.1780872850000002</v>
      </c>
      <c r="DU152">
        <f>2.423333619</f>
        <v>2.4233336190000001</v>
      </c>
    </row>
    <row r="153" spans="1:125" x14ac:dyDescent="0.25">
      <c r="A153" t="str">
        <f>"    Peugeot SA"</f>
        <v xml:space="preserve">    Peugeot SA</v>
      </c>
      <c r="B153" t="str">
        <f>"UG FP Equity"</f>
        <v>UG FP Equity</v>
      </c>
      <c r="C153" t="str">
        <f t="shared" si="9"/>
        <v>RR903</v>
      </c>
      <c r="D153" t="str">
        <f t="shared" si="10"/>
        <v>PX_TO_BOOK_RATIO</v>
      </c>
      <c r="E153" t="str">
        <f t="shared" si="11"/>
        <v>Dynamic</v>
      </c>
      <c r="F153" t="str">
        <f ca="1">IF(AND(ISNUMBER($F$824),$B$677=1),$F$824,HLOOKUP(INDIRECT(ADDRESS(2,COLUMN())),OFFSET($BN$2,0,0,ROW()-1,60),ROW()-1,FALSE))</f>
        <v/>
      </c>
      <c r="G153" t="str">
        <f ca="1">IF(AND(ISNUMBER($G$824),$B$677=1),$G$824,HLOOKUP(INDIRECT(ADDRESS(2,COLUMN())),OFFSET($BN$2,0,0,ROW()-1,60),ROW()-1,FALSE))</f>
        <v/>
      </c>
      <c r="H153" t="str">
        <f ca="1">IF(AND(ISNUMBER($H$824),$B$677=1),$H$824,HLOOKUP(INDIRECT(ADDRESS(2,COLUMN())),OFFSET($BN$2,0,0,ROW()-1,60),ROW()-1,FALSE))</f>
        <v/>
      </c>
      <c r="I153" t="str">
        <f ca="1">IF(AND(ISNUMBER($I$824),$B$677=1),$I$824,HLOOKUP(INDIRECT(ADDRESS(2,COLUMN())),OFFSET($BN$2,0,0,ROW()-1,60),ROW()-1,FALSE))</f>
        <v/>
      </c>
      <c r="J153" t="str">
        <f ca="1">IF(AND(ISNUMBER($J$824),$B$677=1),$J$824,HLOOKUP(INDIRECT(ADDRESS(2,COLUMN())),OFFSET($BN$2,0,0,ROW()-1,60),ROW()-1,FALSE))</f>
        <v/>
      </c>
      <c r="K153" t="str">
        <f ca="1">IF(AND(ISNUMBER($K$824),$B$677=1),$K$824,HLOOKUP(INDIRECT(ADDRESS(2,COLUMN())),OFFSET($BN$2,0,0,ROW()-1,60),ROW()-1,FALSE))</f>
        <v/>
      </c>
      <c r="L153" t="str">
        <f ca="1">IF(AND(ISNUMBER($L$824),$B$677=1),$L$824,HLOOKUP(INDIRECT(ADDRESS(2,COLUMN())),OFFSET($BN$2,0,0,ROW()-1,60),ROW()-1,FALSE))</f>
        <v/>
      </c>
      <c r="M153" t="str">
        <f ca="1">IF(AND(ISNUMBER($M$824),$B$677=1),$M$824,HLOOKUP(INDIRECT(ADDRESS(2,COLUMN())),OFFSET($BN$2,0,0,ROW()-1,60),ROW()-1,FALSE))</f>
        <v/>
      </c>
      <c r="N153" t="str">
        <f ca="1">IF(AND(ISNUMBER($N$824),$B$677=1),$N$824,HLOOKUP(INDIRECT(ADDRESS(2,COLUMN())),OFFSET($BN$2,0,0,ROW()-1,60),ROW()-1,FALSE))</f>
        <v/>
      </c>
      <c r="O153" t="str">
        <f ca="1">IF(AND(ISNUMBER($O$824),$B$677=1),$O$824,HLOOKUP(INDIRECT(ADDRESS(2,COLUMN())),OFFSET($BN$2,0,0,ROW()-1,60),ROW()-1,FALSE))</f>
        <v/>
      </c>
      <c r="P153" t="str">
        <f ca="1">IF(AND(ISNUMBER($P$824),$B$677=1),$P$824,HLOOKUP(INDIRECT(ADDRESS(2,COLUMN())),OFFSET($BN$2,0,0,ROW()-1,60),ROW()-1,FALSE))</f>
        <v/>
      </c>
      <c r="Q153" t="str">
        <f ca="1">IF(AND(ISNUMBER($Q$824),$B$677=1),$Q$824,HLOOKUP(INDIRECT(ADDRESS(2,COLUMN())),OFFSET($BN$2,0,0,ROW()-1,60),ROW()-1,FALSE))</f>
        <v/>
      </c>
      <c r="R153" t="str">
        <f ca="1">IF(AND(ISNUMBER($R$824),$B$677=1),$R$824,HLOOKUP(INDIRECT(ADDRESS(2,COLUMN())),OFFSET($BN$2,0,0,ROW()-1,60),ROW()-1,FALSE))</f>
        <v/>
      </c>
      <c r="S153" t="str">
        <f ca="1">IF(AND(ISNUMBER($S$824),$B$677=1),$S$824,HLOOKUP(INDIRECT(ADDRESS(2,COLUMN())),OFFSET($BN$2,0,0,ROW()-1,60),ROW()-1,FALSE))</f>
        <v/>
      </c>
      <c r="T153" t="str">
        <f ca="1">IF(AND(ISNUMBER($T$824),$B$677=1),$T$824,HLOOKUP(INDIRECT(ADDRESS(2,COLUMN())),OFFSET($BN$2,0,0,ROW()-1,60),ROW()-1,FALSE))</f>
        <v/>
      </c>
      <c r="U153" t="str">
        <f ca="1">IF(AND(ISNUMBER($U$824),$B$677=1),$U$824,HLOOKUP(INDIRECT(ADDRESS(2,COLUMN())),OFFSET($BN$2,0,0,ROW()-1,60),ROW()-1,FALSE))</f>
        <v/>
      </c>
      <c r="V153" t="str">
        <f ca="1">IF(AND(ISNUMBER($V$824),$B$677=1),$V$824,HLOOKUP(INDIRECT(ADDRESS(2,COLUMN())),OFFSET($BN$2,0,0,ROW()-1,60),ROW()-1,FALSE))</f>
        <v/>
      </c>
      <c r="W153" t="str">
        <f ca="1">IF(AND(ISNUMBER($W$824),$B$677=1),$W$824,HLOOKUP(INDIRECT(ADDRESS(2,COLUMN())),OFFSET($BN$2,0,0,ROW()-1,60),ROW()-1,FALSE))</f>
        <v/>
      </c>
      <c r="X153" t="str">
        <f ca="1">IF(AND(ISNUMBER($X$824),$B$677=1),$X$824,HLOOKUP(INDIRECT(ADDRESS(2,COLUMN())),OFFSET($BN$2,0,0,ROW()-1,60),ROW()-1,FALSE))</f>
        <v/>
      </c>
      <c r="Y153" t="str">
        <f ca="1">IF(AND(ISNUMBER($Y$824),$B$677=1),$Y$824,HLOOKUP(INDIRECT(ADDRESS(2,COLUMN())),OFFSET($BN$2,0,0,ROW()-1,60),ROW()-1,FALSE))</f>
        <v/>
      </c>
      <c r="Z153" t="str">
        <f ca="1">IF(AND(ISNUMBER($Z$824),$B$677=1),$Z$824,HLOOKUP(INDIRECT(ADDRESS(2,COLUMN())),OFFSET($BN$2,0,0,ROW()-1,60),ROW()-1,FALSE))</f>
        <v/>
      </c>
      <c r="AA153" t="str">
        <f ca="1">IF(AND(ISNUMBER($AA$824),$B$677=1),$AA$824,HLOOKUP(INDIRECT(ADDRESS(2,COLUMN())),OFFSET($BN$2,0,0,ROW()-1,60),ROW()-1,FALSE))</f>
        <v/>
      </c>
      <c r="AB153" t="str">
        <f ca="1">IF(AND(ISNUMBER($AB$824),$B$677=1),$AB$824,HLOOKUP(INDIRECT(ADDRESS(2,COLUMN())),OFFSET($BN$2,0,0,ROW()-1,60),ROW()-1,FALSE))</f>
        <v/>
      </c>
      <c r="AC153" t="str">
        <f ca="1">IF(AND(ISNUMBER($AC$824),$B$677=1),$AC$824,HLOOKUP(INDIRECT(ADDRESS(2,COLUMN())),OFFSET($BN$2,0,0,ROW()-1,60),ROW()-1,FALSE))</f>
        <v/>
      </c>
      <c r="AD153" t="str">
        <f ca="1">IF(AND(ISNUMBER($AD$824),$B$677=1),$AD$824,HLOOKUP(INDIRECT(ADDRESS(2,COLUMN())),OFFSET($BN$2,0,0,ROW()-1,60),ROW()-1,FALSE))</f>
        <v/>
      </c>
      <c r="AE153" t="str">
        <f ca="1">IF(AND(ISNUMBER($AE$824),$B$677=1),$AE$824,HLOOKUP(INDIRECT(ADDRESS(2,COLUMN())),OFFSET($BN$2,0,0,ROW()-1,60),ROW()-1,FALSE))</f>
        <v/>
      </c>
      <c r="AF153" t="str">
        <f ca="1">IF(AND(ISNUMBER($AF$824),$B$677=1),$AF$824,HLOOKUP(INDIRECT(ADDRESS(2,COLUMN())),OFFSET($BN$2,0,0,ROW()-1,60),ROW()-1,FALSE))</f>
        <v/>
      </c>
      <c r="AG153" t="str">
        <f ca="1">IF(AND(ISNUMBER($AG$824),$B$677=1),$AG$824,HLOOKUP(INDIRECT(ADDRESS(2,COLUMN())),OFFSET($BN$2,0,0,ROW()-1,60),ROW()-1,FALSE))</f>
        <v/>
      </c>
      <c r="AH153" t="str">
        <f ca="1">IF(AND(ISNUMBER($AH$824),$B$677=1),$AH$824,HLOOKUP(INDIRECT(ADDRESS(2,COLUMN())),OFFSET($BN$2,0,0,ROW()-1,60),ROW()-1,FALSE))</f>
        <v/>
      </c>
      <c r="AI153" t="str">
        <f ca="1">IF(AND(ISNUMBER($AI$824),$B$677=1),$AI$824,HLOOKUP(INDIRECT(ADDRESS(2,COLUMN())),OFFSET($BN$2,0,0,ROW()-1,60),ROW()-1,FALSE))</f>
        <v/>
      </c>
      <c r="AJ153" t="str">
        <f ca="1">IF(AND(ISNUMBER($AJ$824),$B$677=1),$AJ$824,HLOOKUP(INDIRECT(ADDRESS(2,COLUMN())),OFFSET($BN$2,0,0,ROW()-1,60),ROW()-1,FALSE))</f>
        <v/>
      </c>
      <c r="AK153" t="str">
        <f ca="1">IF(AND(ISNUMBER($AK$824),$B$677=1),$AK$824,HLOOKUP(INDIRECT(ADDRESS(2,COLUMN())),OFFSET($BN$2,0,0,ROW()-1,60),ROW()-1,FALSE))</f>
        <v/>
      </c>
      <c r="AL153" t="str">
        <f ca="1">IF(AND(ISNUMBER($AL$824),$B$677=1),$AL$824,HLOOKUP(INDIRECT(ADDRESS(2,COLUMN())),OFFSET($BN$2,0,0,ROW()-1,60),ROW()-1,FALSE))</f>
        <v/>
      </c>
      <c r="AM153" t="str">
        <f ca="1">IF(AND(ISNUMBER($AM$824),$B$677=1),$AM$824,HLOOKUP(INDIRECT(ADDRESS(2,COLUMN())),OFFSET($BN$2,0,0,ROW()-1,60),ROW()-1,FALSE))</f>
        <v/>
      </c>
      <c r="AN153" t="str">
        <f ca="1">IF(AND(ISNUMBER($AN$824),$B$677=1),$AN$824,HLOOKUP(INDIRECT(ADDRESS(2,COLUMN())),OFFSET($BN$2,0,0,ROW()-1,60),ROW()-1,FALSE))</f>
        <v/>
      </c>
      <c r="AO153" t="str">
        <f ca="1">IF(AND(ISNUMBER($AO$824),$B$677=1),$AO$824,HLOOKUP(INDIRECT(ADDRESS(2,COLUMN())),OFFSET($BN$2,0,0,ROW()-1,60),ROW()-1,FALSE))</f>
        <v/>
      </c>
      <c r="AP153" t="str">
        <f ca="1">IF(AND(ISNUMBER($AP$824),$B$677=1),$AP$824,HLOOKUP(INDIRECT(ADDRESS(2,COLUMN())),OFFSET($BN$2,0,0,ROW()-1,60),ROW()-1,FALSE))</f>
        <v/>
      </c>
      <c r="AQ153" t="str">
        <f ca="1">IF(AND(ISNUMBER($AQ$824),$B$677=1),$AQ$824,HLOOKUP(INDIRECT(ADDRESS(2,COLUMN())),OFFSET($BN$2,0,0,ROW()-1,60),ROW()-1,FALSE))</f>
        <v/>
      </c>
      <c r="AR153" t="str">
        <f ca="1">IF(AND(ISNUMBER($AR$824),$B$677=1),$AR$824,HLOOKUP(INDIRECT(ADDRESS(2,COLUMN())),OFFSET($BN$2,0,0,ROW()-1,60),ROW()-1,FALSE))</f>
        <v/>
      </c>
      <c r="AS153" t="str">
        <f ca="1">IF(AND(ISNUMBER($AS$824),$B$677=1),$AS$824,HLOOKUP(INDIRECT(ADDRESS(2,COLUMN())),OFFSET($BN$2,0,0,ROW()-1,60),ROW()-1,FALSE))</f>
        <v/>
      </c>
      <c r="AT153" t="str">
        <f ca="1">IF(AND(ISNUMBER($AT$824),$B$677=1),$AT$824,HLOOKUP(INDIRECT(ADDRESS(2,COLUMN())),OFFSET($BN$2,0,0,ROW()-1,60),ROW()-1,FALSE))</f>
        <v/>
      </c>
      <c r="AU153" t="str">
        <f ca="1">IF(AND(ISNUMBER($AU$824),$B$677=1),$AU$824,HLOOKUP(INDIRECT(ADDRESS(2,COLUMN())),OFFSET($BN$2,0,0,ROW()-1,60),ROW()-1,FALSE))</f>
        <v/>
      </c>
      <c r="AV153" t="str">
        <f ca="1">IF(AND(ISNUMBER($AV$824),$B$677=1),$AV$824,HLOOKUP(INDIRECT(ADDRESS(2,COLUMN())),OFFSET($BN$2,0,0,ROW()-1,60),ROW()-1,FALSE))</f>
        <v/>
      </c>
      <c r="AW153" t="str">
        <f ca="1">IF(AND(ISNUMBER($AW$824),$B$677=1),$AW$824,HLOOKUP(INDIRECT(ADDRESS(2,COLUMN())),OFFSET($BN$2,0,0,ROW()-1,60),ROW()-1,FALSE))</f>
        <v/>
      </c>
      <c r="AX153" t="str">
        <f ca="1">IF(AND(ISNUMBER($AX$824),$B$677=1),$AX$824,HLOOKUP(INDIRECT(ADDRESS(2,COLUMN())),OFFSET($BN$2,0,0,ROW()-1,60),ROW()-1,FALSE))</f>
        <v/>
      </c>
      <c r="AY153" t="str">
        <f ca="1">IF(AND(ISNUMBER($AY$824),$B$677=1),$AY$824,HLOOKUP(INDIRECT(ADDRESS(2,COLUMN())),OFFSET($BN$2,0,0,ROW()-1,60),ROW()-1,FALSE))</f>
        <v/>
      </c>
      <c r="AZ153" t="str">
        <f ca="1">IF(AND(ISNUMBER($AZ$824),$B$677=1),$AZ$824,HLOOKUP(INDIRECT(ADDRESS(2,COLUMN())),OFFSET($BN$2,0,0,ROW()-1,60),ROW()-1,FALSE))</f>
        <v/>
      </c>
      <c r="BA153" t="str">
        <f ca="1">IF(AND(ISNUMBER($BA$824),$B$677=1),$BA$824,HLOOKUP(INDIRECT(ADDRESS(2,COLUMN())),OFFSET($BN$2,0,0,ROW()-1,60),ROW()-1,FALSE))</f>
        <v/>
      </c>
      <c r="BB153" t="str">
        <f ca="1">IF(AND(ISNUMBER($BB$824),$B$677=1),$BB$824,HLOOKUP(INDIRECT(ADDRESS(2,COLUMN())),OFFSET($BN$2,0,0,ROW()-1,60),ROW()-1,FALSE))</f>
        <v/>
      </c>
      <c r="BC153" t="str">
        <f ca="1">IF(AND(ISNUMBER($BC$824),$B$677=1),$BC$824,HLOOKUP(INDIRECT(ADDRESS(2,COLUMN())),OFFSET($BN$2,0,0,ROW()-1,60),ROW()-1,FALSE))</f>
        <v/>
      </c>
      <c r="BD153" t="str">
        <f ca="1">IF(AND(ISNUMBER($BD$824),$B$677=1),$BD$824,HLOOKUP(INDIRECT(ADDRESS(2,COLUMN())),OFFSET($BN$2,0,0,ROW()-1,60),ROW()-1,FALSE))</f>
        <v/>
      </c>
      <c r="BE153" t="str">
        <f ca="1">IF(AND(ISNUMBER($BE$824),$B$677=1),$BE$824,HLOOKUP(INDIRECT(ADDRESS(2,COLUMN())),OFFSET($BN$2,0,0,ROW()-1,60),ROW()-1,FALSE))</f>
        <v/>
      </c>
      <c r="BF153" t="str">
        <f ca="1">IF(AND(ISNUMBER($BF$824),$B$677=1),$BF$824,HLOOKUP(INDIRECT(ADDRESS(2,COLUMN())),OFFSET($BN$2,0,0,ROW()-1,60),ROW()-1,FALSE))</f>
        <v/>
      </c>
      <c r="BG153" t="str">
        <f ca="1">IF(AND(ISNUMBER($BG$824),$B$677=1),$BG$824,HLOOKUP(INDIRECT(ADDRESS(2,COLUMN())),OFFSET($BN$2,0,0,ROW()-1,60),ROW()-1,FALSE))</f>
        <v/>
      </c>
      <c r="BH153" t="str">
        <f ca="1">IF(AND(ISNUMBER($BH$824),$B$677=1),$BH$824,HLOOKUP(INDIRECT(ADDRESS(2,COLUMN())),OFFSET($BN$2,0,0,ROW()-1,60),ROW()-1,FALSE))</f>
        <v/>
      </c>
      <c r="BI153" t="str">
        <f ca="1">IF(AND(ISNUMBER($BI$824),$B$677=1),$BI$824,HLOOKUP(INDIRECT(ADDRESS(2,COLUMN())),OFFSET($BN$2,0,0,ROW()-1,60),ROW()-1,FALSE))</f>
        <v/>
      </c>
      <c r="BJ153" t="str">
        <f ca="1">IF(AND(ISNUMBER($BJ$824),$B$677=1),$BJ$824,HLOOKUP(INDIRECT(ADDRESS(2,COLUMN())),OFFSET($BN$2,0,0,ROW()-1,60),ROW()-1,FALSE))</f>
        <v/>
      </c>
      <c r="BK153" t="str">
        <f ca="1">IF(AND(ISNUMBER($BK$824),$B$677=1),$BK$824,HLOOKUP(INDIRECT(ADDRESS(2,COLUMN())),OFFSET($BN$2,0,0,ROW()-1,60),ROW()-1,FALSE))</f>
        <v/>
      </c>
      <c r="BL153" t="str">
        <f ca="1">IF(AND(ISNUMBER($BL$824),$B$677=1),$BL$824,HLOOKUP(INDIRECT(ADDRESS(2,COLUMN())),OFFSET($BN$2,0,0,ROW()-1,60),ROW()-1,FALSE))</f>
        <v/>
      </c>
      <c r="BM153" t="str">
        <f ca="1">IF(AND(ISNUMBER($BM$824),$B$677=1),$BM$824,HLOOKUP(INDIRECT(ADDRESS(2,COLUMN())),OFFSET($BN$2,0,0,ROW()-1,60),ROW()-1,FALSE))</f>
        <v/>
      </c>
      <c r="BN153" t="str">
        <f>""</f>
        <v/>
      </c>
      <c r="BO153" t="str">
        <f>""</f>
        <v/>
      </c>
      <c r="BP153" t="str">
        <f>""</f>
        <v/>
      </c>
      <c r="BQ153" t="str">
        <f>""</f>
        <v/>
      </c>
      <c r="BR153" t="str">
        <f>""</f>
        <v/>
      </c>
      <c r="BS153" t="str">
        <f>""</f>
        <v/>
      </c>
      <c r="BT153" t="str">
        <f>""</f>
        <v/>
      </c>
      <c r="BU153" t="str">
        <f>""</f>
        <v/>
      </c>
      <c r="BV153" t="str">
        <f>""</f>
        <v/>
      </c>
      <c r="BW153" t="str">
        <f>""</f>
        <v/>
      </c>
      <c r="BX153" t="str">
        <f>""</f>
        <v/>
      </c>
      <c r="BY153" t="str">
        <f>""</f>
        <v/>
      </c>
      <c r="BZ153" t="str">
        <f>""</f>
        <v/>
      </c>
      <c r="CA153" t="str">
        <f>""</f>
        <v/>
      </c>
      <c r="CB153" t="str">
        <f>""</f>
        <v/>
      </c>
      <c r="CC153" t="str">
        <f>""</f>
        <v/>
      </c>
      <c r="CD153" t="str">
        <f>""</f>
        <v/>
      </c>
      <c r="CE153" t="str">
        <f>""</f>
        <v/>
      </c>
      <c r="CF153" t="str">
        <f>""</f>
        <v/>
      </c>
      <c r="CG153" t="str">
        <f>""</f>
        <v/>
      </c>
      <c r="CH153" t="str">
        <f>""</f>
        <v/>
      </c>
      <c r="CI153" t="str">
        <f>""</f>
        <v/>
      </c>
      <c r="CJ153" t="str">
        <f>""</f>
        <v/>
      </c>
      <c r="CK153" t="str">
        <f>""</f>
        <v/>
      </c>
      <c r="CL153" t="str">
        <f>""</f>
        <v/>
      </c>
      <c r="CM153" t="str">
        <f>""</f>
        <v/>
      </c>
      <c r="CN153" t="str">
        <f>""</f>
        <v/>
      </c>
      <c r="CO153" t="str">
        <f>""</f>
        <v/>
      </c>
      <c r="CP153" t="str">
        <f>""</f>
        <v/>
      </c>
      <c r="CQ153" t="str">
        <f>""</f>
        <v/>
      </c>
      <c r="CR153" t="str">
        <f>""</f>
        <v/>
      </c>
      <c r="CS153" t="str">
        <f>""</f>
        <v/>
      </c>
      <c r="CT153" t="str">
        <f>""</f>
        <v/>
      </c>
      <c r="CU153" t="str">
        <f>""</f>
        <v/>
      </c>
      <c r="CV153" t="str">
        <f>""</f>
        <v/>
      </c>
      <c r="CW153" t="str">
        <f>""</f>
        <v/>
      </c>
      <c r="CX153" t="str">
        <f>""</f>
        <v/>
      </c>
      <c r="CY153" t="str">
        <f>""</f>
        <v/>
      </c>
      <c r="CZ153" t="str">
        <f>""</f>
        <v/>
      </c>
      <c r="DA153" t="str">
        <f>""</f>
        <v/>
      </c>
      <c r="DB153" t="str">
        <f>""</f>
        <v/>
      </c>
      <c r="DC153" t="str">
        <f>""</f>
        <v/>
      </c>
      <c r="DD153" t="str">
        <f>""</f>
        <v/>
      </c>
      <c r="DE153" t="str">
        <f>""</f>
        <v/>
      </c>
      <c r="DF153" t="str">
        <f>""</f>
        <v/>
      </c>
      <c r="DG153" t="str">
        <f>""</f>
        <v/>
      </c>
      <c r="DH153" t="str">
        <f>""</f>
        <v/>
      </c>
      <c r="DI153" t="str">
        <f>""</f>
        <v/>
      </c>
      <c r="DJ153" t="str">
        <f>""</f>
        <v/>
      </c>
      <c r="DK153" t="str">
        <f>""</f>
        <v/>
      </c>
      <c r="DL153" t="str">
        <f>""</f>
        <v/>
      </c>
      <c r="DM153" t="str">
        <f>""</f>
        <v/>
      </c>
      <c r="DN153" t="str">
        <f>""</f>
        <v/>
      </c>
      <c r="DO153" t="str">
        <f>""</f>
        <v/>
      </c>
      <c r="DP153" t="str">
        <f>""</f>
        <v/>
      </c>
      <c r="DQ153" t="str">
        <f>""</f>
        <v/>
      </c>
      <c r="DR153" t="str">
        <f>""</f>
        <v/>
      </c>
      <c r="DS153" t="str">
        <f>""</f>
        <v/>
      </c>
      <c r="DT153" t="str">
        <f>""</f>
        <v/>
      </c>
      <c r="DU153" t="str">
        <f>""</f>
        <v/>
      </c>
    </row>
    <row r="154" spans="1:125" x14ac:dyDescent="0.25">
      <c r="A154" t="str">
        <f>"    Renault SA"</f>
        <v xml:space="preserve">    Renault SA</v>
      </c>
      <c r="B154" t="str">
        <f>"RNO FP Equity"</f>
        <v>RNO FP Equity</v>
      </c>
      <c r="C154" t="str">
        <f t="shared" si="9"/>
        <v>RR903</v>
      </c>
      <c r="D154" t="str">
        <f t="shared" si="10"/>
        <v>PX_TO_BOOK_RATIO</v>
      </c>
      <c r="E154" t="str">
        <f t="shared" si="11"/>
        <v>Dynamic</v>
      </c>
      <c r="F154" t="str">
        <f ca="1">IF(AND(ISNUMBER($F$825),$B$677=1),$F$825,HLOOKUP(INDIRECT(ADDRESS(2,COLUMN())),OFFSET($BN$2,0,0,ROW()-1,60),ROW()-1,FALSE))</f>
        <v/>
      </c>
      <c r="G154" t="str">
        <f ca="1">IF(AND(ISNUMBER($G$825),$B$677=1),$G$825,HLOOKUP(INDIRECT(ADDRESS(2,COLUMN())),OFFSET($BN$2,0,0,ROW()-1,60),ROW()-1,FALSE))</f>
        <v/>
      </c>
      <c r="H154" t="str">
        <f ca="1">IF(AND(ISNUMBER($H$825),$B$677=1),$H$825,HLOOKUP(INDIRECT(ADDRESS(2,COLUMN())),OFFSET($BN$2,0,0,ROW()-1,60),ROW()-1,FALSE))</f>
        <v/>
      </c>
      <c r="I154" t="str">
        <f ca="1">IF(AND(ISNUMBER($I$825),$B$677=1),$I$825,HLOOKUP(INDIRECT(ADDRESS(2,COLUMN())),OFFSET($BN$2,0,0,ROW()-1,60),ROW()-1,FALSE))</f>
        <v/>
      </c>
      <c r="J154" t="str">
        <f ca="1">IF(AND(ISNUMBER($J$825),$B$677=1),$J$825,HLOOKUP(INDIRECT(ADDRESS(2,COLUMN())),OFFSET($BN$2,0,0,ROW()-1,60),ROW()-1,FALSE))</f>
        <v/>
      </c>
      <c r="K154" t="str">
        <f ca="1">IF(AND(ISNUMBER($K$825),$B$677=1),$K$825,HLOOKUP(INDIRECT(ADDRESS(2,COLUMN())),OFFSET($BN$2,0,0,ROW()-1,60),ROW()-1,FALSE))</f>
        <v/>
      </c>
      <c r="L154" t="str">
        <f ca="1">IF(AND(ISNUMBER($L$825),$B$677=1),$L$825,HLOOKUP(INDIRECT(ADDRESS(2,COLUMN())),OFFSET($BN$2,0,0,ROW()-1,60),ROW()-1,FALSE))</f>
        <v/>
      </c>
      <c r="M154" t="str">
        <f ca="1">IF(AND(ISNUMBER($M$825),$B$677=1),$M$825,HLOOKUP(INDIRECT(ADDRESS(2,COLUMN())),OFFSET($BN$2,0,0,ROW()-1,60),ROW()-1,FALSE))</f>
        <v/>
      </c>
      <c r="N154" t="str">
        <f ca="1">IF(AND(ISNUMBER($N$825),$B$677=1),$N$825,HLOOKUP(INDIRECT(ADDRESS(2,COLUMN())),OFFSET($BN$2,0,0,ROW()-1,60),ROW()-1,FALSE))</f>
        <v/>
      </c>
      <c r="O154" t="str">
        <f ca="1">IF(AND(ISNUMBER($O$825),$B$677=1),$O$825,HLOOKUP(INDIRECT(ADDRESS(2,COLUMN())),OFFSET($BN$2,0,0,ROW()-1,60),ROW()-1,FALSE))</f>
        <v/>
      </c>
      <c r="P154" t="str">
        <f ca="1">IF(AND(ISNUMBER($P$825),$B$677=1),$P$825,HLOOKUP(INDIRECT(ADDRESS(2,COLUMN())),OFFSET($BN$2,0,0,ROW()-1,60),ROW()-1,FALSE))</f>
        <v/>
      </c>
      <c r="Q154" t="str">
        <f ca="1">IF(AND(ISNUMBER($Q$825),$B$677=1),$Q$825,HLOOKUP(INDIRECT(ADDRESS(2,COLUMN())),OFFSET($BN$2,0,0,ROW()-1,60),ROW()-1,FALSE))</f>
        <v/>
      </c>
      <c r="R154" t="str">
        <f ca="1">IF(AND(ISNUMBER($R$825),$B$677=1),$R$825,HLOOKUP(INDIRECT(ADDRESS(2,COLUMN())),OFFSET($BN$2,0,0,ROW()-1,60),ROW()-1,FALSE))</f>
        <v/>
      </c>
      <c r="S154" t="str">
        <f ca="1">IF(AND(ISNUMBER($S$825),$B$677=1),$S$825,HLOOKUP(INDIRECT(ADDRESS(2,COLUMN())),OFFSET($BN$2,0,0,ROW()-1,60),ROW()-1,FALSE))</f>
        <v/>
      </c>
      <c r="T154" t="str">
        <f ca="1">IF(AND(ISNUMBER($T$825),$B$677=1),$T$825,HLOOKUP(INDIRECT(ADDRESS(2,COLUMN())),OFFSET($BN$2,0,0,ROW()-1,60),ROW()-1,FALSE))</f>
        <v/>
      </c>
      <c r="U154" t="str">
        <f ca="1">IF(AND(ISNUMBER($U$825),$B$677=1),$U$825,HLOOKUP(INDIRECT(ADDRESS(2,COLUMN())),OFFSET($BN$2,0,0,ROW()-1,60),ROW()-1,FALSE))</f>
        <v/>
      </c>
      <c r="V154" t="str">
        <f ca="1">IF(AND(ISNUMBER($V$825),$B$677=1),$V$825,HLOOKUP(INDIRECT(ADDRESS(2,COLUMN())),OFFSET($BN$2,0,0,ROW()-1,60),ROW()-1,FALSE))</f>
        <v/>
      </c>
      <c r="W154" t="str">
        <f ca="1">IF(AND(ISNUMBER($W$825),$B$677=1),$W$825,HLOOKUP(INDIRECT(ADDRESS(2,COLUMN())),OFFSET($BN$2,0,0,ROW()-1,60),ROW()-1,FALSE))</f>
        <v/>
      </c>
      <c r="X154" t="str">
        <f ca="1">IF(AND(ISNUMBER($X$825),$B$677=1),$X$825,HLOOKUP(INDIRECT(ADDRESS(2,COLUMN())),OFFSET($BN$2,0,0,ROW()-1,60),ROW()-1,FALSE))</f>
        <v/>
      </c>
      <c r="Y154" t="str">
        <f ca="1">IF(AND(ISNUMBER($Y$825),$B$677=1),$Y$825,HLOOKUP(INDIRECT(ADDRESS(2,COLUMN())),OFFSET($BN$2,0,0,ROW()-1,60),ROW()-1,FALSE))</f>
        <v/>
      </c>
      <c r="Z154" t="str">
        <f ca="1">IF(AND(ISNUMBER($Z$825),$B$677=1),$Z$825,HLOOKUP(INDIRECT(ADDRESS(2,COLUMN())),OFFSET($BN$2,0,0,ROW()-1,60),ROW()-1,FALSE))</f>
        <v/>
      </c>
      <c r="AA154" t="str">
        <f ca="1">IF(AND(ISNUMBER($AA$825),$B$677=1),$AA$825,HLOOKUP(INDIRECT(ADDRESS(2,COLUMN())),OFFSET($BN$2,0,0,ROW()-1,60),ROW()-1,FALSE))</f>
        <v/>
      </c>
      <c r="AB154" t="str">
        <f ca="1">IF(AND(ISNUMBER($AB$825),$B$677=1),$AB$825,HLOOKUP(INDIRECT(ADDRESS(2,COLUMN())),OFFSET($BN$2,0,0,ROW()-1,60),ROW()-1,FALSE))</f>
        <v/>
      </c>
      <c r="AC154" t="str">
        <f ca="1">IF(AND(ISNUMBER($AC$825),$B$677=1),$AC$825,HLOOKUP(INDIRECT(ADDRESS(2,COLUMN())),OFFSET($BN$2,0,0,ROW()-1,60),ROW()-1,FALSE))</f>
        <v/>
      </c>
      <c r="AD154" t="str">
        <f ca="1">IF(AND(ISNUMBER($AD$825),$B$677=1),$AD$825,HLOOKUP(INDIRECT(ADDRESS(2,COLUMN())),OFFSET($BN$2,0,0,ROW()-1,60),ROW()-1,FALSE))</f>
        <v/>
      </c>
      <c r="AE154" t="str">
        <f ca="1">IF(AND(ISNUMBER($AE$825),$B$677=1),$AE$825,HLOOKUP(INDIRECT(ADDRESS(2,COLUMN())),OFFSET($BN$2,0,0,ROW()-1,60),ROW()-1,FALSE))</f>
        <v/>
      </c>
      <c r="AF154" t="str">
        <f ca="1">IF(AND(ISNUMBER($AF$825),$B$677=1),$AF$825,HLOOKUP(INDIRECT(ADDRESS(2,COLUMN())),OFFSET($BN$2,0,0,ROW()-1,60),ROW()-1,FALSE))</f>
        <v/>
      </c>
      <c r="AG154" t="str">
        <f ca="1">IF(AND(ISNUMBER($AG$825),$B$677=1),$AG$825,HLOOKUP(INDIRECT(ADDRESS(2,COLUMN())),OFFSET($BN$2,0,0,ROW()-1,60),ROW()-1,FALSE))</f>
        <v/>
      </c>
      <c r="AH154" t="str">
        <f ca="1">IF(AND(ISNUMBER($AH$825),$B$677=1),$AH$825,HLOOKUP(INDIRECT(ADDRESS(2,COLUMN())),OFFSET($BN$2,0,0,ROW()-1,60),ROW()-1,FALSE))</f>
        <v/>
      </c>
      <c r="AI154" t="str">
        <f ca="1">IF(AND(ISNUMBER($AI$825),$B$677=1),$AI$825,HLOOKUP(INDIRECT(ADDRESS(2,COLUMN())),OFFSET($BN$2,0,0,ROW()-1,60),ROW()-1,FALSE))</f>
        <v/>
      </c>
      <c r="AJ154" t="str">
        <f ca="1">IF(AND(ISNUMBER($AJ$825),$B$677=1),$AJ$825,HLOOKUP(INDIRECT(ADDRESS(2,COLUMN())),OFFSET($BN$2,0,0,ROW()-1,60),ROW()-1,FALSE))</f>
        <v/>
      </c>
      <c r="AK154" t="str">
        <f ca="1">IF(AND(ISNUMBER($AK$825),$B$677=1),$AK$825,HLOOKUP(INDIRECT(ADDRESS(2,COLUMN())),OFFSET($BN$2,0,0,ROW()-1,60),ROW()-1,FALSE))</f>
        <v/>
      </c>
      <c r="AL154" t="str">
        <f ca="1">IF(AND(ISNUMBER($AL$825),$B$677=1),$AL$825,HLOOKUP(INDIRECT(ADDRESS(2,COLUMN())),OFFSET($BN$2,0,0,ROW()-1,60),ROW()-1,FALSE))</f>
        <v/>
      </c>
      <c r="AM154" t="str">
        <f ca="1">IF(AND(ISNUMBER($AM$825),$B$677=1),$AM$825,HLOOKUP(INDIRECT(ADDRESS(2,COLUMN())),OFFSET($BN$2,0,0,ROW()-1,60),ROW()-1,FALSE))</f>
        <v/>
      </c>
      <c r="AN154" t="str">
        <f ca="1">IF(AND(ISNUMBER($AN$825),$B$677=1),$AN$825,HLOOKUP(INDIRECT(ADDRESS(2,COLUMN())),OFFSET($BN$2,0,0,ROW()-1,60),ROW()-1,FALSE))</f>
        <v/>
      </c>
      <c r="AO154" t="str">
        <f ca="1">IF(AND(ISNUMBER($AO$825),$B$677=1),$AO$825,HLOOKUP(INDIRECT(ADDRESS(2,COLUMN())),OFFSET($BN$2,0,0,ROW()-1,60),ROW()-1,FALSE))</f>
        <v/>
      </c>
      <c r="AP154" t="str">
        <f ca="1">IF(AND(ISNUMBER($AP$825),$B$677=1),$AP$825,HLOOKUP(INDIRECT(ADDRESS(2,COLUMN())),OFFSET($BN$2,0,0,ROW()-1,60),ROW()-1,FALSE))</f>
        <v/>
      </c>
      <c r="AQ154" t="str">
        <f ca="1">IF(AND(ISNUMBER($AQ$825),$B$677=1),$AQ$825,HLOOKUP(INDIRECT(ADDRESS(2,COLUMN())),OFFSET($BN$2,0,0,ROW()-1,60),ROW()-1,FALSE))</f>
        <v/>
      </c>
      <c r="AR154" t="str">
        <f ca="1">IF(AND(ISNUMBER($AR$825),$B$677=1),$AR$825,HLOOKUP(INDIRECT(ADDRESS(2,COLUMN())),OFFSET($BN$2,0,0,ROW()-1,60),ROW()-1,FALSE))</f>
        <v/>
      </c>
      <c r="AS154" t="str">
        <f ca="1">IF(AND(ISNUMBER($AS$825),$B$677=1),$AS$825,HLOOKUP(INDIRECT(ADDRESS(2,COLUMN())),OFFSET($BN$2,0,0,ROW()-1,60),ROW()-1,FALSE))</f>
        <v/>
      </c>
      <c r="AT154" t="str">
        <f ca="1">IF(AND(ISNUMBER($AT$825),$B$677=1),$AT$825,HLOOKUP(INDIRECT(ADDRESS(2,COLUMN())),OFFSET($BN$2,0,0,ROW()-1,60),ROW()-1,FALSE))</f>
        <v/>
      </c>
      <c r="AU154" t="str">
        <f ca="1">IF(AND(ISNUMBER($AU$825),$B$677=1),$AU$825,HLOOKUP(INDIRECT(ADDRESS(2,COLUMN())),OFFSET($BN$2,0,0,ROW()-1,60),ROW()-1,FALSE))</f>
        <v/>
      </c>
      <c r="AV154" t="str">
        <f ca="1">IF(AND(ISNUMBER($AV$825),$B$677=1),$AV$825,HLOOKUP(INDIRECT(ADDRESS(2,COLUMN())),OFFSET($BN$2,0,0,ROW()-1,60),ROW()-1,FALSE))</f>
        <v/>
      </c>
      <c r="AW154" t="str">
        <f ca="1">IF(AND(ISNUMBER($AW$825),$B$677=1),$AW$825,HLOOKUP(INDIRECT(ADDRESS(2,COLUMN())),OFFSET($BN$2,0,0,ROW()-1,60),ROW()-1,FALSE))</f>
        <v/>
      </c>
      <c r="AX154" t="str">
        <f ca="1">IF(AND(ISNUMBER($AX$825),$B$677=1),$AX$825,HLOOKUP(INDIRECT(ADDRESS(2,COLUMN())),OFFSET($BN$2,0,0,ROW()-1,60),ROW()-1,FALSE))</f>
        <v/>
      </c>
      <c r="AY154" t="str">
        <f ca="1">IF(AND(ISNUMBER($AY$825),$B$677=1),$AY$825,HLOOKUP(INDIRECT(ADDRESS(2,COLUMN())),OFFSET($BN$2,0,0,ROW()-1,60),ROW()-1,FALSE))</f>
        <v/>
      </c>
      <c r="AZ154" t="str">
        <f ca="1">IF(AND(ISNUMBER($AZ$825),$B$677=1),$AZ$825,HLOOKUP(INDIRECT(ADDRESS(2,COLUMN())),OFFSET($BN$2,0,0,ROW()-1,60),ROW()-1,FALSE))</f>
        <v/>
      </c>
      <c r="BA154" t="str">
        <f ca="1">IF(AND(ISNUMBER($BA$825),$B$677=1),$BA$825,HLOOKUP(INDIRECT(ADDRESS(2,COLUMN())),OFFSET($BN$2,0,0,ROW()-1,60),ROW()-1,FALSE))</f>
        <v/>
      </c>
      <c r="BB154" t="str">
        <f ca="1">IF(AND(ISNUMBER($BB$825),$B$677=1),$BB$825,HLOOKUP(INDIRECT(ADDRESS(2,COLUMN())),OFFSET($BN$2,0,0,ROW()-1,60),ROW()-1,FALSE))</f>
        <v/>
      </c>
      <c r="BC154" t="str">
        <f ca="1">IF(AND(ISNUMBER($BC$825),$B$677=1),$BC$825,HLOOKUP(INDIRECT(ADDRESS(2,COLUMN())),OFFSET($BN$2,0,0,ROW()-1,60),ROW()-1,FALSE))</f>
        <v/>
      </c>
      <c r="BD154" t="str">
        <f ca="1">IF(AND(ISNUMBER($BD$825),$B$677=1),$BD$825,HLOOKUP(INDIRECT(ADDRESS(2,COLUMN())),OFFSET($BN$2,0,0,ROW()-1,60),ROW()-1,FALSE))</f>
        <v/>
      </c>
      <c r="BE154" t="str">
        <f ca="1">IF(AND(ISNUMBER($BE$825),$B$677=1),$BE$825,HLOOKUP(INDIRECT(ADDRESS(2,COLUMN())),OFFSET($BN$2,0,0,ROW()-1,60),ROW()-1,FALSE))</f>
        <v/>
      </c>
      <c r="BF154" t="str">
        <f ca="1">IF(AND(ISNUMBER($BF$825),$B$677=1),$BF$825,HLOOKUP(INDIRECT(ADDRESS(2,COLUMN())),OFFSET($BN$2,0,0,ROW()-1,60),ROW()-1,FALSE))</f>
        <v/>
      </c>
      <c r="BG154" t="str">
        <f ca="1">IF(AND(ISNUMBER($BG$825),$B$677=1),$BG$825,HLOOKUP(INDIRECT(ADDRESS(2,COLUMN())),OFFSET($BN$2,0,0,ROW()-1,60),ROW()-1,FALSE))</f>
        <v/>
      </c>
      <c r="BH154" t="str">
        <f ca="1">IF(AND(ISNUMBER($BH$825),$B$677=1),$BH$825,HLOOKUP(INDIRECT(ADDRESS(2,COLUMN())),OFFSET($BN$2,0,0,ROW()-1,60),ROW()-1,FALSE))</f>
        <v/>
      </c>
      <c r="BI154" t="str">
        <f ca="1">IF(AND(ISNUMBER($BI$825),$B$677=1),$BI$825,HLOOKUP(INDIRECT(ADDRESS(2,COLUMN())),OFFSET($BN$2,0,0,ROW()-1,60),ROW()-1,FALSE))</f>
        <v/>
      </c>
      <c r="BJ154" t="str">
        <f ca="1">IF(AND(ISNUMBER($BJ$825),$B$677=1),$BJ$825,HLOOKUP(INDIRECT(ADDRESS(2,COLUMN())),OFFSET($BN$2,0,0,ROW()-1,60),ROW()-1,FALSE))</f>
        <v/>
      </c>
      <c r="BK154" t="str">
        <f ca="1">IF(AND(ISNUMBER($BK$825),$B$677=1),$BK$825,HLOOKUP(INDIRECT(ADDRESS(2,COLUMN())),OFFSET($BN$2,0,0,ROW()-1,60),ROW()-1,FALSE))</f>
        <v/>
      </c>
      <c r="BL154" t="str">
        <f ca="1">IF(AND(ISNUMBER($BL$825),$B$677=1),$BL$825,HLOOKUP(INDIRECT(ADDRESS(2,COLUMN())),OFFSET($BN$2,0,0,ROW()-1,60),ROW()-1,FALSE))</f>
        <v/>
      </c>
      <c r="BM154" t="str">
        <f ca="1">IF(AND(ISNUMBER($BM$825),$B$677=1),$BM$825,HLOOKUP(INDIRECT(ADDRESS(2,COLUMN())),OFFSET($BN$2,0,0,ROW()-1,60),ROW()-1,FALSE))</f>
        <v/>
      </c>
      <c r="BN154" t="str">
        <f>""</f>
        <v/>
      </c>
      <c r="BO154" t="str">
        <f>""</f>
        <v/>
      </c>
      <c r="BP154" t="str">
        <f>""</f>
        <v/>
      </c>
      <c r="BQ154" t="str">
        <f>""</f>
        <v/>
      </c>
      <c r="BR154" t="str">
        <f>""</f>
        <v/>
      </c>
      <c r="BS154" t="str">
        <f>""</f>
        <v/>
      </c>
      <c r="BT154" t="str">
        <f>""</f>
        <v/>
      </c>
      <c r="BU154" t="str">
        <f>""</f>
        <v/>
      </c>
      <c r="BV154" t="str">
        <f>""</f>
        <v/>
      </c>
      <c r="BW154" t="str">
        <f>""</f>
        <v/>
      </c>
      <c r="BX154" t="str">
        <f>""</f>
        <v/>
      </c>
      <c r="BY154" t="str">
        <f>""</f>
        <v/>
      </c>
      <c r="BZ154" t="str">
        <f>""</f>
        <v/>
      </c>
      <c r="CA154" t="str">
        <f>""</f>
        <v/>
      </c>
      <c r="CB154" t="str">
        <f>""</f>
        <v/>
      </c>
      <c r="CC154" t="str">
        <f>""</f>
        <v/>
      </c>
      <c r="CD154" t="str">
        <f>""</f>
        <v/>
      </c>
      <c r="CE154" t="str">
        <f>""</f>
        <v/>
      </c>
      <c r="CF154" t="str">
        <f>""</f>
        <v/>
      </c>
      <c r="CG154" t="str">
        <f>""</f>
        <v/>
      </c>
      <c r="CH154" t="str">
        <f>""</f>
        <v/>
      </c>
      <c r="CI154" t="str">
        <f>""</f>
        <v/>
      </c>
      <c r="CJ154" t="str">
        <f>""</f>
        <v/>
      </c>
      <c r="CK154" t="str">
        <f>""</f>
        <v/>
      </c>
      <c r="CL154" t="str">
        <f>""</f>
        <v/>
      </c>
      <c r="CM154" t="str">
        <f>""</f>
        <v/>
      </c>
      <c r="CN154" t="str">
        <f>""</f>
        <v/>
      </c>
      <c r="CO154" t="str">
        <f>""</f>
        <v/>
      </c>
      <c r="CP154" t="str">
        <f>""</f>
        <v/>
      </c>
      <c r="CQ154" t="str">
        <f>""</f>
        <v/>
      </c>
      <c r="CR154" t="str">
        <f>""</f>
        <v/>
      </c>
      <c r="CS154" t="str">
        <f>""</f>
        <v/>
      </c>
      <c r="CT154" t="str">
        <f>""</f>
        <v/>
      </c>
      <c r="CU154" t="str">
        <f>""</f>
        <v/>
      </c>
      <c r="CV154" t="str">
        <f>""</f>
        <v/>
      </c>
      <c r="CW154" t="str">
        <f>""</f>
        <v/>
      </c>
      <c r="CX154" t="str">
        <f>""</f>
        <v/>
      </c>
      <c r="CY154" t="str">
        <f>""</f>
        <v/>
      </c>
      <c r="CZ154" t="str">
        <f>""</f>
        <v/>
      </c>
      <c r="DA154" t="str">
        <f>""</f>
        <v/>
      </c>
      <c r="DB154" t="str">
        <f>""</f>
        <v/>
      </c>
      <c r="DC154" t="str">
        <f>""</f>
        <v/>
      </c>
      <c r="DD154" t="str">
        <f>""</f>
        <v/>
      </c>
      <c r="DE154" t="str">
        <f>""</f>
        <v/>
      </c>
      <c r="DF154" t="str">
        <f>""</f>
        <v/>
      </c>
      <c r="DG154" t="str">
        <f>""</f>
        <v/>
      </c>
      <c r="DH154" t="str">
        <f>""</f>
        <v/>
      </c>
      <c r="DI154" t="str">
        <f>""</f>
        <v/>
      </c>
      <c r="DJ154" t="str">
        <f>""</f>
        <v/>
      </c>
      <c r="DK154" t="str">
        <f>""</f>
        <v/>
      </c>
      <c r="DL154" t="str">
        <f>""</f>
        <v/>
      </c>
      <c r="DM154" t="str">
        <f>""</f>
        <v/>
      </c>
      <c r="DN154" t="str">
        <f>""</f>
        <v/>
      </c>
      <c r="DO154" t="str">
        <f>""</f>
        <v/>
      </c>
      <c r="DP154" t="str">
        <f>""</f>
        <v/>
      </c>
      <c r="DQ154" t="str">
        <f>""</f>
        <v/>
      </c>
      <c r="DR154" t="str">
        <f>""</f>
        <v/>
      </c>
      <c r="DS154" t="str">
        <f>""</f>
        <v/>
      </c>
      <c r="DT154" t="str">
        <f>""</f>
        <v/>
      </c>
      <c r="DU154" t="str">
        <f>""</f>
        <v/>
      </c>
    </row>
    <row r="155" spans="1:125" x14ac:dyDescent="0.25">
      <c r="A155" t="str">
        <f>"    SAIC Motor Corp Ltd"</f>
        <v xml:space="preserve">    SAIC Motor Corp Ltd</v>
      </c>
      <c r="B155" t="str">
        <f>"600104 CH Equity"</f>
        <v>600104 CH Equity</v>
      </c>
      <c r="C155" t="str">
        <f t="shared" si="9"/>
        <v>RR903</v>
      </c>
      <c r="D155" t="str">
        <f t="shared" si="10"/>
        <v>PX_TO_BOOK_RATIO</v>
      </c>
      <c r="E155" t="str">
        <f t="shared" si="11"/>
        <v>Dynamic</v>
      </c>
      <c r="F155">
        <f ca="1">IF(AND(ISNUMBER($F$826),$B$677=1),$F$826,HLOOKUP(INDIRECT(ADDRESS(2,COLUMN())),OFFSET($BN$2,0,0,ROW()-1,60),ROW()-1,FALSE))</f>
        <v>1.4387771709999999</v>
      </c>
      <c r="G155">
        <f ca="1">IF(AND(ISNUMBER($G$826),$B$677=1),$G$826,HLOOKUP(INDIRECT(ADDRESS(2,COLUMN())),OFFSET($BN$2,0,0,ROW()-1,60),ROW()-1,FALSE))</f>
        <v>1.350657767</v>
      </c>
      <c r="H155">
        <f ca="1">IF(AND(ISNUMBER($H$826),$B$677=1),$H$826,HLOOKUP(INDIRECT(ADDRESS(2,COLUMN())),OFFSET($BN$2,0,0,ROW()-1,60),ROW()-1,FALSE))</f>
        <v>1.685410216</v>
      </c>
      <c r="I155">
        <f ca="1">IF(AND(ISNUMBER($I$826),$B$677=1),$I$826,HLOOKUP(INDIRECT(ADDRESS(2,COLUMN())),OFFSET($BN$2,0,0,ROW()-1,60),ROW()-1,FALSE))</f>
        <v>1.855395208</v>
      </c>
      <c r="J155">
        <f ca="1">IF(AND(ISNUMBER($J$826),$B$677=1),$J$826,HLOOKUP(INDIRECT(ADDRESS(2,COLUMN())),OFFSET($BN$2,0,0,ROW()-1,60),ROW()-1,FALSE))</f>
        <v>1.6956173969999999</v>
      </c>
      <c r="K155">
        <f ca="1">IF(AND(ISNUMBER($K$826),$B$677=1),$K$826,HLOOKUP(INDIRECT(ADDRESS(2,COLUMN())),OFFSET($BN$2,0,0,ROW()-1,60),ROW()-1,FALSE))</f>
        <v>1.6612492480000001</v>
      </c>
      <c r="L155">
        <f ca="1">IF(AND(ISNUMBER($L$826),$B$677=1),$L$826,HLOOKUP(INDIRECT(ADDRESS(2,COLUMN())),OFFSET($BN$2,0,0,ROW()-1,60),ROW()-1,FALSE))</f>
        <v>1.635959494</v>
      </c>
      <c r="M155">
        <f ca="1">IF(AND(ISNUMBER($M$826),$B$677=1),$M$826,HLOOKUP(INDIRECT(ADDRESS(2,COLUMN())),OFFSET($BN$2,0,0,ROW()-1,60),ROW()-1,FALSE))</f>
        <v>1.7623296930000001</v>
      </c>
      <c r="N155">
        <f ca="1">IF(AND(ISNUMBER($N$826),$B$677=1),$N$826,HLOOKUP(INDIRECT(ADDRESS(2,COLUMN())),OFFSET($BN$2,0,0,ROW()-1,60),ROW()-1,FALSE))</f>
        <v>1.37593286</v>
      </c>
      <c r="O155">
        <f ca="1">IF(AND(ISNUMBER($O$826),$B$677=1),$O$826,HLOOKUP(INDIRECT(ADDRESS(2,COLUMN())),OFFSET($BN$2,0,0,ROW()-1,60),ROW()-1,FALSE))</f>
        <v>1.3459248720000001</v>
      </c>
      <c r="P155">
        <f ca="1">IF(AND(ISNUMBER($P$826),$B$677=1),$P$826,HLOOKUP(INDIRECT(ADDRESS(2,COLUMN())),OFFSET($BN$2,0,0,ROW()-1,60),ROW()-1,FALSE))</f>
        <v>1.308067254</v>
      </c>
      <c r="Q155">
        <f ca="1">IF(AND(ISNUMBER($Q$826),$B$677=1),$Q$826,HLOOKUP(INDIRECT(ADDRESS(2,COLUMN())),OFFSET($BN$2,0,0,ROW()-1,60),ROW()-1,FALSE))</f>
        <v>1.2718165770000001</v>
      </c>
      <c r="R155">
        <f ca="1">IF(AND(ISNUMBER($R$826),$B$677=1),$R$826,HLOOKUP(INDIRECT(ADDRESS(2,COLUMN())),OFFSET($BN$2,0,0,ROW()-1,60),ROW()-1,FALSE))</f>
        <v>1.2037284989999999</v>
      </c>
      <c r="S155">
        <f ca="1">IF(AND(ISNUMBER($S$826),$B$677=1),$S$826,HLOOKUP(INDIRECT(ADDRESS(2,COLUMN())),OFFSET($BN$2,0,0,ROW()-1,60),ROW()-1,FALSE))</f>
        <v>1.3359459199999999</v>
      </c>
      <c r="T155">
        <f ca="1">IF(AND(ISNUMBER($T$826),$B$677=1),$T$826,HLOOKUP(INDIRECT(ADDRESS(2,COLUMN())),OFFSET($BN$2,0,0,ROW()-1,60),ROW()-1,FALSE))</f>
        <v>1.1171623829999999</v>
      </c>
      <c r="U155">
        <f ca="1">IF(AND(ISNUMBER($U$826),$B$677=1),$U$826,HLOOKUP(INDIRECT(ADDRESS(2,COLUMN())),OFFSET($BN$2,0,0,ROW()-1,60),ROW()-1,FALSE))</f>
        <v>1.566536382</v>
      </c>
      <c r="V155">
        <f ca="1">IF(AND(ISNUMBER($V$826),$B$677=1),$V$826,HLOOKUP(INDIRECT(ADDRESS(2,COLUMN())),OFFSET($BN$2,0,0,ROW()-1,60),ROW()-1,FALSE))</f>
        <v>1.6595559339999999</v>
      </c>
      <c r="W155">
        <f ca="1">IF(AND(ISNUMBER($W$826),$B$677=1),$W$826,HLOOKUP(INDIRECT(ADDRESS(2,COLUMN())),OFFSET($BN$2,0,0,ROW()-1,60),ROW()-1,FALSE))</f>
        <v>1.501410189</v>
      </c>
      <c r="X155">
        <f ca="1">IF(AND(ISNUMBER($X$826),$B$677=1),$X$826,HLOOKUP(INDIRECT(ADDRESS(2,COLUMN())),OFFSET($BN$2,0,0,ROW()-1,60),ROW()-1,FALSE))</f>
        <v>1.376345653</v>
      </c>
      <c r="Y155">
        <f ca="1">IF(AND(ISNUMBER($Y$826),$B$677=1),$Y$826,HLOOKUP(INDIRECT(ADDRESS(2,COLUMN())),OFFSET($BN$2,0,0,ROW()-1,60),ROW()-1,FALSE))</f>
        <v>1.2234948569999999</v>
      </c>
      <c r="Z155">
        <f ca="1">IF(AND(ISNUMBER($Z$826),$B$677=1),$Z$826,HLOOKUP(INDIRECT(ADDRESS(2,COLUMN())),OFFSET($BN$2,0,0,ROW()-1,60),ROW()-1,FALSE))</f>
        <v>1.059160219</v>
      </c>
      <c r="AA155">
        <f ca="1">IF(AND(ISNUMBER($AA$826),$B$677=1),$AA$826,HLOOKUP(INDIRECT(ADDRESS(2,COLUMN())),OFFSET($BN$2,0,0,ROW()-1,60),ROW()-1,FALSE))</f>
        <v>1.1317119419999999</v>
      </c>
      <c r="AB155">
        <f ca="1">IF(AND(ISNUMBER($AB$826),$B$677=1),$AB$826,HLOOKUP(INDIRECT(ADDRESS(2,COLUMN())),OFFSET($BN$2,0,0,ROW()-1,60),ROW()-1,FALSE))</f>
        <v>1.124147614</v>
      </c>
      <c r="AC155">
        <f ca="1">IF(AND(ISNUMBER($AC$826),$B$677=1),$AC$826,HLOOKUP(INDIRECT(ADDRESS(2,COLUMN())),OFFSET($BN$2,0,0,ROW()-1,60),ROW()-1,FALSE))</f>
        <v>1.1545020690000001</v>
      </c>
      <c r="AD155">
        <f ca="1">IF(AND(ISNUMBER($AD$826),$B$677=1),$AD$826,HLOOKUP(INDIRECT(ADDRESS(2,COLUMN())),OFFSET($BN$2,0,0,ROW()-1,60),ROW()-1,FALSE))</f>
        <v>1.276731147</v>
      </c>
      <c r="AE155">
        <f ca="1">IF(AND(ISNUMBER($AE$826),$B$677=1),$AE$826,HLOOKUP(INDIRECT(ADDRESS(2,COLUMN())),OFFSET($BN$2,0,0,ROW()-1,60),ROW()-1,FALSE))</f>
        <v>1.589792224</v>
      </c>
      <c r="AF155">
        <f ca="1">IF(AND(ISNUMBER($AF$826),$B$677=1),$AF$826,HLOOKUP(INDIRECT(ADDRESS(2,COLUMN())),OFFSET($BN$2,0,0,ROW()-1,60),ROW()-1,FALSE))</f>
        <v>1.3031668949999999</v>
      </c>
      <c r="AG155">
        <f ca="1">IF(AND(ISNUMBER($AG$826),$B$677=1),$AG$826,HLOOKUP(INDIRECT(ADDRESS(2,COLUMN())),OFFSET($BN$2,0,0,ROW()-1,60),ROW()-1,FALSE))</f>
        <v>1.439322062</v>
      </c>
      <c r="AH155">
        <f ca="1">IF(AND(ISNUMBER($AH$826),$B$677=1),$AH$826,HLOOKUP(INDIRECT(ADDRESS(2,COLUMN())),OFFSET($BN$2,0,0,ROW()-1,60),ROW()-1,FALSE))</f>
        <v>1.5032581899999999</v>
      </c>
      <c r="AI155">
        <f ca="1">IF(AND(ISNUMBER($AI$826),$B$677=1),$AI$826,HLOOKUP(INDIRECT(ADDRESS(2,COLUMN())),OFFSET($BN$2,0,0,ROW()-1,60),ROW()-1,FALSE))</f>
        <v>1.5230362129999999</v>
      </c>
      <c r="AJ155">
        <f ca="1">IF(AND(ISNUMBER($AJ$826),$B$677=1),$AJ$826,HLOOKUP(INDIRECT(ADDRESS(2,COLUMN())),OFFSET($BN$2,0,0,ROW()-1,60),ROW()-1,FALSE))</f>
        <v>1.9206049359999999</v>
      </c>
      <c r="AK155">
        <f ca="1">IF(AND(ISNUMBER($AK$826),$B$677=1),$AK$826,HLOOKUP(INDIRECT(ADDRESS(2,COLUMN())),OFFSET($BN$2,0,0,ROW()-1,60),ROW()-1,FALSE))</f>
        <v>2.3941571690000001</v>
      </c>
      <c r="AL155">
        <f ca="1">IF(AND(ISNUMBER($AL$826),$B$677=1),$AL$826,HLOOKUP(INDIRECT(ADDRESS(2,COLUMN())),OFFSET($BN$2,0,0,ROW()-1,60),ROW()-1,FALSE))</f>
        <v>1.9619590760000001</v>
      </c>
      <c r="AM155">
        <f ca="1">IF(AND(ISNUMBER($AM$826),$B$677=1),$AM$826,HLOOKUP(INDIRECT(ADDRESS(2,COLUMN())),OFFSET($BN$2,0,0,ROW()-1,60),ROW()-1,FALSE))</f>
        <v>1.5610601209999999</v>
      </c>
      <c r="AN155">
        <f ca="1">IF(AND(ISNUMBER($AN$826),$B$677=1),$AN$826,HLOOKUP(INDIRECT(ADDRESS(2,COLUMN())),OFFSET($BN$2,0,0,ROW()-1,60),ROW()-1,FALSE))</f>
        <v>2.780798007</v>
      </c>
      <c r="AO155">
        <f ca="1">IF(AND(ISNUMBER($AO$826),$B$677=1),$AO$826,HLOOKUP(INDIRECT(ADDRESS(2,COLUMN())),OFFSET($BN$2,0,0,ROW()-1,60),ROW()-1,FALSE))</f>
        <v>2.1775727699999998</v>
      </c>
      <c r="AP155">
        <f ca="1">IF(AND(ISNUMBER($AP$826),$B$677=1),$AP$826,HLOOKUP(INDIRECT(ADDRESS(2,COLUMN())),OFFSET($BN$2,0,0,ROW()-1,60),ROW()-1,FALSE))</f>
        <v>2.965716177</v>
      </c>
      <c r="AQ155">
        <f ca="1">IF(AND(ISNUMBER($AQ$826),$B$677=1),$AQ$826,HLOOKUP(INDIRECT(ADDRESS(2,COLUMN())),OFFSET($BN$2,0,0,ROW()-1,60),ROW()-1,FALSE))</f>
        <v>4.0312881340000004</v>
      </c>
      <c r="AR155">
        <f ca="1">IF(AND(ISNUMBER($AR$826),$B$677=1),$AR$826,HLOOKUP(INDIRECT(ADDRESS(2,COLUMN())),OFFSET($BN$2,0,0,ROW()-1,60),ROW()-1,FALSE))</f>
        <v>3.2534655479999999</v>
      </c>
      <c r="AS155">
        <f ca="1">IF(AND(ISNUMBER($AS$826),$B$677=1),$AS$826,HLOOKUP(INDIRECT(ADDRESS(2,COLUMN())),OFFSET($BN$2,0,0,ROW()-1,60),ROW()-1,FALSE))</f>
        <v>2.6288533410000001</v>
      </c>
      <c r="AT155">
        <f ca="1">IF(AND(ISNUMBER($AT$826),$B$677=1),$AT$826,HLOOKUP(INDIRECT(ADDRESS(2,COLUMN())),OFFSET($BN$2,0,0,ROW()-1,60),ROW()-1,FALSE))</f>
        <v>1.7654324189999999</v>
      </c>
      <c r="AU155">
        <f ca="1">IF(AND(ISNUMBER($AU$826),$B$677=1),$AU$826,HLOOKUP(INDIRECT(ADDRESS(2,COLUMN())),OFFSET($BN$2,0,0,ROW()-1,60),ROW()-1,FALSE))</f>
        <v>1.0136762800000001</v>
      </c>
      <c r="AV155">
        <f ca="1">IF(AND(ISNUMBER($AV$826),$B$677=1),$AV$826,HLOOKUP(INDIRECT(ADDRESS(2,COLUMN())),OFFSET($BN$2,0,0,ROW()-1,60),ROW()-1,FALSE))</f>
        <v>1.2226750239999999</v>
      </c>
      <c r="AW155">
        <f ca="1">IF(AND(ISNUMBER($AW$826),$B$677=1),$AW$826,HLOOKUP(INDIRECT(ADDRESS(2,COLUMN())),OFFSET($BN$2,0,0,ROW()-1,60),ROW()-1,FALSE))</f>
        <v>1.372030879</v>
      </c>
      <c r="AX155">
        <f ca="1">IF(AND(ISNUMBER($AX$826),$B$677=1),$AX$826,HLOOKUP(INDIRECT(ADDRESS(2,COLUMN())),OFFSET($BN$2,0,0,ROW()-1,60),ROW()-1,FALSE))</f>
        <v>2.386532221</v>
      </c>
      <c r="AY155">
        <f ca="1">IF(AND(ISNUMBER($AY$826),$B$677=1),$AY$826,HLOOKUP(INDIRECT(ADDRESS(2,COLUMN())),OFFSET($BN$2,0,0,ROW()-1,60),ROW()-1,FALSE))</f>
        <v>4.606864345</v>
      </c>
      <c r="AZ155">
        <f ca="1">IF(AND(ISNUMBER($AZ$826),$B$677=1),$AZ$826,HLOOKUP(INDIRECT(ADDRESS(2,COLUMN())),OFFSET($BN$2,0,0,ROW()-1,60),ROW()-1,FALSE))</f>
        <v>5.4634592580000003</v>
      </c>
      <c r="BA155">
        <f ca="1">IF(AND(ISNUMBER($BA$826),$B$677=1),$BA$826,HLOOKUP(INDIRECT(ADDRESS(2,COLUMN())),OFFSET($BN$2,0,0,ROW()-1,60),ROW()-1,FALSE))</f>
        <v>3.2365283499999999</v>
      </c>
      <c r="BB155">
        <f ca="1">IF(AND(ISNUMBER($BB$826),$B$677=1),$BB$826,HLOOKUP(INDIRECT(ADDRESS(2,COLUMN())),OFFSET($BN$2,0,0,ROW()-1,60),ROW()-1,FALSE))</f>
        <v>2.4433452519999999</v>
      </c>
      <c r="BC155">
        <f ca="1">IF(AND(ISNUMBER($BC$826),$B$677=1),$BC$826,HLOOKUP(INDIRECT(ADDRESS(2,COLUMN())),OFFSET($BN$2,0,0,ROW()-1,60),ROW()-1,FALSE))</f>
        <v>1.6552758759999999</v>
      </c>
      <c r="BD155">
        <f ca="1">IF(AND(ISNUMBER($BD$826),$B$677=1),$BD$826,HLOOKUP(INDIRECT(ADDRESS(2,COLUMN())),OFFSET($BN$2,0,0,ROW()-1,60),ROW()-1,FALSE))</f>
        <v>1.457871747</v>
      </c>
      <c r="BE155">
        <f ca="1">IF(AND(ISNUMBER($BE$826),$B$677=1),$BE$826,HLOOKUP(INDIRECT(ADDRESS(2,COLUMN())),OFFSET($BN$2,0,0,ROW()-1,60),ROW()-1,FALSE))</f>
        <v>1.680577403</v>
      </c>
      <c r="BF155">
        <f ca="1">IF(AND(ISNUMBER($BF$826),$B$677=1),$BF$826,HLOOKUP(INDIRECT(ADDRESS(2,COLUMN())),OFFSET($BN$2,0,0,ROW()-1,60),ROW()-1,FALSE))</f>
        <v>0.95883378600000002</v>
      </c>
      <c r="BG155">
        <f ca="1">IF(AND(ISNUMBER($BG$826),$B$677=1),$BG$826,HLOOKUP(INDIRECT(ADDRESS(2,COLUMN())),OFFSET($BN$2,0,0,ROW()-1,60),ROW()-1,FALSE))</f>
        <v>0.93035046700000001</v>
      </c>
      <c r="BH155">
        <f ca="1">IF(AND(ISNUMBER($BH$826),$B$677=1),$BH$826,HLOOKUP(INDIRECT(ADDRESS(2,COLUMN())),OFFSET($BN$2,0,0,ROW()-1,60),ROW()-1,FALSE))</f>
        <v>1.53273511</v>
      </c>
      <c r="BI155">
        <f ca="1">IF(AND(ISNUMBER($BI$826),$B$677=1),$BI$826,HLOOKUP(INDIRECT(ADDRESS(2,COLUMN())),OFFSET($BN$2,0,0,ROW()-1,60),ROW()-1,FALSE))</f>
        <v>1.2772792580000001</v>
      </c>
      <c r="BJ155">
        <f ca="1">IF(AND(ISNUMBER($BJ$826),$B$677=1),$BJ$826,HLOOKUP(INDIRECT(ADDRESS(2,COLUMN())),OFFSET($BN$2,0,0,ROW()-1,60),ROW()-1,FALSE))</f>
        <v>1.227306684</v>
      </c>
      <c r="BK155">
        <f ca="1">IF(AND(ISNUMBER($BK$826),$B$677=1),$BK$826,HLOOKUP(INDIRECT(ADDRESS(2,COLUMN())),OFFSET($BN$2,0,0,ROW()-1,60),ROW()-1,FALSE))</f>
        <v>1.367469842</v>
      </c>
      <c r="BL155">
        <f ca="1">IF(AND(ISNUMBER($BL$826),$B$677=1),$BL$826,HLOOKUP(INDIRECT(ADDRESS(2,COLUMN())),OFFSET($BN$2,0,0,ROW()-1,60),ROW()-1,FALSE))</f>
        <v>2.2803677699999998</v>
      </c>
      <c r="BM155">
        <f ca="1">IF(AND(ISNUMBER($BM$826),$B$677=1),$BM$826,HLOOKUP(INDIRECT(ADDRESS(2,COLUMN())),OFFSET($BN$2,0,0,ROW()-1,60),ROW()-1,FALSE))</f>
        <v>2.5724288940000002</v>
      </c>
      <c r="BN155">
        <f>1.438777171</f>
        <v>1.4387771709999999</v>
      </c>
      <c r="BO155">
        <f>1.350657767</f>
        <v>1.350657767</v>
      </c>
      <c r="BP155">
        <f>1.685410216</f>
        <v>1.685410216</v>
      </c>
      <c r="BQ155">
        <f>1.855395208</f>
        <v>1.855395208</v>
      </c>
      <c r="BR155">
        <f>1.695617397</f>
        <v>1.6956173969999999</v>
      </c>
      <c r="BS155">
        <f>1.661249248</f>
        <v>1.6612492480000001</v>
      </c>
      <c r="BT155">
        <f>1.635959494</f>
        <v>1.635959494</v>
      </c>
      <c r="BU155">
        <f>1.762329693</f>
        <v>1.7623296930000001</v>
      </c>
      <c r="BV155">
        <f>1.37593286</f>
        <v>1.37593286</v>
      </c>
      <c r="BW155">
        <f>1.345924872</f>
        <v>1.3459248720000001</v>
      </c>
      <c r="BX155">
        <f>1.308067254</f>
        <v>1.308067254</v>
      </c>
      <c r="BY155">
        <f>1.271816577</f>
        <v>1.2718165770000001</v>
      </c>
      <c r="BZ155">
        <f>1.203728499</f>
        <v>1.2037284989999999</v>
      </c>
      <c r="CA155">
        <f>1.33594592</f>
        <v>1.3359459199999999</v>
      </c>
      <c r="CB155">
        <f>1.117162383</f>
        <v>1.1171623829999999</v>
      </c>
      <c r="CC155">
        <f>1.566536382</f>
        <v>1.566536382</v>
      </c>
      <c r="CD155">
        <f>1.659555934</f>
        <v>1.6595559339999999</v>
      </c>
      <c r="CE155">
        <f>1.501410189</f>
        <v>1.501410189</v>
      </c>
      <c r="CF155">
        <f>1.376345653</f>
        <v>1.376345653</v>
      </c>
      <c r="CG155">
        <f>1.223494857</f>
        <v>1.2234948569999999</v>
      </c>
      <c r="CH155">
        <f>1.059160219</f>
        <v>1.059160219</v>
      </c>
      <c r="CI155">
        <f>1.131711942</f>
        <v>1.1317119419999999</v>
      </c>
      <c r="CJ155">
        <f>1.124147614</f>
        <v>1.124147614</v>
      </c>
      <c r="CK155">
        <f>1.154502069</f>
        <v>1.1545020690000001</v>
      </c>
      <c r="CL155">
        <f>1.276731147</f>
        <v>1.276731147</v>
      </c>
      <c r="CM155">
        <f>1.589792224</f>
        <v>1.589792224</v>
      </c>
      <c r="CN155">
        <f>1.303166895</f>
        <v>1.3031668949999999</v>
      </c>
      <c r="CO155">
        <f>1.439322062</f>
        <v>1.439322062</v>
      </c>
      <c r="CP155">
        <f>1.50325819</f>
        <v>1.5032581899999999</v>
      </c>
      <c r="CQ155">
        <f>1.523036213</f>
        <v>1.5230362129999999</v>
      </c>
      <c r="CR155">
        <f>1.920604936</f>
        <v>1.9206049359999999</v>
      </c>
      <c r="CS155">
        <f>2.394157169</f>
        <v>2.3941571690000001</v>
      </c>
      <c r="CT155">
        <f>1.961959076</f>
        <v>1.9619590760000001</v>
      </c>
      <c r="CU155">
        <f>1.561060121</f>
        <v>1.5610601209999999</v>
      </c>
      <c r="CV155">
        <f>2.780798007</f>
        <v>2.780798007</v>
      </c>
      <c r="CW155">
        <f>2.17757277</f>
        <v>2.1775727699999998</v>
      </c>
      <c r="CX155">
        <f>2.965716177</f>
        <v>2.965716177</v>
      </c>
      <c r="CY155">
        <f>4.031288134</f>
        <v>4.0312881340000004</v>
      </c>
      <c r="CZ155">
        <f>3.253465548</f>
        <v>3.2534655479999999</v>
      </c>
      <c r="DA155">
        <f>2.628853341</f>
        <v>2.6288533410000001</v>
      </c>
      <c r="DB155">
        <f>1.765432419</f>
        <v>1.7654324189999999</v>
      </c>
      <c r="DC155">
        <f>1.01367628</f>
        <v>1.0136762800000001</v>
      </c>
      <c r="DD155">
        <f>1.222675024</f>
        <v>1.2226750239999999</v>
      </c>
      <c r="DE155">
        <f>1.372030879</f>
        <v>1.372030879</v>
      </c>
      <c r="DF155">
        <f>2.386532221</f>
        <v>2.386532221</v>
      </c>
      <c r="DG155">
        <f>4.606864345</f>
        <v>4.606864345</v>
      </c>
      <c r="DH155">
        <f>5.463459258</f>
        <v>5.4634592580000003</v>
      </c>
      <c r="DI155">
        <f>3.23652835</f>
        <v>3.2365283499999999</v>
      </c>
      <c r="DJ155">
        <f>2.443345252</f>
        <v>2.4433452519999999</v>
      </c>
      <c r="DK155">
        <f>1.655275876</f>
        <v>1.6552758759999999</v>
      </c>
      <c r="DL155">
        <f>1.457871747</f>
        <v>1.457871747</v>
      </c>
      <c r="DM155">
        <f>1.680577403</f>
        <v>1.680577403</v>
      </c>
      <c r="DN155">
        <f>0.958833786</f>
        <v>0.95883378600000002</v>
      </c>
      <c r="DO155">
        <f>0.930350467</f>
        <v>0.93035046700000001</v>
      </c>
      <c r="DP155">
        <f>1.53273511</f>
        <v>1.53273511</v>
      </c>
      <c r="DQ155">
        <f>1.277279258</f>
        <v>1.2772792580000001</v>
      </c>
      <c r="DR155">
        <f>1.227306684</f>
        <v>1.227306684</v>
      </c>
      <c r="DS155">
        <f>1.367469842</f>
        <v>1.367469842</v>
      </c>
      <c r="DT155">
        <f>2.28036777</f>
        <v>2.2803677699999998</v>
      </c>
      <c r="DU155">
        <f>2.572428894</f>
        <v>2.5724288940000002</v>
      </c>
    </row>
    <row r="156" spans="1:125" x14ac:dyDescent="0.25">
      <c r="A156" t="str">
        <f>"    Sanyang Motor Co Ltd"</f>
        <v xml:space="preserve">    Sanyang Motor Co Ltd</v>
      </c>
      <c r="B156" t="str">
        <f>"2206 TT Equity"</f>
        <v>2206 TT Equity</v>
      </c>
      <c r="C156" t="str">
        <f t="shared" si="9"/>
        <v>RR903</v>
      </c>
      <c r="D156" t="str">
        <f t="shared" si="10"/>
        <v>PX_TO_BOOK_RATIO</v>
      </c>
      <c r="E156" t="str">
        <f t="shared" si="11"/>
        <v>Dynamic</v>
      </c>
      <c r="F156">
        <f ca="1">IF(AND(ISNUMBER($F$827),$B$677=1),$F$827,HLOOKUP(INDIRECT(ADDRESS(2,COLUMN())),OFFSET($BN$2,0,0,ROW()-1,60),ROW()-1,FALSE))</f>
        <v>1.2572014819999999</v>
      </c>
      <c r="G156">
        <f ca="1">IF(AND(ISNUMBER($G$827),$B$677=1),$G$827,HLOOKUP(INDIRECT(ADDRESS(2,COLUMN())),OFFSET($BN$2,0,0,ROW()-1,60),ROW()-1,FALSE))</f>
        <v>1.2540663160000001</v>
      </c>
      <c r="H156">
        <f ca="1">IF(AND(ISNUMBER($H$827),$B$677=1),$H$827,HLOOKUP(INDIRECT(ADDRESS(2,COLUMN())),OFFSET($BN$2,0,0,ROW()-1,60),ROW()-1,FALSE))</f>
        <v>1.285417974</v>
      </c>
      <c r="I156">
        <f ca="1">IF(AND(ISNUMBER($I$827),$B$677=1),$I$827,HLOOKUP(INDIRECT(ADDRESS(2,COLUMN())),OFFSET($BN$2,0,0,ROW()-1,60),ROW()-1,FALSE))</f>
        <v>1.495854679</v>
      </c>
      <c r="J156">
        <f ca="1">IF(AND(ISNUMBER($J$827),$B$677=1),$J$827,HLOOKUP(INDIRECT(ADDRESS(2,COLUMN())),OFFSET($BN$2,0,0,ROW()-1,60),ROW()-1,FALSE))</f>
        <v>1.442963277</v>
      </c>
      <c r="K156">
        <f ca="1">IF(AND(ISNUMBER($K$827),$B$677=1),$K$827,HLOOKUP(INDIRECT(ADDRESS(2,COLUMN())),OFFSET($BN$2,0,0,ROW()-1,60),ROW()-1,FALSE))</f>
        <v>1.4279531409999999</v>
      </c>
      <c r="L156">
        <f ca="1">IF(AND(ISNUMBER($L$827),$B$677=1),$L$827,HLOOKUP(INDIRECT(ADDRESS(2,COLUMN())),OFFSET($BN$2,0,0,ROW()-1,60),ROW()-1,FALSE))</f>
        <v>1.3343524760000001</v>
      </c>
      <c r="M156">
        <f ca="1">IF(AND(ISNUMBER($M$827),$B$677=1),$M$827,HLOOKUP(INDIRECT(ADDRESS(2,COLUMN())),OFFSET($BN$2,0,0,ROW()-1,60),ROW()-1,FALSE))</f>
        <v>1.418366821</v>
      </c>
      <c r="N156">
        <f ca="1">IF(AND(ISNUMBER($N$827),$B$677=1),$N$827,HLOOKUP(INDIRECT(ADDRESS(2,COLUMN())),OFFSET($BN$2,0,0,ROW()-1,60),ROW()-1,FALSE))</f>
        <v>1.3094729540000001</v>
      </c>
      <c r="O156">
        <f ca="1">IF(AND(ISNUMBER($O$827),$B$677=1),$O$827,HLOOKUP(INDIRECT(ADDRESS(2,COLUMN())),OFFSET($BN$2,0,0,ROW()-1,60),ROW()-1,FALSE))</f>
        <v>1.2234107890000001</v>
      </c>
      <c r="P156">
        <f ca="1">IF(AND(ISNUMBER($P$827),$B$677=1),$P$827,HLOOKUP(INDIRECT(ADDRESS(2,COLUMN())),OFFSET($BN$2,0,0,ROW()-1,60),ROW()-1,FALSE))</f>
        <v>1.2044611510000001</v>
      </c>
      <c r="Q156">
        <f ca="1">IF(AND(ISNUMBER($Q$827),$B$677=1),$Q$827,HLOOKUP(INDIRECT(ADDRESS(2,COLUMN())),OFFSET($BN$2,0,0,ROW()-1,60),ROW()-1,FALSE))</f>
        <v>1.1563321769999999</v>
      </c>
      <c r="R156">
        <f ca="1">IF(AND(ISNUMBER($R$827),$B$677=1),$R$827,HLOOKUP(INDIRECT(ADDRESS(2,COLUMN())),OFFSET($BN$2,0,0,ROW()-1,60),ROW()-1,FALSE))</f>
        <v>1.133590275</v>
      </c>
      <c r="S156">
        <f ca="1">IF(AND(ISNUMBER($S$827),$B$677=1),$S$827,HLOOKUP(INDIRECT(ADDRESS(2,COLUMN())),OFFSET($BN$2,0,0,ROW()-1,60),ROW()-1,FALSE))</f>
        <v>1.1533736889999999</v>
      </c>
      <c r="T156">
        <f ca="1">IF(AND(ISNUMBER($T$827),$B$677=1),$T$827,HLOOKUP(INDIRECT(ADDRESS(2,COLUMN())),OFFSET($BN$2,0,0,ROW()-1,60),ROW()-1,FALSE))</f>
        <v>1.198847046</v>
      </c>
      <c r="U156">
        <f ca="1">IF(AND(ISNUMBER($U$827),$B$677=1),$U$827,HLOOKUP(INDIRECT(ADDRESS(2,COLUMN())),OFFSET($BN$2,0,0,ROW()-1,60),ROW()-1,FALSE))</f>
        <v>1.550071032</v>
      </c>
      <c r="V156">
        <f ca="1">IF(AND(ISNUMBER($V$827),$B$677=1),$V$827,HLOOKUP(INDIRECT(ADDRESS(2,COLUMN())),OFFSET($BN$2,0,0,ROW()-1,60),ROW()-1,FALSE))</f>
        <v>1.6570423780000001</v>
      </c>
      <c r="W156">
        <f ca="1">IF(AND(ISNUMBER($W$827),$B$677=1),$W$827,HLOOKUP(INDIRECT(ADDRESS(2,COLUMN())),OFFSET($BN$2,0,0,ROW()-1,60),ROW()-1,FALSE))</f>
        <v>1.7936916009999999</v>
      </c>
      <c r="X156">
        <f ca="1">IF(AND(ISNUMBER($X$827),$B$677=1),$X$827,HLOOKUP(INDIRECT(ADDRESS(2,COLUMN())),OFFSET($BN$2,0,0,ROW()-1,60),ROW()-1,FALSE))</f>
        <v>1.765981866</v>
      </c>
      <c r="Y156">
        <f ca="1">IF(AND(ISNUMBER($Y$827),$B$677=1),$Y$827,HLOOKUP(INDIRECT(ADDRESS(2,COLUMN())),OFFSET($BN$2,0,0,ROW()-1,60),ROW()-1,FALSE))</f>
        <v>1.954443435</v>
      </c>
      <c r="Z156">
        <f ca="1">IF(AND(ISNUMBER($Z$827),$B$677=1),$Z$827,HLOOKUP(INDIRECT(ADDRESS(2,COLUMN())),OFFSET($BN$2,0,0,ROW()-1,60),ROW()-1,FALSE))</f>
        <v>3.2448970689999999</v>
      </c>
      <c r="AA156">
        <f ca="1">IF(AND(ISNUMBER($AA$827),$B$677=1),$AA$827,HLOOKUP(INDIRECT(ADDRESS(2,COLUMN())),OFFSET($BN$2,0,0,ROW()-1,60),ROW()-1,FALSE))</f>
        <v>3.1704247510000001</v>
      </c>
      <c r="AB156">
        <f ca="1">IF(AND(ISNUMBER($AB$827),$B$677=1),$AB$827,HLOOKUP(INDIRECT(ADDRESS(2,COLUMN())),OFFSET($BN$2,0,0,ROW()-1,60),ROW()-1,FALSE))</f>
        <v>2.6881911079999998</v>
      </c>
      <c r="AC156">
        <f ca="1">IF(AND(ISNUMBER($AC$827),$B$677=1),$AC$827,HLOOKUP(INDIRECT(ADDRESS(2,COLUMN())),OFFSET($BN$2,0,0,ROW()-1,60),ROW()-1,FALSE))</f>
        <v>1.792109366</v>
      </c>
      <c r="AD156">
        <f ca="1">IF(AND(ISNUMBER($AD$827),$B$677=1),$AD$827,HLOOKUP(INDIRECT(ADDRESS(2,COLUMN())),OFFSET($BN$2,0,0,ROW()-1,60),ROW()-1,FALSE))</f>
        <v>1.575918111</v>
      </c>
      <c r="AE156">
        <f ca="1">IF(AND(ISNUMBER($AE$827),$B$677=1),$AE$827,HLOOKUP(INDIRECT(ADDRESS(2,COLUMN())),OFFSET($BN$2,0,0,ROW()-1,60),ROW()-1,FALSE))</f>
        <v>1.089166351</v>
      </c>
      <c r="AF156">
        <f ca="1">IF(AND(ISNUMBER($AF$827),$B$677=1),$AF$827,HLOOKUP(INDIRECT(ADDRESS(2,COLUMN())),OFFSET($BN$2,0,0,ROW()-1,60),ROW()-1,FALSE))</f>
        <v>1.225155274</v>
      </c>
      <c r="AG156">
        <f ca="1">IF(AND(ISNUMBER($AG$827),$B$677=1),$AG$827,HLOOKUP(INDIRECT(ADDRESS(2,COLUMN())),OFFSET($BN$2,0,0,ROW()-1,60),ROW()-1,FALSE))</f>
        <v>1.1350034870000001</v>
      </c>
      <c r="AH156">
        <f ca="1">IF(AND(ISNUMBER($AH$827),$B$677=1),$AH$827,HLOOKUP(INDIRECT(ADDRESS(2,COLUMN())),OFFSET($BN$2,0,0,ROW()-1,60),ROW()-1,FALSE))</f>
        <v>1.2442566239999999</v>
      </c>
      <c r="AI156">
        <f ca="1">IF(AND(ISNUMBER($AI$827),$B$677=1),$AI$827,HLOOKUP(INDIRECT(ADDRESS(2,COLUMN())),OFFSET($BN$2,0,0,ROW()-1,60),ROW()-1,FALSE))</f>
        <v>0.97931897099999998</v>
      </c>
      <c r="AJ156">
        <f ca="1">IF(AND(ISNUMBER($AJ$827),$B$677=1),$AJ$827,HLOOKUP(INDIRECT(ADDRESS(2,COLUMN())),OFFSET($BN$2,0,0,ROW()-1,60),ROW()-1,FALSE))</f>
        <v>0.99404506100000001</v>
      </c>
      <c r="AK156">
        <f ca="1">IF(AND(ISNUMBER($AK$827),$B$677=1),$AK$827,HLOOKUP(INDIRECT(ADDRESS(2,COLUMN())),OFFSET($BN$2,0,0,ROW()-1,60),ROW()-1,FALSE))</f>
        <v>1.032744109</v>
      </c>
      <c r="AL156">
        <f ca="1">IF(AND(ISNUMBER($AL$827),$B$677=1),$AL$827,HLOOKUP(INDIRECT(ADDRESS(2,COLUMN())),OFFSET($BN$2,0,0,ROW()-1,60),ROW()-1,FALSE))</f>
        <v>1.0385527370000001</v>
      </c>
      <c r="AM156">
        <f ca="1">IF(AND(ISNUMBER($AM$827),$B$677=1),$AM$827,HLOOKUP(INDIRECT(ADDRESS(2,COLUMN())),OFFSET($BN$2,0,0,ROW()-1,60),ROW()-1,FALSE))</f>
        <v>1.145875132</v>
      </c>
      <c r="AN156">
        <f ca="1">IF(AND(ISNUMBER($AN$827),$B$677=1),$AN$827,HLOOKUP(INDIRECT(ADDRESS(2,COLUMN())),OFFSET($BN$2,0,0,ROW()-1,60),ROW()-1,FALSE))</f>
        <v>0.97758473000000001</v>
      </c>
      <c r="AO156">
        <f ca="1">IF(AND(ISNUMBER($AO$827),$B$677=1),$AO$827,HLOOKUP(INDIRECT(ADDRESS(2,COLUMN())),OFFSET($BN$2,0,0,ROW()-1,60),ROW()-1,FALSE))</f>
        <v>0.75703085599999997</v>
      </c>
      <c r="AP156">
        <f ca="1">IF(AND(ISNUMBER($AP$827),$B$677=1),$AP$827,HLOOKUP(INDIRECT(ADDRESS(2,COLUMN())),OFFSET($BN$2,0,0,ROW()-1,60),ROW()-1,FALSE))</f>
        <v>0.78103540999999999</v>
      </c>
      <c r="AQ156">
        <f ca="1">IF(AND(ISNUMBER($AQ$827),$B$677=1),$AQ$827,HLOOKUP(INDIRECT(ADDRESS(2,COLUMN())),OFFSET($BN$2,0,0,ROW()-1,60),ROW()-1,FALSE))</f>
        <v>0.82408361100000005</v>
      </c>
      <c r="AR156">
        <f ca="1">IF(AND(ISNUMBER($AR$827),$B$677=1),$AR$827,HLOOKUP(INDIRECT(ADDRESS(2,COLUMN())),OFFSET($BN$2,0,0,ROW()-1,60),ROW()-1,FALSE))</f>
        <v>0.86251054500000002</v>
      </c>
      <c r="AS156">
        <f ca="1">IF(AND(ISNUMBER($AS$827),$B$677=1),$AS$827,HLOOKUP(INDIRECT(ADDRESS(2,COLUMN())),OFFSET($BN$2,0,0,ROW()-1,60),ROW()-1,FALSE))</f>
        <v>0.90046106800000003</v>
      </c>
      <c r="AT156">
        <f ca="1">IF(AND(ISNUMBER($AT$827),$B$677=1),$AT$827,HLOOKUP(INDIRECT(ADDRESS(2,COLUMN())),OFFSET($BN$2,0,0,ROW()-1,60),ROW()-1,FALSE))</f>
        <v>0.45823623499999999</v>
      </c>
      <c r="AU156">
        <f ca="1">IF(AND(ISNUMBER($AU$827),$B$677=1),$AU$827,HLOOKUP(INDIRECT(ADDRESS(2,COLUMN())),OFFSET($BN$2,0,0,ROW()-1,60),ROW()-1,FALSE))</f>
        <v>0.35720522700000001</v>
      </c>
      <c r="AV156">
        <f ca="1">IF(AND(ISNUMBER($AV$827),$B$677=1),$AV$827,HLOOKUP(INDIRECT(ADDRESS(2,COLUMN())),OFFSET($BN$2,0,0,ROW()-1,60),ROW()-1,FALSE))</f>
        <v>0.471885948</v>
      </c>
      <c r="AW156">
        <f ca="1">IF(AND(ISNUMBER($AW$827),$B$677=1),$AW$827,HLOOKUP(INDIRECT(ADDRESS(2,COLUMN())),OFFSET($BN$2,0,0,ROW()-1,60),ROW()-1,FALSE))</f>
        <v>0.70569732699999999</v>
      </c>
      <c r="AX156">
        <f ca="1">IF(AND(ISNUMBER($AX$827),$B$677=1),$AX$827,HLOOKUP(INDIRECT(ADDRESS(2,COLUMN())),OFFSET($BN$2,0,0,ROW()-1,60),ROW()-1,FALSE))</f>
        <v>1.2799707490000001</v>
      </c>
      <c r="AY156" t="str">
        <f ca="1">IF(AND(ISNUMBER($AY$827),$B$677=1),$AY$827,HLOOKUP(INDIRECT(ADDRESS(2,COLUMN())),OFFSET($BN$2,0,0,ROW()-1,60),ROW()-1,FALSE))</f>
        <v/>
      </c>
      <c r="AZ156" t="str">
        <f ca="1">IF(AND(ISNUMBER($AZ$827),$B$677=1),$AZ$827,HLOOKUP(INDIRECT(ADDRESS(2,COLUMN())),OFFSET($BN$2,0,0,ROW()-1,60),ROW()-1,FALSE))</f>
        <v/>
      </c>
      <c r="BA156" t="str">
        <f ca="1">IF(AND(ISNUMBER($BA$827),$B$677=1),$BA$827,HLOOKUP(INDIRECT(ADDRESS(2,COLUMN())),OFFSET($BN$2,0,0,ROW()-1,60),ROW()-1,FALSE))</f>
        <v/>
      </c>
      <c r="BB156" t="str">
        <f ca="1">IF(AND(ISNUMBER($BB$827),$B$677=1),$BB$827,HLOOKUP(INDIRECT(ADDRESS(2,COLUMN())),OFFSET($BN$2,0,0,ROW()-1,60),ROW()-1,FALSE))</f>
        <v/>
      </c>
      <c r="BC156" t="str">
        <f ca="1">IF(AND(ISNUMBER($BC$827),$B$677=1),$BC$827,HLOOKUP(INDIRECT(ADDRESS(2,COLUMN())),OFFSET($BN$2,0,0,ROW()-1,60),ROW()-1,FALSE))</f>
        <v/>
      </c>
      <c r="BD156" t="str">
        <f ca="1">IF(AND(ISNUMBER($BD$827),$B$677=1),$BD$827,HLOOKUP(INDIRECT(ADDRESS(2,COLUMN())),OFFSET($BN$2,0,0,ROW()-1,60),ROW()-1,FALSE))</f>
        <v/>
      </c>
      <c r="BE156" t="str">
        <f ca="1">IF(AND(ISNUMBER($BE$827),$B$677=1),$BE$827,HLOOKUP(INDIRECT(ADDRESS(2,COLUMN())),OFFSET($BN$2,0,0,ROW()-1,60),ROW()-1,FALSE))</f>
        <v/>
      </c>
      <c r="BF156" t="str">
        <f ca="1">IF(AND(ISNUMBER($BF$827),$B$677=1),$BF$827,HLOOKUP(INDIRECT(ADDRESS(2,COLUMN())),OFFSET($BN$2,0,0,ROW()-1,60),ROW()-1,FALSE))</f>
        <v/>
      </c>
      <c r="BG156" t="str">
        <f ca="1">IF(AND(ISNUMBER($BG$827),$B$677=1),$BG$827,HLOOKUP(INDIRECT(ADDRESS(2,COLUMN())),OFFSET($BN$2,0,0,ROW()-1,60),ROW()-1,FALSE))</f>
        <v/>
      </c>
      <c r="BH156" t="str">
        <f ca="1">IF(AND(ISNUMBER($BH$827),$B$677=1),$BH$827,HLOOKUP(INDIRECT(ADDRESS(2,COLUMN())),OFFSET($BN$2,0,0,ROW()-1,60),ROW()-1,FALSE))</f>
        <v/>
      </c>
      <c r="BI156" t="str">
        <f ca="1">IF(AND(ISNUMBER($BI$827),$B$677=1),$BI$827,HLOOKUP(INDIRECT(ADDRESS(2,COLUMN())),OFFSET($BN$2,0,0,ROW()-1,60),ROW()-1,FALSE))</f>
        <v/>
      </c>
      <c r="BJ156" t="str">
        <f ca="1">IF(AND(ISNUMBER($BJ$827),$B$677=1),$BJ$827,HLOOKUP(INDIRECT(ADDRESS(2,COLUMN())),OFFSET($BN$2,0,0,ROW()-1,60),ROW()-1,FALSE))</f>
        <v/>
      </c>
      <c r="BK156" t="str">
        <f ca="1">IF(AND(ISNUMBER($BK$827),$B$677=1),$BK$827,HLOOKUP(INDIRECT(ADDRESS(2,COLUMN())),OFFSET($BN$2,0,0,ROW()-1,60),ROW()-1,FALSE))</f>
        <v/>
      </c>
      <c r="BL156" t="str">
        <f ca="1">IF(AND(ISNUMBER($BL$827),$B$677=1),$BL$827,HLOOKUP(INDIRECT(ADDRESS(2,COLUMN())),OFFSET($BN$2,0,0,ROW()-1,60),ROW()-1,FALSE))</f>
        <v/>
      </c>
      <c r="BM156" t="str">
        <f ca="1">IF(AND(ISNUMBER($BM$827),$B$677=1),$BM$827,HLOOKUP(INDIRECT(ADDRESS(2,COLUMN())),OFFSET($BN$2,0,0,ROW()-1,60),ROW()-1,FALSE))</f>
        <v/>
      </c>
      <c r="BN156">
        <f>1.257201482</f>
        <v>1.2572014819999999</v>
      </c>
      <c r="BO156">
        <f>1.254066316</f>
        <v>1.2540663160000001</v>
      </c>
      <c r="BP156">
        <f>1.285417974</f>
        <v>1.285417974</v>
      </c>
      <c r="BQ156">
        <f>1.495854679</f>
        <v>1.495854679</v>
      </c>
      <c r="BR156">
        <f>1.442963277</f>
        <v>1.442963277</v>
      </c>
      <c r="BS156">
        <f>1.427953141</f>
        <v>1.4279531409999999</v>
      </c>
      <c r="BT156">
        <f>1.334352476</f>
        <v>1.3343524760000001</v>
      </c>
      <c r="BU156">
        <f>1.418366821</f>
        <v>1.418366821</v>
      </c>
      <c r="BV156">
        <f>1.309472954</f>
        <v>1.3094729540000001</v>
      </c>
      <c r="BW156">
        <f>1.223410789</f>
        <v>1.2234107890000001</v>
      </c>
      <c r="BX156">
        <f>1.204461151</f>
        <v>1.2044611510000001</v>
      </c>
      <c r="BY156">
        <f>1.156332177</f>
        <v>1.1563321769999999</v>
      </c>
      <c r="BZ156">
        <f>1.133590275</f>
        <v>1.133590275</v>
      </c>
      <c r="CA156">
        <f>1.153373689</f>
        <v>1.1533736889999999</v>
      </c>
      <c r="CB156">
        <f>1.198847046</f>
        <v>1.198847046</v>
      </c>
      <c r="CC156">
        <f>1.550071032</f>
        <v>1.550071032</v>
      </c>
      <c r="CD156">
        <f>1.657042378</f>
        <v>1.6570423780000001</v>
      </c>
      <c r="CE156">
        <f>1.793691601</f>
        <v>1.7936916009999999</v>
      </c>
      <c r="CF156">
        <f>1.765981866</f>
        <v>1.765981866</v>
      </c>
      <c r="CG156">
        <f>1.954443435</f>
        <v>1.954443435</v>
      </c>
      <c r="CH156">
        <f>3.244897069</f>
        <v>3.2448970689999999</v>
      </c>
      <c r="CI156">
        <f>3.170424751</f>
        <v>3.1704247510000001</v>
      </c>
      <c r="CJ156">
        <f>2.688191108</f>
        <v>2.6881911079999998</v>
      </c>
      <c r="CK156">
        <f>1.792109366</f>
        <v>1.792109366</v>
      </c>
      <c r="CL156">
        <f>1.575918111</f>
        <v>1.575918111</v>
      </c>
      <c r="CM156">
        <f>1.089166351</f>
        <v>1.089166351</v>
      </c>
      <c r="CN156">
        <f>1.225155274</f>
        <v>1.225155274</v>
      </c>
      <c r="CO156">
        <f>1.135003487</f>
        <v>1.1350034870000001</v>
      </c>
      <c r="CP156">
        <f>1.244256624</f>
        <v>1.2442566239999999</v>
      </c>
      <c r="CQ156">
        <f>0.979318971</f>
        <v>0.97931897099999998</v>
      </c>
      <c r="CR156">
        <f>0.994045061</f>
        <v>0.99404506100000001</v>
      </c>
      <c r="CS156">
        <f>1.032744109</f>
        <v>1.032744109</v>
      </c>
      <c r="CT156">
        <f>1.038552737</f>
        <v>1.0385527370000001</v>
      </c>
      <c r="CU156">
        <f>1.145875132</f>
        <v>1.145875132</v>
      </c>
      <c r="CV156">
        <f>0.97758473</f>
        <v>0.97758473000000001</v>
      </c>
      <c r="CW156">
        <f>0.757030856</f>
        <v>0.75703085599999997</v>
      </c>
      <c r="CX156">
        <f>0.78103541</f>
        <v>0.78103540999999999</v>
      </c>
      <c r="CY156">
        <f>0.824083611</f>
        <v>0.82408361100000005</v>
      </c>
      <c r="CZ156">
        <f>0.862510545</f>
        <v>0.86251054500000002</v>
      </c>
      <c r="DA156">
        <f>0.900461068</f>
        <v>0.90046106800000003</v>
      </c>
      <c r="DB156">
        <f>0.458236235</f>
        <v>0.45823623499999999</v>
      </c>
      <c r="DC156">
        <f>0.357205227</f>
        <v>0.35720522700000001</v>
      </c>
      <c r="DD156">
        <f>0.471885948</f>
        <v>0.471885948</v>
      </c>
      <c r="DE156">
        <f>0.705697327</f>
        <v>0.70569732699999999</v>
      </c>
      <c r="DF156">
        <f>1.279970749</f>
        <v>1.2799707490000001</v>
      </c>
      <c r="DG156" t="str">
        <f>""</f>
        <v/>
      </c>
      <c r="DH156" t="str">
        <f>""</f>
        <v/>
      </c>
      <c r="DI156" t="str">
        <f>""</f>
        <v/>
      </c>
      <c r="DJ156" t="str">
        <f>""</f>
        <v/>
      </c>
      <c r="DK156" t="str">
        <f>""</f>
        <v/>
      </c>
      <c r="DL156" t="str">
        <f>""</f>
        <v/>
      </c>
      <c r="DM156" t="str">
        <f>""</f>
        <v/>
      </c>
      <c r="DN156" t="str">
        <f>""</f>
        <v/>
      </c>
      <c r="DO156" t="str">
        <f>""</f>
        <v/>
      </c>
      <c r="DP156" t="str">
        <f>""</f>
        <v/>
      </c>
      <c r="DQ156" t="str">
        <f>""</f>
        <v/>
      </c>
      <c r="DR156" t="str">
        <f>""</f>
        <v/>
      </c>
      <c r="DS156" t="str">
        <f>""</f>
        <v/>
      </c>
      <c r="DT156" t="str">
        <f>""</f>
        <v/>
      </c>
      <c r="DU156" t="str">
        <f>""</f>
        <v/>
      </c>
    </row>
    <row r="157" spans="1:125" x14ac:dyDescent="0.25">
      <c r="A157" t="str">
        <f>"    Sollers PJSC"</f>
        <v xml:space="preserve">    Sollers PJSC</v>
      </c>
      <c r="B157" t="str">
        <f>"SVAV RM Equity"</f>
        <v>SVAV RM Equity</v>
      </c>
      <c r="C157" t="str">
        <f t="shared" si="9"/>
        <v>RR903</v>
      </c>
      <c r="D157" t="str">
        <f t="shared" si="10"/>
        <v>PX_TO_BOOK_RATIO</v>
      </c>
      <c r="E157" t="str">
        <f t="shared" si="11"/>
        <v>Dynamic</v>
      </c>
      <c r="F157" t="str">
        <f ca="1">IF(AND(ISNUMBER($F$828),$B$677=1),$F$828,HLOOKUP(INDIRECT(ADDRESS(2,COLUMN())),OFFSET($BN$2,0,0,ROW()-1,60),ROW()-1,FALSE))</f>
        <v/>
      </c>
      <c r="G157" t="str">
        <f ca="1">IF(AND(ISNUMBER($G$828),$B$677=1),$G$828,HLOOKUP(INDIRECT(ADDRESS(2,COLUMN())),OFFSET($BN$2,0,0,ROW()-1,60),ROW()-1,FALSE))</f>
        <v/>
      </c>
      <c r="H157" t="str">
        <f ca="1">IF(AND(ISNUMBER($H$828),$B$677=1),$H$828,HLOOKUP(INDIRECT(ADDRESS(2,COLUMN())),OFFSET($BN$2,0,0,ROW()-1,60),ROW()-1,FALSE))</f>
        <v/>
      </c>
      <c r="I157" t="str">
        <f ca="1">IF(AND(ISNUMBER($I$828),$B$677=1),$I$828,HLOOKUP(INDIRECT(ADDRESS(2,COLUMN())),OFFSET($BN$2,0,0,ROW()-1,60),ROW()-1,FALSE))</f>
        <v/>
      </c>
      <c r="J157" t="str">
        <f ca="1">IF(AND(ISNUMBER($J$828),$B$677=1),$J$828,HLOOKUP(INDIRECT(ADDRESS(2,COLUMN())),OFFSET($BN$2,0,0,ROW()-1,60),ROW()-1,FALSE))</f>
        <v/>
      </c>
      <c r="K157" t="str">
        <f ca="1">IF(AND(ISNUMBER($K$828),$B$677=1),$K$828,HLOOKUP(INDIRECT(ADDRESS(2,COLUMN())),OFFSET($BN$2,0,0,ROW()-1,60),ROW()-1,FALSE))</f>
        <v/>
      </c>
      <c r="L157" t="str">
        <f ca="1">IF(AND(ISNUMBER($L$828),$B$677=1),$L$828,HLOOKUP(INDIRECT(ADDRESS(2,COLUMN())),OFFSET($BN$2,0,0,ROW()-1,60),ROW()-1,FALSE))</f>
        <v/>
      </c>
      <c r="M157" t="str">
        <f ca="1">IF(AND(ISNUMBER($M$828),$B$677=1),$M$828,HLOOKUP(INDIRECT(ADDRESS(2,COLUMN())),OFFSET($BN$2,0,0,ROW()-1,60),ROW()-1,FALSE))</f>
        <v/>
      </c>
      <c r="N157" t="str">
        <f ca="1">IF(AND(ISNUMBER($N$828),$B$677=1),$N$828,HLOOKUP(INDIRECT(ADDRESS(2,COLUMN())),OFFSET($BN$2,0,0,ROW()-1,60),ROW()-1,FALSE))</f>
        <v/>
      </c>
      <c r="O157" t="str">
        <f ca="1">IF(AND(ISNUMBER($O$828),$B$677=1),$O$828,HLOOKUP(INDIRECT(ADDRESS(2,COLUMN())),OFFSET($BN$2,0,0,ROW()-1,60),ROW()-1,FALSE))</f>
        <v/>
      </c>
      <c r="P157" t="str">
        <f ca="1">IF(AND(ISNUMBER($P$828),$B$677=1),$P$828,HLOOKUP(INDIRECT(ADDRESS(2,COLUMN())),OFFSET($BN$2,0,0,ROW()-1,60),ROW()-1,FALSE))</f>
        <v/>
      </c>
      <c r="Q157" t="str">
        <f ca="1">IF(AND(ISNUMBER($Q$828),$B$677=1),$Q$828,HLOOKUP(INDIRECT(ADDRESS(2,COLUMN())),OFFSET($BN$2,0,0,ROW()-1,60),ROW()-1,FALSE))</f>
        <v/>
      </c>
      <c r="R157" t="str">
        <f ca="1">IF(AND(ISNUMBER($R$828),$B$677=1),$R$828,HLOOKUP(INDIRECT(ADDRESS(2,COLUMN())),OFFSET($BN$2,0,0,ROW()-1,60),ROW()-1,FALSE))</f>
        <v/>
      </c>
      <c r="S157" t="str">
        <f ca="1">IF(AND(ISNUMBER($S$828),$B$677=1),$S$828,HLOOKUP(INDIRECT(ADDRESS(2,COLUMN())),OFFSET($BN$2,0,0,ROW()-1,60),ROW()-1,FALSE))</f>
        <v/>
      </c>
      <c r="T157" t="str">
        <f ca="1">IF(AND(ISNUMBER($T$828),$B$677=1),$T$828,HLOOKUP(INDIRECT(ADDRESS(2,COLUMN())),OFFSET($BN$2,0,0,ROW()-1,60),ROW()-1,FALSE))</f>
        <v/>
      </c>
      <c r="U157" t="str">
        <f ca="1">IF(AND(ISNUMBER($U$828),$B$677=1),$U$828,HLOOKUP(INDIRECT(ADDRESS(2,COLUMN())),OFFSET($BN$2,0,0,ROW()-1,60),ROW()-1,FALSE))</f>
        <v/>
      </c>
      <c r="V157" t="str">
        <f ca="1">IF(AND(ISNUMBER($V$828),$B$677=1),$V$828,HLOOKUP(INDIRECT(ADDRESS(2,COLUMN())),OFFSET($BN$2,0,0,ROW()-1,60),ROW()-1,FALSE))</f>
        <v/>
      </c>
      <c r="W157" t="str">
        <f ca="1">IF(AND(ISNUMBER($W$828),$B$677=1),$W$828,HLOOKUP(INDIRECT(ADDRESS(2,COLUMN())),OFFSET($BN$2,0,0,ROW()-1,60),ROW()-1,FALSE))</f>
        <v/>
      </c>
      <c r="X157" t="str">
        <f ca="1">IF(AND(ISNUMBER($X$828),$B$677=1),$X$828,HLOOKUP(INDIRECT(ADDRESS(2,COLUMN())),OFFSET($BN$2,0,0,ROW()-1,60),ROW()-1,FALSE))</f>
        <v/>
      </c>
      <c r="Y157" t="str">
        <f ca="1">IF(AND(ISNUMBER($Y$828),$B$677=1),$Y$828,HLOOKUP(INDIRECT(ADDRESS(2,COLUMN())),OFFSET($BN$2,0,0,ROW()-1,60),ROW()-1,FALSE))</f>
        <v/>
      </c>
      <c r="Z157" t="str">
        <f ca="1">IF(AND(ISNUMBER($Z$828),$B$677=1),$Z$828,HLOOKUP(INDIRECT(ADDRESS(2,COLUMN())),OFFSET($BN$2,0,0,ROW()-1,60),ROW()-1,FALSE))</f>
        <v/>
      </c>
      <c r="AA157" t="str">
        <f ca="1">IF(AND(ISNUMBER($AA$828),$B$677=1),$AA$828,HLOOKUP(INDIRECT(ADDRESS(2,COLUMN())),OFFSET($BN$2,0,0,ROW()-1,60),ROW()-1,FALSE))</f>
        <v/>
      </c>
      <c r="AB157" t="str">
        <f ca="1">IF(AND(ISNUMBER($AB$828),$B$677=1),$AB$828,HLOOKUP(INDIRECT(ADDRESS(2,COLUMN())),OFFSET($BN$2,0,0,ROW()-1,60),ROW()-1,FALSE))</f>
        <v/>
      </c>
      <c r="AC157" t="str">
        <f ca="1">IF(AND(ISNUMBER($AC$828),$B$677=1),$AC$828,HLOOKUP(INDIRECT(ADDRESS(2,COLUMN())),OFFSET($BN$2,0,0,ROW()-1,60),ROW()-1,FALSE))</f>
        <v/>
      </c>
      <c r="AD157" t="str">
        <f ca="1">IF(AND(ISNUMBER($AD$828),$B$677=1),$AD$828,HLOOKUP(INDIRECT(ADDRESS(2,COLUMN())),OFFSET($BN$2,0,0,ROW()-1,60),ROW()-1,FALSE))</f>
        <v/>
      </c>
      <c r="AE157" t="str">
        <f ca="1">IF(AND(ISNUMBER($AE$828),$B$677=1),$AE$828,HLOOKUP(INDIRECT(ADDRESS(2,COLUMN())),OFFSET($BN$2,0,0,ROW()-1,60),ROW()-1,FALSE))</f>
        <v/>
      </c>
      <c r="AF157" t="str">
        <f ca="1">IF(AND(ISNUMBER($AF$828),$B$677=1),$AF$828,HLOOKUP(INDIRECT(ADDRESS(2,COLUMN())),OFFSET($BN$2,0,0,ROW()-1,60),ROW()-1,FALSE))</f>
        <v/>
      </c>
      <c r="AG157" t="str">
        <f ca="1">IF(AND(ISNUMBER($AG$828),$B$677=1),$AG$828,HLOOKUP(INDIRECT(ADDRESS(2,COLUMN())),OFFSET($BN$2,0,0,ROW()-1,60),ROW()-1,FALSE))</f>
        <v/>
      </c>
      <c r="AH157" t="str">
        <f ca="1">IF(AND(ISNUMBER($AH$828),$B$677=1),$AH$828,HLOOKUP(INDIRECT(ADDRESS(2,COLUMN())),OFFSET($BN$2,0,0,ROW()-1,60),ROW()-1,FALSE))</f>
        <v/>
      </c>
      <c r="AI157" t="str">
        <f ca="1">IF(AND(ISNUMBER($AI$828),$B$677=1),$AI$828,HLOOKUP(INDIRECT(ADDRESS(2,COLUMN())),OFFSET($BN$2,0,0,ROW()-1,60),ROW()-1,FALSE))</f>
        <v/>
      </c>
      <c r="AJ157" t="str">
        <f ca="1">IF(AND(ISNUMBER($AJ$828),$B$677=1),$AJ$828,HLOOKUP(INDIRECT(ADDRESS(2,COLUMN())),OFFSET($BN$2,0,0,ROW()-1,60),ROW()-1,FALSE))</f>
        <v/>
      </c>
      <c r="AK157" t="str">
        <f ca="1">IF(AND(ISNUMBER($AK$828),$B$677=1),$AK$828,HLOOKUP(INDIRECT(ADDRESS(2,COLUMN())),OFFSET($BN$2,0,0,ROW()-1,60),ROW()-1,FALSE))</f>
        <v/>
      </c>
      <c r="AL157" t="str">
        <f ca="1">IF(AND(ISNUMBER($AL$828),$B$677=1),$AL$828,HLOOKUP(INDIRECT(ADDRESS(2,COLUMN())),OFFSET($BN$2,0,0,ROW()-1,60),ROW()-1,FALSE))</f>
        <v/>
      </c>
      <c r="AM157" t="str">
        <f ca="1">IF(AND(ISNUMBER($AM$828),$B$677=1),$AM$828,HLOOKUP(INDIRECT(ADDRESS(2,COLUMN())),OFFSET($BN$2,0,0,ROW()-1,60),ROW()-1,FALSE))</f>
        <v/>
      </c>
      <c r="AN157" t="str">
        <f ca="1">IF(AND(ISNUMBER($AN$828),$B$677=1),$AN$828,HLOOKUP(INDIRECT(ADDRESS(2,COLUMN())),OFFSET($BN$2,0,0,ROW()-1,60),ROW()-1,FALSE))</f>
        <v/>
      </c>
      <c r="AO157" t="str">
        <f ca="1">IF(AND(ISNUMBER($AO$828),$B$677=1),$AO$828,HLOOKUP(INDIRECT(ADDRESS(2,COLUMN())),OFFSET($BN$2,0,0,ROW()-1,60),ROW()-1,FALSE))</f>
        <v/>
      </c>
      <c r="AP157" t="str">
        <f ca="1">IF(AND(ISNUMBER($AP$828),$B$677=1),$AP$828,HLOOKUP(INDIRECT(ADDRESS(2,COLUMN())),OFFSET($BN$2,0,0,ROW()-1,60),ROW()-1,FALSE))</f>
        <v/>
      </c>
      <c r="AQ157" t="str">
        <f ca="1">IF(AND(ISNUMBER($AQ$828),$B$677=1),$AQ$828,HLOOKUP(INDIRECT(ADDRESS(2,COLUMN())),OFFSET($BN$2,0,0,ROW()-1,60),ROW()-1,FALSE))</f>
        <v/>
      </c>
      <c r="AR157" t="str">
        <f ca="1">IF(AND(ISNUMBER($AR$828),$B$677=1),$AR$828,HLOOKUP(INDIRECT(ADDRESS(2,COLUMN())),OFFSET($BN$2,0,0,ROW()-1,60),ROW()-1,FALSE))</f>
        <v/>
      </c>
      <c r="AS157" t="str">
        <f ca="1">IF(AND(ISNUMBER($AS$828),$B$677=1),$AS$828,HLOOKUP(INDIRECT(ADDRESS(2,COLUMN())),OFFSET($BN$2,0,0,ROW()-1,60),ROW()-1,FALSE))</f>
        <v/>
      </c>
      <c r="AT157" t="str">
        <f ca="1">IF(AND(ISNUMBER($AT$828),$B$677=1),$AT$828,HLOOKUP(INDIRECT(ADDRESS(2,COLUMN())),OFFSET($BN$2,0,0,ROW()-1,60),ROW()-1,FALSE))</f>
        <v/>
      </c>
      <c r="AU157" t="str">
        <f ca="1">IF(AND(ISNUMBER($AU$828),$B$677=1),$AU$828,HLOOKUP(INDIRECT(ADDRESS(2,COLUMN())),OFFSET($BN$2,0,0,ROW()-1,60),ROW()-1,FALSE))</f>
        <v/>
      </c>
      <c r="AV157" t="str">
        <f ca="1">IF(AND(ISNUMBER($AV$828),$B$677=1),$AV$828,HLOOKUP(INDIRECT(ADDRESS(2,COLUMN())),OFFSET($BN$2,0,0,ROW()-1,60),ROW()-1,FALSE))</f>
        <v/>
      </c>
      <c r="AW157" t="str">
        <f ca="1">IF(AND(ISNUMBER($AW$828),$B$677=1),$AW$828,HLOOKUP(INDIRECT(ADDRESS(2,COLUMN())),OFFSET($BN$2,0,0,ROW()-1,60),ROW()-1,FALSE))</f>
        <v/>
      </c>
      <c r="AX157" t="str">
        <f ca="1">IF(AND(ISNUMBER($AX$828),$B$677=1),$AX$828,HLOOKUP(INDIRECT(ADDRESS(2,COLUMN())),OFFSET($BN$2,0,0,ROW()-1,60),ROW()-1,FALSE))</f>
        <v/>
      </c>
      <c r="AY157" t="str">
        <f ca="1">IF(AND(ISNUMBER($AY$828),$B$677=1),$AY$828,HLOOKUP(INDIRECT(ADDRESS(2,COLUMN())),OFFSET($BN$2,0,0,ROW()-1,60),ROW()-1,FALSE))</f>
        <v/>
      </c>
      <c r="AZ157" t="str">
        <f ca="1">IF(AND(ISNUMBER($AZ$828),$B$677=1),$AZ$828,HLOOKUP(INDIRECT(ADDRESS(2,COLUMN())),OFFSET($BN$2,0,0,ROW()-1,60),ROW()-1,FALSE))</f>
        <v/>
      </c>
      <c r="BA157" t="str">
        <f ca="1">IF(AND(ISNUMBER($BA$828),$B$677=1),$BA$828,HLOOKUP(INDIRECT(ADDRESS(2,COLUMN())),OFFSET($BN$2,0,0,ROW()-1,60),ROW()-1,FALSE))</f>
        <v/>
      </c>
      <c r="BB157" t="str">
        <f ca="1">IF(AND(ISNUMBER($BB$828),$B$677=1),$BB$828,HLOOKUP(INDIRECT(ADDRESS(2,COLUMN())),OFFSET($BN$2,0,0,ROW()-1,60),ROW()-1,FALSE))</f>
        <v/>
      </c>
      <c r="BC157" t="str">
        <f ca="1">IF(AND(ISNUMBER($BC$828),$B$677=1),$BC$828,HLOOKUP(INDIRECT(ADDRESS(2,COLUMN())),OFFSET($BN$2,0,0,ROW()-1,60),ROW()-1,FALSE))</f>
        <v/>
      </c>
      <c r="BD157" t="str">
        <f ca="1">IF(AND(ISNUMBER($BD$828),$B$677=1),$BD$828,HLOOKUP(INDIRECT(ADDRESS(2,COLUMN())),OFFSET($BN$2,0,0,ROW()-1,60),ROW()-1,FALSE))</f>
        <v/>
      </c>
      <c r="BE157" t="str">
        <f ca="1">IF(AND(ISNUMBER($BE$828),$B$677=1),$BE$828,HLOOKUP(INDIRECT(ADDRESS(2,COLUMN())),OFFSET($BN$2,0,0,ROW()-1,60),ROW()-1,FALSE))</f>
        <v/>
      </c>
      <c r="BF157" t="str">
        <f ca="1">IF(AND(ISNUMBER($BF$828),$B$677=1),$BF$828,HLOOKUP(INDIRECT(ADDRESS(2,COLUMN())),OFFSET($BN$2,0,0,ROW()-1,60),ROW()-1,FALSE))</f>
        <v/>
      </c>
      <c r="BG157" t="str">
        <f ca="1">IF(AND(ISNUMBER($BG$828),$B$677=1),$BG$828,HLOOKUP(INDIRECT(ADDRESS(2,COLUMN())),OFFSET($BN$2,0,0,ROW()-1,60),ROW()-1,FALSE))</f>
        <v/>
      </c>
      <c r="BH157" t="str">
        <f ca="1">IF(AND(ISNUMBER($BH$828),$B$677=1),$BH$828,HLOOKUP(INDIRECT(ADDRESS(2,COLUMN())),OFFSET($BN$2,0,0,ROW()-1,60),ROW()-1,FALSE))</f>
        <v/>
      </c>
      <c r="BI157" t="str">
        <f ca="1">IF(AND(ISNUMBER($BI$828),$B$677=1),$BI$828,HLOOKUP(INDIRECT(ADDRESS(2,COLUMN())),OFFSET($BN$2,0,0,ROW()-1,60),ROW()-1,FALSE))</f>
        <v/>
      </c>
      <c r="BJ157" t="str">
        <f ca="1">IF(AND(ISNUMBER($BJ$828),$B$677=1),$BJ$828,HLOOKUP(INDIRECT(ADDRESS(2,COLUMN())),OFFSET($BN$2,0,0,ROW()-1,60),ROW()-1,FALSE))</f>
        <v/>
      </c>
      <c r="BK157" t="str">
        <f ca="1">IF(AND(ISNUMBER($BK$828),$B$677=1),$BK$828,HLOOKUP(INDIRECT(ADDRESS(2,COLUMN())),OFFSET($BN$2,0,0,ROW()-1,60),ROW()-1,FALSE))</f>
        <v/>
      </c>
      <c r="BL157" t="str">
        <f ca="1">IF(AND(ISNUMBER($BL$828),$B$677=1),$BL$828,HLOOKUP(INDIRECT(ADDRESS(2,COLUMN())),OFFSET($BN$2,0,0,ROW()-1,60),ROW()-1,FALSE))</f>
        <v/>
      </c>
      <c r="BM157" t="str">
        <f ca="1">IF(AND(ISNUMBER($BM$828),$B$677=1),$BM$828,HLOOKUP(INDIRECT(ADDRESS(2,COLUMN())),OFFSET($BN$2,0,0,ROW()-1,60),ROW()-1,FALSE))</f>
        <v/>
      </c>
      <c r="BN157" t="str">
        <f>""</f>
        <v/>
      </c>
      <c r="BO157" t="str">
        <f>""</f>
        <v/>
      </c>
      <c r="BP157" t="str">
        <f>""</f>
        <v/>
      </c>
      <c r="BQ157" t="str">
        <f>""</f>
        <v/>
      </c>
      <c r="BR157" t="str">
        <f>""</f>
        <v/>
      </c>
      <c r="BS157" t="str">
        <f>""</f>
        <v/>
      </c>
      <c r="BT157" t="str">
        <f>""</f>
        <v/>
      </c>
      <c r="BU157" t="str">
        <f>""</f>
        <v/>
      </c>
      <c r="BV157" t="str">
        <f>""</f>
        <v/>
      </c>
      <c r="BW157" t="str">
        <f>""</f>
        <v/>
      </c>
      <c r="BX157" t="str">
        <f>""</f>
        <v/>
      </c>
      <c r="BY157" t="str">
        <f>""</f>
        <v/>
      </c>
      <c r="BZ157" t="str">
        <f>""</f>
        <v/>
      </c>
      <c r="CA157" t="str">
        <f>""</f>
        <v/>
      </c>
      <c r="CB157" t="str">
        <f>""</f>
        <v/>
      </c>
      <c r="CC157" t="str">
        <f>""</f>
        <v/>
      </c>
      <c r="CD157" t="str">
        <f>""</f>
        <v/>
      </c>
      <c r="CE157" t="str">
        <f>""</f>
        <v/>
      </c>
      <c r="CF157" t="str">
        <f>""</f>
        <v/>
      </c>
      <c r="CG157" t="str">
        <f>""</f>
        <v/>
      </c>
      <c r="CH157" t="str">
        <f>""</f>
        <v/>
      </c>
      <c r="CI157" t="str">
        <f>""</f>
        <v/>
      </c>
      <c r="CJ157" t="str">
        <f>""</f>
        <v/>
      </c>
      <c r="CK157" t="str">
        <f>""</f>
        <v/>
      </c>
      <c r="CL157" t="str">
        <f>""</f>
        <v/>
      </c>
      <c r="CM157" t="str">
        <f>""</f>
        <v/>
      </c>
      <c r="CN157" t="str">
        <f>""</f>
        <v/>
      </c>
      <c r="CO157" t="str">
        <f>""</f>
        <v/>
      </c>
      <c r="CP157" t="str">
        <f>""</f>
        <v/>
      </c>
      <c r="CQ157" t="str">
        <f>""</f>
        <v/>
      </c>
      <c r="CR157" t="str">
        <f>""</f>
        <v/>
      </c>
      <c r="CS157" t="str">
        <f>""</f>
        <v/>
      </c>
      <c r="CT157" t="str">
        <f>""</f>
        <v/>
      </c>
      <c r="CU157" t="str">
        <f>""</f>
        <v/>
      </c>
      <c r="CV157" t="str">
        <f>""</f>
        <v/>
      </c>
      <c r="CW157" t="str">
        <f>""</f>
        <v/>
      </c>
      <c r="CX157" t="str">
        <f>""</f>
        <v/>
      </c>
      <c r="CY157" t="str">
        <f>""</f>
        <v/>
      </c>
      <c r="CZ157" t="str">
        <f>""</f>
        <v/>
      </c>
      <c r="DA157" t="str">
        <f>""</f>
        <v/>
      </c>
      <c r="DB157" t="str">
        <f>""</f>
        <v/>
      </c>
      <c r="DC157" t="str">
        <f>""</f>
        <v/>
      </c>
      <c r="DD157" t="str">
        <f>""</f>
        <v/>
      </c>
      <c r="DE157" t="str">
        <f>""</f>
        <v/>
      </c>
      <c r="DF157" t="str">
        <f>""</f>
        <v/>
      </c>
      <c r="DG157" t="str">
        <f>""</f>
        <v/>
      </c>
      <c r="DH157" t="str">
        <f>""</f>
        <v/>
      </c>
      <c r="DI157" t="str">
        <f>""</f>
        <v/>
      </c>
      <c r="DJ157" t="str">
        <f>""</f>
        <v/>
      </c>
      <c r="DK157" t="str">
        <f>""</f>
        <v/>
      </c>
      <c r="DL157" t="str">
        <f>""</f>
        <v/>
      </c>
      <c r="DM157" t="str">
        <f>""</f>
        <v/>
      </c>
      <c r="DN157" t="str">
        <f>""</f>
        <v/>
      </c>
      <c r="DO157" t="str">
        <f>""</f>
        <v/>
      </c>
      <c r="DP157" t="str">
        <f>""</f>
        <v/>
      </c>
      <c r="DQ157" t="str">
        <f>""</f>
        <v/>
      </c>
      <c r="DR157" t="str">
        <f>""</f>
        <v/>
      </c>
      <c r="DS157" t="str">
        <f>""</f>
        <v/>
      </c>
      <c r="DT157" t="str">
        <f>""</f>
        <v/>
      </c>
      <c r="DU157" t="str">
        <f>""</f>
        <v/>
      </c>
    </row>
    <row r="158" spans="1:125" x14ac:dyDescent="0.25">
      <c r="A158" t="str">
        <f>"    Ssangyong Motor Co"</f>
        <v xml:space="preserve">    Ssangyong Motor Co</v>
      </c>
      <c r="B158" t="str">
        <f>"003620 KS Equity"</f>
        <v>003620 KS Equity</v>
      </c>
      <c r="C158" t="str">
        <f t="shared" si="9"/>
        <v>RR903</v>
      </c>
      <c r="D158" t="str">
        <f t="shared" si="10"/>
        <v>PX_TO_BOOK_RATIO</v>
      </c>
      <c r="E158" t="str">
        <f t="shared" si="11"/>
        <v>Dynamic</v>
      </c>
      <c r="F158" t="str">
        <f ca="1">IF(AND(ISNUMBER($F$829),$B$677=1),$F$829,HLOOKUP(INDIRECT(ADDRESS(2,COLUMN())),OFFSET($BN$2,0,0,ROW()-1,60),ROW()-1,FALSE))</f>
        <v/>
      </c>
      <c r="G158">
        <f ca="1">IF(AND(ISNUMBER($G$829),$B$677=1),$G$829,HLOOKUP(INDIRECT(ADDRESS(2,COLUMN())),OFFSET($BN$2,0,0,ROW()-1,60),ROW()-1,FALSE))</f>
        <v>0.75673625700000002</v>
      </c>
      <c r="H158">
        <f ca="1">IF(AND(ISNUMBER($H$829),$B$677=1),$H$829,HLOOKUP(INDIRECT(ADDRESS(2,COLUMN())),OFFSET($BN$2,0,0,ROW()-1,60),ROW()-1,FALSE))</f>
        <v>0.87677690699999999</v>
      </c>
      <c r="I158">
        <f ca="1">IF(AND(ISNUMBER($I$829),$B$677=1),$I$829,HLOOKUP(INDIRECT(ADDRESS(2,COLUMN())),OFFSET($BN$2,0,0,ROW()-1,60),ROW()-1,FALSE))</f>
        <v>0.85694018199999999</v>
      </c>
      <c r="J158">
        <f ca="1">IF(AND(ISNUMBER($J$829),$B$677=1),$J$829,HLOOKUP(INDIRECT(ADDRESS(2,COLUMN())),OFFSET($BN$2,0,0,ROW()-1,60),ROW()-1,FALSE))</f>
        <v>0.92352835700000002</v>
      </c>
      <c r="K158">
        <f ca="1">IF(AND(ISNUMBER($K$829),$B$677=1),$K$829,HLOOKUP(INDIRECT(ADDRESS(2,COLUMN())),OFFSET($BN$2,0,0,ROW()-1,60),ROW()-1,FALSE))</f>
        <v>0.911173864</v>
      </c>
      <c r="L158">
        <f ca="1">IF(AND(ISNUMBER($L$829),$B$677=1),$L$829,HLOOKUP(INDIRECT(ADDRESS(2,COLUMN())),OFFSET($BN$2,0,0,ROW()-1,60),ROW()-1,FALSE))</f>
        <v>0.91117173600000001</v>
      </c>
      <c r="M158">
        <f ca="1">IF(AND(ISNUMBER($M$829),$B$677=1),$M$829,HLOOKUP(INDIRECT(ADDRESS(2,COLUMN())),OFFSET($BN$2,0,0,ROW()-1,60),ROW()-1,FALSE))</f>
        <v>1.1751364470000001</v>
      </c>
      <c r="N158">
        <f ca="1">IF(AND(ISNUMBER($N$829),$B$677=1),$N$829,HLOOKUP(INDIRECT(ADDRESS(2,COLUMN())),OFFSET($BN$2,0,0,ROW()-1,60),ROW()-1,FALSE))</f>
        <v>1.34765559</v>
      </c>
      <c r="O158">
        <f ca="1">IF(AND(ISNUMBER($O$829),$B$677=1),$O$829,HLOOKUP(INDIRECT(ADDRESS(2,COLUMN())),OFFSET($BN$2,0,0,ROW()-1,60),ROW()-1,FALSE))</f>
        <v>1.3321947220000001</v>
      </c>
      <c r="P158">
        <f ca="1">IF(AND(ISNUMBER($P$829),$B$677=1),$P$829,HLOOKUP(INDIRECT(ADDRESS(2,COLUMN())),OFFSET($BN$2,0,0,ROW()-1,60),ROW()-1,FALSE))</f>
        <v>1.430131265</v>
      </c>
      <c r="Q158">
        <f ca="1">IF(AND(ISNUMBER($Q$829),$B$677=1),$Q$829,HLOOKUP(INDIRECT(ADDRESS(2,COLUMN())),OFFSET($BN$2,0,0,ROW()-1,60),ROW()-1,FALSE))</f>
        <v>1.3003692039999999</v>
      </c>
      <c r="R158">
        <f ca="1">IF(AND(ISNUMBER($R$829),$B$677=1),$R$829,HLOOKUP(INDIRECT(ADDRESS(2,COLUMN())),OFFSET($BN$2,0,0,ROW()-1,60),ROW()-1,FALSE))</f>
        <v>1.570922172</v>
      </c>
      <c r="S158">
        <f ca="1">IF(AND(ISNUMBER($S$829),$B$677=1),$S$829,HLOOKUP(INDIRECT(ADDRESS(2,COLUMN())),OFFSET($BN$2,0,0,ROW()-1,60),ROW()-1,FALSE))</f>
        <v>1.483087745</v>
      </c>
      <c r="T158">
        <f ca="1">IF(AND(ISNUMBER($T$829),$B$677=1),$T$829,HLOOKUP(INDIRECT(ADDRESS(2,COLUMN())),OFFSET($BN$2,0,0,ROW()-1,60),ROW()-1,FALSE))</f>
        <v>1.7275924490000001</v>
      </c>
      <c r="U158">
        <f ca="1">IF(AND(ISNUMBER($U$829),$B$677=1),$U$829,HLOOKUP(INDIRECT(ADDRESS(2,COLUMN())),OFFSET($BN$2,0,0,ROW()-1,60),ROW()-1,FALSE))</f>
        <v>1.6401005980000001</v>
      </c>
      <c r="V158">
        <f ca="1">IF(AND(ISNUMBER($V$829),$B$677=1),$V$829,HLOOKUP(INDIRECT(ADDRESS(2,COLUMN())),OFFSET($BN$2,0,0,ROW()-1,60),ROW()-1,FALSE))</f>
        <v>1.6574070940000001</v>
      </c>
      <c r="W158">
        <f ca="1">IF(AND(ISNUMBER($W$829),$B$677=1),$W$829,HLOOKUP(INDIRECT(ADDRESS(2,COLUMN())),OFFSET($BN$2,0,0,ROW()-1,60),ROW()-1,FALSE))</f>
        <v>1.6345308679999999</v>
      </c>
      <c r="X158">
        <f ca="1">IF(AND(ISNUMBER($X$829),$B$677=1),$X$829,HLOOKUP(INDIRECT(ADDRESS(2,COLUMN())),OFFSET($BN$2,0,0,ROW()-1,60),ROW()-1,FALSE))</f>
        <v>1.1005130110000001</v>
      </c>
      <c r="Y158">
        <f ca="1">IF(AND(ISNUMBER($Y$829),$B$677=1),$Y$829,HLOOKUP(INDIRECT(ADDRESS(2,COLUMN())),OFFSET($BN$2,0,0,ROW()-1,60),ROW()-1,FALSE))</f>
        <v>1.4177817290000001</v>
      </c>
      <c r="Z158">
        <f ca="1">IF(AND(ISNUMBER($Z$829),$B$677=1),$Z$829,HLOOKUP(INDIRECT(ADDRESS(2,COLUMN())),OFFSET($BN$2,0,0,ROW()-1,60),ROW()-1,FALSE))</f>
        <v>1.3615419369999999</v>
      </c>
      <c r="AA158">
        <f ca="1">IF(AND(ISNUMBER($AA$829),$B$677=1),$AA$829,HLOOKUP(INDIRECT(ADDRESS(2,COLUMN())),OFFSET($BN$2,0,0,ROW()-1,60),ROW()-1,FALSE))</f>
        <v>1.1716967060000001</v>
      </c>
      <c r="AB158">
        <f ca="1">IF(AND(ISNUMBER($AB$829),$B$677=1),$AB$829,HLOOKUP(INDIRECT(ADDRESS(2,COLUMN())),OFFSET($BN$2,0,0,ROW()-1,60),ROW()-1,FALSE))</f>
        <v>1.3243286839999999</v>
      </c>
      <c r="AC158">
        <f ca="1">IF(AND(ISNUMBER($AC$829),$B$677=1),$AC$829,HLOOKUP(INDIRECT(ADDRESS(2,COLUMN())),OFFSET($BN$2,0,0,ROW()-1,60),ROW()-1,FALSE))</f>
        <v>1.479195276</v>
      </c>
      <c r="AD158">
        <f ca="1">IF(AND(ISNUMBER($AD$829),$B$677=1),$AD$829,HLOOKUP(INDIRECT(ADDRESS(2,COLUMN())),OFFSET($BN$2,0,0,ROW()-1,60),ROW()-1,FALSE))</f>
        <v>0.96759457000000004</v>
      </c>
      <c r="AE158">
        <f ca="1">IF(AND(ISNUMBER($AE$829),$B$677=1),$AE$829,HLOOKUP(INDIRECT(ADDRESS(2,COLUMN())),OFFSET($BN$2,0,0,ROW()-1,60),ROW()-1,FALSE))</f>
        <v>0.81357896600000001</v>
      </c>
      <c r="AF158" t="str">
        <f ca="1">IF(AND(ISNUMBER($AF$829),$B$677=1),$AF$829,HLOOKUP(INDIRECT(ADDRESS(2,COLUMN())),OFFSET($BN$2,0,0,ROW()-1,60),ROW()-1,FALSE))</f>
        <v/>
      </c>
      <c r="AG158" t="str">
        <f ca="1">IF(AND(ISNUMBER($AG$829),$B$677=1),$AG$829,HLOOKUP(INDIRECT(ADDRESS(2,COLUMN())),OFFSET($BN$2,0,0,ROW()-1,60),ROW()-1,FALSE))</f>
        <v/>
      </c>
      <c r="AH158" t="str">
        <f ca="1">IF(AND(ISNUMBER($AH$829),$B$677=1),$AH$829,HLOOKUP(INDIRECT(ADDRESS(2,COLUMN())),OFFSET($BN$2,0,0,ROW()-1,60),ROW()-1,FALSE))</f>
        <v/>
      </c>
      <c r="AI158" t="str">
        <f ca="1">IF(AND(ISNUMBER($AI$829),$B$677=1),$AI$829,HLOOKUP(INDIRECT(ADDRESS(2,COLUMN())),OFFSET($BN$2,0,0,ROW()-1,60),ROW()-1,FALSE))</f>
        <v/>
      </c>
      <c r="AJ158" t="str">
        <f ca="1">IF(AND(ISNUMBER($AJ$829),$B$677=1),$AJ$829,HLOOKUP(INDIRECT(ADDRESS(2,COLUMN())),OFFSET($BN$2,0,0,ROW()-1,60),ROW()-1,FALSE))</f>
        <v/>
      </c>
      <c r="AK158" t="str">
        <f ca="1">IF(AND(ISNUMBER($AK$829),$B$677=1),$AK$829,HLOOKUP(INDIRECT(ADDRESS(2,COLUMN())),OFFSET($BN$2,0,0,ROW()-1,60),ROW()-1,FALSE))</f>
        <v/>
      </c>
      <c r="AL158" t="str">
        <f ca="1">IF(AND(ISNUMBER($AL$829),$B$677=1),$AL$829,HLOOKUP(INDIRECT(ADDRESS(2,COLUMN())),OFFSET($BN$2,0,0,ROW()-1,60),ROW()-1,FALSE))</f>
        <v/>
      </c>
      <c r="AM158" t="str">
        <f ca="1">IF(AND(ISNUMBER($AM$829),$B$677=1),$AM$829,HLOOKUP(INDIRECT(ADDRESS(2,COLUMN())),OFFSET($BN$2,0,0,ROW()-1,60),ROW()-1,FALSE))</f>
        <v/>
      </c>
      <c r="AN158" t="str">
        <f ca="1">IF(AND(ISNUMBER($AN$829),$B$677=1),$AN$829,HLOOKUP(INDIRECT(ADDRESS(2,COLUMN())),OFFSET($BN$2,0,0,ROW()-1,60),ROW()-1,FALSE))</f>
        <v/>
      </c>
      <c r="AO158" t="str">
        <f ca="1">IF(AND(ISNUMBER($AO$829),$B$677=1),$AO$829,HLOOKUP(INDIRECT(ADDRESS(2,COLUMN())),OFFSET($BN$2,0,0,ROW()-1,60),ROW()-1,FALSE))</f>
        <v/>
      </c>
      <c r="AP158" t="str">
        <f ca="1">IF(AND(ISNUMBER($AP$829),$B$677=1),$AP$829,HLOOKUP(INDIRECT(ADDRESS(2,COLUMN())),OFFSET($BN$2,0,0,ROW()-1,60),ROW()-1,FALSE))</f>
        <v/>
      </c>
      <c r="AQ158" t="str">
        <f ca="1">IF(AND(ISNUMBER($AQ$829),$B$677=1),$AQ$829,HLOOKUP(INDIRECT(ADDRESS(2,COLUMN())),OFFSET($BN$2,0,0,ROW()-1,60),ROW()-1,FALSE))</f>
        <v/>
      </c>
      <c r="AR158" t="str">
        <f ca="1">IF(AND(ISNUMBER($AR$829),$B$677=1),$AR$829,HLOOKUP(INDIRECT(ADDRESS(2,COLUMN())),OFFSET($BN$2,0,0,ROW()-1,60),ROW()-1,FALSE))</f>
        <v/>
      </c>
      <c r="AS158" t="str">
        <f ca="1">IF(AND(ISNUMBER($AS$829),$B$677=1),$AS$829,HLOOKUP(INDIRECT(ADDRESS(2,COLUMN())),OFFSET($BN$2,0,0,ROW()-1,60),ROW()-1,FALSE))</f>
        <v/>
      </c>
      <c r="AT158" t="str">
        <f ca="1">IF(AND(ISNUMBER($AT$829),$B$677=1),$AT$829,HLOOKUP(INDIRECT(ADDRESS(2,COLUMN())),OFFSET($BN$2,0,0,ROW()-1,60),ROW()-1,FALSE))</f>
        <v/>
      </c>
      <c r="AU158" t="str">
        <f ca="1">IF(AND(ISNUMBER($AU$829),$B$677=1),$AU$829,HLOOKUP(INDIRECT(ADDRESS(2,COLUMN())),OFFSET($BN$2,0,0,ROW()-1,60),ROW()-1,FALSE))</f>
        <v/>
      </c>
      <c r="AV158" t="str">
        <f ca="1">IF(AND(ISNUMBER($AV$829),$B$677=1),$AV$829,HLOOKUP(INDIRECT(ADDRESS(2,COLUMN())),OFFSET($BN$2,0,0,ROW()-1,60),ROW()-1,FALSE))</f>
        <v/>
      </c>
      <c r="AW158" t="str">
        <f ca="1">IF(AND(ISNUMBER($AW$829),$B$677=1),$AW$829,HLOOKUP(INDIRECT(ADDRESS(2,COLUMN())),OFFSET($BN$2,0,0,ROW()-1,60),ROW()-1,FALSE))</f>
        <v/>
      </c>
      <c r="AX158" t="str">
        <f ca="1">IF(AND(ISNUMBER($AX$829),$B$677=1),$AX$829,HLOOKUP(INDIRECT(ADDRESS(2,COLUMN())),OFFSET($BN$2,0,0,ROW()-1,60),ROW()-1,FALSE))</f>
        <v/>
      </c>
      <c r="AY158" t="str">
        <f ca="1">IF(AND(ISNUMBER($AY$829),$B$677=1),$AY$829,HLOOKUP(INDIRECT(ADDRESS(2,COLUMN())),OFFSET($BN$2,0,0,ROW()-1,60),ROW()-1,FALSE))</f>
        <v/>
      </c>
      <c r="AZ158" t="str">
        <f ca="1">IF(AND(ISNUMBER($AZ$829),$B$677=1),$AZ$829,HLOOKUP(INDIRECT(ADDRESS(2,COLUMN())),OFFSET($BN$2,0,0,ROW()-1,60),ROW()-1,FALSE))</f>
        <v/>
      </c>
      <c r="BA158" t="str">
        <f ca="1">IF(AND(ISNUMBER($BA$829),$B$677=1),$BA$829,HLOOKUP(INDIRECT(ADDRESS(2,COLUMN())),OFFSET($BN$2,0,0,ROW()-1,60),ROW()-1,FALSE))</f>
        <v/>
      </c>
      <c r="BB158" t="str">
        <f ca="1">IF(AND(ISNUMBER($BB$829),$B$677=1),$BB$829,HLOOKUP(INDIRECT(ADDRESS(2,COLUMN())),OFFSET($BN$2,0,0,ROW()-1,60),ROW()-1,FALSE))</f>
        <v/>
      </c>
      <c r="BC158" t="str">
        <f ca="1">IF(AND(ISNUMBER($BC$829),$B$677=1),$BC$829,HLOOKUP(INDIRECT(ADDRESS(2,COLUMN())),OFFSET($BN$2,0,0,ROW()-1,60),ROW()-1,FALSE))</f>
        <v/>
      </c>
      <c r="BD158" t="str">
        <f ca="1">IF(AND(ISNUMBER($BD$829),$B$677=1),$BD$829,HLOOKUP(INDIRECT(ADDRESS(2,COLUMN())),OFFSET($BN$2,0,0,ROW()-1,60),ROW()-1,FALSE))</f>
        <v/>
      </c>
      <c r="BE158" t="str">
        <f ca="1">IF(AND(ISNUMBER($BE$829),$B$677=1),$BE$829,HLOOKUP(INDIRECT(ADDRESS(2,COLUMN())),OFFSET($BN$2,0,0,ROW()-1,60),ROW()-1,FALSE))</f>
        <v/>
      </c>
      <c r="BF158" t="str">
        <f ca="1">IF(AND(ISNUMBER($BF$829),$B$677=1),$BF$829,HLOOKUP(INDIRECT(ADDRESS(2,COLUMN())),OFFSET($BN$2,0,0,ROW()-1,60),ROW()-1,FALSE))</f>
        <v/>
      </c>
      <c r="BG158" t="str">
        <f ca="1">IF(AND(ISNUMBER($BG$829),$B$677=1),$BG$829,HLOOKUP(INDIRECT(ADDRESS(2,COLUMN())),OFFSET($BN$2,0,0,ROW()-1,60),ROW()-1,FALSE))</f>
        <v/>
      </c>
      <c r="BH158" t="str">
        <f ca="1">IF(AND(ISNUMBER($BH$829),$B$677=1),$BH$829,HLOOKUP(INDIRECT(ADDRESS(2,COLUMN())),OFFSET($BN$2,0,0,ROW()-1,60),ROW()-1,FALSE))</f>
        <v/>
      </c>
      <c r="BI158" t="str">
        <f ca="1">IF(AND(ISNUMBER($BI$829),$B$677=1),$BI$829,HLOOKUP(INDIRECT(ADDRESS(2,COLUMN())),OFFSET($BN$2,0,0,ROW()-1,60),ROW()-1,FALSE))</f>
        <v/>
      </c>
      <c r="BJ158" t="str">
        <f ca="1">IF(AND(ISNUMBER($BJ$829),$B$677=1),$BJ$829,HLOOKUP(INDIRECT(ADDRESS(2,COLUMN())),OFFSET($BN$2,0,0,ROW()-1,60),ROW()-1,FALSE))</f>
        <v/>
      </c>
      <c r="BK158" t="str">
        <f ca="1">IF(AND(ISNUMBER($BK$829),$B$677=1),$BK$829,HLOOKUP(INDIRECT(ADDRESS(2,COLUMN())),OFFSET($BN$2,0,0,ROW()-1,60),ROW()-1,FALSE))</f>
        <v/>
      </c>
      <c r="BL158" t="str">
        <f ca="1">IF(AND(ISNUMBER($BL$829),$B$677=1),$BL$829,HLOOKUP(INDIRECT(ADDRESS(2,COLUMN())),OFFSET($BN$2,0,0,ROW()-1,60),ROW()-1,FALSE))</f>
        <v/>
      </c>
      <c r="BM158" t="str">
        <f ca="1">IF(AND(ISNUMBER($BM$829),$B$677=1),$BM$829,HLOOKUP(INDIRECT(ADDRESS(2,COLUMN())),OFFSET($BN$2,0,0,ROW()-1,60),ROW()-1,FALSE))</f>
        <v/>
      </c>
      <c r="BN158" t="str">
        <f>""</f>
        <v/>
      </c>
      <c r="BO158">
        <f>0.756736257</f>
        <v>0.75673625700000002</v>
      </c>
      <c r="BP158">
        <f>0.876776907</f>
        <v>0.87677690699999999</v>
      </c>
      <c r="BQ158">
        <f>0.856940182</f>
        <v>0.85694018199999999</v>
      </c>
      <c r="BR158">
        <f>0.923528357</f>
        <v>0.92352835700000002</v>
      </c>
      <c r="BS158">
        <f>0.911173864</f>
        <v>0.911173864</v>
      </c>
      <c r="BT158">
        <f>0.911171736</f>
        <v>0.91117173600000001</v>
      </c>
      <c r="BU158">
        <f>1.175136447</f>
        <v>1.1751364470000001</v>
      </c>
      <c r="BV158">
        <f>1.34765559</f>
        <v>1.34765559</v>
      </c>
      <c r="BW158">
        <f>1.332194722</f>
        <v>1.3321947220000001</v>
      </c>
      <c r="BX158">
        <f>1.430131265</f>
        <v>1.430131265</v>
      </c>
      <c r="BY158">
        <f>1.300369204</f>
        <v>1.3003692039999999</v>
      </c>
      <c r="BZ158">
        <f>1.570922172</f>
        <v>1.570922172</v>
      </c>
      <c r="CA158">
        <f>1.483087745</f>
        <v>1.483087745</v>
      </c>
      <c r="CB158">
        <f>1.727592449</f>
        <v>1.7275924490000001</v>
      </c>
      <c r="CC158">
        <f>1.640100598</f>
        <v>1.6401005980000001</v>
      </c>
      <c r="CD158">
        <f>1.657407094</f>
        <v>1.6574070940000001</v>
      </c>
      <c r="CE158">
        <f>1.634530868</f>
        <v>1.6345308679999999</v>
      </c>
      <c r="CF158">
        <f>1.100513011</f>
        <v>1.1005130110000001</v>
      </c>
      <c r="CG158">
        <f>1.417781729</f>
        <v>1.4177817290000001</v>
      </c>
      <c r="CH158">
        <f>1.361541937</f>
        <v>1.3615419369999999</v>
      </c>
      <c r="CI158">
        <f>1.171696706</f>
        <v>1.1716967060000001</v>
      </c>
      <c r="CJ158">
        <f>1.324328684</f>
        <v>1.3243286839999999</v>
      </c>
      <c r="CK158">
        <f>1.479195276</f>
        <v>1.479195276</v>
      </c>
      <c r="CL158">
        <f>0.96759457</f>
        <v>0.96759457000000004</v>
      </c>
      <c r="CM158">
        <f>0.813578966</f>
        <v>0.81357896600000001</v>
      </c>
      <c r="CN158" t="str">
        <f>""</f>
        <v/>
      </c>
      <c r="CO158" t="str">
        <f>""</f>
        <v/>
      </c>
      <c r="CP158" t="str">
        <f>""</f>
        <v/>
      </c>
      <c r="CQ158" t="str">
        <f>""</f>
        <v/>
      </c>
      <c r="CR158" t="str">
        <f>""</f>
        <v/>
      </c>
      <c r="CS158" t="str">
        <f>""</f>
        <v/>
      </c>
      <c r="CT158" t="str">
        <f>""</f>
        <v/>
      </c>
      <c r="CU158" t="str">
        <f>""</f>
        <v/>
      </c>
      <c r="CV158" t="str">
        <f>""</f>
        <v/>
      </c>
      <c r="CW158" t="str">
        <f>""</f>
        <v/>
      </c>
      <c r="CX158" t="str">
        <f>""</f>
        <v/>
      </c>
      <c r="CY158" t="str">
        <f>""</f>
        <v/>
      </c>
      <c r="CZ158" t="str">
        <f>""</f>
        <v/>
      </c>
      <c r="DA158" t="str">
        <f>""</f>
        <v/>
      </c>
      <c r="DB158" t="str">
        <f>""</f>
        <v/>
      </c>
      <c r="DC158" t="str">
        <f>""</f>
        <v/>
      </c>
      <c r="DD158" t="str">
        <f>""</f>
        <v/>
      </c>
      <c r="DE158" t="str">
        <f>""</f>
        <v/>
      </c>
      <c r="DF158" t="str">
        <f>""</f>
        <v/>
      </c>
      <c r="DG158" t="str">
        <f>""</f>
        <v/>
      </c>
      <c r="DH158" t="str">
        <f>""</f>
        <v/>
      </c>
      <c r="DI158" t="str">
        <f>""</f>
        <v/>
      </c>
      <c r="DJ158" t="str">
        <f>""</f>
        <v/>
      </c>
      <c r="DK158" t="str">
        <f>""</f>
        <v/>
      </c>
      <c r="DL158" t="str">
        <f>""</f>
        <v/>
      </c>
      <c r="DM158" t="str">
        <f>""</f>
        <v/>
      </c>
      <c r="DN158" t="str">
        <f>""</f>
        <v/>
      </c>
      <c r="DO158" t="str">
        <f>""</f>
        <v/>
      </c>
      <c r="DP158" t="str">
        <f>""</f>
        <v/>
      </c>
      <c r="DQ158" t="str">
        <f>""</f>
        <v/>
      </c>
      <c r="DR158" t="str">
        <f>""</f>
        <v/>
      </c>
      <c r="DS158" t="str">
        <f>""</f>
        <v/>
      </c>
      <c r="DT158" t="str">
        <f>""</f>
        <v/>
      </c>
      <c r="DU158" t="str">
        <f>""</f>
        <v/>
      </c>
    </row>
    <row r="159" spans="1:125" x14ac:dyDescent="0.25">
      <c r="A159" t="str">
        <f>"    Subaru Corp"</f>
        <v xml:space="preserve">    Subaru Corp</v>
      </c>
      <c r="B159" t="str">
        <f>"7270 JP Equity"</f>
        <v>7270 JP Equity</v>
      </c>
      <c r="C159" t="str">
        <f t="shared" si="9"/>
        <v>RR903</v>
      </c>
      <c r="D159" t="str">
        <f t="shared" si="10"/>
        <v>PX_TO_BOOK_RATIO</v>
      </c>
      <c r="E159" t="str">
        <f t="shared" si="11"/>
        <v>Dynamic</v>
      </c>
      <c r="F159">
        <f ca="1">IF(AND(ISNUMBER($F$830),$B$677=1),$F$830,HLOOKUP(INDIRECT(ADDRESS(2,COLUMN())),OFFSET($BN$2,0,0,ROW()-1,60),ROW()-1,FALSE))</f>
        <v>1.385199114</v>
      </c>
      <c r="G159">
        <f ca="1">IF(AND(ISNUMBER($G$830),$B$677=1),$G$830,HLOOKUP(INDIRECT(ADDRESS(2,COLUMN())),OFFSET($BN$2,0,0,ROW()-1,60),ROW()-1,FALSE))</f>
        <v>1.1502709040000001</v>
      </c>
      <c r="H159">
        <f ca="1">IF(AND(ISNUMBER($H$830),$B$677=1),$H$830,HLOOKUP(INDIRECT(ADDRESS(2,COLUMN())),OFFSET($BN$2,0,0,ROW()-1,60),ROW()-1,FALSE))</f>
        <v>1.700097993</v>
      </c>
      <c r="I159">
        <f ca="1">IF(AND(ISNUMBER($I$830),$B$677=1),$I$830,HLOOKUP(INDIRECT(ADDRESS(2,COLUMN())),OFFSET($BN$2,0,0,ROW()-1,60),ROW()-1,FALSE))</f>
        <v>1.5878428060000001</v>
      </c>
      <c r="J159">
        <f ca="1">IF(AND(ISNUMBER($J$830),$B$677=1),$J$830,HLOOKUP(INDIRECT(ADDRESS(2,COLUMN())),OFFSET($BN$2,0,0,ROW()-1,60),ROW()-1,FALSE))</f>
        <v>1.72171585</v>
      </c>
      <c r="K159">
        <f ca="1">IF(AND(ISNUMBER($K$830),$B$677=1),$K$830,HLOOKUP(INDIRECT(ADDRESS(2,COLUMN())),OFFSET($BN$2,0,0,ROW()-1,60),ROW()-1,FALSE))</f>
        <v>1.815536775</v>
      </c>
      <c r="L159">
        <f ca="1">IF(AND(ISNUMBER($L$830),$B$677=1),$L$830,HLOOKUP(INDIRECT(ADDRESS(2,COLUMN())),OFFSET($BN$2,0,0,ROW()-1,60),ROW()-1,FALSE))</f>
        <v>2.0780039619999999</v>
      </c>
      <c r="M159">
        <f ca="1">IF(AND(ISNUMBER($M$830),$B$677=1),$M$830,HLOOKUP(INDIRECT(ADDRESS(2,COLUMN())),OFFSET($BN$2,0,0,ROW()-1,60),ROW()-1,FALSE))</f>
        <v>1.9497827320000001</v>
      </c>
      <c r="N159">
        <f ca="1">IF(AND(ISNUMBER($N$830),$B$677=1),$N$830,HLOOKUP(INDIRECT(ADDRESS(2,COLUMN())),OFFSET($BN$2,0,0,ROW()-1,60),ROW()-1,FALSE))</f>
        <v>2.1460589539999999</v>
      </c>
      <c r="O159">
        <f ca="1">IF(AND(ISNUMBER($O$830),$B$677=1),$O$830,HLOOKUP(INDIRECT(ADDRESS(2,COLUMN())),OFFSET($BN$2,0,0,ROW()-1,60),ROW()-1,FALSE))</f>
        <v>2.6191623339999999</v>
      </c>
      <c r="P159">
        <f ca="1">IF(AND(ISNUMBER($P$830),$B$677=1),$P$830,HLOOKUP(INDIRECT(ADDRESS(2,COLUMN())),OFFSET($BN$2,0,0,ROW()-1,60),ROW()-1,FALSE))</f>
        <v>2.1229972720000001</v>
      </c>
      <c r="Q159">
        <f ca="1">IF(AND(ISNUMBER($Q$830),$B$677=1),$Q$830,HLOOKUP(INDIRECT(ADDRESS(2,COLUMN())),OFFSET($BN$2,0,0,ROW()-1,60),ROW()-1,FALSE))</f>
        <v>2.0349276280000002</v>
      </c>
      <c r="R159">
        <f ca="1">IF(AND(ISNUMBER($R$830),$B$677=1),$R$830,HLOOKUP(INDIRECT(ADDRESS(2,COLUMN())),OFFSET($BN$2,0,0,ROW()-1,60),ROW()-1,FALSE))</f>
        <v>2.3084979369999998</v>
      </c>
      <c r="S159">
        <f ca="1">IF(AND(ISNUMBER($S$830),$B$677=1),$S$830,HLOOKUP(INDIRECT(ADDRESS(2,COLUMN())),OFFSET($BN$2,0,0,ROW()-1,60),ROW()-1,FALSE))</f>
        <v>3.0784209840000001</v>
      </c>
      <c r="T159">
        <f ca="1">IF(AND(ISNUMBER($T$830),$B$677=1),$T$830,HLOOKUP(INDIRECT(ADDRESS(2,COLUMN())),OFFSET($BN$2,0,0,ROW()-1,60),ROW()-1,FALSE))</f>
        <v>2.819754686</v>
      </c>
      <c r="U159">
        <f ca="1">IF(AND(ISNUMBER($U$830),$B$677=1),$U$830,HLOOKUP(INDIRECT(ADDRESS(2,COLUMN())),OFFSET($BN$2,0,0,ROW()-1,60),ROW()-1,FALSE))</f>
        <v>3.2338729279999998</v>
      </c>
      <c r="V159">
        <f ca="1">IF(AND(ISNUMBER($V$830),$B$677=1),$V$830,HLOOKUP(INDIRECT(ADDRESS(2,COLUMN())),OFFSET($BN$2,0,0,ROW()-1,60),ROW()-1,FALSE))</f>
        <v>3.0462175039999999</v>
      </c>
      <c r="W159">
        <f ca="1">IF(AND(ISNUMBER($W$830),$B$677=1),$W$830,HLOOKUP(INDIRECT(ADDRESS(2,COLUMN())),OFFSET($BN$2,0,0,ROW()-1,60),ROW()-1,FALSE))</f>
        <v>3.5121589609999999</v>
      </c>
      <c r="X159">
        <f ca="1">IF(AND(ISNUMBER($X$830),$B$677=1),$X$830,HLOOKUP(INDIRECT(ADDRESS(2,COLUMN())),OFFSET($BN$2,0,0,ROW()-1,60),ROW()-1,FALSE))</f>
        <v>3.2378118200000001</v>
      </c>
      <c r="Y159">
        <f ca="1">IF(AND(ISNUMBER($Y$830),$B$677=1),$Y$830,HLOOKUP(INDIRECT(ADDRESS(2,COLUMN())),OFFSET($BN$2,0,0,ROW()-1,60),ROW()-1,FALSE))</f>
        <v>2.7589545360000001</v>
      </c>
      <c r="Z159">
        <f ca="1">IF(AND(ISNUMBER($Z$830),$B$677=1),$Z$830,HLOOKUP(INDIRECT(ADDRESS(2,COLUMN())),OFFSET($BN$2,0,0,ROW()-1,60),ROW()-1,FALSE))</f>
        <v>2.846137251</v>
      </c>
      <c r="AA159">
        <f ca="1">IF(AND(ISNUMBER($AA$830),$B$677=1),$AA$830,HLOOKUP(INDIRECT(ADDRESS(2,COLUMN())),OFFSET($BN$2,0,0,ROW()-1,60),ROW()-1,FALSE))</f>
        <v>3.0909984239999999</v>
      </c>
      <c r="AB159">
        <f ca="1">IF(AND(ISNUMBER($AB$830),$B$677=1),$AB$830,HLOOKUP(INDIRECT(ADDRESS(2,COLUMN())),OFFSET($BN$2,0,0,ROW()-1,60),ROW()-1,FALSE))</f>
        <v>2.9862833050000002</v>
      </c>
      <c r="AC159">
        <f ca="1">IF(AND(ISNUMBER($AC$830),$B$677=1),$AC$830,HLOOKUP(INDIRECT(ADDRESS(2,COLUMN())),OFFSET($BN$2,0,0,ROW()-1,60),ROW()-1,FALSE))</f>
        <v>2.9448279460000002</v>
      </c>
      <c r="AD159">
        <f ca="1">IF(AND(ISNUMBER($AD$830),$B$677=1),$AD$830,HLOOKUP(INDIRECT(ADDRESS(2,COLUMN())),OFFSET($BN$2,0,0,ROW()-1,60),ROW()-1,FALSE))</f>
        <v>1.915141518</v>
      </c>
      <c r="AE159">
        <f ca="1">IF(AND(ISNUMBER($AE$830),$B$677=1),$AE$830,HLOOKUP(INDIRECT(ADDRESS(2,COLUMN())),OFFSET($BN$2,0,0,ROW()-1,60),ROW()-1,FALSE))</f>
        <v>1.654551916</v>
      </c>
      <c r="AF159">
        <f ca="1">IF(AND(ISNUMBER($AF$830),$B$677=1),$AF$830,HLOOKUP(INDIRECT(ADDRESS(2,COLUMN())),OFFSET($BN$2,0,0,ROW()-1,60),ROW()-1,FALSE))</f>
        <v>1.0595026439999999</v>
      </c>
      <c r="AG159">
        <f ca="1">IF(AND(ISNUMBER($AG$830),$B$677=1),$AG$830,HLOOKUP(INDIRECT(ADDRESS(2,COLUMN())),OFFSET($BN$2,0,0,ROW()-1,60),ROW()-1,FALSE))</f>
        <v>1.0903537910000001</v>
      </c>
      <c r="AH159">
        <f ca="1">IF(AND(ISNUMBER($AH$830),$B$677=1),$AH$830,HLOOKUP(INDIRECT(ADDRESS(2,COLUMN())),OFFSET($BN$2,0,0,ROW()-1,60),ROW()-1,FALSE))</f>
        <v>1.1525714629999999</v>
      </c>
      <c r="AI159">
        <f ca="1">IF(AND(ISNUMBER($AI$830),$B$677=1),$AI$830,HLOOKUP(INDIRECT(ADDRESS(2,COLUMN())),OFFSET($BN$2,0,0,ROW()-1,60),ROW()-1,FALSE))</f>
        <v>0.83654448100000001</v>
      </c>
      <c r="AJ159">
        <f ca="1">IF(AND(ISNUMBER($AJ$830),$B$677=1),$AJ$830,HLOOKUP(INDIRECT(ADDRESS(2,COLUMN())),OFFSET($BN$2,0,0,ROW()-1,60),ROW()-1,FALSE))</f>
        <v>0.82553178999999999</v>
      </c>
      <c r="AK159">
        <f ca="1">IF(AND(ISNUMBER($AK$830),$B$677=1),$AK$830,HLOOKUP(INDIRECT(ADDRESS(2,COLUMN())),OFFSET($BN$2,0,0,ROW()-1,60),ROW()-1,FALSE))</f>
        <v>1.10878849</v>
      </c>
      <c r="AL159">
        <f ca="1">IF(AND(ISNUMBER($AL$830),$B$677=1),$AL$830,HLOOKUP(INDIRECT(ADDRESS(2,COLUMN())),OFFSET($BN$2,0,0,ROW()-1,60),ROW()-1,FALSE))</f>
        <v>1.0134708539999999</v>
      </c>
      <c r="AM159">
        <f ca="1">IF(AND(ISNUMBER($AM$830),$B$677=1),$AM$830,HLOOKUP(INDIRECT(ADDRESS(2,COLUMN())),OFFSET($BN$2,0,0,ROW()-1,60),ROW()-1,FALSE))</f>
        <v>1.175337136</v>
      </c>
      <c r="AN159">
        <f ca="1">IF(AND(ISNUMBER($AN$830),$B$677=1),$AN$830,HLOOKUP(INDIRECT(ADDRESS(2,COLUMN())),OFFSET($BN$2,0,0,ROW()-1,60),ROW()-1,FALSE))</f>
        <v>1.016062856</v>
      </c>
      <c r="AO159">
        <f ca="1">IF(AND(ISNUMBER($AO$830),$B$677=1),$AO$830,HLOOKUP(INDIRECT(ADDRESS(2,COLUMN())),OFFSET($BN$2,0,0,ROW()-1,60),ROW()-1,FALSE))</f>
        <v>0.95560322900000005</v>
      </c>
      <c r="AP159">
        <f ca="1">IF(AND(ISNUMBER($AP$830),$B$677=1),$AP$830,HLOOKUP(INDIRECT(ADDRESS(2,COLUMN())),OFFSET($BN$2,0,0,ROW()-1,60),ROW()-1,FALSE))</f>
        <v>0.99062516599999995</v>
      </c>
      <c r="AQ159">
        <f ca="1">IF(AND(ISNUMBER($AQ$830),$B$677=1),$AQ$830,HLOOKUP(INDIRECT(ADDRESS(2,COLUMN())),OFFSET($BN$2,0,0,ROW()-1,60),ROW()-1,FALSE))</f>
        <v>0.92565074599999997</v>
      </c>
      <c r="AR159">
        <f ca="1">IF(AND(ISNUMBER($AR$830),$B$677=1),$AR$830,HLOOKUP(INDIRECT(ADDRESS(2,COLUMN())),OFFSET($BN$2,0,0,ROW()-1,60),ROW()-1,FALSE))</f>
        <v>0.73526404899999998</v>
      </c>
      <c r="AS159">
        <f ca="1">IF(AND(ISNUMBER($AS$830),$B$677=1),$AS$830,HLOOKUP(INDIRECT(ADDRESS(2,COLUMN())),OFFSET($BN$2,0,0,ROW()-1,60),ROW()-1,FALSE))</f>
        <v>0.80671713199999995</v>
      </c>
      <c r="AT159">
        <f ca="1">IF(AND(ISNUMBER($AT$830),$B$677=1),$AT$830,HLOOKUP(INDIRECT(ADDRESS(2,COLUMN())),OFFSET($BN$2,0,0,ROW()-1,60),ROW()-1,FALSE))</f>
        <v>0.63688233400000005</v>
      </c>
      <c r="AU159">
        <f ca="1">IF(AND(ISNUMBER($AU$830),$B$677=1),$AU$830,HLOOKUP(INDIRECT(ADDRESS(2,COLUMN())),OFFSET($BN$2,0,0,ROW()-1,60),ROW()-1,FALSE))</f>
        <v>0.40086284300000002</v>
      </c>
      <c r="AV159">
        <f ca="1">IF(AND(ISNUMBER($AV$830),$B$677=1),$AV$830,HLOOKUP(INDIRECT(ADDRESS(2,COLUMN())),OFFSET($BN$2,0,0,ROW()-1,60),ROW()-1,FALSE))</f>
        <v>0.81209027600000006</v>
      </c>
      <c r="AW159">
        <f ca="1">IF(AND(ISNUMBER($AW$830),$B$677=1),$AW$830,HLOOKUP(INDIRECT(ADDRESS(2,COLUMN())),OFFSET($BN$2,0,0,ROW()-1,60),ROW()-1,FALSE))</f>
        <v>0.80848877299999999</v>
      </c>
      <c r="AX159">
        <f ca="1">IF(AND(ISNUMBER($AX$830),$B$677=1),$AX$830,HLOOKUP(INDIRECT(ADDRESS(2,COLUMN())),OFFSET($BN$2,0,0,ROW()-1,60),ROW()-1,FALSE))</f>
        <v>0.60696728700000002</v>
      </c>
      <c r="AY159">
        <f ca="1">IF(AND(ISNUMBER($AY$830),$B$677=1),$AY$830,HLOOKUP(INDIRECT(ADDRESS(2,COLUMN())),OFFSET($BN$2,0,0,ROW()-1,60),ROW()-1,FALSE))</f>
        <v>0.74967686300000003</v>
      </c>
      <c r="AZ159">
        <f ca="1">IF(AND(ISNUMBER($AZ$830),$B$677=1),$AZ$830,HLOOKUP(INDIRECT(ADDRESS(2,COLUMN())),OFFSET($BN$2,0,0,ROW()-1,60),ROW()-1,FALSE))</f>
        <v>0.71845035599999996</v>
      </c>
      <c r="BA159">
        <f ca="1">IF(AND(ISNUMBER($BA$830),$B$677=1),$BA$830,HLOOKUP(INDIRECT(ADDRESS(2,COLUMN())),OFFSET($BN$2,0,0,ROW()-1,60),ROW()-1,FALSE))</f>
        <v>0.859820166</v>
      </c>
      <c r="BB159">
        <f ca="1">IF(AND(ISNUMBER($BB$830),$B$677=1),$BB$830,HLOOKUP(INDIRECT(ADDRESS(2,COLUMN())),OFFSET($BN$2,0,0,ROW()-1,60),ROW()-1,FALSE))</f>
        <v>0.88977982</v>
      </c>
      <c r="BC159">
        <f ca="1">IF(AND(ISNUMBER($BC$830),$B$677=1),$BC$830,HLOOKUP(INDIRECT(ADDRESS(2,COLUMN())),OFFSET($BN$2,0,0,ROW()-1,60),ROW()-1,FALSE))</f>
        <v>0.90080793599999998</v>
      </c>
      <c r="BD159">
        <f ca="1">IF(AND(ISNUMBER($BD$830),$B$677=1),$BD$830,HLOOKUP(INDIRECT(ADDRESS(2,COLUMN())),OFFSET($BN$2,0,0,ROW()-1,60),ROW()-1,FALSE))</f>
        <v>1.024904072</v>
      </c>
      <c r="BE159">
        <f ca="1">IF(AND(ISNUMBER($BE$830),$B$677=1),$BE$830,HLOOKUP(INDIRECT(ADDRESS(2,COLUMN())),OFFSET($BN$2,0,0,ROW()-1,60),ROW()-1,FALSE))</f>
        <v>1.0338593089999999</v>
      </c>
      <c r="BF159">
        <f ca="1">IF(AND(ISNUMBER($BF$830),$B$677=1),$BF$830,HLOOKUP(INDIRECT(ADDRESS(2,COLUMN())),OFFSET($BN$2,0,0,ROW()-1,60),ROW()-1,FALSE))</f>
        <v>1.0653367570000001</v>
      </c>
      <c r="BG159">
        <f ca="1">IF(AND(ISNUMBER($BG$830),$B$677=1),$BG$830,HLOOKUP(INDIRECT(ADDRESS(2,COLUMN())),OFFSET($BN$2,0,0,ROW()-1,60),ROW()-1,FALSE))</f>
        <v>1.0121941130000001</v>
      </c>
      <c r="BH159">
        <f ca="1">IF(AND(ISNUMBER($BH$830),$B$677=1),$BH$830,HLOOKUP(INDIRECT(ADDRESS(2,COLUMN())),OFFSET($BN$2,0,0,ROW()-1,60),ROW()-1,FALSE))</f>
        <v>0.82412520300000003</v>
      </c>
      <c r="BI159">
        <f ca="1">IF(AND(ISNUMBER($BI$830),$B$677=1),$BI$830,HLOOKUP(INDIRECT(ADDRESS(2,COLUMN())),OFFSET($BN$2,0,0,ROW()-1,60),ROW()-1,FALSE))</f>
        <v>0.70424870699999997</v>
      </c>
      <c r="BJ159">
        <f ca="1">IF(AND(ISNUMBER($BJ$830),$B$677=1),$BJ$830,HLOOKUP(INDIRECT(ADDRESS(2,COLUMN())),OFFSET($BN$2,0,0,ROW()-1,60),ROW()-1,FALSE))</f>
        <v>0.86661543600000002</v>
      </c>
      <c r="BK159">
        <f ca="1">IF(AND(ISNUMBER($BK$830),$B$677=1),$BK$830,HLOOKUP(INDIRECT(ADDRESS(2,COLUMN())),OFFSET($BN$2,0,0,ROW()-1,60),ROW()-1,FALSE))</f>
        <v>0.84437339099999997</v>
      </c>
      <c r="BL159">
        <f ca="1">IF(AND(ISNUMBER($BL$830),$B$677=1),$BL$830,HLOOKUP(INDIRECT(ADDRESS(2,COLUMN())),OFFSET($BN$2,0,0,ROW()-1,60),ROW()-1,FALSE))</f>
        <v>0.93502182599999994</v>
      </c>
      <c r="BM159">
        <f ca="1">IF(AND(ISNUMBER($BM$830),$B$677=1),$BM$830,HLOOKUP(INDIRECT(ADDRESS(2,COLUMN())),OFFSET($BN$2,0,0,ROW()-1,60),ROW()-1,FALSE))</f>
        <v>1.0586728110000001</v>
      </c>
      <c r="BN159">
        <f>1.385199114</f>
        <v>1.385199114</v>
      </c>
      <c r="BO159">
        <f>1.150270904</f>
        <v>1.1502709040000001</v>
      </c>
      <c r="BP159">
        <f>1.700097993</f>
        <v>1.700097993</v>
      </c>
      <c r="BQ159">
        <f>1.587842806</f>
        <v>1.5878428060000001</v>
      </c>
      <c r="BR159">
        <f>1.72171585</f>
        <v>1.72171585</v>
      </c>
      <c r="BS159">
        <f>1.815536775</f>
        <v>1.815536775</v>
      </c>
      <c r="BT159">
        <f>2.078003962</f>
        <v>2.0780039619999999</v>
      </c>
      <c r="BU159">
        <f>1.949782732</f>
        <v>1.9497827320000001</v>
      </c>
      <c r="BV159">
        <f>2.146058954</f>
        <v>2.1460589539999999</v>
      </c>
      <c r="BW159">
        <f>2.619162334</f>
        <v>2.6191623339999999</v>
      </c>
      <c r="BX159">
        <f>2.122997272</f>
        <v>2.1229972720000001</v>
      </c>
      <c r="BY159">
        <f>2.034927628</f>
        <v>2.0349276280000002</v>
      </c>
      <c r="BZ159">
        <f>2.308497937</f>
        <v>2.3084979369999998</v>
      </c>
      <c r="CA159">
        <f>3.078420984</f>
        <v>3.0784209840000001</v>
      </c>
      <c r="CB159">
        <f>2.819754686</f>
        <v>2.819754686</v>
      </c>
      <c r="CC159">
        <f>3.233872928</f>
        <v>3.2338729279999998</v>
      </c>
      <c r="CD159">
        <f>3.046217504</f>
        <v>3.0462175039999999</v>
      </c>
      <c r="CE159">
        <f>3.512158961</f>
        <v>3.5121589609999999</v>
      </c>
      <c r="CF159">
        <f>3.23781182</f>
        <v>3.2378118200000001</v>
      </c>
      <c r="CG159">
        <f>2.758954536</f>
        <v>2.7589545360000001</v>
      </c>
      <c r="CH159">
        <f>2.846137251</f>
        <v>2.846137251</v>
      </c>
      <c r="CI159">
        <f>3.090998424</f>
        <v>3.0909984239999999</v>
      </c>
      <c r="CJ159">
        <f>2.986283305</f>
        <v>2.9862833050000002</v>
      </c>
      <c r="CK159">
        <f>2.944827946</f>
        <v>2.9448279460000002</v>
      </c>
      <c r="CL159">
        <f>1.915141518</f>
        <v>1.915141518</v>
      </c>
      <c r="CM159">
        <f>1.654551916</f>
        <v>1.654551916</v>
      </c>
      <c r="CN159">
        <f>1.059502644</f>
        <v>1.0595026439999999</v>
      </c>
      <c r="CO159">
        <f>1.090353791</f>
        <v>1.0903537910000001</v>
      </c>
      <c r="CP159">
        <f>1.152571463</f>
        <v>1.1525714629999999</v>
      </c>
      <c r="CQ159">
        <f>0.836544481</f>
        <v>0.83654448100000001</v>
      </c>
      <c r="CR159">
        <f>0.82553179</f>
        <v>0.82553178999999999</v>
      </c>
      <c r="CS159">
        <f>1.10878849</f>
        <v>1.10878849</v>
      </c>
      <c r="CT159">
        <f>1.013470854</f>
        <v>1.0134708539999999</v>
      </c>
      <c r="CU159">
        <f>1.175337136</f>
        <v>1.175337136</v>
      </c>
      <c r="CV159">
        <f>1.016062856</f>
        <v>1.016062856</v>
      </c>
      <c r="CW159">
        <f>0.955603229</f>
        <v>0.95560322900000005</v>
      </c>
      <c r="CX159">
        <f>0.990625166</f>
        <v>0.99062516599999995</v>
      </c>
      <c r="CY159">
        <f>0.925650746</f>
        <v>0.92565074599999997</v>
      </c>
      <c r="CZ159">
        <f>0.735264049</f>
        <v>0.73526404899999998</v>
      </c>
      <c r="DA159">
        <f>0.806717132</f>
        <v>0.80671713199999995</v>
      </c>
      <c r="DB159">
        <f>0.636882334</f>
        <v>0.63688233400000005</v>
      </c>
      <c r="DC159">
        <f>0.400862843</f>
        <v>0.40086284300000002</v>
      </c>
      <c r="DD159">
        <f>0.812090276</f>
        <v>0.81209027600000006</v>
      </c>
      <c r="DE159">
        <f>0.808488773</f>
        <v>0.80848877299999999</v>
      </c>
      <c r="DF159">
        <f>0.606967287</f>
        <v>0.60696728700000002</v>
      </c>
      <c r="DG159">
        <f>0.749676863</f>
        <v>0.74967686300000003</v>
      </c>
      <c r="DH159">
        <f>0.718450356</f>
        <v>0.71845035599999996</v>
      </c>
      <c r="DI159">
        <f>0.859820166</f>
        <v>0.859820166</v>
      </c>
      <c r="DJ159">
        <f>0.88977982</f>
        <v>0.88977982</v>
      </c>
      <c r="DK159">
        <f>0.900807936</f>
        <v>0.90080793599999998</v>
      </c>
      <c r="DL159">
        <f>1.024904072</f>
        <v>1.024904072</v>
      </c>
      <c r="DM159">
        <f>1.033859309</f>
        <v>1.0338593089999999</v>
      </c>
      <c r="DN159">
        <f>1.065336757</f>
        <v>1.0653367570000001</v>
      </c>
      <c r="DO159">
        <f>1.012194113</f>
        <v>1.0121941130000001</v>
      </c>
      <c r="DP159">
        <f>0.824125203</f>
        <v>0.82412520300000003</v>
      </c>
      <c r="DQ159">
        <f>0.704248707</f>
        <v>0.70424870699999997</v>
      </c>
      <c r="DR159">
        <f>0.866615436</f>
        <v>0.86661543600000002</v>
      </c>
      <c r="DS159">
        <f>0.844373391</f>
        <v>0.84437339099999997</v>
      </c>
      <c r="DT159">
        <f>0.935021826</f>
        <v>0.93502182599999994</v>
      </c>
      <c r="DU159">
        <f>1.058672811</f>
        <v>1.0586728110000001</v>
      </c>
    </row>
    <row r="160" spans="1:125" x14ac:dyDescent="0.25">
      <c r="A160" t="str">
        <f>"    Suzuki Motor Corp"</f>
        <v xml:space="preserve">    Suzuki Motor Corp</v>
      </c>
      <c r="B160" t="str">
        <f>"7269 JP Equity"</f>
        <v>7269 JP Equity</v>
      </c>
      <c r="C160" t="str">
        <f t="shared" si="9"/>
        <v>RR903</v>
      </c>
      <c r="D160" t="str">
        <f t="shared" si="10"/>
        <v>PX_TO_BOOK_RATIO</v>
      </c>
      <c r="E160" t="str">
        <f t="shared" si="11"/>
        <v>Dynamic</v>
      </c>
      <c r="F160">
        <f ca="1">IF(AND(ISNUMBER($F$831),$B$677=1),$F$831,HLOOKUP(INDIRECT(ADDRESS(2,COLUMN())),OFFSET($BN$2,0,0,ROW()-1,60),ROW()-1,FALSE))</f>
        <v>1.9230123770000001</v>
      </c>
      <c r="G160">
        <f ca="1">IF(AND(ISNUMBER($G$831),$B$677=1),$G$831,HLOOKUP(INDIRECT(ADDRESS(2,COLUMN())),OFFSET($BN$2,0,0,ROW()-1,60),ROW()-1,FALSE))</f>
        <v>1.8527881450000001</v>
      </c>
      <c r="H160">
        <f ca="1">IF(AND(ISNUMBER($H$831),$B$677=1),$H$831,HLOOKUP(INDIRECT(ADDRESS(2,COLUMN())),OFFSET($BN$2,0,0,ROW()-1,60),ROW()-1,FALSE))</f>
        <v>2.170386218</v>
      </c>
      <c r="I160">
        <f ca="1">IF(AND(ISNUMBER($I$831),$B$677=1),$I$831,HLOOKUP(INDIRECT(ADDRESS(2,COLUMN())),OFFSET($BN$2,0,0,ROW()-1,60),ROW()-1,FALSE))</f>
        <v>2.0208723160000002</v>
      </c>
      <c r="J160">
        <f ca="1">IF(AND(ISNUMBER($J$831),$B$677=1),$J$831,HLOOKUP(INDIRECT(ADDRESS(2,COLUMN())),OFFSET($BN$2,0,0,ROW()-1,60),ROW()-1,FALSE))</f>
        <v>1.9505491370000001</v>
      </c>
      <c r="K160">
        <f ca="1">IF(AND(ISNUMBER($K$831),$B$677=1),$K$831,HLOOKUP(INDIRECT(ADDRESS(2,COLUMN())),OFFSET($BN$2,0,0,ROW()-1,60),ROW()-1,FALSE))</f>
        <v>2.1994272499999998</v>
      </c>
      <c r="L160">
        <f ca="1">IF(AND(ISNUMBER($L$831),$B$677=1),$L$831,HLOOKUP(INDIRECT(ADDRESS(2,COLUMN())),OFFSET($BN$2,0,0,ROW()-1,60),ROW()-1,FALSE))</f>
        <v>2.093551374</v>
      </c>
      <c r="M160">
        <f ca="1">IF(AND(ISNUMBER($M$831),$B$677=1),$M$831,HLOOKUP(INDIRECT(ADDRESS(2,COLUMN())),OFFSET($BN$2,0,0,ROW()-1,60),ROW()-1,FALSE))</f>
        <v>1.9801608740000001</v>
      </c>
      <c r="N160">
        <f ca="1">IF(AND(ISNUMBER($N$831),$B$677=1),$N$831,HLOOKUP(INDIRECT(ADDRESS(2,COLUMN())),OFFSET($BN$2,0,0,ROW()-1,60),ROW()-1,FALSE))</f>
        <v>1.8208247120000001</v>
      </c>
      <c r="O160">
        <f ca="1">IF(AND(ISNUMBER($O$831),$B$677=1),$O$831,HLOOKUP(INDIRECT(ADDRESS(2,COLUMN())),OFFSET($BN$2,0,0,ROW()-1,60),ROW()-1,FALSE))</f>
        <v>1.6557146789999999</v>
      </c>
      <c r="P160">
        <f ca="1">IF(AND(ISNUMBER($P$831),$B$677=1),$P$831,HLOOKUP(INDIRECT(ADDRESS(2,COLUMN())),OFFSET($BN$2,0,0,ROW()-1,60),ROW()-1,FALSE))</f>
        <v>1.5263223379999999</v>
      </c>
      <c r="Q160">
        <f ca="1">IF(AND(ISNUMBER($Q$831),$B$677=1),$Q$831,HLOOKUP(INDIRECT(ADDRESS(2,COLUMN())),OFFSET($BN$2,0,0,ROW()-1,60),ROW()-1,FALSE))</f>
        <v>1.3233726619999999</v>
      </c>
      <c r="R160">
        <f ca="1">IF(AND(ISNUMBER($R$831),$B$677=1),$R$831,HLOOKUP(INDIRECT(ADDRESS(2,COLUMN())),OFFSET($BN$2,0,0,ROW()-1,60),ROW()-1,FALSE))</f>
        <v>1.3868176219999999</v>
      </c>
      <c r="S160">
        <f ca="1">IF(AND(ISNUMBER($S$831),$B$677=1),$S$831,HLOOKUP(INDIRECT(ADDRESS(2,COLUMN())),OFFSET($BN$2,0,0,ROW()-1,60),ROW()-1,FALSE))</f>
        <v>1.609651323</v>
      </c>
      <c r="T160">
        <f ca="1">IF(AND(ISNUMBER($T$831),$B$677=1),$T$831,HLOOKUP(INDIRECT(ADDRESS(2,COLUMN())),OFFSET($BN$2,0,0,ROW()-1,60),ROW()-1,FALSE))</f>
        <v>1.643372141</v>
      </c>
      <c r="U160">
        <f ca="1">IF(AND(ISNUMBER($U$831),$B$677=1),$U$831,HLOOKUP(INDIRECT(ADDRESS(2,COLUMN())),OFFSET($BN$2,0,0,ROW()-1,60),ROW()-1,FALSE))</f>
        <v>1.533123279</v>
      </c>
      <c r="V160">
        <f ca="1">IF(AND(ISNUMBER($V$831),$B$677=1),$V$831,HLOOKUP(INDIRECT(ADDRESS(2,COLUMN())),OFFSET($BN$2,0,0,ROW()-1,60),ROW()-1,FALSE))</f>
        <v>1.3671097270000001</v>
      </c>
      <c r="W160">
        <f ca="1">IF(AND(ISNUMBER($W$831),$B$677=1),$W$831,HLOOKUP(INDIRECT(ADDRESS(2,COLUMN())),OFFSET($BN$2,0,0,ROW()-1,60),ROW()-1,FALSE))</f>
        <v>1.3979875479999999</v>
      </c>
      <c r="X160">
        <f ca="1">IF(AND(ISNUMBER($X$831),$B$677=1),$X$831,HLOOKUP(INDIRECT(ADDRESS(2,COLUMN())),OFFSET($BN$2,0,0,ROW()-1,60),ROW()-1,FALSE))</f>
        <v>1.4761779129999999</v>
      </c>
      <c r="Y160">
        <f ca="1">IF(AND(ISNUMBER($Y$831),$B$677=1),$Y$831,HLOOKUP(INDIRECT(ADDRESS(2,COLUMN())),OFFSET($BN$2,0,0,ROW()-1,60),ROW()-1,FALSE))</f>
        <v>1.328317161</v>
      </c>
      <c r="Z160">
        <f ca="1">IF(AND(ISNUMBER($Z$831),$B$677=1),$Z$831,HLOOKUP(INDIRECT(ADDRESS(2,COLUMN())),OFFSET($BN$2,0,0,ROW()-1,60),ROW()-1,FALSE))</f>
        <v>1.138953552</v>
      </c>
      <c r="AA160">
        <f ca="1">IF(AND(ISNUMBER($AA$831),$B$677=1),$AA$831,HLOOKUP(INDIRECT(ADDRESS(2,COLUMN())),OFFSET($BN$2,0,0,ROW()-1,60),ROW()-1,FALSE))</f>
        <v>1.2155870719999999</v>
      </c>
      <c r="AB160">
        <f ca="1">IF(AND(ISNUMBER($AB$831),$B$677=1),$AB$831,HLOOKUP(INDIRECT(ADDRESS(2,COLUMN())),OFFSET($BN$2,0,0,ROW()-1,60),ROW()-1,FALSE))</f>
        <v>1.071303594</v>
      </c>
      <c r="AC160">
        <f ca="1">IF(AND(ISNUMBER($AC$831),$B$677=1),$AC$831,HLOOKUP(INDIRECT(ADDRESS(2,COLUMN())),OFFSET($BN$2,0,0,ROW()-1,60),ROW()-1,FALSE))</f>
        <v>1.068286678</v>
      </c>
      <c r="AD160">
        <f ca="1">IF(AND(ISNUMBER($AD$831),$B$677=1),$AD$831,HLOOKUP(INDIRECT(ADDRESS(2,COLUMN())),OFFSET($BN$2,0,0,ROW()-1,60),ROW()-1,FALSE))</f>
        <v>1.032387103</v>
      </c>
      <c r="AE160">
        <f ca="1">IF(AND(ISNUMBER($AE$831),$B$677=1),$AE$831,HLOOKUP(INDIRECT(ADDRESS(2,COLUMN())),OFFSET($BN$2,0,0,ROW()-1,60),ROW()-1,FALSE))</f>
        <v>1.1975549480000001</v>
      </c>
      <c r="AF160">
        <f ca="1">IF(AND(ISNUMBER($AF$831),$B$677=1),$AF$831,HLOOKUP(INDIRECT(ADDRESS(2,COLUMN())),OFFSET($BN$2,0,0,ROW()-1,60),ROW()-1,FALSE))</f>
        <v>0.85018402400000004</v>
      </c>
      <c r="AG160">
        <f ca="1">IF(AND(ISNUMBER($AG$831),$B$677=1),$AG$831,HLOOKUP(INDIRECT(ADDRESS(2,COLUMN())),OFFSET($BN$2,0,0,ROW()-1,60),ROW()-1,FALSE))</f>
        <v>0.92864676499999999</v>
      </c>
      <c r="AH160">
        <f ca="1">IF(AND(ISNUMBER($AH$831),$B$677=1),$AH$831,HLOOKUP(INDIRECT(ADDRESS(2,COLUMN())),OFFSET($BN$2,0,0,ROW()-1,60),ROW()-1,FALSE))</f>
        <v>1.1227822169999999</v>
      </c>
      <c r="AI160">
        <f ca="1">IF(AND(ISNUMBER($AI$831),$B$677=1),$AI$831,HLOOKUP(INDIRECT(ADDRESS(2,COLUMN())),OFFSET($BN$2,0,0,ROW()-1,60),ROW()-1,FALSE))</f>
        <v>0.95200865199999996</v>
      </c>
      <c r="AJ160">
        <f ca="1">IF(AND(ISNUMBER($AJ$831),$B$677=1),$AJ$831,HLOOKUP(INDIRECT(ADDRESS(2,COLUMN())),OFFSET($BN$2,0,0,ROW()-1,60),ROW()-1,FALSE))</f>
        <v>1.0253543629999999</v>
      </c>
      <c r="AK160">
        <f ca="1">IF(AND(ISNUMBER($AK$831),$B$677=1),$AK$831,HLOOKUP(INDIRECT(ADDRESS(2,COLUMN())),OFFSET($BN$2,0,0,ROW()-1,60),ROW()-1,FALSE))</f>
        <v>1.021523841</v>
      </c>
      <c r="AL160">
        <f ca="1">IF(AND(ISNUMBER($AL$831),$B$677=1),$AL$831,HLOOKUP(INDIRECT(ADDRESS(2,COLUMN())),OFFSET($BN$2,0,0,ROW()-1,60),ROW()-1,FALSE))</f>
        <v>1.0755555619999999</v>
      </c>
      <c r="AM160">
        <f ca="1">IF(AND(ISNUMBER($AM$831),$B$677=1),$AM$831,HLOOKUP(INDIRECT(ADDRESS(2,COLUMN())),OFFSET($BN$2,0,0,ROW()-1,60),ROW()-1,FALSE))</f>
        <v>1.17843897</v>
      </c>
      <c r="AN160">
        <f ca="1">IF(AND(ISNUMBER($AN$831),$B$677=1),$AN$831,HLOOKUP(INDIRECT(ADDRESS(2,COLUMN())),OFFSET($BN$2,0,0,ROW()-1,60),ROW()-1,FALSE))</f>
        <v>1.039762635</v>
      </c>
      <c r="AO160">
        <f ca="1">IF(AND(ISNUMBER($AO$831),$B$677=1),$AO$831,HLOOKUP(INDIRECT(ADDRESS(2,COLUMN())),OFFSET($BN$2,0,0,ROW()-1,60),ROW()-1,FALSE))</f>
        <v>1.049227433</v>
      </c>
      <c r="AP160">
        <f ca="1">IF(AND(ISNUMBER($AP$831),$B$677=1),$AP$831,HLOOKUP(INDIRECT(ADDRESS(2,COLUMN())),OFFSET($BN$2,0,0,ROW()-1,60),ROW()-1,FALSE))</f>
        <v>1.207730371</v>
      </c>
      <c r="AQ160">
        <f ca="1">IF(AND(ISNUMBER($AQ$831),$B$677=1),$AQ$831,HLOOKUP(INDIRECT(ADDRESS(2,COLUMN())),OFFSET($BN$2,0,0,ROW()-1,60),ROW()-1,FALSE))</f>
        <v>1.4575766029999999</v>
      </c>
      <c r="AR160">
        <f ca="1">IF(AND(ISNUMBER($AR$831),$B$677=1),$AR$831,HLOOKUP(INDIRECT(ADDRESS(2,COLUMN())),OFFSET($BN$2,0,0,ROW()-1,60),ROW()-1,FALSE))</f>
        <v>1.357361727</v>
      </c>
      <c r="AS160">
        <f ca="1">IF(AND(ISNUMBER($AS$831),$B$677=1),$AS$831,HLOOKUP(INDIRECT(ADDRESS(2,COLUMN())),OFFSET($BN$2,0,0,ROW()-1,60),ROW()-1,FALSE))</f>
        <v>1.4069296929999999</v>
      </c>
      <c r="AT160">
        <f ca="1">IF(AND(ISNUMBER($AT$831),$B$677=1),$AT$831,HLOOKUP(INDIRECT(ADDRESS(2,COLUMN())),OFFSET($BN$2,0,0,ROW()-1,60),ROW()-1,FALSE))</f>
        <v>1.1072603169999999</v>
      </c>
      <c r="AU160">
        <f ca="1">IF(AND(ISNUMBER($AU$831),$B$677=1),$AU$831,HLOOKUP(INDIRECT(ADDRESS(2,COLUMN())),OFFSET($BN$2,0,0,ROW()-1,60),ROW()-1,FALSE))</f>
        <v>0.81606683499999999</v>
      </c>
      <c r="AV160">
        <f ca="1">IF(AND(ISNUMBER($AV$831),$B$677=1),$AV$831,HLOOKUP(INDIRECT(ADDRESS(2,COLUMN())),OFFSET($BN$2,0,0,ROW()-1,60),ROW()-1,FALSE))</f>
        <v>1.137755353</v>
      </c>
      <c r="AW160">
        <f ca="1">IF(AND(ISNUMBER($AW$831),$B$677=1),$AW$831,HLOOKUP(INDIRECT(ADDRESS(2,COLUMN())),OFFSET($BN$2,0,0,ROW()-1,60),ROW()-1,FALSE))</f>
        <v>1.419324695</v>
      </c>
      <c r="AX160">
        <f ca="1">IF(AND(ISNUMBER($AX$831),$B$677=1),$AX$831,HLOOKUP(INDIRECT(ADDRESS(2,COLUMN())),OFFSET($BN$2,0,0,ROW()-1,60),ROW()-1,FALSE))</f>
        <v>1.456952354</v>
      </c>
      <c r="AY160">
        <f ca="1">IF(AND(ISNUMBER($AY$831),$B$677=1),$AY$831,HLOOKUP(INDIRECT(ADDRESS(2,COLUMN())),OFFSET($BN$2,0,0,ROW()-1,60),ROW()-1,FALSE))</f>
        <v>1.886169397</v>
      </c>
      <c r="AZ160">
        <f ca="1">IF(AND(ISNUMBER($AZ$831),$B$677=1),$AZ$831,HLOOKUP(INDIRECT(ADDRESS(2,COLUMN())),OFFSET($BN$2,0,0,ROW()-1,60),ROW()-1,FALSE))</f>
        <v>1.9174939630000001</v>
      </c>
      <c r="BA160">
        <f ca="1">IF(AND(ISNUMBER($BA$831),$B$677=1),$BA$831,HLOOKUP(INDIRECT(ADDRESS(2,COLUMN())),OFFSET($BN$2,0,0,ROW()-1,60),ROW()-1,FALSE))</f>
        <v>1.9932091729999999</v>
      </c>
      <c r="BB160">
        <f ca="1">IF(AND(ISNUMBER($BB$831),$B$677=1),$BB$831,HLOOKUP(INDIRECT(ADDRESS(2,COLUMN())),OFFSET($BN$2,0,0,ROW()-1,60),ROW()-1,FALSE))</f>
        <v>1.860675817</v>
      </c>
      <c r="BC160">
        <f ca="1">IF(AND(ISNUMBER($BC$831),$B$677=1),$BC$831,HLOOKUP(INDIRECT(ADDRESS(2,COLUMN())),OFFSET($BN$2,0,0,ROW()-1,60),ROW()-1,FALSE))</f>
        <v>2.166945095</v>
      </c>
      <c r="BD160">
        <f ca="1">IF(AND(ISNUMBER($BD$831),$B$677=1),$BD$831,HLOOKUP(INDIRECT(ADDRESS(2,COLUMN())),OFFSET($BN$2,0,0,ROW()-1,60),ROW()-1,FALSE))</f>
        <v>2.0372926520000001</v>
      </c>
      <c r="BE160">
        <f ca="1">IF(AND(ISNUMBER($BE$831),$B$677=1),$BE$831,HLOOKUP(INDIRECT(ADDRESS(2,COLUMN())),OFFSET($BN$2,0,0,ROW()-1,60),ROW()-1,FALSE))</f>
        <v>1.739173184</v>
      </c>
      <c r="BF160">
        <f ca="1">IF(AND(ISNUMBER($BF$831),$B$677=1),$BF$831,HLOOKUP(INDIRECT(ADDRESS(2,COLUMN())),OFFSET($BN$2,0,0,ROW()-1,60),ROW()-1,FALSE))</f>
        <v>1.9353225009999999</v>
      </c>
      <c r="BG160">
        <f ca="1">IF(AND(ISNUMBER($BG$831),$B$677=1),$BG$831,HLOOKUP(INDIRECT(ADDRESS(2,COLUMN())),OFFSET($BN$2,0,0,ROW()-1,60),ROW()-1,FALSE))</f>
        <v>1.424938059</v>
      </c>
      <c r="BH160">
        <f ca="1">IF(AND(ISNUMBER($BH$831),$B$677=1),$BH$831,HLOOKUP(INDIRECT(ADDRESS(2,COLUMN())),OFFSET($BN$2,0,0,ROW()-1,60),ROW()-1,FALSE))</f>
        <v>1.424123153</v>
      </c>
      <c r="BI160">
        <f ca="1">IF(AND(ISNUMBER($BI$831),$B$677=1),$BI$831,HLOOKUP(INDIRECT(ADDRESS(2,COLUMN())),OFFSET($BN$2,0,0,ROW()-1,60),ROW()-1,FALSE))</f>
        <v>1.237178355</v>
      </c>
      <c r="BJ160">
        <f ca="1">IF(AND(ISNUMBER($BJ$831),$B$677=1),$BJ$831,HLOOKUP(INDIRECT(ADDRESS(2,COLUMN())),OFFSET($BN$2,0,0,ROW()-1,60),ROW()-1,FALSE))</f>
        <v>1.3708307829999999</v>
      </c>
      <c r="BK160">
        <f ca="1">IF(AND(ISNUMBER($BK$831),$B$677=1),$BK$831,HLOOKUP(INDIRECT(ADDRESS(2,COLUMN())),OFFSET($BN$2,0,0,ROW()-1,60),ROW()-1,FALSE))</f>
        <v>1.392633083</v>
      </c>
      <c r="BL160">
        <f ca="1">IF(AND(ISNUMBER($BL$831),$B$677=1),$BL$831,HLOOKUP(INDIRECT(ADDRESS(2,COLUMN())),OFFSET($BN$2,0,0,ROW()-1,60),ROW()-1,FALSE))</f>
        <v>1.3434550279999999</v>
      </c>
      <c r="BM160">
        <f ca="1">IF(AND(ISNUMBER($BM$831),$B$677=1),$BM$831,HLOOKUP(INDIRECT(ADDRESS(2,COLUMN())),OFFSET($BN$2,0,0,ROW()-1,60),ROW()-1,FALSE))</f>
        <v>1.488013727</v>
      </c>
      <c r="BN160">
        <f>1.923012377</f>
        <v>1.9230123770000001</v>
      </c>
      <c r="BO160">
        <f>1.852788145</f>
        <v>1.8527881450000001</v>
      </c>
      <c r="BP160">
        <f>2.170386218</f>
        <v>2.170386218</v>
      </c>
      <c r="BQ160">
        <f>2.020872316</f>
        <v>2.0208723160000002</v>
      </c>
      <c r="BR160">
        <f>1.950549137</f>
        <v>1.9505491370000001</v>
      </c>
      <c r="BS160">
        <f>2.19942725</f>
        <v>2.1994272499999998</v>
      </c>
      <c r="BT160">
        <f>2.093551374</f>
        <v>2.093551374</v>
      </c>
      <c r="BU160">
        <f>1.980160874</f>
        <v>1.9801608740000001</v>
      </c>
      <c r="BV160">
        <f>1.820824712</f>
        <v>1.8208247120000001</v>
      </c>
      <c r="BW160">
        <f>1.655714679</f>
        <v>1.6557146789999999</v>
      </c>
      <c r="BX160">
        <f>1.526322338</f>
        <v>1.5263223379999999</v>
      </c>
      <c r="BY160">
        <f>1.323372662</f>
        <v>1.3233726619999999</v>
      </c>
      <c r="BZ160">
        <f>1.386817622</f>
        <v>1.3868176219999999</v>
      </c>
      <c r="CA160">
        <f>1.609651323</f>
        <v>1.609651323</v>
      </c>
      <c r="CB160">
        <f>1.643372141</f>
        <v>1.643372141</v>
      </c>
      <c r="CC160">
        <f>1.533123279</f>
        <v>1.533123279</v>
      </c>
      <c r="CD160">
        <f>1.367109727</f>
        <v>1.3671097270000001</v>
      </c>
      <c r="CE160">
        <f>1.397987548</f>
        <v>1.3979875479999999</v>
      </c>
      <c r="CF160">
        <f>1.476177913</f>
        <v>1.4761779129999999</v>
      </c>
      <c r="CG160">
        <f>1.328317161</f>
        <v>1.328317161</v>
      </c>
      <c r="CH160">
        <f>1.138953552</f>
        <v>1.138953552</v>
      </c>
      <c r="CI160">
        <f>1.215587072</f>
        <v>1.2155870719999999</v>
      </c>
      <c r="CJ160">
        <f>1.071303594</f>
        <v>1.071303594</v>
      </c>
      <c r="CK160">
        <f>1.068286678</f>
        <v>1.068286678</v>
      </c>
      <c r="CL160">
        <f>1.032387103</f>
        <v>1.032387103</v>
      </c>
      <c r="CM160">
        <f>1.197554948</f>
        <v>1.1975549480000001</v>
      </c>
      <c r="CN160">
        <f>0.850184024</f>
        <v>0.85018402400000004</v>
      </c>
      <c r="CO160">
        <f>0.928646765</f>
        <v>0.92864676499999999</v>
      </c>
      <c r="CP160">
        <f>1.122782217</f>
        <v>1.1227822169999999</v>
      </c>
      <c r="CQ160">
        <f>0.952008652</f>
        <v>0.95200865199999996</v>
      </c>
      <c r="CR160">
        <f>1.025354363</f>
        <v>1.0253543629999999</v>
      </c>
      <c r="CS160">
        <f>1.021523841</f>
        <v>1.021523841</v>
      </c>
      <c r="CT160">
        <f>1.075555562</f>
        <v>1.0755555619999999</v>
      </c>
      <c r="CU160">
        <f>1.17843897</f>
        <v>1.17843897</v>
      </c>
      <c r="CV160">
        <f>1.039762635</f>
        <v>1.039762635</v>
      </c>
      <c r="CW160">
        <f>1.049227433</f>
        <v>1.049227433</v>
      </c>
      <c r="CX160">
        <f>1.207730371</f>
        <v>1.207730371</v>
      </c>
      <c r="CY160">
        <f>1.457576603</f>
        <v>1.4575766029999999</v>
      </c>
      <c r="CZ160">
        <f>1.357361727</f>
        <v>1.357361727</v>
      </c>
      <c r="DA160">
        <f>1.406929693</f>
        <v>1.4069296929999999</v>
      </c>
      <c r="DB160">
        <f>1.107260317</f>
        <v>1.1072603169999999</v>
      </c>
      <c r="DC160">
        <f>0.816066835</f>
        <v>0.81606683499999999</v>
      </c>
      <c r="DD160">
        <f>1.137755353</f>
        <v>1.137755353</v>
      </c>
      <c r="DE160">
        <f>1.419324695</f>
        <v>1.419324695</v>
      </c>
      <c r="DF160">
        <f>1.456952354</f>
        <v>1.456952354</v>
      </c>
      <c r="DG160">
        <f>1.886169397</f>
        <v>1.886169397</v>
      </c>
      <c r="DH160">
        <f>1.917493963</f>
        <v>1.9174939630000001</v>
      </c>
      <c r="DI160">
        <f>1.993209173</f>
        <v>1.9932091729999999</v>
      </c>
      <c r="DJ160">
        <f>1.860675817</f>
        <v>1.860675817</v>
      </c>
      <c r="DK160">
        <f>2.166945095</f>
        <v>2.166945095</v>
      </c>
      <c r="DL160">
        <f>2.037292652</f>
        <v>2.0372926520000001</v>
      </c>
      <c r="DM160">
        <f>1.739173184</f>
        <v>1.739173184</v>
      </c>
      <c r="DN160">
        <f>1.935322501</f>
        <v>1.9353225009999999</v>
      </c>
      <c r="DO160">
        <f>1.424938059</f>
        <v>1.424938059</v>
      </c>
      <c r="DP160">
        <f>1.424123153</f>
        <v>1.424123153</v>
      </c>
      <c r="DQ160">
        <f>1.237178355</f>
        <v>1.237178355</v>
      </c>
      <c r="DR160">
        <f>1.370830783</f>
        <v>1.3708307829999999</v>
      </c>
      <c r="DS160">
        <f>1.392633083</f>
        <v>1.392633083</v>
      </c>
      <c r="DT160">
        <f>1.343455028</f>
        <v>1.3434550279999999</v>
      </c>
      <c r="DU160">
        <f>1.488013727</f>
        <v>1.488013727</v>
      </c>
    </row>
    <row r="161" spans="1:125" x14ac:dyDescent="0.25">
      <c r="A161" t="str">
        <f>"    Tata Motors Ltd"</f>
        <v xml:space="preserve">    Tata Motors Ltd</v>
      </c>
      <c r="B161" t="str">
        <f>"TTMT IN Equity"</f>
        <v>TTMT IN Equity</v>
      </c>
      <c r="C161" t="str">
        <f t="shared" si="9"/>
        <v>RR903</v>
      </c>
      <c r="D161" t="str">
        <f t="shared" si="10"/>
        <v>PX_TO_BOOK_RATIO</v>
      </c>
      <c r="E161" t="str">
        <f t="shared" si="11"/>
        <v>Dynamic</v>
      </c>
      <c r="F161" t="str">
        <f ca="1">IF(AND(ISNUMBER($F$832),$B$677=1),$F$832,HLOOKUP(INDIRECT(ADDRESS(2,COLUMN())),OFFSET($BN$2,0,0,ROW()-1,60),ROW()-1,FALSE))</f>
        <v/>
      </c>
      <c r="G161">
        <f ca="1">IF(AND(ISNUMBER($G$832),$B$677=1),$G$832,HLOOKUP(INDIRECT(ADDRESS(2,COLUMN())),OFFSET($BN$2,0,0,ROW()-1,60),ROW()-1,FALSE))</f>
        <v>0.61018851799999996</v>
      </c>
      <c r="H161">
        <f ca="1">IF(AND(ISNUMBER($H$832),$B$677=1),$H$832,HLOOKUP(INDIRECT(ADDRESS(2,COLUMN())),OFFSET($BN$2,0,0,ROW()-1,60),ROW()-1,FALSE))</f>
        <v>0.79894159399999998</v>
      </c>
      <c r="I161">
        <f ca="1">IF(AND(ISNUMBER($I$832),$B$677=1),$I$832,HLOOKUP(INDIRECT(ADDRESS(2,COLUMN())),OFFSET($BN$2,0,0,ROW()-1,60),ROW()-1,FALSE))</f>
        <v>0.937345396</v>
      </c>
      <c r="J161">
        <f ca="1">IF(AND(ISNUMBER($J$832),$B$677=1),$J$832,HLOOKUP(INDIRECT(ADDRESS(2,COLUMN())),OFFSET($BN$2,0,0,ROW()-1,60),ROW()-1,FALSE))</f>
        <v>1.1633618480000001</v>
      </c>
      <c r="K161">
        <f ca="1">IF(AND(ISNUMBER($K$832),$B$677=1),$K$832,HLOOKUP(INDIRECT(ADDRESS(2,COLUMN())),OFFSET($BN$2,0,0,ROW()-1,60),ROW()-1,FALSE))</f>
        <v>1.7978043029999999</v>
      </c>
      <c r="L161">
        <f ca="1">IF(AND(ISNUMBER($L$832),$B$677=1),$L$832,HLOOKUP(INDIRECT(ADDRESS(2,COLUMN())),OFFSET($BN$2,0,0,ROW()-1,60),ROW()-1,FALSE))</f>
        <v>1.724363181</v>
      </c>
      <c r="M161">
        <f ca="1">IF(AND(ISNUMBER($M$832),$B$677=1),$M$832,HLOOKUP(INDIRECT(ADDRESS(2,COLUMN())),OFFSET($BN$2,0,0,ROW()-1,60),ROW()-1,FALSE))</f>
        <v>2.5482289339999999</v>
      </c>
      <c r="N161">
        <f ca="1">IF(AND(ISNUMBER($N$832),$B$677=1),$N$832,HLOOKUP(INDIRECT(ADDRESS(2,COLUMN())),OFFSET($BN$2,0,0,ROW()-1,60),ROW()-1,FALSE))</f>
        <v>2.725189276</v>
      </c>
      <c r="O161">
        <f ca="1">IF(AND(ISNUMBER($O$832),$B$677=1),$O$832,HLOOKUP(INDIRECT(ADDRESS(2,COLUMN())),OFFSET($BN$2,0,0,ROW()-1,60),ROW()-1,FALSE))</f>
        <v>2.9235228950000001</v>
      </c>
      <c r="P161">
        <f ca="1">IF(AND(ISNUMBER($P$832),$B$677=1),$P$832,HLOOKUP(INDIRECT(ADDRESS(2,COLUMN())),OFFSET($BN$2,0,0,ROW()-1,60),ROW()-1,FALSE))</f>
        <v>3.3205483550000001</v>
      </c>
      <c r="Q161">
        <f ca="1">IF(AND(ISNUMBER($Q$832),$B$677=1),$Q$832,HLOOKUP(INDIRECT(ADDRESS(2,COLUMN())),OFFSET($BN$2,0,0,ROW()-1,60),ROW()-1,FALSE))</f>
        <v>1.9240958290000001</v>
      </c>
      <c r="R161">
        <f ca="1">IF(AND(ISNUMBER($R$832),$B$677=1),$R$832,HLOOKUP(INDIRECT(ADDRESS(2,COLUMN())),OFFSET($BN$2,0,0,ROW()-1,60),ROW()-1,FALSE))</f>
        <v>1.6631759580000001</v>
      </c>
      <c r="S161">
        <f ca="1">IF(AND(ISNUMBER($S$832),$B$677=1),$S$832,HLOOKUP(INDIRECT(ADDRESS(2,COLUMN())),OFFSET($BN$2,0,0,ROW()-1,60),ROW()-1,FALSE))</f>
        <v>1.6506422860000001</v>
      </c>
      <c r="T161">
        <f ca="1">IF(AND(ISNUMBER($T$832),$B$677=1),$T$832,HLOOKUP(INDIRECT(ADDRESS(2,COLUMN())),OFFSET($BN$2,0,0,ROW()-1,60),ROW()-1,FALSE))</f>
        <v>1.2527177190000001</v>
      </c>
      <c r="U161">
        <f ca="1">IF(AND(ISNUMBER($U$832),$B$677=1),$U$832,HLOOKUP(INDIRECT(ADDRESS(2,COLUMN())),OFFSET($BN$2,0,0,ROW()-1,60),ROW()-1,FALSE))</f>
        <v>2.476247184</v>
      </c>
      <c r="V161">
        <f ca="1">IF(AND(ISNUMBER($V$832),$B$677=1),$V$832,HLOOKUP(INDIRECT(ADDRESS(2,COLUMN())),OFFSET($BN$2,0,0,ROW()-1,60),ROW()-1,FALSE))</f>
        <v>3.1476312449999999</v>
      </c>
      <c r="W161">
        <f ca="1">IF(AND(ISNUMBER($W$832),$B$677=1),$W$832,HLOOKUP(INDIRECT(ADDRESS(2,COLUMN())),OFFSET($BN$2,0,0,ROW()-1,60),ROW()-1,FALSE))</f>
        <v>2.3430718449999999</v>
      </c>
      <c r="X161">
        <f ca="1">IF(AND(ISNUMBER($X$832),$B$677=1),$X$832,HLOOKUP(INDIRECT(ADDRESS(2,COLUMN())),OFFSET($BN$2,0,0,ROW()-1,60),ROW()-1,FALSE))</f>
        <v>2.3829337260000001</v>
      </c>
      <c r="Y161">
        <f ca="1">IF(AND(ISNUMBER($Y$832),$B$677=1),$Y$832,HLOOKUP(INDIRECT(ADDRESS(2,COLUMN())),OFFSET($BN$2,0,0,ROW()-1,60),ROW()-1,FALSE))</f>
        <v>2.1212243059999998</v>
      </c>
      <c r="Z161">
        <f ca="1">IF(AND(ISNUMBER($Z$832),$B$677=1),$Z$832,HLOOKUP(INDIRECT(ADDRESS(2,COLUMN())),OFFSET($BN$2,0,0,ROW()-1,60),ROW()-1,FALSE))</f>
        <v>1.955883126</v>
      </c>
      <c r="AA161">
        <f ca="1">IF(AND(ISNUMBER($AA$832),$B$677=1),$AA$832,HLOOKUP(INDIRECT(ADDRESS(2,COLUMN())),OFFSET($BN$2,0,0,ROW()-1,60),ROW()-1,FALSE))</f>
        <v>2.1833591860000001</v>
      </c>
      <c r="AB161">
        <f ca="1">IF(AND(ISNUMBER($AB$832),$B$677=1),$AB$832,HLOOKUP(INDIRECT(ADDRESS(2,COLUMN())),OFFSET($BN$2,0,0,ROW()-1,60),ROW()-1,FALSE))</f>
        <v>1.936944848</v>
      </c>
      <c r="AC161">
        <f ca="1">IF(AND(ISNUMBER($AC$832),$B$677=1),$AC$832,HLOOKUP(INDIRECT(ADDRESS(2,COLUMN())),OFFSET($BN$2,0,0,ROW()-1,60),ROW()-1,FALSE))</f>
        <v>2.2910471600000002</v>
      </c>
      <c r="AD161">
        <f ca="1">IF(AND(ISNUMBER($AD$832),$B$677=1),$AD$832,HLOOKUP(INDIRECT(ADDRESS(2,COLUMN())),OFFSET($BN$2,0,0,ROW()-1,60),ROW()-1,FALSE))</f>
        <v>2.2812998269999998</v>
      </c>
      <c r="AE161">
        <f ca="1">IF(AND(ISNUMBER($AE$832),$B$677=1),$AE$832,HLOOKUP(INDIRECT(ADDRESS(2,COLUMN())),OFFSET($BN$2,0,0,ROW()-1,60),ROW()-1,FALSE))</f>
        <v>2.4509374259999999</v>
      </c>
      <c r="AF161">
        <f ca="1">IF(AND(ISNUMBER($AF$832),$B$677=1),$AF$832,HLOOKUP(INDIRECT(ADDRESS(2,COLUMN())),OFFSET($BN$2,0,0,ROW()-1,60),ROW()-1,FALSE))</f>
        <v>2.1149759979999998</v>
      </c>
      <c r="AG161">
        <f ca="1">IF(AND(ISNUMBER($AG$832),$B$677=1),$AG$832,HLOOKUP(INDIRECT(ADDRESS(2,COLUMN())),OFFSET($BN$2,0,0,ROW()-1,60),ROW()-1,FALSE))</f>
        <v>2.332712259</v>
      </c>
      <c r="AH161">
        <f ca="1">IF(AND(ISNUMBER($AH$832),$B$677=1),$AH$832,HLOOKUP(INDIRECT(ADDRESS(2,COLUMN())),OFFSET($BN$2,0,0,ROW()-1,60),ROW()-1,FALSE))</f>
        <v>2.671433532</v>
      </c>
      <c r="AI161">
        <f ca="1">IF(AND(ISNUMBER($AI$832),$B$677=1),$AI$832,HLOOKUP(INDIRECT(ADDRESS(2,COLUMN())),OFFSET($BN$2,0,0,ROW()-1,60),ROW()-1,FALSE))</f>
        <v>2.4616784260000002</v>
      </c>
      <c r="AJ161">
        <f ca="1">IF(AND(ISNUMBER($AJ$832),$B$677=1),$AJ$832,HLOOKUP(INDIRECT(ADDRESS(2,COLUMN())),OFFSET($BN$2,0,0,ROW()-1,60),ROW()-1,FALSE))</f>
        <v>2.1442641280000001</v>
      </c>
      <c r="AK161">
        <f ca="1">IF(AND(ISNUMBER($AK$832),$B$677=1),$AK$832,HLOOKUP(INDIRECT(ADDRESS(2,COLUMN())),OFFSET($BN$2,0,0,ROW()-1,60),ROW()-1,FALSE))</f>
        <v>3.300765878</v>
      </c>
      <c r="AL161">
        <f ca="1">IF(AND(ISNUMBER($AL$832),$B$677=1),$AL$832,HLOOKUP(INDIRECT(ADDRESS(2,COLUMN())),OFFSET($BN$2,0,0,ROW()-1,60),ROW()-1,FALSE))</f>
        <v>4.1322881049999998</v>
      </c>
      <c r="AM161">
        <f ca="1">IF(AND(ISNUMBER($AM$832),$B$677=1),$AM$832,HLOOKUP(INDIRECT(ADDRESS(2,COLUMN())),OFFSET($BN$2,0,0,ROW()-1,60),ROW()-1,FALSE))</f>
        <v>5.9481915660000002</v>
      </c>
      <c r="AN161">
        <f ca="1">IF(AND(ISNUMBER($AN$832),$B$677=1),$AN$832,HLOOKUP(INDIRECT(ADDRESS(2,COLUMN())),OFFSET($BN$2,0,0,ROW()-1,60),ROW()-1,FALSE))</f>
        <v>5.0238119899999996</v>
      </c>
      <c r="AO161">
        <f ca="1">IF(AND(ISNUMBER($AO$832),$B$677=1),$AO$832,HLOOKUP(INDIRECT(ADDRESS(2,COLUMN())),OFFSET($BN$2,0,0,ROW()-1,60),ROW()-1,FALSE))</f>
        <v>5.36004887</v>
      </c>
      <c r="AP161">
        <f ca="1">IF(AND(ISNUMBER($AP$832),$B$677=1),$AP$832,HLOOKUP(INDIRECT(ADDRESS(2,COLUMN())),OFFSET($BN$2,0,0,ROW()-1,60),ROW()-1,FALSE))</f>
        <v>5.2679279189999999</v>
      </c>
      <c r="AQ161" t="str">
        <f ca="1">IF(AND(ISNUMBER($AQ$832),$B$677=1),$AQ$832,HLOOKUP(INDIRECT(ADDRESS(2,COLUMN())),OFFSET($BN$2,0,0,ROW()-1,60),ROW()-1,FALSE))</f>
        <v/>
      </c>
      <c r="AR161" t="str">
        <f ca="1">IF(AND(ISNUMBER($AR$832),$B$677=1),$AR$832,HLOOKUP(INDIRECT(ADDRESS(2,COLUMN())),OFFSET($BN$2,0,0,ROW()-1,60),ROW()-1,FALSE))</f>
        <v/>
      </c>
      <c r="AS161">
        <f ca="1">IF(AND(ISNUMBER($AS$832),$B$677=1),$AS$832,HLOOKUP(INDIRECT(ADDRESS(2,COLUMN())),OFFSET($BN$2,0,0,ROW()-1,60),ROW()-1,FALSE))</f>
        <v>2.7159903609999998</v>
      </c>
      <c r="AT161">
        <f ca="1">IF(AND(ISNUMBER($AT$832),$B$677=1),$AT$832,HLOOKUP(INDIRECT(ADDRESS(2,COLUMN())),OFFSET($BN$2,0,0,ROW()-1,60),ROW()-1,FALSE))</f>
        <v>1.5600288689999999</v>
      </c>
      <c r="AU161" t="str">
        <f ca="1">IF(AND(ISNUMBER($AU$832),$B$677=1),$AU$832,HLOOKUP(INDIRECT(ADDRESS(2,COLUMN())),OFFSET($BN$2,0,0,ROW()-1,60),ROW()-1,FALSE))</f>
        <v/>
      </c>
      <c r="AV161" t="str">
        <f ca="1">IF(AND(ISNUMBER($AV$832),$B$677=1),$AV$832,HLOOKUP(INDIRECT(ADDRESS(2,COLUMN())),OFFSET($BN$2,0,0,ROW()-1,60),ROW()-1,FALSE))</f>
        <v/>
      </c>
      <c r="AW161">
        <f ca="1">IF(AND(ISNUMBER($AW$832),$B$677=1),$AW$832,HLOOKUP(INDIRECT(ADDRESS(2,COLUMN())),OFFSET($BN$2,0,0,ROW()-1,60),ROW()-1,FALSE))</f>
        <v>2.0815932749999999</v>
      </c>
      <c r="AX161">
        <f ca="1">IF(AND(ISNUMBER($AX$832),$B$677=1),$AX$832,HLOOKUP(INDIRECT(ADDRESS(2,COLUMN())),OFFSET($BN$2,0,0,ROW()-1,60),ROW()-1,FALSE))</f>
        <v>2.9170881789999998</v>
      </c>
      <c r="AY161" t="str">
        <f ca="1">IF(AND(ISNUMBER($AY$832),$B$677=1),$AY$832,HLOOKUP(INDIRECT(ADDRESS(2,COLUMN())),OFFSET($BN$2,0,0,ROW()-1,60),ROW()-1,FALSE))</f>
        <v/>
      </c>
      <c r="AZ161" t="str">
        <f ca="1">IF(AND(ISNUMBER($AZ$832),$B$677=1),$AZ$832,HLOOKUP(INDIRECT(ADDRESS(2,COLUMN())),OFFSET($BN$2,0,0,ROW()-1,60),ROW()-1,FALSE))</f>
        <v/>
      </c>
      <c r="BA161" t="str">
        <f ca="1">IF(AND(ISNUMBER($BA$832),$B$677=1),$BA$832,HLOOKUP(INDIRECT(ADDRESS(2,COLUMN())),OFFSET($BN$2,0,0,ROW()-1,60),ROW()-1,FALSE))</f>
        <v/>
      </c>
      <c r="BB161" t="str">
        <f ca="1">IF(AND(ISNUMBER($BB$832),$B$677=1),$BB$832,HLOOKUP(INDIRECT(ADDRESS(2,COLUMN())),OFFSET($BN$2,0,0,ROW()-1,60),ROW()-1,FALSE))</f>
        <v/>
      </c>
      <c r="BC161" t="str">
        <f ca="1">IF(AND(ISNUMBER($BC$832),$B$677=1),$BC$832,HLOOKUP(INDIRECT(ADDRESS(2,COLUMN())),OFFSET($BN$2,0,0,ROW()-1,60),ROW()-1,FALSE))</f>
        <v/>
      </c>
      <c r="BD161" t="str">
        <f ca="1">IF(AND(ISNUMBER($BD$832),$B$677=1),$BD$832,HLOOKUP(INDIRECT(ADDRESS(2,COLUMN())),OFFSET($BN$2,0,0,ROW()-1,60),ROW()-1,FALSE))</f>
        <v/>
      </c>
      <c r="BE161" t="str">
        <f ca="1">IF(AND(ISNUMBER($BE$832),$B$677=1),$BE$832,HLOOKUP(INDIRECT(ADDRESS(2,COLUMN())),OFFSET($BN$2,0,0,ROW()-1,60),ROW()-1,FALSE))</f>
        <v/>
      </c>
      <c r="BF161" t="str">
        <f ca="1">IF(AND(ISNUMBER($BF$832),$B$677=1),$BF$832,HLOOKUP(INDIRECT(ADDRESS(2,COLUMN())),OFFSET($BN$2,0,0,ROW()-1,60),ROW()-1,FALSE))</f>
        <v/>
      </c>
      <c r="BG161" t="str">
        <f ca="1">IF(AND(ISNUMBER($BG$832),$B$677=1),$BG$832,HLOOKUP(INDIRECT(ADDRESS(2,COLUMN())),OFFSET($BN$2,0,0,ROW()-1,60),ROW()-1,FALSE))</f>
        <v/>
      </c>
      <c r="BH161" t="str">
        <f ca="1">IF(AND(ISNUMBER($BH$832),$B$677=1),$BH$832,HLOOKUP(INDIRECT(ADDRESS(2,COLUMN())),OFFSET($BN$2,0,0,ROW()-1,60),ROW()-1,FALSE))</f>
        <v/>
      </c>
      <c r="BI161" t="str">
        <f ca="1">IF(AND(ISNUMBER($BI$832),$B$677=1),$BI$832,HLOOKUP(INDIRECT(ADDRESS(2,COLUMN())),OFFSET($BN$2,0,0,ROW()-1,60),ROW()-1,FALSE))</f>
        <v/>
      </c>
      <c r="BJ161" t="str">
        <f ca="1">IF(AND(ISNUMBER($BJ$832),$B$677=1),$BJ$832,HLOOKUP(INDIRECT(ADDRESS(2,COLUMN())),OFFSET($BN$2,0,0,ROW()-1,60),ROW()-1,FALSE))</f>
        <v/>
      </c>
      <c r="BK161" t="str">
        <f ca="1">IF(AND(ISNUMBER($BK$832),$B$677=1),$BK$832,HLOOKUP(INDIRECT(ADDRESS(2,COLUMN())),OFFSET($BN$2,0,0,ROW()-1,60),ROW()-1,FALSE))</f>
        <v/>
      </c>
      <c r="BL161" t="str">
        <f ca="1">IF(AND(ISNUMBER($BL$832),$B$677=1),$BL$832,HLOOKUP(INDIRECT(ADDRESS(2,COLUMN())),OFFSET($BN$2,0,0,ROW()-1,60),ROW()-1,FALSE))</f>
        <v/>
      </c>
      <c r="BM161" t="str">
        <f ca="1">IF(AND(ISNUMBER($BM$832),$B$677=1),$BM$832,HLOOKUP(INDIRECT(ADDRESS(2,COLUMN())),OFFSET($BN$2,0,0,ROW()-1,60),ROW()-1,FALSE))</f>
        <v/>
      </c>
      <c r="BN161" t="str">
        <f>""</f>
        <v/>
      </c>
      <c r="BO161">
        <f>0.610188518</f>
        <v>0.61018851799999996</v>
      </c>
      <c r="BP161">
        <f>0.798941594</f>
        <v>0.79894159399999998</v>
      </c>
      <c r="BQ161">
        <f>0.937345396</f>
        <v>0.937345396</v>
      </c>
      <c r="BR161">
        <f>1.163361848</f>
        <v>1.1633618480000001</v>
      </c>
      <c r="BS161">
        <f>1.797804303</f>
        <v>1.7978043029999999</v>
      </c>
      <c r="BT161">
        <f>1.724363181</f>
        <v>1.724363181</v>
      </c>
      <c r="BU161">
        <f>2.548228934</f>
        <v>2.5482289339999999</v>
      </c>
      <c r="BV161">
        <f>2.725189276</f>
        <v>2.725189276</v>
      </c>
      <c r="BW161">
        <f>2.923522895</f>
        <v>2.9235228950000001</v>
      </c>
      <c r="BX161">
        <f>3.320548355</f>
        <v>3.3205483550000001</v>
      </c>
      <c r="BY161">
        <f>1.924095829</f>
        <v>1.9240958290000001</v>
      </c>
      <c r="BZ161">
        <f>1.663175958</f>
        <v>1.6631759580000001</v>
      </c>
      <c r="CA161">
        <f>1.650642286</f>
        <v>1.6506422860000001</v>
      </c>
      <c r="CB161">
        <f>1.252717719</f>
        <v>1.2527177190000001</v>
      </c>
      <c r="CC161">
        <f>2.476247184</f>
        <v>2.476247184</v>
      </c>
      <c r="CD161">
        <f>3.147631245</f>
        <v>3.1476312449999999</v>
      </c>
      <c r="CE161">
        <f>2.343071845</f>
        <v>2.3430718449999999</v>
      </c>
      <c r="CF161">
        <f>2.382933726</f>
        <v>2.3829337260000001</v>
      </c>
      <c r="CG161">
        <f>2.121224306</f>
        <v>2.1212243059999998</v>
      </c>
      <c r="CH161">
        <f>1.955883126</f>
        <v>1.955883126</v>
      </c>
      <c r="CI161">
        <f>2.183359186</f>
        <v>2.1833591860000001</v>
      </c>
      <c r="CJ161">
        <f>1.936944848</f>
        <v>1.936944848</v>
      </c>
      <c r="CK161">
        <f>2.29104716</f>
        <v>2.2910471600000002</v>
      </c>
      <c r="CL161">
        <f>2.281299827</f>
        <v>2.2812998269999998</v>
      </c>
      <c r="CM161">
        <f>2.450937426</f>
        <v>2.4509374259999999</v>
      </c>
      <c r="CN161">
        <f>2.114975998</f>
        <v>2.1149759979999998</v>
      </c>
      <c r="CO161">
        <f>2.332712259</f>
        <v>2.332712259</v>
      </c>
      <c r="CP161">
        <f>2.671433532</f>
        <v>2.671433532</v>
      </c>
      <c r="CQ161">
        <f>2.461678426</f>
        <v>2.4616784260000002</v>
      </c>
      <c r="CR161">
        <f>2.144264128</f>
        <v>2.1442641280000001</v>
      </c>
      <c r="CS161">
        <f>3.300765878</f>
        <v>3.300765878</v>
      </c>
      <c r="CT161">
        <f>4.132288105</f>
        <v>4.1322881049999998</v>
      </c>
      <c r="CU161">
        <f>5.948191566</f>
        <v>5.9481915660000002</v>
      </c>
      <c r="CV161">
        <f>5.02381199</f>
        <v>5.0238119899999996</v>
      </c>
      <c r="CW161">
        <f>5.36004887</f>
        <v>5.36004887</v>
      </c>
      <c r="CX161">
        <f>5.267927919</f>
        <v>5.2679279189999999</v>
      </c>
      <c r="CY161" t="str">
        <f>""</f>
        <v/>
      </c>
      <c r="CZ161" t="str">
        <f>""</f>
        <v/>
      </c>
      <c r="DA161">
        <f>2.715990361</f>
        <v>2.7159903609999998</v>
      </c>
      <c r="DB161">
        <f>1.560028869</f>
        <v>1.5600288689999999</v>
      </c>
      <c r="DC161" t="str">
        <f>""</f>
        <v/>
      </c>
      <c r="DD161" t="str">
        <f>""</f>
        <v/>
      </c>
      <c r="DE161">
        <f>2.081593275</f>
        <v>2.0815932749999999</v>
      </c>
      <c r="DF161">
        <f>2.917088179</f>
        <v>2.9170881789999998</v>
      </c>
      <c r="DG161" t="str">
        <f>""</f>
        <v/>
      </c>
      <c r="DH161" t="str">
        <f>""</f>
        <v/>
      </c>
      <c r="DI161" t="str">
        <f>""</f>
        <v/>
      </c>
      <c r="DJ161" t="str">
        <f>""</f>
        <v/>
      </c>
      <c r="DK161" t="str">
        <f>""</f>
        <v/>
      </c>
      <c r="DL161" t="str">
        <f>""</f>
        <v/>
      </c>
      <c r="DM161" t="str">
        <f>""</f>
        <v/>
      </c>
      <c r="DN161" t="str">
        <f>""</f>
        <v/>
      </c>
      <c r="DO161" t="str">
        <f>""</f>
        <v/>
      </c>
      <c r="DP161" t="str">
        <f>""</f>
        <v/>
      </c>
      <c r="DQ161" t="str">
        <f>""</f>
        <v/>
      </c>
      <c r="DR161" t="str">
        <f>""</f>
        <v/>
      </c>
      <c r="DS161" t="str">
        <f>""</f>
        <v/>
      </c>
      <c r="DT161" t="str">
        <f>""</f>
        <v/>
      </c>
      <c r="DU161" t="str">
        <f>""</f>
        <v/>
      </c>
    </row>
    <row r="162" spans="1:125" x14ac:dyDescent="0.25">
      <c r="A162" t="str">
        <f>"    Tesla Inc"</f>
        <v xml:space="preserve">    Tesla Inc</v>
      </c>
      <c r="B162" t="str">
        <f>"TSLA US Equity"</f>
        <v>TSLA US Equity</v>
      </c>
      <c r="C162" t="str">
        <f t="shared" si="9"/>
        <v>RR903</v>
      </c>
      <c r="D162" t="str">
        <f t="shared" si="10"/>
        <v>PX_TO_BOOK_RATIO</v>
      </c>
      <c r="E162" t="str">
        <f t="shared" si="11"/>
        <v>Dynamic</v>
      </c>
      <c r="F162">
        <f ca="1">IF(AND(ISNUMBER($F$833),$B$677=1),$F$833,HLOOKUP(INDIRECT(ADDRESS(2,COLUMN())),OFFSET($BN$2,0,0,ROW()-1,60),ROW()-1,FALSE))</f>
        <v>10.3245539</v>
      </c>
      <c r="G162">
        <f ca="1">IF(AND(ISNUMBER($G$833),$B$677=1),$G$833,HLOOKUP(INDIRECT(ADDRESS(2,COLUMN())),OFFSET($BN$2,0,0,ROW()-1,60),ROW()-1,FALSE))</f>
        <v>11.667569200000001</v>
      </c>
      <c r="H162">
        <f ca="1">IF(AND(ISNUMBER($H$833),$B$677=1),$H$833,HLOOKUP(INDIRECT(ADDRESS(2,COLUMN())),OFFSET($BN$2,0,0,ROW()-1,60),ROW()-1,FALSE))</f>
        <v>10.07547999</v>
      </c>
      <c r="I162">
        <f ca="1">IF(AND(ISNUMBER($I$833),$B$677=1),$I$833,HLOOKUP(INDIRECT(ADDRESS(2,COLUMN())),OFFSET($BN$2,0,0,ROW()-1,60),ROW()-1,FALSE))</f>
        <v>14.969830999999999</v>
      </c>
      <c r="J162">
        <f ca="1">IF(AND(ISNUMBER($J$833),$B$677=1),$J$833,HLOOKUP(INDIRECT(ADDRESS(2,COLUMN())),OFFSET($BN$2,0,0,ROW()-1,60),ROW()-1,FALSE))</f>
        <v>10.1502231</v>
      </c>
      <c r="K162">
        <f ca="1">IF(AND(ISNUMBER($K$833),$B$677=1),$K$833,HLOOKUP(INDIRECT(ADDRESS(2,COLUMN())),OFFSET($BN$2,0,0,ROW()-1,60),ROW()-1,FALSE))</f>
        <v>12.40289739</v>
      </c>
      <c r="L162">
        <f ca="1">IF(AND(ISNUMBER($L$833),$B$677=1),$L$833,HLOOKUP(INDIRECT(ADDRESS(2,COLUMN())),OFFSET($BN$2,0,0,ROW()-1,60),ROW()-1,FALSE))</f>
        <v>12.16311148</v>
      </c>
      <c r="M162">
        <f ca="1">IF(AND(ISNUMBER($M$833),$B$677=1),$M$833,HLOOKUP(INDIRECT(ADDRESS(2,COLUMN())),OFFSET($BN$2,0,0,ROW()-1,60),ROW()-1,FALSE))</f>
        <v>11.81400651</v>
      </c>
      <c r="N162">
        <f ca="1">IF(AND(ISNUMBER($N$833),$B$677=1),$N$833,HLOOKUP(INDIRECT(ADDRESS(2,COLUMN())),OFFSET($BN$2,0,0,ROW()-1,60),ROW()-1,FALSE))</f>
        <v>9.1465110920000008</v>
      </c>
      <c r="O162">
        <f ca="1">IF(AND(ISNUMBER($O$833),$B$677=1),$O$833,HLOOKUP(INDIRECT(ADDRESS(2,COLUMN())),OFFSET($BN$2,0,0,ROW()-1,60),ROW()-1,FALSE))</f>
        <v>7.2503530969999996</v>
      </c>
      <c r="P162">
        <f ca="1">IF(AND(ISNUMBER($P$833),$B$677=1),$P$833,HLOOKUP(INDIRECT(ADDRESS(2,COLUMN())),OFFSET($BN$2,0,0,ROW()-1,60),ROW()-1,FALSE))</f>
        <v>11.35644243</v>
      </c>
      <c r="Q162">
        <f ca="1">IF(AND(ISNUMBER($Q$833),$B$677=1),$Q$833,HLOOKUP(INDIRECT(ADDRESS(2,COLUMN())),OFFSET($BN$2,0,0,ROW()-1,60),ROW()-1,FALSE))</f>
        <v>12.285967299999999</v>
      </c>
      <c r="R162">
        <f ca="1">IF(AND(ISNUMBER($R$833),$B$677=1),$R$833,HLOOKUP(INDIRECT(ADDRESS(2,COLUMN())),OFFSET($BN$2,0,0,ROW()-1,60),ROW()-1,FALSE))</f>
        <v>31.69585945</v>
      </c>
      <c r="S162">
        <f ca="1">IF(AND(ISNUMBER($S$833),$B$677=1),$S$833,HLOOKUP(INDIRECT(ADDRESS(2,COLUMN())),OFFSET($BN$2,0,0,ROW()-1,60),ROW()-1,FALSE))</f>
        <v>27.890027450000002</v>
      </c>
      <c r="T162">
        <f ca="1">IF(AND(ISNUMBER($T$833),$B$677=1),$T$833,HLOOKUP(INDIRECT(ADDRESS(2,COLUMN())),OFFSET($BN$2,0,0,ROW()-1,60),ROW()-1,FALSE))</f>
        <v>23.89397731</v>
      </c>
      <c r="U162">
        <f ca="1">IF(AND(ISNUMBER($U$833),$B$677=1),$U$833,HLOOKUP(INDIRECT(ADDRESS(2,COLUMN())),OFFSET($BN$2,0,0,ROW()-1,60),ROW()-1,FALSE))</f>
        <v>47.624641439999998</v>
      </c>
      <c r="V162">
        <f ca="1">IF(AND(ISNUMBER($V$833),$B$677=1),$V$833,HLOOKUP(INDIRECT(ADDRESS(2,COLUMN())),OFFSET($BN$2,0,0,ROW()-1,60),ROW()-1,FALSE))</f>
        <v>27.097712690000002</v>
      </c>
      <c r="W162">
        <f ca="1">IF(AND(ISNUMBER($W$833),$B$677=1),$W$833,HLOOKUP(INDIRECT(ADDRESS(2,COLUMN())),OFFSET($BN$2,0,0,ROW()-1,60),ROW()-1,FALSE))</f>
        <v>30.661263640000001</v>
      </c>
      <c r="X162">
        <f ca="1">IF(AND(ISNUMBER($X$833),$B$677=1),$X$833,HLOOKUP(INDIRECT(ADDRESS(2,COLUMN())),OFFSET($BN$2,0,0,ROW()-1,60),ROW()-1,FALSE))</f>
        <v>29.81986109</v>
      </c>
      <c r="Y162">
        <f ca="1">IF(AND(ISNUMBER($Y$833),$B$677=1),$Y$833,HLOOKUP(INDIRECT(ADDRESS(2,COLUMN())),OFFSET($BN$2,0,0,ROW()-1,60),ROW()-1,FALSE))</f>
        <v>31.405660009999998</v>
      </c>
      <c r="Z162">
        <f ca="1">IF(AND(ISNUMBER($Z$833),$B$677=1),$Z$833,HLOOKUP(INDIRECT(ADDRESS(2,COLUMN())),OFFSET($BN$2,0,0,ROW()-1,60),ROW()-1,FALSE))</f>
        <v>26.330293529999999</v>
      </c>
      <c r="AA162">
        <f ca="1">IF(AND(ISNUMBER($AA$833),$B$677=1),$AA$833,HLOOKUP(INDIRECT(ADDRESS(2,COLUMN())),OFFSET($BN$2,0,0,ROW()-1,60),ROW()-1,FALSE))</f>
        <v>27.75580785</v>
      </c>
      <c r="AB162">
        <f ca="1">IF(AND(ISNUMBER($AB$833),$B$677=1),$AB$833,HLOOKUP(INDIRECT(ADDRESS(2,COLUMN())),OFFSET($BN$2,0,0,ROW()-1,60),ROW()-1,FALSE))</f>
        <v>36.936220990000002</v>
      </c>
      <c r="AC162">
        <f ca="1">IF(AND(ISNUMBER($AC$833),$B$677=1),$AC$833,HLOOKUP(INDIRECT(ADDRESS(2,COLUMN())),OFFSET($BN$2,0,0,ROW()-1,60),ROW()-1,FALSE))</f>
        <v>20.712027840000001</v>
      </c>
      <c r="AD162">
        <f ca="1">IF(AND(ISNUMBER($AD$833),$B$677=1),$AD$833,HLOOKUP(INDIRECT(ADDRESS(2,COLUMN())),OFFSET($BN$2,0,0,ROW()-1,60),ROW()-1,FALSE))</f>
        <v>25.883106869999999</v>
      </c>
      <c r="AE162">
        <f ca="1">IF(AND(ISNUMBER($AE$833),$B$677=1),$AE$833,HLOOKUP(INDIRECT(ADDRESS(2,COLUMN())),OFFSET($BN$2,0,0,ROW()-1,60),ROW()-1,FALSE))</f>
        <v>31.021952370000001</v>
      </c>
      <c r="AF162">
        <f ca="1">IF(AND(ISNUMBER($AF$833),$B$677=1),$AF$833,HLOOKUP(INDIRECT(ADDRESS(2,COLUMN())),OFFSET($BN$2,0,0,ROW()-1,60),ROW()-1,FALSE))</f>
        <v>48.230527530000003</v>
      </c>
      <c r="AG162">
        <f ca="1">IF(AND(ISNUMBER($AG$833),$B$677=1),$AG$833,HLOOKUP(INDIRECT(ADDRESS(2,COLUMN())),OFFSET($BN$2,0,0,ROW()-1,60),ROW()-1,FALSE))</f>
        <v>52.970628509999997</v>
      </c>
      <c r="AH162">
        <f ca="1">IF(AND(ISNUMBER($AH$833),$B$677=1),$AH$833,HLOOKUP(INDIRECT(ADDRESS(2,COLUMN())),OFFSET($BN$2,0,0,ROW()-1,60),ROW()-1,FALSE))</f>
        <v>25.451577489999998</v>
      </c>
      <c r="AI162">
        <f ca="1">IF(AND(ISNUMBER($AI$833),$B$677=1),$AI$833,HLOOKUP(INDIRECT(ADDRESS(2,COLUMN())),OFFSET($BN$2,0,0,ROW()-1,60),ROW()-1,FALSE))</f>
        <v>13.324937</v>
      </c>
      <c r="AJ162">
        <f ca="1">IF(AND(ISNUMBER($AJ$833),$B$677=1),$AJ$833,HLOOKUP(INDIRECT(ADDRESS(2,COLUMN())),OFFSET($BN$2,0,0,ROW()-1,60),ROW()-1,FALSE))</f>
        <v>8.639952632</v>
      </c>
      <c r="AK162">
        <f ca="1">IF(AND(ISNUMBER($AK$833),$B$677=1),$AK$833,HLOOKUP(INDIRECT(ADDRESS(2,COLUMN())),OFFSET($BN$2,0,0,ROW()-1,60),ROW()-1,FALSE))</f>
        <v>8.6926354549999996</v>
      </c>
      <c r="AL162">
        <f ca="1">IF(AND(ISNUMBER($AL$833),$B$677=1),$AL$833,HLOOKUP(INDIRECT(ADDRESS(2,COLUMN())),OFFSET($BN$2,0,0,ROW()-1,60),ROW()-1,FALSE))</f>
        <v>15.808265329999999</v>
      </c>
      <c r="AM162">
        <f ca="1">IF(AND(ISNUMBER($AM$833),$B$677=1),$AM$833,HLOOKUP(INDIRECT(ADDRESS(2,COLUMN())),OFFSET($BN$2,0,0,ROW()-1,60),ROW()-1,FALSE))</f>
        <v>12.20687905</v>
      </c>
      <c r="AN162">
        <f ca="1">IF(AND(ISNUMBER($AN$833),$B$677=1),$AN$833,HLOOKUP(INDIRECT(ADDRESS(2,COLUMN())),OFFSET($BN$2,0,0,ROW()-1,60),ROW()-1,FALSE))</f>
        <v>8.6522809630000008</v>
      </c>
      <c r="AO162" t="str">
        <f ca="1">IF(AND(ISNUMBER($AO$833),$B$677=1),$AO$833,HLOOKUP(INDIRECT(ADDRESS(2,COLUMN())),OFFSET($BN$2,0,0,ROW()-1,60),ROW()-1,FALSE))</f>
        <v/>
      </c>
      <c r="AP162" t="str">
        <f ca="1">IF(AND(ISNUMBER($AP$833),$B$677=1),$AP$833,HLOOKUP(INDIRECT(ADDRESS(2,COLUMN())),OFFSET($BN$2,0,0,ROW()-1,60),ROW()-1,FALSE))</f>
        <v/>
      </c>
      <c r="AQ162" t="str">
        <f ca="1">IF(AND(ISNUMBER($AQ$833),$B$677=1),$AQ$833,HLOOKUP(INDIRECT(ADDRESS(2,COLUMN())),OFFSET($BN$2,0,0,ROW()-1,60),ROW()-1,FALSE))</f>
        <v/>
      </c>
      <c r="AR162" t="str">
        <f ca="1">IF(AND(ISNUMBER($AR$833),$B$677=1),$AR$833,HLOOKUP(INDIRECT(ADDRESS(2,COLUMN())),OFFSET($BN$2,0,0,ROW()-1,60),ROW()-1,FALSE))</f>
        <v/>
      </c>
      <c r="AS162" t="str">
        <f ca="1">IF(AND(ISNUMBER($AS$833),$B$677=1),$AS$833,HLOOKUP(INDIRECT(ADDRESS(2,COLUMN())),OFFSET($BN$2,0,0,ROW()-1,60),ROW()-1,FALSE))</f>
        <v/>
      </c>
      <c r="AT162" t="str">
        <f ca="1">IF(AND(ISNUMBER($AT$833),$B$677=1),$AT$833,HLOOKUP(INDIRECT(ADDRESS(2,COLUMN())),OFFSET($BN$2,0,0,ROW()-1,60),ROW()-1,FALSE))</f>
        <v/>
      </c>
      <c r="AU162" t="str">
        <f ca="1">IF(AND(ISNUMBER($AU$833),$B$677=1),$AU$833,HLOOKUP(INDIRECT(ADDRESS(2,COLUMN())),OFFSET($BN$2,0,0,ROW()-1,60),ROW()-1,FALSE))</f>
        <v/>
      </c>
      <c r="AV162" t="str">
        <f ca="1">IF(AND(ISNUMBER($AV$833),$B$677=1),$AV$833,HLOOKUP(INDIRECT(ADDRESS(2,COLUMN())),OFFSET($BN$2,0,0,ROW()-1,60),ROW()-1,FALSE))</f>
        <v/>
      </c>
      <c r="AW162" t="str">
        <f ca="1">IF(AND(ISNUMBER($AW$833),$B$677=1),$AW$833,HLOOKUP(INDIRECT(ADDRESS(2,COLUMN())),OFFSET($BN$2,0,0,ROW()-1,60),ROW()-1,FALSE))</f>
        <v/>
      </c>
      <c r="AX162" t="str">
        <f ca="1">IF(AND(ISNUMBER($AX$833),$B$677=1),$AX$833,HLOOKUP(INDIRECT(ADDRESS(2,COLUMN())),OFFSET($BN$2,0,0,ROW()-1,60),ROW()-1,FALSE))</f>
        <v/>
      </c>
      <c r="AY162" t="str">
        <f ca="1">IF(AND(ISNUMBER($AY$833),$B$677=1),$AY$833,HLOOKUP(INDIRECT(ADDRESS(2,COLUMN())),OFFSET($BN$2,0,0,ROW()-1,60),ROW()-1,FALSE))</f>
        <v/>
      </c>
      <c r="AZ162" t="str">
        <f ca="1">IF(AND(ISNUMBER($AZ$833),$B$677=1),$AZ$833,HLOOKUP(INDIRECT(ADDRESS(2,COLUMN())),OFFSET($BN$2,0,0,ROW()-1,60),ROW()-1,FALSE))</f>
        <v/>
      </c>
      <c r="BA162" t="str">
        <f ca="1">IF(AND(ISNUMBER($BA$833),$B$677=1),$BA$833,HLOOKUP(INDIRECT(ADDRESS(2,COLUMN())),OFFSET($BN$2,0,0,ROW()-1,60),ROW()-1,FALSE))</f>
        <v/>
      </c>
      <c r="BB162" t="str">
        <f ca="1">IF(AND(ISNUMBER($BB$833),$B$677=1),$BB$833,HLOOKUP(INDIRECT(ADDRESS(2,COLUMN())),OFFSET($BN$2,0,0,ROW()-1,60),ROW()-1,FALSE))</f>
        <v/>
      </c>
      <c r="BC162" t="str">
        <f ca="1">IF(AND(ISNUMBER($BC$833),$B$677=1),$BC$833,HLOOKUP(INDIRECT(ADDRESS(2,COLUMN())),OFFSET($BN$2,0,0,ROW()-1,60),ROW()-1,FALSE))</f>
        <v/>
      </c>
      <c r="BD162" t="str">
        <f ca="1">IF(AND(ISNUMBER($BD$833),$B$677=1),$BD$833,HLOOKUP(INDIRECT(ADDRESS(2,COLUMN())),OFFSET($BN$2,0,0,ROW()-1,60),ROW()-1,FALSE))</f>
        <v/>
      </c>
      <c r="BE162" t="str">
        <f ca="1">IF(AND(ISNUMBER($BE$833),$B$677=1),$BE$833,HLOOKUP(INDIRECT(ADDRESS(2,COLUMN())),OFFSET($BN$2,0,0,ROW()-1,60),ROW()-1,FALSE))</f>
        <v/>
      </c>
      <c r="BF162" t="str">
        <f ca="1">IF(AND(ISNUMBER($BF$833),$B$677=1),$BF$833,HLOOKUP(INDIRECT(ADDRESS(2,COLUMN())),OFFSET($BN$2,0,0,ROW()-1,60),ROW()-1,FALSE))</f>
        <v/>
      </c>
      <c r="BG162" t="str">
        <f ca="1">IF(AND(ISNUMBER($BG$833),$B$677=1),$BG$833,HLOOKUP(INDIRECT(ADDRESS(2,COLUMN())),OFFSET($BN$2,0,0,ROW()-1,60),ROW()-1,FALSE))</f>
        <v/>
      </c>
      <c r="BH162" t="str">
        <f ca="1">IF(AND(ISNUMBER($BH$833),$B$677=1),$BH$833,HLOOKUP(INDIRECT(ADDRESS(2,COLUMN())),OFFSET($BN$2,0,0,ROW()-1,60),ROW()-1,FALSE))</f>
        <v/>
      </c>
      <c r="BI162" t="str">
        <f ca="1">IF(AND(ISNUMBER($BI$833),$B$677=1),$BI$833,HLOOKUP(INDIRECT(ADDRESS(2,COLUMN())),OFFSET($BN$2,0,0,ROW()-1,60),ROW()-1,FALSE))</f>
        <v/>
      </c>
      <c r="BJ162" t="str">
        <f ca="1">IF(AND(ISNUMBER($BJ$833),$B$677=1),$BJ$833,HLOOKUP(INDIRECT(ADDRESS(2,COLUMN())),OFFSET($BN$2,0,0,ROW()-1,60),ROW()-1,FALSE))</f>
        <v/>
      </c>
      <c r="BK162" t="str">
        <f ca="1">IF(AND(ISNUMBER($BK$833),$B$677=1),$BK$833,HLOOKUP(INDIRECT(ADDRESS(2,COLUMN())),OFFSET($BN$2,0,0,ROW()-1,60),ROW()-1,FALSE))</f>
        <v/>
      </c>
      <c r="BL162" t="str">
        <f ca="1">IF(AND(ISNUMBER($BL$833),$B$677=1),$BL$833,HLOOKUP(INDIRECT(ADDRESS(2,COLUMN())),OFFSET($BN$2,0,0,ROW()-1,60),ROW()-1,FALSE))</f>
        <v/>
      </c>
      <c r="BM162" t="str">
        <f ca="1">IF(AND(ISNUMBER($BM$833),$B$677=1),$BM$833,HLOOKUP(INDIRECT(ADDRESS(2,COLUMN())),OFFSET($BN$2,0,0,ROW()-1,60),ROW()-1,FALSE))</f>
        <v/>
      </c>
      <c r="BN162">
        <f>10.3245539</f>
        <v>10.3245539</v>
      </c>
      <c r="BO162">
        <f>11.6675692</f>
        <v>11.667569200000001</v>
      </c>
      <c r="BP162">
        <f>10.07547999</f>
        <v>10.07547999</v>
      </c>
      <c r="BQ162">
        <f>14.969831</f>
        <v>14.969830999999999</v>
      </c>
      <c r="BR162">
        <f>10.1502231</f>
        <v>10.1502231</v>
      </c>
      <c r="BS162">
        <f>12.40289739</f>
        <v>12.40289739</v>
      </c>
      <c r="BT162">
        <f>12.16311148</f>
        <v>12.16311148</v>
      </c>
      <c r="BU162">
        <f>11.81400651</f>
        <v>11.81400651</v>
      </c>
      <c r="BV162">
        <f>9.146511092</f>
        <v>9.1465110920000008</v>
      </c>
      <c r="BW162">
        <f>7.250353097</f>
        <v>7.2503530969999996</v>
      </c>
      <c r="BX162">
        <f>11.35644243</f>
        <v>11.35644243</v>
      </c>
      <c r="BY162">
        <f>12.2859673</f>
        <v>12.285967299999999</v>
      </c>
      <c r="BZ162">
        <f>31.69585945</f>
        <v>31.69585945</v>
      </c>
      <c r="CA162">
        <f>27.89002745</f>
        <v>27.890027450000002</v>
      </c>
      <c r="CB162">
        <f>23.89397731</f>
        <v>23.89397731</v>
      </c>
      <c r="CC162">
        <f>47.62464144</f>
        <v>47.624641439999998</v>
      </c>
      <c r="CD162">
        <f>27.09771269</f>
        <v>27.097712690000002</v>
      </c>
      <c r="CE162">
        <f>30.66126364</f>
        <v>30.661263640000001</v>
      </c>
      <c r="CF162">
        <f>29.81986109</f>
        <v>29.81986109</v>
      </c>
      <c r="CG162">
        <f>31.40566001</f>
        <v>31.405660009999998</v>
      </c>
      <c r="CH162">
        <f>26.33029353</f>
        <v>26.330293529999999</v>
      </c>
      <c r="CI162">
        <f>27.75580785</f>
        <v>27.75580785</v>
      </c>
      <c r="CJ162">
        <f>36.93622099</f>
        <v>36.936220990000002</v>
      </c>
      <c r="CK162">
        <f>20.71202784</f>
        <v>20.712027840000001</v>
      </c>
      <c r="CL162">
        <f>25.88310687</f>
        <v>25.883106869999999</v>
      </c>
      <c r="CM162">
        <f>31.02195237</f>
        <v>31.021952370000001</v>
      </c>
      <c r="CN162">
        <f>48.23052753</f>
        <v>48.230527530000003</v>
      </c>
      <c r="CO162">
        <f>52.97062851</f>
        <v>52.970628509999997</v>
      </c>
      <c r="CP162">
        <f>25.45157749</f>
        <v>25.451577489999998</v>
      </c>
      <c r="CQ162">
        <f>13.324937</f>
        <v>13.324937</v>
      </c>
      <c r="CR162">
        <f>8.639952632</f>
        <v>8.639952632</v>
      </c>
      <c r="CS162">
        <f>8.692635455</f>
        <v>8.6926354549999996</v>
      </c>
      <c r="CT162">
        <f>15.80826533</f>
        <v>15.808265329999999</v>
      </c>
      <c r="CU162">
        <f>12.20687905</f>
        <v>12.20687905</v>
      </c>
      <c r="CV162">
        <f>8.652280963</f>
        <v>8.6522809630000008</v>
      </c>
      <c r="CW162" t="str">
        <f>""</f>
        <v/>
      </c>
      <c r="CX162" t="str">
        <f>""</f>
        <v/>
      </c>
      <c r="CY162" t="str">
        <f>""</f>
        <v/>
      </c>
      <c r="CZ162" t="str">
        <f>""</f>
        <v/>
      </c>
      <c r="DA162" t="str">
        <f>""</f>
        <v/>
      </c>
      <c r="DB162" t="str">
        <f>""</f>
        <v/>
      </c>
      <c r="DC162" t="str">
        <f>""</f>
        <v/>
      </c>
      <c r="DD162" t="str">
        <f>""</f>
        <v/>
      </c>
      <c r="DE162" t="str">
        <f>""</f>
        <v/>
      </c>
      <c r="DF162" t="str">
        <f>""</f>
        <v/>
      </c>
      <c r="DG162" t="str">
        <f>""</f>
        <v/>
      </c>
      <c r="DH162" t="str">
        <f>""</f>
        <v/>
      </c>
      <c r="DI162" t="str">
        <f>""</f>
        <v/>
      </c>
      <c r="DJ162" t="str">
        <f>""</f>
        <v/>
      </c>
      <c r="DK162" t="str">
        <f>""</f>
        <v/>
      </c>
      <c r="DL162" t="str">
        <f>""</f>
        <v/>
      </c>
      <c r="DM162" t="str">
        <f>""</f>
        <v/>
      </c>
      <c r="DN162" t="str">
        <f>""</f>
        <v/>
      </c>
      <c r="DO162" t="str">
        <f>""</f>
        <v/>
      </c>
      <c r="DP162" t="str">
        <f>""</f>
        <v/>
      </c>
      <c r="DQ162" t="str">
        <f>""</f>
        <v/>
      </c>
      <c r="DR162" t="str">
        <f>""</f>
        <v/>
      </c>
      <c r="DS162" t="str">
        <f>""</f>
        <v/>
      </c>
      <c r="DT162" t="str">
        <f>""</f>
        <v/>
      </c>
      <c r="DU162" t="str">
        <f>""</f>
        <v/>
      </c>
    </row>
    <row r="163" spans="1:125" x14ac:dyDescent="0.25">
      <c r="A163" t="str">
        <f>"    Tianjin Faw Xiali Automobile Co Ltd"</f>
        <v xml:space="preserve">    Tianjin Faw Xiali Automobile Co Ltd</v>
      </c>
      <c r="B163" t="str">
        <f>"000927 CH Equity"</f>
        <v>000927 CH Equity</v>
      </c>
      <c r="C163" t="str">
        <f t="shared" si="9"/>
        <v>RR903</v>
      </c>
      <c r="D163" t="str">
        <f t="shared" si="10"/>
        <v>PX_TO_BOOK_RATIO</v>
      </c>
      <c r="E163" t="str">
        <f t="shared" si="11"/>
        <v>Dynamic</v>
      </c>
      <c r="F163" t="str">
        <f ca="1">IF(AND(ISNUMBER($F$834),$B$677=1),$F$834,HLOOKUP(INDIRECT(ADDRESS(2,COLUMN())),OFFSET($BN$2,0,0,ROW()-1,60),ROW()-1,FALSE))</f>
        <v/>
      </c>
      <c r="G163" t="str">
        <f ca="1">IF(AND(ISNUMBER($G$834),$B$677=1),$G$834,HLOOKUP(INDIRECT(ADDRESS(2,COLUMN())),OFFSET($BN$2,0,0,ROW()-1,60),ROW()-1,FALSE))</f>
        <v/>
      </c>
      <c r="H163" t="str">
        <f ca="1">IF(AND(ISNUMBER($H$834),$B$677=1),$H$834,HLOOKUP(INDIRECT(ADDRESS(2,COLUMN())),OFFSET($BN$2,0,0,ROW()-1,60),ROW()-1,FALSE))</f>
        <v/>
      </c>
      <c r="I163" t="str">
        <f ca="1">IF(AND(ISNUMBER($I$834),$B$677=1),$I$834,HLOOKUP(INDIRECT(ADDRESS(2,COLUMN())),OFFSET($BN$2,0,0,ROW()-1,60),ROW()-1,FALSE))</f>
        <v/>
      </c>
      <c r="J163">
        <f ca="1">IF(AND(ISNUMBER($J$834),$B$677=1),$J$834,HLOOKUP(INDIRECT(ADDRESS(2,COLUMN())),OFFSET($BN$2,0,0,ROW()-1,60),ROW()-1,FALSE))</f>
        <v>111.140072</v>
      </c>
      <c r="K163">
        <f ca="1">IF(AND(ISNUMBER($K$834),$B$677=1),$K$834,HLOOKUP(INDIRECT(ADDRESS(2,COLUMN())),OFFSET($BN$2,0,0,ROW()-1,60),ROW()-1,FALSE))</f>
        <v>125.72032900000001</v>
      </c>
      <c r="L163">
        <f ca="1">IF(AND(ISNUMBER($L$834),$B$677=1),$L$834,HLOOKUP(INDIRECT(ADDRESS(2,COLUMN())),OFFSET($BN$2,0,0,ROW()-1,60),ROW()-1,FALSE))</f>
        <v>16.03912313</v>
      </c>
      <c r="M163">
        <f ca="1">IF(AND(ISNUMBER($M$834),$B$677=1),$M$834,HLOOKUP(INDIRECT(ADDRESS(2,COLUMN())),OFFSET($BN$2,0,0,ROW()-1,60),ROW()-1,FALSE))</f>
        <v>8.3020447879999999</v>
      </c>
      <c r="N163">
        <f ca="1">IF(AND(ISNUMBER($N$834),$B$677=1),$N$834,HLOOKUP(INDIRECT(ADDRESS(2,COLUMN())),OFFSET($BN$2,0,0,ROW()-1,60),ROW()-1,FALSE))</f>
        <v>8.6199093009999999</v>
      </c>
      <c r="O163">
        <f ca="1">IF(AND(ISNUMBER($O$834),$B$677=1),$O$834,HLOOKUP(INDIRECT(ADDRESS(2,COLUMN())),OFFSET($BN$2,0,0,ROW()-1,60),ROW()-1,FALSE))</f>
        <v>5.6551299239999997</v>
      </c>
      <c r="P163">
        <f ca="1">IF(AND(ISNUMBER($P$834),$B$677=1),$P$834,HLOOKUP(INDIRECT(ADDRESS(2,COLUMN())),OFFSET($BN$2,0,0,ROW()-1,60),ROW()-1,FALSE))</f>
        <v>11.0440828</v>
      </c>
      <c r="Q163">
        <f ca="1">IF(AND(ISNUMBER($Q$834),$B$677=1),$Q$834,HLOOKUP(INDIRECT(ADDRESS(2,COLUMN())),OFFSET($BN$2,0,0,ROW()-1,60),ROW()-1,FALSE))</f>
        <v>8.2972141619999995</v>
      </c>
      <c r="R163">
        <f ca="1">IF(AND(ISNUMBER($R$834),$B$677=1),$R$834,HLOOKUP(INDIRECT(ADDRESS(2,COLUMN())),OFFSET($BN$2,0,0,ROW()-1,60),ROW()-1,FALSE))</f>
        <v>7.6328917589999996</v>
      </c>
      <c r="S163">
        <f ca="1">IF(AND(ISNUMBER($S$834),$B$677=1),$S$834,HLOOKUP(INDIRECT(ADDRESS(2,COLUMN())),OFFSET($BN$2,0,0,ROW()-1,60),ROW()-1,FALSE))</f>
        <v>7.7075312970000001</v>
      </c>
      <c r="T163">
        <f ca="1">IF(AND(ISNUMBER($T$834),$B$677=1),$T$834,HLOOKUP(INDIRECT(ADDRESS(2,COLUMN())),OFFSET($BN$2,0,0,ROW()-1,60),ROW()-1,FALSE))</f>
        <v>10.496877230000001</v>
      </c>
      <c r="U163">
        <f ca="1">IF(AND(ISNUMBER($U$834),$B$677=1),$U$834,HLOOKUP(INDIRECT(ADDRESS(2,COLUMN())),OFFSET($BN$2,0,0,ROW()-1,60),ROW()-1,FALSE))</f>
        <v>15.7209045</v>
      </c>
      <c r="V163">
        <f ca="1">IF(AND(ISNUMBER($V$834),$B$677=1),$V$834,HLOOKUP(INDIRECT(ADDRESS(2,COLUMN())),OFFSET($BN$2,0,0,ROW()-1,60),ROW()-1,FALSE))</f>
        <v>10.64422946</v>
      </c>
      <c r="W163">
        <f ca="1">IF(AND(ISNUMBER($W$834),$B$677=1),$W$834,HLOOKUP(INDIRECT(ADDRESS(2,COLUMN())),OFFSET($BN$2,0,0,ROW()-1,60),ROW()-1,FALSE))</f>
        <v>6.9487400450000001</v>
      </c>
      <c r="X163">
        <f ca="1">IF(AND(ISNUMBER($X$834),$B$677=1),$X$834,HLOOKUP(INDIRECT(ADDRESS(2,COLUMN())),OFFSET($BN$2,0,0,ROW()-1,60),ROW()-1,FALSE))</f>
        <v>3.1177792809999998</v>
      </c>
      <c r="Y163">
        <f ca="1">IF(AND(ISNUMBER($Y$834),$B$677=1),$Y$834,HLOOKUP(INDIRECT(ADDRESS(2,COLUMN())),OFFSET($BN$2,0,0,ROW()-1,60),ROW()-1,FALSE))</f>
        <v>2.0778346839999999</v>
      </c>
      <c r="Z163">
        <f ca="1">IF(AND(ISNUMBER($Z$834),$B$677=1),$Z$834,HLOOKUP(INDIRECT(ADDRESS(2,COLUMN())),OFFSET($BN$2,0,0,ROW()-1,60),ROW()-1,FALSE))</f>
        <v>2.0165261409999999</v>
      </c>
      <c r="AA163">
        <f ca="1">IF(AND(ISNUMBER($AA$834),$B$677=1),$AA$834,HLOOKUP(INDIRECT(ADDRESS(2,COLUMN())),OFFSET($BN$2,0,0,ROW()-1,60),ROW()-1,FALSE))</f>
        <v>1.7980402929999999</v>
      </c>
      <c r="AB163">
        <f ca="1">IF(AND(ISNUMBER($AB$834),$B$677=1),$AB$834,HLOOKUP(INDIRECT(ADDRESS(2,COLUMN())),OFFSET($BN$2,0,0,ROW()-1,60),ROW()-1,FALSE))</f>
        <v>1.663998278</v>
      </c>
      <c r="AC163">
        <f ca="1">IF(AND(ISNUMBER($AC$834),$B$677=1),$AC$834,HLOOKUP(INDIRECT(ADDRESS(2,COLUMN())),OFFSET($BN$2,0,0,ROW()-1,60),ROW()-1,FALSE))</f>
        <v>1.568662891</v>
      </c>
      <c r="AD163">
        <f ca="1">IF(AND(ISNUMBER($AD$834),$B$677=1),$AD$834,HLOOKUP(INDIRECT(ADDRESS(2,COLUMN())),OFFSET($BN$2,0,0,ROW()-1,60),ROW()-1,FALSE))</f>
        <v>1.937966353</v>
      </c>
      <c r="AE163">
        <f ca="1">IF(AND(ISNUMBER($AE$834),$B$677=1),$AE$834,HLOOKUP(INDIRECT(ADDRESS(2,COLUMN())),OFFSET($BN$2,0,0,ROW()-1,60),ROW()-1,FALSE))</f>
        <v>2.1648606739999998</v>
      </c>
      <c r="AF163">
        <f ca="1">IF(AND(ISNUMBER($AF$834),$B$677=1),$AF$834,HLOOKUP(INDIRECT(ADDRESS(2,COLUMN())),OFFSET($BN$2,0,0,ROW()-1,60),ROW()-1,FALSE))</f>
        <v>2.068014818</v>
      </c>
      <c r="AG163">
        <f ca="1">IF(AND(ISNUMBER($AG$834),$B$677=1),$AG$834,HLOOKUP(INDIRECT(ADDRESS(2,COLUMN())),OFFSET($BN$2,0,0,ROW()-1,60),ROW()-1,FALSE))</f>
        <v>3.1389674479999998</v>
      </c>
      <c r="AH163">
        <f ca="1">IF(AND(ISNUMBER($AH$834),$B$677=1),$AH$834,HLOOKUP(INDIRECT(ADDRESS(2,COLUMN())),OFFSET($BN$2,0,0,ROW()-1,60),ROW()-1,FALSE))</f>
        <v>2.8290020309999999</v>
      </c>
      <c r="AI163">
        <f ca="1">IF(AND(ISNUMBER($AI$834),$B$677=1),$AI$834,HLOOKUP(INDIRECT(ADDRESS(2,COLUMN())),OFFSET($BN$2,0,0,ROW()-1,60),ROW()-1,FALSE))</f>
        <v>2.6581530990000002</v>
      </c>
      <c r="AJ163">
        <f ca="1">IF(AND(ISNUMBER($AJ$834),$B$677=1),$AJ$834,HLOOKUP(INDIRECT(ADDRESS(2,COLUMN())),OFFSET($BN$2,0,0,ROW()-1,60),ROW()-1,FALSE))</f>
        <v>3.1938557429999999</v>
      </c>
      <c r="AK163">
        <f ca="1">IF(AND(ISNUMBER($AK$834),$B$677=1),$AK$834,HLOOKUP(INDIRECT(ADDRESS(2,COLUMN())),OFFSET($BN$2,0,0,ROW()-1,60),ROW()-1,FALSE))</f>
        <v>3.1254445899999999</v>
      </c>
      <c r="AL163">
        <f ca="1">IF(AND(ISNUMBER($AL$834),$B$677=1),$AL$834,HLOOKUP(INDIRECT(ADDRESS(2,COLUMN())),OFFSET($BN$2,0,0,ROW()-1,60),ROW()-1,FALSE))</f>
        <v>3.4376317670000001</v>
      </c>
      <c r="AM163">
        <f ca="1">IF(AND(ISNUMBER($AM$834),$B$677=1),$AM$834,HLOOKUP(INDIRECT(ADDRESS(2,COLUMN())),OFFSET($BN$2,0,0,ROW()-1,60),ROW()-1,FALSE))</f>
        <v>3.6061604969999999</v>
      </c>
      <c r="AN163">
        <f ca="1">IF(AND(ISNUMBER($AN$834),$B$677=1),$AN$834,HLOOKUP(INDIRECT(ADDRESS(2,COLUMN())),OFFSET($BN$2,0,0,ROW()-1,60),ROW()-1,FALSE))</f>
        <v>3.5144701199999999</v>
      </c>
      <c r="AO163">
        <f ca="1">IF(AND(ISNUMBER($AO$834),$B$677=1),$AO$834,HLOOKUP(INDIRECT(ADDRESS(2,COLUMN())),OFFSET($BN$2,0,0,ROW()-1,60),ROW()-1,FALSE))</f>
        <v>3.4005312839999999</v>
      </c>
      <c r="AP163">
        <f ca="1">IF(AND(ISNUMBER($AP$834),$B$677=1),$AP$834,HLOOKUP(INDIRECT(ADDRESS(2,COLUMN())),OFFSET($BN$2,0,0,ROW()-1,60),ROW()-1,FALSE))</f>
        <v>4.2478827450000001</v>
      </c>
      <c r="AQ163">
        <f ca="1">IF(AND(ISNUMBER($AQ$834),$B$677=1),$AQ$834,HLOOKUP(INDIRECT(ADDRESS(2,COLUMN())),OFFSET($BN$2,0,0,ROW()-1,60),ROW()-1,FALSE))</f>
        <v>5.5551580380000001</v>
      </c>
      <c r="AR163">
        <f ca="1">IF(AND(ISNUMBER($AR$834),$B$677=1),$AR$834,HLOOKUP(INDIRECT(ADDRESS(2,COLUMN())),OFFSET($BN$2,0,0,ROW()-1,60),ROW()-1,FALSE))</f>
        <v>3.2347800269999998</v>
      </c>
      <c r="AS163">
        <f ca="1">IF(AND(ISNUMBER($AS$834),$B$677=1),$AS$834,HLOOKUP(INDIRECT(ADDRESS(2,COLUMN())),OFFSET($BN$2,0,0,ROW()-1,60),ROW()-1,FALSE))</f>
        <v>3.3527599709999998</v>
      </c>
      <c r="AT163">
        <f ca="1">IF(AND(ISNUMBER($AT$834),$B$677=1),$AT$834,HLOOKUP(INDIRECT(ADDRESS(2,COLUMN())),OFFSET($BN$2,0,0,ROW()-1,60),ROW()-1,FALSE))</f>
        <v>2.431498156</v>
      </c>
      <c r="AU163">
        <f ca="1">IF(AND(ISNUMBER($AU$834),$B$677=1),$AU$834,HLOOKUP(INDIRECT(ADDRESS(2,COLUMN())),OFFSET($BN$2,0,0,ROW()-1,60),ROW()-1,FALSE))</f>
        <v>1.8459037899999999</v>
      </c>
      <c r="AV163">
        <f ca="1">IF(AND(ISNUMBER($AV$834),$B$677=1),$AV$834,HLOOKUP(INDIRECT(ADDRESS(2,COLUMN())),OFFSET($BN$2,0,0,ROW()-1,60),ROW()-1,FALSE))</f>
        <v>1.7059203000000001</v>
      </c>
      <c r="AW163">
        <f ca="1">IF(AND(ISNUMBER($AW$834),$B$677=1),$AW$834,HLOOKUP(INDIRECT(ADDRESS(2,COLUMN())),OFFSET($BN$2,0,0,ROW()-1,60),ROW()-1,FALSE))</f>
        <v>2.0346552280000001</v>
      </c>
      <c r="AX163">
        <f ca="1">IF(AND(ISNUMBER($AX$834),$B$677=1),$AX$834,HLOOKUP(INDIRECT(ADDRESS(2,COLUMN())),OFFSET($BN$2,0,0,ROW()-1,60),ROW()-1,FALSE))</f>
        <v>3.7099598070000002</v>
      </c>
      <c r="AY163">
        <f ca="1">IF(AND(ISNUMBER($AY$834),$B$677=1),$AY$834,HLOOKUP(INDIRECT(ADDRESS(2,COLUMN())),OFFSET($BN$2,0,0,ROW()-1,60),ROW()-1,FALSE))</f>
        <v>7.0675740420000004</v>
      </c>
      <c r="AZ163">
        <f ca="1">IF(AND(ISNUMBER($AZ$834),$B$677=1),$AZ$834,HLOOKUP(INDIRECT(ADDRESS(2,COLUMN())),OFFSET($BN$2,0,0,ROW()-1,60),ROW()-1,FALSE))</f>
        <v>8.1596973229999996</v>
      </c>
      <c r="BA163">
        <f ca="1">IF(AND(ISNUMBER($BA$834),$B$677=1),$BA$834,HLOOKUP(INDIRECT(ADDRESS(2,COLUMN())),OFFSET($BN$2,0,0,ROW()-1,60),ROW()-1,FALSE))</f>
        <v>4.0774380649999999</v>
      </c>
      <c r="BB163">
        <f ca="1">IF(AND(ISNUMBER($BB$834),$B$677=1),$BB$834,HLOOKUP(INDIRECT(ADDRESS(2,COLUMN())),OFFSET($BN$2,0,0,ROW()-1,60),ROW()-1,FALSE))</f>
        <v>4.87731826</v>
      </c>
      <c r="BC163">
        <f ca="1">IF(AND(ISNUMBER($BC$834),$B$677=1),$BC$834,HLOOKUP(INDIRECT(ADDRESS(2,COLUMN())),OFFSET($BN$2,0,0,ROW()-1,60),ROW()-1,FALSE))</f>
        <v>2.633432333</v>
      </c>
      <c r="BD163">
        <f ca="1">IF(AND(ISNUMBER($BD$834),$B$677=1),$BD$834,HLOOKUP(INDIRECT(ADDRESS(2,COLUMN())),OFFSET($BN$2,0,0,ROW()-1,60),ROW()-1,FALSE))</f>
        <v>1.8565942230000001</v>
      </c>
      <c r="BE163">
        <f ca="1">IF(AND(ISNUMBER($BE$834),$B$677=1),$BE$834,HLOOKUP(INDIRECT(ADDRESS(2,COLUMN())),OFFSET($BN$2,0,0,ROW()-1,60),ROW()-1,FALSE))</f>
        <v>3.2961385380000001</v>
      </c>
      <c r="BF163">
        <f ca="1">IF(AND(ISNUMBER($BF$834),$B$677=1),$BF$834,HLOOKUP(INDIRECT(ADDRESS(2,COLUMN())),OFFSET($BN$2,0,0,ROW()-1,60),ROW()-1,FALSE))</f>
        <v>2.400860078</v>
      </c>
      <c r="BG163">
        <f ca="1">IF(AND(ISNUMBER($BG$834),$B$677=1),$BG$834,HLOOKUP(INDIRECT(ADDRESS(2,COLUMN())),OFFSET($BN$2,0,0,ROW()-1,60),ROW()-1,FALSE))</f>
        <v>2.1712049009999999</v>
      </c>
      <c r="BH163">
        <f ca="1">IF(AND(ISNUMBER($BH$834),$B$677=1),$BH$834,HLOOKUP(INDIRECT(ADDRESS(2,COLUMN())),OFFSET($BN$2,0,0,ROW()-1,60),ROW()-1,FALSE))</f>
        <v>2.250359848</v>
      </c>
      <c r="BI163">
        <f ca="1">IF(AND(ISNUMBER($BI$834),$B$677=1),$BI$834,HLOOKUP(INDIRECT(ADDRESS(2,COLUMN())),OFFSET($BN$2,0,0,ROW()-1,60),ROW()-1,FALSE))</f>
        <v>1.651736742</v>
      </c>
      <c r="BJ163">
        <f ca="1">IF(AND(ISNUMBER($BJ$834),$B$677=1),$BJ$834,HLOOKUP(INDIRECT(ADDRESS(2,COLUMN())),OFFSET($BN$2,0,0,ROW()-1,60),ROW()-1,FALSE))</f>
        <v>1.401292904</v>
      </c>
      <c r="BK163">
        <f ca="1">IF(AND(ISNUMBER($BK$834),$B$677=1),$BK$834,HLOOKUP(INDIRECT(ADDRESS(2,COLUMN())),OFFSET($BN$2,0,0,ROW()-1,60),ROW()-1,FALSE))</f>
        <v>1.6091576569999999</v>
      </c>
      <c r="BL163">
        <f ca="1">IF(AND(ISNUMBER($BL$834),$B$677=1),$BL$834,HLOOKUP(INDIRECT(ADDRESS(2,COLUMN())),OFFSET($BN$2,0,0,ROW()-1,60),ROW()-1,FALSE))</f>
        <v>2.4760759920000002</v>
      </c>
      <c r="BM163">
        <f ca="1">IF(AND(ISNUMBER($BM$834),$B$677=1),$BM$834,HLOOKUP(INDIRECT(ADDRESS(2,COLUMN())),OFFSET($BN$2,0,0,ROW()-1,60),ROW()-1,FALSE))</f>
        <v>3.3006410179999999</v>
      </c>
      <c r="BN163" t="str">
        <f>""</f>
        <v/>
      </c>
      <c r="BO163" t="str">
        <f>""</f>
        <v/>
      </c>
      <c r="BP163" t="str">
        <f>""</f>
        <v/>
      </c>
      <c r="BQ163" t="str">
        <f>""</f>
        <v/>
      </c>
      <c r="BR163">
        <f>111.140072</f>
        <v>111.140072</v>
      </c>
      <c r="BS163">
        <f>125.720329</f>
        <v>125.72032900000001</v>
      </c>
      <c r="BT163">
        <f>16.03912313</f>
        <v>16.03912313</v>
      </c>
      <c r="BU163">
        <f>8.302044788</f>
        <v>8.3020447879999999</v>
      </c>
      <c r="BV163">
        <f>8.619909301</f>
        <v>8.6199093009999999</v>
      </c>
      <c r="BW163">
        <f>5.655129924</f>
        <v>5.6551299239999997</v>
      </c>
      <c r="BX163">
        <f>11.0440828</f>
        <v>11.0440828</v>
      </c>
      <c r="BY163">
        <f>8.297214162</f>
        <v>8.2972141619999995</v>
      </c>
      <c r="BZ163">
        <f>7.632891759</f>
        <v>7.6328917589999996</v>
      </c>
      <c r="CA163">
        <f>7.707531297</f>
        <v>7.7075312970000001</v>
      </c>
      <c r="CB163">
        <f>10.49687723</f>
        <v>10.496877230000001</v>
      </c>
      <c r="CC163">
        <f>15.7209045</f>
        <v>15.7209045</v>
      </c>
      <c r="CD163">
        <f>10.64422946</f>
        <v>10.64422946</v>
      </c>
      <c r="CE163">
        <f>6.948740045</f>
        <v>6.9487400450000001</v>
      </c>
      <c r="CF163">
        <f>3.117779281</f>
        <v>3.1177792809999998</v>
      </c>
      <c r="CG163">
        <f>2.077834684</f>
        <v>2.0778346839999999</v>
      </c>
      <c r="CH163">
        <f>2.016526141</f>
        <v>2.0165261409999999</v>
      </c>
      <c r="CI163">
        <f>1.798040293</f>
        <v>1.7980402929999999</v>
      </c>
      <c r="CJ163">
        <f>1.663998278</f>
        <v>1.663998278</v>
      </c>
      <c r="CK163">
        <f>1.568662891</f>
        <v>1.568662891</v>
      </c>
      <c r="CL163">
        <f>1.937966353</f>
        <v>1.937966353</v>
      </c>
      <c r="CM163">
        <f>2.164860674</f>
        <v>2.1648606739999998</v>
      </c>
      <c r="CN163">
        <f>2.068014818</f>
        <v>2.068014818</v>
      </c>
      <c r="CO163">
        <f>3.138967448</f>
        <v>3.1389674479999998</v>
      </c>
      <c r="CP163">
        <f>2.829002031</f>
        <v>2.8290020309999999</v>
      </c>
      <c r="CQ163">
        <f>2.658153099</f>
        <v>2.6581530990000002</v>
      </c>
      <c r="CR163">
        <f>3.193855743</f>
        <v>3.1938557429999999</v>
      </c>
      <c r="CS163">
        <f>3.12544459</f>
        <v>3.1254445899999999</v>
      </c>
      <c r="CT163">
        <f>3.437631767</f>
        <v>3.4376317670000001</v>
      </c>
      <c r="CU163">
        <f>3.606160497</f>
        <v>3.6061604969999999</v>
      </c>
      <c r="CV163">
        <f>3.51447012</f>
        <v>3.5144701199999999</v>
      </c>
      <c r="CW163">
        <f>3.400531284</f>
        <v>3.4005312839999999</v>
      </c>
      <c r="CX163">
        <f>4.247882745</f>
        <v>4.2478827450000001</v>
      </c>
      <c r="CY163">
        <f>5.555158038</f>
        <v>5.5551580380000001</v>
      </c>
      <c r="CZ163">
        <f>3.234780027</f>
        <v>3.2347800269999998</v>
      </c>
      <c r="DA163">
        <f>3.352759971</f>
        <v>3.3527599709999998</v>
      </c>
      <c r="DB163">
        <f>2.431498156</f>
        <v>2.431498156</v>
      </c>
      <c r="DC163">
        <f>1.84590379</f>
        <v>1.8459037899999999</v>
      </c>
      <c r="DD163">
        <f>1.7059203</f>
        <v>1.7059203000000001</v>
      </c>
      <c r="DE163">
        <f>2.034655228</f>
        <v>2.0346552280000001</v>
      </c>
      <c r="DF163">
        <f>3.709959807</f>
        <v>3.7099598070000002</v>
      </c>
      <c r="DG163">
        <f>7.067574042</f>
        <v>7.0675740420000004</v>
      </c>
      <c r="DH163">
        <f>8.159697323</f>
        <v>8.1596973229999996</v>
      </c>
      <c r="DI163">
        <f>4.077438065</f>
        <v>4.0774380649999999</v>
      </c>
      <c r="DJ163">
        <f>4.87731826</f>
        <v>4.87731826</v>
      </c>
      <c r="DK163">
        <f>2.633432333</f>
        <v>2.633432333</v>
      </c>
      <c r="DL163">
        <f>1.856594223</f>
        <v>1.8565942230000001</v>
      </c>
      <c r="DM163">
        <f>3.296138538</f>
        <v>3.2961385380000001</v>
      </c>
      <c r="DN163">
        <f>2.400860078</f>
        <v>2.400860078</v>
      </c>
      <c r="DO163">
        <f>2.171204901</f>
        <v>2.1712049009999999</v>
      </c>
      <c r="DP163">
        <f>2.250359848</f>
        <v>2.250359848</v>
      </c>
      <c r="DQ163">
        <f>1.651736742</f>
        <v>1.651736742</v>
      </c>
      <c r="DR163">
        <f>1.401292904</f>
        <v>1.401292904</v>
      </c>
      <c r="DS163">
        <f>1.609157657</f>
        <v>1.6091576569999999</v>
      </c>
      <c r="DT163">
        <f>2.476075992</f>
        <v>2.4760759920000002</v>
      </c>
      <c r="DU163">
        <f>3.300641018</f>
        <v>3.3006410179999999</v>
      </c>
    </row>
    <row r="164" spans="1:125" x14ac:dyDescent="0.25">
      <c r="A164" t="str">
        <f>"    Tofas Turk Otomobil Fabrikasi AS"</f>
        <v xml:space="preserve">    Tofas Turk Otomobil Fabrikasi AS</v>
      </c>
      <c r="B164" t="str">
        <f>"TOASOTRY EO Equity"</f>
        <v>TOASOTRY EO Equity</v>
      </c>
      <c r="C164" t="str">
        <f t="shared" si="9"/>
        <v>RR903</v>
      </c>
      <c r="D164" t="str">
        <f t="shared" si="10"/>
        <v>PX_TO_BOOK_RATIO</v>
      </c>
      <c r="E164" t="str">
        <f t="shared" si="11"/>
        <v>Dynamic</v>
      </c>
      <c r="F164">
        <f ca="1">IF(AND(ISNUMBER($F$835),$B$677=1),$F$835,HLOOKUP(INDIRECT(ADDRESS(2,COLUMN())),OFFSET($BN$2,0,0,ROW()-1,60),ROW()-1,FALSE))</f>
        <v>2.6979230040000002</v>
      </c>
      <c r="G164">
        <f ca="1">IF(AND(ISNUMBER($G$835),$B$677=1),$G$835,HLOOKUP(INDIRECT(ADDRESS(2,COLUMN())),OFFSET($BN$2,0,0,ROW()-1,60),ROW()-1,FALSE))</f>
        <v>2.2797449379999999</v>
      </c>
      <c r="H164">
        <f ca="1">IF(AND(ISNUMBER($H$835),$B$677=1),$H$835,HLOOKUP(INDIRECT(ADDRESS(2,COLUMN())),OFFSET($BN$2,0,0,ROW()-1,60),ROW()-1,FALSE))</f>
        <v>3.628427319</v>
      </c>
      <c r="I164">
        <f ca="1">IF(AND(ISNUMBER($I$835),$B$677=1),$I$835,HLOOKUP(INDIRECT(ADDRESS(2,COLUMN())),OFFSET($BN$2,0,0,ROW()-1,60),ROW()-1,FALSE))</f>
        <v>3.73764991</v>
      </c>
      <c r="J164">
        <f ca="1">IF(AND(ISNUMBER($J$835),$B$677=1),$J$835,HLOOKUP(INDIRECT(ADDRESS(2,COLUMN())),OFFSET($BN$2,0,0,ROW()-1,60),ROW()-1,FALSE))</f>
        <v>4.5253518440000002</v>
      </c>
      <c r="K164">
        <f ca="1">IF(AND(ISNUMBER($K$835),$B$677=1),$K$835,HLOOKUP(INDIRECT(ADDRESS(2,COLUMN())),OFFSET($BN$2,0,0,ROW()-1,60),ROW()-1,FALSE))</f>
        <v>4.607822917</v>
      </c>
      <c r="L164">
        <f ca="1">IF(AND(ISNUMBER($L$835),$B$677=1),$L$835,HLOOKUP(INDIRECT(ADDRESS(2,COLUMN())),OFFSET($BN$2,0,0,ROW()-1,60),ROW()-1,FALSE))</f>
        <v>4.7106432470000001</v>
      </c>
      <c r="M164">
        <f ca="1">IF(AND(ISNUMBER($M$835),$B$677=1),$M$835,HLOOKUP(INDIRECT(ADDRESS(2,COLUMN())),OFFSET($BN$2,0,0,ROW()-1,60),ROW()-1,FALSE))</f>
        <v>4.7096554460000002</v>
      </c>
      <c r="N164">
        <f ca="1">IF(AND(ISNUMBER($N$835),$B$677=1),$N$835,HLOOKUP(INDIRECT(ADDRESS(2,COLUMN())),OFFSET($BN$2,0,0,ROW()-1,60),ROW()-1,FALSE))</f>
        <v>4.8515759960000002</v>
      </c>
      <c r="O164">
        <f ca="1">IF(AND(ISNUMBER($O$835),$B$677=1),$O$835,HLOOKUP(INDIRECT(ADDRESS(2,COLUMN())),OFFSET($BN$2,0,0,ROW()-1,60),ROW()-1,FALSE))</f>
        <v>4.1657494919999998</v>
      </c>
      <c r="P164">
        <f ca="1">IF(AND(ISNUMBER($P$835),$B$677=1),$P$835,HLOOKUP(INDIRECT(ADDRESS(2,COLUMN())),OFFSET($BN$2,0,0,ROW()-1,60),ROW()-1,FALSE))</f>
        <v>3.8498170549999999</v>
      </c>
      <c r="Q164">
        <f ca="1">IF(AND(ISNUMBER($Q$835),$B$677=1),$Q$835,HLOOKUP(INDIRECT(ADDRESS(2,COLUMN())),OFFSET($BN$2,0,0,ROW()-1,60),ROW()-1,FALSE))</f>
        <v>4.3642115449999999</v>
      </c>
      <c r="R164">
        <f ca="1">IF(AND(ISNUMBER($R$835),$B$677=1),$R$835,HLOOKUP(INDIRECT(ADDRESS(2,COLUMN())),OFFSET($BN$2,0,0,ROW()-1,60),ROW()-1,FALSE))</f>
        <v>4.6721293380000004</v>
      </c>
      <c r="S164">
        <f ca="1">IF(AND(ISNUMBER($S$835),$B$677=1),$S$835,HLOOKUP(INDIRECT(ADDRESS(2,COLUMN())),OFFSET($BN$2,0,0,ROW()-1,60),ROW()-1,FALSE))</f>
        <v>3.669222408</v>
      </c>
      <c r="T164">
        <f ca="1">IF(AND(ISNUMBER($T$835),$B$677=1),$T$835,HLOOKUP(INDIRECT(ADDRESS(2,COLUMN())),OFFSET($BN$2,0,0,ROW()-1,60),ROW()-1,FALSE))</f>
        <v>4.1362344269999998</v>
      </c>
      <c r="U164">
        <f ca="1">IF(AND(ISNUMBER($U$835),$B$677=1),$U$835,HLOOKUP(INDIRECT(ADDRESS(2,COLUMN())),OFFSET($BN$2,0,0,ROW()-1,60),ROW()-1,FALSE))</f>
        <v>4.2838281970000001</v>
      </c>
      <c r="V164">
        <f ca="1">IF(AND(ISNUMBER($V$835),$B$677=1),$V$835,HLOOKUP(INDIRECT(ADDRESS(2,COLUMN())),OFFSET($BN$2,0,0,ROW()-1,60),ROW()-1,FALSE))</f>
        <v>4.0020592180000003</v>
      </c>
      <c r="W164">
        <f ca="1">IF(AND(ISNUMBER($W$835),$B$677=1),$W$835,HLOOKUP(INDIRECT(ADDRESS(2,COLUMN())),OFFSET($BN$2,0,0,ROW()-1,60),ROW()-1,FALSE))</f>
        <v>3.5584076360000001</v>
      </c>
      <c r="X164">
        <f ca="1">IF(AND(ISNUMBER($X$835),$B$677=1),$X$835,HLOOKUP(INDIRECT(ADDRESS(2,COLUMN())),OFFSET($BN$2,0,0,ROW()-1,60),ROW()-1,FALSE))</f>
        <v>3.1378840170000002</v>
      </c>
      <c r="Y164">
        <f ca="1">IF(AND(ISNUMBER($Y$835),$B$677=1),$Y$835,HLOOKUP(INDIRECT(ADDRESS(2,COLUMN())),OFFSET($BN$2,0,0,ROW()-1,60),ROW()-1,FALSE))</f>
        <v>3.467521584</v>
      </c>
      <c r="Z164">
        <f ca="1">IF(AND(ISNUMBER($Z$835),$B$677=1),$Z$835,HLOOKUP(INDIRECT(ADDRESS(2,COLUMN())),OFFSET($BN$2,0,0,ROW()-1,60),ROW()-1,FALSE))</f>
        <v>3.5521392650000001</v>
      </c>
      <c r="AA164">
        <f ca="1">IF(AND(ISNUMBER($AA$835),$B$677=1),$AA$835,HLOOKUP(INDIRECT(ADDRESS(2,COLUMN())),OFFSET($BN$2,0,0,ROW()-1,60),ROW()-1,FALSE))</f>
        <v>3.5285183280000001</v>
      </c>
      <c r="AB164">
        <f ca="1">IF(AND(ISNUMBER($AB$835),$B$677=1),$AB$835,HLOOKUP(INDIRECT(ADDRESS(2,COLUMN())),OFFSET($BN$2,0,0,ROW()-1,60),ROW()-1,FALSE))</f>
        <v>3.3904303859999998</v>
      </c>
      <c r="AC164">
        <f ca="1">IF(AND(ISNUMBER($AC$835),$B$677=1),$AC$835,HLOOKUP(INDIRECT(ADDRESS(2,COLUMN())),OFFSET($BN$2,0,0,ROW()-1,60),ROW()-1,FALSE))</f>
        <v>3.4175477609999998</v>
      </c>
      <c r="AD164">
        <f ca="1">IF(AND(ISNUMBER($AD$835),$B$677=1),$AD$835,HLOOKUP(INDIRECT(ADDRESS(2,COLUMN())),OFFSET($BN$2,0,0,ROW()-1,60),ROW()-1,FALSE))</f>
        <v>3.8223231879999999</v>
      </c>
      <c r="AE164">
        <f ca="1">IF(AND(ISNUMBER($AE$835),$B$677=1),$AE$835,HLOOKUP(INDIRECT(ADDRESS(2,COLUMN())),OFFSET($BN$2,0,0,ROW()-1,60),ROW()-1,FALSE))</f>
        <v>2.5338235130000002</v>
      </c>
      <c r="AF164">
        <f ca="1">IF(AND(ISNUMBER($AF$835),$B$677=1),$AF$835,HLOOKUP(INDIRECT(ADDRESS(2,COLUMN())),OFFSET($BN$2,0,0,ROW()-1,60),ROW()-1,FALSE))</f>
        <v>2.333898644</v>
      </c>
      <c r="AG164">
        <f ca="1">IF(AND(ISNUMBER($AG$835),$B$677=1),$AG$835,HLOOKUP(INDIRECT(ADDRESS(2,COLUMN())),OFFSET($BN$2,0,0,ROW()-1,60),ROW()-1,FALSE))</f>
        <v>2.0924008540000001</v>
      </c>
      <c r="AH164">
        <f ca="1">IF(AND(ISNUMBER($AH$835),$B$677=1),$AH$835,HLOOKUP(INDIRECT(ADDRESS(2,COLUMN())),OFFSET($BN$2,0,0,ROW()-1,60),ROW()-1,FALSE))</f>
        <v>2.26421553</v>
      </c>
      <c r="AI164">
        <f ca="1">IF(AND(ISNUMBER($AI$835),$B$677=1),$AI$835,HLOOKUP(INDIRECT(ADDRESS(2,COLUMN())),OFFSET($BN$2,0,0,ROW()-1,60),ROW()-1,FALSE))</f>
        <v>1.654253247</v>
      </c>
      <c r="AJ164">
        <f ca="1">IF(AND(ISNUMBER($AJ$835),$B$677=1),$AJ$835,HLOOKUP(INDIRECT(ADDRESS(2,COLUMN())),OFFSET($BN$2,0,0,ROW()-1,60),ROW()-1,FALSE))</f>
        <v>2.0526060679999998</v>
      </c>
      <c r="AK164">
        <f ca="1">IF(AND(ISNUMBER($AK$835),$B$677=1),$AK$835,HLOOKUP(INDIRECT(ADDRESS(2,COLUMN())),OFFSET($BN$2,0,0,ROW()-1,60),ROW()-1,FALSE))</f>
        <v>2.3887257310000001</v>
      </c>
      <c r="AL164">
        <f ca="1">IF(AND(ISNUMBER($AL$835),$B$677=1),$AL$835,HLOOKUP(INDIRECT(ADDRESS(2,COLUMN())),OFFSET($BN$2,0,0,ROW()-1,60),ROW()-1,FALSE))</f>
        <v>2.9249868339999998</v>
      </c>
      <c r="AM164">
        <f ca="1">IF(AND(ISNUMBER($AM$835),$B$677=1),$AM$835,HLOOKUP(INDIRECT(ADDRESS(2,COLUMN())),OFFSET($BN$2,0,0,ROW()-1,60),ROW()-1,FALSE))</f>
        <v>2.333113505</v>
      </c>
      <c r="AN164">
        <f ca="1">IF(AND(ISNUMBER($AN$835),$B$677=1),$AN$835,HLOOKUP(INDIRECT(ADDRESS(2,COLUMN())),OFFSET($BN$2,0,0,ROW()-1,60),ROW()-1,FALSE))</f>
        <v>2.3209897939999999</v>
      </c>
      <c r="AO164">
        <f ca="1">IF(AND(ISNUMBER($AO$835),$B$677=1),$AO$835,HLOOKUP(INDIRECT(ADDRESS(2,COLUMN())),OFFSET($BN$2,0,0,ROW()-1,60),ROW()-1,FALSE))</f>
        <v>1.7239078560000001</v>
      </c>
      <c r="AP164">
        <f ca="1">IF(AND(ISNUMBER($AP$835),$B$677=1),$AP$835,HLOOKUP(INDIRECT(ADDRESS(2,COLUMN())),OFFSET($BN$2,0,0,ROW()-1,60),ROW()-1,FALSE))</f>
        <v>1.9670501840000001</v>
      </c>
      <c r="AQ164">
        <f ca="1">IF(AND(ISNUMBER($AQ$835),$B$677=1),$AQ$835,HLOOKUP(INDIRECT(ADDRESS(2,COLUMN())),OFFSET($BN$2,0,0,ROW()-1,60),ROW()-1,FALSE))</f>
        <v>1.659356592</v>
      </c>
      <c r="AR164">
        <f ca="1">IF(AND(ISNUMBER($AR$835),$B$677=1),$AR$835,HLOOKUP(INDIRECT(ADDRESS(2,COLUMN())),OFFSET($BN$2,0,0,ROW()-1,60),ROW()-1,FALSE))</f>
        <v>1.622484373</v>
      </c>
      <c r="AS164">
        <f ca="1">IF(AND(ISNUMBER($AS$835),$B$677=1),$AS$835,HLOOKUP(INDIRECT(ADDRESS(2,COLUMN())),OFFSET($BN$2,0,0,ROW()-1,60),ROW()-1,FALSE))</f>
        <v>1.1404146040000001</v>
      </c>
      <c r="AT164">
        <f ca="1">IF(AND(ISNUMBER($AT$835),$B$677=1),$AT$835,HLOOKUP(INDIRECT(ADDRESS(2,COLUMN())),OFFSET($BN$2,0,0,ROW()-1,60),ROW()-1,FALSE))</f>
        <v>0.66902689599999998</v>
      </c>
      <c r="AU164">
        <f ca="1">IF(AND(ISNUMBER($AU$835),$B$677=1),$AU$835,HLOOKUP(INDIRECT(ADDRESS(2,COLUMN())),OFFSET($BN$2,0,0,ROW()-1,60),ROW()-1,FALSE))</f>
        <v>0.51364004600000002</v>
      </c>
      <c r="AV164">
        <f ca="1">IF(AND(ISNUMBER($AV$835),$B$677=1),$AV$835,HLOOKUP(INDIRECT(ADDRESS(2,COLUMN())),OFFSET($BN$2,0,0,ROW()-1,60),ROW()-1,FALSE))</f>
        <v>1.1149783879999999</v>
      </c>
      <c r="AW164">
        <f ca="1">IF(AND(ISNUMBER($AW$835),$B$677=1),$AW$835,HLOOKUP(INDIRECT(ADDRESS(2,COLUMN())),OFFSET($BN$2,0,0,ROW()-1,60),ROW()-1,FALSE))</f>
        <v>1.5449176410000001</v>
      </c>
      <c r="AX164">
        <f ca="1">IF(AND(ISNUMBER($AX$835),$B$677=1),$AX$835,HLOOKUP(INDIRECT(ADDRESS(2,COLUMN())),OFFSET($BN$2,0,0,ROW()-1,60),ROW()-1,FALSE))</f>
        <v>1.901922715</v>
      </c>
      <c r="AY164">
        <f ca="1">IF(AND(ISNUMBER($AY$835),$B$677=1),$AY$835,HLOOKUP(INDIRECT(ADDRESS(2,COLUMN())),OFFSET($BN$2,0,0,ROW()-1,60),ROW()-1,FALSE))</f>
        <v>2.6484191140000002</v>
      </c>
      <c r="AZ164">
        <f ca="1">IF(AND(ISNUMBER($AZ$835),$B$677=1),$AZ$835,HLOOKUP(INDIRECT(ADDRESS(2,COLUMN())),OFFSET($BN$2,0,0,ROW()-1,60),ROW()-1,FALSE))</f>
        <v>2.7136518669999998</v>
      </c>
      <c r="BA164">
        <f ca="1">IF(AND(ISNUMBER($BA$835),$B$677=1),$BA$835,HLOOKUP(INDIRECT(ADDRESS(2,COLUMN())),OFFSET($BN$2,0,0,ROW()-1,60),ROW()-1,FALSE))</f>
        <v>3.0129714349999999</v>
      </c>
      <c r="BB164">
        <f ca="1">IF(AND(ISNUMBER($BB$835),$B$677=1),$BB$835,HLOOKUP(INDIRECT(ADDRESS(2,COLUMN())),OFFSET($BN$2,0,0,ROW()-1,60),ROW()-1,FALSE))</f>
        <v>2.5269694390000002</v>
      </c>
      <c r="BC164">
        <f ca="1">IF(AND(ISNUMBER($BC$835),$B$677=1),$BC$835,HLOOKUP(INDIRECT(ADDRESS(2,COLUMN())),OFFSET($BN$2,0,0,ROW()-1,60),ROW()-1,FALSE))</f>
        <v>2.4066892210000002</v>
      </c>
      <c r="BD164">
        <f ca="1">IF(AND(ISNUMBER($BD$835),$B$677=1),$BD$835,HLOOKUP(INDIRECT(ADDRESS(2,COLUMN())),OFFSET($BN$2,0,0,ROW()-1,60),ROW()-1,FALSE))</f>
        <v>2.062014842</v>
      </c>
      <c r="BE164">
        <f ca="1">IF(AND(ISNUMBER($BE$835),$B$677=1),$BE$835,HLOOKUP(INDIRECT(ADDRESS(2,COLUMN())),OFFSET($BN$2,0,0,ROW()-1,60),ROW()-1,FALSE))</f>
        <v>2.2103199729999998</v>
      </c>
      <c r="BF164">
        <f ca="1">IF(AND(ISNUMBER($BF$835),$B$677=1),$BF$835,HLOOKUP(INDIRECT(ADDRESS(2,COLUMN())),OFFSET($BN$2,0,0,ROW()-1,60),ROW()-1,FALSE))</f>
        <v>2.022722849</v>
      </c>
      <c r="BG164">
        <f ca="1">IF(AND(ISNUMBER($BG$835),$B$677=1),$BG$835,HLOOKUP(INDIRECT(ADDRESS(2,COLUMN())),OFFSET($BN$2,0,0,ROW()-1,60),ROW()-1,FALSE))</f>
        <v>1.3676504730000001</v>
      </c>
      <c r="BH164">
        <f ca="1">IF(AND(ISNUMBER($BH$835),$B$677=1),$BH$835,HLOOKUP(INDIRECT(ADDRESS(2,COLUMN())),OFFSET($BN$2,0,0,ROW()-1,60),ROW()-1,FALSE))</f>
        <v>1.1119820090000001</v>
      </c>
      <c r="BI164">
        <f ca="1">IF(AND(ISNUMBER($BI$835),$B$677=1),$BI$835,HLOOKUP(INDIRECT(ADDRESS(2,COLUMN())),OFFSET($BN$2,0,0,ROW()-1,60),ROW()-1,FALSE))</f>
        <v>1.035462157</v>
      </c>
      <c r="BJ164">
        <f ca="1">IF(AND(ISNUMBER($BJ$835),$B$677=1),$BJ$835,HLOOKUP(INDIRECT(ADDRESS(2,COLUMN())),OFFSET($BN$2,0,0,ROW()-1,60),ROW()-1,FALSE))</f>
        <v>1.196275218</v>
      </c>
      <c r="BK164">
        <f ca="1">IF(AND(ISNUMBER($BK$835),$B$677=1),$BK$835,HLOOKUP(INDIRECT(ADDRESS(2,COLUMN())),OFFSET($BN$2,0,0,ROW()-1,60),ROW()-1,FALSE))</f>
        <v>1.1508622959999999</v>
      </c>
      <c r="BL164">
        <f ca="1">IF(AND(ISNUMBER($BL$835),$B$677=1),$BL$835,HLOOKUP(INDIRECT(ADDRESS(2,COLUMN())),OFFSET($BN$2,0,0,ROW()-1,60),ROW()-1,FALSE))</f>
        <v>1.809146471</v>
      </c>
      <c r="BM164">
        <f ca="1">IF(AND(ISNUMBER($BM$835),$B$677=1),$BM$835,HLOOKUP(INDIRECT(ADDRESS(2,COLUMN())),OFFSET($BN$2,0,0,ROW()-1,60),ROW()-1,FALSE))</f>
        <v>1.2593340529999999</v>
      </c>
      <c r="BN164">
        <f>2.697923004</f>
        <v>2.6979230040000002</v>
      </c>
      <c r="BO164">
        <f>2.279744938</f>
        <v>2.2797449379999999</v>
      </c>
      <c r="BP164">
        <f>3.628427319</f>
        <v>3.628427319</v>
      </c>
      <c r="BQ164">
        <f>3.73764991</f>
        <v>3.73764991</v>
      </c>
      <c r="BR164">
        <f>4.525351844</f>
        <v>4.5253518440000002</v>
      </c>
      <c r="BS164">
        <f>4.607822917</f>
        <v>4.607822917</v>
      </c>
      <c r="BT164">
        <f>4.710643247</f>
        <v>4.7106432470000001</v>
      </c>
      <c r="BU164">
        <f>4.709655446</f>
        <v>4.7096554460000002</v>
      </c>
      <c r="BV164">
        <f>4.851575996</f>
        <v>4.8515759960000002</v>
      </c>
      <c r="BW164">
        <f>4.165749492</f>
        <v>4.1657494919999998</v>
      </c>
      <c r="BX164">
        <f>3.849817055</f>
        <v>3.8498170549999999</v>
      </c>
      <c r="BY164">
        <f>4.364211545</f>
        <v>4.3642115449999999</v>
      </c>
      <c r="BZ164">
        <f>4.672129338</f>
        <v>4.6721293380000004</v>
      </c>
      <c r="CA164">
        <f>3.669222408</f>
        <v>3.669222408</v>
      </c>
      <c r="CB164">
        <f>4.136234427</f>
        <v>4.1362344269999998</v>
      </c>
      <c r="CC164">
        <f>4.283828197</f>
        <v>4.2838281970000001</v>
      </c>
      <c r="CD164">
        <f>4.002059218</f>
        <v>4.0020592180000003</v>
      </c>
      <c r="CE164">
        <f>3.558407636</f>
        <v>3.5584076360000001</v>
      </c>
      <c r="CF164">
        <f>3.137884017</f>
        <v>3.1378840170000002</v>
      </c>
      <c r="CG164">
        <f>3.467521584</f>
        <v>3.467521584</v>
      </c>
      <c r="CH164">
        <f>3.552139265</f>
        <v>3.5521392650000001</v>
      </c>
      <c r="CI164">
        <f>3.528518328</f>
        <v>3.5285183280000001</v>
      </c>
      <c r="CJ164">
        <f>3.390430386</f>
        <v>3.3904303859999998</v>
      </c>
      <c r="CK164">
        <f>3.417547761</f>
        <v>3.4175477609999998</v>
      </c>
      <c r="CL164">
        <f>3.822323188</f>
        <v>3.8223231879999999</v>
      </c>
      <c r="CM164">
        <f>2.533823513</f>
        <v>2.5338235130000002</v>
      </c>
      <c r="CN164">
        <f>2.333898644</f>
        <v>2.333898644</v>
      </c>
      <c r="CO164">
        <f>2.092400854</f>
        <v>2.0924008540000001</v>
      </c>
      <c r="CP164">
        <f>2.26421553</f>
        <v>2.26421553</v>
      </c>
      <c r="CQ164">
        <f>1.654253247</f>
        <v>1.654253247</v>
      </c>
      <c r="CR164">
        <f>2.052606068</f>
        <v>2.0526060679999998</v>
      </c>
      <c r="CS164">
        <f>2.388725731</f>
        <v>2.3887257310000001</v>
      </c>
      <c r="CT164">
        <f>2.924986834</f>
        <v>2.9249868339999998</v>
      </c>
      <c r="CU164">
        <f>2.333113505</f>
        <v>2.333113505</v>
      </c>
      <c r="CV164">
        <f>2.320989794</f>
        <v>2.3209897939999999</v>
      </c>
      <c r="CW164">
        <f>1.723907856</f>
        <v>1.7239078560000001</v>
      </c>
      <c r="CX164">
        <f>1.967050184</f>
        <v>1.9670501840000001</v>
      </c>
      <c r="CY164">
        <f>1.659356592</f>
        <v>1.659356592</v>
      </c>
      <c r="CZ164">
        <f>1.622484373</f>
        <v>1.622484373</v>
      </c>
      <c r="DA164">
        <f>1.140414604</f>
        <v>1.1404146040000001</v>
      </c>
      <c r="DB164">
        <f>0.669026896</f>
        <v>0.66902689599999998</v>
      </c>
      <c r="DC164">
        <f>0.513640046</f>
        <v>0.51364004600000002</v>
      </c>
      <c r="DD164">
        <f>1.114978388</f>
        <v>1.1149783879999999</v>
      </c>
      <c r="DE164">
        <f>1.544917641</f>
        <v>1.5449176410000001</v>
      </c>
      <c r="DF164">
        <f>1.901922715</f>
        <v>1.901922715</v>
      </c>
      <c r="DG164">
        <f>2.648419114</f>
        <v>2.6484191140000002</v>
      </c>
      <c r="DH164">
        <f>2.713651867</f>
        <v>2.7136518669999998</v>
      </c>
      <c r="DI164">
        <f>3.012971435</f>
        <v>3.0129714349999999</v>
      </c>
      <c r="DJ164">
        <f>2.526969439</f>
        <v>2.5269694390000002</v>
      </c>
      <c r="DK164">
        <f>2.406689221</f>
        <v>2.4066892210000002</v>
      </c>
      <c r="DL164">
        <f>2.062014842</f>
        <v>2.062014842</v>
      </c>
      <c r="DM164">
        <f>2.210319973</f>
        <v>2.2103199729999998</v>
      </c>
      <c r="DN164">
        <f>2.022722849</f>
        <v>2.022722849</v>
      </c>
      <c r="DO164">
        <f>1.367650473</f>
        <v>1.3676504730000001</v>
      </c>
      <c r="DP164">
        <f>1.111982009</f>
        <v>1.1119820090000001</v>
      </c>
      <c r="DQ164">
        <f>1.035462157</f>
        <v>1.035462157</v>
      </c>
      <c r="DR164">
        <f>1.196275218</f>
        <v>1.196275218</v>
      </c>
      <c r="DS164">
        <f>1.150862296</f>
        <v>1.1508622959999999</v>
      </c>
      <c r="DT164">
        <f>1.809146471</f>
        <v>1.809146471</v>
      </c>
      <c r="DU164">
        <f>1.259334053</f>
        <v>1.2593340529999999</v>
      </c>
    </row>
    <row r="165" spans="1:125" x14ac:dyDescent="0.25">
      <c r="A165" t="str">
        <f>"    Toyota Motor Corp"</f>
        <v xml:space="preserve">    Toyota Motor Corp</v>
      </c>
      <c r="B165" t="str">
        <f>"7203 JP Equity"</f>
        <v>7203 JP Equity</v>
      </c>
      <c r="C165" t="str">
        <f t="shared" si="9"/>
        <v>RR903</v>
      </c>
      <c r="D165" t="str">
        <f t="shared" si="10"/>
        <v>PX_TO_BOOK_RATIO</v>
      </c>
      <c r="E165" t="str">
        <f t="shared" si="11"/>
        <v>Dynamic</v>
      </c>
      <c r="F165">
        <f ca="1">IF(AND(ISNUMBER($F$836),$B$677=1),$F$836,HLOOKUP(INDIRECT(ADDRESS(2,COLUMN())),OFFSET($BN$2,0,0,ROW()-1,60),ROW()-1,FALSE))</f>
        <v>1.0022529490000001</v>
      </c>
      <c r="G165">
        <f ca="1">IF(AND(ISNUMBER($G$836),$B$677=1),$G$836,HLOOKUP(INDIRECT(ADDRESS(2,COLUMN())),OFFSET($BN$2,0,0,ROW()-1,60),ROW()-1,FALSE))</f>
        <v>0.95542148699999996</v>
      </c>
      <c r="H165">
        <f ca="1">IF(AND(ISNUMBER($H$836),$B$677=1),$H$836,HLOOKUP(INDIRECT(ADDRESS(2,COLUMN())),OFFSET($BN$2,0,0,ROW()-1,60),ROW()-1,FALSE))</f>
        <v>1.0433597880000001</v>
      </c>
      <c r="I165">
        <f ca="1">IF(AND(ISNUMBER($I$836),$B$677=1),$I$836,HLOOKUP(INDIRECT(ADDRESS(2,COLUMN())),OFFSET($BN$2,0,0,ROW()-1,60),ROW()-1,FALSE))</f>
        <v>1.094634441</v>
      </c>
      <c r="J165">
        <f ca="1">IF(AND(ISNUMBER($J$836),$B$677=1),$J$836,HLOOKUP(INDIRECT(ADDRESS(2,COLUMN())),OFFSET($BN$2,0,0,ROW()-1,60),ROW()-1,FALSE))</f>
        <v>1.060004824</v>
      </c>
      <c r="K165">
        <f ca="1">IF(AND(ISNUMBER($K$836),$B$677=1),$K$836,HLOOKUP(INDIRECT(ADDRESS(2,COLUMN())),OFFSET($BN$2,0,0,ROW()-1,60),ROW()-1,FALSE))</f>
        <v>1.115678264</v>
      </c>
      <c r="L165">
        <f ca="1">IF(AND(ISNUMBER($L$836),$B$677=1),$L$836,HLOOKUP(INDIRECT(ADDRESS(2,COLUMN())),OFFSET($BN$2,0,0,ROW()-1,60),ROW()-1,FALSE))</f>
        <v>1.078829405</v>
      </c>
      <c r="M165">
        <f ca="1">IF(AND(ISNUMBER($M$836),$B$677=1),$M$836,HLOOKUP(INDIRECT(ADDRESS(2,COLUMN())),OFFSET($BN$2,0,0,ROW()-1,60),ROW()-1,FALSE))</f>
        <v>0.98074099000000003</v>
      </c>
      <c r="N165">
        <f ca="1">IF(AND(ISNUMBER($N$836),$B$677=1),$N$836,HLOOKUP(INDIRECT(ADDRESS(2,COLUMN())),OFFSET($BN$2,0,0,ROW()-1,60),ROW()-1,FALSE))</f>
        <v>1.0261758089999999</v>
      </c>
      <c r="O165">
        <f ca="1">IF(AND(ISNUMBER($O$836),$B$677=1),$O$836,HLOOKUP(INDIRECT(ADDRESS(2,COLUMN())),OFFSET($BN$2,0,0,ROW()-1,60),ROW()-1,FALSE))</f>
        <v>1.1885280949999999</v>
      </c>
      <c r="P165">
        <f ca="1">IF(AND(ISNUMBER($P$836),$B$677=1),$P$836,HLOOKUP(INDIRECT(ADDRESS(2,COLUMN())),OFFSET($BN$2,0,0,ROW()-1,60),ROW()-1,FALSE))</f>
        <v>1.05882418</v>
      </c>
      <c r="Q165">
        <f ca="1">IF(AND(ISNUMBER($Q$836),$B$677=1),$Q$836,HLOOKUP(INDIRECT(ADDRESS(2,COLUMN())),OFFSET($BN$2,0,0,ROW()-1,60),ROW()-1,FALSE))</f>
        <v>0.94321432999999999</v>
      </c>
      <c r="R165">
        <f ca="1">IF(AND(ISNUMBER($R$836),$B$677=1),$R$836,HLOOKUP(INDIRECT(ADDRESS(2,COLUMN())),OFFSET($BN$2,0,0,ROW()-1,60),ROW()-1,FALSE))</f>
        <v>1.0796153180000001</v>
      </c>
      <c r="S165">
        <f ca="1">IF(AND(ISNUMBER($S$836),$B$677=1),$S$836,HLOOKUP(INDIRECT(ADDRESS(2,COLUMN())),OFFSET($BN$2,0,0,ROW()-1,60),ROW()-1,FALSE))</f>
        <v>1.3315913150000001</v>
      </c>
      <c r="T165">
        <f ca="1">IF(AND(ISNUMBER($T$836),$B$677=1),$T$836,HLOOKUP(INDIRECT(ADDRESS(2,COLUMN())),OFFSET($BN$2,0,0,ROW()-1,60),ROW()-1,FALSE))</f>
        <v>1.2738539360000001</v>
      </c>
      <c r="U165">
        <f ca="1">IF(AND(ISNUMBER($U$836),$B$677=1),$U$836,HLOOKUP(INDIRECT(ADDRESS(2,COLUMN())),OFFSET($BN$2,0,0,ROW()-1,60),ROW()-1,FALSE))</f>
        <v>1.500506925</v>
      </c>
      <c r="V165">
        <f ca="1">IF(AND(ISNUMBER($V$836),$B$677=1),$V$836,HLOOKUP(INDIRECT(ADDRESS(2,COLUMN())),OFFSET($BN$2,0,0,ROW()-1,60),ROW()-1,FALSE))</f>
        <v>1.5713328520000001</v>
      </c>
      <c r="W165">
        <f ca="1">IF(AND(ISNUMBER($W$836),$B$677=1),$W$836,HLOOKUP(INDIRECT(ADDRESS(2,COLUMN())),OFFSET($BN$2,0,0,ROW()-1,60),ROW()-1,FALSE))</f>
        <v>1.4571089770000001</v>
      </c>
      <c r="X165">
        <f ca="1">IF(AND(ISNUMBER($X$836),$B$677=1),$X$836,HLOOKUP(INDIRECT(ADDRESS(2,COLUMN())),OFFSET($BN$2,0,0,ROW()-1,60),ROW()-1,FALSE))</f>
        <v>1.3255387460000001</v>
      </c>
      <c r="Y165">
        <f ca="1">IF(AND(ISNUMBER($Y$836),$B$677=1),$Y$836,HLOOKUP(INDIRECT(ADDRESS(2,COLUMN())),OFFSET($BN$2,0,0,ROW()-1,60),ROW()-1,FALSE))</f>
        <v>1.3106789750000001</v>
      </c>
      <c r="Z165">
        <f ca="1">IF(AND(ISNUMBER($Z$836),$B$677=1),$Z$836,HLOOKUP(INDIRECT(ADDRESS(2,COLUMN())),OFFSET($BN$2,0,0,ROW()-1,60),ROW()-1,FALSE))</f>
        <v>1.2763057449999999</v>
      </c>
      <c r="AA165">
        <f ca="1">IF(AND(ISNUMBER($AA$836),$B$677=1),$AA$836,HLOOKUP(INDIRECT(ADDRESS(2,COLUMN())),OFFSET($BN$2,0,0,ROW()-1,60),ROW()-1,FALSE))</f>
        <v>1.431876959</v>
      </c>
      <c r="AB165">
        <f ca="1">IF(AND(ISNUMBER($AB$836),$B$677=1),$AB$836,HLOOKUP(INDIRECT(ADDRESS(2,COLUMN())),OFFSET($BN$2,0,0,ROW()-1,60),ROW()-1,FALSE))</f>
        <v>1.4861210949999999</v>
      </c>
      <c r="AC165">
        <f ca="1">IF(AND(ISNUMBER($AC$836),$B$677=1),$AC$836,HLOOKUP(INDIRECT(ADDRESS(2,COLUMN())),OFFSET($BN$2,0,0,ROW()-1,60),ROW()-1,FALSE))</f>
        <v>1.4715844570000001</v>
      </c>
      <c r="AD165">
        <f ca="1">IF(AND(ISNUMBER($AD$836),$B$677=1),$AD$836,HLOOKUP(INDIRECT(ADDRESS(2,COLUMN())),OFFSET($BN$2,0,0,ROW()-1,60),ROW()-1,FALSE))</f>
        <v>1.267176538</v>
      </c>
      <c r="AE165">
        <f ca="1">IF(AND(ISNUMBER($AE$836),$B$677=1),$AE$836,HLOOKUP(INDIRECT(ADDRESS(2,COLUMN())),OFFSET($BN$2,0,0,ROW()-1,60),ROW()-1,FALSE))</f>
        <v>1.1262237159999999</v>
      </c>
      <c r="AF165">
        <f ca="1">IF(AND(ISNUMBER($AF$836),$B$677=1),$AF$836,HLOOKUP(INDIRECT(ADDRESS(2,COLUMN())),OFFSET($BN$2,0,0,ROW()-1,60),ROW()-1,FALSE))</f>
        <v>0.89646918399999997</v>
      </c>
      <c r="AG165">
        <f ca="1">IF(AND(ISNUMBER($AG$836),$B$677=1),$AG$836,HLOOKUP(INDIRECT(ADDRESS(2,COLUMN())),OFFSET($BN$2,0,0,ROW()-1,60),ROW()-1,FALSE))</f>
        <v>0.96116697699999998</v>
      </c>
      <c r="AH165">
        <f ca="1">IF(AND(ISNUMBER($AH$836),$B$677=1),$AH$836,HLOOKUP(INDIRECT(ADDRESS(2,COLUMN())),OFFSET($BN$2,0,0,ROW()-1,60),ROW()-1,FALSE))</f>
        <v>1.0715859729999999</v>
      </c>
      <c r="AI165">
        <f ca="1">IF(AND(ISNUMBER($AI$836),$B$677=1),$AI$836,HLOOKUP(INDIRECT(ADDRESS(2,COLUMN())),OFFSET($BN$2,0,0,ROW()-1,60),ROW()-1,FALSE))</f>
        <v>0.80238723199999995</v>
      </c>
      <c r="AJ165">
        <f ca="1">IF(AND(ISNUMBER($AJ$836),$B$677=1),$AJ$836,HLOOKUP(INDIRECT(ADDRESS(2,COLUMN())),OFFSET($BN$2,0,0,ROW()-1,60),ROW()-1,FALSE))</f>
        <v>0.84148946000000002</v>
      </c>
      <c r="AK165">
        <f ca="1">IF(AND(ISNUMBER($AK$836),$B$677=1),$AK$836,HLOOKUP(INDIRECT(ADDRESS(2,COLUMN())),OFFSET($BN$2,0,0,ROW()-1,60),ROW()-1,FALSE))</f>
        <v>0.99511712200000002</v>
      </c>
      <c r="AL165">
        <f ca="1">IF(AND(ISNUMBER($AL$836),$B$677=1),$AL$836,HLOOKUP(INDIRECT(ADDRESS(2,COLUMN())),OFFSET($BN$2,0,0,ROW()-1,60),ROW()-1,FALSE))</f>
        <v>1.0166680669999999</v>
      </c>
      <c r="AM165">
        <f ca="1">IF(AND(ISNUMBER($AM$836),$B$677=1),$AM$836,HLOOKUP(INDIRECT(ADDRESS(2,COLUMN())),OFFSET($BN$2,0,0,ROW()-1,60),ROW()-1,FALSE))</f>
        <v>0.98700905699999997</v>
      </c>
      <c r="AN165">
        <f ca="1">IF(AND(ISNUMBER($AN$836),$B$677=1),$AN$836,HLOOKUP(INDIRECT(ADDRESS(2,COLUMN())),OFFSET($BN$2,0,0,ROW()-1,60),ROW()-1,FALSE))</f>
        <v>0.91962080000000002</v>
      </c>
      <c r="AO165">
        <f ca="1">IF(AND(ISNUMBER($AO$836),$B$677=1),$AO$836,HLOOKUP(INDIRECT(ADDRESS(2,COLUMN())),OFFSET($BN$2,0,0,ROW()-1,60),ROW()-1,FALSE))</f>
        <v>0.948246857</v>
      </c>
      <c r="AP165">
        <f ca="1">IF(AND(ISNUMBER($AP$836),$B$677=1),$AP$836,HLOOKUP(INDIRECT(ADDRESS(2,COLUMN())),OFFSET($BN$2,0,0,ROW()-1,60),ROW()-1,FALSE))</f>
        <v>1.133650125</v>
      </c>
      <c r="AQ165">
        <f ca="1">IF(AND(ISNUMBER($AQ$836),$B$677=1),$AQ$836,HLOOKUP(INDIRECT(ADDRESS(2,COLUMN())),OFFSET($BN$2,0,0,ROW()-1,60),ROW()-1,FALSE))</f>
        <v>1.200784297</v>
      </c>
      <c r="AR165">
        <f ca="1">IF(AND(ISNUMBER($AR$836),$B$677=1),$AR$836,HLOOKUP(INDIRECT(ADDRESS(2,COLUMN())),OFFSET($BN$2,0,0,ROW()-1,60),ROW()-1,FALSE))</f>
        <v>1.122513812</v>
      </c>
      <c r="AS165">
        <f ca="1">IF(AND(ISNUMBER($AS$836),$B$677=1),$AS$836,HLOOKUP(INDIRECT(ADDRESS(2,COLUMN())),OFFSET($BN$2,0,0,ROW()-1,60),ROW()-1,FALSE))</f>
        <v>1.1433193109999999</v>
      </c>
      <c r="AT165">
        <f ca="1">IF(AND(ISNUMBER($AT$836),$B$677=1),$AT$836,HLOOKUP(INDIRECT(ADDRESS(2,COLUMN())),OFFSET($BN$2,0,0,ROW()-1,60),ROW()-1,FALSE))</f>
        <v>0.97244315100000001</v>
      </c>
      <c r="AU165">
        <f ca="1">IF(AND(ISNUMBER($AU$836),$B$677=1),$AU$836,HLOOKUP(INDIRECT(ADDRESS(2,COLUMN())),OFFSET($BN$2,0,0,ROW()-1,60),ROW()-1,FALSE))</f>
        <v>0.82885308199999996</v>
      </c>
      <c r="AV165">
        <f ca="1">IF(AND(ISNUMBER($AV$836),$B$677=1),$AV$836,HLOOKUP(INDIRECT(ADDRESS(2,COLUMN())),OFFSET($BN$2,0,0,ROW()-1,60),ROW()-1,FALSE))</f>
        <v>1.15139543</v>
      </c>
      <c r="AW165">
        <f ca="1">IF(AND(ISNUMBER($AW$836),$B$677=1),$AW$836,HLOOKUP(INDIRECT(ADDRESS(2,COLUMN())),OFFSET($BN$2,0,0,ROW()-1,60),ROW()-1,FALSE))</f>
        <v>1.2876817190000001</v>
      </c>
      <c r="AX165">
        <f ca="1">IF(AND(ISNUMBER($AX$836),$B$677=1),$AX$836,HLOOKUP(INDIRECT(ADDRESS(2,COLUMN())),OFFSET($BN$2,0,0,ROW()-1,60),ROW()-1,FALSE))</f>
        <v>1.3186642449999999</v>
      </c>
      <c r="AY165">
        <f ca="1">IF(AND(ISNUMBER($AY$836),$B$677=1),$AY$836,HLOOKUP(INDIRECT(ADDRESS(2,COLUMN())),OFFSET($BN$2,0,0,ROW()-1,60),ROW()-1,FALSE))</f>
        <v>1.5320111700000001</v>
      </c>
      <c r="AZ165">
        <f ca="1">IF(AND(ISNUMBER($AZ$836),$B$677=1),$AZ$836,HLOOKUP(INDIRECT(ADDRESS(2,COLUMN())),OFFSET($BN$2,0,0,ROW()-1,60),ROW()-1,FALSE))</f>
        <v>1.743935587</v>
      </c>
      <c r="BA165">
        <f ca="1">IF(AND(ISNUMBER($BA$836),$B$677=1),$BA$836,HLOOKUP(INDIRECT(ADDRESS(2,COLUMN())),OFFSET($BN$2,0,0,ROW()-1,60),ROW()-1,FALSE))</f>
        <v>2.0249484029999998</v>
      </c>
      <c r="BB165">
        <f ca="1">IF(AND(ISNUMBER($BB$836),$B$677=1),$BB$836,HLOOKUP(INDIRECT(ADDRESS(2,COLUMN())),OFFSET($BN$2,0,0,ROW()-1,60),ROW()-1,FALSE))</f>
        <v>2.0398981369999998</v>
      </c>
      <c r="BC165">
        <f ca="1">IF(AND(ISNUMBER($BC$836),$B$677=1),$BC$836,HLOOKUP(INDIRECT(ADDRESS(2,COLUMN())),OFFSET($BN$2,0,0,ROW()-1,60),ROW()-1,FALSE))</f>
        <v>2.2582649379999999</v>
      </c>
      <c r="BD165">
        <f ca="1">IF(AND(ISNUMBER($BD$836),$B$677=1),$BD$836,HLOOKUP(INDIRECT(ADDRESS(2,COLUMN())),OFFSET($BN$2,0,0,ROW()-1,60),ROW()-1,FALSE))</f>
        <v>1.877951902</v>
      </c>
      <c r="BE165">
        <f ca="1">IF(AND(ISNUMBER($BE$836),$B$677=1),$BE$836,HLOOKUP(INDIRECT(ADDRESS(2,COLUMN())),OFFSET($BN$2,0,0,ROW()-1,60),ROW()-1,FALSE))</f>
        <v>1.8428104240000001</v>
      </c>
      <c r="BF165">
        <f ca="1">IF(AND(ISNUMBER($BF$836),$B$677=1),$BF$836,HLOOKUP(INDIRECT(ADDRESS(2,COLUMN())),OFFSET($BN$2,0,0,ROW()-1,60),ROW()-1,FALSE))</f>
        <v>1.9738268240000001</v>
      </c>
      <c r="BG165">
        <f ca="1">IF(AND(ISNUMBER($BG$836),$B$677=1),$BG$836,HLOOKUP(INDIRECT(ADDRESS(2,COLUMN())),OFFSET($BN$2,0,0,ROW()-1,60),ROW()-1,FALSE))</f>
        <v>1.9529255590000001</v>
      </c>
      <c r="BH165">
        <f ca="1">IF(AND(ISNUMBER($BH$836),$B$677=1),$BH$836,HLOOKUP(INDIRECT(ADDRESS(2,COLUMN())),OFFSET($BN$2,0,0,ROW()-1,60),ROW()-1,FALSE))</f>
        <v>1.7450164939999999</v>
      </c>
      <c r="BI165">
        <f ca="1">IF(AND(ISNUMBER($BI$836),$B$677=1),$BI$836,HLOOKUP(INDIRECT(ADDRESS(2,COLUMN())),OFFSET($BN$2,0,0,ROW()-1,60),ROW()-1,FALSE))</f>
        <v>1.408315803</v>
      </c>
      <c r="BJ165">
        <f ca="1">IF(AND(ISNUMBER($BJ$836),$B$677=1),$BJ$836,HLOOKUP(INDIRECT(ADDRESS(2,COLUMN())),OFFSET($BN$2,0,0,ROW()-1,60),ROW()-1,FALSE))</f>
        <v>1.4416480979999999</v>
      </c>
      <c r="BK165">
        <f ca="1">IF(AND(ISNUMBER($BK$836),$B$677=1),$BK$836,HLOOKUP(INDIRECT(ADDRESS(2,COLUMN())),OFFSET($BN$2,0,0,ROW()-1,60),ROW()-1,FALSE))</f>
        <v>1.5697523410000001</v>
      </c>
      <c r="BL165">
        <f ca="1">IF(AND(ISNUMBER($BL$836),$B$677=1),$BL$836,HLOOKUP(INDIRECT(ADDRESS(2,COLUMN())),OFFSET($BN$2,0,0,ROW()-1,60),ROW()-1,FALSE))</f>
        <v>1.6213780470000001</v>
      </c>
      <c r="BM165">
        <f ca="1">IF(AND(ISNUMBER($BM$836),$B$677=1),$BM$836,HLOOKUP(INDIRECT(ADDRESS(2,COLUMN())),OFFSET($BN$2,0,0,ROW()-1,60),ROW()-1,FALSE))</f>
        <v>1.7525773200000001</v>
      </c>
      <c r="BN165">
        <f>1.002252949</f>
        <v>1.0022529490000001</v>
      </c>
      <c r="BO165">
        <f>0.955421487</f>
        <v>0.95542148699999996</v>
      </c>
      <c r="BP165">
        <f>1.043359788</f>
        <v>1.0433597880000001</v>
      </c>
      <c r="BQ165">
        <f>1.094634441</f>
        <v>1.094634441</v>
      </c>
      <c r="BR165">
        <f>1.060004824</f>
        <v>1.060004824</v>
      </c>
      <c r="BS165">
        <f>1.115678264</f>
        <v>1.115678264</v>
      </c>
      <c r="BT165">
        <f>1.078829405</f>
        <v>1.078829405</v>
      </c>
      <c r="BU165">
        <f>0.98074099</f>
        <v>0.98074099000000003</v>
      </c>
      <c r="BV165">
        <f>1.026175809</f>
        <v>1.0261758089999999</v>
      </c>
      <c r="BW165">
        <f>1.188528095</f>
        <v>1.1885280949999999</v>
      </c>
      <c r="BX165">
        <f>1.05882418</f>
        <v>1.05882418</v>
      </c>
      <c r="BY165">
        <f>0.94321433</f>
        <v>0.94321432999999999</v>
      </c>
      <c r="BZ165">
        <f>1.079615318</f>
        <v>1.0796153180000001</v>
      </c>
      <c r="CA165">
        <f>1.331591315</f>
        <v>1.3315913150000001</v>
      </c>
      <c r="CB165">
        <f>1.273853936</f>
        <v>1.2738539360000001</v>
      </c>
      <c r="CC165">
        <f>1.500506925</f>
        <v>1.500506925</v>
      </c>
      <c r="CD165">
        <f>1.571332852</f>
        <v>1.5713328520000001</v>
      </c>
      <c r="CE165">
        <f>1.457108977</f>
        <v>1.4571089770000001</v>
      </c>
      <c r="CF165">
        <f>1.325538746</f>
        <v>1.3255387460000001</v>
      </c>
      <c r="CG165">
        <f>1.310678975</f>
        <v>1.3106789750000001</v>
      </c>
      <c r="CH165">
        <f>1.276305745</f>
        <v>1.2763057449999999</v>
      </c>
      <c r="CI165">
        <f>1.431876959</f>
        <v>1.431876959</v>
      </c>
      <c r="CJ165">
        <f>1.486121095</f>
        <v>1.4861210949999999</v>
      </c>
      <c r="CK165">
        <f>1.471584457</f>
        <v>1.4715844570000001</v>
      </c>
      <c r="CL165">
        <f>1.267176538</f>
        <v>1.267176538</v>
      </c>
      <c r="CM165">
        <f>1.126223716</f>
        <v>1.1262237159999999</v>
      </c>
      <c r="CN165">
        <f>0.896469184</f>
        <v>0.89646918399999997</v>
      </c>
      <c r="CO165">
        <f>0.961166977</f>
        <v>0.96116697699999998</v>
      </c>
      <c r="CP165">
        <f>1.071585973</f>
        <v>1.0715859729999999</v>
      </c>
      <c r="CQ165">
        <f>0.802387232</f>
        <v>0.80238723199999995</v>
      </c>
      <c r="CR165">
        <f>0.84148946</f>
        <v>0.84148946000000002</v>
      </c>
      <c r="CS165">
        <f>0.995117122</f>
        <v>0.99511712200000002</v>
      </c>
      <c r="CT165">
        <f>1.016668067</f>
        <v>1.0166680669999999</v>
      </c>
      <c r="CU165">
        <f>0.987009057</f>
        <v>0.98700905699999997</v>
      </c>
      <c r="CV165">
        <f>0.9196208</f>
        <v>0.91962080000000002</v>
      </c>
      <c r="CW165">
        <f>0.948246857</f>
        <v>0.948246857</v>
      </c>
      <c r="CX165">
        <f>1.133650125</f>
        <v>1.133650125</v>
      </c>
      <c r="CY165">
        <f>1.200784297</f>
        <v>1.200784297</v>
      </c>
      <c r="CZ165">
        <f>1.122513812</f>
        <v>1.122513812</v>
      </c>
      <c r="DA165">
        <f>1.143319311</f>
        <v>1.1433193109999999</v>
      </c>
      <c r="DB165">
        <f>0.972443151</f>
        <v>0.97244315100000001</v>
      </c>
      <c r="DC165">
        <f>0.828853082</f>
        <v>0.82885308199999996</v>
      </c>
      <c r="DD165">
        <f>1.15139543</f>
        <v>1.15139543</v>
      </c>
      <c r="DE165">
        <f>1.287681719</f>
        <v>1.2876817190000001</v>
      </c>
      <c r="DF165">
        <f>1.318664245</f>
        <v>1.3186642449999999</v>
      </c>
      <c r="DG165">
        <f>1.53201117</f>
        <v>1.5320111700000001</v>
      </c>
      <c r="DH165">
        <f>1.743935587</f>
        <v>1.743935587</v>
      </c>
      <c r="DI165">
        <f>2.024948403</f>
        <v>2.0249484029999998</v>
      </c>
      <c r="DJ165">
        <f>2.039898137</f>
        <v>2.0398981369999998</v>
      </c>
      <c r="DK165">
        <f>2.258264938</f>
        <v>2.2582649379999999</v>
      </c>
      <c r="DL165">
        <f>1.877951902</f>
        <v>1.877951902</v>
      </c>
      <c r="DM165">
        <f>1.842810424</f>
        <v>1.8428104240000001</v>
      </c>
      <c r="DN165">
        <f>1.973826824</f>
        <v>1.9738268240000001</v>
      </c>
      <c r="DO165">
        <f>1.952925559</f>
        <v>1.9529255590000001</v>
      </c>
      <c r="DP165">
        <f>1.745016494</f>
        <v>1.7450164939999999</v>
      </c>
      <c r="DQ165">
        <f>1.408315803</f>
        <v>1.408315803</v>
      </c>
      <c r="DR165">
        <f>1.441648098</f>
        <v>1.4416480979999999</v>
      </c>
      <c r="DS165">
        <f>1.569752341</f>
        <v>1.5697523410000001</v>
      </c>
      <c r="DT165">
        <f>1.621378047</f>
        <v>1.6213780470000001</v>
      </c>
      <c r="DU165">
        <f>1.75257732</f>
        <v>1.7525773200000001</v>
      </c>
    </row>
    <row r="166" spans="1:125" x14ac:dyDescent="0.25">
      <c r="A166" t="str">
        <f>"    Volkswagen AG"</f>
        <v xml:space="preserve">    Volkswagen AG</v>
      </c>
      <c r="B166" t="str">
        <f>"VOW GR Equity"</f>
        <v>VOW GR Equity</v>
      </c>
      <c r="C166" t="str">
        <f t="shared" si="9"/>
        <v>RR903</v>
      </c>
      <c r="D166" t="str">
        <f t="shared" si="10"/>
        <v>PX_TO_BOOK_RATIO</v>
      </c>
      <c r="E166" t="str">
        <f t="shared" si="11"/>
        <v>Dynamic</v>
      </c>
      <c r="F166" t="str">
        <f ca="1">IF(AND(ISNUMBER($F$837),$B$677=1),$F$837,HLOOKUP(INDIRECT(ADDRESS(2,COLUMN())),OFFSET($BN$2,0,0,ROW()-1,60),ROW()-1,FALSE))</f>
        <v/>
      </c>
      <c r="G166">
        <f ca="1">IF(AND(ISNUMBER($G$837),$B$677=1),$G$837,HLOOKUP(INDIRECT(ADDRESS(2,COLUMN())),OFFSET($BN$2,0,0,ROW()-1,60),ROW()-1,FALSE))</f>
        <v>0.67553500700000002</v>
      </c>
      <c r="H166">
        <f ca="1">IF(AND(ISNUMBER($H$837),$B$677=1),$H$837,HLOOKUP(INDIRECT(ADDRESS(2,COLUMN())),OFFSET($BN$2,0,0,ROW()-1,60),ROW()-1,FALSE))</f>
        <v>0.73564826100000003</v>
      </c>
      <c r="I166">
        <f ca="1">IF(AND(ISNUMBER($I$837),$B$677=1),$I$837,HLOOKUP(INDIRECT(ADDRESS(2,COLUMN())),OFFSET($BN$2,0,0,ROW()-1,60),ROW()-1,FALSE))</f>
        <v>0.71040550999999996</v>
      </c>
      <c r="J166">
        <f ca="1">IF(AND(ISNUMBER($J$837),$B$677=1),$J$837,HLOOKUP(INDIRECT(ADDRESS(2,COLUMN())),OFFSET($BN$2,0,0,ROW()-1,60),ROW()-1,FALSE))</f>
        <v>0.821043619</v>
      </c>
      <c r="K166">
        <f ca="1">IF(AND(ISNUMBER($K$837),$B$677=1),$K$837,HLOOKUP(INDIRECT(ADDRESS(2,COLUMN())),OFFSET($BN$2,0,0,ROW()-1,60),ROW()-1,FALSE))</f>
        <v>0.86506250900000004</v>
      </c>
      <c r="L166">
        <f ca="1">IF(AND(ISNUMBER($L$837),$B$677=1),$L$837,HLOOKUP(INDIRECT(ADDRESS(2,COLUMN())),OFFSET($BN$2,0,0,ROW()-1,60),ROW()-1,FALSE))</f>
        <v>0.75753097700000005</v>
      </c>
      <c r="M166">
        <f ca="1">IF(AND(ISNUMBER($M$837),$B$677=1),$M$837,HLOOKUP(INDIRECT(ADDRESS(2,COLUMN())),OFFSET($BN$2,0,0,ROW()-1,60),ROW()-1,FALSE))</f>
        <v>0.73206592800000003</v>
      </c>
      <c r="N166">
        <f ca="1">IF(AND(ISNUMBER($N$837),$B$677=1),$N$837,HLOOKUP(INDIRECT(ADDRESS(2,COLUMN())),OFFSET($BN$2,0,0,ROW()-1,60),ROW()-1,FALSE))</f>
        <v>0.716048185</v>
      </c>
      <c r="O166">
        <f ca="1">IF(AND(ISNUMBER($O$837),$B$677=1),$O$837,HLOOKUP(INDIRECT(ADDRESS(2,COLUMN())),OFFSET($BN$2,0,0,ROW()-1,60),ROW()-1,FALSE))</f>
        <v>0.80533929199999998</v>
      </c>
      <c r="P166">
        <f ca="1">IF(AND(ISNUMBER($P$837),$B$677=1),$P$837,HLOOKUP(INDIRECT(ADDRESS(2,COLUMN())),OFFSET($BN$2,0,0,ROW()-1,60),ROW()-1,FALSE))</f>
        <v>0.77501358499999995</v>
      </c>
      <c r="Q166">
        <f ca="1">IF(AND(ISNUMBER($Q$837),$B$677=1),$Q$837,HLOOKUP(INDIRECT(ADDRESS(2,COLUMN())),OFFSET($BN$2,0,0,ROW()-1,60),ROW()-1,FALSE))</f>
        <v>0.75401834400000001</v>
      </c>
      <c r="R166">
        <f ca="1">IF(AND(ISNUMBER($R$837),$B$677=1),$R$837,HLOOKUP(INDIRECT(ADDRESS(2,COLUMN())),OFFSET($BN$2,0,0,ROW()-1,60),ROW()-1,FALSE))</f>
        <v>0.78011366599999998</v>
      </c>
      <c r="S166">
        <f ca="1">IF(AND(ISNUMBER($S$837),$B$677=1),$S$837,HLOOKUP(INDIRECT(ADDRESS(2,COLUMN())),OFFSET($BN$2,0,0,ROW()-1,60),ROW()-1,FALSE))</f>
        <v>0.88614010600000004</v>
      </c>
      <c r="T166">
        <f ca="1">IF(AND(ISNUMBER($T$837),$B$677=1),$T$837,HLOOKUP(INDIRECT(ADDRESS(2,COLUMN())),OFFSET($BN$2,0,0,ROW()-1,60),ROW()-1,FALSE))</f>
        <v>0.59175037799999997</v>
      </c>
      <c r="U166">
        <f ca="1">IF(AND(ISNUMBER($U$837),$B$677=1),$U$837,HLOOKUP(INDIRECT(ADDRESS(2,COLUMN())),OFFSET($BN$2,0,0,ROW()-1,60),ROW()-1,FALSE))</f>
        <v>1.1169548490000001</v>
      </c>
      <c r="V166">
        <f ca="1">IF(AND(ISNUMBER($V$837),$B$677=1),$V$837,HLOOKUP(INDIRECT(ADDRESS(2,COLUMN())),OFFSET($BN$2,0,0,ROW()-1,60),ROW()-1,FALSE))</f>
        <v>1.3941549209999999</v>
      </c>
      <c r="W166">
        <f ca="1">IF(AND(ISNUMBER($W$837),$B$677=1),$W$837,HLOOKUP(INDIRECT(ADDRESS(2,COLUMN())),OFFSET($BN$2,0,0,ROW()-1,60),ROW()-1,FALSE))</f>
        <v>1.0085833209999999</v>
      </c>
      <c r="X166">
        <f ca="1">IF(AND(ISNUMBER($X$837),$B$677=1),$X$837,HLOOKUP(INDIRECT(ADDRESS(2,COLUMN())),OFFSET($BN$2,0,0,ROW()-1,60),ROW()-1,FALSE))</f>
        <v>0.90636605699999995</v>
      </c>
      <c r="Y166">
        <f ca="1">IF(AND(ISNUMBER($Y$837),$B$677=1),$Y$837,HLOOKUP(INDIRECT(ADDRESS(2,COLUMN())),OFFSET($BN$2,0,0,ROW()-1,60),ROW()-1,FALSE))</f>
        <v>1.060002025</v>
      </c>
      <c r="Z166">
        <f ca="1">IF(AND(ISNUMBER($Z$837),$B$677=1),$Z$837,HLOOKUP(INDIRECT(ADDRESS(2,COLUMN())),OFFSET($BN$2,0,0,ROW()-1,60),ROW()-1,FALSE))</f>
        <v>1.0697418439999999</v>
      </c>
      <c r="AA166">
        <f ca="1">IF(AND(ISNUMBER($AA$837),$B$677=1),$AA$837,HLOOKUP(INDIRECT(ADDRESS(2,COLUMN())),OFFSET($BN$2,0,0,ROW()-1,60),ROW()-1,FALSE))</f>
        <v>1.0685457920000001</v>
      </c>
      <c r="AB166">
        <f ca="1">IF(AND(ISNUMBER($AB$837),$B$677=1),$AB$837,HLOOKUP(INDIRECT(ADDRESS(2,COLUMN())),OFFSET($BN$2,0,0,ROW()-1,60),ROW()-1,FALSE))</f>
        <v>0.93344671899999998</v>
      </c>
      <c r="AC166">
        <f ca="1">IF(AND(ISNUMBER($AC$837),$B$677=1),$AC$837,HLOOKUP(INDIRECT(ADDRESS(2,COLUMN())),OFFSET($BN$2,0,0,ROW()-1,60),ROW()-1,FALSE))</f>
        <v>0.85689399399999999</v>
      </c>
      <c r="AD166">
        <f ca="1">IF(AND(ISNUMBER($AD$837),$B$677=1),$AD$837,HLOOKUP(INDIRECT(ADDRESS(2,COLUMN())),OFFSET($BN$2,0,0,ROW()-1,60),ROW()-1,FALSE))</f>
        <v>0.85244303499999996</v>
      </c>
      <c r="AE166">
        <f ca="1">IF(AND(ISNUMBER($AE$837),$B$677=1),$AE$837,HLOOKUP(INDIRECT(ADDRESS(2,COLUMN())),OFFSET($BN$2,0,0,ROW()-1,60),ROW()-1,FALSE))</f>
        <v>0.97470032600000001</v>
      </c>
      <c r="AF166">
        <f ca="1">IF(AND(ISNUMBER($AF$837),$B$677=1),$AF$837,HLOOKUP(INDIRECT(ADDRESS(2,COLUMN())),OFFSET($BN$2,0,0,ROW()-1,60),ROW()-1,FALSE))</f>
        <v>0.81905201400000005</v>
      </c>
      <c r="AG166">
        <f ca="1">IF(AND(ISNUMBER($AG$837),$B$677=1),$AG$837,HLOOKUP(INDIRECT(ADDRESS(2,COLUMN())),OFFSET($BN$2,0,0,ROW()-1,60),ROW()-1,FALSE))</f>
        <v>0.88009710699999999</v>
      </c>
      <c r="AH166">
        <f ca="1">IF(AND(ISNUMBER($AH$837),$B$677=1),$AH$837,HLOOKUP(INDIRECT(ADDRESS(2,COLUMN())),OFFSET($BN$2,0,0,ROW()-1,60),ROW()-1,FALSE))</f>
        <v>0.92743196400000005</v>
      </c>
      <c r="AI166">
        <f ca="1">IF(AND(ISNUMBER($AI$837),$B$677=1),$AI$837,HLOOKUP(INDIRECT(ADDRESS(2,COLUMN())),OFFSET($BN$2,0,0,ROW()-1,60),ROW()-1,FALSE))</f>
        <v>0.83806462500000001</v>
      </c>
      <c r="AJ166">
        <f ca="1">IF(AND(ISNUMBER($AJ$837),$B$677=1),$AJ$837,HLOOKUP(INDIRECT(ADDRESS(2,COLUMN())),OFFSET($BN$2,0,0,ROW()-1,60),ROW()-1,FALSE))</f>
        <v>0.75949077499999995</v>
      </c>
      <c r="AK166">
        <f ca="1">IF(AND(ISNUMBER($AK$837),$B$677=1),$AK$837,HLOOKUP(INDIRECT(ADDRESS(2,COLUMN())),OFFSET($BN$2,0,0,ROW()-1,60),ROW()-1,FALSE))</f>
        <v>1.116091398</v>
      </c>
      <c r="AL166">
        <f ca="1">IF(AND(ISNUMBER($AL$837),$B$677=1),$AL$837,HLOOKUP(INDIRECT(ADDRESS(2,COLUMN())),OFFSET($BN$2,0,0,ROW()-1,60),ROW()-1,FALSE))</f>
        <v>1.0206753040000001</v>
      </c>
      <c r="AM166">
        <f ca="1">IF(AND(ISNUMBER($AM$837),$B$677=1),$AM$837,HLOOKUP(INDIRECT(ADDRESS(2,COLUMN())),OFFSET($BN$2,0,0,ROW()-1,60),ROW()-1,FALSE))</f>
        <v>1.071456908</v>
      </c>
      <c r="AN166">
        <f ca="1">IF(AND(ISNUMBER($AN$837),$B$677=1),$AN$837,HLOOKUP(INDIRECT(ADDRESS(2,COLUMN())),OFFSET($BN$2,0,0,ROW()-1,60),ROW()-1,FALSE))</f>
        <v>0.89298256499999995</v>
      </c>
      <c r="AO166">
        <f ca="1">IF(AND(ISNUMBER($AO$837),$B$677=1),$AO$837,HLOOKUP(INDIRECT(ADDRESS(2,COLUMN())),OFFSET($BN$2,0,0,ROW()-1,60),ROW()-1,FALSE))</f>
        <v>0.840802771</v>
      </c>
      <c r="AP166">
        <f ca="1">IF(AND(ISNUMBER($AP$837),$B$677=1),$AP$837,HLOOKUP(INDIRECT(ADDRESS(2,COLUMN())),OFFSET($BN$2,0,0,ROW()-1,60),ROW()-1,FALSE))</f>
        <v>0.84128174200000005</v>
      </c>
      <c r="AQ166">
        <f ca="1">IF(AND(ISNUMBER($AQ$837),$B$677=1),$AQ$837,HLOOKUP(INDIRECT(ADDRESS(2,COLUMN())),OFFSET($BN$2,0,0,ROW()-1,60),ROW()-1,FALSE))</f>
        <v>0.87352294799999997</v>
      </c>
      <c r="AR166">
        <f ca="1">IF(AND(ISNUMBER($AR$837),$B$677=1),$AR$837,HLOOKUP(INDIRECT(ADDRESS(2,COLUMN())),OFFSET($BN$2,0,0,ROW()-1,60),ROW()-1,FALSE))</f>
        <v>1.278223339</v>
      </c>
      <c r="AS166">
        <f ca="1">IF(AND(ISNUMBER($AS$837),$B$677=1),$AS$837,HLOOKUP(INDIRECT(ADDRESS(2,COLUMN())),OFFSET($BN$2,0,0,ROW()-1,60),ROW()-1,FALSE))</f>
        <v>2.8048716329999999</v>
      </c>
      <c r="AT166">
        <f ca="1">IF(AND(ISNUMBER($AT$837),$B$677=1),$AT$837,HLOOKUP(INDIRECT(ADDRESS(2,COLUMN())),OFFSET($BN$2,0,0,ROW()-1,60),ROW()-1,FALSE))</f>
        <v>2.6348796270000001</v>
      </c>
      <c r="AU166">
        <f ca="1">IF(AND(ISNUMBER($AU$837),$B$677=1),$AU$837,HLOOKUP(INDIRECT(ADDRESS(2,COLUMN())),OFFSET($BN$2,0,0,ROW()-1,60),ROW()-1,FALSE))</f>
        <v>2.8573768739999998</v>
      </c>
      <c r="AV166">
        <f ca="1">IF(AND(ISNUMBER($AV$837),$B$677=1),$AV$837,HLOOKUP(INDIRECT(ADDRESS(2,COLUMN())),OFFSET($BN$2,0,0,ROW()-1,60),ROW()-1,FALSE))</f>
        <v>3.1057610640000002</v>
      </c>
      <c r="AW166">
        <f ca="1">IF(AND(ISNUMBER($AW$837),$B$677=1),$AW$837,HLOOKUP(INDIRECT(ADDRESS(2,COLUMN())),OFFSET($BN$2,0,0,ROW()-1,60),ROW()-1,FALSE))</f>
        <v>2.0659590250000002</v>
      </c>
      <c r="AX166">
        <f ca="1">IF(AND(ISNUMBER($AX$837),$B$677=1),$AX$837,HLOOKUP(INDIRECT(ADDRESS(2,COLUMN())),OFFSET($BN$2,0,0,ROW()-1,60),ROW()-1,FALSE))</f>
        <v>2.1589443959999999</v>
      </c>
      <c r="AY166">
        <f ca="1">IF(AND(ISNUMBER($AY$837),$B$677=1),$AY$837,HLOOKUP(INDIRECT(ADDRESS(2,COLUMN())),OFFSET($BN$2,0,0,ROW()-1,60),ROW()-1,FALSE))</f>
        <v>1.942753621</v>
      </c>
      <c r="AZ166">
        <f ca="1">IF(AND(ISNUMBER($AZ$837),$B$677=1),$AZ$837,HLOOKUP(INDIRECT(ADDRESS(2,COLUMN())),OFFSET($BN$2,0,0,ROW()-1,60),ROW()-1,FALSE))</f>
        <v>2.0925250709999998</v>
      </c>
      <c r="BA166">
        <f ca="1">IF(AND(ISNUMBER($BA$837),$B$677=1),$BA$837,HLOOKUP(INDIRECT(ADDRESS(2,COLUMN())),OFFSET($BN$2,0,0,ROW()-1,60),ROW()-1,FALSE))</f>
        <v>1.607560082</v>
      </c>
      <c r="BB166">
        <f ca="1">IF(AND(ISNUMBER($BB$837),$B$677=1),$BB$837,HLOOKUP(INDIRECT(ADDRESS(2,COLUMN())),OFFSET($BN$2,0,0,ROW()-1,60),ROW()-1,FALSE))</f>
        <v>1.5981882510000001</v>
      </c>
      <c r="BC166">
        <f ca="1">IF(AND(ISNUMBER($BC$837),$B$677=1),$BC$837,HLOOKUP(INDIRECT(ADDRESS(2,COLUMN())),OFFSET($BN$2,0,0,ROW()-1,60),ROW()-1,FALSE))</f>
        <v>1.254766322</v>
      </c>
      <c r="BD166">
        <f ca="1">IF(AND(ISNUMBER($BD$837),$B$677=1),$BD$837,HLOOKUP(INDIRECT(ADDRESS(2,COLUMN())),OFFSET($BN$2,0,0,ROW()-1,60),ROW()-1,FALSE))</f>
        <v>1.04395685</v>
      </c>
      <c r="BE166">
        <f ca="1">IF(AND(ISNUMBER($BE$837),$B$677=1),$BE$837,HLOOKUP(INDIRECT(ADDRESS(2,COLUMN())),OFFSET($BN$2,0,0,ROW()-1,60),ROW()-1,FALSE))</f>
        <v>0.84394230999999997</v>
      </c>
      <c r="BF166">
        <f ca="1">IF(AND(ISNUMBER($BF$837),$B$677=1),$BF$837,HLOOKUP(INDIRECT(ADDRESS(2,COLUMN())),OFFSET($BN$2,0,0,ROW()-1,60),ROW()-1,FALSE))</f>
        <v>0.98465916399999998</v>
      </c>
      <c r="BG166">
        <f ca="1">IF(AND(ISNUMBER($BG$837),$B$677=1),$BG$837,HLOOKUP(INDIRECT(ADDRESS(2,COLUMN())),OFFSET($BN$2,0,0,ROW()-1,60),ROW()-1,FALSE))</f>
        <v>0.72859608899999995</v>
      </c>
      <c r="BH166">
        <f ca="1">IF(AND(ISNUMBER($BH$837),$B$677=1),$BH$837,HLOOKUP(INDIRECT(ADDRESS(2,COLUMN())),OFFSET($BN$2,0,0,ROW()-1,60),ROW()-1,FALSE))</f>
        <v>0.78928915600000005</v>
      </c>
      <c r="BI166">
        <f ca="1">IF(AND(ISNUMBER($BI$837),$B$677=1),$BI$837,HLOOKUP(INDIRECT(ADDRESS(2,COLUMN())),OFFSET($BN$2,0,0,ROW()-1,60),ROW()-1,FALSE))</f>
        <v>0.59432942499999997</v>
      </c>
      <c r="BJ166">
        <f ca="1">IF(AND(ISNUMBER($BJ$837),$B$677=1),$BJ$837,HLOOKUP(INDIRECT(ADDRESS(2,COLUMN())),OFFSET($BN$2,0,0,ROW()-1,60),ROW()-1,FALSE))</f>
        <v>0.58397042200000004</v>
      </c>
      <c r="BK166">
        <f ca="1">IF(AND(ISNUMBER($BK$837),$B$677=1),$BK$837,HLOOKUP(INDIRECT(ADDRESS(2,COLUMN())),OFFSET($BN$2,0,0,ROW()-1,60),ROW()-1,FALSE))</f>
        <v>0.56552203400000001</v>
      </c>
      <c r="BL166">
        <f ca="1">IF(AND(ISNUMBER($BL$837),$B$677=1),$BL$837,HLOOKUP(INDIRECT(ADDRESS(2,COLUMN())),OFFSET($BN$2,0,0,ROW()-1,60),ROW()-1,FALSE))</f>
        <v>0.53424106400000004</v>
      </c>
      <c r="BM166">
        <f ca="1">IF(AND(ISNUMBER($BM$837),$B$677=1),$BM$837,HLOOKUP(INDIRECT(ADDRESS(2,COLUMN())),OFFSET($BN$2,0,0,ROW()-1,60),ROW()-1,FALSE))</f>
        <v>0.59923794200000002</v>
      </c>
      <c r="BN166" t="str">
        <f>""</f>
        <v/>
      </c>
      <c r="BO166">
        <f>0.675535007</f>
        <v>0.67553500700000002</v>
      </c>
      <c r="BP166">
        <f>0.735648261</f>
        <v>0.73564826100000003</v>
      </c>
      <c r="BQ166">
        <f>0.71040551</f>
        <v>0.71040550999999996</v>
      </c>
      <c r="BR166">
        <f>0.821043619</f>
        <v>0.821043619</v>
      </c>
      <c r="BS166">
        <f>0.865062509</f>
        <v>0.86506250900000004</v>
      </c>
      <c r="BT166">
        <f>0.757530977</f>
        <v>0.75753097700000005</v>
      </c>
      <c r="BU166">
        <f>0.732065928</f>
        <v>0.73206592800000003</v>
      </c>
      <c r="BV166">
        <f>0.716048185</f>
        <v>0.716048185</v>
      </c>
      <c r="BW166">
        <f>0.805339292</f>
        <v>0.80533929199999998</v>
      </c>
      <c r="BX166">
        <f>0.775013585</f>
        <v>0.77501358499999995</v>
      </c>
      <c r="BY166">
        <f>0.754018344</f>
        <v>0.75401834400000001</v>
      </c>
      <c r="BZ166">
        <f>0.780113666</f>
        <v>0.78011366599999998</v>
      </c>
      <c r="CA166">
        <f>0.886140106</f>
        <v>0.88614010600000004</v>
      </c>
      <c r="CB166">
        <f>0.591750378</f>
        <v>0.59175037799999997</v>
      </c>
      <c r="CC166">
        <f>1.116954849</f>
        <v>1.1169548490000001</v>
      </c>
      <c r="CD166">
        <f>1.394154921</f>
        <v>1.3941549209999999</v>
      </c>
      <c r="CE166">
        <f>1.008583321</f>
        <v>1.0085833209999999</v>
      </c>
      <c r="CF166">
        <f>0.906366057</f>
        <v>0.90636605699999995</v>
      </c>
      <c r="CG166">
        <f>1.060002025</f>
        <v>1.060002025</v>
      </c>
      <c r="CH166">
        <f>1.069741844</f>
        <v>1.0697418439999999</v>
      </c>
      <c r="CI166">
        <f>1.068545792</f>
        <v>1.0685457920000001</v>
      </c>
      <c r="CJ166">
        <f>0.933446719</f>
        <v>0.93344671899999998</v>
      </c>
      <c r="CK166">
        <f>0.856893994</f>
        <v>0.85689399399999999</v>
      </c>
      <c r="CL166">
        <f>0.852443035</f>
        <v>0.85244303499999996</v>
      </c>
      <c r="CM166">
        <f>0.974700326</f>
        <v>0.97470032600000001</v>
      </c>
      <c r="CN166">
        <f>0.819052014</f>
        <v>0.81905201400000005</v>
      </c>
      <c r="CO166">
        <f>0.880097107</f>
        <v>0.88009710699999999</v>
      </c>
      <c r="CP166">
        <f>0.927431964</f>
        <v>0.92743196400000005</v>
      </c>
      <c r="CQ166">
        <f>0.838064625</f>
        <v>0.83806462500000001</v>
      </c>
      <c r="CR166">
        <f>0.759490775</f>
        <v>0.75949077499999995</v>
      </c>
      <c r="CS166">
        <f>1.116091398</f>
        <v>1.116091398</v>
      </c>
      <c r="CT166">
        <f>1.020675304</f>
        <v>1.0206753040000001</v>
      </c>
      <c r="CU166">
        <f>1.071456908</f>
        <v>1.071456908</v>
      </c>
      <c r="CV166">
        <f>0.892982565</f>
        <v>0.89298256499999995</v>
      </c>
      <c r="CW166">
        <f>0.840802771</f>
        <v>0.840802771</v>
      </c>
      <c r="CX166">
        <f>0.841281742</f>
        <v>0.84128174200000005</v>
      </c>
      <c r="CY166">
        <f>0.873522948</f>
        <v>0.87352294799999997</v>
      </c>
      <c r="CZ166">
        <f>1.278223339</f>
        <v>1.278223339</v>
      </c>
      <c r="DA166">
        <f>2.804871633</f>
        <v>2.8048716329999999</v>
      </c>
      <c r="DB166">
        <f>2.634879627</f>
        <v>2.6348796270000001</v>
      </c>
      <c r="DC166">
        <f>2.857376874</f>
        <v>2.8573768739999998</v>
      </c>
      <c r="DD166">
        <f>3.105761064</f>
        <v>3.1057610640000002</v>
      </c>
      <c r="DE166">
        <f>2.065959025</f>
        <v>2.0659590250000002</v>
      </c>
      <c r="DF166">
        <f>2.158944396</f>
        <v>2.1589443959999999</v>
      </c>
      <c r="DG166">
        <f>1.942753621</f>
        <v>1.942753621</v>
      </c>
      <c r="DH166">
        <f>2.092525071</f>
        <v>2.0925250709999998</v>
      </c>
      <c r="DI166">
        <f>1.607560082</f>
        <v>1.607560082</v>
      </c>
      <c r="DJ166">
        <f>1.598188251</f>
        <v>1.5981882510000001</v>
      </c>
      <c r="DK166">
        <f>1.254766322</f>
        <v>1.254766322</v>
      </c>
      <c r="DL166">
        <f>1.04395685</f>
        <v>1.04395685</v>
      </c>
      <c r="DM166">
        <f>0.84394231</f>
        <v>0.84394230999999997</v>
      </c>
      <c r="DN166">
        <f>0.984659164</f>
        <v>0.98465916399999998</v>
      </c>
      <c r="DO166">
        <f>0.728596089</f>
        <v>0.72859608899999995</v>
      </c>
      <c r="DP166">
        <f>0.789289156</f>
        <v>0.78928915600000005</v>
      </c>
      <c r="DQ166">
        <f>0.594329425</f>
        <v>0.59432942499999997</v>
      </c>
      <c r="DR166">
        <f>0.583970422</f>
        <v>0.58397042200000004</v>
      </c>
      <c r="DS166">
        <f>0.565522034</f>
        <v>0.56552203400000001</v>
      </c>
      <c r="DT166">
        <f>0.534241064</f>
        <v>0.53424106400000004</v>
      </c>
      <c r="DU166">
        <f>0.599237942</f>
        <v>0.59923794200000002</v>
      </c>
    </row>
    <row r="167" spans="1:125" x14ac:dyDescent="0.25">
      <c r="A167" t="str">
        <f>"    Yulon Motor Co Ltd"</f>
        <v xml:space="preserve">    Yulon Motor Co Ltd</v>
      </c>
      <c r="B167" t="str">
        <f>"2201 TT Equity"</f>
        <v>2201 TT Equity</v>
      </c>
      <c r="C167" t="str">
        <f t="shared" si="9"/>
        <v>RR903</v>
      </c>
      <c r="D167" t="str">
        <f t="shared" si="10"/>
        <v>PX_TO_BOOK_RATIO</v>
      </c>
      <c r="E167" t="str">
        <f t="shared" si="11"/>
        <v>Dynamic</v>
      </c>
      <c r="F167">
        <f ca="1">IF(AND(ISNUMBER($F$838),$B$677=1),$F$838,HLOOKUP(INDIRECT(ADDRESS(2,COLUMN())),OFFSET($BN$2,0,0,ROW()-1,60),ROW()-1,FALSE))</f>
        <v>0.41393616</v>
      </c>
      <c r="G167">
        <f ca="1">IF(AND(ISNUMBER($G$838),$B$677=1),$G$838,HLOOKUP(INDIRECT(ADDRESS(2,COLUMN())),OFFSET($BN$2,0,0,ROW()-1,60),ROW()-1,FALSE))</f>
        <v>0.39755346200000002</v>
      </c>
      <c r="H167">
        <f ca="1">IF(AND(ISNUMBER($H$838),$B$677=1),$H$838,HLOOKUP(INDIRECT(ADDRESS(2,COLUMN())),OFFSET($BN$2,0,0,ROW()-1,60),ROW()-1,FALSE))</f>
        <v>0.47400605099999998</v>
      </c>
      <c r="I167">
        <f ca="1">IF(AND(ISNUMBER($I$838),$B$677=1),$I$838,HLOOKUP(INDIRECT(ADDRESS(2,COLUMN())),OFFSET($BN$2,0,0,ROW()-1,60),ROW()-1,FALSE))</f>
        <v>0.45839031499999999</v>
      </c>
      <c r="J167">
        <f ca="1">IF(AND(ISNUMBER($J$838),$B$677=1),$J$838,HLOOKUP(INDIRECT(ADDRESS(2,COLUMN())),OFFSET($BN$2,0,0,ROW()-1,60),ROW()-1,FALSE))</f>
        <v>0.484775762</v>
      </c>
      <c r="K167">
        <f ca="1">IF(AND(ISNUMBER($K$838),$B$677=1),$K$838,HLOOKUP(INDIRECT(ADDRESS(2,COLUMN())),OFFSET($BN$2,0,0,ROW()-1,60),ROW()-1,FALSE))</f>
        <v>0.53526840399999998</v>
      </c>
      <c r="L167">
        <f ca="1">IF(AND(ISNUMBER($L$838),$B$677=1),$L$838,HLOOKUP(INDIRECT(ADDRESS(2,COLUMN())),OFFSET($BN$2,0,0,ROW()-1,60),ROW()-1,FALSE))</f>
        <v>0.57208353999999995</v>
      </c>
      <c r="M167">
        <f ca="1">IF(AND(ISNUMBER($M$838),$B$677=1),$M$838,HLOOKUP(INDIRECT(ADDRESS(2,COLUMN())),OFFSET($BN$2,0,0,ROW()-1,60),ROW()-1,FALSE))</f>
        <v>0.61289496899999996</v>
      </c>
      <c r="N167">
        <f ca="1">IF(AND(ISNUMBER($N$838),$B$677=1),$N$838,HLOOKUP(INDIRECT(ADDRESS(2,COLUMN())),OFFSET($BN$2,0,0,ROW()-1,60),ROW()-1,FALSE))</f>
        <v>0.63271647499999994</v>
      </c>
      <c r="O167">
        <f ca="1">IF(AND(ISNUMBER($O$838),$B$677=1),$O$838,HLOOKUP(INDIRECT(ADDRESS(2,COLUMN())),OFFSET($BN$2,0,0,ROW()-1,60),ROW()-1,FALSE))</f>
        <v>0.60011824199999997</v>
      </c>
      <c r="P167">
        <f ca="1">IF(AND(ISNUMBER($P$838),$B$677=1),$P$838,HLOOKUP(INDIRECT(ADDRESS(2,COLUMN())),OFFSET($BN$2,0,0,ROW()-1,60),ROW()-1,FALSE))</f>
        <v>0.60722313699999997</v>
      </c>
      <c r="Q167">
        <f ca="1">IF(AND(ISNUMBER($Q$838),$B$677=1),$Q$838,HLOOKUP(INDIRECT(ADDRESS(2,COLUMN())),OFFSET($BN$2,0,0,ROW()-1,60),ROW()-1,FALSE))</f>
        <v>0.60185283099999998</v>
      </c>
      <c r="R167">
        <f ca="1">IF(AND(ISNUMBER($R$838),$B$677=1),$R$838,HLOOKUP(INDIRECT(ADDRESS(2,COLUMN())),OFFSET($BN$2,0,0,ROW()-1,60),ROW()-1,FALSE))</f>
        <v>0.67840149000000005</v>
      </c>
      <c r="S167">
        <f ca="1">IF(AND(ISNUMBER($S$838),$B$677=1),$S$838,HLOOKUP(INDIRECT(ADDRESS(2,COLUMN())),OFFSET($BN$2,0,0,ROW()-1,60),ROW()-1,FALSE))</f>
        <v>0.65956932700000004</v>
      </c>
      <c r="T167">
        <f ca="1">IF(AND(ISNUMBER($T$838),$B$677=1),$T$838,HLOOKUP(INDIRECT(ADDRESS(2,COLUMN())),OFFSET($BN$2,0,0,ROW()-1,60),ROW()-1,FALSE))</f>
        <v>0.64657352800000001</v>
      </c>
      <c r="U167">
        <f ca="1">IF(AND(ISNUMBER($U$838),$B$677=1),$U$838,HLOOKUP(INDIRECT(ADDRESS(2,COLUMN())),OFFSET($BN$2,0,0,ROW()-1,60),ROW()-1,FALSE))</f>
        <v>0.80063355899999999</v>
      </c>
      <c r="V167">
        <f ca="1">IF(AND(ISNUMBER($V$838),$B$677=1),$V$838,HLOOKUP(INDIRECT(ADDRESS(2,COLUMN())),OFFSET($BN$2,0,0,ROW()-1,60),ROW()-1,FALSE))</f>
        <v>0.94610477500000001</v>
      </c>
      <c r="W167">
        <f ca="1">IF(AND(ISNUMBER($W$838),$B$677=1),$W$838,HLOOKUP(INDIRECT(ADDRESS(2,COLUMN())),OFFSET($BN$2,0,0,ROW()-1,60),ROW()-1,FALSE))</f>
        <v>1.036988018</v>
      </c>
      <c r="X167">
        <f ca="1">IF(AND(ISNUMBER($X$838),$B$677=1),$X$838,HLOOKUP(INDIRECT(ADDRESS(2,COLUMN())),OFFSET($BN$2,0,0,ROW()-1,60),ROW()-1,FALSE))</f>
        <v>1.024710834</v>
      </c>
      <c r="Y167">
        <f ca="1">IF(AND(ISNUMBER($Y$838),$B$677=1),$Y$838,HLOOKUP(INDIRECT(ADDRESS(2,COLUMN())),OFFSET($BN$2,0,0,ROW()-1,60),ROW()-1,FALSE))</f>
        <v>1.1191891620000001</v>
      </c>
      <c r="Z167">
        <f ca="1">IF(AND(ISNUMBER($Z$838),$B$677=1),$Z$838,HLOOKUP(INDIRECT(ADDRESS(2,COLUMN())),OFFSET($BN$2,0,0,ROW()-1,60),ROW()-1,FALSE))</f>
        <v>1.1411740020000001</v>
      </c>
      <c r="AA167">
        <f ca="1">IF(AND(ISNUMBER($AA$838),$B$677=1),$AA$838,HLOOKUP(INDIRECT(ADDRESS(2,COLUMN())),OFFSET($BN$2,0,0,ROW()-1,60),ROW()-1,FALSE))</f>
        <v>1.244939104</v>
      </c>
      <c r="AB167">
        <f ca="1">IF(AND(ISNUMBER($AB$838),$B$677=1),$AB$838,HLOOKUP(INDIRECT(ADDRESS(2,COLUMN())),OFFSET($BN$2,0,0,ROW()-1,60),ROW()-1,FALSE))</f>
        <v>1.1419686309999999</v>
      </c>
      <c r="AC167">
        <f ca="1">IF(AND(ISNUMBER($AC$838),$B$677=1),$AC$838,HLOOKUP(INDIRECT(ADDRESS(2,COLUMN())),OFFSET($BN$2,0,0,ROW()-1,60),ROW()-1,FALSE))</f>
        <v>1.1172774320000001</v>
      </c>
      <c r="AD167">
        <f ca="1">IF(AND(ISNUMBER($AD$838),$B$677=1),$AD$838,HLOOKUP(INDIRECT(ADDRESS(2,COLUMN())),OFFSET($BN$2,0,0,ROW()-1,60),ROW()-1,FALSE))</f>
        <v>1.2457993679999999</v>
      </c>
      <c r="AE167">
        <f ca="1">IF(AND(ISNUMBER($AE$838),$B$677=1),$AE$838,HLOOKUP(INDIRECT(ADDRESS(2,COLUMN())),OFFSET($BN$2,0,0,ROW()-1,60),ROW()-1,FALSE))</f>
        <v>1.317528987</v>
      </c>
      <c r="AF167">
        <f ca="1">IF(AND(ISNUMBER($AF$838),$B$677=1),$AF$838,HLOOKUP(INDIRECT(ADDRESS(2,COLUMN())),OFFSET($BN$2,0,0,ROW()-1,60),ROW()-1,FALSE))</f>
        <v>1.424330995</v>
      </c>
      <c r="AG167">
        <f ca="1">IF(AND(ISNUMBER($AG$838),$B$677=1),$AG$838,HLOOKUP(INDIRECT(ADDRESS(2,COLUMN())),OFFSET($BN$2,0,0,ROW()-1,60),ROW()-1,FALSE))</f>
        <v>1.2763574010000001</v>
      </c>
      <c r="AH167">
        <f ca="1">IF(AND(ISNUMBER($AH$838),$B$677=1),$AH$838,HLOOKUP(INDIRECT(ADDRESS(2,COLUMN())),OFFSET($BN$2,0,0,ROW()-1,60),ROW()-1,FALSE))</f>
        <v>1.3515526659999999</v>
      </c>
      <c r="AI167">
        <f ca="1">IF(AND(ISNUMBER($AI$838),$B$677=1),$AI$838,HLOOKUP(INDIRECT(ADDRESS(2,COLUMN())),OFFSET($BN$2,0,0,ROW()-1,60),ROW()-1,FALSE))</f>
        <v>1.2584150670000001</v>
      </c>
      <c r="AJ167">
        <f ca="1">IF(AND(ISNUMBER($AJ$838),$B$677=1),$AJ$838,HLOOKUP(INDIRECT(ADDRESS(2,COLUMN())),OFFSET($BN$2,0,0,ROW()-1,60),ROW()-1,FALSE))</f>
        <v>1.398701457</v>
      </c>
      <c r="AK167">
        <f ca="1">IF(AND(ISNUMBER($AK$838),$B$677=1),$AK$838,HLOOKUP(INDIRECT(ADDRESS(2,COLUMN())),OFFSET($BN$2,0,0,ROW()-1,60),ROW()-1,FALSE))</f>
        <v>1.738251701</v>
      </c>
      <c r="AL167">
        <f ca="1">IF(AND(ISNUMBER($AL$838),$B$677=1),$AL$838,HLOOKUP(INDIRECT(ADDRESS(2,COLUMN())),OFFSET($BN$2,0,0,ROW()-1,60),ROW()-1,FALSE))</f>
        <v>1.321012128</v>
      </c>
      <c r="AM167">
        <f ca="1">IF(AND(ISNUMBER($AM$838),$B$677=1),$AM$838,HLOOKUP(INDIRECT(ADDRESS(2,COLUMN())),OFFSET($BN$2,0,0,ROW()-1,60),ROW()-1,FALSE))</f>
        <v>1.54736699</v>
      </c>
      <c r="AN167">
        <f ca="1">IF(AND(ISNUMBER($AN$838),$B$677=1),$AN$838,HLOOKUP(INDIRECT(ADDRESS(2,COLUMN())),OFFSET($BN$2,0,0,ROW()-1,60),ROW()-1,FALSE))</f>
        <v>1.4280699100000001</v>
      </c>
      <c r="AO167">
        <f ca="1">IF(AND(ISNUMBER($AO$838),$B$677=1),$AO$838,HLOOKUP(INDIRECT(ADDRESS(2,COLUMN())),OFFSET($BN$2,0,0,ROW()-1,60),ROW()-1,FALSE))</f>
        <v>0.81405848800000002</v>
      </c>
      <c r="AP167">
        <f ca="1">IF(AND(ISNUMBER($AP$838),$B$677=1),$AP$838,HLOOKUP(INDIRECT(ADDRESS(2,COLUMN())),OFFSET($BN$2,0,0,ROW()-1,60),ROW()-1,FALSE))</f>
        <v>0.90632836000000006</v>
      </c>
      <c r="AQ167">
        <f ca="1">IF(AND(ISNUMBER($AQ$838),$B$677=1),$AQ$838,HLOOKUP(INDIRECT(ADDRESS(2,COLUMN())),OFFSET($BN$2,0,0,ROW()-1,60),ROW()-1,FALSE))</f>
        <v>0.98885945600000003</v>
      </c>
      <c r="AR167">
        <f ca="1">IF(AND(ISNUMBER($AR$838),$B$677=1),$AR$838,HLOOKUP(INDIRECT(ADDRESS(2,COLUMN())),OFFSET($BN$2,0,0,ROW()-1,60),ROW()-1,FALSE))</f>
        <v>0.97151553499999999</v>
      </c>
      <c r="AS167">
        <f ca="1">IF(AND(ISNUMBER($AS$838),$B$677=1),$AS$838,HLOOKUP(INDIRECT(ADDRESS(2,COLUMN())),OFFSET($BN$2,0,0,ROW()-1,60),ROW()-1,FALSE))</f>
        <v>0.83031195400000002</v>
      </c>
      <c r="AT167">
        <f ca="1">IF(AND(ISNUMBER($AT$838),$B$677=1),$AT$838,HLOOKUP(INDIRECT(ADDRESS(2,COLUMN())),OFFSET($BN$2,0,0,ROW()-1,60),ROW()-1,FALSE))</f>
        <v>0.495082313</v>
      </c>
      <c r="AU167">
        <f ca="1">IF(AND(ISNUMBER($AU$838),$B$677=1),$AU$838,HLOOKUP(INDIRECT(ADDRESS(2,COLUMN())),OFFSET($BN$2,0,0,ROW()-1,60),ROW()-1,FALSE))</f>
        <v>0.382747905</v>
      </c>
      <c r="AV167">
        <f ca="1">IF(AND(ISNUMBER($AV$838),$B$677=1),$AV$838,HLOOKUP(INDIRECT(ADDRESS(2,COLUMN())),OFFSET($BN$2,0,0,ROW()-1,60),ROW()-1,FALSE))</f>
        <v>0.45985844199999998</v>
      </c>
      <c r="AW167">
        <f ca="1">IF(AND(ISNUMBER($AW$838),$B$677=1),$AW$838,HLOOKUP(INDIRECT(ADDRESS(2,COLUMN())),OFFSET($BN$2,0,0,ROW()-1,60),ROW()-1,FALSE))</f>
        <v>0.818648924</v>
      </c>
      <c r="AX167">
        <f ca="1">IF(AND(ISNUMBER($AX$838),$B$677=1),$AX$838,HLOOKUP(INDIRECT(ADDRESS(2,COLUMN())),OFFSET($BN$2,0,0,ROW()-1,60),ROW()-1,FALSE))</f>
        <v>1.1449096439999999</v>
      </c>
      <c r="AY167" t="str">
        <f ca="1">IF(AND(ISNUMBER($AY$838),$B$677=1),$AY$838,HLOOKUP(INDIRECT(ADDRESS(2,COLUMN())),OFFSET($BN$2,0,0,ROW()-1,60),ROW()-1,FALSE))</f>
        <v/>
      </c>
      <c r="AZ167" t="str">
        <f ca="1">IF(AND(ISNUMBER($AZ$838),$B$677=1),$AZ$838,HLOOKUP(INDIRECT(ADDRESS(2,COLUMN())),OFFSET($BN$2,0,0,ROW()-1,60),ROW()-1,FALSE))</f>
        <v/>
      </c>
      <c r="BA167" t="str">
        <f ca="1">IF(AND(ISNUMBER($BA$838),$B$677=1),$BA$838,HLOOKUP(INDIRECT(ADDRESS(2,COLUMN())),OFFSET($BN$2,0,0,ROW()-1,60),ROW()-1,FALSE))</f>
        <v/>
      </c>
      <c r="BB167" t="str">
        <f ca="1">IF(AND(ISNUMBER($BB$838),$B$677=1),$BB$838,HLOOKUP(INDIRECT(ADDRESS(2,COLUMN())),OFFSET($BN$2,0,0,ROW()-1,60),ROW()-1,FALSE))</f>
        <v/>
      </c>
      <c r="BC167" t="str">
        <f ca="1">IF(AND(ISNUMBER($BC$838),$B$677=1),$BC$838,HLOOKUP(INDIRECT(ADDRESS(2,COLUMN())),OFFSET($BN$2,0,0,ROW()-1,60),ROW()-1,FALSE))</f>
        <v/>
      </c>
      <c r="BD167" t="str">
        <f ca="1">IF(AND(ISNUMBER($BD$838),$B$677=1),$BD$838,HLOOKUP(INDIRECT(ADDRESS(2,COLUMN())),OFFSET($BN$2,0,0,ROW()-1,60),ROW()-1,FALSE))</f>
        <v/>
      </c>
      <c r="BE167" t="str">
        <f ca="1">IF(AND(ISNUMBER($BE$838),$B$677=1),$BE$838,HLOOKUP(INDIRECT(ADDRESS(2,COLUMN())),OFFSET($BN$2,0,0,ROW()-1,60),ROW()-1,FALSE))</f>
        <v/>
      </c>
      <c r="BF167" t="str">
        <f ca="1">IF(AND(ISNUMBER($BF$838),$B$677=1),$BF$838,HLOOKUP(INDIRECT(ADDRESS(2,COLUMN())),OFFSET($BN$2,0,0,ROW()-1,60),ROW()-1,FALSE))</f>
        <v/>
      </c>
      <c r="BG167" t="str">
        <f ca="1">IF(AND(ISNUMBER($BG$838),$B$677=1),$BG$838,HLOOKUP(INDIRECT(ADDRESS(2,COLUMN())),OFFSET($BN$2,0,0,ROW()-1,60),ROW()-1,FALSE))</f>
        <v/>
      </c>
      <c r="BH167" t="str">
        <f ca="1">IF(AND(ISNUMBER($BH$838),$B$677=1),$BH$838,HLOOKUP(INDIRECT(ADDRESS(2,COLUMN())),OFFSET($BN$2,0,0,ROW()-1,60),ROW()-1,FALSE))</f>
        <v/>
      </c>
      <c r="BI167" t="str">
        <f ca="1">IF(AND(ISNUMBER($BI$838),$B$677=1),$BI$838,HLOOKUP(INDIRECT(ADDRESS(2,COLUMN())),OFFSET($BN$2,0,0,ROW()-1,60),ROW()-1,FALSE))</f>
        <v/>
      </c>
      <c r="BJ167" t="str">
        <f ca="1">IF(AND(ISNUMBER($BJ$838),$B$677=1),$BJ$838,HLOOKUP(INDIRECT(ADDRESS(2,COLUMN())),OFFSET($BN$2,0,0,ROW()-1,60),ROW()-1,FALSE))</f>
        <v/>
      </c>
      <c r="BK167" t="str">
        <f ca="1">IF(AND(ISNUMBER($BK$838),$B$677=1),$BK$838,HLOOKUP(INDIRECT(ADDRESS(2,COLUMN())),OFFSET($BN$2,0,0,ROW()-1,60),ROW()-1,FALSE))</f>
        <v/>
      </c>
      <c r="BL167" t="str">
        <f ca="1">IF(AND(ISNUMBER($BL$838),$B$677=1),$BL$838,HLOOKUP(INDIRECT(ADDRESS(2,COLUMN())),OFFSET($BN$2,0,0,ROW()-1,60),ROW()-1,FALSE))</f>
        <v/>
      </c>
      <c r="BM167" t="str">
        <f ca="1">IF(AND(ISNUMBER($BM$838),$B$677=1),$BM$838,HLOOKUP(INDIRECT(ADDRESS(2,COLUMN())),OFFSET($BN$2,0,0,ROW()-1,60),ROW()-1,FALSE))</f>
        <v/>
      </c>
      <c r="BN167">
        <f>0.41393616</f>
        <v>0.41393616</v>
      </c>
      <c r="BO167">
        <f>0.397553462</f>
        <v>0.39755346200000002</v>
      </c>
      <c r="BP167">
        <f>0.474006051</f>
        <v>0.47400605099999998</v>
      </c>
      <c r="BQ167">
        <f>0.458390315</f>
        <v>0.45839031499999999</v>
      </c>
      <c r="BR167">
        <f>0.484775762</f>
        <v>0.484775762</v>
      </c>
      <c r="BS167">
        <f>0.535268404</f>
        <v>0.53526840399999998</v>
      </c>
      <c r="BT167">
        <f>0.57208354</f>
        <v>0.57208353999999995</v>
      </c>
      <c r="BU167">
        <f>0.612894969</f>
        <v>0.61289496899999996</v>
      </c>
      <c r="BV167">
        <f>0.632716475</f>
        <v>0.63271647499999994</v>
      </c>
      <c r="BW167">
        <f>0.600118242</f>
        <v>0.60011824199999997</v>
      </c>
      <c r="BX167">
        <f>0.607223137</f>
        <v>0.60722313699999997</v>
      </c>
      <c r="BY167">
        <f>0.601852831</f>
        <v>0.60185283099999998</v>
      </c>
      <c r="BZ167">
        <f>0.67840149</f>
        <v>0.67840149000000005</v>
      </c>
      <c r="CA167">
        <f>0.659569327</f>
        <v>0.65956932700000004</v>
      </c>
      <c r="CB167">
        <f>0.646573528</f>
        <v>0.64657352800000001</v>
      </c>
      <c r="CC167">
        <f>0.800633559</f>
        <v>0.80063355899999999</v>
      </c>
      <c r="CD167">
        <f>0.946104775</f>
        <v>0.94610477500000001</v>
      </c>
      <c r="CE167">
        <f>1.036988018</f>
        <v>1.036988018</v>
      </c>
      <c r="CF167">
        <f>1.024710834</f>
        <v>1.024710834</v>
      </c>
      <c r="CG167">
        <f>1.119189162</f>
        <v>1.1191891620000001</v>
      </c>
      <c r="CH167">
        <f>1.141174002</f>
        <v>1.1411740020000001</v>
      </c>
      <c r="CI167">
        <f>1.244939104</f>
        <v>1.244939104</v>
      </c>
      <c r="CJ167">
        <f>1.141968631</f>
        <v>1.1419686309999999</v>
      </c>
      <c r="CK167">
        <f>1.117277432</f>
        <v>1.1172774320000001</v>
      </c>
      <c r="CL167">
        <f>1.245799368</f>
        <v>1.2457993679999999</v>
      </c>
      <c r="CM167">
        <f>1.317528987</f>
        <v>1.317528987</v>
      </c>
      <c r="CN167">
        <f>1.424330995</f>
        <v>1.424330995</v>
      </c>
      <c r="CO167">
        <f>1.276357401</f>
        <v>1.2763574010000001</v>
      </c>
      <c r="CP167">
        <f>1.351552666</f>
        <v>1.3515526659999999</v>
      </c>
      <c r="CQ167">
        <f>1.258415067</f>
        <v>1.2584150670000001</v>
      </c>
      <c r="CR167">
        <f>1.398701457</f>
        <v>1.398701457</v>
      </c>
      <c r="CS167">
        <f>1.738251701</f>
        <v>1.738251701</v>
      </c>
      <c r="CT167">
        <f>1.321012128</f>
        <v>1.321012128</v>
      </c>
      <c r="CU167">
        <f>1.54736699</f>
        <v>1.54736699</v>
      </c>
      <c r="CV167">
        <f>1.42806991</f>
        <v>1.4280699100000001</v>
      </c>
      <c r="CW167">
        <f>0.814058488</f>
        <v>0.81405848800000002</v>
      </c>
      <c r="CX167">
        <f>0.90632836</f>
        <v>0.90632836000000006</v>
      </c>
      <c r="CY167">
        <f>0.988859456</f>
        <v>0.98885945600000003</v>
      </c>
      <c r="CZ167">
        <f>0.971515535</f>
        <v>0.97151553499999999</v>
      </c>
      <c r="DA167">
        <f>0.830311954</f>
        <v>0.83031195400000002</v>
      </c>
      <c r="DB167">
        <f>0.495082313</f>
        <v>0.495082313</v>
      </c>
      <c r="DC167">
        <f>0.382747905</f>
        <v>0.382747905</v>
      </c>
      <c r="DD167">
        <f>0.459858442</f>
        <v>0.45985844199999998</v>
      </c>
      <c r="DE167">
        <f>0.818648924</f>
        <v>0.818648924</v>
      </c>
      <c r="DF167">
        <f>1.144909644</f>
        <v>1.1449096439999999</v>
      </c>
      <c r="DG167" t="str">
        <f>""</f>
        <v/>
      </c>
      <c r="DH167" t="str">
        <f>""</f>
        <v/>
      </c>
      <c r="DI167" t="str">
        <f>""</f>
        <v/>
      </c>
      <c r="DJ167" t="str">
        <f>""</f>
        <v/>
      </c>
      <c r="DK167" t="str">
        <f>""</f>
        <v/>
      </c>
      <c r="DL167" t="str">
        <f>""</f>
        <v/>
      </c>
      <c r="DM167" t="str">
        <f>""</f>
        <v/>
      </c>
      <c r="DN167" t="str">
        <f>""</f>
        <v/>
      </c>
      <c r="DO167" t="str">
        <f>""</f>
        <v/>
      </c>
      <c r="DP167" t="str">
        <f>""</f>
        <v/>
      </c>
      <c r="DQ167" t="str">
        <f>""</f>
        <v/>
      </c>
      <c r="DR167" t="str">
        <f>""</f>
        <v/>
      </c>
      <c r="DS167" t="str">
        <f>""</f>
        <v/>
      </c>
      <c r="DT167" t="str">
        <f>""</f>
        <v/>
      </c>
      <c r="DU167" t="str">
        <f>""</f>
        <v/>
      </c>
    </row>
    <row r="168" spans="1:125" x14ac:dyDescent="0.25">
      <c r="A168" t="str">
        <f>"P/Tang Book"</f>
        <v>P/Tang Book</v>
      </c>
      <c r="B168" t="str">
        <f>""</f>
        <v/>
      </c>
      <c r="E168" t="str">
        <f>"Average"</f>
        <v>Average</v>
      </c>
      <c r="F168">
        <f ca="1">IF(ISERROR(IF(AVERAGE($F$169:$F$208) = 0, "", AVERAGE($F$169:$F$208))), "", (IF(AVERAGE($F$169:$F$208) = 0, "", AVERAGE($F$169:$F$208))))</f>
        <v>2.0522873900454544</v>
      </c>
      <c r="G168">
        <f ca="1">IF(ISERROR(IF(AVERAGE($G$169:$G$208) = 0, "", AVERAGE($G$169:$G$208))), "", (IF(AVERAGE($G$169:$G$208) = 0, "", AVERAGE($G$169:$G$208))))</f>
        <v>1.8243303263214286</v>
      </c>
      <c r="H168">
        <f ca="1">IF(ISERROR(IF(AVERAGE($H$169:$H$208) = 0, "", AVERAGE($H$169:$H$208))), "", (IF(AVERAGE($H$169:$H$208) = 0, "", AVERAGE($H$169:$H$208))))</f>
        <v>2.2190839687499997</v>
      </c>
      <c r="I168">
        <f ca="1">IF(ISERROR(IF(AVERAGE($I$169:$I$208) = 0, "", AVERAGE($I$169:$I$208))), "", (IF(AVERAGE($I$169:$I$208) = 0, "", AVERAGE($I$169:$I$208))))</f>
        <v>2.3318581994642855</v>
      </c>
      <c r="J168">
        <f ca="1">IF(ISERROR(IF(AVERAGE($J$169:$J$208) = 0, "", AVERAGE($J$169:$J$208))), "", (IF(AVERAGE($J$169:$J$208) = 0, "", AVERAGE($J$169:$J$208))))</f>
        <v>6.2140404964827578</v>
      </c>
      <c r="K168">
        <f ca="1">IF(ISERROR(IF(AVERAGE($K$169:$K$208) = 0, "", AVERAGE($K$169:$K$208))), "", (IF(AVERAGE($K$169:$K$208) = 0, "", AVERAGE($K$169:$K$208))))</f>
        <v>6.9858740662413785</v>
      </c>
      <c r="L168">
        <f ca="1">IF(ISERROR(IF(AVERAGE($L$169:$L$208) = 0, "", AVERAGE($L$169:$L$208))), "", (IF(AVERAGE($L$169:$L$208) = 0, "", AVERAGE($L$169:$L$208))))</f>
        <v>3.5230693036428566</v>
      </c>
      <c r="M168">
        <f ca="1">IF(ISERROR(IF(AVERAGE($M$169:$M$208) = 0, "", AVERAGE($M$169:$M$208))), "", (IF(AVERAGE($M$169:$M$208) = 0, "", AVERAGE($M$169:$M$208))))</f>
        <v>2.5999983069999995</v>
      </c>
      <c r="N168">
        <f ca="1">IF(ISERROR(IF(AVERAGE($N$169:$N$208) = 0, "", AVERAGE($N$169:$N$208))), "", (IF(AVERAGE($N$169:$N$208) = 0, "", AVERAGE($N$169:$N$208))))</f>
        <v>2.6092884839999999</v>
      </c>
      <c r="O168">
        <f ca="1">IF(ISERROR(IF(AVERAGE($O$169:$O$208) = 0, "", AVERAGE($O$169:$O$208))), "", (IF(AVERAGE($O$169:$O$208) = 0, "", AVERAGE($O$169:$O$208))))</f>
        <v>2.2869837033333331</v>
      </c>
      <c r="P168">
        <f ca="1">IF(ISERROR(IF(AVERAGE($P$169:$P$208) = 0, "", AVERAGE($P$169:$P$208))), "", (IF(AVERAGE($P$169:$P$208) = 0, "", AVERAGE($P$169:$P$208))))</f>
        <v>2.4171585358399996</v>
      </c>
      <c r="Q168">
        <f ca="1">IF(ISERROR(IF(AVERAGE($Q$169:$Q$208) = 0, "", AVERAGE($Q$169:$Q$208))), "", (IF(AVERAGE($Q$169:$Q$208) = 0, "", AVERAGE($Q$169:$Q$208))))</f>
        <v>2.344889397703704</v>
      </c>
      <c r="R168">
        <f ca="1">IF(ISERROR(IF(AVERAGE($R$169:$R$208) = 0, "", AVERAGE($R$169:$R$208))), "", (IF(AVERAGE($R$169:$R$208) = 0, "", AVERAGE($R$169:$R$208))))</f>
        <v>3.3973575823000006</v>
      </c>
      <c r="S168">
        <f ca="1">IF(ISERROR(IF(AVERAGE($S$169:$S$208) = 0, "", AVERAGE($S$169:$S$208))), "", (IF(AVERAGE($S$169:$S$208) = 0, "", AVERAGE($S$169:$S$208))))</f>
        <v>3.1832308033000007</v>
      </c>
      <c r="T168">
        <f ca="1">IF(ISERROR(IF(AVERAGE($T$169:$T$208) = 0, "", AVERAGE($T$169:$T$208))), "", (IF(AVERAGE($T$169:$T$208) = 0, "", AVERAGE($T$169:$T$208))))</f>
        <v>2.4892038769285714</v>
      </c>
      <c r="U168">
        <f ca="1">IF(ISERROR(IF(AVERAGE($U$169:$U$208) = 0, "", AVERAGE($U$169:$U$208))), "", (IF(AVERAGE($U$169:$U$208) = 0, "", AVERAGE($U$169:$U$208))))</f>
        <v>9.0330446408214282</v>
      </c>
      <c r="V168">
        <f ca="1">IF(ISERROR(IF(AVERAGE($V$169:$V$208) = 0, "", AVERAGE($V$169:$V$208))), "", (IF(AVERAGE($V$169:$V$208) = 0, "", AVERAGE($V$169:$V$208))))</f>
        <v>11.069122726133333</v>
      </c>
      <c r="W168">
        <f ca="1">IF(ISERROR(IF(AVERAGE($W$169:$W$208) = 0, "", AVERAGE($W$169:$W$208))), "", (IF(AVERAGE($W$169:$W$208) = 0, "", AVERAGE($W$169:$W$208))))</f>
        <v>3.4531663783571434</v>
      </c>
      <c r="X168">
        <f ca="1">IF(ISERROR(IF(AVERAGE($X$169:$X$208) = 0, "", AVERAGE($X$169:$X$208))), "", (IF(AVERAGE($X$169:$X$208) = 0, "", AVERAGE($X$169:$X$208))))</f>
        <v>2.2759214110769226</v>
      </c>
      <c r="Y168">
        <f ca="1">IF(ISERROR(IF(AVERAGE($Y$169:$Y$208) = 0, "", AVERAGE($Y$169:$Y$208))), "", (IF(AVERAGE($Y$169:$Y$208) = 0, "", AVERAGE($Y$169:$Y$208))))</f>
        <v>2.3652479189642857</v>
      </c>
      <c r="Z168">
        <f ca="1">IF(ISERROR(IF(AVERAGE($Z$169:$Z$208) = 0, "", AVERAGE($Z$169:$Z$208))), "", (IF(AVERAGE($Z$169:$Z$208) = 0, "", AVERAGE($Z$169:$Z$208))))</f>
        <v>3.7721695272000009</v>
      </c>
      <c r="AA168">
        <f ca="1">IF(ISERROR(IF(AVERAGE($AA$169:$AA$208) = 0, "", AVERAGE($AA$169:$AA$208))), "", (IF(AVERAGE($AA$169:$AA$208) = 0, "", AVERAGE($AA$169:$AA$208))))</f>
        <v>3.7393624408571426</v>
      </c>
      <c r="AB168">
        <f ca="1">IF(ISERROR(IF(AVERAGE($AB$169:$AB$208) = 0, "", AVERAGE($AB$169:$AB$208))), "", (IF(AVERAGE($AB$169:$AB$208) = 0, "", AVERAGE($AB$169:$AB$208))))</f>
        <v>2.4472337630769232</v>
      </c>
      <c r="AC168">
        <f ca="1">IF(ISERROR(IF(AVERAGE($AC$169:$AC$208) = 0, "", AVERAGE($AC$169:$AC$208))), "", (IF(AVERAGE($AC$169:$AC$208) = 0, "", AVERAGE($AC$169:$AC$208))))</f>
        <v>6.1849809278571417</v>
      </c>
      <c r="AD168">
        <f ca="1">IF(ISERROR(IF(AVERAGE($AD$169:$AD$208) = 0, "", AVERAGE($AD$169:$AD$208))), "", (IF(AVERAGE($AD$169:$AD$208) = 0, "", AVERAGE($AD$169:$AD$208))))</f>
        <v>7.1208955345862064</v>
      </c>
      <c r="AE168">
        <f ca="1">IF(ISERROR(IF(AVERAGE($AE$169:$AE$208) = 0, "", AVERAGE($AE$169:$AE$208))), "", (IF(AVERAGE($AE$169:$AE$208) = 0, "", AVERAGE($AE$169:$AE$208))))</f>
        <v>3.0391871467777776</v>
      </c>
      <c r="AF168">
        <f ca="1">IF(ISERROR(IF(AVERAGE($AF$169:$AF$208) = 0, "", AVERAGE($AF$169:$AF$208))), "", (IF(AVERAGE($AF$169:$AF$208) = 0, "", AVERAGE($AF$169:$AF$208))))</f>
        <v>1.7422455632083331</v>
      </c>
      <c r="AG168">
        <f ca="1">IF(ISERROR(IF(AVERAGE($AG$169:$AG$208) = 0, "", AVERAGE($AG$169:$AG$208))), "", (IF(AVERAGE($AG$169:$AG$208) = 0, "", AVERAGE($AG$169:$AG$208))))</f>
        <v>2.6501375953846154</v>
      </c>
      <c r="AH168">
        <f ca="1">IF(ISERROR(IF(AVERAGE($AH$169:$AH$208) = 0, "", AVERAGE($AH$169:$AH$208))), "", (IF(AVERAGE($AH$169:$AH$208) = 0, "", AVERAGE($AH$169:$AH$208))))</f>
        <v>3.5762524138518521</v>
      </c>
      <c r="AI168">
        <f ca="1">IF(ISERROR(IF(AVERAGE($AI$169:$AI$208) = 0, "", AVERAGE($AI$169:$AI$208))), "", (IF(AVERAGE($AI$169:$AI$208) = 0, "", AVERAGE($AI$169:$AI$208))))</f>
        <v>2.0671585325833335</v>
      </c>
      <c r="AJ168">
        <f ca="1">IF(ISERROR(IF(AVERAGE($AJ$169:$AJ$208) = 0, "", AVERAGE($AJ$169:$AJ$208))), "", (IF(AVERAGE($AJ$169:$AJ$208) = 0, "", AVERAGE($AJ$169:$AJ$208))))</f>
        <v>1.8411279317391303</v>
      </c>
      <c r="AK168">
        <f ca="1">IF(ISERROR(IF(AVERAGE($AK$169:$AK$208) = 0, "", AVERAGE($AK$169:$AK$208))), "", (IF(AVERAGE($AK$169:$AK$208) = 0, "", AVERAGE($AK$169:$AK$208))))</f>
        <v>2.2676218269999997</v>
      </c>
      <c r="AL168">
        <f ca="1">IF(ISERROR(IF(AVERAGE($AL$169:$AL$208) = 0, "", AVERAGE($AL$169:$AL$208))), "", (IF(AVERAGE($AL$169:$AL$208) = 0, "", AVERAGE($AL$169:$AL$208))))</f>
        <v>3.2524477280384612</v>
      </c>
      <c r="AM168">
        <f ca="1">IF(ISERROR(IF(AVERAGE($AM$169:$AM$208) = 0, "", AVERAGE($AM$169:$AM$208))), "", (IF(AVERAGE($AM$169:$AM$208) = 0, "", AVERAGE($AM$169:$AM$208))))</f>
        <v>2.4948395218095238</v>
      </c>
      <c r="AN168">
        <f ca="1">IF(ISERROR(IF(AVERAGE($AN$169:$AN$208) = 0, "", AVERAGE($AN$169:$AN$208))), "", (IF(AVERAGE($AN$169:$AN$208) = 0, "", AVERAGE($AN$169:$AN$208))))</f>
        <v>2.2696675094210526</v>
      </c>
      <c r="AO168">
        <f ca="1">IF(ISERROR(IF(AVERAGE($AO$169:$AO$208) = 0, "", AVERAGE($AO$169:$AO$208))), "", (IF(AVERAGE($AO$169:$AO$208) = 0, "", AVERAGE($AO$169:$AO$208))))</f>
        <v>1.8106051955999998</v>
      </c>
      <c r="AP168">
        <f ca="1">IF(ISERROR(IF(AVERAGE($AP$169:$AP$208) = 0, "", AVERAGE($AP$169:$AP$208))), "", (IF(AVERAGE($AP$169:$AP$208) = 0, "", AVERAGE($AP$169:$AP$208))))</f>
        <v>2.2433521437000001</v>
      </c>
      <c r="AQ168">
        <f ca="1">IF(ISERROR(IF(AVERAGE($AQ$169:$AQ$208) = 0, "", AVERAGE($AQ$169:$AQ$208))), "", (IF(AVERAGE($AQ$169:$AQ$208) = 0, "", AVERAGE($AQ$169:$AQ$208))))</f>
        <v>2.4870353242777772</v>
      </c>
      <c r="AR168">
        <f ca="1">IF(ISERROR(IF(AVERAGE($AR$169:$AR$208) = 0, "", AVERAGE($AR$169:$AR$208))), "", (IF(AVERAGE($AR$169:$AR$208) = 0, "", AVERAGE($AR$169:$AR$208))))</f>
        <v>2.1815566635555559</v>
      </c>
      <c r="AS168">
        <f ca="1">IF(ISERROR(IF(AVERAGE($AS$169:$AS$208) = 0, "", AVERAGE($AS$169:$AS$208))), "", (IF(AVERAGE($AS$169:$AS$208) = 0, "", AVERAGE($AS$169:$AS$208))))</f>
        <v>1.7036152261578945</v>
      </c>
      <c r="AT168">
        <f ca="1">IF(ISERROR(IF(AVERAGE($AT$169:$AT$208) = 0, "", AVERAGE($AT$169:$AT$208))), "", (IF(AVERAGE($AT$169:$AT$208) = 0, "", AVERAGE($AT$169:$AT$208))))</f>
        <v>1.3072748184736838</v>
      </c>
      <c r="AU168">
        <f ca="1">IF(ISERROR(IF(AVERAGE($AU$169:$AU$208) = 0, "", AVERAGE($AU$169:$AU$208))), "", (IF(AVERAGE($AU$169:$AU$208) = 0, "", AVERAGE($AU$169:$AU$208))))</f>
        <v>1.0603866440588234</v>
      </c>
      <c r="AV168">
        <f ca="1">IF(ISERROR(IF(AVERAGE($AV$169:$AV$208) = 0, "", AVERAGE($AV$169:$AV$208))), "", (IF(AVERAGE($AV$169:$AV$208) = 0, "", AVERAGE($AV$169:$AV$208))))</f>
        <v>1.3437936747647059</v>
      </c>
      <c r="AW168">
        <f ca="1">IF(ISERROR(IF(AVERAGE($AW$169:$AW$208) = 0, "", AVERAGE($AW$169:$AW$208))), "", (IF(AVERAGE($AW$169:$AW$208) = 0, "", AVERAGE($AW$169:$AW$208))))</f>
        <v>1.5991467803157893</v>
      </c>
      <c r="AX168">
        <f ca="1">IF(ISERROR(IF(AVERAGE($AX$169:$AX$208) = 0, "", AVERAGE($AX$169:$AX$208))), "", (IF(AVERAGE($AX$169:$AX$208) = 0, "", AVERAGE($AX$169:$AX$208))))</f>
        <v>2.062678319210526</v>
      </c>
      <c r="AY168">
        <f ca="1">IF(ISERROR(IF(AVERAGE($AY$169:$AY$208) = 0, "", AVERAGE($AY$169:$AY$208))), "", (IF(AVERAGE($AY$169:$AY$208) = 0, "", AVERAGE($AY$169:$AY$208))))</f>
        <v>3.1090550121250002</v>
      </c>
      <c r="AZ168">
        <f ca="1">IF(ISERROR(IF(AVERAGE($AZ$169:$AZ$208) = 0, "", AVERAGE($AZ$169:$AZ$208))), "", (IF(AVERAGE($AZ$169:$AZ$208) = 0, "", AVERAGE($AZ$169:$AZ$208))))</f>
        <v>3.0588131768666669</v>
      </c>
      <c r="BA168">
        <f ca="1">IF(ISERROR(IF(AVERAGE($BA$169:$BA$208) = 0, "", AVERAGE($BA$169:$BA$208))), "", (IF(AVERAGE($BA$169:$BA$208) = 0, "", AVERAGE($BA$169:$BA$208))))</f>
        <v>2.4121544362666665</v>
      </c>
      <c r="BB168">
        <f ca="1">IF(ISERROR(IF(AVERAGE($BB$169:$BB$208) = 0, "", AVERAGE($BB$169:$BB$208))), "", (IF(AVERAGE($BB$169:$BB$208) = 0, "", AVERAGE($BB$169:$BB$208))))</f>
        <v>2.279493768733333</v>
      </c>
      <c r="BC168">
        <f ca="1">IF(ISERROR(IF(AVERAGE($BC$169:$BC$208) = 0, "", AVERAGE($BC$169:$BC$208))), "", (IF(AVERAGE($BC$169:$BC$208) = 0, "", AVERAGE($BC$169:$BC$208))))</f>
        <v>2.3195734123529408</v>
      </c>
      <c r="BD168">
        <f ca="1">IF(ISERROR(IF(AVERAGE($BD$169:$BD$208) = 0, "", AVERAGE($BD$169:$BD$208))), "", (IF(AVERAGE($BD$169:$BD$208) = 0, "", AVERAGE($BD$169:$BD$208))))</f>
        <v>2.1651044522941176</v>
      </c>
      <c r="BE168">
        <f ca="1">IF(ISERROR(IF(AVERAGE($BE$169:$BE$208) = 0, "", AVERAGE($BE$169:$BE$208))), "", (IF(AVERAGE($BE$169:$BE$208) = 0, "", AVERAGE($BE$169:$BE$208))))</f>
        <v>1.7265160974117646</v>
      </c>
      <c r="BF168">
        <f ca="1">IF(ISERROR(IF(AVERAGE($BF$169:$BF$208) = 0, "", AVERAGE($BF$169:$BF$208))), "", (IF(AVERAGE($BF$169:$BF$208) = 0, "", AVERAGE($BF$169:$BF$208))))</f>
        <v>1.8044333053529416</v>
      </c>
      <c r="BG168">
        <f ca="1">IF(ISERROR(IF(AVERAGE($BG$169:$BG$208) = 0, "", AVERAGE($BG$169:$BG$208))), "", (IF(AVERAGE($BG$169:$BG$208) = 0, "", AVERAGE($BG$169:$BG$208))))</f>
        <v>1.5448495955625001</v>
      </c>
      <c r="BH168">
        <f ca="1">IF(ISERROR(IF(AVERAGE($BH$169:$BH$208) = 0, "", AVERAGE($BH$169:$BH$208))), "", (IF(AVERAGE($BH$169:$BH$208) = 0, "", AVERAGE($BH$169:$BH$208))))</f>
        <v>1.6478695565333334</v>
      </c>
      <c r="BI168">
        <f ca="1">IF(ISERROR(IF(AVERAGE($BI$169:$BI$208) = 0, "", AVERAGE($BI$169:$BI$208))), "", (IF(AVERAGE($BI$169:$BI$208) = 0, "", AVERAGE($BI$169:$BI$208))))</f>
        <v>1.4745382924285713</v>
      </c>
      <c r="BJ168">
        <f ca="1">IF(ISERROR(IF(AVERAGE($BJ$169:$BJ$208) = 0, "", AVERAGE($BJ$169:$BJ$208))), "", (IF(AVERAGE($BJ$169:$BJ$208) = 0, "", AVERAGE($BJ$169:$BJ$208))))</f>
        <v>1.3463276758125002</v>
      </c>
      <c r="BK168">
        <f ca="1">IF(ISERROR(IF(AVERAGE($BK$169:$BK$208) = 0, "", AVERAGE($BK$169:$BK$208))), "", (IF(AVERAGE($BK$169:$BK$208) = 0, "", AVERAGE($BK$169:$BK$208))))</f>
        <v>1.5727758766666666</v>
      </c>
      <c r="BL168">
        <f ca="1">IF(ISERROR(IF(AVERAGE($BL$169:$BL$208) = 0, "", AVERAGE($BL$169:$BL$208))), "", (IF(AVERAGE($BL$169:$BL$208) = 0, "", AVERAGE($BL$169:$BL$208))))</f>
        <v>1.8633623878461536</v>
      </c>
      <c r="BM168">
        <f ca="1">IF(ISERROR(IF(AVERAGE($BM$169:$BM$208) = 0, "", AVERAGE($BM$169:$BM$208))), "", (IF(AVERAGE($BM$169:$BM$208) = 0, "", AVERAGE($BM$169:$BM$208))))</f>
        <v>83.880356900538473</v>
      </c>
      <c r="BN168">
        <f>2.05228739</f>
        <v>2.05228739</v>
      </c>
      <c r="BO168">
        <f>1.824330326</f>
        <v>1.8243303259999999</v>
      </c>
      <c r="BP168">
        <f>2.219083969</f>
        <v>2.2190839690000002</v>
      </c>
      <c r="BQ168">
        <f>2.331858199</f>
        <v>2.331858199</v>
      </c>
      <c r="BR168">
        <f>6.214040495</f>
        <v>6.2140404949999999</v>
      </c>
      <c r="BS168">
        <f>6.985874065</f>
        <v>6.985874065</v>
      </c>
      <c r="BT168">
        <f>3.523069304</f>
        <v>3.5230693039999998</v>
      </c>
      <c r="BU168">
        <f>2.599998307</f>
        <v>2.5999983069999999</v>
      </c>
      <c r="BV168">
        <f>2.609288484</f>
        <v>2.6092884839999999</v>
      </c>
      <c r="BW168">
        <f>2.286983703</f>
        <v>2.2869837030000002</v>
      </c>
      <c r="BX168">
        <f>2.417158536</f>
        <v>2.4171585360000001</v>
      </c>
      <c r="BY168">
        <f>2.344889398</f>
        <v>2.3448893979999998</v>
      </c>
      <c r="BZ168">
        <f>3.397357582</f>
        <v>3.3973575820000002</v>
      </c>
      <c r="CA168">
        <f>3.183230803</f>
        <v>3.1832308029999998</v>
      </c>
      <c r="CB168">
        <f>2.489203877</f>
        <v>2.489203877</v>
      </c>
      <c r="CC168">
        <f>9.03304464</f>
        <v>9.03304464</v>
      </c>
      <c r="CD168">
        <f>11.06912273</f>
        <v>11.06912273</v>
      </c>
      <c r="CE168">
        <f>3.453166378</f>
        <v>3.4531663780000001</v>
      </c>
      <c r="CF168">
        <f>2.275921411</f>
        <v>2.2759214110000001</v>
      </c>
      <c r="CG168">
        <f>2.365247919</f>
        <v>2.3652479190000002</v>
      </c>
      <c r="CH168">
        <f>3.772169527</f>
        <v>3.772169527</v>
      </c>
      <c r="CI168">
        <f>3.739362441</f>
        <v>3.7393624409999999</v>
      </c>
      <c r="CJ168">
        <f>2.447233763</f>
        <v>2.4472337629999998</v>
      </c>
      <c r="CK168">
        <f>6.184980929</f>
        <v>6.184980929</v>
      </c>
      <c r="CL168">
        <f>7.120895534</f>
        <v>7.1208955339999997</v>
      </c>
      <c r="CM168">
        <f>3.039187147</f>
        <v>3.0391871469999998</v>
      </c>
      <c r="CN168">
        <f>1.742245563</f>
        <v>1.742245563</v>
      </c>
      <c r="CO168">
        <f>2.650137595</f>
        <v>2.6501375949999999</v>
      </c>
      <c r="CP168">
        <f>3.576252414</f>
        <v>3.5762524139999998</v>
      </c>
      <c r="CQ168">
        <f>2.067158533</f>
        <v>2.0671585330000002</v>
      </c>
      <c r="CR168">
        <f>1.841127932</f>
        <v>1.841127932</v>
      </c>
      <c r="CS168">
        <f>2.267621827</f>
        <v>2.2676218270000001</v>
      </c>
      <c r="CT168">
        <f>3.252447728</f>
        <v>3.2524477279999999</v>
      </c>
      <c r="CU168">
        <f>2.494839522</f>
        <v>2.4948395219999999</v>
      </c>
      <c r="CV168">
        <f>2.269667509</f>
        <v>2.269667509</v>
      </c>
      <c r="CW168">
        <f>1.810605196</f>
        <v>1.810605196</v>
      </c>
      <c r="CX168">
        <f>2.243352144</f>
        <v>2.2433521440000002</v>
      </c>
      <c r="CY168">
        <f>2.487035324</f>
        <v>2.4870353239999998</v>
      </c>
      <c r="CZ168">
        <f>2.181556664</f>
        <v>2.1815566639999999</v>
      </c>
      <c r="DA168">
        <f>1.703615226</f>
        <v>1.7036152259999999</v>
      </c>
      <c r="DB168">
        <f>1.307274819</f>
        <v>1.3072748190000001</v>
      </c>
      <c r="DC168">
        <f>1.060386644</f>
        <v>1.060386644</v>
      </c>
      <c r="DD168">
        <f>1.343793675</f>
        <v>1.3437936749999999</v>
      </c>
      <c r="DE168">
        <f>1.59914678</f>
        <v>1.5991467800000001</v>
      </c>
      <c r="DF168">
        <f>2.062678319</f>
        <v>2.0626783190000002</v>
      </c>
      <c r="DG168">
        <f>3.109055012</f>
        <v>3.1090550119999998</v>
      </c>
      <c r="DH168">
        <f>3.058813177</f>
        <v>3.0588131770000002</v>
      </c>
      <c r="DI168">
        <f>2.412154436</f>
        <v>2.4121544359999998</v>
      </c>
      <c r="DJ168">
        <f>2.279493769</f>
        <v>2.2794937690000001</v>
      </c>
      <c r="DK168">
        <f>2.319573412</f>
        <v>2.319573412</v>
      </c>
      <c r="DL168">
        <f>2.165104452</f>
        <v>2.165104452</v>
      </c>
      <c r="DM168">
        <f>1.726516098</f>
        <v>1.7265160980000001</v>
      </c>
      <c r="DN168">
        <f>1.804433305</f>
        <v>1.8044333050000001</v>
      </c>
      <c r="DO168">
        <f>1.544849596</f>
        <v>1.5448495959999999</v>
      </c>
      <c r="DP168">
        <f>1.647869557</f>
        <v>1.6478695569999999</v>
      </c>
      <c r="DQ168">
        <f>1.474538292</f>
        <v>1.4745382920000001</v>
      </c>
      <c r="DR168">
        <f>1.346327676</f>
        <v>1.346327676</v>
      </c>
      <c r="DS168">
        <f>1.572775877</f>
        <v>1.572775877</v>
      </c>
      <c r="DT168">
        <f>1.863362388</f>
        <v>1.8633623880000001</v>
      </c>
      <c r="DU168">
        <f>83.88035688</f>
        <v>83.880356879999994</v>
      </c>
    </row>
    <row r="169" spans="1:125" x14ac:dyDescent="0.25">
      <c r="A169" t="str">
        <f>"    AUDI AG"</f>
        <v xml:space="preserve">    AUDI AG</v>
      </c>
      <c r="B169" t="str">
        <f>"NSU GR Equity"</f>
        <v>NSU GR Equity</v>
      </c>
      <c r="C169" t="str">
        <f t="shared" ref="C169:C208" si="12">"RX077"</f>
        <v>RX077</v>
      </c>
      <c r="D169" t="str">
        <f t="shared" ref="D169:D208" si="13">"PX_TO_TANG_BOOK_VAL_PER_SH"</f>
        <v>PX_TO_TANG_BOOK_VAL_PER_SH</v>
      </c>
      <c r="E169" t="str">
        <f t="shared" ref="E169:E208" si="14">"Dynamic"</f>
        <v>Dynamic</v>
      </c>
      <c r="F169" t="str">
        <f ca="1">IF(AND(ISNUMBER($F$839),$B$677=1),$F$839,HLOOKUP(INDIRECT(ADDRESS(2,COLUMN())),OFFSET($BN$2,0,0,ROW()-1,60),ROW()-1,FALSE))</f>
        <v/>
      </c>
      <c r="G169" t="str">
        <f ca="1">IF(AND(ISNUMBER($G$839),$B$677=1),$G$839,HLOOKUP(INDIRECT(ADDRESS(2,COLUMN())),OFFSET($BN$2,0,0,ROW()-1,60),ROW()-1,FALSE))</f>
        <v/>
      </c>
      <c r="H169" t="str">
        <f ca="1">IF(AND(ISNUMBER($H$839),$B$677=1),$H$839,HLOOKUP(INDIRECT(ADDRESS(2,COLUMN())),OFFSET($BN$2,0,0,ROW()-1,60),ROW()-1,FALSE))</f>
        <v/>
      </c>
      <c r="I169" t="str">
        <f ca="1">IF(AND(ISNUMBER($I$839),$B$677=1),$I$839,HLOOKUP(INDIRECT(ADDRESS(2,COLUMN())),OFFSET($BN$2,0,0,ROW()-1,60),ROW()-1,FALSE))</f>
        <v/>
      </c>
      <c r="J169" t="str">
        <f ca="1">IF(AND(ISNUMBER($J$839),$B$677=1),$J$839,HLOOKUP(INDIRECT(ADDRESS(2,COLUMN())),OFFSET($BN$2,0,0,ROW()-1,60),ROW()-1,FALSE))</f>
        <v/>
      </c>
      <c r="K169" t="str">
        <f ca="1">IF(AND(ISNUMBER($K$839),$B$677=1),$K$839,HLOOKUP(INDIRECT(ADDRESS(2,COLUMN())),OFFSET($BN$2,0,0,ROW()-1,60),ROW()-1,FALSE))</f>
        <v/>
      </c>
      <c r="L169" t="str">
        <f ca="1">IF(AND(ISNUMBER($L$839),$B$677=1),$L$839,HLOOKUP(INDIRECT(ADDRESS(2,COLUMN())),OFFSET($BN$2,0,0,ROW()-1,60),ROW()-1,FALSE))</f>
        <v/>
      </c>
      <c r="M169" t="str">
        <f ca="1">IF(AND(ISNUMBER($M$839),$B$677=1),$M$839,HLOOKUP(INDIRECT(ADDRESS(2,COLUMN())),OFFSET($BN$2,0,0,ROW()-1,60),ROW()-1,FALSE))</f>
        <v/>
      </c>
      <c r="N169" t="str">
        <f ca="1">IF(AND(ISNUMBER($N$839),$B$677=1),$N$839,HLOOKUP(INDIRECT(ADDRESS(2,COLUMN())),OFFSET($BN$2,0,0,ROW()-1,60),ROW()-1,FALSE))</f>
        <v/>
      </c>
      <c r="O169" t="str">
        <f ca="1">IF(AND(ISNUMBER($O$839),$B$677=1),$O$839,HLOOKUP(INDIRECT(ADDRESS(2,COLUMN())),OFFSET($BN$2,0,0,ROW()-1,60),ROW()-1,FALSE))</f>
        <v/>
      </c>
      <c r="P169" t="str">
        <f ca="1">IF(AND(ISNUMBER($P$839),$B$677=1),$P$839,HLOOKUP(INDIRECT(ADDRESS(2,COLUMN())),OFFSET($BN$2,0,0,ROW()-1,60),ROW()-1,FALSE))</f>
        <v/>
      </c>
      <c r="Q169" t="str">
        <f ca="1">IF(AND(ISNUMBER($Q$839),$B$677=1),$Q$839,HLOOKUP(INDIRECT(ADDRESS(2,COLUMN())),OFFSET($BN$2,0,0,ROW()-1,60),ROW()-1,FALSE))</f>
        <v/>
      </c>
      <c r="R169" t="str">
        <f ca="1">IF(AND(ISNUMBER($R$839),$B$677=1),$R$839,HLOOKUP(INDIRECT(ADDRESS(2,COLUMN())),OFFSET($BN$2,0,0,ROW()-1,60),ROW()-1,FALSE))</f>
        <v/>
      </c>
      <c r="S169" t="str">
        <f ca="1">IF(AND(ISNUMBER($S$839),$B$677=1),$S$839,HLOOKUP(INDIRECT(ADDRESS(2,COLUMN())),OFFSET($BN$2,0,0,ROW()-1,60),ROW()-1,FALSE))</f>
        <v/>
      </c>
      <c r="T169" t="str">
        <f ca="1">IF(AND(ISNUMBER($T$839),$B$677=1),$T$839,HLOOKUP(INDIRECT(ADDRESS(2,COLUMN())),OFFSET($BN$2,0,0,ROW()-1,60),ROW()-1,FALSE))</f>
        <v/>
      </c>
      <c r="U169" t="str">
        <f ca="1">IF(AND(ISNUMBER($U$839),$B$677=1),$U$839,HLOOKUP(INDIRECT(ADDRESS(2,COLUMN())),OFFSET($BN$2,0,0,ROW()-1,60),ROW()-1,FALSE))</f>
        <v/>
      </c>
      <c r="V169" t="str">
        <f ca="1">IF(AND(ISNUMBER($V$839),$B$677=1),$V$839,HLOOKUP(INDIRECT(ADDRESS(2,COLUMN())),OFFSET($BN$2,0,0,ROW()-1,60),ROW()-1,FALSE))</f>
        <v/>
      </c>
      <c r="W169" t="str">
        <f ca="1">IF(AND(ISNUMBER($W$839),$B$677=1),$W$839,HLOOKUP(INDIRECT(ADDRESS(2,COLUMN())),OFFSET($BN$2,0,0,ROW()-1,60),ROW()-1,FALSE))</f>
        <v/>
      </c>
      <c r="X169" t="str">
        <f ca="1">IF(AND(ISNUMBER($X$839),$B$677=1),$X$839,HLOOKUP(INDIRECT(ADDRESS(2,COLUMN())),OFFSET($BN$2,0,0,ROW()-1,60),ROW()-1,FALSE))</f>
        <v/>
      </c>
      <c r="Y169" t="str">
        <f ca="1">IF(AND(ISNUMBER($Y$839),$B$677=1),$Y$839,HLOOKUP(INDIRECT(ADDRESS(2,COLUMN())),OFFSET($BN$2,0,0,ROW()-1,60),ROW()-1,FALSE))</f>
        <v/>
      </c>
      <c r="Z169" t="str">
        <f ca="1">IF(AND(ISNUMBER($Z$839),$B$677=1),$Z$839,HLOOKUP(INDIRECT(ADDRESS(2,COLUMN())),OFFSET($BN$2,0,0,ROW()-1,60),ROW()-1,FALSE))</f>
        <v/>
      </c>
      <c r="AA169" t="str">
        <f ca="1">IF(AND(ISNUMBER($AA$839),$B$677=1),$AA$839,HLOOKUP(INDIRECT(ADDRESS(2,COLUMN())),OFFSET($BN$2,0,0,ROW()-1,60),ROW()-1,FALSE))</f>
        <v/>
      </c>
      <c r="AB169" t="str">
        <f ca="1">IF(AND(ISNUMBER($AB$839),$B$677=1),$AB$839,HLOOKUP(INDIRECT(ADDRESS(2,COLUMN())),OFFSET($BN$2,0,0,ROW()-1,60),ROW()-1,FALSE))</f>
        <v/>
      </c>
      <c r="AC169" t="str">
        <f ca="1">IF(AND(ISNUMBER($AC$839),$B$677=1),$AC$839,HLOOKUP(INDIRECT(ADDRESS(2,COLUMN())),OFFSET($BN$2,0,0,ROW()-1,60),ROW()-1,FALSE))</f>
        <v/>
      </c>
      <c r="AD169" t="str">
        <f ca="1">IF(AND(ISNUMBER($AD$839),$B$677=1),$AD$839,HLOOKUP(INDIRECT(ADDRESS(2,COLUMN())),OFFSET($BN$2,0,0,ROW()-1,60),ROW()-1,FALSE))</f>
        <v/>
      </c>
      <c r="AE169" t="str">
        <f ca="1">IF(AND(ISNUMBER($AE$839),$B$677=1),$AE$839,HLOOKUP(INDIRECT(ADDRESS(2,COLUMN())),OFFSET($BN$2,0,0,ROW()-1,60),ROW()-1,FALSE))</f>
        <v/>
      </c>
      <c r="AF169" t="str">
        <f ca="1">IF(AND(ISNUMBER($AF$839),$B$677=1),$AF$839,HLOOKUP(INDIRECT(ADDRESS(2,COLUMN())),OFFSET($BN$2,0,0,ROW()-1,60),ROW()-1,FALSE))</f>
        <v/>
      </c>
      <c r="AG169" t="str">
        <f ca="1">IF(AND(ISNUMBER($AG$839),$B$677=1),$AG$839,HLOOKUP(INDIRECT(ADDRESS(2,COLUMN())),OFFSET($BN$2,0,0,ROW()-1,60),ROW()-1,FALSE))</f>
        <v/>
      </c>
      <c r="AH169" t="str">
        <f ca="1">IF(AND(ISNUMBER($AH$839),$B$677=1),$AH$839,HLOOKUP(INDIRECT(ADDRESS(2,COLUMN())),OFFSET($BN$2,0,0,ROW()-1,60),ROW()-1,FALSE))</f>
        <v/>
      </c>
      <c r="AI169" t="str">
        <f ca="1">IF(AND(ISNUMBER($AI$839),$B$677=1),$AI$839,HLOOKUP(INDIRECT(ADDRESS(2,COLUMN())),OFFSET($BN$2,0,0,ROW()-1,60),ROW()-1,FALSE))</f>
        <v/>
      </c>
      <c r="AJ169" t="str">
        <f ca="1">IF(AND(ISNUMBER($AJ$839),$B$677=1),$AJ$839,HLOOKUP(INDIRECT(ADDRESS(2,COLUMN())),OFFSET($BN$2,0,0,ROW()-1,60),ROW()-1,FALSE))</f>
        <v/>
      </c>
      <c r="AK169" t="str">
        <f ca="1">IF(AND(ISNUMBER($AK$839),$B$677=1),$AK$839,HLOOKUP(INDIRECT(ADDRESS(2,COLUMN())),OFFSET($BN$2,0,0,ROW()-1,60),ROW()-1,FALSE))</f>
        <v/>
      </c>
      <c r="AL169" t="str">
        <f ca="1">IF(AND(ISNUMBER($AL$839),$B$677=1),$AL$839,HLOOKUP(INDIRECT(ADDRESS(2,COLUMN())),OFFSET($BN$2,0,0,ROW()-1,60),ROW()-1,FALSE))</f>
        <v/>
      </c>
      <c r="AM169" t="str">
        <f ca="1">IF(AND(ISNUMBER($AM$839),$B$677=1),$AM$839,HLOOKUP(INDIRECT(ADDRESS(2,COLUMN())),OFFSET($BN$2,0,0,ROW()-1,60),ROW()-1,FALSE))</f>
        <v/>
      </c>
      <c r="AN169" t="str">
        <f ca="1">IF(AND(ISNUMBER($AN$839),$B$677=1),$AN$839,HLOOKUP(INDIRECT(ADDRESS(2,COLUMN())),OFFSET($BN$2,0,0,ROW()-1,60),ROW()-1,FALSE))</f>
        <v/>
      </c>
      <c r="AO169" t="str">
        <f ca="1">IF(AND(ISNUMBER($AO$839),$B$677=1),$AO$839,HLOOKUP(INDIRECT(ADDRESS(2,COLUMN())),OFFSET($BN$2,0,0,ROW()-1,60),ROW()-1,FALSE))</f>
        <v/>
      </c>
      <c r="AP169" t="str">
        <f ca="1">IF(AND(ISNUMBER($AP$839),$B$677=1),$AP$839,HLOOKUP(INDIRECT(ADDRESS(2,COLUMN())),OFFSET($BN$2,0,0,ROW()-1,60),ROW()-1,FALSE))</f>
        <v/>
      </c>
      <c r="AQ169" t="str">
        <f ca="1">IF(AND(ISNUMBER($AQ$839),$B$677=1),$AQ$839,HLOOKUP(INDIRECT(ADDRESS(2,COLUMN())),OFFSET($BN$2,0,0,ROW()-1,60),ROW()-1,FALSE))</f>
        <v/>
      </c>
      <c r="AR169" t="str">
        <f ca="1">IF(AND(ISNUMBER($AR$839),$B$677=1),$AR$839,HLOOKUP(INDIRECT(ADDRESS(2,COLUMN())),OFFSET($BN$2,0,0,ROW()-1,60),ROW()-1,FALSE))</f>
        <v/>
      </c>
      <c r="AS169" t="str">
        <f ca="1">IF(AND(ISNUMBER($AS$839),$B$677=1),$AS$839,HLOOKUP(INDIRECT(ADDRESS(2,COLUMN())),OFFSET($BN$2,0,0,ROW()-1,60),ROW()-1,FALSE))</f>
        <v/>
      </c>
      <c r="AT169" t="str">
        <f ca="1">IF(AND(ISNUMBER($AT$839),$B$677=1),$AT$839,HLOOKUP(INDIRECT(ADDRESS(2,COLUMN())),OFFSET($BN$2,0,0,ROW()-1,60),ROW()-1,FALSE))</f>
        <v/>
      </c>
      <c r="AU169" t="str">
        <f ca="1">IF(AND(ISNUMBER($AU$839),$B$677=1),$AU$839,HLOOKUP(INDIRECT(ADDRESS(2,COLUMN())),OFFSET($BN$2,0,0,ROW()-1,60),ROW()-1,FALSE))</f>
        <v/>
      </c>
      <c r="AV169" t="str">
        <f ca="1">IF(AND(ISNUMBER($AV$839),$B$677=1),$AV$839,HLOOKUP(INDIRECT(ADDRESS(2,COLUMN())),OFFSET($BN$2,0,0,ROW()-1,60),ROW()-1,FALSE))</f>
        <v/>
      </c>
      <c r="AW169" t="str">
        <f ca="1">IF(AND(ISNUMBER($AW$839),$B$677=1),$AW$839,HLOOKUP(INDIRECT(ADDRESS(2,COLUMN())),OFFSET($BN$2,0,0,ROW()-1,60),ROW()-1,FALSE))</f>
        <v/>
      </c>
      <c r="AX169" t="str">
        <f ca="1">IF(AND(ISNUMBER($AX$839),$B$677=1),$AX$839,HLOOKUP(INDIRECT(ADDRESS(2,COLUMN())),OFFSET($BN$2,0,0,ROW()-1,60),ROW()-1,FALSE))</f>
        <v/>
      </c>
      <c r="AY169" t="str">
        <f ca="1">IF(AND(ISNUMBER($AY$839),$B$677=1),$AY$839,HLOOKUP(INDIRECT(ADDRESS(2,COLUMN())),OFFSET($BN$2,0,0,ROW()-1,60),ROW()-1,FALSE))</f>
        <v/>
      </c>
      <c r="AZ169" t="str">
        <f ca="1">IF(AND(ISNUMBER($AZ$839),$B$677=1),$AZ$839,HLOOKUP(INDIRECT(ADDRESS(2,COLUMN())),OFFSET($BN$2,0,0,ROW()-1,60),ROW()-1,FALSE))</f>
        <v/>
      </c>
      <c r="BA169" t="str">
        <f ca="1">IF(AND(ISNUMBER($BA$839),$B$677=1),$BA$839,HLOOKUP(INDIRECT(ADDRESS(2,COLUMN())),OFFSET($BN$2,0,0,ROW()-1,60),ROW()-1,FALSE))</f>
        <v/>
      </c>
      <c r="BB169" t="str">
        <f ca="1">IF(AND(ISNUMBER($BB$839),$B$677=1),$BB$839,HLOOKUP(INDIRECT(ADDRESS(2,COLUMN())),OFFSET($BN$2,0,0,ROW()-1,60),ROW()-1,FALSE))</f>
        <v/>
      </c>
      <c r="BC169" t="str">
        <f ca="1">IF(AND(ISNUMBER($BC$839),$B$677=1),$BC$839,HLOOKUP(INDIRECT(ADDRESS(2,COLUMN())),OFFSET($BN$2,0,0,ROW()-1,60),ROW()-1,FALSE))</f>
        <v/>
      </c>
      <c r="BD169" t="str">
        <f ca="1">IF(AND(ISNUMBER($BD$839),$B$677=1),$BD$839,HLOOKUP(INDIRECT(ADDRESS(2,COLUMN())),OFFSET($BN$2,0,0,ROW()-1,60),ROW()-1,FALSE))</f>
        <v/>
      </c>
      <c r="BE169" t="str">
        <f ca="1">IF(AND(ISNUMBER($BE$839),$B$677=1),$BE$839,HLOOKUP(INDIRECT(ADDRESS(2,COLUMN())),OFFSET($BN$2,0,0,ROW()-1,60),ROW()-1,FALSE))</f>
        <v/>
      </c>
      <c r="BF169" t="str">
        <f ca="1">IF(AND(ISNUMBER($BF$839),$B$677=1),$BF$839,HLOOKUP(INDIRECT(ADDRESS(2,COLUMN())),OFFSET($BN$2,0,0,ROW()-1,60),ROW()-1,FALSE))</f>
        <v/>
      </c>
      <c r="BG169" t="str">
        <f ca="1">IF(AND(ISNUMBER($BG$839),$B$677=1),$BG$839,HLOOKUP(INDIRECT(ADDRESS(2,COLUMN())),OFFSET($BN$2,0,0,ROW()-1,60),ROW()-1,FALSE))</f>
        <v/>
      </c>
      <c r="BH169" t="str">
        <f ca="1">IF(AND(ISNUMBER($BH$839),$B$677=1),$BH$839,HLOOKUP(INDIRECT(ADDRESS(2,COLUMN())),OFFSET($BN$2,0,0,ROW()-1,60),ROW()-1,FALSE))</f>
        <v/>
      </c>
      <c r="BI169" t="str">
        <f ca="1">IF(AND(ISNUMBER($BI$839),$B$677=1),$BI$839,HLOOKUP(INDIRECT(ADDRESS(2,COLUMN())),OFFSET($BN$2,0,0,ROW()-1,60),ROW()-1,FALSE))</f>
        <v/>
      </c>
      <c r="BJ169" t="str">
        <f ca="1">IF(AND(ISNUMBER($BJ$839),$B$677=1),$BJ$839,HLOOKUP(INDIRECT(ADDRESS(2,COLUMN())),OFFSET($BN$2,0,0,ROW()-1,60),ROW()-1,FALSE))</f>
        <v/>
      </c>
      <c r="BK169" t="str">
        <f ca="1">IF(AND(ISNUMBER($BK$839),$B$677=1),$BK$839,HLOOKUP(INDIRECT(ADDRESS(2,COLUMN())),OFFSET($BN$2,0,0,ROW()-1,60),ROW()-1,FALSE))</f>
        <v/>
      </c>
      <c r="BL169" t="str">
        <f ca="1">IF(AND(ISNUMBER($BL$839),$B$677=1),$BL$839,HLOOKUP(INDIRECT(ADDRESS(2,COLUMN())),OFFSET($BN$2,0,0,ROW()-1,60),ROW()-1,FALSE))</f>
        <v/>
      </c>
      <c r="BM169" t="str">
        <f ca="1">IF(AND(ISNUMBER($BM$839),$B$677=1),$BM$839,HLOOKUP(INDIRECT(ADDRESS(2,COLUMN())),OFFSET($BN$2,0,0,ROW()-1,60),ROW()-1,FALSE))</f>
        <v/>
      </c>
      <c r="BN169" t="str">
        <f>""</f>
        <v/>
      </c>
      <c r="BO169" t="str">
        <f>""</f>
        <v/>
      </c>
      <c r="BP169" t="str">
        <f>""</f>
        <v/>
      </c>
      <c r="BQ169" t="str">
        <f>""</f>
        <v/>
      </c>
      <c r="BR169" t="str">
        <f>""</f>
        <v/>
      </c>
      <c r="BS169" t="str">
        <f>""</f>
        <v/>
      </c>
      <c r="BT169" t="str">
        <f>""</f>
        <v/>
      </c>
      <c r="BU169" t="str">
        <f>""</f>
        <v/>
      </c>
      <c r="BV169" t="str">
        <f>""</f>
        <v/>
      </c>
      <c r="BW169" t="str">
        <f>""</f>
        <v/>
      </c>
      <c r="BX169" t="str">
        <f>""</f>
        <v/>
      </c>
      <c r="BY169" t="str">
        <f>""</f>
        <v/>
      </c>
      <c r="BZ169" t="str">
        <f>""</f>
        <v/>
      </c>
      <c r="CA169" t="str">
        <f>""</f>
        <v/>
      </c>
      <c r="CB169" t="str">
        <f>""</f>
        <v/>
      </c>
      <c r="CC169" t="str">
        <f>""</f>
        <v/>
      </c>
      <c r="CD169" t="str">
        <f>""</f>
        <v/>
      </c>
      <c r="CE169" t="str">
        <f>""</f>
        <v/>
      </c>
      <c r="CF169" t="str">
        <f>""</f>
        <v/>
      </c>
      <c r="CG169" t="str">
        <f>""</f>
        <v/>
      </c>
      <c r="CH169" t="str">
        <f>""</f>
        <v/>
      </c>
      <c r="CI169" t="str">
        <f>""</f>
        <v/>
      </c>
      <c r="CJ169" t="str">
        <f>""</f>
        <v/>
      </c>
      <c r="CK169" t="str">
        <f>""</f>
        <v/>
      </c>
      <c r="CL169" t="str">
        <f>""</f>
        <v/>
      </c>
      <c r="CM169" t="str">
        <f>""</f>
        <v/>
      </c>
      <c r="CN169" t="str">
        <f>""</f>
        <v/>
      </c>
      <c r="CO169" t="str">
        <f>""</f>
        <v/>
      </c>
      <c r="CP169" t="str">
        <f>""</f>
        <v/>
      </c>
      <c r="CQ169" t="str">
        <f>""</f>
        <v/>
      </c>
      <c r="CR169" t="str">
        <f>""</f>
        <v/>
      </c>
      <c r="CS169" t="str">
        <f>""</f>
        <v/>
      </c>
      <c r="CT169" t="str">
        <f>""</f>
        <v/>
      </c>
      <c r="CU169" t="str">
        <f>""</f>
        <v/>
      </c>
      <c r="CV169" t="str">
        <f>""</f>
        <v/>
      </c>
      <c r="CW169" t="str">
        <f>""</f>
        <v/>
      </c>
      <c r="CX169" t="str">
        <f>""</f>
        <v/>
      </c>
      <c r="CY169" t="str">
        <f>""</f>
        <v/>
      </c>
      <c r="CZ169" t="str">
        <f>""</f>
        <v/>
      </c>
      <c r="DA169" t="str">
        <f>""</f>
        <v/>
      </c>
      <c r="DB169" t="str">
        <f>""</f>
        <v/>
      </c>
      <c r="DC169" t="str">
        <f>""</f>
        <v/>
      </c>
      <c r="DD169" t="str">
        <f>""</f>
        <v/>
      </c>
      <c r="DE169" t="str">
        <f>""</f>
        <v/>
      </c>
      <c r="DF169" t="str">
        <f>""</f>
        <v/>
      </c>
      <c r="DG169" t="str">
        <f>""</f>
        <v/>
      </c>
      <c r="DH169" t="str">
        <f>""</f>
        <v/>
      </c>
      <c r="DI169" t="str">
        <f>""</f>
        <v/>
      </c>
      <c r="DJ169" t="str">
        <f>""</f>
        <v/>
      </c>
      <c r="DK169" t="str">
        <f>""</f>
        <v/>
      </c>
      <c r="DL169" t="str">
        <f>""</f>
        <v/>
      </c>
      <c r="DM169" t="str">
        <f>""</f>
        <v/>
      </c>
      <c r="DN169" t="str">
        <f>""</f>
        <v/>
      </c>
      <c r="DO169" t="str">
        <f>""</f>
        <v/>
      </c>
      <c r="DP169" t="str">
        <f>""</f>
        <v/>
      </c>
      <c r="DQ169" t="str">
        <f>""</f>
        <v/>
      </c>
      <c r="DR169" t="str">
        <f>""</f>
        <v/>
      </c>
      <c r="DS169" t="str">
        <f>""</f>
        <v/>
      </c>
      <c r="DT169" t="str">
        <f>""</f>
        <v/>
      </c>
      <c r="DU169" t="str">
        <f>""</f>
        <v/>
      </c>
    </row>
    <row r="170" spans="1:125" x14ac:dyDescent="0.25">
      <c r="A170" t="str">
        <f>"    Avtovaz PJSC"</f>
        <v xml:space="preserve">    Avtovaz PJSC</v>
      </c>
      <c r="B170" t="str">
        <f>"AVAZ RM Equity"</f>
        <v>AVAZ RM Equity</v>
      </c>
      <c r="C170" t="str">
        <f t="shared" si="12"/>
        <v>RX077</v>
      </c>
      <c r="D170" t="str">
        <f t="shared" si="13"/>
        <v>PX_TO_TANG_BOOK_VAL_PER_SH</v>
      </c>
      <c r="E170" t="str">
        <f t="shared" si="14"/>
        <v>Dynamic</v>
      </c>
      <c r="F170" t="str">
        <f ca="1">IF(AND(ISNUMBER($F$840),$B$677=1),$F$840,HLOOKUP(INDIRECT(ADDRESS(2,COLUMN())),OFFSET($BN$2,0,0,ROW()-1,60),ROW()-1,FALSE))</f>
        <v/>
      </c>
      <c r="G170" t="str">
        <f ca="1">IF(AND(ISNUMBER($G$840),$B$677=1),$G$840,HLOOKUP(INDIRECT(ADDRESS(2,COLUMN())),OFFSET($BN$2,0,0,ROW()-1,60),ROW()-1,FALSE))</f>
        <v/>
      </c>
      <c r="H170" t="str">
        <f ca="1">IF(AND(ISNUMBER($H$840),$B$677=1),$H$840,HLOOKUP(INDIRECT(ADDRESS(2,COLUMN())),OFFSET($BN$2,0,0,ROW()-1,60),ROW()-1,FALSE))</f>
        <v/>
      </c>
      <c r="I170" t="str">
        <f ca="1">IF(AND(ISNUMBER($I$840),$B$677=1),$I$840,HLOOKUP(INDIRECT(ADDRESS(2,COLUMN())),OFFSET($BN$2,0,0,ROW()-1,60),ROW()-1,FALSE))</f>
        <v/>
      </c>
      <c r="J170" t="str">
        <f ca="1">IF(AND(ISNUMBER($J$840),$B$677=1),$J$840,HLOOKUP(INDIRECT(ADDRESS(2,COLUMN())),OFFSET($BN$2,0,0,ROW()-1,60),ROW()-1,FALSE))</f>
        <v/>
      </c>
      <c r="K170" t="str">
        <f ca="1">IF(AND(ISNUMBER($K$840),$B$677=1),$K$840,HLOOKUP(INDIRECT(ADDRESS(2,COLUMN())),OFFSET($BN$2,0,0,ROW()-1,60),ROW()-1,FALSE))</f>
        <v/>
      </c>
      <c r="L170" t="str">
        <f ca="1">IF(AND(ISNUMBER($L$840),$B$677=1),$L$840,HLOOKUP(INDIRECT(ADDRESS(2,COLUMN())),OFFSET($BN$2,0,0,ROW()-1,60),ROW()-1,FALSE))</f>
        <v/>
      </c>
      <c r="M170" t="str">
        <f ca="1">IF(AND(ISNUMBER($M$840),$B$677=1),$M$840,HLOOKUP(INDIRECT(ADDRESS(2,COLUMN())),OFFSET($BN$2,0,0,ROW()-1,60),ROW()-1,FALSE))</f>
        <v/>
      </c>
      <c r="N170" t="str">
        <f ca="1">IF(AND(ISNUMBER($N$840),$B$677=1),$N$840,HLOOKUP(INDIRECT(ADDRESS(2,COLUMN())),OFFSET($BN$2,0,0,ROW()-1,60),ROW()-1,FALSE))</f>
        <v/>
      </c>
      <c r="O170" t="str">
        <f ca="1">IF(AND(ISNUMBER($O$840),$B$677=1),$O$840,HLOOKUP(INDIRECT(ADDRESS(2,COLUMN())),OFFSET($BN$2,0,0,ROW()-1,60),ROW()-1,FALSE))</f>
        <v/>
      </c>
      <c r="P170" t="str">
        <f ca="1">IF(AND(ISNUMBER($P$840),$B$677=1),$P$840,HLOOKUP(INDIRECT(ADDRESS(2,COLUMN())),OFFSET($BN$2,0,0,ROW()-1,60),ROW()-1,FALSE))</f>
        <v/>
      </c>
      <c r="Q170" t="str">
        <f ca="1">IF(AND(ISNUMBER($Q$840),$B$677=1),$Q$840,HLOOKUP(INDIRECT(ADDRESS(2,COLUMN())),OFFSET($BN$2,0,0,ROW()-1,60),ROW()-1,FALSE))</f>
        <v/>
      </c>
      <c r="R170" t="str">
        <f ca="1">IF(AND(ISNUMBER($R$840),$B$677=1),$R$840,HLOOKUP(INDIRECT(ADDRESS(2,COLUMN())),OFFSET($BN$2,0,0,ROW()-1,60),ROW()-1,FALSE))</f>
        <v/>
      </c>
      <c r="S170">
        <f ca="1">IF(AND(ISNUMBER($S$840),$B$677=1),$S$840,HLOOKUP(INDIRECT(ADDRESS(2,COLUMN())),OFFSET($BN$2,0,0,ROW()-1,60),ROW()-1,FALSE))</f>
        <v>5.2403448040000002</v>
      </c>
      <c r="T170">
        <f ca="1">IF(AND(ISNUMBER($T$840),$B$677=1),$T$840,HLOOKUP(INDIRECT(ADDRESS(2,COLUMN())),OFFSET($BN$2,0,0,ROW()-1,60),ROW()-1,FALSE))</f>
        <v>5.4457396749999996</v>
      </c>
      <c r="U170" t="str">
        <f ca="1">IF(AND(ISNUMBER($U$840),$B$677=1),$U$840,HLOOKUP(INDIRECT(ADDRESS(2,COLUMN())),OFFSET($BN$2,0,0,ROW()-1,60),ROW()-1,FALSE))</f>
        <v/>
      </c>
      <c r="V170" t="str">
        <f ca="1">IF(AND(ISNUMBER($V$840),$B$677=1),$V$840,HLOOKUP(INDIRECT(ADDRESS(2,COLUMN())),OFFSET($BN$2,0,0,ROW()-1,60),ROW()-1,FALSE))</f>
        <v/>
      </c>
      <c r="W170" t="str">
        <f ca="1">IF(AND(ISNUMBER($W$840),$B$677=1),$W$840,HLOOKUP(INDIRECT(ADDRESS(2,COLUMN())),OFFSET($BN$2,0,0,ROW()-1,60),ROW()-1,FALSE))</f>
        <v/>
      </c>
      <c r="X170" t="str">
        <f ca="1">IF(AND(ISNUMBER($X$840),$B$677=1),$X$840,HLOOKUP(INDIRECT(ADDRESS(2,COLUMN())),OFFSET($BN$2,0,0,ROW()-1,60),ROW()-1,FALSE))</f>
        <v/>
      </c>
      <c r="Y170" t="str">
        <f ca="1">IF(AND(ISNUMBER($Y$840),$B$677=1),$Y$840,HLOOKUP(INDIRECT(ADDRESS(2,COLUMN())),OFFSET($BN$2,0,0,ROW()-1,60),ROW()-1,FALSE))</f>
        <v/>
      </c>
      <c r="Z170" t="str">
        <f ca="1">IF(AND(ISNUMBER($Z$840),$B$677=1),$Z$840,HLOOKUP(INDIRECT(ADDRESS(2,COLUMN())),OFFSET($BN$2,0,0,ROW()-1,60),ROW()-1,FALSE))</f>
        <v/>
      </c>
      <c r="AA170" t="str">
        <f ca="1">IF(AND(ISNUMBER($AA$840),$B$677=1),$AA$840,HLOOKUP(INDIRECT(ADDRESS(2,COLUMN())),OFFSET($BN$2,0,0,ROW()-1,60),ROW()-1,FALSE))</f>
        <v/>
      </c>
      <c r="AB170" t="str">
        <f ca="1">IF(AND(ISNUMBER($AB$840),$B$677=1),$AB$840,HLOOKUP(INDIRECT(ADDRESS(2,COLUMN())),OFFSET($BN$2,0,0,ROW()-1,60),ROW()-1,FALSE))</f>
        <v/>
      </c>
      <c r="AC170" t="str">
        <f ca="1">IF(AND(ISNUMBER($AC$840),$B$677=1),$AC$840,HLOOKUP(INDIRECT(ADDRESS(2,COLUMN())),OFFSET($BN$2,0,0,ROW()-1,60),ROW()-1,FALSE))</f>
        <v/>
      </c>
      <c r="AD170" t="str">
        <f ca="1">IF(AND(ISNUMBER($AD$840),$B$677=1),$AD$840,HLOOKUP(INDIRECT(ADDRESS(2,COLUMN())),OFFSET($BN$2,0,0,ROW()-1,60),ROW()-1,FALSE))</f>
        <v/>
      </c>
      <c r="AE170" t="str">
        <f ca="1">IF(AND(ISNUMBER($AE$840),$B$677=1),$AE$840,HLOOKUP(INDIRECT(ADDRESS(2,COLUMN())),OFFSET($BN$2,0,0,ROW()-1,60),ROW()-1,FALSE))</f>
        <v/>
      </c>
      <c r="AF170" t="str">
        <f ca="1">IF(AND(ISNUMBER($AF$840),$B$677=1),$AF$840,HLOOKUP(INDIRECT(ADDRESS(2,COLUMN())),OFFSET($BN$2,0,0,ROW()-1,60),ROW()-1,FALSE))</f>
        <v/>
      </c>
      <c r="AG170" t="str">
        <f ca="1">IF(AND(ISNUMBER($AG$840),$B$677=1),$AG$840,HLOOKUP(INDIRECT(ADDRESS(2,COLUMN())),OFFSET($BN$2,0,0,ROW()-1,60),ROW()-1,FALSE))</f>
        <v/>
      </c>
      <c r="AH170" t="str">
        <f ca="1">IF(AND(ISNUMBER($AH$840),$B$677=1),$AH$840,HLOOKUP(INDIRECT(ADDRESS(2,COLUMN())),OFFSET($BN$2,0,0,ROW()-1,60),ROW()-1,FALSE))</f>
        <v/>
      </c>
      <c r="AI170" t="str">
        <f ca="1">IF(AND(ISNUMBER($AI$840),$B$677=1),$AI$840,HLOOKUP(INDIRECT(ADDRESS(2,COLUMN())),OFFSET($BN$2,0,0,ROW()-1,60),ROW()-1,FALSE))</f>
        <v/>
      </c>
      <c r="AJ170" t="str">
        <f ca="1">IF(AND(ISNUMBER($AJ$840),$B$677=1),$AJ$840,HLOOKUP(INDIRECT(ADDRESS(2,COLUMN())),OFFSET($BN$2,0,0,ROW()-1,60),ROW()-1,FALSE))</f>
        <v/>
      </c>
      <c r="AK170" t="str">
        <f ca="1">IF(AND(ISNUMBER($AK$840),$B$677=1),$AK$840,HLOOKUP(INDIRECT(ADDRESS(2,COLUMN())),OFFSET($BN$2,0,0,ROW()-1,60),ROW()-1,FALSE))</f>
        <v/>
      </c>
      <c r="AL170" t="str">
        <f ca="1">IF(AND(ISNUMBER($AL$840),$B$677=1),$AL$840,HLOOKUP(INDIRECT(ADDRESS(2,COLUMN())),OFFSET($BN$2,0,0,ROW()-1,60),ROW()-1,FALSE))</f>
        <v/>
      </c>
      <c r="AM170" t="str">
        <f ca="1">IF(AND(ISNUMBER($AM$840),$B$677=1),$AM$840,HLOOKUP(INDIRECT(ADDRESS(2,COLUMN())),OFFSET($BN$2,0,0,ROW()-1,60),ROW()-1,FALSE))</f>
        <v/>
      </c>
      <c r="AN170" t="str">
        <f ca="1">IF(AND(ISNUMBER($AN$840),$B$677=1),$AN$840,HLOOKUP(INDIRECT(ADDRESS(2,COLUMN())),OFFSET($BN$2,0,0,ROW()-1,60),ROW()-1,FALSE))</f>
        <v/>
      </c>
      <c r="AO170" t="str">
        <f ca="1">IF(AND(ISNUMBER($AO$840),$B$677=1),$AO$840,HLOOKUP(INDIRECT(ADDRESS(2,COLUMN())),OFFSET($BN$2,0,0,ROW()-1,60),ROW()-1,FALSE))</f>
        <v/>
      </c>
      <c r="AP170" t="str">
        <f ca="1">IF(AND(ISNUMBER($AP$840),$B$677=1),$AP$840,HLOOKUP(INDIRECT(ADDRESS(2,COLUMN())),OFFSET($BN$2,0,0,ROW()-1,60),ROW()-1,FALSE))</f>
        <v/>
      </c>
      <c r="AQ170" t="str">
        <f ca="1">IF(AND(ISNUMBER($AQ$840),$B$677=1),$AQ$840,HLOOKUP(INDIRECT(ADDRESS(2,COLUMN())),OFFSET($BN$2,0,0,ROW()-1,60),ROW()-1,FALSE))</f>
        <v/>
      </c>
      <c r="AR170" t="str">
        <f ca="1">IF(AND(ISNUMBER($AR$840),$B$677=1),$AR$840,HLOOKUP(INDIRECT(ADDRESS(2,COLUMN())),OFFSET($BN$2,0,0,ROW()-1,60),ROW()-1,FALSE))</f>
        <v/>
      </c>
      <c r="AS170" t="str">
        <f ca="1">IF(AND(ISNUMBER($AS$840),$B$677=1),$AS$840,HLOOKUP(INDIRECT(ADDRESS(2,COLUMN())),OFFSET($BN$2,0,0,ROW()-1,60),ROW()-1,FALSE))</f>
        <v/>
      </c>
      <c r="AT170" t="str">
        <f ca="1">IF(AND(ISNUMBER($AT$840),$B$677=1),$AT$840,HLOOKUP(INDIRECT(ADDRESS(2,COLUMN())),OFFSET($BN$2,0,0,ROW()-1,60),ROW()-1,FALSE))</f>
        <v/>
      </c>
      <c r="AU170" t="str">
        <f ca="1">IF(AND(ISNUMBER($AU$840),$B$677=1),$AU$840,HLOOKUP(INDIRECT(ADDRESS(2,COLUMN())),OFFSET($BN$2,0,0,ROW()-1,60),ROW()-1,FALSE))</f>
        <v/>
      </c>
      <c r="AV170" t="str">
        <f ca="1">IF(AND(ISNUMBER($AV$840),$B$677=1),$AV$840,HLOOKUP(INDIRECT(ADDRESS(2,COLUMN())),OFFSET($BN$2,0,0,ROW()-1,60),ROW()-1,FALSE))</f>
        <v/>
      </c>
      <c r="AW170" t="str">
        <f ca="1">IF(AND(ISNUMBER($AW$840),$B$677=1),$AW$840,HLOOKUP(INDIRECT(ADDRESS(2,COLUMN())),OFFSET($BN$2,0,0,ROW()-1,60),ROW()-1,FALSE))</f>
        <v/>
      </c>
      <c r="AX170" t="str">
        <f ca="1">IF(AND(ISNUMBER($AX$840),$B$677=1),$AX$840,HLOOKUP(INDIRECT(ADDRESS(2,COLUMN())),OFFSET($BN$2,0,0,ROW()-1,60),ROW()-1,FALSE))</f>
        <v/>
      </c>
      <c r="AY170" t="str">
        <f ca="1">IF(AND(ISNUMBER($AY$840),$B$677=1),$AY$840,HLOOKUP(INDIRECT(ADDRESS(2,COLUMN())),OFFSET($BN$2,0,0,ROW()-1,60),ROW()-1,FALSE))</f>
        <v/>
      </c>
      <c r="AZ170" t="str">
        <f ca="1">IF(AND(ISNUMBER($AZ$840),$B$677=1),$AZ$840,HLOOKUP(INDIRECT(ADDRESS(2,COLUMN())),OFFSET($BN$2,0,0,ROW()-1,60),ROW()-1,FALSE))</f>
        <v/>
      </c>
      <c r="BA170" t="str">
        <f ca="1">IF(AND(ISNUMBER($BA$840),$B$677=1),$BA$840,HLOOKUP(INDIRECT(ADDRESS(2,COLUMN())),OFFSET($BN$2,0,0,ROW()-1,60),ROW()-1,FALSE))</f>
        <v/>
      </c>
      <c r="BB170" t="str">
        <f ca="1">IF(AND(ISNUMBER($BB$840),$B$677=1),$BB$840,HLOOKUP(INDIRECT(ADDRESS(2,COLUMN())),OFFSET($BN$2,0,0,ROW()-1,60),ROW()-1,FALSE))</f>
        <v/>
      </c>
      <c r="BC170" t="str">
        <f ca="1">IF(AND(ISNUMBER($BC$840),$B$677=1),$BC$840,HLOOKUP(INDIRECT(ADDRESS(2,COLUMN())),OFFSET($BN$2,0,0,ROW()-1,60),ROW()-1,FALSE))</f>
        <v/>
      </c>
      <c r="BD170" t="str">
        <f ca="1">IF(AND(ISNUMBER($BD$840),$B$677=1),$BD$840,HLOOKUP(INDIRECT(ADDRESS(2,COLUMN())),OFFSET($BN$2,0,0,ROW()-1,60),ROW()-1,FALSE))</f>
        <v/>
      </c>
      <c r="BE170" t="str">
        <f ca="1">IF(AND(ISNUMBER($BE$840),$B$677=1),$BE$840,HLOOKUP(INDIRECT(ADDRESS(2,COLUMN())),OFFSET($BN$2,0,0,ROW()-1,60),ROW()-1,FALSE))</f>
        <v/>
      </c>
      <c r="BF170" t="str">
        <f ca="1">IF(AND(ISNUMBER($BF$840),$B$677=1),$BF$840,HLOOKUP(INDIRECT(ADDRESS(2,COLUMN())),OFFSET($BN$2,0,0,ROW()-1,60),ROW()-1,FALSE))</f>
        <v/>
      </c>
      <c r="BG170" t="str">
        <f ca="1">IF(AND(ISNUMBER($BG$840),$B$677=1),$BG$840,HLOOKUP(INDIRECT(ADDRESS(2,COLUMN())),OFFSET($BN$2,0,0,ROW()-1,60),ROW()-1,FALSE))</f>
        <v/>
      </c>
      <c r="BH170" t="str">
        <f ca="1">IF(AND(ISNUMBER($BH$840),$B$677=1),$BH$840,HLOOKUP(INDIRECT(ADDRESS(2,COLUMN())),OFFSET($BN$2,0,0,ROW()-1,60),ROW()-1,FALSE))</f>
        <v/>
      </c>
      <c r="BI170" t="str">
        <f ca="1">IF(AND(ISNUMBER($BI$840),$B$677=1),$BI$840,HLOOKUP(INDIRECT(ADDRESS(2,COLUMN())),OFFSET($BN$2,0,0,ROW()-1,60),ROW()-1,FALSE))</f>
        <v/>
      </c>
      <c r="BJ170" t="str">
        <f ca="1">IF(AND(ISNUMBER($BJ$840),$B$677=1),$BJ$840,HLOOKUP(INDIRECT(ADDRESS(2,COLUMN())),OFFSET($BN$2,0,0,ROW()-1,60),ROW()-1,FALSE))</f>
        <v/>
      </c>
      <c r="BK170" t="str">
        <f ca="1">IF(AND(ISNUMBER($BK$840),$B$677=1),$BK$840,HLOOKUP(INDIRECT(ADDRESS(2,COLUMN())),OFFSET($BN$2,0,0,ROW()-1,60),ROW()-1,FALSE))</f>
        <v/>
      </c>
      <c r="BL170" t="str">
        <f ca="1">IF(AND(ISNUMBER($BL$840),$B$677=1),$BL$840,HLOOKUP(INDIRECT(ADDRESS(2,COLUMN())),OFFSET($BN$2,0,0,ROW()-1,60),ROW()-1,FALSE))</f>
        <v/>
      </c>
      <c r="BM170" t="str">
        <f ca="1">IF(AND(ISNUMBER($BM$840),$B$677=1),$BM$840,HLOOKUP(INDIRECT(ADDRESS(2,COLUMN())),OFFSET($BN$2,0,0,ROW()-1,60),ROW()-1,FALSE))</f>
        <v/>
      </c>
      <c r="BN170" t="str">
        <f>""</f>
        <v/>
      </c>
      <c r="BO170" t="str">
        <f>""</f>
        <v/>
      </c>
      <c r="BP170" t="str">
        <f>""</f>
        <v/>
      </c>
      <c r="BQ170" t="str">
        <f>""</f>
        <v/>
      </c>
      <c r="BR170" t="str">
        <f>""</f>
        <v/>
      </c>
      <c r="BS170" t="str">
        <f>""</f>
        <v/>
      </c>
      <c r="BT170" t="str">
        <f>""</f>
        <v/>
      </c>
      <c r="BU170" t="str">
        <f>""</f>
        <v/>
      </c>
      <c r="BV170" t="str">
        <f>""</f>
        <v/>
      </c>
      <c r="BW170" t="str">
        <f>""</f>
        <v/>
      </c>
      <c r="BX170" t="str">
        <f>""</f>
        <v/>
      </c>
      <c r="BY170" t="str">
        <f>""</f>
        <v/>
      </c>
      <c r="BZ170" t="str">
        <f>""</f>
        <v/>
      </c>
      <c r="CA170">
        <f>5.240344804</f>
        <v>5.2403448040000002</v>
      </c>
      <c r="CB170">
        <f>5.445739675</f>
        <v>5.4457396749999996</v>
      </c>
      <c r="CC170" t="str">
        <f>""</f>
        <v/>
      </c>
      <c r="CD170" t="str">
        <f>""</f>
        <v/>
      </c>
      <c r="CE170" t="str">
        <f>""</f>
        <v/>
      </c>
      <c r="CF170" t="str">
        <f>""</f>
        <v/>
      </c>
      <c r="CG170" t="str">
        <f>""</f>
        <v/>
      </c>
      <c r="CH170" t="str">
        <f>""</f>
        <v/>
      </c>
      <c r="CI170" t="str">
        <f>""</f>
        <v/>
      </c>
      <c r="CJ170" t="str">
        <f>""</f>
        <v/>
      </c>
      <c r="CK170" t="str">
        <f>""</f>
        <v/>
      </c>
      <c r="CL170" t="str">
        <f>""</f>
        <v/>
      </c>
      <c r="CM170" t="str">
        <f>""</f>
        <v/>
      </c>
      <c r="CN170" t="str">
        <f>""</f>
        <v/>
      </c>
      <c r="CO170" t="str">
        <f>""</f>
        <v/>
      </c>
      <c r="CP170" t="str">
        <f>""</f>
        <v/>
      </c>
      <c r="CQ170" t="str">
        <f>""</f>
        <v/>
      </c>
      <c r="CR170" t="str">
        <f>""</f>
        <v/>
      </c>
      <c r="CS170" t="str">
        <f>""</f>
        <v/>
      </c>
      <c r="CT170" t="str">
        <f>""</f>
        <v/>
      </c>
      <c r="CU170" t="str">
        <f>""</f>
        <v/>
      </c>
      <c r="CV170" t="str">
        <f>""</f>
        <v/>
      </c>
      <c r="CW170" t="str">
        <f>""</f>
        <v/>
      </c>
      <c r="CX170" t="str">
        <f>""</f>
        <v/>
      </c>
      <c r="CY170" t="str">
        <f>""</f>
        <v/>
      </c>
      <c r="CZ170" t="str">
        <f>""</f>
        <v/>
      </c>
      <c r="DA170" t="str">
        <f>""</f>
        <v/>
      </c>
      <c r="DB170" t="str">
        <f>""</f>
        <v/>
      </c>
      <c r="DC170" t="str">
        <f>""</f>
        <v/>
      </c>
      <c r="DD170" t="str">
        <f>""</f>
        <v/>
      </c>
      <c r="DE170" t="str">
        <f>""</f>
        <v/>
      </c>
      <c r="DF170" t="str">
        <f>""</f>
        <v/>
      </c>
      <c r="DG170" t="str">
        <f>""</f>
        <v/>
      </c>
      <c r="DH170" t="str">
        <f>""</f>
        <v/>
      </c>
      <c r="DI170" t="str">
        <f>""</f>
        <v/>
      </c>
      <c r="DJ170" t="str">
        <f>""</f>
        <v/>
      </c>
      <c r="DK170" t="str">
        <f>""</f>
        <v/>
      </c>
      <c r="DL170" t="str">
        <f>""</f>
        <v/>
      </c>
      <c r="DM170" t="str">
        <f>""</f>
        <v/>
      </c>
      <c r="DN170" t="str">
        <f>""</f>
        <v/>
      </c>
      <c r="DO170" t="str">
        <f>""</f>
        <v/>
      </c>
      <c r="DP170" t="str">
        <f>""</f>
        <v/>
      </c>
      <c r="DQ170" t="str">
        <f>""</f>
        <v/>
      </c>
      <c r="DR170" t="str">
        <f>""</f>
        <v/>
      </c>
      <c r="DS170" t="str">
        <f>""</f>
        <v/>
      </c>
      <c r="DT170" t="str">
        <f>""</f>
        <v/>
      </c>
      <c r="DU170" t="str">
        <f>""</f>
        <v/>
      </c>
    </row>
    <row r="171" spans="1:125" x14ac:dyDescent="0.25">
      <c r="A171" t="str">
        <f>"    Bayerische Motoren Werke AG"</f>
        <v xml:space="preserve">    Bayerische Motoren Werke AG</v>
      </c>
      <c r="B171" t="str">
        <f>"BMW GR Equity"</f>
        <v>BMW GR Equity</v>
      </c>
      <c r="C171" t="str">
        <f t="shared" si="12"/>
        <v>RX077</v>
      </c>
      <c r="D171" t="str">
        <f t="shared" si="13"/>
        <v>PX_TO_TANG_BOOK_VAL_PER_SH</v>
      </c>
      <c r="E171" t="str">
        <f t="shared" si="14"/>
        <v>Dynamic</v>
      </c>
      <c r="F171">
        <f ca="1">IF(AND(ISNUMBER($F$841),$B$677=1),$F$841,HLOOKUP(INDIRECT(ADDRESS(2,COLUMN())),OFFSET($BN$2,0,0,ROW()-1,60),ROW()-1,FALSE))</f>
        <v>1.03481304</v>
      </c>
      <c r="G171">
        <f ca="1">IF(AND(ISNUMBER($G$841),$B$677=1),$G$841,HLOOKUP(INDIRECT(ADDRESS(2,COLUMN())),OFFSET($BN$2,0,0,ROW()-1,60),ROW()-1,FALSE))</f>
        <v>1.0013862849999999</v>
      </c>
      <c r="H171">
        <f ca="1">IF(AND(ISNUMBER($H$841),$B$677=1),$H$841,HLOOKUP(INDIRECT(ADDRESS(2,COLUMN())),OFFSET($BN$2,0,0,ROW()-1,60),ROW()-1,FALSE))</f>
        <v>1.0977006659999999</v>
      </c>
      <c r="I171">
        <f ca="1">IF(AND(ISNUMBER($I$841),$B$677=1),$I$841,HLOOKUP(INDIRECT(ADDRESS(2,COLUMN())),OFFSET($BN$2,0,0,ROW()-1,60),ROW()-1,FALSE))</f>
        <v>1.115234971</v>
      </c>
      <c r="J171">
        <f ca="1">IF(AND(ISNUMBER($J$841),$B$677=1),$J$841,HLOOKUP(INDIRECT(ADDRESS(2,COLUMN())),OFFSET($BN$2,0,0,ROW()-1,60),ROW()-1,FALSE))</f>
        <v>1.2551128330000001</v>
      </c>
      <c r="K171">
        <f ca="1">IF(AND(ISNUMBER($K$841),$B$677=1),$K$841,HLOOKUP(INDIRECT(ADDRESS(2,COLUMN())),OFFSET($BN$2,0,0,ROW()-1,60),ROW()-1,FALSE))</f>
        <v>1.278880579</v>
      </c>
      <c r="L171">
        <f ca="1">IF(AND(ISNUMBER($L$841),$B$677=1),$L$841,HLOOKUP(INDIRECT(ADDRESS(2,COLUMN())),OFFSET($BN$2,0,0,ROW()-1,60),ROW()-1,FALSE))</f>
        <v>1.2898656209999999</v>
      </c>
      <c r="M171">
        <f ca="1">IF(AND(ISNUMBER($M$841),$B$677=1),$M$841,HLOOKUP(INDIRECT(ADDRESS(2,COLUMN())),OFFSET($BN$2,0,0,ROW()-1,60),ROW()-1,FALSE))</f>
        <v>1.2835249129999999</v>
      </c>
      <c r="N171">
        <f ca="1">IF(AND(ISNUMBER($N$841),$B$677=1),$N$841,HLOOKUP(INDIRECT(ADDRESS(2,COLUMN())),OFFSET($BN$2,0,0,ROW()-1,60),ROW()-1,FALSE))</f>
        <v>1.3698206580000001</v>
      </c>
      <c r="O171">
        <f ca="1">IF(AND(ISNUMBER($O$841),$B$677=1),$O$841,HLOOKUP(INDIRECT(ADDRESS(2,COLUMN())),OFFSET($BN$2,0,0,ROW()-1,60),ROW()-1,FALSE))</f>
        <v>1.4972266949999999</v>
      </c>
      <c r="P171">
        <f ca="1">IF(AND(ISNUMBER($P$841),$B$677=1),$P$841,HLOOKUP(INDIRECT(ADDRESS(2,COLUMN())),OFFSET($BN$2,0,0,ROW()-1,60),ROW()-1,FALSE))</f>
        <v>1.3042222889999999</v>
      </c>
      <c r="Q171">
        <f ca="1">IF(AND(ISNUMBER($Q$841),$B$677=1),$Q$841,HLOOKUP(INDIRECT(ADDRESS(2,COLUMN())),OFFSET($BN$2,0,0,ROW()-1,60),ROW()-1,FALSE))</f>
        <v>1.1967952630000001</v>
      </c>
      <c r="R171">
        <f ca="1">IF(AND(ISNUMBER($R$841),$B$677=1),$R$841,HLOOKUP(INDIRECT(ADDRESS(2,COLUMN())),OFFSET($BN$2,0,0,ROW()-1,60),ROW()-1,FALSE))</f>
        <v>1.425263333</v>
      </c>
      <c r="S171">
        <f ca="1">IF(AND(ISNUMBER($S$841),$B$677=1),$S$841,HLOOKUP(INDIRECT(ADDRESS(2,COLUMN())),OFFSET($BN$2,0,0,ROW()-1,60),ROW()-1,FALSE))</f>
        <v>1.8238760199999999</v>
      </c>
      <c r="T171">
        <f ca="1">IF(AND(ISNUMBER($T$841),$B$677=1),$T$841,HLOOKUP(INDIRECT(ADDRESS(2,COLUMN())),OFFSET($BN$2,0,0,ROW()-1,60),ROW()-1,FALSE))</f>
        <v>1.52949924</v>
      </c>
      <c r="U171">
        <f ca="1">IF(AND(ISNUMBER($U$841),$B$677=1),$U$841,HLOOKUP(INDIRECT(ADDRESS(2,COLUMN())),OFFSET($BN$2,0,0,ROW()-1,60),ROW()-1,FALSE))</f>
        <v>2.0332183669999999</v>
      </c>
      <c r="V171">
        <f ca="1">IF(AND(ISNUMBER($V$841),$B$677=1),$V$841,HLOOKUP(INDIRECT(ADDRESS(2,COLUMN())),OFFSET($BN$2,0,0,ROW()-1,60),ROW()-1,FALSE))</f>
        <v>2.5817188820000001</v>
      </c>
      <c r="W171">
        <f ca="1">IF(AND(ISNUMBER($W$841),$B$677=1),$W$841,HLOOKUP(INDIRECT(ADDRESS(2,COLUMN())),OFFSET($BN$2,0,0,ROW()-1,60),ROW()-1,FALSE))</f>
        <v>1.8008168680000001</v>
      </c>
      <c r="X171">
        <f ca="1">IF(AND(ISNUMBER($X$841),$B$677=1),$X$841,HLOOKUP(INDIRECT(ADDRESS(2,COLUMN())),OFFSET($BN$2,0,0,ROW()-1,60),ROW()-1,FALSE))</f>
        <v>1.857203328</v>
      </c>
      <c r="Y171">
        <f ca="1">IF(AND(ISNUMBER($Y$841),$B$677=1),$Y$841,HLOOKUP(INDIRECT(ADDRESS(2,COLUMN())),OFFSET($BN$2,0,0,ROW()-1,60),ROW()-1,FALSE))</f>
        <v>2.0240437299999998</v>
      </c>
      <c r="Z171">
        <f ca="1">IF(AND(ISNUMBER($Z$841),$B$677=1),$Z$841,HLOOKUP(INDIRECT(ADDRESS(2,COLUMN())),OFFSET($BN$2,0,0,ROW()-1,60),ROW()-1,FALSE))</f>
        <v>1.9609631059999999</v>
      </c>
      <c r="AA171">
        <f ca="1">IF(AND(ISNUMBER($AA$841),$B$677=1),$AA$841,HLOOKUP(INDIRECT(ADDRESS(2,COLUMN())),OFFSET($BN$2,0,0,ROW()-1,60),ROW()-1,FALSE))</f>
        <v>1.9131135930000001</v>
      </c>
      <c r="AB171">
        <f ca="1">IF(AND(ISNUMBER($AB$841),$B$677=1),$AB$841,HLOOKUP(INDIRECT(ADDRESS(2,COLUMN())),OFFSET($BN$2,0,0,ROW()-1,60),ROW()-1,FALSE))</f>
        <v>1.867191016</v>
      </c>
      <c r="AC171">
        <f ca="1">IF(AND(ISNUMBER($AC$841),$B$677=1),$AC$841,HLOOKUP(INDIRECT(ADDRESS(2,COLUMN())),OFFSET($BN$2,0,0,ROW()-1,60),ROW()-1,FALSE))</f>
        <v>1.656299395</v>
      </c>
      <c r="AD171">
        <f ca="1">IF(AND(ISNUMBER($AD$841),$B$677=1),$AD$841,HLOOKUP(INDIRECT(ADDRESS(2,COLUMN())),OFFSET($BN$2,0,0,ROW()-1,60),ROW()-1,FALSE))</f>
        <v>1.7039859690000001</v>
      </c>
      <c r="AE171">
        <f ca="1">IF(AND(ISNUMBER($AE$841),$B$677=1),$AE$841,HLOOKUP(INDIRECT(ADDRESS(2,COLUMN())),OFFSET($BN$2,0,0,ROW()-1,60),ROW()-1,FALSE))</f>
        <v>1.8915589079999999</v>
      </c>
      <c r="AF171">
        <f ca="1">IF(AND(ISNUMBER($AF$841),$B$677=1),$AF$841,HLOOKUP(INDIRECT(ADDRESS(2,COLUMN())),OFFSET($BN$2,0,0,ROW()-1,60),ROW()-1,FALSE))</f>
        <v>1.582612213</v>
      </c>
      <c r="AG171">
        <f ca="1">IF(AND(ISNUMBER($AG$841),$B$677=1),$AG$841,HLOOKUP(INDIRECT(ADDRESS(2,COLUMN())),OFFSET($BN$2,0,0,ROW()-1,60),ROW()-1,FALSE))</f>
        <v>1.6678031099999999</v>
      </c>
      <c r="AH171">
        <f ca="1">IF(AND(ISNUMBER($AH$841),$B$677=1),$AH$841,HLOOKUP(INDIRECT(ADDRESS(2,COLUMN())),OFFSET($BN$2,0,0,ROW()-1,60),ROW()-1,FALSE))</f>
        <v>1.8925799720000001</v>
      </c>
      <c r="AI171">
        <f ca="1">IF(AND(ISNUMBER($AI$841),$B$677=1),$AI$841,HLOOKUP(INDIRECT(ADDRESS(2,COLUMN())),OFFSET($BN$2,0,0,ROW()-1,60),ROW()-1,FALSE))</f>
        <v>1.556519521</v>
      </c>
      <c r="AJ171">
        <f ca="1">IF(AND(ISNUMBER($AJ$841),$B$677=1),$AJ$841,HLOOKUP(INDIRECT(ADDRESS(2,COLUMN())),OFFSET($BN$2,0,0,ROW()-1,60),ROW()-1,FALSE))</f>
        <v>1.5594391000000001</v>
      </c>
      <c r="AK171">
        <f ca="1">IF(AND(ISNUMBER($AK$841),$B$677=1),$AK$841,HLOOKUP(INDIRECT(ADDRESS(2,COLUMN())),OFFSET($BN$2,0,0,ROW()-1,60),ROW()-1,FALSE))</f>
        <v>2.1362913059999999</v>
      </c>
      <c r="AL171">
        <f ca="1">IF(AND(ISNUMBER($AL$841),$B$677=1),$AL$841,HLOOKUP(INDIRECT(ADDRESS(2,COLUMN())),OFFSET($BN$2,0,0,ROW()-1,60),ROW()-1,FALSE))</f>
        <v>1.9422624530000001</v>
      </c>
      <c r="AM171">
        <f ca="1">IF(AND(ISNUMBER($AM$841),$B$677=1),$AM$841,HLOOKUP(INDIRECT(ADDRESS(2,COLUMN())),OFFSET($BN$2,0,0,ROW()-1,60),ROW()-1,FALSE))</f>
        <v>2.0429229100000001</v>
      </c>
      <c r="AN171">
        <f ca="1">IF(AND(ISNUMBER($AN$841),$B$677=1),$AN$841,HLOOKUP(INDIRECT(ADDRESS(2,COLUMN())),OFFSET($BN$2,0,0,ROW()-1,60),ROW()-1,FALSE))</f>
        <v>2.020959934</v>
      </c>
      <c r="AO171">
        <f ca="1">IF(AND(ISNUMBER($AO$841),$B$677=1),$AO$841,HLOOKUP(INDIRECT(ADDRESS(2,COLUMN())),OFFSET($BN$2,0,0,ROW()-1,60),ROW()-1,FALSE))</f>
        <v>1.7452253200000001</v>
      </c>
      <c r="AP171">
        <f ca="1">IF(AND(ISNUMBER($AP$841),$B$677=1),$AP$841,HLOOKUP(INDIRECT(ADDRESS(2,COLUMN())),OFFSET($BN$2,0,0,ROW()-1,60),ROW()-1,FALSE))</f>
        <v>1.5321223740000001</v>
      </c>
      <c r="AQ171">
        <f ca="1">IF(AND(ISNUMBER($AQ$841),$B$677=1),$AQ$841,HLOOKUP(INDIRECT(ADDRESS(2,COLUMN())),OFFSET($BN$2,0,0,ROW()-1,60),ROW()-1,FALSE))</f>
        <v>1.4334645559999999</v>
      </c>
      <c r="AR171">
        <f ca="1">IF(AND(ISNUMBER($AR$841),$B$677=1),$AR$841,HLOOKUP(INDIRECT(ADDRESS(2,COLUMN())),OFFSET($BN$2,0,0,ROW()-1,60),ROW()-1,FALSE))</f>
        <v>1.48130848</v>
      </c>
      <c r="AS171">
        <f ca="1">IF(AND(ISNUMBER($AS$841),$B$677=1),$AS$841,HLOOKUP(INDIRECT(ADDRESS(2,COLUMN())),OFFSET($BN$2,0,0,ROW()-1,60),ROW()-1,FALSE))</f>
        <v>1.1968486970000001</v>
      </c>
      <c r="AT171">
        <f ca="1">IF(AND(ISNUMBER($AT$841),$B$677=1),$AT$841,HLOOKUP(INDIRECT(ADDRESS(2,COLUMN())),OFFSET($BN$2,0,0,ROW()-1,60),ROW()-1,FALSE))</f>
        <v>0.99384088999999998</v>
      </c>
      <c r="AU171">
        <f ca="1">IF(AND(ISNUMBER($AU$841),$B$677=1),$AU$841,HLOOKUP(INDIRECT(ADDRESS(2,COLUMN())),OFFSET($BN$2,0,0,ROW()-1,60),ROW()-1,FALSE))</f>
        <v>0.96616712299999996</v>
      </c>
      <c r="AV171">
        <f ca="1">IF(AND(ISNUMBER($AV$841),$B$677=1),$AV$841,HLOOKUP(INDIRECT(ADDRESS(2,COLUMN())),OFFSET($BN$2,0,0,ROW()-1,60),ROW()-1,FALSE))</f>
        <v>1.078165069</v>
      </c>
      <c r="AW171">
        <f ca="1">IF(AND(ISNUMBER($AW$841),$B$677=1),$AW$841,HLOOKUP(INDIRECT(ADDRESS(2,COLUMN())),OFFSET($BN$2,0,0,ROW()-1,60),ROW()-1,FALSE))</f>
        <v>1.213614392</v>
      </c>
      <c r="AX171">
        <f ca="1">IF(AND(ISNUMBER($AX$841),$B$677=1),$AX$841,HLOOKUP(INDIRECT(ADDRESS(2,COLUMN())),OFFSET($BN$2,0,0,ROW()-1,60),ROW()-1,FALSE))</f>
        <v>1.34617411</v>
      </c>
      <c r="AY171">
        <f ca="1">IF(AND(ISNUMBER($AY$841),$B$677=1),$AY$841,HLOOKUP(INDIRECT(ADDRESS(2,COLUMN())),OFFSET($BN$2,0,0,ROW()-1,60),ROW()-1,FALSE))</f>
        <v>1.739840305</v>
      </c>
      <c r="AZ171">
        <f ca="1">IF(AND(ISNUMBER($AZ$841),$B$677=1),$AZ$841,HLOOKUP(INDIRECT(ADDRESS(2,COLUMN())),OFFSET($BN$2,0,0,ROW()-1,60),ROW()-1,FALSE))</f>
        <v>1.931357209</v>
      </c>
      <c r="BA171">
        <f ca="1">IF(AND(ISNUMBER($BA$841),$B$677=1),$BA$841,HLOOKUP(INDIRECT(ADDRESS(2,COLUMN())),OFFSET($BN$2,0,0,ROW()-1,60),ROW()-1,FALSE))</f>
        <v>2.1389271879999998</v>
      </c>
      <c r="BB171">
        <f ca="1">IF(AND(ISNUMBER($BB$841),$B$677=1),$BB$841,HLOOKUP(INDIRECT(ADDRESS(2,COLUMN())),OFFSET($BN$2,0,0,ROW()-1,60),ROW()-1,FALSE))</f>
        <v>2.0309457260000001</v>
      </c>
      <c r="BC171">
        <f ca="1">IF(AND(ISNUMBER($BC$841),$B$677=1),$BC$841,HLOOKUP(INDIRECT(ADDRESS(2,COLUMN())),OFFSET($BN$2,0,0,ROW()-1,60),ROW()-1,FALSE))</f>
        <v>2.0699800389999998</v>
      </c>
      <c r="BD171">
        <f ca="1">IF(AND(ISNUMBER($BD$841),$B$677=1),$BD$841,HLOOKUP(INDIRECT(ADDRESS(2,COLUMN())),OFFSET($BN$2,0,0,ROW()-1,60),ROW()-1,FALSE))</f>
        <v>2.0950967459999998</v>
      </c>
      <c r="BE171">
        <f ca="1">IF(AND(ISNUMBER($BE$841),$B$677=1),$BE$841,HLOOKUP(INDIRECT(ADDRESS(2,COLUMN())),OFFSET($BN$2,0,0,ROW()-1,60),ROW()-1,FALSE))</f>
        <v>1.94065942</v>
      </c>
      <c r="BF171">
        <f ca="1">IF(AND(ISNUMBER($BF$841),$B$677=1),$BF$841,HLOOKUP(INDIRECT(ADDRESS(2,COLUMN())),OFFSET($BN$2,0,0,ROW()-1,60),ROW()-1,FALSE))</f>
        <v>2.368810699</v>
      </c>
      <c r="BG171">
        <f ca="1">IF(AND(ISNUMBER($BG$841),$B$677=1),$BG$841,HLOOKUP(INDIRECT(ADDRESS(2,COLUMN())),OFFSET($BN$2,0,0,ROW()-1,60),ROW()-1,FALSE))</f>
        <v>2.0156454730000002</v>
      </c>
      <c r="BH171">
        <f ca="1">IF(AND(ISNUMBER($BH$841),$B$677=1),$BH$841,HLOOKUP(INDIRECT(ADDRESS(2,COLUMN())),OFFSET($BN$2,0,0,ROW()-1,60),ROW()-1,FALSE))</f>
        <v>1.867378955</v>
      </c>
      <c r="BI171">
        <f ca="1">IF(AND(ISNUMBER($BI$841),$B$677=1),$BI$841,HLOOKUP(INDIRECT(ADDRESS(2,COLUMN())),OFFSET($BN$2,0,0,ROW()-1,60),ROW()-1,FALSE))</f>
        <v>1.863985008</v>
      </c>
      <c r="BJ171">
        <f ca="1">IF(AND(ISNUMBER($BJ$841),$B$677=1),$BJ$841,HLOOKUP(INDIRECT(ADDRESS(2,COLUMN())),OFFSET($BN$2,0,0,ROW()-1,60),ROW()-1,FALSE))</f>
        <v>1.701979962</v>
      </c>
      <c r="BK171">
        <f ca="1">IF(AND(ISNUMBER($BK$841),$B$677=1),$BK$841,HLOOKUP(INDIRECT(ADDRESS(2,COLUMN())),OFFSET($BN$2,0,0,ROW()-1,60),ROW()-1,FALSE))</f>
        <v>1.7525735330000001</v>
      </c>
      <c r="BL171" t="str">
        <f ca="1">IF(AND(ISNUMBER($BL$841),$B$677=1),$BL$841,HLOOKUP(INDIRECT(ADDRESS(2,COLUMN())),OFFSET($BN$2,0,0,ROW()-1,60),ROW()-1,FALSE))</f>
        <v/>
      </c>
      <c r="BM171" t="str">
        <f ca="1">IF(AND(ISNUMBER($BM$841),$B$677=1),$BM$841,HLOOKUP(INDIRECT(ADDRESS(2,COLUMN())),OFFSET($BN$2,0,0,ROW()-1,60),ROW()-1,FALSE))</f>
        <v/>
      </c>
      <c r="BN171">
        <f>1.03481304</f>
        <v>1.03481304</v>
      </c>
      <c r="BO171">
        <f>1.001386285</f>
        <v>1.0013862849999999</v>
      </c>
      <c r="BP171">
        <f>1.097700666</f>
        <v>1.0977006659999999</v>
      </c>
      <c r="BQ171">
        <f>1.115234971</f>
        <v>1.115234971</v>
      </c>
      <c r="BR171">
        <f>1.255112833</f>
        <v>1.2551128330000001</v>
      </c>
      <c r="BS171">
        <f>1.278880579</f>
        <v>1.278880579</v>
      </c>
      <c r="BT171">
        <f>1.289865621</f>
        <v>1.2898656209999999</v>
      </c>
      <c r="BU171">
        <f>1.283524913</f>
        <v>1.2835249129999999</v>
      </c>
      <c r="BV171">
        <f>1.369820658</f>
        <v>1.3698206580000001</v>
      </c>
      <c r="BW171">
        <f>1.497226695</f>
        <v>1.4972266949999999</v>
      </c>
      <c r="BX171">
        <f>1.304222289</f>
        <v>1.3042222889999999</v>
      </c>
      <c r="BY171">
        <f>1.196795263</f>
        <v>1.1967952630000001</v>
      </c>
      <c r="BZ171">
        <f>1.425263333</f>
        <v>1.425263333</v>
      </c>
      <c r="CA171">
        <f>1.82387602</f>
        <v>1.8238760199999999</v>
      </c>
      <c r="CB171">
        <f>1.52949924</f>
        <v>1.52949924</v>
      </c>
      <c r="CC171">
        <f>2.033218367</f>
        <v>2.0332183669999999</v>
      </c>
      <c r="CD171">
        <f>2.581718882</f>
        <v>2.5817188820000001</v>
      </c>
      <c r="CE171">
        <f>1.800816868</f>
        <v>1.8008168680000001</v>
      </c>
      <c r="CF171">
        <f>1.857203328</f>
        <v>1.857203328</v>
      </c>
      <c r="CG171">
        <f>2.02404373</f>
        <v>2.0240437299999998</v>
      </c>
      <c r="CH171">
        <f>1.960963106</f>
        <v>1.9609631059999999</v>
      </c>
      <c r="CI171">
        <f>1.913113593</f>
        <v>1.9131135930000001</v>
      </c>
      <c r="CJ171">
        <f>1.867191016</f>
        <v>1.867191016</v>
      </c>
      <c r="CK171">
        <f>1.656299395</f>
        <v>1.656299395</v>
      </c>
      <c r="CL171">
        <f>1.703985969</f>
        <v>1.7039859690000001</v>
      </c>
      <c r="CM171">
        <f>1.891558908</f>
        <v>1.8915589079999999</v>
      </c>
      <c r="CN171">
        <f>1.582612213</f>
        <v>1.582612213</v>
      </c>
      <c r="CO171">
        <f>1.66780311</f>
        <v>1.6678031099999999</v>
      </c>
      <c r="CP171">
        <f>1.892579972</f>
        <v>1.8925799720000001</v>
      </c>
      <c r="CQ171">
        <f>1.556519521</f>
        <v>1.556519521</v>
      </c>
      <c r="CR171">
        <f>1.5594391</f>
        <v>1.5594391000000001</v>
      </c>
      <c r="CS171">
        <f>2.136291306</f>
        <v>2.1362913059999999</v>
      </c>
      <c r="CT171">
        <f>1.942262453</f>
        <v>1.9422624530000001</v>
      </c>
      <c r="CU171">
        <f>2.04292291</f>
        <v>2.0429229100000001</v>
      </c>
      <c r="CV171">
        <f>2.020959934</f>
        <v>2.020959934</v>
      </c>
      <c r="CW171">
        <f>1.74522532</f>
        <v>1.7452253200000001</v>
      </c>
      <c r="CX171">
        <f>1.532122374</f>
        <v>1.5321223740000001</v>
      </c>
      <c r="CY171">
        <f>1.433464556</f>
        <v>1.4334645559999999</v>
      </c>
      <c r="CZ171">
        <f>1.48130848</f>
        <v>1.48130848</v>
      </c>
      <c r="DA171">
        <f>1.196848697</f>
        <v>1.1968486970000001</v>
      </c>
      <c r="DB171">
        <f>0.99384089</f>
        <v>0.99384088999999998</v>
      </c>
      <c r="DC171">
        <f>0.966167123</f>
        <v>0.96616712299999996</v>
      </c>
      <c r="DD171">
        <f>1.078165069</f>
        <v>1.078165069</v>
      </c>
      <c r="DE171">
        <f>1.213614392</f>
        <v>1.213614392</v>
      </c>
      <c r="DF171">
        <f>1.34617411</f>
        <v>1.34617411</v>
      </c>
      <c r="DG171">
        <f>1.739840305</f>
        <v>1.739840305</v>
      </c>
      <c r="DH171">
        <f>1.931357209</f>
        <v>1.931357209</v>
      </c>
      <c r="DI171">
        <f>2.138927188</f>
        <v>2.1389271879999998</v>
      </c>
      <c r="DJ171">
        <f>2.030945726</f>
        <v>2.0309457260000001</v>
      </c>
      <c r="DK171">
        <f>2.069980039</f>
        <v>2.0699800389999998</v>
      </c>
      <c r="DL171">
        <f>2.095096746</f>
        <v>2.0950967459999998</v>
      </c>
      <c r="DM171">
        <f>1.94065942</f>
        <v>1.94065942</v>
      </c>
      <c r="DN171">
        <f>2.368810699</f>
        <v>2.368810699</v>
      </c>
      <c r="DO171">
        <f>2.015645473</f>
        <v>2.0156454730000002</v>
      </c>
      <c r="DP171">
        <f>1.867378955</f>
        <v>1.867378955</v>
      </c>
      <c r="DQ171">
        <f>1.863985008</f>
        <v>1.863985008</v>
      </c>
      <c r="DR171">
        <f>1.701979962</f>
        <v>1.701979962</v>
      </c>
      <c r="DS171">
        <f>1.752573533</f>
        <v>1.7525735330000001</v>
      </c>
      <c r="DT171" t="str">
        <f>""</f>
        <v/>
      </c>
      <c r="DU171" t="str">
        <f>""</f>
        <v/>
      </c>
    </row>
    <row r="172" spans="1:125" x14ac:dyDescent="0.25">
      <c r="A172" t="str">
        <f>"    Brilliance China Automotive Holdings Ltd"</f>
        <v xml:space="preserve">    Brilliance China Automotive Holdings Ltd</v>
      </c>
      <c r="B172" t="str">
        <f>"1114 HK Equity"</f>
        <v>1114 HK Equity</v>
      </c>
      <c r="C172" t="str">
        <f t="shared" si="12"/>
        <v>RX077</v>
      </c>
      <c r="D172" t="str">
        <f t="shared" si="13"/>
        <v>PX_TO_TANG_BOOK_VAL_PER_SH</v>
      </c>
      <c r="E172" t="str">
        <f t="shared" si="14"/>
        <v>Dynamic</v>
      </c>
      <c r="F172" t="str">
        <f ca="1">IF(AND(ISNUMBER($F$842),$B$677=1),$F$842,HLOOKUP(INDIRECT(ADDRESS(2,COLUMN())),OFFSET($BN$2,0,0,ROW()-1,60),ROW()-1,FALSE))</f>
        <v/>
      </c>
      <c r="G172" t="str">
        <f ca="1">IF(AND(ISNUMBER($G$842),$B$677=1),$G$842,HLOOKUP(INDIRECT(ADDRESS(2,COLUMN())),OFFSET($BN$2,0,0,ROW()-1,60),ROW()-1,FALSE))</f>
        <v/>
      </c>
      <c r="H172" t="str">
        <f ca="1">IF(AND(ISNUMBER($H$842),$B$677=1),$H$842,HLOOKUP(INDIRECT(ADDRESS(2,COLUMN())),OFFSET($BN$2,0,0,ROW()-1,60),ROW()-1,FALSE))</f>
        <v/>
      </c>
      <c r="I172" t="str">
        <f ca="1">IF(AND(ISNUMBER($I$842),$B$677=1),$I$842,HLOOKUP(INDIRECT(ADDRESS(2,COLUMN())),OFFSET($BN$2,0,0,ROW()-1,60),ROW()-1,FALSE))</f>
        <v/>
      </c>
      <c r="J172" t="str">
        <f ca="1">IF(AND(ISNUMBER($J$842),$B$677=1),$J$842,HLOOKUP(INDIRECT(ADDRESS(2,COLUMN())),OFFSET($BN$2,0,0,ROW()-1,60),ROW()-1,FALSE))</f>
        <v/>
      </c>
      <c r="K172" t="str">
        <f ca="1">IF(AND(ISNUMBER($K$842),$B$677=1),$K$842,HLOOKUP(INDIRECT(ADDRESS(2,COLUMN())),OFFSET($BN$2,0,0,ROW()-1,60),ROW()-1,FALSE))</f>
        <v/>
      </c>
      <c r="L172" t="str">
        <f ca="1">IF(AND(ISNUMBER($L$842),$B$677=1),$L$842,HLOOKUP(INDIRECT(ADDRESS(2,COLUMN())),OFFSET($BN$2,0,0,ROW()-1,60),ROW()-1,FALSE))</f>
        <v/>
      </c>
      <c r="M172" t="str">
        <f ca="1">IF(AND(ISNUMBER($M$842),$B$677=1),$M$842,HLOOKUP(INDIRECT(ADDRESS(2,COLUMN())),OFFSET($BN$2,0,0,ROW()-1,60),ROW()-1,FALSE))</f>
        <v/>
      </c>
      <c r="N172" t="str">
        <f ca="1">IF(AND(ISNUMBER($N$842),$B$677=1),$N$842,HLOOKUP(INDIRECT(ADDRESS(2,COLUMN())),OFFSET($BN$2,0,0,ROW()-1,60),ROW()-1,FALSE))</f>
        <v/>
      </c>
      <c r="O172" t="str">
        <f ca="1">IF(AND(ISNUMBER($O$842),$B$677=1),$O$842,HLOOKUP(INDIRECT(ADDRESS(2,COLUMN())),OFFSET($BN$2,0,0,ROW()-1,60),ROW()-1,FALSE))</f>
        <v/>
      </c>
      <c r="P172" t="str">
        <f ca="1">IF(AND(ISNUMBER($P$842),$B$677=1),$P$842,HLOOKUP(INDIRECT(ADDRESS(2,COLUMN())),OFFSET($BN$2,0,0,ROW()-1,60),ROW()-1,FALSE))</f>
        <v/>
      </c>
      <c r="Q172" t="str">
        <f ca="1">IF(AND(ISNUMBER($Q$842),$B$677=1),$Q$842,HLOOKUP(INDIRECT(ADDRESS(2,COLUMN())),OFFSET($BN$2,0,0,ROW()-1,60),ROW()-1,FALSE))</f>
        <v/>
      </c>
      <c r="R172" t="str">
        <f ca="1">IF(AND(ISNUMBER($R$842),$B$677=1),$R$842,HLOOKUP(INDIRECT(ADDRESS(2,COLUMN())),OFFSET($BN$2,0,0,ROW()-1,60),ROW()-1,FALSE))</f>
        <v/>
      </c>
      <c r="S172" t="str">
        <f ca="1">IF(AND(ISNUMBER($S$842),$B$677=1),$S$842,HLOOKUP(INDIRECT(ADDRESS(2,COLUMN())),OFFSET($BN$2,0,0,ROW()-1,60),ROW()-1,FALSE))</f>
        <v/>
      </c>
      <c r="T172" t="str">
        <f ca="1">IF(AND(ISNUMBER($T$842),$B$677=1),$T$842,HLOOKUP(INDIRECT(ADDRESS(2,COLUMN())),OFFSET($BN$2,0,0,ROW()-1,60),ROW()-1,FALSE))</f>
        <v/>
      </c>
      <c r="U172" t="str">
        <f ca="1">IF(AND(ISNUMBER($U$842),$B$677=1),$U$842,HLOOKUP(INDIRECT(ADDRESS(2,COLUMN())),OFFSET($BN$2,0,0,ROW()-1,60),ROW()-1,FALSE))</f>
        <v/>
      </c>
      <c r="V172" t="str">
        <f ca="1">IF(AND(ISNUMBER($V$842),$B$677=1),$V$842,HLOOKUP(INDIRECT(ADDRESS(2,COLUMN())),OFFSET($BN$2,0,0,ROW()-1,60),ROW()-1,FALSE))</f>
        <v/>
      </c>
      <c r="W172" t="str">
        <f ca="1">IF(AND(ISNUMBER($W$842),$B$677=1),$W$842,HLOOKUP(INDIRECT(ADDRESS(2,COLUMN())),OFFSET($BN$2,0,0,ROW()-1,60),ROW()-1,FALSE))</f>
        <v/>
      </c>
      <c r="X172" t="str">
        <f ca="1">IF(AND(ISNUMBER($X$842),$B$677=1),$X$842,HLOOKUP(INDIRECT(ADDRESS(2,COLUMN())),OFFSET($BN$2,0,0,ROW()-1,60),ROW()-1,FALSE))</f>
        <v/>
      </c>
      <c r="Y172" t="str">
        <f ca="1">IF(AND(ISNUMBER($Y$842),$B$677=1),$Y$842,HLOOKUP(INDIRECT(ADDRESS(2,COLUMN())),OFFSET($BN$2,0,0,ROW()-1,60),ROW()-1,FALSE))</f>
        <v/>
      </c>
      <c r="Z172" t="str">
        <f ca="1">IF(AND(ISNUMBER($Z$842),$B$677=1),$Z$842,HLOOKUP(INDIRECT(ADDRESS(2,COLUMN())),OFFSET($BN$2,0,0,ROW()-1,60),ROW()-1,FALSE))</f>
        <v/>
      </c>
      <c r="AA172" t="str">
        <f ca="1">IF(AND(ISNUMBER($AA$842),$B$677=1),$AA$842,HLOOKUP(INDIRECT(ADDRESS(2,COLUMN())),OFFSET($BN$2,0,0,ROW()-1,60),ROW()-1,FALSE))</f>
        <v/>
      </c>
      <c r="AB172" t="str">
        <f ca="1">IF(AND(ISNUMBER($AB$842),$B$677=1),$AB$842,HLOOKUP(INDIRECT(ADDRESS(2,COLUMN())),OFFSET($BN$2,0,0,ROW()-1,60),ROW()-1,FALSE))</f>
        <v/>
      </c>
      <c r="AC172" t="str">
        <f ca="1">IF(AND(ISNUMBER($AC$842),$B$677=1),$AC$842,HLOOKUP(INDIRECT(ADDRESS(2,COLUMN())),OFFSET($BN$2,0,0,ROW()-1,60),ROW()-1,FALSE))</f>
        <v/>
      </c>
      <c r="AD172" t="str">
        <f ca="1">IF(AND(ISNUMBER($AD$842),$B$677=1),$AD$842,HLOOKUP(INDIRECT(ADDRESS(2,COLUMN())),OFFSET($BN$2,0,0,ROW()-1,60),ROW()-1,FALSE))</f>
        <v/>
      </c>
      <c r="AE172" t="str">
        <f ca="1">IF(AND(ISNUMBER($AE$842),$B$677=1),$AE$842,HLOOKUP(INDIRECT(ADDRESS(2,COLUMN())),OFFSET($BN$2,0,0,ROW()-1,60),ROW()-1,FALSE))</f>
        <v/>
      </c>
      <c r="AF172" t="str">
        <f ca="1">IF(AND(ISNUMBER($AF$842),$B$677=1),$AF$842,HLOOKUP(INDIRECT(ADDRESS(2,COLUMN())),OFFSET($BN$2,0,0,ROW()-1,60),ROW()-1,FALSE))</f>
        <v/>
      </c>
      <c r="AG172" t="str">
        <f ca="1">IF(AND(ISNUMBER($AG$842),$B$677=1),$AG$842,HLOOKUP(INDIRECT(ADDRESS(2,COLUMN())),OFFSET($BN$2,0,0,ROW()-1,60),ROW()-1,FALSE))</f>
        <v/>
      </c>
      <c r="AH172" t="str">
        <f ca="1">IF(AND(ISNUMBER($AH$842),$B$677=1),$AH$842,HLOOKUP(INDIRECT(ADDRESS(2,COLUMN())),OFFSET($BN$2,0,0,ROW()-1,60),ROW()-1,FALSE))</f>
        <v/>
      </c>
      <c r="AI172" t="str">
        <f ca="1">IF(AND(ISNUMBER($AI$842),$B$677=1),$AI$842,HLOOKUP(INDIRECT(ADDRESS(2,COLUMN())),OFFSET($BN$2,0,0,ROW()-1,60),ROW()-1,FALSE))</f>
        <v/>
      </c>
      <c r="AJ172" t="str">
        <f ca="1">IF(AND(ISNUMBER($AJ$842),$B$677=1),$AJ$842,HLOOKUP(INDIRECT(ADDRESS(2,COLUMN())),OFFSET($BN$2,0,0,ROW()-1,60),ROW()-1,FALSE))</f>
        <v/>
      </c>
      <c r="AK172" t="str">
        <f ca="1">IF(AND(ISNUMBER($AK$842),$B$677=1),$AK$842,HLOOKUP(INDIRECT(ADDRESS(2,COLUMN())),OFFSET($BN$2,0,0,ROW()-1,60),ROW()-1,FALSE))</f>
        <v/>
      </c>
      <c r="AL172" t="str">
        <f ca="1">IF(AND(ISNUMBER($AL$842),$B$677=1),$AL$842,HLOOKUP(INDIRECT(ADDRESS(2,COLUMN())),OFFSET($BN$2,0,0,ROW()-1,60),ROW()-1,FALSE))</f>
        <v/>
      </c>
      <c r="AM172" t="str">
        <f ca="1">IF(AND(ISNUMBER($AM$842),$B$677=1),$AM$842,HLOOKUP(INDIRECT(ADDRESS(2,COLUMN())),OFFSET($BN$2,0,0,ROW()-1,60),ROW()-1,FALSE))</f>
        <v/>
      </c>
      <c r="AN172" t="str">
        <f ca="1">IF(AND(ISNUMBER($AN$842),$B$677=1),$AN$842,HLOOKUP(INDIRECT(ADDRESS(2,COLUMN())),OFFSET($BN$2,0,0,ROW()-1,60),ROW()-1,FALSE))</f>
        <v/>
      </c>
      <c r="AO172" t="str">
        <f ca="1">IF(AND(ISNUMBER($AO$842),$B$677=1),$AO$842,HLOOKUP(INDIRECT(ADDRESS(2,COLUMN())),OFFSET($BN$2,0,0,ROW()-1,60),ROW()-1,FALSE))</f>
        <v/>
      </c>
      <c r="AP172" t="str">
        <f ca="1">IF(AND(ISNUMBER($AP$842),$B$677=1),$AP$842,HLOOKUP(INDIRECT(ADDRESS(2,COLUMN())),OFFSET($BN$2,0,0,ROW()-1,60),ROW()-1,FALSE))</f>
        <v/>
      </c>
      <c r="AQ172" t="str">
        <f ca="1">IF(AND(ISNUMBER($AQ$842),$B$677=1),$AQ$842,HLOOKUP(INDIRECT(ADDRESS(2,COLUMN())),OFFSET($BN$2,0,0,ROW()-1,60),ROW()-1,FALSE))</f>
        <v/>
      </c>
      <c r="AR172" t="str">
        <f ca="1">IF(AND(ISNUMBER($AR$842),$B$677=1),$AR$842,HLOOKUP(INDIRECT(ADDRESS(2,COLUMN())),OFFSET($BN$2,0,0,ROW()-1,60),ROW()-1,FALSE))</f>
        <v/>
      </c>
      <c r="AS172" t="str">
        <f ca="1">IF(AND(ISNUMBER($AS$842),$B$677=1),$AS$842,HLOOKUP(INDIRECT(ADDRESS(2,COLUMN())),OFFSET($BN$2,0,0,ROW()-1,60),ROW()-1,FALSE))</f>
        <v/>
      </c>
      <c r="AT172" t="str">
        <f ca="1">IF(AND(ISNUMBER($AT$842),$B$677=1),$AT$842,HLOOKUP(INDIRECT(ADDRESS(2,COLUMN())),OFFSET($BN$2,0,0,ROW()-1,60),ROW()-1,FALSE))</f>
        <v/>
      </c>
      <c r="AU172" t="str">
        <f ca="1">IF(AND(ISNUMBER($AU$842),$B$677=1),$AU$842,HLOOKUP(INDIRECT(ADDRESS(2,COLUMN())),OFFSET($BN$2,0,0,ROW()-1,60),ROW()-1,FALSE))</f>
        <v/>
      </c>
      <c r="AV172" t="str">
        <f ca="1">IF(AND(ISNUMBER($AV$842),$B$677=1),$AV$842,HLOOKUP(INDIRECT(ADDRESS(2,COLUMN())),OFFSET($BN$2,0,0,ROW()-1,60),ROW()-1,FALSE))</f>
        <v/>
      </c>
      <c r="AW172" t="str">
        <f ca="1">IF(AND(ISNUMBER($AW$842),$B$677=1),$AW$842,HLOOKUP(INDIRECT(ADDRESS(2,COLUMN())),OFFSET($BN$2,0,0,ROW()-1,60),ROW()-1,FALSE))</f>
        <v/>
      </c>
      <c r="AX172" t="str">
        <f ca="1">IF(AND(ISNUMBER($AX$842),$B$677=1),$AX$842,HLOOKUP(INDIRECT(ADDRESS(2,COLUMN())),OFFSET($BN$2,0,0,ROW()-1,60),ROW()-1,FALSE))</f>
        <v/>
      </c>
      <c r="AY172" t="str">
        <f ca="1">IF(AND(ISNUMBER($AY$842),$B$677=1),$AY$842,HLOOKUP(INDIRECT(ADDRESS(2,COLUMN())),OFFSET($BN$2,0,0,ROW()-1,60),ROW()-1,FALSE))</f>
        <v/>
      </c>
      <c r="AZ172" t="str">
        <f ca="1">IF(AND(ISNUMBER($AZ$842),$B$677=1),$AZ$842,HLOOKUP(INDIRECT(ADDRESS(2,COLUMN())),OFFSET($BN$2,0,0,ROW()-1,60),ROW()-1,FALSE))</f>
        <v/>
      </c>
      <c r="BA172" t="str">
        <f ca="1">IF(AND(ISNUMBER($BA$842),$B$677=1),$BA$842,HLOOKUP(INDIRECT(ADDRESS(2,COLUMN())),OFFSET($BN$2,0,0,ROW()-1,60),ROW()-1,FALSE))</f>
        <v/>
      </c>
      <c r="BB172" t="str">
        <f ca="1">IF(AND(ISNUMBER($BB$842),$B$677=1),$BB$842,HLOOKUP(INDIRECT(ADDRESS(2,COLUMN())),OFFSET($BN$2,0,0,ROW()-1,60),ROW()-1,FALSE))</f>
        <v/>
      </c>
      <c r="BC172" t="str">
        <f ca="1">IF(AND(ISNUMBER($BC$842),$B$677=1),$BC$842,HLOOKUP(INDIRECT(ADDRESS(2,COLUMN())),OFFSET($BN$2,0,0,ROW()-1,60),ROW()-1,FALSE))</f>
        <v/>
      </c>
      <c r="BD172" t="str">
        <f ca="1">IF(AND(ISNUMBER($BD$842),$B$677=1),$BD$842,HLOOKUP(INDIRECT(ADDRESS(2,COLUMN())),OFFSET($BN$2,0,0,ROW()-1,60),ROW()-1,FALSE))</f>
        <v/>
      </c>
      <c r="BE172" t="str">
        <f ca="1">IF(AND(ISNUMBER($BE$842),$B$677=1),$BE$842,HLOOKUP(INDIRECT(ADDRESS(2,COLUMN())),OFFSET($BN$2,0,0,ROW()-1,60),ROW()-1,FALSE))</f>
        <v/>
      </c>
      <c r="BF172" t="str">
        <f ca="1">IF(AND(ISNUMBER($BF$842),$B$677=1),$BF$842,HLOOKUP(INDIRECT(ADDRESS(2,COLUMN())),OFFSET($BN$2,0,0,ROW()-1,60),ROW()-1,FALSE))</f>
        <v/>
      </c>
      <c r="BG172" t="str">
        <f ca="1">IF(AND(ISNUMBER($BG$842),$B$677=1),$BG$842,HLOOKUP(INDIRECT(ADDRESS(2,COLUMN())),OFFSET($BN$2,0,0,ROW()-1,60),ROW()-1,FALSE))</f>
        <v/>
      </c>
      <c r="BH172" t="str">
        <f ca="1">IF(AND(ISNUMBER($BH$842),$B$677=1),$BH$842,HLOOKUP(INDIRECT(ADDRESS(2,COLUMN())),OFFSET($BN$2,0,0,ROW()-1,60),ROW()-1,FALSE))</f>
        <v/>
      </c>
      <c r="BI172" t="str">
        <f ca="1">IF(AND(ISNUMBER($BI$842),$B$677=1),$BI$842,HLOOKUP(INDIRECT(ADDRESS(2,COLUMN())),OFFSET($BN$2,0,0,ROW()-1,60),ROW()-1,FALSE))</f>
        <v/>
      </c>
      <c r="BJ172" t="str">
        <f ca="1">IF(AND(ISNUMBER($BJ$842),$B$677=1),$BJ$842,HLOOKUP(INDIRECT(ADDRESS(2,COLUMN())),OFFSET($BN$2,0,0,ROW()-1,60),ROW()-1,FALSE))</f>
        <v/>
      </c>
      <c r="BK172" t="str">
        <f ca="1">IF(AND(ISNUMBER($BK$842),$B$677=1),$BK$842,HLOOKUP(INDIRECT(ADDRESS(2,COLUMN())),OFFSET($BN$2,0,0,ROW()-1,60),ROW()-1,FALSE))</f>
        <v/>
      </c>
      <c r="BL172" t="str">
        <f ca="1">IF(AND(ISNUMBER($BL$842),$B$677=1),$BL$842,HLOOKUP(INDIRECT(ADDRESS(2,COLUMN())),OFFSET($BN$2,0,0,ROW()-1,60),ROW()-1,FALSE))</f>
        <v/>
      </c>
      <c r="BM172" t="str">
        <f ca="1">IF(AND(ISNUMBER($BM$842),$B$677=1),$BM$842,HLOOKUP(INDIRECT(ADDRESS(2,COLUMN())),OFFSET($BN$2,0,0,ROW()-1,60),ROW()-1,FALSE))</f>
        <v/>
      </c>
      <c r="BN172" t="str">
        <f>""</f>
        <v/>
      </c>
      <c r="BO172" t="str">
        <f>""</f>
        <v/>
      </c>
      <c r="BP172" t="str">
        <f>""</f>
        <v/>
      </c>
      <c r="BQ172" t="str">
        <f>""</f>
        <v/>
      </c>
      <c r="BR172" t="str">
        <f>""</f>
        <v/>
      </c>
      <c r="BS172" t="str">
        <f>""</f>
        <v/>
      </c>
      <c r="BT172" t="str">
        <f>""</f>
        <v/>
      </c>
      <c r="BU172" t="str">
        <f>""</f>
        <v/>
      </c>
      <c r="BV172" t="str">
        <f>""</f>
        <v/>
      </c>
      <c r="BW172" t="str">
        <f>""</f>
        <v/>
      </c>
      <c r="BX172" t="str">
        <f>""</f>
        <v/>
      </c>
      <c r="BY172" t="str">
        <f>""</f>
        <v/>
      </c>
      <c r="BZ172" t="str">
        <f>""</f>
        <v/>
      </c>
      <c r="CA172" t="str">
        <f>""</f>
        <v/>
      </c>
      <c r="CB172" t="str">
        <f>""</f>
        <v/>
      </c>
      <c r="CC172" t="str">
        <f>""</f>
        <v/>
      </c>
      <c r="CD172" t="str">
        <f>""</f>
        <v/>
      </c>
      <c r="CE172" t="str">
        <f>""</f>
        <v/>
      </c>
      <c r="CF172" t="str">
        <f>""</f>
        <v/>
      </c>
      <c r="CG172" t="str">
        <f>""</f>
        <v/>
      </c>
      <c r="CH172" t="str">
        <f>""</f>
        <v/>
      </c>
      <c r="CI172" t="str">
        <f>""</f>
        <v/>
      </c>
      <c r="CJ172" t="str">
        <f>""</f>
        <v/>
      </c>
      <c r="CK172" t="str">
        <f>""</f>
        <v/>
      </c>
      <c r="CL172" t="str">
        <f>""</f>
        <v/>
      </c>
      <c r="CM172" t="str">
        <f>""</f>
        <v/>
      </c>
      <c r="CN172" t="str">
        <f>""</f>
        <v/>
      </c>
      <c r="CO172" t="str">
        <f>""</f>
        <v/>
      </c>
      <c r="CP172" t="str">
        <f>""</f>
        <v/>
      </c>
      <c r="CQ172" t="str">
        <f>""</f>
        <v/>
      </c>
      <c r="CR172" t="str">
        <f>""</f>
        <v/>
      </c>
      <c r="CS172" t="str">
        <f>""</f>
        <v/>
      </c>
      <c r="CT172" t="str">
        <f>""</f>
        <v/>
      </c>
      <c r="CU172" t="str">
        <f>""</f>
        <v/>
      </c>
      <c r="CV172" t="str">
        <f>""</f>
        <v/>
      </c>
      <c r="CW172" t="str">
        <f>""</f>
        <v/>
      </c>
      <c r="CX172" t="str">
        <f>""</f>
        <v/>
      </c>
      <c r="CY172" t="str">
        <f>""</f>
        <v/>
      </c>
      <c r="CZ172" t="str">
        <f>""</f>
        <v/>
      </c>
      <c r="DA172" t="str">
        <f>""</f>
        <v/>
      </c>
      <c r="DB172" t="str">
        <f>""</f>
        <v/>
      </c>
      <c r="DC172" t="str">
        <f>""</f>
        <v/>
      </c>
      <c r="DD172" t="str">
        <f>""</f>
        <v/>
      </c>
      <c r="DE172" t="str">
        <f>""</f>
        <v/>
      </c>
      <c r="DF172" t="str">
        <f>""</f>
        <v/>
      </c>
      <c r="DG172" t="str">
        <f>""</f>
        <v/>
      </c>
      <c r="DH172" t="str">
        <f>""</f>
        <v/>
      </c>
      <c r="DI172" t="str">
        <f>""</f>
        <v/>
      </c>
      <c r="DJ172" t="str">
        <f>""</f>
        <v/>
      </c>
      <c r="DK172" t="str">
        <f>""</f>
        <v/>
      </c>
      <c r="DL172" t="str">
        <f>""</f>
        <v/>
      </c>
      <c r="DM172" t="str">
        <f>""</f>
        <v/>
      </c>
      <c r="DN172" t="str">
        <f>""</f>
        <v/>
      </c>
      <c r="DO172" t="str">
        <f>""</f>
        <v/>
      </c>
      <c r="DP172" t="str">
        <f>""</f>
        <v/>
      </c>
      <c r="DQ172" t="str">
        <f>""</f>
        <v/>
      </c>
      <c r="DR172" t="str">
        <f>""</f>
        <v/>
      </c>
      <c r="DS172" t="str">
        <f>""</f>
        <v/>
      </c>
      <c r="DT172" t="str">
        <f>""</f>
        <v/>
      </c>
      <c r="DU172" t="str">
        <f>""</f>
        <v/>
      </c>
    </row>
    <row r="173" spans="1:125" x14ac:dyDescent="0.25">
      <c r="A173" t="str">
        <f>"    BYD Co Ltd"</f>
        <v xml:space="preserve">    BYD Co Ltd</v>
      </c>
      <c r="B173" t="str">
        <f>"1211 HK Equity"</f>
        <v>1211 HK Equity</v>
      </c>
      <c r="C173" t="str">
        <f t="shared" si="12"/>
        <v>RX077</v>
      </c>
      <c r="D173" t="str">
        <f t="shared" si="13"/>
        <v>PX_TO_TANG_BOOK_VAL_PER_SH</v>
      </c>
      <c r="E173" t="str">
        <f t="shared" si="14"/>
        <v>Dynamic</v>
      </c>
      <c r="F173">
        <f ca="1">IF(AND(ISNUMBER($F$843),$B$677=1),$F$843,HLOOKUP(INDIRECT(ADDRESS(2,COLUMN())),OFFSET($BN$2,0,0,ROW()-1,60),ROW()-1,FALSE))</f>
        <v>3.3814095289999999</v>
      </c>
      <c r="G173">
        <f ca="1">IF(AND(ISNUMBER($G$843),$B$677=1),$G$843,HLOOKUP(INDIRECT(ADDRESS(2,COLUMN())),OFFSET($BN$2,0,0,ROW()-1,60),ROW()-1,FALSE))</f>
        <v>3.450683234</v>
      </c>
      <c r="H173">
        <f ca="1">IF(AND(ISNUMBER($H$843),$B$677=1),$H$843,HLOOKUP(INDIRECT(ADDRESS(2,COLUMN())),OFFSET($BN$2,0,0,ROW()-1,60),ROW()-1,FALSE))</f>
        <v>3.8804642540000001</v>
      </c>
      <c r="I173">
        <f ca="1">IF(AND(ISNUMBER($I$843),$B$677=1),$I$843,HLOOKUP(INDIRECT(ADDRESS(2,COLUMN())),OFFSET($BN$2,0,0,ROW()-1,60),ROW()-1,FALSE))</f>
        <v>2.666530061</v>
      </c>
      <c r="J173">
        <f ca="1">IF(AND(ISNUMBER($J$843),$B$677=1),$J$843,HLOOKUP(INDIRECT(ADDRESS(2,COLUMN())),OFFSET($BN$2,0,0,ROW()-1,60),ROW()-1,FALSE))</f>
        <v>3.6947450210000001</v>
      </c>
      <c r="K173">
        <f ca="1">IF(AND(ISNUMBER($K$843),$B$677=1),$K$843,HLOOKUP(INDIRECT(ADDRESS(2,COLUMN())),OFFSET($BN$2,0,0,ROW()-1,60),ROW()-1,FALSE))</f>
        <v>3.6132681469999999</v>
      </c>
      <c r="L173">
        <f ca="1">IF(AND(ISNUMBER($L$843),$B$677=1),$L$843,HLOOKUP(INDIRECT(ADDRESS(2,COLUMN())),OFFSET($BN$2,0,0,ROW()-1,60),ROW()-1,FALSE))</f>
        <v>4.5747465829999996</v>
      </c>
      <c r="M173">
        <f ca="1">IF(AND(ISNUMBER($M$843),$B$677=1),$M$843,HLOOKUP(INDIRECT(ADDRESS(2,COLUMN())),OFFSET($BN$2,0,0,ROW()-1,60),ROW()-1,FALSE))</f>
        <v>2.7531092909999999</v>
      </c>
      <c r="N173">
        <f ca="1">IF(AND(ISNUMBER($N$843),$B$677=1),$N$843,HLOOKUP(INDIRECT(ADDRESS(2,COLUMN())),OFFSET($BN$2,0,0,ROW()-1,60),ROW()-1,FALSE))</f>
        <v>2.939149091</v>
      </c>
      <c r="O173">
        <f ca="1">IF(AND(ISNUMBER($O$843),$B$677=1),$O$843,HLOOKUP(INDIRECT(ADDRESS(2,COLUMN())),OFFSET($BN$2,0,0,ROW()-1,60),ROW()-1,FALSE))</f>
        <v>2.4545863620000001</v>
      </c>
      <c r="P173">
        <f ca="1">IF(AND(ISNUMBER($P$843),$B$677=1),$P$843,HLOOKUP(INDIRECT(ADDRESS(2,COLUMN())),OFFSET($BN$2,0,0,ROW()-1,60),ROW()-1,FALSE))</f>
        <v>3.3955601629999999</v>
      </c>
      <c r="Q173">
        <f ca="1">IF(AND(ISNUMBER($Q$843),$B$677=1),$Q$843,HLOOKUP(INDIRECT(ADDRESS(2,COLUMN())),OFFSET($BN$2,0,0,ROW()-1,60),ROW()-1,FALSE))</f>
        <v>4.1298129619999999</v>
      </c>
      <c r="R173">
        <f ca="1">IF(AND(ISNUMBER($R$843),$B$677=1),$R$843,HLOOKUP(INDIRECT(ADDRESS(2,COLUMN())),OFFSET($BN$2,0,0,ROW()-1,60),ROW()-1,FALSE))</f>
        <v>5.3029730229999998</v>
      </c>
      <c r="S173">
        <f ca="1">IF(AND(ISNUMBER($S$843),$B$677=1),$S$843,HLOOKUP(INDIRECT(ADDRESS(2,COLUMN())),OFFSET($BN$2,0,0,ROW()-1,60),ROW()-1,FALSE))</f>
        <v>3.5182121159999999</v>
      </c>
      <c r="T173">
        <f ca="1">IF(AND(ISNUMBER($T$843),$B$677=1),$T$843,HLOOKUP(INDIRECT(ADDRESS(2,COLUMN())),OFFSET($BN$2,0,0,ROW()-1,60),ROW()-1,FALSE))</f>
        <v>5.4122189440000001</v>
      </c>
      <c r="U173">
        <f ca="1">IF(AND(ISNUMBER($U$843),$B$677=1),$U$843,HLOOKUP(INDIRECT(ADDRESS(2,COLUMN())),OFFSET($BN$2,0,0,ROW()-1,60),ROW()-1,FALSE))</f>
        <v>4.8622411430000003</v>
      </c>
      <c r="V173">
        <f ca="1">IF(AND(ISNUMBER($V$843),$B$677=1),$V$843,HLOOKUP(INDIRECT(ADDRESS(2,COLUMN())),OFFSET($BN$2,0,0,ROW()-1,60),ROW()-1,FALSE))</f>
        <v>5.4881457950000003</v>
      </c>
      <c r="W173">
        <f ca="1">IF(AND(ISNUMBER($W$843),$B$677=1),$W$843,HLOOKUP(INDIRECT(ADDRESS(2,COLUMN())),OFFSET($BN$2,0,0,ROW()-1,60),ROW()-1,FALSE))</f>
        <v>3.167464469</v>
      </c>
      <c r="X173">
        <f ca="1">IF(AND(ISNUMBER($X$843),$B$677=1),$X$843,HLOOKUP(INDIRECT(ADDRESS(2,COLUMN())),OFFSET($BN$2,0,0,ROW()-1,60),ROW()-1,FALSE))</f>
        <v>6.8599161149999999</v>
      </c>
      <c r="Y173">
        <f ca="1">IF(AND(ISNUMBER($Y$843),$B$677=1),$Y$843,HLOOKUP(INDIRECT(ADDRESS(2,COLUMN())),OFFSET($BN$2,0,0,ROW()-1,60),ROW()-1,FALSE))</f>
        <v>4.4872877539999996</v>
      </c>
      <c r="Z173">
        <f ca="1">IF(AND(ISNUMBER($Z$843),$B$677=1),$Z$843,HLOOKUP(INDIRECT(ADDRESS(2,COLUMN())),OFFSET($BN$2,0,0,ROW()-1,60),ROW()-1,FALSE))</f>
        <v>7.7370133340000002</v>
      </c>
      <c r="AA173">
        <f ca="1">IF(AND(ISNUMBER($AA$843),$B$677=1),$AA$843,HLOOKUP(INDIRECT(ADDRESS(2,COLUMN())),OFFSET($BN$2,0,0,ROW()-1,60),ROW()-1,FALSE))</f>
        <v>4.1775916430000004</v>
      </c>
      <c r="AB173">
        <f ca="1">IF(AND(ISNUMBER($AB$843),$B$677=1),$AB$843,HLOOKUP(INDIRECT(ADDRESS(2,COLUMN())),OFFSET($BN$2,0,0,ROW()-1,60),ROW()-1,FALSE))</f>
        <v>5.1327980069999999</v>
      </c>
      <c r="AC173">
        <f ca="1">IF(AND(ISNUMBER($AC$843),$B$677=1),$AC$843,HLOOKUP(INDIRECT(ADDRESS(2,COLUMN())),OFFSET($BN$2,0,0,ROW()-1,60),ROW()-1,FALSE))</f>
        <v>2.7481966729999998</v>
      </c>
      <c r="AD173">
        <f ca="1">IF(AND(ISNUMBER($AD$843),$B$677=1),$AD$843,HLOOKUP(INDIRECT(ADDRESS(2,COLUMN())),OFFSET($BN$2,0,0,ROW()-1,60),ROW()-1,FALSE))</f>
        <v>3.617419908</v>
      </c>
      <c r="AE173">
        <f ca="1">IF(AND(ISNUMBER($AE$843),$B$677=1),$AE$843,HLOOKUP(INDIRECT(ADDRESS(2,COLUMN())),OFFSET($BN$2,0,0,ROW()-1,60),ROW()-1,FALSE))</f>
        <v>2.511940445</v>
      </c>
      <c r="AF173">
        <f ca="1">IF(AND(ISNUMBER($AF$843),$B$677=1),$AF$843,HLOOKUP(INDIRECT(ADDRESS(2,COLUMN())),OFFSET($BN$2,0,0,ROW()-1,60),ROW()-1,FALSE))</f>
        <v>1.9485840430000001</v>
      </c>
      <c r="AG173">
        <f ca="1">IF(AND(ISNUMBER($AG$843),$B$677=1),$AG$843,HLOOKUP(INDIRECT(ADDRESS(2,COLUMN())),OFFSET($BN$2,0,0,ROW()-1,60),ROW()-1,FALSE))</f>
        <v>1.5697277359999999</v>
      </c>
      <c r="AH173">
        <f ca="1">IF(AND(ISNUMBER($AH$843),$B$677=1),$AH$843,HLOOKUP(INDIRECT(ADDRESS(2,COLUMN())),OFFSET($BN$2,0,0,ROW()-1,60),ROW()-1,FALSE))</f>
        <v>2.943657188</v>
      </c>
      <c r="AI173">
        <f ca="1">IF(AND(ISNUMBER($AI$843),$B$677=1),$AI$843,HLOOKUP(INDIRECT(ADDRESS(2,COLUMN())),OFFSET($BN$2,0,0,ROW()-1,60),ROW()-1,FALSE))</f>
        <v>1.724758118</v>
      </c>
      <c r="AJ173">
        <f ca="1">IF(AND(ISNUMBER($AJ$843),$B$677=1),$AJ$843,HLOOKUP(INDIRECT(ADDRESS(2,COLUMN())),OFFSET($BN$2,0,0,ROW()-1,60),ROW()-1,FALSE))</f>
        <v>1.8021347999999999</v>
      </c>
      <c r="AK173">
        <f ca="1">IF(AND(ISNUMBER($AK$843),$B$677=1),$AK$843,HLOOKUP(INDIRECT(ADDRESS(2,COLUMN())),OFFSET($BN$2,0,0,ROW()-1,60),ROW()-1,FALSE))</f>
        <v>2.7680208140000002</v>
      </c>
      <c r="AL173">
        <f ca="1">IF(AND(ISNUMBER($AL$843),$B$677=1),$AL$843,HLOOKUP(INDIRECT(ADDRESS(2,COLUMN())),OFFSET($BN$2,0,0,ROW()-1,60),ROW()-1,FALSE))</f>
        <v>3.3247872410000001</v>
      </c>
      <c r="AM173">
        <f ca="1">IF(AND(ISNUMBER($AM$843),$B$677=1),$AM$843,HLOOKUP(INDIRECT(ADDRESS(2,COLUMN())),OFFSET($BN$2,0,0,ROW()-1,60),ROW()-1,FALSE))</f>
        <v>4.5884827540000002</v>
      </c>
      <c r="AN173">
        <f ca="1">IF(AND(ISNUMBER($AN$843),$B$677=1),$AN$843,HLOOKUP(INDIRECT(ADDRESS(2,COLUMN())),OFFSET($BN$2,0,0,ROW()-1,60),ROW()-1,FALSE))</f>
        <v>7.0481203450000001</v>
      </c>
      <c r="AO173">
        <f ca="1">IF(AND(ISNUMBER($AO$843),$B$677=1),$AO$843,HLOOKUP(INDIRECT(ADDRESS(2,COLUMN())),OFFSET($BN$2,0,0,ROW()-1,60),ROW()-1,FALSE))</f>
        <v>6.6187360750000002</v>
      </c>
      <c r="AP173">
        <f ca="1">IF(AND(ISNUMBER($AP$843),$B$677=1),$AP$843,HLOOKUP(INDIRECT(ADDRESS(2,COLUMN())),OFFSET($BN$2,0,0,ROW()-1,60),ROW()-1,FALSE))</f>
        <v>8.7984800480000001</v>
      </c>
      <c r="AQ173">
        <f ca="1">IF(AND(ISNUMBER($AQ$843),$B$677=1),$AQ$843,HLOOKUP(INDIRECT(ADDRESS(2,COLUMN())),OFFSET($BN$2,0,0,ROW()-1,60),ROW()-1,FALSE))</f>
        <v>8.6498092480000004</v>
      </c>
      <c r="AR173">
        <f ca="1">IF(AND(ISNUMBER($AR$843),$B$677=1),$AR$843,HLOOKUP(INDIRECT(ADDRESS(2,COLUMN())),OFFSET($BN$2,0,0,ROW()-1,60),ROW()-1,FALSE))</f>
        <v>8.9696086590000004</v>
      </c>
      <c r="AS173" t="str">
        <f ca="1">IF(AND(ISNUMBER($AS$843),$B$677=1),$AS$843,HLOOKUP(INDIRECT(ADDRESS(2,COLUMN())),OFFSET($BN$2,0,0,ROW()-1,60),ROW()-1,FALSE))</f>
        <v/>
      </c>
      <c r="AT173" t="str">
        <f ca="1">IF(AND(ISNUMBER($AT$843),$B$677=1),$AT$843,HLOOKUP(INDIRECT(ADDRESS(2,COLUMN())),OFFSET($BN$2,0,0,ROW()-1,60),ROW()-1,FALSE))</f>
        <v/>
      </c>
      <c r="AU173" t="str">
        <f ca="1">IF(AND(ISNUMBER($AU$843),$B$677=1),$AU$843,HLOOKUP(INDIRECT(ADDRESS(2,COLUMN())),OFFSET($BN$2,0,0,ROW()-1,60),ROW()-1,FALSE))</f>
        <v/>
      </c>
      <c r="AV173" t="str">
        <f ca="1">IF(AND(ISNUMBER($AV$843),$B$677=1),$AV$843,HLOOKUP(INDIRECT(ADDRESS(2,COLUMN())),OFFSET($BN$2,0,0,ROW()-1,60),ROW()-1,FALSE))</f>
        <v/>
      </c>
      <c r="AW173" t="str">
        <f ca="1">IF(AND(ISNUMBER($AW$843),$B$677=1),$AW$843,HLOOKUP(INDIRECT(ADDRESS(2,COLUMN())),OFFSET($BN$2,0,0,ROW()-1,60),ROW()-1,FALSE))</f>
        <v/>
      </c>
      <c r="AX173" t="str">
        <f ca="1">IF(AND(ISNUMBER($AX$843),$B$677=1),$AX$843,HLOOKUP(INDIRECT(ADDRESS(2,COLUMN())),OFFSET($BN$2,0,0,ROW()-1,60),ROW()-1,FALSE))</f>
        <v/>
      </c>
      <c r="AY173" t="str">
        <f ca="1">IF(AND(ISNUMBER($AY$843),$B$677=1),$AY$843,HLOOKUP(INDIRECT(ADDRESS(2,COLUMN())),OFFSET($BN$2,0,0,ROW()-1,60),ROW()-1,FALSE))</f>
        <v/>
      </c>
      <c r="AZ173" t="str">
        <f ca="1">IF(AND(ISNUMBER($AZ$843),$B$677=1),$AZ$843,HLOOKUP(INDIRECT(ADDRESS(2,COLUMN())),OFFSET($BN$2,0,0,ROW()-1,60),ROW()-1,FALSE))</f>
        <v/>
      </c>
      <c r="BA173" t="str">
        <f ca="1">IF(AND(ISNUMBER($BA$843),$B$677=1),$BA$843,HLOOKUP(INDIRECT(ADDRESS(2,COLUMN())),OFFSET($BN$2,0,0,ROW()-1,60),ROW()-1,FALSE))</f>
        <v/>
      </c>
      <c r="BB173" t="str">
        <f ca="1">IF(AND(ISNUMBER($BB$843),$B$677=1),$BB$843,HLOOKUP(INDIRECT(ADDRESS(2,COLUMN())),OFFSET($BN$2,0,0,ROW()-1,60),ROW()-1,FALSE))</f>
        <v/>
      </c>
      <c r="BC173" t="str">
        <f ca="1">IF(AND(ISNUMBER($BC$843),$B$677=1),$BC$843,HLOOKUP(INDIRECT(ADDRESS(2,COLUMN())),OFFSET($BN$2,0,0,ROW()-1,60),ROW()-1,FALSE))</f>
        <v/>
      </c>
      <c r="BD173" t="str">
        <f ca="1">IF(AND(ISNUMBER($BD$843),$B$677=1),$BD$843,HLOOKUP(INDIRECT(ADDRESS(2,COLUMN())),OFFSET($BN$2,0,0,ROW()-1,60),ROW()-1,FALSE))</f>
        <v/>
      </c>
      <c r="BE173" t="str">
        <f ca="1">IF(AND(ISNUMBER($BE$843),$B$677=1),$BE$843,HLOOKUP(INDIRECT(ADDRESS(2,COLUMN())),OFFSET($BN$2,0,0,ROW()-1,60),ROW()-1,FALSE))</f>
        <v/>
      </c>
      <c r="BF173" t="str">
        <f ca="1">IF(AND(ISNUMBER($BF$843),$B$677=1),$BF$843,HLOOKUP(INDIRECT(ADDRESS(2,COLUMN())),OFFSET($BN$2,0,0,ROW()-1,60),ROW()-1,FALSE))</f>
        <v/>
      </c>
      <c r="BG173" t="str">
        <f ca="1">IF(AND(ISNUMBER($BG$843),$B$677=1),$BG$843,HLOOKUP(INDIRECT(ADDRESS(2,COLUMN())),OFFSET($BN$2,0,0,ROW()-1,60),ROW()-1,FALSE))</f>
        <v/>
      </c>
      <c r="BH173" t="str">
        <f ca="1">IF(AND(ISNUMBER($BH$843),$B$677=1),$BH$843,HLOOKUP(INDIRECT(ADDRESS(2,COLUMN())),OFFSET($BN$2,0,0,ROW()-1,60),ROW()-1,FALSE))</f>
        <v/>
      </c>
      <c r="BI173" t="str">
        <f ca="1">IF(AND(ISNUMBER($BI$843),$B$677=1),$BI$843,HLOOKUP(INDIRECT(ADDRESS(2,COLUMN())),OFFSET($BN$2,0,0,ROW()-1,60),ROW()-1,FALSE))</f>
        <v/>
      </c>
      <c r="BJ173" t="str">
        <f ca="1">IF(AND(ISNUMBER($BJ$843),$B$677=1),$BJ$843,HLOOKUP(INDIRECT(ADDRESS(2,COLUMN())),OFFSET($BN$2,0,0,ROW()-1,60),ROW()-1,FALSE))</f>
        <v/>
      </c>
      <c r="BK173" t="str">
        <f ca="1">IF(AND(ISNUMBER($BK$843),$B$677=1),$BK$843,HLOOKUP(INDIRECT(ADDRESS(2,COLUMN())),OFFSET($BN$2,0,0,ROW()-1,60),ROW()-1,FALSE))</f>
        <v/>
      </c>
      <c r="BL173" t="str">
        <f ca="1">IF(AND(ISNUMBER($BL$843),$B$677=1),$BL$843,HLOOKUP(INDIRECT(ADDRESS(2,COLUMN())),OFFSET($BN$2,0,0,ROW()-1,60),ROW()-1,FALSE))</f>
        <v/>
      </c>
      <c r="BM173" t="str">
        <f ca="1">IF(AND(ISNUMBER($BM$843),$B$677=1),$BM$843,HLOOKUP(INDIRECT(ADDRESS(2,COLUMN())),OFFSET($BN$2,0,0,ROW()-1,60),ROW()-1,FALSE))</f>
        <v/>
      </c>
      <c r="BN173">
        <f>3.381409529</f>
        <v>3.3814095289999999</v>
      </c>
      <c r="BO173">
        <f>3.450683234</f>
        <v>3.450683234</v>
      </c>
      <c r="BP173">
        <f>3.880464254</f>
        <v>3.8804642540000001</v>
      </c>
      <c r="BQ173">
        <f>2.666530061</f>
        <v>2.666530061</v>
      </c>
      <c r="BR173">
        <f>3.694745021</f>
        <v>3.6947450210000001</v>
      </c>
      <c r="BS173">
        <f>3.613268147</f>
        <v>3.6132681469999999</v>
      </c>
      <c r="BT173">
        <f>4.574746583</f>
        <v>4.5747465829999996</v>
      </c>
      <c r="BU173">
        <f>2.753109291</f>
        <v>2.7531092909999999</v>
      </c>
      <c r="BV173">
        <f>2.939149091</f>
        <v>2.939149091</v>
      </c>
      <c r="BW173">
        <f>2.454586362</f>
        <v>2.4545863620000001</v>
      </c>
      <c r="BX173">
        <f>3.395560163</f>
        <v>3.3955601629999999</v>
      </c>
      <c r="BY173">
        <f>4.129812962</f>
        <v>4.1298129619999999</v>
      </c>
      <c r="BZ173">
        <f>5.302973023</f>
        <v>5.3029730229999998</v>
      </c>
      <c r="CA173">
        <f>3.518212116</f>
        <v>3.5182121159999999</v>
      </c>
      <c r="CB173">
        <f>5.412218944</f>
        <v>5.4122189440000001</v>
      </c>
      <c r="CC173">
        <f>4.862241143</f>
        <v>4.8622411430000003</v>
      </c>
      <c r="CD173">
        <f>5.488145795</f>
        <v>5.4881457950000003</v>
      </c>
      <c r="CE173">
        <f>3.167464469</f>
        <v>3.167464469</v>
      </c>
      <c r="CF173">
        <f>6.859916115</f>
        <v>6.8599161149999999</v>
      </c>
      <c r="CG173">
        <f>4.487287754</f>
        <v>4.4872877539999996</v>
      </c>
      <c r="CH173">
        <f>7.737013334</f>
        <v>7.7370133340000002</v>
      </c>
      <c r="CI173">
        <f>4.177591643</f>
        <v>4.1775916430000004</v>
      </c>
      <c r="CJ173">
        <f>5.132798007</f>
        <v>5.1327980069999999</v>
      </c>
      <c r="CK173">
        <f>2.748196673</f>
        <v>2.7481966729999998</v>
      </c>
      <c r="CL173">
        <f>3.617419908</f>
        <v>3.617419908</v>
      </c>
      <c r="CM173">
        <f>2.511940445</f>
        <v>2.511940445</v>
      </c>
      <c r="CN173">
        <f>1.948584043</f>
        <v>1.9485840430000001</v>
      </c>
      <c r="CO173">
        <f>1.569727736</f>
        <v>1.5697277359999999</v>
      </c>
      <c r="CP173">
        <f>2.943657188</f>
        <v>2.943657188</v>
      </c>
      <c r="CQ173">
        <f>1.724758118</f>
        <v>1.724758118</v>
      </c>
      <c r="CR173">
        <f>1.8021348</f>
        <v>1.8021347999999999</v>
      </c>
      <c r="CS173">
        <f>2.768020814</f>
        <v>2.7680208140000002</v>
      </c>
      <c r="CT173">
        <f>3.324787241</f>
        <v>3.3247872410000001</v>
      </c>
      <c r="CU173">
        <f>4.588482754</f>
        <v>4.5884827540000002</v>
      </c>
      <c r="CV173">
        <f>7.048120345</f>
        <v>7.0481203450000001</v>
      </c>
      <c r="CW173">
        <f>6.618736075</f>
        <v>6.6187360750000002</v>
      </c>
      <c r="CX173">
        <f>8.798480048</f>
        <v>8.7984800480000001</v>
      </c>
      <c r="CY173">
        <f>8.649809248</f>
        <v>8.6498092480000004</v>
      </c>
      <c r="CZ173">
        <f>8.969608659</f>
        <v>8.9696086590000004</v>
      </c>
      <c r="DA173" t="str">
        <f>""</f>
        <v/>
      </c>
      <c r="DB173" t="str">
        <f>""</f>
        <v/>
      </c>
      <c r="DC173" t="str">
        <f>""</f>
        <v/>
      </c>
      <c r="DD173" t="str">
        <f>""</f>
        <v/>
      </c>
      <c r="DE173" t="str">
        <f>""</f>
        <v/>
      </c>
      <c r="DF173" t="str">
        <f>""</f>
        <v/>
      </c>
      <c r="DG173" t="str">
        <f>""</f>
        <v/>
      </c>
      <c r="DH173" t="str">
        <f>""</f>
        <v/>
      </c>
      <c r="DI173" t="str">
        <f>""</f>
        <v/>
      </c>
      <c r="DJ173" t="str">
        <f>""</f>
        <v/>
      </c>
      <c r="DK173" t="str">
        <f>""</f>
        <v/>
      </c>
      <c r="DL173" t="str">
        <f>""</f>
        <v/>
      </c>
      <c r="DM173" t="str">
        <f>""</f>
        <v/>
      </c>
      <c r="DN173" t="str">
        <f>""</f>
        <v/>
      </c>
      <c r="DO173" t="str">
        <f>""</f>
        <v/>
      </c>
      <c r="DP173" t="str">
        <f>""</f>
        <v/>
      </c>
      <c r="DQ173" t="str">
        <f>""</f>
        <v/>
      </c>
      <c r="DR173" t="str">
        <f>""</f>
        <v/>
      </c>
      <c r="DS173" t="str">
        <f>""</f>
        <v/>
      </c>
      <c r="DT173" t="str">
        <f>""</f>
        <v/>
      </c>
      <c r="DU173" t="str">
        <f>""</f>
        <v/>
      </c>
    </row>
    <row r="174" spans="1:125" x14ac:dyDescent="0.25">
      <c r="A174" t="str">
        <f>"    Chongqing Changan Automobile Co Ltd"</f>
        <v xml:space="preserve">    Chongqing Changan Automobile Co Ltd</v>
      </c>
      <c r="B174" t="str">
        <f>"200625 CH Equity"</f>
        <v>200625 CH Equity</v>
      </c>
      <c r="C174" t="str">
        <f t="shared" si="12"/>
        <v>RX077</v>
      </c>
      <c r="D174" t="str">
        <f t="shared" si="13"/>
        <v>PX_TO_TANG_BOOK_VAL_PER_SH</v>
      </c>
      <c r="E174" t="str">
        <f t="shared" si="14"/>
        <v>Dynamic</v>
      </c>
      <c r="F174">
        <f ca="1">IF(AND(ISNUMBER($F$844),$B$677=1),$F$844,HLOOKUP(INDIRECT(ADDRESS(2,COLUMN())),OFFSET($BN$2,0,0,ROW()-1,60),ROW()-1,FALSE))</f>
        <v>0.426204476</v>
      </c>
      <c r="G174">
        <f ca="1">IF(AND(ISNUMBER($G$844),$B$677=1),$G$844,HLOOKUP(INDIRECT(ADDRESS(2,COLUMN())),OFFSET($BN$2,0,0,ROW()-1,60),ROW()-1,FALSE))</f>
        <v>0.35273605800000002</v>
      </c>
      <c r="H174">
        <f ca="1">IF(AND(ISNUMBER($H$844),$B$677=1),$H$844,HLOOKUP(INDIRECT(ADDRESS(2,COLUMN())),OFFSET($BN$2,0,0,ROW()-1,60),ROW()-1,FALSE))</f>
        <v>0.63831177100000003</v>
      </c>
      <c r="I174">
        <f ca="1">IF(AND(ISNUMBER($I$844),$B$677=1),$I$844,HLOOKUP(INDIRECT(ADDRESS(2,COLUMN())),OFFSET($BN$2,0,0,ROW()-1,60),ROW()-1,FALSE))</f>
        <v>0.72267859099999998</v>
      </c>
      <c r="J174">
        <f ca="1">IF(AND(ISNUMBER($J$844),$B$677=1),$J$844,HLOOKUP(INDIRECT(ADDRESS(2,COLUMN())),OFFSET($BN$2,0,0,ROW()-1,60),ROW()-1,FALSE))</f>
        <v>0.71069731199999997</v>
      </c>
      <c r="K174">
        <f ca="1">IF(AND(ISNUMBER($K$844),$B$677=1),$K$844,HLOOKUP(INDIRECT(ADDRESS(2,COLUMN())),OFFSET($BN$2,0,0,ROW()-1,60),ROW()-1,FALSE))</f>
        <v>0.76773212599999996</v>
      </c>
      <c r="L174">
        <f ca="1">IF(AND(ISNUMBER($L$844),$B$677=1),$L$844,HLOOKUP(INDIRECT(ADDRESS(2,COLUMN())),OFFSET($BN$2,0,0,ROW()-1,60),ROW()-1,FALSE))</f>
        <v>1.0163070590000001</v>
      </c>
      <c r="M174">
        <f ca="1">IF(AND(ISNUMBER($M$844),$B$677=1),$M$844,HLOOKUP(INDIRECT(ADDRESS(2,COLUMN())),OFFSET($BN$2,0,0,ROW()-1,60),ROW()-1,FALSE))</f>
        <v>1.01050368</v>
      </c>
      <c r="N174">
        <f ca="1">IF(AND(ISNUMBER($N$844),$B$677=1),$N$844,HLOOKUP(INDIRECT(ADDRESS(2,COLUMN())),OFFSET($BN$2,0,0,ROW()-1,60),ROW()-1,FALSE))</f>
        <v>1.1119482270000001</v>
      </c>
      <c r="O174">
        <f ca="1">IF(AND(ISNUMBER($O$844),$B$677=1),$O$844,HLOOKUP(INDIRECT(ADDRESS(2,COLUMN())),OFFSET($BN$2,0,0,ROW()-1,60),ROW()-1,FALSE))</f>
        <v>1.1589536110000001</v>
      </c>
      <c r="P174">
        <f ca="1">IF(AND(ISNUMBER($P$844),$B$677=1),$P$844,HLOOKUP(INDIRECT(ADDRESS(2,COLUMN())),OFFSET($BN$2,0,0,ROW()-1,60),ROW()-1,FALSE))</f>
        <v>1.463034819</v>
      </c>
      <c r="Q174">
        <f ca="1">IF(AND(ISNUMBER($Q$844),$B$677=1),$Q$844,HLOOKUP(INDIRECT(ADDRESS(2,COLUMN())),OFFSET($BN$2,0,0,ROW()-1,60),ROW()-1,FALSE))</f>
        <v>1.2469858490000001</v>
      </c>
      <c r="R174">
        <f ca="1">IF(AND(ISNUMBER($R$844),$B$677=1),$R$844,HLOOKUP(INDIRECT(ADDRESS(2,COLUMN())),OFFSET($BN$2,0,0,ROW()-1,60),ROW()-1,FALSE))</f>
        <v>1.706324239</v>
      </c>
      <c r="S174">
        <f ca="1">IF(AND(ISNUMBER($S$844),$B$677=1),$S$844,HLOOKUP(INDIRECT(ADDRESS(2,COLUMN())),OFFSET($BN$2,0,0,ROW()-1,60),ROW()-1,FALSE))</f>
        <v>2.0607086020000001</v>
      </c>
      <c r="T174">
        <f ca="1">IF(AND(ISNUMBER($T$844),$B$677=1),$T$844,HLOOKUP(INDIRECT(ADDRESS(2,COLUMN())),OFFSET($BN$2,0,0,ROW()-1,60),ROW()-1,FALSE))</f>
        <v>1.836176311</v>
      </c>
      <c r="U174">
        <f ca="1">IF(AND(ISNUMBER($U$844),$B$677=1),$U$844,HLOOKUP(INDIRECT(ADDRESS(2,COLUMN())),OFFSET($BN$2,0,0,ROW()-1,60),ROW()-1,FALSE))</f>
        <v>2.668628655</v>
      </c>
      <c r="V174">
        <f ca="1">IF(AND(ISNUMBER($V$844),$B$677=1),$V$844,HLOOKUP(INDIRECT(ADDRESS(2,COLUMN())),OFFSET($BN$2,0,0,ROW()-1,60),ROW()-1,FALSE))</f>
        <v>3.3350094669999999</v>
      </c>
      <c r="W174">
        <f ca="1">IF(AND(ISNUMBER($W$844),$B$677=1),$W$844,HLOOKUP(INDIRECT(ADDRESS(2,COLUMN())),OFFSET($BN$2,0,0,ROW()-1,60),ROW()-1,FALSE))</f>
        <v>2.7441079930000001</v>
      </c>
      <c r="X174">
        <f ca="1">IF(AND(ISNUMBER($X$844),$B$677=1),$X$844,HLOOKUP(INDIRECT(ADDRESS(2,COLUMN())),OFFSET($BN$2,0,0,ROW()-1,60),ROW()-1,FALSE))</f>
        <v>3.0264369420000001</v>
      </c>
      <c r="Y174">
        <f ca="1">IF(AND(ISNUMBER($Y$844),$B$677=1),$Y$844,HLOOKUP(INDIRECT(ADDRESS(2,COLUMN())),OFFSET($BN$2,0,0,ROW()-1,60),ROW()-1,FALSE))</f>
        <v>2.8671793409999999</v>
      </c>
      <c r="Z174">
        <f ca="1">IF(AND(ISNUMBER($Z$844),$B$677=1),$Z$844,HLOOKUP(INDIRECT(ADDRESS(2,COLUMN())),OFFSET($BN$2,0,0,ROW()-1,60),ROW()-1,FALSE))</f>
        <v>2.686078679</v>
      </c>
      <c r="AA174">
        <f ca="1">IF(AND(ISNUMBER($AA$844),$B$677=1),$AA$844,HLOOKUP(INDIRECT(ADDRESS(2,COLUMN())),OFFSET($BN$2,0,0,ROW()-1,60),ROW()-1,FALSE))</f>
        <v>3.7221702460000001</v>
      </c>
      <c r="AB174">
        <f ca="1">IF(AND(ISNUMBER($AB$844),$B$677=1),$AB$844,HLOOKUP(INDIRECT(ADDRESS(2,COLUMN())),OFFSET($BN$2,0,0,ROW()-1,60),ROW()-1,FALSE))</f>
        <v>2.9082112379999998</v>
      </c>
      <c r="AC174">
        <f ca="1">IF(AND(ISNUMBER($AC$844),$B$677=1),$AC$844,HLOOKUP(INDIRECT(ADDRESS(2,COLUMN())),OFFSET($BN$2,0,0,ROW()-1,60),ROW()-1,FALSE))</f>
        <v>2.2184305119999999</v>
      </c>
      <c r="AD174">
        <f ca="1">IF(AND(ISNUMBER($AD$844),$B$677=1),$AD$844,HLOOKUP(INDIRECT(ADDRESS(2,COLUMN())),OFFSET($BN$2,0,0,ROW()-1,60),ROW()-1,FALSE))</f>
        <v>2.0943359940000001</v>
      </c>
      <c r="AE174">
        <f ca="1">IF(AND(ISNUMBER($AE$844),$B$677=1),$AE$844,HLOOKUP(INDIRECT(ADDRESS(2,COLUMN())),OFFSET($BN$2,0,0,ROW()-1,60),ROW()-1,FALSE))</f>
        <v>1.1482108339999999</v>
      </c>
      <c r="AF174">
        <f ca="1">IF(AND(ISNUMBER($AF$844),$B$677=1),$AF$844,HLOOKUP(INDIRECT(ADDRESS(2,COLUMN())),OFFSET($BN$2,0,0,ROW()-1,60),ROW()-1,FALSE))</f>
        <v>0.86867974299999995</v>
      </c>
      <c r="AG174">
        <f ca="1">IF(AND(ISNUMBER($AG$844),$B$677=1),$AG$844,HLOOKUP(INDIRECT(ADDRESS(2,COLUMN())),OFFSET($BN$2,0,0,ROW()-1,60),ROW()-1,FALSE))</f>
        <v>0.86017448399999996</v>
      </c>
      <c r="AH174">
        <f ca="1">IF(AND(ISNUMBER($AH$844),$B$677=1),$AH$844,HLOOKUP(INDIRECT(ADDRESS(2,COLUMN())),OFFSET($BN$2,0,0,ROW()-1,60),ROW()-1,FALSE))</f>
        <v>1.0026090969999999</v>
      </c>
      <c r="AI174">
        <f ca="1">IF(AND(ISNUMBER($AI$844),$B$677=1),$AI$844,HLOOKUP(INDIRECT(ADDRESS(2,COLUMN())),OFFSET($BN$2,0,0,ROW()-1,60),ROW()-1,FALSE))</f>
        <v>0.79644713</v>
      </c>
      <c r="AJ174">
        <f ca="1">IF(AND(ISNUMBER($AJ$844),$B$677=1),$AJ$844,HLOOKUP(INDIRECT(ADDRESS(2,COLUMN())),OFFSET($BN$2,0,0,ROW()-1,60),ROW()-1,FALSE))</f>
        <v>0.63821446400000004</v>
      </c>
      <c r="AK174">
        <f ca="1">IF(AND(ISNUMBER($AK$844),$B$677=1),$AK$844,HLOOKUP(INDIRECT(ADDRESS(2,COLUMN())),OFFSET($BN$2,0,0,ROW()-1,60),ROW()-1,FALSE))</f>
        <v>0.87222921399999997</v>
      </c>
      <c r="AL174">
        <f ca="1">IF(AND(ISNUMBER($AL$844),$B$677=1),$AL$844,HLOOKUP(INDIRECT(ADDRESS(2,COLUMN())),OFFSET($BN$2,0,0,ROW()-1,60),ROW()-1,FALSE))</f>
        <v>1.0306185139999999</v>
      </c>
      <c r="AM174">
        <f ca="1">IF(AND(ISNUMBER($AM$844),$B$677=1),$AM$844,HLOOKUP(INDIRECT(ADDRESS(2,COLUMN())),OFFSET($BN$2,0,0,ROW()-1,60),ROW()-1,FALSE))</f>
        <v>1.269075615</v>
      </c>
      <c r="AN174">
        <f ca="1">IF(AND(ISNUMBER($AN$844),$B$677=1),$AN$844,HLOOKUP(INDIRECT(ADDRESS(2,COLUMN())),OFFSET($BN$2,0,0,ROW()-1,60),ROW()-1,FALSE))</f>
        <v>1.514251003</v>
      </c>
      <c r="AO174">
        <f ca="1">IF(AND(ISNUMBER($AO$844),$B$677=1),$AO$844,HLOOKUP(INDIRECT(ADDRESS(2,COLUMN())),OFFSET($BN$2,0,0,ROW()-1,60),ROW()-1,FALSE))</f>
        <v>0.95989722</v>
      </c>
      <c r="AP174">
        <f ca="1">IF(AND(ISNUMBER($AP$844),$B$677=1),$AP$844,HLOOKUP(INDIRECT(ADDRESS(2,COLUMN())),OFFSET($BN$2,0,0,ROW()-1,60),ROW()-1,FALSE))</f>
        <v>1.5605555950000001</v>
      </c>
      <c r="AQ174">
        <f ca="1">IF(AND(ISNUMBER($AQ$844),$B$677=1),$AQ$844,HLOOKUP(INDIRECT(ADDRESS(2,COLUMN())),OFFSET($BN$2,0,0,ROW()-1,60),ROW()-1,FALSE))</f>
        <v>1.886245679</v>
      </c>
      <c r="AR174">
        <f ca="1">IF(AND(ISNUMBER($AR$844),$B$677=1),$AR$844,HLOOKUP(INDIRECT(ADDRESS(2,COLUMN())),OFFSET($BN$2,0,0,ROW()-1,60),ROW()-1,FALSE))</f>
        <v>1.1874067939999999</v>
      </c>
      <c r="AS174">
        <f ca="1">IF(AND(ISNUMBER($AS$844),$B$677=1),$AS$844,HLOOKUP(INDIRECT(ADDRESS(2,COLUMN())),OFFSET($BN$2,0,0,ROW()-1,60),ROW()-1,FALSE))</f>
        <v>0.96370409499999998</v>
      </c>
      <c r="AT174">
        <f ca="1">IF(AND(ISNUMBER($AT$844),$B$677=1),$AT$844,HLOOKUP(INDIRECT(ADDRESS(2,COLUMN())),OFFSET($BN$2,0,0,ROW()-1,60),ROW()-1,FALSE))</f>
        <v>0.84960433899999999</v>
      </c>
      <c r="AU174">
        <f ca="1">IF(AND(ISNUMBER($AU$844),$B$677=1),$AU$844,HLOOKUP(INDIRECT(ADDRESS(2,COLUMN())),OFFSET($BN$2,0,0,ROW()-1,60),ROW()-1,FALSE))</f>
        <v>0.443032655</v>
      </c>
      <c r="AV174">
        <f ca="1">IF(AND(ISNUMBER($AV$844),$B$677=1),$AV$844,HLOOKUP(INDIRECT(ADDRESS(2,COLUMN())),OFFSET($BN$2,0,0,ROW()-1,60),ROW()-1,FALSE))</f>
        <v>0.48879835700000002</v>
      </c>
      <c r="AW174">
        <f ca="1">IF(AND(ISNUMBER($AW$844),$B$677=1),$AW$844,HLOOKUP(INDIRECT(ADDRESS(2,COLUMN())),OFFSET($BN$2,0,0,ROW()-1,60),ROW()-1,FALSE))</f>
        <v>0.75285126499999999</v>
      </c>
      <c r="AX174">
        <f ca="1">IF(AND(ISNUMBER($AX$844),$B$677=1),$AX$844,HLOOKUP(INDIRECT(ADDRESS(2,COLUMN())),OFFSET($BN$2,0,0,ROW()-1,60),ROW()-1,FALSE))</f>
        <v>1.183862591</v>
      </c>
      <c r="AY174">
        <f ca="1">IF(AND(ISNUMBER($AY$844),$B$677=1),$AY$844,HLOOKUP(INDIRECT(ADDRESS(2,COLUMN())),OFFSET($BN$2,0,0,ROW()-1,60),ROW()-1,FALSE))</f>
        <v>2.0047617039999999</v>
      </c>
      <c r="AZ174">
        <f ca="1">IF(AND(ISNUMBER($AZ$844),$B$677=1),$AZ$844,HLOOKUP(INDIRECT(ADDRESS(2,COLUMN())),OFFSET($BN$2,0,0,ROW()-1,60),ROW()-1,FALSE))</f>
        <v>2.4935458779999999</v>
      </c>
      <c r="BA174">
        <f ca="1">IF(AND(ISNUMBER($BA$844),$B$677=1),$BA$844,HLOOKUP(INDIRECT(ADDRESS(2,COLUMN())),OFFSET($BN$2,0,0,ROW()-1,60),ROW()-1,FALSE))</f>
        <v>1.9280861709999999</v>
      </c>
      <c r="BB174">
        <f ca="1">IF(AND(ISNUMBER($BB$844),$B$677=1),$BB$844,HLOOKUP(INDIRECT(ADDRESS(2,COLUMN())),OFFSET($BN$2,0,0,ROW()-1,60),ROW()-1,FALSE))</f>
        <v>1.759316603</v>
      </c>
      <c r="BC174">
        <f ca="1">IF(AND(ISNUMBER($BC$844),$B$677=1),$BC$844,HLOOKUP(INDIRECT(ADDRESS(2,COLUMN())),OFFSET($BN$2,0,0,ROW()-1,60),ROW()-1,FALSE))</f>
        <v>1.54252608</v>
      </c>
      <c r="BD174">
        <f ca="1">IF(AND(ISNUMBER($BD$844),$B$677=1),$BD$844,HLOOKUP(INDIRECT(ADDRESS(2,COLUMN())),OFFSET($BN$2,0,0,ROW()-1,60),ROW()-1,FALSE))</f>
        <v>0.90759909599999999</v>
      </c>
      <c r="BE174">
        <f ca="1">IF(AND(ISNUMBER($BE$844),$B$677=1),$BE$844,HLOOKUP(INDIRECT(ADDRESS(2,COLUMN())),OFFSET($BN$2,0,0,ROW()-1,60),ROW()-1,FALSE))</f>
        <v>0.92841123999999997</v>
      </c>
      <c r="BF174">
        <f ca="1">IF(AND(ISNUMBER($BF$844),$B$677=1),$BF$844,HLOOKUP(INDIRECT(ADDRESS(2,COLUMN())),OFFSET($BN$2,0,0,ROW()-1,60),ROW()-1,FALSE))</f>
        <v>0.95071763099999995</v>
      </c>
      <c r="BG174">
        <f ca="1">IF(AND(ISNUMBER($BG$844),$B$677=1),$BG$844,HLOOKUP(INDIRECT(ADDRESS(2,COLUMN())),OFFSET($BN$2,0,0,ROW()-1,60),ROW()-1,FALSE))</f>
        <v>0.55276411700000005</v>
      </c>
      <c r="BH174" t="str">
        <f ca="1">IF(AND(ISNUMBER($BH$844),$B$677=1),$BH$844,HLOOKUP(INDIRECT(ADDRESS(2,COLUMN())),OFFSET($BN$2,0,0,ROW()-1,60),ROW()-1,FALSE))</f>
        <v/>
      </c>
      <c r="BI174" t="str">
        <f ca="1">IF(AND(ISNUMBER($BI$844),$B$677=1),$BI$844,HLOOKUP(INDIRECT(ADDRESS(2,COLUMN())),OFFSET($BN$2,0,0,ROW()-1,60),ROW()-1,FALSE))</f>
        <v/>
      </c>
      <c r="BJ174">
        <f ca="1">IF(AND(ISNUMBER($BJ$844),$B$677=1),$BJ$844,HLOOKUP(INDIRECT(ADDRESS(2,COLUMN())),OFFSET($BN$2,0,0,ROW()-1,60),ROW()-1,FALSE))</f>
        <v>0.94296446899999997</v>
      </c>
      <c r="BK174">
        <f ca="1">IF(AND(ISNUMBER($BK$844),$B$677=1),$BK$844,HLOOKUP(INDIRECT(ADDRESS(2,COLUMN())),OFFSET($BN$2,0,0,ROW()-1,60),ROW()-1,FALSE))</f>
        <v>0.88393062300000003</v>
      </c>
      <c r="BL174" t="str">
        <f ca="1">IF(AND(ISNUMBER($BL$844),$B$677=1),$BL$844,HLOOKUP(INDIRECT(ADDRESS(2,COLUMN())),OFFSET($BN$2,0,0,ROW()-1,60),ROW()-1,FALSE))</f>
        <v/>
      </c>
      <c r="BM174" t="str">
        <f ca="1">IF(AND(ISNUMBER($BM$844),$B$677=1),$BM$844,HLOOKUP(INDIRECT(ADDRESS(2,COLUMN())),OFFSET($BN$2,0,0,ROW()-1,60),ROW()-1,FALSE))</f>
        <v/>
      </c>
      <c r="BN174">
        <f>0.426204476</f>
        <v>0.426204476</v>
      </c>
      <c r="BO174">
        <f>0.352736058</f>
        <v>0.35273605800000002</v>
      </c>
      <c r="BP174">
        <f>0.638311771</f>
        <v>0.63831177100000003</v>
      </c>
      <c r="BQ174">
        <f>0.722678591</f>
        <v>0.72267859099999998</v>
      </c>
      <c r="BR174">
        <f>0.710697312</f>
        <v>0.71069731199999997</v>
      </c>
      <c r="BS174">
        <f>0.767732126</f>
        <v>0.76773212599999996</v>
      </c>
      <c r="BT174">
        <f>1.016307059</f>
        <v>1.0163070590000001</v>
      </c>
      <c r="BU174">
        <f>1.01050368</f>
        <v>1.01050368</v>
      </c>
      <c r="BV174">
        <f>1.111948227</f>
        <v>1.1119482270000001</v>
      </c>
      <c r="BW174">
        <f>1.158953611</f>
        <v>1.1589536110000001</v>
      </c>
      <c r="BX174">
        <f>1.463034819</f>
        <v>1.463034819</v>
      </c>
      <c r="BY174">
        <f>1.246985849</f>
        <v>1.2469858490000001</v>
      </c>
      <c r="BZ174">
        <f>1.706324239</f>
        <v>1.706324239</v>
      </c>
      <c r="CA174">
        <f>2.060708602</f>
        <v>2.0607086020000001</v>
      </c>
      <c r="CB174">
        <f>1.836176311</f>
        <v>1.836176311</v>
      </c>
      <c r="CC174">
        <f>2.668628655</f>
        <v>2.668628655</v>
      </c>
      <c r="CD174">
        <f>3.335009467</f>
        <v>3.3350094669999999</v>
      </c>
      <c r="CE174">
        <f>2.744107993</f>
        <v>2.7441079930000001</v>
      </c>
      <c r="CF174">
        <f>3.026436942</f>
        <v>3.0264369420000001</v>
      </c>
      <c r="CG174">
        <f>2.867179341</f>
        <v>2.8671793409999999</v>
      </c>
      <c r="CH174">
        <f>2.686078679</f>
        <v>2.686078679</v>
      </c>
      <c r="CI174">
        <f>3.722170246</f>
        <v>3.7221702460000001</v>
      </c>
      <c r="CJ174">
        <f>2.908211238</f>
        <v>2.9082112379999998</v>
      </c>
      <c r="CK174">
        <f>2.218430512</f>
        <v>2.2184305119999999</v>
      </c>
      <c r="CL174">
        <f>2.094335994</f>
        <v>2.0943359940000001</v>
      </c>
      <c r="CM174">
        <f>1.148210834</f>
        <v>1.1482108339999999</v>
      </c>
      <c r="CN174">
        <f>0.868679743</f>
        <v>0.86867974299999995</v>
      </c>
      <c r="CO174">
        <f>0.860174484</f>
        <v>0.86017448399999996</v>
      </c>
      <c r="CP174">
        <f>1.002609097</f>
        <v>1.0026090969999999</v>
      </c>
      <c r="CQ174">
        <f>0.79644713</f>
        <v>0.79644713</v>
      </c>
      <c r="CR174">
        <f>0.638214464</f>
        <v>0.63821446400000004</v>
      </c>
      <c r="CS174">
        <f>0.872229214</f>
        <v>0.87222921399999997</v>
      </c>
      <c r="CT174">
        <f>1.030618514</f>
        <v>1.0306185139999999</v>
      </c>
      <c r="CU174">
        <f>1.269075615</f>
        <v>1.269075615</v>
      </c>
      <c r="CV174">
        <f>1.514251003</f>
        <v>1.514251003</v>
      </c>
      <c r="CW174">
        <f>0.95989722</f>
        <v>0.95989722</v>
      </c>
      <c r="CX174">
        <f>1.560555595</f>
        <v>1.5605555950000001</v>
      </c>
      <c r="CY174">
        <f>1.886245679</f>
        <v>1.886245679</v>
      </c>
      <c r="CZ174">
        <f>1.187406794</f>
        <v>1.1874067939999999</v>
      </c>
      <c r="DA174">
        <f>0.963704095</f>
        <v>0.96370409499999998</v>
      </c>
      <c r="DB174">
        <f>0.849604339</f>
        <v>0.84960433899999999</v>
      </c>
      <c r="DC174">
        <f>0.443032655</f>
        <v>0.443032655</v>
      </c>
      <c r="DD174">
        <f>0.488798357</f>
        <v>0.48879835700000002</v>
      </c>
      <c r="DE174">
        <f>0.752851265</f>
        <v>0.75285126499999999</v>
      </c>
      <c r="DF174">
        <f>1.183862591</f>
        <v>1.183862591</v>
      </c>
      <c r="DG174">
        <f>2.004761704</f>
        <v>2.0047617039999999</v>
      </c>
      <c r="DH174">
        <f>2.493545878</f>
        <v>2.4935458779999999</v>
      </c>
      <c r="DI174">
        <f>1.928086171</f>
        <v>1.9280861709999999</v>
      </c>
      <c r="DJ174">
        <f>1.759316603</f>
        <v>1.759316603</v>
      </c>
      <c r="DK174">
        <f>1.54252608</f>
        <v>1.54252608</v>
      </c>
      <c r="DL174">
        <f>0.907599096</f>
        <v>0.90759909599999999</v>
      </c>
      <c r="DM174">
        <f>0.92841124</f>
        <v>0.92841123999999997</v>
      </c>
      <c r="DN174">
        <f>0.950717631</f>
        <v>0.95071763099999995</v>
      </c>
      <c r="DO174">
        <f>0.552764117</f>
        <v>0.55276411700000005</v>
      </c>
      <c r="DP174" t="str">
        <f>""</f>
        <v/>
      </c>
      <c r="DQ174" t="str">
        <f>""</f>
        <v/>
      </c>
      <c r="DR174">
        <f>0.942964469</f>
        <v>0.94296446899999997</v>
      </c>
      <c r="DS174">
        <f>0.883930623</f>
        <v>0.88393062300000003</v>
      </c>
      <c r="DT174" t="str">
        <f>""</f>
        <v/>
      </c>
      <c r="DU174" t="str">
        <f>""</f>
        <v/>
      </c>
    </row>
    <row r="175" spans="1:125" x14ac:dyDescent="0.25">
      <c r="A175" t="str">
        <f>"    Daihatsu Motor Co Ltd"</f>
        <v xml:space="preserve">    Daihatsu Motor Co Ltd</v>
      </c>
      <c r="B175" t="str">
        <f>"7262 JP Equity"</f>
        <v>7262 JP Equity</v>
      </c>
      <c r="C175" t="str">
        <f t="shared" si="12"/>
        <v>RX077</v>
      </c>
      <c r="D175" t="str">
        <f t="shared" si="13"/>
        <v>PX_TO_TANG_BOOK_VAL_PER_SH</v>
      </c>
      <c r="E175" t="str">
        <f t="shared" si="14"/>
        <v>Dynamic</v>
      </c>
      <c r="F175" t="str">
        <f ca="1">IF(AND(ISNUMBER($F$845),$B$677=1),$F$845,HLOOKUP(INDIRECT(ADDRESS(2,COLUMN())),OFFSET($BN$2,0,0,ROW()-1,60),ROW()-1,FALSE))</f>
        <v/>
      </c>
      <c r="G175" t="str">
        <f ca="1">IF(AND(ISNUMBER($G$845),$B$677=1),$G$845,HLOOKUP(INDIRECT(ADDRESS(2,COLUMN())),OFFSET($BN$2,0,0,ROW()-1,60),ROW()-1,FALSE))</f>
        <v/>
      </c>
      <c r="H175" t="str">
        <f ca="1">IF(AND(ISNUMBER($H$845),$B$677=1),$H$845,HLOOKUP(INDIRECT(ADDRESS(2,COLUMN())),OFFSET($BN$2,0,0,ROW()-1,60),ROW()-1,FALSE))</f>
        <v/>
      </c>
      <c r="I175" t="str">
        <f ca="1">IF(AND(ISNUMBER($I$845),$B$677=1),$I$845,HLOOKUP(INDIRECT(ADDRESS(2,COLUMN())),OFFSET($BN$2,0,0,ROW()-1,60),ROW()-1,FALSE))</f>
        <v/>
      </c>
      <c r="J175" t="str">
        <f ca="1">IF(AND(ISNUMBER($J$845),$B$677=1),$J$845,HLOOKUP(INDIRECT(ADDRESS(2,COLUMN())),OFFSET($BN$2,0,0,ROW()-1,60),ROW()-1,FALSE))</f>
        <v/>
      </c>
      <c r="K175" t="str">
        <f ca="1">IF(AND(ISNUMBER($K$845),$B$677=1),$K$845,HLOOKUP(INDIRECT(ADDRESS(2,COLUMN())),OFFSET($BN$2,0,0,ROW()-1,60),ROW()-1,FALSE))</f>
        <v/>
      </c>
      <c r="L175" t="str">
        <f ca="1">IF(AND(ISNUMBER($L$845),$B$677=1),$L$845,HLOOKUP(INDIRECT(ADDRESS(2,COLUMN())),OFFSET($BN$2,0,0,ROW()-1,60),ROW()-1,FALSE))</f>
        <v/>
      </c>
      <c r="M175" t="str">
        <f ca="1">IF(AND(ISNUMBER($M$845),$B$677=1),$M$845,HLOOKUP(INDIRECT(ADDRESS(2,COLUMN())),OFFSET($BN$2,0,0,ROW()-1,60),ROW()-1,FALSE))</f>
        <v/>
      </c>
      <c r="N175" t="str">
        <f ca="1">IF(AND(ISNUMBER($N$845),$B$677=1),$N$845,HLOOKUP(INDIRECT(ADDRESS(2,COLUMN())),OFFSET($BN$2,0,0,ROW()-1,60),ROW()-1,FALSE))</f>
        <v/>
      </c>
      <c r="O175" t="str">
        <f ca="1">IF(AND(ISNUMBER($O$845),$B$677=1),$O$845,HLOOKUP(INDIRECT(ADDRESS(2,COLUMN())),OFFSET($BN$2,0,0,ROW()-1,60),ROW()-1,FALSE))</f>
        <v/>
      </c>
      <c r="P175">
        <f ca="1">IF(AND(ISNUMBER($P$845),$B$677=1),$P$845,HLOOKUP(INDIRECT(ADDRESS(2,COLUMN())),OFFSET($BN$2,0,0,ROW()-1,60),ROW()-1,FALSE))</f>
        <v>1.038897636</v>
      </c>
      <c r="Q175">
        <f ca="1">IF(AND(ISNUMBER($Q$845),$B$677=1),$Q$845,HLOOKUP(INDIRECT(ADDRESS(2,COLUMN())),OFFSET($BN$2,0,0,ROW()-1,60),ROW()-1,FALSE))</f>
        <v>0.92183874700000001</v>
      </c>
      <c r="R175">
        <f ca="1">IF(AND(ISNUMBER($R$845),$B$677=1),$R$845,HLOOKUP(INDIRECT(ADDRESS(2,COLUMN())),OFFSET($BN$2,0,0,ROW()-1,60),ROW()-1,FALSE))</f>
        <v>1.1050916500000001</v>
      </c>
      <c r="S175">
        <f ca="1">IF(AND(ISNUMBER($S$845),$B$677=1),$S$845,HLOOKUP(INDIRECT(ADDRESS(2,COLUMN())),OFFSET($BN$2,0,0,ROW()-1,60),ROW()-1,FALSE))</f>
        <v>1.164735697</v>
      </c>
      <c r="T175">
        <f ca="1">IF(AND(ISNUMBER($T$845),$B$677=1),$T$845,HLOOKUP(INDIRECT(ADDRESS(2,COLUMN())),OFFSET($BN$2,0,0,ROW()-1,60),ROW()-1,FALSE))</f>
        <v>0.98429870799999997</v>
      </c>
      <c r="U175">
        <f ca="1">IF(AND(ISNUMBER($U$845),$B$677=1),$U$845,HLOOKUP(INDIRECT(ADDRESS(2,COLUMN())),OFFSET($BN$2,0,0,ROW()-1,60),ROW()-1,FALSE))</f>
        <v>1.2252764730000001</v>
      </c>
      <c r="V175">
        <f ca="1">IF(AND(ISNUMBER($V$845),$B$677=1),$V$845,HLOOKUP(INDIRECT(ADDRESS(2,COLUMN())),OFFSET($BN$2,0,0,ROW()-1,60),ROW()-1,FALSE))</f>
        <v>1.2830492550000001</v>
      </c>
      <c r="W175">
        <f ca="1">IF(AND(ISNUMBER($W$845),$B$677=1),$W$845,HLOOKUP(INDIRECT(ADDRESS(2,COLUMN())),OFFSET($BN$2,0,0,ROW()-1,60),ROW()-1,FALSE))</f>
        <v>1.176977223</v>
      </c>
      <c r="X175">
        <f ca="1">IF(AND(ISNUMBER($X$845),$B$677=1),$X$845,HLOOKUP(INDIRECT(ADDRESS(2,COLUMN())),OFFSET($BN$2,0,0,ROW()-1,60),ROW()-1,FALSE))</f>
        <v>1.3150365129999999</v>
      </c>
      <c r="Y175">
        <f ca="1">IF(AND(ISNUMBER($Y$845),$B$677=1),$Y$845,HLOOKUP(INDIRECT(ADDRESS(2,COLUMN())),OFFSET($BN$2,0,0,ROW()-1,60),ROW()-1,FALSE))</f>
        <v>1.386607248</v>
      </c>
      <c r="Z175">
        <f ca="1">IF(AND(ISNUMBER($Z$845),$B$677=1),$Z$845,HLOOKUP(INDIRECT(ADDRESS(2,COLUMN())),OFFSET($BN$2,0,0,ROW()-1,60),ROW()-1,FALSE))</f>
        <v>1.4278536100000001</v>
      </c>
      <c r="AA175">
        <f ca="1">IF(AND(ISNUMBER($AA$845),$B$677=1),$AA$845,HLOOKUP(INDIRECT(ADDRESS(2,COLUMN())),OFFSET($BN$2,0,0,ROW()-1,60),ROW()-1,FALSE))</f>
        <v>1.4528146930000001</v>
      </c>
      <c r="AB175">
        <f ca="1">IF(AND(ISNUMBER($AB$845),$B$677=1),$AB$845,HLOOKUP(INDIRECT(ADDRESS(2,COLUMN())),OFFSET($BN$2,0,0,ROW()-1,60),ROW()-1,FALSE))</f>
        <v>1.5730160310000001</v>
      </c>
      <c r="AC175">
        <f ca="1">IF(AND(ISNUMBER($AC$845),$B$677=1),$AC$845,HLOOKUP(INDIRECT(ADDRESS(2,COLUMN())),OFFSET($BN$2,0,0,ROW()-1,60),ROW()-1,FALSE))</f>
        <v>1.5757750479999999</v>
      </c>
      <c r="AD175">
        <f ca="1">IF(AND(ISNUMBER($AD$845),$B$677=1),$AD$845,HLOOKUP(INDIRECT(ADDRESS(2,COLUMN())),OFFSET($BN$2,0,0,ROW()-1,60),ROW()-1,FALSE))</f>
        <v>1.6868471110000001</v>
      </c>
      <c r="AE175">
        <f ca="1">IF(AND(ISNUMBER($AE$845),$B$677=1),$AE$845,HLOOKUP(INDIRECT(ADDRESS(2,COLUMN())),OFFSET($BN$2,0,0,ROW()-1,60),ROW()-1,FALSE))</f>
        <v>1.5932348329999999</v>
      </c>
      <c r="AF175">
        <f ca="1">IF(AND(ISNUMBER($AF$845),$B$677=1),$AF$845,HLOOKUP(INDIRECT(ADDRESS(2,COLUMN())),OFFSET($BN$2,0,0,ROW()-1,60),ROW()-1,FALSE))</f>
        <v>1.2405105080000001</v>
      </c>
      <c r="AG175">
        <f ca="1">IF(AND(ISNUMBER($AG$845),$B$677=1),$AG$845,HLOOKUP(INDIRECT(ADDRESS(2,COLUMN())),OFFSET($BN$2,0,0,ROW()-1,60),ROW()-1,FALSE))</f>
        <v>1.383145853</v>
      </c>
      <c r="AH175">
        <f ca="1">IF(AND(ISNUMBER($AH$845),$B$677=1),$AH$845,HLOOKUP(INDIRECT(ADDRESS(2,COLUMN())),OFFSET($BN$2,0,0,ROW()-1,60),ROW()-1,FALSE))</f>
        <v>1.5266478489999999</v>
      </c>
      <c r="AI175">
        <f ca="1">IF(AND(ISNUMBER($AI$845),$B$677=1),$AI$845,HLOOKUP(INDIRECT(ADDRESS(2,COLUMN())),OFFSET($BN$2,0,0,ROW()-1,60),ROW()-1,FALSE))</f>
        <v>1.501255649</v>
      </c>
      <c r="AJ175">
        <f ca="1">IF(AND(ISNUMBER($AJ$845),$B$677=1),$AJ$845,HLOOKUP(INDIRECT(ADDRESS(2,COLUMN())),OFFSET($BN$2,0,0,ROW()-1,60),ROW()-1,FALSE))</f>
        <v>1.553754882</v>
      </c>
      <c r="AK175">
        <f ca="1">IF(AND(ISNUMBER($AK$845),$B$677=1),$AK$845,HLOOKUP(INDIRECT(ADDRESS(2,COLUMN())),OFFSET($BN$2,0,0,ROW()-1,60),ROW()-1,FALSE))</f>
        <v>1.545110322</v>
      </c>
      <c r="AL175">
        <f ca="1">IF(AND(ISNUMBER($AL$845),$B$677=1),$AL$845,HLOOKUP(INDIRECT(ADDRESS(2,COLUMN())),OFFSET($BN$2,0,0,ROW()-1,60),ROW()-1,FALSE))</f>
        <v>1.364607667</v>
      </c>
      <c r="AM175">
        <f ca="1">IF(AND(ISNUMBER($AM$845),$B$677=1),$AM$845,HLOOKUP(INDIRECT(ADDRESS(2,COLUMN())),OFFSET($BN$2,0,0,ROW()-1,60),ROW()-1,FALSE))</f>
        <v>1.455474017</v>
      </c>
      <c r="AN175">
        <f ca="1">IF(AND(ISNUMBER($AN$845),$B$677=1),$AN$845,HLOOKUP(INDIRECT(ADDRESS(2,COLUMN())),OFFSET($BN$2,0,0,ROW()-1,60),ROW()-1,FALSE))</f>
        <v>1.3294204570000001</v>
      </c>
      <c r="AO175">
        <f ca="1">IF(AND(ISNUMBER($AO$845),$B$677=1),$AO$845,HLOOKUP(INDIRECT(ADDRESS(2,COLUMN())),OFFSET($BN$2,0,0,ROW()-1,60),ROW()-1,FALSE))</f>
        <v>1.003962287</v>
      </c>
      <c r="AP175">
        <f ca="1">IF(AND(ISNUMBER($AP$845),$B$677=1),$AP$845,HLOOKUP(INDIRECT(ADDRESS(2,COLUMN())),OFFSET($BN$2,0,0,ROW()-1,60),ROW()-1,FALSE))</f>
        <v>1.129660629</v>
      </c>
      <c r="AQ175">
        <f ca="1">IF(AND(ISNUMBER($AQ$845),$B$677=1),$AQ$845,HLOOKUP(INDIRECT(ADDRESS(2,COLUMN())),OFFSET($BN$2,0,0,ROW()-1,60),ROW()-1,FALSE))</f>
        <v>1.199959582</v>
      </c>
      <c r="AR175">
        <f ca="1">IF(AND(ISNUMBER($AR$845),$B$677=1),$AR$845,HLOOKUP(INDIRECT(ADDRESS(2,COLUMN())),OFFSET($BN$2,0,0,ROW()-1,60),ROW()-1,FALSE))</f>
        <v>1.2128924139999999</v>
      </c>
      <c r="AS175">
        <f ca="1">IF(AND(ISNUMBER($AS$845),$B$677=1),$AS$845,HLOOKUP(INDIRECT(ADDRESS(2,COLUMN())),OFFSET($BN$2,0,0,ROW()-1,60),ROW()-1,FALSE))</f>
        <v>1.182026134</v>
      </c>
      <c r="AT175">
        <f ca="1">IF(AND(ISNUMBER($AT$845),$B$677=1),$AT$845,HLOOKUP(INDIRECT(ADDRESS(2,COLUMN())),OFFSET($BN$2,0,0,ROW()-1,60),ROW()-1,FALSE))</f>
        <v>1.040608185</v>
      </c>
      <c r="AU175">
        <f ca="1">IF(AND(ISNUMBER($AU$845),$B$677=1),$AU$845,HLOOKUP(INDIRECT(ADDRESS(2,COLUMN())),OFFSET($BN$2,0,0,ROW()-1,60),ROW()-1,FALSE))</f>
        <v>1.0575727530000001</v>
      </c>
      <c r="AV175">
        <f ca="1">IF(AND(ISNUMBER($AV$845),$B$677=1),$AV$845,HLOOKUP(INDIRECT(ADDRESS(2,COLUMN())),OFFSET($BN$2,0,0,ROW()-1,60),ROW()-1,FALSE))</f>
        <v>1.4619774999999999</v>
      </c>
      <c r="AW175">
        <f ca="1">IF(AND(ISNUMBER($AW$845),$B$677=1),$AW$845,HLOOKUP(INDIRECT(ADDRESS(2,COLUMN())),OFFSET($BN$2,0,0,ROW()-1,60),ROW()-1,FALSE))</f>
        <v>1.560568972</v>
      </c>
      <c r="AX175">
        <f ca="1">IF(AND(ISNUMBER($AX$845),$B$677=1),$AX$845,HLOOKUP(INDIRECT(ADDRESS(2,COLUMN())),OFFSET($BN$2,0,0,ROW()-1,60),ROW()-1,FALSE))</f>
        <v>1.5617733170000001</v>
      </c>
      <c r="AY175">
        <f ca="1">IF(AND(ISNUMBER($AY$845),$B$677=1),$AY$845,HLOOKUP(INDIRECT(ADDRESS(2,COLUMN())),OFFSET($BN$2,0,0,ROW()-1,60),ROW()-1,FALSE))</f>
        <v>1.3906375120000001</v>
      </c>
      <c r="AZ175">
        <f ca="1">IF(AND(ISNUMBER($AZ$845),$B$677=1),$AZ$845,HLOOKUP(INDIRECT(ADDRESS(2,COLUMN())),OFFSET($BN$2,0,0,ROW()-1,60),ROW()-1,FALSE))</f>
        <v>1.5895860319999999</v>
      </c>
      <c r="BA175">
        <f ca="1">IF(AND(ISNUMBER($BA$845),$B$677=1),$BA$845,HLOOKUP(INDIRECT(ADDRESS(2,COLUMN())),OFFSET($BN$2,0,0,ROW()-1,60),ROW()-1,FALSE))</f>
        <v>1.4761936470000001</v>
      </c>
      <c r="BB175">
        <f ca="1">IF(AND(ISNUMBER($BB$845),$B$677=1),$BB$845,HLOOKUP(INDIRECT(ADDRESS(2,COLUMN())),OFFSET($BN$2,0,0,ROW()-1,60),ROW()-1,FALSE))</f>
        <v>1.5020475870000001</v>
      </c>
      <c r="BC175">
        <f ca="1">IF(AND(ISNUMBER($BC$845),$B$677=1),$BC$845,HLOOKUP(INDIRECT(ADDRESS(2,COLUMN())),OFFSET($BN$2,0,0,ROW()-1,60),ROW()-1,FALSE))</f>
        <v>1.6822572549999999</v>
      </c>
      <c r="BD175">
        <f ca="1">IF(AND(ISNUMBER($BD$845),$B$677=1),$BD$845,HLOOKUP(INDIRECT(ADDRESS(2,COLUMN())),OFFSET($BN$2,0,0,ROW()-1,60),ROW()-1,FALSE))</f>
        <v>1.5291083919999999</v>
      </c>
      <c r="BE175">
        <f ca="1">IF(AND(ISNUMBER($BE$845),$B$677=1),$BE$845,HLOOKUP(INDIRECT(ADDRESS(2,COLUMN())),OFFSET($BN$2,0,0,ROW()-1,60),ROW()-1,FALSE))</f>
        <v>1.4586509139999999</v>
      </c>
      <c r="BF175">
        <f ca="1">IF(AND(ISNUMBER($BF$845),$B$677=1),$BF$845,HLOOKUP(INDIRECT(ADDRESS(2,COLUMN())),OFFSET($BN$2,0,0,ROW()-1,60),ROW()-1,FALSE))</f>
        <v>1.709931935</v>
      </c>
      <c r="BG175">
        <f ca="1">IF(AND(ISNUMBER($BG$845),$B$677=1),$BG$845,HLOOKUP(INDIRECT(ADDRESS(2,COLUMN())),OFFSET($BN$2,0,0,ROW()-1,60),ROW()-1,FALSE))</f>
        <v>1.9790526900000001</v>
      </c>
      <c r="BH175">
        <f ca="1">IF(AND(ISNUMBER($BH$845),$B$677=1),$BH$845,HLOOKUP(INDIRECT(ADDRESS(2,COLUMN())),OFFSET($BN$2,0,0,ROW()-1,60),ROW()-1,FALSE))</f>
        <v>1.8923138580000001</v>
      </c>
      <c r="BI175">
        <f ca="1">IF(AND(ISNUMBER($BI$845),$B$677=1),$BI$845,HLOOKUP(INDIRECT(ADDRESS(2,COLUMN())),OFFSET($BN$2,0,0,ROW()-1,60),ROW()-1,FALSE))</f>
        <v>1.7032601009999999</v>
      </c>
      <c r="BJ175">
        <f ca="1">IF(AND(ISNUMBER($BJ$845),$B$677=1),$BJ$845,HLOOKUP(INDIRECT(ADDRESS(2,COLUMN())),OFFSET($BN$2,0,0,ROW()-1,60),ROW()-1,FALSE))</f>
        <v>1.4821038150000001</v>
      </c>
      <c r="BK175">
        <f ca="1">IF(AND(ISNUMBER($BK$845),$B$677=1),$BK$845,HLOOKUP(INDIRECT(ADDRESS(2,COLUMN())),OFFSET($BN$2,0,0,ROW()-1,60),ROW()-1,FALSE))</f>
        <v>1.5729973209999999</v>
      </c>
      <c r="BL175">
        <f ca="1">IF(AND(ISNUMBER($BL$845),$B$677=1),$BL$845,HLOOKUP(INDIRECT(ADDRESS(2,COLUMN())),OFFSET($BN$2,0,0,ROW()-1,60),ROW()-1,FALSE))</f>
        <v>1.6981439869999999</v>
      </c>
      <c r="BM175" t="str">
        <f ca="1">IF(AND(ISNUMBER($BM$845),$B$677=1),$BM$845,HLOOKUP(INDIRECT(ADDRESS(2,COLUMN())),OFFSET($BN$2,0,0,ROW()-1,60),ROW()-1,FALSE))</f>
        <v/>
      </c>
      <c r="BN175" t="str">
        <f>""</f>
        <v/>
      </c>
      <c r="BO175" t="str">
        <f>""</f>
        <v/>
      </c>
      <c r="BP175" t="str">
        <f>""</f>
        <v/>
      </c>
      <c r="BQ175" t="str">
        <f>""</f>
        <v/>
      </c>
      <c r="BR175" t="str">
        <f>""</f>
        <v/>
      </c>
      <c r="BS175" t="str">
        <f>""</f>
        <v/>
      </c>
      <c r="BT175" t="str">
        <f>""</f>
        <v/>
      </c>
      <c r="BU175" t="str">
        <f>""</f>
        <v/>
      </c>
      <c r="BV175" t="str">
        <f>""</f>
        <v/>
      </c>
      <c r="BW175" t="str">
        <f>""</f>
        <v/>
      </c>
      <c r="BX175">
        <f>1.038897636</f>
        <v>1.038897636</v>
      </c>
      <c r="BY175">
        <f>0.921838747</f>
        <v>0.92183874700000001</v>
      </c>
      <c r="BZ175">
        <f>1.10509165</f>
        <v>1.1050916500000001</v>
      </c>
      <c r="CA175">
        <f>1.164735697</f>
        <v>1.164735697</v>
      </c>
      <c r="CB175">
        <f>0.984298708</f>
        <v>0.98429870799999997</v>
      </c>
      <c r="CC175">
        <f>1.225276473</f>
        <v>1.2252764730000001</v>
      </c>
      <c r="CD175">
        <f>1.283049255</f>
        <v>1.2830492550000001</v>
      </c>
      <c r="CE175">
        <f>1.176977223</f>
        <v>1.176977223</v>
      </c>
      <c r="CF175">
        <f>1.315036513</f>
        <v>1.3150365129999999</v>
      </c>
      <c r="CG175">
        <f>1.386607248</f>
        <v>1.386607248</v>
      </c>
      <c r="CH175">
        <f>1.42785361</f>
        <v>1.4278536100000001</v>
      </c>
      <c r="CI175">
        <f>1.452814693</f>
        <v>1.4528146930000001</v>
      </c>
      <c r="CJ175">
        <f>1.573016031</f>
        <v>1.5730160310000001</v>
      </c>
      <c r="CK175">
        <f>1.575775048</f>
        <v>1.5757750479999999</v>
      </c>
      <c r="CL175">
        <f>1.686847111</f>
        <v>1.6868471110000001</v>
      </c>
      <c r="CM175">
        <f>1.593234833</f>
        <v>1.5932348329999999</v>
      </c>
      <c r="CN175">
        <f>1.240510508</f>
        <v>1.2405105080000001</v>
      </c>
      <c r="CO175">
        <f>1.383145853</f>
        <v>1.383145853</v>
      </c>
      <c r="CP175">
        <f>1.526647849</f>
        <v>1.5266478489999999</v>
      </c>
      <c r="CQ175">
        <f>1.501255649</f>
        <v>1.501255649</v>
      </c>
      <c r="CR175">
        <f>1.553754882</f>
        <v>1.553754882</v>
      </c>
      <c r="CS175">
        <f>1.545110322</f>
        <v>1.545110322</v>
      </c>
      <c r="CT175">
        <f>1.364607667</f>
        <v>1.364607667</v>
      </c>
      <c r="CU175">
        <f>1.455474017</f>
        <v>1.455474017</v>
      </c>
      <c r="CV175">
        <f>1.329420457</f>
        <v>1.3294204570000001</v>
      </c>
      <c r="CW175">
        <f>1.003962287</f>
        <v>1.003962287</v>
      </c>
      <c r="CX175">
        <f>1.129660629</f>
        <v>1.129660629</v>
      </c>
      <c r="CY175">
        <f>1.199959582</f>
        <v>1.199959582</v>
      </c>
      <c r="CZ175">
        <f>1.212892414</f>
        <v>1.2128924139999999</v>
      </c>
      <c r="DA175">
        <f>1.182026134</f>
        <v>1.182026134</v>
      </c>
      <c r="DB175">
        <f>1.040608185</f>
        <v>1.040608185</v>
      </c>
      <c r="DC175">
        <f>1.057572753</f>
        <v>1.0575727530000001</v>
      </c>
      <c r="DD175">
        <f>1.4619775</f>
        <v>1.4619774999999999</v>
      </c>
      <c r="DE175">
        <f>1.560568972</f>
        <v>1.560568972</v>
      </c>
      <c r="DF175">
        <f>1.561773317</f>
        <v>1.5617733170000001</v>
      </c>
      <c r="DG175">
        <f>1.390637512</f>
        <v>1.3906375120000001</v>
      </c>
      <c r="DH175">
        <f>1.589586032</f>
        <v>1.5895860319999999</v>
      </c>
      <c r="DI175">
        <f>1.476193647</f>
        <v>1.4761936470000001</v>
      </c>
      <c r="DJ175">
        <f>1.502047587</f>
        <v>1.5020475870000001</v>
      </c>
      <c r="DK175">
        <f>1.682257255</f>
        <v>1.6822572549999999</v>
      </c>
      <c r="DL175">
        <f>1.529108392</f>
        <v>1.5291083919999999</v>
      </c>
      <c r="DM175">
        <f>1.458650914</f>
        <v>1.4586509139999999</v>
      </c>
      <c r="DN175">
        <f>1.709931935</f>
        <v>1.709931935</v>
      </c>
      <c r="DO175">
        <f>1.97905269</f>
        <v>1.9790526900000001</v>
      </c>
      <c r="DP175">
        <f>1.892313858</f>
        <v>1.8923138580000001</v>
      </c>
      <c r="DQ175">
        <f>1.703260101</f>
        <v>1.7032601009999999</v>
      </c>
      <c r="DR175">
        <f>1.482103815</f>
        <v>1.4821038150000001</v>
      </c>
      <c r="DS175">
        <f>1.572997321</f>
        <v>1.5729973209999999</v>
      </c>
      <c r="DT175">
        <f>1.698143987</f>
        <v>1.6981439869999999</v>
      </c>
      <c r="DU175" t="str">
        <f>""</f>
        <v/>
      </c>
    </row>
    <row r="176" spans="1:125" x14ac:dyDescent="0.25">
      <c r="A176" t="str">
        <f>"    Daimler AG"</f>
        <v xml:space="preserve">    Daimler AG</v>
      </c>
      <c r="B176" t="str">
        <f>"DAI GR Equity"</f>
        <v>DAI GR Equity</v>
      </c>
      <c r="C176" t="str">
        <f t="shared" si="12"/>
        <v>RX077</v>
      </c>
      <c r="D176" t="str">
        <f t="shared" si="13"/>
        <v>PX_TO_TANG_BOOK_VAL_PER_SH</v>
      </c>
      <c r="E176" t="str">
        <f t="shared" si="14"/>
        <v>Dynamic</v>
      </c>
      <c r="F176">
        <f ca="1">IF(AND(ISNUMBER($F$846),$B$677=1),$F$846,HLOOKUP(INDIRECT(ADDRESS(2,COLUMN())),OFFSET($BN$2,0,0,ROW()-1,60),ROW()-1,FALSE))</f>
        <v>1.1207255439999999</v>
      </c>
      <c r="G176">
        <f ca="1">IF(AND(ISNUMBER($G$846),$B$677=1),$G$846,HLOOKUP(INDIRECT(ADDRESS(2,COLUMN())),OFFSET($BN$2,0,0,ROW()-1,60),ROW()-1,FALSE))</f>
        <v>0.98511410600000004</v>
      </c>
      <c r="H176">
        <f ca="1">IF(AND(ISNUMBER($H$846),$B$677=1),$H$846,HLOOKUP(INDIRECT(ADDRESS(2,COLUMN())),OFFSET($BN$2,0,0,ROW()-1,60),ROW()-1,FALSE))</f>
        <v>1.1710624599999999</v>
      </c>
      <c r="I176">
        <f ca="1">IF(AND(ISNUMBER($I$846),$B$677=1),$I$846,HLOOKUP(INDIRECT(ADDRESS(2,COLUMN())),OFFSET($BN$2,0,0,ROW()-1,60),ROW()-1,FALSE))</f>
        <v>1.2110984849999999</v>
      </c>
      <c r="J176">
        <f ca="1">IF(AND(ISNUMBER($J$846),$B$677=1),$J$846,HLOOKUP(INDIRECT(ADDRESS(2,COLUMN())),OFFSET($BN$2,0,0,ROW()-1,60),ROW()-1,FALSE))</f>
        <v>1.4340371300000001</v>
      </c>
      <c r="K176">
        <f ca="1">IF(AND(ISNUMBER($K$846),$B$677=1),$K$846,HLOOKUP(INDIRECT(ADDRESS(2,COLUMN())),OFFSET($BN$2,0,0,ROW()-1,60),ROW()-1,FALSE))</f>
        <v>1.5110703320000001</v>
      </c>
      <c r="L176">
        <f ca="1">IF(AND(ISNUMBER($L$846),$B$677=1),$L$846,HLOOKUP(INDIRECT(ADDRESS(2,COLUMN())),OFFSET($BN$2,0,0,ROW()-1,60),ROW()-1,FALSE))</f>
        <v>1.4922906680000001</v>
      </c>
      <c r="M176">
        <f ca="1">IF(AND(ISNUMBER($M$846),$B$677=1),$M$846,HLOOKUP(INDIRECT(ADDRESS(2,COLUMN())),OFFSET($BN$2,0,0,ROW()-1,60),ROW()-1,FALSE))</f>
        <v>1.4563370920000001</v>
      </c>
      <c r="N176">
        <f ca="1">IF(AND(ISNUMBER($N$846),$B$677=1),$N$846,HLOOKUP(INDIRECT(ADDRESS(2,COLUMN())),OFFSET($BN$2,0,0,ROW()-1,60),ROW()-1,FALSE))</f>
        <v>1.6465611170000001</v>
      </c>
      <c r="O176">
        <f ca="1">IF(AND(ISNUMBER($O$846),$B$677=1),$O$846,HLOOKUP(INDIRECT(ADDRESS(2,COLUMN())),OFFSET($BN$2,0,0,ROW()-1,60),ROW()-1,FALSE))</f>
        <v>1.650318416</v>
      </c>
      <c r="P176">
        <f ca="1">IF(AND(ISNUMBER($P$846),$B$677=1),$P$846,HLOOKUP(INDIRECT(ADDRESS(2,COLUMN())),OFFSET($BN$2,0,0,ROW()-1,60),ROW()-1,FALSE))</f>
        <v>1.5704635929999999</v>
      </c>
      <c r="Q176">
        <f ca="1">IF(AND(ISNUMBER($Q$846),$B$677=1),$Q$846,HLOOKUP(INDIRECT(ADDRESS(2,COLUMN())),OFFSET($BN$2,0,0,ROW()-1,60),ROW()-1,FALSE))</f>
        <v>1.4191900310000001</v>
      </c>
      <c r="R176">
        <f ca="1">IF(AND(ISNUMBER($R$846),$B$677=1),$R$846,HLOOKUP(INDIRECT(ADDRESS(2,COLUMN())),OFFSET($BN$2,0,0,ROW()-1,60),ROW()-1,FALSE))</f>
        <v>1.6627861230000001</v>
      </c>
      <c r="S176">
        <f ca="1">IF(AND(ISNUMBER($S$846),$B$677=1),$S$846,HLOOKUP(INDIRECT(ADDRESS(2,COLUMN())),OFFSET($BN$2,0,0,ROW()-1,60),ROW()-1,FALSE))</f>
        <v>1.90864067</v>
      </c>
      <c r="T176">
        <f ca="1">IF(AND(ISNUMBER($T$846),$B$677=1),$T$846,HLOOKUP(INDIRECT(ADDRESS(2,COLUMN())),OFFSET($BN$2,0,0,ROW()-1,60),ROW()-1,FALSE))</f>
        <v>1.736198197</v>
      </c>
      <c r="U176">
        <f ca="1">IF(AND(ISNUMBER($U$846),$B$677=1),$U$846,HLOOKUP(INDIRECT(ADDRESS(2,COLUMN())),OFFSET($BN$2,0,0,ROW()-1,60),ROW()-1,FALSE))</f>
        <v>2.2622122340000002</v>
      </c>
      <c r="V176">
        <f ca="1">IF(AND(ISNUMBER($V$846),$B$677=1),$V$846,HLOOKUP(INDIRECT(ADDRESS(2,COLUMN())),OFFSET($BN$2,0,0,ROW()-1,60),ROW()-1,FALSE))</f>
        <v>2.668200417</v>
      </c>
      <c r="W176">
        <f ca="1">IF(AND(ISNUMBER($W$846),$B$677=1),$W$846,HLOOKUP(INDIRECT(ADDRESS(2,COLUMN())),OFFSET($BN$2,0,0,ROW()-1,60),ROW()-1,FALSE))</f>
        <v>2.1516677359999998</v>
      </c>
      <c r="X176">
        <f ca="1">IF(AND(ISNUMBER($X$846),$B$677=1),$X$846,HLOOKUP(INDIRECT(ADDRESS(2,COLUMN())),OFFSET($BN$2,0,0,ROW()-1,60),ROW()-1,FALSE))</f>
        <v>1.8487805829999999</v>
      </c>
      <c r="Y176">
        <f ca="1">IF(AND(ISNUMBER($Y$846),$B$677=1),$Y$846,HLOOKUP(INDIRECT(ADDRESS(2,COLUMN())),OFFSET($BN$2,0,0,ROW()-1,60),ROW()-1,FALSE))</f>
        <v>2.2307635210000001</v>
      </c>
      <c r="Z176">
        <f ca="1">IF(AND(ISNUMBER($Z$846),$B$677=1),$Z$846,HLOOKUP(INDIRECT(ADDRESS(2,COLUMN())),OFFSET($BN$2,0,0,ROW()-1,60),ROW()-1,FALSE))</f>
        <v>2.2041121619999999</v>
      </c>
      <c r="AA176">
        <f ca="1">IF(AND(ISNUMBER($AA$846),$B$677=1),$AA$846,HLOOKUP(INDIRECT(ADDRESS(2,COLUMN())),OFFSET($BN$2,0,0,ROW()-1,60),ROW()-1,FALSE))</f>
        <v>2.0215967799999999</v>
      </c>
      <c r="AB176">
        <f ca="1">IF(AND(ISNUMBER($AB$846),$B$677=1),$AB$846,HLOOKUP(INDIRECT(ADDRESS(2,COLUMN())),OFFSET($BN$2,0,0,ROW()-1,60),ROW()-1,FALSE))</f>
        <v>1.935728707</v>
      </c>
      <c r="AC176">
        <f ca="1">IF(AND(ISNUMBER($AC$846),$B$677=1),$AC$846,HLOOKUP(INDIRECT(ADDRESS(2,COLUMN())),OFFSET($BN$2,0,0,ROW()-1,60),ROW()-1,FALSE))</f>
        <v>1.6402103109999999</v>
      </c>
      <c r="AD176">
        <f ca="1">IF(AND(ISNUMBER($AD$846),$B$677=1),$AD$846,HLOOKUP(INDIRECT(ADDRESS(2,COLUMN())),OFFSET($BN$2,0,0,ROW()-1,60),ROW()-1,FALSE))</f>
        <v>1.529870831</v>
      </c>
      <c r="AE176">
        <f ca="1">IF(AND(ISNUMBER($AE$846),$B$677=1),$AE$846,HLOOKUP(INDIRECT(ADDRESS(2,COLUMN())),OFFSET($BN$2,0,0,ROW()-1,60),ROW()-1,FALSE))</f>
        <v>1.5200975880000001</v>
      </c>
      <c r="AF176">
        <f ca="1">IF(AND(ISNUMBER($AF$846),$B$677=1),$AF$846,HLOOKUP(INDIRECT(ADDRESS(2,COLUMN())),OFFSET($BN$2,0,0,ROW()-1,60),ROW()-1,FALSE))</f>
        <v>1.2438903539999999</v>
      </c>
      <c r="AG176">
        <f ca="1">IF(AND(ISNUMBER($AG$846),$B$677=1),$AG$846,HLOOKUP(INDIRECT(ADDRESS(2,COLUMN())),OFFSET($BN$2,0,0,ROW()-1,60),ROW()-1,FALSE))</f>
        <v>1.1902195229999999</v>
      </c>
      <c r="AH176">
        <f ca="1">IF(AND(ISNUMBER($AH$846),$B$677=1),$AH$846,HLOOKUP(INDIRECT(ADDRESS(2,COLUMN())),OFFSET($BN$2,0,0,ROW()-1,60),ROW()-1,FALSE))</f>
        <v>1.4661911240000001</v>
      </c>
      <c r="AI176">
        <f ca="1">IF(AND(ISNUMBER($AI$846),$B$677=1),$AI$846,HLOOKUP(INDIRECT(ADDRESS(2,COLUMN())),OFFSET($BN$2,0,0,ROW()-1,60),ROW()-1,FALSE))</f>
        <v>1.153161039</v>
      </c>
      <c r="AJ176">
        <f ca="1">IF(AND(ISNUMBER($AJ$846),$B$677=1),$AJ$846,HLOOKUP(INDIRECT(ADDRESS(2,COLUMN())),OFFSET($BN$2,0,0,ROW()-1,60),ROW()-1,FALSE))</f>
        <v>1.1882054070000001</v>
      </c>
      <c r="AK176">
        <f ca="1">IF(AND(ISNUMBER($AK$846),$B$677=1),$AK$846,HLOOKUP(INDIRECT(ADDRESS(2,COLUMN())),OFFSET($BN$2,0,0,ROW()-1,60),ROW()-1,FALSE))</f>
        <v>1.882663572</v>
      </c>
      <c r="AL176">
        <f ca="1">IF(AND(ISNUMBER($AL$846),$B$677=1),$AL$846,HLOOKUP(INDIRECT(ADDRESS(2,COLUMN())),OFFSET($BN$2,0,0,ROW()-1,60),ROW()-1,FALSE))</f>
        <v>1.808232659</v>
      </c>
      <c r="AM176">
        <f ca="1">IF(AND(ISNUMBER($AM$846),$B$677=1),$AM$846,HLOOKUP(INDIRECT(ADDRESS(2,COLUMN())),OFFSET($BN$2,0,0,ROW()-1,60),ROW()-1,FALSE))</f>
        <v>1.872172296</v>
      </c>
      <c r="AN176">
        <f ca="1">IF(AND(ISNUMBER($AN$846),$B$677=1),$AN$846,HLOOKUP(INDIRECT(ADDRESS(2,COLUMN())),OFFSET($BN$2,0,0,ROW()-1,60),ROW()-1,FALSE))</f>
        <v>1.8229566450000001</v>
      </c>
      <c r="AO176">
        <f ca="1">IF(AND(ISNUMBER($AO$846),$B$677=1),$AO$846,HLOOKUP(INDIRECT(ADDRESS(2,COLUMN())),OFFSET($BN$2,0,0,ROW()-1,60),ROW()-1,FALSE))</f>
        <v>1.7127561689999999</v>
      </c>
      <c r="AP176">
        <f ca="1">IF(AND(ISNUMBER($AP$846),$B$677=1),$AP$846,HLOOKUP(INDIRECT(ADDRESS(2,COLUMN())),OFFSET($BN$2,0,0,ROW()-1,60),ROW()-1,FALSE))</f>
        <v>1.4940844289999999</v>
      </c>
      <c r="AQ176">
        <f ca="1">IF(AND(ISNUMBER($AQ$846),$B$677=1),$AQ$846,HLOOKUP(INDIRECT(ADDRESS(2,COLUMN())),OFFSET($BN$2,0,0,ROW()-1,60),ROW()-1,FALSE))</f>
        <v>1.6218837420000001</v>
      </c>
      <c r="AR176">
        <f ca="1">IF(AND(ISNUMBER($AR$846),$B$677=1),$AR$846,HLOOKUP(INDIRECT(ADDRESS(2,COLUMN())),OFFSET($BN$2,0,0,ROW()-1,60),ROW()-1,FALSE))</f>
        <v>1.4806774439999999</v>
      </c>
      <c r="AS176">
        <f ca="1">IF(AND(ISNUMBER($AS$846),$B$677=1),$AS$846,HLOOKUP(INDIRECT(ADDRESS(2,COLUMN())),OFFSET($BN$2,0,0,ROW()-1,60),ROW()-1,FALSE))</f>
        <v>1.109001685</v>
      </c>
      <c r="AT176">
        <f ca="1">IF(AND(ISNUMBER($AT$846),$B$677=1),$AT$846,HLOOKUP(INDIRECT(ADDRESS(2,COLUMN())),OFFSET($BN$2,0,0,ROW()-1,60),ROW()-1,FALSE))</f>
        <v>0.77630900899999999</v>
      </c>
      <c r="AU176">
        <f ca="1">IF(AND(ISNUMBER($AU$846),$B$677=1),$AU$846,HLOOKUP(INDIRECT(ADDRESS(2,COLUMN())),OFFSET($BN$2,0,0,ROW()-1,60),ROW()-1,FALSE))</f>
        <v>0.98352793999999999</v>
      </c>
      <c r="AV176">
        <f ca="1">IF(AND(ISNUMBER($AV$846),$B$677=1),$AV$846,HLOOKUP(INDIRECT(ADDRESS(2,COLUMN())),OFFSET($BN$2,0,0,ROW()-1,60),ROW()-1,FALSE))</f>
        <v>1.2795294580000001</v>
      </c>
      <c r="AW176">
        <f ca="1">IF(AND(ISNUMBER($AW$846),$B$677=1),$AW$846,HLOOKUP(INDIRECT(ADDRESS(2,COLUMN())),OFFSET($BN$2,0,0,ROW()-1,60),ROW()-1,FALSE))</f>
        <v>1.320491385</v>
      </c>
      <c r="AX176">
        <f ca="1">IF(AND(ISNUMBER($AX$846),$B$677=1),$AX$846,HLOOKUP(INDIRECT(ADDRESS(2,COLUMN())),OFFSET($BN$2,0,0,ROW()-1,60),ROW()-1,FALSE))</f>
        <v>1.845212174</v>
      </c>
      <c r="AY176">
        <f ca="1">IF(AND(ISNUMBER($AY$846),$B$677=1),$AY$846,HLOOKUP(INDIRECT(ADDRESS(2,COLUMN())),OFFSET($BN$2,0,0,ROW()-1,60),ROW()-1,FALSE))</f>
        <v>2.1305711380000001</v>
      </c>
      <c r="AZ176">
        <f ca="1">IF(AND(ISNUMBER($AZ$846),$B$677=1),$AZ$846,HLOOKUP(INDIRECT(ADDRESS(2,COLUMN())),OFFSET($BN$2,0,0,ROW()-1,60),ROW()-1,FALSE))</f>
        <v>2.3222416809999999</v>
      </c>
      <c r="BA176">
        <f ca="1">IF(AND(ISNUMBER($BA$846),$B$677=1),$BA$846,HLOOKUP(INDIRECT(ADDRESS(2,COLUMN())),OFFSET($BN$2,0,0,ROW()-1,60),ROW()-1,FALSE))</f>
        <v>2.0663457539999999</v>
      </c>
      <c r="BB176">
        <f ca="1">IF(AND(ISNUMBER($BB$846),$B$677=1),$BB$846,HLOOKUP(INDIRECT(ADDRESS(2,COLUMN())),OFFSET($BN$2,0,0,ROW()-1,60),ROW()-1,FALSE))</f>
        <v>2.0442242390000001</v>
      </c>
      <c r="BC176">
        <f ca="1">IF(AND(ISNUMBER($BC$846),$B$677=1),$BC$846,HLOOKUP(INDIRECT(ADDRESS(2,COLUMN())),OFFSET($BN$2,0,0,ROW()-1,60),ROW()-1,FALSE))</f>
        <v>1.6483913889999999</v>
      </c>
      <c r="BD176">
        <f ca="1">IF(AND(ISNUMBER($BD$846),$B$677=1),$BD$846,HLOOKUP(INDIRECT(ADDRESS(2,COLUMN())),OFFSET($BN$2,0,0,ROW()-1,60),ROW()-1,FALSE))</f>
        <v>1.260338269</v>
      </c>
      <c r="BE176">
        <f ca="1">IF(AND(ISNUMBER($BE$846),$B$677=1),$BE$846,HLOOKUP(INDIRECT(ADDRESS(2,COLUMN())),OFFSET($BN$2,0,0,ROW()-1,60),ROW()-1,FALSE))</f>
        <v>1.249045881</v>
      </c>
      <c r="BF176">
        <f ca="1">IF(AND(ISNUMBER($BF$846),$B$677=1),$BF$846,HLOOKUP(INDIRECT(ADDRESS(2,COLUMN())),OFFSET($BN$2,0,0,ROW()-1,60),ROW()-1,FALSE))</f>
        <v>1.5317362670000001</v>
      </c>
      <c r="BG176">
        <f ca="1">IF(AND(ISNUMBER($BG$846),$B$677=1),$BG$846,HLOOKUP(INDIRECT(ADDRESS(2,COLUMN())),OFFSET($BN$2,0,0,ROW()-1,60),ROW()-1,FALSE))</f>
        <v>1.399877939</v>
      </c>
      <c r="BH176">
        <f ca="1">IF(AND(ISNUMBER($BH$846),$B$677=1),$BH$846,HLOOKUP(INDIRECT(ADDRESS(2,COLUMN())),OFFSET($BN$2,0,0,ROW()-1,60),ROW()-1,FALSE))</f>
        <v>1.491835507</v>
      </c>
      <c r="BI176">
        <f ca="1">IF(AND(ISNUMBER($BI$846),$B$677=1),$BI$846,HLOOKUP(INDIRECT(ADDRESS(2,COLUMN())),OFFSET($BN$2,0,0,ROW()-1,60),ROW()-1,FALSE))</f>
        <v>1.173328036</v>
      </c>
      <c r="BJ176">
        <f ca="1">IF(AND(ISNUMBER($BJ$846),$B$677=1),$BJ$846,HLOOKUP(INDIRECT(ADDRESS(2,COLUMN())),OFFSET($BN$2,0,0,ROW()-1,60),ROW()-1,FALSE))</f>
        <v>1.1797811730000001</v>
      </c>
      <c r="BK176">
        <f ca="1">IF(AND(ISNUMBER($BK$846),$B$677=1),$BK$846,HLOOKUP(INDIRECT(ADDRESS(2,COLUMN())),OFFSET($BN$2,0,0,ROW()-1,60),ROW()-1,FALSE))</f>
        <v>1.237128242</v>
      </c>
      <c r="BL176">
        <f ca="1">IF(AND(ISNUMBER($BL$846),$B$677=1),$BL$846,HLOOKUP(INDIRECT(ADDRESS(2,COLUMN())),OFFSET($BN$2,0,0,ROW()-1,60),ROW()-1,FALSE))</f>
        <v>1.142988031</v>
      </c>
      <c r="BM176">
        <f ca="1">IF(AND(ISNUMBER($BM$846),$B$677=1),$BM$846,HLOOKUP(INDIRECT(ADDRESS(2,COLUMN())),OFFSET($BN$2,0,0,ROW()-1,60),ROW()-1,FALSE))</f>
        <v>1.3356492550000001</v>
      </c>
      <c r="BN176">
        <f>1.120725544</f>
        <v>1.1207255439999999</v>
      </c>
      <c r="BO176">
        <f>0.985114106</f>
        <v>0.98511410600000004</v>
      </c>
      <c r="BP176">
        <f>1.17106246</f>
        <v>1.1710624599999999</v>
      </c>
      <c r="BQ176">
        <f>1.211098485</f>
        <v>1.2110984849999999</v>
      </c>
      <c r="BR176">
        <f>1.43403713</f>
        <v>1.4340371300000001</v>
      </c>
      <c r="BS176">
        <f>1.511070332</f>
        <v>1.5110703320000001</v>
      </c>
      <c r="BT176">
        <f>1.492290668</f>
        <v>1.4922906680000001</v>
      </c>
      <c r="BU176">
        <f>1.456337092</f>
        <v>1.4563370920000001</v>
      </c>
      <c r="BV176">
        <f>1.646561117</f>
        <v>1.6465611170000001</v>
      </c>
      <c r="BW176">
        <f>1.650318416</f>
        <v>1.650318416</v>
      </c>
      <c r="BX176">
        <f>1.570463593</f>
        <v>1.5704635929999999</v>
      </c>
      <c r="BY176">
        <f>1.419190031</f>
        <v>1.4191900310000001</v>
      </c>
      <c r="BZ176">
        <f>1.662786123</f>
        <v>1.6627861230000001</v>
      </c>
      <c r="CA176">
        <f>1.90864067</f>
        <v>1.90864067</v>
      </c>
      <c r="CB176">
        <f>1.736198197</f>
        <v>1.736198197</v>
      </c>
      <c r="CC176">
        <f>2.262212234</f>
        <v>2.2622122340000002</v>
      </c>
      <c r="CD176">
        <f>2.668200417</f>
        <v>2.668200417</v>
      </c>
      <c r="CE176">
        <f>2.151667736</f>
        <v>2.1516677359999998</v>
      </c>
      <c r="CF176">
        <f>1.848780583</f>
        <v>1.8487805829999999</v>
      </c>
      <c r="CG176">
        <f>2.230763521</f>
        <v>2.2307635210000001</v>
      </c>
      <c r="CH176">
        <f>2.204112162</f>
        <v>2.2041121619999999</v>
      </c>
      <c r="CI176">
        <f>2.02159678</f>
        <v>2.0215967799999999</v>
      </c>
      <c r="CJ176">
        <f>1.935728707</f>
        <v>1.935728707</v>
      </c>
      <c r="CK176">
        <f>1.640210311</f>
        <v>1.6402103109999999</v>
      </c>
      <c r="CL176">
        <f>1.529870831</f>
        <v>1.529870831</v>
      </c>
      <c r="CM176">
        <f>1.520097588</f>
        <v>1.5200975880000001</v>
      </c>
      <c r="CN176">
        <f>1.243890354</f>
        <v>1.2438903539999999</v>
      </c>
      <c r="CO176">
        <f>1.190219523</f>
        <v>1.1902195229999999</v>
      </c>
      <c r="CP176">
        <f>1.466191124</f>
        <v>1.4661911240000001</v>
      </c>
      <c r="CQ176">
        <f>1.153161039</f>
        <v>1.153161039</v>
      </c>
      <c r="CR176">
        <f>1.188205407</f>
        <v>1.1882054070000001</v>
      </c>
      <c r="CS176">
        <f>1.882663572</f>
        <v>1.882663572</v>
      </c>
      <c r="CT176">
        <f>1.808232659</f>
        <v>1.808232659</v>
      </c>
      <c r="CU176">
        <f>1.872172296</f>
        <v>1.872172296</v>
      </c>
      <c r="CV176">
        <f>1.822956645</f>
        <v>1.8229566450000001</v>
      </c>
      <c r="CW176">
        <f>1.712756169</f>
        <v>1.7127561689999999</v>
      </c>
      <c r="CX176">
        <f>1.494084429</f>
        <v>1.4940844289999999</v>
      </c>
      <c r="CY176">
        <f>1.621883742</f>
        <v>1.6218837420000001</v>
      </c>
      <c r="CZ176">
        <f>1.480677444</f>
        <v>1.4806774439999999</v>
      </c>
      <c r="DA176">
        <f>1.109001685</f>
        <v>1.109001685</v>
      </c>
      <c r="DB176">
        <f>0.776309009</f>
        <v>0.77630900899999999</v>
      </c>
      <c r="DC176">
        <f>0.98352794</f>
        <v>0.98352793999999999</v>
      </c>
      <c r="DD176">
        <f>1.279529458</f>
        <v>1.2795294580000001</v>
      </c>
      <c r="DE176">
        <f>1.320491385</f>
        <v>1.320491385</v>
      </c>
      <c r="DF176">
        <f>1.845212174</f>
        <v>1.845212174</v>
      </c>
      <c r="DG176">
        <f>2.130571138</f>
        <v>2.1305711380000001</v>
      </c>
      <c r="DH176">
        <f>2.322241681</f>
        <v>2.3222416809999999</v>
      </c>
      <c r="DI176">
        <f>2.066345754</f>
        <v>2.0663457539999999</v>
      </c>
      <c r="DJ176">
        <f>2.044224239</f>
        <v>2.0442242390000001</v>
      </c>
      <c r="DK176">
        <f>1.648391389</f>
        <v>1.6483913889999999</v>
      </c>
      <c r="DL176">
        <f>1.260338269</f>
        <v>1.260338269</v>
      </c>
      <c r="DM176">
        <f>1.249045881</f>
        <v>1.249045881</v>
      </c>
      <c r="DN176">
        <f>1.531736267</f>
        <v>1.5317362670000001</v>
      </c>
      <c r="DO176">
        <f>1.399877939</f>
        <v>1.399877939</v>
      </c>
      <c r="DP176">
        <f>1.491835507</f>
        <v>1.491835507</v>
      </c>
      <c r="DQ176">
        <f>1.173328036</f>
        <v>1.173328036</v>
      </c>
      <c r="DR176">
        <f>1.179781173</f>
        <v>1.1797811730000001</v>
      </c>
      <c r="DS176">
        <f>1.237128242</f>
        <v>1.237128242</v>
      </c>
      <c r="DT176">
        <f>1.142988031</f>
        <v>1.142988031</v>
      </c>
      <c r="DU176">
        <f>1.335649255</f>
        <v>1.3356492550000001</v>
      </c>
    </row>
    <row r="177" spans="1:125" x14ac:dyDescent="0.25">
      <c r="A177" t="str">
        <f>"    Dongfeng Motor Group Co Ltd"</f>
        <v xml:space="preserve">    Dongfeng Motor Group Co Ltd</v>
      </c>
      <c r="B177" t="str">
        <f>"489 HK Equity"</f>
        <v>489 HK Equity</v>
      </c>
      <c r="C177" t="str">
        <f t="shared" si="12"/>
        <v>RX077</v>
      </c>
      <c r="D177" t="str">
        <f t="shared" si="13"/>
        <v>PX_TO_TANG_BOOK_VAL_PER_SH</v>
      </c>
      <c r="E177" t="str">
        <f t="shared" si="14"/>
        <v>Dynamic</v>
      </c>
      <c r="F177" t="str">
        <f ca="1">IF(AND(ISNUMBER($F$847),$B$677=1),$F$847,HLOOKUP(INDIRECT(ADDRESS(2,COLUMN())),OFFSET($BN$2,0,0,ROW()-1,60),ROW()-1,FALSE))</f>
        <v/>
      </c>
      <c r="G177" t="str">
        <f ca="1">IF(AND(ISNUMBER($G$847),$B$677=1),$G$847,HLOOKUP(INDIRECT(ADDRESS(2,COLUMN())),OFFSET($BN$2,0,0,ROW()-1,60),ROW()-1,FALSE))</f>
        <v/>
      </c>
      <c r="H177" t="str">
        <f ca="1">IF(AND(ISNUMBER($H$847),$B$677=1),$H$847,HLOOKUP(INDIRECT(ADDRESS(2,COLUMN())),OFFSET($BN$2,0,0,ROW()-1,60),ROW()-1,FALSE))</f>
        <v/>
      </c>
      <c r="I177" t="str">
        <f ca="1">IF(AND(ISNUMBER($I$847),$B$677=1),$I$847,HLOOKUP(INDIRECT(ADDRESS(2,COLUMN())),OFFSET($BN$2,0,0,ROW()-1,60),ROW()-1,FALSE))</f>
        <v/>
      </c>
      <c r="J177" t="str">
        <f ca="1">IF(AND(ISNUMBER($J$847),$B$677=1),$J$847,HLOOKUP(INDIRECT(ADDRESS(2,COLUMN())),OFFSET($BN$2,0,0,ROW()-1,60),ROW()-1,FALSE))</f>
        <v/>
      </c>
      <c r="K177" t="str">
        <f ca="1">IF(AND(ISNUMBER($K$847),$B$677=1),$K$847,HLOOKUP(INDIRECT(ADDRESS(2,COLUMN())),OFFSET($BN$2,0,0,ROW()-1,60),ROW()-1,FALSE))</f>
        <v/>
      </c>
      <c r="L177" t="str">
        <f ca="1">IF(AND(ISNUMBER($L$847),$B$677=1),$L$847,HLOOKUP(INDIRECT(ADDRESS(2,COLUMN())),OFFSET($BN$2,0,0,ROW()-1,60),ROW()-1,FALSE))</f>
        <v/>
      </c>
      <c r="M177" t="str">
        <f ca="1">IF(AND(ISNUMBER($M$847),$B$677=1),$M$847,HLOOKUP(INDIRECT(ADDRESS(2,COLUMN())),OFFSET($BN$2,0,0,ROW()-1,60),ROW()-1,FALSE))</f>
        <v/>
      </c>
      <c r="N177" t="str">
        <f ca="1">IF(AND(ISNUMBER($N$847),$B$677=1),$N$847,HLOOKUP(INDIRECT(ADDRESS(2,COLUMN())),OFFSET($BN$2,0,0,ROW()-1,60),ROW()-1,FALSE))</f>
        <v/>
      </c>
      <c r="O177" t="str">
        <f ca="1">IF(AND(ISNUMBER($O$847),$B$677=1),$O$847,HLOOKUP(INDIRECT(ADDRESS(2,COLUMN())),OFFSET($BN$2,0,0,ROW()-1,60),ROW()-1,FALSE))</f>
        <v/>
      </c>
      <c r="P177" t="str">
        <f ca="1">IF(AND(ISNUMBER($P$847),$B$677=1),$P$847,HLOOKUP(INDIRECT(ADDRESS(2,COLUMN())),OFFSET($BN$2,0,0,ROW()-1,60),ROW()-1,FALSE))</f>
        <v/>
      </c>
      <c r="Q177" t="str">
        <f ca="1">IF(AND(ISNUMBER($Q$847),$B$677=1),$Q$847,HLOOKUP(INDIRECT(ADDRESS(2,COLUMN())),OFFSET($BN$2,0,0,ROW()-1,60),ROW()-1,FALSE))</f>
        <v/>
      </c>
      <c r="R177" t="str">
        <f ca="1">IF(AND(ISNUMBER($R$847),$B$677=1),$R$847,HLOOKUP(INDIRECT(ADDRESS(2,COLUMN())),OFFSET($BN$2,0,0,ROW()-1,60),ROW()-1,FALSE))</f>
        <v/>
      </c>
      <c r="S177" t="str">
        <f ca="1">IF(AND(ISNUMBER($S$847),$B$677=1),$S$847,HLOOKUP(INDIRECT(ADDRESS(2,COLUMN())),OFFSET($BN$2,0,0,ROW()-1,60),ROW()-1,FALSE))</f>
        <v/>
      </c>
      <c r="T177" t="str">
        <f ca="1">IF(AND(ISNUMBER($T$847),$B$677=1),$T$847,HLOOKUP(INDIRECT(ADDRESS(2,COLUMN())),OFFSET($BN$2,0,0,ROW()-1,60),ROW()-1,FALSE))</f>
        <v/>
      </c>
      <c r="U177" t="str">
        <f ca="1">IF(AND(ISNUMBER($U$847),$B$677=1),$U$847,HLOOKUP(INDIRECT(ADDRESS(2,COLUMN())),OFFSET($BN$2,0,0,ROW()-1,60),ROW()-1,FALSE))</f>
        <v/>
      </c>
      <c r="V177" t="str">
        <f ca="1">IF(AND(ISNUMBER($V$847),$B$677=1),$V$847,HLOOKUP(INDIRECT(ADDRESS(2,COLUMN())),OFFSET($BN$2,0,0,ROW()-1,60),ROW()-1,FALSE))</f>
        <v/>
      </c>
      <c r="W177" t="str">
        <f ca="1">IF(AND(ISNUMBER($W$847),$B$677=1),$W$847,HLOOKUP(INDIRECT(ADDRESS(2,COLUMN())),OFFSET($BN$2,0,0,ROW()-1,60),ROW()-1,FALSE))</f>
        <v/>
      </c>
      <c r="X177" t="str">
        <f ca="1">IF(AND(ISNUMBER($X$847),$B$677=1),$X$847,HLOOKUP(INDIRECT(ADDRESS(2,COLUMN())),OFFSET($BN$2,0,0,ROW()-1,60),ROW()-1,FALSE))</f>
        <v/>
      </c>
      <c r="Y177" t="str">
        <f ca="1">IF(AND(ISNUMBER($Y$847),$B$677=1),$Y$847,HLOOKUP(INDIRECT(ADDRESS(2,COLUMN())),OFFSET($BN$2,0,0,ROW()-1,60),ROW()-1,FALSE))</f>
        <v/>
      </c>
      <c r="Z177" t="str">
        <f ca="1">IF(AND(ISNUMBER($Z$847),$B$677=1),$Z$847,HLOOKUP(INDIRECT(ADDRESS(2,COLUMN())),OFFSET($BN$2,0,0,ROW()-1,60),ROW()-1,FALSE))</f>
        <v/>
      </c>
      <c r="AA177" t="str">
        <f ca="1">IF(AND(ISNUMBER($AA$847),$B$677=1),$AA$847,HLOOKUP(INDIRECT(ADDRESS(2,COLUMN())),OFFSET($BN$2,0,0,ROW()-1,60),ROW()-1,FALSE))</f>
        <v/>
      </c>
      <c r="AB177" t="str">
        <f ca="1">IF(AND(ISNUMBER($AB$847),$B$677=1),$AB$847,HLOOKUP(INDIRECT(ADDRESS(2,COLUMN())),OFFSET($BN$2,0,0,ROW()-1,60),ROW()-1,FALSE))</f>
        <v/>
      </c>
      <c r="AC177" t="str">
        <f ca="1">IF(AND(ISNUMBER($AC$847),$B$677=1),$AC$847,HLOOKUP(INDIRECT(ADDRESS(2,COLUMN())),OFFSET($BN$2,0,0,ROW()-1,60),ROW()-1,FALSE))</f>
        <v/>
      </c>
      <c r="AD177" t="str">
        <f ca="1">IF(AND(ISNUMBER($AD$847),$B$677=1),$AD$847,HLOOKUP(INDIRECT(ADDRESS(2,COLUMN())),OFFSET($BN$2,0,0,ROW()-1,60),ROW()-1,FALSE))</f>
        <v/>
      </c>
      <c r="AE177" t="str">
        <f ca="1">IF(AND(ISNUMBER($AE$847),$B$677=1),$AE$847,HLOOKUP(INDIRECT(ADDRESS(2,COLUMN())),OFFSET($BN$2,0,0,ROW()-1,60),ROW()-1,FALSE))</f>
        <v/>
      </c>
      <c r="AF177" t="str">
        <f ca="1">IF(AND(ISNUMBER($AF$847),$B$677=1),$AF$847,HLOOKUP(INDIRECT(ADDRESS(2,COLUMN())),OFFSET($BN$2,0,0,ROW()-1,60),ROW()-1,FALSE))</f>
        <v/>
      </c>
      <c r="AG177" t="str">
        <f ca="1">IF(AND(ISNUMBER($AG$847),$B$677=1),$AG$847,HLOOKUP(INDIRECT(ADDRESS(2,COLUMN())),OFFSET($BN$2,0,0,ROW()-1,60),ROW()-1,FALSE))</f>
        <v/>
      </c>
      <c r="AH177" t="str">
        <f ca="1">IF(AND(ISNUMBER($AH$847),$B$677=1),$AH$847,HLOOKUP(INDIRECT(ADDRESS(2,COLUMN())),OFFSET($BN$2,0,0,ROW()-1,60),ROW()-1,FALSE))</f>
        <v/>
      </c>
      <c r="AI177" t="str">
        <f ca="1">IF(AND(ISNUMBER($AI$847),$B$677=1),$AI$847,HLOOKUP(INDIRECT(ADDRESS(2,COLUMN())),OFFSET($BN$2,0,0,ROW()-1,60),ROW()-1,FALSE))</f>
        <v/>
      </c>
      <c r="AJ177" t="str">
        <f ca="1">IF(AND(ISNUMBER($AJ$847),$B$677=1),$AJ$847,HLOOKUP(INDIRECT(ADDRESS(2,COLUMN())),OFFSET($BN$2,0,0,ROW()-1,60),ROW()-1,FALSE))</f>
        <v/>
      </c>
      <c r="AK177" t="str">
        <f ca="1">IF(AND(ISNUMBER($AK$847),$B$677=1),$AK$847,HLOOKUP(INDIRECT(ADDRESS(2,COLUMN())),OFFSET($BN$2,0,0,ROW()-1,60),ROW()-1,FALSE))</f>
        <v/>
      </c>
      <c r="AL177" t="str">
        <f ca="1">IF(AND(ISNUMBER($AL$847),$B$677=1),$AL$847,HLOOKUP(INDIRECT(ADDRESS(2,COLUMN())),OFFSET($BN$2,0,0,ROW()-1,60),ROW()-1,FALSE))</f>
        <v/>
      </c>
      <c r="AM177" t="str">
        <f ca="1">IF(AND(ISNUMBER($AM$847),$B$677=1),$AM$847,HLOOKUP(INDIRECT(ADDRESS(2,COLUMN())),OFFSET($BN$2,0,0,ROW()-1,60),ROW()-1,FALSE))</f>
        <v/>
      </c>
      <c r="AN177" t="str">
        <f ca="1">IF(AND(ISNUMBER($AN$847),$B$677=1),$AN$847,HLOOKUP(INDIRECT(ADDRESS(2,COLUMN())),OFFSET($BN$2,0,0,ROW()-1,60),ROW()-1,FALSE))</f>
        <v/>
      </c>
      <c r="AO177" t="str">
        <f ca="1">IF(AND(ISNUMBER($AO$847),$B$677=1),$AO$847,HLOOKUP(INDIRECT(ADDRESS(2,COLUMN())),OFFSET($BN$2,0,0,ROW()-1,60),ROW()-1,FALSE))</f>
        <v/>
      </c>
      <c r="AP177" t="str">
        <f ca="1">IF(AND(ISNUMBER($AP$847),$B$677=1),$AP$847,HLOOKUP(INDIRECT(ADDRESS(2,COLUMN())),OFFSET($BN$2,0,0,ROW()-1,60),ROW()-1,FALSE))</f>
        <v/>
      </c>
      <c r="AQ177" t="str">
        <f ca="1">IF(AND(ISNUMBER($AQ$847),$B$677=1),$AQ$847,HLOOKUP(INDIRECT(ADDRESS(2,COLUMN())),OFFSET($BN$2,0,0,ROW()-1,60),ROW()-1,FALSE))</f>
        <v/>
      </c>
      <c r="AR177" t="str">
        <f ca="1">IF(AND(ISNUMBER($AR$847),$B$677=1),$AR$847,HLOOKUP(INDIRECT(ADDRESS(2,COLUMN())),OFFSET($BN$2,0,0,ROW()-1,60),ROW()-1,FALSE))</f>
        <v/>
      </c>
      <c r="AS177" t="str">
        <f ca="1">IF(AND(ISNUMBER($AS$847),$B$677=1),$AS$847,HLOOKUP(INDIRECT(ADDRESS(2,COLUMN())),OFFSET($BN$2,0,0,ROW()-1,60),ROW()-1,FALSE))</f>
        <v/>
      </c>
      <c r="AT177" t="str">
        <f ca="1">IF(AND(ISNUMBER($AT$847),$B$677=1),$AT$847,HLOOKUP(INDIRECT(ADDRESS(2,COLUMN())),OFFSET($BN$2,0,0,ROW()-1,60),ROW()-1,FALSE))</f>
        <v/>
      </c>
      <c r="AU177" t="str">
        <f ca="1">IF(AND(ISNUMBER($AU$847),$B$677=1),$AU$847,HLOOKUP(INDIRECT(ADDRESS(2,COLUMN())),OFFSET($BN$2,0,0,ROW()-1,60),ROW()-1,FALSE))</f>
        <v/>
      </c>
      <c r="AV177" t="str">
        <f ca="1">IF(AND(ISNUMBER($AV$847),$B$677=1),$AV$847,HLOOKUP(INDIRECT(ADDRESS(2,COLUMN())),OFFSET($BN$2,0,0,ROW()-1,60),ROW()-1,FALSE))</f>
        <v/>
      </c>
      <c r="AW177" t="str">
        <f ca="1">IF(AND(ISNUMBER($AW$847),$B$677=1),$AW$847,HLOOKUP(INDIRECT(ADDRESS(2,COLUMN())),OFFSET($BN$2,0,0,ROW()-1,60),ROW()-1,FALSE))</f>
        <v/>
      </c>
      <c r="AX177" t="str">
        <f ca="1">IF(AND(ISNUMBER($AX$847),$B$677=1),$AX$847,HLOOKUP(INDIRECT(ADDRESS(2,COLUMN())),OFFSET($BN$2,0,0,ROW()-1,60),ROW()-1,FALSE))</f>
        <v/>
      </c>
      <c r="AY177" t="str">
        <f ca="1">IF(AND(ISNUMBER($AY$847),$B$677=1),$AY$847,HLOOKUP(INDIRECT(ADDRESS(2,COLUMN())),OFFSET($BN$2,0,0,ROW()-1,60),ROW()-1,FALSE))</f>
        <v/>
      </c>
      <c r="AZ177" t="str">
        <f ca="1">IF(AND(ISNUMBER($AZ$847),$B$677=1),$AZ$847,HLOOKUP(INDIRECT(ADDRESS(2,COLUMN())),OFFSET($BN$2,0,0,ROW()-1,60),ROW()-1,FALSE))</f>
        <v/>
      </c>
      <c r="BA177" t="str">
        <f ca="1">IF(AND(ISNUMBER($BA$847),$B$677=1),$BA$847,HLOOKUP(INDIRECT(ADDRESS(2,COLUMN())),OFFSET($BN$2,0,0,ROW()-1,60),ROW()-1,FALSE))</f>
        <v/>
      </c>
      <c r="BB177" t="str">
        <f ca="1">IF(AND(ISNUMBER($BB$847),$B$677=1),$BB$847,HLOOKUP(INDIRECT(ADDRESS(2,COLUMN())),OFFSET($BN$2,0,0,ROW()-1,60),ROW()-1,FALSE))</f>
        <v/>
      </c>
      <c r="BC177" t="str">
        <f ca="1">IF(AND(ISNUMBER($BC$847),$B$677=1),$BC$847,HLOOKUP(INDIRECT(ADDRESS(2,COLUMN())),OFFSET($BN$2,0,0,ROW()-1,60),ROW()-1,FALSE))</f>
        <v/>
      </c>
      <c r="BD177" t="str">
        <f ca="1">IF(AND(ISNUMBER($BD$847),$B$677=1),$BD$847,HLOOKUP(INDIRECT(ADDRESS(2,COLUMN())),OFFSET($BN$2,0,0,ROW()-1,60),ROW()-1,FALSE))</f>
        <v/>
      </c>
      <c r="BE177" t="str">
        <f ca="1">IF(AND(ISNUMBER($BE$847),$B$677=1),$BE$847,HLOOKUP(INDIRECT(ADDRESS(2,COLUMN())),OFFSET($BN$2,0,0,ROW()-1,60),ROW()-1,FALSE))</f>
        <v/>
      </c>
      <c r="BF177" t="str">
        <f ca="1">IF(AND(ISNUMBER($BF$847),$B$677=1),$BF$847,HLOOKUP(INDIRECT(ADDRESS(2,COLUMN())),OFFSET($BN$2,0,0,ROW()-1,60),ROW()-1,FALSE))</f>
        <v/>
      </c>
      <c r="BG177" t="str">
        <f ca="1">IF(AND(ISNUMBER($BG$847),$B$677=1),$BG$847,HLOOKUP(INDIRECT(ADDRESS(2,COLUMN())),OFFSET($BN$2,0,0,ROW()-1,60),ROW()-1,FALSE))</f>
        <v/>
      </c>
      <c r="BH177" t="str">
        <f ca="1">IF(AND(ISNUMBER($BH$847),$B$677=1),$BH$847,HLOOKUP(INDIRECT(ADDRESS(2,COLUMN())),OFFSET($BN$2,0,0,ROW()-1,60),ROW()-1,FALSE))</f>
        <v/>
      </c>
      <c r="BI177" t="str">
        <f ca="1">IF(AND(ISNUMBER($BI$847),$B$677=1),$BI$847,HLOOKUP(INDIRECT(ADDRESS(2,COLUMN())),OFFSET($BN$2,0,0,ROW()-1,60),ROW()-1,FALSE))</f>
        <v/>
      </c>
      <c r="BJ177" t="str">
        <f ca="1">IF(AND(ISNUMBER($BJ$847),$B$677=1),$BJ$847,HLOOKUP(INDIRECT(ADDRESS(2,COLUMN())),OFFSET($BN$2,0,0,ROW()-1,60),ROW()-1,FALSE))</f>
        <v/>
      </c>
      <c r="BK177" t="str">
        <f ca="1">IF(AND(ISNUMBER($BK$847),$B$677=1),$BK$847,HLOOKUP(INDIRECT(ADDRESS(2,COLUMN())),OFFSET($BN$2,0,0,ROW()-1,60),ROW()-1,FALSE))</f>
        <v/>
      </c>
      <c r="BL177" t="str">
        <f ca="1">IF(AND(ISNUMBER($BL$847),$B$677=1),$BL$847,HLOOKUP(INDIRECT(ADDRESS(2,COLUMN())),OFFSET($BN$2,0,0,ROW()-1,60),ROW()-1,FALSE))</f>
        <v/>
      </c>
      <c r="BM177" t="str">
        <f ca="1">IF(AND(ISNUMBER($BM$847),$B$677=1),$BM$847,HLOOKUP(INDIRECT(ADDRESS(2,COLUMN())),OFFSET($BN$2,0,0,ROW()-1,60),ROW()-1,FALSE))</f>
        <v/>
      </c>
      <c r="BN177" t="str">
        <f>""</f>
        <v/>
      </c>
      <c r="BO177" t="str">
        <f>""</f>
        <v/>
      </c>
      <c r="BP177" t="str">
        <f>""</f>
        <v/>
      </c>
      <c r="BQ177" t="str">
        <f>""</f>
        <v/>
      </c>
      <c r="BR177" t="str">
        <f>""</f>
        <v/>
      </c>
      <c r="BS177" t="str">
        <f>""</f>
        <v/>
      </c>
      <c r="BT177" t="str">
        <f>""</f>
        <v/>
      </c>
      <c r="BU177" t="str">
        <f>""</f>
        <v/>
      </c>
      <c r="BV177" t="str">
        <f>""</f>
        <v/>
      </c>
      <c r="BW177" t="str">
        <f>""</f>
        <v/>
      </c>
      <c r="BX177" t="str">
        <f>""</f>
        <v/>
      </c>
      <c r="BY177" t="str">
        <f>""</f>
        <v/>
      </c>
      <c r="BZ177" t="str">
        <f>""</f>
        <v/>
      </c>
      <c r="CA177" t="str">
        <f>""</f>
        <v/>
      </c>
      <c r="CB177" t="str">
        <f>""</f>
        <v/>
      </c>
      <c r="CC177" t="str">
        <f>""</f>
        <v/>
      </c>
      <c r="CD177" t="str">
        <f>""</f>
        <v/>
      </c>
      <c r="CE177" t="str">
        <f>""</f>
        <v/>
      </c>
      <c r="CF177" t="str">
        <f>""</f>
        <v/>
      </c>
      <c r="CG177" t="str">
        <f>""</f>
        <v/>
      </c>
      <c r="CH177" t="str">
        <f>""</f>
        <v/>
      </c>
      <c r="CI177" t="str">
        <f>""</f>
        <v/>
      </c>
      <c r="CJ177" t="str">
        <f>""</f>
        <v/>
      </c>
      <c r="CK177" t="str">
        <f>""</f>
        <v/>
      </c>
      <c r="CL177" t="str">
        <f>""</f>
        <v/>
      </c>
      <c r="CM177" t="str">
        <f>""</f>
        <v/>
      </c>
      <c r="CN177" t="str">
        <f>""</f>
        <v/>
      </c>
      <c r="CO177" t="str">
        <f>""</f>
        <v/>
      </c>
      <c r="CP177" t="str">
        <f>""</f>
        <v/>
      </c>
      <c r="CQ177" t="str">
        <f>""</f>
        <v/>
      </c>
      <c r="CR177" t="str">
        <f>""</f>
        <v/>
      </c>
      <c r="CS177" t="str">
        <f>""</f>
        <v/>
      </c>
      <c r="CT177" t="str">
        <f>""</f>
        <v/>
      </c>
      <c r="CU177" t="str">
        <f>""</f>
        <v/>
      </c>
      <c r="CV177" t="str">
        <f>""</f>
        <v/>
      </c>
      <c r="CW177" t="str">
        <f>""</f>
        <v/>
      </c>
      <c r="CX177" t="str">
        <f>""</f>
        <v/>
      </c>
      <c r="CY177" t="str">
        <f>""</f>
        <v/>
      </c>
      <c r="CZ177" t="str">
        <f>""</f>
        <v/>
      </c>
      <c r="DA177" t="str">
        <f>""</f>
        <v/>
      </c>
      <c r="DB177" t="str">
        <f>""</f>
        <v/>
      </c>
      <c r="DC177" t="str">
        <f>""</f>
        <v/>
      </c>
      <c r="DD177" t="str">
        <f>""</f>
        <v/>
      </c>
      <c r="DE177" t="str">
        <f>""</f>
        <v/>
      </c>
      <c r="DF177" t="str">
        <f>""</f>
        <v/>
      </c>
      <c r="DG177" t="str">
        <f>""</f>
        <v/>
      </c>
      <c r="DH177" t="str">
        <f>""</f>
        <v/>
      </c>
      <c r="DI177" t="str">
        <f>""</f>
        <v/>
      </c>
      <c r="DJ177" t="str">
        <f>""</f>
        <v/>
      </c>
      <c r="DK177" t="str">
        <f>""</f>
        <v/>
      </c>
      <c r="DL177" t="str">
        <f>""</f>
        <v/>
      </c>
      <c r="DM177" t="str">
        <f>""</f>
        <v/>
      </c>
      <c r="DN177" t="str">
        <f>""</f>
        <v/>
      </c>
      <c r="DO177" t="str">
        <f>""</f>
        <v/>
      </c>
      <c r="DP177" t="str">
        <f>""</f>
        <v/>
      </c>
      <c r="DQ177" t="str">
        <f>""</f>
        <v/>
      </c>
      <c r="DR177" t="str">
        <f>""</f>
        <v/>
      </c>
      <c r="DS177" t="str">
        <f>""</f>
        <v/>
      </c>
      <c r="DT177" t="str">
        <f>""</f>
        <v/>
      </c>
      <c r="DU177" t="str">
        <f>""</f>
        <v/>
      </c>
    </row>
    <row r="178" spans="1:125" x14ac:dyDescent="0.25">
      <c r="A178" t="str">
        <f>"    DRB-Hicom Bhd"</f>
        <v xml:space="preserve">    DRB-Hicom Bhd</v>
      </c>
      <c r="B178" t="str">
        <f>"DRB MK Equity"</f>
        <v>DRB MK Equity</v>
      </c>
      <c r="C178" t="str">
        <f t="shared" si="12"/>
        <v>RX077</v>
      </c>
      <c r="D178" t="str">
        <f t="shared" si="13"/>
        <v>PX_TO_TANG_BOOK_VAL_PER_SH</v>
      </c>
      <c r="E178" t="str">
        <f t="shared" si="14"/>
        <v>Dynamic</v>
      </c>
      <c r="F178" t="str">
        <f ca="1">IF(AND(ISNUMBER($F$848),$B$677=1),$F$848,HLOOKUP(INDIRECT(ADDRESS(2,COLUMN())),OFFSET($BN$2,0,0,ROW()-1,60),ROW()-1,FALSE))</f>
        <v/>
      </c>
      <c r="G178">
        <f ca="1">IF(AND(ISNUMBER($G$848),$B$677=1),$G$848,HLOOKUP(INDIRECT(ADDRESS(2,COLUMN())),OFFSET($BN$2,0,0,ROW()-1,60),ROW()-1,FALSE))</f>
        <v>0.65420937800000001</v>
      </c>
      <c r="H178">
        <f ca="1">IF(AND(ISNUMBER($H$848),$B$677=1),$H$848,HLOOKUP(INDIRECT(ADDRESS(2,COLUMN())),OFFSET($BN$2,0,0,ROW()-1,60),ROW()-1,FALSE))</f>
        <v>0.84502044700000001</v>
      </c>
      <c r="I178">
        <f ca="1">IF(AND(ISNUMBER($I$848),$B$677=1),$I$848,HLOOKUP(INDIRECT(ADDRESS(2,COLUMN())),OFFSET($BN$2,0,0,ROW()-1,60),ROW()-1,FALSE))</f>
        <v>0.76138059199999997</v>
      </c>
      <c r="J178">
        <f ca="1">IF(AND(ISNUMBER($J$848),$B$677=1),$J$848,HLOOKUP(INDIRECT(ADDRESS(2,COLUMN())),OFFSET($BN$2,0,0,ROW()-1,60),ROW()-1,FALSE))</f>
        <v>0.93648089499999998</v>
      </c>
      <c r="K178">
        <f ca="1">IF(AND(ISNUMBER($K$848),$B$677=1),$K$848,HLOOKUP(INDIRECT(ADDRESS(2,COLUMN())),OFFSET($BN$2,0,0,ROW()-1,60),ROW()-1,FALSE))</f>
        <v>0.69147643599999997</v>
      </c>
      <c r="L178">
        <f ca="1">IF(AND(ISNUMBER($L$848),$B$677=1),$L$848,HLOOKUP(INDIRECT(ADDRESS(2,COLUMN())),OFFSET($BN$2,0,0,ROW()-1,60),ROW()-1,FALSE))</f>
        <v>0.62621981500000001</v>
      </c>
      <c r="M178">
        <f ca="1">IF(AND(ISNUMBER($M$848),$B$677=1),$M$848,HLOOKUP(INDIRECT(ADDRESS(2,COLUMN())),OFFSET($BN$2,0,0,ROW()-1,60),ROW()-1,FALSE))</f>
        <v>0.77636852199999995</v>
      </c>
      <c r="N178">
        <f ca="1">IF(AND(ISNUMBER($N$848),$B$677=1),$N$848,HLOOKUP(INDIRECT(ADDRESS(2,COLUMN())),OFFSET($BN$2,0,0,ROW()-1,60),ROW()-1,FALSE))</f>
        <v>0.65587134300000005</v>
      </c>
      <c r="O178">
        <f ca="1">IF(AND(ISNUMBER($O$848),$B$677=1),$O$848,HLOOKUP(INDIRECT(ADDRESS(2,COLUMN())),OFFSET($BN$2,0,0,ROW()-1,60),ROW()-1,FALSE))</f>
        <v>0.50545889899999996</v>
      </c>
      <c r="P178">
        <f ca="1">IF(AND(ISNUMBER($P$848),$B$677=1),$P$848,HLOOKUP(INDIRECT(ADDRESS(2,COLUMN())),OFFSET($BN$2,0,0,ROW()-1,60),ROW()-1,FALSE))</f>
        <v>0.67976231799999998</v>
      </c>
      <c r="Q178">
        <f ca="1">IF(AND(ISNUMBER($Q$848),$B$677=1),$Q$848,HLOOKUP(INDIRECT(ADDRESS(2,COLUMN())),OFFSET($BN$2,0,0,ROW()-1,60),ROW()-1,FALSE))</f>
        <v>0.37308469399999999</v>
      </c>
      <c r="R178">
        <f ca="1">IF(AND(ISNUMBER($R$848),$B$677=1),$R$848,HLOOKUP(INDIRECT(ADDRESS(2,COLUMN())),OFFSET($BN$2,0,0,ROW()-1,60),ROW()-1,FALSE))</f>
        <v>0.40558228699999999</v>
      </c>
      <c r="S178">
        <f ca="1">IF(AND(ISNUMBER($S$848),$B$677=1),$S$848,HLOOKUP(INDIRECT(ADDRESS(2,COLUMN())),OFFSET($BN$2,0,0,ROW()-1,60),ROW()-1,FALSE))</f>
        <v>0.42984008899999998</v>
      </c>
      <c r="T178">
        <f ca="1">IF(AND(ISNUMBER($T$848),$B$677=1),$T$848,HLOOKUP(INDIRECT(ADDRESS(2,COLUMN())),OFFSET($BN$2,0,0,ROW()-1,60),ROW()-1,FALSE))</f>
        <v>0.43451346899999999</v>
      </c>
      <c r="U178">
        <f ca="1">IF(AND(ISNUMBER($U$848),$B$677=1),$U$848,HLOOKUP(INDIRECT(ADDRESS(2,COLUMN())),OFFSET($BN$2,0,0,ROW()-1,60),ROW()-1,FALSE))</f>
        <v>0.50410781900000001</v>
      </c>
      <c r="V178">
        <f ca="1">IF(AND(ISNUMBER($V$848),$B$677=1),$V$848,HLOOKUP(INDIRECT(ADDRESS(2,COLUMN())),OFFSET($BN$2,0,0,ROW()-1,60),ROW()-1,FALSE))</f>
        <v>0.61645580200000005</v>
      </c>
      <c r="W178">
        <f ca="1">IF(AND(ISNUMBER($W$848),$B$677=1),$W$848,HLOOKUP(INDIRECT(ADDRESS(2,COLUMN())),OFFSET($BN$2,0,0,ROW()-1,60),ROW()-1,FALSE))</f>
        <v>0.54557617000000003</v>
      </c>
      <c r="X178">
        <f ca="1">IF(AND(ISNUMBER($X$848),$B$677=1),$X$848,HLOOKUP(INDIRECT(ADDRESS(2,COLUMN())),OFFSET($BN$2,0,0,ROW()-1,60),ROW()-1,FALSE))</f>
        <v>0.71410432199999996</v>
      </c>
      <c r="Y178">
        <f ca="1">IF(AND(ISNUMBER($Y$848),$B$677=1),$Y$848,HLOOKUP(INDIRECT(ADDRESS(2,COLUMN())),OFFSET($BN$2,0,0,ROW()-1,60),ROW()-1,FALSE))</f>
        <v>0.68312807600000003</v>
      </c>
      <c r="Z178">
        <f ca="1">IF(AND(ISNUMBER($Z$848),$B$677=1),$Z$848,HLOOKUP(INDIRECT(ADDRESS(2,COLUMN())),OFFSET($BN$2,0,0,ROW()-1,60),ROW()-1,FALSE))</f>
        <v>0.76960890299999996</v>
      </c>
      <c r="AA178">
        <f ca="1">IF(AND(ISNUMBER($AA$848),$B$677=1),$AA$848,HLOOKUP(INDIRECT(ADDRESS(2,COLUMN())),OFFSET($BN$2,0,0,ROW()-1,60),ROW()-1,FALSE))</f>
        <v>0.90479636299999999</v>
      </c>
      <c r="AB178">
        <f ca="1">IF(AND(ISNUMBER($AB$848),$B$677=1),$AB$848,HLOOKUP(INDIRECT(ADDRESS(2,COLUMN())),OFFSET($BN$2,0,0,ROW()-1,60),ROW()-1,FALSE))</f>
        <v>0.83413483899999996</v>
      </c>
      <c r="AC178">
        <f ca="1">IF(AND(ISNUMBER($AC$848),$B$677=1),$AC$848,HLOOKUP(INDIRECT(ADDRESS(2,COLUMN())),OFFSET($BN$2,0,0,ROW()-1,60),ROW()-1,FALSE))</f>
        <v>0.83332773000000004</v>
      </c>
      <c r="AD178">
        <f ca="1">IF(AND(ISNUMBER($AD$848),$B$677=1),$AD$848,HLOOKUP(INDIRECT(ADDRESS(2,COLUMN())),OFFSET($BN$2,0,0,ROW()-1,60),ROW()-1,FALSE))</f>
        <v>0.78142807599999997</v>
      </c>
      <c r="AE178">
        <f ca="1">IF(AND(ISNUMBER($AE$848),$B$677=1),$AE$848,HLOOKUP(INDIRECT(ADDRESS(2,COLUMN())),OFFSET($BN$2,0,0,ROW()-1,60),ROW()-1,FALSE))</f>
        <v>0.938706759</v>
      </c>
      <c r="AF178">
        <f ca="1">IF(AND(ISNUMBER($AF$848),$B$677=1),$AF$848,HLOOKUP(INDIRECT(ADDRESS(2,COLUMN())),OFFSET($BN$2,0,0,ROW()-1,60),ROW()-1,FALSE))</f>
        <v>0.888364983</v>
      </c>
      <c r="AG178">
        <f ca="1">IF(AND(ISNUMBER($AG$848),$B$677=1),$AG$848,HLOOKUP(INDIRECT(ADDRESS(2,COLUMN())),OFFSET($BN$2,0,0,ROW()-1,60),ROW()-1,FALSE))</f>
        <v>0.96548482199999996</v>
      </c>
      <c r="AH178">
        <f ca="1">IF(AND(ISNUMBER($AH$848),$B$677=1),$AH$848,HLOOKUP(INDIRECT(ADDRESS(2,COLUMN())),OFFSET($BN$2,0,0,ROW()-1,60),ROW()-1,FALSE))</f>
        <v>0.85657149700000002</v>
      </c>
      <c r="AI178">
        <f ca="1">IF(AND(ISNUMBER($AI$848),$B$677=1),$AI$848,HLOOKUP(INDIRECT(ADDRESS(2,COLUMN())),OFFSET($BN$2,0,0,ROW()-1,60),ROW()-1,FALSE))</f>
        <v>0.79510628000000005</v>
      </c>
      <c r="AJ178">
        <f ca="1">IF(AND(ISNUMBER($AJ$848),$B$677=1),$AJ$848,HLOOKUP(INDIRECT(ADDRESS(2,COLUMN())),OFFSET($BN$2,0,0,ROW()-1,60),ROW()-1,FALSE))</f>
        <v>0.68733382899999995</v>
      </c>
      <c r="AK178">
        <f ca="1">IF(AND(ISNUMBER($AK$848),$B$677=1),$AK$848,HLOOKUP(INDIRECT(ADDRESS(2,COLUMN())),OFFSET($BN$2,0,0,ROW()-1,60),ROW()-1,FALSE))</f>
        <v>0.90197975600000002</v>
      </c>
      <c r="AL178">
        <f ca="1">IF(AND(ISNUMBER($AL$848),$B$677=1),$AL$848,HLOOKUP(INDIRECT(ADDRESS(2,COLUMN())),OFFSET($BN$2,0,0,ROW()-1,60),ROW()-1,FALSE))</f>
        <v>0.93386756199999998</v>
      </c>
      <c r="AM178">
        <f ca="1">IF(AND(ISNUMBER($AM$848),$B$677=1),$AM$848,HLOOKUP(INDIRECT(ADDRESS(2,COLUMN())),OFFSET($BN$2,0,0,ROW()-1,60),ROW()-1,FALSE))</f>
        <v>0.79833655999999997</v>
      </c>
      <c r="AN178">
        <f ca="1">IF(AND(ISNUMBER($AN$848),$B$677=1),$AN$848,HLOOKUP(INDIRECT(ADDRESS(2,COLUMN())),OFFSET($BN$2,0,0,ROW()-1,60),ROW()-1,FALSE))</f>
        <v>0.52463301900000003</v>
      </c>
      <c r="AO178">
        <f ca="1">IF(AND(ISNUMBER($AO$848),$B$677=1),$AO$848,HLOOKUP(INDIRECT(ADDRESS(2,COLUMN())),OFFSET($BN$2,0,0,ROW()-1,60),ROW()-1,FALSE))</f>
        <v>0.44876041500000002</v>
      </c>
      <c r="AP178">
        <f ca="1">IF(AND(ISNUMBER($AP$848),$B$677=1),$AP$848,HLOOKUP(INDIRECT(ADDRESS(2,COLUMN())),OFFSET($BN$2,0,0,ROW()-1,60),ROW()-1,FALSE))</f>
        <v>0.51600601599999996</v>
      </c>
      <c r="AQ178">
        <f ca="1">IF(AND(ISNUMBER($AQ$848),$B$677=1),$AQ$848,HLOOKUP(INDIRECT(ADDRESS(2,COLUMN())),OFFSET($BN$2,0,0,ROW()-1,60),ROW()-1,FALSE))</f>
        <v>0.47688616</v>
      </c>
      <c r="AR178">
        <f ca="1">IF(AND(ISNUMBER($AR$848),$B$677=1),$AR$848,HLOOKUP(INDIRECT(ADDRESS(2,COLUMN())),OFFSET($BN$2,0,0,ROW()-1,60),ROW()-1,FALSE))</f>
        <v>0.56143878000000003</v>
      </c>
      <c r="AS178">
        <f ca="1">IF(AND(ISNUMBER($AS$848),$B$677=1),$AS$848,HLOOKUP(INDIRECT(ADDRESS(2,COLUMN())),OFFSET($BN$2,0,0,ROW()-1,60),ROW()-1,FALSE))</f>
        <v>0.51126473900000002</v>
      </c>
      <c r="AT178">
        <f ca="1">IF(AND(ISNUMBER($AT$848),$B$677=1),$AT$848,HLOOKUP(INDIRECT(ADDRESS(2,COLUMN())),OFFSET($BN$2,0,0,ROW()-1,60),ROW()-1,FALSE))</f>
        <v>0.30493532400000001</v>
      </c>
      <c r="AU178">
        <f ca="1">IF(AND(ISNUMBER($AU$848),$B$677=1),$AU$848,HLOOKUP(INDIRECT(ADDRESS(2,COLUMN())),OFFSET($BN$2,0,0,ROW()-1,60),ROW()-1,FALSE))</f>
        <v>0.30869675099999999</v>
      </c>
      <c r="AV178">
        <f ca="1">IF(AND(ISNUMBER($AV$848),$B$677=1),$AV$848,HLOOKUP(INDIRECT(ADDRESS(2,COLUMN())),OFFSET($BN$2,0,0,ROW()-1,60),ROW()-1,FALSE))</f>
        <v>0.26066861000000002</v>
      </c>
      <c r="AW178">
        <f ca="1">IF(AND(ISNUMBER($AW$848),$B$677=1),$AW$848,HLOOKUP(INDIRECT(ADDRESS(2,COLUMN())),OFFSET($BN$2,0,0,ROW()-1,60),ROW()-1,FALSE))</f>
        <v>0.27738863699999999</v>
      </c>
      <c r="AX178">
        <f ca="1">IF(AND(ISNUMBER($AX$848),$B$677=1),$AX$848,HLOOKUP(INDIRECT(ADDRESS(2,COLUMN())),OFFSET($BN$2,0,0,ROW()-1,60),ROW()-1,FALSE))</f>
        <v>0.44695863200000002</v>
      </c>
      <c r="AY178">
        <f ca="1">IF(AND(ISNUMBER($AY$848),$B$677=1),$AY$848,HLOOKUP(INDIRECT(ADDRESS(2,COLUMN())),OFFSET($BN$2,0,0,ROW()-1,60),ROW()-1,FALSE))</f>
        <v>0.56877191999999999</v>
      </c>
      <c r="AZ178">
        <f ca="1">IF(AND(ISNUMBER($AZ$848),$B$677=1),$AZ$848,HLOOKUP(INDIRECT(ADDRESS(2,COLUMN())),OFFSET($BN$2,0,0,ROW()-1,60),ROW()-1,FALSE))</f>
        <v>0.73333398000000005</v>
      </c>
      <c r="BA178">
        <f ca="1">IF(AND(ISNUMBER($BA$848),$B$677=1),$BA$848,HLOOKUP(INDIRECT(ADDRESS(2,COLUMN())),OFFSET($BN$2,0,0,ROW()-1,60),ROW()-1,FALSE))</f>
        <v>0.70105912800000003</v>
      </c>
      <c r="BB178">
        <f ca="1">IF(AND(ISNUMBER($BB$848),$B$677=1),$BB$848,HLOOKUP(INDIRECT(ADDRESS(2,COLUMN())),OFFSET($BN$2,0,0,ROW()-1,60),ROW()-1,FALSE))</f>
        <v>0.75813097799999996</v>
      </c>
      <c r="BC178">
        <f ca="1">IF(AND(ISNUMBER($BC$848),$B$677=1),$BC$848,HLOOKUP(INDIRECT(ADDRESS(2,COLUMN())),OFFSET($BN$2,0,0,ROW()-1,60),ROW()-1,FALSE))</f>
        <v>0.66248788199999997</v>
      </c>
      <c r="BD178">
        <f ca="1">IF(AND(ISNUMBER($BD$848),$B$677=1),$BD$848,HLOOKUP(INDIRECT(ADDRESS(2,COLUMN())),OFFSET($BN$2,0,0,ROW()-1,60),ROW()-1,FALSE))</f>
        <v>0.57584109999999999</v>
      </c>
      <c r="BE178">
        <f ca="1">IF(AND(ISNUMBER($BE$848),$B$677=1),$BE$848,HLOOKUP(INDIRECT(ADDRESS(2,COLUMN())),OFFSET($BN$2,0,0,ROW()-1,60),ROW()-1,FALSE))</f>
        <v>0.57328407400000003</v>
      </c>
      <c r="BF178">
        <f ca="1">IF(AND(ISNUMBER($BF$848),$B$677=1),$BF$848,HLOOKUP(INDIRECT(ADDRESS(2,COLUMN())),OFFSET($BN$2,0,0,ROW()-1,60),ROW()-1,FALSE))</f>
        <v>0.58994668800000005</v>
      </c>
      <c r="BG178">
        <f ca="1">IF(AND(ISNUMBER($BG$848),$B$677=1),$BG$848,HLOOKUP(INDIRECT(ADDRESS(2,COLUMN())),OFFSET($BN$2,0,0,ROW()-1,60),ROW()-1,FALSE))</f>
        <v>0.46536646700000001</v>
      </c>
      <c r="BH178">
        <f ca="1">IF(AND(ISNUMBER($BH$848),$B$677=1),$BH$848,HLOOKUP(INDIRECT(ADDRESS(2,COLUMN())),OFFSET($BN$2,0,0,ROW()-1,60),ROW()-1,FALSE))</f>
        <v>0.57199553999999997</v>
      </c>
      <c r="BI178">
        <f ca="1">IF(AND(ISNUMBER($BI$848),$B$677=1),$BI$848,HLOOKUP(INDIRECT(ADDRESS(2,COLUMN())),OFFSET($BN$2,0,0,ROW()-1,60),ROW()-1,FALSE))</f>
        <v>0.42662807000000003</v>
      </c>
      <c r="BJ178">
        <f ca="1">IF(AND(ISNUMBER($BJ$848),$B$677=1),$BJ$848,HLOOKUP(INDIRECT(ADDRESS(2,COLUMN())),OFFSET($BN$2,0,0,ROW()-1,60),ROW()-1,FALSE))</f>
        <v>0.69268843800000002</v>
      </c>
      <c r="BK178">
        <f ca="1">IF(AND(ISNUMBER($BK$848),$B$677=1),$BK$848,HLOOKUP(INDIRECT(ADDRESS(2,COLUMN())),OFFSET($BN$2,0,0,ROW()-1,60),ROW()-1,FALSE))</f>
        <v>0.81318779299999999</v>
      </c>
      <c r="BL178">
        <f ca="1">IF(AND(ISNUMBER($BL$848),$B$677=1),$BL$848,HLOOKUP(INDIRECT(ADDRESS(2,COLUMN())),OFFSET($BN$2,0,0,ROW()-1,60),ROW()-1,FALSE))</f>
        <v>0.78936872700000005</v>
      </c>
      <c r="BM178">
        <f ca="1">IF(AND(ISNUMBER($BM$848),$B$677=1),$BM$848,HLOOKUP(INDIRECT(ADDRESS(2,COLUMN())),OFFSET($BN$2,0,0,ROW()-1,60),ROW()-1,FALSE))</f>
        <v>0.60053323000000003</v>
      </c>
      <c r="BN178" t="str">
        <f>""</f>
        <v/>
      </c>
      <c r="BO178">
        <f>0.654209378</f>
        <v>0.65420937800000001</v>
      </c>
      <c r="BP178">
        <f>0.845020447</f>
        <v>0.84502044700000001</v>
      </c>
      <c r="BQ178">
        <f>0.761380592</f>
        <v>0.76138059199999997</v>
      </c>
      <c r="BR178">
        <f>0.936480895</f>
        <v>0.93648089499999998</v>
      </c>
      <c r="BS178">
        <f>0.691476436</f>
        <v>0.69147643599999997</v>
      </c>
      <c r="BT178">
        <f>0.626219815</f>
        <v>0.62621981500000001</v>
      </c>
      <c r="BU178">
        <f>0.776368522</f>
        <v>0.77636852199999995</v>
      </c>
      <c r="BV178">
        <f>0.655871343</f>
        <v>0.65587134300000005</v>
      </c>
      <c r="BW178">
        <f>0.505458899</f>
        <v>0.50545889899999996</v>
      </c>
      <c r="BX178">
        <f>0.679762318</f>
        <v>0.67976231799999998</v>
      </c>
      <c r="BY178">
        <f>0.373084694</f>
        <v>0.37308469399999999</v>
      </c>
      <c r="BZ178">
        <f>0.405582287</f>
        <v>0.40558228699999999</v>
      </c>
      <c r="CA178">
        <f>0.429840089</f>
        <v>0.42984008899999998</v>
      </c>
      <c r="CB178">
        <f>0.434513469</f>
        <v>0.43451346899999999</v>
      </c>
      <c r="CC178">
        <f>0.504107819</f>
        <v>0.50410781900000001</v>
      </c>
      <c r="CD178">
        <f>0.616455802</f>
        <v>0.61645580200000005</v>
      </c>
      <c r="CE178">
        <f>0.54557617</f>
        <v>0.54557617000000003</v>
      </c>
      <c r="CF178">
        <f>0.714104322</f>
        <v>0.71410432199999996</v>
      </c>
      <c r="CG178">
        <f>0.683128076</f>
        <v>0.68312807600000003</v>
      </c>
      <c r="CH178">
        <f>0.769608903</f>
        <v>0.76960890299999996</v>
      </c>
      <c r="CI178">
        <f>0.904796363</f>
        <v>0.90479636299999999</v>
      </c>
      <c r="CJ178">
        <f>0.834134839</f>
        <v>0.83413483899999996</v>
      </c>
      <c r="CK178">
        <f>0.83332773</f>
        <v>0.83332773000000004</v>
      </c>
      <c r="CL178">
        <f>0.781428076</f>
        <v>0.78142807599999997</v>
      </c>
      <c r="CM178">
        <f>0.938706759</f>
        <v>0.938706759</v>
      </c>
      <c r="CN178">
        <f>0.888364983</f>
        <v>0.888364983</v>
      </c>
      <c r="CO178">
        <f>0.965484822</f>
        <v>0.96548482199999996</v>
      </c>
      <c r="CP178">
        <f>0.856571497</f>
        <v>0.85657149700000002</v>
      </c>
      <c r="CQ178">
        <f>0.79510628</f>
        <v>0.79510628000000005</v>
      </c>
      <c r="CR178">
        <f>0.687333829</f>
        <v>0.68733382899999995</v>
      </c>
      <c r="CS178">
        <f>0.901979756</f>
        <v>0.90197975600000002</v>
      </c>
      <c r="CT178">
        <f>0.933867562</f>
        <v>0.93386756199999998</v>
      </c>
      <c r="CU178">
        <f>0.79833656</f>
        <v>0.79833655999999997</v>
      </c>
      <c r="CV178">
        <f>0.524633019</f>
        <v>0.52463301900000003</v>
      </c>
      <c r="CW178">
        <f>0.448760415</f>
        <v>0.44876041500000002</v>
      </c>
      <c r="CX178">
        <f>0.516006016</f>
        <v>0.51600601599999996</v>
      </c>
      <c r="CY178">
        <f>0.47688616</f>
        <v>0.47688616</v>
      </c>
      <c r="CZ178">
        <f>0.56143878</f>
        <v>0.56143878000000003</v>
      </c>
      <c r="DA178">
        <f>0.511264739</f>
        <v>0.51126473900000002</v>
      </c>
      <c r="DB178">
        <f>0.304935324</f>
        <v>0.30493532400000001</v>
      </c>
      <c r="DC178">
        <f>0.308696751</f>
        <v>0.30869675099999999</v>
      </c>
      <c r="DD178">
        <f>0.26066861</f>
        <v>0.26066861000000002</v>
      </c>
      <c r="DE178">
        <f>0.277388637</f>
        <v>0.27738863699999999</v>
      </c>
      <c r="DF178">
        <f>0.446958632</f>
        <v>0.44695863200000002</v>
      </c>
      <c r="DG178">
        <f>0.56877192</f>
        <v>0.56877191999999999</v>
      </c>
      <c r="DH178">
        <f>0.73333398</f>
        <v>0.73333398000000005</v>
      </c>
      <c r="DI178">
        <f>0.701059128</f>
        <v>0.70105912800000003</v>
      </c>
      <c r="DJ178">
        <f>0.758130978</f>
        <v>0.75813097799999996</v>
      </c>
      <c r="DK178">
        <f>0.662487882</f>
        <v>0.66248788199999997</v>
      </c>
      <c r="DL178">
        <f>0.5758411</f>
        <v>0.57584109999999999</v>
      </c>
      <c r="DM178">
        <f>0.573284074</f>
        <v>0.57328407400000003</v>
      </c>
      <c r="DN178">
        <f>0.589946688</f>
        <v>0.58994668800000005</v>
      </c>
      <c r="DO178">
        <f>0.465366467</f>
        <v>0.46536646700000001</v>
      </c>
      <c r="DP178">
        <f>0.57199554</f>
        <v>0.57199553999999997</v>
      </c>
      <c r="DQ178">
        <f>0.42662807</f>
        <v>0.42662807000000003</v>
      </c>
      <c r="DR178">
        <f>0.692688438</f>
        <v>0.69268843800000002</v>
      </c>
      <c r="DS178">
        <f>0.813187793</f>
        <v>0.81318779299999999</v>
      </c>
      <c r="DT178">
        <f>0.789368727</f>
        <v>0.78936872700000005</v>
      </c>
      <c r="DU178">
        <f>0.60053323</f>
        <v>0.60053323000000003</v>
      </c>
    </row>
    <row r="179" spans="1:125" x14ac:dyDescent="0.25">
      <c r="A179" t="str">
        <f>"    FAW CAR Co Ltd"</f>
        <v xml:space="preserve">    FAW CAR Co Ltd</v>
      </c>
      <c r="B179" t="str">
        <f>"000800 CH Equity"</f>
        <v>000800 CH Equity</v>
      </c>
      <c r="C179" t="str">
        <f t="shared" si="12"/>
        <v>RX077</v>
      </c>
      <c r="D179" t="str">
        <f t="shared" si="13"/>
        <v>PX_TO_TANG_BOOK_VAL_PER_SH</v>
      </c>
      <c r="E179" t="str">
        <f t="shared" si="14"/>
        <v>Dynamic</v>
      </c>
      <c r="F179">
        <f ca="1">IF(AND(ISNUMBER($F$849),$B$677=1),$F$849,HLOOKUP(INDIRECT(ADDRESS(2,COLUMN())),OFFSET($BN$2,0,0,ROW()-1,60),ROW()-1,FALSE))</f>
        <v>1.7628373369999999</v>
      </c>
      <c r="G179">
        <f ca="1">IF(AND(ISNUMBER($G$849),$B$677=1),$G$849,HLOOKUP(INDIRECT(ADDRESS(2,COLUMN())),OFFSET($BN$2,0,0,ROW()-1,60),ROW()-1,FALSE))</f>
        <v>1.44968735</v>
      </c>
      <c r="H179">
        <f ca="1">IF(AND(ISNUMBER($H$849),$B$677=1),$H$849,HLOOKUP(INDIRECT(ADDRESS(2,COLUMN())),OFFSET($BN$2,0,0,ROW()-1,60),ROW()-1,FALSE))</f>
        <v>1.44311777</v>
      </c>
      <c r="I179">
        <f ca="1">IF(AND(ISNUMBER($I$849),$B$677=1),$I$849,HLOOKUP(INDIRECT(ADDRESS(2,COLUMN())),OFFSET($BN$2,0,0,ROW()-1,60),ROW()-1,FALSE))</f>
        <v>1.5674994760000001</v>
      </c>
      <c r="J179">
        <f ca="1">IF(AND(ISNUMBER($J$849),$B$677=1),$J$849,HLOOKUP(INDIRECT(ADDRESS(2,COLUMN())),OFFSET($BN$2,0,0,ROW()-1,60),ROW()-1,FALSE))</f>
        <v>2.261718605</v>
      </c>
      <c r="K179">
        <f ca="1">IF(AND(ISNUMBER($K$849),$B$677=1),$K$849,HLOOKUP(INDIRECT(ADDRESS(2,COLUMN())),OFFSET($BN$2,0,0,ROW()-1,60),ROW()-1,FALSE))</f>
        <v>2.2690963960000001</v>
      </c>
      <c r="L179">
        <f ca="1">IF(AND(ISNUMBER($L$849),$B$677=1),$L$849,HLOOKUP(INDIRECT(ADDRESS(2,COLUMN())),OFFSET($BN$2,0,0,ROW()-1,60),ROW()-1,FALSE))</f>
        <v>3.1119058079999999</v>
      </c>
      <c r="M179">
        <f ca="1">IF(AND(ISNUMBER($M$849),$B$677=1),$M$849,HLOOKUP(INDIRECT(ADDRESS(2,COLUMN())),OFFSET($BN$2,0,0,ROW()-1,60),ROW()-1,FALSE))</f>
        <v>2.1892495890000001</v>
      </c>
      <c r="N179">
        <f ca="1">IF(AND(ISNUMBER($N$849),$B$677=1),$N$849,HLOOKUP(INDIRECT(ADDRESS(2,COLUMN())),OFFSET($BN$2,0,0,ROW()-1,60),ROW()-1,FALSE))</f>
        <v>2.715147226</v>
      </c>
      <c r="O179">
        <f ca="1">IF(AND(ISNUMBER($O$849),$B$677=1),$O$849,HLOOKUP(INDIRECT(ADDRESS(2,COLUMN())),OFFSET($BN$2,0,0,ROW()-1,60),ROW()-1,FALSE))</f>
        <v>2.447491538</v>
      </c>
      <c r="P179">
        <f ca="1">IF(AND(ISNUMBER($P$849),$B$677=1),$P$849,HLOOKUP(INDIRECT(ADDRESS(2,COLUMN())),OFFSET($BN$2,0,0,ROW()-1,60),ROW()-1,FALSE))</f>
        <v>2.5326378300000001</v>
      </c>
      <c r="Q179">
        <f ca="1">IF(AND(ISNUMBER($Q$849),$B$677=1),$Q$849,HLOOKUP(INDIRECT(ADDRESS(2,COLUMN())),OFFSET($BN$2,0,0,ROW()-1,60),ROW()-1,FALSE))</f>
        <v>2.4309518799999998</v>
      </c>
      <c r="R179">
        <f ca="1">IF(AND(ISNUMBER($R$849),$B$677=1),$R$849,HLOOKUP(INDIRECT(ADDRESS(2,COLUMN())),OFFSET($BN$2,0,0,ROW()-1,60),ROW()-1,FALSE))</f>
        <v>3.238372815</v>
      </c>
      <c r="S179">
        <f ca="1">IF(AND(ISNUMBER($S$849),$B$677=1),$S$849,HLOOKUP(INDIRECT(ADDRESS(2,COLUMN())),OFFSET($BN$2,0,0,ROW()-1,60),ROW()-1,FALSE))</f>
        <v>3.276378646</v>
      </c>
      <c r="T179">
        <f ca="1">IF(AND(ISNUMBER($T$849),$B$677=1),$T$849,HLOOKUP(INDIRECT(ADDRESS(2,COLUMN())),OFFSET($BN$2,0,0,ROW()-1,60),ROW()-1,FALSE))</f>
        <v>3.1544084190000001</v>
      </c>
      <c r="U179">
        <f ca="1">IF(AND(ISNUMBER($U$849),$B$677=1),$U$849,HLOOKUP(INDIRECT(ADDRESS(2,COLUMN())),OFFSET($BN$2,0,0,ROW()-1,60),ROW()-1,FALSE))</f>
        <v>4.8909999940000004</v>
      </c>
      <c r="V179">
        <f ca="1">IF(AND(ISNUMBER($V$849),$B$677=1),$V$849,HLOOKUP(INDIRECT(ADDRESS(2,COLUMN())),OFFSET($BN$2,0,0,ROW()-1,60),ROW()-1,FALSE))</f>
        <v>4.2133348650000002</v>
      </c>
      <c r="W179">
        <f ca="1">IF(AND(ISNUMBER($W$849),$B$677=1),$W$849,HLOOKUP(INDIRECT(ADDRESS(2,COLUMN())),OFFSET($BN$2,0,0,ROW()-1,60),ROW()-1,FALSE))</f>
        <v>3.0861069059999999</v>
      </c>
      <c r="X179">
        <f ca="1">IF(AND(ISNUMBER($X$849),$B$677=1),$X$849,HLOOKUP(INDIRECT(ADDRESS(2,COLUMN())),OFFSET($BN$2,0,0,ROW()-1,60),ROW()-1,FALSE))</f>
        <v>2.4231047129999999</v>
      </c>
      <c r="Y179">
        <f ca="1">IF(AND(ISNUMBER($Y$849),$B$677=1),$Y$849,HLOOKUP(INDIRECT(ADDRESS(2,COLUMN())),OFFSET($BN$2,0,0,ROW()-1,60),ROW()-1,FALSE))</f>
        <v>1.9090513739999999</v>
      </c>
      <c r="Z179">
        <f ca="1">IF(AND(ISNUMBER($Z$849),$B$677=1),$Z$849,HLOOKUP(INDIRECT(ADDRESS(2,COLUMN())),OFFSET($BN$2,0,0,ROW()-1,60),ROW()-1,FALSE))</f>
        <v>2.1888147760000001</v>
      </c>
      <c r="AA179">
        <f ca="1">IF(AND(ISNUMBER($AA$849),$B$677=1),$AA$849,HLOOKUP(INDIRECT(ADDRESS(2,COLUMN())),OFFSET($BN$2,0,0,ROW()-1,60),ROW()-1,FALSE))</f>
        <v>2.44787943</v>
      </c>
      <c r="AB179">
        <f ca="1">IF(AND(ISNUMBER($AB$849),$B$677=1),$AB$849,HLOOKUP(INDIRECT(ADDRESS(2,COLUMN())),OFFSET($BN$2,0,0,ROW()-1,60),ROW()-1,FALSE))</f>
        <v>3.0520132339999999</v>
      </c>
      <c r="AC179">
        <f ca="1">IF(AND(ISNUMBER($AC$849),$B$677=1),$AC$849,HLOOKUP(INDIRECT(ADDRESS(2,COLUMN())),OFFSET($BN$2,0,0,ROW()-1,60),ROW()-1,FALSE))</f>
        <v>2.630531194</v>
      </c>
      <c r="AD179">
        <f ca="1">IF(AND(ISNUMBER($AD$849),$B$677=1),$AD$849,HLOOKUP(INDIRECT(ADDRESS(2,COLUMN())),OFFSET($BN$2,0,0,ROW()-1,60),ROW()-1,FALSE))</f>
        <v>1.911106816</v>
      </c>
      <c r="AE179">
        <f ca="1">IF(AND(ISNUMBER($AE$849),$B$677=1),$AE$849,HLOOKUP(INDIRECT(ADDRESS(2,COLUMN())),OFFSET($BN$2,0,0,ROW()-1,60),ROW()-1,FALSE))</f>
        <v>1.9334869020000001</v>
      </c>
      <c r="AF179">
        <f ca="1">IF(AND(ISNUMBER($AF$849),$B$677=1),$AF$849,HLOOKUP(INDIRECT(ADDRESS(2,COLUMN())),OFFSET($BN$2,0,0,ROW()-1,60),ROW()-1,FALSE))</f>
        <v>1.564487958</v>
      </c>
      <c r="AG179">
        <f ca="1">IF(AND(ISNUMBER($AG$849),$B$677=1),$AG$849,HLOOKUP(INDIRECT(ADDRESS(2,COLUMN())),OFFSET($BN$2,0,0,ROW()-1,60),ROW()-1,FALSE))</f>
        <v>2.2569685599999998</v>
      </c>
      <c r="AH179">
        <f ca="1">IF(AND(ISNUMBER($AH$849),$B$677=1),$AH$849,HLOOKUP(INDIRECT(ADDRESS(2,COLUMN())),OFFSET($BN$2,0,0,ROW()-1,60),ROW()-1,FALSE))</f>
        <v>2.285736612</v>
      </c>
      <c r="AI179">
        <f ca="1">IF(AND(ISNUMBER($AI$849),$B$677=1),$AI$849,HLOOKUP(INDIRECT(ADDRESS(2,COLUMN())),OFFSET($BN$2,0,0,ROW()-1,60),ROW()-1,FALSE))</f>
        <v>1.815050705</v>
      </c>
      <c r="AJ179">
        <f ca="1">IF(AND(ISNUMBER($AJ$849),$B$677=1),$AJ$849,HLOOKUP(INDIRECT(ADDRESS(2,COLUMN())),OFFSET($BN$2,0,0,ROW()-1,60),ROW()-1,FALSE))</f>
        <v>2.2201604989999999</v>
      </c>
      <c r="AK179">
        <f ca="1">IF(AND(ISNUMBER($AK$849),$B$677=1),$AK$849,HLOOKUP(INDIRECT(ADDRESS(2,COLUMN())),OFFSET($BN$2,0,0,ROW()-1,60),ROW()-1,FALSE))</f>
        <v>2.6535755239999999</v>
      </c>
      <c r="AL179">
        <f ca="1">IF(AND(ISNUMBER($AL$849),$B$677=1),$AL$849,HLOOKUP(INDIRECT(ADDRESS(2,COLUMN())),OFFSET($BN$2,0,0,ROW()-1,60),ROW()-1,FALSE))</f>
        <v>3.1878744920000002</v>
      </c>
      <c r="AM179">
        <f ca="1">IF(AND(ISNUMBER($AM$849),$B$677=1),$AM$849,HLOOKUP(INDIRECT(ADDRESS(2,COLUMN())),OFFSET($BN$2,0,0,ROW()-1,60),ROW()-1,FALSE))</f>
        <v>3.1177689210000001</v>
      </c>
      <c r="AN179">
        <f ca="1">IF(AND(ISNUMBER($AN$849),$B$677=1),$AN$849,HLOOKUP(INDIRECT(ADDRESS(2,COLUMN())),OFFSET($BN$2,0,0,ROW()-1,60),ROW()-1,FALSE))</f>
        <v>3.6837397539999999</v>
      </c>
      <c r="AO179">
        <f ca="1">IF(AND(ISNUMBER($AO$849),$B$677=1),$AO$849,HLOOKUP(INDIRECT(ADDRESS(2,COLUMN())),OFFSET($BN$2,0,0,ROW()-1,60),ROW()-1,FALSE))</f>
        <v>3.0745701840000002</v>
      </c>
      <c r="AP179">
        <f ca="1">IF(AND(ISNUMBER($AP$849),$B$677=1),$AP$849,HLOOKUP(INDIRECT(ADDRESS(2,COLUMN())),OFFSET($BN$2,0,0,ROW()-1,60),ROW()-1,FALSE))</f>
        <v>4.5275601569999999</v>
      </c>
      <c r="AQ179">
        <f ca="1">IF(AND(ISNUMBER($AQ$849),$B$677=1),$AQ$849,HLOOKUP(INDIRECT(ADDRESS(2,COLUMN())),OFFSET($BN$2,0,0,ROW()-1,60),ROW()-1,FALSE))</f>
        <v>5.8459515120000001</v>
      </c>
      <c r="AR179">
        <f ca="1">IF(AND(ISNUMBER($AR$849),$B$677=1),$AR$849,HLOOKUP(INDIRECT(ADDRESS(2,COLUMN())),OFFSET($BN$2,0,0,ROW()-1,60),ROW()-1,FALSE))</f>
        <v>4.2659955930000004</v>
      </c>
      <c r="AS179">
        <f ca="1">IF(AND(ISNUMBER($AS$849),$B$677=1),$AS$849,HLOOKUP(INDIRECT(ADDRESS(2,COLUMN())),OFFSET($BN$2,0,0,ROW()-1,60),ROW()-1,FALSE))</f>
        <v>3.989106461</v>
      </c>
      <c r="AT179">
        <f ca="1">IF(AND(ISNUMBER($AT$849),$B$677=1),$AT$849,HLOOKUP(INDIRECT(ADDRESS(2,COLUMN())),OFFSET($BN$2,0,0,ROW()-1,60),ROW()-1,FALSE))</f>
        <v>3.1158091529999998</v>
      </c>
      <c r="AU179">
        <f ca="1">IF(AND(ISNUMBER($AU$849),$B$677=1),$AU$849,HLOOKUP(INDIRECT(ADDRESS(2,COLUMN())),OFFSET($BN$2,0,0,ROW()-1,60),ROW()-1,FALSE))</f>
        <v>1.8363634769999999</v>
      </c>
      <c r="AV179">
        <f ca="1">IF(AND(ISNUMBER($AV$849),$B$677=1),$AV$849,HLOOKUP(INDIRECT(ADDRESS(2,COLUMN())),OFFSET($BN$2,0,0,ROW()-1,60),ROW()-1,FALSE))</f>
        <v>1.7789728840000001</v>
      </c>
      <c r="AW179">
        <f ca="1">IF(AND(ISNUMBER($AW$849),$B$677=1),$AW$849,HLOOKUP(INDIRECT(ADDRESS(2,COLUMN())),OFFSET($BN$2,0,0,ROW()-1,60),ROW()-1,FALSE))</f>
        <v>2.1708172549999998</v>
      </c>
      <c r="AX179">
        <f ca="1">IF(AND(ISNUMBER($AX$849),$B$677=1),$AX$849,HLOOKUP(INDIRECT(ADDRESS(2,COLUMN())),OFFSET($BN$2,0,0,ROW()-1,60),ROW()-1,FALSE))</f>
        <v>3.5986155740000001</v>
      </c>
      <c r="AY179">
        <f ca="1">IF(AND(ISNUMBER($AY$849),$B$677=1),$AY$849,HLOOKUP(INDIRECT(ADDRESS(2,COLUMN())),OFFSET($BN$2,0,0,ROW()-1,60),ROW()-1,FALSE))</f>
        <v>5.3252737889999997</v>
      </c>
      <c r="AZ179">
        <f ca="1">IF(AND(ISNUMBER($AZ$849),$B$677=1),$AZ$849,HLOOKUP(INDIRECT(ADDRESS(2,COLUMN())),OFFSET($BN$2,0,0,ROW()-1,60),ROW()-1,FALSE))</f>
        <v>6.1398423209999997</v>
      </c>
      <c r="BA179">
        <f ca="1">IF(AND(ISNUMBER($BA$849),$B$677=1),$BA$849,HLOOKUP(INDIRECT(ADDRESS(2,COLUMN())),OFFSET($BN$2,0,0,ROW()-1,60),ROW()-1,FALSE))</f>
        <v>3.2634429300000001</v>
      </c>
      <c r="BB179">
        <f ca="1">IF(AND(ISNUMBER($BB$849),$B$677=1),$BB$849,HLOOKUP(INDIRECT(ADDRESS(2,COLUMN())),OFFSET($BN$2,0,0,ROW()-1,60),ROW()-1,FALSE))</f>
        <v>2.730804655</v>
      </c>
      <c r="BC179">
        <f ca="1">IF(AND(ISNUMBER($BC$849),$B$677=1),$BC$849,HLOOKUP(INDIRECT(ADDRESS(2,COLUMN())),OFFSET($BN$2,0,0,ROW()-1,60),ROW()-1,FALSE))</f>
        <v>1.2173830489999999</v>
      </c>
      <c r="BD179">
        <f ca="1">IF(AND(ISNUMBER($BD$849),$B$677=1),$BD$849,HLOOKUP(INDIRECT(ADDRESS(2,COLUMN())),OFFSET($BN$2,0,0,ROW()-1,60),ROW()-1,FALSE))</f>
        <v>1.9112736219999999</v>
      </c>
      <c r="BE179">
        <f ca="1">IF(AND(ISNUMBER($BE$849),$B$677=1),$BE$849,HLOOKUP(INDIRECT(ADDRESS(2,COLUMN())),OFFSET($BN$2,0,0,ROW()-1,60),ROW()-1,FALSE))</f>
        <v>1.0625689030000001</v>
      </c>
      <c r="BF179">
        <f ca="1">IF(AND(ISNUMBER($BF$849),$B$677=1),$BF$849,HLOOKUP(INDIRECT(ADDRESS(2,COLUMN())),OFFSET($BN$2,0,0,ROW()-1,60),ROW()-1,FALSE))</f>
        <v>1.0413930600000001</v>
      </c>
      <c r="BG179">
        <f ca="1">IF(AND(ISNUMBER($BG$849),$B$677=1),$BG$849,HLOOKUP(INDIRECT(ADDRESS(2,COLUMN())),OFFSET($BN$2,0,0,ROW()-1,60),ROW()-1,FALSE))</f>
        <v>0.95282884099999998</v>
      </c>
      <c r="BH179">
        <f ca="1">IF(AND(ISNUMBER($BH$849),$B$677=1),$BH$849,HLOOKUP(INDIRECT(ADDRESS(2,COLUMN())),OFFSET($BN$2,0,0,ROW()-1,60),ROW()-1,FALSE))</f>
        <v>0.88273990800000002</v>
      </c>
      <c r="BI179">
        <f ca="1">IF(AND(ISNUMBER($BI$849),$B$677=1),$BI$849,HLOOKUP(INDIRECT(ADDRESS(2,COLUMN())),OFFSET($BN$2,0,0,ROW()-1,60),ROW()-1,FALSE))</f>
        <v>0.84517650799999999</v>
      </c>
      <c r="BJ179">
        <f ca="1">IF(AND(ISNUMBER($BJ$849),$B$677=1),$BJ$849,HLOOKUP(INDIRECT(ADDRESS(2,COLUMN())),OFFSET($BN$2,0,0,ROW()-1,60),ROW()-1,FALSE))</f>
        <v>1.031208573</v>
      </c>
      <c r="BK179">
        <f ca="1">IF(AND(ISNUMBER($BK$849),$B$677=1),$BK$849,HLOOKUP(INDIRECT(ADDRESS(2,COLUMN())),OFFSET($BN$2,0,0,ROW()-1,60),ROW()-1,FALSE))</f>
        <v>1.165297614</v>
      </c>
      <c r="BL179">
        <f ca="1">IF(AND(ISNUMBER($BL$849),$B$677=1),$BL$849,HLOOKUP(INDIRECT(ADDRESS(2,COLUMN())),OFFSET($BN$2,0,0,ROW()-1,60),ROW()-1,FALSE))</f>
        <v>1.8932697869999999</v>
      </c>
      <c r="BM179">
        <f ca="1">IF(AND(ISNUMBER($BM$849),$B$677=1),$BM$849,HLOOKUP(INDIRECT(ADDRESS(2,COLUMN())),OFFSET($BN$2,0,0,ROW()-1,60),ROW()-1,FALSE))</f>
        <v>1.9729528590000001</v>
      </c>
      <c r="BN179">
        <f>1.762837337</f>
        <v>1.7628373369999999</v>
      </c>
      <c r="BO179">
        <f>1.44968735</f>
        <v>1.44968735</v>
      </c>
      <c r="BP179">
        <f>1.44311777</f>
        <v>1.44311777</v>
      </c>
      <c r="BQ179">
        <f>1.567499476</f>
        <v>1.5674994760000001</v>
      </c>
      <c r="BR179">
        <f>2.261718605</f>
        <v>2.261718605</v>
      </c>
      <c r="BS179">
        <f>2.269096396</f>
        <v>2.2690963960000001</v>
      </c>
      <c r="BT179">
        <f>3.111905808</f>
        <v>3.1119058079999999</v>
      </c>
      <c r="BU179">
        <f>2.189249589</f>
        <v>2.1892495890000001</v>
      </c>
      <c r="BV179">
        <f>2.715147226</f>
        <v>2.715147226</v>
      </c>
      <c r="BW179">
        <f>2.447491538</f>
        <v>2.447491538</v>
      </c>
      <c r="BX179">
        <f>2.53263783</f>
        <v>2.5326378300000001</v>
      </c>
      <c r="BY179">
        <f>2.43095188</f>
        <v>2.4309518799999998</v>
      </c>
      <c r="BZ179">
        <f>3.238372815</f>
        <v>3.238372815</v>
      </c>
      <c r="CA179">
        <f>3.276378646</f>
        <v>3.276378646</v>
      </c>
      <c r="CB179">
        <f>3.154408419</f>
        <v>3.1544084190000001</v>
      </c>
      <c r="CC179">
        <f>4.890999994</f>
        <v>4.8909999940000004</v>
      </c>
      <c r="CD179">
        <f>4.213334865</f>
        <v>4.2133348650000002</v>
      </c>
      <c r="CE179">
        <f>3.086106906</f>
        <v>3.0861069059999999</v>
      </c>
      <c r="CF179">
        <f>2.423104713</f>
        <v>2.4231047129999999</v>
      </c>
      <c r="CG179">
        <f>1.909051374</f>
        <v>1.9090513739999999</v>
      </c>
      <c r="CH179">
        <f>2.188814776</f>
        <v>2.1888147760000001</v>
      </c>
      <c r="CI179">
        <f>2.44787943</f>
        <v>2.44787943</v>
      </c>
      <c r="CJ179">
        <f>3.052013234</f>
        <v>3.0520132339999999</v>
      </c>
      <c r="CK179">
        <f>2.630531194</f>
        <v>2.630531194</v>
      </c>
      <c r="CL179">
        <f>1.911106816</f>
        <v>1.911106816</v>
      </c>
      <c r="CM179">
        <f>1.933486902</f>
        <v>1.9334869020000001</v>
      </c>
      <c r="CN179">
        <f>1.564487958</f>
        <v>1.564487958</v>
      </c>
      <c r="CO179">
        <f>2.25696856</f>
        <v>2.2569685599999998</v>
      </c>
      <c r="CP179">
        <f>2.285736612</f>
        <v>2.285736612</v>
      </c>
      <c r="CQ179">
        <f>1.815050705</f>
        <v>1.815050705</v>
      </c>
      <c r="CR179">
        <f>2.220160499</f>
        <v>2.2201604989999999</v>
      </c>
      <c r="CS179">
        <f>2.653575524</f>
        <v>2.6535755239999999</v>
      </c>
      <c r="CT179">
        <f>3.187874492</f>
        <v>3.1878744920000002</v>
      </c>
      <c r="CU179">
        <f>3.117768921</f>
        <v>3.1177689210000001</v>
      </c>
      <c r="CV179">
        <f>3.683739754</f>
        <v>3.6837397539999999</v>
      </c>
      <c r="CW179">
        <f>3.074570184</f>
        <v>3.0745701840000002</v>
      </c>
      <c r="CX179">
        <f>4.527560157</f>
        <v>4.5275601569999999</v>
      </c>
      <c r="CY179">
        <f>5.845951512</f>
        <v>5.8459515120000001</v>
      </c>
      <c r="CZ179">
        <f>4.265995593</f>
        <v>4.2659955930000004</v>
      </c>
      <c r="DA179">
        <f>3.989106461</f>
        <v>3.989106461</v>
      </c>
      <c r="DB179">
        <f>3.115809153</f>
        <v>3.1158091529999998</v>
      </c>
      <c r="DC179">
        <f>1.836363477</f>
        <v>1.8363634769999999</v>
      </c>
      <c r="DD179">
        <f>1.778972884</f>
        <v>1.7789728840000001</v>
      </c>
      <c r="DE179">
        <f>2.170817255</f>
        <v>2.1708172549999998</v>
      </c>
      <c r="DF179">
        <f>3.598615574</f>
        <v>3.5986155740000001</v>
      </c>
      <c r="DG179">
        <f>5.325273789</f>
        <v>5.3252737889999997</v>
      </c>
      <c r="DH179">
        <f>6.139842321</f>
        <v>6.1398423209999997</v>
      </c>
      <c r="DI179">
        <f>3.26344293</f>
        <v>3.2634429300000001</v>
      </c>
      <c r="DJ179">
        <f>2.730804655</f>
        <v>2.730804655</v>
      </c>
      <c r="DK179">
        <f>1.217383049</f>
        <v>1.2173830489999999</v>
      </c>
      <c r="DL179">
        <f>1.911273622</f>
        <v>1.9112736219999999</v>
      </c>
      <c r="DM179">
        <f>1.062568903</f>
        <v>1.0625689030000001</v>
      </c>
      <c r="DN179">
        <f>1.04139306</f>
        <v>1.0413930600000001</v>
      </c>
      <c r="DO179">
        <f>0.952828841</f>
        <v>0.95282884099999998</v>
      </c>
      <c r="DP179">
        <f>0.882739908</f>
        <v>0.88273990800000002</v>
      </c>
      <c r="DQ179">
        <f>0.845176508</f>
        <v>0.84517650799999999</v>
      </c>
      <c r="DR179">
        <f>1.031208573</f>
        <v>1.031208573</v>
      </c>
      <c r="DS179">
        <f>1.165297614</f>
        <v>1.165297614</v>
      </c>
      <c r="DT179">
        <f>1.893269787</f>
        <v>1.8932697869999999</v>
      </c>
      <c r="DU179">
        <f>1.972952859</f>
        <v>1.9729528590000001</v>
      </c>
    </row>
    <row r="180" spans="1:125" x14ac:dyDescent="0.25">
      <c r="A180" t="str">
        <f>"    Fiat Chrysler Automobiles NV"</f>
        <v xml:space="preserve">    Fiat Chrysler Automobiles NV</v>
      </c>
      <c r="B180" t="str">
        <f>"FCAU US Equity"</f>
        <v>FCAU US Equity</v>
      </c>
      <c r="C180" t="str">
        <f t="shared" si="12"/>
        <v>RX077</v>
      </c>
      <c r="D180" t="str">
        <f t="shared" si="13"/>
        <v>PX_TO_TANG_BOOK_VAL_PER_SH</v>
      </c>
      <c r="E180" t="str">
        <f t="shared" si="14"/>
        <v>Dynamic</v>
      </c>
      <c r="F180" t="str">
        <f ca="1">IF(AND(ISNUMBER($F$850),$B$677=1),$F$850,HLOOKUP(INDIRECT(ADDRESS(2,COLUMN())),OFFSET($BN$2,0,0,ROW()-1,60),ROW()-1,FALSE))</f>
        <v/>
      </c>
      <c r="G180" t="str">
        <f ca="1">IF(AND(ISNUMBER($G$850),$B$677=1),$G$850,HLOOKUP(INDIRECT(ADDRESS(2,COLUMN())),OFFSET($BN$2,0,0,ROW()-1,60),ROW()-1,FALSE))</f>
        <v/>
      </c>
      <c r="H180" t="str">
        <f ca="1">IF(AND(ISNUMBER($H$850),$B$677=1),$H$850,HLOOKUP(INDIRECT(ADDRESS(2,COLUMN())),OFFSET($BN$2,0,0,ROW()-1,60),ROW()-1,FALSE))</f>
        <v/>
      </c>
      <c r="I180" t="str">
        <f ca="1">IF(AND(ISNUMBER($I$850),$B$677=1),$I$850,HLOOKUP(INDIRECT(ADDRESS(2,COLUMN())),OFFSET($BN$2,0,0,ROW()-1,60),ROW()-1,FALSE))</f>
        <v/>
      </c>
      <c r="J180" t="str">
        <f ca="1">IF(AND(ISNUMBER($J$850),$B$677=1),$J$850,HLOOKUP(INDIRECT(ADDRESS(2,COLUMN())),OFFSET($BN$2,0,0,ROW()-1,60),ROW()-1,FALSE))</f>
        <v/>
      </c>
      <c r="K180" t="str">
        <f ca="1">IF(AND(ISNUMBER($K$850),$B$677=1),$K$850,HLOOKUP(INDIRECT(ADDRESS(2,COLUMN())),OFFSET($BN$2,0,0,ROW()-1,60),ROW()-1,FALSE))</f>
        <v/>
      </c>
      <c r="L180" t="str">
        <f ca="1">IF(AND(ISNUMBER($L$850),$B$677=1),$L$850,HLOOKUP(INDIRECT(ADDRESS(2,COLUMN())),OFFSET($BN$2,0,0,ROW()-1,60),ROW()-1,FALSE))</f>
        <v/>
      </c>
      <c r="M180" t="str">
        <f ca="1">IF(AND(ISNUMBER($M$850),$B$677=1),$M$850,HLOOKUP(INDIRECT(ADDRESS(2,COLUMN())),OFFSET($BN$2,0,0,ROW()-1,60),ROW()-1,FALSE))</f>
        <v/>
      </c>
      <c r="N180" t="str">
        <f ca="1">IF(AND(ISNUMBER($N$850),$B$677=1),$N$850,HLOOKUP(INDIRECT(ADDRESS(2,COLUMN())),OFFSET($BN$2,0,0,ROW()-1,60),ROW()-1,FALSE))</f>
        <v/>
      </c>
      <c r="O180" t="str">
        <f ca="1">IF(AND(ISNUMBER($O$850),$B$677=1),$O$850,HLOOKUP(INDIRECT(ADDRESS(2,COLUMN())),OFFSET($BN$2,0,0,ROW()-1,60),ROW()-1,FALSE))</f>
        <v/>
      </c>
      <c r="P180" t="str">
        <f ca="1">IF(AND(ISNUMBER($P$850),$B$677=1),$P$850,HLOOKUP(INDIRECT(ADDRESS(2,COLUMN())),OFFSET($BN$2,0,0,ROW()-1,60),ROW()-1,FALSE))</f>
        <v/>
      </c>
      <c r="Q180" t="str">
        <f ca="1">IF(AND(ISNUMBER($Q$850),$B$677=1),$Q$850,HLOOKUP(INDIRECT(ADDRESS(2,COLUMN())),OFFSET($BN$2,0,0,ROW()-1,60),ROW()-1,FALSE))</f>
        <v/>
      </c>
      <c r="R180" t="str">
        <f ca="1">IF(AND(ISNUMBER($R$850),$B$677=1),$R$850,HLOOKUP(INDIRECT(ADDRESS(2,COLUMN())),OFFSET($BN$2,0,0,ROW()-1,60),ROW()-1,FALSE))</f>
        <v/>
      </c>
      <c r="S180" t="str">
        <f ca="1">IF(AND(ISNUMBER($S$850),$B$677=1),$S$850,HLOOKUP(INDIRECT(ADDRESS(2,COLUMN())),OFFSET($BN$2,0,0,ROW()-1,60),ROW()-1,FALSE))</f>
        <v/>
      </c>
      <c r="T180" t="str">
        <f ca="1">IF(AND(ISNUMBER($T$850),$B$677=1),$T$850,HLOOKUP(INDIRECT(ADDRESS(2,COLUMN())),OFFSET($BN$2,0,0,ROW()-1,60),ROW()-1,FALSE))</f>
        <v/>
      </c>
      <c r="U180" t="str">
        <f ca="1">IF(AND(ISNUMBER($U$850),$B$677=1),$U$850,HLOOKUP(INDIRECT(ADDRESS(2,COLUMN())),OFFSET($BN$2,0,0,ROW()-1,60),ROW()-1,FALSE))</f>
        <v/>
      </c>
      <c r="V180" t="str">
        <f ca="1">IF(AND(ISNUMBER($V$850),$B$677=1),$V$850,HLOOKUP(INDIRECT(ADDRESS(2,COLUMN())),OFFSET($BN$2,0,0,ROW()-1,60),ROW()-1,FALSE))</f>
        <v/>
      </c>
      <c r="W180" t="str">
        <f ca="1">IF(AND(ISNUMBER($W$850),$B$677=1),$W$850,HLOOKUP(INDIRECT(ADDRESS(2,COLUMN())),OFFSET($BN$2,0,0,ROW()-1,60),ROW()-1,FALSE))</f>
        <v/>
      </c>
      <c r="X180" t="str">
        <f ca="1">IF(AND(ISNUMBER($X$850),$B$677=1),$X$850,HLOOKUP(INDIRECT(ADDRESS(2,COLUMN())),OFFSET($BN$2,0,0,ROW()-1,60),ROW()-1,FALSE))</f>
        <v/>
      </c>
      <c r="Y180" t="str">
        <f ca="1">IF(AND(ISNUMBER($Y$850),$B$677=1),$Y$850,HLOOKUP(INDIRECT(ADDRESS(2,COLUMN())),OFFSET($BN$2,0,0,ROW()-1,60),ROW()-1,FALSE))</f>
        <v/>
      </c>
      <c r="Z180" t="str">
        <f ca="1">IF(AND(ISNUMBER($Z$850),$B$677=1),$Z$850,HLOOKUP(INDIRECT(ADDRESS(2,COLUMN())),OFFSET($BN$2,0,0,ROW()-1,60),ROW()-1,FALSE))</f>
        <v/>
      </c>
      <c r="AA180" t="str">
        <f ca="1">IF(AND(ISNUMBER($AA$850),$B$677=1),$AA$850,HLOOKUP(INDIRECT(ADDRESS(2,COLUMN())),OFFSET($BN$2,0,0,ROW()-1,60),ROW()-1,FALSE))</f>
        <v/>
      </c>
      <c r="AB180" t="str">
        <f ca="1">IF(AND(ISNUMBER($AB$850),$B$677=1),$AB$850,HLOOKUP(INDIRECT(ADDRESS(2,COLUMN())),OFFSET($BN$2,0,0,ROW()-1,60),ROW()-1,FALSE))</f>
        <v/>
      </c>
      <c r="AC180" t="str">
        <f ca="1">IF(AND(ISNUMBER($AC$850),$B$677=1),$AC$850,HLOOKUP(INDIRECT(ADDRESS(2,COLUMN())),OFFSET($BN$2,0,0,ROW()-1,60),ROW()-1,FALSE))</f>
        <v/>
      </c>
      <c r="AD180" t="str">
        <f ca="1">IF(AND(ISNUMBER($AD$850),$B$677=1),$AD$850,HLOOKUP(INDIRECT(ADDRESS(2,COLUMN())),OFFSET($BN$2,0,0,ROW()-1,60),ROW()-1,FALSE))</f>
        <v/>
      </c>
      <c r="AE180" t="str">
        <f ca="1">IF(AND(ISNUMBER($AE$850),$B$677=1),$AE$850,HLOOKUP(INDIRECT(ADDRESS(2,COLUMN())),OFFSET($BN$2,0,0,ROW()-1,60),ROW()-1,FALSE))</f>
        <v/>
      </c>
      <c r="AF180" t="str">
        <f ca="1">IF(AND(ISNUMBER($AF$850),$B$677=1),$AF$850,HLOOKUP(INDIRECT(ADDRESS(2,COLUMN())),OFFSET($BN$2,0,0,ROW()-1,60),ROW()-1,FALSE))</f>
        <v/>
      </c>
      <c r="AG180" t="str">
        <f ca="1">IF(AND(ISNUMBER($AG$850),$B$677=1),$AG$850,HLOOKUP(INDIRECT(ADDRESS(2,COLUMN())),OFFSET($BN$2,0,0,ROW()-1,60),ROW()-1,FALSE))</f>
        <v/>
      </c>
      <c r="AH180" t="str">
        <f ca="1">IF(AND(ISNUMBER($AH$850),$B$677=1),$AH$850,HLOOKUP(INDIRECT(ADDRESS(2,COLUMN())),OFFSET($BN$2,0,0,ROW()-1,60),ROW()-1,FALSE))</f>
        <v/>
      </c>
      <c r="AI180" t="str">
        <f ca="1">IF(AND(ISNUMBER($AI$850),$B$677=1),$AI$850,HLOOKUP(INDIRECT(ADDRESS(2,COLUMN())),OFFSET($BN$2,0,0,ROW()-1,60),ROW()-1,FALSE))</f>
        <v/>
      </c>
      <c r="AJ180" t="str">
        <f ca="1">IF(AND(ISNUMBER($AJ$850),$B$677=1),$AJ$850,HLOOKUP(INDIRECT(ADDRESS(2,COLUMN())),OFFSET($BN$2,0,0,ROW()-1,60),ROW()-1,FALSE))</f>
        <v/>
      </c>
      <c r="AK180" t="str">
        <f ca="1">IF(AND(ISNUMBER($AK$850),$B$677=1),$AK$850,HLOOKUP(INDIRECT(ADDRESS(2,COLUMN())),OFFSET($BN$2,0,0,ROW()-1,60),ROW()-1,FALSE))</f>
        <v/>
      </c>
      <c r="AL180" t="str">
        <f ca="1">IF(AND(ISNUMBER($AL$850),$B$677=1),$AL$850,HLOOKUP(INDIRECT(ADDRESS(2,COLUMN())),OFFSET($BN$2,0,0,ROW()-1,60),ROW()-1,FALSE))</f>
        <v/>
      </c>
      <c r="AM180" t="str">
        <f ca="1">IF(AND(ISNUMBER($AM$850),$B$677=1),$AM$850,HLOOKUP(INDIRECT(ADDRESS(2,COLUMN())),OFFSET($BN$2,0,0,ROW()-1,60),ROW()-1,FALSE))</f>
        <v/>
      </c>
      <c r="AN180" t="str">
        <f ca="1">IF(AND(ISNUMBER($AN$850),$B$677=1),$AN$850,HLOOKUP(INDIRECT(ADDRESS(2,COLUMN())),OFFSET($BN$2,0,0,ROW()-1,60),ROW()-1,FALSE))</f>
        <v/>
      </c>
      <c r="AO180" t="str">
        <f ca="1">IF(AND(ISNUMBER($AO$850),$B$677=1),$AO$850,HLOOKUP(INDIRECT(ADDRESS(2,COLUMN())),OFFSET($BN$2,0,0,ROW()-1,60),ROW()-1,FALSE))</f>
        <v/>
      </c>
      <c r="AP180" t="str">
        <f ca="1">IF(AND(ISNUMBER($AP$850),$B$677=1),$AP$850,HLOOKUP(INDIRECT(ADDRESS(2,COLUMN())),OFFSET($BN$2,0,0,ROW()-1,60),ROW()-1,FALSE))</f>
        <v/>
      </c>
      <c r="AQ180" t="str">
        <f ca="1">IF(AND(ISNUMBER($AQ$850),$B$677=1),$AQ$850,HLOOKUP(INDIRECT(ADDRESS(2,COLUMN())),OFFSET($BN$2,0,0,ROW()-1,60),ROW()-1,FALSE))</f>
        <v/>
      </c>
      <c r="AR180" t="str">
        <f ca="1">IF(AND(ISNUMBER($AR$850),$B$677=1),$AR$850,HLOOKUP(INDIRECT(ADDRESS(2,COLUMN())),OFFSET($BN$2,0,0,ROW()-1,60),ROW()-1,FALSE))</f>
        <v/>
      </c>
      <c r="AS180" t="str">
        <f ca="1">IF(AND(ISNUMBER($AS$850),$B$677=1),$AS$850,HLOOKUP(INDIRECT(ADDRESS(2,COLUMN())),OFFSET($BN$2,0,0,ROW()-1,60),ROW()-1,FALSE))</f>
        <v/>
      </c>
      <c r="AT180" t="str">
        <f ca="1">IF(AND(ISNUMBER($AT$850),$B$677=1),$AT$850,HLOOKUP(INDIRECT(ADDRESS(2,COLUMN())),OFFSET($BN$2,0,0,ROW()-1,60),ROW()-1,FALSE))</f>
        <v/>
      </c>
      <c r="AU180" t="str">
        <f ca="1">IF(AND(ISNUMBER($AU$850),$B$677=1),$AU$850,HLOOKUP(INDIRECT(ADDRESS(2,COLUMN())),OFFSET($BN$2,0,0,ROW()-1,60),ROW()-1,FALSE))</f>
        <v/>
      </c>
      <c r="AV180" t="str">
        <f ca="1">IF(AND(ISNUMBER($AV$850),$B$677=1),$AV$850,HLOOKUP(INDIRECT(ADDRESS(2,COLUMN())),OFFSET($BN$2,0,0,ROW()-1,60),ROW()-1,FALSE))</f>
        <v/>
      </c>
      <c r="AW180" t="str">
        <f ca="1">IF(AND(ISNUMBER($AW$850),$B$677=1),$AW$850,HLOOKUP(INDIRECT(ADDRESS(2,COLUMN())),OFFSET($BN$2,0,0,ROW()-1,60),ROW()-1,FALSE))</f>
        <v/>
      </c>
      <c r="AX180" t="str">
        <f ca="1">IF(AND(ISNUMBER($AX$850),$B$677=1),$AX$850,HLOOKUP(INDIRECT(ADDRESS(2,COLUMN())),OFFSET($BN$2,0,0,ROW()-1,60),ROW()-1,FALSE))</f>
        <v/>
      </c>
      <c r="AY180" t="str">
        <f ca="1">IF(AND(ISNUMBER($AY$850),$B$677=1),$AY$850,HLOOKUP(INDIRECT(ADDRESS(2,COLUMN())),OFFSET($BN$2,0,0,ROW()-1,60),ROW()-1,FALSE))</f>
        <v/>
      </c>
      <c r="AZ180" t="str">
        <f ca="1">IF(AND(ISNUMBER($AZ$850),$B$677=1),$AZ$850,HLOOKUP(INDIRECT(ADDRESS(2,COLUMN())),OFFSET($BN$2,0,0,ROW()-1,60),ROW()-1,FALSE))</f>
        <v/>
      </c>
      <c r="BA180" t="str">
        <f ca="1">IF(AND(ISNUMBER($BA$850),$B$677=1),$BA$850,HLOOKUP(INDIRECT(ADDRESS(2,COLUMN())),OFFSET($BN$2,0,0,ROW()-1,60),ROW()-1,FALSE))</f>
        <v/>
      </c>
      <c r="BB180" t="str">
        <f ca="1">IF(AND(ISNUMBER($BB$850),$B$677=1),$BB$850,HLOOKUP(INDIRECT(ADDRESS(2,COLUMN())),OFFSET($BN$2,0,0,ROW()-1,60),ROW()-1,FALSE))</f>
        <v/>
      </c>
      <c r="BC180" t="str">
        <f ca="1">IF(AND(ISNUMBER($BC$850),$B$677=1),$BC$850,HLOOKUP(INDIRECT(ADDRESS(2,COLUMN())),OFFSET($BN$2,0,0,ROW()-1,60),ROW()-1,FALSE))</f>
        <v/>
      </c>
      <c r="BD180" t="str">
        <f ca="1">IF(AND(ISNUMBER($BD$850),$B$677=1),$BD$850,HLOOKUP(INDIRECT(ADDRESS(2,COLUMN())),OFFSET($BN$2,0,0,ROW()-1,60),ROW()-1,FALSE))</f>
        <v/>
      </c>
      <c r="BE180" t="str">
        <f ca="1">IF(AND(ISNUMBER($BE$850),$B$677=1),$BE$850,HLOOKUP(INDIRECT(ADDRESS(2,COLUMN())),OFFSET($BN$2,0,0,ROW()-1,60),ROW()-1,FALSE))</f>
        <v/>
      </c>
      <c r="BF180" t="str">
        <f ca="1">IF(AND(ISNUMBER($BF$850),$B$677=1),$BF$850,HLOOKUP(INDIRECT(ADDRESS(2,COLUMN())),OFFSET($BN$2,0,0,ROW()-1,60),ROW()-1,FALSE))</f>
        <v/>
      </c>
      <c r="BG180" t="str">
        <f ca="1">IF(AND(ISNUMBER($BG$850),$B$677=1),$BG$850,HLOOKUP(INDIRECT(ADDRESS(2,COLUMN())),OFFSET($BN$2,0,0,ROW()-1,60),ROW()-1,FALSE))</f>
        <v/>
      </c>
      <c r="BH180" t="str">
        <f ca="1">IF(AND(ISNUMBER($BH$850),$B$677=1),$BH$850,HLOOKUP(INDIRECT(ADDRESS(2,COLUMN())),OFFSET($BN$2,0,0,ROW()-1,60),ROW()-1,FALSE))</f>
        <v/>
      </c>
      <c r="BI180" t="str">
        <f ca="1">IF(AND(ISNUMBER($BI$850),$B$677=1),$BI$850,HLOOKUP(INDIRECT(ADDRESS(2,COLUMN())),OFFSET($BN$2,0,0,ROW()-1,60),ROW()-1,FALSE))</f>
        <v/>
      </c>
      <c r="BJ180" t="str">
        <f ca="1">IF(AND(ISNUMBER($BJ$850),$B$677=1),$BJ$850,HLOOKUP(INDIRECT(ADDRESS(2,COLUMN())),OFFSET($BN$2,0,0,ROW()-1,60),ROW()-1,FALSE))</f>
        <v/>
      </c>
      <c r="BK180" t="str">
        <f ca="1">IF(AND(ISNUMBER($BK$850),$B$677=1),$BK$850,HLOOKUP(INDIRECT(ADDRESS(2,COLUMN())),OFFSET($BN$2,0,0,ROW()-1,60),ROW()-1,FALSE))</f>
        <v/>
      </c>
      <c r="BL180" t="str">
        <f ca="1">IF(AND(ISNUMBER($BL$850),$B$677=1),$BL$850,HLOOKUP(INDIRECT(ADDRESS(2,COLUMN())),OFFSET($BN$2,0,0,ROW()-1,60),ROW()-1,FALSE))</f>
        <v/>
      </c>
      <c r="BM180" t="str">
        <f ca="1">IF(AND(ISNUMBER($BM$850),$B$677=1),$BM$850,HLOOKUP(INDIRECT(ADDRESS(2,COLUMN())),OFFSET($BN$2,0,0,ROW()-1,60),ROW()-1,FALSE))</f>
        <v/>
      </c>
      <c r="BN180" t="str">
        <f>""</f>
        <v/>
      </c>
      <c r="BO180" t="str">
        <f>""</f>
        <v/>
      </c>
      <c r="BP180" t="str">
        <f>""</f>
        <v/>
      </c>
      <c r="BQ180" t="str">
        <f>""</f>
        <v/>
      </c>
      <c r="BR180" t="str">
        <f>""</f>
        <v/>
      </c>
      <c r="BS180" t="str">
        <f>""</f>
        <v/>
      </c>
      <c r="BT180" t="str">
        <f>""</f>
        <v/>
      </c>
      <c r="BU180" t="str">
        <f>""</f>
        <v/>
      </c>
      <c r="BV180" t="str">
        <f>""</f>
        <v/>
      </c>
      <c r="BW180" t="str">
        <f>""</f>
        <v/>
      </c>
      <c r="BX180" t="str">
        <f>""</f>
        <v/>
      </c>
      <c r="BY180" t="str">
        <f>""</f>
        <v/>
      </c>
      <c r="BZ180" t="str">
        <f>""</f>
        <v/>
      </c>
      <c r="CA180" t="str">
        <f>""</f>
        <v/>
      </c>
      <c r="CB180" t="str">
        <f>""</f>
        <v/>
      </c>
      <c r="CC180" t="str">
        <f>""</f>
        <v/>
      </c>
      <c r="CD180" t="str">
        <f>""</f>
        <v/>
      </c>
      <c r="CE180" t="str">
        <f>""</f>
        <v/>
      </c>
      <c r="CF180" t="str">
        <f>""</f>
        <v/>
      </c>
      <c r="CG180" t="str">
        <f>""</f>
        <v/>
      </c>
      <c r="CH180" t="str">
        <f>""</f>
        <v/>
      </c>
      <c r="CI180" t="str">
        <f>""</f>
        <v/>
      </c>
      <c r="CJ180" t="str">
        <f>""</f>
        <v/>
      </c>
      <c r="CK180" t="str">
        <f>""</f>
        <v/>
      </c>
      <c r="CL180" t="str">
        <f>""</f>
        <v/>
      </c>
      <c r="CM180" t="str">
        <f>""</f>
        <v/>
      </c>
      <c r="CN180" t="str">
        <f>""</f>
        <v/>
      </c>
      <c r="CO180" t="str">
        <f>""</f>
        <v/>
      </c>
      <c r="CP180" t="str">
        <f>""</f>
        <v/>
      </c>
      <c r="CQ180" t="str">
        <f>""</f>
        <v/>
      </c>
      <c r="CR180" t="str">
        <f>""</f>
        <v/>
      </c>
      <c r="CS180" t="str">
        <f>""</f>
        <v/>
      </c>
      <c r="CT180" t="str">
        <f>""</f>
        <v/>
      </c>
      <c r="CU180" t="str">
        <f>""</f>
        <v/>
      </c>
      <c r="CV180" t="str">
        <f>""</f>
        <v/>
      </c>
      <c r="CW180" t="str">
        <f>""</f>
        <v/>
      </c>
      <c r="CX180" t="str">
        <f>""</f>
        <v/>
      </c>
      <c r="CY180" t="str">
        <f>""</f>
        <v/>
      </c>
      <c r="CZ180" t="str">
        <f>""</f>
        <v/>
      </c>
      <c r="DA180" t="str">
        <f>""</f>
        <v/>
      </c>
      <c r="DB180" t="str">
        <f>""</f>
        <v/>
      </c>
      <c r="DC180" t="str">
        <f>""</f>
        <v/>
      </c>
      <c r="DD180" t="str">
        <f>""</f>
        <v/>
      </c>
      <c r="DE180" t="str">
        <f>""</f>
        <v/>
      </c>
      <c r="DF180" t="str">
        <f>""</f>
        <v/>
      </c>
      <c r="DG180" t="str">
        <f>""</f>
        <v/>
      </c>
      <c r="DH180" t="str">
        <f>""</f>
        <v/>
      </c>
      <c r="DI180" t="str">
        <f>""</f>
        <v/>
      </c>
      <c r="DJ180" t="str">
        <f>""</f>
        <v/>
      </c>
      <c r="DK180" t="str">
        <f>""</f>
        <v/>
      </c>
      <c r="DL180" t="str">
        <f>""</f>
        <v/>
      </c>
      <c r="DM180" t="str">
        <f>""</f>
        <v/>
      </c>
      <c r="DN180" t="str">
        <f>""</f>
        <v/>
      </c>
      <c r="DO180" t="str">
        <f>""</f>
        <v/>
      </c>
      <c r="DP180" t="str">
        <f>""</f>
        <v/>
      </c>
      <c r="DQ180" t="str">
        <f>""</f>
        <v/>
      </c>
      <c r="DR180" t="str">
        <f>""</f>
        <v/>
      </c>
      <c r="DS180" t="str">
        <f>""</f>
        <v/>
      </c>
      <c r="DT180" t="str">
        <f>""</f>
        <v/>
      </c>
      <c r="DU180" t="str">
        <f>""</f>
        <v/>
      </c>
    </row>
    <row r="181" spans="1:125" x14ac:dyDescent="0.25">
      <c r="A181" t="str">
        <f>"    Ford Motor Co"</f>
        <v xml:space="preserve">    Ford Motor Co</v>
      </c>
      <c r="B181" t="str">
        <f>"F US Equity"</f>
        <v>F US Equity</v>
      </c>
      <c r="C181" t="str">
        <f t="shared" si="12"/>
        <v>RX077</v>
      </c>
      <c r="D181" t="str">
        <f t="shared" si="13"/>
        <v>PX_TO_TANG_BOOK_VAL_PER_SH</v>
      </c>
      <c r="E181" t="str">
        <f t="shared" si="14"/>
        <v>Dynamic</v>
      </c>
      <c r="F181">
        <f ca="1">IF(AND(ISNUMBER($F$851),$B$677=1),$F$851,HLOOKUP(INDIRECT(ADDRESS(2,COLUMN())),OFFSET($BN$2,0,0,ROW()-1,60),ROW()-1,FALSE))</f>
        <v>0.96921143499999995</v>
      </c>
      <c r="G181">
        <f ca="1">IF(AND(ISNUMBER($G$851),$B$677=1),$G$851,HLOOKUP(INDIRECT(ADDRESS(2,COLUMN())),OFFSET($BN$2,0,0,ROW()-1,60),ROW()-1,FALSE))</f>
        <v>0.85125918199999995</v>
      </c>
      <c r="H181">
        <f ca="1">IF(AND(ISNUMBER($H$851),$B$677=1),$H$851,HLOOKUP(INDIRECT(ADDRESS(2,COLUMN())),OFFSET($BN$2,0,0,ROW()-1,60),ROW()-1,FALSE))</f>
        <v>1.013178575</v>
      </c>
      <c r="I181">
        <f ca="1">IF(AND(ISNUMBER($I$851),$B$677=1),$I$851,HLOOKUP(INDIRECT(ADDRESS(2,COLUMN())),OFFSET($BN$2,0,0,ROW()-1,60),ROW()-1,FALSE))</f>
        <v>1.2199179600000001</v>
      </c>
      <c r="J181">
        <f ca="1">IF(AND(ISNUMBER($J$851),$B$677=1),$J$851,HLOOKUP(INDIRECT(ADDRESS(2,COLUMN())),OFFSET($BN$2,0,0,ROW()-1,60),ROW()-1,FALSE))</f>
        <v>1.2201498369999999</v>
      </c>
      <c r="K181">
        <f ca="1">IF(AND(ISNUMBER($K$851),$B$677=1),$K$851,HLOOKUP(INDIRECT(ADDRESS(2,COLUMN())),OFFSET($BN$2,0,0,ROW()-1,60),ROW()-1,FALSE))</f>
        <v>1.4032846649999999</v>
      </c>
      <c r="L181" t="str">
        <f ca="1">IF(AND(ISNUMBER($L$851),$B$677=1),$L$851,HLOOKUP(INDIRECT(ADDRESS(2,COLUMN())),OFFSET($BN$2,0,0,ROW()-1,60),ROW()-1,FALSE))</f>
        <v/>
      </c>
      <c r="M181" t="str">
        <f ca="1">IF(AND(ISNUMBER($M$851),$B$677=1),$M$851,HLOOKUP(INDIRECT(ADDRESS(2,COLUMN())),OFFSET($BN$2,0,0,ROW()-1,60),ROW()-1,FALSE))</f>
        <v/>
      </c>
      <c r="N181">
        <f ca="1">IF(AND(ISNUMBER($N$851),$B$677=1),$N$851,HLOOKUP(INDIRECT(ADDRESS(2,COLUMN())),OFFSET($BN$2,0,0,ROW()-1,60),ROW()-1,FALSE))</f>
        <v>1.6022294260000001</v>
      </c>
      <c r="O181">
        <f ca="1">IF(AND(ISNUMBER($O$851),$B$677=1),$O$851,HLOOKUP(INDIRECT(ADDRESS(2,COLUMN())),OFFSET($BN$2,0,0,ROW()-1,60),ROW()-1,FALSE))</f>
        <v>1.663959156</v>
      </c>
      <c r="P181" t="str">
        <f ca="1">IF(AND(ISNUMBER($P$851),$B$677=1),$P$851,HLOOKUP(INDIRECT(ADDRESS(2,COLUMN())),OFFSET($BN$2,0,0,ROW()-1,60),ROW()-1,FALSE))</f>
        <v/>
      </c>
      <c r="Q181" t="str">
        <f ca="1">IF(AND(ISNUMBER($Q$851),$B$677=1),$Q$851,HLOOKUP(INDIRECT(ADDRESS(2,COLUMN())),OFFSET($BN$2,0,0,ROW()-1,60),ROW()-1,FALSE))</f>
        <v/>
      </c>
      <c r="R181">
        <f ca="1">IF(AND(ISNUMBER($R$851),$B$677=1),$R$851,HLOOKUP(INDIRECT(ADDRESS(2,COLUMN())),OFFSET($BN$2,0,0,ROW()-1,60),ROW()-1,FALSE))</f>
        <v>1.8582299579999999</v>
      </c>
      <c r="S181">
        <f ca="1">IF(AND(ISNUMBER($S$851),$B$677=1),$S$851,HLOOKUP(INDIRECT(ADDRESS(2,COLUMN())),OFFSET($BN$2,0,0,ROW()-1,60),ROW()-1,FALSE))</f>
        <v>1.9612329669999999</v>
      </c>
      <c r="T181" t="str">
        <f ca="1">IF(AND(ISNUMBER($T$851),$B$677=1),$T$851,HLOOKUP(INDIRECT(ADDRESS(2,COLUMN())),OFFSET($BN$2,0,0,ROW()-1,60),ROW()-1,FALSE))</f>
        <v/>
      </c>
      <c r="U181" t="str">
        <f ca="1">IF(AND(ISNUMBER($U$851),$B$677=1),$U$851,HLOOKUP(INDIRECT(ADDRESS(2,COLUMN())),OFFSET($BN$2,0,0,ROW()-1,60),ROW()-1,FALSE))</f>
        <v/>
      </c>
      <c r="V181">
        <f ca="1">IF(AND(ISNUMBER($V$851),$B$677=1),$V$851,HLOOKUP(INDIRECT(ADDRESS(2,COLUMN())),OFFSET($BN$2,0,0,ROW()-1,60),ROW()-1,FALSE))</f>
        <v>2.6302415099999998</v>
      </c>
      <c r="W181">
        <f ca="1">IF(AND(ISNUMBER($W$851),$B$677=1),$W$851,HLOOKUP(INDIRECT(ADDRESS(2,COLUMN())),OFFSET($BN$2,0,0,ROW()-1,60),ROW()-1,FALSE))</f>
        <v>2.5228182800000001</v>
      </c>
      <c r="X181" t="str">
        <f ca="1">IF(AND(ISNUMBER($X$851),$B$677=1),$X$851,HLOOKUP(INDIRECT(ADDRESS(2,COLUMN())),OFFSET($BN$2,0,0,ROW()-1,60),ROW()-1,FALSE))</f>
        <v/>
      </c>
      <c r="Y181" t="str">
        <f ca="1">IF(AND(ISNUMBER($Y$851),$B$677=1),$Y$851,HLOOKUP(INDIRECT(ADDRESS(2,COLUMN())),OFFSET($BN$2,0,0,ROW()-1,60),ROW()-1,FALSE))</f>
        <v/>
      </c>
      <c r="Z181">
        <f ca="1">IF(AND(ISNUMBER($Z$851),$B$677=1),$Z$851,HLOOKUP(INDIRECT(ADDRESS(2,COLUMN())),OFFSET($BN$2,0,0,ROW()-1,60),ROW()-1,FALSE))</f>
        <v>2.3411094530000001</v>
      </c>
      <c r="AA181">
        <f ca="1">IF(AND(ISNUMBER($AA$851),$B$677=1),$AA$851,HLOOKUP(INDIRECT(ADDRESS(2,COLUMN())),OFFSET($BN$2,0,0,ROW()-1,60),ROW()-1,FALSE))</f>
        <v>2.3380788899999998</v>
      </c>
      <c r="AB181">
        <f ca="1">IF(AND(ISNUMBER($AB$851),$B$677=1),$AB$851,HLOOKUP(INDIRECT(ADDRESS(2,COLUMN())),OFFSET($BN$2,0,0,ROW()-1,60),ROW()-1,FALSE))</f>
        <v>3.2649353130000001</v>
      </c>
      <c r="AC181">
        <f ca="1">IF(AND(ISNUMBER($AC$851),$B$677=1),$AC$851,HLOOKUP(INDIRECT(ADDRESS(2,COLUMN())),OFFSET($BN$2,0,0,ROW()-1,60),ROW()-1,FALSE))</f>
        <v>3.1914259760000001</v>
      </c>
      <c r="AD181">
        <f ca="1">IF(AND(ISNUMBER($AD$851),$B$677=1),$AD$851,HLOOKUP(INDIRECT(ADDRESS(2,COLUMN())),OFFSET($BN$2,0,0,ROW()-1,60),ROW()-1,FALSE))</f>
        <v>2.9521649089999999</v>
      </c>
      <c r="AE181">
        <f ca="1">IF(AND(ISNUMBER($AE$851),$B$677=1),$AE$851,HLOOKUP(INDIRECT(ADDRESS(2,COLUMN())),OFFSET($BN$2,0,0,ROW()-1,60),ROW()-1,FALSE))</f>
        <v>3.2056236849999999</v>
      </c>
      <c r="AF181">
        <f ca="1">IF(AND(ISNUMBER($AF$851),$B$677=1),$AF$851,HLOOKUP(INDIRECT(ADDRESS(2,COLUMN())),OFFSET($BN$2,0,0,ROW()-1,60),ROW()-1,FALSE))</f>
        <v>2.0047380160000001</v>
      </c>
      <c r="AG181">
        <f ca="1">IF(AND(ISNUMBER($AG$851),$B$677=1),$AG$851,HLOOKUP(INDIRECT(ADDRESS(2,COLUMN())),OFFSET($BN$2,0,0,ROW()-1,60),ROW()-1,FALSE))</f>
        <v>2.159030225</v>
      </c>
      <c r="AH181">
        <f ca="1">IF(AND(ISNUMBER($AH$851),$B$677=1),$AH$851,HLOOKUP(INDIRECT(ADDRESS(2,COLUMN())),OFFSET($BN$2,0,0,ROW()-1,60),ROW()-1,FALSE))</f>
        <v>2.883832124</v>
      </c>
      <c r="AI181">
        <f ca="1">IF(AND(ISNUMBER($AI$851),$B$677=1),$AI$851,HLOOKUP(INDIRECT(ADDRESS(2,COLUMN())),OFFSET($BN$2,0,0,ROW()-1,60),ROW()-1,FALSE))</f>
        <v>2.7395522510000001</v>
      </c>
      <c r="AJ181">
        <f ca="1">IF(AND(ISNUMBER($AJ$851),$B$677=1),$AJ$851,HLOOKUP(INDIRECT(ADDRESS(2,COLUMN())),OFFSET($BN$2,0,0,ROW()-1,60),ROW()-1,FALSE))</f>
        <v>6.2473595700000004</v>
      </c>
      <c r="AK181">
        <f ca="1">IF(AND(ISNUMBER($AK$851),$B$677=1),$AK$851,HLOOKUP(INDIRECT(ADDRESS(2,COLUMN())),OFFSET($BN$2,0,0,ROW()-1,60),ROW()-1,FALSE))</f>
        <v>10.06523977</v>
      </c>
      <c r="AL181">
        <f ca="1">IF(AND(ISNUMBER($AL$851),$B$677=1),$AL$851,HLOOKUP(INDIRECT(ADDRESS(2,COLUMN())),OFFSET($BN$2,0,0,ROW()-1,60),ROW()-1,FALSE))</f>
        <v>24.32600463</v>
      </c>
      <c r="AM181" t="str">
        <f ca="1">IF(AND(ISNUMBER($AM$851),$B$677=1),$AM$851,HLOOKUP(INDIRECT(ADDRESS(2,COLUMN())),OFFSET($BN$2,0,0,ROW()-1,60),ROW()-1,FALSE))</f>
        <v/>
      </c>
      <c r="AN181" t="str">
        <f ca="1">IF(AND(ISNUMBER($AN$851),$B$677=1),$AN$851,HLOOKUP(INDIRECT(ADDRESS(2,COLUMN())),OFFSET($BN$2,0,0,ROW()-1,60),ROW()-1,FALSE))</f>
        <v/>
      </c>
      <c r="AO181" t="str">
        <f ca="1">IF(AND(ISNUMBER($AO$851),$B$677=1),$AO$851,HLOOKUP(INDIRECT(ADDRESS(2,COLUMN())),OFFSET($BN$2,0,0,ROW()-1,60),ROW()-1,FALSE))</f>
        <v/>
      </c>
      <c r="AP181" t="str">
        <f ca="1">IF(AND(ISNUMBER($AP$851),$B$677=1),$AP$851,HLOOKUP(INDIRECT(ADDRESS(2,COLUMN())),OFFSET($BN$2,0,0,ROW()-1,60),ROW()-1,FALSE))</f>
        <v/>
      </c>
      <c r="AQ181" t="str">
        <f ca="1">IF(AND(ISNUMBER($AQ$851),$B$677=1),$AQ$851,HLOOKUP(INDIRECT(ADDRESS(2,COLUMN())),OFFSET($BN$2,0,0,ROW()-1,60),ROW()-1,FALSE))</f>
        <v/>
      </c>
      <c r="AR181" t="str">
        <f ca="1">IF(AND(ISNUMBER($AR$851),$B$677=1),$AR$851,HLOOKUP(INDIRECT(ADDRESS(2,COLUMN())),OFFSET($BN$2,0,0,ROW()-1,60),ROW()-1,FALSE))</f>
        <v/>
      </c>
      <c r="AS181" t="str">
        <f ca="1">IF(AND(ISNUMBER($AS$851),$B$677=1),$AS$851,HLOOKUP(INDIRECT(ADDRESS(2,COLUMN())),OFFSET($BN$2,0,0,ROW()-1,60),ROW()-1,FALSE))</f>
        <v/>
      </c>
      <c r="AT181" t="str">
        <f ca="1">IF(AND(ISNUMBER($AT$851),$B$677=1),$AT$851,HLOOKUP(INDIRECT(ADDRESS(2,COLUMN())),OFFSET($BN$2,0,0,ROW()-1,60),ROW()-1,FALSE))</f>
        <v/>
      </c>
      <c r="AU181" t="str">
        <f ca="1">IF(AND(ISNUMBER($AU$851),$B$677=1),$AU$851,HLOOKUP(INDIRECT(ADDRESS(2,COLUMN())),OFFSET($BN$2,0,0,ROW()-1,60),ROW()-1,FALSE))</f>
        <v/>
      </c>
      <c r="AV181" t="str">
        <f ca="1">IF(AND(ISNUMBER($AV$851),$B$677=1),$AV$851,HLOOKUP(INDIRECT(ADDRESS(2,COLUMN())),OFFSET($BN$2,0,0,ROW()-1,60),ROW()-1,FALSE))</f>
        <v/>
      </c>
      <c r="AW181">
        <f ca="1">IF(AND(ISNUMBER($AW$851),$B$677=1),$AW$851,HLOOKUP(INDIRECT(ADDRESS(2,COLUMN())),OFFSET($BN$2,0,0,ROW()-1,60),ROW()-1,FALSE))</f>
        <v>3.960681202</v>
      </c>
      <c r="AX181">
        <f ca="1">IF(AND(ISNUMBER($AX$851),$B$677=1),$AX$851,HLOOKUP(INDIRECT(ADDRESS(2,COLUMN())),OFFSET($BN$2,0,0,ROW()-1,60),ROW()-1,FALSE))</f>
        <v>4.5492161600000003</v>
      </c>
      <c r="AY181">
        <f ca="1">IF(AND(ISNUMBER($AY$851),$B$677=1),$AY$851,HLOOKUP(INDIRECT(ADDRESS(2,COLUMN())),OFFSET($BN$2,0,0,ROW()-1,60),ROW()-1,FALSE))</f>
        <v>9.6174153649999994</v>
      </c>
      <c r="AZ181" t="str">
        <f ca="1">IF(AND(ISNUMBER($AZ$851),$B$677=1),$AZ$851,HLOOKUP(INDIRECT(ADDRESS(2,COLUMN())),OFFSET($BN$2,0,0,ROW()-1,60),ROW()-1,FALSE))</f>
        <v/>
      </c>
      <c r="BA181" t="str">
        <f ca="1">IF(AND(ISNUMBER($BA$851),$B$677=1),$BA$851,HLOOKUP(INDIRECT(ADDRESS(2,COLUMN())),OFFSET($BN$2,0,0,ROW()-1,60),ROW()-1,FALSE))</f>
        <v/>
      </c>
      <c r="BB181" t="str">
        <f ca="1">IF(AND(ISNUMBER($BB$851),$B$677=1),$BB$851,HLOOKUP(INDIRECT(ADDRESS(2,COLUMN())),OFFSET($BN$2,0,0,ROW()-1,60),ROW()-1,FALSE))</f>
        <v/>
      </c>
      <c r="BC181">
        <f ca="1">IF(AND(ISNUMBER($BC$851),$B$677=1),$BC$851,HLOOKUP(INDIRECT(ADDRESS(2,COLUMN())),OFFSET($BN$2,0,0,ROW()-1,60),ROW()-1,FALSE))</f>
        <v>8.0710659899999992</v>
      </c>
      <c r="BD181">
        <f ca="1">IF(AND(ISNUMBER($BD$851),$B$677=1),$BD$851,HLOOKUP(INDIRECT(ADDRESS(2,COLUMN())),OFFSET($BN$2,0,0,ROW()-1,60),ROW()-1,FALSE))</f>
        <v>8.7059898479999998</v>
      </c>
      <c r="BE181">
        <f ca="1">IF(AND(ISNUMBER($BE$851),$B$677=1),$BE$851,HLOOKUP(INDIRECT(ADDRESS(2,COLUMN())),OFFSET($BN$2,0,0,ROW()-1,60),ROW()-1,FALSE))</f>
        <v>1.6644561929999999</v>
      </c>
      <c r="BF181">
        <f ca="1">IF(AND(ISNUMBER($BF$851),$B$677=1),$BF$851,HLOOKUP(INDIRECT(ADDRESS(2,COLUMN())),OFFSET($BN$2,0,0,ROW()-1,60),ROW()-1,FALSE))</f>
        <v>2.5820605240000001</v>
      </c>
      <c r="BG181">
        <f ca="1">IF(AND(ISNUMBER($BG$851),$B$677=1),$BG$851,HLOOKUP(INDIRECT(ADDRESS(2,COLUMN())),OFFSET($BN$2,0,0,ROW()-1,60),ROW()-1,FALSE))</f>
        <v>2.076944578</v>
      </c>
      <c r="BH181">
        <f ca="1">IF(AND(ISNUMBER($BH$851),$B$677=1),$BH$851,HLOOKUP(INDIRECT(ADDRESS(2,COLUMN())),OFFSET($BN$2,0,0,ROW()-1,60),ROW()-1,FALSE))</f>
        <v>2.8967343730000001</v>
      </c>
      <c r="BI181">
        <f ca="1">IF(AND(ISNUMBER($BI$851),$B$677=1),$BI$851,HLOOKUP(INDIRECT(ADDRESS(2,COLUMN())),OFFSET($BN$2,0,0,ROW()-1,60),ROW()-1,FALSE))</f>
        <v>3.2331286320000001</v>
      </c>
      <c r="BJ181">
        <f ca="1">IF(AND(ISNUMBER($BJ$851),$B$677=1),$BJ$851,HLOOKUP(INDIRECT(ADDRESS(2,COLUMN())),OFFSET($BN$2,0,0,ROW()-1,60),ROW()-1,FALSE))</f>
        <v>1.4335646900000001</v>
      </c>
      <c r="BK181">
        <f ca="1">IF(AND(ISNUMBER($BK$851),$B$677=1),$BK$851,HLOOKUP(INDIRECT(ADDRESS(2,COLUMN())),OFFSET($BN$2,0,0,ROW()-1,60),ROW()-1,FALSE))</f>
        <v>3.8858397220000001</v>
      </c>
      <c r="BL181">
        <f ca="1">IF(AND(ISNUMBER($BL$851),$B$677=1),$BL$851,HLOOKUP(INDIRECT(ADDRESS(2,COLUMN())),OFFSET($BN$2,0,0,ROW()-1,60),ROW()-1,FALSE))</f>
        <v>3.6437753929999999</v>
      </c>
      <c r="BM181">
        <f ca="1">IF(AND(ISNUMBER($BM$851),$B$677=1),$BM$851,HLOOKUP(INDIRECT(ADDRESS(2,COLUMN())),OFFSET($BN$2,0,0,ROW()-1,60),ROW()-1,FALSE))</f>
        <v>4.4919476940000003</v>
      </c>
      <c r="BN181">
        <f>0.969211435</f>
        <v>0.96921143499999995</v>
      </c>
      <c r="BO181">
        <f>0.851259182</f>
        <v>0.85125918199999995</v>
      </c>
      <c r="BP181">
        <f>1.013178575</f>
        <v>1.013178575</v>
      </c>
      <c r="BQ181">
        <f>1.21991796</f>
        <v>1.2199179600000001</v>
      </c>
      <c r="BR181">
        <f>1.220149837</f>
        <v>1.2201498369999999</v>
      </c>
      <c r="BS181">
        <f>1.403284665</f>
        <v>1.4032846649999999</v>
      </c>
      <c r="BT181" t="str">
        <f>""</f>
        <v/>
      </c>
      <c r="BU181" t="str">
        <f>""</f>
        <v/>
      </c>
      <c r="BV181">
        <f>1.602229426</f>
        <v>1.6022294260000001</v>
      </c>
      <c r="BW181">
        <f>1.663959156</f>
        <v>1.663959156</v>
      </c>
      <c r="BX181" t="str">
        <f>""</f>
        <v/>
      </c>
      <c r="BY181" t="str">
        <f>""</f>
        <v/>
      </c>
      <c r="BZ181">
        <f>1.858229958</f>
        <v>1.8582299579999999</v>
      </c>
      <c r="CA181">
        <f>1.961232967</f>
        <v>1.9612329669999999</v>
      </c>
      <c r="CB181" t="str">
        <f>""</f>
        <v/>
      </c>
      <c r="CC181" t="str">
        <f>""</f>
        <v/>
      </c>
      <c r="CD181">
        <f>2.63024151</f>
        <v>2.6302415099999998</v>
      </c>
      <c r="CE181">
        <f>2.52281828</f>
        <v>2.5228182800000001</v>
      </c>
      <c r="CF181" t="str">
        <f>""</f>
        <v/>
      </c>
      <c r="CG181" t="str">
        <f>""</f>
        <v/>
      </c>
      <c r="CH181">
        <f>2.341109453</f>
        <v>2.3411094530000001</v>
      </c>
      <c r="CI181">
        <f>2.33807889</f>
        <v>2.3380788899999998</v>
      </c>
      <c r="CJ181">
        <f>3.264935313</f>
        <v>3.2649353130000001</v>
      </c>
      <c r="CK181">
        <f>3.191425976</f>
        <v>3.1914259760000001</v>
      </c>
      <c r="CL181">
        <f>2.952164909</f>
        <v>2.9521649089999999</v>
      </c>
      <c r="CM181">
        <f>3.205623685</f>
        <v>3.2056236849999999</v>
      </c>
      <c r="CN181">
        <f>2.004738016</f>
        <v>2.0047380160000001</v>
      </c>
      <c r="CO181">
        <f>2.159030225</f>
        <v>2.159030225</v>
      </c>
      <c r="CP181">
        <f>2.883832124</f>
        <v>2.883832124</v>
      </c>
      <c r="CQ181">
        <f>2.739552251</f>
        <v>2.7395522510000001</v>
      </c>
      <c r="CR181">
        <f>6.24735957</f>
        <v>6.2473595700000004</v>
      </c>
      <c r="CS181">
        <f>10.06523977</f>
        <v>10.06523977</v>
      </c>
      <c r="CT181">
        <f>24.32600463</f>
        <v>24.32600463</v>
      </c>
      <c r="CU181" t="str">
        <f>""</f>
        <v/>
      </c>
      <c r="CV181" t="str">
        <f>""</f>
        <v/>
      </c>
      <c r="CW181" t="str">
        <f>""</f>
        <v/>
      </c>
      <c r="CX181" t="str">
        <f>""</f>
        <v/>
      </c>
      <c r="CY181" t="str">
        <f>""</f>
        <v/>
      </c>
      <c r="CZ181" t="str">
        <f>""</f>
        <v/>
      </c>
      <c r="DA181" t="str">
        <f>""</f>
        <v/>
      </c>
      <c r="DB181" t="str">
        <f>""</f>
        <v/>
      </c>
      <c r="DC181" t="str">
        <f>""</f>
        <v/>
      </c>
      <c r="DD181" t="str">
        <f>""</f>
        <v/>
      </c>
      <c r="DE181">
        <f>3.960681202</f>
        <v>3.960681202</v>
      </c>
      <c r="DF181">
        <f>4.54921616</f>
        <v>4.5492161600000003</v>
      </c>
      <c r="DG181">
        <f>9.617415365</f>
        <v>9.6174153649999994</v>
      </c>
      <c r="DH181" t="str">
        <f>""</f>
        <v/>
      </c>
      <c r="DI181" t="str">
        <f>""</f>
        <v/>
      </c>
      <c r="DJ181" t="str">
        <f>""</f>
        <v/>
      </c>
      <c r="DK181">
        <f>8.07106599</f>
        <v>8.0710659899999992</v>
      </c>
      <c r="DL181">
        <f>8.705989848</f>
        <v>8.7059898479999998</v>
      </c>
      <c r="DM181">
        <f>1.664456193</f>
        <v>1.6644561929999999</v>
      </c>
      <c r="DN181">
        <f>2.582060524</f>
        <v>2.5820605240000001</v>
      </c>
      <c r="DO181">
        <f>2.076944578</f>
        <v>2.076944578</v>
      </c>
      <c r="DP181">
        <f>2.896734373</f>
        <v>2.8967343730000001</v>
      </c>
      <c r="DQ181">
        <f>3.233128632</f>
        <v>3.2331286320000001</v>
      </c>
      <c r="DR181">
        <f>1.43356469</f>
        <v>1.4335646900000001</v>
      </c>
      <c r="DS181">
        <f>3.885839722</f>
        <v>3.8858397220000001</v>
      </c>
      <c r="DT181">
        <f>3.643775393</f>
        <v>3.6437753929999999</v>
      </c>
      <c r="DU181">
        <f>4.491947694</f>
        <v>4.4919476940000003</v>
      </c>
    </row>
    <row r="182" spans="1:125" x14ac:dyDescent="0.25">
      <c r="A182" t="str">
        <f>"    Ford Otomotiv Sanayi AS"</f>
        <v xml:space="preserve">    Ford Otomotiv Sanayi AS</v>
      </c>
      <c r="B182" t="str">
        <f>"FROTOTRY EO Equity"</f>
        <v>FROTOTRY EO Equity</v>
      </c>
      <c r="C182" t="str">
        <f t="shared" si="12"/>
        <v>RX077</v>
      </c>
      <c r="D182" t="str">
        <f t="shared" si="13"/>
        <v>PX_TO_TANG_BOOK_VAL_PER_SH</v>
      </c>
      <c r="E182" t="str">
        <f t="shared" si="14"/>
        <v>Dynamic</v>
      </c>
      <c r="F182">
        <f ca="1">IF(AND(ISNUMBER($F$852),$B$677=1),$F$852,HLOOKUP(INDIRECT(ADDRESS(2,COLUMN())),OFFSET($BN$2,0,0,ROW()-1,60),ROW()-1,FALSE))</f>
        <v>5.6324875490000004</v>
      </c>
      <c r="G182">
        <f ca="1">IF(AND(ISNUMBER($G$852),$B$677=1),$G$852,HLOOKUP(INDIRECT(ADDRESS(2,COLUMN())),OFFSET($BN$2,0,0,ROW()-1,60),ROW()-1,FALSE))</f>
        <v>5.106516364</v>
      </c>
      <c r="H182">
        <f ca="1">IF(AND(ISNUMBER($H$852),$B$677=1),$H$852,HLOOKUP(INDIRECT(ADDRESS(2,COLUMN())),OFFSET($BN$2,0,0,ROW()-1,60),ROW()-1,FALSE))</f>
        <v>8.7842442770000009</v>
      </c>
      <c r="I182">
        <f ca="1">IF(AND(ISNUMBER($I$852),$B$677=1),$I$852,HLOOKUP(INDIRECT(ADDRESS(2,COLUMN())),OFFSET($BN$2,0,0,ROW()-1,60),ROW()-1,FALSE))</f>
        <v>7.5079537429999998</v>
      </c>
      <c r="J182">
        <f ca="1">IF(AND(ISNUMBER($J$852),$B$677=1),$J$852,HLOOKUP(INDIRECT(ADDRESS(2,COLUMN())),OFFSET($BN$2,0,0,ROW()-1,60),ROW()-1,FALSE))</f>
        <v>8.7136426900000004</v>
      </c>
      <c r="K182">
        <f ca="1">IF(AND(ISNUMBER($K$852),$B$677=1),$K$852,HLOOKUP(INDIRECT(ADDRESS(2,COLUMN())),OFFSET($BN$2,0,0,ROW()-1,60),ROW()-1,FALSE))</f>
        <v>7.0344943410000003</v>
      </c>
      <c r="L182">
        <f ca="1">IF(AND(ISNUMBER($L$852),$B$677=1),$L$852,HLOOKUP(INDIRECT(ADDRESS(2,COLUMN())),OFFSET($BN$2,0,0,ROW()-1,60),ROW()-1,FALSE))</f>
        <v>5.2900707709999999</v>
      </c>
      <c r="M182">
        <f ca="1">IF(AND(ISNUMBER($M$852),$B$677=1),$M$852,HLOOKUP(INDIRECT(ADDRESS(2,COLUMN())),OFFSET($BN$2,0,0,ROW()-1,60),ROW()-1,FALSE))</f>
        <v>5.522726327</v>
      </c>
      <c r="N182">
        <f ca="1">IF(AND(ISNUMBER($N$852),$B$677=1),$N$852,HLOOKUP(INDIRECT(ADDRESS(2,COLUMN())),OFFSET($BN$2,0,0,ROW()-1,60),ROW()-1,FALSE))</f>
        <v>5.2078179799999997</v>
      </c>
      <c r="O182">
        <f ca="1">IF(AND(ISNUMBER($O$852),$B$677=1),$O$852,HLOOKUP(INDIRECT(ADDRESS(2,COLUMN())),OFFSET($BN$2,0,0,ROW()-1,60),ROW()-1,FALSE))</f>
        <v>4.1097656740000001</v>
      </c>
      <c r="P182">
        <f ca="1">IF(AND(ISNUMBER($P$852),$B$677=1),$P$852,HLOOKUP(INDIRECT(ADDRESS(2,COLUMN())),OFFSET($BN$2,0,0,ROW()-1,60),ROW()-1,FALSE))</f>
        <v>4.0500242249999996</v>
      </c>
      <c r="Q182">
        <f ca="1">IF(AND(ISNUMBER($Q$852),$B$677=1),$Q$852,HLOOKUP(INDIRECT(ADDRESS(2,COLUMN())),OFFSET($BN$2,0,0,ROW()-1,60),ROW()-1,FALSE))</f>
        <v>4.0874839600000001</v>
      </c>
      <c r="R182">
        <f ca="1">IF(AND(ISNUMBER($R$852),$B$677=1),$R$852,HLOOKUP(INDIRECT(ADDRESS(2,COLUMN())),OFFSET($BN$2,0,0,ROW()-1,60),ROW()-1,FALSE))</f>
        <v>5.5037469159999999</v>
      </c>
      <c r="S182">
        <f ca="1">IF(AND(ISNUMBER($S$852),$B$677=1),$S$852,HLOOKUP(INDIRECT(ADDRESS(2,COLUMN())),OFFSET($BN$2,0,0,ROW()-1,60),ROW()-1,FALSE))</f>
        <v>4.2162632149999997</v>
      </c>
      <c r="T182">
        <f ca="1">IF(AND(ISNUMBER($T$852),$B$677=1),$T$852,HLOOKUP(INDIRECT(ADDRESS(2,COLUMN())),OFFSET($BN$2,0,0,ROW()-1,60),ROW()-1,FALSE))</f>
        <v>4.8828448489999996</v>
      </c>
      <c r="U182">
        <f ca="1">IF(AND(ISNUMBER($U$852),$B$677=1),$U$852,HLOOKUP(INDIRECT(ADDRESS(2,COLUMN())),OFFSET($BN$2,0,0,ROW()-1,60),ROW()-1,FALSE))</f>
        <v>5.3207934339999996</v>
      </c>
      <c r="V182">
        <f ca="1">IF(AND(ISNUMBER($V$852),$B$677=1),$V$852,HLOOKUP(INDIRECT(ADDRESS(2,COLUMN())),OFFSET($BN$2,0,0,ROW()-1,60),ROW()-1,FALSE))</f>
        <v>5.2068287279999996</v>
      </c>
      <c r="W182">
        <f ca="1">IF(AND(ISNUMBER($W$852),$B$677=1),$W$852,HLOOKUP(INDIRECT(ADDRESS(2,COLUMN())),OFFSET($BN$2,0,0,ROW()-1,60),ROW()-1,FALSE))</f>
        <v>5.1133330969999999</v>
      </c>
      <c r="X182">
        <f ca="1">IF(AND(ISNUMBER($X$852),$B$677=1),$X$852,HLOOKUP(INDIRECT(ADDRESS(2,COLUMN())),OFFSET($BN$2,0,0,ROW()-1,60),ROW()-1,FALSE))</f>
        <v>4.0746435209999996</v>
      </c>
      <c r="Y182">
        <f ca="1">IF(AND(ISNUMBER($Y$852),$B$677=1),$Y$852,HLOOKUP(INDIRECT(ADDRESS(2,COLUMN())),OFFSET($BN$2,0,0,ROW()-1,60),ROW()-1,FALSE))</f>
        <v>4.3327718219999998</v>
      </c>
      <c r="Z182">
        <f ca="1">IF(AND(ISNUMBER($Z$852),$B$677=1),$Z$852,HLOOKUP(INDIRECT(ADDRESS(2,COLUMN())),OFFSET($BN$2,0,0,ROW()-1,60),ROW()-1,FALSE))</f>
        <v>3.9096012400000002</v>
      </c>
      <c r="AA182">
        <f ca="1">IF(AND(ISNUMBER($AA$852),$B$677=1),$AA$852,HLOOKUP(INDIRECT(ADDRESS(2,COLUMN())),OFFSET($BN$2,0,0,ROW()-1,60),ROW()-1,FALSE))</f>
        <v>4.3736296870000002</v>
      </c>
      <c r="AB182">
        <f ca="1">IF(AND(ISNUMBER($AB$852),$B$677=1),$AB$852,HLOOKUP(INDIRECT(ADDRESS(2,COLUMN())),OFFSET($BN$2,0,0,ROW()-1,60),ROW()-1,FALSE))</f>
        <v>5.597050554</v>
      </c>
      <c r="AC182">
        <f ca="1">IF(AND(ISNUMBER($AC$852),$B$677=1),$AC$852,HLOOKUP(INDIRECT(ADDRESS(2,COLUMN())),OFFSET($BN$2,0,0,ROW()-1,60),ROW()-1,FALSE))</f>
        <v>5.2665834330000001</v>
      </c>
      <c r="AD182">
        <f ca="1">IF(AND(ISNUMBER($AD$852),$B$677=1),$AD$852,HLOOKUP(INDIRECT(ADDRESS(2,COLUMN())),OFFSET($BN$2,0,0,ROW()-1,60),ROW()-1,FALSE))</f>
        <v>5.7944591299999999</v>
      </c>
      <c r="AE182">
        <f ca="1">IF(AND(ISNUMBER($AE$852),$B$677=1),$AE$852,HLOOKUP(INDIRECT(ADDRESS(2,COLUMN())),OFFSET($BN$2,0,0,ROW()-1,60),ROW()-1,FALSE))</f>
        <v>4.2732921089999998</v>
      </c>
      <c r="AF182">
        <f ca="1">IF(AND(ISNUMBER($AF$852),$B$677=1),$AF$852,HLOOKUP(INDIRECT(ADDRESS(2,COLUMN())),OFFSET($BN$2,0,0,ROW()-1,60),ROW()-1,FALSE))</f>
        <v>3.2596132290000002</v>
      </c>
      <c r="AG182">
        <f ca="1">IF(AND(ISNUMBER($AG$852),$B$677=1),$AG$852,HLOOKUP(INDIRECT(ADDRESS(2,COLUMN())),OFFSET($BN$2,0,0,ROW()-1,60),ROW()-1,FALSE))</f>
        <v>3.0986714279999998</v>
      </c>
      <c r="AH182">
        <f ca="1">IF(AND(ISNUMBER($AH$852),$B$677=1),$AH$852,HLOOKUP(INDIRECT(ADDRESS(2,COLUMN())),OFFSET($BN$2,0,0,ROW()-1,60),ROW()-1,FALSE))</f>
        <v>3.4883830389999999</v>
      </c>
      <c r="AI182">
        <f ca="1">IF(AND(ISNUMBER($AI$852),$B$677=1),$AI$852,HLOOKUP(INDIRECT(ADDRESS(2,COLUMN())),OFFSET($BN$2,0,0,ROW()-1,60),ROW()-1,FALSE))</f>
        <v>2.8719398479999998</v>
      </c>
      <c r="AJ182">
        <f ca="1">IF(AND(ISNUMBER($AJ$852),$B$677=1),$AJ$852,HLOOKUP(INDIRECT(ADDRESS(2,COLUMN())),OFFSET($BN$2,0,0,ROW()-1,60),ROW()-1,FALSE))</f>
        <v>2.4048459270000002</v>
      </c>
      <c r="AK182">
        <f ca="1">IF(AND(ISNUMBER($AK$852),$B$677=1),$AK$852,HLOOKUP(INDIRECT(ADDRESS(2,COLUMN())),OFFSET($BN$2,0,0,ROW()-1,60),ROW()-1,FALSE))</f>
        <v>2.807488056</v>
      </c>
      <c r="AL182">
        <f ca="1">IF(AND(ISNUMBER($AL$852),$B$677=1),$AL$852,HLOOKUP(INDIRECT(ADDRESS(2,COLUMN())),OFFSET($BN$2,0,0,ROW()-1,60),ROW()-1,FALSE))</f>
        <v>3.3208379030000001</v>
      </c>
      <c r="AM182">
        <f ca="1">IF(AND(ISNUMBER($AM$852),$B$677=1),$AM$852,HLOOKUP(INDIRECT(ADDRESS(2,COLUMN())),OFFSET($BN$2,0,0,ROW()-1,60),ROW()-1,FALSE))</f>
        <v>2.673706197</v>
      </c>
      <c r="AN182">
        <f ca="1">IF(AND(ISNUMBER($AN$852),$B$677=1),$AN$852,HLOOKUP(INDIRECT(ADDRESS(2,COLUMN())),OFFSET($BN$2,0,0,ROW()-1,60),ROW()-1,FALSE))</f>
        <v>2.6193034960000001</v>
      </c>
      <c r="AO182">
        <f ca="1">IF(AND(ISNUMBER($AO$852),$B$677=1),$AO$852,HLOOKUP(INDIRECT(ADDRESS(2,COLUMN())),OFFSET($BN$2,0,0,ROW()-1,60),ROW()-1,FALSE))</f>
        <v>2.3384127480000001</v>
      </c>
      <c r="AP182">
        <f ca="1">IF(AND(ISNUMBER($AP$852),$B$677=1),$AP$852,HLOOKUP(INDIRECT(ADDRESS(2,COLUMN())),OFFSET($BN$2,0,0,ROW()-1,60),ROW()-1,FALSE))</f>
        <v>2.7259977530000001</v>
      </c>
      <c r="AQ182">
        <f ca="1">IF(AND(ISNUMBER($AQ$852),$B$677=1),$AQ$852,HLOOKUP(INDIRECT(ADDRESS(2,COLUMN())),OFFSET($BN$2,0,0,ROW()-1,60),ROW()-1,FALSE))</f>
        <v>1.9853498759999999</v>
      </c>
      <c r="AR182">
        <f ca="1">IF(AND(ISNUMBER($AR$852),$B$677=1),$AR$852,HLOOKUP(INDIRECT(ADDRESS(2,COLUMN())),OFFSET($BN$2,0,0,ROW()-1,60),ROW()-1,FALSE))</f>
        <v>1.83848352</v>
      </c>
      <c r="AS182">
        <f ca="1">IF(AND(ISNUMBER($AS$852),$B$677=1),$AS$852,HLOOKUP(INDIRECT(ADDRESS(2,COLUMN())),OFFSET($BN$2,0,0,ROW()-1,60),ROW()-1,FALSE))</f>
        <v>1.2546071050000001</v>
      </c>
      <c r="AT182">
        <f ca="1">IF(AND(ISNUMBER($AT$852),$B$677=1),$AT$852,HLOOKUP(INDIRECT(ADDRESS(2,COLUMN())),OFFSET($BN$2,0,0,ROW()-1,60),ROW()-1,FALSE))</f>
        <v>1.0032015430000001</v>
      </c>
      <c r="AU182">
        <f ca="1">IF(AND(ISNUMBER($AU$852),$B$677=1),$AU$852,HLOOKUP(INDIRECT(ADDRESS(2,COLUMN())),OFFSET($BN$2,0,0,ROW()-1,60),ROW()-1,FALSE))</f>
        <v>0.93102268200000005</v>
      </c>
      <c r="AV182">
        <f ca="1">IF(AND(ISNUMBER($AV$852),$B$677=1),$AV$852,HLOOKUP(INDIRECT(ADDRESS(2,COLUMN())),OFFSET($BN$2,0,0,ROW()-1,60),ROW()-1,FALSE))</f>
        <v>1.3589475660000001</v>
      </c>
      <c r="AW182">
        <f ca="1">IF(AND(ISNUMBER($AW$852),$B$677=1),$AW$852,HLOOKUP(INDIRECT(ADDRESS(2,COLUMN())),OFFSET($BN$2,0,0,ROW()-1,60),ROW()-1,FALSE))</f>
        <v>1.8174777449999999</v>
      </c>
      <c r="AX182">
        <f ca="1">IF(AND(ISNUMBER($AX$852),$B$677=1),$AX$852,HLOOKUP(INDIRECT(ADDRESS(2,COLUMN())),OFFSET($BN$2,0,0,ROW()-1,60),ROW()-1,FALSE))</f>
        <v>2.0306871950000001</v>
      </c>
      <c r="AY182">
        <f ca="1">IF(AND(ISNUMBER($AY$852),$B$677=1),$AY$852,HLOOKUP(INDIRECT(ADDRESS(2,COLUMN())),OFFSET($BN$2,0,0,ROW()-1,60),ROW()-1,FALSE))</f>
        <v>2.6178667820000001</v>
      </c>
      <c r="AZ182">
        <f ca="1">IF(AND(ISNUMBER($AZ$852),$B$677=1),$AZ$852,HLOOKUP(INDIRECT(ADDRESS(2,COLUMN())),OFFSET($BN$2,0,0,ROW()-1,60),ROW()-1,FALSE))</f>
        <v>2.6632909809999998</v>
      </c>
      <c r="BA182">
        <f ca="1">IF(AND(ISNUMBER($BA$852),$B$677=1),$BA$852,HLOOKUP(INDIRECT(ADDRESS(2,COLUMN())),OFFSET($BN$2,0,0,ROW()-1,60),ROW()-1,FALSE))</f>
        <v>2.7696970059999999</v>
      </c>
      <c r="BB182">
        <f ca="1">IF(AND(ISNUMBER($BB$852),$B$677=1),$BB$852,HLOOKUP(INDIRECT(ADDRESS(2,COLUMN())),OFFSET($BN$2,0,0,ROW()-1,60),ROW()-1,FALSE))</f>
        <v>2.9952042950000002</v>
      </c>
      <c r="BC182">
        <f ca="1">IF(AND(ISNUMBER($BC$852),$B$677=1),$BC$852,HLOOKUP(INDIRECT(ADDRESS(2,COLUMN())),OFFSET($BN$2,0,0,ROW()-1,60),ROW()-1,FALSE))</f>
        <v>2.6269985679999999</v>
      </c>
      <c r="BD182">
        <f ca="1">IF(AND(ISNUMBER($BD$852),$B$677=1),$BD$852,HLOOKUP(INDIRECT(ADDRESS(2,COLUMN())),OFFSET($BN$2,0,0,ROW()-1,60),ROW()-1,FALSE))</f>
        <v>2.5225582879999999</v>
      </c>
      <c r="BE182">
        <f ca="1">IF(AND(ISNUMBER($BE$852),$B$677=1),$BE$852,HLOOKUP(INDIRECT(ADDRESS(2,COLUMN())),OFFSET($BN$2,0,0,ROW()-1,60),ROW()-1,FALSE))</f>
        <v>2.357039281</v>
      </c>
      <c r="BF182">
        <f ca="1">IF(AND(ISNUMBER($BF$852),$B$677=1),$BF$852,HLOOKUP(INDIRECT(ADDRESS(2,COLUMN())),OFFSET($BN$2,0,0,ROW()-1,60),ROW()-1,FALSE))</f>
        <v>2.9575906779999999</v>
      </c>
      <c r="BG182">
        <f ca="1">IF(AND(ISNUMBER($BG$852),$B$677=1),$BG$852,HLOOKUP(INDIRECT(ADDRESS(2,COLUMN())),OFFSET($BN$2,0,0,ROW()-1,60),ROW()-1,FALSE))</f>
        <v>2.837562192</v>
      </c>
      <c r="BH182">
        <f ca="1">IF(AND(ISNUMBER($BH$852),$B$677=1),$BH$852,HLOOKUP(INDIRECT(ADDRESS(2,COLUMN())),OFFSET($BN$2,0,0,ROW()-1,60),ROW()-1,FALSE))</f>
        <v>2.3774095110000002</v>
      </c>
      <c r="BI182">
        <f ca="1">IF(AND(ISNUMBER($BI$852),$B$677=1),$BI$852,HLOOKUP(INDIRECT(ADDRESS(2,COLUMN())),OFFSET($BN$2,0,0,ROW()-1,60),ROW()-1,FALSE))</f>
        <v>2.134676373</v>
      </c>
      <c r="BJ182">
        <f ca="1">IF(AND(ISNUMBER($BJ$852),$B$677=1),$BJ$852,HLOOKUP(INDIRECT(ADDRESS(2,COLUMN())),OFFSET($BN$2,0,0,ROW()-1,60),ROW()-1,FALSE))</f>
        <v>2.2590897779999999</v>
      </c>
      <c r="BK182">
        <f ca="1">IF(AND(ISNUMBER($BK$852),$B$677=1),$BK$852,HLOOKUP(INDIRECT(ADDRESS(2,COLUMN())),OFFSET($BN$2,0,0,ROW()-1,60),ROW()-1,FALSE))</f>
        <v>2.219443273</v>
      </c>
      <c r="BL182">
        <f ca="1">IF(AND(ISNUMBER($BL$852),$B$677=1),$BL$852,HLOOKUP(INDIRECT(ADDRESS(2,COLUMN())),OFFSET($BN$2,0,0,ROW()-1,60),ROW()-1,FALSE))</f>
        <v>2.5907186599999998</v>
      </c>
      <c r="BM182">
        <f ca="1">IF(AND(ISNUMBER($BM$852),$B$677=1),$BM$852,HLOOKUP(INDIRECT(ADDRESS(2,COLUMN())),OFFSET($BN$2,0,0,ROW()-1,60),ROW()-1,FALSE))</f>
        <v>2.6209610109999999</v>
      </c>
      <c r="BN182">
        <f>5.632487549</f>
        <v>5.6324875490000004</v>
      </c>
      <c r="BO182">
        <f>5.106516364</f>
        <v>5.106516364</v>
      </c>
      <c r="BP182">
        <f>8.784244277</f>
        <v>8.7842442770000009</v>
      </c>
      <c r="BQ182">
        <f>7.507953743</f>
        <v>7.5079537429999998</v>
      </c>
      <c r="BR182">
        <f>8.71364269</f>
        <v>8.7136426900000004</v>
      </c>
      <c r="BS182">
        <f>7.034494341</f>
        <v>7.0344943410000003</v>
      </c>
      <c r="BT182">
        <f>5.290070771</f>
        <v>5.2900707709999999</v>
      </c>
      <c r="BU182">
        <f>5.522726327</f>
        <v>5.522726327</v>
      </c>
      <c r="BV182">
        <f>5.20781798</f>
        <v>5.2078179799999997</v>
      </c>
      <c r="BW182">
        <f>4.109765674</f>
        <v>4.1097656740000001</v>
      </c>
      <c r="BX182">
        <f>4.050024225</f>
        <v>4.0500242249999996</v>
      </c>
      <c r="BY182">
        <f>4.08748396</f>
        <v>4.0874839600000001</v>
      </c>
      <c r="BZ182">
        <f>5.503746916</f>
        <v>5.5037469159999999</v>
      </c>
      <c r="CA182">
        <f>4.216263215</f>
        <v>4.2162632149999997</v>
      </c>
      <c r="CB182">
        <f>4.882844849</f>
        <v>4.8828448489999996</v>
      </c>
      <c r="CC182">
        <f>5.320793434</f>
        <v>5.3207934339999996</v>
      </c>
      <c r="CD182">
        <f>5.206828728</f>
        <v>5.2068287279999996</v>
      </c>
      <c r="CE182">
        <f>5.113333097</f>
        <v>5.1133330969999999</v>
      </c>
      <c r="CF182">
        <f>4.074643521</f>
        <v>4.0746435209999996</v>
      </c>
      <c r="CG182">
        <f>4.332771822</f>
        <v>4.3327718219999998</v>
      </c>
      <c r="CH182">
        <f>3.90960124</f>
        <v>3.9096012400000002</v>
      </c>
      <c r="CI182">
        <f>4.373629687</f>
        <v>4.3736296870000002</v>
      </c>
      <c r="CJ182">
        <f>5.597050554</f>
        <v>5.597050554</v>
      </c>
      <c r="CK182">
        <f>5.266583433</f>
        <v>5.2665834330000001</v>
      </c>
      <c r="CL182">
        <f>5.79445913</f>
        <v>5.7944591299999999</v>
      </c>
      <c r="CM182">
        <f>4.273292109</f>
        <v>4.2732921089999998</v>
      </c>
      <c r="CN182">
        <f>3.259613229</f>
        <v>3.2596132290000002</v>
      </c>
      <c r="CO182">
        <f>3.098671428</f>
        <v>3.0986714279999998</v>
      </c>
      <c r="CP182">
        <f>3.488383039</f>
        <v>3.4883830389999999</v>
      </c>
      <c r="CQ182">
        <f>2.871939848</f>
        <v>2.8719398479999998</v>
      </c>
      <c r="CR182">
        <f>2.404845927</f>
        <v>2.4048459270000002</v>
      </c>
      <c r="CS182">
        <f>2.807488056</f>
        <v>2.807488056</v>
      </c>
      <c r="CT182">
        <f>3.320837903</f>
        <v>3.3208379030000001</v>
      </c>
      <c r="CU182">
        <f>2.673706197</f>
        <v>2.673706197</v>
      </c>
      <c r="CV182">
        <f>2.619303496</f>
        <v>2.6193034960000001</v>
      </c>
      <c r="CW182">
        <f>2.338412748</f>
        <v>2.3384127480000001</v>
      </c>
      <c r="CX182">
        <f>2.725997753</f>
        <v>2.7259977530000001</v>
      </c>
      <c r="CY182">
        <f>1.985349876</f>
        <v>1.9853498759999999</v>
      </c>
      <c r="CZ182">
        <f>1.83848352</f>
        <v>1.83848352</v>
      </c>
      <c r="DA182">
        <f>1.254607105</f>
        <v>1.2546071050000001</v>
      </c>
      <c r="DB182">
        <f>1.003201543</f>
        <v>1.0032015430000001</v>
      </c>
      <c r="DC182">
        <f>0.931022682</f>
        <v>0.93102268200000005</v>
      </c>
      <c r="DD182">
        <f>1.358947566</f>
        <v>1.3589475660000001</v>
      </c>
      <c r="DE182">
        <f>1.817477745</f>
        <v>1.8174777449999999</v>
      </c>
      <c r="DF182">
        <f>2.030687195</f>
        <v>2.0306871950000001</v>
      </c>
      <c r="DG182">
        <f>2.617866782</f>
        <v>2.6178667820000001</v>
      </c>
      <c r="DH182">
        <f>2.663290981</f>
        <v>2.6632909809999998</v>
      </c>
      <c r="DI182">
        <f>2.769697006</f>
        <v>2.7696970059999999</v>
      </c>
      <c r="DJ182">
        <f>2.995204295</f>
        <v>2.9952042950000002</v>
      </c>
      <c r="DK182">
        <f>2.626998568</f>
        <v>2.6269985679999999</v>
      </c>
      <c r="DL182">
        <f>2.522558288</f>
        <v>2.5225582879999999</v>
      </c>
      <c r="DM182">
        <f>2.357039281</f>
        <v>2.357039281</v>
      </c>
      <c r="DN182">
        <f>2.957590678</f>
        <v>2.9575906779999999</v>
      </c>
      <c r="DO182">
        <f>2.837562192</f>
        <v>2.837562192</v>
      </c>
      <c r="DP182">
        <f>2.377409511</f>
        <v>2.3774095110000002</v>
      </c>
      <c r="DQ182">
        <f>2.134676373</f>
        <v>2.134676373</v>
      </c>
      <c r="DR182">
        <f>2.259089778</f>
        <v>2.2590897779999999</v>
      </c>
      <c r="DS182">
        <f>2.219443273</f>
        <v>2.219443273</v>
      </c>
      <c r="DT182">
        <f>2.59071866</f>
        <v>2.5907186599999998</v>
      </c>
      <c r="DU182">
        <f>2.620961011</f>
        <v>2.6209610109999999</v>
      </c>
    </row>
    <row r="183" spans="1:125" x14ac:dyDescent="0.25">
      <c r="A183" t="str">
        <f>"    GAZ PJSC"</f>
        <v xml:space="preserve">    GAZ PJSC</v>
      </c>
      <c r="B183" t="str">
        <f>"GAZA RM Equity"</f>
        <v>GAZA RM Equity</v>
      </c>
      <c r="C183" t="str">
        <f t="shared" si="12"/>
        <v>RX077</v>
      </c>
      <c r="D183" t="str">
        <f t="shared" si="13"/>
        <v>PX_TO_TANG_BOOK_VAL_PER_SH</v>
      </c>
      <c r="E183" t="str">
        <f t="shared" si="14"/>
        <v>Dynamic</v>
      </c>
      <c r="F183" t="str">
        <f ca="1">IF(AND(ISNUMBER($F$853),$B$677=1),$F$853,HLOOKUP(INDIRECT(ADDRESS(2,COLUMN())),OFFSET($BN$2,0,0,ROW()-1,60),ROW()-1,FALSE))</f>
        <v/>
      </c>
      <c r="G183" t="str">
        <f ca="1">IF(AND(ISNUMBER($G$853),$B$677=1),$G$853,HLOOKUP(INDIRECT(ADDRESS(2,COLUMN())),OFFSET($BN$2,0,0,ROW()-1,60),ROW()-1,FALSE))</f>
        <v/>
      </c>
      <c r="H183" t="str">
        <f ca="1">IF(AND(ISNUMBER($H$853),$B$677=1),$H$853,HLOOKUP(INDIRECT(ADDRESS(2,COLUMN())),OFFSET($BN$2,0,0,ROW()-1,60),ROW()-1,FALSE))</f>
        <v/>
      </c>
      <c r="I183" t="str">
        <f ca="1">IF(AND(ISNUMBER($I$853),$B$677=1),$I$853,HLOOKUP(INDIRECT(ADDRESS(2,COLUMN())),OFFSET($BN$2,0,0,ROW()-1,60),ROW()-1,FALSE))</f>
        <v/>
      </c>
      <c r="J183" t="str">
        <f ca="1">IF(AND(ISNUMBER($J$853),$B$677=1),$J$853,HLOOKUP(INDIRECT(ADDRESS(2,COLUMN())),OFFSET($BN$2,0,0,ROW()-1,60),ROW()-1,FALSE))</f>
        <v/>
      </c>
      <c r="K183" t="str">
        <f ca="1">IF(AND(ISNUMBER($K$853),$B$677=1),$K$853,HLOOKUP(INDIRECT(ADDRESS(2,COLUMN())),OFFSET($BN$2,0,0,ROW()-1,60),ROW()-1,FALSE))</f>
        <v/>
      </c>
      <c r="L183" t="str">
        <f ca="1">IF(AND(ISNUMBER($L$853),$B$677=1),$L$853,HLOOKUP(INDIRECT(ADDRESS(2,COLUMN())),OFFSET($BN$2,0,0,ROW()-1,60),ROW()-1,FALSE))</f>
        <v/>
      </c>
      <c r="M183" t="str">
        <f ca="1">IF(AND(ISNUMBER($M$853),$B$677=1),$M$853,HLOOKUP(INDIRECT(ADDRESS(2,COLUMN())),OFFSET($BN$2,0,0,ROW()-1,60),ROW()-1,FALSE))</f>
        <v/>
      </c>
      <c r="N183" t="str">
        <f ca="1">IF(AND(ISNUMBER($N$853),$B$677=1),$N$853,HLOOKUP(INDIRECT(ADDRESS(2,COLUMN())),OFFSET($BN$2,0,0,ROW()-1,60),ROW()-1,FALSE))</f>
        <v/>
      </c>
      <c r="O183" t="str">
        <f ca="1">IF(AND(ISNUMBER($O$853),$B$677=1),$O$853,HLOOKUP(INDIRECT(ADDRESS(2,COLUMN())),OFFSET($BN$2,0,0,ROW()-1,60),ROW()-1,FALSE))</f>
        <v/>
      </c>
      <c r="P183" t="str">
        <f ca="1">IF(AND(ISNUMBER($P$853),$B$677=1),$P$853,HLOOKUP(INDIRECT(ADDRESS(2,COLUMN())),OFFSET($BN$2,0,0,ROW()-1,60),ROW()-1,FALSE))</f>
        <v/>
      </c>
      <c r="Q183" t="str">
        <f ca="1">IF(AND(ISNUMBER($Q$853),$B$677=1),$Q$853,HLOOKUP(INDIRECT(ADDRESS(2,COLUMN())),OFFSET($BN$2,0,0,ROW()-1,60),ROW()-1,FALSE))</f>
        <v/>
      </c>
      <c r="R183" t="str">
        <f ca="1">IF(AND(ISNUMBER($R$853),$B$677=1),$R$853,HLOOKUP(INDIRECT(ADDRESS(2,COLUMN())),OFFSET($BN$2,0,0,ROW()-1,60),ROW()-1,FALSE))</f>
        <v/>
      </c>
      <c r="S183" t="str">
        <f ca="1">IF(AND(ISNUMBER($S$853),$B$677=1),$S$853,HLOOKUP(INDIRECT(ADDRESS(2,COLUMN())),OFFSET($BN$2,0,0,ROW()-1,60),ROW()-1,FALSE))</f>
        <v/>
      </c>
      <c r="T183" t="str">
        <f ca="1">IF(AND(ISNUMBER($T$853),$B$677=1),$T$853,HLOOKUP(INDIRECT(ADDRESS(2,COLUMN())),OFFSET($BN$2,0,0,ROW()-1,60),ROW()-1,FALSE))</f>
        <v/>
      </c>
      <c r="U183" t="str">
        <f ca="1">IF(AND(ISNUMBER($U$853),$B$677=1),$U$853,HLOOKUP(INDIRECT(ADDRESS(2,COLUMN())),OFFSET($BN$2,0,0,ROW()-1,60),ROW()-1,FALSE))</f>
        <v/>
      </c>
      <c r="V183" t="str">
        <f ca="1">IF(AND(ISNUMBER($V$853),$B$677=1),$V$853,HLOOKUP(INDIRECT(ADDRESS(2,COLUMN())),OFFSET($BN$2,0,0,ROW()-1,60),ROW()-1,FALSE))</f>
        <v/>
      </c>
      <c r="W183" t="str">
        <f ca="1">IF(AND(ISNUMBER($W$853),$B$677=1),$W$853,HLOOKUP(INDIRECT(ADDRESS(2,COLUMN())),OFFSET($BN$2,0,0,ROW()-1,60),ROW()-1,FALSE))</f>
        <v/>
      </c>
      <c r="X183" t="str">
        <f ca="1">IF(AND(ISNUMBER($X$853),$B$677=1),$X$853,HLOOKUP(INDIRECT(ADDRESS(2,COLUMN())),OFFSET($BN$2,0,0,ROW()-1,60),ROW()-1,FALSE))</f>
        <v/>
      </c>
      <c r="Y183" t="str">
        <f ca="1">IF(AND(ISNUMBER($Y$853),$B$677=1),$Y$853,HLOOKUP(INDIRECT(ADDRESS(2,COLUMN())),OFFSET($BN$2,0,0,ROW()-1,60),ROW()-1,FALSE))</f>
        <v/>
      </c>
      <c r="Z183" t="str">
        <f ca="1">IF(AND(ISNUMBER($Z$853),$B$677=1),$Z$853,HLOOKUP(INDIRECT(ADDRESS(2,COLUMN())),OFFSET($BN$2,0,0,ROW()-1,60),ROW()-1,FALSE))</f>
        <v/>
      </c>
      <c r="AA183" t="str">
        <f ca="1">IF(AND(ISNUMBER($AA$853),$B$677=1),$AA$853,HLOOKUP(INDIRECT(ADDRESS(2,COLUMN())),OFFSET($BN$2,0,0,ROW()-1,60),ROW()-1,FALSE))</f>
        <v/>
      </c>
      <c r="AB183" t="str">
        <f ca="1">IF(AND(ISNUMBER($AB$853),$B$677=1),$AB$853,HLOOKUP(INDIRECT(ADDRESS(2,COLUMN())),OFFSET($BN$2,0,0,ROW()-1,60),ROW()-1,FALSE))</f>
        <v/>
      </c>
      <c r="AC183" t="str">
        <f ca="1">IF(AND(ISNUMBER($AC$853),$B$677=1),$AC$853,HLOOKUP(INDIRECT(ADDRESS(2,COLUMN())),OFFSET($BN$2,0,0,ROW()-1,60),ROW()-1,FALSE))</f>
        <v/>
      </c>
      <c r="AD183" t="str">
        <f ca="1">IF(AND(ISNUMBER($AD$853),$B$677=1),$AD$853,HLOOKUP(INDIRECT(ADDRESS(2,COLUMN())),OFFSET($BN$2,0,0,ROW()-1,60),ROW()-1,FALSE))</f>
        <v/>
      </c>
      <c r="AE183" t="str">
        <f ca="1">IF(AND(ISNUMBER($AE$853),$B$677=1),$AE$853,HLOOKUP(INDIRECT(ADDRESS(2,COLUMN())),OFFSET($BN$2,0,0,ROW()-1,60),ROW()-1,FALSE))</f>
        <v/>
      </c>
      <c r="AF183" t="str">
        <f ca="1">IF(AND(ISNUMBER($AF$853),$B$677=1),$AF$853,HLOOKUP(INDIRECT(ADDRESS(2,COLUMN())),OFFSET($BN$2,0,0,ROW()-1,60),ROW()-1,FALSE))</f>
        <v/>
      </c>
      <c r="AG183" t="str">
        <f ca="1">IF(AND(ISNUMBER($AG$853),$B$677=1),$AG$853,HLOOKUP(INDIRECT(ADDRESS(2,COLUMN())),OFFSET($BN$2,0,0,ROW()-1,60),ROW()-1,FALSE))</f>
        <v/>
      </c>
      <c r="AH183" t="str">
        <f ca="1">IF(AND(ISNUMBER($AH$853),$B$677=1),$AH$853,HLOOKUP(INDIRECT(ADDRESS(2,COLUMN())),OFFSET($BN$2,0,0,ROW()-1,60),ROW()-1,FALSE))</f>
        <v/>
      </c>
      <c r="AI183" t="str">
        <f ca="1">IF(AND(ISNUMBER($AI$853),$B$677=1),$AI$853,HLOOKUP(INDIRECT(ADDRESS(2,COLUMN())),OFFSET($BN$2,0,0,ROW()-1,60),ROW()-1,FALSE))</f>
        <v/>
      </c>
      <c r="AJ183" t="str">
        <f ca="1">IF(AND(ISNUMBER($AJ$853),$B$677=1),$AJ$853,HLOOKUP(INDIRECT(ADDRESS(2,COLUMN())),OFFSET($BN$2,0,0,ROW()-1,60),ROW()-1,FALSE))</f>
        <v/>
      </c>
      <c r="AK183" t="str">
        <f ca="1">IF(AND(ISNUMBER($AK$853),$B$677=1),$AK$853,HLOOKUP(INDIRECT(ADDRESS(2,COLUMN())),OFFSET($BN$2,0,0,ROW()-1,60),ROW()-1,FALSE))</f>
        <v/>
      </c>
      <c r="AL183" t="str">
        <f ca="1">IF(AND(ISNUMBER($AL$853),$B$677=1),$AL$853,HLOOKUP(INDIRECT(ADDRESS(2,COLUMN())),OFFSET($BN$2,0,0,ROW()-1,60),ROW()-1,FALSE))</f>
        <v/>
      </c>
      <c r="AM183" t="str">
        <f ca="1">IF(AND(ISNUMBER($AM$853),$B$677=1),$AM$853,HLOOKUP(INDIRECT(ADDRESS(2,COLUMN())),OFFSET($BN$2,0,0,ROW()-1,60),ROW()-1,FALSE))</f>
        <v/>
      </c>
      <c r="AN183" t="str">
        <f ca="1">IF(AND(ISNUMBER($AN$853),$B$677=1),$AN$853,HLOOKUP(INDIRECT(ADDRESS(2,COLUMN())),OFFSET($BN$2,0,0,ROW()-1,60),ROW()-1,FALSE))</f>
        <v/>
      </c>
      <c r="AO183" t="str">
        <f ca="1">IF(AND(ISNUMBER($AO$853),$B$677=1),$AO$853,HLOOKUP(INDIRECT(ADDRESS(2,COLUMN())),OFFSET($BN$2,0,0,ROW()-1,60),ROW()-1,FALSE))</f>
        <v/>
      </c>
      <c r="AP183" t="str">
        <f ca="1">IF(AND(ISNUMBER($AP$853),$B$677=1),$AP$853,HLOOKUP(INDIRECT(ADDRESS(2,COLUMN())),OFFSET($BN$2,0,0,ROW()-1,60),ROW()-1,FALSE))</f>
        <v/>
      </c>
      <c r="AQ183" t="str">
        <f ca="1">IF(AND(ISNUMBER($AQ$853),$B$677=1),$AQ$853,HLOOKUP(INDIRECT(ADDRESS(2,COLUMN())),OFFSET($BN$2,0,0,ROW()-1,60),ROW()-1,FALSE))</f>
        <v/>
      </c>
      <c r="AR183" t="str">
        <f ca="1">IF(AND(ISNUMBER($AR$853),$B$677=1),$AR$853,HLOOKUP(INDIRECT(ADDRESS(2,COLUMN())),OFFSET($BN$2,0,0,ROW()-1,60),ROW()-1,FALSE))</f>
        <v/>
      </c>
      <c r="AS183" t="str">
        <f ca="1">IF(AND(ISNUMBER($AS$853),$B$677=1),$AS$853,HLOOKUP(INDIRECT(ADDRESS(2,COLUMN())),OFFSET($BN$2,0,0,ROW()-1,60),ROW()-1,FALSE))</f>
        <v/>
      </c>
      <c r="AT183" t="str">
        <f ca="1">IF(AND(ISNUMBER($AT$853),$B$677=1),$AT$853,HLOOKUP(INDIRECT(ADDRESS(2,COLUMN())),OFFSET($BN$2,0,0,ROW()-1,60),ROW()-1,FALSE))</f>
        <v/>
      </c>
      <c r="AU183" t="str">
        <f ca="1">IF(AND(ISNUMBER($AU$853),$B$677=1),$AU$853,HLOOKUP(INDIRECT(ADDRESS(2,COLUMN())),OFFSET($BN$2,0,0,ROW()-1,60),ROW()-1,FALSE))</f>
        <v/>
      </c>
      <c r="AV183" t="str">
        <f ca="1">IF(AND(ISNUMBER($AV$853),$B$677=1),$AV$853,HLOOKUP(INDIRECT(ADDRESS(2,COLUMN())),OFFSET($BN$2,0,0,ROW()-1,60),ROW()-1,FALSE))</f>
        <v/>
      </c>
      <c r="AW183" t="str">
        <f ca="1">IF(AND(ISNUMBER($AW$853),$B$677=1),$AW$853,HLOOKUP(INDIRECT(ADDRESS(2,COLUMN())),OFFSET($BN$2,0,0,ROW()-1,60),ROW()-1,FALSE))</f>
        <v/>
      </c>
      <c r="AX183" t="str">
        <f ca="1">IF(AND(ISNUMBER($AX$853),$B$677=1),$AX$853,HLOOKUP(INDIRECT(ADDRESS(2,COLUMN())),OFFSET($BN$2,0,0,ROW()-1,60),ROW()-1,FALSE))</f>
        <v/>
      </c>
      <c r="AY183" t="str">
        <f ca="1">IF(AND(ISNUMBER($AY$853),$B$677=1),$AY$853,HLOOKUP(INDIRECT(ADDRESS(2,COLUMN())),OFFSET($BN$2,0,0,ROW()-1,60),ROW()-1,FALSE))</f>
        <v/>
      </c>
      <c r="AZ183" t="str">
        <f ca="1">IF(AND(ISNUMBER($AZ$853),$B$677=1),$AZ$853,HLOOKUP(INDIRECT(ADDRESS(2,COLUMN())),OFFSET($BN$2,0,0,ROW()-1,60),ROW()-1,FALSE))</f>
        <v/>
      </c>
      <c r="BA183" t="str">
        <f ca="1">IF(AND(ISNUMBER($BA$853),$B$677=1),$BA$853,HLOOKUP(INDIRECT(ADDRESS(2,COLUMN())),OFFSET($BN$2,0,0,ROW()-1,60),ROW()-1,FALSE))</f>
        <v/>
      </c>
      <c r="BB183" t="str">
        <f ca="1">IF(AND(ISNUMBER($BB$853),$B$677=1),$BB$853,HLOOKUP(INDIRECT(ADDRESS(2,COLUMN())),OFFSET($BN$2,0,0,ROW()-1,60),ROW()-1,FALSE))</f>
        <v/>
      </c>
      <c r="BC183" t="str">
        <f ca="1">IF(AND(ISNUMBER($BC$853),$B$677=1),$BC$853,HLOOKUP(INDIRECT(ADDRESS(2,COLUMN())),OFFSET($BN$2,0,0,ROW()-1,60),ROW()-1,FALSE))</f>
        <v/>
      </c>
      <c r="BD183" t="str">
        <f ca="1">IF(AND(ISNUMBER($BD$853),$B$677=1),$BD$853,HLOOKUP(INDIRECT(ADDRESS(2,COLUMN())),OFFSET($BN$2,0,0,ROW()-1,60),ROW()-1,FALSE))</f>
        <v/>
      </c>
      <c r="BE183" t="str">
        <f ca="1">IF(AND(ISNUMBER($BE$853),$B$677=1),$BE$853,HLOOKUP(INDIRECT(ADDRESS(2,COLUMN())),OFFSET($BN$2,0,0,ROW()-1,60),ROW()-1,FALSE))</f>
        <v/>
      </c>
      <c r="BF183" t="str">
        <f ca="1">IF(AND(ISNUMBER($BF$853),$B$677=1),$BF$853,HLOOKUP(INDIRECT(ADDRESS(2,COLUMN())),OFFSET($BN$2,0,0,ROW()-1,60),ROW()-1,FALSE))</f>
        <v/>
      </c>
      <c r="BG183" t="str">
        <f ca="1">IF(AND(ISNUMBER($BG$853),$B$677=1),$BG$853,HLOOKUP(INDIRECT(ADDRESS(2,COLUMN())),OFFSET($BN$2,0,0,ROW()-1,60),ROW()-1,FALSE))</f>
        <v/>
      </c>
      <c r="BH183" t="str">
        <f ca="1">IF(AND(ISNUMBER($BH$853),$B$677=1),$BH$853,HLOOKUP(INDIRECT(ADDRESS(2,COLUMN())),OFFSET($BN$2,0,0,ROW()-1,60),ROW()-1,FALSE))</f>
        <v/>
      </c>
      <c r="BI183" t="str">
        <f ca="1">IF(AND(ISNUMBER($BI$853),$B$677=1),$BI$853,HLOOKUP(INDIRECT(ADDRESS(2,COLUMN())),OFFSET($BN$2,0,0,ROW()-1,60),ROW()-1,FALSE))</f>
        <v/>
      </c>
      <c r="BJ183" t="str">
        <f ca="1">IF(AND(ISNUMBER($BJ$853),$B$677=1),$BJ$853,HLOOKUP(INDIRECT(ADDRESS(2,COLUMN())),OFFSET($BN$2,0,0,ROW()-1,60),ROW()-1,FALSE))</f>
        <v/>
      </c>
      <c r="BK183" t="str">
        <f ca="1">IF(AND(ISNUMBER($BK$853),$B$677=1),$BK$853,HLOOKUP(INDIRECT(ADDRESS(2,COLUMN())),OFFSET($BN$2,0,0,ROW()-1,60),ROW()-1,FALSE))</f>
        <v/>
      </c>
      <c r="BL183" t="str">
        <f ca="1">IF(AND(ISNUMBER($BL$853),$B$677=1),$BL$853,HLOOKUP(INDIRECT(ADDRESS(2,COLUMN())),OFFSET($BN$2,0,0,ROW()-1,60),ROW()-1,FALSE))</f>
        <v/>
      </c>
      <c r="BM183" t="str">
        <f ca="1">IF(AND(ISNUMBER($BM$853),$B$677=1),$BM$853,HLOOKUP(INDIRECT(ADDRESS(2,COLUMN())),OFFSET($BN$2,0,0,ROW()-1,60),ROW()-1,FALSE))</f>
        <v/>
      </c>
      <c r="BN183" t="str">
        <f>""</f>
        <v/>
      </c>
      <c r="BO183" t="str">
        <f>""</f>
        <v/>
      </c>
      <c r="BP183" t="str">
        <f>""</f>
        <v/>
      </c>
      <c r="BQ183" t="str">
        <f>""</f>
        <v/>
      </c>
      <c r="BR183" t="str">
        <f>""</f>
        <v/>
      </c>
      <c r="BS183" t="str">
        <f>""</f>
        <v/>
      </c>
      <c r="BT183" t="str">
        <f>""</f>
        <v/>
      </c>
      <c r="BU183" t="str">
        <f>""</f>
        <v/>
      </c>
      <c r="BV183" t="str">
        <f>""</f>
        <v/>
      </c>
      <c r="BW183" t="str">
        <f>""</f>
        <v/>
      </c>
      <c r="BX183" t="str">
        <f>""</f>
        <v/>
      </c>
      <c r="BY183" t="str">
        <f>""</f>
        <v/>
      </c>
      <c r="BZ183" t="str">
        <f>""</f>
        <v/>
      </c>
      <c r="CA183" t="str">
        <f>""</f>
        <v/>
      </c>
      <c r="CB183" t="str">
        <f>""</f>
        <v/>
      </c>
      <c r="CC183" t="str">
        <f>""</f>
        <v/>
      </c>
      <c r="CD183" t="str">
        <f>""</f>
        <v/>
      </c>
      <c r="CE183" t="str">
        <f>""</f>
        <v/>
      </c>
      <c r="CF183" t="str">
        <f>""</f>
        <v/>
      </c>
      <c r="CG183" t="str">
        <f>""</f>
        <v/>
      </c>
      <c r="CH183" t="str">
        <f>""</f>
        <v/>
      </c>
      <c r="CI183" t="str">
        <f>""</f>
        <v/>
      </c>
      <c r="CJ183" t="str">
        <f>""</f>
        <v/>
      </c>
      <c r="CK183" t="str">
        <f>""</f>
        <v/>
      </c>
      <c r="CL183" t="str">
        <f>""</f>
        <v/>
      </c>
      <c r="CM183" t="str">
        <f>""</f>
        <v/>
      </c>
      <c r="CN183" t="str">
        <f>""</f>
        <v/>
      </c>
      <c r="CO183" t="str">
        <f>""</f>
        <v/>
      </c>
      <c r="CP183" t="str">
        <f>""</f>
        <v/>
      </c>
      <c r="CQ183" t="str">
        <f>""</f>
        <v/>
      </c>
      <c r="CR183" t="str">
        <f>""</f>
        <v/>
      </c>
      <c r="CS183" t="str">
        <f>""</f>
        <v/>
      </c>
      <c r="CT183" t="str">
        <f>""</f>
        <v/>
      </c>
      <c r="CU183" t="str">
        <f>""</f>
        <v/>
      </c>
      <c r="CV183" t="str">
        <f>""</f>
        <v/>
      </c>
      <c r="CW183" t="str">
        <f>""</f>
        <v/>
      </c>
      <c r="CX183" t="str">
        <f>""</f>
        <v/>
      </c>
      <c r="CY183" t="str">
        <f>""</f>
        <v/>
      </c>
      <c r="CZ183" t="str">
        <f>""</f>
        <v/>
      </c>
      <c r="DA183" t="str">
        <f>""</f>
        <v/>
      </c>
      <c r="DB183" t="str">
        <f>""</f>
        <v/>
      </c>
      <c r="DC183" t="str">
        <f>""</f>
        <v/>
      </c>
      <c r="DD183" t="str">
        <f>""</f>
        <v/>
      </c>
      <c r="DE183" t="str">
        <f>""</f>
        <v/>
      </c>
      <c r="DF183" t="str">
        <f>""</f>
        <v/>
      </c>
      <c r="DG183" t="str">
        <f>""</f>
        <v/>
      </c>
      <c r="DH183" t="str">
        <f>""</f>
        <v/>
      </c>
      <c r="DI183" t="str">
        <f>""</f>
        <v/>
      </c>
      <c r="DJ183" t="str">
        <f>""</f>
        <v/>
      </c>
      <c r="DK183" t="str">
        <f>""</f>
        <v/>
      </c>
      <c r="DL183" t="str">
        <f>""</f>
        <v/>
      </c>
      <c r="DM183" t="str">
        <f>""</f>
        <v/>
      </c>
      <c r="DN183" t="str">
        <f>""</f>
        <v/>
      </c>
      <c r="DO183" t="str">
        <f>""</f>
        <v/>
      </c>
      <c r="DP183" t="str">
        <f>""</f>
        <v/>
      </c>
      <c r="DQ183" t="str">
        <f>""</f>
        <v/>
      </c>
      <c r="DR183" t="str">
        <f>""</f>
        <v/>
      </c>
      <c r="DS183" t="str">
        <f>""</f>
        <v/>
      </c>
      <c r="DT183" t="str">
        <f>""</f>
        <v/>
      </c>
      <c r="DU183" t="str">
        <f>""</f>
        <v/>
      </c>
    </row>
    <row r="184" spans="1:125" x14ac:dyDescent="0.25">
      <c r="A184" t="str">
        <f>"    Geely Automobile Holdings Ltd"</f>
        <v xml:space="preserve">    Geely Automobile Holdings Ltd</v>
      </c>
      <c r="B184" t="str">
        <f>"175 HK Equity"</f>
        <v>175 HK Equity</v>
      </c>
      <c r="C184" t="str">
        <f t="shared" si="12"/>
        <v>RX077</v>
      </c>
      <c r="D184" t="str">
        <f t="shared" si="13"/>
        <v>PX_TO_TANG_BOOK_VAL_PER_SH</v>
      </c>
      <c r="E184" t="str">
        <f t="shared" si="14"/>
        <v>Dynamic</v>
      </c>
      <c r="F184" t="str">
        <f ca="1">IF(AND(ISNUMBER($F$854),$B$677=1),$F$854,HLOOKUP(INDIRECT(ADDRESS(2,COLUMN())),OFFSET($BN$2,0,0,ROW()-1,60),ROW()-1,FALSE))</f>
        <v/>
      </c>
      <c r="G184" t="str">
        <f ca="1">IF(AND(ISNUMBER($G$854),$B$677=1),$G$854,HLOOKUP(INDIRECT(ADDRESS(2,COLUMN())),OFFSET($BN$2,0,0,ROW()-1,60),ROW()-1,FALSE))</f>
        <v/>
      </c>
      <c r="H184" t="str">
        <f ca="1">IF(AND(ISNUMBER($H$854),$B$677=1),$H$854,HLOOKUP(INDIRECT(ADDRESS(2,COLUMN())),OFFSET($BN$2,0,0,ROW()-1,60),ROW()-1,FALSE))</f>
        <v/>
      </c>
      <c r="I184" t="str">
        <f ca="1">IF(AND(ISNUMBER($I$854),$B$677=1),$I$854,HLOOKUP(INDIRECT(ADDRESS(2,COLUMN())),OFFSET($BN$2,0,0,ROW()-1,60),ROW()-1,FALSE))</f>
        <v/>
      </c>
      <c r="J184" t="str">
        <f ca="1">IF(AND(ISNUMBER($J$854),$B$677=1),$J$854,HLOOKUP(INDIRECT(ADDRESS(2,COLUMN())),OFFSET($BN$2,0,0,ROW()-1,60),ROW()-1,FALSE))</f>
        <v/>
      </c>
      <c r="K184" t="str">
        <f ca="1">IF(AND(ISNUMBER($K$854),$B$677=1),$K$854,HLOOKUP(INDIRECT(ADDRESS(2,COLUMN())),OFFSET($BN$2,0,0,ROW()-1,60),ROW()-1,FALSE))</f>
        <v/>
      </c>
      <c r="L184" t="str">
        <f ca="1">IF(AND(ISNUMBER($L$854),$B$677=1),$L$854,HLOOKUP(INDIRECT(ADDRESS(2,COLUMN())),OFFSET($BN$2,0,0,ROW()-1,60),ROW()-1,FALSE))</f>
        <v/>
      </c>
      <c r="M184" t="str">
        <f ca="1">IF(AND(ISNUMBER($M$854),$B$677=1),$M$854,HLOOKUP(INDIRECT(ADDRESS(2,COLUMN())),OFFSET($BN$2,0,0,ROW()-1,60),ROW()-1,FALSE))</f>
        <v/>
      </c>
      <c r="N184" t="str">
        <f ca="1">IF(AND(ISNUMBER($N$854),$B$677=1),$N$854,HLOOKUP(INDIRECT(ADDRESS(2,COLUMN())),OFFSET($BN$2,0,0,ROW()-1,60),ROW()-1,FALSE))</f>
        <v/>
      </c>
      <c r="O184" t="str">
        <f ca="1">IF(AND(ISNUMBER($O$854),$B$677=1),$O$854,HLOOKUP(INDIRECT(ADDRESS(2,COLUMN())),OFFSET($BN$2,0,0,ROW()-1,60),ROW()-1,FALSE))</f>
        <v/>
      </c>
      <c r="P184" t="str">
        <f ca="1">IF(AND(ISNUMBER($P$854),$B$677=1),$P$854,HLOOKUP(INDIRECT(ADDRESS(2,COLUMN())),OFFSET($BN$2,0,0,ROW()-1,60),ROW()-1,FALSE))</f>
        <v/>
      </c>
      <c r="Q184" t="str">
        <f ca="1">IF(AND(ISNUMBER($Q$854),$B$677=1),$Q$854,HLOOKUP(INDIRECT(ADDRESS(2,COLUMN())),OFFSET($BN$2,0,0,ROW()-1,60),ROW()-1,FALSE))</f>
        <v/>
      </c>
      <c r="R184" t="str">
        <f ca="1">IF(AND(ISNUMBER($R$854),$B$677=1),$R$854,HLOOKUP(INDIRECT(ADDRESS(2,COLUMN())),OFFSET($BN$2,0,0,ROW()-1,60),ROW()-1,FALSE))</f>
        <v/>
      </c>
      <c r="S184" t="str">
        <f ca="1">IF(AND(ISNUMBER($S$854),$B$677=1),$S$854,HLOOKUP(INDIRECT(ADDRESS(2,COLUMN())),OFFSET($BN$2,0,0,ROW()-1,60),ROW()-1,FALSE))</f>
        <v/>
      </c>
      <c r="T184" t="str">
        <f ca="1">IF(AND(ISNUMBER($T$854),$B$677=1),$T$854,HLOOKUP(INDIRECT(ADDRESS(2,COLUMN())),OFFSET($BN$2,0,0,ROW()-1,60),ROW()-1,FALSE))</f>
        <v/>
      </c>
      <c r="U184" t="str">
        <f ca="1">IF(AND(ISNUMBER($U$854),$B$677=1),$U$854,HLOOKUP(INDIRECT(ADDRESS(2,COLUMN())),OFFSET($BN$2,0,0,ROW()-1,60),ROW()-1,FALSE))</f>
        <v/>
      </c>
      <c r="V184" t="str">
        <f ca="1">IF(AND(ISNUMBER($V$854),$B$677=1),$V$854,HLOOKUP(INDIRECT(ADDRESS(2,COLUMN())),OFFSET($BN$2,0,0,ROW()-1,60),ROW()-1,FALSE))</f>
        <v/>
      </c>
      <c r="W184" t="str">
        <f ca="1">IF(AND(ISNUMBER($W$854),$B$677=1),$W$854,HLOOKUP(INDIRECT(ADDRESS(2,COLUMN())),OFFSET($BN$2,0,0,ROW()-1,60),ROW()-1,FALSE))</f>
        <v/>
      </c>
      <c r="X184" t="str">
        <f ca="1">IF(AND(ISNUMBER($X$854),$B$677=1),$X$854,HLOOKUP(INDIRECT(ADDRESS(2,COLUMN())),OFFSET($BN$2,0,0,ROW()-1,60),ROW()-1,FALSE))</f>
        <v/>
      </c>
      <c r="Y184" t="str">
        <f ca="1">IF(AND(ISNUMBER($Y$854),$B$677=1),$Y$854,HLOOKUP(INDIRECT(ADDRESS(2,COLUMN())),OFFSET($BN$2,0,0,ROW()-1,60),ROW()-1,FALSE))</f>
        <v/>
      </c>
      <c r="Z184" t="str">
        <f ca="1">IF(AND(ISNUMBER($Z$854),$B$677=1),$Z$854,HLOOKUP(INDIRECT(ADDRESS(2,COLUMN())),OFFSET($BN$2,0,0,ROW()-1,60),ROW()-1,FALSE))</f>
        <v/>
      </c>
      <c r="AA184" t="str">
        <f ca="1">IF(AND(ISNUMBER($AA$854),$B$677=1),$AA$854,HLOOKUP(INDIRECT(ADDRESS(2,COLUMN())),OFFSET($BN$2,0,0,ROW()-1,60),ROW()-1,FALSE))</f>
        <v/>
      </c>
      <c r="AB184" t="str">
        <f ca="1">IF(AND(ISNUMBER($AB$854),$B$677=1),$AB$854,HLOOKUP(INDIRECT(ADDRESS(2,COLUMN())),OFFSET($BN$2,0,0,ROW()-1,60),ROW()-1,FALSE))</f>
        <v/>
      </c>
      <c r="AC184" t="str">
        <f ca="1">IF(AND(ISNUMBER($AC$854),$B$677=1),$AC$854,HLOOKUP(INDIRECT(ADDRESS(2,COLUMN())),OFFSET($BN$2,0,0,ROW()-1,60),ROW()-1,FALSE))</f>
        <v/>
      </c>
      <c r="AD184" t="str">
        <f ca="1">IF(AND(ISNUMBER($AD$854),$B$677=1),$AD$854,HLOOKUP(INDIRECT(ADDRESS(2,COLUMN())),OFFSET($BN$2,0,0,ROW()-1,60),ROW()-1,FALSE))</f>
        <v/>
      </c>
      <c r="AE184" t="str">
        <f ca="1">IF(AND(ISNUMBER($AE$854),$B$677=1),$AE$854,HLOOKUP(INDIRECT(ADDRESS(2,COLUMN())),OFFSET($BN$2,0,0,ROW()-1,60),ROW()-1,FALSE))</f>
        <v/>
      </c>
      <c r="AF184" t="str">
        <f ca="1">IF(AND(ISNUMBER($AF$854),$B$677=1),$AF$854,HLOOKUP(INDIRECT(ADDRESS(2,COLUMN())),OFFSET($BN$2,0,0,ROW()-1,60),ROW()-1,FALSE))</f>
        <v/>
      </c>
      <c r="AG184" t="str">
        <f ca="1">IF(AND(ISNUMBER($AG$854),$B$677=1),$AG$854,HLOOKUP(INDIRECT(ADDRESS(2,COLUMN())),OFFSET($BN$2,0,0,ROW()-1,60),ROW()-1,FALSE))</f>
        <v/>
      </c>
      <c r="AH184" t="str">
        <f ca="1">IF(AND(ISNUMBER($AH$854),$B$677=1),$AH$854,HLOOKUP(INDIRECT(ADDRESS(2,COLUMN())),OFFSET($BN$2,0,0,ROW()-1,60),ROW()-1,FALSE))</f>
        <v/>
      </c>
      <c r="AI184" t="str">
        <f ca="1">IF(AND(ISNUMBER($AI$854),$B$677=1),$AI$854,HLOOKUP(INDIRECT(ADDRESS(2,COLUMN())),OFFSET($BN$2,0,0,ROW()-1,60),ROW()-1,FALSE))</f>
        <v/>
      </c>
      <c r="AJ184" t="str">
        <f ca="1">IF(AND(ISNUMBER($AJ$854),$B$677=1),$AJ$854,HLOOKUP(INDIRECT(ADDRESS(2,COLUMN())),OFFSET($BN$2,0,0,ROW()-1,60),ROW()-1,FALSE))</f>
        <v/>
      </c>
      <c r="AK184" t="str">
        <f ca="1">IF(AND(ISNUMBER($AK$854),$B$677=1),$AK$854,HLOOKUP(INDIRECT(ADDRESS(2,COLUMN())),OFFSET($BN$2,0,0,ROW()-1,60),ROW()-1,FALSE))</f>
        <v/>
      </c>
      <c r="AL184" t="str">
        <f ca="1">IF(AND(ISNUMBER($AL$854),$B$677=1),$AL$854,HLOOKUP(INDIRECT(ADDRESS(2,COLUMN())),OFFSET($BN$2,0,0,ROW()-1,60),ROW()-1,FALSE))</f>
        <v/>
      </c>
      <c r="AM184" t="str">
        <f ca="1">IF(AND(ISNUMBER($AM$854),$B$677=1),$AM$854,HLOOKUP(INDIRECT(ADDRESS(2,COLUMN())),OFFSET($BN$2,0,0,ROW()-1,60),ROW()-1,FALSE))</f>
        <v/>
      </c>
      <c r="AN184" t="str">
        <f ca="1">IF(AND(ISNUMBER($AN$854),$B$677=1),$AN$854,HLOOKUP(INDIRECT(ADDRESS(2,COLUMN())),OFFSET($BN$2,0,0,ROW()-1,60),ROW()-1,FALSE))</f>
        <v/>
      </c>
      <c r="AO184" t="str">
        <f ca="1">IF(AND(ISNUMBER($AO$854),$B$677=1),$AO$854,HLOOKUP(INDIRECT(ADDRESS(2,COLUMN())),OFFSET($BN$2,0,0,ROW()-1,60),ROW()-1,FALSE))</f>
        <v/>
      </c>
      <c r="AP184" t="str">
        <f ca="1">IF(AND(ISNUMBER($AP$854),$B$677=1),$AP$854,HLOOKUP(INDIRECT(ADDRESS(2,COLUMN())),OFFSET($BN$2,0,0,ROW()-1,60),ROW()-1,FALSE))</f>
        <v/>
      </c>
      <c r="AQ184" t="str">
        <f ca="1">IF(AND(ISNUMBER($AQ$854),$B$677=1),$AQ$854,HLOOKUP(INDIRECT(ADDRESS(2,COLUMN())),OFFSET($BN$2,0,0,ROW()-1,60),ROW()-1,FALSE))</f>
        <v/>
      </c>
      <c r="AR184" t="str">
        <f ca="1">IF(AND(ISNUMBER($AR$854),$B$677=1),$AR$854,HLOOKUP(INDIRECT(ADDRESS(2,COLUMN())),OFFSET($BN$2,0,0,ROW()-1,60),ROW()-1,FALSE))</f>
        <v/>
      </c>
      <c r="AS184" t="str">
        <f ca="1">IF(AND(ISNUMBER($AS$854),$B$677=1),$AS$854,HLOOKUP(INDIRECT(ADDRESS(2,COLUMN())),OFFSET($BN$2,0,0,ROW()-1,60),ROW()-1,FALSE))</f>
        <v/>
      </c>
      <c r="AT184" t="str">
        <f ca="1">IF(AND(ISNUMBER($AT$854),$B$677=1),$AT$854,HLOOKUP(INDIRECT(ADDRESS(2,COLUMN())),OFFSET($BN$2,0,0,ROW()-1,60),ROW()-1,FALSE))</f>
        <v/>
      </c>
      <c r="AU184" t="str">
        <f ca="1">IF(AND(ISNUMBER($AU$854),$B$677=1),$AU$854,HLOOKUP(INDIRECT(ADDRESS(2,COLUMN())),OFFSET($BN$2,0,0,ROW()-1,60),ROW()-1,FALSE))</f>
        <v/>
      </c>
      <c r="AV184" t="str">
        <f ca="1">IF(AND(ISNUMBER($AV$854),$B$677=1),$AV$854,HLOOKUP(INDIRECT(ADDRESS(2,COLUMN())),OFFSET($BN$2,0,0,ROW()-1,60),ROW()-1,FALSE))</f>
        <v/>
      </c>
      <c r="AW184" t="str">
        <f ca="1">IF(AND(ISNUMBER($AW$854),$B$677=1),$AW$854,HLOOKUP(INDIRECT(ADDRESS(2,COLUMN())),OFFSET($BN$2,0,0,ROW()-1,60),ROW()-1,FALSE))</f>
        <v/>
      </c>
      <c r="AX184" t="str">
        <f ca="1">IF(AND(ISNUMBER($AX$854),$B$677=1),$AX$854,HLOOKUP(INDIRECT(ADDRESS(2,COLUMN())),OFFSET($BN$2,0,0,ROW()-1,60),ROW()-1,FALSE))</f>
        <v/>
      </c>
      <c r="AY184" t="str">
        <f ca="1">IF(AND(ISNUMBER($AY$854),$B$677=1),$AY$854,HLOOKUP(INDIRECT(ADDRESS(2,COLUMN())),OFFSET($BN$2,0,0,ROW()-1,60),ROW()-1,FALSE))</f>
        <v/>
      </c>
      <c r="AZ184" t="str">
        <f ca="1">IF(AND(ISNUMBER($AZ$854),$B$677=1),$AZ$854,HLOOKUP(INDIRECT(ADDRESS(2,COLUMN())),OFFSET($BN$2,0,0,ROW()-1,60),ROW()-1,FALSE))</f>
        <v/>
      </c>
      <c r="BA184" t="str">
        <f ca="1">IF(AND(ISNUMBER($BA$854),$B$677=1),$BA$854,HLOOKUP(INDIRECT(ADDRESS(2,COLUMN())),OFFSET($BN$2,0,0,ROW()-1,60),ROW()-1,FALSE))</f>
        <v/>
      </c>
      <c r="BB184" t="str">
        <f ca="1">IF(AND(ISNUMBER($BB$854),$B$677=1),$BB$854,HLOOKUP(INDIRECT(ADDRESS(2,COLUMN())),OFFSET($BN$2,0,0,ROW()-1,60),ROW()-1,FALSE))</f>
        <v/>
      </c>
      <c r="BC184" t="str">
        <f ca="1">IF(AND(ISNUMBER($BC$854),$B$677=1),$BC$854,HLOOKUP(INDIRECT(ADDRESS(2,COLUMN())),OFFSET($BN$2,0,0,ROW()-1,60),ROW()-1,FALSE))</f>
        <v/>
      </c>
      <c r="BD184" t="str">
        <f ca="1">IF(AND(ISNUMBER($BD$854),$B$677=1),$BD$854,HLOOKUP(INDIRECT(ADDRESS(2,COLUMN())),OFFSET($BN$2,0,0,ROW()-1,60),ROW()-1,FALSE))</f>
        <v/>
      </c>
      <c r="BE184" t="str">
        <f ca="1">IF(AND(ISNUMBER($BE$854),$B$677=1),$BE$854,HLOOKUP(INDIRECT(ADDRESS(2,COLUMN())),OFFSET($BN$2,0,0,ROW()-1,60),ROW()-1,FALSE))</f>
        <v/>
      </c>
      <c r="BF184" t="str">
        <f ca="1">IF(AND(ISNUMBER($BF$854),$B$677=1),$BF$854,HLOOKUP(INDIRECT(ADDRESS(2,COLUMN())),OFFSET($BN$2,0,0,ROW()-1,60),ROW()-1,FALSE))</f>
        <v/>
      </c>
      <c r="BG184" t="str">
        <f ca="1">IF(AND(ISNUMBER($BG$854),$B$677=1),$BG$854,HLOOKUP(INDIRECT(ADDRESS(2,COLUMN())),OFFSET($BN$2,0,0,ROW()-1,60),ROW()-1,FALSE))</f>
        <v/>
      </c>
      <c r="BH184" t="str">
        <f ca="1">IF(AND(ISNUMBER($BH$854),$B$677=1),$BH$854,HLOOKUP(INDIRECT(ADDRESS(2,COLUMN())),OFFSET($BN$2,0,0,ROW()-1,60),ROW()-1,FALSE))</f>
        <v/>
      </c>
      <c r="BI184" t="str">
        <f ca="1">IF(AND(ISNUMBER($BI$854),$B$677=1),$BI$854,HLOOKUP(INDIRECT(ADDRESS(2,COLUMN())),OFFSET($BN$2,0,0,ROW()-1,60),ROW()-1,FALSE))</f>
        <v/>
      </c>
      <c r="BJ184" t="str">
        <f ca="1">IF(AND(ISNUMBER($BJ$854),$B$677=1),$BJ$854,HLOOKUP(INDIRECT(ADDRESS(2,COLUMN())),OFFSET($BN$2,0,0,ROW()-1,60),ROW()-1,FALSE))</f>
        <v/>
      </c>
      <c r="BK184" t="str">
        <f ca="1">IF(AND(ISNUMBER($BK$854),$B$677=1),$BK$854,HLOOKUP(INDIRECT(ADDRESS(2,COLUMN())),OFFSET($BN$2,0,0,ROW()-1,60),ROW()-1,FALSE))</f>
        <v/>
      </c>
      <c r="BL184" t="str">
        <f ca="1">IF(AND(ISNUMBER($BL$854),$B$677=1),$BL$854,HLOOKUP(INDIRECT(ADDRESS(2,COLUMN())),OFFSET($BN$2,0,0,ROW()-1,60),ROW()-1,FALSE))</f>
        <v/>
      </c>
      <c r="BM184" t="str">
        <f ca="1">IF(AND(ISNUMBER($BM$854),$B$677=1),$BM$854,HLOOKUP(INDIRECT(ADDRESS(2,COLUMN())),OFFSET($BN$2,0,0,ROW()-1,60),ROW()-1,FALSE))</f>
        <v/>
      </c>
      <c r="BN184" t="str">
        <f>""</f>
        <v/>
      </c>
      <c r="BO184" t="str">
        <f>""</f>
        <v/>
      </c>
      <c r="BP184" t="str">
        <f>""</f>
        <v/>
      </c>
      <c r="BQ184" t="str">
        <f>""</f>
        <v/>
      </c>
      <c r="BR184" t="str">
        <f>""</f>
        <v/>
      </c>
      <c r="BS184" t="str">
        <f>""</f>
        <v/>
      </c>
      <c r="BT184" t="str">
        <f>""</f>
        <v/>
      </c>
      <c r="BU184" t="str">
        <f>""</f>
        <v/>
      </c>
      <c r="BV184" t="str">
        <f>""</f>
        <v/>
      </c>
      <c r="BW184" t="str">
        <f>""</f>
        <v/>
      </c>
      <c r="BX184" t="str">
        <f>""</f>
        <v/>
      </c>
      <c r="BY184" t="str">
        <f>""</f>
        <v/>
      </c>
      <c r="BZ184" t="str">
        <f>""</f>
        <v/>
      </c>
      <c r="CA184" t="str">
        <f>""</f>
        <v/>
      </c>
      <c r="CB184" t="str">
        <f>""</f>
        <v/>
      </c>
      <c r="CC184" t="str">
        <f>""</f>
        <v/>
      </c>
      <c r="CD184" t="str">
        <f>""</f>
        <v/>
      </c>
      <c r="CE184" t="str">
        <f>""</f>
        <v/>
      </c>
      <c r="CF184" t="str">
        <f>""</f>
        <v/>
      </c>
      <c r="CG184" t="str">
        <f>""</f>
        <v/>
      </c>
      <c r="CH184" t="str">
        <f>""</f>
        <v/>
      </c>
      <c r="CI184" t="str">
        <f>""</f>
        <v/>
      </c>
      <c r="CJ184" t="str">
        <f>""</f>
        <v/>
      </c>
      <c r="CK184" t="str">
        <f>""</f>
        <v/>
      </c>
      <c r="CL184" t="str">
        <f>""</f>
        <v/>
      </c>
      <c r="CM184" t="str">
        <f>""</f>
        <v/>
      </c>
      <c r="CN184" t="str">
        <f>""</f>
        <v/>
      </c>
      <c r="CO184" t="str">
        <f>""</f>
        <v/>
      </c>
      <c r="CP184" t="str">
        <f>""</f>
        <v/>
      </c>
      <c r="CQ184" t="str">
        <f>""</f>
        <v/>
      </c>
      <c r="CR184" t="str">
        <f>""</f>
        <v/>
      </c>
      <c r="CS184" t="str">
        <f>""</f>
        <v/>
      </c>
      <c r="CT184" t="str">
        <f>""</f>
        <v/>
      </c>
      <c r="CU184" t="str">
        <f>""</f>
        <v/>
      </c>
      <c r="CV184" t="str">
        <f>""</f>
        <v/>
      </c>
      <c r="CW184" t="str">
        <f>""</f>
        <v/>
      </c>
      <c r="CX184" t="str">
        <f>""</f>
        <v/>
      </c>
      <c r="CY184" t="str">
        <f>""</f>
        <v/>
      </c>
      <c r="CZ184" t="str">
        <f>""</f>
        <v/>
      </c>
      <c r="DA184" t="str">
        <f>""</f>
        <v/>
      </c>
      <c r="DB184" t="str">
        <f>""</f>
        <v/>
      </c>
      <c r="DC184" t="str">
        <f>""</f>
        <v/>
      </c>
      <c r="DD184" t="str">
        <f>""</f>
        <v/>
      </c>
      <c r="DE184" t="str">
        <f>""</f>
        <v/>
      </c>
      <c r="DF184" t="str">
        <f>""</f>
        <v/>
      </c>
      <c r="DG184" t="str">
        <f>""</f>
        <v/>
      </c>
      <c r="DH184" t="str">
        <f>""</f>
        <v/>
      </c>
      <c r="DI184" t="str">
        <f>""</f>
        <v/>
      </c>
      <c r="DJ184" t="str">
        <f>""</f>
        <v/>
      </c>
      <c r="DK184" t="str">
        <f>""</f>
        <v/>
      </c>
      <c r="DL184" t="str">
        <f>""</f>
        <v/>
      </c>
      <c r="DM184" t="str">
        <f>""</f>
        <v/>
      </c>
      <c r="DN184" t="str">
        <f>""</f>
        <v/>
      </c>
      <c r="DO184" t="str">
        <f>""</f>
        <v/>
      </c>
      <c r="DP184" t="str">
        <f>""</f>
        <v/>
      </c>
      <c r="DQ184" t="str">
        <f>""</f>
        <v/>
      </c>
      <c r="DR184" t="str">
        <f>""</f>
        <v/>
      </c>
      <c r="DS184" t="str">
        <f>""</f>
        <v/>
      </c>
      <c r="DT184" t="str">
        <f>""</f>
        <v/>
      </c>
      <c r="DU184" t="str">
        <f>""</f>
        <v/>
      </c>
    </row>
    <row r="185" spans="1:125" x14ac:dyDescent="0.25">
      <c r="A185" t="str">
        <f>"    General Motors Co"</f>
        <v xml:space="preserve">    General Motors Co</v>
      </c>
      <c r="B185" t="str">
        <f>"GM US Equity"</f>
        <v>GM US Equity</v>
      </c>
      <c r="C185" t="str">
        <f t="shared" si="12"/>
        <v>RX077</v>
      </c>
      <c r="D185" t="str">
        <f t="shared" si="13"/>
        <v>PX_TO_TANG_BOOK_VAL_PER_SH</v>
      </c>
      <c r="E185" t="str">
        <f t="shared" si="14"/>
        <v>Dynamic</v>
      </c>
      <c r="F185">
        <f ca="1">IF(AND(ISNUMBER($F$855),$B$677=1),$F$855,HLOOKUP(INDIRECT(ADDRESS(2,COLUMN())),OFFSET($BN$2,0,0,ROW()-1,60),ROW()-1,FALSE))</f>
        <v>1.65214393</v>
      </c>
      <c r="G185">
        <f ca="1">IF(AND(ISNUMBER($G$855),$B$677=1),$G$855,HLOOKUP(INDIRECT(ADDRESS(2,COLUMN())),OFFSET($BN$2,0,0,ROW()-1,60),ROW()-1,FALSE))</f>
        <v>1.4071091609999999</v>
      </c>
      <c r="H185">
        <f ca="1">IF(AND(ISNUMBER($H$855),$B$677=1),$H$855,HLOOKUP(INDIRECT(ADDRESS(2,COLUMN())),OFFSET($BN$2,0,0,ROW()-1,60),ROW()-1,FALSE))</f>
        <v>1.4544276460000001</v>
      </c>
      <c r="I185">
        <f ca="1">IF(AND(ISNUMBER($I$855),$B$677=1),$I$855,HLOOKUP(INDIRECT(ADDRESS(2,COLUMN())),OFFSET($BN$2,0,0,ROW()-1,60),ROW()-1,FALSE))</f>
        <v>1.810840091</v>
      </c>
      <c r="J185">
        <f ca="1">IF(AND(ISNUMBER($J$855),$B$677=1),$J$855,HLOOKUP(INDIRECT(ADDRESS(2,COLUMN())),OFFSET($BN$2,0,0,ROW()-1,60),ROW()-1,FALSE))</f>
        <v>1.784621861</v>
      </c>
      <c r="K185">
        <f ca="1">IF(AND(ISNUMBER($K$855),$B$677=1),$K$855,HLOOKUP(INDIRECT(ADDRESS(2,COLUMN())),OFFSET($BN$2,0,0,ROW()-1,60),ROW()-1,FALSE))</f>
        <v>1.968509879</v>
      </c>
      <c r="L185">
        <f ca="1">IF(AND(ISNUMBER($L$855),$B$677=1),$L$855,HLOOKUP(INDIRECT(ADDRESS(2,COLUMN())),OFFSET($BN$2,0,0,ROW()-1,60),ROW()-1,FALSE))</f>
        <v>1.553546401</v>
      </c>
      <c r="M185">
        <f ca="1">IF(AND(ISNUMBER($M$855),$B$677=1),$M$855,HLOOKUP(INDIRECT(ADDRESS(2,COLUMN())),OFFSET($BN$2,0,0,ROW()-1,60),ROW()-1,FALSE))</f>
        <v>1.3253819689999999</v>
      </c>
      <c r="N185">
        <f ca="1">IF(AND(ISNUMBER($N$855),$B$677=1),$N$855,HLOOKUP(INDIRECT(ADDRESS(2,COLUMN())),OFFSET($BN$2,0,0,ROW()-1,60),ROW()-1,FALSE))</f>
        <v>1.3333668519999999</v>
      </c>
      <c r="O185">
        <f ca="1">IF(AND(ISNUMBER($O$855),$B$677=1),$O$855,HLOOKUP(INDIRECT(ADDRESS(2,COLUMN())),OFFSET($BN$2,0,0,ROW()-1,60),ROW()-1,FALSE))</f>
        <v>1.3866850639999999</v>
      </c>
      <c r="P185">
        <f ca="1">IF(AND(ISNUMBER($P$855),$B$677=1),$P$855,HLOOKUP(INDIRECT(ADDRESS(2,COLUMN())),OFFSET($BN$2,0,0,ROW()-1,60),ROW()-1,FALSE))</f>
        <v>1.242115415</v>
      </c>
      <c r="Q185">
        <f ca="1">IF(AND(ISNUMBER($Q$855),$B$677=1),$Q$855,HLOOKUP(INDIRECT(ADDRESS(2,COLUMN())),OFFSET($BN$2,0,0,ROW()-1,60),ROW()-1,FALSE))</f>
        <v>1.217302471</v>
      </c>
      <c r="R185">
        <f ca="1">IF(AND(ISNUMBER($R$855),$B$677=1),$R$855,HLOOKUP(INDIRECT(ADDRESS(2,COLUMN())),OFFSET($BN$2,0,0,ROW()-1,60),ROW()-1,FALSE))</f>
        <v>1.3454239320000001</v>
      </c>
      <c r="S185">
        <f ca="1">IF(AND(ISNUMBER($S$855),$B$677=1),$S$855,HLOOKUP(INDIRECT(ADDRESS(2,COLUMN())),OFFSET($BN$2,0,0,ROW()-1,60),ROW()-1,FALSE))</f>
        <v>1.5038026179999999</v>
      </c>
      <c r="T185">
        <f ca="1">IF(AND(ISNUMBER($T$855),$B$677=1),$T$855,HLOOKUP(INDIRECT(ADDRESS(2,COLUMN())),OFFSET($BN$2,0,0,ROW()-1,60),ROW()-1,FALSE))</f>
        <v>1.6820872</v>
      </c>
      <c r="U185">
        <f ca="1">IF(AND(ISNUMBER($U$855),$B$677=1),$U$855,HLOOKUP(INDIRECT(ADDRESS(2,COLUMN())),OFFSET($BN$2,0,0,ROW()-1,60),ROW()-1,FALSE))</f>
        <v>1.8411185910000001</v>
      </c>
      <c r="V185">
        <f ca="1">IF(AND(ISNUMBER($V$855),$B$677=1),$V$855,HLOOKUP(INDIRECT(ADDRESS(2,COLUMN())),OFFSET($BN$2,0,0,ROW()-1,60),ROW()-1,FALSE))</f>
        <v>1.99786894</v>
      </c>
      <c r="W185">
        <f ca="1">IF(AND(ISNUMBER($W$855),$B$677=1),$W$855,HLOOKUP(INDIRECT(ADDRESS(2,COLUMN())),OFFSET($BN$2,0,0,ROW()-1,60),ROW()-1,FALSE))</f>
        <v>1.922952456</v>
      </c>
      <c r="X185">
        <f ca="1">IF(AND(ISNUMBER($X$855),$B$677=1),$X$855,HLOOKUP(INDIRECT(ADDRESS(2,COLUMN())),OFFSET($BN$2,0,0,ROW()-1,60),ROW()-1,FALSE))</f>
        <v>1.537008632</v>
      </c>
      <c r="Y185">
        <f ca="1">IF(AND(ISNUMBER($Y$855),$B$677=1),$Y$855,HLOOKUP(INDIRECT(ADDRESS(2,COLUMN())),OFFSET($BN$2,0,0,ROW()-1,60),ROW()-1,FALSE))</f>
        <v>1.8097968339999999</v>
      </c>
      <c r="Z185">
        <f ca="1">IF(AND(ISNUMBER($Z$855),$B$677=1),$Z$855,HLOOKUP(INDIRECT(ADDRESS(2,COLUMN())),OFFSET($BN$2,0,0,ROW()-1,60),ROW()-1,FALSE))</f>
        <v>1.7152111619999999</v>
      </c>
      <c r="AA185">
        <f ca="1">IF(AND(ISNUMBER($AA$855),$B$677=1),$AA$855,HLOOKUP(INDIRECT(ADDRESS(2,COLUMN())),OFFSET($BN$2,0,0,ROW()-1,60),ROW()-1,FALSE))</f>
        <v>1.773101952</v>
      </c>
      <c r="AB185">
        <f ca="1">IF(AND(ISNUMBER($AB$855),$B$677=1),$AB$855,HLOOKUP(INDIRECT(ADDRESS(2,COLUMN())),OFFSET($BN$2,0,0,ROW()-1,60),ROW()-1,FALSE))</f>
        <v>2.4568473439999998</v>
      </c>
      <c r="AC185">
        <f ca="1">IF(AND(ISNUMBER($AC$855),$B$677=1),$AC$855,HLOOKUP(INDIRECT(ADDRESS(2,COLUMN())),OFFSET($BN$2,0,0,ROW()-1,60),ROW()-1,FALSE))</f>
        <v>2.4048061060000001</v>
      </c>
      <c r="AD185">
        <f ca="1">IF(AND(ISNUMBER($AD$855),$B$677=1),$AD$855,HLOOKUP(INDIRECT(ADDRESS(2,COLUMN())),OFFSET($BN$2,0,0,ROW()-1,60),ROW()-1,FALSE))</f>
        <v>2.1363611429999998</v>
      </c>
      <c r="AE185">
        <f ca="1">IF(AND(ISNUMBER($AE$855),$B$677=1),$AE$855,HLOOKUP(INDIRECT(ADDRESS(2,COLUMN())),OFFSET($BN$2,0,0,ROW()-1,60),ROW()-1,FALSE))</f>
        <v>2.3075712469999998</v>
      </c>
      <c r="AF185" t="str">
        <f ca="1">IF(AND(ISNUMBER($AF$855),$B$677=1),$AF$855,HLOOKUP(INDIRECT(ADDRESS(2,COLUMN())),OFFSET($BN$2,0,0,ROW()-1,60),ROW()-1,FALSE))</f>
        <v/>
      </c>
      <c r="AG185" t="str">
        <f ca="1">IF(AND(ISNUMBER($AG$855),$B$677=1),$AG$855,HLOOKUP(INDIRECT(ADDRESS(2,COLUMN())),OFFSET($BN$2,0,0,ROW()-1,60),ROW()-1,FALSE))</f>
        <v/>
      </c>
      <c r="AH185" t="str">
        <f ca="1">IF(AND(ISNUMBER($AH$855),$B$677=1),$AH$855,HLOOKUP(INDIRECT(ADDRESS(2,COLUMN())),OFFSET($BN$2,0,0,ROW()-1,60),ROW()-1,FALSE))</f>
        <v/>
      </c>
      <c r="AI185" t="str">
        <f ca="1">IF(AND(ISNUMBER($AI$855),$B$677=1),$AI$855,HLOOKUP(INDIRECT(ADDRESS(2,COLUMN())),OFFSET($BN$2,0,0,ROW()-1,60),ROW()-1,FALSE))</f>
        <v/>
      </c>
      <c r="AJ185" t="str">
        <f ca="1">IF(AND(ISNUMBER($AJ$855),$B$677=1),$AJ$855,HLOOKUP(INDIRECT(ADDRESS(2,COLUMN())),OFFSET($BN$2,0,0,ROW()-1,60),ROW()-1,FALSE))</f>
        <v/>
      </c>
      <c r="AK185" t="str">
        <f ca="1">IF(AND(ISNUMBER($AK$855),$B$677=1),$AK$855,HLOOKUP(INDIRECT(ADDRESS(2,COLUMN())),OFFSET($BN$2,0,0,ROW()-1,60),ROW()-1,FALSE))</f>
        <v/>
      </c>
      <c r="AL185" t="str">
        <f ca="1">IF(AND(ISNUMBER($AL$855),$B$677=1),$AL$855,HLOOKUP(INDIRECT(ADDRESS(2,COLUMN())),OFFSET($BN$2,0,0,ROW()-1,60),ROW()-1,FALSE))</f>
        <v/>
      </c>
      <c r="AM185" t="str">
        <f ca="1">IF(AND(ISNUMBER($AM$855),$B$677=1),$AM$855,HLOOKUP(INDIRECT(ADDRESS(2,COLUMN())),OFFSET($BN$2,0,0,ROW()-1,60),ROW()-1,FALSE))</f>
        <v/>
      </c>
      <c r="AN185" t="str">
        <f ca="1">IF(AND(ISNUMBER($AN$855),$B$677=1),$AN$855,HLOOKUP(INDIRECT(ADDRESS(2,COLUMN())),OFFSET($BN$2,0,0,ROW()-1,60),ROW()-1,FALSE))</f>
        <v/>
      </c>
      <c r="AO185" t="str">
        <f ca="1">IF(AND(ISNUMBER($AO$855),$B$677=1),$AO$855,HLOOKUP(INDIRECT(ADDRESS(2,COLUMN())),OFFSET($BN$2,0,0,ROW()-1,60),ROW()-1,FALSE))</f>
        <v/>
      </c>
      <c r="AP185" t="str">
        <f ca="1">IF(AND(ISNUMBER($AP$855),$B$677=1),$AP$855,HLOOKUP(INDIRECT(ADDRESS(2,COLUMN())),OFFSET($BN$2,0,0,ROW()-1,60),ROW()-1,FALSE))</f>
        <v/>
      </c>
      <c r="AQ185" t="str">
        <f ca="1">IF(AND(ISNUMBER($AQ$855),$B$677=1),$AQ$855,HLOOKUP(INDIRECT(ADDRESS(2,COLUMN())),OFFSET($BN$2,0,0,ROW()-1,60),ROW()-1,FALSE))</f>
        <v/>
      </c>
      <c r="AR185" t="str">
        <f ca="1">IF(AND(ISNUMBER($AR$855),$B$677=1),$AR$855,HLOOKUP(INDIRECT(ADDRESS(2,COLUMN())),OFFSET($BN$2,0,0,ROW()-1,60),ROW()-1,FALSE))</f>
        <v/>
      </c>
      <c r="AS185" t="str">
        <f ca="1">IF(AND(ISNUMBER($AS$855),$B$677=1),$AS$855,HLOOKUP(INDIRECT(ADDRESS(2,COLUMN())),OFFSET($BN$2,0,0,ROW()-1,60),ROW()-1,FALSE))</f>
        <v/>
      </c>
      <c r="AT185" t="str">
        <f ca="1">IF(AND(ISNUMBER($AT$855),$B$677=1),$AT$855,HLOOKUP(INDIRECT(ADDRESS(2,COLUMN())),OFFSET($BN$2,0,0,ROW()-1,60),ROW()-1,FALSE))</f>
        <v/>
      </c>
      <c r="AU185" t="str">
        <f ca="1">IF(AND(ISNUMBER($AU$855),$B$677=1),$AU$855,HLOOKUP(INDIRECT(ADDRESS(2,COLUMN())),OFFSET($BN$2,0,0,ROW()-1,60),ROW()-1,FALSE))</f>
        <v/>
      </c>
      <c r="AV185" t="str">
        <f ca="1">IF(AND(ISNUMBER($AV$855),$B$677=1),$AV$855,HLOOKUP(INDIRECT(ADDRESS(2,COLUMN())),OFFSET($BN$2,0,0,ROW()-1,60),ROW()-1,FALSE))</f>
        <v/>
      </c>
      <c r="AW185" t="str">
        <f ca="1">IF(AND(ISNUMBER($AW$855),$B$677=1),$AW$855,HLOOKUP(INDIRECT(ADDRESS(2,COLUMN())),OFFSET($BN$2,0,0,ROW()-1,60),ROW()-1,FALSE))</f>
        <v/>
      </c>
      <c r="AX185" t="str">
        <f ca="1">IF(AND(ISNUMBER($AX$855),$B$677=1),$AX$855,HLOOKUP(INDIRECT(ADDRESS(2,COLUMN())),OFFSET($BN$2,0,0,ROW()-1,60),ROW()-1,FALSE))</f>
        <v/>
      </c>
      <c r="AY185" t="str">
        <f ca="1">IF(AND(ISNUMBER($AY$855),$B$677=1),$AY$855,HLOOKUP(INDIRECT(ADDRESS(2,COLUMN())),OFFSET($BN$2,0,0,ROW()-1,60),ROW()-1,FALSE))</f>
        <v/>
      </c>
      <c r="AZ185" t="str">
        <f ca="1">IF(AND(ISNUMBER($AZ$855),$B$677=1),$AZ$855,HLOOKUP(INDIRECT(ADDRESS(2,COLUMN())),OFFSET($BN$2,0,0,ROW()-1,60),ROW()-1,FALSE))</f>
        <v/>
      </c>
      <c r="BA185" t="str">
        <f ca="1">IF(AND(ISNUMBER($BA$855),$B$677=1),$BA$855,HLOOKUP(INDIRECT(ADDRESS(2,COLUMN())),OFFSET($BN$2,0,0,ROW()-1,60),ROW()-1,FALSE))</f>
        <v/>
      </c>
      <c r="BB185" t="str">
        <f ca="1">IF(AND(ISNUMBER($BB$855),$B$677=1),$BB$855,HLOOKUP(INDIRECT(ADDRESS(2,COLUMN())),OFFSET($BN$2,0,0,ROW()-1,60),ROW()-1,FALSE))</f>
        <v/>
      </c>
      <c r="BC185" t="str">
        <f ca="1">IF(AND(ISNUMBER($BC$855),$B$677=1),$BC$855,HLOOKUP(INDIRECT(ADDRESS(2,COLUMN())),OFFSET($BN$2,0,0,ROW()-1,60),ROW()-1,FALSE))</f>
        <v/>
      </c>
      <c r="BD185" t="str">
        <f ca="1">IF(AND(ISNUMBER($BD$855),$B$677=1),$BD$855,HLOOKUP(INDIRECT(ADDRESS(2,COLUMN())),OFFSET($BN$2,0,0,ROW()-1,60),ROW()-1,FALSE))</f>
        <v/>
      </c>
      <c r="BE185" t="str">
        <f ca="1">IF(AND(ISNUMBER($BE$855),$B$677=1),$BE$855,HLOOKUP(INDIRECT(ADDRESS(2,COLUMN())),OFFSET($BN$2,0,0,ROW()-1,60),ROW()-1,FALSE))</f>
        <v/>
      </c>
      <c r="BF185" t="str">
        <f ca="1">IF(AND(ISNUMBER($BF$855),$B$677=1),$BF$855,HLOOKUP(INDIRECT(ADDRESS(2,COLUMN())),OFFSET($BN$2,0,0,ROW()-1,60),ROW()-1,FALSE))</f>
        <v/>
      </c>
      <c r="BG185" t="str">
        <f ca="1">IF(AND(ISNUMBER($BG$855),$B$677=1),$BG$855,HLOOKUP(INDIRECT(ADDRESS(2,COLUMN())),OFFSET($BN$2,0,0,ROW()-1,60),ROW()-1,FALSE))</f>
        <v/>
      </c>
      <c r="BH185" t="str">
        <f ca="1">IF(AND(ISNUMBER($BH$855),$B$677=1),$BH$855,HLOOKUP(INDIRECT(ADDRESS(2,COLUMN())),OFFSET($BN$2,0,0,ROW()-1,60),ROW()-1,FALSE))</f>
        <v/>
      </c>
      <c r="BI185" t="str">
        <f ca="1">IF(AND(ISNUMBER($BI$855),$B$677=1),$BI$855,HLOOKUP(INDIRECT(ADDRESS(2,COLUMN())),OFFSET($BN$2,0,0,ROW()-1,60),ROW()-1,FALSE))</f>
        <v/>
      </c>
      <c r="BJ185" t="str">
        <f ca="1">IF(AND(ISNUMBER($BJ$855),$B$677=1),$BJ$855,HLOOKUP(INDIRECT(ADDRESS(2,COLUMN())),OFFSET($BN$2,0,0,ROW()-1,60),ROW()-1,FALSE))</f>
        <v/>
      </c>
      <c r="BK185" t="str">
        <f ca="1">IF(AND(ISNUMBER($BK$855),$B$677=1),$BK$855,HLOOKUP(INDIRECT(ADDRESS(2,COLUMN())),OFFSET($BN$2,0,0,ROW()-1,60),ROW()-1,FALSE))</f>
        <v/>
      </c>
      <c r="BL185" t="str">
        <f ca="1">IF(AND(ISNUMBER($BL$855),$B$677=1),$BL$855,HLOOKUP(INDIRECT(ADDRESS(2,COLUMN())),OFFSET($BN$2,0,0,ROW()-1,60),ROW()-1,FALSE))</f>
        <v/>
      </c>
      <c r="BM185" t="str">
        <f ca="1">IF(AND(ISNUMBER($BM$855),$B$677=1),$BM$855,HLOOKUP(INDIRECT(ADDRESS(2,COLUMN())),OFFSET($BN$2,0,0,ROW()-1,60),ROW()-1,FALSE))</f>
        <v/>
      </c>
      <c r="BN185">
        <f>1.65214393</f>
        <v>1.65214393</v>
      </c>
      <c r="BO185">
        <f>1.407109161</f>
        <v>1.4071091609999999</v>
      </c>
      <c r="BP185">
        <f>1.454427646</f>
        <v>1.4544276460000001</v>
      </c>
      <c r="BQ185">
        <f>1.810840091</f>
        <v>1.810840091</v>
      </c>
      <c r="BR185">
        <f>1.784621861</f>
        <v>1.784621861</v>
      </c>
      <c r="BS185">
        <f>1.968509879</f>
        <v>1.968509879</v>
      </c>
      <c r="BT185">
        <f>1.553546401</f>
        <v>1.553546401</v>
      </c>
      <c r="BU185">
        <f>1.325381969</f>
        <v>1.3253819689999999</v>
      </c>
      <c r="BV185">
        <f>1.333366852</f>
        <v>1.3333668519999999</v>
      </c>
      <c r="BW185">
        <f>1.386685064</f>
        <v>1.3866850639999999</v>
      </c>
      <c r="BX185">
        <f>1.242115415</f>
        <v>1.242115415</v>
      </c>
      <c r="BY185">
        <f>1.217302471</f>
        <v>1.217302471</v>
      </c>
      <c r="BZ185">
        <f>1.345423932</f>
        <v>1.3454239320000001</v>
      </c>
      <c r="CA185">
        <f>1.503802618</f>
        <v>1.5038026179999999</v>
      </c>
      <c r="CB185">
        <f>1.6820872</f>
        <v>1.6820872</v>
      </c>
      <c r="CC185">
        <f>1.841118591</f>
        <v>1.8411185910000001</v>
      </c>
      <c r="CD185">
        <f>1.99786894</f>
        <v>1.99786894</v>
      </c>
      <c r="CE185">
        <f>1.922952456</f>
        <v>1.922952456</v>
      </c>
      <c r="CF185">
        <f>1.537008632</f>
        <v>1.537008632</v>
      </c>
      <c r="CG185">
        <f>1.809796834</f>
        <v>1.8097968339999999</v>
      </c>
      <c r="CH185">
        <f>1.715211162</f>
        <v>1.7152111619999999</v>
      </c>
      <c r="CI185">
        <f>1.773101952</f>
        <v>1.773101952</v>
      </c>
      <c r="CJ185">
        <f>2.456847344</f>
        <v>2.4568473439999998</v>
      </c>
      <c r="CK185">
        <f>2.404806106</f>
        <v>2.4048061060000001</v>
      </c>
      <c r="CL185">
        <f>2.136361143</f>
        <v>2.1363611429999998</v>
      </c>
      <c r="CM185">
        <f>2.307571247</f>
        <v>2.3075712469999998</v>
      </c>
      <c r="CN185" t="str">
        <f>""</f>
        <v/>
      </c>
      <c r="CO185" t="str">
        <f>""</f>
        <v/>
      </c>
      <c r="CP185" t="str">
        <f>""</f>
        <v/>
      </c>
      <c r="CQ185" t="str">
        <f>""</f>
        <v/>
      </c>
      <c r="CR185" t="str">
        <f>""</f>
        <v/>
      </c>
      <c r="CS185" t="str">
        <f>""</f>
        <v/>
      </c>
      <c r="CT185" t="str">
        <f>""</f>
        <v/>
      </c>
      <c r="CU185" t="str">
        <f>""</f>
        <v/>
      </c>
      <c r="CV185" t="str">
        <f>""</f>
        <v/>
      </c>
      <c r="CW185" t="str">
        <f>""</f>
        <v/>
      </c>
      <c r="CX185" t="str">
        <f>""</f>
        <v/>
      </c>
      <c r="CY185" t="str">
        <f>""</f>
        <v/>
      </c>
      <c r="CZ185" t="str">
        <f>""</f>
        <v/>
      </c>
      <c r="DA185" t="str">
        <f>""</f>
        <v/>
      </c>
      <c r="DB185" t="str">
        <f>""</f>
        <v/>
      </c>
      <c r="DC185" t="str">
        <f>""</f>
        <v/>
      </c>
      <c r="DD185" t="str">
        <f>""</f>
        <v/>
      </c>
      <c r="DE185" t="str">
        <f>""</f>
        <v/>
      </c>
      <c r="DF185" t="str">
        <f>""</f>
        <v/>
      </c>
      <c r="DG185" t="str">
        <f>""</f>
        <v/>
      </c>
      <c r="DH185" t="str">
        <f>""</f>
        <v/>
      </c>
      <c r="DI185" t="str">
        <f>""</f>
        <v/>
      </c>
      <c r="DJ185" t="str">
        <f>""</f>
        <v/>
      </c>
      <c r="DK185" t="str">
        <f>""</f>
        <v/>
      </c>
      <c r="DL185" t="str">
        <f>""</f>
        <v/>
      </c>
      <c r="DM185" t="str">
        <f>""</f>
        <v/>
      </c>
      <c r="DN185" t="str">
        <f>""</f>
        <v/>
      </c>
      <c r="DO185" t="str">
        <f>""</f>
        <v/>
      </c>
      <c r="DP185" t="str">
        <f>""</f>
        <v/>
      </c>
      <c r="DQ185" t="str">
        <f>""</f>
        <v/>
      </c>
      <c r="DR185" t="str">
        <f>""</f>
        <v/>
      </c>
      <c r="DS185" t="str">
        <f>""</f>
        <v/>
      </c>
      <c r="DT185" t="str">
        <f>""</f>
        <v/>
      </c>
      <c r="DU185" t="str">
        <f>""</f>
        <v/>
      </c>
    </row>
    <row r="186" spans="1:125" x14ac:dyDescent="0.25">
      <c r="A186" t="str">
        <f>"    Great Wall Motor Co Ltd"</f>
        <v xml:space="preserve">    Great Wall Motor Co Ltd</v>
      </c>
      <c r="B186" t="str">
        <f>"2333 HK Equity"</f>
        <v>2333 HK Equity</v>
      </c>
      <c r="C186" t="str">
        <f t="shared" si="12"/>
        <v>RX077</v>
      </c>
      <c r="D186" t="str">
        <f t="shared" si="13"/>
        <v>PX_TO_TANG_BOOK_VAL_PER_SH</v>
      </c>
      <c r="E186" t="str">
        <f t="shared" si="14"/>
        <v>Dynamic</v>
      </c>
      <c r="F186">
        <f ca="1">IF(AND(ISNUMBER($F$856),$B$677=1),$F$856,HLOOKUP(INDIRECT(ADDRESS(2,COLUMN())),OFFSET($BN$2,0,0,ROW()-1,60),ROW()-1,FALSE))</f>
        <v>1.0876487349999999</v>
      </c>
      <c r="G186">
        <f ca="1">IF(AND(ISNUMBER($G$856),$B$677=1),$G$856,HLOOKUP(INDIRECT(ADDRESS(2,COLUMN())),OFFSET($BN$2,0,0,ROW()-1,60),ROW()-1,FALSE))</f>
        <v>0.766593525</v>
      </c>
      <c r="H186">
        <f ca="1">IF(AND(ISNUMBER($H$856),$B$677=1),$H$856,HLOOKUP(INDIRECT(ADDRESS(2,COLUMN())),OFFSET($BN$2,0,0,ROW()-1,60),ROW()-1,FALSE))</f>
        <v>0.85152444900000002</v>
      </c>
      <c r="I186">
        <f ca="1">IF(AND(ISNUMBER($I$856),$B$677=1),$I$856,HLOOKUP(INDIRECT(ADDRESS(2,COLUMN())),OFFSET($BN$2,0,0,ROW()-1,60),ROW()-1,FALSE))</f>
        <v>0.92054265300000004</v>
      </c>
      <c r="J186">
        <f ca="1">IF(AND(ISNUMBER($J$856),$B$677=1),$J$856,HLOOKUP(INDIRECT(ADDRESS(2,COLUMN())),OFFSET($BN$2,0,0,ROW()-1,60),ROW()-1,FALSE))</f>
        <v>1.214308741</v>
      </c>
      <c r="K186">
        <f ca="1">IF(AND(ISNUMBER($K$856),$B$677=1),$K$856,HLOOKUP(INDIRECT(ADDRESS(2,COLUMN())),OFFSET($BN$2,0,0,ROW()-1,60),ROW()-1,FALSE))</f>
        <v>1.3907324969999999</v>
      </c>
      <c r="L186">
        <f ca="1">IF(AND(ISNUMBER($L$856),$B$677=1),$L$856,HLOOKUP(INDIRECT(ADDRESS(2,COLUMN())),OFFSET($BN$2,0,0,ROW()-1,60),ROW()-1,FALSE))</f>
        <v>1.701422462</v>
      </c>
      <c r="M186">
        <f ca="1">IF(AND(ISNUMBER($M$856),$B$677=1),$M$856,HLOOKUP(INDIRECT(ADDRESS(2,COLUMN())),OFFSET($BN$2,0,0,ROW()-1,60),ROW()-1,FALSE))</f>
        <v>1.6464767570000001</v>
      </c>
      <c r="N186">
        <f ca="1">IF(AND(ISNUMBER($N$856),$B$677=1),$N$856,HLOOKUP(INDIRECT(ADDRESS(2,COLUMN())),OFFSET($BN$2,0,0,ROW()-1,60),ROW()-1,FALSE))</f>
        <v>1.5515345460000001</v>
      </c>
      <c r="O186">
        <f ca="1">IF(AND(ISNUMBER($O$856),$B$677=1),$O$856,HLOOKUP(INDIRECT(ADDRESS(2,COLUMN())),OFFSET($BN$2,0,0,ROW()-1,60),ROW()-1,FALSE))</f>
        <v>1.2545128139999999</v>
      </c>
      <c r="P186">
        <f ca="1">IF(AND(ISNUMBER($P$856),$B$677=1),$P$856,HLOOKUP(INDIRECT(ADDRESS(2,COLUMN())),OFFSET($BN$2,0,0,ROW()-1,60),ROW()-1,FALSE))</f>
        <v>1.4560595999999999</v>
      </c>
      <c r="Q186">
        <f ca="1">IF(AND(ISNUMBER($Q$856),$B$677=1),$Q$856,HLOOKUP(INDIRECT(ADDRESS(2,COLUMN())),OFFSET($BN$2,0,0,ROW()-1,60),ROW()-1,FALSE))</f>
        <v>1.212482595</v>
      </c>
      <c r="R186">
        <f ca="1">IF(AND(ISNUMBER($R$856),$B$677=1),$R$856,HLOOKUP(INDIRECT(ADDRESS(2,COLUMN())),OFFSET($BN$2,0,0,ROW()-1,60),ROW()-1,FALSE))</f>
        <v>1.2711691329999999</v>
      </c>
      <c r="S186">
        <f ca="1">IF(AND(ISNUMBER($S$856),$B$677=1),$S$856,HLOOKUP(INDIRECT(ADDRESS(2,COLUMN())),OFFSET($BN$2,0,0,ROW()-1,60),ROW()-1,FALSE))</f>
        <v>1.8040892399999999</v>
      </c>
      <c r="T186">
        <f ca="1">IF(AND(ISNUMBER($T$856),$B$677=1),$T$856,HLOOKUP(INDIRECT(ADDRESS(2,COLUMN())),OFFSET($BN$2,0,0,ROW()-1,60),ROW()-1,FALSE))</f>
        <v>2.1142129139999999</v>
      </c>
      <c r="U186">
        <f ca="1">IF(AND(ISNUMBER($U$856),$B$677=1),$U$856,HLOOKUP(INDIRECT(ADDRESS(2,COLUMN())),OFFSET($BN$2,0,0,ROW()-1,60),ROW()-1,FALSE))</f>
        <v>2.5926761680000001</v>
      </c>
      <c r="V186">
        <f ca="1">IF(AND(ISNUMBER($V$856),$B$677=1),$V$856,HLOOKUP(INDIRECT(ADDRESS(2,COLUMN())),OFFSET($BN$2,0,0,ROW()-1,60),ROW()-1,FALSE))</f>
        <v>4.0190339130000003</v>
      </c>
      <c r="W186">
        <f ca="1">IF(AND(ISNUMBER($W$856),$B$677=1),$W$856,HLOOKUP(INDIRECT(ADDRESS(2,COLUMN())),OFFSET($BN$2,0,0,ROW()-1,60),ROW()-1,FALSE))</f>
        <v>3.218492812</v>
      </c>
      <c r="X186">
        <f ca="1">IF(AND(ISNUMBER($X$856),$B$677=1),$X$856,HLOOKUP(INDIRECT(ADDRESS(2,COLUMN())),OFFSET($BN$2,0,0,ROW()-1,60),ROW()-1,FALSE))</f>
        <v>2.5360829709999999</v>
      </c>
      <c r="Y186">
        <f ca="1">IF(AND(ISNUMBER($Y$856),$B$677=1),$Y$856,HLOOKUP(INDIRECT(ADDRESS(2,COLUMN())),OFFSET($BN$2,0,0,ROW()-1,60),ROW()-1,FALSE))</f>
        <v>2.386234677</v>
      </c>
      <c r="Z186">
        <f ca="1">IF(AND(ISNUMBER($Z$856),$B$677=1),$Z$856,HLOOKUP(INDIRECT(ADDRESS(2,COLUMN())),OFFSET($BN$2,0,0,ROW()-1,60),ROW()-1,FALSE))</f>
        <v>3.442662704</v>
      </c>
      <c r="AA186">
        <f ca="1">IF(AND(ISNUMBER($AA$856),$B$677=1),$AA$856,HLOOKUP(INDIRECT(ADDRESS(2,COLUMN())),OFFSET($BN$2,0,0,ROW()-1,60),ROW()-1,FALSE))</f>
        <v>3.6376411819999999</v>
      </c>
      <c r="AB186">
        <f ca="1">IF(AND(ISNUMBER($AB$856),$B$677=1),$AB$856,HLOOKUP(INDIRECT(ADDRESS(2,COLUMN())),OFFSET($BN$2,0,0,ROW()-1,60),ROW()-1,FALSE))</f>
        <v>4.2954879699999999</v>
      </c>
      <c r="AC186">
        <f ca="1">IF(AND(ISNUMBER($AC$856),$B$677=1),$AC$856,HLOOKUP(INDIRECT(ADDRESS(2,COLUMN())),OFFSET($BN$2,0,0,ROW()-1,60),ROW()-1,FALSE))</f>
        <v>3.379756209</v>
      </c>
      <c r="AD186">
        <f ca="1">IF(AND(ISNUMBER($AD$856),$B$677=1),$AD$856,HLOOKUP(INDIRECT(ADDRESS(2,COLUMN())),OFFSET($BN$2,0,0,ROW()-1,60),ROW()-1,FALSE))</f>
        <v>3.0232381849999999</v>
      </c>
      <c r="AE186">
        <f ca="1">IF(AND(ISNUMBER($AE$856),$B$677=1),$AE$856,HLOOKUP(INDIRECT(ADDRESS(2,COLUMN())),OFFSET($BN$2,0,0,ROW()-1,60),ROW()-1,FALSE))</f>
        <v>2.7851580970000001</v>
      </c>
      <c r="AF186">
        <f ca="1">IF(AND(ISNUMBER($AF$856),$B$677=1),$AF$856,HLOOKUP(INDIRECT(ADDRESS(2,COLUMN())),OFFSET($BN$2,0,0,ROW()-1,60),ROW()-1,FALSE))</f>
        <v>2.9129415440000002</v>
      </c>
      <c r="AG186">
        <f ca="1">IF(AND(ISNUMBER($AG$856),$B$677=1),$AG$856,HLOOKUP(INDIRECT(ADDRESS(2,COLUMN())),OFFSET($BN$2,0,0,ROW()-1,60),ROW()-1,FALSE))</f>
        <v>2.1122106079999998</v>
      </c>
      <c r="AH186">
        <f ca="1">IF(AND(ISNUMBER($AH$856),$B$677=1),$AH$856,HLOOKUP(INDIRECT(ADDRESS(2,COLUMN())),OFFSET($BN$2,0,0,ROW()-1,60),ROW()-1,FALSE))</f>
        <v>2.3351115450000002</v>
      </c>
      <c r="AI186">
        <f ca="1">IF(AND(ISNUMBER($AI$856),$B$677=1),$AI$856,HLOOKUP(INDIRECT(ADDRESS(2,COLUMN())),OFFSET($BN$2,0,0,ROW()-1,60),ROW()-1,FALSE))</f>
        <v>1.964944778</v>
      </c>
      <c r="AJ186">
        <f ca="1">IF(AND(ISNUMBER($AJ$856),$B$677=1),$AJ$856,HLOOKUP(INDIRECT(ADDRESS(2,COLUMN())),OFFSET($BN$2,0,0,ROW()-1,60),ROW()-1,FALSE))</f>
        <v>1.5709114879999999</v>
      </c>
      <c r="AK186">
        <f ca="1">IF(AND(ISNUMBER($AK$856),$B$677=1),$AK$856,HLOOKUP(INDIRECT(ADDRESS(2,COLUMN())),OFFSET($BN$2,0,0,ROW()-1,60),ROW()-1,FALSE))</f>
        <v>2.9993784699999999</v>
      </c>
      <c r="AL186">
        <f ca="1">IF(AND(ISNUMBER($AL$856),$B$677=1),$AL$856,HLOOKUP(INDIRECT(ADDRESS(2,COLUMN())),OFFSET($BN$2,0,0,ROW()-1,60),ROW()-1,FALSE))</f>
        <v>3.4158313429999998</v>
      </c>
      <c r="AM186" t="str">
        <f ca="1">IF(AND(ISNUMBER($AM$856),$B$677=1),$AM$856,HLOOKUP(INDIRECT(ADDRESS(2,COLUMN())),OFFSET($BN$2,0,0,ROW()-1,60),ROW()-1,FALSE))</f>
        <v/>
      </c>
      <c r="AN186" t="str">
        <f ca="1">IF(AND(ISNUMBER($AN$856),$B$677=1),$AN$856,HLOOKUP(INDIRECT(ADDRESS(2,COLUMN())),OFFSET($BN$2,0,0,ROW()-1,60),ROW()-1,FALSE))</f>
        <v/>
      </c>
      <c r="AO186" t="str">
        <f ca="1">IF(AND(ISNUMBER($AO$856),$B$677=1),$AO$856,HLOOKUP(INDIRECT(ADDRESS(2,COLUMN())),OFFSET($BN$2,0,0,ROW()-1,60),ROW()-1,FALSE))</f>
        <v/>
      </c>
      <c r="AP186" t="str">
        <f ca="1">IF(AND(ISNUMBER($AP$856),$B$677=1),$AP$856,HLOOKUP(INDIRECT(ADDRESS(2,COLUMN())),OFFSET($BN$2,0,0,ROW()-1,60),ROW()-1,FALSE))</f>
        <v/>
      </c>
      <c r="AQ186" t="str">
        <f ca="1">IF(AND(ISNUMBER($AQ$856),$B$677=1),$AQ$856,HLOOKUP(INDIRECT(ADDRESS(2,COLUMN())),OFFSET($BN$2,0,0,ROW()-1,60),ROW()-1,FALSE))</f>
        <v/>
      </c>
      <c r="AR186" t="str">
        <f ca="1">IF(AND(ISNUMBER($AR$856),$B$677=1),$AR$856,HLOOKUP(INDIRECT(ADDRESS(2,COLUMN())),OFFSET($BN$2,0,0,ROW()-1,60),ROW()-1,FALSE))</f>
        <v/>
      </c>
      <c r="AS186" t="str">
        <f ca="1">IF(AND(ISNUMBER($AS$856),$B$677=1),$AS$856,HLOOKUP(INDIRECT(ADDRESS(2,COLUMN())),OFFSET($BN$2,0,0,ROW()-1,60),ROW()-1,FALSE))</f>
        <v/>
      </c>
      <c r="AT186" t="str">
        <f ca="1">IF(AND(ISNUMBER($AT$856),$B$677=1),$AT$856,HLOOKUP(INDIRECT(ADDRESS(2,COLUMN())),OFFSET($BN$2,0,0,ROW()-1,60),ROW()-1,FALSE))</f>
        <v/>
      </c>
      <c r="AU186" t="str">
        <f ca="1">IF(AND(ISNUMBER($AU$856),$B$677=1),$AU$856,HLOOKUP(INDIRECT(ADDRESS(2,COLUMN())),OFFSET($BN$2,0,0,ROW()-1,60),ROW()-1,FALSE))</f>
        <v/>
      </c>
      <c r="AV186" t="str">
        <f ca="1">IF(AND(ISNUMBER($AV$856),$B$677=1),$AV$856,HLOOKUP(INDIRECT(ADDRESS(2,COLUMN())),OFFSET($BN$2,0,0,ROW()-1,60),ROW()-1,FALSE))</f>
        <v/>
      </c>
      <c r="AW186" t="str">
        <f ca="1">IF(AND(ISNUMBER($AW$856),$B$677=1),$AW$856,HLOOKUP(INDIRECT(ADDRESS(2,COLUMN())),OFFSET($BN$2,0,0,ROW()-1,60),ROW()-1,FALSE))</f>
        <v/>
      </c>
      <c r="AX186" t="str">
        <f ca="1">IF(AND(ISNUMBER($AX$856),$B$677=1),$AX$856,HLOOKUP(INDIRECT(ADDRESS(2,COLUMN())),OFFSET($BN$2,0,0,ROW()-1,60),ROW()-1,FALSE))</f>
        <v/>
      </c>
      <c r="AY186" t="str">
        <f ca="1">IF(AND(ISNUMBER($AY$856),$B$677=1),$AY$856,HLOOKUP(INDIRECT(ADDRESS(2,COLUMN())),OFFSET($BN$2,0,0,ROW()-1,60),ROW()-1,FALSE))</f>
        <v/>
      </c>
      <c r="AZ186" t="str">
        <f ca="1">IF(AND(ISNUMBER($AZ$856),$B$677=1),$AZ$856,HLOOKUP(INDIRECT(ADDRESS(2,COLUMN())),OFFSET($BN$2,0,0,ROW()-1,60),ROW()-1,FALSE))</f>
        <v/>
      </c>
      <c r="BA186" t="str">
        <f ca="1">IF(AND(ISNUMBER($BA$856),$B$677=1),$BA$856,HLOOKUP(INDIRECT(ADDRESS(2,COLUMN())),OFFSET($BN$2,0,0,ROW()-1,60),ROW()-1,FALSE))</f>
        <v/>
      </c>
      <c r="BB186" t="str">
        <f ca="1">IF(AND(ISNUMBER($BB$856),$B$677=1),$BB$856,HLOOKUP(INDIRECT(ADDRESS(2,COLUMN())),OFFSET($BN$2,0,0,ROW()-1,60),ROW()-1,FALSE))</f>
        <v/>
      </c>
      <c r="BC186" t="str">
        <f ca="1">IF(AND(ISNUMBER($BC$856),$B$677=1),$BC$856,HLOOKUP(INDIRECT(ADDRESS(2,COLUMN())),OFFSET($BN$2,0,0,ROW()-1,60),ROW()-1,FALSE))</f>
        <v/>
      </c>
      <c r="BD186" t="str">
        <f ca="1">IF(AND(ISNUMBER($BD$856),$B$677=1),$BD$856,HLOOKUP(INDIRECT(ADDRESS(2,COLUMN())),OFFSET($BN$2,0,0,ROW()-1,60),ROW()-1,FALSE))</f>
        <v/>
      </c>
      <c r="BE186" t="str">
        <f ca="1">IF(AND(ISNUMBER($BE$856),$B$677=1),$BE$856,HLOOKUP(INDIRECT(ADDRESS(2,COLUMN())),OFFSET($BN$2,0,0,ROW()-1,60),ROW()-1,FALSE))</f>
        <v/>
      </c>
      <c r="BF186" t="str">
        <f ca="1">IF(AND(ISNUMBER($BF$856),$B$677=1),$BF$856,HLOOKUP(INDIRECT(ADDRESS(2,COLUMN())),OFFSET($BN$2,0,0,ROW()-1,60),ROW()-1,FALSE))</f>
        <v/>
      </c>
      <c r="BG186" t="str">
        <f ca="1">IF(AND(ISNUMBER($BG$856),$B$677=1),$BG$856,HLOOKUP(INDIRECT(ADDRESS(2,COLUMN())),OFFSET($BN$2,0,0,ROW()-1,60),ROW()-1,FALSE))</f>
        <v/>
      </c>
      <c r="BH186" t="str">
        <f ca="1">IF(AND(ISNUMBER($BH$856),$B$677=1),$BH$856,HLOOKUP(INDIRECT(ADDRESS(2,COLUMN())),OFFSET($BN$2,0,0,ROW()-1,60),ROW()-1,FALSE))</f>
        <v/>
      </c>
      <c r="BI186" t="str">
        <f ca="1">IF(AND(ISNUMBER($BI$856),$B$677=1),$BI$856,HLOOKUP(INDIRECT(ADDRESS(2,COLUMN())),OFFSET($BN$2,0,0,ROW()-1,60),ROW()-1,FALSE))</f>
        <v/>
      </c>
      <c r="BJ186" t="str">
        <f ca="1">IF(AND(ISNUMBER($BJ$856),$B$677=1),$BJ$856,HLOOKUP(INDIRECT(ADDRESS(2,COLUMN())),OFFSET($BN$2,0,0,ROW()-1,60),ROW()-1,FALSE))</f>
        <v/>
      </c>
      <c r="BK186" t="str">
        <f ca="1">IF(AND(ISNUMBER($BK$856),$B$677=1),$BK$856,HLOOKUP(INDIRECT(ADDRESS(2,COLUMN())),OFFSET($BN$2,0,0,ROW()-1,60),ROW()-1,FALSE))</f>
        <v/>
      </c>
      <c r="BL186" t="str">
        <f ca="1">IF(AND(ISNUMBER($BL$856),$B$677=1),$BL$856,HLOOKUP(INDIRECT(ADDRESS(2,COLUMN())),OFFSET($BN$2,0,0,ROW()-1,60),ROW()-1,FALSE))</f>
        <v/>
      </c>
      <c r="BM186" t="str">
        <f ca="1">IF(AND(ISNUMBER($BM$856),$B$677=1),$BM$856,HLOOKUP(INDIRECT(ADDRESS(2,COLUMN())),OFFSET($BN$2,0,0,ROW()-1,60),ROW()-1,FALSE))</f>
        <v/>
      </c>
      <c r="BN186">
        <f>1.087648735</f>
        <v>1.0876487349999999</v>
      </c>
      <c r="BO186">
        <f>0.766593525</f>
        <v>0.766593525</v>
      </c>
      <c r="BP186">
        <f>0.851524449</f>
        <v>0.85152444900000002</v>
      </c>
      <c r="BQ186">
        <f>0.920542653</f>
        <v>0.92054265300000004</v>
      </c>
      <c r="BR186">
        <f>1.214308741</f>
        <v>1.214308741</v>
      </c>
      <c r="BS186">
        <f>1.390732497</f>
        <v>1.3907324969999999</v>
      </c>
      <c r="BT186">
        <f>1.701422462</f>
        <v>1.701422462</v>
      </c>
      <c r="BU186">
        <f>1.646476757</f>
        <v>1.6464767570000001</v>
      </c>
      <c r="BV186">
        <f>1.551534546</f>
        <v>1.5515345460000001</v>
      </c>
      <c r="BW186">
        <f>1.254512814</f>
        <v>1.2545128139999999</v>
      </c>
      <c r="BX186">
        <f>1.4560596</f>
        <v>1.4560595999999999</v>
      </c>
      <c r="BY186">
        <f>1.212482595</f>
        <v>1.212482595</v>
      </c>
      <c r="BZ186">
        <f>1.271169133</f>
        <v>1.2711691329999999</v>
      </c>
      <c r="CA186">
        <f>1.80408924</f>
        <v>1.8040892399999999</v>
      </c>
      <c r="CB186">
        <f>2.114212914</f>
        <v>2.1142129139999999</v>
      </c>
      <c r="CC186">
        <f>2.592676168</f>
        <v>2.5926761680000001</v>
      </c>
      <c r="CD186">
        <f>4.019033913</f>
        <v>4.0190339130000003</v>
      </c>
      <c r="CE186">
        <f>3.218492812</f>
        <v>3.218492812</v>
      </c>
      <c r="CF186">
        <f>2.536082971</f>
        <v>2.5360829709999999</v>
      </c>
      <c r="CG186">
        <f>2.386234677</f>
        <v>2.386234677</v>
      </c>
      <c r="CH186">
        <f>3.442662704</f>
        <v>3.442662704</v>
      </c>
      <c r="CI186">
        <f>3.637641182</f>
        <v>3.6376411819999999</v>
      </c>
      <c r="CJ186">
        <f>4.29548797</f>
        <v>4.2954879699999999</v>
      </c>
      <c r="CK186">
        <f>3.379756209</f>
        <v>3.379756209</v>
      </c>
      <c r="CL186">
        <f>3.023238185</f>
        <v>3.0232381849999999</v>
      </c>
      <c r="CM186">
        <f>2.785158097</f>
        <v>2.7851580970000001</v>
      </c>
      <c r="CN186">
        <f>2.912941544</f>
        <v>2.9129415440000002</v>
      </c>
      <c r="CO186">
        <f>2.112210608</f>
        <v>2.1122106079999998</v>
      </c>
      <c r="CP186">
        <f>2.335111545</f>
        <v>2.3351115450000002</v>
      </c>
      <c r="CQ186">
        <f>1.964944778</f>
        <v>1.964944778</v>
      </c>
      <c r="CR186">
        <f>1.570911488</f>
        <v>1.5709114879999999</v>
      </c>
      <c r="CS186">
        <f>2.99937847</f>
        <v>2.9993784699999999</v>
      </c>
      <c r="CT186">
        <f>3.415831343</f>
        <v>3.4158313429999998</v>
      </c>
      <c r="CU186" t="str">
        <f>""</f>
        <v/>
      </c>
      <c r="CV186" t="str">
        <f>""</f>
        <v/>
      </c>
      <c r="CW186" t="str">
        <f>""</f>
        <v/>
      </c>
      <c r="CX186" t="str">
        <f>""</f>
        <v/>
      </c>
      <c r="CY186" t="str">
        <f>""</f>
        <v/>
      </c>
      <c r="CZ186" t="str">
        <f>""</f>
        <v/>
      </c>
      <c r="DA186" t="str">
        <f>""</f>
        <v/>
      </c>
      <c r="DB186" t="str">
        <f>""</f>
        <v/>
      </c>
      <c r="DC186" t="str">
        <f>""</f>
        <v/>
      </c>
      <c r="DD186" t="str">
        <f>""</f>
        <v/>
      </c>
      <c r="DE186" t="str">
        <f>""</f>
        <v/>
      </c>
      <c r="DF186" t="str">
        <f>""</f>
        <v/>
      </c>
      <c r="DG186" t="str">
        <f>""</f>
        <v/>
      </c>
      <c r="DH186" t="str">
        <f>""</f>
        <v/>
      </c>
      <c r="DI186" t="str">
        <f>""</f>
        <v/>
      </c>
      <c r="DJ186" t="str">
        <f>""</f>
        <v/>
      </c>
      <c r="DK186" t="str">
        <f>""</f>
        <v/>
      </c>
      <c r="DL186" t="str">
        <f>""</f>
        <v/>
      </c>
      <c r="DM186" t="str">
        <f>""</f>
        <v/>
      </c>
      <c r="DN186" t="str">
        <f>""</f>
        <v/>
      </c>
      <c r="DO186" t="str">
        <f>""</f>
        <v/>
      </c>
      <c r="DP186" t="str">
        <f>""</f>
        <v/>
      </c>
      <c r="DQ186" t="str">
        <f>""</f>
        <v/>
      </c>
      <c r="DR186" t="str">
        <f>""</f>
        <v/>
      </c>
      <c r="DS186" t="str">
        <f>""</f>
        <v/>
      </c>
      <c r="DT186" t="str">
        <f>""</f>
        <v/>
      </c>
      <c r="DU186" t="str">
        <f>""</f>
        <v/>
      </c>
    </row>
    <row r="187" spans="1:125" x14ac:dyDescent="0.25">
      <c r="A187" t="str">
        <f>"    Guangzhou Automobile Group Co Ltd"</f>
        <v xml:space="preserve">    Guangzhou Automobile Group Co Ltd</v>
      </c>
      <c r="B187" t="str">
        <f>"2238 HK Equity"</f>
        <v>2238 HK Equity</v>
      </c>
      <c r="C187" t="str">
        <f t="shared" si="12"/>
        <v>RX077</v>
      </c>
      <c r="D187" t="str">
        <f t="shared" si="13"/>
        <v>PX_TO_TANG_BOOK_VAL_PER_SH</v>
      </c>
      <c r="E187" t="str">
        <f t="shared" si="14"/>
        <v>Dynamic</v>
      </c>
      <c r="F187">
        <f ca="1">IF(AND(ISNUMBER($F$857),$B$677=1),$F$857,HLOOKUP(INDIRECT(ADDRESS(2,COLUMN())),OFFSET($BN$2,0,0,ROW()-1,60),ROW()-1,FALSE))</f>
        <v>1.3419617189999999</v>
      </c>
      <c r="G187">
        <f ca="1">IF(AND(ISNUMBER($G$857),$B$677=1),$G$857,HLOOKUP(INDIRECT(ADDRESS(2,COLUMN())),OFFSET($BN$2,0,0,ROW()-1,60),ROW()-1,FALSE))</f>
        <v>1.0879345389999999</v>
      </c>
      <c r="H187">
        <f ca="1">IF(AND(ISNUMBER($H$857),$B$677=1),$H$857,HLOOKUP(INDIRECT(ADDRESS(2,COLUMN())),OFFSET($BN$2,0,0,ROW()-1,60),ROW()-1,FALSE))</f>
        <v>1.207114866</v>
      </c>
      <c r="I187">
        <f ca="1">IF(AND(ISNUMBER($I$857),$B$677=1),$I$857,HLOOKUP(INDIRECT(ADDRESS(2,COLUMN())),OFFSET($BN$2,0,0,ROW()-1,60),ROW()-1,FALSE))</f>
        <v>0.98959350300000004</v>
      </c>
      <c r="J187">
        <f ca="1">IF(AND(ISNUMBER($J$857),$B$677=1),$J$857,HLOOKUP(INDIRECT(ADDRESS(2,COLUMN())),OFFSET($BN$2,0,0,ROW()-1,60),ROW()-1,FALSE))</f>
        <v>1.3392996779999999</v>
      </c>
      <c r="K187">
        <f ca="1">IF(AND(ISNUMBER($K$857),$B$677=1),$K$857,HLOOKUP(INDIRECT(ADDRESS(2,COLUMN())),OFFSET($BN$2,0,0,ROW()-1,60),ROW()-1,FALSE))</f>
        <v>1.770774294</v>
      </c>
      <c r="L187">
        <f ca="1">IF(AND(ISNUMBER($L$857),$B$677=1),$L$857,HLOOKUP(INDIRECT(ADDRESS(2,COLUMN())),OFFSET($BN$2,0,0,ROW()-1,60),ROW()-1,FALSE))</f>
        <v>2.315451436</v>
      </c>
      <c r="M187">
        <f ca="1">IF(AND(ISNUMBER($M$857),$B$677=1),$M$857,HLOOKUP(INDIRECT(ADDRESS(2,COLUMN())),OFFSET($BN$2,0,0,ROW()-1,60),ROW()-1,FALSE))</f>
        <v>1.740919366</v>
      </c>
      <c r="N187">
        <f ca="1">IF(AND(ISNUMBER($N$857),$B$677=1),$N$857,HLOOKUP(INDIRECT(ADDRESS(2,COLUMN())),OFFSET($BN$2,0,0,ROW()-1,60),ROW()-1,FALSE))</f>
        <v>1.792621448</v>
      </c>
      <c r="O187">
        <f ca="1">IF(AND(ISNUMBER($O$857),$B$677=1),$O$857,HLOOKUP(INDIRECT(ADDRESS(2,COLUMN())),OFFSET($BN$2,0,0,ROW()-1,60),ROW()-1,FALSE))</f>
        <v>1.406975302</v>
      </c>
      <c r="P187">
        <f ca="1">IF(AND(ISNUMBER($P$857),$B$677=1),$P$857,HLOOKUP(INDIRECT(ADDRESS(2,COLUMN())),OFFSET($BN$2,0,0,ROW()-1,60),ROW()-1,FALSE))</f>
        <v>1.4400571579999999</v>
      </c>
      <c r="Q187">
        <f ca="1">IF(AND(ISNUMBER($Q$857),$B$677=1),$Q$857,HLOOKUP(INDIRECT(ADDRESS(2,COLUMN())),OFFSET($BN$2,0,0,ROW()-1,60),ROW()-1,FALSE))</f>
        <v>1.3823056060000001</v>
      </c>
      <c r="R187">
        <f ca="1">IF(AND(ISNUMBER($R$857),$B$677=1),$R$857,HLOOKUP(INDIRECT(ADDRESS(2,COLUMN())),OFFSET($BN$2,0,0,ROW()-1,60),ROW()-1,FALSE))</f>
        <v>1.2647213859999999</v>
      </c>
      <c r="S187">
        <f ca="1">IF(AND(ISNUMBER($S$857),$B$677=1),$S$857,HLOOKUP(INDIRECT(ADDRESS(2,COLUMN())),OFFSET($BN$2,0,0,ROW()-1,60),ROW()-1,FALSE))</f>
        <v>1.1016191019999999</v>
      </c>
      <c r="T187">
        <f ca="1">IF(AND(ISNUMBER($T$857),$B$677=1),$T$857,HLOOKUP(INDIRECT(ADDRESS(2,COLUMN())),OFFSET($BN$2,0,0,ROW()-1,60),ROW()-1,FALSE))</f>
        <v>1.082548023</v>
      </c>
      <c r="U187">
        <f ca="1">IF(AND(ISNUMBER($U$857),$B$677=1),$U$857,HLOOKUP(INDIRECT(ADDRESS(2,COLUMN())),OFFSET($BN$2,0,0,ROW()-1,60),ROW()-1,FALSE))</f>
        <v>1.1459917770000001</v>
      </c>
      <c r="V187">
        <f ca="1">IF(AND(ISNUMBER($V$857),$B$677=1),$V$857,HLOOKUP(INDIRECT(ADDRESS(2,COLUMN())),OFFSET($BN$2,0,0,ROW()-1,60),ROW()-1,FALSE))</f>
        <v>1.264654999</v>
      </c>
      <c r="W187">
        <f ca="1">IF(AND(ISNUMBER($W$857),$B$677=1),$W$857,HLOOKUP(INDIRECT(ADDRESS(2,COLUMN())),OFFSET($BN$2,0,0,ROW()-1,60),ROW()-1,FALSE))</f>
        <v>1.159138073</v>
      </c>
      <c r="X187">
        <f ca="1">IF(AND(ISNUMBER($X$857),$B$677=1),$X$857,HLOOKUP(INDIRECT(ADDRESS(2,COLUMN())),OFFSET($BN$2,0,0,ROW()-1,60),ROW()-1,FALSE))</f>
        <v>1.29755015</v>
      </c>
      <c r="Y187">
        <f ca="1">IF(AND(ISNUMBER($Y$857),$B$677=1),$Y$857,HLOOKUP(INDIRECT(ADDRESS(2,COLUMN())),OFFSET($BN$2,0,0,ROW()-1,60),ROW()-1,FALSE))</f>
        <v>1.487777138</v>
      </c>
      <c r="Z187">
        <f ca="1">IF(AND(ISNUMBER($Z$857),$B$677=1),$Z$857,HLOOKUP(INDIRECT(ADDRESS(2,COLUMN())),OFFSET($BN$2,0,0,ROW()-1,60),ROW()-1,FALSE))</f>
        <v>1.418176696</v>
      </c>
      <c r="AA187">
        <f ca="1">IF(AND(ISNUMBER($AA$857),$B$677=1),$AA$857,HLOOKUP(INDIRECT(ADDRESS(2,COLUMN())),OFFSET($BN$2,0,0,ROW()-1,60),ROW()-1,FALSE))</f>
        <v>1.410581758</v>
      </c>
      <c r="AB187">
        <f ca="1">IF(AND(ISNUMBER($AB$857),$B$677=1),$AB$857,HLOOKUP(INDIRECT(ADDRESS(2,COLUMN())),OFFSET($BN$2,0,0,ROW()-1,60),ROW()-1,FALSE))</f>
        <v>1.5011275310000001</v>
      </c>
      <c r="AC187">
        <f ca="1">IF(AND(ISNUMBER($AC$857),$B$677=1),$AC$857,HLOOKUP(INDIRECT(ADDRESS(2,COLUMN())),OFFSET($BN$2,0,0,ROW()-1,60),ROW()-1,FALSE))</f>
        <v>1.2851880550000001</v>
      </c>
      <c r="AD187">
        <f ca="1">IF(AND(ISNUMBER($AD$857),$B$677=1),$AD$857,HLOOKUP(INDIRECT(ADDRESS(2,COLUMN())),OFFSET($BN$2,0,0,ROW()-1,60),ROW()-1,FALSE))</f>
        <v>1.2343011820000001</v>
      </c>
      <c r="AE187">
        <f ca="1">IF(AND(ISNUMBER($AE$857),$B$677=1),$AE$857,HLOOKUP(INDIRECT(ADDRESS(2,COLUMN())),OFFSET($BN$2,0,0,ROW()-1,60),ROW()-1,FALSE))</f>
        <v>1.268456574</v>
      </c>
      <c r="AF187">
        <f ca="1">IF(AND(ISNUMBER($AF$857),$B$677=1),$AF$857,HLOOKUP(INDIRECT(ADDRESS(2,COLUMN())),OFFSET($BN$2,0,0,ROW()-1,60),ROW()-1,FALSE))</f>
        <v>0.95713174300000003</v>
      </c>
      <c r="AG187">
        <f ca="1">IF(AND(ISNUMBER($AG$857),$B$677=1),$AG$857,HLOOKUP(INDIRECT(ADDRESS(2,COLUMN())),OFFSET($BN$2,0,0,ROW()-1,60),ROW()-1,FALSE))</f>
        <v>1.1589604929999999</v>
      </c>
      <c r="AH187">
        <f ca="1">IF(AND(ISNUMBER($AH$857),$B$677=1),$AH$857,HLOOKUP(INDIRECT(ADDRESS(2,COLUMN())),OFFSET($BN$2,0,0,ROW()-1,60),ROW()-1,FALSE))</f>
        <v>1.610024417</v>
      </c>
      <c r="AI187">
        <f ca="1">IF(AND(ISNUMBER($AI$857),$B$677=1),$AI$857,HLOOKUP(INDIRECT(ADDRESS(2,COLUMN())),OFFSET($BN$2,0,0,ROW()-1,60),ROW()-1,FALSE))</f>
        <v>1.2009394929999999</v>
      </c>
      <c r="AJ187">
        <f ca="1">IF(AND(ISNUMBER($AJ$857),$B$677=1),$AJ$857,HLOOKUP(INDIRECT(ADDRESS(2,COLUMN())),OFFSET($BN$2,0,0,ROW()-1,60),ROW()-1,FALSE))</f>
        <v>1.5881900170000001</v>
      </c>
      <c r="AK187">
        <f ca="1">IF(AND(ISNUMBER($AK$857),$B$677=1),$AK$857,HLOOKUP(INDIRECT(ADDRESS(2,COLUMN())),OFFSET($BN$2,0,0,ROW()-1,60),ROW()-1,FALSE))</f>
        <v>2.0372719379999999</v>
      </c>
      <c r="AL187">
        <f ca="1">IF(AND(ISNUMBER($AL$857),$B$677=1),$AL$857,HLOOKUP(INDIRECT(ADDRESS(2,COLUMN())),OFFSET($BN$2,0,0,ROW()-1,60),ROW()-1,FALSE))</f>
        <v>1.966005177</v>
      </c>
      <c r="AM187">
        <f ca="1">IF(AND(ISNUMBER($AM$857),$B$677=1),$AM$857,HLOOKUP(INDIRECT(ADDRESS(2,COLUMN())),OFFSET($BN$2,0,0,ROW()-1,60),ROW()-1,FALSE))</f>
        <v>2.314847179</v>
      </c>
      <c r="AN187">
        <f ca="1">IF(AND(ISNUMBER($AN$857),$B$677=1),$AN$857,HLOOKUP(INDIRECT(ADDRESS(2,COLUMN())),OFFSET($BN$2,0,0,ROW()-1,60),ROW()-1,FALSE))</f>
        <v>2.9897651029999999</v>
      </c>
      <c r="AO187" t="str">
        <f ca="1">IF(AND(ISNUMBER($AO$857),$B$677=1),$AO$857,HLOOKUP(INDIRECT(ADDRESS(2,COLUMN())),OFFSET($BN$2,0,0,ROW()-1,60),ROW()-1,FALSE))</f>
        <v/>
      </c>
      <c r="AP187" t="str">
        <f ca="1">IF(AND(ISNUMBER($AP$857),$B$677=1),$AP$857,HLOOKUP(INDIRECT(ADDRESS(2,COLUMN())),OFFSET($BN$2,0,0,ROW()-1,60),ROW()-1,FALSE))</f>
        <v/>
      </c>
      <c r="AQ187" t="str">
        <f ca="1">IF(AND(ISNUMBER($AQ$857),$B$677=1),$AQ$857,HLOOKUP(INDIRECT(ADDRESS(2,COLUMN())),OFFSET($BN$2,0,0,ROW()-1,60),ROW()-1,FALSE))</f>
        <v/>
      </c>
      <c r="AR187" t="str">
        <f ca="1">IF(AND(ISNUMBER($AR$857),$B$677=1),$AR$857,HLOOKUP(INDIRECT(ADDRESS(2,COLUMN())),OFFSET($BN$2,0,0,ROW()-1,60),ROW()-1,FALSE))</f>
        <v/>
      </c>
      <c r="AS187" t="str">
        <f ca="1">IF(AND(ISNUMBER($AS$857),$B$677=1),$AS$857,HLOOKUP(INDIRECT(ADDRESS(2,COLUMN())),OFFSET($BN$2,0,0,ROW()-1,60),ROW()-1,FALSE))</f>
        <v/>
      </c>
      <c r="AT187" t="str">
        <f ca="1">IF(AND(ISNUMBER($AT$857),$B$677=1),$AT$857,HLOOKUP(INDIRECT(ADDRESS(2,COLUMN())),OFFSET($BN$2,0,0,ROW()-1,60),ROW()-1,FALSE))</f>
        <v/>
      </c>
      <c r="AU187" t="str">
        <f ca="1">IF(AND(ISNUMBER($AU$857),$B$677=1),$AU$857,HLOOKUP(INDIRECT(ADDRESS(2,COLUMN())),OFFSET($BN$2,0,0,ROW()-1,60),ROW()-1,FALSE))</f>
        <v/>
      </c>
      <c r="AV187" t="str">
        <f ca="1">IF(AND(ISNUMBER($AV$857),$B$677=1),$AV$857,HLOOKUP(INDIRECT(ADDRESS(2,COLUMN())),OFFSET($BN$2,0,0,ROW()-1,60),ROW()-1,FALSE))</f>
        <v/>
      </c>
      <c r="AW187" t="str">
        <f ca="1">IF(AND(ISNUMBER($AW$857),$B$677=1),$AW$857,HLOOKUP(INDIRECT(ADDRESS(2,COLUMN())),OFFSET($BN$2,0,0,ROW()-1,60),ROW()-1,FALSE))</f>
        <v/>
      </c>
      <c r="AX187" t="str">
        <f ca="1">IF(AND(ISNUMBER($AX$857),$B$677=1),$AX$857,HLOOKUP(INDIRECT(ADDRESS(2,COLUMN())),OFFSET($BN$2,0,0,ROW()-1,60),ROW()-1,FALSE))</f>
        <v/>
      </c>
      <c r="AY187" t="str">
        <f ca="1">IF(AND(ISNUMBER($AY$857),$B$677=1),$AY$857,HLOOKUP(INDIRECT(ADDRESS(2,COLUMN())),OFFSET($BN$2,0,0,ROW()-1,60),ROW()-1,FALSE))</f>
        <v/>
      </c>
      <c r="AZ187" t="str">
        <f ca="1">IF(AND(ISNUMBER($AZ$857),$B$677=1),$AZ$857,HLOOKUP(INDIRECT(ADDRESS(2,COLUMN())),OFFSET($BN$2,0,0,ROW()-1,60),ROW()-1,FALSE))</f>
        <v/>
      </c>
      <c r="BA187" t="str">
        <f ca="1">IF(AND(ISNUMBER($BA$857),$B$677=1),$BA$857,HLOOKUP(INDIRECT(ADDRESS(2,COLUMN())),OFFSET($BN$2,0,0,ROW()-1,60),ROW()-1,FALSE))</f>
        <v/>
      </c>
      <c r="BB187" t="str">
        <f ca="1">IF(AND(ISNUMBER($BB$857),$B$677=1),$BB$857,HLOOKUP(INDIRECT(ADDRESS(2,COLUMN())),OFFSET($BN$2,0,0,ROW()-1,60),ROW()-1,FALSE))</f>
        <v/>
      </c>
      <c r="BC187" t="str">
        <f ca="1">IF(AND(ISNUMBER($BC$857),$B$677=1),$BC$857,HLOOKUP(INDIRECT(ADDRESS(2,COLUMN())),OFFSET($BN$2,0,0,ROW()-1,60),ROW()-1,FALSE))</f>
        <v/>
      </c>
      <c r="BD187" t="str">
        <f ca="1">IF(AND(ISNUMBER($BD$857),$B$677=1),$BD$857,HLOOKUP(INDIRECT(ADDRESS(2,COLUMN())),OFFSET($BN$2,0,0,ROW()-1,60),ROW()-1,FALSE))</f>
        <v/>
      </c>
      <c r="BE187" t="str">
        <f ca="1">IF(AND(ISNUMBER($BE$857),$B$677=1),$BE$857,HLOOKUP(INDIRECT(ADDRESS(2,COLUMN())),OFFSET($BN$2,0,0,ROW()-1,60),ROW()-1,FALSE))</f>
        <v/>
      </c>
      <c r="BF187" t="str">
        <f ca="1">IF(AND(ISNUMBER($BF$857),$B$677=1),$BF$857,HLOOKUP(INDIRECT(ADDRESS(2,COLUMN())),OFFSET($BN$2,0,0,ROW()-1,60),ROW()-1,FALSE))</f>
        <v/>
      </c>
      <c r="BG187" t="str">
        <f ca="1">IF(AND(ISNUMBER($BG$857),$B$677=1),$BG$857,HLOOKUP(INDIRECT(ADDRESS(2,COLUMN())),OFFSET($BN$2,0,0,ROW()-1,60),ROW()-1,FALSE))</f>
        <v/>
      </c>
      <c r="BH187" t="str">
        <f ca="1">IF(AND(ISNUMBER($BH$857),$B$677=1),$BH$857,HLOOKUP(INDIRECT(ADDRESS(2,COLUMN())),OFFSET($BN$2,0,0,ROW()-1,60),ROW()-1,FALSE))</f>
        <v/>
      </c>
      <c r="BI187" t="str">
        <f ca="1">IF(AND(ISNUMBER($BI$857),$B$677=1),$BI$857,HLOOKUP(INDIRECT(ADDRESS(2,COLUMN())),OFFSET($BN$2,0,0,ROW()-1,60),ROW()-1,FALSE))</f>
        <v/>
      </c>
      <c r="BJ187" t="str">
        <f ca="1">IF(AND(ISNUMBER($BJ$857),$B$677=1),$BJ$857,HLOOKUP(INDIRECT(ADDRESS(2,COLUMN())),OFFSET($BN$2,0,0,ROW()-1,60),ROW()-1,FALSE))</f>
        <v/>
      </c>
      <c r="BK187" t="str">
        <f ca="1">IF(AND(ISNUMBER($BK$857),$B$677=1),$BK$857,HLOOKUP(INDIRECT(ADDRESS(2,COLUMN())),OFFSET($BN$2,0,0,ROW()-1,60),ROW()-1,FALSE))</f>
        <v/>
      </c>
      <c r="BL187" t="str">
        <f ca="1">IF(AND(ISNUMBER($BL$857),$B$677=1),$BL$857,HLOOKUP(INDIRECT(ADDRESS(2,COLUMN())),OFFSET($BN$2,0,0,ROW()-1,60),ROW()-1,FALSE))</f>
        <v/>
      </c>
      <c r="BM187" t="str">
        <f ca="1">IF(AND(ISNUMBER($BM$857),$B$677=1),$BM$857,HLOOKUP(INDIRECT(ADDRESS(2,COLUMN())),OFFSET($BN$2,0,0,ROW()-1,60),ROW()-1,FALSE))</f>
        <v/>
      </c>
      <c r="BN187">
        <f>1.341961719</f>
        <v>1.3419617189999999</v>
      </c>
      <c r="BO187">
        <f>1.087934539</f>
        <v>1.0879345389999999</v>
      </c>
      <c r="BP187">
        <f>1.207114866</f>
        <v>1.207114866</v>
      </c>
      <c r="BQ187">
        <f>0.989593503</f>
        <v>0.98959350300000004</v>
      </c>
      <c r="BR187">
        <f>1.339299678</f>
        <v>1.3392996779999999</v>
      </c>
      <c r="BS187">
        <f>1.770774294</f>
        <v>1.770774294</v>
      </c>
      <c r="BT187">
        <f>2.315451436</f>
        <v>2.315451436</v>
      </c>
      <c r="BU187">
        <f>1.740919366</f>
        <v>1.740919366</v>
      </c>
      <c r="BV187">
        <f>1.792621448</f>
        <v>1.792621448</v>
      </c>
      <c r="BW187">
        <f>1.406975302</f>
        <v>1.406975302</v>
      </c>
      <c r="BX187">
        <f>1.440057158</f>
        <v>1.4400571579999999</v>
      </c>
      <c r="BY187">
        <f>1.382305606</f>
        <v>1.3823056060000001</v>
      </c>
      <c r="BZ187">
        <f>1.264721386</f>
        <v>1.2647213859999999</v>
      </c>
      <c r="CA187">
        <f>1.101619102</f>
        <v>1.1016191019999999</v>
      </c>
      <c r="CB187">
        <f>1.082548023</f>
        <v>1.082548023</v>
      </c>
      <c r="CC187">
        <f>1.145991777</f>
        <v>1.1459917770000001</v>
      </c>
      <c r="CD187">
        <f>1.264654999</f>
        <v>1.264654999</v>
      </c>
      <c r="CE187">
        <f>1.159138073</f>
        <v>1.159138073</v>
      </c>
      <c r="CF187">
        <f>1.29755015</f>
        <v>1.29755015</v>
      </c>
      <c r="CG187">
        <f>1.487777138</f>
        <v>1.487777138</v>
      </c>
      <c r="CH187">
        <f>1.418176696</f>
        <v>1.418176696</v>
      </c>
      <c r="CI187">
        <f>1.410581758</f>
        <v>1.410581758</v>
      </c>
      <c r="CJ187">
        <f>1.501127531</f>
        <v>1.5011275310000001</v>
      </c>
      <c r="CK187">
        <f>1.285188055</f>
        <v>1.2851880550000001</v>
      </c>
      <c r="CL187">
        <f>1.234301182</f>
        <v>1.2343011820000001</v>
      </c>
      <c r="CM187">
        <f>1.268456574</f>
        <v>1.268456574</v>
      </c>
      <c r="CN187">
        <f>0.957131743</f>
        <v>0.95713174300000003</v>
      </c>
      <c r="CO187">
        <f>1.158960493</f>
        <v>1.1589604929999999</v>
      </c>
      <c r="CP187">
        <f>1.610024417</f>
        <v>1.610024417</v>
      </c>
      <c r="CQ187">
        <f>1.200939493</f>
        <v>1.2009394929999999</v>
      </c>
      <c r="CR187">
        <f>1.588190017</f>
        <v>1.5881900170000001</v>
      </c>
      <c r="CS187">
        <f>2.037271938</f>
        <v>2.0372719379999999</v>
      </c>
      <c r="CT187">
        <f>1.966005177</f>
        <v>1.966005177</v>
      </c>
      <c r="CU187">
        <f>2.314847179</f>
        <v>2.314847179</v>
      </c>
      <c r="CV187">
        <f>2.989765103</f>
        <v>2.9897651029999999</v>
      </c>
      <c r="CW187" t="str">
        <f>""</f>
        <v/>
      </c>
      <c r="CX187" t="str">
        <f>""</f>
        <v/>
      </c>
      <c r="CY187" t="str">
        <f>""</f>
        <v/>
      </c>
      <c r="CZ187" t="str">
        <f>""</f>
        <v/>
      </c>
      <c r="DA187" t="str">
        <f>""</f>
        <v/>
      </c>
      <c r="DB187" t="str">
        <f>""</f>
        <v/>
      </c>
      <c r="DC187" t="str">
        <f>""</f>
        <v/>
      </c>
      <c r="DD187" t="str">
        <f>""</f>
        <v/>
      </c>
      <c r="DE187" t="str">
        <f>""</f>
        <v/>
      </c>
      <c r="DF187" t="str">
        <f>""</f>
        <v/>
      </c>
      <c r="DG187" t="str">
        <f>""</f>
        <v/>
      </c>
      <c r="DH187" t="str">
        <f>""</f>
        <v/>
      </c>
      <c r="DI187" t="str">
        <f>""</f>
        <v/>
      </c>
      <c r="DJ187" t="str">
        <f>""</f>
        <v/>
      </c>
      <c r="DK187" t="str">
        <f>""</f>
        <v/>
      </c>
      <c r="DL187" t="str">
        <f>""</f>
        <v/>
      </c>
      <c r="DM187" t="str">
        <f>""</f>
        <v/>
      </c>
      <c r="DN187" t="str">
        <f>""</f>
        <v/>
      </c>
      <c r="DO187" t="str">
        <f>""</f>
        <v/>
      </c>
      <c r="DP187" t="str">
        <f>""</f>
        <v/>
      </c>
      <c r="DQ187" t="str">
        <f>""</f>
        <v/>
      </c>
      <c r="DR187" t="str">
        <f>""</f>
        <v/>
      </c>
      <c r="DS187" t="str">
        <f>""</f>
        <v/>
      </c>
      <c r="DT187" t="str">
        <f>""</f>
        <v/>
      </c>
      <c r="DU187" t="str">
        <f>""</f>
        <v/>
      </c>
    </row>
    <row r="188" spans="1:125" x14ac:dyDescent="0.25">
      <c r="A188" t="str">
        <f>"    Honda Motor Co Ltd"</f>
        <v xml:space="preserve">    Honda Motor Co Ltd</v>
      </c>
      <c r="B188" t="str">
        <f>"7267 JP Equity"</f>
        <v>7267 JP Equity</v>
      </c>
      <c r="C188" t="str">
        <f t="shared" si="12"/>
        <v>RX077</v>
      </c>
      <c r="D188" t="str">
        <f t="shared" si="13"/>
        <v>PX_TO_TANG_BOOK_VAL_PER_SH</v>
      </c>
      <c r="E188" t="str">
        <f t="shared" si="14"/>
        <v>Dynamic</v>
      </c>
      <c r="F188">
        <f ca="1">IF(AND(ISNUMBER($F$858),$B$677=1),$F$858,HLOOKUP(INDIRECT(ADDRESS(2,COLUMN())),OFFSET($BN$2,0,0,ROW()-1,60),ROW()-1,FALSE))</f>
        <v>0.72905887899999999</v>
      </c>
      <c r="G188">
        <f ca="1">IF(AND(ISNUMBER($G$858),$B$677=1),$G$858,HLOOKUP(INDIRECT(ADDRESS(2,COLUMN())),OFFSET($BN$2,0,0,ROW()-1,60),ROW()-1,FALSE))</f>
        <v>0.67528349600000004</v>
      </c>
      <c r="H188">
        <f ca="1">IF(AND(ISNUMBER($H$858),$B$677=1),$H$858,HLOOKUP(INDIRECT(ADDRESS(2,COLUMN())),OFFSET($BN$2,0,0,ROW()-1,60),ROW()-1,FALSE))</f>
        <v>0.79462812400000005</v>
      </c>
      <c r="I188">
        <f ca="1">IF(AND(ISNUMBER($I$858),$B$677=1),$I$858,HLOOKUP(INDIRECT(ADDRESS(2,COLUMN())),OFFSET($BN$2,0,0,ROW()-1,60),ROW()-1,FALSE))</f>
        <v>0.779776201</v>
      </c>
      <c r="J188">
        <f ca="1">IF(AND(ISNUMBER($J$858),$B$677=1),$J$858,HLOOKUP(INDIRECT(ADDRESS(2,COLUMN())),OFFSET($BN$2,0,0,ROW()-1,60),ROW()-1,FALSE))</f>
        <v>0.90496038400000001</v>
      </c>
      <c r="K188">
        <f ca="1">IF(AND(ISNUMBER($K$858),$B$677=1),$K$858,HLOOKUP(INDIRECT(ADDRESS(2,COLUMN())),OFFSET($BN$2,0,0,ROW()-1,60),ROW()-1,FALSE))</f>
        <v>0.92790334399999996</v>
      </c>
      <c r="L188">
        <f ca="1">IF(AND(ISNUMBER($L$858),$B$677=1),$L$858,HLOOKUP(INDIRECT(ADDRESS(2,COLUMN())),OFFSET($BN$2,0,0,ROW()-1,60),ROW()-1,FALSE))</f>
        <v>0.86576568399999998</v>
      </c>
      <c r="M188">
        <f ca="1">IF(AND(ISNUMBER($M$858),$B$677=1),$M$858,HLOOKUP(INDIRECT(ADDRESS(2,COLUMN())),OFFSET($BN$2,0,0,ROW()-1,60),ROW()-1,FALSE))</f>
        <v>0.82338539899999996</v>
      </c>
      <c r="N188">
        <f ca="1">IF(AND(ISNUMBER($N$858),$B$677=1),$N$858,HLOOKUP(INDIRECT(ADDRESS(2,COLUMN())),OFFSET($BN$2,0,0,ROW()-1,60),ROW()-1,FALSE))</f>
        <v>0.92670634100000004</v>
      </c>
      <c r="O188">
        <f ca="1">IF(AND(ISNUMBER($O$858),$B$677=1),$O$858,HLOOKUP(INDIRECT(ADDRESS(2,COLUMN())),OFFSET($BN$2,0,0,ROW()-1,60),ROW()-1,FALSE))</f>
        <v>0.94595640700000005</v>
      </c>
      <c r="P188">
        <f ca="1">IF(AND(ISNUMBER($P$858),$B$677=1),$P$858,HLOOKUP(INDIRECT(ADDRESS(2,COLUMN())),OFFSET($BN$2,0,0,ROW()-1,60),ROW()-1,FALSE))</f>
        <v>0.90284678699999998</v>
      </c>
      <c r="Q188">
        <f ca="1">IF(AND(ISNUMBER($Q$858),$B$677=1),$Q$858,HLOOKUP(INDIRECT(ADDRESS(2,COLUMN())),OFFSET($BN$2,0,0,ROW()-1,60),ROW()-1,FALSE))</f>
        <v>0.81476517400000004</v>
      </c>
      <c r="R188">
        <f ca="1">IF(AND(ISNUMBER($R$858),$B$677=1),$R$858,HLOOKUP(INDIRECT(ADDRESS(2,COLUMN())),OFFSET($BN$2,0,0,ROW()-1,60),ROW()-1,FALSE))</f>
        <v>0.93689085500000002</v>
      </c>
      <c r="S188">
        <f ca="1">IF(AND(ISNUMBER($S$858),$B$677=1),$S$858,HLOOKUP(INDIRECT(ADDRESS(2,COLUMN())),OFFSET($BN$2,0,0,ROW()-1,60),ROW()-1,FALSE))</f>
        <v>1.0972595329999999</v>
      </c>
      <c r="T188">
        <f ca="1">IF(AND(ISNUMBER($T$858),$B$677=1),$T$858,HLOOKUP(INDIRECT(ADDRESS(2,COLUMN())),OFFSET($BN$2,0,0,ROW()-1,60),ROW()-1,FALSE))</f>
        <v>1.0055546280000001</v>
      </c>
      <c r="U188">
        <f ca="1">IF(AND(ISNUMBER($U$858),$B$677=1),$U$858,HLOOKUP(INDIRECT(ADDRESS(2,COLUMN())),OFFSET($BN$2,0,0,ROW()-1,60),ROW()-1,FALSE))</f>
        <v>1.088469744</v>
      </c>
      <c r="V188">
        <f ca="1">IF(AND(ISNUMBER($V$858),$B$677=1),$V$858,HLOOKUP(INDIRECT(ADDRESS(2,COLUMN())),OFFSET($BN$2,0,0,ROW()-1,60),ROW()-1,FALSE))</f>
        <v>1.04577093</v>
      </c>
      <c r="W188" t="str">
        <f ca="1">IF(AND(ISNUMBER($W$858),$B$677=1),$W$858,HLOOKUP(INDIRECT(ADDRESS(2,COLUMN())),OFFSET($BN$2,0,0,ROW()-1,60),ROW()-1,FALSE))</f>
        <v/>
      </c>
      <c r="X188" t="str">
        <f ca="1">IF(AND(ISNUMBER($X$858),$B$677=1),$X$858,HLOOKUP(INDIRECT(ADDRESS(2,COLUMN())),OFFSET($BN$2,0,0,ROW()-1,60),ROW()-1,FALSE))</f>
        <v/>
      </c>
      <c r="Y188">
        <f ca="1">IF(AND(ISNUMBER($Y$858),$B$677=1),$Y$858,HLOOKUP(INDIRECT(ADDRESS(2,COLUMN())),OFFSET($BN$2,0,0,ROW()-1,60),ROW()-1,FALSE))</f>
        <v>1.074503024</v>
      </c>
      <c r="Z188">
        <f ca="1">IF(AND(ISNUMBER($Z$858),$B$677=1),$Z$858,HLOOKUP(INDIRECT(ADDRESS(2,COLUMN())),OFFSET($BN$2,0,0,ROW()-1,60),ROW()-1,FALSE))</f>
        <v>1.108672342</v>
      </c>
      <c r="AA188" t="str">
        <f ca="1">IF(AND(ISNUMBER($AA$858),$B$677=1),$AA$858,HLOOKUP(INDIRECT(ADDRESS(2,COLUMN())),OFFSET($BN$2,0,0,ROW()-1,60),ROW()-1,FALSE))</f>
        <v/>
      </c>
      <c r="AB188" t="str">
        <f ca="1">IF(AND(ISNUMBER($AB$858),$B$677=1),$AB$858,HLOOKUP(INDIRECT(ADDRESS(2,COLUMN())),OFFSET($BN$2,0,0,ROW()-1,60),ROW()-1,FALSE))</f>
        <v/>
      </c>
      <c r="AC188">
        <f ca="1">IF(AND(ISNUMBER($AC$858),$B$677=1),$AC$858,HLOOKUP(INDIRECT(ADDRESS(2,COLUMN())),OFFSET($BN$2,0,0,ROW()-1,60),ROW()-1,FALSE))</f>
        <v>1.2924304360000001</v>
      </c>
      <c r="AD188">
        <f ca="1">IF(AND(ISNUMBER($AD$858),$B$677=1),$AD$858,HLOOKUP(INDIRECT(ADDRESS(2,COLUMN())),OFFSET($BN$2,0,0,ROW()-1,60),ROW()-1,FALSE))</f>
        <v>1.2745049100000001</v>
      </c>
      <c r="AE188" t="str">
        <f ca="1">IF(AND(ISNUMBER($AE$858),$B$677=1),$AE$858,HLOOKUP(INDIRECT(ADDRESS(2,COLUMN())),OFFSET($BN$2,0,0,ROW()-1,60),ROW()-1,FALSE))</f>
        <v/>
      </c>
      <c r="AF188" t="str">
        <f ca="1">IF(AND(ISNUMBER($AF$858),$B$677=1),$AF$858,HLOOKUP(INDIRECT(ADDRESS(2,COLUMN())),OFFSET($BN$2,0,0,ROW()-1,60),ROW()-1,FALSE))</f>
        <v/>
      </c>
      <c r="AG188">
        <f ca="1">IF(AND(ISNUMBER($AG$858),$B$677=1),$AG$858,HLOOKUP(INDIRECT(ADDRESS(2,COLUMN())),OFFSET($BN$2,0,0,ROW()-1,60),ROW()-1,FALSE))</f>
        <v>1.0927409589999999</v>
      </c>
      <c r="AH188">
        <f ca="1">IF(AND(ISNUMBER($AH$858),$B$677=1),$AH$858,HLOOKUP(INDIRECT(ADDRESS(2,COLUMN())),OFFSET($BN$2,0,0,ROW()-1,60),ROW()-1,FALSE))</f>
        <v>1.290525841</v>
      </c>
      <c r="AI188" t="str">
        <f ca="1">IF(AND(ISNUMBER($AI$858),$B$677=1),$AI$858,HLOOKUP(INDIRECT(ADDRESS(2,COLUMN())),OFFSET($BN$2,0,0,ROW()-1,60),ROW()-1,FALSE))</f>
        <v/>
      </c>
      <c r="AJ188" t="str">
        <f ca="1">IF(AND(ISNUMBER($AJ$858),$B$677=1),$AJ$858,HLOOKUP(INDIRECT(ADDRESS(2,COLUMN())),OFFSET($BN$2,0,0,ROW()-1,60),ROW()-1,FALSE))</f>
        <v/>
      </c>
      <c r="AK188">
        <f ca="1">IF(AND(ISNUMBER($AK$858),$B$677=1),$AK$858,HLOOKUP(INDIRECT(ADDRESS(2,COLUMN())),OFFSET($BN$2,0,0,ROW()-1,60),ROW()-1,FALSE))</f>
        <v>1.256909708</v>
      </c>
      <c r="AL188">
        <f ca="1">IF(AND(ISNUMBER($AL$858),$B$677=1),$AL$858,HLOOKUP(INDIRECT(ADDRESS(2,COLUMN())),OFFSET($BN$2,0,0,ROW()-1,60),ROW()-1,FALSE))</f>
        <v>1.2690930010000001</v>
      </c>
      <c r="AM188" t="str">
        <f ca="1">IF(AND(ISNUMBER($AM$858),$B$677=1),$AM$858,HLOOKUP(INDIRECT(ADDRESS(2,COLUMN())),OFFSET($BN$2,0,0,ROW()-1,60),ROW()-1,FALSE))</f>
        <v/>
      </c>
      <c r="AN188" t="str">
        <f ca="1">IF(AND(ISNUMBER($AN$858),$B$677=1),$AN$858,HLOOKUP(INDIRECT(ADDRESS(2,COLUMN())),OFFSET($BN$2,0,0,ROW()-1,60),ROW()-1,FALSE))</f>
        <v/>
      </c>
      <c r="AO188">
        <f ca="1">IF(AND(ISNUMBER($AO$858),$B$677=1),$AO$858,HLOOKUP(INDIRECT(ADDRESS(2,COLUMN())),OFFSET($BN$2,0,0,ROW()-1,60),ROW()-1,FALSE))</f>
        <v>1.112745662</v>
      </c>
      <c r="AP188">
        <f ca="1">IF(AND(ISNUMBER($AP$858),$B$677=1),$AP$858,HLOOKUP(INDIRECT(ADDRESS(2,COLUMN())),OFFSET($BN$2,0,0,ROW()-1,60),ROW()-1,FALSE))</f>
        <v>1.387253753</v>
      </c>
      <c r="AQ188" t="str">
        <f ca="1">IF(AND(ISNUMBER($AQ$858),$B$677=1),$AQ$858,HLOOKUP(INDIRECT(ADDRESS(2,COLUMN())),OFFSET($BN$2,0,0,ROW()-1,60),ROW()-1,FALSE))</f>
        <v/>
      </c>
      <c r="AR188" t="str">
        <f ca="1">IF(AND(ISNUMBER($AR$858),$B$677=1),$AR$858,HLOOKUP(INDIRECT(ADDRESS(2,COLUMN())),OFFSET($BN$2,0,0,ROW()-1,60),ROW()-1,FALSE))</f>
        <v/>
      </c>
      <c r="AS188">
        <f ca="1">IF(AND(ISNUMBER($AS$858),$B$677=1),$AS$858,HLOOKUP(INDIRECT(ADDRESS(2,COLUMN())),OFFSET($BN$2,0,0,ROW()-1,60),ROW()-1,FALSE))</f>
        <v>1.1831848199999999</v>
      </c>
      <c r="AT188">
        <f ca="1">IF(AND(ISNUMBER($AT$858),$B$677=1),$AT$858,HLOOKUP(INDIRECT(ADDRESS(2,COLUMN())),OFFSET($BN$2,0,0,ROW()-1,60),ROW()-1,FALSE))</f>
        <v>1.051467508</v>
      </c>
      <c r="AU188" t="str">
        <f ca="1">IF(AND(ISNUMBER($AU$858),$B$677=1),$AU$858,HLOOKUP(INDIRECT(ADDRESS(2,COLUMN())),OFFSET($BN$2,0,0,ROW()-1,60),ROW()-1,FALSE))</f>
        <v/>
      </c>
      <c r="AV188" t="str">
        <f ca="1">IF(AND(ISNUMBER($AV$858),$B$677=1),$AV$858,HLOOKUP(INDIRECT(ADDRESS(2,COLUMN())),OFFSET($BN$2,0,0,ROW()-1,60),ROW()-1,FALSE))</f>
        <v/>
      </c>
      <c r="AW188" t="str">
        <f ca="1">IF(AND(ISNUMBER($AW$858),$B$677=1),$AW$858,HLOOKUP(INDIRECT(ADDRESS(2,COLUMN())),OFFSET($BN$2,0,0,ROW()-1,60),ROW()-1,FALSE))</f>
        <v/>
      </c>
      <c r="AX188" t="str">
        <f ca="1">IF(AND(ISNUMBER($AX$858),$B$677=1),$AX$858,HLOOKUP(INDIRECT(ADDRESS(2,COLUMN())),OFFSET($BN$2,0,0,ROW()-1,60),ROW()-1,FALSE))</f>
        <v/>
      </c>
      <c r="AY188" t="str">
        <f ca="1">IF(AND(ISNUMBER($AY$858),$B$677=1),$AY$858,HLOOKUP(INDIRECT(ADDRESS(2,COLUMN())),OFFSET($BN$2,0,0,ROW()-1,60),ROW()-1,FALSE))</f>
        <v/>
      </c>
      <c r="AZ188" t="str">
        <f ca="1">IF(AND(ISNUMBER($AZ$858),$B$677=1),$AZ$858,HLOOKUP(INDIRECT(ADDRESS(2,COLUMN())),OFFSET($BN$2,0,0,ROW()-1,60),ROW()-1,FALSE))</f>
        <v/>
      </c>
      <c r="BA188" t="str">
        <f ca="1">IF(AND(ISNUMBER($BA$858),$B$677=1),$BA$858,HLOOKUP(INDIRECT(ADDRESS(2,COLUMN())),OFFSET($BN$2,0,0,ROW()-1,60),ROW()-1,FALSE))</f>
        <v/>
      </c>
      <c r="BB188" t="str">
        <f ca="1">IF(AND(ISNUMBER($BB$858),$B$677=1),$BB$858,HLOOKUP(INDIRECT(ADDRESS(2,COLUMN())),OFFSET($BN$2,0,0,ROW()-1,60),ROW()-1,FALSE))</f>
        <v/>
      </c>
      <c r="BC188" t="str">
        <f ca="1">IF(AND(ISNUMBER($BC$858),$B$677=1),$BC$858,HLOOKUP(INDIRECT(ADDRESS(2,COLUMN())),OFFSET($BN$2,0,0,ROW()-1,60),ROW()-1,FALSE))</f>
        <v/>
      </c>
      <c r="BD188" t="str">
        <f ca="1">IF(AND(ISNUMBER($BD$858),$B$677=1),$BD$858,HLOOKUP(INDIRECT(ADDRESS(2,COLUMN())),OFFSET($BN$2,0,0,ROW()-1,60),ROW()-1,FALSE))</f>
        <v/>
      </c>
      <c r="BE188">
        <f ca="1">IF(AND(ISNUMBER($BE$858),$B$677=1),$BE$858,HLOOKUP(INDIRECT(ADDRESS(2,COLUMN())),OFFSET($BN$2,0,0,ROW()-1,60),ROW()-1,FALSE))</f>
        <v>1.577570999</v>
      </c>
      <c r="BF188">
        <f ca="1">IF(AND(ISNUMBER($BF$858),$B$677=1),$BF$858,HLOOKUP(INDIRECT(ADDRESS(2,COLUMN())),OFFSET($BN$2,0,0,ROW()-1,60),ROW()-1,FALSE))</f>
        <v>1.624363359</v>
      </c>
      <c r="BG188" t="str">
        <f ca="1">IF(AND(ISNUMBER($BG$858),$B$677=1),$BG$858,HLOOKUP(INDIRECT(ADDRESS(2,COLUMN())),OFFSET($BN$2,0,0,ROW()-1,60),ROW()-1,FALSE))</f>
        <v/>
      </c>
      <c r="BH188" t="str">
        <f ca="1">IF(AND(ISNUMBER($BH$858),$B$677=1),$BH$858,HLOOKUP(INDIRECT(ADDRESS(2,COLUMN())),OFFSET($BN$2,0,0,ROW()-1,60),ROW()-1,FALSE))</f>
        <v/>
      </c>
      <c r="BI188" t="str">
        <f ca="1">IF(AND(ISNUMBER($BI$858),$B$677=1),$BI$858,HLOOKUP(INDIRECT(ADDRESS(2,COLUMN())),OFFSET($BN$2,0,0,ROW()-1,60),ROW()-1,FALSE))</f>
        <v/>
      </c>
      <c r="BJ188" t="str">
        <f ca="1">IF(AND(ISNUMBER($BJ$858),$B$677=1),$BJ$858,HLOOKUP(INDIRECT(ADDRESS(2,COLUMN())),OFFSET($BN$2,0,0,ROW()-1,60),ROW()-1,FALSE))</f>
        <v/>
      </c>
      <c r="BK188" t="str">
        <f ca="1">IF(AND(ISNUMBER($BK$858),$B$677=1),$BK$858,HLOOKUP(INDIRECT(ADDRESS(2,COLUMN())),OFFSET($BN$2,0,0,ROW()-1,60),ROW()-1,FALSE))</f>
        <v/>
      </c>
      <c r="BL188" t="str">
        <f ca="1">IF(AND(ISNUMBER($BL$858),$B$677=1),$BL$858,HLOOKUP(INDIRECT(ADDRESS(2,COLUMN())),OFFSET($BN$2,0,0,ROW()-1,60),ROW()-1,FALSE))</f>
        <v/>
      </c>
      <c r="BM188" t="str">
        <f ca="1">IF(AND(ISNUMBER($BM$858),$B$677=1),$BM$858,HLOOKUP(INDIRECT(ADDRESS(2,COLUMN())),OFFSET($BN$2,0,0,ROW()-1,60),ROW()-1,FALSE))</f>
        <v/>
      </c>
      <c r="BN188">
        <f>0.729058879</f>
        <v>0.72905887899999999</v>
      </c>
      <c r="BO188">
        <f>0.675283496</f>
        <v>0.67528349600000004</v>
      </c>
      <c r="BP188">
        <f>0.794628124</f>
        <v>0.79462812400000005</v>
      </c>
      <c r="BQ188">
        <f>0.779776201</f>
        <v>0.779776201</v>
      </c>
      <c r="BR188">
        <f>0.904960384</f>
        <v>0.90496038400000001</v>
      </c>
      <c r="BS188">
        <f>0.927903344</f>
        <v>0.92790334399999996</v>
      </c>
      <c r="BT188">
        <f>0.865765684</f>
        <v>0.86576568399999998</v>
      </c>
      <c r="BU188">
        <f>0.823385399</f>
        <v>0.82338539899999996</v>
      </c>
      <c r="BV188">
        <f>0.926706341</f>
        <v>0.92670634100000004</v>
      </c>
      <c r="BW188">
        <f>0.945956407</f>
        <v>0.94595640700000005</v>
      </c>
      <c r="BX188">
        <f>0.902846787</f>
        <v>0.90284678699999998</v>
      </c>
      <c r="BY188">
        <f>0.814765174</f>
        <v>0.81476517400000004</v>
      </c>
      <c r="BZ188">
        <f>0.936890855</f>
        <v>0.93689085500000002</v>
      </c>
      <c r="CA188">
        <f>1.097259533</f>
        <v>1.0972595329999999</v>
      </c>
      <c r="CB188">
        <f>1.005554628</f>
        <v>1.0055546280000001</v>
      </c>
      <c r="CC188">
        <f>1.088469744</f>
        <v>1.088469744</v>
      </c>
      <c r="CD188">
        <f>1.04577093</f>
        <v>1.04577093</v>
      </c>
      <c r="CE188" t="str">
        <f>""</f>
        <v/>
      </c>
      <c r="CF188" t="str">
        <f>""</f>
        <v/>
      </c>
      <c r="CG188">
        <f>1.074503024</f>
        <v>1.074503024</v>
      </c>
      <c r="CH188">
        <f>1.108672342</f>
        <v>1.108672342</v>
      </c>
      <c r="CI188" t="str">
        <f>""</f>
        <v/>
      </c>
      <c r="CJ188" t="str">
        <f>""</f>
        <v/>
      </c>
      <c r="CK188">
        <f>1.292430436</f>
        <v>1.2924304360000001</v>
      </c>
      <c r="CL188">
        <f>1.27450491</f>
        <v>1.2745049100000001</v>
      </c>
      <c r="CM188" t="str">
        <f>""</f>
        <v/>
      </c>
      <c r="CN188" t="str">
        <f>""</f>
        <v/>
      </c>
      <c r="CO188">
        <f>1.092740959</f>
        <v>1.0927409589999999</v>
      </c>
      <c r="CP188">
        <f>1.290525841</f>
        <v>1.290525841</v>
      </c>
      <c r="CQ188" t="str">
        <f>""</f>
        <v/>
      </c>
      <c r="CR188" t="str">
        <f>""</f>
        <v/>
      </c>
      <c r="CS188">
        <f>1.256909708</f>
        <v>1.256909708</v>
      </c>
      <c r="CT188">
        <f>1.269093001</f>
        <v>1.2690930010000001</v>
      </c>
      <c r="CU188" t="str">
        <f>""</f>
        <v/>
      </c>
      <c r="CV188" t="str">
        <f>""</f>
        <v/>
      </c>
      <c r="CW188">
        <f>1.112745662</f>
        <v>1.112745662</v>
      </c>
      <c r="CX188">
        <f>1.387253753</f>
        <v>1.387253753</v>
      </c>
      <c r="CY188" t="str">
        <f>""</f>
        <v/>
      </c>
      <c r="CZ188" t="str">
        <f>""</f>
        <v/>
      </c>
      <c r="DA188">
        <f>1.18318482</f>
        <v>1.1831848199999999</v>
      </c>
      <c r="DB188">
        <f>1.051467508</f>
        <v>1.051467508</v>
      </c>
      <c r="DC188" t="str">
        <f>""</f>
        <v/>
      </c>
      <c r="DD188" t="str">
        <f>""</f>
        <v/>
      </c>
      <c r="DE188" t="str">
        <f>""</f>
        <v/>
      </c>
      <c r="DF188" t="str">
        <f>""</f>
        <v/>
      </c>
      <c r="DG188" t="str">
        <f>""</f>
        <v/>
      </c>
      <c r="DH188" t="str">
        <f>""</f>
        <v/>
      </c>
      <c r="DI188" t="str">
        <f>""</f>
        <v/>
      </c>
      <c r="DJ188" t="str">
        <f>""</f>
        <v/>
      </c>
      <c r="DK188" t="str">
        <f>""</f>
        <v/>
      </c>
      <c r="DL188" t="str">
        <f>""</f>
        <v/>
      </c>
      <c r="DM188">
        <f>1.577570999</f>
        <v>1.577570999</v>
      </c>
      <c r="DN188">
        <f>1.624363359</f>
        <v>1.624363359</v>
      </c>
      <c r="DO188" t="str">
        <f>""</f>
        <v/>
      </c>
      <c r="DP188" t="str">
        <f>""</f>
        <v/>
      </c>
      <c r="DQ188" t="str">
        <f>""</f>
        <v/>
      </c>
      <c r="DR188" t="str">
        <f>""</f>
        <v/>
      </c>
      <c r="DS188" t="str">
        <f>""</f>
        <v/>
      </c>
      <c r="DT188" t="str">
        <f>""</f>
        <v/>
      </c>
      <c r="DU188" t="str">
        <f>""</f>
        <v/>
      </c>
    </row>
    <row r="189" spans="1:125" x14ac:dyDescent="0.25">
      <c r="A189" t="str">
        <f>"    Hyundai Motor Co"</f>
        <v xml:space="preserve">    Hyundai Motor Co</v>
      </c>
      <c r="B189" t="str">
        <f>"005380 KS Equity"</f>
        <v>005380 KS Equity</v>
      </c>
      <c r="C189" t="str">
        <f t="shared" si="12"/>
        <v>RX077</v>
      </c>
      <c r="D189" t="str">
        <f t="shared" si="13"/>
        <v>PX_TO_TANG_BOOK_VAL_PER_SH</v>
      </c>
      <c r="E189" t="str">
        <f t="shared" si="14"/>
        <v>Dynamic</v>
      </c>
      <c r="F189" t="str">
        <f ca="1">IF(AND(ISNUMBER($F$859),$B$677=1),$F$859,HLOOKUP(INDIRECT(ADDRESS(2,COLUMN())),OFFSET($BN$2,0,0,ROW()-1,60),ROW()-1,FALSE))</f>
        <v/>
      </c>
      <c r="G189">
        <f ca="1">IF(AND(ISNUMBER($G$859),$B$677=1),$G$859,HLOOKUP(INDIRECT(ADDRESS(2,COLUMN())),OFFSET($BN$2,0,0,ROW()-1,60),ROW()-1,FALSE))</f>
        <v>0.38024076400000001</v>
      </c>
      <c r="H189">
        <f ca="1">IF(AND(ISNUMBER($H$859),$B$677=1),$H$859,HLOOKUP(INDIRECT(ADDRESS(2,COLUMN())),OFFSET($BN$2,0,0,ROW()-1,60),ROW()-1,FALSE))</f>
        <v>0.41553737499999999</v>
      </c>
      <c r="I189">
        <f ca="1">IF(AND(ISNUMBER($I$859),$B$677=1),$I$859,HLOOKUP(INDIRECT(ADDRESS(2,COLUMN())),OFFSET($BN$2,0,0,ROW()-1,60),ROW()-1,FALSE))</f>
        <v>0.40072496800000001</v>
      </c>
      <c r="J189">
        <f ca="1">IF(AND(ISNUMBER($J$859),$B$677=1),$J$859,HLOOKUP(INDIRECT(ADDRESS(2,COLUMN())),OFFSET($BN$2,0,0,ROW()-1,60),ROW()-1,FALSE))</f>
        <v>0.46562631900000001</v>
      </c>
      <c r="K189">
        <f ca="1">IF(AND(ISNUMBER($K$859),$B$677=1),$K$859,HLOOKUP(INDIRECT(ADDRESS(2,COLUMN())),OFFSET($BN$2,0,0,ROW()-1,60),ROW()-1,FALSE))</f>
        <v>0.50498490299999998</v>
      </c>
      <c r="L189">
        <f ca="1">IF(AND(ISNUMBER($L$859),$B$677=1),$L$859,HLOOKUP(INDIRECT(ADDRESS(2,COLUMN())),OFFSET($BN$2,0,0,ROW()-1,60),ROW()-1,FALSE))</f>
        <v>0.485395878</v>
      </c>
      <c r="M189">
        <f ca="1">IF(AND(ISNUMBER($M$859),$B$677=1),$M$859,HLOOKUP(INDIRECT(ADDRESS(2,COLUMN())),OFFSET($BN$2,0,0,ROW()-1,60),ROW()-1,FALSE))</f>
        <v>0.52048722300000005</v>
      </c>
      <c r="N189">
        <f ca="1">IF(AND(ISNUMBER($N$859),$B$677=1),$N$859,HLOOKUP(INDIRECT(ADDRESS(2,COLUMN())),OFFSET($BN$2,0,0,ROW()-1,60),ROW()-1,FALSE))</f>
        <v>0.52806956699999996</v>
      </c>
      <c r="O189">
        <f ca="1">IF(AND(ISNUMBER($O$859),$B$677=1),$O$859,HLOOKUP(INDIRECT(ADDRESS(2,COLUMN())),OFFSET($BN$2,0,0,ROW()-1,60),ROW()-1,FALSE))</f>
        <v>0.48544527700000001</v>
      </c>
      <c r="P189">
        <f ca="1">IF(AND(ISNUMBER($P$859),$B$677=1),$P$859,HLOOKUP(INDIRECT(ADDRESS(2,COLUMN())),OFFSET($BN$2,0,0,ROW()-1,60),ROW()-1,FALSE))</f>
        <v>0.47087078500000001</v>
      </c>
      <c r="Q189">
        <f ca="1">IF(AND(ISNUMBER($Q$859),$B$677=1),$Q$859,HLOOKUP(INDIRECT(ADDRESS(2,COLUMN())),OFFSET($BN$2,0,0,ROW()-1,60),ROW()-1,FALSE))</f>
        <v>0.47121481500000001</v>
      </c>
      <c r="R189">
        <f ca="1">IF(AND(ISNUMBER($R$859),$B$677=1),$R$859,HLOOKUP(INDIRECT(ADDRESS(2,COLUMN())),OFFSET($BN$2,0,0,ROW()-1,60),ROW()-1,FALSE))</f>
        <v>0.54373581900000001</v>
      </c>
      <c r="S189">
        <f ca="1">IF(AND(ISNUMBER($S$859),$B$677=1),$S$859,HLOOKUP(INDIRECT(ADDRESS(2,COLUMN())),OFFSET($BN$2,0,0,ROW()-1,60),ROW()-1,FALSE))</f>
        <v>0.53755657400000001</v>
      </c>
      <c r="T189">
        <f ca="1">IF(AND(ISNUMBER($T$859),$B$677=1),$T$859,HLOOKUP(INDIRECT(ADDRESS(2,COLUMN())),OFFSET($BN$2,0,0,ROW()-1,60),ROW()-1,FALSE))</f>
        <v>0.59510610200000003</v>
      </c>
      <c r="U189">
        <f ca="1">IF(AND(ISNUMBER($U$859),$B$677=1),$U$859,HLOOKUP(INDIRECT(ADDRESS(2,COLUMN())),OFFSET($BN$2,0,0,ROW()-1,60),ROW()-1,FALSE))</f>
        <v>0.50362629999999997</v>
      </c>
      <c r="V189">
        <f ca="1">IF(AND(ISNUMBER($V$859),$B$677=1),$V$859,HLOOKUP(INDIRECT(ADDRESS(2,COLUMN())),OFFSET($BN$2,0,0,ROW()-1,60),ROW()-1,FALSE))</f>
        <v>0.64782564200000003</v>
      </c>
      <c r="W189">
        <f ca="1">IF(AND(ISNUMBER($W$859),$B$677=1),$W$859,HLOOKUP(INDIRECT(ADDRESS(2,COLUMN())),OFFSET($BN$2,0,0,ROW()-1,60),ROW()-1,FALSE))</f>
        <v>0.65905506400000002</v>
      </c>
      <c r="X189">
        <f ca="1">IF(AND(ISNUMBER($X$859),$B$677=1),$X$859,HLOOKUP(INDIRECT(ADDRESS(2,COLUMN())),OFFSET($BN$2,0,0,ROW()-1,60),ROW()-1,FALSE))</f>
        <v>0.754358635</v>
      </c>
      <c r="Y189">
        <f ca="1">IF(AND(ISNUMBER($Y$859),$B$677=1),$Y$859,HLOOKUP(INDIRECT(ADDRESS(2,COLUMN())),OFFSET($BN$2,0,0,ROW()-1,60),ROW()-1,FALSE))</f>
        <v>0.936859522</v>
      </c>
      <c r="Z189">
        <f ca="1">IF(AND(ISNUMBER($Z$859),$B$677=1),$Z$859,HLOOKUP(INDIRECT(ADDRESS(2,COLUMN())),OFFSET($BN$2,0,0,ROW()-1,60),ROW()-1,FALSE))</f>
        <v>1.057017053</v>
      </c>
      <c r="AA189">
        <f ca="1">IF(AND(ISNUMBER($AA$859),$B$677=1),$AA$859,HLOOKUP(INDIRECT(ADDRESS(2,COLUMN())),OFFSET($BN$2,0,0,ROW()-1,60),ROW()-1,FALSE))</f>
        <v>1.021070675</v>
      </c>
      <c r="AB189">
        <f ca="1">IF(AND(ISNUMBER($AB$859),$B$677=1),$AB$859,HLOOKUP(INDIRECT(ADDRESS(2,COLUMN())),OFFSET($BN$2,0,0,ROW()-1,60),ROW()-1,FALSE))</f>
        <v>1.128133077</v>
      </c>
      <c r="AC189">
        <f ca="1">IF(AND(ISNUMBER($AC$859),$B$677=1),$AC$859,HLOOKUP(INDIRECT(ADDRESS(2,COLUMN())),OFFSET($BN$2,0,0,ROW()-1,60),ROW()-1,FALSE))</f>
        <v>1.045787389</v>
      </c>
      <c r="AD189">
        <f ca="1">IF(AND(ISNUMBER($AD$859),$B$677=1),$AD$859,HLOOKUP(INDIRECT(ADDRESS(2,COLUMN())),OFFSET($BN$2,0,0,ROW()-1,60),ROW()-1,FALSE))</f>
        <v>1.1030922030000001</v>
      </c>
      <c r="AE189">
        <f ca="1">IF(AND(ISNUMBER($AE$859),$B$677=1),$AE$859,HLOOKUP(INDIRECT(ADDRESS(2,COLUMN())),OFFSET($BN$2,0,0,ROW()-1,60),ROW()-1,FALSE))</f>
        <v>1.120040047</v>
      </c>
      <c r="AF189">
        <f ca="1">IF(AND(ISNUMBER($AF$859),$B$677=1),$AF$859,HLOOKUP(INDIRECT(ADDRESS(2,COLUMN())),OFFSET($BN$2,0,0,ROW()-1,60),ROW()-1,FALSE))</f>
        <v>1.3183118110000001</v>
      </c>
      <c r="AG189">
        <f ca="1">IF(AND(ISNUMBER($AG$859),$B$677=1),$AG$859,HLOOKUP(INDIRECT(ADDRESS(2,COLUMN())),OFFSET($BN$2,0,0,ROW()-1,60),ROW()-1,FALSE))</f>
        <v>1.2744700149999999</v>
      </c>
      <c r="AH189">
        <f ca="1">IF(AND(ISNUMBER($AH$859),$B$677=1),$AH$859,HLOOKUP(INDIRECT(ADDRESS(2,COLUMN())),OFFSET($BN$2,0,0,ROW()-1,60),ROW()-1,FALSE))</f>
        <v>1.355901018</v>
      </c>
      <c r="AI189">
        <f ca="1">IF(AND(ISNUMBER($AI$859),$B$677=1),$AI$859,HLOOKUP(INDIRECT(ADDRESS(2,COLUMN())),OFFSET($BN$2,0,0,ROW()-1,60),ROW()-1,FALSE))</f>
        <v>1.3063294780000001</v>
      </c>
      <c r="AJ189">
        <f ca="1">IF(AND(ISNUMBER($AJ$859),$B$677=1),$AJ$859,HLOOKUP(INDIRECT(ADDRESS(2,COLUMN())),OFFSET($BN$2,0,0,ROW()-1,60),ROW()-1,FALSE))</f>
        <v>1.353937395</v>
      </c>
      <c r="AK189">
        <f ca="1">IF(AND(ISNUMBER($AK$859),$B$677=1),$AK$859,HLOOKUP(INDIRECT(ADDRESS(2,COLUMN())),OFFSET($BN$2,0,0,ROW()-1,60),ROW()-1,FALSE))</f>
        <v>1.6147819029999999</v>
      </c>
      <c r="AL189">
        <f ca="1">IF(AND(ISNUMBER($AL$859),$B$677=1),$AL$859,HLOOKUP(INDIRECT(ADDRESS(2,COLUMN())),OFFSET($BN$2,0,0,ROW()-1,60),ROW()-1,FALSE))</f>
        <v>1.480797887</v>
      </c>
      <c r="AM189">
        <f ca="1">IF(AND(ISNUMBER($AM$859),$B$677=1),$AM$859,HLOOKUP(INDIRECT(ADDRESS(2,COLUMN())),OFFSET($BN$2,0,0,ROW()-1,60),ROW()-1,FALSE))</f>
        <v>1.3390489590000001</v>
      </c>
      <c r="AN189" t="str">
        <f ca="1">IF(AND(ISNUMBER($AN$859),$B$677=1),$AN$859,HLOOKUP(INDIRECT(ADDRESS(2,COLUMN())),OFFSET($BN$2,0,0,ROW()-1,60),ROW()-1,FALSE))</f>
        <v/>
      </c>
      <c r="AO189" t="str">
        <f ca="1">IF(AND(ISNUMBER($AO$859),$B$677=1),$AO$859,HLOOKUP(INDIRECT(ADDRESS(2,COLUMN())),OFFSET($BN$2,0,0,ROW()-1,60),ROW()-1,FALSE))</f>
        <v/>
      </c>
      <c r="AP189" t="str">
        <f ca="1">IF(AND(ISNUMBER($AP$859),$B$677=1),$AP$859,HLOOKUP(INDIRECT(ADDRESS(2,COLUMN())),OFFSET($BN$2,0,0,ROW()-1,60),ROW()-1,FALSE))</f>
        <v/>
      </c>
      <c r="AQ189" t="str">
        <f ca="1">IF(AND(ISNUMBER($AQ$859),$B$677=1),$AQ$859,HLOOKUP(INDIRECT(ADDRESS(2,COLUMN())),OFFSET($BN$2,0,0,ROW()-1,60),ROW()-1,FALSE))</f>
        <v/>
      </c>
      <c r="AR189" t="str">
        <f ca="1">IF(AND(ISNUMBER($AR$859),$B$677=1),$AR$859,HLOOKUP(INDIRECT(ADDRESS(2,COLUMN())),OFFSET($BN$2,0,0,ROW()-1,60),ROW()-1,FALSE))</f>
        <v/>
      </c>
      <c r="AS189" t="str">
        <f ca="1">IF(AND(ISNUMBER($AS$859),$B$677=1),$AS$859,HLOOKUP(INDIRECT(ADDRESS(2,COLUMN())),OFFSET($BN$2,0,0,ROW()-1,60),ROW()-1,FALSE))</f>
        <v/>
      </c>
      <c r="AT189" t="str">
        <f ca="1">IF(AND(ISNUMBER($AT$859),$B$677=1),$AT$859,HLOOKUP(INDIRECT(ADDRESS(2,COLUMN())),OFFSET($BN$2,0,0,ROW()-1,60),ROW()-1,FALSE))</f>
        <v/>
      </c>
      <c r="AU189" t="str">
        <f ca="1">IF(AND(ISNUMBER($AU$859),$B$677=1),$AU$859,HLOOKUP(INDIRECT(ADDRESS(2,COLUMN())),OFFSET($BN$2,0,0,ROW()-1,60),ROW()-1,FALSE))</f>
        <v/>
      </c>
      <c r="AV189" t="str">
        <f ca="1">IF(AND(ISNUMBER($AV$859),$B$677=1),$AV$859,HLOOKUP(INDIRECT(ADDRESS(2,COLUMN())),OFFSET($BN$2,0,0,ROW()-1,60),ROW()-1,FALSE))</f>
        <v/>
      </c>
      <c r="AW189" t="str">
        <f ca="1">IF(AND(ISNUMBER($AW$859),$B$677=1),$AW$859,HLOOKUP(INDIRECT(ADDRESS(2,COLUMN())),OFFSET($BN$2,0,0,ROW()-1,60),ROW()-1,FALSE))</f>
        <v/>
      </c>
      <c r="AX189" t="str">
        <f ca="1">IF(AND(ISNUMBER($AX$859),$B$677=1),$AX$859,HLOOKUP(INDIRECT(ADDRESS(2,COLUMN())),OFFSET($BN$2,0,0,ROW()-1,60),ROW()-1,FALSE))</f>
        <v/>
      </c>
      <c r="AY189" t="str">
        <f ca="1">IF(AND(ISNUMBER($AY$859),$B$677=1),$AY$859,HLOOKUP(INDIRECT(ADDRESS(2,COLUMN())),OFFSET($BN$2,0,0,ROW()-1,60),ROW()-1,FALSE))</f>
        <v/>
      </c>
      <c r="AZ189" t="str">
        <f ca="1">IF(AND(ISNUMBER($AZ$859),$B$677=1),$AZ$859,HLOOKUP(INDIRECT(ADDRESS(2,COLUMN())),OFFSET($BN$2,0,0,ROW()-1,60),ROW()-1,FALSE))</f>
        <v/>
      </c>
      <c r="BA189" t="str">
        <f ca="1">IF(AND(ISNUMBER($BA$859),$B$677=1),$BA$859,HLOOKUP(INDIRECT(ADDRESS(2,COLUMN())),OFFSET($BN$2,0,0,ROW()-1,60),ROW()-1,FALSE))</f>
        <v/>
      </c>
      <c r="BB189" t="str">
        <f ca="1">IF(AND(ISNUMBER($BB$859),$B$677=1),$BB$859,HLOOKUP(INDIRECT(ADDRESS(2,COLUMN())),OFFSET($BN$2,0,0,ROW()-1,60),ROW()-1,FALSE))</f>
        <v/>
      </c>
      <c r="BC189" t="str">
        <f ca="1">IF(AND(ISNUMBER($BC$859),$B$677=1),$BC$859,HLOOKUP(INDIRECT(ADDRESS(2,COLUMN())),OFFSET($BN$2,0,0,ROW()-1,60),ROW()-1,FALSE))</f>
        <v/>
      </c>
      <c r="BD189" t="str">
        <f ca="1">IF(AND(ISNUMBER($BD$859),$B$677=1),$BD$859,HLOOKUP(INDIRECT(ADDRESS(2,COLUMN())),OFFSET($BN$2,0,0,ROW()-1,60),ROW()-1,FALSE))</f>
        <v/>
      </c>
      <c r="BE189" t="str">
        <f ca="1">IF(AND(ISNUMBER($BE$859),$B$677=1),$BE$859,HLOOKUP(INDIRECT(ADDRESS(2,COLUMN())),OFFSET($BN$2,0,0,ROW()-1,60),ROW()-1,FALSE))</f>
        <v/>
      </c>
      <c r="BF189" t="str">
        <f ca="1">IF(AND(ISNUMBER($BF$859),$B$677=1),$BF$859,HLOOKUP(INDIRECT(ADDRESS(2,COLUMN())),OFFSET($BN$2,0,0,ROW()-1,60),ROW()-1,FALSE))</f>
        <v/>
      </c>
      <c r="BG189" t="str">
        <f ca="1">IF(AND(ISNUMBER($BG$859),$B$677=1),$BG$859,HLOOKUP(INDIRECT(ADDRESS(2,COLUMN())),OFFSET($BN$2,0,0,ROW()-1,60),ROW()-1,FALSE))</f>
        <v/>
      </c>
      <c r="BH189" t="str">
        <f ca="1">IF(AND(ISNUMBER($BH$859),$B$677=1),$BH$859,HLOOKUP(INDIRECT(ADDRESS(2,COLUMN())),OFFSET($BN$2,0,0,ROW()-1,60),ROW()-1,FALSE))</f>
        <v/>
      </c>
      <c r="BI189" t="str">
        <f ca="1">IF(AND(ISNUMBER($BI$859),$B$677=1),$BI$859,HLOOKUP(INDIRECT(ADDRESS(2,COLUMN())),OFFSET($BN$2,0,0,ROW()-1,60),ROW()-1,FALSE))</f>
        <v/>
      </c>
      <c r="BJ189" t="str">
        <f ca="1">IF(AND(ISNUMBER($BJ$859),$B$677=1),$BJ$859,HLOOKUP(INDIRECT(ADDRESS(2,COLUMN())),OFFSET($BN$2,0,0,ROW()-1,60),ROW()-1,FALSE))</f>
        <v/>
      </c>
      <c r="BK189" t="str">
        <f ca="1">IF(AND(ISNUMBER($BK$859),$B$677=1),$BK$859,HLOOKUP(INDIRECT(ADDRESS(2,COLUMN())),OFFSET($BN$2,0,0,ROW()-1,60),ROW()-1,FALSE))</f>
        <v/>
      </c>
      <c r="BL189" t="str">
        <f ca="1">IF(AND(ISNUMBER($BL$859),$B$677=1),$BL$859,HLOOKUP(INDIRECT(ADDRESS(2,COLUMN())),OFFSET($BN$2,0,0,ROW()-1,60),ROW()-1,FALSE))</f>
        <v/>
      </c>
      <c r="BM189" t="str">
        <f ca="1">IF(AND(ISNUMBER($BM$859),$B$677=1),$BM$859,HLOOKUP(INDIRECT(ADDRESS(2,COLUMN())),OFFSET($BN$2,0,0,ROW()-1,60),ROW()-1,FALSE))</f>
        <v/>
      </c>
      <c r="BN189" t="str">
        <f>""</f>
        <v/>
      </c>
      <c r="BO189">
        <f>0.380240764</f>
        <v>0.38024076400000001</v>
      </c>
      <c r="BP189">
        <f>0.415537375</f>
        <v>0.41553737499999999</v>
      </c>
      <c r="BQ189">
        <f>0.400724968</f>
        <v>0.40072496800000001</v>
      </c>
      <c r="BR189">
        <f>0.465626319</f>
        <v>0.46562631900000001</v>
      </c>
      <c r="BS189">
        <f>0.504984903</f>
        <v>0.50498490299999998</v>
      </c>
      <c r="BT189">
        <f>0.485395878</f>
        <v>0.485395878</v>
      </c>
      <c r="BU189">
        <f>0.520487223</f>
        <v>0.52048722300000005</v>
      </c>
      <c r="BV189">
        <f>0.528069567</f>
        <v>0.52806956699999996</v>
      </c>
      <c r="BW189">
        <f>0.485445277</f>
        <v>0.48544527700000001</v>
      </c>
      <c r="BX189">
        <f>0.470870785</f>
        <v>0.47087078500000001</v>
      </c>
      <c r="BY189">
        <f>0.471214815</f>
        <v>0.47121481500000001</v>
      </c>
      <c r="BZ189">
        <f>0.543735819</f>
        <v>0.54373581900000001</v>
      </c>
      <c r="CA189">
        <f>0.537556574</f>
        <v>0.53755657400000001</v>
      </c>
      <c r="CB189">
        <f>0.595106102</f>
        <v>0.59510610200000003</v>
      </c>
      <c r="CC189">
        <f>0.5036263</f>
        <v>0.50362629999999997</v>
      </c>
      <c r="CD189">
        <f>0.647825642</f>
        <v>0.64782564200000003</v>
      </c>
      <c r="CE189">
        <f>0.659055064</f>
        <v>0.65905506400000002</v>
      </c>
      <c r="CF189">
        <f>0.754358635</f>
        <v>0.754358635</v>
      </c>
      <c r="CG189">
        <f>0.936859522</f>
        <v>0.936859522</v>
      </c>
      <c r="CH189">
        <f>1.057017053</f>
        <v>1.057017053</v>
      </c>
      <c r="CI189">
        <f>1.021070675</f>
        <v>1.021070675</v>
      </c>
      <c r="CJ189">
        <f>1.128133077</f>
        <v>1.128133077</v>
      </c>
      <c r="CK189">
        <f>1.045787389</f>
        <v>1.045787389</v>
      </c>
      <c r="CL189">
        <f>1.103092203</f>
        <v>1.1030922030000001</v>
      </c>
      <c r="CM189">
        <f>1.120040047</f>
        <v>1.120040047</v>
      </c>
      <c r="CN189">
        <f>1.318311811</f>
        <v>1.3183118110000001</v>
      </c>
      <c r="CO189">
        <f>1.274470015</f>
        <v>1.2744700149999999</v>
      </c>
      <c r="CP189">
        <f>1.355901018</f>
        <v>1.355901018</v>
      </c>
      <c r="CQ189">
        <f>1.306329478</f>
        <v>1.3063294780000001</v>
      </c>
      <c r="CR189">
        <f>1.353937395</f>
        <v>1.353937395</v>
      </c>
      <c r="CS189">
        <f>1.614781903</f>
        <v>1.6147819029999999</v>
      </c>
      <c r="CT189">
        <f>1.480797887</f>
        <v>1.480797887</v>
      </c>
      <c r="CU189">
        <f>1.339048959</f>
        <v>1.3390489590000001</v>
      </c>
      <c r="CV189" t="str">
        <f>""</f>
        <v/>
      </c>
      <c r="CW189" t="str">
        <f>""</f>
        <v/>
      </c>
      <c r="CX189" t="str">
        <f>""</f>
        <v/>
      </c>
      <c r="CY189" t="str">
        <f>""</f>
        <v/>
      </c>
      <c r="CZ189" t="str">
        <f>""</f>
        <v/>
      </c>
      <c r="DA189" t="str">
        <f>""</f>
        <v/>
      </c>
      <c r="DB189" t="str">
        <f>""</f>
        <v/>
      </c>
      <c r="DC189" t="str">
        <f>""</f>
        <v/>
      </c>
      <c r="DD189" t="str">
        <f>""</f>
        <v/>
      </c>
      <c r="DE189" t="str">
        <f>""</f>
        <v/>
      </c>
      <c r="DF189" t="str">
        <f>""</f>
        <v/>
      </c>
      <c r="DG189" t="str">
        <f>""</f>
        <v/>
      </c>
      <c r="DH189" t="str">
        <f>""</f>
        <v/>
      </c>
      <c r="DI189" t="str">
        <f>""</f>
        <v/>
      </c>
      <c r="DJ189" t="str">
        <f>""</f>
        <v/>
      </c>
      <c r="DK189" t="str">
        <f>""</f>
        <v/>
      </c>
      <c r="DL189" t="str">
        <f>""</f>
        <v/>
      </c>
      <c r="DM189" t="str">
        <f>""</f>
        <v/>
      </c>
      <c r="DN189" t="str">
        <f>""</f>
        <v/>
      </c>
      <c r="DO189" t="str">
        <f>""</f>
        <v/>
      </c>
      <c r="DP189" t="str">
        <f>""</f>
        <v/>
      </c>
      <c r="DQ189" t="str">
        <f>""</f>
        <v/>
      </c>
      <c r="DR189" t="str">
        <f>""</f>
        <v/>
      </c>
      <c r="DS189" t="str">
        <f>""</f>
        <v/>
      </c>
      <c r="DT189" t="str">
        <f>""</f>
        <v/>
      </c>
      <c r="DU189" t="str">
        <f>""</f>
        <v/>
      </c>
    </row>
    <row r="190" spans="1:125" x14ac:dyDescent="0.25">
      <c r="A190" t="str">
        <f>"    Kia Motors Corp"</f>
        <v xml:space="preserve">    Kia Motors Corp</v>
      </c>
      <c r="B190" t="str">
        <f>"000270 KS Equity"</f>
        <v>000270 KS Equity</v>
      </c>
      <c r="C190" t="str">
        <f t="shared" si="12"/>
        <v>RX077</v>
      </c>
      <c r="D190" t="str">
        <f t="shared" si="13"/>
        <v>PX_TO_TANG_BOOK_VAL_PER_SH</v>
      </c>
      <c r="E190" t="str">
        <f t="shared" si="14"/>
        <v>Dynamic</v>
      </c>
      <c r="F190" t="str">
        <f ca="1">IF(AND(ISNUMBER($F$860),$B$677=1),$F$860,HLOOKUP(INDIRECT(ADDRESS(2,COLUMN())),OFFSET($BN$2,0,0,ROW()-1,60),ROW()-1,FALSE))</f>
        <v/>
      </c>
      <c r="G190">
        <f ca="1">IF(AND(ISNUMBER($G$860),$B$677=1),$G$860,HLOOKUP(INDIRECT(ADDRESS(2,COLUMN())),OFFSET($BN$2,0,0,ROW()-1,60),ROW()-1,FALSE))</f>
        <v>0.53246941400000003</v>
      </c>
      <c r="H190">
        <f ca="1">IF(AND(ISNUMBER($H$860),$B$677=1),$H$860,HLOOKUP(INDIRECT(ADDRESS(2,COLUMN())),OFFSET($BN$2,0,0,ROW()-1,60),ROW()-1,FALSE))</f>
        <v>0.56549701699999999</v>
      </c>
      <c r="I190">
        <f ca="1">IF(AND(ISNUMBER($I$860),$B$677=1),$I$860,HLOOKUP(INDIRECT(ADDRESS(2,COLUMN())),OFFSET($BN$2,0,0,ROW()-1,60),ROW()-1,FALSE))</f>
        <v>0.49951378099999999</v>
      </c>
      <c r="J190">
        <f ca="1">IF(AND(ISNUMBER($J$860),$B$677=1),$J$860,HLOOKUP(INDIRECT(ADDRESS(2,COLUMN())),OFFSET($BN$2,0,0,ROW()-1,60),ROW()-1,FALSE))</f>
        <v>0.50680318400000002</v>
      </c>
      <c r="K190">
        <f ca="1">IF(AND(ISNUMBER($K$860),$B$677=1),$K$860,HLOOKUP(INDIRECT(ADDRESS(2,COLUMN())),OFFSET($BN$2,0,0,ROW()-1,60),ROW()-1,FALSE))</f>
        <v>0.550668567</v>
      </c>
      <c r="L190">
        <f ca="1">IF(AND(ISNUMBER($L$860),$B$677=1),$L$860,HLOOKUP(INDIRECT(ADDRESS(2,COLUMN())),OFFSET($BN$2,0,0,ROW()-1,60),ROW()-1,FALSE))</f>
        <v>0.51376081600000001</v>
      </c>
      <c r="M190">
        <f ca="1">IF(AND(ISNUMBER($M$860),$B$677=1),$M$860,HLOOKUP(INDIRECT(ADDRESS(2,COLUMN())),OFFSET($BN$2,0,0,ROW()-1,60),ROW()-1,FALSE))</f>
        <v>0.61558011800000001</v>
      </c>
      <c r="N190">
        <f ca="1">IF(AND(ISNUMBER($N$860),$B$677=1),$N$860,HLOOKUP(INDIRECT(ADDRESS(2,COLUMN())),OFFSET($BN$2,0,0,ROW()-1,60),ROW()-1,FALSE))</f>
        <v>0.61421270400000005</v>
      </c>
      <c r="O190">
        <f ca="1">IF(AND(ISNUMBER($O$860),$B$677=1),$O$860,HLOOKUP(INDIRECT(ADDRESS(2,COLUMN())),OFFSET($BN$2,0,0,ROW()-1,60),ROW()-1,FALSE))</f>
        <v>0.65518182199999997</v>
      </c>
      <c r="P190">
        <f ca="1">IF(AND(ISNUMBER($P$860),$B$677=1),$P$860,HLOOKUP(INDIRECT(ADDRESS(2,COLUMN())),OFFSET($BN$2,0,0,ROW()-1,60),ROW()-1,FALSE))</f>
        <v>0.72412428399999995</v>
      </c>
      <c r="Q190">
        <f ca="1">IF(AND(ISNUMBER($Q$860),$B$677=1),$Q$860,HLOOKUP(INDIRECT(ADDRESS(2,COLUMN())),OFFSET($BN$2,0,0,ROW()-1,60),ROW()-1,FALSE))</f>
        <v>0.75043158600000004</v>
      </c>
      <c r="R190">
        <f ca="1">IF(AND(ISNUMBER($R$860),$B$677=1),$R$860,HLOOKUP(INDIRECT(ADDRESS(2,COLUMN())),OFFSET($BN$2,0,0,ROW()-1,60),ROW()-1,FALSE))</f>
        <v>0.87257475699999998</v>
      </c>
      <c r="S190">
        <f ca="1">IF(AND(ISNUMBER($S$860),$B$677=1),$S$860,HLOOKUP(INDIRECT(ADDRESS(2,COLUMN())),OFFSET($BN$2,0,0,ROW()-1,60),ROW()-1,FALSE))</f>
        <v>0.95553996299999999</v>
      </c>
      <c r="T190">
        <f ca="1">IF(AND(ISNUMBER($T$860),$B$677=1),$T$860,HLOOKUP(INDIRECT(ADDRESS(2,COLUMN())),OFFSET($BN$2,0,0,ROW()-1,60),ROW()-1,FALSE))</f>
        <v>0.97757660899999999</v>
      </c>
      <c r="U190">
        <f ca="1">IF(AND(ISNUMBER($U$860),$B$677=1),$U$860,HLOOKUP(INDIRECT(ADDRESS(2,COLUMN())),OFFSET($BN$2,0,0,ROW()-1,60),ROW()-1,FALSE))</f>
        <v>0.85138161800000001</v>
      </c>
      <c r="V190">
        <f ca="1">IF(AND(ISNUMBER($V$860),$B$677=1),$V$860,HLOOKUP(INDIRECT(ADDRESS(2,COLUMN())),OFFSET($BN$2,0,0,ROW()-1,60),ROW()-1,FALSE))</f>
        <v>0.892399795</v>
      </c>
      <c r="W190">
        <f ca="1">IF(AND(ISNUMBER($W$860),$B$677=1),$W$860,HLOOKUP(INDIRECT(ADDRESS(2,COLUMN())),OFFSET($BN$2,0,0,ROW()-1,60),ROW()-1,FALSE))</f>
        <v>1.028438433</v>
      </c>
      <c r="X190">
        <f ca="1">IF(AND(ISNUMBER($X$860),$B$677=1),$X$860,HLOOKUP(INDIRECT(ADDRESS(2,COLUMN())),OFFSET($BN$2,0,0,ROW()-1,60),ROW()-1,FALSE))</f>
        <v>1.0607221840000001</v>
      </c>
      <c r="Y190">
        <f ca="1">IF(AND(ISNUMBER($Y$860),$B$677=1),$Y$860,HLOOKUP(INDIRECT(ADDRESS(2,COLUMN())),OFFSET($BN$2,0,0,ROW()-1,60),ROW()-1,FALSE))</f>
        <v>1.1544910209999999</v>
      </c>
      <c r="Z190">
        <f ca="1">IF(AND(ISNUMBER($Z$860),$B$677=1),$Z$860,HLOOKUP(INDIRECT(ADDRESS(2,COLUMN())),OFFSET($BN$2,0,0,ROW()-1,60),ROW()-1,FALSE))</f>
        <v>1.260918048</v>
      </c>
      <c r="AA190">
        <f ca="1">IF(AND(ISNUMBER($AA$860),$B$677=1),$AA$860,HLOOKUP(INDIRECT(ADDRESS(2,COLUMN())),OFFSET($BN$2,0,0,ROW()-1,60),ROW()-1,FALSE))</f>
        <v>1.2255031460000001</v>
      </c>
      <c r="AB190">
        <f ca="1">IF(AND(ISNUMBER($AB$860),$B$677=1),$AB$860,HLOOKUP(INDIRECT(ADDRESS(2,COLUMN())),OFFSET($BN$2,0,0,ROW()-1,60),ROW()-1,FALSE))</f>
        <v>1.4800890550000001</v>
      </c>
      <c r="AC190">
        <f ca="1">IF(AND(ISNUMBER($AC$860),$B$677=1),$AC$860,HLOOKUP(INDIRECT(ADDRESS(2,COLUMN())),OFFSET($BN$2,0,0,ROW()-1,60),ROW()-1,FALSE))</f>
        <v>1.4716681540000001</v>
      </c>
      <c r="AD190">
        <f ca="1">IF(AND(ISNUMBER($AD$860),$B$677=1),$AD$860,HLOOKUP(INDIRECT(ADDRESS(2,COLUMN())),OFFSET($BN$2,0,0,ROW()-1,60),ROW()-1,FALSE))</f>
        <v>1.4295295429999999</v>
      </c>
      <c r="AE190">
        <f ca="1">IF(AND(ISNUMBER($AE$860),$B$677=1),$AE$860,HLOOKUP(INDIRECT(ADDRESS(2,COLUMN())),OFFSET($BN$2,0,0,ROW()-1,60),ROW()-1,FALSE))</f>
        <v>1.493185491</v>
      </c>
      <c r="AF190">
        <f ca="1">IF(AND(ISNUMBER($AF$860),$B$677=1),$AF$860,HLOOKUP(INDIRECT(ADDRESS(2,COLUMN())),OFFSET($BN$2,0,0,ROW()-1,60),ROW()-1,FALSE))</f>
        <v>1.888891788</v>
      </c>
      <c r="AG190">
        <f ca="1">IF(AND(ISNUMBER($AG$860),$B$677=1),$AG$860,HLOOKUP(INDIRECT(ADDRESS(2,COLUMN())),OFFSET($BN$2,0,0,ROW()-1,60),ROW()-1,FALSE))</f>
        <v>2.165998477</v>
      </c>
      <c r="AH190">
        <f ca="1">IF(AND(ISNUMBER($AH$860),$B$677=1),$AH$860,HLOOKUP(INDIRECT(ADDRESS(2,COLUMN())),OFFSET($BN$2,0,0,ROW()-1,60),ROW()-1,FALSE))</f>
        <v>2.319703853</v>
      </c>
      <c r="AI190">
        <f ca="1">IF(AND(ISNUMBER($AI$860),$B$677=1),$AI$860,HLOOKUP(INDIRECT(ADDRESS(2,COLUMN())),OFFSET($BN$2,0,0,ROW()-1,60),ROW()-1,FALSE))</f>
        <v>2.2448254150000002</v>
      </c>
      <c r="AJ190">
        <f ca="1">IF(AND(ISNUMBER($AJ$860),$B$677=1),$AJ$860,HLOOKUP(INDIRECT(ADDRESS(2,COLUMN())),OFFSET($BN$2,0,0,ROW()-1,60),ROW()-1,FALSE))</f>
        <v>2.5083027379999998</v>
      </c>
      <c r="AK190">
        <f ca="1">IF(AND(ISNUMBER($AK$860),$B$677=1),$AK$860,HLOOKUP(INDIRECT(ADDRESS(2,COLUMN())),OFFSET($BN$2,0,0,ROW()-1,60),ROW()-1,FALSE))</f>
        <v>2.6022754809999999</v>
      </c>
      <c r="AL190">
        <f ca="1">IF(AND(ISNUMBER($AL$860),$B$677=1),$AL$860,HLOOKUP(INDIRECT(ADDRESS(2,COLUMN())),OFFSET($BN$2,0,0,ROW()-1,60),ROW()-1,FALSE))</f>
        <v>2.8812937660000002</v>
      </c>
      <c r="AM190" t="str">
        <f ca="1">IF(AND(ISNUMBER($AM$860),$B$677=1),$AM$860,HLOOKUP(INDIRECT(ADDRESS(2,COLUMN())),OFFSET($BN$2,0,0,ROW()-1,60),ROW()-1,FALSE))</f>
        <v/>
      </c>
      <c r="AN190" t="str">
        <f ca="1">IF(AND(ISNUMBER($AN$860),$B$677=1),$AN$860,HLOOKUP(INDIRECT(ADDRESS(2,COLUMN())),OFFSET($BN$2,0,0,ROW()-1,60),ROW()-1,FALSE))</f>
        <v/>
      </c>
      <c r="AO190" t="str">
        <f ca="1">IF(AND(ISNUMBER($AO$860),$B$677=1),$AO$860,HLOOKUP(INDIRECT(ADDRESS(2,COLUMN())),OFFSET($BN$2,0,0,ROW()-1,60),ROW()-1,FALSE))</f>
        <v/>
      </c>
      <c r="AP190" t="str">
        <f ca="1">IF(AND(ISNUMBER($AP$860),$B$677=1),$AP$860,HLOOKUP(INDIRECT(ADDRESS(2,COLUMN())),OFFSET($BN$2,0,0,ROW()-1,60),ROW()-1,FALSE))</f>
        <v/>
      </c>
      <c r="AQ190" t="str">
        <f ca="1">IF(AND(ISNUMBER($AQ$860),$B$677=1),$AQ$860,HLOOKUP(INDIRECT(ADDRESS(2,COLUMN())),OFFSET($BN$2,0,0,ROW()-1,60),ROW()-1,FALSE))</f>
        <v/>
      </c>
      <c r="AR190" t="str">
        <f ca="1">IF(AND(ISNUMBER($AR$860),$B$677=1),$AR$860,HLOOKUP(INDIRECT(ADDRESS(2,COLUMN())),OFFSET($BN$2,0,0,ROW()-1,60),ROW()-1,FALSE))</f>
        <v/>
      </c>
      <c r="AS190" t="str">
        <f ca="1">IF(AND(ISNUMBER($AS$860),$B$677=1),$AS$860,HLOOKUP(INDIRECT(ADDRESS(2,COLUMN())),OFFSET($BN$2,0,0,ROW()-1,60),ROW()-1,FALSE))</f>
        <v/>
      </c>
      <c r="AT190" t="str">
        <f ca="1">IF(AND(ISNUMBER($AT$860),$B$677=1),$AT$860,HLOOKUP(INDIRECT(ADDRESS(2,COLUMN())),OFFSET($BN$2,0,0,ROW()-1,60),ROW()-1,FALSE))</f>
        <v/>
      </c>
      <c r="AU190" t="str">
        <f ca="1">IF(AND(ISNUMBER($AU$860),$B$677=1),$AU$860,HLOOKUP(INDIRECT(ADDRESS(2,COLUMN())),OFFSET($BN$2,0,0,ROW()-1,60),ROW()-1,FALSE))</f>
        <v/>
      </c>
      <c r="AV190" t="str">
        <f ca="1">IF(AND(ISNUMBER($AV$860),$B$677=1),$AV$860,HLOOKUP(INDIRECT(ADDRESS(2,COLUMN())),OFFSET($BN$2,0,0,ROW()-1,60),ROW()-1,FALSE))</f>
        <v/>
      </c>
      <c r="AW190" t="str">
        <f ca="1">IF(AND(ISNUMBER($AW$860),$B$677=1),$AW$860,HLOOKUP(INDIRECT(ADDRESS(2,COLUMN())),OFFSET($BN$2,0,0,ROW()-1,60),ROW()-1,FALSE))</f>
        <v/>
      </c>
      <c r="AX190" t="str">
        <f ca="1">IF(AND(ISNUMBER($AX$860),$B$677=1),$AX$860,HLOOKUP(INDIRECT(ADDRESS(2,COLUMN())),OFFSET($BN$2,0,0,ROW()-1,60),ROW()-1,FALSE))</f>
        <v/>
      </c>
      <c r="AY190" t="str">
        <f ca="1">IF(AND(ISNUMBER($AY$860),$B$677=1),$AY$860,HLOOKUP(INDIRECT(ADDRESS(2,COLUMN())),OFFSET($BN$2,0,0,ROW()-1,60),ROW()-1,FALSE))</f>
        <v/>
      </c>
      <c r="AZ190" t="str">
        <f ca="1">IF(AND(ISNUMBER($AZ$860),$B$677=1),$AZ$860,HLOOKUP(INDIRECT(ADDRESS(2,COLUMN())),OFFSET($BN$2,0,0,ROW()-1,60),ROW()-1,FALSE))</f>
        <v/>
      </c>
      <c r="BA190" t="str">
        <f ca="1">IF(AND(ISNUMBER($BA$860),$B$677=1),$BA$860,HLOOKUP(INDIRECT(ADDRESS(2,COLUMN())),OFFSET($BN$2,0,0,ROW()-1,60),ROW()-1,FALSE))</f>
        <v/>
      </c>
      <c r="BB190" t="str">
        <f ca="1">IF(AND(ISNUMBER($BB$860),$B$677=1),$BB$860,HLOOKUP(INDIRECT(ADDRESS(2,COLUMN())),OFFSET($BN$2,0,0,ROW()-1,60),ROW()-1,FALSE))</f>
        <v/>
      </c>
      <c r="BC190" t="str">
        <f ca="1">IF(AND(ISNUMBER($BC$860),$B$677=1),$BC$860,HLOOKUP(INDIRECT(ADDRESS(2,COLUMN())),OFFSET($BN$2,0,0,ROW()-1,60),ROW()-1,FALSE))</f>
        <v/>
      </c>
      <c r="BD190" t="str">
        <f ca="1">IF(AND(ISNUMBER($BD$860),$B$677=1),$BD$860,HLOOKUP(INDIRECT(ADDRESS(2,COLUMN())),OFFSET($BN$2,0,0,ROW()-1,60),ROW()-1,FALSE))</f>
        <v/>
      </c>
      <c r="BE190" t="str">
        <f ca="1">IF(AND(ISNUMBER($BE$860),$B$677=1),$BE$860,HLOOKUP(INDIRECT(ADDRESS(2,COLUMN())),OFFSET($BN$2,0,0,ROW()-1,60),ROW()-1,FALSE))</f>
        <v/>
      </c>
      <c r="BF190" t="str">
        <f ca="1">IF(AND(ISNUMBER($BF$860),$B$677=1),$BF$860,HLOOKUP(INDIRECT(ADDRESS(2,COLUMN())),OFFSET($BN$2,0,0,ROW()-1,60),ROW()-1,FALSE))</f>
        <v/>
      </c>
      <c r="BG190" t="str">
        <f ca="1">IF(AND(ISNUMBER($BG$860),$B$677=1),$BG$860,HLOOKUP(INDIRECT(ADDRESS(2,COLUMN())),OFFSET($BN$2,0,0,ROW()-1,60),ROW()-1,FALSE))</f>
        <v/>
      </c>
      <c r="BH190" t="str">
        <f ca="1">IF(AND(ISNUMBER($BH$860),$B$677=1),$BH$860,HLOOKUP(INDIRECT(ADDRESS(2,COLUMN())),OFFSET($BN$2,0,0,ROW()-1,60),ROW()-1,FALSE))</f>
        <v/>
      </c>
      <c r="BI190" t="str">
        <f ca="1">IF(AND(ISNUMBER($BI$860),$B$677=1),$BI$860,HLOOKUP(INDIRECT(ADDRESS(2,COLUMN())),OFFSET($BN$2,0,0,ROW()-1,60),ROW()-1,FALSE))</f>
        <v/>
      </c>
      <c r="BJ190" t="str">
        <f ca="1">IF(AND(ISNUMBER($BJ$860),$B$677=1),$BJ$860,HLOOKUP(INDIRECT(ADDRESS(2,COLUMN())),OFFSET($BN$2,0,0,ROW()-1,60),ROW()-1,FALSE))</f>
        <v/>
      </c>
      <c r="BK190" t="str">
        <f ca="1">IF(AND(ISNUMBER($BK$860),$B$677=1),$BK$860,HLOOKUP(INDIRECT(ADDRESS(2,COLUMN())),OFFSET($BN$2,0,0,ROW()-1,60),ROW()-1,FALSE))</f>
        <v/>
      </c>
      <c r="BL190" t="str">
        <f ca="1">IF(AND(ISNUMBER($BL$860),$B$677=1),$BL$860,HLOOKUP(INDIRECT(ADDRESS(2,COLUMN())),OFFSET($BN$2,0,0,ROW()-1,60),ROW()-1,FALSE))</f>
        <v/>
      </c>
      <c r="BM190" t="str">
        <f ca="1">IF(AND(ISNUMBER($BM$860),$B$677=1),$BM$860,HLOOKUP(INDIRECT(ADDRESS(2,COLUMN())),OFFSET($BN$2,0,0,ROW()-1,60),ROW()-1,FALSE))</f>
        <v/>
      </c>
      <c r="BN190" t="str">
        <f>""</f>
        <v/>
      </c>
      <c r="BO190">
        <f>0.532469414</f>
        <v>0.53246941400000003</v>
      </c>
      <c r="BP190">
        <f>0.565497017</f>
        <v>0.56549701699999999</v>
      </c>
      <c r="BQ190">
        <f>0.499513781</f>
        <v>0.49951378099999999</v>
      </c>
      <c r="BR190">
        <f>0.506803184</f>
        <v>0.50680318400000002</v>
      </c>
      <c r="BS190">
        <f>0.550668567</f>
        <v>0.550668567</v>
      </c>
      <c r="BT190">
        <f>0.513760816</f>
        <v>0.51376081600000001</v>
      </c>
      <c r="BU190">
        <f>0.615580118</f>
        <v>0.61558011800000001</v>
      </c>
      <c r="BV190">
        <f>0.614212704</f>
        <v>0.61421270400000005</v>
      </c>
      <c r="BW190">
        <f>0.655181822</f>
        <v>0.65518182199999997</v>
      </c>
      <c r="BX190">
        <f>0.724124284</f>
        <v>0.72412428399999995</v>
      </c>
      <c r="BY190">
        <f>0.750431586</f>
        <v>0.75043158600000004</v>
      </c>
      <c r="BZ190">
        <f>0.872574757</f>
        <v>0.87257475699999998</v>
      </c>
      <c r="CA190">
        <f>0.955539963</f>
        <v>0.95553996299999999</v>
      </c>
      <c r="CB190">
        <f>0.977576609</f>
        <v>0.97757660899999999</v>
      </c>
      <c r="CC190">
        <f>0.851381618</f>
        <v>0.85138161800000001</v>
      </c>
      <c r="CD190">
        <f>0.892399795</f>
        <v>0.892399795</v>
      </c>
      <c r="CE190">
        <f>1.028438433</f>
        <v>1.028438433</v>
      </c>
      <c r="CF190">
        <f>1.060722184</f>
        <v>1.0607221840000001</v>
      </c>
      <c r="CG190">
        <f>1.154491021</f>
        <v>1.1544910209999999</v>
      </c>
      <c r="CH190">
        <f>1.260918048</f>
        <v>1.260918048</v>
      </c>
      <c r="CI190">
        <f>1.225503146</f>
        <v>1.2255031460000001</v>
      </c>
      <c r="CJ190">
        <f>1.480089055</f>
        <v>1.4800890550000001</v>
      </c>
      <c r="CK190">
        <f>1.471668154</f>
        <v>1.4716681540000001</v>
      </c>
      <c r="CL190">
        <f>1.429529543</f>
        <v>1.4295295429999999</v>
      </c>
      <c r="CM190">
        <f>1.493185491</f>
        <v>1.493185491</v>
      </c>
      <c r="CN190">
        <f>1.888891788</f>
        <v>1.888891788</v>
      </c>
      <c r="CO190">
        <f>2.165998477</f>
        <v>2.165998477</v>
      </c>
      <c r="CP190">
        <f>2.319703853</f>
        <v>2.319703853</v>
      </c>
      <c r="CQ190">
        <f>2.244825415</f>
        <v>2.2448254150000002</v>
      </c>
      <c r="CR190">
        <f>2.508302738</f>
        <v>2.5083027379999998</v>
      </c>
      <c r="CS190">
        <f>2.602275481</f>
        <v>2.6022754809999999</v>
      </c>
      <c r="CT190">
        <f>2.881293766</f>
        <v>2.8812937660000002</v>
      </c>
      <c r="CU190" t="str">
        <f>""</f>
        <v/>
      </c>
      <c r="CV190" t="str">
        <f>""</f>
        <v/>
      </c>
      <c r="CW190" t="str">
        <f>""</f>
        <v/>
      </c>
      <c r="CX190" t="str">
        <f>""</f>
        <v/>
      </c>
      <c r="CY190" t="str">
        <f>""</f>
        <v/>
      </c>
      <c r="CZ190" t="str">
        <f>""</f>
        <v/>
      </c>
      <c r="DA190" t="str">
        <f>""</f>
        <v/>
      </c>
      <c r="DB190" t="str">
        <f>""</f>
        <v/>
      </c>
      <c r="DC190" t="str">
        <f>""</f>
        <v/>
      </c>
      <c r="DD190" t="str">
        <f>""</f>
        <v/>
      </c>
      <c r="DE190" t="str">
        <f>""</f>
        <v/>
      </c>
      <c r="DF190" t="str">
        <f>""</f>
        <v/>
      </c>
      <c r="DG190" t="str">
        <f>""</f>
        <v/>
      </c>
      <c r="DH190" t="str">
        <f>""</f>
        <v/>
      </c>
      <c r="DI190" t="str">
        <f>""</f>
        <v/>
      </c>
      <c r="DJ190" t="str">
        <f>""</f>
        <v/>
      </c>
      <c r="DK190" t="str">
        <f>""</f>
        <v/>
      </c>
      <c r="DL190" t="str">
        <f>""</f>
        <v/>
      </c>
      <c r="DM190" t="str">
        <f>""</f>
        <v/>
      </c>
      <c r="DN190" t="str">
        <f>""</f>
        <v/>
      </c>
      <c r="DO190" t="str">
        <f>""</f>
        <v/>
      </c>
      <c r="DP190" t="str">
        <f>""</f>
        <v/>
      </c>
      <c r="DQ190" t="str">
        <f>""</f>
        <v/>
      </c>
      <c r="DR190" t="str">
        <f>""</f>
        <v/>
      </c>
      <c r="DS190" t="str">
        <f>""</f>
        <v/>
      </c>
      <c r="DT190" t="str">
        <f>""</f>
        <v/>
      </c>
      <c r="DU190" t="str">
        <f>""</f>
        <v/>
      </c>
    </row>
    <row r="191" spans="1:125" x14ac:dyDescent="0.25">
      <c r="A191" t="str">
        <f>"    Mazda Motor Corp"</f>
        <v xml:space="preserve">    Mazda Motor Corp</v>
      </c>
      <c r="B191" t="str">
        <f>"7261 JP Equity"</f>
        <v>7261 JP Equity</v>
      </c>
      <c r="C191" t="str">
        <f t="shared" si="12"/>
        <v>RX077</v>
      </c>
      <c r="D191" t="str">
        <f t="shared" si="13"/>
        <v>PX_TO_TANG_BOOK_VAL_PER_SH</v>
      </c>
      <c r="E191" t="str">
        <f t="shared" si="14"/>
        <v>Dynamic</v>
      </c>
      <c r="F191">
        <f ca="1">IF(AND(ISNUMBER($F$861),$B$677=1),$F$861,HLOOKUP(INDIRECT(ADDRESS(2,COLUMN())),OFFSET($BN$2,0,0,ROW()-1,60),ROW()-1,FALSE))</f>
        <v>0.69578261699999999</v>
      </c>
      <c r="G191">
        <f ca="1">IF(AND(ISNUMBER($G$861),$B$677=1),$G$861,HLOOKUP(INDIRECT(ADDRESS(2,COLUMN())),OFFSET($BN$2,0,0,ROW()-1,60),ROW()-1,FALSE))</f>
        <v>0.61384630399999995</v>
      </c>
      <c r="H191">
        <f ca="1">IF(AND(ISNUMBER($H$861),$B$677=1),$H$861,HLOOKUP(INDIRECT(ADDRESS(2,COLUMN())),OFFSET($BN$2,0,0,ROW()-1,60),ROW()-1,FALSE))</f>
        <v>0.73469875699999998</v>
      </c>
      <c r="I191">
        <f ca="1">IF(AND(ISNUMBER($I$861),$B$677=1),$I$861,HLOOKUP(INDIRECT(ADDRESS(2,COLUMN())),OFFSET($BN$2,0,0,ROW()-1,60),ROW()-1,FALSE))</f>
        <v>0.73589615399999997</v>
      </c>
      <c r="J191">
        <f ca="1">IF(AND(ISNUMBER($J$861),$B$677=1),$J$861,HLOOKUP(INDIRECT(ADDRESS(2,COLUMN())),OFFSET($BN$2,0,0,ROW()-1,60),ROW()-1,FALSE))</f>
        <v>0.76538415299999996</v>
      </c>
      <c r="K191">
        <f ca="1">IF(AND(ISNUMBER($K$861),$B$677=1),$K$861,HLOOKUP(INDIRECT(ADDRESS(2,COLUMN())),OFFSET($BN$2,0,0,ROW()-1,60),ROW()-1,FALSE))</f>
        <v>0.83588325900000005</v>
      </c>
      <c r="L191">
        <f ca="1">IF(AND(ISNUMBER($L$861),$B$677=1),$L$861,HLOOKUP(INDIRECT(ADDRESS(2,COLUMN())),OFFSET($BN$2,0,0,ROW()-1,60),ROW()-1,FALSE))</f>
        <v>0.97070032299999998</v>
      </c>
      <c r="M191">
        <f ca="1">IF(AND(ISNUMBER($M$861),$B$677=1),$M$861,HLOOKUP(INDIRECT(ADDRESS(2,COLUMN())),OFFSET($BN$2,0,0,ROW()-1,60),ROW()-1,FALSE))</f>
        <v>0.91221790400000002</v>
      </c>
      <c r="N191">
        <f ca="1">IF(AND(ISNUMBER($N$861),$B$677=1),$N$861,HLOOKUP(INDIRECT(ADDRESS(2,COLUMN())),OFFSET($BN$2,0,0,ROW()-1,60),ROW()-1,FALSE))</f>
        <v>0.95232795199999998</v>
      </c>
      <c r="O191">
        <f ca="1">IF(AND(ISNUMBER($O$861),$B$677=1),$O$861,HLOOKUP(INDIRECT(ADDRESS(2,COLUMN())),OFFSET($BN$2,0,0,ROW()-1,60),ROW()-1,FALSE))</f>
        <v>1.1697454949999999</v>
      </c>
      <c r="P191">
        <f ca="1">IF(AND(ISNUMBER($P$861),$B$677=1),$P$861,HLOOKUP(INDIRECT(ADDRESS(2,COLUMN())),OFFSET($BN$2,0,0,ROW()-1,60),ROW()-1,FALSE))</f>
        <v>0.96503047200000003</v>
      </c>
      <c r="Q191">
        <f ca="1">IF(AND(ISNUMBER($Q$861),$B$677=1),$Q$861,HLOOKUP(INDIRECT(ADDRESS(2,COLUMN())),OFFSET($BN$2,0,0,ROW()-1,60),ROW()-1,FALSE))</f>
        <v>0.87812536799999996</v>
      </c>
      <c r="R191">
        <f ca="1">IF(AND(ISNUMBER($R$861),$B$677=1),$R$861,HLOOKUP(INDIRECT(ADDRESS(2,COLUMN())),OFFSET($BN$2,0,0,ROW()-1,60),ROW()-1,FALSE))</f>
        <v>1.130848337</v>
      </c>
      <c r="S191">
        <f ca="1">IF(AND(ISNUMBER($S$861),$B$677=1),$S$861,HLOOKUP(INDIRECT(ADDRESS(2,COLUMN())),OFFSET($BN$2,0,0,ROW()-1,60),ROW()-1,FALSE))</f>
        <v>1.6043590299999999</v>
      </c>
      <c r="T191">
        <f ca="1">IF(AND(ISNUMBER($T$861),$B$677=1),$T$861,HLOOKUP(INDIRECT(ADDRESS(2,COLUMN())),OFFSET($BN$2,0,0,ROW()-1,60),ROW()-1,FALSE))</f>
        <v>1.076471709</v>
      </c>
      <c r="U191">
        <f ca="1">IF(AND(ISNUMBER($U$861),$B$677=1),$U$861,HLOOKUP(INDIRECT(ADDRESS(2,COLUMN())),OFFSET($BN$2,0,0,ROW()-1,60),ROW()-1,FALSE))</f>
        <v>1.6506680929999999</v>
      </c>
      <c r="V191">
        <f ca="1">IF(AND(ISNUMBER($V$861),$B$677=1),$V$861,HLOOKUP(INDIRECT(ADDRESS(2,COLUMN())),OFFSET($BN$2,0,0,ROW()-1,60),ROW()-1,FALSE))</f>
        <v>1.7353296579999999</v>
      </c>
      <c r="W191">
        <f ca="1">IF(AND(ISNUMBER($W$861),$B$677=1),$W$861,HLOOKUP(INDIRECT(ADDRESS(2,COLUMN())),OFFSET($BN$2,0,0,ROW()-1,60),ROW()-1,FALSE))</f>
        <v>1.8690197820000001</v>
      </c>
      <c r="X191">
        <f ca="1">IF(AND(ISNUMBER($X$861),$B$677=1),$X$861,HLOOKUP(INDIRECT(ADDRESS(2,COLUMN())),OFFSET($BN$2,0,0,ROW()-1,60),ROW()-1,FALSE))</f>
        <v>2.2463904119999998</v>
      </c>
      <c r="Y191">
        <f ca="1">IF(AND(ISNUMBER($Y$861),$B$677=1),$Y$861,HLOOKUP(INDIRECT(ADDRESS(2,COLUMN())),OFFSET($BN$2,0,0,ROW()-1,60),ROW()-1,FALSE))</f>
        <v>2.073433106</v>
      </c>
      <c r="Z191">
        <f ca="1">IF(AND(ISNUMBER($Z$861),$B$677=1),$Z$861,HLOOKUP(INDIRECT(ADDRESS(2,COLUMN())),OFFSET($BN$2,0,0,ROW()-1,60),ROW()-1,FALSE))</f>
        <v>2.1461559380000002</v>
      </c>
      <c r="AA191">
        <f ca="1">IF(AND(ISNUMBER($AA$861),$B$677=1),$AA$861,HLOOKUP(INDIRECT(ADDRESS(2,COLUMN())),OFFSET($BN$2,0,0,ROW()-1,60),ROW()-1,FALSE))</f>
        <v>2.8414890580000001</v>
      </c>
      <c r="AB191">
        <f ca="1">IF(AND(ISNUMBER($AB$861),$B$677=1),$AB$861,HLOOKUP(INDIRECT(ADDRESS(2,COLUMN())),OFFSET($BN$2,0,0,ROW()-1,60),ROW()-1,FALSE))</f>
        <v>2.4867380529999998</v>
      </c>
      <c r="AC191">
        <f ca="1">IF(AND(ISNUMBER($AC$861),$B$677=1),$AC$861,HLOOKUP(INDIRECT(ADDRESS(2,COLUMN())),OFFSET($BN$2,0,0,ROW()-1,60),ROW()-1,FALSE))</f>
        <v>2.3366700549999999</v>
      </c>
      <c r="AD191">
        <f ca="1">IF(AND(ISNUMBER($AD$861),$B$677=1),$AD$861,HLOOKUP(INDIRECT(ADDRESS(2,COLUMN())),OFFSET($BN$2,0,0,ROW()-1,60),ROW()-1,FALSE))</f>
        <v>1.7651275580000001</v>
      </c>
      <c r="AE191">
        <f ca="1">IF(AND(ISNUMBER($AE$861),$B$677=1),$AE$861,HLOOKUP(INDIRECT(ADDRESS(2,COLUMN())),OFFSET($BN$2,0,0,ROW()-1,60),ROW()-1,FALSE))</f>
        <v>1.13338885</v>
      </c>
      <c r="AF191">
        <f ca="1">IF(AND(ISNUMBER($AF$861),$B$677=1),$AF$861,HLOOKUP(INDIRECT(ADDRESS(2,COLUMN())),OFFSET($BN$2,0,0,ROW()-1,60),ROW()-1,FALSE))</f>
        <v>0.59293190100000004</v>
      </c>
      <c r="AG191">
        <f ca="1">IF(AND(ISNUMBER($AG$861),$B$677=1),$AG$861,HLOOKUP(INDIRECT(ADDRESS(2,COLUMN())),OFFSET($BN$2,0,0,ROW()-1,60),ROW()-1,FALSE))</f>
        <v>0.70955248500000001</v>
      </c>
      <c r="AH191">
        <f ca="1">IF(AND(ISNUMBER($AH$861),$B$677=1),$AH$861,HLOOKUP(INDIRECT(ADDRESS(2,COLUMN())),OFFSET($BN$2,0,0,ROW()-1,60),ROW()-1,FALSE))</f>
        <v>0.96666505000000003</v>
      </c>
      <c r="AI191">
        <f ca="1">IF(AND(ISNUMBER($AI$861),$B$677=1),$AI$861,HLOOKUP(INDIRECT(ADDRESS(2,COLUMN())),OFFSET($BN$2,0,0,ROW()-1,60),ROW()-1,FALSE))</f>
        <v>0.79332553900000002</v>
      </c>
      <c r="AJ191">
        <f ca="1">IF(AND(ISNUMBER($AJ$861),$B$677=1),$AJ$861,HLOOKUP(INDIRECT(ADDRESS(2,COLUMN())),OFFSET($BN$2,0,0,ROW()-1,60),ROW()-1,FALSE))</f>
        <v>0.75195241099999999</v>
      </c>
      <c r="AK191">
        <f ca="1">IF(AND(ISNUMBER($AK$861),$B$677=1),$AK$861,HLOOKUP(INDIRECT(ADDRESS(2,COLUMN())),OFFSET($BN$2,0,0,ROW()-1,60),ROW()-1,FALSE))</f>
        <v>0.96415438600000003</v>
      </c>
      <c r="AL191">
        <f ca="1">IF(AND(ISNUMBER($AL$861),$B$677=1),$AL$861,HLOOKUP(INDIRECT(ADDRESS(2,COLUMN())),OFFSET($BN$2,0,0,ROW()-1,60),ROW()-1,FALSE))</f>
        <v>0.79171222100000005</v>
      </c>
      <c r="AM191">
        <f ca="1">IF(AND(ISNUMBER($AM$861),$B$677=1),$AM$861,HLOOKUP(INDIRECT(ADDRESS(2,COLUMN())),OFFSET($BN$2,0,0,ROW()-1,60),ROW()-1,FALSE))</f>
        <v>0.86861540299999995</v>
      </c>
      <c r="AN191">
        <f ca="1">IF(AND(ISNUMBER($AN$861),$B$677=1),$AN$861,HLOOKUP(INDIRECT(ADDRESS(2,COLUMN())),OFFSET($BN$2,0,0,ROW()-1,60),ROW()-1,FALSE))</f>
        <v>0.74286460399999998</v>
      </c>
      <c r="AO191">
        <f ca="1">IF(AND(ISNUMBER($AO$861),$B$677=1),$AO$861,HLOOKUP(INDIRECT(ADDRESS(2,COLUMN())),OFFSET($BN$2,0,0,ROW()-1,60),ROW()-1,FALSE))</f>
        <v>0.77771796299999996</v>
      </c>
      <c r="AP191">
        <f ca="1">IF(AND(ISNUMBER($AP$861),$B$677=1),$AP$861,HLOOKUP(INDIRECT(ADDRESS(2,COLUMN())),OFFSET($BN$2,0,0,ROW()-1,60),ROW()-1,FALSE))</f>
        <v>0.95992345599999995</v>
      </c>
      <c r="AQ191">
        <f ca="1">IF(AND(ISNUMBER($AQ$861),$B$677=1),$AQ$861,HLOOKUP(INDIRECT(ADDRESS(2,COLUMN())),OFFSET($BN$2,0,0,ROW()-1,60),ROW()-1,FALSE))</f>
        <v>0.79247111699999995</v>
      </c>
      <c r="AR191">
        <f ca="1">IF(AND(ISNUMBER($AR$861),$B$677=1),$AR$861,HLOOKUP(INDIRECT(ADDRESS(2,COLUMN())),OFFSET($BN$2,0,0,ROW()-1,60),ROW()-1,FALSE))</f>
        <v>0.69319442899999995</v>
      </c>
      <c r="AS191">
        <f ca="1">IF(AND(ISNUMBER($AS$861),$B$677=1),$AS$861,HLOOKUP(INDIRECT(ADDRESS(2,COLUMN())),OFFSET($BN$2,0,0,ROW()-1,60),ROW()-1,FALSE))</f>
        <v>0.86675486300000004</v>
      </c>
      <c r="AT191">
        <f ca="1">IF(AND(ISNUMBER($AT$861),$B$677=1),$AT$861,HLOOKUP(INDIRECT(ADDRESS(2,COLUMN())),OFFSET($BN$2,0,0,ROW()-1,60),ROW()-1,FALSE))</f>
        <v>0.556691504</v>
      </c>
      <c r="AU191">
        <f ca="1">IF(AND(ISNUMBER($AU$861),$B$677=1),$AU$861,HLOOKUP(INDIRECT(ADDRESS(2,COLUMN())),OFFSET($BN$2,0,0,ROW()-1,60),ROW()-1,FALSE))</f>
        <v>0.39807005200000001</v>
      </c>
      <c r="AV191">
        <f ca="1">IF(AND(ISNUMBER($AV$861),$B$677=1),$AV$861,HLOOKUP(INDIRECT(ADDRESS(2,COLUMN())),OFFSET($BN$2,0,0,ROW()-1,60),ROW()-1,FALSE))</f>
        <v>1.09193169</v>
      </c>
      <c r="AW191">
        <f ca="1">IF(AND(ISNUMBER($AW$861),$B$677=1),$AW$861,HLOOKUP(INDIRECT(ADDRESS(2,COLUMN())),OFFSET($BN$2,0,0,ROW()-1,60),ROW()-1,FALSE))</f>
        <v>1.506877496</v>
      </c>
      <c r="AX191">
        <f ca="1">IF(AND(ISNUMBER($AX$861),$B$677=1),$AX$861,HLOOKUP(INDIRECT(ADDRESS(2,COLUMN())),OFFSET($BN$2,0,0,ROW()-1,60),ROW()-1,FALSE))</f>
        <v>0.959564321</v>
      </c>
      <c r="AY191">
        <f ca="1">IF(AND(ISNUMBER($AY$861),$B$677=1),$AY$861,HLOOKUP(INDIRECT(ADDRESS(2,COLUMN())),OFFSET($BN$2,0,0,ROW()-1,60),ROW()-1,FALSE))</f>
        <v>1.6733877450000001</v>
      </c>
      <c r="AZ191">
        <f ca="1">IF(AND(ISNUMBER($AZ$861),$B$677=1),$AZ$861,HLOOKUP(INDIRECT(ADDRESS(2,COLUMN())),OFFSET($BN$2,0,0,ROW()-1,60),ROW()-1,FALSE))</f>
        <v>1.7584472499999999</v>
      </c>
      <c r="BA191">
        <f ca="1">IF(AND(ISNUMBER($BA$861),$B$677=1),$BA$861,HLOOKUP(INDIRECT(ADDRESS(2,COLUMN())),OFFSET($BN$2,0,0,ROW()-1,60),ROW()-1,FALSE))</f>
        <v>2.2473359720000001</v>
      </c>
      <c r="BB191">
        <f ca="1">IF(AND(ISNUMBER($BB$861),$B$677=1),$BB$861,HLOOKUP(INDIRECT(ADDRESS(2,COLUMN())),OFFSET($BN$2,0,0,ROW()-1,60),ROW()-1,FALSE))</f>
        <v>2.0749056700000001</v>
      </c>
      <c r="BC191">
        <f ca="1">IF(AND(ISNUMBER($BC$861),$B$677=1),$BC$861,HLOOKUP(INDIRECT(ADDRESS(2,COLUMN())),OFFSET($BN$2,0,0,ROW()-1,60),ROW()-1,FALSE))</f>
        <v>2.7885012069999999</v>
      </c>
      <c r="BD191">
        <f ca="1">IF(AND(ISNUMBER($BD$861),$B$677=1),$BD$861,HLOOKUP(INDIRECT(ADDRESS(2,COLUMN())),OFFSET($BN$2,0,0,ROW()-1,60),ROW()-1,FALSE))</f>
        <v>2.5772236089999998</v>
      </c>
      <c r="BE191">
        <f ca="1">IF(AND(ISNUMBER($BE$861),$B$677=1),$BE$861,HLOOKUP(INDIRECT(ADDRESS(2,COLUMN())),OFFSET($BN$2,0,0,ROW()-1,60),ROW()-1,FALSE))</f>
        <v>2.6998761519999999</v>
      </c>
      <c r="BF191">
        <f ca="1">IF(AND(ISNUMBER($BF$861),$B$677=1),$BF$861,HLOOKUP(INDIRECT(ADDRESS(2,COLUMN())),OFFSET($BN$2,0,0,ROW()-1,60),ROW()-1,FALSE))</f>
        <v>2.6821580300000001</v>
      </c>
      <c r="BG191">
        <f ca="1">IF(AND(ISNUMBER($BG$861),$B$677=1),$BG$861,HLOOKUP(INDIRECT(ADDRESS(2,COLUMN())),OFFSET($BN$2,0,0,ROW()-1,60),ROW()-1,FALSE))</f>
        <v>2.2084993220000002</v>
      </c>
      <c r="BH191">
        <f ca="1">IF(AND(ISNUMBER($BH$861),$B$677=1),$BH$861,HLOOKUP(INDIRECT(ADDRESS(2,COLUMN())),OFFSET($BN$2,0,0,ROW()-1,60),ROW()-1,FALSE))</f>
        <v>2.1339918199999999</v>
      </c>
      <c r="BI191">
        <f ca="1">IF(AND(ISNUMBER($BI$861),$B$677=1),$BI$861,HLOOKUP(INDIRECT(ADDRESS(2,COLUMN())),OFFSET($BN$2,0,0,ROW()-1,60),ROW()-1,FALSE))</f>
        <v>2.0781850020000001</v>
      </c>
      <c r="BJ191">
        <f ca="1">IF(AND(ISNUMBER($BJ$861),$B$677=1),$BJ$861,HLOOKUP(INDIRECT(ADDRESS(2,COLUMN())),OFFSET($BN$2,0,0,ROW()-1,60),ROW()-1,FALSE))</f>
        <v>1.8208532660000001</v>
      </c>
      <c r="BK191">
        <f ca="1">IF(AND(ISNUMBER($BK$861),$B$677=1),$BK$861,HLOOKUP(INDIRECT(ADDRESS(2,COLUMN())),OFFSET($BN$2,0,0,ROW()-1,60),ROW()-1,FALSE))</f>
        <v>1.7300149499999999</v>
      </c>
      <c r="BL191">
        <f ca="1">IF(AND(ISNUMBER($BL$861),$B$677=1),$BL$861,HLOOKUP(INDIRECT(ADDRESS(2,COLUMN())),OFFSET($BN$2,0,0,ROW()-1,60),ROW()-1,FALSE))</f>
        <v>1.8971716359999999</v>
      </c>
      <c r="BM191">
        <f ca="1">IF(AND(ISNUMBER($BM$861),$B$677=1),$BM$861,HLOOKUP(INDIRECT(ADDRESS(2,COLUMN())),OFFSET($BN$2,0,0,ROW()-1,60),ROW()-1,FALSE))</f>
        <v>2.228858395</v>
      </c>
      <c r="BN191">
        <f>0.695782617</f>
        <v>0.69578261699999999</v>
      </c>
      <c r="BO191">
        <f>0.613846304</f>
        <v>0.61384630399999995</v>
      </c>
      <c r="BP191">
        <f>0.734698757</f>
        <v>0.73469875699999998</v>
      </c>
      <c r="BQ191">
        <f>0.735896154</f>
        <v>0.73589615399999997</v>
      </c>
      <c r="BR191">
        <f>0.765384153</f>
        <v>0.76538415299999996</v>
      </c>
      <c r="BS191">
        <f>0.835883259</f>
        <v>0.83588325900000005</v>
      </c>
      <c r="BT191">
        <f>0.970700323</f>
        <v>0.97070032299999998</v>
      </c>
      <c r="BU191">
        <f>0.912217904</f>
        <v>0.91221790400000002</v>
      </c>
      <c r="BV191">
        <f>0.952327952</f>
        <v>0.95232795199999998</v>
      </c>
      <c r="BW191">
        <f>1.169745495</f>
        <v>1.1697454949999999</v>
      </c>
      <c r="BX191">
        <f>0.965030472</f>
        <v>0.96503047200000003</v>
      </c>
      <c r="BY191">
        <f>0.878125368</f>
        <v>0.87812536799999996</v>
      </c>
      <c r="BZ191">
        <f>1.130848337</f>
        <v>1.130848337</v>
      </c>
      <c r="CA191">
        <f>1.60435903</f>
        <v>1.6043590299999999</v>
      </c>
      <c r="CB191">
        <f>1.076471709</f>
        <v>1.076471709</v>
      </c>
      <c r="CC191">
        <f>1.650668093</f>
        <v>1.6506680929999999</v>
      </c>
      <c r="CD191">
        <f>1.735329658</f>
        <v>1.7353296579999999</v>
      </c>
      <c r="CE191">
        <f>1.869019782</f>
        <v>1.8690197820000001</v>
      </c>
      <c r="CF191">
        <f>2.246390412</f>
        <v>2.2463904119999998</v>
      </c>
      <c r="CG191">
        <f>2.073433106</f>
        <v>2.073433106</v>
      </c>
      <c r="CH191">
        <f>2.146155938</f>
        <v>2.1461559380000002</v>
      </c>
      <c r="CI191">
        <f>2.841489058</f>
        <v>2.8414890580000001</v>
      </c>
      <c r="CJ191">
        <f>2.486738053</f>
        <v>2.4867380529999998</v>
      </c>
      <c r="CK191">
        <f>2.336670055</f>
        <v>2.3366700549999999</v>
      </c>
      <c r="CL191">
        <f>1.765127558</f>
        <v>1.7651275580000001</v>
      </c>
      <c r="CM191">
        <f>1.13338885</f>
        <v>1.13338885</v>
      </c>
      <c r="CN191">
        <f>0.592931901</f>
        <v>0.59293190100000004</v>
      </c>
      <c r="CO191">
        <f>0.709552485</f>
        <v>0.70955248500000001</v>
      </c>
      <c r="CP191">
        <f>0.96666505</f>
        <v>0.96666505000000003</v>
      </c>
      <c r="CQ191">
        <f>0.793325539</f>
        <v>0.79332553900000002</v>
      </c>
      <c r="CR191">
        <f>0.751952411</f>
        <v>0.75195241099999999</v>
      </c>
      <c r="CS191">
        <f>0.964154386</f>
        <v>0.96415438600000003</v>
      </c>
      <c r="CT191">
        <f>0.791712221</f>
        <v>0.79171222100000005</v>
      </c>
      <c r="CU191">
        <f>0.868615403</f>
        <v>0.86861540299999995</v>
      </c>
      <c r="CV191">
        <f>0.742864604</f>
        <v>0.74286460399999998</v>
      </c>
      <c r="CW191">
        <f>0.777717963</f>
        <v>0.77771796299999996</v>
      </c>
      <c r="CX191">
        <f>0.959923456</f>
        <v>0.95992345599999995</v>
      </c>
      <c r="CY191">
        <f>0.792471117</f>
        <v>0.79247111699999995</v>
      </c>
      <c r="CZ191">
        <f>0.693194429</f>
        <v>0.69319442899999995</v>
      </c>
      <c r="DA191">
        <f>0.866754863</f>
        <v>0.86675486300000004</v>
      </c>
      <c r="DB191">
        <f>0.556691504</f>
        <v>0.556691504</v>
      </c>
      <c r="DC191">
        <f>0.398070052</f>
        <v>0.39807005200000001</v>
      </c>
      <c r="DD191">
        <f>1.09193169</f>
        <v>1.09193169</v>
      </c>
      <c r="DE191">
        <f>1.506877496</f>
        <v>1.506877496</v>
      </c>
      <c r="DF191">
        <f>0.959564321</f>
        <v>0.959564321</v>
      </c>
      <c r="DG191">
        <f>1.673387745</f>
        <v>1.6733877450000001</v>
      </c>
      <c r="DH191">
        <f>1.75844725</f>
        <v>1.7584472499999999</v>
      </c>
      <c r="DI191">
        <f>2.247335972</f>
        <v>2.2473359720000001</v>
      </c>
      <c r="DJ191">
        <f>2.07490567</f>
        <v>2.0749056700000001</v>
      </c>
      <c r="DK191">
        <f>2.788501207</f>
        <v>2.7885012069999999</v>
      </c>
      <c r="DL191">
        <f>2.577223609</f>
        <v>2.5772236089999998</v>
      </c>
      <c r="DM191">
        <f>2.699876152</f>
        <v>2.6998761519999999</v>
      </c>
      <c r="DN191">
        <f>2.68215803</f>
        <v>2.6821580300000001</v>
      </c>
      <c r="DO191">
        <f>2.208499322</f>
        <v>2.2084993220000002</v>
      </c>
      <c r="DP191">
        <f>2.13399182</f>
        <v>2.1339918199999999</v>
      </c>
      <c r="DQ191">
        <f>2.078185002</f>
        <v>2.0781850020000001</v>
      </c>
      <c r="DR191">
        <f>1.820853266</f>
        <v>1.8208532660000001</v>
      </c>
      <c r="DS191">
        <f>1.73001495</f>
        <v>1.7300149499999999</v>
      </c>
      <c r="DT191">
        <f>1.897171636</f>
        <v>1.8971716359999999</v>
      </c>
      <c r="DU191">
        <f>2.228858395</f>
        <v>2.228858395</v>
      </c>
    </row>
    <row r="192" spans="1:125" x14ac:dyDescent="0.25">
      <c r="A192" t="str">
        <f>"    Mitsubishi Motors Corp"</f>
        <v xml:space="preserve">    Mitsubishi Motors Corp</v>
      </c>
      <c r="B192" t="str">
        <f>"7211 JP Equity"</f>
        <v>7211 JP Equity</v>
      </c>
      <c r="C192" t="str">
        <f t="shared" si="12"/>
        <v>RX077</v>
      </c>
      <c r="D192" t="str">
        <f t="shared" si="13"/>
        <v>PX_TO_TANG_BOOK_VAL_PER_SH</v>
      </c>
      <c r="E192" t="str">
        <f t="shared" si="14"/>
        <v>Dynamic</v>
      </c>
      <c r="F192">
        <f ca="1">IF(AND(ISNUMBER($F$862),$B$677=1),$F$862,HLOOKUP(INDIRECT(ADDRESS(2,COLUMN())),OFFSET($BN$2,0,0,ROW()-1,60),ROW()-1,FALSE))</f>
        <v>1.1989176530000001</v>
      </c>
      <c r="G192">
        <f ca="1">IF(AND(ISNUMBER($G$862),$B$677=1),$G$862,HLOOKUP(INDIRECT(ADDRESS(2,COLUMN())),OFFSET($BN$2,0,0,ROW()-1,60),ROW()-1,FALSE))</f>
        <v>1.158504698</v>
      </c>
      <c r="H192">
        <f ca="1">IF(AND(ISNUMBER($H$862),$B$677=1),$H$862,HLOOKUP(INDIRECT(ADDRESS(2,COLUMN())),OFFSET($BN$2,0,0,ROW()-1,60),ROW()-1,FALSE))</f>
        <v>1.52820457</v>
      </c>
      <c r="I192">
        <f ca="1">IF(AND(ISNUMBER($I$862),$B$677=1),$I$862,HLOOKUP(INDIRECT(ADDRESS(2,COLUMN())),OFFSET($BN$2,0,0,ROW()-1,60),ROW()-1,FALSE))</f>
        <v>1.751399945</v>
      </c>
      <c r="J192">
        <f ca="1">IF(AND(ISNUMBER($J$862),$B$677=1),$J$862,HLOOKUP(INDIRECT(ADDRESS(2,COLUMN())),OFFSET($BN$2,0,0,ROW()-1,60),ROW()-1,FALSE))</f>
        <v>1.507786898</v>
      </c>
      <c r="K192">
        <f ca="1">IF(AND(ISNUMBER($K$862),$B$677=1),$K$862,HLOOKUP(INDIRECT(ADDRESS(2,COLUMN())),OFFSET($BN$2,0,0,ROW()-1,60),ROW()-1,FALSE))</f>
        <v>1.6741280110000001</v>
      </c>
      <c r="L192">
        <f ca="1">IF(AND(ISNUMBER($L$862),$B$677=1),$L$862,HLOOKUP(INDIRECT(ADDRESS(2,COLUMN())),OFFSET($BN$2,0,0,ROW()-1,60),ROW()-1,FALSE))</f>
        <v>1.8725271960000001</v>
      </c>
      <c r="M192">
        <f ca="1">IF(AND(ISNUMBER($M$862),$B$677=1),$M$862,HLOOKUP(INDIRECT(ADDRESS(2,COLUMN())),OFFSET($BN$2,0,0,ROW()-1,60),ROW()-1,FALSE))</f>
        <v>1.624943877</v>
      </c>
      <c r="N192">
        <f ca="1">IF(AND(ISNUMBER($N$862),$B$677=1),$N$862,HLOOKUP(INDIRECT(ADDRESS(2,COLUMN())),OFFSET($BN$2,0,0,ROW()-1,60),ROW()-1,FALSE))</f>
        <v>1.493372653</v>
      </c>
      <c r="O192">
        <f ca="1">IF(AND(ISNUMBER($O$862),$B$677=1),$O$862,HLOOKUP(INDIRECT(ADDRESS(2,COLUMN())),OFFSET($BN$2,0,0,ROW()-1,60),ROW()-1,FALSE))</f>
        <v>1.51001937</v>
      </c>
      <c r="P192">
        <f ca="1">IF(AND(ISNUMBER($P$862),$B$677=1),$P$862,HLOOKUP(INDIRECT(ADDRESS(2,COLUMN())),OFFSET($BN$2,0,0,ROW()-1,60),ROW()-1,FALSE))</f>
        <v>1.173003681</v>
      </c>
      <c r="Q192">
        <f ca="1">IF(AND(ISNUMBER($Q$862),$B$677=1),$Q$862,HLOOKUP(INDIRECT(ADDRESS(2,COLUMN())),OFFSET($BN$2,0,0,ROW()-1,60),ROW()-1,FALSE))</f>
        <v>0.93721658100000005</v>
      </c>
      <c r="R192">
        <f ca="1">IF(AND(ISNUMBER($R$862),$B$677=1),$R$862,HLOOKUP(INDIRECT(ADDRESS(2,COLUMN())),OFFSET($BN$2,0,0,ROW()-1,60),ROW()-1,FALSE))</f>
        <v>1.266427121</v>
      </c>
      <c r="S192">
        <f ca="1">IF(AND(ISNUMBER($S$862),$B$677=1),$S$862,HLOOKUP(INDIRECT(ADDRESS(2,COLUMN())),OFFSET($BN$2,0,0,ROW()-1,60),ROW()-1,FALSE))</f>
        <v>1.4942412300000001</v>
      </c>
      <c r="T192">
        <f ca="1">IF(AND(ISNUMBER($T$862),$B$677=1),$T$862,HLOOKUP(INDIRECT(ADDRESS(2,COLUMN())),OFFSET($BN$2,0,0,ROW()-1,60),ROW()-1,FALSE))</f>
        <v>1.3574050280000001</v>
      </c>
      <c r="U192">
        <f ca="1">IF(AND(ISNUMBER($U$862),$B$677=1),$U$862,HLOOKUP(INDIRECT(ADDRESS(2,COLUMN())),OFFSET($BN$2,0,0,ROW()-1,60),ROW()-1,FALSE))</f>
        <v>1.559213051</v>
      </c>
      <c r="V192">
        <f ca="1">IF(AND(ISNUMBER($V$862),$B$677=1),$V$862,HLOOKUP(INDIRECT(ADDRESS(2,COLUMN())),OFFSET($BN$2,0,0,ROW()-1,60),ROW()-1,FALSE))</f>
        <v>1.6553146860000001</v>
      </c>
      <c r="W192">
        <f ca="1">IF(AND(ISNUMBER($W$862),$B$677=1),$W$862,HLOOKUP(INDIRECT(ADDRESS(2,COLUMN())),OFFSET($BN$2,0,0,ROW()-1,60),ROW()-1,FALSE))</f>
        <v>1.7180832580000001</v>
      </c>
      <c r="X192">
        <f ca="1">IF(AND(ISNUMBER($X$862),$B$677=1),$X$862,HLOOKUP(INDIRECT(ADDRESS(2,COLUMN())),OFFSET($BN$2,0,0,ROW()-1,60),ROW()-1,FALSE))</f>
        <v>2.2493331379999999</v>
      </c>
      <c r="Y192">
        <f ca="1">IF(AND(ISNUMBER($Y$862),$B$677=1),$Y$862,HLOOKUP(INDIRECT(ADDRESS(2,COLUMN())),OFFSET($BN$2,0,0,ROW()-1,60),ROW()-1,FALSE))</f>
        <v>2.062729467</v>
      </c>
      <c r="Z192">
        <f ca="1">IF(AND(ISNUMBER($Z$862),$B$677=1),$Z$862,HLOOKUP(INDIRECT(ADDRESS(2,COLUMN())),OFFSET($BN$2,0,0,ROW()-1,60),ROW()-1,FALSE))</f>
        <v>2.0131270749999999</v>
      </c>
      <c r="AA192">
        <f ca="1">IF(AND(ISNUMBER($AA$862),$B$677=1),$AA$862,HLOOKUP(INDIRECT(ADDRESS(2,COLUMN())),OFFSET($BN$2,0,0,ROW()-1,60),ROW()-1,FALSE))</f>
        <v>16.464409459999999</v>
      </c>
      <c r="AB192" t="str">
        <f ca="1">IF(AND(ISNUMBER($AB$862),$B$677=1),$AB$862,HLOOKUP(INDIRECT(ADDRESS(2,COLUMN())),OFFSET($BN$2,0,0,ROW()-1,60),ROW()-1,FALSE))</f>
        <v/>
      </c>
      <c r="AC192" t="str">
        <f ca="1">IF(AND(ISNUMBER($AC$862),$B$677=1),$AC$862,HLOOKUP(INDIRECT(ADDRESS(2,COLUMN())),OFFSET($BN$2,0,0,ROW()-1,60),ROW()-1,FALSE))</f>
        <v/>
      </c>
      <c r="AD192" t="str">
        <f ca="1">IF(AND(ISNUMBER($AD$862),$B$677=1),$AD$862,HLOOKUP(INDIRECT(ADDRESS(2,COLUMN())),OFFSET($BN$2,0,0,ROW()-1,60),ROW()-1,FALSE))</f>
        <v/>
      </c>
      <c r="AE192" t="str">
        <f ca="1">IF(AND(ISNUMBER($AE$862),$B$677=1),$AE$862,HLOOKUP(INDIRECT(ADDRESS(2,COLUMN())),OFFSET($BN$2,0,0,ROW()-1,60),ROW()-1,FALSE))</f>
        <v/>
      </c>
      <c r="AF192" t="str">
        <f ca="1">IF(AND(ISNUMBER($AF$862),$B$677=1),$AF$862,HLOOKUP(INDIRECT(ADDRESS(2,COLUMN())),OFFSET($BN$2,0,0,ROW()-1,60),ROW()-1,FALSE))</f>
        <v/>
      </c>
      <c r="AG192" t="str">
        <f ca="1">IF(AND(ISNUMBER($AG$862),$B$677=1),$AG$862,HLOOKUP(INDIRECT(ADDRESS(2,COLUMN())),OFFSET($BN$2,0,0,ROW()-1,60),ROW()-1,FALSE))</f>
        <v/>
      </c>
      <c r="AH192" t="str">
        <f ca="1">IF(AND(ISNUMBER($AH$862),$B$677=1),$AH$862,HLOOKUP(INDIRECT(ADDRESS(2,COLUMN())),OFFSET($BN$2,0,0,ROW()-1,60),ROW()-1,FALSE))</f>
        <v/>
      </c>
      <c r="AI192" t="str">
        <f ca="1">IF(AND(ISNUMBER($AI$862),$B$677=1),$AI$862,HLOOKUP(INDIRECT(ADDRESS(2,COLUMN())),OFFSET($BN$2,0,0,ROW()-1,60),ROW()-1,FALSE))</f>
        <v/>
      </c>
      <c r="AJ192" t="str">
        <f ca="1">IF(AND(ISNUMBER($AJ$862),$B$677=1),$AJ$862,HLOOKUP(INDIRECT(ADDRESS(2,COLUMN())),OFFSET($BN$2,0,0,ROW()-1,60),ROW()-1,FALSE))</f>
        <v/>
      </c>
      <c r="AK192" t="str">
        <f ca="1">IF(AND(ISNUMBER($AK$862),$B$677=1),$AK$862,HLOOKUP(INDIRECT(ADDRESS(2,COLUMN())),OFFSET($BN$2,0,0,ROW()-1,60),ROW()-1,FALSE))</f>
        <v/>
      </c>
      <c r="AL192" t="str">
        <f ca="1">IF(AND(ISNUMBER($AL$862),$B$677=1),$AL$862,HLOOKUP(INDIRECT(ADDRESS(2,COLUMN())),OFFSET($BN$2,0,0,ROW()-1,60),ROW()-1,FALSE))</f>
        <v/>
      </c>
      <c r="AM192" t="str">
        <f ca="1">IF(AND(ISNUMBER($AM$862),$B$677=1),$AM$862,HLOOKUP(INDIRECT(ADDRESS(2,COLUMN())),OFFSET($BN$2,0,0,ROW()-1,60),ROW()-1,FALSE))</f>
        <v/>
      </c>
      <c r="AN192" t="str">
        <f ca="1">IF(AND(ISNUMBER($AN$862),$B$677=1),$AN$862,HLOOKUP(INDIRECT(ADDRESS(2,COLUMN())),OFFSET($BN$2,0,0,ROW()-1,60),ROW()-1,FALSE))</f>
        <v/>
      </c>
      <c r="AO192" t="str">
        <f ca="1">IF(AND(ISNUMBER($AO$862),$B$677=1),$AO$862,HLOOKUP(INDIRECT(ADDRESS(2,COLUMN())),OFFSET($BN$2,0,0,ROW()-1,60),ROW()-1,FALSE))</f>
        <v/>
      </c>
      <c r="AP192" t="str">
        <f ca="1">IF(AND(ISNUMBER($AP$862),$B$677=1),$AP$862,HLOOKUP(INDIRECT(ADDRESS(2,COLUMN())),OFFSET($BN$2,0,0,ROW()-1,60),ROW()-1,FALSE))</f>
        <v/>
      </c>
      <c r="AQ192" t="str">
        <f ca="1">IF(AND(ISNUMBER($AQ$862),$B$677=1),$AQ$862,HLOOKUP(INDIRECT(ADDRESS(2,COLUMN())),OFFSET($BN$2,0,0,ROW()-1,60),ROW()-1,FALSE))</f>
        <v/>
      </c>
      <c r="AR192" t="str">
        <f ca="1">IF(AND(ISNUMBER($AR$862),$B$677=1),$AR$862,HLOOKUP(INDIRECT(ADDRESS(2,COLUMN())),OFFSET($BN$2,0,0,ROW()-1,60),ROW()-1,FALSE))</f>
        <v/>
      </c>
      <c r="AS192" t="str">
        <f ca="1">IF(AND(ISNUMBER($AS$862),$B$677=1),$AS$862,HLOOKUP(INDIRECT(ADDRESS(2,COLUMN())),OFFSET($BN$2,0,0,ROW()-1,60),ROW()-1,FALSE))</f>
        <v/>
      </c>
      <c r="AT192" t="str">
        <f ca="1">IF(AND(ISNUMBER($AT$862),$B$677=1),$AT$862,HLOOKUP(INDIRECT(ADDRESS(2,COLUMN())),OFFSET($BN$2,0,0,ROW()-1,60),ROW()-1,FALSE))</f>
        <v/>
      </c>
      <c r="AU192" t="str">
        <f ca="1">IF(AND(ISNUMBER($AU$862),$B$677=1),$AU$862,HLOOKUP(INDIRECT(ADDRESS(2,COLUMN())),OFFSET($BN$2,0,0,ROW()-1,60),ROW()-1,FALSE))</f>
        <v/>
      </c>
      <c r="AV192" t="str">
        <f ca="1">IF(AND(ISNUMBER($AV$862),$B$677=1),$AV$862,HLOOKUP(INDIRECT(ADDRESS(2,COLUMN())),OFFSET($BN$2,0,0,ROW()-1,60),ROW()-1,FALSE))</f>
        <v/>
      </c>
      <c r="AW192" t="str">
        <f ca="1">IF(AND(ISNUMBER($AW$862),$B$677=1),$AW$862,HLOOKUP(INDIRECT(ADDRESS(2,COLUMN())),OFFSET($BN$2,0,0,ROW()-1,60),ROW()-1,FALSE))</f>
        <v/>
      </c>
      <c r="AX192" t="str">
        <f ca="1">IF(AND(ISNUMBER($AX$862),$B$677=1),$AX$862,HLOOKUP(INDIRECT(ADDRESS(2,COLUMN())),OFFSET($BN$2,0,0,ROW()-1,60),ROW()-1,FALSE))</f>
        <v/>
      </c>
      <c r="AY192" t="str">
        <f ca="1">IF(AND(ISNUMBER($AY$862),$B$677=1),$AY$862,HLOOKUP(INDIRECT(ADDRESS(2,COLUMN())),OFFSET($BN$2,0,0,ROW()-1,60),ROW()-1,FALSE))</f>
        <v/>
      </c>
      <c r="AZ192" t="str">
        <f ca="1">IF(AND(ISNUMBER($AZ$862),$B$677=1),$AZ$862,HLOOKUP(INDIRECT(ADDRESS(2,COLUMN())),OFFSET($BN$2,0,0,ROW()-1,60),ROW()-1,FALSE))</f>
        <v/>
      </c>
      <c r="BA192" t="str">
        <f ca="1">IF(AND(ISNUMBER($BA$862),$B$677=1),$BA$862,HLOOKUP(INDIRECT(ADDRESS(2,COLUMN())),OFFSET($BN$2,0,0,ROW()-1,60),ROW()-1,FALSE))</f>
        <v/>
      </c>
      <c r="BB192" t="str">
        <f ca="1">IF(AND(ISNUMBER($BB$862),$B$677=1),$BB$862,HLOOKUP(INDIRECT(ADDRESS(2,COLUMN())),OFFSET($BN$2,0,0,ROW()-1,60),ROW()-1,FALSE))</f>
        <v/>
      </c>
      <c r="BC192" t="str">
        <f ca="1">IF(AND(ISNUMBER($BC$862),$B$677=1),$BC$862,HLOOKUP(INDIRECT(ADDRESS(2,COLUMN())),OFFSET($BN$2,0,0,ROW()-1,60),ROW()-1,FALSE))</f>
        <v/>
      </c>
      <c r="BD192" t="str">
        <f ca="1">IF(AND(ISNUMBER($BD$862),$B$677=1),$BD$862,HLOOKUP(INDIRECT(ADDRESS(2,COLUMN())),OFFSET($BN$2,0,0,ROW()-1,60),ROW()-1,FALSE))</f>
        <v/>
      </c>
      <c r="BE192" t="str">
        <f ca="1">IF(AND(ISNUMBER($BE$862),$B$677=1),$BE$862,HLOOKUP(INDIRECT(ADDRESS(2,COLUMN())),OFFSET($BN$2,0,0,ROW()-1,60),ROW()-1,FALSE))</f>
        <v/>
      </c>
      <c r="BF192" t="str">
        <f ca="1">IF(AND(ISNUMBER($BF$862),$B$677=1),$BF$862,HLOOKUP(INDIRECT(ADDRESS(2,COLUMN())),OFFSET($BN$2,0,0,ROW()-1,60),ROW()-1,FALSE))</f>
        <v/>
      </c>
      <c r="BG192" t="str">
        <f ca="1">IF(AND(ISNUMBER($BG$862),$B$677=1),$BG$862,HLOOKUP(INDIRECT(ADDRESS(2,COLUMN())),OFFSET($BN$2,0,0,ROW()-1,60),ROW()-1,FALSE))</f>
        <v/>
      </c>
      <c r="BH192" t="str">
        <f ca="1">IF(AND(ISNUMBER($BH$862),$B$677=1),$BH$862,HLOOKUP(INDIRECT(ADDRESS(2,COLUMN())),OFFSET($BN$2,0,0,ROW()-1,60),ROW()-1,FALSE))</f>
        <v/>
      </c>
      <c r="BI192" t="str">
        <f ca="1">IF(AND(ISNUMBER($BI$862),$B$677=1),$BI$862,HLOOKUP(INDIRECT(ADDRESS(2,COLUMN())),OFFSET($BN$2,0,0,ROW()-1,60),ROW()-1,FALSE))</f>
        <v/>
      </c>
      <c r="BJ192" t="str">
        <f ca="1">IF(AND(ISNUMBER($BJ$862),$B$677=1),$BJ$862,HLOOKUP(INDIRECT(ADDRESS(2,COLUMN())),OFFSET($BN$2,0,0,ROW()-1,60),ROW()-1,FALSE))</f>
        <v/>
      </c>
      <c r="BK192" t="str">
        <f ca="1">IF(AND(ISNUMBER($BK$862),$B$677=1),$BK$862,HLOOKUP(INDIRECT(ADDRESS(2,COLUMN())),OFFSET($BN$2,0,0,ROW()-1,60),ROW()-1,FALSE))</f>
        <v/>
      </c>
      <c r="BL192" t="str">
        <f ca="1">IF(AND(ISNUMBER($BL$862),$B$677=1),$BL$862,HLOOKUP(INDIRECT(ADDRESS(2,COLUMN())),OFFSET($BN$2,0,0,ROW()-1,60),ROW()-1,FALSE))</f>
        <v/>
      </c>
      <c r="BM192">
        <f ca="1">IF(AND(ISNUMBER($BM$862),$B$677=1),$BM$862,HLOOKUP(INDIRECT(ADDRESS(2,COLUMN())),OFFSET($BN$2,0,0,ROW()-1,60),ROW()-1,FALSE))</f>
        <v>1067.129306</v>
      </c>
      <c r="BN192">
        <f>1.198917653</f>
        <v>1.1989176530000001</v>
      </c>
      <c r="BO192">
        <f>1.158504698</f>
        <v>1.158504698</v>
      </c>
      <c r="BP192">
        <f>1.52820457</f>
        <v>1.52820457</v>
      </c>
      <c r="BQ192">
        <f>1.751399945</f>
        <v>1.751399945</v>
      </c>
      <c r="BR192">
        <f>1.507786898</f>
        <v>1.507786898</v>
      </c>
      <c r="BS192">
        <f>1.674128011</f>
        <v>1.6741280110000001</v>
      </c>
      <c r="BT192">
        <f>1.872527196</f>
        <v>1.8725271960000001</v>
      </c>
      <c r="BU192">
        <f>1.624943877</f>
        <v>1.624943877</v>
      </c>
      <c r="BV192">
        <f>1.493372653</f>
        <v>1.493372653</v>
      </c>
      <c r="BW192">
        <f>1.51001937</f>
        <v>1.51001937</v>
      </c>
      <c r="BX192">
        <f>1.173003681</f>
        <v>1.173003681</v>
      </c>
      <c r="BY192">
        <f>0.937216581</f>
        <v>0.93721658100000005</v>
      </c>
      <c r="BZ192">
        <f>1.266427121</f>
        <v>1.266427121</v>
      </c>
      <c r="CA192">
        <f>1.49424123</f>
        <v>1.4942412300000001</v>
      </c>
      <c r="CB192">
        <f>1.357405028</f>
        <v>1.3574050280000001</v>
      </c>
      <c r="CC192">
        <f>1.559213051</f>
        <v>1.559213051</v>
      </c>
      <c r="CD192">
        <f>1.655314686</f>
        <v>1.6553146860000001</v>
      </c>
      <c r="CE192">
        <f>1.718083258</f>
        <v>1.7180832580000001</v>
      </c>
      <c r="CF192">
        <f>2.249333138</f>
        <v>2.2493331379999999</v>
      </c>
      <c r="CG192">
        <f>2.062729467</f>
        <v>2.062729467</v>
      </c>
      <c r="CH192">
        <f>2.013127075</f>
        <v>2.0131270749999999</v>
      </c>
      <c r="CI192">
        <f>16.46440946</f>
        <v>16.464409459999999</v>
      </c>
      <c r="CJ192" t="str">
        <f>""</f>
        <v/>
      </c>
      <c r="CK192" t="str">
        <f>""</f>
        <v/>
      </c>
      <c r="CL192" t="str">
        <f>""</f>
        <v/>
      </c>
      <c r="CM192" t="str">
        <f>""</f>
        <v/>
      </c>
      <c r="CN192" t="str">
        <f>""</f>
        <v/>
      </c>
      <c r="CO192" t="str">
        <f>""</f>
        <v/>
      </c>
      <c r="CP192" t="str">
        <f>""</f>
        <v/>
      </c>
      <c r="CQ192" t="str">
        <f>""</f>
        <v/>
      </c>
      <c r="CR192" t="str">
        <f>""</f>
        <v/>
      </c>
      <c r="CS192" t="str">
        <f>""</f>
        <v/>
      </c>
      <c r="CT192" t="str">
        <f>""</f>
        <v/>
      </c>
      <c r="CU192" t="str">
        <f>""</f>
        <v/>
      </c>
      <c r="CV192" t="str">
        <f>""</f>
        <v/>
      </c>
      <c r="CW192" t="str">
        <f>""</f>
        <v/>
      </c>
      <c r="CX192" t="str">
        <f>""</f>
        <v/>
      </c>
      <c r="CY192" t="str">
        <f>""</f>
        <v/>
      </c>
      <c r="CZ192" t="str">
        <f>""</f>
        <v/>
      </c>
      <c r="DA192" t="str">
        <f>""</f>
        <v/>
      </c>
      <c r="DB192" t="str">
        <f>""</f>
        <v/>
      </c>
      <c r="DC192" t="str">
        <f>""</f>
        <v/>
      </c>
      <c r="DD192" t="str">
        <f>""</f>
        <v/>
      </c>
      <c r="DE192" t="str">
        <f>""</f>
        <v/>
      </c>
      <c r="DF192" t="str">
        <f>""</f>
        <v/>
      </c>
      <c r="DG192" t="str">
        <f>""</f>
        <v/>
      </c>
      <c r="DH192" t="str">
        <f>""</f>
        <v/>
      </c>
      <c r="DI192" t="str">
        <f>""</f>
        <v/>
      </c>
      <c r="DJ192" t="str">
        <f>""</f>
        <v/>
      </c>
      <c r="DK192" t="str">
        <f>""</f>
        <v/>
      </c>
      <c r="DL192" t="str">
        <f>""</f>
        <v/>
      </c>
      <c r="DM192" t="str">
        <f>""</f>
        <v/>
      </c>
      <c r="DN192" t="str">
        <f>""</f>
        <v/>
      </c>
      <c r="DO192" t="str">
        <f>""</f>
        <v/>
      </c>
      <c r="DP192" t="str">
        <f>""</f>
        <v/>
      </c>
      <c r="DQ192" t="str">
        <f>""</f>
        <v/>
      </c>
      <c r="DR192" t="str">
        <f>""</f>
        <v/>
      </c>
      <c r="DS192" t="str">
        <f>""</f>
        <v/>
      </c>
      <c r="DT192" t="str">
        <f>""</f>
        <v/>
      </c>
      <c r="DU192">
        <f>1067.129306</f>
        <v>1067.129306</v>
      </c>
    </row>
    <row r="193" spans="1:125" x14ac:dyDescent="0.25">
      <c r="A193" t="str">
        <f>"    Nissan Motor Co Ltd"</f>
        <v xml:space="preserve">    Nissan Motor Co Ltd</v>
      </c>
      <c r="B193" t="str">
        <f>"7201 JP Equity"</f>
        <v>7201 JP Equity</v>
      </c>
      <c r="C193" t="str">
        <f t="shared" si="12"/>
        <v>RX077</v>
      </c>
      <c r="D193" t="str">
        <f t="shared" si="13"/>
        <v>PX_TO_TANG_BOOK_VAL_PER_SH</v>
      </c>
      <c r="E193" t="str">
        <f t="shared" si="14"/>
        <v>Dynamic</v>
      </c>
      <c r="F193">
        <f ca="1">IF(AND(ISNUMBER($F$863),$B$677=1),$F$863,HLOOKUP(INDIRECT(ADDRESS(2,COLUMN())),OFFSET($BN$2,0,0,ROW()-1,60),ROW()-1,FALSE))</f>
        <v>0.71112750800000002</v>
      </c>
      <c r="G193">
        <f ca="1">IF(AND(ISNUMBER($G$863),$B$677=1),$G$863,HLOOKUP(INDIRECT(ADDRESS(2,COLUMN())),OFFSET($BN$2,0,0,ROW()-1,60),ROW()-1,FALSE))</f>
        <v>0.66062214600000002</v>
      </c>
      <c r="H193">
        <f ca="1">IF(AND(ISNUMBER($H$863),$B$677=1),$H$863,HLOOKUP(INDIRECT(ADDRESS(2,COLUMN())),OFFSET($BN$2,0,0,ROW()-1,60),ROW()-1,FALSE))</f>
        <v>0.77727937899999999</v>
      </c>
      <c r="I193">
        <f ca="1">IF(AND(ISNUMBER($I$863),$B$677=1),$I$863,HLOOKUP(INDIRECT(ADDRESS(2,COLUMN())),OFFSET($BN$2,0,0,ROW()-1,60),ROW()-1,FALSE))</f>
        <v>0.814432771</v>
      </c>
      <c r="J193">
        <f ca="1">IF(AND(ISNUMBER($J$863),$B$677=1),$J$863,HLOOKUP(INDIRECT(ADDRESS(2,COLUMN())),OFFSET($BN$2,0,0,ROW()-1,60),ROW()-1,FALSE))</f>
        <v>0.82134722100000002</v>
      </c>
      <c r="K193">
        <f ca="1">IF(AND(ISNUMBER($K$863),$B$677=1),$K$863,HLOOKUP(INDIRECT(ADDRESS(2,COLUMN())),OFFSET($BN$2,0,0,ROW()-1,60),ROW()-1,FALSE))</f>
        <v>0.848286808</v>
      </c>
      <c r="L193">
        <f ca="1">IF(AND(ISNUMBER($L$863),$B$677=1),$L$863,HLOOKUP(INDIRECT(ADDRESS(2,COLUMN())),OFFSET($BN$2,0,0,ROW()-1,60),ROW()-1,FALSE))</f>
        <v>0.87991473399999998</v>
      </c>
      <c r="M193">
        <f ca="1">IF(AND(ISNUMBER($M$863),$B$677=1),$M$863,HLOOKUP(INDIRECT(ADDRESS(2,COLUMN())),OFFSET($BN$2,0,0,ROW()-1,60),ROW()-1,FALSE))</f>
        <v>0.91942047199999999</v>
      </c>
      <c r="N193">
        <f ca="1">IF(AND(ISNUMBER($N$863),$B$677=1),$N$863,HLOOKUP(INDIRECT(ADDRESS(2,COLUMN())),OFFSET($BN$2,0,0,ROW()-1,60),ROW()-1,FALSE))</f>
        <v>0.88694907899999997</v>
      </c>
      <c r="O193">
        <f ca="1">IF(AND(ISNUMBER($O$863),$B$677=1),$O$863,HLOOKUP(INDIRECT(ADDRESS(2,COLUMN())),OFFSET($BN$2,0,0,ROW()-1,60),ROW()-1,FALSE))</f>
        <v>1.0580788999999999</v>
      </c>
      <c r="P193">
        <f ca="1">IF(AND(ISNUMBER($P$863),$B$677=1),$P$863,HLOOKUP(INDIRECT(ADDRESS(2,COLUMN())),OFFSET($BN$2,0,0,ROW()-1,60),ROW()-1,FALSE))</f>
        <v>0.95047238999999994</v>
      </c>
      <c r="Q193">
        <f ca="1">IF(AND(ISNUMBER($Q$863),$B$677=1),$Q$863,HLOOKUP(INDIRECT(ADDRESS(2,COLUMN())),OFFSET($BN$2,0,0,ROW()-1,60),ROW()-1,FALSE))</f>
        <v>0.87694633600000005</v>
      </c>
      <c r="R193">
        <f ca="1">IF(AND(ISNUMBER($R$863),$B$677=1),$R$863,HLOOKUP(INDIRECT(ADDRESS(2,COLUMN())),OFFSET($BN$2,0,0,ROW()-1,60),ROW()-1,FALSE))</f>
        <v>0.94567471299999994</v>
      </c>
      <c r="S193">
        <f ca="1">IF(AND(ISNUMBER($S$863),$B$677=1),$S$863,HLOOKUP(INDIRECT(ADDRESS(2,COLUMN())),OFFSET($BN$2,0,0,ROW()-1,60),ROW()-1,FALSE))</f>
        <v>1.1149251140000001</v>
      </c>
      <c r="T193">
        <f ca="1">IF(AND(ISNUMBER($T$863),$B$677=1),$T$863,HLOOKUP(INDIRECT(ADDRESS(2,COLUMN())),OFFSET($BN$2,0,0,ROW()-1,60),ROW()-1,FALSE))</f>
        <v>0.95248517300000002</v>
      </c>
      <c r="U193">
        <f ca="1">IF(AND(ISNUMBER($U$863),$B$677=1),$U$863,HLOOKUP(INDIRECT(ADDRESS(2,COLUMN())),OFFSET($BN$2,0,0,ROW()-1,60),ROW()-1,FALSE))</f>
        <v>1.1107107899999999</v>
      </c>
      <c r="V193">
        <f ca="1">IF(AND(ISNUMBER($V$863),$B$677=1),$V$863,HLOOKUP(INDIRECT(ADDRESS(2,COLUMN())),OFFSET($BN$2,0,0,ROW()-1,60),ROW()-1,FALSE))</f>
        <v>1.0869528100000001</v>
      </c>
      <c r="W193">
        <f ca="1">IF(AND(ISNUMBER($W$863),$B$677=1),$W$863,HLOOKUP(INDIRECT(ADDRESS(2,COLUMN())),OFFSET($BN$2,0,0,ROW()-1,60),ROW()-1,FALSE))</f>
        <v>0.96384811400000003</v>
      </c>
      <c r="X193">
        <f ca="1">IF(AND(ISNUMBER($X$863),$B$677=1),$X$863,HLOOKUP(INDIRECT(ADDRESS(2,COLUMN())),OFFSET($BN$2,0,0,ROW()-1,60),ROW()-1,FALSE))</f>
        <v>1.01672111</v>
      </c>
      <c r="Y193">
        <f ca="1">IF(AND(ISNUMBER($Y$863),$B$677=1),$Y$863,HLOOKUP(INDIRECT(ADDRESS(2,COLUMN())),OFFSET($BN$2,0,0,ROW()-1,60),ROW()-1,FALSE))</f>
        <v>0.96174057999999996</v>
      </c>
      <c r="Z193">
        <f ca="1">IF(AND(ISNUMBER($Z$863),$B$677=1),$Z$863,HLOOKUP(INDIRECT(ADDRESS(2,COLUMN())),OFFSET($BN$2,0,0,ROW()-1,60),ROW()-1,FALSE))</f>
        <v>0.90765010000000002</v>
      </c>
      <c r="AA193">
        <f ca="1">IF(AND(ISNUMBER($AA$863),$B$677=1),$AA$863,HLOOKUP(INDIRECT(ADDRESS(2,COLUMN())),OFFSET($BN$2,0,0,ROW()-1,60),ROW()-1,FALSE))</f>
        <v>0.89583682799999997</v>
      </c>
      <c r="AB193">
        <f ca="1">IF(AND(ISNUMBER($AB$863),$B$677=1),$AB$863,HLOOKUP(INDIRECT(ADDRESS(2,COLUMN())),OFFSET($BN$2,0,0,ROW()-1,60),ROW()-1,FALSE))</f>
        <v>1.040255712</v>
      </c>
      <c r="AC193">
        <f ca="1">IF(AND(ISNUMBER($AC$863),$B$677=1),$AC$863,HLOOKUP(INDIRECT(ADDRESS(2,COLUMN())),OFFSET($BN$2,0,0,ROW()-1,60),ROW()-1,FALSE))</f>
        <v>1.1082956129999999</v>
      </c>
      <c r="AD193">
        <f ca="1">IF(AND(ISNUMBER($AD$863),$B$677=1),$AD$863,HLOOKUP(INDIRECT(ADDRESS(2,COLUMN())),OFFSET($BN$2,0,0,ROW()-1,60),ROW()-1,FALSE))</f>
        <v>1.036705234</v>
      </c>
      <c r="AE193">
        <f ca="1">IF(AND(ISNUMBER($AE$863),$B$677=1),$AE$863,HLOOKUP(INDIRECT(ADDRESS(2,COLUMN())),OFFSET($BN$2,0,0,ROW()-1,60),ROW()-1,FALSE))</f>
        <v>1.043404169</v>
      </c>
      <c r="AF193">
        <f ca="1">IF(AND(ISNUMBER($AF$863),$B$677=1),$AF$863,HLOOKUP(INDIRECT(ADDRESS(2,COLUMN())),OFFSET($BN$2,0,0,ROW()-1,60),ROW()-1,FALSE))</f>
        <v>0.91280090800000002</v>
      </c>
      <c r="AG193">
        <f ca="1">IF(AND(ISNUMBER($AG$863),$B$677=1),$AG$863,HLOOKUP(INDIRECT(ADDRESS(2,COLUMN())),OFFSET($BN$2,0,0,ROW()-1,60),ROW()-1,FALSE))</f>
        <v>1.0540591050000001</v>
      </c>
      <c r="AH193">
        <f ca="1">IF(AND(ISNUMBER($AH$863),$B$677=1),$AH$863,HLOOKUP(INDIRECT(ADDRESS(2,COLUMN())),OFFSET($BN$2,0,0,ROW()-1,60),ROW()-1,FALSE))</f>
        <v>1.2190643350000001</v>
      </c>
      <c r="AI193">
        <f ca="1">IF(AND(ISNUMBER($AI$863),$B$677=1),$AI$863,HLOOKUP(INDIRECT(ADDRESS(2,COLUMN())),OFFSET($BN$2,0,0,ROW()-1,60),ROW()-1,FALSE))</f>
        <v>1.034727739</v>
      </c>
      <c r="AJ193">
        <f ca="1">IF(AND(ISNUMBER($AJ$863),$B$677=1),$AJ$863,HLOOKUP(INDIRECT(ADDRESS(2,COLUMN())),OFFSET($BN$2,0,0,ROW()-1,60),ROW()-1,FALSE))</f>
        <v>1.040933138</v>
      </c>
      <c r="AK193">
        <f ca="1">IF(AND(ISNUMBER($AK$863),$B$677=1),$AK$863,HLOOKUP(INDIRECT(ADDRESS(2,COLUMN())),OFFSET($BN$2,0,0,ROW()-1,60),ROW()-1,FALSE))</f>
        <v>1.2273609560000001</v>
      </c>
      <c r="AL193">
        <f ca="1">IF(AND(ISNUMBER($AL$863),$B$677=1),$AL$863,HLOOKUP(INDIRECT(ADDRESS(2,COLUMN())),OFFSET($BN$2,0,0,ROW()-1,60),ROW()-1,FALSE))</f>
        <v>1.0986078619999999</v>
      </c>
      <c r="AM193">
        <f ca="1">IF(AND(ISNUMBER($AM$863),$B$677=1),$AM$863,HLOOKUP(INDIRECT(ADDRESS(2,COLUMN())),OFFSET($BN$2,0,0,ROW()-1,60),ROW()-1,FALSE))</f>
        <v>1.186317142</v>
      </c>
      <c r="AN193">
        <f ca="1">IF(AND(ISNUMBER($AN$863),$B$677=1),$AN$863,HLOOKUP(INDIRECT(ADDRESS(2,COLUMN())),OFFSET($BN$2,0,0,ROW()-1,60),ROW()-1,FALSE))</f>
        <v>1.1294874319999999</v>
      </c>
      <c r="AO193">
        <f ca="1">IF(AND(ISNUMBER($AO$863),$B$677=1),$AO$863,HLOOKUP(INDIRECT(ADDRESS(2,COLUMN())),OFFSET($BN$2,0,0,ROW()-1,60),ROW()-1,FALSE))</f>
        <v>0.98945642600000006</v>
      </c>
      <c r="AP193">
        <f ca="1">IF(AND(ISNUMBER($AP$863),$B$677=1),$AP$863,HLOOKUP(INDIRECT(ADDRESS(2,COLUMN())),OFFSET($BN$2,0,0,ROW()-1,60),ROW()-1,FALSE))</f>
        <v>1.273049326</v>
      </c>
      <c r="AQ193">
        <f ca="1">IF(AND(ISNUMBER($AQ$863),$B$677=1),$AQ$863,HLOOKUP(INDIRECT(ADDRESS(2,COLUMN())),OFFSET($BN$2,0,0,ROW()-1,60),ROW()-1,FALSE))</f>
        <v>1.2987974470000001</v>
      </c>
      <c r="AR193">
        <f ca="1">IF(AND(ISNUMBER($AR$863),$B$677=1),$AR$863,HLOOKUP(INDIRECT(ADDRESS(2,COLUMN())),OFFSET($BN$2,0,0,ROW()-1,60),ROW()-1,FALSE))</f>
        <v>1.0143233439999999</v>
      </c>
      <c r="AS193">
        <f ca="1">IF(AND(ISNUMBER($AS$863),$B$677=1),$AS$863,HLOOKUP(INDIRECT(ADDRESS(2,COLUMN())),OFFSET($BN$2,0,0,ROW()-1,60),ROW()-1,FALSE))</f>
        <v>0.95423158200000002</v>
      </c>
      <c r="AT193">
        <f ca="1">IF(AND(ISNUMBER($AT$863),$B$677=1),$AT$863,HLOOKUP(INDIRECT(ADDRESS(2,COLUMN())),OFFSET($BN$2,0,0,ROW()-1,60),ROW()-1,FALSE))</f>
        <v>0.57941626999999996</v>
      </c>
      <c r="AU193">
        <f ca="1">IF(AND(ISNUMBER($AU$863),$B$677=1),$AU$863,HLOOKUP(INDIRECT(ADDRESS(2,COLUMN())),OFFSET($BN$2,0,0,ROW()-1,60),ROW()-1,FALSE))</f>
        <v>0.47526145600000003</v>
      </c>
      <c r="AV193">
        <f ca="1">IF(AND(ISNUMBER($AV$863),$B$677=1),$AV$863,HLOOKUP(INDIRECT(ADDRESS(2,COLUMN())),OFFSET($BN$2,0,0,ROW()-1,60),ROW()-1,FALSE))</f>
        <v>0.85036088099999996</v>
      </c>
      <c r="AW193">
        <f ca="1">IF(AND(ISNUMBER($AW$863),$B$677=1),$AW$863,HLOOKUP(INDIRECT(ADDRESS(2,COLUMN())),OFFSET($BN$2,0,0,ROW()-1,60),ROW()-1,FALSE))</f>
        <v>1.0504063020000001</v>
      </c>
      <c r="AX193">
        <f ca="1">IF(AND(ISNUMBER($AX$863),$B$677=1),$AX$863,HLOOKUP(INDIRECT(ADDRESS(2,COLUMN())),OFFSET($BN$2,0,0,ROW()-1,60),ROW()-1,FALSE))</f>
        <v>1.011215065</v>
      </c>
      <c r="AY193">
        <f ca="1">IF(AND(ISNUMBER($AY$863),$B$677=1),$AY$863,HLOOKUP(INDIRECT(ADDRESS(2,COLUMN())),OFFSET($BN$2,0,0,ROW()-1,60),ROW()-1,FALSE))</f>
        <v>1.4265251249999999</v>
      </c>
      <c r="AZ193">
        <f ca="1">IF(AND(ISNUMBER($AZ$863),$B$677=1),$AZ$863,HLOOKUP(INDIRECT(ADDRESS(2,COLUMN())),OFFSET($BN$2,0,0,ROW()-1,60),ROW()-1,FALSE))</f>
        <v>1.336201456</v>
      </c>
      <c r="BA193">
        <f ca="1">IF(AND(ISNUMBER($BA$863),$B$677=1),$BA$863,HLOOKUP(INDIRECT(ADDRESS(2,COLUMN())),OFFSET($BN$2,0,0,ROW()-1,60),ROW()-1,FALSE))</f>
        <v>1.5368961750000001</v>
      </c>
      <c r="BB193">
        <f ca="1">IF(AND(ISNUMBER($BB$863),$B$677=1),$BB$863,HLOOKUP(INDIRECT(ADDRESS(2,COLUMN())),OFFSET($BN$2,0,0,ROW()-1,60),ROW()-1,FALSE))</f>
        <v>1.544241762</v>
      </c>
      <c r="BC193">
        <f ca="1">IF(AND(ISNUMBER($BC$863),$B$677=1),$BC$863,HLOOKUP(INDIRECT(ADDRESS(2,COLUMN())),OFFSET($BN$2,0,0,ROW()-1,60),ROW()-1,FALSE))</f>
        <v>1.8186077919999999</v>
      </c>
      <c r="BD193">
        <f ca="1">IF(AND(ISNUMBER($BD$863),$B$677=1),$BD$863,HLOOKUP(INDIRECT(ADDRESS(2,COLUMN())),OFFSET($BN$2,0,0,ROW()-1,60),ROW()-1,FALSE))</f>
        <v>1.7360773039999999</v>
      </c>
      <c r="BE193">
        <f ca="1">IF(AND(ISNUMBER($BE$863),$B$677=1),$BE$863,HLOOKUP(INDIRECT(ADDRESS(2,COLUMN())),OFFSET($BN$2,0,0,ROW()-1,60),ROW()-1,FALSE))</f>
        <v>1.7449497629999999</v>
      </c>
      <c r="BF193">
        <f ca="1">IF(AND(ISNUMBER($BF$863),$B$677=1),$BF$863,HLOOKUP(INDIRECT(ADDRESS(2,COLUMN())),OFFSET($BN$2,0,0,ROW()-1,60),ROW()-1,FALSE))</f>
        <v>1.974791908</v>
      </c>
      <c r="BG193">
        <f ca="1">IF(AND(ISNUMBER($BG$863),$B$677=1),$BG$863,HLOOKUP(INDIRECT(ADDRESS(2,COLUMN())),OFFSET($BN$2,0,0,ROW()-1,60),ROW()-1,FALSE))</f>
        <v>1.9029895569999999</v>
      </c>
      <c r="BH193">
        <f ca="1">IF(AND(ISNUMBER($BH$863),$B$677=1),$BH$863,HLOOKUP(INDIRECT(ADDRESS(2,COLUMN())),OFFSET($BN$2,0,0,ROW()-1,60),ROW()-1,FALSE))</f>
        <v>2.0777375440000001</v>
      </c>
      <c r="BI193">
        <f ca="1">IF(AND(ISNUMBER($BI$863),$B$677=1),$BI$863,HLOOKUP(INDIRECT(ADDRESS(2,COLUMN())),OFFSET($BN$2,0,0,ROW()-1,60),ROW()-1,FALSE))</f>
        <v>1.9450665760000001</v>
      </c>
      <c r="BJ193">
        <f ca="1">IF(AND(ISNUMBER($BJ$863),$B$677=1),$BJ$863,HLOOKUP(INDIRECT(ADDRESS(2,COLUMN())),OFFSET($BN$2,0,0,ROW()-1,60),ROW()-1,FALSE))</f>
        <v>1.9593292090000001</v>
      </c>
      <c r="BK193">
        <f ca="1">IF(AND(ISNUMBER($BK$863),$B$677=1),$BK$863,HLOOKUP(INDIRECT(ADDRESS(2,COLUMN())),OFFSET($BN$2,0,0,ROW()-1,60),ROW()-1,FALSE))</f>
        <v>2.166245398</v>
      </c>
      <c r="BL193">
        <f ca="1">IF(AND(ISNUMBER($BL$863),$B$677=1),$BL$863,HLOOKUP(INDIRECT(ADDRESS(2,COLUMN())),OFFSET($BN$2,0,0,ROW()-1,60),ROW()-1,FALSE))</f>
        <v>2.348233494</v>
      </c>
      <c r="BM193">
        <f ca="1">IF(AND(ISNUMBER($BM$863),$B$677=1),$BM$863,HLOOKUP(INDIRECT(ADDRESS(2,COLUMN())),OFFSET($BN$2,0,0,ROW()-1,60),ROW()-1,FALSE))</f>
        <v>2.5124437080000002</v>
      </c>
      <c r="BN193">
        <f>0.711127508</f>
        <v>0.71112750800000002</v>
      </c>
      <c r="BO193">
        <f>0.660622146</f>
        <v>0.66062214600000002</v>
      </c>
      <c r="BP193">
        <f>0.777279379</f>
        <v>0.77727937899999999</v>
      </c>
      <c r="BQ193">
        <f>0.814432771</f>
        <v>0.814432771</v>
      </c>
      <c r="BR193">
        <f>0.821347221</f>
        <v>0.82134722100000002</v>
      </c>
      <c r="BS193">
        <f>0.848286808</f>
        <v>0.848286808</v>
      </c>
      <c r="BT193">
        <f>0.879914734</f>
        <v>0.87991473399999998</v>
      </c>
      <c r="BU193">
        <f>0.919420472</f>
        <v>0.91942047199999999</v>
      </c>
      <c r="BV193">
        <f>0.886949079</f>
        <v>0.88694907899999997</v>
      </c>
      <c r="BW193">
        <f>1.0580789</f>
        <v>1.0580788999999999</v>
      </c>
      <c r="BX193">
        <f>0.95047239</f>
        <v>0.95047238999999994</v>
      </c>
      <c r="BY193">
        <f>0.876946336</f>
        <v>0.87694633600000005</v>
      </c>
      <c r="BZ193">
        <f>0.945674713</f>
        <v>0.94567471299999994</v>
      </c>
      <c r="CA193">
        <f>1.114925114</f>
        <v>1.1149251140000001</v>
      </c>
      <c r="CB193">
        <f>0.952485173</f>
        <v>0.95248517300000002</v>
      </c>
      <c r="CC193">
        <f>1.11071079</f>
        <v>1.1107107899999999</v>
      </c>
      <c r="CD193">
        <f>1.08695281</f>
        <v>1.0869528100000001</v>
      </c>
      <c r="CE193">
        <f>0.963848114</f>
        <v>0.96384811400000003</v>
      </c>
      <c r="CF193">
        <f>1.01672111</f>
        <v>1.01672111</v>
      </c>
      <c r="CG193">
        <f>0.96174058</f>
        <v>0.96174057999999996</v>
      </c>
      <c r="CH193">
        <f>0.9076501</f>
        <v>0.90765010000000002</v>
      </c>
      <c r="CI193">
        <f>0.895836828</f>
        <v>0.89583682799999997</v>
      </c>
      <c r="CJ193">
        <f>1.040255712</f>
        <v>1.040255712</v>
      </c>
      <c r="CK193">
        <f>1.108295613</f>
        <v>1.1082956129999999</v>
      </c>
      <c r="CL193">
        <f>1.036705234</f>
        <v>1.036705234</v>
      </c>
      <c r="CM193">
        <f>1.043404169</f>
        <v>1.043404169</v>
      </c>
      <c r="CN193">
        <f>0.912800908</f>
        <v>0.91280090800000002</v>
      </c>
      <c r="CO193">
        <f>1.054059105</f>
        <v>1.0540591050000001</v>
      </c>
      <c r="CP193">
        <f>1.219064335</f>
        <v>1.2190643350000001</v>
      </c>
      <c r="CQ193">
        <f>1.034727739</f>
        <v>1.034727739</v>
      </c>
      <c r="CR193">
        <f>1.040933138</f>
        <v>1.040933138</v>
      </c>
      <c r="CS193">
        <f>1.227360956</f>
        <v>1.2273609560000001</v>
      </c>
      <c r="CT193">
        <f>1.098607862</f>
        <v>1.0986078619999999</v>
      </c>
      <c r="CU193">
        <f>1.186317142</f>
        <v>1.186317142</v>
      </c>
      <c r="CV193">
        <f>1.129487432</f>
        <v>1.1294874319999999</v>
      </c>
      <c r="CW193">
        <f>0.989456426</f>
        <v>0.98945642600000006</v>
      </c>
      <c r="CX193">
        <f>1.273049326</f>
        <v>1.273049326</v>
      </c>
      <c r="CY193">
        <f>1.298797447</f>
        <v>1.2987974470000001</v>
      </c>
      <c r="CZ193">
        <f>1.014323344</f>
        <v>1.0143233439999999</v>
      </c>
      <c r="DA193">
        <f>0.954231582</f>
        <v>0.95423158200000002</v>
      </c>
      <c r="DB193">
        <f>0.57941627</f>
        <v>0.57941626999999996</v>
      </c>
      <c r="DC193">
        <f>0.475261456</f>
        <v>0.47526145600000003</v>
      </c>
      <c r="DD193">
        <f>0.850360881</f>
        <v>0.85036088099999996</v>
      </c>
      <c r="DE193">
        <f>1.050406302</f>
        <v>1.0504063020000001</v>
      </c>
      <c r="DF193">
        <f>1.011215065</f>
        <v>1.011215065</v>
      </c>
      <c r="DG193">
        <f>1.426525125</f>
        <v>1.4265251249999999</v>
      </c>
      <c r="DH193">
        <f>1.336201456</f>
        <v>1.336201456</v>
      </c>
      <c r="DI193">
        <f>1.536896175</f>
        <v>1.5368961750000001</v>
      </c>
      <c r="DJ193">
        <f>1.544241762</f>
        <v>1.544241762</v>
      </c>
      <c r="DK193">
        <f>1.818607792</f>
        <v>1.8186077919999999</v>
      </c>
      <c r="DL193">
        <f>1.736077304</f>
        <v>1.7360773039999999</v>
      </c>
      <c r="DM193">
        <f>1.744949763</f>
        <v>1.7449497629999999</v>
      </c>
      <c r="DN193">
        <f>1.974791908</f>
        <v>1.974791908</v>
      </c>
      <c r="DO193">
        <f>1.902989557</f>
        <v>1.9029895569999999</v>
      </c>
      <c r="DP193">
        <f>2.077737544</f>
        <v>2.0777375440000001</v>
      </c>
      <c r="DQ193">
        <f>1.945066576</f>
        <v>1.9450665760000001</v>
      </c>
      <c r="DR193">
        <f>1.959329209</f>
        <v>1.9593292090000001</v>
      </c>
      <c r="DS193">
        <f>2.166245398</f>
        <v>2.166245398</v>
      </c>
      <c r="DT193">
        <f>2.348233494</f>
        <v>2.348233494</v>
      </c>
      <c r="DU193">
        <f>2.512443708</f>
        <v>2.5124437080000002</v>
      </c>
    </row>
    <row r="194" spans="1:125" x14ac:dyDescent="0.25">
      <c r="A194" t="str">
        <f>"    Peugeot SA"</f>
        <v xml:space="preserve">    Peugeot SA</v>
      </c>
      <c r="B194" t="str">
        <f>"UG FP Equity"</f>
        <v>UG FP Equity</v>
      </c>
      <c r="C194" t="str">
        <f t="shared" si="12"/>
        <v>RX077</v>
      </c>
      <c r="D194" t="str">
        <f t="shared" si="13"/>
        <v>PX_TO_TANG_BOOK_VAL_PER_SH</v>
      </c>
      <c r="E194" t="str">
        <f t="shared" si="14"/>
        <v>Dynamic</v>
      </c>
      <c r="F194" t="str">
        <f ca="1">IF(AND(ISNUMBER($F$864),$B$677=1),$F$864,HLOOKUP(INDIRECT(ADDRESS(2,COLUMN())),OFFSET($BN$2,0,0,ROW()-1,60),ROW()-1,FALSE))</f>
        <v/>
      </c>
      <c r="G194" t="str">
        <f ca="1">IF(AND(ISNUMBER($G$864),$B$677=1),$G$864,HLOOKUP(INDIRECT(ADDRESS(2,COLUMN())),OFFSET($BN$2,0,0,ROW()-1,60),ROW()-1,FALSE))</f>
        <v/>
      </c>
      <c r="H194" t="str">
        <f ca="1">IF(AND(ISNUMBER($H$864),$B$677=1),$H$864,HLOOKUP(INDIRECT(ADDRESS(2,COLUMN())),OFFSET($BN$2,0,0,ROW()-1,60),ROW()-1,FALSE))</f>
        <v/>
      </c>
      <c r="I194" t="str">
        <f ca="1">IF(AND(ISNUMBER($I$864),$B$677=1),$I$864,HLOOKUP(INDIRECT(ADDRESS(2,COLUMN())),OFFSET($BN$2,0,0,ROW()-1,60),ROW()-1,FALSE))</f>
        <v/>
      </c>
      <c r="J194" t="str">
        <f ca="1">IF(AND(ISNUMBER($J$864),$B$677=1),$J$864,HLOOKUP(INDIRECT(ADDRESS(2,COLUMN())),OFFSET($BN$2,0,0,ROW()-1,60),ROW()-1,FALSE))</f>
        <v/>
      </c>
      <c r="K194" t="str">
        <f ca="1">IF(AND(ISNUMBER($K$864),$B$677=1),$K$864,HLOOKUP(INDIRECT(ADDRESS(2,COLUMN())),OFFSET($BN$2,0,0,ROW()-1,60),ROW()-1,FALSE))</f>
        <v/>
      </c>
      <c r="L194" t="str">
        <f ca="1">IF(AND(ISNUMBER($L$864),$B$677=1),$L$864,HLOOKUP(INDIRECT(ADDRESS(2,COLUMN())),OFFSET($BN$2,0,0,ROW()-1,60),ROW()-1,FALSE))</f>
        <v/>
      </c>
      <c r="M194" t="str">
        <f ca="1">IF(AND(ISNUMBER($M$864),$B$677=1),$M$864,HLOOKUP(INDIRECT(ADDRESS(2,COLUMN())),OFFSET($BN$2,0,0,ROW()-1,60),ROW()-1,FALSE))</f>
        <v/>
      </c>
      <c r="N194" t="str">
        <f ca="1">IF(AND(ISNUMBER($N$864),$B$677=1),$N$864,HLOOKUP(INDIRECT(ADDRESS(2,COLUMN())),OFFSET($BN$2,0,0,ROW()-1,60),ROW()-1,FALSE))</f>
        <v/>
      </c>
      <c r="O194" t="str">
        <f ca="1">IF(AND(ISNUMBER($O$864),$B$677=1),$O$864,HLOOKUP(INDIRECT(ADDRESS(2,COLUMN())),OFFSET($BN$2,0,0,ROW()-1,60),ROW()-1,FALSE))</f>
        <v/>
      </c>
      <c r="P194" t="str">
        <f ca="1">IF(AND(ISNUMBER($P$864),$B$677=1),$P$864,HLOOKUP(INDIRECT(ADDRESS(2,COLUMN())),OFFSET($BN$2,0,0,ROW()-1,60),ROW()-1,FALSE))</f>
        <v/>
      </c>
      <c r="Q194" t="str">
        <f ca="1">IF(AND(ISNUMBER($Q$864),$B$677=1),$Q$864,HLOOKUP(INDIRECT(ADDRESS(2,COLUMN())),OFFSET($BN$2,0,0,ROW()-1,60),ROW()-1,FALSE))</f>
        <v/>
      </c>
      <c r="R194" t="str">
        <f ca="1">IF(AND(ISNUMBER($R$864),$B$677=1),$R$864,HLOOKUP(INDIRECT(ADDRESS(2,COLUMN())),OFFSET($BN$2,0,0,ROW()-1,60),ROW()-1,FALSE))</f>
        <v/>
      </c>
      <c r="S194" t="str">
        <f ca="1">IF(AND(ISNUMBER($S$864),$B$677=1),$S$864,HLOOKUP(INDIRECT(ADDRESS(2,COLUMN())),OFFSET($BN$2,0,0,ROW()-1,60),ROW()-1,FALSE))</f>
        <v/>
      </c>
      <c r="T194" t="str">
        <f ca="1">IF(AND(ISNUMBER($T$864),$B$677=1),$T$864,HLOOKUP(INDIRECT(ADDRESS(2,COLUMN())),OFFSET($BN$2,0,0,ROW()-1,60),ROW()-1,FALSE))</f>
        <v/>
      </c>
      <c r="U194" t="str">
        <f ca="1">IF(AND(ISNUMBER($U$864),$B$677=1),$U$864,HLOOKUP(INDIRECT(ADDRESS(2,COLUMN())),OFFSET($BN$2,0,0,ROW()-1,60),ROW()-1,FALSE))</f>
        <v/>
      </c>
      <c r="V194" t="str">
        <f ca="1">IF(AND(ISNUMBER($V$864),$B$677=1),$V$864,HLOOKUP(INDIRECT(ADDRESS(2,COLUMN())),OFFSET($BN$2,0,0,ROW()-1,60),ROW()-1,FALSE))</f>
        <v/>
      </c>
      <c r="W194" t="str">
        <f ca="1">IF(AND(ISNUMBER($W$864),$B$677=1),$W$864,HLOOKUP(INDIRECT(ADDRESS(2,COLUMN())),OFFSET($BN$2,0,0,ROW()-1,60),ROW()-1,FALSE))</f>
        <v/>
      </c>
      <c r="X194" t="str">
        <f ca="1">IF(AND(ISNUMBER($X$864),$B$677=1),$X$864,HLOOKUP(INDIRECT(ADDRESS(2,COLUMN())),OFFSET($BN$2,0,0,ROW()-1,60),ROW()-1,FALSE))</f>
        <v/>
      </c>
      <c r="Y194" t="str">
        <f ca="1">IF(AND(ISNUMBER($Y$864),$B$677=1),$Y$864,HLOOKUP(INDIRECT(ADDRESS(2,COLUMN())),OFFSET($BN$2,0,0,ROW()-1,60),ROW()-1,FALSE))</f>
        <v/>
      </c>
      <c r="Z194" t="str">
        <f ca="1">IF(AND(ISNUMBER($Z$864),$B$677=1),$Z$864,HLOOKUP(INDIRECT(ADDRESS(2,COLUMN())),OFFSET($BN$2,0,0,ROW()-1,60),ROW()-1,FALSE))</f>
        <v/>
      </c>
      <c r="AA194" t="str">
        <f ca="1">IF(AND(ISNUMBER($AA$864),$B$677=1),$AA$864,HLOOKUP(INDIRECT(ADDRESS(2,COLUMN())),OFFSET($BN$2,0,0,ROW()-1,60),ROW()-1,FALSE))</f>
        <v/>
      </c>
      <c r="AB194" t="str">
        <f ca="1">IF(AND(ISNUMBER($AB$864),$B$677=1),$AB$864,HLOOKUP(INDIRECT(ADDRESS(2,COLUMN())),OFFSET($BN$2,0,0,ROW()-1,60),ROW()-1,FALSE))</f>
        <v/>
      </c>
      <c r="AC194" t="str">
        <f ca="1">IF(AND(ISNUMBER($AC$864),$B$677=1),$AC$864,HLOOKUP(INDIRECT(ADDRESS(2,COLUMN())),OFFSET($BN$2,0,0,ROW()-1,60),ROW()-1,FALSE))</f>
        <v/>
      </c>
      <c r="AD194" t="str">
        <f ca="1">IF(AND(ISNUMBER($AD$864),$B$677=1),$AD$864,HLOOKUP(INDIRECT(ADDRESS(2,COLUMN())),OFFSET($BN$2,0,0,ROW()-1,60),ROW()-1,FALSE))</f>
        <v/>
      </c>
      <c r="AE194" t="str">
        <f ca="1">IF(AND(ISNUMBER($AE$864),$B$677=1),$AE$864,HLOOKUP(INDIRECT(ADDRESS(2,COLUMN())),OFFSET($BN$2,0,0,ROW()-1,60),ROW()-1,FALSE))</f>
        <v/>
      </c>
      <c r="AF194" t="str">
        <f ca="1">IF(AND(ISNUMBER($AF$864),$B$677=1),$AF$864,HLOOKUP(INDIRECT(ADDRESS(2,COLUMN())),OFFSET($BN$2,0,0,ROW()-1,60),ROW()-1,FALSE))</f>
        <v/>
      </c>
      <c r="AG194" t="str">
        <f ca="1">IF(AND(ISNUMBER($AG$864),$B$677=1),$AG$864,HLOOKUP(INDIRECT(ADDRESS(2,COLUMN())),OFFSET($BN$2,0,0,ROW()-1,60),ROW()-1,FALSE))</f>
        <v/>
      </c>
      <c r="AH194" t="str">
        <f ca="1">IF(AND(ISNUMBER($AH$864),$B$677=1),$AH$864,HLOOKUP(INDIRECT(ADDRESS(2,COLUMN())),OFFSET($BN$2,0,0,ROW()-1,60),ROW()-1,FALSE))</f>
        <v/>
      </c>
      <c r="AI194" t="str">
        <f ca="1">IF(AND(ISNUMBER($AI$864),$B$677=1),$AI$864,HLOOKUP(INDIRECT(ADDRESS(2,COLUMN())),OFFSET($BN$2,0,0,ROW()-1,60),ROW()-1,FALSE))</f>
        <v/>
      </c>
      <c r="AJ194" t="str">
        <f ca="1">IF(AND(ISNUMBER($AJ$864),$B$677=1),$AJ$864,HLOOKUP(INDIRECT(ADDRESS(2,COLUMN())),OFFSET($BN$2,0,0,ROW()-1,60),ROW()-1,FALSE))</f>
        <v/>
      </c>
      <c r="AK194" t="str">
        <f ca="1">IF(AND(ISNUMBER($AK$864),$B$677=1),$AK$864,HLOOKUP(INDIRECT(ADDRESS(2,COLUMN())),OFFSET($BN$2,0,0,ROW()-1,60),ROW()-1,FALSE))</f>
        <v/>
      </c>
      <c r="AL194" t="str">
        <f ca="1">IF(AND(ISNUMBER($AL$864),$B$677=1),$AL$864,HLOOKUP(INDIRECT(ADDRESS(2,COLUMN())),OFFSET($BN$2,0,0,ROW()-1,60),ROW()-1,FALSE))</f>
        <v/>
      </c>
      <c r="AM194" t="str">
        <f ca="1">IF(AND(ISNUMBER($AM$864),$B$677=1),$AM$864,HLOOKUP(INDIRECT(ADDRESS(2,COLUMN())),OFFSET($BN$2,0,0,ROW()-1,60),ROW()-1,FALSE))</f>
        <v/>
      </c>
      <c r="AN194" t="str">
        <f ca="1">IF(AND(ISNUMBER($AN$864),$B$677=1),$AN$864,HLOOKUP(INDIRECT(ADDRESS(2,COLUMN())),OFFSET($BN$2,0,0,ROW()-1,60),ROW()-1,FALSE))</f>
        <v/>
      </c>
      <c r="AO194" t="str">
        <f ca="1">IF(AND(ISNUMBER($AO$864),$B$677=1),$AO$864,HLOOKUP(INDIRECT(ADDRESS(2,COLUMN())),OFFSET($BN$2,0,0,ROW()-1,60),ROW()-1,FALSE))</f>
        <v/>
      </c>
      <c r="AP194" t="str">
        <f ca="1">IF(AND(ISNUMBER($AP$864),$B$677=1),$AP$864,HLOOKUP(INDIRECT(ADDRESS(2,COLUMN())),OFFSET($BN$2,0,0,ROW()-1,60),ROW()-1,FALSE))</f>
        <v/>
      </c>
      <c r="AQ194" t="str">
        <f ca="1">IF(AND(ISNUMBER($AQ$864),$B$677=1),$AQ$864,HLOOKUP(INDIRECT(ADDRESS(2,COLUMN())),OFFSET($BN$2,0,0,ROW()-1,60),ROW()-1,FALSE))</f>
        <v/>
      </c>
      <c r="AR194" t="str">
        <f ca="1">IF(AND(ISNUMBER($AR$864),$B$677=1),$AR$864,HLOOKUP(INDIRECT(ADDRESS(2,COLUMN())),OFFSET($BN$2,0,0,ROW()-1,60),ROW()-1,FALSE))</f>
        <v/>
      </c>
      <c r="AS194" t="str">
        <f ca="1">IF(AND(ISNUMBER($AS$864),$B$677=1),$AS$864,HLOOKUP(INDIRECT(ADDRESS(2,COLUMN())),OFFSET($BN$2,0,0,ROW()-1,60),ROW()-1,FALSE))</f>
        <v/>
      </c>
      <c r="AT194" t="str">
        <f ca="1">IF(AND(ISNUMBER($AT$864),$B$677=1),$AT$864,HLOOKUP(INDIRECT(ADDRESS(2,COLUMN())),OFFSET($BN$2,0,0,ROW()-1,60),ROW()-1,FALSE))</f>
        <v/>
      </c>
      <c r="AU194" t="str">
        <f ca="1">IF(AND(ISNUMBER($AU$864),$B$677=1),$AU$864,HLOOKUP(INDIRECT(ADDRESS(2,COLUMN())),OFFSET($BN$2,0,0,ROW()-1,60),ROW()-1,FALSE))</f>
        <v/>
      </c>
      <c r="AV194" t="str">
        <f ca="1">IF(AND(ISNUMBER($AV$864),$B$677=1),$AV$864,HLOOKUP(INDIRECT(ADDRESS(2,COLUMN())),OFFSET($BN$2,0,0,ROW()-1,60),ROW()-1,FALSE))</f>
        <v/>
      </c>
      <c r="AW194" t="str">
        <f ca="1">IF(AND(ISNUMBER($AW$864),$B$677=1),$AW$864,HLOOKUP(INDIRECT(ADDRESS(2,COLUMN())),OFFSET($BN$2,0,0,ROW()-1,60),ROW()-1,FALSE))</f>
        <v/>
      </c>
      <c r="AX194" t="str">
        <f ca="1">IF(AND(ISNUMBER($AX$864),$B$677=1),$AX$864,HLOOKUP(INDIRECT(ADDRESS(2,COLUMN())),OFFSET($BN$2,0,0,ROW()-1,60),ROW()-1,FALSE))</f>
        <v/>
      </c>
      <c r="AY194" t="str">
        <f ca="1">IF(AND(ISNUMBER($AY$864),$B$677=1),$AY$864,HLOOKUP(INDIRECT(ADDRESS(2,COLUMN())),OFFSET($BN$2,0,0,ROW()-1,60),ROW()-1,FALSE))</f>
        <v/>
      </c>
      <c r="AZ194" t="str">
        <f ca="1">IF(AND(ISNUMBER($AZ$864),$B$677=1),$AZ$864,HLOOKUP(INDIRECT(ADDRESS(2,COLUMN())),OFFSET($BN$2,0,0,ROW()-1,60),ROW()-1,FALSE))</f>
        <v/>
      </c>
      <c r="BA194" t="str">
        <f ca="1">IF(AND(ISNUMBER($BA$864),$B$677=1),$BA$864,HLOOKUP(INDIRECT(ADDRESS(2,COLUMN())),OFFSET($BN$2,0,0,ROW()-1,60),ROW()-1,FALSE))</f>
        <v/>
      </c>
      <c r="BB194" t="str">
        <f ca="1">IF(AND(ISNUMBER($BB$864),$B$677=1),$BB$864,HLOOKUP(INDIRECT(ADDRESS(2,COLUMN())),OFFSET($BN$2,0,0,ROW()-1,60),ROW()-1,FALSE))</f>
        <v/>
      </c>
      <c r="BC194" t="str">
        <f ca="1">IF(AND(ISNUMBER($BC$864),$B$677=1),$BC$864,HLOOKUP(INDIRECT(ADDRESS(2,COLUMN())),OFFSET($BN$2,0,0,ROW()-1,60),ROW()-1,FALSE))</f>
        <v/>
      </c>
      <c r="BD194" t="str">
        <f ca="1">IF(AND(ISNUMBER($BD$864),$B$677=1),$BD$864,HLOOKUP(INDIRECT(ADDRESS(2,COLUMN())),OFFSET($BN$2,0,0,ROW()-1,60),ROW()-1,FALSE))</f>
        <v/>
      </c>
      <c r="BE194" t="str">
        <f ca="1">IF(AND(ISNUMBER($BE$864),$B$677=1),$BE$864,HLOOKUP(INDIRECT(ADDRESS(2,COLUMN())),OFFSET($BN$2,0,0,ROW()-1,60),ROW()-1,FALSE))</f>
        <v/>
      </c>
      <c r="BF194" t="str">
        <f ca="1">IF(AND(ISNUMBER($BF$864),$B$677=1),$BF$864,HLOOKUP(INDIRECT(ADDRESS(2,COLUMN())),OFFSET($BN$2,0,0,ROW()-1,60),ROW()-1,FALSE))</f>
        <v/>
      </c>
      <c r="BG194" t="str">
        <f ca="1">IF(AND(ISNUMBER($BG$864),$B$677=1),$BG$864,HLOOKUP(INDIRECT(ADDRESS(2,COLUMN())),OFFSET($BN$2,0,0,ROW()-1,60),ROW()-1,FALSE))</f>
        <v/>
      </c>
      <c r="BH194" t="str">
        <f ca="1">IF(AND(ISNUMBER($BH$864),$B$677=1),$BH$864,HLOOKUP(INDIRECT(ADDRESS(2,COLUMN())),OFFSET($BN$2,0,0,ROW()-1,60),ROW()-1,FALSE))</f>
        <v/>
      </c>
      <c r="BI194" t="str">
        <f ca="1">IF(AND(ISNUMBER($BI$864),$B$677=1),$BI$864,HLOOKUP(INDIRECT(ADDRESS(2,COLUMN())),OFFSET($BN$2,0,0,ROW()-1,60),ROW()-1,FALSE))</f>
        <v/>
      </c>
      <c r="BJ194" t="str">
        <f ca="1">IF(AND(ISNUMBER($BJ$864),$B$677=1),$BJ$864,HLOOKUP(INDIRECT(ADDRESS(2,COLUMN())),OFFSET($BN$2,0,0,ROW()-1,60),ROW()-1,FALSE))</f>
        <v/>
      </c>
      <c r="BK194" t="str">
        <f ca="1">IF(AND(ISNUMBER($BK$864),$B$677=1),$BK$864,HLOOKUP(INDIRECT(ADDRESS(2,COLUMN())),OFFSET($BN$2,0,0,ROW()-1,60),ROW()-1,FALSE))</f>
        <v/>
      </c>
      <c r="BL194" t="str">
        <f ca="1">IF(AND(ISNUMBER($BL$864),$B$677=1),$BL$864,HLOOKUP(INDIRECT(ADDRESS(2,COLUMN())),OFFSET($BN$2,0,0,ROW()-1,60),ROW()-1,FALSE))</f>
        <v/>
      </c>
      <c r="BM194" t="str">
        <f ca="1">IF(AND(ISNUMBER($BM$864),$B$677=1),$BM$864,HLOOKUP(INDIRECT(ADDRESS(2,COLUMN())),OFFSET($BN$2,0,0,ROW()-1,60),ROW()-1,FALSE))</f>
        <v/>
      </c>
      <c r="BN194" t="str">
        <f>""</f>
        <v/>
      </c>
      <c r="BO194" t="str">
        <f>""</f>
        <v/>
      </c>
      <c r="BP194" t="str">
        <f>""</f>
        <v/>
      </c>
      <c r="BQ194" t="str">
        <f>""</f>
        <v/>
      </c>
      <c r="BR194" t="str">
        <f>""</f>
        <v/>
      </c>
      <c r="BS194" t="str">
        <f>""</f>
        <v/>
      </c>
      <c r="BT194" t="str">
        <f>""</f>
        <v/>
      </c>
      <c r="BU194" t="str">
        <f>""</f>
        <v/>
      </c>
      <c r="BV194" t="str">
        <f>""</f>
        <v/>
      </c>
      <c r="BW194" t="str">
        <f>""</f>
        <v/>
      </c>
      <c r="BX194" t="str">
        <f>""</f>
        <v/>
      </c>
      <c r="BY194" t="str">
        <f>""</f>
        <v/>
      </c>
      <c r="BZ194" t="str">
        <f>""</f>
        <v/>
      </c>
      <c r="CA194" t="str">
        <f>""</f>
        <v/>
      </c>
      <c r="CB194" t="str">
        <f>""</f>
        <v/>
      </c>
      <c r="CC194" t="str">
        <f>""</f>
        <v/>
      </c>
      <c r="CD194" t="str">
        <f>""</f>
        <v/>
      </c>
      <c r="CE194" t="str">
        <f>""</f>
        <v/>
      </c>
      <c r="CF194" t="str">
        <f>""</f>
        <v/>
      </c>
      <c r="CG194" t="str">
        <f>""</f>
        <v/>
      </c>
      <c r="CH194" t="str">
        <f>""</f>
        <v/>
      </c>
      <c r="CI194" t="str">
        <f>""</f>
        <v/>
      </c>
      <c r="CJ194" t="str">
        <f>""</f>
        <v/>
      </c>
      <c r="CK194" t="str">
        <f>""</f>
        <v/>
      </c>
      <c r="CL194" t="str">
        <f>""</f>
        <v/>
      </c>
      <c r="CM194" t="str">
        <f>""</f>
        <v/>
      </c>
      <c r="CN194" t="str">
        <f>""</f>
        <v/>
      </c>
      <c r="CO194" t="str">
        <f>""</f>
        <v/>
      </c>
      <c r="CP194" t="str">
        <f>""</f>
        <v/>
      </c>
      <c r="CQ194" t="str">
        <f>""</f>
        <v/>
      </c>
      <c r="CR194" t="str">
        <f>""</f>
        <v/>
      </c>
      <c r="CS194" t="str">
        <f>""</f>
        <v/>
      </c>
      <c r="CT194" t="str">
        <f>""</f>
        <v/>
      </c>
      <c r="CU194" t="str">
        <f>""</f>
        <v/>
      </c>
      <c r="CV194" t="str">
        <f>""</f>
        <v/>
      </c>
      <c r="CW194" t="str">
        <f>""</f>
        <v/>
      </c>
      <c r="CX194" t="str">
        <f>""</f>
        <v/>
      </c>
      <c r="CY194" t="str">
        <f>""</f>
        <v/>
      </c>
      <c r="CZ194" t="str">
        <f>""</f>
        <v/>
      </c>
      <c r="DA194" t="str">
        <f>""</f>
        <v/>
      </c>
      <c r="DB194" t="str">
        <f>""</f>
        <v/>
      </c>
      <c r="DC194" t="str">
        <f>""</f>
        <v/>
      </c>
      <c r="DD194" t="str">
        <f>""</f>
        <v/>
      </c>
      <c r="DE194" t="str">
        <f>""</f>
        <v/>
      </c>
      <c r="DF194" t="str">
        <f>""</f>
        <v/>
      </c>
      <c r="DG194" t="str">
        <f>""</f>
        <v/>
      </c>
      <c r="DH194" t="str">
        <f>""</f>
        <v/>
      </c>
      <c r="DI194" t="str">
        <f>""</f>
        <v/>
      </c>
      <c r="DJ194" t="str">
        <f>""</f>
        <v/>
      </c>
      <c r="DK194" t="str">
        <f>""</f>
        <v/>
      </c>
      <c r="DL194" t="str">
        <f>""</f>
        <v/>
      </c>
      <c r="DM194" t="str">
        <f>""</f>
        <v/>
      </c>
      <c r="DN194" t="str">
        <f>""</f>
        <v/>
      </c>
      <c r="DO194" t="str">
        <f>""</f>
        <v/>
      </c>
      <c r="DP194" t="str">
        <f>""</f>
        <v/>
      </c>
      <c r="DQ194" t="str">
        <f>""</f>
        <v/>
      </c>
      <c r="DR194" t="str">
        <f>""</f>
        <v/>
      </c>
      <c r="DS194" t="str">
        <f>""</f>
        <v/>
      </c>
      <c r="DT194" t="str">
        <f>""</f>
        <v/>
      </c>
      <c r="DU194" t="str">
        <f>""</f>
        <v/>
      </c>
    </row>
    <row r="195" spans="1:125" x14ac:dyDescent="0.25">
      <c r="A195" t="str">
        <f>"    Renault SA"</f>
        <v xml:space="preserve">    Renault SA</v>
      </c>
      <c r="B195" t="str">
        <f>"RNO FP Equity"</f>
        <v>RNO FP Equity</v>
      </c>
      <c r="C195" t="str">
        <f t="shared" si="12"/>
        <v>RX077</v>
      </c>
      <c r="D195" t="str">
        <f t="shared" si="13"/>
        <v>PX_TO_TANG_BOOK_VAL_PER_SH</v>
      </c>
      <c r="E195" t="str">
        <f t="shared" si="14"/>
        <v>Dynamic</v>
      </c>
      <c r="F195" t="str">
        <f ca="1">IF(AND(ISNUMBER($F$865),$B$677=1),$F$865,HLOOKUP(INDIRECT(ADDRESS(2,COLUMN())),OFFSET($BN$2,0,0,ROW()-1,60),ROW()-1,FALSE))</f>
        <v/>
      </c>
      <c r="G195" t="str">
        <f ca="1">IF(AND(ISNUMBER($G$865),$B$677=1),$G$865,HLOOKUP(INDIRECT(ADDRESS(2,COLUMN())),OFFSET($BN$2,0,0,ROW()-1,60),ROW()-1,FALSE))</f>
        <v/>
      </c>
      <c r="H195" t="str">
        <f ca="1">IF(AND(ISNUMBER($H$865),$B$677=1),$H$865,HLOOKUP(INDIRECT(ADDRESS(2,COLUMN())),OFFSET($BN$2,0,0,ROW()-1,60),ROW()-1,FALSE))</f>
        <v/>
      </c>
      <c r="I195" t="str">
        <f ca="1">IF(AND(ISNUMBER($I$865),$B$677=1),$I$865,HLOOKUP(INDIRECT(ADDRESS(2,COLUMN())),OFFSET($BN$2,0,0,ROW()-1,60),ROW()-1,FALSE))</f>
        <v/>
      </c>
      <c r="J195" t="str">
        <f ca="1">IF(AND(ISNUMBER($J$865),$B$677=1),$J$865,HLOOKUP(INDIRECT(ADDRESS(2,COLUMN())),OFFSET($BN$2,0,0,ROW()-1,60),ROW()-1,FALSE))</f>
        <v/>
      </c>
      <c r="K195" t="str">
        <f ca="1">IF(AND(ISNUMBER($K$865),$B$677=1),$K$865,HLOOKUP(INDIRECT(ADDRESS(2,COLUMN())),OFFSET($BN$2,0,0,ROW()-1,60),ROW()-1,FALSE))</f>
        <v/>
      </c>
      <c r="L195" t="str">
        <f ca="1">IF(AND(ISNUMBER($L$865),$B$677=1),$L$865,HLOOKUP(INDIRECT(ADDRESS(2,COLUMN())),OFFSET($BN$2,0,0,ROW()-1,60),ROW()-1,FALSE))</f>
        <v/>
      </c>
      <c r="M195" t="str">
        <f ca="1">IF(AND(ISNUMBER($M$865),$B$677=1),$M$865,HLOOKUP(INDIRECT(ADDRESS(2,COLUMN())),OFFSET($BN$2,0,0,ROW()-1,60),ROW()-1,FALSE))</f>
        <v/>
      </c>
      <c r="N195" t="str">
        <f ca="1">IF(AND(ISNUMBER($N$865),$B$677=1),$N$865,HLOOKUP(INDIRECT(ADDRESS(2,COLUMN())),OFFSET($BN$2,0,0,ROW()-1,60),ROW()-1,FALSE))</f>
        <v/>
      </c>
      <c r="O195" t="str">
        <f ca="1">IF(AND(ISNUMBER($O$865),$B$677=1),$O$865,HLOOKUP(INDIRECT(ADDRESS(2,COLUMN())),OFFSET($BN$2,0,0,ROW()-1,60),ROW()-1,FALSE))</f>
        <v/>
      </c>
      <c r="P195" t="str">
        <f ca="1">IF(AND(ISNUMBER($P$865),$B$677=1),$P$865,HLOOKUP(INDIRECT(ADDRESS(2,COLUMN())),OFFSET($BN$2,0,0,ROW()-1,60),ROW()-1,FALSE))</f>
        <v/>
      </c>
      <c r="Q195" t="str">
        <f ca="1">IF(AND(ISNUMBER($Q$865),$B$677=1),$Q$865,HLOOKUP(INDIRECT(ADDRESS(2,COLUMN())),OFFSET($BN$2,0,0,ROW()-1,60),ROW()-1,FALSE))</f>
        <v/>
      </c>
      <c r="R195" t="str">
        <f ca="1">IF(AND(ISNUMBER($R$865),$B$677=1),$R$865,HLOOKUP(INDIRECT(ADDRESS(2,COLUMN())),OFFSET($BN$2,0,0,ROW()-1,60),ROW()-1,FALSE))</f>
        <v/>
      </c>
      <c r="S195" t="str">
        <f ca="1">IF(AND(ISNUMBER($S$865),$B$677=1),$S$865,HLOOKUP(INDIRECT(ADDRESS(2,COLUMN())),OFFSET($BN$2,0,0,ROW()-1,60),ROW()-1,FALSE))</f>
        <v/>
      </c>
      <c r="T195" t="str">
        <f ca="1">IF(AND(ISNUMBER($T$865),$B$677=1),$T$865,HLOOKUP(INDIRECT(ADDRESS(2,COLUMN())),OFFSET($BN$2,0,0,ROW()-1,60),ROW()-1,FALSE))</f>
        <v/>
      </c>
      <c r="U195" t="str">
        <f ca="1">IF(AND(ISNUMBER($U$865),$B$677=1),$U$865,HLOOKUP(INDIRECT(ADDRESS(2,COLUMN())),OFFSET($BN$2,0,0,ROW()-1,60),ROW()-1,FALSE))</f>
        <v/>
      </c>
      <c r="V195" t="str">
        <f ca="1">IF(AND(ISNUMBER($V$865),$B$677=1),$V$865,HLOOKUP(INDIRECT(ADDRESS(2,COLUMN())),OFFSET($BN$2,0,0,ROW()-1,60),ROW()-1,FALSE))</f>
        <v/>
      </c>
      <c r="W195" t="str">
        <f ca="1">IF(AND(ISNUMBER($W$865),$B$677=1),$W$865,HLOOKUP(INDIRECT(ADDRESS(2,COLUMN())),OFFSET($BN$2,0,0,ROW()-1,60),ROW()-1,FALSE))</f>
        <v/>
      </c>
      <c r="X195" t="str">
        <f ca="1">IF(AND(ISNUMBER($X$865),$B$677=1),$X$865,HLOOKUP(INDIRECT(ADDRESS(2,COLUMN())),OFFSET($BN$2,0,0,ROW()-1,60),ROW()-1,FALSE))</f>
        <v/>
      </c>
      <c r="Y195" t="str">
        <f ca="1">IF(AND(ISNUMBER($Y$865),$B$677=1),$Y$865,HLOOKUP(INDIRECT(ADDRESS(2,COLUMN())),OFFSET($BN$2,0,0,ROW()-1,60),ROW()-1,FALSE))</f>
        <v/>
      </c>
      <c r="Z195" t="str">
        <f ca="1">IF(AND(ISNUMBER($Z$865),$B$677=1),$Z$865,HLOOKUP(INDIRECT(ADDRESS(2,COLUMN())),OFFSET($BN$2,0,0,ROW()-1,60),ROW()-1,FALSE))</f>
        <v/>
      </c>
      <c r="AA195" t="str">
        <f ca="1">IF(AND(ISNUMBER($AA$865),$B$677=1),$AA$865,HLOOKUP(INDIRECT(ADDRESS(2,COLUMN())),OFFSET($BN$2,0,0,ROW()-1,60),ROW()-1,FALSE))</f>
        <v/>
      </c>
      <c r="AB195" t="str">
        <f ca="1">IF(AND(ISNUMBER($AB$865),$B$677=1),$AB$865,HLOOKUP(INDIRECT(ADDRESS(2,COLUMN())),OFFSET($BN$2,0,0,ROW()-1,60),ROW()-1,FALSE))</f>
        <v/>
      </c>
      <c r="AC195" t="str">
        <f ca="1">IF(AND(ISNUMBER($AC$865),$B$677=1),$AC$865,HLOOKUP(INDIRECT(ADDRESS(2,COLUMN())),OFFSET($BN$2,0,0,ROW()-1,60),ROW()-1,FALSE))</f>
        <v/>
      </c>
      <c r="AD195" t="str">
        <f ca="1">IF(AND(ISNUMBER($AD$865),$B$677=1),$AD$865,HLOOKUP(INDIRECT(ADDRESS(2,COLUMN())),OFFSET($BN$2,0,0,ROW()-1,60),ROW()-1,FALSE))</f>
        <v/>
      </c>
      <c r="AE195" t="str">
        <f ca="1">IF(AND(ISNUMBER($AE$865),$B$677=1),$AE$865,HLOOKUP(INDIRECT(ADDRESS(2,COLUMN())),OFFSET($BN$2,0,0,ROW()-1,60),ROW()-1,FALSE))</f>
        <v/>
      </c>
      <c r="AF195" t="str">
        <f ca="1">IF(AND(ISNUMBER($AF$865),$B$677=1),$AF$865,HLOOKUP(INDIRECT(ADDRESS(2,COLUMN())),OFFSET($BN$2,0,0,ROW()-1,60),ROW()-1,FALSE))</f>
        <v/>
      </c>
      <c r="AG195" t="str">
        <f ca="1">IF(AND(ISNUMBER($AG$865),$B$677=1),$AG$865,HLOOKUP(INDIRECT(ADDRESS(2,COLUMN())),OFFSET($BN$2,0,0,ROW()-1,60),ROW()-1,FALSE))</f>
        <v/>
      </c>
      <c r="AH195" t="str">
        <f ca="1">IF(AND(ISNUMBER($AH$865),$B$677=1),$AH$865,HLOOKUP(INDIRECT(ADDRESS(2,COLUMN())),OFFSET($BN$2,0,0,ROW()-1,60),ROW()-1,FALSE))</f>
        <v/>
      </c>
      <c r="AI195" t="str">
        <f ca="1">IF(AND(ISNUMBER($AI$865),$B$677=1),$AI$865,HLOOKUP(INDIRECT(ADDRESS(2,COLUMN())),OFFSET($BN$2,0,0,ROW()-1,60),ROW()-1,FALSE))</f>
        <v/>
      </c>
      <c r="AJ195" t="str">
        <f ca="1">IF(AND(ISNUMBER($AJ$865),$B$677=1),$AJ$865,HLOOKUP(INDIRECT(ADDRESS(2,COLUMN())),OFFSET($BN$2,0,0,ROW()-1,60),ROW()-1,FALSE))</f>
        <v/>
      </c>
      <c r="AK195" t="str">
        <f ca="1">IF(AND(ISNUMBER($AK$865),$B$677=1),$AK$865,HLOOKUP(INDIRECT(ADDRESS(2,COLUMN())),OFFSET($BN$2,0,0,ROW()-1,60),ROW()-1,FALSE))</f>
        <v/>
      </c>
      <c r="AL195" t="str">
        <f ca="1">IF(AND(ISNUMBER($AL$865),$B$677=1),$AL$865,HLOOKUP(INDIRECT(ADDRESS(2,COLUMN())),OFFSET($BN$2,0,0,ROW()-1,60),ROW()-1,FALSE))</f>
        <v/>
      </c>
      <c r="AM195" t="str">
        <f ca="1">IF(AND(ISNUMBER($AM$865),$B$677=1),$AM$865,HLOOKUP(INDIRECT(ADDRESS(2,COLUMN())),OFFSET($BN$2,0,0,ROW()-1,60),ROW()-1,FALSE))</f>
        <v/>
      </c>
      <c r="AN195" t="str">
        <f ca="1">IF(AND(ISNUMBER($AN$865),$B$677=1),$AN$865,HLOOKUP(INDIRECT(ADDRESS(2,COLUMN())),OFFSET($BN$2,0,0,ROW()-1,60),ROW()-1,FALSE))</f>
        <v/>
      </c>
      <c r="AO195" t="str">
        <f ca="1">IF(AND(ISNUMBER($AO$865),$B$677=1),$AO$865,HLOOKUP(INDIRECT(ADDRESS(2,COLUMN())),OFFSET($BN$2,0,0,ROW()-1,60),ROW()-1,FALSE))</f>
        <v/>
      </c>
      <c r="AP195" t="str">
        <f ca="1">IF(AND(ISNUMBER($AP$865),$B$677=1),$AP$865,HLOOKUP(INDIRECT(ADDRESS(2,COLUMN())),OFFSET($BN$2,0,0,ROW()-1,60),ROW()-1,FALSE))</f>
        <v/>
      </c>
      <c r="AQ195" t="str">
        <f ca="1">IF(AND(ISNUMBER($AQ$865),$B$677=1),$AQ$865,HLOOKUP(INDIRECT(ADDRESS(2,COLUMN())),OFFSET($BN$2,0,0,ROW()-1,60),ROW()-1,FALSE))</f>
        <v/>
      </c>
      <c r="AR195" t="str">
        <f ca="1">IF(AND(ISNUMBER($AR$865),$B$677=1),$AR$865,HLOOKUP(INDIRECT(ADDRESS(2,COLUMN())),OFFSET($BN$2,0,0,ROW()-1,60),ROW()-1,FALSE))</f>
        <v/>
      </c>
      <c r="AS195" t="str">
        <f ca="1">IF(AND(ISNUMBER($AS$865),$B$677=1),$AS$865,HLOOKUP(INDIRECT(ADDRESS(2,COLUMN())),OFFSET($BN$2,0,0,ROW()-1,60),ROW()-1,FALSE))</f>
        <v/>
      </c>
      <c r="AT195" t="str">
        <f ca="1">IF(AND(ISNUMBER($AT$865),$B$677=1),$AT$865,HLOOKUP(INDIRECT(ADDRESS(2,COLUMN())),OFFSET($BN$2,0,0,ROW()-1,60),ROW()-1,FALSE))</f>
        <v/>
      </c>
      <c r="AU195" t="str">
        <f ca="1">IF(AND(ISNUMBER($AU$865),$B$677=1),$AU$865,HLOOKUP(INDIRECT(ADDRESS(2,COLUMN())),OFFSET($BN$2,0,0,ROW()-1,60),ROW()-1,FALSE))</f>
        <v/>
      </c>
      <c r="AV195" t="str">
        <f ca="1">IF(AND(ISNUMBER($AV$865),$B$677=1),$AV$865,HLOOKUP(INDIRECT(ADDRESS(2,COLUMN())),OFFSET($BN$2,0,0,ROW()-1,60),ROW()-1,FALSE))</f>
        <v/>
      </c>
      <c r="AW195" t="str">
        <f ca="1">IF(AND(ISNUMBER($AW$865),$B$677=1),$AW$865,HLOOKUP(INDIRECT(ADDRESS(2,COLUMN())),OFFSET($BN$2,0,0,ROW()-1,60),ROW()-1,FALSE))</f>
        <v/>
      </c>
      <c r="AX195" t="str">
        <f ca="1">IF(AND(ISNUMBER($AX$865),$B$677=1),$AX$865,HLOOKUP(INDIRECT(ADDRESS(2,COLUMN())),OFFSET($BN$2,0,0,ROW()-1,60),ROW()-1,FALSE))</f>
        <v/>
      </c>
      <c r="AY195" t="str">
        <f ca="1">IF(AND(ISNUMBER($AY$865),$B$677=1),$AY$865,HLOOKUP(INDIRECT(ADDRESS(2,COLUMN())),OFFSET($BN$2,0,0,ROW()-1,60),ROW()-1,FALSE))</f>
        <v/>
      </c>
      <c r="AZ195" t="str">
        <f ca="1">IF(AND(ISNUMBER($AZ$865),$B$677=1),$AZ$865,HLOOKUP(INDIRECT(ADDRESS(2,COLUMN())),OFFSET($BN$2,0,0,ROW()-1,60),ROW()-1,FALSE))</f>
        <v/>
      </c>
      <c r="BA195" t="str">
        <f ca="1">IF(AND(ISNUMBER($BA$865),$B$677=1),$BA$865,HLOOKUP(INDIRECT(ADDRESS(2,COLUMN())),OFFSET($BN$2,0,0,ROW()-1,60),ROW()-1,FALSE))</f>
        <v/>
      </c>
      <c r="BB195" t="str">
        <f ca="1">IF(AND(ISNUMBER($BB$865),$B$677=1),$BB$865,HLOOKUP(INDIRECT(ADDRESS(2,COLUMN())),OFFSET($BN$2,0,0,ROW()-1,60),ROW()-1,FALSE))</f>
        <v/>
      </c>
      <c r="BC195" t="str">
        <f ca="1">IF(AND(ISNUMBER($BC$865),$B$677=1),$BC$865,HLOOKUP(INDIRECT(ADDRESS(2,COLUMN())),OFFSET($BN$2,0,0,ROW()-1,60),ROW()-1,FALSE))</f>
        <v/>
      </c>
      <c r="BD195" t="str">
        <f ca="1">IF(AND(ISNUMBER($BD$865),$B$677=1),$BD$865,HLOOKUP(INDIRECT(ADDRESS(2,COLUMN())),OFFSET($BN$2,0,0,ROW()-1,60),ROW()-1,FALSE))</f>
        <v/>
      </c>
      <c r="BE195" t="str">
        <f ca="1">IF(AND(ISNUMBER($BE$865),$B$677=1),$BE$865,HLOOKUP(INDIRECT(ADDRESS(2,COLUMN())),OFFSET($BN$2,0,0,ROW()-1,60),ROW()-1,FALSE))</f>
        <v/>
      </c>
      <c r="BF195" t="str">
        <f ca="1">IF(AND(ISNUMBER($BF$865),$B$677=1),$BF$865,HLOOKUP(INDIRECT(ADDRESS(2,COLUMN())),OFFSET($BN$2,0,0,ROW()-1,60),ROW()-1,FALSE))</f>
        <v/>
      </c>
      <c r="BG195" t="str">
        <f ca="1">IF(AND(ISNUMBER($BG$865),$B$677=1),$BG$865,HLOOKUP(INDIRECT(ADDRESS(2,COLUMN())),OFFSET($BN$2,0,0,ROW()-1,60),ROW()-1,FALSE))</f>
        <v/>
      </c>
      <c r="BH195" t="str">
        <f ca="1">IF(AND(ISNUMBER($BH$865),$B$677=1),$BH$865,HLOOKUP(INDIRECT(ADDRESS(2,COLUMN())),OFFSET($BN$2,0,0,ROW()-1,60),ROW()-1,FALSE))</f>
        <v/>
      </c>
      <c r="BI195" t="str">
        <f ca="1">IF(AND(ISNUMBER($BI$865),$B$677=1),$BI$865,HLOOKUP(INDIRECT(ADDRESS(2,COLUMN())),OFFSET($BN$2,0,0,ROW()-1,60),ROW()-1,FALSE))</f>
        <v/>
      </c>
      <c r="BJ195" t="str">
        <f ca="1">IF(AND(ISNUMBER($BJ$865),$B$677=1),$BJ$865,HLOOKUP(INDIRECT(ADDRESS(2,COLUMN())),OFFSET($BN$2,0,0,ROW()-1,60),ROW()-1,FALSE))</f>
        <v/>
      </c>
      <c r="BK195" t="str">
        <f ca="1">IF(AND(ISNUMBER($BK$865),$B$677=1),$BK$865,HLOOKUP(INDIRECT(ADDRESS(2,COLUMN())),OFFSET($BN$2,0,0,ROW()-1,60),ROW()-1,FALSE))</f>
        <v/>
      </c>
      <c r="BL195" t="str">
        <f ca="1">IF(AND(ISNUMBER($BL$865),$B$677=1),$BL$865,HLOOKUP(INDIRECT(ADDRESS(2,COLUMN())),OFFSET($BN$2,0,0,ROW()-1,60),ROW()-1,FALSE))</f>
        <v/>
      </c>
      <c r="BM195" t="str">
        <f ca="1">IF(AND(ISNUMBER($BM$865),$B$677=1),$BM$865,HLOOKUP(INDIRECT(ADDRESS(2,COLUMN())),OFFSET($BN$2,0,0,ROW()-1,60),ROW()-1,FALSE))</f>
        <v/>
      </c>
      <c r="BN195" t="str">
        <f>""</f>
        <v/>
      </c>
      <c r="BO195" t="str">
        <f>""</f>
        <v/>
      </c>
      <c r="BP195" t="str">
        <f>""</f>
        <v/>
      </c>
      <c r="BQ195" t="str">
        <f>""</f>
        <v/>
      </c>
      <c r="BR195" t="str">
        <f>""</f>
        <v/>
      </c>
      <c r="BS195" t="str">
        <f>""</f>
        <v/>
      </c>
      <c r="BT195" t="str">
        <f>""</f>
        <v/>
      </c>
      <c r="BU195" t="str">
        <f>""</f>
        <v/>
      </c>
      <c r="BV195" t="str">
        <f>""</f>
        <v/>
      </c>
      <c r="BW195" t="str">
        <f>""</f>
        <v/>
      </c>
      <c r="BX195" t="str">
        <f>""</f>
        <v/>
      </c>
      <c r="BY195" t="str">
        <f>""</f>
        <v/>
      </c>
      <c r="BZ195" t="str">
        <f>""</f>
        <v/>
      </c>
      <c r="CA195" t="str">
        <f>""</f>
        <v/>
      </c>
      <c r="CB195" t="str">
        <f>""</f>
        <v/>
      </c>
      <c r="CC195" t="str">
        <f>""</f>
        <v/>
      </c>
      <c r="CD195" t="str">
        <f>""</f>
        <v/>
      </c>
      <c r="CE195" t="str">
        <f>""</f>
        <v/>
      </c>
      <c r="CF195" t="str">
        <f>""</f>
        <v/>
      </c>
      <c r="CG195" t="str">
        <f>""</f>
        <v/>
      </c>
      <c r="CH195" t="str">
        <f>""</f>
        <v/>
      </c>
      <c r="CI195" t="str">
        <f>""</f>
        <v/>
      </c>
      <c r="CJ195" t="str">
        <f>""</f>
        <v/>
      </c>
      <c r="CK195" t="str">
        <f>""</f>
        <v/>
      </c>
      <c r="CL195" t="str">
        <f>""</f>
        <v/>
      </c>
      <c r="CM195" t="str">
        <f>""</f>
        <v/>
      </c>
      <c r="CN195" t="str">
        <f>""</f>
        <v/>
      </c>
      <c r="CO195" t="str">
        <f>""</f>
        <v/>
      </c>
      <c r="CP195" t="str">
        <f>""</f>
        <v/>
      </c>
      <c r="CQ195" t="str">
        <f>""</f>
        <v/>
      </c>
      <c r="CR195" t="str">
        <f>""</f>
        <v/>
      </c>
      <c r="CS195" t="str">
        <f>""</f>
        <v/>
      </c>
      <c r="CT195" t="str">
        <f>""</f>
        <v/>
      </c>
      <c r="CU195" t="str">
        <f>""</f>
        <v/>
      </c>
      <c r="CV195" t="str">
        <f>""</f>
        <v/>
      </c>
      <c r="CW195" t="str">
        <f>""</f>
        <v/>
      </c>
      <c r="CX195" t="str">
        <f>""</f>
        <v/>
      </c>
      <c r="CY195" t="str">
        <f>""</f>
        <v/>
      </c>
      <c r="CZ195" t="str">
        <f>""</f>
        <v/>
      </c>
      <c r="DA195" t="str">
        <f>""</f>
        <v/>
      </c>
      <c r="DB195" t="str">
        <f>""</f>
        <v/>
      </c>
      <c r="DC195" t="str">
        <f>""</f>
        <v/>
      </c>
      <c r="DD195" t="str">
        <f>""</f>
        <v/>
      </c>
      <c r="DE195" t="str">
        <f>""</f>
        <v/>
      </c>
      <c r="DF195" t="str">
        <f>""</f>
        <v/>
      </c>
      <c r="DG195" t="str">
        <f>""</f>
        <v/>
      </c>
      <c r="DH195" t="str">
        <f>""</f>
        <v/>
      </c>
      <c r="DI195" t="str">
        <f>""</f>
        <v/>
      </c>
      <c r="DJ195" t="str">
        <f>""</f>
        <v/>
      </c>
      <c r="DK195" t="str">
        <f>""</f>
        <v/>
      </c>
      <c r="DL195" t="str">
        <f>""</f>
        <v/>
      </c>
      <c r="DM195" t="str">
        <f>""</f>
        <v/>
      </c>
      <c r="DN195" t="str">
        <f>""</f>
        <v/>
      </c>
      <c r="DO195" t="str">
        <f>""</f>
        <v/>
      </c>
      <c r="DP195" t="str">
        <f>""</f>
        <v/>
      </c>
      <c r="DQ195" t="str">
        <f>""</f>
        <v/>
      </c>
      <c r="DR195" t="str">
        <f>""</f>
        <v/>
      </c>
      <c r="DS195" t="str">
        <f>""</f>
        <v/>
      </c>
      <c r="DT195" t="str">
        <f>""</f>
        <v/>
      </c>
      <c r="DU195" t="str">
        <f>""</f>
        <v/>
      </c>
    </row>
    <row r="196" spans="1:125" x14ac:dyDescent="0.25">
      <c r="A196" t="str">
        <f>"    SAIC Motor Corp Ltd"</f>
        <v xml:space="preserve">    SAIC Motor Corp Ltd</v>
      </c>
      <c r="B196" t="str">
        <f>"600104 CH Equity"</f>
        <v>600104 CH Equity</v>
      </c>
      <c r="C196" t="str">
        <f t="shared" si="12"/>
        <v>RX077</v>
      </c>
      <c r="D196" t="str">
        <f t="shared" si="13"/>
        <v>PX_TO_TANG_BOOK_VAL_PER_SH</v>
      </c>
      <c r="E196" t="str">
        <f t="shared" si="14"/>
        <v>Dynamic</v>
      </c>
      <c r="F196">
        <f ca="1">IF(AND(ISNUMBER($F$866),$B$677=1),$F$866,HLOOKUP(INDIRECT(ADDRESS(2,COLUMN())),OFFSET($BN$2,0,0,ROW()-1,60),ROW()-1,FALSE))</f>
        <v>1.535361623</v>
      </c>
      <c r="G196">
        <f ca="1">IF(AND(ISNUMBER($G$866),$B$677=1),$G$866,HLOOKUP(INDIRECT(ADDRESS(2,COLUMN())),OFFSET($BN$2,0,0,ROW()-1,60),ROW()-1,FALSE))</f>
        <v>1.441326804</v>
      </c>
      <c r="H196">
        <f ca="1">IF(AND(ISNUMBER($H$866),$B$677=1),$H$866,HLOOKUP(INDIRECT(ADDRESS(2,COLUMN())),OFFSET($BN$2,0,0,ROW()-1,60),ROW()-1,FALSE))</f>
        <v>1.798551032</v>
      </c>
      <c r="I196">
        <f ca="1">IF(AND(ISNUMBER($I$866),$B$677=1),$I$866,HLOOKUP(INDIRECT(ADDRESS(2,COLUMN())),OFFSET($BN$2,0,0,ROW()-1,60),ROW()-1,FALSE))</f>
        <v>1.89093858</v>
      </c>
      <c r="J196">
        <f ca="1">IF(AND(ISNUMBER($J$866),$B$677=1),$J$866,HLOOKUP(INDIRECT(ADDRESS(2,COLUMN())),OFFSET($BN$2,0,0,ROW()-1,60),ROW()-1,FALSE))</f>
        <v>1.799493996</v>
      </c>
      <c r="K196">
        <f ca="1">IF(AND(ISNUMBER($K$866),$B$677=1),$K$866,HLOOKUP(INDIRECT(ADDRESS(2,COLUMN())),OFFSET($BN$2,0,0,ROW()-1,60),ROW()-1,FALSE))</f>
        <v>1.6769511989999999</v>
      </c>
      <c r="L196">
        <f ca="1">IF(AND(ISNUMBER($L$866),$B$677=1),$L$866,HLOOKUP(INDIRECT(ADDRESS(2,COLUMN())),OFFSET($BN$2,0,0,ROW()-1,60),ROW()-1,FALSE))</f>
        <v>1.73182488</v>
      </c>
      <c r="M196">
        <f ca="1">IF(AND(ISNUMBER($M$866),$B$677=1),$M$866,HLOOKUP(INDIRECT(ADDRESS(2,COLUMN())),OFFSET($BN$2,0,0,ROW()-1,60),ROW()-1,FALSE))</f>
        <v>1.779019688</v>
      </c>
      <c r="N196">
        <f ca="1">IF(AND(ISNUMBER($N$866),$B$677=1),$N$866,HLOOKUP(INDIRECT(ADDRESS(2,COLUMN())),OFFSET($BN$2,0,0,ROW()-1,60),ROW()-1,FALSE))</f>
        <v>1.444108655</v>
      </c>
      <c r="O196">
        <f ca="1">IF(AND(ISNUMBER($O$866),$B$677=1),$O$866,HLOOKUP(INDIRECT(ADDRESS(2,COLUMN())),OFFSET($BN$2,0,0,ROW()-1,60),ROW()-1,FALSE))</f>
        <v>1.3597902930000001</v>
      </c>
      <c r="P196">
        <f ca="1">IF(AND(ISNUMBER($P$866),$B$677=1),$P$866,HLOOKUP(INDIRECT(ADDRESS(2,COLUMN())),OFFSET($BN$2,0,0,ROW()-1,60),ROW()-1,FALSE))</f>
        <v>1.376918648</v>
      </c>
      <c r="Q196">
        <f ca="1">IF(AND(ISNUMBER($Q$866),$B$677=1),$Q$866,HLOOKUP(INDIRECT(ADDRESS(2,COLUMN())),OFFSET($BN$2,0,0,ROW()-1,60),ROW()-1,FALSE))</f>
        <v>1.2838659379999999</v>
      </c>
      <c r="R196">
        <f ca="1">IF(AND(ISNUMBER($R$866),$B$677=1),$R$866,HLOOKUP(INDIRECT(ADDRESS(2,COLUMN())),OFFSET($BN$2,0,0,ROW()-1,60),ROW()-1,FALSE))</f>
        <v>1.262879833</v>
      </c>
      <c r="S196">
        <f ca="1">IF(AND(ISNUMBER($S$866),$B$677=1),$S$866,HLOOKUP(INDIRECT(ADDRESS(2,COLUMN())),OFFSET($BN$2,0,0,ROW()-1,60),ROW()-1,FALSE))</f>
        <v>1.3478433759999999</v>
      </c>
      <c r="T196">
        <f ca="1">IF(AND(ISNUMBER($T$866),$B$677=1),$T$866,HLOOKUP(INDIRECT(ADDRESS(2,COLUMN())),OFFSET($BN$2,0,0,ROW()-1,60),ROW()-1,FALSE))</f>
        <v>1.1734934180000001</v>
      </c>
      <c r="U196">
        <f ca="1">IF(AND(ISNUMBER($U$866),$B$677=1),$U$866,HLOOKUP(INDIRECT(ADDRESS(2,COLUMN())),OFFSET($BN$2,0,0,ROW()-1,60),ROW()-1,FALSE))</f>
        <v>1.58046153</v>
      </c>
      <c r="V196">
        <f ca="1">IF(AND(ISNUMBER($V$866),$B$677=1),$V$866,HLOOKUP(INDIRECT(ADDRESS(2,COLUMN())),OFFSET($BN$2,0,0,ROW()-1,60),ROW()-1,FALSE))</f>
        <v>1.732629585</v>
      </c>
      <c r="W196">
        <f ca="1">IF(AND(ISNUMBER($W$866),$B$677=1),$W$866,HLOOKUP(INDIRECT(ADDRESS(2,COLUMN())),OFFSET($BN$2,0,0,ROW()-1,60),ROW()-1,FALSE))</f>
        <v>1.5102506739999999</v>
      </c>
      <c r="X196">
        <f ca="1">IF(AND(ISNUMBER($X$866),$B$677=1),$X$866,HLOOKUP(INDIRECT(ADDRESS(2,COLUMN())),OFFSET($BN$2,0,0,ROW()-1,60),ROW()-1,FALSE))</f>
        <v>1.436628521</v>
      </c>
      <c r="Y196">
        <f ca="1">IF(AND(ISNUMBER($Y$866),$B$677=1),$Y$866,HLOOKUP(INDIRECT(ADDRESS(2,COLUMN())),OFFSET($BN$2,0,0,ROW()-1,60),ROW()-1,FALSE))</f>
        <v>1.2327036929999999</v>
      </c>
      <c r="Z196">
        <f ca="1">IF(AND(ISNUMBER($Z$866),$B$677=1),$Z$866,HLOOKUP(INDIRECT(ADDRESS(2,COLUMN())),OFFSET($BN$2,0,0,ROW()-1,60),ROW()-1,FALSE))</f>
        <v>1.102998275</v>
      </c>
      <c r="AA196">
        <f ca="1">IF(AND(ISNUMBER($AA$866),$B$677=1),$AA$866,HLOOKUP(INDIRECT(ADDRESS(2,COLUMN())),OFFSET($BN$2,0,0,ROW()-1,60),ROW()-1,FALSE))</f>
        <v>1.141023157</v>
      </c>
      <c r="AB196">
        <f ca="1">IF(AND(ISNUMBER($AB$866),$B$677=1),$AB$866,HLOOKUP(INDIRECT(ADDRESS(2,COLUMN())),OFFSET($BN$2,0,0,ROW()-1,60),ROW()-1,FALSE))</f>
        <v>1.184572841</v>
      </c>
      <c r="AC196">
        <f ca="1">IF(AND(ISNUMBER($AC$866),$B$677=1),$AC$866,HLOOKUP(INDIRECT(ADDRESS(2,COLUMN())),OFFSET($BN$2,0,0,ROW()-1,60),ROW()-1,FALSE))</f>
        <v>1.177604909</v>
      </c>
      <c r="AD196">
        <f ca="1">IF(AND(ISNUMBER($AD$866),$B$677=1),$AD$866,HLOOKUP(INDIRECT(ADDRESS(2,COLUMN())),OFFSET($BN$2,0,0,ROW()-1,60),ROW()-1,FALSE))</f>
        <v>1.3413758730000001</v>
      </c>
      <c r="AE196">
        <f ca="1">IF(AND(ISNUMBER($AE$866),$B$677=1),$AE$866,HLOOKUP(INDIRECT(ADDRESS(2,COLUMN())),OFFSET($BN$2,0,0,ROW()-1,60),ROW()-1,FALSE))</f>
        <v>1.6221599550000001</v>
      </c>
      <c r="AF196">
        <f ca="1">IF(AND(ISNUMBER($AF$866),$B$677=1),$AF$866,HLOOKUP(INDIRECT(ADDRESS(2,COLUMN())),OFFSET($BN$2,0,0,ROW()-1,60),ROW()-1,FALSE))</f>
        <v>1.3780385500000001</v>
      </c>
      <c r="AG196">
        <f ca="1">IF(AND(ISNUMBER($AG$866),$B$677=1),$AG$866,HLOOKUP(INDIRECT(ADDRESS(2,COLUMN())),OFFSET($BN$2,0,0,ROW()-1,60),ROW()-1,FALSE))</f>
        <v>1.4907494560000001</v>
      </c>
      <c r="AH196">
        <f ca="1">IF(AND(ISNUMBER($AH$866),$B$677=1),$AH$866,HLOOKUP(INDIRECT(ADDRESS(2,COLUMN())),OFFSET($BN$2,0,0,ROW()-1,60),ROW()-1,FALSE))</f>
        <v>1.6446878250000001</v>
      </c>
      <c r="AI196">
        <f ca="1">IF(AND(ISNUMBER($AI$866),$B$677=1),$AI$866,HLOOKUP(INDIRECT(ADDRESS(2,COLUMN())),OFFSET($BN$2,0,0,ROW()-1,60),ROW()-1,FALSE))</f>
        <v>1.583607634</v>
      </c>
      <c r="AJ196">
        <f ca="1">IF(AND(ISNUMBER($AJ$866),$B$677=1),$AJ$866,HLOOKUP(INDIRECT(ADDRESS(2,COLUMN())),OFFSET($BN$2,0,0,ROW()-1,60),ROW()-1,FALSE))</f>
        <v>2.115482262</v>
      </c>
      <c r="AK196">
        <f ca="1">IF(AND(ISNUMBER($AK$866),$B$677=1),$AK$866,HLOOKUP(INDIRECT(ADDRESS(2,COLUMN())),OFFSET($BN$2,0,0,ROW()-1,60),ROW()-1,FALSE))</f>
        <v>2.510256719</v>
      </c>
      <c r="AL196">
        <f ca="1">IF(AND(ISNUMBER($AL$866),$B$677=1),$AL$866,HLOOKUP(INDIRECT(ADDRESS(2,COLUMN())),OFFSET($BN$2,0,0,ROW()-1,60),ROW()-1,FALSE))</f>
        <v>2.0558159859999998</v>
      </c>
      <c r="AM196">
        <f ca="1">IF(AND(ISNUMBER($AM$866),$B$677=1),$AM$866,HLOOKUP(INDIRECT(ADDRESS(2,COLUMN())),OFFSET($BN$2,0,0,ROW()-1,60),ROW()-1,FALSE))</f>
        <v>1.6357386819999999</v>
      </c>
      <c r="AN196">
        <f ca="1">IF(AND(ISNUMBER($AN$866),$B$677=1),$AN$866,HLOOKUP(INDIRECT(ADDRESS(2,COLUMN())),OFFSET($BN$2,0,0,ROW()-1,60),ROW()-1,FALSE))</f>
        <v>3.1833862530000001</v>
      </c>
      <c r="AO196">
        <f ca="1">IF(AND(ISNUMBER($AO$866),$B$677=1),$AO$866,HLOOKUP(INDIRECT(ADDRESS(2,COLUMN())),OFFSET($BN$2,0,0,ROW()-1,60),ROW()-1,FALSE))</f>
        <v>2.3580069090000002</v>
      </c>
      <c r="AP196">
        <f ca="1">IF(AND(ISNUMBER($AP$866),$B$677=1),$AP$866,HLOOKUP(INDIRECT(ADDRESS(2,COLUMN())),OFFSET($BN$2,0,0,ROW()-1,60),ROW()-1,FALSE))</f>
        <v>3.4768816409999999</v>
      </c>
      <c r="AQ196">
        <f ca="1">IF(AND(ISNUMBER($AQ$866),$B$677=1),$AQ$866,HLOOKUP(INDIRECT(ADDRESS(2,COLUMN())),OFFSET($BN$2,0,0,ROW()-1,60),ROW()-1,FALSE))</f>
        <v>4.2664500509999996</v>
      </c>
      <c r="AR196">
        <f ca="1">IF(AND(ISNUMBER($AR$866),$B$677=1),$AR$866,HLOOKUP(INDIRECT(ADDRESS(2,COLUMN())),OFFSET($BN$2,0,0,ROW()-1,60),ROW()-1,FALSE))</f>
        <v>3.6216440909999998</v>
      </c>
      <c r="AS196">
        <f ca="1">IF(AND(ISNUMBER($AS$866),$B$677=1),$AS$866,HLOOKUP(INDIRECT(ADDRESS(2,COLUMN())),OFFSET($BN$2,0,0,ROW()-1,60),ROW()-1,FALSE))</f>
        <v>2.7693473910000002</v>
      </c>
      <c r="AT196">
        <f ca="1">IF(AND(ISNUMBER($AT$866),$B$677=1),$AT$866,HLOOKUP(INDIRECT(ADDRESS(2,COLUMN())),OFFSET($BN$2,0,0,ROW()-1,60),ROW()-1,FALSE))</f>
        <v>1.967293518</v>
      </c>
      <c r="AU196">
        <f ca="1">IF(AND(ISNUMBER($AU$866),$B$677=1),$AU$866,HLOOKUP(INDIRECT(ADDRESS(2,COLUMN())),OFFSET($BN$2,0,0,ROW()-1,60),ROW()-1,FALSE))</f>
        <v>1.0355454420000001</v>
      </c>
      <c r="AV196">
        <f ca="1">IF(AND(ISNUMBER($AV$866),$B$677=1),$AV$866,HLOOKUP(INDIRECT(ADDRESS(2,COLUMN())),OFFSET($BN$2,0,0,ROW()-1,60),ROW()-1,FALSE))</f>
        <v>1.2907395800000001</v>
      </c>
      <c r="AW196">
        <f ca="1">IF(AND(ISNUMBER($AW$866),$B$677=1),$AW$866,HLOOKUP(INDIRECT(ADDRESS(2,COLUMN())),OFFSET($BN$2,0,0,ROW()-1,60),ROW()-1,FALSE))</f>
        <v>1.382861568</v>
      </c>
      <c r="AX196">
        <f ca="1">IF(AND(ISNUMBER($AX$866),$B$677=1),$AX$866,HLOOKUP(INDIRECT(ADDRESS(2,COLUMN())),OFFSET($BN$2,0,0,ROW()-1,60),ROW()-1,FALSE))</f>
        <v>2.48202575</v>
      </c>
      <c r="AY196">
        <f ca="1">IF(AND(ISNUMBER($AY$866),$B$677=1),$AY$866,HLOOKUP(INDIRECT(ADDRESS(2,COLUMN())),OFFSET($BN$2,0,0,ROW()-1,60),ROW()-1,FALSE))</f>
        <v>4.640521219</v>
      </c>
      <c r="AZ196">
        <f ca="1">IF(AND(ISNUMBER($AZ$866),$B$677=1),$AZ$866,HLOOKUP(INDIRECT(ADDRESS(2,COLUMN())),OFFSET($BN$2,0,0,ROW()-1,60),ROW()-1,FALSE))</f>
        <v>5.753776663</v>
      </c>
      <c r="BA196">
        <f ca="1">IF(AND(ISNUMBER($BA$866),$B$677=1),$BA$866,HLOOKUP(INDIRECT(ADDRESS(2,COLUMN())),OFFSET($BN$2,0,0,ROW()-1,60),ROW()-1,FALSE))</f>
        <v>3.3091228739999998</v>
      </c>
      <c r="BB196">
        <f ca="1">IF(AND(ISNUMBER($BB$866),$B$677=1),$BB$866,HLOOKUP(INDIRECT(ADDRESS(2,COLUMN())),OFFSET($BN$2,0,0,ROW()-1,60),ROW()-1,FALSE))</f>
        <v>2.5661228600000001</v>
      </c>
      <c r="BC196">
        <f ca="1">IF(AND(ISNUMBER($BC$866),$B$677=1),$BC$866,HLOOKUP(INDIRECT(ADDRESS(2,COLUMN())),OFFSET($BN$2,0,0,ROW()-1,60),ROW()-1,FALSE))</f>
        <v>1.6674195730000001</v>
      </c>
      <c r="BD196">
        <f ca="1">IF(AND(ISNUMBER($BD$866),$B$677=1),$BD$866,HLOOKUP(INDIRECT(ADDRESS(2,COLUMN())),OFFSET($BN$2,0,0,ROW()-1,60),ROW()-1,FALSE))</f>
        <v>1.468091684</v>
      </c>
      <c r="BE196">
        <f ca="1">IF(AND(ISNUMBER($BE$866),$B$677=1),$BE$866,HLOOKUP(INDIRECT(ADDRESS(2,COLUMN())),OFFSET($BN$2,0,0,ROW()-1,60),ROW()-1,FALSE))</f>
        <v>1.6924233950000001</v>
      </c>
      <c r="BF196">
        <f ca="1">IF(AND(ISNUMBER($BF$866),$B$677=1),$BF$866,HLOOKUP(INDIRECT(ADDRESS(2,COLUMN())),OFFSET($BN$2,0,0,ROW()-1,60),ROW()-1,FALSE))</f>
        <v>0.96532450199999997</v>
      </c>
      <c r="BG196">
        <f ca="1">IF(AND(ISNUMBER($BG$866),$B$677=1),$BG$866,HLOOKUP(INDIRECT(ADDRESS(2,COLUMN())),OFFSET($BN$2,0,0,ROW()-1,60),ROW()-1,FALSE))</f>
        <v>0.93241526799999996</v>
      </c>
      <c r="BH196">
        <f ca="1">IF(AND(ISNUMBER($BH$866),$B$677=1),$BH$866,HLOOKUP(INDIRECT(ADDRESS(2,COLUMN())),OFFSET($BN$2,0,0,ROW()-1,60),ROW()-1,FALSE))</f>
        <v>1.536562129</v>
      </c>
      <c r="BI196">
        <f ca="1">IF(AND(ISNUMBER($BI$866),$B$677=1),$BI$866,HLOOKUP(INDIRECT(ADDRESS(2,COLUMN())),OFFSET($BN$2,0,0,ROW()-1,60),ROW()-1,FALSE))</f>
        <v>1.280468441</v>
      </c>
      <c r="BJ196">
        <f ca="1">IF(AND(ISNUMBER($BJ$866),$B$677=1),$BJ$866,HLOOKUP(INDIRECT(ADDRESS(2,COLUMN())),OFFSET($BN$2,0,0,ROW()-1,60),ROW()-1,FALSE))</f>
        <v>1.241805871</v>
      </c>
      <c r="BK196">
        <f ca="1">IF(AND(ISNUMBER($BK$866),$B$677=1),$BK$866,HLOOKUP(INDIRECT(ADDRESS(2,COLUMN())),OFFSET($BN$2,0,0,ROW()-1,60),ROW()-1,FALSE))</f>
        <v>1.368579556</v>
      </c>
      <c r="BL196">
        <f ca="1">IF(AND(ISNUMBER($BL$866),$B$677=1),$BL$866,HLOOKUP(INDIRECT(ADDRESS(2,COLUMN())),OFFSET($BN$2,0,0,ROW()-1,60),ROW()-1,FALSE))</f>
        <v>2.4614860219999999</v>
      </c>
      <c r="BM196">
        <f ca="1">IF(AND(ISNUMBER($BM$866),$B$677=1),$BM$866,HLOOKUP(INDIRECT(ADDRESS(2,COLUMN())),OFFSET($BN$2,0,0,ROW()-1,60),ROW()-1,FALSE))</f>
        <v>2.5987436069999998</v>
      </c>
      <c r="BN196">
        <f>1.535361623</f>
        <v>1.535361623</v>
      </c>
      <c r="BO196">
        <f>1.441326804</f>
        <v>1.441326804</v>
      </c>
      <c r="BP196">
        <f>1.798551032</f>
        <v>1.798551032</v>
      </c>
      <c r="BQ196">
        <f>1.89093858</f>
        <v>1.89093858</v>
      </c>
      <c r="BR196">
        <f>1.799493996</f>
        <v>1.799493996</v>
      </c>
      <c r="BS196">
        <f>1.676951199</f>
        <v>1.6769511989999999</v>
      </c>
      <c r="BT196">
        <f>1.73182488</f>
        <v>1.73182488</v>
      </c>
      <c r="BU196">
        <f>1.779019688</f>
        <v>1.779019688</v>
      </c>
      <c r="BV196">
        <f>1.444108655</f>
        <v>1.444108655</v>
      </c>
      <c r="BW196">
        <f>1.359790293</f>
        <v>1.3597902930000001</v>
      </c>
      <c r="BX196">
        <f>1.376918648</f>
        <v>1.376918648</v>
      </c>
      <c r="BY196">
        <f>1.283865938</f>
        <v>1.2838659379999999</v>
      </c>
      <c r="BZ196">
        <f>1.262879833</f>
        <v>1.262879833</v>
      </c>
      <c r="CA196">
        <f>1.347843376</f>
        <v>1.3478433759999999</v>
      </c>
      <c r="CB196">
        <f>1.173493418</f>
        <v>1.1734934180000001</v>
      </c>
      <c r="CC196">
        <f>1.58046153</f>
        <v>1.58046153</v>
      </c>
      <c r="CD196">
        <f>1.732629585</f>
        <v>1.732629585</v>
      </c>
      <c r="CE196">
        <f>1.510250674</f>
        <v>1.5102506739999999</v>
      </c>
      <c r="CF196">
        <f>1.436628521</f>
        <v>1.436628521</v>
      </c>
      <c r="CG196">
        <f>1.232703693</f>
        <v>1.2327036929999999</v>
      </c>
      <c r="CH196">
        <f>1.102998275</f>
        <v>1.102998275</v>
      </c>
      <c r="CI196">
        <f>1.141023157</f>
        <v>1.141023157</v>
      </c>
      <c r="CJ196">
        <f>1.184572841</f>
        <v>1.184572841</v>
      </c>
      <c r="CK196">
        <f>1.177604909</f>
        <v>1.177604909</v>
      </c>
      <c r="CL196">
        <f>1.341375873</f>
        <v>1.3413758730000001</v>
      </c>
      <c r="CM196">
        <f>1.622159955</f>
        <v>1.6221599550000001</v>
      </c>
      <c r="CN196">
        <f>1.37803855</f>
        <v>1.3780385500000001</v>
      </c>
      <c r="CO196">
        <f>1.490749456</f>
        <v>1.4907494560000001</v>
      </c>
      <c r="CP196">
        <f>1.644687825</f>
        <v>1.6446878250000001</v>
      </c>
      <c r="CQ196">
        <f>1.583607634</f>
        <v>1.583607634</v>
      </c>
      <c r="CR196">
        <f>2.115482262</f>
        <v>2.115482262</v>
      </c>
      <c r="CS196">
        <f>2.510256719</f>
        <v>2.510256719</v>
      </c>
      <c r="CT196">
        <f>2.055815986</f>
        <v>2.0558159859999998</v>
      </c>
      <c r="CU196">
        <f>1.635738682</f>
        <v>1.6357386819999999</v>
      </c>
      <c r="CV196">
        <f>3.183386253</f>
        <v>3.1833862530000001</v>
      </c>
      <c r="CW196">
        <f>2.358006909</f>
        <v>2.3580069090000002</v>
      </c>
      <c r="CX196">
        <f>3.476881641</f>
        <v>3.4768816409999999</v>
      </c>
      <c r="CY196">
        <f>4.266450051</f>
        <v>4.2664500509999996</v>
      </c>
      <c r="CZ196">
        <f>3.621644091</f>
        <v>3.6216440909999998</v>
      </c>
      <c r="DA196">
        <f>2.769347391</f>
        <v>2.7693473910000002</v>
      </c>
      <c r="DB196">
        <f>1.967293518</f>
        <v>1.967293518</v>
      </c>
      <c r="DC196">
        <f>1.035545442</f>
        <v>1.0355454420000001</v>
      </c>
      <c r="DD196">
        <f>1.29073958</f>
        <v>1.2907395800000001</v>
      </c>
      <c r="DE196">
        <f>1.382861568</f>
        <v>1.382861568</v>
      </c>
      <c r="DF196">
        <f>2.48202575</f>
        <v>2.48202575</v>
      </c>
      <c r="DG196">
        <f>4.640521219</f>
        <v>4.640521219</v>
      </c>
      <c r="DH196">
        <f>5.753776663</f>
        <v>5.753776663</v>
      </c>
      <c r="DI196">
        <f>3.309122874</f>
        <v>3.3091228739999998</v>
      </c>
      <c r="DJ196">
        <f>2.56612286</f>
        <v>2.5661228600000001</v>
      </c>
      <c r="DK196">
        <f>1.667419573</f>
        <v>1.6674195730000001</v>
      </c>
      <c r="DL196">
        <f>1.468091684</f>
        <v>1.468091684</v>
      </c>
      <c r="DM196">
        <f>1.692423395</f>
        <v>1.6924233950000001</v>
      </c>
      <c r="DN196">
        <f>0.965324502</f>
        <v>0.96532450199999997</v>
      </c>
      <c r="DO196">
        <f>0.932415268</f>
        <v>0.93241526799999996</v>
      </c>
      <c r="DP196">
        <f>1.536562129</f>
        <v>1.536562129</v>
      </c>
      <c r="DQ196">
        <f>1.280468441</f>
        <v>1.280468441</v>
      </c>
      <c r="DR196">
        <f>1.241805871</f>
        <v>1.241805871</v>
      </c>
      <c r="DS196">
        <f>1.368579556</f>
        <v>1.368579556</v>
      </c>
      <c r="DT196">
        <f>2.461486022</f>
        <v>2.4614860219999999</v>
      </c>
      <c r="DU196">
        <f>2.598743607</f>
        <v>2.5987436069999998</v>
      </c>
    </row>
    <row r="197" spans="1:125" x14ac:dyDescent="0.25">
      <c r="A197" t="str">
        <f>"    Sanyang Motor Co Ltd"</f>
        <v xml:space="preserve">    Sanyang Motor Co Ltd</v>
      </c>
      <c r="B197" t="str">
        <f>"2206 TT Equity"</f>
        <v>2206 TT Equity</v>
      </c>
      <c r="C197" t="str">
        <f t="shared" si="12"/>
        <v>RX077</v>
      </c>
      <c r="D197" t="str">
        <f t="shared" si="13"/>
        <v>PX_TO_TANG_BOOK_VAL_PER_SH</v>
      </c>
      <c r="E197" t="str">
        <f t="shared" si="14"/>
        <v>Dynamic</v>
      </c>
      <c r="F197">
        <f ca="1">IF(AND(ISNUMBER($F$867),$B$677=1),$F$867,HLOOKUP(INDIRECT(ADDRESS(2,COLUMN())),OFFSET($BN$2,0,0,ROW()-1,60),ROW()-1,FALSE))</f>
        <v>1.2572014819999999</v>
      </c>
      <c r="G197">
        <f ca="1">IF(AND(ISNUMBER($G$867),$B$677=1),$G$867,HLOOKUP(INDIRECT(ADDRESS(2,COLUMN())),OFFSET($BN$2,0,0,ROW()-1,60),ROW()-1,FALSE))</f>
        <v>1.2540663160000001</v>
      </c>
      <c r="H197">
        <f ca="1">IF(AND(ISNUMBER($H$867),$B$677=1),$H$867,HLOOKUP(INDIRECT(ADDRESS(2,COLUMN())),OFFSET($BN$2,0,0,ROW()-1,60),ROW()-1,FALSE))</f>
        <v>1.285417974</v>
      </c>
      <c r="I197">
        <f ca="1">IF(AND(ISNUMBER($I$867),$B$677=1),$I$867,HLOOKUP(INDIRECT(ADDRESS(2,COLUMN())),OFFSET($BN$2,0,0,ROW()-1,60),ROW()-1,FALSE))</f>
        <v>1.495854679</v>
      </c>
      <c r="J197">
        <f ca="1">IF(AND(ISNUMBER($J$867),$B$677=1),$J$867,HLOOKUP(INDIRECT(ADDRESS(2,COLUMN())),OFFSET($BN$2,0,0,ROW()-1,60),ROW()-1,FALSE))</f>
        <v>1.442963277</v>
      </c>
      <c r="K197">
        <f ca="1">IF(AND(ISNUMBER($K$867),$B$677=1),$K$867,HLOOKUP(INDIRECT(ADDRESS(2,COLUMN())),OFFSET($BN$2,0,0,ROW()-1,60),ROW()-1,FALSE))</f>
        <v>1.4279531409999999</v>
      </c>
      <c r="L197">
        <f ca="1">IF(AND(ISNUMBER($L$867),$B$677=1),$L$867,HLOOKUP(INDIRECT(ADDRESS(2,COLUMN())),OFFSET($BN$2,0,0,ROW()-1,60),ROW()-1,FALSE))</f>
        <v>1.379507456</v>
      </c>
      <c r="M197">
        <f ca="1">IF(AND(ISNUMBER($M$867),$B$677=1),$M$867,HLOOKUP(INDIRECT(ADDRESS(2,COLUMN())),OFFSET($BN$2,0,0,ROW()-1,60),ROW()-1,FALSE))</f>
        <v>1.418366821</v>
      </c>
      <c r="N197">
        <f ca="1">IF(AND(ISNUMBER($N$867),$B$677=1),$N$867,HLOOKUP(INDIRECT(ADDRESS(2,COLUMN())),OFFSET($BN$2,0,0,ROW()-1,60),ROW()-1,FALSE))</f>
        <v>1.3094729540000001</v>
      </c>
      <c r="O197">
        <f ca="1">IF(AND(ISNUMBER($O$867),$B$677=1),$O$867,HLOOKUP(INDIRECT(ADDRESS(2,COLUMN())),OFFSET($BN$2,0,0,ROW()-1,60),ROW()-1,FALSE))</f>
        <v>1.2234107890000001</v>
      </c>
      <c r="P197" t="str">
        <f ca="1">IF(AND(ISNUMBER($P$867),$B$677=1),$P$867,HLOOKUP(INDIRECT(ADDRESS(2,COLUMN())),OFFSET($BN$2,0,0,ROW()-1,60),ROW()-1,FALSE))</f>
        <v/>
      </c>
      <c r="Q197" t="str">
        <f ca="1">IF(AND(ISNUMBER($Q$867),$B$677=1),$Q$867,HLOOKUP(INDIRECT(ADDRESS(2,COLUMN())),OFFSET($BN$2,0,0,ROW()-1,60),ROW()-1,FALSE))</f>
        <v/>
      </c>
      <c r="R197">
        <f ca="1">IF(AND(ISNUMBER($R$867),$B$677=1),$R$867,HLOOKUP(INDIRECT(ADDRESS(2,COLUMN())),OFFSET($BN$2,0,0,ROW()-1,60),ROW()-1,FALSE))</f>
        <v>1.162390238</v>
      </c>
      <c r="S197">
        <f ca="1">IF(AND(ISNUMBER($S$867),$B$677=1),$S$867,HLOOKUP(INDIRECT(ADDRESS(2,COLUMN())),OFFSET($BN$2,0,0,ROW()-1,60),ROW()-1,FALSE))</f>
        <v>1.1839159829999999</v>
      </c>
      <c r="T197">
        <f ca="1">IF(AND(ISNUMBER($T$867),$B$677=1),$T$867,HLOOKUP(INDIRECT(ADDRESS(2,COLUMN())),OFFSET($BN$2,0,0,ROW()-1,60),ROW()-1,FALSE))</f>
        <v>1.2306007370000001</v>
      </c>
      <c r="U197">
        <f ca="1">IF(AND(ISNUMBER($U$867),$B$677=1),$U$867,HLOOKUP(INDIRECT(ADDRESS(2,COLUMN())),OFFSET($BN$2,0,0,ROW()-1,60),ROW()-1,FALSE))</f>
        <v>1.550071032</v>
      </c>
      <c r="V197">
        <f ca="1">IF(AND(ISNUMBER($V$867),$B$677=1),$V$867,HLOOKUP(INDIRECT(ADDRESS(2,COLUMN())),OFFSET($BN$2,0,0,ROW()-1,60),ROW()-1,FALSE))</f>
        <v>1.6835526430000001</v>
      </c>
      <c r="W197">
        <f ca="1">IF(AND(ISNUMBER($W$867),$B$677=1),$W$867,HLOOKUP(INDIRECT(ADDRESS(2,COLUMN())),OFFSET($BN$2,0,0,ROW()-1,60),ROW()-1,FALSE))</f>
        <v>1.7936916009999999</v>
      </c>
      <c r="X197">
        <f ca="1">IF(AND(ISNUMBER($X$867),$B$677=1),$X$867,HLOOKUP(INDIRECT(ADDRESS(2,COLUMN())),OFFSET($BN$2,0,0,ROW()-1,60),ROW()-1,FALSE))</f>
        <v>1.765981866</v>
      </c>
      <c r="Y197">
        <f ca="1">IF(AND(ISNUMBER($Y$867),$B$677=1),$Y$867,HLOOKUP(INDIRECT(ADDRESS(2,COLUMN())),OFFSET($BN$2,0,0,ROW()-1,60),ROW()-1,FALSE))</f>
        <v>1.954443435</v>
      </c>
      <c r="Z197">
        <f ca="1">IF(AND(ISNUMBER($Z$867),$B$677=1),$Z$867,HLOOKUP(INDIRECT(ADDRESS(2,COLUMN())),OFFSET($BN$2,0,0,ROW()-1,60),ROW()-1,FALSE))</f>
        <v>3.2448970689999999</v>
      </c>
      <c r="AA197">
        <f ca="1">IF(AND(ISNUMBER($AA$867),$B$677=1),$AA$867,HLOOKUP(INDIRECT(ADDRESS(2,COLUMN())),OFFSET($BN$2,0,0,ROW()-1,60),ROW()-1,FALSE))</f>
        <v>3.1704247510000001</v>
      </c>
      <c r="AB197">
        <f ca="1">IF(AND(ISNUMBER($AB$867),$B$677=1),$AB$867,HLOOKUP(INDIRECT(ADDRESS(2,COLUMN())),OFFSET($BN$2,0,0,ROW()-1,60),ROW()-1,FALSE))</f>
        <v>2.6881911079999998</v>
      </c>
      <c r="AC197">
        <f ca="1">IF(AND(ISNUMBER($AC$867),$B$677=1),$AC$867,HLOOKUP(INDIRECT(ADDRESS(2,COLUMN())),OFFSET($BN$2,0,0,ROW()-1,60),ROW()-1,FALSE))</f>
        <v>1.792109366</v>
      </c>
      <c r="AD197">
        <f ca="1">IF(AND(ISNUMBER($AD$867),$B$677=1),$AD$867,HLOOKUP(INDIRECT(ADDRESS(2,COLUMN())),OFFSET($BN$2,0,0,ROW()-1,60),ROW()-1,FALSE))</f>
        <v>1.575918111</v>
      </c>
      <c r="AE197">
        <f ca="1">IF(AND(ISNUMBER($AE$867),$B$677=1),$AE$867,HLOOKUP(INDIRECT(ADDRESS(2,COLUMN())),OFFSET($BN$2,0,0,ROW()-1,60),ROW()-1,FALSE))</f>
        <v>1.092442508</v>
      </c>
      <c r="AF197">
        <f ca="1">IF(AND(ISNUMBER($AF$867),$B$677=1),$AF$867,HLOOKUP(INDIRECT(ADDRESS(2,COLUMN())),OFFSET($BN$2,0,0,ROW()-1,60),ROW()-1,FALSE))</f>
        <v>1.225155274</v>
      </c>
      <c r="AG197">
        <f ca="1">IF(AND(ISNUMBER($AG$867),$B$677=1),$AG$867,HLOOKUP(INDIRECT(ADDRESS(2,COLUMN())),OFFSET($BN$2,0,0,ROW()-1,60),ROW()-1,FALSE))</f>
        <v>1.1436101860000001</v>
      </c>
      <c r="AH197">
        <f ca="1">IF(AND(ISNUMBER($AH$867),$B$677=1),$AH$867,HLOOKUP(INDIRECT(ADDRESS(2,COLUMN())),OFFSET($BN$2,0,0,ROW()-1,60),ROW()-1,FALSE))</f>
        <v>1.178805675</v>
      </c>
      <c r="AI197">
        <f ca="1">IF(AND(ISNUMBER($AI$867),$B$677=1),$AI$867,HLOOKUP(INDIRECT(ADDRESS(2,COLUMN())),OFFSET($BN$2,0,0,ROW()-1,60),ROW()-1,FALSE))</f>
        <v>0.98683732099999999</v>
      </c>
      <c r="AJ197">
        <f ca="1">IF(AND(ISNUMBER($AJ$867),$B$677=1),$AJ$867,HLOOKUP(INDIRECT(ADDRESS(2,COLUMN())),OFFSET($BN$2,0,0,ROW()-1,60),ROW()-1,FALSE))</f>
        <v>1.004641399</v>
      </c>
      <c r="AK197">
        <f ca="1">IF(AND(ISNUMBER($AK$867),$B$677=1),$AK$867,HLOOKUP(INDIRECT(ADDRESS(2,COLUMN())),OFFSET($BN$2,0,0,ROW()-1,60),ROW()-1,FALSE))</f>
        <v>1.044529174</v>
      </c>
      <c r="AL197">
        <f ca="1">IF(AND(ISNUMBER($AL$867),$B$677=1),$AL$867,HLOOKUP(INDIRECT(ADDRESS(2,COLUMN())),OFFSET($BN$2,0,0,ROW()-1,60),ROW()-1,FALSE))</f>
        <v>1.0506470539999999</v>
      </c>
      <c r="AM197">
        <f ca="1">IF(AND(ISNUMBER($AM$867),$B$677=1),$AM$867,HLOOKUP(INDIRECT(ADDRESS(2,COLUMN())),OFFSET($BN$2,0,0,ROW()-1,60),ROW()-1,FALSE))</f>
        <v>1.15956741</v>
      </c>
      <c r="AN197">
        <f ca="1">IF(AND(ISNUMBER($AN$867),$B$677=1),$AN$867,HLOOKUP(INDIRECT(ADDRESS(2,COLUMN())),OFFSET($BN$2,0,0,ROW()-1,60),ROW()-1,FALSE))</f>
        <v>0.99256409400000001</v>
      </c>
      <c r="AO197">
        <f ca="1">IF(AND(ISNUMBER($AO$867),$B$677=1),$AO$867,HLOOKUP(INDIRECT(ADDRESS(2,COLUMN())),OFFSET($BN$2,0,0,ROW()-1,60),ROW()-1,FALSE))</f>
        <v>0.76908056400000002</v>
      </c>
      <c r="AP197">
        <f ca="1">IF(AND(ISNUMBER($AP$867),$B$677=1),$AP$867,HLOOKUP(INDIRECT(ADDRESS(2,COLUMN())),OFFSET($BN$2,0,0,ROW()-1,60),ROW()-1,FALSE))</f>
        <v>0.79372990200000004</v>
      </c>
      <c r="AQ197">
        <f ca="1">IF(AND(ISNUMBER($AQ$867),$B$677=1),$AQ$867,HLOOKUP(INDIRECT(ADDRESS(2,COLUMN())),OFFSET($BN$2,0,0,ROW()-1,60),ROW()-1,FALSE))</f>
        <v>0.83744747799999997</v>
      </c>
      <c r="AR197">
        <f ca="1">IF(AND(ISNUMBER($AR$867),$B$677=1),$AR$867,HLOOKUP(INDIRECT(ADDRESS(2,COLUMN())),OFFSET($BN$2,0,0,ROW()-1,60),ROW()-1,FALSE))</f>
        <v>0.88001521999999999</v>
      </c>
      <c r="AS197">
        <f ca="1">IF(AND(ISNUMBER($AS$867),$B$677=1),$AS$867,HLOOKUP(INDIRECT(ADDRESS(2,COLUMN())),OFFSET($BN$2,0,0,ROW()-1,60),ROW()-1,FALSE))</f>
        <v>0.91884734599999995</v>
      </c>
      <c r="AT197">
        <f ca="1">IF(AND(ISNUMBER($AT$867),$B$677=1),$AT$867,HLOOKUP(INDIRECT(ADDRESS(2,COLUMN())),OFFSET($BN$2,0,0,ROW()-1,60),ROW()-1,FALSE))</f>
        <v>0.46754442200000002</v>
      </c>
      <c r="AU197">
        <f ca="1">IF(AND(ISNUMBER($AU$867),$B$677=1),$AU$867,HLOOKUP(INDIRECT(ADDRESS(2,COLUMN())),OFFSET($BN$2,0,0,ROW()-1,60),ROW()-1,FALSE))</f>
        <v>0.36430937499999999</v>
      </c>
      <c r="AV197">
        <f ca="1">IF(AND(ISNUMBER($AV$867),$B$677=1),$AV$867,HLOOKUP(INDIRECT(ADDRESS(2,COLUMN())),OFFSET($BN$2,0,0,ROW()-1,60),ROW()-1,FALSE))</f>
        <v>0.482787825</v>
      </c>
      <c r="AW197">
        <f ca="1">IF(AND(ISNUMBER($AW$867),$B$677=1),$AW$867,HLOOKUP(INDIRECT(ADDRESS(2,COLUMN())),OFFSET($BN$2,0,0,ROW()-1,60),ROW()-1,FALSE))</f>
        <v>0.72419090399999997</v>
      </c>
      <c r="AX197">
        <f ca="1">IF(AND(ISNUMBER($AX$867),$B$677=1),$AX$867,HLOOKUP(INDIRECT(ADDRESS(2,COLUMN())),OFFSET($BN$2,0,0,ROW()-1,60),ROW()-1,FALSE))</f>
        <v>1.32163605</v>
      </c>
      <c r="AY197" t="str">
        <f ca="1">IF(AND(ISNUMBER($AY$867),$B$677=1),$AY$867,HLOOKUP(INDIRECT(ADDRESS(2,COLUMN())),OFFSET($BN$2,0,0,ROW()-1,60),ROW()-1,FALSE))</f>
        <v/>
      </c>
      <c r="AZ197" t="str">
        <f ca="1">IF(AND(ISNUMBER($AZ$867),$B$677=1),$AZ$867,HLOOKUP(INDIRECT(ADDRESS(2,COLUMN())),OFFSET($BN$2,0,0,ROW()-1,60),ROW()-1,FALSE))</f>
        <v/>
      </c>
      <c r="BA197" t="str">
        <f ca="1">IF(AND(ISNUMBER($BA$867),$B$677=1),$BA$867,HLOOKUP(INDIRECT(ADDRESS(2,COLUMN())),OFFSET($BN$2,0,0,ROW()-1,60),ROW()-1,FALSE))</f>
        <v/>
      </c>
      <c r="BB197" t="str">
        <f ca="1">IF(AND(ISNUMBER($BB$867),$B$677=1),$BB$867,HLOOKUP(INDIRECT(ADDRESS(2,COLUMN())),OFFSET($BN$2,0,0,ROW()-1,60),ROW()-1,FALSE))</f>
        <v/>
      </c>
      <c r="BC197" t="str">
        <f ca="1">IF(AND(ISNUMBER($BC$867),$B$677=1),$BC$867,HLOOKUP(INDIRECT(ADDRESS(2,COLUMN())),OFFSET($BN$2,0,0,ROW()-1,60),ROW()-1,FALSE))</f>
        <v/>
      </c>
      <c r="BD197" t="str">
        <f ca="1">IF(AND(ISNUMBER($BD$867),$B$677=1),$BD$867,HLOOKUP(INDIRECT(ADDRESS(2,COLUMN())),OFFSET($BN$2,0,0,ROW()-1,60),ROW()-1,FALSE))</f>
        <v/>
      </c>
      <c r="BE197" t="str">
        <f ca="1">IF(AND(ISNUMBER($BE$867),$B$677=1),$BE$867,HLOOKUP(INDIRECT(ADDRESS(2,COLUMN())),OFFSET($BN$2,0,0,ROW()-1,60),ROW()-1,FALSE))</f>
        <v/>
      </c>
      <c r="BF197" t="str">
        <f ca="1">IF(AND(ISNUMBER($BF$867),$B$677=1),$BF$867,HLOOKUP(INDIRECT(ADDRESS(2,COLUMN())),OFFSET($BN$2,0,0,ROW()-1,60),ROW()-1,FALSE))</f>
        <v/>
      </c>
      <c r="BG197" t="str">
        <f ca="1">IF(AND(ISNUMBER($BG$867),$B$677=1),$BG$867,HLOOKUP(INDIRECT(ADDRESS(2,COLUMN())),OFFSET($BN$2,0,0,ROW()-1,60),ROW()-1,FALSE))</f>
        <v/>
      </c>
      <c r="BH197" t="str">
        <f ca="1">IF(AND(ISNUMBER($BH$867),$B$677=1),$BH$867,HLOOKUP(INDIRECT(ADDRESS(2,COLUMN())),OFFSET($BN$2,0,0,ROW()-1,60),ROW()-1,FALSE))</f>
        <v/>
      </c>
      <c r="BI197" t="str">
        <f ca="1">IF(AND(ISNUMBER($BI$867),$B$677=1),$BI$867,HLOOKUP(INDIRECT(ADDRESS(2,COLUMN())),OFFSET($BN$2,0,0,ROW()-1,60),ROW()-1,FALSE))</f>
        <v/>
      </c>
      <c r="BJ197" t="str">
        <f ca="1">IF(AND(ISNUMBER($BJ$867),$B$677=1),$BJ$867,HLOOKUP(INDIRECT(ADDRESS(2,COLUMN())),OFFSET($BN$2,0,0,ROW()-1,60),ROW()-1,FALSE))</f>
        <v/>
      </c>
      <c r="BK197" t="str">
        <f ca="1">IF(AND(ISNUMBER($BK$867),$B$677=1),$BK$867,HLOOKUP(INDIRECT(ADDRESS(2,COLUMN())),OFFSET($BN$2,0,0,ROW()-1,60),ROW()-1,FALSE))</f>
        <v/>
      </c>
      <c r="BL197" t="str">
        <f ca="1">IF(AND(ISNUMBER($BL$867),$B$677=1),$BL$867,HLOOKUP(INDIRECT(ADDRESS(2,COLUMN())),OFFSET($BN$2,0,0,ROW()-1,60),ROW()-1,FALSE))</f>
        <v/>
      </c>
      <c r="BM197" t="str">
        <f ca="1">IF(AND(ISNUMBER($BM$867),$B$677=1),$BM$867,HLOOKUP(INDIRECT(ADDRESS(2,COLUMN())),OFFSET($BN$2,0,0,ROW()-1,60),ROW()-1,FALSE))</f>
        <v/>
      </c>
      <c r="BN197">
        <f>1.257201482</f>
        <v>1.2572014819999999</v>
      </c>
      <c r="BO197">
        <f>1.254066316</f>
        <v>1.2540663160000001</v>
      </c>
      <c r="BP197">
        <f>1.285417974</f>
        <v>1.285417974</v>
      </c>
      <c r="BQ197">
        <f>1.495854679</f>
        <v>1.495854679</v>
      </c>
      <c r="BR197">
        <f>1.442963277</f>
        <v>1.442963277</v>
      </c>
      <c r="BS197">
        <f>1.427953141</f>
        <v>1.4279531409999999</v>
      </c>
      <c r="BT197">
        <f>1.379507456</f>
        <v>1.379507456</v>
      </c>
      <c r="BU197">
        <f>1.418366821</f>
        <v>1.418366821</v>
      </c>
      <c r="BV197">
        <f>1.309472954</f>
        <v>1.3094729540000001</v>
      </c>
      <c r="BW197">
        <f>1.223410789</f>
        <v>1.2234107890000001</v>
      </c>
      <c r="BX197" t="str">
        <f>""</f>
        <v/>
      </c>
      <c r="BY197" t="str">
        <f>""</f>
        <v/>
      </c>
      <c r="BZ197">
        <f>1.162390238</f>
        <v>1.162390238</v>
      </c>
      <c r="CA197">
        <f>1.183915983</f>
        <v>1.1839159829999999</v>
      </c>
      <c r="CB197">
        <f>1.230600737</f>
        <v>1.2306007370000001</v>
      </c>
      <c r="CC197">
        <f>1.550071032</f>
        <v>1.550071032</v>
      </c>
      <c r="CD197">
        <f>1.683552643</f>
        <v>1.6835526430000001</v>
      </c>
      <c r="CE197">
        <f>1.793691601</f>
        <v>1.7936916009999999</v>
      </c>
      <c r="CF197">
        <f>1.765981866</f>
        <v>1.765981866</v>
      </c>
      <c r="CG197">
        <f>1.954443435</f>
        <v>1.954443435</v>
      </c>
      <c r="CH197">
        <f>3.244897069</f>
        <v>3.2448970689999999</v>
      </c>
      <c r="CI197">
        <f>3.170424751</f>
        <v>3.1704247510000001</v>
      </c>
      <c r="CJ197">
        <f>2.688191108</f>
        <v>2.6881911079999998</v>
      </c>
      <c r="CK197">
        <f>1.792109366</f>
        <v>1.792109366</v>
      </c>
      <c r="CL197">
        <f>1.575918111</f>
        <v>1.575918111</v>
      </c>
      <c r="CM197">
        <f>1.092442508</f>
        <v>1.092442508</v>
      </c>
      <c r="CN197">
        <f>1.225155274</f>
        <v>1.225155274</v>
      </c>
      <c r="CO197">
        <f>1.143610186</f>
        <v>1.1436101860000001</v>
      </c>
      <c r="CP197">
        <f>1.178805675</f>
        <v>1.178805675</v>
      </c>
      <c r="CQ197">
        <f>0.986837321</f>
        <v>0.98683732099999999</v>
      </c>
      <c r="CR197">
        <f>1.004641399</f>
        <v>1.004641399</v>
      </c>
      <c r="CS197">
        <f>1.044529174</f>
        <v>1.044529174</v>
      </c>
      <c r="CT197">
        <f>1.050647054</f>
        <v>1.0506470539999999</v>
      </c>
      <c r="CU197">
        <f>1.15956741</f>
        <v>1.15956741</v>
      </c>
      <c r="CV197">
        <f>0.992564094</f>
        <v>0.99256409400000001</v>
      </c>
      <c r="CW197">
        <f>0.769080564</f>
        <v>0.76908056400000002</v>
      </c>
      <c r="CX197">
        <f>0.793729902</f>
        <v>0.79372990200000004</v>
      </c>
      <c r="CY197">
        <f>0.837447478</f>
        <v>0.83744747799999997</v>
      </c>
      <c r="CZ197">
        <f>0.88001522</f>
        <v>0.88001521999999999</v>
      </c>
      <c r="DA197">
        <f>0.918847346</f>
        <v>0.91884734599999995</v>
      </c>
      <c r="DB197">
        <f>0.467544422</f>
        <v>0.46754442200000002</v>
      </c>
      <c r="DC197">
        <f>0.364309375</f>
        <v>0.36430937499999999</v>
      </c>
      <c r="DD197">
        <f>0.482787825</f>
        <v>0.482787825</v>
      </c>
      <c r="DE197">
        <f>0.724190904</f>
        <v>0.72419090399999997</v>
      </c>
      <c r="DF197">
        <f>1.32163605</f>
        <v>1.32163605</v>
      </c>
      <c r="DG197" t="str">
        <f>""</f>
        <v/>
      </c>
      <c r="DH197" t="str">
        <f>""</f>
        <v/>
      </c>
      <c r="DI197" t="str">
        <f>""</f>
        <v/>
      </c>
      <c r="DJ197" t="str">
        <f>""</f>
        <v/>
      </c>
      <c r="DK197" t="str">
        <f>""</f>
        <v/>
      </c>
      <c r="DL197" t="str">
        <f>""</f>
        <v/>
      </c>
      <c r="DM197" t="str">
        <f>""</f>
        <v/>
      </c>
      <c r="DN197" t="str">
        <f>""</f>
        <v/>
      </c>
      <c r="DO197" t="str">
        <f>""</f>
        <v/>
      </c>
      <c r="DP197" t="str">
        <f>""</f>
        <v/>
      </c>
      <c r="DQ197" t="str">
        <f>""</f>
        <v/>
      </c>
      <c r="DR197" t="str">
        <f>""</f>
        <v/>
      </c>
      <c r="DS197" t="str">
        <f>""</f>
        <v/>
      </c>
      <c r="DT197" t="str">
        <f>""</f>
        <v/>
      </c>
      <c r="DU197" t="str">
        <f>""</f>
        <v/>
      </c>
    </row>
    <row r="198" spans="1:125" x14ac:dyDescent="0.25">
      <c r="A198" t="str">
        <f>"    Sollers PJSC"</f>
        <v xml:space="preserve">    Sollers PJSC</v>
      </c>
      <c r="B198" t="str">
        <f>"SVAV RM Equity"</f>
        <v>SVAV RM Equity</v>
      </c>
      <c r="C198" t="str">
        <f t="shared" si="12"/>
        <v>RX077</v>
      </c>
      <c r="D198" t="str">
        <f t="shared" si="13"/>
        <v>PX_TO_TANG_BOOK_VAL_PER_SH</v>
      </c>
      <c r="E198" t="str">
        <f t="shared" si="14"/>
        <v>Dynamic</v>
      </c>
      <c r="F198" t="str">
        <f ca="1">IF(AND(ISNUMBER($F$868),$B$677=1),$F$868,HLOOKUP(INDIRECT(ADDRESS(2,COLUMN())),OFFSET($BN$2,0,0,ROW()-1,60),ROW()-1,FALSE))</f>
        <v/>
      </c>
      <c r="G198" t="str">
        <f ca="1">IF(AND(ISNUMBER($G$868),$B$677=1),$G$868,HLOOKUP(INDIRECT(ADDRESS(2,COLUMN())),OFFSET($BN$2,0,0,ROW()-1,60),ROW()-1,FALSE))</f>
        <v/>
      </c>
      <c r="H198" t="str">
        <f ca="1">IF(AND(ISNUMBER($H$868),$B$677=1),$H$868,HLOOKUP(INDIRECT(ADDRESS(2,COLUMN())),OFFSET($BN$2,0,0,ROW()-1,60),ROW()-1,FALSE))</f>
        <v/>
      </c>
      <c r="I198" t="str">
        <f ca="1">IF(AND(ISNUMBER($I$868),$B$677=1),$I$868,HLOOKUP(INDIRECT(ADDRESS(2,COLUMN())),OFFSET($BN$2,0,0,ROW()-1,60),ROW()-1,FALSE))</f>
        <v/>
      </c>
      <c r="J198" t="str">
        <f ca="1">IF(AND(ISNUMBER($J$868),$B$677=1),$J$868,HLOOKUP(INDIRECT(ADDRESS(2,COLUMN())),OFFSET($BN$2,0,0,ROW()-1,60),ROW()-1,FALSE))</f>
        <v/>
      </c>
      <c r="K198" t="str">
        <f ca="1">IF(AND(ISNUMBER($K$868),$B$677=1),$K$868,HLOOKUP(INDIRECT(ADDRESS(2,COLUMN())),OFFSET($BN$2,0,0,ROW()-1,60),ROW()-1,FALSE))</f>
        <v/>
      </c>
      <c r="L198" t="str">
        <f ca="1">IF(AND(ISNUMBER($L$868),$B$677=1),$L$868,HLOOKUP(INDIRECT(ADDRESS(2,COLUMN())),OFFSET($BN$2,0,0,ROW()-1,60),ROW()-1,FALSE))</f>
        <v/>
      </c>
      <c r="M198" t="str">
        <f ca="1">IF(AND(ISNUMBER($M$868),$B$677=1),$M$868,HLOOKUP(INDIRECT(ADDRESS(2,COLUMN())),OFFSET($BN$2,0,0,ROW()-1,60),ROW()-1,FALSE))</f>
        <v/>
      </c>
      <c r="N198" t="str">
        <f ca="1">IF(AND(ISNUMBER($N$868),$B$677=1),$N$868,HLOOKUP(INDIRECT(ADDRESS(2,COLUMN())),OFFSET($BN$2,0,0,ROW()-1,60),ROW()-1,FALSE))</f>
        <v/>
      </c>
      <c r="O198" t="str">
        <f ca="1">IF(AND(ISNUMBER($O$868),$B$677=1),$O$868,HLOOKUP(INDIRECT(ADDRESS(2,COLUMN())),OFFSET($BN$2,0,0,ROW()-1,60),ROW()-1,FALSE))</f>
        <v/>
      </c>
      <c r="P198" t="str">
        <f ca="1">IF(AND(ISNUMBER($P$868),$B$677=1),$P$868,HLOOKUP(INDIRECT(ADDRESS(2,COLUMN())),OFFSET($BN$2,0,0,ROW()-1,60),ROW()-1,FALSE))</f>
        <v/>
      </c>
      <c r="Q198" t="str">
        <f ca="1">IF(AND(ISNUMBER($Q$868),$B$677=1),$Q$868,HLOOKUP(INDIRECT(ADDRESS(2,COLUMN())),OFFSET($BN$2,0,0,ROW()-1,60),ROW()-1,FALSE))</f>
        <v/>
      </c>
      <c r="R198" t="str">
        <f ca="1">IF(AND(ISNUMBER($R$868),$B$677=1),$R$868,HLOOKUP(INDIRECT(ADDRESS(2,COLUMN())),OFFSET($BN$2,0,0,ROW()-1,60),ROW()-1,FALSE))</f>
        <v/>
      </c>
      <c r="S198" t="str">
        <f ca="1">IF(AND(ISNUMBER($S$868),$B$677=1),$S$868,HLOOKUP(INDIRECT(ADDRESS(2,COLUMN())),OFFSET($BN$2,0,0,ROW()-1,60),ROW()-1,FALSE))</f>
        <v/>
      </c>
      <c r="T198" t="str">
        <f ca="1">IF(AND(ISNUMBER($T$868),$B$677=1),$T$868,HLOOKUP(INDIRECT(ADDRESS(2,COLUMN())),OFFSET($BN$2,0,0,ROW()-1,60),ROW()-1,FALSE))</f>
        <v/>
      </c>
      <c r="U198" t="str">
        <f ca="1">IF(AND(ISNUMBER($U$868),$B$677=1),$U$868,HLOOKUP(INDIRECT(ADDRESS(2,COLUMN())),OFFSET($BN$2,0,0,ROW()-1,60),ROW()-1,FALSE))</f>
        <v/>
      </c>
      <c r="V198" t="str">
        <f ca="1">IF(AND(ISNUMBER($V$868),$B$677=1),$V$868,HLOOKUP(INDIRECT(ADDRESS(2,COLUMN())),OFFSET($BN$2,0,0,ROW()-1,60),ROW()-1,FALSE))</f>
        <v/>
      </c>
      <c r="W198" t="str">
        <f ca="1">IF(AND(ISNUMBER($W$868),$B$677=1),$W$868,HLOOKUP(INDIRECT(ADDRESS(2,COLUMN())),OFFSET($BN$2,0,0,ROW()-1,60),ROW()-1,FALSE))</f>
        <v/>
      </c>
      <c r="X198" t="str">
        <f ca="1">IF(AND(ISNUMBER($X$868),$B$677=1),$X$868,HLOOKUP(INDIRECT(ADDRESS(2,COLUMN())),OFFSET($BN$2,0,0,ROW()-1,60),ROW()-1,FALSE))</f>
        <v/>
      </c>
      <c r="Y198" t="str">
        <f ca="1">IF(AND(ISNUMBER($Y$868),$B$677=1),$Y$868,HLOOKUP(INDIRECT(ADDRESS(2,COLUMN())),OFFSET($BN$2,0,0,ROW()-1,60),ROW()-1,FALSE))</f>
        <v/>
      </c>
      <c r="Z198" t="str">
        <f ca="1">IF(AND(ISNUMBER($Z$868),$B$677=1),$Z$868,HLOOKUP(INDIRECT(ADDRESS(2,COLUMN())),OFFSET($BN$2,0,0,ROW()-1,60),ROW()-1,FALSE))</f>
        <v/>
      </c>
      <c r="AA198" t="str">
        <f ca="1">IF(AND(ISNUMBER($AA$868),$B$677=1),$AA$868,HLOOKUP(INDIRECT(ADDRESS(2,COLUMN())),OFFSET($BN$2,0,0,ROW()-1,60),ROW()-1,FALSE))</f>
        <v/>
      </c>
      <c r="AB198" t="str">
        <f ca="1">IF(AND(ISNUMBER($AB$868),$B$677=1),$AB$868,HLOOKUP(INDIRECT(ADDRESS(2,COLUMN())),OFFSET($BN$2,0,0,ROW()-1,60),ROW()-1,FALSE))</f>
        <v/>
      </c>
      <c r="AC198" t="str">
        <f ca="1">IF(AND(ISNUMBER($AC$868),$B$677=1),$AC$868,HLOOKUP(INDIRECT(ADDRESS(2,COLUMN())),OFFSET($BN$2,0,0,ROW()-1,60),ROW()-1,FALSE))</f>
        <v/>
      </c>
      <c r="AD198" t="str">
        <f ca="1">IF(AND(ISNUMBER($AD$868),$B$677=1),$AD$868,HLOOKUP(INDIRECT(ADDRESS(2,COLUMN())),OFFSET($BN$2,0,0,ROW()-1,60),ROW()-1,FALSE))</f>
        <v/>
      </c>
      <c r="AE198" t="str">
        <f ca="1">IF(AND(ISNUMBER($AE$868),$B$677=1),$AE$868,HLOOKUP(INDIRECT(ADDRESS(2,COLUMN())),OFFSET($BN$2,0,0,ROW()-1,60),ROW()-1,FALSE))</f>
        <v/>
      </c>
      <c r="AF198" t="str">
        <f ca="1">IF(AND(ISNUMBER($AF$868),$B$677=1),$AF$868,HLOOKUP(INDIRECT(ADDRESS(2,COLUMN())),OFFSET($BN$2,0,0,ROW()-1,60),ROW()-1,FALSE))</f>
        <v/>
      </c>
      <c r="AG198" t="str">
        <f ca="1">IF(AND(ISNUMBER($AG$868),$B$677=1),$AG$868,HLOOKUP(INDIRECT(ADDRESS(2,COLUMN())),OFFSET($BN$2,0,0,ROW()-1,60),ROW()-1,FALSE))</f>
        <v/>
      </c>
      <c r="AH198" t="str">
        <f ca="1">IF(AND(ISNUMBER($AH$868),$B$677=1),$AH$868,HLOOKUP(INDIRECT(ADDRESS(2,COLUMN())),OFFSET($BN$2,0,0,ROW()-1,60),ROW()-1,FALSE))</f>
        <v/>
      </c>
      <c r="AI198" t="str">
        <f ca="1">IF(AND(ISNUMBER($AI$868),$B$677=1),$AI$868,HLOOKUP(INDIRECT(ADDRESS(2,COLUMN())),OFFSET($BN$2,0,0,ROW()-1,60),ROW()-1,FALSE))</f>
        <v/>
      </c>
      <c r="AJ198" t="str">
        <f ca="1">IF(AND(ISNUMBER($AJ$868),$B$677=1),$AJ$868,HLOOKUP(INDIRECT(ADDRESS(2,COLUMN())),OFFSET($BN$2,0,0,ROW()-1,60),ROW()-1,FALSE))</f>
        <v/>
      </c>
      <c r="AK198" t="str">
        <f ca="1">IF(AND(ISNUMBER($AK$868),$B$677=1),$AK$868,HLOOKUP(INDIRECT(ADDRESS(2,COLUMN())),OFFSET($BN$2,0,0,ROW()-1,60),ROW()-1,FALSE))</f>
        <v/>
      </c>
      <c r="AL198" t="str">
        <f ca="1">IF(AND(ISNUMBER($AL$868),$B$677=1),$AL$868,HLOOKUP(INDIRECT(ADDRESS(2,COLUMN())),OFFSET($BN$2,0,0,ROW()-1,60),ROW()-1,FALSE))</f>
        <v/>
      </c>
      <c r="AM198" t="str">
        <f ca="1">IF(AND(ISNUMBER($AM$868),$B$677=1),$AM$868,HLOOKUP(INDIRECT(ADDRESS(2,COLUMN())),OFFSET($BN$2,0,0,ROW()-1,60),ROW()-1,FALSE))</f>
        <v/>
      </c>
      <c r="AN198" t="str">
        <f ca="1">IF(AND(ISNUMBER($AN$868),$B$677=1),$AN$868,HLOOKUP(INDIRECT(ADDRESS(2,COLUMN())),OFFSET($BN$2,0,0,ROW()-1,60),ROW()-1,FALSE))</f>
        <v/>
      </c>
      <c r="AO198" t="str">
        <f ca="1">IF(AND(ISNUMBER($AO$868),$B$677=1),$AO$868,HLOOKUP(INDIRECT(ADDRESS(2,COLUMN())),OFFSET($BN$2,0,0,ROW()-1,60),ROW()-1,FALSE))</f>
        <v/>
      </c>
      <c r="AP198" t="str">
        <f ca="1">IF(AND(ISNUMBER($AP$868),$B$677=1),$AP$868,HLOOKUP(INDIRECT(ADDRESS(2,COLUMN())),OFFSET($BN$2,0,0,ROW()-1,60),ROW()-1,FALSE))</f>
        <v/>
      </c>
      <c r="AQ198" t="str">
        <f ca="1">IF(AND(ISNUMBER($AQ$868),$B$677=1),$AQ$868,HLOOKUP(INDIRECT(ADDRESS(2,COLUMN())),OFFSET($BN$2,0,0,ROW()-1,60),ROW()-1,FALSE))</f>
        <v/>
      </c>
      <c r="AR198" t="str">
        <f ca="1">IF(AND(ISNUMBER($AR$868),$B$677=1),$AR$868,HLOOKUP(INDIRECT(ADDRESS(2,COLUMN())),OFFSET($BN$2,0,0,ROW()-1,60),ROW()-1,FALSE))</f>
        <v/>
      </c>
      <c r="AS198" t="str">
        <f ca="1">IF(AND(ISNUMBER($AS$868),$B$677=1),$AS$868,HLOOKUP(INDIRECT(ADDRESS(2,COLUMN())),OFFSET($BN$2,0,0,ROW()-1,60),ROW()-1,FALSE))</f>
        <v/>
      </c>
      <c r="AT198" t="str">
        <f ca="1">IF(AND(ISNUMBER($AT$868),$B$677=1),$AT$868,HLOOKUP(INDIRECT(ADDRESS(2,COLUMN())),OFFSET($BN$2,0,0,ROW()-1,60),ROW()-1,FALSE))</f>
        <v/>
      </c>
      <c r="AU198" t="str">
        <f ca="1">IF(AND(ISNUMBER($AU$868),$B$677=1),$AU$868,HLOOKUP(INDIRECT(ADDRESS(2,COLUMN())),OFFSET($BN$2,0,0,ROW()-1,60),ROW()-1,FALSE))</f>
        <v/>
      </c>
      <c r="AV198" t="str">
        <f ca="1">IF(AND(ISNUMBER($AV$868),$B$677=1),$AV$868,HLOOKUP(INDIRECT(ADDRESS(2,COLUMN())),OFFSET($BN$2,0,0,ROW()-1,60),ROW()-1,FALSE))</f>
        <v/>
      </c>
      <c r="AW198" t="str">
        <f ca="1">IF(AND(ISNUMBER($AW$868),$B$677=1),$AW$868,HLOOKUP(INDIRECT(ADDRESS(2,COLUMN())),OFFSET($BN$2,0,0,ROW()-1,60),ROW()-1,FALSE))</f>
        <v/>
      </c>
      <c r="AX198" t="str">
        <f ca="1">IF(AND(ISNUMBER($AX$868),$B$677=1),$AX$868,HLOOKUP(INDIRECT(ADDRESS(2,COLUMN())),OFFSET($BN$2,0,0,ROW()-1,60),ROW()-1,FALSE))</f>
        <v/>
      </c>
      <c r="AY198" t="str">
        <f ca="1">IF(AND(ISNUMBER($AY$868),$B$677=1),$AY$868,HLOOKUP(INDIRECT(ADDRESS(2,COLUMN())),OFFSET($BN$2,0,0,ROW()-1,60),ROW()-1,FALSE))</f>
        <v/>
      </c>
      <c r="AZ198" t="str">
        <f ca="1">IF(AND(ISNUMBER($AZ$868),$B$677=1),$AZ$868,HLOOKUP(INDIRECT(ADDRESS(2,COLUMN())),OFFSET($BN$2,0,0,ROW()-1,60),ROW()-1,FALSE))</f>
        <v/>
      </c>
      <c r="BA198" t="str">
        <f ca="1">IF(AND(ISNUMBER($BA$868),$B$677=1),$BA$868,HLOOKUP(INDIRECT(ADDRESS(2,COLUMN())),OFFSET($BN$2,0,0,ROW()-1,60),ROW()-1,FALSE))</f>
        <v/>
      </c>
      <c r="BB198" t="str">
        <f ca="1">IF(AND(ISNUMBER($BB$868),$B$677=1),$BB$868,HLOOKUP(INDIRECT(ADDRESS(2,COLUMN())),OFFSET($BN$2,0,0,ROW()-1,60),ROW()-1,FALSE))</f>
        <v/>
      </c>
      <c r="BC198" t="str">
        <f ca="1">IF(AND(ISNUMBER($BC$868),$B$677=1),$BC$868,HLOOKUP(INDIRECT(ADDRESS(2,COLUMN())),OFFSET($BN$2,0,0,ROW()-1,60),ROW()-1,FALSE))</f>
        <v/>
      </c>
      <c r="BD198" t="str">
        <f ca="1">IF(AND(ISNUMBER($BD$868),$B$677=1),$BD$868,HLOOKUP(INDIRECT(ADDRESS(2,COLUMN())),OFFSET($BN$2,0,0,ROW()-1,60),ROW()-1,FALSE))</f>
        <v/>
      </c>
      <c r="BE198" t="str">
        <f ca="1">IF(AND(ISNUMBER($BE$868),$B$677=1),$BE$868,HLOOKUP(INDIRECT(ADDRESS(2,COLUMN())),OFFSET($BN$2,0,0,ROW()-1,60),ROW()-1,FALSE))</f>
        <v/>
      </c>
      <c r="BF198" t="str">
        <f ca="1">IF(AND(ISNUMBER($BF$868),$B$677=1),$BF$868,HLOOKUP(INDIRECT(ADDRESS(2,COLUMN())),OFFSET($BN$2,0,0,ROW()-1,60),ROW()-1,FALSE))</f>
        <v/>
      </c>
      <c r="BG198" t="str">
        <f ca="1">IF(AND(ISNUMBER($BG$868),$B$677=1),$BG$868,HLOOKUP(INDIRECT(ADDRESS(2,COLUMN())),OFFSET($BN$2,0,0,ROW()-1,60),ROW()-1,FALSE))</f>
        <v/>
      </c>
      <c r="BH198" t="str">
        <f ca="1">IF(AND(ISNUMBER($BH$868),$B$677=1),$BH$868,HLOOKUP(INDIRECT(ADDRESS(2,COLUMN())),OFFSET($BN$2,0,0,ROW()-1,60),ROW()-1,FALSE))</f>
        <v/>
      </c>
      <c r="BI198" t="str">
        <f ca="1">IF(AND(ISNUMBER($BI$868),$B$677=1),$BI$868,HLOOKUP(INDIRECT(ADDRESS(2,COLUMN())),OFFSET($BN$2,0,0,ROW()-1,60),ROW()-1,FALSE))</f>
        <v/>
      </c>
      <c r="BJ198" t="str">
        <f ca="1">IF(AND(ISNUMBER($BJ$868),$B$677=1),$BJ$868,HLOOKUP(INDIRECT(ADDRESS(2,COLUMN())),OFFSET($BN$2,0,0,ROW()-1,60),ROW()-1,FALSE))</f>
        <v/>
      </c>
      <c r="BK198" t="str">
        <f ca="1">IF(AND(ISNUMBER($BK$868),$B$677=1),$BK$868,HLOOKUP(INDIRECT(ADDRESS(2,COLUMN())),OFFSET($BN$2,0,0,ROW()-1,60),ROW()-1,FALSE))</f>
        <v/>
      </c>
      <c r="BL198" t="str">
        <f ca="1">IF(AND(ISNUMBER($BL$868),$B$677=1),$BL$868,HLOOKUP(INDIRECT(ADDRESS(2,COLUMN())),OFFSET($BN$2,0,0,ROW()-1,60),ROW()-1,FALSE))</f>
        <v/>
      </c>
      <c r="BM198" t="str">
        <f ca="1">IF(AND(ISNUMBER($BM$868),$B$677=1),$BM$868,HLOOKUP(INDIRECT(ADDRESS(2,COLUMN())),OFFSET($BN$2,0,0,ROW()-1,60),ROW()-1,FALSE))</f>
        <v/>
      </c>
      <c r="BN198" t="str">
        <f>""</f>
        <v/>
      </c>
      <c r="BO198" t="str">
        <f>""</f>
        <v/>
      </c>
      <c r="BP198" t="str">
        <f>""</f>
        <v/>
      </c>
      <c r="BQ198" t="str">
        <f>""</f>
        <v/>
      </c>
      <c r="BR198" t="str">
        <f>""</f>
        <v/>
      </c>
      <c r="BS198" t="str">
        <f>""</f>
        <v/>
      </c>
      <c r="BT198" t="str">
        <f>""</f>
        <v/>
      </c>
      <c r="BU198" t="str">
        <f>""</f>
        <v/>
      </c>
      <c r="BV198" t="str">
        <f>""</f>
        <v/>
      </c>
      <c r="BW198" t="str">
        <f>""</f>
        <v/>
      </c>
      <c r="BX198" t="str">
        <f>""</f>
        <v/>
      </c>
      <c r="BY198" t="str">
        <f>""</f>
        <v/>
      </c>
      <c r="BZ198" t="str">
        <f>""</f>
        <v/>
      </c>
      <c r="CA198" t="str">
        <f>""</f>
        <v/>
      </c>
      <c r="CB198" t="str">
        <f>""</f>
        <v/>
      </c>
      <c r="CC198" t="str">
        <f>""</f>
        <v/>
      </c>
      <c r="CD198" t="str">
        <f>""</f>
        <v/>
      </c>
      <c r="CE198" t="str">
        <f>""</f>
        <v/>
      </c>
      <c r="CF198" t="str">
        <f>""</f>
        <v/>
      </c>
      <c r="CG198" t="str">
        <f>""</f>
        <v/>
      </c>
      <c r="CH198" t="str">
        <f>""</f>
        <v/>
      </c>
      <c r="CI198" t="str">
        <f>""</f>
        <v/>
      </c>
      <c r="CJ198" t="str">
        <f>""</f>
        <v/>
      </c>
      <c r="CK198" t="str">
        <f>""</f>
        <v/>
      </c>
      <c r="CL198" t="str">
        <f>""</f>
        <v/>
      </c>
      <c r="CM198" t="str">
        <f>""</f>
        <v/>
      </c>
      <c r="CN198" t="str">
        <f>""</f>
        <v/>
      </c>
      <c r="CO198" t="str">
        <f>""</f>
        <v/>
      </c>
      <c r="CP198" t="str">
        <f>""</f>
        <v/>
      </c>
      <c r="CQ198" t="str">
        <f>""</f>
        <v/>
      </c>
      <c r="CR198" t="str">
        <f>""</f>
        <v/>
      </c>
      <c r="CS198" t="str">
        <f>""</f>
        <v/>
      </c>
      <c r="CT198" t="str">
        <f>""</f>
        <v/>
      </c>
      <c r="CU198" t="str">
        <f>""</f>
        <v/>
      </c>
      <c r="CV198" t="str">
        <f>""</f>
        <v/>
      </c>
      <c r="CW198" t="str">
        <f>""</f>
        <v/>
      </c>
      <c r="CX198" t="str">
        <f>""</f>
        <v/>
      </c>
      <c r="CY198" t="str">
        <f>""</f>
        <v/>
      </c>
      <c r="CZ198" t="str">
        <f>""</f>
        <v/>
      </c>
      <c r="DA198" t="str">
        <f>""</f>
        <v/>
      </c>
      <c r="DB198" t="str">
        <f>""</f>
        <v/>
      </c>
      <c r="DC198" t="str">
        <f>""</f>
        <v/>
      </c>
      <c r="DD198" t="str">
        <f>""</f>
        <v/>
      </c>
      <c r="DE198" t="str">
        <f>""</f>
        <v/>
      </c>
      <c r="DF198" t="str">
        <f>""</f>
        <v/>
      </c>
      <c r="DG198" t="str">
        <f>""</f>
        <v/>
      </c>
      <c r="DH198" t="str">
        <f>""</f>
        <v/>
      </c>
      <c r="DI198" t="str">
        <f>""</f>
        <v/>
      </c>
      <c r="DJ198" t="str">
        <f>""</f>
        <v/>
      </c>
      <c r="DK198" t="str">
        <f>""</f>
        <v/>
      </c>
      <c r="DL198" t="str">
        <f>""</f>
        <v/>
      </c>
      <c r="DM198" t="str">
        <f>""</f>
        <v/>
      </c>
      <c r="DN198" t="str">
        <f>""</f>
        <v/>
      </c>
      <c r="DO198" t="str">
        <f>""</f>
        <v/>
      </c>
      <c r="DP198" t="str">
        <f>""</f>
        <v/>
      </c>
      <c r="DQ198" t="str">
        <f>""</f>
        <v/>
      </c>
      <c r="DR198" t="str">
        <f>""</f>
        <v/>
      </c>
      <c r="DS198" t="str">
        <f>""</f>
        <v/>
      </c>
      <c r="DT198" t="str">
        <f>""</f>
        <v/>
      </c>
      <c r="DU198" t="str">
        <f>""</f>
        <v/>
      </c>
    </row>
    <row r="199" spans="1:125" x14ac:dyDescent="0.25">
      <c r="A199" t="str">
        <f>"    Ssangyong Motor Co"</f>
        <v xml:space="preserve">    Ssangyong Motor Co</v>
      </c>
      <c r="B199" t="str">
        <f>"003620 KS Equity"</f>
        <v>003620 KS Equity</v>
      </c>
      <c r="C199" t="str">
        <f t="shared" si="12"/>
        <v>RX077</v>
      </c>
      <c r="D199" t="str">
        <f t="shared" si="13"/>
        <v>PX_TO_TANG_BOOK_VAL_PER_SH</v>
      </c>
      <c r="E199" t="str">
        <f t="shared" si="14"/>
        <v>Dynamic</v>
      </c>
      <c r="F199" t="str">
        <f ca="1">IF(AND(ISNUMBER($F$869),$B$677=1),$F$869,HLOOKUP(INDIRECT(ADDRESS(2,COLUMN())),OFFSET($BN$2,0,0,ROW()-1,60),ROW()-1,FALSE))</f>
        <v/>
      </c>
      <c r="G199">
        <f ca="1">IF(AND(ISNUMBER($G$869),$B$677=1),$G$869,HLOOKUP(INDIRECT(ADDRESS(2,COLUMN())),OFFSET($BN$2,0,0,ROW()-1,60),ROW()-1,FALSE))</f>
        <v>1.404084018</v>
      </c>
      <c r="H199">
        <f ca="1">IF(AND(ISNUMBER($H$869),$B$677=1),$H$869,HLOOKUP(INDIRECT(ADDRESS(2,COLUMN())),OFFSET($BN$2,0,0,ROW()-1,60),ROW()-1,FALSE))</f>
        <v>1.626813082</v>
      </c>
      <c r="I199">
        <f ca="1">IF(AND(ISNUMBER($I$869),$B$677=1),$I$869,HLOOKUP(INDIRECT(ADDRESS(2,COLUMN())),OFFSET($BN$2,0,0,ROW()-1,60),ROW()-1,FALSE))</f>
        <v>1.4959577580000001</v>
      </c>
      <c r="J199">
        <f ca="1">IF(AND(ISNUMBER($J$869),$B$677=1),$J$869,HLOOKUP(INDIRECT(ADDRESS(2,COLUMN())),OFFSET($BN$2,0,0,ROW()-1,60),ROW()-1,FALSE))</f>
        <v>1.577080391</v>
      </c>
      <c r="K199">
        <f ca="1">IF(AND(ISNUMBER($K$869),$B$677=1),$K$869,HLOOKUP(INDIRECT(ADDRESS(2,COLUMN())),OFFSET($BN$2,0,0,ROW()-1,60),ROW()-1,FALSE))</f>
        <v>1.4967610929999999</v>
      </c>
      <c r="L199">
        <f ca="1">IF(AND(ISNUMBER($L$869),$B$677=1),$L$869,HLOOKUP(INDIRECT(ADDRESS(2,COLUMN())),OFFSET($BN$2,0,0,ROW()-1,60),ROW()-1,FALSE))</f>
        <v>1.4288662830000001</v>
      </c>
      <c r="M199">
        <f ca="1">IF(AND(ISNUMBER($M$869),$B$677=1),$M$869,HLOOKUP(INDIRECT(ADDRESS(2,COLUMN())),OFFSET($BN$2,0,0,ROW()-1,60),ROW()-1,FALSE))</f>
        <v>1.769650749</v>
      </c>
      <c r="N199">
        <f ca="1">IF(AND(ISNUMBER($N$869),$B$677=1),$N$869,HLOOKUP(INDIRECT(ADDRESS(2,COLUMN())),OFFSET($BN$2,0,0,ROW()-1,60),ROW()-1,FALSE))</f>
        <v>1.9377057040000001</v>
      </c>
      <c r="O199">
        <f ca="1">IF(AND(ISNUMBER($O$869),$B$677=1),$O$869,HLOOKUP(INDIRECT(ADDRESS(2,COLUMN())),OFFSET($BN$2,0,0,ROW()-1,60),ROW()-1,FALSE))</f>
        <v>1.8719938270000001</v>
      </c>
      <c r="P199">
        <f ca="1">IF(AND(ISNUMBER($P$869),$B$677=1),$P$869,HLOOKUP(INDIRECT(ADDRESS(2,COLUMN())),OFFSET($BN$2,0,0,ROW()-1,60),ROW()-1,FALSE))</f>
        <v>1.9965160669999999</v>
      </c>
      <c r="Q199">
        <f ca="1">IF(AND(ISNUMBER($Q$869),$B$677=1),$Q$869,HLOOKUP(INDIRECT(ADDRESS(2,COLUMN())),OFFSET($BN$2,0,0,ROW()-1,60),ROW()-1,FALSE))</f>
        <v>1.7804029640000001</v>
      </c>
      <c r="R199">
        <f ca="1">IF(AND(ISNUMBER($R$869),$B$677=1),$R$869,HLOOKUP(INDIRECT(ADDRESS(2,COLUMN())),OFFSET($BN$2,0,0,ROW()-1,60),ROW()-1,FALSE))</f>
        <v>2.1355254449999999</v>
      </c>
      <c r="S199">
        <f ca="1">IF(AND(ISNUMBER($S$869),$B$677=1),$S$869,HLOOKUP(INDIRECT(ADDRESS(2,COLUMN())),OFFSET($BN$2,0,0,ROW()-1,60),ROW()-1,FALSE))</f>
        <v>2.0061016739999999</v>
      </c>
      <c r="T199">
        <f ca="1">IF(AND(ISNUMBER($T$869),$B$677=1),$T$869,HLOOKUP(INDIRECT(ADDRESS(2,COLUMN())),OFFSET($BN$2,0,0,ROW()-1,60),ROW()-1,FALSE))</f>
        <v>2.3085141079999998</v>
      </c>
      <c r="U199">
        <f ca="1">IF(AND(ISNUMBER($U$869),$B$677=1),$U$869,HLOOKUP(INDIRECT(ADDRESS(2,COLUMN())),OFFSET($BN$2,0,0,ROW()-1,60),ROW()-1,FALSE))</f>
        <v>2.1312584860000001</v>
      </c>
      <c r="V199">
        <f ca="1">IF(AND(ISNUMBER($V$869),$B$677=1),$V$869,HLOOKUP(INDIRECT(ADDRESS(2,COLUMN())),OFFSET($BN$2,0,0,ROW()-1,60),ROW()-1,FALSE))</f>
        <v>2.1090510459999998</v>
      </c>
      <c r="W199">
        <f ca="1">IF(AND(ISNUMBER($W$869),$B$677=1),$W$869,HLOOKUP(INDIRECT(ADDRESS(2,COLUMN())),OFFSET($BN$2,0,0,ROW()-1,60),ROW()-1,FALSE))</f>
        <v>2.028287175</v>
      </c>
      <c r="X199">
        <f ca="1">IF(AND(ISNUMBER($X$869),$B$677=1),$X$869,HLOOKUP(INDIRECT(ADDRESS(2,COLUMN())),OFFSET($BN$2,0,0,ROW()-1,60),ROW()-1,FALSE))</f>
        <v>1.3077323679999999</v>
      </c>
      <c r="Y199">
        <f ca="1">IF(AND(ISNUMBER($Y$869),$B$677=1),$Y$869,HLOOKUP(INDIRECT(ADDRESS(2,COLUMN())),OFFSET($BN$2,0,0,ROW()-1,60),ROW()-1,FALSE))</f>
        <v>1.638515229</v>
      </c>
      <c r="Z199">
        <f ca="1">IF(AND(ISNUMBER($Z$869),$B$677=1),$Z$869,HLOOKUP(INDIRECT(ADDRESS(2,COLUMN())),OFFSET($BN$2,0,0,ROW()-1,60),ROW()-1,FALSE))</f>
        <v>1.536728146</v>
      </c>
      <c r="AA199">
        <f ca="1">IF(AND(ISNUMBER($AA$869),$B$677=1),$AA$869,HLOOKUP(INDIRECT(ADDRESS(2,COLUMN())),OFFSET($BN$2,0,0,ROW()-1,60),ROW()-1,FALSE))</f>
        <v>1.3036995730000001</v>
      </c>
      <c r="AB199">
        <f ca="1">IF(AND(ISNUMBER($AB$869),$B$677=1),$AB$869,HLOOKUP(INDIRECT(ADDRESS(2,COLUMN())),OFFSET($BN$2,0,0,ROW()-1,60),ROW()-1,FALSE))</f>
        <v>1.434370073</v>
      </c>
      <c r="AC199">
        <f ca="1">IF(AND(ISNUMBER($AC$869),$B$677=1),$AC$869,HLOOKUP(INDIRECT(ADDRESS(2,COLUMN())),OFFSET($BN$2,0,0,ROW()-1,60),ROW()-1,FALSE))</f>
        <v>1.589395997</v>
      </c>
      <c r="AD199">
        <f ca="1">IF(AND(ISNUMBER($AD$869),$B$677=1),$AD$869,HLOOKUP(INDIRECT(ADDRESS(2,COLUMN())),OFFSET($BN$2,0,0,ROW()-1,60),ROW()-1,FALSE))</f>
        <v>1.042506486</v>
      </c>
      <c r="AE199">
        <f ca="1">IF(AND(ISNUMBER($AE$869),$B$677=1),$AE$869,HLOOKUP(INDIRECT(ADDRESS(2,COLUMN())),OFFSET($BN$2,0,0,ROW()-1,60),ROW()-1,FALSE))</f>
        <v>0.87548465099999995</v>
      </c>
      <c r="AF199" t="str">
        <f ca="1">IF(AND(ISNUMBER($AF$869),$B$677=1),$AF$869,HLOOKUP(INDIRECT(ADDRESS(2,COLUMN())),OFFSET($BN$2,0,0,ROW()-1,60),ROW()-1,FALSE))</f>
        <v/>
      </c>
      <c r="AG199" t="str">
        <f ca="1">IF(AND(ISNUMBER($AG$869),$B$677=1),$AG$869,HLOOKUP(INDIRECT(ADDRESS(2,COLUMN())),OFFSET($BN$2,0,0,ROW()-1,60),ROW()-1,FALSE))</f>
        <v/>
      </c>
      <c r="AH199" t="str">
        <f ca="1">IF(AND(ISNUMBER($AH$869),$B$677=1),$AH$869,HLOOKUP(INDIRECT(ADDRESS(2,COLUMN())),OFFSET($BN$2,0,0,ROW()-1,60),ROW()-1,FALSE))</f>
        <v/>
      </c>
      <c r="AI199" t="str">
        <f ca="1">IF(AND(ISNUMBER($AI$869),$B$677=1),$AI$869,HLOOKUP(INDIRECT(ADDRESS(2,COLUMN())),OFFSET($BN$2,0,0,ROW()-1,60),ROW()-1,FALSE))</f>
        <v/>
      </c>
      <c r="AJ199" t="str">
        <f ca="1">IF(AND(ISNUMBER($AJ$869),$B$677=1),$AJ$869,HLOOKUP(INDIRECT(ADDRESS(2,COLUMN())),OFFSET($BN$2,0,0,ROW()-1,60),ROW()-1,FALSE))</f>
        <v/>
      </c>
      <c r="AK199" t="str">
        <f ca="1">IF(AND(ISNUMBER($AK$869),$B$677=1),$AK$869,HLOOKUP(INDIRECT(ADDRESS(2,COLUMN())),OFFSET($BN$2,0,0,ROW()-1,60),ROW()-1,FALSE))</f>
        <v/>
      </c>
      <c r="AL199" t="str">
        <f ca="1">IF(AND(ISNUMBER($AL$869),$B$677=1),$AL$869,HLOOKUP(INDIRECT(ADDRESS(2,COLUMN())),OFFSET($BN$2,0,0,ROW()-1,60),ROW()-1,FALSE))</f>
        <v/>
      </c>
      <c r="AM199" t="str">
        <f ca="1">IF(AND(ISNUMBER($AM$869),$B$677=1),$AM$869,HLOOKUP(INDIRECT(ADDRESS(2,COLUMN())),OFFSET($BN$2,0,0,ROW()-1,60),ROW()-1,FALSE))</f>
        <v/>
      </c>
      <c r="AN199" t="str">
        <f ca="1">IF(AND(ISNUMBER($AN$869),$B$677=1),$AN$869,HLOOKUP(INDIRECT(ADDRESS(2,COLUMN())),OFFSET($BN$2,0,0,ROW()-1,60),ROW()-1,FALSE))</f>
        <v/>
      </c>
      <c r="AO199" t="str">
        <f ca="1">IF(AND(ISNUMBER($AO$869),$B$677=1),$AO$869,HLOOKUP(INDIRECT(ADDRESS(2,COLUMN())),OFFSET($BN$2,0,0,ROW()-1,60),ROW()-1,FALSE))</f>
        <v/>
      </c>
      <c r="AP199" t="str">
        <f ca="1">IF(AND(ISNUMBER($AP$869),$B$677=1),$AP$869,HLOOKUP(INDIRECT(ADDRESS(2,COLUMN())),OFFSET($BN$2,0,0,ROW()-1,60),ROW()-1,FALSE))</f>
        <v/>
      </c>
      <c r="AQ199" t="str">
        <f ca="1">IF(AND(ISNUMBER($AQ$869),$B$677=1),$AQ$869,HLOOKUP(INDIRECT(ADDRESS(2,COLUMN())),OFFSET($BN$2,0,0,ROW()-1,60),ROW()-1,FALSE))</f>
        <v/>
      </c>
      <c r="AR199" t="str">
        <f ca="1">IF(AND(ISNUMBER($AR$869),$B$677=1),$AR$869,HLOOKUP(INDIRECT(ADDRESS(2,COLUMN())),OFFSET($BN$2,0,0,ROW()-1,60),ROW()-1,FALSE))</f>
        <v/>
      </c>
      <c r="AS199" t="str">
        <f ca="1">IF(AND(ISNUMBER($AS$869),$B$677=1),$AS$869,HLOOKUP(INDIRECT(ADDRESS(2,COLUMN())),OFFSET($BN$2,0,0,ROW()-1,60),ROW()-1,FALSE))</f>
        <v/>
      </c>
      <c r="AT199" t="str">
        <f ca="1">IF(AND(ISNUMBER($AT$869),$B$677=1),$AT$869,HLOOKUP(INDIRECT(ADDRESS(2,COLUMN())),OFFSET($BN$2,0,0,ROW()-1,60),ROW()-1,FALSE))</f>
        <v/>
      </c>
      <c r="AU199" t="str">
        <f ca="1">IF(AND(ISNUMBER($AU$869),$B$677=1),$AU$869,HLOOKUP(INDIRECT(ADDRESS(2,COLUMN())),OFFSET($BN$2,0,0,ROW()-1,60),ROW()-1,FALSE))</f>
        <v/>
      </c>
      <c r="AV199" t="str">
        <f ca="1">IF(AND(ISNUMBER($AV$869),$B$677=1),$AV$869,HLOOKUP(INDIRECT(ADDRESS(2,COLUMN())),OFFSET($BN$2,0,0,ROW()-1,60),ROW()-1,FALSE))</f>
        <v/>
      </c>
      <c r="AW199" t="str">
        <f ca="1">IF(AND(ISNUMBER($AW$869),$B$677=1),$AW$869,HLOOKUP(INDIRECT(ADDRESS(2,COLUMN())),OFFSET($BN$2,0,0,ROW()-1,60),ROW()-1,FALSE))</f>
        <v/>
      </c>
      <c r="AX199" t="str">
        <f ca="1">IF(AND(ISNUMBER($AX$869),$B$677=1),$AX$869,HLOOKUP(INDIRECT(ADDRESS(2,COLUMN())),OFFSET($BN$2,0,0,ROW()-1,60),ROW()-1,FALSE))</f>
        <v/>
      </c>
      <c r="AY199" t="str">
        <f ca="1">IF(AND(ISNUMBER($AY$869),$B$677=1),$AY$869,HLOOKUP(INDIRECT(ADDRESS(2,COLUMN())),OFFSET($BN$2,0,0,ROW()-1,60),ROW()-1,FALSE))</f>
        <v/>
      </c>
      <c r="AZ199" t="str">
        <f ca="1">IF(AND(ISNUMBER($AZ$869),$B$677=1),$AZ$869,HLOOKUP(INDIRECT(ADDRESS(2,COLUMN())),OFFSET($BN$2,0,0,ROW()-1,60),ROW()-1,FALSE))</f>
        <v/>
      </c>
      <c r="BA199" t="str">
        <f ca="1">IF(AND(ISNUMBER($BA$869),$B$677=1),$BA$869,HLOOKUP(INDIRECT(ADDRESS(2,COLUMN())),OFFSET($BN$2,0,0,ROW()-1,60),ROW()-1,FALSE))</f>
        <v/>
      </c>
      <c r="BB199" t="str">
        <f ca="1">IF(AND(ISNUMBER($BB$869),$B$677=1),$BB$869,HLOOKUP(INDIRECT(ADDRESS(2,COLUMN())),OFFSET($BN$2,0,0,ROW()-1,60),ROW()-1,FALSE))</f>
        <v/>
      </c>
      <c r="BC199" t="str">
        <f ca="1">IF(AND(ISNUMBER($BC$869),$B$677=1),$BC$869,HLOOKUP(INDIRECT(ADDRESS(2,COLUMN())),OFFSET($BN$2,0,0,ROW()-1,60),ROW()-1,FALSE))</f>
        <v/>
      </c>
      <c r="BD199" t="str">
        <f ca="1">IF(AND(ISNUMBER($BD$869),$B$677=1),$BD$869,HLOOKUP(INDIRECT(ADDRESS(2,COLUMN())),OFFSET($BN$2,0,0,ROW()-1,60),ROW()-1,FALSE))</f>
        <v/>
      </c>
      <c r="BE199" t="str">
        <f ca="1">IF(AND(ISNUMBER($BE$869),$B$677=1),$BE$869,HLOOKUP(INDIRECT(ADDRESS(2,COLUMN())),OFFSET($BN$2,0,0,ROW()-1,60),ROW()-1,FALSE))</f>
        <v/>
      </c>
      <c r="BF199" t="str">
        <f ca="1">IF(AND(ISNUMBER($BF$869),$B$677=1),$BF$869,HLOOKUP(INDIRECT(ADDRESS(2,COLUMN())),OFFSET($BN$2,0,0,ROW()-1,60),ROW()-1,FALSE))</f>
        <v/>
      </c>
      <c r="BG199" t="str">
        <f ca="1">IF(AND(ISNUMBER($BG$869),$B$677=1),$BG$869,HLOOKUP(INDIRECT(ADDRESS(2,COLUMN())),OFFSET($BN$2,0,0,ROW()-1,60),ROW()-1,FALSE))</f>
        <v/>
      </c>
      <c r="BH199" t="str">
        <f ca="1">IF(AND(ISNUMBER($BH$869),$B$677=1),$BH$869,HLOOKUP(INDIRECT(ADDRESS(2,COLUMN())),OFFSET($BN$2,0,0,ROW()-1,60),ROW()-1,FALSE))</f>
        <v/>
      </c>
      <c r="BI199" t="str">
        <f ca="1">IF(AND(ISNUMBER($BI$869),$B$677=1),$BI$869,HLOOKUP(INDIRECT(ADDRESS(2,COLUMN())),OFFSET($BN$2,0,0,ROW()-1,60),ROW()-1,FALSE))</f>
        <v/>
      </c>
      <c r="BJ199" t="str">
        <f ca="1">IF(AND(ISNUMBER($BJ$869),$B$677=1),$BJ$869,HLOOKUP(INDIRECT(ADDRESS(2,COLUMN())),OFFSET($BN$2,0,0,ROW()-1,60),ROW()-1,FALSE))</f>
        <v/>
      </c>
      <c r="BK199" t="str">
        <f ca="1">IF(AND(ISNUMBER($BK$869),$B$677=1),$BK$869,HLOOKUP(INDIRECT(ADDRESS(2,COLUMN())),OFFSET($BN$2,0,0,ROW()-1,60),ROW()-1,FALSE))</f>
        <v/>
      </c>
      <c r="BL199" t="str">
        <f ca="1">IF(AND(ISNUMBER($BL$869),$B$677=1),$BL$869,HLOOKUP(INDIRECT(ADDRESS(2,COLUMN())),OFFSET($BN$2,0,0,ROW()-1,60),ROW()-1,FALSE))</f>
        <v/>
      </c>
      <c r="BM199" t="str">
        <f ca="1">IF(AND(ISNUMBER($BM$869),$B$677=1),$BM$869,HLOOKUP(INDIRECT(ADDRESS(2,COLUMN())),OFFSET($BN$2,0,0,ROW()-1,60),ROW()-1,FALSE))</f>
        <v/>
      </c>
      <c r="BN199" t="str">
        <f>""</f>
        <v/>
      </c>
      <c r="BO199">
        <f>1.404084018</f>
        <v>1.404084018</v>
      </c>
      <c r="BP199">
        <f>1.626813082</f>
        <v>1.626813082</v>
      </c>
      <c r="BQ199">
        <f>1.495957758</f>
        <v>1.4959577580000001</v>
      </c>
      <c r="BR199">
        <f>1.577080391</f>
        <v>1.577080391</v>
      </c>
      <c r="BS199">
        <f>1.496761093</f>
        <v>1.4967610929999999</v>
      </c>
      <c r="BT199">
        <f>1.428866283</f>
        <v>1.4288662830000001</v>
      </c>
      <c r="BU199">
        <f>1.769650749</f>
        <v>1.769650749</v>
      </c>
      <c r="BV199">
        <f>1.937705704</f>
        <v>1.9377057040000001</v>
      </c>
      <c r="BW199">
        <f>1.871993827</f>
        <v>1.8719938270000001</v>
      </c>
      <c r="BX199">
        <f>1.996516067</f>
        <v>1.9965160669999999</v>
      </c>
      <c r="BY199">
        <f>1.780402964</f>
        <v>1.7804029640000001</v>
      </c>
      <c r="BZ199">
        <f>2.135525445</f>
        <v>2.1355254449999999</v>
      </c>
      <c r="CA199">
        <f>2.006101674</f>
        <v>2.0061016739999999</v>
      </c>
      <c r="CB199">
        <f>2.308514108</f>
        <v>2.3085141079999998</v>
      </c>
      <c r="CC199">
        <f>2.131258486</f>
        <v>2.1312584860000001</v>
      </c>
      <c r="CD199">
        <f>2.109051046</f>
        <v>2.1090510459999998</v>
      </c>
      <c r="CE199">
        <f>2.028287175</f>
        <v>2.028287175</v>
      </c>
      <c r="CF199">
        <f>1.307732368</f>
        <v>1.3077323679999999</v>
      </c>
      <c r="CG199">
        <f>1.638515229</f>
        <v>1.638515229</v>
      </c>
      <c r="CH199">
        <f>1.536728146</f>
        <v>1.536728146</v>
      </c>
      <c r="CI199">
        <f>1.303699573</f>
        <v>1.3036995730000001</v>
      </c>
      <c r="CJ199">
        <f>1.434370073</f>
        <v>1.434370073</v>
      </c>
      <c r="CK199">
        <f>1.589395997</f>
        <v>1.589395997</v>
      </c>
      <c r="CL199">
        <f>1.042506486</f>
        <v>1.042506486</v>
      </c>
      <c r="CM199">
        <f>0.875484651</f>
        <v>0.87548465099999995</v>
      </c>
      <c r="CN199" t="str">
        <f>""</f>
        <v/>
      </c>
      <c r="CO199" t="str">
        <f>""</f>
        <v/>
      </c>
      <c r="CP199" t="str">
        <f>""</f>
        <v/>
      </c>
      <c r="CQ199" t="str">
        <f>""</f>
        <v/>
      </c>
      <c r="CR199" t="str">
        <f>""</f>
        <v/>
      </c>
      <c r="CS199" t="str">
        <f>""</f>
        <v/>
      </c>
      <c r="CT199" t="str">
        <f>""</f>
        <v/>
      </c>
      <c r="CU199" t="str">
        <f>""</f>
        <v/>
      </c>
      <c r="CV199" t="str">
        <f>""</f>
        <v/>
      </c>
      <c r="CW199" t="str">
        <f>""</f>
        <v/>
      </c>
      <c r="CX199" t="str">
        <f>""</f>
        <v/>
      </c>
      <c r="CY199" t="str">
        <f>""</f>
        <v/>
      </c>
      <c r="CZ199" t="str">
        <f>""</f>
        <v/>
      </c>
      <c r="DA199" t="str">
        <f>""</f>
        <v/>
      </c>
      <c r="DB199" t="str">
        <f>""</f>
        <v/>
      </c>
      <c r="DC199" t="str">
        <f>""</f>
        <v/>
      </c>
      <c r="DD199" t="str">
        <f>""</f>
        <v/>
      </c>
      <c r="DE199" t="str">
        <f>""</f>
        <v/>
      </c>
      <c r="DF199" t="str">
        <f>""</f>
        <v/>
      </c>
      <c r="DG199" t="str">
        <f>""</f>
        <v/>
      </c>
      <c r="DH199" t="str">
        <f>""</f>
        <v/>
      </c>
      <c r="DI199" t="str">
        <f>""</f>
        <v/>
      </c>
      <c r="DJ199" t="str">
        <f>""</f>
        <v/>
      </c>
      <c r="DK199" t="str">
        <f>""</f>
        <v/>
      </c>
      <c r="DL199" t="str">
        <f>""</f>
        <v/>
      </c>
      <c r="DM199" t="str">
        <f>""</f>
        <v/>
      </c>
      <c r="DN199" t="str">
        <f>""</f>
        <v/>
      </c>
      <c r="DO199" t="str">
        <f>""</f>
        <v/>
      </c>
      <c r="DP199" t="str">
        <f>""</f>
        <v/>
      </c>
      <c r="DQ199" t="str">
        <f>""</f>
        <v/>
      </c>
      <c r="DR199" t="str">
        <f>""</f>
        <v/>
      </c>
      <c r="DS199" t="str">
        <f>""</f>
        <v/>
      </c>
      <c r="DT199" t="str">
        <f>""</f>
        <v/>
      </c>
      <c r="DU199" t="str">
        <f>""</f>
        <v/>
      </c>
    </row>
    <row r="200" spans="1:125" x14ac:dyDescent="0.25">
      <c r="A200" t="str">
        <f>"    Subaru Corp"</f>
        <v xml:space="preserve">    Subaru Corp</v>
      </c>
      <c r="B200" t="str">
        <f>"7270 JP Equity"</f>
        <v>7270 JP Equity</v>
      </c>
      <c r="C200" t="str">
        <f t="shared" si="12"/>
        <v>RX077</v>
      </c>
      <c r="D200" t="str">
        <f t="shared" si="13"/>
        <v>PX_TO_TANG_BOOK_VAL_PER_SH</v>
      </c>
      <c r="E200" t="str">
        <f t="shared" si="14"/>
        <v>Dynamic</v>
      </c>
      <c r="F200">
        <f ca="1">IF(AND(ISNUMBER($F$870),$B$677=1),$F$870,HLOOKUP(INDIRECT(ADDRESS(2,COLUMN())),OFFSET($BN$2,0,0,ROW()-1,60),ROW()-1,FALSE))</f>
        <v>1.4127801529999999</v>
      </c>
      <c r="G200">
        <f ca="1">IF(AND(ISNUMBER($G$870),$B$677=1),$G$870,HLOOKUP(INDIRECT(ADDRESS(2,COLUMN())),OFFSET($BN$2,0,0,ROW()-1,60),ROW()-1,FALSE))</f>
        <v>1.1731742300000001</v>
      </c>
      <c r="H200">
        <f ca="1">IF(AND(ISNUMBER($H$870),$B$677=1),$H$870,HLOOKUP(INDIRECT(ADDRESS(2,COLUMN())),OFFSET($BN$2,0,0,ROW()-1,60),ROW()-1,FALSE))</f>
        <v>1.730707888</v>
      </c>
      <c r="I200">
        <f ca="1">IF(AND(ISNUMBER($I$870),$B$677=1),$I$870,HLOOKUP(INDIRECT(ADDRESS(2,COLUMN())),OFFSET($BN$2,0,0,ROW()-1,60),ROW()-1,FALSE))</f>
        <v>1.6163289970000001</v>
      </c>
      <c r="J200">
        <f ca="1">IF(AND(ISNUMBER($J$870),$B$677=1),$J$870,HLOOKUP(INDIRECT(ADDRESS(2,COLUMN())),OFFSET($BN$2,0,0,ROW()-1,60),ROW()-1,FALSE))</f>
        <v>1.753667885</v>
      </c>
      <c r="K200">
        <f ca="1">IF(AND(ISNUMBER($K$870),$B$677=1),$K$870,HLOOKUP(INDIRECT(ADDRESS(2,COLUMN())),OFFSET($BN$2,0,0,ROW()-1,60),ROW()-1,FALSE))</f>
        <v>1.8475316239999999</v>
      </c>
      <c r="L200">
        <f ca="1">IF(AND(ISNUMBER($L$870),$B$677=1),$L$870,HLOOKUP(INDIRECT(ADDRESS(2,COLUMN())),OFFSET($BN$2,0,0,ROW()-1,60),ROW()-1,FALSE))</f>
        <v>2.113959108</v>
      </c>
      <c r="M200">
        <f ca="1">IF(AND(ISNUMBER($M$870),$B$677=1),$M$870,HLOOKUP(INDIRECT(ADDRESS(2,COLUMN())),OFFSET($BN$2,0,0,ROW()-1,60),ROW()-1,FALSE))</f>
        <v>1.9833353600000001</v>
      </c>
      <c r="N200">
        <f ca="1">IF(AND(ISNUMBER($N$870),$B$677=1),$N$870,HLOOKUP(INDIRECT(ADDRESS(2,COLUMN())),OFFSET($BN$2,0,0,ROW()-1,60),ROW()-1,FALSE))</f>
        <v>2.183336905</v>
      </c>
      <c r="O200">
        <f ca="1">IF(AND(ISNUMBER($O$870),$B$677=1),$O$870,HLOOKUP(INDIRECT(ADDRESS(2,COLUMN())),OFFSET($BN$2,0,0,ROW()-1,60),ROW()-1,FALSE))</f>
        <v>2.6627404430000001</v>
      </c>
      <c r="P200">
        <f ca="1">IF(AND(ISNUMBER($P$870),$B$677=1),$P$870,HLOOKUP(INDIRECT(ADDRESS(2,COLUMN())),OFFSET($BN$2,0,0,ROW()-1,60),ROW()-1,FALSE))</f>
        <v>2.1585707529999998</v>
      </c>
      <c r="Q200">
        <f ca="1">IF(AND(ISNUMBER($Q$870),$B$677=1),$Q$870,HLOOKUP(INDIRECT(ADDRESS(2,COLUMN())),OFFSET($BN$2,0,0,ROW()-1,60),ROW()-1,FALSE))</f>
        <v>2.0669504019999998</v>
      </c>
      <c r="R200">
        <f ca="1">IF(AND(ISNUMBER($R$870),$B$677=1),$R$870,HLOOKUP(INDIRECT(ADDRESS(2,COLUMN())),OFFSET($BN$2,0,0,ROW()-1,60),ROW()-1,FALSE))</f>
        <v>2.345128683</v>
      </c>
      <c r="S200">
        <f ca="1">IF(AND(ISNUMBER($S$870),$B$677=1),$S$870,HLOOKUP(INDIRECT(ADDRESS(2,COLUMN())),OFFSET($BN$2,0,0,ROW()-1,60),ROW()-1,FALSE))</f>
        <v>3.1232747249999999</v>
      </c>
      <c r="T200">
        <f ca="1">IF(AND(ISNUMBER($T$870),$B$677=1),$T$870,HLOOKUP(INDIRECT(ADDRESS(2,COLUMN())),OFFSET($BN$2,0,0,ROW()-1,60),ROW()-1,FALSE))</f>
        <v>2.8622339920000002</v>
      </c>
      <c r="U200">
        <f ca="1">IF(AND(ISNUMBER($U$870),$B$677=1),$U$870,HLOOKUP(INDIRECT(ADDRESS(2,COLUMN())),OFFSET($BN$2,0,0,ROW()-1,60),ROW()-1,FALSE))</f>
        <v>3.2838653390000001</v>
      </c>
      <c r="V200">
        <f ca="1">IF(AND(ISNUMBER($V$870),$B$677=1),$V$870,HLOOKUP(INDIRECT(ADDRESS(2,COLUMN())),OFFSET($BN$2,0,0,ROW()-1,60),ROW()-1,FALSE))</f>
        <v>3.0972621039999999</v>
      </c>
      <c r="W200">
        <f ca="1">IF(AND(ISNUMBER($W$870),$B$677=1),$W$870,HLOOKUP(INDIRECT(ADDRESS(2,COLUMN())),OFFSET($BN$2,0,0,ROW()-1,60),ROW()-1,FALSE))</f>
        <v>3.570414113</v>
      </c>
      <c r="X200">
        <f ca="1">IF(AND(ISNUMBER($X$870),$B$677=1),$X$870,HLOOKUP(INDIRECT(ADDRESS(2,COLUMN())),OFFSET($BN$2,0,0,ROW()-1,60),ROW()-1,FALSE))</f>
        <v>3.2959276869999998</v>
      </c>
      <c r="Y200">
        <f ca="1">IF(AND(ISNUMBER($Y$870),$B$677=1),$Y$870,HLOOKUP(INDIRECT(ADDRESS(2,COLUMN())),OFFSET($BN$2,0,0,ROW()-1,60),ROW()-1,FALSE))</f>
        <v>2.811213113</v>
      </c>
      <c r="Z200">
        <f ca="1">IF(AND(ISNUMBER($Z$870),$B$677=1),$Z$870,HLOOKUP(INDIRECT(ADDRESS(2,COLUMN())),OFFSET($BN$2,0,0,ROW()-1,60),ROW()-1,FALSE))</f>
        <v>2.9019052140000001</v>
      </c>
      <c r="AA200">
        <f ca="1">IF(AND(ISNUMBER($AA$870),$B$677=1),$AA$870,HLOOKUP(INDIRECT(ADDRESS(2,COLUMN())),OFFSET($BN$2,0,0,ROW()-1,60),ROW()-1,FALSE))</f>
        <v>3.1469588370000001</v>
      </c>
      <c r="AB200">
        <f ca="1">IF(AND(ISNUMBER($AB$870),$B$677=1),$AB$870,HLOOKUP(INDIRECT(ADDRESS(2,COLUMN())),OFFSET($BN$2,0,0,ROW()-1,60),ROW()-1,FALSE))</f>
        <v>3.042690855</v>
      </c>
      <c r="AC200">
        <f ca="1">IF(AND(ISNUMBER($AC$870),$B$677=1),$AC$870,HLOOKUP(INDIRECT(ADDRESS(2,COLUMN())),OFFSET($BN$2,0,0,ROW()-1,60),ROW()-1,FALSE))</f>
        <v>3.0058302189999999</v>
      </c>
      <c r="AD200">
        <f ca="1">IF(AND(ISNUMBER($AD$870),$B$677=1),$AD$870,HLOOKUP(INDIRECT(ADDRESS(2,COLUMN())),OFFSET($BN$2,0,0,ROW()-1,60),ROW()-1,FALSE))</f>
        <v>1.9570560100000001</v>
      </c>
      <c r="AE200">
        <f ca="1">IF(AND(ISNUMBER($AE$870),$B$677=1),$AE$870,HLOOKUP(INDIRECT(ADDRESS(2,COLUMN())),OFFSET($BN$2,0,0,ROW()-1,60),ROW()-1,FALSE))</f>
        <v>1.6975298089999999</v>
      </c>
      <c r="AF200">
        <f ca="1">IF(AND(ISNUMBER($AF$870),$B$677=1),$AF$870,HLOOKUP(INDIRECT(ADDRESS(2,COLUMN())),OFFSET($BN$2,0,0,ROW()-1,60),ROW()-1,FALSE))</f>
        <v>1.088019877</v>
      </c>
      <c r="AG200">
        <f ca="1">IF(AND(ISNUMBER($AG$870),$B$677=1),$AG$870,HLOOKUP(INDIRECT(ADDRESS(2,COLUMN())),OFFSET($BN$2,0,0,ROW()-1,60),ROW()-1,FALSE))</f>
        <v>1.1201032639999999</v>
      </c>
      <c r="AH200">
        <f ca="1">IF(AND(ISNUMBER($AH$870),$B$677=1),$AH$870,HLOOKUP(INDIRECT(ADDRESS(2,COLUMN())),OFFSET($BN$2,0,0,ROW()-1,60),ROW()-1,FALSE))</f>
        <v>1.183635515</v>
      </c>
      <c r="AI200">
        <f ca="1">IF(AND(ISNUMBER($AI$870),$B$677=1),$AI$870,HLOOKUP(INDIRECT(ADDRESS(2,COLUMN())),OFFSET($BN$2,0,0,ROW()-1,60),ROW()-1,FALSE))</f>
        <v>0.85890476000000004</v>
      </c>
      <c r="AJ200">
        <f ca="1">IF(AND(ISNUMBER($AJ$870),$B$677=1),$AJ$870,HLOOKUP(INDIRECT(ADDRESS(2,COLUMN())),OFFSET($BN$2,0,0,ROW()-1,60),ROW()-1,FALSE))</f>
        <v>0.84774572599999998</v>
      </c>
      <c r="AK200">
        <f ca="1">IF(AND(ISNUMBER($AK$870),$B$677=1),$AK$870,HLOOKUP(INDIRECT(ADDRESS(2,COLUMN())),OFFSET($BN$2,0,0,ROW()-1,60),ROW()-1,FALSE))</f>
        <v>1.139422436</v>
      </c>
      <c r="AL200">
        <f ca="1">IF(AND(ISNUMBER($AL$870),$B$677=1),$AL$870,HLOOKUP(INDIRECT(ADDRESS(2,COLUMN())),OFFSET($BN$2,0,0,ROW()-1,60),ROW()-1,FALSE))</f>
        <v>1.0439290400000001</v>
      </c>
      <c r="AM200">
        <f ca="1">IF(AND(ISNUMBER($AM$870),$B$677=1),$AM$870,HLOOKUP(INDIRECT(ADDRESS(2,COLUMN())),OFFSET($BN$2,0,0,ROW()-1,60),ROW()-1,FALSE))</f>
        <v>1.2104994680000001</v>
      </c>
      <c r="AN200">
        <f ca="1">IF(AND(ISNUMBER($AN$870),$B$677=1),$AN$870,HLOOKUP(INDIRECT(ADDRESS(2,COLUMN())),OFFSET($BN$2,0,0,ROW()-1,60),ROW()-1,FALSE))</f>
        <v>1.047929291</v>
      </c>
      <c r="AO200">
        <f ca="1">IF(AND(ISNUMBER($AO$870),$B$677=1),$AO$870,HLOOKUP(INDIRECT(ADDRESS(2,COLUMN())),OFFSET($BN$2,0,0,ROW()-1,60),ROW()-1,FALSE))</f>
        <v>0.98659271400000004</v>
      </c>
      <c r="AP200">
        <f ca="1">IF(AND(ISNUMBER($AP$870),$B$677=1),$AP$870,HLOOKUP(INDIRECT(ADDRESS(2,COLUMN())),OFFSET($BN$2,0,0,ROW()-1,60),ROW()-1,FALSE))</f>
        <v>1.0228739410000001</v>
      </c>
      <c r="AQ200">
        <f ca="1">IF(AND(ISNUMBER($AQ$870),$B$677=1),$AQ$870,HLOOKUP(INDIRECT(ADDRESS(2,COLUMN())),OFFSET($BN$2,0,0,ROW()-1,60),ROW()-1,FALSE))</f>
        <v>0.95607484300000001</v>
      </c>
      <c r="AR200">
        <f ca="1">IF(AND(ISNUMBER($AR$870),$B$677=1),$AR$870,HLOOKUP(INDIRECT(ADDRESS(2,COLUMN())),OFFSET($BN$2,0,0,ROW()-1,60),ROW()-1,FALSE))</f>
        <v>0.761001131</v>
      </c>
      <c r="AS200">
        <f ca="1">IF(AND(ISNUMBER($AS$870),$B$677=1),$AS$870,HLOOKUP(INDIRECT(ADDRESS(2,COLUMN())),OFFSET($BN$2,0,0,ROW()-1,60),ROW()-1,FALSE))</f>
        <v>0.83533270400000004</v>
      </c>
      <c r="AT200">
        <f ca="1">IF(AND(ISNUMBER($AT$870),$B$677=1),$AT$870,HLOOKUP(INDIRECT(ADDRESS(2,COLUMN())),OFFSET($BN$2,0,0,ROW()-1,60),ROW()-1,FALSE))</f>
        <v>0.66030109400000003</v>
      </c>
      <c r="AU200">
        <f ca="1">IF(AND(ISNUMBER($AU$870),$B$677=1),$AU$870,HLOOKUP(INDIRECT(ADDRESS(2,COLUMN())),OFFSET($BN$2,0,0,ROW()-1,60),ROW()-1,FALSE))</f>
        <v>0.41345516399999999</v>
      </c>
      <c r="AV200">
        <f ca="1">IF(AND(ISNUMBER($AV$870),$B$677=1),$AV$870,HLOOKUP(INDIRECT(ADDRESS(2,COLUMN())),OFFSET($BN$2,0,0,ROW()-1,60),ROW()-1,FALSE))</f>
        <v>0.83714102199999996</v>
      </c>
      <c r="AW200">
        <f ca="1">IF(AND(ISNUMBER($AW$870),$B$677=1),$AW$870,HLOOKUP(INDIRECT(ADDRESS(2,COLUMN())),OFFSET($BN$2,0,0,ROW()-1,60),ROW()-1,FALSE))</f>
        <v>0.83595612200000002</v>
      </c>
      <c r="AX200">
        <f ca="1">IF(AND(ISNUMBER($AX$870),$B$677=1),$AX$870,HLOOKUP(INDIRECT(ADDRESS(2,COLUMN())),OFFSET($BN$2,0,0,ROW()-1,60),ROW()-1,FALSE))</f>
        <v>0.64832134699999999</v>
      </c>
      <c r="AY200">
        <f ca="1">IF(AND(ISNUMBER($AY$870),$B$677=1),$AY$870,HLOOKUP(INDIRECT(ADDRESS(2,COLUMN())),OFFSET($BN$2,0,0,ROW()-1,60),ROW()-1,FALSE))</f>
        <v>0.801693871</v>
      </c>
      <c r="AZ200">
        <f ca="1">IF(AND(ISNUMBER($AZ$870),$B$677=1),$AZ$870,HLOOKUP(INDIRECT(ADDRESS(2,COLUMN())),OFFSET($BN$2,0,0,ROW()-1,60),ROW()-1,FALSE))</f>
        <v>0.77189389200000003</v>
      </c>
      <c r="BA200">
        <f ca="1">IF(AND(ISNUMBER($BA$870),$B$677=1),$BA$870,HLOOKUP(INDIRECT(ADDRESS(2,COLUMN())),OFFSET($BN$2,0,0,ROW()-1,60),ROW()-1,FALSE))</f>
        <v>0.92587867499999998</v>
      </c>
      <c r="BB200">
        <f ca="1">IF(AND(ISNUMBER($BB$870),$B$677=1),$BB$870,HLOOKUP(INDIRECT(ADDRESS(2,COLUMN())),OFFSET($BN$2,0,0,ROW()-1,60),ROW()-1,FALSE))</f>
        <v>0.95802810299999996</v>
      </c>
      <c r="BC200">
        <f ca="1">IF(AND(ISNUMBER($BC$870),$B$677=1),$BC$870,HLOOKUP(INDIRECT(ADDRESS(2,COLUMN())),OFFSET($BN$2,0,0,ROW()-1,60),ROW()-1,FALSE))</f>
        <v>0.97181411100000004</v>
      </c>
      <c r="BD200">
        <f ca="1">IF(AND(ISNUMBER($BD$870),$B$677=1),$BD$870,HLOOKUP(INDIRECT(ADDRESS(2,COLUMN())),OFFSET($BN$2,0,0,ROW()-1,60),ROW()-1,FALSE))</f>
        <v>1.1093076040000001</v>
      </c>
      <c r="BE200">
        <f ca="1">IF(AND(ISNUMBER($BE$870),$B$677=1),$BE$870,HLOOKUP(INDIRECT(ADDRESS(2,COLUMN())),OFFSET($BN$2,0,0,ROW()-1,60),ROW()-1,FALSE))</f>
        <v>1.1239147979999999</v>
      </c>
      <c r="BF200">
        <f ca="1">IF(AND(ISNUMBER($BF$870),$B$677=1),$BF$870,HLOOKUP(INDIRECT(ADDRESS(2,COLUMN())),OFFSET($BN$2,0,0,ROW()-1,60),ROW()-1,FALSE))</f>
        <v>1.16060129</v>
      </c>
      <c r="BG200">
        <f ca="1">IF(AND(ISNUMBER($BG$870),$B$677=1),$BG$870,HLOOKUP(INDIRECT(ADDRESS(2,COLUMN())),OFFSET($BN$2,0,0,ROW()-1,60),ROW()-1,FALSE))</f>
        <v>1.1146828559999999</v>
      </c>
      <c r="BH200">
        <f ca="1">IF(AND(ISNUMBER($BH$870),$B$677=1),$BH$870,HLOOKUP(INDIRECT(ADDRESS(2,COLUMN())),OFFSET($BN$2,0,0,ROW()-1,60),ROW()-1,FALSE))</f>
        <v>0.90309379899999997</v>
      </c>
      <c r="BI200">
        <f ca="1">IF(AND(ISNUMBER($BI$870),$B$677=1),$BI$870,HLOOKUP(INDIRECT(ADDRESS(2,COLUMN())),OFFSET($BN$2,0,0,ROW()-1,60),ROW()-1,FALSE))</f>
        <v>0.77506726199999998</v>
      </c>
      <c r="BJ200">
        <f ca="1">IF(AND(ISNUMBER($BJ$870),$B$677=1),$BJ$870,HLOOKUP(INDIRECT(ADDRESS(2,COLUMN())),OFFSET($BN$2,0,0,ROW()-1,60),ROW()-1,FALSE))</f>
        <v>0.95412185000000005</v>
      </c>
      <c r="BK200">
        <f ca="1">IF(AND(ISNUMBER($BK$870),$B$677=1),$BK$870,HLOOKUP(INDIRECT(ADDRESS(2,COLUMN())),OFFSET($BN$2,0,0,ROW()-1,60),ROW()-1,FALSE))</f>
        <v>0.92807101599999997</v>
      </c>
      <c r="BL200">
        <f ca="1">IF(AND(ISNUMBER($BL$870),$B$677=1),$BL$870,HLOOKUP(INDIRECT(ADDRESS(2,COLUMN())),OFFSET($BN$2,0,0,ROW()-1,60),ROW()-1,FALSE))</f>
        <v>1.0277048820000001</v>
      </c>
      <c r="BM200">
        <f ca="1">IF(AND(ISNUMBER($BM$870),$B$677=1),$BM$870,HLOOKUP(INDIRECT(ADDRESS(2,COLUMN())),OFFSET($BN$2,0,0,ROW()-1,60),ROW()-1,FALSE))</f>
        <v>1.1623049299999999</v>
      </c>
      <c r="BN200">
        <f>1.412780153</f>
        <v>1.4127801529999999</v>
      </c>
      <c r="BO200">
        <f>1.17317423</f>
        <v>1.1731742300000001</v>
      </c>
      <c r="BP200">
        <f>1.730707888</f>
        <v>1.730707888</v>
      </c>
      <c r="BQ200">
        <f>1.616328997</f>
        <v>1.6163289970000001</v>
      </c>
      <c r="BR200">
        <f>1.753667885</f>
        <v>1.753667885</v>
      </c>
      <c r="BS200">
        <f>1.847531624</f>
        <v>1.8475316239999999</v>
      </c>
      <c r="BT200">
        <f>2.113959108</f>
        <v>2.113959108</v>
      </c>
      <c r="BU200">
        <f>1.98333536</f>
        <v>1.9833353600000001</v>
      </c>
      <c r="BV200">
        <f>2.183336905</f>
        <v>2.183336905</v>
      </c>
      <c r="BW200">
        <f>2.662740443</f>
        <v>2.6627404430000001</v>
      </c>
      <c r="BX200">
        <f>2.158570753</f>
        <v>2.1585707529999998</v>
      </c>
      <c r="BY200">
        <f>2.066950402</f>
        <v>2.0669504019999998</v>
      </c>
      <c r="BZ200">
        <f>2.345128683</f>
        <v>2.345128683</v>
      </c>
      <c r="CA200">
        <f>3.123274725</f>
        <v>3.1232747249999999</v>
      </c>
      <c r="CB200">
        <f>2.862233992</f>
        <v>2.8622339920000002</v>
      </c>
      <c r="CC200">
        <f>3.283865339</f>
        <v>3.2838653390000001</v>
      </c>
      <c r="CD200">
        <f>3.097262104</f>
        <v>3.0972621039999999</v>
      </c>
      <c r="CE200">
        <f>3.570414113</f>
        <v>3.570414113</v>
      </c>
      <c r="CF200">
        <f>3.295927687</f>
        <v>3.2959276869999998</v>
      </c>
      <c r="CG200">
        <f>2.811213113</f>
        <v>2.811213113</v>
      </c>
      <c r="CH200">
        <f>2.901905214</f>
        <v>2.9019052140000001</v>
      </c>
      <c r="CI200">
        <f>3.146958837</f>
        <v>3.1469588370000001</v>
      </c>
      <c r="CJ200">
        <f>3.042690855</f>
        <v>3.042690855</v>
      </c>
      <c r="CK200">
        <f>3.005830219</f>
        <v>3.0058302189999999</v>
      </c>
      <c r="CL200">
        <f>1.95705601</f>
        <v>1.9570560100000001</v>
      </c>
      <c r="CM200">
        <f>1.697529809</f>
        <v>1.6975298089999999</v>
      </c>
      <c r="CN200">
        <f>1.088019877</f>
        <v>1.088019877</v>
      </c>
      <c r="CO200">
        <f>1.120103264</f>
        <v>1.1201032639999999</v>
      </c>
      <c r="CP200">
        <f>1.183635515</f>
        <v>1.183635515</v>
      </c>
      <c r="CQ200">
        <f>0.85890476</f>
        <v>0.85890476000000004</v>
      </c>
      <c r="CR200">
        <f>0.847745726</f>
        <v>0.84774572599999998</v>
      </c>
      <c r="CS200">
        <f>1.139422436</f>
        <v>1.139422436</v>
      </c>
      <c r="CT200">
        <f>1.04392904</f>
        <v>1.0439290400000001</v>
      </c>
      <c r="CU200">
        <f>1.210499468</f>
        <v>1.2104994680000001</v>
      </c>
      <c r="CV200">
        <f>1.047929291</f>
        <v>1.047929291</v>
      </c>
      <c r="CW200">
        <f>0.986592714</f>
        <v>0.98659271400000004</v>
      </c>
      <c r="CX200">
        <f>1.022873941</f>
        <v>1.0228739410000001</v>
      </c>
      <c r="CY200">
        <f>0.956074843</f>
        <v>0.95607484300000001</v>
      </c>
      <c r="CZ200">
        <f>0.761001131</f>
        <v>0.761001131</v>
      </c>
      <c r="DA200">
        <f>0.835332704</f>
        <v>0.83533270400000004</v>
      </c>
      <c r="DB200">
        <f>0.660301094</f>
        <v>0.66030109400000003</v>
      </c>
      <c r="DC200">
        <f>0.413455164</f>
        <v>0.41345516399999999</v>
      </c>
      <c r="DD200">
        <f>0.837141022</f>
        <v>0.83714102199999996</v>
      </c>
      <c r="DE200">
        <f>0.835956122</f>
        <v>0.83595612200000002</v>
      </c>
      <c r="DF200">
        <f>0.648321347</f>
        <v>0.64832134699999999</v>
      </c>
      <c r="DG200">
        <f>0.801693871</f>
        <v>0.801693871</v>
      </c>
      <c r="DH200">
        <f>0.771893892</f>
        <v>0.77189389200000003</v>
      </c>
      <c r="DI200">
        <f>0.925878675</f>
        <v>0.92587867499999998</v>
      </c>
      <c r="DJ200">
        <f>0.958028103</f>
        <v>0.95802810299999996</v>
      </c>
      <c r="DK200">
        <f>0.971814111</f>
        <v>0.97181411100000004</v>
      </c>
      <c r="DL200">
        <f>1.109307604</f>
        <v>1.1093076040000001</v>
      </c>
      <c r="DM200">
        <f>1.123914798</f>
        <v>1.1239147979999999</v>
      </c>
      <c r="DN200">
        <f>1.16060129</f>
        <v>1.16060129</v>
      </c>
      <c r="DO200">
        <f>1.114682856</f>
        <v>1.1146828559999999</v>
      </c>
      <c r="DP200">
        <f>0.903093799</f>
        <v>0.90309379899999997</v>
      </c>
      <c r="DQ200">
        <f>0.775067262</f>
        <v>0.77506726199999998</v>
      </c>
      <c r="DR200">
        <f>0.95412185</f>
        <v>0.95412185000000005</v>
      </c>
      <c r="DS200">
        <f>0.928071016</f>
        <v>0.92807101599999997</v>
      </c>
      <c r="DT200">
        <f>1.027704882</f>
        <v>1.0277048820000001</v>
      </c>
      <c r="DU200">
        <f>1.16230493</f>
        <v>1.1623049299999999</v>
      </c>
    </row>
    <row r="201" spans="1:125" x14ac:dyDescent="0.25">
      <c r="A201" t="str">
        <f>"    Suzuki Motor Corp"</f>
        <v xml:space="preserve">    Suzuki Motor Corp</v>
      </c>
      <c r="B201" t="str">
        <f>"7269 JP Equity"</f>
        <v>7269 JP Equity</v>
      </c>
      <c r="C201" t="str">
        <f t="shared" si="12"/>
        <v>RX077</v>
      </c>
      <c r="D201" t="str">
        <f t="shared" si="13"/>
        <v>PX_TO_TANG_BOOK_VAL_PER_SH</v>
      </c>
      <c r="E201" t="str">
        <f t="shared" si="14"/>
        <v>Dynamic</v>
      </c>
      <c r="F201">
        <f ca="1">IF(AND(ISNUMBER($F$871),$B$677=1),$F$871,HLOOKUP(INDIRECT(ADDRESS(2,COLUMN())),OFFSET($BN$2,0,0,ROW()-1,60),ROW()-1,FALSE))</f>
        <v>1.9260783100000001</v>
      </c>
      <c r="G201">
        <f ca="1">IF(AND(ISNUMBER($G$871),$B$677=1),$G$871,HLOOKUP(INDIRECT(ADDRESS(2,COLUMN())),OFFSET($BN$2,0,0,ROW()-1,60),ROW()-1,FALSE))</f>
        <v>1.8557421169999999</v>
      </c>
      <c r="H201">
        <f ca="1">IF(AND(ISNUMBER($H$871),$B$677=1),$H$871,HLOOKUP(INDIRECT(ADDRESS(2,COLUMN())),OFFSET($BN$2,0,0,ROW()-1,60),ROW()-1,FALSE))</f>
        <v>2.1740543200000002</v>
      </c>
      <c r="I201">
        <f ca="1">IF(AND(ISNUMBER($I$871),$B$677=1),$I$871,HLOOKUP(INDIRECT(ADDRESS(2,COLUMN())),OFFSET($BN$2,0,0,ROW()-1,60),ROW()-1,FALSE))</f>
        <v>2.0245737469999998</v>
      </c>
      <c r="J201">
        <f ca="1">IF(AND(ISNUMBER($J$871),$B$677=1),$J$871,HLOOKUP(INDIRECT(ADDRESS(2,COLUMN())),OFFSET($BN$2,0,0,ROW()-1,60),ROW()-1,FALSE))</f>
        <v>1.9543987060000001</v>
      </c>
      <c r="K201">
        <f ca="1">IF(AND(ISNUMBER($K$871),$B$677=1),$K$871,HLOOKUP(INDIRECT(ADDRESS(2,COLUMN())),OFFSET($BN$2,0,0,ROW()-1,60),ROW()-1,FALSE))</f>
        <v>2.204764183</v>
      </c>
      <c r="L201">
        <f ca="1">IF(AND(ISNUMBER($L$871),$B$677=1),$L$871,HLOOKUP(INDIRECT(ADDRESS(2,COLUMN())),OFFSET($BN$2,0,0,ROW()-1,60),ROW()-1,FALSE))</f>
        <v>2.0983573959999999</v>
      </c>
      <c r="M201">
        <f ca="1">IF(AND(ISNUMBER($M$871),$B$677=1),$M$871,HLOOKUP(INDIRECT(ADDRESS(2,COLUMN())),OFFSET($BN$2,0,0,ROW()-1,60),ROW()-1,FALSE))</f>
        <v>1.985259315</v>
      </c>
      <c r="N201">
        <f ca="1">IF(AND(ISNUMBER($N$871),$B$677=1),$N$871,HLOOKUP(INDIRECT(ADDRESS(2,COLUMN())),OFFSET($BN$2,0,0,ROW()-1,60),ROW()-1,FALSE))</f>
        <v>1.8251954340000001</v>
      </c>
      <c r="O201">
        <f ca="1">IF(AND(ISNUMBER($O$871),$B$677=1),$O$871,HLOOKUP(INDIRECT(ADDRESS(2,COLUMN())),OFFSET($BN$2,0,0,ROW()-1,60),ROW()-1,FALSE))</f>
        <v>1.660499395</v>
      </c>
      <c r="P201">
        <f ca="1">IF(AND(ISNUMBER($P$871),$B$677=1),$P$871,HLOOKUP(INDIRECT(ADDRESS(2,COLUMN())),OFFSET($BN$2,0,0,ROW()-1,60),ROW()-1,FALSE))</f>
        <v>1.529994192</v>
      </c>
      <c r="Q201">
        <f ca="1">IF(AND(ISNUMBER($Q$871),$B$677=1),$Q$871,HLOOKUP(INDIRECT(ADDRESS(2,COLUMN())),OFFSET($BN$2,0,0,ROW()-1,60),ROW()-1,FALSE))</f>
        <v>1.3273867909999999</v>
      </c>
      <c r="R201">
        <f ca="1">IF(AND(ISNUMBER($R$871),$B$677=1),$R$871,HLOOKUP(INDIRECT(ADDRESS(2,COLUMN())),OFFSET($BN$2,0,0,ROW()-1,60),ROW()-1,FALSE))</f>
        <v>1.3931690699999999</v>
      </c>
      <c r="S201">
        <f ca="1">IF(AND(ISNUMBER($S$871),$B$677=1),$S$871,HLOOKUP(INDIRECT(ADDRESS(2,COLUMN())),OFFSET($BN$2,0,0,ROW()-1,60),ROW()-1,FALSE))</f>
        <v>1.6163735319999999</v>
      </c>
      <c r="T201">
        <f ca="1">IF(AND(ISNUMBER($T$871),$B$677=1),$T$871,HLOOKUP(INDIRECT(ADDRESS(2,COLUMN())),OFFSET($BN$2,0,0,ROW()-1,60),ROW()-1,FALSE))</f>
        <v>1.651224164</v>
      </c>
      <c r="U201">
        <f ca="1">IF(AND(ISNUMBER($U$871),$B$677=1),$U$871,HLOOKUP(INDIRECT(ADDRESS(2,COLUMN())),OFFSET($BN$2,0,0,ROW()-1,60),ROW()-1,FALSE))</f>
        <v>1.5386952890000001</v>
      </c>
      <c r="V201">
        <f ca="1">IF(AND(ISNUMBER($V$871),$B$677=1),$V$871,HLOOKUP(INDIRECT(ADDRESS(2,COLUMN())),OFFSET($BN$2,0,0,ROW()-1,60),ROW()-1,FALSE))</f>
        <v>1.3727253049999999</v>
      </c>
      <c r="W201">
        <f ca="1">IF(AND(ISNUMBER($W$871),$B$677=1),$W$871,HLOOKUP(INDIRECT(ADDRESS(2,COLUMN())),OFFSET($BN$2,0,0,ROW()-1,60),ROW()-1,FALSE))</f>
        <v>1.403776079</v>
      </c>
      <c r="X201">
        <f ca="1">IF(AND(ISNUMBER($X$871),$B$677=1),$X$871,HLOOKUP(INDIRECT(ADDRESS(2,COLUMN())),OFFSET($BN$2,0,0,ROW()-1,60),ROW()-1,FALSE))</f>
        <v>1.4832163030000001</v>
      </c>
      <c r="Y201">
        <f ca="1">IF(AND(ISNUMBER($Y$871),$B$677=1),$Y$871,HLOOKUP(INDIRECT(ADDRESS(2,COLUMN())),OFFSET($BN$2,0,0,ROW()-1,60),ROW()-1,FALSE))</f>
        <v>1.334866847</v>
      </c>
      <c r="Z201">
        <f ca="1">IF(AND(ISNUMBER($Z$871),$B$677=1),$Z$871,HLOOKUP(INDIRECT(ADDRESS(2,COLUMN())),OFFSET($BN$2,0,0,ROW()-1,60),ROW()-1,FALSE))</f>
        <v>1.1452039169999999</v>
      </c>
      <c r="AA201">
        <f ca="1">IF(AND(ISNUMBER($AA$871),$B$677=1),$AA$871,HLOOKUP(INDIRECT(ADDRESS(2,COLUMN())),OFFSET($BN$2,0,0,ROW()-1,60),ROW()-1,FALSE))</f>
        <v>1.2230627430000001</v>
      </c>
      <c r="AB201">
        <f ca="1">IF(AND(ISNUMBER($AB$871),$B$677=1),$AB$871,HLOOKUP(INDIRECT(ADDRESS(2,COLUMN())),OFFSET($BN$2,0,0,ROW()-1,60),ROW()-1,FALSE))</f>
        <v>1.0780401580000001</v>
      </c>
      <c r="AC201">
        <f ca="1">IF(AND(ISNUMBER($AC$871),$B$677=1),$AC$871,HLOOKUP(INDIRECT(ADDRESS(2,COLUMN())),OFFSET($BN$2,0,0,ROW()-1,60),ROW()-1,FALSE))</f>
        <v>1.0761382349999999</v>
      </c>
      <c r="AD201">
        <f ca="1">IF(AND(ISNUMBER($AD$871),$B$677=1),$AD$871,HLOOKUP(INDIRECT(ADDRESS(2,COLUMN())),OFFSET($BN$2,0,0,ROW()-1,60),ROW()-1,FALSE))</f>
        <v>1.042033067</v>
      </c>
      <c r="AE201">
        <f ca="1">IF(AND(ISNUMBER($AE$871),$B$677=1),$AE$871,HLOOKUP(INDIRECT(ADDRESS(2,COLUMN())),OFFSET($BN$2,0,0,ROW()-1,60),ROW()-1,FALSE))</f>
        <v>1.202188772</v>
      </c>
      <c r="AF201">
        <f ca="1">IF(AND(ISNUMBER($AF$871),$B$677=1),$AF$871,HLOOKUP(INDIRECT(ADDRESS(2,COLUMN())),OFFSET($BN$2,0,0,ROW()-1,60),ROW()-1,FALSE))</f>
        <v>0.85256700399999996</v>
      </c>
      <c r="AG201">
        <f ca="1">IF(AND(ISNUMBER($AG$871),$B$677=1),$AG$871,HLOOKUP(INDIRECT(ADDRESS(2,COLUMN())),OFFSET($BN$2,0,0,ROW()-1,60),ROW()-1,FALSE))</f>
        <v>0.93151401300000003</v>
      </c>
      <c r="AH201">
        <f ca="1">IF(AND(ISNUMBER($AH$871),$B$677=1),$AH$871,HLOOKUP(INDIRECT(ADDRESS(2,COLUMN())),OFFSET($BN$2,0,0,ROW()-1,60),ROW()-1,FALSE))</f>
        <v>1.1303245959999999</v>
      </c>
      <c r="AI201">
        <f ca="1">IF(AND(ISNUMBER($AI$871),$B$677=1),$AI$871,HLOOKUP(INDIRECT(ADDRESS(2,COLUMN())),OFFSET($BN$2,0,0,ROW()-1,60),ROW()-1,FALSE))</f>
        <v>0.95753496299999996</v>
      </c>
      <c r="AJ201">
        <f ca="1">IF(AND(ISNUMBER($AJ$871),$B$677=1),$AJ$871,HLOOKUP(INDIRECT(ADDRESS(2,COLUMN())),OFFSET($BN$2,0,0,ROW()-1,60),ROW()-1,FALSE))</f>
        <v>1.0304470139999999</v>
      </c>
      <c r="AK201">
        <f ca="1">IF(AND(ISNUMBER($AK$871),$B$677=1),$AK$871,HLOOKUP(INDIRECT(ADDRESS(2,COLUMN())),OFFSET($BN$2,0,0,ROW()-1,60),ROW()-1,FALSE))</f>
        <v>1.0259278839999999</v>
      </c>
      <c r="AL201">
        <f ca="1">IF(AND(ISNUMBER($AL$871),$B$677=1),$AL$871,HLOOKUP(INDIRECT(ADDRESS(2,COLUMN())),OFFSET($BN$2,0,0,ROW()-1,60),ROW()-1,FALSE))</f>
        <v>1.0808843050000001</v>
      </c>
      <c r="AM201">
        <f ca="1">IF(AND(ISNUMBER($AM$871),$B$677=1),$AM$871,HLOOKUP(INDIRECT(ADDRESS(2,COLUMN())),OFFSET($BN$2,0,0,ROW()-1,60),ROW()-1,FALSE))</f>
        <v>1.183923026</v>
      </c>
      <c r="AN201">
        <f ca="1">IF(AND(ISNUMBER($AN$871),$B$677=1),$AN$871,HLOOKUP(INDIRECT(ADDRESS(2,COLUMN())),OFFSET($BN$2,0,0,ROW()-1,60),ROW()-1,FALSE))</f>
        <v>1.044443569</v>
      </c>
      <c r="AO201">
        <f ca="1">IF(AND(ISNUMBER($AO$871),$B$677=1),$AO$871,HLOOKUP(INDIRECT(ADDRESS(2,COLUMN())),OFFSET($BN$2,0,0,ROW()-1,60),ROW()-1,FALSE))</f>
        <v>1.0535644500000001</v>
      </c>
      <c r="AP201">
        <f ca="1">IF(AND(ISNUMBER($AP$871),$B$677=1),$AP$871,HLOOKUP(INDIRECT(ADDRESS(2,COLUMN())),OFFSET($BN$2,0,0,ROW()-1,60),ROW()-1,FALSE))</f>
        <v>1.2113224140000001</v>
      </c>
      <c r="AQ201">
        <f ca="1">IF(AND(ISNUMBER($AQ$871),$B$677=1),$AQ$871,HLOOKUP(INDIRECT(ADDRESS(2,COLUMN())),OFFSET($BN$2,0,0,ROW()-1,60),ROW()-1,FALSE))</f>
        <v>1.4624379729999999</v>
      </c>
      <c r="AR201">
        <f ca="1">IF(AND(ISNUMBER($AR$871),$B$677=1),$AR$871,HLOOKUP(INDIRECT(ADDRESS(2,COLUMN())),OFFSET($BN$2,0,0,ROW()-1,60),ROW()-1,FALSE))</f>
        <v>1.3618421190000001</v>
      </c>
      <c r="AS201">
        <f ca="1">IF(AND(ISNUMBER($AS$871),$B$677=1),$AS$871,HLOOKUP(INDIRECT(ADDRESS(2,COLUMN())),OFFSET($BN$2,0,0,ROW()-1,60),ROW()-1,FALSE))</f>
        <v>1.4115917410000001</v>
      </c>
      <c r="AT201">
        <f ca="1">IF(AND(ISNUMBER($AT$871),$B$677=1),$AT$871,HLOOKUP(INDIRECT(ADDRESS(2,COLUMN())),OFFSET($BN$2,0,0,ROW()-1,60),ROW()-1,FALSE))</f>
        <v>1.1115749660000001</v>
      </c>
      <c r="AU201">
        <f ca="1">IF(AND(ISNUMBER($AU$871),$B$677=1),$AU$871,HLOOKUP(INDIRECT(ADDRESS(2,COLUMN())),OFFSET($BN$2,0,0,ROW()-1,60),ROW()-1,FALSE))</f>
        <v>0.81891034699999998</v>
      </c>
      <c r="AV201">
        <f ca="1">IF(AND(ISNUMBER($AV$871),$B$677=1),$AV$871,HLOOKUP(INDIRECT(ADDRESS(2,COLUMN())),OFFSET($BN$2,0,0,ROW()-1,60),ROW()-1,FALSE))</f>
        <v>1.1416395479999999</v>
      </c>
      <c r="AW201">
        <f ca="1">IF(AND(ISNUMBER($AW$871),$B$677=1),$AW$871,HLOOKUP(INDIRECT(ADDRESS(2,COLUMN())),OFFSET($BN$2,0,0,ROW()-1,60),ROW()-1,FALSE))</f>
        <v>1.424508401</v>
      </c>
      <c r="AX201">
        <f ca="1">IF(AND(ISNUMBER($AX$871),$B$677=1),$AX$871,HLOOKUP(INDIRECT(ADDRESS(2,COLUMN())),OFFSET($BN$2,0,0,ROW()-1,60),ROW()-1,FALSE))</f>
        <v>1.4639505049999999</v>
      </c>
      <c r="AY201">
        <f ca="1">IF(AND(ISNUMBER($AY$871),$B$677=1),$AY$871,HLOOKUP(INDIRECT(ADDRESS(2,COLUMN())),OFFSET($BN$2,0,0,ROW()-1,60),ROW()-1,FALSE))</f>
        <v>1.896072185</v>
      </c>
      <c r="AZ201">
        <f ca="1">IF(AND(ISNUMBER($AZ$871),$B$677=1),$AZ$871,HLOOKUP(INDIRECT(ADDRESS(2,COLUMN())),OFFSET($BN$2,0,0,ROW()-1,60),ROW()-1,FALSE))</f>
        <v>1.9271661149999999</v>
      </c>
      <c r="BA201">
        <f ca="1">IF(AND(ISNUMBER($BA$871),$B$677=1),$BA$871,HLOOKUP(INDIRECT(ADDRESS(2,COLUMN())),OFFSET($BN$2,0,0,ROW()-1,60),ROW()-1,FALSE))</f>
        <v>2.0038480170000001</v>
      </c>
      <c r="BB201">
        <f ca="1">IF(AND(ISNUMBER($BB$871),$B$677=1),$BB$871,HLOOKUP(INDIRECT(ADDRESS(2,COLUMN())),OFFSET($BN$2,0,0,ROW()-1,60),ROW()-1,FALSE))</f>
        <v>1.871404166</v>
      </c>
      <c r="BC201">
        <f ca="1">IF(AND(ISNUMBER($BC$871),$B$677=1),$BC$871,HLOOKUP(INDIRECT(ADDRESS(2,COLUMN())),OFFSET($BN$2,0,0,ROW()-1,60),ROW()-1,FALSE))</f>
        <v>2.1815723980000001</v>
      </c>
      <c r="BD201">
        <f ca="1">IF(AND(ISNUMBER($BD$871),$B$677=1),$BD$871,HLOOKUP(INDIRECT(ADDRESS(2,COLUMN())),OFFSET($BN$2,0,0,ROW()-1,60),ROW()-1,FALSE))</f>
        <v>2.053622496</v>
      </c>
      <c r="BE201">
        <f ca="1">IF(AND(ISNUMBER($BE$871),$B$677=1),$BE$871,HLOOKUP(INDIRECT(ADDRESS(2,COLUMN())),OFFSET($BN$2,0,0,ROW()-1,60),ROW()-1,FALSE))</f>
        <v>1.7553268500000001</v>
      </c>
      <c r="BF201">
        <f ca="1">IF(AND(ISNUMBER($BF$871),$B$677=1),$BF$871,HLOOKUP(INDIRECT(ADDRESS(2,COLUMN())),OFFSET($BN$2,0,0,ROW()-1,60),ROW()-1,FALSE))</f>
        <v>1.955067487</v>
      </c>
      <c r="BG201">
        <f ca="1">IF(AND(ISNUMBER($BG$871),$B$677=1),$BG$871,HLOOKUP(INDIRECT(ADDRESS(2,COLUMN())),OFFSET($BN$2,0,0,ROW()-1,60),ROW()-1,FALSE))</f>
        <v>1.4360595199999999</v>
      </c>
      <c r="BH201">
        <f ca="1">IF(AND(ISNUMBER($BH$871),$B$677=1),$BH$871,HLOOKUP(INDIRECT(ADDRESS(2,COLUMN())),OFFSET($BN$2,0,0,ROW()-1,60),ROW()-1,FALSE))</f>
        <v>1.4368109229999999</v>
      </c>
      <c r="BI201">
        <f ca="1">IF(AND(ISNUMBER($BI$871),$B$677=1),$BI$871,HLOOKUP(INDIRECT(ADDRESS(2,COLUMN())),OFFSET($BN$2,0,0,ROW()-1,60),ROW()-1,FALSE))</f>
        <v>1.250361413</v>
      </c>
      <c r="BJ201">
        <f ca="1">IF(AND(ISNUMBER($BJ$871),$B$677=1),$BJ$871,HLOOKUP(INDIRECT(ADDRESS(2,COLUMN())),OFFSET($BN$2,0,0,ROW()-1,60),ROW()-1,FALSE))</f>
        <v>1.3854380070000001</v>
      </c>
      <c r="BK201">
        <f ca="1">IF(AND(ISNUMBER($BK$871),$B$677=1),$BK$871,HLOOKUP(INDIRECT(ADDRESS(2,COLUMN())),OFFSET($BN$2,0,0,ROW()-1,60),ROW()-1,FALSE))</f>
        <v>1.409647807</v>
      </c>
      <c r="BL201">
        <f ca="1">IF(AND(ISNUMBER($BL$871),$B$677=1),$BL$871,HLOOKUP(INDIRECT(ADDRESS(2,COLUMN())),OFFSET($BN$2,0,0,ROW()-1,60),ROW()-1,FALSE))</f>
        <v>1.359868911</v>
      </c>
      <c r="BM201">
        <f ca="1">IF(AND(ISNUMBER($BM$871),$B$677=1),$BM$871,HLOOKUP(INDIRECT(ADDRESS(2,COLUMN())),OFFSET($BN$2,0,0,ROW()-1,60),ROW()-1,FALSE))</f>
        <v>1.508876849</v>
      </c>
      <c r="BN201">
        <f>1.92607831</f>
        <v>1.9260783100000001</v>
      </c>
      <c r="BO201">
        <f>1.855742117</f>
        <v>1.8557421169999999</v>
      </c>
      <c r="BP201">
        <f>2.17405432</f>
        <v>2.1740543200000002</v>
      </c>
      <c r="BQ201">
        <f>2.024573747</f>
        <v>2.0245737469999998</v>
      </c>
      <c r="BR201">
        <f>1.954398706</f>
        <v>1.9543987060000001</v>
      </c>
      <c r="BS201">
        <f>2.204764183</f>
        <v>2.204764183</v>
      </c>
      <c r="BT201">
        <f>2.098357396</f>
        <v>2.0983573959999999</v>
      </c>
      <c r="BU201">
        <f>1.985259315</f>
        <v>1.985259315</v>
      </c>
      <c r="BV201">
        <f>1.825195434</f>
        <v>1.8251954340000001</v>
      </c>
      <c r="BW201">
        <f>1.660499395</f>
        <v>1.660499395</v>
      </c>
      <c r="BX201">
        <f>1.529994192</f>
        <v>1.529994192</v>
      </c>
      <c r="BY201">
        <f>1.327386791</f>
        <v>1.3273867909999999</v>
      </c>
      <c r="BZ201">
        <f>1.39316907</f>
        <v>1.3931690699999999</v>
      </c>
      <c r="CA201">
        <f>1.616373532</f>
        <v>1.6163735319999999</v>
      </c>
      <c r="CB201">
        <f>1.651224164</f>
        <v>1.651224164</v>
      </c>
      <c r="CC201">
        <f>1.538695289</f>
        <v>1.5386952890000001</v>
      </c>
      <c r="CD201">
        <f>1.372725305</f>
        <v>1.3727253049999999</v>
      </c>
      <c r="CE201">
        <f>1.403776079</f>
        <v>1.403776079</v>
      </c>
      <c r="CF201">
        <f>1.483216303</f>
        <v>1.4832163030000001</v>
      </c>
      <c r="CG201">
        <f>1.334866847</f>
        <v>1.334866847</v>
      </c>
      <c r="CH201">
        <f>1.145203917</f>
        <v>1.1452039169999999</v>
      </c>
      <c r="CI201">
        <f>1.223062743</f>
        <v>1.2230627430000001</v>
      </c>
      <c r="CJ201">
        <f>1.078040158</f>
        <v>1.0780401580000001</v>
      </c>
      <c r="CK201">
        <f>1.076138235</f>
        <v>1.0761382349999999</v>
      </c>
      <c r="CL201">
        <f>1.042033067</f>
        <v>1.042033067</v>
      </c>
      <c r="CM201">
        <f>1.202188772</f>
        <v>1.202188772</v>
      </c>
      <c r="CN201">
        <f>0.852567004</f>
        <v>0.85256700399999996</v>
      </c>
      <c r="CO201">
        <f>0.931514013</f>
        <v>0.93151401300000003</v>
      </c>
      <c r="CP201">
        <f>1.130324596</f>
        <v>1.1303245959999999</v>
      </c>
      <c r="CQ201">
        <f>0.957534963</f>
        <v>0.95753496299999996</v>
      </c>
      <c r="CR201">
        <f>1.030447014</f>
        <v>1.0304470139999999</v>
      </c>
      <c r="CS201">
        <f>1.025927884</f>
        <v>1.0259278839999999</v>
      </c>
      <c r="CT201">
        <f>1.080884305</f>
        <v>1.0808843050000001</v>
      </c>
      <c r="CU201">
        <f>1.183923026</f>
        <v>1.183923026</v>
      </c>
      <c r="CV201">
        <f>1.044443569</f>
        <v>1.044443569</v>
      </c>
      <c r="CW201">
        <f>1.05356445</f>
        <v>1.0535644500000001</v>
      </c>
      <c r="CX201">
        <f>1.211322414</f>
        <v>1.2113224140000001</v>
      </c>
      <c r="CY201">
        <f>1.462437973</f>
        <v>1.4624379729999999</v>
      </c>
      <c r="CZ201">
        <f>1.361842119</f>
        <v>1.3618421190000001</v>
      </c>
      <c r="DA201">
        <f>1.411591741</f>
        <v>1.4115917410000001</v>
      </c>
      <c r="DB201">
        <f>1.111574966</f>
        <v>1.1115749660000001</v>
      </c>
      <c r="DC201">
        <f>0.818910347</f>
        <v>0.81891034699999998</v>
      </c>
      <c r="DD201">
        <f>1.141639548</f>
        <v>1.1416395479999999</v>
      </c>
      <c r="DE201">
        <f>1.424508401</f>
        <v>1.424508401</v>
      </c>
      <c r="DF201">
        <f>1.463950505</f>
        <v>1.4639505049999999</v>
      </c>
      <c r="DG201">
        <f>1.896072185</f>
        <v>1.896072185</v>
      </c>
      <c r="DH201">
        <f>1.927166115</f>
        <v>1.9271661149999999</v>
      </c>
      <c r="DI201">
        <f>2.003848017</f>
        <v>2.0038480170000001</v>
      </c>
      <c r="DJ201">
        <f>1.871404166</f>
        <v>1.871404166</v>
      </c>
      <c r="DK201">
        <f>2.181572398</f>
        <v>2.1815723980000001</v>
      </c>
      <c r="DL201">
        <f>2.053622496</f>
        <v>2.053622496</v>
      </c>
      <c r="DM201">
        <f>1.75532685</f>
        <v>1.7553268500000001</v>
      </c>
      <c r="DN201">
        <f>1.955067487</f>
        <v>1.955067487</v>
      </c>
      <c r="DO201">
        <f>1.43605952</f>
        <v>1.4360595199999999</v>
      </c>
      <c r="DP201">
        <f>1.436810923</f>
        <v>1.4368109229999999</v>
      </c>
      <c r="DQ201">
        <f>1.250361413</f>
        <v>1.250361413</v>
      </c>
      <c r="DR201">
        <f>1.385438007</f>
        <v>1.3854380070000001</v>
      </c>
      <c r="DS201">
        <f>1.409647807</f>
        <v>1.409647807</v>
      </c>
      <c r="DT201">
        <f>1.359868911</f>
        <v>1.359868911</v>
      </c>
      <c r="DU201">
        <f>1.508876849</f>
        <v>1.508876849</v>
      </c>
    </row>
    <row r="202" spans="1:125" x14ac:dyDescent="0.25">
      <c r="A202" t="str">
        <f>"    Tata Motors Ltd"</f>
        <v xml:space="preserve">    Tata Motors Ltd</v>
      </c>
      <c r="B202" t="str">
        <f>"TTMT IN Equity"</f>
        <v>TTMT IN Equity</v>
      </c>
      <c r="C202" t="str">
        <f t="shared" si="12"/>
        <v>RX077</v>
      </c>
      <c r="D202" t="str">
        <f t="shared" si="13"/>
        <v>PX_TO_TANG_BOOK_VAL_PER_SH</v>
      </c>
      <c r="E202" t="str">
        <f t="shared" si="14"/>
        <v>Dynamic</v>
      </c>
      <c r="F202" t="str">
        <f ca="1">IF(AND(ISNUMBER($F$872),$B$677=1),$F$872,HLOOKUP(INDIRECT(ADDRESS(2,COLUMN())),OFFSET($BN$2,0,0,ROW()-1,60),ROW()-1,FALSE))</f>
        <v/>
      </c>
      <c r="G202">
        <f ca="1">IF(AND(ISNUMBER($G$872),$B$677=1),$G$872,HLOOKUP(INDIRECT(ADDRESS(2,COLUMN())),OFFSET($BN$2,0,0,ROW()-1,60),ROW()-1,FALSE))</f>
        <v>3.0894842819999999</v>
      </c>
      <c r="H202">
        <f ca="1">IF(AND(ISNUMBER($H$872),$B$677=1),$H$872,HLOOKUP(INDIRECT(ADDRESS(2,COLUMN())),OFFSET($BN$2,0,0,ROW()-1,60),ROW()-1,FALSE))</f>
        <v>4.0451719859999997</v>
      </c>
      <c r="I202">
        <f ca="1">IF(AND(ISNUMBER($I$872),$B$677=1),$I$872,HLOOKUP(INDIRECT(ADDRESS(2,COLUMN())),OFFSET($BN$2,0,0,ROW()-1,60),ROW()-1,FALSE))</f>
        <v>3.7283848819999998</v>
      </c>
      <c r="J202">
        <f ca="1">IF(AND(ISNUMBER($J$872),$B$677=1),$J$872,HLOOKUP(INDIRECT(ADDRESS(2,COLUMN())),OFFSET($BN$2,0,0,ROW()-1,60),ROW()-1,FALSE))</f>
        <v>4.6273878819999998</v>
      </c>
      <c r="K202">
        <f ca="1">IF(AND(ISNUMBER($K$872),$B$677=1),$K$872,HLOOKUP(INDIRECT(ADDRESS(2,COLUMN())),OFFSET($BN$2,0,0,ROW()-1,60),ROW()-1,FALSE))</f>
        <v>11.13302755</v>
      </c>
      <c r="L202">
        <f ca="1">IF(AND(ISNUMBER($L$872),$B$677=1),$L$872,HLOOKUP(INDIRECT(ADDRESS(2,COLUMN())),OFFSET($BN$2,0,0,ROW()-1,60),ROW()-1,FALSE))</f>
        <v>10.67823832</v>
      </c>
      <c r="M202" t="str">
        <f ca="1">IF(AND(ISNUMBER($M$872),$B$677=1),$M$872,HLOOKUP(INDIRECT(ADDRESS(2,COLUMN())),OFFSET($BN$2,0,0,ROW()-1,60),ROW()-1,FALSE))</f>
        <v/>
      </c>
      <c r="N202" t="str">
        <f ca="1">IF(AND(ISNUMBER($N$872),$B$677=1),$N$872,HLOOKUP(INDIRECT(ADDRESS(2,COLUMN())),OFFSET($BN$2,0,0,ROW()-1,60),ROW()-1,FALSE))</f>
        <v/>
      </c>
      <c r="O202" t="str">
        <f ca="1">IF(AND(ISNUMBER($O$872),$B$677=1),$O$872,HLOOKUP(INDIRECT(ADDRESS(2,COLUMN())),OFFSET($BN$2,0,0,ROW()-1,60),ROW()-1,FALSE))</f>
        <v/>
      </c>
      <c r="P202" t="str">
        <f ca="1">IF(AND(ISNUMBER($P$872),$B$677=1),$P$872,HLOOKUP(INDIRECT(ADDRESS(2,COLUMN())),OFFSET($BN$2,0,0,ROW()-1,60),ROW()-1,FALSE))</f>
        <v/>
      </c>
      <c r="Q202">
        <f ca="1">IF(AND(ISNUMBER($Q$872),$B$677=1),$Q$872,HLOOKUP(INDIRECT(ADDRESS(2,COLUMN())),OFFSET($BN$2,0,0,ROW()-1,60),ROW()-1,FALSE))</f>
        <v>8.7913310520000003</v>
      </c>
      <c r="R202">
        <f ca="1">IF(AND(ISNUMBER($R$872),$B$677=1),$R$872,HLOOKUP(INDIRECT(ADDRESS(2,COLUMN())),OFFSET($BN$2,0,0,ROW()-1,60),ROW()-1,FALSE))</f>
        <v>7.5991695579999998</v>
      </c>
      <c r="S202">
        <f ca="1">IF(AND(ISNUMBER($S$872),$B$677=1),$S$872,HLOOKUP(INDIRECT(ADDRESS(2,COLUMN())),OFFSET($BN$2,0,0,ROW()-1,60),ROW()-1,FALSE))</f>
        <v>1.7594947519999999</v>
      </c>
      <c r="T202">
        <f ca="1">IF(AND(ISNUMBER($T$872),$B$677=1),$T$872,HLOOKUP(INDIRECT(ADDRESS(2,COLUMN())),OFFSET($BN$2,0,0,ROW()-1,60),ROW()-1,FALSE))</f>
        <v>1.335328842</v>
      </c>
      <c r="U202">
        <f ca="1">IF(AND(ISNUMBER($U$872),$B$677=1),$U$872,HLOOKUP(INDIRECT(ADDRESS(2,COLUMN())),OFFSET($BN$2,0,0,ROW()-1,60),ROW()-1,FALSE))</f>
        <v>174.36161920000001</v>
      </c>
      <c r="V202">
        <f ca="1">IF(AND(ISNUMBER($V$872),$B$677=1),$V$872,HLOOKUP(INDIRECT(ADDRESS(2,COLUMN())),OFFSET($BN$2,0,0,ROW()-1,60),ROW()-1,FALSE))</f>
        <v>221.63622599999999</v>
      </c>
      <c r="W202">
        <f ca="1">IF(AND(ISNUMBER($W$872),$B$677=1),$W$872,HLOOKUP(INDIRECT(ADDRESS(2,COLUMN())),OFFSET($BN$2,0,0,ROW()-1,60),ROW()-1,FALSE))</f>
        <v>2.5295933650000002</v>
      </c>
      <c r="X202">
        <f ca="1">IF(AND(ISNUMBER($X$872),$B$677=1),$X$872,HLOOKUP(INDIRECT(ADDRESS(2,COLUMN())),OFFSET($BN$2,0,0,ROW()-1,60),ROW()-1,FALSE))</f>
        <v>2.5726284719999999</v>
      </c>
      <c r="Y202">
        <f ca="1">IF(AND(ISNUMBER($Y$872),$B$677=1),$Y$872,HLOOKUP(INDIRECT(ADDRESS(2,COLUMN())),OFFSET($BN$2,0,0,ROW()-1,60),ROW()-1,FALSE))</f>
        <v>9.8829280910000001</v>
      </c>
      <c r="Z202">
        <f ca="1">IF(AND(ISNUMBER($Z$872),$B$677=1),$Z$872,HLOOKUP(INDIRECT(ADDRESS(2,COLUMN())),OFFSET($BN$2,0,0,ROW()-1,60),ROW()-1,FALSE))</f>
        <v>9.1125923059999998</v>
      </c>
      <c r="AA202">
        <f ca="1">IF(AND(ISNUMBER($AA$872),$B$677=1),$AA$872,HLOOKUP(INDIRECT(ADDRESS(2,COLUMN())),OFFSET($BN$2,0,0,ROW()-1,60),ROW()-1,FALSE))</f>
        <v>2.4051874729999998</v>
      </c>
      <c r="AB202">
        <f ca="1">IF(AND(ISNUMBER($AB$872),$B$677=1),$AB$872,HLOOKUP(INDIRECT(ADDRESS(2,COLUMN())),OFFSET($BN$2,0,0,ROW()-1,60),ROW()-1,FALSE))</f>
        <v>2.133737553</v>
      </c>
      <c r="AC202">
        <f ca="1">IF(AND(ISNUMBER($AC$872),$B$677=1),$AC$872,HLOOKUP(INDIRECT(ADDRESS(2,COLUMN())),OFFSET($BN$2,0,0,ROW()-1,60),ROW()-1,FALSE))</f>
        <v>115.5758488</v>
      </c>
      <c r="AD202">
        <f ca="1">IF(AND(ISNUMBER($AD$872),$B$677=1),$AD$872,HLOOKUP(INDIRECT(ADDRESS(2,COLUMN())),OFFSET($BN$2,0,0,ROW()-1,60),ROW()-1,FALSE))</f>
        <v>115.0841277</v>
      </c>
      <c r="AE202">
        <f ca="1">IF(AND(ISNUMBER($AE$872),$B$677=1),$AE$872,HLOOKUP(INDIRECT(ADDRESS(2,COLUMN())),OFFSET($BN$2,0,0,ROW()-1,60),ROW()-1,FALSE))</f>
        <v>2.739065917</v>
      </c>
      <c r="AF202">
        <f ca="1">IF(AND(ISNUMBER($AF$872),$B$677=1),$AF$872,HLOOKUP(INDIRECT(ADDRESS(2,COLUMN())),OFFSET($BN$2,0,0,ROW()-1,60),ROW()-1,FALSE))</f>
        <v>2.3636093730000001</v>
      </c>
      <c r="AG202">
        <f ca="1">IF(AND(ISNUMBER($AG$872),$B$677=1),$AG$872,HLOOKUP(INDIRECT(ADDRESS(2,COLUMN())),OFFSET($BN$2,0,0,ROW()-1,60),ROW()-1,FALSE))</f>
        <v>28.976462779999999</v>
      </c>
      <c r="AH202">
        <f ca="1">IF(AND(ISNUMBER($AH$872),$B$677=1),$AH$872,HLOOKUP(INDIRECT(ADDRESS(2,COLUMN())),OFFSET($BN$2,0,0,ROW()-1,60),ROW()-1,FALSE))</f>
        <v>33.183987440000003</v>
      </c>
      <c r="AI202" t="str">
        <f ca="1">IF(AND(ISNUMBER($AI$872),$B$677=1),$AI$872,HLOOKUP(INDIRECT(ADDRESS(2,COLUMN())),OFFSET($BN$2,0,0,ROW()-1,60),ROW()-1,FALSE))</f>
        <v/>
      </c>
      <c r="AJ202" t="str">
        <f ca="1">IF(AND(ISNUMBER($AJ$872),$B$677=1),$AJ$872,HLOOKUP(INDIRECT(ADDRESS(2,COLUMN())),OFFSET($BN$2,0,0,ROW()-1,60),ROW()-1,FALSE))</f>
        <v/>
      </c>
      <c r="AK202" t="str">
        <f ca="1">IF(AND(ISNUMBER($AK$872),$B$677=1),$AK$872,HLOOKUP(INDIRECT(ADDRESS(2,COLUMN())),OFFSET($BN$2,0,0,ROW()-1,60),ROW()-1,FALSE))</f>
        <v/>
      </c>
      <c r="AL202" t="str">
        <f ca="1">IF(AND(ISNUMBER($AL$872),$B$677=1),$AL$872,HLOOKUP(INDIRECT(ADDRESS(2,COLUMN())),OFFSET($BN$2,0,0,ROW()-1,60),ROW()-1,FALSE))</f>
        <v/>
      </c>
      <c r="AM202" t="str">
        <f ca="1">IF(AND(ISNUMBER($AM$872),$B$677=1),$AM$872,HLOOKUP(INDIRECT(ADDRESS(2,COLUMN())),OFFSET($BN$2,0,0,ROW()-1,60),ROW()-1,FALSE))</f>
        <v/>
      </c>
      <c r="AN202" t="str">
        <f ca="1">IF(AND(ISNUMBER($AN$872),$B$677=1),$AN$872,HLOOKUP(INDIRECT(ADDRESS(2,COLUMN())),OFFSET($BN$2,0,0,ROW()-1,60),ROW()-1,FALSE))</f>
        <v/>
      </c>
      <c r="AO202" t="str">
        <f ca="1">IF(AND(ISNUMBER($AO$872),$B$677=1),$AO$872,HLOOKUP(INDIRECT(ADDRESS(2,COLUMN())),OFFSET($BN$2,0,0,ROW()-1,60),ROW()-1,FALSE))</f>
        <v/>
      </c>
      <c r="AP202" t="str">
        <f ca="1">IF(AND(ISNUMBER($AP$872),$B$677=1),$AP$872,HLOOKUP(INDIRECT(ADDRESS(2,COLUMN())),OFFSET($BN$2,0,0,ROW()-1,60),ROW()-1,FALSE))</f>
        <v/>
      </c>
      <c r="AQ202" t="str">
        <f ca="1">IF(AND(ISNUMBER($AQ$872),$B$677=1),$AQ$872,HLOOKUP(INDIRECT(ADDRESS(2,COLUMN())),OFFSET($BN$2,0,0,ROW()-1,60),ROW()-1,FALSE))</f>
        <v/>
      </c>
      <c r="AR202" t="str">
        <f ca="1">IF(AND(ISNUMBER($AR$872),$B$677=1),$AR$872,HLOOKUP(INDIRECT(ADDRESS(2,COLUMN())),OFFSET($BN$2,0,0,ROW()-1,60),ROW()-1,FALSE))</f>
        <v/>
      </c>
      <c r="AS202" t="str">
        <f ca="1">IF(AND(ISNUMBER($AS$872),$B$677=1),$AS$872,HLOOKUP(INDIRECT(ADDRESS(2,COLUMN())),OFFSET($BN$2,0,0,ROW()-1,60),ROW()-1,FALSE))</f>
        <v/>
      </c>
      <c r="AT202" t="str">
        <f ca="1">IF(AND(ISNUMBER($AT$872),$B$677=1),$AT$872,HLOOKUP(INDIRECT(ADDRESS(2,COLUMN())),OFFSET($BN$2,0,0,ROW()-1,60),ROW()-1,FALSE))</f>
        <v/>
      </c>
      <c r="AU202" t="str">
        <f ca="1">IF(AND(ISNUMBER($AU$872),$B$677=1),$AU$872,HLOOKUP(INDIRECT(ADDRESS(2,COLUMN())),OFFSET($BN$2,0,0,ROW()-1,60),ROW()-1,FALSE))</f>
        <v/>
      </c>
      <c r="AV202" t="str">
        <f ca="1">IF(AND(ISNUMBER($AV$872),$B$677=1),$AV$872,HLOOKUP(INDIRECT(ADDRESS(2,COLUMN())),OFFSET($BN$2,0,0,ROW()-1,60),ROW()-1,FALSE))</f>
        <v/>
      </c>
      <c r="AW202">
        <f ca="1">IF(AND(ISNUMBER($AW$872),$B$677=1),$AW$872,HLOOKUP(INDIRECT(ADDRESS(2,COLUMN())),OFFSET($BN$2,0,0,ROW()-1,60),ROW()-1,FALSE))</f>
        <v>2.275901459</v>
      </c>
      <c r="AX202">
        <f ca="1">IF(AND(ISNUMBER($AX$872),$B$677=1),$AX$872,HLOOKUP(INDIRECT(ADDRESS(2,COLUMN())),OFFSET($BN$2,0,0,ROW()-1,60),ROW()-1,FALSE))</f>
        <v>3.1893863809999998</v>
      </c>
      <c r="AY202" t="str">
        <f ca="1">IF(AND(ISNUMBER($AY$872),$B$677=1),$AY$872,HLOOKUP(INDIRECT(ADDRESS(2,COLUMN())),OFFSET($BN$2,0,0,ROW()-1,60),ROW()-1,FALSE))</f>
        <v/>
      </c>
      <c r="AZ202" t="str">
        <f ca="1">IF(AND(ISNUMBER($AZ$872),$B$677=1),$AZ$872,HLOOKUP(INDIRECT(ADDRESS(2,COLUMN())),OFFSET($BN$2,0,0,ROW()-1,60),ROW()-1,FALSE))</f>
        <v/>
      </c>
      <c r="BA202" t="str">
        <f ca="1">IF(AND(ISNUMBER($BA$872),$B$677=1),$BA$872,HLOOKUP(INDIRECT(ADDRESS(2,COLUMN())),OFFSET($BN$2,0,0,ROW()-1,60),ROW()-1,FALSE))</f>
        <v/>
      </c>
      <c r="BB202" t="str">
        <f ca="1">IF(AND(ISNUMBER($BB$872),$B$677=1),$BB$872,HLOOKUP(INDIRECT(ADDRESS(2,COLUMN())),OFFSET($BN$2,0,0,ROW()-1,60),ROW()-1,FALSE))</f>
        <v/>
      </c>
      <c r="BC202" t="str">
        <f ca="1">IF(AND(ISNUMBER($BC$872),$B$677=1),$BC$872,HLOOKUP(INDIRECT(ADDRESS(2,COLUMN())),OFFSET($BN$2,0,0,ROW()-1,60),ROW()-1,FALSE))</f>
        <v/>
      </c>
      <c r="BD202" t="str">
        <f ca="1">IF(AND(ISNUMBER($BD$872),$B$677=1),$BD$872,HLOOKUP(INDIRECT(ADDRESS(2,COLUMN())),OFFSET($BN$2,0,0,ROW()-1,60),ROW()-1,FALSE))</f>
        <v/>
      </c>
      <c r="BE202" t="str">
        <f ca="1">IF(AND(ISNUMBER($BE$872),$B$677=1),$BE$872,HLOOKUP(INDIRECT(ADDRESS(2,COLUMN())),OFFSET($BN$2,0,0,ROW()-1,60),ROW()-1,FALSE))</f>
        <v/>
      </c>
      <c r="BF202" t="str">
        <f ca="1">IF(AND(ISNUMBER($BF$872),$B$677=1),$BF$872,HLOOKUP(INDIRECT(ADDRESS(2,COLUMN())),OFFSET($BN$2,0,0,ROW()-1,60),ROW()-1,FALSE))</f>
        <v/>
      </c>
      <c r="BG202" t="str">
        <f ca="1">IF(AND(ISNUMBER($BG$872),$B$677=1),$BG$872,HLOOKUP(INDIRECT(ADDRESS(2,COLUMN())),OFFSET($BN$2,0,0,ROW()-1,60),ROW()-1,FALSE))</f>
        <v/>
      </c>
      <c r="BH202" t="str">
        <f ca="1">IF(AND(ISNUMBER($BH$872),$B$677=1),$BH$872,HLOOKUP(INDIRECT(ADDRESS(2,COLUMN())),OFFSET($BN$2,0,0,ROW()-1,60),ROW()-1,FALSE))</f>
        <v/>
      </c>
      <c r="BI202" t="str">
        <f ca="1">IF(AND(ISNUMBER($BI$872),$B$677=1),$BI$872,HLOOKUP(INDIRECT(ADDRESS(2,COLUMN())),OFFSET($BN$2,0,0,ROW()-1,60),ROW()-1,FALSE))</f>
        <v/>
      </c>
      <c r="BJ202" t="str">
        <f ca="1">IF(AND(ISNUMBER($BJ$872),$B$677=1),$BJ$872,HLOOKUP(INDIRECT(ADDRESS(2,COLUMN())),OFFSET($BN$2,0,0,ROW()-1,60),ROW()-1,FALSE))</f>
        <v/>
      </c>
      <c r="BK202" t="str">
        <f ca="1">IF(AND(ISNUMBER($BK$872),$B$677=1),$BK$872,HLOOKUP(INDIRECT(ADDRESS(2,COLUMN())),OFFSET($BN$2,0,0,ROW()-1,60),ROW()-1,FALSE))</f>
        <v/>
      </c>
      <c r="BL202" t="str">
        <f ca="1">IF(AND(ISNUMBER($BL$872),$B$677=1),$BL$872,HLOOKUP(INDIRECT(ADDRESS(2,COLUMN())),OFFSET($BN$2,0,0,ROW()-1,60),ROW()-1,FALSE))</f>
        <v/>
      </c>
      <c r="BM202" t="str">
        <f ca="1">IF(AND(ISNUMBER($BM$872),$B$677=1),$BM$872,HLOOKUP(INDIRECT(ADDRESS(2,COLUMN())),OFFSET($BN$2,0,0,ROW()-1,60),ROW()-1,FALSE))</f>
        <v/>
      </c>
      <c r="BN202" t="str">
        <f>""</f>
        <v/>
      </c>
      <c r="BO202">
        <f>3.089484282</f>
        <v>3.0894842819999999</v>
      </c>
      <c r="BP202">
        <f>4.045171986</f>
        <v>4.0451719859999997</v>
      </c>
      <c r="BQ202">
        <f>3.728384882</f>
        <v>3.7283848819999998</v>
      </c>
      <c r="BR202">
        <f>4.627387882</f>
        <v>4.6273878819999998</v>
      </c>
      <c r="BS202">
        <f>11.13302755</f>
        <v>11.13302755</v>
      </c>
      <c r="BT202">
        <f>10.67823832</f>
        <v>10.67823832</v>
      </c>
      <c r="BU202" t="str">
        <f>""</f>
        <v/>
      </c>
      <c r="BV202" t="str">
        <f>""</f>
        <v/>
      </c>
      <c r="BW202" t="str">
        <f>""</f>
        <v/>
      </c>
      <c r="BX202" t="str">
        <f>""</f>
        <v/>
      </c>
      <c r="BY202">
        <f>8.791331052</f>
        <v>8.7913310520000003</v>
      </c>
      <c r="BZ202">
        <f>7.599169558</f>
        <v>7.5991695579999998</v>
      </c>
      <c r="CA202">
        <f>1.759494752</f>
        <v>1.7594947519999999</v>
      </c>
      <c r="CB202">
        <f>1.335328842</f>
        <v>1.335328842</v>
      </c>
      <c r="CC202">
        <f>174.3616192</f>
        <v>174.36161920000001</v>
      </c>
      <c r="CD202">
        <f>221.636226</f>
        <v>221.63622599999999</v>
      </c>
      <c r="CE202">
        <f>2.529593365</f>
        <v>2.5295933650000002</v>
      </c>
      <c r="CF202">
        <f>2.572628472</f>
        <v>2.5726284719999999</v>
      </c>
      <c r="CG202">
        <f>9.882928091</f>
        <v>9.8829280910000001</v>
      </c>
      <c r="CH202">
        <f>9.112592306</f>
        <v>9.1125923059999998</v>
      </c>
      <c r="CI202">
        <f>2.405187473</f>
        <v>2.4051874729999998</v>
      </c>
      <c r="CJ202">
        <f>2.133737553</f>
        <v>2.133737553</v>
      </c>
      <c r="CK202">
        <f>115.5758488</f>
        <v>115.5758488</v>
      </c>
      <c r="CL202">
        <f>115.0841277</f>
        <v>115.0841277</v>
      </c>
      <c r="CM202">
        <f>2.739065917</f>
        <v>2.739065917</v>
      </c>
      <c r="CN202">
        <f>2.363609373</f>
        <v>2.3636093730000001</v>
      </c>
      <c r="CO202">
        <f>28.97646278</f>
        <v>28.976462779999999</v>
      </c>
      <c r="CP202">
        <f>33.18398744</f>
        <v>33.183987440000003</v>
      </c>
      <c r="CQ202" t="str">
        <f>""</f>
        <v/>
      </c>
      <c r="CR202" t="str">
        <f>""</f>
        <v/>
      </c>
      <c r="CS202" t="str">
        <f>""</f>
        <v/>
      </c>
      <c r="CT202" t="str">
        <f>""</f>
        <v/>
      </c>
      <c r="CU202" t="str">
        <f>""</f>
        <v/>
      </c>
      <c r="CV202" t="str">
        <f>""</f>
        <v/>
      </c>
      <c r="CW202" t="str">
        <f>""</f>
        <v/>
      </c>
      <c r="CX202" t="str">
        <f>""</f>
        <v/>
      </c>
      <c r="CY202" t="str">
        <f>""</f>
        <v/>
      </c>
      <c r="CZ202" t="str">
        <f>""</f>
        <v/>
      </c>
      <c r="DA202" t="str">
        <f>""</f>
        <v/>
      </c>
      <c r="DB202" t="str">
        <f>""</f>
        <v/>
      </c>
      <c r="DC202" t="str">
        <f>""</f>
        <v/>
      </c>
      <c r="DD202" t="str">
        <f>""</f>
        <v/>
      </c>
      <c r="DE202">
        <f>2.275901459</f>
        <v>2.275901459</v>
      </c>
      <c r="DF202">
        <f>3.189386381</f>
        <v>3.1893863809999998</v>
      </c>
      <c r="DG202" t="str">
        <f>""</f>
        <v/>
      </c>
      <c r="DH202" t="str">
        <f>""</f>
        <v/>
      </c>
      <c r="DI202" t="str">
        <f>""</f>
        <v/>
      </c>
      <c r="DJ202" t="str">
        <f>""</f>
        <v/>
      </c>
      <c r="DK202" t="str">
        <f>""</f>
        <v/>
      </c>
      <c r="DL202" t="str">
        <f>""</f>
        <v/>
      </c>
      <c r="DM202" t="str">
        <f>""</f>
        <v/>
      </c>
      <c r="DN202" t="str">
        <f>""</f>
        <v/>
      </c>
      <c r="DO202" t="str">
        <f>""</f>
        <v/>
      </c>
      <c r="DP202" t="str">
        <f>""</f>
        <v/>
      </c>
      <c r="DQ202" t="str">
        <f>""</f>
        <v/>
      </c>
      <c r="DR202" t="str">
        <f>""</f>
        <v/>
      </c>
      <c r="DS202" t="str">
        <f>""</f>
        <v/>
      </c>
      <c r="DT202" t="str">
        <f>""</f>
        <v/>
      </c>
      <c r="DU202" t="str">
        <f>""</f>
        <v/>
      </c>
    </row>
    <row r="203" spans="1:125" x14ac:dyDescent="0.25">
      <c r="A203" t="str">
        <f>"    Tesla Inc"</f>
        <v xml:space="preserve">    Tesla Inc</v>
      </c>
      <c r="B203" t="str">
        <f>"TSLA US Equity"</f>
        <v>TSLA US Equity</v>
      </c>
      <c r="C203" t="str">
        <f t="shared" si="12"/>
        <v>RX077</v>
      </c>
      <c r="D203" t="str">
        <f t="shared" si="13"/>
        <v>PX_TO_TANG_BOOK_VAL_PER_SH</v>
      </c>
      <c r="E203" t="str">
        <f t="shared" si="14"/>
        <v>Dynamic</v>
      </c>
      <c r="F203">
        <f ca="1">IF(AND(ISNUMBER($F$873),$B$677=1),$F$873,HLOOKUP(INDIRECT(ADDRESS(2,COLUMN())),OFFSET($BN$2,0,0,ROW()-1,60),ROW()-1,FALSE))</f>
        <v>11.11629634</v>
      </c>
      <c r="G203">
        <f ca="1">IF(AND(ISNUMBER($G$873),$B$677=1),$G$873,HLOOKUP(INDIRECT(ADDRESS(2,COLUMN())),OFFSET($BN$2,0,0,ROW()-1,60),ROW()-1,FALSE))</f>
        <v>12.562301290000001</v>
      </c>
      <c r="H203">
        <f ca="1">IF(AND(ISNUMBER($H$873),$B$677=1),$H$873,HLOOKUP(INDIRECT(ADDRESS(2,COLUMN())),OFFSET($BN$2,0,0,ROW()-1,60),ROW()-1,FALSE))</f>
        <v>10.94104506</v>
      </c>
      <c r="I203">
        <f ca="1">IF(AND(ISNUMBER($I$873),$B$677=1),$I$873,HLOOKUP(INDIRECT(ADDRESS(2,COLUMN())),OFFSET($BN$2,0,0,ROW()-1,60),ROW()-1,FALSE))</f>
        <v>16.51126588</v>
      </c>
      <c r="J203">
        <f ca="1">IF(AND(ISNUMBER($J$873),$B$677=1),$J$873,HLOOKUP(INDIRECT(ADDRESS(2,COLUMN())),OFFSET($BN$2,0,0,ROW()-1,60),ROW()-1,FALSE))</f>
        <v>11.17381526</v>
      </c>
      <c r="K203">
        <f ca="1">IF(AND(ISNUMBER($K$873),$B$677=1),$K$873,HLOOKUP(INDIRECT(ADDRESS(2,COLUMN())),OFFSET($BN$2,0,0,ROW()-1,60),ROW()-1,FALSE))</f>
        <v>13.77380172</v>
      </c>
      <c r="L203">
        <f ca="1">IF(AND(ISNUMBER($L$873),$B$677=1),$L$873,HLOOKUP(INDIRECT(ADDRESS(2,COLUMN())),OFFSET($BN$2,0,0,ROW()-1,60),ROW()-1,FALSE))</f>
        <v>13.345541280000001</v>
      </c>
      <c r="M203">
        <f ca="1">IF(AND(ISNUMBER($M$873),$B$677=1),$M$873,HLOOKUP(INDIRECT(ADDRESS(2,COLUMN())),OFFSET($BN$2,0,0,ROW()-1,60),ROW()-1,FALSE))</f>
        <v>12.885235659999999</v>
      </c>
      <c r="N203">
        <f ca="1">IF(AND(ISNUMBER($N$873),$B$677=1),$N$873,HLOOKUP(INDIRECT(ADDRESS(2,COLUMN())),OFFSET($BN$2,0,0,ROW()-1,60),ROW()-1,FALSE))</f>
        <v>10.00717158</v>
      </c>
      <c r="O203">
        <f ca="1">IF(AND(ISNUMBER($O$873),$B$677=1),$O$873,HLOOKUP(INDIRECT(ADDRESS(2,COLUMN())),OFFSET($BN$2,0,0,ROW()-1,60),ROW()-1,FALSE))</f>
        <v>7.8722098919999999</v>
      </c>
      <c r="P203" t="str">
        <f ca="1">IF(AND(ISNUMBER($P$873),$B$677=1),$P$873,HLOOKUP(INDIRECT(ADDRESS(2,COLUMN())),OFFSET($BN$2,0,0,ROW()-1,60),ROW()-1,FALSE))</f>
        <v/>
      </c>
      <c r="Q203" t="str">
        <f ca="1">IF(AND(ISNUMBER($Q$873),$B$677=1),$Q$873,HLOOKUP(INDIRECT(ADDRESS(2,COLUMN())),OFFSET($BN$2,0,0,ROW()-1,60),ROW()-1,FALSE))</f>
        <v/>
      </c>
      <c r="R203">
        <f ca="1">IF(AND(ISNUMBER($R$873),$B$677=1),$R$873,HLOOKUP(INDIRECT(ADDRESS(2,COLUMN())),OFFSET($BN$2,0,0,ROW()-1,60),ROW()-1,FALSE))</f>
        <v>26.667625000000001</v>
      </c>
      <c r="S203">
        <f ca="1">IF(AND(ISNUMBER($S$873),$B$677=1),$S$873,HLOOKUP(INDIRECT(ADDRESS(2,COLUMN())),OFFSET($BN$2,0,0,ROW()-1,60),ROW()-1,FALSE))</f>
        <v>28.209690500000001</v>
      </c>
      <c r="T203" t="str">
        <f ca="1">IF(AND(ISNUMBER($T$873),$B$677=1),$T$873,HLOOKUP(INDIRECT(ADDRESS(2,COLUMN())),OFFSET($BN$2,0,0,ROW()-1,60),ROW()-1,FALSE))</f>
        <v/>
      </c>
      <c r="U203" t="str">
        <f ca="1">IF(AND(ISNUMBER($U$873),$B$677=1),$U$873,HLOOKUP(INDIRECT(ADDRESS(2,COLUMN())),OFFSET($BN$2,0,0,ROW()-1,60),ROW()-1,FALSE))</f>
        <v/>
      </c>
      <c r="V203">
        <f ca="1">IF(AND(ISNUMBER($V$873),$B$677=1),$V$873,HLOOKUP(INDIRECT(ADDRESS(2,COLUMN())),OFFSET($BN$2,0,0,ROW()-1,60),ROW()-1,FALSE))</f>
        <v>26.271826860000001</v>
      </c>
      <c r="W203">
        <f ca="1">IF(AND(ISNUMBER($W$873),$B$677=1),$W$873,HLOOKUP(INDIRECT(ADDRESS(2,COLUMN())),OFFSET($BN$2,0,0,ROW()-1,60),ROW()-1,FALSE))</f>
        <v>30.661263640000001</v>
      </c>
      <c r="X203" t="str">
        <f ca="1">IF(AND(ISNUMBER($X$873),$B$677=1),$X$873,HLOOKUP(INDIRECT(ADDRESS(2,COLUMN())),OFFSET($BN$2,0,0,ROW()-1,60),ROW()-1,FALSE))</f>
        <v/>
      </c>
      <c r="Y203" t="str">
        <f ca="1">IF(AND(ISNUMBER($Y$873),$B$677=1),$Y$873,HLOOKUP(INDIRECT(ADDRESS(2,COLUMN())),OFFSET($BN$2,0,0,ROW()-1,60),ROW()-1,FALSE))</f>
        <v/>
      </c>
      <c r="Z203">
        <f ca="1">IF(AND(ISNUMBER($Z$873),$B$677=1),$Z$873,HLOOKUP(INDIRECT(ADDRESS(2,COLUMN())),OFFSET($BN$2,0,0,ROW()-1,60),ROW()-1,FALSE))</f>
        <v>39.184604790000002</v>
      </c>
      <c r="AA203">
        <f ca="1">IF(AND(ISNUMBER($AA$873),$B$677=1),$AA$873,HLOOKUP(INDIRECT(ADDRESS(2,COLUMN())),OFFSET($BN$2,0,0,ROW()-1,60),ROW()-1,FALSE))</f>
        <v>27.75580785</v>
      </c>
      <c r="AB203" t="str">
        <f ca="1">IF(AND(ISNUMBER($AB$873),$B$677=1),$AB$873,HLOOKUP(INDIRECT(ADDRESS(2,COLUMN())),OFFSET($BN$2,0,0,ROW()-1,60),ROW()-1,FALSE))</f>
        <v/>
      </c>
      <c r="AC203" t="str">
        <f ca="1">IF(AND(ISNUMBER($AC$873),$B$677=1),$AC$873,HLOOKUP(INDIRECT(ADDRESS(2,COLUMN())),OFFSET($BN$2,0,0,ROW()-1,60),ROW()-1,FALSE))</f>
        <v/>
      </c>
      <c r="AD203">
        <f ca="1">IF(AND(ISNUMBER($AD$873),$B$677=1),$AD$873,HLOOKUP(INDIRECT(ADDRESS(2,COLUMN())),OFFSET($BN$2,0,0,ROW()-1,60),ROW()-1,FALSE))</f>
        <v>34.95121649</v>
      </c>
      <c r="AE203">
        <f ca="1">IF(AND(ISNUMBER($AE$873),$B$677=1),$AE$873,HLOOKUP(INDIRECT(ADDRESS(2,COLUMN())),OFFSET($BN$2,0,0,ROW()-1,60),ROW()-1,FALSE))</f>
        <v>31.021952370000001</v>
      </c>
      <c r="AF203" t="str">
        <f ca="1">IF(AND(ISNUMBER($AF$873),$B$677=1),$AF$873,HLOOKUP(INDIRECT(ADDRESS(2,COLUMN())),OFFSET($BN$2,0,0,ROW()-1,60),ROW()-1,FALSE))</f>
        <v/>
      </c>
      <c r="AG203" t="str">
        <f ca="1">IF(AND(ISNUMBER($AG$873),$B$677=1),$AG$873,HLOOKUP(INDIRECT(ADDRESS(2,COLUMN())),OFFSET($BN$2,0,0,ROW()-1,60),ROW()-1,FALSE))</f>
        <v/>
      </c>
      <c r="AH203">
        <f ca="1">IF(AND(ISNUMBER($AH$873),$B$677=1),$AH$873,HLOOKUP(INDIRECT(ADDRESS(2,COLUMN())),OFFSET($BN$2,0,0,ROW()-1,60),ROW()-1,FALSE))</f>
        <v>17.416663109999998</v>
      </c>
      <c r="AI203">
        <f ca="1">IF(AND(ISNUMBER($AI$873),$B$677=1),$AI$873,HLOOKUP(INDIRECT(ADDRESS(2,COLUMN())),OFFSET($BN$2,0,0,ROW()-1,60),ROW()-1,FALSE))</f>
        <v>13.324937</v>
      </c>
      <c r="AJ203" t="str">
        <f ca="1">IF(AND(ISNUMBER($AJ$873),$B$677=1),$AJ$873,HLOOKUP(INDIRECT(ADDRESS(2,COLUMN())),OFFSET($BN$2,0,0,ROW()-1,60),ROW()-1,FALSE))</f>
        <v/>
      </c>
      <c r="AK203" t="str">
        <f ca="1">IF(AND(ISNUMBER($AK$873),$B$677=1),$AK$873,HLOOKUP(INDIRECT(ADDRESS(2,COLUMN())),OFFSET($BN$2,0,0,ROW()-1,60),ROW()-1,FALSE))</f>
        <v/>
      </c>
      <c r="AL203">
        <f ca="1">IF(AND(ISNUMBER($AL$873),$B$677=1),$AL$873,HLOOKUP(INDIRECT(ADDRESS(2,COLUMN())),OFFSET($BN$2,0,0,ROW()-1,60),ROW()-1,FALSE))</f>
        <v>10.86838536</v>
      </c>
      <c r="AM203">
        <f ca="1">IF(AND(ISNUMBER($AM$873),$B$677=1),$AM$873,HLOOKUP(INDIRECT(ADDRESS(2,COLUMN())),OFFSET($BN$2,0,0,ROW()-1,60),ROW()-1,FALSE))</f>
        <v>12.20687905</v>
      </c>
      <c r="AN203" t="str">
        <f ca="1">IF(AND(ISNUMBER($AN$873),$B$677=1),$AN$873,HLOOKUP(INDIRECT(ADDRESS(2,COLUMN())),OFFSET($BN$2,0,0,ROW()-1,60),ROW()-1,FALSE))</f>
        <v/>
      </c>
      <c r="AO203" t="str">
        <f ca="1">IF(AND(ISNUMBER($AO$873),$B$677=1),$AO$873,HLOOKUP(INDIRECT(ADDRESS(2,COLUMN())),OFFSET($BN$2,0,0,ROW()-1,60),ROW()-1,FALSE))</f>
        <v/>
      </c>
      <c r="AP203" t="str">
        <f ca="1">IF(AND(ISNUMBER($AP$873),$B$677=1),$AP$873,HLOOKUP(INDIRECT(ADDRESS(2,COLUMN())),OFFSET($BN$2,0,0,ROW()-1,60),ROW()-1,FALSE))</f>
        <v/>
      </c>
      <c r="AQ203" t="str">
        <f ca="1">IF(AND(ISNUMBER($AQ$873),$B$677=1),$AQ$873,HLOOKUP(INDIRECT(ADDRESS(2,COLUMN())),OFFSET($BN$2,0,0,ROW()-1,60),ROW()-1,FALSE))</f>
        <v/>
      </c>
      <c r="AR203" t="str">
        <f ca="1">IF(AND(ISNUMBER($AR$873),$B$677=1),$AR$873,HLOOKUP(INDIRECT(ADDRESS(2,COLUMN())),OFFSET($BN$2,0,0,ROW()-1,60),ROW()-1,FALSE))</f>
        <v/>
      </c>
      <c r="AS203" t="str">
        <f ca="1">IF(AND(ISNUMBER($AS$873),$B$677=1),$AS$873,HLOOKUP(INDIRECT(ADDRESS(2,COLUMN())),OFFSET($BN$2,0,0,ROW()-1,60),ROW()-1,FALSE))</f>
        <v/>
      </c>
      <c r="AT203" t="str">
        <f ca="1">IF(AND(ISNUMBER($AT$873),$B$677=1),$AT$873,HLOOKUP(INDIRECT(ADDRESS(2,COLUMN())),OFFSET($BN$2,0,0,ROW()-1,60),ROW()-1,FALSE))</f>
        <v/>
      </c>
      <c r="AU203" t="str">
        <f ca="1">IF(AND(ISNUMBER($AU$873),$B$677=1),$AU$873,HLOOKUP(INDIRECT(ADDRESS(2,COLUMN())),OFFSET($BN$2,0,0,ROW()-1,60),ROW()-1,FALSE))</f>
        <v/>
      </c>
      <c r="AV203" t="str">
        <f ca="1">IF(AND(ISNUMBER($AV$873),$B$677=1),$AV$873,HLOOKUP(INDIRECT(ADDRESS(2,COLUMN())),OFFSET($BN$2,0,0,ROW()-1,60),ROW()-1,FALSE))</f>
        <v/>
      </c>
      <c r="AW203" t="str">
        <f ca="1">IF(AND(ISNUMBER($AW$873),$B$677=1),$AW$873,HLOOKUP(INDIRECT(ADDRESS(2,COLUMN())),OFFSET($BN$2,0,0,ROW()-1,60),ROW()-1,FALSE))</f>
        <v/>
      </c>
      <c r="AX203" t="str">
        <f ca="1">IF(AND(ISNUMBER($AX$873),$B$677=1),$AX$873,HLOOKUP(INDIRECT(ADDRESS(2,COLUMN())),OFFSET($BN$2,0,0,ROW()-1,60),ROW()-1,FALSE))</f>
        <v/>
      </c>
      <c r="AY203" t="str">
        <f ca="1">IF(AND(ISNUMBER($AY$873),$B$677=1),$AY$873,HLOOKUP(INDIRECT(ADDRESS(2,COLUMN())),OFFSET($BN$2,0,0,ROW()-1,60),ROW()-1,FALSE))</f>
        <v/>
      </c>
      <c r="AZ203" t="str">
        <f ca="1">IF(AND(ISNUMBER($AZ$873),$B$677=1),$AZ$873,HLOOKUP(INDIRECT(ADDRESS(2,COLUMN())),OFFSET($BN$2,0,0,ROW()-1,60),ROW()-1,FALSE))</f>
        <v/>
      </c>
      <c r="BA203" t="str">
        <f ca="1">IF(AND(ISNUMBER($BA$873),$B$677=1),$BA$873,HLOOKUP(INDIRECT(ADDRESS(2,COLUMN())),OFFSET($BN$2,0,0,ROW()-1,60),ROW()-1,FALSE))</f>
        <v/>
      </c>
      <c r="BB203" t="str">
        <f ca="1">IF(AND(ISNUMBER($BB$873),$B$677=1),$BB$873,HLOOKUP(INDIRECT(ADDRESS(2,COLUMN())),OFFSET($BN$2,0,0,ROW()-1,60),ROW()-1,FALSE))</f>
        <v/>
      </c>
      <c r="BC203" t="str">
        <f ca="1">IF(AND(ISNUMBER($BC$873),$B$677=1),$BC$873,HLOOKUP(INDIRECT(ADDRESS(2,COLUMN())),OFFSET($BN$2,0,0,ROW()-1,60),ROW()-1,FALSE))</f>
        <v/>
      </c>
      <c r="BD203" t="str">
        <f ca="1">IF(AND(ISNUMBER($BD$873),$B$677=1),$BD$873,HLOOKUP(INDIRECT(ADDRESS(2,COLUMN())),OFFSET($BN$2,0,0,ROW()-1,60),ROW()-1,FALSE))</f>
        <v/>
      </c>
      <c r="BE203" t="str">
        <f ca="1">IF(AND(ISNUMBER($BE$873),$B$677=1),$BE$873,HLOOKUP(INDIRECT(ADDRESS(2,COLUMN())),OFFSET($BN$2,0,0,ROW()-1,60),ROW()-1,FALSE))</f>
        <v/>
      </c>
      <c r="BF203" t="str">
        <f ca="1">IF(AND(ISNUMBER($BF$873),$B$677=1),$BF$873,HLOOKUP(INDIRECT(ADDRESS(2,COLUMN())),OFFSET($BN$2,0,0,ROW()-1,60),ROW()-1,FALSE))</f>
        <v/>
      </c>
      <c r="BG203" t="str">
        <f ca="1">IF(AND(ISNUMBER($BG$873),$B$677=1),$BG$873,HLOOKUP(INDIRECT(ADDRESS(2,COLUMN())),OFFSET($BN$2,0,0,ROW()-1,60),ROW()-1,FALSE))</f>
        <v/>
      </c>
      <c r="BH203" t="str">
        <f ca="1">IF(AND(ISNUMBER($BH$873),$B$677=1),$BH$873,HLOOKUP(INDIRECT(ADDRESS(2,COLUMN())),OFFSET($BN$2,0,0,ROW()-1,60),ROW()-1,FALSE))</f>
        <v/>
      </c>
      <c r="BI203" t="str">
        <f ca="1">IF(AND(ISNUMBER($BI$873),$B$677=1),$BI$873,HLOOKUP(INDIRECT(ADDRESS(2,COLUMN())),OFFSET($BN$2,0,0,ROW()-1,60),ROW()-1,FALSE))</f>
        <v/>
      </c>
      <c r="BJ203" t="str">
        <f ca="1">IF(AND(ISNUMBER($BJ$873),$B$677=1),$BJ$873,HLOOKUP(INDIRECT(ADDRESS(2,COLUMN())),OFFSET($BN$2,0,0,ROW()-1,60),ROW()-1,FALSE))</f>
        <v/>
      </c>
      <c r="BK203" t="str">
        <f ca="1">IF(AND(ISNUMBER($BK$873),$B$677=1),$BK$873,HLOOKUP(INDIRECT(ADDRESS(2,COLUMN())),OFFSET($BN$2,0,0,ROW()-1,60),ROW()-1,FALSE))</f>
        <v/>
      </c>
      <c r="BL203" t="str">
        <f ca="1">IF(AND(ISNUMBER($BL$873),$B$677=1),$BL$873,HLOOKUP(INDIRECT(ADDRESS(2,COLUMN())),OFFSET($BN$2,0,0,ROW()-1,60),ROW()-1,FALSE))</f>
        <v/>
      </c>
      <c r="BM203" t="str">
        <f ca="1">IF(AND(ISNUMBER($BM$873),$B$677=1),$BM$873,HLOOKUP(INDIRECT(ADDRESS(2,COLUMN())),OFFSET($BN$2,0,0,ROW()-1,60),ROW()-1,FALSE))</f>
        <v/>
      </c>
      <c r="BN203">
        <f>11.11629634</f>
        <v>11.11629634</v>
      </c>
      <c r="BO203">
        <f>12.56230129</f>
        <v>12.562301290000001</v>
      </c>
      <c r="BP203">
        <f>10.94104506</f>
        <v>10.94104506</v>
      </c>
      <c r="BQ203">
        <f>16.51126588</f>
        <v>16.51126588</v>
      </c>
      <c r="BR203">
        <f>11.17381526</f>
        <v>11.17381526</v>
      </c>
      <c r="BS203">
        <f>13.77380172</f>
        <v>13.77380172</v>
      </c>
      <c r="BT203">
        <f>13.34554128</f>
        <v>13.345541280000001</v>
      </c>
      <c r="BU203">
        <f>12.88523566</f>
        <v>12.885235659999999</v>
      </c>
      <c r="BV203">
        <f>10.00717158</f>
        <v>10.00717158</v>
      </c>
      <c r="BW203">
        <f>7.872209892</f>
        <v>7.8722098919999999</v>
      </c>
      <c r="BX203" t="str">
        <f>""</f>
        <v/>
      </c>
      <c r="BY203" t="str">
        <f>""</f>
        <v/>
      </c>
      <c r="BZ203">
        <f>26.667625</f>
        <v>26.667625000000001</v>
      </c>
      <c r="CA203">
        <f>28.2096905</f>
        <v>28.209690500000001</v>
      </c>
      <c r="CB203" t="str">
        <f>""</f>
        <v/>
      </c>
      <c r="CC203" t="str">
        <f>""</f>
        <v/>
      </c>
      <c r="CD203">
        <f>26.27182686</f>
        <v>26.271826860000001</v>
      </c>
      <c r="CE203">
        <f>30.66126364</f>
        <v>30.661263640000001</v>
      </c>
      <c r="CF203" t="str">
        <f>""</f>
        <v/>
      </c>
      <c r="CG203" t="str">
        <f>""</f>
        <v/>
      </c>
      <c r="CH203">
        <f>39.18460479</f>
        <v>39.184604790000002</v>
      </c>
      <c r="CI203">
        <f>27.75580785</f>
        <v>27.75580785</v>
      </c>
      <c r="CJ203" t="str">
        <f>""</f>
        <v/>
      </c>
      <c r="CK203" t="str">
        <f>""</f>
        <v/>
      </c>
      <c r="CL203">
        <f>34.95121649</f>
        <v>34.95121649</v>
      </c>
      <c r="CM203">
        <f>31.02195237</f>
        <v>31.021952370000001</v>
      </c>
      <c r="CN203" t="str">
        <f>""</f>
        <v/>
      </c>
      <c r="CO203" t="str">
        <f>""</f>
        <v/>
      </c>
      <c r="CP203">
        <f>17.41666311</f>
        <v>17.416663109999998</v>
      </c>
      <c r="CQ203">
        <f>13.324937</f>
        <v>13.324937</v>
      </c>
      <c r="CR203" t="str">
        <f>""</f>
        <v/>
      </c>
      <c r="CS203" t="str">
        <f>""</f>
        <v/>
      </c>
      <c r="CT203">
        <f>10.86838536</f>
        <v>10.86838536</v>
      </c>
      <c r="CU203">
        <f>12.20687905</f>
        <v>12.20687905</v>
      </c>
      <c r="CV203" t="str">
        <f>""</f>
        <v/>
      </c>
      <c r="CW203" t="str">
        <f>""</f>
        <v/>
      </c>
      <c r="CX203" t="str">
        <f>""</f>
        <v/>
      </c>
      <c r="CY203" t="str">
        <f>""</f>
        <v/>
      </c>
      <c r="CZ203" t="str">
        <f>""</f>
        <v/>
      </c>
      <c r="DA203" t="str">
        <f>""</f>
        <v/>
      </c>
      <c r="DB203" t="str">
        <f>""</f>
        <v/>
      </c>
      <c r="DC203" t="str">
        <f>""</f>
        <v/>
      </c>
      <c r="DD203" t="str">
        <f>""</f>
        <v/>
      </c>
      <c r="DE203" t="str">
        <f>""</f>
        <v/>
      </c>
      <c r="DF203" t="str">
        <f>""</f>
        <v/>
      </c>
      <c r="DG203" t="str">
        <f>""</f>
        <v/>
      </c>
      <c r="DH203" t="str">
        <f>""</f>
        <v/>
      </c>
      <c r="DI203" t="str">
        <f>""</f>
        <v/>
      </c>
      <c r="DJ203" t="str">
        <f>""</f>
        <v/>
      </c>
      <c r="DK203" t="str">
        <f>""</f>
        <v/>
      </c>
      <c r="DL203" t="str">
        <f>""</f>
        <v/>
      </c>
      <c r="DM203" t="str">
        <f>""</f>
        <v/>
      </c>
      <c r="DN203" t="str">
        <f>""</f>
        <v/>
      </c>
      <c r="DO203" t="str">
        <f>""</f>
        <v/>
      </c>
      <c r="DP203" t="str">
        <f>""</f>
        <v/>
      </c>
      <c r="DQ203" t="str">
        <f>""</f>
        <v/>
      </c>
      <c r="DR203" t="str">
        <f>""</f>
        <v/>
      </c>
      <c r="DS203" t="str">
        <f>""</f>
        <v/>
      </c>
      <c r="DT203" t="str">
        <f>""</f>
        <v/>
      </c>
      <c r="DU203" t="str">
        <f>""</f>
        <v/>
      </c>
    </row>
    <row r="204" spans="1:125" x14ac:dyDescent="0.25">
      <c r="A204" t="str">
        <f>"    Tianjin Faw Xiali Automobile Co Ltd"</f>
        <v xml:space="preserve">    Tianjin Faw Xiali Automobile Co Ltd</v>
      </c>
      <c r="B204" t="str">
        <f>"000927 CH Equity"</f>
        <v>000927 CH Equity</v>
      </c>
      <c r="C204" t="str">
        <f t="shared" si="12"/>
        <v>RX077</v>
      </c>
      <c r="D204" t="str">
        <f t="shared" si="13"/>
        <v>PX_TO_TANG_BOOK_VAL_PER_SH</v>
      </c>
      <c r="E204" t="str">
        <f t="shared" si="14"/>
        <v>Dynamic</v>
      </c>
      <c r="F204" t="str">
        <f ca="1">IF(AND(ISNUMBER($F$874),$B$677=1),$F$874,HLOOKUP(INDIRECT(ADDRESS(2,COLUMN())),OFFSET($BN$2,0,0,ROW()-1,60),ROW()-1,FALSE))</f>
        <v/>
      </c>
      <c r="G204" t="str">
        <f ca="1">IF(AND(ISNUMBER($G$874),$B$677=1),$G$874,HLOOKUP(INDIRECT(ADDRESS(2,COLUMN())),OFFSET($BN$2,0,0,ROW()-1,60),ROW()-1,FALSE))</f>
        <v/>
      </c>
      <c r="H204" t="str">
        <f ca="1">IF(AND(ISNUMBER($H$874),$B$677=1),$H$874,HLOOKUP(INDIRECT(ADDRESS(2,COLUMN())),OFFSET($BN$2,0,0,ROW()-1,60),ROW()-1,FALSE))</f>
        <v/>
      </c>
      <c r="I204" t="str">
        <f ca="1">IF(AND(ISNUMBER($I$874),$B$677=1),$I$874,HLOOKUP(INDIRECT(ADDRESS(2,COLUMN())),OFFSET($BN$2,0,0,ROW()-1,60),ROW()-1,FALSE))</f>
        <v/>
      </c>
      <c r="J204">
        <f ca="1">IF(AND(ISNUMBER($J$874),$B$677=1),$J$874,HLOOKUP(INDIRECT(ADDRESS(2,COLUMN())),OFFSET($BN$2,0,0,ROW()-1,60),ROW()-1,FALSE))</f>
        <v>112.2988161</v>
      </c>
      <c r="K204">
        <f ca="1">IF(AND(ISNUMBER($K$874),$B$677=1),$K$874,HLOOKUP(INDIRECT(ADDRESS(2,COLUMN())),OFFSET($BN$2,0,0,ROW()-1,60),ROW()-1,FALSE))</f>
        <v>127.0310865</v>
      </c>
      <c r="L204">
        <f ca="1">IF(AND(ISNUMBER($L$874),$B$677=1),$L$874,HLOOKUP(INDIRECT(ADDRESS(2,COLUMN())),OFFSET($BN$2,0,0,ROW()-1,60),ROW()-1,FALSE))</f>
        <v>23.361613340000002</v>
      </c>
      <c r="M204">
        <f ca="1">IF(AND(ISNUMBER($M$874),$B$677=1),$M$874,HLOOKUP(INDIRECT(ADDRESS(2,COLUMN())),OFFSET($BN$2,0,0,ROW()-1,60),ROW()-1,FALSE))</f>
        <v>8.3083118650000003</v>
      </c>
      <c r="N204">
        <f ca="1">IF(AND(ISNUMBER($N$874),$B$677=1),$N$874,HLOOKUP(INDIRECT(ADDRESS(2,COLUMN())),OFFSET($BN$2,0,0,ROW()-1,60),ROW()-1,FALSE))</f>
        <v>9.8881599130000009</v>
      </c>
      <c r="O204">
        <f ca="1">IF(AND(ISNUMBER($O$874),$B$677=1),$O$874,HLOOKUP(INDIRECT(ADDRESS(2,COLUMN())),OFFSET($BN$2,0,0,ROW()-1,60),ROW()-1,FALSE))</f>
        <v>5.6590174610000004</v>
      </c>
      <c r="P204">
        <f ca="1">IF(AND(ISNUMBER($P$874),$B$677=1),$P$874,HLOOKUP(INDIRECT(ADDRESS(2,COLUMN())),OFFSET($BN$2,0,0,ROW()-1,60),ROW()-1,FALSE))</f>
        <v>15.042976510000001</v>
      </c>
      <c r="Q204">
        <f ca="1">IF(AND(ISNUMBER($Q$874),$B$677=1),$Q$874,HLOOKUP(INDIRECT(ADDRESS(2,COLUMN())),OFFSET($BN$2,0,0,ROW()-1,60),ROW()-1,FALSE))</f>
        <v>8.3232785239999991</v>
      </c>
      <c r="R204">
        <f ca="1">IF(AND(ISNUMBER($R$874),$B$677=1),$R$874,HLOOKUP(INDIRECT(ADDRESS(2,COLUMN())),OFFSET($BN$2,0,0,ROW()-1,60),ROW()-1,FALSE))</f>
        <v>8.8843419729999997</v>
      </c>
      <c r="S204">
        <f ca="1">IF(AND(ISNUMBER($S$874),$B$677=1),$S$874,HLOOKUP(INDIRECT(ADDRESS(2,COLUMN())),OFFSET($BN$2,0,0,ROW()-1,60),ROW()-1,FALSE))</f>
        <v>7.7271418799999996</v>
      </c>
      <c r="T204">
        <f ca="1">IF(AND(ISNUMBER($T$874),$B$677=1),$T$874,HLOOKUP(INDIRECT(ADDRESS(2,COLUMN())),OFFSET($BN$2,0,0,ROW()-1,60),ROW()-1,FALSE))</f>
        <v>12.40491952</v>
      </c>
      <c r="U204">
        <f ca="1">IF(AND(ISNUMBER($U$874),$B$677=1),$U$874,HLOOKUP(INDIRECT(ADDRESS(2,COLUMN())),OFFSET($BN$2,0,0,ROW()-1,60),ROW()-1,FALSE))</f>
        <v>18.578530619999999</v>
      </c>
      <c r="V204">
        <f ca="1">IF(AND(ISNUMBER($V$874),$B$677=1),$V$874,HLOOKUP(INDIRECT(ADDRESS(2,COLUMN())),OFFSET($BN$2,0,0,ROW()-1,60),ROW()-1,FALSE))</f>
        <v>16.12610492</v>
      </c>
      <c r="W204">
        <f ca="1">IF(AND(ISNUMBER($W$874),$B$677=1),$W$874,HLOOKUP(INDIRECT(ADDRESS(2,COLUMN())),OFFSET($BN$2,0,0,ROW()-1,60),ROW()-1,FALSE))</f>
        <v>7.8359859260000002</v>
      </c>
      <c r="X204">
        <f ca="1">IF(AND(ISNUMBER($X$874),$B$677=1),$X$874,HLOOKUP(INDIRECT(ADDRESS(2,COLUMN())),OFFSET($BN$2,0,0,ROW()-1,60),ROW()-1,FALSE))</f>
        <v>3.882971054</v>
      </c>
      <c r="Y204">
        <f ca="1">IF(AND(ISNUMBER($Y$874),$B$677=1),$Y$874,HLOOKUP(INDIRECT(ADDRESS(2,COLUMN())),OFFSET($BN$2,0,0,ROW()-1,60),ROW()-1,FALSE))</f>
        <v>2.2483388889999998</v>
      </c>
      <c r="Z204">
        <f ca="1">IF(AND(ISNUMBER($Z$874),$B$677=1),$Z$874,HLOOKUP(INDIRECT(ADDRESS(2,COLUMN())),OFFSET($BN$2,0,0,ROW()-1,60),ROW()-1,FALSE))</f>
        <v>2.4196432689999998</v>
      </c>
      <c r="AA204">
        <f ca="1">IF(AND(ISNUMBER($AA$874),$B$677=1),$AA$874,HLOOKUP(INDIRECT(ADDRESS(2,COLUMN())),OFFSET($BN$2,0,0,ROW()-1,60),ROW()-1,FALSE))</f>
        <v>1.9141166380000001</v>
      </c>
      <c r="AB204">
        <f ca="1">IF(AND(ISNUMBER($AB$874),$B$677=1),$AB$874,HLOOKUP(INDIRECT(ADDRESS(2,COLUMN())),OFFSET($BN$2,0,0,ROW()-1,60),ROW()-1,FALSE))</f>
        <v>1.921663157</v>
      </c>
      <c r="AC204">
        <f ca="1">IF(AND(ISNUMBER($AC$874),$B$677=1),$AC$874,HLOOKUP(INDIRECT(ADDRESS(2,COLUMN())),OFFSET($BN$2,0,0,ROW()-1,60),ROW()-1,FALSE))</f>
        <v>1.6401565890000001</v>
      </c>
      <c r="AD204">
        <f ca="1">IF(AND(ISNUMBER($AD$874),$B$677=1),$AD$874,HLOOKUP(INDIRECT(ADDRESS(2,COLUMN())),OFFSET($BN$2,0,0,ROW()-1,60),ROW()-1,FALSE))</f>
        <v>2.2124570029999999</v>
      </c>
      <c r="AE204">
        <f ca="1">IF(AND(ISNUMBER($AE$874),$B$677=1),$AE$874,HLOOKUP(INDIRECT(ADDRESS(2,COLUMN())),OFFSET($BN$2,0,0,ROW()-1,60),ROW()-1,FALSE))</f>
        <v>2.2512197020000002</v>
      </c>
      <c r="AF204">
        <f ca="1">IF(AND(ISNUMBER($AF$874),$B$677=1),$AF$874,HLOOKUP(INDIRECT(ADDRESS(2,COLUMN())),OFFSET($BN$2,0,0,ROW()-1,60),ROW()-1,FALSE))</f>
        <v>2.314063247</v>
      </c>
      <c r="AG204">
        <f ca="1">IF(AND(ISNUMBER($AG$874),$B$677=1),$AG$874,HLOOKUP(INDIRECT(ADDRESS(2,COLUMN())),OFFSET($BN$2,0,0,ROW()-1,60),ROW()-1,FALSE))</f>
        <v>3.2076362970000001</v>
      </c>
      <c r="AH204">
        <f ca="1">IF(AND(ISNUMBER($AH$874),$B$677=1),$AH$874,HLOOKUP(INDIRECT(ADDRESS(2,COLUMN())),OFFSET($BN$2,0,0,ROW()-1,60),ROW()-1,FALSE))</f>
        <v>3.1341516519999999</v>
      </c>
      <c r="AI204">
        <f ca="1">IF(AND(ISNUMBER($AI$874),$B$677=1),$AI$874,HLOOKUP(INDIRECT(ADDRESS(2,COLUMN())),OFFSET($BN$2,0,0,ROW()-1,60),ROW()-1,FALSE))</f>
        <v>2.6946085270000002</v>
      </c>
      <c r="AJ204">
        <f ca="1">IF(AND(ISNUMBER($AJ$874),$B$677=1),$AJ$874,HLOOKUP(INDIRECT(ADDRESS(2,COLUMN())),OFFSET($BN$2,0,0,ROW()-1,60),ROW()-1,FALSE))</f>
        <v>3.5103484200000001</v>
      </c>
      <c r="AK204">
        <f ca="1">IF(AND(ISNUMBER($AK$874),$B$677=1),$AK$874,HLOOKUP(INDIRECT(ADDRESS(2,COLUMN())),OFFSET($BN$2,0,0,ROW()-1,60),ROW()-1,FALSE))</f>
        <v>3.140665292</v>
      </c>
      <c r="AL204">
        <f ca="1">IF(AND(ISNUMBER($AL$874),$B$677=1),$AL$874,HLOOKUP(INDIRECT(ADDRESS(2,COLUMN())),OFFSET($BN$2,0,0,ROW()-1,60),ROW()-1,FALSE))</f>
        <v>3.763477687</v>
      </c>
      <c r="AM204">
        <f ca="1">IF(AND(ISNUMBER($AM$874),$B$677=1),$AM$874,HLOOKUP(INDIRECT(ADDRESS(2,COLUMN())),OFFSET($BN$2,0,0,ROW()-1,60),ROW()-1,FALSE))</f>
        <v>3.6089137870000001</v>
      </c>
      <c r="AN204">
        <f ca="1">IF(AND(ISNUMBER($AN$874),$B$677=1),$AN$874,HLOOKUP(INDIRECT(ADDRESS(2,COLUMN())),OFFSET($BN$2,0,0,ROW()-1,60),ROW()-1,FALSE))</f>
        <v>3.856928956</v>
      </c>
      <c r="AO204">
        <f ca="1">IF(AND(ISNUMBER($AO$874),$B$677=1),$AO$874,HLOOKUP(INDIRECT(ADDRESS(2,COLUMN())),OFFSET($BN$2,0,0,ROW()-1,60),ROW()-1,FALSE))</f>
        <v>3.403890493</v>
      </c>
      <c r="AP204">
        <f ca="1">IF(AND(ISNUMBER($AP$874),$B$677=1),$AP$874,HLOOKUP(INDIRECT(ADDRESS(2,COLUMN())),OFFSET($BN$2,0,0,ROW()-1,60),ROW()-1,FALSE))</f>
        <v>4.7662459549999996</v>
      </c>
      <c r="AQ204">
        <f ca="1">IF(AND(ISNUMBER($AQ$874),$B$677=1),$AQ$874,HLOOKUP(INDIRECT(ADDRESS(2,COLUMN())),OFFSET($BN$2,0,0,ROW()-1,60),ROW()-1,FALSE))</f>
        <v>5.5663586709999997</v>
      </c>
      <c r="AR204">
        <f ca="1">IF(AND(ISNUMBER($AR$874),$B$677=1),$AR$874,HLOOKUP(INDIRECT(ADDRESS(2,COLUMN())),OFFSET($BN$2,0,0,ROW()-1,60),ROW()-1,FALSE))</f>
        <v>3.6179467710000002</v>
      </c>
      <c r="AS204">
        <f ca="1">IF(AND(ISNUMBER($AS$874),$B$677=1),$AS$874,HLOOKUP(INDIRECT(ADDRESS(2,COLUMN())),OFFSET($BN$2,0,0,ROW()-1,60),ROW()-1,FALSE))</f>
        <v>3.3619734920000002</v>
      </c>
      <c r="AT204">
        <f ca="1">IF(AND(ISNUMBER($AT$874),$B$677=1),$AT$874,HLOOKUP(INDIRECT(ADDRESS(2,COLUMN())),OFFSET($BN$2,0,0,ROW()-1,60),ROW()-1,FALSE))</f>
        <v>2.7335322400000002</v>
      </c>
      <c r="AU204">
        <f ca="1">IF(AND(ISNUMBER($AU$874),$B$677=1),$AU$874,HLOOKUP(INDIRECT(ADDRESS(2,COLUMN())),OFFSET($BN$2,0,0,ROW()-1,60),ROW()-1,FALSE))</f>
        <v>1.853106795</v>
      </c>
      <c r="AV204">
        <f ca="1">IF(AND(ISNUMBER($AV$874),$B$677=1),$AV$874,HLOOKUP(INDIRECT(ADDRESS(2,COLUMN())),OFFSET($BN$2,0,0,ROW()-1,60),ROW()-1,FALSE))</f>
        <v>1.915648432</v>
      </c>
      <c r="AW204">
        <f ca="1">IF(AND(ISNUMBER($AW$874),$B$677=1),$AW$874,HLOOKUP(INDIRECT(ADDRESS(2,COLUMN())),OFFSET($BN$2,0,0,ROW()-1,60),ROW()-1,FALSE))</f>
        <v>2.0403347859999998</v>
      </c>
      <c r="AX204">
        <f ca="1">IF(AND(ISNUMBER($AX$874),$B$677=1),$AX$874,HLOOKUP(INDIRECT(ADDRESS(2,COLUMN())),OFFSET($BN$2,0,0,ROW()-1,60),ROW()-1,FALSE))</f>
        <v>4.16638515</v>
      </c>
      <c r="AY204">
        <f ca="1">IF(AND(ISNUMBER($AY$874),$B$677=1),$AY$874,HLOOKUP(INDIRECT(ADDRESS(2,COLUMN())),OFFSET($BN$2,0,0,ROW()-1,60),ROW()-1,FALSE))</f>
        <v>7.0939015220000003</v>
      </c>
      <c r="AZ204">
        <f ca="1">IF(AND(ISNUMBER($AZ$874),$B$677=1),$AZ$874,HLOOKUP(INDIRECT(ADDRESS(2,COLUMN())),OFFSET($BN$2,0,0,ROW()-1,60),ROW()-1,FALSE))</f>
        <v>9.2226728869999999</v>
      </c>
      <c r="BA204">
        <f ca="1">IF(AND(ISNUMBER($BA$874),$B$677=1),$BA$874,HLOOKUP(INDIRECT(ADDRESS(2,COLUMN())),OFFSET($BN$2,0,0,ROW()-1,60),ROW()-1,FALSE))</f>
        <v>4.6106755799999997</v>
      </c>
      <c r="BB204">
        <f ca="1">IF(AND(ISNUMBER($BB$874),$B$677=1),$BB$874,HLOOKUP(INDIRECT(ADDRESS(2,COLUMN())),OFFSET($BN$2,0,0,ROW()-1,60),ROW()-1,FALSE))</f>
        <v>5.5151621769999997</v>
      </c>
      <c r="BC204">
        <f ca="1">IF(AND(ISNUMBER($BC$874),$B$677=1),$BC$874,HLOOKUP(INDIRECT(ADDRESS(2,COLUMN())),OFFSET($BN$2,0,0,ROW()-1,60),ROW()-1,FALSE))</f>
        <v>2.974125098</v>
      </c>
      <c r="BD204">
        <f ca="1">IF(AND(ISNUMBER($BD$874),$B$677=1),$BD$874,HLOOKUP(INDIRECT(ADDRESS(2,COLUMN())),OFFSET($BN$2,0,0,ROW()-1,60),ROW()-1,FALSE))</f>
        <v>2.0967857830000001</v>
      </c>
      <c r="BE204">
        <f ca="1">IF(AND(ISNUMBER($BE$874),$B$677=1),$BE$874,HLOOKUP(INDIRECT(ADDRESS(2,COLUMN())),OFFSET($BN$2,0,0,ROW()-1,60),ROW()-1,FALSE))</f>
        <v>3.3036996049999998</v>
      </c>
      <c r="BF204">
        <f ca="1">IF(AND(ISNUMBER($BF$874),$B$677=1),$BF$874,HLOOKUP(INDIRECT(ADDRESS(2,COLUMN())),OFFSET($BN$2,0,0,ROW()-1,60),ROW()-1,FALSE))</f>
        <v>2.7415954409999999</v>
      </c>
      <c r="BG204">
        <f ca="1">IF(AND(ISNUMBER($BG$874),$B$677=1),$BG$874,HLOOKUP(INDIRECT(ADDRESS(2,COLUMN())),OFFSET($BN$2,0,0,ROW()-1,60),ROW()-1,FALSE))</f>
        <v>2.176024634</v>
      </c>
      <c r="BH204">
        <f ca="1">IF(AND(ISNUMBER($BH$874),$B$677=1),$BH$874,HLOOKUP(INDIRECT(ADDRESS(2,COLUMN())),OFFSET($BN$2,0,0,ROW()-1,60),ROW()-1,FALSE))</f>
        <v>2.368351943</v>
      </c>
      <c r="BI204" t="str">
        <f ca="1">IF(AND(ISNUMBER($BI$874),$B$677=1),$BI$874,HLOOKUP(INDIRECT(ADDRESS(2,COLUMN())),OFFSET($BN$2,0,0,ROW()-1,60),ROW()-1,FALSE))</f>
        <v/>
      </c>
      <c r="BJ204">
        <f ca="1">IF(AND(ISNUMBER($BJ$874),$B$677=1),$BJ$874,HLOOKUP(INDIRECT(ADDRESS(2,COLUMN())),OFFSET($BN$2,0,0,ROW()-1,60),ROW()-1,FALSE))</f>
        <v>1.3652357020000001</v>
      </c>
      <c r="BK204">
        <f ca="1">IF(AND(ISNUMBER($BK$874),$B$677=1),$BK$874,HLOOKUP(INDIRECT(ADDRESS(2,COLUMN())),OFFSET($BN$2,0,0,ROW()-1,60),ROW()-1,FALSE))</f>
        <v>1.6134603750000001</v>
      </c>
      <c r="BL204">
        <f ca="1">IF(AND(ISNUMBER($BL$874),$B$677=1),$BL$874,HLOOKUP(INDIRECT(ADDRESS(2,COLUMN())),OFFSET($BN$2,0,0,ROW()-1,60),ROW()-1,FALSE))</f>
        <v>2.5529736349999999</v>
      </c>
      <c r="BM204" t="str">
        <f ca="1">IF(AND(ISNUMBER($BM$874),$B$677=1),$BM$874,HLOOKUP(INDIRECT(ADDRESS(2,COLUMN())),OFFSET($BN$2,0,0,ROW()-1,60),ROW()-1,FALSE))</f>
        <v/>
      </c>
      <c r="BN204" t="str">
        <f>""</f>
        <v/>
      </c>
      <c r="BO204" t="str">
        <f>""</f>
        <v/>
      </c>
      <c r="BP204" t="str">
        <f>""</f>
        <v/>
      </c>
      <c r="BQ204" t="str">
        <f>""</f>
        <v/>
      </c>
      <c r="BR204">
        <f>112.2988161</f>
        <v>112.2988161</v>
      </c>
      <c r="BS204">
        <f>127.0310865</f>
        <v>127.0310865</v>
      </c>
      <c r="BT204">
        <f>23.36161334</f>
        <v>23.361613340000002</v>
      </c>
      <c r="BU204">
        <f>8.308311865</f>
        <v>8.3083118650000003</v>
      </c>
      <c r="BV204">
        <f>9.888159913</f>
        <v>9.8881599130000009</v>
      </c>
      <c r="BW204">
        <f>5.659017461</f>
        <v>5.6590174610000004</v>
      </c>
      <c r="BX204">
        <f>15.04297651</f>
        <v>15.042976510000001</v>
      </c>
      <c r="BY204">
        <f>8.323278524</f>
        <v>8.3232785239999991</v>
      </c>
      <c r="BZ204">
        <f>8.884341973</f>
        <v>8.8843419729999997</v>
      </c>
      <c r="CA204">
        <f>7.72714188</f>
        <v>7.7271418799999996</v>
      </c>
      <c r="CB204">
        <f>12.40491952</f>
        <v>12.40491952</v>
      </c>
      <c r="CC204">
        <f>18.57853062</f>
        <v>18.578530619999999</v>
      </c>
      <c r="CD204">
        <f>16.12610492</f>
        <v>16.12610492</v>
      </c>
      <c r="CE204">
        <f>7.835985926</f>
        <v>7.8359859260000002</v>
      </c>
      <c r="CF204">
        <f>3.882971054</f>
        <v>3.882971054</v>
      </c>
      <c r="CG204">
        <f>2.248338889</f>
        <v>2.2483388889999998</v>
      </c>
      <c r="CH204">
        <f>2.419643269</f>
        <v>2.4196432689999998</v>
      </c>
      <c r="CI204">
        <f>1.914116638</f>
        <v>1.9141166380000001</v>
      </c>
      <c r="CJ204">
        <f>1.921663157</f>
        <v>1.921663157</v>
      </c>
      <c r="CK204">
        <f>1.640156589</f>
        <v>1.6401565890000001</v>
      </c>
      <c r="CL204">
        <f>2.212457003</f>
        <v>2.2124570029999999</v>
      </c>
      <c r="CM204">
        <f>2.251219702</f>
        <v>2.2512197020000002</v>
      </c>
      <c r="CN204">
        <f>2.314063247</f>
        <v>2.314063247</v>
      </c>
      <c r="CO204">
        <f>3.207636297</f>
        <v>3.2076362970000001</v>
      </c>
      <c r="CP204">
        <f>3.134151652</f>
        <v>3.1341516519999999</v>
      </c>
      <c r="CQ204">
        <f>2.694608527</f>
        <v>2.6946085270000002</v>
      </c>
      <c r="CR204">
        <f>3.51034842</f>
        <v>3.5103484200000001</v>
      </c>
      <c r="CS204">
        <f>3.140665292</f>
        <v>3.140665292</v>
      </c>
      <c r="CT204">
        <f>3.763477687</f>
        <v>3.763477687</v>
      </c>
      <c r="CU204">
        <f>3.608913787</f>
        <v>3.6089137870000001</v>
      </c>
      <c r="CV204">
        <f>3.856928956</f>
        <v>3.856928956</v>
      </c>
      <c r="CW204">
        <f>3.403890493</f>
        <v>3.403890493</v>
      </c>
      <c r="CX204">
        <f>4.766245955</f>
        <v>4.7662459549999996</v>
      </c>
      <c r="CY204">
        <f>5.566358671</f>
        <v>5.5663586709999997</v>
      </c>
      <c r="CZ204">
        <f>3.617946771</f>
        <v>3.6179467710000002</v>
      </c>
      <c r="DA204">
        <f>3.361973492</f>
        <v>3.3619734920000002</v>
      </c>
      <c r="DB204">
        <f>2.73353224</f>
        <v>2.7335322400000002</v>
      </c>
      <c r="DC204">
        <f>1.853106795</f>
        <v>1.853106795</v>
      </c>
      <c r="DD204">
        <f>1.915648432</f>
        <v>1.915648432</v>
      </c>
      <c r="DE204">
        <f>2.040334786</f>
        <v>2.0403347859999998</v>
      </c>
      <c r="DF204">
        <f>4.16638515</f>
        <v>4.16638515</v>
      </c>
      <c r="DG204">
        <f>7.093901522</f>
        <v>7.0939015220000003</v>
      </c>
      <c r="DH204">
        <f>9.222672887</f>
        <v>9.2226728869999999</v>
      </c>
      <c r="DI204">
        <f>4.61067558</f>
        <v>4.6106755799999997</v>
      </c>
      <c r="DJ204">
        <f>5.515162177</f>
        <v>5.5151621769999997</v>
      </c>
      <c r="DK204">
        <f>2.974125098</f>
        <v>2.974125098</v>
      </c>
      <c r="DL204">
        <f>2.096785783</f>
        <v>2.0967857830000001</v>
      </c>
      <c r="DM204">
        <f>3.303699605</f>
        <v>3.3036996049999998</v>
      </c>
      <c r="DN204">
        <f>2.741595441</f>
        <v>2.7415954409999999</v>
      </c>
      <c r="DO204">
        <f>2.176024634</f>
        <v>2.176024634</v>
      </c>
      <c r="DP204">
        <f>2.368351943</f>
        <v>2.368351943</v>
      </c>
      <c r="DQ204" t="str">
        <f>""</f>
        <v/>
      </c>
      <c r="DR204">
        <f>1.365235702</f>
        <v>1.3652357020000001</v>
      </c>
      <c r="DS204">
        <f>1.613460375</f>
        <v>1.6134603750000001</v>
      </c>
      <c r="DT204">
        <f>2.552973635</f>
        <v>2.5529736349999999</v>
      </c>
      <c r="DU204" t="str">
        <f>""</f>
        <v/>
      </c>
    </row>
    <row r="205" spans="1:125" x14ac:dyDescent="0.25">
      <c r="A205" t="str">
        <f>"    Tofas Turk Otomobil Fabrikasi AS"</f>
        <v xml:space="preserve">    Tofas Turk Otomobil Fabrikasi AS</v>
      </c>
      <c r="B205" t="str">
        <f>"TOASOTRY EO Equity"</f>
        <v>TOASOTRY EO Equity</v>
      </c>
      <c r="C205" t="str">
        <f t="shared" si="12"/>
        <v>RX077</v>
      </c>
      <c r="D205" t="str">
        <f t="shared" si="13"/>
        <v>PX_TO_TANG_BOOK_VAL_PER_SH</v>
      </c>
      <c r="E205" t="str">
        <f t="shared" si="14"/>
        <v>Dynamic</v>
      </c>
      <c r="F205">
        <f ca="1">IF(AND(ISNUMBER($F$875),$B$677=1),$F$875,HLOOKUP(INDIRECT(ADDRESS(2,COLUMN())),OFFSET($BN$2,0,0,ROW()-1,60),ROW()-1,FALSE))</f>
        <v>4.7012496859999997</v>
      </c>
      <c r="G205">
        <f ca="1">IF(AND(ISNUMBER($G$875),$B$677=1),$G$875,HLOOKUP(INDIRECT(ADDRESS(2,COLUMN())),OFFSET($BN$2,0,0,ROW()-1,60),ROW()-1,FALSE))</f>
        <v>3.9725559850000001</v>
      </c>
      <c r="H205">
        <f ca="1">IF(AND(ISNUMBER($H$875),$B$677=1),$H$875,HLOOKUP(INDIRECT(ADDRESS(2,COLUMN())),OFFSET($BN$2,0,0,ROW()-1,60),ROW()-1,FALSE))</f>
        <v>7.8039621349999999</v>
      </c>
      <c r="I205">
        <f ca="1">IF(AND(ISNUMBER($I$875),$B$677=1),$I$875,HLOOKUP(INDIRECT(ADDRESS(2,COLUMN())),OFFSET($BN$2,0,0,ROW()-1,60),ROW()-1,FALSE))</f>
        <v>7.4986910020000002</v>
      </c>
      <c r="J205">
        <f ca="1">IF(AND(ISNUMBER($J$875),$B$677=1),$J$875,HLOOKUP(INDIRECT(ADDRESS(2,COLUMN())),OFFSET($BN$2,0,0,ROW()-1,60),ROW()-1,FALSE))</f>
        <v>10.183989739999999</v>
      </c>
      <c r="K205">
        <f ca="1">IF(AND(ISNUMBER($K$875),$B$677=1),$K$875,HLOOKUP(INDIRECT(ADDRESS(2,COLUMN())),OFFSET($BN$2,0,0,ROW()-1,60),ROW()-1,FALSE))</f>
        <v>8.7857843770000006</v>
      </c>
      <c r="L205">
        <f ca="1">IF(AND(ISNUMBER($L$875),$B$677=1),$L$875,HLOOKUP(INDIRECT(ADDRESS(2,COLUMN())),OFFSET($BN$2,0,0,ROW()-1,60),ROW()-1,FALSE))</f>
        <v>9.9373956939999992</v>
      </c>
      <c r="M205">
        <f ca="1">IF(AND(ISNUMBER($M$875),$B$677=1),$M$875,HLOOKUP(INDIRECT(ADDRESS(2,COLUMN())),OFFSET($BN$2,0,0,ROW()-1,60),ROW()-1,FALSE))</f>
        <v>11.02766379</v>
      </c>
      <c r="N205">
        <f ca="1">IF(AND(ISNUMBER($N$875),$B$677=1),$N$875,HLOOKUP(INDIRECT(ADDRESS(2,COLUMN())),OFFSET($BN$2,0,0,ROW()-1,60),ROW()-1,FALSE))</f>
        <v>13.381708059999999</v>
      </c>
      <c r="O205">
        <f ca="1">IF(AND(ISNUMBER($O$875),$B$677=1),$O$875,HLOOKUP(INDIRECT(ADDRESS(2,COLUMN())),OFFSET($BN$2,0,0,ROW()-1,60),ROW()-1,FALSE))</f>
        <v>10.37690398</v>
      </c>
      <c r="P205">
        <f ca="1">IF(AND(ISNUMBER($P$875),$B$677=1),$P$875,HLOOKUP(INDIRECT(ADDRESS(2,COLUMN())),OFFSET($BN$2,0,0,ROW()-1,60),ROW()-1,FALSE))</f>
        <v>9.2369752320000007</v>
      </c>
      <c r="Q205">
        <f ca="1">IF(AND(ISNUMBER($Q$875),$B$677=1),$Q$875,HLOOKUP(INDIRECT(ADDRESS(2,COLUMN())),OFFSET($BN$2,0,0,ROW()-1,60),ROW()-1,FALSE))</f>
        <v>10.6922944</v>
      </c>
      <c r="R205">
        <f ca="1">IF(AND(ISNUMBER($R$875),$B$677=1),$R$875,HLOOKUP(INDIRECT(ADDRESS(2,COLUMN())),OFFSET($BN$2,0,0,ROW()-1,60),ROW()-1,FALSE))</f>
        <v>13.75487678</v>
      </c>
      <c r="S205">
        <f ca="1">IF(AND(ISNUMBER($S$875),$B$677=1),$S$875,HLOOKUP(INDIRECT(ADDRESS(2,COLUMN())),OFFSET($BN$2,0,0,ROW()-1,60),ROW()-1,FALSE))</f>
        <v>7.2979039029999999</v>
      </c>
      <c r="T205">
        <f ca="1">IF(AND(ISNUMBER($T$875),$B$677=1),$T$875,HLOOKUP(INDIRECT(ADDRESS(2,COLUMN())),OFFSET($BN$2,0,0,ROW()-1,60),ROW()-1,FALSE))</f>
        <v>7.7794333450000002</v>
      </c>
      <c r="U205">
        <f ca="1">IF(AND(ISNUMBER($U$875),$B$677=1),$U$875,HLOOKUP(INDIRECT(ADDRESS(2,COLUMN())),OFFSET($BN$2,0,0,ROW()-1,60),ROW()-1,FALSE))</f>
        <v>7.8626958480000004</v>
      </c>
      <c r="V205">
        <f ca="1">IF(AND(ISNUMBER($V$875),$B$677=1),$V$875,HLOOKUP(INDIRECT(ADDRESS(2,COLUMN())),OFFSET($BN$2,0,0,ROW()-1,60),ROW()-1,FALSE))</f>
        <v>7.7247080800000001</v>
      </c>
      <c r="W205">
        <f ca="1">IF(AND(ISNUMBER($W$875),$B$677=1),$W$875,HLOOKUP(INDIRECT(ADDRESS(2,COLUMN())),OFFSET($BN$2,0,0,ROW()-1,60),ROW()-1,FALSE))</f>
        <v>5.9229122759999999</v>
      </c>
      <c r="X205">
        <f ca="1">IF(AND(ISNUMBER($X$875),$B$677=1),$X$875,HLOOKUP(INDIRECT(ADDRESS(2,COLUMN())),OFFSET($BN$2,0,0,ROW()-1,60),ROW()-1,FALSE))</f>
        <v>4.5379031909999998</v>
      </c>
      <c r="Y205">
        <f ca="1">IF(AND(ISNUMBER($Y$875),$B$677=1),$Y$875,HLOOKUP(INDIRECT(ADDRESS(2,COLUMN())),OFFSET($BN$2,0,0,ROW()-1,60),ROW()-1,FALSE))</f>
        <v>5.1347450820000002</v>
      </c>
      <c r="Z205">
        <f ca="1">IF(AND(ISNUMBER($Z$875),$B$677=1),$Z$875,HLOOKUP(INDIRECT(ADDRESS(2,COLUMN())),OFFSET($BN$2,0,0,ROW()-1,60),ROW()-1,FALSE))</f>
        <v>5.5739314340000004</v>
      </c>
      <c r="AA205">
        <f ca="1">IF(AND(ISNUMBER($AA$875),$B$677=1),$AA$875,HLOOKUP(INDIRECT(ADDRESS(2,COLUMN())),OFFSET($BN$2,0,0,ROW()-1,60),ROW()-1,FALSE))</f>
        <v>5.2510018049999996</v>
      </c>
      <c r="AB205">
        <f ca="1">IF(AND(ISNUMBER($AB$875),$B$677=1),$AB$875,HLOOKUP(INDIRECT(ADDRESS(2,COLUMN())),OFFSET($BN$2,0,0,ROW()-1,60),ROW()-1,FALSE))</f>
        <v>5.2450996700000001</v>
      </c>
      <c r="AC205">
        <f ca="1">IF(AND(ISNUMBER($AC$875),$B$677=1),$AC$875,HLOOKUP(INDIRECT(ADDRESS(2,COLUMN())),OFFSET($BN$2,0,0,ROW()-1,60),ROW()-1,FALSE))</f>
        <v>5.445953544</v>
      </c>
      <c r="AD205">
        <f ca="1">IF(AND(ISNUMBER($AD$875),$B$677=1),$AD$875,HLOOKUP(INDIRECT(ADDRESS(2,COLUMN())),OFFSET($BN$2,0,0,ROW()-1,60),ROW()-1,FALSE))</f>
        <v>6.26110086</v>
      </c>
      <c r="AE205">
        <f ca="1">IF(AND(ISNUMBER($AE$875),$B$677=1),$AE$875,HLOOKUP(INDIRECT(ADDRESS(2,COLUMN())),OFFSET($BN$2,0,0,ROW()-1,60),ROW()-1,FALSE))</f>
        <v>3.7916170789999999</v>
      </c>
      <c r="AF205">
        <f ca="1">IF(AND(ISNUMBER($AF$875),$B$677=1),$AF$875,HLOOKUP(INDIRECT(ADDRESS(2,COLUMN())),OFFSET($BN$2,0,0,ROW()-1,60),ROW()-1,FALSE))</f>
        <v>3.8111451650000001</v>
      </c>
      <c r="AG205">
        <f ca="1">IF(AND(ISNUMBER($AG$875),$B$677=1),$AG$875,HLOOKUP(INDIRECT(ADDRESS(2,COLUMN())),OFFSET($BN$2,0,0,ROW()-1,60),ROW()-1,FALSE))</f>
        <v>3.6168156699999998</v>
      </c>
      <c r="AH205">
        <f ca="1">IF(AND(ISNUMBER($AH$875),$B$677=1),$AH$875,HLOOKUP(INDIRECT(ADDRESS(2,COLUMN())),OFFSET($BN$2,0,0,ROW()-1,60),ROW()-1,FALSE))</f>
        <v>4.2332439649999998</v>
      </c>
      <c r="AI205">
        <f ca="1">IF(AND(ISNUMBER($AI$875),$B$677=1),$AI$875,HLOOKUP(INDIRECT(ADDRESS(2,COLUMN())),OFFSET($BN$2,0,0,ROW()-1,60),ROW()-1,FALSE))</f>
        <v>2.939076713</v>
      </c>
      <c r="AJ205">
        <f ca="1">IF(AND(ISNUMBER($AJ$875),$B$677=1),$AJ$875,HLOOKUP(INDIRECT(ADDRESS(2,COLUMN())),OFFSET($BN$2,0,0,ROW()-1,60),ROW()-1,FALSE))</f>
        <v>4.2428765679999998</v>
      </c>
      <c r="AK205">
        <f ca="1">IF(AND(ISNUMBER($AK$875),$B$677=1),$AK$875,HLOOKUP(INDIRECT(ADDRESS(2,COLUMN())),OFFSET($BN$2,0,0,ROW()-1,60),ROW()-1,FALSE))</f>
        <v>5.1463081500000003</v>
      </c>
      <c r="AL205">
        <f ca="1">IF(AND(ISNUMBER($AL$875),$B$677=1),$AL$875,HLOOKUP(INDIRECT(ADDRESS(2,COLUMN())),OFFSET($BN$2,0,0,ROW()-1,60),ROW()-1,FALSE))</f>
        <v>6.6744330940000003</v>
      </c>
      <c r="AM205">
        <f ca="1">IF(AND(ISNUMBER($AM$875),$B$677=1),$AM$875,HLOOKUP(INDIRECT(ADDRESS(2,COLUMN())),OFFSET($BN$2,0,0,ROW()-1,60),ROW()-1,FALSE))</f>
        <v>4.7430132909999996</v>
      </c>
      <c r="AN205">
        <f ca="1">IF(AND(ISNUMBER($AN$875),$B$677=1),$AN$875,HLOOKUP(INDIRECT(ADDRESS(2,COLUMN())),OFFSET($BN$2,0,0,ROW()-1,60),ROW()-1,FALSE))</f>
        <v>4.8210986709999997</v>
      </c>
      <c r="AO205">
        <f ca="1">IF(AND(ISNUMBER($AO$875),$B$677=1),$AO$875,HLOOKUP(INDIRECT(ADDRESS(2,COLUMN())),OFFSET($BN$2,0,0,ROW()-1,60),ROW()-1,FALSE))</f>
        <v>3.8280442520000002</v>
      </c>
      <c r="AP205">
        <f ca="1">IF(AND(ISNUMBER($AP$875),$B$677=1),$AP$875,HLOOKUP(INDIRECT(ADDRESS(2,COLUMN())),OFFSET($BN$2,0,0,ROW()-1,60),ROW()-1,FALSE))</f>
        <v>4.3670062720000002</v>
      </c>
      <c r="AQ205">
        <f ca="1">IF(AND(ISNUMBER($AQ$875),$B$677=1),$AQ$875,HLOOKUP(INDIRECT(ADDRESS(2,COLUMN())),OFFSET($BN$2,0,0,ROW()-1,60),ROW()-1,FALSE))</f>
        <v>4.0915395280000002</v>
      </c>
      <c r="AR205">
        <f ca="1">IF(AND(ISNUMBER($AR$875),$B$677=1),$AR$875,HLOOKUP(INDIRECT(ADDRESS(2,COLUMN())),OFFSET($BN$2,0,0,ROW()-1,60),ROW()-1,FALSE))</f>
        <v>3.3158865870000001</v>
      </c>
      <c r="AS205">
        <f ca="1">IF(AND(ISNUMBER($AS$875),$B$677=1),$AS$875,HLOOKUP(INDIRECT(ADDRESS(2,COLUMN())),OFFSET($BN$2,0,0,ROW()-1,60),ROW()-1,FALSE))</f>
        <v>3.50380877</v>
      </c>
      <c r="AT205">
        <f ca="1">IF(AND(ISNUMBER($AT$875),$B$677=1),$AT$875,HLOOKUP(INDIRECT(ADDRESS(2,COLUMN())),OFFSET($BN$2,0,0,ROW()-1,60),ROW()-1,FALSE))</f>
        <v>2.0745708760000001</v>
      </c>
      <c r="AU205">
        <f ca="1">IF(AND(ISNUMBER($AU$875),$B$677=1),$AU$875,HLOOKUP(INDIRECT(ADDRESS(2,COLUMN())),OFFSET($BN$2,0,0,ROW()-1,60),ROW()-1,FALSE))</f>
        <v>1.347854216</v>
      </c>
      <c r="AV205">
        <f ca="1">IF(AND(ISNUMBER($AV$875),$B$677=1),$AV$875,HLOOKUP(INDIRECT(ADDRESS(2,COLUMN())),OFFSET($BN$2,0,0,ROW()-1,60),ROW()-1,FALSE))</f>
        <v>2.1515457480000002</v>
      </c>
      <c r="AW205">
        <f ca="1">IF(AND(ISNUMBER($AW$875),$B$677=1),$AW$875,HLOOKUP(INDIRECT(ADDRESS(2,COLUMN())),OFFSET($BN$2,0,0,ROW()-1,60),ROW()-1,FALSE))</f>
        <v>2.6573550190000002</v>
      </c>
      <c r="AX205">
        <f ca="1">IF(AND(ISNUMBER($AX$875),$B$677=1),$AX$875,HLOOKUP(INDIRECT(ADDRESS(2,COLUMN())),OFFSET($BN$2,0,0,ROW()-1,60),ROW()-1,FALSE))</f>
        <v>3.5069634810000001</v>
      </c>
      <c r="AY205">
        <f ca="1">IF(AND(ISNUMBER($AY$875),$B$677=1),$AY$875,HLOOKUP(INDIRECT(ADDRESS(2,COLUMN())),OFFSET($BN$2,0,0,ROW()-1,60),ROW()-1,FALSE))</f>
        <v>4.3450797540000003</v>
      </c>
      <c r="AZ205">
        <f ca="1">IF(AND(ISNUMBER($AZ$875),$B$677=1),$AZ$875,HLOOKUP(INDIRECT(ADDRESS(2,COLUMN())),OFFSET($BN$2,0,0,ROW()-1,60),ROW()-1,FALSE))</f>
        <v>4.5212281000000001</v>
      </c>
      <c r="BA205">
        <f ca="1">IF(AND(ISNUMBER($BA$875),$B$677=1),$BA$875,HLOOKUP(INDIRECT(ADDRESS(2,COLUMN())),OFFSET($BN$2,0,0,ROW()-1,60),ROW()-1,FALSE))</f>
        <v>5.083334668</v>
      </c>
      <c r="BB205">
        <f ca="1">IF(AND(ISNUMBER($BB$875),$B$677=1),$BB$875,HLOOKUP(INDIRECT(ADDRESS(2,COLUMN())),OFFSET($BN$2,0,0,ROW()-1,60),ROW()-1,FALSE))</f>
        <v>3.6883061210000001</v>
      </c>
      <c r="BC205">
        <f ca="1">IF(AND(ISNUMBER($BC$875),$B$677=1),$BC$875,HLOOKUP(INDIRECT(ADDRESS(2,COLUMN())),OFFSET($BN$2,0,0,ROW()-1,60),ROW()-1,FALSE))</f>
        <v>3.4802322810000001</v>
      </c>
      <c r="BD205">
        <f ca="1">IF(AND(ISNUMBER($BD$875),$B$677=1),$BD$875,HLOOKUP(INDIRECT(ADDRESS(2,COLUMN())),OFFSET($BN$2,0,0,ROW()-1,60),ROW()-1,FALSE))</f>
        <v>2.892594957</v>
      </c>
      <c r="BE205">
        <f ca="1">IF(AND(ISNUMBER($BE$875),$B$677=1),$BE$875,HLOOKUP(INDIRECT(ADDRESS(2,COLUMN())),OFFSET($BN$2,0,0,ROW()-1,60),ROW()-1,FALSE))</f>
        <v>3.0082618380000001</v>
      </c>
      <c r="BF205">
        <f ca="1">IF(AND(ISNUMBER($BF$875),$B$677=1),$BF$875,HLOOKUP(INDIRECT(ADDRESS(2,COLUMN())),OFFSET($BN$2,0,0,ROW()-1,60),ROW()-1,FALSE))</f>
        <v>2.404736276</v>
      </c>
      <c r="BG205">
        <f ca="1">IF(AND(ISNUMBER($BG$875),$B$677=1),$BG$875,HLOOKUP(INDIRECT(ADDRESS(2,COLUMN())),OFFSET($BN$2,0,0,ROW()-1,60),ROW()-1,FALSE))</f>
        <v>1.587613962</v>
      </c>
      <c r="BH205">
        <f ca="1">IF(AND(ISNUMBER($BH$875),$B$677=1),$BH$875,HLOOKUP(INDIRECT(ADDRESS(2,COLUMN())),OFFSET($BN$2,0,0,ROW()-1,60),ROW()-1,FALSE))</f>
        <v>1.139134361</v>
      </c>
      <c r="BI205">
        <f ca="1">IF(AND(ISNUMBER($BI$875),$B$677=1),$BI$875,HLOOKUP(INDIRECT(ADDRESS(2,COLUMN())),OFFSET($BN$2,0,0,ROW()-1,60),ROW()-1,FALSE))</f>
        <v>1.065742137</v>
      </c>
      <c r="BJ205">
        <f ca="1">IF(AND(ISNUMBER($BJ$875),$B$677=1),$BJ$875,HLOOKUP(INDIRECT(ADDRESS(2,COLUMN())),OFFSET($BN$2,0,0,ROW()-1,60),ROW()-1,FALSE))</f>
        <v>1.238866617</v>
      </c>
      <c r="BK205" t="str">
        <f ca="1">IF(AND(ISNUMBER($BK$875),$B$677=1),$BK$875,HLOOKUP(INDIRECT(ADDRESS(2,COLUMN())),OFFSET($BN$2,0,0,ROW()-1,60),ROW()-1,FALSE))</f>
        <v/>
      </c>
      <c r="BL205" t="str">
        <f ca="1">IF(AND(ISNUMBER($BL$875),$B$677=1),$BL$875,HLOOKUP(INDIRECT(ADDRESS(2,COLUMN())),OFFSET($BN$2,0,0,ROW()-1,60),ROW()-1,FALSE))</f>
        <v/>
      </c>
      <c r="BM205">
        <f ca="1">IF(AND(ISNUMBER($BM$875),$B$677=1),$BM$875,HLOOKUP(INDIRECT(ADDRESS(2,COLUMN())),OFFSET($BN$2,0,0,ROW()-1,60),ROW()-1,FALSE))</f>
        <v>1.3713786779999999</v>
      </c>
      <c r="BN205">
        <f>4.701249686</f>
        <v>4.7012496859999997</v>
      </c>
      <c r="BO205">
        <f>3.972555985</f>
        <v>3.9725559850000001</v>
      </c>
      <c r="BP205">
        <f>7.803962135</f>
        <v>7.8039621349999999</v>
      </c>
      <c r="BQ205">
        <f>7.498691002</f>
        <v>7.4986910020000002</v>
      </c>
      <c r="BR205">
        <f>10.18398974</f>
        <v>10.183989739999999</v>
      </c>
      <c r="BS205">
        <f>8.785784377</f>
        <v>8.7857843770000006</v>
      </c>
      <c r="BT205">
        <f>9.937395694</f>
        <v>9.9373956939999992</v>
      </c>
      <c r="BU205">
        <f>11.02766379</f>
        <v>11.02766379</v>
      </c>
      <c r="BV205">
        <f>13.38170806</f>
        <v>13.381708059999999</v>
      </c>
      <c r="BW205">
        <f>10.37690398</f>
        <v>10.37690398</v>
      </c>
      <c r="BX205">
        <f>9.236975232</f>
        <v>9.2369752320000007</v>
      </c>
      <c r="BY205">
        <f>10.6922944</f>
        <v>10.6922944</v>
      </c>
      <c r="BZ205">
        <f>13.75487678</f>
        <v>13.75487678</v>
      </c>
      <c r="CA205">
        <f>7.297903903</f>
        <v>7.2979039029999999</v>
      </c>
      <c r="CB205">
        <f>7.779433345</f>
        <v>7.7794333450000002</v>
      </c>
      <c r="CC205">
        <f>7.862695848</f>
        <v>7.8626958480000004</v>
      </c>
      <c r="CD205">
        <f>7.72470808</f>
        <v>7.7247080800000001</v>
      </c>
      <c r="CE205">
        <f>5.922912276</f>
        <v>5.9229122759999999</v>
      </c>
      <c r="CF205">
        <f>4.537903191</f>
        <v>4.5379031909999998</v>
      </c>
      <c r="CG205">
        <f>5.134745082</f>
        <v>5.1347450820000002</v>
      </c>
      <c r="CH205">
        <f>5.573931434</f>
        <v>5.5739314340000004</v>
      </c>
      <c r="CI205">
        <f>5.251001805</f>
        <v>5.2510018049999996</v>
      </c>
      <c r="CJ205">
        <f>5.24509967</f>
        <v>5.2450996700000001</v>
      </c>
      <c r="CK205">
        <f>5.445953544</f>
        <v>5.445953544</v>
      </c>
      <c r="CL205">
        <f>6.26110086</f>
        <v>6.26110086</v>
      </c>
      <c r="CM205">
        <f>3.791617079</f>
        <v>3.7916170789999999</v>
      </c>
      <c r="CN205">
        <f>3.811145165</f>
        <v>3.8111451650000001</v>
      </c>
      <c r="CO205">
        <f>3.61681567</f>
        <v>3.6168156699999998</v>
      </c>
      <c r="CP205">
        <f>4.233243965</f>
        <v>4.2332439649999998</v>
      </c>
      <c r="CQ205">
        <f>2.939076713</f>
        <v>2.939076713</v>
      </c>
      <c r="CR205">
        <f>4.242876568</f>
        <v>4.2428765679999998</v>
      </c>
      <c r="CS205">
        <f>5.14630815</f>
        <v>5.1463081500000003</v>
      </c>
      <c r="CT205">
        <f>6.674433094</f>
        <v>6.6744330940000003</v>
      </c>
      <c r="CU205">
        <f>4.743013291</f>
        <v>4.7430132909999996</v>
      </c>
      <c r="CV205">
        <f>4.821098671</f>
        <v>4.8210986709999997</v>
      </c>
      <c r="CW205">
        <f>3.828044252</f>
        <v>3.8280442520000002</v>
      </c>
      <c r="CX205">
        <f>4.367006272</f>
        <v>4.3670062720000002</v>
      </c>
      <c r="CY205">
        <f>4.091539528</f>
        <v>4.0915395280000002</v>
      </c>
      <c r="CZ205">
        <f>3.315886587</f>
        <v>3.3158865870000001</v>
      </c>
      <c r="DA205">
        <f>3.50380877</f>
        <v>3.50380877</v>
      </c>
      <c r="DB205">
        <f>2.074570876</f>
        <v>2.0745708760000001</v>
      </c>
      <c r="DC205">
        <f>1.347854216</f>
        <v>1.347854216</v>
      </c>
      <c r="DD205">
        <f>2.151545748</f>
        <v>2.1515457480000002</v>
      </c>
      <c r="DE205">
        <f>2.657355019</f>
        <v>2.6573550190000002</v>
      </c>
      <c r="DF205">
        <f>3.506963481</f>
        <v>3.5069634810000001</v>
      </c>
      <c r="DG205">
        <f>4.345079754</f>
        <v>4.3450797540000003</v>
      </c>
      <c r="DH205">
        <f>4.5212281</f>
        <v>4.5212281000000001</v>
      </c>
      <c r="DI205">
        <f>5.083334668</f>
        <v>5.083334668</v>
      </c>
      <c r="DJ205">
        <f>3.688306121</f>
        <v>3.6883061210000001</v>
      </c>
      <c r="DK205">
        <f>3.480232281</f>
        <v>3.4802322810000001</v>
      </c>
      <c r="DL205">
        <f>2.892594957</f>
        <v>2.892594957</v>
      </c>
      <c r="DM205">
        <f>3.008261838</f>
        <v>3.0082618380000001</v>
      </c>
      <c r="DN205">
        <f>2.404736276</f>
        <v>2.404736276</v>
      </c>
      <c r="DO205">
        <f>1.587613962</f>
        <v>1.587613962</v>
      </c>
      <c r="DP205">
        <f>1.139134361</f>
        <v>1.139134361</v>
      </c>
      <c r="DQ205">
        <f>1.065742137</f>
        <v>1.065742137</v>
      </c>
      <c r="DR205">
        <f>1.238866617</f>
        <v>1.238866617</v>
      </c>
      <c r="DS205" t="str">
        <f>""</f>
        <v/>
      </c>
      <c r="DT205" t="str">
        <f>""</f>
        <v/>
      </c>
      <c r="DU205">
        <f>1.371378678</f>
        <v>1.3713786779999999</v>
      </c>
    </row>
    <row r="206" spans="1:125" x14ac:dyDescent="0.25">
      <c r="A206" t="str">
        <f>"    Toyota Motor Corp"</f>
        <v xml:space="preserve">    Toyota Motor Corp</v>
      </c>
      <c r="B206" t="str">
        <f>"7203 JP Equity"</f>
        <v>7203 JP Equity</v>
      </c>
      <c r="C206" t="str">
        <f t="shared" si="12"/>
        <v>RX077</v>
      </c>
      <c r="D206" t="str">
        <f t="shared" si="13"/>
        <v>PX_TO_TANG_BOOK_VAL_PER_SH</v>
      </c>
      <c r="E206" t="str">
        <f t="shared" si="14"/>
        <v>Dynamic</v>
      </c>
      <c r="F206">
        <f ca="1">IF(AND(ISNUMBER($F$876),$B$677=1),$F$876,HLOOKUP(INDIRECT(ADDRESS(2,COLUMN())),OFFSET($BN$2,0,0,ROW()-1,60),ROW()-1,FALSE))</f>
        <v>1.0022529490000001</v>
      </c>
      <c r="G206">
        <f ca="1">IF(AND(ISNUMBER($G$876),$B$677=1),$G$876,HLOOKUP(INDIRECT(ADDRESS(2,COLUMN())),OFFSET($BN$2,0,0,ROW()-1,60),ROW()-1,FALSE))</f>
        <v>0.95542148699999996</v>
      </c>
      <c r="H206">
        <f ca="1">IF(AND(ISNUMBER($H$876),$B$677=1),$H$876,HLOOKUP(INDIRECT(ADDRESS(2,COLUMN())),OFFSET($BN$2,0,0,ROW()-1,60),ROW()-1,FALSE))</f>
        <v>1.0433597880000001</v>
      </c>
      <c r="I206">
        <f ca="1">IF(AND(ISNUMBER($I$876),$B$677=1),$I$876,HLOOKUP(INDIRECT(ADDRESS(2,COLUMN())),OFFSET($BN$2,0,0,ROW()-1,60),ROW()-1,FALSE))</f>
        <v>1.094634441</v>
      </c>
      <c r="J206">
        <f ca="1">IF(AND(ISNUMBER($J$876),$B$677=1),$J$876,HLOOKUP(INDIRECT(ADDRESS(2,COLUMN())),OFFSET($BN$2,0,0,ROW()-1,60),ROW()-1,FALSE))</f>
        <v>1.060004824</v>
      </c>
      <c r="K206">
        <f ca="1">IF(AND(ISNUMBER($K$876),$B$677=1),$K$876,HLOOKUP(INDIRECT(ADDRESS(2,COLUMN())),OFFSET($BN$2,0,0,ROW()-1,60),ROW()-1,FALSE))</f>
        <v>1.115678264</v>
      </c>
      <c r="L206">
        <f ca="1">IF(AND(ISNUMBER($L$876),$B$677=1),$L$876,HLOOKUP(INDIRECT(ADDRESS(2,COLUMN())),OFFSET($BN$2,0,0,ROW()-1,60),ROW()-1,FALSE))</f>
        <v>1.078829405</v>
      </c>
      <c r="M206">
        <f ca="1">IF(AND(ISNUMBER($M$876),$B$677=1),$M$876,HLOOKUP(INDIRECT(ADDRESS(2,COLUMN())),OFFSET($BN$2,0,0,ROW()-1,60),ROW()-1,FALSE))</f>
        <v>0.98074099000000003</v>
      </c>
      <c r="N206">
        <f ca="1">IF(AND(ISNUMBER($N$876),$B$677=1),$N$876,HLOOKUP(INDIRECT(ADDRESS(2,COLUMN())),OFFSET($BN$2,0,0,ROW()-1,60),ROW()-1,FALSE))</f>
        <v>1.0261758089999999</v>
      </c>
      <c r="O206" t="str">
        <f ca="1">IF(AND(ISNUMBER($O$876),$B$677=1),$O$876,HLOOKUP(INDIRECT(ADDRESS(2,COLUMN())),OFFSET($BN$2,0,0,ROW()-1,60),ROW()-1,FALSE))</f>
        <v/>
      </c>
      <c r="P206" t="str">
        <f ca="1">IF(AND(ISNUMBER($P$876),$B$677=1),$P$876,HLOOKUP(INDIRECT(ADDRESS(2,COLUMN())),OFFSET($BN$2,0,0,ROW()-1,60),ROW()-1,FALSE))</f>
        <v/>
      </c>
      <c r="Q206">
        <f ca="1">IF(AND(ISNUMBER($Q$876),$B$677=1),$Q$876,HLOOKUP(INDIRECT(ADDRESS(2,COLUMN())),OFFSET($BN$2,0,0,ROW()-1,60),ROW()-1,FALSE))</f>
        <v>0.92851996199999998</v>
      </c>
      <c r="R206">
        <f ca="1">IF(AND(ISNUMBER($R$876),$B$677=1),$R$876,HLOOKUP(INDIRECT(ADDRESS(2,COLUMN())),OFFSET($BN$2,0,0,ROW()-1,60),ROW()-1,FALSE))</f>
        <v>1.0796153180000001</v>
      </c>
      <c r="S206" t="str">
        <f ca="1">IF(AND(ISNUMBER($S$876),$B$677=1),$S$876,HLOOKUP(INDIRECT(ADDRESS(2,COLUMN())),OFFSET($BN$2,0,0,ROW()-1,60),ROW()-1,FALSE))</f>
        <v/>
      </c>
      <c r="T206" t="str">
        <f ca="1">IF(AND(ISNUMBER($T$876),$B$677=1),$T$876,HLOOKUP(INDIRECT(ADDRESS(2,COLUMN())),OFFSET($BN$2,0,0,ROW()-1,60),ROW()-1,FALSE))</f>
        <v/>
      </c>
      <c r="U206">
        <f ca="1">IF(AND(ISNUMBER($U$876),$B$677=1),$U$876,HLOOKUP(INDIRECT(ADDRESS(2,COLUMN())),OFFSET($BN$2,0,0,ROW()-1,60),ROW()-1,FALSE))</f>
        <v>1.527846126</v>
      </c>
      <c r="V206">
        <f ca="1">IF(AND(ISNUMBER($V$876),$B$677=1),$V$876,HLOOKUP(INDIRECT(ADDRESS(2,COLUMN())),OFFSET($BN$2,0,0,ROW()-1,60),ROW()-1,FALSE))</f>
        <v>1.5713328520000001</v>
      </c>
      <c r="W206" t="str">
        <f ca="1">IF(AND(ISNUMBER($W$876),$B$677=1),$W$876,HLOOKUP(INDIRECT(ADDRESS(2,COLUMN())),OFFSET($BN$2,0,0,ROW()-1,60),ROW()-1,FALSE))</f>
        <v/>
      </c>
      <c r="X206" t="str">
        <f ca="1">IF(AND(ISNUMBER($X$876),$B$677=1),$X$876,HLOOKUP(INDIRECT(ADDRESS(2,COLUMN())),OFFSET($BN$2,0,0,ROW()-1,60),ROW()-1,FALSE))</f>
        <v/>
      </c>
      <c r="Y206">
        <f ca="1">IF(AND(ISNUMBER($Y$876),$B$677=1),$Y$876,HLOOKUP(INDIRECT(ADDRESS(2,COLUMN())),OFFSET($BN$2,0,0,ROW()-1,60),ROW()-1,FALSE))</f>
        <v>1.324939434</v>
      </c>
      <c r="Z206">
        <f ca="1">IF(AND(ISNUMBER($Z$876),$B$677=1),$Z$876,HLOOKUP(INDIRECT(ADDRESS(2,COLUMN())),OFFSET($BN$2,0,0,ROW()-1,60),ROW()-1,FALSE))</f>
        <v>1.2763057449999999</v>
      </c>
      <c r="AA206" t="str">
        <f ca="1">IF(AND(ISNUMBER($AA$876),$B$677=1),$AA$876,HLOOKUP(INDIRECT(ADDRESS(2,COLUMN())),OFFSET($BN$2,0,0,ROW()-1,60),ROW()-1,FALSE))</f>
        <v/>
      </c>
      <c r="AB206" t="str">
        <f ca="1">IF(AND(ISNUMBER($AB$876),$B$677=1),$AB$876,HLOOKUP(INDIRECT(ADDRESS(2,COLUMN())),OFFSET($BN$2,0,0,ROW()-1,60),ROW()-1,FALSE))</f>
        <v/>
      </c>
      <c r="AC206">
        <f ca="1">IF(AND(ISNUMBER($AC$876),$B$677=1),$AC$876,HLOOKUP(INDIRECT(ADDRESS(2,COLUMN())),OFFSET($BN$2,0,0,ROW()-1,60),ROW()-1,FALSE))</f>
        <v>1.5383418879999999</v>
      </c>
      <c r="AD206">
        <f ca="1">IF(AND(ISNUMBER($AD$876),$B$677=1),$AD$876,HLOOKUP(INDIRECT(ADDRESS(2,COLUMN())),OFFSET($BN$2,0,0,ROW()-1,60),ROW()-1,FALSE))</f>
        <v>1.267176538</v>
      </c>
      <c r="AE206" t="str">
        <f ca="1">IF(AND(ISNUMBER($AE$876),$B$677=1),$AE$876,HLOOKUP(INDIRECT(ADDRESS(2,COLUMN())),OFFSET($BN$2,0,0,ROW()-1,60),ROW()-1,FALSE))</f>
        <v/>
      </c>
      <c r="AF206" t="str">
        <f ca="1">IF(AND(ISNUMBER($AF$876),$B$677=1),$AF$876,HLOOKUP(INDIRECT(ADDRESS(2,COLUMN())),OFFSET($BN$2,0,0,ROW()-1,60),ROW()-1,FALSE))</f>
        <v/>
      </c>
      <c r="AG206">
        <f ca="1">IF(AND(ISNUMBER($AG$876),$B$677=1),$AG$876,HLOOKUP(INDIRECT(ADDRESS(2,COLUMN())),OFFSET($BN$2,0,0,ROW()-1,60),ROW()-1,FALSE))</f>
        <v>0.93351046999999998</v>
      </c>
      <c r="AH206">
        <f ca="1">IF(AND(ISNUMBER($AH$876),$B$677=1),$AH$876,HLOOKUP(INDIRECT(ADDRESS(2,COLUMN())),OFFSET($BN$2,0,0,ROW()-1,60),ROW()-1,FALSE))</f>
        <v>1.0715859729999999</v>
      </c>
      <c r="AI206" t="str">
        <f ca="1">IF(AND(ISNUMBER($AI$876),$B$677=1),$AI$876,HLOOKUP(INDIRECT(ADDRESS(2,COLUMN())),OFFSET($BN$2,0,0,ROW()-1,60),ROW()-1,FALSE))</f>
        <v/>
      </c>
      <c r="AJ206" t="str">
        <f ca="1">IF(AND(ISNUMBER($AJ$876),$B$677=1),$AJ$876,HLOOKUP(INDIRECT(ADDRESS(2,COLUMN())),OFFSET($BN$2,0,0,ROW()-1,60),ROW()-1,FALSE))</f>
        <v/>
      </c>
      <c r="AK206">
        <f ca="1">IF(AND(ISNUMBER($AK$876),$B$677=1),$AK$876,HLOOKUP(INDIRECT(ADDRESS(2,COLUMN())),OFFSET($BN$2,0,0,ROW()-1,60),ROW()-1,FALSE))</f>
        <v>0.99238942600000002</v>
      </c>
      <c r="AL206">
        <f ca="1">IF(AND(ISNUMBER($AL$876),$B$677=1),$AL$876,HLOOKUP(INDIRECT(ADDRESS(2,COLUMN())),OFFSET($BN$2,0,0,ROW()-1,60),ROW()-1,FALSE))</f>
        <v>1.0166680669999999</v>
      </c>
      <c r="AM206" t="str">
        <f ca="1">IF(AND(ISNUMBER($AM$876),$B$677=1),$AM$876,HLOOKUP(INDIRECT(ADDRESS(2,COLUMN())),OFFSET($BN$2,0,0,ROW()-1,60),ROW()-1,FALSE))</f>
        <v/>
      </c>
      <c r="AN206" t="str">
        <f ca="1">IF(AND(ISNUMBER($AN$876),$B$677=1),$AN$876,HLOOKUP(INDIRECT(ADDRESS(2,COLUMN())),OFFSET($BN$2,0,0,ROW()-1,60),ROW()-1,FALSE))</f>
        <v/>
      </c>
      <c r="AO206">
        <f ca="1">IF(AND(ISNUMBER($AO$876),$B$677=1),$AO$876,HLOOKUP(INDIRECT(ADDRESS(2,COLUMN())),OFFSET($BN$2,0,0,ROW()-1,60),ROW()-1,FALSE))</f>
        <v>0.93234776600000002</v>
      </c>
      <c r="AP206">
        <f ca="1">IF(AND(ISNUMBER($AP$876),$B$677=1),$AP$876,HLOOKUP(INDIRECT(ADDRESS(2,COLUMN())),OFFSET($BN$2,0,0,ROW()-1,60),ROW()-1,FALSE))</f>
        <v>1.133650125</v>
      </c>
      <c r="AQ206" t="str">
        <f ca="1">IF(AND(ISNUMBER($AQ$876),$B$677=1),$AQ$876,HLOOKUP(INDIRECT(ADDRESS(2,COLUMN())),OFFSET($BN$2,0,0,ROW()-1,60),ROW()-1,FALSE))</f>
        <v/>
      </c>
      <c r="AR206" t="str">
        <f ca="1">IF(AND(ISNUMBER($AR$876),$B$677=1),$AR$876,HLOOKUP(INDIRECT(ADDRESS(2,COLUMN())),OFFSET($BN$2,0,0,ROW()-1,60),ROW()-1,FALSE))</f>
        <v/>
      </c>
      <c r="AS206">
        <f ca="1">IF(AND(ISNUMBER($AS$876),$B$677=1),$AS$876,HLOOKUP(INDIRECT(ADDRESS(2,COLUMN())),OFFSET($BN$2,0,0,ROW()-1,60),ROW()-1,FALSE))</f>
        <v>1.112699375</v>
      </c>
      <c r="AT206">
        <f ca="1">IF(AND(ISNUMBER($AT$876),$B$677=1),$AT$876,HLOOKUP(INDIRECT(ADDRESS(2,COLUMN())),OFFSET($BN$2,0,0,ROW()-1,60),ROW()-1,FALSE))</f>
        <v>0.97244315100000001</v>
      </c>
      <c r="AU206" t="str">
        <f ca="1">IF(AND(ISNUMBER($AU$876),$B$677=1),$AU$876,HLOOKUP(INDIRECT(ADDRESS(2,COLUMN())),OFFSET($BN$2,0,0,ROW()-1,60),ROW()-1,FALSE))</f>
        <v/>
      </c>
      <c r="AV206" t="str">
        <f ca="1">IF(AND(ISNUMBER($AV$876),$B$677=1),$AV$876,HLOOKUP(INDIRECT(ADDRESS(2,COLUMN())),OFFSET($BN$2,0,0,ROW()-1,60),ROW()-1,FALSE))</f>
        <v/>
      </c>
      <c r="AW206" t="str">
        <f ca="1">IF(AND(ISNUMBER($AW$876),$B$677=1),$AW$876,HLOOKUP(INDIRECT(ADDRESS(2,COLUMN())),OFFSET($BN$2,0,0,ROW()-1,60),ROW()-1,FALSE))</f>
        <v/>
      </c>
      <c r="AX206" t="str">
        <f ca="1">IF(AND(ISNUMBER($AX$876),$B$677=1),$AX$876,HLOOKUP(INDIRECT(ADDRESS(2,COLUMN())),OFFSET($BN$2,0,0,ROW()-1,60),ROW()-1,FALSE))</f>
        <v/>
      </c>
      <c r="AY206" t="str">
        <f ca="1">IF(AND(ISNUMBER($AY$876),$B$677=1),$AY$876,HLOOKUP(INDIRECT(ADDRESS(2,COLUMN())),OFFSET($BN$2,0,0,ROW()-1,60),ROW()-1,FALSE))</f>
        <v/>
      </c>
      <c r="AZ206" t="str">
        <f ca="1">IF(AND(ISNUMBER($AZ$876),$B$677=1),$AZ$876,HLOOKUP(INDIRECT(ADDRESS(2,COLUMN())),OFFSET($BN$2,0,0,ROW()-1,60),ROW()-1,FALSE))</f>
        <v/>
      </c>
      <c r="BA206" t="str">
        <f ca="1">IF(AND(ISNUMBER($BA$876),$B$677=1),$BA$876,HLOOKUP(INDIRECT(ADDRESS(2,COLUMN())),OFFSET($BN$2,0,0,ROW()-1,60),ROW()-1,FALSE))</f>
        <v/>
      </c>
      <c r="BB206" t="str">
        <f ca="1">IF(AND(ISNUMBER($BB$876),$B$677=1),$BB$876,HLOOKUP(INDIRECT(ADDRESS(2,COLUMN())),OFFSET($BN$2,0,0,ROW()-1,60),ROW()-1,FALSE))</f>
        <v/>
      </c>
      <c r="BC206">
        <f ca="1">IF(AND(ISNUMBER($BC$876),$B$677=1),$BC$876,HLOOKUP(INDIRECT(ADDRESS(2,COLUMN())),OFFSET($BN$2,0,0,ROW()-1,60),ROW()-1,FALSE))</f>
        <v>2.3167257110000001</v>
      </c>
      <c r="BD206">
        <f ca="1">IF(AND(ISNUMBER($BD$876),$B$677=1),$BD$876,HLOOKUP(INDIRECT(ADDRESS(2,COLUMN())),OFFSET($BN$2,0,0,ROW()-1,60),ROW()-1,FALSE))</f>
        <v>1.877951902</v>
      </c>
      <c r="BE206" t="str">
        <f ca="1">IF(AND(ISNUMBER($BE$876),$B$677=1),$BE$876,HLOOKUP(INDIRECT(ADDRESS(2,COLUMN())),OFFSET($BN$2,0,0,ROW()-1,60),ROW()-1,FALSE))</f>
        <v/>
      </c>
      <c r="BF206" t="str">
        <f ca="1">IF(AND(ISNUMBER($BF$876),$B$677=1),$BF$876,HLOOKUP(INDIRECT(ADDRESS(2,COLUMN())),OFFSET($BN$2,0,0,ROW()-1,60),ROW()-1,FALSE))</f>
        <v/>
      </c>
      <c r="BG206" t="str">
        <f ca="1">IF(AND(ISNUMBER($BG$876),$B$677=1),$BG$876,HLOOKUP(INDIRECT(ADDRESS(2,COLUMN())),OFFSET($BN$2,0,0,ROW()-1,60),ROW()-1,FALSE))</f>
        <v/>
      </c>
      <c r="BH206" t="str">
        <f ca="1">IF(AND(ISNUMBER($BH$876),$B$677=1),$BH$876,HLOOKUP(INDIRECT(ADDRESS(2,COLUMN())),OFFSET($BN$2,0,0,ROW()-1,60),ROW()-1,FALSE))</f>
        <v/>
      </c>
      <c r="BI206" t="str">
        <f ca="1">IF(AND(ISNUMBER($BI$876),$B$677=1),$BI$876,HLOOKUP(INDIRECT(ADDRESS(2,COLUMN())),OFFSET($BN$2,0,0,ROW()-1,60),ROW()-1,FALSE))</f>
        <v/>
      </c>
      <c r="BJ206" t="str">
        <f ca="1">IF(AND(ISNUMBER($BJ$876),$B$677=1),$BJ$876,HLOOKUP(INDIRECT(ADDRESS(2,COLUMN())),OFFSET($BN$2,0,0,ROW()-1,60),ROW()-1,FALSE))</f>
        <v/>
      </c>
      <c r="BK206" t="str">
        <f ca="1">IF(AND(ISNUMBER($BK$876),$B$677=1),$BK$876,HLOOKUP(INDIRECT(ADDRESS(2,COLUMN())),OFFSET($BN$2,0,0,ROW()-1,60),ROW()-1,FALSE))</f>
        <v/>
      </c>
      <c r="BL206" t="str">
        <f ca="1">IF(AND(ISNUMBER($BL$876),$B$677=1),$BL$876,HLOOKUP(INDIRECT(ADDRESS(2,COLUMN())),OFFSET($BN$2,0,0,ROW()-1,60),ROW()-1,FALSE))</f>
        <v/>
      </c>
      <c r="BM206" t="str">
        <f ca="1">IF(AND(ISNUMBER($BM$876),$B$677=1),$BM$876,HLOOKUP(INDIRECT(ADDRESS(2,COLUMN())),OFFSET($BN$2,0,0,ROW()-1,60),ROW()-1,FALSE))</f>
        <v/>
      </c>
      <c r="BN206">
        <f>1.002252949</f>
        <v>1.0022529490000001</v>
      </c>
      <c r="BO206">
        <f>0.955421487</f>
        <v>0.95542148699999996</v>
      </c>
      <c r="BP206">
        <f>1.043359788</f>
        <v>1.0433597880000001</v>
      </c>
      <c r="BQ206">
        <f>1.094634441</f>
        <v>1.094634441</v>
      </c>
      <c r="BR206">
        <f>1.060004824</f>
        <v>1.060004824</v>
      </c>
      <c r="BS206">
        <f>1.115678264</f>
        <v>1.115678264</v>
      </c>
      <c r="BT206">
        <f>1.078829405</f>
        <v>1.078829405</v>
      </c>
      <c r="BU206">
        <f>0.98074099</f>
        <v>0.98074099000000003</v>
      </c>
      <c r="BV206">
        <f>1.026175809</f>
        <v>1.0261758089999999</v>
      </c>
      <c r="BW206" t="str">
        <f>""</f>
        <v/>
      </c>
      <c r="BX206" t="str">
        <f>""</f>
        <v/>
      </c>
      <c r="BY206">
        <f>0.928519962</f>
        <v>0.92851996199999998</v>
      </c>
      <c r="BZ206">
        <f>1.079615318</f>
        <v>1.0796153180000001</v>
      </c>
      <c r="CA206" t="str">
        <f>""</f>
        <v/>
      </c>
      <c r="CB206" t="str">
        <f>""</f>
        <v/>
      </c>
      <c r="CC206">
        <f>1.527846126</f>
        <v>1.527846126</v>
      </c>
      <c r="CD206">
        <f>1.571332852</f>
        <v>1.5713328520000001</v>
      </c>
      <c r="CE206" t="str">
        <f>""</f>
        <v/>
      </c>
      <c r="CF206" t="str">
        <f>""</f>
        <v/>
      </c>
      <c r="CG206">
        <f>1.324939434</f>
        <v>1.324939434</v>
      </c>
      <c r="CH206">
        <f>1.276305745</f>
        <v>1.2763057449999999</v>
      </c>
      <c r="CI206" t="str">
        <f>""</f>
        <v/>
      </c>
      <c r="CJ206" t="str">
        <f>""</f>
        <v/>
      </c>
      <c r="CK206">
        <f>1.538341888</f>
        <v>1.5383418879999999</v>
      </c>
      <c r="CL206">
        <f>1.267176538</f>
        <v>1.267176538</v>
      </c>
      <c r="CM206" t="str">
        <f>""</f>
        <v/>
      </c>
      <c r="CN206" t="str">
        <f>""</f>
        <v/>
      </c>
      <c r="CO206">
        <f>0.93351047</f>
        <v>0.93351046999999998</v>
      </c>
      <c r="CP206">
        <f>1.071585973</f>
        <v>1.0715859729999999</v>
      </c>
      <c r="CQ206" t="str">
        <f>""</f>
        <v/>
      </c>
      <c r="CR206" t="str">
        <f>""</f>
        <v/>
      </c>
      <c r="CS206">
        <f>0.992389426</f>
        <v>0.99238942600000002</v>
      </c>
      <c r="CT206">
        <f>1.016668067</f>
        <v>1.0166680669999999</v>
      </c>
      <c r="CU206" t="str">
        <f>""</f>
        <v/>
      </c>
      <c r="CV206" t="str">
        <f>""</f>
        <v/>
      </c>
      <c r="CW206">
        <f>0.932347766</f>
        <v>0.93234776600000002</v>
      </c>
      <c r="CX206">
        <f>1.133650125</f>
        <v>1.133650125</v>
      </c>
      <c r="CY206" t="str">
        <f>""</f>
        <v/>
      </c>
      <c r="CZ206" t="str">
        <f>""</f>
        <v/>
      </c>
      <c r="DA206">
        <f>1.112699375</f>
        <v>1.112699375</v>
      </c>
      <c r="DB206">
        <f>0.972443151</f>
        <v>0.97244315100000001</v>
      </c>
      <c r="DC206" t="str">
        <f>""</f>
        <v/>
      </c>
      <c r="DD206" t="str">
        <f>""</f>
        <v/>
      </c>
      <c r="DE206" t="str">
        <f>""</f>
        <v/>
      </c>
      <c r="DF206" t="str">
        <f>""</f>
        <v/>
      </c>
      <c r="DG206" t="str">
        <f>""</f>
        <v/>
      </c>
      <c r="DH206" t="str">
        <f>""</f>
        <v/>
      </c>
      <c r="DI206" t="str">
        <f>""</f>
        <v/>
      </c>
      <c r="DJ206" t="str">
        <f>""</f>
        <v/>
      </c>
      <c r="DK206">
        <f>2.316725711</f>
        <v>2.3167257110000001</v>
      </c>
      <c r="DL206">
        <f>1.877951902</f>
        <v>1.877951902</v>
      </c>
      <c r="DM206" t="str">
        <f>""</f>
        <v/>
      </c>
      <c r="DN206" t="str">
        <f>""</f>
        <v/>
      </c>
      <c r="DO206" t="str">
        <f>""</f>
        <v/>
      </c>
      <c r="DP206" t="str">
        <f>""</f>
        <v/>
      </c>
      <c r="DQ206" t="str">
        <f>""</f>
        <v/>
      </c>
      <c r="DR206" t="str">
        <f>""</f>
        <v/>
      </c>
      <c r="DS206" t="str">
        <f>""</f>
        <v/>
      </c>
      <c r="DT206" t="str">
        <f>""</f>
        <v/>
      </c>
      <c r="DU206" t="str">
        <f>""</f>
        <v/>
      </c>
    </row>
    <row r="207" spans="1:125" x14ac:dyDescent="0.25">
      <c r="A207" t="str">
        <f>"    Volkswagen AG"</f>
        <v xml:space="preserve">    Volkswagen AG</v>
      </c>
      <c r="B207" t="str">
        <f>"VOW GR Equity"</f>
        <v>VOW GR Equity</v>
      </c>
      <c r="C207" t="str">
        <f t="shared" si="12"/>
        <v>RX077</v>
      </c>
      <c r="D207" t="str">
        <f t="shared" si="13"/>
        <v>PX_TO_TANG_BOOK_VAL_PER_SH</v>
      </c>
      <c r="E207" t="str">
        <f t="shared" si="14"/>
        <v>Dynamic</v>
      </c>
      <c r="F207" t="str">
        <f ca="1">IF(AND(ISNUMBER($F$877),$B$677=1),$F$877,HLOOKUP(INDIRECT(ADDRESS(2,COLUMN())),OFFSET($BN$2,0,0,ROW()-1,60),ROW()-1,FALSE))</f>
        <v/>
      </c>
      <c r="G207">
        <f ca="1">IF(AND(ISNUMBER($G$877),$B$677=1),$G$877,HLOOKUP(INDIRECT(ADDRESS(2,COLUMN())),OFFSET($BN$2,0,0,ROW()-1,60),ROW()-1,FALSE))</f>
        <v>1.802123412</v>
      </c>
      <c r="H207">
        <f ca="1">IF(AND(ISNUMBER($H$877),$B$677=1),$H$877,HLOOKUP(INDIRECT(ADDRESS(2,COLUMN())),OFFSET($BN$2,0,0,ROW()-1,60),ROW()-1,FALSE))</f>
        <v>1.9624874210000001</v>
      </c>
      <c r="I207">
        <f ca="1">IF(AND(ISNUMBER($I$877),$B$677=1),$I$877,HLOOKUP(INDIRECT(ADDRESS(2,COLUMN())),OFFSET($BN$2,0,0,ROW()-1,60),ROW()-1,FALSE))</f>
        <v>1.956456303</v>
      </c>
      <c r="J207">
        <f ca="1">IF(AND(ISNUMBER($J$877),$B$677=1),$J$877,HLOOKUP(INDIRECT(ADDRESS(2,COLUMN())),OFFSET($BN$2,0,0,ROW()-1,60),ROW()-1,FALSE))</f>
        <v>2.2647751710000001</v>
      </c>
      <c r="K207">
        <f ca="1">IF(AND(ISNUMBER($K$877),$B$677=1),$K$877,HLOOKUP(INDIRECT(ADDRESS(2,COLUMN())),OFFSET($BN$2,0,0,ROW()-1,60),ROW()-1,FALSE))</f>
        <v>2.4626106069999998</v>
      </c>
      <c r="L207">
        <f ca="1">IF(AND(ISNUMBER($L$877),$B$677=1),$L$877,HLOOKUP(INDIRECT(ADDRESS(2,COLUMN())),OFFSET($BN$2,0,0,ROW()-1,60),ROW()-1,FALSE))</f>
        <v>2.3096808430000002</v>
      </c>
      <c r="M207">
        <f ca="1">IF(AND(ISNUMBER($M$877),$B$677=1),$M$877,HLOOKUP(INDIRECT(ADDRESS(2,COLUMN())),OFFSET($BN$2,0,0,ROW()-1,60),ROW()-1,FALSE))</f>
        <v>2.2745297409999998</v>
      </c>
      <c r="N207">
        <f ca="1">IF(AND(ISNUMBER($N$877),$B$677=1),$N$877,HLOOKUP(INDIRECT(ADDRESS(2,COLUMN())),OFFSET($BN$2,0,0,ROW()-1,60),ROW()-1,FALSE))</f>
        <v>2.038405129</v>
      </c>
      <c r="O207">
        <f ca="1">IF(AND(ISNUMBER($O$877),$B$677=1),$O$877,HLOOKUP(INDIRECT(ADDRESS(2,COLUMN())),OFFSET($BN$2,0,0,ROW()-1,60),ROW()-1,FALSE))</f>
        <v>3.043648326</v>
      </c>
      <c r="P207">
        <f ca="1">IF(AND(ISNUMBER($P$877),$B$677=1),$P$877,HLOOKUP(INDIRECT(ADDRESS(2,COLUMN())),OFFSET($BN$2,0,0,ROW()-1,60),ROW()-1,FALSE))</f>
        <v>3.0624384029999998</v>
      </c>
      <c r="Q207">
        <f ca="1">IF(AND(ISNUMBER($Q$877),$B$677=1),$Q$877,HLOOKUP(INDIRECT(ADDRESS(2,COLUMN())),OFFSET($BN$2,0,0,ROW()-1,60),ROW()-1,FALSE))</f>
        <v>3.1105125170000001</v>
      </c>
      <c r="R207">
        <f ca="1">IF(AND(ISNUMBER($R$877),$B$677=1),$R$877,HLOOKUP(INDIRECT(ADDRESS(2,COLUMN())),OFFSET($BN$2,0,0,ROW()-1,60),ROW()-1,FALSE))</f>
        <v>3.1061928490000001</v>
      </c>
      <c r="S207">
        <f ca="1">IF(AND(ISNUMBER($S$877),$B$677=1),$S$877,HLOOKUP(INDIRECT(ADDRESS(2,COLUMN())),OFFSET($BN$2,0,0,ROW()-1,60),ROW()-1,FALSE))</f>
        <v>3.6859545549999999</v>
      </c>
      <c r="T207">
        <f ca="1">IF(AND(ISNUMBER($T$877),$B$677=1),$T$877,HLOOKUP(INDIRECT(ADDRESS(2,COLUMN())),OFFSET($BN$2,0,0,ROW()-1,60),ROW()-1,FALSE))</f>
        <v>1.97206507</v>
      </c>
      <c r="U207">
        <f ca="1">IF(AND(ISNUMBER($U$877),$B$677=1),$U$877,HLOOKUP(INDIRECT(ADDRESS(2,COLUMN())),OFFSET($BN$2,0,0,ROW()-1,60),ROW()-1,FALSE))</f>
        <v>3.5181352869999998</v>
      </c>
      <c r="V207">
        <f ca="1">IF(AND(ISNUMBER($V$877),$B$677=1),$V$877,HLOOKUP(INDIRECT(ADDRESS(2,COLUMN())),OFFSET($BN$2,0,0,ROW()-1,60),ROW()-1,FALSE))</f>
        <v>5.3353802159999999</v>
      </c>
      <c r="W207">
        <f ca="1">IF(AND(ISNUMBER($W$877),$B$677=1),$W$877,HLOOKUP(INDIRECT(ADDRESS(2,COLUMN())),OFFSET($BN$2,0,0,ROW()-1,60),ROW()-1,FALSE))</f>
        <v>3.4251110570000001</v>
      </c>
      <c r="X207">
        <f ca="1">IF(AND(ISNUMBER($X$877),$B$677=1),$X$877,HLOOKUP(INDIRECT(ADDRESS(2,COLUMN())),OFFSET($BN$2,0,0,ROW()-1,60),ROW()-1,FALSE))</f>
        <v>2.999905584</v>
      </c>
      <c r="Y207">
        <f ca="1">IF(AND(ISNUMBER($Y$877),$B$677=1),$Y$877,HLOOKUP(INDIRECT(ADDRESS(2,COLUMN())),OFFSET($BN$2,0,0,ROW()-1,60),ROW()-1,FALSE))</f>
        <v>3.621166455</v>
      </c>
      <c r="Z207">
        <f ca="1">IF(AND(ISNUMBER($Z$877),$B$677=1),$Z$877,HLOOKUP(INDIRECT(ADDRESS(2,COLUMN())),OFFSET($BN$2,0,0,ROW()-1,60),ROW()-1,FALSE))</f>
        <v>4.1733698710000002</v>
      </c>
      <c r="AA207">
        <f ca="1">IF(AND(ISNUMBER($AA$877),$B$677=1),$AA$877,HLOOKUP(INDIRECT(ADDRESS(2,COLUMN())),OFFSET($BN$2,0,0,ROW()-1,60),ROW()-1,FALSE))</f>
        <v>3.4586333229999999</v>
      </c>
      <c r="AB207">
        <f ca="1">IF(AND(ISNUMBER($AB$877),$B$677=1),$AB$877,HLOOKUP(INDIRECT(ADDRESS(2,COLUMN())),OFFSET($BN$2,0,0,ROW()-1,60),ROW()-1,FALSE))</f>
        <v>3.1539041729999999</v>
      </c>
      <c r="AC207">
        <f ca="1">IF(AND(ISNUMBER($AC$877),$B$677=1),$AC$877,HLOOKUP(INDIRECT(ADDRESS(2,COLUMN())),OFFSET($BN$2,0,0,ROW()-1,60),ROW()-1,FALSE))</f>
        <v>3.087170188</v>
      </c>
      <c r="AD207">
        <f ca="1">IF(AND(ISNUMBER($AD$877),$B$677=1),$AD$877,HLOOKUP(INDIRECT(ADDRESS(2,COLUMN())),OFFSET($BN$2,0,0,ROW()-1,60),ROW()-1,FALSE))</f>
        <v>3.2632323649999999</v>
      </c>
      <c r="AE207">
        <f ca="1">IF(AND(ISNUMBER($AE$877),$B$677=1),$AE$877,HLOOKUP(INDIRECT(ADDRESS(2,COLUMN())),OFFSET($BN$2,0,0,ROW()-1,60),ROW()-1,FALSE))</f>
        <v>4.0771455899999998</v>
      </c>
      <c r="AF207">
        <f ca="1">IF(AND(ISNUMBER($AF$877),$B$677=1),$AF$877,HLOOKUP(INDIRECT(ADDRESS(2,COLUMN())),OFFSET($BN$2,0,0,ROW()-1,60),ROW()-1,FALSE))</f>
        <v>4.0405038949999996</v>
      </c>
      <c r="AG207">
        <f ca="1">IF(AND(ISNUMBER($AG$877),$B$677=1),$AG$877,HLOOKUP(INDIRECT(ADDRESS(2,COLUMN())),OFFSET($BN$2,0,0,ROW()-1,60),ROW()-1,FALSE))</f>
        <v>1.364808907</v>
      </c>
      <c r="AH207">
        <f ca="1">IF(AND(ISNUMBER($AH$877),$B$677=1),$AH$877,HLOOKUP(INDIRECT(ADDRESS(2,COLUMN())),OFFSET($BN$2,0,0,ROW()-1,60),ROW()-1,FALSE))</f>
        <v>1.4564305040000001</v>
      </c>
      <c r="AI207">
        <f ca="1">IF(AND(ISNUMBER($AI$877),$B$677=1),$AI$877,HLOOKUP(INDIRECT(ADDRESS(2,COLUMN())),OFFSET($BN$2,0,0,ROW()-1,60),ROW()-1,FALSE))</f>
        <v>1.3636116970000001</v>
      </c>
      <c r="AJ207">
        <f ca="1">IF(AND(ISNUMBER($AJ$877),$B$677=1),$AJ$877,HLOOKUP(INDIRECT(ADDRESS(2,COLUMN())),OFFSET($BN$2,0,0,ROW()-1,60),ROW()-1,FALSE))</f>
        <v>0.99794443200000005</v>
      </c>
      <c r="AK207">
        <f ca="1">IF(AND(ISNUMBER($AK$877),$B$677=1),$AK$877,HLOOKUP(INDIRECT(ADDRESS(2,COLUMN())),OFFSET($BN$2,0,0,ROW()-1,60),ROW()-1,FALSE))</f>
        <v>1.5129486270000001</v>
      </c>
      <c r="AL207">
        <f ca="1">IF(AND(ISNUMBER($AL$877),$B$677=1),$AL$877,HLOOKUP(INDIRECT(ADDRESS(2,COLUMN())),OFFSET($BN$2,0,0,ROW()-1,60),ROW()-1,FALSE))</f>
        <v>1.435050291</v>
      </c>
      <c r="AM207">
        <f ca="1">IF(AND(ISNUMBER($AM$877),$B$677=1),$AM$877,HLOOKUP(INDIRECT(ADDRESS(2,COLUMN())),OFFSET($BN$2,0,0,ROW()-1,60),ROW()-1,FALSE))</f>
        <v>1.4985534380000001</v>
      </c>
      <c r="AN207">
        <f ca="1">IF(AND(ISNUMBER($AN$877),$B$677=1),$AN$877,HLOOKUP(INDIRECT(ADDRESS(2,COLUMN())),OFFSET($BN$2,0,0,ROW()-1,60),ROW()-1,FALSE))</f>
        <v>1.287896221</v>
      </c>
      <c r="AO207">
        <f ca="1">IF(AND(ISNUMBER($AO$877),$B$677=1),$AO$877,HLOOKUP(INDIRECT(ADDRESS(2,COLUMN())),OFFSET($BN$2,0,0,ROW()-1,60),ROW()-1,FALSE))</f>
        <v>1.262268961</v>
      </c>
      <c r="AP207">
        <f ca="1">IF(AND(ISNUMBER($AP$877),$B$677=1),$AP$877,HLOOKUP(INDIRECT(ADDRESS(2,COLUMN())),OFFSET($BN$2,0,0,ROW()-1,60),ROW()-1,FALSE))</f>
        <v>1.2589650560000001</v>
      </c>
      <c r="AQ207">
        <f ca="1">IF(AND(ISNUMBER($AQ$877),$B$677=1),$AQ$877,HLOOKUP(INDIRECT(ADDRESS(2,COLUMN())),OFFSET($BN$2,0,0,ROW()-1,60),ROW()-1,FALSE))</f>
        <v>1.37743645</v>
      </c>
      <c r="AR207">
        <f ca="1">IF(AND(ISNUMBER($AR$877),$B$677=1),$AR$877,HLOOKUP(INDIRECT(ADDRESS(2,COLUMN())),OFFSET($BN$2,0,0,ROW()-1,60),ROW()-1,FALSE))</f>
        <v>2.0118019839999999</v>
      </c>
      <c r="AS207">
        <f ca="1">IF(AND(ISNUMBER($AS$877),$B$677=1),$AS$877,HLOOKUP(INDIRECT(ADDRESS(2,COLUMN())),OFFSET($BN$2,0,0,ROW()-1,60),ROW()-1,FALSE))</f>
        <v>4.395810665</v>
      </c>
      <c r="AT207">
        <f ca="1">IF(AND(ISNUMBER($AT$877),$B$677=1),$AT$877,HLOOKUP(INDIRECT(ADDRESS(2,COLUMN())),OFFSET($BN$2,0,0,ROW()-1,60),ROW()-1,FALSE))</f>
        <v>4.0732861729999996</v>
      </c>
      <c r="AU207">
        <f ca="1">IF(AND(ISNUMBER($AU$877),$B$677=1),$AU$877,HLOOKUP(INDIRECT(ADDRESS(2,COLUMN())),OFFSET($BN$2,0,0,ROW()-1,60),ROW()-1,FALSE))</f>
        <v>4.4031523659999996</v>
      </c>
      <c r="AV207">
        <f ca="1">IF(AND(ISNUMBER($AV$877),$B$677=1),$AV$877,HLOOKUP(INDIRECT(ADDRESS(2,COLUMN())),OFFSET($BN$2,0,0,ROW()-1,60),ROW()-1,FALSE))</f>
        <v>4.9086549499999999</v>
      </c>
      <c r="AW207">
        <f ca="1">IF(AND(ISNUMBER($AW$877),$B$677=1),$AW$877,HLOOKUP(INDIRECT(ADDRESS(2,COLUMN())),OFFSET($BN$2,0,0,ROW()-1,60),ROW()-1,FALSE))</f>
        <v>2.5801516379999998</v>
      </c>
      <c r="AX207">
        <f ca="1">IF(AND(ISNUMBER($AX$877),$B$677=1),$AX$877,HLOOKUP(INDIRECT(ADDRESS(2,COLUMN())),OFFSET($BN$2,0,0,ROW()-1,60),ROW()-1,FALSE))</f>
        <v>2.7161872969999998</v>
      </c>
      <c r="AY207">
        <f ca="1">IF(AND(ISNUMBER($AY$877),$B$677=1),$AY$877,HLOOKUP(INDIRECT(ADDRESS(2,COLUMN())),OFFSET($BN$2,0,0,ROW()-1,60),ROW()-1,FALSE))</f>
        <v>2.4725602580000001</v>
      </c>
      <c r="AZ207">
        <f ca="1">IF(AND(ISNUMBER($AZ$877),$B$677=1),$AZ$877,HLOOKUP(INDIRECT(ADDRESS(2,COLUMN())),OFFSET($BN$2,0,0,ROW()-1,60),ROW()-1,FALSE))</f>
        <v>2.7176132079999999</v>
      </c>
      <c r="BA207">
        <f ca="1">IF(AND(ISNUMBER($BA$877),$B$677=1),$BA$877,HLOOKUP(INDIRECT(ADDRESS(2,COLUMN())),OFFSET($BN$2,0,0,ROW()-1,60),ROW()-1,FALSE))</f>
        <v>2.121472759</v>
      </c>
      <c r="BB207">
        <f ca="1">IF(AND(ISNUMBER($BB$877),$B$677=1),$BB$877,HLOOKUP(INDIRECT(ADDRESS(2,COLUMN())),OFFSET($BN$2,0,0,ROW()-1,60),ROW()-1,FALSE))</f>
        <v>2.1535615890000002</v>
      </c>
      <c r="BC207">
        <f ca="1">IF(AND(ISNUMBER($BC$877),$B$677=1),$BC$877,HLOOKUP(INDIRECT(ADDRESS(2,COLUMN())),OFFSET($BN$2,0,0,ROW()-1,60),ROW()-1,FALSE))</f>
        <v>1.7126595870000001</v>
      </c>
      <c r="BD207">
        <f ca="1">IF(AND(ISNUMBER($BD$877),$B$677=1),$BD$877,HLOOKUP(INDIRECT(ADDRESS(2,COLUMN())),OFFSET($BN$2,0,0,ROW()-1,60),ROW()-1,FALSE))</f>
        <v>1.4873149889999999</v>
      </c>
      <c r="BE207">
        <f ca="1">IF(AND(ISNUMBER($BE$877),$B$677=1),$BE$877,HLOOKUP(INDIRECT(ADDRESS(2,COLUMN())),OFFSET($BN$2,0,0,ROW()-1,60),ROW()-1,FALSE))</f>
        <v>1.2106343500000001</v>
      </c>
      <c r="BF207">
        <f ca="1">IF(AND(ISNUMBER($BF$877),$B$677=1),$BF$877,HLOOKUP(INDIRECT(ADDRESS(2,COLUMN())),OFFSET($BN$2,0,0,ROW()-1,60),ROW()-1,FALSE))</f>
        <v>1.4345404159999999</v>
      </c>
      <c r="BG207">
        <f ca="1">IF(AND(ISNUMBER($BG$877),$B$677=1),$BG$877,HLOOKUP(INDIRECT(ADDRESS(2,COLUMN())),OFFSET($BN$2,0,0,ROW()-1,60),ROW()-1,FALSE))</f>
        <v>1.0792661130000001</v>
      </c>
      <c r="BH207">
        <f ca="1">IF(AND(ISNUMBER($BH$877),$B$677=1),$BH$877,HLOOKUP(INDIRECT(ADDRESS(2,COLUMN())),OFFSET($BN$2,0,0,ROW()-1,60),ROW()-1,FALSE))</f>
        <v>1.141953177</v>
      </c>
      <c r="BI207">
        <f ca="1">IF(AND(ISNUMBER($BI$877),$B$677=1),$BI$877,HLOOKUP(INDIRECT(ADDRESS(2,COLUMN())),OFFSET($BN$2,0,0,ROW()-1,60),ROW()-1,FALSE))</f>
        <v>0.86846253500000004</v>
      </c>
      <c r="BJ207">
        <f ca="1">IF(AND(ISNUMBER($BJ$877),$B$677=1),$BJ$877,HLOOKUP(INDIRECT(ADDRESS(2,COLUMN())),OFFSET($BN$2,0,0,ROW()-1,60),ROW()-1,FALSE))</f>
        <v>0.85221139300000004</v>
      </c>
      <c r="BK207">
        <f ca="1">IF(AND(ISNUMBER($BK$877),$B$677=1),$BK$877,HLOOKUP(INDIRECT(ADDRESS(2,COLUMN())),OFFSET($BN$2,0,0,ROW()-1,60),ROW()-1,FALSE))</f>
        <v>0.84522092699999996</v>
      </c>
      <c r="BL207">
        <f ca="1">IF(AND(ISNUMBER($BL$877),$B$677=1),$BL$877,HLOOKUP(INDIRECT(ADDRESS(2,COLUMN())),OFFSET($BN$2,0,0,ROW()-1,60),ROW()-1,FALSE))</f>
        <v>0.81800787699999999</v>
      </c>
      <c r="BM207">
        <f ca="1">IF(AND(ISNUMBER($BM$877),$B$677=1),$BM$877,HLOOKUP(INDIRECT(ADDRESS(2,COLUMN())),OFFSET($BN$2,0,0,ROW()-1,60),ROW()-1,FALSE))</f>
        <v>0.91068349100000001</v>
      </c>
      <c r="BN207" t="str">
        <f>""</f>
        <v/>
      </c>
      <c r="BO207">
        <f>1.802123412</f>
        <v>1.802123412</v>
      </c>
      <c r="BP207">
        <f>1.962487421</f>
        <v>1.9624874210000001</v>
      </c>
      <c r="BQ207">
        <f>1.956456303</f>
        <v>1.956456303</v>
      </c>
      <c r="BR207">
        <f>2.264775171</f>
        <v>2.2647751710000001</v>
      </c>
      <c r="BS207">
        <f>2.462610607</f>
        <v>2.4626106069999998</v>
      </c>
      <c r="BT207">
        <f>2.309680843</f>
        <v>2.3096808430000002</v>
      </c>
      <c r="BU207">
        <f>2.274529741</f>
        <v>2.2745297409999998</v>
      </c>
      <c r="BV207">
        <f>2.038405129</f>
        <v>2.038405129</v>
      </c>
      <c r="BW207">
        <f>3.043648326</f>
        <v>3.043648326</v>
      </c>
      <c r="BX207">
        <f>3.062438403</f>
        <v>3.0624384029999998</v>
      </c>
      <c r="BY207">
        <f>3.110512517</f>
        <v>3.1105125170000001</v>
      </c>
      <c r="BZ207">
        <f>3.106192849</f>
        <v>3.1061928490000001</v>
      </c>
      <c r="CA207">
        <f>3.685954555</f>
        <v>3.6859545549999999</v>
      </c>
      <c r="CB207">
        <f>1.97206507</f>
        <v>1.97206507</v>
      </c>
      <c r="CC207">
        <f>3.518135287</f>
        <v>3.5181352869999998</v>
      </c>
      <c r="CD207">
        <f>5.335380216</f>
        <v>5.3353802159999999</v>
      </c>
      <c r="CE207">
        <f>3.425111057</f>
        <v>3.4251110570000001</v>
      </c>
      <c r="CF207">
        <f>2.999905584</f>
        <v>2.999905584</v>
      </c>
      <c r="CG207">
        <f>3.621166455</f>
        <v>3.621166455</v>
      </c>
      <c r="CH207">
        <f>4.173369871</f>
        <v>4.1733698710000002</v>
      </c>
      <c r="CI207">
        <f>3.458633323</f>
        <v>3.4586333229999999</v>
      </c>
      <c r="CJ207">
        <f>3.153904173</f>
        <v>3.1539041729999999</v>
      </c>
      <c r="CK207">
        <f>3.087170188</f>
        <v>3.087170188</v>
      </c>
      <c r="CL207">
        <f>3.263232365</f>
        <v>3.2632323649999999</v>
      </c>
      <c r="CM207">
        <f>4.07714559</f>
        <v>4.0771455899999998</v>
      </c>
      <c r="CN207">
        <f>4.040503895</f>
        <v>4.0405038949999996</v>
      </c>
      <c r="CO207">
        <f>1.364808907</f>
        <v>1.364808907</v>
      </c>
      <c r="CP207">
        <f>1.456430504</f>
        <v>1.4564305040000001</v>
      </c>
      <c r="CQ207">
        <f>1.363611697</f>
        <v>1.3636116970000001</v>
      </c>
      <c r="CR207">
        <f>0.997944432</f>
        <v>0.99794443200000005</v>
      </c>
      <c r="CS207">
        <f>1.512948627</f>
        <v>1.5129486270000001</v>
      </c>
      <c r="CT207">
        <f>1.435050291</f>
        <v>1.435050291</v>
      </c>
      <c r="CU207">
        <f>1.498553438</f>
        <v>1.4985534380000001</v>
      </c>
      <c r="CV207">
        <f>1.287896221</f>
        <v>1.287896221</v>
      </c>
      <c r="CW207">
        <f>1.262268961</f>
        <v>1.262268961</v>
      </c>
      <c r="CX207">
        <f>1.258965056</f>
        <v>1.2589650560000001</v>
      </c>
      <c r="CY207">
        <f>1.37743645</f>
        <v>1.37743645</v>
      </c>
      <c r="CZ207">
        <f>2.011801984</f>
        <v>2.0118019839999999</v>
      </c>
      <c r="DA207">
        <f>4.395810665</f>
        <v>4.395810665</v>
      </c>
      <c r="DB207">
        <f>4.073286173</f>
        <v>4.0732861729999996</v>
      </c>
      <c r="DC207">
        <f>4.403152366</f>
        <v>4.4031523659999996</v>
      </c>
      <c r="DD207">
        <f>4.90865495</f>
        <v>4.9086549499999999</v>
      </c>
      <c r="DE207">
        <f>2.580151638</f>
        <v>2.5801516379999998</v>
      </c>
      <c r="DF207">
        <f>2.716187297</f>
        <v>2.7161872969999998</v>
      </c>
      <c r="DG207">
        <f>2.472560258</f>
        <v>2.4725602580000001</v>
      </c>
      <c r="DH207">
        <f>2.717613208</f>
        <v>2.7176132079999999</v>
      </c>
      <c r="DI207">
        <f>2.121472759</f>
        <v>2.121472759</v>
      </c>
      <c r="DJ207">
        <f>2.153561589</f>
        <v>2.1535615890000002</v>
      </c>
      <c r="DK207">
        <f>1.712659587</f>
        <v>1.7126595870000001</v>
      </c>
      <c r="DL207">
        <f>1.487314989</f>
        <v>1.4873149889999999</v>
      </c>
      <c r="DM207">
        <f>1.21063435</f>
        <v>1.2106343500000001</v>
      </c>
      <c r="DN207">
        <f>1.434540416</f>
        <v>1.4345404159999999</v>
      </c>
      <c r="DO207">
        <f>1.079266113</f>
        <v>1.0792661130000001</v>
      </c>
      <c r="DP207">
        <f>1.141953177</f>
        <v>1.141953177</v>
      </c>
      <c r="DQ207">
        <f>0.868462535</f>
        <v>0.86846253500000004</v>
      </c>
      <c r="DR207">
        <f>0.852211393</f>
        <v>0.85221139300000004</v>
      </c>
      <c r="DS207">
        <f>0.845220927</f>
        <v>0.84522092699999996</v>
      </c>
      <c r="DT207">
        <f>0.818007877</f>
        <v>0.81800787699999999</v>
      </c>
      <c r="DU207">
        <f>0.910683491</f>
        <v>0.91068349100000001</v>
      </c>
    </row>
    <row r="208" spans="1:125" x14ac:dyDescent="0.25">
      <c r="A208" t="str">
        <f>"    Yulon Motor Co Ltd"</f>
        <v xml:space="preserve">    Yulon Motor Co Ltd</v>
      </c>
      <c r="B208" t="str">
        <f>"2201 TT Equity"</f>
        <v>2201 TT Equity</v>
      </c>
      <c r="C208" t="str">
        <f t="shared" si="12"/>
        <v>RX077</v>
      </c>
      <c r="D208" t="str">
        <f t="shared" si="13"/>
        <v>PX_TO_TANG_BOOK_VAL_PER_SH</v>
      </c>
      <c r="E208" t="str">
        <f t="shared" si="14"/>
        <v>Dynamic</v>
      </c>
      <c r="F208">
        <f ca="1">IF(AND(ISNUMBER($F$878),$B$677=1),$F$878,HLOOKUP(INDIRECT(ADDRESS(2,COLUMN())),OFFSET($BN$2,0,0,ROW()-1,60),ROW()-1,FALSE))</f>
        <v>0.45477208699999999</v>
      </c>
      <c r="G208">
        <f ca="1">IF(AND(ISNUMBER($G$878),$B$677=1),$G$878,HLOOKUP(INDIRECT(ADDRESS(2,COLUMN())),OFFSET($BN$2,0,0,ROW()-1,60),ROW()-1,FALSE))</f>
        <v>0.43677319199999998</v>
      </c>
      <c r="H208">
        <f ca="1">IF(AND(ISNUMBER($H$878),$B$677=1),$H$878,HLOOKUP(INDIRECT(ADDRESS(2,COLUMN())),OFFSET($BN$2,0,0,ROW()-1,60),ROW()-1,FALSE))</f>
        <v>0.52076803599999999</v>
      </c>
      <c r="I208">
        <f ca="1">IF(AND(ISNUMBER($I$878),$B$677=1),$I$878,HLOOKUP(INDIRECT(ADDRESS(2,COLUMN())),OFFSET($BN$2,0,0,ROW()-1,60),ROW()-1,FALSE))</f>
        <v>0.50392937000000004</v>
      </c>
      <c r="J208">
        <f ca="1">IF(AND(ISNUMBER($J$878),$B$677=1),$J$878,HLOOKUP(INDIRECT(ADDRESS(2,COLUMN())),OFFSET($BN$2,0,0,ROW()-1,60),ROW()-1,FALSE))</f>
        <v>0.53405840400000004</v>
      </c>
      <c r="K208">
        <f ca="1">IF(AND(ISNUMBER($K$878),$B$677=1),$K$878,HLOOKUP(INDIRECT(ADDRESS(2,COLUMN())),OFFSET($BN$2,0,0,ROW()-1,60),ROW()-1,FALSE))</f>
        <v>0.59322307900000004</v>
      </c>
      <c r="L208">
        <f ca="1">IF(AND(ISNUMBER($L$878),$B$677=1),$L$878,HLOOKUP(INDIRECT(ADDRESS(2,COLUMN())),OFFSET($BN$2,0,0,ROW()-1,60),ROW()-1,FALSE))</f>
        <v>0.62223524200000002</v>
      </c>
      <c r="M208">
        <f ca="1">IF(AND(ISNUMBER($M$878),$B$677=1),$M$878,HLOOKUP(INDIRECT(ADDRESS(2,COLUMN())),OFFSET($BN$2,0,0,ROW()-1,60),ROW()-1,FALSE))</f>
        <v>0.66720781100000004</v>
      </c>
      <c r="N208">
        <f ca="1">IF(AND(ISNUMBER($N$878),$B$677=1),$N$878,HLOOKUP(INDIRECT(ADDRESS(2,COLUMN())),OFFSET($BN$2,0,0,ROW()-1,60),ROW()-1,FALSE))</f>
        <v>0.690931199</v>
      </c>
      <c r="O208">
        <f ca="1">IF(AND(ISNUMBER($O$878),$B$677=1),$O$878,HLOOKUP(INDIRECT(ADDRESS(2,COLUMN())),OFFSET($BN$2,0,0,ROW()-1,60),ROW()-1,FALSE))</f>
        <v>0.65798478199999999</v>
      </c>
      <c r="P208">
        <f ca="1">IF(AND(ISNUMBER($P$878),$B$677=1),$P$878,HLOOKUP(INDIRECT(ADDRESS(2,COLUMN())),OFFSET($BN$2,0,0,ROW()-1,60),ROW()-1,FALSE))</f>
        <v>0.66539014600000002</v>
      </c>
      <c r="Q208">
        <f ca="1">IF(AND(ISNUMBER($Q$878),$B$677=1),$Q$878,HLOOKUP(INDIRECT(ADDRESS(2,COLUMN())),OFFSET($BN$2,0,0,ROW()-1,60),ROW()-1,FALSE))</f>
        <v>0.66053726999999995</v>
      </c>
      <c r="R208">
        <f ca="1">IF(AND(ISNUMBER($R$878),$B$677=1),$R$878,HLOOKUP(INDIRECT(ADDRESS(2,COLUMN())),OFFSET($BN$2,0,0,ROW()-1,60),ROW()-1,FALSE))</f>
        <v>0.74397632499999999</v>
      </c>
      <c r="S208">
        <f ca="1">IF(AND(ISNUMBER($S$878),$B$677=1),$S$878,HLOOKUP(INDIRECT(ADDRESS(2,COLUMN())),OFFSET($BN$2,0,0,ROW()-1,60),ROW()-1,FALSE))</f>
        <v>0.725603989</v>
      </c>
      <c r="T208">
        <f ca="1">IF(AND(ISNUMBER($T$878),$B$677=1),$T$878,HLOOKUP(INDIRECT(ADDRESS(2,COLUMN())),OFFSET($BN$2,0,0,ROW()-1,60),ROW()-1,FALSE))</f>
        <v>0.72055016000000005</v>
      </c>
      <c r="U208">
        <f ca="1">IF(AND(ISNUMBER($U$878),$B$677=1),$U$878,HLOOKUP(INDIRECT(ADDRESS(2,COLUMN())),OFFSET($BN$2,0,0,ROW()-1,60),ROW()-1,FALSE))</f>
        <v>0.88073693500000005</v>
      </c>
      <c r="V208">
        <f ca="1">IF(AND(ISNUMBER($V$878),$B$677=1),$V$878,HLOOKUP(INDIRECT(ADDRESS(2,COLUMN())),OFFSET($BN$2,0,0,ROW()-1,60),ROW()-1,FALSE))</f>
        <v>1.044746079</v>
      </c>
      <c r="W208">
        <f ca="1">IF(AND(ISNUMBER($W$878),$B$677=1),$W$878,HLOOKUP(INDIRECT(ADDRESS(2,COLUMN())),OFFSET($BN$2,0,0,ROW()-1,60),ROW()-1,FALSE))</f>
        <v>1.1594759539999999</v>
      </c>
      <c r="X208">
        <f ca="1">IF(AND(ISNUMBER($X$878),$B$677=1),$X$878,HLOOKUP(INDIRECT(ADDRESS(2,COLUMN())),OFFSET($BN$2,0,0,ROW()-1,60),ROW()-1,FALSE))</f>
        <v>1.0736683730000001</v>
      </c>
      <c r="Y208">
        <f ca="1">IF(AND(ISNUMBER($Y$878),$B$677=1),$Y$878,HLOOKUP(INDIRECT(ADDRESS(2,COLUMN())),OFFSET($BN$2,0,0,ROW()-1,60),ROW()-1,FALSE))</f>
        <v>1.1746832279999999</v>
      </c>
      <c r="Z208">
        <f ca="1">IF(AND(ISNUMBER($Z$878),$B$677=1),$Z$878,HLOOKUP(INDIRECT(ADDRESS(2,COLUMN())),OFFSET($BN$2,0,0,ROW()-1,60),ROW()-1,FALSE))</f>
        <v>1.1981593989999999</v>
      </c>
      <c r="AA208">
        <f ca="1">IF(AND(ISNUMBER($AA$878),$B$677=1),$AA$878,HLOOKUP(INDIRECT(ADDRESS(2,COLUMN())),OFFSET($BN$2,0,0,ROW()-1,60),ROW()-1,FALSE))</f>
        <v>1.31092681</v>
      </c>
      <c r="AB208">
        <f ca="1">IF(AND(ISNUMBER($AB$878),$B$677=1),$AB$878,HLOOKUP(INDIRECT(ADDRESS(2,COLUMN())),OFFSET($BN$2,0,0,ROW()-1,60),ROW()-1,FALSE))</f>
        <v>1.192050571</v>
      </c>
      <c r="AC208">
        <f ca="1">IF(AND(ISNUMBER($AC$878),$B$677=1),$AC$878,HLOOKUP(INDIRECT(ADDRESS(2,COLUMN())),OFFSET($BN$2,0,0,ROW()-1,60),ROW()-1,FALSE))</f>
        <v>1.165533956</v>
      </c>
      <c r="AD208">
        <f ca="1">IF(AND(ISNUMBER($AD$878),$B$677=1),$AD$878,HLOOKUP(INDIRECT(ADDRESS(2,COLUMN())),OFFSET($BN$2,0,0,ROW()-1,60),ROW()-1,FALSE))</f>
        <v>1.4332912980000001</v>
      </c>
      <c r="AE208">
        <f ca="1">IF(AND(ISNUMBER($AE$878),$B$677=1),$AE$878,HLOOKUP(INDIRECT(ADDRESS(2,COLUMN())),OFFSET($BN$2,0,0,ROW()-1,60),ROW()-1,FALSE))</f>
        <v>1.5198900719999999</v>
      </c>
      <c r="AF208">
        <f ca="1">IF(AND(ISNUMBER($AF$878),$B$677=1),$AF$878,HLOOKUP(INDIRECT(ADDRESS(2,COLUMN())),OFFSET($BN$2,0,0,ROW()-1,60),ROW()-1,FALSE))</f>
        <v>1.5563003900000001</v>
      </c>
      <c r="AG208">
        <f ca="1">IF(AND(ISNUMBER($AG$878),$B$677=1),$AG$878,HLOOKUP(INDIRECT(ADDRESS(2,COLUMN())),OFFSET($BN$2,0,0,ROW()-1,60),ROW()-1,FALSE))</f>
        <v>1.3991485539999999</v>
      </c>
      <c r="AH208">
        <f ca="1">IF(AND(ISNUMBER($AH$878),$B$677=1),$AH$878,HLOOKUP(INDIRECT(ADDRESS(2,COLUMN())),OFFSET($BN$2,0,0,ROW()-1,60),ROW()-1,FALSE))</f>
        <v>1.4820943579999999</v>
      </c>
      <c r="AI208">
        <f ca="1">IF(AND(ISNUMBER($AI$878),$B$677=1),$AI$878,HLOOKUP(INDIRECT(ADDRESS(2,COLUMN())),OFFSET($BN$2,0,0,ROW()-1,60),ROW()-1,FALSE))</f>
        <v>1.403803184</v>
      </c>
      <c r="AJ208">
        <f ca="1">IF(AND(ISNUMBER($AJ$878),$B$677=1),$AJ$878,HLOOKUP(INDIRECT(ADDRESS(2,COLUMN())),OFFSET($BN$2,0,0,ROW()-1,60),ROW()-1,FALSE))</f>
        <v>1.4807809439999999</v>
      </c>
      <c r="AK208">
        <f ca="1">IF(AND(ISNUMBER($AK$878),$B$677=1),$AK$878,HLOOKUP(INDIRECT(ADDRESS(2,COLUMN())),OFFSET($BN$2,0,0,ROW()-1,60),ROW()-1,FALSE))</f>
        <v>1.843366791</v>
      </c>
      <c r="AL208">
        <f ca="1">IF(AND(ISNUMBER($AL$878),$B$677=1),$AL$878,HLOOKUP(INDIRECT(ADDRESS(2,COLUMN())),OFFSET($BN$2,0,0,ROW()-1,60),ROW()-1,FALSE))</f>
        <v>1.4319156669999999</v>
      </c>
      <c r="AM208">
        <f ca="1">IF(AND(ISNUMBER($AM$878),$B$677=1),$AM$878,HLOOKUP(INDIRECT(ADDRESS(2,COLUMN())),OFFSET($BN$2,0,0,ROW()-1,60),ROW()-1,FALSE))</f>
        <v>1.6177738530000001</v>
      </c>
      <c r="AN208">
        <f ca="1">IF(AND(ISNUMBER($AN$878),$B$677=1),$AN$878,HLOOKUP(INDIRECT(ADDRESS(2,COLUMN())),OFFSET($BN$2,0,0,ROW()-1,60),ROW()-1,FALSE))</f>
        <v>1.4639338319999999</v>
      </c>
      <c r="AO208">
        <f ca="1">IF(AND(ISNUMBER($AO$878),$B$677=1),$AO$878,HLOOKUP(INDIRECT(ADDRESS(2,COLUMN())),OFFSET($BN$2,0,0,ROW()-1,60),ROW()-1,FALSE))</f>
        <v>0.836067334</v>
      </c>
      <c r="AP208">
        <f ca="1">IF(AND(ISNUMBER($AP$878),$B$677=1),$AP$878,HLOOKUP(INDIRECT(ADDRESS(2,COLUMN())),OFFSET($BN$2,0,0,ROW()-1,60),ROW()-1,FALSE))</f>
        <v>0.93167403199999999</v>
      </c>
      <c r="AQ208">
        <f ca="1">IF(AND(ISNUMBER($AQ$878),$B$677=1),$AQ$878,HLOOKUP(INDIRECT(ADDRESS(2,COLUMN())),OFFSET($BN$2,0,0,ROW()-1,60),ROW()-1,FALSE))</f>
        <v>1.018071924</v>
      </c>
      <c r="AR208">
        <f ca="1">IF(AND(ISNUMBER($AR$878),$B$677=1),$AR$878,HLOOKUP(INDIRECT(ADDRESS(2,COLUMN())),OFFSET($BN$2,0,0,ROW()-1,60),ROW()-1,FALSE))</f>
        <v>0.99255258400000002</v>
      </c>
      <c r="AS208">
        <f ca="1">IF(AND(ISNUMBER($AS$878),$B$677=1),$AS$878,HLOOKUP(INDIRECT(ADDRESS(2,COLUMN())),OFFSET($BN$2,0,0,ROW()-1,60),ROW()-1,FALSE))</f>
        <v>0.84854763200000005</v>
      </c>
      <c r="AT208">
        <f ca="1">IF(AND(ISNUMBER($AT$878),$B$677=1),$AT$878,HLOOKUP(INDIRECT(ADDRESS(2,COLUMN())),OFFSET($BN$2,0,0,ROW()-1,60),ROW()-1,FALSE))</f>
        <v>0.50579138599999995</v>
      </c>
      <c r="AU208">
        <f ca="1">IF(AND(ISNUMBER($AU$878),$B$677=1),$AU$878,HLOOKUP(INDIRECT(ADDRESS(2,COLUMN())),OFFSET($BN$2,0,0,ROW()-1,60),ROW()-1,FALSE))</f>
        <v>0.39052435499999999</v>
      </c>
      <c r="AV208">
        <f ca="1">IF(AND(ISNUMBER($AV$878),$B$677=1),$AV$878,HLOOKUP(INDIRECT(ADDRESS(2,COLUMN())),OFFSET($BN$2,0,0,ROW()-1,60),ROW()-1,FALSE))</f>
        <v>0.46698335099999999</v>
      </c>
      <c r="AW208">
        <f ca="1">IF(AND(ISNUMBER($AW$878),$B$677=1),$AW$878,HLOOKUP(INDIRECT(ADDRESS(2,COLUMN())),OFFSET($BN$2,0,0,ROW()-1,60),ROW()-1,FALSE))</f>
        <v>0.83135427799999995</v>
      </c>
      <c r="AX208">
        <f ca="1">IF(AND(ISNUMBER($AX$878),$B$677=1),$AX$878,HLOOKUP(INDIRECT(ADDRESS(2,COLUMN())),OFFSET($BN$2,0,0,ROW()-1,60),ROW()-1,FALSE))</f>
        <v>1.1627529649999999</v>
      </c>
      <c r="AY208" t="str">
        <f ca="1">IF(AND(ISNUMBER($AY$878),$B$677=1),$AY$878,HLOOKUP(INDIRECT(ADDRESS(2,COLUMN())),OFFSET($BN$2,0,0,ROW()-1,60),ROW()-1,FALSE))</f>
        <v/>
      </c>
      <c r="AZ208" t="str">
        <f ca="1">IF(AND(ISNUMBER($AZ$878),$B$677=1),$AZ$878,HLOOKUP(INDIRECT(ADDRESS(2,COLUMN())),OFFSET($BN$2,0,0,ROW()-1,60),ROW()-1,FALSE))</f>
        <v/>
      </c>
      <c r="BA208" t="str">
        <f ca="1">IF(AND(ISNUMBER($BA$878),$B$677=1),$BA$878,HLOOKUP(INDIRECT(ADDRESS(2,COLUMN())),OFFSET($BN$2,0,0,ROW()-1,60),ROW()-1,FALSE))</f>
        <v/>
      </c>
      <c r="BB208" t="str">
        <f ca="1">IF(AND(ISNUMBER($BB$878),$B$677=1),$BB$878,HLOOKUP(INDIRECT(ADDRESS(2,COLUMN())),OFFSET($BN$2,0,0,ROW()-1,60),ROW()-1,FALSE))</f>
        <v/>
      </c>
      <c r="BC208" t="str">
        <f ca="1">IF(AND(ISNUMBER($BC$878),$B$677=1),$BC$878,HLOOKUP(INDIRECT(ADDRESS(2,COLUMN())),OFFSET($BN$2,0,0,ROW()-1,60),ROW()-1,FALSE))</f>
        <v/>
      </c>
      <c r="BD208" t="str">
        <f ca="1">IF(AND(ISNUMBER($BD$878),$B$677=1),$BD$878,HLOOKUP(INDIRECT(ADDRESS(2,COLUMN())),OFFSET($BN$2,0,0,ROW()-1,60),ROW()-1,FALSE))</f>
        <v/>
      </c>
      <c r="BE208" t="str">
        <f ca="1">IF(AND(ISNUMBER($BE$878),$B$677=1),$BE$878,HLOOKUP(INDIRECT(ADDRESS(2,COLUMN())),OFFSET($BN$2,0,0,ROW()-1,60),ROW()-1,FALSE))</f>
        <v/>
      </c>
      <c r="BF208" t="str">
        <f ca="1">IF(AND(ISNUMBER($BF$878),$B$677=1),$BF$878,HLOOKUP(INDIRECT(ADDRESS(2,COLUMN())),OFFSET($BN$2,0,0,ROW()-1,60),ROW()-1,FALSE))</f>
        <v/>
      </c>
      <c r="BG208" t="str">
        <f ca="1">IF(AND(ISNUMBER($BG$878),$B$677=1),$BG$878,HLOOKUP(INDIRECT(ADDRESS(2,COLUMN())),OFFSET($BN$2,0,0,ROW()-1,60),ROW()-1,FALSE))</f>
        <v/>
      </c>
      <c r="BH208" t="str">
        <f ca="1">IF(AND(ISNUMBER($BH$878),$B$677=1),$BH$878,HLOOKUP(INDIRECT(ADDRESS(2,COLUMN())),OFFSET($BN$2,0,0,ROW()-1,60),ROW()-1,FALSE))</f>
        <v/>
      </c>
      <c r="BI208" t="str">
        <f ca="1">IF(AND(ISNUMBER($BI$878),$B$677=1),$BI$878,HLOOKUP(INDIRECT(ADDRESS(2,COLUMN())),OFFSET($BN$2,0,0,ROW()-1,60),ROW()-1,FALSE))</f>
        <v/>
      </c>
      <c r="BJ208" t="str">
        <f ca="1">IF(AND(ISNUMBER($BJ$878),$B$677=1),$BJ$878,HLOOKUP(INDIRECT(ADDRESS(2,COLUMN())),OFFSET($BN$2,0,0,ROW()-1,60),ROW()-1,FALSE))</f>
        <v/>
      </c>
      <c r="BK208" t="str">
        <f ca="1">IF(AND(ISNUMBER($BK$878),$B$677=1),$BK$878,HLOOKUP(INDIRECT(ADDRESS(2,COLUMN())),OFFSET($BN$2,0,0,ROW()-1,60),ROW()-1,FALSE))</f>
        <v/>
      </c>
      <c r="BL208" t="str">
        <f ca="1">IF(AND(ISNUMBER($BL$878),$B$677=1),$BL$878,HLOOKUP(INDIRECT(ADDRESS(2,COLUMN())),OFFSET($BN$2,0,0,ROW()-1,60),ROW()-1,FALSE))</f>
        <v/>
      </c>
      <c r="BM208" t="str">
        <f ca="1">IF(AND(ISNUMBER($BM$878),$B$677=1),$BM$878,HLOOKUP(INDIRECT(ADDRESS(2,COLUMN())),OFFSET($BN$2,0,0,ROW()-1,60),ROW()-1,FALSE))</f>
        <v/>
      </c>
      <c r="BN208">
        <f>0.454772087</f>
        <v>0.45477208699999999</v>
      </c>
      <c r="BO208">
        <f>0.436773192</f>
        <v>0.43677319199999998</v>
      </c>
      <c r="BP208">
        <f>0.520768036</f>
        <v>0.52076803599999999</v>
      </c>
      <c r="BQ208">
        <f>0.50392937</f>
        <v>0.50392937000000004</v>
      </c>
      <c r="BR208">
        <f>0.534058404</f>
        <v>0.53405840400000004</v>
      </c>
      <c r="BS208">
        <f>0.593223079</f>
        <v>0.59322307900000004</v>
      </c>
      <c r="BT208">
        <f>0.622235242</f>
        <v>0.62223524200000002</v>
      </c>
      <c r="BU208">
        <f>0.667207811</f>
        <v>0.66720781100000004</v>
      </c>
      <c r="BV208">
        <f>0.690931199</f>
        <v>0.690931199</v>
      </c>
      <c r="BW208">
        <f>0.657984782</f>
        <v>0.65798478199999999</v>
      </c>
      <c r="BX208">
        <f>0.665390146</f>
        <v>0.66539014600000002</v>
      </c>
      <c r="BY208">
        <f>0.66053727</f>
        <v>0.66053726999999995</v>
      </c>
      <c r="BZ208">
        <f>0.743976325</f>
        <v>0.74397632499999999</v>
      </c>
      <c r="CA208">
        <f>0.725603989</f>
        <v>0.725603989</v>
      </c>
      <c r="CB208">
        <f>0.72055016</f>
        <v>0.72055016000000005</v>
      </c>
      <c r="CC208">
        <f>0.880736935</f>
        <v>0.88073693500000005</v>
      </c>
      <c r="CD208">
        <f>1.044746079</f>
        <v>1.044746079</v>
      </c>
      <c r="CE208">
        <f>1.159475954</f>
        <v>1.1594759539999999</v>
      </c>
      <c r="CF208">
        <f>1.073668373</f>
        <v>1.0736683730000001</v>
      </c>
      <c r="CG208">
        <f>1.174683228</f>
        <v>1.1746832279999999</v>
      </c>
      <c r="CH208">
        <f>1.198159399</f>
        <v>1.1981593989999999</v>
      </c>
      <c r="CI208">
        <f>1.31092681</f>
        <v>1.31092681</v>
      </c>
      <c r="CJ208">
        <f>1.192050571</f>
        <v>1.192050571</v>
      </c>
      <c r="CK208">
        <f>1.165533956</f>
        <v>1.165533956</v>
      </c>
      <c r="CL208">
        <f>1.433291298</f>
        <v>1.4332912980000001</v>
      </c>
      <c r="CM208">
        <f>1.519890072</f>
        <v>1.5198900719999999</v>
      </c>
      <c r="CN208">
        <f>1.55630039</f>
        <v>1.5563003900000001</v>
      </c>
      <c r="CO208">
        <f>1.399148554</f>
        <v>1.3991485539999999</v>
      </c>
      <c r="CP208">
        <f>1.482094358</f>
        <v>1.4820943579999999</v>
      </c>
      <c r="CQ208">
        <f>1.403803184</f>
        <v>1.403803184</v>
      </c>
      <c r="CR208">
        <f>1.480780944</f>
        <v>1.4807809439999999</v>
      </c>
      <c r="CS208">
        <f>1.843366791</f>
        <v>1.843366791</v>
      </c>
      <c r="CT208">
        <f>1.431915667</f>
        <v>1.4319156669999999</v>
      </c>
      <c r="CU208">
        <f>1.617773853</f>
        <v>1.6177738530000001</v>
      </c>
      <c r="CV208">
        <f>1.463933832</f>
        <v>1.4639338319999999</v>
      </c>
      <c r="CW208">
        <f>0.836067334</f>
        <v>0.836067334</v>
      </c>
      <c r="CX208">
        <f>0.931674032</f>
        <v>0.93167403199999999</v>
      </c>
      <c r="CY208">
        <f>1.018071924</f>
        <v>1.018071924</v>
      </c>
      <c r="CZ208">
        <f>0.992552584</f>
        <v>0.99255258400000002</v>
      </c>
      <c r="DA208">
        <f>0.848547632</f>
        <v>0.84854763200000005</v>
      </c>
      <c r="DB208">
        <f>0.505791386</f>
        <v>0.50579138599999995</v>
      </c>
      <c r="DC208">
        <f>0.390524355</f>
        <v>0.39052435499999999</v>
      </c>
      <c r="DD208">
        <f>0.466983351</f>
        <v>0.46698335099999999</v>
      </c>
      <c r="DE208">
        <f>0.831354278</f>
        <v>0.83135427799999995</v>
      </c>
      <c r="DF208">
        <f>1.162752965</f>
        <v>1.1627529649999999</v>
      </c>
      <c r="DG208" t="str">
        <f>""</f>
        <v/>
      </c>
      <c r="DH208" t="str">
        <f>""</f>
        <v/>
      </c>
      <c r="DI208" t="str">
        <f>""</f>
        <v/>
      </c>
      <c r="DJ208" t="str">
        <f>""</f>
        <v/>
      </c>
      <c r="DK208" t="str">
        <f>""</f>
        <v/>
      </c>
      <c r="DL208" t="str">
        <f>""</f>
        <v/>
      </c>
      <c r="DM208" t="str">
        <f>""</f>
        <v/>
      </c>
      <c r="DN208" t="str">
        <f>""</f>
        <v/>
      </c>
      <c r="DO208" t="str">
        <f>""</f>
        <v/>
      </c>
      <c r="DP208" t="str">
        <f>""</f>
        <v/>
      </c>
      <c r="DQ208" t="str">
        <f>""</f>
        <v/>
      </c>
      <c r="DR208" t="str">
        <f>""</f>
        <v/>
      </c>
      <c r="DS208" t="str">
        <f>""</f>
        <v/>
      </c>
      <c r="DT208" t="str">
        <f>""</f>
        <v/>
      </c>
      <c r="DU208" t="str">
        <f>""</f>
        <v/>
      </c>
    </row>
    <row r="209" spans="1:125" x14ac:dyDescent="0.25">
      <c r="A209" t="str">
        <f>"P/Free Cash Flow"</f>
        <v>P/Free Cash Flow</v>
      </c>
      <c r="B209" t="str">
        <f>""</f>
        <v/>
      </c>
      <c r="E209" t="str">
        <f>"Average"</f>
        <v>Average</v>
      </c>
      <c r="F209">
        <f ca="1">IF(ISERROR(IF(AVERAGE($F$210:$F$249) = 0, "", AVERAGE($F$210:$F$249))), "", (IF(AVERAGE($F$210:$F$249) = 0, "", AVERAGE($F$210:$F$249))))</f>
        <v>33.825666186230777</v>
      </c>
      <c r="G209">
        <f ca="1">IF(ISERROR(IF(AVERAGE($G$210:$G$249) = 0, "", AVERAGE($G$210:$G$249))), "", (IF(AVERAGE($G$210:$G$249) = 0, "", AVERAGE($G$210:$G$249))))</f>
        <v>21.039359212058823</v>
      </c>
      <c r="H209">
        <f ca="1">IF(ISERROR(IF(AVERAGE($H$210:$H$249) = 0, "", AVERAGE($H$210:$H$249))), "", (IF(AVERAGE($H$210:$H$249) = 0, "", AVERAGE($H$210:$H$249))))</f>
        <v>23.316199366611116</v>
      </c>
      <c r="I209">
        <f ca="1">IF(ISERROR(IF(AVERAGE($I$210:$I$249) = 0, "", AVERAGE($I$210:$I$249))), "", (IF(AVERAGE($I$210:$I$249) = 0, "", AVERAGE($I$210:$I$249))))</f>
        <v>11.970393578684211</v>
      </c>
      <c r="J209">
        <f ca="1">IF(ISERROR(IF(AVERAGE($J$210:$J$249) = 0, "", AVERAGE($J$210:$J$249))), "", (IF(AVERAGE($J$210:$J$249) = 0, "", AVERAGE($J$210:$J$249))))</f>
        <v>12.981135061999998</v>
      </c>
      <c r="K209">
        <f ca="1">IF(ISERROR(IF(AVERAGE($K$210:$K$249) = 0, "", AVERAGE($K$210:$K$249))), "", (IF(AVERAGE($K$210:$K$249) = 0, "", AVERAGE($K$210:$K$249))))</f>
        <v>12.514281641</v>
      </c>
      <c r="L209">
        <f ca="1">IF(ISERROR(IF(AVERAGE($L$210:$L$249) = 0, "", AVERAGE($L$210:$L$249))), "", (IF(AVERAGE($L$210:$L$249) = 0, "", AVERAGE($L$210:$L$249))))</f>
        <v>13.16971841026316</v>
      </c>
      <c r="M209">
        <f ca="1">IF(ISERROR(IF(AVERAGE($M$210:$M$249) = 0, "", AVERAGE($M$210:$M$249))), "", (IF(AVERAGE($M$210:$M$249) = 0, "", AVERAGE($M$210:$M$249))))</f>
        <v>39.368208338700015</v>
      </c>
      <c r="N209">
        <f ca="1">IF(ISERROR(IF(AVERAGE($N$210:$N$249) = 0, "", AVERAGE($N$210:$N$249))), "", (IF(AVERAGE($N$210:$N$249) = 0, "", AVERAGE($N$210:$N$249))))</f>
        <v>43.647442499349999</v>
      </c>
      <c r="O209">
        <f ca="1">IF(ISERROR(IF(AVERAGE($O$210:$O$249) = 0, "", AVERAGE($O$210:$O$249))), "", (IF(AVERAGE($O$210:$O$249) = 0, "", AVERAGE($O$210:$O$249))))</f>
        <v>17.668168504333334</v>
      </c>
      <c r="P209">
        <f ca="1">IF(ISERROR(IF(AVERAGE($P$210:$P$249) = 0, "", AVERAGE($P$210:$P$249))), "", (IF(AVERAGE($P$210:$P$249) = 0, "", AVERAGE($P$210:$P$249))))</f>
        <v>19.344804331631579</v>
      </c>
      <c r="Q209">
        <f ca="1">IF(ISERROR(IF(AVERAGE($Q$210:$Q$249) = 0, "", AVERAGE($Q$210:$Q$249))), "", (IF(AVERAGE($Q$210:$Q$249) = 0, "", AVERAGE($Q$210:$Q$249))))</f>
        <v>10.556683418055552</v>
      </c>
      <c r="R209">
        <f ca="1">IF(ISERROR(IF(AVERAGE($R$210:$R$249) = 0, "", AVERAGE($R$210:$R$249))), "", (IF(AVERAGE($R$210:$R$249) = 0, "", AVERAGE($R$210:$R$249))))</f>
        <v>28.603949531473685</v>
      </c>
      <c r="S209">
        <f ca="1">IF(ISERROR(IF(AVERAGE($S$210:$S$249) = 0, "", AVERAGE($S$210:$S$249))), "", (IF(AVERAGE($S$210:$S$249) = 0, "", AVERAGE($S$210:$S$249))))</f>
        <v>77.83996883331578</v>
      </c>
      <c r="T209">
        <f ca="1">IF(ISERROR(IF(AVERAGE($T$210:$T$249) = 0, "", AVERAGE($T$210:$T$249))), "", (IF(AVERAGE($T$210:$T$249) = 0, "", AVERAGE($T$210:$T$249))))</f>
        <v>71.678936812499998</v>
      </c>
      <c r="U209">
        <f ca="1">IF(ISERROR(IF(AVERAGE($U$210:$U$249) = 0, "", AVERAGE($U$210:$U$249))), "", (IF(AVERAGE($U$210:$U$249) = 0, "", AVERAGE($U$210:$U$249))))</f>
        <v>29.461930057500005</v>
      </c>
      <c r="V209">
        <f ca="1">IF(ISERROR(IF(AVERAGE($V$210:$V$249) = 0, "", AVERAGE($V$210:$V$249))), "", (IF(AVERAGE($V$210:$V$249) = 0, "", AVERAGE($V$210:$V$249))))</f>
        <v>152.27655107956249</v>
      </c>
      <c r="W209">
        <f ca="1">IF(ISERROR(IF(AVERAGE($W$210:$W$249) = 0, "", AVERAGE($W$210:$W$249))), "", (IF(AVERAGE($W$210:$W$249) = 0, "", AVERAGE($W$210:$W$249))))</f>
        <v>33.022528746749998</v>
      </c>
      <c r="X209">
        <f ca="1">IF(ISERROR(IF(AVERAGE($X$210:$X$249) = 0, "", AVERAGE($X$210:$X$249))), "", (IF(AVERAGE($X$210:$X$249) = 0, "", AVERAGE($X$210:$X$249))))</f>
        <v>37.029079492923081</v>
      </c>
      <c r="Y209">
        <f ca="1">IF(ISERROR(IF(AVERAGE($Y$210:$Y$249) = 0, "", AVERAGE($Y$210:$Y$249))), "", (IF(AVERAGE($Y$210:$Y$249) = 0, "", AVERAGE($Y$210:$Y$249))))</f>
        <v>66.798916133470584</v>
      </c>
      <c r="Z209">
        <f ca="1">IF(ISERROR(IF(AVERAGE($Z$210:$Z$249) = 0, "", AVERAGE($Z$210:$Z$249))), "", (IF(AVERAGE($Z$210:$Z$249) = 0, "", AVERAGE($Z$210:$Z$249))))</f>
        <v>338.44825656052626</v>
      </c>
      <c r="AA209">
        <f ca="1">IF(ISERROR(IF(AVERAGE($AA$210:$AA$249) = 0, "", AVERAGE($AA$210:$AA$249))), "", (IF(AVERAGE($AA$210:$AA$249) = 0, "", AVERAGE($AA$210:$AA$249))))</f>
        <v>214.71970355895004</v>
      </c>
      <c r="AB209">
        <f ca="1">IF(ISERROR(IF(AVERAGE($AB$210:$AB$249) = 0, "", AVERAGE($AB$210:$AB$249))), "", (IF(AVERAGE($AB$210:$AB$249) = 0, "", AVERAGE($AB$210:$AB$249))))</f>
        <v>24.028273932421051</v>
      </c>
      <c r="AC209">
        <f ca="1">IF(ISERROR(IF(AVERAGE($AC$210:$AC$249) = 0, "", AVERAGE($AC$210:$AC$249))), "", (IF(AVERAGE($AC$210:$AC$249) = 0, "", AVERAGE($AC$210:$AC$249))))</f>
        <v>22.47065709166667</v>
      </c>
      <c r="AD209">
        <f ca="1">IF(ISERROR(IF(AVERAGE($AD$210:$AD$249) = 0, "", AVERAGE($AD$210:$AD$249))), "", (IF(AVERAGE($AD$210:$AD$249) = 0, "", AVERAGE($AD$210:$AD$249))))</f>
        <v>101.41824034999999</v>
      </c>
      <c r="AE209">
        <f ca="1">IF(ISERROR(IF(AVERAGE($AE$210:$AE$249) = 0, "", AVERAGE($AE$210:$AE$249))), "", (IF(AVERAGE($AE$210:$AE$249) = 0, "", AVERAGE($AE$210:$AE$249))))</f>
        <v>115.95123610621428</v>
      </c>
      <c r="AF209">
        <f ca="1">IF(ISERROR(IF(AVERAGE($AF$210:$AF$249) = 0, "", AVERAGE($AF$210:$AF$249))), "", (IF(AVERAGE($AF$210:$AF$249) = 0, "", AVERAGE($AF$210:$AF$249))))</f>
        <v>28.867707512500001</v>
      </c>
      <c r="AG209">
        <f ca="1">IF(ISERROR(IF(AVERAGE($AG$210:$AG$249) = 0, "", AVERAGE($AG$210:$AG$249))), "", (IF(AVERAGE($AG$210:$AG$249) = 0, "", AVERAGE($AG$210:$AG$249))))</f>
        <v>18.291415492928571</v>
      </c>
      <c r="AH209">
        <f ca="1">IF(ISERROR(IF(AVERAGE($AH$210:$AH$249) = 0, "", AVERAGE($AH$210:$AH$249))), "", (IF(AVERAGE($AH$210:$AH$249) = 0, "", AVERAGE($AH$210:$AH$249))))</f>
        <v>218.77920236920002</v>
      </c>
      <c r="AI209">
        <f ca="1">IF(ISERROR(IF(AVERAGE($AI$210:$AI$249) = 0, "", AVERAGE($AI$210:$AI$249))), "", (IF(AVERAGE($AI$210:$AI$249) = 0, "", AVERAGE($AI$210:$AI$249))))</f>
        <v>180.51001091720002</v>
      </c>
      <c r="AJ209">
        <f ca="1">IF(ISERROR(IF(AVERAGE($AJ$210:$AJ$249) = 0, "", AVERAGE($AJ$210:$AJ$249))), "", (IF(AVERAGE($AJ$210:$AJ$249) = 0, "", AVERAGE($AJ$210:$AJ$249))))</f>
        <v>25.683641618266666</v>
      </c>
      <c r="AK209">
        <f ca="1">IF(ISERROR(IF(AVERAGE($AK$210:$AK$249) = 0, "", AVERAGE($AK$210:$AK$249))), "", (IF(AVERAGE($AK$210:$AK$249) = 0, "", AVERAGE($AK$210:$AK$249))))</f>
        <v>26.67539479889474</v>
      </c>
      <c r="AL209">
        <f ca="1">IF(ISERROR(IF(AVERAGE($AL$210:$AL$249) = 0, "", AVERAGE($AL$210:$AL$249))), "", (IF(AVERAGE($AL$210:$AL$249) = 0, "", AVERAGE($AL$210:$AL$249))))</f>
        <v>17.611226764619051</v>
      </c>
      <c r="AM209">
        <f ca="1">IF(ISERROR(IF(AVERAGE($AM$210:$AM$249) = 0, "", AVERAGE($AM$210:$AM$249))), "", (IF(AVERAGE($AM$210:$AM$249) = 0, "", AVERAGE($AM$210:$AM$249))))</f>
        <v>34.540129871454546</v>
      </c>
      <c r="AN209">
        <f ca="1">IF(ISERROR(IF(AVERAGE($AN$210:$AN$249) = 0, "", AVERAGE($AN$210:$AN$249))), "", (IF(AVERAGE($AN$210:$AN$249) = 0, "", AVERAGE($AN$210:$AN$249))))</f>
        <v>27.182639253181822</v>
      </c>
      <c r="AO209">
        <f ca="1">IF(ISERROR(IF(AVERAGE($AO$210:$AO$249) = 0, "", AVERAGE($AO$210:$AO$249))), "", (IF(AVERAGE($AO$210:$AO$249) = 0, "", AVERAGE($AO$210:$AO$249))))</f>
        <v>12.520039984149999</v>
      </c>
      <c r="AP209">
        <f ca="1">IF(ISERROR(IF(AVERAGE($AP$210:$AP$249) = 0, "", AVERAGE($AP$210:$AP$249))), "", (IF(AVERAGE($AP$210:$AP$249) = 0, "", AVERAGE($AP$210:$AP$249))))</f>
        <v>13.465738416400001</v>
      </c>
      <c r="AQ209">
        <f ca="1">IF(ISERROR(IF(AVERAGE($AQ$210:$AQ$249) = 0, "", AVERAGE($AQ$210:$AQ$249))), "", (IF(AVERAGE($AQ$210:$AQ$249) = 0, "", AVERAGE($AQ$210:$AQ$249))))</f>
        <v>27.725654247555557</v>
      </c>
      <c r="AR209">
        <f ca="1">IF(ISERROR(IF(AVERAGE($AR$210:$AR$249) = 0, "", AVERAGE($AR$210:$AR$249))), "", (IF(AVERAGE($AR$210:$AR$249) = 0, "", AVERAGE($AR$210:$AR$249))))</f>
        <v>182.79756373750001</v>
      </c>
      <c r="AS209">
        <f ca="1">IF(ISERROR(IF(AVERAGE($AS$210:$AS$249) = 0, "", AVERAGE($AS$210:$AS$249))), "", (IF(AVERAGE($AS$210:$AS$249) = 0, "", AVERAGE($AS$210:$AS$249))))</f>
        <v>27.945353713375003</v>
      </c>
      <c r="AT209">
        <f ca="1">IF(ISERROR(IF(AVERAGE($AT$210:$AT$249) = 0, "", AVERAGE($AT$210:$AT$249))), "", (IF(AVERAGE($AT$210:$AT$249) = 0, "", AVERAGE($AT$210:$AT$249))))</f>
        <v>26.482812580625001</v>
      </c>
      <c r="AU209">
        <f ca="1">IF(ISERROR(IF(AVERAGE($AU$210:$AU$249) = 0, "", AVERAGE($AU$210:$AU$249))), "", (IF(AVERAGE($AU$210:$AU$249) = 0, "", AVERAGE($AU$210:$AU$249))))</f>
        <v>23.390513349999999</v>
      </c>
      <c r="AV209">
        <f ca="1">IF(ISERROR(IF(AVERAGE($AV$210:$AV$249) = 0, "", AVERAGE($AV$210:$AV$249))), "", (IF(AVERAGE($AV$210:$AV$249) = 0, "", AVERAGE($AV$210:$AV$249))))</f>
        <v>43.276683762300003</v>
      </c>
      <c r="AW209">
        <f ca="1">IF(ISERROR(IF(AVERAGE($AW$210:$AW$249) = 0, "", AVERAGE($AW$210:$AW$249))), "", (IF(AVERAGE($AW$210:$AW$249) = 0, "", AVERAGE($AW$210:$AW$249))))</f>
        <v>809.94270239966681</v>
      </c>
      <c r="AX209">
        <f ca="1">IF(ISERROR(IF(AVERAGE($AX$210:$AX$249) = 0, "", AVERAGE($AX$210:$AX$249))), "", (IF(AVERAGE($AX$210:$AX$249) = 0, "", AVERAGE($AX$210:$AX$249))))</f>
        <v>1101.2673063046</v>
      </c>
      <c r="AY209">
        <f ca="1">IF(ISERROR(IF(AVERAGE($AY$210:$AY$249) = 0, "", AVERAGE($AY$210:$AY$249))), "", (IF(AVERAGE($AY$210:$AY$249) = 0, "", AVERAGE($AY$210:$AY$249))))</f>
        <v>29.177050763700002</v>
      </c>
      <c r="AZ209">
        <f ca="1">IF(ISERROR(IF(AVERAGE($AZ$210:$AZ$249) = 0, "", AVERAGE($AZ$210:$AZ$249))), "", (IF(AVERAGE($AZ$210:$AZ$249) = 0, "", AVERAGE($AZ$210:$AZ$249))))</f>
        <v>32.1599553259</v>
      </c>
      <c r="BA209">
        <f ca="1">IF(ISERROR(IF(AVERAGE($BA$210:$BA$249) = 0, "", AVERAGE($BA$210:$BA$249))), "", (IF(AVERAGE($BA$210:$BA$249) = 0, "", AVERAGE($BA$210:$BA$249))))</f>
        <v>20.773418603799996</v>
      </c>
      <c r="BB209">
        <f ca="1">IF(ISERROR(IF(AVERAGE($BB$210:$BB$249) = 0, "", AVERAGE($BB$210:$BB$249))), "", (IF(AVERAGE($BB$210:$BB$249) = 0, "", AVERAGE($BB$210:$BB$249))))</f>
        <v>32.913208677199997</v>
      </c>
      <c r="BC209">
        <f ca="1">IF(ISERROR(IF(AVERAGE($BC$210:$BC$249) = 0, "", AVERAGE($BC$210:$BC$249))), "", (IF(AVERAGE($BC$210:$BC$249) = 0, "", AVERAGE($BC$210:$BC$249))))</f>
        <v>18.112957731111109</v>
      </c>
      <c r="BD209">
        <f ca="1">IF(ISERROR(IF(AVERAGE($BD$210:$BD$249) = 0, "", AVERAGE($BD$210:$BD$249))), "", (IF(AVERAGE($BD$210:$BD$249) = 0, "", AVERAGE($BD$210:$BD$249))))</f>
        <v>12.67463313</v>
      </c>
      <c r="BE209">
        <f ca="1">IF(ISERROR(IF(AVERAGE($BE$210:$BE$249) = 0, "", AVERAGE($BE$210:$BE$249))), "", (IF(AVERAGE($BE$210:$BE$249) = 0, "", AVERAGE($BE$210:$BE$249))))</f>
        <v>11.587628674272727</v>
      </c>
      <c r="BF209">
        <f ca="1">IF(ISERROR(IF(AVERAGE($BF$210:$BF$249) = 0, "", AVERAGE($BF$210:$BF$249))), "", (IF(AVERAGE($BF$210:$BF$249) = 0, "", AVERAGE($BF$210:$BF$249))))</f>
        <v>12.802099677999998</v>
      </c>
      <c r="BG209">
        <f ca="1">IF(ISERROR(IF(AVERAGE($BG$210:$BG$249) = 0, "", AVERAGE($BG$210:$BG$249))), "", (IF(AVERAGE($BG$210:$BG$249) = 0, "", AVERAGE($BG$210:$BG$249))))</f>
        <v>11.536980773181817</v>
      </c>
      <c r="BH209">
        <f ca="1">IF(ISERROR(IF(AVERAGE($BH$210:$BH$249) = 0, "", AVERAGE($BH$210:$BH$249))), "", (IF(AVERAGE($BH$210:$BH$249) = 0, "", AVERAGE($BH$210:$BH$249))))</f>
        <v>8.4176358388571426</v>
      </c>
      <c r="BI209">
        <f ca="1">IF(ISERROR(IF(AVERAGE($BI$210:$BI$249) = 0, "", AVERAGE($BI$210:$BI$249))), "", (IF(AVERAGE($BI$210:$BI$249) = 0, "", AVERAGE($BI$210:$BI$249))))</f>
        <v>10.366746574875</v>
      </c>
      <c r="BJ209">
        <f ca="1">IF(ISERROR(IF(AVERAGE($BJ$210:$BJ$249) = 0, "", AVERAGE($BJ$210:$BJ$249))), "", (IF(AVERAGE($BJ$210:$BJ$249) = 0, "", AVERAGE($BJ$210:$BJ$249))))</f>
        <v>10.238031267142858</v>
      </c>
      <c r="BK209">
        <f ca="1">IF(ISERROR(IF(AVERAGE($BK$210:$BK$249) = 0, "", AVERAGE($BK$210:$BK$249))), "", (IF(AVERAGE($BK$210:$BK$249) = 0, "", AVERAGE($BK$210:$BK$249))))</f>
        <v>185.76952230549998</v>
      </c>
      <c r="BL209">
        <f ca="1">IF(ISERROR(IF(AVERAGE($BL$210:$BL$249) = 0, "", AVERAGE($BL$210:$BL$249))), "", (IF(AVERAGE($BL$210:$BL$249) = 0, "", AVERAGE($BL$210:$BL$249))))</f>
        <v>21.86520424875</v>
      </c>
      <c r="BM209">
        <f ca="1">IF(ISERROR(IF(AVERAGE($BM$210:$BM$249) = 0, "", AVERAGE($BM$210:$BM$249))), "", (IF(AVERAGE($BM$210:$BM$249) = 0, "", AVERAGE($BM$210:$BM$249))))</f>
        <v>18.133078032</v>
      </c>
      <c r="BN209">
        <f>33.82566619</f>
        <v>33.82566619</v>
      </c>
      <c r="BO209">
        <f>21.03935921</f>
        <v>21.039359210000001</v>
      </c>
      <c r="BP209">
        <f>23.31619936</f>
        <v>23.316199359999999</v>
      </c>
      <c r="BQ209">
        <f>11.97039358</f>
        <v>11.97039358</v>
      </c>
      <c r="BR209">
        <f>12.98113506</f>
        <v>12.98113506</v>
      </c>
      <c r="BS209">
        <f>12.51428164</f>
        <v>12.51428164</v>
      </c>
      <c r="BT209">
        <f>13.16971841</f>
        <v>13.16971841</v>
      </c>
      <c r="BU209">
        <f>39.36820834</f>
        <v>39.368208340000002</v>
      </c>
      <c r="BV209">
        <f>43.6474425</f>
        <v>43.647442499999997</v>
      </c>
      <c r="BW209">
        <f>17.66816851</f>
        <v>17.668168510000001</v>
      </c>
      <c r="BX209">
        <f>19.34480433</f>
        <v>19.344804329999999</v>
      </c>
      <c r="BY209">
        <f>10.55668342</f>
        <v>10.556683420000001</v>
      </c>
      <c r="BZ209">
        <f>28.60394953</f>
        <v>28.603949530000001</v>
      </c>
      <c r="CA209">
        <f>77.83996883</f>
        <v>77.839968830000004</v>
      </c>
      <c r="CB209">
        <f>71.67893681</f>
        <v>71.678936809999996</v>
      </c>
      <c r="CC209">
        <f>29.46193006</f>
        <v>29.46193006</v>
      </c>
      <c r="CD209">
        <f>152.2765511</f>
        <v>152.27655110000001</v>
      </c>
      <c r="CE209">
        <f>33.02252875</f>
        <v>33.022528749999999</v>
      </c>
      <c r="CF209">
        <f>37.02907949</f>
        <v>37.029079490000001</v>
      </c>
      <c r="CG209">
        <f>66.79891613</f>
        <v>66.798916129999995</v>
      </c>
      <c r="CH209">
        <f>338.4482565</f>
        <v>338.44825650000001</v>
      </c>
      <c r="CI209">
        <f>214.7197036</f>
        <v>214.7197036</v>
      </c>
      <c r="CJ209">
        <f>24.02827393</f>
        <v>24.028273930000001</v>
      </c>
      <c r="CK209">
        <f>22.47065709</f>
        <v>22.47065709</v>
      </c>
      <c r="CL209">
        <f>101.4182404</f>
        <v>101.4182404</v>
      </c>
      <c r="CM209">
        <f>115.9512361</f>
        <v>115.9512361</v>
      </c>
      <c r="CN209">
        <f>28.86770752</f>
        <v>28.86770752</v>
      </c>
      <c r="CO209">
        <f>18.29141549</f>
        <v>18.291415489999999</v>
      </c>
      <c r="CP209">
        <f>218.7792024</f>
        <v>218.7792024</v>
      </c>
      <c r="CQ209">
        <f>180.5100109</f>
        <v>180.5100109</v>
      </c>
      <c r="CR209">
        <f>25.68364162</f>
        <v>25.68364162</v>
      </c>
      <c r="CS209">
        <f>26.6753948</f>
        <v>26.675394799999999</v>
      </c>
      <c r="CT209">
        <f>17.61122676</f>
        <v>17.611226760000001</v>
      </c>
      <c r="CU209">
        <f>34.54012987</f>
        <v>34.540129870000001</v>
      </c>
      <c r="CV209">
        <f>27.18263925</f>
        <v>27.182639250000001</v>
      </c>
      <c r="CW209">
        <f>12.52003998</f>
        <v>12.52003998</v>
      </c>
      <c r="CX209">
        <f>13.46573842</f>
        <v>13.465738419999999</v>
      </c>
      <c r="CY209">
        <f>27.72565425</f>
        <v>27.725654250000002</v>
      </c>
      <c r="CZ209">
        <f>182.7975637</f>
        <v>182.79756370000001</v>
      </c>
      <c r="DA209">
        <f>27.94535372</f>
        <v>27.94535372</v>
      </c>
      <c r="DB209">
        <f>26.48281258</f>
        <v>26.482812580000001</v>
      </c>
      <c r="DC209">
        <f>23.39051335</f>
        <v>23.390513349999999</v>
      </c>
      <c r="DD209">
        <f>43.27668376</f>
        <v>43.276683759999997</v>
      </c>
      <c r="DE209">
        <f>809.9427024</f>
        <v>809.94270240000003</v>
      </c>
      <c r="DF209">
        <f>1101.267306</f>
        <v>1101.267306</v>
      </c>
      <c r="DG209">
        <f>29.17705076</f>
        <v>29.17705076</v>
      </c>
      <c r="DH209">
        <f>32.15995532</f>
        <v>32.159955320000002</v>
      </c>
      <c r="DI209">
        <f>20.7734186</f>
        <v>20.773418599999999</v>
      </c>
      <c r="DJ209">
        <f>32.91320868</f>
        <v>32.913208679999997</v>
      </c>
      <c r="DK209">
        <f>18.11295773</f>
        <v>18.112957730000002</v>
      </c>
      <c r="DL209">
        <f>12.67463313</f>
        <v>12.67463313</v>
      </c>
      <c r="DM209">
        <f>11.58762867</f>
        <v>11.587628670000001</v>
      </c>
      <c r="DN209">
        <f>12.80209968</f>
        <v>12.80209968</v>
      </c>
      <c r="DO209">
        <f>11.53698077</f>
        <v>11.53698077</v>
      </c>
      <c r="DP209">
        <f>8.417635839</f>
        <v>8.4176358390000008</v>
      </c>
      <c r="DQ209">
        <f>10.36674657</f>
        <v>10.36674657</v>
      </c>
      <c r="DR209">
        <f>10.23803127</f>
        <v>10.23803127</v>
      </c>
      <c r="DS209">
        <f>185.7695224</f>
        <v>185.7695224</v>
      </c>
      <c r="DT209">
        <f>21.86520425</f>
        <v>21.865204250000001</v>
      </c>
      <c r="DU209">
        <f>18.13307803</f>
        <v>18.13307803</v>
      </c>
    </row>
    <row r="210" spans="1:125" x14ac:dyDescent="0.25">
      <c r="A210" t="str">
        <f>"    AUDI AG"</f>
        <v xml:space="preserve">    AUDI AG</v>
      </c>
      <c r="B210" t="str">
        <f>"NSU GR Equity"</f>
        <v>NSU GR Equity</v>
      </c>
      <c r="C210" t="str">
        <f t="shared" ref="C210:C249" si="15">"RR971"</f>
        <v>RR971</v>
      </c>
      <c r="D210" t="str">
        <f t="shared" ref="D210:D249" si="16">"CURRENT_PX_TO_FREE_CASH_FLOW"</f>
        <v>CURRENT_PX_TO_FREE_CASH_FLOW</v>
      </c>
      <c r="E210" t="str">
        <f t="shared" ref="E210:E249" si="17">"Dynamic"</f>
        <v>Dynamic</v>
      </c>
      <c r="F210" t="str">
        <f ca="1">IF(AND(ISNUMBER($F$879),$B$677=1),$F$879,HLOOKUP(INDIRECT(ADDRESS(2,COLUMN())),OFFSET($BN$2,0,0,ROW()-1,60),ROW()-1,FALSE))</f>
        <v/>
      </c>
      <c r="G210" t="str">
        <f ca="1">IF(AND(ISNUMBER($G$879),$B$677=1),$G$879,HLOOKUP(INDIRECT(ADDRESS(2,COLUMN())),OFFSET($BN$2,0,0,ROW()-1,60),ROW()-1,FALSE))</f>
        <v/>
      </c>
      <c r="H210" t="str">
        <f ca="1">IF(AND(ISNUMBER($H$879),$B$677=1),$H$879,HLOOKUP(INDIRECT(ADDRESS(2,COLUMN())),OFFSET($BN$2,0,0,ROW()-1,60),ROW()-1,FALSE))</f>
        <v/>
      </c>
      <c r="I210" t="str">
        <f ca="1">IF(AND(ISNUMBER($I$879),$B$677=1),$I$879,HLOOKUP(INDIRECT(ADDRESS(2,COLUMN())),OFFSET($BN$2,0,0,ROW()-1,60),ROW()-1,FALSE))</f>
        <v/>
      </c>
      <c r="J210" t="str">
        <f ca="1">IF(AND(ISNUMBER($J$879),$B$677=1),$J$879,HLOOKUP(INDIRECT(ADDRESS(2,COLUMN())),OFFSET($BN$2,0,0,ROW()-1,60),ROW()-1,FALSE))</f>
        <v/>
      </c>
      <c r="K210" t="str">
        <f ca="1">IF(AND(ISNUMBER($K$879),$B$677=1),$K$879,HLOOKUP(INDIRECT(ADDRESS(2,COLUMN())),OFFSET($BN$2,0,0,ROW()-1,60),ROW()-1,FALSE))</f>
        <v/>
      </c>
      <c r="L210" t="str">
        <f ca="1">IF(AND(ISNUMBER($L$879),$B$677=1),$L$879,HLOOKUP(INDIRECT(ADDRESS(2,COLUMN())),OFFSET($BN$2,0,0,ROW()-1,60),ROW()-1,FALSE))</f>
        <v/>
      </c>
      <c r="M210" t="str">
        <f ca="1">IF(AND(ISNUMBER($M$879),$B$677=1),$M$879,HLOOKUP(INDIRECT(ADDRESS(2,COLUMN())),OFFSET($BN$2,0,0,ROW()-1,60),ROW()-1,FALSE))</f>
        <v/>
      </c>
      <c r="N210" t="str">
        <f ca="1">IF(AND(ISNUMBER($N$879),$B$677=1),$N$879,HLOOKUP(INDIRECT(ADDRESS(2,COLUMN())),OFFSET($BN$2,0,0,ROW()-1,60),ROW()-1,FALSE))</f>
        <v/>
      </c>
      <c r="O210" t="str">
        <f ca="1">IF(AND(ISNUMBER($O$879),$B$677=1),$O$879,HLOOKUP(INDIRECT(ADDRESS(2,COLUMN())),OFFSET($BN$2,0,0,ROW()-1,60),ROW()-1,FALSE))</f>
        <v/>
      </c>
      <c r="P210" t="str">
        <f ca="1">IF(AND(ISNUMBER($P$879),$B$677=1),$P$879,HLOOKUP(INDIRECT(ADDRESS(2,COLUMN())),OFFSET($BN$2,0,0,ROW()-1,60),ROW()-1,FALSE))</f>
        <v/>
      </c>
      <c r="Q210" t="str">
        <f ca="1">IF(AND(ISNUMBER($Q$879),$B$677=1),$Q$879,HLOOKUP(INDIRECT(ADDRESS(2,COLUMN())),OFFSET($BN$2,0,0,ROW()-1,60),ROW()-1,FALSE))</f>
        <v/>
      </c>
      <c r="R210" t="str">
        <f ca="1">IF(AND(ISNUMBER($R$879),$B$677=1),$R$879,HLOOKUP(INDIRECT(ADDRESS(2,COLUMN())),OFFSET($BN$2,0,0,ROW()-1,60),ROW()-1,FALSE))</f>
        <v/>
      </c>
      <c r="S210" t="str">
        <f ca="1">IF(AND(ISNUMBER($S$879),$B$677=1),$S$879,HLOOKUP(INDIRECT(ADDRESS(2,COLUMN())),OFFSET($BN$2,0,0,ROW()-1,60),ROW()-1,FALSE))</f>
        <v/>
      </c>
      <c r="T210" t="str">
        <f ca="1">IF(AND(ISNUMBER($T$879),$B$677=1),$T$879,HLOOKUP(INDIRECT(ADDRESS(2,COLUMN())),OFFSET($BN$2,0,0,ROW()-1,60),ROW()-1,FALSE))</f>
        <v/>
      </c>
      <c r="U210" t="str">
        <f ca="1">IF(AND(ISNUMBER($U$879),$B$677=1),$U$879,HLOOKUP(INDIRECT(ADDRESS(2,COLUMN())),OFFSET($BN$2,0,0,ROW()-1,60),ROW()-1,FALSE))</f>
        <v/>
      </c>
      <c r="V210" t="str">
        <f ca="1">IF(AND(ISNUMBER($V$879),$B$677=1),$V$879,HLOOKUP(INDIRECT(ADDRESS(2,COLUMN())),OFFSET($BN$2,0,0,ROW()-1,60),ROW()-1,FALSE))</f>
        <v/>
      </c>
      <c r="W210" t="str">
        <f ca="1">IF(AND(ISNUMBER($W$879),$B$677=1),$W$879,HLOOKUP(INDIRECT(ADDRESS(2,COLUMN())),OFFSET($BN$2,0,0,ROW()-1,60),ROW()-1,FALSE))</f>
        <v/>
      </c>
      <c r="X210" t="str">
        <f ca="1">IF(AND(ISNUMBER($X$879),$B$677=1),$X$879,HLOOKUP(INDIRECT(ADDRESS(2,COLUMN())),OFFSET($BN$2,0,0,ROW()-1,60),ROW()-1,FALSE))</f>
        <v/>
      </c>
      <c r="Y210" t="str">
        <f ca="1">IF(AND(ISNUMBER($Y$879),$B$677=1),$Y$879,HLOOKUP(INDIRECT(ADDRESS(2,COLUMN())),OFFSET($BN$2,0,0,ROW()-1,60),ROW()-1,FALSE))</f>
        <v/>
      </c>
      <c r="Z210" t="str">
        <f ca="1">IF(AND(ISNUMBER($Z$879),$B$677=1),$Z$879,HLOOKUP(INDIRECT(ADDRESS(2,COLUMN())),OFFSET($BN$2,0,0,ROW()-1,60),ROW()-1,FALSE))</f>
        <v/>
      </c>
      <c r="AA210" t="str">
        <f ca="1">IF(AND(ISNUMBER($AA$879),$B$677=1),$AA$879,HLOOKUP(INDIRECT(ADDRESS(2,COLUMN())),OFFSET($BN$2,0,0,ROW()-1,60),ROW()-1,FALSE))</f>
        <v/>
      </c>
      <c r="AB210" t="str">
        <f ca="1">IF(AND(ISNUMBER($AB$879),$B$677=1),$AB$879,HLOOKUP(INDIRECT(ADDRESS(2,COLUMN())),OFFSET($BN$2,0,0,ROW()-1,60),ROW()-1,FALSE))</f>
        <v/>
      </c>
      <c r="AC210" t="str">
        <f ca="1">IF(AND(ISNUMBER($AC$879),$B$677=1),$AC$879,HLOOKUP(INDIRECT(ADDRESS(2,COLUMN())),OFFSET($BN$2,0,0,ROW()-1,60),ROW()-1,FALSE))</f>
        <v/>
      </c>
      <c r="AD210" t="str">
        <f ca="1">IF(AND(ISNUMBER($AD$879),$B$677=1),$AD$879,HLOOKUP(INDIRECT(ADDRESS(2,COLUMN())),OFFSET($BN$2,0,0,ROW()-1,60),ROW()-1,FALSE))</f>
        <v/>
      </c>
      <c r="AE210" t="str">
        <f ca="1">IF(AND(ISNUMBER($AE$879),$B$677=1),$AE$879,HLOOKUP(INDIRECT(ADDRESS(2,COLUMN())),OFFSET($BN$2,0,0,ROW()-1,60),ROW()-1,FALSE))</f>
        <v/>
      </c>
      <c r="AF210" t="str">
        <f ca="1">IF(AND(ISNUMBER($AF$879),$B$677=1),$AF$879,HLOOKUP(INDIRECT(ADDRESS(2,COLUMN())),OFFSET($BN$2,0,0,ROW()-1,60),ROW()-1,FALSE))</f>
        <v/>
      </c>
      <c r="AG210" t="str">
        <f ca="1">IF(AND(ISNUMBER($AG$879),$B$677=1),$AG$879,HLOOKUP(INDIRECT(ADDRESS(2,COLUMN())),OFFSET($BN$2,0,0,ROW()-1,60),ROW()-1,FALSE))</f>
        <v/>
      </c>
      <c r="AH210" t="str">
        <f ca="1">IF(AND(ISNUMBER($AH$879),$B$677=1),$AH$879,HLOOKUP(INDIRECT(ADDRESS(2,COLUMN())),OFFSET($BN$2,0,0,ROW()-1,60),ROW()-1,FALSE))</f>
        <v/>
      </c>
      <c r="AI210" t="str">
        <f ca="1">IF(AND(ISNUMBER($AI$879),$B$677=1),$AI$879,HLOOKUP(INDIRECT(ADDRESS(2,COLUMN())),OFFSET($BN$2,0,0,ROW()-1,60),ROW()-1,FALSE))</f>
        <v/>
      </c>
      <c r="AJ210" t="str">
        <f ca="1">IF(AND(ISNUMBER($AJ$879),$B$677=1),$AJ$879,HLOOKUP(INDIRECT(ADDRESS(2,COLUMN())),OFFSET($BN$2,0,0,ROW()-1,60),ROW()-1,FALSE))</f>
        <v/>
      </c>
      <c r="AK210" t="str">
        <f ca="1">IF(AND(ISNUMBER($AK$879),$B$677=1),$AK$879,HLOOKUP(INDIRECT(ADDRESS(2,COLUMN())),OFFSET($BN$2,0,0,ROW()-1,60),ROW()-1,FALSE))</f>
        <v/>
      </c>
      <c r="AL210" t="str">
        <f ca="1">IF(AND(ISNUMBER($AL$879),$B$677=1),$AL$879,HLOOKUP(INDIRECT(ADDRESS(2,COLUMN())),OFFSET($BN$2,0,0,ROW()-1,60),ROW()-1,FALSE))</f>
        <v/>
      </c>
      <c r="AM210" t="str">
        <f ca="1">IF(AND(ISNUMBER($AM$879),$B$677=1),$AM$879,HLOOKUP(INDIRECT(ADDRESS(2,COLUMN())),OFFSET($BN$2,0,0,ROW()-1,60),ROW()-1,FALSE))</f>
        <v/>
      </c>
      <c r="AN210" t="str">
        <f ca="1">IF(AND(ISNUMBER($AN$879),$B$677=1),$AN$879,HLOOKUP(INDIRECT(ADDRESS(2,COLUMN())),OFFSET($BN$2,0,0,ROW()-1,60),ROW()-1,FALSE))</f>
        <v/>
      </c>
      <c r="AO210" t="str">
        <f ca="1">IF(AND(ISNUMBER($AO$879),$B$677=1),$AO$879,HLOOKUP(INDIRECT(ADDRESS(2,COLUMN())),OFFSET($BN$2,0,0,ROW()-1,60),ROW()-1,FALSE))</f>
        <v/>
      </c>
      <c r="AP210" t="str">
        <f ca="1">IF(AND(ISNUMBER($AP$879),$B$677=1),$AP$879,HLOOKUP(INDIRECT(ADDRESS(2,COLUMN())),OFFSET($BN$2,0,0,ROW()-1,60),ROW()-1,FALSE))</f>
        <v/>
      </c>
      <c r="AQ210" t="str">
        <f ca="1">IF(AND(ISNUMBER($AQ$879),$B$677=1),$AQ$879,HLOOKUP(INDIRECT(ADDRESS(2,COLUMN())),OFFSET($BN$2,0,0,ROW()-1,60),ROW()-1,FALSE))</f>
        <v/>
      </c>
      <c r="AR210" t="str">
        <f ca="1">IF(AND(ISNUMBER($AR$879),$B$677=1),$AR$879,HLOOKUP(INDIRECT(ADDRESS(2,COLUMN())),OFFSET($BN$2,0,0,ROW()-1,60),ROW()-1,FALSE))</f>
        <v/>
      </c>
      <c r="AS210" t="str">
        <f ca="1">IF(AND(ISNUMBER($AS$879),$B$677=1),$AS$879,HLOOKUP(INDIRECT(ADDRESS(2,COLUMN())),OFFSET($BN$2,0,0,ROW()-1,60),ROW()-1,FALSE))</f>
        <v/>
      </c>
      <c r="AT210" t="str">
        <f ca="1">IF(AND(ISNUMBER($AT$879),$B$677=1),$AT$879,HLOOKUP(INDIRECT(ADDRESS(2,COLUMN())),OFFSET($BN$2,0,0,ROW()-1,60),ROW()-1,FALSE))</f>
        <v/>
      </c>
      <c r="AU210" t="str">
        <f ca="1">IF(AND(ISNUMBER($AU$879),$B$677=1),$AU$879,HLOOKUP(INDIRECT(ADDRESS(2,COLUMN())),OFFSET($BN$2,0,0,ROW()-1,60),ROW()-1,FALSE))</f>
        <v/>
      </c>
      <c r="AV210" t="str">
        <f ca="1">IF(AND(ISNUMBER($AV$879),$B$677=1),$AV$879,HLOOKUP(INDIRECT(ADDRESS(2,COLUMN())),OFFSET($BN$2,0,0,ROW()-1,60),ROW()-1,FALSE))</f>
        <v/>
      </c>
      <c r="AW210" t="str">
        <f ca="1">IF(AND(ISNUMBER($AW$879),$B$677=1),$AW$879,HLOOKUP(INDIRECT(ADDRESS(2,COLUMN())),OFFSET($BN$2,0,0,ROW()-1,60),ROW()-1,FALSE))</f>
        <v/>
      </c>
      <c r="AX210" t="str">
        <f ca="1">IF(AND(ISNUMBER($AX$879),$B$677=1),$AX$879,HLOOKUP(INDIRECT(ADDRESS(2,COLUMN())),OFFSET($BN$2,0,0,ROW()-1,60),ROW()-1,FALSE))</f>
        <v/>
      </c>
      <c r="AY210" t="str">
        <f ca="1">IF(AND(ISNUMBER($AY$879),$B$677=1),$AY$879,HLOOKUP(INDIRECT(ADDRESS(2,COLUMN())),OFFSET($BN$2,0,0,ROW()-1,60),ROW()-1,FALSE))</f>
        <v/>
      </c>
      <c r="AZ210" t="str">
        <f ca="1">IF(AND(ISNUMBER($AZ$879),$B$677=1),$AZ$879,HLOOKUP(INDIRECT(ADDRESS(2,COLUMN())),OFFSET($BN$2,0,0,ROW()-1,60),ROW()-1,FALSE))</f>
        <v/>
      </c>
      <c r="BA210" t="str">
        <f ca="1">IF(AND(ISNUMBER($BA$879),$B$677=1),$BA$879,HLOOKUP(INDIRECT(ADDRESS(2,COLUMN())),OFFSET($BN$2,0,0,ROW()-1,60),ROW()-1,FALSE))</f>
        <v/>
      </c>
      <c r="BB210" t="str">
        <f ca="1">IF(AND(ISNUMBER($BB$879),$B$677=1),$BB$879,HLOOKUP(INDIRECT(ADDRESS(2,COLUMN())),OFFSET($BN$2,0,0,ROW()-1,60),ROW()-1,FALSE))</f>
        <v/>
      </c>
      <c r="BC210" t="str">
        <f ca="1">IF(AND(ISNUMBER($BC$879),$B$677=1),$BC$879,HLOOKUP(INDIRECT(ADDRESS(2,COLUMN())),OFFSET($BN$2,0,0,ROW()-1,60),ROW()-1,FALSE))</f>
        <v/>
      </c>
      <c r="BD210" t="str">
        <f ca="1">IF(AND(ISNUMBER($BD$879),$B$677=1),$BD$879,HLOOKUP(INDIRECT(ADDRESS(2,COLUMN())),OFFSET($BN$2,0,0,ROW()-1,60),ROW()-1,FALSE))</f>
        <v/>
      </c>
      <c r="BE210" t="str">
        <f ca="1">IF(AND(ISNUMBER($BE$879),$B$677=1),$BE$879,HLOOKUP(INDIRECT(ADDRESS(2,COLUMN())),OFFSET($BN$2,0,0,ROW()-1,60),ROW()-1,FALSE))</f>
        <v/>
      </c>
      <c r="BF210" t="str">
        <f ca="1">IF(AND(ISNUMBER($BF$879),$B$677=1),$BF$879,HLOOKUP(INDIRECT(ADDRESS(2,COLUMN())),OFFSET($BN$2,0,0,ROW()-1,60),ROW()-1,FALSE))</f>
        <v/>
      </c>
      <c r="BG210" t="str">
        <f ca="1">IF(AND(ISNUMBER($BG$879),$B$677=1),$BG$879,HLOOKUP(INDIRECT(ADDRESS(2,COLUMN())),OFFSET($BN$2,0,0,ROW()-1,60),ROW()-1,FALSE))</f>
        <v/>
      </c>
      <c r="BH210" t="str">
        <f ca="1">IF(AND(ISNUMBER($BH$879),$B$677=1),$BH$879,HLOOKUP(INDIRECT(ADDRESS(2,COLUMN())),OFFSET($BN$2,0,0,ROW()-1,60),ROW()-1,FALSE))</f>
        <v/>
      </c>
      <c r="BI210" t="str">
        <f ca="1">IF(AND(ISNUMBER($BI$879),$B$677=1),$BI$879,HLOOKUP(INDIRECT(ADDRESS(2,COLUMN())),OFFSET($BN$2,0,0,ROW()-1,60),ROW()-1,FALSE))</f>
        <v/>
      </c>
      <c r="BJ210" t="str">
        <f ca="1">IF(AND(ISNUMBER($BJ$879),$B$677=1),$BJ$879,HLOOKUP(INDIRECT(ADDRESS(2,COLUMN())),OFFSET($BN$2,0,0,ROW()-1,60),ROW()-1,FALSE))</f>
        <v/>
      </c>
      <c r="BK210" t="str">
        <f ca="1">IF(AND(ISNUMBER($BK$879),$B$677=1),$BK$879,HLOOKUP(INDIRECT(ADDRESS(2,COLUMN())),OFFSET($BN$2,0,0,ROW()-1,60),ROW()-1,FALSE))</f>
        <v/>
      </c>
      <c r="BL210" t="str">
        <f ca="1">IF(AND(ISNUMBER($BL$879),$B$677=1),$BL$879,HLOOKUP(INDIRECT(ADDRESS(2,COLUMN())),OFFSET($BN$2,0,0,ROW()-1,60),ROW()-1,FALSE))</f>
        <v/>
      </c>
      <c r="BM210" t="str">
        <f ca="1">IF(AND(ISNUMBER($BM$879),$B$677=1),$BM$879,HLOOKUP(INDIRECT(ADDRESS(2,COLUMN())),OFFSET($BN$2,0,0,ROW()-1,60),ROW()-1,FALSE))</f>
        <v/>
      </c>
      <c r="BN210" t="str">
        <f>""</f>
        <v/>
      </c>
      <c r="BO210" t="str">
        <f>""</f>
        <v/>
      </c>
      <c r="BP210" t="str">
        <f>""</f>
        <v/>
      </c>
      <c r="BQ210" t="str">
        <f>""</f>
        <v/>
      </c>
      <c r="BR210" t="str">
        <f>""</f>
        <v/>
      </c>
      <c r="BS210" t="str">
        <f>""</f>
        <v/>
      </c>
      <c r="BT210" t="str">
        <f>""</f>
        <v/>
      </c>
      <c r="BU210" t="str">
        <f>""</f>
        <v/>
      </c>
      <c r="BV210" t="str">
        <f>""</f>
        <v/>
      </c>
      <c r="BW210" t="str">
        <f>""</f>
        <v/>
      </c>
      <c r="BX210" t="str">
        <f>""</f>
        <v/>
      </c>
      <c r="BY210" t="str">
        <f>""</f>
        <v/>
      </c>
      <c r="BZ210" t="str">
        <f>""</f>
        <v/>
      </c>
      <c r="CA210" t="str">
        <f>""</f>
        <v/>
      </c>
      <c r="CB210" t="str">
        <f>""</f>
        <v/>
      </c>
      <c r="CC210" t="str">
        <f>""</f>
        <v/>
      </c>
      <c r="CD210" t="str">
        <f>""</f>
        <v/>
      </c>
      <c r="CE210" t="str">
        <f>""</f>
        <v/>
      </c>
      <c r="CF210" t="str">
        <f>""</f>
        <v/>
      </c>
      <c r="CG210" t="str">
        <f>""</f>
        <v/>
      </c>
      <c r="CH210" t="str">
        <f>""</f>
        <v/>
      </c>
      <c r="CI210" t="str">
        <f>""</f>
        <v/>
      </c>
      <c r="CJ210" t="str">
        <f>""</f>
        <v/>
      </c>
      <c r="CK210" t="str">
        <f>""</f>
        <v/>
      </c>
      <c r="CL210" t="str">
        <f>""</f>
        <v/>
      </c>
      <c r="CM210" t="str">
        <f>""</f>
        <v/>
      </c>
      <c r="CN210" t="str">
        <f>""</f>
        <v/>
      </c>
      <c r="CO210" t="str">
        <f>""</f>
        <v/>
      </c>
      <c r="CP210" t="str">
        <f>""</f>
        <v/>
      </c>
      <c r="CQ210" t="str">
        <f>""</f>
        <v/>
      </c>
      <c r="CR210" t="str">
        <f>""</f>
        <v/>
      </c>
      <c r="CS210" t="str">
        <f>""</f>
        <v/>
      </c>
      <c r="CT210" t="str">
        <f>""</f>
        <v/>
      </c>
      <c r="CU210" t="str">
        <f>""</f>
        <v/>
      </c>
      <c r="CV210" t="str">
        <f>""</f>
        <v/>
      </c>
      <c r="CW210" t="str">
        <f>""</f>
        <v/>
      </c>
      <c r="CX210" t="str">
        <f>""</f>
        <v/>
      </c>
      <c r="CY210" t="str">
        <f>""</f>
        <v/>
      </c>
      <c r="CZ210" t="str">
        <f>""</f>
        <v/>
      </c>
      <c r="DA210" t="str">
        <f>""</f>
        <v/>
      </c>
      <c r="DB210" t="str">
        <f>""</f>
        <v/>
      </c>
      <c r="DC210" t="str">
        <f>""</f>
        <v/>
      </c>
      <c r="DD210" t="str">
        <f>""</f>
        <v/>
      </c>
      <c r="DE210" t="str">
        <f>""</f>
        <v/>
      </c>
      <c r="DF210" t="str">
        <f>""</f>
        <v/>
      </c>
      <c r="DG210" t="str">
        <f>""</f>
        <v/>
      </c>
      <c r="DH210" t="str">
        <f>""</f>
        <v/>
      </c>
      <c r="DI210" t="str">
        <f>""</f>
        <v/>
      </c>
      <c r="DJ210" t="str">
        <f>""</f>
        <v/>
      </c>
      <c r="DK210" t="str">
        <f>""</f>
        <v/>
      </c>
      <c r="DL210" t="str">
        <f>""</f>
        <v/>
      </c>
      <c r="DM210" t="str">
        <f>""</f>
        <v/>
      </c>
      <c r="DN210" t="str">
        <f>""</f>
        <v/>
      </c>
      <c r="DO210" t="str">
        <f>""</f>
        <v/>
      </c>
      <c r="DP210" t="str">
        <f>""</f>
        <v/>
      </c>
      <c r="DQ210" t="str">
        <f>""</f>
        <v/>
      </c>
      <c r="DR210" t="str">
        <f>""</f>
        <v/>
      </c>
      <c r="DS210" t="str">
        <f>""</f>
        <v/>
      </c>
      <c r="DT210" t="str">
        <f>""</f>
        <v/>
      </c>
      <c r="DU210" t="str">
        <f>""</f>
        <v/>
      </c>
    </row>
    <row r="211" spans="1:125" x14ac:dyDescent="0.25">
      <c r="A211" t="str">
        <f>"    Avtovaz PJSC"</f>
        <v xml:space="preserve">    Avtovaz PJSC</v>
      </c>
      <c r="B211" t="str">
        <f>"AVAZ RM Equity"</f>
        <v>AVAZ RM Equity</v>
      </c>
      <c r="C211" t="str">
        <f t="shared" si="15"/>
        <v>RR971</v>
      </c>
      <c r="D211" t="str">
        <f t="shared" si="16"/>
        <v>CURRENT_PX_TO_FREE_CASH_FLOW</v>
      </c>
      <c r="E211" t="str">
        <f t="shared" si="17"/>
        <v>Dynamic</v>
      </c>
      <c r="F211" t="str">
        <f ca="1">IF(AND(ISNUMBER($F$880),$B$677=1),$F$880,HLOOKUP(INDIRECT(ADDRESS(2,COLUMN())),OFFSET($BN$2,0,0,ROW()-1,60),ROW()-1,FALSE))</f>
        <v/>
      </c>
      <c r="G211" t="str">
        <f ca="1">IF(AND(ISNUMBER($G$880),$B$677=1),$G$880,HLOOKUP(INDIRECT(ADDRESS(2,COLUMN())),OFFSET($BN$2,0,0,ROW()-1,60),ROW()-1,FALSE))</f>
        <v/>
      </c>
      <c r="H211" t="str">
        <f ca="1">IF(AND(ISNUMBER($H$880),$B$677=1),$H$880,HLOOKUP(INDIRECT(ADDRESS(2,COLUMN())),OFFSET($BN$2,0,0,ROW()-1,60),ROW()-1,FALSE))</f>
        <v/>
      </c>
      <c r="I211" t="str">
        <f ca="1">IF(AND(ISNUMBER($I$880),$B$677=1),$I$880,HLOOKUP(INDIRECT(ADDRESS(2,COLUMN())),OFFSET($BN$2,0,0,ROW()-1,60),ROW()-1,FALSE))</f>
        <v/>
      </c>
      <c r="J211" t="str">
        <f ca="1">IF(AND(ISNUMBER($J$880),$B$677=1),$J$880,HLOOKUP(INDIRECT(ADDRESS(2,COLUMN())),OFFSET($BN$2,0,0,ROW()-1,60),ROW()-1,FALSE))</f>
        <v/>
      </c>
      <c r="K211" t="str">
        <f ca="1">IF(AND(ISNUMBER($K$880),$B$677=1),$K$880,HLOOKUP(INDIRECT(ADDRESS(2,COLUMN())),OFFSET($BN$2,0,0,ROW()-1,60),ROW()-1,FALSE))</f>
        <v/>
      </c>
      <c r="L211" t="str">
        <f ca="1">IF(AND(ISNUMBER($L$880),$B$677=1),$L$880,HLOOKUP(INDIRECT(ADDRESS(2,COLUMN())),OFFSET($BN$2,0,0,ROW()-1,60),ROW()-1,FALSE))</f>
        <v/>
      </c>
      <c r="M211" t="str">
        <f ca="1">IF(AND(ISNUMBER($M$880),$B$677=1),$M$880,HLOOKUP(INDIRECT(ADDRESS(2,COLUMN())),OFFSET($BN$2,0,0,ROW()-1,60),ROW()-1,FALSE))</f>
        <v/>
      </c>
      <c r="N211" t="str">
        <f ca="1">IF(AND(ISNUMBER($N$880),$B$677=1),$N$880,HLOOKUP(INDIRECT(ADDRESS(2,COLUMN())),OFFSET($BN$2,0,0,ROW()-1,60),ROW()-1,FALSE))</f>
        <v/>
      </c>
      <c r="O211" t="str">
        <f ca="1">IF(AND(ISNUMBER($O$880),$B$677=1),$O$880,HLOOKUP(INDIRECT(ADDRESS(2,COLUMN())),OFFSET($BN$2,0,0,ROW()-1,60),ROW()-1,FALSE))</f>
        <v/>
      </c>
      <c r="P211" t="str">
        <f ca="1">IF(AND(ISNUMBER($P$880),$B$677=1),$P$880,HLOOKUP(INDIRECT(ADDRESS(2,COLUMN())),OFFSET($BN$2,0,0,ROW()-1,60),ROW()-1,FALSE))</f>
        <v/>
      </c>
      <c r="Q211" t="str">
        <f ca="1">IF(AND(ISNUMBER($Q$880),$B$677=1),$Q$880,HLOOKUP(INDIRECT(ADDRESS(2,COLUMN())),OFFSET($BN$2,0,0,ROW()-1,60),ROW()-1,FALSE))</f>
        <v/>
      </c>
      <c r="R211" t="str">
        <f ca="1">IF(AND(ISNUMBER($R$880),$B$677=1),$R$880,HLOOKUP(INDIRECT(ADDRESS(2,COLUMN())),OFFSET($BN$2,0,0,ROW()-1,60),ROW()-1,FALSE))</f>
        <v/>
      </c>
      <c r="S211" t="str">
        <f ca="1">IF(AND(ISNUMBER($S$880),$B$677=1),$S$880,HLOOKUP(INDIRECT(ADDRESS(2,COLUMN())),OFFSET($BN$2,0,0,ROW()-1,60),ROW()-1,FALSE))</f>
        <v/>
      </c>
      <c r="T211" t="str">
        <f ca="1">IF(AND(ISNUMBER($T$880),$B$677=1),$T$880,HLOOKUP(INDIRECT(ADDRESS(2,COLUMN())),OFFSET($BN$2,0,0,ROW()-1,60),ROW()-1,FALSE))</f>
        <v/>
      </c>
      <c r="U211" t="str">
        <f ca="1">IF(AND(ISNUMBER($U$880),$B$677=1),$U$880,HLOOKUP(INDIRECT(ADDRESS(2,COLUMN())),OFFSET($BN$2,0,0,ROW()-1,60),ROW()-1,FALSE))</f>
        <v/>
      </c>
      <c r="V211" t="str">
        <f ca="1">IF(AND(ISNUMBER($V$880),$B$677=1),$V$880,HLOOKUP(INDIRECT(ADDRESS(2,COLUMN())),OFFSET($BN$2,0,0,ROW()-1,60),ROW()-1,FALSE))</f>
        <v/>
      </c>
      <c r="W211" t="str">
        <f ca="1">IF(AND(ISNUMBER($W$880),$B$677=1),$W$880,HLOOKUP(INDIRECT(ADDRESS(2,COLUMN())),OFFSET($BN$2,0,0,ROW()-1,60),ROW()-1,FALSE))</f>
        <v/>
      </c>
      <c r="X211" t="str">
        <f ca="1">IF(AND(ISNUMBER($X$880),$B$677=1),$X$880,HLOOKUP(INDIRECT(ADDRESS(2,COLUMN())),OFFSET($BN$2,0,0,ROW()-1,60),ROW()-1,FALSE))</f>
        <v/>
      </c>
      <c r="Y211" t="str">
        <f ca="1">IF(AND(ISNUMBER($Y$880),$B$677=1),$Y$880,HLOOKUP(INDIRECT(ADDRESS(2,COLUMN())),OFFSET($BN$2,0,0,ROW()-1,60),ROW()-1,FALSE))</f>
        <v/>
      </c>
      <c r="Z211" t="str">
        <f ca="1">IF(AND(ISNUMBER($Z$880),$B$677=1),$Z$880,HLOOKUP(INDIRECT(ADDRESS(2,COLUMN())),OFFSET($BN$2,0,0,ROW()-1,60),ROW()-1,FALSE))</f>
        <v/>
      </c>
      <c r="AA211" t="str">
        <f ca="1">IF(AND(ISNUMBER($AA$880),$B$677=1),$AA$880,HLOOKUP(INDIRECT(ADDRESS(2,COLUMN())),OFFSET($BN$2,0,0,ROW()-1,60),ROW()-1,FALSE))</f>
        <v/>
      </c>
      <c r="AB211" t="str">
        <f ca="1">IF(AND(ISNUMBER($AB$880),$B$677=1),$AB$880,HLOOKUP(INDIRECT(ADDRESS(2,COLUMN())),OFFSET($BN$2,0,0,ROW()-1,60),ROW()-1,FALSE))</f>
        <v/>
      </c>
      <c r="AC211" t="str">
        <f ca="1">IF(AND(ISNUMBER($AC$880),$B$677=1),$AC$880,HLOOKUP(INDIRECT(ADDRESS(2,COLUMN())),OFFSET($BN$2,0,0,ROW()-1,60),ROW()-1,FALSE))</f>
        <v/>
      </c>
      <c r="AD211" t="str">
        <f ca="1">IF(AND(ISNUMBER($AD$880),$B$677=1),$AD$880,HLOOKUP(INDIRECT(ADDRESS(2,COLUMN())),OFFSET($BN$2,0,0,ROW()-1,60),ROW()-1,FALSE))</f>
        <v/>
      </c>
      <c r="AE211" t="str">
        <f ca="1">IF(AND(ISNUMBER($AE$880),$B$677=1),$AE$880,HLOOKUP(INDIRECT(ADDRESS(2,COLUMN())),OFFSET($BN$2,0,0,ROW()-1,60),ROW()-1,FALSE))</f>
        <v/>
      </c>
      <c r="AF211" t="str">
        <f ca="1">IF(AND(ISNUMBER($AF$880),$B$677=1),$AF$880,HLOOKUP(INDIRECT(ADDRESS(2,COLUMN())),OFFSET($BN$2,0,0,ROW()-1,60),ROW()-1,FALSE))</f>
        <v/>
      </c>
      <c r="AG211" t="str">
        <f ca="1">IF(AND(ISNUMBER($AG$880),$B$677=1),$AG$880,HLOOKUP(INDIRECT(ADDRESS(2,COLUMN())),OFFSET($BN$2,0,0,ROW()-1,60),ROW()-1,FALSE))</f>
        <v/>
      </c>
      <c r="AH211" t="str">
        <f ca="1">IF(AND(ISNUMBER($AH$880),$B$677=1),$AH$880,HLOOKUP(INDIRECT(ADDRESS(2,COLUMN())),OFFSET($BN$2,0,0,ROW()-1,60),ROW()-1,FALSE))</f>
        <v/>
      </c>
      <c r="AI211" t="str">
        <f ca="1">IF(AND(ISNUMBER($AI$880),$B$677=1),$AI$880,HLOOKUP(INDIRECT(ADDRESS(2,COLUMN())),OFFSET($BN$2,0,0,ROW()-1,60),ROW()-1,FALSE))</f>
        <v/>
      </c>
      <c r="AJ211" t="str">
        <f ca="1">IF(AND(ISNUMBER($AJ$880),$B$677=1),$AJ$880,HLOOKUP(INDIRECT(ADDRESS(2,COLUMN())),OFFSET($BN$2,0,0,ROW()-1,60),ROW()-1,FALSE))</f>
        <v/>
      </c>
      <c r="AK211" t="str">
        <f ca="1">IF(AND(ISNUMBER($AK$880),$B$677=1),$AK$880,HLOOKUP(INDIRECT(ADDRESS(2,COLUMN())),OFFSET($BN$2,0,0,ROW()-1,60),ROW()-1,FALSE))</f>
        <v/>
      </c>
      <c r="AL211" t="str">
        <f ca="1">IF(AND(ISNUMBER($AL$880),$B$677=1),$AL$880,HLOOKUP(INDIRECT(ADDRESS(2,COLUMN())),OFFSET($BN$2,0,0,ROW()-1,60),ROW()-1,FALSE))</f>
        <v/>
      </c>
      <c r="AM211" t="str">
        <f ca="1">IF(AND(ISNUMBER($AM$880),$B$677=1),$AM$880,HLOOKUP(INDIRECT(ADDRESS(2,COLUMN())),OFFSET($BN$2,0,0,ROW()-1,60),ROW()-1,FALSE))</f>
        <v/>
      </c>
      <c r="AN211" t="str">
        <f ca="1">IF(AND(ISNUMBER($AN$880),$B$677=1),$AN$880,HLOOKUP(INDIRECT(ADDRESS(2,COLUMN())),OFFSET($BN$2,0,0,ROW()-1,60),ROW()-1,FALSE))</f>
        <v/>
      </c>
      <c r="AO211" t="str">
        <f ca="1">IF(AND(ISNUMBER($AO$880),$B$677=1),$AO$880,HLOOKUP(INDIRECT(ADDRESS(2,COLUMN())),OFFSET($BN$2,0,0,ROW()-1,60),ROW()-1,FALSE))</f>
        <v/>
      </c>
      <c r="AP211" t="str">
        <f ca="1">IF(AND(ISNUMBER($AP$880),$B$677=1),$AP$880,HLOOKUP(INDIRECT(ADDRESS(2,COLUMN())),OFFSET($BN$2,0,0,ROW()-1,60),ROW()-1,FALSE))</f>
        <v/>
      </c>
      <c r="AQ211" t="str">
        <f ca="1">IF(AND(ISNUMBER($AQ$880),$B$677=1),$AQ$880,HLOOKUP(INDIRECT(ADDRESS(2,COLUMN())),OFFSET($BN$2,0,0,ROW()-1,60),ROW()-1,FALSE))</f>
        <v/>
      </c>
      <c r="AR211" t="str">
        <f ca="1">IF(AND(ISNUMBER($AR$880),$B$677=1),$AR$880,HLOOKUP(INDIRECT(ADDRESS(2,COLUMN())),OFFSET($BN$2,0,0,ROW()-1,60),ROW()-1,FALSE))</f>
        <v/>
      </c>
      <c r="AS211" t="str">
        <f ca="1">IF(AND(ISNUMBER($AS$880),$B$677=1),$AS$880,HLOOKUP(INDIRECT(ADDRESS(2,COLUMN())),OFFSET($BN$2,0,0,ROW()-1,60),ROW()-1,FALSE))</f>
        <v/>
      </c>
      <c r="AT211" t="str">
        <f ca="1">IF(AND(ISNUMBER($AT$880),$B$677=1),$AT$880,HLOOKUP(INDIRECT(ADDRESS(2,COLUMN())),OFFSET($BN$2,0,0,ROW()-1,60),ROW()-1,FALSE))</f>
        <v/>
      </c>
      <c r="AU211" t="str">
        <f ca="1">IF(AND(ISNUMBER($AU$880),$B$677=1),$AU$880,HLOOKUP(INDIRECT(ADDRESS(2,COLUMN())),OFFSET($BN$2,0,0,ROW()-1,60),ROW()-1,FALSE))</f>
        <v/>
      </c>
      <c r="AV211" t="str">
        <f ca="1">IF(AND(ISNUMBER($AV$880),$B$677=1),$AV$880,HLOOKUP(INDIRECT(ADDRESS(2,COLUMN())),OFFSET($BN$2,0,0,ROW()-1,60),ROW()-1,FALSE))</f>
        <v/>
      </c>
      <c r="AW211" t="str">
        <f ca="1">IF(AND(ISNUMBER($AW$880),$B$677=1),$AW$880,HLOOKUP(INDIRECT(ADDRESS(2,COLUMN())),OFFSET($BN$2,0,0,ROW()-1,60),ROW()-1,FALSE))</f>
        <v/>
      </c>
      <c r="AX211" t="str">
        <f ca="1">IF(AND(ISNUMBER($AX$880),$B$677=1),$AX$880,HLOOKUP(INDIRECT(ADDRESS(2,COLUMN())),OFFSET($BN$2,0,0,ROW()-1,60),ROW()-1,FALSE))</f>
        <v/>
      </c>
      <c r="AY211" t="str">
        <f ca="1">IF(AND(ISNUMBER($AY$880),$B$677=1),$AY$880,HLOOKUP(INDIRECT(ADDRESS(2,COLUMN())),OFFSET($BN$2,0,0,ROW()-1,60),ROW()-1,FALSE))</f>
        <v/>
      </c>
      <c r="AZ211" t="str">
        <f ca="1">IF(AND(ISNUMBER($AZ$880),$B$677=1),$AZ$880,HLOOKUP(INDIRECT(ADDRESS(2,COLUMN())),OFFSET($BN$2,0,0,ROW()-1,60),ROW()-1,FALSE))</f>
        <v/>
      </c>
      <c r="BA211" t="str">
        <f ca="1">IF(AND(ISNUMBER($BA$880),$B$677=1),$BA$880,HLOOKUP(INDIRECT(ADDRESS(2,COLUMN())),OFFSET($BN$2,0,0,ROW()-1,60),ROW()-1,FALSE))</f>
        <v/>
      </c>
      <c r="BB211" t="str">
        <f ca="1">IF(AND(ISNUMBER($BB$880),$B$677=1),$BB$880,HLOOKUP(INDIRECT(ADDRESS(2,COLUMN())),OFFSET($BN$2,0,0,ROW()-1,60),ROW()-1,FALSE))</f>
        <v/>
      </c>
      <c r="BC211" t="str">
        <f ca="1">IF(AND(ISNUMBER($BC$880),$B$677=1),$BC$880,HLOOKUP(INDIRECT(ADDRESS(2,COLUMN())),OFFSET($BN$2,0,0,ROW()-1,60),ROW()-1,FALSE))</f>
        <v/>
      </c>
      <c r="BD211" t="str">
        <f ca="1">IF(AND(ISNUMBER($BD$880),$B$677=1),$BD$880,HLOOKUP(INDIRECT(ADDRESS(2,COLUMN())),OFFSET($BN$2,0,0,ROW()-1,60),ROW()-1,FALSE))</f>
        <v/>
      </c>
      <c r="BE211" t="str">
        <f ca="1">IF(AND(ISNUMBER($BE$880),$B$677=1),$BE$880,HLOOKUP(INDIRECT(ADDRESS(2,COLUMN())),OFFSET($BN$2,0,0,ROW()-1,60),ROW()-1,FALSE))</f>
        <v/>
      </c>
      <c r="BF211" t="str">
        <f ca="1">IF(AND(ISNUMBER($BF$880),$B$677=1),$BF$880,HLOOKUP(INDIRECT(ADDRESS(2,COLUMN())),OFFSET($BN$2,0,0,ROW()-1,60),ROW()-1,FALSE))</f>
        <v/>
      </c>
      <c r="BG211" t="str">
        <f ca="1">IF(AND(ISNUMBER($BG$880),$B$677=1),$BG$880,HLOOKUP(INDIRECT(ADDRESS(2,COLUMN())),OFFSET($BN$2,0,0,ROW()-1,60),ROW()-1,FALSE))</f>
        <v/>
      </c>
      <c r="BH211" t="str">
        <f ca="1">IF(AND(ISNUMBER($BH$880),$B$677=1),$BH$880,HLOOKUP(INDIRECT(ADDRESS(2,COLUMN())),OFFSET($BN$2,0,0,ROW()-1,60),ROW()-1,FALSE))</f>
        <v/>
      </c>
      <c r="BI211" t="str">
        <f ca="1">IF(AND(ISNUMBER($BI$880),$B$677=1),$BI$880,HLOOKUP(INDIRECT(ADDRESS(2,COLUMN())),OFFSET($BN$2,0,0,ROW()-1,60),ROW()-1,FALSE))</f>
        <v/>
      </c>
      <c r="BJ211" t="str">
        <f ca="1">IF(AND(ISNUMBER($BJ$880),$B$677=1),$BJ$880,HLOOKUP(INDIRECT(ADDRESS(2,COLUMN())),OFFSET($BN$2,0,0,ROW()-1,60),ROW()-1,FALSE))</f>
        <v/>
      </c>
      <c r="BK211" t="str">
        <f ca="1">IF(AND(ISNUMBER($BK$880),$B$677=1),$BK$880,HLOOKUP(INDIRECT(ADDRESS(2,COLUMN())),OFFSET($BN$2,0,0,ROW()-1,60),ROW()-1,FALSE))</f>
        <v/>
      </c>
      <c r="BL211" t="str">
        <f ca="1">IF(AND(ISNUMBER($BL$880),$B$677=1),$BL$880,HLOOKUP(INDIRECT(ADDRESS(2,COLUMN())),OFFSET($BN$2,0,0,ROW()-1,60),ROW()-1,FALSE))</f>
        <v/>
      </c>
      <c r="BM211" t="str">
        <f ca="1">IF(AND(ISNUMBER($BM$880),$B$677=1),$BM$880,HLOOKUP(INDIRECT(ADDRESS(2,COLUMN())),OFFSET($BN$2,0,0,ROW()-1,60),ROW()-1,FALSE))</f>
        <v/>
      </c>
      <c r="BN211" t="str">
        <f>""</f>
        <v/>
      </c>
      <c r="BO211" t="str">
        <f>""</f>
        <v/>
      </c>
      <c r="BP211" t="str">
        <f>""</f>
        <v/>
      </c>
      <c r="BQ211" t="str">
        <f>""</f>
        <v/>
      </c>
      <c r="BR211" t="str">
        <f>""</f>
        <v/>
      </c>
      <c r="BS211" t="str">
        <f>""</f>
        <v/>
      </c>
      <c r="BT211" t="str">
        <f>""</f>
        <v/>
      </c>
      <c r="BU211" t="str">
        <f>""</f>
        <v/>
      </c>
      <c r="BV211" t="str">
        <f>""</f>
        <v/>
      </c>
      <c r="BW211" t="str">
        <f>""</f>
        <v/>
      </c>
      <c r="BX211" t="str">
        <f>""</f>
        <v/>
      </c>
      <c r="BY211" t="str">
        <f>""</f>
        <v/>
      </c>
      <c r="BZ211" t="str">
        <f>""</f>
        <v/>
      </c>
      <c r="CA211" t="str">
        <f>""</f>
        <v/>
      </c>
      <c r="CB211" t="str">
        <f>""</f>
        <v/>
      </c>
      <c r="CC211" t="str">
        <f>""</f>
        <v/>
      </c>
      <c r="CD211" t="str">
        <f>""</f>
        <v/>
      </c>
      <c r="CE211" t="str">
        <f>""</f>
        <v/>
      </c>
      <c r="CF211" t="str">
        <f>""</f>
        <v/>
      </c>
      <c r="CG211" t="str">
        <f>""</f>
        <v/>
      </c>
      <c r="CH211" t="str">
        <f>""</f>
        <v/>
      </c>
      <c r="CI211" t="str">
        <f>""</f>
        <v/>
      </c>
      <c r="CJ211" t="str">
        <f>""</f>
        <v/>
      </c>
      <c r="CK211" t="str">
        <f>""</f>
        <v/>
      </c>
      <c r="CL211" t="str">
        <f>""</f>
        <v/>
      </c>
      <c r="CM211" t="str">
        <f>""</f>
        <v/>
      </c>
      <c r="CN211" t="str">
        <f>""</f>
        <v/>
      </c>
      <c r="CO211" t="str">
        <f>""</f>
        <v/>
      </c>
      <c r="CP211" t="str">
        <f>""</f>
        <v/>
      </c>
      <c r="CQ211" t="str">
        <f>""</f>
        <v/>
      </c>
      <c r="CR211" t="str">
        <f>""</f>
        <v/>
      </c>
      <c r="CS211" t="str">
        <f>""</f>
        <v/>
      </c>
      <c r="CT211" t="str">
        <f>""</f>
        <v/>
      </c>
      <c r="CU211" t="str">
        <f>""</f>
        <v/>
      </c>
      <c r="CV211" t="str">
        <f>""</f>
        <v/>
      </c>
      <c r="CW211" t="str">
        <f>""</f>
        <v/>
      </c>
      <c r="CX211" t="str">
        <f>""</f>
        <v/>
      </c>
      <c r="CY211" t="str">
        <f>""</f>
        <v/>
      </c>
      <c r="CZ211" t="str">
        <f>""</f>
        <v/>
      </c>
      <c r="DA211" t="str">
        <f>""</f>
        <v/>
      </c>
      <c r="DB211" t="str">
        <f>""</f>
        <v/>
      </c>
      <c r="DC211" t="str">
        <f>""</f>
        <v/>
      </c>
      <c r="DD211" t="str">
        <f>""</f>
        <v/>
      </c>
      <c r="DE211" t="str">
        <f>""</f>
        <v/>
      </c>
      <c r="DF211" t="str">
        <f>""</f>
        <v/>
      </c>
      <c r="DG211" t="str">
        <f>""</f>
        <v/>
      </c>
      <c r="DH211" t="str">
        <f>""</f>
        <v/>
      </c>
      <c r="DI211" t="str">
        <f>""</f>
        <v/>
      </c>
      <c r="DJ211" t="str">
        <f>""</f>
        <v/>
      </c>
      <c r="DK211" t="str">
        <f>""</f>
        <v/>
      </c>
      <c r="DL211" t="str">
        <f>""</f>
        <v/>
      </c>
      <c r="DM211" t="str">
        <f>""</f>
        <v/>
      </c>
      <c r="DN211" t="str">
        <f>""</f>
        <v/>
      </c>
      <c r="DO211" t="str">
        <f>""</f>
        <v/>
      </c>
      <c r="DP211" t="str">
        <f>""</f>
        <v/>
      </c>
      <c r="DQ211" t="str">
        <f>""</f>
        <v/>
      </c>
      <c r="DR211" t="str">
        <f>""</f>
        <v/>
      </c>
      <c r="DS211" t="str">
        <f>""</f>
        <v/>
      </c>
      <c r="DT211" t="str">
        <f>""</f>
        <v/>
      </c>
      <c r="DU211" t="str">
        <f>""</f>
        <v/>
      </c>
    </row>
    <row r="212" spans="1:125" x14ac:dyDescent="0.25">
      <c r="A212" t="str">
        <f>"    Bayerische Motoren Werke AG"</f>
        <v xml:space="preserve">    Bayerische Motoren Werke AG</v>
      </c>
      <c r="B212" t="str">
        <f>"BMW GR Equity"</f>
        <v>BMW GR Equity</v>
      </c>
      <c r="C212" t="str">
        <f t="shared" si="15"/>
        <v>RR971</v>
      </c>
      <c r="D212" t="str">
        <f t="shared" si="16"/>
        <v>CURRENT_PX_TO_FREE_CASH_FLOW</v>
      </c>
      <c r="E212" t="str">
        <f t="shared" si="17"/>
        <v>Dynamic</v>
      </c>
      <c r="F212" t="str">
        <f ca="1">IF(AND(ISNUMBER($F$881),$B$677=1),$F$881,HLOOKUP(INDIRECT(ADDRESS(2,COLUMN())),OFFSET($BN$2,0,0,ROW()-1,60),ROW()-1,FALSE))</f>
        <v/>
      </c>
      <c r="G212" t="str">
        <f ca="1">IF(AND(ISNUMBER($G$881),$B$677=1),$G$881,HLOOKUP(INDIRECT(ADDRESS(2,COLUMN())),OFFSET($BN$2,0,0,ROW()-1,60),ROW()-1,FALSE))</f>
        <v/>
      </c>
      <c r="H212" t="str">
        <f ca="1">IF(AND(ISNUMBER($H$881),$B$677=1),$H$881,HLOOKUP(INDIRECT(ADDRESS(2,COLUMN())),OFFSET($BN$2,0,0,ROW()-1,60),ROW()-1,FALSE))</f>
        <v/>
      </c>
      <c r="I212" t="str">
        <f ca="1">IF(AND(ISNUMBER($I$881),$B$677=1),$I$881,HLOOKUP(INDIRECT(ADDRESS(2,COLUMN())),OFFSET($BN$2,0,0,ROW()-1,60),ROW()-1,FALSE))</f>
        <v/>
      </c>
      <c r="J212" t="str">
        <f ca="1">IF(AND(ISNUMBER($J$881),$B$677=1),$J$881,HLOOKUP(INDIRECT(ADDRESS(2,COLUMN())),OFFSET($BN$2,0,0,ROW()-1,60),ROW()-1,FALSE))</f>
        <v/>
      </c>
      <c r="K212" t="str">
        <f ca="1">IF(AND(ISNUMBER($K$881),$B$677=1),$K$881,HLOOKUP(INDIRECT(ADDRESS(2,COLUMN())),OFFSET($BN$2,0,0,ROW()-1,60),ROW()-1,FALSE))</f>
        <v/>
      </c>
      <c r="L212" t="str">
        <f ca="1">IF(AND(ISNUMBER($L$881),$B$677=1),$L$881,HLOOKUP(INDIRECT(ADDRESS(2,COLUMN())),OFFSET($BN$2,0,0,ROW()-1,60),ROW()-1,FALSE))</f>
        <v/>
      </c>
      <c r="M212" t="str">
        <f ca="1">IF(AND(ISNUMBER($M$881),$B$677=1),$M$881,HLOOKUP(INDIRECT(ADDRESS(2,COLUMN())),OFFSET($BN$2,0,0,ROW()-1,60),ROW()-1,FALSE))</f>
        <v/>
      </c>
      <c r="N212" t="str">
        <f ca="1">IF(AND(ISNUMBER($N$881),$B$677=1),$N$881,HLOOKUP(INDIRECT(ADDRESS(2,COLUMN())),OFFSET($BN$2,0,0,ROW()-1,60),ROW()-1,FALSE))</f>
        <v/>
      </c>
      <c r="O212" t="str">
        <f ca="1">IF(AND(ISNUMBER($O$881),$B$677=1),$O$881,HLOOKUP(INDIRECT(ADDRESS(2,COLUMN())),OFFSET($BN$2,0,0,ROW()-1,60),ROW()-1,FALSE))</f>
        <v/>
      </c>
      <c r="P212" t="str">
        <f ca="1">IF(AND(ISNUMBER($P$881),$B$677=1),$P$881,HLOOKUP(INDIRECT(ADDRESS(2,COLUMN())),OFFSET($BN$2,0,0,ROW()-1,60),ROW()-1,FALSE))</f>
        <v/>
      </c>
      <c r="Q212" t="str">
        <f ca="1">IF(AND(ISNUMBER($Q$881),$B$677=1),$Q$881,HLOOKUP(INDIRECT(ADDRESS(2,COLUMN())),OFFSET($BN$2,0,0,ROW()-1,60),ROW()-1,FALSE))</f>
        <v/>
      </c>
      <c r="R212" t="str">
        <f ca="1">IF(AND(ISNUMBER($R$881),$B$677=1),$R$881,HLOOKUP(INDIRECT(ADDRESS(2,COLUMN())),OFFSET($BN$2,0,0,ROW()-1,60),ROW()-1,FALSE))</f>
        <v/>
      </c>
      <c r="S212" t="str">
        <f ca="1">IF(AND(ISNUMBER($S$881),$B$677=1),$S$881,HLOOKUP(INDIRECT(ADDRESS(2,COLUMN())),OFFSET($BN$2,0,0,ROW()-1,60),ROW()-1,FALSE))</f>
        <v/>
      </c>
      <c r="T212" t="str">
        <f ca="1">IF(AND(ISNUMBER($T$881),$B$677=1),$T$881,HLOOKUP(INDIRECT(ADDRESS(2,COLUMN())),OFFSET($BN$2,0,0,ROW()-1,60),ROW()-1,FALSE))</f>
        <v/>
      </c>
      <c r="U212" t="str">
        <f ca="1">IF(AND(ISNUMBER($U$881),$B$677=1),$U$881,HLOOKUP(INDIRECT(ADDRESS(2,COLUMN())),OFFSET($BN$2,0,0,ROW()-1,60),ROW()-1,FALSE))</f>
        <v/>
      </c>
      <c r="V212" t="str">
        <f ca="1">IF(AND(ISNUMBER($V$881),$B$677=1),$V$881,HLOOKUP(INDIRECT(ADDRESS(2,COLUMN())),OFFSET($BN$2,0,0,ROW()-1,60),ROW()-1,FALSE))</f>
        <v/>
      </c>
      <c r="W212" t="str">
        <f ca="1">IF(AND(ISNUMBER($W$881),$B$677=1),$W$881,HLOOKUP(INDIRECT(ADDRESS(2,COLUMN())),OFFSET($BN$2,0,0,ROW()-1,60),ROW()-1,FALSE))</f>
        <v/>
      </c>
      <c r="X212" t="str">
        <f ca="1">IF(AND(ISNUMBER($X$881),$B$677=1),$X$881,HLOOKUP(INDIRECT(ADDRESS(2,COLUMN())),OFFSET($BN$2,0,0,ROW()-1,60),ROW()-1,FALSE))</f>
        <v/>
      </c>
      <c r="Y212" t="str">
        <f ca="1">IF(AND(ISNUMBER($Y$881),$B$677=1),$Y$881,HLOOKUP(INDIRECT(ADDRESS(2,COLUMN())),OFFSET($BN$2,0,0,ROW()-1,60),ROW()-1,FALSE))</f>
        <v/>
      </c>
      <c r="Z212" t="str">
        <f ca="1">IF(AND(ISNUMBER($Z$881),$B$677=1),$Z$881,HLOOKUP(INDIRECT(ADDRESS(2,COLUMN())),OFFSET($BN$2,0,0,ROW()-1,60),ROW()-1,FALSE))</f>
        <v/>
      </c>
      <c r="AA212" t="str">
        <f ca="1">IF(AND(ISNUMBER($AA$881),$B$677=1),$AA$881,HLOOKUP(INDIRECT(ADDRESS(2,COLUMN())),OFFSET($BN$2,0,0,ROW()-1,60),ROW()-1,FALSE))</f>
        <v/>
      </c>
      <c r="AB212" t="str">
        <f ca="1">IF(AND(ISNUMBER($AB$881),$B$677=1),$AB$881,HLOOKUP(INDIRECT(ADDRESS(2,COLUMN())),OFFSET($BN$2,0,0,ROW()-1,60),ROW()-1,FALSE))</f>
        <v/>
      </c>
      <c r="AC212" t="str">
        <f ca="1">IF(AND(ISNUMBER($AC$881),$B$677=1),$AC$881,HLOOKUP(INDIRECT(ADDRESS(2,COLUMN())),OFFSET($BN$2,0,0,ROW()-1,60),ROW()-1,FALSE))</f>
        <v/>
      </c>
      <c r="AD212" t="str">
        <f ca="1">IF(AND(ISNUMBER($AD$881),$B$677=1),$AD$881,HLOOKUP(INDIRECT(ADDRESS(2,COLUMN())),OFFSET($BN$2,0,0,ROW()-1,60),ROW()-1,FALSE))</f>
        <v/>
      </c>
      <c r="AE212" t="str">
        <f ca="1">IF(AND(ISNUMBER($AE$881),$B$677=1),$AE$881,HLOOKUP(INDIRECT(ADDRESS(2,COLUMN())),OFFSET($BN$2,0,0,ROW()-1,60),ROW()-1,FALSE))</f>
        <v/>
      </c>
      <c r="AF212">
        <f ca="1">IF(AND(ISNUMBER($AF$881),$B$677=1),$AF$881,HLOOKUP(INDIRECT(ADDRESS(2,COLUMN())),OFFSET($BN$2,0,0,ROW()-1,60),ROW()-1,FALSE))</f>
        <v>51.436594300000003</v>
      </c>
      <c r="AG212">
        <f ca="1">IF(AND(ISNUMBER($AG$881),$B$677=1),$AG$881,HLOOKUP(INDIRECT(ADDRESS(2,COLUMN())),OFFSET($BN$2,0,0,ROW()-1,60),ROW()-1,FALSE))</f>
        <v>50.235258770000002</v>
      </c>
      <c r="AH212">
        <f ca="1">IF(AND(ISNUMBER($AH$881),$B$677=1),$AH$881,HLOOKUP(INDIRECT(ADDRESS(2,COLUMN())),OFFSET($BN$2,0,0,ROW()-1,60),ROW()-1,FALSE))</f>
        <v>21.90747429</v>
      </c>
      <c r="AI212">
        <f ca="1">IF(AND(ISNUMBER($AI$881),$B$677=1),$AI$881,HLOOKUP(INDIRECT(ADDRESS(2,COLUMN())),OFFSET($BN$2,0,0,ROW()-1,60),ROW()-1,FALSE))</f>
        <v>16.913247429999998</v>
      </c>
      <c r="AJ212" t="str">
        <f ca="1">IF(AND(ISNUMBER($AJ$881),$B$677=1),$AJ$881,HLOOKUP(INDIRECT(ADDRESS(2,COLUMN())),OFFSET($BN$2,0,0,ROW()-1,60),ROW()-1,FALSE))</f>
        <v/>
      </c>
      <c r="AK212">
        <f ca="1">IF(AND(ISNUMBER($AK$881),$B$677=1),$AK$881,HLOOKUP(INDIRECT(ADDRESS(2,COLUMN())),OFFSET($BN$2,0,0,ROW()-1,60),ROW()-1,FALSE))</f>
        <v>36.026282569999999</v>
      </c>
      <c r="AL212">
        <f ca="1">IF(AND(ISNUMBER($AL$881),$B$677=1),$AL$881,HLOOKUP(INDIRECT(ADDRESS(2,COLUMN())),OFFSET($BN$2,0,0,ROW()-1,60),ROW()-1,FALSE))</f>
        <v>30.715552120000002</v>
      </c>
      <c r="AM212">
        <f ca="1">IF(AND(ISNUMBER($AM$881),$B$677=1),$AM$881,HLOOKUP(INDIRECT(ADDRESS(2,COLUMN())),OFFSET($BN$2,0,0,ROW()-1,60),ROW()-1,FALSE))</f>
        <v>43.388641</v>
      </c>
      <c r="AN212">
        <f ca="1">IF(AND(ISNUMBER($AN$881),$B$677=1),$AN$881,HLOOKUP(INDIRECT(ADDRESS(2,COLUMN())),OFFSET($BN$2,0,0,ROW()-1,60),ROW()-1,FALSE))</f>
        <v>4.1009902399999998</v>
      </c>
      <c r="AO212">
        <f ca="1">IF(AND(ISNUMBER($AO$881),$B$677=1),$AO$881,HLOOKUP(INDIRECT(ADDRESS(2,COLUMN())),OFFSET($BN$2,0,0,ROW()-1,60),ROW()-1,FALSE))</f>
        <v>3.5258914429999999</v>
      </c>
      <c r="AP212">
        <f ca="1">IF(AND(ISNUMBER($AP$881),$B$677=1),$AP$881,HLOOKUP(INDIRECT(ADDRESS(2,COLUMN())),OFFSET($BN$2,0,0,ROW()-1,60),ROW()-1,FALSE))</f>
        <v>3.5721777399999999</v>
      </c>
      <c r="AQ212">
        <f ca="1">IF(AND(ISNUMBER($AQ$881),$B$677=1),$AQ$881,HLOOKUP(INDIRECT(ADDRESS(2,COLUMN())),OFFSET($BN$2,0,0,ROW()-1,60),ROW()-1,FALSE))</f>
        <v>3.161764824</v>
      </c>
      <c r="AR212">
        <f ca="1">IF(AND(ISNUMBER($AR$881),$B$677=1),$AR$881,HLOOKUP(INDIRECT(ADDRESS(2,COLUMN())),OFFSET($BN$2,0,0,ROW()-1,60),ROW()-1,FALSE))</f>
        <v>4.0413907629999999</v>
      </c>
      <c r="AS212">
        <f ca="1">IF(AND(ISNUMBER($AS$881),$B$677=1),$AS$881,HLOOKUP(INDIRECT(ADDRESS(2,COLUMN())),OFFSET($BN$2,0,0,ROW()-1,60),ROW()-1,FALSE))</f>
        <v>1.7661917979999999</v>
      </c>
      <c r="AT212">
        <f ca="1">IF(AND(ISNUMBER($AT$881),$B$677=1),$AT$881,HLOOKUP(INDIRECT(ADDRESS(2,COLUMN())),OFFSET($BN$2,0,0,ROW()-1,60),ROW()-1,FALSE))</f>
        <v>1.2674593080000001</v>
      </c>
      <c r="AU212">
        <f ca="1">IF(AND(ISNUMBER($AU$881),$B$677=1),$AU$881,HLOOKUP(INDIRECT(ADDRESS(2,COLUMN())),OFFSET($BN$2,0,0,ROW()-1,60),ROW()-1,FALSE))</f>
        <v>1.3140964589999999</v>
      </c>
      <c r="AV212">
        <f ca="1">IF(AND(ISNUMBER($AV$881),$B$677=1),$AV$881,HLOOKUP(INDIRECT(ADDRESS(2,COLUMN())),OFFSET($BN$2,0,0,ROW()-1,60),ROW()-1,FALSE))</f>
        <v>1.3977339689999999</v>
      </c>
      <c r="AW212">
        <f ca="1">IF(AND(ISNUMBER($AW$881),$B$677=1),$AW$881,HLOOKUP(INDIRECT(ADDRESS(2,COLUMN())),OFFSET($BN$2,0,0,ROW()-1,60),ROW()-1,FALSE))</f>
        <v>2.4150637750000001</v>
      </c>
      <c r="AX212">
        <f ca="1">IF(AND(ISNUMBER($AX$881),$B$677=1),$AX$881,HLOOKUP(INDIRECT(ADDRESS(2,COLUMN())),OFFSET($BN$2,0,0,ROW()-1,60),ROW()-1,FALSE))</f>
        <v>3.21351041</v>
      </c>
      <c r="AY212">
        <f ca="1">IF(AND(ISNUMBER($AY$881),$B$677=1),$AY$881,HLOOKUP(INDIRECT(ADDRESS(2,COLUMN())),OFFSET($BN$2,0,0,ROW()-1,60),ROW()-1,FALSE))</f>
        <v>3.709313131</v>
      </c>
      <c r="AZ212">
        <f ca="1">IF(AND(ISNUMBER($AZ$881),$B$677=1),$AZ$881,HLOOKUP(INDIRECT(ADDRESS(2,COLUMN())),OFFSET($BN$2,0,0,ROW()-1,60),ROW()-1,FALSE))</f>
        <v>6.064097007</v>
      </c>
      <c r="BA212">
        <f ca="1">IF(AND(ISNUMBER($BA$881),$B$677=1),$BA$881,HLOOKUP(INDIRECT(ADDRESS(2,COLUMN())),OFFSET($BN$2,0,0,ROW()-1,60),ROW()-1,FALSE))</f>
        <v>6.5595785429999998</v>
      </c>
      <c r="BB212">
        <f ca="1">IF(AND(ISNUMBER($BB$881),$B$677=1),$BB$881,HLOOKUP(INDIRECT(ADDRESS(2,COLUMN())),OFFSET($BN$2,0,0,ROW()-1,60),ROW()-1,FALSE))</f>
        <v>5.2886697849999997</v>
      </c>
      <c r="BC212">
        <f ca="1">IF(AND(ISNUMBER($BC$881),$B$677=1),$BC$881,HLOOKUP(INDIRECT(ADDRESS(2,COLUMN())),OFFSET($BN$2,0,0,ROW()-1,60),ROW()-1,FALSE))</f>
        <v>5.0483327630000003</v>
      </c>
      <c r="BD212">
        <f ca="1">IF(AND(ISNUMBER($BD$881),$B$677=1),$BD$881,HLOOKUP(INDIRECT(ADDRESS(2,COLUMN())),OFFSET($BN$2,0,0,ROW()-1,60),ROW()-1,FALSE))</f>
        <v>4.6065582950000001</v>
      </c>
      <c r="BE212">
        <f ca="1">IF(AND(ISNUMBER($BE$881),$B$677=1),$BE$881,HLOOKUP(INDIRECT(ADDRESS(2,COLUMN())),OFFSET($BN$2,0,0,ROW()-1,60),ROW()-1,FALSE))</f>
        <v>3.4593239640000002</v>
      </c>
      <c r="BF212">
        <f ca="1">IF(AND(ISNUMBER($BF$881),$B$677=1),$BF$881,HLOOKUP(INDIRECT(ADDRESS(2,COLUMN())),OFFSET($BN$2,0,0,ROW()-1,60),ROW()-1,FALSE))</f>
        <v>4.4354110440000003</v>
      </c>
      <c r="BG212">
        <f ca="1">IF(AND(ISNUMBER($BG$881),$B$677=1),$BG$881,HLOOKUP(INDIRECT(ADDRESS(2,COLUMN())),OFFSET($BN$2,0,0,ROW()-1,60),ROW()-1,FALSE))</f>
        <v>3.6579446619999998</v>
      </c>
      <c r="BH212" t="str">
        <f ca="1">IF(AND(ISNUMBER($BH$881),$B$677=1),$BH$881,HLOOKUP(INDIRECT(ADDRESS(2,COLUMN())),OFFSET($BN$2,0,0,ROW()-1,60),ROW()-1,FALSE))</f>
        <v/>
      </c>
      <c r="BI212" t="str">
        <f ca="1">IF(AND(ISNUMBER($BI$881),$B$677=1),$BI$881,HLOOKUP(INDIRECT(ADDRESS(2,COLUMN())),OFFSET($BN$2,0,0,ROW()-1,60),ROW()-1,FALSE))</f>
        <v/>
      </c>
      <c r="BJ212" t="str">
        <f ca="1">IF(AND(ISNUMBER($BJ$881),$B$677=1),$BJ$881,HLOOKUP(INDIRECT(ADDRESS(2,COLUMN())),OFFSET($BN$2,0,0,ROW()-1,60),ROW()-1,FALSE))</f>
        <v/>
      </c>
      <c r="BK212" t="str">
        <f ca="1">IF(AND(ISNUMBER($BK$881),$B$677=1),$BK$881,HLOOKUP(INDIRECT(ADDRESS(2,COLUMN())),OFFSET($BN$2,0,0,ROW()-1,60),ROW()-1,FALSE))</f>
        <v/>
      </c>
      <c r="BL212" t="str">
        <f ca="1">IF(AND(ISNUMBER($BL$881),$B$677=1),$BL$881,HLOOKUP(INDIRECT(ADDRESS(2,COLUMN())),OFFSET($BN$2,0,0,ROW()-1,60),ROW()-1,FALSE))</f>
        <v/>
      </c>
      <c r="BM212" t="str">
        <f ca="1">IF(AND(ISNUMBER($BM$881),$B$677=1),$BM$881,HLOOKUP(INDIRECT(ADDRESS(2,COLUMN())),OFFSET($BN$2,0,0,ROW()-1,60),ROW()-1,FALSE))</f>
        <v/>
      </c>
      <c r="BN212" t="str">
        <f>""</f>
        <v/>
      </c>
      <c r="BO212" t="str">
        <f>""</f>
        <v/>
      </c>
      <c r="BP212" t="str">
        <f>""</f>
        <v/>
      </c>
      <c r="BQ212" t="str">
        <f>""</f>
        <v/>
      </c>
      <c r="BR212" t="str">
        <f>""</f>
        <v/>
      </c>
      <c r="BS212" t="str">
        <f>""</f>
        <v/>
      </c>
      <c r="BT212" t="str">
        <f>""</f>
        <v/>
      </c>
      <c r="BU212" t="str">
        <f>""</f>
        <v/>
      </c>
      <c r="BV212" t="str">
        <f>""</f>
        <v/>
      </c>
      <c r="BW212" t="str">
        <f>""</f>
        <v/>
      </c>
      <c r="BX212" t="str">
        <f>""</f>
        <v/>
      </c>
      <c r="BY212" t="str">
        <f>""</f>
        <v/>
      </c>
      <c r="BZ212" t="str">
        <f>""</f>
        <v/>
      </c>
      <c r="CA212" t="str">
        <f>""</f>
        <v/>
      </c>
      <c r="CB212" t="str">
        <f>""</f>
        <v/>
      </c>
      <c r="CC212" t="str">
        <f>""</f>
        <v/>
      </c>
      <c r="CD212" t="str">
        <f>""</f>
        <v/>
      </c>
      <c r="CE212" t="str">
        <f>""</f>
        <v/>
      </c>
      <c r="CF212" t="str">
        <f>""</f>
        <v/>
      </c>
      <c r="CG212" t="str">
        <f>""</f>
        <v/>
      </c>
      <c r="CH212" t="str">
        <f>""</f>
        <v/>
      </c>
      <c r="CI212" t="str">
        <f>""</f>
        <v/>
      </c>
      <c r="CJ212" t="str">
        <f>""</f>
        <v/>
      </c>
      <c r="CK212" t="str">
        <f>""</f>
        <v/>
      </c>
      <c r="CL212" t="str">
        <f>""</f>
        <v/>
      </c>
      <c r="CM212" t="str">
        <f>""</f>
        <v/>
      </c>
      <c r="CN212">
        <f>51.4365943</f>
        <v>51.436594300000003</v>
      </c>
      <c r="CO212">
        <f>50.23525877</f>
        <v>50.235258770000002</v>
      </c>
      <c r="CP212">
        <f>21.90747429</f>
        <v>21.90747429</v>
      </c>
      <c r="CQ212">
        <f>16.91324743</f>
        <v>16.913247429999998</v>
      </c>
      <c r="CR212" t="str">
        <f>""</f>
        <v/>
      </c>
      <c r="CS212">
        <f>36.02628257</f>
        <v>36.026282569999999</v>
      </c>
      <c r="CT212">
        <f>30.71555212</f>
        <v>30.715552120000002</v>
      </c>
      <c r="CU212">
        <f>43.388641</f>
        <v>43.388641</v>
      </c>
      <c r="CV212">
        <f>4.10099024</f>
        <v>4.1009902399999998</v>
      </c>
      <c r="CW212">
        <f>3.525891443</f>
        <v>3.5258914429999999</v>
      </c>
      <c r="CX212">
        <f>3.57217774</f>
        <v>3.5721777399999999</v>
      </c>
      <c r="CY212">
        <f>3.161764824</f>
        <v>3.161764824</v>
      </c>
      <c r="CZ212">
        <f>4.041390763</f>
        <v>4.0413907629999999</v>
      </c>
      <c r="DA212">
        <f>1.766191798</f>
        <v>1.7661917979999999</v>
      </c>
      <c r="DB212">
        <f>1.267459308</f>
        <v>1.2674593080000001</v>
      </c>
      <c r="DC212">
        <f>1.314096459</f>
        <v>1.3140964589999999</v>
      </c>
      <c r="DD212">
        <f>1.397733969</f>
        <v>1.3977339689999999</v>
      </c>
      <c r="DE212">
        <f>2.415063775</f>
        <v>2.4150637750000001</v>
      </c>
      <c r="DF212">
        <f>3.21351041</f>
        <v>3.21351041</v>
      </c>
      <c r="DG212">
        <f>3.709313131</f>
        <v>3.709313131</v>
      </c>
      <c r="DH212">
        <f>6.064097007</f>
        <v>6.064097007</v>
      </c>
      <c r="DI212">
        <f>6.559578543</f>
        <v>6.5595785429999998</v>
      </c>
      <c r="DJ212">
        <f>5.288669785</f>
        <v>5.2886697849999997</v>
      </c>
      <c r="DK212">
        <f>5.048332763</f>
        <v>5.0483327630000003</v>
      </c>
      <c r="DL212">
        <f>4.606558295</f>
        <v>4.6065582950000001</v>
      </c>
      <c r="DM212">
        <f>3.459323964</f>
        <v>3.4593239640000002</v>
      </c>
      <c r="DN212">
        <f>4.435411044</f>
        <v>4.4354110440000003</v>
      </c>
      <c r="DO212">
        <f>3.657944662</f>
        <v>3.6579446619999998</v>
      </c>
      <c r="DP212" t="str">
        <f>""</f>
        <v/>
      </c>
      <c r="DQ212" t="str">
        <f>""</f>
        <v/>
      </c>
      <c r="DR212" t="str">
        <f>""</f>
        <v/>
      </c>
      <c r="DS212" t="str">
        <f>""</f>
        <v/>
      </c>
      <c r="DT212" t="str">
        <f>""</f>
        <v/>
      </c>
      <c r="DU212" t="str">
        <f>""</f>
        <v/>
      </c>
    </row>
    <row r="213" spans="1:125" x14ac:dyDescent="0.25">
      <c r="A213" t="str">
        <f>"    Brilliance China Automotive Holdings Ltd"</f>
        <v xml:space="preserve">    Brilliance China Automotive Holdings Ltd</v>
      </c>
      <c r="B213" t="str">
        <f>"1114 HK Equity"</f>
        <v>1114 HK Equity</v>
      </c>
      <c r="C213" t="str">
        <f t="shared" si="15"/>
        <v>RR971</v>
      </c>
      <c r="D213" t="str">
        <f t="shared" si="16"/>
        <v>CURRENT_PX_TO_FREE_CASH_FLOW</v>
      </c>
      <c r="E213" t="str">
        <f t="shared" si="17"/>
        <v>Dynamic</v>
      </c>
      <c r="F213" t="str">
        <f ca="1">IF(AND(ISNUMBER($F$882),$B$677=1),$F$882,HLOOKUP(INDIRECT(ADDRESS(2,COLUMN())),OFFSET($BN$2,0,0,ROW()-1,60),ROW()-1,FALSE))</f>
        <v/>
      </c>
      <c r="G213" t="str">
        <f ca="1">IF(AND(ISNUMBER($G$882),$B$677=1),$G$882,HLOOKUP(INDIRECT(ADDRESS(2,COLUMN())),OFFSET($BN$2,0,0,ROW()-1,60),ROW()-1,FALSE))</f>
        <v/>
      </c>
      <c r="H213" t="str">
        <f ca="1">IF(AND(ISNUMBER($H$882),$B$677=1),$H$882,HLOOKUP(INDIRECT(ADDRESS(2,COLUMN())),OFFSET($BN$2,0,0,ROW()-1,60),ROW()-1,FALSE))</f>
        <v/>
      </c>
      <c r="I213" t="str">
        <f ca="1">IF(AND(ISNUMBER($I$882),$B$677=1),$I$882,HLOOKUP(INDIRECT(ADDRESS(2,COLUMN())),OFFSET($BN$2,0,0,ROW()-1,60),ROW()-1,FALSE))</f>
        <v/>
      </c>
      <c r="J213" t="str">
        <f ca="1">IF(AND(ISNUMBER($J$882),$B$677=1),$J$882,HLOOKUP(INDIRECT(ADDRESS(2,COLUMN())),OFFSET($BN$2,0,0,ROW()-1,60),ROW()-1,FALSE))</f>
        <v/>
      </c>
      <c r="K213" t="str">
        <f ca="1">IF(AND(ISNUMBER($K$882),$B$677=1),$K$882,HLOOKUP(INDIRECT(ADDRESS(2,COLUMN())),OFFSET($BN$2,0,0,ROW()-1,60),ROW()-1,FALSE))</f>
        <v/>
      </c>
      <c r="L213" t="str">
        <f ca="1">IF(AND(ISNUMBER($L$882),$B$677=1),$L$882,HLOOKUP(INDIRECT(ADDRESS(2,COLUMN())),OFFSET($BN$2,0,0,ROW()-1,60),ROW()-1,FALSE))</f>
        <v/>
      </c>
      <c r="M213" t="str">
        <f ca="1">IF(AND(ISNUMBER($M$882),$B$677=1),$M$882,HLOOKUP(INDIRECT(ADDRESS(2,COLUMN())),OFFSET($BN$2,0,0,ROW()-1,60),ROW()-1,FALSE))</f>
        <v/>
      </c>
      <c r="N213" t="str">
        <f ca="1">IF(AND(ISNUMBER($N$882),$B$677=1),$N$882,HLOOKUP(INDIRECT(ADDRESS(2,COLUMN())),OFFSET($BN$2,0,0,ROW()-1,60),ROW()-1,FALSE))</f>
        <v/>
      </c>
      <c r="O213" t="str">
        <f ca="1">IF(AND(ISNUMBER($O$882),$B$677=1),$O$882,HLOOKUP(INDIRECT(ADDRESS(2,COLUMN())),OFFSET($BN$2,0,0,ROW()-1,60),ROW()-1,FALSE))</f>
        <v/>
      </c>
      <c r="P213" t="str">
        <f ca="1">IF(AND(ISNUMBER($P$882),$B$677=1),$P$882,HLOOKUP(INDIRECT(ADDRESS(2,COLUMN())),OFFSET($BN$2,0,0,ROW()-1,60),ROW()-1,FALSE))</f>
        <v/>
      </c>
      <c r="Q213" t="str">
        <f ca="1">IF(AND(ISNUMBER($Q$882),$B$677=1),$Q$882,HLOOKUP(INDIRECT(ADDRESS(2,COLUMN())),OFFSET($BN$2,0,0,ROW()-1,60),ROW()-1,FALSE))</f>
        <v/>
      </c>
      <c r="R213" t="str">
        <f ca="1">IF(AND(ISNUMBER($R$882),$B$677=1),$R$882,HLOOKUP(INDIRECT(ADDRESS(2,COLUMN())),OFFSET($BN$2,0,0,ROW()-1,60),ROW()-1,FALSE))</f>
        <v/>
      </c>
      <c r="S213" t="str">
        <f ca="1">IF(AND(ISNUMBER($S$882),$B$677=1),$S$882,HLOOKUP(INDIRECT(ADDRESS(2,COLUMN())),OFFSET($BN$2,0,0,ROW()-1,60),ROW()-1,FALSE))</f>
        <v/>
      </c>
      <c r="T213" t="str">
        <f ca="1">IF(AND(ISNUMBER($T$882),$B$677=1),$T$882,HLOOKUP(INDIRECT(ADDRESS(2,COLUMN())),OFFSET($BN$2,0,0,ROW()-1,60),ROW()-1,FALSE))</f>
        <v/>
      </c>
      <c r="U213" t="str">
        <f ca="1">IF(AND(ISNUMBER($U$882),$B$677=1),$U$882,HLOOKUP(INDIRECT(ADDRESS(2,COLUMN())),OFFSET($BN$2,0,0,ROW()-1,60),ROW()-1,FALSE))</f>
        <v/>
      </c>
      <c r="V213" t="str">
        <f ca="1">IF(AND(ISNUMBER($V$882),$B$677=1),$V$882,HLOOKUP(INDIRECT(ADDRESS(2,COLUMN())),OFFSET($BN$2,0,0,ROW()-1,60),ROW()-1,FALSE))</f>
        <v/>
      </c>
      <c r="W213" t="str">
        <f ca="1">IF(AND(ISNUMBER($W$882),$B$677=1),$W$882,HLOOKUP(INDIRECT(ADDRESS(2,COLUMN())),OFFSET($BN$2,0,0,ROW()-1,60),ROW()-1,FALSE))</f>
        <v/>
      </c>
      <c r="X213" t="str">
        <f ca="1">IF(AND(ISNUMBER($X$882),$B$677=1),$X$882,HLOOKUP(INDIRECT(ADDRESS(2,COLUMN())),OFFSET($BN$2,0,0,ROW()-1,60),ROW()-1,FALSE))</f>
        <v/>
      </c>
      <c r="Y213" t="str">
        <f ca="1">IF(AND(ISNUMBER($Y$882),$B$677=1),$Y$882,HLOOKUP(INDIRECT(ADDRESS(2,COLUMN())),OFFSET($BN$2,0,0,ROW()-1,60),ROW()-1,FALSE))</f>
        <v/>
      </c>
      <c r="Z213" t="str">
        <f ca="1">IF(AND(ISNUMBER($Z$882),$B$677=1),$Z$882,HLOOKUP(INDIRECT(ADDRESS(2,COLUMN())),OFFSET($BN$2,0,0,ROW()-1,60),ROW()-1,FALSE))</f>
        <v/>
      </c>
      <c r="AA213" t="str">
        <f ca="1">IF(AND(ISNUMBER($AA$882),$B$677=1),$AA$882,HLOOKUP(INDIRECT(ADDRESS(2,COLUMN())),OFFSET($BN$2,0,0,ROW()-1,60),ROW()-1,FALSE))</f>
        <v/>
      </c>
      <c r="AB213" t="str">
        <f ca="1">IF(AND(ISNUMBER($AB$882),$B$677=1),$AB$882,HLOOKUP(INDIRECT(ADDRESS(2,COLUMN())),OFFSET($BN$2,0,0,ROW()-1,60),ROW()-1,FALSE))</f>
        <v/>
      </c>
      <c r="AC213" t="str">
        <f ca="1">IF(AND(ISNUMBER($AC$882),$B$677=1),$AC$882,HLOOKUP(INDIRECT(ADDRESS(2,COLUMN())),OFFSET($BN$2,0,0,ROW()-1,60),ROW()-1,FALSE))</f>
        <v/>
      </c>
      <c r="AD213" t="str">
        <f ca="1">IF(AND(ISNUMBER($AD$882),$B$677=1),$AD$882,HLOOKUP(INDIRECT(ADDRESS(2,COLUMN())),OFFSET($BN$2,0,0,ROW()-1,60),ROW()-1,FALSE))</f>
        <v/>
      </c>
      <c r="AE213" t="str">
        <f ca="1">IF(AND(ISNUMBER($AE$882),$B$677=1),$AE$882,HLOOKUP(INDIRECT(ADDRESS(2,COLUMN())),OFFSET($BN$2,0,0,ROW()-1,60),ROW()-1,FALSE))</f>
        <v/>
      </c>
      <c r="AF213" t="str">
        <f ca="1">IF(AND(ISNUMBER($AF$882),$B$677=1),$AF$882,HLOOKUP(INDIRECT(ADDRESS(2,COLUMN())),OFFSET($BN$2,0,0,ROW()-1,60),ROW()-1,FALSE))</f>
        <v/>
      </c>
      <c r="AG213" t="str">
        <f ca="1">IF(AND(ISNUMBER($AG$882),$B$677=1),$AG$882,HLOOKUP(INDIRECT(ADDRESS(2,COLUMN())),OFFSET($BN$2,0,0,ROW()-1,60),ROW()-1,FALSE))</f>
        <v/>
      </c>
      <c r="AH213" t="str">
        <f ca="1">IF(AND(ISNUMBER($AH$882),$B$677=1),$AH$882,HLOOKUP(INDIRECT(ADDRESS(2,COLUMN())),OFFSET($BN$2,0,0,ROW()-1,60),ROW()-1,FALSE))</f>
        <v/>
      </c>
      <c r="AI213" t="str">
        <f ca="1">IF(AND(ISNUMBER($AI$882),$B$677=1),$AI$882,HLOOKUP(INDIRECT(ADDRESS(2,COLUMN())),OFFSET($BN$2,0,0,ROW()-1,60),ROW()-1,FALSE))</f>
        <v/>
      </c>
      <c r="AJ213" t="str">
        <f ca="1">IF(AND(ISNUMBER($AJ$882),$B$677=1),$AJ$882,HLOOKUP(INDIRECT(ADDRESS(2,COLUMN())),OFFSET($BN$2,0,0,ROW()-1,60),ROW()-1,FALSE))</f>
        <v/>
      </c>
      <c r="AK213" t="str">
        <f ca="1">IF(AND(ISNUMBER($AK$882),$B$677=1),$AK$882,HLOOKUP(INDIRECT(ADDRESS(2,COLUMN())),OFFSET($BN$2,0,0,ROW()-1,60),ROW()-1,FALSE))</f>
        <v/>
      </c>
      <c r="AL213" t="str">
        <f ca="1">IF(AND(ISNUMBER($AL$882),$B$677=1),$AL$882,HLOOKUP(INDIRECT(ADDRESS(2,COLUMN())),OFFSET($BN$2,0,0,ROW()-1,60),ROW()-1,FALSE))</f>
        <v/>
      </c>
      <c r="AM213" t="str">
        <f ca="1">IF(AND(ISNUMBER($AM$882),$B$677=1),$AM$882,HLOOKUP(INDIRECT(ADDRESS(2,COLUMN())),OFFSET($BN$2,0,0,ROW()-1,60),ROW()-1,FALSE))</f>
        <v/>
      </c>
      <c r="AN213" t="str">
        <f ca="1">IF(AND(ISNUMBER($AN$882),$B$677=1),$AN$882,HLOOKUP(INDIRECT(ADDRESS(2,COLUMN())),OFFSET($BN$2,0,0,ROW()-1,60),ROW()-1,FALSE))</f>
        <v/>
      </c>
      <c r="AO213" t="str">
        <f ca="1">IF(AND(ISNUMBER($AO$882),$B$677=1),$AO$882,HLOOKUP(INDIRECT(ADDRESS(2,COLUMN())),OFFSET($BN$2,0,0,ROW()-1,60),ROW()-1,FALSE))</f>
        <v/>
      </c>
      <c r="AP213" t="str">
        <f ca="1">IF(AND(ISNUMBER($AP$882),$B$677=1),$AP$882,HLOOKUP(INDIRECT(ADDRESS(2,COLUMN())),OFFSET($BN$2,0,0,ROW()-1,60),ROW()-1,FALSE))</f>
        <v/>
      </c>
      <c r="AQ213" t="str">
        <f ca="1">IF(AND(ISNUMBER($AQ$882),$B$677=1),$AQ$882,HLOOKUP(INDIRECT(ADDRESS(2,COLUMN())),OFFSET($BN$2,0,0,ROW()-1,60),ROW()-1,FALSE))</f>
        <v/>
      </c>
      <c r="AR213" t="str">
        <f ca="1">IF(AND(ISNUMBER($AR$882),$B$677=1),$AR$882,HLOOKUP(INDIRECT(ADDRESS(2,COLUMN())),OFFSET($BN$2,0,0,ROW()-1,60),ROW()-1,FALSE))</f>
        <v/>
      </c>
      <c r="AS213" t="str">
        <f ca="1">IF(AND(ISNUMBER($AS$882),$B$677=1),$AS$882,HLOOKUP(INDIRECT(ADDRESS(2,COLUMN())),OFFSET($BN$2,0,0,ROW()-1,60),ROW()-1,FALSE))</f>
        <v/>
      </c>
      <c r="AT213" t="str">
        <f ca="1">IF(AND(ISNUMBER($AT$882),$B$677=1),$AT$882,HLOOKUP(INDIRECT(ADDRESS(2,COLUMN())),OFFSET($BN$2,0,0,ROW()-1,60),ROW()-1,FALSE))</f>
        <v/>
      </c>
      <c r="AU213" t="str">
        <f ca="1">IF(AND(ISNUMBER($AU$882),$B$677=1),$AU$882,HLOOKUP(INDIRECT(ADDRESS(2,COLUMN())),OFFSET($BN$2,0,0,ROW()-1,60),ROW()-1,FALSE))</f>
        <v/>
      </c>
      <c r="AV213" t="str">
        <f ca="1">IF(AND(ISNUMBER($AV$882),$B$677=1),$AV$882,HLOOKUP(INDIRECT(ADDRESS(2,COLUMN())),OFFSET($BN$2,0,0,ROW()-1,60),ROW()-1,FALSE))</f>
        <v/>
      </c>
      <c r="AW213" t="str">
        <f ca="1">IF(AND(ISNUMBER($AW$882),$B$677=1),$AW$882,HLOOKUP(INDIRECT(ADDRESS(2,COLUMN())),OFFSET($BN$2,0,0,ROW()-1,60),ROW()-1,FALSE))</f>
        <v/>
      </c>
      <c r="AX213" t="str">
        <f ca="1">IF(AND(ISNUMBER($AX$882),$B$677=1),$AX$882,HLOOKUP(INDIRECT(ADDRESS(2,COLUMN())),OFFSET($BN$2,0,0,ROW()-1,60),ROW()-1,FALSE))</f>
        <v/>
      </c>
      <c r="AY213" t="str">
        <f ca="1">IF(AND(ISNUMBER($AY$882),$B$677=1),$AY$882,HLOOKUP(INDIRECT(ADDRESS(2,COLUMN())),OFFSET($BN$2,0,0,ROW()-1,60),ROW()-1,FALSE))</f>
        <v/>
      </c>
      <c r="AZ213" t="str">
        <f ca="1">IF(AND(ISNUMBER($AZ$882),$B$677=1),$AZ$882,HLOOKUP(INDIRECT(ADDRESS(2,COLUMN())),OFFSET($BN$2,0,0,ROW()-1,60),ROW()-1,FALSE))</f>
        <v/>
      </c>
      <c r="BA213" t="str">
        <f ca="1">IF(AND(ISNUMBER($BA$882),$B$677=1),$BA$882,HLOOKUP(INDIRECT(ADDRESS(2,COLUMN())),OFFSET($BN$2,0,0,ROW()-1,60),ROW()-1,FALSE))</f>
        <v/>
      </c>
      <c r="BB213" t="str">
        <f ca="1">IF(AND(ISNUMBER($BB$882),$B$677=1),$BB$882,HLOOKUP(INDIRECT(ADDRESS(2,COLUMN())),OFFSET($BN$2,0,0,ROW()-1,60),ROW()-1,FALSE))</f>
        <v/>
      </c>
      <c r="BC213" t="str">
        <f ca="1">IF(AND(ISNUMBER($BC$882),$B$677=1),$BC$882,HLOOKUP(INDIRECT(ADDRESS(2,COLUMN())),OFFSET($BN$2,0,0,ROW()-1,60),ROW()-1,FALSE))</f>
        <v/>
      </c>
      <c r="BD213" t="str">
        <f ca="1">IF(AND(ISNUMBER($BD$882),$B$677=1),$BD$882,HLOOKUP(INDIRECT(ADDRESS(2,COLUMN())),OFFSET($BN$2,0,0,ROW()-1,60),ROW()-1,FALSE))</f>
        <v/>
      </c>
      <c r="BE213" t="str">
        <f ca="1">IF(AND(ISNUMBER($BE$882),$B$677=1),$BE$882,HLOOKUP(INDIRECT(ADDRESS(2,COLUMN())),OFFSET($BN$2,0,0,ROW()-1,60),ROW()-1,FALSE))</f>
        <v/>
      </c>
      <c r="BF213" t="str">
        <f ca="1">IF(AND(ISNUMBER($BF$882),$B$677=1),$BF$882,HLOOKUP(INDIRECT(ADDRESS(2,COLUMN())),OFFSET($BN$2,0,0,ROW()-1,60),ROW()-1,FALSE))</f>
        <v/>
      </c>
      <c r="BG213" t="str">
        <f ca="1">IF(AND(ISNUMBER($BG$882),$B$677=1),$BG$882,HLOOKUP(INDIRECT(ADDRESS(2,COLUMN())),OFFSET($BN$2,0,0,ROW()-1,60),ROW()-1,FALSE))</f>
        <v/>
      </c>
      <c r="BH213" t="str">
        <f ca="1">IF(AND(ISNUMBER($BH$882),$B$677=1),$BH$882,HLOOKUP(INDIRECT(ADDRESS(2,COLUMN())),OFFSET($BN$2,0,0,ROW()-1,60),ROW()-1,FALSE))</f>
        <v/>
      </c>
      <c r="BI213" t="str">
        <f ca="1">IF(AND(ISNUMBER($BI$882),$B$677=1),$BI$882,HLOOKUP(INDIRECT(ADDRESS(2,COLUMN())),OFFSET($BN$2,0,0,ROW()-1,60),ROW()-1,FALSE))</f>
        <v/>
      </c>
      <c r="BJ213" t="str">
        <f ca="1">IF(AND(ISNUMBER($BJ$882),$B$677=1),$BJ$882,HLOOKUP(INDIRECT(ADDRESS(2,COLUMN())),OFFSET($BN$2,0,0,ROW()-1,60),ROW()-1,FALSE))</f>
        <v/>
      </c>
      <c r="BK213" t="str">
        <f ca="1">IF(AND(ISNUMBER($BK$882),$B$677=1),$BK$882,HLOOKUP(INDIRECT(ADDRESS(2,COLUMN())),OFFSET($BN$2,0,0,ROW()-1,60),ROW()-1,FALSE))</f>
        <v/>
      </c>
      <c r="BL213" t="str">
        <f ca="1">IF(AND(ISNUMBER($BL$882),$B$677=1),$BL$882,HLOOKUP(INDIRECT(ADDRESS(2,COLUMN())),OFFSET($BN$2,0,0,ROW()-1,60),ROW()-1,FALSE))</f>
        <v/>
      </c>
      <c r="BM213" t="str">
        <f ca="1">IF(AND(ISNUMBER($BM$882),$B$677=1),$BM$882,HLOOKUP(INDIRECT(ADDRESS(2,COLUMN())),OFFSET($BN$2,0,0,ROW()-1,60),ROW()-1,FALSE))</f>
        <v/>
      </c>
      <c r="BN213" t="str">
        <f>""</f>
        <v/>
      </c>
      <c r="BO213" t="str">
        <f>""</f>
        <v/>
      </c>
      <c r="BP213" t="str">
        <f>""</f>
        <v/>
      </c>
      <c r="BQ213" t="str">
        <f>""</f>
        <v/>
      </c>
      <c r="BR213" t="str">
        <f>""</f>
        <v/>
      </c>
      <c r="BS213" t="str">
        <f>""</f>
        <v/>
      </c>
      <c r="BT213" t="str">
        <f>""</f>
        <v/>
      </c>
      <c r="BU213" t="str">
        <f>""</f>
        <v/>
      </c>
      <c r="BV213" t="str">
        <f>""</f>
        <v/>
      </c>
      <c r="BW213" t="str">
        <f>""</f>
        <v/>
      </c>
      <c r="BX213" t="str">
        <f>""</f>
        <v/>
      </c>
      <c r="BY213" t="str">
        <f>""</f>
        <v/>
      </c>
      <c r="BZ213" t="str">
        <f>""</f>
        <v/>
      </c>
      <c r="CA213" t="str">
        <f>""</f>
        <v/>
      </c>
      <c r="CB213" t="str">
        <f>""</f>
        <v/>
      </c>
      <c r="CC213" t="str">
        <f>""</f>
        <v/>
      </c>
      <c r="CD213" t="str">
        <f>""</f>
        <v/>
      </c>
      <c r="CE213" t="str">
        <f>""</f>
        <v/>
      </c>
      <c r="CF213" t="str">
        <f>""</f>
        <v/>
      </c>
      <c r="CG213" t="str">
        <f>""</f>
        <v/>
      </c>
      <c r="CH213" t="str">
        <f>""</f>
        <v/>
      </c>
      <c r="CI213" t="str">
        <f>""</f>
        <v/>
      </c>
      <c r="CJ213" t="str">
        <f>""</f>
        <v/>
      </c>
      <c r="CK213" t="str">
        <f>""</f>
        <v/>
      </c>
      <c r="CL213" t="str">
        <f>""</f>
        <v/>
      </c>
      <c r="CM213" t="str">
        <f>""</f>
        <v/>
      </c>
      <c r="CN213" t="str">
        <f>""</f>
        <v/>
      </c>
      <c r="CO213" t="str">
        <f>""</f>
        <v/>
      </c>
      <c r="CP213" t="str">
        <f>""</f>
        <v/>
      </c>
      <c r="CQ213" t="str">
        <f>""</f>
        <v/>
      </c>
      <c r="CR213" t="str">
        <f>""</f>
        <v/>
      </c>
      <c r="CS213" t="str">
        <f>""</f>
        <v/>
      </c>
      <c r="CT213" t="str">
        <f>""</f>
        <v/>
      </c>
      <c r="CU213" t="str">
        <f>""</f>
        <v/>
      </c>
      <c r="CV213" t="str">
        <f>""</f>
        <v/>
      </c>
      <c r="CW213" t="str">
        <f>""</f>
        <v/>
      </c>
      <c r="CX213" t="str">
        <f>""</f>
        <v/>
      </c>
      <c r="CY213" t="str">
        <f>""</f>
        <v/>
      </c>
      <c r="CZ213" t="str">
        <f>""</f>
        <v/>
      </c>
      <c r="DA213" t="str">
        <f>""</f>
        <v/>
      </c>
      <c r="DB213" t="str">
        <f>""</f>
        <v/>
      </c>
      <c r="DC213" t="str">
        <f>""</f>
        <v/>
      </c>
      <c r="DD213" t="str">
        <f>""</f>
        <v/>
      </c>
      <c r="DE213" t="str">
        <f>""</f>
        <v/>
      </c>
      <c r="DF213" t="str">
        <f>""</f>
        <v/>
      </c>
      <c r="DG213" t="str">
        <f>""</f>
        <v/>
      </c>
      <c r="DH213" t="str">
        <f>""</f>
        <v/>
      </c>
      <c r="DI213" t="str">
        <f>""</f>
        <v/>
      </c>
      <c r="DJ213" t="str">
        <f>""</f>
        <v/>
      </c>
      <c r="DK213" t="str">
        <f>""</f>
        <v/>
      </c>
      <c r="DL213" t="str">
        <f>""</f>
        <v/>
      </c>
      <c r="DM213" t="str">
        <f>""</f>
        <v/>
      </c>
      <c r="DN213" t="str">
        <f>""</f>
        <v/>
      </c>
      <c r="DO213" t="str">
        <f>""</f>
        <v/>
      </c>
      <c r="DP213" t="str">
        <f>""</f>
        <v/>
      </c>
      <c r="DQ213" t="str">
        <f>""</f>
        <v/>
      </c>
      <c r="DR213" t="str">
        <f>""</f>
        <v/>
      </c>
      <c r="DS213" t="str">
        <f>""</f>
        <v/>
      </c>
      <c r="DT213" t="str">
        <f>""</f>
        <v/>
      </c>
      <c r="DU213" t="str">
        <f>""</f>
        <v/>
      </c>
    </row>
    <row r="214" spans="1:125" x14ac:dyDescent="0.25">
      <c r="A214" t="str">
        <f>"    BYD Co Ltd"</f>
        <v xml:space="preserve">    BYD Co Ltd</v>
      </c>
      <c r="B214" t="str">
        <f>"1211 HK Equity"</f>
        <v>1211 HK Equity</v>
      </c>
      <c r="C214" t="str">
        <f t="shared" si="15"/>
        <v>RR971</v>
      </c>
      <c r="D214" t="str">
        <f t="shared" si="16"/>
        <v>CURRENT_PX_TO_FREE_CASH_FLOW</v>
      </c>
      <c r="E214" t="str">
        <f t="shared" si="17"/>
        <v>Dynamic</v>
      </c>
      <c r="F214" t="str">
        <f ca="1">IF(AND(ISNUMBER($F$883),$B$677=1),$F$883,HLOOKUP(INDIRECT(ADDRESS(2,COLUMN())),OFFSET($BN$2,0,0,ROW()-1,60),ROW()-1,FALSE))</f>
        <v/>
      </c>
      <c r="G214" t="str">
        <f ca="1">IF(AND(ISNUMBER($G$883),$B$677=1),$G$883,HLOOKUP(INDIRECT(ADDRESS(2,COLUMN())),OFFSET($BN$2,0,0,ROW()-1,60),ROW()-1,FALSE))</f>
        <v/>
      </c>
      <c r="H214" t="str">
        <f ca="1">IF(AND(ISNUMBER($H$883),$B$677=1),$H$883,HLOOKUP(INDIRECT(ADDRESS(2,COLUMN())),OFFSET($BN$2,0,0,ROW()-1,60),ROW()-1,FALSE))</f>
        <v/>
      </c>
      <c r="I214" t="str">
        <f ca="1">IF(AND(ISNUMBER($I$883),$B$677=1),$I$883,HLOOKUP(INDIRECT(ADDRESS(2,COLUMN())),OFFSET($BN$2,0,0,ROW()-1,60),ROW()-1,FALSE))</f>
        <v/>
      </c>
      <c r="J214" t="str">
        <f ca="1">IF(AND(ISNUMBER($J$883),$B$677=1),$J$883,HLOOKUP(INDIRECT(ADDRESS(2,COLUMN())),OFFSET($BN$2,0,0,ROW()-1,60),ROW()-1,FALSE))</f>
        <v/>
      </c>
      <c r="K214" t="str">
        <f ca="1">IF(AND(ISNUMBER($K$883),$B$677=1),$K$883,HLOOKUP(INDIRECT(ADDRESS(2,COLUMN())),OFFSET($BN$2,0,0,ROW()-1,60),ROW()-1,FALSE))</f>
        <v/>
      </c>
      <c r="L214" t="str">
        <f ca="1">IF(AND(ISNUMBER($L$883),$B$677=1),$L$883,HLOOKUP(INDIRECT(ADDRESS(2,COLUMN())),OFFSET($BN$2,0,0,ROW()-1,60),ROW()-1,FALSE))</f>
        <v/>
      </c>
      <c r="M214" t="str">
        <f ca="1">IF(AND(ISNUMBER($M$883),$B$677=1),$M$883,HLOOKUP(INDIRECT(ADDRESS(2,COLUMN())),OFFSET($BN$2,0,0,ROW()-1,60),ROW()-1,FALSE))</f>
        <v/>
      </c>
      <c r="N214" t="str">
        <f ca="1">IF(AND(ISNUMBER($N$883),$B$677=1),$N$883,HLOOKUP(INDIRECT(ADDRESS(2,COLUMN())),OFFSET($BN$2,0,0,ROW()-1,60),ROW()-1,FALSE))</f>
        <v/>
      </c>
      <c r="O214" t="str">
        <f ca="1">IF(AND(ISNUMBER($O$883),$B$677=1),$O$883,HLOOKUP(INDIRECT(ADDRESS(2,COLUMN())),OFFSET($BN$2,0,0,ROW()-1,60),ROW()-1,FALSE))</f>
        <v/>
      </c>
      <c r="P214" t="str">
        <f ca="1">IF(AND(ISNUMBER($P$883),$B$677=1),$P$883,HLOOKUP(INDIRECT(ADDRESS(2,COLUMN())),OFFSET($BN$2,0,0,ROW()-1,60),ROW()-1,FALSE))</f>
        <v/>
      </c>
      <c r="Q214" t="str">
        <f ca="1">IF(AND(ISNUMBER($Q$883),$B$677=1),$Q$883,HLOOKUP(INDIRECT(ADDRESS(2,COLUMN())),OFFSET($BN$2,0,0,ROW()-1,60),ROW()-1,FALSE))</f>
        <v/>
      </c>
      <c r="R214" t="str">
        <f ca="1">IF(AND(ISNUMBER($R$883),$B$677=1),$R$883,HLOOKUP(INDIRECT(ADDRESS(2,COLUMN())),OFFSET($BN$2,0,0,ROW()-1,60),ROW()-1,FALSE))</f>
        <v/>
      </c>
      <c r="S214" t="str">
        <f ca="1">IF(AND(ISNUMBER($S$883),$B$677=1),$S$883,HLOOKUP(INDIRECT(ADDRESS(2,COLUMN())),OFFSET($BN$2,0,0,ROW()-1,60),ROW()-1,FALSE))</f>
        <v/>
      </c>
      <c r="T214" t="str">
        <f ca="1">IF(AND(ISNUMBER($T$883),$B$677=1),$T$883,HLOOKUP(INDIRECT(ADDRESS(2,COLUMN())),OFFSET($BN$2,0,0,ROW()-1,60),ROW()-1,FALSE))</f>
        <v/>
      </c>
      <c r="U214" t="str">
        <f ca="1">IF(AND(ISNUMBER($U$883),$B$677=1),$U$883,HLOOKUP(INDIRECT(ADDRESS(2,COLUMN())),OFFSET($BN$2,0,0,ROW()-1,60),ROW()-1,FALSE))</f>
        <v/>
      </c>
      <c r="V214" t="str">
        <f ca="1">IF(AND(ISNUMBER($V$883),$B$677=1),$V$883,HLOOKUP(INDIRECT(ADDRESS(2,COLUMN())),OFFSET($BN$2,0,0,ROW()-1,60),ROW()-1,FALSE))</f>
        <v/>
      </c>
      <c r="W214" t="str">
        <f ca="1">IF(AND(ISNUMBER($W$883),$B$677=1),$W$883,HLOOKUP(INDIRECT(ADDRESS(2,COLUMN())),OFFSET($BN$2,0,0,ROW()-1,60),ROW()-1,FALSE))</f>
        <v/>
      </c>
      <c r="X214" t="str">
        <f ca="1">IF(AND(ISNUMBER($X$883),$B$677=1),$X$883,HLOOKUP(INDIRECT(ADDRESS(2,COLUMN())),OFFSET($BN$2,0,0,ROW()-1,60),ROW()-1,FALSE))</f>
        <v/>
      </c>
      <c r="Y214" t="str">
        <f ca="1">IF(AND(ISNUMBER($Y$883),$B$677=1),$Y$883,HLOOKUP(INDIRECT(ADDRESS(2,COLUMN())),OFFSET($BN$2,0,0,ROW()-1,60),ROW()-1,FALSE))</f>
        <v/>
      </c>
      <c r="Z214" t="str">
        <f ca="1">IF(AND(ISNUMBER($Z$883),$B$677=1),$Z$883,HLOOKUP(INDIRECT(ADDRESS(2,COLUMN())),OFFSET($BN$2,0,0,ROW()-1,60),ROW()-1,FALSE))</f>
        <v/>
      </c>
      <c r="AA214" t="str">
        <f ca="1">IF(AND(ISNUMBER($AA$883),$B$677=1),$AA$883,HLOOKUP(INDIRECT(ADDRESS(2,COLUMN())),OFFSET($BN$2,0,0,ROW()-1,60),ROW()-1,FALSE))</f>
        <v/>
      </c>
      <c r="AB214" t="str">
        <f ca="1">IF(AND(ISNUMBER($AB$883),$B$677=1),$AB$883,HLOOKUP(INDIRECT(ADDRESS(2,COLUMN())),OFFSET($BN$2,0,0,ROW()-1,60),ROW()-1,FALSE))</f>
        <v/>
      </c>
      <c r="AC214" t="str">
        <f ca="1">IF(AND(ISNUMBER($AC$883),$B$677=1),$AC$883,HLOOKUP(INDIRECT(ADDRESS(2,COLUMN())),OFFSET($BN$2,0,0,ROW()-1,60),ROW()-1,FALSE))</f>
        <v/>
      </c>
      <c r="AD214">
        <f ca="1">IF(AND(ISNUMBER($AD$883),$B$677=1),$AD$883,HLOOKUP(INDIRECT(ADDRESS(2,COLUMN())),OFFSET($BN$2,0,0,ROW()-1,60),ROW()-1,FALSE))</f>
        <v>1171.9998049999999</v>
      </c>
      <c r="AE214">
        <f ca="1">IF(AND(ISNUMBER($AE$883),$B$677=1),$AE$883,HLOOKUP(INDIRECT(ADDRESS(2,COLUMN())),OFFSET($BN$2,0,0,ROW()-1,60),ROW()-1,FALSE))</f>
        <v>1088.8667620000001</v>
      </c>
      <c r="AF214" t="str">
        <f ca="1">IF(AND(ISNUMBER($AF$883),$B$677=1),$AF$883,HLOOKUP(INDIRECT(ADDRESS(2,COLUMN())),OFFSET($BN$2,0,0,ROW()-1,60),ROW()-1,FALSE))</f>
        <v/>
      </c>
      <c r="AG214" t="str">
        <f ca="1">IF(AND(ISNUMBER($AG$883),$B$677=1),$AG$883,HLOOKUP(INDIRECT(ADDRESS(2,COLUMN())),OFFSET($BN$2,0,0,ROW()-1,60),ROW()-1,FALSE))</f>
        <v/>
      </c>
      <c r="AH214" t="str">
        <f ca="1">IF(AND(ISNUMBER($AH$883),$B$677=1),$AH$883,HLOOKUP(INDIRECT(ADDRESS(2,COLUMN())),OFFSET($BN$2,0,0,ROW()-1,60),ROW()-1,FALSE))</f>
        <v/>
      </c>
      <c r="AI214" t="str">
        <f ca="1">IF(AND(ISNUMBER($AI$883),$B$677=1),$AI$883,HLOOKUP(INDIRECT(ADDRESS(2,COLUMN())),OFFSET($BN$2,0,0,ROW()-1,60),ROW()-1,FALSE))</f>
        <v/>
      </c>
      <c r="AJ214" t="str">
        <f ca="1">IF(AND(ISNUMBER($AJ$883),$B$677=1),$AJ$883,HLOOKUP(INDIRECT(ADDRESS(2,COLUMN())),OFFSET($BN$2,0,0,ROW()-1,60),ROW()-1,FALSE))</f>
        <v/>
      </c>
      <c r="AK214" t="str">
        <f ca="1">IF(AND(ISNUMBER($AK$883),$B$677=1),$AK$883,HLOOKUP(INDIRECT(ADDRESS(2,COLUMN())),OFFSET($BN$2,0,0,ROW()-1,60),ROW()-1,FALSE))</f>
        <v/>
      </c>
      <c r="AL214" t="str">
        <f ca="1">IF(AND(ISNUMBER($AL$883),$B$677=1),$AL$883,HLOOKUP(INDIRECT(ADDRESS(2,COLUMN())),OFFSET($BN$2,0,0,ROW()-1,60),ROW()-1,FALSE))</f>
        <v/>
      </c>
      <c r="AM214" t="str">
        <f ca="1">IF(AND(ISNUMBER($AM$883),$B$677=1),$AM$883,HLOOKUP(INDIRECT(ADDRESS(2,COLUMN())),OFFSET($BN$2,0,0,ROW()-1,60),ROW()-1,FALSE))</f>
        <v/>
      </c>
      <c r="AN214" t="str">
        <f ca="1">IF(AND(ISNUMBER($AN$883),$B$677=1),$AN$883,HLOOKUP(INDIRECT(ADDRESS(2,COLUMN())),OFFSET($BN$2,0,0,ROW()-1,60),ROW()-1,FALSE))</f>
        <v/>
      </c>
      <c r="AO214" t="str">
        <f ca="1">IF(AND(ISNUMBER($AO$883),$B$677=1),$AO$883,HLOOKUP(INDIRECT(ADDRESS(2,COLUMN())),OFFSET($BN$2,0,0,ROW()-1,60),ROW()-1,FALSE))</f>
        <v/>
      </c>
      <c r="AP214" t="str">
        <f ca="1">IF(AND(ISNUMBER($AP$883),$B$677=1),$AP$883,HLOOKUP(INDIRECT(ADDRESS(2,COLUMN())),OFFSET($BN$2,0,0,ROW()-1,60),ROW()-1,FALSE))</f>
        <v/>
      </c>
      <c r="AQ214" t="str">
        <f ca="1">IF(AND(ISNUMBER($AQ$883),$B$677=1),$AQ$883,HLOOKUP(INDIRECT(ADDRESS(2,COLUMN())),OFFSET($BN$2,0,0,ROW()-1,60),ROW()-1,FALSE))</f>
        <v/>
      </c>
      <c r="AR214" t="str">
        <f ca="1">IF(AND(ISNUMBER($AR$883),$B$677=1),$AR$883,HLOOKUP(INDIRECT(ADDRESS(2,COLUMN())),OFFSET($BN$2,0,0,ROW()-1,60),ROW()-1,FALSE))</f>
        <v/>
      </c>
      <c r="AS214" t="str">
        <f ca="1">IF(AND(ISNUMBER($AS$883),$B$677=1),$AS$883,HLOOKUP(INDIRECT(ADDRESS(2,COLUMN())),OFFSET($BN$2,0,0,ROW()-1,60),ROW()-1,FALSE))</f>
        <v/>
      </c>
      <c r="AT214" t="str">
        <f ca="1">IF(AND(ISNUMBER($AT$883),$B$677=1),$AT$883,HLOOKUP(INDIRECT(ADDRESS(2,COLUMN())),OFFSET($BN$2,0,0,ROW()-1,60),ROW()-1,FALSE))</f>
        <v/>
      </c>
      <c r="AU214" t="str">
        <f ca="1">IF(AND(ISNUMBER($AU$883),$B$677=1),$AU$883,HLOOKUP(INDIRECT(ADDRESS(2,COLUMN())),OFFSET($BN$2,0,0,ROW()-1,60),ROW()-1,FALSE))</f>
        <v/>
      </c>
      <c r="AV214" t="str">
        <f ca="1">IF(AND(ISNUMBER($AV$883),$B$677=1),$AV$883,HLOOKUP(INDIRECT(ADDRESS(2,COLUMN())),OFFSET($BN$2,0,0,ROW()-1,60),ROW()-1,FALSE))</f>
        <v/>
      </c>
      <c r="AW214" t="str">
        <f ca="1">IF(AND(ISNUMBER($AW$883),$B$677=1),$AW$883,HLOOKUP(INDIRECT(ADDRESS(2,COLUMN())),OFFSET($BN$2,0,0,ROW()-1,60),ROW()-1,FALSE))</f>
        <v/>
      </c>
      <c r="AX214" t="str">
        <f ca="1">IF(AND(ISNUMBER($AX$883),$B$677=1),$AX$883,HLOOKUP(INDIRECT(ADDRESS(2,COLUMN())),OFFSET($BN$2,0,0,ROW()-1,60),ROW()-1,FALSE))</f>
        <v/>
      </c>
      <c r="AY214" t="str">
        <f ca="1">IF(AND(ISNUMBER($AY$883),$B$677=1),$AY$883,HLOOKUP(INDIRECT(ADDRESS(2,COLUMN())),OFFSET($BN$2,0,0,ROW()-1,60),ROW()-1,FALSE))</f>
        <v/>
      </c>
      <c r="AZ214" t="str">
        <f ca="1">IF(AND(ISNUMBER($AZ$883),$B$677=1),$AZ$883,HLOOKUP(INDIRECT(ADDRESS(2,COLUMN())),OFFSET($BN$2,0,0,ROW()-1,60),ROW()-1,FALSE))</f>
        <v/>
      </c>
      <c r="BA214" t="str">
        <f ca="1">IF(AND(ISNUMBER($BA$883),$B$677=1),$BA$883,HLOOKUP(INDIRECT(ADDRESS(2,COLUMN())),OFFSET($BN$2,0,0,ROW()-1,60),ROW()-1,FALSE))</f>
        <v/>
      </c>
      <c r="BB214" t="str">
        <f ca="1">IF(AND(ISNUMBER($BB$883),$B$677=1),$BB$883,HLOOKUP(INDIRECT(ADDRESS(2,COLUMN())),OFFSET($BN$2,0,0,ROW()-1,60),ROW()-1,FALSE))</f>
        <v/>
      </c>
      <c r="BC214" t="str">
        <f ca="1">IF(AND(ISNUMBER($BC$883),$B$677=1),$BC$883,HLOOKUP(INDIRECT(ADDRESS(2,COLUMN())),OFFSET($BN$2,0,0,ROW()-1,60),ROW()-1,FALSE))</f>
        <v/>
      </c>
      <c r="BD214" t="str">
        <f ca="1">IF(AND(ISNUMBER($BD$883),$B$677=1),$BD$883,HLOOKUP(INDIRECT(ADDRESS(2,COLUMN())),OFFSET($BN$2,0,0,ROW()-1,60),ROW()-1,FALSE))</f>
        <v/>
      </c>
      <c r="BE214" t="str">
        <f ca="1">IF(AND(ISNUMBER($BE$883),$B$677=1),$BE$883,HLOOKUP(INDIRECT(ADDRESS(2,COLUMN())),OFFSET($BN$2,0,0,ROW()-1,60),ROW()-1,FALSE))</f>
        <v/>
      </c>
      <c r="BF214" t="str">
        <f ca="1">IF(AND(ISNUMBER($BF$883),$B$677=1),$BF$883,HLOOKUP(INDIRECT(ADDRESS(2,COLUMN())),OFFSET($BN$2,0,0,ROW()-1,60),ROW()-1,FALSE))</f>
        <v/>
      </c>
      <c r="BG214" t="str">
        <f ca="1">IF(AND(ISNUMBER($BG$883),$B$677=1),$BG$883,HLOOKUP(INDIRECT(ADDRESS(2,COLUMN())),OFFSET($BN$2,0,0,ROW()-1,60),ROW()-1,FALSE))</f>
        <v/>
      </c>
      <c r="BH214" t="str">
        <f ca="1">IF(AND(ISNUMBER($BH$883),$B$677=1),$BH$883,HLOOKUP(INDIRECT(ADDRESS(2,COLUMN())),OFFSET($BN$2,0,0,ROW()-1,60),ROW()-1,FALSE))</f>
        <v/>
      </c>
      <c r="BI214" t="str">
        <f ca="1">IF(AND(ISNUMBER($BI$883),$B$677=1),$BI$883,HLOOKUP(INDIRECT(ADDRESS(2,COLUMN())),OFFSET($BN$2,0,0,ROW()-1,60),ROW()-1,FALSE))</f>
        <v/>
      </c>
      <c r="BJ214" t="str">
        <f ca="1">IF(AND(ISNUMBER($BJ$883),$B$677=1),$BJ$883,HLOOKUP(INDIRECT(ADDRESS(2,COLUMN())),OFFSET($BN$2,0,0,ROW()-1,60),ROW()-1,FALSE))</f>
        <v/>
      </c>
      <c r="BK214" t="str">
        <f ca="1">IF(AND(ISNUMBER($BK$883),$B$677=1),$BK$883,HLOOKUP(INDIRECT(ADDRESS(2,COLUMN())),OFFSET($BN$2,0,0,ROW()-1,60),ROW()-1,FALSE))</f>
        <v/>
      </c>
      <c r="BL214" t="str">
        <f ca="1">IF(AND(ISNUMBER($BL$883),$B$677=1),$BL$883,HLOOKUP(INDIRECT(ADDRESS(2,COLUMN())),OFFSET($BN$2,0,0,ROW()-1,60),ROW()-1,FALSE))</f>
        <v/>
      </c>
      <c r="BM214" t="str">
        <f ca="1">IF(AND(ISNUMBER($BM$883),$B$677=1),$BM$883,HLOOKUP(INDIRECT(ADDRESS(2,COLUMN())),OFFSET($BN$2,0,0,ROW()-1,60),ROW()-1,FALSE))</f>
        <v/>
      </c>
      <c r="BN214" t="str">
        <f>""</f>
        <v/>
      </c>
      <c r="BO214" t="str">
        <f>""</f>
        <v/>
      </c>
      <c r="BP214" t="str">
        <f>""</f>
        <v/>
      </c>
      <c r="BQ214" t="str">
        <f>""</f>
        <v/>
      </c>
      <c r="BR214" t="str">
        <f>""</f>
        <v/>
      </c>
      <c r="BS214" t="str">
        <f>""</f>
        <v/>
      </c>
      <c r="BT214" t="str">
        <f>""</f>
        <v/>
      </c>
      <c r="BU214" t="str">
        <f>""</f>
        <v/>
      </c>
      <c r="BV214" t="str">
        <f>""</f>
        <v/>
      </c>
      <c r="BW214" t="str">
        <f>""</f>
        <v/>
      </c>
      <c r="BX214" t="str">
        <f>""</f>
        <v/>
      </c>
      <c r="BY214" t="str">
        <f>""</f>
        <v/>
      </c>
      <c r="BZ214" t="str">
        <f>""</f>
        <v/>
      </c>
      <c r="CA214" t="str">
        <f>""</f>
        <v/>
      </c>
      <c r="CB214" t="str">
        <f>""</f>
        <v/>
      </c>
      <c r="CC214" t="str">
        <f>""</f>
        <v/>
      </c>
      <c r="CD214" t="str">
        <f>""</f>
        <v/>
      </c>
      <c r="CE214" t="str">
        <f>""</f>
        <v/>
      </c>
      <c r="CF214" t="str">
        <f>""</f>
        <v/>
      </c>
      <c r="CG214" t="str">
        <f>""</f>
        <v/>
      </c>
      <c r="CH214" t="str">
        <f>""</f>
        <v/>
      </c>
      <c r="CI214" t="str">
        <f>""</f>
        <v/>
      </c>
      <c r="CJ214" t="str">
        <f>""</f>
        <v/>
      </c>
      <c r="CK214" t="str">
        <f>""</f>
        <v/>
      </c>
      <c r="CL214">
        <f>1171.999805</f>
        <v>1171.9998049999999</v>
      </c>
      <c r="CM214">
        <f>1088.866762</f>
        <v>1088.8667620000001</v>
      </c>
      <c r="CN214" t="str">
        <f>""</f>
        <v/>
      </c>
      <c r="CO214" t="str">
        <f>""</f>
        <v/>
      </c>
      <c r="CP214" t="str">
        <f>""</f>
        <v/>
      </c>
      <c r="CQ214" t="str">
        <f>""</f>
        <v/>
      </c>
      <c r="CR214" t="str">
        <f>""</f>
        <v/>
      </c>
      <c r="CS214" t="str">
        <f>""</f>
        <v/>
      </c>
      <c r="CT214" t="str">
        <f>""</f>
        <v/>
      </c>
      <c r="CU214" t="str">
        <f>""</f>
        <v/>
      </c>
      <c r="CV214" t="str">
        <f>""</f>
        <v/>
      </c>
      <c r="CW214" t="str">
        <f>""</f>
        <v/>
      </c>
      <c r="CX214" t="str">
        <f>""</f>
        <v/>
      </c>
      <c r="CY214" t="str">
        <f>""</f>
        <v/>
      </c>
      <c r="CZ214" t="str">
        <f>""</f>
        <v/>
      </c>
      <c r="DA214" t="str">
        <f>""</f>
        <v/>
      </c>
      <c r="DB214" t="str">
        <f>""</f>
        <v/>
      </c>
      <c r="DC214" t="str">
        <f>""</f>
        <v/>
      </c>
      <c r="DD214" t="str">
        <f>""</f>
        <v/>
      </c>
      <c r="DE214" t="str">
        <f>""</f>
        <v/>
      </c>
      <c r="DF214" t="str">
        <f>""</f>
        <v/>
      </c>
      <c r="DG214" t="str">
        <f>""</f>
        <v/>
      </c>
      <c r="DH214" t="str">
        <f>""</f>
        <v/>
      </c>
      <c r="DI214" t="str">
        <f>""</f>
        <v/>
      </c>
      <c r="DJ214" t="str">
        <f>""</f>
        <v/>
      </c>
      <c r="DK214" t="str">
        <f>""</f>
        <v/>
      </c>
      <c r="DL214" t="str">
        <f>""</f>
        <v/>
      </c>
      <c r="DM214" t="str">
        <f>""</f>
        <v/>
      </c>
      <c r="DN214" t="str">
        <f>""</f>
        <v/>
      </c>
      <c r="DO214" t="str">
        <f>""</f>
        <v/>
      </c>
      <c r="DP214" t="str">
        <f>""</f>
        <v/>
      </c>
      <c r="DQ214" t="str">
        <f>""</f>
        <v/>
      </c>
      <c r="DR214" t="str">
        <f>""</f>
        <v/>
      </c>
      <c r="DS214" t="str">
        <f>""</f>
        <v/>
      </c>
      <c r="DT214" t="str">
        <f>""</f>
        <v/>
      </c>
      <c r="DU214" t="str">
        <f>""</f>
        <v/>
      </c>
    </row>
    <row r="215" spans="1:125" x14ac:dyDescent="0.25">
      <c r="A215" t="str">
        <f>"    Chongqing Changan Automobile Co Ltd"</f>
        <v xml:space="preserve">    Chongqing Changan Automobile Co Ltd</v>
      </c>
      <c r="B215" t="str">
        <f>"200625 CH Equity"</f>
        <v>200625 CH Equity</v>
      </c>
      <c r="C215" t="str">
        <f t="shared" si="15"/>
        <v>RR971</v>
      </c>
      <c r="D215" t="str">
        <f t="shared" si="16"/>
        <v>CURRENT_PX_TO_FREE_CASH_FLOW</v>
      </c>
      <c r="E215" t="str">
        <f t="shared" si="17"/>
        <v>Dynamic</v>
      </c>
      <c r="F215" t="str">
        <f ca="1">IF(AND(ISNUMBER($F$884),$B$677=1),$F$884,HLOOKUP(INDIRECT(ADDRESS(2,COLUMN())),OFFSET($BN$2,0,0,ROW()-1,60),ROW()-1,FALSE))</f>
        <v/>
      </c>
      <c r="G215" t="str">
        <f ca="1">IF(AND(ISNUMBER($G$884),$B$677=1),$G$884,HLOOKUP(INDIRECT(ADDRESS(2,COLUMN())),OFFSET($BN$2,0,0,ROW()-1,60),ROW()-1,FALSE))</f>
        <v/>
      </c>
      <c r="H215" t="str">
        <f ca="1">IF(AND(ISNUMBER($H$884),$B$677=1),$H$884,HLOOKUP(INDIRECT(ADDRESS(2,COLUMN())),OFFSET($BN$2,0,0,ROW()-1,60),ROW()-1,FALSE))</f>
        <v/>
      </c>
      <c r="I215">
        <f ca="1">IF(AND(ISNUMBER($I$884),$B$677=1),$I$884,HLOOKUP(INDIRECT(ADDRESS(2,COLUMN())),OFFSET($BN$2,0,0,ROW()-1,60),ROW()-1,FALSE))</f>
        <v>25.245608579999999</v>
      </c>
      <c r="J215">
        <f ca="1">IF(AND(ISNUMBER($J$884),$B$677=1),$J$884,HLOOKUP(INDIRECT(ADDRESS(2,COLUMN())),OFFSET($BN$2,0,0,ROW()-1,60),ROW()-1,FALSE))</f>
        <v>24.865999850000001</v>
      </c>
      <c r="K215">
        <f ca="1">IF(AND(ISNUMBER($K$884),$B$677=1),$K$884,HLOOKUP(INDIRECT(ADDRESS(2,COLUMN())),OFFSET($BN$2,0,0,ROW()-1,60),ROW()-1,FALSE))</f>
        <v>8.7561297170000003</v>
      </c>
      <c r="L215">
        <f ca="1">IF(AND(ISNUMBER($L$884),$B$677=1),$L$884,HLOOKUP(INDIRECT(ADDRESS(2,COLUMN())),OFFSET($BN$2,0,0,ROW()-1,60),ROW()-1,FALSE))</f>
        <v>13.57544901</v>
      </c>
      <c r="M215">
        <f ca="1">IF(AND(ISNUMBER($M$884),$B$677=1),$M$884,HLOOKUP(INDIRECT(ADDRESS(2,COLUMN())),OFFSET($BN$2,0,0,ROW()-1,60),ROW()-1,FALSE))</f>
        <v>4.9075470470000004</v>
      </c>
      <c r="N215">
        <f ca="1">IF(AND(ISNUMBER($N$884),$B$677=1),$N$884,HLOOKUP(INDIRECT(ADDRESS(2,COLUMN())),OFFSET($BN$2,0,0,ROW()-1,60),ROW()-1,FALSE))</f>
        <v>4.3364499600000004</v>
      </c>
      <c r="O215">
        <f ca="1">IF(AND(ISNUMBER($O$884),$B$677=1),$O$884,HLOOKUP(INDIRECT(ADDRESS(2,COLUMN())),OFFSET($BN$2,0,0,ROW()-1,60),ROW()-1,FALSE))</f>
        <v>6.3137586800000003</v>
      </c>
      <c r="P215">
        <f ca="1">IF(AND(ISNUMBER($P$884),$B$677=1),$P$884,HLOOKUP(INDIRECT(ADDRESS(2,COLUMN())),OFFSET($BN$2,0,0,ROW()-1,60),ROW()-1,FALSE))</f>
        <v>5.9731188839999998</v>
      </c>
      <c r="Q215">
        <f ca="1">IF(AND(ISNUMBER($Q$884),$B$677=1),$Q$884,HLOOKUP(INDIRECT(ADDRESS(2,COLUMN())),OFFSET($BN$2,0,0,ROW()-1,60),ROW()-1,FALSE))</f>
        <v>3.6906560640000001</v>
      </c>
      <c r="R215">
        <f ca="1">IF(AND(ISNUMBER($R$884),$B$677=1),$R$884,HLOOKUP(INDIRECT(ADDRESS(2,COLUMN())),OFFSET($BN$2,0,0,ROW()-1,60),ROW()-1,FALSE))</f>
        <v>6.2865195299999996</v>
      </c>
      <c r="S215">
        <f ca="1">IF(AND(ISNUMBER($S$884),$B$677=1),$S$884,HLOOKUP(INDIRECT(ADDRESS(2,COLUMN())),OFFSET($BN$2,0,0,ROW()-1,60),ROW()-1,FALSE))</f>
        <v>6.2726733780000004</v>
      </c>
      <c r="T215">
        <f ca="1">IF(AND(ISNUMBER($T$884),$B$677=1),$T$884,HLOOKUP(INDIRECT(ADDRESS(2,COLUMN())),OFFSET($BN$2,0,0,ROW()-1,60),ROW()-1,FALSE))</f>
        <v>4.2620672129999999</v>
      </c>
      <c r="U215">
        <f ca="1">IF(AND(ISNUMBER($U$884),$B$677=1),$U$884,HLOOKUP(INDIRECT(ADDRESS(2,COLUMN())),OFFSET($BN$2,0,0,ROW()-1,60),ROW()-1,FALSE))</f>
        <v>9.7230589179999996</v>
      </c>
      <c r="V215">
        <f ca="1">IF(AND(ISNUMBER($V$884),$B$677=1),$V$884,HLOOKUP(INDIRECT(ADDRESS(2,COLUMN())),OFFSET($BN$2,0,0,ROW()-1,60),ROW()-1,FALSE))</f>
        <v>8.8162826029999994</v>
      </c>
      <c r="W215">
        <f ca="1">IF(AND(ISNUMBER($W$884),$B$677=1),$W$884,HLOOKUP(INDIRECT(ADDRESS(2,COLUMN())),OFFSET($BN$2,0,0,ROW()-1,60),ROW()-1,FALSE))</f>
        <v>7.2542017660000004</v>
      </c>
      <c r="X215">
        <f ca="1">IF(AND(ISNUMBER($X$884),$B$677=1),$X$884,HLOOKUP(INDIRECT(ADDRESS(2,COLUMN())),OFFSET($BN$2,0,0,ROW()-1,60),ROW()-1,FALSE))</f>
        <v>10.444624660000001</v>
      </c>
      <c r="Y215">
        <f ca="1">IF(AND(ISNUMBER($Y$884),$B$677=1),$Y$884,HLOOKUP(INDIRECT(ADDRESS(2,COLUMN())),OFFSET($BN$2,0,0,ROW()-1,60),ROW()-1,FALSE))</f>
        <v>16.83935215</v>
      </c>
      <c r="Z215">
        <f ca="1">IF(AND(ISNUMBER($Z$884),$B$677=1),$Z$884,HLOOKUP(INDIRECT(ADDRESS(2,COLUMN())),OFFSET($BN$2,0,0,ROW()-1,60),ROW()-1,FALSE))</f>
        <v>128.01605699999999</v>
      </c>
      <c r="AA215">
        <f ca="1">IF(AND(ISNUMBER($AA$884),$B$677=1),$AA$884,HLOOKUP(INDIRECT(ADDRESS(2,COLUMN())),OFFSET($BN$2,0,0,ROW()-1,60),ROW()-1,FALSE))</f>
        <v>26.07330383</v>
      </c>
      <c r="AB215">
        <f ca="1">IF(AND(ISNUMBER($AB$884),$B$677=1),$AB$884,HLOOKUP(INDIRECT(ADDRESS(2,COLUMN())),OFFSET($BN$2,0,0,ROW()-1,60),ROW()-1,FALSE))</f>
        <v>20.37163005</v>
      </c>
      <c r="AC215">
        <f ca="1">IF(AND(ISNUMBER($AC$884),$B$677=1),$AC$884,HLOOKUP(INDIRECT(ADDRESS(2,COLUMN())),OFFSET($BN$2,0,0,ROW()-1,60),ROW()-1,FALSE))</f>
        <v>11.32418391</v>
      </c>
      <c r="AD215" t="str">
        <f ca="1">IF(AND(ISNUMBER($AD$884),$B$677=1),$AD$884,HLOOKUP(INDIRECT(ADDRESS(2,COLUMN())),OFFSET($BN$2,0,0,ROW()-1,60),ROW()-1,FALSE))</f>
        <v/>
      </c>
      <c r="AE215" t="str">
        <f ca="1">IF(AND(ISNUMBER($AE$884),$B$677=1),$AE$884,HLOOKUP(INDIRECT(ADDRESS(2,COLUMN())),OFFSET($BN$2,0,0,ROW()-1,60),ROW()-1,FALSE))</f>
        <v/>
      </c>
      <c r="AF215" t="str">
        <f ca="1">IF(AND(ISNUMBER($AF$884),$B$677=1),$AF$884,HLOOKUP(INDIRECT(ADDRESS(2,COLUMN())),OFFSET($BN$2,0,0,ROW()-1,60),ROW()-1,FALSE))</f>
        <v/>
      </c>
      <c r="AG215" t="str">
        <f ca="1">IF(AND(ISNUMBER($AG$884),$B$677=1),$AG$884,HLOOKUP(INDIRECT(ADDRESS(2,COLUMN())),OFFSET($BN$2,0,0,ROW()-1,60),ROW()-1,FALSE))</f>
        <v/>
      </c>
      <c r="AH215" t="str">
        <f ca="1">IF(AND(ISNUMBER($AH$884),$B$677=1),$AH$884,HLOOKUP(INDIRECT(ADDRESS(2,COLUMN())),OFFSET($BN$2,0,0,ROW()-1,60),ROW()-1,FALSE))</f>
        <v/>
      </c>
      <c r="AI215" t="str">
        <f ca="1">IF(AND(ISNUMBER($AI$884),$B$677=1),$AI$884,HLOOKUP(INDIRECT(ADDRESS(2,COLUMN())),OFFSET($BN$2,0,0,ROW()-1,60),ROW()-1,FALSE))</f>
        <v/>
      </c>
      <c r="AJ215" t="str">
        <f ca="1">IF(AND(ISNUMBER($AJ$884),$B$677=1),$AJ$884,HLOOKUP(INDIRECT(ADDRESS(2,COLUMN())),OFFSET($BN$2,0,0,ROW()-1,60),ROW()-1,FALSE))</f>
        <v/>
      </c>
      <c r="AK215">
        <f ca="1">IF(AND(ISNUMBER($AK$884),$B$677=1),$AK$884,HLOOKUP(INDIRECT(ADDRESS(2,COLUMN())),OFFSET($BN$2,0,0,ROW()-1,60),ROW()-1,FALSE))</f>
        <v>4.7752800369999999</v>
      </c>
      <c r="AL215">
        <f ca="1">IF(AND(ISNUMBER($AL$884),$B$677=1),$AL$884,HLOOKUP(INDIRECT(ADDRESS(2,COLUMN())),OFFSET($BN$2,0,0,ROW()-1,60),ROW()-1,FALSE))</f>
        <v>5.3885425759999999</v>
      </c>
      <c r="AM215">
        <f ca="1">IF(AND(ISNUMBER($AM$884),$B$677=1),$AM$884,HLOOKUP(INDIRECT(ADDRESS(2,COLUMN())),OFFSET($BN$2,0,0,ROW()-1,60),ROW()-1,FALSE))</f>
        <v>7.5585919580000001</v>
      </c>
      <c r="AN215">
        <f ca="1">IF(AND(ISNUMBER($AN$884),$B$677=1),$AN$884,HLOOKUP(INDIRECT(ADDRESS(2,COLUMN())),OFFSET($BN$2,0,0,ROW()-1,60),ROW()-1,FALSE))</f>
        <v>4.4198917350000002</v>
      </c>
      <c r="AO215">
        <f ca="1">IF(AND(ISNUMBER($AO$884),$B$677=1),$AO$884,HLOOKUP(INDIRECT(ADDRESS(2,COLUMN())),OFFSET($BN$2,0,0,ROW()-1,60),ROW()-1,FALSE))</f>
        <v>2.6152365180000001</v>
      </c>
      <c r="AP215">
        <f ca="1">IF(AND(ISNUMBER($AP$884),$B$677=1),$AP$884,HLOOKUP(INDIRECT(ADDRESS(2,COLUMN())),OFFSET($BN$2,0,0,ROW()-1,60),ROW()-1,FALSE))</f>
        <v>7.6883109489999999</v>
      </c>
      <c r="AQ215">
        <f ca="1">IF(AND(ISNUMBER($AQ$884),$B$677=1),$AQ$884,HLOOKUP(INDIRECT(ADDRESS(2,COLUMN())),OFFSET($BN$2,0,0,ROW()-1,60),ROW()-1,FALSE))</f>
        <v>7.666474579</v>
      </c>
      <c r="AR215">
        <f ca="1">IF(AND(ISNUMBER($AR$884),$B$677=1),$AR$884,HLOOKUP(INDIRECT(ADDRESS(2,COLUMN())),OFFSET($BN$2,0,0,ROW()-1,60),ROW()-1,FALSE))</f>
        <v>4.0849259440000001</v>
      </c>
      <c r="AS215">
        <f ca="1">IF(AND(ISNUMBER($AS$884),$B$677=1),$AS$884,HLOOKUP(INDIRECT(ADDRESS(2,COLUMN())),OFFSET($BN$2,0,0,ROW()-1,60),ROW()-1,FALSE))</f>
        <v>5.6396438130000002</v>
      </c>
      <c r="AT215">
        <f ca="1">IF(AND(ISNUMBER($AT$884),$B$677=1),$AT$884,HLOOKUP(INDIRECT(ADDRESS(2,COLUMN())),OFFSET($BN$2,0,0,ROW()-1,60),ROW()-1,FALSE))</f>
        <v>5.1216458200000003</v>
      </c>
      <c r="AU215">
        <f ca="1">IF(AND(ISNUMBER($AU$884),$B$677=1),$AU$884,HLOOKUP(INDIRECT(ADDRESS(2,COLUMN())),OFFSET($BN$2,0,0,ROW()-1,60),ROW()-1,FALSE))</f>
        <v>14.65700683</v>
      </c>
      <c r="AV215">
        <f ca="1">IF(AND(ISNUMBER($AV$884),$B$677=1),$AV$884,HLOOKUP(INDIRECT(ADDRESS(2,COLUMN())),OFFSET($BN$2,0,0,ROW()-1,60),ROW()-1,FALSE))</f>
        <v>16.17108979</v>
      </c>
      <c r="AW215">
        <f ca="1">IF(AND(ISNUMBER($AW$884),$B$677=1),$AW$884,HLOOKUP(INDIRECT(ADDRESS(2,COLUMN())),OFFSET($BN$2,0,0,ROW()-1,60),ROW()-1,FALSE))</f>
        <v>7001.7538100000002</v>
      </c>
      <c r="AX215">
        <f ca="1">IF(AND(ISNUMBER($AX$884),$B$677=1),$AX$884,HLOOKUP(INDIRECT(ADDRESS(2,COLUMN())),OFFSET($BN$2,0,0,ROW()-1,60),ROW()-1,FALSE))</f>
        <v>10081.17643</v>
      </c>
      <c r="AY215">
        <f ca="1">IF(AND(ISNUMBER($AY$884),$B$677=1),$AY$884,HLOOKUP(INDIRECT(ADDRESS(2,COLUMN())),OFFSET($BN$2,0,0,ROW()-1,60),ROW()-1,FALSE))</f>
        <v>18.202336760000001</v>
      </c>
      <c r="AZ215">
        <f ca="1">IF(AND(ISNUMBER($AZ$884),$B$677=1),$AZ$884,HLOOKUP(INDIRECT(ADDRESS(2,COLUMN())),OFFSET($BN$2,0,0,ROW()-1,60),ROW()-1,FALSE))</f>
        <v>11.45220598</v>
      </c>
      <c r="BA215">
        <f ca="1">IF(AND(ISNUMBER($BA$884),$B$677=1),$BA$884,HLOOKUP(INDIRECT(ADDRESS(2,COLUMN())),OFFSET($BN$2,0,0,ROW()-1,60),ROW()-1,FALSE))</f>
        <v>7.8840799580000001</v>
      </c>
      <c r="BB215">
        <f ca="1">IF(AND(ISNUMBER($BB$884),$B$677=1),$BB$884,HLOOKUP(INDIRECT(ADDRESS(2,COLUMN())),OFFSET($BN$2,0,0,ROW()-1,60),ROW()-1,FALSE))</f>
        <v>73.499308060000004</v>
      </c>
      <c r="BC215" t="str">
        <f ca="1">IF(AND(ISNUMBER($BC$884),$B$677=1),$BC$884,HLOOKUP(INDIRECT(ADDRESS(2,COLUMN())),OFFSET($BN$2,0,0,ROW()-1,60),ROW()-1,FALSE))</f>
        <v/>
      </c>
      <c r="BD215" t="str">
        <f ca="1">IF(AND(ISNUMBER($BD$884),$B$677=1),$BD$884,HLOOKUP(INDIRECT(ADDRESS(2,COLUMN())),OFFSET($BN$2,0,0,ROW()-1,60),ROW()-1,FALSE))</f>
        <v/>
      </c>
      <c r="BE215" t="str">
        <f ca="1">IF(AND(ISNUMBER($BE$884),$B$677=1),$BE$884,HLOOKUP(INDIRECT(ADDRESS(2,COLUMN())),OFFSET($BN$2,0,0,ROW()-1,60),ROW()-1,FALSE))</f>
        <v/>
      </c>
      <c r="BF215" t="str">
        <f ca="1">IF(AND(ISNUMBER($BF$884),$B$677=1),$BF$884,HLOOKUP(INDIRECT(ADDRESS(2,COLUMN())),OFFSET($BN$2,0,0,ROW()-1,60),ROW()-1,FALSE))</f>
        <v/>
      </c>
      <c r="BG215" t="str">
        <f ca="1">IF(AND(ISNUMBER($BG$884),$B$677=1),$BG$884,HLOOKUP(INDIRECT(ADDRESS(2,COLUMN())),OFFSET($BN$2,0,0,ROW()-1,60),ROW()-1,FALSE))</f>
        <v/>
      </c>
      <c r="BH215" t="str">
        <f ca="1">IF(AND(ISNUMBER($BH$884),$B$677=1),$BH$884,HLOOKUP(INDIRECT(ADDRESS(2,COLUMN())),OFFSET($BN$2,0,0,ROW()-1,60),ROW()-1,FALSE))</f>
        <v/>
      </c>
      <c r="BI215" t="str">
        <f ca="1">IF(AND(ISNUMBER($BI$884),$B$677=1),$BI$884,HLOOKUP(INDIRECT(ADDRESS(2,COLUMN())),OFFSET($BN$2,0,0,ROW()-1,60),ROW()-1,FALSE))</f>
        <v/>
      </c>
      <c r="BJ215" t="str">
        <f ca="1">IF(AND(ISNUMBER($BJ$884),$B$677=1),$BJ$884,HLOOKUP(INDIRECT(ADDRESS(2,COLUMN())),OFFSET($BN$2,0,0,ROW()-1,60),ROW()-1,FALSE))</f>
        <v/>
      </c>
      <c r="BK215" t="str">
        <f ca="1">IF(AND(ISNUMBER($BK$884),$B$677=1),$BK$884,HLOOKUP(INDIRECT(ADDRESS(2,COLUMN())),OFFSET($BN$2,0,0,ROW()-1,60),ROW()-1,FALSE))</f>
        <v/>
      </c>
      <c r="BL215" t="str">
        <f ca="1">IF(AND(ISNUMBER($BL$884),$B$677=1),$BL$884,HLOOKUP(INDIRECT(ADDRESS(2,COLUMN())),OFFSET($BN$2,0,0,ROW()-1,60),ROW()-1,FALSE))</f>
        <v/>
      </c>
      <c r="BM215" t="str">
        <f ca="1">IF(AND(ISNUMBER($BM$884),$B$677=1),$BM$884,HLOOKUP(INDIRECT(ADDRESS(2,COLUMN())),OFFSET($BN$2,0,0,ROW()-1,60),ROW()-1,FALSE))</f>
        <v/>
      </c>
      <c r="BN215" t="str">
        <f>""</f>
        <v/>
      </c>
      <c r="BO215" t="str">
        <f>""</f>
        <v/>
      </c>
      <c r="BP215" t="str">
        <f>""</f>
        <v/>
      </c>
      <c r="BQ215">
        <f>25.24560858</f>
        <v>25.245608579999999</v>
      </c>
      <c r="BR215">
        <f>24.86599985</f>
        <v>24.865999850000001</v>
      </c>
      <c r="BS215">
        <f>8.756129717</f>
        <v>8.7561297170000003</v>
      </c>
      <c r="BT215">
        <f>13.57544901</f>
        <v>13.57544901</v>
      </c>
      <c r="BU215">
        <f>4.907547047</f>
        <v>4.9075470470000004</v>
      </c>
      <c r="BV215">
        <f>4.33644996</f>
        <v>4.3364499600000004</v>
      </c>
      <c r="BW215">
        <f>6.31375868</f>
        <v>6.3137586800000003</v>
      </c>
      <c r="BX215">
        <f>5.973118884</f>
        <v>5.9731188839999998</v>
      </c>
      <c r="BY215">
        <f>3.690656064</f>
        <v>3.6906560640000001</v>
      </c>
      <c r="BZ215">
        <f>6.28651953</f>
        <v>6.2865195299999996</v>
      </c>
      <c r="CA215">
        <f>6.272673378</f>
        <v>6.2726733780000004</v>
      </c>
      <c r="CB215">
        <f>4.262067213</f>
        <v>4.2620672129999999</v>
      </c>
      <c r="CC215">
        <f>9.723058918</f>
        <v>9.7230589179999996</v>
      </c>
      <c r="CD215">
        <f>8.816282603</f>
        <v>8.8162826029999994</v>
      </c>
      <c r="CE215">
        <f>7.254201766</f>
        <v>7.2542017660000004</v>
      </c>
      <c r="CF215">
        <f>10.44462466</f>
        <v>10.444624660000001</v>
      </c>
      <c r="CG215">
        <f>16.83935215</f>
        <v>16.83935215</v>
      </c>
      <c r="CH215">
        <f>128.016057</f>
        <v>128.01605699999999</v>
      </c>
      <c r="CI215">
        <f>26.07330383</f>
        <v>26.07330383</v>
      </c>
      <c r="CJ215">
        <f>20.37163005</f>
        <v>20.37163005</v>
      </c>
      <c r="CK215">
        <f>11.32418391</f>
        <v>11.32418391</v>
      </c>
      <c r="CL215" t="str">
        <f>""</f>
        <v/>
      </c>
      <c r="CM215" t="str">
        <f>""</f>
        <v/>
      </c>
      <c r="CN215" t="str">
        <f>""</f>
        <v/>
      </c>
      <c r="CO215" t="str">
        <f>""</f>
        <v/>
      </c>
      <c r="CP215" t="str">
        <f>""</f>
        <v/>
      </c>
      <c r="CQ215" t="str">
        <f>""</f>
        <v/>
      </c>
      <c r="CR215" t="str">
        <f>""</f>
        <v/>
      </c>
      <c r="CS215">
        <f>4.775280037</f>
        <v>4.7752800369999999</v>
      </c>
      <c r="CT215">
        <f>5.388542576</f>
        <v>5.3885425759999999</v>
      </c>
      <c r="CU215">
        <f>7.558591958</f>
        <v>7.5585919580000001</v>
      </c>
      <c r="CV215">
        <f>4.419891735</f>
        <v>4.4198917350000002</v>
      </c>
      <c r="CW215">
        <f>2.615236518</f>
        <v>2.6152365180000001</v>
      </c>
      <c r="CX215">
        <f>7.688310949</f>
        <v>7.6883109489999999</v>
      </c>
      <c r="CY215">
        <f>7.666474579</f>
        <v>7.666474579</v>
      </c>
      <c r="CZ215">
        <f>4.084925944</f>
        <v>4.0849259440000001</v>
      </c>
      <c r="DA215">
        <f>5.639643813</f>
        <v>5.6396438130000002</v>
      </c>
      <c r="DB215">
        <f>5.12164582</f>
        <v>5.1216458200000003</v>
      </c>
      <c r="DC215">
        <f>14.65700683</f>
        <v>14.65700683</v>
      </c>
      <c r="DD215">
        <f>16.17108979</f>
        <v>16.17108979</v>
      </c>
      <c r="DE215">
        <f>7001.75381</f>
        <v>7001.7538100000002</v>
      </c>
      <c r="DF215">
        <f>10081.17643</f>
        <v>10081.17643</v>
      </c>
      <c r="DG215">
        <f>18.20233676</f>
        <v>18.202336760000001</v>
      </c>
      <c r="DH215">
        <f>11.45220598</f>
        <v>11.45220598</v>
      </c>
      <c r="DI215">
        <f>7.884079958</f>
        <v>7.8840799580000001</v>
      </c>
      <c r="DJ215">
        <f>73.49930806</f>
        <v>73.499308060000004</v>
      </c>
      <c r="DK215" t="str">
        <f>""</f>
        <v/>
      </c>
      <c r="DL215" t="str">
        <f>""</f>
        <v/>
      </c>
      <c r="DM215" t="str">
        <f>""</f>
        <v/>
      </c>
      <c r="DN215" t="str">
        <f>""</f>
        <v/>
      </c>
      <c r="DO215" t="str">
        <f>""</f>
        <v/>
      </c>
      <c r="DP215" t="str">
        <f>""</f>
        <v/>
      </c>
      <c r="DQ215" t="str">
        <f>""</f>
        <v/>
      </c>
      <c r="DR215" t="str">
        <f>""</f>
        <v/>
      </c>
      <c r="DS215" t="str">
        <f>""</f>
        <v/>
      </c>
      <c r="DT215" t="str">
        <f>""</f>
        <v/>
      </c>
      <c r="DU215" t="str">
        <f>""</f>
        <v/>
      </c>
    </row>
    <row r="216" spans="1:125" x14ac:dyDescent="0.25">
      <c r="A216" t="str">
        <f>"    Daihatsu Motor Co Ltd"</f>
        <v xml:space="preserve">    Daihatsu Motor Co Ltd</v>
      </c>
      <c r="B216" t="str">
        <f>"7262 JP Equity"</f>
        <v>7262 JP Equity</v>
      </c>
      <c r="C216" t="str">
        <f t="shared" si="15"/>
        <v>RR971</v>
      </c>
      <c r="D216" t="str">
        <f t="shared" si="16"/>
        <v>CURRENT_PX_TO_FREE_CASH_FLOW</v>
      </c>
      <c r="E216" t="str">
        <f t="shared" si="17"/>
        <v>Dynamic</v>
      </c>
      <c r="F216" t="str">
        <f ca="1">IF(AND(ISNUMBER($F$885),$B$677=1),$F$885,HLOOKUP(INDIRECT(ADDRESS(2,COLUMN())),OFFSET($BN$2,0,0,ROW()-1,60),ROW()-1,FALSE))</f>
        <v/>
      </c>
      <c r="G216" t="str">
        <f ca="1">IF(AND(ISNUMBER($G$885),$B$677=1),$G$885,HLOOKUP(INDIRECT(ADDRESS(2,COLUMN())),OFFSET($BN$2,0,0,ROW()-1,60),ROW()-1,FALSE))</f>
        <v/>
      </c>
      <c r="H216" t="str">
        <f ca="1">IF(AND(ISNUMBER($H$885),$B$677=1),$H$885,HLOOKUP(INDIRECT(ADDRESS(2,COLUMN())),OFFSET($BN$2,0,0,ROW()-1,60),ROW()-1,FALSE))</f>
        <v/>
      </c>
      <c r="I216" t="str">
        <f ca="1">IF(AND(ISNUMBER($I$885),$B$677=1),$I$885,HLOOKUP(INDIRECT(ADDRESS(2,COLUMN())),OFFSET($BN$2,0,0,ROW()-1,60),ROW()-1,FALSE))</f>
        <v/>
      </c>
      <c r="J216" t="str">
        <f ca="1">IF(AND(ISNUMBER($J$885),$B$677=1),$J$885,HLOOKUP(INDIRECT(ADDRESS(2,COLUMN())),OFFSET($BN$2,0,0,ROW()-1,60),ROW()-1,FALSE))</f>
        <v/>
      </c>
      <c r="K216" t="str">
        <f ca="1">IF(AND(ISNUMBER($K$885),$B$677=1),$K$885,HLOOKUP(INDIRECT(ADDRESS(2,COLUMN())),OFFSET($BN$2,0,0,ROW()-1,60),ROW()-1,FALSE))</f>
        <v/>
      </c>
      <c r="L216" t="str">
        <f ca="1">IF(AND(ISNUMBER($L$885),$B$677=1),$L$885,HLOOKUP(INDIRECT(ADDRESS(2,COLUMN())),OFFSET($BN$2,0,0,ROW()-1,60),ROW()-1,FALSE))</f>
        <v/>
      </c>
      <c r="M216" t="str">
        <f ca="1">IF(AND(ISNUMBER($M$885),$B$677=1),$M$885,HLOOKUP(INDIRECT(ADDRESS(2,COLUMN())),OFFSET($BN$2,0,0,ROW()-1,60),ROW()-1,FALSE))</f>
        <v/>
      </c>
      <c r="N216" t="str">
        <f ca="1">IF(AND(ISNUMBER($N$885),$B$677=1),$N$885,HLOOKUP(INDIRECT(ADDRESS(2,COLUMN())),OFFSET($BN$2,0,0,ROW()-1,60),ROW()-1,FALSE))</f>
        <v/>
      </c>
      <c r="O216" t="str">
        <f ca="1">IF(AND(ISNUMBER($O$885),$B$677=1),$O$885,HLOOKUP(INDIRECT(ADDRESS(2,COLUMN())),OFFSET($BN$2,0,0,ROW()-1,60),ROW()-1,FALSE))</f>
        <v/>
      </c>
      <c r="P216" t="str">
        <f ca="1">IF(AND(ISNUMBER($P$885),$B$677=1),$P$885,HLOOKUP(INDIRECT(ADDRESS(2,COLUMN())),OFFSET($BN$2,0,0,ROW()-1,60),ROW()-1,FALSE))</f>
        <v/>
      </c>
      <c r="Q216" t="str">
        <f ca="1">IF(AND(ISNUMBER($Q$885),$B$677=1),$Q$885,HLOOKUP(INDIRECT(ADDRESS(2,COLUMN())),OFFSET($BN$2,0,0,ROW()-1,60),ROW()-1,FALSE))</f>
        <v/>
      </c>
      <c r="R216" t="str">
        <f ca="1">IF(AND(ISNUMBER($R$885),$B$677=1),$R$885,HLOOKUP(INDIRECT(ADDRESS(2,COLUMN())),OFFSET($BN$2,0,0,ROW()-1,60),ROW()-1,FALSE))</f>
        <v/>
      </c>
      <c r="S216" t="str">
        <f ca="1">IF(AND(ISNUMBER($S$885),$B$677=1),$S$885,HLOOKUP(INDIRECT(ADDRESS(2,COLUMN())),OFFSET($BN$2,0,0,ROW()-1,60),ROW()-1,FALSE))</f>
        <v/>
      </c>
      <c r="T216" t="str">
        <f ca="1">IF(AND(ISNUMBER($T$885),$B$677=1),$T$885,HLOOKUP(INDIRECT(ADDRESS(2,COLUMN())),OFFSET($BN$2,0,0,ROW()-1,60),ROW()-1,FALSE))</f>
        <v/>
      </c>
      <c r="U216" t="str">
        <f ca="1">IF(AND(ISNUMBER($U$885),$B$677=1),$U$885,HLOOKUP(INDIRECT(ADDRESS(2,COLUMN())),OFFSET($BN$2,0,0,ROW()-1,60),ROW()-1,FALSE))</f>
        <v/>
      </c>
      <c r="V216" t="str">
        <f ca="1">IF(AND(ISNUMBER($V$885),$B$677=1),$V$885,HLOOKUP(INDIRECT(ADDRESS(2,COLUMN())),OFFSET($BN$2,0,0,ROW()-1,60),ROW()-1,FALSE))</f>
        <v/>
      </c>
      <c r="W216" t="str">
        <f ca="1">IF(AND(ISNUMBER($W$885),$B$677=1),$W$885,HLOOKUP(INDIRECT(ADDRESS(2,COLUMN())),OFFSET($BN$2,0,0,ROW()-1,60),ROW()-1,FALSE))</f>
        <v/>
      </c>
      <c r="X216" t="str">
        <f ca="1">IF(AND(ISNUMBER($X$885),$B$677=1),$X$885,HLOOKUP(INDIRECT(ADDRESS(2,COLUMN())),OFFSET($BN$2,0,0,ROW()-1,60),ROW()-1,FALSE))</f>
        <v/>
      </c>
      <c r="Y216" t="str">
        <f ca="1">IF(AND(ISNUMBER($Y$885),$B$677=1),$Y$885,HLOOKUP(INDIRECT(ADDRESS(2,COLUMN())),OFFSET($BN$2,0,0,ROW()-1,60),ROW()-1,FALSE))</f>
        <v/>
      </c>
      <c r="Z216" t="str">
        <f ca="1">IF(AND(ISNUMBER($Z$885),$B$677=1),$Z$885,HLOOKUP(INDIRECT(ADDRESS(2,COLUMN())),OFFSET($BN$2,0,0,ROW()-1,60),ROW()-1,FALSE))</f>
        <v/>
      </c>
      <c r="AA216" t="str">
        <f ca="1">IF(AND(ISNUMBER($AA$885),$B$677=1),$AA$885,HLOOKUP(INDIRECT(ADDRESS(2,COLUMN())),OFFSET($BN$2,0,0,ROW()-1,60),ROW()-1,FALSE))</f>
        <v/>
      </c>
      <c r="AB216" t="str">
        <f ca="1">IF(AND(ISNUMBER($AB$885),$B$677=1),$AB$885,HLOOKUP(INDIRECT(ADDRESS(2,COLUMN())),OFFSET($BN$2,0,0,ROW()-1,60),ROW()-1,FALSE))</f>
        <v/>
      </c>
      <c r="AC216" t="str">
        <f ca="1">IF(AND(ISNUMBER($AC$885),$B$677=1),$AC$885,HLOOKUP(INDIRECT(ADDRESS(2,COLUMN())),OFFSET($BN$2,0,0,ROW()-1,60),ROW()-1,FALSE))</f>
        <v/>
      </c>
      <c r="AD216" t="str">
        <f ca="1">IF(AND(ISNUMBER($AD$885),$B$677=1),$AD$885,HLOOKUP(INDIRECT(ADDRESS(2,COLUMN())),OFFSET($BN$2,0,0,ROW()-1,60),ROW()-1,FALSE))</f>
        <v/>
      </c>
      <c r="AE216" t="str">
        <f ca="1">IF(AND(ISNUMBER($AE$885),$B$677=1),$AE$885,HLOOKUP(INDIRECT(ADDRESS(2,COLUMN())),OFFSET($BN$2,0,0,ROW()-1,60),ROW()-1,FALSE))</f>
        <v/>
      </c>
      <c r="AF216" t="str">
        <f ca="1">IF(AND(ISNUMBER($AF$885),$B$677=1),$AF$885,HLOOKUP(INDIRECT(ADDRESS(2,COLUMN())),OFFSET($BN$2,0,0,ROW()-1,60),ROW()-1,FALSE))</f>
        <v/>
      </c>
      <c r="AG216" t="str">
        <f ca="1">IF(AND(ISNUMBER($AG$885),$B$677=1),$AG$885,HLOOKUP(INDIRECT(ADDRESS(2,COLUMN())),OFFSET($BN$2,0,0,ROW()-1,60),ROW()-1,FALSE))</f>
        <v/>
      </c>
      <c r="AH216" t="str">
        <f ca="1">IF(AND(ISNUMBER($AH$885),$B$677=1),$AH$885,HLOOKUP(INDIRECT(ADDRESS(2,COLUMN())),OFFSET($BN$2,0,0,ROW()-1,60),ROW()-1,FALSE))</f>
        <v/>
      </c>
      <c r="AI216" t="str">
        <f ca="1">IF(AND(ISNUMBER($AI$885),$B$677=1),$AI$885,HLOOKUP(INDIRECT(ADDRESS(2,COLUMN())),OFFSET($BN$2,0,0,ROW()-1,60),ROW()-1,FALSE))</f>
        <v/>
      </c>
      <c r="AJ216" t="str">
        <f ca="1">IF(AND(ISNUMBER($AJ$885),$B$677=1),$AJ$885,HLOOKUP(INDIRECT(ADDRESS(2,COLUMN())),OFFSET($BN$2,0,0,ROW()-1,60),ROW()-1,FALSE))</f>
        <v/>
      </c>
      <c r="AK216">
        <f ca="1">IF(AND(ISNUMBER($AK$885),$B$677=1),$AK$885,HLOOKUP(INDIRECT(ADDRESS(2,COLUMN())),OFFSET($BN$2,0,0,ROW()-1,60),ROW()-1,FALSE))</f>
        <v>5.4664227289999996</v>
      </c>
      <c r="AL216">
        <f ca="1">IF(AND(ISNUMBER($AL$885),$B$677=1),$AL$885,HLOOKUP(INDIRECT(ADDRESS(2,COLUMN())),OFFSET($BN$2,0,0,ROW()-1,60),ROW()-1,FALSE))</f>
        <v>4.93321247</v>
      </c>
      <c r="AM216">
        <f ca="1">IF(AND(ISNUMBER($AM$885),$B$677=1),$AM$885,HLOOKUP(INDIRECT(ADDRESS(2,COLUMN())),OFFSET($BN$2,0,0,ROW()-1,60),ROW()-1,FALSE))</f>
        <v>4.0985564950000004</v>
      </c>
      <c r="AN216">
        <f ca="1">IF(AND(ISNUMBER($AN$885),$B$677=1),$AN$885,HLOOKUP(INDIRECT(ADDRESS(2,COLUMN())),OFFSET($BN$2,0,0,ROW()-1,60),ROW()-1,FALSE))</f>
        <v>3.0003079010000002</v>
      </c>
      <c r="AO216">
        <f ca="1">IF(AND(ISNUMBER($AO$885),$B$677=1),$AO$885,HLOOKUP(INDIRECT(ADDRESS(2,COLUMN())),OFFSET($BN$2,0,0,ROW()-1,60),ROW()-1,FALSE))</f>
        <v>2.5774914080000002</v>
      </c>
      <c r="AP216">
        <f ca="1">IF(AND(ISNUMBER($AP$885),$B$677=1),$AP$885,HLOOKUP(INDIRECT(ADDRESS(2,COLUMN())),OFFSET($BN$2,0,0,ROW()-1,60),ROW()-1,FALSE))</f>
        <v>4.4782550920000004</v>
      </c>
      <c r="AQ216">
        <f ca="1">IF(AND(ISNUMBER($AQ$885),$B$677=1),$AQ$885,HLOOKUP(INDIRECT(ADDRESS(2,COLUMN())),OFFSET($BN$2,0,0,ROW()-1,60),ROW()-1,FALSE))</f>
        <v>15.39972045</v>
      </c>
      <c r="AR216" t="str">
        <f ca="1">IF(AND(ISNUMBER($AR$885),$B$677=1),$AR$885,HLOOKUP(INDIRECT(ADDRESS(2,COLUMN())),OFFSET($BN$2,0,0,ROW()-1,60),ROW()-1,FALSE))</f>
        <v/>
      </c>
      <c r="AS216" t="str">
        <f ca="1">IF(AND(ISNUMBER($AS$885),$B$677=1),$AS$885,HLOOKUP(INDIRECT(ADDRESS(2,COLUMN())),OFFSET($BN$2,0,0,ROW()-1,60),ROW()-1,FALSE))</f>
        <v/>
      </c>
      <c r="AT216">
        <f ca="1">IF(AND(ISNUMBER($AT$885),$B$677=1),$AT$885,HLOOKUP(INDIRECT(ADDRESS(2,COLUMN())),OFFSET($BN$2,0,0,ROW()-1,60),ROW()-1,FALSE))</f>
        <v>41.081280669999998</v>
      </c>
      <c r="AU216">
        <f ca="1">IF(AND(ISNUMBER($AU$885),$B$677=1),$AU$885,HLOOKUP(INDIRECT(ADDRESS(2,COLUMN())),OFFSET($BN$2,0,0,ROW()-1,60),ROW()-1,FALSE))</f>
        <v>42.946118509999998</v>
      </c>
      <c r="AV216" t="str">
        <f ca="1">IF(AND(ISNUMBER($AV$885),$B$677=1),$AV$885,HLOOKUP(INDIRECT(ADDRESS(2,COLUMN())),OFFSET($BN$2,0,0,ROW()-1,60),ROW()-1,FALSE))</f>
        <v/>
      </c>
      <c r="AW216" t="str">
        <f ca="1">IF(AND(ISNUMBER($AW$885),$B$677=1),$AW$885,HLOOKUP(INDIRECT(ADDRESS(2,COLUMN())),OFFSET($BN$2,0,0,ROW()-1,60),ROW()-1,FALSE))</f>
        <v/>
      </c>
      <c r="AX216" t="str">
        <f ca="1">IF(AND(ISNUMBER($AX$885),$B$677=1),$AX$885,HLOOKUP(INDIRECT(ADDRESS(2,COLUMN())),OFFSET($BN$2,0,0,ROW()-1,60),ROW()-1,FALSE))</f>
        <v/>
      </c>
      <c r="AY216" t="str">
        <f ca="1">IF(AND(ISNUMBER($AY$885),$B$677=1),$AY$885,HLOOKUP(INDIRECT(ADDRESS(2,COLUMN())),OFFSET($BN$2,0,0,ROW()-1,60),ROW()-1,FALSE))</f>
        <v/>
      </c>
      <c r="AZ216">
        <f ca="1">IF(AND(ISNUMBER($AZ$885),$B$677=1),$AZ$885,HLOOKUP(INDIRECT(ADDRESS(2,COLUMN())),OFFSET($BN$2,0,0,ROW()-1,60),ROW()-1,FALSE))</f>
        <v>46.253897180000003</v>
      </c>
      <c r="BA216">
        <f ca="1">IF(AND(ISNUMBER($BA$885),$B$677=1),$BA$885,HLOOKUP(INDIRECT(ADDRESS(2,COLUMN())),OFFSET($BN$2,0,0,ROW()-1,60),ROW()-1,FALSE))</f>
        <v>45.608118509999997</v>
      </c>
      <c r="BB216">
        <f ca="1">IF(AND(ISNUMBER($BB$885),$B$677=1),$BB$885,HLOOKUP(INDIRECT(ADDRESS(2,COLUMN())),OFFSET($BN$2,0,0,ROW()-1,60),ROW()-1,FALSE))</f>
        <v>64.169444659999996</v>
      </c>
      <c r="BC216" t="str">
        <f ca="1">IF(AND(ISNUMBER($BC$885),$B$677=1),$BC$885,HLOOKUP(INDIRECT(ADDRESS(2,COLUMN())),OFFSET($BN$2,0,0,ROW()-1,60),ROW()-1,FALSE))</f>
        <v/>
      </c>
      <c r="BD216" t="str">
        <f ca="1">IF(AND(ISNUMBER($BD$885),$B$677=1),$BD$885,HLOOKUP(INDIRECT(ADDRESS(2,COLUMN())),OFFSET($BN$2,0,0,ROW()-1,60),ROW()-1,FALSE))</f>
        <v/>
      </c>
      <c r="BE216" t="str">
        <f ca="1">IF(AND(ISNUMBER($BE$885),$B$677=1),$BE$885,HLOOKUP(INDIRECT(ADDRESS(2,COLUMN())),OFFSET($BN$2,0,0,ROW()-1,60),ROW()-1,FALSE))</f>
        <v/>
      </c>
      <c r="BF216" t="str">
        <f ca="1">IF(AND(ISNUMBER($BF$885),$B$677=1),$BF$885,HLOOKUP(INDIRECT(ADDRESS(2,COLUMN())),OFFSET($BN$2,0,0,ROW()-1,60),ROW()-1,FALSE))</f>
        <v/>
      </c>
      <c r="BG216" t="str">
        <f ca="1">IF(AND(ISNUMBER($BG$885),$B$677=1),$BG$885,HLOOKUP(INDIRECT(ADDRESS(2,COLUMN())),OFFSET($BN$2,0,0,ROW()-1,60),ROW()-1,FALSE))</f>
        <v/>
      </c>
      <c r="BH216" t="str">
        <f ca="1">IF(AND(ISNUMBER($BH$885),$B$677=1),$BH$885,HLOOKUP(INDIRECT(ADDRESS(2,COLUMN())),OFFSET($BN$2,0,0,ROW()-1,60),ROW()-1,FALSE))</f>
        <v/>
      </c>
      <c r="BI216" t="str">
        <f ca="1">IF(AND(ISNUMBER($BI$885),$B$677=1),$BI$885,HLOOKUP(INDIRECT(ADDRESS(2,COLUMN())),OFFSET($BN$2,0,0,ROW()-1,60),ROW()-1,FALSE))</f>
        <v/>
      </c>
      <c r="BJ216" t="str">
        <f ca="1">IF(AND(ISNUMBER($BJ$885),$B$677=1),$BJ$885,HLOOKUP(INDIRECT(ADDRESS(2,COLUMN())),OFFSET($BN$2,0,0,ROW()-1,60),ROW()-1,FALSE))</f>
        <v/>
      </c>
      <c r="BK216" t="str">
        <f ca="1">IF(AND(ISNUMBER($BK$885),$B$677=1),$BK$885,HLOOKUP(INDIRECT(ADDRESS(2,COLUMN())),OFFSET($BN$2,0,0,ROW()-1,60),ROW()-1,FALSE))</f>
        <v/>
      </c>
      <c r="BL216" t="str">
        <f ca="1">IF(AND(ISNUMBER($BL$885),$B$677=1),$BL$885,HLOOKUP(INDIRECT(ADDRESS(2,COLUMN())),OFFSET($BN$2,0,0,ROW()-1,60),ROW()-1,FALSE))</f>
        <v/>
      </c>
      <c r="BM216" t="str">
        <f ca="1">IF(AND(ISNUMBER($BM$885),$B$677=1),$BM$885,HLOOKUP(INDIRECT(ADDRESS(2,COLUMN())),OFFSET($BN$2,0,0,ROW()-1,60),ROW()-1,FALSE))</f>
        <v/>
      </c>
      <c r="BN216" t="str">
        <f>""</f>
        <v/>
      </c>
      <c r="BO216" t="str">
        <f>""</f>
        <v/>
      </c>
      <c r="BP216" t="str">
        <f>""</f>
        <v/>
      </c>
      <c r="BQ216" t="str">
        <f>""</f>
        <v/>
      </c>
      <c r="BR216" t="str">
        <f>""</f>
        <v/>
      </c>
      <c r="BS216" t="str">
        <f>""</f>
        <v/>
      </c>
      <c r="BT216" t="str">
        <f>""</f>
        <v/>
      </c>
      <c r="BU216" t="str">
        <f>""</f>
        <v/>
      </c>
      <c r="BV216" t="str">
        <f>""</f>
        <v/>
      </c>
      <c r="BW216" t="str">
        <f>""</f>
        <v/>
      </c>
      <c r="BX216" t="str">
        <f>""</f>
        <v/>
      </c>
      <c r="BY216" t="str">
        <f>""</f>
        <v/>
      </c>
      <c r="BZ216" t="str">
        <f>""</f>
        <v/>
      </c>
      <c r="CA216" t="str">
        <f>""</f>
        <v/>
      </c>
      <c r="CB216" t="str">
        <f>""</f>
        <v/>
      </c>
      <c r="CC216" t="str">
        <f>""</f>
        <v/>
      </c>
      <c r="CD216" t="str">
        <f>""</f>
        <v/>
      </c>
      <c r="CE216" t="str">
        <f>""</f>
        <v/>
      </c>
      <c r="CF216" t="str">
        <f>""</f>
        <v/>
      </c>
      <c r="CG216" t="str">
        <f>""</f>
        <v/>
      </c>
      <c r="CH216" t="str">
        <f>""</f>
        <v/>
      </c>
      <c r="CI216" t="str">
        <f>""</f>
        <v/>
      </c>
      <c r="CJ216" t="str">
        <f>""</f>
        <v/>
      </c>
      <c r="CK216" t="str">
        <f>""</f>
        <v/>
      </c>
      <c r="CL216" t="str">
        <f>""</f>
        <v/>
      </c>
      <c r="CM216" t="str">
        <f>""</f>
        <v/>
      </c>
      <c r="CN216" t="str">
        <f>""</f>
        <v/>
      </c>
      <c r="CO216" t="str">
        <f>""</f>
        <v/>
      </c>
      <c r="CP216" t="str">
        <f>""</f>
        <v/>
      </c>
      <c r="CQ216" t="str">
        <f>""</f>
        <v/>
      </c>
      <c r="CR216" t="str">
        <f>""</f>
        <v/>
      </c>
      <c r="CS216">
        <f>5.466422729</f>
        <v>5.4664227289999996</v>
      </c>
      <c r="CT216">
        <f>4.93321247</f>
        <v>4.93321247</v>
      </c>
      <c r="CU216">
        <f>4.098556495</f>
        <v>4.0985564950000004</v>
      </c>
      <c r="CV216">
        <f>3.000307901</f>
        <v>3.0003079010000002</v>
      </c>
      <c r="CW216">
        <f>2.577491408</f>
        <v>2.5774914080000002</v>
      </c>
      <c r="CX216">
        <f>4.478255092</f>
        <v>4.4782550920000004</v>
      </c>
      <c r="CY216">
        <f>15.39972045</f>
        <v>15.39972045</v>
      </c>
      <c r="CZ216" t="str">
        <f>""</f>
        <v/>
      </c>
      <c r="DA216" t="str">
        <f>""</f>
        <v/>
      </c>
      <c r="DB216">
        <f>41.08128067</f>
        <v>41.081280669999998</v>
      </c>
      <c r="DC216">
        <f>42.94611851</f>
        <v>42.946118509999998</v>
      </c>
      <c r="DD216" t="str">
        <f>""</f>
        <v/>
      </c>
      <c r="DE216" t="str">
        <f>""</f>
        <v/>
      </c>
      <c r="DF216" t="str">
        <f>""</f>
        <v/>
      </c>
      <c r="DG216" t="str">
        <f>""</f>
        <v/>
      </c>
      <c r="DH216">
        <f>46.25389718</f>
        <v>46.253897180000003</v>
      </c>
      <c r="DI216">
        <f>45.60811851</f>
        <v>45.608118509999997</v>
      </c>
      <c r="DJ216">
        <f>64.16944466</f>
        <v>64.169444659999996</v>
      </c>
      <c r="DK216" t="str">
        <f>""</f>
        <v/>
      </c>
      <c r="DL216" t="str">
        <f>""</f>
        <v/>
      </c>
      <c r="DM216" t="str">
        <f>""</f>
        <v/>
      </c>
      <c r="DN216" t="str">
        <f>""</f>
        <v/>
      </c>
      <c r="DO216" t="str">
        <f>""</f>
        <v/>
      </c>
      <c r="DP216" t="str">
        <f>""</f>
        <v/>
      </c>
      <c r="DQ216" t="str">
        <f>""</f>
        <v/>
      </c>
      <c r="DR216" t="str">
        <f>""</f>
        <v/>
      </c>
      <c r="DS216" t="str">
        <f>""</f>
        <v/>
      </c>
      <c r="DT216" t="str">
        <f>""</f>
        <v/>
      </c>
      <c r="DU216" t="str">
        <f>""</f>
        <v/>
      </c>
    </row>
    <row r="217" spans="1:125" x14ac:dyDescent="0.25">
      <c r="A217" t="str">
        <f>"    Daimler AG"</f>
        <v xml:space="preserve">    Daimler AG</v>
      </c>
      <c r="B217" t="str">
        <f>"DAI GR Equity"</f>
        <v>DAI GR Equity</v>
      </c>
      <c r="C217" t="str">
        <f t="shared" si="15"/>
        <v>RR971</v>
      </c>
      <c r="D217" t="str">
        <f t="shared" si="16"/>
        <v>CURRENT_PX_TO_FREE_CASH_FLOW</v>
      </c>
      <c r="E217" t="str">
        <f t="shared" si="17"/>
        <v>Dynamic</v>
      </c>
      <c r="F217" t="str">
        <f ca="1">IF(AND(ISNUMBER($F$886),$B$677=1),$F$886,HLOOKUP(INDIRECT(ADDRESS(2,COLUMN())),OFFSET($BN$2,0,0,ROW()-1,60),ROW()-1,FALSE))</f>
        <v/>
      </c>
      <c r="G217" t="str">
        <f ca="1">IF(AND(ISNUMBER($G$886),$B$677=1),$G$886,HLOOKUP(INDIRECT(ADDRESS(2,COLUMN())),OFFSET($BN$2,0,0,ROW()-1,60),ROW()-1,FALSE))</f>
        <v/>
      </c>
      <c r="H217" t="str">
        <f ca="1">IF(AND(ISNUMBER($H$886),$B$677=1),$H$886,HLOOKUP(INDIRECT(ADDRESS(2,COLUMN())),OFFSET($BN$2,0,0,ROW()-1,60),ROW()-1,FALSE))</f>
        <v/>
      </c>
      <c r="I217" t="str">
        <f ca="1">IF(AND(ISNUMBER($I$886),$B$677=1),$I$886,HLOOKUP(INDIRECT(ADDRESS(2,COLUMN())),OFFSET($BN$2,0,0,ROW()-1,60),ROW()-1,FALSE))</f>
        <v/>
      </c>
      <c r="J217" t="str">
        <f ca="1">IF(AND(ISNUMBER($J$886),$B$677=1),$J$886,HLOOKUP(INDIRECT(ADDRESS(2,COLUMN())),OFFSET($BN$2,0,0,ROW()-1,60),ROW()-1,FALSE))</f>
        <v/>
      </c>
      <c r="K217" t="str">
        <f ca="1">IF(AND(ISNUMBER($K$886),$B$677=1),$K$886,HLOOKUP(INDIRECT(ADDRESS(2,COLUMN())),OFFSET($BN$2,0,0,ROW()-1,60),ROW()-1,FALSE))</f>
        <v/>
      </c>
      <c r="L217" t="str">
        <f ca="1">IF(AND(ISNUMBER($L$886),$B$677=1),$L$886,HLOOKUP(INDIRECT(ADDRESS(2,COLUMN())),OFFSET($BN$2,0,0,ROW()-1,60),ROW()-1,FALSE))</f>
        <v/>
      </c>
      <c r="M217" t="str">
        <f ca="1">IF(AND(ISNUMBER($M$886),$B$677=1),$M$886,HLOOKUP(INDIRECT(ADDRESS(2,COLUMN())),OFFSET($BN$2,0,0,ROW()-1,60),ROW()-1,FALSE))</f>
        <v/>
      </c>
      <c r="N217" t="str">
        <f ca="1">IF(AND(ISNUMBER($N$886),$B$677=1),$N$886,HLOOKUP(INDIRECT(ADDRESS(2,COLUMN())),OFFSET($BN$2,0,0,ROW()-1,60),ROW()-1,FALSE))</f>
        <v/>
      </c>
      <c r="O217" t="str">
        <f ca="1">IF(AND(ISNUMBER($O$886),$B$677=1),$O$886,HLOOKUP(INDIRECT(ADDRESS(2,COLUMN())),OFFSET($BN$2,0,0,ROW()-1,60),ROW()-1,FALSE))</f>
        <v/>
      </c>
      <c r="P217" t="str">
        <f ca="1">IF(AND(ISNUMBER($P$886),$B$677=1),$P$886,HLOOKUP(INDIRECT(ADDRESS(2,COLUMN())),OFFSET($BN$2,0,0,ROW()-1,60),ROW()-1,FALSE))</f>
        <v/>
      </c>
      <c r="Q217" t="str">
        <f ca="1">IF(AND(ISNUMBER($Q$886),$B$677=1),$Q$886,HLOOKUP(INDIRECT(ADDRESS(2,COLUMN())),OFFSET($BN$2,0,0,ROW()-1,60),ROW()-1,FALSE))</f>
        <v/>
      </c>
      <c r="R217" t="str">
        <f ca="1">IF(AND(ISNUMBER($R$886),$B$677=1),$R$886,HLOOKUP(INDIRECT(ADDRESS(2,COLUMN())),OFFSET($BN$2,0,0,ROW()-1,60),ROW()-1,FALSE))</f>
        <v/>
      </c>
      <c r="S217" t="str">
        <f ca="1">IF(AND(ISNUMBER($S$886),$B$677=1),$S$886,HLOOKUP(INDIRECT(ADDRESS(2,COLUMN())),OFFSET($BN$2,0,0,ROW()-1,60),ROW()-1,FALSE))</f>
        <v/>
      </c>
      <c r="T217" t="str">
        <f ca="1">IF(AND(ISNUMBER($T$886),$B$677=1),$T$886,HLOOKUP(INDIRECT(ADDRESS(2,COLUMN())),OFFSET($BN$2,0,0,ROW()-1,60),ROW()-1,FALSE))</f>
        <v/>
      </c>
      <c r="U217" t="str">
        <f ca="1">IF(AND(ISNUMBER($U$886),$B$677=1),$U$886,HLOOKUP(INDIRECT(ADDRESS(2,COLUMN())),OFFSET($BN$2,0,0,ROW()-1,60),ROW()-1,FALSE))</f>
        <v/>
      </c>
      <c r="V217" t="str">
        <f ca="1">IF(AND(ISNUMBER($V$886),$B$677=1),$V$886,HLOOKUP(INDIRECT(ADDRESS(2,COLUMN())),OFFSET($BN$2,0,0,ROW()-1,60),ROW()-1,FALSE))</f>
        <v/>
      </c>
      <c r="W217" t="str">
        <f ca="1">IF(AND(ISNUMBER($W$886),$B$677=1),$W$886,HLOOKUP(INDIRECT(ADDRESS(2,COLUMN())),OFFSET($BN$2,0,0,ROW()-1,60),ROW()-1,FALSE))</f>
        <v/>
      </c>
      <c r="X217" t="str">
        <f ca="1">IF(AND(ISNUMBER($X$886),$B$677=1),$X$886,HLOOKUP(INDIRECT(ADDRESS(2,COLUMN())),OFFSET($BN$2,0,0,ROW()-1,60),ROW()-1,FALSE))</f>
        <v/>
      </c>
      <c r="Y217" t="str">
        <f ca="1">IF(AND(ISNUMBER($Y$886),$B$677=1),$Y$886,HLOOKUP(INDIRECT(ADDRESS(2,COLUMN())),OFFSET($BN$2,0,0,ROW()-1,60),ROW()-1,FALSE))</f>
        <v/>
      </c>
      <c r="Z217" t="str">
        <f ca="1">IF(AND(ISNUMBER($Z$886),$B$677=1),$Z$886,HLOOKUP(INDIRECT(ADDRESS(2,COLUMN())),OFFSET($BN$2,0,0,ROW()-1,60),ROW()-1,FALSE))</f>
        <v/>
      </c>
      <c r="AA217" t="str">
        <f ca="1">IF(AND(ISNUMBER($AA$886),$B$677=1),$AA$886,HLOOKUP(INDIRECT(ADDRESS(2,COLUMN())),OFFSET($BN$2,0,0,ROW()-1,60),ROW()-1,FALSE))</f>
        <v/>
      </c>
      <c r="AB217" t="str">
        <f ca="1">IF(AND(ISNUMBER($AB$886),$B$677=1),$AB$886,HLOOKUP(INDIRECT(ADDRESS(2,COLUMN())),OFFSET($BN$2,0,0,ROW()-1,60),ROW()-1,FALSE))</f>
        <v/>
      </c>
      <c r="AC217" t="str">
        <f ca="1">IF(AND(ISNUMBER($AC$886),$B$677=1),$AC$886,HLOOKUP(INDIRECT(ADDRESS(2,COLUMN())),OFFSET($BN$2,0,0,ROW()-1,60),ROW()-1,FALSE))</f>
        <v/>
      </c>
      <c r="AD217" t="str">
        <f ca="1">IF(AND(ISNUMBER($AD$886),$B$677=1),$AD$886,HLOOKUP(INDIRECT(ADDRESS(2,COLUMN())),OFFSET($BN$2,0,0,ROW()-1,60),ROW()-1,FALSE))</f>
        <v/>
      </c>
      <c r="AE217" t="str">
        <f ca="1">IF(AND(ISNUMBER($AE$886),$B$677=1),$AE$886,HLOOKUP(INDIRECT(ADDRESS(2,COLUMN())),OFFSET($BN$2,0,0,ROW()-1,60),ROW()-1,FALSE))</f>
        <v/>
      </c>
      <c r="AF217" t="str">
        <f ca="1">IF(AND(ISNUMBER($AF$886),$B$677=1),$AF$886,HLOOKUP(INDIRECT(ADDRESS(2,COLUMN())),OFFSET($BN$2,0,0,ROW()-1,60),ROW()-1,FALSE))</f>
        <v/>
      </c>
      <c r="AG217" t="str">
        <f ca="1">IF(AND(ISNUMBER($AG$886),$B$677=1),$AG$886,HLOOKUP(INDIRECT(ADDRESS(2,COLUMN())),OFFSET($BN$2,0,0,ROW()-1,60),ROW()-1,FALSE))</f>
        <v/>
      </c>
      <c r="AH217" t="str">
        <f ca="1">IF(AND(ISNUMBER($AH$886),$B$677=1),$AH$886,HLOOKUP(INDIRECT(ADDRESS(2,COLUMN())),OFFSET($BN$2,0,0,ROW()-1,60),ROW()-1,FALSE))</f>
        <v/>
      </c>
      <c r="AI217" t="str">
        <f ca="1">IF(AND(ISNUMBER($AI$886),$B$677=1),$AI$886,HLOOKUP(INDIRECT(ADDRESS(2,COLUMN())),OFFSET($BN$2,0,0,ROW()-1,60),ROW()-1,FALSE))</f>
        <v/>
      </c>
      <c r="AJ217">
        <f ca="1">IF(AND(ISNUMBER($AJ$886),$B$677=1),$AJ$886,HLOOKUP(INDIRECT(ADDRESS(2,COLUMN())),OFFSET($BN$2,0,0,ROW()-1,60),ROW()-1,FALSE))</f>
        <v>139.2081239</v>
      </c>
      <c r="AK217">
        <f ca="1">IF(AND(ISNUMBER($AK$886),$B$677=1),$AK$886,HLOOKUP(INDIRECT(ADDRESS(2,COLUMN())),OFFSET($BN$2,0,0,ROW()-1,60),ROW()-1,FALSE))</f>
        <v>209.18602100000001</v>
      </c>
      <c r="AL217">
        <f ca="1">IF(AND(ISNUMBER($AL$886),$B$677=1),$AL$886,HLOOKUP(INDIRECT(ADDRESS(2,COLUMN())),OFFSET($BN$2,0,0,ROW()-1,60),ROW()-1,FALSE))</f>
        <v>21.973889589999999</v>
      </c>
      <c r="AM217">
        <f ca="1">IF(AND(ISNUMBER($AM$886),$B$677=1),$AM$886,HLOOKUP(INDIRECT(ADDRESS(2,COLUMN())),OFFSET($BN$2,0,0,ROW()-1,60),ROW()-1,FALSE))</f>
        <v>10.876641859999999</v>
      </c>
      <c r="AN217">
        <f ca="1">IF(AND(ISNUMBER($AN$886),$B$677=1),$AN$886,HLOOKUP(INDIRECT(ADDRESS(2,COLUMN())),OFFSET($BN$2,0,0,ROW()-1,60),ROW()-1,FALSE))</f>
        <v>7.3040632460000001</v>
      </c>
      <c r="AO217">
        <f ca="1">IF(AND(ISNUMBER($AO$886),$B$677=1),$AO$886,HLOOKUP(INDIRECT(ADDRESS(2,COLUMN())),OFFSET($BN$2,0,0,ROW()-1,60),ROW()-1,FALSE))</f>
        <v>6.5917675090000003</v>
      </c>
      <c r="AP217">
        <f ca="1">IF(AND(ISNUMBER($AP$886),$B$677=1),$AP$886,HLOOKUP(INDIRECT(ADDRESS(2,COLUMN())),OFFSET($BN$2,0,0,ROW()-1,60),ROW()-1,FALSE))</f>
        <v>4.5162724140000003</v>
      </c>
      <c r="AQ217">
        <f ca="1">IF(AND(ISNUMBER($AQ$886),$B$677=1),$AQ$886,HLOOKUP(INDIRECT(ADDRESS(2,COLUMN())),OFFSET($BN$2,0,0,ROW()-1,60),ROW()-1,FALSE))</f>
        <v>4.3840627720000001</v>
      </c>
      <c r="AR217">
        <f ca="1">IF(AND(ISNUMBER($AR$886),$B$677=1),$AR$886,HLOOKUP(INDIRECT(ADDRESS(2,COLUMN())),OFFSET($BN$2,0,0,ROW()-1,60),ROW()-1,FALSE))</f>
        <v>6.5668992719999997</v>
      </c>
      <c r="AS217">
        <f ca="1">IF(AND(ISNUMBER($AS$886),$B$677=1),$AS$886,HLOOKUP(INDIRECT(ADDRESS(2,COLUMN())),OFFSET($BN$2,0,0,ROW()-1,60),ROW()-1,FALSE))</f>
        <v>9.1963834890000005</v>
      </c>
      <c r="AT217">
        <f ca="1">IF(AND(ISNUMBER($AT$886),$B$677=1),$AT$886,HLOOKUP(INDIRECT(ADDRESS(2,COLUMN())),OFFSET($BN$2,0,0,ROW()-1,60),ROW()-1,FALSE))</f>
        <v>50.404478750000003</v>
      </c>
      <c r="AU217">
        <f ca="1">IF(AND(ISNUMBER($AU$886),$B$677=1),$AU$886,HLOOKUP(INDIRECT(ADDRESS(2,COLUMN())),OFFSET($BN$2,0,0,ROW()-1,60),ROW()-1,FALSE))</f>
        <v>12.571425919999999</v>
      </c>
      <c r="AV217">
        <f ca="1">IF(AND(ISNUMBER($AV$886),$B$677=1),$AV$886,HLOOKUP(INDIRECT(ADDRESS(2,COLUMN())),OFFSET($BN$2,0,0,ROW()-1,60),ROW()-1,FALSE))</f>
        <v>17.615154369999999</v>
      </c>
      <c r="AW217">
        <f ca="1">IF(AND(ISNUMBER($AW$886),$B$677=1),$AW$886,HLOOKUP(INDIRECT(ADDRESS(2,COLUMN())),OFFSET($BN$2,0,0,ROW()-1,60),ROW()-1,FALSE))</f>
        <v>16.47787769</v>
      </c>
      <c r="AX217">
        <f ca="1">IF(AND(ISNUMBER($AX$886),$B$677=1),$AX$886,HLOOKUP(INDIRECT(ADDRESS(2,COLUMN())),OFFSET($BN$2,0,0,ROW()-1,60),ROW()-1,FALSE))</f>
        <v>753.47998029999997</v>
      </c>
      <c r="AY217">
        <f ca="1">IF(AND(ISNUMBER($AY$886),$B$677=1),$AY$886,HLOOKUP(INDIRECT(ADDRESS(2,COLUMN())),OFFSET($BN$2,0,0,ROW()-1,60),ROW()-1,FALSE))</f>
        <v>48.78413244</v>
      </c>
      <c r="AZ217" t="str">
        <f ca="1">IF(AND(ISNUMBER($AZ$886),$B$677=1),$AZ$886,HLOOKUP(INDIRECT(ADDRESS(2,COLUMN())),OFFSET($BN$2,0,0,ROW()-1,60),ROW()-1,FALSE))</f>
        <v/>
      </c>
      <c r="BA217" t="str">
        <f ca="1">IF(AND(ISNUMBER($BA$886),$B$677=1),$BA$886,HLOOKUP(INDIRECT(ADDRESS(2,COLUMN())),OFFSET($BN$2,0,0,ROW()-1,60),ROW()-1,FALSE))</f>
        <v/>
      </c>
      <c r="BB217" t="str">
        <f ca="1">IF(AND(ISNUMBER($BB$886),$B$677=1),$BB$886,HLOOKUP(INDIRECT(ADDRESS(2,COLUMN())),OFFSET($BN$2,0,0,ROW()-1,60),ROW()-1,FALSE))</f>
        <v/>
      </c>
      <c r="BC217" t="str">
        <f ca="1">IF(AND(ISNUMBER($BC$886),$B$677=1),$BC$886,HLOOKUP(INDIRECT(ADDRESS(2,COLUMN())),OFFSET($BN$2,0,0,ROW()-1,60),ROW()-1,FALSE))</f>
        <v/>
      </c>
      <c r="BD217" t="str">
        <f ca="1">IF(AND(ISNUMBER($BD$886),$B$677=1),$BD$886,HLOOKUP(INDIRECT(ADDRESS(2,COLUMN())),OFFSET($BN$2,0,0,ROW()-1,60),ROW()-1,FALSE))</f>
        <v/>
      </c>
      <c r="BE217" t="str">
        <f ca="1">IF(AND(ISNUMBER($BE$886),$B$677=1),$BE$886,HLOOKUP(INDIRECT(ADDRESS(2,COLUMN())),OFFSET($BN$2,0,0,ROW()-1,60),ROW()-1,FALSE))</f>
        <v/>
      </c>
      <c r="BF217" t="str">
        <f ca="1">IF(AND(ISNUMBER($BF$886),$B$677=1),$BF$886,HLOOKUP(INDIRECT(ADDRESS(2,COLUMN())),OFFSET($BN$2,0,0,ROW()-1,60),ROW()-1,FALSE))</f>
        <v/>
      </c>
      <c r="BG217" t="str">
        <f ca="1">IF(AND(ISNUMBER($BG$886),$B$677=1),$BG$886,HLOOKUP(INDIRECT(ADDRESS(2,COLUMN())),OFFSET($BN$2,0,0,ROW()-1,60),ROW()-1,FALSE))</f>
        <v/>
      </c>
      <c r="BH217" t="str">
        <f ca="1">IF(AND(ISNUMBER($BH$886),$B$677=1),$BH$886,HLOOKUP(INDIRECT(ADDRESS(2,COLUMN())),OFFSET($BN$2,0,0,ROW()-1,60),ROW()-1,FALSE))</f>
        <v/>
      </c>
      <c r="BI217" t="str">
        <f ca="1">IF(AND(ISNUMBER($BI$886),$B$677=1),$BI$886,HLOOKUP(INDIRECT(ADDRESS(2,COLUMN())),OFFSET($BN$2,0,0,ROW()-1,60),ROW()-1,FALSE))</f>
        <v/>
      </c>
      <c r="BJ217" t="str">
        <f ca="1">IF(AND(ISNUMBER($BJ$886),$B$677=1),$BJ$886,HLOOKUP(INDIRECT(ADDRESS(2,COLUMN())),OFFSET($BN$2,0,0,ROW()-1,60),ROW()-1,FALSE))</f>
        <v/>
      </c>
      <c r="BK217" t="str">
        <f ca="1">IF(AND(ISNUMBER($BK$886),$B$677=1),$BK$886,HLOOKUP(INDIRECT(ADDRESS(2,COLUMN())),OFFSET($BN$2,0,0,ROW()-1,60),ROW()-1,FALSE))</f>
        <v/>
      </c>
      <c r="BL217" t="str">
        <f ca="1">IF(AND(ISNUMBER($BL$886),$B$677=1),$BL$886,HLOOKUP(INDIRECT(ADDRESS(2,COLUMN())),OFFSET($BN$2,0,0,ROW()-1,60),ROW()-1,FALSE))</f>
        <v/>
      </c>
      <c r="BM217" t="str">
        <f ca="1">IF(AND(ISNUMBER($BM$886),$B$677=1),$BM$886,HLOOKUP(INDIRECT(ADDRESS(2,COLUMN())),OFFSET($BN$2,0,0,ROW()-1,60),ROW()-1,FALSE))</f>
        <v/>
      </c>
      <c r="BN217" t="str">
        <f>""</f>
        <v/>
      </c>
      <c r="BO217" t="str">
        <f>""</f>
        <v/>
      </c>
      <c r="BP217" t="str">
        <f>""</f>
        <v/>
      </c>
      <c r="BQ217" t="str">
        <f>""</f>
        <v/>
      </c>
      <c r="BR217" t="str">
        <f>""</f>
        <v/>
      </c>
      <c r="BS217" t="str">
        <f>""</f>
        <v/>
      </c>
      <c r="BT217" t="str">
        <f>""</f>
        <v/>
      </c>
      <c r="BU217" t="str">
        <f>""</f>
        <v/>
      </c>
      <c r="BV217" t="str">
        <f>""</f>
        <v/>
      </c>
      <c r="BW217" t="str">
        <f>""</f>
        <v/>
      </c>
      <c r="BX217" t="str">
        <f>""</f>
        <v/>
      </c>
      <c r="BY217" t="str">
        <f>""</f>
        <v/>
      </c>
      <c r="BZ217" t="str">
        <f>""</f>
        <v/>
      </c>
      <c r="CA217" t="str">
        <f>""</f>
        <v/>
      </c>
      <c r="CB217" t="str">
        <f>""</f>
        <v/>
      </c>
      <c r="CC217" t="str">
        <f>""</f>
        <v/>
      </c>
      <c r="CD217" t="str">
        <f>""</f>
        <v/>
      </c>
      <c r="CE217" t="str">
        <f>""</f>
        <v/>
      </c>
      <c r="CF217" t="str">
        <f>""</f>
        <v/>
      </c>
      <c r="CG217" t="str">
        <f>""</f>
        <v/>
      </c>
      <c r="CH217" t="str">
        <f>""</f>
        <v/>
      </c>
      <c r="CI217" t="str">
        <f>""</f>
        <v/>
      </c>
      <c r="CJ217" t="str">
        <f>""</f>
        <v/>
      </c>
      <c r="CK217" t="str">
        <f>""</f>
        <v/>
      </c>
      <c r="CL217" t="str">
        <f>""</f>
        <v/>
      </c>
      <c r="CM217" t="str">
        <f>""</f>
        <v/>
      </c>
      <c r="CN217" t="str">
        <f>""</f>
        <v/>
      </c>
      <c r="CO217" t="str">
        <f>""</f>
        <v/>
      </c>
      <c r="CP217" t="str">
        <f>""</f>
        <v/>
      </c>
      <c r="CQ217" t="str">
        <f>""</f>
        <v/>
      </c>
      <c r="CR217">
        <f>139.2081239</f>
        <v>139.2081239</v>
      </c>
      <c r="CS217">
        <f>209.186021</f>
        <v>209.18602100000001</v>
      </c>
      <c r="CT217">
        <f>21.97388959</f>
        <v>21.973889589999999</v>
      </c>
      <c r="CU217">
        <f>10.87664186</f>
        <v>10.876641859999999</v>
      </c>
      <c r="CV217">
        <f>7.304063246</f>
        <v>7.3040632460000001</v>
      </c>
      <c r="CW217">
        <f>6.591767509</f>
        <v>6.5917675090000003</v>
      </c>
      <c r="CX217">
        <f>4.516272414</f>
        <v>4.5162724140000003</v>
      </c>
      <c r="CY217">
        <f>4.384062772</f>
        <v>4.3840627720000001</v>
      </c>
      <c r="CZ217">
        <f>6.566899272</f>
        <v>6.5668992719999997</v>
      </c>
      <c r="DA217">
        <f>9.196383489</f>
        <v>9.1963834890000005</v>
      </c>
      <c r="DB217">
        <f>50.40447875</f>
        <v>50.404478750000003</v>
      </c>
      <c r="DC217">
        <f>12.57142592</f>
        <v>12.571425919999999</v>
      </c>
      <c r="DD217">
        <f>17.61515437</f>
        <v>17.615154369999999</v>
      </c>
      <c r="DE217">
        <f>16.47787769</f>
        <v>16.47787769</v>
      </c>
      <c r="DF217">
        <f>753.4799803</f>
        <v>753.47998029999997</v>
      </c>
      <c r="DG217">
        <f>48.78413244</f>
        <v>48.78413244</v>
      </c>
      <c r="DH217" t="str">
        <f>""</f>
        <v/>
      </c>
      <c r="DI217" t="str">
        <f>""</f>
        <v/>
      </c>
      <c r="DJ217" t="str">
        <f>""</f>
        <v/>
      </c>
      <c r="DK217" t="str">
        <f>""</f>
        <v/>
      </c>
      <c r="DL217" t="str">
        <f>""</f>
        <v/>
      </c>
      <c r="DM217" t="str">
        <f>""</f>
        <v/>
      </c>
      <c r="DN217" t="str">
        <f>""</f>
        <v/>
      </c>
      <c r="DO217" t="str">
        <f>""</f>
        <v/>
      </c>
      <c r="DP217" t="str">
        <f>""</f>
        <v/>
      </c>
      <c r="DQ217" t="str">
        <f>""</f>
        <v/>
      </c>
      <c r="DR217" t="str">
        <f>""</f>
        <v/>
      </c>
      <c r="DS217" t="str">
        <f>""</f>
        <v/>
      </c>
      <c r="DT217" t="str">
        <f>""</f>
        <v/>
      </c>
      <c r="DU217" t="str">
        <f>""</f>
        <v/>
      </c>
    </row>
    <row r="218" spans="1:125" x14ac:dyDescent="0.25">
      <c r="A218" t="str">
        <f>"    Dongfeng Motor Group Co Ltd"</f>
        <v xml:space="preserve">    Dongfeng Motor Group Co Ltd</v>
      </c>
      <c r="B218" t="str">
        <f>"489 HK Equity"</f>
        <v>489 HK Equity</v>
      </c>
      <c r="C218" t="str">
        <f t="shared" si="15"/>
        <v>RR971</v>
      </c>
      <c r="D218" t="str">
        <f t="shared" si="16"/>
        <v>CURRENT_PX_TO_FREE_CASH_FLOW</v>
      </c>
      <c r="E218" t="str">
        <f t="shared" si="17"/>
        <v>Dynamic</v>
      </c>
      <c r="F218" t="str">
        <f ca="1">IF(AND(ISNUMBER($F$887),$B$677=1),$F$887,HLOOKUP(INDIRECT(ADDRESS(2,COLUMN())),OFFSET($BN$2,0,0,ROW()-1,60),ROW()-1,FALSE))</f>
        <v/>
      </c>
      <c r="G218" t="str">
        <f ca="1">IF(AND(ISNUMBER($G$887),$B$677=1),$G$887,HLOOKUP(INDIRECT(ADDRESS(2,COLUMN())),OFFSET($BN$2,0,0,ROW()-1,60),ROW()-1,FALSE))</f>
        <v/>
      </c>
      <c r="H218" t="str">
        <f ca="1">IF(AND(ISNUMBER($H$887),$B$677=1),$H$887,HLOOKUP(INDIRECT(ADDRESS(2,COLUMN())),OFFSET($BN$2,0,0,ROW()-1,60),ROW()-1,FALSE))</f>
        <v/>
      </c>
      <c r="I218" t="str">
        <f ca="1">IF(AND(ISNUMBER($I$887),$B$677=1),$I$887,HLOOKUP(INDIRECT(ADDRESS(2,COLUMN())),OFFSET($BN$2,0,0,ROW()-1,60),ROW()-1,FALSE))</f>
        <v/>
      </c>
      <c r="J218" t="str">
        <f ca="1">IF(AND(ISNUMBER($J$887),$B$677=1),$J$887,HLOOKUP(INDIRECT(ADDRESS(2,COLUMN())),OFFSET($BN$2,0,0,ROW()-1,60),ROW()-1,FALSE))</f>
        <v/>
      </c>
      <c r="K218" t="str">
        <f ca="1">IF(AND(ISNUMBER($K$887),$B$677=1),$K$887,HLOOKUP(INDIRECT(ADDRESS(2,COLUMN())),OFFSET($BN$2,0,0,ROW()-1,60),ROW()-1,FALSE))</f>
        <v/>
      </c>
      <c r="L218" t="str">
        <f ca="1">IF(AND(ISNUMBER($L$887),$B$677=1),$L$887,HLOOKUP(INDIRECT(ADDRESS(2,COLUMN())),OFFSET($BN$2,0,0,ROW()-1,60),ROW()-1,FALSE))</f>
        <v/>
      </c>
      <c r="M218" t="str">
        <f ca="1">IF(AND(ISNUMBER($M$887),$B$677=1),$M$887,HLOOKUP(INDIRECT(ADDRESS(2,COLUMN())),OFFSET($BN$2,0,0,ROW()-1,60),ROW()-1,FALSE))</f>
        <v/>
      </c>
      <c r="N218" t="str">
        <f ca="1">IF(AND(ISNUMBER($N$887),$B$677=1),$N$887,HLOOKUP(INDIRECT(ADDRESS(2,COLUMN())),OFFSET($BN$2,0,0,ROW()-1,60),ROW()-1,FALSE))</f>
        <v/>
      </c>
      <c r="O218" t="str">
        <f ca="1">IF(AND(ISNUMBER($O$887),$B$677=1),$O$887,HLOOKUP(INDIRECT(ADDRESS(2,COLUMN())),OFFSET($BN$2,0,0,ROW()-1,60),ROW()-1,FALSE))</f>
        <v/>
      </c>
      <c r="P218" t="str">
        <f ca="1">IF(AND(ISNUMBER($P$887),$B$677=1),$P$887,HLOOKUP(INDIRECT(ADDRESS(2,COLUMN())),OFFSET($BN$2,0,0,ROW()-1,60),ROW()-1,FALSE))</f>
        <v/>
      </c>
      <c r="Q218" t="str">
        <f ca="1">IF(AND(ISNUMBER($Q$887),$B$677=1),$Q$887,HLOOKUP(INDIRECT(ADDRESS(2,COLUMN())),OFFSET($BN$2,0,0,ROW()-1,60),ROW()-1,FALSE))</f>
        <v/>
      </c>
      <c r="R218" t="str">
        <f ca="1">IF(AND(ISNUMBER($R$887),$B$677=1),$R$887,HLOOKUP(INDIRECT(ADDRESS(2,COLUMN())),OFFSET($BN$2,0,0,ROW()-1,60),ROW()-1,FALSE))</f>
        <v/>
      </c>
      <c r="S218" t="str">
        <f ca="1">IF(AND(ISNUMBER($S$887),$B$677=1),$S$887,HLOOKUP(INDIRECT(ADDRESS(2,COLUMN())),OFFSET($BN$2,0,0,ROW()-1,60),ROW()-1,FALSE))</f>
        <v/>
      </c>
      <c r="T218" t="str">
        <f ca="1">IF(AND(ISNUMBER($T$887),$B$677=1),$T$887,HLOOKUP(INDIRECT(ADDRESS(2,COLUMN())),OFFSET($BN$2,0,0,ROW()-1,60),ROW()-1,FALSE))</f>
        <v/>
      </c>
      <c r="U218" t="str">
        <f ca="1">IF(AND(ISNUMBER($U$887),$B$677=1),$U$887,HLOOKUP(INDIRECT(ADDRESS(2,COLUMN())),OFFSET($BN$2,0,0,ROW()-1,60),ROW()-1,FALSE))</f>
        <v/>
      </c>
      <c r="V218" t="str">
        <f ca="1">IF(AND(ISNUMBER($V$887),$B$677=1),$V$887,HLOOKUP(INDIRECT(ADDRESS(2,COLUMN())),OFFSET($BN$2,0,0,ROW()-1,60),ROW()-1,FALSE))</f>
        <v/>
      </c>
      <c r="W218" t="str">
        <f ca="1">IF(AND(ISNUMBER($W$887),$B$677=1),$W$887,HLOOKUP(INDIRECT(ADDRESS(2,COLUMN())),OFFSET($BN$2,0,0,ROW()-1,60),ROW()-1,FALSE))</f>
        <v/>
      </c>
      <c r="X218" t="str">
        <f ca="1">IF(AND(ISNUMBER($X$887),$B$677=1),$X$887,HLOOKUP(INDIRECT(ADDRESS(2,COLUMN())),OFFSET($BN$2,0,0,ROW()-1,60),ROW()-1,FALSE))</f>
        <v/>
      </c>
      <c r="Y218" t="str">
        <f ca="1">IF(AND(ISNUMBER($Y$887),$B$677=1),$Y$887,HLOOKUP(INDIRECT(ADDRESS(2,COLUMN())),OFFSET($BN$2,0,0,ROW()-1,60),ROW()-1,FALSE))</f>
        <v/>
      </c>
      <c r="Z218" t="str">
        <f ca="1">IF(AND(ISNUMBER($Z$887),$B$677=1),$Z$887,HLOOKUP(INDIRECT(ADDRESS(2,COLUMN())),OFFSET($BN$2,0,0,ROW()-1,60),ROW()-1,FALSE))</f>
        <v/>
      </c>
      <c r="AA218" t="str">
        <f ca="1">IF(AND(ISNUMBER($AA$887),$B$677=1),$AA$887,HLOOKUP(INDIRECT(ADDRESS(2,COLUMN())),OFFSET($BN$2,0,0,ROW()-1,60),ROW()-1,FALSE))</f>
        <v/>
      </c>
      <c r="AB218" t="str">
        <f ca="1">IF(AND(ISNUMBER($AB$887),$B$677=1),$AB$887,HLOOKUP(INDIRECT(ADDRESS(2,COLUMN())),OFFSET($BN$2,0,0,ROW()-1,60),ROW()-1,FALSE))</f>
        <v/>
      </c>
      <c r="AC218" t="str">
        <f ca="1">IF(AND(ISNUMBER($AC$887),$B$677=1),$AC$887,HLOOKUP(INDIRECT(ADDRESS(2,COLUMN())),OFFSET($BN$2,0,0,ROW()-1,60),ROW()-1,FALSE))</f>
        <v/>
      </c>
      <c r="AD218" t="str">
        <f ca="1">IF(AND(ISNUMBER($AD$887),$B$677=1),$AD$887,HLOOKUP(INDIRECT(ADDRESS(2,COLUMN())),OFFSET($BN$2,0,0,ROW()-1,60),ROW()-1,FALSE))</f>
        <v/>
      </c>
      <c r="AE218" t="str">
        <f ca="1">IF(AND(ISNUMBER($AE$887),$B$677=1),$AE$887,HLOOKUP(INDIRECT(ADDRESS(2,COLUMN())),OFFSET($BN$2,0,0,ROW()-1,60),ROW()-1,FALSE))</f>
        <v/>
      </c>
      <c r="AF218" t="str">
        <f ca="1">IF(AND(ISNUMBER($AF$887),$B$677=1),$AF$887,HLOOKUP(INDIRECT(ADDRESS(2,COLUMN())),OFFSET($BN$2,0,0,ROW()-1,60),ROW()-1,FALSE))</f>
        <v/>
      </c>
      <c r="AG218" t="str">
        <f ca="1">IF(AND(ISNUMBER($AG$887),$B$677=1),$AG$887,HLOOKUP(INDIRECT(ADDRESS(2,COLUMN())),OFFSET($BN$2,0,0,ROW()-1,60),ROW()-1,FALSE))</f>
        <v/>
      </c>
      <c r="AH218" t="str">
        <f ca="1">IF(AND(ISNUMBER($AH$887),$B$677=1),$AH$887,HLOOKUP(INDIRECT(ADDRESS(2,COLUMN())),OFFSET($BN$2,0,0,ROW()-1,60),ROW()-1,FALSE))</f>
        <v/>
      </c>
      <c r="AI218" t="str">
        <f ca="1">IF(AND(ISNUMBER($AI$887),$B$677=1),$AI$887,HLOOKUP(INDIRECT(ADDRESS(2,COLUMN())),OFFSET($BN$2,0,0,ROW()-1,60),ROW()-1,FALSE))</f>
        <v/>
      </c>
      <c r="AJ218" t="str">
        <f ca="1">IF(AND(ISNUMBER($AJ$887),$B$677=1),$AJ$887,HLOOKUP(INDIRECT(ADDRESS(2,COLUMN())),OFFSET($BN$2,0,0,ROW()-1,60),ROW()-1,FALSE))</f>
        <v/>
      </c>
      <c r="AK218" t="str">
        <f ca="1">IF(AND(ISNUMBER($AK$887),$B$677=1),$AK$887,HLOOKUP(INDIRECT(ADDRESS(2,COLUMN())),OFFSET($BN$2,0,0,ROW()-1,60),ROW()-1,FALSE))</f>
        <v/>
      </c>
      <c r="AL218" t="str">
        <f ca="1">IF(AND(ISNUMBER($AL$887),$B$677=1),$AL$887,HLOOKUP(INDIRECT(ADDRESS(2,COLUMN())),OFFSET($BN$2,0,0,ROW()-1,60),ROW()-1,FALSE))</f>
        <v/>
      </c>
      <c r="AM218" t="str">
        <f ca="1">IF(AND(ISNUMBER($AM$887),$B$677=1),$AM$887,HLOOKUP(INDIRECT(ADDRESS(2,COLUMN())),OFFSET($BN$2,0,0,ROW()-1,60),ROW()-1,FALSE))</f>
        <v/>
      </c>
      <c r="AN218" t="str">
        <f ca="1">IF(AND(ISNUMBER($AN$887),$B$677=1),$AN$887,HLOOKUP(INDIRECT(ADDRESS(2,COLUMN())),OFFSET($BN$2,0,0,ROW()-1,60),ROW()-1,FALSE))</f>
        <v/>
      </c>
      <c r="AO218" t="str">
        <f ca="1">IF(AND(ISNUMBER($AO$887),$B$677=1),$AO$887,HLOOKUP(INDIRECT(ADDRESS(2,COLUMN())),OFFSET($BN$2,0,0,ROW()-1,60),ROW()-1,FALSE))</f>
        <v/>
      </c>
      <c r="AP218" t="str">
        <f ca="1">IF(AND(ISNUMBER($AP$887),$B$677=1),$AP$887,HLOOKUP(INDIRECT(ADDRESS(2,COLUMN())),OFFSET($BN$2,0,0,ROW()-1,60),ROW()-1,FALSE))</f>
        <v/>
      </c>
      <c r="AQ218" t="str">
        <f ca="1">IF(AND(ISNUMBER($AQ$887),$B$677=1),$AQ$887,HLOOKUP(INDIRECT(ADDRESS(2,COLUMN())),OFFSET($BN$2,0,0,ROW()-1,60),ROW()-1,FALSE))</f>
        <v/>
      </c>
      <c r="AR218" t="str">
        <f ca="1">IF(AND(ISNUMBER($AR$887),$B$677=1),$AR$887,HLOOKUP(INDIRECT(ADDRESS(2,COLUMN())),OFFSET($BN$2,0,0,ROW()-1,60),ROW()-1,FALSE))</f>
        <v/>
      </c>
      <c r="AS218" t="str">
        <f ca="1">IF(AND(ISNUMBER($AS$887),$B$677=1),$AS$887,HLOOKUP(INDIRECT(ADDRESS(2,COLUMN())),OFFSET($BN$2,0,0,ROW()-1,60),ROW()-1,FALSE))</f>
        <v/>
      </c>
      <c r="AT218" t="str">
        <f ca="1">IF(AND(ISNUMBER($AT$887),$B$677=1),$AT$887,HLOOKUP(INDIRECT(ADDRESS(2,COLUMN())),OFFSET($BN$2,0,0,ROW()-1,60),ROW()-1,FALSE))</f>
        <v/>
      </c>
      <c r="AU218" t="str">
        <f ca="1">IF(AND(ISNUMBER($AU$887),$B$677=1),$AU$887,HLOOKUP(INDIRECT(ADDRESS(2,COLUMN())),OFFSET($BN$2,0,0,ROW()-1,60),ROW()-1,FALSE))</f>
        <v/>
      </c>
      <c r="AV218" t="str">
        <f ca="1">IF(AND(ISNUMBER($AV$887),$B$677=1),$AV$887,HLOOKUP(INDIRECT(ADDRESS(2,COLUMN())),OFFSET($BN$2,0,0,ROW()-1,60),ROW()-1,FALSE))</f>
        <v/>
      </c>
      <c r="AW218" t="str">
        <f ca="1">IF(AND(ISNUMBER($AW$887),$B$677=1),$AW$887,HLOOKUP(INDIRECT(ADDRESS(2,COLUMN())),OFFSET($BN$2,0,0,ROW()-1,60),ROW()-1,FALSE))</f>
        <v/>
      </c>
      <c r="AX218" t="str">
        <f ca="1">IF(AND(ISNUMBER($AX$887),$B$677=1),$AX$887,HLOOKUP(INDIRECT(ADDRESS(2,COLUMN())),OFFSET($BN$2,0,0,ROW()-1,60),ROW()-1,FALSE))</f>
        <v/>
      </c>
      <c r="AY218" t="str">
        <f ca="1">IF(AND(ISNUMBER($AY$887),$B$677=1),$AY$887,HLOOKUP(INDIRECT(ADDRESS(2,COLUMN())),OFFSET($BN$2,0,0,ROW()-1,60),ROW()-1,FALSE))</f>
        <v/>
      </c>
      <c r="AZ218" t="str">
        <f ca="1">IF(AND(ISNUMBER($AZ$887),$B$677=1),$AZ$887,HLOOKUP(INDIRECT(ADDRESS(2,COLUMN())),OFFSET($BN$2,0,0,ROW()-1,60),ROW()-1,FALSE))</f>
        <v/>
      </c>
      <c r="BA218" t="str">
        <f ca="1">IF(AND(ISNUMBER($BA$887),$B$677=1),$BA$887,HLOOKUP(INDIRECT(ADDRESS(2,COLUMN())),OFFSET($BN$2,0,0,ROW()-1,60),ROW()-1,FALSE))</f>
        <v/>
      </c>
      <c r="BB218" t="str">
        <f ca="1">IF(AND(ISNUMBER($BB$887),$B$677=1),$BB$887,HLOOKUP(INDIRECT(ADDRESS(2,COLUMN())),OFFSET($BN$2,0,0,ROW()-1,60),ROW()-1,FALSE))</f>
        <v/>
      </c>
      <c r="BC218" t="str">
        <f ca="1">IF(AND(ISNUMBER($BC$887),$B$677=1),$BC$887,HLOOKUP(INDIRECT(ADDRESS(2,COLUMN())),OFFSET($BN$2,0,0,ROW()-1,60),ROW()-1,FALSE))</f>
        <v/>
      </c>
      <c r="BD218" t="str">
        <f ca="1">IF(AND(ISNUMBER($BD$887),$B$677=1),$BD$887,HLOOKUP(INDIRECT(ADDRESS(2,COLUMN())),OFFSET($BN$2,0,0,ROW()-1,60),ROW()-1,FALSE))</f>
        <v/>
      </c>
      <c r="BE218" t="str">
        <f ca="1">IF(AND(ISNUMBER($BE$887),$B$677=1),$BE$887,HLOOKUP(INDIRECT(ADDRESS(2,COLUMN())),OFFSET($BN$2,0,0,ROW()-1,60),ROW()-1,FALSE))</f>
        <v/>
      </c>
      <c r="BF218" t="str">
        <f ca="1">IF(AND(ISNUMBER($BF$887),$B$677=1),$BF$887,HLOOKUP(INDIRECT(ADDRESS(2,COLUMN())),OFFSET($BN$2,0,0,ROW()-1,60),ROW()-1,FALSE))</f>
        <v/>
      </c>
      <c r="BG218" t="str">
        <f ca="1">IF(AND(ISNUMBER($BG$887),$B$677=1),$BG$887,HLOOKUP(INDIRECT(ADDRESS(2,COLUMN())),OFFSET($BN$2,0,0,ROW()-1,60),ROW()-1,FALSE))</f>
        <v/>
      </c>
      <c r="BH218" t="str">
        <f ca="1">IF(AND(ISNUMBER($BH$887),$B$677=1),$BH$887,HLOOKUP(INDIRECT(ADDRESS(2,COLUMN())),OFFSET($BN$2,0,0,ROW()-1,60),ROW()-1,FALSE))</f>
        <v/>
      </c>
      <c r="BI218" t="str">
        <f ca="1">IF(AND(ISNUMBER($BI$887),$B$677=1),$BI$887,HLOOKUP(INDIRECT(ADDRESS(2,COLUMN())),OFFSET($BN$2,0,0,ROW()-1,60),ROW()-1,FALSE))</f>
        <v/>
      </c>
      <c r="BJ218" t="str">
        <f ca="1">IF(AND(ISNUMBER($BJ$887),$B$677=1),$BJ$887,HLOOKUP(INDIRECT(ADDRESS(2,COLUMN())),OFFSET($BN$2,0,0,ROW()-1,60),ROW()-1,FALSE))</f>
        <v/>
      </c>
      <c r="BK218" t="str">
        <f ca="1">IF(AND(ISNUMBER($BK$887),$B$677=1),$BK$887,HLOOKUP(INDIRECT(ADDRESS(2,COLUMN())),OFFSET($BN$2,0,0,ROW()-1,60),ROW()-1,FALSE))</f>
        <v/>
      </c>
      <c r="BL218" t="str">
        <f ca="1">IF(AND(ISNUMBER($BL$887),$B$677=1),$BL$887,HLOOKUP(INDIRECT(ADDRESS(2,COLUMN())),OFFSET($BN$2,0,0,ROW()-1,60),ROW()-1,FALSE))</f>
        <v/>
      </c>
      <c r="BM218" t="str">
        <f ca="1">IF(AND(ISNUMBER($BM$887),$B$677=1),$BM$887,HLOOKUP(INDIRECT(ADDRESS(2,COLUMN())),OFFSET($BN$2,0,0,ROW()-1,60),ROW()-1,FALSE))</f>
        <v/>
      </c>
      <c r="BN218" t="str">
        <f>""</f>
        <v/>
      </c>
      <c r="BO218" t="str">
        <f>""</f>
        <v/>
      </c>
      <c r="BP218" t="str">
        <f>""</f>
        <v/>
      </c>
      <c r="BQ218" t="str">
        <f>""</f>
        <v/>
      </c>
      <c r="BR218" t="str">
        <f>""</f>
        <v/>
      </c>
      <c r="BS218" t="str">
        <f>""</f>
        <v/>
      </c>
      <c r="BT218" t="str">
        <f>""</f>
        <v/>
      </c>
      <c r="BU218" t="str">
        <f>""</f>
        <v/>
      </c>
      <c r="BV218" t="str">
        <f>""</f>
        <v/>
      </c>
      <c r="BW218" t="str">
        <f>""</f>
        <v/>
      </c>
      <c r="BX218" t="str">
        <f>""</f>
        <v/>
      </c>
      <c r="BY218" t="str">
        <f>""</f>
        <v/>
      </c>
      <c r="BZ218" t="str">
        <f>""</f>
        <v/>
      </c>
      <c r="CA218" t="str">
        <f>""</f>
        <v/>
      </c>
      <c r="CB218" t="str">
        <f>""</f>
        <v/>
      </c>
      <c r="CC218" t="str">
        <f>""</f>
        <v/>
      </c>
      <c r="CD218" t="str">
        <f>""</f>
        <v/>
      </c>
      <c r="CE218" t="str">
        <f>""</f>
        <v/>
      </c>
      <c r="CF218" t="str">
        <f>""</f>
        <v/>
      </c>
      <c r="CG218" t="str">
        <f>""</f>
        <v/>
      </c>
      <c r="CH218" t="str">
        <f>""</f>
        <v/>
      </c>
      <c r="CI218" t="str">
        <f>""</f>
        <v/>
      </c>
      <c r="CJ218" t="str">
        <f>""</f>
        <v/>
      </c>
      <c r="CK218" t="str">
        <f>""</f>
        <v/>
      </c>
      <c r="CL218" t="str">
        <f>""</f>
        <v/>
      </c>
      <c r="CM218" t="str">
        <f>""</f>
        <v/>
      </c>
      <c r="CN218" t="str">
        <f>""</f>
        <v/>
      </c>
      <c r="CO218" t="str">
        <f>""</f>
        <v/>
      </c>
      <c r="CP218" t="str">
        <f>""</f>
        <v/>
      </c>
      <c r="CQ218" t="str">
        <f>""</f>
        <v/>
      </c>
      <c r="CR218" t="str">
        <f>""</f>
        <v/>
      </c>
      <c r="CS218" t="str">
        <f>""</f>
        <v/>
      </c>
      <c r="CT218" t="str">
        <f>""</f>
        <v/>
      </c>
      <c r="CU218" t="str">
        <f>""</f>
        <v/>
      </c>
      <c r="CV218" t="str">
        <f>""</f>
        <v/>
      </c>
      <c r="CW218" t="str">
        <f>""</f>
        <v/>
      </c>
      <c r="CX218" t="str">
        <f>""</f>
        <v/>
      </c>
      <c r="CY218" t="str">
        <f>""</f>
        <v/>
      </c>
      <c r="CZ218" t="str">
        <f>""</f>
        <v/>
      </c>
      <c r="DA218" t="str">
        <f>""</f>
        <v/>
      </c>
      <c r="DB218" t="str">
        <f>""</f>
        <v/>
      </c>
      <c r="DC218" t="str">
        <f>""</f>
        <v/>
      </c>
      <c r="DD218" t="str">
        <f>""</f>
        <v/>
      </c>
      <c r="DE218" t="str">
        <f>""</f>
        <v/>
      </c>
      <c r="DF218" t="str">
        <f>""</f>
        <v/>
      </c>
      <c r="DG218" t="str">
        <f>""</f>
        <v/>
      </c>
      <c r="DH218" t="str">
        <f>""</f>
        <v/>
      </c>
      <c r="DI218" t="str">
        <f>""</f>
        <v/>
      </c>
      <c r="DJ218" t="str">
        <f>""</f>
        <v/>
      </c>
      <c r="DK218" t="str">
        <f>""</f>
        <v/>
      </c>
      <c r="DL218" t="str">
        <f>""</f>
        <v/>
      </c>
      <c r="DM218" t="str">
        <f>""</f>
        <v/>
      </c>
      <c r="DN218" t="str">
        <f>""</f>
        <v/>
      </c>
      <c r="DO218" t="str">
        <f>""</f>
        <v/>
      </c>
      <c r="DP218" t="str">
        <f>""</f>
        <v/>
      </c>
      <c r="DQ218" t="str">
        <f>""</f>
        <v/>
      </c>
      <c r="DR218" t="str">
        <f>""</f>
        <v/>
      </c>
      <c r="DS218" t="str">
        <f>""</f>
        <v/>
      </c>
      <c r="DT218" t="str">
        <f>""</f>
        <v/>
      </c>
      <c r="DU218" t="str">
        <f>""</f>
        <v/>
      </c>
    </row>
    <row r="219" spans="1:125" x14ac:dyDescent="0.25">
      <c r="A219" t="str">
        <f>"    DRB-Hicom Bhd"</f>
        <v xml:space="preserve">    DRB-Hicom Bhd</v>
      </c>
      <c r="B219" t="str">
        <f>"DRB MK Equity"</f>
        <v>DRB MK Equity</v>
      </c>
      <c r="C219" t="str">
        <f t="shared" si="15"/>
        <v>RR971</v>
      </c>
      <c r="D219" t="str">
        <f t="shared" si="16"/>
        <v>CURRENT_PX_TO_FREE_CASH_FLOW</v>
      </c>
      <c r="E219" t="str">
        <f t="shared" si="17"/>
        <v>Dynamic</v>
      </c>
      <c r="F219" t="str">
        <f ca="1">IF(AND(ISNUMBER($F$888),$B$677=1),$F$888,HLOOKUP(INDIRECT(ADDRESS(2,COLUMN())),OFFSET($BN$2,0,0,ROW()-1,60),ROW()-1,FALSE))</f>
        <v/>
      </c>
      <c r="G219">
        <f ca="1">IF(AND(ISNUMBER($G$888),$B$677=1),$G$888,HLOOKUP(INDIRECT(ADDRESS(2,COLUMN())),OFFSET($BN$2,0,0,ROW()-1,60),ROW()-1,FALSE))</f>
        <v>1.989712868</v>
      </c>
      <c r="H219">
        <f ca="1">IF(AND(ISNUMBER($H$888),$B$677=1),$H$888,HLOOKUP(INDIRECT(ADDRESS(2,COLUMN())),OFFSET($BN$2,0,0,ROW()-1,60),ROW()-1,FALSE))</f>
        <v>2.5700457879999998</v>
      </c>
      <c r="I219">
        <f ca="1">IF(AND(ISNUMBER($I$888),$B$677=1),$I$888,HLOOKUP(INDIRECT(ADDRESS(2,COLUMN())),OFFSET($BN$2,0,0,ROW()-1,60),ROW()-1,FALSE))</f>
        <v>6.8468781310000004</v>
      </c>
      <c r="J219">
        <f ca="1">IF(AND(ISNUMBER($J$888),$B$677=1),$J$888,HLOOKUP(INDIRECT(ADDRESS(2,COLUMN())),OFFSET($BN$2,0,0,ROW()-1,60),ROW()-1,FALSE))</f>
        <v>17.062004569999999</v>
      </c>
      <c r="K219">
        <f ca="1">IF(AND(ISNUMBER($K$888),$B$677=1),$K$888,HLOOKUP(INDIRECT(ADDRESS(2,COLUMN())),OFFSET($BN$2,0,0,ROW()-1,60),ROW()-1,FALSE))</f>
        <v>8.000922052</v>
      </c>
      <c r="L219" t="str">
        <f ca="1">IF(AND(ISNUMBER($L$888),$B$677=1),$L$888,HLOOKUP(INDIRECT(ADDRESS(2,COLUMN())),OFFSET($BN$2,0,0,ROW()-1,60),ROW()-1,FALSE))</f>
        <v/>
      </c>
      <c r="M219" t="str">
        <f ca="1">IF(AND(ISNUMBER($M$888),$B$677=1),$M$888,HLOOKUP(INDIRECT(ADDRESS(2,COLUMN())),OFFSET($BN$2,0,0,ROW()-1,60),ROW()-1,FALSE))</f>
        <v/>
      </c>
      <c r="N219" t="str">
        <f ca="1">IF(AND(ISNUMBER($N$888),$B$677=1),$N$888,HLOOKUP(INDIRECT(ADDRESS(2,COLUMN())),OFFSET($BN$2,0,0,ROW()-1,60),ROW()-1,FALSE))</f>
        <v/>
      </c>
      <c r="O219" t="str">
        <f ca="1">IF(AND(ISNUMBER($O$888),$B$677=1),$O$888,HLOOKUP(INDIRECT(ADDRESS(2,COLUMN())),OFFSET($BN$2,0,0,ROW()-1,60),ROW()-1,FALSE))</f>
        <v/>
      </c>
      <c r="P219">
        <f ca="1">IF(AND(ISNUMBER($P$888),$B$677=1),$P$888,HLOOKUP(INDIRECT(ADDRESS(2,COLUMN())),OFFSET($BN$2,0,0,ROW()-1,60),ROW()-1,FALSE))</f>
        <v>21.069151399999999</v>
      </c>
      <c r="Q219">
        <f ca="1">IF(AND(ISNUMBER($Q$888),$B$677=1),$Q$888,HLOOKUP(INDIRECT(ADDRESS(2,COLUMN())),OFFSET($BN$2,0,0,ROW()-1,60),ROW()-1,FALSE))</f>
        <v>12.812321799999999</v>
      </c>
      <c r="R219" t="str">
        <f ca="1">IF(AND(ISNUMBER($R$888),$B$677=1),$R$888,HLOOKUP(INDIRECT(ADDRESS(2,COLUMN())),OFFSET($BN$2,0,0,ROW()-1,60),ROW()-1,FALSE))</f>
        <v/>
      </c>
      <c r="S219" t="str">
        <f ca="1">IF(AND(ISNUMBER($S$888),$B$677=1),$S$888,HLOOKUP(INDIRECT(ADDRESS(2,COLUMN())),OFFSET($BN$2,0,0,ROW()-1,60),ROW()-1,FALSE))</f>
        <v/>
      </c>
      <c r="T219" t="str">
        <f ca="1">IF(AND(ISNUMBER($T$888),$B$677=1),$T$888,HLOOKUP(INDIRECT(ADDRESS(2,COLUMN())),OFFSET($BN$2,0,0,ROW()-1,60),ROW()-1,FALSE))</f>
        <v/>
      </c>
      <c r="U219" t="str">
        <f ca="1">IF(AND(ISNUMBER($U$888),$B$677=1),$U$888,HLOOKUP(INDIRECT(ADDRESS(2,COLUMN())),OFFSET($BN$2,0,0,ROW()-1,60),ROW()-1,FALSE))</f>
        <v/>
      </c>
      <c r="V219">
        <f ca="1">IF(AND(ISNUMBER($V$888),$B$677=1),$V$888,HLOOKUP(INDIRECT(ADDRESS(2,COLUMN())),OFFSET($BN$2,0,0,ROW()-1,60),ROW()-1,FALSE))</f>
        <v>11.515463799999999</v>
      </c>
      <c r="W219">
        <f ca="1">IF(AND(ISNUMBER($W$888),$B$677=1),$W$888,HLOOKUP(INDIRECT(ADDRESS(2,COLUMN())),OFFSET($BN$2,0,0,ROW()-1,60),ROW()-1,FALSE))</f>
        <v>10.17780891</v>
      </c>
      <c r="X219" t="str">
        <f ca="1">IF(AND(ISNUMBER($X$888),$B$677=1),$X$888,HLOOKUP(INDIRECT(ADDRESS(2,COLUMN())),OFFSET($BN$2,0,0,ROW()-1,60),ROW()-1,FALSE))</f>
        <v/>
      </c>
      <c r="Y219" t="str">
        <f ca="1">IF(AND(ISNUMBER($Y$888),$B$677=1),$Y$888,HLOOKUP(INDIRECT(ADDRESS(2,COLUMN())),OFFSET($BN$2,0,0,ROW()-1,60),ROW()-1,FALSE))</f>
        <v/>
      </c>
      <c r="Z219">
        <f ca="1">IF(AND(ISNUMBER($Z$888),$B$677=1),$Z$888,HLOOKUP(INDIRECT(ADDRESS(2,COLUMN())),OFFSET($BN$2,0,0,ROW()-1,60),ROW()-1,FALSE))</f>
        <v>5.2358987380000004</v>
      </c>
      <c r="AA219">
        <f ca="1">IF(AND(ISNUMBER($AA$888),$B$677=1),$AA$888,HLOOKUP(INDIRECT(ADDRESS(2,COLUMN())),OFFSET($BN$2,0,0,ROW()-1,60),ROW()-1,FALSE))</f>
        <v>6.0266263029999996</v>
      </c>
      <c r="AB219">
        <f ca="1">IF(AND(ISNUMBER($AB$888),$B$677=1),$AB$888,HLOOKUP(INDIRECT(ADDRESS(2,COLUMN())),OFFSET($BN$2,0,0,ROW()-1,60),ROW()-1,FALSE))</f>
        <v>1.9327320189999999</v>
      </c>
      <c r="AC219">
        <f ca="1">IF(AND(ISNUMBER($AC$888),$B$677=1),$AC$888,HLOOKUP(INDIRECT(ADDRESS(2,COLUMN())),OFFSET($BN$2,0,0,ROW()-1,60),ROW()-1,FALSE))</f>
        <v>2.5423264329999999</v>
      </c>
      <c r="AD219" t="str">
        <f ca="1">IF(AND(ISNUMBER($AD$888),$B$677=1),$AD$888,HLOOKUP(INDIRECT(ADDRESS(2,COLUMN())),OFFSET($BN$2,0,0,ROW()-1,60),ROW()-1,FALSE))</f>
        <v/>
      </c>
      <c r="AE219" t="str">
        <f ca="1">IF(AND(ISNUMBER($AE$888),$B$677=1),$AE$888,HLOOKUP(INDIRECT(ADDRESS(2,COLUMN())),OFFSET($BN$2,0,0,ROW()-1,60),ROW()-1,FALSE))</f>
        <v/>
      </c>
      <c r="AF219" t="str">
        <f ca="1">IF(AND(ISNUMBER($AF$888),$B$677=1),$AF$888,HLOOKUP(INDIRECT(ADDRESS(2,COLUMN())),OFFSET($BN$2,0,0,ROW()-1,60),ROW()-1,FALSE))</f>
        <v/>
      </c>
      <c r="AG219" t="str">
        <f ca="1">IF(AND(ISNUMBER($AG$888),$B$677=1),$AG$888,HLOOKUP(INDIRECT(ADDRESS(2,COLUMN())),OFFSET($BN$2,0,0,ROW()-1,60),ROW()-1,FALSE))</f>
        <v/>
      </c>
      <c r="AH219" t="str">
        <f ca="1">IF(AND(ISNUMBER($AH$888),$B$677=1),$AH$888,HLOOKUP(INDIRECT(ADDRESS(2,COLUMN())),OFFSET($BN$2,0,0,ROW()-1,60),ROW()-1,FALSE))</f>
        <v/>
      </c>
      <c r="AI219" t="str">
        <f ca="1">IF(AND(ISNUMBER($AI$888),$B$677=1),$AI$888,HLOOKUP(INDIRECT(ADDRESS(2,COLUMN())),OFFSET($BN$2,0,0,ROW()-1,60),ROW()-1,FALSE))</f>
        <v/>
      </c>
      <c r="AJ219" t="str">
        <f ca="1">IF(AND(ISNUMBER($AJ$888),$B$677=1),$AJ$888,HLOOKUP(INDIRECT(ADDRESS(2,COLUMN())),OFFSET($BN$2,0,0,ROW()-1,60),ROW()-1,FALSE))</f>
        <v/>
      </c>
      <c r="AK219" t="str">
        <f ca="1">IF(AND(ISNUMBER($AK$888),$B$677=1),$AK$888,HLOOKUP(INDIRECT(ADDRESS(2,COLUMN())),OFFSET($BN$2,0,0,ROW()-1,60),ROW()-1,FALSE))</f>
        <v/>
      </c>
      <c r="AL219" t="str">
        <f ca="1">IF(AND(ISNUMBER($AL$888),$B$677=1),$AL$888,HLOOKUP(INDIRECT(ADDRESS(2,COLUMN())),OFFSET($BN$2,0,0,ROW()-1,60),ROW()-1,FALSE))</f>
        <v/>
      </c>
      <c r="AM219" t="str">
        <f ca="1">IF(AND(ISNUMBER($AM$888),$B$677=1),$AM$888,HLOOKUP(INDIRECT(ADDRESS(2,COLUMN())),OFFSET($BN$2,0,0,ROW()-1,60),ROW()-1,FALSE))</f>
        <v/>
      </c>
      <c r="AN219">
        <f ca="1">IF(AND(ISNUMBER($AN$888),$B$677=1),$AN$888,HLOOKUP(INDIRECT(ADDRESS(2,COLUMN())),OFFSET($BN$2,0,0,ROW()-1,60),ROW()-1,FALSE))</f>
        <v>2.6651742189999998</v>
      </c>
      <c r="AO219">
        <f ca="1">IF(AND(ISNUMBER($AO$888),$B$677=1),$AO$888,HLOOKUP(INDIRECT(ADDRESS(2,COLUMN())),OFFSET($BN$2,0,0,ROW()-1,60),ROW()-1,FALSE))</f>
        <v>2.1998263389999999</v>
      </c>
      <c r="AP219">
        <f ca="1">IF(AND(ISNUMBER($AP$888),$B$677=1),$AP$888,HLOOKUP(INDIRECT(ADDRESS(2,COLUMN())),OFFSET($BN$2,0,0,ROW()-1,60),ROW()-1,FALSE))</f>
        <v>0.98260618</v>
      </c>
      <c r="AQ219" t="str">
        <f ca="1">IF(AND(ISNUMBER($AQ$888),$B$677=1),$AQ$888,HLOOKUP(INDIRECT(ADDRESS(2,COLUMN())),OFFSET($BN$2,0,0,ROW()-1,60),ROW()-1,FALSE))</f>
        <v/>
      </c>
      <c r="AR219" t="str">
        <f ca="1">IF(AND(ISNUMBER($AR$888),$B$677=1),$AR$888,HLOOKUP(INDIRECT(ADDRESS(2,COLUMN())),OFFSET($BN$2,0,0,ROW()-1,60),ROW()-1,FALSE))</f>
        <v/>
      </c>
      <c r="AS219" t="str">
        <f ca="1">IF(AND(ISNUMBER($AS$888),$B$677=1),$AS$888,HLOOKUP(INDIRECT(ADDRESS(2,COLUMN())),OFFSET($BN$2,0,0,ROW()-1,60),ROW()-1,FALSE))</f>
        <v/>
      </c>
      <c r="AT219" t="str">
        <f ca="1">IF(AND(ISNUMBER($AT$888),$B$677=1),$AT$888,HLOOKUP(INDIRECT(ADDRESS(2,COLUMN())),OFFSET($BN$2,0,0,ROW()-1,60),ROW()-1,FALSE))</f>
        <v/>
      </c>
      <c r="AU219" t="str">
        <f ca="1">IF(AND(ISNUMBER($AU$888),$B$677=1),$AU$888,HLOOKUP(INDIRECT(ADDRESS(2,COLUMN())),OFFSET($BN$2,0,0,ROW()-1,60),ROW()-1,FALSE))</f>
        <v/>
      </c>
      <c r="AV219">
        <f ca="1">IF(AND(ISNUMBER($AV$888),$B$677=1),$AV$888,HLOOKUP(INDIRECT(ADDRESS(2,COLUMN())),OFFSET($BN$2,0,0,ROW()-1,60),ROW()-1,FALSE))</f>
        <v>30.649642589999999</v>
      </c>
      <c r="AW219">
        <f ca="1">IF(AND(ISNUMBER($AW$888),$B$677=1),$AW$888,HLOOKUP(INDIRECT(ADDRESS(2,COLUMN())),OFFSET($BN$2,0,0,ROW()-1,60),ROW()-1,FALSE))</f>
        <v>33.435973730000001</v>
      </c>
      <c r="AX219">
        <f ca="1">IF(AND(ISNUMBER($AX$888),$B$677=1),$AX$888,HLOOKUP(INDIRECT(ADDRESS(2,COLUMN())),OFFSET($BN$2,0,0,ROW()-1,60),ROW()-1,FALSE))</f>
        <v>2.2428313609999999</v>
      </c>
      <c r="AY219">
        <f ca="1">IF(AND(ISNUMBER($AY$888),$B$677=1),$AY$888,HLOOKUP(INDIRECT(ADDRESS(2,COLUMN())),OFFSET($BN$2,0,0,ROW()-1,60),ROW()-1,FALSE))</f>
        <v>2.4743966579999999</v>
      </c>
      <c r="AZ219">
        <f ca="1">IF(AND(ISNUMBER($AZ$888),$B$677=1),$AZ$888,HLOOKUP(INDIRECT(ADDRESS(2,COLUMN())),OFFSET($BN$2,0,0,ROW()-1,60),ROW()-1,FALSE))</f>
        <v>2.2090514469999998</v>
      </c>
      <c r="BA219">
        <f ca="1">IF(AND(ISNUMBER($BA$888),$B$677=1),$BA$888,HLOOKUP(INDIRECT(ADDRESS(2,COLUMN())),OFFSET($BN$2,0,0,ROW()-1,60),ROW()-1,FALSE))</f>
        <v>2.4544300149999998</v>
      </c>
      <c r="BB219">
        <f ca="1">IF(AND(ISNUMBER($BB$888),$B$677=1),$BB$888,HLOOKUP(INDIRECT(ADDRESS(2,COLUMN())),OFFSET($BN$2,0,0,ROW()-1,60),ROW()-1,FALSE))</f>
        <v>3.6233038249999998</v>
      </c>
      <c r="BC219">
        <f ca="1">IF(AND(ISNUMBER($BC$888),$B$677=1),$BC$888,HLOOKUP(INDIRECT(ADDRESS(2,COLUMN())),OFFSET($BN$2,0,0,ROW()-1,60),ROW()-1,FALSE))</f>
        <v>2.9332201809999998</v>
      </c>
      <c r="BD219">
        <f ca="1">IF(AND(ISNUMBER($BD$888),$B$677=1),$BD$888,HLOOKUP(INDIRECT(ADDRESS(2,COLUMN())),OFFSET($BN$2,0,0,ROW()-1,60),ROW()-1,FALSE))</f>
        <v>5.2426289410000004</v>
      </c>
      <c r="BE219">
        <f ca="1">IF(AND(ISNUMBER($BE$888),$B$677=1),$BE$888,HLOOKUP(INDIRECT(ADDRESS(2,COLUMN())),OFFSET($BN$2,0,0,ROW()-1,60),ROW()-1,FALSE))</f>
        <v>12.87335655</v>
      </c>
      <c r="BF219">
        <f ca="1">IF(AND(ISNUMBER($BF$888),$B$677=1),$BF$888,HLOOKUP(INDIRECT(ADDRESS(2,COLUMN())),OFFSET($BN$2,0,0,ROW()-1,60),ROW()-1,FALSE))</f>
        <v>7.7321574279999998</v>
      </c>
      <c r="BG219">
        <f ca="1">IF(AND(ISNUMBER($BG$888),$B$677=1),$BG$888,HLOOKUP(INDIRECT(ADDRESS(2,COLUMN())),OFFSET($BN$2,0,0,ROW()-1,60),ROW()-1,FALSE))</f>
        <v>5.8847023979999999</v>
      </c>
      <c r="BH219">
        <f ca="1">IF(AND(ISNUMBER($BH$888),$B$677=1),$BH$888,HLOOKUP(INDIRECT(ADDRESS(2,COLUMN())),OFFSET($BN$2,0,0,ROW()-1,60),ROW()-1,FALSE))</f>
        <v>3.3604079599999999</v>
      </c>
      <c r="BI219">
        <f ca="1">IF(AND(ISNUMBER($BI$888),$B$677=1),$BI$888,HLOOKUP(INDIRECT(ADDRESS(2,COLUMN())),OFFSET($BN$2,0,0,ROW()-1,60),ROW()-1,FALSE))</f>
        <v>2.3567093149999998</v>
      </c>
      <c r="BJ219">
        <f ca="1">IF(AND(ISNUMBER($BJ$888),$B$677=1),$BJ$888,HLOOKUP(INDIRECT(ADDRESS(2,COLUMN())),OFFSET($BN$2,0,0,ROW()-1,60),ROW()-1,FALSE))</f>
        <v>2.851753768</v>
      </c>
      <c r="BK219">
        <f ca="1">IF(AND(ISNUMBER($BK$888),$B$677=1),$BK$888,HLOOKUP(INDIRECT(ADDRESS(2,COLUMN())),OFFSET($BN$2,0,0,ROW()-1,60),ROW()-1,FALSE))</f>
        <v>3.9507485419999999</v>
      </c>
      <c r="BL219">
        <f ca="1">IF(AND(ISNUMBER($BL$888),$B$677=1),$BL$888,HLOOKUP(INDIRECT(ADDRESS(2,COLUMN())),OFFSET($BN$2,0,0,ROW()-1,60),ROW()-1,FALSE))</f>
        <v>5.0677957710000001</v>
      </c>
      <c r="BM219">
        <f ca="1">IF(AND(ISNUMBER($BM$888),$B$677=1),$BM$888,HLOOKUP(INDIRECT(ADDRESS(2,COLUMN())),OFFSET($BN$2,0,0,ROW()-1,60),ROW()-1,FALSE))</f>
        <v>6.1731776050000002</v>
      </c>
      <c r="BN219" t="str">
        <f>""</f>
        <v/>
      </c>
      <c r="BO219">
        <f>1.989712868</f>
        <v>1.989712868</v>
      </c>
      <c r="BP219">
        <f>2.570045788</f>
        <v>2.5700457879999998</v>
      </c>
      <c r="BQ219">
        <f>6.846878131</f>
        <v>6.8468781310000004</v>
      </c>
      <c r="BR219">
        <f>17.06200457</f>
        <v>17.062004569999999</v>
      </c>
      <c r="BS219">
        <f>8.000922052</f>
        <v>8.000922052</v>
      </c>
      <c r="BT219" t="str">
        <f>""</f>
        <v/>
      </c>
      <c r="BU219" t="str">
        <f>""</f>
        <v/>
      </c>
      <c r="BV219" t="str">
        <f>""</f>
        <v/>
      </c>
      <c r="BW219" t="str">
        <f>""</f>
        <v/>
      </c>
      <c r="BX219">
        <f>21.0691514</f>
        <v>21.069151399999999</v>
      </c>
      <c r="BY219">
        <f>12.8123218</f>
        <v>12.812321799999999</v>
      </c>
      <c r="BZ219" t="str">
        <f>""</f>
        <v/>
      </c>
      <c r="CA219" t="str">
        <f>""</f>
        <v/>
      </c>
      <c r="CB219" t="str">
        <f>""</f>
        <v/>
      </c>
      <c r="CC219" t="str">
        <f>""</f>
        <v/>
      </c>
      <c r="CD219">
        <f>11.5154638</f>
        <v>11.515463799999999</v>
      </c>
      <c r="CE219">
        <f>10.17780891</f>
        <v>10.17780891</v>
      </c>
      <c r="CF219" t="str">
        <f>""</f>
        <v/>
      </c>
      <c r="CG219" t="str">
        <f>""</f>
        <v/>
      </c>
      <c r="CH219">
        <f>5.235898738</f>
        <v>5.2358987380000004</v>
      </c>
      <c r="CI219">
        <f>6.026626303</f>
        <v>6.0266263029999996</v>
      </c>
      <c r="CJ219">
        <f>1.932732019</f>
        <v>1.9327320189999999</v>
      </c>
      <c r="CK219">
        <f>2.542326433</f>
        <v>2.5423264329999999</v>
      </c>
      <c r="CL219" t="str">
        <f>""</f>
        <v/>
      </c>
      <c r="CM219" t="str">
        <f>""</f>
        <v/>
      </c>
      <c r="CN219" t="str">
        <f>""</f>
        <v/>
      </c>
      <c r="CO219" t="str">
        <f>""</f>
        <v/>
      </c>
      <c r="CP219" t="str">
        <f>""</f>
        <v/>
      </c>
      <c r="CQ219" t="str">
        <f>""</f>
        <v/>
      </c>
      <c r="CR219" t="str">
        <f>""</f>
        <v/>
      </c>
      <c r="CS219" t="str">
        <f>""</f>
        <v/>
      </c>
      <c r="CT219" t="str">
        <f>""</f>
        <v/>
      </c>
      <c r="CU219" t="str">
        <f>""</f>
        <v/>
      </c>
      <c r="CV219">
        <f>2.665174219</f>
        <v>2.6651742189999998</v>
      </c>
      <c r="CW219">
        <f>2.199826339</f>
        <v>2.1998263389999999</v>
      </c>
      <c r="CX219">
        <f>0.98260618</f>
        <v>0.98260618</v>
      </c>
      <c r="CY219" t="str">
        <f>""</f>
        <v/>
      </c>
      <c r="CZ219" t="str">
        <f>""</f>
        <v/>
      </c>
      <c r="DA219" t="str">
        <f>""</f>
        <v/>
      </c>
      <c r="DB219" t="str">
        <f>""</f>
        <v/>
      </c>
      <c r="DC219" t="str">
        <f>""</f>
        <v/>
      </c>
      <c r="DD219">
        <f>30.64964259</f>
        <v>30.649642589999999</v>
      </c>
      <c r="DE219">
        <f>33.43597373</f>
        <v>33.435973730000001</v>
      </c>
      <c r="DF219">
        <f>2.242831361</f>
        <v>2.2428313609999999</v>
      </c>
      <c r="DG219">
        <f>2.474396658</f>
        <v>2.4743966579999999</v>
      </c>
      <c r="DH219">
        <f>2.209051447</f>
        <v>2.2090514469999998</v>
      </c>
      <c r="DI219">
        <f>2.454430015</f>
        <v>2.4544300149999998</v>
      </c>
      <c r="DJ219">
        <f>3.623303825</f>
        <v>3.6233038249999998</v>
      </c>
      <c r="DK219">
        <f>2.933220181</f>
        <v>2.9332201809999998</v>
      </c>
      <c r="DL219">
        <f>5.242628941</f>
        <v>5.2426289410000004</v>
      </c>
      <c r="DM219">
        <f>12.87335655</f>
        <v>12.87335655</v>
      </c>
      <c r="DN219">
        <f>7.732157428</f>
        <v>7.7321574279999998</v>
      </c>
      <c r="DO219">
        <f>5.884702398</f>
        <v>5.8847023979999999</v>
      </c>
      <c r="DP219">
        <f>3.36040796</f>
        <v>3.3604079599999999</v>
      </c>
      <c r="DQ219">
        <f>2.356709315</f>
        <v>2.3567093149999998</v>
      </c>
      <c r="DR219">
        <f>2.851753768</f>
        <v>2.851753768</v>
      </c>
      <c r="DS219">
        <f>3.950748542</f>
        <v>3.9507485419999999</v>
      </c>
      <c r="DT219">
        <f>5.067795771</f>
        <v>5.0677957710000001</v>
      </c>
      <c r="DU219">
        <f>6.173177605</f>
        <v>6.1731776050000002</v>
      </c>
    </row>
    <row r="220" spans="1:125" x14ac:dyDescent="0.25">
      <c r="A220" t="str">
        <f>"    FAW CAR Co Ltd"</f>
        <v xml:space="preserve">    FAW CAR Co Ltd</v>
      </c>
      <c r="B220" t="str">
        <f>"000800 CH Equity"</f>
        <v>000800 CH Equity</v>
      </c>
      <c r="C220" t="str">
        <f t="shared" si="15"/>
        <v>RR971</v>
      </c>
      <c r="D220" t="str">
        <f t="shared" si="16"/>
        <v>CURRENT_PX_TO_FREE_CASH_FLOW</v>
      </c>
      <c r="E220" t="str">
        <f t="shared" si="17"/>
        <v>Dynamic</v>
      </c>
      <c r="F220">
        <f ca="1">IF(AND(ISNUMBER($F$889),$B$677=1),$F$889,HLOOKUP(INDIRECT(ADDRESS(2,COLUMN())),OFFSET($BN$2,0,0,ROW()-1,60),ROW()-1,FALSE))</f>
        <v>12.40715606</v>
      </c>
      <c r="G220">
        <f ca="1">IF(AND(ISNUMBER($G$889),$B$677=1),$G$889,HLOOKUP(INDIRECT(ADDRESS(2,COLUMN())),OFFSET($BN$2,0,0,ROW()-1,60),ROW()-1,FALSE))</f>
        <v>10.20315194</v>
      </c>
      <c r="H220">
        <f ca="1">IF(AND(ISNUMBER($H$889),$B$677=1),$H$889,HLOOKUP(INDIRECT(ADDRESS(2,COLUMN())),OFFSET($BN$2,0,0,ROW()-1,60),ROW()-1,FALSE))</f>
        <v>10.156914090000001</v>
      </c>
      <c r="I220">
        <f ca="1">IF(AND(ISNUMBER($I$889),$B$677=1),$I$889,HLOOKUP(INDIRECT(ADDRESS(2,COLUMN())),OFFSET($BN$2,0,0,ROW()-1,60),ROW()-1,FALSE))</f>
        <v>5.6553134710000004</v>
      </c>
      <c r="J220">
        <f ca="1">IF(AND(ISNUMBER($J$889),$B$677=1),$J$889,HLOOKUP(INDIRECT(ADDRESS(2,COLUMN())),OFFSET($BN$2,0,0,ROW()-1,60),ROW()-1,FALSE))</f>
        <v>8.0141072340000008</v>
      </c>
      <c r="K220">
        <f ca="1">IF(AND(ISNUMBER($K$889),$B$677=1),$K$889,HLOOKUP(INDIRECT(ADDRESS(2,COLUMN())),OFFSET($BN$2,0,0,ROW()-1,60),ROW()-1,FALSE))</f>
        <v>8.7243005220000001</v>
      </c>
      <c r="L220">
        <f ca="1">IF(AND(ISNUMBER($L$889),$B$677=1),$L$889,HLOOKUP(INDIRECT(ADDRESS(2,COLUMN())),OFFSET($BN$2,0,0,ROW()-1,60),ROW()-1,FALSE))</f>
        <v>11.046381139999999</v>
      </c>
      <c r="M220">
        <f ca="1">IF(AND(ISNUMBER($M$889),$B$677=1),$M$889,HLOOKUP(INDIRECT(ADDRESS(2,COLUMN())),OFFSET($BN$2,0,0,ROW()-1,60),ROW()-1,FALSE))</f>
        <v>19.839891900000001</v>
      </c>
      <c r="N220">
        <f ca="1">IF(AND(ISNUMBER($N$889),$B$677=1),$N$889,HLOOKUP(INDIRECT(ADDRESS(2,COLUMN())),OFFSET($BN$2,0,0,ROW()-1,60),ROW()-1,FALSE))</f>
        <v>19.90688141</v>
      </c>
      <c r="O220" t="str">
        <f ca="1">IF(AND(ISNUMBER($O$889),$B$677=1),$O$889,HLOOKUP(INDIRECT(ADDRESS(2,COLUMN())),OFFSET($BN$2,0,0,ROW()-1,60),ROW()-1,FALSE))</f>
        <v/>
      </c>
      <c r="P220" t="str">
        <f ca="1">IF(AND(ISNUMBER($P$889),$B$677=1),$P$889,HLOOKUP(INDIRECT(ADDRESS(2,COLUMN())),OFFSET($BN$2,0,0,ROW()-1,60),ROW()-1,FALSE))</f>
        <v/>
      </c>
      <c r="Q220" t="str">
        <f ca="1">IF(AND(ISNUMBER($Q$889),$B$677=1),$Q$889,HLOOKUP(INDIRECT(ADDRESS(2,COLUMN())),OFFSET($BN$2,0,0,ROW()-1,60),ROW()-1,FALSE))</f>
        <v/>
      </c>
      <c r="R220">
        <f ca="1">IF(AND(ISNUMBER($R$889),$B$677=1),$R$889,HLOOKUP(INDIRECT(ADDRESS(2,COLUMN())),OFFSET($BN$2,0,0,ROW()-1,60),ROW()-1,FALSE))</f>
        <v>81.283091850000005</v>
      </c>
      <c r="S220">
        <f ca="1">IF(AND(ISNUMBER($S$889),$B$677=1),$S$889,HLOOKUP(INDIRECT(ADDRESS(2,COLUMN())),OFFSET($BN$2,0,0,ROW()-1,60),ROW()-1,FALSE))</f>
        <v>93.704522080000004</v>
      </c>
      <c r="T220" t="str">
        <f ca="1">IF(AND(ISNUMBER($T$889),$B$677=1),$T$889,HLOOKUP(INDIRECT(ADDRESS(2,COLUMN())),OFFSET($BN$2,0,0,ROW()-1,60),ROW()-1,FALSE))</f>
        <v/>
      </c>
      <c r="U220" t="str">
        <f ca="1">IF(AND(ISNUMBER($U$889),$B$677=1),$U$889,HLOOKUP(INDIRECT(ADDRESS(2,COLUMN())),OFFSET($BN$2,0,0,ROW()-1,60),ROW()-1,FALSE))</f>
        <v/>
      </c>
      <c r="V220" t="str">
        <f ca="1">IF(AND(ISNUMBER($V$889),$B$677=1),$V$889,HLOOKUP(INDIRECT(ADDRESS(2,COLUMN())),OFFSET($BN$2,0,0,ROW()-1,60),ROW()-1,FALSE))</f>
        <v/>
      </c>
      <c r="W220" t="str">
        <f ca="1">IF(AND(ISNUMBER($W$889),$B$677=1),$W$889,HLOOKUP(INDIRECT(ADDRESS(2,COLUMN())),OFFSET($BN$2,0,0,ROW()-1,60),ROW()-1,FALSE))</f>
        <v/>
      </c>
      <c r="X220" t="str">
        <f ca="1">IF(AND(ISNUMBER($X$889),$B$677=1),$X$889,HLOOKUP(INDIRECT(ADDRESS(2,COLUMN())),OFFSET($BN$2,0,0,ROW()-1,60),ROW()-1,FALSE))</f>
        <v/>
      </c>
      <c r="Y220">
        <f ca="1">IF(AND(ISNUMBER($Y$889),$B$677=1),$Y$889,HLOOKUP(INDIRECT(ADDRESS(2,COLUMN())),OFFSET($BN$2,0,0,ROW()-1,60),ROW()-1,FALSE))</f>
        <v>35.895084949999998</v>
      </c>
      <c r="Z220">
        <f ca="1">IF(AND(ISNUMBER($Z$889),$B$677=1),$Z$889,HLOOKUP(INDIRECT(ADDRESS(2,COLUMN())),OFFSET($BN$2,0,0,ROW()-1,60),ROW()-1,FALSE))</f>
        <v>37.64697383</v>
      </c>
      <c r="AA220" t="str">
        <f ca="1">IF(AND(ISNUMBER($AA$889),$B$677=1),$AA$889,HLOOKUP(INDIRECT(ADDRESS(2,COLUMN())),OFFSET($BN$2,0,0,ROW()-1,60),ROW()-1,FALSE))</f>
        <v/>
      </c>
      <c r="AB220" t="str">
        <f ca="1">IF(AND(ISNUMBER($AB$889),$B$677=1),$AB$889,HLOOKUP(INDIRECT(ADDRESS(2,COLUMN())),OFFSET($BN$2,0,0,ROW()-1,60),ROW()-1,FALSE))</f>
        <v/>
      </c>
      <c r="AC220" t="str">
        <f ca="1">IF(AND(ISNUMBER($AC$889),$B$677=1),$AC$889,HLOOKUP(INDIRECT(ADDRESS(2,COLUMN())),OFFSET($BN$2,0,0,ROW()-1,60),ROW()-1,FALSE))</f>
        <v/>
      </c>
      <c r="AD220" t="str">
        <f ca="1">IF(AND(ISNUMBER($AD$889),$B$677=1),$AD$889,HLOOKUP(INDIRECT(ADDRESS(2,COLUMN())),OFFSET($BN$2,0,0,ROW()-1,60),ROW()-1,FALSE))</f>
        <v/>
      </c>
      <c r="AE220" t="str">
        <f ca="1">IF(AND(ISNUMBER($AE$889),$B$677=1),$AE$889,HLOOKUP(INDIRECT(ADDRESS(2,COLUMN())),OFFSET($BN$2,0,0,ROW()-1,60),ROW()-1,FALSE))</f>
        <v/>
      </c>
      <c r="AF220" t="str">
        <f ca="1">IF(AND(ISNUMBER($AF$889),$B$677=1),$AF$889,HLOOKUP(INDIRECT(ADDRESS(2,COLUMN())),OFFSET($BN$2,0,0,ROW()-1,60),ROW()-1,FALSE))</f>
        <v/>
      </c>
      <c r="AG220" t="str">
        <f ca="1">IF(AND(ISNUMBER($AG$889),$B$677=1),$AG$889,HLOOKUP(INDIRECT(ADDRESS(2,COLUMN())),OFFSET($BN$2,0,0,ROW()-1,60),ROW()-1,FALSE))</f>
        <v/>
      </c>
      <c r="AH220" t="str">
        <f ca="1">IF(AND(ISNUMBER($AH$889),$B$677=1),$AH$889,HLOOKUP(INDIRECT(ADDRESS(2,COLUMN())),OFFSET($BN$2,0,0,ROW()-1,60),ROW()-1,FALSE))</f>
        <v/>
      </c>
      <c r="AI220" t="str">
        <f ca="1">IF(AND(ISNUMBER($AI$889),$B$677=1),$AI$889,HLOOKUP(INDIRECT(ADDRESS(2,COLUMN())),OFFSET($BN$2,0,0,ROW()-1,60),ROW()-1,FALSE))</f>
        <v/>
      </c>
      <c r="AJ220" t="str">
        <f ca="1">IF(AND(ISNUMBER($AJ$889),$B$677=1),$AJ$889,HLOOKUP(INDIRECT(ADDRESS(2,COLUMN())),OFFSET($BN$2,0,0,ROW()-1,60),ROW()-1,FALSE))</f>
        <v/>
      </c>
      <c r="AK220" t="str">
        <f ca="1">IF(AND(ISNUMBER($AK$889),$B$677=1),$AK$889,HLOOKUP(INDIRECT(ADDRESS(2,COLUMN())),OFFSET($BN$2,0,0,ROW()-1,60),ROW()-1,FALSE))</f>
        <v/>
      </c>
      <c r="AL220">
        <f ca="1">IF(AND(ISNUMBER($AL$889),$B$677=1),$AL$889,HLOOKUP(INDIRECT(ADDRESS(2,COLUMN())),OFFSET($BN$2,0,0,ROW()-1,60),ROW()-1,FALSE))</f>
        <v>22.41058331</v>
      </c>
      <c r="AM220">
        <f ca="1">IF(AND(ISNUMBER($AM$889),$B$677=1),$AM$889,HLOOKUP(INDIRECT(ADDRESS(2,COLUMN())),OFFSET($BN$2,0,0,ROW()-1,60),ROW()-1,FALSE))</f>
        <v>21.195631240000001</v>
      </c>
      <c r="AN220">
        <f ca="1">IF(AND(ISNUMBER($AN$889),$B$677=1),$AN$889,HLOOKUP(INDIRECT(ADDRESS(2,COLUMN())),OFFSET($BN$2,0,0,ROW()-1,60),ROW()-1,FALSE))</f>
        <v>14.13560809</v>
      </c>
      <c r="AO220">
        <f ca="1">IF(AND(ISNUMBER($AO$889),$B$677=1),$AO$889,HLOOKUP(INDIRECT(ADDRESS(2,COLUMN())),OFFSET($BN$2,0,0,ROW()-1,60),ROW()-1,FALSE))</f>
        <v>27.223103170000002</v>
      </c>
      <c r="AP220">
        <f ca="1">IF(AND(ISNUMBER($AP$889),$B$677=1),$AP$889,HLOOKUP(INDIRECT(ADDRESS(2,COLUMN())),OFFSET($BN$2,0,0,ROW()-1,60),ROW()-1,FALSE))</f>
        <v>28.986477910000001</v>
      </c>
      <c r="AQ220">
        <f ca="1">IF(AND(ISNUMBER($AQ$889),$B$677=1),$AQ$889,HLOOKUP(INDIRECT(ADDRESS(2,COLUMN())),OFFSET($BN$2,0,0,ROW()-1,60),ROW()-1,FALSE))</f>
        <v>33.273177259999997</v>
      </c>
      <c r="AR220">
        <f ca="1">IF(AND(ISNUMBER($AR$889),$B$677=1),$AR$889,HLOOKUP(INDIRECT(ADDRESS(2,COLUMN())),OFFSET($BN$2,0,0,ROW()-1,60),ROW()-1,FALSE))</f>
        <v>11.93856313</v>
      </c>
      <c r="AS220">
        <f ca="1">IF(AND(ISNUMBER($AS$889),$B$677=1),$AS$889,HLOOKUP(INDIRECT(ADDRESS(2,COLUMN())),OFFSET($BN$2,0,0,ROW()-1,60),ROW()-1,FALSE))</f>
        <v>15.166089510000001</v>
      </c>
      <c r="AT220">
        <f ca="1">IF(AND(ISNUMBER($AT$889),$B$677=1),$AT$889,HLOOKUP(INDIRECT(ADDRESS(2,COLUMN())),OFFSET($BN$2,0,0,ROW()-1,60),ROW()-1,FALSE))</f>
        <v>19.502821950000001</v>
      </c>
      <c r="AU220">
        <f ca="1">IF(AND(ISNUMBER($AU$889),$B$677=1),$AU$889,HLOOKUP(INDIRECT(ADDRESS(2,COLUMN())),OFFSET($BN$2,0,0,ROW()-1,60),ROW()-1,FALSE))</f>
        <v>28.65931891</v>
      </c>
      <c r="AV220">
        <f ca="1">IF(AND(ISNUMBER($AV$889),$B$677=1),$AV$889,HLOOKUP(INDIRECT(ADDRESS(2,COLUMN())),OFFSET($BN$2,0,0,ROW()-1,60),ROW()-1,FALSE))</f>
        <v>165.10168880000001</v>
      </c>
      <c r="AW220">
        <f ca="1">IF(AND(ISNUMBER($AW$889),$B$677=1),$AW$889,HLOOKUP(INDIRECT(ADDRESS(2,COLUMN())),OFFSET($BN$2,0,0,ROW()-1,60),ROW()-1,FALSE))</f>
        <v>203.24145870000001</v>
      </c>
      <c r="AX220">
        <f ca="1">IF(AND(ISNUMBER($AX$889),$B$677=1),$AX$889,HLOOKUP(INDIRECT(ADDRESS(2,COLUMN())),OFFSET($BN$2,0,0,ROW()-1,60),ROW()-1,FALSE))</f>
        <v>74.464962729999996</v>
      </c>
      <c r="AY220">
        <f ca="1">IF(AND(ISNUMBER($AY$889),$B$677=1),$AY$889,HLOOKUP(INDIRECT(ADDRESS(2,COLUMN())),OFFSET($BN$2,0,0,ROW()-1,60),ROW()-1,FALSE))</f>
        <v>90.713974930000006</v>
      </c>
      <c r="AZ220">
        <f ca="1">IF(AND(ISNUMBER($AZ$889),$B$677=1),$AZ$889,HLOOKUP(INDIRECT(ADDRESS(2,COLUMN())),OFFSET($BN$2,0,0,ROW()-1,60),ROW()-1,FALSE))</f>
        <v>100.61174269999999</v>
      </c>
      <c r="BA220">
        <f ca="1">IF(AND(ISNUMBER($BA$889),$B$677=1),$BA$889,HLOOKUP(INDIRECT(ADDRESS(2,COLUMN())),OFFSET($BN$2,0,0,ROW()-1,60),ROW()-1,FALSE))</f>
        <v>50.133013460000001</v>
      </c>
      <c r="BB220" t="str">
        <f ca="1">IF(AND(ISNUMBER($BB$889),$B$677=1),$BB$889,HLOOKUP(INDIRECT(ADDRESS(2,COLUMN())),OFFSET($BN$2,0,0,ROW()-1,60),ROW()-1,FALSE))</f>
        <v/>
      </c>
      <c r="BC220" t="str">
        <f ca="1">IF(AND(ISNUMBER($BC$889),$B$677=1),$BC$889,HLOOKUP(INDIRECT(ADDRESS(2,COLUMN())),OFFSET($BN$2,0,0,ROW()-1,60),ROW()-1,FALSE))</f>
        <v/>
      </c>
      <c r="BD220" t="str">
        <f ca="1">IF(AND(ISNUMBER($BD$889),$B$677=1),$BD$889,HLOOKUP(INDIRECT(ADDRESS(2,COLUMN())),OFFSET($BN$2,0,0,ROW()-1,60),ROW()-1,FALSE))</f>
        <v/>
      </c>
      <c r="BE220">
        <f ca="1">IF(AND(ISNUMBER($BE$889),$B$677=1),$BE$889,HLOOKUP(INDIRECT(ADDRESS(2,COLUMN())),OFFSET($BN$2,0,0,ROW()-1,60),ROW()-1,FALSE))</f>
        <v>4.3127111180000002</v>
      </c>
      <c r="BF220">
        <f ca="1">IF(AND(ISNUMBER($BF$889),$B$677=1),$BF$889,HLOOKUP(INDIRECT(ADDRESS(2,COLUMN())),OFFSET($BN$2,0,0,ROW()-1,60),ROW()-1,FALSE))</f>
        <v>2.3563281620000001</v>
      </c>
      <c r="BG220">
        <f ca="1">IF(AND(ISNUMBER($BG$889),$B$677=1),$BG$889,HLOOKUP(INDIRECT(ADDRESS(2,COLUMN())),OFFSET($BN$2,0,0,ROW()-1,60),ROW()-1,FALSE))</f>
        <v>2.1559366180000001</v>
      </c>
      <c r="BH220">
        <f ca="1">IF(AND(ISNUMBER($BH$889),$B$677=1),$BH$889,HLOOKUP(INDIRECT(ADDRESS(2,COLUMN())),OFFSET($BN$2,0,0,ROW()-1,60),ROW()-1,FALSE))</f>
        <v>2.6983380690000001</v>
      </c>
      <c r="BI220">
        <f ca="1">IF(AND(ISNUMBER($BI$889),$B$677=1),$BI$889,HLOOKUP(INDIRECT(ADDRESS(2,COLUMN())),OFFSET($BN$2,0,0,ROW()-1,60),ROW()-1,FALSE))</f>
        <v>5.3516443589999998</v>
      </c>
      <c r="BJ220" t="str">
        <f ca="1">IF(AND(ISNUMBER($BJ$889),$B$677=1),$BJ$889,HLOOKUP(INDIRECT(ADDRESS(2,COLUMN())),OFFSET($BN$2,0,0,ROW()-1,60),ROW()-1,FALSE))</f>
        <v/>
      </c>
      <c r="BK220" t="str">
        <f ca="1">IF(AND(ISNUMBER($BK$889),$B$677=1),$BK$889,HLOOKUP(INDIRECT(ADDRESS(2,COLUMN())),OFFSET($BN$2,0,0,ROW()-1,60),ROW()-1,FALSE))</f>
        <v/>
      </c>
      <c r="BL220" t="str">
        <f ca="1">IF(AND(ISNUMBER($BL$889),$B$677=1),$BL$889,HLOOKUP(INDIRECT(ADDRESS(2,COLUMN())),OFFSET($BN$2,0,0,ROW()-1,60),ROW()-1,FALSE))</f>
        <v/>
      </c>
      <c r="BM220">
        <f ca="1">IF(AND(ISNUMBER($BM$889),$B$677=1),$BM$889,HLOOKUP(INDIRECT(ADDRESS(2,COLUMN())),OFFSET($BN$2,0,0,ROW()-1,60),ROW()-1,FALSE))</f>
        <v>18.498514100000001</v>
      </c>
      <c r="BN220">
        <f>12.40715606</f>
        <v>12.40715606</v>
      </c>
      <c r="BO220">
        <f>10.20315194</f>
        <v>10.20315194</v>
      </c>
      <c r="BP220">
        <f>10.15691409</f>
        <v>10.156914090000001</v>
      </c>
      <c r="BQ220">
        <f>5.655313471</f>
        <v>5.6553134710000004</v>
      </c>
      <c r="BR220">
        <f>8.014107234</f>
        <v>8.0141072340000008</v>
      </c>
      <c r="BS220">
        <f>8.724300522</f>
        <v>8.7243005220000001</v>
      </c>
      <c r="BT220">
        <f>11.04638114</f>
        <v>11.046381139999999</v>
      </c>
      <c r="BU220">
        <f>19.8398919</f>
        <v>19.839891900000001</v>
      </c>
      <c r="BV220">
        <f>19.90688141</f>
        <v>19.90688141</v>
      </c>
      <c r="BW220" t="str">
        <f>""</f>
        <v/>
      </c>
      <c r="BX220" t="str">
        <f>""</f>
        <v/>
      </c>
      <c r="BY220" t="str">
        <f>""</f>
        <v/>
      </c>
      <c r="BZ220">
        <f>81.28309185</f>
        <v>81.283091850000005</v>
      </c>
      <c r="CA220">
        <f>93.70452208</f>
        <v>93.704522080000004</v>
      </c>
      <c r="CB220" t="str">
        <f>""</f>
        <v/>
      </c>
      <c r="CC220" t="str">
        <f>""</f>
        <v/>
      </c>
      <c r="CD220" t="str">
        <f>""</f>
        <v/>
      </c>
      <c r="CE220" t="str">
        <f>""</f>
        <v/>
      </c>
      <c r="CF220" t="str">
        <f>""</f>
        <v/>
      </c>
      <c r="CG220">
        <f>35.89508495</f>
        <v>35.895084949999998</v>
      </c>
      <c r="CH220">
        <f>37.64697383</f>
        <v>37.64697383</v>
      </c>
      <c r="CI220" t="str">
        <f>""</f>
        <v/>
      </c>
      <c r="CJ220" t="str">
        <f>""</f>
        <v/>
      </c>
      <c r="CK220" t="str">
        <f>""</f>
        <v/>
      </c>
      <c r="CL220" t="str">
        <f>""</f>
        <v/>
      </c>
      <c r="CM220" t="str">
        <f>""</f>
        <v/>
      </c>
      <c r="CN220" t="str">
        <f>""</f>
        <v/>
      </c>
      <c r="CO220" t="str">
        <f>""</f>
        <v/>
      </c>
      <c r="CP220" t="str">
        <f>""</f>
        <v/>
      </c>
      <c r="CQ220" t="str">
        <f>""</f>
        <v/>
      </c>
      <c r="CR220" t="str">
        <f>""</f>
        <v/>
      </c>
      <c r="CS220" t="str">
        <f>""</f>
        <v/>
      </c>
      <c r="CT220">
        <f>22.41058331</f>
        <v>22.41058331</v>
      </c>
      <c r="CU220">
        <f>21.19563124</f>
        <v>21.195631240000001</v>
      </c>
      <c r="CV220">
        <f>14.13560809</f>
        <v>14.13560809</v>
      </c>
      <c r="CW220">
        <f>27.22310317</f>
        <v>27.223103170000002</v>
      </c>
      <c r="CX220">
        <f>28.98647791</f>
        <v>28.986477910000001</v>
      </c>
      <c r="CY220">
        <f>33.27317726</f>
        <v>33.273177259999997</v>
      </c>
      <c r="CZ220">
        <f>11.93856313</f>
        <v>11.93856313</v>
      </c>
      <c r="DA220">
        <f>15.16608951</f>
        <v>15.166089510000001</v>
      </c>
      <c r="DB220">
        <f>19.50282195</f>
        <v>19.502821950000001</v>
      </c>
      <c r="DC220">
        <f>28.65931891</f>
        <v>28.65931891</v>
      </c>
      <c r="DD220">
        <f>165.1016888</f>
        <v>165.10168880000001</v>
      </c>
      <c r="DE220">
        <f>203.2414587</f>
        <v>203.24145870000001</v>
      </c>
      <c r="DF220">
        <f>74.46496273</f>
        <v>74.464962729999996</v>
      </c>
      <c r="DG220">
        <f>90.71397493</f>
        <v>90.713974930000006</v>
      </c>
      <c r="DH220">
        <f>100.6117427</f>
        <v>100.61174269999999</v>
      </c>
      <c r="DI220">
        <f>50.13301346</f>
        <v>50.133013460000001</v>
      </c>
      <c r="DJ220" t="str">
        <f>""</f>
        <v/>
      </c>
      <c r="DK220" t="str">
        <f>""</f>
        <v/>
      </c>
      <c r="DL220" t="str">
        <f>""</f>
        <v/>
      </c>
      <c r="DM220">
        <f>4.312711118</f>
        <v>4.3127111180000002</v>
      </c>
      <c r="DN220">
        <f>2.356328162</f>
        <v>2.3563281620000001</v>
      </c>
      <c r="DO220">
        <f>2.155936618</f>
        <v>2.1559366180000001</v>
      </c>
      <c r="DP220">
        <f>2.698338069</f>
        <v>2.6983380690000001</v>
      </c>
      <c r="DQ220">
        <f>5.351644359</f>
        <v>5.3516443589999998</v>
      </c>
      <c r="DR220" t="str">
        <f>""</f>
        <v/>
      </c>
      <c r="DS220" t="str">
        <f>""</f>
        <v/>
      </c>
      <c r="DT220" t="str">
        <f>""</f>
        <v/>
      </c>
      <c r="DU220">
        <f>18.4985141</f>
        <v>18.498514100000001</v>
      </c>
    </row>
    <row r="221" spans="1:125" x14ac:dyDescent="0.25">
      <c r="A221" t="str">
        <f>"    Fiat Chrysler Automobiles NV"</f>
        <v xml:space="preserve">    Fiat Chrysler Automobiles NV</v>
      </c>
      <c r="B221" t="str">
        <f>"FCAU US Equity"</f>
        <v>FCAU US Equity</v>
      </c>
      <c r="C221" t="str">
        <f t="shared" si="15"/>
        <v>RR971</v>
      </c>
      <c r="D221" t="str">
        <f t="shared" si="16"/>
        <v>CURRENT_PX_TO_FREE_CASH_FLOW</v>
      </c>
      <c r="E221" t="str">
        <f t="shared" si="17"/>
        <v>Dynamic</v>
      </c>
      <c r="F221">
        <f ca="1">IF(AND(ISNUMBER($F$890),$B$677=1),$F$890,HLOOKUP(INDIRECT(ADDRESS(2,COLUMN())),OFFSET($BN$2,0,0,ROW()-1,60),ROW()-1,FALSE))</f>
        <v>4.4812461030000001</v>
      </c>
      <c r="G221">
        <f ca="1">IF(AND(ISNUMBER($G$890),$B$677=1),$G$890,HLOOKUP(INDIRECT(ADDRESS(2,COLUMN())),OFFSET($BN$2,0,0,ROW()-1,60),ROW()-1,FALSE))</f>
        <v>4.2921358669999998</v>
      </c>
      <c r="H221">
        <f ca="1">IF(AND(ISNUMBER($H$890),$B$677=1),$H$890,HLOOKUP(INDIRECT(ADDRESS(2,COLUMN())),OFFSET($BN$2,0,0,ROW()-1,60),ROW()-1,FALSE))</f>
        <v>5.8417196669999996</v>
      </c>
      <c r="I221">
        <f ca="1">IF(AND(ISNUMBER($I$890),$B$677=1),$I$890,HLOOKUP(INDIRECT(ADDRESS(2,COLUMN())),OFFSET($BN$2,0,0,ROW()-1,60),ROW()-1,FALSE))</f>
        <v>5.3029018219999999</v>
      </c>
      <c r="J221">
        <f ca="1">IF(AND(ISNUMBER($J$890),$B$677=1),$J$890,HLOOKUP(INDIRECT(ADDRESS(2,COLUMN())),OFFSET($BN$2,0,0,ROW()-1,60),ROW()-1,FALSE))</f>
        <v>6.5465892090000004</v>
      </c>
      <c r="K221">
        <f ca="1">IF(AND(ISNUMBER($K$890),$B$677=1),$K$890,HLOOKUP(INDIRECT(ADDRESS(2,COLUMN())),OFFSET($BN$2,0,0,ROW()-1,60),ROW()-1,FALSE))</f>
        <v>10.030298820000001</v>
      </c>
      <c r="L221">
        <f ca="1">IF(AND(ISNUMBER($L$890),$B$677=1),$L$890,HLOOKUP(INDIRECT(ADDRESS(2,COLUMN())),OFFSET($BN$2,0,0,ROW()-1,60),ROW()-1,FALSE))</f>
        <v>8.7909121110000008</v>
      </c>
      <c r="M221">
        <f ca="1">IF(AND(ISNUMBER($M$890),$B$677=1),$M$890,HLOOKUP(INDIRECT(ADDRESS(2,COLUMN())),OFFSET($BN$2,0,0,ROW()-1,60),ROW()-1,FALSE))</f>
        <v>13.14929781</v>
      </c>
      <c r="N221">
        <f ca="1">IF(AND(ISNUMBER($N$890),$B$677=1),$N$890,HLOOKUP(INDIRECT(ADDRESS(2,COLUMN())),OFFSET($BN$2,0,0,ROW()-1,60),ROW()-1,FALSE))</f>
        <v>7.0905098009999996</v>
      </c>
      <c r="O221">
        <f ca="1">IF(AND(ISNUMBER($O$890),$B$677=1),$O$890,HLOOKUP(INDIRECT(ADDRESS(2,COLUMN())),OFFSET($BN$2,0,0,ROW()-1,60),ROW()-1,FALSE))</f>
        <v>7.3707537920000004</v>
      </c>
      <c r="P221">
        <f ca="1">IF(AND(ISNUMBER($P$890),$B$677=1),$P$890,HLOOKUP(INDIRECT(ADDRESS(2,COLUMN())),OFFSET($BN$2,0,0,ROW()-1,60),ROW()-1,FALSE))</f>
        <v>6.5309814509999997</v>
      </c>
      <c r="Q221">
        <f ca="1">IF(AND(ISNUMBER($Q$890),$B$677=1),$Q$890,HLOOKUP(INDIRECT(ADDRESS(2,COLUMN())),OFFSET($BN$2,0,0,ROW()-1,60),ROW()-1,FALSE))</f>
        <v>4.6876409780000001</v>
      </c>
      <c r="R221">
        <f ca="1">IF(AND(ISNUMBER($R$890),$B$677=1),$R$890,HLOOKUP(INDIRECT(ADDRESS(2,COLUMN())),OFFSET($BN$2,0,0,ROW()-1,60),ROW()-1,FALSE))</f>
        <v>11.54480393</v>
      </c>
      <c r="S221">
        <f ca="1">IF(AND(ISNUMBER($S$890),$B$677=1),$S$890,HLOOKUP(INDIRECT(ADDRESS(2,COLUMN())),OFFSET($BN$2,0,0,ROW()-1,60),ROW()-1,FALSE))</f>
        <v>13.67088725</v>
      </c>
      <c r="T221">
        <f ca="1">IF(AND(ISNUMBER($T$890),$B$677=1),$T$890,HLOOKUP(INDIRECT(ADDRESS(2,COLUMN())),OFFSET($BN$2,0,0,ROW()-1,60),ROW()-1,FALSE))</f>
        <v>11.36786777</v>
      </c>
      <c r="U221" t="str">
        <f ca="1">IF(AND(ISNUMBER($U$890),$B$677=1),$U$890,HLOOKUP(INDIRECT(ADDRESS(2,COLUMN())),OFFSET($BN$2,0,0,ROW()-1,60),ROW()-1,FALSE))</f>
        <v/>
      </c>
      <c r="V221">
        <f ca="1">IF(AND(ISNUMBER($V$890),$B$677=1),$V$890,HLOOKUP(INDIRECT(ADDRESS(2,COLUMN())),OFFSET($BN$2,0,0,ROW()-1,60),ROW()-1,FALSE))</f>
        <v>35.695820490000003</v>
      </c>
      <c r="W221">
        <f ca="1">IF(AND(ISNUMBER($W$890),$B$677=1),$W$890,HLOOKUP(INDIRECT(ADDRESS(2,COLUMN())),OFFSET($BN$2,0,0,ROW()-1,60),ROW()-1,FALSE))</f>
        <v>22.334170159999999</v>
      </c>
      <c r="X221" t="str">
        <f ca="1">IF(AND(ISNUMBER($X$890),$B$677=1),$X$890,HLOOKUP(INDIRECT(ADDRESS(2,COLUMN())),OFFSET($BN$2,0,0,ROW()-1,60),ROW()-1,FALSE))</f>
        <v/>
      </c>
      <c r="Y221" t="str">
        <f ca="1">IF(AND(ISNUMBER($Y$890),$B$677=1),$Y$890,HLOOKUP(INDIRECT(ADDRESS(2,COLUMN())),OFFSET($BN$2,0,0,ROW()-1,60),ROW()-1,FALSE))</f>
        <v/>
      </c>
      <c r="Z221" t="str">
        <f ca="1">IF(AND(ISNUMBER($Z$890),$B$677=1),$Z$890,HLOOKUP(INDIRECT(ADDRESS(2,COLUMN())),OFFSET($BN$2,0,0,ROW()-1,60),ROW()-1,FALSE))</f>
        <v/>
      </c>
      <c r="AA221" t="str">
        <f ca="1">IF(AND(ISNUMBER($AA$890),$B$677=1),$AA$890,HLOOKUP(INDIRECT(ADDRESS(2,COLUMN())),OFFSET($BN$2,0,0,ROW()-1,60),ROW()-1,FALSE))</f>
        <v/>
      </c>
      <c r="AB221" t="str">
        <f ca="1">IF(AND(ISNUMBER($AB$890),$B$677=1),$AB$890,HLOOKUP(INDIRECT(ADDRESS(2,COLUMN())),OFFSET($BN$2,0,0,ROW()-1,60),ROW()-1,FALSE))</f>
        <v/>
      </c>
      <c r="AC221" t="str">
        <f ca="1">IF(AND(ISNUMBER($AC$890),$B$677=1),$AC$890,HLOOKUP(INDIRECT(ADDRESS(2,COLUMN())),OFFSET($BN$2,0,0,ROW()-1,60),ROW()-1,FALSE))</f>
        <v/>
      </c>
      <c r="AD221" t="str">
        <f ca="1">IF(AND(ISNUMBER($AD$890),$B$677=1),$AD$890,HLOOKUP(INDIRECT(ADDRESS(2,COLUMN())),OFFSET($BN$2,0,0,ROW()-1,60),ROW()-1,FALSE))</f>
        <v/>
      </c>
      <c r="AE221" t="str">
        <f ca="1">IF(AND(ISNUMBER($AE$890),$B$677=1),$AE$890,HLOOKUP(INDIRECT(ADDRESS(2,COLUMN())),OFFSET($BN$2,0,0,ROW()-1,60),ROW()-1,FALSE))</f>
        <v/>
      </c>
      <c r="AF221" t="str">
        <f ca="1">IF(AND(ISNUMBER($AF$890),$B$677=1),$AF$890,HLOOKUP(INDIRECT(ADDRESS(2,COLUMN())),OFFSET($BN$2,0,0,ROW()-1,60),ROW()-1,FALSE))</f>
        <v/>
      </c>
      <c r="AG221" t="str">
        <f ca="1">IF(AND(ISNUMBER($AG$890),$B$677=1),$AG$890,HLOOKUP(INDIRECT(ADDRESS(2,COLUMN())),OFFSET($BN$2,0,0,ROW()-1,60),ROW()-1,FALSE))</f>
        <v/>
      </c>
      <c r="AH221" t="str">
        <f ca="1">IF(AND(ISNUMBER($AH$890),$B$677=1),$AH$890,HLOOKUP(INDIRECT(ADDRESS(2,COLUMN())),OFFSET($BN$2,0,0,ROW()-1,60),ROW()-1,FALSE))</f>
        <v/>
      </c>
      <c r="AI221" t="str">
        <f ca="1">IF(AND(ISNUMBER($AI$890),$B$677=1),$AI$890,HLOOKUP(INDIRECT(ADDRESS(2,COLUMN())),OFFSET($BN$2,0,0,ROW()-1,60),ROW()-1,FALSE))</f>
        <v/>
      </c>
      <c r="AJ221" t="str">
        <f ca="1">IF(AND(ISNUMBER($AJ$890),$B$677=1),$AJ$890,HLOOKUP(INDIRECT(ADDRESS(2,COLUMN())),OFFSET($BN$2,0,0,ROW()-1,60),ROW()-1,FALSE))</f>
        <v/>
      </c>
      <c r="AK221" t="str">
        <f ca="1">IF(AND(ISNUMBER($AK$890),$B$677=1),$AK$890,HLOOKUP(INDIRECT(ADDRESS(2,COLUMN())),OFFSET($BN$2,0,0,ROW()-1,60),ROW()-1,FALSE))</f>
        <v/>
      </c>
      <c r="AL221" t="str">
        <f ca="1">IF(AND(ISNUMBER($AL$890),$B$677=1),$AL$890,HLOOKUP(INDIRECT(ADDRESS(2,COLUMN())),OFFSET($BN$2,0,0,ROW()-1,60),ROW()-1,FALSE))</f>
        <v/>
      </c>
      <c r="AM221" t="str">
        <f ca="1">IF(AND(ISNUMBER($AM$890),$B$677=1),$AM$890,HLOOKUP(INDIRECT(ADDRESS(2,COLUMN())),OFFSET($BN$2,0,0,ROW()-1,60),ROW()-1,FALSE))</f>
        <v/>
      </c>
      <c r="AN221" t="str">
        <f ca="1">IF(AND(ISNUMBER($AN$890),$B$677=1),$AN$890,HLOOKUP(INDIRECT(ADDRESS(2,COLUMN())),OFFSET($BN$2,0,0,ROW()-1,60),ROW()-1,FALSE))</f>
        <v/>
      </c>
      <c r="AO221" t="str">
        <f ca="1">IF(AND(ISNUMBER($AO$890),$B$677=1),$AO$890,HLOOKUP(INDIRECT(ADDRESS(2,COLUMN())),OFFSET($BN$2,0,0,ROW()-1,60),ROW()-1,FALSE))</f>
        <v/>
      </c>
      <c r="AP221" t="str">
        <f ca="1">IF(AND(ISNUMBER($AP$890),$B$677=1),$AP$890,HLOOKUP(INDIRECT(ADDRESS(2,COLUMN())),OFFSET($BN$2,0,0,ROW()-1,60),ROW()-1,FALSE))</f>
        <v/>
      </c>
      <c r="AQ221" t="str">
        <f ca="1">IF(AND(ISNUMBER($AQ$890),$B$677=1),$AQ$890,HLOOKUP(INDIRECT(ADDRESS(2,COLUMN())),OFFSET($BN$2,0,0,ROW()-1,60),ROW()-1,FALSE))</f>
        <v/>
      </c>
      <c r="AR221" t="str">
        <f ca="1">IF(AND(ISNUMBER($AR$890),$B$677=1),$AR$890,HLOOKUP(INDIRECT(ADDRESS(2,COLUMN())),OFFSET($BN$2,0,0,ROW()-1,60),ROW()-1,FALSE))</f>
        <v/>
      </c>
      <c r="AS221" t="str">
        <f ca="1">IF(AND(ISNUMBER($AS$890),$B$677=1),$AS$890,HLOOKUP(INDIRECT(ADDRESS(2,COLUMN())),OFFSET($BN$2,0,0,ROW()-1,60),ROW()-1,FALSE))</f>
        <v/>
      </c>
      <c r="AT221" t="str">
        <f ca="1">IF(AND(ISNUMBER($AT$890),$B$677=1),$AT$890,HLOOKUP(INDIRECT(ADDRESS(2,COLUMN())),OFFSET($BN$2,0,0,ROW()-1,60),ROW()-1,FALSE))</f>
        <v/>
      </c>
      <c r="AU221" t="str">
        <f ca="1">IF(AND(ISNUMBER($AU$890),$B$677=1),$AU$890,HLOOKUP(INDIRECT(ADDRESS(2,COLUMN())),OFFSET($BN$2,0,0,ROW()-1,60),ROW()-1,FALSE))</f>
        <v/>
      </c>
      <c r="AV221" t="str">
        <f ca="1">IF(AND(ISNUMBER($AV$890),$B$677=1),$AV$890,HLOOKUP(INDIRECT(ADDRESS(2,COLUMN())),OFFSET($BN$2,0,0,ROW()-1,60),ROW()-1,FALSE))</f>
        <v/>
      </c>
      <c r="AW221" t="str">
        <f ca="1">IF(AND(ISNUMBER($AW$890),$B$677=1),$AW$890,HLOOKUP(INDIRECT(ADDRESS(2,COLUMN())),OFFSET($BN$2,0,0,ROW()-1,60),ROW()-1,FALSE))</f>
        <v/>
      </c>
      <c r="AX221" t="str">
        <f ca="1">IF(AND(ISNUMBER($AX$890),$B$677=1),$AX$890,HLOOKUP(INDIRECT(ADDRESS(2,COLUMN())),OFFSET($BN$2,0,0,ROW()-1,60),ROW()-1,FALSE))</f>
        <v/>
      </c>
      <c r="AY221" t="str">
        <f ca="1">IF(AND(ISNUMBER($AY$890),$B$677=1),$AY$890,HLOOKUP(INDIRECT(ADDRESS(2,COLUMN())),OFFSET($BN$2,0,0,ROW()-1,60),ROW()-1,FALSE))</f>
        <v/>
      </c>
      <c r="AZ221" t="str">
        <f ca="1">IF(AND(ISNUMBER($AZ$890),$B$677=1),$AZ$890,HLOOKUP(INDIRECT(ADDRESS(2,COLUMN())),OFFSET($BN$2,0,0,ROW()-1,60),ROW()-1,FALSE))</f>
        <v/>
      </c>
      <c r="BA221" t="str">
        <f ca="1">IF(AND(ISNUMBER($BA$890),$B$677=1),$BA$890,HLOOKUP(INDIRECT(ADDRESS(2,COLUMN())),OFFSET($BN$2,0,0,ROW()-1,60),ROW()-1,FALSE))</f>
        <v/>
      </c>
      <c r="BB221" t="str">
        <f ca="1">IF(AND(ISNUMBER($BB$890),$B$677=1),$BB$890,HLOOKUP(INDIRECT(ADDRESS(2,COLUMN())),OFFSET($BN$2,0,0,ROW()-1,60),ROW()-1,FALSE))</f>
        <v/>
      </c>
      <c r="BC221" t="str">
        <f ca="1">IF(AND(ISNUMBER($BC$890),$B$677=1),$BC$890,HLOOKUP(INDIRECT(ADDRESS(2,COLUMN())),OFFSET($BN$2,0,0,ROW()-1,60),ROW()-1,FALSE))</f>
        <v/>
      </c>
      <c r="BD221" t="str">
        <f ca="1">IF(AND(ISNUMBER($BD$890),$B$677=1),$BD$890,HLOOKUP(INDIRECT(ADDRESS(2,COLUMN())),OFFSET($BN$2,0,0,ROW()-1,60),ROW()-1,FALSE))</f>
        <v/>
      </c>
      <c r="BE221" t="str">
        <f ca="1">IF(AND(ISNUMBER($BE$890),$B$677=1),$BE$890,HLOOKUP(INDIRECT(ADDRESS(2,COLUMN())),OFFSET($BN$2,0,0,ROW()-1,60),ROW()-1,FALSE))</f>
        <v/>
      </c>
      <c r="BF221" t="str">
        <f ca="1">IF(AND(ISNUMBER($BF$890),$B$677=1),$BF$890,HLOOKUP(INDIRECT(ADDRESS(2,COLUMN())),OFFSET($BN$2,0,0,ROW()-1,60),ROW()-1,FALSE))</f>
        <v/>
      </c>
      <c r="BG221" t="str">
        <f ca="1">IF(AND(ISNUMBER($BG$890),$B$677=1),$BG$890,HLOOKUP(INDIRECT(ADDRESS(2,COLUMN())),OFFSET($BN$2,0,0,ROW()-1,60),ROW()-1,FALSE))</f>
        <v/>
      </c>
      <c r="BH221" t="str">
        <f ca="1">IF(AND(ISNUMBER($BH$890),$B$677=1),$BH$890,HLOOKUP(INDIRECT(ADDRESS(2,COLUMN())),OFFSET($BN$2,0,0,ROW()-1,60),ROW()-1,FALSE))</f>
        <v/>
      </c>
      <c r="BI221" t="str">
        <f ca="1">IF(AND(ISNUMBER($BI$890),$B$677=1),$BI$890,HLOOKUP(INDIRECT(ADDRESS(2,COLUMN())),OFFSET($BN$2,0,0,ROW()-1,60),ROW()-1,FALSE))</f>
        <v/>
      </c>
      <c r="BJ221" t="str">
        <f ca="1">IF(AND(ISNUMBER($BJ$890),$B$677=1),$BJ$890,HLOOKUP(INDIRECT(ADDRESS(2,COLUMN())),OFFSET($BN$2,0,0,ROW()-1,60),ROW()-1,FALSE))</f>
        <v/>
      </c>
      <c r="BK221" t="str">
        <f ca="1">IF(AND(ISNUMBER($BK$890),$B$677=1),$BK$890,HLOOKUP(INDIRECT(ADDRESS(2,COLUMN())),OFFSET($BN$2,0,0,ROW()-1,60),ROW()-1,FALSE))</f>
        <v/>
      </c>
      <c r="BL221" t="str">
        <f ca="1">IF(AND(ISNUMBER($BL$890),$B$677=1),$BL$890,HLOOKUP(INDIRECT(ADDRESS(2,COLUMN())),OFFSET($BN$2,0,0,ROW()-1,60),ROW()-1,FALSE))</f>
        <v/>
      </c>
      <c r="BM221" t="str">
        <f ca="1">IF(AND(ISNUMBER($BM$890),$B$677=1),$BM$890,HLOOKUP(INDIRECT(ADDRESS(2,COLUMN())),OFFSET($BN$2,0,0,ROW()-1,60),ROW()-1,FALSE))</f>
        <v/>
      </c>
      <c r="BN221">
        <f>4.481246103</f>
        <v>4.4812461030000001</v>
      </c>
      <c r="BO221">
        <f>4.292135867</f>
        <v>4.2921358669999998</v>
      </c>
      <c r="BP221">
        <f>5.841719667</f>
        <v>5.8417196669999996</v>
      </c>
      <c r="BQ221">
        <f>5.302901822</f>
        <v>5.3029018219999999</v>
      </c>
      <c r="BR221">
        <f>6.546589209</f>
        <v>6.5465892090000004</v>
      </c>
      <c r="BS221">
        <f>10.03029882</f>
        <v>10.030298820000001</v>
      </c>
      <c r="BT221">
        <f>8.790912111</f>
        <v>8.7909121110000008</v>
      </c>
      <c r="BU221">
        <f>13.14929781</f>
        <v>13.14929781</v>
      </c>
      <c r="BV221">
        <f>7.090509801</f>
        <v>7.0905098009999996</v>
      </c>
      <c r="BW221">
        <f>7.370753792</f>
        <v>7.3707537920000004</v>
      </c>
      <c r="BX221">
        <f>6.530981451</f>
        <v>6.5309814509999997</v>
      </c>
      <c r="BY221">
        <f>4.687640978</f>
        <v>4.6876409780000001</v>
      </c>
      <c r="BZ221">
        <f>11.54480393</f>
        <v>11.54480393</v>
      </c>
      <c r="CA221">
        <f>13.67088725</f>
        <v>13.67088725</v>
      </c>
      <c r="CB221">
        <f>11.36786777</f>
        <v>11.36786777</v>
      </c>
      <c r="CC221" t="str">
        <f>""</f>
        <v/>
      </c>
      <c r="CD221">
        <f>35.69582049</f>
        <v>35.695820490000003</v>
      </c>
      <c r="CE221">
        <f>22.33417016</f>
        <v>22.334170159999999</v>
      </c>
      <c r="CF221" t="str">
        <f>""</f>
        <v/>
      </c>
      <c r="CG221" t="str">
        <f>""</f>
        <v/>
      </c>
      <c r="CH221" t="str">
        <f>""</f>
        <v/>
      </c>
      <c r="CI221" t="str">
        <f>""</f>
        <v/>
      </c>
      <c r="CJ221" t="str">
        <f>""</f>
        <v/>
      </c>
      <c r="CK221" t="str">
        <f>""</f>
        <v/>
      </c>
      <c r="CL221" t="str">
        <f>""</f>
        <v/>
      </c>
      <c r="CM221" t="str">
        <f>""</f>
        <v/>
      </c>
      <c r="CN221" t="str">
        <f>""</f>
        <v/>
      </c>
      <c r="CO221" t="str">
        <f>""</f>
        <v/>
      </c>
      <c r="CP221" t="str">
        <f>""</f>
        <v/>
      </c>
      <c r="CQ221" t="str">
        <f>""</f>
        <v/>
      </c>
      <c r="CR221" t="str">
        <f>""</f>
        <v/>
      </c>
      <c r="CS221" t="str">
        <f>""</f>
        <v/>
      </c>
      <c r="CT221" t="str">
        <f>""</f>
        <v/>
      </c>
      <c r="CU221" t="str">
        <f>""</f>
        <v/>
      </c>
      <c r="CV221" t="str">
        <f>""</f>
        <v/>
      </c>
      <c r="CW221" t="str">
        <f>""</f>
        <v/>
      </c>
      <c r="CX221" t="str">
        <f>""</f>
        <v/>
      </c>
      <c r="CY221" t="str">
        <f>""</f>
        <v/>
      </c>
      <c r="CZ221" t="str">
        <f>""</f>
        <v/>
      </c>
      <c r="DA221" t="str">
        <f>""</f>
        <v/>
      </c>
      <c r="DB221" t="str">
        <f>""</f>
        <v/>
      </c>
      <c r="DC221" t="str">
        <f>""</f>
        <v/>
      </c>
      <c r="DD221" t="str">
        <f>""</f>
        <v/>
      </c>
      <c r="DE221" t="str">
        <f>""</f>
        <v/>
      </c>
      <c r="DF221" t="str">
        <f>""</f>
        <v/>
      </c>
      <c r="DG221" t="str">
        <f>""</f>
        <v/>
      </c>
      <c r="DH221" t="str">
        <f>""</f>
        <v/>
      </c>
      <c r="DI221" t="str">
        <f>""</f>
        <v/>
      </c>
      <c r="DJ221" t="str">
        <f>""</f>
        <v/>
      </c>
      <c r="DK221" t="str">
        <f>""</f>
        <v/>
      </c>
      <c r="DL221" t="str">
        <f>""</f>
        <v/>
      </c>
      <c r="DM221" t="str">
        <f>""</f>
        <v/>
      </c>
      <c r="DN221" t="str">
        <f>""</f>
        <v/>
      </c>
      <c r="DO221" t="str">
        <f>""</f>
        <v/>
      </c>
      <c r="DP221" t="str">
        <f>""</f>
        <v/>
      </c>
      <c r="DQ221" t="str">
        <f>""</f>
        <v/>
      </c>
      <c r="DR221" t="str">
        <f>""</f>
        <v/>
      </c>
      <c r="DS221" t="str">
        <f>""</f>
        <v/>
      </c>
      <c r="DT221" t="str">
        <f>""</f>
        <v/>
      </c>
      <c r="DU221" t="str">
        <f>""</f>
        <v/>
      </c>
    </row>
    <row r="222" spans="1:125" x14ac:dyDescent="0.25">
      <c r="A222" t="str">
        <f>"    Ford Motor Co"</f>
        <v xml:space="preserve">    Ford Motor Co</v>
      </c>
      <c r="B222" t="str">
        <f>"F US Equity"</f>
        <v>F US Equity</v>
      </c>
      <c r="C222" t="str">
        <f t="shared" si="15"/>
        <v>RR971</v>
      </c>
      <c r="D222" t="str">
        <f t="shared" si="16"/>
        <v>CURRENT_PX_TO_FREE_CASH_FLOW</v>
      </c>
      <c r="E222" t="str">
        <f t="shared" si="17"/>
        <v>Dynamic</v>
      </c>
      <c r="F222">
        <f ca="1">IF(AND(ISNUMBER($F$891),$B$677=1),$F$891,HLOOKUP(INDIRECT(ADDRESS(2,COLUMN())),OFFSET($BN$2,0,0,ROW()-1,60),ROW()-1,FALSE))</f>
        <v>4.7860817759999996</v>
      </c>
      <c r="G222">
        <f ca="1">IF(AND(ISNUMBER($G$891),$B$677=1),$G$891,HLOOKUP(INDIRECT(ADDRESS(2,COLUMN())),OFFSET($BN$2,0,0,ROW()-1,60),ROW()-1,FALSE))</f>
        <v>4.2036194699999996</v>
      </c>
      <c r="H222">
        <f ca="1">IF(AND(ISNUMBER($H$891),$B$677=1),$H$891,HLOOKUP(INDIRECT(ADDRESS(2,COLUMN())),OFFSET($BN$2,0,0,ROW()-1,60),ROW()-1,FALSE))</f>
        <v>4.072704442</v>
      </c>
      <c r="I222">
        <f ca="1">IF(AND(ISNUMBER($I$891),$B$677=1),$I$891,HLOOKUP(INDIRECT(ADDRESS(2,COLUMN())),OFFSET($BN$2,0,0,ROW()-1,60),ROW()-1,FALSE))</f>
        <v>4.8041585749999998</v>
      </c>
      <c r="J222">
        <f ca="1">IF(AND(ISNUMBER($J$891),$B$677=1),$J$891,HLOOKUP(INDIRECT(ADDRESS(2,COLUMN())),OFFSET($BN$2,0,0,ROW()-1,60),ROW()-1,FALSE))</f>
        <v>4.3379687950000001</v>
      </c>
      <c r="K222">
        <f ca="1">IF(AND(ISNUMBER($K$891),$B$677=1),$K$891,HLOOKUP(INDIRECT(ADDRESS(2,COLUMN())),OFFSET($BN$2,0,0,ROW()-1,60),ROW()-1,FALSE))</f>
        <v>4.494306345</v>
      </c>
      <c r="L222">
        <f ca="1">IF(AND(ISNUMBER($L$891),$B$677=1),$L$891,HLOOKUP(INDIRECT(ADDRESS(2,COLUMN())),OFFSET($BN$2,0,0,ROW()-1,60),ROW()-1,FALSE))</f>
        <v>4.4340313819999997</v>
      </c>
      <c r="M222">
        <f ca="1">IF(AND(ISNUMBER($M$891),$B$677=1),$M$891,HLOOKUP(INDIRECT(ADDRESS(2,COLUMN())),OFFSET($BN$2,0,0,ROW()-1,60),ROW()-1,FALSE))</f>
        <v>4.0964784510000003</v>
      </c>
      <c r="N222">
        <f ca="1">IF(AND(ISNUMBER($N$891),$B$677=1),$N$891,HLOOKUP(INDIRECT(ADDRESS(2,COLUMN())),OFFSET($BN$2,0,0,ROW()-1,60),ROW()-1,FALSE))</f>
        <v>3.599789382</v>
      </c>
      <c r="O222">
        <f ca="1">IF(AND(ISNUMBER($O$891),$B$677=1),$O$891,HLOOKUP(INDIRECT(ADDRESS(2,COLUMN())),OFFSET($BN$2,0,0,ROW()-1,60),ROW()-1,FALSE))</f>
        <v>3.7478325699999999</v>
      </c>
      <c r="P222">
        <f ca="1">IF(AND(ISNUMBER($P$891),$B$677=1),$P$891,HLOOKUP(INDIRECT(ADDRESS(2,COLUMN())),OFFSET($BN$2,0,0,ROW()-1,60),ROW()-1,FALSE))</f>
        <v>3.851363879</v>
      </c>
      <c r="Q222">
        <f ca="1">IF(AND(ISNUMBER($Q$891),$B$677=1),$Q$891,HLOOKUP(INDIRECT(ADDRESS(2,COLUMN())),OFFSET($BN$2,0,0,ROW()-1,60),ROW()-1,FALSE))</f>
        <v>3.6635542179999998</v>
      </c>
      <c r="R222">
        <f ca="1">IF(AND(ISNUMBER($R$891),$B$677=1),$R$891,HLOOKUP(INDIRECT(ADDRESS(2,COLUMN())),OFFSET($BN$2,0,0,ROW()-1,60),ROW()-1,FALSE))</f>
        <v>4.992161866</v>
      </c>
      <c r="S222">
        <f ca="1">IF(AND(ISNUMBER($S$891),$B$677=1),$S$891,HLOOKUP(INDIRECT(ADDRESS(2,COLUMN())),OFFSET($BN$2,0,0,ROW()-1,60),ROW()-1,FALSE))</f>
        <v>6.1960960060000003</v>
      </c>
      <c r="T222">
        <f ca="1">IF(AND(ISNUMBER($T$891),$B$677=1),$T$891,HLOOKUP(INDIRECT(ADDRESS(2,COLUMN())),OFFSET($BN$2,0,0,ROW()-1,60),ROW()-1,FALSE))</f>
        <v>6.1694347809999996</v>
      </c>
      <c r="U222">
        <f ca="1">IF(AND(ISNUMBER($U$891),$B$677=1),$U$891,HLOOKUP(INDIRECT(ADDRESS(2,COLUMN())),OFFSET($BN$2,0,0,ROW()-1,60),ROW()-1,FALSE))</f>
        <v>10.017111359999999</v>
      </c>
      <c r="V222">
        <f ca="1">IF(AND(ISNUMBER($V$891),$B$677=1),$V$891,HLOOKUP(INDIRECT(ADDRESS(2,COLUMN())),OFFSET($BN$2,0,0,ROW()-1,60),ROW()-1,FALSE))</f>
        <v>10.97187514</v>
      </c>
      <c r="W222">
        <f ca="1">IF(AND(ISNUMBER($W$891),$B$677=1),$W$891,HLOOKUP(INDIRECT(ADDRESS(2,COLUMN())),OFFSET($BN$2,0,0,ROW()-1,60),ROW()-1,FALSE))</f>
        <v>8.628699632</v>
      </c>
      <c r="X222">
        <f ca="1">IF(AND(ISNUMBER($X$891),$B$677=1),$X$891,HLOOKUP(INDIRECT(ADDRESS(2,COLUMN())),OFFSET($BN$2,0,0,ROW()-1,60),ROW()-1,FALSE))</f>
        <v>10.710254770000001</v>
      </c>
      <c r="Y222">
        <f ca="1">IF(AND(ISNUMBER($Y$891),$B$677=1),$Y$891,HLOOKUP(INDIRECT(ADDRESS(2,COLUMN())),OFFSET($BN$2,0,0,ROW()-1,60),ROW()-1,FALSE))</f>
        <v>12.45172331</v>
      </c>
      <c r="Z222">
        <f ca="1">IF(AND(ISNUMBER($Z$891),$B$677=1),$Z$891,HLOOKUP(INDIRECT(ADDRESS(2,COLUMN())),OFFSET($BN$2,0,0,ROW()-1,60),ROW()-1,FALSE))</f>
        <v>10.663354890000001</v>
      </c>
      <c r="AA222">
        <f ca="1">IF(AND(ISNUMBER($AA$891),$B$677=1),$AA$891,HLOOKUP(INDIRECT(ADDRESS(2,COLUMN())),OFFSET($BN$2,0,0,ROW()-1,60),ROW()-1,FALSE))</f>
        <v>15.55274445</v>
      </c>
      <c r="AB222">
        <f ca="1">IF(AND(ISNUMBER($AB$891),$B$677=1),$AB$891,HLOOKUP(INDIRECT(ADDRESS(2,COLUMN())),OFFSET($BN$2,0,0,ROW()-1,60),ROW()-1,FALSE))</f>
        <v>13.461952780000001</v>
      </c>
      <c r="AC222">
        <f ca="1">IF(AND(ISNUMBER($AC$891),$B$677=1),$AC$891,HLOOKUP(INDIRECT(ADDRESS(2,COLUMN())),OFFSET($BN$2,0,0,ROW()-1,60),ROW()-1,FALSE))</f>
        <v>14.29465877</v>
      </c>
      <c r="AD222">
        <f ca="1">IF(AND(ISNUMBER($AD$891),$B$677=1),$AD$891,HLOOKUP(INDIRECT(ADDRESS(2,COLUMN())),OFFSET($BN$2,0,0,ROW()-1,60),ROW()-1,FALSE))</f>
        <v>17.624020810000001</v>
      </c>
      <c r="AE222">
        <f ca="1">IF(AND(ISNUMBER($AE$891),$B$677=1),$AE$891,HLOOKUP(INDIRECT(ADDRESS(2,COLUMN())),OFFSET($BN$2,0,0,ROW()-1,60),ROW()-1,FALSE))</f>
        <v>13.8681567</v>
      </c>
      <c r="AF222">
        <f ca="1">IF(AND(ISNUMBER($AF$891),$B$677=1),$AF$891,HLOOKUP(INDIRECT(ADDRESS(2,COLUMN())),OFFSET($BN$2,0,0,ROW()-1,60),ROW()-1,FALSE))</f>
        <v>7.8730654449999999</v>
      </c>
      <c r="AG222">
        <f ca="1">IF(AND(ISNUMBER($AG$891),$B$677=1),$AG$891,HLOOKUP(INDIRECT(ADDRESS(2,COLUMN())),OFFSET($BN$2,0,0,ROW()-1,60),ROW()-1,FALSE))</f>
        <v>7.8995332859999996</v>
      </c>
      <c r="AH222">
        <f ca="1">IF(AND(ISNUMBER($AH$891),$B$677=1),$AH$891,HLOOKUP(INDIRECT(ADDRESS(2,COLUMN())),OFFSET($BN$2,0,0,ROW()-1,60),ROW()-1,FALSE))</f>
        <v>8.6797407460000002</v>
      </c>
      <c r="AI222">
        <f ca="1">IF(AND(ISNUMBER($AI$891),$B$677=1),$AI$891,HLOOKUP(INDIRECT(ADDRESS(2,COLUMN())),OFFSET($BN$2,0,0,ROW()-1,60),ROW()-1,FALSE))</f>
        <v>5.448827895</v>
      </c>
      <c r="AJ222">
        <f ca="1">IF(AND(ISNUMBER($AJ$891),$B$677=1),$AJ$891,HLOOKUP(INDIRECT(ADDRESS(2,COLUMN())),OFFSET($BN$2,0,0,ROW()-1,60),ROW()-1,FALSE))</f>
        <v>4.7031007389999999</v>
      </c>
      <c r="AK222">
        <f ca="1">IF(AND(ISNUMBER($AK$891),$B$677=1),$AK$891,HLOOKUP(INDIRECT(ADDRESS(2,COLUMN())),OFFSET($BN$2,0,0,ROW()-1,60),ROW()-1,FALSE))</f>
        <v>5.770369015</v>
      </c>
      <c r="AL222">
        <f ca="1">IF(AND(ISNUMBER($AL$891),$B$677=1),$AL$891,HLOOKUP(INDIRECT(ADDRESS(2,COLUMN())),OFFSET($BN$2,0,0,ROW()-1,60),ROW()-1,FALSE))</f>
        <v>6.5529118039999998</v>
      </c>
      <c r="AM222">
        <f ca="1">IF(AND(ISNUMBER($AM$891),$B$677=1),$AM$891,HLOOKUP(INDIRECT(ADDRESS(2,COLUMN())),OFFSET($BN$2,0,0,ROW()-1,60),ROW()-1,FALSE))</f>
        <v>9.5100872770000002</v>
      </c>
      <c r="AN222">
        <f ca="1">IF(AND(ISNUMBER($AN$891),$B$677=1),$AN$891,HLOOKUP(INDIRECT(ADDRESS(2,COLUMN())),OFFSET($BN$2,0,0,ROW()-1,60),ROW()-1,FALSE))</f>
        <v>3.5284944089999999</v>
      </c>
      <c r="AO222">
        <f ca="1">IF(AND(ISNUMBER($AO$891),$B$677=1),$AO$891,HLOOKUP(INDIRECT(ADDRESS(2,COLUMN())),OFFSET($BN$2,0,0,ROW()-1,60),ROW()-1,FALSE))</f>
        <v>2.5552584899999999</v>
      </c>
      <c r="AP222">
        <f ca="1">IF(AND(ISNUMBER($AP$891),$B$677=1),$AP$891,HLOOKUP(INDIRECT(ADDRESS(2,COLUMN())),OFFSET($BN$2,0,0,ROW()-1,60),ROW()-1,FALSE))</f>
        <v>3.9171505209999999</v>
      </c>
      <c r="AQ222">
        <f ca="1">IF(AND(ISNUMBER($AQ$891),$B$677=1),$AQ$891,HLOOKUP(INDIRECT(ADDRESS(2,COLUMN())),OFFSET($BN$2,0,0,ROW()-1,60),ROW()-1,FALSE))</f>
        <v>4.4428600889999998</v>
      </c>
      <c r="AR222" t="str">
        <f ca="1">IF(AND(ISNUMBER($AR$891),$B$677=1),$AR$891,HLOOKUP(INDIRECT(ADDRESS(2,COLUMN())),OFFSET($BN$2,0,0,ROW()-1,60),ROW()-1,FALSE))</f>
        <v/>
      </c>
      <c r="AS222" t="str">
        <f ca="1">IF(AND(ISNUMBER($AS$891),$B$677=1),$AS$891,HLOOKUP(INDIRECT(ADDRESS(2,COLUMN())),OFFSET($BN$2,0,0,ROW()-1,60),ROW()-1,FALSE))</f>
        <v/>
      </c>
      <c r="AT222" t="str">
        <f ca="1">IF(AND(ISNUMBER($AT$891),$B$677=1),$AT$891,HLOOKUP(INDIRECT(ADDRESS(2,COLUMN())),OFFSET($BN$2,0,0,ROW()-1,60),ROW()-1,FALSE))</f>
        <v/>
      </c>
      <c r="AU222">
        <f ca="1">IF(AND(ISNUMBER($AU$891),$B$677=1),$AU$891,HLOOKUP(INDIRECT(ADDRESS(2,COLUMN())),OFFSET($BN$2,0,0,ROW()-1,60),ROW()-1,FALSE))</f>
        <v>1.0569618789999999</v>
      </c>
      <c r="AV222">
        <f ca="1">IF(AND(ISNUMBER($AV$891),$B$677=1),$AV$891,HLOOKUP(INDIRECT(ADDRESS(2,COLUMN())),OFFSET($BN$2,0,0,ROW()-1,60),ROW()-1,FALSE))</f>
        <v>2.4000881089999999</v>
      </c>
      <c r="AW222">
        <f ca="1">IF(AND(ISNUMBER($AW$891),$B$677=1),$AW$891,HLOOKUP(INDIRECT(ADDRESS(2,COLUMN())),OFFSET($BN$2,0,0,ROW()-1,60),ROW()-1,FALSE))</f>
        <v>1.6317323180000001</v>
      </c>
      <c r="AX222">
        <f ca="1">IF(AND(ISNUMBER($AX$891),$B$677=1),$AX$891,HLOOKUP(INDIRECT(ADDRESS(2,COLUMN())),OFFSET($BN$2,0,0,ROW()-1,60),ROW()-1,FALSE))</f>
        <v>1.1554603139999999</v>
      </c>
      <c r="AY222">
        <f ca="1">IF(AND(ISNUMBER($AY$891),$B$677=1),$AY$891,HLOOKUP(INDIRECT(ADDRESS(2,COLUMN())),OFFSET($BN$2,0,0,ROW()-1,60),ROW()-1,FALSE))</f>
        <v>1.458879295</v>
      </c>
      <c r="AZ222" t="str">
        <f ca="1">IF(AND(ISNUMBER($AZ$891),$B$677=1),$AZ$891,HLOOKUP(INDIRECT(ADDRESS(2,COLUMN())),OFFSET($BN$2,0,0,ROW()-1,60),ROW()-1,FALSE))</f>
        <v/>
      </c>
      <c r="BA222" t="str">
        <f ca="1">IF(AND(ISNUMBER($BA$891),$B$677=1),$BA$891,HLOOKUP(INDIRECT(ADDRESS(2,COLUMN())),OFFSET($BN$2,0,0,ROW()-1,60),ROW()-1,FALSE))</f>
        <v/>
      </c>
      <c r="BB222" t="str">
        <f ca="1">IF(AND(ISNUMBER($BB$891),$B$677=1),$BB$891,HLOOKUP(INDIRECT(ADDRESS(2,COLUMN())),OFFSET($BN$2,0,0,ROW()-1,60),ROW()-1,FALSE))</f>
        <v/>
      </c>
      <c r="BC222">
        <f ca="1">IF(AND(ISNUMBER($BC$891),$B$677=1),$BC$891,HLOOKUP(INDIRECT(ADDRESS(2,COLUMN())),OFFSET($BN$2,0,0,ROW()-1,60),ROW()-1,FALSE))</f>
        <v>2.9223232239999999</v>
      </c>
      <c r="BD222">
        <f ca="1">IF(AND(ISNUMBER($BD$891),$B$677=1),$BD$891,HLOOKUP(INDIRECT(ADDRESS(2,COLUMN())),OFFSET($BN$2,0,0,ROW()-1,60),ROW()-1,FALSE))</f>
        <v>3.1522126510000001</v>
      </c>
      <c r="BE222">
        <f ca="1">IF(AND(ISNUMBER($BE$891),$B$677=1),$BE$891,HLOOKUP(INDIRECT(ADDRESS(2,COLUMN())),OFFSET($BN$2,0,0,ROW()-1,60),ROW()-1,FALSE))</f>
        <v>2.8583058339999998</v>
      </c>
      <c r="BF222">
        <f ca="1">IF(AND(ISNUMBER($BF$891),$B$677=1),$BF$891,HLOOKUP(INDIRECT(ADDRESS(2,COLUMN())),OFFSET($BN$2,0,0,ROW()-1,60),ROW()-1,FALSE))</f>
        <v>9.3858348130000007</v>
      </c>
      <c r="BG222">
        <f ca="1">IF(AND(ISNUMBER($BG$891),$B$677=1),$BG$891,HLOOKUP(INDIRECT(ADDRESS(2,COLUMN())),OFFSET($BN$2,0,0,ROW()-1,60),ROW()-1,FALSE))</f>
        <v>8.8797358769999999</v>
      </c>
      <c r="BH222">
        <f ca="1">IF(AND(ISNUMBER($BH$891),$B$677=1),$BH$891,HLOOKUP(INDIRECT(ADDRESS(2,COLUMN())),OFFSET($BN$2,0,0,ROW()-1,60),ROW()-1,FALSE))</f>
        <v>2.6831490160000002</v>
      </c>
      <c r="BI222">
        <f ca="1">IF(AND(ISNUMBER($BI$891),$B$677=1),$BI$891,HLOOKUP(INDIRECT(ADDRESS(2,COLUMN())),OFFSET($BN$2,0,0,ROW()-1,60),ROW()-1,FALSE))</f>
        <v>1.4947015770000001</v>
      </c>
      <c r="BJ222">
        <f ca="1">IF(AND(ISNUMBER($BJ$891),$B$677=1),$BJ$891,HLOOKUP(INDIRECT(ADDRESS(2,COLUMN())),OFFSET($BN$2,0,0,ROW()-1,60),ROW()-1,FALSE))</f>
        <v>1.1830312030000001</v>
      </c>
      <c r="BK222">
        <f ca="1">IF(AND(ISNUMBER($BK$891),$B$677=1),$BK$891,HLOOKUP(INDIRECT(ADDRESS(2,COLUMN())),OFFSET($BN$2,0,0,ROW()-1,60),ROW()-1,FALSE))</f>
        <v>1.3593955339999999</v>
      </c>
      <c r="BL222">
        <f ca="1">IF(AND(ISNUMBER($BL$891),$B$677=1),$BL$891,HLOOKUP(INDIRECT(ADDRESS(2,COLUMN())),OFFSET($BN$2,0,0,ROW()-1,60),ROW()-1,FALSE))</f>
        <v>2.2233416840000002</v>
      </c>
      <c r="BM222">
        <f ca="1">IF(AND(ISNUMBER($BM$891),$B$677=1),$BM$891,HLOOKUP(INDIRECT(ADDRESS(2,COLUMN())),OFFSET($BN$2,0,0,ROW()-1,60),ROW()-1,FALSE))</f>
        <v>2.5520291450000001</v>
      </c>
      <c r="BN222">
        <f>4.786081776</f>
        <v>4.7860817759999996</v>
      </c>
      <c r="BO222">
        <f>4.20361947</f>
        <v>4.2036194699999996</v>
      </c>
      <c r="BP222">
        <f>4.072704442</f>
        <v>4.072704442</v>
      </c>
      <c r="BQ222">
        <f>4.804158575</f>
        <v>4.8041585749999998</v>
      </c>
      <c r="BR222">
        <f>4.337968795</f>
        <v>4.3379687950000001</v>
      </c>
      <c r="BS222">
        <f>4.494306345</f>
        <v>4.494306345</v>
      </c>
      <c r="BT222">
        <f>4.434031382</f>
        <v>4.4340313819999997</v>
      </c>
      <c r="BU222">
        <f>4.096478451</f>
        <v>4.0964784510000003</v>
      </c>
      <c r="BV222">
        <f>3.599789382</f>
        <v>3.599789382</v>
      </c>
      <c r="BW222">
        <f>3.74783257</f>
        <v>3.7478325699999999</v>
      </c>
      <c r="BX222">
        <f>3.851363879</f>
        <v>3.851363879</v>
      </c>
      <c r="BY222">
        <f>3.663554218</f>
        <v>3.6635542179999998</v>
      </c>
      <c r="BZ222">
        <f>4.992161866</f>
        <v>4.992161866</v>
      </c>
      <c r="CA222">
        <f>6.196096006</f>
        <v>6.1960960060000003</v>
      </c>
      <c r="CB222">
        <f>6.169434781</f>
        <v>6.1694347809999996</v>
      </c>
      <c r="CC222">
        <f>10.01711136</f>
        <v>10.017111359999999</v>
      </c>
      <c r="CD222">
        <f>10.97187514</f>
        <v>10.97187514</v>
      </c>
      <c r="CE222">
        <f>8.628699632</f>
        <v>8.628699632</v>
      </c>
      <c r="CF222">
        <f>10.71025477</f>
        <v>10.710254770000001</v>
      </c>
      <c r="CG222">
        <f>12.45172331</f>
        <v>12.45172331</v>
      </c>
      <c r="CH222">
        <f>10.66335489</f>
        <v>10.663354890000001</v>
      </c>
      <c r="CI222">
        <f>15.55274445</f>
        <v>15.55274445</v>
      </c>
      <c r="CJ222">
        <f>13.46195278</f>
        <v>13.461952780000001</v>
      </c>
      <c r="CK222">
        <f>14.29465877</f>
        <v>14.29465877</v>
      </c>
      <c r="CL222">
        <f>17.62402081</f>
        <v>17.624020810000001</v>
      </c>
      <c r="CM222">
        <f>13.8681567</f>
        <v>13.8681567</v>
      </c>
      <c r="CN222">
        <f>7.873065445</f>
        <v>7.8730654449999999</v>
      </c>
      <c r="CO222">
        <f>7.899533286</f>
        <v>7.8995332859999996</v>
      </c>
      <c r="CP222">
        <f>8.679740746</f>
        <v>8.6797407460000002</v>
      </c>
      <c r="CQ222">
        <f>5.448827895</f>
        <v>5.448827895</v>
      </c>
      <c r="CR222">
        <f>4.703100739</f>
        <v>4.7031007389999999</v>
      </c>
      <c r="CS222">
        <f>5.770369015</f>
        <v>5.770369015</v>
      </c>
      <c r="CT222">
        <f>6.552911804</f>
        <v>6.5529118039999998</v>
      </c>
      <c r="CU222">
        <f>9.510087277</f>
        <v>9.5100872770000002</v>
      </c>
      <c r="CV222">
        <f>3.528494409</f>
        <v>3.5284944089999999</v>
      </c>
      <c r="CW222">
        <f>2.55525849</f>
        <v>2.5552584899999999</v>
      </c>
      <c r="CX222">
        <f>3.917150521</f>
        <v>3.9171505209999999</v>
      </c>
      <c r="CY222">
        <f>4.442860089</f>
        <v>4.4428600889999998</v>
      </c>
      <c r="CZ222" t="str">
        <f>""</f>
        <v/>
      </c>
      <c r="DA222" t="str">
        <f>""</f>
        <v/>
      </c>
      <c r="DB222" t="str">
        <f>""</f>
        <v/>
      </c>
      <c r="DC222">
        <f>1.056961879</f>
        <v>1.0569618789999999</v>
      </c>
      <c r="DD222">
        <f>2.400088109</f>
        <v>2.4000881089999999</v>
      </c>
      <c r="DE222">
        <f>1.631732318</f>
        <v>1.6317323180000001</v>
      </c>
      <c r="DF222">
        <f>1.155460314</f>
        <v>1.1554603139999999</v>
      </c>
      <c r="DG222">
        <f>1.458879295</f>
        <v>1.458879295</v>
      </c>
      <c r="DH222" t="str">
        <f>""</f>
        <v/>
      </c>
      <c r="DI222" t="str">
        <f>""</f>
        <v/>
      </c>
      <c r="DJ222" t="str">
        <f>""</f>
        <v/>
      </c>
      <c r="DK222">
        <f>2.922323224</f>
        <v>2.9223232239999999</v>
      </c>
      <c r="DL222">
        <f>3.152212651</f>
        <v>3.1522126510000001</v>
      </c>
      <c r="DM222">
        <f>2.858305834</f>
        <v>2.8583058339999998</v>
      </c>
      <c r="DN222">
        <f>9.385834813</f>
        <v>9.3858348130000007</v>
      </c>
      <c r="DO222">
        <f>8.879735877</f>
        <v>8.8797358769999999</v>
      </c>
      <c r="DP222">
        <f>2.683149016</f>
        <v>2.6831490160000002</v>
      </c>
      <c r="DQ222">
        <f>1.494701577</f>
        <v>1.4947015770000001</v>
      </c>
      <c r="DR222">
        <f>1.183031203</f>
        <v>1.1830312030000001</v>
      </c>
      <c r="DS222">
        <f>1.359395534</f>
        <v>1.3593955339999999</v>
      </c>
      <c r="DT222">
        <f>2.223341684</f>
        <v>2.2233416840000002</v>
      </c>
      <c r="DU222">
        <f>2.552029145</f>
        <v>2.5520291450000001</v>
      </c>
    </row>
    <row r="223" spans="1:125" x14ac:dyDescent="0.25">
      <c r="A223" t="str">
        <f>"    Ford Otomotiv Sanayi AS"</f>
        <v xml:space="preserve">    Ford Otomotiv Sanayi AS</v>
      </c>
      <c r="B223" t="str">
        <f>"FROTOTRY EO Equity"</f>
        <v>FROTOTRY EO Equity</v>
      </c>
      <c r="C223" t="str">
        <f t="shared" si="15"/>
        <v>RR971</v>
      </c>
      <c r="D223" t="str">
        <f t="shared" si="16"/>
        <v>CURRENT_PX_TO_FREE_CASH_FLOW</v>
      </c>
      <c r="E223" t="str">
        <f t="shared" si="17"/>
        <v>Dynamic</v>
      </c>
      <c r="F223">
        <f ca="1">IF(AND(ISNUMBER($F$892),$B$677=1),$F$892,HLOOKUP(INDIRECT(ADDRESS(2,COLUMN())),OFFSET($BN$2,0,0,ROW()-1,60),ROW()-1,FALSE))</f>
        <v>14.45259291</v>
      </c>
      <c r="G223">
        <f ca="1">IF(AND(ISNUMBER($G$892),$B$677=1),$G$892,HLOOKUP(INDIRECT(ADDRESS(2,COLUMN())),OFFSET($BN$2,0,0,ROW()-1,60),ROW()-1,FALSE))</f>
        <v>13.10298541</v>
      </c>
      <c r="H223">
        <f ca="1">IF(AND(ISNUMBER($H$892),$B$677=1),$H$892,HLOOKUP(INDIRECT(ADDRESS(2,COLUMN())),OFFSET($BN$2,0,0,ROW()-1,60),ROW()-1,FALSE))</f>
        <v>13.553022540000001</v>
      </c>
      <c r="I223">
        <f ca="1">IF(AND(ISNUMBER($I$892),$B$677=1),$I$892,HLOOKUP(INDIRECT(ADDRESS(2,COLUMN())),OFFSET($BN$2,0,0,ROW()-1,60),ROW()-1,FALSE))</f>
        <v>13.981205940000001</v>
      </c>
      <c r="J223">
        <f ca="1">IF(AND(ISNUMBER($J$892),$B$677=1),$J$892,HLOOKUP(INDIRECT(ADDRESS(2,COLUMN())),OFFSET($BN$2,0,0,ROW()-1,60),ROW()-1,FALSE))</f>
        <v>14.27578151</v>
      </c>
      <c r="K223">
        <f ca="1">IF(AND(ISNUMBER($K$892),$B$677=1),$K$892,HLOOKUP(INDIRECT(ADDRESS(2,COLUMN())),OFFSET($BN$2,0,0,ROW()-1,60),ROW()-1,FALSE))</f>
        <v>13.31722993</v>
      </c>
      <c r="L223">
        <f ca="1">IF(AND(ISNUMBER($L$892),$B$677=1),$L$892,HLOOKUP(INDIRECT(ADDRESS(2,COLUMN())),OFFSET($BN$2,0,0,ROW()-1,60),ROW()-1,FALSE))</f>
        <v>9.5186060430000001</v>
      </c>
      <c r="M223">
        <f ca="1">IF(AND(ISNUMBER($M$892),$B$677=1),$M$892,HLOOKUP(INDIRECT(ADDRESS(2,COLUMN())),OFFSET($BN$2,0,0,ROW()-1,60),ROW()-1,FALSE))</f>
        <v>8.1121926450000004</v>
      </c>
      <c r="N223">
        <f ca="1">IF(AND(ISNUMBER($N$892),$B$677=1),$N$892,HLOOKUP(INDIRECT(ADDRESS(2,COLUMN())),OFFSET($BN$2,0,0,ROW()-1,60),ROW()-1,FALSE))</f>
        <v>7.8551095670000004</v>
      </c>
      <c r="O223">
        <f ca="1">IF(AND(ISNUMBER($O$892),$B$677=1),$O$892,HLOOKUP(INDIRECT(ADDRESS(2,COLUMN())),OFFSET($BN$2,0,0,ROW()-1,60),ROW()-1,FALSE))</f>
        <v>9.1738617849999997</v>
      </c>
      <c r="P223">
        <f ca="1">IF(AND(ISNUMBER($P$892),$B$677=1),$P$892,HLOOKUP(INDIRECT(ADDRESS(2,COLUMN())),OFFSET($BN$2,0,0,ROW()-1,60),ROW()-1,FALSE))</f>
        <v>13.73397321</v>
      </c>
      <c r="Q223">
        <f ca="1">IF(AND(ISNUMBER($Q$892),$B$677=1),$Q$892,HLOOKUP(INDIRECT(ADDRESS(2,COLUMN())),OFFSET($BN$2,0,0,ROW()-1,60),ROW()-1,FALSE))</f>
        <v>9.0331203979999994</v>
      </c>
      <c r="R223">
        <f ca="1">IF(AND(ISNUMBER($R$892),$B$677=1),$R$892,HLOOKUP(INDIRECT(ADDRESS(2,COLUMN())),OFFSET($BN$2,0,0,ROW()-1,60),ROW()-1,FALSE))</f>
        <v>16.902254150000001</v>
      </c>
      <c r="S223">
        <f ca="1">IF(AND(ISNUMBER($S$892),$B$677=1),$S$892,HLOOKUP(INDIRECT(ADDRESS(2,COLUMN())),OFFSET($BN$2,0,0,ROW()-1,60),ROW()-1,FALSE))</f>
        <v>11.372740650000001</v>
      </c>
      <c r="T223">
        <f ca="1">IF(AND(ISNUMBER($T$892),$B$677=1),$T$892,HLOOKUP(INDIRECT(ADDRESS(2,COLUMN())),OFFSET($BN$2,0,0,ROW()-1,60),ROW()-1,FALSE))</f>
        <v>16.779907519999998</v>
      </c>
      <c r="U223" t="str">
        <f ca="1">IF(AND(ISNUMBER($U$892),$B$677=1),$U$892,HLOOKUP(INDIRECT(ADDRESS(2,COLUMN())),OFFSET($BN$2,0,0,ROW()-1,60),ROW()-1,FALSE))</f>
        <v/>
      </c>
      <c r="V223">
        <f ca="1">IF(AND(ISNUMBER($V$892),$B$677=1),$V$892,HLOOKUP(INDIRECT(ADDRESS(2,COLUMN())),OFFSET($BN$2,0,0,ROW()-1,60),ROW()-1,FALSE))</f>
        <v>187.57193409999999</v>
      </c>
      <c r="W223">
        <f ca="1">IF(AND(ISNUMBER($W$892),$B$677=1),$W$892,HLOOKUP(INDIRECT(ADDRESS(2,COLUMN())),OFFSET($BN$2,0,0,ROW()-1,60),ROW()-1,FALSE))</f>
        <v>182.52515560000001</v>
      </c>
      <c r="X223" t="str">
        <f ca="1">IF(AND(ISNUMBER($X$892),$B$677=1),$X$892,HLOOKUP(INDIRECT(ADDRESS(2,COLUMN())),OFFSET($BN$2,0,0,ROW()-1,60),ROW()-1,FALSE))</f>
        <v/>
      </c>
      <c r="Y223" t="str">
        <f ca="1">IF(AND(ISNUMBER($Y$892),$B$677=1),$Y$892,HLOOKUP(INDIRECT(ADDRESS(2,COLUMN())),OFFSET($BN$2,0,0,ROW()-1,60),ROW()-1,FALSE))</f>
        <v/>
      </c>
      <c r="Z223" t="str">
        <f ca="1">IF(AND(ISNUMBER($Z$892),$B$677=1),$Z$892,HLOOKUP(INDIRECT(ADDRESS(2,COLUMN())),OFFSET($BN$2,0,0,ROW()-1,60),ROW()-1,FALSE))</f>
        <v/>
      </c>
      <c r="AA223">
        <f ca="1">IF(AND(ISNUMBER($AA$892),$B$677=1),$AA$892,HLOOKUP(INDIRECT(ADDRESS(2,COLUMN())),OFFSET($BN$2,0,0,ROW()-1,60),ROW()-1,FALSE))</f>
        <v>19.041327500000001</v>
      </c>
      <c r="AB223">
        <f ca="1">IF(AND(ISNUMBER($AB$892),$B$677=1),$AB$892,HLOOKUP(INDIRECT(ADDRESS(2,COLUMN())),OFFSET($BN$2,0,0,ROW()-1,60),ROW()-1,FALSE))</f>
        <v>22.148489720000001</v>
      </c>
      <c r="AC223">
        <f ca="1">IF(AND(ISNUMBER($AC$892),$B$677=1),$AC$892,HLOOKUP(INDIRECT(ADDRESS(2,COLUMN())),OFFSET($BN$2,0,0,ROW()-1,60),ROW()-1,FALSE))</f>
        <v>56.8325666</v>
      </c>
      <c r="AD223">
        <f ca="1">IF(AND(ISNUMBER($AD$892),$B$677=1),$AD$892,HLOOKUP(INDIRECT(ADDRESS(2,COLUMN())),OFFSET($BN$2,0,0,ROW()-1,60),ROW()-1,FALSE))</f>
        <v>53.588645759999999</v>
      </c>
      <c r="AE223" t="str">
        <f ca="1">IF(AND(ISNUMBER($AE$892),$B$677=1),$AE$892,HLOOKUP(INDIRECT(ADDRESS(2,COLUMN())),OFFSET($BN$2,0,0,ROW()-1,60),ROW()-1,FALSE))</f>
        <v/>
      </c>
      <c r="AF223">
        <f ca="1">IF(AND(ISNUMBER($AF$892),$B$677=1),$AF$892,HLOOKUP(INDIRECT(ADDRESS(2,COLUMN())),OFFSET($BN$2,0,0,ROW()-1,60),ROW()-1,FALSE))</f>
        <v>25.202400839999999</v>
      </c>
      <c r="AG223">
        <f ca="1">IF(AND(ISNUMBER($AG$892),$B$677=1),$AG$892,HLOOKUP(INDIRECT(ADDRESS(2,COLUMN())),OFFSET($BN$2,0,0,ROW()-1,60),ROW()-1,FALSE))</f>
        <v>23.09046781</v>
      </c>
      <c r="AH223">
        <f ca="1">IF(AND(ISNUMBER($AH$892),$B$677=1),$AH$892,HLOOKUP(INDIRECT(ADDRESS(2,COLUMN())),OFFSET($BN$2,0,0,ROW()-1,60),ROW()-1,FALSE))</f>
        <v>19.866637069999999</v>
      </c>
      <c r="AI223">
        <f ca="1">IF(AND(ISNUMBER($AI$892),$B$677=1),$AI$892,HLOOKUP(INDIRECT(ADDRESS(2,COLUMN())),OFFSET($BN$2,0,0,ROW()-1,60),ROW()-1,FALSE))</f>
        <v>9.4328288740000001</v>
      </c>
      <c r="AJ223">
        <f ca="1">IF(AND(ISNUMBER($AJ$892),$B$677=1),$AJ$892,HLOOKUP(INDIRECT(ADDRESS(2,COLUMN())),OFFSET($BN$2,0,0,ROW()-1,60),ROW()-1,FALSE))</f>
        <v>8.6207900350000006</v>
      </c>
      <c r="AK223">
        <f ca="1">IF(AND(ISNUMBER($AK$892),$B$677=1),$AK$892,HLOOKUP(INDIRECT(ADDRESS(2,COLUMN())),OFFSET($BN$2,0,0,ROW()-1,60),ROW()-1,FALSE))</f>
        <v>7.6077872859999998</v>
      </c>
      <c r="AL223">
        <f ca="1">IF(AND(ISNUMBER($AL$892),$B$677=1),$AL$892,HLOOKUP(INDIRECT(ADDRESS(2,COLUMN())),OFFSET($BN$2,0,0,ROW()-1,60),ROW()-1,FALSE))</f>
        <v>7.7916960079999997</v>
      </c>
      <c r="AM223">
        <f ca="1">IF(AND(ISNUMBER($AM$892),$B$677=1),$AM$892,HLOOKUP(INDIRECT(ADDRESS(2,COLUMN())),OFFSET($BN$2,0,0,ROW()-1,60),ROW()-1,FALSE))</f>
        <v>11.45731236</v>
      </c>
      <c r="AN223">
        <f ca="1">IF(AND(ISNUMBER($AN$892),$B$677=1),$AN$892,HLOOKUP(INDIRECT(ADDRESS(2,COLUMN())),OFFSET($BN$2,0,0,ROW()-1,60),ROW()-1,FALSE))</f>
        <v>7.5038370739999998</v>
      </c>
      <c r="AO223">
        <f ca="1">IF(AND(ISNUMBER($AO$892),$B$677=1),$AO$892,HLOOKUP(INDIRECT(ADDRESS(2,COLUMN())),OFFSET($BN$2,0,0,ROW()-1,60),ROW()-1,FALSE))</f>
        <v>9.5290099359999996</v>
      </c>
      <c r="AP223">
        <f ca="1">IF(AND(ISNUMBER($AP$892),$B$677=1),$AP$892,HLOOKUP(INDIRECT(ADDRESS(2,COLUMN())),OFFSET($BN$2,0,0,ROW()-1,60),ROW()-1,FALSE))</f>
        <v>7.8408465999999999</v>
      </c>
      <c r="AQ223">
        <f ca="1">IF(AND(ISNUMBER($AQ$892),$B$677=1),$AQ$892,HLOOKUP(INDIRECT(ADDRESS(2,COLUMN())),OFFSET($BN$2,0,0,ROW()-1,60),ROW()-1,FALSE))</f>
        <v>6.4792175099999998</v>
      </c>
      <c r="AR223">
        <f ca="1">IF(AND(ISNUMBER($AR$892),$B$677=1),$AR$892,HLOOKUP(INDIRECT(ADDRESS(2,COLUMN())),OFFSET($BN$2,0,0,ROW()-1,60),ROW()-1,FALSE))</f>
        <v>11.755534770000001</v>
      </c>
      <c r="AS223">
        <f ca="1">IF(AND(ISNUMBER($AS$892),$B$677=1),$AS$892,HLOOKUP(INDIRECT(ADDRESS(2,COLUMN())),OFFSET($BN$2,0,0,ROW()-1,60),ROW()-1,FALSE))</f>
        <v>2.9555815179999998</v>
      </c>
      <c r="AT223">
        <f ca="1">IF(AND(ISNUMBER($AT$892),$B$677=1),$AT$892,HLOOKUP(INDIRECT(ADDRESS(2,COLUMN())),OFFSET($BN$2,0,0,ROW()-1,60),ROW()-1,FALSE))</f>
        <v>2.438782094</v>
      </c>
      <c r="AU223">
        <f ca="1">IF(AND(ISNUMBER($AU$892),$B$677=1),$AU$892,HLOOKUP(INDIRECT(ADDRESS(2,COLUMN())),OFFSET($BN$2,0,0,ROW()-1,60),ROW()-1,FALSE))</f>
        <v>3.376490301</v>
      </c>
      <c r="AV223">
        <f ca="1">IF(AND(ISNUMBER($AV$892),$B$677=1),$AV$892,HLOOKUP(INDIRECT(ADDRESS(2,COLUMN())),OFFSET($BN$2,0,0,ROW()-1,60),ROW()-1,FALSE))</f>
        <v>3.1901586389999999</v>
      </c>
      <c r="AW223">
        <f ca="1">IF(AND(ISNUMBER($AW$892),$B$677=1),$AW$892,HLOOKUP(INDIRECT(ADDRESS(2,COLUMN())),OFFSET($BN$2,0,0,ROW()-1,60),ROW()-1,FALSE))</f>
        <v>5.5239441530000004</v>
      </c>
      <c r="AX223">
        <f ca="1">IF(AND(ISNUMBER($AX$892),$B$677=1),$AX$892,HLOOKUP(INDIRECT(ADDRESS(2,COLUMN())),OFFSET($BN$2,0,0,ROW()-1,60),ROW()-1,FALSE))</f>
        <v>5.0255589409999999</v>
      </c>
      <c r="AY223">
        <f ca="1">IF(AND(ISNUMBER($AY$892),$B$677=1),$AY$892,HLOOKUP(INDIRECT(ADDRESS(2,COLUMN())),OFFSET($BN$2,0,0,ROW()-1,60),ROW()-1,FALSE))</f>
        <v>7.3419050180000003</v>
      </c>
      <c r="AZ223">
        <f ca="1">IF(AND(ISNUMBER($AZ$892),$B$677=1),$AZ$892,HLOOKUP(INDIRECT(ADDRESS(2,COLUMN())),OFFSET($BN$2,0,0,ROW()-1,60),ROW()-1,FALSE))</f>
        <v>10.423046790000001</v>
      </c>
      <c r="BA223">
        <f ca="1">IF(AND(ISNUMBER($BA$892),$B$677=1),$BA$892,HLOOKUP(INDIRECT(ADDRESS(2,COLUMN())),OFFSET($BN$2,0,0,ROW()-1,60),ROW()-1,FALSE))</f>
        <v>15.07199381</v>
      </c>
      <c r="BB223">
        <f ca="1">IF(AND(ISNUMBER($BB$892),$B$677=1),$BB$892,HLOOKUP(INDIRECT(ADDRESS(2,COLUMN())),OFFSET($BN$2,0,0,ROW()-1,60),ROW()-1,FALSE))</f>
        <v>23.648482779999998</v>
      </c>
      <c r="BC223">
        <f ca="1">IF(AND(ISNUMBER($BC$892),$B$677=1),$BC$892,HLOOKUP(INDIRECT(ADDRESS(2,COLUMN())),OFFSET($BN$2,0,0,ROW()-1,60),ROW()-1,FALSE))</f>
        <v>11.60906424</v>
      </c>
      <c r="BD223">
        <f ca="1">IF(AND(ISNUMBER($BD$892),$B$677=1),$BD$892,HLOOKUP(INDIRECT(ADDRESS(2,COLUMN())),OFFSET($BN$2,0,0,ROW()-1,60),ROW()-1,FALSE))</f>
        <v>12.563206750000001</v>
      </c>
      <c r="BE223">
        <f ca="1">IF(AND(ISNUMBER($BE$892),$B$677=1),$BE$892,HLOOKUP(INDIRECT(ADDRESS(2,COLUMN())),OFFSET($BN$2,0,0,ROW()-1,60),ROW()-1,FALSE))</f>
        <v>9.5209281580000003</v>
      </c>
      <c r="BF223">
        <f ca="1">IF(AND(ISNUMBER($BF$892),$B$677=1),$BF$892,HLOOKUP(INDIRECT(ADDRESS(2,COLUMN())),OFFSET($BN$2,0,0,ROW()-1,60),ROW()-1,FALSE))</f>
        <v>7.0262007909999999</v>
      </c>
      <c r="BG223">
        <f ca="1">IF(AND(ISNUMBER($BG$892),$B$677=1),$BG$892,HLOOKUP(INDIRECT(ADDRESS(2,COLUMN())),OFFSET($BN$2,0,0,ROW()-1,60),ROW()-1,FALSE))</f>
        <v>9.3340592319999995</v>
      </c>
      <c r="BH223" t="str">
        <f ca="1">IF(AND(ISNUMBER($BH$892),$B$677=1),$BH$892,HLOOKUP(INDIRECT(ADDRESS(2,COLUMN())),OFFSET($BN$2,0,0,ROW()-1,60),ROW()-1,FALSE))</f>
        <v/>
      </c>
      <c r="BI223" t="str">
        <f ca="1">IF(AND(ISNUMBER($BI$892),$B$677=1),$BI$892,HLOOKUP(INDIRECT(ADDRESS(2,COLUMN())),OFFSET($BN$2,0,0,ROW()-1,60),ROW()-1,FALSE))</f>
        <v/>
      </c>
      <c r="BJ223" t="str">
        <f ca="1">IF(AND(ISNUMBER($BJ$892),$B$677=1),$BJ$892,HLOOKUP(INDIRECT(ADDRESS(2,COLUMN())),OFFSET($BN$2,0,0,ROW()-1,60),ROW()-1,FALSE))</f>
        <v/>
      </c>
      <c r="BK223" t="str">
        <f ca="1">IF(AND(ISNUMBER($BK$892),$B$677=1),$BK$892,HLOOKUP(INDIRECT(ADDRESS(2,COLUMN())),OFFSET($BN$2,0,0,ROW()-1,60),ROW()-1,FALSE))</f>
        <v/>
      </c>
      <c r="BL223" t="str">
        <f ca="1">IF(AND(ISNUMBER($BL$892),$B$677=1),$BL$892,HLOOKUP(INDIRECT(ADDRESS(2,COLUMN())),OFFSET($BN$2,0,0,ROW()-1,60),ROW()-1,FALSE))</f>
        <v/>
      </c>
      <c r="BM223" t="str">
        <f ca="1">IF(AND(ISNUMBER($BM$892),$B$677=1),$BM$892,HLOOKUP(INDIRECT(ADDRESS(2,COLUMN())),OFFSET($BN$2,0,0,ROW()-1,60),ROW()-1,FALSE))</f>
        <v/>
      </c>
      <c r="BN223">
        <f>14.45259291</f>
        <v>14.45259291</v>
      </c>
      <c r="BO223">
        <f>13.10298541</f>
        <v>13.10298541</v>
      </c>
      <c r="BP223">
        <f>13.55302254</f>
        <v>13.553022540000001</v>
      </c>
      <c r="BQ223">
        <f>13.98120594</f>
        <v>13.981205940000001</v>
      </c>
      <c r="BR223">
        <f>14.27578151</f>
        <v>14.27578151</v>
      </c>
      <c r="BS223">
        <f>13.31722993</f>
        <v>13.31722993</v>
      </c>
      <c r="BT223">
        <f>9.518606043</f>
        <v>9.5186060430000001</v>
      </c>
      <c r="BU223">
        <f>8.112192645</f>
        <v>8.1121926450000004</v>
      </c>
      <c r="BV223">
        <f>7.855109567</f>
        <v>7.8551095670000004</v>
      </c>
      <c r="BW223">
        <f>9.173861785</f>
        <v>9.1738617849999997</v>
      </c>
      <c r="BX223">
        <f>13.73397321</f>
        <v>13.73397321</v>
      </c>
      <c r="BY223">
        <f>9.033120398</f>
        <v>9.0331203979999994</v>
      </c>
      <c r="BZ223">
        <f>16.90225415</f>
        <v>16.902254150000001</v>
      </c>
      <c r="CA223">
        <f>11.37274065</f>
        <v>11.372740650000001</v>
      </c>
      <c r="CB223">
        <f>16.77990752</f>
        <v>16.779907519999998</v>
      </c>
      <c r="CC223" t="str">
        <f>""</f>
        <v/>
      </c>
      <c r="CD223">
        <f>187.5719341</f>
        <v>187.57193409999999</v>
      </c>
      <c r="CE223">
        <f>182.5251556</f>
        <v>182.52515560000001</v>
      </c>
      <c r="CF223" t="str">
        <f>""</f>
        <v/>
      </c>
      <c r="CG223" t="str">
        <f>""</f>
        <v/>
      </c>
      <c r="CH223" t="str">
        <f>""</f>
        <v/>
      </c>
      <c r="CI223">
        <f>19.0413275</f>
        <v>19.041327500000001</v>
      </c>
      <c r="CJ223">
        <f>22.14848972</f>
        <v>22.148489720000001</v>
      </c>
      <c r="CK223">
        <f>56.8325666</f>
        <v>56.8325666</v>
      </c>
      <c r="CL223">
        <f>53.58864576</f>
        <v>53.588645759999999</v>
      </c>
      <c r="CM223" t="str">
        <f>""</f>
        <v/>
      </c>
      <c r="CN223">
        <f>25.20240084</f>
        <v>25.202400839999999</v>
      </c>
      <c r="CO223">
        <f>23.09046781</f>
        <v>23.09046781</v>
      </c>
      <c r="CP223">
        <f>19.86663707</f>
        <v>19.866637069999999</v>
      </c>
      <c r="CQ223">
        <f>9.432828874</f>
        <v>9.4328288740000001</v>
      </c>
      <c r="CR223">
        <f>8.620790035</f>
        <v>8.6207900350000006</v>
      </c>
      <c r="CS223">
        <f>7.607787286</f>
        <v>7.6077872859999998</v>
      </c>
      <c r="CT223">
        <f>7.791696008</f>
        <v>7.7916960079999997</v>
      </c>
      <c r="CU223">
        <f>11.45731236</f>
        <v>11.45731236</v>
      </c>
      <c r="CV223">
        <f>7.503837074</f>
        <v>7.5038370739999998</v>
      </c>
      <c r="CW223">
        <f>9.529009936</f>
        <v>9.5290099359999996</v>
      </c>
      <c r="CX223">
        <f>7.8408466</f>
        <v>7.8408465999999999</v>
      </c>
      <c r="CY223">
        <f>6.47921751</f>
        <v>6.4792175099999998</v>
      </c>
      <c r="CZ223">
        <f>11.75553477</f>
        <v>11.755534770000001</v>
      </c>
      <c r="DA223">
        <f>2.955581518</f>
        <v>2.9555815179999998</v>
      </c>
      <c r="DB223">
        <f>2.438782094</f>
        <v>2.438782094</v>
      </c>
      <c r="DC223">
        <f>3.376490301</f>
        <v>3.376490301</v>
      </c>
      <c r="DD223">
        <f>3.190158639</f>
        <v>3.1901586389999999</v>
      </c>
      <c r="DE223">
        <f>5.523944153</f>
        <v>5.5239441530000004</v>
      </c>
      <c r="DF223">
        <f>5.025558941</f>
        <v>5.0255589409999999</v>
      </c>
      <c r="DG223">
        <f>7.341905018</f>
        <v>7.3419050180000003</v>
      </c>
      <c r="DH223">
        <f>10.42304679</f>
        <v>10.423046790000001</v>
      </c>
      <c r="DI223">
        <f>15.07199381</f>
        <v>15.07199381</v>
      </c>
      <c r="DJ223">
        <f>23.64848278</f>
        <v>23.648482779999998</v>
      </c>
      <c r="DK223">
        <f>11.60906424</f>
        <v>11.60906424</v>
      </c>
      <c r="DL223">
        <f>12.56320675</f>
        <v>12.563206750000001</v>
      </c>
      <c r="DM223">
        <f>9.520928158</f>
        <v>9.5209281580000003</v>
      </c>
      <c r="DN223">
        <f>7.026200791</f>
        <v>7.0262007909999999</v>
      </c>
      <c r="DO223">
        <f>9.334059232</f>
        <v>9.3340592319999995</v>
      </c>
      <c r="DP223" t="str">
        <f>""</f>
        <v/>
      </c>
      <c r="DQ223" t="str">
        <f>""</f>
        <v/>
      </c>
      <c r="DR223" t="str">
        <f>""</f>
        <v/>
      </c>
      <c r="DS223" t="str">
        <f>""</f>
        <v/>
      </c>
      <c r="DT223" t="str">
        <f>""</f>
        <v/>
      </c>
      <c r="DU223" t="str">
        <f>""</f>
        <v/>
      </c>
    </row>
    <row r="224" spans="1:125" x14ac:dyDescent="0.25">
      <c r="A224" t="str">
        <f>"    GAZ PJSC"</f>
        <v xml:space="preserve">    GAZ PJSC</v>
      </c>
      <c r="B224" t="str">
        <f>"GAZA RM Equity"</f>
        <v>GAZA RM Equity</v>
      </c>
      <c r="C224" t="str">
        <f t="shared" si="15"/>
        <v>RR971</v>
      </c>
      <c r="D224" t="str">
        <f t="shared" si="16"/>
        <v>CURRENT_PX_TO_FREE_CASH_FLOW</v>
      </c>
      <c r="E224" t="str">
        <f t="shared" si="17"/>
        <v>Dynamic</v>
      </c>
      <c r="F224" t="str">
        <f ca="1">IF(AND(ISNUMBER($F$893),$B$677=1),$F$893,HLOOKUP(INDIRECT(ADDRESS(2,COLUMN())),OFFSET($BN$2,0,0,ROW()-1,60),ROW()-1,FALSE))</f>
        <v/>
      </c>
      <c r="G224" t="str">
        <f ca="1">IF(AND(ISNUMBER($G$893),$B$677=1),$G$893,HLOOKUP(INDIRECT(ADDRESS(2,COLUMN())),OFFSET($BN$2,0,0,ROW()-1,60),ROW()-1,FALSE))</f>
        <v/>
      </c>
      <c r="H224" t="str">
        <f ca="1">IF(AND(ISNUMBER($H$893),$B$677=1),$H$893,HLOOKUP(INDIRECT(ADDRESS(2,COLUMN())),OFFSET($BN$2,0,0,ROW()-1,60),ROW()-1,FALSE))</f>
        <v/>
      </c>
      <c r="I224" t="str">
        <f ca="1">IF(AND(ISNUMBER($I$893),$B$677=1),$I$893,HLOOKUP(INDIRECT(ADDRESS(2,COLUMN())),OFFSET($BN$2,0,0,ROW()-1,60),ROW()-1,FALSE))</f>
        <v/>
      </c>
      <c r="J224" t="str">
        <f ca="1">IF(AND(ISNUMBER($J$893),$B$677=1),$J$893,HLOOKUP(INDIRECT(ADDRESS(2,COLUMN())),OFFSET($BN$2,0,0,ROW()-1,60),ROW()-1,FALSE))</f>
        <v/>
      </c>
      <c r="K224" t="str">
        <f ca="1">IF(AND(ISNUMBER($K$893),$B$677=1),$K$893,HLOOKUP(INDIRECT(ADDRESS(2,COLUMN())),OFFSET($BN$2,0,0,ROW()-1,60),ROW()-1,FALSE))</f>
        <v/>
      </c>
      <c r="L224" t="str">
        <f ca="1">IF(AND(ISNUMBER($L$893),$B$677=1),$L$893,HLOOKUP(INDIRECT(ADDRESS(2,COLUMN())),OFFSET($BN$2,0,0,ROW()-1,60),ROW()-1,FALSE))</f>
        <v/>
      </c>
      <c r="M224" t="str">
        <f ca="1">IF(AND(ISNUMBER($M$893),$B$677=1),$M$893,HLOOKUP(INDIRECT(ADDRESS(2,COLUMN())),OFFSET($BN$2,0,0,ROW()-1,60),ROW()-1,FALSE))</f>
        <v/>
      </c>
      <c r="N224" t="str">
        <f ca="1">IF(AND(ISNUMBER($N$893),$B$677=1),$N$893,HLOOKUP(INDIRECT(ADDRESS(2,COLUMN())),OFFSET($BN$2,0,0,ROW()-1,60),ROW()-1,FALSE))</f>
        <v/>
      </c>
      <c r="O224" t="str">
        <f ca="1">IF(AND(ISNUMBER($O$893),$B$677=1),$O$893,HLOOKUP(INDIRECT(ADDRESS(2,COLUMN())),OFFSET($BN$2,0,0,ROW()-1,60),ROW()-1,FALSE))</f>
        <v/>
      </c>
      <c r="P224" t="str">
        <f ca="1">IF(AND(ISNUMBER($P$893),$B$677=1),$P$893,HLOOKUP(INDIRECT(ADDRESS(2,COLUMN())),OFFSET($BN$2,0,0,ROW()-1,60),ROW()-1,FALSE))</f>
        <v/>
      </c>
      <c r="Q224" t="str">
        <f ca="1">IF(AND(ISNUMBER($Q$893),$B$677=1),$Q$893,HLOOKUP(INDIRECT(ADDRESS(2,COLUMN())),OFFSET($BN$2,0,0,ROW()-1,60),ROW()-1,FALSE))</f>
        <v/>
      </c>
      <c r="R224" t="str">
        <f ca="1">IF(AND(ISNUMBER($R$893),$B$677=1),$R$893,HLOOKUP(INDIRECT(ADDRESS(2,COLUMN())),OFFSET($BN$2,0,0,ROW()-1,60),ROW()-1,FALSE))</f>
        <v/>
      </c>
      <c r="S224" t="str">
        <f ca="1">IF(AND(ISNUMBER($S$893),$B$677=1),$S$893,HLOOKUP(INDIRECT(ADDRESS(2,COLUMN())),OFFSET($BN$2,0,0,ROW()-1,60),ROW()-1,FALSE))</f>
        <v/>
      </c>
      <c r="T224" t="str">
        <f ca="1">IF(AND(ISNUMBER($T$893),$B$677=1),$T$893,HLOOKUP(INDIRECT(ADDRESS(2,COLUMN())),OFFSET($BN$2,0,0,ROW()-1,60),ROW()-1,FALSE))</f>
        <v/>
      </c>
      <c r="U224" t="str">
        <f ca="1">IF(AND(ISNUMBER($U$893),$B$677=1),$U$893,HLOOKUP(INDIRECT(ADDRESS(2,COLUMN())),OFFSET($BN$2,0,0,ROW()-1,60),ROW()-1,FALSE))</f>
        <v/>
      </c>
      <c r="V224" t="str">
        <f ca="1">IF(AND(ISNUMBER($V$893),$B$677=1),$V$893,HLOOKUP(INDIRECT(ADDRESS(2,COLUMN())),OFFSET($BN$2,0,0,ROW()-1,60),ROW()-1,FALSE))</f>
        <v/>
      </c>
      <c r="W224" t="str">
        <f ca="1">IF(AND(ISNUMBER($W$893),$B$677=1),$W$893,HLOOKUP(INDIRECT(ADDRESS(2,COLUMN())),OFFSET($BN$2,0,0,ROW()-1,60),ROW()-1,FALSE))</f>
        <v/>
      </c>
      <c r="X224" t="str">
        <f ca="1">IF(AND(ISNUMBER($X$893),$B$677=1),$X$893,HLOOKUP(INDIRECT(ADDRESS(2,COLUMN())),OFFSET($BN$2,0,0,ROW()-1,60),ROW()-1,FALSE))</f>
        <v/>
      </c>
      <c r="Y224" t="str">
        <f ca="1">IF(AND(ISNUMBER($Y$893),$B$677=1),$Y$893,HLOOKUP(INDIRECT(ADDRESS(2,COLUMN())),OFFSET($BN$2,0,0,ROW()-1,60),ROW()-1,FALSE))</f>
        <v/>
      </c>
      <c r="Z224" t="str">
        <f ca="1">IF(AND(ISNUMBER($Z$893),$B$677=1),$Z$893,HLOOKUP(INDIRECT(ADDRESS(2,COLUMN())),OFFSET($BN$2,0,0,ROW()-1,60),ROW()-1,FALSE))</f>
        <v/>
      </c>
      <c r="AA224" t="str">
        <f ca="1">IF(AND(ISNUMBER($AA$893),$B$677=1),$AA$893,HLOOKUP(INDIRECT(ADDRESS(2,COLUMN())),OFFSET($BN$2,0,0,ROW()-1,60),ROW()-1,FALSE))</f>
        <v/>
      </c>
      <c r="AB224" t="str">
        <f ca="1">IF(AND(ISNUMBER($AB$893),$B$677=1),$AB$893,HLOOKUP(INDIRECT(ADDRESS(2,COLUMN())),OFFSET($BN$2,0,0,ROW()-1,60),ROW()-1,FALSE))</f>
        <v/>
      </c>
      <c r="AC224" t="str">
        <f ca="1">IF(AND(ISNUMBER($AC$893),$B$677=1),$AC$893,HLOOKUP(INDIRECT(ADDRESS(2,COLUMN())),OFFSET($BN$2,0,0,ROW()-1,60),ROW()-1,FALSE))</f>
        <v/>
      </c>
      <c r="AD224" t="str">
        <f ca="1">IF(AND(ISNUMBER($AD$893),$B$677=1),$AD$893,HLOOKUP(INDIRECT(ADDRESS(2,COLUMN())),OFFSET($BN$2,0,0,ROW()-1,60),ROW()-1,FALSE))</f>
        <v/>
      </c>
      <c r="AE224" t="str">
        <f ca="1">IF(AND(ISNUMBER($AE$893),$B$677=1),$AE$893,HLOOKUP(INDIRECT(ADDRESS(2,COLUMN())),OFFSET($BN$2,0,0,ROW()-1,60),ROW()-1,FALSE))</f>
        <v/>
      </c>
      <c r="AF224" t="str">
        <f ca="1">IF(AND(ISNUMBER($AF$893),$B$677=1),$AF$893,HLOOKUP(INDIRECT(ADDRESS(2,COLUMN())),OFFSET($BN$2,0,0,ROW()-1,60),ROW()-1,FALSE))</f>
        <v/>
      </c>
      <c r="AG224" t="str">
        <f ca="1">IF(AND(ISNUMBER($AG$893),$B$677=1),$AG$893,HLOOKUP(INDIRECT(ADDRESS(2,COLUMN())),OFFSET($BN$2,0,0,ROW()-1,60),ROW()-1,FALSE))</f>
        <v/>
      </c>
      <c r="AH224" t="str">
        <f ca="1">IF(AND(ISNUMBER($AH$893),$B$677=1),$AH$893,HLOOKUP(INDIRECT(ADDRESS(2,COLUMN())),OFFSET($BN$2,0,0,ROW()-1,60),ROW()-1,FALSE))</f>
        <v/>
      </c>
      <c r="AI224" t="str">
        <f ca="1">IF(AND(ISNUMBER($AI$893),$B$677=1),$AI$893,HLOOKUP(INDIRECT(ADDRESS(2,COLUMN())),OFFSET($BN$2,0,0,ROW()-1,60),ROW()-1,FALSE))</f>
        <v/>
      </c>
      <c r="AJ224" t="str">
        <f ca="1">IF(AND(ISNUMBER($AJ$893),$B$677=1),$AJ$893,HLOOKUP(INDIRECT(ADDRESS(2,COLUMN())),OFFSET($BN$2,0,0,ROW()-1,60),ROW()-1,FALSE))</f>
        <v/>
      </c>
      <c r="AK224" t="str">
        <f ca="1">IF(AND(ISNUMBER($AK$893),$B$677=1),$AK$893,HLOOKUP(INDIRECT(ADDRESS(2,COLUMN())),OFFSET($BN$2,0,0,ROW()-1,60),ROW()-1,FALSE))</f>
        <v/>
      </c>
      <c r="AL224" t="str">
        <f ca="1">IF(AND(ISNUMBER($AL$893),$B$677=1),$AL$893,HLOOKUP(INDIRECT(ADDRESS(2,COLUMN())),OFFSET($BN$2,0,0,ROW()-1,60),ROW()-1,FALSE))</f>
        <v/>
      </c>
      <c r="AM224" t="str">
        <f ca="1">IF(AND(ISNUMBER($AM$893),$B$677=1),$AM$893,HLOOKUP(INDIRECT(ADDRESS(2,COLUMN())),OFFSET($BN$2,0,0,ROW()-1,60),ROW()-1,FALSE))</f>
        <v/>
      </c>
      <c r="AN224" t="str">
        <f ca="1">IF(AND(ISNUMBER($AN$893),$B$677=1),$AN$893,HLOOKUP(INDIRECT(ADDRESS(2,COLUMN())),OFFSET($BN$2,0,0,ROW()-1,60),ROW()-1,FALSE))</f>
        <v/>
      </c>
      <c r="AO224" t="str">
        <f ca="1">IF(AND(ISNUMBER($AO$893),$B$677=1),$AO$893,HLOOKUP(INDIRECT(ADDRESS(2,COLUMN())),OFFSET($BN$2,0,0,ROW()-1,60),ROW()-1,FALSE))</f>
        <v/>
      </c>
      <c r="AP224" t="str">
        <f ca="1">IF(AND(ISNUMBER($AP$893),$B$677=1),$AP$893,HLOOKUP(INDIRECT(ADDRESS(2,COLUMN())),OFFSET($BN$2,0,0,ROW()-1,60),ROW()-1,FALSE))</f>
        <v/>
      </c>
      <c r="AQ224" t="str">
        <f ca="1">IF(AND(ISNUMBER($AQ$893),$B$677=1),$AQ$893,HLOOKUP(INDIRECT(ADDRESS(2,COLUMN())),OFFSET($BN$2,0,0,ROW()-1,60),ROW()-1,FALSE))</f>
        <v/>
      </c>
      <c r="AR224" t="str">
        <f ca="1">IF(AND(ISNUMBER($AR$893),$B$677=1),$AR$893,HLOOKUP(INDIRECT(ADDRESS(2,COLUMN())),OFFSET($BN$2,0,0,ROW()-1,60),ROW()-1,FALSE))</f>
        <v/>
      </c>
      <c r="AS224" t="str">
        <f ca="1">IF(AND(ISNUMBER($AS$893),$B$677=1),$AS$893,HLOOKUP(INDIRECT(ADDRESS(2,COLUMN())),OFFSET($BN$2,0,0,ROW()-1,60),ROW()-1,FALSE))</f>
        <v/>
      </c>
      <c r="AT224" t="str">
        <f ca="1">IF(AND(ISNUMBER($AT$893),$B$677=1),$AT$893,HLOOKUP(INDIRECT(ADDRESS(2,COLUMN())),OFFSET($BN$2,0,0,ROW()-1,60),ROW()-1,FALSE))</f>
        <v/>
      </c>
      <c r="AU224" t="str">
        <f ca="1">IF(AND(ISNUMBER($AU$893),$B$677=1),$AU$893,HLOOKUP(INDIRECT(ADDRESS(2,COLUMN())),OFFSET($BN$2,0,0,ROW()-1,60),ROW()-1,FALSE))</f>
        <v/>
      </c>
      <c r="AV224" t="str">
        <f ca="1">IF(AND(ISNUMBER($AV$893),$B$677=1),$AV$893,HLOOKUP(INDIRECT(ADDRESS(2,COLUMN())),OFFSET($BN$2,0,0,ROW()-1,60),ROW()-1,FALSE))</f>
        <v/>
      </c>
      <c r="AW224" t="str">
        <f ca="1">IF(AND(ISNUMBER($AW$893),$B$677=1),$AW$893,HLOOKUP(INDIRECT(ADDRESS(2,COLUMN())),OFFSET($BN$2,0,0,ROW()-1,60),ROW()-1,FALSE))</f>
        <v/>
      </c>
      <c r="AX224" t="str">
        <f ca="1">IF(AND(ISNUMBER($AX$893),$B$677=1),$AX$893,HLOOKUP(INDIRECT(ADDRESS(2,COLUMN())),OFFSET($BN$2,0,0,ROW()-1,60),ROW()-1,FALSE))</f>
        <v/>
      </c>
      <c r="AY224" t="str">
        <f ca="1">IF(AND(ISNUMBER($AY$893),$B$677=1),$AY$893,HLOOKUP(INDIRECT(ADDRESS(2,COLUMN())),OFFSET($BN$2,0,0,ROW()-1,60),ROW()-1,FALSE))</f>
        <v/>
      </c>
      <c r="AZ224" t="str">
        <f ca="1">IF(AND(ISNUMBER($AZ$893),$B$677=1),$AZ$893,HLOOKUP(INDIRECT(ADDRESS(2,COLUMN())),OFFSET($BN$2,0,0,ROW()-1,60),ROW()-1,FALSE))</f>
        <v/>
      </c>
      <c r="BA224" t="str">
        <f ca="1">IF(AND(ISNUMBER($BA$893),$B$677=1),$BA$893,HLOOKUP(INDIRECT(ADDRESS(2,COLUMN())),OFFSET($BN$2,0,0,ROW()-1,60),ROW()-1,FALSE))</f>
        <v/>
      </c>
      <c r="BB224" t="str">
        <f ca="1">IF(AND(ISNUMBER($BB$893),$B$677=1),$BB$893,HLOOKUP(INDIRECT(ADDRESS(2,COLUMN())),OFFSET($BN$2,0,0,ROW()-1,60),ROW()-1,FALSE))</f>
        <v/>
      </c>
      <c r="BC224" t="str">
        <f ca="1">IF(AND(ISNUMBER($BC$893),$B$677=1),$BC$893,HLOOKUP(INDIRECT(ADDRESS(2,COLUMN())),OFFSET($BN$2,0,0,ROW()-1,60),ROW()-1,FALSE))</f>
        <v/>
      </c>
      <c r="BD224" t="str">
        <f ca="1">IF(AND(ISNUMBER($BD$893),$B$677=1),$BD$893,HLOOKUP(INDIRECT(ADDRESS(2,COLUMN())),OFFSET($BN$2,0,0,ROW()-1,60),ROW()-1,FALSE))</f>
        <v/>
      </c>
      <c r="BE224" t="str">
        <f ca="1">IF(AND(ISNUMBER($BE$893),$B$677=1),$BE$893,HLOOKUP(INDIRECT(ADDRESS(2,COLUMN())),OFFSET($BN$2,0,0,ROW()-1,60),ROW()-1,FALSE))</f>
        <v/>
      </c>
      <c r="BF224" t="str">
        <f ca="1">IF(AND(ISNUMBER($BF$893),$B$677=1),$BF$893,HLOOKUP(INDIRECT(ADDRESS(2,COLUMN())),OFFSET($BN$2,0,0,ROW()-1,60),ROW()-1,FALSE))</f>
        <v/>
      </c>
      <c r="BG224" t="str">
        <f ca="1">IF(AND(ISNUMBER($BG$893),$B$677=1),$BG$893,HLOOKUP(INDIRECT(ADDRESS(2,COLUMN())),OFFSET($BN$2,0,0,ROW()-1,60),ROW()-1,FALSE))</f>
        <v/>
      </c>
      <c r="BH224" t="str">
        <f ca="1">IF(AND(ISNUMBER($BH$893),$B$677=1),$BH$893,HLOOKUP(INDIRECT(ADDRESS(2,COLUMN())),OFFSET($BN$2,0,0,ROW()-1,60),ROW()-1,FALSE))</f>
        <v/>
      </c>
      <c r="BI224" t="str">
        <f ca="1">IF(AND(ISNUMBER($BI$893),$B$677=1),$BI$893,HLOOKUP(INDIRECT(ADDRESS(2,COLUMN())),OFFSET($BN$2,0,0,ROW()-1,60),ROW()-1,FALSE))</f>
        <v/>
      </c>
      <c r="BJ224" t="str">
        <f ca="1">IF(AND(ISNUMBER($BJ$893),$B$677=1),$BJ$893,HLOOKUP(INDIRECT(ADDRESS(2,COLUMN())),OFFSET($BN$2,0,0,ROW()-1,60),ROW()-1,FALSE))</f>
        <v/>
      </c>
      <c r="BK224" t="str">
        <f ca="1">IF(AND(ISNUMBER($BK$893),$B$677=1),$BK$893,HLOOKUP(INDIRECT(ADDRESS(2,COLUMN())),OFFSET($BN$2,0,0,ROW()-1,60),ROW()-1,FALSE))</f>
        <v/>
      </c>
      <c r="BL224" t="str">
        <f ca="1">IF(AND(ISNUMBER($BL$893),$B$677=1),$BL$893,HLOOKUP(INDIRECT(ADDRESS(2,COLUMN())),OFFSET($BN$2,0,0,ROW()-1,60),ROW()-1,FALSE))</f>
        <v/>
      </c>
      <c r="BM224" t="str">
        <f ca="1">IF(AND(ISNUMBER($BM$893),$B$677=1),$BM$893,HLOOKUP(INDIRECT(ADDRESS(2,COLUMN())),OFFSET($BN$2,0,0,ROW()-1,60),ROW()-1,FALSE))</f>
        <v/>
      </c>
      <c r="BN224" t="str">
        <f>""</f>
        <v/>
      </c>
      <c r="BO224" t="str">
        <f>""</f>
        <v/>
      </c>
      <c r="BP224" t="str">
        <f>""</f>
        <v/>
      </c>
      <c r="BQ224" t="str">
        <f>""</f>
        <v/>
      </c>
      <c r="BR224" t="str">
        <f>""</f>
        <v/>
      </c>
      <c r="BS224" t="str">
        <f>""</f>
        <v/>
      </c>
      <c r="BT224" t="str">
        <f>""</f>
        <v/>
      </c>
      <c r="BU224" t="str">
        <f>""</f>
        <v/>
      </c>
      <c r="BV224" t="str">
        <f>""</f>
        <v/>
      </c>
      <c r="BW224" t="str">
        <f>""</f>
        <v/>
      </c>
      <c r="BX224" t="str">
        <f>""</f>
        <v/>
      </c>
      <c r="BY224" t="str">
        <f>""</f>
        <v/>
      </c>
      <c r="BZ224" t="str">
        <f>""</f>
        <v/>
      </c>
      <c r="CA224" t="str">
        <f>""</f>
        <v/>
      </c>
      <c r="CB224" t="str">
        <f>""</f>
        <v/>
      </c>
      <c r="CC224" t="str">
        <f>""</f>
        <v/>
      </c>
      <c r="CD224" t="str">
        <f>""</f>
        <v/>
      </c>
      <c r="CE224" t="str">
        <f>""</f>
        <v/>
      </c>
      <c r="CF224" t="str">
        <f>""</f>
        <v/>
      </c>
      <c r="CG224" t="str">
        <f>""</f>
        <v/>
      </c>
      <c r="CH224" t="str">
        <f>""</f>
        <v/>
      </c>
      <c r="CI224" t="str">
        <f>""</f>
        <v/>
      </c>
      <c r="CJ224" t="str">
        <f>""</f>
        <v/>
      </c>
      <c r="CK224" t="str">
        <f>""</f>
        <v/>
      </c>
      <c r="CL224" t="str">
        <f>""</f>
        <v/>
      </c>
      <c r="CM224" t="str">
        <f>""</f>
        <v/>
      </c>
      <c r="CN224" t="str">
        <f>""</f>
        <v/>
      </c>
      <c r="CO224" t="str">
        <f>""</f>
        <v/>
      </c>
      <c r="CP224" t="str">
        <f>""</f>
        <v/>
      </c>
      <c r="CQ224" t="str">
        <f>""</f>
        <v/>
      </c>
      <c r="CR224" t="str">
        <f>""</f>
        <v/>
      </c>
      <c r="CS224" t="str">
        <f>""</f>
        <v/>
      </c>
      <c r="CT224" t="str">
        <f>""</f>
        <v/>
      </c>
      <c r="CU224" t="str">
        <f>""</f>
        <v/>
      </c>
      <c r="CV224" t="str">
        <f>""</f>
        <v/>
      </c>
      <c r="CW224" t="str">
        <f>""</f>
        <v/>
      </c>
      <c r="CX224" t="str">
        <f>""</f>
        <v/>
      </c>
      <c r="CY224" t="str">
        <f>""</f>
        <v/>
      </c>
      <c r="CZ224" t="str">
        <f>""</f>
        <v/>
      </c>
      <c r="DA224" t="str">
        <f>""</f>
        <v/>
      </c>
      <c r="DB224" t="str">
        <f>""</f>
        <v/>
      </c>
      <c r="DC224" t="str">
        <f>""</f>
        <v/>
      </c>
      <c r="DD224" t="str">
        <f>""</f>
        <v/>
      </c>
      <c r="DE224" t="str">
        <f>""</f>
        <v/>
      </c>
      <c r="DF224" t="str">
        <f>""</f>
        <v/>
      </c>
      <c r="DG224" t="str">
        <f>""</f>
        <v/>
      </c>
      <c r="DH224" t="str">
        <f>""</f>
        <v/>
      </c>
      <c r="DI224" t="str">
        <f>""</f>
        <v/>
      </c>
      <c r="DJ224" t="str">
        <f>""</f>
        <v/>
      </c>
      <c r="DK224" t="str">
        <f>""</f>
        <v/>
      </c>
      <c r="DL224" t="str">
        <f>""</f>
        <v/>
      </c>
      <c r="DM224" t="str">
        <f>""</f>
        <v/>
      </c>
      <c r="DN224" t="str">
        <f>""</f>
        <v/>
      </c>
      <c r="DO224" t="str">
        <f>""</f>
        <v/>
      </c>
      <c r="DP224" t="str">
        <f>""</f>
        <v/>
      </c>
      <c r="DQ224" t="str">
        <f>""</f>
        <v/>
      </c>
      <c r="DR224" t="str">
        <f>""</f>
        <v/>
      </c>
      <c r="DS224" t="str">
        <f>""</f>
        <v/>
      </c>
      <c r="DT224" t="str">
        <f>""</f>
        <v/>
      </c>
      <c r="DU224" t="str">
        <f>""</f>
        <v/>
      </c>
    </row>
    <row r="225" spans="1:125" x14ac:dyDescent="0.25">
      <c r="A225" t="str">
        <f>"    Geely Automobile Holdings Ltd"</f>
        <v xml:space="preserve">    Geely Automobile Holdings Ltd</v>
      </c>
      <c r="B225" t="str">
        <f>"175 HK Equity"</f>
        <v>175 HK Equity</v>
      </c>
      <c r="C225" t="str">
        <f t="shared" si="15"/>
        <v>RR971</v>
      </c>
      <c r="D225" t="str">
        <f t="shared" si="16"/>
        <v>CURRENT_PX_TO_FREE_CASH_FLOW</v>
      </c>
      <c r="E225" t="str">
        <f t="shared" si="17"/>
        <v>Dynamic</v>
      </c>
      <c r="F225" t="str">
        <f ca="1">IF(AND(ISNUMBER($F$894),$B$677=1),$F$894,HLOOKUP(INDIRECT(ADDRESS(2,COLUMN())),OFFSET($BN$2,0,0,ROW()-1,60),ROW()-1,FALSE))</f>
        <v/>
      </c>
      <c r="G225" t="str">
        <f ca="1">IF(AND(ISNUMBER($G$894),$B$677=1),$G$894,HLOOKUP(INDIRECT(ADDRESS(2,COLUMN())),OFFSET($BN$2,0,0,ROW()-1,60),ROW()-1,FALSE))</f>
        <v/>
      </c>
      <c r="H225" t="str">
        <f ca="1">IF(AND(ISNUMBER($H$894),$B$677=1),$H$894,HLOOKUP(INDIRECT(ADDRESS(2,COLUMN())),OFFSET($BN$2,0,0,ROW()-1,60),ROW()-1,FALSE))</f>
        <v/>
      </c>
      <c r="I225" t="str">
        <f ca="1">IF(AND(ISNUMBER($I$894),$B$677=1),$I$894,HLOOKUP(INDIRECT(ADDRESS(2,COLUMN())),OFFSET($BN$2,0,0,ROW()-1,60),ROW()-1,FALSE))</f>
        <v/>
      </c>
      <c r="J225" t="str">
        <f ca="1">IF(AND(ISNUMBER($J$894),$B$677=1),$J$894,HLOOKUP(INDIRECT(ADDRESS(2,COLUMN())),OFFSET($BN$2,0,0,ROW()-1,60),ROW()-1,FALSE))</f>
        <v/>
      </c>
      <c r="K225" t="str">
        <f ca="1">IF(AND(ISNUMBER($K$894),$B$677=1),$K$894,HLOOKUP(INDIRECT(ADDRESS(2,COLUMN())),OFFSET($BN$2,0,0,ROW()-1,60),ROW()-1,FALSE))</f>
        <v/>
      </c>
      <c r="L225" t="str">
        <f ca="1">IF(AND(ISNUMBER($L$894),$B$677=1),$L$894,HLOOKUP(INDIRECT(ADDRESS(2,COLUMN())),OFFSET($BN$2,0,0,ROW()-1,60),ROW()-1,FALSE))</f>
        <v/>
      </c>
      <c r="M225" t="str">
        <f ca="1">IF(AND(ISNUMBER($M$894),$B$677=1),$M$894,HLOOKUP(INDIRECT(ADDRESS(2,COLUMN())),OFFSET($BN$2,0,0,ROW()-1,60),ROW()-1,FALSE))</f>
        <v/>
      </c>
      <c r="N225" t="str">
        <f ca="1">IF(AND(ISNUMBER($N$894),$B$677=1),$N$894,HLOOKUP(INDIRECT(ADDRESS(2,COLUMN())),OFFSET($BN$2,0,0,ROW()-1,60),ROW()-1,FALSE))</f>
        <v/>
      </c>
      <c r="O225" t="str">
        <f ca="1">IF(AND(ISNUMBER($O$894),$B$677=1),$O$894,HLOOKUP(INDIRECT(ADDRESS(2,COLUMN())),OFFSET($BN$2,0,0,ROW()-1,60),ROW()-1,FALSE))</f>
        <v/>
      </c>
      <c r="P225" t="str">
        <f ca="1">IF(AND(ISNUMBER($P$894),$B$677=1),$P$894,HLOOKUP(INDIRECT(ADDRESS(2,COLUMN())),OFFSET($BN$2,0,0,ROW()-1,60),ROW()-1,FALSE))</f>
        <v/>
      </c>
      <c r="Q225" t="str">
        <f ca="1">IF(AND(ISNUMBER($Q$894),$B$677=1),$Q$894,HLOOKUP(INDIRECT(ADDRESS(2,COLUMN())),OFFSET($BN$2,0,0,ROW()-1,60),ROW()-1,FALSE))</f>
        <v/>
      </c>
      <c r="R225" t="str">
        <f ca="1">IF(AND(ISNUMBER($R$894),$B$677=1),$R$894,HLOOKUP(INDIRECT(ADDRESS(2,COLUMN())),OFFSET($BN$2,0,0,ROW()-1,60),ROW()-1,FALSE))</f>
        <v/>
      </c>
      <c r="S225" t="str">
        <f ca="1">IF(AND(ISNUMBER($S$894),$B$677=1),$S$894,HLOOKUP(INDIRECT(ADDRESS(2,COLUMN())),OFFSET($BN$2,0,0,ROW()-1,60),ROW()-1,FALSE))</f>
        <v/>
      </c>
      <c r="T225" t="str">
        <f ca="1">IF(AND(ISNUMBER($T$894),$B$677=1),$T$894,HLOOKUP(INDIRECT(ADDRESS(2,COLUMN())),OFFSET($BN$2,0,0,ROW()-1,60),ROW()-1,FALSE))</f>
        <v/>
      </c>
      <c r="U225" t="str">
        <f ca="1">IF(AND(ISNUMBER($U$894),$B$677=1),$U$894,HLOOKUP(INDIRECT(ADDRESS(2,COLUMN())),OFFSET($BN$2,0,0,ROW()-1,60),ROW()-1,FALSE))</f>
        <v/>
      </c>
      <c r="V225" t="str">
        <f ca="1">IF(AND(ISNUMBER($V$894),$B$677=1),$V$894,HLOOKUP(INDIRECT(ADDRESS(2,COLUMN())),OFFSET($BN$2,0,0,ROW()-1,60),ROW()-1,FALSE))</f>
        <v/>
      </c>
      <c r="W225" t="str">
        <f ca="1">IF(AND(ISNUMBER($W$894),$B$677=1),$W$894,HLOOKUP(INDIRECT(ADDRESS(2,COLUMN())),OFFSET($BN$2,0,0,ROW()-1,60),ROW()-1,FALSE))</f>
        <v/>
      </c>
      <c r="X225" t="str">
        <f ca="1">IF(AND(ISNUMBER($X$894),$B$677=1),$X$894,HLOOKUP(INDIRECT(ADDRESS(2,COLUMN())),OFFSET($BN$2,0,0,ROW()-1,60),ROW()-1,FALSE))</f>
        <v/>
      </c>
      <c r="Y225" t="str">
        <f ca="1">IF(AND(ISNUMBER($Y$894),$B$677=1),$Y$894,HLOOKUP(INDIRECT(ADDRESS(2,COLUMN())),OFFSET($BN$2,0,0,ROW()-1,60),ROW()-1,FALSE))</f>
        <v/>
      </c>
      <c r="Z225" t="str">
        <f ca="1">IF(AND(ISNUMBER($Z$894),$B$677=1),$Z$894,HLOOKUP(INDIRECT(ADDRESS(2,COLUMN())),OFFSET($BN$2,0,0,ROW()-1,60),ROW()-1,FALSE))</f>
        <v/>
      </c>
      <c r="AA225" t="str">
        <f ca="1">IF(AND(ISNUMBER($AA$894),$B$677=1),$AA$894,HLOOKUP(INDIRECT(ADDRESS(2,COLUMN())),OFFSET($BN$2,0,0,ROW()-1,60),ROW()-1,FALSE))</f>
        <v/>
      </c>
      <c r="AB225" t="str">
        <f ca="1">IF(AND(ISNUMBER($AB$894),$B$677=1),$AB$894,HLOOKUP(INDIRECT(ADDRESS(2,COLUMN())),OFFSET($BN$2,0,0,ROW()-1,60),ROW()-1,FALSE))</f>
        <v/>
      </c>
      <c r="AC225" t="str">
        <f ca="1">IF(AND(ISNUMBER($AC$894),$B$677=1),$AC$894,HLOOKUP(INDIRECT(ADDRESS(2,COLUMN())),OFFSET($BN$2,0,0,ROW()-1,60),ROW()-1,FALSE))</f>
        <v/>
      </c>
      <c r="AD225" t="str">
        <f ca="1">IF(AND(ISNUMBER($AD$894),$B$677=1),$AD$894,HLOOKUP(INDIRECT(ADDRESS(2,COLUMN())),OFFSET($BN$2,0,0,ROW()-1,60),ROW()-1,FALSE))</f>
        <v/>
      </c>
      <c r="AE225" t="str">
        <f ca="1">IF(AND(ISNUMBER($AE$894),$B$677=1),$AE$894,HLOOKUP(INDIRECT(ADDRESS(2,COLUMN())),OFFSET($BN$2,0,0,ROW()-1,60),ROW()-1,FALSE))</f>
        <v/>
      </c>
      <c r="AF225" t="str">
        <f ca="1">IF(AND(ISNUMBER($AF$894),$B$677=1),$AF$894,HLOOKUP(INDIRECT(ADDRESS(2,COLUMN())),OFFSET($BN$2,0,0,ROW()-1,60),ROW()-1,FALSE))</f>
        <v/>
      </c>
      <c r="AG225" t="str">
        <f ca="1">IF(AND(ISNUMBER($AG$894),$B$677=1),$AG$894,HLOOKUP(INDIRECT(ADDRESS(2,COLUMN())),OFFSET($BN$2,0,0,ROW()-1,60),ROW()-1,FALSE))</f>
        <v/>
      </c>
      <c r="AH225" t="str">
        <f ca="1">IF(AND(ISNUMBER($AH$894),$B$677=1),$AH$894,HLOOKUP(INDIRECT(ADDRESS(2,COLUMN())),OFFSET($BN$2,0,0,ROW()-1,60),ROW()-1,FALSE))</f>
        <v/>
      </c>
      <c r="AI225" t="str">
        <f ca="1">IF(AND(ISNUMBER($AI$894),$B$677=1),$AI$894,HLOOKUP(INDIRECT(ADDRESS(2,COLUMN())),OFFSET($BN$2,0,0,ROW()-1,60),ROW()-1,FALSE))</f>
        <v/>
      </c>
      <c r="AJ225" t="str">
        <f ca="1">IF(AND(ISNUMBER($AJ$894),$B$677=1),$AJ$894,HLOOKUP(INDIRECT(ADDRESS(2,COLUMN())),OFFSET($BN$2,0,0,ROW()-1,60),ROW()-1,FALSE))</f>
        <v/>
      </c>
      <c r="AK225" t="str">
        <f ca="1">IF(AND(ISNUMBER($AK$894),$B$677=1),$AK$894,HLOOKUP(INDIRECT(ADDRESS(2,COLUMN())),OFFSET($BN$2,0,0,ROW()-1,60),ROW()-1,FALSE))</f>
        <v/>
      </c>
      <c r="AL225" t="str">
        <f ca="1">IF(AND(ISNUMBER($AL$894),$B$677=1),$AL$894,HLOOKUP(INDIRECT(ADDRESS(2,COLUMN())),OFFSET($BN$2,0,0,ROW()-1,60),ROW()-1,FALSE))</f>
        <v/>
      </c>
      <c r="AM225" t="str">
        <f ca="1">IF(AND(ISNUMBER($AM$894),$B$677=1),$AM$894,HLOOKUP(INDIRECT(ADDRESS(2,COLUMN())),OFFSET($BN$2,0,0,ROW()-1,60),ROW()-1,FALSE))</f>
        <v/>
      </c>
      <c r="AN225" t="str">
        <f ca="1">IF(AND(ISNUMBER($AN$894),$B$677=1),$AN$894,HLOOKUP(INDIRECT(ADDRESS(2,COLUMN())),OFFSET($BN$2,0,0,ROW()-1,60),ROW()-1,FALSE))</f>
        <v/>
      </c>
      <c r="AO225" t="str">
        <f ca="1">IF(AND(ISNUMBER($AO$894),$B$677=1),$AO$894,HLOOKUP(INDIRECT(ADDRESS(2,COLUMN())),OFFSET($BN$2,0,0,ROW()-1,60),ROW()-1,FALSE))</f>
        <v/>
      </c>
      <c r="AP225" t="str">
        <f ca="1">IF(AND(ISNUMBER($AP$894),$B$677=1),$AP$894,HLOOKUP(INDIRECT(ADDRESS(2,COLUMN())),OFFSET($BN$2,0,0,ROW()-1,60),ROW()-1,FALSE))</f>
        <v/>
      </c>
      <c r="AQ225" t="str">
        <f ca="1">IF(AND(ISNUMBER($AQ$894),$B$677=1),$AQ$894,HLOOKUP(INDIRECT(ADDRESS(2,COLUMN())),OFFSET($BN$2,0,0,ROW()-1,60),ROW()-1,FALSE))</f>
        <v/>
      </c>
      <c r="AR225" t="str">
        <f ca="1">IF(AND(ISNUMBER($AR$894),$B$677=1),$AR$894,HLOOKUP(INDIRECT(ADDRESS(2,COLUMN())),OFFSET($BN$2,0,0,ROW()-1,60),ROW()-1,FALSE))</f>
        <v/>
      </c>
      <c r="AS225" t="str">
        <f ca="1">IF(AND(ISNUMBER($AS$894),$B$677=1),$AS$894,HLOOKUP(INDIRECT(ADDRESS(2,COLUMN())),OFFSET($BN$2,0,0,ROW()-1,60),ROW()-1,FALSE))</f>
        <v/>
      </c>
      <c r="AT225" t="str">
        <f ca="1">IF(AND(ISNUMBER($AT$894),$B$677=1),$AT$894,HLOOKUP(INDIRECT(ADDRESS(2,COLUMN())),OFFSET($BN$2,0,0,ROW()-1,60),ROW()-1,FALSE))</f>
        <v/>
      </c>
      <c r="AU225" t="str">
        <f ca="1">IF(AND(ISNUMBER($AU$894),$B$677=1),$AU$894,HLOOKUP(INDIRECT(ADDRESS(2,COLUMN())),OFFSET($BN$2,0,0,ROW()-1,60),ROW()-1,FALSE))</f>
        <v/>
      </c>
      <c r="AV225" t="str">
        <f ca="1">IF(AND(ISNUMBER($AV$894),$B$677=1),$AV$894,HLOOKUP(INDIRECT(ADDRESS(2,COLUMN())),OFFSET($BN$2,0,0,ROW()-1,60),ROW()-1,FALSE))</f>
        <v/>
      </c>
      <c r="AW225" t="str">
        <f ca="1">IF(AND(ISNUMBER($AW$894),$B$677=1),$AW$894,HLOOKUP(INDIRECT(ADDRESS(2,COLUMN())),OFFSET($BN$2,0,0,ROW()-1,60),ROW()-1,FALSE))</f>
        <v/>
      </c>
      <c r="AX225" t="str">
        <f ca="1">IF(AND(ISNUMBER($AX$894),$B$677=1),$AX$894,HLOOKUP(INDIRECT(ADDRESS(2,COLUMN())),OFFSET($BN$2,0,0,ROW()-1,60),ROW()-1,FALSE))</f>
        <v/>
      </c>
      <c r="AY225" t="str">
        <f ca="1">IF(AND(ISNUMBER($AY$894),$B$677=1),$AY$894,HLOOKUP(INDIRECT(ADDRESS(2,COLUMN())),OFFSET($BN$2,0,0,ROW()-1,60),ROW()-1,FALSE))</f>
        <v/>
      </c>
      <c r="AZ225" t="str">
        <f ca="1">IF(AND(ISNUMBER($AZ$894),$B$677=1),$AZ$894,HLOOKUP(INDIRECT(ADDRESS(2,COLUMN())),OFFSET($BN$2,0,0,ROW()-1,60),ROW()-1,FALSE))</f>
        <v/>
      </c>
      <c r="BA225" t="str">
        <f ca="1">IF(AND(ISNUMBER($BA$894),$B$677=1),$BA$894,HLOOKUP(INDIRECT(ADDRESS(2,COLUMN())),OFFSET($BN$2,0,0,ROW()-1,60),ROW()-1,FALSE))</f>
        <v/>
      </c>
      <c r="BB225" t="str">
        <f ca="1">IF(AND(ISNUMBER($BB$894),$B$677=1),$BB$894,HLOOKUP(INDIRECT(ADDRESS(2,COLUMN())),OFFSET($BN$2,0,0,ROW()-1,60),ROW()-1,FALSE))</f>
        <v/>
      </c>
      <c r="BC225" t="str">
        <f ca="1">IF(AND(ISNUMBER($BC$894),$B$677=1),$BC$894,HLOOKUP(INDIRECT(ADDRESS(2,COLUMN())),OFFSET($BN$2,0,0,ROW()-1,60),ROW()-1,FALSE))</f>
        <v/>
      </c>
      <c r="BD225" t="str">
        <f ca="1">IF(AND(ISNUMBER($BD$894),$B$677=1),$BD$894,HLOOKUP(INDIRECT(ADDRESS(2,COLUMN())),OFFSET($BN$2,0,0,ROW()-1,60),ROW()-1,FALSE))</f>
        <v/>
      </c>
      <c r="BE225" t="str">
        <f ca="1">IF(AND(ISNUMBER($BE$894),$B$677=1),$BE$894,HLOOKUP(INDIRECT(ADDRESS(2,COLUMN())),OFFSET($BN$2,0,0,ROW()-1,60),ROW()-1,FALSE))</f>
        <v/>
      </c>
      <c r="BF225" t="str">
        <f ca="1">IF(AND(ISNUMBER($BF$894),$B$677=1),$BF$894,HLOOKUP(INDIRECT(ADDRESS(2,COLUMN())),OFFSET($BN$2,0,0,ROW()-1,60),ROW()-1,FALSE))</f>
        <v/>
      </c>
      <c r="BG225" t="str">
        <f ca="1">IF(AND(ISNUMBER($BG$894),$B$677=1),$BG$894,HLOOKUP(INDIRECT(ADDRESS(2,COLUMN())),OFFSET($BN$2,0,0,ROW()-1,60),ROW()-1,FALSE))</f>
        <v/>
      </c>
      <c r="BH225" t="str">
        <f ca="1">IF(AND(ISNUMBER($BH$894),$B$677=1),$BH$894,HLOOKUP(INDIRECT(ADDRESS(2,COLUMN())),OFFSET($BN$2,0,0,ROW()-1,60),ROW()-1,FALSE))</f>
        <v/>
      </c>
      <c r="BI225" t="str">
        <f ca="1">IF(AND(ISNUMBER($BI$894),$B$677=1),$BI$894,HLOOKUP(INDIRECT(ADDRESS(2,COLUMN())),OFFSET($BN$2,0,0,ROW()-1,60),ROW()-1,FALSE))</f>
        <v/>
      </c>
      <c r="BJ225" t="str">
        <f ca="1">IF(AND(ISNUMBER($BJ$894),$B$677=1),$BJ$894,HLOOKUP(INDIRECT(ADDRESS(2,COLUMN())),OFFSET($BN$2,0,0,ROW()-1,60),ROW()-1,FALSE))</f>
        <v/>
      </c>
      <c r="BK225" t="str">
        <f ca="1">IF(AND(ISNUMBER($BK$894),$B$677=1),$BK$894,HLOOKUP(INDIRECT(ADDRESS(2,COLUMN())),OFFSET($BN$2,0,0,ROW()-1,60),ROW()-1,FALSE))</f>
        <v/>
      </c>
      <c r="BL225" t="str">
        <f ca="1">IF(AND(ISNUMBER($BL$894),$B$677=1),$BL$894,HLOOKUP(INDIRECT(ADDRESS(2,COLUMN())),OFFSET($BN$2,0,0,ROW()-1,60),ROW()-1,FALSE))</f>
        <v/>
      </c>
      <c r="BM225" t="str">
        <f ca="1">IF(AND(ISNUMBER($BM$894),$B$677=1),$BM$894,HLOOKUP(INDIRECT(ADDRESS(2,COLUMN())),OFFSET($BN$2,0,0,ROW()-1,60),ROW()-1,FALSE))</f>
        <v/>
      </c>
      <c r="BN225" t="str">
        <f>""</f>
        <v/>
      </c>
      <c r="BO225" t="str">
        <f>""</f>
        <v/>
      </c>
      <c r="BP225" t="str">
        <f>""</f>
        <v/>
      </c>
      <c r="BQ225" t="str">
        <f>""</f>
        <v/>
      </c>
      <c r="BR225" t="str">
        <f>""</f>
        <v/>
      </c>
      <c r="BS225" t="str">
        <f>""</f>
        <v/>
      </c>
      <c r="BT225" t="str">
        <f>""</f>
        <v/>
      </c>
      <c r="BU225" t="str">
        <f>""</f>
        <v/>
      </c>
      <c r="BV225" t="str">
        <f>""</f>
        <v/>
      </c>
      <c r="BW225" t="str">
        <f>""</f>
        <v/>
      </c>
      <c r="BX225" t="str">
        <f>""</f>
        <v/>
      </c>
      <c r="BY225" t="str">
        <f>""</f>
        <v/>
      </c>
      <c r="BZ225" t="str">
        <f>""</f>
        <v/>
      </c>
      <c r="CA225" t="str">
        <f>""</f>
        <v/>
      </c>
      <c r="CB225" t="str">
        <f>""</f>
        <v/>
      </c>
      <c r="CC225" t="str">
        <f>""</f>
        <v/>
      </c>
      <c r="CD225" t="str">
        <f>""</f>
        <v/>
      </c>
      <c r="CE225" t="str">
        <f>""</f>
        <v/>
      </c>
      <c r="CF225" t="str">
        <f>""</f>
        <v/>
      </c>
      <c r="CG225" t="str">
        <f>""</f>
        <v/>
      </c>
      <c r="CH225" t="str">
        <f>""</f>
        <v/>
      </c>
      <c r="CI225" t="str">
        <f>""</f>
        <v/>
      </c>
      <c r="CJ225" t="str">
        <f>""</f>
        <v/>
      </c>
      <c r="CK225" t="str">
        <f>""</f>
        <v/>
      </c>
      <c r="CL225" t="str">
        <f>""</f>
        <v/>
      </c>
      <c r="CM225" t="str">
        <f>""</f>
        <v/>
      </c>
      <c r="CN225" t="str">
        <f>""</f>
        <v/>
      </c>
      <c r="CO225" t="str">
        <f>""</f>
        <v/>
      </c>
      <c r="CP225" t="str">
        <f>""</f>
        <v/>
      </c>
      <c r="CQ225" t="str">
        <f>""</f>
        <v/>
      </c>
      <c r="CR225" t="str">
        <f>""</f>
        <v/>
      </c>
      <c r="CS225" t="str">
        <f>""</f>
        <v/>
      </c>
      <c r="CT225" t="str">
        <f>""</f>
        <v/>
      </c>
      <c r="CU225" t="str">
        <f>""</f>
        <v/>
      </c>
      <c r="CV225" t="str">
        <f>""</f>
        <v/>
      </c>
      <c r="CW225" t="str">
        <f>""</f>
        <v/>
      </c>
      <c r="CX225" t="str">
        <f>""</f>
        <v/>
      </c>
      <c r="CY225" t="str">
        <f>""</f>
        <v/>
      </c>
      <c r="CZ225" t="str">
        <f>""</f>
        <v/>
      </c>
      <c r="DA225" t="str">
        <f>""</f>
        <v/>
      </c>
      <c r="DB225" t="str">
        <f>""</f>
        <v/>
      </c>
      <c r="DC225" t="str">
        <f>""</f>
        <v/>
      </c>
      <c r="DD225" t="str">
        <f>""</f>
        <v/>
      </c>
      <c r="DE225" t="str">
        <f>""</f>
        <v/>
      </c>
      <c r="DF225" t="str">
        <f>""</f>
        <v/>
      </c>
      <c r="DG225" t="str">
        <f>""</f>
        <v/>
      </c>
      <c r="DH225" t="str">
        <f>""</f>
        <v/>
      </c>
      <c r="DI225" t="str">
        <f>""</f>
        <v/>
      </c>
      <c r="DJ225" t="str">
        <f>""</f>
        <v/>
      </c>
      <c r="DK225" t="str">
        <f>""</f>
        <v/>
      </c>
      <c r="DL225" t="str">
        <f>""</f>
        <v/>
      </c>
      <c r="DM225" t="str">
        <f>""</f>
        <v/>
      </c>
      <c r="DN225" t="str">
        <f>""</f>
        <v/>
      </c>
      <c r="DO225" t="str">
        <f>""</f>
        <v/>
      </c>
      <c r="DP225" t="str">
        <f>""</f>
        <v/>
      </c>
      <c r="DQ225" t="str">
        <f>""</f>
        <v/>
      </c>
      <c r="DR225" t="str">
        <f>""</f>
        <v/>
      </c>
      <c r="DS225" t="str">
        <f>""</f>
        <v/>
      </c>
      <c r="DT225" t="str">
        <f>""</f>
        <v/>
      </c>
      <c r="DU225" t="str">
        <f>""</f>
        <v/>
      </c>
    </row>
    <row r="226" spans="1:125" x14ac:dyDescent="0.25">
      <c r="A226" t="str">
        <f>"    General Motors Co"</f>
        <v xml:space="preserve">    General Motors Co</v>
      </c>
      <c r="B226" t="str">
        <f>"GM US Equity"</f>
        <v>GM US Equity</v>
      </c>
      <c r="C226" t="str">
        <f t="shared" si="15"/>
        <v>RR971</v>
      </c>
      <c r="D226" t="str">
        <f t="shared" si="16"/>
        <v>CURRENT_PX_TO_FREE_CASH_FLOW</v>
      </c>
      <c r="E226" t="str">
        <f t="shared" si="17"/>
        <v>Dynamic</v>
      </c>
      <c r="F226">
        <f ca="1">IF(AND(ISNUMBER($F$895),$B$677=1),$F$895,HLOOKUP(INDIRECT(ADDRESS(2,COLUMN())),OFFSET($BN$2,0,0,ROW()-1,60),ROW()-1,FALSE))</f>
        <v>8.5466076419999997</v>
      </c>
      <c r="G226">
        <f ca="1">IF(AND(ISNUMBER($G$895),$B$677=1),$G$895,HLOOKUP(INDIRECT(ADDRESS(2,COLUMN())),OFFSET($BN$2,0,0,ROW()-1,60),ROW()-1,FALSE))</f>
        <v>7.2790328329999996</v>
      </c>
      <c r="H226">
        <f ca="1">IF(AND(ISNUMBER($H$895),$B$677=1),$H$895,HLOOKUP(INDIRECT(ADDRESS(2,COLUMN())),OFFSET($BN$2,0,0,ROW()-1,60),ROW()-1,FALSE))</f>
        <v>6.3776264380000001</v>
      </c>
      <c r="I226">
        <f ca="1">IF(AND(ISNUMBER($I$895),$B$677=1),$I$895,HLOOKUP(INDIRECT(ADDRESS(2,COLUMN())),OFFSET($BN$2,0,0,ROW()-1,60),ROW()-1,FALSE))</f>
        <v>8.3155687409999999</v>
      </c>
      <c r="J226">
        <f ca="1">IF(AND(ISNUMBER($J$895),$B$677=1),$J$895,HLOOKUP(INDIRECT(ADDRESS(2,COLUMN())),OFFSET($BN$2,0,0,ROW()-1,60),ROW()-1,FALSE))</f>
        <v>7.8362447529999999</v>
      </c>
      <c r="K226">
        <f ca="1">IF(AND(ISNUMBER($K$895),$B$677=1),$K$895,HLOOKUP(INDIRECT(ADDRESS(2,COLUMN())),OFFSET($BN$2,0,0,ROW()-1,60),ROW()-1,FALSE))</f>
        <v>6.6764129099999998</v>
      </c>
      <c r="L226">
        <f ca="1">IF(AND(ISNUMBER($L$895),$B$677=1),$L$895,HLOOKUP(INDIRECT(ADDRESS(2,COLUMN())),OFFSET($BN$2,0,0,ROW()-1,60),ROW()-1,FALSE))</f>
        <v>10.37698129</v>
      </c>
      <c r="M226">
        <f ca="1">IF(AND(ISNUMBER($M$895),$B$677=1),$M$895,HLOOKUP(INDIRECT(ADDRESS(2,COLUMN())),OFFSET($BN$2,0,0,ROW()-1,60),ROW()-1,FALSE))</f>
        <v>5.5760560730000002</v>
      </c>
      <c r="N226">
        <f ca="1">IF(AND(ISNUMBER($N$895),$B$677=1),$N$895,HLOOKUP(INDIRECT(ADDRESS(2,COLUMN())),OFFSET($BN$2,0,0,ROW()-1,60),ROW()-1,FALSE))</f>
        <v>4.9911827840000003</v>
      </c>
      <c r="O226">
        <f ca="1">IF(AND(ISNUMBER($O$895),$B$677=1),$O$895,HLOOKUP(INDIRECT(ADDRESS(2,COLUMN())),OFFSET($BN$2,0,0,ROW()-1,60),ROW()-1,FALSE))</f>
        <v>6.5366060629999998</v>
      </c>
      <c r="P226">
        <f ca="1">IF(AND(ISNUMBER($P$895),$B$677=1),$P$895,HLOOKUP(INDIRECT(ADDRESS(2,COLUMN())),OFFSET($BN$2,0,0,ROW()-1,60),ROW()-1,FALSE))</f>
        <v>7.9948740630000001</v>
      </c>
      <c r="Q226">
        <f ca="1">IF(AND(ISNUMBER($Q$895),$B$677=1),$Q$895,HLOOKUP(INDIRECT(ADDRESS(2,COLUMN())),OFFSET($BN$2,0,0,ROW()-1,60),ROW()-1,FALSE))</f>
        <v>13.86744116</v>
      </c>
      <c r="R226">
        <f ca="1">IF(AND(ISNUMBER($R$895),$B$677=1),$R$895,HLOOKUP(INDIRECT(ADDRESS(2,COLUMN())),OFFSET($BN$2,0,0,ROW()-1,60),ROW()-1,FALSE))</f>
        <v>18.826230030000001</v>
      </c>
      <c r="S226">
        <f ca="1">IF(AND(ISNUMBER($S$895),$B$677=1),$S$895,HLOOKUP(INDIRECT(ADDRESS(2,COLUMN())),OFFSET($BN$2,0,0,ROW()-1,60),ROW()-1,FALSE))</f>
        <v>14.124804839999999</v>
      </c>
      <c r="T226">
        <f ca="1">IF(AND(ISNUMBER($T$895),$B$677=1),$T$895,HLOOKUP(INDIRECT(ADDRESS(2,COLUMN())),OFFSET($BN$2,0,0,ROW()-1,60),ROW()-1,FALSE))</f>
        <v>8.9849417539999994</v>
      </c>
      <c r="U226">
        <f ca="1">IF(AND(ISNUMBER($U$895),$B$677=1),$U$895,HLOOKUP(INDIRECT(ADDRESS(2,COLUMN())),OFFSET($BN$2,0,0,ROW()-1,60),ROW()-1,FALSE))</f>
        <v>16.260331900000001</v>
      </c>
      <c r="V226">
        <f ca="1">IF(AND(ISNUMBER($V$895),$B$677=1),$V$895,HLOOKUP(INDIRECT(ADDRESS(2,COLUMN())),OFFSET($BN$2,0,0,ROW()-1,60),ROW()-1,FALSE))</f>
        <v>41.611928480000003</v>
      </c>
      <c r="W226">
        <f ca="1">IF(AND(ISNUMBER($W$895),$B$677=1),$W$895,HLOOKUP(INDIRECT(ADDRESS(2,COLUMN())),OFFSET($BN$2,0,0,ROW()-1,60),ROW()-1,FALSE))</f>
        <v>18.896381089999998</v>
      </c>
      <c r="X226">
        <f ca="1">IF(AND(ISNUMBER($X$895),$B$677=1),$X$895,HLOOKUP(INDIRECT(ADDRESS(2,COLUMN())),OFFSET($BN$2,0,0,ROW()-1,60),ROW()-1,FALSE))</f>
        <v>15.88703531</v>
      </c>
      <c r="Y226">
        <f ca="1">IF(AND(ISNUMBER($Y$895),$B$677=1),$Y$895,HLOOKUP(INDIRECT(ADDRESS(2,COLUMN())),OFFSET($BN$2,0,0,ROW()-1,60),ROW()-1,FALSE))</f>
        <v>9.6851775510000007</v>
      </c>
      <c r="Z226">
        <f ca="1">IF(AND(ISNUMBER($Z$895),$B$677=1),$Z$895,HLOOKUP(INDIRECT(ADDRESS(2,COLUMN())),OFFSET($BN$2,0,0,ROW()-1,60),ROW()-1,FALSE))</f>
        <v>7.511254793</v>
      </c>
      <c r="AA226">
        <f ca="1">IF(AND(ISNUMBER($AA$895),$B$677=1),$AA$895,HLOOKUP(INDIRECT(ADDRESS(2,COLUMN())),OFFSET($BN$2,0,0,ROW()-1,60),ROW()-1,FALSE))</f>
        <v>11.26309431</v>
      </c>
      <c r="AB226">
        <f ca="1">IF(AND(ISNUMBER($AB$895),$B$677=1),$AB$895,HLOOKUP(INDIRECT(ADDRESS(2,COLUMN())),OFFSET($BN$2,0,0,ROW()-1,60),ROW()-1,FALSE))</f>
        <v>18.755898179999999</v>
      </c>
      <c r="AC226">
        <f ca="1">IF(AND(ISNUMBER($AC$895),$B$677=1),$AC$895,HLOOKUP(INDIRECT(ADDRESS(2,COLUMN())),OFFSET($BN$2,0,0,ROW()-1,60),ROW()-1,FALSE))</f>
        <v>22.917263699999999</v>
      </c>
      <c r="AD226">
        <f ca="1">IF(AND(ISNUMBER($AD$895),$B$677=1),$AD$895,HLOOKUP(INDIRECT(ADDRESS(2,COLUMN())),OFFSET($BN$2,0,0,ROW()-1,60),ROW()-1,FALSE))</f>
        <v>59.246926129999999</v>
      </c>
      <c r="AE226">
        <f ca="1">IF(AND(ISNUMBER($AE$895),$B$677=1),$AE$895,HLOOKUP(INDIRECT(ADDRESS(2,COLUMN())),OFFSET($BN$2,0,0,ROW()-1,60),ROW()-1,FALSE))</f>
        <v>17.93063841</v>
      </c>
      <c r="AF226">
        <f ca="1">IF(AND(ISNUMBER($AF$895),$B$677=1),$AF$895,HLOOKUP(INDIRECT(ADDRESS(2,COLUMN())),OFFSET($BN$2,0,0,ROW()-1,60),ROW()-1,FALSE))</f>
        <v>11.575956400000001</v>
      </c>
      <c r="AG226">
        <f ca="1">IF(AND(ISNUMBER($AG$895),$B$677=1),$AG$895,HLOOKUP(INDIRECT(ADDRESS(2,COLUMN())),OFFSET($BN$2,0,0,ROW()-1,60),ROW()-1,FALSE))</f>
        <v>14.674245320000001</v>
      </c>
      <c r="AH226">
        <f ca="1">IF(AND(ISNUMBER($AH$895),$B$677=1),$AH$895,HLOOKUP(INDIRECT(ADDRESS(2,COLUMN())),OFFSET($BN$2,0,0,ROW()-1,60),ROW()-1,FALSE))</f>
        <v>9.3923828510000007</v>
      </c>
      <c r="AI226">
        <f ca="1">IF(AND(ISNUMBER($AI$895),$B$677=1),$AI$895,HLOOKUP(INDIRECT(ADDRESS(2,COLUMN())),OFFSET($BN$2,0,0,ROW()-1,60),ROW()-1,FALSE))</f>
        <v>15.83550075</v>
      </c>
      <c r="AJ226">
        <f ca="1">IF(AND(ISNUMBER($AJ$895),$B$677=1),$AJ$895,HLOOKUP(INDIRECT(ADDRESS(2,COLUMN())),OFFSET($BN$2,0,0,ROW()-1,60),ROW()-1,FALSE))</f>
        <v>33.84415929</v>
      </c>
      <c r="AK226">
        <f ca="1">IF(AND(ISNUMBER($AK$895),$B$677=1),$AK$895,HLOOKUP(INDIRECT(ADDRESS(2,COLUMN())),OFFSET($BN$2,0,0,ROW()-1,60),ROW()-1,FALSE))</f>
        <v>49.494637570000002</v>
      </c>
      <c r="AL226">
        <f ca="1">IF(AND(ISNUMBER($AL$895),$B$677=1),$AL$895,HLOOKUP(INDIRECT(ADDRESS(2,COLUMN())),OFFSET($BN$2,0,0,ROW()-1,60),ROW()-1,FALSE))</f>
        <v>18.318187179999999</v>
      </c>
      <c r="AM226">
        <f ca="1">IF(AND(ISNUMBER($AM$895),$B$677=1),$AM$895,HLOOKUP(INDIRECT(ADDRESS(2,COLUMN())),OFFSET($BN$2,0,0,ROW()-1,60),ROW()-1,FALSE))</f>
        <v>21.401216470000001</v>
      </c>
      <c r="AN226" t="str">
        <f ca="1">IF(AND(ISNUMBER($AN$895),$B$677=1),$AN$895,HLOOKUP(INDIRECT(ADDRESS(2,COLUMN())),OFFSET($BN$2,0,0,ROW()-1,60),ROW()-1,FALSE))</f>
        <v/>
      </c>
      <c r="AO226" t="str">
        <f ca="1">IF(AND(ISNUMBER($AO$895),$B$677=1),$AO$895,HLOOKUP(INDIRECT(ADDRESS(2,COLUMN())),OFFSET($BN$2,0,0,ROW()-1,60),ROW()-1,FALSE))</f>
        <v/>
      </c>
      <c r="AP226" t="str">
        <f ca="1">IF(AND(ISNUMBER($AP$895),$B$677=1),$AP$895,HLOOKUP(INDIRECT(ADDRESS(2,COLUMN())),OFFSET($BN$2,0,0,ROW()-1,60),ROW()-1,FALSE))</f>
        <v/>
      </c>
      <c r="AQ226" t="str">
        <f ca="1">IF(AND(ISNUMBER($AQ$895),$B$677=1),$AQ$895,HLOOKUP(INDIRECT(ADDRESS(2,COLUMN())),OFFSET($BN$2,0,0,ROW()-1,60),ROW()-1,FALSE))</f>
        <v/>
      </c>
      <c r="AR226" t="str">
        <f ca="1">IF(AND(ISNUMBER($AR$895),$B$677=1),$AR$895,HLOOKUP(INDIRECT(ADDRESS(2,COLUMN())),OFFSET($BN$2,0,0,ROW()-1,60),ROW()-1,FALSE))</f>
        <v/>
      </c>
      <c r="AS226" t="str">
        <f ca="1">IF(AND(ISNUMBER($AS$895),$B$677=1),$AS$895,HLOOKUP(INDIRECT(ADDRESS(2,COLUMN())),OFFSET($BN$2,0,0,ROW()-1,60),ROW()-1,FALSE))</f>
        <v/>
      </c>
      <c r="AT226" t="str">
        <f ca="1">IF(AND(ISNUMBER($AT$895),$B$677=1),$AT$895,HLOOKUP(INDIRECT(ADDRESS(2,COLUMN())),OFFSET($BN$2,0,0,ROW()-1,60),ROW()-1,FALSE))</f>
        <v/>
      </c>
      <c r="AU226" t="str">
        <f ca="1">IF(AND(ISNUMBER($AU$895),$B$677=1),$AU$895,HLOOKUP(INDIRECT(ADDRESS(2,COLUMN())),OFFSET($BN$2,0,0,ROW()-1,60),ROW()-1,FALSE))</f>
        <v/>
      </c>
      <c r="AV226" t="str">
        <f ca="1">IF(AND(ISNUMBER($AV$895),$B$677=1),$AV$895,HLOOKUP(INDIRECT(ADDRESS(2,COLUMN())),OFFSET($BN$2,0,0,ROW()-1,60),ROW()-1,FALSE))</f>
        <v/>
      </c>
      <c r="AW226" t="str">
        <f ca="1">IF(AND(ISNUMBER($AW$895),$B$677=1),$AW$895,HLOOKUP(INDIRECT(ADDRESS(2,COLUMN())),OFFSET($BN$2,0,0,ROW()-1,60),ROW()-1,FALSE))</f>
        <v/>
      </c>
      <c r="AX226" t="str">
        <f ca="1">IF(AND(ISNUMBER($AX$895),$B$677=1),$AX$895,HLOOKUP(INDIRECT(ADDRESS(2,COLUMN())),OFFSET($BN$2,0,0,ROW()-1,60),ROW()-1,FALSE))</f>
        <v/>
      </c>
      <c r="AY226" t="str">
        <f ca="1">IF(AND(ISNUMBER($AY$895),$B$677=1),$AY$895,HLOOKUP(INDIRECT(ADDRESS(2,COLUMN())),OFFSET($BN$2,0,0,ROW()-1,60),ROW()-1,FALSE))</f>
        <v/>
      </c>
      <c r="AZ226" t="str">
        <f ca="1">IF(AND(ISNUMBER($AZ$895),$B$677=1),$AZ$895,HLOOKUP(INDIRECT(ADDRESS(2,COLUMN())),OFFSET($BN$2,0,0,ROW()-1,60),ROW()-1,FALSE))</f>
        <v/>
      </c>
      <c r="BA226" t="str">
        <f ca="1">IF(AND(ISNUMBER($BA$895),$B$677=1),$BA$895,HLOOKUP(INDIRECT(ADDRESS(2,COLUMN())),OFFSET($BN$2,0,0,ROW()-1,60),ROW()-1,FALSE))</f>
        <v/>
      </c>
      <c r="BB226" t="str">
        <f ca="1">IF(AND(ISNUMBER($BB$895),$B$677=1),$BB$895,HLOOKUP(INDIRECT(ADDRESS(2,COLUMN())),OFFSET($BN$2,0,0,ROW()-1,60),ROW()-1,FALSE))</f>
        <v/>
      </c>
      <c r="BC226" t="str">
        <f ca="1">IF(AND(ISNUMBER($BC$895),$B$677=1),$BC$895,HLOOKUP(INDIRECT(ADDRESS(2,COLUMN())),OFFSET($BN$2,0,0,ROW()-1,60),ROW()-1,FALSE))</f>
        <v/>
      </c>
      <c r="BD226" t="str">
        <f ca="1">IF(AND(ISNUMBER($BD$895),$B$677=1),$BD$895,HLOOKUP(INDIRECT(ADDRESS(2,COLUMN())),OFFSET($BN$2,0,0,ROW()-1,60),ROW()-1,FALSE))</f>
        <v/>
      </c>
      <c r="BE226" t="str">
        <f ca="1">IF(AND(ISNUMBER($BE$895),$B$677=1),$BE$895,HLOOKUP(INDIRECT(ADDRESS(2,COLUMN())),OFFSET($BN$2,0,0,ROW()-1,60),ROW()-1,FALSE))</f>
        <v/>
      </c>
      <c r="BF226" t="str">
        <f ca="1">IF(AND(ISNUMBER($BF$895),$B$677=1),$BF$895,HLOOKUP(INDIRECT(ADDRESS(2,COLUMN())),OFFSET($BN$2,0,0,ROW()-1,60),ROW()-1,FALSE))</f>
        <v/>
      </c>
      <c r="BG226" t="str">
        <f ca="1">IF(AND(ISNUMBER($BG$895),$B$677=1),$BG$895,HLOOKUP(INDIRECT(ADDRESS(2,COLUMN())),OFFSET($BN$2,0,0,ROW()-1,60),ROW()-1,FALSE))</f>
        <v/>
      </c>
      <c r="BH226" t="str">
        <f ca="1">IF(AND(ISNUMBER($BH$895),$B$677=1),$BH$895,HLOOKUP(INDIRECT(ADDRESS(2,COLUMN())),OFFSET($BN$2,0,0,ROW()-1,60),ROW()-1,FALSE))</f>
        <v/>
      </c>
      <c r="BI226" t="str">
        <f ca="1">IF(AND(ISNUMBER($BI$895),$B$677=1),$BI$895,HLOOKUP(INDIRECT(ADDRESS(2,COLUMN())),OFFSET($BN$2,0,0,ROW()-1,60),ROW()-1,FALSE))</f>
        <v/>
      </c>
      <c r="BJ226" t="str">
        <f ca="1">IF(AND(ISNUMBER($BJ$895),$B$677=1),$BJ$895,HLOOKUP(INDIRECT(ADDRESS(2,COLUMN())),OFFSET($BN$2,0,0,ROW()-1,60),ROW()-1,FALSE))</f>
        <v/>
      </c>
      <c r="BK226" t="str">
        <f ca="1">IF(AND(ISNUMBER($BK$895),$B$677=1),$BK$895,HLOOKUP(INDIRECT(ADDRESS(2,COLUMN())),OFFSET($BN$2,0,0,ROW()-1,60),ROW()-1,FALSE))</f>
        <v/>
      </c>
      <c r="BL226" t="str">
        <f ca="1">IF(AND(ISNUMBER($BL$895),$B$677=1),$BL$895,HLOOKUP(INDIRECT(ADDRESS(2,COLUMN())),OFFSET($BN$2,0,0,ROW()-1,60),ROW()-1,FALSE))</f>
        <v/>
      </c>
      <c r="BM226" t="str">
        <f ca="1">IF(AND(ISNUMBER($BM$895),$B$677=1),$BM$895,HLOOKUP(INDIRECT(ADDRESS(2,COLUMN())),OFFSET($BN$2,0,0,ROW()-1,60),ROW()-1,FALSE))</f>
        <v/>
      </c>
      <c r="BN226">
        <f>8.546607642</f>
        <v>8.5466076419999997</v>
      </c>
      <c r="BO226">
        <f>7.279032833</f>
        <v>7.2790328329999996</v>
      </c>
      <c r="BP226">
        <f>6.377626438</f>
        <v>6.3776264380000001</v>
      </c>
      <c r="BQ226">
        <f>8.315568741</f>
        <v>8.3155687409999999</v>
      </c>
      <c r="BR226">
        <f>7.836244753</f>
        <v>7.8362447529999999</v>
      </c>
      <c r="BS226">
        <f>6.67641291</f>
        <v>6.6764129099999998</v>
      </c>
      <c r="BT226">
        <f>10.37698129</f>
        <v>10.37698129</v>
      </c>
      <c r="BU226">
        <f>5.576056073</f>
        <v>5.5760560730000002</v>
      </c>
      <c r="BV226">
        <f>4.991182784</f>
        <v>4.9911827840000003</v>
      </c>
      <c r="BW226">
        <f>6.536606063</f>
        <v>6.5366060629999998</v>
      </c>
      <c r="BX226">
        <f>7.994874063</f>
        <v>7.9948740630000001</v>
      </c>
      <c r="BY226">
        <f>13.86744116</f>
        <v>13.86744116</v>
      </c>
      <c r="BZ226">
        <f>18.82623003</f>
        <v>18.826230030000001</v>
      </c>
      <c r="CA226">
        <f>14.12480484</f>
        <v>14.124804839999999</v>
      </c>
      <c r="CB226">
        <f>8.984941754</f>
        <v>8.9849417539999994</v>
      </c>
      <c r="CC226">
        <f>16.2603319</f>
        <v>16.260331900000001</v>
      </c>
      <c r="CD226">
        <f>41.61192848</f>
        <v>41.611928480000003</v>
      </c>
      <c r="CE226">
        <f>18.89638109</f>
        <v>18.896381089999998</v>
      </c>
      <c r="CF226">
        <f>15.88703531</f>
        <v>15.88703531</v>
      </c>
      <c r="CG226">
        <f>9.685177551</f>
        <v>9.6851775510000007</v>
      </c>
      <c r="CH226">
        <f>7.511254793</f>
        <v>7.511254793</v>
      </c>
      <c r="CI226">
        <f>11.26309431</f>
        <v>11.26309431</v>
      </c>
      <c r="CJ226">
        <f>18.75589818</f>
        <v>18.755898179999999</v>
      </c>
      <c r="CK226">
        <f>22.9172637</f>
        <v>22.917263699999999</v>
      </c>
      <c r="CL226">
        <f>59.24692613</f>
        <v>59.246926129999999</v>
      </c>
      <c r="CM226">
        <f>17.93063841</f>
        <v>17.93063841</v>
      </c>
      <c r="CN226">
        <f>11.5759564</f>
        <v>11.575956400000001</v>
      </c>
      <c r="CO226">
        <f>14.67424532</f>
        <v>14.674245320000001</v>
      </c>
      <c r="CP226">
        <f>9.392382851</f>
        <v>9.3923828510000007</v>
      </c>
      <c r="CQ226">
        <f>15.83550075</f>
        <v>15.83550075</v>
      </c>
      <c r="CR226">
        <f>33.84415929</f>
        <v>33.84415929</v>
      </c>
      <c r="CS226">
        <f>49.49463757</f>
        <v>49.494637570000002</v>
      </c>
      <c r="CT226">
        <f>18.31818718</f>
        <v>18.318187179999999</v>
      </c>
      <c r="CU226">
        <f>21.40121647</f>
        <v>21.401216470000001</v>
      </c>
      <c r="CV226" t="str">
        <f>""</f>
        <v/>
      </c>
      <c r="CW226" t="str">
        <f>""</f>
        <v/>
      </c>
      <c r="CX226" t="str">
        <f>""</f>
        <v/>
      </c>
      <c r="CY226" t="str">
        <f>""</f>
        <v/>
      </c>
      <c r="CZ226" t="str">
        <f>""</f>
        <v/>
      </c>
      <c r="DA226" t="str">
        <f>""</f>
        <v/>
      </c>
      <c r="DB226" t="str">
        <f>""</f>
        <v/>
      </c>
      <c r="DC226" t="str">
        <f>""</f>
        <v/>
      </c>
      <c r="DD226" t="str">
        <f>""</f>
        <v/>
      </c>
      <c r="DE226" t="str">
        <f>""</f>
        <v/>
      </c>
      <c r="DF226" t="str">
        <f>""</f>
        <v/>
      </c>
      <c r="DG226" t="str">
        <f>""</f>
        <v/>
      </c>
      <c r="DH226" t="str">
        <f>""</f>
        <v/>
      </c>
      <c r="DI226" t="str">
        <f>""</f>
        <v/>
      </c>
      <c r="DJ226" t="str">
        <f>""</f>
        <v/>
      </c>
      <c r="DK226" t="str">
        <f>""</f>
        <v/>
      </c>
      <c r="DL226" t="str">
        <f>""</f>
        <v/>
      </c>
      <c r="DM226" t="str">
        <f>""</f>
        <v/>
      </c>
      <c r="DN226" t="str">
        <f>""</f>
        <v/>
      </c>
      <c r="DO226" t="str">
        <f>""</f>
        <v/>
      </c>
      <c r="DP226" t="str">
        <f>""</f>
        <v/>
      </c>
      <c r="DQ226" t="str">
        <f>""</f>
        <v/>
      </c>
      <c r="DR226" t="str">
        <f>""</f>
        <v/>
      </c>
      <c r="DS226" t="str">
        <f>""</f>
        <v/>
      </c>
      <c r="DT226" t="str">
        <f>""</f>
        <v/>
      </c>
      <c r="DU226" t="str">
        <f>""</f>
        <v/>
      </c>
    </row>
    <row r="227" spans="1:125" x14ac:dyDescent="0.25">
      <c r="A227" t="str">
        <f>"    Great Wall Motor Co Ltd"</f>
        <v xml:space="preserve">    Great Wall Motor Co Ltd</v>
      </c>
      <c r="B227" t="str">
        <f>"2333 HK Equity"</f>
        <v>2333 HK Equity</v>
      </c>
      <c r="C227" t="str">
        <f t="shared" si="15"/>
        <v>RR971</v>
      </c>
      <c r="D227" t="str">
        <f t="shared" si="16"/>
        <v>CURRENT_PX_TO_FREE_CASH_FLOW</v>
      </c>
      <c r="E227" t="str">
        <f t="shared" si="17"/>
        <v>Dynamic</v>
      </c>
      <c r="F227">
        <f ca="1">IF(AND(ISNUMBER($F$896),$B$677=1),$F$896,HLOOKUP(INDIRECT(ADDRESS(2,COLUMN())),OFFSET($BN$2,0,0,ROW()-1,60),ROW()-1,FALSE))</f>
        <v>300.05143299999997</v>
      </c>
      <c r="G227">
        <f ca="1">IF(AND(ISNUMBER($G$896),$B$677=1),$G$896,HLOOKUP(INDIRECT(ADDRESS(2,COLUMN())),OFFSET($BN$2,0,0,ROW()-1,60),ROW()-1,FALSE))</f>
        <v>211.48140789999999</v>
      </c>
      <c r="H227">
        <f ca="1">IF(AND(ISNUMBER($H$896),$B$677=1),$H$896,HLOOKUP(INDIRECT(ADDRESS(2,COLUMN())),OFFSET($BN$2,0,0,ROW()-1,60),ROW()-1,FALSE))</f>
        <v>234.9114405</v>
      </c>
      <c r="I227" t="str">
        <f ca="1">IF(AND(ISNUMBER($I$896),$B$677=1),$I$896,HLOOKUP(INDIRECT(ADDRESS(2,COLUMN())),OFFSET($BN$2,0,0,ROW()-1,60),ROW()-1,FALSE))</f>
        <v/>
      </c>
      <c r="J227" t="str">
        <f ca="1">IF(AND(ISNUMBER($J$896),$B$677=1),$J$896,HLOOKUP(INDIRECT(ADDRESS(2,COLUMN())),OFFSET($BN$2,0,0,ROW()-1,60),ROW()-1,FALSE))</f>
        <v/>
      </c>
      <c r="K227" t="str">
        <f ca="1">IF(AND(ISNUMBER($K$896),$B$677=1),$K$896,HLOOKUP(INDIRECT(ADDRESS(2,COLUMN())),OFFSET($BN$2,0,0,ROW()-1,60),ROW()-1,FALSE))</f>
        <v/>
      </c>
      <c r="L227">
        <f ca="1">IF(AND(ISNUMBER($L$896),$B$677=1),$L$896,HLOOKUP(INDIRECT(ADDRESS(2,COLUMN())),OFFSET($BN$2,0,0,ROW()-1,60),ROW()-1,FALSE))</f>
        <v>18.100535539999999</v>
      </c>
      <c r="M227">
        <f ca="1">IF(AND(ISNUMBER($M$896),$B$677=1),$M$896,HLOOKUP(INDIRECT(ADDRESS(2,COLUMN())),OFFSET($BN$2,0,0,ROW()-1,60),ROW()-1,FALSE))</f>
        <v>18.501568330000001</v>
      </c>
      <c r="N227">
        <f ca="1">IF(AND(ISNUMBER($N$896),$B$677=1),$N$896,HLOOKUP(INDIRECT(ADDRESS(2,COLUMN())),OFFSET($BN$2,0,0,ROW()-1,60),ROW()-1,FALSE))</f>
        <v>159.95014879999999</v>
      </c>
      <c r="O227">
        <f ca="1">IF(AND(ISNUMBER($O$896),$B$677=1),$O$896,HLOOKUP(INDIRECT(ADDRESS(2,COLUMN())),OFFSET($BN$2,0,0,ROW()-1,60),ROW()-1,FALSE))</f>
        <v>132.1348337</v>
      </c>
      <c r="P227">
        <f ca="1">IF(AND(ISNUMBER($P$896),$B$677=1),$P$896,HLOOKUP(INDIRECT(ADDRESS(2,COLUMN())),OFFSET($BN$2,0,0,ROW()-1,60),ROW()-1,FALSE))</f>
        <v>42.871381710000001</v>
      </c>
      <c r="Q227">
        <f ca="1">IF(AND(ISNUMBER($Q$896),$B$677=1),$Q$896,HLOOKUP(INDIRECT(ADDRESS(2,COLUMN())),OFFSET($BN$2,0,0,ROW()-1,60),ROW()-1,FALSE))</f>
        <v>61.714137909999998</v>
      </c>
      <c r="R227">
        <f ca="1">IF(AND(ISNUMBER($R$896),$B$677=1),$R$896,HLOOKUP(INDIRECT(ADDRESS(2,COLUMN())),OFFSET($BN$2,0,0,ROW()-1,60),ROW()-1,FALSE))</f>
        <v>27.859859100000001</v>
      </c>
      <c r="S227">
        <f ca="1">IF(AND(ISNUMBER($S$896),$B$677=1),$S$896,HLOOKUP(INDIRECT(ADDRESS(2,COLUMN())),OFFSET($BN$2,0,0,ROW()-1,60),ROW()-1,FALSE))</f>
        <v>19.592884139999999</v>
      </c>
      <c r="T227">
        <f ca="1">IF(AND(ISNUMBER($T$896),$B$677=1),$T$896,HLOOKUP(INDIRECT(ADDRESS(2,COLUMN())),OFFSET($BN$2,0,0,ROW()-1,60),ROW()-1,FALSE))</f>
        <v>18.54419459</v>
      </c>
      <c r="U227">
        <f ca="1">IF(AND(ISNUMBER($U$896),$B$677=1),$U$896,HLOOKUP(INDIRECT(ADDRESS(2,COLUMN())),OFFSET($BN$2,0,0,ROW()-1,60),ROW()-1,FALSE))</f>
        <v>107.039563</v>
      </c>
      <c r="V227" t="str">
        <f ca="1">IF(AND(ISNUMBER($V$896),$B$677=1),$V$896,HLOOKUP(INDIRECT(ADDRESS(2,COLUMN())),OFFSET($BN$2,0,0,ROW()-1,60),ROW()-1,FALSE))</f>
        <v/>
      </c>
      <c r="W227" t="str">
        <f ca="1">IF(AND(ISNUMBER($W$896),$B$677=1),$W$896,HLOOKUP(INDIRECT(ADDRESS(2,COLUMN())),OFFSET($BN$2,0,0,ROW()-1,60),ROW()-1,FALSE))</f>
        <v/>
      </c>
      <c r="X227" t="str">
        <f ca="1">IF(AND(ISNUMBER($X$896),$B$677=1),$X$896,HLOOKUP(INDIRECT(ADDRESS(2,COLUMN())),OFFSET($BN$2,0,0,ROW()-1,60),ROW()-1,FALSE))</f>
        <v/>
      </c>
      <c r="Y227">
        <f ca="1">IF(AND(ISNUMBER($Y$896),$B$677=1),$Y$896,HLOOKUP(INDIRECT(ADDRESS(2,COLUMN())),OFFSET($BN$2,0,0,ROW()-1,60),ROW()-1,FALSE))</f>
        <v>45.916950960000001</v>
      </c>
      <c r="Z227">
        <f ca="1">IF(AND(ISNUMBER($Z$896),$B$677=1),$Z$896,HLOOKUP(INDIRECT(ADDRESS(2,COLUMN())),OFFSET($BN$2,0,0,ROW()-1,60),ROW()-1,FALSE))</f>
        <v>61.659853069999997</v>
      </c>
      <c r="AA227">
        <f ca="1">IF(AND(ISNUMBER($AA$896),$B$677=1),$AA$896,HLOOKUP(INDIRECT(ADDRESS(2,COLUMN())),OFFSET($BN$2,0,0,ROW()-1,60),ROW()-1,FALSE))</f>
        <v>52.006392580000004</v>
      </c>
      <c r="AB227">
        <f ca="1">IF(AND(ISNUMBER($AB$896),$B$677=1),$AB$896,HLOOKUP(INDIRECT(ADDRESS(2,COLUMN())),OFFSET($BN$2,0,0,ROW()-1,60),ROW()-1,FALSE))</f>
        <v>38.531292690000001</v>
      </c>
      <c r="AC227">
        <f ca="1">IF(AND(ISNUMBER($AC$896),$B$677=1),$AC$896,HLOOKUP(INDIRECT(ADDRESS(2,COLUMN())),OFFSET($BN$2,0,0,ROW()-1,60),ROW()-1,FALSE))</f>
        <v>34.88443702</v>
      </c>
      <c r="AD227" t="str">
        <f ca="1">IF(AND(ISNUMBER($AD$896),$B$677=1),$AD$896,HLOOKUP(INDIRECT(ADDRESS(2,COLUMN())),OFFSET($BN$2,0,0,ROW()-1,60),ROW()-1,FALSE))</f>
        <v/>
      </c>
      <c r="AE227" t="str">
        <f ca="1">IF(AND(ISNUMBER($AE$896),$B$677=1),$AE$896,HLOOKUP(INDIRECT(ADDRESS(2,COLUMN())),OFFSET($BN$2,0,0,ROW()-1,60),ROW()-1,FALSE))</f>
        <v/>
      </c>
      <c r="AF227" t="str">
        <f ca="1">IF(AND(ISNUMBER($AF$896),$B$677=1),$AF$896,HLOOKUP(INDIRECT(ADDRESS(2,COLUMN())),OFFSET($BN$2,0,0,ROW()-1,60),ROW()-1,FALSE))</f>
        <v/>
      </c>
      <c r="AG227" t="str">
        <f ca="1">IF(AND(ISNUMBER($AG$896),$B$677=1),$AG$896,HLOOKUP(INDIRECT(ADDRESS(2,COLUMN())),OFFSET($BN$2,0,0,ROW()-1,60),ROW()-1,FALSE))</f>
        <v/>
      </c>
      <c r="AH227" t="str">
        <f ca="1">IF(AND(ISNUMBER($AH$896),$B$677=1),$AH$896,HLOOKUP(INDIRECT(ADDRESS(2,COLUMN())),OFFSET($BN$2,0,0,ROW()-1,60),ROW()-1,FALSE))</f>
        <v/>
      </c>
      <c r="AI227" t="str">
        <f ca="1">IF(AND(ISNUMBER($AI$896),$B$677=1),$AI$896,HLOOKUP(INDIRECT(ADDRESS(2,COLUMN())),OFFSET($BN$2,0,0,ROW()-1,60),ROW()-1,FALSE))</f>
        <v/>
      </c>
      <c r="AJ227" t="str">
        <f ca="1">IF(AND(ISNUMBER($AJ$896),$B$677=1),$AJ$896,HLOOKUP(INDIRECT(ADDRESS(2,COLUMN())),OFFSET($BN$2,0,0,ROW()-1,60),ROW()-1,FALSE))</f>
        <v/>
      </c>
      <c r="AK227" t="str">
        <f ca="1">IF(AND(ISNUMBER($AK$896),$B$677=1),$AK$896,HLOOKUP(INDIRECT(ADDRESS(2,COLUMN())),OFFSET($BN$2,0,0,ROW()-1,60),ROW()-1,FALSE))</f>
        <v/>
      </c>
      <c r="AL227" t="str">
        <f ca="1">IF(AND(ISNUMBER($AL$896),$B$677=1),$AL$896,HLOOKUP(INDIRECT(ADDRESS(2,COLUMN())),OFFSET($BN$2,0,0,ROW()-1,60),ROW()-1,FALSE))</f>
        <v/>
      </c>
      <c r="AM227" t="str">
        <f ca="1">IF(AND(ISNUMBER($AM$896),$B$677=1),$AM$896,HLOOKUP(INDIRECT(ADDRESS(2,COLUMN())),OFFSET($BN$2,0,0,ROW()-1,60),ROW()-1,FALSE))</f>
        <v/>
      </c>
      <c r="AN227" t="str">
        <f ca="1">IF(AND(ISNUMBER($AN$896),$B$677=1),$AN$896,HLOOKUP(INDIRECT(ADDRESS(2,COLUMN())),OFFSET($BN$2,0,0,ROW()-1,60),ROW()-1,FALSE))</f>
        <v/>
      </c>
      <c r="AO227" t="str">
        <f ca="1">IF(AND(ISNUMBER($AO$896),$B$677=1),$AO$896,HLOOKUP(INDIRECT(ADDRESS(2,COLUMN())),OFFSET($BN$2,0,0,ROW()-1,60),ROW()-1,FALSE))</f>
        <v/>
      </c>
      <c r="AP227" t="str">
        <f ca="1">IF(AND(ISNUMBER($AP$896),$B$677=1),$AP$896,HLOOKUP(INDIRECT(ADDRESS(2,COLUMN())),OFFSET($BN$2,0,0,ROW()-1,60),ROW()-1,FALSE))</f>
        <v/>
      </c>
      <c r="AQ227" t="str">
        <f ca="1">IF(AND(ISNUMBER($AQ$896),$B$677=1),$AQ$896,HLOOKUP(INDIRECT(ADDRESS(2,COLUMN())),OFFSET($BN$2,0,0,ROW()-1,60),ROW()-1,FALSE))</f>
        <v/>
      </c>
      <c r="AR227" t="str">
        <f ca="1">IF(AND(ISNUMBER($AR$896),$B$677=1),$AR$896,HLOOKUP(INDIRECT(ADDRESS(2,COLUMN())),OFFSET($BN$2,0,0,ROW()-1,60),ROW()-1,FALSE))</f>
        <v/>
      </c>
      <c r="AS227" t="str">
        <f ca="1">IF(AND(ISNUMBER($AS$896),$B$677=1),$AS$896,HLOOKUP(INDIRECT(ADDRESS(2,COLUMN())),OFFSET($BN$2,0,0,ROW()-1,60),ROW()-1,FALSE))</f>
        <v/>
      </c>
      <c r="AT227" t="str">
        <f ca="1">IF(AND(ISNUMBER($AT$896),$B$677=1),$AT$896,HLOOKUP(INDIRECT(ADDRESS(2,COLUMN())),OFFSET($BN$2,0,0,ROW()-1,60),ROW()-1,FALSE))</f>
        <v/>
      </c>
      <c r="AU227" t="str">
        <f ca="1">IF(AND(ISNUMBER($AU$896),$B$677=1),$AU$896,HLOOKUP(INDIRECT(ADDRESS(2,COLUMN())),OFFSET($BN$2,0,0,ROW()-1,60),ROW()-1,FALSE))</f>
        <v/>
      </c>
      <c r="AV227" t="str">
        <f ca="1">IF(AND(ISNUMBER($AV$896),$B$677=1),$AV$896,HLOOKUP(INDIRECT(ADDRESS(2,COLUMN())),OFFSET($BN$2,0,0,ROW()-1,60),ROW()-1,FALSE))</f>
        <v/>
      </c>
      <c r="AW227" t="str">
        <f ca="1">IF(AND(ISNUMBER($AW$896),$B$677=1),$AW$896,HLOOKUP(INDIRECT(ADDRESS(2,COLUMN())),OFFSET($BN$2,0,0,ROW()-1,60),ROW()-1,FALSE))</f>
        <v/>
      </c>
      <c r="AX227" t="str">
        <f ca="1">IF(AND(ISNUMBER($AX$896),$B$677=1),$AX$896,HLOOKUP(INDIRECT(ADDRESS(2,COLUMN())),OFFSET($BN$2,0,0,ROW()-1,60),ROW()-1,FALSE))</f>
        <v/>
      </c>
      <c r="AY227" t="str">
        <f ca="1">IF(AND(ISNUMBER($AY$896),$B$677=1),$AY$896,HLOOKUP(INDIRECT(ADDRESS(2,COLUMN())),OFFSET($BN$2,0,0,ROW()-1,60),ROW()-1,FALSE))</f>
        <v/>
      </c>
      <c r="AZ227" t="str">
        <f ca="1">IF(AND(ISNUMBER($AZ$896),$B$677=1),$AZ$896,HLOOKUP(INDIRECT(ADDRESS(2,COLUMN())),OFFSET($BN$2,0,0,ROW()-1,60),ROW()-1,FALSE))</f>
        <v/>
      </c>
      <c r="BA227" t="str">
        <f ca="1">IF(AND(ISNUMBER($BA$896),$B$677=1),$BA$896,HLOOKUP(INDIRECT(ADDRESS(2,COLUMN())),OFFSET($BN$2,0,0,ROW()-1,60),ROW()-1,FALSE))</f>
        <v/>
      </c>
      <c r="BB227" t="str">
        <f ca="1">IF(AND(ISNUMBER($BB$896),$B$677=1),$BB$896,HLOOKUP(INDIRECT(ADDRESS(2,COLUMN())),OFFSET($BN$2,0,0,ROW()-1,60),ROW()-1,FALSE))</f>
        <v/>
      </c>
      <c r="BC227" t="str">
        <f ca="1">IF(AND(ISNUMBER($BC$896),$B$677=1),$BC$896,HLOOKUP(INDIRECT(ADDRESS(2,COLUMN())),OFFSET($BN$2,0,0,ROW()-1,60),ROW()-1,FALSE))</f>
        <v/>
      </c>
      <c r="BD227" t="str">
        <f ca="1">IF(AND(ISNUMBER($BD$896),$B$677=1),$BD$896,HLOOKUP(INDIRECT(ADDRESS(2,COLUMN())),OFFSET($BN$2,0,0,ROW()-1,60),ROW()-1,FALSE))</f>
        <v/>
      </c>
      <c r="BE227" t="str">
        <f ca="1">IF(AND(ISNUMBER($BE$896),$B$677=1),$BE$896,HLOOKUP(INDIRECT(ADDRESS(2,COLUMN())),OFFSET($BN$2,0,0,ROW()-1,60),ROW()-1,FALSE))</f>
        <v/>
      </c>
      <c r="BF227" t="str">
        <f ca="1">IF(AND(ISNUMBER($BF$896),$B$677=1),$BF$896,HLOOKUP(INDIRECT(ADDRESS(2,COLUMN())),OFFSET($BN$2,0,0,ROW()-1,60),ROW()-1,FALSE))</f>
        <v/>
      </c>
      <c r="BG227" t="str">
        <f ca="1">IF(AND(ISNUMBER($BG$896),$B$677=1),$BG$896,HLOOKUP(INDIRECT(ADDRESS(2,COLUMN())),OFFSET($BN$2,0,0,ROW()-1,60),ROW()-1,FALSE))</f>
        <v/>
      </c>
      <c r="BH227" t="str">
        <f ca="1">IF(AND(ISNUMBER($BH$896),$B$677=1),$BH$896,HLOOKUP(INDIRECT(ADDRESS(2,COLUMN())),OFFSET($BN$2,0,0,ROW()-1,60),ROW()-1,FALSE))</f>
        <v/>
      </c>
      <c r="BI227" t="str">
        <f ca="1">IF(AND(ISNUMBER($BI$896),$B$677=1),$BI$896,HLOOKUP(INDIRECT(ADDRESS(2,COLUMN())),OFFSET($BN$2,0,0,ROW()-1,60),ROW()-1,FALSE))</f>
        <v/>
      </c>
      <c r="BJ227" t="str">
        <f ca="1">IF(AND(ISNUMBER($BJ$896),$B$677=1),$BJ$896,HLOOKUP(INDIRECT(ADDRESS(2,COLUMN())),OFFSET($BN$2,0,0,ROW()-1,60),ROW()-1,FALSE))</f>
        <v/>
      </c>
      <c r="BK227" t="str">
        <f ca="1">IF(AND(ISNUMBER($BK$896),$B$677=1),$BK$896,HLOOKUP(INDIRECT(ADDRESS(2,COLUMN())),OFFSET($BN$2,0,0,ROW()-1,60),ROW()-1,FALSE))</f>
        <v/>
      </c>
      <c r="BL227" t="str">
        <f ca="1">IF(AND(ISNUMBER($BL$896),$B$677=1),$BL$896,HLOOKUP(INDIRECT(ADDRESS(2,COLUMN())),OFFSET($BN$2,0,0,ROW()-1,60),ROW()-1,FALSE))</f>
        <v/>
      </c>
      <c r="BM227" t="str">
        <f ca="1">IF(AND(ISNUMBER($BM$896),$B$677=1),$BM$896,HLOOKUP(INDIRECT(ADDRESS(2,COLUMN())),OFFSET($BN$2,0,0,ROW()-1,60),ROW()-1,FALSE))</f>
        <v/>
      </c>
      <c r="BN227">
        <f>300.051433</f>
        <v>300.05143299999997</v>
      </c>
      <c r="BO227">
        <f>211.4814079</f>
        <v>211.48140789999999</v>
      </c>
      <c r="BP227">
        <f>234.9114405</f>
        <v>234.9114405</v>
      </c>
      <c r="BQ227" t="str">
        <f>""</f>
        <v/>
      </c>
      <c r="BR227" t="str">
        <f>""</f>
        <v/>
      </c>
      <c r="BS227" t="str">
        <f>""</f>
        <v/>
      </c>
      <c r="BT227">
        <f>18.10053554</f>
        <v>18.100535539999999</v>
      </c>
      <c r="BU227">
        <f>18.50156833</f>
        <v>18.501568330000001</v>
      </c>
      <c r="BV227">
        <f>159.9501488</f>
        <v>159.95014879999999</v>
      </c>
      <c r="BW227">
        <f>132.1348337</f>
        <v>132.1348337</v>
      </c>
      <c r="BX227">
        <f>42.87138171</f>
        <v>42.871381710000001</v>
      </c>
      <c r="BY227">
        <f>61.71413791</f>
        <v>61.714137909999998</v>
      </c>
      <c r="BZ227">
        <f>27.8598591</f>
        <v>27.859859100000001</v>
      </c>
      <c r="CA227">
        <f>19.59288414</f>
        <v>19.592884139999999</v>
      </c>
      <c r="CB227">
        <f>18.54419459</f>
        <v>18.54419459</v>
      </c>
      <c r="CC227">
        <f>107.039563</f>
        <v>107.039563</v>
      </c>
      <c r="CD227" t="str">
        <f>""</f>
        <v/>
      </c>
      <c r="CE227" t="str">
        <f>""</f>
        <v/>
      </c>
      <c r="CF227" t="str">
        <f>""</f>
        <v/>
      </c>
      <c r="CG227">
        <f>45.91695096</f>
        <v>45.916950960000001</v>
      </c>
      <c r="CH227">
        <f>61.65985307</f>
        <v>61.659853069999997</v>
      </c>
      <c r="CI227">
        <f>52.00639258</f>
        <v>52.006392580000004</v>
      </c>
      <c r="CJ227">
        <f>38.53129269</f>
        <v>38.531292690000001</v>
      </c>
      <c r="CK227">
        <f>34.88443702</f>
        <v>34.88443702</v>
      </c>
      <c r="CL227" t="str">
        <f>""</f>
        <v/>
      </c>
      <c r="CM227" t="str">
        <f>""</f>
        <v/>
      </c>
      <c r="CN227" t="str">
        <f>""</f>
        <v/>
      </c>
      <c r="CO227" t="str">
        <f>""</f>
        <v/>
      </c>
      <c r="CP227" t="str">
        <f>""</f>
        <v/>
      </c>
      <c r="CQ227" t="str">
        <f>""</f>
        <v/>
      </c>
      <c r="CR227" t="str">
        <f>""</f>
        <v/>
      </c>
      <c r="CS227" t="str">
        <f>""</f>
        <v/>
      </c>
      <c r="CT227" t="str">
        <f>""</f>
        <v/>
      </c>
      <c r="CU227" t="str">
        <f>""</f>
        <v/>
      </c>
      <c r="CV227" t="str">
        <f>""</f>
        <v/>
      </c>
      <c r="CW227" t="str">
        <f>""</f>
        <v/>
      </c>
      <c r="CX227" t="str">
        <f>""</f>
        <v/>
      </c>
      <c r="CY227" t="str">
        <f>""</f>
        <v/>
      </c>
      <c r="CZ227" t="str">
        <f>""</f>
        <v/>
      </c>
      <c r="DA227" t="str">
        <f>""</f>
        <v/>
      </c>
      <c r="DB227" t="str">
        <f>""</f>
        <v/>
      </c>
      <c r="DC227" t="str">
        <f>""</f>
        <v/>
      </c>
      <c r="DD227" t="str">
        <f>""</f>
        <v/>
      </c>
      <c r="DE227" t="str">
        <f>""</f>
        <v/>
      </c>
      <c r="DF227" t="str">
        <f>""</f>
        <v/>
      </c>
      <c r="DG227" t="str">
        <f>""</f>
        <v/>
      </c>
      <c r="DH227" t="str">
        <f>""</f>
        <v/>
      </c>
      <c r="DI227" t="str">
        <f>""</f>
        <v/>
      </c>
      <c r="DJ227" t="str">
        <f>""</f>
        <v/>
      </c>
      <c r="DK227" t="str">
        <f>""</f>
        <v/>
      </c>
      <c r="DL227" t="str">
        <f>""</f>
        <v/>
      </c>
      <c r="DM227" t="str">
        <f>""</f>
        <v/>
      </c>
      <c r="DN227" t="str">
        <f>""</f>
        <v/>
      </c>
      <c r="DO227" t="str">
        <f>""</f>
        <v/>
      </c>
      <c r="DP227" t="str">
        <f>""</f>
        <v/>
      </c>
      <c r="DQ227" t="str">
        <f>""</f>
        <v/>
      </c>
      <c r="DR227" t="str">
        <f>""</f>
        <v/>
      </c>
      <c r="DS227" t="str">
        <f>""</f>
        <v/>
      </c>
      <c r="DT227" t="str">
        <f>""</f>
        <v/>
      </c>
      <c r="DU227" t="str">
        <f>""</f>
        <v/>
      </c>
    </row>
    <row r="228" spans="1:125" x14ac:dyDescent="0.25">
      <c r="A228" t="str">
        <f>"    Guangzhou Automobile Group Co Ltd"</f>
        <v xml:space="preserve">    Guangzhou Automobile Group Co Ltd</v>
      </c>
      <c r="B228" t="str">
        <f>"2238 HK Equity"</f>
        <v>2238 HK Equity</v>
      </c>
      <c r="C228" t="str">
        <f t="shared" si="15"/>
        <v>RR971</v>
      </c>
      <c r="D228" t="str">
        <f t="shared" si="16"/>
        <v>CURRENT_PX_TO_FREE_CASH_FLOW</v>
      </c>
      <c r="E228" t="str">
        <f t="shared" si="17"/>
        <v>Dynamic</v>
      </c>
      <c r="F228" t="str">
        <f ca="1">IF(AND(ISNUMBER($F$897),$B$677=1),$F$897,HLOOKUP(INDIRECT(ADDRESS(2,COLUMN())),OFFSET($BN$2,0,0,ROW()-1,60),ROW()-1,FALSE))</f>
        <v/>
      </c>
      <c r="G228" t="str">
        <f ca="1">IF(AND(ISNUMBER($G$897),$B$677=1),$G$897,HLOOKUP(INDIRECT(ADDRESS(2,COLUMN())),OFFSET($BN$2,0,0,ROW()-1,60),ROW()-1,FALSE))</f>
        <v/>
      </c>
      <c r="H228">
        <f ca="1">IF(AND(ISNUMBER($H$897),$B$677=1),$H$897,HLOOKUP(INDIRECT(ADDRESS(2,COLUMN())),OFFSET($BN$2,0,0,ROW()-1,60),ROW()-1,FALSE))</f>
        <v>22.524375160000002</v>
      </c>
      <c r="I228">
        <f ca="1">IF(AND(ISNUMBER($I$897),$B$677=1),$I$897,HLOOKUP(INDIRECT(ADDRESS(2,COLUMN())),OFFSET($BN$2,0,0,ROW()-1,60),ROW()-1,FALSE))</f>
        <v>19.951087829999999</v>
      </c>
      <c r="J228">
        <f ca="1">IF(AND(ISNUMBER($J$897),$B$677=1),$J$897,HLOOKUP(INDIRECT(ADDRESS(2,COLUMN())),OFFSET($BN$2,0,0,ROW()-1,60),ROW()-1,FALSE))</f>
        <v>12.8143177</v>
      </c>
      <c r="K228">
        <f ca="1">IF(AND(ISNUMBER($K$897),$B$677=1),$K$897,HLOOKUP(INDIRECT(ADDRESS(2,COLUMN())),OFFSET($BN$2,0,0,ROW()-1,60),ROW()-1,FALSE))</f>
        <v>8.9399953249999999</v>
      </c>
      <c r="L228">
        <f ca="1">IF(AND(ISNUMBER($L$897),$B$677=1),$L$897,HLOOKUP(INDIRECT(ADDRESS(2,COLUMN())),OFFSET($BN$2,0,0,ROW()-1,60),ROW()-1,FALSE))</f>
        <v>52.765423009999999</v>
      </c>
      <c r="M228">
        <f ca="1">IF(AND(ISNUMBER($M$897),$B$677=1),$M$897,HLOOKUP(INDIRECT(ADDRESS(2,COLUMN())),OFFSET($BN$2,0,0,ROW()-1,60),ROW()-1,FALSE))</f>
        <v>15.28489736</v>
      </c>
      <c r="N228">
        <f ca="1">IF(AND(ISNUMBER($N$897),$B$677=1),$N$897,HLOOKUP(INDIRECT(ADDRESS(2,COLUMN())),OFFSET($BN$2,0,0,ROW()-1,60),ROW()-1,FALSE))</f>
        <v>10.463721079999999</v>
      </c>
      <c r="O228">
        <f ca="1">IF(AND(ISNUMBER($O$897),$B$677=1),$O$897,HLOOKUP(INDIRECT(ADDRESS(2,COLUMN())),OFFSET($BN$2,0,0,ROW()-1,60),ROW()-1,FALSE))</f>
        <v>11.31607807</v>
      </c>
      <c r="P228">
        <f ca="1">IF(AND(ISNUMBER($P$897),$B$677=1),$P$897,HLOOKUP(INDIRECT(ADDRESS(2,COLUMN())),OFFSET($BN$2,0,0,ROW()-1,60),ROW()-1,FALSE))</f>
        <v>6.9950498909999999</v>
      </c>
      <c r="Q228">
        <f ca="1">IF(AND(ISNUMBER($Q$897),$B$677=1),$Q$897,HLOOKUP(INDIRECT(ADDRESS(2,COLUMN())),OFFSET($BN$2,0,0,ROW()-1,60),ROW()-1,FALSE))</f>
        <v>7.0629053839999996</v>
      </c>
      <c r="R228">
        <f ca="1">IF(AND(ISNUMBER($R$897),$B$677=1),$R$897,HLOOKUP(INDIRECT(ADDRESS(2,COLUMN())),OFFSET($BN$2,0,0,ROW()-1,60),ROW()-1,FALSE))</f>
        <v>7.57516999</v>
      </c>
      <c r="S228">
        <f ca="1">IF(AND(ISNUMBER($S$897),$B$677=1),$S$897,HLOOKUP(INDIRECT(ADDRESS(2,COLUMN())),OFFSET($BN$2,0,0,ROW()-1,60),ROW()-1,FALSE))</f>
        <v>8.3904824530000006</v>
      </c>
      <c r="T228">
        <f ca="1">IF(AND(ISNUMBER($T$897),$B$677=1),$T$897,HLOOKUP(INDIRECT(ADDRESS(2,COLUMN())),OFFSET($BN$2,0,0,ROW()-1,60),ROW()-1,FALSE))</f>
        <v>8.3905923839999996</v>
      </c>
      <c r="U228">
        <f ca="1">IF(AND(ISNUMBER($U$897),$B$677=1),$U$897,HLOOKUP(INDIRECT(ADDRESS(2,COLUMN())),OFFSET($BN$2,0,0,ROW()-1,60),ROW()-1,FALSE))</f>
        <v>20.334253360000002</v>
      </c>
      <c r="V228">
        <f ca="1">IF(AND(ISNUMBER($V$897),$B$677=1),$V$897,HLOOKUP(INDIRECT(ADDRESS(2,COLUMN())),OFFSET($BN$2,0,0,ROW()-1,60),ROW()-1,FALSE))</f>
        <v>42.978954139999999</v>
      </c>
      <c r="W228">
        <f ca="1">IF(AND(ISNUMBER($W$897),$B$677=1),$W$897,HLOOKUP(INDIRECT(ADDRESS(2,COLUMN())),OFFSET($BN$2,0,0,ROW()-1,60),ROW()-1,FALSE))</f>
        <v>29.561557189999998</v>
      </c>
      <c r="X228">
        <f ca="1">IF(AND(ISNUMBER($X$897),$B$677=1),$X$897,HLOOKUP(INDIRECT(ADDRESS(2,COLUMN())),OFFSET($BN$2,0,0,ROW()-1,60),ROW()-1,FALSE))</f>
        <v>256.19248399999998</v>
      </c>
      <c r="Y228">
        <f ca="1">IF(AND(ISNUMBER($Y$897),$B$677=1),$Y$897,HLOOKUP(INDIRECT(ADDRESS(2,COLUMN())),OFFSET($BN$2,0,0,ROW()-1,60),ROW()-1,FALSE))</f>
        <v>304.86204529999998</v>
      </c>
      <c r="Z228">
        <f ca="1">IF(AND(ISNUMBER($Z$897),$B$677=1),$Z$897,HLOOKUP(INDIRECT(ADDRESS(2,COLUMN())),OFFSET($BN$2,0,0,ROW()-1,60),ROW()-1,FALSE))</f>
        <v>40.652862169999999</v>
      </c>
      <c r="AA228">
        <f ca="1">IF(AND(ISNUMBER($AA$897),$B$677=1),$AA$897,HLOOKUP(INDIRECT(ADDRESS(2,COLUMN())),OFFSET($BN$2,0,0,ROW()-1,60),ROW()-1,FALSE))</f>
        <v>24.443285509999999</v>
      </c>
      <c r="AB228">
        <f ca="1">IF(AND(ISNUMBER($AB$897),$B$677=1),$AB$897,HLOOKUP(INDIRECT(ADDRESS(2,COLUMN())),OFFSET($BN$2,0,0,ROW()-1,60),ROW()-1,FALSE))</f>
        <v>17.229641780000001</v>
      </c>
      <c r="AC228">
        <f ca="1">IF(AND(ISNUMBER($AC$897),$B$677=1),$AC$897,HLOOKUP(INDIRECT(ADDRESS(2,COLUMN())),OFFSET($BN$2,0,0,ROW()-1,60),ROW()-1,FALSE))</f>
        <v>17.738983229999999</v>
      </c>
      <c r="AD228">
        <f ca="1">IF(AND(ISNUMBER($AD$897),$B$677=1),$AD$897,HLOOKUP(INDIRECT(ADDRESS(2,COLUMN())),OFFSET($BN$2,0,0,ROW()-1,60),ROW()-1,FALSE))</f>
        <v>22.447344730000001</v>
      </c>
      <c r="AE228">
        <f ca="1">IF(AND(ISNUMBER($AE$897),$B$677=1),$AE$897,HLOOKUP(INDIRECT(ADDRESS(2,COLUMN())),OFFSET($BN$2,0,0,ROW()-1,60),ROW()-1,FALSE))</f>
        <v>30.422626650000002</v>
      </c>
      <c r="AF228">
        <f ca="1">IF(AND(ISNUMBER($AF$897),$B$677=1),$AF$897,HLOOKUP(INDIRECT(ADDRESS(2,COLUMN())),OFFSET($BN$2,0,0,ROW()-1,60),ROW()-1,FALSE))</f>
        <v>9.6436907680000008</v>
      </c>
      <c r="AG228">
        <f ca="1">IF(AND(ISNUMBER($AG$897),$B$677=1),$AG$897,HLOOKUP(INDIRECT(ADDRESS(2,COLUMN())),OFFSET($BN$2,0,0,ROW()-1,60),ROW()-1,FALSE))</f>
        <v>15.42086018</v>
      </c>
      <c r="AH228">
        <f ca="1">IF(AND(ISNUMBER($AH$897),$B$677=1),$AH$897,HLOOKUP(INDIRECT(ADDRESS(2,COLUMN())),OFFSET($BN$2,0,0,ROW()-1,60),ROW()-1,FALSE))</f>
        <v>15.965085849999999</v>
      </c>
      <c r="AI228">
        <f ca="1">IF(AND(ISNUMBER($AI$897),$B$677=1),$AI$897,HLOOKUP(INDIRECT(ADDRESS(2,COLUMN())),OFFSET($BN$2,0,0,ROW()-1,60),ROW()-1,FALSE))</f>
        <v>10.331357260000001</v>
      </c>
      <c r="AJ228">
        <f ca="1">IF(AND(ISNUMBER($AJ$897),$B$677=1),$AJ$897,HLOOKUP(INDIRECT(ADDRESS(2,COLUMN())),OFFSET($BN$2,0,0,ROW()-1,60),ROW()-1,FALSE))</f>
        <v>40.511086370000001</v>
      </c>
      <c r="AK228">
        <f ca="1">IF(AND(ISNUMBER($AK$897),$B$677=1),$AK$897,HLOOKUP(INDIRECT(ADDRESS(2,COLUMN())),OFFSET($BN$2,0,0,ROW()-1,60),ROW()-1,FALSE))</f>
        <v>10.674419500000001</v>
      </c>
      <c r="AL228">
        <f ca="1">IF(AND(ISNUMBER($AL$897),$B$677=1),$AL$897,HLOOKUP(INDIRECT(ADDRESS(2,COLUMN())),OFFSET($BN$2,0,0,ROW()-1,60),ROW()-1,FALSE))</f>
        <v>13.69289405</v>
      </c>
      <c r="AM228">
        <f ca="1">IF(AND(ISNUMBER($AM$897),$B$677=1),$AM$897,HLOOKUP(INDIRECT(ADDRESS(2,COLUMN())),OFFSET($BN$2,0,0,ROW()-1,60),ROW()-1,FALSE))</f>
        <v>21.025600489999999</v>
      </c>
      <c r="AN228">
        <f ca="1">IF(AND(ISNUMBER($AN$897),$B$677=1),$AN$897,HLOOKUP(INDIRECT(ADDRESS(2,COLUMN())),OFFSET($BN$2,0,0,ROW()-1,60),ROW()-1,FALSE))</f>
        <v>9.559531604</v>
      </c>
      <c r="AO228" t="str">
        <f ca="1">IF(AND(ISNUMBER($AO$897),$B$677=1),$AO$897,HLOOKUP(INDIRECT(ADDRESS(2,COLUMN())),OFFSET($BN$2,0,0,ROW()-1,60),ROW()-1,FALSE))</f>
        <v/>
      </c>
      <c r="AP228" t="str">
        <f ca="1">IF(AND(ISNUMBER($AP$897),$B$677=1),$AP$897,HLOOKUP(INDIRECT(ADDRESS(2,COLUMN())),OFFSET($BN$2,0,0,ROW()-1,60),ROW()-1,FALSE))</f>
        <v/>
      </c>
      <c r="AQ228" t="str">
        <f ca="1">IF(AND(ISNUMBER($AQ$897),$B$677=1),$AQ$897,HLOOKUP(INDIRECT(ADDRESS(2,COLUMN())),OFFSET($BN$2,0,0,ROW()-1,60),ROW()-1,FALSE))</f>
        <v/>
      </c>
      <c r="AR228" t="str">
        <f ca="1">IF(AND(ISNUMBER($AR$897),$B$677=1),$AR$897,HLOOKUP(INDIRECT(ADDRESS(2,COLUMN())),OFFSET($BN$2,0,0,ROW()-1,60),ROW()-1,FALSE))</f>
        <v/>
      </c>
      <c r="AS228" t="str">
        <f ca="1">IF(AND(ISNUMBER($AS$897),$B$677=1),$AS$897,HLOOKUP(INDIRECT(ADDRESS(2,COLUMN())),OFFSET($BN$2,0,0,ROW()-1,60),ROW()-1,FALSE))</f>
        <v/>
      </c>
      <c r="AT228" t="str">
        <f ca="1">IF(AND(ISNUMBER($AT$897),$B$677=1),$AT$897,HLOOKUP(INDIRECT(ADDRESS(2,COLUMN())),OFFSET($BN$2,0,0,ROW()-1,60),ROW()-1,FALSE))</f>
        <v/>
      </c>
      <c r="AU228" t="str">
        <f ca="1">IF(AND(ISNUMBER($AU$897),$B$677=1),$AU$897,HLOOKUP(INDIRECT(ADDRESS(2,COLUMN())),OFFSET($BN$2,0,0,ROW()-1,60),ROW()-1,FALSE))</f>
        <v/>
      </c>
      <c r="AV228" t="str">
        <f ca="1">IF(AND(ISNUMBER($AV$897),$B$677=1),$AV$897,HLOOKUP(INDIRECT(ADDRESS(2,COLUMN())),OFFSET($BN$2,0,0,ROW()-1,60),ROW()-1,FALSE))</f>
        <v/>
      </c>
      <c r="AW228" t="str">
        <f ca="1">IF(AND(ISNUMBER($AW$897),$B$677=1),$AW$897,HLOOKUP(INDIRECT(ADDRESS(2,COLUMN())),OFFSET($BN$2,0,0,ROW()-1,60),ROW()-1,FALSE))</f>
        <v/>
      </c>
      <c r="AX228" t="str">
        <f ca="1">IF(AND(ISNUMBER($AX$897),$B$677=1),$AX$897,HLOOKUP(INDIRECT(ADDRESS(2,COLUMN())),OFFSET($BN$2,0,0,ROW()-1,60),ROW()-1,FALSE))</f>
        <v/>
      </c>
      <c r="AY228" t="str">
        <f ca="1">IF(AND(ISNUMBER($AY$897),$B$677=1),$AY$897,HLOOKUP(INDIRECT(ADDRESS(2,COLUMN())),OFFSET($BN$2,0,0,ROW()-1,60),ROW()-1,FALSE))</f>
        <v/>
      </c>
      <c r="AZ228" t="str">
        <f ca="1">IF(AND(ISNUMBER($AZ$897),$B$677=1),$AZ$897,HLOOKUP(INDIRECT(ADDRESS(2,COLUMN())),OFFSET($BN$2,0,0,ROW()-1,60),ROW()-1,FALSE))</f>
        <v/>
      </c>
      <c r="BA228" t="str">
        <f ca="1">IF(AND(ISNUMBER($BA$897),$B$677=1),$BA$897,HLOOKUP(INDIRECT(ADDRESS(2,COLUMN())),OFFSET($BN$2,0,0,ROW()-1,60),ROW()-1,FALSE))</f>
        <v/>
      </c>
      <c r="BB228" t="str">
        <f ca="1">IF(AND(ISNUMBER($BB$897),$B$677=1),$BB$897,HLOOKUP(INDIRECT(ADDRESS(2,COLUMN())),OFFSET($BN$2,0,0,ROW()-1,60),ROW()-1,FALSE))</f>
        <v/>
      </c>
      <c r="BC228" t="str">
        <f ca="1">IF(AND(ISNUMBER($BC$897),$B$677=1),$BC$897,HLOOKUP(INDIRECT(ADDRESS(2,COLUMN())),OFFSET($BN$2,0,0,ROW()-1,60),ROW()-1,FALSE))</f>
        <v/>
      </c>
      <c r="BD228" t="str">
        <f ca="1">IF(AND(ISNUMBER($BD$897),$B$677=1),$BD$897,HLOOKUP(INDIRECT(ADDRESS(2,COLUMN())),OFFSET($BN$2,0,0,ROW()-1,60),ROW()-1,FALSE))</f>
        <v/>
      </c>
      <c r="BE228" t="str">
        <f ca="1">IF(AND(ISNUMBER($BE$897),$B$677=1),$BE$897,HLOOKUP(INDIRECT(ADDRESS(2,COLUMN())),OFFSET($BN$2,0,0,ROW()-1,60),ROW()-1,FALSE))</f>
        <v/>
      </c>
      <c r="BF228" t="str">
        <f ca="1">IF(AND(ISNUMBER($BF$897),$B$677=1),$BF$897,HLOOKUP(INDIRECT(ADDRESS(2,COLUMN())),OFFSET($BN$2,0,0,ROW()-1,60),ROW()-1,FALSE))</f>
        <v/>
      </c>
      <c r="BG228" t="str">
        <f ca="1">IF(AND(ISNUMBER($BG$897),$B$677=1),$BG$897,HLOOKUP(INDIRECT(ADDRESS(2,COLUMN())),OFFSET($BN$2,0,0,ROW()-1,60),ROW()-1,FALSE))</f>
        <v/>
      </c>
      <c r="BH228" t="str">
        <f ca="1">IF(AND(ISNUMBER($BH$897),$B$677=1),$BH$897,HLOOKUP(INDIRECT(ADDRESS(2,COLUMN())),OFFSET($BN$2,0,0,ROW()-1,60),ROW()-1,FALSE))</f>
        <v/>
      </c>
      <c r="BI228" t="str">
        <f ca="1">IF(AND(ISNUMBER($BI$897),$B$677=1),$BI$897,HLOOKUP(INDIRECT(ADDRESS(2,COLUMN())),OFFSET($BN$2,0,0,ROW()-1,60),ROW()-1,FALSE))</f>
        <v/>
      </c>
      <c r="BJ228" t="str">
        <f ca="1">IF(AND(ISNUMBER($BJ$897),$B$677=1),$BJ$897,HLOOKUP(INDIRECT(ADDRESS(2,COLUMN())),OFFSET($BN$2,0,0,ROW()-1,60),ROW()-1,FALSE))</f>
        <v/>
      </c>
      <c r="BK228" t="str">
        <f ca="1">IF(AND(ISNUMBER($BK$897),$B$677=1),$BK$897,HLOOKUP(INDIRECT(ADDRESS(2,COLUMN())),OFFSET($BN$2,0,0,ROW()-1,60),ROW()-1,FALSE))</f>
        <v/>
      </c>
      <c r="BL228" t="str">
        <f ca="1">IF(AND(ISNUMBER($BL$897),$B$677=1),$BL$897,HLOOKUP(INDIRECT(ADDRESS(2,COLUMN())),OFFSET($BN$2,0,0,ROW()-1,60),ROW()-1,FALSE))</f>
        <v/>
      </c>
      <c r="BM228" t="str">
        <f ca="1">IF(AND(ISNUMBER($BM$897),$B$677=1),$BM$897,HLOOKUP(INDIRECT(ADDRESS(2,COLUMN())),OFFSET($BN$2,0,0,ROW()-1,60),ROW()-1,FALSE))</f>
        <v/>
      </c>
      <c r="BN228" t="str">
        <f>""</f>
        <v/>
      </c>
      <c r="BO228" t="str">
        <f>""</f>
        <v/>
      </c>
      <c r="BP228">
        <f>22.52437516</f>
        <v>22.524375160000002</v>
      </c>
      <c r="BQ228">
        <f>19.95108783</f>
        <v>19.951087829999999</v>
      </c>
      <c r="BR228">
        <f>12.8143177</f>
        <v>12.8143177</v>
      </c>
      <c r="BS228">
        <f>8.939995325</f>
        <v>8.9399953249999999</v>
      </c>
      <c r="BT228">
        <f>52.76542301</f>
        <v>52.765423009999999</v>
      </c>
      <c r="BU228">
        <f>15.28489736</f>
        <v>15.28489736</v>
      </c>
      <c r="BV228">
        <f>10.46372108</f>
        <v>10.463721079999999</v>
      </c>
      <c r="BW228">
        <f>11.31607807</f>
        <v>11.31607807</v>
      </c>
      <c r="BX228">
        <f>6.995049891</f>
        <v>6.9950498909999999</v>
      </c>
      <c r="BY228">
        <f>7.062905384</f>
        <v>7.0629053839999996</v>
      </c>
      <c r="BZ228">
        <f>7.57516999</f>
        <v>7.57516999</v>
      </c>
      <c r="CA228">
        <f>8.390482453</f>
        <v>8.3904824530000006</v>
      </c>
      <c r="CB228">
        <f>8.390592384</f>
        <v>8.3905923839999996</v>
      </c>
      <c r="CC228">
        <f>20.33425336</f>
        <v>20.334253360000002</v>
      </c>
      <c r="CD228">
        <f>42.97895414</f>
        <v>42.978954139999999</v>
      </c>
      <c r="CE228">
        <f>29.56155719</f>
        <v>29.561557189999998</v>
      </c>
      <c r="CF228">
        <f>256.192484</f>
        <v>256.19248399999998</v>
      </c>
      <c r="CG228">
        <f>304.8620453</f>
        <v>304.86204529999998</v>
      </c>
      <c r="CH228">
        <f>40.65286217</f>
        <v>40.652862169999999</v>
      </c>
      <c r="CI228">
        <f>24.44328551</f>
        <v>24.443285509999999</v>
      </c>
      <c r="CJ228">
        <f>17.22964178</f>
        <v>17.229641780000001</v>
      </c>
      <c r="CK228">
        <f>17.73898323</f>
        <v>17.738983229999999</v>
      </c>
      <c r="CL228">
        <f>22.44734473</f>
        <v>22.447344730000001</v>
      </c>
      <c r="CM228">
        <f>30.42262665</f>
        <v>30.422626650000002</v>
      </c>
      <c r="CN228">
        <f>9.643690768</f>
        <v>9.6436907680000008</v>
      </c>
      <c r="CO228">
        <f>15.42086018</f>
        <v>15.42086018</v>
      </c>
      <c r="CP228">
        <f>15.96508585</f>
        <v>15.965085849999999</v>
      </c>
      <c r="CQ228">
        <f>10.33135726</f>
        <v>10.331357260000001</v>
      </c>
      <c r="CR228">
        <f>40.51108637</f>
        <v>40.511086370000001</v>
      </c>
      <c r="CS228">
        <f>10.6744195</f>
        <v>10.674419500000001</v>
      </c>
      <c r="CT228">
        <f>13.69289405</f>
        <v>13.69289405</v>
      </c>
      <c r="CU228">
        <f>21.02560049</f>
        <v>21.025600489999999</v>
      </c>
      <c r="CV228">
        <f>9.559531604</f>
        <v>9.559531604</v>
      </c>
      <c r="CW228" t="str">
        <f>""</f>
        <v/>
      </c>
      <c r="CX228" t="str">
        <f>""</f>
        <v/>
      </c>
      <c r="CY228" t="str">
        <f>""</f>
        <v/>
      </c>
      <c r="CZ228" t="str">
        <f>""</f>
        <v/>
      </c>
      <c r="DA228" t="str">
        <f>""</f>
        <v/>
      </c>
      <c r="DB228" t="str">
        <f>""</f>
        <v/>
      </c>
      <c r="DC228" t="str">
        <f>""</f>
        <v/>
      </c>
      <c r="DD228" t="str">
        <f>""</f>
        <v/>
      </c>
      <c r="DE228" t="str">
        <f>""</f>
        <v/>
      </c>
      <c r="DF228" t="str">
        <f>""</f>
        <v/>
      </c>
      <c r="DG228" t="str">
        <f>""</f>
        <v/>
      </c>
      <c r="DH228" t="str">
        <f>""</f>
        <v/>
      </c>
      <c r="DI228" t="str">
        <f>""</f>
        <v/>
      </c>
      <c r="DJ228" t="str">
        <f>""</f>
        <v/>
      </c>
      <c r="DK228" t="str">
        <f>""</f>
        <v/>
      </c>
      <c r="DL228" t="str">
        <f>""</f>
        <v/>
      </c>
      <c r="DM228" t="str">
        <f>""</f>
        <v/>
      </c>
      <c r="DN228" t="str">
        <f>""</f>
        <v/>
      </c>
      <c r="DO228" t="str">
        <f>""</f>
        <v/>
      </c>
      <c r="DP228" t="str">
        <f>""</f>
        <v/>
      </c>
      <c r="DQ228" t="str">
        <f>""</f>
        <v/>
      </c>
      <c r="DR228" t="str">
        <f>""</f>
        <v/>
      </c>
      <c r="DS228" t="str">
        <f>""</f>
        <v/>
      </c>
      <c r="DT228" t="str">
        <f>""</f>
        <v/>
      </c>
      <c r="DU228" t="str">
        <f>""</f>
        <v/>
      </c>
    </row>
    <row r="229" spans="1:125" x14ac:dyDescent="0.25">
      <c r="A229" t="str">
        <f>"    Honda Motor Co Ltd"</f>
        <v xml:space="preserve">    Honda Motor Co Ltd</v>
      </c>
      <c r="B229" t="str">
        <f>"7267 JP Equity"</f>
        <v>7267 JP Equity</v>
      </c>
      <c r="C229" t="str">
        <f t="shared" si="15"/>
        <v>RR971</v>
      </c>
      <c r="D229" t="str">
        <f t="shared" si="16"/>
        <v>CURRENT_PX_TO_FREE_CASH_FLOW</v>
      </c>
      <c r="E229" t="str">
        <f t="shared" si="17"/>
        <v>Dynamic</v>
      </c>
      <c r="F229">
        <f ca="1">IF(AND(ISNUMBER($F$898),$B$677=1),$F$898,HLOOKUP(INDIRECT(ADDRESS(2,COLUMN())),OFFSET($BN$2,0,0,ROW()-1,60),ROW()-1,FALSE))</f>
        <v>12.322054059999999</v>
      </c>
      <c r="G229">
        <f ca="1">IF(AND(ISNUMBER($G$898),$B$677=1),$G$898,HLOOKUP(INDIRECT(ADDRESS(2,COLUMN())),OFFSET($BN$2,0,0,ROW()-1,60),ROW()-1,FALSE))</f>
        <v>11.413179360000001</v>
      </c>
      <c r="H229">
        <f ca="1">IF(AND(ISNUMBER($H$898),$B$677=1),$H$898,HLOOKUP(INDIRECT(ADDRESS(2,COLUMN())),OFFSET($BN$2,0,0,ROW()-1,60),ROW()-1,FALSE))</f>
        <v>12.479339700000001</v>
      </c>
      <c r="I229">
        <f ca="1">IF(AND(ISNUMBER($I$898),$B$677=1),$I$898,HLOOKUP(INDIRECT(ADDRESS(2,COLUMN())),OFFSET($BN$2,0,0,ROW()-1,60),ROW()-1,FALSE))</f>
        <v>9.8618607110000003</v>
      </c>
      <c r="J229">
        <f ca="1">IF(AND(ISNUMBER($J$898),$B$677=1),$J$898,HLOOKUP(INDIRECT(ADDRESS(2,COLUMN())),OFFSET($BN$2,0,0,ROW()-1,60),ROW()-1,FALSE))</f>
        <v>11.45643297</v>
      </c>
      <c r="K229">
        <f ca="1">IF(AND(ISNUMBER($K$898),$B$677=1),$K$898,HLOOKUP(INDIRECT(ADDRESS(2,COLUMN())),OFFSET($BN$2,0,0,ROW()-1,60),ROW()-1,FALSE))</f>
        <v>11.2037494</v>
      </c>
      <c r="L229">
        <f ca="1">IF(AND(ISNUMBER($L$898),$B$677=1),$L$898,HLOOKUP(INDIRECT(ADDRESS(2,COLUMN())),OFFSET($BN$2,0,0,ROW()-1,60),ROW()-1,FALSE))</f>
        <v>12.66611773</v>
      </c>
      <c r="M229">
        <f ca="1">IF(AND(ISNUMBER($M$898),$B$677=1),$M$898,HLOOKUP(INDIRECT(ADDRESS(2,COLUMN())),OFFSET($BN$2,0,0,ROW()-1,60),ROW()-1,FALSE))</f>
        <v>13.673049170000001</v>
      </c>
      <c r="N229">
        <f ca="1">IF(AND(ISNUMBER($N$898),$B$677=1),$N$898,HLOOKUP(INDIRECT(ADDRESS(2,COLUMN())),OFFSET($BN$2,0,0,ROW()-1,60),ROW()-1,FALSE))</f>
        <v>15.44848172</v>
      </c>
      <c r="O229">
        <f ca="1">IF(AND(ISNUMBER($O$898),$B$677=1),$O$898,HLOOKUP(INDIRECT(ADDRESS(2,COLUMN())),OFFSET($BN$2,0,0,ROW()-1,60),ROW()-1,FALSE))</f>
        <v>17.255801689999998</v>
      </c>
      <c r="P229">
        <f ca="1">IF(AND(ISNUMBER($P$898),$B$677=1),$P$898,HLOOKUP(INDIRECT(ADDRESS(2,COLUMN())),OFFSET($BN$2,0,0,ROW()-1,60),ROW()-1,FALSE))</f>
        <v>9.6899856700000004</v>
      </c>
      <c r="Q229">
        <f ca="1">IF(AND(ISNUMBER($Q$898),$B$677=1),$Q$898,HLOOKUP(INDIRECT(ADDRESS(2,COLUMN())),OFFSET($BN$2,0,0,ROW()-1,60),ROW()-1,FALSE))</f>
        <v>8.1896696139999996</v>
      </c>
      <c r="R229">
        <f ca="1">IF(AND(ISNUMBER($R$898),$B$677=1),$R$898,HLOOKUP(INDIRECT(ADDRESS(2,COLUMN())),OFFSET($BN$2,0,0,ROW()-1,60),ROW()-1,FALSE))</f>
        <v>7.3587085529999996</v>
      </c>
      <c r="S229">
        <f ca="1">IF(AND(ISNUMBER($S$898),$B$677=1),$S$898,HLOOKUP(INDIRECT(ADDRESS(2,COLUMN())),OFFSET($BN$2,0,0,ROW()-1,60),ROW()-1,FALSE))</f>
        <v>9.5044098859999995</v>
      </c>
      <c r="T229">
        <f ca="1">IF(AND(ISNUMBER($T$898),$B$677=1),$T$898,HLOOKUP(INDIRECT(ADDRESS(2,COLUMN())),OFFSET($BN$2,0,0,ROW()-1,60),ROW()-1,FALSE))</f>
        <v>8.7849955529999999</v>
      </c>
      <c r="U229">
        <f ca="1">IF(AND(ISNUMBER($U$898),$B$677=1),$U$898,HLOOKUP(INDIRECT(ADDRESS(2,COLUMN())),OFFSET($BN$2,0,0,ROW()-1,60),ROW()-1,FALSE))</f>
        <v>11.10883961</v>
      </c>
      <c r="V229">
        <f ca="1">IF(AND(ISNUMBER($V$898),$B$677=1),$V$898,HLOOKUP(INDIRECT(ADDRESS(2,COLUMN())),OFFSET($BN$2,0,0,ROW()-1,60),ROW()-1,FALSE))</f>
        <v>18.834354680000001</v>
      </c>
      <c r="W229">
        <f ca="1">IF(AND(ISNUMBER($W$898),$B$677=1),$W$898,HLOOKUP(INDIRECT(ADDRESS(2,COLUMN())),OFFSET($BN$2,0,0,ROW()-1,60),ROW()-1,FALSE))</f>
        <v>30.3899613</v>
      </c>
      <c r="X229">
        <f ca="1">IF(AND(ISNUMBER($X$898),$B$677=1),$X$898,HLOOKUP(INDIRECT(ADDRESS(2,COLUMN())),OFFSET($BN$2,0,0,ROW()-1,60),ROW()-1,FALSE))</f>
        <v>38.532168509999998</v>
      </c>
      <c r="Y229">
        <f ca="1">IF(AND(ISNUMBER($Y$898),$B$677=1),$Y$898,HLOOKUP(INDIRECT(ADDRESS(2,COLUMN())),OFFSET($BN$2,0,0,ROW()-1,60),ROW()-1,FALSE))</f>
        <v>18.310625909999999</v>
      </c>
      <c r="Z229">
        <f ca="1">IF(AND(ISNUMBER($Z$898),$B$677=1),$Z$898,HLOOKUP(INDIRECT(ADDRESS(2,COLUMN())),OFFSET($BN$2,0,0,ROW()-1,60),ROW()-1,FALSE))</f>
        <v>13.58380242</v>
      </c>
      <c r="AA229">
        <f ca="1">IF(AND(ISNUMBER($AA$898),$B$677=1),$AA$898,HLOOKUP(INDIRECT(ADDRESS(2,COLUMN())),OFFSET($BN$2,0,0,ROW()-1,60),ROW()-1,FALSE))</f>
        <v>16.23791503</v>
      </c>
      <c r="AB229">
        <f ca="1">IF(AND(ISNUMBER($AB$898),$B$677=1),$AB$898,HLOOKUP(INDIRECT(ADDRESS(2,COLUMN())),OFFSET($BN$2,0,0,ROW()-1,60),ROW()-1,FALSE))</f>
        <v>13.769526519999999</v>
      </c>
      <c r="AC229">
        <f ca="1">IF(AND(ISNUMBER($AC$898),$B$677=1),$AC$898,HLOOKUP(INDIRECT(ADDRESS(2,COLUMN())),OFFSET($BN$2,0,0,ROW()-1,60),ROW()-1,FALSE))</f>
        <v>29.295243880000001</v>
      </c>
      <c r="AD229">
        <f ca="1">IF(AND(ISNUMBER($AD$898),$B$677=1),$AD$898,HLOOKUP(INDIRECT(ADDRESS(2,COLUMN())),OFFSET($BN$2,0,0,ROW()-1,60),ROW()-1,FALSE))</f>
        <v>36.851412850000003</v>
      </c>
      <c r="AE229">
        <f ca="1">IF(AND(ISNUMBER($AE$898),$B$677=1),$AE$898,HLOOKUP(INDIRECT(ADDRESS(2,COLUMN())),OFFSET($BN$2,0,0,ROW()-1,60),ROW()-1,FALSE))</f>
        <v>39.233851010000002</v>
      </c>
      <c r="AF229">
        <f ca="1">IF(AND(ISNUMBER($AF$898),$B$677=1),$AF$898,HLOOKUP(INDIRECT(ADDRESS(2,COLUMN())),OFFSET($BN$2,0,0,ROW()-1,60),ROW()-1,FALSE))</f>
        <v>195.08278079999999</v>
      </c>
      <c r="AG229">
        <f ca="1">IF(AND(ISNUMBER($AG$898),$B$677=1),$AG$898,HLOOKUP(INDIRECT(ADDRESS(2,COLUMN())),OFFSET($BN$2,0,0,ROW()-1,60),ROW()-1,FALSE))</f>
        <v>19.60510665</v>
      </c>
      <c r="AH229">
        <f ca="1">IF(AND(ISNUMBER($AH$898),$B$677=1),$AH$898,HLOOKUP(INDIRECT(ADDRESS(2,COLUMN())),OFFSET($BN$2,0,0,ROW()-1,60),ROW()-1,FALSE))</f>
        <v>16.66094455</v>
      </c>
      <c r="AI229">
        <f ca="1">IF(AND(ISNUMBER($AI$898),$B$677=1),$AI$898,HLOOKUP(INDIRECT(ADDRESS(2,COLUMN())),OFFSET($BN$2,0,0,ROW()-1,60),ROW()-1,FALSE))</f>
        <v>9.2346850319999998</v>
      </c>
      <c r="AJ229">
        <f ca="1">IF(AND(ISNUMBER($AJ$898),$B$677=1),$AJ$898,HLOOKUP(INDIRECT(ADDRESS(2,COLUMN())),OFFSET($BN$2,0,0,ROW()-1,60),ROW()-1,FALSE))</f>
        <v>7.5211482140000001</v>
      </c>
      <c r="AK229">
        <f ca="1">IF(AND(ISNUMBER($AK$898),$B$677=1),$AK$898,HLOOKUP(INDIRECT(ADDRESS(2,COLUMN())),OFFSET($BN$2,0,0,ROW()-1,60),ROW()-1,FALSE))</f>
        <v>9.3441850019999997</v>
      </c>
      <c r="AL229">
        <f ca="1">IF(AND(ISNUMBER($AL$898),$B$677=1),$AL$898,HLOOKUP(INDIRECT(ADDRESS(2,COLUMN())),OFFSET($BN$2,0,0,ROW()-1,60),ROW()-1,FALSE))</f>
        <v>7.5107412949999999</v>
      </c>
      <c r="AM229">
        <f ca="1">IF(AND(ISNUMBER($AM$898),$B$677=1),$AM$898,HLOOKUP(INDIRECT(ADDRESS(2,COLUMN())),OFFSET($BN$2,0,0,ROW()-1,60),ROW()-1,FALSE))</f>
        <v>7.2374237709999996</v>
      </c>
      <c r="AN229">
        <f ca="1">IF(AND(ISNUMBER($AN$898),$B$677=1),$AN$898,HLOOKUP(INDIRECT(ADDRESS(2,COLUMN())),OFFSET($BN$2,0,0,ROW()-1,60),ROW()-1,FALSE))</f>
        <v>5.7799016390000002</v>
      </c>
      <c r="AO229">
        <f ca="1">IF(AND(ISNUMBER($AO$898),$B$677=1),$AO$898,HLOOKUP(INDIRECT(ADDRESS(2,COLUMN())),OFFSET($BN$2,0,0,ROW()-1,60),ROW()-1,FALSE))</f>
        <v>4.0638756899999997</v>
      </c>
      <c r="AP229">
        <f ca="1">IF(AND(ISNUMBER($AP$898),$B$677=1),$AP$898,HLOOKUP(INDIRECT(ADDRESS(2,COLUMN())),OFFSET($BN$2,0,0,ROW()-1,60),ROW()-1,FALSE))</f>
        <v>5.1986678309999999</v>
      </c>
      <c r="AQ229">
        <f ca="1">IF(AND(ISNUMBER($AQ$898),$B$677=1),$AQ$898,HLOOKUP(INDIRECT(ADDRESS(2,COLUMN())),OFFSET($BN$2,0,0,ROW()-1,60),ROW()-1,FALSE))</f>
        <v>7.6410923139999998</v>
      </c>
      <c r="AR229">
        <f ca="1">IF(AND(ISNUMBER($AR$898),$B$677=1),$AR$898,HLOOKUP(INDIRECT(ADDRESS(2,COLUMN())),OFFSET($BN$2,0,0,ROW()-1,60),ROW()-1,FALSE))</f>
        <v>14.49584802</v>
      </c>
      <c r="AS229" t="str">
        <f ca="1">IF(AND(ISNUMBER($AS$898),$B$677=1),$AS$898,HLOOKUP(INDIRECT(ADDRESS(2,COLUMN())),OFFSET($BN$2,0,0,ROW()-1,60),ROW()-1,FALSE))</f>
        <v/>
      </c>
      <c r="AT229" t="str">
        <f ca="1">IF(AND(ISNUMBER($AT$898),$B$677=1),$AT$898,HLOOKUP(INDIRECT(ADDRESS(2,COLUMN())),OFFSET($BN$2,0,0,ROW()-1,60),ROW()-1,FALSE))</f>
        <v/>
      </c>
      <c r="AU229">
        <f ca="1">IF(AND(ISNUMBER($AU$898),$B$677=1),$AU$898,HLOOKUP(INDIRECT(ADDRESS(2,COLUMN())),OFFSET($BN$2,0,0,ROW()-1,60),ROW()-1,FALSE))</f>
        <v>98.117104670000003</v>
      </c>
      <c r="AV229">
        <f ca="1">IF(AND(ISNUMBER($AV$898),$B$677=1),$AV$898,HLOOKUP(INDIRECT(ADDRESS(2,COLUMN())),OFFSET($BN$2,0,0,ROW()-1,60),ROW()-1,FALSE))</f>
        <v>161.01001239999999</v>
      </c>
      <c r="AW229" t="str">
        <f ca="1">IF(AND(ISNUMBER($AW$898),$B$677=1),$AW$898,HLOOKUP(INDIRECT(ADDRESS(2,COLUMN())),OFFSET($BN$2,0,0,ROW()-1,60),ROW()-1,FALSE))</f>
        <v/>
      </c>
      <c r="AX229" t="str">
        <f ca="1">IF(AND(ISNUMBER($AX$898),$B$677=1),$AX$898,HLOOKUP(INDIRECT(ADDRESS(2,COLUMN())),OFFSET($BN$2,0,0,ROW()-1,60),ROW()-1,FALSE))</f>
        <v/>
      </c>
      <c r="AY229" t="str">
        <f ca="1">IF(AND(ISNUMBER($AY$898),$B$677=1),$AY$898,HLOOKUP(INDIRECT(ADDRESS(2,COLUMN())),OFFSET($BN$2,0,0,ROW()-1,60),ROW()-1,FALSE))</f>
        <v/>
      </c>
      <c r="AZ229" t="str">
        <f ca="1">IF(AND(ISNUMBER($AZ$898),$B$677=1),$AZ$898,HLOOKUP(INDIRECT(ADDRESS(2,COLUMN())),OFFSET($BN$2,0,0,ROW()-1,60),ROW()-1,FALSE))</f>
        <v/>
      </c>
      <c r="BA229" t="str">
        <f ca="1">IF(AND(ISNUMBER($BA$898),$B$677=1),$BA$898,HLOOKUP(INDIRECT(ADDRESS(2,COLUMN())),OFFSET($BN$2,0,0,ROW()-1,60),ROW()-1,FALSE))</f>
        <v/>
      </c>
      <c r="BB229">
        <f ca="1">IF(AND(ISNUMBER($BB$898),$B$677=1),$BB$898,HLOOKUP(INDIRECT(ADDRESS(2,COLUMN())),OFFSET($BN$2,0,0,ROW()-1,60),ROW()-1,FALSE))</f>
        <v>84.801685370000001</v>
      </c>
      <c r="BC229">
        <f ca="1">IF(AND(ISNUMBER($BC$898),$B$677=1),$BC$898,HLOOKUP(INDIRECT(ADDRESS(2,COLUMN())),OFFSET($BN$2,0,0,ROW()-1,60),ROW()-1,FALSE))</f>
        <v>97.928236179999999</v>
      </c>
      <c r="BD229">
        <f ca="1">IF(AND(ISNUMBER($BD$898),$B$677=1),$BD$898,HLOOKUP(INDIRECT(ADDRESS(2,COLUMN())),OFFSET($BN$2,0,0,ROW()-1,60),ROW()-1,FALSE))</f>
        <v>43.419640379999997</v>
      </c>
      <c r="BE229">
        <f ca="1">IF(AND(ISNUMBER($BE$898),$B$677=1),$BE$898,HLOOKUP(INDIRECT(ADDRESS(2,COLUMN())),OFFSET($BN$2,0,0,ROW()-1,60),ROW()-1,FALSE))</f>
        <v>46.479405470000003</v>
      </c>
      <c r="BF229">
        <f ca="1">IF(AND(ISNUMBER($BF$898),$B$677=1),$BF$898,HLOOKUP(INDIRECT(ADDRESS(2,COLUMN())),OFFSET($BN$2,0,0,ROW()-1,60),ROW()-1,FALSE))</f>
        <v>55.536931170000003</v>
      </c>
      <c r="BG229">
        <f ca="1">IF(AND(ISNUMBER($BG$898),$B$677=1),$BG$898,HLOOKUP(INDIRECT(ADDRESS(2,COLUMN())),OFFSET($BN$2,0,0,ROW()-1,60),ROW()-1,FALSE))</f>
        <v>39.522160049999997</v>
      </c>
      <c r="BH229">
        <f ca="1">IF(AND(ISNUMBER($BH$898),$B$677=1),$BH$898,HLOOKUP(INDIRECT(ADDRESS(2,COLUMN())),OFFSET($BN$2,0,0,ROW()-1,60),ROW()-1,FALSE))</f>
        <v>17.644154459999999</v>
      </c>
      <c r="BI229">
        <f ca="1">IF(AND(ISNUMBER($BI$898),$B$677=1),$BI$898,HLOOKUP(INDIRECT(ADDRESS(2,COLUMN())),OFFSET($BN$2,0,0,ROW()-1,60),ROW()-1,FALSE))</f>
        <v>14.58482873</v>
      </c>
      <c r="BJ229">
        <f ca="1">IF(AND(ISNUMBER($BJ$898),$B$677=1),$BJ$898,HLOOKUP(INDIRECT(ADDRESS(2,COLUMN())),OFFSET($BN$2,0,0,ROW()-1,60),ROW()-1,FALSE))</f>
        <v>13.43418102</v>
      </c>
      <c r="BK229" t="str">
        <f ca="1">IF(AND(ISNUMBER($BK$898),$B$677=1),$BK$898,HLOOKUP(INDIRECT(ADDRESS(2,COLUMN())),OFFSET($BN$2,0,0,ROW()-1,60),ROW()-1,FALSE))</f>
        <v/>
      </c>
      <c r="BL229" t="str">
        <f ca="1">IF(AND(ISNUMBER($BL$898),$B$677=1),$BL$898,HLOOKUP(INDIRECT(ADDRESS(2,COLUMN())),OFFSET($BN$2,0,0,ROW()-1,60),ROW()-1,FALSE))</f>
        <v/>
      </c>
      <c r="BM229" t="str">
        <f ca="1">IF(AND(ISNUMBER($BM$898),$B$677=1),$BM$898,HLOOKUP(INDIRECT(ADDRESS(2,COLUMN())),OFFSET($BN$2,0,0,ROW()-1,60),ROW()-1,FALSE))</f>
        <v/>
      </c>
      <c r="BN229">
        <f>12.32205406</f>
        <v>12.322054059999999</v>
      </c>
      <c r="BO229">
        <f>11.41317936</f>
        <v>11.413179360000001</v>
      </c>
      <c r="BP229">
        <f>12.4793397</f>
        <v>12.479339700000001</v>
      </c>
      <c r="BQ229">
        <f>9.861860711</f>
        <v>9.8618607110000003</v>
      </c>
      <c r="BR229">
        <f>11.45643297</f>
        <v>11.45643297</v>
      </c>
      <c r="BS229">
        <f>11.2037494</f>
        <v>11.2037494</v>
      </c>
      <c r="BT229">
        <f>12.66611773</f>
        <v>12.66611773</v>
      </c>
      <c r="BU229">
        <f>13.67304917</f>
        <v>13.673049170000001</v>
      </c>
      <c r="BV229">
        <f>15.44848172</f>
        <v>15.44848172</v>
      </c>
      <c r="BW229">
        <f>17.25580169</f>
        <v>17.255801689999998</v>
      </c>
      <c r="BX229">
        <f>9.68998567</f>
        <v>9.6899856700000004</v>
      </c>
      <c r="BY229">
        <f>8.189669614</f>
        <v>8.1896696139999996</v>
      </c>
      <c r="BZ229">
        <f>7.358708553</f>
        <v>7.3587085529999996</v>
      </c>
      <c r="CA229">
        <f>9.504409886</f>
        <v>9.5044098859999995</v>
      </c>
      <c r="CB229">
        <f>8.784995553</f>
        <v>8.7849955529999999</v>
      </c>
      <c r="CC229">
        <f>11.10883961</f>
        <v>11.10883961</v>
      </c>
      <c r="CD229">
        <f>18.83435468</f>
        <v>18.834354680000001</v>
      </c>
      <c r="CE229">
        <f>30.3899613</f>
        <v>30.3899613</v>
      </c>
      <c r="CF229">
        <f>38.53216851</f>
        <v>38.532168509999998</v>
      </c>
      <c r="CG229">
        <f>18.31062591</f>
        <v>18.310625909999999</v>
      </c>
      <c r="CH229">
        <f>13.58380242</f>
        <v>13.58380242</v>
      </c>
      <c r="CI229">
        <f>16.23791503</f>
        <v>16.23791503</v>
      </c>
      <c r="CJ229">
        <f>13.76952652</f>
        <v>13.769526519999999</v>
      </c>
      <c r="CK229">
        <f>29.29524388</f>
        <v>29.295243880000001</v>
      </c>
      <c r="CL229">
        <f>36.85141285</f>
        <v>36.851412850000003</v>
      </c>
      <c r="CM229">
        <f>39.23385101</f>
        <v>39.233851010000002</v>
      </c>
      <c r="CN229">
        <f>195.0827808</f>
        <v>195.08278079999999</v>
      </c>
      <c r="CO229">
        <f>19.60510665</f>
        <v>19.60510665</v>
      </c>
      <c r="CP229">
        <f>16.66094455</f>
        <v>16.66094455</v>
      </c>
      <c r="CQ229">
        <f>9.234685032</f>
        <v>9.2346850319999998</v>
      </c>
      <c r="CR229">
        <f>7.521148214</f>
        <v>7.5211482140000001</v>
      </c>
      <c r="CS229">
        <f>9.344185002</f>
        <v>9.3441850019999997</v>
      </c>
      <c r="CT229">
        <f>7.510741295</f>
        <v>7.5107412949999999</v>
      </c>
      <c r="CU229">
        <f>7.237423771</f>
        <v>7.2374237709999996</v>
      </c>
      <c r="CV229">
        <f>5.779901639</f>
        <v>5.7799016390000002</v>
      </c>
      <c r="CW229">
        <f>4.06387569</f>
        <v>4.0638756899999997</v>
      </c>
      <c r="CX229">
        <f>5.198667831</f>
        <v>5.1986678309999999</v>
      </c>
      <c r="CY229">
        <f>7.641092314</f>
        <v>7.6410923139999998</v>
      </c>
      <c r="CZ229">
        <f>14.49584802</f>
        <v>14.49584802</v>
      </c>
      <c r="DA229" t="str">
        <f>""</f>
        <v/>
      </c>
      <c r="DB229" t="str">
        <f>""</f>
        <v/>
      </c>
      <c r="DC229">
        <f>98.11710467</f>
        <v>98.117104670000003</v>
      </c>
      <c r="DD229">
        <f>161.0100124</f>
        <v>161.01001239999999</v>
      </c>
      <c r="DE229" t="str">
        <f>""</f>
        <v/>
      </c>
      <c r="DF229" t="str">
        <f>""</f>
        <v/>
      </c>
      <c r="DG229" t="str">
        <f>""</f>
        <v/>
      </c>
      <c r="DH229" t="str">
        <f>""</f>
        <v/>
      </c>
      <c r="DI229" t="str">
        <f>""</f>
        <v/>
      </c>
      <c r="DJ229">
        <f>84.80168537</f>
        <v>84.801685370000001</v>
      </c>
      <c r="DK229">
        <f>97.92823618</f>
        <v>97.928236179999999</v>
      </c>
      <c r="DL229">
        <f>43.41964038</f>
        <v>43.419640379999997</v>
      </c>
      <c r="DM229">
        <f>46.47940547</f>
        <v>46.479405470000003</v>
      </c>
      <c r="DN229">
        <f>55.53693117</f>
        <v>55.536931170000003</v>
      </c>
      <c r="DO229">
        <f>39.52216005</f>
        <v>39.522160049999997</v>
      </c>
      <c r="DP229">
        <f>17.64415446</f>
        <v>17.644154459999999</v>
      </c>
      <c r="DQ229">
        <f>14.58482873</f>
        <v>14.58482873</v>
      </c>
      <c r="DR229">
        <f>13.43418102</f>
        <v>13.43418102</v>
      </c>
      <c r="DS229" t="str">
        <f>""</f>
        <v/>
      </c>
      <c r="DT229" t="str">
        <f>""</f>
        <v/>
      </c>
      <c r="DU229" t="str">
        <f>""</f>
        <v/>
      </c>
    </row>
    <row r="230" spans="1:125" x14ac:dyDescent="0.25">
      <c r="A230" t="str">
        <f>"    Hyundai Motor Co"</f>
        <v xml:space="preserve">    Hyundai Motor Co</v>
      </c>
      <c r="B230" t="str">
        <f>"005380 KS Equity"</f>
        <v>005380 KS Equity</v>
      </c>
      <c r="C230" t="str">
        <f t="shared" si="15"/>
        <v>RR971</v>
      </c>
      <c r="D230" t="str">
        <f t="shared" si="16"/>
        <v>CURRENT_PX_TO_FREE_CASH_FLOW</v>
      </c>
      <c r="E230" t="str">
        <f t="shared" si="17"/>
        <v>Dynamic</v>
      </c>
      <c r="F230" t="str">
        <f ca="1">IF(AND(ISNUMBER($F$899),$B$677=1),$F$899,HLOOKUP(INDIRECT(ADDRESS(2,COLUMN())),OFFSET($BN$2,0,0,ROW()-1,60),ROW()-1,FALSE))</f>
        <v/>
      </c>
      <c r="G230">
        <f ca="1">IF(AND(ISNUMBER($G$899),$B$677=1),$G$899,HLOOKUP(INDIRECT(ADDRESS(2,COLUMN())),OFFSET($BN$2,0,0,ROW()-1,60),ROW()-1,FALSE))</f>
        <v>12.19505273</v>
      </c>
      <c r="H230">
        <f ca="1">IF(AND(ISNUMBER($H$899),$B$677=1),$H$899,HLOOKUP(INDIRECT(ADDRESS(2,COLUMN())),OFFSET($BN$2,0,0,ROW()-1,60),ROW()-1,FALSE))</f>
        <v>13.32708294</v>
      </c>
      <c r="I230">
        <f ca="1">IF(AND(ISNUMBER($I$899),$B$677=1),$I$899,HLOOKUP(INDIRECT(ADDRESS(2,COLUMN())),OFFSET($BN$2,0,0,ROW()-1,60),ROW()-1,FALSE))</f>
        <v>17.01782858</v>
      </c>
      <c r="J230">
        <f ca="1">IF(AND(ISNUMBER($J$899),$B$677=1),$J$899,HLOOKUP(INDIRECT(ADDRESS(2,COLUMN())),OFFSET($BN$2,0,0,ROW()-1,60),ROW()-1,FALSE))</f>
        <v>31.645162129999999</v>
      </c>
      <c r="K230">
        <f ca="1">IF(AND(ISNUMBER($K$899),$B$677=1),$K$899,HLOOKUP(INDIRECT(ADDRESS(2,COLUMN())),OFFSET($BN$2,0,0,ROW()-1,60),ROW()-1,FALSE))</f>
        <v>37.238290309999996</v>
      </c>
      <c r="L230" t="str">
        <f ca="1">IF(AND(ISNUMBER($L$899),$B$677=1),$L$899,HLOOKUP(INDIRECT(ADDRESS(2,COLUMN())),OFFSET($BN$2,0,0,ROW()-1,60),ROW()-1,FALSE))</f>
        <v/>
      </c>
      <c r="M230">
        <f ca="1">IF(AND(ISNUMBER($M$899),$B$677=1),$M$899,HLOOKUP(INDIRECT(ADDRESS(2,COLUMN())),OFFSET($BN$2,0,0,ROW()-1,60),ROW()-1,FALSE))</f>
        <v>558.41615090000005</v>
      </c>
      <c r="N230">
        <f ca="1">IF(AND(ISNUMBER($N$899),$B$677=1),$N$899,HLOOKUP(INDIRECT(ADDRESS(2,COLUMN())),OFFSET($BN$2,0,0,ROW()-1,60),ROW()-1,FALSE))</f>
        <v>546.27666929999998</v>
      </c>
      <c r="O230" t="str">
        <f ca="1">IF(AND(ISNUMBER($O$899),$B$677=1),$O$899,HLOOKUP(INDIRECT(ADDRESS(2,COLUMN())),OFFSET($BN$2,0,0,ROW()-1,60),ROW()-1,FALSE))</f>
        <v/>
      </c>
      <c r="P230" t="str">
        <f ca="1">IF(AND(ISNUMBER($P$899),$B$677=1),$P$899,HLOOKUP(INDIRECT(ADDRESS(2,COLUMN())),OFFSET($BN$2,0,0,ROW()-1,60),ROW()-1,FALSE))</f>
        <v/>
      </c>
      <c r="Q230" t="str">
        <f ca="1">IF(AND(ISNUMBER($Q$899),$B$677=1),$Q$899,HLOOKUP(INDIRECT(ADDRESS(2,COLUMN())),OFFSET($BN$2,0,0,ROW()-1,60),ROW()-1,FALSE))</f>
        <v/>
      </c>
      <c r="R230" t="str">
        <f ca="1">IF(AND(ISNUMBER($R$899),$B$677=1),$R$899,HLOOKUP(INDIRECT(ADDRESS(2,COLUMN())),OFFSET($BN$2,0,0,ROW()-1,60),ROW()-1,FALSE))</f>
        <v/>
      </c>
      <c r="S230" t="str">
        <f ca="1">IF(AND(ISNUMBER($S$899),$B$677=1),$S$899,HLOOKUP(INDIRECT(ADDRESS(2,COLUMN())),OFFSET($BN$2,0,0,ROW()-1,60),ROW()-1,FALSE))</f>
        <v/>
      </c>
      <c r="T230" t="str">
        <f ca="1">IF(AND(ISNUMBER($T$899),$B$677=1),$T$899,HLOOKUP(INDIRECT(ADDRESS(2,COLUMN())),OFFSET($BN$2,0,0,ROW()-1,60),ROW()-1,FALSE))</f>
        <v/>
      </c>
      <c r="U230" t="str">
        <f ca="1">IF(AND(ISNUMBER($U$899),$B$677=1),$U$899,HLOOKUP(INDIRECT(ADDRESS(2,COLUMN())),OFFSET($BN$2,0,0,ROW()-1,60),ROW()-1,FALSE))</f>
        <v/>
      </c>
      <c r="V230" t="str">
        <f ca="1">IF(AND(ISNUMBER($V$899),$B$677=1),$V$899,HLOOKUP(INDIRECT(ADDRESS(2,COLUMN())),OFFSET($BN$2,0,0,ROW()-1,60),ROW()-1,FALSE))</f>
        <v/>
      </c>
      <c r="W230" t="str">
        <f ca="1">IF(AND(ISNUMBER($W$899),$B$677=1),$W$899,HLOOKUP(INDIRECT(ADDRESS(2,COLUMN())),OFFSET($BN$2,0,0,ROW()-1,60),ROW()-1,FALSE))</f>
        <v/>
      </c>
      <c r="X230" t="str">
        <f ca="1">IF(AND(ISNUMBER($X$899),$B$677=1),$X$899,HLOOKUP(INDIRECT(ADDRESS(2,COLUMN())),OFFSET($BN$2,0,0,ROW()-1,60),ROW()-1,FALSE))</f>
        <v/>
      </c>
      <c r="Y230" t="str">
        <f ca="1">IF(AND(ISNUMBER($Y$899),$B$677=1),$Y$899,HLOOKUP(INDIRECT(ADDRESS(2,COLUMN())),OFFSET($BN$2,0,0,ROW()-1,60),ROW()-1,FALSE))</f>
        <v/>
      </c>
      <c r="Z230" t="str">
        <f ca="1">IF(AND(ISNUMBER($Z$899),$B$677=1),$Z$899,HLOOKUP(INDIRECT(ADDRESS(2,COLUMN())),OFFSET($BN$2,0,0,ROW()-1,60),ROW()-1,FALSE))</f>
        <v/>
      </c>
      <c r="AA230">
        <f ca="1">IF(AND(ISNUMBER($AA$899),$B$677=1),$AA$899,HLOOKUP(INDIRECT(ADDRESS(2,COLUMN())),OFFSET($BN$2,0,0,ROW()-1,60),ROW()-1,FALSE))</f>
        <v>31.660260430000001</v>
      </c>
      <c r="AB230">
        <f ca="1">IF(AND(ISNUMBER($AB$899),$B$677=1),$AB$899,HLOOKUP(INDIRECT(ADDRESS(2,COLUMN())),OFFSET($BN$2,0,0,ROW()-1,60),ROW()-1,FALSE))</f>
        <v>34.626254330000002</v>
      </c>
      <c r="AC230">
        <f ca="1">IF(AND(ISNUMBER($AC$899),$B$677=1),$AC$899,HLOOKUP(INDIRECT(ADDRESS(2,COLUMN())),OFFSET($BN$2,0,0,ROW()-1,60),ROW()-1,FALSE))</f>
        <v>12.301906020000001</v>
      </c>
      <c r="AD230">
        <f ca="1">IF(AND(ISNUMBER($AD$899),$B$677=1),$AD$899,HLOOKUP(INDIRECT(ADDRESS(2,COLUMN())),OFFSET($BN$2,0,0,ROW()-1,60),ROW()-1,FALSE))</f>
        <v>20.992099270000001</v>
      </c>
      <c r="AE230">
        <f ca="1">IF(AND(ISNUMBER($AE$899),$B$677=1),$AE$899,HLOOKUP(INDIRECT(ADDRESS(2,COLUMN())),OFFSET($BN$2,0,0,ROW()-1,60),ROW()-1,FALSE))</f>
        <v>19.543728170000001</v>
      </c>
      <c r="AF230">
        <f ca="1">IF(AND(ISNUMBER($AF$899),$B$677=1),$AF$899,HLOOKUP(INDIRECT(ADDRESS(2,COLUMN())),OFFSET($BN$2,0,0,ROW()-1,60),ROW()-1,FALSE))</f>
        <v>18.135132469999999</v>
      </c>
      <c r="AG230">
        <f ca="1">IF(AND(ISNUMBER($AG$899),$B$677=1),$AG$899,HLOOKUP(INDIRECT(ADDRESS(2,COLUMN())),OFFSET($BN$2,0,0,ROW()-1,60),ROW()-1,FALSE))</f>
        <v>35.435532270000003</v>
      </c>
      <c r="AH230">
        <f ca="1">IF(AND(ISNUMBER($AH$899),$B$677=1),$AH$899,HLOOKUP(INDIRECT(ADDRESS(2,COLUMN())),OFFSET($BN$2,0,0,ROW()-1,60),ROW()-1,FALSE))</f>
        <v>28.74920959</v>
      </c>
      <c r="AI230">
        <f ca="1">IF(AND(ISNUMBER($AI$899),$B$677=1),$AI$899,HLOOKUP(INDIRECT(ADDRESS(2,COLUMN())),OFFSET($BN$2,0,0,ROW()-1,60),ROW()-1,FALSE))</f>
        <v>36.176200600000001</v>
      </c>
      <c r="AJ230">
        <f ca="1">IF(AND(ISNUMBER($AJ$899),$B$677=1),$AJ$899,HLOOKUP(INDIRECT(ADDRESS(2,COLUMN())),OFFSET($BN$2,0,0,ROW()-1,60),ROW()-1,FALSE))</f>
        <v>35.307371619999998</v>
      </c>
      <c r="AK230">
        <f ca="1">IF(AND(ISNUMBER($AK$899),$B$677=1),$AK$899,HLOOKUP(INDIRECT(ADDRESS(2,COLUMN())),OFFSET($BN$2,0,0,ROW()-1,60),ROW()-1,FALSE))</f>
        <v>34.786112260000003</v>
      </c>
      <c r="AL230">
        <f ca="1">IF(AND(ISNUMBER($AL$899),$B$677=1),$AL$899,HLOOKUP(INDIRECT(ADDRESS(2,COLUMN())),OFFSET($BN$2,0,0,ROW()-1,60),ROW()-1,FALSE))</f>
        <v>20.961861379999998</v>
      </c>
      <c r="AM230">
        <f ca="1">IF(AND(ISNUMBER($AM$899),$B$677=1),$AM$899,HLOOKUP(INDIRECT(ADDRESS(2,COLUMN())),OFFSET($BN$2,0,0,ROW()-1,60),ROW()-1,FALSE))</f>
        <v>15.574472</v>
      </c>
      <c r="AN230" t="str">
        <f ca="1">IF(AND(ISNUMBER($AN$899),$B$677=1),$AN$899,HLOOKUP(INDIRECT(ADDRESS(2,COLUMN())),OFFSET($BN$2,0,0,ROW()-1,60),ROW()-1,FALSE))</f>
        <v/>
      </c>
      <c r="AO230" t="str">
        <f ca="1">IF(AND(ISNUMBER($AO$899),$B$677=1),$AO$899,HLOOKUP(INDIRECT(ADDRESS(2,COLUMN())),OFFSET($BN$2,0,0,ROW()-1,60),ROW()-1,FALSE))</f>
        <v/>
      </c>
      <c r="AP230" t="str">
        <f ca="1">IF(AND(ISNUMBER($AP$899),$B$677=1),$AP$899,HLOOKUP(INDIRECT(ADDRESS(2,COLUMN())),OFFSET($BN$2,0,0,ROW()-1,60),ROW()-1,FALSE))</f>
        <v/>
      </c>
      <c r="AQ230" t="str">
        <f ca="1">IF(AND(ISNUMBER($AQ$899),$B$677=1),$AQ$899,HLOOKUP(INDIRECT(ADDRESS(2,COLUMN())),OFFSET($BN$2,0,0,ROW()-1,60),ROW()-1,FALSE))</f>
        <v/>
      </c>
      <c r="AR230" t="str">
        <f ca="1">IF(AND(ISNUMBER($AR$899),$B$677=1),$AR$899,HLOOKUP(INDIRECT(ADDRESS(2,COLUMN())),OFFSET($BN$2,0,0,ROW()-1,60),ROW()-1,FALSE))</f>
        <v/>
      </c>
      <c r="AS230" t="str">
        <f ca="1">IF(AND(ISNUMBER($AS$899),$B$677=1),$AS$899,HLOOKUP(INDIRECT(ADDRESS(2,COLUMN())),OFFSET($BN$2,0,0,ROW()-1,60),ROW()-1,FALSE))</f>
        <v/>
      </c>
      <c r="AT230" t="str">
        <f ca="1">IF(AND(ISNUMBER($AT$899),$B$677=1),$AT$899,HLOOKUP(INDIRECT(ADDRESS(2,COLUMN())),OFFSET($BN$2,0,0,ROW()-1,60),ROW()-1,FALSE))</f>
        <v/>
      </c>
      <c r="AU230" t="str">
        <f ca="1">IF(AND(ISNUMBER($AU$899),$B$677=1),$AU$899,HLOOKUP(INDIRECT(ADDRESS(2,COLUMN())),OFFSET($BN$2,0,0,ROW()-1,60),ROW()-1,FALSE))</f>
        <v/>
      </c>
      <c r="AV230" t="str">
        <f ca="1">IF(AND(ISNUMBER($AV$899),$B$677=1),$AV$899,HLOOKUP(INDIRECT(ADDRESS(2,COLUMN())),OFFSET($BN$2,0,0,ROW()-1,60),ROW()-1,FALSE))</f>
        <v/>
      </c>
      <c r="AW230" t="str">
        <f ca="1">IF(AND(ISNUMBER($AW$899),$B$677=1),$AW$899,HLOOKUP(INDIRECT(ADDRESS(2,COLUMN())),OFFSET($BN$2,0,0,ROW()-1,60),ROW()-1,FALSE))</f>
        <v/>
      </c>
      <c r="AX230" t="str">
        <f ca="1">IF(AND(ISNUMBER($AX$899),$B$677=1),$AX$899,HLOOKUP(INDIRECT(ADDRESS(2,COLUMN())),OFFSET($BN$2,0,0,ROW()-1,60),ROW()-1,FALSE))</f>
        <v/>
      </c>
      <c r="AY230" t="str">
        <f ca="1">IF(AND(ISNUMBER($AY$899),$B$677=1),$AY$899,HLOOKUP(INDIRECT(ADDRESS(2,COLUMN())),OFFSET($BN$2,0,0,ROW()-1,60),ROW()-1,FALSE))</f>
        <v/>
      </c>
      <c r="AZ230" t="str">
        <f ca="1">IF(AND(ISNUMBER($AZ$899),$B$677=1),$AZ$899,HLOOKUP(INDIRECT(ADDRESS(2,COLUMN())),OFFSET($BN$2,0,0,ROW()-1,60),ROW()-1,FALSE))</f>
        <v/>
      </c>
      <c r="BA230" t="str">
        <f ca="1">IF(AND(ISNUMBER($BA$899),$B$677=1),$BA$899,HLOOKUP(INDIRECT(ADDRESS(2,COLUMN())),OFFSET($BN$2,0,0,ROW()-1,60),ROW()-1,FALSE))</f>
        <v/>
      </c>
      <c r="BB230" t="str">
        <f ca="1">IF(AND(ISNUMBER($BB$899),$B$677=1),$BB$899,HLOOKUP(INDIRECT(ADDRESS(2,COLUMN())),OFFSET($BN$2,0,0,ROW()-1,60),ROW()-1,FALSE))</f>
        <v/>
      </c>
      <c r="BC230" t="str">
        <f ca="1">IF(AND(ISNUMBER($BC$899),$B$677=1),$BC$899,HLOOKUP(INDIRECT(ADDRESS(2,COLUMN())),OFFSET($BN$2,0,0,ROW()-1,60),ROW()-1,FALSE))</f>
        <v/>
      </c>
      <c r="BD230" t="str">
        <f ca="1">IF(AND(ISNUMBER($BD$899),$B$677=1),$BD$899,HLOOKUP(INDIRECT(ADDRESS(2,COLUMN())),OFFSET($BN$2,0,0,ROW()-1,60),ROW()-1,FALSE))</f>
        <v/>
      </c>
      <c r="BE230" t="str">
        <f ca="1">IF(AND(ISNUMBER($BE$899),$B$677=1),$BE$899,HLOOKUP(INDIRECT(ADDRESS(2,COLUMN())),OFFSET($BN$2,0,0,ROW()-1,60),ROW()-1,FALSE))</f>
        <v/>
      </c>
      <c r="BF230" t="str">
        <f ca="1">IF(AND(ISNUMBER($BF$899),$B$677=1),$BF$899,HLOOKUP(INDIRECT(ADDRESS(2,COLUMN())),OFFSET($BN$2,0,0,ROW()-1,60),ROW()-1,FALSE))</f>
        <v/>
      </c>
      <c r="BG230" t="str">
        <f ca="1">IF(AND(ISNUMBER($BG$899),$B$677=1),$BG$899,HLOOKUP(INDIRECT(ADDRESS(2,COLUMN())),OFFSET($BN$2,0,0,ROW()-1,60),ROW()-1,FALSE))</f>
        <v/>
      </c>
      <c r="BH230" t="str">
        <f ca="1">IF(AND(ISNUMBER($BH$899),$B$677=1),$BH$899,HLOOKUP(INDIRECT(ADDRESS(2,COLUMN())),OFFSET($BN$2,0,0,ROW()-1,60),ROW()-1,FALSE))</f>
        <v/>
      </c>
      <c r="BI230" t="str">
        <f ca="1">IF(AND(ISNUMBER($BI$899),$B$677=1),$BI$899,HLOOKUP(INDIRECT(ADDRESS(2,COLUMN())),OFFSET($BN$2,0,0,ROW()-1,60),ROW()-1,FALSE))</f>
        <v/>
      </c>
      <c r="BJ230" t="str">
        <f ca="1">IF(AND(ISNUMBER($BJ$899),$B$677=1),$BJ$899,HLOOKUP(INDIRECT(ADDRESS(2,COLUMN())),OFFSET($BN$2,0,0,ROW()-1,60),ROW()-1,FALSE))</f>
        <v/>
      </c>
      <c r="BK230" t="str">
        <f ca="1">IF(AND(ISNUMBER($BK$899),$B$677=1),$BK$899,HLOOKUP(INDIRECT(ADDRESS(2,COLUMN())),OFFSET($BN$2,0,0,ROW()-1,60),ROW()-1,FALSE))</f>
        <v/>
      </c>
      <c r="BL230" t="str">
        <f ca="1">IF(AND(ISNUMBER($BL$899),$B$677=1),$BL$899,HLOOKUP(INDIRECT(ADDRESS(2,COLUMN())),OFFSET($BN$2,0,0,ROW()-1,60),ROW()-1,FALSE))</f>
        <v/>
      </c>
      <c r="BM230" t="str">
        <f ca="1">IF(AND(ISNUMBER($BM$899),$B$677=1),$BM$899,HLOOKUP(INDIRECT(ADDRESS(2,COLUMN())),OFFSET($BN$2,0,0,ROW()-1,60),ROW()-1,FALSE))</f>
        <v/>
      </c>
      <c r="BN230" t="str">
        <f>""</f>
        <v/>
      </c>
      <c r="BO230">
        <f>12.19505273</f>
        <v>12.19505273</v>
      </c>
      <c r="BP230">
        <f>13.32708294</f>
        <v>13.32708294</v>
      </c>
      <c r="BQ230">
        <f>17.01782858</f>
        <v>17.01782858</v>
      </c>
      <c r="BR230">
        <f>31.64516213</f>
        <v>31.645162129999999</v>
      </c>
      <c r="BS230">
        <f>37.23829031</f>
        <v>37.238290309999996</v>
      </c>
      <c r="BT230" t="str">
        <f>""</f>
        <v/>
      </c>
      <c r="BU230">
        <f>558.4161509</f>
        <v>558.41615090000005</v>
      </c>
      <c r="BV230">
        <f>546.2766693</f>
        <v>546.27666929999998</v>
      </c>
      <c r="BW230" t="str">
        <f>""</f>
        <v/>
      </c>
      <c r="BX230" t="str">
        <f>""</f>
        <v/>
      </c>
      <c r="BY230" t="str">
        <f>""</f>
        <v/>
      </c>
      <c r="BZ230" t="str">
        <f>""</f>
        <v/>
      </c>
      <c r="CA230" t="str">
        <f>""</f>
        <v/>
      </c>
      <c r="CB230" t="str">
        <f>""</f>
        <v/>
      </c>
      <c r="CC230" t="str">
        <f>""</f>
        <v/>
      </c>
      <c r="CD230" t="str">
        <f>""</f>
        <v/>
      </c>
      <c r="CE230" t="str">
        <f>""</f>
        <v/>
      </c>
      <c r="CF230" t="str">
        <f>""</f>
        <v/>
      </c>
      <c r="CG230" t="str">
        <f>""</f>
        <v/>
      </c>
      <c r="CH230" t="str">
        <f>""</f>
        <v/>
      </c>
      <c r="CI230">
        <f>31.66026043</f>
        <v>31.660260430000001</v>
      </c>
      <c r="CJ230">
        <f>34.62625433</f>
        <v>34.626254330000002</v>
      </c>
      <c r="CK230">
        <f>12.30190602</f>
        <v>12.301906020000001</v>
      </c>
      <c r="CL230">
        <f>20.99209927</f>
        <v>20.992099270000001</v>
      </c>
      <c r="CM230">
        <f>19.54372817</f>
        <v>19.543728170000001</v>
      </c>
      <c r="CN230">
        <f>18.13513247</f>
        <v>18.135132469999999</v>
      </c>
      <c r="CO230">
        <f>35.43553227</f>
        <v>35.435532270000003</v>
      </c>
      <c r="CP230">
        <f>28.74920959</f>
        <v>28.74920959</v>
      </c>
      <c r="CQ230">
        <f>36.1762006</f>
        <v>36.176200600000001</v>
      </c>
      <c r="CR230">
        <f>35.30737162</f>
        <v>35.307371619999998</v>
      </c>
      <c r="CS230">
        <f>34.78611226</f>
        <v>34.786112260000003</v>
      </c>
      <c r="CT230">
        <f>20.96186138</f>
        <v>20.961861379999998</v>
      </c>
      <c r="CU230">
        <f>15.574472</f>
        <v>15.574472</v>
      </c>
      <c r="CV230" t="str">
        <f>""</f>
        <v/>
      </c>
      <c r="CW230" t="str">
        <f>""</f>
        <v/>
      </c>
      <c r="CX230" t="str">
        <f>""</f>
        <v/>
      </c>
      <c r="CY230" t="str">
        <f>""</f>
        <v/>
      </c>
      <c r="CZ230" t="str">
        <f>""</f>
        <v/>
      </c>
      <c r="DA230" t="str">
        <f>""</f>
        <v/>
      </c>
      <c r="DB230" t="str">
        <f>""</f>
        <v/>
      </c>
      <c r="DC230" t="str">
        <f>""</f>
        <v/>
      </c>
      <c r="DD230" t="str">
        <f>""</f>
        <v/>
      </c>
      <c r="DE230" t="str">
        <f>""</f>
        <v/>
      </c>
      <c r="DF230" t="str">
        <f>""</f>
        <v/>
      </c>
      <c r="DG230" t="str">
        <f>""</f>
        <v/>
      </c>
      <c r="DH230" t="str">
        <f>""</f>
        <v/>
      </c>
      <c r="DI230" t="str">
        <f>""</f>
        <v/>
      </c>
      <c r="DJ230" t="str">
        <f>""</f>
        <v/>
      </c>
      <c r="DK230" t="str">
        <f>""</f>
        <v/>
      </c>
      <c r="DL230" t="str">
        <f>""</f>
        <v/>
      </c>
      <c r="DM230" t="str">
        <f>""</f>
        <v/>
      </c>
      <c r="DN230" t="str">
        <f>""</f>
        <v/>
      </c>
      <c r="DO230" t="str">
        <f>""</f>
        <v/>
      </c>
      <c r="DP230" t="str">
        <f>""</f>
        <v/>
      </c>
      <c r="DQ230" t="str">
        <f>""</f>
        <v/>
      </c>
      <c r="DR230" t="str">
        <f>""</f>
        <v/>
      </c>
      <c r="DS230" t="str">
        <f>""</f>
        <v/>
      </c>
      <c r="DT230" t="str">
        <f>""</f>
        <v/>
      </c>
      <c r="DU230" t="str">
        <f>""</f>
        <v/>
      </c>
    </row>
    <row r="231" spans="1:125" x14ac:dyDescent="0.25">
      <c r="A231" t="str">
        <f>"    Kia Motors Corp"</f>
        <v xml:space="preserve">    Kia Motors Corp</v>
      </c>
      <c r="B231" t="str">
        <f>"000270 KS Equity"</f>
        <v>000270 KS Equity</v>
      </c>
      <c r="C231" t="str">
        <f t="shared" si="15"/>
        <v>RR971</v>
      </c>
      <c r="D231" t="str">
        <f t="shared" si="16"/>
        <v>CURRENT_PX_TO_FREE_CASH_FLOW</v>
      </c>
      <c r="E231" t="str">
        <f t="shared" si="17"/>
        <v>Dynamic</v>
      </c>
      <c r="F231" t="str">
        <f ca="1">IF(AND(ISNUMBER($F$900),$B$677=1),$F$900,HLOOKUP(INDIRECT(ADDRESS(2,COLUMN())),OFFSET($BN$2,0,0,ROW()-1,60),ROW()-1,FALSE))</f>
        <v/>
      </c>
      <c r="G231">
        <f ca="1">IF(AND(ISNUMBER($G$900),$B$677=1),$G$900,HLOOKUP(INDIRECT(ADDRESS(2,COLUMN())),OFFSET($BN$2,0,0,ROW()-1,60),ROW()-1,FALSE))</f>
        <v>5.7167909510000001</v>
      </c>
      <c r="H231">
        <f ca="1">IF(AND(ISNUMBER($H$900),$B$677=1),$H$900,HLOOKUP(INDIRECT(ADDRESS(2,COLUMN())),OFFSET($BN$2,0,0,ROW()-1,60),ROW()-1,FALSE))</f>
        <v>6.0713876669999998</v>
      </c>
      <c r="I231">
        <f ca="1">IF(AND(ISNUMBER($I$900),$B$677=1),$I$900,HLOOKUP(INDIRECT(ADDRESS(2,COLUMN())),OFFSET($BN$2,0,0,ROW()-1,60),ROW()-1,FALSE))</f>
        <v>4.4960587160000003</v>
      </c>
      <c r="J231">
        <f ca="1">IF(AND(ISNUMBER($J$900),$B$677=1),$J$900,HLOOKUP(INDIRECT(ADDRESS(2,COLUMN())),OFFSET($BN$2,0,0,ROW()-1,60),ROW()-1,FALSE))</f>
        <v>7.0751474950000004</v>
      </c>
      <c r="K231">
        <f ca="1">IF(AND(ISNUMBER($K$900),$B$677=1),$K$900,HLOOKUP(INDIRECT(ADDRESS(2,COLUMN())),OFFSET($BN$2,0,0,ROW()-1,60),ROW()-1,FALSE))</f>
        <v>14.84587565</v>
      </c>
      <c r="L231">
        <f ca="1">IF(AND(ISNUMBER($L$900),$B$677=1),$L$900,HLOOKUP(INDIRECT(ADDRESS(2,COLUMN())),OFFSET($BN$2,0,0,ROW()-1,60),ROW()-1,FALSE))</f>
        <v>15.16086443</v>
      </c>
      <c r="M231">
        <f ca="1">IF(AND(ISNUMBER($M$900),$B$677=1),$M$900,HLOOKUP(INDIRECT(ADDRESS(2,COLUMN())),OFFSET($BN$2,0,0,ROW()-1,60),ROW()-1,FALSE))</f>
        <v>34.277944959999999</v>
      </c>
      <c r="N231">
        <f ca="1">IF(AND(ISNUMBER($N$900),$B$677=1),$N$900,HLOOKUP(INDIRECT(ADDRESS(2,COLUMN())),OFFSET($BN$2,0,0,ROW()-1,60),ROW()-1,FALSE))</f>
        <v>6.1277458329999996</v>
      </c>
      <c r="O231">
        <f ca="1">IF(AND(ISNUMBER($O$900),$B$677=1),$O$900,HLOOKUP(INDIRECT(ADDRESS(2,COLUMN())),OFFSET($BN$2,0,0,ROW()-1,60),ROW()-1,FALSE))</f>
        <v>9.1322573479999996</v>
      </c>
      <c r="P231">
        <f ca="1">IF(AND(ISNUMBER($P$900),$B$677=1),$P$900,HLOOKUP(INDIRECT(ADDRESS(2,COLUMN())),OFFSET($BN$2,0,0,ROW()-1,60),ROW()-1,FALSE))</f>
        <v>8.7332507330000002</v>
      </c>
      <c r="Q231">
        <f ca="1">IF(AND(ISNUMBER($Q$900),$B$677=1),$Q$900,HLOOKUP(INDIRECT(ADDRESS(2,COLUMN())),OFFSET($BN$2,0,0,ROW()-1,60),ROW()-1,FALSE))</f>
        <v>10.47857737</v>
      </c>
      <c r="R231" t="str">
        <f ca="1">IF(AND(ISNUMBER($R$900),$B$677=1),$R$900,HLOOKUP(INDIRECT(ADDRESS(2,COLUMN())),OFFSET($BN$2,0,0,ROW()-1,60),ROW()-1,FALSE))</f>
        <v/>
      </c>
      <c r="S231">
        <f ca="1">IF(AND(ISNUMBER($S$900),$B$677=1),$S$900,HLOOKUP(INDIRECT(ADDRESS(2,COLUMN())),OFFSET($BN$2,0,0,ROW()-1,60),ROW()-1,FALSE))</f>
        <v>939.47683070000005</v>
      </c>
      <c r="T231">
        <f ca="1">IF(AND(ISNUMBER($T$900),$B$677=1),$T$900,HLOOKUP(INDIRECT(ADDRESS(2,COLUMN())),OFFSET($BN$2,0,0,ROW()-1,60),ROW()-1,FALSE))</f>
        <v>948.32312850000005</v>
      </c>
      <c r="U231">
        <f ca="1">IF(AND(ISNUMBER($U$900),$B$677=1),$U$900,HLOOKUP(INDIRECT(ADDRESS(2,COLUMN())),OFFSET($BN$2,0,0,ROW()-1,60),ROW()-1,FALSE))</f>
        <v>82.53703419</v>
      </c>
      <c r="V231">
        <f ca="1">IF(AND(ISNUMBER($V$900),$B$677=1),$V$900,HLOOKUP(INDIRECT(ADDRESS(2,COLUMN())),OFFSET($BN$2,0,0,ROW()-1,60),ROW()-1,FALSE))</f>
        <v>1218.92977</v>
      </c>
      <c r="W231">
        <f ca="1">IF(AND(ISNUMBER($W$900),$B$677=1),$W$900,HLOOKUP(INDIRECT(ADDRESS(2,COLUMN())),OFFSET($BN$2,0,0,ROW()-1,60),ROW()-1,FALSE))</f>
        <v>22.671879789999998</v>
      </c>
      <c r="X231">
        <f ca="1">IF(AND(ISNUMBER($X$900),$B$677=1),$X$900,HLOOKUP(INDIRECT(ADDRESS(2,COLUMN())),OFFSET($BN$2,0,0,ROW()-1,60),ROW()-1,FALSE))</f>
        <v>10.95675776</v>
      </c>
      <c r="Y231">
        <f ca="1">IF(AND(ISNUMBER($Y$900),$B$677=1),$Y$900,HLOOKUP(INDIRECT(ADDRESS(2,COLUMN())),OFFSET($BN$2,0,0,ROW()-1,60),ROW()-1,FALSE))</f>
        <v>12.278926050000001</v>
      </c>
      <c r="Z231">
        <f ca="1">IF(AND(ISNUMBER($Z$900),$B$677=1),$Z$900,HLOOKUP(INDIRECT(ADDRESS(2,COLUMN())),OFFSET($BN$2,0,0,ROW()-1,60),ROW()-1,FALSE))</f>
        <v>6.8252245670000002</v>
      </c>
      <c r="AA231">
        <f ca="1">IF(AND(ISNUMBER($AA$900),$B$677=1),$AA$900,HLOOKUP(INDIRECT(ADDRESS(2,COLUMN())),OFFSET($BN$2,0,0,ROW()-1,60),ROW()-1,FALSE))</f>
        <v>6.3388031759999999</v>
      </c>
      <c r="AB231">
        <f ca="1">IF(AND(ISNUMBER($AB$900),$B$677=1),$AB$900,HLOOKUP(INDIRECT(ADDRESS(2,COLUMN())),OFFSET($BN$2,0,0,ROW()-1,60),ROW()-1,FALSE))</f>
        <v>10.78938406</v>
      </c>
      <c r="AC231">
        <f ca="1">IF(AND(ISNUMBER($AC$900),$B$677=1),$AC$900,HLOOKUP(INDIRECT(ADDRESS(2,COLUMN())),OFFSET($BN$2,0,0,ROW()-1,60),ROW()-1,FALSE))</f>
        <v>9.4209425010000007</v>
      </c>
      <c r="AD231">
        <f ca="1">IF(AND(ISNUMBER($AD$900),$B$677=1),$AD$900,HLOOKUP(INDIRECT(ADDRESS(2,COLUMN())),OFFSET($BN$2,0,0,ROW()-1,60),ROW()-1,FALSE))</f>
        <v>10.28347439</v>
      </c>
      <c r="AE231">
        <f ca="1">IF(AND(ISNUMBER($AE$900),$B$677=1),$AE$900,HLOOKUP(INDIRECT(ADDRESS(2,COLUMN())),OFFSET($BN$2,0,0,ROW()-1,60),ROW()-1,FALSE))</f>
        <v>8.25390406</v>
      </c>
      <c r="AF231">
        <f ca="1">IF(AND(ISNUMBER($AF$900),$B$677=1),$AF$900,HLOOKUP(INDIRECT(ADDRESS(2,COLUMN())),OFFSET($BN$2,0,0,ROW()-1,60),ROW()-1,FALSE))</f>
        <v>7.6394742000000004</v>
      </c>
      <c r="AG231">
        <f ca="1">IF(AND(ISNUMBER($AG$900),$B$677=1),$AG$900,HLOOKUP(INDIRECT(ADDRESS(2,COLUMN())),OFFSET($BN$2,0,0,ROW()-1,60),ROW()-1,FALSE))</f>
        <v>7.9306005559999999</v>
      </c>
      <c r="AH231">
        <f ca="1">IF(AND(ISNUMBER($AH$900),$B$677=1),$AH$900,HLOOKUP(INDIRECT(ADDRESS(2,COLUMN())),OFFSET($BN$2,0,0,ROW()-1,60),ROW()-1,FALSE))</f>
        <v>8.9292345340000008</v>
      </c>
      <c r="AI231">
        <f ca="1">IF(AND(ISNUMBER($AI$900),$B$677=1),$AI$900,HLOOKUP(INDIRECT(ADDRESS(2,COLUMN())),OFFSET($BN$2,0,0,ROW()-1,60),ROW()-1,FALSE))</f>
        <v>8.0779269960000004</v>
      </c>
      <c r="AJ231">
        <f ca="1">IF(AND(ISNUMBER($AJ$900),$B$677=1),$AJ$900,HLOOKUP(INDIRECT(ADDRESS(2,COLUMN())),OFFSET($BN$2,0,0,ROW()-1,60),ROW()-1,FALSE))</f>
        <v>7.8030197049999996</v>
      </c>
      <c r="AK231">
        <f ca="1">IF(AND(ISNUMBER($AK$900),$B$677=1),$AK$900,HLOOKUP(INDIRECT(ADDRESS(2,COLUMN())),OFFSET($BN$2,0,0,ROW()-1,60),ROW()-1,FALSE))</f>
        <v>7.5182241779999996</v>
      </c>
      <c r="AL231">
        <f ca="1">IF(AND(ISNUMBER($AL$900),$B$677=1),$AL$900,HLOOKUP(INDIRECT(ADDRESS(2,COLUMN())),OFFSET($BN$2,0,0,ROW()-1,60),ROW()-1,FALSE))</f>
        <v>6.1177621359999996</v>
      </c>
      <c r="AM231">
        <f ca="1">IF(AND(ISNUMBER($AM$900),$B$677=1),$AM$900,HLOOKUP(INDIRECT(ADDRESS(2,COLUMN())),OFFSET($BN$2,0,0,ROW()-1,60),ROW()-1,FALSE))</f>
        <v>4.5416964980000003</v>
      </c>
      <c r="AN231" t="str">
        <f ca="1">IF(AND(ISNUMBER($AN$900),$B$677=1),$AN$900,HLOOKUP(INDIRECT(ADDRESS(2,COLUMN())),OFFSET($BN$2,0,0,ROW()-1,60),ROW()-1,FALSE))</f>
        <v/>
      </c>
      <c r="AO231" t="str">
        <f ca="1">IF(AND(ISNUMBER($AO$900),$B$677=1),$AO$900,HLOOKUP(INDIRECT(ADDRESS(2,COLUMN())),OFFSET($BN$2,0,0,ROW()-1,60),ROW()-1,FALSE))</f>
        <v/>
      </c>
      <c r="AP231" t="str">
        <f ca="1">IF(AND(ISNUMBER($AP$900),$B$677=1),$AP$900,HLOOKUP(INDIRECT(ADDRESS(2,COLUMN())),OFFSET($BN$2,0,0,ROW()-1,60),ROW()-1,FALSE))</f>
        <v/>
      </c>
      <c r="AQ231" t="str">
        <f ca="1">IF(AND(ISNUMBER($AQ$900),$B$677=1),$AQ$900,HLOOKUP(INDIRECT(ADDRESS(2,COLUMN())),OFFSET($BN$2,0,0,ROW()-1,60),ROW()-1,FALSE))</f>
        <v/>
      </c>
      <c r="AR231" t="str">
        <f ca="1">IF(AND(ISNUMBER($AR$900),$B$677=1),$AR$900,HLOOKUP(INDIRECT(ADDRESS(2,COLUMN())),OFFSET($BN$2,0,0,ROW()-1,60),ROW()-1,FALSE))</f>
        <v/>
      </c>
      <c r="AS231" t="str">
        <f ca="1">IF(AND(ISNUMBER($AS$900),$B$677=1),$AS$900,HLOOKUP(INDIRECT(ADDRESS(2,COLUMN())),OFFSET($BN$2,0,0,ROW()-1,60),ROW()-1,FALSE))</f>
        <v/>
      </c>
      <c r="AT231" t="str">
        <f ca="1">IF(AND(ISNUMBER($AT$900),$B$677=1),$AT$900,HLOOKUP(INDIRECT(ADDRESS(2,COLUMN())),OFFSET($BN$2,0,0,ROW()-1,60),ROW()-1,FALSE))</f>
        <v/>
      </c>
      <c r="AU231" t="str">
        <f ca="1">IF(AND(ISNUMBER($AU$900),$B$677=1),$AU$900,HLOOKUP(INDIRECT(ADDRESS(2,COLUMN())),OFFSET($BN$2,0,0,ROW()-1,60),ROW()-1,FALSE))</f>
        <v/>
      </c>
      <c r="AV231" t="str">
        <f ca="1">IF(AND(ISNUMBER($AV$900),$B$677=1),$AV$900,HLOOKUP(INDIRECT(ADDRESS(2,COLUMN())),OFFSET($BN$2,0,0,ROW()-1,60),ROW()-1,FALSE))</f>
        <v/>
      </c>
      <c r="AW231" t="str">
        <f ca="1">IF(AND(ISNUMBER($AW$900),$B$677=1),$AW$900,HLOOKUP(INDIRECT(ADDRESS(2,COLUMN())),OFFSET($BN$2,0,0,ROW()-1,60),ROW()-1,FALSE))</f>
        <v/>
      </c>
      <c r="AX231" t="str">
        <f ca="1">IF(AND(ISNUMBER($AX$900),$B$677=1),$AX$900,HLOOKUP(INDIRECT(ADDRESS(2,COLUMN())),OFFSET($BN$2,0,0,ROW()-1,60),ROW()-1,FALSE))</f>
        <v/>
      </c>
      <c r="AY231" t="str">
        <f ca="1">IF(AND(ISNUMBER($AY$900),$B$677=1),$AY$900,HLOOKUP(INDIRECT(ADDRESS(2,COLUMN())),OFFSET($BN$2,0,0,ROW()-1,60),ROW()-1,FALSE))</f>
        <v/>
      </c>
      <c r="AZ231" t="str">
        <f ca="1">IF(AND(ISNUMBER($AZ$900),$B$677=1),$AZ$900,HLOOKUP(INDIRECT(ADDRESS(2,COLUMN())),OFFSET($BN$2,0,0,ROW()-1,60),ROW()-1,FALSE))</f>
        <v/>
      </c>
      <c r="BA231" t="str">
        <f ca="1">IF(AND(ISNUMBER($BA$900),$B$677=1),$BA$900,HLOOKUP(INDIRECT(ADDRESS(2,COLUMN())),OFFSET($BN$2,0,0,ROW()-1,60),ROW()-1,FALSE))</f>
        <v/>
      </c>
      <c r="BB231" t="str">
        <f ca="1">IF(AND(ISNUMBER($BB$900),$B$677=1),$BB$900,HLOOKUP(INDIRECT(ADDRESS(2,COLUMN())),OFFSET($BN$2,0,0,ROW()-1,60),ROW()-1,FALSE))</f>
        <v/>
      </c>
      <c r="BC231" t="str">
        <f ca="1">IF(AND(ISNUMBER($BC$900),$B$677=1),$BC$900,HLOOKUP(INDIRECT(ADDRESS(2,COLUMN())),OFFSET($BN$2,0,0,ROW()-1,60),ROW()-1,FALSE))</f>
        <v/>
      </c>
      <c r="BD231" t="str">
        <f ca="1">IF(AND(ISNUMBER($BD$900),$B$677=1),$BD$900,HLOOKUP(INDIRECT(ADDRESS(2,COLUMN())),OFFSET($BN$2,0,0,ROW()-1,60),ROW()-1,FALSE))</f>
        <v/>
      </c>
      <c r="BE231" t="str">
        <f ca="1">IF(AND(ISNUMBER($BE$900),$B$677=1),$BE$900,HLOOKUP(INDIRECT(ADDRESS(2,COLUMN())),OFFSET($BN$2,0,0,ROW()-1,60),ROW()-1,FALSE))</f>
        <v/>
      </c>
      <c r="BF231" t="str">
        <f ca="1">IF(AND(ISNUMBER($BF$900),$B$677=1),$BF$900,HLOOKUP(INDIRECT(ADDRESS(2,COLUMN())),OFFSET($BN$2,0,0,ROW()-1,60),ROW()-1,FALSE))</f>
        <v/>
      </c>
      <c r="BG231" t="str">
        <f ca="1">IF(AND(ISNUMBER($BG$900),$B$677=1),$BG$900,HLOOKUP(INDIRECT(ADDRESS(2,COLUMN())),OFFSET($BN$2,0,0,ROW()-1,60),ROW()-1,FALSE))</f>
        <v/>
      </c>
      <c r="BH231" t="str">
        <f ca="1">IF(AND(ISNUMBER($BH$900),$B$677=1),$BH$900,HLOOKUP(INDIRECT(ADDRESS(2,COLUMN())),OFFSET($BN$2,0,0,ROW()-1,60),ROW()-1,FALSE))</f>
        <v/>
      </c>
      <c r="BI231" t="str">
        <f ca="1">IF(AND(ISNUMBER($BI$900),$B$677=1),$BI$900,HLOOKUP(INDIRECT(ADDRESS(2,COLUMN())),OFFSET($BN$2,0,0,ROW()-1,60),ROW()-1,FALSE))</f>
        <v/>
      </c>
      <c r="BJ231" t="str">
        <f ca="1">IF(AND(ISNUMBER($BJ$900),$B$677=1),$BJ$900,HLOOKUP(INDIRECT(ADDRESS(2,COLUMN())),OFFSET($BN$2,0,0,ROW()-1,60),ROW()-1,FALSE))</f>
        <v/>
      </c>
      <c r="BK231" t="str">
        <f ca="1">IF(AND(ISNUMBER($BK$900),$B$677=1),$BK$900,HLOOKUP(INDIRECT(ADDRESS(2,COLUMN())),OFFSET($BN$2,0,0,ROW()-1,60),ROW()-1,FALSE))</f>
        <v/>
      </c>
      <c r="BL231" t="str">
        <f ca="1">IF(AND(ISNUMBER($BL$900),$B$677=1),$BL$900,HLOOKUP(INDIRECT(ADDRESS(2,COLUMN())),OFFSET($BN$2,0,0,ROW()-1,60),ROW()-1,FALSE))</f>
        <v/>
      </c>
      <c r="BM231" t="str">
        <f ca="1">IF(AND(ISNUMBER($BM$900),$B$677=1),$BM$900,HLOOKUP(INDIRECT(ADDRESS(2,COLUMN())),OFFSET($BN$2,0,0,ROW()-1,60),ROW()-1,FALSE))</f>
        <v/>
      </c>
      <c r="BN231" t="str">
        <f>""</f>
        <v/>
      </c>
      <c r="BO231">
        <f>5.716790951</f>
        <v>5.7167909510000001</v>
      </c>
      <c r="BP231">
        <f>6.071387667</f>
        <v>6.0713876669999998</v>
      </c>
      <c r="BQ231">
        <f>4.496058716</f>
        <v>4.4960587160000003</v>
      </c>
      <c r="BR231">
        <f>7.075147495</f>
        <v>7.0751474950000004</v>
      </c>
      <c r="BS231">
        <f>14.84587565</f>
        <v>14.84587565</v>
      </c>
      <c r="BT231">
        <f>15.16086443</f>
        <v>15.16086443</v>
      </c>
      <c r="BU231">
        <f>34.27794496</f>
        <v>34.277944959999999</v>
      </c>
      <c r="BV231">
        <f>6.127745833</f>
        <v>6.1277458329999996</v>
      </c>
      <c r="BW231">
        <f>9.132257348</f>
        <v>9.1322573479999996</v>
      </c>
      <c r="BX231">
        <f>8.733250733</f>
        <v>8.7332507330000002</v>
      </c>
      <c r="BY231">
        <f>10.47857737</f>
        <v>10.47857737</v>
      </c>
      <c r="BZ231" t="str">
        <f>""</f>
        <v/>
      </c>
      <c r="CA231">
        <f>939.4768307</f>
        <v>939.47683070000005</v>
      </c>
      <c r="CB231">
        <f>948.3231285</f>
        <v>948.32312850000005</v>
      </c>
      <c r="CC231">
        <f>82.53703419</f>
        <v>82.53703419</v>
      </c>
      <c r="CD231">
        <f>1218.92977</f>
        <v>1218.92977</v>
      </c>
      <c r="CE231">
        <f>22.67187979</f>
        <v>22.671879789999998</v>
      </c>
      <c r="CF231">
        <f>10.95675776</f>
        <v>10.95675776</v>
      </c>
      <c r="CG231">
        <f>12.27892605</f>
        <v>12.278926050000001</v>
      </c>
      <c r="CH231">
        <f>6.825224567</f>
        <v>6.8252245670000002</v>
      </c>
      <c r="CI231">
        <f>6.338803176</f>
        <v>6.3388031759999999</v>
      </c>
      <c r="CJ231">
        <f>10.78938406</f>
        <v>10.78938406</v>
      </c>
      <c r="CK231">
        <f>9.420942501</f>
        <v>9.4209425010000007</v>
      </c>
      <c r="CL231">
        <f>10.28347439</f>
        <v>10.28347439</v>
      </c>
      <c r="CM231">
        <f>8.25390406</f>
        <v>8.25390406</v>
      </c>
      <c r="CN231">
        <f>7.6394742</f>
        <v>7.6394742000000004</v>
      </c>
      <c r="CO231">
        <f>7.930600556</f>
        <v>7.9306005559999999</v>
      </c>
      <c r="CP231">
        <f>8.929234534</f>
        <v>8.9292345340000008</v>
      </c>
      <c r="CQ231">
        <f>8.077926996</f>
        <v>8.0779269960000004</v>
      </c>
      <c r="CR231">
        <f>7.803019705</f>
        <v>7.8030197049999996</v>
      </c>
      <c r="CS231">
        <f>7.518224178</f>
        <v>7.5182241779999996</v>
      </c>
      <c r="CT231">
        <f>6.117762136</f>
        <v>6.1177621359999996</v>
      </c>
      <c r="CU231">
        <f>4.541696498</f>
        <v>4.5416964980000003</v>
      </c>
      <c r="CV231" t="str">
        <f>""</f>
        <v/>
      </c>
      <c r="CW231" t="str">
        <f>""</f>
        <v/>
      </c>
      <c r="CX231" t="str">
        <f>""</f>
        <v/>
      </c>
      <c r="CY231" t="str">
        <f>""</f>
        <v/>
      </c>
      <c r="CZ231" t="str">
        <f>""</f>
        <v/>
      </c>
      <c r="DA231" t="str">
        <f>""</f>
        <v/>
      </c>
      <c r="DB231" t="str">
        <f>""</f>
        <v/>
      </c>
      <c r="DC231" t="str">
        <f>""</f>
        <v/>
      </c>
      <c r="DD231" t="str">
        <f>""</f>
        <v/>
      </c>
      <c r="DE231" t="str">
        <f>""</f>
        <v/>
      </c>
      <c r="DF231" t="str">
        <f>""</f>
        <v/>
      </c>
      <c r="DG231" t="str">
        <f>""</f>
        <v/>
      </c>
      <c r="DH231" t="str">
        <f>""</f>
        <v/>
      </c>
      <c r="DI231" t="str">
        <f>""</f>
        <v/>
      </c>
      <c r="DJ231" t="str">
        <f>""</f>
        <v/>
      </c>
      <c r="DK231" t="str">
        <f>""</f>
        <v/>
      </c>
      <c r="DL231" t="str">
        <f>""</f>
        <v/>
      </c>
      <c r="DM231" t="str">
        <f>""</f>
        <v/>
      </c>
      <c r="DN231" t="str">
        <f>""</f>
        <v/>
      </c>
      <c r="DO231" t="str">
        <f>""</f>
        <v/>
      </c>
      <c r="DP231" t="str">
        <f>""</f>
        <v/>
      </c>
      <c r="DQ231" t="str">
        <f>""</f>
        <v/>
      </c>
      <c r="DR231" t="str">
        <f>""</f>
        <v/>
      </c>
      <c r="DS231" t="str">
        <f>""</f>
        <v/>
      </c>
      <c r="DT231" t="str">
        <f>""</f>
        <v/>
      </c>
      <c r="DU231" t="str">
        <f>""</f>
        <v/>
      </c>
    </row>
    <row r="232" spans="1:125" x14ac:dyDescent="0.25">
      <c r="A232" t="str">
        <f>"    Mazda Motor Corp"</f>
        <v xml:space="preserve">    Mazda Motor Corp</v>
      </c>
      <c r="B232" t="str">
        <f>"7261 JP Equity"</f>
        <v>7261 JP Equity</v>
      </c>
      <c r="C232" t="str">
        <f t="shared" si="15"/>
        <v>RR971</v>
      </c>
      <c r="D232" t="str">
        <f t="shared" si="16"/>
        <v>CURRENT_PX_TO_FREE_CASH_FLOW</v>
      </c>
      <c r="E232" t="str">
        <f t="shared" si="17"/>
        <v>Dynamic</v>
      </c>
      <c r="F232">
        <f ca="1">IF(AND(ISNUMBER($F$901),$B$677=1),$F$901,HLOOKUP(INDIRECT(ADDRESS(2,COLUMN())),OFFSET($BN$2,0,0,ROW()-1,60),ROW()-1,FALSE))</f>
        <v>12.15922838</v>
      </c>
      <c r="G232">
        <f ca="1">IF(AND(ISNUMBER($G$901),$B$677=1),$G$901,HLOOKUP(INDIRECT(ADDRESS(2,COLUMN())),OFFSET($BN$2,0,0,ROW()-1,60),ROW()-1,FALSE))</f>
        <v>10.72734101</v>
      </c>
      <c r="H232">
        <f ca="1">IF(AND(ISNUMBER($H$901),$B$677=1),$H$901,HLOOKUP(INDIRECT(ADDRESS(2,COLUMN())),OFFSET($BN$2,0,0,ROW()-1,60),ROW()-1,FALSE))</f>
        <v>8.790418292</v>
      </c>
      <c r="I232">
        <f ca="1">IF(AND(ISNUMBER($I$901),$B$677=1),$I$901,HLOOKUP(INDIRECT(ADDRESS(2,COLUMN())),OFFSET($BN$2,0,0,ROW()-1,60),ROW()-1,FALSE))</f>
        <v>8.0372151889999994</v>
      </c>
      <c r="J232">
        <f ca="1">IF(AND(ISNUMBER($J$901),$B$677=1),$J$901,HLOOKUP(INDIRECT(ADDRESS(2,COLUMN())),OFFSET($BN$2,0,0,ROW()-1,60),ROW()-1,FALSE))</f>
        <v>7.19384158</v>
      </c>
      <c r="K232">
        <f ca="1">IF(AND(ISNUMBER($K$901),$B$677=1),$K$901,HLOOKUP(INDIRECT(ADDRESS(2,COLUMN())),OFFSET($BN$2,0,0,ROW()-1,60),ROW()-1,FALSE))</f>
        <v>8.5330786350000007</v>
      </c>
      <c r="L232">
        <f ca="1">IF(AND(ISNUMBER($L$901),$B$677=1),$L$901,HLOOKUP(INDIRECT(ADDRESS(2,COLUMN())),OFFSET($BN$2,0,0,ROW()-1,60),ROW()-1,FALSE))</f>
        <v>12.72787785</v>
      </c>
      <c r="M232">
        <f ca="1">IF(AND(ISNUMBER($M$901),$B$677=1),$M$901,HLOOKUP(INDIRECT(ADDRESS(2,COLUMN())),OFFSET($BN$2,0,0,ROW()-1,60),ROW()-1,FALSE))</f>
        <v>12.097410249999999</v>
      </c>
      <c r="N232">
        <f ca="1">IF(AND(ISNUMBER($N$901),$B$677=1),$N$901,HLOOKUP(INDIRECT(ADDRESS(2,COLUMN())),OFFSET($BN$2,0,0,ROW()-1,60),ROW()-1,FALSE))</f>
        <v>11.717780100000001</v>
      </c>
      <c r="O232">
        <f ca="1">IF(AND(ISNUMBER($O$901),$B$677=1),$O$901,HLOOKUP(INDIRECT(ADDRESS(2,COLUMN())),OFFSET($BN$2,0,0,ROW()-1,60),ROW()-1,FALSE))</f>
        <v>11.76331542</v>
      </c>
      <c r="P232">
        <f ca="1">IF(AND(ISNUMBER($P$901),$B$677=1),$P$901,HLOOKUP(INDIRECT(ADDRESS(2,COLUMN())),OFFSET($BN$2,0,0,ROW()-1,60),ROW()-1,FALSE))</f>
        <v>7.1901019740000001</v>
      </c>
      <c r="Q232">
        <f ca="1">IF(AND(ISNUMBER($Q$901),$B$677=1),$Q$901,HLOOKUP(INDIRECT(ADDRESS(2,COLUMN())),OFFSET($BN$2,0,0,ROW()-1,60),ROW()-1,FALSE))</f>
        <v>5.3457818000000001</v>
      </c>
      <c r="R232">
        <f ca="1">IF(AND(ISNUMBER($R$901),$B$677=1),$R$901,HLOOKUP(INDIRECT(ADDRESS(2,COLUMN())),OFFSET($BN$2,0,0,ROW()-1,60),ROW()-1,FALSE))</f>
        <v>5.6785443869999996</v>
      </c>
      <c r="S232">
        <f ca="1">IF(AND(ISNUMBER($S$901),$B$677=1),$S$901,HLOOKUP(INDIRECT(ADDRESS(2,COLUMN())),OFFSET($BN$2,0,0,ROW()-1,60),ROW()-1,FALSE))</f>
        <v>8.450521299</v>
      </c>
      <c r="T232">
        <f ca="1">IF(AND(ISNUMBER($T$901),$B$677=1),$T$901,HLOOKUP(INDIRECT(ADDRESS(2,COLUMN())),OFFSET($BN$2,0,0,ROW()-1,60),ROW()-1,FALSE))</f>
        <v>7.3411200320000001</v>
      </c>
      <c r="U232">
        <f ca="1">IF(AND(ISNUMBER($U$901),$B$677=1),$U$901,HLOOKUP(INDIRECT(ADDRESS(2,COLUMN())),OFFSET($BN$2,0,0,ROW()-1,60),ROW()-1,FALSE))</f>
        <v>12.30486179</v>
      </c>
      <c r="V232">
        <f ca="1">IF(AND(ISNUMBER($V$901),$B$677=1),$V$901,HLOOKUP(INDIRECT(ADDRESS(2,COLUMN())),OFFSET($BN$2,0,0,ROW()-1,60),ROW()-1,FALSE))</f>
        <v>17.981376539999999</v>
      </c>
      <c r="W232">
        <f ca="1">IF(AND(ISNUMBER($W$901),$B$677=1),$W$901,HLOOKUP(INDIRECT(ADDRESS(2,COLUMN())),OFFSET($BN$2,0,0,ROW()-1,60),ROW()-1,FALSE))</f>
        <v>28.121934240000002</v>
      </c>
      <c r="X232">
        <f ca="1">IF(AND(ISNUMBER($X$901),$B$677=1),$X$901,HLOOKUP(INDIRECT(ADDRESS(2,COLUMN())),OFFSET($BN$2,0,0,ROW()-1,60),ROW()-1,FALSE))</f>
        <v>19.000686850000001</v>
      </c>
      <c r="Y232">
        <f ca="1">IF(AND(ISNUMBER($Y$901),$B$677=1),$Y$901,HLOOKUP(INDIRECT(ADDRESS(2,COLUMN())),OFFSET($BN$2,0,0,ROW()-1,60),ROW()-1,FALSE))</f>
        <v>24.087155039999999</v>
      </c>
      <c r="Z232">
        <f ca="1">IF(AND(ISNUMBER($Z$901),$B$677=1),$Z$901,HLOOKUP(INDIRECT(ADDRESS(2,COLUMN())),OFFSET($BN$2,0,0,ROW()-1,60),ROW()-1,FALSE))</f>
        <v>53.583906679999998</v>
      </c>
      <c r="AA232">
        <f ca="1">IF(AND(ISNUMBER($AA$901),$B$677=1),$AA$901,HLOOKUP(INDIRECT(ADDRESS(2,COLUMN())),OFFSET($BN$2,0,0,ROW()-1,60),ROW()-1,FALSE))</f>
        <v>49.54323239</v>
      </c>
      <c r="AB232" t="str">
        <f ca="1">IF(AND(ISNUMBER($AB$901),$B$677=1),$AB$901,HLOOKUP(INDIRECT(ADDRESS(2,COLUMN())),OFFSET($BN$2,0,0,ROW()-1,60),ROW()-1,FALSE))</f>
        <v/>
      </c>
      <c r="AC232" t="str">
        <f ca="1">IF(AND(ISNUMBER($AC$901),$B$677=1),$AC$901,HLOOKUP(INDIRECT(ADDRESS(2,COLUMN())),OFFSET($BN$2,0,0,ROW()-1,60),ROW()-1,FALSE))</f>
        <v/>
      </c>
      <c r="AD232" t="str">
        <f ca="1">IF(AND(ISNUMBER($AD$901),$B$677=1),$AD$901,HLOOKUP(INDIRECT(ADDRESS(2,COLUMN())),OFFSET($BN$2,0,0,ROW()-1,60),ROW()-1,FALSE))</f>
        <v/>
      </c>
      <c r="AE232" t="str">
        <f ca="1">IF(AND(ISNUMBER($AE$901),$B$677=1),$AE$901,HLOOKUP(INDIRECT(ADDRESS(2,COLUMN())),OFFSET($BN$2,0,0,ROW()-1,60),ROW()-1,FALSE))</f>
        <v/>
      </c>
      <c r="AF232" t="str">
        <f ca="1">IF(AND(ISNUMBER($AF$901),$B$677=1),$AF$901,HLOOKUP(INDIRECT(ADDRESS(2,COLUMN())),OFFSET($BN$2,0,0,ROW()-1,60),ROW()-1,FALSE))</f>
        <v/>
      </c>
      <c r="AG232" t="str">
        <f ca="1">IF(AND(ISNUMBER($AG$901),$B$677=1),$AG$901,HLOOKUP(INDIRECT(ADDRESS(2,COLUMN())),OFFSET($BN$2,0,0,ROW()-1,60),ROW()-1,FALSE))</f>
        <v/>
      </c>
      <c r="AH232" t="str">
        <f ca="1">IF(AND(ISNUMBER($AH$901),$B$677=1),$AH$901,HLOOKUP(INDIRECT(ADDRESS(2,COLUMN())),OFFSET($BN$2,0,0,ROW()-1,60),ROW()-1,FALSE))</f>
        <v/>
      </c>
      <c r="AI232" t="str">
        <f ca="1">IF(AND(ISNUMBER($AI$901),$B$677=1),$AI$901,HLOOKUP(INDIRECT(ADDRESS(2,COLUMN())),OFFSET($BN$2,0,0,ROW()-1,60),ROW()-1,FALSE))</f>
        <v/>
      </c>
      <c r="AJ232" t="str">
        <f ca="1">IF(AND(ISNUMBER($AJ$901),$B$677=1),$AJ$901,HLOOKUP(INDIRECT(ADDRESS(2,COLUMN())),OFFSET($BN$2,0,0,ROW()-1,60),ROW()-1,FALSE))</f>
        <v/>
      </c>
      <c r="AK232" t="str">
        <f ca="1">IF(AND(ISNUMBER($AK$901),$B$677=1),$AK$901,HLOOKUP(INDIRECT(ADDRESS(2,COLUMN())),OFFSET($BN$2,0,0,ROW()-1,60),ROW()-1,FALSE))</f>
        <v/>
      </c>
      <c r="AL232">
        <f ca="1">IF(AND(ISNUMBER($AL$901),$B$677=1),$AL$901,HLOOKUP(INDIRECT(ADDRESS(2,COLUMN())),OFFSET($BN$2,0,0,ROW()-1,60),ROW()-1,FALSE))</f>
        <v>124.0935333</v>
      </c>
      <c r="AM232">
        <f ca="1">IF(AND(ISNUMBER($AM$901),$B$677=1),$AM$901,HLOOKUP(INDIRECT(ADDRESS(2,COLUMN())),OFFSET($BN$2,0,0,ROW()-1,60),ROW()-1,FALSE))</f>
        <v>158.86699590000001</v>
      </c>
      <c r="AN232">
        <f ca="1">IF(AND(ISNUMBER($AN$901),$B$677=1),$AN$901,HLOOKUP(INDIRECT(ADDRESS(2,COLUMN())),OFFSET($BN$2,0,0,ROW()-1,60),ROW()-1,FALSE))</f>
        <v>4.2051759469999999</v>
      </c>
      <c r="AO232">
        <f ca="1">IF(AND(ISNUMBER($AO$901),$B$677=1),$AO$901,HLOOKUP(INDIRECT(ADDRESS(2,COLUMN())),OFFSET($BN$2,0,0,ROW()-1,60),ROW()-1,FALSE))</f>
        <v>3.3409110929999999</v>
      </c>
      <c r="AP232">
        <f ca="1">IF(AND(ISNUMBER($AP$901),$B$677=1),$AP$901,HLOOKUP(INDIRECT(ADDRESS(2,COLUMN())),OFFSET($BN$2,0,0,ROW()-1,60),ROW()-1,FALSE))</f>
        <v>4.7568882590000001</v>
      </c>
      <c r="AQ232">
        <f ca="1">IF(AND(ISNUMBER($AQ$901),$B$677=1),$AQ$901,HLOOKUP(INDIRECT(ADDRESS(2,COLUMN())),OFFSET($BN$2,0,0,ROW()-1,60),ROW()-1,FALSE))</f>
        <v>2.7729507920000001</v>
      </c>
      <c r="AR232" t="str">
        <f ca="1">IF(AND(ISNUMBER($AR$901),$B$677=1),$AR$901,HLOOKUP(INDIRECT(ADDRESS(2,COLUMN())),OFFSET($BN$2,0,0,ROW()-1,60),ROW()-1,FALSE))</f>
        <v/>
      </c>
      <c r="AS232" t="str">
        <f ca="1">IF(AND(ISNUMBER($AS$901),$B$677=1),$AS$901,HLOOKUP(INDIRECT(ADDRESS(2,COLUMN())),OFFSET($BN$2,0,0,ROW()-1,60),ROW()-1,FALSE))</f>
        <v/>
      </c>
      <c r="AT232" t="str">
        <f ca="1">IF(AND(ISNUMBER($AT$901),$B$677=1),$AT$901,HLOOKUP(INDIRECT(ADDRESS(2,COLUMN())),OFFSET($BN$2,0,0,ROW()-1,60),ROW()-1,FALSE))</f>
        <v/>
      </c>
      <c r="AU232" t="str">
        <f ca="1">IF(AND(ISNUMBER($AU$901),$B$677=1),$AU$901,HLOOKUP(INDIRECT(ADDRESS(2,COLUMN())),OFFSET($BN$2,0,0,ROW()-1,60),ROW()-1,FALSE))</f>
        <v/>
      </c>
      <c r="AV232" t="str">
        <f ca="1">IF(AND(ISNUMBER($AV$901),$B$677=1),$AV$901,HLOOKUP(INDIRECT(ADDRESS(2,COLUMN())),OFFSET($BN$2,0,0,ROW()-1,60),ROW()-1,FALSE))</f>
        <v/>
      </c>
      <c r="AW232" t="str">
        <f ca="1">IF(AND(ISNUMBER($AW$901),$B$677=1),$AW$901,HLOOKUP(INDIRECT(ADDRESS(2,COLUMN())),OFFSET($BN$2,0,0,ROW()-1,60),ROW()-1,FALSE))</f>
        <v/>
      </c>
      <c r="AX232" t="str">
        <f ca="1">IF(AND(ISNUMBER($AX$901),$B$677=1),$AX$901,HLOOKUP(INDIRECT(ADDRESS(2,COLUMN())),OFFSET($BN$2,0,0,ROW()-1,60),ROW()-1,FALSE))</f>
        <v/>
      </c>
      <c r="AY232" t="str">
        <f ca="1">IF(AND(ISNUMBER($AY$901),$B$677=1),$AY$901,HLOOKUP(INDIRECT(ADDRESS(2,COLUMN())),OFFSET($BN$2,0,0,ROW()-1,60),ROW()-1,FALSE))</f>
        <v/>
      </c>
      <c r="AZ232" t="str">
        <f ca="1">IF(AND(ISNUMBER($AZ$901),$B$677=1),$AZ$901,HLOOKUP(INDIRECT(ADDRESS(2,COLUMN())),OFFSET($BN$2,0,0,ROW()-1,60),ROW()-1,FALSE))</f>
        <v/>
      </c>
      <c r="BA232" t="str">
        <f ca="1">IF(AND(ISNUMBER($BA$901),$B$677=1),$BA$901,HLOOKUP(INDIRECT(ADDRESS(2,COLUMN())),OFFSET($BN$2,0,0,ROW()-1,60),ROW()-1,FALSE))</f>
        <v/>
      </c>
      <c r="BB232" t="str">
        <f ca="1">IF(AND(ISNUMBER($BB$901),$B$677=1),$BB$901,HLOOKUP(INDIRECT(ADDRESS(2,COLUMN())),OFFSET($BN$2,0,0,ROW()-1,60),ROW()-1,FALSE))</f>
        <v/>
      </c>
      <c r="BC232" t="str">
        <f ca="1">IF(AND(ISNUMBER($BC$901),$B$677=1),$BC$901,HLOOKUP(INDIRECT(ADDRESS(2,COLUMN())),OFFSET($BN$2,0,0,ROW()-1,60),ROW()-1,FALSE))</f>
        <v/>
      </c>
      <c r="BD232" t="str">
        <f ca="1">IF(AND(ISNUMBER($BD$901),$B$677=1),$BD$901,HLOOKUP(INDIRECT(ADDRESS(2,COLUMN())),OFFSET($BN$2,0,0,ROW()-1,60),ROW()-1,FALSE))</f>
        <v/>
      </c>
      <c r="BE232" t="str">
        <f ca="1">IF(AND(ISNUMBER($BE$901),$B$677=1),$BE$901,HLOOKUP(INDIRECT(ADDRESS(2,COLUMN())),OFFSET($BN$2,0,0,ROW()-1,60),ROW()-1,FALSE))</f>
        <v/>
      </c>
      <c r="BF232" t="str">
        <f ca="1">IF(AND(ISNUMBER($BF$901),$B$677=1),$BF$901,HLOOKUP(INDIRECT(ADDRESS(2,COLUMN())),OFFSET($BN$2,0,0,ROW()-1,60),ROW()-1,FALSE))</f>
        <v/>
      </c>
      <c r="BG232" t="str">
        <f ca="1">IF(AND(ISNUMBER($BG$901),$B$677=1),$BG$901,HLOOKUP(INDIRECT(ADDRESS(2,COLUMN())),OFFSET($BN$2,0,0,ROW()-1,60),ROW()-1,FALSE))</f>
        <v/>
      </c>
      <c r="BH232" t="str">
        <f ca="1">IF(AND(ISNUMBER($BH$901),$B$677=1),$BH$901,HLOOKUP(INDIRECT(ADDRESS(2,COLUMN())),OFFSET($BN$2,0,0,ROW()-1,60),ROW()-1,FALSE))</f>
        <v/>
      </c>
      <c r="BI232" t="str">
        <f ca="1">IF(AND(ISNUMBER($BI$901),$B$677=1),$BI$901,HLOOKUP(INDIRECT(ADDRESS(2,COLUMN())),OFFSET($BN$2,0,0,ROW()-1,60),ROW()-1,FALSE))</f>
        <v/>
      </c>
      <c r="BJ232" t="str">
        <f ca="1">IF(AND(ISNUMBER($BJ$901),$B$677=1),$BJ$901,HLOOKUP(INDIRECT(ADDRESS(2,COLUMN())),OFFSET($BN$2,0,0,ROW()-1,60),ROW()-1,FALSE))</f>
        <v/>
      </c>
      <c r="BK232" t="str">
        <f ca="1">IF(AND(ISNUMBER($BK$901),$B$677=1),$BK$901,HLOOKUP(INDIRECT(ADDRESS(2,COLUMN())),OFFSET($BN$2,0,0,ROW()-1,60),ROW()-1,FALSE))</f>
        <v/>
      </c>
      <c r="BL232" t="str">
        <f ca="1">IF(AND(ISNUMBER($BL$901),$B$677=1),$BL$901,HLOOKUP(INDIRECT(ADDRESS(2,COLUMN())),OFFSET($BN$2,0,0,ROW()-1,60),ROW()-1,FALSE))</f>
        <v/>
      </c>
      <c r="BM232" t="str">
        <f ca="1">IF(AND(ISNUMBER($BM$901),$B$677=1),$BM$901,HLOOKUP(INDIRECT(ADDRESS(2,COLUMN())),OFFSET($BN$2,0,0,ROW()-1,60),ROW()-1,FALSE))</f>
        <v/>
      </c>
      <c r="BN232">
        <f>12.15922838</f>
        <v>12.15922838</v>
      </c>
      <c r="BO232">
        <f>10.72734101</f>
        <v>10.72734101</v>
      </c>
      <c r="BP232">
        <f>8.790418292</f>
        <v>8.790418292</v>
      </c>
      <c r="BQ232">
        <f>8.037215189</f>
        <v>8.0372151889999994</v>
      </c>
      <c r="BR232">
        <f>7.19384158</f>
        <v>7.19384158</v>
      </c>
      <c r="BS232">
        <f>8.533078635</f>
        <v>8.5330786350000007</v>
      </c>
      <c r="BT232">
        <f>12.72787785</f>
        <v>12.72787785</v>
      </c>
      <c r="BU232">
        <f>12.09741025</f>
        <v>12.097410249999999</v>
      </c>
      <c r="BV232">
        <f>11.7177801</f>
        <v>11.717780100000001</v>
      </c>
      <c r="BW232">
        <f>11.76331542</f>
        <v>11.76331542</v>
      </c>
      <c r="BX232">
        <f>7.190101974</f>
        <v>7.1901019740000001</v>
      </c>
      <c r="BY232">
        <f>5.3457818</f>
        <v>5.3457818000000001</v>
      </c>
      <c r="BZ232">
        <f>5.678544387</f>
        <v>5.6785443869999996</v>
      </c>
      <c r="CA232">
        <f>8.450521299</f>
        <v>8.450521299</v>
      </c>
      <c r="CB232">
        <f>7.341120032</f>
        <v>7.3411200320000001</v>
      </c>
      <c r="CC232">
        <f>12.30486179</f>
        <v>12.30486179</v>
      </c>
      <c r="CD232">
        <f>17.98137654</f>
        <v>17.981376539999999</v>
      </c>
      <c r="CE232">
        <f>28.12193424</f>
        <v>28.121934240000002</v>
      </c>
      <c r="CF232">
        <f>19.00068685</f>
        <v>19.000686850000001</v>
      </c>
      <c r="CG232">
        <f>24.08715504</f>
        <v>24.087155039999999</v>
      </c>
      <c r="CH232">
        <f>53.58390668</f>
        <v>53.583906679999998</v>
      </c>
      <c r="CI232">
        <f>49.54323239</f>
        <v>49.54323239</v>
      </c>
      <c r="CJ232" t="str">
        <f>""</f>
        <v/>
      </c>
      <c r="CK232" t="str">
        <f>""</f>
        <v/>
      </c>
      <c r="CL232" t="str">
        <f>""</f>
        <v/>
      </c>
      <c r="CM232" t="str">
        <f>""</f>
        <v/>
      </c>
      <c r="CN232" t="str">
        <f>""</f>
        <v/>
      </c>
      <c r="CO232" t="str">
        <f>""</f>
        <v/>
      </c>
      <c r="CP232" t="str">
        <f>""</f>
        <v/>
      </c>
      <c r="CQ232" t="str">
        <f>""</f>
        <v/>
      </c>
      <c r="CR232" t="str">
        <f>""</f>
        <v/>
      </c>
      <c r="CS232" t="str">
        <f>""</f>
        <v/>
      </c>
      <c r="CT232">
        <f>124.0935333</f>
        <v>124.0935333</v>
      </c>
      <c r="CU232">
        <f>158.8669959</f>
        <v>158.86699590000001</v>
      </c>
      <c r="CV232">
        <f>4.205175947</f>
        <v>4.2051759469999999</v>
      </c>
      <c r="CW232">
        <f>3.340911093</f>
        <v>3.3409110929999999</v>
      </c>
      <c r="CX232">
        <f>4.756888259</f>
        <v>4.7568882590000001</v>
      </c>
      <c r="CY232">
        <f>2.772950792</f>
        <v>2.7729507920000001</v>
      </c>
      <c r="CZ232" t="str">
        <f>""</f>
        <v/>
      </c>
      <c r="DA232" t="str">
        <f>""</f>
        <v/>
      </c>
      <c r="DB232" t="str">
        <f>""</f>
        <v/>
      </c>
      <c r="DC232" t="str">
        <f>""</f>
        <v/>
      </c>
      <c r="DD232" t="str">
        <f>""</f>
        <v/>
      </c>
      <c r="DE232" t="str">
        <f>""</f>
        <v/>
      </c>
      <c r="DF232" t="str">
        <f>""</f>
        <v/>
      </c>
      <c r="DG232" t="str">
        <f>""</f>
        <v/>
      </c>
      <c r="DH232" t="str">
        <f>""</f>
        <v/>
      </c>
      <c r="DI232" t="str">
        <f>""</f>
        <v/>
      </c>
      <c r="DJ232" t="str">
        <f>""</f>
        <v/>
      </c>
      <c r="DK232" t="str">
        <f>""</f>
        <v/>
      </c>
      <c r="DL232" t="str">
        <f>""</f>
        <v/>
      </c>
      <c r="DM232" t="str">
        <f>""</f>
        <v/>
      </c>
      <c r="DN232" t="str">
        <f>""</f>
        <v/>
      </c>
      <c r="DO232" t="str">
        <f>""</f>
        <v/>
      </c>
      <c r="DP232" t="str">
        <f>""</f>
        <v/>
      </c>
      <c r="DQ232" t="str">
        <f>""</f>
        <v/>
      </c>
      <c r="DR232" t="str">
        <f>""</f>
        <v/>
      </c>
      <c r="DS232" t="str">
        <f>""</f>
        <v/>
      </c>
      <c r="DT232" t="str">
        <f>""</f>
        <v/>
      </c>
      <c r="DU232" t="str">
        <f>""</f>
        <v/>
      </c>
    </row>
    <row r="233" spans="1:125" x14ac:dyDescent="0.25">
      <c r="A233" t="str">
        <f>"    Mitsubishi Motors Corp"</f>
        <v xml:space="preserve">    Mitsubishi Motors Corp</v>
      </c>
      <c r="B233" t="str">
        <f>"7211 JP Equity"</f>
        <v>7211 JP Equity</v>
      </c>
      <c r="C233" t="str">
        <f t="shared" si="15"/>
        <v>RR971</v>
      </c>
      <c r="D233" t="str">
        <f t="shared" si="16"/>
        <v>CURRENT_PX_TO_FREE_CASH_FLOW</v>
      </c>
      <c r="E233" t="str">
        <f t="shared" si="17"/>
        <v>Dynamic</v>
      </c>
      <c r="F233" t="str">
        <f ca="1">IF(AND(ISNUMBER($F$902),$B$677=1),$F$902,HLOOKUP(INDIRECT(ADDRESS(2,COLUMN())),OFFSET($BN$2,0,0,ROW()-1,60),ROW()-1,FALSE))</f>
        <v/>
      </c>
      <c r="G233" t="str">
        <f ca="1">IF(AND(ISNUMBER($G$902),$B$677=1),$G$902,HLOOKUP(INDIRECT(ADDRESS(2,COLUMN())),OFFSET($BN$2,0,0,ROW()-1,60),ROW()-1,FALSE))</f>
        <v/>
      </c>
      <c r="H233" t="str">
        <f ca="1">IF(AND(ISNUMBER($H$902),$B$677=1),$H$902,HLOOKUP(INDIRECT(ADDRESS(2,COLUMN())),OFFSET($BN$2,0,0,ROW()-1,60),ROW()-1,FALSE))</f>
        <v/>
      </c>
      <c r="I233" t="str">
        <f ca="1">IF(AND(ISNUMBER($I$902),$B$677=1),$I$902,HLOOKUP(INDIRECT(ADDRESS(2,COLUMN())),OFFSET($BN$2,0,0,ROW()-1,60),ROW()-1,FALSE))</f>
        <v/>
      </c>
      <c r="J233" t="str">
        <f ca="1">IF(AND(ISNUMBER($J$902),$B$677=1),$J$902,HLOOKUP(INDIRECT(ADDRESS(2,COLUMN())),OFFSET($BN$2,0,0,ROW()-1,60),ROW()-1,FALSE))</f>
        <v/>
      </c>
      <c r="K233" t="str">
        <f ca="1">IF(AND(ISNUMBER($K$902),$B$677=1),$K$902,HLOOKUP(INDIRECT(ADDRESS(2,COLUMN())),OFFSET($BN$2,0,0,ROW()-1,60),ROW()-1,FALSE))</f>
        <v/>
      </c>
      <c r="L233" t="str">
        <f ca="1">IF(AND(ISNUMBER($L$902),$B$677=1),$L$902,HLOOKUP(INDIRECT(ADDRESS(2,COLUMN())),OFFSET($BN$2,0,0,ROW()-1,60),ROW()-1,FALSE))</f>
        <v/>
      </c>
      <c r="M233" t="str">
        <f ca="1">IF(AND(ISNUMBER($M$902),$B$677=1),$M$902,HLOOKUP(INDIRECT(ADDRESS(2,COLUMN())),OFFSET($BN$2,0,0,ROW()-1,60),ROW()-1,FALSE))</f>
        <v/>
      </c>
      <c r="N233" t="str">
        <f ca="1">IF(AND(ISNUMBER($N$902),$B$677=1),$N$902,HLOOKUP(INDIRECT(ADDRESS(2,COLUMN())),OFFSET($BN$2,0,0,ROW()-1,60),ROW()-1,FALSE))</f>
        <v/>
      </c>
      <c r="O233" t="str">
        <f ca="1">IF(AND(ISNUMBER($O$902),$B$677=1),$O$902,HLOOKUP(INDIRECT(ADDRESS(2,COLUMN())),OFFSET($BN$2,0,0,ROW()-1,60),ROW()-1,FALSE))</f>
        <v/>
      </c>
      <c r="P233" t="str">
        <f ca="1">IF(AND(ISNUMBER($P$902),$B$677=1),$P$902,HLOOKUP(INDIRECT(ADDRESS(2,COLUMN())),OFFSET($BN$2,0,0,ROW()-1,60),ROW()-1,FALSE))</f>
        <v/>
      </c>
      <c r="Q233" t="str">
        <f ca="1">IF(AND(ISNUMBER($Q$902),$B$677=1),$Q$902,HLOOKUP(INDIRECT(ADDRESS(2,COLUMN())),OFFSET($BN$2,0,0,ROW()-1,60),ROW()-1,FALSE))</f>
        <v/>
      </c>
      <c r="R233" t="str">
        <f ca="1">IF(AND(ISNUMBER($R$902),$B$677=1),$R$902,HLOOKUP(INDIRECT(ADDRESS(2,COLUMN())),OFFSET($BN$2,0,0,ROW()-1,60),ROW()-1,FALSE))</f>
        <v/>
      </c>
      <c r="S233" t="str">
        <f ca="1">IF(AND(ISNUMBER($S$902),$B$677=1),$S$902,HLOOKUP(INDIRECT(ADDRESS(2,COLUMN())),OFFSET($BN$2,0,0,ROW()-1,60),ROW()-1,FALSE))</f>
        <v/>
      </c>
      <c r="T233" t="str">
        <f ca="1">IF(AND(ISNUMBER($T$902),$B$677=1),$T$902,HLOOKUP(INDIRECT(ADDRESS(2,COLUMN())),OFFSET($BN$2,0,0,ROW()-1,60),ROW()-1,FALSE))</f>
        <v/>
      </c>
      <c r="U233" t="str">
        <f ca="1">IF(AND(ISNUMBER($U$902),$B$677=1),$U$902,HLOOKUP(INDIRECT(ADDRESS(2,COLUMN())),OFFSET($BN$2,0,0,ROW()-1,60),ROW()-1,FALSE))</f>
        <v/>
      </c>
      <c r="V233" t="str">
        <f ca="1">IF(AND(ISNUMBER($V$902),$B$677=1),$V$902,HLOOKUP(INDIRECT(ADDRESS(2,COLUMN())),OFFSET($BN$2,0,0,ROW()-1,60),ROW()-1,FALSE))</f>
        <v/>
      </c>
      <c r="W233" t="str">
        <f ca="1">IF(AND(ISNUMBER($W$902),$B$677=1),$W$902,HLOOKUP(INDIRECT(ADDRESS(2,COLUMN())),OFFSET($BN$2,0,0,ROW()-1,60),ROW()-1,FALSE))</f>
        <v/>
      </c>
      <c r="X233" t="str">
        <f ca="1">IF(AND(ISNUMBER($X$902),$B$677=1),$X$902,HLOOKUP(INDIRECT(ADDRESS(2,COLUMN())),OFFSET($BN$2,0,0,ROW()-1,60),ROW()-1,FALSE))</f>
        <v/>
      </c>
      <c r="Y233" t="str">
        <f ca="1">IF(AND(ISNUMBER($Y$902),$B$677=1),$Y$902,HLOOKUP(INDIRECT(ADDRESS(2,COLUMN())),OFFSET($BN$2,0,0,ROW()-1,60),ROW()-1,FALSE))</f>
        <v/>
      </c>
      <c r="Z233" t="str">
        <f ca="1">IF(AND(ISNUMBER($Z$902),$B$677=1),$Z$902,HLOOKUP(INDIRECT(ADDRESS(2,COLUMN())),OFFSET($BN$2,0,0,ROW()-1,60),ROW()-1,FALSE))</f>
        <v/>
      </c>
      <c r="AA233" t="str">
        <f ca="1">IF(AND(ISNUMBER($AA$902),$B$677=1),$AA$902,HLOOKUP(INDIRECT(ADDRESS(2,COLUMN())),OFFSET($BN$2,0,0,ROW()-1,60),ROW()-1,FALSE))</f>
        <v/>
      </c>
      <c r="AB233" t="str">
        <f ca="1">IF(AND(ISNUMBER($AB$902),$B$677=1),$AB$902,HLOOKUP(INDIRECT(ADDRESS(2,COLUMN())),OFFSET($BN$2,0,0,ROW()-1,60),ROW()-1,FALSE))</f>
        <v/>
      </c>
      <c r="AC233" t="str">
        <f ca="1">IF(AND(ISNUMBER($AC$902),$B$677=1),$AC$902,HLOOKUP(INDIRECT(ADDRESS(2,COLUMN())),OFFSET($BN$2,0,0,ROW()-1,60),ROW()-1,FALSE))</f>
        <v/>
      </c>
      <c r="AD233" t="str">
        <f ca="1">IF(AND(ISNUMBER($AD$902),$B$677=1),$AD$902,HLOOKUP(INDIRECT(ADDRESS(2,COLUMN())),OFFSET($BN$2,0,0,ROW()-1,60),ROW()-1,FALSE))</f>
        <v/>
      </c>
      <c r="AE233" t="str">
        <f ca="1">IF(AND(ISNUMBER($AE$902),$B$677=1),$AE$902,HLOOKUP(INDIRECT(ADDRESS(2,COLUMN())),OFFSET($BN$2,0,0,ROW()-1,60),ROW()-1,FALSE))</f>
        <v/>
      </c>
      <c r="AF233" t="str">
        <f ca="1">IF(AND(ISNUMBER($AF$902),$B$677=1),$AF$902,HLOOKUP(INDIRECT(ADDRESS(2,COLUMN())),OFFSET($BN$2,0,0,ROW()-1,60),ROW()-1,FALSE))</f>
        <v/>
      </c>
      <c r="AG233" t="str">
        <f ca="1">IF(AND(ISNUMBER($AG$902),$B$677=1),$AG$902,HLOOKUP(INDIRECT(ADDRESS(2,COLUMN())),OFFSET($BN$2,0,0,ROW()-1,60),ROW()-1,FALSE))</f>
        <v/>
      </c>
      <c r="AH233" t="str">
        <f ca="1">IF(AND(ISNUMBER($AH$902),$B$677=1),$AH$902,HLOOKUP(INDIRECT(ADDRESS(2,COLUMN())),OFFSET($BN$2,0,0,ROW()-1,60),ROW()-1,FALSE))</f>
        <v/>
      </c>
      <c r="AI233" t="str">
        <f ca="1">IF(AND(ISNUMBER($AI$902),$B$677=1),$AI$902,HLOOKUP(INDIRECT(ADDRESS(2,COLUMN())),OFFSET($BN$2,0,0,ROW()-1,60),ROW()-1,FALSE))</f>
        <v/>
      </c>
      <c r="AJ233" t="str">
        <f ca="1">IF(AND(ISNUMBER($AJ$902),$B$677=1),$AJ$902,HLOOKUP(INDIRECT(ADDRESS(2,COLUMN())),OFFSET($BN$2,0,0,ROW()-1,60),ROW()-1,FALSE))</f>
        <v/>
      </c>
      <c r="AK233">
        <f ca="1">IF(AND(ISNUMBER($AK$902),$B$677=1),$AK$902,HLOOKUP(INDIRECT(ADDRESS(2,COLUMN())),OFFSET($BN$2,0,0,ROW()-1,60),ROW()-1,FALSE))</f>
        <v>10.736760050000001</v>
      </c>
      <c r="AL233">
        <f ca="1">IF(AND(ISNUMBER($AL$902),$B$677=1),$AL$902,HLOOKUP(INDIRECT(ADDRESS(2,COLUMN())),OFFSET($BN$2,0,0,ROW()-1,60),ROW()-1,FALSE))</f>
        <v>11.174995150000001</v>
      </c>
      <c r="AM233">
        <f ca="1">IF(AND(ISNUMBER($AM$902),$B$677=1),$AM$902,HLOOKUP(INDIRECT(ADDRESS(2,COLUMN())),OFFSET($BN$2,0,0,ROW()-1,60),ROW()-1,FALSE))</f>
        <v>6.7721855670000002</v>
      </c>
      <c r="AN233">
        <f ca="1">IF(AND(ISNUMBER($AN$902),$B$677=1),$AN$902,HLOOKUP(INDIRECT(ADDRESS(2,COLUMN())),OFFSET($BN$2,0,0,ROW()-1,60),ROW()-1,FALSE))</f>
        <v>5.1356844810000002</v>
      </c>
      <c r="AO233">
        <f ca="1">IF(AND(ISNUMBER($AO$902),$B$677=1),$AO$902,HLOOKUP(INDIRECT(ADDRESS(2,COLUMN())),OFFSET($BN$2,0,0,ROW()-1,60),ROW()-1,FALSE))</f>
        <v>6.7818252530000001</v>
      </c>
      <c r="AP233">
        <f ca="1">IF(AND(ISNUMBER($AP$902),$B$677=1),$AP$902,HLOOKUP(INDIRECT(ADDRESS(2,COLUMN())),OFFSET($BN$2,0,0,ROW()-1,60),ROW()-1,FALSE))</f>
        <v>12.46189412</v>
      </c>
      <c r="AQ233" t="str">
        <f ca="1">IF(AND(ISNUMBER($AQ$902),$B$677=1),$AQ$902,HLOOKUP(INDIRECT(ADDRESS(2,COLUMN())),OFFSET($BN$2,0,0,ROW()-1,60),ROW()-1,FALSE))</f>
        <v/>
      </c>
      <c r="AR233" t="str">
        <f ca="1">IF(AND(ISNUMBER($AR$902),$B$677=1),$AR$902,HLOOKUP(INDIRECT(ADDRESS(2,COLUMN())),OFFSET($BN$2,0,0,ROW()-1,60),ROW()-1,FALSE))</f>
        <v/>
      </c>
      <c r="AS233" t="str">
        <f ca="1">IF(AND(ISNUMBER($AS$902),$B$677=1),$AS$902,HLOOKUP(INDIRECT(ADDRESS(2,COLUMN())),OFFSET($BN$2,0,0,ROW()-1,60),ROW()-1,FALSE))</f>
        <v/>
      </c>
      <c r="AT233" t="str">
        <f ca="1">IF(AND(ISNUMBER($AT$902),$B$677=1),$AT$902,HLOOKUP(INDIRECT(ADDRESS(2,COLUMN())),OFFSET($BN$2,0,0,ROW()-1,60),ROW()-1,FALSE))</f>
        <v/>
      </c>
      <c r="AU233" t="str">
        <f ca="1">IF(AND(ISNUMBER($AU$902),$B$677=1),$AU$902,HLOOKUP(INDIRECT(ADDRESS(2,COLUMN())),OFFSET($BN$2,0,0,ROW()-1,60),ROW()-1,FALSE))</f>
        <v/>
      </c>
      <c r="AV233" t="str">
        <f ca="1">IF(AND(ISNUMBER($AV$902),$B$677=1),$AV$902,HLOOKUP(INDIRECT(ADDRESS(2,COLUMN())),OFFSET($BN$2,0,0,ROW()-1,60),ROW()-1,FALSE))</f>
        <v/>
      </c>
      <c r="AW233" t="str">
        <f ca="1">IF(AND(ISNUMBER($AW$902),$B$677=1),$AW$902,HLOOKUP(INDIRECT(ADDRESS(2,COLUMN())),OFFSET($BN$2,0,0,ROW()-1,60),ROW()-1,FALSE))</f>
        <v/>
      </c>
      <c r="AX233" t="str">
        <f ca="1">IF(AND(ISNUMBER($AX$902),$B$677=1),$AX$902,HLOOKUP(INDIRECT(ADDRESS(2,COLUMN())),OFFSET($BN$2,0,0,ROW()-1,60),ROW()-1,FALSE))</f>
        <v/>
      </c>
      <c r="AY233" t="str">
        <f ca="1">IF(AND(ISNUMBER($AY$902),$B$677=1),$AY$902,HLOOKUP(INDIRECT(ADDRESS(2,COLUMN())),OFFSET($BN$2,0,0,ROW()-1,60),ROW()-1,FALSE))</f>
        <v/>
      </c>
      <c r="AZ233" t="str">
        <f ca="1">IF(AND(ISNUMBER($AZ$902),$B$677=1),$AZ$902,HLOOKUP(INDIRECT(ADDRESS(2,COLUMN())),OFFSET($BN$2,0,0,ROW()-1,60),ROW()-1,FALSE))</f>
        <v/>
      </c>
      <c r="BA233" t="str">
        <f ca="1">IF(AND(ISNUMBER($BA$902),$B$677=1),$BA$902,HLOOKUP(INDIRECT(ADDRESS(2,COLUMN())),OFFSET($BN$2,0,0,ROW()-1,60),ROW()-1,FALSE))</f>
        <v/>
      </c>
      <c r="BB233" t="str">
        <f ca="1">IF(AND(ISNUMBER($BB$902),$B$677=1),$BB$902,HLOOKUP(INDIRECT(ADDRESS(2,COLUMN())),OFFSET($BN$2,0,0,ROW()-1,60),ROW()-1,FALSE))</f>
        <v/>
      </c>
      <c r="BC233" t="str">
        <f ca="1">IF(AND(ISNUMBER($BC$902),$B$677=1),$BC$902,HLOOKUP(INDIRECT(ADDRESS(2,COLUMN())),OFFSET($BN$2,0,0,ROW()-1,60),ROW()-1,FALSE))</f>
        <v/>
      </c>
      <c r="BD233" t="str">
        <f ca="1">IF(AND(ISNUMBER($BD$902),$B$677=1),$BD$902,HLOOKUP(INDIRECT(ADDRESS(2,COLUMN())),OFFSET($BN$2,0,0,ROW()-1,60),ROW()-1,FALSE))</f>
        <v/>
      </c>
      <c r="BE233" t="str">
        <f ca="1">IF(AND(ISNUMBER($BE$902),$B$677=1),$BE$902,HLOOKUP(INDIRECT(ADDRESS(2,COLUMN())),OFFSET($BN$2,0,0,ROW()-1,60),ROW()-1,FALSE))</f>
        <v/>
      </c>
      <c r="BF233" t="str">
        <f ca="1">IF(AND(ISNUMBER($BF$902),$B$677=1),$BF$902,HLOOKUP(INDIRECT(ADDRESS(2,COLUMN())),OFFSET($BN$2,0,0,ROW()-1,60),ROW()-1,FALSE))</f>
        <v/>
      </c>
      <c r="BG233" t="str">
        <f ca="1">IF(AND(ISNUMBER($BG$902),$B$677=1),$BG$902,HLOOKUP(INDIRECT(ADDRESS(2,COLUMN())),OFFSET($BN$2,0,0,ROW()-1,60),ROW()-1,FALSE))</f>
        <v/>
      </c>
      <c r="BH233" t="str">
        <f ca="1">IF(AND(ISNUMBER($BH$902),$B$677=1),$BH$902,HLOOKUP(INDIRECT(ADDRESS(2,COLUMN())),OFFSET($BN$2,0,0,ROW()-1,60),ROW()-1,FALSE))</f>
        <v/>
      </c>
      <c r="BI233" t="str">
        <f ca="1">IF(AND(ISNUMBER($BI$902),$B$677=1),$BI$902,HLOOKUP(INDIRECT(ADDRESS(2,COLUMN())),OFFSET($BN$2,0,0,ROW()-1,60),ROW()-1,FALSE))</f>
        <v/>
      </c>
      <c r="BJ233" t="str">
        <f ca="1">IF(AND(ISNUMBER($BJ$902),$B$677=1),$BJ$902,HLOOKUP(INDIRECT(ADDRESS(2,COLUMN())),OFFSET($BN$2,0,0,ROW()-1,60),ROW()-1,FALSE))</f>
        <v/>
      </c>
      <c r="BK233" t="str">
        <f ca="1">IF(AND(ISNUMBER($BK$902),$B$677=1),$BK$902,HLOOKUP(INDIRECT(ADDRESS(2,COLUMN())),OFFSET($BN$2,0,0,ROW()-1,60),ROW()-1,FALSE))</f>
        <v/>
      </c>
      <c r="BL233" t="str">
        <f ca="1">IF(AND(ISNUMBER($BL$902),$B$677=1),$BL$902,HLOOKUP(INDIRECT(ADDRESS(2,COLUMN())),OFFSET($BN$2,0,0,ROW()-1,60),ROW()-1,FALSE))</f>
        <v/>
      </c>
      <c r="BM233" t="str">
        <f ca="1">IF(AND(ISNUMBER($BM$902),$B$677=1),$BM$902,HLOOKUP(INDIRECT(ADDRESS(2,COLUMN())),OFFSET($BN$2,0,0,ROW()-1,60),ROW()-1,FALSE))</f>
        <v/>
      </c>
      <c r="BN233" t="str">
        <f>""</f>
        <v/>
      </c>
      <c r="BO233" t="str">
        <f>""</f>
        <v/>
      </c>
      <c r="BP233" t="str">
        <f>""</f>
        <v/>
      </c>
      <c r="BQ233" t="str">
        <f>""</f>
        <v/>
      </c>
      <c r="BR233" t="str">
        <f>""</f>
        <v/>
      </c>
      <c r="BS233" t="str">
        <f>""</f>
        <v/>
      </c>
      <c r="BT233" t="str">
        <f>""</f>
        <v/>
      </c>
      <c r="BU233" t="str">
        <f>""</f>
        <v/>
      </c>
      <c r="BV233" t="str">
        <f>""</f>
        <v/>
      </c>
      <c r="BW233" t="str">
        <f>""</f>
        <v/>
      </c>
      <c r="BX233" t="str">
        <f>""</f>
        <v/>
      </c>
      <c r="BY233" t="str">
        <f>""</f>
        <v/>
      </c>
      <c r="BZ233" t="str">
        <f>""</f>
        <v/>
      </c>
      <c r="CA233" t="str">
        <f>""</f>
        <v/>
      </c>
      <c r="CB233" t="str">
        <f>""</f>
        <v/>
      </c>
      <c r="CC233" t="str">
        <f>""</f>
        <v/>
      </c>
      <c r="CD233" t="str">
        <f>""</f>
        <v/>
      </c>
      <c r="CE233" t="str">
        <f>""</f>
        <v/>
      </c>
      <c r="CF233" t="str">
        <f>""</f>
        <v/>
      </c>
      <c r="CG233" t="str">
        <f>""</f>
        <v/>
      </c>
      <c r="CH233" t="str">
        <f>""</f>
        <v/>
      </c>
      <c r="CI233" t="str">
        <f>""</f>
        <v/>
      </c>
      <c r="CJ233" t="str">
        <f>""</f>
        <v/>
      </c>
      <c r="CK233" t="str">
        <f>""</f>
        <v/>
      </c>
      <c r="CL233" t="str">
        <f>""</f>
        <v/>
      </c>
      <c r="CM233" t="str">
        <f>""</f>
        <v/>
      </c>
      <c r="CN233" t="str">
        <f>""</f>
        <v/>
      </c>
      <c r="CO233" t="str">
        <f>""</f>
        <v/>
      </c>
      <c r="CP233" t="str">
        <f>""</f>
        <v/>
      </c>
      <c r="CQ233" t="str">
        <f>""</f>
        <v/>
      </c>
      <c r="CR233" t="str">
        <f>""</f>
        <v/>
      </c>
      <c r="CS233">
        <f>10.73676005</f>
        <v>10.736760050000001</v>
      </c>
      <c r="CT233">
        <f>11.17499515</f>
        <v>11.174995150000001</v>
      </c>
      <c r="CU233">
        <f>6.772185567</f>
        <v>6.7721855670000002</v>
      </c>
      <c r="CV233">
        <f>5.135684481</f>
        <v>5.1356844810000002</v>
      </c>
      <c r="CW233">
        <f>6.781825253</f>
        <v>6.7818252530000001</v>
      </c>
      <c r="CX233">
        <f>12.46189412</f>
        <v>12.46189412</v>
      </c>
      <c r="CY233" t="str">
        <f>""</f>
        <v/>
      </c>
      <c r="CZ233" t="str">
        <f>""</f>
        <v/>
      </c>
      <c r="DA233" t="str">
        <f>""</f>
        <v/>
      </c>
      <c r="DB233" t="str">
        <f>""</f>
        <v/>
      </c>
      <c r="DC233" t="str">
        <f>""</f>
        <v/>
      </c>
      <c r="DD233" t="str">
        <f>""</f>
        <v/>
      </c>
      <c r="DE233" t="str">
        <f>""</f>
        <v/>
      </c>
      <c r="DF233" t="str">
        <f>""</f>
        <v/>
      </c>
      <c r="DG233" t="str">
        <f>""</f>
        <v/>
      </c>
      <c r="DH233" t="str">
        <f>""</f>
        <v/>
      </c>
      <c r="DI233" t="str">
        <f>""</f>
        <v/>
      </c>
      <c r="DJ233" t="str">
        <f>""</f>
        <v/>
      </c>
      <c r="DK233" t="str">
        <f>""</f>
        <v/>
      </c>
      <c r="DL233" t="str">
        <f>""</f>
        <v/>
      </c>
      <c r="DM233" t="str">
        <f>""</f>
        <v/>
      </c>
      <c r="DN233" t="str">
        <f>""</f>
        <v/>
      </c>
      <c r="DO233" t="str">
        <f>""</f>
        <v/>
      </c>
      <c r="DP233" t="str">
        <f>""</f>
        <v/>
      </c>
      <c r="DQ233" t="str">
        <f>""</f>
        <v/>
      </c>
      <c r="DR233" t="str">
        <f>""</f>
        <v/>
      </c>
      <c r="DS233" t="str">
        <f>""</f>
        <v/>
      </c>
      <c r="DT233" t="str">
        <f>""</f>
        <v/>
      </c>
      <c r="DU233" t="str">
        <f>""</f>
        <v/>
      </c>
    </row>
    <row r="234" spans="1:125" x14ac:dyDescent="0.25">
      <c r="A234" t="str">
        <f>"    Nissan Motor Co Ltd"</f>
        <v xml:space="preserve">    Nissan Motor Co Ltd</v>
      </c>
      <c r="B234" t="str">
        <f>"7201 JP Equity"</f>
        <v>7201 JP Equity</v>
      </c>
      <c r="C234" t="str">
        <f t="shared" si="15"/>
        <v>RR971</v>
      </c>
      <c r="D234" t="str">
        <f t="shared" si="16"/>
        <v>CURRENT_PX_TO_FREE_CASH_FLOW</v>
      </c>
      <c r="E234" t="str">
        <f t="shared" si="17"/>
        <v>Dynamic</v>
      </c>
      <c r="F234">
        <f ca="1">IF(AND(ISNUMBER($F$903),$B$677=1),$F$903,HLOOKUP(INDIRECT(ADDRESS(2,COLUMN())),OFFSET($BN$2,0,0,ROW()-1,60),ROW()-1,FALSE))</f>
        <v>3.1496024569999999</v>
      </c>
      <c r="G234">
        <f ca="1">IF(AND(ISNUMBER($G$903),$B$677=1),$G$903,HLOOKUP(INDIRECT(ADDRESS(2,COLUMN())),OFFSET($BN$2,0,0,ROW()-1,60),ROW()-1,FALSE))</f>
        <v>2.925912877</v>
      </c>
      <c r="H234">
        <f ca="1">IF(AND(ISNUMBER($H$903),$B$677=1),$H$903,HLOOKUP(INDIRECT(ADDRESS(2,COLUMN())),OFFSET($BN$2,0,0,ROW()-1,60),ROW()-1,FALSE))</f>
        <v>4.8260167550000004</v>
      </c>
      <c r="I234">
        <f ca="1">IF(AND(ISNUMBER($I$903),$B$677=1),$I$903,HLOOKUP(INDIRECT(ADDRESS(2,COLUMN())),OFFSET($BN$2,0,0,ROW()-1,60),ROW()-1,FALSE))</f>
        <v>4.7300043709999997</v>
      </c>
      <c r="J234">
        <f ca="1">IF(AND(ISNUMBER($J$903),$B$677=1),$J$903,HLOOKUP(INDIRECT(ADDRESS(2,COLUMN())),OFFSET($BN$2,0,0,ROW()-1,60),ROW()-1,FALSE))</f>
        <v>6.4200485269999996</v>
      </c>
      <c r="K234">
        <f ca="1">IF(AND(ISNUMBER($K$903),$B$677=1),$K$903,HLOOKUP(INDIRECT(ADDRESS(2,COLUMN())),OFFSET($BN$2,0,0,ROW()-1,60),ROW()-1,FALSE))</f>
        <v>10.62737613</v>
      </c>
      <c r="L234">
        <f ca="1">IF(AND(ISNUMBER($L$903),$B$677=1),$L$903,HLOOKUP(INDIRECT(ADDRESS(2,COLUMN())),OFFSET($BN$2,0,0,ROW()-1,60),ROW()-1,FALSE))</f>
        <v>6.5728206130000002</v>
      </c>
      <c r="M234">
        <f ca="1">IF(AND(ISNUMBER($M$903),$B$677=1),$M$903,HLOOKUP(INDIRECT(ADDRESS(2,COLUMN())),OFFSET($BN$2,0,0,ROW()-1,60),ROW()-1,FALSE))</f>
        <v>6.8780780669999997</v>
      </c>
      <c r="N234">
        <f ca="1">IF(AND(ISNUMBER($N$903),$B$677=1),$N$903,HLOOKUP(INDIRECT(ADDRESS(2,COLUMN())),OFFSET($BN$2,0,0,ROW()-1,60),ROW()-1,FALSE))</f>
        <v>5.1357420869999997</v>
      </c>
      <c r="O234">
        <f ca="1">IF(AND(ISNUMBER($O$903),$B$677=1),$O$903,HLOOKUP(INDIRECT(ADDRESS(2,COLUMN())),OFFSET($BN$2,0,0,ROW()-1,60),ROW()-1,FALSE))</f>
        <v>6.6203362329999997</v>
      </c>
      <c r="P234">
        <f ca="1">IF(AND(ISNUMBER($P$903),$B$677=1),$P$903,HLOOKUP(INDIRECT(ADDRESS(2,COLUMN())),OFFSET($BN$2,0,0,ROW()-1,60),ROW()-1,FALSE))</f>
        <v>6.3546642369999997</v>
      </c>
      <c r="Q234">
        <f ca="1">IF(AND(ISNUMBER($Q$903),$B$677=1),$Q$903,HLOOKUP(INDIRECT(ADDRESS(2,COLUMN())),OFFSET($BN$2,0,0,ROW()-1,60),ROW()-1,FALSE))</f>
        <v>6.1581488110000002</v>
      </c>
      <c r="R234">
        <f ca="1">IF(AND(ISNUMBER($R$903),$B$677=1),$R$903,HLOOKUP(INDIRECT(ADDRESS(2,COLUMN())),OFFSET($BN$2,0,0,ROW()-1,60),ROW()-1,FALSE))</f>
        <v>11.015355749999999</v>
      </c>
      <c r="S234">
        <f ca="1">IF(AND(ISNUMBER($S$903),$B$677=1),$S$903,HLOOKUP(INDIRECT(ADDRESS(2,COLUMN())),OFFSET($BN$2,0,0,ROW()-1,60),ROW()-1,FALSE))</f>
        <v>19.147956480000001</v>
      </c>
      <c r="T234">
        <f ca="1">IF(AND(ISNUMBER($T$903),$B$677=1),$T$903,HLOOKUP(INDIRECT(ADDRESS(2,COLUMN())),OFFSET($BN$2,0,0,ROW()-1,60),ROW()-1,FALSE))</f>
        <v>18.81212403</v>
      </c>
      <c r="U234">
        <f ca="1">IF(AND(ISNUMBER($U$903),$B$677=1),$U$903,HLOOKUP(INDIRECT(ADDRESS(2,COLUMN())),OFFSET($BN$2,0,0,ROW()-1,60),ROW()-1,FALSE))</f>
        <v>17.890433819999998</v>
      </c>
      <c r="V234">
        <f ca="1">IF(AND(ISNUMBER($V$903),$B$677=1),$V$903,HLOOKUP(INDIRECT(ADDRESS(2,COLUMN())),OFFSET($BN$2,0,0,ROW()-1,60),ROW()-1,FALSE))</f>
        <v>28.601303390000002</v>
      </c>
      <c r="W234">
        <f ca="1">IF(AND(ISNUMBER($W$903),$B$677=1),$W$903,HLOOKUP(INDIRECT(ADDRESS(2,COLUMN())),OFFSET($BN$2,0,0,ROW()-1,60),ROW()-1,FALSE))</f>
        <v>12.50103704</v>
      </c>
      <c r="X234">
        <f ca="1">IF(AND(ISNUMBER($X$903),$B$677=1),$X$903,HLOOKUP(INDIRECT(ADDRESS(2,COLUMN())),OFFSET($BN$2,0,0,ROW()-1,60),ROW()-1,FALSE))</f>
        <v>20.046031360000001</v>
      </c>
      <c r="Y234">
        <f ca="1">IF(AND(ISNUMBER($Y$903),$B$677=1),$Y$903,HLOOKUP(INDIRECT(ADDRESS(2,COLUMN())),OFFSET($BN$2,0,0,ROW()-1,60),ROW()-1,FALSE))</f>
        <v>38.509258750000001</v>
      </c>
      <c r="Z234">
        <f ca="1">IF(AND(ISNUMBER($Z$903),$B$677=1),$Z$903,HLOOKUP(INDIRECT(ADDRESS(2,COLUMN())),OFFSET($BN$2,0,0,ROW()-1,60),ROW()-1,FALSE))</f>
        <v>21.871688679999998</v>
      </c>
      <c r="AA234">
        <f ca="1">IF(AND(ISNUMBER($AA$903),$B$677=1),$AA$903,HLOOKUP(INDIRECT(ADDRESS(2,COLUMN())),OFFSET($BN$2,0,0,ROW()-1,60),ROW()-1,FALSE))</f>
        <v>34.159245599999998</v>
      </c>
      <c r="AB234">
        <f ca="1">IF(AND(ISNUMBER($AB$903),$B$677=1),$AB$903,HLOOKUP(INDIRECT(ADDRESS(2,COLUMN())),OFFSET($BN$2,0,0,ROW()-1,60),ROW()-1,FALSE))</f>
        <v>31.953362940000002</v>
      </c>
      <c r="AC234" t="str">
        <f ca="1">IF(AND(ISNUMBER($AC$903),$B$677=1),$AC$903,HLOOKUP(INDIRECT(ADDRESS(2,COLUMN())),OFFSET($BN$2,0,0,ROW()-1,60),ROW()-1,FALSE))</f>
        <v/>
      </c>
      <c r="AD234" t="str">
        <f ca="1">IF(AND(ISNUMBER($AD$903),$B$677=1),$AD$903,HLOOKUP(INDIRECT(ADDRESS(2,COLUMN())),OFFSET($BN$2,0,0,ROW()-1,60),ROW()-1,FALSE))</f>
        <v/>
      </c>
      <c r="AE234" t="str">
        <f ca="1">IF(AND(ISNUMBER($AE$903),$B$677=1),$AE$903,HLOOKUP(INDIRECT(ADDRESS(2,COLUMN())),OFFSET($BN$2,0,0,ROW()-1,60),ROW()-1,FALSE))</f>
        <v/>
      </c>
      <c r="AF234">
        <f ca="1">IF(AND(ISNUMBER($AF$903),$B$677=1),$AF$903,HLOOKUP(INDIRECT(ADDRESS(2,COLUMN())),OFFSET($BN$2,0,0,ROW()-1,60),ROW()-1,FALSE))</f>
        <v>36.755671169999999</v>
      </c>
      <c r="AG234">
        <f ca="1">IF(AND(ISNUMBER($AG$903),$B$677=1),$AG$903,HLOOKUP(INDIRECT(ADDRESS(2,COLUMN())),OFFSET($BN$2,0,0,ROW()-1,60),ROW()-1,FALSE))</f>
        <v>41.467936709999996</v>
      </c>
      <c r="AH234">
        <f ca="1">IF(AND(ISNUMBER($AH$903),$B$677=1),$AH$903,HLOOKUP(INDIRECT(ADDRESS(2,COLUMN())),OFFSET($BN$2,0,0,ROW()-1,60),ROW()-1,FALSE))</f>
        <v>12.45311637</v>
      </c>
      <c r="AI234">
        <f ca="1">IF(AND(ISNUMBER($AI$903),$B$677=1),$AI$903,HLOOKUP(INDIRECT(ADDRESS(2,COLUMN())),OFFSET($BN$2,0,0,ROW()-1,60),ROW()-1,FALSE))</f>
        <v>10.319807129999999</v>
      </c>
      <c r="AJ234">
        <f ca="1">IF(AND(ISNUMBER($AJ$903),$B$677=1),$AJ$903,HLOOKUP(INDIRECT(ADDRESS(2,COLUMN())),OFFSET($BN$2,0,0,ROW()-1,60),ROW()-1,FALSE))</f>
        <v>7.6836679050000001</v>
      </c>
      <c r="AK234">
        <f ca="1">IF(AND(ISNUMBER($AK$903),$B$677=1),$AK$903,HLOOKUP(INDIRECT(ADDRESS(2,COLUMN())),OFFSET($BN$2,0,0,ROW()-1,60),ROW()-1,FALSE))</f>
        <v>9.5677510059999999</v>
      </c>
      <c r="AL234">
        <f ca="1">IF(AND(ISNUMBER($AL$903),$B$677=1),$AL$903,HLOOKUP(INDIRECT(ADDRESS(2,COLUMN())),OFFSET($BN$2,0,0,ROW()-1,60),ROW()-1,FALSE))</f>
        <v>7.991052711</v>
      </c>
      <c r="AM234">
        <f ca="1">IF(AND(ISNUMBER($AM$903),$B$677=1),$AM$903,HLOOKUP(INDIRECT(ADDRESS(2,COLUMN())),OFFSET($BN$2,0,0,ROW()-1,60),ROW()-1,FALSE))</f>
        <v>7.5292972450000004</v>
      </c>
      <c r="AN234">
        <f ca="1">IF(AND(ISNUMBER($AN$903),$B$677=1),$AN$903,HLOOKUP(INDIRECT(ADDRESS(2,COLUMN())),OFFSET($BN$2,0,0,ROW()-1,60),ROW()-1,FALSE))</f>
        <v>6.3358894880000003</v>
      </c>
      <c r="AO234">
        <f ca="1">IF(AND(ISNUMBER($AO$903),$B$677=1),$AO$903,HLOOKUP(INDIRECT(ADDRESS(2,COLUMN())),OFFSET($BN$2,0,0,ROW()-1,60),ROW()-1,FALSE))</f>
        <v>3.2609629990000002</v>
      </c>
      <c r="AP234">
        <f ca="1">IF(AND(ISNUMBER($AP$903),$B$677=1),$AP$903,HLOOKUP(INDIRECT(ADDRESS(2,COLUMN())),OFFSET($BN$2,0,0,ROW()-1,60),ROW()-1,FALSE))</f>
        <v>3.6206764680000001</v>
      </c>
      <c r="AQ234">
        <f ca="1">IF(AND(ISNUMBER($AQ$903),$B$677=1),$AQ$903,HLOOKUP(INDIRECT(ADDRESS(2,COLUMN())),OFFSET($BN$2,0,0,ROW()-1,60),ROW()-1,FALSE))</f>
        <v>3.0591681730000002</v>
      </c>
      <c r="AR234">
        <f ca="1">IF(AND(ISNUMBER($AR$903),$B$677=1),$AR$903,HLOOKUP(INDIRECT(ADDRESS(2,COLUMN())),OFFSET($BN$2,0,0,ROW()-1,60),ROW()-1,FALSE))</f>
        <v>2.4177534390000002</v>
      </c>
      <c r="AS234">
        <f ca="1">IF(AND(ISNUMBER($AS$903),$B$677=1),$AS$903,HLOOKUP(INDIRECT(ADDRESS(2,COLUMN())),OFFSET($BN$2,0,0,ROW()-1,60),ROW()-1,FALSE))</f>
        <v>2.9306161089999998</v>
      </c>
      <c r="AT234">
        <f ca="1">IF(AND(ISNUMBER($AT$903),$B$677=1),$AT$903,HLOOKUP(INDIRECT(ADDRESS(2,COLUMN())),OFFSET($BN$2,0,0,ROW()-1,60),ROW()-1,FALSE))</f>
        <v>2.8251021029999999</v>
      </c>
      <c r="AU234" t="str">
        <f ca="1">IF(AND(ISNUMBER($AU$903),$B$677=1),$AU$903,HLOOKUP(INDIRECT(ADDRESS(2,COLUMN())),OFFSET($BN$2,0,0,ROW()-1,60),ROW()-1,FALSE))</f>
        <v/>
      </c>
      <c r="AV234" t="str">
        <f ca="1">IF(AND(ISNUMBER($AV$903),$B$677=1),$AV$903,HLOOKUP(INDIRECT(ADDRESS(2,COLUMN())),OFFSET($BN$2,0,0,ROW()-1,60),ROW()-1,FALSE))</f>
        <v/>
      </c>
      <c r="AW234" t="str">
        <f ca="1">IF(AND(ISNUMBER($AW$903),$B$677=1),$AW$903,HLOOKUP(INDIRECT(ADDRESS(2,COLUMN())),OFFSET($BN$2,0,0,ROW()-1,60),ROW()-1,FALSE))</f>
        <v/>
      </c>
      <c r="AX234" t="str">
        <f ca="1">IF(AND(ISNUMBER($AX$903),$B$677=1),$AX$903,HLOOKUP(INDIRECT(ADDRESS(2,COLUMN())),OFFSET($BN$2,0,0,ROW()-1,60),ROW()-1,FALSE))</f>
        <v/>
      </c>
      <c r="AY234" t="str">
        <f ca="1">IF(AND(ISNUMBER($AY$903),$B$677=1),$AY$903,HLOOKUP(INDIRECT(ADDRESS(2,COLUMN())),OFFSET($BN$2,0,0,ROW()-1,60),ROW()-1,FALSE))</f>
        <v/>
      </c>
      <c r="AZ234" t="str">
        <f ca="1">IF(AND(ISNUMBER($AZ$903),$B$677=1),$AZ$903,HLOOKUP(INDIRECT(ADDRESS(2,COLUMN())),OFFSET($BN$2,0,0,ROW()-1,60),ROW()-1,FALSE))</f>
        <v/>
      </c>
      <c r="BA234" t="str">
        <f ca="1">IF(AND(ISNUMBER($BA$903),$B$677=1),$BA$903,HLOOKUP(INDIRECT(ADDRESS(2,COLUMN())),OFFSET($BN$2,0,0,ROW()-1,60),ROW()-1,FALSE))</f>
        <v/>
      </c>
      <c r="BB234" t="str">
        <f ca="1">IF(AND(ISNUMBER($BB$903),$B$677=1),$BB$903,HLOOKUP(INDIRECT(ADDRESS(2,COLUMN())),OFFSET($BN$2,0,0,ROW()-1,60),ROW()-1,FALSE))</f>
        <v/>
      </c>
      <c r="BC234" t="str">
        <f ca="1">IF(AND(ISNUMBER($BC$903),$B$677=1),$BC$903,HLOOKUP(INDIRECT(ADDRESS(2,COLUMN())),OFFSET($BN$2,0,0,ROW()-1,60),ROW()-1,FALSE))</f>
        <v/>
      </c>
      <c r="BD234" t="str">
        <f ca="1">IF(AND(ISNUMBER($BD$903),$B$677=1),$BD$903,HLOOKUP(INDIRECT(ADDRESS(2,COLUMN())),OFFSET($BN$2,0,0,ROW()-1,60),ROW()-1,FALSE))</f>
        <v/>
      </c>
      <c r="BE234" t="str">
        <f ca="1">IF(AND(ISNUMBER($BE$903),$B$677=1),$BE$903,HLOOKUP(INDIRECT(ADDRESS(2,COLUMN())),OFFSET($BN$2,0,0,ROW()-1,60),ROW()-1,FALSE))</f>
        <v/>
      </c>
      <c r="BF234" t="str">
        <f ca="1">IF(AND(ISNUMBER($BF$903),$B$677=1),$BF$903,HLOOKUP(INDIRECT(ADDRESS(2,COLUMN())),OFFSET($BN$2,0,0,ROW()-1,60),ROW()-1,FALSE))</f>
        <v/>
      </c>
      <c r="BG234" t="str">
        <f ca="1">IF(AND(ISNUMBER($BG$903),$B$677=1),$BG$903,HLOOKUP(INDIRECT(ADDRESS(2,COLUMN())),OFFSET($BN$2,0,0,ROW()-1,60),ROW()-1,FALSE))</f>
        <v/>
      </c>
      <c r="BH234" t="str">
        <f ca="1">IF(AND(ISNUMBER($BH$903),$B$677=1),$BH$903,HLOOKUP(INDIRECT(ADDRESS(2,COLUMN())),OFFSET($BN$2,0,0,ROW()-1,60),ROW()-1,FALSE))</f>
        <v/>
      </c>
      <c r="BI234" t="str">
        <f ca="1">IF(AND(ISNUMBER($BI$903),$B$677=1),$BI$903,HLOOKUP(INDIRECT(ADDRESS(2,COLUMN())),OFFSET($BN$2,0,0,ROW()-1,60),ROW()-1,FALSE))</f>
        <v/>
      </c>
      <c r="BJ234" t="str">
        <f ca="1">IF(AND(ISNUMBER($BJ$903),$B$677=1),$BJ$903,HLOOKUP(INDIRECT(ADDRESS(2,COLUMN())),OFFSET($BN$2,0,0,ROW()-1,60),ROW()-1,FALSE))</f>
        <v/>
      </c>
      <c r="BK234" t="str">
        <f ca="1">IF(AND(ISNUMBER($BK$903),$B$677=1),$BK$903,HLOOKUP(INDIRECT(ADDRESS(2,COLUMN())),OFFSET($BN$2,0,0,ROW()-1,60),ROW()-1,FALSE))</f>
        <v/>
      </c>
      <c r="BL234" t="str">
        <f ca="1">IF(AND(ISNUMBER($BL$903),$B$677=1),$BL$903,HLOOKUP(INDIRECT(ADDRESS(2,COLUMN())),OFFSET($BN$2,0,0,ROW()-1,60),ROW()-1,FALSE))</f>
        <v/>
      </c>
      <c r="BM234" t="str">
        <f ca="1">IF(AND(ISNUMBER($BM$903),$B$677=1),$BM$903,HLOOKUP(INDIRECT(ADDRESS(2,COLUMN())),OFFSET($BN$2,0,0,ROW()-1,60),ROW()-1,FALSE))</f>
        <v/>
      </c>
      <c r="BN234">
        <f>3.149602457</f>
        <v>3.1496024569999999</v>
      </c>
      <c r="BO234">
        <f>2.925912877</f>
        <v>2.925912877</v>
      </c>
      <c r="BP234">
        <f>4.826016755</f>
        <v>4.8260167550000004</v>
      </c>
      <c r="BQ234">
        <f>4.730004371</f>
        <v>4.7300043709999997</v>
      </c>
      <c r="BR234">
        <f>6.420048527</f>
        <v>6.4200485269999996</v>
      </c>
      <c r="BS234">
        <f>10.62737613</f>
        <v>10.62737613</v>
      </c>
      <c r="BT234">
        <f>6.572820613</f>
        <v>6.5728206130000002</v>
      </c>
      <c r="BU234">
        <f>6.878078067</f>
        <v>6.8780780669999997</v>
      </c>
      <c r="BV234">
        <f>5.135742087</f>
        <v>5.1357420869999997</v>
      </c>
      <c r="BW234">
        <f>6.620336233</f>
        <v>6.6203362329999997</v>
      </c>
      <c r="BX234">
        <f>6.354664237</f>
        <v>6.3546642369999997</v>
      </c>
      <c r="BY234">
        <f>6.158148811</f>
        <v>6.1581488110000002</v>
      </c>
      <c r="BZ234">
        <f>11.01535575</f>
        <v>11.015355749999999</v>
      </c>
      <c r="CA234">
        <f>19.14795648</f>
        <v>19.147956480000001</v>
      </c>
      <c r="CB234">
        <f>18.81212403</f>
        <v>18.81212403</v>
      </c>
      <c r="CC234">
        <f>17.89043382</f>
        <v>17.890433819999998</v>
      </c>
      <c r="CD234">
        <f>28.60130339</f>
        <v>28.601303390000002</v>
      </c>
      <c r="CE234">
        <f>12.50103704</f>
        <v>12.50103704</v>
      </c>
      <c r="CF234">
        <f>20.04603136</f>
        <v>20.046031360000001</v>
      </c>
      <c r="CG234">
        <f>38.50925875</f>
        <v>38.509258750000001</v>
      </c>
      <c r="CH234">
        <f>21.87168868</f>
        <v>21.871688679999998</v>
      </c>
      <c r="CI234">
        <f>34.1592456</f>
        <v>34.159245599999998</v>
      </c>
      <c r="CJ234">
        <f>31.95336294</f>
        <v>31.953362940000002</v>
      </c>
      <c r="CK234" t="str">
        <f>""</f>
        <v/>
      </c>
      <c r="CL234" t="str">
        <f>""</f>
        <v/>
      </c>
      <c r="CM234" t="str">
        <f>""</f>
        <v/>
      </c>
      <c r="CN234">
        <f>36.75567117</f>
        <v>36.755671169999999</v>
      </c>
      <c r="CO234">
        <f>41.46793671</f>
        <v>41.467936709999996</v>
      </c>
      <c r="CP234">
        <f>12.45311637</f>
        <v>12.45311637</v>
      </c>
      <c r="CQ234">
        <f>10.31980713</f>
        <v>10.319807129999999</v>
      </c>
      <c r="CR234">
        <f>7.683667905</f>
        <v>7.6836679050000001</v>
      </c>
      <c r="CS234">
        <f>9.567751006</f>
        <v>9.5677510059999999</v>
      </c>
      <c r="CT234">
        <f>7.991052711</f>
        <v>7.991052711</v>
      </c>
      <c r="CU234">
        <f>7.529297245</f>
        <v>7.5292972450000004</v>
      </c>
      <c r="CV234">
        <f>6.335889488</f>
        <v>6.3358894880000003</v>
      </c>
      <c r="CW234">
        <f>3.260962999</f>
        <v>3.2609629990000002</v>
      </c>
      <c r="CX234">
        <f>3.620676468</f>
        <v>3.6206764680000001</v>
      </c>
      <c r="CY234">
        <f>3.059168173</f>
        <v>3.0591681730000002</v>
      </c>
      <c r="CZ234">
        <f>2.417753439</f>
        <v>2.4177534390000002</v>
      </c>
      <c r="DA234">
        <f>2.930616109</f>
        <v>2.9306161089999998</v>
      </c>
      <c r="DB234">
        <f>2.825102103</f>
        <v>2.8251021029999999</v>
      </c>
      <c r="DC234" t="str">
        <f>""</f>
        <v/>
      </c>
      <c r="DD234" t="str">
        <f>""</f>
        <v/>
      </c>
      <c r="DE234" t="str">
        <f>""</f>
        <v/>
      </c>
      <c r="DF234" t="str">
        <f>""</f>
        <v/>
      </c>
      <c r="DG234" t="str">
        <f>""</f>
        <v/>
      </c>
      <c r="DH234" t="str">
        <f>""</f>
        <v/>
      </c>
      <c r="DI234" t="str">
        <f>""</f>
        <v/>
      </c>
      <c r="DJ234" t="str">
        <f>""</f>
        <v/>
      </c>
      <c r="DK234" t="str">
        <f>""</f>
        <v/>
      </c>
      <c r="DL234" t="str">
        <f>""</f>
        <v/>
      </c>
      <c r="DM234" t="str">
        <f>""</f>
        <v/>
      </c>
      <c r="DN234" t="str">
        <f>""</f>
        <v/>
      </c>
      <c r="DO234" t="str">
        <f>""</f>
        <v/>
      </c>
      <c r="DP234" t="str">
        <f>""</f>
        <v/>
      </c>
      <c r="DQ234" t="str">
        <f>""</f>
        <v/>
      </c>
      <c r="DR234" t="str">
        <f>""</f>
        <v/>
      </c>
      <c r="DS234" t="str">
        <f>""</f>
        <v/>
      </c>
      <c r="DT234" t="str">
        <f>""</f>
        <v/>
      </c>
      <c r="DU234" t="str">
        <f>""</f>
        <v/>
      </c>
    </row>
    <row r="235" spans="1:125" x14ac:dyDescent="0.25">
      <c r="A235" t="str">
        <f>"    Peugeot SA"</f>
        <v xml:space="preserve">    Peugeot SA</v>
      </c>
      <c r="B235" t="str">
        <f>"UG FP Equity"</f>
        <v>UG FP Equity</v>
      </c>
      <c r="C235" t="str">
        <f t="shared" si="15"/>
        <v>RR971</v>
      </c>
      <c r="D235" t="str">
        <f t="shared" si="16"/>
        <v>CURRENT_PX_TO_FREE_CASH_FLOW</v>
      </c>
      <c r="E235" t="str">
        <f t="shared" si="17"/>
        <v>Dynamic</v>
      </c>
      <c r="F235" t="str">
        <f ca="1">IF(AND(ISNUMBER($F$904),$B$677=1),$F$904,HLOOKUP(INDIRECT(ADDRESS(2,COLUMN())),OFFSET($BN$2,0,0,ROW()-1,60),ROW()-1,FALSE))</f>
        <v/>
      </c>
      <c r="G235" t="str">
        <f ca="1">IF(AND(ISNUMBER($G$904),$B$677=1),$G$904,HLOOKUP(INDIRECT(ADDRESS(2,COLUMN())),OFFSET($BN$2,0,0,ROW()-1,60),ROW()-1,FALSE))</f>
        <v/>
      </c>
      <c r="H235" t="str">
        <f ca="1">IF(AND(ISNUMBER($H$904),$B$677=1),$H$904,HLOOKUP(INDIRECT(ADDRESS(2,COLUMN())),OFFSET($BN$2,0,0,ROW()-1,60),ROW()-1,FALSE))</f>
        <v/>
      </c>
      <c r="I235" t="str">
        <f ca="1">IF(AND(ISNUMBER($I$904),$B$677=1),$I$904,HLOOKUP(INDIRECT(ADDRESS(2,COLUMN())),OFFSET($BN$2,0,0,ROW()-1,60),ROW()-1,FALSE))</f>
        <v/>
      </c>
      <c r="J235" t="str">
        <f ca="1">IF(AND(ISNUMBER($J$904),$B$677=1),$J$904,HLOOKUP(INDIRECT(ADDRESS(2,COLUMN())),OFFSET($BN$2,0,0,ROW()-1,60),ROW()-1,FALSE))</f>
        <v/>
      </c>
      <c r="K235" t="str">
        <f ca="1">IF(AND(ISNUMBER($K$904),$B$677=1),$K$904,HLOOKUP(INDIRECT(ADDRESS(2,COLUMN())),OFFSET($BN$2,0,0,ROW()-1,60),ROW()-1,FALSE))</f>
        <v/>
      </c>
      <c r="L235" t="str">
        <f ca="1">IF(AND(ISNUMBER($L$904),$B$677=1),$L$904,HLOOKUP(INDIRECT(ADDRESS(2,COLUMN())),OFFSET($BN$2,0,0,ROW()-1,60),ROW()-1,FALSE))</f>
        <v/>
      </c>
      <c r="M235" t="str">
        <f ca="1">IF(AND(ISNUMBER($M$904),$B$677=1),$M$904,HLOOKUP(INDIRECT(ADDRESS(2,COLUMN())),OFFSET($BN$2,0,0,ROW()-1,60),ROW()-1,FALSE))</f>
        <v/>
      </c>
      <c r="N235" t="str">
        <f ca="1">IF(AND(ISNUMBER($N$904),$B$677=1),$N$904,HLOOKUP(INDIRECT(ADDRESS(2,COLUMN())),OFFSET($BN$2,0,0,ROW()-1,60),ROW()-1,FALSE))</f>
        <v/>
      </c>
      <c r="O235" t="str">
        <f ca="1">IF(AND(ISNUMBER($O$904),$B$677=1),$O$904,HLOOKUP(INDIRECT(ADDRESS(2,COLUMN())),OFFSET($BN$2,0,0,ROW()-1,60),ROW()-1,FALSE))</f>
        <v/>
      </c>
      <c r="P235" t="str">
        <f ca="1">IF(AND(ISNUMBER($P$904),$B$677=1),$P$904,HLOOKUP(INDIRECT(ADDRESS(2,COLUMN())),OFFSET($BN$2,0,0,ROW()-1,60),ROW()-1,FALSE))</f>
        <v/>
      </c>
      <c r="Q235" t="str">
        <f ca="1">IF(AND(ISNUMBER($Q$904),$B$677=1),$Q$904,HLOOKUP(INDIRECT(ADDRESS(2,COLUMN())),OFFSET($BN$2,0,0,ROW()-1,60),ROW()-1,FALSE))</f>
        <v/>
      </c>
      <c r="R235" t="str">
        <f ca="1">IF(AND(ISNUMBER($R$904),$B$677=1),$R$904,HLOOKUP(INDIRECT(ADDRESS(2,COLUMN())),OFFSET($BN$2,0,0,ROW()-1,60),ROW()-1,FALSE))</f>
        <v/>
      </c>
      <c r="S235" t="str">
        <f ca="1">IF(AND(ISNUMBER($S$904),$B$677=1),$S$904,HLOOKUP(INDIRECT(ADDRESS(2,COLUMN())),OFFSET($BN$2,0,0,ROW()-1,60),ROW()-1,FALSE))</f>
        <v/>
      </c>
      <c r="T235" t="str">
        <f ca="1">IF(AND(ISNUMBER($T$904),$B$677=1),$T$904,HLOOKUP(INDIRECT(ADDRESS(2,COLUMN())),OFFSET($BN$2,0,0,ROW()-1,60),ROW()-1,FALSE))</f>
        <v/>
      </c>
      <c r="U235" t="str">
        <f ca="1">IF(AND(ISNUMBER($U$904),$B$677=1),$U$904,HLOOKUP(INDIRECT(ADDRESS(2,COLUMN())),OFFSET($BN$2,0,0,ROW()-1,60),ROW()-1,FALSE))</f>
        <v/>
      </c>
      <c r="V235" t="str">
        <f ca="1">IF(AND(ISNUMBER($V$904),$B$677=1),$V$904,HLOOKUP(INDIRECT(ADDRESS(2,COLUMN())),OFFSET($BN$2,0,0,ROW()-1,60),ROW()-1,FALSE))</f>
        <v/>
      </c>
      <c r="W235" t="str">
        <f ca="1">IF(AND(ISNUMBER($W$904),$B$677=1),$W$904,HLOOKUP(INDIRECT(ADDRESS(2,COLUMN())),OFFSET($BN$2,0,0,ROW()-1,60),ROW()-1,FALSE))</f>
        <v/>
      </c>
      <c r="X235" t="str">
        <f ca="1">IF(AND(ISNUMBER($X$904),$B$677=1),$X$904,HLOOKUP(INDIRECT(ADDRESS(2,COLUMN())),OFFSET($BN$2,0,0,ROW()-1,60),ROW()-1,FALSE))</f>
        <v/>
      </c>
      <c r="Y235" t="str">
        <f ca="1">IF(AND(ISNUMBER($Y$904),$B$677=1),$Y$904,HLOOKUP(INDIRECT(ADDRESS(2,COLUMN())),OFFSET($BN$2,0,0,ROW()-1,60),ROW()-1,FALSE))</f>
        <v/>
      </c>
      <c r="Z235" t="str">
        <f ca="1">IF(AND(ISNUMBER($Z$904),$B$677=1),$Z$904,HLOOKUP(INDIRECT(ADDRESS(2,COLUMN())),OFFSET($BN$2,0,0,ROW()-1,60),ROW()-1,FALSE))</f>
        <v/>
      </c>
      <c r="AA235" t="str">
        <f ca="1">IF(AND(ISNUMBER($AA$904),$B$677=1),$AA$904,HLOOKUP(INDIRECT(ADDRESS(2,COLUMN())),OFFSET($BN$2,0,0,ROW()-1,60),ROW()-1,FALSE))</f>
        <v/>
      </c>
      <c r="AB235" t="str">
        <f ca="1">IF(AND(ISNUMBER($AB$904),$B$677=1),$AB$904,HLOOKUP(INDIRECT(ADDRESS(2,COLUMN())),OFFSET($BN$2,0,0,ROW()-1,60),ROW()-1,FALSE))</f>
        <v/>
      </c>
      <c r="AC235" t="str">
        <f ca="1">IF(AND(ISNUMBER($AC$904),$B$677=1),$AC$904,HLOOKUP(INDIRECT(ADDRESS(2,COLUMN())),OFFSET($BN$2,0,0,ROW()-1,60),ROW()-1,FALSE))</f>
        <v/>
      </c>
      <c r="AD235" t="str">
        <f ca="1">IF(AND(ISNUMBER($AD$904),$B$677=1),$AD$904,HLOOKUP(INDIRECT(ADDRESS(2,COLUMN())),OFFSET($BN$2,0,0,ROW()-1,60),ROW()-1,FALSE))</f>
        <v/>
      </c>
      <c r="AE235" t="str">
        <f ca="1">IF(AND(ISNUMBER($AE$904),$B$677=1),$AE$904,HLOOKUP(INDIRECT(ADDRESS(2,COLUMN())),OFFSET($BN$2,0,0,ROW()-1,60),ROW()-1,FALSE))</f>
        <v/>
      </c>
      <c r="AF235" t="str">
        <f ca="1">IF(AND(ISNUMBER($AF$904),$B$677=1),$AF$904,HLOOKUP(INDIRECT(ADDRESS(2,COLUMN())),OFFSET($BN$2,0,0,ROW()-1,60),ROW()-1,FALSE))</f>
        <v/>
      </c>
      <c r="AG235" t="str">
        <f ca="1">IF(AND(ISNUMBER($AG$904),$B$677=1),$AG$904,HLOOKUP(INDIRECT(ADDRESS(2,COLUMN())),OFFSET($BN$2,0,0,ROW()-1,60),ROW()-1,FALSE))</f>
        <v/>
      </c>
      <c r="AH235" t="str">
        <f ca="1">IF(AND(ISNUMBER($AH$904),$B$677=1),$AH$904,HLOOKUP(INDIRECT(ADDRESS(2,COLUMN())),OFFSET($BN$2,0,0,ROW()-1,60),ROW()-1,FALSE))</f>
        <v/>
      </c>
      <c r="AI235" t="str">
        <f ca="1">IF(AND(ISNUMBER($AI$904),$B$677=1),$AI$904,HLOOKUP(INDIRECT(ADDRESS(2,COLUMN())),OFFSET($BN$2,0,0,ROW()-1,60),ROW()-1,FALSE))</f>
        <v/>
      </c>
      <c r="AJ235" t="str">
        <f ca="1">IF(AND(ISNUMBER($AJ$904),$B$677=1),$AJ$904,HLOOKUP(INDIRECT(ADDRESS(2,COLUMN())),OFFSET($BN$2,0,0,ROW()-1,60),ROW()-1,FALSE))</f>
        <v/>
      </c>
      <c r="AK235" t="str">
        <f ca="1">IF(AND(ISNUMBER($AK$904),$B$677=1),$AK$904,HLOOKUP(INDIRECT(ADDRESS(2,COLUMN())),OFFSET($BN$2,0,0,ROW()-1,60),ROW()-1,FALSE))</f>
        <v/>
      </c>
      <c r="AL235" t="str">
        <f ca="1">IF(AND(ISNUMBER($AL$904),$B$677=1),$AL$904,HLOOKUP(INDIRECT(ADDRESS(2,COLUMN())),OFFSET($BN$2,0,0,ROW()-1,60),ROW()-1,FALSE))</f>
        <v/>
      </c>
      <c r="AM235" t="str">
        <f ca="1">IF(AND(ISNUMBER($AM$904),$B$677=1),$AM$904,HLOOKUP(INDIRECT(ADDRESS(2,COLUMN())),OFFSET($BN$2,0,0,ROW()-1,60),ROW()-1,FALSE))</f>
        <v/>
      </c>
      <c r="AN235" t="str">
        <f ca="1">IF(AND(ISNUMBER($AN$904),$B$677=1),$AN$904,HLOOKUP(INDIRECT(ADDRESS(2,COLUMN())),OFFSET($BN$2,0,0,ROW()-1,60),ROW()-1,FALSE))</f>
        <v/>
      </c>
      <c r="AO235" t="str">
        <f ca="1">IF(AND(ISNUMBER($AO$904),$B$677=1),$AO$904,HLOOKUP(INDIRECT(ADDRESS(2,COLUMN())),OFFSET($BN$2,0,0,ROW()-1,60),ROW()-1,FALSE))</f>
        <v/>
      </c>
      <c r="AP235" t="str">
        <f ca="1">IF(AND(ISNUMBER($AP$904),$B$677=1),$AP$904,HLOOKUP(INDIRECT(ADDRESS(2,COLUMN())),OFFSET($BN$2,0,0,ROW()-1,60),ROW()-1,FALSE))</f>
        <v/>
      </c>
      <c r="AQ235" t="str">
        <f ca="1">IF(AND(ISNUMBER($AQ$904),$B$677=1),$AQ$904,HLOOKUP(INDIRECT(ADDRESS(2,COLUMN())),OFFSET($BN$2,0,0,ROW()-1,60),ROW()-1,FALSE))</f>
        <v/>
      </c>
      <c r="AR235" t="str">
        <f ca="1">IF(AND(ISNUMBER($AR$904),$B$677=1),$AR$904,HLOOKUP(INDIRECT(ADDRESS(2,COLUMN())),OFFSET($BN$2,0,0,ROW()-1,60),ROW()-1,FALSE))</f>
        <v/>
      </c>
      <c r="AS235" t="str">
        <f ca="1">IF(AND(ISNUMBER($AS$904),$B$677=1),$AS$904,HLOOKUP(INDIRECT(ADDRESS(2,COLUMN())),OFFSET($BN$2,0,0,ROW()-1,60),ROW()-1,FALSE))</f>
        <v/>
      </c>
      <c r="AT235" t="str">
        <f ca="1">IF(AND(ISNUMBER($AT$904),$B$677=1),$AT$904,HLOOKUP(INDIRECT(ADDRESS(2,COLUMN())),OFFSET($BN$2,0,0,ROW()-1,60),ROW()-1,FALSE))</f>
        <v/>
      </c>
      <c r="AU235" t="str">
        <f ca="1">IF(AND(ISNUMBER($AU$904),$B$677=1),$AU$904,HLOOKUP(INDIRECT(ADDRESS(2,COLUMN())),OFFSET($BN$2,0,0,ROW()-1,60),ROW()-1,FALSE))</f>
        <v/>
      </c>
      <c r="AV235" t="str">
        <f ca="1">IF(AND(ISNUMBER($AV$904),$B$677=1),$AV$904,HLOOKUP(INDIRECT(ADDRESS(2,COLUMN())),OFFSET($BN$2,0,0,ROW()-1,60),ROW()-1,FALSE))</f>
        <v/>
      </c>
      <c r="AW235" t="str">
        <f ca="1">IF(AND(ISNUMBER($AW$904),$B$677=1),$AW$904,HLOOKUP(INDIRECT(ADDRESS(2,COLUMN())),OFFSET($BN$2,0,0,ROW()-1,60),ROW()-1,FALSE))</f>
        <v/>
      </c>
      <c r="AX235" t="str">
        <f ca="1">IF(AND(ISNUMBER($AX$904),$B$677=1),$AX$904,HLOOKUP(INDIRECT(ADDRESS(2,COLUMN())),OFFSET($BN$2,0,0,ROW()-1,60),ROW()-1,FALSE))</f>
        <v/>
      </c>
      <c r="AY235" t="str">
        <f ca="1">IF(AND(ISNUMBER($AY$904),$B$677=1),$AY$904,HLOOKUP(INDIRECT(ADDRESS(2,COLUMN())),OFFSET($BN$2,0,0,ROW()-1,60),ROW()-1,FALSE))</f>
        <v/>
      </c>
      <c r="AZ235" t="str">
        <f ca="1">IF(AND(ISNUMBER($AZ$904),$B$677=1),$AZ$904,HLOOKUP(INDIRECT(ADDRESS(2,COLUMN())),OFFSET($BN$2,0,0,ROW()-1,60),ROW()-1,FALSE))</f>
        <v/>
      </c>
      <c r="BA235" t="str">
        <f ca="1">IF(AND(ISNUMBER($BA$904),$B$677=1),$BA$904,HLOOKUP(INDIRECT(ADDRESS(2,COLUMN())),OFFSET($BN$2,0,0,ROW()-1,60),ROW()-1,FALSE))</f>
        <v/>
      </c>
      <c r="BB235" t="str">
        <f ca="1">IF(AND(ISNUMBER($BB$904),$B$677=1),$BB$904,HLOOKUP(INDIRECT(ADDRESS(2,COLUMN())),OFFSET($BN$2,0,0,ROW()-1,60),ROW()-1,FALSE))</f>
        <v/>
      </c>
      <c r="BC235" t="str">
        <f ca="1">IF(AND(ISNUMBER($BC$904),$B$677=1),$BC$904,HLOOKUP(INDIRECT(ADDRESS(2,COLUMN())),OFFSET($BN$2,0,0,ROW()-1,60),ROW()-1,FALSE))</f>
        <v/>
      </c>
      <c r="BD235" t="str">
        <f ca="1">IF(AND(ISNUMBER($BD$904),$B$677=1),$BD$904,HLOOKUP(INDIRECT(ADDRESS(2,COLUMN())),OFFSET($BN$2,0,0,ROW()-1,60),ROW()-1,FALSE))</f>
        <v/>
      </c>
      <c r="BE235" t="str">
        <f ca="1">IF(AND(ISNUMBER($BE$904),$B$677=1),$BE$904,HLOOKUP(INDIRECT(ADDRESS(2,COLUMN())),OFFSET($BN$2,0,0,ROW()-1,60),ROW()-1,FALSE))</f>
        <v/>
      </c>
      <c r="BF235" t="str">
        <f ca="1">IF(AND(ISNUMBER($BF$904),$B$677=1),$BF$904,HLOOKUP(INDIRECT(ADDRESS(2,COLUMN())),OFFSET($BN$2,0,0,ROW()-1,60),ROW()-1,FALSE))</f>
        <v/>
      </c>
      <c r="BG235" t="str">
        <f ca="1">IF(AND(ISNUMBER($BG$904),$B$677=1),$BG$904,HLOOKUP(INDIRECT(ADDRESS(2,COLUMN())),OFFSET($BN$2,0,0,ROW()-1,60),ROW()-1,FALSE))</f>
        <v/>
      </c>
      <c r="BH235" t="str">
        <f ca="1">IF(AND(ISNUMBER($BH$904),$B$677=1),$BH$904,HLOOKUP(INDIRECT(ADDRESS(2,COLUMN())),OFFSET($BN$2,0,0,ROW()-1,60),ROW()-1,FALSE))</f>
        <v/>
      </c>
      <c r="BI235" t="str">
        <f ca="1">IF(AND(ISNUMBER($BI$904),$B$677=1),$BI$904,HLOOKUP(INDIRECT(ADDRESS(2,COLUMN())),OFFSET($BN$2,0,0,ROW()-1,60),ROW()-1,FALSE))</f>
        <v/>
      </c>
      <c r="BJ235" t="str">
        <f ca="1">IF(AND(ISNUMBER($BJ$904),$B$677=1),$BJ$904,HLOOKUP(INDIRECT(ADDRESS(2,COLUMN())),OFFSET($BN$2,0,0,ROW()-1,60),ROW()-1,FALSE))</f>
        <v/>
      </c>
      <c r="BK235" t="str">
        <f ca="1">IF(AND(ISNUMBER($BK$904),$B$677=1),$BK$904,HLOOKUP(INDIRECT(ADDRESS(2,COLUMN())),OFFSET($BN$2,0,0,ROW()-1,60),ROW()-1,FALSE))</f>
        <v/>
      </c>
      <c r="BL235" t="str">
        <f ca="1">IF(AND(ISNUMBER($BL$904),$B$677=1),$BL$904,HLOOKUP(INDIRECT(ADDRESS(2,COLUMN())),OFFSET($BN$2,0,0,ROW()-1,60),ROW()-1,FALSE))</f>
        <v/>
      </c>
      <c r="BM235" t="str">
        <f ca="1">IF(AND(ISNUMBER($BM$904),$B$677=1),$BM$904,HLOOKUP(INDIRECT(ADDRESS(2,COLUMN())),OFFSET($BN$2,0,0,ROW()-1,60),ROW()-1,FALSE))</f>
        <v/>
      </c>
      <c r="BN235" t="str">
        <f>""</f>
        <v/>
      </c>
      <c r="BO235" t="str">
        <f>""</f>
        <v/>
      </c>
      <c r="BP235" t="str">
        <f>""</f>
        <v/>
      </c>
      <c r="BQ235" t="str">
        <f>""</f>
        <v/>
      </c>
      <c r="BR235" t="str">
        <f>""</f>
        <v/>
      </c>
      <c r="BS235" t="str">
        <f>""</f>
        <v/>
      </c>
      <c r="BT235" t="str">
        <f>""</f>
        <v/>
      </c>
      <c r="BU235" t="str">
        <f>""</f>
        <v/>
      </c>
      <c r="BV235" t="str">
        <f>""</f>
        <v/>
      </c>
      <c r="BW235" t="str">
        <f>""</f>
        <v/>
      </c>
      <c r="BX235" t="str">
        <f>""</f>
        <v/>
      </c>
      <c r="BY235" t="str">
        <f>""</f>
        <v/>
      </c>
      <c r="BZ235" t="str">
        <f>""</f>
        <v/>
      </c>
      <c r="CA235" t="str">
        <f>""</f>
        <v/>
      </c>
      <c r="CB235" t="str">
        <f>""</f>
        <v/>
      </c>
      <c r="CC235" t="str">
        <f>""</f>
        <v/>
      </c>
      <c r="CD235" t="str">
        <f>""</f>
        <v/>
      </c>
      <c r="CE235" t="str">
        <f>""</f>
        <v/>
      </c>
      <c r="CF235" t="str">
        <f>""</f>
        <v/>
      </c>
      <c r="CG235" t="str">
        <f>""</f>
        <v/>
      </c>
      <c r="CH235" t="str">
        <f>""</f>
        <v/>
      </c>
      <c r="CI235" t="str">
        <f>""</f>
        <v/>
      </c>
      <c r="CJ235" t="str">
        <f>""</f>
        <v/>
      </c>
      <c r="CK235" t="str">
        <f>""</f>
        <v/>
      </c>
      <c r="CL235" t="str">
        <f>""</f>
        <v/>
      </c>
      <c r="CM235" t="str">
        <f>""</f>
        <v/>
      </c>
      <c r="CN235" t="str">
        <f>""</f>
        <v/>
      </c>
      <c r="CO235" t="str">
        <f>""</f>
        <v/>
      </c>
      <c r="CP235" t="str">
        <f>""</f>
        <v/>
      </c>
      <c r="CQ235" t="str">
        <f>""</f>
        <v/>
      </c>
      <c r="CR235" t="str">
        <f>""</f>
        <v/>
      </c>
      <c r="CS235" t="str">
        <f>""</f>
        <v/>
      </c>
      <c r="CT235" t="str">
        <f>""</f>
        <v/>
      </c>
      <c r="CU235" t="str">
        <f>""</f>
        <v/>
      </c>
      <c r="CV235" t="str">
        <f>""</f>
        <v/>
      </c>
      <c r="CW235" t="str">
        <f>""</f>
        <v/>
      </c>
      <c r="CX235" t="str">
        <f>""</f>
        <v/>
      </c>
      <c r="CY235" t="str">
        <f>""</f>
        <v/>
      </c>
      <c r="CZ235" t="str">
        <f>""</f>
        <v/>
      </c>
      <c r="DA235" t="str">
        <f>""</f>
        <v/>
      </c>
      <c r="DB235" t="str">
        <f>""</f>
        <v/>
      </c>
      <c r="DC235" t="str">
        <f>""</f>
        <v/>
      </c>
      <c r="DD235" t="str">
        <f>""</f>
        <v/>
      </c>
      <c r="DE235" t="str">
        <f>""</f>
        <v/>
      </c>
      <c r="DF235" t="str">
        <f>""</f>
        <v/>
      </c>
      <c r="DG235" t="str">
        <f>""</f>
        <v/>
      </c>
      <c r="DH235" t="str">
        <f>""</f>
        <v/>
      </c>
      <c r="DI235" t="str">
        <f>""</f>
        <v/>
      </c>
      <c r="DJ235" t="str">
        <f>""</f>
        <v/>
      </c>
      <c r="DK235" t="str">
        <f>""</f>
        <v/>
      </c>
      <c r="DL235" t="str">
        <f>""</f>
        <v/>
      </c>
      <c r="DM235" t="str">
        <f>""</f>
        <v/>
      </c>
      <c r="DN235" t="str">
        <f>""</f>
        <v/>
      </c>
      <c r="DO235" t="str">
        <f>""</f>
        <v/>
      </c>
      <c r="DP235" t="str">
        <f>""</f>
        <v/>
      </c>
      <c r="DQ235" t="str">
        <f>""</f>
        <v/>
      </c>
      <c r="DR235" t="str">
        <f>""</f>
        <v/>
      </c>
      <c r="DS235" t="str">
        <f>""</f>
        <v/>
      </c>
      <c r="DT235" t="str">
        <f>""</f>
        <v/>
      </c>
      <c r="DU235" t="str">
        <f>""</f>
        <v/>
      </c>
    </row>
    <row r="236" spans="1:125" x14ac:dyDescent="0.25">
      <c r="A236" t="str">
        <f>"    Renault SA"</f>
        <v xml:space="preserve">    Renault SA</v>
      </c>
      <c r="B236" t="str">
        <f>"RNO FP Equity"</f>
        <v>RNO FP Equity</v>
      </c>
      <c r="C236" t="str">
        <f t="shared" si="15"/>
        <v>RR971</v>
      </c>
      <c r="D236" t="str">
        <f t="shared" si="16"/>
        <v>CURRENT_PX_TO_FREE_CASH_FLOW</v>
      </c>
      <c r="E236" t="str">
        <f t="shared" si="17"/>
        <v>Dynamic</v>
      </c>
      <c r="F236" t="str">
        <f ca="1">IF(AND(ISNUMBER($F$905),$B$677=1),$F$905,HLOOKUP(INDIRECT(ADDRESS(2,COLUMN())),OFFSET($BN$2,0,0,ROW()-1,60),ROW()-1,FALSE))</f>
        <v/>
      </c>
      <c r="G236" t="str">
        <f ca="1">IF(AND(ISNUMBER($G$905),$B$677=1),$G$905,HLOOKUP(INDIRECT(ADDRESS(2,COLUMN())),OFFSET($BN$2,0,0,ROW()-1,60),ROW()-1,FALSE))</f>
        <v/>
      </c>
      <c r="H236" t="str">
        <f ca="1">IF(AND(ISNUMBER($H$905),$B$677=1),$H$905,HLOOKUP(INDIRECT(ADDRESS(2,COLUMN())),OFFSET($BN$2,0,0,ROW()-1,60),ROW()-1,FALSE))</f>
        <v/>
      </c>
      <c r="I236" t="str">
        <f ca="1">IF(AND(ISNUMBER($I$905),$B$677=1),$I$905,HLOOKUP(INDIRECT(ADDRESS(2,COLUMN())),OFFSET($BN$2,0,0,ROW()-1,60),ROW()-1,FALSE))</f>
        <v/>
      </c>
      <c r="J236" t="str">
        <f ca="1">IF(AND(ISNUMBER($J$905),$B$677=1),$J$905,HLOOKUP(INDIRECT(ADDRESS(2,COLUMN())),OFFSET($BN$2,0,0,ROW()-1,60),ROW()-1,FALSE))</f>
        <v/>
      </c>
      <c r="K236" t="str">
        <f ca="1">IF(AND(ISNUMBER($K$905),$B$677=1),$K$905,HLOOKUP(INDIRECT(ADDRESS(2,COLUMN())),OFFSET($BN$2,0,0,ROW()-1,60),ROW()-1,FALSE))</f>
        <v/>
      </c>
      <c r="L236" t="str">
        <f ca="1">IF(AND(ISNUMBER($L$905),$B$677=1),$L$905,HLOOKUP(INDIRECT(ADDRESS(2,COLUMN())),OFFSET($BN$2,0,0,ROW()-1,60),ROW()-1,FALSE))</f>
        <v/>
      </c>
      <c r="M236" t="str">
        <f ca="1">IF(AND(ISNUMBER($M$905),$B$677=1),$M$905,HLOOKUP(INDIRECT(ADDRESS(2,COLUMN())),OFFSET($BN$2,0,0,ROW()-1,60),ROW()-1,FALSE))</f>
        <v/>
      </c>
      <c r="N236" t="str">
        <f ca="1">IF(AND(ISNUMBER($N$905),$B$677=1),$N$905,HLOOKUP(INDIRECT(ADDRESS(2,COLUMN())),OFFSET($BN$2,0,0,ROW()-1,60),ROW()-1,FALSE))</f>
        <v/>
      </c>
      <c r="O236" t="str">
        <f ca="1">IF(AND(ISNUMBER($O$905),$B$677=1),$O$905,HLOOKUP(INDIRECT(ADDRESS(2,COLUMN())),OFFSET($BN$2,0,0,ROW()-1,60),ROW()-1,FALSE))</f>
        <v/>
      </c>
      <c r="P236" t="str">
        <f ca="1">IF(AND(ISNUMBER($P$905),$B$677=1),$P$905,HLOOKUP(INDIRECT(ADDRESS(2,COLUMN())),OFFSET($BN$2,0,0,ROW()-1,60),ROW()-1,FALSE))</f>
        <v/>
      </c>
      <c r="Q236" t="str">
        <f ca="1">IF(AND(ISNUMBER($Q$905),$B$677=1),$Q$905,HLOOKUP(INDIRECT(ADDRESS(2,COLUMN())),OFFSET($BN$2,0,0,ROW()-1,60),ROW()-1,FALSE))</f>
        <v/>
      </c>
      <c r="R236" t="str">
        <f ca="1">IF(AND(ISNUMBER($R$905),$B$677=1),$R$905,HLOOKUP(INDIRECT(ADDRESS(2,COLUMN())),OFFSET($BN$2,0,0,ROW()-1,60),ROW()-1,FALSE))</f>
        <v/>
      </c>
      <c r="S236" t="str">
        <f ca="1">IF(AND(ISNUMBER($S$905),$B$677=1),$S$905,HLOOKUP(INDIRECT(ADDRESS(2,COLUMN())),OFFSET($BN$2,0,0,ROW()-1,60),ROW()-1,FALSE))</f>
        <v/>
      </c>
      <c r="T236" t="str">
        <f ca="1">IF(AND(ISNUMBER($T$905),$B$677=1),$T$905,HLOOKUP(INDIRECT(ADDRESS(2,COLUMN())),OFFSET($BN$2,0,0,ROW()-1,60),ROW()-1,FALSE))</f>
        <v/>
      </c>
      <c r="U236" t="str">
        <f ca="1">IF(AND(ISNUMBER($U$905),$B$677=1),$U$905,HLOOKUP(INDIRECT(ADDRESS(2,COLUMN())),OFFSET($BN$2,0,0,ROW()-1,60),ROW()-1,FALSE))</f>
        <v/>
      </c>
      <c r="V236" t="str">
        <f ca="1">IF(AND(ISNUMBER($V$905),$B$677=1),$V$905,HLOOKUP(INDIRECT(ADDRESS(2,COLUMN())),OFFSET($BN$2,0,0,ROW()-1,60),ROW()-1,FALSE))</f>
        <v/>
      </c>
      <c r="W236" t="str">
        <f ca="1">IF(AND(ISNUMBER($W$905),$B$677=1),$W$905,HLOOKUP(INDIRECT(ADDRESS(2,COLUMN())),OFFSET($BN$2,0,0,ROW()-1,60),ROW()-1,FALSE))</f>
        <v/>
      </c>
      <c r="X236" t="str">
        <f ca="1">IF(AND(ISNUMBER($X$905),$B$677=1),$X$905,HLOOKUP(INDIRECT(ADDRESS(2,COLUMN())),OFFSET($BN$2,0,0,ROW()-1,60),ROW()-1,FALSE))</f>
        <v/>
      </c>
      <c r="Y236" t="str">
        <f ca="1">IF(AND(ISNUMBER($Y$905),$B$677=1),$Y$905,HLOOKUP(INDIRECT(ADDRESS(2,COLUMN())),OFFSET($BN$2,0,0,ROW()-1,60),ROW()-1,FALSE))</f>
        <v/>
      </c>
      <c r="Z236" t="str">
        <f ca="1">IF(AND(ISNUMBER($Z$905),$B$677=1),$Z$905,HLOOKUP(INDIRECT(ADDRESS(2,COLUMN())),OFFSET($BN$2,0,0,ROW()-1,60),ROW()-1,FALSE))</f>
        <v/>
      </c>
      <c r="AA236" t="str">
        <f ca="1">IF(AND(ISNUMBER($AA$905),$B$677=1),$AA$905,HLOOKUP(INDIRECT(ADDRESS(2,COLUMN())),OFFSET($BN$2,0,0,ROW()-1,60),ROW()-1,FALSE))</f>
        <v/>
      </c>
      <c r="AB236" t="str">
        <f ca="1">IF(AND(ISNUMBER($AB$905),$B$677=1),$AB$905,HLOOKUP(INDIRECT(ADDRESS(2,COLUMN())),OFFSET($BN$2,0,0,ROW()-1,60),ROW()-1,FALSE))</f>
        <v/>
      </c>
      <c r="AC236" t="str">
        <f ca="1">IF(AND(ISNUMBER($AC$905),$B$677=1),$AC$905,HLOOKUP(INDIRECT(ADDRESS(2,COLUMN())),OFFSET($BN$2,0,0,ROW()-1,60),ROW()-1,FALSE))</f>
        <v/>
      </c>
      <c r="AD236" t="str">
        <f ca="1">IF(AND(ISNUMBER($AD$905),$B$677=1),$AD$905,HLOOKUP(INDIRECT(ADDRESS(2,COLUMN())),OFFSET($BN$2,0,0,ROW()-1,60),ROW()-1,FALSE))</f>
        <v/>
      </c>
      <c r="AE236" t="str">
        <f ca="1">IF(AND(ISNUMBER($AE$905),$B$677=1),$AE$905,HLOOKUP(INDIRECT(ADDRESS(2,COLUMN())),OFFSET($BN$2,0,0,ROW()-1,60),ROW()-1,FALSE))</f>
        <v/>
      </c>
      <c r="AF236" t="str">
        <f ca="1">IF(AND(ISNUMBER($AF$905),$B$677=1),$AF$905,HLOOKUP(INDIRECT(ADDRESS(2,COLUMN())),OFFSET($BN$2,0,0,ROW()-1,60),ROW()-1,FALSE))</f>
        <v/>
      </c>
      <c r="AG236" t="str">
        <f ca="1">IF(AND(ISNUMBER($AG$905),$B$677=1),$AG$905,HLOOKUP(INDIRECT(ADDRESS(2,COLUMN())),OFFSET($BN$2,0,0,ROW()-1,60),ROW()-1,FALSE))</f>
        <v/>
      </c>
      <c r="AH236" t="str">
        <f ca="1">IF(AND(ISNUMBER($AH$905),$B$677=1),$AH$905,HLOOKUP(INDIRECT(ADDRESS(2,COLUMN())),OFFSET($BN$2,0,0,ROW()-1,60),ROW()-1,FALSE))</f>
        <v/>
      </c>
      <c r="AI236" t="str">
        <f ca="1">IF(AND(ISNUMBER($AI$905),$B$677=1),$AI$905,HLOOKUP(INDIRECT(ADDRESS(2,COLUMN())),OFFSET($BN$2,0,0,ROW()-1,60),ROW()-1,FALSE))</f>
        <v/>
      </c>
      <c r="AJ236" t="str">
        <f ca="1">IF(AND(ISNUMBER($AJ$905),$B$677=1),$AJ$905,HLOOKUP(INDIRECT(ADDRESS(2,COLUMN())),OFFSET($BN$2,0,0,ROW()-1,60),ROW()-1,FALSE))</f>
        <v/>
      </c>
      <c r="AK236" t="str">
        <f ca="1">IF(AND(ISNUMBER($AK$905),$B$677=1),$AK$905,HLOOKUP(INDIRECT(ADDRESS(2,COLUMN())),OFFSET($BN$2,0,0,ROW()-1,60),ROW()-1,FALSE))</f>
        <v/>
      </c>
      <c r="AL236" t="str">
        <f ca="1">IF(AND(ISNUMBER($AL$905),$B$677=1),$AL$905,HLOOKUP(INDIRECT(ADDRESS(2,COLUMN())),OFFSET($BN$2,0,0,ROW()-1,60),ROW()-1,FALSE))</f>
        <v/>
      </c>
      <c r="AM236" t="str">
        <f ca="1">IF(AND(ISNUMBER($AM$905),$B$677=1),$AM$905,HLOOKUP(INDIRECT(ADDRESS(2,COLUMN())),OFFSET($BN$2,0,0,ROW()-1,60),ROW()-1,FALSE))</f>
        <v/>
      </c>
      <c r="AN236" t="str">
        <f ca="1">IF(AND(ISNUMBER($AN$905),$B$677=1),$AN$905,HLOOKUP(INDIRECT(ADDRESS(2,COLUMN())),OFFSET($BN$2,0,0,ROW()-1,60),ROW()-1,FALSE))</f>
        <v/>
      </c>
      <c r="AO236" t="str">
        <f ca="1">IF(AND(ISNUMBER($AO$905),$B$677=1),$AO$905,HLOOKUP(INDIRECT(ADDRESS(2,COLUMN())),OFFSET($BN$2,0,0,ROW()-1,60),ROW()-1,FALSE))</f>
        <v/>
      </c>
      <c r="AP236" t="str">
        <f ca="1">IF(AND(ISNUMBER($AP$905),$B$677=1),$AP$905,HLOOKUP(INDIRECT(ADDRESS(2,COLUMN())),OFFSET($BN$2,0,0,ROW()-1,60),ROW()-1,FALSE))</f>
        <v/>
      </c>
      <c r="AQ236" t="str">
        <f ca="1">IF(AND(ISNUMBER($AQ$905),$B$677=1),$AQ$905,HLOOKUP(INDIRECT(ADDRESS(2,COLUMN())),OFFSET($BN$2,0,0,ROW()-1,60),ROW()-1,FALSE))</f>
        <v/>
      </c>
      <c r="AR236" t="str">
        <f ca="1">IF(AND(ISNUMBER($AR$905),$B$677=1),$AR$905,HLOOKUP(INDIRECT(ADDRESS(2,COLUMN())),OFFSET($BN$2,0,0,ROW()-1,60),ROW()-1,FALSE))</f>
        <v/>
      </c>
      <c r="AS236" t="str">
        <f ca="1">IF(AND(ISNUMBER($AS$905),$B$677=1),$AS$905,HLOOKUP(INDIRECT(ADDRESS(2,COLUMN())),OFFSET($BN$2,0,0,ROW()-1,60),ROW()-1,FALSE))</f>
        <v/>
      </c>
      <c r="AT236" t="str">
        <f ca="1">IF(AND(ISNUMBER($AT$905),$B$677=1),$AT$905,HLOOKUP(INDIRECT(ADDRESS(2,COLUMN())),OFFSET($BN$2,0,0,ROW()-1,60),ROW()-1,FALSE))</f>
        <v/>
      </c>
      <c r="AU236" t="str">
        <f ca="1">IF(AND(ISNUMBER($AU$905),$B$677=1),$AU$905,HLOOKUP(INDIRECT(ADDRESS(2,COLUMN())),OFFSET($BN$2,0,0,ROW()-1,60),ROW()-1,FALSE))</f>
        <v/>
      </c>
      <c r="AV236" t="str">
        <f ca="1">IF(AND(ISNUMBER($AV$905),$B$677=1),$AV$905,HLOOKUP(INDIRECT(ADDRESS(2,COLUMN())),OFFSET($BN$2,0,0,ROW()-1,60),ROW()-1,FALSE))</f>
        <v/>
      </c>
      <c r="AW236" t="str">
        <f ca="1">IF(AND(ISNUMBER($AW$905),$B$677=1),$AW$905,HLOOKUP(INDIRECT(ADDRESS(2,COLUMN())),OFFSET($BN$2,0,0,ROW()-1,60),ROW()-1,FALSE))</f>
        <v/>
      </c>
      <c r="AX236" t="str">
        <f ca="1">IF(AND(ISNUMBER($AX$905),$B$677=1),$AX$905,HLOOKUP(INDIRECT(ADDRESS(2,COLUMN())),OFFSET($BN$2,0,0,ROW()-1,60),ROW()-1,FALSE))</f>
        <v/>
      </c>
      <c r="AY236" t="str">
        <f ca="1">IF(AND(ISNUMBER($AY$905),$B$677=1),$AY$905,HLOOKUP(INDIRECT(ADDRESS(2,COLUMN())),OFFSET($BN$2,0,0,ROW()-1,60),ROW()-1,FALSE))</f>
        <v/>
      </c>
      <c r="AZ236" t="str">
        <f ca="1">IF(AND(ISNUMBER($AZ$905),$B$677=1),$AZ$905,HLOOKUP(INDIRECT(ADDRESS(2,COLUMN())),OFFSET($BN$2,0,0,ROW()-1,60),ROW()-1,FALSE))</f>
        <v/>
      </c>
      <c r="BA236" t="str">
        <f ca="1">IF(AND(ISNUMBER($BA$905),$B$677=1),$BA$905,HLOOKUP(INDIRECT(ADDRESS(2,COLUMN())),OFFSET($BN$2,0,0,ROW()-1,60),ROW()-1,FALSE))</f>
        <v/>
      </c>
      <c r="BB236" t="str">
        <f ca="1">IF(AND(ISNUMBER($BB$905),$B$677=1),$BB$905,HLOOKUP(INDIRECT(ADDRESS(2,COLUMN())),OFFSET($BN$2,0,0,ROW()-1,60),ROW()-1,FALSE))</f>
        <v/>
      </c>
      <c r="BC236" t="str">
        <f ca="1">IF(AND(ISNUMBER($BC$905),$B$677=1),$BC$905,HLOOKUP(INDIRECT(ADDRESS(2,COLUMN())),OFFSET($BN$2,0,0,ROW()-1,60),ROW()-1,FALSE))</f>
        <v/>
      </c>
      <c r="BD236" t="str">
        <f ca="1">IF(AND(ISNUMBER($BD$905),$B$677=1),$BD$905,HLOOKUP(INDIRECT(ADDRESS(2,COLUMN())),OFFSET($BN$2,0,0,ROW()-1,60),ROW()-1,FALSE))</f>
        <v/>
      </c>
      <c r="BE236" t="str">
        <f ca="1">IF(AND(ISNUMBER($BE$905),$B$677=1),$BE$905,HLOOKUP(INDIRECT(ADDRESS(2,COLUMN())),OFFSET($BN$2,0,0,ROW()-1,60),ROW()-1,FALSE))</f>
        <v/>
      </c>
      <c r="BF236" t="str">
        <f ca="1">IF(AND(ISNUMBER($BF$905),$B$677=1),$BF$905,HLOOKUP(INDIRECT(ADDRESS(2,COLUMN())),OFFSET($BN$2,0,0,ROW()-1,60),ROW()-1,FALSE))</f>
        <v/>
      </c>
      <c r="BG236" t="str">
        <f ca="1">IF(AND(ISNUMBER($BG$905),$B$677=1),$BG$905,HLOOKUP(INDIRECT(ADDRESS(2,COLUMN())),OFFSET($BN$2,0,0,ROW()-1,60),ROW()-1,FALSE))</f>
        <v/>
      </c>
      <c r="BH236" t="str">
        <f ca="1">IF(AND(ISNUMBER($BH$905),$B$677=1),$BH$905,HLOOKUP(INDIRECT(ADDRESS(2,COLUMN())),OFFSET($BN$2,0,0,ROW()-1,60),ROW()-1,FALSE))</f>
        <v/>
      </c>
      <c r="BI236" t="str">
        <f ca="1">IF(AND(ISNUMBER($BI$905),$B$677=1),$BI$905,HLOOKUP(INDIRECT(ADDRESS(2,COLUMN())),OFFSET($BN$2,0,0,ROW()-1,60),ROW()-1,FALSE))</f>
        <v/>
      </c>
      <c r="BJ236" t="str">
        <f ca="1">IF(AND(ISNUMBER($BJ$905),$B$677=1),$BJ$905,HLOOKUP(INDIRECT(ADDRESS(2,COLUMN())),OFFSET($BN$2,0,0,ROW()-1,60),ROW()-1,FALSE))</f>
        <v/>
      </c>
      <c r="BK236" t="str">
        <f ca="1">IF(AND(ISNUMBER($BK$905),$B$677=1),$BK$905,HLOOKUP(INDIRECT(ADDRESS(2,COLUMN())),OFFSET($BN$2,0,0,ROW()-1,60),ROW()-1,FALSE))</f>
        <v/>
      </c>
      <c r="BL236" t="str">
        <f ca="1">IF(AND(ISNUMBER($BL$905),$B$677=1),$BL$905,HLOOKUP(INDIRECT(ADDRESS(2,COLUMN())),OFFSET($BN$2,0,0,ROW()-1,60),ROW()-1,FALSE))</f>
        <v/>
      </c>
      <c r="BM236" t="str">
        <f ca="1">IF(AND(ISNUMBER($BM$905),$B$677=1),$BM$905,HLOOKUP(INDIRECT(ADDRESS(2,COLUMN())),OFFSET($BN$2,0,0,ROW()-1,60),ROW()-1,FALSE))</f>
        <v/>
      </c>
      <c r="BN236" t="str">
        <f>""</f>
        <v/>
      </c>
      <c r="BO236" t="str">
        <f>""</f>
        <v/>
      </c>
      <c r="BP236" t="str">
        <f>""</f>
        <v/>
      </c>
      <c r="BQ236" t="str">
        <f>""</f>
        <v/>
      </c>
      <c r="BR236" t="str">
        <f>""</f>
        <v/>
      </c>
      <c r="BS236" t="str">
        <f>""</f>
        <v/>
      </c>
      <c r="BT236" t="str">
        <f>""</f>
        <v/>
      </c>
      <c r="BU236" t="str">
        <f>""</f>
        <v/>
      </c>
      <c r="BV236" t="str">
        <f>""</f>
        <v/>
      </c>
      <c r="BW236" t="str">
        <f>""</f>
        <v/>
      </c>
      <c r="BX236" t="str">
        <f>""</f>
        <v/>
      </c>
      <c r="BY236" t="str">
        <f>""</f>
        <v/>
      </c>
      <c r="BZ236" t="str">
        <f>""</f>
        <v/>
      </c>
      <c r="CA236" t="str">
        <f>""</f>
        <v/>
      </c>
      <c r="CB236" t="str">
        <f>""</f>
        <v/>
      </c>
      <c r="CC236" t="str">
        <f>""</f>
        <v/>
      </c>
      <c r="CD236" t="str">
        <f>""</f>
        <v/>
      </c>
      <c r="CE236" t="str">
        <f>""</f>
        <v/>
      </c>
      <c r="CF236" t="str">
        <f>""</f>
        <v/>
      </c>
      <c r="CG236" t="str">
        <f>""</f>
        <v/>
      </c>
      <c r="CH236" t="str">
        <f>""</f>
        <v/>
      </c>
      <c r="CI236" t="str">
        <f>""</f>
        <v/>
      </c>
      <c r="CJ236" t="str">
        <f>""</f>
        <v/>
      </c>
      <c r="CK236" t="str">
        <f>""</f>
        <v/>
      </c>
      <c r="CL236" t="str">
        <f>""</f>
        <v/>
      </c>
      <c r="CM236" t="str">
        <f>""</f>
        <v/>
      </c>
      <c r="CN236" t="str">
        <f>""</f>
        <v/>
      </c>
      <c r="CO236" t="str">
        <f>""</f>
        <v/>
      </c>
      <c r="CP236" t="str">
        <f>""</f>
        <v/>
      </c>
      <c r="CQ236" t="str">
        <f>""</f>
        <v/>
      </c>
      <c r="CR236" t="str">
        <f>""</f>
        <v/>
      </c>
      <c r="CS236" t="str">
        <f>""</f>
        <v/>
      </c>
      <c r="CT236" t="str">
        <f>""</f>
        <v/>
      </c>
      <c r="CU236" t="str">
        <f>""</f>
        <v/>
      </c>
      <c r="CV236" t="str">
        <f>""</f>
        <v/>
      </c>
      <c r="CW236" t="str">
        <f>""</f>
        <v/>
      </c>
      <c r="CX236" t="str">
        <f>""</f>
        <v/>
      </c>
      <c r="CY236" t="str">
        <f>""</f>
        <v/>
      </c>
      <c r="CZ236" t="str">
        <f>""</f>
        <v/>
      </c>
      <c r="DA236" t="str">
        <f>""</f>
        <v/>
      </c>
      <c r="DB236" t="str">
        <f>""</f>
        <v/>
      </c>
      <c r="DC236" t="str">
        <f>""</f>
        <v/>
      </c>
      <c r="DD236" t="str">
        <f>""</f>
        <v/>
      </c>
      <c r="DE236" t="str">
        <f>""</f>
        <v/>
      </c>
      <c r="DF236" t="str">
        <f>""</f>
        <v/>
      </c>
      <c r="DG236" t="str">
        <f>""</f>
        <v/>
      </c>
      <c r="DH236" t="str">
        <f>""</f>
        <v/>
      </c>
      <c r="DI236" t="str">
        <f>""</f>
        <v/>
      </c>
      <c r="DJ236" t="str">
        <f>""</f>
        <v/>
      </c>
      <c r="DK236" t="str">
        <f>""</f>
        <v/>
      </c>
      <c r="DL236" t="str">
        <f>""</f>
        <v/>
      </c>
      <c r="DM236" t="str">
        <f>""</f>
        <v/>
      </c>
      <c r="DN236" t="str">
        <f>""</f>
        <v/>
      </c>
      <c r="DO236" t="str">
        <f>""</f>
        <v/>
      </c>
      <c r="DP236" t="str">
        <f>""</f>
        <v/>
      </c>
      <c r="DQ236" t="str">
        <f>""</f>
        <v/>
      </c>
      <c r="DR236" t="str">
        <f>""</f>
        <v/>
      </c>
      <c r="DS236" t="str">
        <f>""</f>
        <v/>
      </c>
      <c r="DT236" t="str">
        <f>""</f>
        <v/>
      </c>
      <c r="DU236" t="str">
        <f>""</f>
        <v/>
      </c>
    </row>
    <row r="237" spans="1:125" x14ac:dyDescent="0.25">
      <c r="A237" t="str">
        <f>"    SAIC Motor Corp Ltd"</f>
        <v xml:space="preserve">    SAIC Motor Corp Ltd</v>
      </c>
      <c r="B237" t="str">
        <f>"600104 CH Equity"</f>
        <v>600104 CH Equity</v>
      </c>
      <c r="C237" t="str">
        <f t="shared" si="15"/>
        <v>RR971</v>
      </c>
      <c r="D237" t="str">
        <f t="shared" si="16"/>
        <v>CURRENT_PX_TO_FREE_CASH_FLOW</v>
      </c>
      <c r="E237" t="str">
        <f t="shared" si="17"/>
        <v>Dynamic</v>
      </c>
      <c r="F237" t="str">
        <f ca="1">IF(AND(ISNUMBER($F$906),$B$677=1),$F$906,HLOOKUP(INDIRECT(ADDRESS(2,COLUMN())),OFFSET($BN$2,0,0,ROW()-1,60),ROW()-1,FALSE))</f>
        <v/>
      </c>
      <c r="G237" t="str">
        <f ca="1">IF(AND(ISNUMBER($G$906),$B$677=1),$G$906,HLOOKUP(INDIRECT(ADDRESS(2,COLUMN())),OFFSET($BN$2,0,0,ROW()-1,60),ROW()-1,FALSE))</f>
        <v/>
      </c>
      <c r="H237" t="str">
        <f ca="1">IF(AND(ISNUMBER($H$906),$B$677=1),$H$906,HLOOKUP(INDIRECT(ADDRESS(2,COLUMN())),OFFSET($BN$2,0,0,ROW()-1,60),ROW()-1,FALSE))</f>
        <v/>
      </c>
      <c r="I237">
        <f ca="1">IF(AND(ISNUMBER($I$906),$B$677=1),$I$906,HLOOKUP(INDIRECT(ADDRESS(2,COLUMN())),OFFSET($BN$2,0,0,ROW()-1,60),ROW()-1,FALSE))</f>
        <v>33.984257100000001</v>
      </c>
      <c r="J237">
        <f ca="1">IF(AND(ISNUMBER($J$906),$B$677=1),$J$906,HLOOKUP(INDIRECT(ADDRESS(2,COLUMN())),OFFSET($BN$2,0,0,ROW()-1,60),ROW()-1,FALSE))</f>
        <v>34.044317640000003</v>
      </c>
      <c r="K237">
        <f ca="1">IF(AND(ISNUMBER($K$906),$B$677=1),$K$906,HLOOKUP(INDIRECT(ADDRESS(2,COLUMN())),OFFSET($BN$2,0,0,ROW()-1,60),ROW()-1,FALSE))</f>
        <v>14.197234570000001</v>
      </c>
      <c r="L237">
        <f ca="1">IF(AND(ISNUMBER($L$906),$B$677=1),$L$906,HLOOKUP(INDIRECT(ADDRESS(2,COLUMN())),OFFSET($BN$2,0,0,ROW()-1,60),ROW()-1,FALSE))</f>
        <v>15.380069219999999</v>
      </c>
      <c r="M237">
        <f ca="1">IF(AND(ISNUMBER($M$906),$B$677=1),$M$906,HLOOKUP(INDIRECT(ADDRESS(2,COLUMN())),OFFSET($BN$2,0,0,ROW()-1,60),ROW()-1,FALSE))</f>
        <v>9.3478305299999995</v>
      </c>
      <c r="N237">
        <f ca="1">IF(AND(ISNUMBER($N$906),$B$677=1),$N$906,HLOOKUP(INDIRECT(ADDRESS(2,COLUMN())),OFFSET($BN$2,0,0,ROW()-1,60),ROW()-1,FALSE))</f>
        <v>13.37325987</v>
      </c>
      <c r="O237">
        <f ca="1">IF(AND(ISNUMBER($O$906),$B$677=1),$O$906,HLOOKUP(INDIRECT(ADDRESS(2,COLUMN())),OFFSET($BN$2,0,0,ROW()-1,60),ROW()-1,FALSE))</f>
        <v>11.59815369</v>
      </c>
      <c r="P237">
        <f ca="1">IF(AND(ISNUMBER($P$906),$B$677=1),$P$906,HLOOKUP(INDIRECT(ADDRESS(2,COLUMN())),OFFSET($BN$2,0,0,ROW()-1,60),ROW()-1,FALSE))</f>
        <v>4.9327896129999997</v>
      </c>
      <c r="Q237">
        <f ca="1">IF(AND(ISNUMBER($Q$906),$B$677=1),$Q$906,HLOOKUP(INDIRECT(ADDRESS(2,COLUMN())),OFFSET($BN$2,0,0,ROW()-1,60),ROW()-1,FALSE))</f>
        <v>6.1307428689999997</v>
      </c>
      <c r="R237">
        <f ca="1">IF(AND(ISNUMBER($R$906),$B$677=1),$R$906,HLOOKUP(INDIRECT(ADDRESS(2,COLUMN())),OFFSET($BN$2,0,0,ROW()-1,60),ROW()-1,FALSE))</f>
        <v>6.8182351580000002</v>
      </c>
      <c r="S237">
        <f ca="1">IF(AND(ISNUMBER($S$906),$B$677=1),$S$906,HLOOKUP(INDIRECT(ADDRESS(2,COLUMN())),OFFSET($BN$2,0,0,ROW()-1,60),ROW()-1,FALSE))</f>
        <v>6.1956209270000002</v>
      </c>
      <c r="T237">
        <f ca="1">IF(AND(ISNUMBER($T$906),$B$677=1),$T$906,HLOOKUP(INDIRECT(ADDRESS(2,COLUMN())),OFFSET($BN$2,0,0,ROW()-1,60),ROW()-1,FALSE))</f>
        <v>7.864777965</v>
      </c>
      <c r="U237">
        <f ca="1">IF(AND(ISNUMBER($U$906),$B$677=1),$U$906,HLOOKUP(INDIRECT(ADDRESS(2,COLUMN())),OFFSET($BN$2,0,0,ROW()-1,60),ROW()-1,FALSE))</f>
        <v>28.088962330000001</v>
      </c>
      <c r="V237">
        <f ca="1">IF(AND(ISNUMBER($V$906),$B$677=1),$V$906,HLOOKUP(INDIRECT(ADDRESS(2,COLUMN())),OFFSET($BN$2,0,0,ROW()-1,60),ROW()-1,FALSE))</f>
        <v>28.255673300000002</v>
      </c>
      <c r="W237">
        <f ca="1">IF(AND(ISNUMBER($W$906),$B$677=1),$W$906,HLOOKUP(INDIRECT(ADDRESS(2,COLUMN())),OFFSET($BN$2,0,0,ROW()-1,60),ROW()-1,FALSE))</f>
        <v>12.82508339</v>
      </c>
      <c r="X237">
        <f ca="1">IF(AND(ISNUMBER($X$906),$B$677=1),$X$906,HLOOKUP(INDIRECT(ADDRESS(2,COLUMN())),OFFSET($BN$2,0,0,ROW()-1,60),ROW()-1,FALSE))</f>
        <v>12.68966086</v>
      </c>
      <c r="Y237">
        <f ca="1">IF(AND(ISNUMBER($Y$906),$B$677=1),$Y$906,HLOOKUP(INDIRECT(ADDRESS(2,COLUMN())),OFFSET($BN$2,0,0,ROW()-1,60),ROW()-1,FALSE))</f>
        <v>11.44478967</v>
      </c>
      <c r="Z237">
        <f ca="1">IF(AND(ISNUMBER($Z$906),$B$677=1),$Z$906,HLOOKUP(INDIRECT(ADDRESS(2,COLUMN())),OFFSET($BN$2,0,0,ROW()-1,60),ROW()-1,FALSE))</f>
        <v>19.342236509999999</v>
      </c>
      <c r="AA237">
        <f ca="1">IF(AND(ISNUMBER($AA$906),$B$677=1),$AA$906,HLOOKUP(INDIRECT(ADDRESS(2,COLUMN())),OFFSET($BN$2,0,0,ROW()-1,60),ROW()-1,FALSE))</f>
        <v>8.7105794979999995</v>
      </c>
      <c r="AB237">
        <f ca="1">IF(AND(ISNUMBER($AB$906),$B$677=1),$AB$906,HLOOKUP(INDIRECT(ADDRESS(2,COLUMN())),OFFSET($BN$2,0,0,ROW()-1,60),ROW()-1,FALSE))</f>
        <v>37.847009360000001</v>
      </c>
      <c r="AC237">
        <f ca="1">IF(AND(ISNUMBER($AC$906),$B$677=1),$AC$906,HLOOKUP(INDIRECT(ADDRESS(2,COLUMN())),OFFSET($BN$2,0,0,ROW()-1,60),ROW()-1,FALSE))</f>
        <v>6.1037374690000004</v>
      </c>
      <c r="AD237">
        <f ca="1">IF(AND(ISNUMBER($AD$906),$B$677=1),$AD$906,HLOOKUP(INDIRECT(ADDRESS(2,COLUMN())),OFFSET($BN$2,0,0,ROW()-1,60),ROW()-1,FALSE))</f>
        <v>5.005937318</v>
      </c>
      <c r="AE237">
        <f ca="1">IF(AND(ISNUMBER($AE$906),$B$677=1),$AE$906,HLOOKUP(INDIRECT(ADDRESS(2,COLUMN())),OFFSET($BN$2,0,0,ROW()-1,60),ROW()-1,FALSE))</f>
        <v>10.31042828</v>
      </c>
      <c r="AF237">
        <f ca="1">IF(AND(ISNUMBER($AF$906),$B$677=1),$AF$906,HLOOKUP(INDIRECT(ADDRESS(2,COLUMN())),OFFSET($BN$2,0,0,ROW()-1,60),ROW()-1,FALSE))</f>
        <v>4.0505746479999996</v>
      </c>
      <c r="AG237">
        <f ca="1">IF(AND(ISNUMBER($AG$906),$B$677=1),$AG$906,HLOOKUP(INDIRECT(ADDRESS(2,COLUMN())),OFFSET($BN$2,0,0,ROW()-1,60),ROW()-1,FALSE))</f>
        <v>4.1081336329999996</v>
      </c>
      <c r="AH237">
        <f ca="1">IF(AND(ISNUMBER($AH$906),$B$677=1),$AH$906,HLOOKUP(INDIRECT(ADDRESS(2,COLUMN())),OFFSET($BN$2,0,0,ROW()-1,60),ROW()-1,FALSE))</f>
        <v>5.9377513869999996</v>
      </c>
      <c r="AI237">
        <f ca="1">IF(AND(ISNUMBER($AI$906),$B$677=1),$AI$906,HLOOKUP(INDIRECT(ADDRESS(2,COLUMN())),OFFSET($BN$2,0,0,ROW()-1,60),ROW()-1,FALSE))</f>
        <v>5.7572408020000001</v>
      </c>
      <c r="AJ237">
        <f ca="1">IF(AND(ISNUMBER($AJ$906),$B$677=1),$AJ$906,HLOOKUP(INDIRECT(ADDRESS(2,COLUMN())),OFFSET($BN$2,0,0,ROW()-1,60),ROW()-1,FALSE))</f>
        <v>4.3191653929999996</v>
      </c>
      <c r="AK237">
        <f ca="1">IF(AND(ISNUMBER($AK$906),$B$677=1),$AK$906,HLOOKUP(INDIRECT(ADDRESS(2,COLUMN())),OFFSET($BN$2,0,0,ROW()-1,60),ROW()-1,FALSE))</f>
        <v>6.4869109360000001</v>
      </c>
      <c r="AL237">
        <f ca="1">IF(AND(ISNUMBER($AL$906),$B$677=1),$AL$906,HLOOKUP(INDIRECT(ADDRESS(2,COLUMN())),OFFSET($BN$2,0,0,ROW()-1,60),ROW()-1,FALSE))</f>
        <v>6.960649267</v>
      </c>
      <c r="AM237">
        <f ca="1">IF(AND(ISNUMBER($AM$906),$B$677=1),$AM$906,HLOOKUP(INDIRECT(ADDRESS(2,COLUMN())),OFFSET($BN$2,0,0,ROW()-1,60),ROW()-1,FALSE))</f>
        <v>5.538337737</v>
      </c>
      <c r="AN237">
        <f ca="1">IF(AND(ISNUMBER($AN$906),$B$677=1),$AN$906,HLOOKUP(INDIRECT(ADDRESS(2,COLUMN())),OFFSET($BN$2,0,0,ROW()-1,60),ROW()-1,FALSE))</f>
        <v>9.8931151049999997</v>
      </c>
      <c r="AO237">
        <f ca="1">IF(AND(ISNUMBER($AO$906),$B$677=1),$AO$906,HLOOKUP(INDIRECT(ADDRESS(2,COLUMN())),OFFSET($BN$2,0,0,ROW()-1,60),ROW()-1,FALSE))</f>
        <v>8.8176148100000002</v>
      </c>
      <c r="AP237">
        <f ca="1">IF(AND(ISNUMBER($AP$906),$B$677=1),$AP$906,HLOOKUP(INDIRECT(ADDRESS(2,COLUMN())),OFFSET($BN$2,0,0,ROW()-1,60),ROW()-1,FALSE))</f>
        <v>5.1872870249999998</v>
      </c>
      <c r="AQ237">
        <f ca="1">IF(AND(ISNUMBER($AQ$906),$B$677=1),$AQ$906,HLOOKUP(INDIRECT(ADDRESS(2,COLUMN())),OFFSET($BN$2,0,0,ROW()-1,60),ROW()-1,FALSE))</f>
        <v>7.990650434</v>
      </c>
      <c r="AR237">
        <f ca="1">IF(AND(ISNUMBER($AR$906),$B$677=1),$AR$906,HLOOKUP(INDIRECT(ADDRESS(2,COLUMN())),OFFSET($BN$2,0,0,ROW()-1,60),ROW()-1,FALSE))</f>
        <v>2050.7952420000001</v>
      </c>
      <c r="AS237" t="str">
        <f ca="1">IF(AND(ISNUMBER($AS$906),$B$677=1),$AS$906,HLOOKUP(INDIRECT(ADDRESS(2,COLUMN())),OFFSET($BN$2,0,0,ROW()-1,60),ROW()-1,FALSE))</f>
        <v/>
      </c>
      <c r="AT237" t="str">
        <f ca="1">IF(AND(ISNUMBER($AT$906),$B$677=1),$AT$906,HLOOKUP(INDIRECT(ADDRESS(2,COLUMN())),OFFSET($BN$2,0,0,ROW()-1,60),ROW()-1,FALSE))</f>
        <v/>
      </c>
      <c r="AU237">
        <f ca="1">IF(AND(ISNUMBER($AU$906),$B$677=1),$AU$906,HLOOKUP(INDIRECT(ADDRESS(2,COLUMN())),OFFSET($BN$2,0,0,ROW()-1,60),ROW()-1,FALSE))</f>
        <v>5.564738331</v>
      </c>
      <c r="AV237">
        <f ca="1">IF(AND(ISNUMBER($AV$906),$B$677=1),$AV$906,HLOOKUP(INDIRECT(ADDRESS(2,COLUMN())),OFFSET($BN$2,0,0,ROW()-1,60),ROW()-1,FALSE))</f>
        <v>7.1203593659999997</v>
      </c>
      <c r="AW237">
        <f ca="1">IF(AND(ISNUMBER($AW$906),$B$677=1),$AW$906,HLOOKUP(INDIRECT(ADDRESS(2,COLUMN())),OFFSET($BN$2,0,0,ROW()-1,60),ROW()-1,FALSE))</f>
        <v>9.2771583409999998</v>
      </c>
      <c r="AX237">
        <f ca="1">IF(AND(ISNUMBER($AX$906),$B$677=1),$AX$906,HLOOKUP(INDIRECT(ADDRESS(2,COLUMN())),OFFSET($BN$2,0,0,ROW()-1,60),ROW()-1,FALSE))</f>
        <v>13.250257469999999</v>
      </c>
      <c r="AY237">
        <f ca="1">IF(AND(ISNUMBER($AY$906),$B$677=1),$AY$906,HLOOKUP(INDIRECT(ADDRESS(2,COLUMN())),OFFSET($BN$2,0,0,ROW()-1,60),ROW()-1,FALSE))</f>
        <v>21.999609410000001</v>
      </c>
      <c r="AZ237">
        <f ca="1">IF(AND(ISNUMBER($AZ$906),$B$677=1),$AZ$906,HLOOKUP(INDIRECT(ADDRESS(2,COLUMN())),OFFSET($BN$2,0,0,ROW()-1,60),ROW()-1,FALSE))</f>
        <v>24.024712090000001</v>
      </c>
      <c r="BA237">
        <f ca="1">IF(AND(ISNUMBER($BA$906),$B$677=1),$BA$906,HLOOKUP(INDIRECT(ADDRESS(2,COLUMN())),OFFSET($BN$2,0,0,ROW()-1,60),ROW()-1,FALSE))</f>
        <v>10.42896281</v>
      </c>
      <c r="BB237">
        <f ca="1">IF(AND(ISNUMBER($BB$906),$B$677=1),$BB$906,HLOOKUP(INDIRECT(ADDRESS(2,COLUMN())),OFFSET($BN$2,0,0,ROW()-1,60),ROW()-1,FALSE))</f>
        <v>8.7531901839999993</v>
      </c>
      <c r="BC237">
        <f ca="1">IF(AND(ISNUMBER($BC$906),$B$677=1),$BC$906,HLOOKUP(INDIRECT(ADDRESS(2,COLUMN())),OFFSET($BN$2,0,0,ROW()-1,60),ROW()-1,FALSE))</f>
        <v>6.5966709520000002</v>
      </c>
      <c r="BD237">
        <f ca="1">IF(AND(ISNUMBER($BD$906),$B$677=1),$BD$906,HLOOKUP(INDIRECT(ADDRESS(2,COLUMN())),OFFSET($BN$2,0,0,ROW()-1,60),ROW()-1,FALSE))</f>
        <v>16.43481147</v>
      </c>
      <c r="BE237">
        <f ca="1">IF(AND(ISNUMBER($BE$906),$B$677=1),$BE$906,HLOOKUP(INDIRECT(ADDRESS(2,COLUMN())),OFFSET($BN$2,0,0,ROW()-1,60),ROW()-1,FALSE))</f>
        <v>9.133831722</v>
      </c>
      <c r="BF237">
        <f ca="1">IF(AND(ISNUMBER($BF$906),$B$677=1),$BF$906,HLOOKUP(INDIRECT(ADDRESS(2,COLUMN())),OFFSET($BN$2,0,0,ROW()-1,60),ROW()-1,FALSE))</f>
        <v>9.7412069129999992</v>
      </c>
      <c r="BG237">
        <f ca="1">IF(AND(ISNUMBER($BG$906),$B$677=1),$BG$906,HLOOKUP(INDIRECT(ADDRESS(2,COLUMN())),OFFSET($BN$2,0,0,ROW()-1,60),ROW()-1,FALSE))</f>
        <v>10.785418760000001</v>
      </c>
      <c r="BH237" t="str">
        <f ca="1">IF(AND(ISNUMBER($BH$906),$B$677=1),$BH$906,HLOOKUP(INDIRECT(ADDRESS(2,COLUMN())),OFFSET($BN$2,0,0,ROW()-1,60),ROW()-1,FALSE))</f>
        <v/>
      </c>
      <c r="BI237">
        <f ca="1">IF(AND(ISNUMBER($BI$906),$B$677=1),$BI$906,HLOOKUP(INDIRECT(ADDRESS(2,COLUMN())),OFFSET($BN$2,0,0,ROW()-1,60),ROW()-1,FALSE))</f>
        <v>20.417131489999999</v>
      </c>
      <c r="BJ237">
        <f ca="1">IF(AND(ISNUMBER($BJ$906),$B$677=1),$BJ$906,HLOOKUP(INDIRECT(ADDRESS(2,COLUMN())),OFFSET($BN$2,0,0,ROW()-1,60),ROW()-1,FALSE))</f>
        <v>19.427755080000001</v>
      </c>
      <c r="BK237">
        <f ca="1">IF(AND(ISNUMBER($BK$906),$B$677=1),$BK$906,HLOOKUP(INDIRECT(ADDRESS(2,COLUMN())),OFFSET($BN$2,0,0,ROW()-1,60),ROW()-1,FALSE))</f>
        <v>28.55616448</v>
      </c>
      <c r="BL237">
        <f ca="1">IF(AND(ISNUMBER($BL$906),$B$677=1),$BL$906,HLOOKUP(INDIRECT(ADDRESS(2,COLUMN())),OFFSET($BN$2,0,0,ROW()-1,60),ROW()-1,FALSE))</f>
        <v>69.31005064</v>
      </c>
      <c r="BM237">
        <f ca="1">IF(AND(ISNUMBER($BM$906),$B$677=1),$BM$906,HLOOKUP(INDIRECT(ADDRESS(2,COLUMN())),OFFSET($BN$2,0,0,ROW()-1,60),ROW()-1,FALSE))</f>
        <v>48.388598350000002</v>
      </c>
      <c r="BN237" t="str">
        <f>""</f>
        <v/>
      </c>
      <c r="BO237" t="str">
        <f>""</f>
        <v/>
      </c>
      <c r="BP237" t="str">
        <f>""</f>
        <v/>
      </c>
      <c r="BQ237">
        <f>33.9842571</f>
        <v>33.984257100000001</v>
      </c>
      <c r="BR237">
        <f>34.04431764</f>
        <v>34.044317640000003</v>
      </c>
      <c r="BS237">
        <f>14.19723457</f>
        <v>14.197234570000001</v>
      </c>
      <c r="BT237">
        <f>15.38006922</f>
        <v>15.380069219999999</v>
      </c>
      <c r="BU237">
        <f>9.34783053</f>
        <v>9.3478305299999995</v>
      </c>
      <c r="BV237">
        <f>13.37325987</f>
        <v>13.37325987</v>
      </c>
      <c r="BW237">
        <f>11.59815369</f>
        <v>11.59815369</v>
      </c>
      <c r="BX237">
        <f>4.932789613</f>
        <v>4.9327896129999997</v>
      </c>
      <c r="BY237">
        <f>6.130742869</f>
        <v>6.1307428689999997</v>
      </c>
      <c r="BZ237">
        <f>6.818235158</f>
        <v>6.8182351580000002</v>
      </c>
      <c r="CA237">
        <f>6.195620927</f>
        <v>6.1956209270000002</v>
      </c>
      <c r="CB237">
        <f>7.864777965</f>
        <v>7.864777965</v>
      </c>
      <c r="CC237">
        <f>28.08896233</f>
        <v>28.088962330000001</v>
      </c>
      <c r="CD237">
        <f>28.2556733</f>
        <v>28.255673300000002</v>
      </c>
      <c r="CE237">
        <f>12.82508339</f>
        <v>12.82508339</v>
      </c>
      <c r="CF237">
        <f>12.68966086</f>
        <v>12.68966086</v>
      </c>
      <c r="CG237">
        <f>11.44478967</f>
        <v>11.44478967</v>
      </c>
      <c r="CH237">
        <f>19.34223651</f>
        <v>19.342236509999999</v>
      </c>
      <c r="CI237">
        <f>8.710579498</f>
        <v>8.7105794979999995</v>
      </c>
      <c r="CJ237">
        <f>37.84700936</f>
        <v>37.847009360000001</v>
      </c>
      <c r="CK237">
        <f>6.103737469</f>
        <v>6.1037374690000004</v>
      </c>
      <c r="CL237">
        <f>5.005937318</f>
        <v>5.005937318</v>
      </c>
      <c r="CM237">
        <f>10.31042828</f>
        <v>10.31042828</v>
      </c>
      <c r="CN237">
        <f>4.050574648</f>
        <v>4.0505746479999996</v>
      </c>
      <c r="CO237">
        <f>4.108133633</f>
        <v>4.1081336329999996</v>
      </c>
      <c r="CP237">
        <f>5.937751387</f>
        <v>5.9377513869999996</v>
      </c>
      <c r="CQ237">
        <f>5.757240802</f>
        <v>5.7572408020000001</v>
      </c>
      <c r="CR237">
        <f>4.319165393</f>
        <v>4.3191653929999996</v>
      </c>
      <c r="CS237">
        <f>6.486910936</f>
        <v>6.4869109360000001</v>
      </c>
      <c r="CT237">
        <f>6.960649267</f>
        <v>6.960649267</v>
      </c>
      <c r="CU237">
        <f>5.538337737</f>
        <v>5.538337737</v>
      </c>
      <c r="CV237">
        <f>9.893115105</f>
        <v>9.8931151049999997</v>
      </c>
      <c r="CW237">
        <f>8.81761481</f>
        <v>8.8176148100000002</v>
      </c>
      <c r="CX237">
        <f>5.187287025</f>
        <v>5.1872870249999998</v>
      </c>
      <c r="CY237">
        <f>7.990650434</f>
        <v>7.990650434</v>
      </c>
      <c r="CZ237">
        <f>2050.795242</f>
        <v>2050.7952420000001</v>
      </c>
      <c r="DA237" t="str">
        <f>""</f>
        <v/>
      </c>
      <c r="DB237" t="str">
        <f>""</f>
        <v/>
      </c>
      <c r="DC237">
        <f>5.564738331</f>
        <v>5.564738331</v>
      </c>
      <c r="DD237">
        <f>7.120359366</f>
        <v>7.1203593659999997</v>
      </c>
      <c r="DE237">
        <f>9.277158341</f>
        <v>9.2771583409999998</v>
      </c>
      <c r="DF237">
        <f>13.25025747</f>
        <v>13.250257469999999</v>
      </c>
      <c r="DG237">
        <f>21.99960941</f>
        <v>21.999609410000001</v>
      </c>
      <c r="DH237">
        <f>24.02471209</f>
        <v>24.024712090000001</v>
      </c>
      <c r="DI237">
        <f>10.42896281</f>
        <v>10.42896281</v>
      </c>
      <c r="DJ237">
        <f>8.753190184</f>
        <v>8.7531901839999993</v>
      </c>
      <c r="DK237">
        <f>6.596670952</f>
        <v>6.5966709520000002</v>
      </c>
      <c r="DL237">
        <f>16.43481147</f>
        <v>16.43481147</v>
      </c>
      <c r="DM237">
        <f>9.133831722</f>
        <v>9.133831722</v>
      </c>
      <c r="DN237">
        <f>9.741206913</f>
        <v>9.7412069129999992</v>
      </c>
      <c r="DO237">
        <f>10.78541876</f>
        <v>10.785418760000001</v>
      </c>
      <c r="DP237" t="str">
        <f>""</f>
        <v/>
      </c>
      <c r="DQ237">
        <f>20.41713149</f>
        <v>20.417131489999999</v>
      </c>
      <c r="DR237">
        <f>19.42775508</f>
        <v>19.427755080000001</v>
      </c>
      <c r="DS237">
        <f>28.55616448</f>
        <v>28.55616448</v>
      </c>
      <c r="DT237">
        <f>69.31005064</f>
        <v>69.31005064</v>
      </c>
      <c r="DU237">
        <f>48.38859835</f>
        <v>48.388598350000002</v>
      </c>
    </row>
    <row r="238" spans="1:125" x14ac:dyDescent="0.25">
      <c r="A238" t="str">
        <f>"    Sanyang Motor Co Ltd"</f>
        <v xml:space="preserve">    Sanyang Motor Co Ltd</v>
      </c>
      <c r="B238" t="str">
        <f>"2206 TT Equity"</f>
        <v>2206 TT Equity</v>
      </c>
      <c r="C238" t="str">
        <f t="shared" si="15"/>
        <v>RR971</v>
      </c>
      <c r="D238" t="str">
        <f t="shared" si="16"/>
        <v>CURRENT_PX_TO_FREE_CASH_FLOW</v>
      </c>
      <c r="E238" t="str">
        <f t="shared" si="17"/>
        <v>Dynamic</v>
      </c>
      <c r="F238" t="str">
        <f ca="1">IF(AND(ISNUMBER($F$907),$B$677=1),$F$907,HLOOKUP(INDIRECT(ADDRESS(2,COLUMN())),OFFSET($BN$2,0,0,ROW()-1,60),ROW()-1,FALSE))</f>
        <v/>
      </c>
      <c r="G238" t="str">
        <f ca="1">IF(AND(ISNUMBER($G$907),$B$677=1),$G$907,HLOOKUP(INDIRECT(ADDRESS(2,COLUMN())),OFFSET($BN$2,0,0,ROW()-1,60),ROW()-1,FALSE))</f>
        <v/>
      </c>
      <c r="H238" t="str">
        <f ca="1">IF(AND(ISNUMBER($H$907),$B$677=1),$H$907,HLOOKUP(INDIRECT(ADDRESS(2,COLUMN())),OFFSET($BN$2,0,0,ROW()-1,60),ROW()-1,FALSE))</f>
        <v/>
      </c>
      <c r="I238" t="str">
        <f ca="1">IF(AND(ISNUMBER($I$907),$B$677=1),$I$907,HLOOKUP(INDIRECT(ADDRESS(2,COLUMN())),OFFSET($BN$2,0,0,ROW()-1,60),ROW()-1,FALSE))</f>
        <v/>
      </c>
      <c r="J238">
        <f ca="1">IF(AND(ISNUMBER($J$907),$B$677=1),$J$907,HLOOKUP(INDIRECT(ADDRESS(2,COLUMN())),OFFSET($BN$2,0,0,ROW()-1,60),ROW()-1,FALSE))</f>
        <v>14.98288913</v>
      </c>
      <c r="K238">
        <f ca="1">IF(AND(ISNUMBER($K$907),$B$677=1),$K$907,HLOOKUP(INDIRECT(ADDRESS(2,COLUMN())),OFFSET($BN$2,0,0,ROW()-1,60),ROW()-1,FALSE))</f>
        <v>14.98288913</v>
      </c>
      <c r="L238">
        <f ca="1">IF(AND(ISNUMBER($L$907),$B$677=1),$L$907,HLOOKUP(INDIRECT(ADDRESS(2,COLUMN())),OFFSET($BN$2,0,0,ROW()-1,60),ROW()-1,FALSE))</f>
        <v>5.5165151799999999</v>
      </c>
      <c r="M238">
        <f ca="1">IF(AND(ISNUMBER($M$907),$B$677=1),$M$907,HLOOKUP(INDIRECT(ADDRESS(2,COLUMN())),OFFSET($BN$2,0,0,ROW()-1,60),ROW()-1,FALSE))</f>
        <v>6.555281495</v>
      </c>
      <c r="N238">
        <f ca="1">IF(AND(ISNUMBER($N$907),$B$677=1),$N$907,HLOOKUP(INDIRECT(ADDRESS(2,COLUMN())),OFFSET($BN$2,0,0,ROW()-1,60),ROW()-1,FALSE))</f>
        <v>4.9047620539999999</v>
      </c>
      <c r="O238">
        <f ca="1">IF(AND(ISNUMBER($O$907),$B$677=1),$O$907,HLOOKUP(INDIRECT(ADDRESS(2,COLUMN())),OFFSET($BN$2,0,0,ROW()-1,60),ROW()-1,FALSE))</f>
        <v>5.2983501620000002</v>
      </c>
      <c r="P238">
        <f ca="1">IF(AND(ISNUMBER($P$907),$B$677=1),$P$907,HLOOKUP(INDIRECT(ADDRESS(2,COLUMN())),OFFSET($BN$2,0,0,ROW()-1,60),ROW()-1,FALSE))</f>
        <v>5.9900783510000002</v>
      </c>
      <c r="Q238">
        <f ca="1">IF(AND(ISNUMBER($Q$907),$B$677=1),$Q$907,HLOOKUP(INDIRECT(ADDRESS(2,COLUMN())),OFFSET($BN$2,0,0,ROW()-1,60),ROW()-1,FALSE))</f>
        <v>11.022014009999999</v>
      </c>
      <c r="R238">
        <f ca="1">IF(AND(ISNUMBER($R$907),$B$677=1),$R$907,HLOOKUP(INDIRECT(ADDRESS(2,COLUMN())),OFFSET($BN$2,0,0,ROW()-1,60),ROW()-1,FALSE))</f>
        <v>14.615684760000001</v>
      </c>
      <c r="S238" t="str">
        <f ca="1">IF(AND(ISNUMBER($S$907),$B$677=1),$S$907,HLOOKUP(INDIRECT(ADDRESS(2,COLUMN())),OFFSET($BN$2,0,0,ROW()-1,60),ROW()-1,FALSE))</f>
        <v/>
      </c>
      <c r="T238" t="str">
        <f ca="1">IF(AND(ISNUMBER($T$907),$B$677=1),$T$907,HLOOKUP(INDIRECT(ADDRESS(2,COLUMN())),OFFSET($BN$2,0,0,ROW()-1,60),ROW()-1,FALSE))</f>
        <v/>
      </c>
      <c r="U238" t="str">
        <f ca="1">IF(AND(ISNUMBER($U$907),$B$677=1),$U$907,HLOOKUP(INDIRECT(ADDRESS(2,COLUMN())),OFFSET($BN$2,0,0,ROW()-1,60),ROW()-1,FALSE))</f>
        <v/>
      </c>
      <c r="V238" t="str">
        <f ca="1">IF(AND(ISNUMBER($V$907),$B$677=1),$V$907,HLOOKUP(INDIRECT(ADDRESS(2,COLUMN())),OFFSET($BN$2,0,0,ROW()-1,60),ROW()-1,FALSE))</f>
        <v/>
      </c>
      <c r="W238" t="str">
        <f ca="1">IF(AND(ISNUMBER($W$907),$B$677=1),$W$907,HLOOKUP(INDIRECT(ADDRESS(2,COLUMN())),OFFSET($BN$2,0,0,ROW()-1,60),ROW()-1,FALSE))</f>
        <v/>
      </c>
      <c r="X238" t="str">
        <f ca="1">IF(AND(ISNUMBER($X$907),$B$677=1),$X$907,HLOOKUP(INDIRECT(ADDRESS(2,COLUMN())),OFFSET($BN$2,0,0,ROW()-1,60),ROW()-1,FALSE))</f>
        <v/>
      </c>
      <c r="Y238" t="str">
        <f ca="1">IF(AND(ISNUMBER($Y$907),$B$677=1),$Y$907,HLOOKUP(INDIRECT(ADDRESS(2,COLUMN())),OFFSET($BN$2,0,0,ROW()-1,60),ROW()-1,FALSE))</f>
        <v/>
      </c>
      <c r="Z238" t="str">
        <f ca="1">IF(AND(ISNUMBER($Z$907),$B$677=1),$Z$907,HLOOKUP(INDIRECT(ADDRESS(2,COLUMN())),OFFSET($BN$2,0,0,ROW()-1,60),ROW()-1,FALSE))</f>
        <v/>
      </c>
      <c r="AA238" t="str">
        <f ca="1">IF(AND(ISNUMBER($AA$907),$B$677=1),$AA$907,HLOOKUP(INDIRECT(ADDRESS(2,COLUMN())),OFFSET($BN$2,0,0,ROW()-1,60),ROW()-1,FALSE))</f>
        <v/>
      </c>
      <c r="AB238" t="str">
        <f ca="1">IF(AND(ISNUMBER($AB$907),$B$677=1),$AB$907,HLOOKUP(INDIRECT(ADDRESS(2,COLUMN())),OFFSET($BN$2,0,0,ROW()-1,60),ROW()-1,FALSE))</f>
        <v/>
      </c>
      <c r="AC238">
        <f ca="1">IF(AND(ISNUMBER($AC$907),$B$677=1),$AC$907,HLOOKUP(INDIRECT(ADDRESS(2,COLUMN())),OFFSET($BN$2,0,0,ROW()-1,60),ROW()-1,FALSE))</f>
        <v>48.012167410000004</v>
      </c>
      <c r="AD238">
        <f ca="1">IF(AND(ISNUMBER($AD$907),$B$677=1),$AD$907,HLOOKUP(INDIRECT(ADDRESS(2,COLUMN())),OFFSET($BN$2,0,0,ROW()-1,60),ROW()-1,FALSE))</f>
        <v>43.306800729999999</v>
      </c>
      <c r="AE238">
        <f ca="1">IF(AND(ISNUMBER($AE$907),$B$677=1),$AE$907,HLOOKUP(INDIRECT(ADDRESS(2,COLUMN())),OFFSET($BN$2,0,0,ROW()-1,60),ROW()-1,FALSE))</f>
        <v>61.221059339999996</v>
      </c>
      <c r="AF238" t="str">
        <f ca="1">IF(AND(ISNUMBER($AF$907),$B$677=1),$AF$907,HLOOKUP(INDIRECT(ADDRESS(2,COLUMN())),OFFSET($BN$2,0,0,ROW()-1,60),ROW()-1,FALSE))</f>
        <v/>
      </c>
      <c r="AG238" t="str">
        <f ca="1">IF(AND(ISNUMBER($AG$907),$B$677=1),$AG$907,HLOOKUP(INDIRECT(ADDRESS(2,COLUMN())),OFFSET($BN$2,0,0,ROW()-1,60),ROW()-1,FALSE))</f>
        <v/>
      </c>
      <c r="AH238">
        <f ca="1">IF(AND(ISNUMBER($AH$907),$B$677=1),$AH$907,HLOOKUP(INDIRECT(ADDRESS(2,COLUMN())),OFFSET($BN$2,0,0,ROW()-1,60),ROW()-1,FALSE))</f>
        <v>2884.8461929999999</v>
      </c>
      <c r="AI238">
        <f ca="1">IF(AND(ISNUMBER($AI$907),$B$677=1),$AI$907,HLOOKUP(INDIRECT(ADDRESS(2,COLUMN())),OFFSET($BN$2,0,0,ROW()-1,60),ROW()-1,FALSE))</f>
        <v>2415.0493580000002</v>
      </c>
      <c r="AJ238">
        <f ca="1">IF(AND(ISNUMBER($AJ$907),$B$677=1),$AJ$907,HLOOKUP(INDIRECT(ADDRESS(2,COLUMN())),OFFSET($BN$2,0,0,ROW()-1,60),ROW()-1,FALSE))</f>
        <v>13.63245553</v>
      </c>
      <c r="AK238">
        <f ca="1">IF(AND(ISNUMBER($AK$907),$B$677=1),$AK$907,HLOOKUP(INDIRECT(ADDRESS(2,COLUMN())),OFFSET($BN$2,0,0,ROW()-1,60),ROW()-1,FALSE))</f>
        <v>13.20124023</v>
      </c>
      <c r="AL238" t="str">
        <f ca="1">IF(AND(ISNUMBER($AL$907),$B$677=1),$AL$907,HLOOKUP(INDIRECT(ADDRESS(2,COLUMN())),OFFSET($BN$2,0,0,ROW()-1,60),ROW()-1,FALSE))</f>
        <v/>
      </c>
      <c r="AM238" t="str">
        <f ca="1">IF(AND(ISNUMBER($AM$907),$B$677=1),$AM$907,HLOOKUP(INDIRECT(ADDRESS(2,COLUMN())),OFFSET($BN$2,0,0,ROW()-1,60),ROW()-1,FALSE))</f>
        <v/>
      </c>
      <c r="AN238">
        <f ca="1">IF(AND(ISNUMBER($AN$907),$B$677=1),$AN$907,HLOOKUP(INDIRECT(ADDRESS(2,COLUMN())),OFFSET($BN$2,0,0,ROW()-1,60),ROW()-1,FALSE))</f>
        <v>36.118713139999997</v>
      </c>
      <c r="AO238">
        <f ca="1">IF(AND(ISNUMBER($AO$907),$B$677=1),$AO$907,HLOOKUP(INDIRECT(ADDRESS(2,COLUMN())),OFFSET($BN$2,0,0,ROW()-1,60),ROW()-1,FALSE))</f>
        <v>27.601165859999998</v>
      </c>
      <c r="AP238">
        <f ca="1">IF(AND(ISNUMBER($AP$907),$B$677=1),$AP$907,HLOOKUP(INDIRECT(ADDRESS(2,COLUMN())),OFFSET($BN$2,0,0,ROW()-1,60),ROW()-1,FALSE))</f>
        <v>7.3312857380000001</v>
      </c>
      <c r="AQ238">
        <f ca="1">IF(AND(ISNUMBER($AQ$907),$B$677=1),$AQ$907,HLOOKUP(INDIRECT(ADDRESS(2,COLUMN())),OFFSET($BN$2,0,0,ROW()-1,60),ROW()-1,FALSE))</f>
        <v>8.9052163120000003</v>
      </c>
      <c r="AR238">
        <f ca="1">IF(AND(ISNUMBER($AR$907),$B$677=1),$AR$907,HLOOKUP(INDIRECT(ADDRESS(2,COLUMN())),OFFSET($BN$2,0,0,ROW()-1,60),ROW()-1,FALSE))</f>
        <v>8.2484835019999991</v>
      </c>
      <c r="AS238" t="str">
        <f ca="1">IF(AND(ISNUMBER($AS$907),$B$677=1),$AS$907,HLOOKUP(INDIRECT(ADDRESS(2,COLUMN())),OFFSET($BN$2,0,0,ROW()-1,60),ROW()-1,FALSE))</f>
        <v/>
      </c>
      <c r="AT238" t="str">
        <f ca="1">IF(AND(ISNUMBER($AT$907),$B$677=1),$AT$907,HLOOKUP(INDIRECT(ADDRESS(2,COLUMN())),OFFSET($BN$2,0,0,ROW()-1,60),ROW()-1,FALSE))</f>
        <v/>
      </c>
      <c r="AU238" t="str">
        <f ca="1">IF(AND(ISNUMBER($AU$907),$B$677=1),$AU$907,HLOOKUP(INDIRECT(ADDRESS(2,COLUMN())),OFFSET($BN$2,0,0,ROW()-1,60),ROW()-1,FALSE))</f>
        <v/>
      </c>
      <c r="AV238" t="str">
        <f ca="1">IF(AND(ISNUMBER($AV$907),$B$677=1),$AV$907,HLOOKUP(INDIRECT(ADDRESS(2,COLUMN())),OFFSET($BN$2,0,0,ROW()-1,60),ROW()-1,FALSE))</f>
        <v/>
      </c>
      <c r="AW238" t="str">
        <f ca="1">IF(AND(ISNUMBER($AW$907),$B$677=1),$AW$907,HLOOKUP(INDIRECT(ADDRESS(2,COLUMN())),OFFSET($BN$2,0,0,ROW()-1,60),ROW()-1,FALSE))</f>
        <v/>
      </c>
      <c r="AX238" t="str">
        <f ca="1">IF(AND(ISNUMBER($AX$907),$B$677=1),$AX$907,HLOOKUP(INDIRECT(ADDRESS(2,COLUMN())),OFFSET($BN$2,0,0,ROW()-1,60),ROW()-1,FALSE))</f>
        <v/>
      </c>
      <c r="AY238" t="str">
        <f ca="1">IF(AND(ISNUMBER($AY$907),$B$677=1),$AY$907,HLOOKUP(INDIRECT(ADDRESS(2,COLUMN())),OFFSET($BN$2,0,0,ROW()-1,60),ROW()-1,FALSE))</f>
        <v/>
      </c>
      <c r="AZ238" t="str">
        <f ca="1">IF(AND(ISNUMBER($AZ$907),$B$677=1),$AZ$907,HLOOKUP(INDIRECT(ADDRESS(2,COLUMN())),OFFSET($BN$2,0,0,ROW()-1,60),ROW()-1,FALSE))</f>
        <v/>
      </c>
      <c r="BA238" t="str">
        <f ca="1">IF(AND(ISNUMBER($BA$907),$B$677=1),$BA$907,HLOOKUP(INDIRECT(ADDRESS(2,COLUMN())),OFFSET($BN$2,0,0,ROW()-1,60),ROW()-1,FALSE))</f>
        <v/>
      </c>
      <c r="BB238" t="str">
        <f ca="1">IF(AND(ISNUMBER($BB$907),$B$677=1),$BB$907,HLOOKUP(INDIRECT(ADDRESS(2,COLUMN())),OFFSET($BN$2,0,0,ROW()-1,60),ROW()-1,FALSE))</f>
        <v/>
      </c>
      <c r="BC238" t="str">
        <f ca="1">IF(AND(ISNUMBER($BC$907),$B$677=1),$BC$907,HLOOKUP(INDIRECT(ADDRESS(2,COLUMN())),OFFSET($BN$2,0,0,ROW()-1,60),ROW()-1,FALSE))</f>
        <v/>
      </c>
      <c r="BD238" t="str">
        <f ca="1">IF(AND(ISNUMBER($BD$907),$B$677=1),$BD$907,HLOOKUP(INDIRECT(ADDRESS(2,COLUMN())),OFFSET($BN$2,0,0,ROW()-1,60),ROW()-1,FALSE))</f>
        <v/>
      </c>
      <c r="BE238" t="str">
        <f ca="1">IF(AND(ISNUMBER($BE$907),$B$677=1),$BE$907,HLOOKUP(INDIRECT(ADDRESS(2,COLUMN())),OFFSET($BN$2,0,0,ROW()-1,60),ROW()-1,FALSE))</f>
        <v/>
      </c>
      <c r="BF238" t="str">
        <f ca="1">IF(AND(ISNUMBER($BF$907),$B$677=1),$BF$907,HLOOKUP(INDIRECT(ADDRESS(2,COLUMN())),OFFSET($BN$2,0,0,ROW()-1,60),ROW()-1,FALSE))</f>
        <v/>
      </c>
      <c r="BG238" t="str">
        <f ca="1">IF(AND(ISNUMBER($BG$907),$B$677=1),$BG$907,HLOOKUP(INDIRECT(ADDRESS(2,COLUMN())),OFFSET($BN$2,0,0,ROW()-1,60),ROW()-1,FALSE))</f>
        <v/>
      </c>
      <c r="BH238" t="str">
        <f ca="1">IF(AND(ISNUMBER($BH$907),$B$677=1),$BH$907,HLOOKUP(INDIRECT(ADDRESS(2,COLUMN())),OFFSET($BN$2,0,0,ROW()-1,60),ROW()-1,FALSE))</f>
        <v/>
      </c>
      <c r="BI238" t="str">
        <f ca="1">IF(AND(ISNUMBER($BI$907),$B$677=1),$BI$907,HLOOKUP(INDIRECT(ADDRESS(2,COLUMN())),OFFSET($BN$2,0,0,ROW()-1,60),ROW()-1,FALSE))</f>
        <v/>
      </c>
      <c r="BJ238" t="str">
        <f ca="1">IF(AND(ISNUMBER($BJ$907),$B$677=1),$BJ$907,HLOOKUP(INDIRECT(ADDRESS(2,COLUMN())),OFFSET($BN$2,0,0,ROW()-1,60),ROW()-1,FALSE))</f>
        <v/>
      </c>
      <c r="BK238" t="str">
        <f ca="1">IF(AND(ISNUMBER($BK$907),$B$677=1),$BK$907,HLOOKUP(INDIRECT(ADDRESS(2,COLUMN())),OFFSET($BN$2,0,0,ROW()-1,60),ROW()-1,FALSE))</f>
        <v/>
      </c>
      <c r="BL238" t="str">
        <f ca="1">IF(AND(ISNUMBER($BL$907),$B$677=1),$BL$907,HLOOKUP(INDIRECT(ADDRESS(2,COLUMN())),OFFSET($BN$2,0,0,ROW()-1,60),ROW()-1,FALSE))</f>
        <v/>
      </c>
      <c r="BM238" t="str">
        <f ca="1">IF(AND(ISNUMBER($BM$907),$B$677=1),$BM$907,HLOOKUP(INDIRECT(ADDRESS(2,COLUMN())),OFFSET($BN$2,0,0,ROW()-1,60),ROW()-1,FALSE))</f>
        <v/>
      </c>
      <c r="BN238" t="str">
        <f>""</f>
        <v/>
      </c>
      <c r="BO238" t="str">
        <f>""</f>
        <v/>
      </c>
      <c r="BP238" t="str">
        <f>""</f>
        <v/>
      </c>
      <c r="BQ238" t="str">
        <f>""</f>
        <v/>
      </c>
      <c r="BR238">
        <f>14.98288913</f>
        <v>14.98288913</v>
      </c>
      <c r="BS238">
        <f>14.98288913</f>
        <v>14.98288913</v>
      </c>
      <c r="BT238">
        <f>5.51651518</f>
        <v>5.5165151799999999</v>
      </c>
      <c r="BU238">
        <f>6.555281495</f>
        <v>6.555281495</v>
      </c>
      <c r="BV238">
        <f>4.904762054</f>
        <v>4.9047620539999999</v>
      </c>
      <c r="BW238">
        <f>5.298350162</f>
        <v>5.2983501620000002</v>
      </c>
      <c r="BX238">
        <f>5.990078351</f>
        <v>5.9900783510000002</v>
      </c>
      <c r="BY238">
        <f>11.02201401</f>
        <v>11.022014009999999</v>
      </c>
      <c r="BZ238">
        <f>14.61568476</f>
        <v>14.615684760000001</v>
      </c>
      <c r="CA238" t="str">
        <f>""</f>
        <v/>
      </c>
      <c r="CB238" t="str">
        <f>""</f>
        <v/>
      </c>
      <c r="CC238" t="str">
        <f>""</f>
        <v/>
      </c>
      <c r="CD238" t="str">
        <f>""</f>
        <v/>
      </c>
      <c r="CE238" t="str">
        <f>""</f>
        <v/>
      </c>
      <c r="CF238" t="str">
        <f>""</f>
        <v/>
      </c>
      <c r="CG238" t="str">
        <f>""</f>
        <v/>
      </c>
      <c r="CH238" t="str">
        <f>""</f>
        <v/>
      </c>
      <c r="CI238" t="str">
        <f>""</f>
        <v/>
      </c>
      <c r="CJ238" t="str">
        <f>""</f>
        <v/>
      </c>
      <c r="CK238">
        <f>48.01216741</f>
        <v>48.012167410000004</v>
      </c>
      <c r="CL238">
        <f>43.30680073</f>
        <v>43.306800729999999</v>
      </c>
      <c r="CM238">
        <f>61.22105934</f>
        <v>61.221059339999996</v>
      </c>
      <c r="CN238" t="str">
        <f>""</f>
        <v/>
      </c>
      <c r="CO238" t="str">
        <f>""</f>
        <v/>
      </c>
      <c r="CP238">
        <f>2884.846193</f>
        <v>2884.8461929999999</v>
      </c>
      <c r="CQ238">
        <f>2415.049358</f>
        <v>2415.0493580000002</v>
      </c>
      <c r="CR238">
        <f>13.63245553</f>
        <v>13.63245553</v>
      </c>
      <c r="CS238">
        <f>13.20124023</f>
        <v>13.20124023</v>
      </c>
      <c r="CT238" t="str">
        <f>""</f>
        <v/>
      </c>
      <c r="CU238" t="str">
        <f>""</f>
        <v/>
      </c>
      <c r="CV238">
        <f>36.11871314</f>
        <v>36.118713139999997</v>
      </c>
      <c r="CW238">
        <f>27.60116586</f>
        <v>27.601165859999998</v>
      </c>
      <c r="CX238">
        <f>7.331285738</f>
        <v>7.3312857380000001</v>
      </c>
      <c r="CY238">
        <f>8.905216312</f>
        <v>8.9052163120000003</v>
      </c>
      <c r="CZ238">
        <f>8.248483502</f>
        <v>8.2484835019999991</v>
      </c>
      <c r="DA238" t="str">
        <f>""</f>
        <v/>
      </c>
      <c r="DB238" t="str">
        <f>""</f>
        <v/>
      </c>
      <c r="DC238" t="str">
        <f>""</f>
        <v/>
      </c>
      <c r="DD238" t="str">
        <f>""</f>
        <v/>
      </c>
      <c r="DE238" t="str">
        <f>""</f>
        <v/>
      </c>
      <c r="DF238" t="str">
        <f>""</f>
        <v/>
      </c>
      <c r="DG238" t="str">
        <f>""</f>
        <v/>
      </c>
      <c r="DH238" t="str">
        <f>""</f>
        <v/>
      </c>
      <c r="DI238" t="str">
        <f>""</f>
        <v/>
      </c>
      <c r="DJ238" t="str">
        <f>""</f>
        <v/>
      </c>
      <c r="DK238" t="str">
        <f>""</f>
        <v/>
      </c>
      <c r="DL238" t="str">
        <f>""</f>
        <v/>
      </c>
      <c r="DM238" t="str">
        <f>""</f>
        <v/>
      </c>
      <c r="DN238" t="str">
        <f>""</f>
        <v/>
      </c>
      <c r="DO238" t="str">
        <f>""</f>
        <v/>
      </c>
      <c r="DP238" t="str">
        <f>""</f>
        <v/>
      </c>
      <c r="DQ238" t="str">
        <f>""</f>
        <v/>
      </c>
      <c r="DR238" t="str">
        <f>""</f>
        <v/>
      </c>
      <c r="DS238" t="str">
        <f>""</f>
        <v/>
      </c>
      <c r="DT238" t="str">
        <f>""</f>
        <v/>
      </c>
      <c r="DU238" t="str">
        <f>""</f>
        <v/>
      </c>
    </row>
    <row r="239" spans="1:125" x14ac:dyDescent="0.25">
      <c r="A239" t="str">
        <f>"    Sollers PJSC"</f>
        <v xml:space="preserve">    Sollers PJSC</v>
      </c>
      <c r="B239" t="str">
        <f>"SVAV RM Equity"</f>
        <v>SVAV RM Equity</v>
      </c>
      <c r="C239" t="str">
        <f t="shared" si="15"/>
        <v>RR971</v>
      </c>
      <c r="D239" t="str">
        <f t="shared" si="16"/>
        <v>CURRENT_PX_TO_FREE_CASH_FLOW</v>
      </c>
      <c r="E239" t="str">
        <f t="shared" si="17"/>
        <v>Dynamic</v>
      </c>
      <c r="F239" t="str">
        <f ca="1">IF(AND(ISNUMBER($F$908),$B$677=1),$F$908,HLOOKUP(INDIRECT(ADDRESS(2,COLUMN())),OFFSET($BN$2,0,0,ROW()-1,60),ROW()-1,FALSE))</f>
        <v/>
      </c>
      <c r="G239" t="str">
        <f ca="1">IF(AND(ISNUMBER($G$908),$B$677=1),$G$908,HLOOKUP(INDIRECT(ADDRESS(2,COLUMN())),OFFSET($BN$2,0,0,ROW()-1,60),ROW()-1,FALSE))</f>
        <v/>
      </c>
      <c r="H239" t="str">
        <f ca="1">IF(AND(ISNUMBER($H$908),$B$677=1),$H$908,HLOOKUP(INDIRECT(ADDRESS(2,COLUMN())),OFFSET($BN$2,0,0,ROW()-1,60),ROW()-1,FALSE))</f>
        <v/>
      </c>
      <c r="I239" t="str">
        <f ca="1">IF(AND(ISNUMBER($I$908),$B$677=1),$I$908,HLOOKUP(INDIRECT(ADDRESS(2,COLUMN())),OFFSET($BN$2,0,0,ROW()-1,60),ROW()-1,FALSE))</f>
        <v/>
      </c>
      <c r="J239" t="str">
        <f ca="1">IF(AND(ISNUMBER($J$908),$B$677=1),$J$908,HLOOKUP(INDIRECT(ADDRESS(2,COLUMN())),OFFSET($BN$2,0,0,ROW()-1,60),ROW()-1,FALSE))</f>
        <v/>
      </c>
      <c r="K239" t="str">
        <f ca="1">IF(AND(ISNUMBER($K$908),$B$677=1),$K$908,HLOOKUP(INDIRECT(ADDRESS(2,COLUMN())),OFFSET($BN$2,0,0,ROW()-1,60),ROW()-1,FALSE))</f>
        <v/>
      </c>
      <c r="L239" t="str">
        <f ca="1">IF(AND(ISNUMBER($L$908),$B$677=1),$L$908,HLOOKUP(INDIRECT(ADDRESS(2,COLUMN())),OFFSET($BN$2,0,0,ROW()-1,60),ROW()-1,FALSE))</f>
        <v/>
      </c>
      <c r="M239" t="str">
        <f ca="1">IF(AND(ISNUMBER($M$908),$B$677=1),$M$908,HLOOKUP(INDIRECT(ADDRESS(2,COLUMN())),OFFSET($BN$2,0,0,ROW()-1,60),ROW()-1,FALSE))</f>
        <v/>
      </c>
      <c r="N239" t="str">
        <f ca="1">IF(AND(ISNUMBER($N$908),$B$677=1),$N$908,HLOOKUP(INDIRECT(ADDRESS(2,COLUMN())),OFFSET($BN$2,0,0,ROW()-1,60),ROW()-1,FALSE))</f>
        <v/>
      </c>
      <c r="O239" t="str">
        <f ca="1">IF(AND(ISNUMBER($O$908),$B$677=1),$O$908,HLOOKUP(INDIRECT(ADDRESS(2,COLUMN())),OFFSET($BN$2,0,0,ROW()-1,60),ROW()-1,FALSE))</f>
        <v/>
      </c>
      <c r="P239" t="str">
        <f ca="1">IF(AND(ISNUMBER($P$908),$B$677=1),$P$908,HLOOKUP(INDIRECT(ADDRESS(2,COLUMN())),OFFSET($BN$2,0,0,ROW()-1,60),ROW()-1,FALSE))</f>
        <v/>
      </c>
      <c r="Q239" t="str">
        <f ca="1">IF(AND(ISNUMBER($Q$908),$B$677=1),$Q$908,HLOOKUP(INDIRECT(ADDRESS(2,COLUMN())),OFFSET($BN$2,0,0,ROW()-1,60),ROW()-1,FALSE))</f>
        <v/>
      </c>
      <c r="R239" t="str">
        <f ca="1">IF(AND(ISNUMBER($R$908),$B$677=1),$R$908,HLOOKUP(INDIRECT(ADDRESS(2,COLUMN())),OFFSET($BN$2,0,0,ROW()-1,60),ROW()-1,FALSE))</f>
        <v/>
      </c>
      <c r="S239" t="str">
        <f ca="1">IF(AND(ISNUMBER($S$908),$B$677=1),$S$908,HLOOKUP(INDIRECT(ADDRESS(2,COLUMN())),OFFSET($BN$2,0,0,ROW()-1,60),ROW()-1,FALSE))</f>
        <v/>
      </c>
      <c r="T239" t="str">
        <f ca="1">IF(AND(ISNUMBER($T$908),$B$677=1),$T$908,HLOOKUP(INDIRECT(ADDRESS(2,COLUMN())),OFFSET($BN$2,0,0,ROW()-1,60),ROW()-1,FALSE))</f>
        <v/>
      </c>
      <c r="U239" t="str">
        <f ca="1">IF(AND(ISNUMBER($U$908),$B$677=1),$U$908,HLOOKUP(INDIRECT(ADDRESS(2,COLUMN())),OFFSET($BN$2,0,0,ROW()-1,60),ROW()-1,FALSE))</f>
        <v/>
      </c>
      <c r="V239" t="str">
        <f ca="1">IF(AND(ISNUMBER($V$908),$B$677=1),$V$908,HLOOKUP(INDIRECT(ADDRESS(2,COLUMN())),OFFSET($BN$2,0,0,ROW()-1,60),ROW()-1,FALSE))</f>
        <v/>
      </c>
      <c r="W239" t="str">
        <f ca="1">IF(AND(ISNUMBER($W$908),$B$677=1),$W$908,HLOOKUP(INDIRECT(ADDRESS(2,COLUMN())),OFFSET($BN$2,0,0,ROW()-1,60),ROW()-1,FALSE))</f>
        <v/>
      </c>
      <c r="X239" t="str">
        <f ca="1">IF(AND(ISNUMBER($X$908),$B$677=1),$X$908,HLOOKUP(INDIRECT(ADDRESS(2,COLUMN())),OFFSET($BN$2,0,0,ROW()-1,60),ROW()-1,FALSE))</f>
        <v/>
      </c>
      <c r="Y239" t="str">
        <f ca="1">IF(AND(ISNUMBER($Y$908),$B$677=1),$Y$908,HLOOKUP(INDIRECT(ADDRESS(2,COLUMN())),OFFSET($BN$2,0,0,ROW()-1,60),ROW()-1,FALSE))</f>
        <v/>
      </c>
      <c r="Z239" t="str">
        <f ca="1">IF(AND(ISNUMBER($Z$908),$B$677=1),$Z$908,HLOOKUP(INDIRECT(ADDRESS(2,COLUMN())),OFFSET($BN$2,0,0,ROW()-1,60),ROW()-1,FALSE))</f>
        <v/>
      </c>
      <c r="AA239" t="str">
        <f ca="1">IF(AND(ISNUMBER($AA$908),$B$677=1),$AA$908,HLOOKUP(INDIRECT(ADDRESS(2,COLUMN())),OFFSET($BN$2,0,0,ROW()-1,60),ROW()-1,FALSE))</f>
        <v/>
      </c>
      <c r="AB239" t="str">
        <f ca="1">IF(AND(ISNUMBER($AB$908),$B$677=1),$AB$908,HLOOKUP(INDIRECT(ADDRESS(2,COLUMN())),OFFSET($BN$2,0,0,ROW()-1,60),ROW()-1,FALSE))</f>
        <v/>
      </c>
      <c r="AC239" t="str">
        <f ca="1">IF(AND(ISNUMBER($AC$908),$B$677=1),$AC$908,HLOOKUP(INDIRECT(ADDRESS(2,COLUMN())),OFFSET($BN$2,0,0,ROW()-1,60),ROW()-1,FALSE))</f>
        <v/>
      </c>
      <c r="AD239" t="str">
        <f ca="1">IF(AND(ISNUMBER($AD$908),$B$677=1),$AD$908,HLOOKUP(INDIRECT(ADDRESS(2,COLUMN())),OFFSET($BN$2,0,0,ROW()-1,60),ROW()-1,FALSE))</f>
        <v/>
      </c>
      <c r="AE239" t="str">
        <f ca="1">IF(AND(ISNUMBER($AE$908),$B$677=1),$AE$908,HLOOKUP(INDIRECT(ADDRESS(2,COLUMN())),OFFSET($BN$2,0,0,ROW()-1,60),ROW()-1,FALSE))</f>
        <v/>
      </c>
      <c r="AF239" t="str">
        <f ca="1">IF(AND(ISNUMBER($AF$908),$B$677=1),$AF$908,HLOOKUP(INDIRECT(ADDRESS(2,COLUMN())),OFFSET($BN$2,0,0,ROW()-1,60),ROW()-1,FALSE))</f>
        <v/>
      </c>
      <c r="AG239" t="str">
        <f ca="1">IF(AND(ISNUMBER($AG$908),$B$677=1),$AG$908,HLOOKUP(INDIRECT(ADDRESS(2,COLUMN())),OFFSET($BN$2,0,0,ROW()-1,60),ROW()-1,FALSE))</f>
        <v/>
      </c>
      <c r="AH239" t="str">
        <f ca="1">IF(AND(ISNUMBER($AH$908),$B$677=1),$AH$908,HLOOKUP(INDIRECT(ADDRESS(2,COLUMN())),OFFSET($BN$2,0,0,ROW()-1,60),ROW()-1,FALSE))</f>
        <v/>
      </c>
      <c r="AI239" t="str">
        <f ca="1">IF(AND(ISNUMBER($AI$908),$B$677=1),$AI$908,HLOOKUP(INDIRECT(ADDRESS(2,COLUMN())),OFFSET($BN$2,0,0,ROW()-1,60),ROW()-1,FALSE))</f>
        <v/>
      </c>
      <c r="AJ239" t="str">
        <f ca="1">IF(AND(ISNUMBER($AJ$908),$B$677=1),$AJ$908,HLOOKUP(INDIRECT(ADDRESS(2,COLUMN())),OFFSET($BN$2,0,0,ROW()-1,60),ROW()-1,FALSE))</f>
        <v/>
      </c>
      <c r="AK239" t="str">
        <f ca="1">IF(AND(ISNUMBER($AK$908),$B$677=1),$AK$908,HLOOKUP(INDIRECT(ADDRESS(2,COLUMN())),OFFSET($BN$2,0,0,ROW()-1,60),ROW()-1,FALSE))</f>
        <v/>
      </c>
      <c r="AL239" t="str">
        <f ca="1">IF(AND(ISNUMBER($AL$908),$B$677=1),$AL$908,HLOOKUP(INDIRECT(ADDRESS(2,COLUMN())),OFFSET($BN$2,0,0,ROW()-1,60),ROW()-1,FALSE))</f>
        <v/>
      </c>
      <c r="AM239" t="str">
        <f ca="1">IF(AND(ISNUMBER($AM$908),$B$677=1),$AM$908,HLOOKUP(INDIRECT(ADDRESS(2,COLUMN())),OFFSET($BN$2,0,0,ROW()-1,60),ROW()-1,FALSE))</f>
        <v/>
      </c>
      <c r="AN239" t="str">
        <f ca="1">IF(AND(ISNUMBER($AN$908),$B$677=1),$AN$908,HLOOKUP(INDIRECT(ADDRESS(2,COLUMN())),OFFSET($BN$2,0,0,ROW()-1,60),ROW()-1,FALSE))</f>
        <v/>
      </c>
      <c r="AO239" t="str">
        <f ca="1">IF(AND(ISNUMBER($AO$908),$B$677=1),$AO$908,HLOOKUP(INDIRECT(ADDRESS(2,COLUMN())),OFFSET($BN$2,0,0,ROW()-1,60),ROW()-1,FALSE))</f>
        <v/>
      </c>
      <c r="AP239" t="str">
        <f ca="1">IF(AND(ISNUMBER($AP$908),$B$677=1),$AP$908,HLOOKUP(INDIRECT(ADDRESS(2,COLUMN())),OFFSET($BN$2,0,0,ROW()-1,60),ROW()-1,FALSE))</f>
        <v/>
      </c>
      <c r="AQ239" t="str">
        <f ca="1">IF(AND(ISNUMBER($AQ$908),$B$677=1),$AQ$908,HLOOKUP(INDIRECT(ADDRESS(2,COLUMN())),OFFSET($BN$2,0,0,ROW()-1,60),ROW()-1,FALSE))</f>
        <v/>
      </c>
      <c r="AR239" t="str">
        <f ca="1">IF(AND(ISNUMBER($AR$908),$B$677=1),$AR$908,HLOOKUP(INDIRECT(ADDRESS(2,COLUMN())),OFFSET($BN$2,0,0,ROW()-1,60),ROW()-1,FALSE))</f>
        <v/>
      </c>
      <c r="AS239" t="str">
        <f ca="1">IF(AND(ISNUMBER($AS$908),$B$677=1),$AS$908,HLOOKUP(INDIRECT(ADDRESS(2,COLUMN())),OFFSET($BN$2,0,0,ROW()-1,60),ROW()-1,FALSE))</f>
        <v/>
      </c>
      <c r="AT239" t="str">
        <f ca="1">IF(AND(ISNUMBER($AT$908),$B$677=1),$AT$908,HLOOKUP(INDIRECT(ADDRESS(2,COLUMN())),OFFSET($BN$2,0,0,ROW()-1,60),ROW()-1,FALSE))</f>
        <v/>
      </c>
      <c r="AU239" t="str">
        <f ca="1">IF(AND(ISNUMBER($AU$908),$B$677=1),$AU$908,HLOOKUP(INDIRECT(ADDRESS(2,COLUMN())),OFFSET($BN$2,0,0,ROW()-1,60),ROW()-1,FALSE))</f>
        <v/>
      </c>
      <c r="AV239" t="str">
        <f ca="1">IF(AND(ISNUMBER($AV$908),$B$677=1),$AV$908,HLOOKUP(INDIRECT(ADDRESS(2,COLUMN())),OFFSET($BN$2,0,0,ROW()-1,60),ROW()-1,FALSE))</f>
        <v/>
      </c>
      <c r="AW239" t="str">
        <f ca="1">IF(AND(ISNUMBER($AW$908),$B$677=1),$AW$908,HLOOKUP(INDIRECT(ADDRESS(2,COLUMN())),OFFSET($BN$2,0,0,ROW()-1,60),ROW()-1,FALSE))</f>
        <v/>
      </c>
      <c r="AX239" t="str">
        <f ca="1">IF(AND(ISNUMBER($AX$908),$B$677=1),$AX$908,HLOOKUP(INDIRECT(ADDRESS(2,COLUMN())),OFFSET($BN$2,0,0,ROW()-1,60),ROW()-1,FALSE))</f>
        <v/>
      </c>
      <c r="AY239" t="str">
        <f ca="1">IF(AND(ISNUMBER($AY$908),$B$677=1),$AY$908,HLOOKUP(INDIRECT(ADDRESS(2,COLUMN())),OFFSET($BN$2,0,0,ROW()-1,60),ROW()-1,FALSE))</f>
        <v/>
      </c>
      <c r="AZ239" t="str">
        <f ca="1">IF(AND(ISNUMBER($AZ$908),$B$677=1),$AZ$908,HLOOKUP(INDIRECT(ADDRESS(2,COLUMN())),OFFSET($BN$2,0,0,ROW()-1,60),ROW()-1,FALSE))</f>
        <v/>
      </c>
      <c r="BA239" t="str">
        <f ca="1">IF(AND(ISNUMBER($BA$908),$B$677=1),$BA$908,HLOOKUP(INDIRECT(ADDRESS(2,COLUMN())),OFFSET($BN$2,0,0,ROW()-1,60),ROW()-1,FALSE))</f>
        <v/>
      </c>
      <c r="BB239" t="str">
        <f ca="1">IF(AND(ISNUMBER($BB$908),$B$677=1),$BB$908,HLOOKUP(INDIRECT(ADDRESS(2,COLUMN())),OFFSET($BN$2,0,0,ROW()-1,60),ROW()-1,FALSE))</f>
        <v/>
      </c>
      <c r="BC239" t="str">
        <f ca="1">IF(AND(ISNUMBER($BC$908),$B$677=1),$BC$908,HLOOKUP(INDIRECT(ADDRESS(2,COLUMN())),OFFSET($BN$2,0,0,ROW()-1,60),ROW()-1,FALSE))</f>
        <v/>
      </c>
      <c r="BD239" t="str">
        <f ca="1">IF(AND(ISNUMBER($BD$908),$B$677=1),$BD$908,HLOOKUP(INDIRECT(ADDRESS(2,COLUMN())),OFFSET($BN$2,0,0,ROW()-1,60),ROW()-1,FALSE))</f>
        <v/>
      </c>
      <c r="BE239" t="str">
        <f ca="1">IF(AND(ISNUMBER($BE$908),$B$677=1),$BE$908,HLOOKUP(INDIRECT(ADDRESS(2,COLUMN())),OFFSET($BN$2,0,0,ROW()-1,60),ROW()-1,FALSE))</f>
        <v/>
      </c>
      <c r="BF239" t="str">
        <f ca="1">IF(AND(ISNUMBER($BF$908),$B$677=1),$BF$908,HLOOKUP(INDIRECT(ADDRESS(2,COLUMN())),OFFSET($BN$2,0,0,ROW()-1,60),ROW()-1,FALSE))</f>
        <v/>
      </c>
      <c r="BG239" t="str">
        <f ca="1">IF(AND(ISNUMBER($BG$908),$B$677=1),$BG$908,HLOOKUP(INDIRECT(ADDRESS(2,COLUMN())),OFFSET($BN$2,0,0,ROW()-1,60),ROW()-1,FALSE))</f>
        <v/>
      </c>
      <c r="BH239" t="str">
        <f ca="1">IF(AND(ISNUMBER($BH$908),$B$677=1),$BH$908,HLOOKUP(INDIRECT(ADDRESS(2,COLUMN())),OFFSET($BN$2,0,0,ROW()-1,60),ROW()-1,FALSE))</f>
        <v/>
      </c>
      <c r="BI239" t="str">
        <f ca="1">IF(AND(ISNUMBER($BI$908),$B$677=1),$BI$908,HLOOKUP(INDIRECT(ADDRESS(2,COLUMN())),OFFSET($BN$2,0,0,ROW()-1,60),ROW()-1,FALSE))</f>
        <v/>
      </c>
      <c r="BJ239" t="str">
        <f ca="1">IF(AND(ISNUMBER($BJ$908),$B$677=1),$BJ$908,HLOOKUP(INDIRECT(ADDRESS(2,COLUMN())),OFFSET($BN$2,0,0,ROW()-1,60),ROW()-1,FALSE))</f>
        <v/>
      </c>
      <c r="BK239" t="str">
        <f ca="1">IF(AND(ISNUMBER($BK$908),$B$677=1),$BK$908,HLOOKUP(INDIRECT(ADDRESS(2,COLUMN())),OFFSET($BN$2,0,0,ROW()-1,60),ROW()-1,FALSE))</f>
        <v/>
      </c>
      <c r="BL239" t="str">
        <f ca="1">IF(AND(ISNUMBER($BL$908),$B$677=1),$BL$908,HLOOKUP(INDIRECT(ADDRESS(2,COLUMN())),OFFSET($BN$2,0,0,ROW()-1,60),ROW()-1,FALSE))</f>
        <v/>
      </c>
      <c r="BM239" t="str">
        <f ca="1">IF(AND(ISNUMBER($BM$908),$B$677=1),$BM$908,HLOOKUP(INDIRECT(ADDRESS(2,COLUMN())),OFFSET($BN$2,0,0,ROW()-1,60),ROW()-1,FALSE))</f>
        <v/>
      </c>
      <c r="BN239" t="str">
        <f>""</f>
        <v/>
      </c>
      <c r="BO239" t="str">
        <f>""</f>
        <v/>
      </c>
      <c r="BP239" t="str">
        <f>""</f>
        <v/>
      </c>
      <c r="BQ239" t="str">
        <f>""</f>
        <v/>
      </c>
      <c r="BR239" t="str">
        <f>""</f>
        <v/>
      </c>
      <c r="BS239" t="str">
        <f>""</f>
        <v/>
      </c>
      <c r="BT239" t="str">
        <f>""</f>
        <v/>
      </c>
      <c r="BU239" t="str">
        <f>""</f>
        <v/>
      </c>
      <c r="BV239" t="str">
        <f>""</f>
        <v/>
      </c>
      <c r="BW239" t="str">
        <f>""</f>
        <v/>
      </c>
      <c r="BX239" t="str">
        <f>""</f>
        <v/>
      </c>
      <c r="BY239" t="str">
        <f>""</f>
        <v/>
      </c>
      <c r="BZ239" t="str">
        <f>""</f>
        <v/>
      </c>
      <c r="CA239" t="str">
        <f>""</f>
        <v/>
      </c>
      <c r="CB239" t="str">
        <f>""</f>
        <v/>
      </c>
      <c r="CC239" t="str">
        <f>""</f>
        <v/>
      </c>
      <c r="CD239" t="str">
        <f>""</f>
        <v/>
      </c>
      <c r="CE239" t="str">
        <f>""</f>
        <v/>
      </c>
      <c r="CF239" t="str">
        <f>""</f>
        <v/>
      </c>
      <c r="CG239" t="str">
        <f>""</f>
        <v/>
      </c>
      <c r="CH239" t="str">
        <f>""</f>
        <v/>
      </c>
      <c r="CI239" t="str">
        <f>""</f>
        <v/>
      </c>
      <c r="CJ239" t="str">
        <f>""</f>
        <v/>
      </c>
      <c r="CK239" t="str">
        <f>""</f>
        <v/>
      </c>
      <c r="CL239" t="str">
        <f>""</f>
        <v/>
      </c>
      <c r="CM239" t="str">
        <f>""</f>
        <v/>
      </c>
      <c r="CN239" t="str">
        <f>""</f>
        <v/>
      </c>
      <c r="CO239" t="str">
        <f>""</f>
        <v/>
      </c>
      <c r="CP239" t="str">
        <f>""</f>
        <v/>
      </c>
      <c r="CQ239" t="str">
        <f>""</f>
        <v/>
      </c>
      <c r="CR239" t="str">
        <f>""</f>
        <v/>
      </c>
      <c r="CS239" t="str">
        <f>""</f>
        <v/>
      </c>
      <c r="CT239" t="str">
        <f>""</f>
        <v/>
      </c>
      <c r="CU239" t="str">
        <f>""</f>
        <v/>
      </c>
      <c r="CV239" t="str">
        <f>""</f>
        <v/>
      </c>
      <c r="CW239" t="str">
        <f>""</f>
        <v/>
      </c>
      <c r="CX239" t="str">
        <f>""</f>
        <v/>
      </c>
      <c r="CY239" t="str">
        <f>""</f>
        <v/>
      </c>
      <c r="CZ239" t="str">
        <f>""</f>
        <v/>
      </c>
      <c r="DA239" t="str">
        <f>""</f>
        <v/>
      </c>
      <c r="DB239" t="str">
        <f>""</f>
        <v/>
      </c>
      <c r="DC239" t="str">
        <f>""</f>
        <v/>
      </c>
      <c r="DD239" t="str">
        <f>""</f>
        <v/>
      </c>
      <c r="DE239" t="str">
        <f>""</f>
        <v/>
      </c>
      <c r="DF239" t="str">
        <f>""</f>
        <v/>
      </c>
      <c r="DG239" t="str">
        <f>""</f>
        <v/>
      </c>
      <c r="DH239" t="str">
        <f>""</f>
        <v/>
      </c>
      <c r="DI239" t="str">
        <f>""</f>
        <v/>
      </c>
      <c r="DJ239" t="str">
        <f>""</f>
        <v/>
      </c>
      <c r="DK239" t="str">
        <f>""</f>
        <v/>
      </c>
      <c r="DL239" t="str">
        <f>""</f>
        <v/>
      </c>
      <c r="DM239" t="str">
        <f>""</f>
        <v/>
      </c>
      <c r="DN239" t="str">
        <f>""</f>
        <v/>
      </c>
      <c r="DO239" t="str">
        <f>""</f>
        <v/>
      </c>
      <c r="DP239" t="str">
        <f>""</f>
        <v/>
      </c>
      <c r="DQ239" t="str">
        <f>""</f>
        <v/>
      </c>
      <c r="DR239" t="str">
        <f>""</f>
        <v/>
      </c>
      <c r="DS239" t="str">
        <f>""</f>
        <v/>
      </c>
      <c r="DT239" t="str">
        <f>""</f>
        <v/>
      </c>
      <c r="DU239" t="str">
        <f>""</f>
        <v/>
      </c>
    </row>
    <row r="240" spans="1:125" x14ac:dyDescent="0.25">
      <c r="A240" t="str">
        <f>"    Ssangyong Motor Co"</f>
        <v xml:space="preserve">    Ssangyong Motor Co</v>
      </c>
      <c r="B240" t="str">
        <f>"003620 KS Equity"</f>
        <v>003620 KS Equity</v>
      </c>
      <c r="C240" t="str">
        <f t="shared" si="15"/>
        <v>RR971</v>
      </c>
      <c r="D240" t="str">
        <f t="shared" si="16"/>
        <v>CURRENT_PX_TO_FREE_CASH_FLOW</v>
      </c>
      <c r="E240" t="str">
        <f t="shared" si="17"/>
        <v>Dynamic</v>
      </c>
      <c r="F240" t="str">
        <f ca="1">IF(AND(ISNUMBER($F$909),$B$677=1),$F$909,HLOOKUP(INDIRECT(ADDRESS(2,COLUMN())),OFFSET($BN$2,0,0,ROW()-1,60),ROW()-1,FALSE))</f>
        <v/>
      </c>
      <c r="G240">
        <f ca="1">IF(AND(ISNUMBER($G$909),$B$677=1),$G$909,HLOOKUP(INDIRECT(ADDRESS(2,COLUMN())),OFFSET($BN$2,0,0,ROW()-1,60),ROW()-1,FALSE))</f>
        <v>3.1078244750000001</v>
      </c>
      <c r="H240">
        <f ca="1">IF(AND(ISNUMBER($H$909),$B$677=1),$H$909,HLOOKUP(INDIRECT(ADDRESS(2,COLUMN())),OFFSET($BN$2,0,0,ROW()-1,60),ROW()-1,FALSE))</f>
        <v>3.6008169360000002</v>
      </c>
      <c r="I240">
        <f ca="1">IF(AND(ISNUMBER($I$909),$B$677=1),$I$909,HLOOKUP(INDIRECT(ADDRESS(2,COLUMN())),OFFSET($BN$2,0,0,ROW()-1,60),ROW()-1,FALSE))</f>
        <v>6.3141784129999996</v>
      </c>
      <c r="J240">
        <f ca="1">IF(AND(ISNUMBER($J$909),$B$677=1),$J$909,HLOOKUP(INDIRECT(ADDRESS(2,COLUMN())),OFFSET($BN$2,0,0,ROW()-1,60),ROW()-1,FALSE))</f>
        <v>6.8151947440000002</v>
      </c>
      <c r="K240">
        <f ca="1">IF(AND(ISNUMBER($K$909),$B$677=1),$K$909,HLOOKUP(INDIRECT(ADDRESS(2,COLUMN())),OFFSET($BN$2,0,0,ROW()-1,60),ROW()-1,FALSE))</f>
        <v>15.129413489999999</v>
      </c>
      <c r="L240">
        <f ca="1">IF(AND(ISNUMBER($L$909),$B$677=1),$L$909,HLOOKUP(INDIRECT(ADDRESS(2,COLUMN())),OFFSET($BN$2,0,0,ROW()-1,60),ROW()-1,FALSE))</f>
        <v>7.9489258859999996</v>
      </c>
      <c r="M240">
        <f ca="1">IF(AND(ISNUMBER($M$909),$B$677=1),$M$909,HLOOKUP(INDIRECT(ADDRESS(2,COLUMN())),OFFSET($BN$2,0,0,ROW()-1,60),ROW()-1,FALSE))</f>
        <v>7.770703997</v>
      </c>
      <c r="N240">
        <f ca="1">IF(AND(ISNUMBER($N$909),$B$677=1),$N$909,HLOOKUP(INDIRECT(ADDRESS(2,COLUMN())),OFFSET($BN$2,0,0,ROW()-1,60),ROW()-1,FALSE))</f>
        <v>5.5384951720000002</v>
      </c>
      <c r="O240">
        <f ca="1">IF(AND(ISNUMBER($O$909),$B$677=1),$O$909,HLOOKUP(INDIRECT(ADDRESS(2,COLUMN())),OFFSET($BN$2,0,0,ROW()-1,60),ROW()-1,FALSE))</f>
        <v>9.2634994580000001</v>
      </c>
      <c r="P240">
        <f ca="1">IF(AND(ISNUMBER($P$909),$B$677=1),$P$909,HLOOKUP(INDIRECT(ADDRESS(2,COLUMN())),OFFSET($BN$2,0,0,ROW()-1,60),ROW()-1,FALSE))</f>
        <v>11.895212839999999</v>
      </c>
      <c r="Q240">
        <f ca="1">IF(AND(ISNUMBER($Q$909),$B$677=1),$Q$909,HLOOKUP(INDIRECT(ADDRESS(2,COLUMN())),OFFSET($BN$2,0,0,ROW()-1,60),ROW()-1,FALSE))</f>
        <v>7.6904454180000004</v>
      </c>
      <c r="R240">
        <f ca="1">IF(AND(ISNUMBER($R$909),$B$677=1),$R$909,HLOOKUP(INDIRECT(ADDRESS(2,COLUMN())),OFFSET($BN$2,0,0,ROW()-1,60),ROW()-1,FALSE))</f>
        <v>22.490643179999999</v>
      </c>
      <c r="S240">
        <f ca="1">IF(AND(ISNUMBER($S$909),$B$677=1),$S$909,HLOOKUP(INDIRECT(ADDRESS(2,COLUMN())),OFFSET($BN$2,0,0,ROW()-1,60),ROW()-1,FALSE))</f>
        <v>21.0764794</v>
      </c>
      <c r="T240" t="str">
        <f ca="1">IF(AND(ISNUMBER($T$909),$B$677=1),$T$909,HLOOKUP(INDIRECT(ADDRESS(2,COLUMN())),OFFSET($BN$2,0,0,ROW()-1,60),ROW()-1,FALSE))</f>
        <v/>
      </c>
      <c r="U240" t="str">
        <f ca="1">IF(AND(ISNUMBER($U$909),$B$677=1),$U$909,HLOOKUP(INDIRECT(ADDRESS(2,COLUMN())),OFFSET($BN$2,0,0,ROW()-1,60),ROW()-1,FALSE))</f>
        <v/>
      </c>
      <c r="V240" t="str">
        <f ca="1">IF(AND(ISNUMBER($V$909),$B$677=1),$V$909,HLOOKUP(INDIRECT(ADDRESS(2,COLUMN())),OFFSET($BN$2,0,0,ROW()-1,60),ROW()-1,FALSE))</f>
        <v/>
      </c>
      <c r="W240" t="str">
        <f ca="1">IF(AND(ISNUMBER($W$909),$B$677=1),$W$909,HLOOKUP(INDIRECT(ADDRESS(2,COLUMN())),OFFSET($BN$2,0,0,ROW()-1,60),ROW()-1,FALSE))</f>
        <v/>
      </c>
      <c r="X240" t="str">
        <f ca="1">IF(AND(ISNUMBER($X$909),$B$677=1),$X$909,HLOOKUP(INDIRECT(ADDRESS(2,COLUMN())),OFFSET($BN$2,0,0,ROW()-1,60),ROW()-1,FALSE))</f>
        <v/>
      </c>
      <c r="Y240">
        <f ca="1">IF(AND(ISNUMBER($Y$909),$B$677=1),$Y$909,HLOOKUP(INDIRECT(ADDRESS(2,COLUMN())),OFFSET($BN$2,0,0,ROW()-1,60),ROW()-1,FALSE))</f>
        <v>75.520632160000005</v>
      </c>
      <c r="Z240">
        <f ca="1">IF(AND(ISNUMBER($Z$909),$B$677=1),$Z$909,HLOOKUP(INDIRECT(ADDRESS(2,COLUMN())),OFFSET($BN$2,0,0,ROW()-1,60),ROW()-1,FALSE))</f>
        <v>75.780749150000005</v>
      </c>
      <c r="AA240">
        <f ca="1">IF(AND(ISNUMBER($AA$909),$B$677=1),$AA$909,HLOOKUP(INDIRECT(ADDRESS(2,COLUMN())),OFFSET($BN$2,0,0,ROW()-1,60),ROW()-1,FALSE))</f>
        <v>7.4493488780000003</v>
      </c>
      <c r="AB240">
        <f ca="1">IF(AND(ISNUMBER($AB$909),$B$677=1),$AB$909,HLOOKUP(INDIRECT(ADDRESS(2,COLUMN())),OFFSET($BN$2,0,0,ROW()-1,60),ROW()-1,FALSE))</f>
        <v>20.63810956</v>
      </c>
      <c r="AC240">
        <f ca="1">IF(AND(ISNUMBER($AC$909),$B$677=1),$AC$909,HLOOKUP(INDIRECT(ADDRESS(2,COLUMN())),OFFSET($BN$2,0,0,ROW()-1,60),ROW()-1,FALSE))</f>
        <v>5.3229562560000003</v>
      </c>
      <c r="AD240">
        <f ca="1">IF(AND(ISNUMBER($AD$909),$B$677=1),$AD$909,HLOOKUP(INDIRECT(ADDRESS(2,COLUMN())),OFFSET($BN$2,0,0,ROW()-1,60),ROW()-1,FALSE))</f>
        <v>8.8329856279999994</v>
      </c>
      <c r="AE240">
        <f ca="1">IF(AND(ISNUMBER($AE$909),$B$677=1),$AE$909,HLOOKUP(INDIRECT(ADDRESS(2,COLUMN())),OFFSET($BN$2,0,0,ROW()-1,60),ROW()-1,FALSE))</f>
        <v>22.478842759999999</v>
      </c>
      <c r="AF240" t="str">
        <f ca="1">IF(AND(ISNUMBER($AF$909),$B$677=1),$AF$909,HLOOKUP(INDIRECT(ADDRESS(2,COLUMN())),OFFSET($BN$2,0,0,ROW()-1,60),ROW()-1,FALSE))</f>
        <v/>
      </c>
      <c r="AG240" t="str">
        <f ca="1">IF(AND(ISNUMBER($AG$909),$B$677=1),$AG$909,HLOOKUP(INDIRECT(ADDRESS(2,COLUMN())),OFFSET($BN$2,0,0,ROW()-1,60),ROW()-1,FALSE))</f>
        <v/>
      </c>
      <c r="AH240" t="str">
        <f ca="1">IF(AND(ISNUMBER($AH$909),$B$677=1),$AH$909,HLOOKUP(INDIRECT(ADDRESS(2,COLUMN())),OFFSET($BN$2,0,0,ROW()-1,60),ROW()-1,FALSE))</f>
        <v/>
      </c>
      <c r="AI240" t="str">
        <f ca="1">IF(AND(ISNUMBER($AI$909),$B$677=1),$AI$909,HLOOKUP(INDIRECT(ADDRESS(2,COLUMN())),OFFSET($BN$2,0,0,ROW()-1,60),ROW()-1,FALSE))</f>
        <v/>
      </c>
      <c r="AJ240" t="str">
        <f ca="1">IF(AND(ISNUMBER($AJ$909),$B$677=1),$AJ$909,HLOOKUP(INDIRECT(ADDRESS(2,COLUMN())),OFFSET($BN$2,0,0,ROW()-1,60),ROW()-1,FALSE))</f>
        <v/>
      </c>
      <c r="AK240" t="str">
        <f ca="1">IF(AND(ISNUMBER($AK$909),$B$677=1),$AK$909,HLOOKUP(INDIRECT(ADDRESS(2,COLUMN())),OFFSET($BN$2,0,0,ROW()-1,60),ROW()-1,FALSE))</f>
        <v/>
      </c>
      <c r="AL240" t="str">
        <f ca="1">IF(AND(ISNUMBER($AL$909),$B$677=1),$AL$909,HLOOKUP(INDIRECT(ADDRESS(2,COLUMN())),OFFSET($BN$2,0,0,ROW()-1,60),ROW()-1,FALSE))</f>
        <v/>
      </c>
      <c r="AM240" t="str">
        <f ca="1">IF(AND(ISNUMBER($AM$909),$B$677=1),$AM$909,HLOOKUP(INDIRECT(ADDRESS(2,COLUMN())),OFFSET($BN$2,0,0,ROW()-1,60),ROW()-1,FALSE))</f>
        <v/>
      </c>
      <c r="AN240" t="str">
        <f ca="1">IF(AND(ISNUMBER($AN$909),$B$677=1),$AN$909,HLOOKUP(INDIRECT(ADDRESS(2,COLUMN())),OFFSET($BN$2,0,0,ROW()-1,60),ROW()-1,FALSE))</f>
        <v/>
      </c>
      <c r="AO240" t="str">
        <f ca="1">IF(AND(ISNUMBER($AO$909),$B$677=1),$AO$909,HLOOKUP(INDIRECT(ADDRESS(2,COLUMN())),OFFSET($BN$2,0,0,ROW()-1,60),ROW()-1,FALSE))</f>
        <v/>
      </c>
      <c r="AP240" t="str">
        <f ca="1">IF(AND(ISNUMBER($AP$909),$B$677=1),$AP$909,HLOOKUP(INDIRECT(ADDRESS(2,COLUMN())),OFFSET($BN$2,0,0,ROW()-1,60),ROW()-1,FALSE))</f>
        <v/>
      </c>
      <c r="AQ240" t="str">
        <f ca="1">IF(AND(ISNUMBER($AQ$909),$B$677=1),$AQ$909,HLOOKUP(INDIRECT(ADDRESS(2,COLUMN())),OFFSET($BN$2,0,0,ROW()-1,60),ROW()-1,FALSE))</f>
        <v/>
      </c>
      <c r="AR240" t="str">
        <f ca="1">IF(AND(ISNUMBER($AR$909),$B$677=1),$AR$909,HLOOKUP(INDIRECT(ADDRESS(2,COLUMN())),OFFSET($BN$2,0,0,ROW()-1,60),ROW()-1,FALSE))</f>
        <v/>
      </c>
      <c r="AS240" t="str">
        <f ca="1">IF(AND(ISNUMBER($AS$909),$B$677=1),$AS$909,HLOOKUP(INDIRECT(ADDRESS(2,COLUMN())),OFFSET($BN$2,0,0,ROW()-1,60),ROW()-1,FALSE))</f>
        <v/>
      </c>
      <c r="AT240" t="str">
        <f ca="1">IF(AND(ISNUMBER($AT$909),$B$677=1),$AT$909,HLOOKUP(INDIRECT(ADDRESS(2,COLUMN())),OFFSET($BN$2,0,0,ROW()-1,60),ROW()-1,FALSE))</f>
        <v/>
      </c>
      <c r="AU240" t="str">
        <f ca="1">IF(AND(ISNUMBER($AU$909),$B$677=1),$AU$909,HLOOKUP(INDIRECT(ADDRESS(2,COLUMN())),OFFSET($BN$2,0,0,ROW()-1,60),ROW()-1,FALSE))</f>
        <v/>
      </c>
      <c r="AV240" t="str">
        <f ca="1">IF(AND(ISNUMBER($AV$909),$B$677=1),$AV$909,HLOOKUP(INDIRECT(ADDRESS(2,COLUMN())),OFFSET($BN$2,0,0,ROW()-1,60),ROW()-1,FALSE))</f>
        <v/>
      </c>
      <c r="AW240" t="str">
        <f ca="1">IF(AND(ISNUMBER($AW$909),$B$677=1),$AW$909,HLOOKUP(INDIRECT(ADDRESS(2,COLUMN())),OFFSET($BN$2,0,0,ROW()-1,60),ROW()-1,FALSE))</f>
        <v/>
      </c>
      <c r="AX240" t="str">
        <f ca="1">IF(AND(ISNUMBER($AX$909),$B$677=1),$AX$909,HLOOKUP(INDIRECT(ADDRESS(2,COLUMN())),OFFSET($BN$2,0,0,ROW()-1,60),ROW()-1,FALSE))</f>
        <v/>
      </c>
      <c r="AY240" t="str">
        <f ca="1">IF(AND(ISNUMBER($AY$909),$B$677=1),$AY$909,HLOOKUP(INDIRECT(ADDRESS(2,COLUMN())),OFFSET($BN$2,0,0,ROW()-1,60),ROW()-1,FALSE))</f>
        <v/>
      </c>
      <c r="AZ240" t="str">
        <f ca="1">IF(AND(ISNUMBER($AZ$909),$B$677=1),$AZ$909,HLOOKUP(INDIRECT(ADDRESS(2,COLUMN())),OFFSET($BN$2,0,0,ROW()-1,60),ROW()-1,FALSE))</f>
        <v/>
      </c>
      <c r="BA240" t="str">
        <f ca="1">IF(AND(ISNUMBER($BA$909),$B$677=1),$BA$909,HLOOKUP(INDIRECT(ADDRESS(2,COLUMN())),OFFSET($BN$2,0,0,ROW()-1,60),ROW()-1,FALSE))</f>
        <v/>
      </c>
      <c r="BB240" t="str">
        <f ca="1">IF(AND(ISNUMBER($BB$909),$B$677=1),$BB$909,HLOOKUP(INDIRECT(ADDRESS(2,COLUMN())),OFFSET($BN$2,0,0,ROW()-1,60),ROW()-1,FALSE))</f>
        <v/>
      </c>
      <c r="BC240" t="str">
        <f ca="1">IF(AND(ISNUMBER($BC$909),$B$677=1),$BC$909,HLOOKUP(INDIRECT(ADDRESS(2,COLUMN())),OFFSET($BN$2,0,0,ROW()-1,60),ROW()-1,FALSE))</f>
        <v/>
      </c>
      <c r="BD240" t="str">
        <f ca="1">IF(AND(ISNUMBER($BD$909),$B$677=1),$BD$909,HLOOKUP(INDIRECT(ADDRESS(2,COLUMN())),OFFSET($BN$2,0,0,ROW()-1,60),ROW()-1,FALSE))</f>
        <v/>
      </c>
      <c r="BE240" t="str">
        <f ca="1">IF(AND(ISNUMBER($BE$909),$B$677=1),$BE$909,HLOOKUP(INDIRECT(ADDRESS(2,COLUMN())),OFFSET($BN$2,0,0,ROW()-1,60),ROW()-1,FALSE))</f>
        <v/>
      </c>
      <c r="BF240" t="str">
        <f ca="1">IF(AND(ISNUMBER($BF$909),$B$677=1),$BF$909,HLOOKUP(INDIRECT(ADDRESS(2,COLUMN())),OFFSET($BN$2,0,0,ROW()-1,60),ROW()-1,FALSE))</f>
        <v/>
      </c>
      <c r="BG240" t="str">
        <f ca="1">IF(AND(ISNUMBER($BG$909),$B$677=1),$BG$909,HLOOKUP(INDIRECT(ADDRESS(2,COLUMN())),OFFSET($BN$2,0,0,ROW()-1,60),ROW()-1,FALSE))</f>
        <v/>
      </c>
      <c r="BH240" t="str">
        <f ca="1">IF(AND(ISNUMBER($BH$909),$B$677=1),$BH$909,HLOOKUP(INDIRECT(ADDRESS(2,COLUMN())),OFFSET($BN$2,0,0,ROW()-1,60),ROW()-1,FALSE))</f>
        <v/>
      </c>
      <c r="BI240" t="str">
        <f ca="1">IF(AND(ISNUMBER($BI$909),$B$677=1),$BI$909,HLOOKUP(INDIRECT(ADDRESS(2,COLUMN())),OFFSET($BN$2,0,0,ROW()-1,60),ROW()-1,FALSE))</f>
        <v/>
      </c>
      <c r="BJ240" t="str">
        <f ca="1">IF(AND(ISNUMBER($BJ$909),$B$677=1),$BJ$909,HLOOKUP(INDIRECT(ADDRESS(2,COLUMN())),OFFSET($BN$2,0,0,ROW()-1,60),ROW()-1,FALSE))</f>
        <v/>
      </c>
      <c r="BK240" t="str">
        <f ca="1">IF(AND(ISNUMBER($BK$909),$B$677=1),$BK$909,HLOOKUP(INDIRECT(ADDRESS(2,COLUMN())),OFFSET($BN$2,0,0,ROW()-1,60),ROW()-1,FALSE))</f>
        <v/>
      </c>
      <c r="BL240" t="str">
        <f ca="1">IF(AND(ISNUMBER($BL$909),$B$677=1),$BL$909,HLOOKUP(INDIRECT(ADDRESS(2,COLUMN())),OFFSET($BN$2,0,0,ROW()-1,60),ROW()-1,FALSE))</f>
        <v/>
      </c>
      <c r="BM240" t="str">
        <f ca="1">IF(AND(ISNUMBER($BM$909),$B$677=1),$BM$909,HLOOKUP(INDIRECT(ADDRESS(2,COLUMN())),OFFSET($BN$2,0,0,ROW()-1,60),ROW()-1,FALSE))</f>
        <v/>
      </c>
      <c r="BN240" t="str">
        <f>""</f>
        <v/>
      </c>
      <c r="BO240">
        <f>3.107824475</f>
        <v>3.1078244750000001</v>
      </c>
      <c r="BP240">
        <f>3.600816936</f>
        <v>3.6008169360000002</v>
      </c>
      <c r="BQ240">
        <f>6.314178413</f>
        <v>6.3141784129999996</v>
      </c>
      <c r="BR240">
        <f>6.815194744</f>
        <v>6.8151947440000002</v>
      </c>
      <c r="BS240">
        <f>15.12941349</f>
        <v>15.129413489999999</v>
      </c>
      <c r="BT240">
        <f>7.948925886</f>
        <v>7.9489258859999996</v>
      </c>
      <c r="BU240">
        <f>7.770703997</f>
        <v>7.770703997</v>
      </c>
      <c r="BV240">
        <f>5.538495172</f>
        <v>5.5384951720000002</v>
      </c>
      <c r="BW240">
        <f>9.263499458</f>
        <v>9.2634994580000001</v>
      </c>
      <c r="BX240">
        <f>11.89521284</f>
        <v>11.895212839999999</v>
      </c>
      <c r="BY240">
        <f>7.690445418</f>
        <v>7.6904454180000004</v>
      </c>
      <c r="BZ240">
        <f>22.49064318</f>
        <v>22.490643179999999</v>
      </c>
      <c r="CA240">
        <f>21.0764794</f>
        <v>21.0764794</v>
      </c>
      <c r="CB240" t="str">
        <f>""</f>
        <v/>
      </c>
      <c r="CC240" t="str">
        <f>""</f>
        <v/>
      </c>
      <c r="CD240" t="str">
        <f>""</f>
        <v/>
      </c>
      <c r="CE240" t="str">
        <f>""</f>
        <v/>
      </c>
      <c r="CF240" t="str">
        <f>""</f>
        <v/>
      </c>
      <c r="CG240">
        <f>75.52063216</f>
        <v>75.520632160000005</v>
      </c>
      <c r="CH240">
        <f>75.78074915</f>
        <v>75.780749150000005</v>
      </c>
      <c r="CI240">
        <f>7.449348878</f>
        <v>7.4493488780000003</v>
      </c>
      <c r="CJ240">
        <f>20.63810956</f>
        <v>20.63810956</v>
      </c>
      <c r="CK240">
        <f>5.322956256</f>
        <v>5.3229562560000003</v>
      </c>
      <c r="CL240">
        <f>8.832985628</f>
        <v>8.8329856279999994</v>
      </c>
      <c r="CM240">
        <f>22.47884276</f>
        <v>22.478842759999999</v>
      </c>
      <c r="CN240" t="str">
        <f>""</f>
        <v/>
      </c>
      <c r="CO240" t="str">
        <f>""</f>
        <v/>
      </c>
      <c r="CP240" t="str">
        <f>""</f>
        <v/>
      </c>
      <c r="CQ240" t="str">
        <f>""</f>
        <v/>
      </c>
      <c r="CR240" t="str">
        <f>""</f>
        <v/>
      </c>
      <c r="CS240" t="str">
        <f>""</f>
        <v/>
      </c>
      <c r="CT240" t="str">
        <f>""</f>
        <v/>
      </c>
      <c r="CU240" t="str">
        <f>""</f>
        <v/>
      </c>
      <c r="CV240" t="str">
        <f>""</f>
        <v/>
      </c>
      <c r="CW240" t="str">
        <f>""</f>
        <v/>
      </c>
      <c r="CX240" t="str">
        <f>""</f>
        <v/>
      </c>
      <c r="CY240" t="str">
        <f>""</f>
        <v/>
      </c>
      <c r="CZ240" t="str">
        <f>""</f>
        <v/>
      </c>
      <c r="DA240" t="str">
        <f>""</f>
        <v/>
      </c>
      <c r="DB240" t="str">
        <f>""</f>
        <v/>
      </c>
      <c r="DC240" t="str">
        <f>""</f>
        <v/>
      </c>
      <c r="DD240" t="str">
        <f>""</f>
        <v/>
      </c>
      <c r="DE240" t="str">
        <f>""</f>
        <v/>
      </c>
      <c r="DF240" t="str">
        <f>""</f>
        <v/>
      </c>
      <c r="DG240" t="str">
        <f>""</f>
        <v/>
      </c>
      <c r="DH240" t="str">
        <f>""</f>
        <v/>
      </c>
      <c r="DI240" t="str">
        <f>""</f>
        <v/>
      </c>
      <c r="DJ240" t="str">
        <f>""</f>
        <v/>
      </c>
      <c r="DK240" t="str">
        <f>""</f>
        <v/>
      </c>
      <c r="DL240" t="str">
        <f>""</f>
        <v/>
      </c>
      <c r="DM240" t="str">
        <f>""</f>
        <v/>
      </c>
      <c r="DN240" t="str">
        <f>""</f>
        <v/>
      </c>
      <c r="DO240" t="str">
        <f>""</f>
        <v/>
      </c>
      <c r="DP240" t="str">
        <f>""</f>
        <v/>
      </c>
      <c r="DQ240" t="str">
        <f>""</f>
        <v/>
      </c>
      <c r="DR240" t="str">
        <f>""</f>
        <v/>
      </c>
      <c r="DS240" t="str">
        <f>""</f>
        <v/>
      </c>
      <c r="DT240" t="str">
        <f>""</f>
        <v/>
      </c>
      <c r="DU240" t="str">
        <f>""</f>
        <v/>
      </c>
    </row>
    <row r="241" spans="1:125" x14ac:dyDescent="0.25">
      <c r="A241" t="str">
        <f>"    Subaru Corp"</f>
        <v xml:space="preserve">    Subaru Corp</v>
      </c>
      <c r="B241" t="str">
        <f>"7270 JP Equity"</f>
        <v>7270 JP Equity</v>
      </c>
      <c r="C241" t="str">
        <f t="shared" si="15"/>
        <v>RR971</v>
      </c>
      <c r="D241" t="str">
        <f t="shared" si="16"/>
        <v>CURRENT_PX_TO_FREE_CASH_FLOW</v>
      </c>
      <c r="E241" t="str">
        <f t="shared" si="17"/>
        <v>Dynamic</v>
      </c>
      <c r="F241">
        <f ca="1">IF(AND(ISNUMBER($F$910),$B$677=1),$F$910,HLOOKUP(INDIRECT(ADDRESS(2,COLUMN())),OFFSET($BN$2,0,0,ROW()-1,60),ROW()-1,FALSE))</f>
        <v>35.17849855</v>
      </c>
      <c r="G241">
        <f ca="1">IF(AND(ISNUMBER($G$910),$B$677=1),$G$910,HLOOKUP(INDIRECT(ADDRESS(2,COLUMN())),OFFSET($BN$2,0,0,ROW()-1,60),ROW()-1,FALSE))</f>
        <v>29.212264810000001</v>
      </c>
      <c r="H241">
        <f ca="1">IF(AND(ISNUMBER($H$910),$B$677=1),$H$910,HLOOKUP(INDIRECT(ADDRESS(2,COLUMN())),OFFSET($BN$2,0,0,ROW()-1,60),ROW()-1,FALSE))</f>
        <v>37.962127070000001</v>
      </c>
      <c r="I241">
        <f ca="1">IF(AND(ISNUMBER($I$910),$B$677=1),$I$910,HLOOKUP(INDIRECT(ADDRESS(2,COLUMN())),OFFSET($BN$2,0,0,ROW()-1,60),ROW()-1,FALSE))</f>
        <v>23.710622600000001</v>
      </c>
      <c r="J241">
        <f ca="1">IF(AND(ISNUMBER($J$910),$B$677=1),$J$910,HLOOKUP(INDIRECT(ADDRESS(2,COLUMN())),OFFSET($BN$2,0,0,ROW()-1,60),ROW()-1,FALSE))</f>
        <v>12.35431998</v>
      </c>
      <c r="K241">
        <f ca="1">IF(AND(ISNUMBER($K$910),$B$677=1),$K$910,HLOOKUP(INDIRECT(ADDRESS(2,COLUMN())),OFFSET($BN$2,0,0,ROW()-1,60),ROW()-1,FALSE))</f>
        <v>11.246805670000001</v>
      </c>
      <c r="L241">
        <f ca="1">IF(AND(ISNUMBER($L$910),$B$677=1),$L$910,HLOOKUP(INDIRECT(ADDRESS(2,COLUMN())),OFFSET($BN$2,0,0,ROW()-1,60),ROW()-1,FALSE))</f>
        <v>17.094821450000001</v>
      </c>
      <c r="M241">
        <f ca="1">IF(AND(ISNUMBER($M$910),$B$677=1),$M$910,HLOOKUP(INDIRECT(ADDRESS(2,COLUMN())),OFFSET($BN$2,0,0,ROW()-1,60),ROW()-1,FALSE))</f>
        <v>11.502621299999999</v>
      </c>
      <c r="N241">
        <f ca="1">IF(AND(ISNUMBER($N$910),$B$677=1),$N$910,HLOOKUP(INDIRECT(ADDRESS(2,COLUMN())),OFFSET($BN$2,0,0,ROW()-1,60),ROW()-1,FALSE))</f>
        <v>17.366830889999999</v>
      </c>
      <c r="O241">
        <f ca="1">IF(AND(ISNUMBER($O$910),$B$677=1),$O$910,HLOOKUP(INDIRECT(ADDRESS(2,COLUMN())),OFFSET($BN$2,0,0,ROW()-1,60),ROW()-1,FALSE))</f>
        <v>15.936658939999999</v>
      </c>
      <c r="P241">
        <f ca="1">IF(AND(ISNUMBER($P$910),$B$677=1),$P$910,HLOOKUP(INDIRECT(ADDRESS(2,COLUMN())),OFFSET($BN$2,0,0,ROW()-1,60),ROW()-1,FALSE))</f>
        <v>7.4622738479999997</v>
      </c>
      <c r="Q241">
        <f ca="1">IF(AND(ISNUMBER($Q$910),$B$677=1),$Q$910,HLOOKUP(INDIRECT(ADDRESS(2,COLUMN())),OFFSET($BN$2,0,0,ROW()-1,60),ROW()-1,FALSE))</f>
        <v>6.2065149020000003</v>
      </c>
      <c r="R241">
        <f ca="1">IF(AND(ISNUMBER($R$910),$B$677=1),$R$910,HLOOKUP(INDIRECT(ADDRESS(2,COLUMN())),OFFSET($BN$2,0,0,ROW()-1,60),ROW()-1,FALSE))</f>
        <v>6.3627829230000001</v>
      </c>
      <c r="S241">
        <f ca="1">IF(AND(ISNUMBER($S$910),$B$677=1),$S$910,HLOOKUP(INDIRECT(ADDRESS(2,COLUMN())),OFFSET($BN$2,0,0,ROW()-1,60),ROW()-1,FALSE))</f>
        <v>8.7802615450000001</v>
      </c>
      <c r="T241">
        <f ca="1">IF(AND(ISNUMBER($T$910),$B$677=1),$T$910,HLOOKUP(INDIRECT(ADDRESS(2,COLUMN())),OFFSET($BN$2,0,0,ROW()-1,60),ROW()-1,FALSE))</f>
        <v>9.7214340149999998</v>
      </c>
      <c r="U241">
        <f ca="1">IF(AND(ISNUMBER($U$910),$B$677=1),$U$910,HLOOKUP(INDIRECT(ADDRESS(2,COLUMN())),OFFSET($BN$2,0,0,ROW()-1,60),ROW()-1,FALSE))</f>
        <v>11.797115160000001</v>
      </c>
      <c r="V241">
        <f ca="1">IF(AND(ISNUMBER($V$910),$B$677=1),$V$910,HLOOKUP(INDIRECT(ADDRESS(2,COLUMN())),OFFSET($BN$2,0,0,ROW()-1,60),ROW()-1,FALSE))</f>
        <v>15.862294759999999</v>
      </c>
      <c r="W241">
        <f ca="1">IF(AND(ISNUMBER($W$910),$B$677=1),$W$910,HLOOKUP(INDIRECT(ADDRESS(2,COLUMN())),OFFSET($BN$2,0,0,ROW()-1,60),ROW()-1,FALSE))</f>
        <v>19.58403728</v>
      </c>
      <c r="X241">
        <f ca="1">IF(AND(ISNUMBER($X$910),$B$677=1),$X$910,HLOOKUP(INDIRECT(ADDRESS(2,COLUMN())),OFFSET($BN$2,0,0,ROW()-1,60),ROW()-1,FALSE))</f>
        <v>13.84713957</v>
      </c>
      <c r="Y241">
        <f ca="1">IF(AND(ISNUMBER($Y$910),$B$677=1),$Y$910,HLOOKUP(INDIRECT(ADDRESS(2,COLUMN())),OFFSET($BN$2,0,0,ROW()-1,60),ROW()-1,FALSE))</f>
        <v>12.387433039999999</v>
      </c>
      <c r="Z241">
        <f ca="1">IF(AND(ISNUMBER($Z$910),$B$677=1),$Z$910,HLOOKUP(INDIRECT(ADDRESS(2,COLUMN())),OFFSET($BN$2,0,0,ROW()-1,60),ROW()-1,FALSE))</f>
        <v>8.8711467800000001</v>
      </c>
      <c r="AA241">
        <f ca="1">IF(AND(ISNUMBER($AA$910),$B$677=1),$AA$910,HLOOKUP(INDIRECT(ADDRESS(2,COLUMN())),OFFSET($BN$2,0,0,ROW()-1,60),ROW()-1,FALSE))</f>
        <v>11.68023932</v>
      </c>
      <c r="AB241">
        <f ca="1">IF(AND(ISNUMBER($AB$910),$B$677=1),$AB$910,HLOOKUP(INDIRECT(ADDRESS(2,COLUMN())),OFFSET($BN$2,0,0,ROW()-1,60),ROW()-1,FALSE))</f>
        <v>14.9373413</v>
      </c>
      <c r="AC241">
        <f ca="1">IF(AND(ISNUMBER($AC$910),$B$677=1),$AC$910,HLOOKUP(INDIRECT(ADDRESS(2,COLUMN())),OFFSET($BN$2,0,0,ROW()-1,60),ROW()-1,FALSE))</f>
        <v>14.556425020000001</v>
      </c>
      <c r="AD241">
        <f ca="1">IF(AND(ISNUMBER($AD$910),$B$677=1),$AD$910,HLOOKUP(INDIRECT(ADDRESS(2,COLUMN())),OFFSET($BN$2,0,0,ROW()-1,60),ROW()-1,FALSE))</f>
        <v>10.843329710000001</v>
      </c>
      <c r="AE241">
        <f ca="1">IF(AND(ISNUMBER($AE$910),$B$677=1),$AE$910,HLOOKUP(INDIRECT(ADDRESS(2,COLUMN())),OFFSET($BN$2,0,0,ROW()-1,60),ROW()-1,FALSE))</f>
        <v>7.371348083</v>
      </c>
      <c r="AF241">
        <f ca="1">IF(AND(ISNUMBER($AF$910),$B$677=1),$AF$910,HLOOKUP(INDIRECT(ADDRESS(2,COLUMN())),OFFSET($BN$2,0,0,ROW()-1,60),ROW()-1,FALSE))</f>
        <v>4.22881879</v>
      </c>
      <c r="AG241">
        <f ca="1">IF(AND(ISNUMBER($AG$910),$B$677=1),$AG$910,HLOOKUP(INDIRECT(ADDRESS(2,COLUMN())),OFFSET($BN$2,0,0,ROW()-1,60),ROW()-1,FALSE))</f>
        <v>8.1759154570000003</v>
      </c>
      <c r="AH241">
        <f ca="1">IF(AND(ISNUMBER($AH$910),$B$677=1),$AH$910,HLOOKUP(INDIRECT(ADDRESS(2,COLUMN())),OFFSET($BN$2,0,0,ROW()-1,60),ROW()-1,FALSE))</f>
        <v>89.500957069999998</v>
      </c>
      <c r="AI241">
        <f ca="1">IF(AND(ISNUMBER($AI$910),$B$677=1),$AI$910,HLOOKUP(INDIRECT(ADDRESS(2,COLUMN())),OFFSET($BN$2,0,0,ROW()-1,60),ROW()-1,FALSE))</f>
        <v>29.662426629999999</v>
      </c>
      <c r="AJ241">
        <f ca="1">IF(AND(ISNUMBER($AJ$910),$B$677=1),$AJ$910,HLOOKUP(INDIRECT(ADDRESS(2,COLUMN())),OFFSET($BN$2,0,0,ROW()-1,60),ROW()-1,FALSE))</f>
        <v>8.7177933329999995</v>
      </c>
      <c r="AK241">
        <f ca="1">IF(AND(ISNUMBER($AK$910),$B$677=1),$AK$910,HLOOKUP(INDIRECT(ADDRESS(2,COLUMN())),OFFSET($BN$2,0,0,ROW()-1,60),ROW()-1,FALSE))</f>
        <v>11.661220330000001</v>
      </c>
      <c r="AL241">
        <f ca="1">IF(AND(ISNUMBER($AL$910),$B$677=1),$AL$910,HLOOKUP(INDIRECT(ADDRESS(2,COLUMN())),OFFSET($BN$2,0,0,ROW()-1,60),ROW()-1,FALSE))</f>
        <v>4.4696770509999997</v>
      </c>
      <c r="AM241">
        <f ca="1">IF(AND(ISNUMBER($AM$910),$B$677=1),$AM$910,HLOOKUP(INDIRECT(ADDRESS(2,COLUMN())),OFFSET($BN$2,0,0,ROW()-1,60),ROW()-1,FALSE))</f>
        <v>4.6597739950000001</v>
      </c>
      <c r="AN241">
        <f ca="1">IF(AND(ISNUMBER($AN$910),$B$677=1),$AN$910,HLOOKUP(INDIRECT(ADDRESS(2,COLUMN())),OFFSET($BN$2,0,0,ROW()-1,60),ROW()-1,FALSE))</f>
        <v>3.3920117200000002</v>
      </c>
      <c r="AO241">
        <f ca="1">IF(AND(ISNUMBER($AO$910),$B$677=1),$AO$910,HLOOKUP(INDIRECT(ADDRESS(2,COLUMN())),OFFSET($BN$2,0,0,ROW()-1,60),ROW()-1,FALSE))</f>
        <v>2.8816030869999998</v>
      </c>
      <c r="AP241">
        <f ca="1">IF(AND(ISNUMBER($AP$910),$B$677=1),$AP$910,HLOOKUP(INDIRECT(ADDRESS(2,COLUMN())),OFFSET($BN$2,0,0,ROW()-1,60),ROW()-1,FALSE))</f>
        <v>3.0496441139999999</v>
      </c>
      <c r="AQ241">
        <f ca="1">IF(AND(ISNUMBER($AQ$910),$B$677=1),$AQ$910,HLOOKUP(INDIRECT(ADDRESS(2,COLUMN())),OFFSET($BN$2,0,0,ROW()-1,60),ROW()-1,FALSE))</f>
        <v>18.57365828</v>
      </c>
      <c r="AR241" t="str">
        <f ca="1">IF(AND(ISNUMBER($AR$910),$B$677=1),$AR$910,HLOOKUP(INDIRECT(ADDRESS(2,COLUMN())),OFFSET($BN$2,0,0,ROW()-1,60),ROW()-1,FALSE))</f>
        <v/>
      </c>
      <c r="AS241" t="str">
        <f ca="1">IF(AND(ISNUMBER($AS$910),$B$677=1),$AS$910,HLOOKUP(INDIRECT(ADDRESS(2,COLUMN())),OFFSET($BN$2,0,0,ROW()-1,60),ROW()-1,FALSE))</f>
        <v/>
      </c>
      <c r="AT241" t="str">
        <f ca="1">IF(AND(ISNUMBER($AT$910),$B$677=1),$AT$910,HLOOKUP(INDIRECT(ADDRESS(2,COLUMN())),OFFSET($BN$2,0,0,ROW()-1,60),ROW()-1,FALSE))</f>
        <v/>
      </c>
      <c r="AU241" t="str">
        <f ca="1">IF(AND(ISNUMBER($AU$910),$B$677=1),$AU$910,HLOOKUP(INDIRECT(ADDRESS(2,COLUMN())),OFFSET($BN$2,0,0,ROW()-1,60),ROW()-1,FALSE))</f>
        <v/>
      </c>
      <c r="AV241" t="str">
        <f ca="1">IF(AND(ISNUMBER($AV$910),$B$677=1),$AV$910,HLOOKUP(INDIRECT(ADDRESS(2,COLUMN())),OFFSET($BN$2,0,0,ROW()-1,60),ROW()-1,FALSE))</f>
        <v/>
      </c>
      <c r="AW241" t="str">
        <f ca="1">IF(AND(ISNUMBER($AW$910),$B$677=1),$AW$910,HLOOKUP(INDIRECT(ADDRESS(2,COLUMN())),OFFSET($BN$2,0,0,ROW()-1,60),ROW()-1,FALSE))</f>
        <v/>
      </c>
      <c r="AX241" t="str">
        <f ca="1">IF(AND(ISNUMBER($AX$910),$B$677=1),$AX$910,HLOOKUP(INDIRECT(ADDRESS(2,COLUMN())),OFFSET($BN$2,0,0,ROW()-1,60),ROW()-1,FALSE))</f>
        <v/>
      </c>
      <c r="AY241" t="str">
        <f ca="1">IF(AND(ISNUMBER($AY$910),$B$677=1),$AY$910,HLOOKUP(INDIRECT(ADDRESS(2,COLUMN())),OFFSET($BN$2,0,0,ROW()-1,60),ROW()-1,FALSE))</f>
        <v/>
      </c>
      <c r="AZ241" t="str">
        <f ca="1">IF(AND(ISNUMBER($AZ$910),$B$677=1),$AZ$910,HLOOKUP(INDIRECT(ADDRESS(2,COLUMN())),OFFSET($BN$2,0,0,ROW()-1,60),ROW()-1,FALSE))</f>
        <v/>
      </c>
      <c r="BA241" t="str">
        <f ca="1">IF(AND(ISNUMBER($BA$910),$B$677=1),$BA$910,HLOOKUP(INDIRECT(ADDRESS(2,COLUMN())),OFFSET($BN$2,0,0,ROW()-1,60),ROW()-1,FALSE))</f>
        <v/>
      </c>
      <c r="BB241" t="str">
        <f ca="1">IF(AND(ISNUMBER($BB$910),$B$677=1),$BB$910,HLOOKUP(INDIRECT(ADDRESS(2,COLUMN())),OFFSET($BN$2,0,0,ROW()-1,60),ROW()-1,FALSE))</f>
        <v/>
      </c>
      <c r="BC241" t="str">
        <f ca="1">IF(AND(ISNUMBER($BC$910),$B$677=1),$BC$910,HLOOKUP(INDIRECT(ADDRESS(2,COLUMN())),OFFSET($BN$2,0,0,ROW()-1,60),ROW()-1,FALSE))</f>
        <v/>
      </c>
      <c r="BD241" t="str">
        <f ca="1">IF(AND(ISNUMBER($BD$910),$B$677=1),$BD$910,HLOOKUP(INDIRECT(ADDRESS(2,COLUMN())),OFFSET($BN$2,0,0,ROW()-1,60),ROW()-1,FALSE))</f>
        <v/>
      </c>
      <c r="BE241" t="str">
        <f ca="1">IF(AND(ISNUMBER($BE$910),$B$677=1),$BE$910,HLOOKUP(INDIRECT(ADDRESS(2,COLUMN())),OFFSET($BN$2,0,0,ROW()-1,60),ROW()-1,FALSE))</f>
        <v/>
      </c>
      <c r="BF241" t="str">
        <f ca="1">IF(AND(ISNUMBER($BF$910),$B$677=1),$BF$910,HLOOKUP(INDIRECT(ADDRESS(2,COLUMN())),OFFSET($BN$2,0,0,ROW()-1,60),ROW()-1,FALSE))</f>
        <v/>
      </c>
      <c r="BG241" t="str">
        <f ca="1">IF(AND(ISNUMBER($BG$910),$B$677=1),$BG$910,HLOOKUP(INDIRECT(ADDRESS(2,COLUMN())),OFFSET($BN$2,0,0,ROW()-1,60),ROW()-1,FALSE))</f>
        <v/>
      </c>
      <c r="BH241" t="str">
        <f ca="1">IF(AND(ISNUMBER($BH$910),$B$677=1),$BH$910,HLOOKUP(INDIRECT(ADDRESS(2,COLUMN())),OFFSET($BN$2,0,0,ROW()-1,60),ROW()-1,FALSE))</f>
        <v/>
      </c>
      <c r="BI241" t="str">
        <f ca="1">IF(AND(ISNUMBER($BI$910),$B$677=1),$BI$910,HLOOKUP(INDIRECT(ADDRESS(2,COLUMN())),OFFSET($BN$2,0,0,ROW()-1,60),ROW()-1,FALSE))</f>
        <v/>
      </c>
      <c r="BJ241" t="str">
        <f ca="1">IF(AND(ISNUMBER($BJ$910),$B$677=1),$BJ$910,HLOOKUP(INDIRECT(ADDRESS(2,COLUMN())),OFFSET($BN$2,0,0,ROW()-1,60),ROW()-1,FALSE))</f>
        <v/>
      </c>
      <c r="BK241" t="str">
        <f ca="1">IF(AND(ISNUMBER($BK$910),$B$677=1),$BK$910,HLOOKUP(INDIRECT(ADDRESS(2,COLUMN())),OFFSET($BN$2,0,0,ROW()-1,60),ROW()-1,FALSE))</f>
        <v/>
      </c>
      <c r="BL241" t="str">
        <f ca="1">IF(AND(ISNUMBER($BL$910),$B$677=1),$BL$910,HLOOKUP(INDIRECT(ADDRESS(2,COLUMN())),OFFSET($BN$2,0,0,ROW()-1,60),ROW()-1,FALSE))</f>
        <v/>
      </c>
      <c r="BM241" t="str">
        <f ca="1">IF(AND(ISNUMBER($BM$910),$B$677=1),$BM$910,HLOOKUP(INDIRECT(ADDRESS(2,COLUMN())),OFFSET($BN$2,0,0,ROW()-1,60),ROW()-1,FALSE))</f>
        <v/>
      </c>
      <c r="BN241">
        <f>35.17849855</f>
        <v>35.17849855</v>
      </c>
      <c r="BO241">
        <f>29.21226481</f>
        <v>29.212264810000001</v>
      </c>
      <c r="BP241">
        <f>37.96212707</f>
        <v>37.962127070000001</v>
      </c>
      <c r="BQ241">
        <f>23.7106226</f>
        <v>23.710622600000001</v>
      </c>
      <c r="BR241">
        <f>12.35431998</f>
        <v>12.35431998</v>
      </c>
      <c r="BS241">
        <f>11.24680567</f>
        <v>11.246805670000001</v>
      </c>
      <c r="BT241">
        <f>17.09482145</f>
        <v>17.094821450000001</v>
      </c>
      <c r="BU241">
        <f>11.5026213</f>
        <v>11.502621299999999</v>
      </c>
      <c r="BV241">
        <f>17.36683089</f>
        <v>17.366830889999999</v>
      </c>
      <c r="BW241">
        <f>15.93665894</f>
        <v>15.936658939999999</v>
      </c>
      <c r="BX241">
        <f>7.462273848</f>
        <v>7.4622738479999997</v>
      </c>
      <c r="BY241">
        <f>6.206514902</f>
        <v>6.2065149020000003</v>
      </c>
      <c r="BZ241">
        <f>6.362782923</f>
        <v>6.3627829230000001</v>
      </c>
      <c r="CA241">
        <f>8.780261545</f>
        <v>8.7802615450000001</v>
      </c>
      <c r="CB241">
        <f>9.721434015</f>
        <v>9.7214340149999998</v>
      </c>
      <c r="CC241">
        <f>11.79711516</f>
        <v>11.797115160000001</v>
      </c>
      <c r="CD241">
        <f>15.86229476</f>
        <v>15.862294759999999</v>
      </c>
      <c r="CE241">
        <f>19.58403728</f>
        <v>19.58403728</v>
      </c>
      <c r="CF241">
        <f>13.84713957</f>
        <v>13.84713957</v>
      </c>
      <c r="CG241">
        <f>12.38743304</f>
        <v>12.387433039999999</v>
      </c>
      <c r="CH241">
        <f>8.87114678</f>
        <v>8.8711467800000001</v>
      </c>
      <c r="CI241">
        <f>11.68023932</f>
        <v>11.68023932</v>
      </c>
      <c r="CJ241">
        <f>14.9373413</f>
        <v>14.9373413</v>
      </c>
      <c r="CK241">
        <f>14.55642502</f>
        <v>14.556425020000001</v>
      </c>
      <c r="CL241">
        <f>10.84332971</f>
        <v>10.843329710000001</v>
      </c>
      <c r="CM241">
        <f>7.371348083</f>
        <v>7.371348083</v>
      </c>
      <c r="CN241">
        <f>4.22881879</f>
        <v>4.22881879</v>
      </c>
      <c r="CO241">
        <f>8.175915457</f>
        <v>8.1759154570000003</v>
      </c>
      <c r="CP241">
        <f>89.50095707</f>
        <v>89.500957069999998</v>
      </c>
      <c r="CQ241">
        <f>29.66242663</f>
        <v>29.662426629999999</v>
      </c>
      <c r="CR241">
        <f>8.717793333</f>
        <v>8.7177933329999995</v>
      </c>
      <c r="CS241">
        <f>11.66122033</f>
        <v>11.661220330000001</v>
      </c>
      <c r="CT241">
        <f>4.469677051</f>
        <v>4.4696770509999997</v>
      </c>
      <c r="CU241">
        <f>4.659773995</f>
        <v>4.6597739950000001</v>
      </c>
      <c r="CV241">
        <f>3.39201172</f>
        <v>3.3920117200000002</v>
      </c>
      <c r="CW241">
        <f>2.881603087</f>
        <v>2.8816030869999998</v>
      </c>
      <c r="CX241">
        <f>3.049644114</f>
        <v>3.0496441139999999</v>
      </c>
      <c r="CY241">
        <f>18.57365828</f>
        <v>18.57365828</v>
      </c>
      <c r="CZ241" t="str">
        <f>""</f>
        <v/>
      </c>
      <c r="DA241" t="str">
        <f>""</f>
        <v/>
      </c>
      <c r="DB241" t="str">
        <f>""</f>
        <v/>
      </c>
      <c r="DC241" t="str">
        <f>""</f>
        <v/>
      </c>
      <c r="DD241" t="str">
        <f>""</f>
        <v/>
      </c>
      <c r="DE241" t="str">
        <f>""</f>
        <v/>
      </c>
      <c r="DF241" t="str">
        <f>""</f>
        <v/>
      </c>
      <c r="DG241" t="str">
        <f>""</f>
        <v/>
      </c>
      <c r="DH241" t="str">
        <f>""</f>
        <v/>
      </c>
      <c r="DI241" t="str">
        <f>""</f>
        <v/>
      </c>
      <c r="DJ241" t="str">
        <f>""</f>
        <v/>
      </c>
      <c r="DK241" t="str">
        <f>""</f>
        <v/>
      </c>
      <c r="DL241" t="str">
        <f>""</f>
        <v/>
      </c>
      <c r="DM241" t="str">
        <f>""</f>
        <v/>
      </c>
      <c r="DN241" t="str">
        <f>""</f>
        <v/>
      </c>
      <c r="DO241" t="str">
        <f>""</f>
        <v/>
      </c>
      <c r="DP241" t="str">
        <f>""</f>
        <v/>
      </c>
      <c r="DQ241" t="str">
        <f>""</f>
        <v/>
      </c>
      <c r="DR241" t="str">
        <f>""</f>
        <v/>
      </c>
      <c r="DS241" t="str">
        <f>""</f>
        <v/>
      </c>
      <c r="DT241" t="str">
        <f>""</f>
        <v/>
      </c>
      <c r="DU241" t="str">
        <f>""</f>
        <v/>
      </c>
    </row>
    <row r="242" spans="1:125" x14ac:dyDescent="0.25">
      <c r="A242" t="str">
        <f>"    Suzuki Motor Corp"</f>
        <v xml:space="preserve">    Suzuki Motor Corp</v>
      </c>
      <c r="B242" t="str">
        <f>"7269 JP Equity"</f>
        <v>7269 JP Equity</v>
      </c>
      <c r="C242" t="str">
        <f t="shared" si="15"/>
        <v>RR971</v>
      </c>
      <c r="D242" t="str">
        <f t="shared" si="16"/>
        <v>CURRENT_PX_TO_FREE_CASH_FLOW</v>
      </c>
      <c r="E242" t="str">
        <f t="shared" si="17"/>
        <v>Dynamic</v>
      </c>
      <c r="F242">
        <f ca="1">IF(AND(ISNUMBER($F$911),$B$677=1),$F$911,HLOOKUP(INDIRECT(ADDRESS(2,COLUMN())),OFFSET($BN$2,0,0,ROW()-1,60),ROW()-1,FALSE))</f>
        <v>15.5947832</v>
      </c>
      <c r="G242">
        <f ca="1">IF(AND(ISNUMBER($G$911),$B$677=1),$G$911,HLOOKUP(INDIRECT(ADDRESS(2,COLUMN())),OFFSET($BN$2,0,0,ROW()-1,60),ROW()-1,FALSE))</f>
        <v>15.02529562</v>
      </c>
      <c r="H242">
        <f ca="1">IF(AND(ISNUMBER($H$911),$B$677=1),$H$911,HLOOKUP(INDIRECT(ADDRESS(2,COLUMN())),OFFSET($BN$2,0,0,ROW()-1,60),ROW()-1,FALSE))</f>
        <v>14.90848845</v>
      </c>
      <c r="I242">
        <f ca="1">IF(AND(ISNUMBER($I$911),$B$677=1),$I$911,HLOOKUP(INDIRECT(ADDRESS(2,COLUMN())),OFFSET($BN$2,0,0,ROW()-1,60),ROW()-1,FALSE))</f>
        <v>10.22851728</v>
      </c>
      <c r="J242">
        <f ca="1">IF(AND(ISNUMBER($J$911),$B$677=1),$J$911,HLOOKUP(INDIRECT(ADDRESS(2,COLUMN())),OFFSET($BN$2,0,0,ROW()-1,60),ROW()-1,FALSE))</f>
        <v>10.567306459999999</v>
      </c>
      <c r="K242">
        <f ca="1">IF(AND(ISNUMBER($K$911),$B$677=1),$K$911,HLOOKUP(INDIRECT(ADDRESS(2,COLUMN())),OFFSET($BN$2,0,0,ROW()-1,60),ROW()-1,FALSE))</f>
        <v>14.285327929999999</v>
      </c>
      <c r="L242">
        <f ca="1">IF(AND(ISNUMBER($L$911),$B$677=1),$L$911,HLOOKUP(INDIRECT(ADDRESS(2,COLUMN())),OFFSET($BN$2,0,0,ROW()-1,60),ROW()-1,FALSE))</f>
        <v>11.629127479999999</v>
      </c>
      <c r="M242">
        <f ca="1">IF(AND(ISNUMBER($M$911),$B$677=1),$M$911,HLOOKUP(INDIRECT(ADDRESS(2,COLUMN())),OFFSET($BN$2,0,0,ROW()-1,60),ROW()-1,FALSE))</f>
        <v>20.14808682</v>
      </c>
      <c r="N242">
        <f ca="1">IF(AND(ISNUMBER($N$911),$B$677=1),$N$911,HLOOKUP(INDIRECT(ADDRESS(2,COLUMN())),OFFSET($BN$2,0,0,ROW()-1,60),ROW()-1,FALSE))</f>
        <v>11.70225129</v>
      </c>
      <c r="O242">
        <f ca="1">IF(AND(ISNUMBER($O$911),$B$677=1),$O$911,HLOOKUP(INDIRECT(ADDRESS(2,COLUMN())),OFFSET($BN$2,0,0,ROW()-1,60),ROW()-1,FALSE))</f>
        <v>9.2948830690000008</v>
      </c>
      <c r="P242">
        <f ca="1">IF(AND(ISNUMBER($P$911),$B$677=1),$P$911,HLOOKUP(INDIRECT(ADDRESS(2,COLUMN())),OFFSET($BN$2,0,0,ROW()-1,60),ROW()-1,FALSE))</f>
        <v>7.0000332140000001</v>
      </c>
      <c r="Q242">
        <f ca="1">IF(AND(ISNUMBER($Q$911),$B$677=1),$Q$911,HLOOKUP(INDIRECT(ADDRESS(2,COLUMN())),OFFSET($BN$2,0,0,ROW()-1,60),ROW()-1,FALSE))</f>
        <v>7.5095674959999998</v>
      </c>
      <c r="R242">
        <f ca="1">IF(AND(ISNUMBER($R$911),$B$677=1),$R$911,HLOOKUP(INDIRECT(ADDRESS(2,COLUMN())),OFFSET($BN$2,0,0,ROW()-1,60),ROW()-1,FALSE))</f>
        <v>10.461718940000001</v>
      </c>
      <c r="S242">
        <f ca="1">IF(AND(ISNUMBER($S$911),$B$677=1),$S$911,HLOOKUP(INDIRECT(ADDRESS(2,COLUMN())),OFFSET($BN$2,0,0,ROW()-1,60),ROW()-1,FALSE))</f>
        <v>16.93989972</v>
      </c>
      <c r="T242">
        <f ca="1">IF(AND(ISNUMBER($T$911),$B$677=1),$T$911,HLOOKUP(INDIRECT(ADDRESS(2,COLUMN())),OFFSET($BN$2,0,0,ROW()-1,60),ROW()-1,FALSE))</f>
        <v>32.785111200000003</v>
      </c>
      <c r="U242">
        <f ca="1">IF(AND(ISNUMBER($U$911),$B$677=1),$U$911,HLOOKUP(INDIRECT(ADDRESS(2,COLUMN())),OFFSET($BN$2,0,0,ROW()-1,60),ROW()-1,FALSE))</f>
        <v>18.774405659999999</v>
      </c>
      <c r="V242">
        <f ca="1">IF(AND(ISNUMBER($V$911),$B$677=1),$V$911,HLOOKUP(INDIRECT(ADDRESS(2,COLUMN())),OFFSET($BN$2,0,0,ROW()-1,60),ROW()-1,FALSE))</f>
        <v>32.506041809999999</v>
      </c>
      <c r="W242">
        <f ca="1">IF(AND(ISNUMBER($W$911),$B$677=1),$W$911,HLOOKUP(INDIRECT(ADDRESS(2,COLUMN())),OFFSET($BN$2,0,0,ROW()-1,60),ROW()-1,FALSE))</f>
        <v>78.696978689999995</v>
      </c>
      <c r="X242">
        <f ca="1">IF(AND(ISNUMBER($X$911),$B$677=1),$X$911,HLOOKUP(INDIRECT(ADDRESS(2,COLUMN())),OFFSET($BN$2,0,0,ROW()-1,60),ROW()-1,FALSE))</f>
        <v>37.328222310000001</v>
      </c>
      <c r="Y242">
        <f ca="1">IF(AND(ISNUMBER($Y$911),$B$677=1),$Y$911,HLOOKUP(INDIRECT(ADDRESS(2,COLUMN())),OFFSET($BN$2,0,0,ROW()-1,60),ROW()-1,FALSE))</f>
        <v>22.84605831</v>
      </c>
      <c r="Z242">
        <f ca="1">IF(AND(ISNUMBER($Z$911),$B$677=1),$Z$911,HLOOKUP(INDIRECT(ADDRESS(2,COLUMN())),OFFSET($BN$2,0,0,ROW()-1,60),ROW()-1,FALSE))</f>
        <v>12.788157099999999</v>
      </c>
      <c r="AA242">
        <f ca="1">IF(AND(ISNUMBER($AA$911),$B$677=1),$AA$911,HLOOKUP(INDIRECT(ADDRESS(2,COLUMN())),OFFSET($BN$2,0,0,ROW()-1,60),ROW()-1,FALSE))</f>
        <v>12.132023029999999</v>
      </c>
      <c r="AB242">
        <f ca="1">IF(AND(ISNUMBER($AB$911),$B$677=1),$AB$911,HLOOKUP(INDIRECT(ADDRESS(2,COLUMN())),OFFSET($BN$2,0,0,ROW()-1,60),ROW()-1,FALSE))</f>
        <v>17.363350730000001</v>
      </c>
      <c r="AC242">
        <f ca="1">IF(AND(ISNUMBER($AC$911),$B$677=1),$AC$911,HLOOKUP(INDIRECT(ADDRESS(2,COLUMN())),OFFSET($BN$2,0,0,ROW()-1,60),ROW()-1,FALSE))</f>
        <v>70.058916740000001</v>
      </c>
      <c r="AD242">
        <f ca="1">IF(AND(ISNUMBER($AD$911),$B$677=1),$AD$911,HLOOKUP(INDIRECT(ADDRESS(2,COLUMN())),OFFSET($BN$2,0,0,ROW()-1,60),ROW()-1,FALSE))</f>
        <v>45.322555809999997</v>
      </c>
      <c r="AE242">
        <f ca="1">IF(AND(ISNUMBER($AE$911),$B$677=1),$AE$911,HLOOKUP(INDIRECT(ADDRESS(2,COLUMN())),OFFSET($BN$2,0,0,ROW()-1,60),ROW()-1,FALSE))</f>
        <v>288.00249589999999</v>
      </c>
      <c r="AF242">
        <f ca="1">IF(AND(ISNUMBER($AF$911),$B$677=1),$AF$911,HLOOKUP(INDIRECT(ADDRESS(2,COLUMN())),OFFSET($BN$2,0,0,ROW()-1,60),ROW()-1,FALSE))</f>
        <v>18.034943009999999</v>
      </c>
      <c r="AG242">
        <f ca="1">IF(AND(ISNUMBER($AG$911),$B$677=1),$AG$911,HLOOKUP(INDIRECT(ADDRESS(2,COLUMN())),OFFSET($BN$2,0,0,ROW()-1,60),ROW()-1,FALSE))</f>
        <v>7.8647574499999999</v>
      </c>
      <c r="AH242">
        <f ca="1">IF(AND(ISNUMBER($AH$911),$B$677=1),$AH$911,HLOOKUP(INDIRECT(ADDRESS(2,COLUMN())),OFFSET($BN$2,0,0,ROW()-1,60),ROW()-1,FALSE))</f>
        <v>10.31576634</v>
      </c>
      <c r="AI242">
        <f ca="1">IF(AND(ISNUMBER($AI$911),$B$677=1),$AI$911,HLOOKUP(INDIRECT(ADDRESS(2,COLUMN())),OFFSET($BN$2,0,0,ROW()-1,60),ROW()-1,FALSE))</f>
        <v>7.0372564190000002</v>
      </c>
      <c r="AJ242">
        <f ca="1">IF(AND(ISNUMBER($AJ$911),$B$677=1),$AJ$911,HLOOKUP(INDIRECT(ADDRESS(2,COLUMN())),OFFSET($BN$2,0,0,ROW()-1,60),ROW()-1,FALSE))</f>
        <v>17.154441389999999</v>
      </c>
      <c r="AK242">
        <f ca="1">IF(AND(ISNUMBER($AK$911),$B$677=1),$AK$911,HLOOKUP(INDIRECT(ADDRESS(2,COLUMN())),OFFSET($BN$2,0,0,ROW()-1,60),ROW()-1,FALSE))</f>
        <v>35.17541928</v>
      </c>
      <c r="AL242">
        <f ca="1">IF(AND(ISNUMBER($AL$911),$B$677=1),$AL$911,HLOOKUP(INDIRECT(ADDRESS(2,COLUMN())),OFFSET($BN$2,0,0,ROW()-1,60),ROW()-1,FALSE))</f>
        <v>10.79502555</v>
      </c>
      <c r="AM242">
        <f ca="1">IF(AND(ISNUMBER($AM$911),$B$677=1),$AM$911,HLOOKUP(INDIRECT(ADDRESS(2,COLUMN())),OFFSET($BN$2,0,0,ROW()-1,60),ROW()-1,FALSE))</f>
        <v>10.434329630000001</v>
      </c>
      <c r="AN242">
        <f ca="1">IF(AND(ISNUMBER($AN$911),$B$677=1),$AN$911,HLOOKUP(INDIRECT(ADDRESS(2,COLUMN())),OFFSET($BN$2,0,0,ROW()-1,60),ROW()-1,FALSE))</f>
        <v>3.957400722</v>
      </c>
      <c r="AO242">
        <f ca="1">IF(AND(ISNUMBER($AO$911),$B$677=1),$AO$911,HLOOKUP(INDIRECT(ADDRESS(2,COLUMN())),OFFSET($BN$2,0,0,ROW()-1,60),ROW()-1,FALSE))</f>
        <v>3.173299434</v>
      </c>
      <c r="AP242">
        <f ca="1">IF(AND(ISNUMBER($AP$911),$B$677=1),$AP$911,HLOOKUP(INDIRECT(ADDRESS(2,COLUMN())),OFFSET($BN$2,0,0,ROW()-1,60),ROW()-1,FALSE))</f>
        <v>4.8438023320000001</v>
      </c>
      <c r="AQ242">
        <f ca="1">IF(AND(ISNUMBER($AQ$911),$B$677=1),$AQ$911,HLOOKUP(INDIRECT(ADDRESS(2,COLUMN())),OFFSET($BN$2,0,0,ROW()-1,60),ROW()-1,FALSE))</f>
        <v>10.254685289999999</v>
      </c>
      <c r="AR242" t="str">
        <f ca="1">IF(AND(ISNUMBER($AR$911),$B$677=1),$AR$911,HLOOKUP(INDIRECT(ADDRESS(2,COLUMN())),OFFSET($BN$2,0,0,ROW()-1,60),ROW()-1,FALSE))</f>
        <v/>
      </c>
      <c r="AS242" t="str">
        <f ca="1">IF(AND(ISNUMBER($AS$911),$B$677=1),$AS$911,HLOOKUP(INDIRECT(ADDRESS(2,COLUMN())),OFFSET($BN$2,0,0,ROW()-1,60),ROW()-1,FALSE))</f>
        <v/>
      </c>
      <c r="AT242" t="str">
        <f ca="1">IF(AND(ISNUMBER($AT$911),$B$677=1),$AT$911,HLOOKUP(INDIRECT(ADDRESS(2,COLUMN())),OFFSET($BN$2,0,0,ROW()-1,60),ROW()-1,FALSE))</f>
        <v/>
      </c>
      <c r="AU242" t="str">
        <f ca="1">IF(AND(ISNUMBER($AU$911),$B$677=1),$AU$911,HLOOKUP(INDIRECT(ADDRESS(2,COLUMN())),OFFSET($BN$2,0,0,ROW()-1,60),ROW()-1,FALSE))</f>
        <v/>
      </c>
      <c r="AV242" t="str">
        <f ca="1">IF(AND(ISNUMBER($AV$911),$B$677=1),$AV$911,HLOOKUP(INDIRECT(ADDRESS(2,COLUMN())),OFFSET($BN$2,0,0,ROW()-1,60),ROW()-1,FALSE))</f>
        <v/>
      </c>
      <c r="AW242" t="str">
        <f ca="1">IF(AND(ISNUMBER($AW$911),$B$677=1),$AW$911,HLOOKUP(INDIRECT(ADDRESS(2,COLUMN())),OFFSET($BN$2,0,0,ROW()-1,60),ROW()-1,FALSE))</f>
        <v/>
      </c>
      <c r="AX242">
        <f ca="1">IF(AND(ISNUMBER($AX$911),$B$677=1),$AX$911,HLOOKUP(INDIRECT(ADDRESS(2,COLUMN())),OFFSET($BN$2,0,0,ROW()-1,60),ROW()-1,FALSE))</f>
        <v>67.975727680000006</v>
      </c>
      <c r="AY242">
        <f ca="1">IF(AND(ISNUMBER($AY$911),$B$677=1),$AY$911,HLOOKUP(INDIRECT(ADDRESS(2,COLUMN())),OFFSET($BN$2,0,0,ROW()-1,60),ROW()-1,FALSE))</f>
        <v>89.834589129999998</v>
      </c>
      <c r="AZ242">
        <f ca="1">IF(AND(ISNUMBER($AZ$911),$B$677=1),$AZ$911,HLOOKUP(INDIRECT(ADDRESS(2,COLUMN())),OFFSET($BN$2,0,0,ROW()-1,60),ROW()-1,FALSE))</f>
        <v>90.001950379999997</v>
      </c>
      <c r="BA242">
        <f ca="1">IF(AND(ISNUMBER($BA$911),$B$677=1),$BA$911,HLOOKUP(INDIRECT(ADDRESS(2,COLUMN())),OFFSET($BN$2,0,0,ROW()-1,60),ROW()-1,FALSE))</f>
        <v>53.120115220000002</v>
      </c>
      <c r="BB242">
        <f ca="1">IF(AND(ISNUMBER($BB$911),$B$677=1),$BB$911,HLOOKUP(INDIRECT(ADDRESS(2,COLUMN())),OFFSET($BN$2,0,0,ROW()-1,60),ROW()-1,FALSE))</f>
        <v>46.308728440000003</v>
      </c>
      <c r="BC242">
        <f ca="1">IF(AND(ISNUMBER($BC$911),$B$677=1),$BC$911,HLOOKUP(INDIRECT(ADDRESS(2,COLUMN())),OFFSET($BN$2,0,0,ROW()-1,60),ROW()-1,FALSE))</f>
        <v>26.209700309999999</v>
      </c>
      <c r="BD242">
        <f ca="1">IF(AND(ISNUMBER($BD$911),$B$677=1),$BD$911,HLOOKUP(INDIRECT(ADDRESS(2,COLUMN())),OFFSET($BN$2,0,0,ROW()-1,60),ROW()-1,FALSE))</f>
        <v>22.619152849999999</v>
      </c>
      <c r="BE242">
        <f ca="1">IF(AND(ISNUMBER($BE$911),$B$677=1),$BE$911,HLOOKUP(INDIRECT(ADDRESS(2,COLUMN())),OFFSET($BN$2,0,0,ROW()-1,60),ROW()-1,FALSE))</f>
        <v>14.73055209</v>
      </c>
      <c r="BF242">
        <f ca="1">IF(AND(ISNUMBER($BF$911),$B$677=1),$BF$911,HLOOKUP(INDIRECT(ADDRESS(2,COLUMN())),OFFSET($BN$2,0,0,ROW()-1,60),ROW()-1,FALSE))</f>
        <v>17.98474014</v>
      </c>
      <c r="BG242">
        <f ca="1">IF(AND(ISNUMBER($BG$911),$B$677=1),$BG$911,HLOOKUP(INDIRECT(ADDRESS(2,COLUMN())),OFFSET($BN$2,0,0,ROW()-1,60),ROW()-1,FALSE))</f>
        <v>23.367528270000001</v>
      </c>
      <c r="BH242">
        <f ca="1">IF(AND(ISNUMBER($BH$911),$B$677=1),$BH$911,HLOOKUP(INDIRECT(ADDRESS(2,COLUMN())),OFFSET($BN$2,0,0,ROW()-1,60),ROW()-1,FALSE))</f>
        <v>17.801794869999998</v>
      </c>
      <c r="BI242">
        <f ca="1">IF(AND(ISNUMBER($BI$911),$B$677=1),$BI$911,HLOOKUP(INDIRECT(ADDRESS(2,COLUMN())),OFFSET($BN$2,0,0,ROW()-1,60),ROW()-1,FALSE))</f>
        <v>12.2293574</v>
      </c>
      <c r="BJ242">
        <f ca="1">IF(AND(ISNUMBER($BJ$911),$B$677=1),$BJ$911,HLOOKUP(INDIRECT(ADDRESS(2,COLUMN())),OFFSET($BN$2,0,0,ROW()-1,60),ROW()-1,FALSE))</f>
        <v>12.40614107</v>
      </c>
      <c r="BK242">
        <f ca="1">IF(AND(ISNUMBER($BK$911),$B$677=1),$BK$911,HLOOKUP(INDIRECT(ADDRESS(2,COLUMN())),OFFSET($BN$2,0,0,ROW()-1,60),ROW()-1,FALSE))</f>
        <v>11.01511766</v>
      </c>
      <c r="BL242">
        <f ca="1">IF(AND(ISNUMBER($BL$911),$B$677=1),$BL$911,HLOOKUP(INDIRECT(ADDRESS(2,COLUMN())),OFFSET($BN$2,0,0,ROW()-1,60),ROW()-1,FALSE))</f>
        <v>10.859628900000001</v>
      </c>
      <c r="BM242">
        <f ca="1">IF(AND(ISNUMBER($BM$911),$B$677=1),$BM$911,HLOOKUP(INDIRECT(ADDRESS(2,COLUMN())),OFFSET($BN$2,0,0,ROW()-1,60),ROW()-1,FALSE))</f>
        <v>15.053070959999999</v>
      </c>
      <c r="BN242">
        <f>15.5947832</f>
        <v>15.5947832</v>
      </c>
      <c r="BO242">
        <f>15.02529562</f>
        <v>15.02529562</v>
      </c>
      <c r="BP242">
        <f>14.90848845</f>
        <v>14.90848845</v>
      </c>
      <c r="BQ242">
        <f>10.22851728</f>
        <v>10.22851728</v>
      </c>
      <c r="BR242">
        <f>10.56730646</f>
        <v>10.567306459999999</v>
      </c>
      <c r="BS242">
        <f>14.28532793</f>
        <v>14.285327929999999</v>
      </c>
      <c r="BT242">
        <f>11.62912748</f>
        <v>11.629127479999999</v>
      </c>
      <c r="BU242">
        <f>20.14808682</f>
        <v>20.14808682</v>
      </c>
      <c r="BV242">
        <f>11.70225129</f>
        <v>11.70225129</v>
      </c>
      <c r="BW242">
        <f>9.294883069</f>
        <v>9.2948830690000008</v>
      </c>
      <c r="BX242">
        <f>7.000033214</f>
        <v>7.0000332140000001</v>
      </c>
      <c r="BY242">
        <f>7.509567496</f>
        <v>7.5095674959999998</v>
      </c>
      <c r="BZ242">
        <f>10.46171894</f>
        <v>10.461718940000001</v>
      </c>
      <c r="CA242">
        <f>16.93989972</f>
        <v>16.93989972</v>
      </c>
      <c r="CB242">
        <f>32.7851112</f>
        <v>32.785111200000003</v>
      </c>
      <c r="CC242">
        <f>18.77440566</f>
        <v>18.774405659999999</v>
      </c>
      <c r="CD242">
        <f>32.50604181</f>
        <v>32.506041809999999</v>
      </c>
      <c r="CE242">
        <f>78.69697869</f>
        <v>78.696978689999995</v>
      </c>
      <c r="CF242">
        <f>37.32822231</f>
        <v>37.328222310000001</v>
      </c>
      <c r="CG242">
        <f>22.84605831</f>
        <v>22.84605831</v>
      </c>
      <c r="CH242">
        <f>12.7881571</f>
        <v>12.788157099999999</v>
      </c>
      <c r="CI242">
        <f>12.13202303</f>
        <v>12.132023029999999</v>
      </c>
      <c r="CJ242">
        <f>17.36335073</f>
        <v>17.363350730000001</v>
      </c>
      <c r="CK242">
        <f>70.05891674</f>
        <v>70.058916740000001</v>
      </c>
      <c r="CL242">
        <f>45.32255581</f>
        <v>45.322555809999997</v>
      </c>
      <c r="CM242">
        <f>288.0024959</f>
        <v>288.00249589999999</v>
      </c>
      <c r="CN242">
        <f>18.03494301</f>
        <v>18.034943009999999</v>
      </c>
      <c r="CO242">
        <f>7.86475745</f>
        <v>7.8647574499999999</v>
      </c>
      <c r="CP242">
        <f>10.31576634</f>
        <v>10.31576634</v>
      </c>
      <c r="CQ242">
        <f>7.037256419</f>
        <v>7.0372564190000002</v>
      </c>
      <c r="CR242">
        <f>17.15444139</f>
        <v>17.154441389999999</v>
      </c>
      <c r="CS242">
        <f>35.17541928</f>
        <v>35.17541928</v>
      </c>
      <c r="CT242">
        <f>10.79502555</f>
        <v>10.79502555</v>
      </c>
      <c r="CU242">
        <f>10.43432963</f>
        <v>10.434329630000001</v>
      </c>
      <c r="CV242">
        <f>3.957400722</f>
        <v>3.957400722</v>
      </c>
      <c r="CW242">
        <f>3.173299434</f>
        <v>3.173299434</v>
      </c>
      <c r="CX242">
        <f>4.843802332</f>
        <v>4.8438023320000001</v>
      </c>
      <c r="CY242">
        <f>10.25468529</f>
        <v>10.254685289999999</v>
      </c>
      <c r="CZ242" t="str">
        <f>""</f>
        <v/>
      </c>
      <c r="DA242" t="str">
        <f>""</f>
        <v/>
      </c>
      <c r="DB242" t="str">
        <f>""</f>
        <v/>
      </c>
      <c r="DC242" t="str">
        <f>""</f>
        <v/>
      </c>
      <c r="DD242" t="str">
        <f>""</f>
        <v/>
      </c>
      <c r="DE242" t="str">
        <f>""</f>
        <v/>
      </c>
      <c r="DF242">
        <f>67.97572768</f>
        <v>67.975727680000006</v>
      </c>
      <c r="DG242">
        <f>89.83458913</f>
        <v>89.834589129999998</v>
      </c>
      <c r="DH242">
        <f>90.00195038</f>
        <v>90.001950379999997</v>
      </c>
      <c r="DI242">
        <f>53.12011522</f>
        <v>53.120115220000002</v>
      </c>
      <c r="DJ242">
        <f>46.30872844</f>
        <v>46.308728440000003</v>
      </c>
      <c r="DK242">
        <f>26.20970031</f>
        <v>26.209700309999999</v>
      </c>
      <c r="DL242">
        <f>22.61915285</f>
        <v>22.619152849999999</v>
      </c>
      <c r="DM242">
        <f>14.73055209</f>
        <v>14.73055209</v>
      </c>
      <c r="DN242">
        <f>17.98474014</f>
        <v>17.98474014</v>
      </c>
      <c r="DO242">
        <f>23.36752827</f>
        <v>23.367528270000001</v>
      </c>
      <c r="DP242">
        <f>17.80179487</f>
        <v>17.801794869999998</v>
      </c>
      <c r="DQ242">
        <f>12.2293574</f>
        <v>12.2293574</v>
      </c>
      <c r="DR242">
        <f>12.40614107</f>
        <v>12.40614107</v>
      </c>
      <c r="DS242">
        <f>11.01511766</f>
        <v>11.01511766</v>
      </c>
      <c r="DT242">
        <f>10.8596289</f>
        <v>10.859628900000001</v>
      </c>
      <c r="DU242">
        <f>15.05307096</f>
        <v>15.053070959999999</v>
      </c>
    </row>
    <row r="243" spans="1:125" x14ac:dyDescent="0.25">
      <c r="A243" t="str">
        <f>"    Tata Motors Ltd"</f>
        <v xml:space="preserve">    Tata Motors Ltd</v>
      </c>
      <c r="B243" t="str">
        <f>"TTMT IN Equity"</f>
        <v>TTMT IN Equity</v>
      </c>
      <c r="C243" t="str">
        <f t="shared" si="15"/>
        <v>RR971</v>
      </c>
      <c r="D243" t="str">
        <f t="shared" si="16"/>
        <v>CURRENT_PX_TO_FREE_CASH_FLOW</v>
      </c>
      <c r="E243" t="str">
        <f t="shared" si="17"/>
        <v>Dynamic</v>
      </c>
      <c r="F243" t="str">
        <f ca="1">IF(AND(ISNUMBER($F$912),$B$677=1),$F$912,HLOOKUP(INDIRECT(ADDRESS(2,COLUMN())),OFFSET($BN$2,0,0,ROW()-1,60),ROW()-1,FALSE))</f>
        <v/>
      </c>
      <c r="G243" t="str">
        <f ca="1">IF(AND(ISNUMBER($G$912),$B$677=1),$G$912,HLOOKUP(INDIRECT(ADDRESS(2,COLUMN())),OFFSET($BN$2,0,0,ROW()-1,60),ROW()-1,FALSE))</f>
        <v/>
      </c>
      <c r="H243" t="str">
        <f ca="1">IF(AND(ISNUMBER($H$912),$B$677=1),$H$912,HLOOKUP(INDIRECT(ADDRESS(2,COLUMN())),OFFSET($BN$2,0,0,ROW()-1,60),ROW()-1,FALSE))</f>
        <v/>
      </c>
      <c r="I243" t="str">
        <f ca="1">IF(AND(ISNUMBER($I$912),$B$677=1),$I$912,HLOOKUP(INDIRECT(ADDRESS(2,COLUMN())),OFFSET($BN$2,0,0,ROW()-1,60),ROW()-1,FALSE))</f>
        <v/>
      </c>
      <c r="J243" t="str">
        <f ca="1">IF(AND(ISNUMBER($J$912),$B$677=1),$J$912,HLOOKUP(INDIRECT(ADDRESS(2,COLUMN())),OFFSET($BN$2,0,0,ROW()-1,60),ROW()-1,FALSE))</f>
        <v/>
      </c>
      <c r="K243" t="str">
        <f ca="1">IF(AND(ISNUMBER($K$912),$B$677=1),$K$912,HLOOKUP(INDIRECT(ADDRESS(2,COLUMN())),OFFSET($BN$2,0,0,ROW()-1,60),ROW()-1,FALSE))</f>
        <v/>
      </c>
      <c r="L243" t="str">
        <f ca="1">IF(AND(ISNUMBER($L$912),$B$677=1),$L$912,HLOOKUP(INDIRECT(ADDRESS(2,COLUMN())),OFFSET($BN$2,0,0,ROW()-1,60),ROW()-1,FALSE))</f>
        <v/>
      </c>
      <c r="M243" t="str">
        <f ca="1">IF(AND(ISNUMBER($M$912),$B$677=1),$M$912,HLOOKUP(INDIRECT(ADDRESS(2,COLUMN())),OFFSET($BN$2,0,0,ROW()-1,60),ROW()-1,FALSE))</f>
        <v/>
      </c>
      <c r="N243" t="str">
        <f ca="1">IF(AND(ISNUMBER($N$912),$B$677=1),$N$912,HLOOKUP(INDIRECT(ADDRESS(2,COLUMN())),OFFSET($BN$2,0,0,ROW()-1,60),ROW()-1,FALSE))</f>
        <v/>
      </c>
      <c r="O243" t="str">
        <f ca="1">IF(AND(ISNUMBER($O$912),$B$677=1),$O$912,HLOOKUP(INDIRECT(ADDRESS(2,COLUMN())),OFFSET($BN$2,0,0,ROW()-1,60),ROW()-1,FALSE))</f>
        <v/>
      </c>
      <c r="P243" t="str">
        <f ca="1">IF(AND(ISNUMBER($P$912),$B$677=1),$P$912,HLOOKUP(INDIRECT(ADDRESS(2,COLUMN())),OFFSET($BN$2,0,0,ROW()-1,60),ROW()-1,FALSE))</f>
        <v/>
      </c>
      <c r="Q243" t="str">
        <f ca="1">IF(AND(ISNUMBER($Q$912),$B$677=1),$Q$912,HLOOKUP(INDIRECT(ADDRESS(2,COLUMN())),OFFSET($BN$2,0,0,ROW()-1,60),ROW()-1,FALSE))</f>
        <v/>
      </c>
      <c r="R243" t="str">
        <f ca="1">IF(AND(ISNUMBER($R$912),$B$677=1),$R$912,HLOOKUP(INDIRECT(ADDRESS(2,COLUMN())),OFFSET($BN$2,0,0,ROW()-1,60),ROW()-1,FALSE))</f>
        <v/>
      </c>
      <c r="S243" t="str">
        <f ca="1">IF(AND(ISNUMBER($S$912),$B$677=1),$S$912,HLOOKUP(INDIRECT(ADDRESS(2,COLUMN())),OFFSET($BN$2,0,0,ROW()-1,60),ROW()-1,FALSE))</f>
        <v/>
      </c>
      <c r="T243" t="str">
        <f ca="1">IF(AND(ISNUMBER($T$912),$B$677=1),$T$912,HLOOKUP(INDIRECT(ADDRESS(2,COLUMN())),OFFSET($BN$2,0,0,ROW()-1,60),ROW()-1,FALSE))</f>
        <v/>
      </c>
      <c r="U243" t="str">
        <f ca="1">IF(AND(ISNUMBER($U$912),$B$677=1),$U$912,HLOOKUP(INDIRECT(ADDRESS(2,COLUMN())),OFFSET($BN$2,0,0,ROW()-1,60),ROW()-1,FALSE))</f>
        <v/>
      </c>
      <c r="V243" t="str">
        <f ca="1">IF(AND(ISNUMBER($V$912),$B$677=1),$V$912,HLOOKUP(INDIRECT(ADDRESS(2,COLUMN())),OFFSET($BN$2,0,0,ROW()-1,60),ROW()-1,FALSE))</f>
        <v/>
      </c>
      <c r="W243" t="str">
        <f ca="1">IF(AND(ISNUMBER($W$912),$B$677=1),$W$912,HLOOKUP(INDIRECT(ADDRESS(2,COLUMN())),OFFSET($BN$2,0,0,ROW()-1,60),ROW()-1,FALSE))</f>
        <v/>
      </c>
      <c r="X243" t="str">
        <f ca="1">IF(AND(ISNUMBER($X$912),$B$677=1),$X$912,HLOOKUP(INDIRECT(ADDRESS(2,COLUMN())),OFFSET($BN$2,0,0,ROW()-1,60),ROW()-1,FALSE))</f>
        <v/>
      </c>
      <c r="Y243" t="str">
        <f ca="1">IF(AND(ISNUMBER($Y$912),$B$677=1),$Y$912,HLOOKUP(INDIRECT(ADDRESS(2,COLUMN())),OFFSET($BN$2,0,0,ROW()-1,60),ROW()-1,FALSE))</f>
        <v/>
      </c>
      <c r="Z243" t="str">
        <f ca="1">IF(AND(ISNUMBER($Z$912),$B$677=1),$Z$912,HLOOKUP(INDIRECT(ADDRESS(2,COLUMN())),OFFSET($BN$2,0,0,ROW()-1,60),ROW()-1,FALSE))</f>
        <v/>
      </c>
      <c r="AA243" t="str">
        <f ca="1">IF(AND(ISNUMBER($AA$912),$B$677=1),$AA$912,HLOOKUP(INDIRECT(ADDRESS(2,COLUMN())),OFFSET($BN$2,0,0,ROW()-1,60),ROW()-1,FALSE))</f>
        <v/>
      </c>
      <c r="AB243" t="str">
        <f ca="1">IF(AND(ISNUMBER($AB$912),$B$677=1),$AB$912,HLOOKUP(INDIRECT(ADDRESS(2,COLUMN())),OFFSET($BN$2,0,0,ROW()-1,60),ROW()-1,FALSE))</f>
        <v/>
      </c>
      <c r="AC243" t="str">
        <f ca="1">IF(AND(ISNUMBER($AC$912),$B$677=1),$AC$912,HLOOKUP(INDIRECT(ADDRESS(2,COLUMN())),OFFSET($BN$2,0,0,ROW()-1,60),ROW()-1,FALSE))</f>
        <v/>
      </c>
      <c r="AD243" t="str">
        <f ca="1">IF(AND(ISNUMBER($AD$912),$B$677=1),$AD$912,HLOOKUP(INDIRECT(ADDRESS(2,COLUMN())),OFFSET($BN$2,0,0,ROW()-1,60),ROW()-1,FALSE))</f>
        <v/>
      </c>
      <c r="AE243" t="str">
        <f ca="1">IF(AND(ISNUMBER($AE$912),$B$677=1),$AE$912,HLOOKUP(INDIRECT(ADDRESS(2,COLUMN())),OFFSET($BN$2,0,0,ROW()-1,60),ROW()-1,FALSE))</f>
        <v/>
      </c>
      <c r="AF243" t="str">
        <f ca="1">IF(AND(ISNUMBER($AF$912),$B$677=1),$AF$912,HLOOKUP(INDIRECT(ADDRESS(2,COLUMN())),OFFSET($BN$2,0,0,ROW()-1,60),ROW()-1,FALSE))</f>
        <v/>
      </c>
      <c r="AG243" t="str">
        <f ca="1">IF(AND(ISNUMBER($AG$912),$B$677=1),$AG$912,HLOOKUP(INDIRECT(ADDRESS(2,COLUMN())),OFFSET($BN$2,0,0,ROW()-1,60),ROW()-1,FALSE))</f>
        <v/>
      </c>
      <c r="AH243" t="str">
        <f ca="1">IF(AND(ISNUMBER($AH$912),$B$677=1),$AH$912,HLOOKUP(INDIRECT(ADDRESS(2,COLUMN())),OFFSET($BN$2,0,0,ROW()-1,60),ROW()-1,FALSE))</f>
        <v/>
      </c>
      <c r="AI243" t="str">
        <f ca="1">IF(AND(ISNUMBER($AI$912),$B$677=1),$AI$912,HLOOKUP(INDIRECT(ADDRESS(2,COLUMN())),OFFSET($BN$2,0,0,ROW()-1,60),ROW()-1,FALSE))</f>
        <v/>
      </c>
      <c r="AJ243" t="str">
        <f ca="1">IF(AND(ISNUMBER($AJ$912),$B$677=1),$AJ$912,HLOOKUP(INDIRECT(ADDRESS(2,COLUMN())),OFFSET($BN$2,0,0,ROW()-1,60),ROW()-1,FALSE))</f>
        <v/>
      </c>
      <c r="AK243" t="str">
        <f ca="1">IF(AND(ISNUMBER($AK$912),$B$677=1),$AK$912,HLOOKUP(INDIRECT(ADDRESS(2,COLUMN())),OFFSET($BN$2,0,0,ROW()-1,60),ROW()-1,FALSE))</f>
        <v/>
      </c>
      <c r="AL243" t="str">
        <f ca="1">IF(AND(ISNUMBER($AL$912),$B$677=1),$AL$912,HLOOKUP(INDIRECT(ADDRESS(2,COLUMN())),OFFSET($BN$2,0,0,ROW()-1,60),ROW()-1,FALSE))</f>
        <v/>
      </c>
      <c r="AM243" t="str">
        <f ca="1">IF(AND(ISNUMBER($AM$912),$B$677=1),$AM$912,HLOOKUP(INDIRECT(ADDRESS(2,COLUMN())),OFFSET($BN$2,0,0,ROW()-1,60),ROW()-1,FALSE))</f>
        <v/>
      </c>
      <c r="AN243" t="str">
        <f ca="1">IF(AND(ISNUMBER($AN$912),$B$677=1),$AN$912,HLOOKUP(INDIRECT(ADDRESS(2,COLUMN())),OFFSET($BN$2,0,0,ROW()-1,60),ROW()-1,FALSE))</f>
        <v/>
      </c>
      <c r="AO243" t="str">
        <f ca="1">IF(AND(ISNUMBER($AO$912),$B$677=1),$AO$912,HLOOKUP(INDIRECT(ADDRESS(2,COLUMN())),OFFSET($BN$2,0,0,ROW()-1,60),ROW()-1,FALSE))</f>
        <v/>
      </c>
      <c r="AP243" t="str">
        <f ca="1">IF(AND(ISNUMBER($AP$912),$B$677=1),$AP$912,HLOOKUP(INDIRECT(ADDRESS(2,COLUMN())),OFFSET($BN$2,0,0,ROW()-1,60),ROW()-1,FALSE))</f>
        <v/>
      </c>
      <c r="AQ243" t="str">
        <f ca="1">IF(AND(ISNUMBER($AQ$912),$B$677=1),$AQ$912,HLOOKUP(INDIRECT(ADDRESS(2,COLUMN())),OFFSET($BN$2,0,0,ROW()-1,60),ROW()-1,FALSE))</f>
        <v/>
      </c>
      <c r="AR243" t="str">
        <f ca="1">IF(AND(ISNUMBER($AR$912),$B$677=1),$AR$912,HLOOKUP(INDIRECT(ADDRESS(2,COLUMN())),OFFSET($BN$2,0,0,ROW()-1,60),ROW()-1,FALSE))</f>
        <v/>
      </c>
      <c r="AS243" t="str">
        <f ca="1">IF(AND(ISNUMBER($AS$912),$B$677=1),$AS$912,HLOOKUP(INDIRECT(ADDRESS(2,COLUMN())),OFFSET($BN$2,0,0,ROW()-1,60),ROW()-1,FALSE))</f>
        <v/>
      </c>
      <c r="AT243" t="str">
        <f ca="1">IF(AND(ISNUMBER($AT$912),$B$677=1),$AT$912,HLOOKUP(INDIRECT(ADDRESS(2,COLUMN())),OFFSET($BN$2,0,0,ROW()-1,60),ROW()-1,FALSE))</f>
        <v/>
      </c>
      <c r="AU243" t="str">
        <f ca="1">IF(AND(ISNUMBER($AU$912),$B$677=1),$AU$912,HLOOKUP(INDIRECT(ADDRESS(2,COLUMN())),OFFSET($BN$2,0,0,ROW()-1,60),ROW()-1,FALSE))</f>
        <v/>
      </c>
      <c r="AV243" t="str">
        <f ca="1">IF(AND(ISNUMBER($AV$912),$B$677=1),$AV$912,HLOOKUP(INDIRECT(ADDRESS(2,COLUMN())),OFFSET($BN$2,0,0,ROW()-1,60),ROW()-1,FALSE))</f>
        <v/>
      </c>
      <c r="AW243" t="str">
        <f ca="1">IF(AND(ISNUMBER($AW$912),$B$677=1),$AW$912,HLOOKUP(INDIRECT(ADDRESS(2,COLUMN())),OFFSET($BN$2,0,0,ROW()-1,60),ROW()-1,FALSE))</f>
        <v/>
      </c>
      <c r="AX243" t="str">
        <f ca="1">IF(AND(ISNUMBER($AX$912),$B$677=1),$AX$912,HLOOKUP(INDIRECT(ADDRESS(2,COLUMN())),OFFSET($BN$2,0,0,ROW()-1,60),ROW()-1,FALSE))</f>
        <v/>
      </c>
      <c r="AY243" t="str">
        <f ca="1">IF(AND(ISNUMBER($AY$912),$B$677=1),$AY$912,HLOOKUP(INDIRECT(ADDRESS(2,COLUMN())),OFFSET($BN$2,0,0,ROW()-1,60),ROW()-1,FALSE))</f>
        <v/>
      </c>
      <c r="AZ243" t="str">
        <f ca="1">IF(AND(ISNUMBER($AZ$912),$B$677=1),$AZ$912,HLOOKUP(INDIRECT(ADDRESS(2,COLUMN())),OFFSET($BN$2,0,0,ROW()-1,60),ROW()-1,FALSE))</f>
        <v/>
      </c>
      <c r="BA243" t="str">
        <f ca="1">IF(AND(ISNUMBER($BA$912),$B$677=1),$BA$912,HLOOKUP(INDIRECT(ADDRESS(2,COLUMN())),OFFSET($BN$2,0,0,ROW()-1,60),ROW()-1,FALSE))</f>
        <v/>
      </c>
      <c r="BB243" t="str">
        <f ca="1">IF(AND(ISNUMBER($BB$912),$B$677=1),$BB$912,HLOOKUP(INDIRECT(ADDRESS(2,COLUMN())),OFFSET($BN$2,0,0,ROW()-1,60),ROW()-1,FALSE))</f>
        <v/>
      </c>
      <c r="BC243" t="str">
        <f ca="1">IF(AND(ISNUMBER($BC$912),$B$677=1),$BC$912,HLOOKUP(INDIRECT(ADDRESS(2,COLUMN())),OFFSET($BN$2,0,0,ROW()-1,60),ROW()-1,FALSE))</f>
        <v/>
      </c>
      <c r="BD243" t="str">
        <f ca="1">IF(AND(ISNUMBER($BD$912),$B$677=1),$BD$912,HLOOKUP(INDIRECT(ADDRESS(2,COLUMN())),OFFSET($BN$2,0,0,ROW()-1,60),ROW()-1,FALSE))</f>
        <v/>
      </c>
      <c r="BE243" t="str">
        <f ca="1">IF(AND(ISNUMBER($BE$912),$B$677=1),$BE$912,HLOOKUP(INDIRECT(ADDRESS(2,COLUMN())),OFFSET($BN$2,0,0,ROW()-1,60),ROW()-1,FALSE))</f>
        <v/>
      </c>
      <c r="BF243" t="str">
        <f ca="1">IF(AND(ISNUMBER($BF$912),$B$677=1),$BF$912,HLOOKUP(INDIRECT(ADDRESS(2,COLUMN())),OFFSET($BN$2,0,0,ROW()-1,60),ROW()-1,FALSE))</f>
        <v/>
      </c>
      <c r="BG243" t="str">
        <f ca="1">IF(AND(ISNUMBER($BG$912),$B$677=1),$BG$912,HLOOKUP(INDIRECT(ADDRESS(2,COLUMN())),OFFSET($BN$2,0,0,ROW()-1,60),ROW()-1,FALSE))</f>
        <v/>
      </c>
      <c r="BH243" t="str">
        <f ca="1">IF(AND(ISNUMBER($BH$912),$B$677=1),$BH$912,HLOOKUP(INDIRECT(ADDRESS(2,COLUMN())),OFFSET($BN$2,0,0,ROW()-1,60),ROW()-1,FALSE))</f>
        <v/>
      </c>
      <c r="BI243" t="str">
        <f ca="1">IF(AND(ISNUMBER($BI$912),$B$677=1),$BI$912,HLOOKUP(INDIRECT(ADDRESS(2,COLUMN())),OFFSET($BN$2,0,0,ROW()-1,60),ROW()-1,FALSE))</f>
        <v/>
      </c>
      <c r="BJ243" t="str">
        <f ca="1">IF(AND(ISNUMBER($BJ$912),$B$677=1),$BJ$912,HLOOKUP(INDIRECT(ADDRESS(2,COLUMN())),OFFSET($BN$2,0,0,ROW()-1,60),ROW()-1,FALSE))</f>
        <v/>
      </c>
      <c r="BK243" t="str">
        <f ca="1">IF(AND(ISNUMBER($BK$912),$B$677=1),$BK$912,HLOOKUP(INDIRECT(ADDRESS(2,COLUMN())),OFFSET($BN$2,0,0,ROW()-1,60),ROW()-1,FALSE))</f>
        <v/>
      </c>
      <c r="BL243" t="str">
        <f ca="1">IF(AND(ISNUMBER($BL$912),$B$677=1),$BL$912,HLOOKUP(INDIRECT(ADDRESS(2,COLUMN())),OFFSET($BN$2,0,0,ROW()-1,60),ROW()-1,FALSE))</f>
        <v/>
      </c>
      <c r="BM243" t="str">
        <f ca="1">IF(AND(ISNUMBER($BM$912),$B$677=1),$BM$912,HLOOKUP(INDIRECT(ADDRESS(2,COLUMN())),OFFSET($BN$2,0,0,ROW()-1,60),ROW()-1,FALSE))</f>
        <v/>
      </c>
      <c r="BN243" t="str">
        <f>""</f>
        <v/>
      </c>
      <c r="BO243" t="str">
        <f>""</f>
        <v/>
      </c>
      <c r="BP243" t="str">
        <f>""</f>
        <v/>
      </c>
      <c r="BQ243" t="str">
        <f>""</f>
        <v/>
      </c>
      <c r="BR243" t="str">
        <f>""</f>
        <v/>
      </c>
      <c r="BS243" t="str">
        <f>""</f>
        <v/>
      </c>
      <c r="BT243" t="str">
        <f>""</f>
        <v/>
      </c>
      <c r="BU243" t="str">
        <f>""</f>
        <v/>
      </c>
      <c r="BV243" t="str">
        <f>""</f>
        <v/>
      </c>
      <c r="BW243" t="str">
        <f>""</f>
        <v/>
      </c>
      <c r="BX243" t="str">
        <f>""</f>
        <v/>
      </c>
      <c r="BY243" t="str">
        <f>""</f>
        <v/>
      </c>
      <c r="BZ243" t="str">
        <f>""</f>
        <v/>
      </c>
      <c r="CA243" t="str">
        <f>""</f>
        <v/>
      </c>
      <c r="CB243" t="str">
        <f>""</f>
        <v/>
      </c>
      <c r="CC243" t="str">
        <f>""</f>
        <v/>
      </c>
      <c r="CD243" t="str">
        <f>""</f>
        <v/>
      </c>
      <c r="CE243" t="str">
        <f>""</f>
        <v/>
      </c>
      <c r="CF243" t="str">
        <f>""</f>
        <v/>
      </c>
      <c r="CG243" t="str">
        <f>""</f>
        <v/>
      </c>
      <c r="CH243" t="str">
        <f>""</f>
        <v/>
      </c>
      <c r="CI243" t="str">
        <f>""</f>
        <v/>
      </c>
      <c r="CJ243" t="str">
        <f>""</f>
        <v/>
      </c>
      <c r="CK243" t="str">
        <f>""</f>
        <v/>
      </c>
      <c r="CL243" t="str">
        <f>""</f>
        <v/>
      </c>
      <c r="CM243" t="str">
        <f>""</f>
        <v/>
      </c>
      <c r="CN243" t="str">
        <f>""</f>
        <v/>
      </c>
      <c r="CO243" t="str">
        <f>""</f>
        <v/>
      </c>
      <c r="CP243" t="str">
        <f>""</f>
        <v/>
      </c>
      <c r="CQ243" t="str">
        <f>""</f>
        <v/>
      </c>
      <c r="CR243" t="str">
        <f>""</f>
        <v/>
      </c>
      <c r="CS243" t="str">
        <f>""</f>
        <v/>
      </c>
      <c r="CT243" t="str">
        <f>""</f>
        <v/>
      </c>
      <c r="CU243" t="str">
        <f>""</f>
        <v/>
      </c>
      <c r="CV243" t="str">
        <f>""</f>
        <v/>
      </c>
      <c r="CW243" t="str">
        <f>""</f>
        <v/>
      </c>
      <c r="CX243" t="str">
        <f>""</f>
        <v/>
      </c>
      <c r="CY243" t="str">
        <f>""</f>
        <v/>
      </c>
      <c r="CZ243" t="str">
        <f>""</f>
        <v/>
      </c>
      <c r="DA243" t="str">
        <f>""</f>
        <v/>
      </c>
      <c r="DB243" t="str">
        <f>""</f>
        <v/>
      </c>
      <c r="DC243" t="str">
        <f>""</f>
        <v/>
      </c>
      <c r="DD243" t="str">
        <f>""</f>
        <v/>
      </c>
      <c r="DE243" t="str">
        <f>""</f>
        <v/>
      </c>
      <c r="DF243" t="str">
        <f>""</f>
        <v/>
      </c>
      <c r="DG243" t="str">
        <f>""</f>
        <v/>
      </c>
      <c r="DH243" t="str">
        <f>""</f>
        <v/>
      </c>
      <c r="DI243" t="str">
        <f>""</f>
        <v/>
      </c>
      <c r="DJ243" t="str">
        <f>""</f>
        <v/>
      </c>
      <c r="DK243" t="str">
        <f>""</f>
        <v/>
      </c>
      <c r="DL243" t="str">
        <f>""</f>
        <v/>
      </c>
      <c r="DM243" t="str">
        <f>""</f>
        <v/>
      </c>
      <c r="DN243" t="str">
        <f>""</f>
        <v/>
      </c>
      <c r="DO243" t="str">
        <f>""</f>
        <v/>
      </c>
      <c r="DP243" t="str">
        <f>""</f>
        <v/>
      </c>
      <c r="DQ243" t="str">
        <f>""</f>
        <v/>
      </c>
      <c r="DR243" t="str">
        <f>""</f>
        <v/>
      </c>
      <c r="DS243" t="str">
        <f>""</f>
        <v/>
      </c>
      <c r="DT243" t="str">
        <f>""</f>
        <v/>
      </c>
      <c r="DU243" t="str">
        <f>""</f>
        <v/>
      </c>
    </row>
    <row r="244" spans="1:125" x14ac:dyDescent="0.25">
      <c r="A244" t="str">
        <f>"    Tesla Inc"</f>
        <v xml:space="preserve">    Tesla Inc</v>
      </c>
      <c r="B244" t="str">
        <f>"TSLA US Equity"</f>
        <v>TSLA US Equity</v>
      </c>
      <c r="C244" t="str">
        <f t="shared" si="15"/>
        <v>RR971</v>
      </c>
      <c r="D244" t="str">
        <f t="shared" si="16"/>
        <v>CURRENT_PX_TO_FREE_CASH_FLOW</v>
      </c>
      <c r="E244" t="str">
        <f t="shared" si="17"/>
        <v>Dynamic</v>
      </c>
      <c r="F244" t="str">
        <f ca="1">IF(AND(ISNUMBER($F$913),$B$677=1),$F$913,HLOOKUP(INDIRECT(ADDRESS(2,COLUMN())),OFFSET($BN$2,0,0,ROW()-1,60),ROW()-1,FALSE))</f>
        <v/>
      </c>
      <c r="G244" t="str">
        <f ca="1">IF(AND(ISNUMBER($G$913),$B$677=1),$G$913,HLOOKUP(INDIRECT(ADDRESS(2,COLUMN())),OFFSET($BN$2,0,0,ROW()-1,60),ROW()-1,FALSE))</f>
        <v/>
      </c>
      <c r="H244" t="str">
        <f ca="1">IF(AND(ISNUMBER($H$913),$B$677=1),$H$913,HLOOKUP(INDIRECT(ADDRESS(2,COLUMN())),OFFSET($BN$2,0,0,ROW()-1,60),ROW()-1,FALSE))</f>
        <v/>
      </c>
      <c r="I244" t="str">
        <f ca="1">IF(AND(ISNUMBER($I$913),$B$677=1),$I$913,HLOOKUP(INDIRECT(ADDRESS(2,COLUMN())),OFFSET($BN$2,0,0,ROW()-1,60),ROW()-1,FALSE))</f>
        <v/>
      </c>
      <c r="J244" t="str">
        <f ca="1">IF(AND(ISNUMBER($J$913),$B$677=1),$J$913,HLOOKUP(INDIRECT(ADDRESS(2,COLUMN())),OFFSET($BN$2,0,0,ROW()-1,60),ROW()-1,FALSE))</f>
        <v/>
      </c>
      <c r="K244" t="str">
        <f ca="1">IF(AND(ISNUMBER($K$913),$B$677=1),$K$913,HLOOKUP(INDIRECT(ADDRESS(2,COLUMN())),OFFSET($BN$2,0,0,ROW()-1,60),ROW()-1,FALSE))</f>
        <v/>
      </c>
      <c r="L244" t="str">
        <f ca="1">IF(AND(ISNUMBER($L$913),$B$677=1),$L$913,HLOOKUP(INDIRECT(ADDRESS(2,COLUMN())),OFFSET($BN$2,0,0,ROW()-1,60),ROW()-1,FALSE))</f>
        <v/>
      </c>
      <c r="M244" t="str">
        <f ca="1">IF(AND(ISNUMBER($M$913),$B$677=1),$M$913,HLOOKUP(INDIRECT(ADDRESS(2,COLUMN())),OFFSET($BN$2,0,0,ROW()-1,60),ROW()-1,FALSE))</f>
        <v/>
      </c>
      <c r="N244" t="str">
        <f ca="1">IF(AND(ISNUMBER($N$913),$B$677=1),$N$913,HLOOKUP(INDIRECT(ADDRESS(2,COLUMN())),OFFSET($BN$2,0,0,ROW()-1,60),ROW()-1,FALSE))</f>
        <v/>
      </c>
      <c r="O244" t="str">
        <f ca="1">IF(AND(ISNUMBER($O$913),$B$677=1),$O$913,HLOOKUP(INDIRECT(ADDRESS(2,COLUMN())),OFFSET($BN$2,0,0,ROW()-1,60),ROW()-1,FALSE))</f>
        <v/>
      </c>
      <c r="P244" t="str">
        <f ca="1">IF(AND(ISNUMBER($P$913),$B$677=1),$P$913,HLOOKUP(INDIRECT(ADDRESS(2,COLUMN())),OFFSET($BN$2,0,0,ROW()-1,60),ROW()-1,FALSE))</f>
        <v/>
      </c>
      <c r="Q244" t="str">
        <f ca="1">IF(AND(ISNUMBER($Q$913),$B$677=1),$Q$913,HLOOKUP(INDIRECT(ADDRESS(2,COLUMN())),OFFSET($BN$2,0,0,ROW()-1,60),ROW()-1,FALSE))</f>
        <v/>
      </c>
      <c r="R244" t="str">
        <f ca="1">IF(AND(ISNUMBER($R$913),$B$677=1),$R$913,HLOOKUP(INDIRECT(ADDRESS(2,COLUMN())),OFFSET($BN$2,0,0,ROW()-1,60),ROW()-1,FALSE))</f>
        <v/>
      </c>
      <c r="S244" t="str">
        <f ca="1">IF(AND(ISNUMBER($S$913),$B$677=1),$S$913,HLOOKUP(INDIRECT(ADDRESS(2,COLUMN())),OFFSET($BN$2,0,0,ROW()-1,60),ROW()-1,FALSE))</f>
        <v/>
      </c>
      <c r="T244" t="str">
        <f ca="1">IF(AND(ISNUMBER($T$913),$B$677=1),$T$913,HLOOKUP(INDIRECT(ADDRESS(2,COLUMN())),OFFSET($BN$2,0,0,ROW()-1,60),ROW()-1,FALSE))</f>
        <v/>
      </c>
      <c r="U244" t="str">
        <f ca="1">IF(AND(ISNUMBER($U$913),$B$677=1),$U$913,HLOOKUP(INDIRECT(ADDRESS(2,COLUMN())),OFFSET($BN$2,0,0,ROW()-1,60),ROW()-1,FALSE))</f>
        <v/>
      </c>
      <c r="V244" t="str">
        <f ca="1">IF(AND(ISNUMBER($V$913),$B$677=1),$V$913,HLOOKUP(INDIRECT(ADDRESS(2,COLUMN())),OFFSET($BN$2,0,0,ROW()-1,60),ROW()-1,FALSE))</f>
        <v/>
      </c>
      <c r="W244" t="str">
        <f ca="1">IF(AND(ISNUMBER($W$913),$B$677=1),$W$913,HLOOKUP(INDIRECT(ADDRESS(2,COLUMN())),OFFSET($BN$2,0,0,ROW()-1,60),ROW()-1,FALSE))</f>
        <v/>
      </c>
      <c r="X244" t="str">
        <f ca="1">IF(AND(ISNUMBER($X$913),$B$677=1),$X$913,HLOOKUP(INDIRECT(ADDRESS(2,COLUMN())),OFFSET($BN$2,0,0,ROW()-1,60),ROW()-1,FALSE))</f>
        <v/>
      </c>
      <c r="Y244" t="str">
        <f ca="1">IF(AND(ISNUMBER($Y$913),$B$677=1),$Y$913,HLOOKUP(INDIRECT(ADDRESS(2,COLUMN())),OFFSET($BN$2,0,0,ROW()-1,60),ROW()-1,FALSE))</f>
        <v/>
      </c>
      <c r="Z244">
        <f ca="1">IF(AND(ISNUMBER($Z$913),$B$677=1),$Z$913,HLOOKUP(INDIRECT(ADDRESS(2,COLUMN())),OFFSET($BN$2,0,0,ROW()-1,60),ROW()-1,FALSE))</f>
        <v>5458.6694349999998</v>
      </c>
      <c r="AA244">
        <f ca="1">IF(AND(ISNUMBER($AA$913),$B$677=1),$AA$913,HLOOKUP(INDIRECT(ADDRESS(2,COLUMN())),OFFSET($BN$2,0,0,ROW()-1,60),ROW()-1,FALSE))</f>
        <v>3866.5639420000002</v>
      </c>
      <c r="AB244" t="str">
        <f ca="1">IF(AND(ISNUMBER($AB$913),$B$677=1),$AB$913,HLOOKUP(INDIRECT(ADDRESS(2,COLUMN())),OFFSET($BN$2,0,0,ROW()-1,60),ROW()-1,FALSE))</f>
        <v/>
      </c>
      <c r="AC244" t="str">
        <f ca="1">IF(AND(ISNUMBER($AC$913),$B$677=1),$AC$913,HLOOKUP(INDIRECT(ADDRESS(2,COLUMN())),OFFSET($BN$2,0,0,ROW()-1,60),ROW()-1,FALSE))</f>
        <v/>
      </c>
      <c r="AD244" t="str">
        <f ca="1">IF(AND(ISNUMBER($AD$913),$B$677=1),$AD$913,HLOOKUP(INDIRECT(ADDRESS(2,COLUMN())),OFFSET($BN$2,0,0,ROW()-1,60),ROW()-1,FALSE))</f>
        <v/>
      </c>
      <c r="AE244" t="str">
        <f ca="1">IF(AND(ISNUMBER($AE$913),$B$677=1),$AE$913,HLOOKUP(INDIRECT(ADDRESS(2,COLUMN())),OFFSET($BN$2,0,0,ROW()-1,60),ROW()-1,FALSE))</f>
        <v/>
      </c>
      <c r="AF244" t="str">
        <f ca="1">IF(AND(ISNUMBER($AF$913),$B$677=1),$AF$913,HLOOKUP(INDIRECT(ADDRESS(2,COLUMN())),OFFSET($BN$2,0,0,ROW()-1,60),ROW()-1,FALSE))</f>
        <v/>
      </c>
      <c r="AG244" t="str">
        <f ca="1">IF(AND(ISNUMBER($AG$913),$B$677=1),$AG$913,HLOOKUP(INDIRECT(ADDRESS(2,COLUMN())),OFFSET($BN$2,0,0,ROW()-1,60),ROW()-1,FALSE))</f>
        <v/>
      </c>
      <c r="AH244" t="str">
        <f ca="1">IF(AND(ISNUMBER($AH$913),$B$677=1),$AH$913,HLOOKUP(INDIRECT(ADDRESS(2,COLUMN())),OFFSET($BN$2,0,0,ROW()-1,60),ROW()-1,FALSE))</f>
        <v/>
      </c>
      <c r="AI244" t="str">
        <f ca="1">IF(AND(ISNUMBER($AI$913),$B$677=1),$AI$913,HLOOKUP(INDIRECT(ADDRESS(2,COLUMN())),OFFSET($BN$2,0,0,ROW()-1,60),ROW()-1,FALSE))</f>
        <v/>
      </c>
      <c r="AJ244" t="str">
        <f ca="1">IF(AND(ISNUMBER($AJ$913),$B$677=1),$AJ$913,HLOOKUP(INDIRECT(ADDRESS(2,COLUMN())),OFFSET($BN$2,0,0,ROW()-1,60),ROW()-1,FALSE))</f>
        <v/>
      </c>
      <c r="AK244" t="str">
        <f ca="1">IF(AND(ISNUMBER($AK$913),$B$677=1),$AK$913,HLOOKUP(INDIRECT(ADDRESS(2,COLUMN())),OFFSET($BN$2,0,0,ROW()-1,60),ROW()-1,FALSE))</f>
        <v/>
      </c>
      <c r="AL244" t="str">
        <f ca="1">IF(AND(ISNUMBER($AL$913),$B$677=1),$AL$913,HLOOKUP(INDIRECT(ADDRESS(2,COLUMN())),OFFSET($BN$2,0,0,ROW()-1,60),ROW()-1,FALSE))</f>
        <v/>
      </c>
      <c r="AM244" t="str">
        <f ca="1">IF(AND(ISNUMBER($AM$913),$B$677=1),$AM$913,HLOOKUP(INDIRECT(ADDRESS(2,COLUMN())),OFFSET($BN$2,0,0,ROW()-1,60),ROW()-1,FALSE))</f>
        <v/>
      </c>
      <c r="AN244" t="str">
        <f ca="1">IF(AND(ISNUMBER($AN$913),$B$677=1),$AN$913,HLOOKUP(INDIRECT(ADDRESS(2,COLUMN())),OFFSET($BN$2,0,0,ROW()-1,60),ROW()-1,FALSE))</f>
        <v/>
      </c>
      <c r="AO244" t="str">
        <f ca="1">IF(AND(ISNUMBER($AO$913),$B$677=1),$AO$913,HLOOKUP(INDIRECT(ADDRESS(2,COLUMN())),OFFSET($BN$2,0,0,ROW()-1,60),ROW()-1,FALSE))</f>
        <v/>
      </c>
      <c r="AP244" t="str">
        <f ca="1">IF(AND(ISNUMBER($AP$913),$B$677=1),$AP$913,HLOOKUP(INDIRECT(ADDRESS(2,COLUMN())),OFFSET($BN$2,0,0,ROW()-1,60),ROW()-1,FALSE))</f>
        <v/>
      </c>
      <c r="AQ244" t="str">
        <f ca="1">IF(AND(ISNUMBER($AQ$913),$B$677=1),$AQ$913,HLOOKUP(INDIRECT(ADDRESS(2,COLUMN())),OFFSET($BN$2,0,0,ROW()-1,60),ROW()-1,FALSE))</f>
        <v/>
      </c>
      <c r="AR244" t="str">
        <f ca="1">IF(AND(ISNUMBER($AR$913),$B$677=1),$AR$913,HLOOKUP(INDIRECT(ADDRESS(2,COLUMN())),OFFSET($BN$2,0,0,ROW()-1,60),ROW()-1,FALSE))</f>
        <v/>
      </c>
      <c r="AS244" t="str">
        <f ca="1">IF(AND(ISNUMBER($AS$913),$B$677=1),$AS$913,HLOOKUP(INDIRECT(ADDRESS(2,COLUMN())),OFFSET($BN$2,0,0,ROW()-1,60),ROW()-1,FALSE))</f>
        <v/>
      </c>
      <c r="AT244" t="str">
        <f ca="1">IF(AND(ISNUMBER($AT$913),$B$677=1),$AT$913,HLOOKUP(INDIRECT(ADDRESS(2,COLUMN())),OFFSET($BN$2,0,0,ROW()-1,60),ROW()-1,FALSE))</f>
        <v/>
      </c>
      <c r="AU244" t="str">
        <f ca="1">IF(AND(ISNUMBER($AU$913),$B$677=1),$AU$913,HLOOKUP(INDIRECT(ADDRESS(2,COLUMN())),OFFSET($BN$2,0,0,ROW()-1,60),ROW()-1,FALSE))</f>
        <v/>
      </c>
      <c r="AV244" t="str">
        <f ca="1">IF(AND(ISNUMBER($AV$913),$B$677=1),$AV$913,HLOOKUP(INDIRECT(ADDRESS(2,COLUMN())),OFFSET($BN$2,0,0,ROW()-1,60),ROW()-1,FALSE))</f>
        <v/>
      </c>
      <c r="AW244" t="str">
        <f ca="1">IF(AND(ISNUMBER($AW$913),$B$677=1),$AW$913,HLOOKUP(INDIRECT(ADDRESS(2,COLUMN())),OFFSET($BN$2,0,0,ROW()-1,60),ROW()-1,FALSE))</f>
        <v/>
      </c>
      <c r="AX244" t="str">
        <f ca="1">IF(AND(ISNUMBER($AX$913),$B$677=1),$AX$913,HLOOKUP(INDIRECT(ADDRESS(2,COLUMN())),OFFSET($BN$2,0,0,ROW()-1,60),ROW()-1,FALSE))</f>
        <v/>
      </c>
      <c r="AY244" t="str">
        <f ca="1">IF(AND(ISNUMBER($AY$913),$B$677=1),$AY$913,HLOOKUP(INDIRECT(ADDRESS(2,COLUMN())),OFFSET($BN$2,0,0,ROW()-1,60),ROW()-1,FALSE))</f>
        <v/>
      </c>
      <c r="AZ244" t="str">
        <f ca="1">IF(AND(ISNUMBER($AZ$913),$B$677=1),$AZ$913,HLOOKUP(INDIRECT(ADDRESS(2,COLUMN())),OFFSET($BN$2,0,0,ROW()-1,60),ROW()-1,FALSE))</f>
        <v/>
      </c>
      <c r="BA244" t="str">
        <f ca="1">IF(AND(ISNUMBER($BA$913),$B$677=1),$BA$913,HLOOKUP(INDIRECT(ADDRESS(2,COLUMN())),OFFSET($BN$2,0,0,ROW()-1,60),ROW()-1,FALSE))</f>
        <v/>
      </c>
      <c r="BB244" t="str">
        <f ca="1">IF(AND(ISNUMBER($BB$913),$B$677=1),$BB$913,HLOOKUP(INDIRECT(ADDRESS(2,COLUMN())),OFFSET($BN$2,0,0,ROW()-1,60),ROW()-1,FALSE))</f>
        <v/>
      </c>
      <c r="BC244" t="str">
        <f ca="1">IF(AND(ISNUMBER($BC$913),$B$677=1),$BC$913,HLOOKUP(INDIRECT(ADDRESS(2,COLUMN())),OFFSET($BN$2,0,0,ROW()-1,60),ROW()-1,FALSE))</f>
        <v/>
      </c>
      <c r="BD244" t="str">
        <f ca="1">IF(AND(ISNUMBER($BD$913),$B$677=1),$BD$913,HLOOKUP(INDIRECT(ADDRESS(2,COLUMN())),OFFSET($BN$2,0,0,ROW()-1,60),ROW()-1,FALSE))</f>
        <v/>
      </c>
      <c r="BE244" t="str">
        <f ca="1">IF(AND(ISNUMBER($BE$913),$B$677=1),$BE$913,HLOOKUP(INDIRECT(ADDRESS(2,COLUMN())),OFFSET($BN$2,0,0,ROW()-1,60),ROW()-1,FALSE))</f>
        <v/>
      </c>
      <c r="BF244" t="str">
        <f ca="1">IF(AND(ISNUMBER($BF$913),$B$677=1),$BF$913,HLOOKUP(INDIRECT(ADDRESS(2,COLUMN())),OFFSET($BN$2,0,0,ROW()-1,60),ROW()-1,FALSE))</f>
        <v/>
      </c>
      <c r="BG244" t="str">
        <f ca="1">IF(AND(ISNUMBER($BG$913),$B$677=1),$BG$913,HLOOKUP(INDIRECT(ADDRESS(2,COLUMN())),OFFSET($BN$2,0,0,ROW()-1,60),ROW()-1,FALSE))</f>
        <v/>
      </c>
      <c r="BH244" t="str">
        <f ca="1">IF(AND(ISNUMBER($BH$913),$B$677=1),$BH$913,HLOOKUP(INDIRECT(ADDRESS(2,COLUMN())),OFFSET($BN$2,0,0,ROW()-1,60),ROW()-1,FALSE))</f>
        <v/>
      </c>
      <c r="BI244" t="str">
        <f ca="1">IF(AND(ISNUMBER($BI$913),$B$677=1),$BI$913,HLOOKUP(INDIRECT(ADDRESS(2,COLUMN())),OFFSET($BN$2,0,0,ROW()-1,60),ROW()-1,FALSE))</f>
        <v/>
      </c>
      <c r="BJ244" t="str">
        <f ca="1">IF(AND(ISNUMBER($BJ$913),$B$677=1),$BJ$913,HLOOKUP(INDIRECT(ADDRESS(2,COLUMN())),OFFSET($BN$2,0,0,ROW()-1,60),ROW()-1,FALSE))</f>
        <v/>
      </c>
      <c r="BK244" t="str">
        <f ca="1">IF(AND(ISNUMBER($BK$913),$B$677=1),$BK$913,HLOOKUP(INDIRECT(ADDRESS(2,COLUMN())),OFFSET($BN$2,0,0,ROW()-1,60),ROW()-1,FALSE))</f>
        <v/>
      </c>
      <c r="BL244" t="str">
        <f ca="1">IF(AND(ISNUMBER($BL$913),$B$677=1),$BL$913,HLOOKUP(INDIRECT(ADDRESS(2,COLUMN())),OFFSET($BN$2,0,0,ROW()-1,60),ROW()-1,FALSE))</f>
        <v/>
      </c>
      <c r="BM244" t="str">
        <f ca="1">IF(AND(ISNUMBER($BM$913),$B$677=1),$BM$913,HLOOKUP(INDIRECT(ADDRESS(2,COLUMN())),OFFSET($BN$2,0,0,ROW()-1,60),ROW()-1,FALSE))</f>
        <v/>
      </c>
      <c r="BN244" t="str">
        <f>""</f>
        <v/>
      </c>
      <c r="BO244" t="str">
        <f>""</f>
        <v/>
      </c>
      <c r="BP244" t="str">
        <f>""</f>
        <v/>
      </c>
      <c r="BQ244" t="str">
        <f>""</f>
        <v/>
      </c>
      <c r="BR244" t="str">
        <f>""</f>
        <v/>
      </c>
      <c r="BS244" t="str">
        <f>""</f>
        <v/>
      </c>
      <c r="BT244" t="str">
        <f>""</f>
        <v/>
      </c>
      <c r="BU244" t="str">
        <f>""</f>
        <v/>
      </c>
      <c r="BV244" t="str">
        <f>""</f>
        <v/>
      </c>
      <c r="BW244" t="str">
        <f>""</f>
        <v/>
      </c>
      <c r="BX244" t="str">
        <f>""</f>
        <v/>
      </c>
      <c r="BY244" t="str">
        <f>""</f>
        <v/>
      </c>
      <c r="BZ244" t="str">
        <f>""</f>
        <v/>
      </c>
      <c r="CA244" t="str">
        <f>""</f>
        <v/>
      </c>
      <c r="CB244" t="str">
        <f>""</f>
        <v/>
      </c>
      <c r="CC244" t="str">
        <f>""</f>
        <v/>
      </c>
      <c r="CD244" t="str">
        <f>""</f>
        <v/>
      </c>
      <c r="CE244" t="str">
        <f>""</f>
        <v/>
      </c>
      <c r="CF244" t="str">
        <f>""</f>
        <v/>
      </c>
      <c r="CG244" t="str">
        <f>""</f>
        <v/>
      </c>
      <c r="CH244">
        <f>5458.669435</f>
        <v>5458.6694349999998</v>
      </c>
      <c r="CI244">
        <f>3866.563942</f>
        <v>3866.5639420000002</v>
      </c>
      <c r="CJ244" t="str">
        <f>""</f>
        <v/>
      </c>
      <c r="CK244" t="str">
        <f>""</f>
        <v/>
      </c>
      <c r="CL244" t="str">
        <f>""</f>
        <v/>
      </c>
      <c r="CM244" t="str">
        <f>""</f>
        <v/>
      </c>
      <c r="CN244" t="str">
        <f>""</f>
        <v/>
      </c>
      <c r="CO244" t="str">
        <f>""</f>
        <v/>
      </c>
      <c r="CP244" t="str">
        <f>""</f>
        <v/>
      </c>
      <c r="CQ244" t="str">
        <f>""</f>
        <v/>
      </c>
      <c r="CR244" t="str">
        <f>""</f>
        <v/>
      </c>
      <c r="CS244" t="str">
        <f>""</f>
        <v/>
      </c>
      <c r="CT244" t="str">
        <f>""</f>
        <v/>
      </c>
      <c r="CU244" t="str">
        <f>""</f>
        <v/>
      </c>
      <c r="CV244" t="str">
        <f>""</f>
        <v/>
      </c>
      <c r="CW244" t="str">
        <f>""</f>
        <v/>
      </c>
      <c r="CX244" t="str">
        <f>""</f>
        <v/>
      </c>
      <c r="CY244" t="str">
        <f>""</f>
        <v/>
      </c>
      <c r="CZ244" t="str">
        <f>""</f>
        <v/>
      </c>
      <c r="DA244" t="str">
        <f>""</f>
        <v/>
      </c>
      <c r="DB244" t="str">
        <f>""</f>
        <v/>
      </c>
      <c r="DC244" t="str">
        <f>""</f>
        <v/>
      </c>
      <c r="DD244" t="str">
        <f>""</f>
        <v/>
      </c>
      <c r="DE244" t="str">
        <f>""</f>
        <v/>
      </c>
      <c r="DF244" t="str">
        <f>""</f>
        <v/>
      </c>
      <c r="DG244" t="str">
        <f>""</f>
        <v/>
      </c>
      <c r="DH244" t="str">
        <f>""</f>
        <v/>
      </c>
      <c r="DI244" t="str">
        <f>""</f>
        <v/>
      </c>
      <c r="DJ244" t="str">
        <f>""</f>
        <v/>
      </c>
      <c r="DK244" t="str">
        <f>""</f>
        <v/>
      </c>
      <c r="DL244" t="str">
        <f>""</f>
        <v/>
      </c>
      <c r="DM244" t="str">
        <f>""</f>
        <v/>
      </c>
      <c r="DN244" t="str">
        <f>""</f>
        <v/>
      </c>
      <c r="DO244" t="str">
        <f>""</f>
        <v/>
      </c>
      <c r="DP244" t="str">
        <f>""</f>
        <v/>
      </c>
      <c r="DQ244" t="str">
        <f>""</f>
        <v/>
      </c>
      <c r="DR244" t="str">
        <f>""</f>
        <v/>
      </c>
      <c r="DS244" t="str">
        <f>""</f>
        <v/>
      </c>
      <c r="DT244" t="str">
        <f>""</f>
        <v/>
      </c>
      <c r="DU244" t="str">
        <f>""</f>
        <v/>
      </c>
    </row>
    <row r="245" spans="1:125" x14ac:dyDescent="0.25">
      <c r="A245" t="str">
        <f>"    Tianjin Faw Xiali Automobile Co Ltd"</f>
        <v xml:space="preserve">    Tianjin Faw Xiali Automobile Co Ltd</v>
      </c>
      <c r="B245" t="str">
        <f>"000927 CH Equity"</f>
        <v>000927 CH Equity</v>
      </c>
      <c r="C245" t="str">
        <f t="shared" si="15"/>
        <v>RR971</v>
      </c>
      <c r="D245" t="str">
        <f t="shared" si="16"/>
        <v>CURRENT_PX_TO_FREE_CASH_FLOW</v>
      </c>
      <c r="E245" t="str">
        <f t="shared" si="17"/>
        <v>Dynamic</v>
      </c>
      <c r="F245" t="str">
        <f ca="1">IF(AND(ISNUMBER($F$914),$B$677=1),$F$914,HLOOKUP(INDIRECT(ADDRESS(2,COLUMN())),OFFSET($BN$2,0,0,ROW()-1,60),ROW()-1,FALSE))</f>
        <v/>
      </c>
      <c r="G245" t="str">
        <f ca="1">IF(AND(ISNUMBER($G$914),$B$677=1),$G$914,HLOOKUP(INDIRECT(ADDRESS(2,COLUMN())),OFFSET($BN$2,0,0,ROW()-1,60),ROW()-1,FALSE))</f>
        <v/>
      </c>
      <c r="H245" t="str">
        <f ca="1">IF(AND(ISNUMBER($H$914),$B$677=1),$H$914,HLOOKUP(INDIRECT(ADDRESS(2,COLUMN())),OFFSET($BN$2,0,0,ROW()-1,60),ROW()-1,FALSE))</f>
        <v/>
      </c>
      <c r="I245" t="str">
        <f ca="1">IF(AND(ISNUMBER($I$914),$B$677=1),$I$914,HLOOKUP(INDIRECT(ADDRESS(2,COLUMN())),OFFSET($BN$2,0,0,ROW()-1,60),ROW()-1,FALSE))</f>
        <v/>
      </c>
      <c r="J245" t="str">
        <f ca="1">IF(AND(ISNUMBER($J$914),$B$677=1),$J$914,HLOOKUP(INDIRECT(ADDRESS(2,COLUMN())),OFFSET($BN$2,0,0,ROW()-1,60),ROW()-1,FALSE))</f>
        <v/>
      </c>
      <c r="K245" t="str">
        <f ca="1">IF(AND(ISNUMBER($K$914),$B$677=1),$K$914,HLOOKUP(INDIRECT(ADDRESS(2,COLUMN())),OFFSET($BN$2,0,0,ROW()-1,60),ROW()-1,FALSE))</f>
        <v/>
      </c>
      <c r="L245" t="str">
        <f ca="1">IF(AND(ISNUMBER($L$914),$B$677=1),$L$914,HLOOKUP(INDIRECT(ADDRESS(2,COLUMN())),OFFSET($BN$2,0,0,ROW()-1,60),ROW()-1,FALSE))</f>
        <v/>
      </c>
      <c r="M245" t="str">
        <f ca="1">IF(AND(ISNUMBER($M$914),$B$677=1),$M$914,HLOOKUP(INDIRECT(ADDRESS(2,COLUMN())),OFFSET($BN$2,0,0,ROW()-1,60),ROW()-1,FALSE))</f>
        <v/>
      </c>
      <c r="N245" t="str">
        <f ca="1">IF(AND(ISNUMBER($N$914),$B$677=1),$N$914,HLOOKUP(INDIRECT(ADDRESS(2,COLUMN())),OFFSET($BN$2,0,0,ROW()-1,60),ROW()-1,FALSE))</f>
        <v/>
      </c>
      <c r="O245" t="str">
        <f ca="1">IF(AND(ISNUMBER($O$914),$B$677=1),$O$914,HLOOKUP(INDIRECT(ADDRESS(2,COLUMN())),OFFSET($BN$2,0,0,ROW()-1,60),ROW()-1,FALSE))</f>
        <v/>
      </c>
      <c r="P245" t="str">
        <f ca="1">IF(AND(ISNUMBER($P$914),$B$677=1),$P$914,HLOOKUP(INDIRECT(ADDRESS(2,COLUMN())),OFFSET($BN$2,0,0,ROW()-1,60),ROW()-1,FALSE))</f>
        <v/>
      </c>
      <c r="Q245" t="str">
        <f ca="1">IF(AND(ISNUMBER($Q$914),$B$677=1),$Q$914,HLOOKUP(INDIRECT(ADDRESS(2,COLUMN())),OFFSET($BN$2,0,0,ROW()-1,60),ROW()-1,FALSE))</f>
        <v/>
      </c>
      <c r="R245" t="str">
        <f ca="1">IF(AND(ISNUMBER($R$914),$B$677=1),$R$914,HLOOKUP(INDIRECT(ADDRESS(2,COLUMN())),OFFSET($BN$2,0,0,ROW()-1,60),ROW()-1,FALSE))</f>
        <v/>
      </c>
      <c r="S245" t="str">
        <f ca="1">IF(AND(ISNUMBER($S$914),$B$677=1),$S$914,HLOOKUP(INDIRECT(ADDRESS(2,COLUMN())),OFFSET($BN$2,0,0,ROW()-1,60),ROW()-1,FALSE))</f>
        <v/>
      </c>
      <c r="T245" t="str">
        <f ca="1">IF(AND(ISNUMBER($T$914),$B$677=1),$T$914,HLOOKUP(INDIRECT(ADDRESS(2,COLUMN())),OFFSET($BN$2,0,0,ROW()-1,60),ROW()-1,FALSE))</f>
        <v/>
      </c>
      <c r="U245" t="str">
        <f ca="1">IF(AND(ISNUMBER($U$914),$B$677=1),$U$914,HLOOKUP(INDIRECT(ADDRESS(2,COLUMN())),OFFSET($BN$2,0,0,ROW()-1,60),ROW()-1,FALSE))</f>
        <v/>
      </c>
      <c r="V245" t="str">
        <f ca="1">IF(AND(ISNUMBER($V$914),$B$677=1),$V$914,HLOOKUP(INDIRECT(ADDRESS(2,COLUMN())),OFFSET($BN$2,0,0,ROW()-1,60),ROW()-1,FALSE))</f>
        <v/>
      </c>
      <c r="W245" t="str">
        <f ca="1">IF(AND(ISNUMBER($W$914),$B$677=1),$W$914,HLOOKUP(INDIRECT(ADDRESS(2,COLUMN())),OFFSET($BN$2,0,0,ROW()-1,60),ROW()-1,FALSE))</f>
        <v/>
      </c>
      <c r="X245" t="str">
        <f ca="1">IF(AND(ISNUMBER($X$914),$B$677=1),$X$914,HLOOKUP(INDIRECT(ADDRESS(2,COLUMN())),OFFSET($BN$2,0,0,ROW()-1,60),ROW()-1,FALSE))</f>
        <v/>
      </c>
      <c r="Y245" t="str">
        <f ca="1">IF(AND(ISNUMBER($Y$914),$B$677=1),$Y$914,HLOOKUP(INDIRECT(ADDRESS(2,COLUMN())),OFFSET($BN$2,0,0,ROW()-1,60),ROW()-1,FALSE))</f>
        <v/>
      </c>
      <c r="Z245" t="str">
        <f ca="1">IF(AND(ISNUMBER($Z$914),$B$677=1),$Z$914,HLOOKUP(INDIRECT(ADDRESS(2,COLUMN())),OFFSET($BN$2,0,0,ROW()-1,60),ROW()-1,FALSE))</f>
        <v/>
      </c>
      <c r="AA245" t="str">
        <f ca="1">IF(AND(ISNUMBER($AA$914),$B$677=1),$AA$914,HLOOKUP(INDIRECT(ADDRESS(2,COLUMN())),OFFSET($BN$2,0,0,ROW()-1,60),ROW()-1,FALSE))</f>
        <v/>
      </c>
      <c r="AB245">
        <f ca="1">IF(AND(ISNUMBER($AB$914),$B$677=1),$AB$914,HLOOKUP(INDIRECT(ADDRESS(2,COLUMN())),OFFSET($BN$2,0,0,ROW()-1,60),ROW()-1,FALSE))</f>
        <v>32.314293859999999</v>
      </c>
      <c r="AC245">
        <f ca="1">IF(AND(ISNUMBER($AC$914),$B$677=1),$AC$914,HLOOKUP(INDIRECT(ADDRESS(2,COLUMN())),OFFSET($BN$2,0,0,ROW()-1,60),ROW()-1,FALSE))</f>
        <v>31.526140349999999</v>
      </c>
      <c r="AD245" t="str">
        <f ca="1">IF(AND(ISNUMBER($AD$914),$B$677=1),$AD$914,HLOOKUP(INDIRECT(ADDRESS(2,COLUMN())),OFFSET($BN$2,0,0,ROW()-1,60),ROW()-1,FALSE))</f>
        <v/>
      </c>
      <c r="AE245" t="str">
        <f ca="1">IF(AND(ISNUMBER($AE$914),$B$677=1),$AE$914,HLOOKUP(INDIRECT(ADDRESS(2,COLUMN())),OFFSET($BN$2,0,0,ROW()-1,60),ROW()-1,FALSE))</f>
        <v/>
      </c>
      <c r="AF245" t="str">
        <f ca="1">IF(AND(ISNUMBER($AF$914),$B$677=1),$AF$914,HLOOKUP(INDIRECT(ADDRESS(2,COLUMN())),OFFSET($BN$2,0,0,ROW()-1,60),ROW()-1,FALSE))</f>
        <v/>
      </c>
      <c r="AG245" t="str">
        <f ca="1">IF(AND(ISNUMBER($AG$914),$B$677=1),$AG$914,HLOOKUP(INDIRECT(ADDRESS(2,COLUMN())),OFFSET($BN$2,0,0,ROW()-1,60),ROW()-1,FALSE))</f>
        <v/>
      </c>
      <c r="AH245" t="str">
        <f ca="1">IF(AND(ISNUMBER($AH$914),$B$677=1),$AH$914,HLOOKUP(INDIRECT(ADDRESS(2,COLUMN())),OFFSET($BN$2,0,0,ROW()-1,60),ROW()-1,FALSE))</f>
        <v/>
      </c>
      <c r="AI245" t="str">
        <f ca="1">IF(AND(ISNUMBER($AI$914),$B$677=1),$AI$914,HLOOKUP(INDIRECT(ADDRESS(2,COLUMN())),OFFSET($BN$2,0,0,ROW()-1,60),ROW()-1,FALSE))</f>
        <v/>
      </c>
      <c r="AJ245" t="str">
        <f ca="1">IF(AND(ISNUMBER($AJ$914),$B$677=1),$AJ$914,HLOOKUP(INDIRECT(ADDRESS(2,COLUMN())),OFFSET($BN$2,0,0,ROW()-1,60),ROW()-1,FALSE))</f>
        <v/>
      </c>
      <c r="AK245" t="str">
        <f ca="1">IF(AND(ISNUMBER($AK$914),$B$677=1),$AK$914,HLOOKUP(INDIRECT(ADDRESS(2,COLUMN())),OFFSET($BN$2,0,0,ROW()-1,60),ROW()-1,FALSE))</f>
        <v/>
      </c>
      <c r="AL245" t="str">
        <f ca="1">IF(AND(ISNUMBER($AL$914),$B$677=1),$AL$914,HLOOKUP(INDIRECT(ADDRESS(2,COLUMN())),OFFSET($BN$2,0,0,ROW()-1,60),ROW()-1,FALSE))</f>
        <v/>
      </c>
      <c r="AM245" t="str">
        <f ca="1">IF(AND(ISNUMBER($AM$914),$B$677=1),$AM$914,HLOOKUP(INDIRECT(ADDRESS(2,COLUMN())),OFFSET($BN$2,0,0,ROW()-1,60),ROW()-1,FALSE))</f>
        <v/>
      </c>
      <c r="AN245">
        <f ca="1">IF(AND(ISNUMBER($AN$914),$B$677=1),$AN$914,HLOOKUP(INDIRECT(ADDRESS(2,COLUMN())),OFFSET($BN$2,0,0,ROW()-1,60),ROW()-1,FALSE))</f>
        <v>117.780479</v>
      </c>
      <c r="AO245">
        <f ca="1">IF(AND(ISNUMBER($AO$914),$B$677=1),$AO$914,HLOOKUP(INDIRECT(ADDRESS(2,COLUMN())),OFFSET($BN$2,0,0,ROW()-1,60),ROW()-1,FALSE))</f>
        <v>116.87331229999999</v>
      </c>
      <c r="AP245">
        <f ca="1">IF(AND(ISNUMBER($AP$914),$B$677=1),$AP$914,HLOOKUP(INDIRECT(ADDRESS(2,COLUMN())),OFFSET($BN$2,0,0,ROW()-1,60),ROW()-1,FALSE))</f>
        <v>146.76276100000001</v>
      </c>
      <c r="AQ245">
        <f ca="1">IF(AND(ISNUMBER($AQ$914),$B$677=1),$AQ$914,HLOOKUP(INDIRECT(ADDRESS(2,COLUMN())),OFFSET($BN$2,0,0,ROW()-1,60),ROW()-1,FALSE))</f>
        <v>347.30329160000002</v>
      </c>
      <c r="AR245">
        <f ca="1">IF(AND(ISNUMBER($AR$914),$B$677=1),$AR$914,HLOOKUP(INDIRECT(ADDRESS(2,COLUMN())),OFFSET($BN$2,0,0,ROW()-1,60),ROW()-1,FALSE))</f>
        <v>19.835745800000002</v>
      </c>
      <c r="AS245" t="str">
        <f ca="1">IF(AND(ISNUMBER($AS$914),$B$677=1),$AS$914,HLOOKUP(INDIRECT(ADDRESS(2,COLUMN())),OFFSET($BN$2,0,0,ROW()-1,60),ROW()-1,FALSE))</f>
        <v/>
      </c>
      <c r="AT245" t="str">
        <f ca="1">IF(AND(ISNUMBER($AT$914),$B$677=1),$AT$914,HLOOKUP(INDIRECT(ADDRESS(2,COLUMN())),OFFSET($BN$2,0,0,ROW()-1,60),ROW()-1,FALSE))</f>
        <v/>
      </c>
      <c r="AU245" t="str">
        <f ca="1">IF(AND(ISNUMBER($AU$914),$B$677=1),$AU$914,HLOOKUP(INDIRECT(ADDRESS(2,COLUMN())),OFFSET($BN$2,0,0,ROW()-1,60),ROW()-1,FALSE))</f>
        <v/>
      </c>
      <c r="AV245" t="str">
        <f ca="1">IF(AND(ISNUMBER($AV$914),$B$677=1),$AV$914,HLOOKUP(INDIRECT(ADDRESS(2,COLUMN())),OFFSET($BN$2,0,0,ROW()-1,60),ROW()-1,FALSE))</f>
        <v/>
      </c>
      <c r="AW245" t="str">
        <f ca="1">IF(AND(ISNUMBER($AW$914),$B$677=1),$AW$914,HLOOKUP(INDIRECT(ADDRESS(2,COLUMN())),OFFSET($BN$2,0,0,ROW()-1,60),ROW()-1,FALSE))</f>
        <v/>
      </c>
      <c r="AX245" t="str">
        <f ca="1">IF(AND(ISNUMBER($AX$914),$B$677=1),$AX$914,HLOOKUP(INDIRECT(ADDRESS(2,COLUMN())),OFFSET($BN$2,0,0,ROW()-1,60),ROW()-1,FALSE))</f>
        <v/>
      </c>
      <c r="AY245" t="str">
        <f ca="1">IF(AND(ISNUMBER($AY$914),$B$677=1),$AY$914,HLOOKUP(INDIRECT(ADDRESS(2,COLUMN())),OFFSET($BN$2,0,0,ROW()-1,60),ROW()-1,FALSE))</f>
        <v/>
      </c>
      <c r="AZ245">
        <f ca="1">IF(AND(ISNUMBER($AZ$914),$B$677=1),$AZ$914,HLOOKUP(INDIRECT(ADDRESS(2,COLUMN())),OFFSET($BN$2,0,0,ROW()-1,60),ROW()-1,FALSE))</f>
        <v>23.41074931</v>
      </c>
      <c r="BA245">
        <f ca="1">IF(AND(ISNUMBER($BA$914),$B$677=1),$BA$914,HLOOKUP(INDIRECT(ADDRESS(2,COLUMN())),OFFSET($BN$2,0,0,ROW()-1,60),ROW()-1,FALSE))</f>
        <v>10.901781339999999</v>
      </c>
      <c r="BB245">
        <f ca="1">IF(AND(ISNUMBER($BB$914),$B$677=1),$BB$914,HLOOKUP(INDIRECT(ADDRESS(2,COLUMN())),OFFSET($BN$2,0,0,ROW()-1,60),ROW()-1,FALSE))</f>
        <v>13.040408299999999</v>
      </c>
      <c r="BC245">
        <f ca="1">IF(AND(ISNUMBER($BC$914),$B$677=1),$BC$914,HLOOKUP(INDIRECT(ADDRESS(2,COLUMN())),OFFSET($BN$2,0,0,ROW()-1,60),ROW()-1,FALSE))</f>
        <v>5.1967042040000004</v>
      </c>
      <c r="BD245">
        <f ca="1">IF(AND(ISNUMBER($BD$914),$B$677=1),$BD$914,HLOOKUP(INDIRECT(ADDRESS(2,COLUMN())),OFFSET($BN$2,0,0,ROW()-1,60),ROW()-1,FALSE))</f>
        <v>3.6637246710000002</v>
      </c>
      <c r="BE245">
        <f ca="1">IF(AND(ISNUMBER($BE$914),$B$677=1),$BE$914,HLOOKUP(INDIRECT(ADDRESS(2,COLUMN())),OFFSET($BN$2,0,0,ROW()-1,60),ROW()-1,FALSE))</f>
        <v>9.3990600539999996</v>
      </c>
      <c r="BF245">
        <f ca="1">IF(AND(ISNUMBER($BF$914),$B$677=1),$BF$914,HLOOKUP(INDIRECT(ADDRESS(2,COLUMN())),OFFSET($BN$2,0,0,ROW()-1,60),ROW()-1,FALSE))</f>
        <v>7.6019656270000002</v>
      </c>
      <c r="BG245">
        <f ca="1">IF(AND(ISNUMBER($BG$914),$B$677=1),$BG$914,HLOOKUP(INDIRECT(ADDRESS(2,COLUMN())),OFFSET($BN$2,0,0,ROW()-1,60),ROW()-1,FALSE))</f>
        <v>6.1645084580000002</v>
      </c>
      <c r="BH245">
        <f ca="1">IF(AND(ISNUMBER($BH$914),$B$677=1),$BH$914,HLOOKUP(INDIRECT(ADDRESS(2,COLUMN())),OFFSET($BN$2,0,0,ROW()-1,60),ROW()-1,FALSE))</f>
        <v>6.3476469809999996</v>
      </c>
      <c r="BI245">
        <f ca="1">IF(AND(ISNUMBER($BI$914),$B$677=1),$BI$914,HLOOKUP(INDIRECT(ADDRESS(2,COLUMN())),OFFSET($BN$2,0,0,ROW()-1,60),ROW()-1,FALSE))</f>
        <v>19.188015889999999</v>
      </c>
      <c r="BJ245">
        <f ca="1">IF(AND(ISNUMBER($BJ$914),$B$677=1),$BJ$914,HLOOKUP(INDIRECT(ADDRESS(2,COLUMN())),OFFSET($BN$2,0,0,ROW()-1,60),ROW()-1,FALSE))</f>
        <v>16.27864164</v>
      </c>
      <c r="BK245">
        <f ca="1">IF(AND(ISNUMBER($BK$914),$B$677=1),$BK$914,HLOOKUP(INDIRECT(ADDRESS(2,COLUMN())),OFFSET($BN$2,0,0,ROW()-1,60),ROW()-1,FALSE))</f>
        <v>1064.5410119999999</v>
      </c>
      <c r="BL245" t="str">
        <f ca="1">IF(AND(ISNUMBER($BL$914),$B$677=1),$BL$914,HLOOKUP(INDIRECT(ADDRESS(2,COLUMN())),OFFSET($BN$2,0,0,ROW()-1,60),ROW()-1,FALSE))</f>
        <v/>
      </c>
      <c r="BM245" t="str">
        <f ca="1">IF(AND(ISNUMBER($BM$914),$B$677=1),$BM$914,HLOOKUP(INDIRECT(ADDRESS(2,COLUMN())),OFFSET($BN$2,0,0,ROW()-1,60),ROW()-1,FALSE))</f>
        <v/>
      </c>
      <c r="BN245" t="str">
        <f>""</f>
        <v/>
      </c>
      <c r="BO245" t="str">
        <f>""</f>
        <v/>
      </c>
      <c r="BP245" t="str">
        <f>""</f>
        <v/>
      </c>
      <c r="BQ245" t="str">
        <f>""</f>
        <v/>
      </c>
      <c r="BR245" t="str">
        <f>""</f>
        <v/>
      </c>
      <c r="BS245" t="str">
        <f>""</f>
        <v/>
      </c>
      <c r="BT245" t="str">
        <f>""</f>
        <v/>
      </c>
      <c r="BU245" t="str">
        <f>""</f>
        <v/>
      </c>
      <c r="BV245" t="str">
        <f>""</f>
        <v/>
      </c>
      <c r="BW245" t="str">
        <f>""</f>
        <v/>
      </c>
      <c r="BX245" t="str">
        <f>""</f>
        <v/>
      </c>
      <c r="BY245" t="str">
        <f>""</f>
        <v/>
      </c>
      <c r="BZ245" t="str">
        <f>""</f>
        <v/>
      </c>
      <c r="CA245" t="str">
        <f>""</f>
        <v/>
      </c>
      <c r="CB245" t="str">
        <f>""</f>
        <v/>
      </c>
      <c r="CC245" t="str">
        <f>""</f>
        <v/>
      </c>
      <c r="CD245" t="str">
        <f>""</f>
        <v/>
      </c>
      <c r="CE245" t="str">
        <f>""</f>
        <v/>
      </c>
      <c r="CF245" t="str">
        <f>""</f>
        <v/>
      </c>
      <c r="CG245" t="str">
        <f>""</f>
        <v/>
      </c>
      <c r="CH245" t="str">
        <f>""</f>
        <v/>
      </c>
      <c r="CI245" t="str">
        <f>""</f>
        <v/>
      </c>
      <c r="CJ245">
        <f>32.31429386</f>
        <v>32.314293859999999</v>
      </c>
      <c r="CK245">
        <f>31.52614035</f>
        <v>31.526140349999999</v>
      </c>
      <c r="CL245" t="str">
        <f>""</f>
        <v/>
      </c>
      <c r="CM245" t="str">
        <f>""</f>
        <v/>
      </c>
      <c r="CN245" t="str">
        <f>""</f>
        <v/>
      </c>
      <c r="CO245" t="str">
        <f>""</f>
        <v/>
      </c>
      <c r="CP245" t="str">
        <f>""</f>
        <v/>
      </c>
      <c r="CQ245" t="str">
        <f>""</f>
        <v/>
      </c>
      <c r="CR245" t="str">
        <f>""</f>
        <v/>
      </c>
      <c r="CS245" t="str">
        <f>""</f>
        <v/>
      </c>
      <c r="CT245" t="str">
        <f>""</f>
        <v/>
      </c>
      <c r="CU245" t="str">
        <f>""</f>
        <v/>
      </c>
      <c r="CV245">
        <f>117.780479</f>
        <v>117.780479</v>
      </c>
      <c r="CW245">
        <f>116.8733123</f>
        <v>116.87331229999999</v>
      </c>
      <c r="CX245">
        <f>146.762761</f>
        <v>146.76276100000001</v>
      </c>
      <c r="CY245">
        <f>347.3032916</f>
        <v>347.30329160000002</v>
      </c>
      <c r="CZ245">
        <f>19.8357458</f>
        <v>19.835745800000002</v>
      </c>
      <c r="DA245" t="str">
        <f>""</f>
        <v/>
      </c>
      <c r="DB245" t="str">
        <f>""</f>
        <v/>
      </c>
      <c r="DC245" t="str">
        <f>""</f>
        <v/>
      </c>
      <c r="DD245" t="str">
        <f>""</f>
        <v/>
      </c>
      <c r="DE245" t="str">
        <f>""</f>
        <v/>
      </c>
      <c r="DF245" t="str">
        <f>""</f>
        <v/>
      </c>
      <c r="DG245" t="str">
        <f>""</f>
        <v/>
      </c>
      <c r="DH245">
        <f>23.41074931</f>
        <v>23.41074931</v>
      </c>
      <c r="DI245">
        <f>10.90178134</f>
        <v>10.901781339999999</v>
      </c>
      <c r="DJ245">
        <f>13.0404083</f>
        <v>13.040408299999999</v>
      </c>
      <c r="DK245">
        <f>5.196704204</f>
        <v>5.1967042040000004</v>
      </c>
      <c r="DL245">
        <f>3.663724671</f>
        <v>3.6637246710000002</v>
      </c>
      <c r="DM245">
        <f>9.399060054</f>
        <v>9.3990600539999996</v>
      </c>
      <c r="DN245">
        <f>7.601965627</f>
        <v>7.6019656270000002</v>
      </c>
      <c r="DO245">
        <f>6.164508458</f>
        <v>6.1645084580000002</v>
      </c>
      <c r="DP245">
        <f>6.347646981</f>
        <v>6.3476469809999996</v>
      </c>
      <c r="DQ245">
        <f>19.18801589</f>
        <v>19.188015889999999</v>
      </c>
      <c r="DR245">
        <f>16.27864164</f>
        <v>16.27864164</v>
      </c>
      <c r="DS245">
        <f>1064.541012</f>
        <v>1064.5410119999999</v>
      </c>
      <c r="DT245" t="str">
        <f>""</f>
        <v/>
      </c>
      <c r="DU245" t="str">
        <f>""</f>
        <v/>
      </c>
    </row>
    <row r="246" spans="1:125" x14ac:dyDescent="0.25">
      <c r="A246" t="str">
        <f>"    Tofas Turk Otomobil Fabrikasi AS"</f>
        <v xml:space="preserve">    Tofas Turk Otomobil Fabrikasi AS</v>
      </c>
      <c r="B246" t="str">
        <f>"TOASOTRY EO Equity"</f>
        <v>TOASOTRY EO Equity</v>
      </c>
      <c r="C246" t="str">
        <f t="shared" si="15"/>
        <v>RR971</v>
      </c>
      <c r="D246" t="str">
        <f t="shared" si="16"/>
        <v>CURRENT_PX_TO_FREE_CASH_FLOW</v>
      </c>
      <c r="E246" t="str">
        <f t="shared" si="17"/>
        <v>Dynamic</v>
      </c>
      <c r="F246">
        <f ca="1">IF(AND(ISNUMBER($F$915),$B$677=1),$F$915,HLOOKUP(INDIRECT(ADDRESS(2,COLUMN())),OFFSET($BN$2,0,0,ROW()-1,60),ROW()-1,FALSE))</f>
        <v>9.5601933139999993</v>
      </c>
      <c r="G246">
        <f ca="1">IF(AND(ISNUMBER($G$915),$B$677=1),$G$915,HLOOKUP(INDIRECT(ADDRESS(2,COLUMN())),OFFSET($BN$2,0,0,ROW()-1,60),ROW()-1,FALSE))</f>
        <v>8.0783633500000001</v>
      </c>
      <c r="H246">
        <f ca="1">IF(AND(ISNUMBER($H$915),$B$677=1),$H$915,HLOOKUP(INDIRECT(ADDRESS(2,COLUMN())),OFFSET($BN$2,0,0,ROW()-1,60),ROW()-1,FALSE))</f>
        <v>9.6772626630000005</v>
      </c>
      <c r="I246">
        <f ca="1">IF(AND(ISNUMBER($I$915),$B$677=1),$I$915,HLOOKUP(INDIRECT(ADDRESS(2,COLUMN())),OFFSET($BN$2,0,0,ROW()-1,60),ROW()-1,FALSE))</f>
        <v>10.641450620000001</v>
      </c>
      <c r="J246">
        <f ca="1">IF(AND(ISNUMBER($J$915),$B$677=1),$J$915,HLOOKUP(INDIRECT(ADDRESS(2,COLUMN())),OFFSET($BN$2,0,0,ROW()-1,60),ROW()-1,FALSE))</f>
        <v>14.42611904</v>
      </c>
      <c r="K246">
        <f ca="1">IF(AND(ISNUMBER($K$915),$B$677=1),$K$915,HLOOKUP(INDIRECT(ADDRESS(2,COLUMN())),OFFSET($BN$2,0,0,ROW()-1,60),ROW()-1,FALSE))</f>
        <v>21.585903210000001</v>
      </c>
      <c r="L246">
        <f ca="1">IF(AND(ISNUMBER($L$915),$B$677=1),$L$915,HLOOKUP(INDIRECT(ADDRESS(2,COLUMN())),OFFSET($BN$2,0,0,ROW()-1,60),ROW()-1,FALSE))</f>
        <v>9.4417271490000001</v>
      </c>
      <c r="M246">
        <f ca="1">IF(AND(ISNUMBER($M$915),$B$677=1),$M$915,HLOOKUP(INDIRECT(ADDRESS(2,COLUMN())),OFFSET($BN$2,0,0,ROW()-1,60),ROW()-1,FALSE))</f>
        <v>9.0393626489999992</v>
      </c>
      <c r="N246">
        <f ca="1">IF(AND(ISNUMBER($N$915),$B$677=1),$N$915,HLOOKUP(INDIRECT(ADDRESS(2,COLUMN())),OFFSET($BN$2,0,0,ROW()-1,60),ROW()-1,FALSE))</f>
        <v>8.8697431469999994</v>
      </c>
      <c r="O246">
        <f ca="1">IF(AND(ISNUMBER($O$915),$B$677=1),$O$915,HLOOKUP(INDIRECT(ADDRESS(2,COLUMN())),OFFSET($BN$2,0,0,ROW()-1,60),ROW()-1,FALSE))</f>
        <v>36.371256340000002</v>
      </c>
      <c r="P246">
        <f ca="1">IF(AND(ISNUMBER($P$915),$B$677=1),$P$915,HLOOKUP(INDIRECT(ADDRESS(2,COLUMN())),OFFSET($BN$2,0,0,ROW()-1,60),ROW()-1,FALSE))</f>
        <v>183.03995710000001</v>
      </c>
      <c r="Q246" t="str">
        <f ca="1">IF(AND(ISNUMBER($Q$915),$B$677=1),$Q$915,HLOOKUP(INDIRECT(ADDRESS(2,COLUMN())),OFFSET($BN$2,0,0,ROW()-1,60),ROW()-1,FALSE))</f>
        <v/>
      </c>
      <c r="R246">
        <f ca="1">IF(AND(ISNUMBER($R$915),$B$677=1),$R$915,HLOOKUP(INDIRECT(ADDRESS(2,COLUMN())),OFFSET($BN$2,0,0,ROW()-1,60),ROW()-1,FALSE))</f>
        <v>139.36222979999999</v>
      </c>
      <c r="S246">
        <f ca="1">IF(AND(ISNUMBER($S$915),$B$677=1),$S$915,HLOOKUP(INDIRECT(ADDRESS(2,COLUMN())),OFFSET($BN$2,0,0,ROW()-1,60),ROW()-1,FALSE))</f>
        <v>115.3237665</v>
      </c>
      <c r="T246" t="str">
        <f ca="1">IF(AND(ISNUMBER($T$915),$B$677=1),$T$915,HLOOKUP(INDIRECT(ADDRESS(2,COLUMN())),OFFSET($BN$2,0,0,ROW()-1,60),ROW()-1,FALSE))</f>
        <v/>
      </c>
      <c r="U246" t="str">
        <f ca="1">IF(AND(ISNUMBER($U$915),$B$677=1),$U$915,HLOOKUP(INDIRECT(ADDRESS(2,COLUMN())),OFFSET($BN$2,0,0,ROW()-1,60),ROW()-1,FALSE))</f>
        <v/>
      </c>
      <c r="V246" t="str">
        <f ca="1">IF(AND(ISNUMBER($V$915),$B$677=1),$V$915,HLOOKUP(INDIRECT(ADDRESS(2,COLUMN())),OFFSET($BN$2,0,0,ROW()-1,60),ROW()-1,FALSE))</f>
        <v/>
      </c>
      <c r="W246">
        <f ca="1">IF(AND(ISNUMBER($W$915),$B$677=1),$W$915,HLOOKUP(INDIRECT(ADDRESS(2,COLUMN())),OFFSET($BN$2,0,0,ROW()-1,60),ROW()-1,FALSE))</f>
        <v>33.309721799999998</v>
      </c>
      <c r="X246">
        <f ca="1">IF(AND(ISNUMBER($X$915),$B$677=1),$X$915,HLOOKUP(INDIRECT(ADDRESS(2,COLUMN())),OFFSET($BN$2,0,0,ROW()-1,60),ROW()-1,FALSE))</f>
        <v>26.98509108</v>
      </c>
      <c r="Y246">
        <f ca="1">IF(AND(ISNUMBER($Y$915),$B$677=1),$Y$915,HLOOKUP(INDIRECT(ADDRESS(2,COLUMN())),OFFSET($BN$2,0,0,ROW()-1,60),ROW()-1,FALSE))</f>
        <v>34.122873800000001</v>
      </c>
      <c r="Z246">
        <f ca="1">IF(AND(ISNUMBER($Z$915),$B$677=1),$Z$915,HLOOKUP(INDIRECT(ADDRESS(2,COLUMN())),OFFSET($BN$2,0,0,ROW()-1,60),ROW()-1,FALSE))</f>
        <v>19.79181912</v>
      </c>
      <c r="AA246">
        <f ca="1">IF(AND(ISNUMBER($AA$915),$B$677=1),$AA$915,HLOOKUP(INDIRECT(ADDRESS(2,COLUMN())),OFFSET($BN$2,0,0,ROW()-1,60),ROW()-1,FALSE))</f>
        <v>8.6885933000000009</v>
      </c>
      <c r="AB246">
        <f ca="1">IF(AND(ISNUMBER($AB$915),$B$677=1),$AB$915,HLOOKUP(INDIRECT(ADDRESS(2,COLUMN())),OFFSET($BN$2,0,0,ROW()-1,60),ROW()-1,FALSE))</f>
        <v>6.7291954890000003</v>
      </c>
      <c r="AC246">
        <f ca="1">IF(AND(ISNUMBER($AC$915),$B$677=1),$AC$915,HLOOKUP(INDIRECT(ADDRESS(2,COLUMN())),OFFSET($BN$2,0,0,ROW()-1,60),ROW()-1,FALSE))</f>
        <v>7.1778488610000002</v>
      </c>
      <c r="AD246">
        <f ca="1">IF(AND(ISNUMBER($AD$915),$B$677=1),$AD$915,HLOOKUP(INDIRECT(ADDRESS(2,COLUMN())),OFFSET($BN$2,0,0,ROW()-1,60),ROW()-1,FALSE))</f>
        <v>5.2892210200000003</v>
      </c>
      <c r="AE246">
        <f ca="1">IF(AND(ISNUMBER($AE$915),$B$677=1),$AE$915,HLOOKUP(INDIRECT(ADDRESS(2,COLUMN())),OFFSET($BN$2,0,0,ROW()-1,60),ROW()-1,FALSE))</f>
        <v>7.8819856929999998</v>
      </c>
      <c r="AF246">
        <f ca="1">IF(AND(ISNUMBER($AF$915),$B$677=1),$AF$915,HLOOKUP(INDIRECT(ADDRESS(2,COLUMN())),OFFSET($BN$2,0,0,ROW()-1,60),ROW()-1,FALSE))</f>
        <v>7.8031003739999996</v>
      </c>
      <c r="AG246">
        <f ca="1">IF(AND(ISNUMBER($AG$915),$B$677=1),$AG$915,HLOOKUP(INDIRECT(ADDRESS(2,COLUMN())),OFFSET($BN$2,0,0,ROW()-1,60),ROW()-1,FALSE))</f>
        <v>11.0376537</v>
      </c>
      <c r="AH246" t="str">
        <f ca="1">IF(AND(ISNUMBER($AH$915),$B$677=1),$AH$915,HLOOKUP(INDIRECT(ADDRESS(2,COLUMN())),OFFSET($BN$2,0,0,ROW()-1,60),ROW()-1,FALSE))</f>
        <v/>
      </c>
      <c r="AI246" t="str">
        <f ca="1">IF(AND(ISNUMBER($AI$915),$B$677=1),$AI$915,HLOOKUP(INDIRECT(ADDRESS(2,COLUMN())),OFFSET($BN$2,0,0,ROW()-1,60),ROW()-1,FALSE))</f>
        <v/>
      </c>
      <c r="AJ246" t="str">
        <f ca="1">IF(AND(ISNUMBER($AJ$915),$B$677=1),$AJ$915,HLOOKUP(INDIRECT(ADDRESS(2,COLUMN())),OFFSET($BN$2,0,0,ROW()-1,60),ROW()-1,FALSE))</f>
        <v/>
      </c>
      <c r="AK246" t="str">
        <f ca="1">IF(AND(ISNUMBER($AK$915),$B$677=1),$AK$915,HLOOKUP(INDIRECT(ADDRESS(2,COLUMN())),OFFSET($BN$2,0,0,ROW()-1,60),ROW()-1,FALSE))</f>
        <v/>
      </c>
      <c r="AL246">
        <f ca="1">IF(AND(ISNUMBER($AL$915),$B$677=1),$AL$915,HLOOKUP(INDIRECT(ADDRESS(2,COLUMN())),OFFSET($BN$2,0,0,ROW()-1,60),ROW()-1,FALSE))</f>
        <v>20.39840766</v>
      </c>
      <c r="AM246">
        <f ca="1">IF(AND(ISNUMBER($AM$915),$B$677=1),$AM$915,HLOOKUP(INDIRECT(ADDRESS(2,COLUMN())),OFFSET($BN$2,0,0,ROW()-1,60),ROW()-1,FALSE))</f>
        <v>18.83658063</v>
      </c>
      <c r="AN246">
        <f ca="1">IF(AND(ISNUMBER($AN$915),$B$677=1),$AN$915,HLOOKUP(INDIRECT(ADDRESS(2,COLUMN())),OFFSET($BN$2,0,0,ROW()-1,60),ROW()-1,FALSE))</f>
        <v>9.0771338959999994</v>
      </c>
      <c r="AO246">
        <f ca="1">IF(AND(ISNUMBER($AO$915),$B$677=1),$AO$915,HLOOKUP(INDIRECT(ADDRESS(2,COLUMN())),OFFSET($BN$2,0,0,ROW()-1,60),ROW()-1,FALSE))</f>
        <v>8.2584718929999994</v>
      </c>
      <c r="AP246">
        <f ca="1">IF(AND(ISNUMBER($AP$915),$B$677=1),$AP$915,HLOOKUP(INDIRECT(ADDRESS(2,COLUMN())),OFFSET($BN$2,0,0,ROW()-1,60),ROW()-1,FALSE))</f>
        <v>4.149359434</v>
      </c>
      <c r="AQ246">
        <f ca="1">IF(AND(ISNUMBER($AQ$915),$B$677=1),$AQ$915,HLOOKUP(INDIRECT(ADDRESS(2,COLUMN())),OFFSET($BN$2,0,0,ROW()-1,60),ROW()-1,FALSE))</f>
        <v>5.5616040819999997</v>
      </c>
      <c r="AR246" t="str">
        <f ca="1">IF(AND(ISNUMBER($AR$915),$B$677=1),$AR$915,HLOOKUP(INDIRECT(ADDRESS(2,COLUMN())),OFFSET($BN$2,0,0,ROW()-1,60),ROW()-1,FALSE))</f>
        <v/>
      </c>
      <c r="AS246" t="str">
        <f ca="1">IF(AND(ISNUMBER($AS$915),$B$677=1),$AS$915,HLOOKUP(INDIRECT(ADDRESS(2,COLUMN())),OFFSET($BN$2,0,0,ROW()-1,60),ROW()-1,FALSE))</f>
        <v/>
      </c>
      <c r="AT246" t="str">
        <f ca="1">IF(AND(ISNUMBER($AT$915),$B$677=1),$AT$915,HLOOKUP(INDIRECT(ADDRESS(2,COLUMN())),OFFSET($BN$2,0,0,ROW()-1,60),ROW()-1,FALSE))</f>
        <v/>
      </c>
      <c r="AU246" t="str">
        <f ca="1">IF(AND(ISNUMBER($AU$915),$B$677=1),$AU$915,HLOOKUP(INDIRECT(ADDRESS(2,COLUMN())),OFFSET($BN$2,0,0,ROW()-1,60),ROW()-1,FALSE))</f>
        <v/>
      </c>
      <c r="AV246" t="str">
        <f ca="1">IF(AND(ISNUMBER($AV$915),$B$677=1),$AV$915,HLOOKUP(INDIRECT(ADDRESS(2,COLUMN())),OFFSET($BN$2,0,0,ROW()-1,60),ROW()-1,FALSE))</f>
        <v/>
      </c>
      <c r="AW246" t="str">
        <f ca="1">IF(AND(ISNUMBER($AW$915),$B$677=1),$AW$915,HLOOKUP(INDIRECT(ADDRESS(2,COLUMN())),OFFSET($BN$2,0,0,ROW()-1,60),ROW()-1,FALSE))</f>
        <v/>
      </c>
      <c r="AX246" t="str">
        <f ca="1">IF(AND(ISNUMBER($AX$915),$B$677=1),$AX$915,HLOOKUP(INDIRECT(ADDRESS(2,COLUMN())),OFFSET($BN$2,0,0,ROW()-1,60),ROW()-1,FALSE))</f>
        <v/>
      </c>
      <c r="AY246" t="str">
        <f ca="1">IF(AND(ISNUMBER($AY$915),$B$677=1),$AY$915,HLOOKUP(INDIRECT(ADDRESS(2,COLUMN())),OFFSET($BN$2,0,0,ROW()-1,60),ROW()-1,FALSE))</f>
        <v/>
      </c>
      <c r="AZ246" t="str">
        <f ca="1">IF(AND(ISNUMBER($AZ$915),$B$677=1),$AZ$915,HLOOKUP(INDIRECT(ADDRESS(2,COLUMN())),OFFSET($BN$2,0,0,ROW()-1,60),ROW()-1,FALSE))</f>
        <v/>
      </c>
      <c r="BA246" t="str">
        <f ca="1">IF(AND(ISNUMBER($BA$915),$B$677=1),$BA$915,HLOOKUP(INDIRECT(ADDRESS(2,COLUMN())),OFFSET($BN$2,0,0,ROW()-1,60),ROW()-1,FALSE))</f>
        <v/>
      </c>
      <c r="BB246" t="str">
        <f ca="1">IF(AND(ISNUMBER($BB$915),$B$677=1),$BB$915,HLOOKUP(INDIRECT(ADDRESS(2,COLUMN())),OFFSET($BN$2,0,0,ROW()-1,60),ROW()-1,FALSE))</f>
        <v/>
      </c>
      <c r="BC246" t="str">
        <f ca="1">IF(AND(ISNUMBER($BC$915),$B$677=1),$BC$915,HLOOKUP(INDIRECT(ADDRESS(2,COLUMN())),OFFSET($BN$2,0,0,ROW()-1,60),ROW()-1,FALSE))</f>
        <v/>
      </c>
      <c r="BD246">
        <f ca="1">IF(AND(ISNUMBER($BD$915),$B$677=1),$BD$915,HLOOKUP(INDIRECT(ADDRESS(2,COLUMN())),OFFSET($BN$2,0,0,ROW()-1,60),ROW()-1,FALSE))</f>
        <v>11.648355479999999</v>
      </c>
      <c r="BE246">
        <f ca="1">IF(AND(ISNUMBER($BE$915),$B$677=1),$BE$915,HLOOKUP(INDIRECT(ADDRESS(2,COLUMN())),OFFSET($BN$2,0,0,ROW()-1,60),ROW()-1,FALSE))</f>
        <v>11.81965482</v>
      </c>
      <c r="BF246">
        <f ca="1">IF(AND(ISNUMBER($BF$915),$B$677=1),$BF$915,HLOOKUP(INDIRECT(ADDRESS(2,COLUMN())),OFFSET($BN$2,0,0,ROW()-1,60),ROW()-1,FALSE))</f>
        <v>14.92924197</v>
      </c>
      <c r="BG246">
        <f ca="1">IF(AND(ISNUMBER($BG$915),$B$677=1),$BG$915,HLOOKUP(INDIRECT(ADDRESS(2,COLUMN())),OFFSET($BN$2,0,0,ROW()-1,60),ROW()-1,FALSE))</f>
        <v>12.558811970000001</v>
      </c>
      <c r="BH246" t="str">
        <f ca="1">IF(AND(ISNUMBER($BH$915),$B$677=1),$BH$915,HLOOKUP(INDIRECT(ADDRESS(2,COLUMN())),OFFSET($BN$2,0,0,ROW()-1,60),ROW()-1,FALSE))</f>
        <v/>
      </c>
      <c r="BI246" t="str">
        <f ca="1">IF(AND(ISNUMBER($BI$915),$B$677=1),$BI$915,HLOOKUP(INDIRECT(ADDRESS(2,COLUMN())),OFFSET($BN$2,0,0,ROW()-1,60),ROW()-1,FALSE))</f>
        <v/>
      </c>
      <c r="BJ246" t="str">
        <f ca="1">IF(AND(ISNUMBER($BJ$915),$B$677=1),$BJ$915,HLOOKUP(INDIRECT(ADDRESS(2,COLUMN())),OFFSET($BN$2,0,0,ROW()-1,60),ROW()-1,FALSE))</f>
        <v/>
      </c>
      <c r="BK246" t="str">
        <f ca="1">IF(AND(ISNUMBER($BK$915),$B$677=1),$BK$915,HLOOKUP(INDIRECT(ADDRESS(2,COLUMN())),OFFSET($BN$2,0,0,ROW()-1,60),ROW()-1,FALSE))</f>
        <v/>
      </c>
      <c r="BL246" t="str">
        <f ca="1">IF(AND(ISNUMBER($BL$915),$B$677=1),$BL$915,HLOOKUP(INDIRECT(ADDRESS(2,COLUMN())),OFFSET($BN$2,0,0,ROW()-1,60),ROW()-1,FALSE))</f>
        <v/>
      </c>
      <c r="BM246" t="str">
        <f ca="1">IF(AND(ISNUMBER($BM$915),$B$677=1),$BM$915,HLOOKUP(INDIRECT(ADDRESS(2,COLUMN())),OFFSET($BN$2,0,0,ROW()-1,60),ROW()-1,FALSE))</f>
        <v/>
      </c>
      <c r="BN246">
        <f>9.560193314</f>
        <v>9.5601933139999993</v>
      </c>
      <c r="BO246">
        <f>8.07836335</f>
        <v>8.0783633500000001</v>
      </c>
      <c r="BP246">
        <f>9.677262663</f>
        <v>9.6772626630000005</v>
      </c>
      <c r="BQ246">
        <f>10.64145062</f>
        <v>10.641450620000001</v>
      </c>
      <c r="BR246">
        <f>14.42611904</f>
        <v>14.42611904</v>
      </c>
      <c r="BS246">
        <f>21.58590321</f>
        <v>21.585903210000001</v>
      </c>
      <c r="BT246">
        <f>9.441727149</f>
        <v>9.4417271490000001</v>
      </c>
      <c r="BU246">
        <f>9.039362649</f>
        <v>9.0393626489999992</v>
      </c>
      <c r="BV246">
        <f>8.869743147</f>
        <v>8.8697431469999994</v>
      </c>
      <c r="BW246">
        <f>36.37125634</f>
        <v>36.371256340000002</v>
      </c>
      <c r="BX246">
        <f>183.0399571</f>
        <v>183.03995710000001</v>
      </c>
      <c r="BY246" t="str">
        <f>""</f>
        <v/>
      </c>
      <c r="BZ246">
        <f>139.3622298</f>
        <v>139.36222979999999</v>
      </c>
      <c r="CA246">
        <f>115.3237665</f>
        <v>115.3237665</v>
      </c>
      <c r="CB246" t="str">
        <f>""</f>
        <v/>
      </c>
      <c r="CC246" t="str">
        <f>""</f>
        <v/>
      </c>
      <c r="CD246" t="str">
        <f>""</f>
        <v/>
      </c>
      <c r="CE246">
        <f>33.3097218</f>
        <v>33.309721799999998</v>
      </c>
      <c r="CF246">
        <f>26.98509108</f>
        <v>26.98509108</v>
      </c>
      <c r="CG246">
        <f>34.1228738</f>
        <v>34.122873800000001</v>
      </c>
      <c r="CH246">
        <f>19.79181912</f>
        <v>19.79181912</v>
      </c>
      <c r="CI246">
        <f>8.6885933</f>
        <v>8.6885933000000009</v>
      </c>
      <c r="CJ246">
        <f>6.729195489</f>
        <v>6.7291954890000003</v>
      </c>
      <c r="CK246">
        <f>7.177848861</f>
        <v>7.1778488610000002</v>
      </c>
      <c r="CL246">
        <f>5.28922102</f>
        <v>5.2892210200000003</v>
      </c>
      <c r="CM246">
        <f>7.881985693</f>
        <v>7.8819856929999998</v>
      </c>
      <c r="CN246">
        <f>7.803100374</f>
        <v>7.8031003739999996</v>
      </c>
      <c r="CO246">
        <f>11.0376537</f>
        <v>11.0376537</v>
      </c>
      <c r="CP246" t="str">
        <f>""</f>
        <v/>
      </c>
      <c r="CQ246" t="str">
        <f>""</f>
        <v/>
      </c>
      <c r="CR246" t="str">
        <f>""</f>
        <v/>
      </c>
      <c r="CS246" t="str">
        <f>""</f>
        <v/>
      </c>
      <c r="CT246">
        <f>20.39840766</f>
        <v>20.39840766</v>
      </c>
      <c r="CU246">
        <f>18.83658063</f>
        <v>18.83658063</v>
      </c>
      <c r="CV246">
        <f>9.077133896</f>
        <v>9.0771338959999994</v>
      </c>
      <c r="CW246">
        <f>8.258471893</f>
        <v>8.2584718929999994</v>
      </c>
      <c r="CX246">
        <f>4.149359434</f>
        <v>4.149359434</v>
      </c>
      <c r="CY246">
        <f>5.561604082</f>
        <v>5.5616040819999997</v>
      </c>
      <c r="CZ246" t="str">
        <f>""</f>
        <v/>
      </c>
      <c r="DA246" t="str">
        <f>""</f>
        <v/>
      </c>
      <c r="DB246" t="str">
        <f>""</f>
        <v/>
      </c>
      <c r="DC246" t="str">
        <f>""</f>
        <v/>
      </c>
      <c r="DD246" t="str">
        <f>""</f>
        <v/>
      </c>
      <c r="DE246" t="str">
        <f>""</f>
        <v/>
      </c>
      <c r="DF246" t="str">
        <f>""</f>
        <v/>
      </c>
      <c r="DG246" t="str">
        <f>""</f>
        <v/>
      </c>
      <c r="DH246" t="str">
        <f>""</f>
        <v/>
      </c>
      <c r="DI246" t="str">
        <f>""</f>
        <v/>
      </c>
      <c r="DJ246" t="str">
        <f>""</f>
        <v/>
      </c>
      <c r="DK246" t="str">
        <f>""</f>
        <v/>
      </c>
      <c r="DL246">
        <f>11.64835548</f>
        <v>11.648355479999999</v>
      </c>
      <c r="DM246">
        <f>11.81965482</f>
        <v>11.81965482</v>
      </c>
      <c r="DN246">
        <f>14.92924197</f>
        <v>14.92924197</v>
      </c>
      <c r="DO246">
        <f>12.55881197</f>
        <v>12.558811970000001</v>
      </c>
      <c r="DP246" t="str">
        <f>""</f>
        <v/>
      </c>
      <c r="DQ246" t="str">
        <f>""</f>
        <v/>
      </c>
      <c r="DR246" t="str">
        <f>""</f>
        <v/>
      </c>
      <c r="DS246" t="str">
        <f>""</f>
        <v/>
      </c>
      <c r="DT246" t="str">
        <f>""</f>
        <v/>
      </c>
      <c r="DU246" t="str">
        <f>""</f>
        <v/>
      </c>
    </row>
    <row r="247" spans="1:125" x14ac:dyDescent="0.25">
      <c r="A247" t="str">
        <f>"    Toyota Motor Corp"</f>
        <v xml:space="preserve">    Toyota Motor Corp</v>
      </c>
      <c r="B247" t="str">
        <f>"7203 JP Equity"</f>
        <v>7203 JP Equity</v>
      </c>
      <c r="C247" t="str">
        <f t="shared" si="15"/>
        <v>RR971</v>
      </c>
      <c r="D247" t="str">
        <f t="shared" si="16"/>
        <v>CURRENT_PX_TO_FREE_CASH_FLOW</v>
      </c>
      <c r="E247" t="str">
        <f t="shared" si="17"/>
        <v>Dynamic</v>
      </c>
      <c r="F247">
        <f ca="1">IF(AND(ISNUMBER($F$916),$B$677=1),$F$916,HLOOKUP(INDIRECT(ADDRESS(2,COLUMN())),OFFSET($BN$2,0,0,ROW()-1,60),ROW()-1,FALSE))</f>
        <v>7.0441829690000004</v>
      </c>
      <c r="G247">
        <f ca="1">IF(AND(ISNUMBER($G$916),$B$677=1),$G$916,HLOOKUP(INDIRECT(ADDRESS(2,COLUMN())),OFFSET($BN$2,0,0,ROW()-1,60),ROW()-1,FALSE))</f>
        <v>6.7150351339999999</v>
      </c>
      <c r="H247">
        <f ca="1">IF(AND(ISNUMBER($H$916),$B$677=1),$H$916,HLOOKUP(INDIRECT(ADDRESS(2,COLUMN())),OFFSET($BN$2,0,0,ROW()-1,60),ROW()-1,FALSE))</f>
        <v>8.0407995010000004</v>
      </c>
      <c r="I247">
        <f ca="1">IF(AND(ISNUMBER($I$916),$B$677=1),$I$916,HLOOKUP(INDIRECT(ADDRESS(2,COLUMN())),OFFSET($BN$2,0,0,ROW()-1,60),ROW()-1,FALSE))</f>
        <v>8.3127613250000003</v>
      </c>
      <c r="J247">
        <f ca="1">IF(AND(ISNUMBER($J$916),$B$677=1),$J$916,HLOOKUP(INDIRECT(ADDRESS(2,COLUMN())),OFFSET($BN$2,0,0,ROW()-1,60),ROW()-1,FALSE))</f>
        <v>6.8889079229999997</v>
      </c>
      <c r="K247">
        <f ca="1">IF(AND(ISNUMBER($K$916),$B$677=1),$K$916,HLOOKUP(INDIRECT(ADDRESS(2,COLUMN())),OFFSET($BN$2,0,0,ROW()-1,60),ROW()-1,FALSE))</f>
        <v>7.4700930740000002</v>
      </c>
      <c r="L247">
        <f ca="1">IF(AND(ISNUMBER($L$916),$B$677=1),$L$916,HLOOKUP(INDIRECT(ADDRESS(2,COLUMN())),OFFSET($BN$2,0,0,ROW()-1,60),ROW()-1,FALSE))</f>
        <v>7.4774632810000004</v>
      </c>
      <c r="M247">
        <f ca="1">IF(AND(ISNUMBER($M$916),$B$677=1),$M$916,HLOOKUP(INDIRECT(ADDRESS(2,COLUMN())),OFFSET($BN$2,0,0,ROW()-1,60),ROW()-1,FALSE))</f>
        <v>8.1897170199999998</v>
      </c>
      <c r="N247">
        <f ca="1">IF(AND(ISNUMBER($N$916),$B$677=1),$N$916,HLOOKUP(INDIRECT(ADDRESS(2,COLUMN())),OFFSET($BN$2,0,0,ROW()-1,60),ROW()-1,FALSE))</f>
        <v>8.2932957399999996</v>
      </c>
      <c r="O247">
        <f ca="1">IF(AND(ISNUMBER($O$916),$B$677=1),$O$916,HLOOKUP(INDIRECT(ADDRESS(2,COLUMN())),OFFSET($BN$2,0,0,ROW()-1,60),ROW()-1,FALSE))</f>
        <v>8.8987960679999993</v>
      </c>
      <c r="P247">
        <f ca="1">IF(AND(ISNUMBER($P$916),$B$677=1),$P$916,HLOOKUP(INDIRECT(ADDRESS(2,COLUMN())),OFFSET($BN$2,0,0,ROW()-1,60),ROW()-1,FALSE))</f>
        <v>6.2430402330000003</v>
      </c>
      <c r="Q247">
        <f ca="1">IF(AND(ISNUMBER($Q$916),$B$677=1),$Q$916,HLOOKUP(INDIRECT(ADDRESS(2,COLUMN())),OFFSET($BN$2,0,0,ROW()-1,60),ROW()-1,FALSE))</f>
        <v>4.7570613230000003</v>
      </c>
      <c r="R247">
        <f ca="1">IF(AND(ISNUMBER($R$916),$B$677=1),$R$916,HLOOKUP(INDIRECT(ADDRESS(2,COLUMN())),OFFSET($BN$2,0,0,ROW()-1,60),ROW()-1,FALSE))</f>
        <v>5.8130690009999997</v>
      </c>
      <c r="S247">
        <f ca="1">IF(AND(ISNUMBER($S$916),$B$677=1),$S$916,HLOOKUP(INDIRECT(ADDRESS(2,COLUMN())),OFFSET($BN$2,0,0,ROW()-1,60),ROW()-1,FALSE))</f>
        <v>7.606291079</v>
      </c>
      <c r="T247">
        <f ca="1">IF(AND(ISNUMBER($T$916),$B$677=1),$T$916,HLOOKUP(INDIRECT(ADDRESS(2,COLUMN())),OFFSET($BN$2,0,0,ROW()-1,60),ROW()-1,FALSE))</f>
        <v>8.1508095330000003</v>
      </c>
      <c r="U247">
        <f ca="1">IF(AND(ISNUMBER($U$916),$B$677=1),$U$916,HLOOKUP(INDIRECT(ADDRESS(2,COLUMN())),OFFSET($BN$2,0,0,ROW()-1,60),ROW()-1,FALSE))</f>
        <v>9.6695034369999995</v>
      </c>
      <c r="V247">
        <f ca="1">IF(AND(ISNUMBER($V$916),$B$677=1),$V$916,HLOOKUP(INDIRECT(ADDRESS(2,COLUMN())),OFFSET($BN$2,0,0,ROW()-1,60),ROW()-1,FALSE))</f>
        <v>10.421712039999999</v>
      </c>
      <c r="W247">
        <f ca="1">IF(AND(ISNUMBER($W$916),$B$677=1),$W$916,HLOOKUP(INDIRECT(ADDRESS(2,COLUMN())),OFFSET($BN$2,0,0,ROW()-1,60),ROW()-1,FALSE))</f>
        <v>10.881852070000001</v>
      </c>
      <c r="X247">
        <f ca="1">IF(AND(ISNUMBER($X$916),$B$677=1),$X$916,HLOOKUP(INDIRECT(ADDRESS(2,COLUMN())),OFFSET($BN$2,0,0,ROW()-1,60),ROW()-1,FALSE))</f>
        <v>8.7578763679999998</v>
      </c>
      <c r="Y247">
        <f ca="1">IF(AND(ISNUMBER($Y$916),$B$677=1),$Y$916,HLOOKUP(INDIRECT(ADDRESS(2,COLUMN())),OFFSET($BN$2,0,0,ROW()-1,60),ROW()-1,FALSE))</f>
        <v>7.7213115180000003</v>
      </c>
      <c r="Z247">
        <f ca="1">IF(AND(ISNUMBER($Z$916),$B$677=1),$Z$916,HLOOKUP(INDIRECT(ADDRESS(2,COLUMN())),OFFSET($BN$2,0,0,ROW()-1,60),ROW()-1,FALSE))</f>
        <v>6.8991361519999996</v>
      </c>
      <c r="AA247">
        <f ca="1">IF(AND(ISNUMBER($AA$916),$B$677=1),$AA$916,HLOOKUP(INDIRECT(ADDRESS(2,COLUMN())),OFFSET($BN$2,0,0,ROW()-1,60),ROW()-1,FALSE))</f>
        <v>8.2001778139999999</v>
      </c>
      <c r="AB247">
        <f ca="1">IF(AND(ISNUMBER($AB$916),$B$677=1),$AB$916,HLOOKUP(INDIRECT(ADDRESS(2,COLUMN())),OFFSET($BN$2,0,0,ROW()-1,60),ROW()-1,FALSE))</f>
        <v>8.9426732779999991</v>
      </c>
      <c r="AC247">
        <f ca="1">IF(AND(ISNUMBER($AC$916),$B$677=1),$AC$916,HLOOKUP(INDIRECT(ADDRESS(2,COLUMN())),OFFSET($BN$2,0,0,ROW()-1,60),ROW()-1,FALSE))</f>
        <v>10.161123480000001</v>
      </c>
      <c r="AD247">
        <f ca="1">IF(AND(ISNUMBER($AD$916),$B$677=1),$AD$916,HLOOKUP(INDIRECT(ADDRESS(2,COLUMN())),OFFSET($BN$2,0,0,ROW()-1,60),ROW()-1,FALSE))</f>
        <v>9.6390460939999993</v>
      </c>
      <c r="AE247">
        <f ca="1">IF(AND(ISNUMBER($AE$916),$B$677=1),$AE$916,HLOOKUP(INDIRECT(ADDRESS(2,COLUMN())),OFFSET($BN$2,0,0,ROW()-1,60),ROW()-1,FALSE))</f>
        <v>7.9314784310000004</v>
      </c>
      <c r="AF247">
        <f ca="1">IF(AND(ISNUMBER($AF$916),$B$677=1),$AF$916,HLOOKUP(INDIRECT(ADDRESS(2,COLUMN())),OFFSET($BN$2,0,0,ROW()-1,60),ROW()-1,FALSE))</f>
        <v>6.6857019600000003</v>
      </c>
      <c r="AG247">
        <f ca="1">IF(AND(ISNUMBER($AG$916),$B$677=1),$AG$916,HLOOKUP(INDIRECT(ADDRESS(2,COLUMN())),OFFSET($BN$2,0,0,ROW()-1,60),ROW()-1,FALSE))</f>
        <v>9.1338151090000004</v>
      </c>
      <c r="AH247">
        <f ca="1">IF(AND(ISNUMBER($AH$916),$B$677=1),$AH$916,HLOOKUP(INDIRECT(ADDRESS(2,COLUMN())),OFFSET($BN$2,0,0,ROW()-1,60),ROW()-1,FALSE))</f>
        <v>15.44576069</v>
      </c>
      <c r="AI247">
        <f ca="1">IF(AND(ISNUMBER($AI$916),$B$677=1),$AI$916,HLOOKUP(INDIRECT(ADDRESS(2,COLUMN())),OFFSET($BN$2,0,0,ROW()-1,60),ROW()-1,FALSE))</f>
        <v>11.70232624</v>
      </c>
      <c r="AJ247">
        <f ca="1">IF(AND(ISNUMBER($AJ$916),$B$677=1),$AJ$916,HLOOKUP(INDIRECT(ADDRESS(2,COLUMN())),OFFSET($BN$2,0,0,ROW()-1,60),ROW()-1,FALSE))</f>
        <v>13.381017959999999</v>
      </c>
      <c r="AK247">
        <f ca="1">IF(AND(ISNUMBER($AK$916),$B$677=1),$AK$916,HLOOKUP(INDIRECT(ADDRESS(2,COLUMN())),OFFSET($BN$2,0,0,ROW()-1,60),ROW()-1,FALSE))</f>
        <v>11.121177360000001</v>
      </c>
      <c r="AL247">
        <f ca="1">IF(AND(ISNUMBER($AL$916),$B$677=1),$AL$916,HLOOKUP(INDIRECT(ADDRESS(2,COLUMN())),OFFSET($BN$2,0,0,ROW()-1,60),ROW()-1,FALSE))</f>
        <v>7.5323783789999998</v>
      </c>
      <c r="AM247">
        <f ca="1">IF(AND(ISNUMBER($AM$916),$B$677=1),$AM$916,HLOOKUP(INDIRECT(ADDRESS(2,COLUMN())),OFFSET($BN$2,0,0,ROW()-1,60),ROW()-1,FALSE))</f>
        <v>7.3862604809999999</v>
      </c>
      <c r="AN247">
        <f ca="1">IF(AND(ISNUMBER($AN$916),$B$677=1),$AN$916,HLOOKUP(INDIRECT(ADDRESS(2,COLUMN())),OFFSET($BN$2,0,0,ROW()-1,60),ROW()-1,FALSE))</f>
        <v>5.6695137950000003</v>
      </c>
      <c r="AO247">
        <f ca="1">IF(AND(ISNUMBER($AO$916),$B$677=1),$AO$916,HLOOKUP(INDIRECT(ADDRESS(2,COLUMN())),OFFSET($BN$2,0,0,ROW()-1,60),ROW()-1,FALSE))</f>
        <v>4.3215017370000002</v>
      </c>
      <c r="AP247">
        <f ca="1">IF(AND(ISNUMBER($AP$916),$B$677=1),$AP$916,HLOOKUP(INDIRECT(ADDRESS(2,COLUMN())),OFFSET($BN$2,0,0,ROW()-1,60),ROW()-1,FALSE))</f>
        <v>6.010405274</v>
      </c>
      <c r="AQ247">
        <f ca="1">IF(AND(ISNUMBER($AQ$916),$B$677=1),$AQ$916,HLOOKUP(INDIRECT(ADDRESS(2,COLUMN())),OFFSET($BN$2,0,0,ROW()-1,60),ROW()-1,FALSE))</f>
        <v>7.6463193739999999</v>
      </c>
      <c r="AR247">
        <f ca="1">IF(AND(ISNUMBER($AR$916),$B$677=1),$AR$916,HLOOKUP(INDIRECT(ADDRESS(2,COLUMN())),OFFSET($BN$2,0,0,ROW()-1,60),ROW()-1,FALSE))</f>
        <v>20.760865710000001</v>
      </c>
      <c r="AS247">
        <f ca="1">IF(AND(ISNUMBER($AS$916),$B$677=1),$AS$916,HLOOKUP(INDIRECT(ADDRESS(2,COLUMN())),OFFSET($BN$2,0,0,ROW()-1,60),ROW()-1,FALSE))</f>
        <v>102.08933330000001</v>
      </c>
      <c r="AT247">
        <f ca="1">IF(AND(ISNUMBER($AT$916),$B$677=1),$AT$916,HLOOKUP(INDIRECT(ADDRESS(2,COLUMN())),OFFSET($BN$2,0,0,ROW()-1,60),ROW()-1,FALSE))</f>
        <v>89.220929949999999</v>
      </c>
      <c r="AU247" t="str">
        <f ca="1">IF(AND(ISNUMBER($AU$916),$B$677=1),$AU$916,HLOOKUP(INDIRECT(ADDRESS(2,COLUMN())),OFFSET($BN$2,0,0,ROW()-1,60),ROW()-1,FALSE))</f>
        <v/>
      </c>
      <c r="AV247" t="str">
        <f ca="1">IF(AND(ISNUMBER($AV$916),$B$677=1),$AV$916,HLOOKUP(INDIRECT(ADDRESS(2,COLUMN())),OFFSET($BN$2,0,0,ROW()-1,60),ROW()-1,FALSE))</f>
        <v/>
      </c>
      <c r="AW247" t="str">
        <f ca="1">IF(AND(ISNUMBER($AW$916),$B$677=1),$AW$916,HLOOKUP(INDIRECT(ADDRESS(2,COLUMN())),OFFSET($BN$2,0,0,ROW()-1,60),ROW()-1,FALSE))</f>
        <v/>
      </c>
      <c r="AX247" t="str">
        <f ca="1">IF(AND(ISNUMBER($AX$916),$B$677=1),$AX$916,HLOOKUP(INDIRECT(ADDRESS(2,COLUMN())),OFFSET($BN$2,0,0,ROW()-1,60),ROW()-1,FALSE))</f>
        <v/>
      </c>
      <c r="AY247" t="str">
        <f ca="1">IF(AND(ISNUMBER($AY$916),$B$677=1),$AY$916,HLOOKUP(INDIRECT(ADDRESS(2,COLUMN())),OFFSET($BN$2,0,0,ROW()-1,60),ROW()-1,FALSE))</f>
        <v/>
      </c>
      <c r="AZ247" t="str">
        <f ca="1">IF(AND(ISNUMBER($AZ$916),$B$677=1),$AZ$916,HLOOKUP(INDIRECT(ADDRESS(2,COLUMN())),OFFSET($BN$2,0,0,ROW()-1,60),ROW()-1,FALSE))</f>
        <v/>
      </c>
      <c r="BA247" t="str">
        <f ca="1">IF(AND(ISNUMBER($BA$916),$B$677=1),$BA$916,HLOOKUP(INDIRECT(ADDRESS(2,COLUMN())),OFFSET($BN$2,0,0,ROW()-1,60),ROW()-1,FALSE))</f>
        <v/>
      </c>
      <c r="BB247" t="str">
        <f ca="1">IF(AND(ISNUMBER($BB$916),$B$677=1),$BB$916,HLOOKUP(INDIRECT(ADDRESS(2,COLUMN())),OFFSET($BN$2,0,0,ROW()-1,60),ROW()-1,FALSE))</f>
        <v/>
      </c>
      <c r="BC247" t="str">
        <f ca="1">IF(AND(ISNUMBER($BC$916),$B$677=1),$BC$916,HLOOKUP(INDIRECT(ADDRESS(2,COLUMN())),OFFSET($BN$2,0,0,ROW()-1,60),ROW()-1,FALSE))</f>
        <v/>
      </c>
      <c r="BD247" t="str">
        <f ca="1">IF(AND(ISNUMBER($BD$916),$B$677=1),$BD$916,HLOOKUP(INDIRECT(ADDRESS(2,COLUMN())),OFFSET($BN$2,0,0,ROW()-1,60),ROW()-1,FALSE))</f>
        <v/>
      </c>
      <c r="BE247" t="str">
        <f ca="1">IF(AND(ISNUMBER($BE$916),$B$677=1),$BE$916,HLOOKUP(INDIRECT(ADDRESS(2,COLUMN())),OFFSET($BN$2,0,0,ROW()-1,60),ROW()-1,FALSE))</f>
        <v/>
      </c>
      <c r="BF247" t="str">
        <f ca="1">IF(AND(ISNUMBER($BF$916),$B$677=1),$BF$916,HLOOKUP(INDIRECT(ADDRESS(2,COLUMN())),OFFSET($BN$2,0,0,ROW()-1,60),ROW()-1,FALSE))</f>
        <v/>
      </c>
      <c r="BG247" t="str">
        <f ca="1">IF(AND(ISNUMBER($BG$916),$B$677=1),$BG$916,HLOOKUP(INDIRECT(ADDRESS(2,COLUMN())),OFFSET($BN$2,0,0,ROW()-1,60),ROW()-1,FALSE))</f>
        <v/>
      </c>
      <c r="BH247" t="str">
        <f ca="1">IF(AND(ISNUMBER($BH$916),$B$677=1),$BH$916,HLOOKUP(INDIRECT(ADDRESS(2,COLUMN())),OFFSET($BN$2,0,0,ROW()-1,60),ROW()-1,FALSE))</f>
        <v/>
      </c>
      <c r="BI247" t="str">
        <f ca="1">IF(AND(ISNUMBER($BI$916),$B$677=1),$BI$916,HLOOKUP(INDIRECT(ADDRESS(2,COLUMN())),OFFSET($BN$2,0,0,ROW()-1,60),ROW()-1,FALSE))</f>
        <v/>
      </c>
      <c r="BJ247" t="str">
        <f ca="1">IF(AND(ISNUMBER($BJ$916),$B$677=1),$BJ$916,HLOOKUP(INDIRECT(ADDRESS(2,COLUMN())),OFFSET($BN$2,0,0,ROW()-1,60),ROW()-1,FALSE))</f>
        <v/>
      </c>
      <c r="BK247" t="str">
        <f ca="1">IF(AND(ISNUMBER($BK$916),$B$677=1),$BK$916,HLOOKUP(INDIRECT(ADDRESS(2,COLUMN())),OFFSET($BN$2,0,0,ROW()-1,60),ROW()-1,FALSE))</f>
        <v/>
      </c>
      <c r="BL247" t="str">
        <f ca="1">IF(AND(ISNUMBER($BL$916),$B$677=1),$BL$916,HLOOKUP(INDIRECT(ADDRESS(2,COLUMN())),OFFSET($BN$2,0,0,ROW()-1,60),ROW()-1,FALSE))</f>
        <v/>
      </c>
      <c r="BM247" t="str">
        <f ca="1">IF(AND(ISNUMBER($BM$916),$B$677=1),$BM$916,HLOOKUP(INDIRECT(ADDRESS(2,COLUMN())),OFFSET($BN$2,0,0,ROW()-1,60),ROW()-1,FALSE))</f>
        <v/>
      </c>
      <c r="BN247">
        <f>7.044182969</f>
        <v>7.0441829690000004</v>
      </c>
      <c r="BO247">
        <f>6.715035134</f>
        <v>6.7150351339999999</v>
      </c>
      <c r="BP247">
        <f>8.040799501</f>
        <v>8.0407995010000004</v>
      </c>
      <c r="BQ247">
        <f>8.312761325</f>
        <v>8.3127613250000003</v>
      </c>
      <c r="BR247">
        <f>6.888907923</f>
        <v>6.8889079229999997</v>
      </c>
      <c r="BS247">
        <f>7.470093074</f>
        <v>7.4700930740000002</v>
      </c>
      <c r="BT247">
        <f>7.477463281</f>
        <v>7.4774632810000004</v>
      </c>
      <c r="BU247">
        <f>8.18971702</f>
        <v>8.1897170199999998</v>
      </c>
      <c r="BV247">
        <f>8.29329574</f>
        <v>8.2932957399999996</v>
      </c>
      <c r="BW247">
        <f>8.898796068</f>
        <v>8.8987960679999993</v>
      </c>
      <c r="BX247">
        <f>6.243040233</f>
        <v>6.2430402330000003</v>
      </c>
      <c r="BY247">
        <f>4.757061323</f>
        <v>4.7570613230000003</v>
      </c>
      <c r="BZ247">
        <f>5.813069001</f>
        <v>5.8130690009999997</v>
      </c>
      <c r="CA247">
        <f>7.606291079</f>
        <v>7.606291079</v>
      </c>
      <c r="CB247">
        <f>8.150809533</f>
        <v>8.1508095330000003</v>
      </c>
      <c r="CC247">
        <f>9.669503437</f>
        <v>9.6695034369999995</v>
      </c>
      <c r="CD247">
        <f>10.42171204</f>
        <v>10.421712039999999</v>
      </c>
      <c r="CE247">
        <f>10.88185207</f>
        <v>10.881852070000001</v>
      </c>
      <c r="CF247">
        <f>8.757876368</f>
        <v>8.7578763679999998</v>
      </c>
      <c r="CG247">
        <f>7.721311518</f>
        <v>7.7213115180000003</v>
      </c>
      <c r="CH247">
        <f>6.899136152</f>
        <v>6.8991361519999996</v>
      </c>
      <c r="CI247">
        <f>8.200177814</f>
        <v>8.2001778139999999</v>
      </c>
      <c r="CJ247">
        <f>8.942673278</f>
        <v>8.9426732779999991</v>
      </c>
      <c r="CK247">
        <f>10.16112348</f>
        <v>10.161123480000001</v>
      </c>
      <c r="CL247">
        <f>9.639046094</f>
        <v>9.6390460939999993</v>
      </c>
      <c r="CM247">
        <f>7.931478431</f>
        <v>7.9314784310000004</v>
      </c>
      <c r="CN247">
        <f>6.68570196</f>
        <v>6.6857019600000003</v>
      </c>
      <c r="CO247">
        <f>9.133815109</f>
        <v>9.1338151090000004</v>
      </c>
      <c r="CP247">
        <f>15.44576069</f>
        <v>15.44576069</v>
      </c>
      <c r="CQ247">
        <f>11.70232624</f>
        <v>11.70232624</v>
      </c>
      <c r="CR247">
        <f>13.38101796</f>
        <v>13.381017959999999</v>
      </c>
      <c r="CS247">
        <f>11.12117736</f>
        <v>11.121177360000001</v>
      </c>
      <c r="CT247">
        <f>7.532378379</f>
        <v>7.5323783789999998</v>
      </c>
      <c r="CU247">
        <f>7.386260481</f>
        <v>7.3862604809999999</v>
      </c>
      <c r="CV247">
        <f>5.669513795</f>
        <v>5.6695137950000003</v>
      </c>
      <c r="CW247">
        <f>4.321501737</f>
        <v>4.3215017370000002</v>
      </c>
      <c r="CX247">
        <f>6.010405274</f>
        <v>6.010405274</v>
      </c>
      <c r="CY247">
        <f>7.646319374</f>
        <v>7.6463193739999999</v>
      </c>
      <c r="CZ247">
        <f>20.76086571</f>
        <v>20.760865710000001</v>
      </c>
      <c r="DA247">
        <f>102.0893333</f>
        <v>102.08933330000001</v>
      </c>
      <c r="DB247">
        <f>89.22092995</f>
        <v>89.220929949999999</v>
      </c>
      <c r="DC247" t="str">
        <f>""</f>
        <v/>
      </c>
      <c r="DD247" t="str">
        <f>""</f>
        <v/>
      </c>
      <c r="DE247" t="str">
        <f>""</f>
        <v/>
      </c>
      <c r="DF247" t="str">
        <f>""</f>
        <v/>
      </c>
      <c r="DG247" t="str">
        <f>""</f>
        <v/>
      </c>
      <c r="DH247" t="str">
        <f>""</f>
        <v/>
      </c>
      <c r="DI247" t="str">
        <f>""</f>
        <v/>
      </c>
      <c r="DJ247" t="str">
        <f>""</f>
        <v/>
      </c>
      <c r="DK247" t="str">
        <f>""</f>
        <v/>
      </c>
      <c r="DL247" t="str">
        <f>""</f>
        <v/>
      </c>
      <c r="DM247" t="str">
        <f>""</f>
        <v/>
      </c>
      <c r="DN247" t="str">
        <f>""</f>
        <v/>
      </c>
      <c r="DO247" t="str">
        <f>""</f>
        <v/>
      </c>
      <c r="DP247" t="str">
        <f>""</f>
        <v/>
      </c>
      <c r="DQ247" t="str">
        <f>""</f>
        <v/>
      </c>
      <c r="DR247" t="str">
        <f>""</f>
        <v/>
      </c>
      <c r="DS247" t="str">
        <f>""</f>
        <v/>
      </c>
      <c r="DT247" t="str">
        <f>""</f>
        <v/>
      </c>
      <c r="DU247" t="str">
        <f>""</f>
        <v/>
      </c>
    </row>
    <row r="248" spans="1:125" x14ac:dyDescent="0.25">
      <c r="A248" t="str">
        <f>"    Volkswagen AG"</f>
        <v xml:space="preserve">    Volkswagen AG</v>
      </c>
      <c r="B248" t="str">
        <f>"VOW GR Equity"</f>
        <v>VOW GR Equity</v>
      </c>
      <c r="C248" t="str">
        <f t="shared" si="15"/>
        <v>RR971</v>
      </c>
      <c r="D248" t="str">
        <f t="shared" si="16"/>
        <v>CURRENT_PX_TO_FREE_CASH_FLOW</v>
      </c>
      <c r="E248" t="str">
        <f t="shared" si="17"/>
        <v>Dynamic</v>
      </c>
      <c r="F248" t="str">
        <f ca="1">IF(AND(ISNUMBER($F$917),$B$677=1),$F$917,HLOOKUP(INDIRECT(ADDRESS(2,COLUMN())),OFFSET($BN$2,0,0,ROW()-1,60),ROW()-1,FALSE))</f>
        <v/>
      </c>
      <c r="G248" t="str">
        <f ca="1">IF(AND(ISNUMBER($G$917),$B$677=1),$G$917,HLOOKUP(INDIRECT(ADDRESS(2,COLUMN())),OFFSET($BN$2,0,0,ROW()-1,60),ROW()-1,FALSE))</f>
        <v/>
      </c>
      <c r="H248" t="str">
        <f ca="1">IF(AND(ISNUMBER($H$917),$B$677=1),$H$917,HLOOKUP(INDIRECT(ADDRESS(2,COLUMN())),OFFSET($BN$2,0,0,ROW()-1,60),ROW()-1,FALSE))</f>
        <v/>
      </c>
      <c r="I248" t="str">
        <f ca="1">IF(AND(ISNUMBER($I$917),$B$677=1),$I$917,HLOOKUP(INDIRECT(ADDRESS(2,COLUMN())),OFFSET($BN$2,0,0,ROW()-1,60),ROW()-1,FALSE))</f>
        <v/>
      </c>
      <c r="J248" t="str">
        <f ca="1">IF(AND(ISNUMBER($J$917),$B$677=1),$J$917,HLOOKUP(INDIRECT(ADDRESS(2,COLUMN())),OFFSET($BN$2,0,0,ROW()-1,60),ROW()-1,FALSE))</f>
        <v/>
      </c>
      <c r="K248" t="str">
        <f ca="1">IF(AND(ISNUMBER($K$917),$B$677=1),$K$917,HLOOKUP(INDIRECT(ADDRESS(2,COLUMN())),OFFSET($BN$2,0,0,ROW()-1,60),ROW()-1,FALSE))</f>
        <v/>
      </c>
      <c r="L248" t="str">
        <f ca="1">IF(AND(ISNUMBER($L$917),$B$677=1),$L$917,HLOOKUP(INDIRECT(ADDRESS(2,COLUMN())),OFFSET($BN$2,0,0,ROW()-1,60),ROW()-1,FALSE))</f>
        <v/>
      </c>
      <c r="M248" t="str">
        <f ca="1">IF(AND(ISNUMBER($M$917),$B$677=1),$M$917,HLOOKUP(INDIRECT(ADDRESS(2,COLUMN())),OFFSET($BN$2,0,0,ROW()-1,60),ROW()-1,FALSE))</f>
        <v/>
      </c>
      <c r="N248" t="str">
        <f ca="1">IF(AND(ISNUMBER($N$917),$B$677=1),$N$917,HLOOKUP(INDIRECT(ADDRESS(2,COLUMN())),OFFSET($BN$2,0,0,ROW()-1,60),ROW()-1,FALSE))</f>
        <v/>
      </c>
      <c r="O248" t="str">
        <f ca="1">IF(AND(ISNUMBER($O$917),$B$677=1),$O$917,HLOOKUP(INDIRECT(ADDRESS(2,COLUMN())),OFFSET($BN$2,0,0,ROW()-1,60),ROW()-1,FALSE))</f>
        <v/>
      </c>
      <c r="P248" t="str">
        <f ca="1">IF(AND(ISNUMBER($P$917),$B$677=1),$P$917,HLOOKUP(INDIRECT(ADDRESS(2,COLUMN())),OFFSET($BN$2,0,0,ROW()-1,60),ROW()-1,FALSE))</f>
        <v/>
      </c>
      <c r="Q248" t="str">
        <f ca="1">IF(AND(ISNUMBER($Q$917),$B$677=1),$Q$917,HLOOKUP(INDIRECT(ADDRESS(2,COLUMN())),OFFSET($BN$2,0,0,ROW()-1,60),ROW()-1,FALSE))</f>
        <v/>
      </c>
      <c r="R248">
        <f ca="1">IF(AND(ISNUMBER($R$917),$B$677=1),$R$917,HLOOKUP(INDIRECT(ADDRESS(2,COLUMN())),OFFSET($BN$2,0,0,ROW()-1,60),ROW()-1,FALSE))</f>
        <v>138.2279782</v>
      </c>
      <c r="S248">
        <f ca="1">IF(AND(ISNUMBER($S$917),$B$677=1),$S$917,HLOOKUP(INDIRECT(ADDRESS(2,COLUMN())),OFFSET($BN$2,0,0,ROW()-1,60),ROW()-1,FALSE))</f>
        <v>153.13227950000001</v>
      </c>
      <c r="T248">
        <f ca="1">IF(AND(ISNUMBER($T$917),$B$677=1),$T$917,HLOOKUP(INDIRECT(ADDRESS(2,COLUMN())),OFFSET($BN$2,0,0,ROW()-1,60),ROW()-1,FALSE))</f>
        <v>30.580482159999999</v>
      </c>
      <c r="U248">
        <f ca="1">IF(AND(ISNUMBER($U$917),$B$677=1),$U$917,HLOOKUP(INDIRECT(ADDRESS(2,COLUMN())),OFFSET($BN$2,0,0,ROW()-1,60),ROW()-1,FALSE))</f>
        <v>56.92154627</v>
      </c>
      <c r="V248">
        <f ca="1">IF(AND(ISNUMBER($V$917),$B$677=1),$V$917,HLOOKUP(INDIRECT(ADDRESS(2,COLUMN())),OFFSET($BN$2,0,0,ROW()-1,60),ROW()-1,FALSE))</f>
        <v>725.87003200000004</v>
      </c>
      <c r="W248" t="str">
        <f ca="1">IF(AND(ISNUMBER($W$917),$B$677=1),$W$917,HLOOKUP(INDIRECT(ADDRESS(2,COLUMN())),OFFSET($BN$2,0,0,ROW()-1,60),ROW()-1,FALSE))</f>
        <v/>
      </c>
      <c r="X248" t="str">
        <f ca="1">IF(AND(ISNUMBER($X$917),$B$677=1),$X$917,HLOOKUP(INDIRECT(ADDRESS(2,COLUMN())),OFFSET($BN$2,0,0,ROW()-1,60),ROW()-1,FALSE))</f>
        <v/>
      </c>
      <c r="Y248">
        <f ca="1">IF(AND(ISNUMBER($Y$917),$B$677=1),$Y$917,HLOOKUP(INDIRECT(ADDRESS(2,COLUMN())),OFFSET($BN$2,0,0,ROW()-1,60),ROW()-1,FALSE))</f>
        <v>452.70217580000002</v>
      </c>
      <c r="Z248">
        <f ca="1">IF(AND(ISNUMBER($Z$917),$B$677=1),$Z$917,HLOOKUP(INDIRECT(ADDRESS(2,COLUMN())),OFFSET($BN$2,0,0,ROW()-1,60),ROW()-1,FALSE))</f>
        <v>441.12331799999998</v>
      </c>
      <c r="AA248">
        <f ca="1">IF(AND(ISNUMBER($AA$917),$B$677=1),$AA$917,HLOOKUP(INDIRECT(ADDRESS(2,COLUMN())),OFFSET($BN$2,0,0,ROW()-1,60),ROW()-1,FALSE))</f>
        <v>78.622936229999993</v>
      </c>
      <c r="AB248">
        <f ca="1">IF(AND(ISNUMBER($AB$917),$B$677=1),$AB$917,HLOOKUP(INDIRECT(ADDRESS(2,COLUMN())),OFFSET($BN$2,0,0,ROW()-1,60),ROW()-1,FALSE))</f>
        <v>94.195066069999996</v>
      </c>
      <c r="AC248" t="str">
        <f ca="1">IF(AND(ISNUMBER($AC$917),$B$677=1),$AC$917,HLOOKUP(INDIRECT(ADDRESS(2,COLUMN())),OFFSET($BN$2,0,0,ROW()-1,60),ROW()-1,FALSE))</f>
        <v/>
      </c>
      <c r="AD248" t="str">
        <f ca="1">IF(AND(ISNUMBER($AD$917),$B$677=1),$AD$917,HLOOKUP(INDIRECT(ADDRESS(2,COLUMN())),OFFSET($BN$2,0,0,ROW()-1,60),ROW()-1,FALSE))</f>
        <v/>
      </c>
      <c r="AE248" t="str">
        <f ca="1">IF(AND(ISNUMBER($AE$917),$B$677=1),$AE$917,HLOOKUP(INDIRECT(ADDRESS(2,COLUMN())),OFFSET($BN$2,0,0,ROW()-1,60),ROW()-1,FALSE))</f>
        <v/>
      </c>
      <c r="AF248" t="str">
        <f ca="1">IF(AND(ISNUMBER($AF$917),$B$677=1),$AF$917,HLOOKUP(INDIRECT(ADDRESS(2,COLUMN())),OFFSET($BN$2,0,0,ROW()-1,60),ROW()-1,FALSE))</f>
        <v/>
      </c>
      <c r="AG248" t="str">
        <f ca="1">IF(AND(ISNUMBER($AG$917),$B$677=1),$AG$917,HLOOKUP(INDIRECT(ADDRESS(2,COLUMN())),OFFSET($BN$2,0,0,ROW()-1,60),ROW()-1,FALSE))</f>
        <v/>
      </c>
      <c r="AH248">
        <f ca="1">IF(AND(ISNUMBER($AH$917),$B$677=1),$AH$917,HLOOKUP(INDIRECT(ADDRESS(2,COLUMN())),OFFSET($BN$2,0,0,ROW()-1,60),ROW()-1,FALSE))</f>
        <v>133.03778120000001</v>
      </c>
      <c r="AI248">
        <f ca="1">IF(AND(ISNUMBER($AI$917),$B$677=1),$AI$917,HLOOKUP(INDIRECT(ADDRESS(2,COLUMN())),OFFSET($BN$2,0,0,ROW()-1,60),ROW()-1,FALSE))</f>
        <v>116.6711737</v>
      </c>
      <c r="AJ248">
        <f ca="1">IF(AND(ISNUMBER($AJ$917),$B$677=1),$AJ$917,HLOOKUP(INDIRECT(ADDRESS(2,COLUMN())),OFFSET($BN$2,0,0,ROW()-1,60),ROW()-1,FALSE))</f>
        <v>42.847282890000002</v>
      </c>
      <c r="AK248">
        <f ca="1">IF(AND(ISNUMBER($AK$917),$B$677=1),$AK$917,HLOOKUP(INDIRECT(ADDRESS(2,COLUMN())),OFFSET($BN$2,0,0,ROW()-1,60),ROW()-1,FALSE))</f>
        <v>28.232280840000001</v>
      </c>
      <c r="AL248">
        <f ca="1">IF(AND(ISNUMBER($AL$917),$B$677=1),$AL$917,HLOOKUP(INDIRECT(ADDRESS(2,COLUMN())),OFFSET($BN$2,0,0,ROW()-1,60),ROW()-1,FALSE))</f>
        <v>10.05220907</v>
      </c>
      <c r="AM248">
        <f ca="1">IF(AND(ISNUMBER($AM$917),$B$677=1),$AM$917,HLOOKUP(INDIRECT(ADDRESS(2,COLUMN())),OFFSET($BN$2,0,0,ROW()-1,60),ROW()-1,FALSE))</f>
        <v>8.1510566680000007</v>
      </c>
      <c r="AN248">
        <f ca="1">IF(AND(ISNUMBER($AN$917),$B$677=1),$AN$917,HLOOKUP(INDIRECT(ADDRESS(2,COLUMN())),OFFSET($BN$2,0,0,ROW()-1,60),ROW()-1,FALSE))</f>
        <v>4.5923648190000002</v>
      </c>
      <c r="AO248">
        <f ca="1">IF(AND(ISNUMBER($AO$917),$B$677=1),$AO$917,HLOOKUP(INDIRECT(ADDRESS(2,COLUMN())),OFFSET($BN$2,0,0,ROW()-1,60),ROW()-1,FALSE))</f>
        <v>4.2086707140000001</v>
      </c>
      <c r="AP248">
        <f ca="1">IF(AND(ISNUMBER($AP$917),$B$677=1),$AP$917,HLOOKUP(INDIRECT(ADDRESS(2,COLUMN())),OFFSET($BN$2,0,0,ROW()-1,60),ROW()-1,FALSE))</f>
        <v>3.9599993269999998</v>
      </c>
      <c r="AQ248">
        <f ca="1">IF(AND(ISNUMBER($AQ$917),$B$677=1),$AQ$917,HLOOKUP(INDIRECT(ADDRESS(2,COLUMN())),OFFSET($BN$2,0,0,ROW()-1,60),ROW()-1,FALSE))</f>
        <v>4.5458623210000004</v>
      </c>
      <c r="AR248">
        <f ca="1">IF(AND(ISNUMBER($AR$917),$B$677=1),$AR$917,HLOOKUP(INDIRECT(ADDRESS(2,COLUMN())),OFFSET($BN$2,0,0,ROW()-1,60),ROW()-1,FALSE))</f>
        <v>38.629512499999997</v>
      </c>
      <c r="AS248">
        <f ca="1">IF(AND(ISNUMBER($AS$917),$B$677=1),$AS$917,HLOOKUP(INDIRECT(ADDRESS(2,COLUMN())),OFFSET($BN$2,0,0,ROW()-1,60),ROW()-1,FALSE))</f>
        <v>83.818990170000006</v>
      </c>
      <c r="AT248" t="str">
        <f ca="1">IF(AND(ISNUMBER($AT$917),$B$677=1),$AT$917,HLOOKUP(INDIRECT(ADDRESS(2,COLUMN())),OFFSET($BN$2,0,0,ROW()-1,60),ROW()-1,FALSE))</f>
        <v/>
      </c>
      <c r="AU248">
        <f ca="1">IF(AND(ISNUMBER($AU$917),$B$677=1),$AU$917,HLOOKUP(INDIRECT(ADDRESS(2,COLUMN())),OFFSET($BN$2,0,0,ROW()-1,60),ROW()-1,FALSE))</f>
        <v>25.641871689999999</v>
      </c>
      <c r="AV248">
        <f ca="1">IF(AND(ISNUMBER($AV$917),$B$677=1),$AV$917,HLOOKUP(INDIRECT(ADDRESS(2,COLUMN())),OFFSET($BN$2,0,0,ROW()-1,60),ROW()-1,FALSE))</f>
        <v>28.110909589999999</v>
      </c>
      <c r="AW248">
        <f ca="1">IF(AND(ISNUMBER($AW$917),$B$677=1),$AW$917,HLOOKUP(INDIRECT(ADDRESS(2,COLUMN())),OFFSET($BN$2,0,0,ROW()-1,60),ROW()-1,FALSE))</f>
        <v>15.727302890000001</v>
      </c>
      <c r="AX248">
        <f ca="1">IF(AND(ISNUMBER($AX$917),$B$677=1),$AX$917,HLOOKUP(INDIRECT(ADDRESS(2,COLUMN())),OFFSET($BN$2,0,0,ROW()-1,60),ROW()-1,FALSE))</f>
        <v>10.68834384</v>
      </c>
      <c r="AY248">
        <f ca="1">IF(AND(ISNUMBER($AY$917),$B$677=1),$AY$917,HLOOKUP(INDIRECT(ADDRESS(2,COLUMN())),OFFSET($BN$2,0,0,ROW()-1,60),ROW()-1,FALSE))</f>
        <v>7.2513708650000002</v>
      </c>
      <c r="AZ248">
        <f ca="1">IF(AND(ISNUMBER($AZ$917),$B$677=1),$AZ$917,HLOOKUP(INDIRECT(ADDRESS(2,COLUMN())),OFFSET($BN$2,0,0,ROW()-1,60),ROW()-1,FALSE))</f>
        <v>7.1481003750000003</v>
      </c>
      <c r="BA248">
        <f ca="1">IF(AND(ISNUMBER($BA$917),$B$677=1),$BA$917,HLOOKUP(INDIRECT(ADDRESS(2,COLUMN())),OFFSET($BN$2,0,0,ROW()-1,60),ROW()-1,FALSE))</f>
        <v>5.5721123720000003</v>
      </c>
      <c r="BB248">
        <f ca="1">IF(AND(ISNUMBER($BB$917),$B$677=1),$BB$917,HLOOKUP(INDIRECT(ADDRESS(2,COLUMN())),OFFSET($BN$2,0,0,ROW()-1,60),ROW()-1,FALSE))</f>
        <v>5.9988653679999997</v>
      </c>
      <c r="BC248">
        <f ca="1">IF(AND(ISNUMBER($BC$917),$B$677=1),$BC$917,HLOOKUP(INDIRECT(ADDRESS(2,COLUMN())),OFFSET($BN$2,0,0,ROW()-1,60),ROW()-1,FALSE))</f>
        <v>4.5723675259999998</v>
      </c>
      <c r="BD248">
        <f ca="1">IF(AND(ISNUMBER($BD$917),$B$677=1),$BD$917,HLOOKUP(INDIRECT(ADDRESS(2,COLUMN())),OFFSET($BN$2,0,0,ROW()-1,60),ROW()-1,FALSE))</f>
        <v>3.3960398120000002</v>
      </c>
      <c r="BE248">
        <f ca="1">IF(AND(ISNUMBER($BE$917),$B$677=1),$BE$917,HLOOKUP(INDIRECT(ADDRESS(2,COLUMN())),OFFSET($BN$2,0,0,ROW()-1,60),ROW()-1,FALSE))</f>
        <v>2.8767856369999998</v>
      </c>
      <c r="BF248">
        <f ca="1">IF(AND(ISNUMBER($BF$917),$B$677=1),$BF$917,HLOOKUP(INDIRECT(ADDRESS(2,COLUMN())),OFFSET($BN$2,0,0,ROW()-1,60),ROW()-1,FALSE))</f>
        <v>4.0930783999999996</v>
      </c>
      <c r="BG248">
        <f ca="1">IF(AND(ISNUMBER($BG$917),$B$677=1),$BG$917,HLOOKUP(INDIRECT(ADDRESS(2,COLUMN())),OFFSET($BN$2,0,0,ROW()-1,60),ROW()-1,FALSE))</f>
        <v>4.5959822099999998</v>
      </c>
      <c r="BH248">
        <f ca="1">IF(AND(ISNUMBER($BH$917),$B$677=1),$BH$917,HLOOKUP(INDIRECT(ADDRESS(2,COLUMN())),OFFSET($BN$2,0,0,ROW()-1,60),ROW()-1,FALSE))</f>
        <v>8.3879595160000004</v>
      </c>
      <c r="BI248">
        <f ca="1">IF(AND(ISNUMBER($BI$917),$B$677=1),$BI$917,HLOOKUP(INDIRECT(ADDRESS(2,COLUMN())),OFFSET($BN$2,0,0,ROW()-1,60),ROW()-1,FALSE))</f>
        <v>7.3115838379999998</v>
      </c>
      <c r="BJ248">
        <f ca="1">IF(AND(ISNUMBER($BJ$917),$B$677=1),$BJ$917,HLOOKUP(INDIRECT(ADDRESS(2,COLUMN())),OFFSET($BN$2,0,0,ROW()-1,60),ROW()-1,FALSE))</f>
        <v>6.0847150890000004</v>
      </c>
      <c r="BK248">
        <f ca="1">IF(AND(ISNUMBER($BK$917),$B$677=1),$BK$917,HLOOKUP(INDIRECT(ADDRESS(2,COLUMN())),OFFSET($BN$2,0,0,ROW()-1,60),ROW()-1,FALSE))</f>
        <v>5.1946956169999998</v>
      </c>
      <c r="BL248" t="str">
        <f ca="1">IF(AND(ISNUMBER($BL$917),$B$677=1),$BL$917,HLOOKUP(INDIRECT(ADDRESS(2,COLUMN())),OFFSET($BN$2,0,0,ROW()-1,60),ROW()-1,FALSE))</f>
        <v/>
      </c>
      <c r="BM248" t="str">
        <f ca="1">IF(AND(ISNUMBER($BM$917),$B$677=1),$BM$917,HLOOKUP(INDIRECT(ADDRESS(2,COLUMN())),OFFSET($BN$2,0,0,ROW()-1,60),ROW()-1,FALSE))</f>
        <v/>
      </c>
      <c r="BN248" t="str">
        <f>""</f>
        <v/>
      </c>
      <c r="BO248" t="str">
        <f>""</f>
        <v/>
      </c>
      <c r="BP248" t="str">
        <f>""</f>
        <v/>
      </c>
      <c r="BQ248" t="str">
        <f>""</f>
        <v/>
      </c>
      <c r="BR248" t="str">
        <f>""</f>
        <v/>
      </c>
      <c r="BS248" t="str">
        <f>""</f>
        <v/>
      </c>
      <c r="BT248" t="str">
        <f>""</f>
        <v/>
      </c>
      <c r="BU248" t="str">
        <f>""</f>
        <v/>
      </c>
      <c r="BV248" t="str">
        <f>""</f>
        <v/>
      </c>
      <c r="BW248" t="str">
        <f>""</f>
        <v/>
      </c>
      <c r="BX248" t="str">
        <f>""</f>
        <v/>
      </c>
      <c r="BY248" t="str">
        <f>""</f>
        <v/>
      </c>
      <c r="BZ248">
        <f>138.2279782</f>
        <v>138.2279782</v>
      </c>
      <c r="CA248">
        <f>153.1322795</f>
        <v>153.13227950000001</v>
      </c>
      <c r="CB248">
        <f>30.58048216</f>
        <v>30.580482159999999</v>
      </c>
      <c r="CC248">
        <f>56.92154627</f>
        <v>56.92154627</v>
      </c>
      <c r="CD248">
        <f>725.870032</f>
        <v>725.87003200000004</v>
      </c>
      <c r="CE248" t="str">
        <f>""</f>
        <v/>
      </c>
      <c r="CF248" t="str">
        <f>""</f>
        <v/>
      </c>
      <c r="CG248">
        <f>452.7021758</f>
        <v>452.70217580000002</v>
      </c>
      <c r="CH248">
        <f>441.123318</f>
        <v>441.12331799999998</v>
      </c>
      <c r="CI248">
        <f>78.62293623</f>
        <v>78.622936229999993</v>
      </c>
      <c r="CJ248">
        <f>94.19506607</f>
        <v>94.195066069999996</v>
      </c>
      <c r="CK248" t="str">
        <f>""</f>
        <v/>
      </c>
      <c r="CL248" t="str">
        <f>""</f>
        <v/>
      </c>
      <c r="CM248" t="str">
        <f>""</f>
        <v/>
      </c>
      <c r="CN248" t="str">
        <f>""</f>
        <v/>
      </c>
      <c r="CO248" t="str">
        <f>""</f>
        <v/>
      </c>
      <c r="CP248">
        <f>133.0377812</f>
        <v>133.03778120000001</v>
      </c>
      <c r="CQ248">
        <f>116.6711737</f>
        <v>116.6711737</v>
      </c>
      <c r="CR248">
        <f>42.84728289</f>
        <v>42.847282890000002</v>
      </c>
      <c r="CS248">
        <f>28.23228084</f>
        <v>28.232280840000001</v>
      </c>
      <c r="CT248">
        <f>10.05220907</f>
        <v>10.05220907</v>
      </c>
      <c r="CU248">
        <f>8.151056668</f>
        <v>8.1510566680000007</v>
      </c>
      <c r="CV248">
        <f>4.592364819</f>
        <v>4.5923648190000002</v>
      </c>
      <c r="CW248">
        <f>4.208670714</f>
        <v>4.2086707140000001</v>
      </c>
      <c r="CX248">
        <f>3.959999327</f>
        <v>3.9599993269999998</v>
      </c>
      <c r="CY248">
        <f>4.545862321</f>
        <v>4.5458623210000004</v>
      </c>
      <c r="CZ248">
        <f>38.6295125</f>
        <v>38.629512499999997</v>
      </c>
      <c r="DA248">
        <f>83.81899017</f>
        <v>83.818990170000006</v>
      </c>
      <c r="DB248" t="str">
        <f>""</f>
        <v/>
      </c>
      <c r="DC248">
        <f>25.64187169</f>
        <v>25.641871689999999</v>
      </c>
      <c r="DD248">
        <f>28.11090959</f>
        <v>28.110909589999999</v>
      </c>
      <c r="DE248">
        <f>15.72730289</f>
        <v>15.727302890000001</v>
      </c>
      <c r="DF248">
        <f>10.68834384</f>
        <v>10.68834384</v>
      </c>
      <c r="DG248">
        <f>7.251370865</f>
        <v>7.2513708650000002</v>
      </c>
      <c r="DH248">
        <f>7.148100375</f>
        <v>7.1481003750000003</v>
      </c>
      <c r="DI248">
        <f>5.572112372</f>
        <v>5.5721123720000003</v>
      </c>
      <c r="DJ248">
        <f>5.998865368</f>
        <v>5.9988653679999997</v>
      </c>
      <c r="DK248">
        <f>4.572367526</f>
        <v>4.5723675259999998</v>
      </c>
      <c r="DL248">
        <f>3.396039812</f>
        <v>3.3960398120000002</v>
      </c>
      <c r="DM248">
        <f>2.876785637</f>
        <v>2.8767856369999998</v>
      </c>
      <c r="DN248">
        <f>4.0930784</f>
        <v>4.0930783999999996</v>
      </c>
      <c r="DO248">
        <f>4.59598221</f>
        <v>4.5959822099999998</v>
      </c>
      <c r="DP248">
        <f>8.387959516</f>
        <v>8.3879595160000004</v>
      </c>
      <c r="DQ248">
        <f>7.311583838</f>
        <v>7.3115838379999998</v>
      </c>
      <c r="DR248">
        <f>6.084715089</f>
        <v>6.0847150890000004</v>
      </c>
      <c r="DS248">
        <f>5.194695617</f>
        <v>5.1946956169999998</v>
      </c>
      <c r="DT248" t="str">
        <f>""</f>
        <v/>
      </c>
      <c r="DU248" t="str">
        <f>""</f>
        <v/>
      </c>
    </row>
    <row r="249" spans="1:125" x14ac:dyDescent="0.25">
      <c r="A249" t="str">
        <f>"    Yulon Motor Co Ltd"</f>
        <v xml:space="preserve">    Yulon Motor Co Ltd</v>
      </c>
      <c r="B249" t="str">
        <f>"2201 TT Equity"</f>
        <v>2201 TT Equity</v>
      </c>
      <c r="C249" t="str">
        <f t="shared" si="15"/>
        <v>RR971</v>
      </c>
      <c r="D249" t="str">
        <f t="shared" si="16"/>
        <v>CURRENT_PX_TO_FREE_CASH_FLOW</v>
      </c>
      <c r="E249" t="str">
        <f t="shared" si="17"/>
        <v>Dynamic</v>
      </c>
      <c r="F249" t="str">
        <f ca="1">IF(AND(ISNUMBER($F$918),$B$677=1),$F$918,HLOOKUP(INDIRECT(ADDRESS(2,COLUMN())),OFFSET($BN$2,0,0,ROW()-1,60),ROW()-1,FALSE))</f>
        <v/>
      </c>
      <c r="G249" t="str">
        <f ca="1">IF(AND(ISNUMBER($G$918),$B$677=1),$G$918,HLOOKUP(INDIRECT(ADDRESS(2,COLUMN())),OFFSET($BN$2,0,0,ROW()-1,60),ROW()-1,FALSE))</f>
        <v/>
      </c>
      <c r="H249" t="str">
        <f ca="1">IF(AND(ISNUMBER($H$918),$B$677=1),$H$918,HLOOKUP(INDIRECT(ADDRESS(2,COLUMN())),OFFSET($BN$2,0,0,ROW()-1,60),ROW()-1,FALSE))</f>
        <v/>
      </c>
      <c r="I249" t="str">
        <f ca="1">IF(AND(ISNUMBER($I$918),$B$677=1),$I$918,HLOOKUP(INDIRECT(ADDRESS(2,COLUMN())),OFFSET($BN$2,0,0,ROW()-1,60),ROW()-1,FALSE))</f>
        <v/>
      </c>
      <c r="J249" t="str">
        <f ca="1">IF(AND(ISNUMBER($J$918),$B$677=1),$J$918,HLOOKUP(INDIRECT(ADDRESS(2,COLUMN())),OFFSET($BN$2,0,0,ROW()-1,60),ROW()-1,FALSE))</f>
        <v/>
      </c>
      <c r="K249" t="str">
        <f ca="1">IF(AND(ISNUMBER($K$918),$B$677=1),$K$918,HLOOKUP(INDIRECT(ADDRESS(2,COLUMN())),OFFSET($BN$2,0,0,ROW()-1,60),ROW()-1,FALSE))</f>
        <v/>
      </c>
      <c r="L249" t="str">
        <f ca="1">IF(AND(ISNUMBER($L$918),$B$677=1),$L$918,HLOOKUP(INDIRECT(ADDRESS(2,COLUMN())),OFFSET($BN$2,0,0,ROW()-1,60),ROW()-1,FALSE))</f>
        <v/>
      </c>
      <c r="M249" t="str">
        <f ca="1">IF(AND(ISNUMBER($M$918),$B$677=1),$M$918,HLOOKUP(INDIRECT(ADDRESS(2,COLUMN())),OFFSET($BN$2,0,0,ROW()-1,60),ROW()-1,FALSE))</f>
        <v/>
      </c>
      <c r="N249" t="str">
        <f ca="1">IF(AND(ISNUMBER($N$918),$B$677=1),$N$918,HLOOKUP(INDIRECT(ADDRESS(2,COLUMN())),OFFSET($BN$2,0,0,ROW()-1,60),ROW()-1,FALSE))</f>
        <v/>
      </c>
      <c r="O249" t="str">
        <f ca="1">IF(AND(ISNUMBER($O$918),$B$677=1),$O$918,HLOOKUP(INDIRECT(ADDRESS(2,COLUMN())),OFFSET($BN$2,0,0,ROW()-1,60),ROW()-1,FALSE))</f>
        <v/>
      </c>
      <c r="P249" t="str">
        <f ca="1">IF(AND(ISNUMBER($P$918),$B$677=1),$P$918,HLOOKUP(INDIRECT(ADDRESS(2,COLUMN())),OFFSET($BN$2,0,0,ROW()-1,60),ROW()-1,FALSE))</f>
        <v/>
      </c>
      <c r="Q249" t="str">
        <f ca="1">IF(AND(ISNUMBER($Q$918),$B$677=1),$Q$918,HLOOKUP(INDIRECT(ADDRESS(2,COLUMN())),OFFSET($BN$2,0,0,ROW()-1,60),ROW()-1,FALSE))</f>
        <v/>
      </c>
      <c r="R249" t="str">
        <f ca="1">IF(AND(ISNUMBER($R$918),$B$677=1),$R$918,HLOOKUP(INDIRECT(ADDRESS(2,COLUMN())),OFFSET($BN$2,0,0,ROW()-1,60),ROW()-1,FALSE))</f>
        <v/>
      </c>
      <c r="S249" t="str">
        <f ca="1">IF(AND(ISNUMBER($S$918),$B$677=1),$S$918,HLOOKUP(INDIRECT(ADDRESS(2,COLUMN())),OFFSET($BN$2,0,0,ROW()-1,60),ROW()-1,FALSE))</f>
        <v/>
      </c>
      <c r="T249" t="str">
        <f ca="1">IF(AND(ISNUMBER($T$918),$B$677=1),$T$918,HLOOKUP(INDIRECT(ADDRESS(2,COLUMN())),OFFSET($BN$2,0,0,ROW()-1,60),ROW()-1,FALSE))</f>
        <v/>
      </c>
      <c r="U249" t="str">
        <f ca="1">IF(AND(ISNUMBER($U$918),$B$677=1),$U$918,HLOOKUP(INDIRECT(ADDRESS(2,COLUMN())),OFFSET($BN$2,0,0,ROW()-1,60),ROW()-1,FALSE))</f>
        <v/>
      </c>
      <c r="V249" t="str">
        <f ca="1">IF(AND(ISNUMBER($V$918),$B$677=1),$V$918,HLOOKUP(INDIRECT(ADDRESS(2,COLUMN())),OFFSET($BN$2,0,0,ROW()-1,60),ROW()-1,FALSE))</f>
        <v/>
      </c>
      <c r="W249" t="str">
        <f ca="1">IF(AND(ISNUMBER($W$918),$B$677=1),$W$918,HLOOKUP(INDIRECT(ADDRESS(2,COLUMN())),OFFSET($BN$2,0,0,ROW()-1,60),ROW()-1,FALSE))</f>
        <v/>
      </c>
      <c r="X249" t="str">
        <f ca="1">IF(AND(ISNUMBER($X$918),$B$677=1),$X$918,HLOOKUP(INDIRECT(ADDRESS(2,COLUMN())),OFFSET($BN$2,0,0,ROW()-1,60),ROW()-1,FALSE))</f>
        <v/>
      </c>
      <c r="Y249" t="str">
        <f ca="1">IF(AND(ISNUMBER($Y$918),$B$677=1),$Y$918,HLOOKUP(INDIRECT(ADDRESS(2,COLUMN())),OFFSET($BN$2,0,0,ROW()-1,60),ROW()-1,FALSE))</f>
        <v/>
      </c>
      <c r="Z249" t="str">
        <f ca="1">IF(AND(ISNUMBER($Z$918),$B$677=1),$Z$918,HLOOKUP(INDIRECT(ADDRESS(2,COLUMN())),OFFSET($BN$2,0,0,ROW()-1,60),ROW()-1,FALSE))</f>
        <v/>
      </c>
      <c r="AA249" t="str">
        <f ca="1">IF(AND(ISNUMBER($AA$918),$B$677=1),$AA$918,HLOOKUP(INDIRECT(ADDRESS(2,COLUMN())),OFFSET($BN$2,0,0,ROW()-1,60),ROW()-1,FALSE))</f>
        <v/>
      </c>
      <c r="AB249" t="str">
        <f ca="1">IF(AND(ISNUMBER($AB$918),$B$677=1),$AB$918,HLOOKUP(INDIRECT(ADDRESS(2,COLUMN())),OFFSET($BN$2,0,0,ROW()-1,60),ROW()-1,FALSE))</f>
        <v/>
      </c>
      <c r="AC249" t="str">
        <f ca="1">IF(AND(ISNUMBER($AC$918),$B$677=1),$AC$918,HLOOKUP(INDIRECT(ADDRESS(2,COLUMN())),OFFSET($BN$2,0,0,ROW()-1,60),ROW()-1,FALSE))</f>
        <v/>
      </c>
      <c r="AD249" t="str">
        <f ca="1">IF(AND(ISNUMBER($AD$918),$B$677=1),$AD$918,HLOOKUP(INDIRECT(ADDRESS(2,COLUMN())),OFFSET($BN$2,0,0,ROW()-1,60),ROW()-1,FALSE))</f>
        <v/>
      </c>
      <c r="AE249" t="str">
        <f ca="1">IF(AND(ISNUMBER($AE$918),$B$677=1),$AE$918,HLOOKUP(INDIRECT(ADDRESS(2,COLUMN())),OFFSET($BN$2,0,0,ROW()-1,60),ROW()-1,FALSE))</f>
        <v/>
      </c>
      <c r="AF249" t="str">
        <f ca="1">IF(AND(ISNUMBER($AF$918),$B$677=1),$AF$918,HLOOKUP(INDIRECT(ADDRESS(2,COLUMN())),OFFSET($BN$2,0,0,ROW()-1,60),ROW()-1,FALSE))</f>
        <v/>
      </c>
      <c r="AG249" t="str">
        <f ca="1">IF(AND(ISNUMBER($AG$918),$B$677=1),$AG$918,HLOOKUP(INDIRECT(ADDRESS(2,COLUMN())),OFFSET($BN$2,0,0,ROW()-1,60),ROW()-1,FALSE))</f>
        <v/>
      </c>
      <c r="AH249" t="str">
        <f ca="1">IF(AND(ISNUMBER($AH$918),$B$677=1),$AH$918,HLOOKUP(INDIRECT(ADDRESS(2,COLUMN())),OFFSET($BN$2,0,0,ROW()-1,60),ROW()-1,FALSE))</f>
        <v/>
      </c>
      <c r="AI249" t="str">
        <f ca="1">IF(AND(ISNUMBER($AI$918),$B$677=1),$AI$918,HLOOKUP(INDIRECT(ADDRESS(2,COLUMN())),OFFSET($BN$2,0,0,ROW()-1,60),ROW()-1,FALSE))</f>
        <v/>
      </c>
      <c r="AJ249" t="str">
        <f ca="1">IF(AND(ISNUMBER($AJ$918),$B$677=1),$AJ$918,HLOOKUP(INDIRECT(ADDRESS(2,COLUMN())),OFFSET($BN$2,0,0,ROW()-1,60),ROW()-1,FALSE))</f>
        <v/>
      </c>
      <c r="AK249" t="str">
        <f ca="1">IF(AND(ISNUMBER($AK$918),$B$677=1),$AK$918,HLOOKUP(INDIRECT(ADDRESS(2,COLUMN())),OFFSET($BN$2,0,0,ROW()-1,60),ROW()-1,FALSE))</f>
        <v/>
      </c>
      <c r="AL249" t="str">
        <f ca="1">IF(AND(ISNUMBER($AL$918),$B$677=1),$AL$918,HLOOKUP(INDIRECT(ADDRESS(2,COLUMN())),OFFSET($BN$2,0,0,ROW()-1,60),ROW()-1,FALSE))</f>
        <v/>
      </c>
      <c r="AM249">
        <f ca="1">IF(AND(ISNUMBER($AM$918),$B$677=1),$AM$918,HLOOKUP(INDIRECT(ADDRESS(2,COLUMN())),OFFSET($BN$2,0,0,ROW()-1,60),ROW()-1,FALSE))</f>
        <v>353.84216789999999</v>
      </c>
      <c r="AN249">
        <f ca="1">IF(AND(ISNUMBER($AN$918),$B$677=1),$AN$918,HLOOKUP(INDIRECT(ADDRESS(2,COLUMN())),OFFSET($BN$2,0,0,ROW()-1,60),ROW()-1,FALSE))</f>
        <v>329.86278129999999</v>
      </c>
      <c r="AO249" t="str">
        <f ca="1">IF(AND(ISNUMBER($AO$918),$B$677=1),$AO$918,HLOOKUP(INDIRECT(ADDRESS(2,COLUMN())),OFFSET($BN$2,0,0,ROW()-1,60),ROW()-1,FALSE))</f>
        <v/>
      </c>
      <c r="AP249" t="str">
        <f ca="1">IF(AND(ISNUMBER($AP$918),$B$677=1),$AP$918,HLOOKUP(INDIRECT(ADDRESS(2,COLUMN())),OFFSET($BN$2,0,0,ROW()-1,60),ROW()-1,FALSE))</f>
        <v/>
      </c>
      <c r="AQ249" t="str">
        <f ca="1">IF(AND(ISNUMBER($AQ$918),$B$677=1),$AQ$918,HLOOKUP(INDIRECT(ADDRESS(2,COLUMN())),OFFSET($BN$2,0,0,ROW()-1,60),ROW()-1,FALSE))</f>
        <v/>
      </c>
      <c r="AR249" t="str">
        <f ca="1">IF(AND(ISNUMBER($AR$918),$B$677=1),$AR$918,HLOOKUP(INDIRECT(ADDRESS(2,COLUMN())),OFFSET($BN$2,0,0,ROW()-1,60),ROW()-1,FALSE))</f>
        <v/>
      </c>
      <c r="AS249" t="str">
        <f ca="1">IF(AND(ISNUMBER($AS$918),$B$677=1),$AS$918,HLOOKUP(INDIRECT(ADDRESS(2,COLUMN())),OFFSET($BN$2,0,0,ROW()-1,60),ROW()-1,FALSE))</f>
        <v/>
      </c>
      <c r="AT249" t="str">
        <f ca="1">IF(AND(ISNUMBER($AT$918),$B$677=1),$AT$918,HLOOKUP(INDIRECT(ADDRESS(2,COLUMN())),OFFSET($BN$2,0,0,ROW()-1,60),ROW()-1,FALSE))</f>
        <v/>
      </c>
      <c r="AU249" t="str">
        <f ca="1">IF(AND(ISNUMBER($AU$918),$B$677=1),$AU$918,HLOOKUP(INDIRECT(ADDRESS(2,COLUMN())),OFFSET($BN$2,0,0,ROW()-1,60),ROW()-1,FALSE))</f>
        <v/>
      </c>
      <c r="AV249" t="str">
        <f ca="1">IF(AND(ISNUMBER($AV$918),$B$677=1),$AV$918,HLOOKUP(INDIRECT(ADDRESS(2,COLUMN())),OFFSET($BN$2,0,0,ROW()-1,60),ROW()-1,FALSE))</f>
        <v/>
      </c>
      <c r="AW249" t="str">
        <f ca="1">IF(AND(ISNUMBER($AW$918),$B$677=1),$AW$918,HLOOKUP(INDIRECT(ADDRESS(2,COLUMN())),OFFSET($BN$2,0,0,ROW()-1,60),ROW()-1,FALSE))</f>
        <v/>
      </c>
      <c r="AX249" t="str">
        <f ca="1">IF(AND(ISNUMBER($AX$918),$B$677=1),$AX$918,HLOOKUP(INDIRECT(ADDRESS(2,COLUMN())),OFFSET($BN$2,0,0,ROW()-1,60),ROW()-1,FALSE))</f>
        <v/>
      </c>
      <c r="AY249" t="str">
        <f ca="1">IF(AND(ISNUMBER($AY$918),$B$677=1),$AY$918,HLOOKUP(INDIRECT(ADDRESS(2,COLUMN())),OFFSET($BN$2,0,0,ROW()-1,60),ROW()-1,FALSE))</f>
        <v/>
      </c>
      <c r="AZ249" t="str">
        <f ca="1">IF(AND(ISNUMBER($AZ$918),$B$677=1),$AZ$918,HLOOKUP(INDIRECT(ADDRESS(2,COLUMN())),OFFSET($BN$2,0,0,ROW()-1,60),ROW()-1,FALSE))</f>
        <v/>
      </c>
      <c r="BA249" t="str">
        <f ca="1">IF(AND(ISNUMBER($BA$918),$B$677=1),$BA$918,HLOOKUP(INDIRECT(ADDRESS(2,COLUMN())),OFFSET($BN$2,0,0,ROW()-1,60),ROW()-1,FALSE))</f>
        <v/>
      </c>
      <c r="BB249" t="str">
        <f ca="1">IF(AND(ISNUMBER($BB$918),$B$677=1),$BB$918,HLOOKUP(INDIRECT(ADDRESS(2,COLUMN())),OFFSET($BN$2,0,0,ROW()-1,60),ROW()-1,FALSE))</f>
        <v/>
      </c>
      <c r="BC249" t="str">
        <f ca="1">IF(AND(ISNUMBER($BC$918),$B$677=1),$BC$918,HLOOKUP(INDIRECT(ADDRESS(2,COLUMN())),OFFSET($BN$2,0,0,ROW()-1,60),ROW()-1,FALSE))</f>
        <v/>
      </c>
      <c r="BD249" t="str">
        <f ca="1">IF(AND(ISNUMBER($BD$918),$B$677=1),$BD$918,HLOOKUP(INDIRECT(ADDRESS(2,COLUMN())),OFFSET($BN$2,0,0,ROW()-1,60),ROW()-1,FALSE))</f>
        <v/>
      </c>
      <c r="BE249" t="str">
        <f ca="1">IF(AND(ISNUMBER($BE$918),$B$677=1),$BE$918,HLOOKUP(INDIRECT(ADDRESS(2,COLUMN())),OFFSET($BN$2,0,0,ROW()-1,60),ROW()-1,FALSE))</f>
        <v/>
      </c>
      <c r="BF249" t="str">
        <f ca="1">IF(AND(ISNUMBER($BF$918),$B$677=1),$BF$918,HLOOKUP(INDIRECT(ADDRESS(2,COLUMN())),OFFSET($BN$2,0,0,ROW()-1,60),ROW()-1,FALSE))</f>
        <v/>
      </c>
      <c r="BG249" t="str">
        <f ca="1">IF(AND(ISNUMBER($BG$918),$B$677=1),$BG$918,HLOOKUP(INDIRECT(ADDRESS(2,COLUMN())),OFFSET($BN$2,0,0,ROW()-1,60),ROW()-1,FALSE))</f>
        <v/>
      </c>
      <c r="BH249" t="str">
        <f ca="1">IF(AND(ISNUMBER($BH$918),$B$677=1),$BH$918,HLOOKUP(INDIRECT(ADDRESS(2,COLUMN())),OFFSET($BN$2,0,0,ROW()-1,60),ROW()-1,FALSE))</f>
        <v/>
      </c>
      <c r="BI249" t="str">
        <f ca="1">IF(AND(ISNUMBER($BI$918),$B$677=1),$BI$918,HLOOKUP(INDIRECT(ADDRESS(2,COLUMN())),OFFSET($BN$2,0,0,ROW()-1,60),ROW()-1,FALSE))</f>
        <v/>
      </c>
      <c r="BJ249" t="str">
        <f ca="1">IF(AND(ISNUMBER($BJ$918),$B$677=1),$BJ$918,HLOOKUP(INDIRECT(ADDRESS(2,COLUMN())),OFFSET($BN$2,0,0,ROW()-1,60),ROW()-1,FALSE))</f>
        <v/>
      </c>
      <c r="BK249" t="str">
        <f ca="1">IF(AND(ISNUMBER($BK$918),$B$677=1),$BK$918,HLOOKUP(INDIRECT(ADDRESS(2,COLUMN())),OFFSET($BN$2,0,0,ROW()-1,60),ROW()-1,FALSE))</f>
        <v/>
      </c>
      <c r="BL249" t="str">
        <f ca="1">IF(AND(ISNUMBER($BL$918),$B$677=1),$BL$918,HLOOKUP(INDIRECT(ADDRESS(2,COLUMN())),OFFSET($BN$2,0,0,ROW()-1,60),ROW()-1,FALSE))</f>
        <v/>
      </c>
      <c r="BM249" t="str">
        <f ca="1">IF(AND(ISNUMBER($BM$918),$B$677=1),$BM$918,HLOOKUP(INDIRECT(ADDRESS(2,COLUMN())),OFFSET($BN$2,0,0,ROW()-1,60),ROW()-1,FALSE))</f>
        <v/>
      </c>
      <c r="BN249" t="str">
        <f>""</f>
        <v/>
      </c>
      <c r="BO249" t="str">
        <f>""</f>
        <v/>
      </c>
      <c r="BP249" t="str">
        <f>""</f>
        <v/>
      </c>
      <c r="BQ249" t="str">
        <f>""</f>
        <v/>
      </c>
      <c r="BR249" t="str">
        <f>""</f>
        <v/>
      </c>
      <c r="BS249" t="str">
        <f>""</f>
        <v/>
      </c>
      <c r="BT249" t="str">
        <f>""</f>
        <v/>
      </c>
      <c r="BU249" t="str">
        <f>""</f>
        <v/>
      </c>
      <c r="BV249" t="str">
        <f>""</f>
        <v/>
      </c>
      <c r="BW249" t="str">
        <f>""</f>
        <v/>
      </c>
      <c r="BX249" t="str">
        <f>""</f>
        <v/>
      </c>
      <c r="BY249" t="str">
        <f>""</f>
        <v/>
      </c>
      <c r="BZ249" t="str">
        <f>""</f>
        <v/>
      </c>
      <c r="CA249" t="str">
        <f>""</f>
        <v/>
      </c>
      <c r="CB249" t="str">
        <f>""</f>
        <v/>
      </c>
      <c r="CC249" t="str">
        <f>""</f>
        <v/>
      </c>
      <c r="CD249" t="str">
        <f>""</f>
        <v/>
      </c>
      <c r="CE249" t="str">
        <f>""</f>
        <v/>
      </c>
      <c r="CF249" t="str">
        <f>""</f>
        <v/>
      </c>
      <c r="CG249" t="str">
        <f>""</f>
        <v/>
      </c>
      <c r="CH249" t="str">
        <f>""</f>
        <v/>
      </c>
      <c r="CI249" t="str">
        <f>""</f>
        <v/>
      </c>
      <c r="CJ249" t="str">
        <f>""</f>
        <v/>
      </c>
      <c r="CK249" t="str">
        <f>""</f>
        <v/>
      </c>
      <c r="CL249" t="str">
        <f>""</f>
        <v/>
      </c>
      <c r="CM249" t="str">
        <f>""</f>
        <v/>
      </c>
      <c r="CN249" t="str">
        <f>""</f>
        <v/>
      </c>
      <c r="CO249" t="str">
        <f>""</f>
        <v/>
      </c>
      <c r="CP249" t="str">
        <f>""</f>
        <v/>
      </c>
      <c r="CQ249" t="str">
        <f>""</f>
        <v/>
      </c>
      <c r="CR249" t="str">
        <f>""</f>
        <v/>
      </c>
      <c r="CS249" t="str">
        <f>""</f>
        <v/>
      </c>
      <c r="CT249" t="str">
        <f>""</f>
        <v/>
      </c>
      <c r="CU249">
        <f>353.8421679</f>
        <v>353.84216789999999</v>
      </c>
      <c r="CV249">
        <f>329.8627813</f>
        <v>329.86278129999999</v>
      </c>
      <c r="CW249" t="str">
        <f>""</f>
        <v/>
      </c>
      <c r="CX249" t="str">
        <f>""</f>
        <v/>
      </c>
      <c r="CY249" t="str">
        <f>""</f>
        <v/>
      </c>
      <c r="CZ249" t="str">
        <f>""</f>
        <v/>
      </c>
      <c r="DA249" t="str">
        <f>""</f>
        <v/>
      </c>
      <c r="DB249" t="str">
        <f>""</f>
        <v/>
      </c>
      <c r="DC249" t="str">
        <f>""</f>
        <v/>
      </c>
      <c r="DD249" t="str">
        <f>""</f>
        <v/>
      </c>
      <c r="DE249" t="str">
        <f>""</f>
        <v/>
      </c>
      <c r="DF249" t="str">
        <f>""</f>
        <v/>
      </c>
      <c r="DG249" t="str">
        <f>""</f>
        <v/>
      </c>
      <c r="DH249" t="str">
        <f>""</f>
        <v/>
      </c>
      <c r="DI249" t="str">
        <f>""</f>
        <v/>
      </c>
      <c r="DJ249" t="str">
        <f>""</f>
        <v/>
      </c>
      <c r="DK249" t="str">
        <f>""</f>
        <v/>
      </c>
      <c r="DL249" t="str">
        <f>""</f>
        <v/>
      </c>
      <c r="DM249" t="str">
        <f>""</f>
        <v/>
      </c>
      <c r="DN249" t="str">
        <f>""</f>
        <v/>
      </c>
      <c r="DO249" t="str">
        <f>""</f>
        <v/>
      </c>
      <c r="DP249" t="str">
        <f>""</f>
        <v/>
      </c>
      <c r="DQ249" t="str">
        <f>""</f>
        <v/>
      </c>
      <c r="DR249" t="str">
        <f>""</f>
        <v/>
      </c>
      <c r="DS249" t="str">
        <f>""</f>
        <v/>
      </c>
      <c r="DT249" t="str">
        <f>""</f>
        <v/>
      </c>
      <c r="DU249" t="str">
        <f>""</f>
        <v/>
      </c>
    </row>
    <row r="250" spans="1:125" x14ac:dyDescent="0.25">
      <c r="A250" t="str">
        <f>"P/Sales"</f>
        <v>P/Sales</v>
      </c>
      <c r="B250" t="str">
        <f>""</f>
        <v/>
      </c>
      <c r="E250" t="str">
        <f>"Average"</f>
        <v>Average</v>
      </c>
      <c r="F250">
        <f ca="1">IF(ISERROR(IF(AVERAGE($F$251:$F$290) = 0, "", AVERAGE($F$251:$F$290))), "", (IF(AVERAGE($F$251:$F$290) = 0, "", AVERAGE($F$251:$F$290))))</f>
        <v>0.66872805244444444</v>
      </c>
      <c r="G250">
        <f ca="1">IF(ISERROR(IF(AVERAGE($G$251:$G$290) = 0, "", AVERAGE($G$251:$G$290))), "", (IF(AVERAGE($G$251:$G$290) = 0, "", AVERAGE($G$251:$G$290))))</f>
        <v>0.56754607448387095</v>
      </c>
      <c r="H250">
        <f ca="1">IF(ISERROR(IF(AVERAGE($H$251:$H$290) = 0, "", AVERAGE($H$251:$H$290))), "", (IF(AVERAGE($H$251:$H$290) = 0, "", AVERAGE($H$251:$H$290))))</f>
        <v>0.63829118596774193</v>
      </c>
      <c r="I250">
        <f ca="1">IF(ISERROR(IF(AVERAGE($I$251:$I$290) = 0, "", AVERAGE($I$251:$I$290))), "", (IF(AVERAGE($I$251:$I$290) = 0, "", AVERAGE($I$251:$I$290))))</f>
        <v>0.69696623151612891</v>
      </c>
      <c r="J250">
        <f ca="1">IF(ISERROR(IF(AVERAGE($J$251:$J$290) = 0, "", AVERAGE($J$251:$J$290))), "", (IF(AVERAGE($J$251:$J$290) = 0, "", AVERAGE($J$251:$J$290))))</f>
        <v>0.73262230845161302</v>
      </c>
      <c r="K250">
        <f ca="1">IF(ISERROR(IF(AVERAGE($K$251:$K$290) = 0, "", AVERAGE($K$251:$K$290))), "", (IF(AVERAGE($K$251:$K$290) = 0, "", AVERAGE($K$251:$K$290))))</f>
        <v>0.82767381787096761</v>
      </c>
      <c r="L250">
        <f ca="1">IF(ISERROR(IF(AVERAGE($L$251:$L$290) = 0, "", AVERAGE($L$251:$L$290))), "", (IF(AVERAGE($L$251:$L$290) = 0, "", AVERAGE($L$251:$L$290))))</f>
        <v>0.89383067061290322</v>
      </c>
      <c r="M250">
        <f ca="1">IF(ISERROR(IF(AVERAGE($M$251:$M$290) = 0, "", AVERAGE($M$251:$M$290))), "", (IF(AVERAGE($M$251:$M$290) = 0, "", AVERAGE($M$251:$M$290))))</f>
        <v>0.83844235616129026</v>
      </c>
      <c r="N250">
        <f ca="1">IF(ISERROR(IF(AVERAGE($N$251:$N$290) = 0, "", AVERAGE($N$251:$N$290))), "", (IF(AVERAGE($N$251:$N$290) = 0, "", AVERAGE($N$251:$N$290))))</f>
        <v>0.87262583745161282</v>
      </c>
      <c r="O250">
        <f ca="1">IF(ISERROR(IF(AVERAGE($O$251:$O$290) = 0, "", AVERAGE($O$251:$O$290))), "", (IF(AVERAGE($O$251:$O$290) = 0, "", AVERAGE($O$251:$O$290))))</f>
        <v>0.7822004569032257</v>
      </c>
      <c r="P250">
        <f ca="1">IF(ISERROR(IF(AVERAGE($P$251:$P$290) = 0, "", AVERAGE($P$251:$P$290))), "", (IF(AVERAGE($P$251:$P$290) = 0, "", AVERAGE($P$251:$P$290))))</f>
        <v>0.73009583609375006</v>
      </c>
      <c r="Q250">
        <f ca="1">IF(ISERROR(IF(AVERAGE($Q$251:$Q$290) = 0, "", AVERAGE($Q$251:$Q$290))), "", (IF(AVERAGE($Q$251:$Q$290) = 0, "", AVERAGE($Q$251:$Q$290))))</f>
        <v>0.7505434822812499</v>
      </c>
      <c r="R250">
        <f ca="1">IF(ISERROR(IF(AVERAGE($R$251:$R$290) = 0, "", AVERAGE($R$251:$R$290))), "", (IF(AVERAGE($R$251:$R$290) = 0, "", AVERAGE($R$251:$R$290))))</f>
        <v>0.85825873654838702</v>
      </c>
      <c r="S250">
        <f ca="1">IF(ISERROR(IF(AVERAGE($S$251:$S$290) = 0, "", AVERAGE($S$251:$S$290))), "", (IF(AVERAGE($S$251:$S$290) = 0, "", AVERAGE($S$251:$S$290))))</f>
        <v>0.9221269536129032</v>
      </c>
      <c r="T250">
        <f ca="1">IF(ISERROR(IF(AVERAGE($T$251:$T$290) = 0, "", AVERAGE($T$251:$T$290))), "", (IF(AVERAGE($T$251:$T$290) = 0, "", AVERAGE($T$251:$T$290))))</f>
        <v>0.88851841377419361</v>
      </c>
      <c r="U250">
        <f ca="1">IF(ISERROR(IF(AVERAGE($U$251:$U$290) = 0, "", AVERAGE($U$251:$U$290))), "", (IF(AVERAGE($U$251:$U$290) = 0, "", AVERAGE($U$251:$U$290))))</f>
        <v>1.0839006331290322</v>
      </c>
      <c r="V250">
        <f ca="1">IF(ISERROR(IF(AVERAGE($V$251:$V$290) = 0, "", AVERAGE($V$251:$V$290))), "", (IF(AVERAGE($V$251:$V$290) = 0, "", AVERAGE($V$251:$V$290))))</f>
        <v>1.0360590272903225</v>
      </c>
      <c r="W250">
        <f ca="1">IF(ISERROR(IF(AVERAGE($W$251:$W$290) = 0, "", AVERAGE($W$251:$W$290))), "", (IF(AVERAGE($W$251:$W$290) = 0, "", AVERAGE($W$251:$W$290))))</f>
        <v>1.031541961516129</v>
      </c>
      <c r="X250">
        <f ca="1">IF(ISERROR(IF(AVERAGE($X$251:$X$290) = 0, "", AVERAGE($X$251:$X$290))), "", (IF(AVERAGE($X$251:$X$290) = 0, "", AVERAGE($X$251:$X$290))))</f>
        <v>1.0731085731333332</v>
      </c>
      <c r="Y250">
        <f ca="1">IF(ISERROR(IF(AVERAGE($Y$251:$Y$290) = 0, "", AVERAGE($Y$251:$Y$290))), "", (IF(AVERAGE($Y$251:$Y$290) = 0, "", AVERAGE($Y$251:$Y$290))))</f>
        <v>1.1094736340666667</v>
      </c>
      <c r="Z250">
        <f ca="1">IF(ISERROR(IF(AVERAGE($Z$251:$Z$290) = 0, "", AVERAGE($Z$251:$Z$290))), "", (IF(AVERAGE($Z$251:$Z$290) = 0, "", AVERAGE($Z$251:$Z$290))))</f>
        <v>1.1354804868000001</v>
      </c>
      <c r="AA250">
        <f ca="1">IF(ISERROR(IF(AVERAGE($AA$251:$AA$290) = 0, "", AVERAGE($AA$251:$AA$290))), "", (IF(AVERAGE($AA$251:$AA$290) = 0, "", AVERAGE($AA$251:$AA$290))))</f>
        <v>1.0476592041000001</v>
      </c>
      <c r="AB250">
        <f ca="1">IF(ISERROR(IF(AVERAGE($AB$251:$AB$290) = 0, "", AVERAGE($AB$251:$AB$290))), "", (IF(AVERAGE($AB$251:$AB$290) = 0, "", AVERAGE($AB$251:$AB$290))))</f>
        <v>1.189929776366667</v>
      </c>
      <c r="AC250">
        <f ca="1">IF(ISERROR(IF(AVERAGE($AC$251:$AC$290) = 0, "", AVERAGE($AC$251:$AC$290))), "", (IF(AVERAGE($AC$251:$AC$290) = 0, "", AVERAGE($AC$251:$AC$290))))</f>
        <v>0.99948187820000001</v>
      </c>
      <c r="AD250">
        <f ca="1">IF(ISERROR(IF(AVERAGE($AD$251:$AD$290) = 0, "", AVERAGE($AD$251:$AD$290))), "", (IF(AVERAGE($AD$251:$AD$290) = 0, "", AVERAGE($AD$251:$AD$290))))</f>
        <v>0.79274713570000011</v>
      </c>
      <c r="AE250">
        <f ca="1">IF(ISERROR(IF(AVERAGE($AE$251:$AE$290) = 0, "", AVERAGE($AE$251:$AE$290))), "", (IF(AVERAGE($AE$251:$AE$290) = 0, "", AVERAGE($AE$251:$AE$290))))</f>
        <v>0.92390462250000005</v>
      </c>
      <c r="AF250">
        <f ca="1">IF(ISERROR(IF(AVERAGE($AF$251:$AF$290) = 0, "", AVERAGE($AF$251:$AF$290))), "", (IF(AVERAGE($AF$251:$AF$290) = 0, "", AVERAGE($AF$251:$AF$290))))</f>
        <v>1.2442041898275862</v>
      </c>
      <c r="AG250">
        <f ca="1">IF(ISERROR(IF(AVERAGE($AG$251:$AG$290) = 0, "", AVERAGE($AG$251:$AG$290))), "", (IF(AVERAGE($AG$251:$AG$290) = 0, "", AVERAGE($AG$251:$AG$290))))</f>
        <v>1.2997669201379312</v>
      </c>
      <c r="AH250">
        <f ca="1">IF(ISERROR(IF(AVERAGE($AH$251:$AH$290) = 0, "", AVERAGE($AH$251:$AH$290))), "", (IF(AVERAGE($AH$251:$AH$290) = 0, "", AVERAGE($AH$251:$AH$290))))</f>
        <v>1.3819049811481481</v>
      </c>
      <c r="AI250">
        <f ca="1">IF(ISERROR(IF(AVERAGE($AI$251:$AI$290) = 0, "", AVERAGE($AI$251:$AI$290))), "", (IF(AVERAGE($AI$251:$AI$290) = 0, "", AVERAGE($AI$251:$AI$290))))</f>
        <v>1.0538923945925927</v>
      </c>
      <c r="AJ250">
        <f ca="1">IF(ISERROR(IF(AVERAGE($AJ$251:$AJ$290) = 0, "", AVERAGE($AJ$251:$AJ$290))), "", (IF(AVERAGE($AJ$251:$AJ$290) = 0, "", AVERAGE($AJ$251:$AJ$290))))</f>
        <v>1.0066825500000001</v>
      </c>
      <c r="AK250">
        <f ca="1">IF(ISERROR(IF(AVERAGE($AK$251:$AK$290) = 0, "", AVERAGE($AK$251:$AK$290))), "", (IF(AVERAGE($AK$251:$AK$290) = 0, "", AVERAGE($AK$251:$AK$290))))</f>
        <v>1.2822292209999999</v>
      </c>
      <c r="AL250">
        <f ca="1">IF(ISERROR(IF(AVERAGE($AL$251:$AL$290) = 0, "", AVERAGE($AL$251:$AL$290))), "", (IF(AVERAGE($AL$251:$AL$290) = 0, "", AVERAGE($AL$251:$AL$290))))</f>
        <v>0.90777245121428563</v>
      </c>
      <c r="AM250">
        <f ca="1">IF(ISERROR(IF(AVERAGE($AM$251:$AM$290) = 0, "", AVERAGE($AM$251:$AM$290))), "", (IF(AVERAGE($AM$251:$AM$290) = 0, "", AVERAGE($AM$251:$AM$290))))</f>
        <v>0.8599256999999999</v>
      </c>
      <c r="AN250">
        <f ca="1">IF(ISERROR(IF(AVERAGE($AN$251:$AN$290) = 0, "", AVERAGE($AN$251:$AN$290))), "", (IF(AVERAGE($AN$251:$AN$290) = 0, "", AVERAGE($AN$251:$AN$290))))</f>
        <v>0.88284626732000016</v>
      </c>
      <c r="AO250">
        <f ca="1">IF(ISERROR(IF(AVERAGE($AO$251:$AO$290) = 0, "", AVERAGE($AO$251:$AO$290))), "", (IF(AVERAGE($AO$251:$AO$290) = 0, "", AVERAGE($AO$251:$AO$290))))</f>
        <v>0.54010042582608686</v>
      </c>
      <c r="AP250">
        <f ca="1">IF(ISERROR(IF(AVERAGE($AP$251:$AP$290) = 0, "", AVERAGE($AP$251:$AP$290))), "", (IF(AVERAGE($AP$251:$AP$290) = 0, "", AVERAGE($AP$251:$AP$290))))</f>
        <v>0.55570662804545445</v>
      </c>
      <c r="AQ250">
        <f ca="1">IF(ISERROR(IF(AVERAGE($AQ$251:$AQ$290) = 0, "", AVERAGE($AQ$251:$AQ$290))), "", (IF(AVERAGE($AQ$251:$AQ$290) = 0, "", AVERAGE($AQ$251:$AQ$290))))</f>
        <v>0.64208225163636368</v>
      </c>
      <c r="AR250">
        <f ca="1">IF(ISERROR(IF(AVERAGE($AR$251:$AR$290) = 0, "", AVERAGE($AR$251:$AR$290))), "", (IF(AVERAGE($AR$251:$AR$290) = 0, "", AVERAGE($AR$251:$AR$290))))</f>
        <v>0.57182473822727264</v>
      </c>
      <c r="AS250">
        <f ca="1">IF(ISERROR(IF(AVERAGE($AS$251:$AS$290) = 0, "", AVERAGE($AS$251:$AS$290))), "", (IF(AVERAGE($AS$251:$AS$290) = 0, "", AVERAGE($AS$251:$AS$290))))</f>
        <v>0.53122995177272714</v>
      </c>
      <c r="AT250">
        <f ca="1">IF(ISERROR(IF(AVERAGE($AT$251:$AT$290) = 0, "", AVERAGE($AT$251:$AT$290))), "", (IF(AVERAGE($AT$251:$AT$290) = 0, "", AVERAGE($AT$251:$AT$290))))</f>
        <v>0.38285996445454545</v>
      </c>
      <c r="AU250">
        <f ca="1">IF(ISERROR(IF(AVERAGE($AU$251:$AU$290) = 0, "", AVERAGE($AU$251:$AU$290))), "", (IF(AVERAGE($AU$251:$AU$290) = 0, "", AVERAGE($AU$251:$AU$290))))</f>
        <v>0.30325063276190473</v>
      </c>
      <c r="AV250">
        <f ca="1">IF(ISERROR(IF(AVERAGE($AV$251:$AV$290) = 0, "", AVERAGE($AV$251:$AV$290))), "", (IF(AVERAGE($AV$251:$AV$290) = 0, "", AVERAGE($AV$251:$AV$290))))</f>
        <v>0.37603460915789472</v>
      </c>
      <c r="AW250">
        <f ca="1">IF(ISERROR(IF(AVERAGE($AW$251:$AW$290) = 0, "", AVERAGE($AW$251:$AW$290))), "", (IF(AVERAGE($AW$251:$AW$290) = 0, "", AVERAGE($AW$251:$AW$290))))</f>
        <v>0.41945328189473674</v>
      </c>
      <c r="AX250">
        <f ca="1">IF(ISERROR(IF(AVERAGE($AX$251:$AX$290) = 0, "", AVERAGE($AX$251:$AX$290))), "", (IF(AVERAGE($AX$251:$AX$290) = 0, "", AVERAGE($AX$251:$AX$290))))</f>
        <v>0.54292948942105257</v>
      </c>
      <c r="AY250">
        <f ca="1">IF(ISERROR(IF(AVERAGE($AY$251:$AY$290) = 0, "", AVERAGE($AY$251:$AY$290))), "", (IF(AVERAGE($AY$251:$AY$290) = 0, "", AVERAGE($AY$251:$AY$290))))</f>
        <v>0.81159726552631573</v>
      </c>
      <c r="AZ250">
        <f ca="1">IF(ISERROR(IF(AVERAGE($AZ$251:$AZ$290) = 0, "", AVERAGE($AZ$251:$AZ$290))), "", (IF(AVERAGE($AZ$251:$AZ$290) = 0, "", AVERAGE($AZ$251:$AZ$290))))</f>
        <v>0.89356132489473672</v>
      </c>
      <c r="BA250">
        <f ca="1">IF(ISERROR(IF(AVERAGE($BA$251:$BA$290) = 0, "", AVERAGE($BA$251:$BA$290))), "", (IF(AVERAGE($BA$251:$BA$290) = 0, "", AVERAGE($BA$251:$BA$290))))</f>
        <v>0.73353012894736824</v>
      </c>
      <c r="BB250">
        <f ca="1">IF(ISERROR(IF(AVERAGE($BB$251:$BB$290) = 0, "", AVERAGE($BB$251:$BB$290))), "", (IF(AVERAGE($BB$251:$BB$290) = 0, "", AVERAGE($BB$251:$BB$290))))</f>
        <v>0.71330223994736841</v>
      </c>
      <c r="BC250">
        <f ca="1">IF(ISERROR(IF(AVERAGE($BC$251:$BC$290) = 0, "", AVERAGE($BC$251:$BC$290))), "", (IF(AVERAGE($BC$251:$BC$290) = 0, "", AVERAGE($BC$251:$BC$290))))</f>
        <v>0.64425180410526317</v>
      </c>
      <c r="BD250">
        <f ca="1">IF(ISERROR(IF(AVERAGE($BD$251:$BD$290) = 0, "", AVERAGE($BD$251:$BD$290))), "", (IF(AVERAGE($BD$251:$BD$290) = 0, "", AVERAGE($BD$251:$BD$290))))</f>
        <v>0.63498572921052632</v>
      </c>
      <c r="BE250">
        <f ca="1">IF(ISERROR(IF(AVERAGE($BE$251:$BE$290) = 0, "", AVERAGE($BE$251:$BE$290))), "", (IF(AVERAGE($BE$251:$BE$290) = 0, "", AVERAGE($BE$251:$BE$290))))</f>
        <v>0.65294947336842102</v>
      </c>
      <c r="BF250">
        <f ca="1">IF(ISERROR(IF(AVERAGE($BF$251:$BF$290) = 0, "", AVERAGE($BF$251:$BF$290))), "", (IF(AVERAGE($BF$251:$BF$290) = 0, "", AVERAGE($BF$251:$BF$290))))</f>
        <v>0.59889546452631581</v>
      </c>
      <c r="BG250">
        <f ca="1">IF(ISERROR(IF(AVERAGE($BG$251:$BG$290) = 0, "", AVERAGE($BG$251:$BG$290))), "", (IF(AVERAGE($BG$251:$BG$290) = 0, "", AVERAGE($BG$251:$BG$290))))</f>
        <v>0.54048402827777775</v>
      </c>
      <c r="BH250">
        <f ca="1">IF(ISERROR(IF(AVERAGE($BH$251:$BH$290) = 0, "", AVERAGE($BH$251:$BH$290))), "", (IF(AVERAGE($BH$251:$BH$290) = 0, "", AVERAGE($BH$251:$BH$290))))</f>
        <v>0.59790682011111107</v>
      </c>
      <c r="BI250">
        <f ca="1">IF(ISERROR(IF(AVERAGE($BI$251:$BI$290) = 0, "", AVERAGE($BI$251:$BI$290))), "", (IF(AVERAGE($BI$251:$BI$290) = 0, "", AVERAGE($BI$251:$BI$290))))</f>
        <v>0.51971414682352945</v>
      </c>
      <c r="BJ250">
        <f ca="1">IF(ISERROR(IF(AVERAGE($BJ$251:$BJ$290) = 0, "", AVERAGE($BJ$251:$BJ$290))), "", (IF(AVERAGE($BJ$251:$BJ$290) = 0, "", AVERAGE($BJ$251:$BJ$290))))</f>
        <v>0.51380088682352931</v>
      </c>
      <c r="BK250">
        <f ca="1">IF(ISERROR(IF(AVERAGE($BK$251:$BK$290) = 0, "", AVERAGE($BK$251:$BK$290))), "", (IF(AVERAGE($BK$251:$BK$290) = 0, "", AVERAGE($BK$251:$BK$290))))</f>
        <v>0.55468972299999997</v>
      </c>
      <c r="BL250">
        <f ca="1">IF(ISERROR(IF(AVERAGE($BL$251:$BL$290) = 0, "", AVERAGE($BL$251:$BL$290))), "", (IF(AVERAGE($BL$251:$BL$290) = 0, "", AVERAGE($BL$251:$BL$290))))</f>
        <v>0.73394112107692311</v>
      </c>
      <c r="BM250">
        <f ca="1">IF(ISERROR(IF(AVERAGE($BM$251:$BM$290) = 0, "", AVERAGE($BM$251:$BM$290))), "", (IF(AVERAGE($BM$251:$BM$290) = 0, "", AVERAGE($BM$251:$BM$290))))</f>
        <v>0.7512204923076925</v>
      </c>
      <c r="BN250">
        <f>0.668728053</f>
        <v>0.66872805300000004</v>
      </c>
      <c r="BO250">
        <f>0.567546075</f>
        <v>0.56754607499999998</v>
      </c>
      <c r="BP250">
        <f>0.638291186</f>
        <v>0.63829118600000001</v>
      </c>
      <c r="BQ250">
        <f>0.696966232</f>
        <v>0.69696623199999996</v>
      </c>
      <c r="BR250">
        <f>0.732622308</f>
        <v>0.73262230800000006</v>
      </c>
      <c r="BS250">
        <f>0.827673818</f>
        <v>0.82767381799999995</v>
      </c>
      <c r="BT250">
        <f>0.893830671</f>
        <v>0.89383067100000002</v>
      </c>
      <c r="BU250">
        <f>0.838442356</f>
        <v>0.83844235600000006</v>
      </c>
      <c r="BV250">
        <f>0.872625837</f>
        <v>0.87262583699999996</v>
      </c>
      <c r="BW250">
        <f>0.782200457</f>
        <v>0.78220045699999996</v>
      </c>
      <c r="BX250">
        <f>0.730095836</f>
        <v>0.73009583600000005</v>
      </c>
      <c r="BY250">
        <f>0.750543482</f>
        <v>0.75054348199999998</v>
      </c>
      <c r="BZ250">
        <f>0.858258737</f>
        <v>0.85825873699999999</v>
      </c>
      <c r="CA250">
        <f>0.922126954</f>
        <v>0.922126954</v>
      </c>
      <c r="CB250">
        <f>0.888518414</f>
        <v>0.88851841399999998</v>
      </c>
      <c r="CC250">
        <f>1.083900633</f>
        <v>1.0839006330000001</v>
      </c>
      <c r="CD250">
        <f>1.036059027</f>
        <v>1.0360590270000001</v>
      </c>
      <c r="CE250">
        <f>1.031541962</f>
        <v>1.0315419619999999</v>
      </c>
      <c r="CF250">
        <f>1.073108573</f>
        <v>1.0731085730000001</v>
      </c>
      <c r="CG250">
        <f>1.109473634</f>
        <v>1.109473634</v>
      </c>
      <c r="CH250">
        <f>1.135480487</f>
        <v>1.1354804869999999</v>
      </c>
      <c r="CI250">
        <f>1.047659204</f>
        <v>1.0476592039999999</v>
      </c>
      <c r="CJ250">
        <f>1.189929776</f>
        <v>1.1899297760000001</v>
      </c>
      <c r="CK250">
        <f>0.999481878</f>
        <v>0.99948187799999999</v>
      </c>
      <c r="CL250">
        <f>0.792747136</f>
        <v>0.79274713600000002</v>
      </c>
      <c r="CM250">
        <f>0.923904622</f>
        <v>0.92390462200000001</v>
      </c>
      <c r="CN250">
        <f>1.24420419</f>
        <v>1.24420419</v>
      </c>
      <c r="CO250">
        <f>1.29976692</f>
        <v>1.2997669199999999</v>
      </c>
      <c r="CP250">
        <f>1.381904981</f>
        <v>1.3819049809999999</v>
      </c>
      <c r="CQ250">
        <f>1.053892394</f>
        <v>1.053892394</v>
      </c>
      <c r="CR250">
        <f>1.00668255</f>
        <v>1.0066825500000001</v>
      </c>
      <c r="CS250">
        <f>1.282229221</f>
        <v>1.2822292209999999</v>
      </c>
      <c r="CT250">
        <f>0.907772451</f>
        <v>0.90777245100000004</v>
      </c>
      <c r="CU250">
        <f>0.8599257</f>
        <v>0.85992570000000002</v>
      </c>
      <c r="CV250">
        <f>0.882846267</f>
        <v>0.88284626700000002</v>
      </c>
      <c r="CW250">
        <f>0.540100426</f>
        <v>0.54010042599999997</v>
      </c>
      <c r="CX250">
        <f>0.555706628</f>
        <v>0.55570662800000004</v>
      </c>
      <c r="CY250">
        <f>0.642082252</f>
        <v>0.64208225200000002</v>
      </c>
      <c r="CZ250">
        <f>0.571824738</f>
        <v>0.571824738</v>
      </c>
      <c r="DA250">
        <f>0.531229952</f>
        <v>0.53122995200000001</v>
      </c>
      <c r="DB250">
        <f>0.382859964</f>
        <v>0.382859964</v>
      </c>
      <c r="DC250">
        <f>0.303250633</f>
        <v>0.30325063299999999</v>
      </c>
      <c r="DD250">
        <f>0.376034609</f>
        <v>0.37603460900000002</v>
      </c>
      <c r="DE250">
        <f>0.419453282</f>
        <v>0.41945328199999998</v>
      </c>
      <c r="DF250">
        <f>0.542929489</f>
        <v>0.54292948900000004</v>
      </c>
      <c r="DG250">
        <f>0.811597266</f>
        <v>0.81159726600000004</v>
      </c>
      <c r="DH250">
        <f>0.893561325</f>
        <v>0.89356132499999996</v>
      </c>
      <c r="DI250">
        <f>0.733530129</f>
        <v>0.73353012900000003</v>
      </c>
      <c r="DJ250">
        <f>0.71330224</f>
        <v>0.71330223999999998</v>
      </c>
      <c r="DK250">
        <f>0.644251804</f>
        <v>0.64425180400000004</v>
      </c>
      <c r="DL250">
        <f>0.634985729</f>
        <v>0.63498572900000005</v>
      </c>
      <c r="DM250">
        <f>0.652949473</f>
        <v>0.65294947299999995</v>
      </c>
      <c r="DN250">
        <f>0.598895464</f>
        <v>0.59889546400000004</v>
      </c>
      <c r="DO250">
        <f>0.540484028</f>
        <v>0.54048402799999995</v>
      </c>
      <c r="DP250">
        <f>0.59790682</f>
        <v>0.59790681999999995</v>
      </c>
      <c r="DQ250">
        <f>0.519714147</f>
        <v>0.51971414699999996</v>
      </c>
      <c r="DR250">
        <f>0.513800887</f>
        <v>0.51380088700000004</v>
      </c>
      <c r="DS250">
        <f>0.554689723</f>
        <v>0.55468972299999997</v>
      </c>
      <c r="DT250">
        <f>0.733941121</f>
        <v>0.73394112099999997</v>
      </c>
      <c r="DU250">
        <f>0.751220492</f>
        <v>0.75122049199999996</v>
      </c>
    </row>
    <row r="251" spans="1:125" x14ac:dyDescent="0.25">
      <c r="A251" t="str">
        <f>"    AUDI AG"</f>
        <v xml:space="preserve">    AUDI AG</v>
      </c>
      <c r="B251" t="str">
        <f>"NSU GR Equity"</f>
        <v>NSU GR Equity</v>
      </c>
      <c r="C251" t="str">
        <f t="shared" ref="C251:C290" si="18">"RR904"</f>
        <v>RR904</v>
      </c>
      <c r="D251" t="str">
        <f t="shared" ref="D251:D290" si="19">"PX_TO_SALES_RATIO"</f>
        <v>PX_TO_SALES_RATIO</v>
      </c>
      <c r="E251" t="str">
        <f t="shared" ref="E251:E290" si="20">"Dynamic"</f>
        <v>Dynamic</v>
      </c>
      <c r="F251" t="str">
        <f ca="1">IF(AND(ISNUMBER($F$919),$B$677=1),$F$919,HLOOKUP(INDIRECT(ADDRESS(2,COLUMN())),OFFSET($BN$2,0,0,ROW()-1,60),ROW()-1,FALSE))</f>
        <v/>
      </c>
      <c r="G251" t="str">
        <f ca="1">IF(AND(ISNUMBER($G$919),$B$677=1),$G$919,HLOOKUP(INDIRECT(ADDRESS(2,COLUMN())),OFFSET($BN$2,0,0,ROW()-1,60),ROW()-1,FALSE))</f>
        <v/>
      </c>
      <c r="H251" t="str">
        <f ca="1">IF(AND(ISNUMBER($H$919),$B$677=1),$H$919,HLOOKUP(INDIRECT(ADDRESS(2,COLUMN())),OFFSET($BN$2,0,0,ROW()-1,60),ROW()-1,FALSE))</f>
        <v/>
      </c>
      <c r="I251" t="str">
        <f ca="1">IF(AND(ISNUMBER($I$919),$B$677=1),$I$919,HLOOKUP(INDIRECT(ADDRESS(2,COLUMN())),OFFSET($BN$2,0,0,ROW()-1,60),ROW()-1,FALSE))</f>
        <v/>
      </c>
      <c r="J251" t="str">
        <f ca="1">IF(AND(ISNUMBER($J$919),$B$677=1),$J$919,HLOOKUP(INDIRECT(ADDRESS(2,COLUMN())),OFFSET($BN$2,0,0,ROW()-1,60),ROW()-1,FALSE))</f>
        <v/>
      </c>
      <c r="K251" t="str">
        <f ca="1">IF(AND(ISNUMBER($K$919),$B$677=1),$K$919,HLOOKUP(INDIRECT(ADDRESS(2,COLUMN())),OFFSET($BN$2,0,0,ROW()-1,60),ROW()-1,FALSE))</f>
        <v/>
      </c>
      <c r="L251" t="str">
        <f ca="1">IF(AND(ISNUMBER($L$919),$B$677=1),$L$919,HLOOKUP(INDIRECT(ADDRESS(2,COLUMN())),OFFSET($BN$2,0,0,ROW()-1,60),ROW()-1,FALSE))</f>
        <v/>
      </c>
      <c r="M251" t="str">
        <f ca="1">IF(AND(ISNUMBER($M$919),$B$677=1),$M$919,HLOOKUP(INDIRECT(ADDRESS(2,COLUMN())),OFFSET($BN$2,0,0,ROW()-1,60),ROW()-1,FALSE))</f>
        <v/>
      </c>
      <c r="N251" t="str">
        <f ca="1">IF(AND(ISNUMBER($N$919),$B$677=1),$N$919,HLOOKUP(INDIRECT(ADDRESS(2,COLUMN())),OFFSET($BN$2,0,0,ROW()-1,60),ROW()-1,FALSE))</f>
        <v/>
      </c>
      <c r="O251" t="str">
        <f ca="1">IF(AND(ISNUMBER($O$919),$B$677=1),$O$919,HLOOKUP(INDIRECT(ADDRESS(2,COLUMN())),OFFSET($BN$2,0,0,ROW()-1,60),ROW()-1,FALSE))</f>
        <v/>
      </c>
      <c r="P251" t="str">
        <f ca="1">IF(AND(ISNUMBER($P$919),$B$677=1),$P$919,HLOOKUP(INDIRECT(ADDRESS(2,COLUMN())),OFFSET($BN$2,0,0,ROW()-1,60),ROW()-1,FALSE))</f>
        <v/>
      </c>
      <c r="Q251" t="str">
        <f ca="1">IF(AND(ISNUMBER($Q$919),$B$677=1),$Q$919,HLOOKUP(INDIRECT(ADDRESS(2,COLUMN())),OFFSET($BN$2,0,0,ROW()-1,60),ROW()-1,FALSE))</f>
        <v/>
      </c>
      <c r="R251" t="str">
        <f ca="1">IF(AND(ISNUMBER($R$919),$B$677=1),$R$919,HLOOKUP(INDIRECT(ADDRESS(2,COLUMN())),OFFSET($BN$2,0,0,ROW()-1,60),ROW()-1,FALSE))</f>
        <v/>
      </c>
      <c r="S251" t="str">
        <f ca="1">IF(AND(ISNUMBER($S$919),$B$677=1),$S$919,HLOOKUP(INDIRECT(ADDRESS(2,COLUMN())),OFFSET($BN$2,0,0,ROW()-1,60),ROW()-1,FALSE))</f>
        <v/>
      </c>
      <c r="T251" t="str">
        <f ca="1">IF(AND(ISNUMBER($T$919),$B$677=1),$T$919,HLOOKUP(INDIRECT(ADDRESS(2,COLUMN())),OFFSET($BN$2,0,0,ROW()-1,60),ROW()-1,FALSE))</f>
        <v/>
      </c>
      <c r="U251" t="str">
        <f ca="1">IF(AND(ISNUMBER($U$919),$B$677=1),$U$919,HLOOKUP(INDIRECT(ADDRESS(2,COLUMN())),OFFSET($BN$2,0,0,ROW()-1,60),ROW()-1,FALSE))</f>
        <v/>
      </c>
      <c r="V251" t="str">
        <f ca="1">IF(AND(ISNUMBER($V$919),$B$677=1),$V$919,HLOOKUP(INDIRECT(ADDRESS(2,COLUMN())),OFFSET($BN$2,0,0,ROW()-1,60),ROW()-1,FALSE))</f>
        <v/>
      </c>
      <c r="W251" t="str">
        <f ca="1">IF(AND(ISNUMBER($W$919),$B$677=1),$W$919,HLOOKUP(INDIRECT(ADDRESS(2,COLUMN())),OFFSET($BN$2,0,0,ROW()-1,60),ROW()-1,FALSE))</f>
        <v/>
      </c>
      <c r="X251" t="str">
        <f ca="1">IF(AND(ISNUMBER($X$919),$B$677=1),$X$919,HLOOKUP(INDIRECT(ADDRESS(2,COLUMN())),OFFSET($BN$2,0,0,ROW()-1,60),ROW()-1,FALSE))</f>
        <v/>
      </c>
      <c r="Y251" t="str">
        <f ca="1">IF(AND(ISNUMBER($Y$919),$B$677=1),$Y$919,HLOOKUP(INDIRECT(ADDRESS(2,COLUMN())),OFFSET($BN$2,0,0,ROW()-1,60),ROW()-1,FALSE))</f>
        <v/>
      </c>
      <c r="Z251" t="str">
        <f ca="1">IF(AND(ISNUMBER($Z$919),$B$677=1),$Z$919,HLOOKUP(INDIRECT(ADDRESS(2,COLUMN())),OFFSET($BN$2,0,0,ROW()-1,60),ROW()-1,FALSE))</f>
        <v/>
      </c>
      <c r="AA251" t="str">
        <f ca="1">IF(AND(ISNUMBER($AA$919),$B$677=1),$AA$919,HLOOKUP(INDIRECT(ADDRESS(2,COLUMN())),OFFSET($BN$2,0,0,ROW()-1,60),ROW()-1,FALSE))</f>
        <v/>
      </c>
      <c r="AB251" t="str">
        <f ca="1">IF(AND(ISNUMBER($AB$919),$B$677=1),$AB$919,HLOOKUP(INDIRECT(ADDRESS(2,COLUMN())),OFFSET($BN$2,0,0,ROW()-1,60),ROW()-1,FALSE))</f>
        <v/>
      </c>
      <c r="AC251" t="str">
        <f ca="1">IF(AND(ISNUMBER($AC$919),$B$677=1),$AC$919,HLOOKUP(INDIRECT(ADDRESS(2,COLUMN())),OFFSET($BN$2,0,0,ROW()-1,60),ROW()-1,FALSE))</f>
        <v/>
      </c>
      <c r="AD251" t="str">
        <f ca="1">IF(AND(ISNUMBER($AD$919),$B$677=1),$AD$919,HLOOKUP(INDIRECT(ADDRESS(2,COLUMN())),OFFSET($BN$2,0,0,ROW()-1,60),ROW()-1,FALSE))</f>
        <v/>
      </c>
      <c r="AE251" t="str">
        <f ca="1">IF(AND(ISNUMBER($AE$919),$B$677=1),$AE$919,HLOOKUP(INDIRECT(ADDRESS(2,COLUMN())),OFFSET($BN$2,0,0,ROW()-1,60),ROW()-1,FALSE))</f>
        <v/>
      </c>
      <c r="AF251" t="str">
        <f ca="1">IF(AND(ISNUMBER($AF$919),$B$677=1),$AF$919,HLOOKUP(INDIRECT(ADDRESS(2,COLUMN())),OFFSET($BN$2,0,0,ROW()-1,60),ROW()-1,FALSE))</f>
        <v/>
      </c>
      <c r="AG251" t="str">
        <f ca="1">IF(AND(ISNUMBER($AG$919),$B$677=1),$AG$919,HLOOKUP(INDIRECT(ADDRESS(2,COLUMN())),OFFSET($BN$2,0,0,ROW()-1,60),ROW()-1,FALSE))</f>
        <v/>
      </c>
      <c r="AH251" t="str">
        <f ca="1">IF(AND(ISNUMBER($AH$919),$B$677=1),$AH$919,HLOOKUP(INDIRECT(ADDRESS(2,COLUMN())),OFFSET($BN$2,0,0,ROW()-1,60),ROW()-1,FALSE))</f>
        <v/>
      </c>
      <c r="AI251" t="str">
        <f ca="1">IF(AND(ISNUMBER($AI$919),$B$677=1),$AI$919,HLOOKUP(INDIRECT(ADDRESS(2,COLUMN())),OFFSET($BN$2,0,0,ROW()-1,60),ROW()-1,FALSE))</f>
        <v/>
      </c>
      <c r="AJ251" t="str">
        <f ca="1">IF(AND(ISNUMBER($AJ$919),$B$677=1),$AJ$919,HLOOKUP(INDIRECT(ADDRESS(2,COLUMN())),OFFSET($BN$2,0,0,ROW()-1,60),ROW()-1,FALSE))</f>
        <v/>
      </c>
      <c r="AK251" t="str">
        <f ca="1">IF(AND(ISNUMBER($AK$919),$B$677=1),$AK$919,HLOOKUP(INDIRECT(ADDRESS(2,COLUMN())),OFFSET($BN$2,0,0,ROW()-1,60),ROW()-1,FALSE))</f>
        <v/>
      </c>
      <c r="AL251" t="str">
        <f ca="1">IF(AND(ISNUMBER($AL$919),$B$677=1),$AL$919,HLOOKUP(INDIRECT(ADDRESS(2,COLUMN())),OFFSET($BN$2,0,0,ROW()-1,60),ROW()-1,FALSE))</f>
        <v/>
      </c>
      <c r="AM251" t="str">
        <f ca="1">IF(AND(ISNUMBER($AM$919),$B$677=1),$AM$919,HLOOKUP(INDIRECT(ADDRESS(2,COLUMN())),OFFSET($BN$2,0,0,ROW()-1,60),ROW()-1,FALSE))</f>
        <v/>
      </c>
      <c r="AN251" t="str">
        <f ca="1">IF(AND(ISNUMBER($AN$919),$B$677=1),$AN$919,HLOOKUP(INDIRECT(ADDRESS(2,COLUMN())),OFFSET($BN$2,0,0,ROW()-1,60),ROW()-1,FALSE))</f>
        <v/>
      </c>
      <c r="AO251" t="str">
        <f ca="1">IF(AND(ISNUMBER($AO$919),$B$677=1),$AO$919,HLOOKUP(INDIRECT(ADDRESS(2,COLUMN())),OFFSET($BN$2,0,0,ROW()-1,60),ROW()-1,FALSE))</f>
        <v/>
      </c>
      <c r="AP251" t="str">
        <f ca="1">IF(AND(ISNUMBER($AP$919),$B$677=1),$AP$919,HLOOKUP(INDIRECT(ADDRESS(2,COLUMN())),OFFSET($BN$2,0,0,ROW()-1,60),ROW()-1,FALSE))</f>
        <v/>
      </c>
      <c r="AQ251" t="str">
        <f ca="1">IF(AND(ISNUMBER($AQ$919),$B$677=1),$AQ$919,HLOOKUP(INDIRECT(ADDRESS(2,COLUMN())),OFFSET($BN$2,0,0,ROW()-1,60),ROW()-1,FALSE))</f>
        <v/>
      </c>
      <c r="AR251" t="str">
        <f ca="1">IF(AND(ISNUMBER($AR$919),$B$677=1),$AR$919,HLOOKUP(INDIRECT(ADDRESS(2,COLUMN())),OFFSET($BN$2,0,0,ROW()-1,60),ROW()-1,FALSE))</f>
        <v/>
      </c>
      <c r="AS251" t="str">
        <f ca="1">IF(AND(ISNUMBER($AS$919),$B$677=1),$AS$919,HLOOKUP(INDIRECT(ADDRESS(2,COLUMN())),OFFSET($BN$2,0,0,ROW()-1,60),ROW()-1,FALSE))</f>
        <v/>
      </c>
      <c r="AT251" t="str">
        <f ca="1">IF(AND(ISNUMBER($AT$919),$B$677=1),$AT$919,HLOOKUP(INDIRECT(ADDRESS(2,COLUMN())),OFFSET($BN$2,0,0,ROW()-1,60),ROW()-1,FALSE))</f>
        <v/>
      </c>
      <c r="AU251" t="str">
        <f ca="1">IF(AND(ISNUMBER($AU$919),$B$677=1),$AU$919,HLOOKUP(INDIRECT(ADDRESS(2,COLUMN())),OFFSET($BN$2,0,0,ROW()-1,60),ROW()-1,FALSE))</f>
        <v/>
      </c>
      <c r="AV251" t="str">
        <f ca="1">IF(AND(ISNUMBER($AV$919),$B$677=1),$AV$919,HLOOKUP(INDIRECT(ADDRESS(2,COLUMN())),OFFSET($BN$2,0,0,ROW()-1,60),ROW()-1,FALSE))</f>
        <v/>
      </c>
      <c r="AW251" t="str">
        <f ca="1">IF(AND(ISNUMBER($AW$919),$B$677=1),$AW$919,HLOOKUP(INDIRECT(ADDRESS(2,COLUMN())),OFFSET($BN$2,0,0,ROW()-1,60),ROW()-1,FALSE))</f>
        <v/>
      </c>
      <c r="AX251" t="str">
        <f ca="1">IF(AND(ISNUMBER($AX$919),$B$677=1),$AX$919,HLOOKUP(INDIRECT(ADDRESS(2,COLUMN())),OFFSET($BN$2,0,0,ROW()-1,60),ROW()-1,FALSE))</f>
        <v/>
      </c>
      <c r="AY251" t="str">
        <f ca="1">IF(AND(ISNUMBER($AY$919),$B$677=1),$AY$919,HLOOKUP(INDIRECT(ADDRESS(2,COLUMN())),OFFSET($BN$2,0,0,ROW()-1,60),ROW()-1,FALSE))</f>
        <v/>
      </c>
      <c r="AZ251" t="str">
        <f ca="1">IF(AND(ISNUMBER($AZ$919),$B$677=1),$AZ$919,HLOOKUP(INDIRECT(ADDRESS(2,COLUMN())),OFFSET($BN$2,0,0,ROW()-1,60),ROW()-1,FALSE))</f>
        <v/>
      </c>
      <c r="BA251" t="str">
        <f ca="1">IF(AND(ISNUMBER($BA$919),$B$677=1),$BA$919,HLOOKUP(INDIRECT(ADDRESS(2,COLUMN())),OFFSET($BN$2,0,0,ROW()-1,60),ROW()-1,FALSE))</f>
        <v/>
      </c>
      <c r="BB251" t="str">
        <f ca="1">IF(AND(ISNUMBER($BB$919),$B$677=1),$BB$919,HLOOKUP(INDIRECT(ADDRESS(2,COLUMN())),OFFSET($BN$2,0,0,ROW()-1,60),ROW()-1,FALSE))</f>
        <v/>
      </c>
      <c r="BC251" t="str">
        <f ca="1">IF(AND(ISNUMBER($BC$919),$B$677=1),$BC$919,HLOOKUP(INDIRECT(ADDRESS(2,COLUMN())),OFFSET($BN$2,0,0,ROW()-1,60),ROW()-1,FALSE))</f>
        <v/>
      </c>
      <c r="BD251" t="str">
        <f ca="1">IF(AND(ISNUMBER($BD$919),$B$677=1),$BD$919,HLOOKUP(INDIRECT(ADDRESS(2,COLUMN())),OFFSET($BN$2,0,0,ROW()-1,60),ROW()-1,FALSE))</f>
        <v/>
      </c>
      <c r="BE251" t="str">
        <f ca="1">IF(AND(ISNUMBER($BE$919),$B$677=1),$BE$919,HLOOKUP(INDIRECT(ADDRESS(2,COLUMN())),OFFSET($BN$2,0,0,ROW()-1,60),ROW()-1,FALSE))</f>
        <v/>
      </c>
      <c r="BF251" t="str">
        <f ca="1">IF(AND(ISNUMBER($BF$919),$B$677=1),$BF$919,HLOOKUP(INDIRECT(ADDRESS(2,COLUMN())),OFFSET($BN$2,0,0,ROW()-1,60),ROW()-1,FALSE))</f>
        <v/>
      </c>
      <c r="BG251" t="str">
        <f ca="1">IF(AND(ISNUMBER($BG$919),$B$677=1),$BG$919,HLOOKUP(INDIRECT(ADDRESS(2,COLUMN())),OFFSET($BN$2,0,0,ROW()-1,60),ROW()-1,FALSE))</f>
        <v/>
      </c>
      <c r="BH251" t="str">
        <f ca="1">IF(AND(ISNUMBER($BH$919),$B$677=1),$BH$919,HLOOKUP(INDIRECT(ADDRESS(2,COLUMN())),OFFSET($BN$2,0,0,ROW()-1,60),ROW()-1,FALSE))</f>
        <v/>
      </c>
      <c r="BI251" t="str">
        <f ca="1">IF(AND(ISNUMBER($BI$919),$B$677=1),$BI$919,HLOOKUP(INDIRECT(ADDRESS(2,COLUMN())),OFFSET($BN$2,0,0,ROW()-1,60),ROW()-1,FALSE))</f>
        <v/>
      </c>
      <c r="BJ251" t="str">
        <f ca="1">IF(AND(ISNUMBER($BJ$919),$B$677=1),$BJ$919,HLOOKUP(INDIRECT(ADDRESS(2,COLUMN())),OFFSET($BN$2,0,0,ROW()-1,60),ROW()-1,FALSE))</f>
        <v/>
      </c>
      <c r="BK251" t="str">
        <f ca="1">IF(AND(ISNUMBER($BK$919),$B$677=1),$BK$919,HLOOKUP(INDIRECT(ADDRESS(2,COLUMN())),OFFSET($BN$2,0,0,ROW()-1,60),ROW()-1,FALSE))</f>
        <v/>
      </c>
      <c r="BL251" t="str">
        <f ca="1">IF(AND(ISNUMBER($BL$919),$B$677=1),$BL$919,HLOOKUP(INDIRECT(ADDRESS(2,COLUMN())),OFFSET($BN$2,0,0,ROW()-1,60),ROW()-1,FALSE))</f>
        <v/>
      </c>
      <c r="BM251" t="str">
        <f ca="1">IF(AND(ISNUMBER($BM$919),$B$677=1),$BM$919,HLOOKUP(INDIRECT(ADDRESS(2,COLUMN())),OFFSET($BN$2,0,0,ROW()-1,60),ROW()-1,FALSE))</f>
        <v/>
      </c>
      <c r="BN251" t="str">
        <f>""</f>
        <v/>
      </c>
      <c r="BO251" t="str">
        <f>""</f>
        <v/>
      </c>
      <c r="BP251" t="str">
        <f>""</f>
        <v/>
      </c>
      <c r="BQ251" t="str">
        <f>""</f>
        <v/>
      </c>
      <c r="BR251" t="str">
        <f>""</f>
        <v/>
      </c>
      <c r="BS251" t="str">
        <f>""</f>
        <v/>
      </c>
      <c r="BT251" t="str">
        <f>""</f>
        <v/>
      </c>
      <c r="BU251" t="str">
        <f>""</f>
        <v/>
      </c>
      <c r="BV251" t="str">
        <f>""</f>
        <v/>
      </c>
      <c r="BW251" t="str">
        <f>""</f>
        <v/>
      </c>
      <c r="BX251" t="str">
        <f>""</f>
        <v/>
      </c>
      <c r="BY251" t="str">
        <f>""</f>
        <v/>
      </c>
      <c r="BZ251" t="str">
        <f>""</f>
        <v/>
      </c>
      <c r="CA251" t="str">
        <f>""</f>
        <v/>
      </c>
      <c r="CB251" t="str">
        <f>""</f>
        <v/>
      </c>
      <c r="CC251" t="str">
        <f>""</f>
        <v/>
      </c>
      <c r="CD251" t="str">
        <f>""</f>
        <v/>
      </c>
      <c r="CE251" t="str">
        <f>""</f>
        <v/>
      </c>
      <c r="CF251" t="str">
        <f>""</f>
        <v/>
      </c>
      <c r="CG251" t="str">
        <f>""</f>
        <v/>
      </c>
      <c r="CH251" t="str">
        <f>""</f>
        <v/>
      </c>
      <c r="CI251" t="str">
        <f>""</f>
        <v/>
      </c>
      <c r="CJ251" t="str">
        <f>""</f>
        <v/>
      </c>
      <c r="CK251" t="str">
        <f>""</f>
        <v/>
      </c>
      <c r="CL251" t="str">
        <f>""</f>
        <v/>
      </c>
      <c r="CM251" t="str">
        <f>""</f>
        <v/>
      </c>
      <c r="CN251" t="str">
        <f>""</f>
        <v/>
      </c>
      <c r="CO251" t="str">
        <f>""</f>
        <v/>
      </c>
      <c r="CP251" t="str">
        <f>""</f>
        <v/>
      </c>
      <c r="CQ251" t="str">
        <f>""</f>
        <v/>
      </c>
      <c r="CR251" t="str">
        <f>""</f>
        <v/>
      </c>
      <c r="CS251" t="str">
        <f>""</f>
        <v/>
      </c>
      <c r="CT251" t="str">
        <f>""</f>
        <v/>
      </c>
      <c r="CU251" t="str">
        <f>""</f>
        <v/>
      </c>
      <c r="CV251" t="str">
        <f>""</f>
        <v/>
      </c>
      <c r="CW251" t="str">
        <f>""</f>
        <v/>
      </c>
      <c r="CX251" t="str">
        <f>""</f>
        <v/>
      </c>
      <c r="CY251" t="str">
        <f>""</f>
        <v/>
      </c>
      <c r="CZ251" t="str">
        <f>""</f>
        <v/>
      </c>
      <c r="DA251" t="str">
        <f>""</f>
        <v/>
      </c>
      <c r="DB251" t="str">
        <f>""</f>
        <v/>
      </c>
      <c r="DC251" t="str">
        <f>""</f>
        <v/>
      </c>
      <c r="DD251" t="str">
        <f>""</f>
        <v/>
      </c>
      <c r="DE251" t="str">
        <f>""</f>
        <v/>
      </c>
      <c r="DF251" t="str">
        <f>""</f>
        <v/>
      </c>
      <c r="DG251" t="str">
        <f>""</f>
        <v/>
      </c>
      <c r="DH251" t="str">
        <f>""</f>
        <v/>
      </c>
      <c r="DI251" t="str">
        <f>""</f>
        <v/>
      </c>
      <c r="DJ251" t="str">
        <f>""</f>
        <v/>
      </c>
      <c r="DK251" t="str">
        <f>""</f>
        <v/>
      </c>
      <c r="DL251" t="str">
        <f>""</f>
        <v/>
      </c>
      <c r="DM251" t="str">
        <f>""</f>
        <v/>
      </c>
      <c r="DN251" t="str">
        <f>""</f>
        <v/>
      </c>
      <c r="DO251" t="str">
        <f>""</f>
        <v/>
      </c>
      <c r="DP251" t="str">
        <f>""</f>
        <v/>
      </c>
      <c r="DQ251" t="str">
        <f>""</f>
        <v/>
      </c>
      <c r="DR251" t="str">
        <f>""</f>
        <v/>
      </c>
      <c r="DS251" t="str">
        <f>""</f>
        <v/>
      </c>
      <c r="DT251" t="str">
        <f>""</f>
        <v/>
      </c>
      <c r="DU251" t="str">
        <f>""</f>
        <v/>
      </c>
    </row>
    <row r="252" spans="1:125" x14ac:dyDescent="0.25">
      <c r="A252" t="str">
        <f>"    Avtovaz PJSC"</f>
        <v xml:space="preserve">    Avtovaz PJSC</v>
      </c>
      <c r="B252" t="str">
        <f>"AVAZ RM Equity"</f>
        <v>AVAZ RM Equity</v>
      </c>
      <c r="C252" t="str">
        <f t="shared" si="18"/>
        <v>RR904</v>
      </c>
      <c r="D252" t="str">
        <f t="shared" si="19"/>
        <v>PX_TO_SALES_RATIO</v>
      </c>
      <c r="E252" t="str">
        <f t="shared" si="20"/>
        <v>Dynamic</v>
      </c>
      <c r="F252">
        <f ca="1">IF(AND(ISNUMBER($F$920),$B$677=1),$F$920,HLOOKUP(INDIRECT(ADDRESS(2,COLUMN())),OFFSET($BN$2,0,0,ROW()-1,60),ROW()-1,FALSE))</f>
        <v>0.28338843800000002</v>
      </c>
      <c r="G252">
        <f ca="1">IF(AND(ISNUMBER($G$920),$B$677=1),$G$920,HLOOKUP(INDIRECT(ADDRESS(2,COLUMN())),OFFSET($BN$2,0,0,ROW()-1,60),ROW()-1,FALSE))</f>
        <v>0.28338843800000002</v>
      </c>
      <c r="H252">
        <f ca="1">IF(AND(ISNUMBER($H$920),$B$677=1),$H$920,HLOOKUP(INDIRECT(ADDRESS(2,COLUMN())),OFFSET($BN$2,0,0,ROW()-1,60),ROW()-1,FALSE))</f>
        <v>0.27346522699999998</v>
      </c>
      <c r="I252">
        <f ca="1">IF(AND(ISNUMBER($I$920),$B$677=1),$I$920,HLOOKUP(INDIRECT(ADDRESS(2,COLUMN())),OFFSET($BN$2,0,0,ROW()-1,60),ROW()-1,FALSE))</f>
        <v>0.28085197899999997</v>
      </c>
      <c r="J252">
        <f ca="1">IF(AND(ISNUMBER($J$920),$B$677=1),$J$920,HLOOKUP(INDIRECT(ADDRESS(2,COLUMN())),OFFSET($BN$2,0,0,ROW()-1,60),ROW()-1,FALSE))</f>
        <v>0.272632651</v>
      </c>
      <c r="K252">
        <f ca="1">IF(AND(ISNUMBER($K$920),$B$677=1),$K$920,HLOOKUP(INDIRECT(ADDRESS(2,COLUMN())),OFFSET($BN$2,0,0,ROW()-1,60),ROW()-1,FALSE))</f>
        <v>0.22857940600000001</v>
      </c>
      <c r="L252">
        <f ca="1">IF(AND(ISNUMBER($L$920),$B$677=1),$L$920,HLOOKUP(INDIRECT(ADDRESS(2,COLUMN())),OFFSET($BN$2,0,0,ROW()-1,60),ROW()-1,FALSE))</f>
        <v>0.22040569099999999</v>
      </c>
      <c r="M252">
        <f ca="1">IF(AND(ISNUMBER($M$920),$B$677=1),$M$920,HLOOKUP(INDIRECT(ADDRESS(2,COLUMN())),OFFSET($BN$2,0,0,ROW()-1,60),ROW()-1,FALSE))</f>
        <v>0.15915267799999999</v>
      </c>
      <c r="N252">
        <f ca="1">IF(AND(ISNUMBER($N$920),$B$677=1),$N$920,HLOOKUP(INDIRECT(ADDRESS(2,COLUMN())),OFFSET($BN$2,0,0,ROW()-1,60),ROW()-1,FALSE))</f>
        <v>0.14306566600000001</v>
      </c>
      <c r="O252">
        <f ca="1">IF(AND(ISNUMBER($O$920),$B$677=1),$O$920,HLOOKUP(INDIRECT(ADDRESS(2,COLUMN())),OFFSET($BN$2,0,0,ROW()-1,60),ROW()-1,FALSE))</f>
        <v>0.12388986</v>
      </c>
      <c r="P252">
        <f ca="1">IF(AND(ISNUMBER($P$920),$B$677=1),$P$920,HLOOKUP(INDIRECT(ADDRESS(2,COLUMN())),OFFSET($BN$2,0,0,ROW()-1,60),ROW()-1,FALSE))</f>
        <v>0.138174881</v>
      </c>
      <c r="Q252">
        <f ca="1">IF(AND(ISNUMBER($Q$920),$B$677=1),$Q$920,HLOOKUP(INDIRECT(ADDRESS(2,COLUMN())),OFFSET($BN$2,0,0,ROW()-1,60),ROW()-1,FALSE))</f>
        <v>9.6428591999999994E-2</v>
      </c>
      <c r="R252" t="str">
        <f ca="1">IF(AND(ISNUMBER($R$920),$B$677=1),$R$920,HLOOKUP(INDIRECT(ADDRESS(2,COLUMN())),OFFSET($BN$2,0,0,ROW()-1,60),ROW()-1,FALSE))</f>
        <v/>
      </c>
      <c r="S252" t="str">
        <f ca="1">IF(AND(ISNUMBER($S$920),$B$677=1),$S$920,HLOOKUP(INDIRECT(ADDRESS(2,COLUMN())),OFFSET($BN$2,0,0,ROW()-1,60),ROW()-1,FALSE))</f>
        <v/>
      </c>
      <c r="T252" t="str">
        <f ca="1">IF(AND(ISNUMBER($T$920),$B$677=1),$T$920,HLOOKUP(INDIRECT(ADDRESS(2,COLUMN())),OFFSET($BN$2,0,0,ROW()-1,60),ROW()-1,FALSE))</f>
        <v/>
      </c>
      <c r="U252" t="str">
        <f ca="1">IF(AND(ISNUMBER($U$920),$B$677=1),$U$920,HLOOKUP(INDIRECT(ADDRESS(2,COLUMN())),OFFSET($BN$2,0,0,ROW()-1,60),ROW()-1,FALSE))</f>
        <v/>
      </c>
      <c r="V252" t="str">
        <f ca="1">IF(AND(ISNUMBER($V$920),$B$677=1),$V$920,HLOOKUP(INDIRECT(ADDRESS(2,COLUMN())),OFFSET($BN$2,0,0,ROW()-1,60),ROW()-1,FALSE))</f>
        <v/>
      </c>
      <c r="W252" t="str">
        <f ca="1">IF(AND(ISNUMBER($W$920),$B$677=1),$W$920,HLOOKUP(INDIRECT(ADDRESS(2,COLUMN())),OFFSET($BN$2,0,0,ROW()-1,60),ROW()-1,FALSE))</f>
        <v/>
      </c>
      <c r="X252" t="str">
        <f ca="1">IF(AND(ISNUMBER($X$920),$B$677=1),$X$920,HLOOKUP(INDIRECT(ADDRESS(2,COLUMN())),OFFSET($BN$2,0,0,ROW()-1,60),ROW()-1,FALSE))</f>
        <v/>
      </c>
      <c r="Y252" t="str">
        <f ca="1">IF(AND(ISNUMBER($Y$920),$B$677=1),$Y$920,HLOOKUP(INDIRECT(ADDRESS(2,COLUMN())),OFFSET($BN$2,0,0,ROW()-1,60),ROW()-1,FALSE))</f>
        <v/>
      </c>
      <c r="Z252" t="str">
        <f ca="1">IF(AND(ISNUMBER($Z$920),$B$677=1),$Z$920,HLOOKUP(INDIRECT(ADDRESS(2,COLUMN())),OFFSET($BN$2,0,0,ROW()-1,60),ROW()-1,FALSE))</f>
        <v/>
      </c>
      <c r="AA252" t="str">
        <f ca="1">IF(AND(ISNUMBER($AA$920),$B$677=1),$AA$920,HLOOKUP(INDIRECT(ADDRESS(2,COLUMN())),OFFSET($BN$2,0,0,ROW()-1,60),ROW()-1,FALSE))</f>
        <v/>
      </c>
      <c r="AB252" t="str">
        <f ca="1">IF(AND(ISNUMBER($AB$920),$B$677=1),$AB$920,HLOOKUP(INDIRECT(ADDRESS(2,COLUMN())),OFFSET($BN$2,0,0,ROW()-1,60),ROW()-1,FALSE))</f>
        <v/>
      </c>
      <c r="AC252" t="str">
        <f ca="1">IF(AND(ISNUMBER($AC$920),$B$677=1),$AC$920,HLOOKUP(INDIRECT(ADDRESS(2,COLUMN())),OFFSET($BN$2,0,0,ROW()-1,60),ROW()-1,FALSE))</f>
        <v/>
      </c>
      <c r="AD252" t="str">
        <f ca="1">IF(AND(ISNUMBER($AD$920),$B$677=1),$AD$920,HLOOKUP(INDIRECT(ADDRESS(2,COLUMN())),OFFSET($BN$2,0,0,ROW()-1,60),ROW()-1,FALSE))</f>
        <v/>
      </c>
      <c r="AE252" t="str">
        <f ca="1">IF(AND(ISNUMBER($AE$920),$B$677=1),$AE$920,HLOOKUP(INDIRECT(ADDRESS(2,COLUMN())),OFFSET($BN$2,0,0,ROW()-1,60),ROW()-1,FALSE))</f>
        <v/>
      </c>
      <c r="AF252" t="str">
        <f ca="1">IF(AND(ISNUMBER($AF$920),$B$677=1),$AF$920,HLOOKUP(INDIRECT(ADDRESS(2,COLUMN())),OFFSET($BN$2,0,0,ROW()-1,60),ROW()-1,FALSE))</f>
        <v/>
      </c>
      <c r="AG252" t="str">
        <f ca="1">IF(AND(ISNUMBER($AG$920),$B$677=1),$AG$920,HLOOKUP(INDIRECT(ADDRESS(2,COLUMN())),OFFSET($BN$2,0,0,ROW()-1,60),ROW()-1,FALSE))</f>
        <v/>
      </c>
      <c r="AH252" t="str">
        <f ca="1">IF(AND(ISNUMBER($AH$920),$B$677=1),$AH$920,HLOOKUP(INDIRECT(ADDRESS(2,COLUMN())),OFFSET($BN$2,0,0,ROW()-1,60),ROW()-1,FALSE))</f>
        <v/>
      </c>
      <c r="AI252" t="str">
        <f ca="1">IF(AND(ISNUMBER($AI$920),$B$677=1),$AI$920,HLOOKUP(INDIRECT(ADDRESS(2,COLUMN())),OFFSET($BN$2,0,0,ROW()-1,60),ROW()-1,FALSE))</f>
        <v/>
      </c>
      <c r="AJ252" t="str">
        <f ca="1">IF(AND(ISNUMBER($AJ$920),$B$677=1),$AJ$920,HLOOKUP(INDIRECT(ADDRESS(2,COLUMN())),OFFSET($BN$2,0,0,ROW()-1,60),ROW()-1,FALSE))</f>
        <v/>
      </c>
      <c r="AK252" t="str">
        <f ca="1">IF(AND(ISNUMBER($AK$920),$B$677=1),$AK$920,HLOOKUP(INDIRECT(ADDRESS(2,COLUMN())),OFFSET($BN$2,0,0,ROW()-1,60),ROW()-1,FALSE))</f>
        <v/>
      </c>
      <c r="AL252" t="str">
        <f ca="1">IF(AND(ISNUMBER($AL$920),$B$677=1),$AL$920,HLOOKUP(INDIRECT(ADDRESS(2,COLUMN())),OFFSET($BN$2,0,0,ROW()-1,60),ROW()-1,FALSE))</f>
        <v/>
      </c>
      <c r="AM252" t="str">
        <f ca="1">IF(AND(ISNUMBER($AM$920),$B$677=1),$AM$920,HLOOKUP(INDIRECT(ADDRESS(2,COLUMN())),OFFSET($BN$2,0,0,ROW()-1,60),ROW()-1,FALSE))</f>
        <v/>
      </c>
      <c r="AN252" t="str">
        <f ca="1">IF(AND(ISNUMBER($AN$920),$B$677=1),$AN$920,HLOOKUP(INDIRECT(ADDRESS(2,COLUMN())),OFFSET($BN$2,0,0,ROW()-1,60),ROW()-1,FALSE))</f>
        <v/>
      </c>
      <c r="AO252" t="str">
        <f ca="1">IF(AND(ISNUMBER($AO$920),$B$677=1),$AO$920,HLOOKUP(INDIRECT(ADDRESS(2,COLUMN())),OFFSET($BN$2,0,0,ROW()-1,60),ROW()-1,FALSE))</f>
        <v/>
      </c>
      <c r="AP252" t="str">
        <f ca="1">IF(AND(ISNUMBER($AP$920),$B$677=1),$AP$920,HLOOKUP(INDIRECT(ADDRESS(2,COLUMN())),OFFSET($BN$2,0,0,ROW()-1,60),ROW()-1,FALSE))</f>
        <v/>
      </c>
      <c r="AQ252" t="str">
        <f ca="1">IF(AND(ISNUMBER($AQ$920),$B$677=1),$AQ$920,HLOOKUP(INDIRECT(ADDRESS(2,COLUMN())),OFFSET($BN$2,0,0,ROW()-1,60),ROW()-1,FALSE))</f>
        <v/>
      </c>
      <c r="AR252" t="str">
        <f ca="1">IF(AND(ISNUMBER($AR$920),$B$677=1),$AR$920,HLOOKUP(INDIRECT(ADDRESS(2,COLUMN())),OFFSET($BN$2,0,0,ROW()-1,60),ROW()-1,FALSE))</f>
        <v/>
      </c>
      <c r="AS252" t="str">
        <f ca="1">IF(AND(ISNUMBER($AS$920),$B$677=1),$AS$920,HLOOKUP(INDIRECT(ADDRESS(2,COLUMN())),OFFSET($BN$2,0,0,ROW()-1,60),ROW()-1,FALSE))</f>
        <v/>
      </c>
      <c r="AT252" t="str">
        <f ca="1">IF(AND(ISNUMBER($AT$920),$B$677=1),$AT$920,HLOOKUP(INDIRECT(ADDRESS(2,COLUMN())),OFFSET($BN$2,0,0,ROW()-1,60),ROW()-1,FALSE))</f>
        <v/>
      </c>
      <c r="AU252" t="str">
        <f ca="1">IF(AND(ISNUMBER($AU$920),$B$677=1),$AU$920,HLOOKUP(INDIRECT(ADDRESS(2,COLUMN())),OFFSET($BN$2,0,0,ROW()-1,60),ROW()-1,FALSE))</f>
        <v/>
      </c>
      <c r="AV252" t="str">
        <f ca="1">IF(AND(ISNUMBER($AV$920),$B$677=1),$AV$920,HLOOKUP(INDIRECT(ADDRESS(2,COLUMN())),OFFSET($BN$2,0,0,ROW()-1,60),ROW()-1,FALSE))</f>
        <v/>
      </c>
      <c r="AW252" t="str">
        <f ca="1">IF(AND(ISNUMBER($AW$920),$B$677=1),$AW$920,HLOOKUP(INDIRECT(ADDRESS(2,COLUMN())),OFFSET($BN$2,0,0,ROW()-1,60),ROW()-1,FALSE))</f>
        <v/>
      </c>
      <c r="AX252" t="str">
        <f ca="1">IF(AND(ISNUMBER($AX$920),$B$677=1),$AX$920,HLOOKUP(INDIRECT(ADDRESS(2,COLUMN())),OFFSET($BN$2,0,0,ROW()-1,60),ROW()-1,FALSE))</f>
        <v/>
      </c>
      <c r="AY252" t="str">
        <f ca="1">IF(AND(ISNUMBER($AY$920),$B$677=1),$AY$920,HLOOKUP(INDIRECT(ADDRESS(2,COLUMN())),OFFSET($BN$2,0,0,ROW()-1,60),ROW()-1,FALSE))</f>
        <v/>
      </c>
      <c r="AZ252" t="str">
        <f ca="1">IF(AND(ISNUMBER($AZ$920),$B$677=1),$AZ$920,HLOOKUP(INDIRECT(ADDRESS(2,COLUMN())),OFFSET($BN$2,0,0,ROW()-1,60),ROW()-1,FALSE))</f>
        <v/>
      </c>
      <c r="BA252" t="str">
        <f ca="1">IF(AND(ISNUMBER($BA$920),$B$677=1),$BA$920,HLOOKUP(INDIRECT(ADDRESS(2,COLUMN())),OFFSET($BN$2,0,0,ROW()-1,60),ROW()-1,FALSE))</f>
        <v/>
      </c>
      <c r="BB252" t="str">
        <f ca="1">IF(AND(ISNUMBER($BB$920),$B$677=1),$BB$920,HLOOKUP(INDIRECT(ADDRESS(2,COLUMN())),OFFSET($BN$2,0,0,ROW()-1,60),ROW()-1,FALSE))</f>
        <v/>
      </c>
      <c r="BC252" t="str">
        <f ca="1">IF(AND(ISNUMBER($BC$920),$B$677=1),$BC$920,HLOOKUP(INDIRECT(ADDRESS(2,COLUMN())),OFFSET($BN$2,0,0,ROW()-1,60),ROW()-1,FALSE))</f>
        <v/>
      </c>
      <c r="BD252" t="str">
        <f ca="1">IF(AND(ISNUMBER($BD$920),$B$677=1),$BD$920,HLOOKUP(INDIRECT(ADDRESS(2,COLUMN())),OFFSET($BN$2,0,0,ROW()-1,60),ROW()-1,FALSE))</f>
        <v/>
      </c>
      <c r="BE252" t="str">
        <f ca="1">IF(AND(ISNUMBER($BE$920),$B$677=1),$BE$920,HLOOKUP(INDIRECT(ADDRESS(2,COLUMN())),OFFSET($BN$2,0,0,ROW()-1,60),ROW()-1,FALSE))</f>
        <v/>
      </c>
      <c r="BF252" t="str">
        <f ca="1">IF(AND(ISNUMBER($BF$920),$B$677=1),$BF$920,HLOOKUP(INDIRECT(ADDRESS(2,COLUMN())),OFFSET($BN$2,0,0,ROW()-1,60),ROW()-1,FALSE))</f>
        <v/>
      </c>
      <c r="BG252" t="str">
        <f ca="1">IF(AND(ISNUMBER($BG$920),$B$677=1),$BG$920,HLOOKUP(INDIRECT(ADDRESS(2,COLUMN())),OFFSET($BN$2,0,0,ROW()-1,60),ROW()-1,FALSE))</f>
        <v/>
      </c>
      <c r="BH252" t="str">
        <f ca="1">IF(AND(ISNUMBER($BH$920),$B$677=1),$BH$920,HLOOKUP(INDIRECT(ADDRESS(2,COLUMN())),OFFSET($BN$2,0,0,ROW()-1,60),ROW()-1,FALSE))</f>
        <v/>
      </c>
      <c r="BI252" t="str">
        <f ca="1">IF(AND(ISNUMBER($BI$920),$B$677=1),$BI$920,HLOOKUP(INDIRECT(ADDRESS(2,COLUMN())),OFFSET($BN$2,0,0,ROW()-1,60),ROW()-1,FALSE))</f>
        <v/>
      </c>
      <c r="BJ252" t="str">
        <f ca="1">IF(AND(ISNUMBER($BJ$920),$B$677=1),$BJ$920,HLOOKUP(INDIRECT(ADDRESS(2,COLUMN())),OFFSET($BN$2,0,0,ROW()-1,60),ROW()-1,FALSE))</f>
        <v/>
      </c>
      <c r="BK252" t="str">
        <f ca="1">IF(AND(ISNUMBER($BK$920),$B$677=1),$BK$920,HLOOKUP(INDIRECT(ADDRESS(2,COLUMN())),OFFSET($BN$2,0,0,ROW()-1,60),ROW()-1,FALSE))</f>
        <v/>
      </c>
      <c r="BL252" t="str">
        <f ca="1">IF(AND(ISNUMBER($BL$920),$B$677=1),$BL$920,HLOOKUP(INDIRECT(ADDRESS(2,COLUMN())),OFFSET($BN$2,0,0,ROW()-1,60),ROW()-1,FALSE))</f>
        <v/>
      </c>
      <c r="BM252" t="str">
        <f ca="1">IF(AND(ISNUMBER($BM$920),$B$677=1),$BM$920,HLOOKUP(INDIRECT(ADDRESS(2,COLUMN())),OFFSET($BN$2,0,0,ROW()-1,60),ROW()-1,FALSE))</f>
        <v/>
      </c>
      <c r="BN252">
        <f>0.283388438</f>
        <v>0.28338843800000002</v>
      </c>
      <c r="BO252">
        <f>0.283388438</f>
        <v>0.28338843800000002</v>
      </c>
      <c r="BP252">
        <f>0.273465227</f>
        <v>0.27346522699999998</v>
      </c>
      <c r="BQ252">
        <f>0.280851979</f>
        <v>0.28085197899999997</v>
      </c>
      <c r="BR252">
        <f>0.272632651</f>
        <v>0.272632651</v>
      </c>
      <c r="BS252">
        <f>0.228579406</f>
        <v>0.22857940600000001</v>
      </c>
      <c r="BT252">
        <f>0.220405691</f>
        <v>0.22040569099999999</v>
      </c>
      <c r="BU252">
        <f>0.159152678</f>
        <v>0.15915267799999999</v>
      </c>
      <c r="BV252">
        <f>0.143065666</f>
        <v>0.14306566600000001</v>
      </c>
      <c r="BW252">
        <f>0.12388986</f>
        <v>0.12388986</v>
      </c>
      <c r="BX252">
        <f>0.138174881</f>
        <v>0.138174881</v>
      </c>
      <c r="BY252">
        <f>0.096428592</f>
        <v>9.6428591999999994E-2</v>
      </c>
      <c r="BZ252" t="str">
        <f>""</f>
        <v/>
      </c>
      <c r="CA252" t="str">
        <f>""</f>
        <v/>
      </c>
      <c r="CB252" t="str">
        <f>""</f>
        <v/>
      </c>
      <c r="CC252" t="str">
        <f>""</f>
        <v/>
      </c>
      <c r="CD252" t="str">
        <f>""</f>
        <v/>
      </c>
      <c r="CE252" t="str">
        <f>""</f>
        <v/>
      </c>
      <c r="CF252" t="str">
        <f>""</f>
        <v/>
      </c>
      <c r="CG252" t="str">
        <f>""</f>
        <v/>
      </c>
      <c r="CH252" t="str">
        <f>""</f>
        <v/>
      </c>
      <c r="CI252" t="str">
        <f>""</f>
        <v/>
      </c>
      <c r="CJ252" t="str">
        <f>""</f>
        <v/>
      </c>
      <c r="CK252" t="str">
        <f>""</f>
        <v/>
      </c>
      <c r="CL252" t="str">
        <f>""</f>
        <v/>
      </c>
      <c r="CM252" t="str">
        <f>""</f>
        <v/>
      </c>
      <c r="CN252" t="str">
        <f>""</f>
        <v/>
      </c>
      <c r="CO252" t="str">
        <f>""</f>
        <v/>
      </c>
      <c r="CP252" t="str">
        <f>""</f>
        <v/>
      </c>
      <c r="CQ252" t="str">
        <f>""</f>
        <v/>
      </c>
      <c r="CR252" t="str">
        <f>""</f>
        <v/>
      </c>
      <c r="CS252" t="str">
        <f>""</f>
        <v/>
      </c>
      <c r="CT252" t="str">
        <f>""</f>
        <v/>
      </c>
      <c r="CU252" t="str">
        <f>""</f>
        <v/>
      </c>
      <c r="CV252" t="str">
        <f>""</f>
        <v/>
      </c>
      <c r="CW252" t="str">
        <f>""</f>
        <v/>
      </c>
      <c r="CX252" t="str">
        <f>""</f>
        <v/>
      </c>
      <c r="CY252" t="str">
        <f>""</f>
        <v/>
      </c>
      <c r="CZ252" t="str">
        <f>""</f>
        <v/>
      </c>
      <c r="DA252" t="str">
        <f>""</f>
        <v/>
      </c>
      <c r="DB252" t="str">
        <f>""</f>
        <v/>
      </c>
      <c r="DC252" t="str">
        <f>""</f>
        <v/>
      </c>
      <c r="DD252" t="str">
        <f>""</f>
        <v/>
      </c>
      <c r="DE252" t="str">
        <f>""</f>
        <v/>
      </c>
      <c r="DF252" t="str">
        <f>""</f>
        <v/>
      </c>
      <c r="DG252" t="str">
        <f>""</f>
        <v/>
      </c>
      <c r="DH252" t="str">
        <f>""</f>
        <v/>
      </c>
      <c r="DI252" t="str">
        <f>""</f>
        <v/>
      </c>
      <c r="DJ252" t="str">
        <f>""</f>
        <v/>
      </c>
      <c r="DK252" t="str">
        <f>""</f>
        <v/>
      </c>
      <c r="DL252" t="str">
        <f>""</f>
        <v/>
      </c>
      <c r="DM252" t="str">
        <f>""</f>
        <v/>
      </c>
      <c r="DN252" t="str">
        <f>""</f>
        <v/>
      </c>
      <c r="DO252" t="str">
        <f>""</f>
        <v/>
      </c>
      <c r="DP252" t="str">
        <f>""</f>
        <v/>
      </c>
      <c r="DQ252" t="str">
        <f>""</f>
        <v/>
      </c>
      <c r="DR252" t="str">
        <f>""</f>
        <v/>
      </c>
      <c r="DS252" t="str">
        <f>""</f>
        <v/>
      </c>
      <c r="DT252" t="str">
        <f>""</f>
        <v/>
      </c>
      <c r="DU252" t="str">
        <f>""</f>
        <v/>
      </c>
    </row>
    <row r="253" spans="1:125" x14ac:dyDescent="0.25">
      <c r="A253" t="str">
        <f>"    Bayerische Motoren Werke AG"</f>
        <v xml:space="preserve">    Bayerische Motoren Werke AG</v>
      </c>
      <c r="B253" t="str">
        <f>"BMW GR Equity"</f>
        <v>BMW GR Equity</v>
      </c>
      <c r="C253" t="str">
        <f t="shared" si="18"/>
        <v>RR904</v>
      </c>
      <c r="D253" t="str">
        <f t="shared" si="19"/>
        <v>PX_TO_SALES_RATIO</v>
      </c>
      <c r="E253" t="str">
        <f t="shared" si="20"/>
        <v>Dynamic</v>
      </c>
      <c r="F253">
        <f ca="1">IF(AND(ISNUMBER($F$921),$B$677=1),$F$921,HLOOKUP(INDIRECT(ADDRESS(2,COLUMN())),OFFSET($BN$2,0,0,ROW()-1,60),ROW()-1,FALSE))</f>
        <v>0.487826492</v>
      </c>
      <c r="G253">
        <f ca="1">IF(AND(ISNUMBER($G$921),$B$677=1),$G$921,HLOOKUP(INDIRECT(ADDRESS(2,COLUMN())),OFFSET($BN$2,0,0,ROW()-1,60),ROW()-1,FALSE))</f>
        <v>0.47206861500000002</v>
      </c>
      <c r="H253">
        <f ca="1">IF(AND(ISNUMBER($H$921),$B$677=1),$H$921,HLOOKUP(INDIRECT(ADDRESS(2,COLUMN())),OFFSET($BN$2,0,0,ROW()-1,60),ROW()-1,FALSE))</f>
        <v>0.517472669</v>
      </c>
      <c r="I253">
        <f ca="1">IF(AND(ISNUMBER($I$921),$B$677=1),$I$921,HLOOKUP(INDIRECT(ADDRESS(2,COLUMN())),OFFSET($BN$2,0,0,ROW()-1,60),ROW()-1,FALSE))</f>
        <v>0.52395167200000003</v>
      </c>
      <c r="J253">
        <f ca="1">IF(AND(ISNUMBER($J$921),$B$677=1),$J$921,HLOOKUP(INDIRECT(ADDRESS(2,COLUMN())),OFFSET($BN$2,0,0,ROW()-1,60),ROW()-1,FALSE))</f>
        <v>0.59110475500000004</v>
      </c>
      <c r="K253">
        <f ca="1">IF(AND(ISNUMBER($K$921),$B$677=1),$K$921,HLOOKUP(INDIRECT(ADDRESS(2,COLUMN())),OFFSET($BN$2,0,0,ROW()-1,60),ROW()-1,FALSE))</f>
        <v>0.57441097100000005</v>
      </c>
      <c r="L253">
        <f ca="1">IF(AND(ISNUMBER($L$921),$B$677=1),$L$921,HLOOKUP(INDIRECT(ADDRESS(2,COLUMN())),OFFSET($BN$2,0,0,ROW()-1,60),ROW()-1,FALSE))</f>
        <v>0.57232369299999997</v>
      </c>
      <c r="M253">
        <f ca="1">IF(AND(ISNUMBER($M$921),$B$677=1),$M$921,HLOOKUP(INDIRECT(ADDRESS(2,COLUMN())),OFFSET($BN$2,0,0,ROW()-1,60),ROW()-1,FALSE))</f>
        <v>0.54670280299999996</v>
      </c>
      <c r="N253">
        <f ca="1">IF(AND(ISNUMBER($N$921),$B$677=1),$N$921,HLOOKUP(INDIRECT(ADDRESS(2,COLUMN())),OFFSET($BN$2,0,0,ROW()-1,60),ROW()-1,FALSE))</f>
        <v>0.57768465000000002</v>
      </c>
      <c r="O253">
        <f ca="1">IF(AND(ISNUMBER($O$921),$B$677=1),$O$921,HLOOKUP(INDIRECT(ADDRESS(2,COLUMN())),OFFSET($BN$2,0,0,ROW()-1,60),ROW()-1,FALSE))</f>
        <v>0.61904787999999999</v>
      </c>
      <c r="P253">
        <f ca="1">IF(AND(ISNUMBER($P$921),$B$677=1),$P$921,HLOOKUP(INDIRECT(ADDRESS(2,COLUMN())),OFFSET($BN$2,0,0,ROW()-1,60),ROW()-1,FALSE))</f>
        <v>0.52108647900000005</v>
      </c>
      <c r="Q253">
        <f ca="1">IF(AND(ISNUMBER($Q$921),$B$677=1),$Q$921,HLOOKUP(INDIRECT(ADDRESS(2,COLUMN())),OFFSET($BN$2,0,0,ROW()-1,60),ROW()-1,FALSE))</f>
        <v>0.46585375299999998</v>
      </c>
      <c r="R253">
        <f ca="1">IF(AND(ISNUMBER($R$921),$B$677=1),$R$921,HLOOKUP(INDIRECT(ADDRESS(2,COLUMN())),OFFSET($BN$2,0,0,ROW()-1,60),ROW()-1,FALSE))</f>
        <v>0.57532013000000004</v>
      </c>
      <c r="S253">
        <f ca="1">IF(AND(ISNUMBER($S$921),$B$677=1),$S$921,HLOOKUP(INDIRECT(ADDRESS(2,COLUMN())),OFFSET($BN$2,0,0,ROW()-1,60),ROW()-1,FALSE))</f>
        <v>0.69534659700000001</v>
      </c>
      <c r="T253">
        <f ca="1">IF(AND(ISNUMBER($T$921),$B$677=1),$T$921,HLOOKUP(INDIRECT(ADDRESS(2,COLUMN())),OFFSET($BN$2,0,0,ROW()-1,60),ROW()-1,FALSE))</f>
        <v>0.57747920799999997</v>
      </c>
      <c r="U253">
        <f ca="1">IF(AND(ISNUMBER($U$921),$B$677=1),$U$921,HLOOKUP(INDIRECT(ADDRESS(2,COLUMN())),OFFSET($BN$2,0,0,ROW()-1,60),ROW()-1,FALSE))</f>
        <v>0.74226748499999995</v>
      </c>
      <c r="V253">
        <f ca="1">IF(AND(ISNUMBER($V$921),$B$677=1),$V$921,HLOOKUP(INDIRECT(ADDRESS(2,COLUMN())),OFFSET($BN$2,0,0,ROW()-1,60),ROW()-1,FALSE))</f>
        <v>0.91419493399999996</v>
      </c>
      <c r="W253">
        <f ca="1">IF(AND(ISNUMBER($W$921),$B$677=1),$W$921,HLOOKUP(INDIRECT(ADDRESS(2,COLUMN())),OFFSET($BN$2,0,0,ROW()-1,60),ROW()-1,FALSE))</f>
        <v>0.73272730200000002</v>
      </c>
      <c r="X253">
        <f ca="1">IF(AND(ISNUMBER($X$921),$B$677=1),$X$921,HLOOKUP(INDIRECT(ADDRESS(2,COLUMN())),OFFSET($BN$2,0,0,ROW()-1,60),ROW()-1,FALSE))</f>
        <v>0.72479245599999997</v>
      </c>
      <c r="Y253">
        <f ca="1">IF(AND(ISNUMBER($Y$921),$B$677=1),$Y$921,HLOOKUP(INDIRECT(ADDRESS(2,COLUMN())),OFFSET($BN$2,0,0,ROW()-1,60),ROW()-1,FALSE))</f>
        <v>0.78707866800000004</v>
      </c>
      <c r="Z253">
        <f ca="1">IF(AND(ISNUMBER($Z$921),$B$677=1),$Z$921,HLOOKUP(INDIRECT(ADDRESS(2,COLUMN())),OFFSET($BN$2,0,0,ROW()-1,60),ROW()-1,FALSE))</f>
        <v>0.78206841100000002</v>
      </c>
      <c r="AA253">
        <f ca="1">IF(AND(ISNUMBER($AA$921),$B$677=1),$AA$921,HLOOKUP(INDIRECT(ADDRESS(2,COLUMN())),OFFSET($BN$2,0,0,ROW()-1,60),ROW()-1,FALSE))</f>
        <v>0.73500000099999996</v>
      </c>
      <c r="AB253">
        <f ca="1">IF(AND(ISNUMBER($AB$921),$B$677=1),$AB$921,HLOOKUP(INDIRECT(ADDRESS(2,COLUMN())),OFFSET($BN$2,0,0,ROW()-1,60),ROW()-1,FALSE))</f>
        <v>0.68408208599999998</v>
      </c>
      <c r="AC253">
        <f ca="1">IF(AND(ISNUMBER($AC$921),$B$677=1),$AC$921,HLOOKUP(INDIRECT(ADDRESS(2,COLUMN())),OFFSET($BN$2,0,0,ROW()-1,60),ROW()-1,FALSE))</f>
        <v>0.57695996900000002</v>
      </c>
      <c r="AD253">
        <f ca="1">IF(AND(ISNUMBER($AD$921),$B$677=1),$AD$921,HLOOKUP(INDIRECT(ADDRESS(2,COLUMN())),OFFSET($BN$2,0,0,ROW()-1,60),ROW()-1,FALSE))</f>
        <v>0.58483421700000005</v>
      </c>
      <c r="AE253">
        <f ca="1">IF(AND(ISNUMBER($AE$921),$B$677=1),$AE$921,HLOOKUP(INDIRECT(ADDRESS(2,COLUMN())),OFFSET($BN$2,0,0,ROW()-1,60),ROW()-1,FALSE))</f>
        <v>0.622143259</v>
      </c>
      <c r="AF253">
        <f ca="1">IF(AND(ISNUMBER($AF$921),$B$677=1),$AF$921,HLOOKUP(INDIRECT(ADDRESS(2,COLUMN())),OFFSET($BN$2,0,0,ROW()-1,60),ROW()-1,FALSE))</f>
        <v>0.50155740299999996</v>
      </c>
      <c r="AG253">
        <f ca="1">IF(AND(ISNUMBER($AG$921),$B$677=1),$AG$921,HLOOKUP(INDIRECT(ADDRESS(2,COLUMN())),OFFSET($BN$2,0,0,ROW()-1,60),ROW()-1,FALSE))</f>
        <v>0.51485506299999995</v>
      </c>
      <c r="AH253">
        <f ca="1">IF(AND(ISNUMBER($AH$921),$B$677=1),$AH$921,HLOOKUP(INDIRECT(ADDRESS(2,COLUMN())),OFFSET($BN$2,0,0,ROW()-1,60),ROW()-1,FALSE))</f>
        <v>0.621457064</v>
      </c>
      <c r="AI253">
        <f ca="1">IF(AND(ISNUMBER($AI$921),$B$677=1),$AI$921,HLOOKUP(INDIRECT(ADDRESS(2,COLUMN())),OFFSET($BN$2,0,0,ROW()-1,60),ROW()-1,FALSE))</f>
        <v>0.49274203500000002</v>
      </c>
      <c r="AJ253">
        <f ca="1">IF(AND(ISNUMBER($AJ$921),$B$677=1),$AJ$921,HLOOKUP(INDIRECT(ADDRESS(2,COLUMN())),OFFSET($BN$2,0,0,ROW()-1,60),ROW()-1,FALSE))</f>
        <v>0.48519874400000002</v>
      </c>
      <c r="AK253">
        <f ca="1">IF(AND(ISNUMBER($AK$921),$B$677=1),$AK$921,HLOOKUP(INDIRECT(ADDRESS(2,COLUMN())),OFFSET($BN$2,0,0,ROW()-1,60),ROW()-1,FALSE))</f>
        <v>0.66965058600000005</v>
      </c>
      <c r="AL253">
        <f ca="1">IF(AND(ISNUMBER($AL$921),$B$677=1),$AL$921,HLOOKUP(INDIRECT(ADDRESS(2,COLUMN())),OFFSET($BN$2,0,0,ROW()-1,60),ROW()-1,FALSE))</f>
        <v>0.60112012800000003</v>
      </c>
      <c r="AM253">
        <f ca="1">IF(AND(ISNUMBER($AM$921),$B$677=1),$AM$921,HLOOKUP(INDIRECT(ADDRESS(2,COLUMN())),OFFSET($BN$2,0,0,ROW()-1,60),ROW()-1,FALSE))</f>
        <v>0.63704670299999999</v>
      </c>
      <c r="AN253">
        <f ca="1">IF(AND(ISNUMBER($AN$921),$B$677=1),$AN$921,HLOOKUP(INDIRECT(ADDRESS(2,COLUMN())),OFFSET($BN$2,0,0,ROW()-1,60),ROW()-1,FALSE))</f>
        <v>0.57859490599999996</v>
      </c>
      <c r="AO253">
        <f ca="1">IF(AND(ISNUMBER($AO$921),$B$677=1),$AO$921,HLOOKUP(INDIRECT(ADDRESS(2,COLUMN())),OFFSET($BN$2,0,0,ROW()-1,60),ROW()-1,FALSE))</f>
        <v>0.48646394799999998</v>
      </c>
      <c r="AP253">
        <f ca="1">IF(AND(ISNUMBER($AP$921),$B$677=1),$AP$921,HLOOKUP(INDIRECT(ADDRESS(2,COLUMN())),OFFSET($BN$2,0,0,ROW()-1,60),ROW()-1,FALSE))</f>
        <v>0.43367560799999999</v>
      </c>
      <c r="AQ253">
        <f ca="1">IF(AND(ISNUMBER($AQ$921),$B$677=1),$AQ$921,HLOOKUP(INDIRECT(ADDRESS(2,COLUMN())),OFFSET($BN$2,0,0,ROW()-1,60),ROW()-1,FALSE))</f>
        <v>0.41024783399999998</v>
      </c>
      <c r="AR253">
        <f ca="1">IF(AND(ISNUMBER($AR$921),$B$677=1),$AR$921,HLOOKUP(INDIRECT(ADDRESS(2,COLUMN())),OFFSET($BN$2,0,0,ROW()-1,60),ROW()-1,FALSE))</f>
        <v>0.43893982799999998</v>
      </c>
      <c r="AS253">
        <f ca="1">IF(AND(ISNUMBER($AS$921),$B$677=1),$AS$921,HLOOKUP(INDIRECT(ADDRESS(2,COLUMN())),OFFSET($BN$2,0,0,ROW()-1,60),ROW()-1,FALSE))</f>
        <v>0.35182341700000003</v>
      </c>
      <c r="AT253">
        <f ca="1">IF(AND(ISNUMBER($AT$921),$B$677=1),$AT$921,HLOOKUP(INDIRECT(ADDRESS(2,COLUMN())),OFFSET($BN$2,0,0,ROW()-1,60),ROW()-1,FALSE))</f>
        <v>0.27576226999999998</v>
      </c>
      <c r="AU253">
        <f ca="1">IF(AND(ISNUMBER($AU$921),$B$677=1),$AU$921,HLOOKUP(INDIRECT(ADDRESS(2,COLUMN())),OFFSET($BN$2,0,0,ROW()-1,60),ROW()-1,FALSE))</f>
        <v>0.26545858700000002</v>
      </c>
      <c r="AV253">
        <f ca="1">IF(AND(ISNUMBER($AV$921),$B$677=1),$AV$921,HLOOKUP(INDIRECT(ADDRESS(2,COLUMN())),OFFSET($BN$2,0,0,ROW()-1,60),ROW()-1,FALSE))</f>
        <v>0.32079044899999998</v>
      </c>
      <c r="AW253">
        <f ca="1">IF(AND(ISNUMBER($AW$921),$B$677=1),$AW$921,HLOOKUP(INDIRECT(ADDRESS(2,COLUMN())),OFFSET($BN$2,0,0,ROW()-1,60),ROW()-1,FALSE))</f>
        <v>0.34897356099999999</v>
      </c>
      <c r="AX253">
        <f ca="1">IF(AND(ISNUMBER($AX$921),$B$677=1),$AX$921,HLOOKUP(INDIRECT(ADDRESS(2,COLUMN())),OFFSET($BN$2,0,0,ROW()-1,60),ROW()-1,FALSE))</f>
        <v>0.39866406399999998</v>
      </c>
      <c r="AY253">
        <f ca="1">IF(AND(ISNUMBER($AY$921),$B$677=1),$AY$921,HLOOKUP(INDIRECT(ADDRESS(2,COLUMN())),OFFSET($BN$2,0,0,ROW()-1,60),ROW()-1,FALSE))</f>
        <v>0.49839839800000002</v>
      </c>
      <c r="AZ253">
        <f ca="1">IF(AND(ISNUMBER($AZ$921),$B$677=1),$AZ$921,HLOOKUP(INDIRECT(ADDRESS(2,COLUMN())),OFFSET($BN$2,0,0,ROW()-1,60),ROW()-1,FALSE))</f>
        <v>0.55847711099999997</v>
      </c>
      <c r="BA253">
        <f ca="1">IF(AND(ISNUMBER($BA$921),$B$677=1),$BA$921,HLOOKUP(INDIRECT(ADDRESS(2,COLUMN())),OFFSET($BN$2,0,0,ROW()-1,60),ROW()-1,FALSE))</f>
        <v>0.61230751999999999</v>
      </c>
      <c r="BB253">
        <f ca="1">IF(AND(ISNUMBER($BB$921),$B$677=1),$BB$921,HLOOKUP(INDIRECT(ADDRESS(2,COLUMN())),OFFSET($BN$2,0,0,ROW()-1,60),ROW()-1,FALSE))</f>
        <v>0.58574964100000004</v>
      </c>
      <c r="BC253">
        <f ca="1">IF(AND(ISNUMBER($BC$921),$B$677=1),$BC$921,HLOOKUP(INDIRECT(ADDRESS(2,COLUMN())),OFFSET($BN$2,0,0,ROW()-1,60),ROW()-1,FALSE))</f>
        <v>0.58334719499999999</v>
      </c>
      <c r="BD253">
        <f ca="1">IF(AND(ISNUMBER($BD$921),$B$677=1),$BD$921,HLOOKUP(INDIRECT(ADDRESS(2,COLUMN())),OFFSET($BN$2,0,0,ROW()-1,60),ROW()-1,FALSE))</f>
        <v>0.57093563000000003</v>
      </c>
      <c r="BE253">
        <f ca="1">IF(AND(ISNUMBER($BE$921),$B$677=1),$BE$921,HLOOKUP(INDIRECT(ADDRESS(2,COLUMN())),OFFSET($BN$2,0,0,ROW()-1,60),ROW()-1,FALSE))</f>
        <v>0.52911446200000001</v>
      </c>
      <c r="BF253">
        <f ca="1">IF(AND(ISNUMBER($BF$921),$B$677=1),$BF$921,HLOOKUP(INDIRECT(ADDRESS(2,COLUMN())),OFFSET($BN$2,0,0,ROW()-1,60),ROW()-1,FALSE))</f>
        <v>0.635044579</v>
      </c>
      <c r="BG253">
        <f ca="1">IF(AND(ISNUMBER($BG$921),$B$677=1),$BG$921,HLOOKUP(INDIRECT(ADDRESS(2,COLUMN())),OFFSET($BN$2,0,0,ROW()-1,60),ROW()-1,FALSE))</f>
        <v>0.53390385900000004</v>
      </c>
      <c r="BH253">
        <f ca="1">IF(AND(ISNUMBER($BH$921),$B$677=1),$BH$921,HLOOKUP(INDIRECT(ADDRESS(2,COLUMN())),OFFSET($BN$2,0,0,ROW()-1,60),ROW()-1,FALSE))</f>
        <v>0.58067257999999999</v>
      </c>
      <c r="BI253">
        <f ca="1">IF(AND(ISNUMBER($BI$921),$B$677=1),$BI$921,HLOOKUP(INDIRECT(ADDRESS(2,COLUMN())),OFFSET($BN$2,0,0,ROW()-1,60),ROW()-1,FALSE))</f>
        <v>0.57804520100000001</v>
      </c>
      <c r="BJ253">
        <f ca="1">IF(AND(ISNUMBER($BJ$921),$B$677=1),$BJ$921,HLOOKUP(INDIRECT(ADDRESS(2,COLUMN())),OFFSET($BN$2,0,0,ROW()-1,60),ROW()-1,FALSE))</f>
        <v>0.53766440500000001</v>
      </c>
      <c r="BK253">
        <f ca="1">IF(AND(ISNUMBER($BK$921),$B$677=1),$BK$921,HLOOKUP(INDIRECT(ADDRESS(2,COLUMN())),OFFSET($BN$2,0,0,ROW()-1,60),ROW()-1,FALSE))</f>
        <v>0.50472707000000006</v>
      </c>
      <c r="BL253">
        <f ca="1">IF(AND(ISNUMBER($BL$921),$B$677=1),$BL$921,HLOOKUP(INDIRECT(ADDRESS(2,COLUMN())),OFFSET($BN$2,0,0,ROW()-1,60),ROW()-1,FALSE))</f>
        <v>0.50333915600000001</v>
      </c>
      <c r="BM253">
        <f ca="1">IF(AND(ISNUMBER($BM$921),$B$677=1),$BM$921,HLOOKUP(INDIRECT(ADDRESS(2,COLUMN())),OFFSET($BN$2,0,0,ROW()-1,60),ROW()-1,FALSE))</f>
        <v>0.56003068899999997</v>
      </c>
      <c r="BN253">
        <f>0.487826492</f>
        <v>0.487826492</v>
      </c>
      <c r="BO253">
        <f>0.472068615</f>
        <v>0.47206861500000002</v>
      </c>
      <c r="BP253">
        <f>0.517472669</f>
        <v>0.517472669</v>
      </c>
      <c r="BQ253">
        <f>0.523951672</f>
        <v>0.52395167200000003</v>
      </c>
      <c r="BR253">
        <f>0.591104755</f>
        <v>0.59110475500000004</v>
      </c>
      <c r="BS253">
        <f>0.574410971</f>
        <v>0.57441097100000005</v>
      </c>
      <c r="BT253">
        <f>0.572323693</f>
        <v>0.57232369299999997</v>
      </c>
      <c r="BU253">
        <f>0.546702803</f>
        <v>0.54670280299999996</v>
      </c>
      <c r="BV253">
        <f>0.57768465</f>
        <v>0.57768465000000002</v>
      </c>
      <c r="BW253">
        <f>0.61904788</f>
        <v>0.61904787999999999</v>
      </c>
      <c r="BX253">
        <f>0.521086479</f>
        <v>0.52108647900000005</v>
      </c>
      <c r="BY253">
        <f>0.465853753</f>
        <v>0.46585375299999998</v>
      </c>
      <c r="BZ253">
        <f>0.57532013</f>
        <v>0.57532013000000004</v>
      </c>
      <c r="CA253">
        <f>0.695346597</f>
        <v>0.69534659700000001</v>
      </c>
      <c r="CB253">
        <f>0.577479208</f>
        <v>0.57747920799999997</v>
      </c>
      <c r="CC253">
        <f>0.742267485</f>
        <v>0.74226748499999995</v>
      </c>
      <c r="CD253">
        <f>0.914194934</f>
        <v>0.91419493399999996</v>
      </c>
      <c r="CE253">
        <f>0.732727302</f>
        <v>0.73272730200000002</v>
      </c>
      <c r="CF253">
        <f>0.724792456</f>
        <v>0.72479245599999997</v>
      </c>
      <c r="CG253">
        <f>0.787078668</f>
        <v>0.78707866800000004</v>
      </c>
      <c r="CH253">
        <f>0.782068411</f>
        <v>0.78206841100000002</v>
      </c>
      <c r="CI253">
        <f>0.735000001</f>
        <v>0.73500000099999996</v>
      </c>
      <c r="CJ253">
        <f>0.684082086</f>
        <v>0.68408208599999998</v>
      </c>
      <c r="CK253">
        <f>0.576959969</f>
        <v>0.57695996900000002</v>
      </c>
      <c r="CL253">
        <f>0.584834217</f>
        <v>0.58483421700000005</v>
      </c>
      <c r="CM253">
        <f>0.622143259</f>
        <v>0.622143259</v>
      </c>
      <c r="CN253">
        <f>0.501557403</f>
        <v>0.50155740299999996</v>
      </c>
      <c r="CO253">
        <f>0.514855063</f>
        <v>0.51485506299999995</v>
      </c>
      <c r="CP253">
        <f>0.621457064</f>
        <v>0.621457064</v>
      </c>
      <c r="CQ253">
        <f>0.492742035</f>
        <v>0.49274203500000002</v>
      </c>
      <c r="CR253">
        <f>0.485198744</f>
        <v>0.48519874400000002</v>
      </c>
      <c r="CS253">
        <f>0.669650586</f>
        <v>0.66965058600000005</v>
      </c>
      <c r="CT253">
        <f>0.601120128</f>
        <v>0.60112012800000003</v>
      </c>
      <c r="CU253">
        <f>0.637046703</f>
        <v>0.63704670299999999</v>
      </c>
      <c r="CV253">
        <f>0.578594906</f>
        <v>0.57859490599999996</v>
      </c>
      <c r="CW253">
        <f>0.486463948</f>
        <v>0.48646394799999998</v>
      </c>
      <c r="CX253">
        <f>0.433675608</f>
        <v>0.43367560799999999</v>
      </c>
      <c r="CY253">
        <f>0.410247834</f>
        <v>0.41024783399999998</v>
      </c>
      <c r="CZ253">
        <f>0.438939828</f>
        <v>0.43893982799999998</v>
      </c>
      <c r="DA253">
        <f>0.351823417</f>
        <v>0.35182341700000003</v>
      </c>
      <c r="DB253">
        <f>0.27576227</f>
        <v>0.27576226999999998</v>
      </c>
      <c r="DC253">
        <f>0.265458587</f>
        <v>0.26545858700000002</v>
      </c>
      <c r="DD253">
        <f>0.320790449</f>
        <v>0.32079044899999998</v>
      </c>
      <c r="DE253">
        <f>0.348973561</f>
        <v>0.34897356099999999</v>
      </c>
      <c r="DF253">
        <f>0.398664064</f>
        <v>0.39866406399999998</v>
      </c>
      <c r="DG253">
        <f>0.498398398</f>
        <v>0.49839839800000002</v>
      </c>
      <c r="DH253">
        <f>0.558477111</f>
        <v>0.55847711099999997</v>
      </c>
      <c r="DI253">
        <f>0.61230752</f>
        <v>0.61230751999999999</v>
      </c>
      <c r="DJ253">
        <f>0.585749641</f>
        <v>0.58574964100000004</v>
      </c>
      <c r="DK253">
        <f>0.583347195</f>
        <v>0.58334719499999999</v>
      </c>
      <c r="DL253">
        <f>0.57093563</f>
        <v>0.57093563000000003</v>
      </c>
      <c r="DM253">
        <f>0.529114462</f>
        <v>0.52911446200000001</v>
      </c>
      <c r="DN253">
        <f>0.635044579</f>
        <v>0.635044579</v>
      </c>
      <c r="DO253">
        <f>0.533903859</f>
        <v>0.53390385900000004</v>
      </c>
      <c r="DP253">
        <f>0.58067258</f>
        <v>0.58067257999999999</v>
      </c>
      <c r="DQ253">
        <f>0.578045201</f>
        <v>0.57804520100000001</v>
      </c>
      <c r="DR253">
        <f>0.537664405</f>
        <v>0.53766440500000001</v>
      </c>
      <c r="DS253">
        <f>0.50472707</f>
        <v>0.50472707000000006</v>
      </c>
      <c r="DT253">
        <f>0.503339156</f>
        <v>0.50333915600000001</v>
      </c>
      <c r="DU253">
        <f>0.560030689</f>
        <v>0.56003068899999997</v>
      </c>
    </row>
    <row r="254" spans="1:125" x14ac:dyDescent="0.25">
      <c r="A254" t="str">
        <f>"    Brilliance China Automotive Holdings Ltd"</f>
        <v xml:space="preserve">    Brilliance China Automotive Holdings Ltd</v>
      </c>
      <c r="B254" t="str">
        <f>"1114 HK Equity"</f>
        <v>1114 HK Equity</v>
      </c>
      <c r="C254" t="str">
        <f t="shared" si="18"/>
        <v>RR904</v>
      </c>
      <c r="D254" t="str">
        <f t="shared" si="19"/>
        <v>PX_TO_SALES_RATIO</v>
      </c>
      <c r="E254" t="str">
        <f t="shared" si="20"/>
        <v>Dynamic</v>
      </c>
      <c r="F254" t="str">
        <f ca="1">IF(AND(ISNUMBER($F$922),$B$677=1),$F$922,HLOOKUP(INDIRECT(ADDRESS(2,COLUMN())),OFFSET($BN$2,0,0,ROW()-1,60),ROW()-1,FALSE))</f>
        <v/>
      </c>
      <c r="G254" t="str">
        <f ca="1">IF(AND(ISNUMBER($G$922),$B$677=1),$G$922,HLOOKUP(INDIRECT(ADDRESS(2,COLUMN())),OFFSET($BN$2,0,0,ROW()-1,60),ROW()-1,FALSE))</f>
        <v/>
      </c>
      <c r="H254" t="str">
        <f ca="1">IF(AND(ISNUMBER($H$922),$B$677=1),$H$922,HLOOKUP(INDIRECT(ADDRESS(2,COLUMN())),OFFSET($BN$2,0,0,ROW()-1,60),ROW()-1,FALSE))</f>
        <v/>
      </c>
      <c r="I254" t="str">
        <f ca="1">IF(AND(ISNUMBER($I$922),$B$677=1),$I$922,HLOOKUP(INDIRECT(ADDRESS(2,COLUMN())),OFFSET($BN$2,0,0,ROW()-1,60),ROW()-1,FALSE))</f>
        <v/>
      </c>
      <c r="J254" t="str">
        <f ca="1">IF(AND(ISNUMBER($J$922),$B$677=1),$J$922,HLOOKUP(INDIRECT(ADDRESS(2,COLUMN())),OFFSET($BN$2,0,0,ROW()-1,60),ROW()-1,FALSE))</f>
        <v/>
      </c>
      <c r="K254" t="str">
        <f ca="1">IF(AND(ISNUMBER($K$922),$B$677=1),$K$922,HLOOKUP(INDIRECT(ADDRESS(2,COLUMN())),OFFSET($BN$2,0,0,ROW()-1,60),ROW()-1,FALSE))</f>
        <v/>
      </c>
      <c r="L254" t="str">
        <f ca="1">IF(AND(ISNUMBER($L$922),$B$677=1),$L$922,HLOOKUP(INDIRECT(ADDRESS(2,COLUMN())),OFFSET($BN$2,0,0,ROW()-1,60),ROW()-1,FALSE))</f>
        <v/>
      </c>
      <c r="M254" t="str">
        <f ca="1">IF(AND(ISNUMBER($M$922),$B$677=1),$M$922,HLOOKUP(INDIRECT(ADDRESS(2,COLUMN())),OFFSET($BN$2,0,0,ROW()-1,60),ROW()-1,FALSE))</f>
        <v/>
      </c>
      <c r="N254" t="str">
        <f ca="1">IF(AND(ISNUMBER($N$922),$B$677=1),$N$922,HLOOKUP(INDIRECT(ADDRESS(2,COLUMN())),OFFSET($BN$2,0,0,ROW()-1,60),ROW()-1,FALSE))</f>
        <v/>
      </c>
      <c r="O254" t="str">
        <f ca="1">IF(AND(ISNUMBER($O$922),$B$677=1),$O$922,HLOOKUP(INDIRECT(ADDRESS(2,COLUMN())),OFFSET($BN$2,0,0,ROW()-1,60),ROW()-1,FALSE))</f>
        <v/>
      </c>
      <c r="P254" t="str">
        <f ca="1">IF(AND(ISNUMBER($P$922),$B$677=1),$P$922,HLOOKUP(INDIRECT(ADDRESS(2,COLUMN())),OFFSET($BN$2,0,0,ROW()-1,60),ROW()-1,FALSE))</f>
        <v/>
      </c>
      <c r="Q254" t="str">
        <f ca="1">IF(AND(ISNUMBER($Q$922),$B$677=1),$Q$922,HLOOKUP(INDIRECT(ADDRESS(2,COLUMN())),OFFSET($BN$2,0,0,ROW()-1,60),ROW()-1,FALSE))</f>
        <v/>
      </c>
      <c r="R254" t="str">
        <f ca="1">IF(AND(ISNUMBER($R$922),$B$677=1),$R$922,HLOOKUP(INDIRECT(ADDRESS(2,COLUMN())),OFFSET($BN$2,0,0,ROW()-1,60),ROW()-1,FALSE))</f>
        <v/>
      </c>
      <c r="S254" t="str">
        <f ca="1">IF(AND(ISNUMBER($S$922),$B$677=1),$S$922,HLOOKUP(INDIRECT(ADDRESS(2,COLUMN())),OFFSET($BN$2,0,0,ROW()-1,60),ROW()-1,FALSE))</f>
        <v/>
      </c>
      <c r="T254" t="str">
        <f ca="1">IF(AND(ISNUMBER($T$922),$B$677=1),$T$922,HLOOKUP(INDIRECT(ADDRESS(2,COLUMN())),OFFSET($BN$2,0,0,ROW()-1,60),ROW()-1,FALSE))</f>
        <v/>
      </c>
      <c r="U254" t="str">
        <f ca="1">IF(AND(ISNUMBER($U$922),$B$677=1),$U$922,HLOOKUP(INDIRECT(ADDRESS(2,COLUMN())),OFFSET($BN$2,0,0,ROW()-1,60),ROW()-1,FALSE))</f>
        <v/>
      </c>
      <c r="V254" t="str">
        <f ca="1">IF(AND(ISNUMBER($V$922),$B$677=1),$V$922,HLOOKUP(INDIRECT(ADDRESS(2,COLUMN())),OFFSET($BN$2,0,0,ROW()-1,60),ROW()-1,FALSE))</f>
        <v/>
      </c>
      <c r="W254" t="str">
        <f ca="1">IF(AND(ISNUMBER($W$922),$B$677=1),$W$922,HLOOKUP(INDIRECT(ADDRESS(2,COLUMN())),OFFSET($BN$2,0,0,ROW()-1,60),ROW()-1,FALSE))</f>
        <v/>
      </c>
      <c r="X254" t="str">
        <f ca="1">IF(AND(ISNUMBER($X$922),$B$677=1),$X$922,HLOOKUP(INDIRECT(ADDRESS(2,COLUMN())),OFFSET($BN$2,0,0,ROW()-1,60),ROW()-1,FALSE))</f>
        <v/>
      </c>
      <c r="Y254" t="str">
        <f ca="1">IF(AND(ISNUMBER($Y$922),$B$677=1),$Y$922,HLOOKUP(INDIRECT(ADDRESS(2,COLUMN())),OFFSET($BN$2,0,0,ROW()-1,60),ROW()-1,FALSE))</f>
        <v/>
      </c>
      <c r="Z254" t="str">
        <f ca="1">IF(AND(ISNUMBER($Z$922),$B$677=1),$Z$922,HLOOKUP(INDIRECT(ADDRESS(2,COLUMN())),OFFSET($BN$2,0,0,ROW()-1,60),ROW()-1,FALSE))</f>
        <v/>
      </c>
      <c r="AA254" t="str">
        <f ca="1">IF(AND(ISNUMBER($AA$922),$B$677=1),$AA$922,HLOOKUP(INDIRECT(ADDRESS(2,COLUMN())),OFFSET($BN$2,0,0,ROW()-1,60),ROW()-1,FALSE))</f>
        <v/>
      </c>
      <c r="AB254" t="str">
        <f ca="1">IF(AND(ISNUMBER($AB$922),$B$677=1),$AB$922,HLOOKUP(INDIRECT(ADDRESS(2,COLUMN())),OFFSET($BN$2,0,0,ROW()-1,60),ROW()-1,FALSE))</f>
        <v/>
      </c>
      <c r="AC254" t="str">
        <f ca="1">IF(AND(ISNUMBER($AC$922),$B$677=1),$AC$922,HLOOKUP(INDIRECT(ADDRESS(2,COLUMN())),OFFSET($BN$2,0,0,ROW()-1,60),ROW()-1,FALSE))</f>
        <v/>
      </c>
      <c r="AD254" t="str">
        <f ca="1">IF(AND(ISNUMBER($AD$922),$B$677=1),$AD$922,HLOOKUP(INDIRECT(ADDRESS(2,COLUMN())),OFFSET($BN$2,0,0,ROW()-1,60),ROW()-1,FALSE))</f>
        <v/>
      </c>
      <c r="AE254" t="str">
        <f ca="1">IF(AND(ISNUMBER($AE$922),$B$677=1),$AE$922,HLOOKUP(INDIRECT(ADDRESS(2,COLUMN())),OFFSET($BN$2,0,0,ROW()-1,60),ROW()-1,FALSE))</f>
        <v/>
      </c>
      <c r="AF254" t="str">
        <f ca="1">IF(AND(ISNUMBER($AF$922),$B$677=1),$AF$922,HLOOKUP(INDIRECT(ADDRESS(2,COLUMN())),OFFSET($BN$2,0,0,ROW()-1,60),ROW()-1,FALSE))</f>
        <v/>
      </c>
      <c r="AG254" t="str">
        <f ca="1">IF(AND(ISNUMBER($AG$922),$B$677=1),$AG$922,HLOOKUP(INDIRECT(ADDRESS(2,COLUMN())),OFFSET($BN$2,0,0,ROW()-1,60),ROW()-1,FALSE))</f>
        <v/>
      </c>
      <c r="AH254" t="str">
        <f ca="1">IF(AND(ISNUMBER($AH$922),$B$677=1),$AH$922,HLOOKUP(INDIRECT(ADDRESS(2,COLUMN())),OFFSET($BN$2,0,0,ROW()-1,60),ROW()-1,FALSE))</f>
        <v/>
      </c>
      <c r="AI254" t="str">
        <f ca="1">IF(AND(ISNUMBER($AI$922),$B$677=1),$AI$922,HLOOKUP(INDIRECT(ADDRESS(2,COLUMN())),OFFSET($BN$2,0,0,ROW()-1,60),ROW()-1,FALSE))</f>
        <v/>
      </c>
      <c r="AJ254" t="str">
        <f ca="1">IF(AND(ISNUMBER($AJ$922),$B$677=1),$AJ$922,HLOOKUP(INDIRECT(ADDRESS(2,COLUMN())),OFFSET($BN$2,0,0,ROW()-1,60),ROW()-1,FALSE))</f>
        <v/>
      </c>
      <c r="AK254" t="str">
        <f ca="1">IF(AND(ISNUMBER($AK$922),$B$677=1),$AK$922,HLOOKUP(INDIRECT(ADDRESS(2,COLUMN())),OFFSET($BN$2,0,0,ROW()-1,60),ROW()-1,FALSE))</f>
        <v/>
      </c>
      <c r="AL254" t="str">
        <f ca="1">IF(AND(ISNUMBER($AL$922),$B$677=1),$AL$922,HLOOKUP(INDIRECT(ADDRESS(2,COLUMN())),OFFSET($BN$2,0,0,ROW()-1,60),ROW()-1,FALSE))</f>
        <v/>
      </c>
      <c r="AM254" t="str">
        <f ca="1">IF(AND(ISNUMBER($AM$922),$B$677=1),$AM$922,HLOOKUP(INDIRECT(ADDRESS(2,COLUMN())),OFFSET($BN$2,0,0,ROW()-1,60),ROW()-1,FALSE))</f>
        <v/>
      </c>
      <c r="AN254" t="str">
        <f ca="1">IF(AND(ISNUMBER($AN$922),$B$677=1),$AN$922,HLOOKUP(INDIRECT(ADDRESS(2,COLUMN())),OFFSET($BN$2,0,0,ROW()-1,60),ROW()-1,FALSE))</f>
        <v/>
      </c>
      <c r="AO254" t="str">
        <f ca="1">IF(AND(ISNUMBER($AO$922),$B$677=1),$AO$922,HLOOKUP(INDIRECT(ADDRESS(2,COLUMN())),OFFSET($BN$2,0,0,ROW()-1,60),ROW()-1,FALSE))</f>
        <v/>
      </c>
      <c r="AP254" t="str">
        <f ca="1">IF(AND(ISNUMBER($AP$922),$B$677=1),$AP$922,HLOOKUP(INDIRECT(ADDRESS(2,COLUMN())),OFFSET($BN$2,0,0,ROW()-1,60),ROW()-1,FALSE))</f>
        <v/>
      </c>
      <c r="AQ254" t="str">
        <f ca="1">IF(AND(ISNUMBER($AQ$922),$B$677=1),$AQ$922,HLOOKUP(INDIRECT(ADDRESS(2,COLUMN())),OFFSET($BN$2,0,0,ROW()-1,60),ROW()-1,FALSE))</f>
        <v/>
      </c>
      <c r="AR254" t="str">
        <f ca="1">IF(AND(ISNUMBER($AR$922),$B$677=1),$AR$922,HLOOKUP(INDIRECT(ADDRESS(2,COLUMN())),OFFSET($BN$2,0,0,ROW()-1,60),ROW()-1,FALSE))</f>
        <v/>
      </c>
      <c r="AS254" t="str">
        <f ca="1">IF(AND(ISNUMBER($AS$922),$B$677=1),$AS$922,HLOOKUP(INDIRECT(ADDRESS(2,COLUMN())),OFFSET($BN$2,0,0,ROW()-1,60),ROW()-1,FALSE))</f>
        <v/>
      </c>
      <c r="AT254" t="str">
        <f ca="1">IF(AND(ISNUMBER($AT$922),$B$677=1),$AT$922,HLOOKUP(INDIRECT(ADDRESS(2,COLUMN())),OFFSET($BN$2,0,0,ROW()-1,60),ROW()-1,FALSE))</f>
        <v/>
      </c>
      <c r="AU254" t="str">
        <f ca="1">IF(AND(ISNUMBER($AU$922),$B$677=1),$AU$922,HLOOKUP(INDIRECT(ADDRESS(2,COLUMN())),OFFSET($BN$2,0,0,ROW()-1,60),ROW()-1,FALSE))</f>
        <v/>
      </c>
      <c r="AV254" t="str">
        <f ca="1">IF(AND(ISNUMBER($AV$922),$B$677=1),$AV$922,HLOOKUP(INDIRECT(ADDRESS(2,COLUMN())),OFFSET($BN$2,0,0,ROW()-1,60),ROW()-1,FALSE))</f>
        <v/>
      </c>
      <c r="AW254" t="str">
        <f ca="1">IF(AND(ISNUMBER($AW$922),$B$677=1),$AW$922,HLOOKUP(INDIRECT(ADDRESS(2,COLUMN())),OFFSET($BN$2,0,0,ROW()-1,60),ROW()-1,FALSE))</f>
        <v/>
      </c>
      <c r="AX254" t="str">
        <f ca="1">IF(AND(ISNUMBER($AX$922),$B$677=1),$AX$922,HLOOKUP(INDIRECT(ADDRESS(2,COLUMN())),OFFSET($BN$2,0,0,ROW()-1,60),ROW()-1,FALSE))</f>
        <v/>
      </c>
      <c r="AY254" t="str">
        <f ca="1">IF(AND(ISNUMBER($AY$922),$B$677=1),$AY$922,HLOOKUP(INDIRECT(ADDRESS(2,COLUMN())),OFFSET($BN$2,0,0,ROW()-1,60),ROW()-1,FALSE))</f>
        <v/>
      </c>
      <c r="AZ254" t="str">
        <f ca="1">IF(AND(ISNUMBER($AZ$922),$B$677=1),$AZ$922,HLOOKUP(INDIRECT(ADDRESS(2,COLUMN())),OFFSET($BN$2,0,0,ROW()-1,60),ROW()-1,FALSE))</f>
        <v/>
      </c>
      <c r="BA254" t="str">
        <f ca="1">IF(AND(ISNUMBER($BA$922),$B$677=1),$BA$922,HLOOKUP(INDIRECT(ADDRESS(2,COLUMN())),OFFSET($BN$2,0,0,ROW()-1,60),ROW()-1,FALSE))</f>
        <v/>
      </c>
      <c r="BB254" t="str">
        <f ca="1">IF(AND(ISNUMBER($BB$922),$B$677=1),$BB$922,HLOOKUP(INDIRECT(ADDRESS(2,COLUMN())),OFFSET($BN$2,0,0,ROW()-1,60),ROW()-1,FALSE))</f>
        <v/>
      </c>
      <c r="BC254" t="str">
        <f ca="1">IF(AND(ISNUMBER($BC$922),$B$677=1),$BC$922,HLOOKUP(INDIRECT(ADDRESS(2,COLUMN())),OFFSET($BN$2,0,0,ROW()-1,60),ROW()-1,FALSE))</f>
        <v/>
      </c>
      <c r="BD254" t="str">
        <f ca="1">IF(AND(ISNUMBER($BD$922),$B$677=1),$BD$922,HLOOKUP(INDIRECT(ADDRESS(2,COLUMN())),OFFSET($BN$2,0,0,ROW()-1,60),ROW()-1,FALSE))</f>
        <v/>
      </c>
      <c r="BE254" t="str">
        <f ca="1">IF(AND(ISNUMBER($BE$922),$B$677=1),$BE$922,HLOOKUP(INDIRECT(ADDRESS(2,COLUMN())),OFFSET($BN$2,0,0,ROW()-1,60),ROW()-1,FALSE))</f>
        <v/>
      </c>
      <c r="BF254" t="str">
        <f ca="1">IF(AND(ISNUMBER($BF$922),$B$677=1),$BF$922,HLOOKUP(INDIRECT(ADDRESS(2,COLUMN())),OFFSET($BN$2,0,0,ROW()-1,60),ROW()-1,FALSE))</f>
        <v/>
      </c>
      <c r="BG254" t="str">
        <f ca="1">IF(AND(ISNUMBER($BG$922),$B$677=1),$BG$922,HLOOKUP(INDIRECT(ADDRESS(2,COLUMN())),OFFSET($BN$2,0,0,ROW()-1,60),ROW()-1,FALSE))</f>
        <v/>
      </c>
      <c r="BH254" t="str">
        <f ca="1">IF(AND(ISNUMBER($BH$922),$B$677=1),$BH$922,HLOOKUP(INDIRECT(ADDRESS(2,COLUMN())),OFFSET($BN$2,0,0,ROW()-1,60),ROW()-1,FALSE))</f>
        <v/>
      </c>
      <c r="BI254" t="str">
        <f ca="1">IF(AND(ISNUMBER($BI$922),$B$677=1),$BI$922,HLOOKUP(INDIRECT(ADDRESS(2,COLUMN())),OFFSET($BN$2,0,0,ROW()-1,60),ROW()-1,FALSE))</f>
        <v/>
      </c>
      <c r="BJ254" t="str">
        <f ca="1">IF(AND(ISNUMBER($BJ$922),$B$677=1),$BJ$922,HLOOKUP(INDIRECT(ADDRESS(2,COLUMN())),OFFSET($BN$2,0,0,ROW()-1,60),ROW()-1,FALSE))</f>
        <v/>
      </c>
      <c r="BK254" t="str">
        <f ca="1">IF(AND(ISNUMBER($BK$922),$B$677=1),$BK$922,HLOOKUP(INDIRECT(ADDRESS(2,COLUMN())),OFFSET($BN$2,0,0,ROW()-1,60),ROW()-1,FALSE))</f>
        <v/>
      </c>
      <c r="BL254" t="str">
        <f ca="1">IF(AND(ISNUMBER($BL$922),$B$677=1),$BL$922,HLOOKUP(INDIRECT(ADDRESS(2,COLUMN())),OFFSET($BN$2,0,0,ROW()-1,60),ROW()-1,FALSE))</f>
        <v/>
      </c>
      <c r="BM254" t="str">
        <f ca="1">IF(AND(ISNUMBER($BM$922),$B$677=1),$BM$922,HLOOKUP(INDIRECT(ADDRESS(2,COLUMN())),OFFSET($BN$2,0,0,ROW()-1,60),ROW()-1,FALSE))</f>
        <v/>
      </c>
      <c r="BN254" t="str">
        <f>""</f>
        <v/>
      </c>
      <c r="BO254" t="str">
        <f>""</f>
        <v/>
      </c>
      <c r="BP254" t="str">
        <f>""</f>
        <v/>
      </c>
      <c r="BQ254" t="str">
        <f>""</f>
        <v/>
      </c>
      <c r="BR254" t="str">
        <f>""</f>
        <v/>
      </c>
      <c r="BS254" t="str">
        <f>""</f>
        <v/>
      </c>
      <c r="BT254" t="str">
        <f>""</f>
        <v/>
      </c>
      <c r="BU254" t="str">
        <f>""</f>
        <v/>
      </c>
      <c r="BV254" t="str">
        <f>""</f>
        <v/>
      </c>
      <c r="BW254" t="str">
        <f>""</f>
        <v/>
      </c>
      <c r="BX254" t="str">
        <f>""</f>
        <v/>
      </c>
      <c r="BY254" t="str">
        <f>""</f>
        <v/>
      </c>
      <c r="BZ254" t="str">
        <f>""</f>
        <v/>
      </c>
      <c r="CA254" t="str">
        <f>""</f>
        <v/>
      </c>
      <c r="CB254" t="str">
        <f>""</f>
        <v/>
      </c>
      <c r="CC254" t="str">
        <f>""</f>
        <v/>
      </c>
      <c r="CD254" t="str">
        <f>""</f>
        <v/>
      </c>
      <c r="CE254" t="str">
        <f>""</f>
        <v/>
      </c>
      <c r="CF254" t="str">
        <f>""</f>
        <v/>
      </c>
      <c r="CG254" t="str">
        <f>""</f>
        <v/>
      </c>
      <c r="CH254" t="str">
        <f>""</f>
        <v/>
      </c>
      <c r="CI254" t="str">
        <f>""</f>
        <v/>
      </c>
      <c r="CJ254" t="str">
        <f>""</f>
        <v/>
      </c>
      <c r="CK254" t="str">
        <f>""</f>
        <v/>
      </c>
      <c r="CL254" t="str">
        <f>""</f>
        <v/>
      </c>
      <c r="CM254" t="str">
        <f>""</f>
        <v/>
      </c>
      <c r="CN254" t="str">
        <f>""</f>
        <v/>
      </c>
      <c r="CO254" t="str">
        <f>""</f>
        <v/>
      </c>
      <c r="CP254" t="str">
        <f>""</f>
        <v/>
      </c>
      <c r="CQ254" t="str">
        <f>""</f>
        <v/>
      </c>
      <c r="CR254" t="str">
        <f>""</f>
        <v/>
      </c>
      <c r="CS254" t="str">
        <f>""</f>
        <v/>
      </c>
      <c r="CT254" t="str">
        <f>""</f>
        <v/>
      </c>
      <c r="CU254" t="str">
        <f>""</f>
        <v/>
      </c>
      <c r="CV254" t="str">
        <f>""</f>
        <v/>
      </c>
      <c r="CW254" t="str">
        <f>""</f>
        <v/>
      </c>
      <c r="CX254" t="str">
        <f>""</f>
        <v/>
      </c>
      <c r="CY254" t="str">
        <f>""</f>
        <v/>
      </c>
      <c r="CZ254" t="str">
        <f>""</f>
        <v/>
      </c>
      <c r="DA254" t="str">
        <f>""</f>
        <v/>
      </c>
      <c r="DB254" t="str">
        <f>""</f>
        <v/>
      </c>
      <c r="DC254" t="str">
        <f>""</f>
        <v/>
      </c>
      <c r="DD254" t="str">
        <f>""</f>
        <v/>
      </c>
      <c r="DE254" t="str">
        <f>""</f>
        <v/>
      </c>
      <c r="DF254" t="str">
        <f>""</f>
        <v/>
      </c>
      <c r="DG254" t="str">
        <f>""</f>
        <v/>
      </c>
      <c r="DH254" t="str">
        <f>""</f>
        <v/>
      </c>
      <c r="DI254" t="str">
        <f>""</f>
        <v/>
      </c>
      <c r="DJ254" t="str">
        <f>""</f>
        <v/>
      </c>
      <c r="DK254" t="str">
        <f>""</f>
        <v/>
      </c>
      <c r="DL254" t="str">
        <f>""</f>
        <v/>
      </c>
      <c r="DM254" t="str">
        <f>""</f>
        <v/>
      </c>
      <c r="DN254" t="str">
        <f>""</f>
        <v/>
      </c>
      <c r="DO254" t="str">
        <f>""</f>
        <v/>
      </c>
      <c r="DP254" t="str">
        <f>""</f>
        <v/>
      </c>
      <c r="DQ254" t="str">
        <f>""</f>
        <v/>
      </c>
      <c r="DR254" t="str">
        <f>""</f>
        <v/>
      </c>
      <c r="DS254" t="str">
        <f>""</f>
        <v/>
      </c>
      <c r="DT254" t="str">
        <f>""</f>
        <v/>
      </c>
      <c r="DU254" t="str">
        <f>""</f>
        <v/>
      </c>
    </row>
    <row r="255" spans="1:125" x14ac:dyDescent="0.25">
      <c r="A255" t="str">
        <f>"    BYD Co Ltd"</f>
        <v xml:space="preserve">    BYD Co Ltd</v>
      </c>
      <c r="B255" t="str">
        <f>"1211 HK Equity"</f>
        <v>1211 HK Equity</v>
      </c>
      <c r="C255" t="str">
        <f t="shared" si="18"/>
        <v>RR904</v>
      </c>
      <c r="D255" t="str">
        <f t="shared" si="19"/>
        <v>PX_TO_SALES_RATIO</v>
      </c>
      <c r="E255" t="str">
        <f t="shared" si="20"/>
        <v>Dynamic</v>
      </c>
      <c r="F255">
        <f ca="1">IF(AND(ISNUMBER($F$923),$B$677=1),$F$923,HLOOKUP(INDIRECT(ADDRESS(2,COLUMN())),OFFSET($BN$2,0,0,ROW()-1,60),ROW()-1,FALSE))</f>
        <v>0.98537701499999997</v>
      </c>
      <c r="G255">
        <f ca="1">IF(AND(ISNUMBER($G$923),$B$677=1),$G$923,HLOOKUP(INDIRECT(ADDRESS(2,COLUMN())),OFFSET($BN$2,0,0,ROW()-1,60),ROW()-1,FALSE))</f>
        <v>1.005564074</v>
      </c>
      <c r="H255">
        <f ca="1">IF(AND(ISNUMBER($H$923),$B$677=1),$H$923,HLOOKUP(INDIRECT(ADDRESS(2,COLUMN())),OFFSET($BN$2,0,0,ROW()-1,60),ROW()-1,FALSE))</f>
        <v>1.13080662</v>
      </c>
      <c r="I255">
        <f ca="1">IF(AND(ISNUMBER($I$923),$B$677=1),$I$923,HLOOKUP(INDIRECT(ADDRESS(2,COLUMN())),OFFSET($BN$2,0,0,ROW()-1,60),ROW()-1,FALSE))</f>
        <v>0.965631507</v>
      </c>
      <c r="J255">
        <f ca="1">IF(AND(ISNUMBER($J$923),$B$677=1),$J$923,HLOOKUP(INDIRECT(ADDRESS(2,COLUMN())),OFFSET($BN$2,0,0,ROW()-1,60),ROW()-1,FALSE))</f>
        <v>1.239982642</v>
      </c>
      <c r="K255">
        <f ca="1">IF(AND(ISNUMBER($K$923),$B$677=1),$K$923,HLOOKUP(INDIRECT(ADDRESS(2,COLUMN())),OFFSET($BN$2,0,0,ROW()-1,60),ROW()-1,FALSE))</f>
        <v>1.479536789</v>
      </c>
      <c r="L255">
        <f ca="1">IF(AND(ISNUMBER($L$923),$B$677=1),$L$923,HLOOKUP(INDIRECT(ADDRESS(2,COLUMN())),OFFSET($BN$2,0,0,ROW()-1,60),ROW()-1,FALSE))</f>
        <v>1.6271897319999999</v>
      </c>
      <c r="M255">
        <f ca="1">IF(AND(ISNUMBER($M$923),$B$677=1),$M$923,HLOOKUP(INDIRECT(ADDRESS(2,COLUMN())),OFFSET($BN$2,0,0,ROW()-1,60),ROW()-1,FALSE))</f>
        <v>1.0979761690000001</v>
      </c>
      <c r="N255">
        <f ca="1">IF(AND(ISNUMBER($N$923),$B$677=1),$N$923,HLOOKUP(INDIRECT(ADDRESS(2,COLUMN())),OFFSET($BN$2,0,0,ROW()-1,60),ROW()-1,FALSE))</f>
        <v>0.97960041899999994</v>
      </c>
      <c r="O255">
        <f ca="1">IF(AND(ISNUMBER($O$923),$B$677=1),$O$923,HLOOKUP(INDIRECT(ADDRESS(2,COLUMN())),OFFSET($BN$2,0,0,ROW()-1,60),ROW()-1,FALSE))</f>
        <v>0.92774118000000005</v>
      </c>
      <c r="P255">
        <f ca="1">IF(AND(ISNUMBER($P$923),$B$677=1),$P$923,HLOOKUP(INDIRECT(ADDRESS(2,COLUMN())),OFFSET($BN$2,0,0,ROW()-1,60),ROW()-1,FALSE))</f>
        <v>1.068335689</v>
      </c>
      <c r="Q255">
        <f ca="1">IF(AND(ISNUMBER($Q$923),$B$677=1),$Q$923,HLOOKUP(INDIRECT(ADDRESS(2,COLUMN())),OFFSET($BN$2,0,0,ROW()-1,60),ROW()-1,FALSE))</f>
        <v>1.0703483380000001</v>
      </c>
      <c r="R255">
        <f ca="1">IF(AND(ISNUMBER($R$923),$B$677=1),$R$923,HLOOKUP(INDIRECT(ADDRESS(2,COLUMN())),OFFSET($BN$2,0,0,ROW()-1,60),ROW()-1,FALSE))</f>
        <v>1.094240595</v>
      </c>
      <c r="S255">
        <f ca="1">IF(AND(ISNUMBER($S$923),$B$677=1),$S$923,HLOOKUP(INDIRECT(ADDRESS(2,COLUMN())),OFFSET($BN$2,0,0,ROW()-1,60),ROW()-1,FALSE))</f>
        <v>1.122626458</v>
      </c>
      <c r="T255">
        <f ca="1">IF(AND(ISNUMBER($T$923),$B$677=1),$T$923,HLOOKUP(INDIRECT(ADDRESS(2,COLUMN())),OFFSET($BN$2,0,0,ROW()-1,60),ROW()-1,FALSE))</f>
        <v>1.268079822</v>
      </c>
      <c r="U255">
        <f ca="1">IF(AND(ISNUMBER($U$923),$B$677=1),$U$923,HLOOKUP(INDIRECT(ADDRESS(2,COLUMN())),OFFSET($BN$2,0,0,ROW()-1,60),ROW()-1,FALSE))</f>
        <v>1.480629985</v>
      </c>
      <c r="V255">
        <f ca="1">IF(AND(ISNUMBER($V$923),$B$677=1),$V$923,HLOOKUP(INDIRECT(ADDRESS(2,COLUMN())),OFFSET($BN$2,0,0,ROW()-1,60),ROW()-1,FALSE))</f>
        <v>1.2818589579999999</v>
      </c>
      <c r="W255">
        <f ca="1">IF(AND(ISNUMBER($W$923),$B$677=1),$W$923,HLOOKUP(INDIRECT(ADDRESS(2,COLUMN())),OFFSET($BN$2,0,0,ROW()-1,60),ROW()-1,FALSE))</f>
        <v>1.023095563</v>
      </c>
      <c r="X255">
        <f ca="1">IF(AND(ISNUMBER($X$923),$B$677=1),$X$923,HLOOKUP(INDIRECT(ADDRESS(2,COLUMN())),OFFSET($BN$2,0,0,ROW()-1,60),ROW()-1,FALSE))</f>
        <v>1.817604153</v>
      </c>
      <c r="Y255">
        <f ca="1">IF(AND(ISNUMBER($Y$923),$B$677=1),$Y$923,HLOOKUP(INDIRECT(ADDRESS(2,COLUMN())),OFFSET($BN$2,0,0,ROW()-1,60),ROW()-1,FALSE))</f>
        <v>1.6028417450000001</v>
      </c>
      <c r="Z255">
        <f ca="1">IF(AND(ISNUMBER($Z$923),$B$677=1),$Z$923,HLOOKUP(INDIRECT(ADDRESS(2,COLUMN())),OFFSET($BN$2,0,0,ROW()-1,60),ROW()-1,FALSE))</f>
        <v>1.78702677</v>
      </c>
      <c r="AA255">
        <f ca="1">IF(AND(ISNUMBER($AA$923),$B$677=1),$AA$923,HLOOKUP(INDIRECT(ADDRESS(2,COLUMN())),OFFSET($BN$2,0,0,ROW()-1,60),ROW()-1,FALSE))</f>
        <v>1.351665508</v>
      </c>
      <c r="AB255">
        <f ca="1">IF(AND(ISNUMBER($AB$923),$B$677=1),$AB$923,HLOOKUP(INDIRECT(ADDRESS(2,COLUMN())),OFFSET($BN$2,0,0,ROW()-1,60),ROW()-1,FALSE))</f>
        <v>1.2525920260000001</v>
      </c>
      <c r="AC255">
        <f ca="1">IF(AND(ISNUMBER($AC$923),$B$677=1),$AC$923,HLOOKUP(INDIRECT(ADDRESS(2,COLUMN())),OFFSET($BN$2,0,0,ROW()-1,60),ROW()-1,FALSE))</f>
        <v>0.97298136599999996</v>
      </c>
      <c r="AD255">
        <f ca="1">IF(AND(ISNUMBER($AD$923),$B$677=1),$AD$923,HLOOKUP(INDIRECT(ADDRESS(2,COLUMN())),OFFSET($BN$2,0,0,ROW()-1,60),ROW()-1,FALSE))</f>
        <v>0.99382149799999997</v>
      </c>
      <c r="AE255">
        <f ca="1">IF(AND(ISNUMBER($AE$923),$B$677=1),$AE$923,HLOOKUP(INDIRECT(ADDRESS(2,COLUMN())),OFFSET($BN$2,0,0,ROW()-1,60),ROW()-1,FALSE))</f>
        <v>0.96142036900000005</v>
      </c>
      <c r="AF255">
        <f ca="1">IF(AND(ISNUMBER($AF$923),$B$677=1),$AF$923,HLOOKUP(INDIRECT(ADDRESS(2,COLUMN())),OFFSET($BN$2,0,0,ROW()-1,60),ROW()-1,FALSE))</f>
        <v>0.55596475000000001</v>
      </c>
      <c r="AG255">
        <f ca="1">IF(AND(ISNUMBER($AG$923),$B$677=1),$AG$923,HLOOKUP(INDIRECT(ADDRESS(2,COLUMN())),OFFSET($BN$2,0,0,ROW()-1,60),ROW()-1,FALSE))</f>
        <v>0.591536383</v>
      </c>
      <c r="AH255" t="str">
        <f ca="1">IF(AND(ISNUMBER($AH$923),$B$677=1),$AH$923,HLOOKUP(INDIRECT(ADDRESS(2,COLUMN())),OFFSET($BN$2,0,0,ROW()-1,60),ROW()-1,FALSE))</f>
        <v/>
      </c>
      <c r="AI255" t="str">
        <f ca="1">IF(AND(ISNUMBER($AI$923),$B$677=1),$AI$923,HLOOKUP(INDIRECT(ADDRESS(2,COLUMN())),OFFSET($BN$2,0,0,ROW()-1,60),ROW()-1,FALSE))</f>
        <v/>
      </c>
      <c r="AJ255">
        <f ca="1">IF(AND(ISNUMBER($AJ$923),$B$677=1),$AJ$923,HLOOKUP(INDIRECT(ADDRESS(2,COLUMN())),OFFSET($BN$2,0,0,ROW()-1,60),ROW()-1,FALSE))</f>
        <v>0.534093649</v>
      </c>
      <c r="AK255">
        <f ca="1">IF(AND(ISNUMBER($AK$923),$B$677=1),$AK$923,HLOOKUP(INDIRECT(ADDRESS(2,COLUMN())),OFFSET($BN$2,0,0,ROW()-1,60),ROW()-1,FALSE))</f>
        <v>1.018092403</v>
      </c>
      <c r="AL255">
        <f ca="1">IF(AND(ISNUMBER($AL$923),$B$677=1),$AL$923,HLOOKUP(INDIRECT(ADDRESS(2,COLUMN())),OFFSET($BN$2,0,0,ROW()-1,60),ROW()-1,FALSE))</f>
        <v>1.222873981</v>
      </c>
      <c r="AM255">
        <f ca="1">IF(AND(ISNUMBER($AM$923),$B$677=1),$AM$923,HLOOKUP(INDIRECT(ADDRESS(2,COLUMN())),OFFSET($BN$2,0,0,ROW()-1,60),ROW()-1,FALSE))</f>
        <v>1.6876677410000001</v>
      </c>
      <c r="AN255">
        <f ca="1">IF(AND(ISNUMBER($AN$923),$B$677=1),$AN$923,HLOOKUP(INDIRECT(ADDRESS(2,COLUMN())),OFFSET($BN$2,0,0,ROW()-1,60),ROW()-1,FALSE))</f>
        <v>2.5623898469999999</v>
      </c>
      <c r="AO255">
        <f ca="1">IF(AND(ISNUMBER($AO$923),$B$677=1),$AO$923,HLOOKUP(INDIRECT(ADDRESS(2,COLUMN())),OFFSET($BN$2,0,0,ROW()-1,60),ROW()-1,FALSE))</f>
        <v>2.4089672019999999</v>
      </c>
      <c r="AP255" t="str">
        <f ca="1">IF(AND(ISNUMBER($AP$923),$B$677=1),$AP$923,HLOOKUP(INDIRECT(ADDRESS(2,COLUMN())),OFFSET($BN$2,0,0,ROW()-1,60),ROW()-1,FALSE))</f>
        <v/>
      </c>
      <c r="AQ255" t="str">
        <f ca="1">IF(AND(ISNUMBER($AQ$923),$B$677=1),$AQ$923,HLOOKUP(INDIRECT(ADDRESS(2,COLUMN())),OFFSET($BN$2,0,0,ROW()-1,60),ROW()-1,FALSE))</f>
        <v/>
      </c>
      <c r="AR255" t="str">
        <f ca="1">IF(AND(ISNUMBER($AR$923),$B$677=1),$AR$923,HLOOKUP(INDIRECT(ADDRESS(2,COLUMN())),OFFSET($BN$2,0,0,ROW()-1,60),ROW()-1,FALSE))</f>
        <v/>
      </c>
      <c r="AS255" t="str">
        <f ca="1">IF(AND(ISNUMBER($AS$923),$B$677=1),$AS$923,HLOOKUP(INDIRECT(ADDRESS(2,COLUMN())),OFFSET($BN$2,0,0,ROW()-1,60),ROW()-1,FALSE))</f>
        <v/>
      </c>
      <c r="AT255" t="str">
        <f ca="1">IF(AND(ISNUMBER($AT$923),$B$677=1),$AT$923,HLOOKUP(INDIRECT(ADDRESS(2,COLUMN())),OFFSET($BN$2,0,0,ROW()-1,60),ROW()-1,FALSE))</f>
        <v/>
      </c>
      <c r="AU255" t="str">
        <f ca="1">IF(AND(ISNUMBER($AU$923),$B$677=1),$AU$923,HLOOKUP(INDIRECT(ADDRESS(2,COLUMN())),OFFSET($BN$2,0,0,ROW()-1,60),ROW()-1,FALSE))</f>
        <v/>
      </c>
      <c r="AV255" t="str">
        <f ca="1">IF(AND(ISNUMBER($AV$923),$B$677=1),$AV$923,HLOOKUP(INDIRECT(ADDRESS(2,COLUMN())),OFFSET($BN$2,0,0,ROW()-1,60),ROW()-1,FALSE))</f>
        <v/>
      </c>
      <c r="AW255" t="str">
        <f ca="1">IF(AND(ISNUMBER($AW$923),$B$677=1),$AW$923,HLOOKUP(INDIRECT(ADDRESS(2,COLUMN())),OFFSET($BN$2,0,0,ROW()-1,60),ROW()-1,FALSE))</f>
        <v/>
      </c>
      <c r="AX255" t="str">
        <f ca="1">IF(AND(ISNUMBER($AX$923),$B$677=1),$AX$923,HLOOKUP(INDIRECT(ADDRESS(2,COLUMN())),OFFSET($BN$2,0,0,ROW()-1,60),ROW()-1,FALSE))</f>
        <v/>
      </c>
      <c r="AY255" t="str">
        <f ca="1">IF(AND(ISNUMBER($AY$923),$B$677=1),$AY$923,HLOOKUP(INDIRECT(ADDRESS(2,COLUMN())),OFFSET($BN$2,0,0,ROW()-1,60),ROW()-1,FALSE))</f>
        <v/>
      </c>
      <c r="AZ255" t="str">
        <f ca="1">IF(AND(ISNUMBER($AZ$923),$B$677=1),$AZ$923,HLOOKUP(INDIRECT(ADDRESS(2,COLUMN())),OFFSET($BN$2,0,0,ROW()-1,60),ROW()-1,FALSE))</f>
        <v/>
      </c>
      <c r="BA255" t="str">
        <f ca="1">IF(AND(ISNUMBER($BA$923),$B$677=1),$BA$923,HLOOKUP(INDIRECT(ADDRESS(2,COLUMN())),OFFSET($BN$2,0,0,ROW()-1,60),ROW()-1,FALSE))</f>
        <v/>
      </c>
      <c r="BB255" t="str">
        <f ca="1">IF(AND(ISNUMBER($BB$923),$B$677=1),$BB$923,HLOOKUP(INDIRECT(ADDRESS(2,COLUMN())),OFFSET($BN$2,0,0,ROW()-1,60),ROW()-1,FALSE))</f>
        <v/>
      </c>
      <c r="BC255" t="str">
        <f ca="1">IF(AND(ISNUMBER($BC$923),$B$677=1),$BC$923,HLOOKUP(INDIRECT(ADDRESS(2,COLUMN())),OFFSET($BN$2,0,0,ROW()-1,60),ROW()-1,FALSE))</f>
        <v/>
      </c>
      <c r="BD255" t="str">
        <f ca="1">IF(AND(ISNUMBER($BD$923),$B$677=1),$BD$923,HLOOKUP(INDIRECT(ADDRESS(2,COLUMN())),OFFSET($BN$2,0,0,ROW()-1,60),ROW()-1,FALSE))</f>
        <v/>
      </c>
      <c r="BE255" t="str">
        <f ca="1">IF(AND(ISNUMBER($BE$923),$B$677=1),$BE$923,HLOOKUP(INDIRECT(ADDRESS(2,COLUMN())),OFFSET($BN$2,0,0,ROW()-1,60),ROW()-1,FALSE))</f>
        <v/>
      </c>
      <c r="BF255" t="str">
        <f ca="1">IF(AND(ISNUMBER($BF$923),$B$677=1),$BF$923,HLOOKUP(INDIRECT(ADDRESS(2,COLUMN())),OFFSET($BN$2,0,0,ROW()-1,60),ROW()-1,FALSE))</f>
        <v/>
      </c>
      <c r="BG255" t="str">
        <f ca="1">IF(AND(ISNUMBER($BG$923),$B$677=1),$BG$923,HLOOKUP(INDIRECT(ADDRESS(2,COLUMN())),OFFSET($BN$2,0,0,ROW()-1,60),ROW()-1,FALSE))</f>
        <v/>
      </c>
      <c r="BH255" t="str">
        <f ca="1">IF(AND(ISNUMBER($BH$923),$B$677=1),$BH$923,HLOOKUP(INDIRECT(ADDRESS(2,COLUMN())),OFFSET($BN$2,0,0,ROW()-1,60),ROW()-1,FALSE))</f>
        <v/>
      </c>
      <c r="BI255" t="str">
        <f ca="1">IF(AND(ISNUMBER($BI$923),$B$677=1),$BI$923,HLOOKUP(INDIRECT(ADDRESS(2,COLUMN())),OFFSET($BN$2,0,0,ROW()-1,60),ROW()-1,FALSE))</f>
        <v/>
      </c>
      <c r="BJ255" t="str">
        <f ca="1">IF(AND(ISNUMBER($BJ$923),$B$677=1),$BJ$923,HLOOKUP(INDIRECT(ADDRESS(2,COLUMN())),OFFSET($BN$2,0,0,ROW()-1,60),ROW()-1,FALSE))</f>
        <v/>
      </c>
      <c r="BK255" t="str">
        <f ca="1">IF(AND(ISNUMBER($BK$923),$B$677=1),$BK$923,HLOOKUP(INDIRECT(ADDRESS(2,COLUMN())),OFFSET($BN$2,0,0,ROW()-1,60),ROW()-1,FALSE))</f>
        <v/>
      </c>
      <c r="BL255" t="str">
        <f ca="1">IF(AND(ISNUMBER($BL$923),$B$677=1),$BL$923,HLOOKUP(INDIRECT(ADDRESS(2,COLUMN())),OFFSET($BN$2,0,0,ROW()-1,60),ROW()-1,FALSE))</f>
        <v/>
      </c>
      <c r="BM255" t="str">
        <f ca="1">IF(AND(ISNUMBER($BM$923),$B$677=1),$BM$923,HLOOKUP(INDIRECT(ADDRESS(2,COLUMN())),OFFSET($BN$2,0,0,ROW()-1,60),ROW()-1,FALSE))</f>
        <v/>
      </c>
      <c r="BN255">
        <f>0.985377015</f>
        <v>0.98537701499999997</v>
      </c>
      <c r="BO255">
        <f>1.005564074</f>
        <v>1.005564074</v>
      </c>
      <c r="BP255">
        <f>1.13080662</f>
        <v>1.13080662</v>
      </c>
      <c r="BQ255">
        <f>0.965631507</f>
        <v>0.965631507</v>
      </c>
      <c r="BR255">
        <f>1.239982642</f>
        <v>1.239982642</v>
      </c>
      <c r="BS255">
        <f>1.479536789</f>
        <v>1.479536789</v>
      </c>
      <c r="BT255">
        <f>1.627189732</f>
        <v>1.6271897319999999</v>
      </c>
      <c r="BU255">
        <f>1.097976169</f>
        <v>1.0979761690000001</v>
      </c>
      <c r="BV255">
        <f>0.979600419</f>
        <v>0.97960041899999994</v>
      </c>
      <c r="BW255">
        <f>0.92774118</f>
        <v>0.92774118000000005</v>
      </c>
      <c r="BX255">
        <f>1.068335689</f>
        <v>1.068335689</v>
      </c>
      <c r="BY255">
        <f>1.070348338</f>
        <v>1.0703483380000001</v>
      </c>
      <c r="BZ255">
        <f>1.094240595</f>
        <v>1.094240595</v>
      </c>
      <c r="CA255">
        <f>1.122626458</f>
        <v>1.122626458</v>
      </c>
      <c r="CB255">
        <f>1.268079822</f>
        <v>1.268079822</v>
      </c>
      <c r="CC255">
        <f>1.480629985</f>
        <v>1.480629985</v>
      </c>
      <c r="CD255">
        <f>1.281858958</f>
        <v>1.2818589579999999</v>
      </c>
      <c r="CE255">
        <f>1.023095563</f>
        <v>1.023095563</v>
      </c>
      <c r="CF255">
        <f>1.817604153</f>
        <v>1.817604153</v>
      </c>
      <c r="CG255">
        <f>1.602841745</f>
        <v>1.6028417450000001</v>
      </c>
      <c r="CH255">
        <f>1.78702677</f>
        <v>1.78702677</v>
      </c>
      <c r="CI255">
        <f>1.351665508</f>
        <v>1.351665508</v>
      </c>
      <c r="CJ255">
        <f>1.252592026</f>
        <v>1.2525920260000001</v>
      </c>
      <c r="CK255">
        <f>0.972981366</f>
        <v>0.97298136599999996</v>
      </c>
      <c r="CL255">
        <f>0.993821498</f>
        <v>0.99382149799999997</v>
      </c>
      <c r="CM255">
        <f>0.961420369</f>
        <v>0.96142036900000005</v>
      </c>
      <c r="CN255">
        <f>0.55596475</f>
        <v>0.55596475000000001</v>
      </c>
      <c r="CO255">
        <f>0.591536383</f>
        <v>0.591536383</v>
      </c>
      <c r="CP255" t="str">
        <f>""</f>
        <v/>
      </c>
      <c r="CQ255" t="str">
        <f>""</f>
        <v/>
      </c>
      <c r="CR255">
        <f>0.534093649</f>
        <v>0.534093649</v>
      </c>
      <c r="CS255">
        <f>1.018092403</f>
        <v>1.018092403</v>
      </c>
      <c r="CT255">
        <f>1.222873981</f>
        <v>1.222873981</v>
      </c>
      <c r="CU255">
        <f>1.687667741</f>
        <v>1.6876677410000001</v>
      </c>
      <c r="CV255">
        <f>2.562389847</f>
        <v>2.5623898469999999</v>
      </c>
      <c r="CW255">
        <f>2.408967202</f>
        <v>2.4089672019999999</v>
      </c>
      <c r="CX255" t="str">
        <f>""</f>
        <v/>
      </c>
      <c r="CY255" t="str">
        <f>""</f>
        <v/>
      </c>
      <c r="CZ255" t="str">
        <f>""</f>
        <v/>
      </c>
      <c r="DA255" t="str">
        <f>""</f>
        <v/>
      </c>
      <c r="DB255" t="str">
        <f>""</f>
        <v/>
      </c>
      <c r="DC255" t="str">
        <f>""</f>
        <v/>
      </c>
      <c r="DD255" t="str">
        <f>""</f>
        <v/>
      </c>
      <c r="DE255" t="str">
        <f>""</f>
        <v/>
      </c>
      <c r="DF255" t="str">
        <f>""</f>
        <v/>
      </c>
      <c r="DG255" t="str">
        <f>""</f>
        <v/>
      </c>
      <c r="DH255" t="str">
        <f>""</f>
        <v/>
      </c>
      <c r="DI255" t="str">
        <f>""</f>
        <v/>
      </c>
      <c r="DJ255" t="str">
        <f>""</f>
        <v/>
      </c>
      <c r="DK255" t="str">
        <f>""</f>
        <v/>
      </c>
      <c r="DL255" t="str">
        <f>""</f>
        <v/>
      </c>
      <c r="DM255" t="str">
        <f>""</f>
        <v/>
      </c>
      <c r="DN255" t="str">
        <f>""</f>
        <v/>
      </c>
      <c r="DO255" t="str">
        <f>""</f>
        <v/>
      </c>
      <c r="DP255" t="str">
        <f>""</f>
        <v/>
      </c>
      <c r="DQ255" t="str">
        <f>""</f>
        <v/>
      </c>
      <c r="DR255" t="str">
        <f>""</f>
        <v/>
      </c>
      <c r="DS255" t="str">
        <f>""</f>
        <v/>
      </c>
      <c r="DT255" t="str">
        <f>""</f>
        <v/>
      </c>
      <c r="DU255" t="str">
        <f>""</f>
        <v/>
      </c>
    </row>
    <row r="256" spans="1:125" x14ac:dyDescent="0.25">
      <c r="A256" t="str">
        <f>"    Chongqing Changan Automobile Co Ltd"</f>
        <v xml:space="preserve">    Chongqing Changan Automobile Co Ltd</v>
      </c>
      <c r="B256" t="str">
        <f>"200625 CH Equity"</f>
        <v>200625 CH Equity</v>
      </c>
      <c r="C256" t="str">
        <f t="shared" si="18"/>
        <v>RR904</v>
      </c>
      <c r="D256" t="str">
        <f t="shared" si="19"/>
        <v>PX_TO_SALES_RATIO</v>
      </c>
      <c r="E256" t="str">
        <f t="shared" si="20"/>
        <v>Dynamic</v>
      </c>
      <c r="F256">
        <f ca="1">IF(AND(ISNUMBER($F$924),$B$677=1),$F$924,HLOOKUP(INDIRECT(ADDRESS(2,COLUMN())),OFFSET($BN$2,0,0,ROW()-1,60),ROW()-1,FALSE))</f>
        <v>0.23520010399999999</v>
      </c>
      <c r="G256">
        <f ca="1">IF(AND(ISNUMBER($G$924),$B$677=1),$G$924,HLOOKUP(INDIRECT(ADDRESS(2,COLUMN())),OFFSET($BN$2,0,0,ROW()-1,60),ROW()-1,FALSE))</f>
        <v>0.19465670199999999</v>
      </c>
      <c r="H256">
        <f ca="1">IF(AND(ISNUMBER($H$924),$B$677=1),$H$924,HLOOKUP(INDIRECT(ADDRESS(2,COLUMN())),OFFSET($BN$2,0,0,ROW()-1,60),ROW()-1,FALSE))</f>
        <v>0.35225109999999998</v>
      </c>
      <c r="I256">
        <f ca="1">IF(AND(ISNUMBER($I$924),$B$677=1),$I$924,HLOOKUP(INDIRECT(ADDRESS(2,COLUMN())),OFFSET($BN$2,0,0,ROW()-1,60),ROW()-1,FALSE))</f>
        <v>0.40604879700000002</v>
      </c>
      <c r="J256">
        <f ca="1">IF(AND(ISNUMBER($J$924),$B$677=1),$J$924,HLOOKUP(INDIRECT(ADDRESS(2,COLUMN())),OFFSET($BN$2,0,0,ROW()-1,60),ROW()-1,FALSE))</f>
        <v>0.39411834499999998</v>
      </c>
      <c r="K256">
        <f ca="1">IF(AND(ISNUMBER($K$924),$B$677=1),$K$924,HLOOKUP(INDIRECT(ADDRESS(2,COLUMN())),OFFSET($BN$2,0,0,ROW()-1,60),ROW()-1,FALSE))</f>
        <v>0.447114964</v>
      </c>
      <c r="L256">
        <f ca="1">IF(AND(ISNUMBER($L$924),$B$677=1),$L$924,HLOOKUP(INDIRECT(ADDRESS(2,COLUMN())),OFFSET($BN$2,0,0,ROW()-1,60),ROW()-1,FALSE))</f>
        <v>0.57495670600000004</v>
      </c>
      <c r="M256">
        <f ca="1">IF(AND(ISNUMBER($M$924),$B$677=1),$M$924,HLOOKUP(INDIRECT(ADDRESS(2,COLUMN())),OFFSET($BN$2,0,0,ROW()-1,60),ROW()-1,FALSE))</f>
        <v>0.58292814599999998</v>
      </c>
      <c r="N256">
        <f ca="1">IF(AND(ISNUMBER($N$924),$B$677=1),$N$924,HLOOKUP(INDIRECT(ADDRESS(2,COLUMN())),OFFSET($BN$2,0,0,ROW()-1,60),ROW()-1,FALSE))</f>
        <v>0.61602784499999996</v>
      </c>
      <c r="O256">
        <f ca="1">IF(AND(ISNUMBER($O$924),$B$677=1),$O$924,HLOOKUP(INDIRECT(ADDRESS(2,COLUMN())),OFFSET($BN$2,0,0,ROW()-1,60),ROW()-1,FALSE))</f>
        <v>0.62165284499999995</v>
      </c>
      <c r="P256">
        <f ca="1">IF(AND(ISNUMBER($P$924),$B$677=1),$P$924,HLOOKUP(INDIRECT(ADDRESS(2,COLUMN())),OFFSET($BN$2,0,0,ROW()-1,60),ROW()-1,FALSE))</f>
        <v>0.73311348600000004</v>
      </c>
      <c r="Q256">
        <f ca="1">IF(AND(ISNUMBER($Q$924),$B$677=1),$Q$924,HLOOKUP(INDIRECT(ADDRESS(2,COLUMN())),OFFSET($BN$2,0,0,ROW()-1,60),ROW()-1,FALSE))</f>
        <v>0.64897833999999999</v>
      </c>
      <c r="R256">
        <f ca="1">IF(AND(ISNUMBER($R$924),$B$677=1),$R$924,HLOOKUP(INDIRECT(ADDRESS(2,COLUMN())),OFFSET($BN$2,0,0,ROW()-1,60),ROW()-1,FALSE))</f>
        <v>0.867786634</v>
      </c>
      <c r="S256">
        <f ca="1">IF(AND(ISNUMBER($S$924),$B$677=1),$S$924,HLOOKUP(INDIRECT(ADDRESS(2,COLUMN())),OFFSET($BN$2,0,0,ROW()-1,60),ROW()-1,FALSE))</f>
        <v>1.045673541</v>
      </c>
      <c r="T256">
        <f ca="1">IF(AND(ISNUMBER($T$924),$B$677=1),$T$924,HLOOKUP(INDIRECT(ADDRESS(2,COLUMN())),OFFSET($BN$2,0,0,ROW()-1,60),ROW()-1,FALSE))</f>
        <v>0.814318031</v>
      </c>
      <c r="U256">
        <f ca="1">IF(AND(ISNUMBER($U$924),$B$677=1),$U$924,HLOOKUP(INDIRECT(ADDRESS(2,COLUMN())),OFFSET($BN$2,0,0,ROW()-1,60),ROW()-1,FALSE))</f>
        <v>1.2515522400000001</v>
      </c>
      <c r="V256">
        <f ca="1">IF(AND(ISNUMBER($V$924),$B$677=1),$V$924,HLOOKUP(INDIRECT(ADDRESS(2,COLUMN())),OFFSET($BN$2,0,0,ROW()-1,60),ROW()-1,FALSE))</f>
        <v>1.566647857</v>
      </c>
      <c r="W256">
        <f ca="1">IF(AND(ISNUMBER($W$924),$B$677=1),$W$924,HLOOKUP(INDIRECT(ADDRESS(2,COLUMN())),OFFSET($BN$2,0,0,ROW()-1,60),ROW()-1,FALSE))</f>
        <v>1.289067078</v>
      </c>
      <c r="X256">
        <f ca="1">IF(AND(ISNUMBER($X$924),$B$677=1),$X$924,HLOOKUP(INDIRECT(ADDRESS(2,COLUMN())),OFFSET($BN$2,0,0,ROW()-1,60),ROW()-1,FALSE))</f>
        <v>1.351989806</v>
      </c>
      <c r="Y256">
        <f ca="1">IF(AND(ISNUMBER($Y$924),$B$677=1),$Y$924,HLOOKUP(INDIRECT(ADDRESS(2,COLUMN())),OFFSET($BN$2,0,0,ROW()-1,60),ROW()-1,FALSE))</f>
        <v>1.3732116059999999</v>
      </c>
      <c r="Z256">
        <f ca="1">IF(AND(ISNUMBER($Z$924),$B$677=1),$Z$924,HLOOKUP(INDIRECT(ADDRESS(2,COLUMN())),OFFSET($BN$2,0,0,ROW()-1,60),ROW()-1,FALSE))</f>
        <v>1.2105979739999999</v>
      </c>
      <c r="AA256">
        <f ca="1">IF(AND(ISNUMBER($AA$924),$B$677=1),$AA$924,HLOOKUP(INDIRECT(ADDRESS(2,COLUMN())),OFFSET($BN$2,0,0,ROW()-1,60),ROW()-1,FALSE))</f>
        <v>1.519641682</v>
      </c>
      <c r="AB256">
        <f ca="1">IF(AND(ISNUMBER($AB$924),$B$677=1),$AB$924,HLOOKUP(INDIRECT(ADDRESS(2,COLUMN())),OFFSET($BN$2,0,0,ROW()-1,60),ROW()-1,FALSE))</f>
        <v>1.187328554</v>
      </c>
      <c r="AC256">
        <f ca="1">IF(AND(ISNUMBER($AC$924),$B$677=1),$AC$924,HLOOKUP(INDIRECT(ADDRESS(2,COLUMN())),OFFSET($BN$2,0,0,ROW()-1,60),ROW()-1,FALSE))</f>
        <v>0.98210727099999995</v>
      </c>
      <c r="AD256">
        <f ca="1">IF(AND(ISNUMBER($AD$924),$B$677=1),$AD$924,HLOOKUP(INDIRECT(ADDRESS(2,COLUMN())),OFFSET($BN$2,0,0,ROW()-1,60),ROW()-1,FALSE))</f>
        <v>0.91000943400000001</v>
      </c>
      <c r="AE256">
        <f ca="1">IF(AND(ISNUMBER($AE$924),$B$677=1),$AE$924,HLOOKUP(INDIRECT(ADDRESS(2,COLUMN())),OFFSET($BN$2,0,0,ROW()-1,60),ROW()-1,FALSE))</f>
        <v>0.57111256600000004</v>
      </c>
      <c r="AF256">
        <f ca="1">IF(AND(ISNUMBER($AF$924),$B$677=1),$AF$924,HLOOKUP(INDIRECT(ADDRESS(2,COLUMN())),OFFSET($BN$2,0,0,ROW()-1,60),ROW()-1,FALSE))</f>
        <v>0.414975908</v>
      </c>
      <c r="AG256">
        <f ca="1">IF(AND(ISNUMBER($AG$924),$B$677=1),$AG$924,HLOOKUP(INDIRECT(ADDRESS(2,COLUMN())),OFFSET($BN$2,0,0,ROW()-1,60),ROW()-1,FALSE))</f>
        <v>0.47220998800000002</v>
      </c>
      <c r="AH256">
        <f ca="1">IF(AND(ISNUMBER($AH$924),$B$677=1),$AH$924,HLOOKUP(INDIRECT(ADDRESS(2,COLUMN())),OFFSET($BN$2,0,0,ROW()-1,60),ROW()-1,FALSE))</f>
        <v>0.49254387500000002</v>
      </c>
      <c r="AI256">
        <f ca="1">IF(AND(ISNUMBER($AI$924),$B$677=1),$AI$924,HLOOKUP(INDIRECT(ADDRESS(2,COLUMN())),OFFSET($BN$2,0,0,ROW()-1,60),ROW()-1,FALSE))</f>
        <v>0.41711203699999999</v>
      </c>
      <c r="AJ256">
        <f ca="1">IF(AND(ISNUMBER($AJ$924),$B$677=1),$AJ$924,HLOOKUP(INDIRECT(ADDRESS(2,COLUMN())),OFFSET($BN$2,0,0,ROW()-1,60),ROW()-1,FALSE))</f>
        <v>0.26615993599999999</v>
      </c>
      <c r="AK256">
        <f ca="1">IF(AND(ISNUMBER($AK$924),$B$677=1),$AK$924,HLOOKUP(INDIRECT(ADDRESS(2,COLUMN())),OFFSET($BN$2,0,0,ROW()-1,60),ROW()-1,FALSE))</f>
        <v>0.37174073499999999</v>
      </c>
      <c r="AL256">
        <f ca="1">IF(AND(ISNUMBER($AL$924),$B$677=1),$AL$924,HLOOKUP(INDIRECT(ADDRESS(2,COLUMN())),OFFSET($BN$2,0,0,ROW()-1,60),ROW()-1,FALSE))</f>
        <v>0.39509372999999998</v>
      </c>
      <c r="AM256">
        <f ca="1">IF(AND(ISNUMBER($AM$924),$B$677=1),$AM$924,HLOOKUP(INDIRECT(ADDRESS(2,COLUMN())),OFFSET($BN$2,0,0,ROW()-1,60),ROW()-1,FALSE))</f>
        <v>0.39505482600000003</v>
      </c>
      <c r="AN256">
        <f ca="1">IF(AND(ISNUMBER($AN$924),$B$677=1),$AN$924,HLOOKUP(INDIRECT(ADDRESS(2,COLUMN())),OFFSET($BN$2,0,0,ROW()-1,60),ROW()-1,FALSE))</f>
        <v>0.462866151</v>
      </c>
      <c r="AO256">
        <f ca="1">IF(AND(ISNUMBER($AO$924),$B$677=1),$AO$924,HLOOKUP(INDIRECT(ADDRESS(2,COLUMN())),OFFSET($BN$2,0,0,ROW()-1,60),ROW()-1,FALSE))</f>
        <v>0.300654227</v>
      </c>
      <c r="AP256">
        <f ca="1">IF(AND(ISNUMBER($AP$924),$B$677=1),$AP$924,HLOOKUP(INDIRECT(ADDRESS(2,COLUMN())),OFFSET($BN$2,0,0,ROW()-1,60),ROW()-1,FALSE))</f>
        <v>0.48050079600000001</v>
      </c>
      <c r="AQ256">
        <f ca="1">IF(AND(ISNUMBER($AQ$924),$B$677=1),$AQ$924,HLOOKUP(INDIRECT(ADDRESS(2,COLUMN())),OFFSET($BN$2,0,0,ROW()-1,60),ROW()-1,FALSE))</f>
        <v>0.64588688000000005</v>
      </c>
      <c r="AR256">
        <f ca="1">IF(AND(ISNUMBER($AR$924),$B$677=1),$AR$924,HLOOKUP(INDIRECT(ADDRESS(2,COLUMN())),OFFSET($BN$2,0,0,ROW()-1,60),ROW()-1,FALSE))</f>
        <v>0.46618935</v>
      </c>
      <c r="AS256">
        <f ca="1">IF(AND(ISNUMBER($AS$924),$B$677=1),$AS$924,HLOOKUP(INDIRECT(ADDRESS(2,COLUMN())),OFFSET($BN$2,0,0,ROW()-1,60),ROW()-1,FALSE))</f>
        <v>0.44244322699999999</v>
      </c>
      <c r="AT256">
        <f ca="1">IF(AND(ISNUMBER($AT$924),$B$677=1),$AT$924,HLOOKUP(INDIRECT(ADDRESS(2,COLUMN())),OFFSET($BN$2,0,0,ROW()-1,60),ROW()-1,FALSE))</f>
        <v>0.43743154099999998</v>
      </c>
      <c r="AU256">
        <f ca="1">IF(AND(ISNUMBER($AU$924),$B$677=1),$AU$924,HLOOKUP(INDIRECT(ADDRESS(2,COLUMN())),OFFSET($BN$2,0,0,ROW()-1,60),ROW()-1,FALSE))</f>
        <v>0.25533791</v>
      </c>
      <c r="AV256">
        <f ca="1">IF(AND(ISNUMBER($AV$924),$B$677=1),$AV$924,HLOOKUP(INDIRECT(ADDRESS(2,COLUMN())),OFFSET($BN$2,0,0,ROW()-1,60),ROW()-1,FALSE))</f>
        <v>0.28171456299999997</v>
      </c>
      <c r="AW256">
        <f ca="1">IF(AND(ISNUMBER($AW$924),$B$677=1),$AW$924,HLOOKUP(INDIRECT(ADDRESS(2,COLUMN())),OFFSET($BN$2,0,0,ROW()-1,60),ROW()-1,FALSE))</f>
        <v>0.443722756</v>
      </c>
      <c r="AX256">
        <f ca="1">IF(AND(ISNUMBER($AX$924),$B$677=1),$AX$924,HLOOKUP(INDIRECT(ADDRESS(2,COLUMN())),OFFSET($BN$2,0,0,ROW()-1,60),ROW()-1,FALSE))</f>
        <v>0.65624058200000002</v>
      </c>
      <c r="AY256">
        <f ca="1">IF(AND(ISNUMBER($AY$924),$B$677=1),$AY$924,HLOOKUP(INDIRECT(ADDRESS(2,COLUMN())),OFFSET($BN$2,0,0,ROW()-1,60),ROW()-1,FALSE))</f>
        <v>1.1287086180000001</v>
      </c>
      <c r="AZ256">
        <f ca="1">IF(AND(ISNUMBER($AZ$924),$B$677=1),$AZ$924,HLOOKUP(INDIRECT(ADDRESS(2,COLUMN())),OFFSET($BN$2,0,0,ROW()-1,60),ROW()-1,FALSE))</f>
        <v>1.071575967</v>
      </c>
      <c r="BA256">
        <f ca="1">IF(AND(ISNUMBER($BA$924),$B$677=1),$BA$924,HLOOKUP(INDIRECT(ADDRESS(2,COLUMN())),OFFSET($BN$2,0,0,ROW()-1,60),ROW()-1,FALSE))</f>
        <v>0.72024699299999995</v>
      </c>
      <c r="BB256">
        <f ca="1">IF(AND(ISNUMBER($BB$924),$B$677=1),$BB$924,HLOOKUP(INDIRECT(ADDRESS(2,COLUMN())),OFFSET($BN$2,0,0,ROW()-1,60),ROW()-1,FALSE))</f>
        <v>0.58211763800000005</v>
      </c>
      <c r="BC256">
        <f ca="1">IF(AND(ISNUMBER($BC$924),$B$677=1),$BC$924,HLOOKUP(INDIRECT(ADDRESS(2,COLUMN())),OFFSET($BN$2,0,0,ROW()-1,60),ROW()-1,FALSE))</f>
        <v>0.432134036</v>
      </c>
      <c r="BD256">
        <f ca="1">IF(AND(ISNUMBER($BD$924),$B$677=1),$BD$924,HLOOKUP(INDIRECT(ADDRESS(2,COLUMN())),OFFSET($BN$2,0,0,ROW()-1,60),ROW()-1,FALSE))</f>
        <v>0.28178514399999999</v>
      </c>
      <c r="BE256">
        <f ca="1">IF(AND(ISNUMBER($BE$924),$B$677=1),$BE$924,HLOOKUP(INDIRECT(ADDRESS(2,COLUMN())),OFFSET($BN$2,0,0,ROW()-1,60),ROW()-1,FALSE))</f>
        <v>0.31064375399999999</v>
      </c>
      <c r="BF256">
        <f ca="1">IF(AND(ISNUMBER($BF$924),$B$677=1),$BF$924,HLOOKUP(INDIRECT(ADDRESS(2,COLUMN())),OFFSET($BN$2,0,0,ROW()-1,60),ROW()-1,FALSE))</f>
        <v>0.31053212499999999</v>
      </c>
      <c r="BG256">
        <f ca="1">IF(AND(ISNUMBER($BG$924),$B$677=1),$BG$924,HLOOKUP(INDIRECT(ADDRESS(2,COLUMN())),OFFSET($BN$2,0,0,ROW()-1,60),ROW()-1,FALSE))</f>
        <v>0.19998500399999999</v>
      </c>
      <c r="BH256">
        <f ca="1">IF(AND(ISNUMBER($BH$924),$B$677=1),$BH$924,HLOOKUP(INDIRECT(ADDRESS(2,COLUMN())),OFFSET($BN$2,0,0,ROW()-1,60),ROW()-1,FALSE))</f>
        <v>0.31032873799999999</v>
      </c>
      <c r="BI256" t="str">
        <f ca="1">IF(AND(ISNUMBER($BI$924),$B$677=1),$BI$924,HLOOKUP(INDIRECT(ADDRESS(2,COLUMN())),OFFSET($BN$2,0,0,ROW()-1,60),ROW()-1,FALSE))</f>
        <v/>
      </c>
      <c r="BJ256" t="str">
        <f ca="1">IF(AND(ISNUMBER($BJ$924),$B$677=1),$BJ$924,HLOOKUP(INDIRECT(ADDRESS(2,COLUMN())),OFFSET($BN$2,0,0,ROW()-1,60),ROW()-1,FALSE))</f>
        <v/>
      </c>
      <c r="BK256" t="str">
        <f ca="1">IF(AND(ISNUMBER($BK$924),$B$677=1),$BK$924,HLOOKUP(INDIRECT(ADDRESS(2,COLUMN())),OFFSET($BN$2,0,0,ROW()-1,60),ROW()-1,FALSE))</f>
        <v/>
      </c>
      <c r="BL256" t="str">
        <f ca="1">IF(AND(ISNUMBER($BL$924),$B$677=1),$BL$924,HLOOKUP(INDIRECT(ADDRESS(2,COLUMN())),OFFSET($BN$2,0,0,ROW()-1,60),ROW()-1,FALSE))</f>
        <v/>
      </c>
      <c r="BM256" t="str">
        <f ca="1">IF(AND(ISNUMBER($BM$924),$B$677=1),$BM$924,HLOOKUP(INDIRECT(ADDRESS(2,COLUMN())),OFFSET($BN$2,0,0,ROW()-1,60),ROW()-1,FALSE))</f>
        <v/>
      </c>
      <c r="BN256">
        <f>0.235200104</f>
        <v>0.23520010399999999</v>
      </c>
      <c r="BO256">
        <f>0.194656702</f>
        <v>0.19465670199999999</v>
      </c>
      <c r="BP256">
        <f>0.3522511</f>
        <v>0.35225109999999998</v>
      </c>
      <c r="BQ256">
        <f>0.406048797</f>
        <v>0.40604879700000002</v>
      </c>
      <c r="BR256">
        <f>0.394118345</f>
        <v>0.39411834499999998</v>
      </c>
      <c r="BS256">
        <f>0.447114964</f>
        <v>0.447114964</v>
      </c>
      <c r="BT256">
        <f>0.574956706</f>
        <v>0.57495670600000004</v>
      </c>
      <c r="BU256">
        <f>0.582928146</f>
        <v>0.58292814599999998</v>
      </c>
      <c r="BV256">
        <f>0.616027845</f>
        <v>0.61602784499999996</v>
      </c>
      <c r="BW256">
        <f>0.621652845</f>
        <v>0.62165284499999995</v>
      </c>
      <c r="BX256">
        <f>0.733113486</f>
        <v>0.73311348600000004</v>
      </c>
      <c r="BY256">
        <f>0.64897834</f>
        <v>0.64897833999999999</v>
      </c>
      <c r="BZ256">
        <f>0.867786634</f>
        <v>0.867786634</v>
      </c>
      <c r="CA256">
        <f>1.045673541</f>
        <v>1.045673541</v>
      </c>
      <c r="CB256">
        <f>0.814318031</f>
        <v>0.814318031</v>
      </c>
      <c r="CC256">
        <f>1.25155224</f>
        <v>1.2515522400000001</v>
      </c>
      <c r="CD256">
        <f>1.566647857</f>
        <v>1.566647857</v>
      </c>
      <c r="CE256">
        <f>1.289067078</f>
        <v>1.289067078</v>
      </c>
      <c r="CF256">
        <f>1.351989806</f>
        <v>1.351989806</v>
      </c>
      <c r="CG256">
        <f>1.373211606</f>
        <v>1.3732116059999999</v>
      </c>
      <c r="CH256">
        <f>1.210597974</f>
        <v>1.2105979739999999</v>
      </c>
      <c r="CI256">
        <f>1.519641682</f>
        <v>1.519641682</v>
      </c>
      <c r="CJ256">
        <f>1.187328554</f>
        <v>1.187328554</v>
      </c>
      <c r="CK256">
        <f>0.982107271</f>
        <v>0.98210727099999995</v>
      </c>
      <c r="CL256">
        <f>0.910009434</f>
        <v>0.91000943400000001</v>
      </c>
      <c r="CM256">
        <f>0.571112566</f>
        <v>0.57111256600000004</v>
      </c>
      <c r="CN256">
        <f>0.414975908</f>
        <v>0.414975908</v>
      </c>
      <c r="CO256">
        <f>0.472209988</f>
        <v>0.47220998800000002</v>
      </c>
      <c r="CP256">
        <f>0.492543875</f>
        <v>0.49254387500000002</v>
      </c>
      <c r="CQ256">
        <f>0.417112037</f>
        <v>0.41711203699999999</v>
      </c>
      <c r="CR256">
        <f>0.266159936</f>
        <v>0.26615993599999999</v>
      </c>
      <c r="CS256">
        <f>0.371740735</f>
        <v>0.37174073499999999</v>
      </c>
      <c r="CT256">
        <f>0.39509373</f>
        <v>0.39509372999999998</v>
      </c>
      <c r="CU256">
        <f>0.395054826</f>
        <v>0.39505482600000003</v>
      </c>
      <c r="CV256">
        <f>0.462866151</f>
        <v>0.462866151</v>
      </c>
      <c r="CW256">
        <f>0.300654227</f>
        <v>0.300654227</v>
      </c>
      <c r="CX256">
        <f>0.480500796</f>
        <v>0.48050079600000001</v>
      </c>
      <c r="CY256">
        <f>0.64588688</f>
        <v>0.64588688000000005</v>
      </c>
      <c r="CZ256">
        <f>0.46618935</f>
        <v>0.46618935</v>
      </c>
      <c r="DA256">
        <f>0.442443227</f>
        <v>0.44244322699999999</v>
      </c>
      <c r="DB256">
        <f>0.437431541</f>
        <v>0.43743154099999998</v>
      </c>
      <c r="DC256">
        <f>0.25533791</f>
        <v>0.25533791</v>
      </c>
      <c r="DD256">
        <f>0.281714563</f>
        <v>0.28171456299999997</v>
      </c>
      <c r="DE256">
        <f>0.443722756</f>
        <v>0.443722756</v>
      </c>
      <c r="DF256">
        <f>0.656240582</f>
        <v>0.65624058200000002</v>
      </c>
      <c r="DG256">
        <f>1.128708618</f>
        <v>1.1287086180000001</v>
      </c>
      <c r="DH256">
        <f>1.071575967</f>
        <v>1.071575967</v>
      </c>
      <c r="DI256">
        <f>0.720246993</f>
        <v>0.72024699299999995</v>
      </c>
      <c r="DJ256">
        <f>0.582117638</f>
        <v>0.58211763800000005</v>
      </c>
      <c r="DK256">
        <f>0.432134036</f>
        <v>0.432134036</v>
      </c>
      <c r="DL256">
        <f>0.281785144</f>
        <v>0.28178514399999999</v>
      </c>
      <c r="DM256">
        <f>0.310643754</f>
        <v>0.31064375399999999</v>
      </c>
      <c r="DN256">
        <f>0.310532125</f>
        <v>0.31053212499999999</v>
      </c>
      <c r="DO256">
        <f>0.199985004</f>
        <v>0.19998500399999999</v>
      </c>
      <c r="DP256">
        <f>0.310328738</f>
        <v>0.31032873799999999</v>
      </c>
      <c r="DQ256" t="str">
        <f>""</f>
        <v/>
      </c>
      <c r="DR256" t="str">
        <f>""</f>
        <v/>
      </c>
      <c r="DS256" t="str">
        <f>""</f>
        <v/>
      </c>
      <c r="DT256" t="str">
        <f>""</f>
        <v/>
      </c>
      <c r="DU256" t="str">
        <f>""</f>
        <v/>
      </c>
    </row>
    <row r="257" spans="1:125" x14ac:dyDescent="0.25">
      <c r="A257" t="str">
        <f>"    Daihatsu Motor Co Ltd"</f>
        <v xml:space="preserve">    Daihatsu Motor Co Ltd</v>
      </c>
      <c r="B257" t="str">
        <f>"7262 JP Equity"</f>
        <v>7262 JP Equity</v>
      </c>
      <c r="C257" t="str">
        <f t="shared" si="18"/>
        <v>RR904</v>
      </c>
      <c r="D257" t="str">
        <f t="shared" si="19"/>
        <v>PX_TO_SALES_RATIO</v>
      </c>
      <c r="E257" t="str">
        <f t="shared" si="20"/>
        <v>Dynamic</v>
      </c>
      <c r="F257" t="str">
        <f ca="1">IF(AND(ISNUMBER($F$925),$B$677=1),$F$925,HLOOKUP(INDIRECT(ADDRESS(2,COLUMN())),OFFSET($BN$2,0,0,ROW()-1,60),ROW()-1,FALSE))</f>
        <v/>
      </c>
      <c r="G257" t="str">
        <f ca="1">IF(AND(ISNUMBER($G$925),$B$677=1),$G$925,HLOOKUP(INDIRECT(ADDRESS(2,COLUMN())),OFFSET($BN$2,0,0,ROW()-1,60),ROW()-1,FALSE))</f>
        <v/>
      </c>
      <c r="H257" t="str">
        <f ca="1">IF(AND(ISNUMBER($H$925),$B$677=1),$H$925,HLOOKUP(INDIRECT(ADDRESS(2,COLUMN())),OFFSET($BN$2,0,0,ROW()-1,60),ROW()-1,FALSE))</f>
        <v/>
      </c>
      <c r="I257" t="str">
        <f ca="1">IF(AND(ISNUMBER($I$925),$B$677=1),$I$925,HLOOKUP(INDIRECT(ADDRESS(2,COLUMN())),OFFSET($BN$2,0,0,ROW()-1,60),ROW()-1,FALSE))</f>
        <v/>
      </c>
      <c r="J257" t="str">
        <f ca="1">IF(AND(ISNUMBER($J$925),$B$677=1),$J$925,HLOOKUP(INDIRECT(ADDRESS(2,COLUMN())),OFFSET($BN$2,0,0,ROW()-1,60),ROW()-1,FALSE))</f>
        <v/>
      </c>
      <c r="K257" t="str">
        <f ca="1">IF(AND(ISNUMBER($K$925),$B$677=1),$K$925,HLOOKUP(INDIRECT(ADDRESS(2,COLUMN())),OFFSET($BN$2,0,0,ROW()-1,60),ROW()-1,FALSE))</f>
        <v/>
      </c>
      <c r="L257" t="str">
        <f ca="1">IF(AND(ISNUMBER($L$925),$B$677=1),$L$925,HLOOKUP(INDIRECT(ADDRESS(2,COLUMN())),OFFSET($BN$2,0,0,ROW()-1,60),ROW()-1,FALSE))</f>
        <v/>
      </c>
      <c r="M257" t="str">
        <f ca="1">IF(AND(ISNUMBER($M$925),$B$677=1),$M$925,HLOOKUP(INDIRECT(ADDRESS(2,COLUMN())),OFFSET($BN$2,0,0,ROW()-1,60),ROW()-1,FALSE))</f>
        <v/>
      </c>
      <c r="N257" t="str">
        <f ca="1">IF(AND(ISNUMBER($N$925),$B$677=1),$N$925,HLOOKUP(INDIRECT(ADDRESS(2,COLUMN())),OFFSET($BN$2,0,0,ROW()-1,60),ROW()-1,FALSE))</f>
        <v/>
      </c>
      <c r="O257" t="str">
        <f ca="1">IF(AND(ISNUMBER($O$925),$B$677=1),$O$925,HLOOKUP(INDIRECT(ADDRESS(2,COLUMN())),OFFSET($BN$2,0,0,ROW()-1,60),ROW()-1,FALSE))</f>
        <v/>
      </c>
      <c r="P257">
        <f ca="1">IF(AND(ISNUMBER($P$925),$B$677=1),$P$925,HLOOKUP(INDIRECT(ADDRESS(2,COLUMN())),OFFSET($BN$2,0,0,ROW()-1,60),ROW()-1,FALSE))</f>
        <v>0.375921106</v>
      </c>
      <c r="Q257">
        <f ca="1">IF(AND(ISNUMBER($Q$925),$B$677=1),$Q$925,HLOOKUP(INDIRECT(ADDRESS(2,COLUMN())),OFFSET($BN$2,0,0,ROW()-1,60),ROW()-1,FALSE))</f>
        <v>0.33356379800000002</v>
      </c>
      <c r="R257">
        <f ca="1">IF(AND(ISNUMBER($R$925),$B$677=1),$R$925,HLOOKUP(INDIRECT(ADDRESS(2,COLUMN())),OFFSET($BN$2,0,0,ROW()-1,60),ROW()-1,FALSE))</f>
        <v>0.39987315400000001</v>
      </c>
      <c r="S257">
        <f ca="1">IF(AND(ISNUMBER($S$925),$B$677=1),$S$925,HLOOKUP(INDIRECT(ADDRESS(2,COLUMN())),OFFSET($BN$2,0,0,ROW()-1,60),ROW()-1,FALSE))</f>
        <v>0.39408366900000003</v>
      </c>
      <c r="T257">
        <f ca="1">IF(AND(ISNUMBER($T$925),$B$677=1),$T$925,HLOOKUP(INDIRECT(ADDRESS(2,COLUMN())),OFFSET($BN$2,0,0,ROW()-1,60),ROW()-1,FALSE))</f>
        <v>0.328783504</v>
      </c>
      <c r="U257">
        <f ca="1">IF(AND(ISNUMBER($U$925),$B$677=1),$U$925,HLOOKUP(INDIRECT(ADDRESS(2,COLUMN())),OFFSET($BN$2,0,0,ROW()-1,60),ROW()-1,FALSE))</f>
        <v>0.41273805000000002</v>
      </c>
      <c r="V257">
        <f ca="1">IF(AND(ISNUMBER($V$925),$B$677=1),$V$925,HLOOKUP(INDIRECT(ADDRESS(2,COLUMN())),OFFSET($BN$2,0,0,ROW()-1,60),ROW()-1,FALSE))</f>
        <v>0.43106619800000001</v>
      </c>
      <c r="W257">
        <f ca="1">IF(AND(ISNUMBER($W$925),$B$677=1),$W$925,HLOOKUP(INDIRECT(ADDRESS(2,COLUMN())),OFFSET($BN$2,0,0,ROW()-1,60),ROW()-1,FALSE))</f>
        <v>0.36816705199999999</v>
      </c>
      <c r="X257">
        <f ca="1">IF(AND(ISNUMBER($X$925),$B$677=1),$X$925,HLOOKUP(INDIRECT(ADDRESS(2,COLUMN())),OFFSET($BN$2,0,0,ROW()-1,60),ROW()-1,FALSE))</f>
        <v>0.39852695900000001</v>
      </c>
      <c r="Y257">
        <f ca="1">IF(AND(ISNUMBER($Y$925),$B$677=1),$Y$925,HLOOKUP(INDIRECT(ADDRESS(2,COLUMN())),OFFSET($BN$2,0,0,ROW()-1,60),ROW()-1,FALSE))</f>
        <v>0.40587541100000002</v>
      </c>
      <c r="Z257">
        <f ca="1">IF(AND(ISNUMBER($Z$925),$B$677=1),$Z$925,HLOOKUP(INDIRECT(ADDRESS(2,COLUMN())),OFFSET($BN$2,0,0,ROW()-1,60),ROW()-1,FALSE))</f>
        <v>0.40604444099999998</v>
      </c>
      <c r="AA257">
        <f ca="1">IF(AND(ISNUMBER($AA$925),$B$677=1),$AA$925,HLOOKUP(INDIRECT(ADDRESS(2,COLUMN())),OFFSET($BN$2,0,0,ROW()-1,60),ROW()-1,FALSE))</f>
        <v>0.407423437</v>
      </c>
      <c r="AB257">
        <f ca="1">IF(AND(ISNUMBER($AB$925),$B$677=1),$AB$925,HLOOKUP(INDIRECT(ADDRESS(2,COLUMN())),OFFSET($BN$2,0,0,ROW()-1,60),ROW()-1,FALSE))</f>
        <v>0.44918049900000001</v>
      </c>
      <c r="AC257">
        <f ca="1">IF(AND(ISNUMBER($AC$925),$B$677=1),$AC$925,HLOOKUP(INDIRECT(ADDRESS(2,COLUMN())),OFFSET($BN$2,0,0,ROW()-1,60),ROW()-1,FALSE))</f>
        <v>0.453064672</v>
      </c>
      <c r="AD257">
        <f ca="1">IF(AND(ISNUMBER($AD$925),$B$677=1),$AD$925,HLOOKUP(INDIRECT(ADDRESS(2,COLUMN())),OFFSET($BN$2,0,0,ROW()-1,60),ROW()-1,FALSE))</f>
        <v>0.47125667100000002</v>
      </c>
      <c r="AE257">
        <f ca="1">IF(AND(ISNUMBER($AE$925),$B$677=1),$AE$925,HLOOKUP(INDIRECT(ADDRESS(2,COLUMN())),OFFSET($BN$2,0,0,ROW()-1,60),ROW()-1,FALSE))</f>
        <v>0.41192535600000002</v>
      </c>
      <c r="AF257">
        <f ca="1">IF(AND(ISNUMBER($AF$925),$B$677=1),$AF$925,HLOOKUP(INDIRECT(ADDRESS(2,COLUMN())),OFFSET($BN$2,0,0,ROW()-1,60),ROW()-1,FALSE))</f>
        <v>0.31121187300000003</v>
      </c>
      <c r="AG257">
        <f ca="1">IF(AND(ISNUMBER($AG$925),$B$677=1),$AG$925,HLOOKUP(INDIRECT(ADDRESS(2,COLUMN())),OFFSET($BN$2,0,0,ROW()-1,60),ROW()-1,FALSE))</f>
        <v>0.33769720399999997</v>
      </c>
      <c r="AH257">
        <f ca="1">IF(AND(ISNUMBER($AH$925),$B$677=1),$AH$925,HLOOKUP(INDIRECT(ADDRESS(2,COLUMN())),OFFSET($BN$2,0,0,ROW()-1,60),ROW()-1,FALSE))</f>
        <v>0.396009102</v>
      </c>
      <c r="AI257">
        <f ca="1">IF(AND(ISNUMBER($AI$925),$B$677=1),$AI$925,HLOOKUP(INDIRECT(ADDRESS(2,COLUMN())),OFFSET($BN$2,0,0,ROW()-1,60),ROW()-1,FALSE))</f>
        <v>0.387445025</v>
      </c>
      <c r="AJ257">
        <f ca="1">IF(AND(ISNUMBER($AJ$925),$B$677=1),$AJ$925,HLOOKUP(INDIRECT(ADDRESS(2,COLUMN())),OFFSET($BN$2,0,0,ROW()-1,60),ROW()-1,FALSE))</f>
        <v>0.41192060699999999</v>
      </c>
      <c r="AK257">
        <f ca="1">IF(AND(ISNUMBER($AK$925),$B$677=1),$AK$925,HLOOKUP(INDIRECT(ADDRESS(2,COLUMN())),OFFSET($BN$2,0,0,ROW()-1,60),ROW()-1,FALSE))</f>
        <v>0.39330745700000003</v>
      </c>
      <c r="AL257">
        <f ca="1">IF(AND(ISNUMBER($AL$925),$B$677=1),$AL$925,HLOOKUP(INDIRECT(ADDRESS(2,COLUMN())),OFFSET($BN$2,0,0,ROW()-1,60),ROW()-1,FALSE))</f>
        <v>0.33116101100000001</v>
      </c>
      <c r="AM257">
        <f ca="1">IF(AND(ISNUMBER($AM$925),$B$677=1),$AM$925,HLOOKUP(INDIRECT(ADDRESS(2,COLUMN())),OFFSET($BN$2,0,0,ROW()-1,60),ROW()-1,FALSE))</f>
        <v>0.32588338500000003</v>
      </c>
      <c r="AN257">
        <f ca="1">IF(AND(ISNUMBER($AN$925),$B$677=1),$AN$925,HLOOKUP(INDIRECT(ADDRESS(2,COLUMN())),OFFSET($BN$2,0,0,ROW()-1,60),ROW()-1,FALSE))</f>
        <v>0.28516093599999998</v>
      </c>
      <c r="AO257">
        <f ca="1">IF(AND(ISNUMBER($AO$925),$B$677=1),$AO$925,HLOOKUP(INDIRECT(ADDRESS(2,COLUMN())),OFFSET($BN$2,0,0,ROW()-1,60),ROW()-1,FALSE))</f>
        <v>0.216893487</v>
      </c>
      <c r="AP257">
        <f ca="1">IF(AND(ISNUMBER($AP$925),$B$677=1),$AP$925,HLOOKUP(INDIRECT(ADDRESS(2,COLUMN())),OFFSET($BN$2,0,0,ROW()-1,60),ROW()-1,FALSE))</f>
        <v>0.24161858899999999</v>
      </c>
      <c r="AQ257">
        <f ca="1">IF(AND(ISNUMBER($AQ$925),$B$677=1),$AQ$925,HLOOKUP(INDIRECT(ADDRESS(2,COLUMN())),OFFSET($BN$2,0,0,ROW()-1,60),ROW()-1,FALSE))</f>
        <v>0.26376109800000003</v>
      </c>
      <c r="AR257">
        <f ca="1">IF(AND(ISNUMBER($AR$925),$B$677=1),$AR$925,HLOOKUP(INDIRECT(ADDRESS(2,COLUMN())),OFFSET($BN$2,0,0,ROW()-1,60),ROW()-1,FALSE))</f>
        <v>0.26589262200000002</v>
      </c>
      <c r="AS257">
        <f ca="1">IF(AND(ISNUMBER($AS$925),$B$677=1),$AS$925,HLOOKUP(INDIRECT(ADDRESS(2,COLUMN())),OFFSET($BN$2,0,0,ROW()-1,60),ROW()-1,FALSE))</f>
        <v>0.24826812000000001</v>
      </c>
      <c r="AT257">
        <f ca="1">IF(AND(ISNUMBER($AT$925),$B$677=1),$AT$925,HLOOKUP(INDIRECT(ADDRESS(2,COLUMN())),OFFSET($BN$2,0,0,ROW()-1,60),ROW()-1,FALSE))</f>
        <v>0.20085687899999999</v>
      </c>
      <c r="AU257">
        <f ca="1">IF(AND(ISNUMBER($AU$925),$B$677=1),$AU$925,HLOOKUP(INDIRECT(ADDRESS(2,COLUMN())),OFFSET($BN$2,0,0,ROW()-1,60),ROW()-1,FALSE))</f>
        <v>0.19301691400000001</v>
      </c>
      <c r="AV257">
        <f ca="1">IF(AND(ISNUMBER($AV$925),$B$677=1),$AV$925,HLOOKUP(INDIRECT(ADDRESS(2,COLUMN())),OFFSET($BN$2,0,0,ROW()-1,60),ROW()-1,FALSE))</f>
        <v>0.275413674</v>
      </c>
      <c r="AW257">
        <f ca="1">IF(AND(ISNUMBER($AW$925),$B$677=1),$AW$925,HLOOKUP(INDIRECT(ADDRESS(2,COLUMN())),OFFSET($BN$2,0,0,ROW()-1,60),ROW()-1,FALSE))</f>
        <v>0.29714386199999998</v>
      </c>
      <c r="AX257">
        <f ca="1">IF(AND(ISNUMBER($AX$925),$B$677=1),$AX$925,HLOOKUP(INDIRECT(ADDRESS(2,COLUMN())),OFFSET($BN$2,0,0,ROW()-1,60),ROW()-1,FALSE))</f>
        <v>0.29986708299999998</v>
      </c>
      <c r="AY257">
        <f ca="1">IF(AND(ISNUMBER($AY$925),$B$677=1),$AY$925,HLOOKUP(INDIRECT(ADDRESS(2,COLUMN())),OFFSET($BN$2,0,0,ROW()-1,60),ROW()-1,FALSE))</f>
        <v>0.26470566499999998</v>
      </c>
      <c r="AZ257">
        <f ca="1">IF(AND(ISNUMBER($AZ$925),$B$677=1),$AZ$925,HLOOKUP(INDIRECT(ADDRESS(2,COLUMN())),OFFSET($BN$2,0,0,ROW()-1,60),ROW()-1,FALSE))</f>
        <v>0.29976856000000002</v>
      </c>
      <c r="BA257">
        <f ca="1">IF(AND(ISNUMBER($BA$925),$B$677=1),$BA$925,HLOOKUP(INDIRECT(ADDRESS(2,COLUMN())),OFFSET($BN$2,0,0,ROW()-1,60),ROW()-1,FALSE))</f>
        <v>0.28853990899999998</v>
      </c>
      <c r="BB257">
        <f ca="1">IF(AND(ISNUMBER($BB$925),$B$677=1),$BB$925,HLOOKUP(INDIRECT(ADDRESS(2,COLUMN())),OFFSET($BN$2,0,0,ROW()-1,60),ROW()-1,FALSE))</f>
        <v>0.29260303700000001</v>
      </c>
      <c r="BC257">
        <f ca="1">IF(AND(ISNUMBER($BC$925),$B$677=1),$BC$925,HLOOKUP(INDIRECT(ADDRESS(2,COLUMN())),OFFSET($BN$2,0,0,ROW()-1,60),ROW()-1,FALSE))</f>
        <v>0.32556766999999998</v>
      </c>
      <c r="BD257">
        <f ca="1">IF(AND(ISNUMBER($BD$925),$B$677=1),$BD$925,HLOOKUP(INDIRECT(ADDRESS(2,COLUMN())),OFFSET($BN$2,0,0,ROW()-1,60),ROW()-1,FALSE))</f>
        <v>0.30909772200000002</v>
      </c>
      <c r="BE257">
        <f ca="1">IF(AND(ISNUMBER($BE$925),$B$677=1),$BE$925,HLOOKUP(INDIRECT(ADDRESS(2,COLUMN())),OFFSET($BN$2,0,0,ROW()-1,60),ROW()-1,FALSE))</f>
        <v>0.30744358300000002</v>
      </c>
      <c r="BF257">
        <f ca="1">IF(AND(ISNUMBER($BF$925),$B$677=1),$BF$925,HLOOKUP(INDIRECT(ADDRESS(2,COLUMN())),OFFSET($BN$2,0,0,ROW()-1,60),ROW()-1,FALSE))</f>
        <v>0.38321993100000001</v>
      </c>
      <c r="BG257" t="str">
        <f ca="1">IF(AND(ISNUMBER($BG$925),$B$677=1),$BG$925,HLOOKUP(INDIRECT(ADDRESS(2,COLUMN())),OFFSET($BN$2,0,0,ROW()-1,60),ROW()-1,FALSE))</f>
        <v/>
      </c>
      <c r="BH257" t="str">
        <f ca="1">IF(AND(ISNUMBER($BH$925),$B$677=1),$BH$925,HLOOKUP(INDIRECT(ADDRESS(2,COLUMN())),OFFSET($BN$2,0,0,ROW()-1,60),ROW()-1,FALSE))</f>
        <v/>
      </c>
      <c r="BI257" t="str">
        <f ca="1">IF(AND(ISNUMBER($BI$925),$B$677=1),$BI$925,HLOOKUP(INDIRECT(ADDRESS(2,COLUMN())),OFFSET($BN$2,0,0,ROW()-1,60),ROW()-1,FALSE))</f>
        <v/>
      </c>
      <c r="BJ257" t="str">
        <f ca="1">IF(AND(ISNUMBER($BJ$925),$B$677=1),$BJ$925,HLOOKUP(INDIRECT(ADDRESS(2,COLUMN())),OFFSET($BN$2,0,0,ROW()-1,60),ROW()-1,FALSE))</f>
        <v/>
      </c>
      <c r="BK257" t="str">
        <f ca="1">IF(AND(ISNUMBER($BK$925),$B$677=1),$BK$925,HLOOKUP(INDIRECT(ADDRESS(2,COLUMN())),OFFSET($BN$2,0,0,ROW()-1,60),ROW()-1,FALSE))</f>
        <v/>
      </c>
      <c r="BL257" t="str">
        <f ca="1">IF(AND(ISNUMBER($BL$925),$B$677=1),$BL$925,HLOOKUP(INDIRECT(ADDRESS(2,COLUMN())),OFFSET($BN$2,0,0,ROW()-1,60),ROW()-1,FALSE))</f>
        <v/>
      </c>
      <c r="BM257" t="str">
        <f ca="1">IF(AND(ISNUMBER($BM$925),$B$677=1),$BM$925,HLOOKUP(INDIRECT(ADDRESS(2,COLUMN())),OFFSET($BN$2,0,0,ROW()-1,60),ROW()-1,FALSE))</f>
        <v/>
      </c>
      <c r="BN257" t="str">
        <f>""</f>
        <v/>
      </c>
      <c r="BO257" t="str">
        <f>""</f>
        <v/>
      </c>
      <c r="BP257" t="str">
        <f>""</f>
        <v/>
      </c>
      <c r="BQ257" t="str">
        <f>""</f>
        <v/>
      </c>
      <c r="BR257" t="str">
        <f>""</f>
        <v/>
      </c>
      <c r="BS257" t="str">
        <f>""</f>
        <v/>
      </c>
      <c r="BT257" t="str">
        <f>""</f>
        <v/>
      </c>
      <c r="BU257" t="str">
        <f>""</f>
        <v/>
      </c>
      <c r="BV257" t="str">
        <f>""</f>
        <v/>
      </c>
      <c r="BW257" t="str">
        <f>""</f>
        <v/>
      </c>
      <c r="BX257">
        <f>0.375921106</f>
        <v>0.375921106</v>
      </c>
      <c r="BY257">
        <f>0.333563798</f>
        <v>0.33356379800000002</v>
      </c>
      <c r="BZ257">
        <f>0.399873154</f>
        <v>0.39987315400000001</v>
      </c>
      <c r="CA257">
        <f>0.394083669</f>
        <v>0.39408366900000003</v>
      </c>
      <c r="CB257">
        <f>0.328783504</f>
        <v>0.328783504</v>
      </c>
      <c r="CC257">
        <f>0.41273805</f>
        <v>0.41273805000000002</v>
      </c>
      <c r="CD257">
        <f>0.431066198</f>
        <v>0.43106619800000001</v>
      </c>
      <c r="CE257">
        <f>0.368167052</f>
        <v>0.36816705199999999</v>
      </c>
      <c r="CF257">
        <f>0.398526959</f>
        <v>0.39852695900000001</v>
      </c>
      <c r="CG257">
        <f>0.405875411</f>
        <v>0.40587541100000002</v>
      </c>
      <c r="CH257">
        <f>0.406044441</f>
        <v>0.40604444099999998</v>
      </c>
      <c r="CI257">
        <f>0.407423437</f>
        <v>0.407423437</v>
      </c>
      <c r="CJ257">
        <f>0.449180499</f>
        <v>0.44918049900000001</v>
      </c>
      <c r="CK257">
        <f>0.453064672</f>
        <v>0.453064672</v>
      </c>
      <c r="CL257">
        <f>0.471256671</f>
        <v>0.47125667100000002</v>
      </c>
      <c r="CM257">
        <f>0.411925356</f>
        <v>0.41192535600000002</v>
      </c>
      <c r="CN257">
        <f>0.311211873</f>
        <v>0.31121187300000003</v>
      </c>
      <c r="CO257">
        <f>0.337697204</f>
        <v>0.33769720399999997</v>
      </c>
      <c r="CP257">
        <f>0.396009102</f>
        <v>0.396009102</v>
      </c>
      <c r="CQ257">
        <f>0.387445025</f>
        <v>0.387445025</v>
      </c>
      <c r="CR257">
        <f>0.411920607</f>
        <v>0.41192060699999999</v>
      </c>
      <c r="CS257">
        <f>0.393307457</f>
        <v>0.39330745700000003</v>
      </c>
      <c r="CT257">
        <f>0.331161011</f>
        <v>0.33116101100000001</v>
      </c>
      <c r="CU257">
        <f>0.325883385</f>
        <v>0.32588338500000003</v>
      </c>
      <c r="CV257">
        <f>0.285160936</f>
        <v>0.28516093599999998</v>
      </c>
      <c r="CW257">
        <f>0.216893487</f>
        <v>0.216893487</v>
      </c>
      <c r="CX257">
        <f>0.241618589</f>
        <v>0.24161858899999999</v>
      </c>
      <c r="CY257">
        <f>0.263761098</f>
        <v>0.26376109800000003</v>
      </c>
      <c r="CZ257">
        <f>0.265892622</f>
        <v>0.26589262200000002</v>
      </c>
      <c r="DA257">
        <f>0.24826812</f>
        <v>0.24826812000000001</v>
      </c>
      <c r="DB257">
        <f>0.200856879</f>
        <v>0.20085687899999999</v>
      </c>
      <c r="DC257">
        <f>0.193016914</f>
        <v>0.19301691400000001</v>
      </c>
      <c r="DD257">
        <f>0.275413674</f>
        <v>0.275413674</v>
      </c>
      <c r="DE257">
        <f>0.297143862</f>
        <v>0.29714386199999998</v>
      </c>
      <c r="DF257">
        <f>0.299867083</f>
        <v>0.29986708299999998</v>
      </c>
      <c r="DG257">
        <f>0.264705665</f>
        <v>0.26470566499999998</v>
      </c>
      <c r="DH257">
        <f>0.29976856</f>
        <v>0.29976856000000002</v>
      </c>
      <c r="DI257">
        <f>0.288539909</f>
        <v>0.28853990899999998</v>
      </c>
      <c r="DJ257">
        <f>0.292603037</f>
        <v>0.29260303700000001</v>
      </c>
      <c r="DK257">
        <f>0.32556767</f>
        <v>0.32556766999999998</v>
      </c>
      <c r="DL257">
        <f>0.309097722</f>
        <v>0.30909772200000002</v>
      </c>
      <c r="DM257">
        <f>0.307443583</f>
        <v>0.30744358300000002</v>
      </c>
      <c r="DN257">
        <f>0.383219931</f>
        <v>0.38321993100000001</v>
      </c>
      <c r="DO257" t="str">
        <f>""</f>
        <v/>
      </c>
      <c r="DP257" t="str">
        <f>""</f>
        <v/>
      </c>
      <c r="DQ257" t="str">
        <f>""</f>
        <v/>
      </c>
      <c r="DR257" t="str">
        <f>""</f>
        <v/>
      </c>
      <c r="DS257" t="str">
        <f>""</f>
        <v/>
      </c>
      <c r="DT257" t="str">
        <f>""</f>
        <v/>
      </c>
      <c r="DU257" t="str">
        <f>""</f>
        <v/>
      </c>
    </row>
    <row r="258" spans="1:125" x14ac:dyDescent="0.25">
      <c r="A258" t="str">
        <f>"    Daimler AG"</f>
        <v xml:space="preserve">    Daimler AG</v>
      </c>
      <c r="B258" t="str">
        <f>"DAI GR Equity"</f>
        <v>DAI GR Equity</v>
      </c>
      <c r="C258" t="str">
        <f t="shared" si="18"/>
        <v>RR904</v>
      </c>
      <c r="D258" t="str">
        <f t="shared" si="19"/>
        <v>PX_TO_SALES_RATIO</v>
      </c>
      <c r="E258" t="str">
        <f t="shared" si="20"/>
        <v>Dynamic</v>
      </c>
      <c r="F258">
        <f ca="1">IF(AND(ISNUMBER($F$926),$B$677=1),$F$926,HLOOKUP(INDIRECT(ADDRESS(2,COLUMN())),OFFSET($BN$2,0,0,ROW()-1,60),ROW()-1,FALSE))</f>
        <v>0.33386105599999999</v>
      </c>
      <c r="G258">
        <f ca="1">IF(AND(ISNUMBER($G$926),$B$677=1),$G$926,HLOOKUP(INDIRECT(ADDRESS(2,COLUMN())),OFFSET($BN$2,0,0,ROW()-1,60),ROW()-1,FALSE))</f>
        <v>0.29346278100000001</v>
      </c>
      <c r="H258">
        <f ca="1">IF(AND(ISNUMBER($H$926),$B$677=1),$H$926,HLOOKUP(INDIRECT(ADDRESS(2,COLUMN())),OFFSET($BN$2,0,0,ROW()-1,60),ROW()-1,FALSE))</f>
        <v>0.354072461</v>
      </c>
      <c r="I258">
        <f ca="1">IF(AND(ISNUMBER($I$926),$B$677=1),$I$926,HLOOKUP(INDIRECT(ADDRESS(2,COLUMN())),OFFSET($BN$2,0,0,ROW()-1,60),ROW()-1,FALSE))</f>
        <v>0.357661805</v>
      </c>
      <c r="J258">
        <f ca="1">IF(AND(ISNUMBER($J$926),$B$677=1),$J$926,HLOOKUP(INDIRECT(ADDRESS(2,COLUMN())),OFFSET($BN$2,0,0,ROW()-1,60),ROW()-1,FALSE))</f>
        <v>0.44705201500000002</v>
      </c>
      <c r="K258">
        <f ca="1">IF(AND(ISNUMBER($K$926),$B$677=1),$K$926,HLOOKUP(INDIRECT(ADDRESS(2,COLUMN())),OFFSET($BN$2,0,0,ROW()-1,60),ROW()-1,FALSE))</f>
        <v>0.46140721499999998</v>
      </c>
      <c r="L258">
        <f ca="1">IF(AND(ISNUMBER($L$926),$B$677=1),$L$926,HLOOKUP(INDIRECT(ADDRESS(2,COLUMN())),OFFSET($BN$2,0,0,ROW()-1,60),ROW()-1,FALSE))</f>
        <v>0.44595419200000003</v>
      </c>
      <c r="M258">
        <f ca="1">IF(AND(ISNUMBER($M$926),$B$677=1),$M$926,HLOOKUP(INDIRECT(ADDRESS(2,COLUMN())),OFFSET($BN$2,0,0,ROW()-1,60),ROW()-1,FALSE))</f>
        <v>0.426191074</v>
      </c>
      <c r="N258">
        <f ca="1">IF(AND(ISNUMBER($N$926),$B$677=1),$N$926,HLOOKUP(INDIRECT(ADDRESS(2,COLUMN())),OFFSET($BN$2,0,0,ROW()-1,60),ROW()-1,FALSE))</f>
        <v>0.47139265000000002</v>
      </c>
      <c r="O258">
        <f ca="1">IF(AND(ISNUMBER($O$926),$B$677=1),$O$926,HLOOKUP(INDIRECT(ADDRESS(2,COLUMN())),OFFSET($BN$2,0,0,ROW()-1,60),ROW()-1,FALSE))</f>
        <v>0.49364323599999999</v>
      </c>
      <c r="P258">
        <f ca="1">IF(AND(ISNUMBER($P$926),$B$677=1),$P$926,HLOOKUP(INDIRECT(ADDRESS(2,COLUMN())),OFFSET($BN$2,0,0,ROW()-1,60),ROW()-1,FALSE))</f>
        <v>0.43902381299999998</v>
      </c>
      <c r="Q258">
        <f ca="1">IF(AND(ISNUMBER($Q$926),$B$677=1),$Q$926,HLOOKUP(INDIRECT(ADDRESS(2,COLUMN())),OFFSET($BN$2,0,0,ROW()-1,60),ROW()-1,FALSE))</f>
        <v>0.38164282999999999</v>
      </c>
      <c r="R258">
        <f ca="1">IF(AND(ISNUMBER($R$926),$B$677=1),$R$926,HLOOKUP(INDIRECT(ADDRESS(2,COLUMN())),OFFSET($BN$2,0,0,ROW()-1,60),ROW()-1,FALSE))</f>
        <v>0.48032011099999999</v>
      </c>
      <c r="S258">
        <f ca="1">IF(AND(ISNUMBER($S$926),$B$677=1),$S$926,HLOOKUP(INDIRECT(ADDRESS(2,COLUMN())),OFFSET($BN$2,0,0,ROW()-1,60),ROW()-1,FALSE))</f>
        <v>0.55527363200000002</v>
      </c>
      <c r="T258">
        <f ca="1">IF(AND(ISNUMBER($T$926),$B$677=1),$T$926,HLOOKUP(INDIRECT(ADDRESS(2,COLUMN())),OFFSET($BN$2,0,0,ROW()-1,60),ROW()-1,FALSE))</f>
        <v>0.480312034</v>
      </c>
      <c r="U258">
        <f ca="1">IF(AND(ISNUMBER($U$926),$B$677=1),$U$926,HLOOKUP(INDIRECT(ADDRESS(2,COLUMN())),OFFSET($BN$2,0,0,ROW()-1,60),ROW()-1,FALSE))</f>
        <v>0.62483732199999997</v>
      </c>
      <c r="V258">
        <f ca="1">IF(AND(ISNUMBER($V$926),$B$677=1),$V$926,HLOOKUP(INDIRECT(ADDRESS(2,COLUMN())),OFFSET($BN$2,0,0,ROW()-1,60),ROW()-1,FALSE))</f>
        <v>0.71340392100000005</v>
      </c>
      <c r="W258">
        <f ca="1">IF(AND(ISNUMBER($W$926),$B$677=1),$W$926,HLOOKUP(INDIRECT(ADDRESS(2,COLUMN())),OFFSET($BN$2,0,0,ROW()-1,60),ROW()-1,FALSE))</f>
        <v>0.56812943500000002</v>
      </c>
      <c r="X258">
        <f ca="1">IF(AND(ISNUMBER($X$926),$B$677=1),$X$926,HLOOKUP(INDIRECT(ADDRESS(2,COLUMN())),OFFSET($BN$2,0,0,ROW()-1,60),ROW()-1,FALSE))</f>
        <v>0.51296831700000001</v>
      </c>
      <c r="Y258">
        <f ca="1">IF(AND(ISNUMBER($Y$926),$B$677=1),$Y$926,HLOOKUP(INDIRECT(ADDRESS(2,COLUMN())),OFFSET($BN$2,0,0,ROW()-1,60),ROW()-1,FALSE))</f>
        <v>0.59323703900000002</v>
      </c>
      <c r="Z258">
        <f ca="1">IF(AND(ISNUMBER($Z$926),$B$677=1),$Z$926,HLOOKUP(INDIRECT(ADDRESS(2,COLUMN())),OFFSET($BN$2,0,0,ROW()-1,60),ROW()-1,FALSE))</f>
        <v>0.60641599499999999</v>
      </c>
      <c r="AA258">
        <f ca="1">IF(AND(ISNUMBER($AA$926),$B$677=1),$AA$926,HLOOKUP(INDIRECT(ADDRESS(2,COLUMN())),OFFSET($BN$2,0,0,ROW()-1,60),ROW()-1,FALSE))</f>
        <v>0.56984005500000001</v>
      </c>
      <c r="AB258">
        <f ca="1">IF(AND(ISNUMBER($AB$926),$B$677=1),$AB$926,HLOOKUP(INDIRECT(ADDRESS(2,COLUMN())),OFFSET($BN$2,0,0,ROW()-1,60),ROW()-1,FALSE))</f>
        <v>0.53248731400000004</v>
      </c>
      <c r="AC258">
        <f ca="1">IF(AND(ISNUMBER($AC$926),$B$677=1),$AC$926,HLOOKUP(INDIRECT(ADDRESS(2,COLUMN())),OFFSET($BN$2,0,0,ROW()-1,60),ROW()-1,FALSE))</f>
        <v>0.43375511500000002</v>
      </c>
      <c r="AD258">
        <f ca="1">IF(AND(ISNUMBER($AD$926),$B$677=1),$AD$926,HLOOKUP(INDIRECT(ADDRESS(2,COLUMN())),OFFSET($BN$2,0,0,ROW()-1,60),ROW()-1,FALSE))</f>
        <v>0.401817178</v>
      </c>
      <c r="AE258">
        <f ca="1">IF(AND(ISNUMBER($AE$926),$B$677=1),$AE$926,HLOOKUP(INDIRECT(ADDRESS(2,COLUMN())),OFFSET($BN$2,0,0,ROW()-1,60),ROW()-1,FALSE))</f>
        <v>0.38562965300000002</v>
      </c>
      <c r="AF258">
        <f ca="1">IF(AND(ISNUMBER($AF$926),$B$677=1),$AF$926,HLOOKUP(INDIRECT(ADDRESS(2,COLUMN())),OFFSET($BN$2,0,0,ROW()-1,60),ROW()-1,FALSE))</f>
        <v>0.35549333799999999</v>
      </c>
      <c r="AG258">
        <f ca="1">IF(AND(ISNUMBER($AG$926),$B$677=1),$AG$926,HLOOKUP(INDIRECT(ADDRESS(2,COLUMN())),OFFSET($BN$2,0,0,ROW()-1,60),ROW()-1,FALSE))</f>
        <v>0.338446197</v>
      </c>
      <c r="AH258">
        <f ca="1">IF(AND(ISNUMBER($AH$926),$B$677=1),$AH$926,HLOOKUP(INDIRECT(ADDRESS(2,COLUMN())),OFFSET($BN$2,0,0,ROW()-1,60),ROW()-1,FALSE))</f>
        <v>0.44531801700000001</v>
      </c>
      <c r="AI258">
        <f ca="1">IF(AND(ISNUMBER($AI$926),$B$677=1),$AI$926,HLOOKUP(INDIRECT(ADDRESS(2,COLUMN())),OFFSET($BN$2,0,0,ROW()-1,60),ROW()-1,FALSE))</f>
        <v>0.33939830700000001</v>
      </c>
      <c r="AJ258">
        <f ca="1">IF(AND(ISNUMBER($AJ$926),$B$677=1),$AJ$926,HLOOKUP(INDIRECT(ADDRESS(2,COLUMN())),OFFSET($BN$2,0,0,ROW()-1,60),ROW()-1,FALSE))</f>
        <v>0.34363087599999997</v>
      </c>
      <c r="AK258">
        <f ca="1">IF(AND(ISNUMBER($AK$926),$B$677=1),$AK$926,HLOOKUP(INDIRECT(ADDRESS(2,COLUMN())),OFFSET($BN$2,0,0,ROW()-1,60),ROW()-1,FALSE))</f>
        <v>0.53708018099999999</v>
      </c>
      <c r="AL258">
        <f ca="1">IF(AND(ISNUMBER($AL$926),$B$677=1),$AL$926,HLOOKUP(INDIRECT(ADDRESS(2,COLUMN())),OFFSET($BN$2,0,0,ROW()-1,60),ROW()-1,FALSE))</f>
        <v>0.52373535500000001</v>
      </c>
      <c r="AM258">
        <f ca="1">IF(AND(ISNUMBER($AM$926),$B$677=1),$AM$926,HLOOKUP(INDIRECT(ADDRESS(2,COLUMN())),OFFSET($BN$2,0,0,ROW()-1,60),ROW()-1,FALSE))</f>
        <v>0.54580295700000003</v>
      </c>
      <c r="AN258">
        <f ca="1">IF(AND(ISNUMBER($AN$926),$B$677=1),$AN$926,HLOOKUP(INDIRECT(ADDRESS(2,COLUMN())),OFFSET($BN$2,0,0,ROW()-1,60),ROW()-1,FALSE))</f>
        <v>0.52209412200000005</v>
      </c>
      <c r="AO258">
        <f ca="1">IF(AND(ISNUMBER($AO$926),$B$677=1),$AO$926,HLOOKUP(INDIRECT(ADDRESS(2,COLUMN())),OFFSET($BN$2,0,0,ROW()-1,60),ROW()-1,FALSE))</f>
        <v>0.49816999699999998</v>
      </c>
      <c r="AP258">
        <f ca="1">IF(AND(ISNUMBER($AP$926),$B$677=1),$AP$926,HLOOKUP(INDIRECT(ADDRESS(2,COLUMN())),OFFSET($BN$2,0,0,ROW()-1,60),ROW()-1,FALSE))</f>
        <v>0.43923411099999998</v>
      </c>
      <c r="AQ258">
        <f ca="1">IF(AND(ISNUMBER($AQ$926),$B$677=1),$AQ$926,HLOOKUP(INDIRECT(ADDRESS(2,COLUMN())),OFFSET($BN$2,0,0,ROW()-1,60),ROW()-1,FALSE))</f>
        <v>0.47344750499999999</v>
      </c>
      <c r="AR258">
        <f ca="1">IF(AND(ISNUMBER($AR$926),$B$677=1),$AR$926,HLOOKUP(INDIRECT(ADDRESS(2,COLUMN())),OFFSET($BN$2,0,0,ROW()-1,60),ROW()-1,FALSE))</f>
        <v>0.421777332</v>
      </c>
      <c r="AS258">
        <f ca="1">IF(AND(ISNUMBER($AS$926),$B$677=1),$AS$926,HLOOKUP(INDIRECT(ADDRESS(2,COLUMN())),OFFSET($BN$2,0,0,ROW()-1,60),ROW()-1,FALSE))</f>
        <v>0.29159032600000001</v>
      </c>
      <c r="AT258">
        <f ca="1">IF(AND(ISNUMBER($AT$926),$B$677=1),$AT$926,HLOOKUP(INDIRECT(ADDRESS(2,COLUMN())),OFFSET($BN$2,0,0,ROW()-1,60),ROW()-1,FALSE))</f>
        <v>0.203521808</v>
      </c>
      <c r="AU258">
        <f ca="1">IF(AND(ISNUMBER($AU$926),$B$677=1),$AU$926,HLOOKUP(INDIRECT(ADDRESS(2,COLUMN())),OFFSET($BN$2,0,0,ROW()-1,60),ROW()-1,FALSE))</f>
        <v>0.269670032</v>
      </c>
      <c r="AV258">
        <f ca="1">IF(AND(ISNUMBER($AV$926),$B$677=1),$AV$926,HLOOKUP(INDIRECT(ADDRESS(2,COLUMN())),OFFSET($BN$2,0,0,ROW()-1,60),ROW()-1,FALSE))</f>
        <v>0.40620422</v>
      </c>
      <c r="AW258">
        <f ca="1">IF(AND(ISNUMBER($AW$926),$B$677=1),$AW$926,HLOOKUP(INDIRECT(ADDRESS(2,COLUMN())),OFFSET($BN$2,0,0,ROW()-1,60),ROW()-1,FALSE))</f>
        <v>0.44501362700000002</v>
      </c>
      <c r="AX258">
        <f ca="1">IF(AND(ISNUMBER($AX$926),$B$677=1),$AX$926,HLOOKUP(INDIRECT(ADDRESS(2,COLUMN())),OFFSET($BN$2,0,0,ROW()-1,60),ROW()-1,FALSE))</f>
        <v>0.641551129</v>
      </c>
      <c r="AY258">
        <f ca="1">IF(AND(ISNUMBER($AY$926),$B$677=1),$AY$926,HLOOKUP(INDIRECT(ADDRESS(2,COLUMN())),OFFSET($BN$2,0,0,ROW()-1,60),ROW()-1,FALSE))</f>
        <v>0.78923356300000003</v>
      </c>
      <c r="AZ258">
        <f ca="1">IF(AND(ISNUMBER($AZ$926),$B$677=1),$AZ$926,HLOOKUP(INDIRECT(ADDRESS(2,COLUMN())),OFFSET($BN$2,0,0,ROW()-1,60),ROW()-1,FALSE))</f>
        <v>0.85581649000000004</v>
      </c>
      <c r="BA258">
        <f ca="1">IF(AND(ISNUMBER($BA$926),$B$677=1),$BA$926,HLOOKUP(INDIRECT(ADDRESS(2,COLUMN())),OFFSET($BN$2,0,0,ROW()-1,60),ROW()-1,FALSE))</f>
        <v>0.83265657500000001</v>
      </c>
      <c r="BB258">
        <f ca="1">IF(AND(ISNUMBER($BB$926),$B$677=1),$BB$926,HLOOKUP(INDIRECT(ADDRESS(2,COLUMN())),OFFSET($BN$2,0,0,ROW()-1,60),ROW()-1,FALSE))</f>
        <v>0.74217937499999997</v>
      </c>
      <c r="BC258">
        <f ca="1">IF(AND(ISNUMBER($BC$926),$B$677=1),$BC$926,HLOOKUP(INDIRECT(ADDRESS(2,COLUMN())),OFFSET($BN$2,0,0,ROW()-1,60),ROW()-1,FALSE))</f>
        <v>0.483489481</v>
      </c>
      <c r="BD258">
        <f ca="1">IF(AND(ISNUMBER($BD$926),$B$677=1),$BD$926,HLOOKUP(INDIRECT(ADDRESS(2,COLUMN())),OFFSET($BN$2,0,0,ROW()-1,60),ROW()-1,FALSE))</f>
        <v>0.315202759</v>
      </c>
      <c r="BE258">
        <f ca="1">IF(AND(ISNUMBER($BE$926),$B$677=1),$BE$926,HLOOKUP(INDIRECT(ADDRESS(2,COLUMN())),OFFSET($BN$2,0,0,ROW()-1,60),ROW()-1,FALSE))</f>
        <v>0.27690257099999999</v>
      </c>
      <c r="BF258">
        <f ca="1">IF(AND(ISNUMBER($BF$926),$B$677=1),$BF$926,HLOOKUP(INDIRECT(ADDRESS(2,COLUMN())),OFFSET($BN$2,0,0,ROW()-1,60),ROW()-1,FALSE))</f>
        <v>0.30977858800000002</v>
      </c>
      <c r="BG258">
        <f ca="1">IF(AND(ISNUMBER($BG$926),$B$677=1),$BG$926,HLOOKUP(INDIRECT(ADDRESS(2,COLUMN())),OFFSET($BN$2,0,0,ROW()-1,60),ROW()-1,FALSE))</f>
        <v>0.29210881799999999</v>
      </c>
      <c r="BH258">
        <f ca="1">IF(AND(ISNUMBER($BH$926),$B$677=1),$BH$926,HLOOKUP(INDIRECT(ADDRESS(2,COLUMN())),OFFSET($BN$2,0,0,ROW()-1,60),ROW()-1,FALSE))</f>
        <v>0.30634012199999999</v>
      </c>
      <c r="BI258">
        <f ca="1">IF(AND(ISNUMBER($BI$926),$B$677=1),$BI$926,HLOOKUP(INDIRECT(ADDRESS(2,COLUMN())),OFFSET($BN$2,0,0,ROW()-1,60),ROW()-1,FALSE))</f>
        <v>0.23829592299999999</v>
      </c>
      <c r="BJ258">
        <f ca="1">IF(AND(ISNUMBER($BJ$926),$B$677=1),$BJ$926,HLOOKUP(INDIRECT(ADDRESS(2,COLUMN())),OFFSET($BN$2,0,0,ROW()-1,60),ROW()-1,FALSE))</f>
        <v>0.247875133</v>
      </c>
      <c r="BK258">
        <f ca="1">IF(AND(ISNUMBER($BK$926),$B$677=1),$BK$926,HLOOKUP(INDIRECT(ADDRESS(2,COLUMN())),OFFSET($BN$2,0,0,ROW()-1,60),ROW()-1,FALSE))</f>
        <v>0.25137310800000001</v>
      </c>
      <c r="BL258">
        <f ca="1">IF(AND(ISNUMBER($BL$926),$B$677=1),$BL$926,HLOOKUP(INDIRECT(ADDRESS(2,COLUMN())),OFFSET($BN$2,0,0,ROW()-1,60),ROW()-1,FALSE))</f>
        <v>0.242963443</v>
      </c>
      <c r="BM258">
        <f ca="1">IF(AND(ISNUMBER($BM$926),$B$677=1),$BM$926,HLOOKUP(INDIRECT(ADDRESS(2,COLUMN())),OFFSET($BN$2,0,0,ROW()-1,60),ROW()-1,FALSE))</f>
        <v>0.282807219</v>
      </c>
      <c r="BN258">
        <f>0.333861056</f>
        <v>0.33386105599999999</v>
      </c>
      <c r="BO258">
        <f>0.293462781</f>
        <v>0.29346278100000001</v>
      </c>
      <c r="BP258">
        <f>0.354072461</f>
        <v>0.354072461</v>
      </c>
      <c r="BQ258">
        <f>0.357661805</f>
        <v>0.357661805</v>
      </c>
      <c r="BR258">
        <f>0.447052015</f>
        <v>0.44705201500000002</v>
      </c>
      <c r="BS258">
        <f>0.461407215</f>
        <v>0.46140721499999998</v>
      </c>
      <c r="BT258">
        <f>0.445954192</f>
        <v>0.44595419200000003</v>
      </c>
      <c r="BU258">
        <f>0.426191074</f>
        <v>0.426191074</v>
      </c>
      <c r="BV258">
        <f>0.47139265</f>
        <v>0.47139265000000002</v>
      </c>
      <c r="BW258">
        <f>0.493643236</f>
        <v>0.49364323599999999</v>
      </c>
      <c r="BX258">
        <f>0.439023813</f>
        <v>0.43902381299999998</v>
      </c>
      <c r="BY258">
        <f>0.38164283</f>
        <v>0.38164282999999999</v>
      </c>
      <c r="BZ258">
        <f>0.480320111</f>
        <v>0.48032011099999999</v>
      </c>
      <c r="CA258">
        <f>0.555273632</f>
        <v>0.55527363200000002</v>
      </c>
      <c r="CB258">
        <f>0.480312034</f>
        <v>0.480312034</v>
      </c>
      <c r="CC258">
        <f>0.624837322</f>
        <v>0.62483732199999997</v>
      </c>
      <c r="CD258">
        <f>0.713403921</f>
        <v>0.71340392100000005</v>
      </c>
      <c r="CE258">
        <f>0.568129435</f>
        <v>0.56812943500000002</v>
      </c>
      <c r="CF258">
        <f>0.512968317</f>
        <v>0.51296831700000001</v>
      </c>
      <c r="CG258">
        <f>0.593237039</f>
        <v>0.59323703900000002</v>
      </c>
      <c r="CH258">
        <f>0.606415995</f>
        <v>0.60641599499999999</v>
      </c>
      <c r="CI258">
        <f>0.569840055</f>
        <v>0.56984005500000001</v>
      </c>
      <c r="CJ258">
        <f>0.532487314</f>
        <v>0.53248731400000004</v>
      </c>
      <c r="CK258">
        <f>0.433755115</f>
        <v>0.43375511500000002</v>
      </c>
      <c r="CL258">
        <f>0.401817178</f>
        <v>0.401817178</v>
      </c>
      <c r="CM258">
        <f>0.385629653</f>
        <v>0.38562965300000002</v>
      </c>
      <c r="CN258">
        <f>0.355493338</f>
        <v>0.35549333799999999</v>
      </c>
      <c r="CO258">
        <f>0.338446197</f>
        <v>0.338446197</v>
      </c>
      <c r="CP258">
        <f>0.445318017</f>
        <v>0.44531801700000001</v>
      </c>
      <c r="CQ258">
        <f>0.339398307</f>
        <v>0.33939830700000001</v>
      </c>
      <c r="CR258">
        <f>0.343630876</f>
        <v>0.34363087599999997</v>
      </c>
      <c r="CS258">
        <f>0.537080181</f>
        <v>0.53708018099999999</v>
      </c>
      <c r="CT258">
        <f>0.523735355</f>
        <v>0.52373535500000001</v>
      </c>
      <c r="CU258">
        <f>0.545802957</f>
        <v>0.54580295700000003</v>
      </c>
      <c r="CV258">
        <f>0.522094122</f>
        <v>0.52209412200000005</v>
      </c>
      <c r="CW258">
        <f>0.498169997</f>
        <v>0.49816999699999998</v>
      </c>
      <c r="CX258">
        <f>0.439234111</f>
        <v>0.43923411099999998</v>
      </c>
      <c r="CY258">
        <f>0.473447505</f>
        <v>0.47344750499999999</v>
      </c>
      <c r="CZ258">
        <f>0.421777332</f>
        <v>0.421777332</v>
      </c>
      <c r="DA258">
        <f>0.291590326</f>
        <v>0.29159032600000001</v>
      </c>
      <c r="DB258">
        <f>0.203521808</f>
        <v>0.203521808</v>
      </c>
      <c r="DC258">
        <f>0.269670032</f>
        <v>0.269670032</v>
      </c>
      <c r="DD258">
        <f>0.40620422</f>
        <v>0.40620422</v>
      </c>
      <c r="DE258">
        <f>0.445013627</f>
        <v>0.44501362700000002</v>
      </c>
      <c r="DF258">
        <f>0.641551129</f>
        <v>0.641551129</v>
      </c>
      <c r="DG258">
        <f>0.789233563</f>
        <v>0.78923356300000003</v>
      </c>
      <c r="DH258">
        <f>0.85581649</f>
        <v>0.85581649000000004</v>
      </c>
      <c r="DI258">
        <f>0.832656575</f>
        <v>0.83265657500000001</v>
      </c>
      <c r="DJ258">
        <f>0.742179375</f>
        <v>0.74217937499999997</v>
      </c>
      <c r="DK258">
        <f>0.483489481</f>
        <v>0.483489481</v>
      </c>
      <c r="DL258">
        <f>0.315202759</f>
        <v>0.315202759</v>
      </c>
      <c r="DM258">
        <f>0.276902571</f>
        <v>0.27690257099999999</v>
      </c>
      <c r="DN258">
        <f>0.309778588</f>
        <v>0.30977858800000002</v>
      </c>
      <c r="DO258">
        <f>0.292108818</f>
        <v>0.29210881799999999</v>
      </c>
      <c r="DP258">
        <f>0.306340122</f>
        <v>0.30634012199999999</v>
      </c>
      <c r="DQ258">
        <f>0.238295923</f>
        <v>0.23829592299999999</v>
      </c>
      <c r="DR258">
        <f>0.247875133</f>
        <v>0.247875133</v>
      </c>
      <c r="DS258">
        <f>0.251373108</f>
        <v>0.25137310800000001</v>
      </c>
      <c r="DT258">
        <f>0.242963443</f>
        <v>0.242963443</v>
      </c>
      <c r="DU258">
        <f>0.282807219</f>
        <v>0.282807219</v>
      </c>
    </row>
    <row r="259" spans="1:125" x14ac:dyDescent="0.25">
      <c r="A259" t="str">
        <f>"    Dongfeng Motor Group Co Ltd"</f>
        <v xml:space="preserve">    Dongfeng Motor Group Co Ltd</v>
      </c>
      <c r="B259" t="str">
        <f>"489 HK Equity"</f>
        <v>489 HK Equity</v>
      </c>
      <c r="C259" t="str">
        <f t="shared" si="18"/>
        <v>RR904</v>
      </c>
      <c r="D259" t="str">
        <f t="shared" si="19"/>
        <v>PX_TO_SALES_RATIO</v>
      </c>
      <c r="E259" t="str">
        <f t="shared" si="20"/>
        <v>Dynamic</v>
      </c>
      <c r="F259" t="str">
        <f ca="1">IF(AND(ISNUMBER($F$927),$B$677=1),$F$927,HLOOKUP(INDIRECT(ADDRESS(2,COLUMN())),OFFSET($BN$2,0,0,ROW()-1,60),ROW()-1,FALSE))</f>
        <v/>
      </c>
      <c r="G259" t="str">
        <f ca="1">IF(AND(ISNUMBER($G$927),$B$677=1),$G$927,HLOOKUP(INDIRECT(ADDRESS(2,COLUMN())),OFFSET($BN$2,0,0,ROW()-1,60),ROW()-1,FALSE))</f>
        <v/>
      </c>
      <c r="H259" t="str">
        <f ca="1">IF(AND(ISNUMBER($H$927),$B$677=1),$H$927,HLOOKUP(INDIRECT(ADDRESS(2,COLUMN())),OFFSET($BN$2,0,0,ROW()-1,60),ROW()-1,FALSE))</f>
        <v/>
      </c>
      <c r="I259" t="str">
        <f ca="1">IF(AND(ISNUMBER($I$927),$B$677=1),$I$927,HLOOKUP(INDIRECT(ADDRESS(2,COLUMN())),OFFSET($BN$2,0,0,ROW()-1,60),ROW()-1,FALSE))</f>
        <v/>
      </c>
      <c r="J259" t="str">
        <f ca="1">IF(AND(ISNUMBER($J$927),$B$677=1),$J$927,HLOOKUP(INDIRECT(ADDRESS(2,COLUMN())),OFFSET($BN$2,0,0,ROW()-1,60),ROW()-1,FALSE))</f>
        <v/>
      </c>
      <c r="K259" t="str">
        <f ca="1">IF(AND(ISNUMBER($K$927),$B$677=1),$K$927,HLOOKUP(INDIRECT(ADDRESS(2,COLUMN())),OFFSET($BN$2,0,0,ROW()-1,60),ROW()-1,FALSE))</f>
        <v/>
      </c>
      <c r="L259" t="str">
        <f ca="1">IF(AND(ISNUMBER($L$927),$B$677=1),$L$927,HLOOKUP(INDIRECT(ADDRESS(2,COLUMN())),OFFSET($BN$2,0,0,ROW()-1,60),ROW()-1,FALSE))</f>
        <v/>
      </c>
      <c r="M259" t="str">
        <f ca="1">IF(AND(ISNUMBER($M$927),$B$677=1),$M$927,HLOOKUP(INDIRECT(ADDRESS(2,COLUMN())),OFFSET($BN$2,0,0,ROW()-1,60),ROW()-1,FALSE))</f>
        <v/>
      </c>
      <c r="N259" t="str">
        <f ca="1">IF(AND(ISNUMBER($N$927),$B$677=1),$N$927,HLOOKUP(INDIRECT(ADDRESS(2,COLUMN())),OFFSET($BN$2,0,0,ROW()-1,60),ROW()-1,FALSE))</f>
        <v/>
      </c>
      <c r="O259" t="str">
        <f ca="1">IF(AND(ISNUMBER($O$927),$B$677=1),$O$927,HLOOKUP(INDIRECT(ADDRESS(2,COLUMN())),OFFSET($BN$2,0,0,ROW()-1,60),ROW()-1,FALSE))</f>
        <v/>
      </c>
      <c r="P259" t="str">
        <f ca="1">IF(AND(ISNUMBER($P$927),$B$677=1),$P$927,HLOOKUP(INDIRECT(ADDRESS(2,COLUMN())),OFFSET($BN$2,0,0,ROW()-1,60),ROW()-1,FALSE))</f>
        <v/>
      </c>
      <c r="Q259" t="str">
        <f ca="1">IF(AND(ISNUMBER($Q$927),$B$677=1),$Q$927,HLOOKUP(INDIRECT(ADDRESS(2,COLUMN())),OFFSET($BN$2,0,0,ROW()-1,60),ROW()-1,FALSE))</f>
        <v/>
      </c>
      <c r="R259" t="str">
        <f ca="1">IF(AND(ISNUMBER($R$927),$B$677=1),$R$927,HLOOKUP(INDIRECT(ADDRESS(2,COLUMN())),OFFSET($BN$2,0,0,ROW()-1,60),ROW()-1,FALSE))</f>
        <v/>
      </c>
      <c r="S259" t="str">
        <f ca="1">IF(AND(ISNUMBER($S$927),$B$677=1),$S$927,HLOOKUP(INDIRECT(ADDRESS(2,COLUMN())),OFFSET($BN$2,0,0,ROW()-1,60),ROW()-1,FALSE))</f>
        <v/>
      </c>
      <c r="T259" t="str">
        <f ca="1">IF(AND(ISNUMBER($T$927),$B$677=1),$T$927,HLOOKUP(INDIRECT(ADDRESS(2,COLUMN())),OFFSET($BN$2,0,0,ROW()-1,60),ROW()-1,FALSE))</f>
        <v/>
      </c>
      <c r="U259" t="str">
        <f ca="1">IF(AND(ISNUMBER($U$927),$B$677=1),$U$927,HLOOKUP(INDIRECT(ADDRESS(2,COLUMN())),OFFSET($BN$2,0,0,ROW()-1,60),ROW()-1,FALSE))</f>
        <v/>
      </c>
      <c r="V259" t="str">
        <f ca="1">IF(AND(ISNUMBER($V$927),$B$677=1),$V$927,HLOOKUP(INDIRECT(ADDRESS(2,COLUMN())),OFFSET($BN$2,0,0,ROW()-1,60),ROW()-1,FALSE))</f>
        <v/>
      </c>
      <c r="W259" t="str">
        <f ca="1">IF(AND(ISNUMBER($W$927),$B$677=1),$W$927,HLOOKUP(INDIRECT(ADDRESS(2,COLUMN())),OFFSET($BN$2,0,0,ROW()-1,60),ROW()-1,FALSE))</f>
        <v/>
      </c>
      <c r="X259" t="str">
        <f ca="1">IF(AND(ISNUMBER($X$927),$B$677=1),$X$927,HLOOKUP(INDIRECT(ADDRESS(2,COLUMN())),OFFSET($BN$2,0,0,ROW()-1,60),ROW()-1,FALSE))</f>
        <v/>
      </c>
      <c r="Y259" t="str">
        <f ca="1">IF(AND(ISNUMBER($Y$927),$B$677=1),$Y$927,HLOOKUP(INDIRECT(ADDRESS(2,COLUMN())),OFFSET($BN$2,0,0,ROW()-1,60),ROW()-1,FALSE))</f>
        <v/>
      </c>
      <c r="Z259" t="str">
        <f ca="1">IF(AND(ISNUMBER($Z$927),$B$677=1),$Z$927,HLOOKUP(INDIRECT(ADDRESS(2,COLUMN())),OFFSET($BN$2,0,0,ROW()-1,60),ROW()-1,FALSE))</f>
        <v/>
      </c>
      <c r="AA259" t="str">
        <f ca="1">IF(AND(ISNUMBER($AA$927),$B$677=1),$AA$927,HLOOKUP(INDIRECT(ADDRESS(2,COLUMN())),OFFSET($BN$2,0,0,ROW()-1,60),ROW()-1,FALSE))</f>
        <v/>
      </c>
      <c r="AB259" t="str">
        <f ca="1">IF(AND(ISNUMBER($AB$927),$B$677=1),$AB$927,HLOOKUP(INDIRECT(ADDRESS(2,COLUMN())),OFFSET($BN$2,0,0,ROW()-1,60),ROW()-1,FALSE))</f>
        <v/>
      </c>
      <c r="AC259" t="str">
        <f ca="1">IF(AND(ISNUMBER($AC$927),$B$677=1),$AC$927,HLOOKUP(INDIRECT(ADDRESS(2,COLUMN())),OFFSET($BN$2,0,0,ROW()-1,60),ROW()-1,FALSE))</f>
        <v/>
      </c>
      <c r="AD259" t="str">
        <f ca="1">IF(AND(ISNUMBER($AD$927),$B$677=1),$AD$927,HLOOKUP(INDIRECT(ADDRESS(2,COLUMN())),OFFSET($BN$2,0,0,ROW()-1,60),ROW()-1,FALSE))</f>
        <v/>
      </c>
      <c r="AE259" t="str">
        <f ca="1">IF(AND(ISNUMBER($AE$927),$B$677=1),$AE$927,HLOOKUP(INDIRECT(ADDRESS(2,COLUMN())),OFFSET($BN$2,0,0,ROW()-1,60),ROW()-1,FALSE))</f>
        <v/>
      </c>
      <c r="AF259" t="str">
        <f ca="1">IF(AND(ISNUMBER($AF$927),$B$677=1),$AF$927,HLOOKUP(INDIRECT(ADDRESS(2,COLUMN())),OFFSET($BN$2,0,0,ROW()-1,60),ROW()-1,FALSE))</f>
        <v/>
      </c>
      <c r="AG259" t="str">
        <f ca="1">IF(AND(ISNUMBER($AG$927),$B$677=1),$AG$927,HLOOKUP(INDIRECT(ADDRESS(2,COLUMN())),OFFSET($BN$2,0,0,ROW()-1,60),ROW()-1,FALSE))</f>
        <v/>
      </c>
      <c r="AH259" t="str">
        <f ca="1">IF(AND(ISNUMBER($AH$927),$B$677=1),$AH$927,HLOOKUP(INDIRECT(ADDRESS(2,COLUMN())),OFFSET($BN$2,0,0,ROW()-1,60),ROW()-1,FALSE))</f>
        <v/>
      </c>
      <c r="AI259" t="str">
        <f ca="1">IF(AND(ISNUMBER($AI$927),$B$677=1),$AI$927,HLOOKUP(INDIRECT(ADDRESS(2,COLUMN())),OFFSET($BN$2,0,0,ROW()-1,60),ROW()-1,FALSE))</f>
        <v/>
      </c>
      <c r="AJ259" t="str">
        <f ca="1">IF(AND(ISNUMBER($AJ$927),$B$677=1),$AJ$927,HLOOKUP(INDIRECT(ADDRESS(2,COLUMN())),OFFSET($BN$2,0,0,ROW()-1,60),ROW()-1,FALSE))</f>
        <v/>
      </c>
      <c r="AK259" t="str">
        <f ca="1">IF(AND(ISNUMBER($AK$927),$B$677=1),$AK$927,HLOOKUP(INDIRECT(ADDRESS(2,COLUMN())),OFFSET($BN$2,0,0,ROW()-1,60),ROW()-1,FALSE))</f>
        <v/>
      </c>
      <c r="AL259" t="str">
        <f ca="1">IF(AND(ISNUMBER($AL$927),$B$677=1),$AL$927,HLOOKUP(INDIRECT(ADDRESS(2,COLUMN())),OFFSET($BN$2,0,0,ROW()-1,60),ROW()-1,FALSE))</f>
        <v/>
      </c>
      <c r="AM259" t="str">
        <f ca="1">IF(AND(ISNUMBER($AM$927),$B$677=1),$AM$927,HLOOKUP(INDIRECT(ADDRESS(2,COLUMN())),OFFSET($BN$2,0,0,ROW()-1,60),ROW()-1,FALSE))</f>
        <v/>
      </c>
      <c r="AN259" t="str">
        <f ca="1">IF(AND(ISNUMBER($AN$927),$B$677=1),$AN$927,HLOOKUP(INDIRECT(ADDRESS(2,COLUMN())),OFFSET($BN$2,0,0,ROW()-1,60),ROW()-1,FALSE))</f>
        <v/>
      </c>
      <c r="AO259" t="str">
        <f ca="1">IF(AND(ISNUMBER($AO$927),$B$677=1),$AO$927,HLOOKUP(INDIRECT(ADDRESS(2,COLUMN())),OFFSET($BN$2,0,0,ROW()-1,60),ROW()-1,FALSE))</f>
        <v/>
      </c>
      <c r="AP259" t="str">
        <f ca="1">IF(AND(ISNUMBER($AP$927),$B$677=1),$AP$927,HLOOKUP(INDIRECT(ADDRESS(2,COLUMN())),OFFSET($BN$2,0,0,ROW()-1,60),ROW()-1,FALSE))</f>
        <v/>
      </c>
      <c r="AQ259" t="str">
        <f ca="1">IF(AND(ISNUMBER($AQ$927),$B$677=1),$AQ$927,HLOOKUP(INDIRECT(ADDRESS(2,COLUMN())),OFFSET($BN$2,0,0,ROW()-1,60),ROW()-1,FALSE))</f>
        <v/>
      </c>
      <c r="AR259" t="str">
        <f ca="1">IF(AND(ISNUMBER($AR$927),$B$677=1),$AR$927,HLOOKUP(INDIRECT(ADDRESS(2,COLUMN())),OFFSET($BN$2,0,0,ROW()-1,60),ROW()-1,FALSE))</f>
        <v/>
      </c>
      <c r="AS259" t="str">
        <f ca="1">IF(AND(ISNUMBER($AS$927),$B$677=1),$AS$927,HLOOKUP(INDIRECT(ADDRESS(2,COLUMN())),OFFSET($BN$2,0,0,ROW()-1,60),ROW()-1,FALSE))</f>
        <v/>
      </c>
      <c r="AT259" t="str">
        <f ca="1">IF(AND(ISNUMBER($AT$927),$B$677=1),$AT$927,HLOOKUP(INDIRECT(ADDRESS(2,COLUMN())),OFFSET($BN$2,0,0,ROW()-1,60),ROW()-1,FALSE))</f>
        <v/>
      </c>
      <c r="AU259" t="str">
        <f ca="1">IF(AND(ISNUMBER($AU$927),$B$677=1),$AU$927,HLOOKUP(INDIRECT(ADDRESS(2,COLUMN())),OFFSET($BN$2,0,0,ROW()-1,60),ROW()-1,FALSE))</f>
        <v/>
      </c>
      <c r="AV259" t="str">
        <f ca="1">IF(AND(ISNUMBER($AV$927),$B$677=1),$AV$927,HLOOKUP(INDIRECT(ADDRESS(2,COLUMN())),OFFSET($BN$2,0,0,ROW()-1,60),ROW()-1,FALSE))</f>
        <v/>
      </c>
      <c r="AW259" t="str">
        <f ca="1">IF(AND(ISNUMBER($AW$927),$B$677=1),$AW$927,HLOOKUP(INDIRECT(ADDRESS(2,COLUMN())),OFFSET($BN$2,0,0,ROW()-1,60),ROW()-1,FALSE))</f>
        <v/>
      </c>
      <c r="AX259" t="str">
        <f ca="1">IF(AND(ISNUMBER($AX$927),$B$677=1),$AX$927,HLOOKUP(INDIRECT(ADDRESS(2,COLUMN())),OFFSET($BN$2,0,0,ROW()-1,60),ROW()-1,FALSE))</f>
        <v/>
      </c>
      <c r="AY259" t="str">
        <f ca="1">IF(AND(ISNUMBER($AY$927),$B$677=1),$AY$927,HLOOKUP(INDIRECT(ADDRESS(2,COLUMN())),OFFSET($BN$2,0,0,ROW()-1,60),ROW()-1,FALSE))</f>
        <v/>
      </c>
      <c r="AZ259" t="str">
        <f ca="1">IF(AND(ISNUMBER($AZ$927),$B$677=1),$AZ$927,HLOOKUP(INDIRECT(ADDRESS(2,COLUMN())),OFFSET($BN$2,0,0,ROW()-1,60),ROW()-1,FALSE))</f>
        <v/>
      </c>
      <c r="BA259" t="str">
        <f ca="1">IF(AND(ISNUMBER($BA$927),$B$677=1),$BA$927,HLOOKUP(INDIRECT(ADDRESS(2,COLUMN())),OFFSET($BN$2,0,0,ROW()-1,60),ROW()-1,FALSE))</f>
        <v/>
      </c>
      <c r="BB259" t="str">
        <f ca="1">IF(AND(ISNUMBER($BB$927),$B$677=1),$BB$927,HLOOKUP(INDIRECT(ADDRESS(2,COLUMN())),OFFSET($BN$2,0,0,ROW()-1,60),ROW()-1,FALSE))</f>
        <v/>
      </c>
      <c r="BC259" t="str">
        <f ca="1">IF(AND(ISNUMBER($BC$927),$B$677=1),$BC$927,HLOOKUP(INDIRECT(ADDRESS(2,COLUMN())),OFFSET($BN$2,0,0,ROW()-1,60),ROW()-1,FALSE))</f>
        <v/>
      </c>
      <c r="BD259" t="str">
        <f ca="1">IF(AND(ISNUMBER($BD$927),$B$677=1),$BD$927,HLOOKUP(INDIRECT(ADDRESS(2,COLUMN())),OFFSET($BN$2,0,0,ROW()-1,60),ROW()-1,FALSE))</f>
        <v/>
      </c>
      <c r="BE259" t="str">
        <f ca="1">IF(AND(ISNUMBER($BE$927),$B$677=1),$BE$927,HLOOKUP(INDIRECT(ADDRESS(2,COLUMN())),OFFSET($BN$2,0,0,ROW()-1,60),ROW()-1,FALSE))</f>
        <v/>
      </c>
      <c r="BF259" t="str">
        <f ca="1">IF(AND(ISNUMBER($BF$927),$B$677=1),$BF$927,HLOOKUP(INDIRECT(ADDRESS(2,COLUMN())),OFFSET($BN$2,0,0,ROW()-1,60),ROW()-1,FALSE))</f>
        <v/>
      </c>
      <c r="BG259" t="str">
        <f ca="1">IF(AND(ISNUMBER($BG$927),$B$677=1),$BG$927,HLOOKUP(INDIRECT(ADDRESS(2,COLUMN())),OFFSET($BN$2,0,0,ROW()-1,60),ROW()-1,FALSE))</f>
        <v/>
      </c>
      <c r="BH259" t="str">
        <f ca="1">IF(AND(ISNUMBER($BH$927),$B$677=1),$BH$927,HLOOKUP(INDIRECT(ADDRESS(2,COLUMN())),OFFSET($BN$2,0,0,ROW()-1,60),ROW()-1,FALSE))</f>
        <v/>
      </c>
      <c r="BI259" t="str">
        <f ca="1">IF(AND(ISNUMBER($BI$927),$B$677=1),$BI$927,HLOOKUP(INDIRECT(ADDRESS(2,COLUMN())),OFFSET($BN$2,0,0,ROW()-1,60),ROW()-1,FALSE))</f>
        <v/>
      </c>
      <c r="BJ259" t="str">
        <f ca="1">IF(AND(ISNUMBER($BJ$927),$B$677=1),$BJ$927,HLOOKUP(INDIRECT(ADDRESS(2,COLUMN())),OFFSET($BN$2,0,0,ROW()-1,60),ROW()-1,FALSE))</f>
        <v/>
      </c>
      <c r="BK259" t="str">
        <f ca="1">IF(AND(ISNUMBER($BK$927),$B$677=1),$BK$927,HLOOKUP(INDIRECT(ADDRESS(2,COLUMN())),OFFSET($BN$2,0,0,ROW()-1,60),ROW()-1,FALSE))</f>
        <v/>
      </c>
      <c r="BL259" t="str">
        <f ca="1">IF(AND(ISNUMBER($BL$927),$B$677=1),$BL$927,HLOOKUP(INDIRECT(ADDRESS(2,COLUMN())),OFFSET($BN$2,0,0,ROW()-1,60),ROW()-1,FALSE))</f>
        <v/>
      </c>
      <c r="BM259" t="str">
        <f ca="1">IF(AND(ISNUMBER($BM$927),$B$677=1),$BM$927,HLOOKUP(INDIRECT(ADDRESS(2,COLUMN())),OFFSET($BN$2,0,0,ROW()-1,60),ROW()-1,FALSE))</f>
        <v/>
      </c>
      <c r="BN259" t="str">
        <f>""</f>
        <v/>
      </c>
      <c r="BO259" t="str">
        <f>""</f>
        <v/>
      </c>
      <c r="BP259" t="str">
        <f>""</f>
        <v/>
      </c>
      <c r="BQ259" t="str">
        <f>""</f>
        <v/>
      </c>
      <c r="BR259" t="str">
        <f>""</f>
        <v/>
      </c>
      <c r="BS259" t="str">
        <f>""</f>
        <v/>
      </c>
      <c r="BT259" t="str">
        <f>""</f>
        <v/>
      </c>
      <c r="BU259" t="str">
        <f>""</f>
        <v/>
      </c>
      <c r="BV259" t="str">
        <f>""</f>
        <v/>
      </c>
      <c r="BW259" t="str">
        <f>""</f>
        <v/>
      </c>
      <c r="BX259" t="str">
        <f>""</f>
        <v/>
      </c>
      <c r="BY259" t="str">
        <f>""</f>
        <v/>
      </c>
      <c r="BZ259" t="str">
        <f>""</f>
        <v/>
      </c>
      <c r="CA259" t="str">
        <f>""</f>
        <v/>
      </c>
      <c r="CB259" t="str">
        <f>""</f>
        <v/>
      </c>
      <c r="CC259" t="str">
        <f>""</f>
        <v/>
      </c>
      <c r="CD259" t="str">
        <f>""</f>
        <v/>
      </c>
      <c r="CE259" t="str">
        <f>""</f>
        <v/>
      </c>
      <c r="CF259" t="str">
        <f>""</f>
        <v/>
      </c>
      <c r="CG259" t="str">
        <f>""</f>
        <v/>
      </c>
      <c r="CH259" t="str">
        <f>""</f>
        <v/>
      </c>
      <c r="CI259" t="str">
        <f>""</f>
        <v/>
      </c>
      <c r="CJ259" t="str">
        <f>""</f>
        <v/>
      </c>
      <c r="CK259" t="str">
        <f>""</f>
        <v/>
      </c>
      <c r="CL259" t="str">
        <f>""</f>
        <v/>
      </c>
      <c r="CM259" t="str">
        <f>""</f>
        <v/>
      </c>
      <c r="CN259" t="str">
        <f>""</f>
        <v/>
      </c>
      <c r="CO259" t="str">
        <f>""</f>
        <v/>
      </c>
      <c r="CP259" t="str">
        <f>""</f>
        <v/>
      </c>
      <c r="CQ259" t="str">
        <f>""</f>
        <v/>
      </c>
      <c r="CR259" t="str">
        <f>""</f>
        <v/>
      </c>
      <c r="CS259" t="str">
        <f>""</f>
        <v/>
      </c>
      <c r="CT259" t="str">
        <f>""</f>
        <v/>
      </c>
      <c r="CU259" t="str">
        <f>""</f>
        <v/>
      </c>
      <c r="CV259" t="str">
        <f>""</f>
        <v/>
      </c>
      <c r="CW259" t="str">
        <f>""</f>
        <v/>
      </c>
      <c r="CX259" t="str">
        <f>""</f>
        <v/>
      </c>
      <c r="CY259" t="str">
        <f>""</f>
        <v/>
      </c>
      <c r="CZ259" t="str">
        <f>""</f>
        <v/>
      </c>
      <c r="DA259" t="str">
        <f>""</f>
        <v/>
      </c>
      <c r="DB259" t="str">
        <f>""</f>
        <v/>
      </c>
      <c r="DC259" t="str">
        <f>""</f>
        <v/>
      </c>
      <c r="DD259" t="str">
        <f>""</f>
        <v/>
      </c>
      <c r="DE259" t="str">
        <f>""</f>
        <v/>
      </c>
      <c r="DF259" t="str">
        <f>""</f>
        <v/>
      </c>
      <c r="DG259" t="str">
        <f>""</f>
        <v/>
      </c>
      <c r="DH259" t="str">
        <f>""</f>
        <v/>
      </c>
      <c r="DI259" t="str">
        <f>""</f>
        <v/>
      </c>
      <c r="DJ259" t="str">
        <f>""</f>
        <v/>
      </c>
      <c r="DK259" t="str">
        <f>""</f>
        <v/>
      </c>
      <c r="DL259" t="str">
        <f>""</f>
        <v/>
      </c>
      <c r="DM259" t="str">
        <f>""</f>
        <v/>
      </c>
      <c r="DN259" t="str">
        <f>""</f>
        <v/>
      </c>
      <c r="DO259" t="str">
        <f>""</f>
        <v/>
      </c>
      <c r="DP259" t="str">
        <f>""</f>
        <v/>
      </c>
      <c r="DQ259" t="str">
        <f>""</f>
        <v/>
      </c>
      <c r="DR259" t="str">
        <f>""</f>
        <v/>
      </c>
      <c r="DS259" t="str">
        <f>""</f>
        <v/>
      </c>
      <c r="DT259" t="str">
        <f>""</f>
        <v/>
      </c>
      <c r="DU259" t="str">
        <f>""</f>
        <v/>
      </c>
    </row>
    <row r="260" spans="1:125" x14ac:dyDescent="0.25">
      <c r="A260" t="str">
        <f>"    DRB-Hicom Bhd"</f>
        <v xml:space="preserve">    DRB-Hicom Bhd</v>
      </c>
      <c r="B260" t="str">
        <f>"DRB MK Equity"</f>
        <v>DRB MK Equity</v>
      </c>
      <c r="C260" t="str">
        <f t="shared" si="18"/>
        <v>RR904</v>
      </c>
      <c r="D260" t="str">
        <f t="shared" si="19"/>
        <v>PX_TO_SALES_RATIO</v>
      </c>
      <c r="E260" t="str">
        <f t="shared" si="20"/>
        <v>Dynamic</v>
      </c>
      <c r="F260" t="str">
        <f ca="1">IF(AND(ISNUMBER($F$928),$B$677=1),$F$928,HLOOKUP(INDIRECT(ADDRESS(2,COLUMN())),OFFSET($BN$2,0,0,ROW()-1,60),ROW()-1,FALSE))</f>
        <v/>
      </c>
      <c r="G260">
        <f ca="1">IF(AND(ISNUMBER($G$928),$B$677=1),$G$928,HLOOKUP(INDIRECT(ADDRESS(2,COLUMN())),OFFSET($BN$2,0,0,ROW()-1,60),ROW()-1,FALSE))</f>
        <v>0.27182490399999998</v>
      </c>
      <c r="H260">
        <f ca="1">IF(AND(ISNUMBER($H$928),$B$677=1),$H$928,HLOOKUP(INDIRECT(ADDRESS(2,COLUMN())),OFFSET($BN$2,0,0,ROW()-1,60),ROW()-1,FALSE))</f>
        <v>0.35110716800000003</v>
      </c>
      <c r="I260">
        <f ca="1">IF(AND(ISNUMBER($I$928),$B$677=1),$I$928,HLOOKUP(INDIRECT(ADDRESS(2,COLUMN())),OFFSET($BN$2,0,0,ROW()-1,60),ROW()-1,FALSE))</f>
        <v>0.31563576300000001</v>
      </c>
      <c r="J260">
        <f ca="1">IF(AND(ISNUMBER($J$928),$B$677=1),$J$928,HLOOKUP(INDIRECT(ADDRESS(2,COLUMN())),OFFSET($BN$2,0,0,ROW()-1,60),ROW()-1,FALSE))</f>
        <v>0.37799036699999999</v>
      </c>
      <c r="K260">
        <f ca="1">IF(AND(ISNUMBER($K$928),$B$677=1),$K$928,HLOOKUP(INDIRECT(ADDRESS(2,COLUMN())),OFFSET($BN$2,0,0,ROW()-1,60),ROW()-1,FALSE))</f>
        <v>0.27427118299999997</v>
      </c>
      <c r="L260">
        <f ca="1">IF(AND(ISNUMBER($L$928),$B$677=1),$L$928,HLOOKUP(INDIRECT(ADDRESS(2,COLUMN())),OFFSET($BN$2,0,0,ROW()-1,60),ROW()-1,FALSE))</f>
        <v>0.23722485099999999</v>
      </c>
      <c r="M260">
        <f ca="1">IF(AND(ISNUMBER($M$928),$B$677=1),$M$928,HLOOKUP(INDIRECT(ADDRESS(2,COLUMN())),OFFSET($BN$2,0,0,ROW()-1,60),ROW()-1,FALSE))</f>
        <v>0.27123997300000002</v>
      </c>
      <c r="N260">
        <f ca="1">IF(AND(ISNUMBER($N$928),$B$677=1),$N$928,HLOOKUP(INDIRECT(ADDRESS(2,COLUMN())),OFFSET($BN$2,0,0,ROW()-1,60),ROW()-1,FALSE))</f>
        <v>0.22445321200000001</v>
      </c>
      <c r="O260">
        <f ca="1">IF(AND(ISNUMBER($O$928),$B$677=1),$O$928,HLOOKUP(INDIRECT(ADDRESS(2,COLUMN())),OFFSET($BN$2,0,0,ROW()-1,60),ROW()-1,FALSE))</f>
        <v>0.198333536</v>
      </c>
      <c r="P260">
        <f ca="1">IF(AND(ISNUMBER($P$928),$B$677=1),$P$928,HLOOKUP(INDIRECT(ADDRESS(2,COLUMN())),OFFSET($BN$2,0,0,ROW()-1,60),ROW()-1,FALSE))</f>
        <v>0.252231496</v>
      </c>
      <c r="Q260">
        <f ca="1">IF(AND(ISNUMBER($Q$928),$B$677=1),$Q$928,HLOOKUP(INDIRECT(ADDRESS(2,COLUMN())),OFFSET($BN$2,0,0,ROW()-1,60),ROW()-1,FALSE))</f>
        <v>0.14841507800000001</v>
      </c>
      <c r="R260">
        <f ca="1">IF(AND(ISNUMBER($R$928),$B$677=1),$R$928,HLOOKUP(INDIRECT(ADDRESS(2,COLUMN())),OFFSET($BN$2,0,0,ROW()-1,60),ROW()-1,FALSE))</f>
        <v>0.161990577</v>
      </c>
      <c r="S260">
        <f ca="1">IF(AND(ISNUMBER($S$928),$B$677=1),$S$928,HLOOKUP(INDIRECT(ADDRESS(2,COLUMN())),OFFSET($BN$2,0,0,ROW()-1,60),ROW()-1,FALSE))</f>
        <v>0.18801664200000001</v>
      </c>
      <c r="T260">
        <f ca="1">IF(AND(ISNUMBER($T$928),$B$677=1),$T$928,HLOOKUP(INDIRECT(ADDRESS(2,COLUMN())),OFFSET($BN$2,0,0,ROW()-1,60),ROW()-1,FALSE))</f>
        <v>0.19866267700000001</v>
      </c>
      <c r="U260">
        <f ca="1">IF(AND(ISNUMBER($U$928),$B$677=1),$U$928,HLOOKUP(INDIRECT(ADDRESS(2,COLUMN())),OFFSET($BN$2,0,0,ROW()-1,60),ROW()-1,FALSE))</f>
        <v>0.238037005</v>
      </c>
      <c r="V260">
        <f ca="1">IF(AND(ISNUMBER($V$928),$B$677=1),$V$928,HLOOKUP(INDIRECT(ADDRESS(2,COLUMN())),OFFSET($BN$2,0,0,ROW()-1,60),ROW()-1,FALSE))</f>
        <v>0.27823799599999999</v>
      </c>
      <c r="W260">
        <f ca="1">IF(AND(ISNUMBER($W$928),$B$677=1),$W$928,HLOOKUP(INDIRECT(ADDRESS(2,COLUMN())),OFFSET($BN$2,0,0,ROW()-1,60),ROW()-1,FALSE))</f>
        <v>0.23100308899999999</v>
      </c>
      <c r="X260">
        <f ca="1">IF(AND(ISNUMBER($X$928),$B$677=1),$X$928,HLOOKUP(INDIRECT(ADDRESS(2,COLUMN())),OFFSET($BN$2,0,0,ROW()-1,60),ROW()-1,FALSE))</f>
        <v>0.30511493499999998</v>
      </c>
      <c r="Y260">
        <f ca="1">IF(AND(ISNUMBER($Y$928),$B$677=1),$Y$928,HLOOKUP(INDIRECT(ADDRESS(2,COLUMN())),OFFSET($BN$2,0,0,ROW()-1,60),ROW()-1,FALSE))</f>
        <v>0.28730229600000001</v>
      </c>
      <c r="Z260">
        <f ca="1">IF(AND(ISNUMBER($Z$928),$B$677=1),$Z$928,HLOOKUP(INDIRECT(ADDRESS(2,COLUMN())),OFFSET($BN$2,0,0,ROW()-1,60),ROW()-1,FALSE))</f>
        <v>0.33625675300000002</v>
      </c>
      <c r="AA260">
        <f ca="1">IF(AND(ISNUMBER($AA$928),$B$677=1),$AA$928,HLOOKUP(INDIRECT(ADDRESS(2,COLUMN())),OFFSET($BN$2,0,0,ROW()-1,60),ROW()-1,FALSE))</f>
        <v>0.407020569</v>
      </c>
      <c r="AB260">
        <f ca="1">IF(AND(ISNUMBER($AB$928),$B$677=1),$AB$928,HLOOKUP(INDIRECT(ADDRESS(2,COLUMN())),OFFSET($BN$2,0,0,ROW()-1,60),ROW()-1,FALSE))</f>
        <v>0.40049454400000001</v>
      </c>
      <c r="AC260">
        <f ca="1">IF(AND(ISNUMBER($AC$928),$B$677=1),$AC$928,HLOOKUP(INDIRECT(ADDRESS(2,COLUMN())),OFFSET($BN$2,0,0,ROW()-1,60),ROW()-1,FALSE))</f>
        <v>0.40863686399999999</v>
      </c>
      <c r="AD260">
        <f ca="1">IF(AND(ISNUMBER($AD$928),$B$677=1),$AD$928,HLOOKUP(INDIRECT(ADDRESS(2,COLUMN())),OFFSET($BN$2,0,0,ROW()-1,60),ROW()-1,FALSE))</f>
        <v>0.37237847499999999</v>
      </c>
      <c r="AE260">
        <f ca="1">IF(AND(ISNUMBER($AE$928),$B$677=1),$AE$928,HLOOKUP(INDIRECT(ADDRESS(2,COLUMN())),OFFSET($BN$2,0,0,ROW()-1,60),ROW()-1,FALSE))</f>
        <v>0.44358618799999999</v>
      </c>
      <c r="AF260">
        <f ca="1">IF(AND(ISNUMBER($AF$928),$B$677=1),$AF$928,HLOOKUP(INDIRECT(ADDRESS(2,COLUMN())),OFFSET($BN$2,0,0,ROW()-1,60),ROW()-1,FALSE))</f>
        <v>0.41641345600000002</v>
      </c>
      <c r="AG260">
        <f ca="1">IF(AND(ISNUMBER($AG$928),$B$677=1),$AG$928,HLOOKUP(INDIRECT(ADDRESS(2,COLUMN())),OFFSET($BN$2,0,0,ROW()-1,60),ROW()-1,FALSE))</f>
        <v>0.55621813600000003</v>
      </c>
      <c r="AH260">
        <f ca="1">IF(AND(ISNUMBER($AH$928),$B$677=1),$AH$928,HLOOKUP(INDIRECT(ADDRESS(2,COLUMN())),OFFSET($BN$2,0,0,ROW()-1,60),ROW()-1,FALSE))</f>
        <v>0.70828904299999995</v>
      </c>
      <c r="AI260">
        <f ca="1">IF(AND(ISNUMBER($AI$928),$B$677=1),$AI$928,HLOOKUP(INDIRECT(ADDRESS(2,COLUMN())),OFFSET($BN$2,0,0,ROW()-1,60),ROW()-1,FALSE))</f>
        <v>0.58410250900000005</v>
      </c>
      <c r="AJ260">
        <f ca="1">IF(AND(ISNUMBER($AJ$928),$B$677=1),$AJ$928,HLOOKUP(INDIRECT(ADDRESS(2,COLUMN())),OFFSET($BN$2,0,0,ROW()-1,60),ROW()-1,FALSE))</f>
        <v>0.50490966299999995</v>
      </c>
      <c r="AK260">
        <f ca="1">IF(AND(ISNUMBER($AK$928),$B$677=1),$AK$928,HLOOKUP(INDIRECT(ADDRESS(2,COLUMN())),OFFSET($BN$2,0,0,ROW()-1,60),ROW()-1,FALSE))</f>
        <v>0.64224116200000003</v>
      </c>
      <c r="AL260">
        <f ca="1">IF(AND(ISNUMBER($AL$928),$B$677=1),$AL$928,HLOOKUP(INDIRECT(ADDRESS(2,COLUMN())),OFFSET($BN$2,0,0,ROW()-1,60),ROW()-1,FALSE))</f>
        <v>0.65349842400000002</v>
      </c>
      <c r="AM260">
        <f ca="1">IF(AND(ISNUMBER($AM$928),$B$677=1),$AM$928,HLOOKUP(INDIRECT(ADDRESS(2,COLUMN())),OFFSET($BN$2,0,0,ROW()-1,60),ROW()-1,FALSE))</f>
        <v>0.58635539199999998</v>
      </c>
      <c r="AN260">
        <f ca="1">IF(AND(ISNUMBER($AN$928),$B$677=1),$AN$928,HLOOKUP(INDIRECT(ADDRESS(2,COLUMN())),OFFSET($BN$2,0,0,ROW()-1,60),ROW()-1,FALSE))</f>
        <v>0.379696643</v>
      </c>
      <c r="AO260">
        <f ca="1">IF(AND(ISNUMBER($AO$928),$B$677=1),$AO$928,HLOOKUP(INDIRECT(ADDRESS(2,COLUMN())),OFFSET($BN$2,0,0,ROW()-1,60),ROW()-1,FALSE))</f>
        <v>0.32176950900000001</v>
      </c>
      <c r="AP260">
        <f ca="1">IF(AND(ISNUMBER($AP$928),$B$677=1),$AP$928,HLOOKUP(INDIRECT(ADDRESS(2,COLUMN())),OFFSET($BN$2,0,0,ROW()-1,60),ROW()-1,FALSE))</f>
        <v>0.35516428999999999</v>
      </c>
      <c r="AQ260">
        <f ca="1">IF(AND(ISNUMBER($AQ$928),$B$677=1),$AQ$928,HLOOKUP(INDIRECT(ADDRESS(2,COLUMN())),OFFSET($BN$2,0,0,ROW()-1,60),ROW()-1,FALSE))</f>
        <v>0.28846538500000002</v>
      </c>
      <c r="AR260">
        <f ca="1">IF(AND(ISNUMBER($AR$928),$B$677=1),$AR$928,HLOOKUP(INDIRECT(ADDRESS(2,COLUMN())),OFFSET($BN$2,0,0,ROW()-1,60),ROW()-1,FALSE))</f>
        <v>0.296740263</v>
      </c>
      <c r="AS260">
        <f ca="1">IF(AND(ISNUMBER($AS$928),$B$677=1),$AS$928,HLOOKUP(INDIRECT(ADDRESS(2,COLUMN())),OFFSET($BN$2,0,0,ROW()-1,60),ROW()-1,FALSE))</f>
        <v>0.220891542</v>
      </c>
      <c r="AT260">
        <f ca="1">IF(AND(ISNUMBER($AT$928),$B$677=1),$AT$928,HLOOKUP(INDIRECT(ADDRESS(2,COLUMN())),OFFSET($BN$2,0,0,ROW()-1,60),ROW()-1,FALSE))</f>
        <v>0.127750741</v>
      </c>
      <c r="AU260">
        <f ca="1">IF(AND(ISNUMBER($AU$928),$B$677=1),$AU$928,HLOOKUP(INDIRECT(ADDRESS(2,COLUMN())),OFFSET($BN$2,0,0,ROW()-1,60),ROW()-1,FALSE))</f>
        <v>0.12721073799999999</v>
      </c>
      <c r="AV260">
        <f ca="1">IF(AND(ISNUMBER($AV$928),$B$677=1),$AV$928,HLOOKUP(INDIRECT(ADDRESS(2,COLUMN())),OFFSET($BN$2,0,0,ROW()-1,60),ROW()-1,FALSE))</f>
        <v>0.16136669300000001</v>
      </c>
      <c r="AW260">
        <f ca="1">IF(AND(ISNUMBER($AW$928),$B$677=1),$AW$928,HLOOKUP(INDIRECT(ADDRESS(2,COLUMN())),OFFSET($BN$2,0,0,ROW()-1,60),ROW()-1,FALSE))</f>
        <v>0.20310724399999999</v>
      </c>
      <c r="AX260">
        <f ca="1">IF(AND(ISNUMBER($AX$928),$B$677=1),$AX$928,HLOOKUP(INDIRECT(ADDRESS(2,COLUMN())),OFFSET($BN$2,0,0,ROW()-1,60),ROW()-1,FALSE))</f>
        <v>0.31892821900000001</v>
      </c>
      <c r="AY260">
        <f ca="1">IF(AND(ISNUMBER($AY$928),$B$677=1),$AY$928,HLOOKUP(INDIRECT(ADDRESS(2,COLUMN())),OFFSET($BN$2,0,0,ROW()-1,60),ROW()-1,FALSE))</f>
        <v>0.481412375</v>
      </c>
      <c r="AZ260">
        <f ca="1">IF(AND(ISNUMBER($AZ$928),$B$677=1),$AZ$928,HLOOKUP(INDIRECT(ADDRESS(2,COLUMN())),OFFSET($BN$2,0,0,ROW()-1,60),ROW()-1,FALSE))</f>
        <v>0.65299099400000005</v>
      </c>
      <c r="BA260">
        <f ca="1">IF(AND(ISNUMBER($BA$928),$B$677=1),$BA$928,HLOOKUP(INDIRECT(ADDRESS(2,COLUMN())),OFFSET($BN$2,0,0,ROW()-1,60),ROW()-1,FALSE))</f>
        <v>0.62968694199999997</v>
      </c>
      <c r="BB260">
        <f ca="1">IF(AND(ISNUMBER($BB$928),$B$677=1),$BB$928,HLOOKUP(INDIRECT(ADDRESS(2,COLUMN())),OFFSET($BN$2,0,0,ROW()-1,60),ROW()-1,FALSE))</f>
        <v>0.67317067100000005</v>
      </c>
      <c r="BC260">
        <f ca="1">IF(AND(ISNUMBER($BC$928),$B$677=1),$BC$928,HLOOKUP(INDIRECT(ADDRESS(2,COLUMN())),OFFSET($BN$2,0,0,ROW()-1,60),ROW()-1,FALSE))</f>
        <v>0.57212699300000003</v>
      </c>
      <c r="BD260">
        <f ca="1">IF(AND(ISNUMBER($BD$928),$B$677=1),$BD$928,HLOOKUP(INDIRECT(ADDRESS(2,COLUMN())),OFFSET($BN$2,0,0,ROW()-1,60),ROW()-1,FALSE))</f>
        <v>0.45172307099999998</v>
      </c>
      <c r="BE260">
        <f ca="1">IF(AND(ISNUMBER($BE$928),$B$677=1),$BE$928,HLOOKUP(INDIRECT(ADDRESS(2,COLUMN())),OFFSET($BN$2,0,0,ROW()-1,60),ROW()-1,FALSE))</f>
        <v>0.42943140499999999</v>
      </c>
      <c r="BF260">
        <f ca="1">IF(AND(ISNUMBER($BF$928),$B$677=1),$BF$928,HLOOKUP(INDIRECT(ADDRESS(2,COLUMN())),OFFSET($BN$2,0,0,ROW()-1,60),ROW()-1,FALSE))</f>
        <v>0.40327289799999999</v>
      </c>
      <c r="BG260">
        <f ca="1">IF(AND(ISNUMBER($BG$928),$B$677=1),$BG$928,HLOOKUP(INDIRECT(ADDRESS(2,COLUMN())),OFFSET($BN$2,0,0,ROW()-1,60),ROW()-1,FALSE))</f>
        <v>0.30311581399999998</v>
      </c>
      <c r="BH260">
        <f ca="1">IF(AND(ISNUMBER($BH$928),$B$677=1),$BH$928,HLOOKUP(INDIRECT(ADDRESS(2,COLUMN())),OFFSET($BN$2,0,0,ROW()-1,60),ROW()-1,FALSE))</f>
        <v>0.37451186199999997</v>
      </c>
      <c r="BI260">
        <f ca="1">IF(AND(ISNUMBER($BI$928),$B$677=1),$BI$928,HLOOKUP(INDIRECT(ADDRESS(2,COLUMN())),OFFSET($BN$2,0,0,ROW()-1,60),ROW()-1,FALSE))</f>
        <v>0.33637726800000001</v>
      </c>
      <c r="BJ260">
        <f ca="1">IF(AND(ISNUMBER($BJ$928),$B$677=1),$BJ$928,HLOOKUP(INDIRECT(ADDRESS(2,COLUMN())),OFFSET($BN$2,0,0,ROW()-1,60),ROW()-1,FALSE))</f>
        <v>0.40516092599999998</v>
      </c>
      <c r="BK260">
        <f ca="1">IF(AND(ISNUMBER($BK$928),$B$677=1),$BK$928,HLOOKUP(INDIRECT(ADDRESS(2,COLUMN())),OFFSET($BN$2,0,0,ROW()-1,60),ROW()-1,FALSE))</f>
        <v>0.45654293200000001</v>
      </c>
      <c r="BL260">
        <f ca="1">IF(AND(ISNUMBER($BL$928),$B$677=1),$BL$928,HLOOKUP(INDIRECT(ADDRESS(2,COLUMN())),OFFSET($BN$2,0,0,ROW()-1,60),ROW()-1,FALSE))</f>
        <v>0.45102943699999998</v>
      </c>
      <c r="BM260">
        <f ca="1">IF(AND(ISNUMBER($BM$928),$B$677=1),$BM$928,HLOOKUP(INDIRECT(ADDRESS(2,COLUMN())),OFFSET($BN$2,0,0,ROW()-1,60),ROW()-1,FALSE))</f>
        <v>0.331632292</v>
      </c>
      <c r="BN260" t="str">
        <f>""</f>
        <v/>
      </c>
      <c r="BO260">
        <f>0.271824904</f>
        <v>0.27182490399999998</v>
      </c>
      <c r="BP260">
        <f>0.351107168</f>
        <v>0.35110716800000003</v>
      </c>
      <c r="BQ260">
        <f>0.315635763</f>
        <v>0.31563576300000001</v>
      </c>
      <c r="BR260">
        <f>0.377990367</f>
        <v>0.37799036699999999</v>
      </c>
      <c r="BS260">
        <f>0.274271183</f>
        <v>0.27427118299999997</v>
      </c>
      <c r="BT260">
        <f>0.237224851</f>
        <v>0.23722485099999999</v>
      </c>
      <c r="BU260">
        <f>0.271239973</f>
        <v>0.27123997300000002</v>
      </c>
      <c r="BV260">
        <f>0.224453212</f>
        <v>0.22445321200000001</v>
      </c>
      <c r="BW260">
        <f>0.198333536</f>
        <v>0.198333536</v>
      </c>
      <c r="BX260">
        <f>0.252231496</f>
        <v>0.252231496</v>
      </c>
      <c r="BY260">
        <f>0.148415078</f>
        <v>0.14841507800000001</v>
      </c>
      <c r="BZ260">
        <f>0.161990577</f>
        <v>0.161990577</v>
      </c>
      <c r="CA260">
        <f>0.188016642</f>
        <v>0.18801664200000001</v>
      </c>
      <c r="CB260">
        <f>0.198662677</f>
        <v>0.19866267700000001</v>
      </c>
      <c r="CC260">
        <f>0.238037005</f>
        <v>0.238037005</v>
      </c>
      <c r="CD260">
        <f>0.278237996</f>
        <v>0.27823799599999999</v>
      </c>
      <c r="CE260">
        <f>0.231003089</f>
        <v>0.23100308899999999</v>
      </c>
      <c r="CF260">
        <f>0.305114935</f>
        <v>0.30511493499999998</v>
      </c>
      <c r="CG260">
        <f>0.287302296</f>
        <v>0.28730229600000001</v>
      </c>
      <c r="CH260">
        <f>0.336256753</f>
        <v>0.33625675300000002</v>
      </c>
      <c r="CI260">
        <f>0.407020569</f>
        <v>0.407020569</v>
      </c>
      <c r="CJ260">
        <f>0.400494544</f>
        <v>0.40049454400000001</v>
      </c>
      <c r="CK260">
        <f>0.408636864</f>
        <v>0.40863686399999999</v>
      </c>
      <c r="CL260">
        <f>0.372378475</f>
        <v>0.37237847499999999</v>
      </c>
      <c r="CM260">
        <f>0.443586188</f>
        <v>0.44358618799999999</v>
      </c>
      <c r="CN260">
        <f>0.416413456</f>
        <v>0.41641345600000002</v>
      </c>
      <c r="CO260">
        <f>0.556218136</f>
        <v>0.55621813600000003</v>
      </c>
      <c r="CP260">
        <f>0.708289043</f>
        <v>0.70828904299999995</v>
      </c>
      <c r="CQ260">
        <f>0.584102509</f>
        <v>0.58410250900000005</v>
      </c>
      <c r="CR260">
        <f>0.504909663</f>
        <v>0.50490966299999995</v>
      </c>
      <c r="CS260">
        <f>0.642241162</f>
        <v>0.64224116200000003</v>
      </c>
      <c r="CT260">
        <f>0.653498424</f>
        <v>0.65349842400000002</v>
      </c>
      <c r="CU260">
        <f>0.586355392</f>
        <v>0.58635539199999998</v>
      </c>
      <c r="CV260">
        <f>0.379696643</f>
        <v>0.379696643</v>
      </c>
      <c r="CW260">
        <f>0.321769509</f>
        <v>0.32176950900000001</v>
      </c>
      <c r="CX260">
        <f>0.35516429</f>
        <v>0.35516428999999999</v>
      </c>
      <c r="CY260">
        <f>0.288465385</f>
        <v>0.28846538500000002</v>
      </c>
      <c r="CZ260">
        <f>0.296740263</f>
        <v>0.296740263</v>
      </c>
      <c r="DA260">
        <f>0.220891542</f>
        <v>0.220891542</v>
      </c>
      <c r="DB260">
        <f>0.127750741</f>
        <v>0.127750741</v>
      </c>
      <c r="DC260">
        <f>0.127210738</f>
        <v>0.12721073799999999</v>
      </c>
      <c r="DD260">
        <f>0.161366693</f>
        <v>0.16136669300000001</v>
      </c>
      <c r="DE260">
        <f>0.203107244</f>
        <v>0.20310724399999999</v>
      </c>
      <c r="DF260">
        <f>0.318928219</f>
        <v>0.31892821900000001</v>
      </c>
      <c r="DG260">
        <f>0.481412375</f>
        <v>0.481412375</v>
      </c>
      <c r="DH260">
        <f>0.652990994</f>
        <v>0.65299099400000005</v>
      </c>
      <c r="DI260">
        <f>0.629686942</f>
        <v>0.62968694199999997</v>
      </c>
      <c r="DJ260">
        <f>0.673170671</f>
        <v>0.67317067100000005</v>
      </c>
      <c r="DK260">
        <f>0.572126993</f>
        <v>0.57212699300000003</v>
      </c>
      <c r="DL260">
        <f>0.451723071</f>
        <v>0.45172307099999998</v>
      </c>
      <c r="DM260">
        <f>0.429431405</f>
        <v>0.42943140499999999</v>
      </c>
      <c r="DN260">
        <f>0.403272898</f>
        <v>0.40327289799999999</v>
      </c>
      <c r="DO260">
        <f>0.303115814</f>
        <v>0.30311581399999998</v>
      </c>
      <c r="DP260">
        <f>0.374511862</f>
        <v>0.37451186199999997</v>
      </c>
      <c r="DQ260">
        <f>0.336377268</f>
        <v>0.33637726800000001</v>
      </c>
      <c r="DR260">
        <f>0.405160926</f>
        <v>0.40516092599999998</v>
      </c>
      <c r="DS260">
        <f>0.456542932</f>
        <v>0.45654293200000001</v>
      </c>
      <c r="DT260">
        <f>0.451029437</f>
        <v>0.45102943699999998</v>
      </c>
      <c r="DU260">
        <f>0.331632292</f>
        <v>0.331632292</v>
      </c>
    </row>
    <row r="261" spans="1:125" x14ac:dyDescent="0.25">
      <c r="A261" t="str">
        <f>"    FAW CAR Co Ltd"</f>
        <v xml:space="preserve">    FAW CAR Co Ltd</v>
      </c>
      <c r="B261" t="str">
        <f>"000800 CH Equity"</f>
        <v>000800 CH Equity</v>
      </c>
      <c r="C261" t="str">
        <f t="shared" si="18"/>
        <v>RR904</v>
      </c>
      <c r="D261" t="str">
        <f t="shared" si="19"/>
        <v>PX_TO_SALES_RATIO</v>
      </c>
      <c r="E261" t="str">
        <f t="shared" si="20"/>
        <v>Dynamic</v>
      </c>
      <c r="F261">
        <f ca="1">IF(AND(ISNUMBER($F$929),$B$677=1),$F$929,HLOOKUP(INDIRECT(ADDRESS(2,COLUMN())),OFFSET($BN$2,0,0,ROW()-1,60),ROW()-1,FALSE))</f>
        <v>0.51190102500000001</v>
      </c>
      <c r="G261">
        <f ca="1">IF(AND(ISNUMBER($G$929),$B$677=1),$G$929,HLOOKUP(INDIRECT(ADDRESS(2,COLUMN())),OFFSET($BN$2,0,0,ROW()-1,60),ROW()-1,FALSE))</f>
        <v>0.42096705400000001</v>
      </c>
      <c r="H261">
        <f ca="1">IF(AND(ISNUMBER($H$929),$B$677=1),$H$929,HLOOKUP(INDIRECT(ADDRESS(2,COLUMN())),OFFSET($BN$2,0,0,ROW()-1,60),ROW()-1,FALSE))</f>
        <v>0.41905934900000003</v>
      </c>
      <c r="I261">
        <f ca="1">IF(AND(ISNUMBER($I$929),$B$677=1),$I$929,HLOOKUP(INDIRECT(ADDRESS(2,COLUMN())),OFFSET($BN$2,0,0,ROW()-1,60),ROW()-1,FALSE))</f>
        <v>0.46174129600000002</v>
      </c>
      <c r="J261">
        <f ca="1">IF(AND(ISNUMBER($J$929),$B$677=1),$J$929,HLOOKUP(INDIRECT(ADDRESS(2,COLUMN())),OFFSET($BN$2,0,0,ROW()-1,60),ROW()-1,FALSE))</f>
        <v>0.63054986700000004</v>
      </c>
      <c r="K261">
        <f ca="1">IF(AND(ISNUMBER($K$929),$B$677=1),$K$929,HLOOKUP(INDIRECT(ADDRESS(2,COLUMN())),OFFSET($BN$2,0,0,ROW()-1,60),ROW()-1,FALSE))</f>
        <v>0.66795806700000004</v>
      </c>
      <c r="L261">
        <f ca="1">IF(AND(ISNUMBER($L$929),$B$677=1),$L$929,HLOOKUP(INDIRECT(ADDRESS(2,COLUMN())),OFFSET($BN$2,0,0,ROW()-1,60),ROW()-1,FALSE))</f>
        <v>0.865833713</v>
      </c>
      <c r="M261">
        <f ca="1">IF(AND(ISNUMBER($M$929),$B$677=1),$M$929,HLOOKUP(INDIRECT(ADDRESS(2,COLUMN())),OFFSET($BN$2,0,0,ROW()-1,60),ROW()-1,FALSE))</f>
        <v>0.63777067899999995</v>
      </c>
      <c r="N261">
        <f ca="1">IF(AND(ISNUMBER($N$929),$B$677=1),$N$929,HLOOKUP(INDIRECT(ADDRESS(2,COLUMN())),OFFSET($BN$2,0,0,ROW()-1,60),ROW()-1,FALSE))</f>
        <v>0.79882572900000004</v>
      </c>
      <c r="O261">
        <f ca="1">IF(AND(ISNUMBER($O$929),$B$677=1),$O$929,HLOOKUP(INDIRECT(ADDRESS(2,COLUMN())),OFFSET($BN$2,0,0,ROW()-1,60),ROW()-1,FALSE))</f>
        <v>0.82753022499999995</v>
      </c>
      <c r="P261">
        <f ca="1">IF(AND(ISNUMBER($P$929),$B$677=1),$P$929,HLOOKUP(INDIRECT(ADDRESS(2,COLUMN())),OFFSET($BN$2,0,0,ROW()-1,60),ROW()-1,FALSE))</f>
        <v>0.80219976800000004</v>
      </c>
      <c r="Q261">
        <f ca="1">IF(AND(ISNUMBER($Q$929),$B$677=1),$Q$929,HLOOKUP(INDIRECT(ADDRESS(2,COLUMN())),OFFSET($BN$2,0,0,ROW()-1,60),ROW()-1,FALSE))</f>
        <v>0.87602221700000005</v>
      </c>
      <c r="R261">
        <f ca="1">IF(AND(ISNUMBER($R$929),$B$677=1),$R$929,HLOOKUP(INDIRECT(ADDRESS(2,COLUMN())),OFFSET($BN$2,0,0,ROW()-1,60),ROW()-1,FALSE))</f>
        <v>1.020734429</v>
      </c>
      <c r="S261">
        <f ca="1">IF(AND(ISNUMBER($S$929),$B$677=1),$S$929,HLOOKUP(INDIRECT(ADDRESS(2,COLUMN())),OFFSET($BN$2,0,0,ROW()-1,60),ROW()-1,FALSE))</f>
        <v>1.0549436130000001</v>
      </c>
      <c r="T261">
        <f ca="1">IF(AND(ISNUMBER($T$929),$B$677=1),$T$929,HLOOKUP(INDIRECT(ADDRESS(2,COLUMN())),OFFSET($BN$2,0,0,ROW()-1,60),ROW()-1,FALSE))</f>
        <v>0.86840477599999999</v>
      </c>
      <c r="U261">
        <f ca="1">IF(AND(ISNUMBER($U$929),$B$677=1),$U$929,HLOOKUP(INDIRECT(ADDRESS(2,COLUMN())),OFFSET($BN$2,0,0,ROW()-1,60),ROW()-1,FALSE))</f>
        <v>1.342541572</v>
      </c>
      <c r="V261">
        <f ca="1">IF(AND(ISNUMBER($V$929),$B$677=1),$V$929,HLOOKUP(INDIRECT(ADDRESS(2,COLUMN())),OFFSET($BN$2,0,0,ROW()-1,60),ROW()-1,FALSE))</f>
        <v>1.0149172609999999</v>
      </c>
      <c r="W261">
        <f ca="1">IF(AND(ISNUMBER($W$929),$B$677=1),$W$929,HLOOKUP(INDIRECT(ADDRESS(2,COLUMN())),OFFSET($BN$2,0,0,ROW()-1,60),ROW()-1,FALSE))</f>
        <v>0.76550234800000005</v>
      </c>
      <c r="X261">
        <f ca="1">IF(AND(ISNUMBER($X$929),$B$677=1),$X$929,HLOOKUP(INDIRECT(ADDRESS(2,COLUMN())),OFFSET($BN$2,0,0,ROW()-1,60),ROW()-1,FALSE))</f>
        <v>0.57641626099999999</v>
      </c>
      <c r="Y261">
        <f ca="1">IF(AND(ISNUMBER($Y$929),$B$677=1),$Y$929,HLOOKUP(INDIRECT(ADDRESS(2,COLUMN())),OFFSET($BN$2,0,0,ROW()-1,60),ROW()-1,FALSE))</f>
        <v>0.51190133400000004</v>
      </c>
      <c r="Z261">
        <f ca="1">IF(AND(ISNUMBER($Z$929),$B$677=1),$Z$929,HLOOKUP(INDIRECT(ADDRESS(2,COLUMN())),OFFSET($BN$2,0,0,ROW()-1,60),ROW()-1,FALSE))</f>
        <v>0.55391268800000004</v>
      </c>
      <c r="AA261">
        <f ca="1">IF(AND(ISNUMBER($AA$929),$B$677=1),$AA$929,HLOOKUP(INDIRECT(ADDRESS(2,COLUMN())),OFFSET($BN$2,0,0,ROW()-1,60),ROW()-1,FALSE))</f>
        <v>0.68574431899999999</v>
      </c>
      <c r="AB261">
        <f ca="1">IF(AND(ISNUMBER($AB$929),$B$677=1),$AB$929,HLOOKUP(INDIRECT(ADDRESS(2,COLUMN())),OFFSET($BN$2,0,0,ROW()-1,60),ROW()-1,FALSE))</f>
        <v>0.86321735499999996</v>
      </c>
      <c r="AC261">
        <f ca="1">IF(AND(ISNUMBER($AC$929),$B$677=1),$AC$929,HLOOKUP(INDIRECT(ADDRESS(2,COLUMN())),OFFSET($BN$2,0,0,ROW()-1,60),ROW()-1,FALSE))</f>
        <v>0.85916612299999995</v>
      </c>
      <c r="AD261">
        <f ca="1">IF(AND(ISNUMBER($AD$929),$B$677=1),$AD$929,HLOOKUP(INDIRECT(ADDRESS(2,COLUMN())),OFFSET($BN$2,0,0,ROW()-1,60),ROW()-1,FALSE))</f>
        <v>0.56776849500000004</v>
      </c>
      <c r="AE261">
        <f ca="1">IF(AND(ISNUMBER($AE$929),$B$677=1),$AE$929,HLOOKUP(INDIRECT(ADDRESS(2,COLUMN())),OFFSET($BN$2,0,0,ROW()-1,60),ROW()-1,FALSE))</f>
        <v>0.60598268300000002</v>
      </c>
      <c r="AF261">
        <f ca="1">IF(AND(ISNUMBER($AF$929),$B$677=1),$AF$929,HLOOKUP(INDIRECT(ADDRESS(2,COLUMN())),OFFSET($BN$2,0,0,ROW()-1,60),ROW()-1,FALSE))</f>
        <v>0.464558521</v>
      </c>
      <c r="AG261">
        <f ca="1">IF(AND(ISNUMBER($AG$929),$B$677=1),$AG$929,HLOOKUP(INDIRECT(ADDRESS(2,COLUMN())),OFFSET($BN$2,0,0,ROW()-1,60),ROW()-1,FALSE))</f>
        <v>0.712864787</v>
      </c>
      <c r="AH261">
        <f ca="1">IF(AND(ISNUMBER($AH$929),$B$677=1),$AH$929,HLOOKUP(INDIRECT(ADDRESS(2,COLUMN())),OFFSET($BN$2,0,0,ROW()-1,60),ROW()-1,FALSE))</f>
        <v>0.61182323500000002</v>
      </c>
      <c r="AI261">
        <f ca="1">IF(AND(ISNUMBER($AI$929),$B$677=1),$AI$929,HLOOKUP(INDIRECT(ADDRESS(2,COLUMN())),OFFSET($BN$2,0,0,ROW()-1,60),ROW()-1,FALSE))</f>
        <v>0.46326165400000002</v>
      </c>
      <c r="AJ261">
        <f ca="1">IF(AND(ISNUMBER($AJ$929),$B$677=1),$AJ$929,HLOOKUP(INDIRECT(ADDRESS(2,COLUMN())),OFFSET($BN$2,0,0,ROW()-1,60),ROW()-1,FALSE))</f>
        <v>0.53963596400000002</v>
      </c>
      <c r="AK261">
        <f ca="1">IF(AND(ISNUMBER($AK$929),$B$677=1),$AK$929,HLOOKUP(INDIRECT(ADDRESS(2,COLUMN())),OFFSET($BN$2,0,0,ROW()-1,60),ROW()-1,FALSE))</f>
        <v>0.62921090000000002</v>
      </c>
      <c r="AL261">
        <f ca="1">IF(AND(ISNUMBER($AL$929),$B$677=1),$AL$929,HLOOKUP(INDIRECT(ADDRESS(2,COLUMN())),OFFSET($BN$2,0,0,ROW()-1,60),ROW()-1,FALSE))</f>
        <v>0.74400544800000001</v>
      </c>
      <c r="AM261">
        <f ca="1">IF(AND(ISNUMBER($AM$929),$B$677=1),$AM$929,HLOOKUP(INDIRECT(ADDRESS(2,COLUMN())),OFFSET($BN$2,0,0,ROW()-1,60),ROW()-1,FALSE))</f>
        <v>0.73553082299999994</v>
      </c>
      <c r="AN261">
        <f ca="1">IF(AND(ISNUMBER($AN$929),$B$677=1),$AN$929,HLOOKUP(INDIRECT(ADDRESS(2,COLUMN())),OFFSET($BN$2,0,0,ROW()-1,60),ROW()-1,FALSE))</f>
        <v>0.89664973299999995</v>
      </c>
      <c r="AO261">
        <f ca="1">IF(AND(ISNUMBER($AO$929),$B$677=1),$AO$929,HLOOKUP(INDIRECT(ADDRESS(2,COLUMN())),OFFSET($BN$2,0,0,ROW()-1,60),ROW()-1,FALSE))</f>
        <v>0.76498325300000003</v>
      </c>
      <c r="AP261">
        <f ca="1">IF(AND(ISNUMBER($AP$929),$B$677=1),$AP$929,HLOOKUP(INDIRECT(ADDRESS(2,COLUMN())),OFFSET($BN$2,0,0,ROW()-1,60),ROW()-1,FALSE))</f>
        <v>1.2147729140000001</v>
      </c>
      <c r="AQ261">
        <f ca="1">IF(AND(ISNUMBER($AQ$929),$B$677=1),$AQ$929,HLOOKUP(INDIRECT(ADDRESS(2,COLUMN())),OFFSET($BN$2,0,0,ROW()-1,60),ROW()-1,FALSE))</f>
        <v>1.605902897</v>
      </c>
      <c r="AR261">
        <f ca="1">IF(AND(ISNUMBER($AR$929),$B$677=1),$AR$929,HLOOKUP(INDIRECT(ADDRESS(2,COLUMN())),OFFSET($BN$2,0,0,ROW()-1,60),ROW()-1,FALSE))</f>
        <v>1.235359645</v>
      </c>
      <c r="AS261">
        <f ca="1">IF(AND(ISNUMBER($AS$929),$B$677=1),$AS$929,HLOOKUP(INDIRECT(ADDRESS(2,COLUMN())),OFFSET($BN$2,0,0,ROW()-1,60),ROW()-1,FALSE))</f>
        <v>1.2301965189999999</v>
      </c>
      <c r="AT261">
        <f ca="1">IF(AND(ISNUMBER($AT$929),$B$677=1),$AT$929,HLOOKUP(INDIRECT(ADDRESS(2,COLUMN())),OFFSET($BN$2,0,0,ROW()-1,60),ROW()-1,FALSE))</f>
        <v>1.0288959010000001</v>
      </c>
      <c r="AU261">
        <f ca="1">IF(AND(ISNUMBER($AU$929),$B$677=1),$AU$929,HLOOKUP(INDIRECT(ADDRESS(2,COLUMN())),OFFSET($BN$2,0,0,ROW()-1,60),ROW()-1,FALSE))</f>
        <v>0.60674742299999995</v>
      </c>
      <c r="AV261">
        <f ca="1">IF(AND(ISNUMBER($AV$929),$B$677=1),$AV$929,HLOOKUP(INDIRECT(ADDRESS(2,COLUMN())),OFFSET($BN$2,0,0,ROW()-1,60),ROW()-1,FALSE))</f>
        <v>0.590712338</v>
      </c>
      <c r="AW261">
        <f ca="1">IF(AND(ISNUMBER($AW$929),$B$677=1),$AW$929,HLOOKUP(INDIRECT(ADDRESS(2,COLUMN())),OFFSET($BN$2,0,0,ROW()-1,60),ROW()-1,FALSE))</f>
        <v>0.75383704100000004</v>
      </c>
      <c r="AX261">
        <f ca="1">IF(AND(ISNUMBER($AX$929),$B$677=1),$AX$929,HLOOKUP(INDIRECT(ADDRESS(2,COLUMN())),OFFSET($BN$2,0,0,ROW()-1,60),ROW()-1,FALSE))</f>
        <v>1.460970976</v>
      </c>
      <c r="AY261">
        <f ca="1">IF(AND(ISNUMBER($AY$929),$B$677=1),$AY$929,HLOOKUP(INDIRECT(ADDRESS(2,COLUMN())),OFFSET($BN$2,0,0,ROW()-1,60),ROW()-1,FALSE))</f>
        <v>2.4261855840000002</v>
      </c>
      <c r="AZ261">
        <f ca="1">IF(AND(ISNUMBER($AZ$929),$B$677=1),$AZ$929,HLOOKUP(INDIRECT(ADDRESS(2,COLUMN())),OFFSET($BN$2,0,0,ROW()-1,60),ROW()-1,FALSE))</f>
        <v>2.8929002399999999</v>
      </c>
      <c r="BA261">
        <f ca="1">IF(AND(ISNUMBER($BA$929),$B$677=1),$BA$929,HLOOKUP(INDIRECT(ADDRESS(2,COLUMN())),OFFSET($BN$2,0,0,ROW()-1,60),ROW()-1,FALSE))</f>
        <v>1.8369466619999999</v>
      </c>
      <c r="BB261">
        <f ca="1">IF(AND(ISNUMBER($BB$929),$B$677=1),$BB$929,HLOOKUP(INDIRECT(ADDRESS(2,COLUMN())),OFFSET($BN$2,0,0,ROW()-1,60),ROW()-1,FALSE))</f>
        <v>1.546551652</v>
      </c>
      <c r="BC261">
        <f ca="1">IF(AND(ISNUMBER($BC$929),$B$677=1),$BC$929,HLOOKUP(INDIRECT(ADDRESS(2,COLUMN())),OFFSET($BN$2,0,0,ROW()-1,60),ROW()-1,FALSE))</f>
        <v>0.68944725200000001</v>
      </c>
      <c r="BD261">
        <f ca="1">IF(AND(ISNUMBER($BD$929),$B$677=1),$BD$929,HLOOKUP(INDIRECT(ADDRESS(2,COLUMN())),OFFSET($BN$2,0,0,ROW()-1,60),ROW()-1,FALSE))</f>
        <v>0.52373514799999998</v>
      </c>
      <c r="BE261">
        <f ca="1">IF(AND(ISNUMBER($BE$929),$B$677=1),$BE$929,HLOOKUP(INDIRECT(ADDRESS(2,COLUMN())),OFFSET($BN$2,0,0,ROW()-1,60),ROW()-1,FALSE))</f>
        <v>0.54180798600000002</v>
      </c>
      <c r="BF261">
        <f ca="1">IF(AND(ISNUMBER($BF$929),$B$677=1),$BF$929,HLOOKUP(INDIRECT(ADDRESS(2,COLUMN())),OFFSET($BN$2,0,0,ROW()-1,60),ROW()-1,FALSE))</f>
        <v>0.57357931699999998</v>
      </c>
      <c r="BG261">
        <f ca="1">IF(AND(ISNUMBER($BG$929),$B$677=1),$BG$929,HLOOKUP(INDIRECT(ADDRESS(2,COLUMN())),OFFSET($BN$2,0,0,ROW()-1,60),ROW()-1,FALSE))</f>
        <v>0.52479984499999999</v>
      </c>
      <c r="BH261">
        <f ca="1">IF(AND(ISNUMBER($BH$929),$B$677=1),$BH$929,HLOOKUP(INDIRECT(ADDRESS(2,COLUMN())),OFFSET($BN$2,0,0,ROW()-1,60),ROW()-1,FALSE))</f>
        <v>0.54365914599999998</v>
      </c>
      <c r="BI261">
        <f ca="1">IF(AND(ISNUMBER($BI$929),$B$677=1),$BI$929,HLOOKUP(INDIRECT(ADDRESS(2,COLUMN())),OFFSET($BN$2,0,0,ROW()-1,60),ROW()-1,FALSE))</f>
        <v>0.52195027699999996</v>
      </c>
      <c r="BJ261">
        <f ca="1">IF(AND(ISNUMBER($BJ$929),$B$677=1),$BJ$929,HLOOKUP(INDIRECT(ADDRESS(2,COLUMN())),OFFSET($BN$2,0,0,ROW()-1,60),ROW()-1,FALSE))</f>
        <v>0.69361510599999998</v>
      </c>
      <c r="BK261">
        <f ca="1">IF(AND(ISNUMBER($BK$929),$B$677=1),$BK$929,HLOOKUP(INDIRECT(ADDRESS(2,COLUMN())),OFFSET($BN$2,0,0,ROW()-1,60),ROW()-1,FALSE))</f>
        <v>0.65338590100000005</v>
      </c>
      <c r="BL261">
        <f ca="1">IF(AND(ISNUMBER($BL$929),$B$677=1),$BL$929,HLOOKUP(INDIRECT(ADDRESS(2,COLUMN())),OFFSET($BN$2,0,0,ROW()-1,60),ROW()-1,FALSE))</f>
        <v>0.94159571200000003</v>
      </c>
      <c r="BM261">
        <f ca="1">IF(AND(ISNUMBER($BM$929),$B$677=1),$BM$929,HLOOKUP(INDIRECT(ADDRESS(2,COLUMN())),OFFSET($BN$2,0,0,ROW()-1,60),ROW()-1,FALSE))</f>
        <v>0.89872253599999996</v>
      </c>
      <c r="BN261">
        <f>0.511901025</f>
        <v>0.51190102500000001</v>
      </c>
      <c r="BO261">
        <f>0.420967054</f>
        <v>0.42096705400000001</v>
      </c>
      <c r="BP261">
        <f>0.419059349</f>
        <v>0.41905934900000003</v>
      </c>
      <c r="BQ261">
        <f>0.461741296</f>
        <v>0.46174129600000002</v>
      </c>
      <c r="BR261">
        <f>0.630549867</f>
        <v>0.63054986700000004</v>
      </c>
      <c r="BS261">
        <f>0.667958067</f>
        <v>0.66795806700000004</v>
      </c>
      <c r="BT261">
        <f>0.865833713</f>
        <v>0.865833713</v>
      </c>
      <c r="BU261">
        <f>0.637770679</f>
        <v>0.63777067899999995</v>
      </c>
      <c r="BV261">
        <f>0.798825729</f>
        <v>0.79882572900000004</v>
      </c>
      <c r="BW261">
        <f>0.827530225</f>
        <v>0.82753022499999995</v>
      </c>
      <c r="BX261">
        <f>0.802199768</f>
        <v>0.80219976800000004</v>
      </c>
      <c r="BY261">
        <f>0.876022217</f>
        <v>0.87602221700000005</v>
      </c>
      <c r="BZ261">
        <f>1.020734429</f>
        <v>1.020734429</v>
      </c>
      <c r="CA261">
        <f>1.054943613</f>
        <v>1.0549436130000001</v>
      </c>
      <c r="CB261">
        <f>0.868404776</f>
        <v>0.86840477599999999</v>
      </c>
      <c r="CC261">
        <f>1.342541572</f>
        <v>1.342541572</v>
      </c>
      <c r="CD261">
        <f>1.014917261</f>
        <v>1.0149172609999999</v>
      </c>
      <c r="CE261">
        <f>0.765502348</f>
        <v>0.76550234800000005</v>
      </c>
      <c r="CF261">
        <f>0.576416261</f>
        <v>0.57641626099999999</v>
      </c>
      <c r="CG261">
        <f>0.511901334</f>
        <v>0.51190133400000004</v>
      </c>
      <c r="CH261">
        <f>0.553912688</f>
        <v>0.55391268800000004</v>
      </c>
      <c r="CI261">
        <f>0.685744319</f>
        <v>0.68574431899999999</v>
      </c>
      <c r="CJ261">
        <f>0.863217355</f>
        <v>0.86321735499999996</v>
      </c>
      <c r="CK261">
        <f>0.859166123</f>
        <v>0.85916612299999995</v>
      </c>
      <c r="CL261">
        <f>0.567768495</f>
        <v>0.56776849500000004</v>
      </c>
      <c r="CM261">
        <f>0.605982683</f>
        <v>0.60598268300000002</v>
      </c>
      <c r="CN261">
        <f>0.464558521</f>
        <v>0.464558521</v>
      </c>
      <c r="CO261">
        <f>0.712864787</f>
        <v>0.712864787</v>
      </c>
      <c r="CP261">
        <f>0.611823235</f>
        <v>0.61182323500000002</v>
      </c>
      <c r="CQ261">
        <f>0.463261654</f>
        <v>0.46326165400000002</v>
      </c>
      <c r="CR261">
        <f>0.539635964</f>
        <v>0.53963596400000002</v>
      </c>
      <c r="CS261">
        <f>0.6292109</f>
        <v>0.62921090000000002</v>
      </c>
      <c r="CT261">
        <f>0.744005448</f>
        <v>0.74400544800000001</v>
      </c>
      <c r="CU261">
        <f>0.735530823</f>
        <v>0.73553082299999994</v>
      </c>
      <c r="CV261">
        <f>0.896649733</f>
        <v>0.89664973299999995</v>
      </c>
      <c r="CW261">
        <f>0.764983253</f>
        <v>0.76498325300000003</v>
      </c>
      <c r="CX261">
        <f>1.214772914</f>
        <v>1.2147729140000001</v>
      </c>
      <c r="CY261">
        <f>1.605902897</f>
        <v>1.605902897</v>
      </c>
      <c r="CZ261">
        <f>1.235359645</f>
        <v>1.235359645</v>
      </c>
      <c r="DA261">
        <f>1.230196519</f>
        <v>1.2301965189999999</v>
      </c>
      <c r="DB261">
        <f>1.028895901</f>
        <v>1.0288959010000001</v>
      </c>
      <c r="DC261">
        <f>0.606747423</f>
        <v>0.60674742299999995</v>
      </c>
      <c r="DD261">
        <f>0.590712338</f>
        <v>0.590712338</v>
      </c>
      <c r="DE261">
        <f>0.753837041</f>
        <v>0.75383704100000004</v>
      </c>
      <c r="DF261">
        <f>1.460970976</f>
        <v>1.460970976</v>
      </c>
      <c r="DG261">
        <f>2.426185584</f>
        <v>2.4261855840000002</v>
      </c>
      <c r="DH261">
        <f>2.89290024</f>
        <v>2.8929002399999999</v>
      </c>
      <c r="DI261">
        <f>1.836946662</f>
        <v>1.8369466619999999</v>
      </c>
      <c r="DJ261">
        <f>1.546551652</f>
        <v>1.546551652</v>
      </c>
      <c r="DK261">
        <f>0.689447252</f>
        <v>0.68944725200000001</v>
      </c>
      <c r="DL261">
        <f>0.523735148</f>
        <v>0.52373514799999998</v>
      </c>
      <c r="DM261">
        <f>0.541807986</f>
        <v>0.54180798600000002</v>
      </c>
      <c r="DN261">
        <f>0.573579317</f>
        <v>0.57357931699999998</v>
      </c>
      <c r="DO261">
        <f>0.524799845</f>
        <v>0.52479984499999999</v>
      </c>
      <c r="DP261">
        <f>0.543659146</f>
        <v>0.54365914599999998</v>
      </c>
      <c r="DQ261">
        <f>0.521950277</f>
        <v>0.52195027699999996</v>
      </c>
      <c r="DR261">
        <f>0.693615106</f>
        <v>0.69361510599999998</v>
      </c>
      <c r="DS261">
        <f>0.653385901</f>
        <v>0.65338590100000005</v>
      </c>
      <c r="DT261">
        <f>0.941595712</f>
        <v>0.94159571200000003</v>
      </c>
      <c r="DU261">
        <f>0.898722536</f>
        <v>0.89872253599999996</v>
      </c>
    </row>
    <row r="262" spans="1:125" x14ac:dyDescent="0.25">
      <c r="A262" t="str">
        <f>"    Fiat Chrysler Automobiles NV"</f>
        <v xml:space="preserve">    Fiat Chrysler Automobiles NV</v>
      </c>
      <c r="B262" t="str">
        <f>"FCAU US Equity"</f>
        <v>FCAU US Equity</v>
      </c>
      <c r="C262" t="str">
        <f t="shared" si="18"/>
        <v>RR904</v>
      </c>
      <c r="D262" t="str">
        <f t="shared" si="19"/>
        <v>PX_TO_SALES_RATIO</v>
      </c>
      <c r="E262" t="str">
        <f t="shared" si="20"/>
        <v>Dynamic</v>
      </c>
      <c r="F262">
        <f ca="1">IF(AND(ISNUMBER($F$930),$B$677=1),$F$930,HLOOKUP(INDIRECT(ADDRESS(2,COLUMN())),OFFSET($BN$2,0,0,ROW()-1,60),ROW()-1,FALSE))</f>
        <v>0.184883777</v>
      </c>
      <c r="G262">
        <f ca="1">IF(AND(ISNUMBER($G$930),$B$677=1),$G$930,HLOOKUP(INDIRECT(ADDRESS(2,COLUMN())),OFFSET($BN$2,0,0,ROW()-1,60),ROW()-1,FALSE))</f>
        <v>0.177081614</v>
      </c>
      <c r="H262">
        <f ca="1">IF(AND(ISNUMBER($H$930),$B$677=1),$H$930,HLOOKUP(INDIRECT(ADDRESS(2,COLUMN())),OFFSET($BN$2,0,0,ROW()-1,60),ROW()-1,FALSE))</f>
        <v>0.217241553</v>
      </c>
      <c r="I262">
        <f ca="1">IF(AND(ISNUMBER($I$930),$B$677=1),$I$930,HLOOKUP(INDIRECT(ADDRESS(2,COLUMN())),OFFSET($BN$2,0,0,ROW()-1,60),ROW()-1,FALSE))</f>
        <v>0.23792630400000001</v>
      </c>
      <c r="J262">
        <f ca="1">IF(AND(ISNUMBER($J$930),$B$677=1),$J$930,HLOOKUP(INDIRECT(ADDRESS(2,COLUMN())),OFFSET($BN$2,0,0,ROW()-1,60),ROW()-1,FALSE))</f>
        <v>0.247498407</v>
      </c>
      <c r="K262">
        <f ca="1">IF(AND(ISNUMBER($K$930),$B$677=1),$K$930,HLOOKUP(INDIRECT(ADDRESS(2,COLUMN())),OFFSET($BN$2,0,0,ROW()-1,60),ROW()-1,FALSE))</f>
        <v>0.21807617500000001</v>
      </c>
      <c r="L262">
        <f ca="1">IF(AND(ISNUMBER($L$930),$B$677=1),$L$930,HLOOKUP(INDIRECT(ADDRESS(2,COLUMN())),OFFSET($BN$2,0,0,ROW()-1,60),ROW()-1,FALSE))</f>
        <v>0.209941819</v>
      </c>
      <c r="M262">
        <f ca="1">IF(AND(ISNUMBER($M$930),$B$677=1),$M$930,HLOOKUP(INDIRECT(ADDRESS(2,COLUMN())),OFFSET($BN$2,0,0,ROW()-1,60),ROW()-1,FALSE))</f>
        <v>0.126497212</v>
      </c>
      <c r="N262">
        <f ca="1">IF(AND(ISNUMBER($N$930),$B$677=1),$N$930,HLOOKUP(INDIRECT(ADDRESS(2,COLUMN())),OFFSET($BN$2,0,0,ROW()-1,60),ROW()-1,FALSE))</f>
        <v>0.138246221</v>
      </c>
      <c r="O262">
        <f ca="1">IF(AND(ISNUMBER($O$930),$B$677=1),$O$930,HLOOKUP(INDIRECT(ADDRESS(2,COLUMN())),OFFSET($BN$2,0,0,ROW()-1,60),ROW()-1,FALSE))</f>
        <v>0.117851447</v>
      </c>
      <c r="P262">
        <f ca="1">IF(AND(ISNUMBER($P$930),$B$677=1),$P$930,HLOOKUP(INDIRECT(ADDRESS(2,COLUMN())),OFFSET($BN$2,0,0,ROW()-1,60),ROW()-1,FALSE))</f>
        <v>7.7842733999999997E-2</v>
      </c>
      <c r="Q262">
        <f ca="1">IF(AND(ISNUMBER($Q$930),$B$677=1),$Q$930,HLOOKUP(INDIRECT(ADDRESS(2,COLUMN())),OFFSET($BN$2,0,0,ROW()-1,60),ROW()-1,FALSE))</f>
        <v>7.5487570000000004E-2</v>
      </c>
      <c r="R262">
        <f ca="1">IF(AND(ISNUMBER($R$930),$B$677=1),$R$930,HLOOKUP(INDIRECT(ADDRESS(2,COLUMN())),OFFSET($BN$2,0,0,ROW()-1,60),ROW()-1,FALSE))</f>
        <v>9.5627994999999993E-2</v>
      </c>
      <c r="S262">
        <f ca="1">IF(AND(ISNUMBER($S$930),$B$677=1),$S$930,HLOOKUP(INDIRECT(ADDRESS(2,COLUMN())),OFFSET($BN$2,0,0,ROW()-1,60),ROW()-1,FALSE))</f>
        <v>0.114897875</v>
      </c>
      <c r="T262">
        <f ca="1">IF(AND(ISNUMBER($T$930),$B$677=1),$T$930,HLOOKUP(INDIRECT(ADDRESS(2,COLUMN())),OFFSET($BN$2,0,0,ROW()-1,60),ROW()-1,FALSE))</f>
        <v>0.104821542</v>
      </c>
      <c r="U262">
        <f ca="1">IF(AND(ISNUMBER($U$930),$B$677=1),$U$930,HLOOKUP(INDIRECT(ADDRESS(2,COLUMN())),OFFSET($BN$2,0,0,ROW()-1,60),ROW()-1,FALSE))</f>
        <v>0.113127589</v>
      </c>
      <c r="V262">
        <f ca="1">IF(AND(ISNUMBER($V$930),$B$677=1),$V$930,HLOOKUP(INDIRECT(ADDRESS(2,COLUMN())),OFFSET($BN$2,0,0,ROW()-1,60),ROW()-1,FALSE))</f>
        <v>0.13150514499999999</v>
      </c>
      <c r="W262">
        <f ca="1">IF(AND(ISNUMBER($W$930),$B$677=1),$W$930,HLOOKUP(INDIRECT(ADDRESS(2,COLUMN())),OFFSET($BN$2,0,0,ROW()-1,60),ROW()-1,FALSE))</f>
        <v>8.1636516000000006E-2</v>
      </c>
      <c r="X262" t="str">
        <f ca="1">IF(AND(ISNUMBER($X$930),$B$677=1),$X$930,HLOOKUP(INDIRECT(ADDRESS(2,COLUMN())),OFFSET($BN$2,0,0,ROW()-1,60),ROW()-1,FALSE))</f>
        <v/>
      </c>
      <c r="Y262" t="str">
        <f ca="1">IF(AND(ISNUMBER($Y$930),$B$677=1),$Y$930,HLOOKUP(INDIRECT(ADDRESS(2,COLUMN())),OFFSET($BN$2,0,0,ROW()-1,60),ROW()-1,FALSE))</f>
        <v/>
      </c>
      <c r="Z262" t="str">
        <f ca="1">IF(AND(ISNUMBER($Z$930),$B$677=1),$Z$930,HLOOKUP(INDIRECT(ADDRESS(2,COLUMN())),OFFSET($BN$2,0,0,ROW()-1,60),ROW()-1,FALSE))</f>
        <v/>
      </c>
      <c r="AA262" t="str">
        <f ca="1">IF(AND(ISNUMBER($AA$930),$B$677=1),$AA$930,HLOOKUP(INDIRECT(ADDRESS(2,COLUMN())),OFFSET($BN$2,0,0,ROW()-1,60),ROW()-1,FALSE))</f>
        <v/>
      </c>
      <c r="AB262" t="str">
        <f ca="1">IF(AND(ISNUMBER($AB$930),$B$677=1),$AB$930,HLOOKUP(INDIRECT(ADDRESS(2,COLUMN())),OFFSET($BN$2,0,0,ROW()-1,60),ROW()-1,FALSE))</f>
        <v/>
      </c>
      <c r="AC262" t="str">
        <f ca="1">IF(AND(ISNUMBER($AC$930),$B$677=1),$AC$930,HLOOKUP(INDIRECT(ADDRESS(2,COLUMN())),OFFSET($BN$2,0,0,ROW()-1,60),ROW()-1,FALSE))</f>
        <v/>
      </c>
      <c r="AD262" t="str">
        <f ca="1">IF(AND(ISNUMBER($AD$930),$B$677=1),$AD$930,HLOOKUP(INDIRECT(ADDRESS(2,COLUMN())),OFFSET($BN$2,0,0,ROW()-1,60),ROW()-1,FALSE))</f>
        <v/>
      </c>
      <c r="AE262" t="str">
        <f ca="1">IF(AND(ISNUMBER($AE$930),$B$677=1),$AE$930,HLOOKUP(INDIRECT(ADDRESS(2,COLUMN())),OFFSET($BN$2,0,0,ROW()-1,60),ROW()-1,FALSE))</f>
        <v/>
      </c>
      <c r="AF262" t="str">
        <f ca="1">IF(AND(ISNUMBER($AF$930),$B$677=1),$AF$930,HLOOKUP(INDIRECT(ADDRESS(2,COLUMN())),OFFSET($BN$2,0,0,ROW()-1,60),ROW()-1,FALSE))</f>
        <v/>
      </c>
      <c r="AG262" t="str">
        <f ca="1">IF(AND(ISNUMBER($AG$930),$B$677=1),$AG$930,HLOOKUP(INDIRECT(ADDRESS(2,COLUMN())),OFFSET($BN$2,0,0,ROW()-1,60),ROW()-1,FALSE))</f>
        <v/>
      </c>
      <c r="AH262" t="str">
        <f ca="1">IF(AND(ISNUMBER($AH$930),$B$677=1),$AH$930,HLOOKUP(INDIRECT(ADDRESS(2,COLUMN())),OFFSET($BN$2,0,0,ROW()-1,60),ROW()-1,FALSE))</f>
        <v/>
      </c>
      <c r="AI262" t="str">
        <f ca="1">IF(AND(ISNUMBER($AI$930),$B$677=1),$AI$930,HLOOKUP(INDIRECT(ADDRESS(2,COLUMN())),OFFSET($BN$2,0,0,ROW()-1,60),ROW()-1,FALSE))</f>
        <v/>
      </c>
      <c r="AJ262" t="str">
        <f ca="1">IF(AND(ISNUMBER($AJ$930),$B$677=1),$AJ$930,HLOOKUP(INDIRECT(ADDRESS(2,COLUMN())),OFFSET($BN$2,0,0,ROW()-1,60),ROW()-1,FALSE))</f>
        <v/>
      </c>
      <c r="AK262" t="str">
        <f ca="1">IF(AND(ISNUMBER($AK$930),$B$677=1),$AK$930,HLOOKUP(INDIRECT(ADDRESS(2,COLUMN())),OFFSET($BN$2,0,0,ROW()-1,60),ROW()-1,FALSE))</f>
        <v/>
      </c>
      <c r="AL262" t="str">
        <f ca="1">IF(AND(ISNUMBER($AL$930),$B$677=1),$AL$930,HLOOKUP(INDIRECT(ADDRESS(2,COLUMN())),OFFSET($BN$2,0,0,ROW()-1,60),ROW()-1,FALSE))</f>
        <v/>
      </c>
      <c r="AM262" t="str">
        <f ca="1">IF(AND(ISNUMBER($AM$930),$B$677=1),$AM$930,HLOOKUP(INDIRECT(ADDRESS(2,COLUMN())),OFFSET($BN$2,0,0,ROW()-1,60),ROW()-1,FALSE))</f>
        <v/>
      </c>
      <c r="AN262" t="str">
        <f ca="1">IF(AND(ISNUMBER($AN$930),$B$677=1),$AN$930,HLOOKUP(INDIRECT(ADDRESS(2,COLUMN())),OFFSET($BN$2,0,0,ROW()-1,60),ROW()-1,FALSE))</f>
        <v/>
      </c>
      <c r="AO262" t="str">
        <f ca="1">IF(AND(ISNUMBER($AO$930),$B$677=1),$AO$930,HLOOKUP(INDIRECT(ADDRESS(2,COLUMN())),OFFSET($BN$2,0,0,ROW()-1,60),ROW()-1,FALSE))</f>
        <v/>
      </c>
      <c r="AP262" t="str">
        <f ca="1">IF(AND(ISNUMBER($AP$930),$B$677=1),$AP$930,HLOOKUP(INDIRECT(ADDRESS(2,COLUMN())),OFFSET($BN$2,0,0,ROW()-1,60),ROW()-1,FALSE))</f>
        <v/>
      </c>
      <c r="AQ262" t="str">
        <f ca="1">IF(AND(ISNUMBER($AQ$930),$B$677=1),$AQ$930,HLOOKUP(INDIRECT(ADDRESS(2,COLUMN())),OFFSET($BN$2,0,0,ROW()-1,60),ROW()-1,FALSE))</f>
        <v/>
      </c>
      <c r="AR262" t="str">
        <f ca="1">IF(AND(ISNUMBER($AR$930),$B$677=1),$AR$930,HLOOKUP(INDIRECT(ADDRESS(2,COLUMN())),OFFSET($BN$2,0,0,ROW()-1,60),ROW()-1,FALSE))</f>
        <v/>
      </c>
      <c r="AS262" t="str">
        <f ca="1">IF(AND(ISNUMBER($AS$930),$B$677=1),$AS$930,HLOOKUP(INDIRECT(ADDRESS(2,COLUMN())),OFFSET($BN$2,0,0,ROW()-1,60),ROW()-1,FALSE))</f>
        <v/>
      </c>
      <c r="AT262" t="str">
        <f ca="1">IF(AND(ISNUMBER($AT$930),$B$677=1),$AT$930,HLOOKUP(INDIRECT(ADDRESS(2,COLUMN())),OFFSET($BN$2,0,0,ROW()-1,60),ROW()-1,FALSE))</f>
        <v/>
      </c>
      <c r="AU262" t="str">
        <f ca="1">IF(AND(ISNUMBER($AU$930),$B$677=1),$AU$930,HLOOKUP(INDIRECT(ADDRESS(2,COLUMN())),OFFSET($BN$2,0,0,ROW()-1,60),ROW()-1,FALSE))</f>
        <v/>
      </c>
      <c r="AV262" t="str">
        <f ca="1">IF(AND(ISNUMBER($AV$930),$B$677=1),$AV$930,HLOOKUP(INDIRECT(ADDRESS(2,COLUMN())),OFFSET($BN$2,0,0,ROW()-1,60),ROW()-1,FALSE))</f>
        <v/>
      </c>
      <c r="AW262" t="str">
        <f ca="1">IF(AND(ISNUMBER($AW$930),$B$677=1),$AW$930,HLOOKUP(INDIRECT(ADDRESS(2,COLUMN())),OFFSET($BN$2,0,0,ROW()-1,60),ROW()-1,FALSE))</f>
        <v/>
      </c>
      <c r="AX262" t="str">
        <f ca="1">IF(AND(ISNUMBER($AX$930),$B$677=1),$AX$930,HLOOKUP(INDIRECT(ADDRESS(2,COLUMN())),OFFSET($BN$2,0,0,ROW()-1,60),ROW()-1,FALSE))</f>
        <v/>
      </c>
      <c r="AY262" t="str">
        <f ca="1">IF(AND(ISNUMBER($AY$930),$B$677=1),$AY$930,HLOOKUP(INDIRECT(ADDRESS(2,COLUMN())),OFFSET($BN$2,0,0,ROW()-1,60),ROW()-1,FALSE))</f>
        <v/>
      </c>
      <c r="AZ262" t="str">
        <f ca="1">IF(AND(ISNUMBER($AZ$930),$B$677=1),$AZ$930,HLOOKUP(INDIRECT(ADDRESS(2,COLUMN())),OFFSET($BN$2,0,0,ROW()-1,60),ROW()-1,FALSE))</f>
        <v/>
      </c>
      <c r="BA262" t="str">
        <f ca="1">IF(AND(ISNUMBER($BA$930),$B$677=1),$BA$930,HLOOKUP(INDIRECT(ADDRESS(2,COLUMN())),OFFSET($BN$2,0,0,ROW()-1,60),ROW()-1,FALSE))</f>
        <v/>
      </c>
      <c r="BB262" t="str">
        <f ca="1">IF(AND(ISNUMBER($BB$930),$B$677=1),$BB$930,HLOOKUP(INDIRECT(ADDRESS(2,COLUMN())),OFFSET($BN$2,0,0,ROW()-1,60),ROW()-1,FALSE))</f>
        <v/>
      </c>
      <c r="BC262" t="str">
        <f ca="1">IF(AND(ISNUMBER($BC$930),$B$677=1),$BC$930,HLOOKUP(INDIRECT(ADDRESS(2,COLUMN())),OFFSET($BN$2,0,0,ROW()-1,60),ROW()-1,FALSE))</f>
        <v/>
      </c>
      <c r="BD262" t="str">
        <f ca="1">IF(AND(ISNUMBER($BD$930),$B$677=1),$BD$930,HLOOKUP(INDIRECT(ADDRESS(2,COLUMN())),OFFSET($BN$2,0,0,ROW()-1,60),ROW()-1,FALSE))</f>
        <v/>
      </c>
      <c r="BE262" t="str">
        <f ca="1">IF(AND(ISNUMBER($BE$930),$B$677=1),$BE$930,HLOOKUP(INDIRECT(ADDRESS(2,COLUMN())),OFFSET($BN$2,0,0,ROW()-1,60),ROW()-1,FALSE))</f>
        <v/>
      </c>
      <c r="BF262" t="str">
        <f ca="1">IF(AND(ISNUMBER($BF$930),$B$677=1),$BF$930,HLOOKUP(INDIRECT(ADDRESS(2,COLUMN())),OFFSET($BN$2,0,0,ROW()-1,60),ROW()-1,FALSE))</f>
        <v/>
      </c>
      <c r="BG262" t="str">
        <f ca="1">IF(AND(ISNUMBER($BG$930),$B$677=1),$BG$930,HLOOKUP(INDIRECT(ADDRESS(2,COLUMN())),OFFSET($BN$2,0,0,ROW()-1,60),ROW()-1,FALSE))</f>
        <v/>
      </c>
      <c r="BH262" t="str">
        <f ca="1">IF(AND(ISNUMBER($BH$930),$B$677=1),$BH$930,HLOOKUP(INDIRECT(ADDRESS(2,COLUMN())),OFFSET($BN$2,0,0,ROW()-1,60),ROW()-1,FALSE))</f>
        <v/>
      </c>
      <c r="BI262" t="str">
        <f ca="1">IF(AND(ISNUMBER($BI$930),$B$677=1),$BI$930,HLOOKUP(INDIRECT(ADDRESS(2,COLUMN())),OFFSET($BN$2,0,0,ROW()-1,60),ROW()-1,FALSE))</f>
        <v/>
      </c>
      <c r="BJ262" t="str">
        <f ca="1">IF(AND(ISNUMBER($BJ$930),$B$677=1),$BJ$930,HLOOKUP(INDIRECT(ADDRESS(2,COLUMN())),OFFSET($BN$2,0,0,ROW()-1,60),ROW()-1,FALSE))</f>
        <v/>
      </c>
      <c r="BK262" t="str">
        <f ca="1">IF(AND(ISNUMBER($BK$930),$B$677=1),$BK$930,HLOOKUP(INDIRECT(ADDRESS(2,COLUMN())),OFFSET($BN$2,0,0,ROW()-1,60),ROW()-1,FALSE))</f>
        <v/>
      </c>
      <c r="BL262" t="str">
        <f ca="1">IF(AND(ISNUMBER($BL$930),$B$677=1),$BL$930,HLOOKUP(INDIRECT(ADDRESS(2,COLUMN())),OFFSET($BN$2,0,0,ROW()-1,60),ROW()-1,FALSE))</f>
        <v/>
      </c>
      <c r="BM262" t="str">
        <f ca="1">IF(AND(ISNUMBER($BM$930),$B$677=1),$BM$930,HLOOKUP(INDIRECT(ADDRESS(2,COLUMN())),OFFSET($BN$2,0,0,ROW()-1,60),ROW()-1,FALSE))</f>
        <v/>
      </c>
      <c r="BN262">
        <f>0.184883777</f>
        <v>0.184883777</v>
      </c>
      <c r="BO262">
        <f>0.177081614</f>
        <v>0.177081614</v>
      </c>
      <c r="BP262">
        <f>0.217241553</f>
        <v>0.217241553</v>
      </c>
      <c r="BQ262">
        <f>0.237926304</f>
        <v>0.23792630400000001</v>
      </c>
      <c r="BR262">
        <f>0.247498407</f>
        <v>0.247498407</v>
      </c>
      <c r="BS262">
        <f>0.218076175</f>
        <v>0.21807617500000001</v>
      </c>
      <c r="BT262">
        <f>0.209941819</f>
        <v>0.209941819</v>
      </c>
      <c r="BU262">
        <f>0.126497212</f>
        <v>0.126497212</v>
      </c>
      <c r="BV262">
        <f>0.138246221</f>
        <v>0.138246221</v>
      </c>
      <c r="BW262">
        <f>0.117851447</f>
        <v>0.117851447</v>
      </c>
      <c r="BX262">
        <f>0.077842734</f>
        <v>7.7842733999999997E-2</v>
      </c>
      <c r="BY262">
        <f>0.07548757</f>
        <v>7.5487570000000004E-2</v>
      </c>
      <c r="BZ262">
        <f>0.095627995</f>
        <v>9.5627994999999993E-2</v>
      </c>
      <c r="CA262">
        <f>0.114897875</f>
        <v>0.114897875</v>
      </c>
      <c r="CB262">
        <f>0.104821542</f>
        <v>0.104821542</v>
      </c>
      <c r="CC262">
        <f>0.113127589</f>
        <v>0.113127589</v>
      </c>
      <c r="CD262">
        <f>0.131505145</f>
        <v>0.13150514499999999</v>
      </c>
      <c r="CE262">
        <f>0.081636516</f>
        <v>8.1636516000000006E-2</v>
      </c>
      <c r="CF262" t="str">
        <f>""</f>
        <v/>
      </c>
      <c r="CG262" t="str">
        <f>""</f>
        <v/>
      </c>
      <c r="CH262" t="str">
        <f>""</f>
        <v/>
      </c>
      <c r="CI262" t="str">
        <f>""</f>
        <v/>
      </c>
      <c r="CJ262" t="str">
        <f>""</f>
        <v/>
      </c>
      <c r="CK262" t="str">
        <f>""</f>
        <v/>
      </c>
      <c r="CL262" t="str">
        <f>""</f>
        <v/>
      </c>
      <c r="CM262" t="str">
        <f>""</f>
        <v/>
      </c>
      <c r="CN262" t="str">
        <f>""</f>
        <v/>
      </c>
      <c r="CO262" t="str">
        <f>""</f>
        <v/>
      </c>
      <c r="CP262" t="str">
        <f>""</f>
        <v/>
      </c>
      <c r="CQ262" t="str">
        <f>""</f>
        <v/>
      </c>
      <c r="CR262" t="str">
        <f>""</f>
        <v/>
      </c>
      <c r="CS262" t="str">
        <f>""</f>
        <v/>
      </c>
      <c r="CT262" t="str">
        <f>""</f>
        <v/>
      </c>
      <c r="CU262" t="str">
        <f>""</f>
        <v/>
      </c>
      <c r="CV262" t="str">
        <f>""</f>
        <v/>
      </c>
      <c r="CW262" t="str">
        <f>""</f>
        <v/>
      </c>
      <c r="CX262" t="str">
        <f>""</f>
        <v/>
      </c>
      <c r="CY262" t="str">
        <f>""</f>
        <v/>
      </c>
      <c r="CZ262" t="str">
        <f>""</f>
        <v/>
      </c>
      <c r="DA262" t="str">
        <f>""</f>
        <v/>
      </c>
      <c r="DB262" t="str">
        <f>""</f>
        <v/>
      </c>
      <c r="DC262" t="str">
        <f>""</f>
        <v/>
      </c>
      <c r="DD262" t="str">
        <f>""</f>
        <v/>
      </c>
      <c r="DE262" t="str">
        <f>""</f>
        <v/>
      </c>
      <c r="DF262" t="str">
        <f>""</f>
        <v/>
      </c>
      <c r="DG262" t="str">
        <f>""</f>
        <v/>
      </c>
      <c r="DH262" t="str">
        <f>""</f>
        <v/>
      </c>
      <c r="DI262" t="str">
        <f>""</f>
        <v/>
      </c>
      <c r="DJ262" t="str">
        <f>""</f>
        <v/>
      </c>
      <c r="DK262" t="str">
        <f>""</f>
        <v/>
      </c>
      <c r="DL262" t="str">
        <f>""</f>
        <v/>
      </c>
      <c r="DM262" t="str">
        <f>""</f>
        <v/>
      </c>
      <c r="DN262" t="str">
        <f>""</f>
        <v/>
      </c>
      <c r="DO262" t="str">
        <f>""</f>
        <v/>
      </c>
      <c r="DP262" t="str">
        <f>""</f>
        <v/>
      </c>
      <c r="DQ262" t="str">
        <f>""</f>
        <v/>
      </c>
      <c r="DR262" t="str">
        <f>""</f>
        <v/>
      </c>
      <c r="DS262" t="str">
        <f>""</f>
        <v/>
      </c>
      <c r="DT262" t="str">
        <f>""</f>
        <v/>
      </c>
      <c r="DU262" t="str">
        <f>""</f>
        <v/>
      </c>
    </row>
    <row r="263" spans="1:125" x14ac:dyDescent="0.25">
      <c r="A263" t="str">
        <f>"    Ford Motor Co"</f>
        <v xml:space="preserve">    Ford Motor Co</v>
      </c>
      <c r="B263" t="str">
        <f>"F US Equity"</f>
        <v>F US Equity</v>
      </c>
      <c r="C263" t="str">
        <f t="shared" si="18"/>
        <v>RR904</v>
      </c>
      <c r="D263" t="str">
        <f t="shared" si="19"/>
        <v>PX_TO_SALES_RATIO</v>
      </c>
      <c r="E263" t="str">
        <f t="shared" si="20"/>
        <v>Dynamic</v>
      </c>
      <c r="F263">
        <f ca="1">IF(AND(ISNUMBER($F$931),$B$677=1),$F$931,HLOOKUP(INDIRECT(ADDRESS(2,COLUMN())),OFFSET($BN$2,0,0,ROW()-1,60),ROW()-1,FALSE))</f>
        <v>0.21587273300000001</v>
      </c>
      <c r="G263">
        <f ca="1">IF(AND(ISNUMBER($G$931),$B$677=1),$G$931,HLOOKUP(INDIRECT(ADDRESS(2,COLUMN())),OFFSET($BN$2,0,0,ROW()-1,60),ROW()-1,FALSE))</f>
        <v>0.189601195</v>
      </c>
      <c r="H263">
        <f ca="1">IF(AND(ISNUMBER($H$931),$B$677=1),$H$931,HLOOKUP(INDIRECT(ADDRESS(2,COLUMN())),OFFSET($BN$2,0,0,ROW()-1,60),ROW()-1,FALSE))</f>
        <v>0.23001671600000001</v>
      </c>
      <c r="I263">
        <f ca="1">IF(AND(ISNUMBER($I$931),$B$677=1),$I$931,HLOOKUP(INDIRECT(ADDRESS(2,COLUMN())),OFFSET($BN$2,0,0,ROW()-1,60),ROW()-1,FALSE))</f>
        <v>0.27731768699999998</v>
      </c>
      <c r="J263">
        <f ca="1">IF(AND(ISNUMBER($J$931),$B$677=1),$J$931,HLOOKUP(INDIRECT(ADDRESS(2,COLUMN())),OFFSET($BN$2,0,0,ROW()-1,60),ROW()-1,FALSE))</f>
        <v>0.27594646099999998</v>
      </c>
      <c r="K263">
        <f ca="1">IF(AND(ISNUMBER($K$931),$B$677=1),$K$931,HLOOKUP(INDIRECT(ADDRESS(2,COLUMN())),OFFSET($BN$2,0,0,ROW()-1,60),ROW()-1,FALSE))</f>
        <v>0.31668428999999998</v>
      </c>
      <c r="L263">
        <f ca="1">IF(AND(ISNUMBER($L$931),$B$677=1),$L$931,HLOOKUP(INDIRECT(ADDRESS(2,COLUMN())),OFFSET($BN$2,0,0,ROW()-1,60),ROW()-1,FALSE))</f>
        <v>0.308762119</v>
      </c>
      <c r="M263">
        <f ca="1">IF(AND(ISNUMBER($M$931),$B$677=1),$M$931,HLOOKUP(INDIRECT(ADDRESS(2,COLUMN())),OFFSET($BN$2,0,0,ROW()-1,60),ROW()-1,FALSE))</f>
        <v>0.28963180500000002</v>
      </c>
      <c r="N263">
        <f ca="1">IF(AND(ISNUMBER($N$931),$B$677=1),$N$931,HLOOKUP(INDIRECT(ADDRESS(2,COLUMN())),OFFSET($BN$2,0,0,ROW()-1,60),ROW()-1,FALSE))</f>
        <v>0.30192419500000001</v>
      </c>
      <c r="O263">
        <f ca="1">IF(AND(ISNUMBER($O$931),$B$677=1),$O$931,HLOOKUP(INDIRECT(ADDRESS(2,COLUMN())),OFFSET($BN$2,0,0,ROW()-1,60),ROW()-1,FALSE))</f>
        <v>0.31747356500000001</v>
      </c>
      <c r="P263">
        <f ca="1">IF(AND(ISNUMBER($P$931),$B$677=1),$P$931,HLOOKUP(INDIRECT(ADDRESS(2,COLUMN())),OFFSET($BN$2,0,0,ROW()-1,60),ROW()-1,FALSE))</f>
        <v>0.31255409899999997</v>
      </c>
      <c r="Q263">
        <f ca="1">IF(AND(ISNUMBER($Q$931),$B$677=1),$Q$931,HLOOKUP(INDIRECT(ADDRESS(2,COLUMN())),OFFSET($BN$2,0,0,ROW()-1,60),ROW()-1,FALSE))</f>
        <v>0.32080028900000002</v>
      </c>
      <c r="R263">
        <f ca="1">IF(AND(ISNUMBER($R$931),$B$677=1),$R$931,HLOOKUP(INDIRECT(ADDRESS(2,COLUMN())),OFFSET($BN$2,0,0,ROW()-1,60),ROW()-1,FALSE))</f>
        <v>0.34954513999999998</v>
      </c>
      <c r="S263">
        <f ca="1">IF(AND(ISNUMBER($S$931),$B$677=1),$S$931,HLOOKUP(INDIRECT(ADDRESS(2,COLUMN())),OFFSET($BN$2,0,0,ROW()-1,60),ROW()-1,FALSE))</f>
        <v>0.37413792600000001</v>
      </c>
      <c r="T263">
        <f ca="1">IF(AND(ISNUMBER($T$931),$B$677=1),$T$931,HLOOKUP(INDIRECT(ADDRESS(2,COLUMN())),OFFSET($BN$2,0,0,ROW()-1,60),ROW()-1,FALSE))</f>
        <v>0.36958770899999999</v>
      </c>
      <c r="U263">
        <f ca="1">IF(AND(ISNUMBER($U$931),$B$677=1),$U$931,HLOOKUP(INDIRECT(ADDRESS(2,COLUMN())),OFFSET($BN$2,0,0,ROW()-1,60),ROW()-1,FALSE))</f>
        <v>0.41520982699999998</v>
      </c>
      <c r="V263">
        <f ca="1">IF(AND(ISNUMBER($V$931),$B$677=1),$V$931,HLOOKUP(INDIRECT(ADDRESS(2,COLUMN())),OFFSET($BN$2,0,0,ROW()-1,60),ROW()-1,FALSE))</f>
        <v>0.44500965599999998</v>
      </c>
      <c r="W263">
        <f ca="1">IF(AND(ISNUMBER($W$931),$B$677=1),$W$931,HLOOKUP(INDIRECT(ADDRESS(2,COLUMN())),OFFSET($BN$2,0,0,ROW()-1,60),ROW()-1,FALSE))</f>
        <v>0.42094889899999999</v>
      </c>
      <c r="X263">
        <f ca="1">IF(AND(ISNUMBER($X$931),$B$677=1),$X$931,HLOOKUP(INDIRECT(ADDRESS(2,COLUMN())),OFFSET($BN$2,0,0,ROW()-1,60),ROW()-1,FALSE))</f>
        <v>0.39796236200000001</v>
      </c>
      <c r="Y263">
        <f ca="1">IF(AND(ISNUMBER($Y$931),$B$677=1),$Y$931,HLOOKUP(INDIRECT(ADDRESS(2,COLUMN())),OFFSET($BN$2,0,0,ROW()-1,60),ROW()-1,FALSE))</f>
        <v>0.463498523</v>
      </c>
      <c r="Z263">
        <f ca="1">IF(AND(ISNUMBER($Z$931),$B$677=1),$Z$931,HLOOKUP(INDIRECT(ADDRESS(2,COLUMN())),OFFSET($BN$2,0,0,ROW()-1,60),ROW()-1,FALSE))</f>
        <v>0.41775510399999999</v>
      </c>
      <c r="AA263">
        <f ca="1">IF(AND(ISNUMBER($AA$931),$B$677=1),$AA$931,HLOOKUP(INDIRECT(ADDRESS(2,COLUMN())),OFFSET($BN$2,0,0,ROW()-1,60),ROW()-1,FALSE))</f>
        <v>0.41325311100000001</v>
      </c>
      <c r="AB263">
        <f ca="1">IF(AND(ISNUMBER($AB$931),$B$677=1),$AB$931,HLOOKUP(INDIRECT(ADDRESS(2,COLUMN())),OFFSET($BN$2,0,0,ROW()-1,60),ROW()-1,FALSE))</f>
        <v>0.45421092800000001</v>
      </c>
      <c r="AC263">
        <f ca="1">IF(AND(ISNUMBER($AC$931),$B$677=1),$AC$931,HLOOKUP(INDIRECT(ADDRESS(2,COLUMN())),OFFSET($BN$2,0,0,ROW()-1,60),ROW()-1,FALSE))</f>
        <v>0.42382132700000003</v>
      </c>
      <c r="AD263">
        <f ca="1">IF(AND(ISNUMBER($AD$931),$B$677=1),$AD$931,HLOOKUP(INDIRECT(ADDRESS(2,COLUMN())),OFFSET($BN$2,0,0,ROW()-1,60),ROW()-1,FALSE))</f>
        <v>0.36975233200000002</v>
      </c>
      <c r="AE263">
        <f ca="1">IF(AND(ISNUMBER($AE$931),$B$677=1),$AE$931,HLOOKUP(INDIRECT(ADDRESS(2,COLUMN())),OFFSET($BN$2,0,0,ROW()-1,60),ROW()-1,FALSE))</f>
        <v>0.36990920599999999</v>
      </c>
      <c r="AF263">
        <f ca="1">IF(AND(ISNUMBER($AF$931),$B$677=1),$AF$931,HLOOKUP(INDIRECT(ADDRESS(2,COLUMN())),OFFSET($BN$2,0,0,ROW()-1,60),ROW()-1,FALSE))</f>
        <v>0.28360882799999998</v>
      </c>
      <c r="AG263">
        <f ca="1">IF(AND(ISNUMBER($AG$931),$B$677=1),$AG$931,HLOOKUP(INDIRECT(ADDRESS(2,COLUMN())),OFFSET($BN$2,0,0,ROW()-1,60),ROW()-1,FALSE))</f>
        <v>0.27378460199999999</v>
      </c>
      <c r="AH263">
        <f ca="1">IF(AND(ISNUMBER($AH$931),$B$677=1),$AH$931,HLOOKUP(INDIRECT(ADDRESS(2,COLUMN())),OFFSET($BN$2,0,0,ROW()-1,60),ROW()-1,FALSE))</f>
        <v>0.34969608299999999</v>
      </c>
      <c r="AI263">
        <f ca="1">IF(AND(ISNUMBER($AI$931),$B$677=1),$AI$931,HLOOKUP(INDIRECT(ADDRESS(2,COLUMN())),OFFSET($BN$2,0,0,ROW()-1,60),ROW()-1,FALSE))</f>
        <v>0.299524242</v>
      </c>
      <c r="AJ263">
        <f ca="1">IF(AND(ISNUMBER($AJ$931),$B$677=1),$AJ$931,HLOOKUP(INDIRECT(ADDRESS(2,COLUMN())),OFFSET($BN$2,0,0,ROW()-1,60),ROW()-1,FALSE))</f>
        <v>0.26930034800000002</v>
      </c>
      <c r="AK263">
        <f ca="1">IF(AND(ISNUMBER($AK$931),$B$677=1),$AK$931,HLOOKUP(INDIRECT(ADDRESS(2,COLUMN())),OFFSET($BN$2,0,0,ROW()-1,60),ROW()-1,FALSE))</f>
        <v>0.38427263900000003</v>
      </c>
      <c r="AL263">
        <f ca="1">IF(AND(ISNUMBER($AL$931),$B$677=1),$AL$931,HLOOKUP(INDIRECT(ADDRESS(2,COLUMN())),OFFSET($BN$2,0,0,ROW()-1,60),ROW()-1,FALSE))</f>
        <v>0.40499938400000002</v>
      </c>
      <c r="AM263">
        <f ca="1">IF(AND(ISNUMBER($AM$931),$B$677=1),$AM$931,HLOOKUP(INDIRECT(ADDRESS(2,COLUMN())),OFFSET($BN$2,0,0,ROW()-1,60),ROW()-1,FALSE))</f>
        <v>0.44875854700000001</v>
      </c>
      <c r="AN263">
        <f ca="1">IF(AND(ISNUMBER($AN$931),$B$677=1),$AN$931,HLOOKUP(INDIRECT(ADDRESS(2,COLUMN())),OFFSET($BN$2,0,0,ROW()-1,60),ROW()-1,FALSE))</f>
        <v>0.31846945799999998</v>
      </c>
      <c r="AO263">
        <f ca="1">IF(AND(ISNUMBER($AO$931),$B$677=1),$AO$931,HLOOKUP(INDIRECT(ADDRESS(2,COLUMN())),OFFSET($BN$2,0,0,ROW()-1,60),ROW()-1,FALSE))</f>
        <v>0.25814467899999999</v>
      </c>
      <c r="AP263">
        <f ca="1">IF(AND(ISNUMBER($AP$931),$B$677=1),$AP$931,HLOOKUP(INDIRECT(ADDRESS(2,COLUMN())),OFFSET($BN$2,0,0,ROW()-1,60),ROW()-1,FALSE))</f>
        <v>0.33341293900000002</v>
      </c>
      <c r="AQ263">
        <f ca="1">IF(AND(ISNUMBER($AQ$931),$B$677=1),$AQ$931,HLOOKUP(INDIRECT(ADDRESS(2,COLUMN())),OFFSET($BN$2,0,0,ROW()-1,60),ROW()-1,FALSE))</f>
        <v>0.25977040800000001</v>
      </c>
      <c r="AR263">
        <f ca="1">IF(AND(ISNUMBER($AR$931),$B$677=1),$AR$931,HLOOKUP(INDIRECT(ADDRESS(2,COLUMN())),OFFSET($BN$2,0,0,ROW()-1,60),ROW()-1,FALSE))</f>
        <v>0.177755317</v>
      </c>
      <c r="AS263">
        <f ca="1">IF(AND(ISNUMBER($AS$931),$B$677=1),$AS$931,HLOOKUP(INDIRECT(ADDRESS(2,COLUMN())),OFFSET($BN$2,0,0,ROW()-1,60),ROW()-1,FALSE))</f>
        <v>0.134284818</v>
      </c>
      <c r="AT263">
        <f ca="1">IF(AND(ISNUMBER($AT$931),$B$677=1),$AT$931,HLOOKUP(INDIRECT(ADDRESS(2,COLUMN())),OFFSET($BN$2,0,0,ROW()-1,60),ROW()-1,FALSE))</f>
        <v>4.8131073000000003E-2</v>
      </c>
      <c r="AU263">
        <f ca="1">IF(AND(ISNUMBER($AU$931),$B$677=1),$AU$931,HLOOKUP(INDIRECT(ADDRESS(2,COLUMN())),OFFSET($BN$2,0,0,ROW()-1,60),ROW()-1,FALSE))</f>
        <v>3.5640168999999999E-2</v>
      </c>
      <c r="AV263">
        <f ca="1">IF(AND(ISNUMBER($AV$931),$B$677=1),$AV$931,HLOOKUP(INDIRECT(ADDRESS(2,COLUMN())),OFFSET($BN$2,0,0,ROW()-1,60),ROW()-1,FALSE))</f>
        <v>7.1264128999999996E-2</v>
      </c>
      <c r="AW263">
        <f ca="1">IF(AND(ISNUMBER($AW$931),$B$677=1),$AW$931,HLOOKUP(INDIRECT(ADDRESS(2,COLUMN())),OFFSET($BN$2,0,0,ROW()-1,60),ROW()-1,FALSE))</f>
        <v>6.046783E-2</v>
      </c>
      <c r="AX263">
        <f ca="1">IF(AND(ISNUMBER($AX$931),$B$677=1),$AX$931,HLOOKUP(INDIRECT(ADDRESS(2,COLUMN())),OFFSET($BN$2,0,0,ROW()-1,60),ROW()-1,FALSE))</f>
        <v>6.7676756000000005E-2</v>
      </c>
      <c r="AY263">
        <f ca="1">IF(AND(ISNUMBER($AY$931),$B$677=1),$AY$931,HLOOKUP(INDIRECT(ADDRESS(2,COLUMN())),OFFSET($BN$2,0,0,ROW()-1,60),ROW()-1,FALSE))</f>
        <v>7.6946624000000005E-2</v>
      </c>
      <c r="AZ263">
        <f ca="1">IF(AND(ISNUMBER($AZ$931),$B$677=1),$AZ$931,HLOOKUP(INDIRECT(ADDRESS(2,COLUMN())),OFFSET($BN$2,0,0,ROW()-1,60),ROW()-1,FALSE))</f>
        <v>9.6555990999999994E-2</v>
      </c>
      <c r="BA263">
        <f ca="1">IF(AND(ISNUMBER($BA$931),$B$677=1),$BA$931,HLOOKUP(INDIRECT(ADDRESS(2,COLUMN())),OFFSET($BN$2,0,0,ROW()-1,60),ROW()-1,FALSE))</f>
        <v>0.108113774</v>
      </c>
      <c r="BB263">
        <f ca="1">IF(AND(ISNUMBER($BB$931),$B$677=1),$BB$931,HLOOKUP(INDIRECT(ADDRESS(2,COLUMN())),OFFSET($BN$2,0,0,ROW()-1,60),ROW()-1,FALSE))</f>
        <v>9.1617769000000002E-2</v>
      </c>
      <c r="BC263">
        <f ca="1">IF(AND(ISNUMBER($BC$931),$B$677=1),$BC$931,HLOOKUP(INDIRECT(ADDRESS(2,COLUMN())),OFFSET($BN$2,0,0,ROW()-1,60),ROW()-1,FALSE))</f>
        <v>8.8053096999999997E-2</v>
      </c>
      <c r="BD263">
        <f ca="1">IF(AND(ISNUMBER($BD$931),$B$677=1),$BD$931,HLOOKUP(INDIRECT(ADDRESS(2,COLUMN())),OFFSET($BN$2,0,0,ROW()-1,60),ROW()-1,FALSE))</f>
        <v>9.0913329000000001E-2</v>
      </c>
      <c r="BE263">
        <f ca="1">IF(AND(ISNUMBER($BE$931),$B$677=1),$BE$931,HLOOKUP(INDIRECT(ADDRESS(2,COLUMN())),OFFSET($BN$2,0,0,ROW()-1,60),ROW()-1,FALSE))</f>
        <v>7.6019429999999999E-2</v>
      </c>
      <c r="BF263">
        <f ca="1">IF(AND(ISNUMBER($BF$931),$B$677=1),$BF$931,HLOOKUP(INDIRECT(ADDRESS(2,COLUMN())),OFFSET($BN$2,0,0,ROW()-1,60),ROW()-1,FALSE))</f>
        <v>8.5545399999999994E-2</v>
      </c>
      <c r="BG263">
        <f ca="1">IF(AND(ISNUMBER($BG$931),$B$677=1),$BG$931,HLOOKUP(INDIRECT(ADDRESS(2,COLUMN())),OFFSET($BN$2,0,0,ROW()-1,60),ROW()-1,FALSE))</f>
        <v>8.0649896999999998E-2</v>
      </c>
      <c r="BH263">
        <f ca="1">IF(AND(ISNUMBER($BH$931),$B$677=1),$BH$931,HLOOKUP(INDIRECT(ADDRESS(2,COLUMN())),OFFSET($BN$2,0,0,ROW()-1,60),ROW()-1,FALSE))</f>
        <v>0.10351933300000001</v>
      </c>
      <c r="BI263">
        <f ca="1">IF(AND(ISNUMBER($BI$931),$B$677=1),$BI$931,HLOOKUP(INDIRECT(ADDRESS(2,COLUMN())),OFFSET($BN$2,0,0,ROW()-1,60),ROW()-1,FALSE))</f>
        <v>0.10801846599999999</v>
      </c>
      <c r="BJ263">
        <f ca="1">IF(AND(ISNUMBER($BJ$931),$B$677=1),$BJ$931,HLOOKUP(INDIRECT(ADDRESS(2,COLUMN())),OFFSET($BN$2,0,0,ROW()-1,60),ROW()-1,FALSE))</f>
        <v>0.12059494699999999</v>
      </c>
      <c r="BK263">
        <f ca="1">IF(AND(ISNUMBER($BK$931),$B$677=1),$BK$931,HLOOKUP(INDIRECT(ADDRESS(2,COLUMN())),OFFSET($BN$2,0,0,ROW()-1,60),ROW()-1,FALSE))</f>
        <v>0.156093541</v>
      </c>
      <c r="BL263">
        <f ca="1">IF(AND(ISNUMBER($BL$931),$B$677=1),$BL$931,HLOOKUP(INDIRECT(ADDRESS(2,COLUMN())),OFFSET($BN$2,0,0,ROW()-1,60),ROW()-1,FALSE))</f>
        <v>0.148767967</v>
      </c>
      <c r="BM263">
        <f ca="1">IF(AND(ISNUMBER($BM$931),$B$677=1),$BM$931,HLOOKUP(INDIRECT(ADDRESS(2,COLUMN())),OFFSET($BN$2,0,0,ROW()-1,60),ROW()-1,FALSE))</f>
        <v>0.168147872</v>
      </c>
      <c r="BN263">
        <f>0.215872733</f>
        <v>0.21587273300000001</v>
      </c>
      <c r="BO263">
        <f>0.189601195</f>
        <v>0.189601195</v>
      </c>
      <c r="BP263">
        <f>0.230016716</f>
        <v>0.23001671600000001</v>
      </c>
      <c r="BQ263">
        <f>0.277317687</f>
        <v>0.27731768699999998</v>
      </c>
      <c r="BR263">
        <f>0.275946461</f>
        <v>0.27594646099999998</v>
      </c>
      <c r="BS263">
        <f>0.31668429</f>
        <v>0.31668428999999998</v>
      </c>
      <c r="BT263">
        <f>0.308762119</f>
        <v>0.308762119</v>
      </c>
      <c r="BU263">
        <f>0.289631805</f>
        <v>0.28963180500000002</v>
      </c>
      <c r="BV263">
        <f>0.301924195</f>
        <v>0.30192419500000001</v>
      </c>
      <c r="BW263">
        <f>0.317473565</f>
        <v>0.31747356500000001</v>
      </c>
      <c r="BX263">
        <f>0.312554099</f>
        <v>0.31255409899999997</v>
      </c>
      <c r="BY263">
        <f>0.320800289</f>
        <v>0.32080028900000002</v>
      </c>
      <c r="BZ263">
        <f>0.34954514</f>
        <v>0.34954513999999998</v>
      </c>
      <c r="CA263">
        <f>0.374137926</f>
        <v>0.37413792600000001</v>
      </c>
      <c r="CB263">
        <f>0.369587709</f>
        <v>0.36958770899999999</v>
      </c>
      <c r="CC263">
        <f>0.415209827</f>
        <v>0.41520982699999998</v>
      </c>
      <c r="CD263">
        <f>0.445009656</f>
        <v>0.44500965599999998</v>
      </c>
      <c r="CE263">
        <f>0.420948899</f>
        <v>0.42094889899999999</v>
      </c>
      <c r="CF263">
        <f>0.397962362</f>
        <v>0.39796236200000001</v>
      </c>
      <c r="CG263">
        <f>0.463498523</f>
        <v>0.463498523</v>
      </c>
      <c r="CH263">
        <f>0.417755104</f>
        <v>0.41775510399999999</v>
      </c>
      <c r="CI263">
        <f>0.413253111</f>
        <v>0.41325311100000001</v>
      </c>
      <c r="CJ263">
        <f>0.454210928</f>
        <v>0.45421092800000001</v>
      </c>
      <c r="CK263">
        <f>0.423821327</f>
        <v>0.42382132700000003</v>
      </c>
      <c r="CL263">
        <f>0.369752332</f>
        <v>0.36975233200000002</v>
      </c>
      <c r="CM263">
        <f>0.369909206</f>
        <v>0.36990920599999999</v>
      </c>
      <c r="CN263">
        <f>0.283608828</f>
        <v>0.28360882799999998</v>
      </c>
      <c r="CO263">
        <f>0.273784602</f>
        <v>0.27378460199999999</v>
      </c>
      <c r="CP263">
        <f>0.349696083</f>
        <v>0.34969608299999999</v>
      </c>
      <c r="CQ263">
        <f>0.299524242</f>
        <v>0.299524242</v>
      </c>
      <c r="CR263">
        <f>0.269300348</f>
        <v>0.26930034800000002</v>
      </c>
      <c r="CS263">
        <f>0.384272639</f>
        <v>0.38427263900000003</v>
      </c>
      <c r="CT263">
        <f>0.404999384</f>
        <v>0.40499938400000002</v>
      </c>
      <c r="CU263">
        <f>0.448758547</f>
        <v>0.44875854700000001</v>
      </c>
      <c r="CV263">
        <f>0.318469458</f>
        <v>0.31846945799999998</v>
      </c>
      <c r="CW263">
        <f>0.258144679</f>
        <v>0.25814467899999999</v>
      </c>
      <c r="CX263">
        <f>0.333412939</f>
        <v>0.33341293900000002</v>
      </c>
      <c r="CY263">
        <f>0.259770408</f>
        <v>0.25977040800000001</v>
      </c>
      <c r="CZ263">
        <f>0.177755317</f>
        <v>0.177755317</v>
      </c>
      <c r="DA263">
        <f>0.134284818</f>
        <v>0.134284818</v>
      </c>
      <c r="DB263">
        <f>0.048131073</f>
        <v>4.8131073000000003E-2</v>
      </c>
      <c r="DC263">
        <f>0.035640169</f>
        <v>3.5640168999999999E-2</v>
      </c>
      <c r="DD263">
        <f>0.071264129</f>
        <v>7.1264128999999996E-2</v>
      </c>
      <c r="DE263">
        <f>0.06046783</f>
        <v>6.046783E-2</v>
      </c>
      <c r="DF263">
        <f>0.067676756</f>
        <v>6.7676756000000005E-2</v>
      </c>
      <c r="DG263">
        <f>0.076946624</f>
        <v>7.6946624000000005E-2</v>
      </c>
      <c r="DH263">
        <f>0.096555991</f>
        <v>9.6555990999999994E-2</v>
      </c>
      <c r="DI263">
        <f>0.108113774</f>
        <v>0.108113774</v>
      </c>
      <c r="DJ263">
        <f>0.091617769</f>
        <v>9.1617769000000002E-2</v>
      </c>
      <c r="DK263">
        <f>0.088053097</f>
        <v>8.8053096999999997E-2</v>
      </c>
      <c r="DL263">
        <f>0.090913329</f>
        <v>9.0913329000000001E-2</v>
      </c>
      <c r="DM263">
        <f>0.07601943</f>
        <v>7.6019429999999999E-2</v>
      </c>
      <c r="DN263">
        <f>0.0855454</f>
        <v>8.5545399999999994E-2</v>
      </c>
      <c r="DO263">
        <f>0.080649897</f>
        <v>8.0649896999999998E-2</v>
      </c>
      <c r="DP263">
        <f>0.103519333</f>
        <v>0.10351933300000001</v>
      </c>
      <c r="DQ263">
        <f>0.108018466</f>
        <v>0.10801846599999999</v>
      </c>
      <c r="DR263">
        <f>0.120594947</f>
        <v>0.12059494699999999</v>
      </c>
      <c r="DS263">
        <f>0.156093541</f>
        <v>0.156093541</v>
      </c>
      <c r="DT263">
        <f>0.148767967</f>
        <v>0.148767967</v>
      </c>
      <c r="DU263">
        <f>0.168147872</f>
        <v>0.168147872</v>
      </c>
    </row>
    <row r="264" spans="1:125" x14ac:dyDescent="0.25">
      <c r="A264" t="str">
        <f>"    Ford Otomotiv Sanayi AS"</f>
        <v xml:space="preserve">    Ford Otomotiv Sanayi AS</v>
      </c>
      <c r="B264" t="str">
        <f>"FROTOTRY EO Equity"</f>
        <v>FROTOTRY EO Equity</v>
      </c>
      <c r="C264" t="str">
        <f t="shared" si="18"/>
        <v>RR904</v>
      </c>
      <c r="D264" t="str">
        <f t="shared" si="19"/>
        <v>PX_TO_SALES_RATIO</v>
      </c>
      <c r="E264" t="str">
        <f t="shared" si="20"/>
        <v>Dynamic</v>
      </c>
      <c r="F264">
        <f ca="1">IF(AND(ISNUMBER($F$932),$B$677=1),$F$932,HLOOKUP(INDIRECT(ADDRESS(2,COLUMN())),OFFSET($BN$2,0,0,ROW()-1,60),ROW()-1,FALSE))</f>
        <v>0.58130087799999997</v>
      </c>
      <c r="G264">
        <f ca="1">IF(AND(ISNUMBER($G$932),$B$677=1),$G$932,HLOOKUP(INDIRECT(ADDRESS(2,COLUMN())),OFFSET($BN$2,0,0,ROW()-1,60),ROW()-1,FALSE))</f>
        <v>0.52701802200000003</v>
      </c>
      <c r="H264">
        <f ca="1">IF(AND(ISNUMBER($H$932),$B$677=1),$H$932,HLOOKUP(INDIRECT(ADDRESS(2,COLUMN())),OFFSET($BN$2,0,0,ROW()-1,60),ROW()-1,FALSE))</f>
        <v>0.73423728600000004</v>
      </c>
      <c r="I264">
        <f ca="1">IF(AND(ISNUMBER($I$932),$B$677=1),$I$932,HLOOKUP(INDIRECT(ADDRESS(2,COLUMN())),OFFSET($BN$2,0,0,ROW()-1,60),ROW()-1,FALSE))</f>
        <v>0.73765485799999997</v>
      </c>
      <c r="J264">
        <f ca="1">IF(AND(ISNUMBER($J$932),$B$677=1),$J$932,HLOOKUP(INDIRECT(ADDRESS(2,COLUMN())),OFFSET($BN$2,0,0,ROW()-1,60),ROW()-1,FALSE))</f>
        <v>0.80289972700000001</v>
      </c>
      <c r="K264">
        <f ca="1">IF(AND(ISNUMBER($K$932),$B$677=1),$K$932,HLOOKUP(INDIRECT(ADDRESS(2,COLUMN())),OFFSET($BN$2,0,0,ROW()-1,60),ROW()-1,FALSE))</f>
        <v>0.83430352100000005</v>
      </c>
      <c r="L264">
        <f ca="1">IF(AND(ISNUMBER($L$932),$B$677=1),$L$932,HLOOKUP(INDIRECT(ADDRESS(2,COLUMN())),OFFSET($BN$2,0,0,ROW()-1,60),ROW()-1,FALSE))</f>
        <v>0.70220262</v>
      </c>
      <c r="M264">
        <f ca="1">IF(AND(ISNUMBER($M$932),$B$677=1),$M$932,HLOOKUP(INDIRECT(ADDRESS(2,COLUMN())),OFFSET($BN$2,0,0,ROW()-1,60),ROW()-1,FALSE))</f>
        <v>0.71304417899999994</v>
      </c>
      <c r="N264">
        <f ca="1">IF(AND(ISNUMBER($N$932),$B$677=1),$N$932,HLOOKUP(INDIRECT(ADDRESS(2,COLUMN())),OFFSET($BN$2,0,0,ROW()-1,60),ROW()-1,FALSE))</f>
        <v>0.64068270299999996</v>
      </c>
      <c r="O264">
        <f ca="1">IF(AND(ISNUMBER($O$932),$B$677=1),$O$932,HLOOKUP(INDIRECT(ADDRESS(2,COLUMN())),OFFSET($BN$2,0,0,ROW()-1,60),ROW()-1,FALSE))</f>
        <v>0.58673325499999995</v>
      </c>
      <c r="P264">
        <f ca="1">IF(AND(ISNUMBER($P$932),$B$677=1),$P$932,HLOOKUP(INDIRECT(ADDRESS(2,COLUMN())),OFFSET($BN$2,0,0,ROW()-1,60),ROW()-1,FALSE))</f>
        <v>0.62925242599999998</v>
      </c>
      <c r="Q264">
        <f ca="1">IF(AND(ISNUMBER($Q$932),$B$677=1),$Q$932,HLOOKUP(INDIRECT(ADDRESS(2,COLUMN())),OFFSET($BN$2,0,0,ROW()-1,60),ROW()-1,FALSE))</f>
        <v>0.59586470400000002</v>
      </c>
      <c r="R264">
        <f ca="1">IF(AND(ISNUMBER($R$932),$B$677=1),$R$932,HLOOKUP(INDIRECT(ADDRESS(2,COLUMN())),OFFSET($BN$2,0,0,ROW()-1,60),ROW()-1,FALSE))</f>
        <v>0.75037062200000004</v>
      </c>
      <c r="S264">
        <f ca="1">IF(AND(ISNUMBER($S$932),$B$677=1),$S$932,HLOOKUP(INDIRECT(ADDRESS(2,COLUMN())),OFFSET($BN$2,0,0,ROW()-1,60),ROW()-1,FALSE))</f>
        <v>0.63449797699999999</v>
      </c>
      <c r="T264">
        <f ca="1">IF(AND(ISNUMBER($T$932),$B$677=1),$T$932,HLOOKUP(INDIRECT(ADDRESS(2,COLUMN())),OFFSET($BN$2,0,0,ROW()-1,60),ROW()-1,FALSE))</f>
        <v>0.72879181699999995</v>
      </c>
      <c r="U264">
        <f ca="1">IF(AND(ISNUMBER($U$932),$B$677=1),$U$932,HLOOKUP(INDIRECT(ADDRESS(2,COLUMN())),OFFSET($BN$2,0,0,ROW()-1,60),ROW()-1,FALSE))</f>
        <v>0.88365482299999998</v>
      </c>
      <c r="V264">
        <f ca="1">IF(AND(ISNUMBER($V$932),$B$677=1),$V$932,HLOOKUP(INDIRECT(ADDRESS(2,COLUMN())),OFFSET($BN$2,0,0,ROW()-1,60),ROW()-1,FALSE))</f>
        <v>0.87580391899999999</v>
      </c>
      <c r="W264">
        <f ca="1">IF(AND(ISNUMBER($W$932),$B$677=1),$W$932,HLOOKUP(INDIRECT(ADDRESS(2,COLUMN())),OFFSET($BN$2,0,0,ROW()-1,60),ROW()-1,FALSE))</f>
        <v>0.95784291700000002</v>
      </c>
      <c r="X264">
        <f ca="1">IF(AND(ISNUMBER($X$932),$B$677=1),$X$932,HLOOKUP(INDIRECT(ADDRESS(2,COLUMN())),OFFSET($BN$2,0,0,ROW()-1,60),ROW()-1,FALSE))</f>
        <v>0.80278600700000002</v>
      </c>
      <c r="Y264">
        <f ca="1">IF(AND(ISNUMBER($Y$932),$B$677=1),$Y$932,HLOOKUP(INDIRECT(ADDRESS(2,COLUMN())),OFFSET($BN$2,0,0,ROW()-1,60),ROW()-1,FALSE))</f>
        <v>0.83186358999999999</v>
      </c>
      <c r="Z264">
        <f ca="1">IF(AND(ISNUMBER($Z$932),$B$677=1),$Z$932,HLOOKUP(INDIRECT(ADDRESS(2,COLUMN())),OFFSET($BN$2,0,0,ROW()-1,60),ROW()-1,FALSE))</f>
        <v>0.70472186999999997</v>
      </c>
      <c r="AA264">
        <f ca="1">IF(AND(ISNUMBER($AA$932),$B$677=1),$AA$932,HLOOKUP(INDIRECT(ADDRESS(2,COLUMN())),OFFSET($BN$2,0,0,ROW()-1,60),ROW()-1,FALSE))</f>
        <v>0.69844083999999995</v>
      </c>
      <c r="AB264">
        <f ca="1">IF(AND(ISNUMBER($AB$932),$B$677=1),$AB$932,HLOOKUP(INDIRECT(ADDRESS(2,COLUMN())),OFFSET($BN$2,0,0,ROW()-1,60),ROW()-1,FALSE))</f>
        <v>0.89523024600000001</v>
      </c>
      <c r="AC264">
        <f ca="1">IF(AND(ISNUMBER($AC$932),$B$677=1),$AC$932,HLOOKUP(INDIRECT(ADDRESS(2,COLUMN())),OFFSET($BN$2,0,0,ROW()-1,60),ROW()-1,FALSE))</f>
        <v>0.90753576499999999</v>
      </c>
      <c r="AD264">
        <f ca="1">IF(AND(ISNUMBER($AD$932),$B$677=1),$AD$932,HLOOKUP(INDIRECT(ADDRESS(2,COLUMN())),OFFSET($BN$2,0,0,ROW()-1,60),ROW()-1,FALSE))</f>
        <v>0.92947592499999998</v>
      </c>
      <c r="AE264">
        <f ca="1">IF(AND(ISNUMBER($AE$932),$B$677=1),$AE$932,HLOOKUP(INDIRECT(ADDRESS(2,COLUMN())),OFFSET($BN$2,0,0,ROW()-1,60),ROW()-1,FALSE))</f>
        <v>0.768788107</v>
      </c>
      <c r="AF264">
        <f ca="1">IF(AND(ISNUMBER($AF$932),$B$677=1),$AF$932,HLOOKUP(INDIRECT(ADDRESS(2,COLUMN())),OFFSET($BN$2,0,0,ROW()-1,60),ROW()-1,FALSE))</f>
        <v>0.65149654099999998</v>
      </c>
      <c r="AG264">
        <f ca="1">IF(AND(ISNUMBER($AG$932),$B$677=1),$AG$932,HLOOKUP(INDIRECT(ADDRESS(2,COLUMN())),OFFSET($BN$2,0,0,ROW()-1,60),ROW()-1,FALSE))</f>
        <v>0.55255491000000001</v>
      </c>
      <c r="AH264">
        <f ca="1">IF(AND(ISNUMBER($AH$932),$B$677=1),$AH$932,HLOOKUP(INDIRECT(ADDRESS(2,COLUMN())),OFFSET($BN$2,0,0,ROW()-1,60),ROW()-1,FALSE))</f>
        <v>0.55486738599999996</v>
      </c>
      <c r="AI264">
        <f ca="1">IF(AND(ISNUMBER($AI$932),$B$677=1),$AI$932,HLOOKUP(INDIRECT(ADDRESS(2,COLUMN())),OFFSET($BN$2,0,0,ROW()-1,60),ROW()-1,FALSE))</f>
        <v>0.51401734399999999</v>
      </c>
      <c r="AJ264">
        <f ca="1">IF(AND(ISNUMBER($AJ$932),$B$677=1),$AJ$932,HLOOKUP(INDIRECT(ADDRESS(2,COLUMN())),OFFSET($BN$2,0,0,ROW()-1,60),ROW()-1,FALSE))</f>
        <v>0.457472824</v>
      </c>
      <c r="AK264">
        <f ca="1">IF(AND(ISNUMBER($AK$932),$B$677=1),$AK$932,HLOOKUP(INDIRECT(ADDRESS(2,COLUMN())),OFFSET($BN$2,0,0,ROW()-1,60),ROW()-1,FALSE))</f>
        <v>0.52267393399999995</v>
      </c>
      <c r="AL264">
        <f ca="1">IF(AND(ISNUMBER($AL$932),$B$677=1),$AL$932,HLOOKUP(INDIRECT(ADDRESS(2,COLUMN())),OFFSET($BN$2,0,0,ROW()-1,60),ROW()-1,FALSE))</f>
        <v>0.61003293800000002</v>
      </c>
      <c r="AM264">
        <f ca="1">IF(AND(ISNUMBER($AM$932),$B$677=1),$AM$932,HLOOKUP(INDIRECT(ADDRESS(2,COLUMN())),OFFSET($BN$2,0,0,ROW()-1,60),ROW()-1,FALSE))</f>
        <v>0.59865721999999999</v>
      </c>
      <c r="AN264">
        <f ca="1">IF(AND(ISNUMBER($AN$932),$B$677=1),$AN$932,HLOOKUP(INDIRECT(ADDRESS(2,COLUMN())),OFFSET($BN$2,0,0,ROW()-1,60),ROW()-1,FALSE))</f>
        <v>0.640317099</v>
      </c>
      <c r="AO264">
        <f ca="1">IF(AND(ISNUMBER($AO$932),$B$677=1),$AO$932,HLOOKUP(INDIRECT(ADDRESS(2,COLUMN())),OFFSET($BN$2,0,0,ROW()-1,60),ROW()-1,FALSE))</f>
        <v>0.54754860900000002</v>
      </c>
      <c r="AP264">
        <f ca="1">IF(AND(ISNUMBER($AP$932),$B$677=1),$AP$932,HLOOKUP(INDIRECT(ADDRESS(2,COLUMN())),OFFSET($BN$2,0,0,ROW()-1,60),ROW()-1,FALSE))</f>
        <v>0.62968049199999998</v>
      </c>
      <c r="AQ264">
        <f ca="1">IF(AND(ISNUMBER($AQ$932),$B$677=1),$AQ$932,HLOOKUP(INDIRECT(ADDRESS(2,COLUMN())),OFFSET($BN$2,0,0,ROW()-1,60),ROW()-1,FALSE))</f>
        <v>0.56970447199999996</v>
      </c>
      <c r="AR264">
        <f ca="1">IF(AND(ISNUMBER($AR$932),$B$677=1),$AR$932,HLOOKUP(INDIRECT(ADDRESS(2,COLUMN())),OFFSET($BN$2,0,0,ROW()-1,60),ROW()-1,FALSE))</f>
        <v>0.66319496700000002</v>
      </c>
      <c r="AS264">
        <f ca="1">IF(AND(ISNUMBER($AS$932),$B$677=1),$AS$932,HLOOKUP(INDIRECT(ADDRESS(2,COLUMN())),OFFSET($BN$2,0,0,ROW()-1,60),ROW()-1,FALSE))</f>
        <v>0.41358283600000001</v>
      </c>
      <c r="AT264">
        <f ca="1">IF(AND(ISNUMBER($AT$932),$B$677=1),$AT$932,HLOOKUP(INDIRECT(ADDRESS(2,COLUMN())),OFFSET($BN$2,0,0,ROW()-1,60),ROW()-1,FALSE))</f>
        <v>0.273703898</v>
      </c>
      <c r="AU264">
        <f ca="1">IF(AND(ISNUMBER($AU$932),$B$677=1),$AU$932,HLOOKUP(INDIRECT(ADDRESS(2,COLUMN())),OFFSET($BN$2,0,0,ROW()-1,60),ROW()-1,FALSE))</f>
        <v>0.21835257299999999</v>
      </c>
      <c r="AV264">
        <f ca="1">IF(AND(ISNUMBER($AV$932),$B$677=1),$AV$932,HLOOKUP(INDIRECT(ADDRESS(2,COLUMN())),OFFSET($BN$2,0,0,ROW()-1,60),ROW()-1,FALSE))</f>
        <v>0.30138802399999998</v>
      </c>
      <c r="AW264">
        <f ca="1">IF(AND(ISNUMBER($AW$932),$B$677=1),$AW$932,HLOOKUP(INDIRECT(ADDRESS(2,COLUMN())),OFFSET($BN$2,0,0,ROW()-1,60),ROW()-1,FALSE))</f>
        <v>0.38073539699999998</v>
      </c>
      <c r="AX264">
        <f ca="1">IF(AND(ISNUMBER($AX$932),$B$677=1),$AX$932,HLOOKUP(INDIRECT(ADDRESS(2,COLUMN())),OFFSET($BN$2,0,0,ROW()-1,60),ROW()-1,FALSE))</f>
        <v>0.47565157699999999</v>
      </c>
      <c r="AY264">
        <f ca="1">IF(AND(ISNUMBER($AY$932),$B$677=1),$AY$932,HLOOKUP(INDIRECT(ADDRESS(2,COLUMN())),OFFSET($BN$2,0,0,ROW()-1,60),ROW()-1,FALSE))</f>
        <v>0.58722558999999996</v>
      </c>
      <c r="AZ264">
        <f ca="1">IF(AND(ISNUMBER($AZ$932),$B$677=1),$AZ$932,HLOOKUP(INDIRECT(ADDRESS(2,COLUMN())),OFFSET($BN$2,0,0,ROW()-1,60),ROW()-1,FALSE))</f>
        <v>0.64671913800000003</v>
      </c>
      <c r="BA264">
        <f ca="1">IF(AND(ISNUMBER($BA$932),$B$677=1),$BA$932,HLOOKUP(INDIRECT(ADDRESS(2,COLUMN())),OFFSET($BN$2,0,0,ROW()-1,60),ROW()-1,FALSE))</f>
        <v>0.64074142000000001</v>
      </c>
      <c r="BB264">
        <f ca="1">IF(AND(ISNUMBER($BB$932),$B$677=1),$BB$932,HLOOKUP(INDIRECT(ADDRESS(2,COLUMN())),OFFSET($BN$2,0,0,ROW()-1,60),ROW()-1,FALSE))</f>
        <v>0.63858850899999997</v>
      </c>
      <c r="BC264">
        <f ca="1">IF(AND(ISNUMBER($BC$932),$B$677=1),$BC$932,HLOOKUP(INDIRECT(ADDRESS(2,COLUMN())),OFFSET($BN$2,0,0,ROW()-1,60),ROW()-1,FALSE))</f>
        <v>0.61343204200000001</v>
      </c>
      <c r="BD264">
        <f ca="1">IF(AND(ISNUMBER($BD$932),$B$677=1),$BD$932,HLOOKUP(INDIRECT(ADDRESS(2,COLUMN())),OFFSET($BN$2,0,0,ROW()-1,60),ROW()-1,FALSE))</f>
        <v>0.54966446499999999</v>
      </c>
      <c r="BE264">
        <f ca="1">IF(AND(ISNUMBER($BE$932),$B$677=1),$BE$932,HLOOKUP(INDIRECT(ADDRESS(2,COLUMN())),OFFSET($BN$2,0,0,ROW()-1,60),ROW()-1,FALSE))</f>
        <v>0.59569258599999997</v>
      </c>
      <c r="BF264">
        <f ca="1">IF(AND(ISNUMBER($BF$932),$B$677=1),$BF$932,HLOOKUP(INDIRECT(ADDRESS(2,COLUMN())),OFFSET($BN$2,0,0,ROW()-1,60),ROW()-1,FALSE))</f>
        <v>0.68728029400000001</v>
      </c>
      <c r="BG264">
        <f ca="1">IF(AND(ISNUMBER($BG$932),$B$677=1),$BG$932,HLOOKUP(INDIRECT(ADDRESS(2,COLUMN())),OFFSET($BN$2,0,0,ROW()-1,60),ROW()-1,FALSE))</f>
        <v>0.68338532399999996</v>
      </c>
      <c r="BH264">
        <f ca="1">IF(AND(ISNUMBER($BH$932),$B$677=1),$BH$932,HLOOKUP(INDIRECT(ADDRESS(2,COLUMN())),OFFSET($BN$2,0,0,ROW()-1,60),ROW()-1,FALSE))</f>
        <v>0.55332731000000002</v>
      </c>
      <c r="BI264">
        <f ca="1">IF(AND(ISNUMBER($BI$932),$B$677=1),$BI$932,HLOOKUP(INDIRECT(ADDRESS(2,COLUMN())),OFFSET($BN$2,0,0,ROW()-1,60),ROW()-1,FALSE))</f>
        <v>0.53001852199999999</v>
      </c>
      <c r="BJ264">
        <f ca="1">IF(AND(ISNUMBER($BJ$932),$B$677=1),$BJ$932,HLOOKUP(INDIRECT(ADDRESS(2,COLUMN())),OFFSET($BN$2,0,0,ROW()-1,60),ROW()-1,FALSE))</f>
        <v>0.51896777000000005</v>
      </c>
      <c r="BK264">
        <f ca="1">IF(AND(ISNUMBER($BK$932),$B$677=1),$BK$932,HLOOKUP(INDIRECT(ADDRESS(2,COLUMN())),OFFSET($BN$2,0,0,ROW()-1,60),ROW()-1,FALSE))</f>
        <v>0.56284838000000004</v>
      </c>
      <c r="BL264">
        <f ca="1">IF(AND(ISNUMBER($BL$932),$B$677=1),$BL$932,HLOOKUP(INDIRECT(ADDRESS(2,COLUMN())),OFFSET($BN$2,0,0,ROW()-1,60),ROW()-1,FALSE))</f>
        <v>0.65149841900000005</v>
      </c>
      <c r="BM264">
        <f ca="1">IF(AND(ISNUMBER($BM$932),$B$677=1),$BM$932,HLOOKUP(INDIRECT(ADDRESS(2,COLUMN())),OFFSET($BN$2,0,0,ROW()-1,60),ROW()-1,FALSE))</f>
        <v>0.446519216</v>
      </c>
      <c r="BN264">
        <f>0.581300878</f>
        <v>0.58130087799999997</v>
      </c>
      <c r="BO264">
        <f>0.527018022</f>
        <v>0.52701802200000003</v>
      </c>
      <c r="BP264">
        <f>0.734237286</f>
        <v>0.73423728600000004</v>
      </c>
      <c r="BQ264">
        <f>0.737654858</f>
        <v>0.73765485799999997</v>
      </c>
      <c r="BR264">
        <f>0.802899727</f>
        <v>0.80289972700000001</v>
      </c>
      <c r="BS264">
        <f>0.834303521</f>
        <v>0.83430352100000005</v>
      </c>
      <c r="BT264">
        <f>0.70220262</f>
        <v>0.70220262</v>
      </c>
      <c r="BU264">
        <f>0.713044179</f>
        <v>0.71304417899999994</v>
      </c>
      <c r="BV264">
        <f>0.640682703</f>
        <v>0.64068270299999996</v>
      </c>
      <c r="BW264">
        <f>0.586733255</f>
        <v>0.58673325499999995</v>
      </c>
      <c r="BX264">
        <f>0.629252426</f>
        <v>0.62925242599999998</v>
      </c>
      <c r="BY264">
        <f>0.595864704</f>
        <v>0.59586470400000002</v>
      </c>
      <c r="BZ264">
        <f>0.750370622</f>
        <v>0.75037062200000004</v>
      </c>
      <c r="CA264">
        <f>0.634497977</f>
        <v>0.63449797699999999</v>
      </c>
      <c r="CB264">
        <f>0.728791817</f>
        <v>0.72879181699999995</v>
      </c>
      <c r="CC264">
        <f>0.883654823</f>
        <v>0.88365482299999998</v>
      </c>
      <c r="CD264">
        <f>0.875803919</f>
        <v>0.87580391899999999</v>
      </c>
      <c r="CE264">
        <f>0.957842917</f>
        <v>0.95784291700000002</v>
      </c>
      <c r="CF264">
        <f>0.802786007</f>
        <v>0.80278600700000002</v>
      </c>
      <c r="CG264">
        <f>0.83186359</f>
        <v>0.83186358999999999</v>
      </c>
      <c r="CH264">
        <f>0.70472187</f>
        <v>0.70472186999999997</v>
      </c>
      <c r="CI264">
        <f>0.69844084</f>
        <v>0.69844083999999995</v>
      </c>
      <c r="CJ264">
        <f>0.895230246</f>
        <v>0.89523024600000001</v>
      </c>
      <c r="CK264">
        <f>0.907535765</f>
        <v>0.90753576499999999</v>
      </c>
      <c r="CL264">
        <f>0.929475925</f>
        <v>0.92947592499999998</v>
      </c>
      <c r="CM264">
        <f>0.768788107</f>
        <v>0.768788107</v>
      </c>
      <c r="CN264">
        <f>0.651496541</f>
        <v>0.65149654099999998</v>
      </c>
      <c r="CO264">
        <f>0.55255491</f>
        <v>0.55255491000000001</v>
      </c>
      <c r="CP264">
        <f>0.554867386</f>
        <v>0.55486738599999996</v>
      </c>
      <c r="CQ264">
        <f>0.514017344</f>
        <v>0.51401734399999999</v>
      </c>
      <c r="CR264">
        <f>0.457472824</f>
        <v>0.457472824</v>
      </c>
      <c r="CS264">
        <f>0.522673934</f>
        <v>0.52267393399999995</v>
      </c>
      <c r="CT264">
        <f>0.610032938</f>
        <v>0.61003293800000002</v>
      </c>
      <c r="CU264">
        <f>0.59865722</f>
        <v>0.59865721999999999</v>
      </c>
      <c r="CV264">
        <f>0.640317099</f>
        <v>0.640317099</v>
      </c>
      <c r="CW264">
        <f>0.547548609</f>
        <v>0.54754860900000002</v>
      </c>
      <c r="CX264">
        <f>0.629680492</f>
        <v>0.62968049199999998</v>
      </c>
      <c r="CY264">
        <f>0.569704472</f>
        <v>0.56970447199999996</v>
      </c>
      <c r="CZ264">
        <f>0.663194967</f>
        <v>0.66319496700000002</v>
      </c>
      <c r="DA264">
        <f>0.413582836</f>
        <v>0.41358283600000001</v>
      </c>
      <c r="DB264">
        <f>0.273703898</f>
        <v>0.273703898</v>
      </c>
      <c r="DC264">
        <f>0.218352573</f>
        <v>0.21835257299999999</v>
      </c>
      <c r="DD264">
        <f>0.301388024</f>
        <v>0.30138802399999998</v>
      </c>
      <c r="DE264">
        <f>0.380735397</f>
        <v>0.38073539699999998</v>
      </c>
      <c r="DF264">
        <f>0.475651577</f>
        <v>0.47565157699999999</v>
      </c>
      <c r="DG264">
        <f>0.58722559</f>
        <v>0.58722558999999996</v>
      </c>
      <c r="DH264">
        <f>0.646719138</f>
        <v>0.64671913800000003</v>
      </c>
      <c r="DI264">
        <f>0.64074142</f>
        <v>0.64074142000000001</v>
      </c>
      <c r="DJ264">
        <f>0.638588509</f>
        <v>0.63858850899999997</v>
      </c>
      <c r="DK264">
        <f>0.613432042</f>
        <v>0.61343204200000001</v>
      </c>
      <c r="DL264">
        <f>0.549664465</f>
        <v>0.54966446499999999</v>
      </c>
      <c r="DM264">
        <f>0.595692586</f>
        <v>0.59569258599999997</v>
      </c>
      <c r="DN264">
        <f>0.687280294</f>
        <v>0.68728029400000001</v>
      </c>
      <c r="DO264">
        <f>0.683385324</f>
        <v>0.68338532399999996</v>
      </c>
      <c r="DP264">
        <f>0.55332731</f>
        <v>0.55332731000000002</v>
      </c>
      <c r="DQ264">
        <f>0.530018522</f>
        <v>0.53001852199999999</v>
      </c>
      <c r="DR264">
        <f>0.51896777</f>
        <v>0.51896777000000005</v>
      </c>
      <c r="DS264">
        <f>0.56284838</f>
        <v>0.56284838000000004</v>
      </c>
      <c r="DT264">
        <f>0.651498419</f>
        <v>0.65149841900000005</v>
      </c>
      <c r="DU264">
        <f>0.446519216</f>
        <v>0.446519216</v>
      </c>
    </row>
    <row r="265" spans="1:125" x14ac:dyDescent="0.25">
      <c r="A265" t="str">
        <f>"    GAZ PJSC"</f>
        <v xml:space="preserve">    GAZ PJSC</v>
      </c>
      <c r="B265" t="str">
        <f>"GAZA RM Equity"</f>
        <v>GAZA RM Equity</v>
      </c>
      <c r="C265" t="str">
        <f t="shared" si="18"/>
        <v>RR904</v>
      </c>
      <c r="D265" t="str">
        <f t="shared" si="19"/>
        <v>PX_TO_SALES_RATIO</v>
      </c>
      <c r="E265" t="str">
        <f t="shared" si="20"/>
        <v>Dynamic</v>
      </c>
      <c r="F265" t="str">
        <f ca="1">IF(AND(ISNUMBER($F$933),$B$677=1),$F$933,HLOOKUP(INDIRECT(ADDRESS(2,COLUMN())),OFFSET($BN$2,0,0,ROW()-1,60),ROW()-1,FALSE))</f>
        <v/>
      </c>
      <c r="G265" t="str">
        <f ca="1">IF(AND(ISNUMBER($G$933),$B$677=1),$G$933,HLOOKUP(INDIRECT(ADDRESS(2,COLUMN())),OFFSET($BN$2,0,0,ROW()-1,60),ROW()-1,FALSE))</f>
        <v/>
      </c>
      <c r="H265" t="str">
        <f ca="1">IF(AND(ISNUMBER($H$933),$B$677=1),$H$933,HLOOKUP(INDIRECT(ADDRESS(2,COLUMN())),OFFSET($BN$2,0,0,ROW()-1,60),ROW()-1,FALSE))</f>
        <v/>
      </c>
      <c r="I265" t="str">
        <f ca="1">IF(AND(ISNUMBER($I$933),$B$677=1),$I$933,HLOOKUP(INDIRECT(ADDRESS(2,COLUMN())),OFFSET($BN$2,0,0,ROW()-1,60),ROW()-1,FALSE))</f>
        <v/>
      </c>
      <c r="J265" t="str">
        <f ca="1">IF(AND(ISNUMBER($J$933),$B$677=1),$J$933,HLOOKUP(INDIRECT(ADDRESS(2,COLUMN())),OFFSET($BN$2,0,0,ROW()-1,60),ROW()-1,FALSE))</f>
        <v/>
      </c>
      <c r="K265" t="str">
        <f ca="1">IF(AND(ISNUMBER($K$933),$B$677=1),$K$933,HLOOKUP(INDIRECT(ADDRESS(2,COLUMN())),OFFSET($BN$2,0,0,ROW()-1,60),ROW()-1,FALSE))</f>
        <v/>
      </c>
      <c r="L265" t="str">
        <f ca="1">IF(AND(ISNUMBER($L$933),$B$677=1),$L$933,HLOOKUP(INDIRECT(ADDRESS(2,COLUMN())),OFFSET($BN$2,0,0,ROW()-1,60),ROW()-1,FALSE))</f>
        <v/>
      </c>
      <c r="M265" t="str">
        <f ca="1">IF(AND(ISNUMBER($M$933),$B$677=1),$M$933,HLOOKUP(INDIRECT(ADDRESS(2,COLUMN())),OFFSET($BN$2,0,0,ROW()-1,60),ROW()-1,FALSE))</f>
        <v/>
      </c>
      <c r="N265" t="str">
        <f ca="1">IF(AND(ISNUMBER($N$933),$B$677=1),$N$933,HLOOKUP(INDIRECT(ADDRESS(2,COLUMN())),OFFSET($BN$2,0,0,ROW()-1,60),ROW()-1,FALSE))</f>
        <v/>
      </c>
      <c r="O265" t="str">
        <f ca="1">IF(AND(ISNUMBER($O$933),$B$677=1),$O$933,HLOOKUP(INDIRECT(ADDRESS(2,COLUMN())),OFFSET($BN$2,0,0,ROW()-1,60),ROW()-1,FALSE))</f>
        <v/>
      </c>
      <c r="P265" t="str">
        <f ca="1">IF(AND(ISNUMBER($P$933),$B$677=1),$P$933,HLOOKUP(INDIRECT(ADDRESS(2,COLUMN())),OFFSET($BN$2,0,0,ROW()-1,60),ROW()-1,FALSE))</f>
        <v/>
      </c>
      <c r="Q265" t="str">
        <f ca="1">IF(AND(ISNUMBER($Q$933),$B$677=1),$Q$933,HLOOKUP(INDIRECT(ADDRESS(2,COLUMN())),OFFSET($BN$2,0,0,ROW()-1,60),ROW()-1,FALSE))</f>
        <v/>
      </c>
      <c r="R265" t="str">
        <f ca="1">IF(AND(ISNUMBER($R$933),$B$677=1),$R$933,HLOOKUP(INDIRECT(ADDRESS(2,COLUMN())),OFFSET($BN$2,0,0,ROW()-1,60),ROW()-1,FALSE))</f>
        <v/>
      </c>
      <c r="S265" t="str">
        <f ca="1">IF(AND(ISNUMBER($S$933),$B$677=1),$S$933,HLOOKUP(INDIRECT(ADDRESS(2,COLUMN())),OFFSET($BN$2,0,0,ROW()-1,60),ROW()-1,FALSE))</f>
        <v/>
      </c>
      <c r="T265" t="str">
        <f ca="1">IF(AND(ISNUMBER($T$933),$B$677=1),$T$933,HLOOKUP(INDIRECT(ADDRESS(2,COLUMN())),OFFSET($BN$2,0,0,ROW()-1,60),ROW()-1,FALSE))</f>
        <v/>
      </c>
      <c r="U265" t="str">
        <f ca="1">IF(AND(ISNUMBER($U$933),$B$677=1),$U$933,HLOOKUP(INDIRECT(ADDRESS(2,COLUMN())),OFFSET($BN$2,0,0,ROW()-1,60),ROW()-1,FALSE))</f>
        <v/>
      </c>
      <c r="V265" t="str">
        <f ca="1">IF(AND(ISNUMBER($V$933),$B$677=1),$V$933,HLOOKUP(INDIRECT(ADDRESS(2,COLUMN())),OFFSET($BN$2,0,0,ROW()-1,60),ROW()-1,FALSE))</f>
        <v/>
      </c>
      <c r="W265" t="str">
        <f ca="1">IF(AND(ISNUMBER($W$933),$B$677=1),$W$933,HLOOKUP(INDIRECT(ADDRESS(2,COLUMN())),OFFSET($BN$2,0,0,ROW()-1,60),ROW()-1,FALSE))</f>
        <v/>
      </c>
      <c r="X265" t="str">
        <f ca="1">IF(AND(ISNUMBER($X$933),$B$677=1),$X$933,HLOOKUP(INDIRECT(ADDRESS(2,COLUMN())),OFFSET($BN$2,0,0,ROW()-1,60),ROW()-1,FALSE))</f>
        <v/>
      </c>
      <c r="Y265" t="str">
        <f ca="1">IF(AND(ISNUMBER($Y$933),$B$677=1),$Y$933,HLOOKUP(INDIRECT(ADDRESS(2,COLUMN())),OFFSET($BN$2,0,0,ROW()-1,60),ROW()-1,FALSE))</f>
        <v/>
      </c>
      <c r="Z265" t="str">
        <f ca="1">IF(AND(ISNUMBER($Z$933),$B$677=1),$Z$933,HLOOKUP(INDIRECT(ADDRESS(2,COLUMN())),OFFSET($BN$2,0,0,ROW()-1,60),ROW()-1,FALSE))</f>
        <v/>
      </c>
      <c r="AA265" t="str">
        <f ca="1">IF(AND(ISNUMBER($AA$933),$B$677=1),$AA$933,HLOOKUP(INDIRECT(ADDRESS(2,COLUMN())),OFFSET($BN$2,0,0,ROW()-1,60),ROW()-1,FALSE))</f>
        <v/>
      </c>
      <c r="AB265" t="str">
        <f ca="1">IF(AND(ISNUMBER($AB$933),$B$677=1),$AB$933,HLOOKUP(INDIRECT(ADDRESS(2,COLUMN())),OFFSET($BN$2,0,0,ROW()-1,60),ROW()-1,FALSE))</f>
        <v/>
      </c>
      <c r="AC265" t="str">
        <f ca="1">IF(AND(ISNUMBER($AC$933),$B$677=1),$AC$933,HLOOKUP(INDIRECT(ADDRESS(2,COLUMN())),OFFSET($BN$2,0,0,ROW()-1,60),ROW()-1,FALSE))</f>
        <v/>
      </c>
      <c r="AD265" t="str">
        <f ca="1">IF(AND(ISNUMBER($AD$933),$B$677=1),$AD$933,HLOOKUP(INDIRECT(ADDRESS(2,COLUMN())),OFFSET($BN$2,0,0,ROW()-1,60),ROW()-1,FALSE))</f>
        <v/>
      </c>
      <c r="AE265" t="str">
        <f ca="1">IF(AND(ISNUMBER($AE$933),$B$677=1),$AE$933,HLOOKUP(INDIRECT(ADDRESS(2,COLUMN())),OFFSET($BN$2,0,0,ROW()-1,60),ROW()-1,FALSE))</f>
        <v/>
      </c>
      <c r="AF265" t="str">
        <f ca="1">IF(AND(ISNUMBER($AF$933),$B$677=1),$AF$933,HLOOKUP(INDIRECT(ADDRESS(2,COLUMN())),OFFSET($BN$2,0,0,ROW()-1,60),ROW()-1,FALSE))</f>
        <v/>
      </c>
      <c r="AG265" t="str">
        <f ca="1">IF(AND(ISNUMBER($AG$933),$B$677=1),$AG$933,HLOOKUP(INDIRECT(ADDRESS(2,COLUMN())),OFFSET($BN$2,0,0,ROW()-1,60),ROW()-1,FALSE))</f>
        <v/>
      </c>
      <c r="AH265" t="str">
        <f ca="1">IF(AND(ISNUMBER($AH$933),$B$677=1),$AH$933,HLOOKUP(INDIRECT(ADDRESS(2,COLUMN())),OFFSET($BN$2,0,0,ROW()-1,60),ROW()-1,FALSE))</f>
        <v/>
      </c>
      <c r="AI265" t="str">
        <f ca="1">IF(AND(ISNUMBER($AI$933),$B$677=1),$AI$933,HLOOKUP(INDIRECT(ADDRESS(2,COLUMN())),OFFSET($BN$2,0,0,ROW()-1,60),ROW()-1,FALSE))</f>
        <v/>
      </c>
      <c r="AJ265" t="str">
        <f ca="1">IF(AND(ISNUMBER($AJ$933),$B$677=1),$AJ$933,HLOOKUP(INDIRECT(ADDRESS(2,COLUMN())),OFFSET($BN$2,0,0,ROW()-1,60),ROW()-1,FALSE))</f>
        <v/>
      </c>
      <c r="AK265" t="str">
        <f ca="1">IF(AND(ISNUMBER($AK$933),$B$677=1),$AK$933,HLOOKUP(INDIRECT(ADDRESS(2,COLUMN())),OFFSET($BN$2,0,0,ROW()-1,60),ROW()-1,FALSE))</f>
        <v/>
      </c>
      <c r="AL265" t="str">
        <f ca="1">IF(AND(ISNUMBER($AL$933),$B$677=1),$AL$933,HLOOKUP(INDIRECT(ADDRESS(2,COLUMN())),OFFSET($BN$2,0,0,ROW()-1,60),ROW()-1,FALSE))</f>
        <v/>
      </c>
      <c r="AM265" t="str">
        <f ca="1">IF(AND(ISNUMBER($AM$933),$B$677=1),$AM$933,HLOOKUP(INDIRECT(ADDRESS(2,COLUMN())),OFFSET($BN$2,0,0,ROW()-1,60),ROW()-1,FALSE))</f>
        <v/>
      </c>
      <c r="AN265" t="str">
        <f ca="1">IF(AND(ISNUMBER($AN$933),$B$677=1),$AN$933,HLOOKUP(INDIRECT(ADDRESS(2,COLUMN())),OFFSET($BN$2,0,0,ROW()-1,60),ROW()-1,FALSE))</f>
        <v/>
      </c>
      <c r="AO265" t="str">
        <f ca="1">IF(AND(ISNUMBER($AO$933),$B$677=1),$AO$933,HLOOKUP(INDIRECT(ADDRESS(2,COLUMN())),OFFSET($BN$2,0,0,ROW()-1,60),ROW()-1,FALSE))</f>
        <v/>
      </c>
      <c r="AP265" t="str">
        <f ca="1">IF(AND(ISNUMBER($AP$933),$B$677=1),$AP$933,HLOOKUP(INDIRECT(ADDRESS(2,COLUMN())),OFFSET($BN$2,0,0,ROW()-1,60),ROW()-1,FALSE))</f>
        <v/>
      </c>
      <c r="AQ265" t="str">
        <f ca="1">IF(AND(ISNUMBER($AQ$933),$B$677=1),$AQ$933,HLOOKUP(INDIRECT(ADDRESS(2,COLUMN())),OFFSET($BN$2,0,0,ROW()-1,60),ROW()-1,FALSE))</f>
        <v/>
      </c>
      <c r="AR265" t="str">
        <f ca="1">IF(AND(ISNUMBER($AR$933),$B$677=1),$AR$933,HLOOKUP(INDIRECT(ADDRESS(2,COLUMN())),OFFSET($BN$2,0,0,ROW()-1,60),ROW()-1,FALSE))</f>
        <v/>
      </c>
      <c r="AS265" t="str">
        <f ca="1">IF(AND(ISNUMBER($AS$933),$B$677=1),$AS$933,HLOOKUP(INDIRECT(ADDRESS(2,COLUMN())),OFFSET($BN$2,0,0,ROW()-1,60),ROW()-1,FALSE))</f>
        <v/>
      </c>
      <c r="AT265" t="str">
        <f ca="1">IF(AND(ISNUMBER($AT$933),$B$677=1),$AT$933,HLOOKUP(INDIRECT(ADDRESS(2,COLUMN())),OFFSET($BN$2,0,0,ROW()-1,60),ROW()-1,FALSE))</f>
        <v/>
      </c>
      <c r="AU265" t="str">
        <f ca="1">IF(AND(ISNUMBER($AU$933),$B$677=1),$AU$933,HLOOKUP(INDIRECT(ADDRESS(2,COLUMN())),OFFSET($BN$2,0,0,ROW()-1,60),ROW()-1,FALSE))</f>
        <v/>
      </c>
      <c r="AV265" t="str">
        <f ca="1">IF(AND(ISNUMBER($AV$933),$B$677=1),$AV$933,HLOOKUP(INDIRECT(ADDRESS(2,COLUMN())),OFFSET($BN$2,0,0,ROW()-1,60),ROW()-1,FALSE))</f>
        <v/>
      </c>
      <c r="AW265" t="str">
        <f ca="1">IF(AND(ISNUMBER($AW$933),$B$677=1),$AW$933,HLOOKUP(INDIRECT(ADDRESS(2,COLUMN())),OFFSET($BN$2,0,0,ROW()-1,60),ROW()-1,FALSE))</f>
        <v/>
      </c>
      <c r="AX265" t="str">
        <f ca="1">IF(AND(ISNUMBER($AX$933),$B$677=1),$AX$933,HLOOKUP(INDIRECT(ADDRESS(2,COLUMN())),OFFSET($BN$2,0,0,ROW()-1,60),ROW()-1,FALSE))</f>
        <v/>
      </c>
      <c r="AY265" t="str">
        <f ca="1">IF(AND(ISNUMBER($AY$933),$B$677=1),$AY$933,HLOOKUP(INDIRECT(ADDRESS(2,COLUMN())),OFFSET($BN$2,0,0,ROW()-1,60),ROW()-1,FALSE))</f>
        <v/>
      </c>
      <c r="AZ265" t="str">
        <f ca="1">IF(AND(ISNUMBER($AZ$933),$B$677=1),$AZ$933,HLOOKUP(INDIRECT(ADDRESS(2,COLUMN())),OFFSET($BN$2,0,0,ROW()-1,60),ROW()-1,FALSE))</f>
        <v/>
      </c>
      <c r="BA265" t="str">
        <f ca="1">IF(AND(ISNUMBER($BA$933),$B$677=1),$BA$933,HLOOKUP(INDIRECT(ADDRESS(2,COLUMN())),OFFSET($BN$2,0,0,ROW()-1,60),ROW()-1,FALSE))</f>
        <v/>
      </c>
      <c r="BB265" t="str">
        <f ca="1">IF(AND(ISNUMBER($BB$933),$B$677=1),$BB$933,HLOOKUP(INDIRECT(ADDRESS(2,COLUMN())),OFFSET($BN$2,0,0,ROW()-1,60),ROW()-1,FALSE))</f>
        <v/>
      </c>
      <c r="BC265" t="str">
        <f ca="1">IF(AND(ISNUMBER($BC$933),$B$677=1),$BC$933,HLOOKUP(INDIRECT(ADDRESS(2,COLUMN())),OFFSET($BN$2,0,0,ROW()-1,60),ROW()-1,FALSE))</f>
        <v/>
      </c>
      <c r="BD265" t="str">
        <f ca="1">IF(AND(ISNUMBER($BD$933),$B$677=1),$BD$933,HLOOKUP(INDIRECT(ADDRESS(2,COLUMN())),OFFSET($BN$2,0,0,ROW()-1,60),ROW()-1,FALSE))</f>
        <v/>
      </c>
      <c r="BE265" t="str">
        <f ca="1">IF(AND(ISNUMBER($BE$933),$B$677=1),$BE$933,HLOOKUP(INDIRECT(ADDRESS(2,COLUMN())),OFFSET($BN$2,0,0,ROW()-1,60),ROW()-1,FALSE))</f>
        <v/>
      </c>
      <c r="BF265" t="str">
        <f ca="1">IF(AND(ISNUMBER($BF$933),$B$677=1),$BF$933,HLOOKUP(INDIRECT(ADDRESS(2,COLUMN())),OFFSET($BN$2,0,0,ROW()-1,60),ROW()-1,FALSE))</f>
        <v/>
      </c>
      <c r="BG265" t="str">
        <f ca="1">IF(AND(ISNUMBER($BG$933),$B$677=1),$BG$933,HLOOKUP(INDIRECT(ADDRESS(2,COLUMN())),OFFSET($BN$2,0,0,ROW()-1,60),ROW()-1,FALSE))</f>
        <v/>
      </c>
      <c r="BH265" t="str">
        <f ca="1">IF(AND(ISNUMBER($BH$933),$B$677=1),$BH$933,HLOOKUP(INDIRECT(ADDRESS(2,COLUMN())),OFFSET($BN$2,0,0,ROW()-1,60),ROW()-1,FALSE))</f>
        <v/>
      </c>
      <c r="BI265" t="str">
        <f ca="1">IF(AND(ISNUMBER($BI$933),$B$677=1),$BI$933,HLOOKUP(INDIRECT(ADDRESS(2,COLUMN())),OFFSET($BN$2,0,0,ROW()-1,60),ROW()-1,FALSE))</f>
        <v/>
      </c>
      <c r="BJ265" t="str">
        <f ca="1">IF(AND(ISNUMBER($BJ$933),$B$677=1),$BJ$933,HLOOKUP(INDIRECT(ADDRESS(2,COLUMN())),OFFSET($BN$2,0,0,ROW()-1,60),ROW()-1,FALSE))</f>
        <v/>
      </c>
      <c r="BK265" t="str">
        <f ca="1">IF(AND(ISNUMBER($BK$933),$B$677=1),$BK$933,HLOOKUP(INDIRECT(ADDRESS(2,COLUMN())),OFFSET($BN$2,0,0,ROW()-1,60),ROW()-1,FALSE))</f>
        <v/>
      </c>
      <c r="BL265" t="str">
        <f ca="1">IF(AND(ISNUMBER($BL$933),$B$677=1),$BL$933,HLOOKUP(INDIRECT(ADDRESS(2,COLUMN())),OFFSET($BN$2,0,0,ROW()-1,60),ROW()-1,FALSE))</f>
        <v/>
      </c>
      <c r="BM265" t="str">
        <f ca="1">IF(AND(ISNUMBER($BM$933),$B$677=1),$BM$933,HLOOKUP(INDIRECT(ADDRESS(2,COLUMN())),OFFSET($BN$2,0,0,ROW()-1,60),ROW()-1,FALSE))</f>
        <v/>
      </c>
      <c r="BN265" t="str">
        <f>""</f>
        <v/>
      </c>
      <c r="BO265" t="str">
        <f>""</f>
        <v/>
      </c>
      <c r="BP265" t="str">
        <f>""</f>
        <v/>
      </c>
      <c r="BQ265" t="str">
        <f>""</f>
        <v/>
      </c>
      <c r="BR265" t="str">
        <f>""</f>
        <v/>
      </c>
      <c r="BS265" t="str">
        <f>""</f>
        <v/>
      </c>
      <c r="BT265" t="str">
        <f>""</f>
        <v/>
      </c>
      <c r="BU265" t="str">
        <f>""</f>
        <v/>
      </c>
      <c r="BV265" t="str">
        <f>""</f>
        <v/>
      </c>
      <c r="BW265" t="str">
        <f>""</f>
        <v/>
      </c>
      <c r="BX265" t="str">
        <f>""</f>
        <v/>
      </c>
      <c r="BY265" t="str">
        <f>""</f>
        <v/>
      </c>
      <c r="BZ265" t="str">
        <f>""</f>
        <v/>
      </c>
      <c r="CA265" t="str">
        <f>""</f>
        <v/>
      </c>
      <c r="CB265" t="str">
        <f>""</f>
        <v/>
      </c>
      <c r="CC265" t="str">
        <f>""</f>
        <v/>
      </c>
      <c r="CD265" t="str">
        <f>""</f>
        <v/>
      </c>
      <c r="CE265" t="str">
        <f>""</f>
        <v/>
      </c>
      <c r="CF265" t="str">
        <f>""</f>
        <v/>
      </c>
      <c r="CG265" t="str">
        <f>""</f>
        <v/>
      </c>
      <c r="CH265" t="str">
        <f>""</f>
        <v/>
      </c>
      <c r="CI265" t="str">
        <f>""</f>
        <v/>
      </c>
      <c r="CJ265" t="str">
        <f>""</f>
        <v/>
      </c>
      <c r="CK265" t="str">
        <f>""</f>
        <v/>
      </c>
      <c r="CL265" t="str">
        <f>""</f>
        <v/>
      </c>
      <c r="CM265" t="str">
        <f>""</f>
        <v/>
      </c>
      <c r="CN265" t="str">
        <f>""</f>
        <v/>
      </c>
      <c r="CO265" t="str">
        <f>""</f>
        <v/>
      </c>
      <c r="CP265" t="str">
        <f>""</f>
        <v/>
      </c>
      <c r="CQ265" t="str">
        <f>""</f>
        <v/>
      </c>
      <c r="CR265" t="str">
        <f>""</f>
        <v/>
      </c>
      <c r="CS265" t="str">
        <f>""</f>
        <v/>
      </c>
      <c r="CT265" t="str">
        <f>""</f>
        <v/>
      </c>
      <c r="CU265" t="str">
        <f>""</f>
        <v/>
      </c>
      <c r="CV265" t="str">
        <f>""</f>
        <v/>
      </c>
      <c r="CW265" t="str">
        <f>""</f>
        <v/>
      </c>
      <c r="CX265" t="str">
        <f>""</f>
        <v/>
      </c>
      <c r="CY265" t="str">
        <f>""</f>
        <v/>
      </c>
      <c r="CZ265" t="str">
        <f>""</f>
        <v/>
      </c>
      <c r="DA265" t="str">
        <f>""</f>
        <v/>
      </c>
      <c r="DB265" t="str">
        <f>""</f>
        <v/>
      </c>
      <c r="DC265" t="str">
        <f>""</f>
        <v/>
      </c>
      <c r="DD265" t="str">
        <f>""</f>
        <v/>
      </c>
      <c r="DE265" t="str">
        <f>""</f>
        <v/>
      </c>
      <c r="DF265" t="str">
        <f>""</f>
        <v/>
      </c>
      <c r="DG265" t="str">
        <f>""</f>
        <v/>
      </c>
      <c r="DH265" t="str">
        <f>""</f>
        <v/>
      </c>
      <c r="DI265" t="str">
        <f>""</f>
        <v/>
      </c>
      <c r="DJ265" t="str">
        <f>""</f>
        <v/>
      </c>
      <c r="DK265" t="str">
        <f>""</f>
        <v/>
      </c>
      <c r="DL265" t="str">
        <f>""</f>
        <v/>
      </c>
      <c r="DM265" t="str">
        <f>""</f>
        <v/>
      </c>
      <c r="DN265" t="str">
        <f>""</f>
        <v/>
      </c>
      <c r="DO265" t="str">
        <f>""</f>
        <v/>
      </c>
      <c r="DP265" t="str">
        <f>""</f>
        <v/>
      </c>
      <c r="DQ265" t="str">
        <f>""</f>
        <v/>
      </c>
      <c r="DR265" t="str">
        <f>""</f>
        <v/>
      </c>
      <c r="DS265" t="str">
        <f>""</f>
        <v/>
      </c>
      <c r="DT265" t="str">
        <f>""</f>
        <v/>
      </c>
      <c r="DU265" t="str">
        <f>""</f>
        <v/>
      </c>
    </row>
    <row r="266" spans="1:125" x14ac:dyDescent="0.25">
      <c r="A266" t="str">
        <f>"    Geely Automobile Holdings Ltd"</f>
        <v xml:space="preserve">    Geely Automobile Holdings Ltd</v>
      </c>
      <c r="B266" t="str">
        <f>"175 HK Equity"</f>
        <v>175 HK Equity</v>
      </c>
      <c r="C266" t="str">
        <f t="shared" si="18"/>
        <v>RR904</v>
      </c>
      <c r="D266" t="str">
        <f t="shared" si="19"/>
        <v>PX_TO_SALES_RATIO</v>
      </c>
      <c r="E266" t="str">
        <f t="shared" si="20"/>
        <v>Dynamic</v>
      </c>
      <c r="F266" t="str">
        <f ca="1">IF(AND(ISNUMBER($F$934),$B$677=1),$F$934,HLOOKUP(INDIRECT(ADDRESS(2,COLUMN())),OFFSET($BN$2,0,0,ROW()-1,60),ROW()-1,FALSE))</f>
        <v/>
      </c>
      <c r="G266" t="str">
        <f ca="1">IF(AND(ISNUMBER($G$934),$B$677=1),$G$934,HLOOKUP(INDIRECT(ADDRESS(2,COLUMN())),OFFSET($BN$2,0,0,ROW()-1,60),ROW()-1,FALSE))</f>
        <v/>
      </c>
      <c r="H266" t="str">
        <f ca="1">IF(AND(ISNUMBER($H$934),$B$677=1),$H$934,HLOOKUP(INDIRECT(ADDRESS(2,COLUMN())),OFFSET($BN$2,0,0,ROW()-1,60),ROW()-1,FALSE))</f>
        <v/>
      </c>
      <c r="I266" t="str">
        <f ca="1">IF(AND(ISNUMBER($I$934),$B$677=1),$I$934,HLOOKUP(INDIRECT(ADDRESS(2,COLUMN())),OFFSET($BN$2,0,0,ROW()-1,60),ROW()-1,FALSE))</f>
        <v/>
      </c>
      <c r="J266" t="str">
        <f ca="1">IF(AND(ISNUMBER($J$934),$B$677=1),$J$934,HLOOKUP(INDIRECT(ADDRESS(2,COLUMN())),OFFSET($BN$2,0,0,ROW()-1,60),ROW()-1,FALSE))</f>
        <v/>
      </c>
      <c r="K266" t="str">
        <f ca="1">IF(AND(ISNUMBER($K$934),$B$677=1),$K$934,HLOOKUP(INDIRECT(ADDRESS(2,COLUMN())),OFFSET($BN$2,0,0,ROW()-1,60),ROW()-1,FALSE))</f>
        <v/>
      </c>
      <c r="L266" t="str">
        <f ca="1">IF(AND(ISNUMBER($L$934),$B$677=1),$L$934,HLOOKUP(INDIRECT(ADDRESS(2,COLUMN())),OFFSET($BN$2,0,0,ROW()-1,60),ROW()-1,FALSE))</f>
        <v/>
      </c>
      <c r="M266" t="str">
        <f ca="1">IF(AND(ISNUMBER($M$934),$B$677=1),$M$934,HLOOKUP(INDIRECT(ADDRESS(2,COLUMN())),OFFSET($BN$2,0,0,ROW()-1,60),ROW()-1,FALSE))</f>
        <v/>
      </c>
      <c r="N266" t="str">
        <f ca="1">IF(AND(ISNUMBER($N$934),$B$677=1),$N$934,HLOOKUP(INDIRECT(ADDRESS(2,COLUMN())),OFFSET($BN$2,0,0,ROW()-1,60),ROW()-1,FALSE))</f>
        <v/>
      </c>
      <c r="O266" t="str">
        <f ca="1">IF(AND(ISNUMBER($O$934),$B$677=1),$O$934,HLOOKUP(INDIRECT(ADDRESS(2,COLUMN())),OFFSET($BN$2,0,0,ROW()-1,60),ROW()-1,FALSE))</f>
        <v/>
      </c>
      <c r="P266" t="str">
        <f ca="1">IF(AND(ISNUMBER($P$934),$B$677=1),$P$934,HLOOKUP(INDIRECT(ADDRESS(2,COLUMN())),OFFSET($BN$2,0,0,ROW()-1,60),ROW()-1,FALSE))</f>
        <v/>
      </c>
      <c r="Q266" t="str">
        <f ca="1">IF(AND(ISNUMBER($Q$934),$B$677=1),$Q$934,HLOOKUP(INDIRECT(ADDRESS(2,COLUMN())),OFFSET($BN$2,0,0,ROW()-1,60),ROW()-1,FALSE))</f>
        <v/>
      </c>
      <c r="R266" t="str">
        <f ca="1">IF(AND(ISNUMBER($R$934),$B$677=1),$R$934,HLOOKUP(INDIRECT(ADDRESS(2,COLUMN())),OFFSET($BN$2,0,0,ROW()-1,60),ROW()-1,FALSE))</f>
        <v/>
      </c>
      <c r="S266" t="str">
        <f ca="1">IF(AND(ISNUMBER($S$934),$B$677=1),$S$934,HLOOKUP(INDIRECT(ADDRESS(2,COLUMN())),OFFSET($BN$2,0,0,ROW()-1,60),ROW()-1,FALSE))</f>
        <v/>
      </c>
      <c r="T266" t="str">
        <f ca="1">IF(AND(ISNUMBER($T$934),$B$677=1),$T$934,HLOOKUP(INDIRECT(ADDRESS(2,COLUMN())),OFFSET($BN$2,0,0,ROW()-1,60),ROW()-1,FALSE))</f>
        <v/>
      </c>
      <c r="U266" t="str">
        <f ca="1">IF(AND(ISNUMBER($U$934),$B$677=1),$U$934,HLOOKUP(INDIRECT(ADDRESS(2,COLUMN())),OFFSET($BN$2,0,0,ROW()-1,60),ROW()-1,FALSE))</f>
        <v/>
      </c>
      <c r="V266" t="str">
        <f ca="1">IF(AND(ISNUMBER($V$934),$B$677=1),$V$934,HLOOKUP(INDIRECT(ADDRESS(2,COLUMN())),OFFSET($BN$2,0,0,ROW()-1,60),ROW()-1,FALSE))</f>
        <v/>
      </c>
      <c r="W266" t="str">
        <f ca="1">IF(AND(ISNUMBER($W$934),$B$677=1),$W$934,HLOOKUP(INDIRECT(ADDRESS(2,COLUMN())),OFFSET($BN$2,0,0,ROW()-1,60),ROW()-1,FALSE))</f>
        <v/>
      </c>
      <c r="X266" t="str">
        <f ca="1">IF(AND(ISNUMBER($X$934),$B$677=1),$X$934,HLOOKUP(INDIRECT(ADDRESS(2,COLUMN())),OFFSET($BN$2,0,0,ROW()-1,60),ROW()-1,FALSE))</f>
        <v/>
      </c>
      <c r="Y266" t="str">
        <f ca="1">IF(AND(ISNUMBER($Y$934),$B$677=1),$Y$934,HLOOKUP(INDIRECT(ADDRESS(2,COLUMN())),OFFSET($BN$2,0,0,ROW()-1,60),ROW()-1,FALSE))</f>
        <v/>
      </c>
      <c r="Z266" t="str">
        <f ca="1">IF(AND(ISNUMBER($Z$934),$B$677=1),$Z$934,HLOOKUP(INDIRECT(ADDRESS(2,COLUMN())),OFFSET($BN$2,0,0,ROW()-1,60),ROW()-1,FALSE))</f>
        <v/>
      </c>
      <c r="AA266" t="str">
        <f ca="1">IF(AND(ISNUMBER($AA$934),$B$677=1),$AA$934,HLOOKUP(INDIRECT(ADDRESS(2,COLUMN())),OFFSET($BN$2,0,0,ROW()-1,60),ROW()-1,FALSE))</f>
        <v/>
      </c>
      <c r="AB266" t="str">
        <f ca="1">IF(AND(ISNUMBER($AB$934),$B$677=1),$AB$934,HLOOKUP(INDIRECT(ADDRESS(2,COLUMN())),OFFSET($BN$2,0,0,ROW()-1,60),ROW()-1,FALSE))</f>
        <v/>
      </c>
      <c r="AC266" t="str">
        <f ca="1">IF(AND(ISNUMBER($AC$934),$B$677=1),$AC$934,HLOOKUP(INDIRECT(ADDRESS(2,COLUMN())),OFFSET($BN$2,0,0,ROW()-1,60),ROW()-1,FALSE))</f>
        <v/>
      </c>
      <c r="AD266" t="str">
        <f ca="1">IF(AND(ISNUMBER($AD$934),$B$677=1),$AD$934,HLOOKUP(INDIRECT(ADDRESS(2,COLUMN())),OFFSET($BN$2,0,0,ROW()-1,60),ROW()-1,FALSE))</f>
        <v/>
      </c>
      <c r="AE266" t="str">
        <f ca="1">IF(AND(ISNUMBER($AE$934),$B$677=1),$AE$934,HLOOKUP(INDIRECT(ADDRESS(2,COLUMN())),OFFSET($BN$2,0,0,ROW()-1,60),ROW()-1,FALSE))</f>
        <v/>
      </c>
      <c r="AF266" t="str">
        <f ca="1">IF(AND(ISNUMBER($AF$934),$B$677=1),$AF$934,HLOOKUP(INDIRECT(ADDRESS(2,COLUMN())),OFFSET($BN$2,0,0,ROW()-1,60),ROW()-1,FALSE))</f>
        <v/>
      </c>
      <c r="AG266" t="str">
        <f ca="1">IF(AND(ISNUMBER($AG$934),$B$677=1),$AG$934,HLOOKUP(INDIRECT(ADDRESS(2,COLUMN())),OFFSET($BN$2,0,0,ROW()-1,60),ROW()-1,FALSE))</f>
        <v/>
      </c>
      <c r="AH266" t="str">
        <f ca="1">IF(AND(ISNUMBER($AH$934),$B$677=1),$AH$934,HLOOKUP(INDIRECT(ADDRESS(2,COLUMN())),OFFSET($BN$2,0,0,ROW()-1,60),ROW()-1,FALSE))</f>
        <v/>
      </c>
      <c r="AI266" t="str">
        <f ca="1">IF(AND(ISNUMBER($AI$934),$B$677=1),$AI$934,HLOOKUP(INDIRECT(ADDRESS(2,COLUMN())),OFFSET($BN$2,0,0,ROW()-1,60),ROW()-1,FALSE))</f>
        <v/>
      </c>
      <c r="AJ266" t="str">
        <f ca="1">IF(AND(ISNUMBER($AJ$934),$B$677=1),$AJ$934,HLOOKUP(INDIRECT(ADDRESS(2,COLUMN())),OFFSET($BN$2,0,0,ROW()-1,60),ROW()-1,FALSE))</f>
        <v/>
      </c>
      <c r="AK266" t="str">
        <f ca="1">IF(AND(ISNUMBER($AK$934),$B$677=1),$AK$934,HLOOKUP(INDIRECT(ADDRESS(2,COLUMN())),OFFSET($BN$2,0,0,ROW()-1,60),ROW()-1,FALSE))</f>
        <v/>
      </c>
      <c r="AL266" t="str">
        <f ca="1">IF(AND(ISNUMBER($AL$934),$B$677=1),$AL$934,HLOOKUP(INDIRECT(ADDRESS(2,COLUMN())),OFFSET($BN$2,0,0,ROW()-1,60),ROW()-1,FALSE))</f>
        <v/>
      </c>
      <c r="AM266" t="str">
        <f ca="1">IF(AND(ISNUMBER($AM$934),$B$677=1),$AM$934,HLOOKUP(INDIRECT(ADDRESS(2,COLUMN())),OFFSET($BN$2,0,0,ROW()-1,60),ROW()-1,FALSE))</f>
        <v/>
      </c>
      <c r="AN266" t="str">
        <f ca="1">IF(AND(ISNUMBER($AN$934),$B$677=1),$AN$934,HLOOKUP(INDIRECT(ADDRESS(2,COLUMN())),OFFSET($BN$2,0,0,ROW()-1,60),ROW()-1,FALSE))</f>
        <v/>
      </c>
      <c r="AO266" t="str">
        <f ca="1">IF(AND(ISNUMBER($AO$934),$B$677=1),$AO$934,HLOOKUP(INDIRECT(ADDRESS(2,COLUMN())),OFFSET($BN$2,0,0,ROW()-1,60),ROW()-1,FALSE))</f>
        <v/>
      </c>
      <c r="AP266" t="str">
        <f ca="1">IF(AND(ISNUMBER($AP$934),$B$677=1),$AP$934,HLOOKUP(INDIRECT(ADDRESS(2,COLUMN())),OFFSET($BN$2,0,0,ROW()-1,60),ROW()-1,FALSE))</f>
        <v/>
      </c>
      <c r="AQ266" t="str">
        <f ca="1">IF(AND(ISNUMBER($AQ$934),$B$677=1),$AQ$934,HLOOKUP(INDIRECT(ADDRESS(2,COLUMN())),OFFSET($BN$2,0,0,ROW()-1,60),ROW()-1,FALSE))</f>
        <v/>
      </c>
      <c r="AR266" t="str">
        <f ca="1">IF(AND(ISNUMBER($AR$934),$B$677=1),$AR$934,HLOOKUP(INDIRECT(ADDRESS(2,COLUMN())),OFFSET($BN$2,0,0,ROW()-1,60),ROW()-1,FALSE))</f>
        <v/>
      </c>
      <c r="AS266" t="str">
        <f ca="1">IF(AND(ISNUMBER($AS$934),$B$677=1),$AS$934,HLOOKUP(INDIRECT(ADDRESS(2,COLUMN())),OFFSET($BN$2,0,0,ROW()-1,60),ROW()-1,FALSE))</f>
        <v/>
      </c>
      <c r="AT266" t="str">
        <f ca="1">IF(AND(ISNUMBER($AT$934),$B$677=1),$AT$934,HLOOKUP(INDIRECT(ADDRESS(2,COLUMN())),OFFSET($BN$2,0,0,ROW()-1,60),ROW()-1,FALSE))</f>
        <v/>
      </c>
      <c r="AU266" t="str">
        <f ca="1">IF(AND(ISNUMBER($AU$934),$B$677=1),$AU$934,HLOOKUP(INDIRECT(ADDRESS(2,COLUMN())),OFFSET($BN$2,0,0,ROW()-1,60),ROW()-1,FALSE))</f>
        <v/>
      </c>
      <c r="AV266" t="str">
        <f ca="1">IF(AND(ISNUMBER($AV$934),$B$677=1),$AV$934,HLOOKUP(INDIRECT(ADDRESS(2,COLUMN())),OFFSET($BN$2,0,0,ROW()-1,60),ROW()-1,FALSE))</f>
        <v/>
      </c>
      <c r="AW266" t="str">
        <f ca="1">IF(AND(ISNUMBER($AW$934),$B$677=1),$AW$934,HLOOKUP(INDIRECT(ADDRESS(2,COLUMN())),OFFSET($BN$2,0,0,ROW()-1,60),ROW()-1,FALSE))</f>
        <v/>
      </c>
      <c r="AX266" t="str">
        <f ca="1">IF(AND(ISNUMBER($AX$934),$B$677=1),$AX$934,HLOOKUP(INDIRECT(ADDRESS(2,COLUMN())),OFFSET($BN$2,0,0,ROW()-1,60),ROW()-1,FALSE))</f>
        <v/>
      </c>
      <c r="AY266" t="str">
        <f ca="1">IF(AND(ISNUMBER($AY$934),$B$677=1),$AY$934,HLOOKUP(INDIRECT(ADDRESS(2,COLUMN())),OFFSET($BN$2,0,0,ROW()-1,60),ROW()-1,FALSE))</f>
        <v/>
      </c>
      <c r="AZ266" t="str">
        <f ca="1">IF(AND(ISNUMBER($AZ$934),$B$677=1),$AZ$934,HLOOKUP(INDIRECT(ADDRESS(2,COLUMN())),OFFSET($BN$2,0,0,ROW()-1,60),ROW()-1,FALSE))</f>
        <v/>
      </c>
      <c r="BA266" t="str">
        <f ca="1">IF(AND(ISNUMBER($BA$934),$B$677=1),$BA$934,HLOOKUP(INDIRECT(ADDRESS(2,COLUMN())),OFFSET($BN$2,0,0,ROW()-1,60),ROW()-1,FALSE))</f>
        <v/>
      </c>
      <c r="BB266" t="str">
        <f ca="1">IF(AND(ISNUMBER($BB$934),$B$677=1),$BB$934,HLOOKUP(INDIRECT(ADDRESS(2,COLUMN())),OFFSET($BN$2,0,0,ROW()-1,60),ROW()-1,FALSE))</f>
        <v/>
      </c>
      <c r="BC266" t="str">
        <f ca="1">IF(AND(ISNUMBER($BC$934),$B$677=1),$BC$934,HLOOKUP(INDIRECT(ADDRESS(2,COLUMN())),OFFSET($BN$2,0,0,ROW()-1,60),ROW()-1,FALSE))</f>
        <v/>
      </c>
      <c r="BD266" t="str">
        <f ca="1">IF(AND(ISNUMBER($BD$934),$B$677=1),$BD$934,HLOOKUP(INDIRECT(ADDRESS(2,COLUMN())),OFFSET($BN$2,0,0,ROW()-1,60),ROW()-1,FALSE))</f>
        <v/>
      </c>
      <c r="BE266" t="str">
        <f ca="1">IF(AND(ISNUMBER($BE$934),$B$677=1),$BE$934,HLOOKUP(INDIRECT(ADDRESS(2,COLUMN())),OFFSET($BN$2,0,0,ROW()-1,60),ROW()-1,FALSE))</f>
        <v/>
      </c>
      <c r="BF266" t="str">
        <f ca="1">IF(AND(ISNUMBER($BF$934),$B$677=1),$BF$934,HLOOKUP(INDIRECT(ADDRESS(2,COLUMN())),OFFSET($BN$2,0,0,ROW()-1,60),ROW()-1,FALSE))</f>
        <v/>
      </c>
      <c r="BG266" t="str">
        <f ca="1">IF(AND(ISNUMBER($BG$934),$B$677=1),$BG$934,HLOOKUP(INDIRECT(ADDRESS(2,COLUMN())),OFFSET($BN$2,0,0,ROW()-1,60),ROW()-1,FALSE))</f>
        <v/>
      </c>
      <c r="BH266" t="str">
        <f ca="1">IF(AND(ISNUMBER($BH$934),$B$677=1),$BH$934,HLOOKUP(INDIRECT(ADDRESS(2,COLUMN())),OFFSET($BN$2,0,0,ROW()-1,60),ROW()-1,FALSE))</f>
        <v/>
      </c>
      <c r="BI266" t="str">
        <f ca="1">IF(AND(ISNUMBER($BI$934),$B$677=1),$BI$934,HLOOKUP(INDIRECT(ADDRESS(2,COLUMN())),OFFSET($BN$2,0,0,ROW()-1,60),ROW()-1,FALSE))</f>
        <v/>
      </c>
      <c r="BJ266" t="str">
        <f ca="1">IF(AND(ISNUMBER($BJ$934),$B$677=1),$BJ$934,HLOOKUP(INDIRECT(ADDRESS(2,COLUMN())),OFFSET($BN$2,0,0,ROW()-1,60),ROW()-1,FALSE))</f>
        <v/>
      </c>
      <c r="BK266" t="str">
        <f ca="1">IF(AND(ISNUMBER($BK$934),$B$677=1),$BK$934,HLOOKUP(INDIRECT(ADDRESS(2,COLUMN())),OFFSET($BN$2,0,0,ROW()-1,60),ROW()-1,FALSE))</f>
        <v/>
      </c>
      <c r="BL266" t="str">
        <f ca="1">IF(AND(ISNUMBER($BL$934),$B$677=1),$BL$934,HLOOKUP(INDIRECT(ADDRESS(2,COLUMN())),OFFSET($BN$2,0,0,ROW()-1,60),ROW()-1,FALSE))</f>
        <v/>
      </c>
      <c r="BM266" t="str">
        <f ca="1">IF(AND(ISNUMBER($BM$934),$B$677=1),$BM$934,HLOOKUP(INDIRECT(ADDRESS(2,COLUMN())),OFFSET($BN$2,0,0,ROW()-1,60),ROW()-1,FALSE))</f>
        <v/>
      </c>
      <c r="BN266" t="str">
        <f>""</f>
        <v/>
      </c>
      <c r="BO266" t="str">
        <f>""</f>
        <v/>
      </c>
      <c r="BP266" t="str">
        <f>""</f>
        <v/>
      </c>
      <c r="BQ266" t="str">
        <f>""</f>
        <v/>
      </c>
      <c r="BR266" t="str">
        <f>""</f>
        <v/>
      </c>
      <c r="BS266" t="str">
        <f>""</f>
        <v/>
      </c>
      <c r="BT266" t="str">
        <f>""</f>
        <v/>
      </c>
      <c r="BU266" t="str">
        <f>""</f>
        <v/>
      </c>
      <c r="BV266" t="str">
        <f>""</f>
        <v/>
      </c>
      <c r="BW266" t="str">
        <f>""</f>
        <v/>
      </c>
      <c r="BX266" t="str">
        <f>""</f>
        <v/>
      </c>
      <c r="BY266" t="str">
        <f>""</f>
        <v/>
      </c>
      <c r="BZ266" t="str">
        <f>""</f>
        <v/>
      </c>
      <c r="CA266" t="str">
        <f>""</f>
        <v/>
      </c>
      <c r="CB266" t="str">
        <f>""</f>
        <v/>
      </c>
      <c r="CC266" t="str">
        <f>""</f>
        <v/>
      </c>
      <c r="CD266" t="str">
        <f>""</f>
        <v/>
      </c>
      <c r="CE266" t="str">
        <f>""</f>
        <v/>
      </c>
      <c r="CF266" t="str">
        <f>""</f>
        <v/>
      </c>
      <c r="CG266" t="str">
        <f>""</f>
        <v/>
      </c>
      <c r="CH266" t="str">
        <f>""</f>
        <v/>
      </c>
      <c r="CI266" t="str">
        <f>""</f>
        <v/>
      </c>
      <c r="CJ266" t="str">
        <f>""</f>
        <v/>
      </c>
      <c r="CK266" t="str">
        <f>""</f>
        <v/>
      </c>
      <c r="CL266" t="str">
        <f>""</f>
        <v/>
      </c>
      <c r="CM266" t="str">
        <f>""</f>
        <v/>
      </c>
      <c r="CN266" t="str">
        <f>""</f>
        <v/>
      </c>
      <c r="CO266" t="str">
        <f>""</f>
        <v/>
      </c>
      <c r="CP266" t="str">
        <f>""</f>
        <v/>
      </c>
      <c r="CQ266" t="str">
        <f>""</f>
        <v/>
      </c>
      <c r="CR266" t="str">
        <f>""</f>
        <v/>
      </c>
      <c r="CS266" t="str">
        <f>""</f>
        <v/>
      </c>
      <c r="CT266" t="str">
        <f>""</f>
        <v/>
      </c>
      <c r="CU266" t="str">
        <f>""</f>
        <v/>
      </c>
      <c r="CV266" t="str">
        <f>""</f>
        <v/>
      </c>
      <c r="CW266" t="str">
        <f>""</f>
        <v/>
      </c>
      <c r="CX266" t="str">
        <f>""</f>
        <v/>
      </c>
      <c r="CY266" t="str">
        <f>""</f>
        <v/>
      </c>
      <c r="CZ266" t="str">
        <f>""</f>
        <v/>
      </c>
      <c r="DA266" t="str">
        <f>""</f>
        <v/>
      </c>
      <c r="DB266" t="str">
        <f>""</f>
        <v/>
      </c>
      <c r="DC266" t="str">
        <f>""</f>
        <v/>
      </c>
      <c r="DD266" t="str">
        <f>""</f>
        <v/>
      </c>
      <c r="DE266" t="str">
        <f>""</f>
        <v/>
      </c>
      <c r="DF266" t="str">
        <f>""</f>
        <v/>
      </c>
      <c r="DG266" t="str">
        <f>""</f>
        <v/>
      </c>
      <c r="DH266" t="str">
        <f>""</f>
        <v/>
      </c>
      <c r="DI266" t="str">
        <f>""</f>
        <v/>
      </c>
      <c r="DJ266" t="str">
        <f>""</f>
        <v/>
      </c>
      <c r="DK266" t="str">
        <f>""</f>
        <v/>
      </c>
      <c r="DL266" t="str">
        <f>""</f>
        <v/>
      </c>
      <c r="DM266" t="str">
        <f>""</f>
        <v/>
      </c>
      <c r="DN266" t="str">
        <f>""</f>
        <v/>
      </c>
      <c r="DO266" t="str">
        <f>""</f>
        <v/>
      </c>
      <c r="DP266" t="str">
        <f>""</f>
        <v/>
      </c>
      <c r="DQ266" t="str">
        <f>""</f>
        <v/>
      </c>
      <c r="DR266" t="str">
        <f>""</f>
        <v/>
      </c>
      <c r="DS266" t="str">
        <f>""</f>
        <v/>
      </c>
      <c r="DT266" t="str">
        <f>""</f>
        <v/>
      </c>
      <c r="DU266" t="str">
        <f>""</f>
        <v/>
      </c>
    </row>
    <row r="267" spans="1:125" x14ac:dyDescent="0.25">
      <c r="A267" t="str">
        <f>"    General Motors Co"</f>
        <v xml:space="preserve">    General Motors Co</v>
      </c>
      <c r="B267" t="str">
        <f>"GM US Equity"</f>
        <v>GM US Equity</v>
      </c>
      <c r="C267" t="str">
        <f t="shared" si="18"/>
        <v>RR904</v>
      </c>
      <c r="D267" t="str">
        <f t="shared" si="19"/>
        <v>PX_TO_SALES_RATIO</v>
      </c>
      <c r="E267" t="str">
        <f t="shared" si="20"/>
        <v>Dynamic</v>
      </c>
      <c r="F267">
        <f ca="1">IF(AND(ISNUMBER($F$935),$B$677=1),$F$935,HLOOKUP(INDIRECT(ADDRESS(2,COLUMN())),OFFSET($BN$2,0,0,ROW()-1,60),ROW()-1,FALSE))</f>
        <v>0.37687077499999999</v>
      </c>
      <c r="G267">
        <f ca="1">IF(AND(ISNUMBER($G$935),$B$677=1),$G$935,HLOOKUP(INDIRECT(ADDRESS(2,COLUMN())),OFFSET($BN$2,0,0,ROW()-1,60),ROW()-1,FALSE))</f>
        <v>0.32097586099999997</v>
      </c>
      <c r="H267">
        <f ca="1">IF(AND(ISNUMBER($H$935),$B$677=1),$H$935,HLOOKUP(INDIRECT(ADDRESS(2,COLUMN())),OFFSET($BN$2,0,0,ROW()-1,60),ROW()-1,FALSE))</f>
        <v>0.324416239</v>
      </c>
      <c r="I267">
        <f ca="1">IF(AND(ISNUMBER($I$935),$B$677=1),$I$935,HLOOKUP(INDIRECT(ADDRESS(2,COLUMN())),OFFSET($BN$2,0,0,ROW()-1,60),ROW()-1,FALSE))</f>
        <v>0.38738654300000003</v>
      </c>
      <c r="J267">
        <f ca="1">IF(AND(ISNUMBER($J$935),$B$677=1),$J$935,HLOOKUP(INDIRECT(ADDRESS(2,COLUMN())),OFFSET($BN$2,0,0,ROW()-1,60),ROW()-1,FALSE))</f>
        <v>0.36216253700000001</v>
      </c>
      <c r="K267">
        <f ca="1">IF(AND(ISNUMBER($K$935),$B$677=1),$K$935,HLOOKUP(INDIRECT(ADDRESS(2,COLUMN())),OFFSET($BN$2,0,0,ROW()-1,60),ROW()-1,FALSE))</f>
        <v>0.41210619100000001</v>
      </c>
      <c r="L267">
        <f ca="1">IF(AND(ISNUMBER($L$935),$B$677=1),$L$935,HLOOKUP(INDIRECT(ADDRESS(2,COLUMN())),OFFSET($BN$2,0,0,ROW()-1,60),ROW()-1,FALSE))</f>
        <v>0.407664631</v>
      </c>
      <c r="M267">
        <f ca="1">IF(AND(ISNUMBER($M$935),$B$677=1),$M$935,HLOOKUP(INDIRECT(ADDRESS(2,COLUMN())),OFFSET($BN$2,0,0,ROW()-1,60),ROW()-1,FALSE))</f>
        <v>0.34627640900000001</v>
      </c>
      <c r="N267">
        <f ca="1">IF(AND(ISNUMBER($N$935),$B$677=1),$N$935,HLOOKUP(INDIRECT(ADDRESS(2,COLUMN())),OFFSET($BN$2,0,0,ROW()-1,60),ROW()-1,FALSE))</f>
        <v>0.35248267700000002</v>
      </c>
      <c r="O267">
        <f ca="1">IF(AND(ISNUMBER($O$935),$B$677=1),$O$935,HLOOKUP(INDIRECT(ADDRESS(2,COLUMN())),OFFSET($BN$2,0,0,ROW()-1,60),ROW()-1,FALSE))</f>
        <v>0.34958977800000002</v>
      </c>
      <c r="P267">
        <f ca="1">IF(AND(ISNUMBER($P$935),$B$677=1),$P$935,HLOOKUP(INDIRECT(ADDRESS(2,COLUMN())),OFFSET($BN$2,0,0,ROW()-1,60),ROW()-1,FALSE))</f>
        <v>0.32143123499999998</v>
      </c>
      <c r="Q267">
        <f ca="1">IF(AND(ISNUMBER($Q$935),$B$677=1),$Q$935,HLOOKUP(INDIRECT(ADDRESS(2,COLUMN())),OFFSET($BN$2,0,0,ROW()-1,60),ROW()-1,FALSE))</f>
        <v>0.28765878299999997</v>
      </c>
      <c r="R267">
        <f ca="1">IF(AND(ISNUMBER($R$935),$B$677=1),$R$935,HLOOKUP(INDIRECT(ADDRESS(2,COLUMN())),OFFSET($BN$2,0,0,ROW()-1,60),ROW()-1,FALSE))</f>
        <v>0.320212632</v>
      </c>
      <c r="S267">
        <f ca="1">IF(AND(ISNUMBER($S$935),$B$677=1),$S$935,HLOOKUP(INDIRECT(ADDRESS(2,COLUMN())),OFFSET($BN$2,0,0,ROW()-1,60),ROW()-1,FALSE))</f>
        <v>0.353774323</v>
      </c>
      <c r="T267">
        <f ca="1">IF(AND(ISNUMBER($T$935),$B$677=1),$T$935,HLOOKUP(INDIRECT(ADDRESS(2,COLUMN())),OFFSET($BN$2,0,0,ROW()-1,60),ROW()-1,FALSE))</f>
        <v>0.31533726000000001</v>
      </c>
      <c r="U267">
        <f ca="1">IF(AND(ISNUMBER($U$935),$B$677=1),$U$935,HLOOKUP(INDIRECT(ADDRESS(2,COLUMN())),OFFSET($BN$2,0,0,ROW()-1,60),ROW()-1,FALSE))</f>
        <v>0.35113612700000002</v>
      </c>
      <c r="V267">
        <f ca="1">IF(AND(ISNUMBER($V$935),$B$677=1),$V$935,HLOOKUP(INDIRECT(ADDRESS(2,COLUMN())),OFFSET($BN$2,0,0,ROW()-1,60),ROW()-1,FALSE))</f>
        <v>0.39203188500000002</v>
      </c>
      <c r="W267">
        <f ca="1">IF(AND(ISNUMBER($W$935),$B$677=1),$W$935,HLOOKUP(INDIRECT(ADDRESS(2,COLUMN())),OFFSET($BN$2,0,0,ROW()-1,60),ROW()-1,FALSE))</f>
        <v>0.35937207500000001</v>
      </c>
      <c r="X267">
        <f ca="1">IF(AND(ISNUMBER($X$935),$B$677=1),$X$935,HLOOKUP(INDIRECT(ADDRESS(2,COLUMN())),OFFSET($BN$2,0,0,ROW()-1,60),ROW()-1,FALSE))</f>
        <v>0.31707180699999998</v>
      </c>
      <c r="Y267">
        <f ca="1">IF(AND(ISNUMBER($Y$935),$B$677=1),$Y$935,HLOOKUP(INDIRECT(ADDRESS(2,COLUMN())),OFFSET($BN$2,0,0,ROW()-1,60),ROW()-1,FALSE))</f>
        <v>0.34733915399999998</v>
      </c>
      <c r="Z267">
        <f ca="1">IF(AND(ISNUMBER($Z$935),$B$677=1),$Z$935,HLOOKUP(INDIRECT(ADDRESS(2,COLUMN())),OFFSET($BN$2,0,0,ROW()-1,60),ROW()-1,FALSE))</f>
        <v>0.31797061700000001</v>
      </c>
      <c r="AA267">
        <f ca="1">IF(AND(ISNUMBER($AA$935),$B$677=1),$AA$935,HLOOKUP(INDIRECT(ADDRESS(2,COLUMN())),OFFSET($BN$2,0,0,ROW()-1,60),ROW()-1,FALSE))</f>
        <v>0.36634712400000002</v>
      </c>
      <c r="AB267">
        <f ca="1">IF(AND(ISNUMBER($AB$935),$B$677=1),$AB$935,HLOOKUP(INDIRECT(ADDRESS(2,COLUMN())),OFFSET($BN$2,0,0,ROW()-1,60),ROW()-1,FALSE))</f>
        <v>0.33090694799999998</v>
      </c>
      <c r="AC267">
        <f ca="1">IF(AND(ISNUMBER($AC$935),$B$677=1),$AC$935,HLOOKUP(INDIRECT(ADDRESS(2,COLUMN())),OFFSET($BN$2,0,0,ROW()-1,60),ROW()-1,FALSE))</f>
        <v>0.31872929700000002</v>
      </c>
      <c r="AD267">
        <f ca="1">IF(AND(ISNUMBER($AD$935),$B$677=1),$AD$935,HLOOKUP(INDIRECT(ADDRESS(2,COLUMN())),OFFSET($BN$2,0,0,ROW()-1,60),ROW()-1,FALSE))</f>
        <v>0.27796525599999999</v>
      </c>
      <c r="AE267">
        <f ca="1">IF(AND(ISNUMBER($AE$935),$B$677=1),$AE$935,HLOOKUP(INDIRECT(ADDRESS(2,COLUMN())),OFFSET($BN$2,0,0,ROW()-1,60),ROW()-1,FALSE))</f>
        <v>0.29654151400000001</v>
      </c>
      <c r="AF267">
        <f ca="1">IF(AND(ISNUMBER($AF$935),$B$677=1),$AF$935,HLOOKUP(INDIRECT(ADDRESS(2,COLUMN())),OFFSET($BN$2,0,0,ROW()-1,60),ROW()-1,FALSE))</f>
        <v>0.23674888899999999</v>
      </c>
      <c r="AG267">
        <f ca="1">IF(AND(ISNUMBER($AG$935),$B$677=1),$AG$935,HLOOKUP(INDIRECT(ADDRESS(2,COLUMN())),OFFSET($BN$2,0,0,ROW()-1,60),ROW()-1,FALSE))</f>
        <v>0.20613103799999999</v>
      </c>
      <c r="AH267">
        <f ca="1">IF(AND(ISNUMBER($AH$935),$B$677=1),$AH$935,HLOOKUP(INDIRECT(ADDRESS(2,COLUMN())),OFFSET($BN$2,0,0,ROW()-1,60),ROW()-1,FALSE))</f>
        <v>0.26212110599999999</v>
      </c>
      <c r="AI267">
        <f ca="1">IF(AND(ISNUMBER($AI$935),$B$677=1),$AI$935,HLOOKUP(INDIRECT(ADDRESS(2,COLUMN())),OFFSET($BN$2,0,0,ROW()-1,60),ROW()-1,FALSE))</f>
        <v>0.207045956</v>
      </c>
      <c r="AJ267">
        <f ca="1">IF(AND(ISNUMBER($AJ$935),$B$677=1),$AJ$935,HLOOKUP(INDIRECT(ADDRESS(2,COLUMN())),OFFSET($BN$2,0,0,ROW()-1,60),ROW()-1,FALSE))</f>
        <v>0.205311727</v>
      </c>
      <c r="AK267">
        <f ca="1">IF(AND(ISNUMBER($AK$935),$B$677=1),$AK$935,HLOOKUP(INDIRECT(ADDRESS(2,COLUMN())),OFFSET($BN$2,0,0,ROW()-1,60),ROW()-1,FALSE))</f>
        <v>0.31142119499999998</v>
      </c>
      <c r="AL267">
        <f ca="1">IF(AND(ISNUMBER($AL$935),$B$677=1),$AL$935,HLOOKUP(INDIRECT(ADDRESS(2,COLUMN())),OFFSET($BN$2,0,0,ROW()-1,60),ROW()-1,FALSE))</f>
        <v>0.33207379300000001</v>
      </c>
      <c r="AM267">
        <f ca="1">IF(AND(ISNUMBER($AM$935),$B$677=1),$AM$935,HLOOKUP(INDIRECT(ADDRESS(2,COLUMN())),OFFSET($BN$2,0,0,ROW()-1,60),ROW()-1,FALSE))</f>
        <v>0.407915164</v>
      </c>
      <c r="AN267" t="str">
        <f ca="1">IF(AND(ISNUMBER($AN$935),$B$677=1),$AN$935,HLOOKUP(INDIRECT(ADDRESS(2,COLUMN())),OFFSET($BN$2,0,0,ROW()-1,60),ROW()-1,FALSE))</f>
        <v/>
      </c>
      <c r="AO267" t="str">
        <f ca="1">IF(AND(ISNUMBER($AO$935),$B$677=1),$AO$935,HLOOKUP(INDIRECT(ADDRESS(2,COLUMN())),OFFSET($BN$2,0,0,ROW()-1,60),ROW()-1,FALSE))</f>
        <v/>
      </c>
      <c r="AP267" t="str">
        <f ca="1">IF(AND(ISNUMBER($AP$935),$B$677=1),$AP$935,HLOOKUP(INDIRECT(ADDRESS(2,COLUMN())),OFFSET($BN$2,0,0,ROW()-1,60),ROW()-1,FALSE))</f>
        <v/>
      </c>
      <c r="AQ267" t="str">
        <f ca="1">IF(AND(ISNUMBER($AQ$935),$B$677=1),$AQ$935,HLOOKUP(INDIRECT(ADDRESS(2,COLUMN())),OFFSET($BN$2,0,0,ROW()-1,60),ROW()-1,FALSE))</f>
        <v/>
      </c>
      <c r="AR267" t="str">
        <f ca="1">IF(AND(ISNUMBER($AR$935),$B$677=1),$AR$935,HLOOKUP(INDIRECT(ADDRESS(2,COLUMN())),OFFSET($BN$2,0,0,ROW()-1,60),ROW()-1,FALSE))</f>
        <v/>
      </c>
      <c r="AS267" t="str">
        <f ca="1">IF(AND(ISNUMBER($AS$935),$B$677=1),$AS$935,HLOOKUP(INDIRECT(ADDRESS(2,COLUMN())),OFFSET($BN$2,0,0,ROW()-1,60),ROW()-1,FALSE))</f>
        <v/>
      </c>
      <c r="AT267" t="str">
        <f ca="1">IF(AND(ISNUMBER($AT$935),$B$677=1),$AT$935,HLOOKUP(INDIRECT(ADDRESS(2,COLUMN())),OFFSET($BN$2,0,0,ROW()-1,60),ROW()-1,FALSE))</f>
        <v/>
      </c>
      <c r="AU267" t="str">
        <f ca="1">IF(AND(ISNUMBER($AU$935),$B$677=1),$AU$935,HLOOKUP(INDIRECT(ADDRESS(2,COLUMN())),OFFSET($BN$2,0,0,ROW()-1,60),ROW()-1,FALSE))</f>
        <v/>
      </c>
      <c r="AV267" t="str">
        <f ca="1">IF(AND(ISNUMBER($AV$935),$B$677=1),$AV$935,HLOOKUP(INDIRECT(ADDRESS(2,COLUMN())),OFFSET($BN$2,0,0,ROW()-1,60),ROW()-1,FALSE))</f>
        <v/>
      </c>
      <c r="AW267" t="str">
        <f ca="1">IF(AND(ISNUMBER($AW$935),$B$677=1),$AW$935,HLOOKUP(INDIRECT(ADDRESS(2,COLUMN())),OFFSET($BN$2,0,0,ROW()-1,60),ROW()-1,FALSE))</f>
        <v/>
      </c>
      <c r="AX267" t="str">
        <f ca="1">IF(AND(ISNUMBER($AX$935),$B$677=1),$AX$935,HLOOKUP(INDIRECT(ADDRESS(2,COLUMN())),OFFSET($BN$2,0,0,ROW()-1,60),ROW()-1,FALSE))</f>
        <v/>
      </c>
      <c r="AY267" t="str">
        <f ca="1">IF(AND(ISNUMBER($AY$935),$B$677=1),$AY$935,HLOOKUP(INDIRECT(ADDRESS(2,COLUMN())),OFFSET($BN$2,0,0,ROW()-1,60),ROW()-1,FALSE))</f>
        <v/>
      </c>
      <c r="AZ267" t="str">
        <f ca="1">IF(AND(ISNUMBER($AZ$935),$B$677=1),$AZ$935,HLOOKUP(INDIRECT(ADDRESS(2,COLUMN())),OFFSET($BN$2,0,0,ROW()-1,60),ROW()-1,FALSE))</f>
        <v/>
      </c>
      <c r="BA267" t="str">
        <f ca="1">IF(AND(ISNUMBER($BA$935),$B$677=1),$BA$935,HLOOKUP(INDIRECT(ADDRESS(2,COLUMN())),OFFSET($BN$2,0,0,ROW()-1,60),ROW()-1,FALSE))</f>
        <v/>
      </c>
      <c r="BB267" t="str">
        <f ca="1">IF(AND(ISNUMBER($BB$935),$B$677=1),$BB$935,HLOOKUP(INDIRECT(ADDRESS(2,COLUMN())),OFFSET($BN$2,0,0,ROW()-1,60),ROW()-1,FALSE))</f>
        <v/>
      </c>
      <c r="BC267" t="str">
        <f ca="1">IF(AND(ISNUMBER($BC$935),$B$677=1),$BC$935,HLOOKUP(INDIRECT(ADDRESS(2,COLUMN())),OFFSET($BN$2,0,0,ROW()-1,60),ROW()-1,FALSE))</f>
        <v/>
      </c>
      <c r="BD267" t="str">
        <f ca="1">IF(AND(ISNUMBER($BD$935),$B$677=1),$BD$935,HLOOKUP(INDIRECT(ADDRESS(2,COLUMN())),OFFSET($BN$2,0,0,ROW()-1,60),ROW()-1,FALSE))</f>
        <v/>
      </c>
      <c r="BE267" t="str">
        <f ca="1">IF(AND(ISNUMBER($BE$935),$B$677=1),$BE$935,HLOOKUP(INDIRECT(ADDRESS(2,COLUMN())),OFFSET($BN$2,0,0,ROW()-1,60),ROW()-1,FALSE))</f>
        <v/>
      </c>
      <c r="BF267" t="str">
        <f ca="1">IF(AND(ISNUMBER($BF$935),$B$677=1),$BF$935,HLOOKUP(INDIRECT(ADDRESS(2,COLUMN())),OFFSET($BN$2,0,0,ROW()-1,60),ROW()-1,FALSE))</f>
        <v/>
      </c>
      <c r="BG267" t="str">
        <f ca="1">IF(AND(ISNUMBER($BG$935),$B$677=1),$BG$935,HLOOKUP(INDIRECT(ADDRESS(2,COLUMN())),OFFSET($BN$2,0,0,ROW()-1,60),ROW()-1,FALSE))</f>
        <v/>
      </c>
      <c r="BH267" t="str">
        <f ca="1">IF(AND(ISNUMBER($BH$935),$B$677=1),$BH$935,HLOOKUP(INDIRECT(ADDRESS(2,COLUMN())),OFFSET($BN$2,0,0,ROW()-1,60),ROW()-1,FALSE))</f>
        <v/>
      </c>
      <c r="BI267" t="str">
        <f ca="1">IF(AND(ISNUMBER($BI$935),$B$677=1),$BI$935,HLOOKUP(INDIRECT(ADDRESS(2,COLUMN())),OFFSET($BN$2,0,0,ROW()-1,60),ROW()-1,FALSE))</f>
        <v/>
      </c>
      <c r="BJ267" t="str">
        <f ca="1">IF(AND(ISNUMBER($BJ$935),$B$677=1),$BJ$935,HLOOKUP(INDIRECT(ADDRESS(2,COLUMN())),OFFSET($BN$2,0,0,ROW()-1,60),ROW()-1,FALSE))</f>
        <v/>
      </c>
      <c r="BK267" t="str">
        <f ca="1">IF(AND(ISNUMBER($BK$935),$B$677=1),$BK$935,HLOOKUP(INDIRECT(ADDRESS(2,COLUMN())),OFFSET($BN$2,0,0,ROW()-1,60),ROW()-1,FALSE))</f>
        <v/>
      </c>
      <c r="BL267" t="str">
        <f ca="1">IF(AND(ISNUMBER($BL$935),$B$677=1),$BL$935,HLOOKUP(INDIRECT(ADDRESS(2,COLUMN())),OFFSET($BN$2,0,0,ROW()-1,60),ROW()-1,FALSE))</f>
        <v/>
      </c>
      <c r="BM267" t="str">
        <f ca="1">IF(AND(ISNUMBER($BM$935),$B$677=1),$BM$935,HLOOKUP(INDIRECT(ADDRESS(2,COLUMN())),OFFSET($BN$2,0,0,ROW()-1,60),ROW()-1,FALSE))</f>
        <v/>
      </c>
      <c r="BN267">
        <f>0.376870775</f>
        <v>0.37687077499999999</v>
      </c>
      <c r="BO267">
        <f>0.320975861</f>
        <v>0.32097586099999997</v>
      </c>
      <c r="BP267">
        <f>0.324416239</f>
        <v>0.324416239</v>
      </c>
      <c r="BQ267">
        <f>0.387386543</f>
        <v>0.38738654300000003</v>
      </c>
      <c r="BR267">
        <f>0.362162537</f>
        <v>0.36216253700000001</v>
      </c>
      <c r="BS267">
        <f>0.412106191</f>
        <v>0.41210619100000001</v>
      </c>
      <c r="BT267">
        <f>0.407664631</f>
        <v>0.407664631</v>
      </c>
      <c r="BU267">
        <f>0.346276409</f>
        <v>0.34627640900000001</v>
      </c>
      <c r="BV267">
        <f>0.352482677</f>
        <v>0.35248267700000002</v>
      </c>
      <c r="BW267">
        <f>0.349589778</f>
        <v>0.34958977800000002</v>
      </c>
      <c r="BX267">
        <f>0.321431235</f>
        <v>0.32143123499999998</v>
      </c>
      <c r="BY267">
        <f>0.287658783</f>
        <v>0.28765878299999997</v>
      </c>
      <c r="BZ267">
        <f>0.320212632</f>
        <v>0.320212632</v>
      </c>
      <c r="CA267">
        <f>0.353774323</f>
        <v>0.353774323</v>
      </c>
      <c r="CB267">
        <f>0.31533726</f>
        <v>0.31533726000000001</v>
      </c>
      <c r="CC267">
        <f>0.351136127</f>
        <v>0.35113612700000002</v>
      </c>
      <c r="CD267">
        <f>0.392031885</f>
        <v>0.39203188500000002</v>
      </c>
      <c r="CE267">
        <f>0.359372075</f>
        <v>0.35937207500000001</v>
      </c>
      <c r="CF267">
        <f>0.317071807</f>
        <v>0.31707180699999998</v>
      </c>
      <c r="CG267">
        <f>0.347339154</f>
        <v>0.34733915399999998</v>
      </c>
      <c r="CH267">
        <f>0.317970617</f>
        <v>0.31797061700000001</v>
      </c>
      <c r="CI267">
        <f>0.366347124</f>
        <v>0.36634712400000002</v>
      </c>
      <c r="CJ267">
        <f>0.330906948</f>
        <v>0.33090694799999998</v>
      </c>
      <c r="CK267">
        <f>0.318729297</f>
        <v>0.31872929700000002</v>
      </c>
      <c r="CL267">
        <f>0.277965256</f>
        <v>0.27796525599999999</v>
      </c>
      <c r="CM267">
        <f>0.296541514</f>
        <v>0.29654151400000001</v>
      </c>
      <c r="CN267">
        <f>0.236748889</f>
        <v>0.23674888899999999</v>
      </c>
      <c r="CO267">
        <f>0.206131038</f>
        <v>0.20613103799999999</v>
      </c>
      <c r="CP267">
        <f>0.262121106</f>
        <v>0.26212110599999999</v>
      </c>
      <c r="CQ267">
        <f>0.207045956</f>
        <v>0.207045956</v>
      </c>
      <c r="CR267">
        <f>0.205311727</f>
        <v>0.205311727</v>
      </c>
      <c r="CS267">
        <f>0.311421195</f>
        <v>0.31142119499999998</v>
      </c>
      <c r="CT267">
        <f>0.332073793</f>
        <v>0.33207379300000001</v>
      </c>
      <c r="CU267">
        <f>0.407915164</f>
        <v>0.407915164</v>
      </c>
      <c r="CV267" t="str">
        <f>""</f>
        <v/>
      </c>
      <c r="CW267" t="str">
        <f>""</f>
        <v/>
      </c>
      <c r="CX267" t="str">
        <f>""</f>
        <v/>
      </c>
      <c r="CY267" t="str">
        <f>""</f>
        <v/>
      </c>
      <c r="CZ267" t="str">
        <f>""</f>
        <v/>
      </c>
      <c r="DA267" t="str">
        <f>""</f>
        <v/>
      </c>
      <c r="DB267" t="str">
        <f>""</f>
        <v/>
      </c>
      <c r="DC267" t="str">
        <f>""</f>
        <v/>
      </c>
      <c r="DD267" t="str">
        <f>""</f>
        <v/>
      </c>
      <c r="DE267" t="str">
        <f>""</f>
        <v/>
      </c>
      <c r="DF267" t="str">
        <f>""</f>
        <v/>
      </c>
      <c r="DG267" t="str">
        <f>""</f>
        <v/>
      </c>
      <c r="DH267" t="str">
        <f>""</f>
        <v/>
      </c>
      <c r="DI267" t="str">
        <f>""</f>
        <v/>
      </c>
      <c r="DJ267" t="str">
        <f>""</f>
        <v/>
      </c>
      <c r="DK267" t="str">
        <f>""</f>
        <v/>
      </c>
      <c r="DL267" t="str">
        <f>""</f>
        <v/>
      </c>
      <c r="DM267" t="str">
        <f>""</f>
        <v/>
      </c>
      <c r="DN267" t="str">
        <f>""</f>
        <v/>
      </c>
      <c r="DO267" t="str">
        <f>""</f>
        <v/>
      </c>
      <c r="DP267" t="str">
        <f>""</f>
        <v/>
      </c>
      <c r="DQ267" t="str">
        <f>""</f>
        <v/>
      </c>
      <c r="DR267" t="str">
        <f>""</f>
        <v/>
      </c>
      <c r="DS267" t="str">
        <f>""</f>
        <v/>
      </c>
      <c r="DT267" t="str">
        <f>""</f>
        <v/>
      </c>
      <c r="DU267" t="str">
        <f>""</f>
        <v/>
      </c>
    </row>
    <row r="268" spans="1:125" x14ac:dyDescent="0.25">
      <c r="A268" t="str">
        <f>"    Great Wall Motor Co Ltd"</f>
        <v xml:space="preserve">    Great Wall Motor Co Ltd</v>
      </c>
      <c r="B268" t="str">
        <f>"2333 HK Equity"</f>
        <v>2333 HK Equity</v>
      </c>
      <c r="C268" t="str">
        <f t="shared" si="18"/>
        <v>RR904</v>
      </c>
      <c r="D268" t="str">
        <f t="shared" si="19"/>
        <v>PX_TO_SALES_RATIO</v>
      </c>
      <c r="E268" t="str">
        <f t="shared" si="20"/>
        <v>Dynamic</v>
      </c>
      <c r="F268">
        <f ca="1">IF(AND(ISNUMBER($F$936),$B$677=1),$F$936,HLOOKUP(INDIRECT(ADDRESS(2,COLUMN())),OFFSET($BN$2,0,0,ROW()-1,60),ROW()-1,FALSE))</f>
        <v>0.50917504099999999</v>
      </c>
      <c r="G268">
        <f ca="1">IF(AND(ISNUMBER($G$936),$B$677=1),$G$936,HLOOKUP(INDIRECT(ADDRESS(2,COLUMN())),OFFSET($BN$2,0,0,ROW()-1,60),ROW()-1,FALSE))</f>
        <v>0.35887532100000002</v>
      </c>
      <c r="H268">
        <f ca="1">IF(AND(ISNUMBER($H$936),$B$677=1),$H$936,HLOOKUP(INDIRECT(ADDRESS(2,COLUMN())),OFFSET($BN$2,0,0,ROW()-1,60),ROW()-1,FALSE))</f>
        <v>0.39863513099999998</v>
      </c>
      <c r="I268">
        <f ca="1">IF(AND(ISNUMBER($I$936),$B$677=1),$I$936,HLOOKUP(INDIRECT(ADDRESS(2,COLUMN())),OFFSET($BN$2,0,0,ROW()-1,60),ROW()-1,FALSE))</f>
        <v>0.44321408499999998</v>
      </c>
      <c r="J268">
        <f ca="1">IF(AND(ISNUMBER($J$936),$B$677=1),$J$936,HLOOKUP(INDIRECT(ADDRESS(2,COLUMN())),OFFSET($BN$2,0,0,ROW()-1,60),ROW()-1,FALSE))</f>
        <v>0.57526867199999998</v>
      </c>
      <c r="K268">
        <f ca="1">IF(AND(ISNUMBER($K$936),$B$677=1),$K$936,HLOOKUP(INDIRECT(ADDRESS(2,COLUMN())),OFFSET($BN$2,0,0,ROW()-1,60),ROW()-1,FALSE))</f>
        <v>0.69951095600000002</v>
      </c>
      <c r="L268">
        <f ca="1">IF(AND(ISNUMBER($L$936),$B$677=1),$L$936,HLOOKUP(INDIRECT(ADDRESS(2,COLUMN())),OFFSET($BN$2,0,0,ROW()-1,60),ROW()-1,FALSE))</f>
        <v>0.78562435500000005</v>
      </c>
      <c r="M268">
        <f ca="1">IF(AND(ISNUMBER($M$936),$B$677=1),$M$936,HLOOKUP(INDIRECT(ADDRESS(2,COLUMN())),OFFSET($BN$2,0,0,ROW()-1,60),ROW()-1,FALSE))</f>
        <v>0.80691405199999999</v>
      </c>
      <c r="N268">
        <f ca="1">IF(AND(ISNUMBER($N$936),$B$677=1),$N$936,HLOOKUP(INDIRECT(ADDRESS(2,COLUMN())),OFFSET($BN$2,0,0,ROW()-1,60),ROW()-1,FALSE))</f>
        <v>0.73528022999999998</v>
      </c>
      <c r="O268">
        <f ca="1">IF(AND(ISNUMBER($O$936),$B$677=1),$O$936,HLOOKUP(INDIRECT(ADDRESS(2,COLUMN())),OFFSET($BN$2,0,0,ROW()-1,60),ROW()-1,FALSE))</f>
        <v>0.62397895599999997</v>
      </c>
      <c r="P268">
        <f ca="1">IF(AND(ISNUMBER($P$936),$B$677=1),$P$936,HLOOKUP(INDIRECT(ADDRESS(2,COLUMN())),OFFSET($BN$2,0,0,ROW()-1,60),ROW()-1,FALSE))</f>
        <v>0.70862106700000005</v>
      </c>
      <c r="Q268">
        <f ca="1">IF(AND(ISNUMBER($Q$936),$B$677=1),$Q$936,HLOOKUP(INDIRECT(ADDRESS(2,COLUMN())),OFFSET($BN$2,0,0,ROW()-1,60),ROW()-1,FALSE))</f>
        <v>0.64878655399999996</v>
      </c>
      <c r="R268">
        <f ca="1">IF(AND(ISNUMBER($R$936),$B$677=1),$R$936,HLOOKUP(INDIRECT(ADDRESS(2,COLUMN())),OFFSET($BN$2,0,0,ROW()-1,60),ROW()-1,FALSE))</f>
        <v>0.64116990699999998</v>
      </c>
      <c r="S268">
        <f ca="1">IF(AND(ISNUMBER($S$936),$B$677=1),$S$936,HLOOKUP(INDIRECT(ADDRESS(2,COLUMN())),OFFSET($BN$2,0,0,ROW()-1,60),ROW()-1,FALSE))</f>
        <v>0.94319825899999998</v>
      </c>
      <c r="T268">
        <f ca="1">IF(AND(ISNUMBER($T$936),$B$677=1),$T$936,HLOOKUP(INDIRECT(ADDRESS(2,COLUMN())),OFFSET($BN$2,0,0,ROW()-1,60),ROW()-1,FALSE))</f>
        <v>0.91682801400000002</v>
      </c>
      <c r="U268">
        <f ca="1">IF(AND(ISNUMBER($U$936),$B$677=1),$U$936,HLOOKUP(INDIRECT(ADDRESS(2,COLUMN())),OFFSET($BN$2,0,0,ROW()-1,60),ROW()-1,FALSE))</f>
        <v>1.3476251429999999</v>
      </c>
      <c r="V268">
        <f ca="1">IF(AND(ISNUMBER($V$936),$B$677=1),$V$936,HLOOKUP(INDIRECT(ADDRESS(2,COLUMN())),OFFSET($BN$2,0,0,ROW()-1,60),ROW()-1,FALSE))</f>
        <v>2.0599661459999998</v>
      </c>
      <c r="W268">
        <f ca="1">IF(AND(ISNUMBER($W$936),$B$677=1),$W$936,HLOOKUP(INDIRECT(ADDRESS(2,COLUMN())),OFFSET($BN$2,0,0,ROW()-1,60),ROW()-1,FALSE))</f>
        <v>1.7807559690000001</v>
      </c>
      <c r="X268">
        <f ca="1">IF(AND(ISNUMBER($X$936),$B$677=1),$X$936,HLOOKUP(INDIRECT(ADDRESS(2,COLUMN())),OFFSET($BN$2,0,0,ROW()-1,60),ROW()-1,FALSE))</f>
        <v>1.2832842310000001</v>
      </c>
      <c r="Y268">
        <f ca="1">IF(AND(ISNUMBER($Y$936),$B$677=1),$Y$936,HLOOKUP(INDIRECT(ADDRESS(2,COLUMN())),OFFSET($BN$2,0,0,ROW()-1,60),ROW()-1,FALSE))</f>
        <v>1.234706576</v>
      </c>
      <c r="Z268">
        <f ca="1">IF(AND(ISNUMBER($Z$936),$B$677=1),$Z$936,HLOOKUP(INDIRECT(ADDRESS(2,COLUMN())),OFFSET($BN$2,0,0,ROW()-1,60),ROW()-1,FALSE))</f>
        <v>1.674391395</v>
      </c>
      <c r="AA268">
        <f ca="1">IF(AND(ISNUMBER($AA$936),$B$677=1),$AA$936,HLOOKUP(INDIRECT(ADDRESS(2,COLUMN())),OFFSET($BN$2,0,0,ROW()-1,60),ROW()-1,FALSE))</f>
        <v>1.857259153</v>
      </c>
      <c r="AB268">
        <f ca="1">IF(AND(ISNUMBER($AB$936),$B$677=1),$AB$936,HLOOKUP(INDIRECT(ADDRESS(2,COLUMN())),OFFSET($BN$2,0,0,ROW()-1,60),ROW()-1,FALSE))</f>
        <v>1.9238018509999999</v>
      </c>
      <c r="AC268">
        <f ca="1">IF(AND(ISNUMBER($AC$936),$B$677=1),$AC$936,HLOOKUP(INDIRECT(ADDRESS(2,COLUMN())),OFFSET($BN$2,0,0,ROW()-1,60),ROW()-1,FALSE))</f>
        <v>1.6301217130000001</v>
      </c>
      <c r="AD268">
        <f ca="1">IF(AND(ISNUMBER($AD$936),$B$677=1),$AD$936,HLOOKUP(INDIRECT(ADDRESS(2,COLUMN())),OFFSET($BN$2,0,0,ROW()-1,60),ROW()-1,FALSE))</f>
        <v>1.410505637</v>
      </c>
      <c r="AE268">
        <f ca="1">IF(AND(ISNUMBER($AE$936),$B$677=1),$AE$936,HLOOKUP(INDIRECT(ADDRESS(2,COLUMN())),OFFSET($BN$2,0,0,ROW()-1,60),ROW()-1,FALSE))</f>
        <v>1.4396366439999999</v>
      </c>
      <c r="AF268">
        <f ca="1">IF(AND(ISNUMBER($AF$936),$B$677=1),$AF$936,HLOOKUP(INDIRECT(ADDRESS(2,COLUMN())),OFFSET($BN$2,0,0,ROW()-1,60),ROW()-1,FALSE))</f>
        <v>0.95011174399999998</v>
      </c>
      <c r="AG268">
        <f ca="1">IF(AND(ISNUMBER($AG$936),$B$677=1),$AG$936,HLOOKUP(INDIRECT(ADDRESS(2,COLUMN())),OFFSET($BN$2,0,0,ROW()-1,60),ROW()-1,FALSE))</f>
        <v>0.77737100100000001</v>
      </c>
      <c r="AH268" t="str">
        <f ca="1">IF(AND(ISNUMBER($AH$936),$B$677=1),$AH$936,HLOOKUP(INDIRECT(ADDRESS(2,COLUMN())),OFFSET($BN$2,0,0,ROW()-1,60),ROW()-1,FALSE))</f>
        <v/>
      </c>
      <c r="AI268" t="str">
        <f ca="1">IF(AND(ISNUMBER($AI$936),$B$677=1),$AI$936,HLOOKUP(INDIRECT(ADDRESS(2,COLUMN())),OFFSET($BN$2,0,0,ROW()-1,60),ROW()-1,FALSE))</f>
        <v/>
      </c>
      <c r="AJ268" t="str">
        <f ca="1">IF(AND(ISNUMBER($AJ$936),$B$677=1),$AJ$936,HLOOKUP(INDIRECT(ADDRESS(2,COLUMN())),OFFSET($BN$2,0,0,ROW()-1,60),ROW()-1,FALSE))</f>
        <v/>
      </c>
      <c r="AK268" t="str">
        <f ca="1">IF(AND(ISNUMBER($AK$936),$B$677=1),$AK$936,HLOOKUP(INDIRECT(ADDRESS(2,COLUMN())),OFFSET($BN$2,0,0,ROW()-1,60),ROW()-1,FALSE))</f>
        <v/>
      </c>
      <c r="AL268" t="str">
        <f ca="1">IF(AND(ISNUMBER($AL$936),$B$677=1),$AL$936,HLOOKUP(INDIRECT(ADDRESS(2,COLUMN())),OFFSET($BN$2,0,0,ROW()-1,60),ROW()-1,FALSE))</f>
        <v/>
      </c>
      <c r="AM268" t="str">
        <f ca="1">IF(AND(ISNUMBER($AM$936),$B$677=1),$AM$936,HLOOKUP(INDIRECT(ADDRESS(2,COLUMN())),OFFSET($BN$2,0,0,ROW()-1,60),ROW()-1,FALSE))</f>
        <v/>
      </c>
      <c r="AN268" t="str">
        <f ca="1">IF(AND(ISNUMBER($AN$936),$B$677=1),$AN$936,HLOOKUP(INDIRECT(ADDRESS(2,COLUMN())),OFFSET($BN$2,0,0,ROW()-1,60),ROW()-1,FALSE))</f>
        <v/>
      </c>
      <c r="AO268" t="str">
        <f ca="1">IF(AND(ISNUMBER($AO$936),$B$677=1),$AO$936,HLOOKUP(INDIRECT(ADDRESS(2,COLUMN())),OFFSET($BN$2,0,0,ROW()-1,60),ROW()-1,FALSE))</f>
        <v/>
      </c>
      <c r="AP268" t="str">
        <f ca="1">IF(AND(ISNUMBER($AP$936),$B$677=1),$AP$936,HLOOKUP(INDIRECT(ADDRESS(2,COLUMN())),OFFSET($BN$2,0,0,ROW()-1,60),ROW()-1,FALSE))</f>
        <v/>
      </c>
      <c r="AQ268" t="str">
        <f ca="1">IF(AND(ISNUMBER($AQ$936),$B$677=1),$AQ$936,HLOOKUP(INDIRECT(ADDRESS(2,COLUMN())),OFFSET($BN$2,0,0,ROW()-1,60),ROW()-1,FALSE))</f>
        <v/>
      </c>
      <c r="AR268" t="str">
        <f ca="1">IF(AND(ISNUMBER($AR$936),$B$677=1),$AR$936,HLOOKUP(INDIRECT(ADDRESS(2,COLUMN())),OFFSET($BN$2,0,0,ROW()-1,60),ROW()-1,FALSE))</f>
        <v/>
      </c>
      <c r="AS268" t="str">
        <f ca="1">IF(AND(ISNUMBER($AS$936),$B$677=1),$AS$936,HLOOKUP(INDIRECT(ADDRESS(2,COLUMN())),OFFSET($BN$2,0,0,ROW()-1,60),ROW()-1,FALSE))</f>
        <v/>
      </c>
      <c r="AT268" t="str">
        <f ca="1">IF(AND(ISNUMBER($AT$936),$B$677=1),$AT$936,HLOOKUP(INDIRECT(ADDRESS(2,COLUMN())),OFFSET($BN$2,0,0,ROW()-1,60),ROW()-1,FALSE))</f>
        <v/>
      </c>
      <c r="AU268" t="str">
        <f ca="1">IF(AND(ISNUMBER($AU$936),$B$677=1),$AU$936,HLOOKUP(INDIRECT(ADDRESS(2,COLUMN())),OFFSET($BN$2,0,0,ROW()-1,60),ROW()-1,FALSE))</f>
        <v/>
      </c>
      <c r="AV268" t="str">
        <f ca="1">IF(AND(ISNUMBER($AV$936),$B$677=1),$AV$936,HLOOKUP(INDIRECT(ADDRESS(2,COLUMN())),OFFSET($BN$2,0,0,ROW()-1,60),ROW()-1,FALSE))</f>
        <v/>
      </c>
      <c r="AW268" t="str">
        <f ca="1">IF(AND(ISNUMBER($AW$936),$B$677=1),$AW$936,HLOOKUP(INDIRECT(ADDRESS(2,COLUMN())),OFFSET($BN$2,0,0,ROW()-1,60),ROW()-1,FALSE))</f>
        <v/>
      </c>
      <c r="AX268" t="str">
        <f ca="1">IF(AND(ISNUMBER($AX$936),$B$677=1),$AX$936,HLOOKUP(INDIRECT(ADDRESS(2,COLUMN())),OFFSET($BN$2,0,0,ROW()-1,60),ROW()-1,FALSE))</f>
        <v/>
      </c>
      <c r="AY268" t="str">
        <f ca="1">IF(AND(ISNUMBER($AY$936),$B$677=1),$AY$936,HLOOKUP(INDIRECT(ADDRESS(2,COLUMN())),OFFSET($BN$2,0,0,ROW()-1,60),ROW()-1,FALSE))</f>
        <v/>
      </c>
      <c r="AZ268" t="str">
        <f ca="1">IF(AND(ISNUMBER($AZ$936),$B$677=1),$AZ$936,HLOOKUP(INDIRECT(ADDRESS(2,COLUMN())),OFFSET($BN$2,0,0,ROW()-1,60),ROW()-1,FALSE))</f>
        <v/>
      </c>
      <c r="BA268" t="str">
        <f ca="1">IF(AND(ISNUMBER($BA$936),$B$677=1),$BA$936,HLOOKUP(INDIRECT(ADDRESS(2,COLUMN())),OFFSET($BN$2,0,0,ROW()-1,60),ROW()-1,FALSE))</f>
        <v/>
      </c>
      <c r="BB268" t="str">
        <f ca="1">IF(AND(ISNUMBER($BB$936),$B$677=1),$BB$936,HLOOKUP(INDIRECT(ADDRESS(2,COLUMN())),OFFSET($BN$2,0,0,ROW()-1,60),ROW()-1,FALSE))</f>
        <v/>
      </c>
      <c r="BC268" t="str">
        <f ca="1">IF(AND(ISNUMBER($BC$936),$B$677=1),$BC$936,HLOOKUP(INDIRECT(ADDRESS(2,COLUMN())),OFFSET($BN$2,0,0,ROW()-1,60),ROW()-1,FALSE))</f>
        <v/>
      </c>
      <c r="BD268" t="str">
        <f ca="1">IF(AND(ISNUMBER($BD$936),$B$677=1),$BD$936,HLOOKUP(INDIRECT(ADDRESS(2,COLUMN())),OFFSET($BN$2,0,0,ROW()-1,60),ROW()-1,FALSE))</f>
        <v/>
      </c>
      <c r="BE268" t="str">
        <f ca="1">IF(AND(ISNUMBER($BE$936),$B$677=1),$BE$936,HLOOKUP(INDIRECT(ADDRESS(2,COLUMN())),OFFSET($BN$2,0,0,ROW()-1,60),ROW()-1,FALSE))</f>
        <v/>
      </c>
      <c r="BF268" t="str">
        <f ca="1">IF(AND(ISNUMBER($BF$936),$B$677=1),$BF$936,HLOOKUP(INDIRECT(ADDRESS(2,COLUMN())),OFFSET($BN$2,0,0,ROW()-1,60),ROW()-1,FALSE))</f>
        <v/>
      </c>
      <c r="BG268" t="str">
        <f ca="1">IF(AND(ISNUMBER($BG$936),$B$677=1),$BG$936,HLOOKUP(INDIRECT(ADDRESS(2,COLUMN())),OFFSET($BN$2,0,0,ROW()-1,60),ROW()-1,FALSE))</f>
        <v/>
      </c>
      <c r="BH268" t="str">
        <f ca="1">IF(AND(ISNUMBER($BH$936),$B$677=1),$BH$936,HLOOKUP(INDIRECT(ADDRESS(2,COLUMN())),OFFSET($BN$2,0,0,ROW()-1,60),ROW()-1,FALSE))</f>
        <v/>
      </c>
      <c r="BI268" t="str">
        <f ca="1">IF(AND(ISNUMBER($BI$936),$B$677=1),$BI$936,HLOOKUP(INDIRECT(ADDRESS(2,COLUMN())),OFFSET($BN$2,0,0,ROW()-1,60),ROW()-1,FALSE))</f>
        <v/>
      </c>
      <c r="BJ268" t="str">
        <f ca="1">IF(AND(ISNUMBER($BJ$936),$B$677=1),$BJ$936,HLOOKUP(INDIRECT(ADDRESS(2,COLUMN())),OFFSET($BN$2,0,0,ROW()-1,60),ROW()-1,FALSE))</f>
        <v/>
      </c>
      <c r="BK268" t="str">
        <f ca="1">IF(AND(ISNUMBER($BK$936),$B$677=1),$BK$936,HLOOKUP(INDIRECT(ADDRESS(2,COLUMN())),OFFSET($BN$2,0,0,ROW()-1,60),ROW()-1,FALSE))</f>
        <v/>
      </c>
      <c r="BL268" t="str">
        <f ca="1">IF(AND(ISNUMBER($BL$936),$B$677=1),$BL$936,HLOOKUP(INDIRECT(ADDRESS(2,COLUMN())),OFFSET($BN$2,0,0,ROW()-1,60),ROW()-1,FALSE))</f>
        <v/>
      </c>
      <c r="BM268" t="str">
        <f ca="1">IF(AND(ISNUMBER($BM$936),$B$677=1),$BM$936,HLOOKUP(INDIRECT(ADDRESS(2,COLUMN())),OFFSET($BN$2,0,0,ROW()-1,60),ROW()-1,FALSE))</f>
        <v/>
      </c>
      <c r="BN268">
        <f>0.509175041</f>
        <v>0.50917504099999999</v>
      </c>
      <c r="BO268">
        <f>0.358875321</f>
        <v>0.35887532100000002</v>
      </c>
      <c r="BP268">
        <f>0.398635131</f>
        <v>0.39863513099999998</v>
      </c>
      <c r="BQ268">
        <f>0.443214085</f>
        <v>0.44321408499999998</v>
      </c>
      <c r="BR268">
        <f>0.575268672</f>
        <v>0.57526867199999998</v>
      </c>
      <c r="BS268">
        <f>0.699510956</f>
        <v>0.69951095600000002</v>
      </c>
      <c r="BT268">
        <f>0.785624355</f>
        <v>0.78562435500000005</v>
      </c>
      <c r="BU268">
        <f>0.806914052</f>
        <v>0.80691405199999999</v>
      </c>
      <c r="BV268">
        <f>0.73528023</f>
        <v>0.73528022999999998</v>
      </c>
      <c r="BW268">
        <f>0.623978956</f>
        <v>0.62397895599999997</v>
      </c>
      <c r="BX268">
        <f>0.708621067</f>
        <v>0.70862106700000005</v>
      </c>
      <c r="BY268">
        <f>0.648786554</f>
        <v>0.64878655399999996</v>
      </c>
      <c r="BZ268">
        <f>0.641169907</f>
        <v>0.64116990699999998</v>
      </c>
      <c r="CA268">
        <f>0.943198259</f>
        <v>0.94319825899999998</v>
      </c>
      <c r="CB268">
        <f>0.916828014</f>
        <v>0.91682801400000002</v>
      </c>
      <c r="CC268">
        <f>1.347625143</f>
        <v>1.3476251429999999</v>
      </c>
      <c r="CD268">
        <f>2.059966146</f>
        <v>2.0599661459999998</v>
      </c>
      <c r="CE268">
        <f>1.780755969</f>
        <v>1.7807559690000001</v>
      </c>
      <c r="CF268">
        <f>1.283284231</f>
        <v>1.2832842310000001</v>
      </c>
      <c r="CG268">
        <f>1.234706576</f>
        <v>1.234706576</v>
      </c>
      <c r="CH268">
        <f>1.674391395</f>
        <v>1.674391395</v>
      </c>
      <c r="CI268">
        <f>1.857259153</f>
        <v>1.857259153</v>
      </c>
      <c r="CJ268">
        <f>1.923801851</f>
        <v>1.9238018509999999</v>
      </c>
      <c r="CK268">
        <f>1.630121713</f>
        <v>1.6301217130000001</v>
      </c>
      <c r="CL268">
        <f>1.410505637</f>
        <v>1.410505637</v>
      </c>
      <c r="CM268">
        <f>1.439636644</f>
        <v>1.4396366439999999</v>
      </c>
      <c r="CN268">
        <f>0.950111744</f>
        <v>0.95011174399999998</v>
      </c>
      <c r="CO268">
        <f>0.777371001</f>
        <v>0.77737100100000001</v>
      </c>
      <c r="CP268" t="str">
        <f>""</f>
        <v/>
      </c>
      <c r="CQ268" t="str">
        <f>""</f>
        <v/>
      </c>
      <c r="CR268" t="str">
        <f>""</f>
        <v/>
      </c>
      <c r="CS268" t="str">
        <f>""</f>
        <v/>
      </c>
      <c r="CT268" t="str">
        <f>""</f>
        <v/>
      </c>
      <c r="CU268" t="str">
        <f>""</f>
        <v/>
      </c>
      <c r="CV268" t="str">
        <f>""</f>
        <v/>
      </c>
      <c r="CW268" t="str">
        <f>""</f>
        <v/>
      </c>
      <c r="CX268" t="str">
        <f>""</f>
        <v/>
      </c>
      <c r="CY268" t="str">
        <f>""</f>
        <v/>
      </c>
      <c r="CZ268" t="str">
        <f>""</f>
        <v/>
      </c>
      <c r="DA268" t="str">
        <f>""</f>
        <v/>
      </c>
      <c r="DB268" t="str">
        <f>""</f>
        <v/>
      </c>
      <c r="DC268" t="str">
        <f>""</f>
        <v/>
      </c>
      <c r="DD268" t="str">
        <f>""</f>
        <v/>
      </c>
      <c r="DE268" t="str">
        <f>""</f>
        <v/>
      </c>
      <c r="DF268" t="str">
        <f>""</f>
        <v/>
      </c>
      <c r="DG268" t="str">
        <f>""</f>
        <v/>
      </c>
      <c r="DH268" t="str">
        <f>""</f>
        <v/>
      </c>
      <c r="DI268" t="str">
        <f>""</f>
        <v/>
      </c>
      <c r="DJ268" t="str">
        <f>""</f>
        <v/>
      </c>
      <c r="DK268" t="str">
        <f>""</f>
        <v/>
      </c>
      <c r="DL268" t="str">
        <f>""</f>
        <v/>
      </c>
      <c r="DM268" t="str">
        <f>""</f>
        <v/>
      </c>
      <c r="DN268" t="str">
        <f>""</f>
        <v/>
      </c>
      <c r="DO268" t="str">
        <f>""</f>
        <v/>
      </c>
      <c r="DP268" t="str">
        <f>""</f>
        <v/>
      </c>
      <c r="DQ268" t="str">
        <f>""</f>
        <v/>
      </c>
      <c r="DR268" t="str">
        <f>""</f>
        <v/>
      </c>
      <c r="DS268" t="str">
        <f>""</f>
        <v/>
      </c>
      <c r="DT268" t="str">
        <f>""</f>
        <v/>
      </c>
      <c r="DU268" t="str">
        <f>""</f>
        <v/>
      </c>
    </row>
    <row r="269" spans="1:125" x14ac:dyDescent="0.25">
      <c r="A269" t="str">
        <f>"    Guangzhou Automobile Group Co Ltd"</f>
        <v xml:space="preserve">    Guangzhou Automobile Group Co Ltd</v>
      </c>
      <c r="B269" t="str">
        <f>"2238 HK Equity"</f>
        <v>2238 HK Equity</v>
      </c>
      <c r="C269" t="str">
        <f t="shared" si="18"/>
        <v>RR904</v>
      </c>
      <c r="D269" t="str">
        <f t="shared" si="19"/>
        <v>PX_TO_SALES_RATIO</v>
      </c>
      <c r="E269" t="str">
        <f t="shared" si="20"/>
        <v>Dynamic</v>
      </c>
      <c r="F269">
        <f ca="1">IF(AND(ISNUMBER($F$937),$B$677=1),$F$937,HLOOKUP(INDIRECT(ADDRESS(2,COLUMN())),OFFSET($BN$2,0,0,ROW()-1,60),ROW()-1,FALSE))</f>
        <v>1.1882884499999999</v>
      </c>
      <c r="G269">
        <f ca="1">IF(AND(ISNUMBER($G$937),$B$677=1),$G$937,HLOOKUP(INDIRECT(ADDRESS(2,COLUMN())),OFFSET($BN$2,0,0,ROW()-1,60),ROW()-1,FALSE))</f>
        <v>0.96335091299999998</v>
      </c>
      <c r="H269">
        <f ca="1">IF(AND(ISNUMBER($H$937),$B$677=1),$H$937,HLOOKUP(INDIRECT(ADDRESS(2,COLUMN())),OFFSET($BN$2,0,0,ROW()-1,60),ROW()-1,FALSE))</f>
        <v>1.0688834359999999</v>
      </c>
      <c r="I269">
        <f ca="1">IF(AND(ISNUMBER($I$937),$B$677=1),$I$937,HLOOKUP(INDIRECT(ADDRESS(2,COLUMN())),OFFSET($BN$2,0,0,ROW()-1,60),ROW()-1,FALSE))</f>
        <v>0.87986821400000004</v>
      </c>
      <c r="J269">
        <f ca="1">IF(AND(ISNUMBER($J$937),$B$677=1),$J$937,HLOOKUP(INDIRECT(ADDRESS(2,COLUMN())),OFFSET($BN$2,0,0,ROW()-1,60),ROW()-1,FALSE))</f>
        <v>1.0945167309999999</v>
      </c>
      <c r="K269">
        <f ca="1">IF(AND(ISNUMBER($K$937),$B$677=1),$K$937,HLOOKUP(INDIRECT(ADDRESS(2,COLUMN())),OFFSET($BN$2,0,0,ROW()-1,60),ROW()-1,FALSE))</f>
        <v>1.461875823</v>
      </c>
      <c r="L269">
        <f ca="1">IF(AND(ISNUMBER($L$937),$B$677=1),$L$937,HLOOKUP(INDIRECT(ADDRESS(2,COLUMN())),OFFSET($BN$2,0,0,ROW()-1,60),ROW()-1,FALSE))</f>
        <v>1.54716739</v>
      </c>
      <c r="M269">
        <f ca="1">IF(AND(ISNUMBER($M$937),$B$677=1),$M$937,HLOOKUP(INDIRECT(ADDRESS(2,COLUMN())),OFFSET($BN$2,0,0,ROW()-1,60),ROW()-1,FALSE))</f>
        <v>1.2658955000000001</v>
      </c>
      <c r="N269">
        <f ca="1">IF(AND(ISNUMBER($N$937),$B$677=1),$N$937,HLOOKUP(INDIRECT(ADDRESS(2,COLUMN())),OFFSET($BN$2,0,0,ROW()-1,60),ROW()-1,FALSE))</f>
        <v>1.3074892730000001</v>
      </c>
      <c r="O269">
        <f ca="1">IF(AND(ISNUMBER($O$937),$B$677=1),$O$937,HLOOKUP(INDIRECT(ADDRESS(2,COLUMN())),OFFSET($BN$2,0,0,ROW()-1,60),ROW()-1,FALSE))</f>
        <v>1.129110289</v>
      </c>
      <c r="P269">
        <f ca="1">IF(AND(ISNUMBER($P$937),$B$677=1),$P$937,HLOOKUP(INDIRECT(ADDRESS(2,COLUMN())),OFFSET($BN$2,0,0,ROW()-1,60),ROW()-1,FALSE))</f>
        <v>1.2684733619999999</v>
      </c>
      <c r="Q269">
        <f ca="1">IF(AND(ISNUMBER($Q$937),$B$677=1),$Q$937,HLOOKUP(INDIRECT(ADDRESS(2,COLUMN())),OFFSET($BN$2,0,0,ROW()-1,60),ROW()-1,FALSE))</f>
        <v>1.3367299640000001</v>
      </c>
      <c r="R269">
        <f ca="1">IF(AND(ISNUMBER($R$937),$B$677=1),$R$937,HLOOKUP(INDIRECT(ADDRESS(2,COLUMN())),OFFSET($BN$2,0,0,ROW()-1,60),ROW()-1,FALSE))</f>
        <v>1.304570292</v>
      </c>
      <c r="S269">
        <f ca="1">IF(AND(ISNUMBER($S$937),$B$677=1),$S$937,HLOOKUP(INDIRECT(ADDRESS(2,COLUMN())),OFFSET($BN$2,0,0,ROW()-1,60),ROW()-1,FALSE))</f>
        <v>1.3062896129999999</v>
      </c>
      <c r="T269">
        <f ca="1">IF(AND(ISNUMBER($T$937),$B$677=1),$T$937,HLOOKUP(INDIRECT(ADDRESS(2,COLUMN())),OFFSET($BN$2,0,0,ROW()-1,60),ROW()-1,FALSE))</f>
        <v>1.3403312949999999</v>
      </c>
      <c r="U269">
        <f ca="1">IF(AND(ISNUMBER($U$937),$B$677=1),$U$937,HLOOKUP(INDIRECT(ADDRESS(2,COLUMN())),OFFSET($BN$2,0,0,ROW()-1,60),ROW()-1,FALSE))</f>
        <v>1.658414273</v>
      </c>
      <c r="V269">
        <f ca="1">IF(AND(ISNUMBER($V$937),$B$677=1),$V$937,HLOOKUP(INDIRECT(ADDRESS(2,COLUMN())),OFFSET($BN$2,0,0,ROW()-1,60),ROW()-1,FALSE))</f>
        <v>1.717316745</v>
      </c>
      <c r="W269">
        <f ca="1">IF(AND(ISNUMBER($W$937),$B$677=1),$W$937,HLOOKUP(INDIRECT(ADDRESS(2,COLUMN())),OFFSET($BN$2,0,0,ROW()-1,60),ROW()-1,FALSE))</f>
        <v>1.683987906</v>
      </c>
      <c r="X269">
        <f ca="1">IF(AND(ISNUMBER($X$937),$B$677=1),$X$937,HLOOKUP(INDIRECT(ADDRESS(2,COLUMN())),OFFSET($BN$2,0,0,ROW()-1,60),ROW()-1,FALSE))</f>
        <v>1.796485323</v>
      </c>
      <c r="Y269">
        <f ca="1">IF(AND(ISNUMBER($Y$937),$B$677=1),$Y$937,HLOOKUP(INDIRECT(ADDRESS(2,COLUMN())),OFFSET($BN$2,0,0,ROW()-1,60),ROW()-1,FALSE))</f>
        <v>2.2444653020000001</v>
      </c>
      <c r="Z269">
        <f ca="1">IF(AND(ISNUMBER($Z$937),$B$677=1),$Z$937,HLOOKUP(INDIRECT(ADDRESS(2,COLUMN())),OFFSET($BN$2,0,0,ROW()-1,60),ROW()-1,FALSE))</f>
        <v>2.2221671710000002</v>
      </c>
      <c r="AA269">
        <f ca="1">IF(AND(ISNUMBER($AA$937),$B$677=1),$AA$937,HLOOKUP(INDIRECT(ADDRESS(2,COLUMN())),OFFSET($BN$2,0,0,ROW()-1,60),ROW()-1,FALSE))</f>
        <v>2.3461752950000001</v>
      </c>
      <c r="AB269">
        <f ca="1">IF(AND(ISNUMBER($AB$937),$B$677=1),$AB$937,HLOOKUP(INDIRECT(ADDRESS(2,COLUMN())),OFFSET($BN$2,0,0,ROW()-1,60),ROW()-1,FALSE))</f>
        <v>2.6437337360000002</v>
      </c>
      <c r="AC269">
        <f ca="1">IF(AND(ISNUMBER($AC$937),$B$677=1),$AC$937,HLOOKUP(INDIRECT(ADDRESS(2,COLUMN())),OFFSET($BN$2,0,0,ROW()-1,60),ROW()-1,FALSE))</f>
        <v>2.4594901130000002</v>
      </c>
      <c r="AD269">
        <f ca="1">IF(AND(ISNUMBER($AD$937),$B$677=1),$AD$937,HLOOKUP(INDIRECT(ADDRESS(2,COLUMN())),OFFSET($BN$2,0,0,ROW()-1,60),ROW()-1,FALSE))</f>
        <v>2.41406009</v>
      </c>
      <c r="AE269">
        <f ca="1">IF(AND(ISNUMBER($AE$937),$B$677=1),$AE$937,HLOOKUP(INDIRECT(ADDRESS(2,COLUMN())),OFFSET($BN$2,0,0,ROW()-1,60),ROW()-1,FALSE))</f>
        <v>2.8097495509999999</v>
      </c>
      <c r="AF269">
        <f ca="1">IF(AND(ISNUMBER($AF$937),$B$677=1),$AF$937,HLOOKUP(INDIRECT(ADDRESS(2,COLUMN())),OFFSET($BN$2,0,0,ROW()-1,60),ROW()-1,FALSE))</f>
        <v>2.2352170920000001</v>
      </c>
      <c r="AG269">
        <f ca="1">IF(AND(ISNUMBER($AG$937),$B$677=1),$AG$937,HLOOKUP(INDIRECT(ADDRESS(2,COLUMN())),OFFSET($BN$2,0,0,ROW()-1,60),ROW()-1,FALSE))</f>
        <v>2.9754381200000002</v>
      </c>
      <c r="AH269">
        <f ca="1">IF(AND(ISNUMBER($AH$937),$B$677=1),$AH$937,HLOOKUP(INDIRECT(ADDRESS(2,COLUMN())),OFFSET($BN$2,0,0,ROW()-1,60),ROW()-1,FALSE))</f>
        <v>3.6648058649999999</v>
      </c>
      <c r="AI269">
        <f ca="1">IF(AND(ISNUMBER($AI$937),$B$677=1),$AI$937,HLOOKUP(INDIRECT(ADDRESS(2,COLUMN())),OFFSET($BN$2,0,0,ROW()-1,60),ROW()-1,FALSE))</f>
        <v>3.4091952330000002</v>
      </c>
      <c r="AJ269">
        <f ca="1">IF(AND(ISNUMBER($AJ$937),$B$677=1),$AJ$937,HLOOKUP(INDIRECT(ADDRESS(2,COLUMN())),OFFSET($BN$2,0,0,ROW()-1,60),ROW()-1,FALSE))</f>
        <v>4.4028874709999997</v>
      </c>
      <c r="AK269">
        <f ca="1">IF(AND(ISNUMBER($AK$937),$B$677=1),$AK$937,HLOOKUP(INDIRECT(ADDRESS(2,COLUMN())),OFFSET($BN$2,0,0,ROW()-1,60),ROW()-1,FALSE))</f>
        <v>5.5082329449999996</v>
      </c>
      <c r="AL269">
        <f ca="1">IF(AND(ISNUMBER($AL$937),$B$677=1),$AL$937,HLOOKUP(INDIRECT(ADDRESS(2,COLUMN())),OFFSET($BN$2,0,0,ROW()-1,60),ROW()-1,FALSE))</f>
        <v>5.087356024</v>
      </c>
      <c r="AM269">
        <f ca="1">IF(AND(ISNUMBER($AM$937),$B$677=1),$AM$937,HLOOKUP(INDIRECT(ADDRESS(2,COLUMN())),OFFSET($BN$2,0,0,ROW()-1,60),ROW()-1,FALSE))</f>
        <v>4.8726837280000002</v>
      </c>
      <c r="AN269">
        <f ca="1">IF(AND(ISNUMBER($AN$937),$B$677=1),$AN$937,HLOOKUP(INDIRECT(ADDRESS(2,COLUMN())),OFFSET($BN$2,0,0,ROW()-1,60),ROW()-1,FALSE))</f>
        <v>5.520228715</v>
      </c>
      <c r="AO269" t="str">
        <f ca="1">IF(AND(ISNUMBER($AO$937),$B$677=1),$AO$937,HLOOKUP(INDIRECT(ADDRESS(2,COLUMN())),OFFSET($BN$2,0,0,ROW()-1,60),ROW()-1,FALSE))</f>
        <v/>
      </c>
      <c r="AP269" t="str">
        <f ca="1">IF(AND(ISNUMBER($AP$937),$B$677=1),$AP$937,HLOOKUP(INDIRECT(ADDRESS(2,COLUMN())),OFFSET($BN$2,0,0,ROW()-1,60),ROW()-1,FALSE))</f>
        <v/>
      </c>
      <c r="AQ269" t="str">
        <f ca="1">IF(AND(ISNUMBER($AQ$937),$B$677=1),$AQ$937,HLOOKUP(INDIRECT(ADDRESS(2,COLUMN())),OFFSET($BN$2,0,0,ROW()-1,60),ROW()-1,FALSE))</f>
        <v/>
      </c>
      <c r="AR269" t="str">
        <f ca="1">IF(AND(ISNUMBER($AR$937),$B$677=1),$AR$937,HLOOKUP(INDIRECT(ADDRESS(2,COLUMN())),OFFSET($BN$2,0,0,ROW()-1,60),ROW()-1,FALSE))</f>
        <v/>
      </c>
      <c r="AS269" t="str">
        <f ca="1">IF(AND(ISNUMBER($AS$937),$B$677=1),$AS$937,HLOOKUP(INDIRECT(ADDRESS(2,COLUMN())),OFFSET($BN$2,0,0,ROW()-1,60),ROW()-1,FALSE))</f>
        <v/>
      </c>
      <c r="AT269" t="str">
        <f ca="1">IF(AND(ISNUMBER($AT$937),$B$677=1),$AT$937,HLOOKUP(INDIRECT(ADDRESS(2,COLUMN())),OFFSET($BN$2,0,0,ROW()-1,60),ROW()-1,FALSE))</f>
        <v/>
      </c>
      <c r="AU269" t="str">
        <f ca="1">IF(AND(ISNUMBER($AU$937),$B$677=1),$AU$937,HLOOKUP(INDIRECT(ADDRESS(2,COLUMN())),OFFSET($BN$2,0,0,ROW()-1,60),ROW()-1,FALSE))</f>
        <v/>
      </c>
      <c r="AV269" t="str">
        <f ca="1">IF(AND(ISNUMBER($AV$937),$B$677=1),$AV$937,HLOOKUP(INDIRECT(ADDRESS(2,COLUMN())),OFFSET($BN$2,0,0,ROW()-1,60),ROW()-1,FALSE))</f>
        <v/>
      </c>
      <c r="AW269" t="str">
        <f ca="1">IF(AND(ISNUMBER($AW$937),$B$677=1),$AW$937,HLOOKUP(INDIRECT(ADDRESS(2,COLUMN())),OFFSET($BN$2,0,0,ROW()-1,60),ROW()-1,FALSE))</f>
        <v/>
      </c>
      <c r="AX269" t="str">
        <f ca="1">IF(AND(ISNUMBER($AX$937),$B$677=1),$AX$937,HLOOKUP(INDIRECT(ADDRESS(2,COLUMN())),OFFSET($BN$2,0,0,ROW()-1,60),ROW()-1,FALSE))</f>
        <v/>
      </c>
      <c r="AY269" t="str">
        <f ca="1">IF(AND(ISNUMBER($AY$937),$B$677=1),$AY$937,HLOOKUP(INDIRECT(ADDRESS(2,COLUMN())),OFFSET($BN$2,0,0,ROW()-1,60),ROW()-1,FALSE))</f>
        <v/>
      </c>
      <c r="AZ269" t="str">
        <f ca="1">IF(AND(ISNUMBER($AZ$937),$B$677=1),$AZ$937,HLOOKUP(INDIRECT(ADDRESS(2,COLUMN())),OFFSET($BN$2,0,0,ROW()-1,60),ROW()-1,FALSE))</f>
        <v/>
      </c>
      <c r="BA269" t="str">
        <f ca="1">IF(AND(ISNUMBER($BA$937),$B$677=1),$BA$937,HLOOKUP(INDIRECT(ADDRESS(2,COLUMN())),OFFSET($BN$2,0,0,ROW()-1,60),ROW()-1,FALSE))</f>
        <v/>
      </c>
      <c r="BB269" t="str">
        <f ca="1">IF(AND(ISNUMBER($BB$937),$B$677=1),$BB$937,HLOOKUP(INDIRECT(ADDRESS(2,COLUMN())),OFFSET($BN$2,0,0,ROW()-1,60),ROW()-1,FALSE))</f>
        <v/>
      </c>
      <c r="BC269" t="str">
        <f ca="1">IF(AND(ISNUMBER($BC$937),$B$677=1),$BC$937,HLOOKUP(INDIRECT(ADDRESS(2,COLUMN())),OFFSET($BN$2,0,0,ROW()-1,60),ROW()-1,FALSE))</f>
        <v/>
      </c>
      <c r="BD269" t="str">
        <f ca="1">IF(AND(ISNUMBER($BD$937),$B$677=1),$BD$937,HLOOKUP(INDIRECT(ADDRESS(2,COLUMN())),OFFSET($BN$2,0,0,ROW()-1,60),ROW()-1,FALSE))</f>
        <v/>
      </c>
      <c r="BE269" t="str">
        <f ca="1">IF(AND(ISNUMBER($BE$937),$B$677=1),$BE$937,HLOOKUP(INDIRECT(ADDRESS(2,COLUMN())),OFFSET($BN$2,0,0,ROW()-1,60),ROW()-1,FALSE))</f>
        <v/>
      </c>
      <c r="BF269" t="str">
        <f ca="1">IF(AND(ISNUMBER($BF$937),$B$677=1),$BF$937,HLOOKUP(INDIRECT(ADDRESS(2,COLUMN())),OFFSET($BN$2,0,0,ROW()-1,60),ROW()-1,FALSE))</f>
        <v/>
      </c>
      <c r="BG269" t="str">
        <f ca="1">IF(AND(ISNUMBER($BG$937),$B$677=1),$BG$937,HLOOKUP(INDIRECT(ADDRESS(2,COLUMN())),OFFSET($BN$2,0,0,ROW()-1,60),ROW()-1,FALSE))</f>
        <v/>
      </c>
      <c r="BH269" t="str">
        <f ca="1">IF(AND(ISNUMBER($BH$937),$B$677=1),$BH$937,HLOOKUP(INDIRECT(ADDRESS(2,COLUMN())),OFFSET($BN$2,0,0,ROW()-1,60),ROW()-1,FALSE))</f>
        <v/>
      </c>
      <c r="BI269" t="str">
        <f ca="1">IF(AND(ISNUMBER($BI$937),$B$677=1),$BI$937,HLOOKUP(INDIRECT(ADDRESS(2,COLUMN())),OFFSET($BN$2,0,0,ROW()-1,60),ROW()-1,FALSE))</f>
        <v/>
      </c>
      <c r="BJ269" t="str">
        <f ca="1">IF(AND(ISNUMBER($BJ$937),$B$677=1),$BJ$937,HLOOKUP(INDIRECT(ADDRESS(2,COLUMN())),OFFSET($BN$2,0,0,ROW()-1,60),ROW()-1,FALSE))</f>
        <v/>
      </c>
      <c r="BK269" t="str">
        <f ca="1">IF(AND(ISNUMBER($BK$937),$B$677=1),$BK$937,HLOOKUP(INDIRECT(ADDRESS(2,COLUMN())),OFFSET($BN$2,0,0,ROW()-1,60),ROW()-1,FALSE))</f>
        <v/>
      </c>
      <c r="BL269" t="str">
        <f ca="1">IF(AND(ISNUMBER($BL$937),$B$677=1),$BL$937,HLOOKUP(INDIRECT(ADDRESS(2,COLUMN())),OFFSET($BN$2,0,0,ROW()-1,60),ROW()-1,FALSE))</f>
        <v/>
      </c>
      <c r="BM269" t="str">
        <f ca="1">IF(AND(ISNUMBER($BM$937),$B$677=1),$BM$937,HLOOKUP(INDIRECT(ADDRESS(2,COLUMN())),OFFSET($BN$2,0,0,ROW()-1,60),ROW()-1,FALSE))</f>
        <v/>
      </c>
      <c r="BN269">
        <f>1.18828845</f>
        <v>1.1882884499999999</v>
      </c>
      <c r="BO269">
        <f>0.963350913</f>
        <v>0.96335091299999998</v>
      </c>
      <c r="BP269">
        <f>1.068883436</f>
        <v>1.0688834359999999</v>
      </c>
      <c r="BQ269">
        <f>0.879868214</f>
        <v>0.87986821400000004</v>
      </c>
      <c r="BR269">
        <f>1.094516731</f>
        <v>1.0945167309999999</v>
      </c>
      <c r="BS269">
        <f>1.461875823</f>
        <v>1.461875823</v>
      </c>
      <c r="BT269">
        <f>1.54716739</f>
        <v>1.54716739</v>
      </c>
      <c r="BU269">
        <f>1.2658955</f>
        <v>1.2658955000000001</v>
      </c>
      <c r="BV269">
        <f>1.307489273</f>
        <v>1.3074892730000001</v>
      </c>
      <c r="BW269">
        <f>1.129110289</f>
        <v>1.129110289</v>
      </c>
      <c r="BX269">
        <f>1.268473362</f>
        <v>1.2684733619999999</v>
      </c>
      <c r="BY269">
        <f>1.336729964</f>
        <v>1.3367299640000001</v>
      </c>
      <c r="BZ269">
        <f>1.304570292</f>
        <v>1.304570292</v>
      </c>
      <c r="CA269">
        <f>1.306289613</f>
        <v>1.3062896129999999</v>
      </c>
      <c r="CB269">
        <f>1.340331295</f>
        <v>1.3403312949999999</v>
      </c>
      <c r="CC269">
        <f>1.658414273</f>
        <v>1.658414273</v>
      </c>
      <c r="CD269">
        <f>1.717316745</f>
        <v>1.717316745</v>
      </c>
      <c r="CE269">
        <f>1.683987906</f>
        <v>1.683987906</v>
      </c>
      <c r="CF269">
        <f>1.796485323</f>
        <v>1.796485323</v>
      </c>
      <c r="CG269">
        <f>2.244465302</f>
        <v>2.2444653020000001</v>
      </c>
      <c r="CH269">
        <f>2.222167171</f>
        <v>2.2221671710000002</v>
      </c>
      <c r="CI269">
        <f>2.346175295</f>
        <v>2.3461752950000001</v>
      </c>
      <c r="CJ269">
        <f>2.643733736</f>
        <v>2.6437337360000002</v>
      </c>
      <c r="CK269">
        <f>2.459490113</f>
        <v>2.4594901130000002</v>
      </c>
      <c r="CL269">
        <f>2.41406009</f>
        <v>2.41406009</v>
      </c>
      <c r="CM269">
        <f>2.809749551</f>
        <v>2.8097495509999999</v>
      </c>
      <c r="CN269">
        <f>2.235217092</f>
        <v>2.2352170920000001</v>
      </c>
      <c r="CO269">
        <f>2.97543812</f>
        <v>2.9754381200000002</v>
      </c>
      <c r="CP269">
        <f>3.664805865</f>
        <v>3.6648058649999999</v>
      </c>
      <c r="CQ269">
        <f>3.409195233</f>
        <v>3.4091952330000002</v>
      </c>
      <c r="CR269">
        <f>4.402887471</f>
        <v>4.4028874709999997</v>
      </c>
      <c r="CS269">
        <f>5.508232945</f>
        <v>5.5082329449999996</v>
      </c>
      <c r="CT269">
        <f>5.087356024</f>
        <v>5.087356024</v>
      </c>
      <c r="CU269">
        <f>4.872683728</f>
        <v>4.8726837280000002</v>
      </c>
      <c r="CV269">
        <f>5.520228715</f>
        <v>5.520228715</v>
      </c>
      <c r="CW269" t="str">
        <f>""</f>
        <v/>
      </c>
      <c r="CX269" t="str">
        <f>""</f>
        <v/>
      </c>
      <c r="CY269" t="str">
        <f>""</f>
        <v/>
      </c>
      <c r="CZ269" t="str">
        <f>""</f>
        <v/>
      </c>
      <c r="DA269" t="str">
        <f>""</f>
        <v/>
      </c>
      <c r="DB269" t="str">
        <f>""</f>
        <v/>
      </c>
      <c r="DC269" t="str">
        <f>""</f>
        <v/>
      </c>
      <c r="DD269" t="str">
        <f>""</f>
        <v/>
      </c>
      <c r="DE269" t="str">
        <f>""</f>
        <v/>
      </c>
      <c r="DF269" t="str">
        <f>""</f>
        <v/>
      </c>
      <c r="DG269" t="str">
        <f>""</f>
        <v/>
      </c>
      <c r="DH269" t="str">
        <f>""</f>
        <v/>
      </c>
      <c r="DI269" t="str">
        <f>""</f>
        <v/>
      </c>
      <c r="DJ269" t="str">
        <f>""</f>
        <v/>
      </c>
      <c r="DK269" t="str">
        <f>""</f>
        <v/>
      </c>
      <c r="DL269" t="str">
        <f>""</f>
        <v/>
      </c>
      <c r="DM269" t="str">
        <f>""</f>
        <v/>
      </c>
      <c r="DN269" t="str">
        <f>""</f>
        <v/>
      </c>
      <c r="DO269" t="str">
        <f>""</f>
        <v/>
      </c>
      <c r="DP269" t="str">
        <f>""</f>
        <v/>
      </c>
      <c r="DQ269" t="str">
        <f>""</f>
        <v/>
      </c>
      <c r="DR269" t="str">
        <f>""</f>
        <v/>
      </c>
      <c r="DS269" t="str">
        <f>""</f>
        <v/>
      </c>
      <c r="DT269" t="str">
        <f>""</f>
        <v/>
      </c>
      <c r="DU269" t="str">
        <f>""</f>
        <v/>
      </c>
    </row>
    <row r="270" spans="1:125" x14ac:dyDescent="0.25">
      <c r="A270" t="str">
        <f>"    Honda Motor Co Ltd"</f>
        <v xml:space="preserve">    Honda Motor Co Ltd</v>
      </c>
      <c r="B270" t="str">
        <f>"7267 JP Equity"</f>
        <v>7267 JP Equity</v>
      </c>
      <c r="C270" t="str">
        <f t="shared" si="18"/>
        <v>RR904</v>
      </c>
      <c r="D270" t="str">
        <f t="shared" si="19"/>
        <v>PX_TO_SALES_RATIO</v>
      </c>
      <c r="E270" t="str">
        <f t="shared" si="20"/>
        <v>Dynamic</v>
      </c>
      <c r="F270">
        <f ca="1">IF(AND(ISNUMBER($F$938),$B$677=1),$F$938,HLOOKUP(INDIRECT(ADDRESS(2,COLUMN())),OFFSET($BN$2,0,0,ROW()-1,60),ROW()-1,FALSE))</f>
        <v>0.35081905800000002</v>
      </c>
      <c r="G270">
        <f ca="1">IF(AND(ISNUMBER($G$938),$B$677=1),$G$938,HLOOKUP(INDIRECT(ADDRESS(2,COLUMN())),OFFSET($BN$2,0,0,ROW()-1,60),ROW()-1,FALSE))</f>
        <v>0.324942644</v>
      </c>
      <c r="H270">
        <f ca="1">IF(AND(ISNUMBER($H$938),$B$677=1),$H$938,HLOOKUP(INDIRECT(ADDRESS(2,COLUMN())),OFFSET($BN$2,0,0,ROW()-1,60),ROW()-1,FALSE))</f>
        <v>0.38816732500000001</v>
      </c>
      <c r="I270">
        <f ca="1">IF(AND(ISNUMBER($I$938),$B$677=1),$I$938,HLOOKUP(INDIRECT(ADDRESS(2,COLUMN())),OFFSET($BN$2,0,0,ROW()-1,60),ROW()-1,FALSE))</f>
        <v>0.370766914</v>
      </c>
      <c r="J270">
        <f ca="1">IF(AND(ISNUMBER($J$938),$B$677=1),$J$938,HLOOKUP(INDIRECT(ADDRESS(2,COLUMN())),OFFSET($BN$2,0,0,ROW()-1,60),ROW()-1,FALSE))</f>
        <v>0.42730973900000002</v>
      </c>
      <c r="K270">
        <f ca="1">IF(AND(ISNUMBER($K$938),$B$677=1),$K$938,HLOOKUP(INDIRECT(ADDRESS(2,COLUMN())),OFFSET($BN$2,0,0,ROW()-1,60),ROW()-1,FALSE))</f>
        <v>0.45683689399999999</v>
      </c>
      <c r="L270">
        <f ca="1">IF(AND(ISNUMBER($L$938),$B$677=1),$L$938,HLOOKUP(INDIRECT(ADDRESS(2,COLUMN())),OFFSET($BN$2,0,0,ROW()-1,60),ROW()-1,FALSE))</f>
        <v>0.407027321</v>
      </c>
      <c r="M270">
        <f ca="1">IF(AND(ISNUMBER($M$938),$B$677=1),$M$938,HLOOKUP(INDIRECT(ADDRESS(2,COLUMN())),OFFSET($BN$2,0,0,ROW()-1,60),ROW()-1,FALSE))</f>
        <v>0.387778811</v>
      </c>
      <c r="N270">
        <f ca="1">IF(AND(ISNUMBER($N$938),$B$677=1),$N$938,HLOOKUP(INDIRECT(ADDRESS(2,COLUMN())),OFFSET($BN$2,0,0,ROW()-1,60),ROW()-1,FALSE))</f>
        <v>0.43141373700000002</v>
      </c>
      <c r="O270">
        <f ca="1">IF(AND(ISNUMBER($O$938),$B$677=1),$O$938,HLOOKUP(INDIRECT(ADDRESS(2,COLUMN())),OFFSET($BN$2,0,0,ROW()-1,60),ROW()-1,FALSE))</f>
        <v>0.44299329599999998</v>
      </c>
      <c r="P270">
        <f ca="1">IF(AND(ISNUMBER($P$938),$B$677=1),$P$938,HLOOKUP(INDIRECT(ADDRESS(2,COLUMN())),OFFSET($BN$2,0,0,ROW()-1,60),ROW()-1,FALSE))</f>
        <v>0.37146070799999997</v>
      </c>
      <c r="Q270">
        <f ca="1">IF(AND(ISNUMBER($Q$938),$B$677=1),$Q$938,HLOOKUP(INDIRECT(ADDRESS(2,COLUMN())),OFFSET($BN$2,0,0,ROW()-1,60),ROW()-1,FALSE))</f>
        <v>0.322684998</v>
      </c>
      <c r="R270">
        <f ca="1">IF(AND(ISNUMBER($R$938),$B$677=1),$R$938,HLOOKUP(INDIRECT(ADDRESS(2,COLUMN())),OFFSET($BN$2,0,0,ROW()-1,60),ROW()-1,FALSE))</f>
        <v>0.38091873199999998</v>
      </c>
      <c r="S270">
        <f ca="1">IF(AND(ISNUMBER($S$938),$B$677=1),$S$938,HLOOKUP(INDIRECT(ADDRESS(2,COLUMN())),OFFSET($BN$2,0,0,ROW()-1,60),ROW()-1,FALSE))</f>
        <v>0.49289665199999999</v>
      </c>
      <c r="T270">
        <f ca="1">IF(AND(ISNUMBER($T$938),$B$677=1),$T$938,HLOOKUP(INDIRECT(ADDRESS(2,COLUMN())),OFFSET($BN$2,0,0,ROW()-1,60),ROW()-1,FALSE))</f>
        <v>0.44988298900000001</v>
      </c>
      <c r="U270">
        <f ca="1">IF(AND(ISNUMBER($U$938),$B$677=1),$U$938,HLOOKUP(INDIRECT(ADDRESS(2,COLUMN())),OFFSET($BN$2,0,0,ROW()-1,60),ROW()-1,FALSE))</f>
        <v>0.52159494699999998</v>
      </c>
      <c r="V270">
        <f ca="1">IF(AND(ISNUMBER($V$938),$B$677=1),$V$938,HLOOKUP(INDIRECT(ADDRESS(2,COLUMN())),OFFSET($BN$2,0,0,ROW()-1,60),ROW()-1,FALSE))</f>
        <v>0.53329557800000005</v>
      </c>
      <c r="W270">
        <f ca="1">IF(AND(ISNUMBER($W$938),$B$677=1),$W$938,HLOOKUP(INDIRECT(ADDRESS(2,COLUMN())),OFFSET($BN$2,0,0,ROW()-1,60),ROW()-1,FALSE))</f>
        <v>0.49133747999999999</v>
      </c>
      <c r="X270">
        <f ca="1">IF(AND(ISNUMBER($X$938),$B$677=1),$X$938,HLOOKUP(INDIRECT(ADDRESS(2,COLUMN())),OFFSET($BN$2,0,0,ROW()-1,60),ROW()-1,FALSE))</f>
        <v>0.54979615999999998</v>
      </c>
      <c r="Y270">
        <f ca="1">IF(AND(ISNUMBER($Y$938),$B$677=1),$Y$938,HLOOKUP(INDIRECT(ADDRESS(2,COLUMN())),OFFSET($BN$2,0,0,ROW()-1,60),ROW()-1,FALSE))</f>
        <v>0.52187134099999999</v>
      </c>
      <c r="Z270">
        <f ca="1">IF(AND(ISNUMBER($Z$938),$B$677=1),$Z$938,HLOOKUP(INDIRECT(ADDRESS(2,COLUMN())),OFFSET($BN$2,0,0,ROW()-1,60),ROW()-1,FALSE))</f>
        <v>0.55305592000000003</v>
      </c>
      <c r="AA270">
        <f ca="1">IF(AND(ISNUMBER($AA$938),$B$677=1),$AA$938,HLOOKUP(INDIRECT(ADDRESS(2,COLUMN())),OFFSET($BN$2,0,0,ROW()-1,60),ROW()-1,FALSE))</f>
        <v>0.67918444600000005</v>
      </c>
      <c r="AB270">
        <f ca="1">IF(AND(ISNUMBER($AB$938),$B$677=1),$AB$938,HLOOKUP(INDIRECT(ADDRESS(2,COLUMN())),OFFSET($BN$2,0,0,ROW()-1,60),ROW()-1,FALSE))</f>
        <v>0.61785567699999999</v>
      </c>
      <c r="AC270">
        <f ca="1">IF(AND(ISNUMBER($AC$938),$B$677=1),$AC$938,HLOOKUP(INDIRECT(ADDRESS(2,COLUMN())),OFFSET($BN$2,0,0,ROW()-1,60),ROW()-1,FALSE))</f>
        <v>0.64630033099999995</v>
      </c>
      <c r="AD270">
        <f ca="1">IF(AND(ISNUMBER($AD$938),$B$677=1),$AD$938,HLOOKUP(INDIRECT(ADDRESS(2,COLUMN())),OFFSET($BN$2,0,0,ROW()-1,60),ROW()-1,FALSE))</f>
        <v>0.64863399200000005</v>
      </c>
      <c r="AE270">
        <f ca="1">IF(AND(ISNUMBER($AE$938),$B$677=1),$AE$938,HLOOKUP(INDIRECT(ADDRESS(2,COLUMN())),OFFSET($BN$2,0,0,ROW()-1,60),ROW()-1,FALSE))</f>
        <v>0.59427577300000001</v>
      </c>
      <c r="AF270">
        <f ca="1">IF(AND(ISNUMBER($AF$938),$B$677=1),$AF$938,HLOOKUP(INDIRECT(ADDRESS(2,COLUMN())),OFFSET($BN$2,0,0,ROW()-1,60),ROW()-1,FALSE))</f>
        <v>0.47710734500000002</v>
      </c>
      <c r="AG270">
        <f ca="1">IF(AND(ISNUMBER($AG$938),$B$677=1),$AG$938,HLOOKUP(INDIRECT(ADDRESS(2,COLUMN())),OFFSET($BN$2,0,0,ROW()-1,60),ROW()-1,FALSE))</f>
        <v>0.57149498499999996</v>
      </c>
      <c r="AH270">
        <f ca="1">IF(AND(ISNUMBER($AH$938),$B$677=1),$AH$938,HLOOKUP(INDIRECT(ADDRESS(2,COLUMN())),OFFSET($BN$2,0,0,ROW()-1,60),ROW()-1,FALSE))</f>
        <v>0.71315649599999997</v>
      </c>
      <c r="AI270">
        <f ca="1">IF(AND(ISNUMBER($AI$938),$B$677=1),$AI$938,HLOOKUP(INDIRECT(ADDRESS(2,COLUMN())),OFFSET($BN$2,0,0,ROW()-1,60),ROW()-1,FALSE))</f>
        <v>0.54564551500000003</v>
      </c>
      <c r="AJ270">
        <f ca="1">IF(AND(ISNUMBER($AJ$938),$B$677=1),$AJ$938,HLOOKUP(INDIRECT(ADDRESS(2,COLUMN())),OFFSET($BN$2,0,0,ROW()-1,60),ROW()-1,FALSE))</f>
        <v>0.52293988000000002</v>
      </c>
      <c r="AK270">
        <f ca="1">IF(AND(ISNUMBER($AK$938),$B$677=1),$AK$938,HLOOKUP(INDIRECT(ADDRESS(2,COLUMN())),OFFSET($BN$2,0,0,ROW()-1,60),ROW()-1,FALSE))</f>
        <v>0.67118647200000003</v>
      </c>
      <c r="AL270">
        <f ca="1">IF(AND(ISNUMBER($AL$938),$B$677=1),$AL$938,HLOOKUP(INDIRECT(ADDRESS(2,COLUMN())),OFFSET($BN$2,0,0,ROW()-1,60),ROW()-1,FALSE))</f>
        <v>0.63165629599999995</v>
      </c>
      <c r="AM270">
        <f ca="1">IF(AND(ISNUMBER($AM$938),$B$677=1),$AM$938,HLOOKUP(INDIRECT(ADDRESS(2,COLUMN())),OFFSET($BN$2,0,0,ROW()-1,60),ROW()-1,FALSE))</f>
        <v>0.64611619300000001</v>
      </c>
      <c r="AN270">
        <f ca="1">IF(AND(ISNUMBER($AN$938),$B$677=1),$AN$938,HLOOKUP(INDIRECT(ADDRESS(2,COLUMN())),OFFSET($BN$2,0,0,ROW()-1,60),ROW()-1,FALSE))</f>
        <v>0.587923847</v>
      </c>
      <c r="AO270">
        <f ca="1">IF(AND(ISNUMBER($AO$938),$B$677=1),$AO$938,HLOOKUP(INDIRECT(ADDRESS(2,COLUMN())),OFFSET($BN$2,0,0,ROW()-1,60),ROW()-1,FALSE))</f>
        <v>0.52712364300000003</v>
      </c>
      <c r="AP270">
        <f ca="1">IF(AND(ISNUMBER($AP$938),$B$677=1),$AP$938,HLOOKUP(INDIRECT(ADDRESS(2,COLUMN())),OFFSET($BN$2,0,0,ROW()-1,60),ROW()-1,FALSE))</f>
        <v>0.69799704100000004</v>
      </c>
      <c r="AQ270">
        <f ca="1">IF(AND(ISNUMBER($AQ$938),$B$677=1),$AQ$938,HLOOKUP(INDIRECT(ADDRESS(2,COLUMN())),OFFSET($BN$2,0,0,ROW()-1,60),ROW()-1,FALSE))</f>
        <v>0.69814084799999998</v>
      </c>
      <c r="AR270">
        <f ca="1">IF(AND(ISNUMBER($AR$938),$B$677=1),$AR$938,HLOOKUP(INDIRECT(ADDRESS(2,COLUMN())),OFFSET($BN$2,0,0,ROW()-1,60),ROW()-1,FALSE))</f>
        <v>0.59901297499999995</v>
      </c>
      <c r="AS270">
        <f ca="1">IF(AND(ISNUMBER($AS$938),$B$677=1),$AS$938,HLOOKUP(INDIRECT(ADDRESS(2,COLUMN())),OFFSET($BN$2,0,0,ROW()-1,60),ROW()-1,FALSE))</f>
        <v>0.527732109</v>
      </c>
      <c r="AT270">
        <f ca="1">IF(AND(ISNUMBER($AT$938),$B$677=1),$AT$938,HLOOKUP(INDIRECT(ADDRESS(2,COLUMN())),OFFSET($BN$2,0,0,ROW()-1,60),ROW()-1,FALSE))</f>
        <v>0.419597795</v>
      </c>
      <c r="AU270">
        <f ca="1">IF(AND(ISNUMBER($AU$938),$B$677=1),$AU$938,HLOOKUP(INDIRECT(ADDRESS(2,COLUMN())),OFFSET($BN$2,0,0,ROW()-1,60),ROW()-1,FALSE))</f>
        <v>0.306478215</v>
      </c>
      <c r="AV270">
        <f ca="1">IF(AND(ISNUMBER($AV$938),$B$677=1),$AV$938,HLOOKUP(INDIRECT(ADDRESS(2,COLUMN())),OFFSET($BN$2,0,0,ROW()-1,60),ROW()-1,FALSE))</f>
        <v>0.475288459</v>
      </c>
      <c r="AW270">
        <f ca="1">IF(AND(ISNUMBER($AW$938),$B$677=1),$AW$938,HLOOKUP(INDIRECT(ADDRESS(2,COLUMN())),OFFSET($BN$2,0,0,ROW()-1,60),ROW()-1,FALSE))</f>
        <v>0.54856660400000001</v>
      </c>
      <c r="AX270">
        <f ca="1">IF(AND(ISNUMBER($AX$938),$B$677=1),$AX$938,HLOOKUP(INDIRECT(ADDRESS(2,COLUMN())),OFFSET($BN$2,0,0,ROW()-1,60),ROW()-1,FALSE))</f>
        <v>0.430211503</v>
      </c>
      <c r="AY270">
        <f ca="1">IF(AND(ISNUMBER($AY$938),$B$677=1),$AY$938,HLOOKUP(INDIRECT(ADDRESS(2,COLUMN())),OFFSET($BN$2,0,0,ROW()-1,60),ROW()-1,FALSE))</f>
        <v>0.56623818100000001</v>
      </c>
      <c r="AZ270">
        <f ca="1">IF(AND(ISNUMBER($AZ$938),$B$677=1),$AZ$938,HLOOKUP(INDIRECT(ADDRESS(2,COLUMN())),OFFSET($BN$2,0,0,ROW()-1,60),ROW()-1,FALSE))</f>
        <v>0.59729311299999999</v>
      </c>
      <c r="BA270">
        <f ca="1">IF(AND(ISNUMBER($BA$938),$B$677=1),$BA$938,HLOOKUP(INDIRECT(ADDRESS(2,COLUMN())),OFFSET($BN$2,0,0,ROW()-1,60),ROW()-1,FALSE))</f>
        <v>0.71815186900000005</v>
      </c>
      <c r="BB270">
        <f ca="1">IF(AND(ISNUMBER($BB$938),$B$677=1),$BB$938,HLOOKUP(INDIRECT(ADDRESS(2,COLUMN())),OFFSET($BN$2,0,0,ROW()-1,60),ROW()-1,FALSE))</f>
        <v>0.67642043200000002</v>
      </c>
      <c r="BC270">
        <f ca="1">IF(AND(ISNUMBER($BC$938),$B$677=1),$BC$938,HLOOKUP(INDIRECT(ADDRESS(2,COLUMN())),OFFSET($BN$2,0,0,ROW()-1,60),ROW()-1,FALSE))</f>
        <v>0.78271718300000004</v>
      </c>
      <c r="BD270">
        <f ca="1">IF(AND(ISNUMBER($BD$938),$B$677=1),$BD$938,HLOOKUP(INDIRECT(ADDRESS(2,COLUMN())),OFFSET($BN$2,0,0,ROW()-1,60),ROW()-1,FALSE))</f>
        <v>0.68084858599999998</v>
      </c>
      <c r="BE270">
        <f ca="1">IF(AND(ISNUMBER($BE$938),$B$677=1),$BE$938,HLOOKUP(INDIRECT(ADDRESS(2,COLUMN())),OFFSET($BN$2,0,0,ROW()-1,60),ROW()-1,FALSE))</f>
        <v>0.641709266</v>
      </c>
      <c r="BF270">
        <f ca="1">IF(AND(ISNUMBER($BF$938),$B$677=1),$BF$938,HLOOKUP(INDIRECT(ADDRESS(2,COLUMN())),OFFSET($BN$2,0,0,ROW()-1,60),ROW()-1,FALSE))</f>
        <v>0.66763070400000002</v>
      </c>
      <c r="BG270">
        <f ca="1">IF(AND(ISNUMBER($BG$938),$B$677=1),$BG$938,HLOOKUP(INDIRECT(ADDRESS(2,COLUMN())),OFFSET($BN$2,0,0,ROW()-1,60),ROW()-1,FALSE))</f>
        <v>0.65937113599999997</v>
      </c>
      <c r="BH270">
        <f ca="1">IF(AND(ISNUMBER($BH$938),$B$677=1),$BH$938,HLOOKUP(INDIRECT(ADDRESS(2,COLUMN())),OFFSET($BN$2,0,0,ROW()-1,60),ROW()-1,FALSE))</f>
        <v>0.65459110499999995</v>
      </c>
      <c r="BI270">
        <f ca="1">IF(AND(ISNUMBER($BI$938),$B$677=1),$BI$938,HLOOKUP(INDIRECT(ADDRESS(2,COLUMN())),OFFSET($BN$2,0,0,ROW()-1,60),ROW()-1,FALSE))</f>
        <v>0.57523266699999998</v>
      </c>
      <c r="BJ270">
        <f ca="1">IF(AND(ISNUMBER($BJ$938),$B$677=1),$BJ$938,HLOOKUP(INDIRECT(ADDRESS(2,COLUMN())),OFFSET($BN$2,0,0,ROW()-1,60),ROW()-1,FALSE))</f>
        <v>0.579542475</v>
      </c>
      <c r="BK270">
        <f ca="1">IF(AND(ISNUMBER($BK$938),$B$677=1),$BK$938,HLOOKUP(INDIRECT(ADDRESS(2,COLUMN())),OFFSET($BN$2,0,0,ROW()-1,60),ROW()-1,FALSE))</f>
        <v>0.58979005299999998</v>
      </c>
      <c r="BL270">
        <f ca="1">IF(AND(ISNUMBER($BL$938),$B$677=1),$BL$938,HLOOKUP(INDIRECT(ADDRESS(2,COLUMN())),OFFSET($BN$2,0,0,ROW()-1,60),ROW()-1,FALSE))</f>
        <v>0.60640300300000005</v>
      </c>
      <c r="BM270">
        <f ca="1">IF(AND(ISNUMBER($BM$938),$B$677=1),$BM$938,HLOOKUP(INDIRECT(ADDRESS(2,COLUMN())),OFFSET($BN$2,0,0,ROW()-1,60),ROW()-1,FALSE))</f>
        <v>0.60628272299999997</v>
      </c>
      <c r="BN270">
        <f>0.350819058</f>
        <v>0.35081905800000002</v>
      </c>
      <c r="BO270">
        <f>0.324942644</f>
        <v>0.324942644</v>
      </c>
      <c r="BP270">
        <f>0.388167325</f>
        <v>0.38816732500000001</v>
      </c>
      <c r="BQ270">
        <f>0.370766914</f>
        <v>0.370766914</v>
      </c>
      <c r="BR270">
        <f>0.427309739</f>
        <v>0.42730973900000002</v>
      </c>
      <c r="BS270">
        <f>0.456836894</f>
        <v>0.45683689399999999</v>
      </c>
      <c r="BT270">
        <f>0.407027321</f>
        <v>0.407027321</v>
      </c>
      <c r="BU270">
        <f>0.387778811</f>
        <v>0.387778811</v>
      </c>
      <c r="BV270">
        <f>0.431413737</f>
        <v>0.43141373700000002</v>
      </c>
      <c r="BW270">
        <f>0.442993296</f>
        <v>0.44299329599999998</v>
      </c>
      <c r="BX270">
        <f>0.371460708</f>
        <v>0.37146070799999997</v>
      </c>
      <c r="BY270">
        <f>0.322684998</f>
        <v>0.322684998</v>
      </c>
      <c r="BZ270">
        <f>0.380918732</f>
        <v>0.38091873199999998</v>
      </c>
      <c r="CA270">
        <f>0.492896652</f>
        <v>0.49289665199999999</v>
      </c>
      <c r="CB270">
        <f>0.449882989</f>
        <v>0.44988298900000001</v>
      </c>
      <c r="CC270">
        <f>0.521594947</f>
        <v>0.52159494699999998</v>
      </c>
      <c r="CD270">
        <f>0.533295578</f>
        <v>0.53329557800000005</v>
      </c>
      <c r="CE270">
        <f>0.49133748</f>
        <v>0.49133747999999999</v>
      </c>
      <c r="CF270">
        <f>0.54979616</f>
        <v>0.54979615999999998</v>
      </c>
      <c r="CG270">
        <f>0.521871341</f>
        <v>0.52187134099999999</v>
      </c>
      <c r="CH270">
        <f>0.55305592</f>
        <v>0.55305592000000003</v>
      </c>
      <c r="CI270">
        <f>0.679184446</f>
        <v>0.67918444600000005</v>
      </c>
      <c r="CJ270">
        <f>0.617855677</f>
        <v>0.61785567699999999</v>
      </c>
      <c r="CK270">
        <f>0.646300331</f>
        <v>0.64630033099999995</v>
      </c>
      <c r="CL270">
        <f>0.648633992</f>
        <v>0.64863399200000005</v>
      </c>
      <c r="CM270">
        <f>0.594275773</f>
        <v>0.59427577300000001</v>
      </c>
      <c r="CN270">
        <f>0.477107345</f>
        <v>0.47710734500000002</v>
      </c>
      <c r="CO270">
        <f>0.571494985</f>
        <v>0.57149498499999996</v>
      </c>
      <c r="CP270">
        <f>0.713156496</f>
        <v>0.71315649599999997</v>
      </c>
      <c r="CQ270">
        <f>0.545645515</f>
        <v>0.54564551500000003</v>
      </c>
      <c r="CR270">
        <f>0.52293988</f>
        <v>0.52293988000000002</v>
      </c>
      <c r="CS270">
        <f>0.671186472</f>
        <v>0.67118647200000003</v>
      </c>
      <c r="CT270">
        <f>0.631656296</f>
        <v>0.63165629599999995</v>
      </c>
      <c r="CU270">
        <f>0.646116193</f>
        <v>0.64611619300000001</v>
      </c>
      <c r="CV270">
        <f>0.587923847</f>
        <v>0.587923847</v>
      </c>
      <c r="CW270">
        <f>0.527123643</f>
        <v>0.52712364300000003</v>
      </c>
      <c r="CX270">
        <f>0.697997041</f>
        <v>0.69799704100000004</v>
      </c>
      <c r="CY270">
        <f>0.698140848</f>
        <v>0.69814084799999998</v>
      </c>
      <c r="CZ270">
        <f>0.599012975</f>
        <v>0.59901297499999995</v>
      </c>
      <c r="DA270">
        <f>0.527732109</f>
        <v>0.527732109</v>
      </c>
      <c r="DB270">
        <f>0.419597795</f>
        <v>0.419597795</v>
      </c>
      <c r="DC270">
        <f>0.306478215</f>
        <v>0.306478215</v>
      </c>
      <c r="DD270">
        <f>0.475288459</f>
        <v>0.475288459</v>
      </c>
      <c r="DE270">
        <f>0.548566604</f>
        <v>0.54856660400000001</v>
      </c>
      <c r="DF270">
        <f>0.430211503</f>
        <v>0.430211503</v>
      </c>
      <c r="DG270">
        <f>0.566238181</f>
        <v>0.56623818100000001</v>
      </c>
      <c r="DH270">
        <f>0.597293113</f>
        <v>0.59729311299999999</v>
      </c>
      <c r="DI270">
        <f>0.718151869</f>
        <v>0.71815186900000005</v>
      </c>
      <c r="DJ270">
        <f>0.676420432</f>
        <v>0.67642043200000002</v>
      </c>
      <c r="DK270">
        <f>0.782717183</f>
        <v>0.78271718300000004</v>
      </c>
      <c r="DL270">
        <f>0.680848586</f>
        <v>0.68084858599999998</v>
      </c>
      <c r="DM270">
        <f>0.641709266</f>
        <v>0.641709266</v>
      </c>
      <c r="DN270">
        <f>0.667630704</f>
        <v>0.66763070400000002</v>
      </c>
      <c r="DO270">
        <f>0.659371136</f>
        <v>0.65937113599999997</v>
      </c>
      <c r="DP270">
        <f>0.654591105</f>
        <v>0.65459110499999995</v>
      </c>
      <c r="DQ270">
        <f>0.575232667</f>
        <v>0.57523266699999998</v>
      </c>
      <c r="DR270">
        <f>0.579542475</f>
        <v>0.579542475</v>
      </c>
      <c r="DS270">
        <f>0.589790053</f>
        <v>0.58979005299999998</v>
      </c>
      <c r="DT270">
        <f>0.606403003</f>
        <v>0.60640300300000005</v>
      </c>
      <c r="DU270">
        <f>0.606282723</f>
        <v>0.60628272299999997</v>
      </c>
    </row>
    <row r="271" spans="1:125" x14ac:dyDescent="0.25">
      <c r="A271" t="str">
        <f>"    Hyundai Motor Co"</f>
        <v xml:space="preserve">    Hyundai Motor Co</v>
      </c>
      <c r="B271" t="str">
        <f>"005380 KS Equity"</f>
        <v>005380 KS Equity</v>
      </c>
      <c r="C271" t="str">
        <f t="shared" si="18"/>
        <v>RR904</v>
      </c>
      <c r="D271" t="str">
        <f t="shared" si="19"/>
        <v>PX_TO_SALES_RATIO</v>
      </c>
      <c r="E271" t="str">
        <f t="shared" si="20"/>
        <v>Dynamic</v>
      </c>
      <c r="F271" t="str">
        <f ca="1">IF(AND(ISNUMBER($F$939),$B$677=1),$F$939,HLOOKUP(INDIRECT(ADDRESS(2,COLUMN())),OFFSET($BN$2,0,0,ROW()-1,60),ROW()-1,FALSE))</f>
        <v/>
      </c>
      <c r="G271">
        <f ca="1">IF(AND(ISNUMBER($G$939),$B$677=1),$G$939,HLOOKUP(INDIRECT(ADDRESS(2,COLUMN())),OFFSET($BN$2,0,0,ROW()-1,60),ROW()-1,FALSE))</f>
        <v>0.25439126499999998</v>
      </c>
      <c r="H271">
        <f ca="1">IF(AND(ISNUMBER($H$939),$B$677=1),$H$939,HLOOKUP(INDIRECT(ADDRESS(2,COLUMN())),OFFSET($BN$2,0,0,ROW()-1,60),ROW()-1,FALSE))</f>
        <v>0.278005644</v>
      </c>
      <c r="I271">
        <f ca="1">IF(AND(ISNUMBER($I$939),$B$677=1),$I$939,HLOOKUP(INDIRECT(ADDRESS(2,COLUMN())),OFFSET($BN$2,0,0,ROW()-1,60),ROW()-1,FALSE))</f>
        <v>0.27080799900000002</v>
      </c>
      <c r="J271">
        <f ca="1">IF(AND(ISNUMBER($J$939),$B$677=1),$J$939,HLOOKUP(INDIRECT(ADDRESS(2,COLUMN())),OFFSET($BN$2,0,0,ROW()-1,60),ROW()-1,FALSE))</f>
        <v>0.31129677500000003</v>
      </c>
      <c r="K271">
        <f ca="1">IF(AND(ISNUMBER($K$939),$B$677=1),$K$939,HLOOKUP(INDIRECT(ADDRESS(2,COLUMN())),OFFSET($BN$2,0,0,ROW()-1,60),ROW()-1,FALSE))</f>
        <v>0.33514974800000003</v>
      </c>
      <c r="L271">
        <f ca="1">IF(AND(ISNUMBER($L$939),$B$677=1),$L$939,HLOOKUP(INDIRECT(ADDRESS(2,COLUMN())),OFFSET($BN$2,0,0,ROW()-1,60),ROW()-1,FALSE))</f>
        <v>0.323146771</v>
      </c>
      <c r="M271">
        <f ca="1">IF(AND(ISNUMBER($M$939),$B$677=1),$M$939,HLOOKUP(INDIRECT(ADDRESS(2,COLUMN())),OFFSET($BN$2,0,0,ROW()-1,60),ROW()-1,FALSE))</f>
        <v>0.35016062599999997</v>
      </c>
      <c r="N271">
        <f ca="1">IF(AND(ISNUMBER($N$939),$B$677=1),$N$939,HLOOKUP(INDIRECT(ADDRESS(2,COLUMN())),OFFSET($BN$2,0,0,ROW()-1,60),ROW()-1,FALSE))</f>
        <v>0.34442345000000002</v>
      </c>
      <c r="O271">
        <f ca="1">IF(AND(ISNUMBER($O$939),$B$677=1),$O$939,HLOOKUP(INDIRECT(ADDRESS(2,COLUMN())),OFFSET($BN$2,0,0,ROW()-1,60),ROW()-1,FALSE))</f>
        <v>0.32261682600000002</v>
      </c>
      <c r="P271">
        <f ca="1">IF(AND(ISNUMBER($P$939),$B$677=1),$P$939,HLOOKUP(INDIRECT(ADDRESS(2,COLUMN())),OFFSET($BN$2,0,0,ROW()-1,60),ROW()-1,FALSE))</f>
        <v>0.29875603699999997</v>
      </c>
      <c r="Q271">
        <f ca="1">IF(AND(ISNUMBER($Q$939),$B$677=1),$Q$939,HLOOKUP(INDIRECT(ADDRESS(2,COLUMN())),OFFSET($BN$2,0,0,ROW()-1,60),ROW()-1,FALSE))</f>
        <v>0.29453922900000001</v>
      </c>
      <c r="R271">
        <f ca="1">IF(AND(ISNUMBER($R$939),$B$677=1),$R$939,HLOOKUP(INDIRECT(ADDRESS(2,COLUMN())),OFFSET($BN$2,0,0,ROW()-1,60),ROW()-1,FALSE))</f>
        <v>0.33808179999999999</v>
      </c>
      <c r="S271">
        <f ca="1">IF(AND(ISNUMBER($S$939),$B$677=1),$S$939,HLOOKUP(INDIRECT(ADDRESS(2,COLUMN())),OFFSET($BN$2,0,0,ROW()-1,60),ROW()-1,FALSE))</f>
        <v>0.33559635100000001</v>
      </c>
      <c r="T271">
        <f ca="1">IF(AND(ISNUMBER($T$939),$B$677=1),$T$939,HLOOKUP(INDIRECT(ADDRESS(2,COLUMN())),OFFSET($BN$2,0,0,ROW()-1,60),ROW()-1,FALSE))</f>
        <v>0.375163727</v>
      </c>
      <c r="U271">
        <f ca="1">IF(AND(ISNUMBER($U$939),$B$677=1),$U$939,HLOOKUP(INDIRECT(ADDRESS(2,COLUMN())),OFFSET($BN$2,0,0,ROW()-1,60),ROW()-1,FALSE))</f>
        <v>0.31948747599999999</v>
      </c>
      <c r="V271">
        <f ca="1">IF(AND(ISNUMBER($V$939),$B$677=1),$V$939,HLOOKUP(INDIRECT(ADDRESS(2,COLUMN())),OFFSET($BN$2,0,0,ROW()-1,60),ROW()-1,FALSE))</f>
        <v>0.39722590200000002</v>
      </c>
      <c r="W271">
        <f ca="1">IF(AND(ISNUMBER($W$939),$B$677=1),$W$939,HLOOKUP(INDIRECT(ADDRESS(2,COLUMN())),OFFSET($BN$2,0,0,ROW()-1,60),ROW()-1,FALSE))</f>
        <v>0.39613905700000002</v>
      </c>
      <c r="X271">
        <f ca="1">IF(AND(ISNUMBER($X$939),$B$677=1),$X$939,HLOOKUP(INDIRECT(ADDRESS(2,COLUMN())),OFFSET($BN$2,0,0,ROW()-1,60),ROW()-1,FALSE))</f>
        <v>0.45498725600000001</v>
      </c>
      <c r="Y271">
        <f ca="1">IF(AND(ISNUMBER($Y$939),$B$677=1),$Y$939,HLOOKUP(INDIRECT(ADDRESS(2,COLUMN())),OFFSET($BN$2,0,0,ROW()-1,60),ROW()-1,FALSE))</f>
        <v>0.55103354400000004</v>
      </c>
      <c r="Z271">
        <f ca="1">IF(AND(ISNUMBER($Z$939),$B$677=1),$Z$939,HLOOKUP(INDIRECT(ADDRESS(2,COLUMN())),OFFSET($BN$2,0,0,ROW()-1,60),ROW()-1,FALSE))</f>
        <v>0.59969107300000002</v>
      </c>
      <c r="AA271">
        <f ca="1">IF(AND(ISNUMBER($AA$939),$B$677=1),$AA$939,HLOOKUP(INDIRECT(ADDRESS(2,COLUMN())),OFFSET($BN$2,0,0,ROW()-1,60),ROW()-1,FALSE))</f>
        <v>0.56687252799999999</v>
      </c>
      <c r="AB271">
        <f ca="1">IF(AND(ISNUMBER($AB$939),$B$677=1),$AB$939,HLOOKUP(INDIRECT(ADDRESS(2,COLUMN())),OFFSET($BN$2,0,0,ROW()-1,60),ROW()-1,FALSE))</f>
        <v>0.59629198299999997</v>
      </c>
      <c r="AC271">
        <f ca="1">IF(AND(ISNUMBER($AC$939),$B$677=1),$AC$939,HLOOKUP(INDIRECT(ADDRESS(2,COLUMN())),OFFSET($BN$2,0,0,ROW()-1,60),ROW()-1,FALSE))</f>
        <v>0.54294737400000004</v>
      </c>
      <c r="AD271">
        <f ca="1">IF(AND(ISNUMBER($AD$939),$B$677=1),$AD$939,HLOOKUP(INDIRECT(ADDRESS(2,COLUMN())),OFFSET($BN$2,0,0,ROW()-1,60),ROW()-1,FALSE))</f>
        <v>0.54716248999999995</v>
      </c>
      <c r="AE271">
        <f ca="1">IF(AND(ISNUMBER($AE$939),$B$677=1),$AE$939,HLOOKUP(INDIRECT(ADDRESS(2,COLUMN())),OFFSET($BN$2,0,0,ROW()-1,60),ROW()-1,FALSE))</f>
        <v>0.54132349400000002</v>
      </c>
      <c r="AF271">
        <f ca="1">IF(AND(ISNUMBER($AF$939),$B$677=1),$AF$939,HLOOKUP(INDIRECT(ADDRESS(2,COLUMN())),OFFSET($BN$2,0,0,ROW()-1,60),ROW()-1,FALSE))</f>
        <v>0.64060565999999997</v>
      </c>
      <c r="AG271">
        <f ca="1">IF(AND(ISNUMBER($AG$939),$B$677=1),$AG$939,HLOOKUP(INDIRECT(ADDRESS(2,COLUMN())),OFFSET($BN$2,0,0,ROW()-1,60),ROW()-1,FALSE))</f>
        <v>0.59595676900000005</v>
      </c>
      <c r="AH271">
        <f ca="1">IF(AND(ISNUMBER($AH$939),$B$677=1),$AH$939,HLOOKUP(INDIRECT(ADDRESS(2,COLUMN())),OFFSET($BN$2,0,0,ROW()-1,60),ROW()-1,FALSE))</f>
        <v>0.61107604599999998</v>
      </c>
      <c r="AI271">
        <f ca="1">IF(AND(ISNUMBER($AI$939),$B$677=1),$AI$939,HLOOKUP(INDIRECT(ADDRESS(2,COLUMN())),OFFSET($BN$2,0,0,ROW()-1,60),ROW()-1,FALSE))</f>
        <v>0.57248464799999998</v>
      </c>
      <c r="AJ271">
        <f ca="1">IF(AND(ISNUMBER($AJ$939),$B$677=1),$AJ$939,HLOOKUP(INDIRECT(ADDRESS(2,COLUMN())),OFFSET($BN$2,0,0,ROW()-1,60),ROW()-1,FALSE))</f>
        <v>0.58230648699999998</v>
      </c>
      <c r="AK271">
        <f ca="1">IF(AND(ISNUMBER($AK$939),$B$677=1),$AK$939,HLOOKUP(INDIRECT(ADDRESS(2,COLUMN())),OFFSET($BN$2,0,0,ROW()-1,60),ROW()-1,FALSE))</f>
        <v>0.67496964100000001</v>
      </c>
      <c r="AL271">
        <f ca="1">IF(AND(ISNUMBER($AL$939),$B$677=1),$AL$939,HLOOKUP(INDIRECT(ADDRESS(2,COLUMN())),OFFSET($BN$2,0,0,ROW()-1,60),ROW()-1,FALSE))</f>
        <v>0.60464280999999998</v>
      </c>
      <c r="AM271">
        <f ca="1">IF(AND(ISNUMBER($AM$939),$B$677=1),$AM$939,HLOOKUP(INDIRECT(ADDRESS(2,COLUMN())),OFFSET($BN$2,0,0,ROW()-1,60),ROW()-1,FALSE))</f>
        <v>0.541268525</v>
      </c>
      <c r="AN271" t="str">
        <f ca="1">IF(AND(ISNUMBER($AN$939),$B$677=1),$AN$939,HLOOKUP(INDIRECT(ADDRESS(2,COLUMN())),OFFSET($BN$2,0,0,ROW()-1,60),ROW()-1,FALSE))</f>
        <v/>
      </c>
      <c r="AO271" t="str">
        <f ca="1">IF(AND(ISNUMBER($AO$939),$B$677=1),$AO$939,HLOOKUP(INDIRECT(ADDRESS(2,COLUMN())),OFFSET($BN$2,0,0,ROW()-1,60),ROW()-1,FALSE))</f>
        <v/>
      </c>
      <c r="AP271" t="str">
        <f ca="1">IF(AND(ISNUMBER($AP$939),$B$677=1),$AP$939,HLOOKUP(INDIRECT(ADDRESS(2,COLUMN())),OFFSET($BN$2,0,0,ROW()-1,60),ROW()-1,FALSE))</f>
        <v/>
      </c>
      <c r="AQ271" t="str">
        <f ca="1">IF(AND(ISNUMBER($AQ$939),$B$677=1),$AQ$939,HLOOKUP(INDIRECT(ADDRESS(2,COLUMN())),OFFSET($BN$2,0,0,ROW()-1,60),ROW()-1,FALSE))</f>
        <v/>
      </c>
      <c r="AR271" t="str">
        <f ca="1">IF(AND(ISNUMBER($AR$939),$B$677=1),$AR$939,HLOOKUP(INDIRECT(ADDRESS(2,COLUMN())),OFFSET($BN$2,0,0,ROW()-1,60),ROW()-1,FALSE))</f>
        <v/>
      </c>
      <c r="AS271" t="str">
        <f ca="1">IF(AND(ISNUMBER($AS$939),$B$677=1),$AS$939,HLOOKUP(INDIRECT(ADDRESS(2,COLUMN())),OFFSET($BN$2,0,0,ROW()-1,60),ROW()-1,FALSE))</f>
        <v/>
      </c>
      <c r="AT271" t="str">
        <f ca="1">IF(AND(ISNUMBER($AT$939),$B$677=1),$AT$939,HLOOKUP(INDIRECT(ADDRESS(2,COLUMN())),OFFSET($BN$2,0,0,ROW()-1,60),ROW()-1,FALSE))</f>
        <v/>
      </c>
      <c r="AU271" t="str">
        <f ca="1">IF(AND(ISNUMBER($AU$939),$B$677=1),$AU$939,HLOOKUP(INDIRECT(ADDRESS(2,COLUMN())),OFFSET($BN$2,0,0,ROW()-1,60),ROW()-1,FALSE))</f>
        <v/>
      </c>
      <c r="AV271" t="str">
        <f ca="1">IF(AND(ISNUMBER($AV$939),$B$677=1),$AV$939,HLOOKUP(INDIRECT(ADDRESS(2,COLUMN())),OFFSET($BN$2,0,0,ROW()-1,60),ROW()-1,FALSE))</f>
        <v/>
      </c>
      <c r="AW271" t="str">
        <f ca="1">IF(AND(ISNUMBER($AW$939),$B$677=1),$AW$939,HLOOKUP(INDIRECT(ADDRESS(2,COLUMN())),OFFSET($BN$2,0,0,ROW()-1,60),ROW()-1,FALSE))</f>
        <v/>
      </c>
      <c r="AX271" t="str">
        <f ca="1">IF(AND(ISNUMBER($AX$939),$B$677=1),$AX$939,HLOOKUP(INDIRECT(ADDRESS(2,COLUMN())),OFFSET($BN$2,0,0,ROW()-1,60),ROW()-1,FALSE))</f>
        <v/>
      </c>
      <c r="AY271" t="str">
        <f ca="1">IF(AND(ISNUMBER($AY$939),$B$677=1),$AY$939,HLOOKUP(INDIRECT(ADDRESS(2,COLUMN())),OFFSET($BN$2,0,0,ROW()-1,60),ROW()-1,FALSE))</f>
        <v/>
      </c>
      <c r="AZ271" t="str">
        <f ca="1">IF(AND(ISNUMBER($AZ$939),$B$677=1),$AZ$939,HLOOKUP(INDIRECT(ADDRESS(2,COLUMN())),OFFSET($BN$2,0,0,ROW()-1,60),ROW()-1,FALSE))</f>
        <v/>
      </c>
      <c r="BA271" t="str">
        <f ca="1">IF(AND(ISNUMBER($BA$939),$B$677=1),$BA$939,HLOOKUP(INDIRECT(ADDRESS(2,COLUMN())),OFFSET($BN$2,0,0,ROW()-1,60),ROW()-1,FALSE))</f>
        <v/>
      </c>
      <c r="BB271" t="str">
        <f ca="1">IF(AND(ISNUMBER($BB$939),$B$677=1),$BB$939,HLOOKUP(INDIRECT(ADDRESS(2,COLUMN())),OFFSET($BN$2,0,0,ROW()-1,60),ROW()-1,FALSE))</f>
        <v/>
      </c>
      <c r="BC271" t="str">
        <f ca="1">IF(AND(ISNUMBER($BC$939),$B$677=1),$BC$939,HLOOKUP(INDIRECT(ADDRESS(2,COLUMN())),OFFSET($BN$2,0,0,ROW()-1,60),ROW()-1,FALSE))</f>
        <v/>
      </c>
      <c r="BD271" t="str">
        <f ca="1">IF(AND(ISNUMBER($BD$939),$B$677=1),$BD$939,HLOOKUP(INDIRECT(ADDRESS(2,COLUMN())),OFFSET($BN$2,0,0,ROW()-1,60),ROW()-1,FALSE))</f>
        <v/>
      </c>
      <c r="BE271" t="str">
        <f ca="1">IF(AND(ISNUMBER($BE$939),$B$677=1),$BE$939,HLOOKUP(INDIRECT(ADDRESS(2,COLUMN())),OFFSET($BN$2,0,0,ROW()-1,60),ROW()-1,FALSE))</f>
        <v/>
      </c>
      <c r="BF271" t="str">
        <f ca="1">IF(AND(ISNUMBER($BF$939),$B$677=1),$BF$939,HLOOKUP(INDIRECT(ADDRESS(2,COLUMN())),OFFSET($BN$2,0,0,ROW()-1,60),ROW()-1,FALSE))</f>
        <v/>
      </c>
      <c r="BG271" t="str">
        <f ca="1">IF(AND(ISNUMBER($BG$939),$B$677=1),$BG$939,HLOOKUP(INDIRECT(ADDRESS(2,COLUMN())),OFFSET($BN$2,0,0,ROW()-1,60),ROW()-1,FALSE))</f>
        <v/>
      </c>
      <c r="BH271" t="str">
        <f ca="1">IF(AND(ISNUMBER($BH$939),$B$677=1),$BH$939,HLOOKUP(INDIRECT(ADDRESS(2,COLUMN())),OFFSET($BN$2,0,0,ROW()-1,60),ROW()-1,FALSE))</f>
        <v/>
      </c>
      <c r="BI271" t="str">
        <f ca="1">IF(AND(ISNUMBER($BI$939),$B$677=1),$BI$939,HLOOKUP(INDIRECT(ADDRESS(2,COLUMN())),OFFSET($BN$2,0,0,ROW()-1,60),ROW()-1,FALSE))</f>
        <v/>
      </c>
      <c r="BJ271" t="str">
        <f ca="1">IF(AND(ISNUMBER($BJ$939),$B$677=1),$BJ$939,HLOOKUP(INDIRECT(ADDRESS(2,COLUMN())),OFFSET($BN$2,0,0,ROW()-1,60),ROW()-1,FALSE))</f>
        <v/>
      </c>
      <c r="BK271" t="str">
        <f ca="1">IF(AND(ISNUMBER($BK$939),$B$677=1),$BK$939,HLOOKUP(INDIRECT(ADDRESS(2,COLUMN())),OFFSET($BN$2,0,0,ROW()-1,60),ROW()-1,FALSE))</f>
        <v/>
      </c>
      <c r="BL271" t="str">
        <f ca="1">IF(AND(ISNUMBER($BL$939),$B$677=1),$BL$939,HLOOKUP(INDIRECT(ADDRESS(2,COLUMN())),OFFSET($BN$2,0,0,ROW()-1,60),ROW()-1,FALSE))</f>
        <v/>
      </c>
      <c r="BM271" t="str">
        <f ca="1">IF(AND(ISNUMBER($BM$939),$B$677=1),$BM$939,HLOOKUP(INDIRECT(ADDRESS(2,COLUMN())),OFFSET($BN$2,0,0,ROW()-1,60),ROW()-1,FALSE))</f>
        <v/>
      </c>
      <c r="BN271" t="str">
        <f>""</f>
        <v/>
      </c>
      <c r="BO271">
        <f>0.254391265</f>
        <v>0.25439126499999998</v>
      </c>
      <c r="BP271">
        <f>0.278005644</f>
        <v>0.278005644</v>
      </c>
      <c r="BQ271">
        <f>0.270807999</f>
        <v>0.27080799900000002</v>
      </c>
      <c r="BR271">
        <f>0.311296775</f>
        <v>0.31129677500000003</v>
      </c>
      <c r="BS271">
        <f>0.335149748</f>
        <v>0.33514974800000003</v>
      </c>
      <c r="BT271">
        <f>0.323146771</f>
        <v>0.323146771</v>
      </c>
      <c r="BU271">
        <f>0.350160626</f>
        <v>0.35016062599999997</v>
      </c>
      <c r="BV271">
        <f>0.34442345</f>
        <v>0.34442345000000002</v>
      </c>
      <c r="BW271">
        <f>0.322616826</f>
        <v>0.32261682600000002</v>
      </c>
      <c r="BX271">
        <f>0.298756037</f>
        <v>0.29875603699999997</v>
      </c>
      <c r="BY271">
        <f>0.294539229</f>
        <v>0.29453922900000001</v>
      </c>
      <c r="BZ271">
        <f>0.3380818</f>
        <v>0.33808179999999999</v>
      </c>
      <c r="CA271">
        <f>0.335596351</f>
        <v>0.33559635100000001</v>
      </c>
      <c r="CB271">
        <f>0.375163727</f>
        <v>0.375163727</v>
      </c>
      <c r="CC271">
        <f>0.319487476</f>
        <v>0.31948747599999999</v>
      </c>
      <c r="CD271">
        <f>0.397225902</f>
        <v>0.39722590200000002</v>
      </c>
      <c r="CE271">
        <f>0.396139057</f>
        <v>0.39613905700000002</v>
      </c>
      <c r="CF271">
        <f>0.454987256</f>
        <v>0.45498725600000001</v>
      </c>
      <c r="CG271">
        <f>0.551033544</f>
        <v>0.55103354400000004</v>
      </c>
      <c r="CH271">
        <f>0.599691073</f>
        <v>0.59969107300000002</v>
      </c>
      <c r="CI271">
        <f>0.566872528</f>
        <v>0.56687252799999999</v>
      </c>
      <c r="CJ271">
        <f>0.596291983</f>
        <v>0.59629198299999997</v>
      </c>
      <c r="CK271">
        <f>0.542947374</f>
        <v>0.54294737400000004</v>
      </c>
      <c r="CL271">
        <f>0.54716249</f>
        <v>0.54716248999999995</v>
      </c>
      <c r="CM271">
        <f>0.541323494</f>
        <v>0.54132349400000002</v>
      </c>
      <c r="CN271">
        <f>0.64060566</f>
        <v>0.64060565999999997</v>
      </c>
      <c r="CO271">
        <f>0.595956769</f>
        <v>0.59595676900000005</v>
      </c>
      <c r="CP271">
        <f>0.611076046</f>
        <v>0.61107604599999998</v>
      </c>
      <c r="CQ271">
        <f>0.572484648</f>
        <v>0.57248464799999998</v>
      </c>
      <c r="CR271">
        <f>0.582306487</f>
        <v>0.58230648699999998</v>
      </c>
      <c r="CS271">
        <f>0.674969641</f>
        <v>0.67496964100000001</v>
      </c>
      <c r="CT271">
        <f>0.60464281</f>
        <v>0.60464280999999998</v>
      </c>
      <c r="CU271">
        <f>0.541268525</f>
        <v>0.541268525</v>
      </c>
      <c r="CV271" t="str">
        <f>""</f>
        <v/>
      </c>
      <c r="CW271" t="str">
        <f>""</f>
        <v/>
      </c>
      <c r="CX271" t="str">
        <f>""</f>
        <v/>
      </c>
      <c r="CY271" t="str">
        <f>""</f>
        <v/>
      </c>
      <c r="CZ271" t="str">
        <f>""</f>
        <v/>
      </c>
      <c r="DA271" t="str">
        <f>""</f>
        <v/>
      </c>
      <c r="DB271" t="str">
        <f>""</f>
        <v/>
      </c>
      <c r="DC271" t="str">
        <f>""</f>
        <v/>
      </c>
      <c r="DD271" t="str">
        <f>""</f>
        <v/>
      </c>
      <c r="DE271" t="str">
        <f>""</f>
        <v/>
      </c>
      <c r="DF271" t="str">
        <f>""</f>
        <v/>
      </c>
      <c r="DG271" t="str">
        <f>""</f>
        <v/>
      </c>
      <c r="DH271" t="str">
        <f>""</f>
        <v/>
      </c>
      <c r="DI271" t="str">
        <f>""</f>
        <v/>
      </c>
      <c r="DJ271" t="str">
        <f>""</f>
        <v/>
      </c>
      <c r="DK271" t="str">
        <f>""</f>
        <v/>
      </c>
      <c r="DL271" t="str">
        <f>""</f>
        <v/>
      </c>
      <c r="DM271" t="str">
        <f>""</f>
        <v/>
      </c>
      <c r="DN271" t="str">
        <f>""</f>
        <v/>
      </c>
      <c r="DO271" t="str">
        <f>""</f>
        <v/>
      </c>
      <c r="DP271" t="str">
        <f>""</f>
        <v/>
      </c>
      <c r="DQ271" t="str">
        <f>""</f>
        <v/>
      </c>
      <c r="DR271" t="str">
        <f>""</f>
        <v/>
      </c>
      <c r="DS271" t="str">
        <f>""</f>
        <v/>
      </c>
      <c r="DT271" t="str">
        <f>""</f>
        <v/>
      </c>
      <c r="DU271" t="str">
        <f>""</f>
        <v/>
      </c>
    </row>
    <row r="272" spans="1:125" x14ac:dyDescent="0.25">
      <c r="A272" t="str">
        <f>"    Kia Motors Corp"</f>
        <v xml:space="preserve">    Kia Motors Corp</v>
      </c>
      <c r="B272" t="str">
        <f>"000270 KS Equity"</f>
        <v>000270 KS Equity</v>
      </c>
      <c r="C272" t="str">
        <f t="shared" si="18"/>
        <v>RR904</v>
      </c>
      <c r="D272" t="str">
        <f t="shared" si="19"/>
        <v>PX_TO_SALES_RATIO</v>
      </c>
      <c r="E272" t="str">
        <f t="shared" si="20"/>
        <v>Dynamic</v>
      </c>
      <c r="F272" t="str">
        <f ca="1">IF(AND(ISNUMBER($F$940),$B$677=1),$F$940,HLOOKUP(INDIRECT(ADDRESS(2,COLUMN())),OFFSET($BN$2,0,0,ROW()-1,60),ROW()-1,FALSE))</f>
        <v/>
      </c>
      <c r="G272">
        <f ca="1">IF(AND(ISNUMBER($G$940),$B$677=1),$G$940,HLOOKUP(INDIRECT(ADDRESS(2,COLUMN())),OFFSET($BN$2,0,0,ROW()-1,60),ROW()-1,FALSE))</f>
        <v>0.24674515699999999</v>
      </c>
      <c r="H272">
        <f ca="1">IF(AND(ISNUMBER($H$940),$B$677=1),$H$940,HLOOKUP(INDIRECT(ADDRESS(2,COLUMN())),OFFSET($BN$2,0,0,ROW()-1,60),ROW()-1,FALSE))</f>
        <v>0.26205007600000002</v>
      </c>
      <c r="I272">
        <f ca="1">IF(AND(ISNUMBER($I$940),$B$677=1),$I$940,HLOOKUP(INDIRECT(ADDRESS(2,COLUMN())),OFFSET($BN$2,0,0,ROW()-1,60),ROW()-1,FALSE))</f>
        <v>0.23017726799999999</v>
      </c>
      <c r="J272">
        <f ca="1">IF(AND(ISNUMBER($J$940),$B$677=1),$J$940,HLOOKUP(INDIRECT(ADDRESS(2,COLUMN())),OFFSET($BN$2,0,0,ROW()-1,60),ROW()-1,FALSE))</f>
        <v>0.23338852800000001</v>
      </c>
      <c r="K272">
        <f ca="1">IF(AND(ISNUMBER($K$940),$B$677=1),$K$940,HLOOKUP(INDIRECT(ADDRESS(2,COLUMN())),OFFSET($BN$2,0,0,ROW()-1,60),ROW()-1,FALSE))</f>
        <v>0.250883099</v>
      </c>
      <c r="L272">
        <f ca="1">IF(AND(ISNUMBER($L$940),$B$677=1),$L$940,HLOOKUP(INDIRECT(ADDRESS(2,COLUMN())),OFFSET($BN$2,0,0,ROW()-1,60),ROW()-1,FALSE))</f>
        <v>0.23774751799999999</v>
      </c>
      <c r="M272">
        <f ca="1">IF(AND(ISNUMBER($M$940),$B$677=1),$M$940,HLOOKUP(INDIRECT(ADDRESS(2,COLUMN())),OFFSET($BN$2,0,0,ROW()-1,60),ROW()-1,FALSE))</f>
        <v>0.29472922400000001</v>
      </c>
      <c r="N272">
        <f ca="1">IF(AND(ISNUMBER($N$940),$B$677=1),$N$940,HLOOKUP(INDIRECT(ADDRESS(2,COLUMN())),OFFSET($BN$2,0,0,ROW()-1,60),ROW()-1,FALSE))</f>
        <v>0.28114130999999998</v>
      </c>
      <c r="O272">
        <f ca="1">IF(AND(ISNUMBER($O$940),$B$677=1),$O$940,HLOOKUP(INDIRECT(ADDRESS(2,COLUMN())),OFFSET($BN$2,0,0,ROW()-1,60),ROW()-1,FALSE))</f>
        <v>0.298880798</v>
      </c>
      <c r="P272">
        <f ca="1">IF(AND(ISNUMBER($P$940),$B$677=1),$P$940,HLOOKUP(INDIRECT(ADDRESS(2,COLUMN())),OFFSET($BN$2,0,0,ROW()-1,60),ROW()-1,FALSE))</f>
        <v>0.32128072000000002</v>
      </c>
      <c r="Q272">
        <f ca="1">IF(AND(ISNUMBER($Q$940),$B$677=1),$Q$940,HLOOKUP(INDIRECT(ADDRESS(2,COLUMN())),OFFSET($BN$2,0,0,ROW()-1,60),ROW()-1,FALSE))</f>
        <v>0.32672474899999998</v>
      </c>
      <c r="R272">
        <f ca="1">IF(AND(ISNUMBER($R$940),$B$677=1),$R$940,HLOOKUP(INDIRECT(ADDRESS(2,COLUMN())),OFFSET($BN$2,0,0,ROW()-1,60),ROW()-1,FALSE))</f>
        <v>0.37968455600000001</v>
      </c>
      <c r="S272">
        <f ca="1">IF(AND(ISNUMBER($S$940),$B$677=1),$S$940,HLOOKUP(INDIRECT(ADDRESS(2,COLUMN())),OFFSET($BN$2,0,0,ROW()-1,60),ROW()-1,FALSE))</f>
        <v>0.42653703900000001</v>
      </c>
      <c r="T272">
        <f ca="1">IF(AND(ISNUMBER($T$940),$B$677=1),$T$940,HLOOKUP(INDIRECT(ADDRESS(2,COLUMN())),OFFSET($BN$2,0,0,ROW()-1,60),ROW()-1,FALSE))</f>
        <v>0.445522052</v>
      </c>
      <c r="U272">
        <f ca="1">IF(AND(ISNUMBER($U$940),$B$677=1),$U$940,HLOOKUP(INDIRECT(ADDRESS(2,COLUMN())),OFFSET($BN$2,0,0,ROW()-1,60),ROW()-1,FALSE))</f>
        <v>0.39121551700000001</v>
      </c>
      <c r="V272">
        <f ca="1">IF(AND(ISNUMBER($V$940),$B$677=1),$V$940,HLOOKUP(INDIRECT(ADDRESS(2,COLUMN())),OFFSET($BN$2,0,0,ROW()-1,60),ROW()-1,FALSE))</f>
        <v>0.39466432600000001</v>
      </c>
      <c r="W272">
        <f ca="1">IF(AND(ISNUMBER($W$940),$B$677=1),$W$940,HLOOKUP(INDIRECT(ADDRESS(2,COLUMN())),OFFSET($BN$2,0,0,ROW()-1,60),ROW()-1,FALSE))</f>
        <v>0.44972515299999999</v>
      </c>
      <c r="X272">
        <f ca="1">IF(AND(ISNUMBER($X$940),$B$677=1),$X$940,HLOOKUP(INDIRECT(ADDRESS(2,COLUMN())),OFFSET($BN$2,0,0,ROW()-1,60),ROW()-1,FALSE))</f>
        <v>0.46113044800000003</v>
      </c>
      <c r="Y272">
        <f ca="1">IF(AND(ISNUMBER($Y$940),$B$677=1),$Y$940,HLOOKUP(INDIRECT(ADDRESS(2,COLUMN())),OFFSET($BN$2,0,0,ROW()-1,60),ROW()-1,FALSE))</f>
        <v>0.48378610700000002</v>
      </c>
      <c r="Z272">
        <f ca="1">IF(AND(ISNUMBER($Z$940),$B$677=1),$Z$940,HLOOKUP(INDIRECT(ADDRESS(2,COLUMN())),OFFSET($BN$2,0,0,ROW()-1,60),ROW()-1,FALSE))</f>
        <v>0.49579209499999999</v>
      </c>
      <c r="AA272">
        <f ca="1">IF(AND(ISNUMBER($AA$940),$B$677=1),$AA$940,HLOOKUP(INDIRECT(ADDRESS(2,COLUMN())),OFFSET($BN$2,0,0,ROW()-1,60),ROW()-1,FALSE))</f>
        <v>0.47732511100000002</v>
      </c>
      <c r="AB272">
        <f ca="1">IF(AND(ISNUMBER($AB$940),$B$677=1),$AB$940,HLOOKUP(INDIRECT(ADDRESS(2,COLUMN())),OFFSET($BN$2,0,0,ROW()-1,60),ROW()-1,FALSE))</f>
        <v>0.56137706700000001</v>
      </c>
      <c r="AC272">
        <f ca="1">IF(AND(ISNUMBER($AC$940),$B$677=1),$AC$940,HLOOKUP(INDIRECT(ADDRESS(2,COLUMN())),OFFSET($BN$2,0,0,ROW()-1,60),ROW()-1,FALSE))</f>
        <v>0.53396764299999999</v>
      </c>
      <c r="AD272">
        <f ca="1">IF(AND(ISNUMBER($AD$940),$B$677=1),$AD$940,HLOOKUP(INDIRECT(ADDRESS(2,COLUMN())),OFFSET($BN$2,0,0,ROW()-1,60),ROW()-1,FALSE))</f>
        <v>0.48384798899999998</v>
      </c>
      <c r="AE272">
        <f ca="1">IF(AND(ISNUMBER($AE$940),$B$677=1),$AE$940,HLOOKUP(INDIRECT(ADDRESS(2,COLUMN())),OFFSET($BN$2,0,0,ROW()-1,60),ROW()-1,FALSE))</f>
        <v>0.484164072</v>
      </c>
      <c r="AF272">
        <f ca="1">IF(AND(ISNUMBER($AF$940),$B$677=1),$AF$940,HLOOKUP(INDIRECT(ADDRESS(2,COLUMN())),OFFSET($BN$2,0,0,ROW()-1,60),ROW()-1,FALSE))</f>
        <v>0.59673726800000004</v>
      </c>
      <c r="AG272">
        <f ca="1">IF(AND(ISNUMBER($AG$940),$B$677=1),$AG$940,HLOOKUP(INDIRECT(ADDRESS(2,COLUMN())),OFFSET($BN$2,0,0,ROW()-1,60),ROW()-1,FALSE))</f>
        <v>0.66298785500000001</v>
      </c>
      <c r="AH272">
        <f ca="1">IF(AND(ISNUMBER($AH$940),$B$677=1),$AH$940,HLOOKUP(INDIRECT(ADDRESS(2,COLUMN())),OFFSET($BN$2,0,0,ROW()-1,60),ROW()-1,FALSE))</f>
        <v>0.66908733300000001</v>
      </c>
      <c r="AI272">
        <f ca="1">IF(AND(ISNUMBER($AI$940),$B$677=1),$AI$940,HLOOKUP(INDIRECT(ADDRESS(2,COLUMN())),OFFSET($BN$2,0,0,ROW()-1,60),ROW()-1,FALSE))</f>
        <v>0.61539025199999997</v>
      </c>
      <c r="AJ272">
        <f ca="1">IF(AND(ISNUMBER($AJ$940),$B$677=1),$AJ$940,HLOOKUP(INDIRECT(ADDRESS(2,COLUMN())),OFFSET($BN$2,0,0,ROW()-1,60),ROW()-1,FALSE))</f>
        <v>0.67478484900000002</v>
      </c>
      <c r="AK272">
        <f ca="1">IF(AND(ISNUMBER($AK$940),$B$677=1),$AK$940,HLOOKUP(INDIRECT(ADDRESS(2,COLUMN())),OFFSET($BN$2,0,0,ROW()-1,60),ROW()-1,FALSE))</f>
        <v>0.69823760400000001</v>
      </c>
      <c r="AL272">
        <f ca="1">IF(AND(ISNUMBER($AL$940),$B$677=1),$AL$940,HLOOKUP(INDIRECT(ADDRESS(2,COLUMN())),OFFSET($BN$2,0,0,ROW()-1,60),ROW()-1,FALSE))</f>
        <v>0.70312806400000005</v>
      </c>
      <c r="AM272">
        <f ca="1">IF(AND(ISNUMBER($AM$940),$B$677=1),$AM$940,HLOOKUP(INDIRECT(ADDRESS(2,COLUMN())),OFFSET($BN$2,0,0,ROW()-1,60),ROW()-1,FALSE))</f>
        <v>0.55376871500000002</v>
      </c>
      <c r="AN272" t="str">
        <f ca="1">IF(AND(ISNUMBER($AN$940),$B$677=1),$AN$940,HLOOKUP(INDIRECT(ADDRESS(2,COLUMN())),OFFSET($BN$2,0,0,ROW()-1,60),ROW()-1,FALSE))</f>
        <v/>
      </c>
      <c r="AO272" t="str">
        <f ca="1">IF(AND(ISNUMBER($AO$940),$B$677=1),$AO$940,HLOOKUP(INDIRECT(ADDRESS(2,COLUMN())),OFFSET($BN$2,0,0,ROW()-1,60),ROW()-1,FALSE))</f>
        <v/>
      </c>
      <c r="AP272" t="str">
        <f ca="1">IF(AND(ISNUMBER($AP$940),$B$677=1),$AP$940,HLOOKUP(INDIRECT(ADDRESS(2,COLUMN())),OFFSET($BN$2,0,0,ROW()-1,60),ROW()-1,FALSE))</f>
        <v/>
      </c>
      <c r="AQ272" t="str">
        <f ca="1">IF(AND(ISNUMBER($AQ$940),$B$677=1),$AQ$940,HLOOKUP(INDIRECT(ADDRESS(2,COLUMN())),OFFSET($BN$2,0,0,ROW()-1,60),ROW()-1,FALSE))</f>
        <v/>
      </c>
      <c r="AR272" t="str">
        <f ca="1">IF(AND(ISNUMBER($AR$940),$B$677=1),$AR$940,HLOOKUP(INDIRECT(ADDRESS(2,COLUMN())),OFFSET($BN$2,0,0,ROW()-1,60),ROW()-1,FALSE))</f>
        <v/>
      </c>
      <c r="AS272" t="str">
        <f ca="1">IF(AND(ISNUMBER($AS$940),$B$677=1),$AS$940,HLOOKUP(INDIRECT(ADDRESS(2,COLUMN())),OFFSET($BN$2,0,0,ROW()-1,60),ROW()-1,FALSE))</f>
        <v/>
      </c>
      <c r="AT272" t="str">
        <f ca="1">IF(AND(ISNUMBER($AT$940),$B$677=1),$AT$940,HLOOKUP(INDIRECT(ADDRESS(2,COLUMN())),OFFSET($BN$2,0,0,ROW()-1,60),ROW()-1,FALSE))</f>
        <v/>
      </c>
      <c r="AU272" t="str">
        <f ca="1">IF(AND(ISNUMBER($AU$940),$B$677=1),$AU$940,HLOOKUP(INDIRECT(ADDRESS(2,COLUMN())),OFFSET($BN$2,0,0,ROW()-1,60),ROW()-1,FALSE))</f>
        <v/>
      </c>
      <c r="AV272" t="str">
        <f ca="1">IF(AND(ISNUMBER($AV$940),$B$677=1),$AV$940,HLOOKUP(INDIRECT(ADDRESS(2,COLUMN())),OFFSET($BN$2,0,0,ROW()-1,60),ROW()-1,FALSE))</f>
        <v/>
      </c>
      <c r="AW272" t="str">
        <f ca="1">IF(AND(ISNUMBER($AW$940),$B$677=1),$AW$940,HLOOKUP(INDIRECT(ADDRESS(2,COLUMN())),OFFSET($BN$2,0,0,ROW()-1,60),ROW()-1,FALSE))</f>
        <v/>
      </c>
      <c r="AX272" t="str">
        <f ca="1">IF(AND(ISNUMBER($AX$940),$B$677=1),$AX$940,HLOOKUP(INDIRECT(ADDRESS(2,COLUMN())),OFFSET($BN$2,0,0,ROW()-1,60),ROW()-1,FALSE))</f>
        <v/>
      </c>
      <c r="AY272" t="str">
        <f ca="1">IF(AND(ISNUMBER($AY$940),$B$677=1),$AY$940,HLOOKUP(INDIRECT(ADDRESS(2,COLUMN())),OFFSET($BN$2,0,0,ROW()-1,60),ROW()-1,FALSE))</f>
        <v/>
      </c>
      <c r="AZ272" t="str">
        <f ca="1">IF(AND(ISNUMBER($AZ$940),$B$677=1),$AZ$940,HLOOKUP(INDIRECT(ADDRESS(2,COLUMN())),OFFSET($BN$2,0,0,ROW()-1,60),ROW()-1,FALSE))</f>
        <v/>
      </c>
      <c r="BA272" t="str">
        <f ca="1">IF(AND(ISNUMBER($BA$940),$B$677=1),$BA$940,HLOOKUP(INDIRECT(ADDRESS(2,COLUMN())),OFFSET($BN$2,0,0,ROW()-1,60),ROW()-1,FALSE))</f>
        <v/>
      </c>
      <c r="BB272" t="str">
        <f ca="1">IF(AND(ISNUMBER($BB$940),$B$677=1),$BB$940,HLOOKUP(INDIRECT(ADDRESS(2,COLUMN())),OFFSET($BN$2,0,0,ROW()-1,60),ROW()-1,FALSE))</f>
        <v/>
      </c>
      <c r="BC272" t="str">
        <f ca="1">IF(AND(ISNUMBER($BC$940),$B$677=1),$BC$940,HLOOKUP(INDIRECT(ADDRESS(2,COLUMN())),OFFSET($BN$2,0,0,ROW()-1,60),ROW()-1,FALSE))</f>
        <v/>
      </c>
      <c r="BD272" t="str">
        <f ca="1">IF(AND(ISNUMBER($BD$940),$B$677=1),$BD$940,HLOOKUP(INDIRECT(ADDRESS(2,COLUMN())),OFFSET($BN$2,0,0,ROW()-1,60),ROW()-1,FALSE))</f>
        <v/>
      </c>
      <c r="BE272" t="str">
        <f ca="1">IF(AND(ISNUMBER($BE$940),$B$677=1),$BE$940,HLOOKUP(INDIRECT(ADDRESS(2,COLUMN())),OFFSET($BN$2,0,0,ROW()-1,60),ROW()-1,FALSE))</f>
        <v/>
      </c>
      <c r="BF272" t="str">
        <f ca="1">IF(AND(ISNUMBER($BF$940),$B$677=1),$BF$940,HLOOKUP(INDIRECT(ADDRESS(2,COLUMN())),OFFSET($BN$2,0,0,ROW()-1,60),ROW()-1,FALSE))</f>
        <v/>
      </c>
      <c r="BG272" t="str">
        <f ca="1">IF(AND(ISNUMBER($BG$940),$B$677=1),$BG$940,HLOOKUP(INDIRECT(ADDRESS(2,COLUMN())),OFFSET($BN$2,0,0,ROW()-1,60),ROW()-1,FALSE))</f>
        <v/>
      </c>
      <c r="BH272" t="str">
        <f ca="1">IF(AND(ISNUMBER($BH$940),$B$677=1),$BH$940,HLOOKUP(INDIRECT(ADDRESS(2,COLUMN())),OFFSET($BN$2,0,0,ROW()-1,60),ROW()-1,FALSE))</f>
        <v/>
      </c>
      <c r="BI272" t="str">
        <f ca="1">IF(AND(ISNUMBER($BI$940),$B$677=1),$BI$940,HLOOKUP(INDIRECT(ADDRESS(2,COLUMN())),OFFSET($BN$2,0,0,ROW()-1,60),ROW()-1,FALSE))</f>
        <v/>
      </c>
      <c r="BJ272" t="str">
        <f ca="1">IF(AND(ISNUMBER($BJ$940),$B$677=1),$BJ$940,HLOOKUP(INDIRECT(ADDRESS(2,COLUMN())),OFFSET($BN$2,0,0,ROW()-1,60),ROW()-1,FALSE))</f>
        <v/>
      </c>
      <c r="BK272" t="str">
        <f ca="1">IF(AND(ISNUMBER($BK$940),$B$677=1),$BK$940,HLOOKUP(INDIRECT(ADDRESS(2,COLUMN())),OFFSET($BN$2,0,0,ROW()-1,60),ROW()-1,FALSE))</f>
        <v/>
      </c>
      <c r="BL272" t="str">
        <f ca="1">IF(AND(ISNUMBER($BL$940),$B$677=1),$BL$940,HLOOKUP(INDIRECT(ADDRESS(2,COLUMN())),OFFSET($BN$2,0,0,ROW()-1,60),ROW()-1,FALSE))</f>
        <v/>
      </c>
      <c r="BM272" t="str">
        <f ca="1">IF(AND(ISNUMBER($BM$940),$B$677=1),$BM$940,HLOOKUP(INDIRECT(ADDRESS(2,COLUMN())),OFFSET($BN$2,0,0,ROW()-1,60),ROW()-1,FALSE))</f>
        <v/>
      </c>
      <c r="BN272" t="str">
        <f>""</f>
        <v/>
      </c>
      <c r="BO272">
        <f>0.246745157</f>
        <v>0.24674515699999999</v>
      </c>
      <c r="BP272">
        <f>0.262050076</f>
        <v>0.26205007600000002</v>
      </c>
      <c r="BQ272">
        <f>0.230177268</f>
        <v>0.23017726799999999</v>
      </c>
      <c r="BR272">
        <f>0.233388528</f>
        <v>0.23338852800000001</v>
      </c>
      <c r="BS272">
        <f>0.250883099</f>
        <v>0.250883099</v>
      </c>
      <c r="BT272">
        <f>0.237747518</f>
        <v>0.23774751799999999</v>
      </c>
      <c r="BU272">
        <f>0.294729224</f>
        <v>0.29472922400000001</v>
      </c>
      <c r="BV272">
        <f>0.28114131</f>
        <v>0.28114130999999998</v>
      </c>
      <c r="BW272">
        <f>0.298880798</f>
        <v>0.298880798</v>
      </c>
      <c r="BX272">
        <f>0.32128072</f>
        <v>0.32128072000000002</v>
      </c>
      <c r="BY272">
        <f>0.326724749</f>
        <v>0.32672474899999998</v>
      </c>
      <c r="BZ272">
        <f>0.379684556</f>
        <v>0.37968455600000001</v>
      </c>
      <c r="CA272">
        <f>0.426537039</f>
        <v>0.42653703900000001</v>
      </c>
      <c r="CB272">
        <f>0.445522052</f>
        <v>0.445522052</v>
      </c>
      <c r="CC272">
        <f>0.391215517</f>
        <v>0.39121551700000001</v>
      </c>
      <c r="CD272">
        <f>0.394664326</f>
        <v>0.39466432600000001</v>
      </c>
      <c r="CE272">
        <f>0.449725153</f>
        <v>0.44972515299999999</v>
      </c>
      <c r="CF272">
        <f>0.461130448</f>
        <v>0.46113044800000003</v>
      </c>
      <c r="CG272">
        <f>0.483786107</f>
        <v>0.48378610700000002</v>
      </c>
      <c r="CH272">
        <f>0.495792095</f>
        <v>0.49579209499999999</v>
      </c>
      <c r="CI272">
        <f>0.477325111</f>
        <v>0.47732511100000002</v>
      </c>
      <c r="CJ272">
        <f>0.561377067</f>
        <v>0.56137706700000001</v>
      </c>
      <c r="CK272">
        <f>0.533967643</f>
        <v>0.53396764299999999</v>
      </c>
      <c r="CL272">
        <f>0.483847989</f>
        <v>0.48384798899999998</v>
      </c>
      <c r="CM272">
        <f>0.484164072</f>
        <v>0.484164072</v>
      </c>
      <c r="CN272">
        <f>0.596737268</f>
        <v>0.59673726800000004</v>
      </c>
      <c r="CO272">
        <f>0.662987855</f>
        <v>0.66298785500000001</v>
      </c>
      <c r="CP272">
        <f>0.669087333</f>
        <v>0.66908733300000001</v>
      </c>
      <c r="CQ272">
        <f>0.615390252</f>
        <v>0.61539025199999997</v>
      </c>
      <c r="CR272">
        <f>0.674784849</f>
        <v>0.67478484900000002</v>
      </c>
      <c r="CS272">
        <f>0.698237604</f>
        <v>0.69823760400000001</v>
      </c>
      <c r="CT272">
        <f>0.703128064</f>
        <v>0.70312806400000005</v>
      </c>
      <c r="CU272">
        <f>0.553768715</f>
        <v>0.55376871500000002</v>
      </c>
      <c r="CV272" t="str">
        <f>""</f>
        <v/>
      </c>
      <c r="CW272" t="str">
        <f>""</f>
        <v/>
      </c>
      <c r="CX272" t="str">
        <f>""</f>
        <v/>
      </c>
      <c r="CY272" t="str">
        <f>""</f>
        <v/>
      </c>
      <c r="CZ272" t="str">
        <f>""</f>
        <v/>
      </c>
      <c r="DA272" t="str">
        <f>""</f>
        <v/>
      </c>
      <c r="DB272" t="str">
        <f>""</f>
        <v/>
      </c>
      <c r="DC272" t="str">
        <f>""</f>
        <v/>
      </c>
      <c r="DD272" t="str">
        <f>""</f>
        <v/>
      </c>
      <c r="DE272" t="str">
        <f>""</f>
        <v/>
      </c>
      <c r="DF272" t="str">
        <f>""</f>
        <v/>
      </c>
      <c r="DG272" t="str">
        <f>""</f>
        <v/>
      </c>
      <c r="DH272" t="str">
        <f>""</f>
        <v/>
      </c>
      <c r="DI272" t="str">
        <f>""</f>
        <v/>
      </c>
      <c r="DJ272" t="str">
        <f>""</f>
        <v/>
      </c>
      <c r="DK272" t="str">
        <f>""</f>
        <v/>
      </c>
      <c r="DL272" t="str">
        <f>""</f>
        <v/>
      </c>
      <c r="DM272" t="str">
        <f>""</f>
        <v/>
      </c>
      <c r="DN272" t="str">
        <f>""</f>
        <v/>
      </c>
      <c r="DO272" t="str">
        <f>""</f>
        <v/>
      </c>
      <c r="DP272" t="str">
        <f>""</f>
        <v/>
      </c>
      <c r="DQ272" t="str">
        <f>""</f>
        <v/>
      </c>
      <c r="DR272" t="str">
        <f>""</f>
        <v/>
      </c>
      <c r="DS272" t="str">
        <f>""</f>
        <v/>
      </c>
      <c r="DT272" t="str">
        <f>""</f>
        <v/>
      </c>
      <c r="DU272" t="str">
        <f>""</f>
        <v/>
      </c>
    </row>
    <row r="273" spans="1:125" x14ac:dyDescent="0.25">
      <c r="A273" t="str">
        <f>"    Mazda Motor Corp"</f>
        <v xml:space="preserve">    Mazda Motor Corp</v>
      </c>
      <c r="B273" t="str">
        <f>"7261 JP Equity"</f>
        <v>7261 JP Equity</v>
      </c>
      <c r="C273" t="str">
        <f t="shared" si="18"/>
        <v>RR904</v>
      </c>
      <c r="D273" t="str">
        <f t="shared" si="19"/>
        <v>PX_TO_SALES_RATIO</v>
      </c>
      <c r="E273" t="str">
        <f t="shared" si="20"/>
        <v>Dynamic</v>
      </c>
      <c r="F273">
        <f ca="1">IF(AND(ISNUMBER($F$941),$B$677=1),$F$941,HLOOKUP(INDIRECT(ADDRESS(2,COLUMN())),OFFSET($BN$2,0,0,ROW()-1,60),ROW()-1,FALSE))</f>
        <v>0.228143129</v>
      </c>
      <c r="G273">
        <f ca="1">IF(AND(ISNUMBER($G$941),$B$677=1),$G$941,HLOOKUP(INDIRECT(ADDRESS(2,COLUMN())),OFFSET($BN$2,0,0,ROW()-1,60),ROW()-1,FALSE))</f>
        <v>0.20127668200000001</v>
      </c>
      <c r="H273">
        <f ca="1">IF(AND(ISNUMBER($H$941),$B$677=1),$H$941,HLOOKUP(INDIRECT(ADDRESS(2,COLUMN())),OFFSET($BN$2,0,0,ROW()-1,60),ROW()-1,FALSE))</f>
        <v>0.24125534200000001</v>
      </c>
      <c r="I273">
        <f ca="1">IF(AND(ISNUMBER($I$941),$B$677=1),$I$941,HLOOKUP(INDIRECT(ADDRESS(2,COLUMN())),OFFSET($BN$2,0,0,ROW()-1,60),ROW()-1,FALSE))</f>
        <v>0.23759596899999999</v>
      </c>
      <c r="J273">
        <f ca="1">IF(AND(ISNUMBER($J$941),$B$677=1),$J$941,HLOOKUP(INDIRECT(ADDRESS(2,COLUMN())),OFFSET($BN$2,0,0,ROW()-1,60),ROW()-1,FALSE))</f>
        <v>0.24765636499999999</v>
      </c>
      <c r="K273">
        <f ca="1">IF(AND(ISNUMBER($K$941),$B$677=1),$K$941,HLOOKUP(INDIRECT(ADDRESS(2,COLUMN())),OFFSET($BN$2,0,0,ROW()-1,60),ROW()-1,FALSE))</f>
        <v>0.26738821099999999</v>
      </c>
      <c r="L273">
        <f ca="1">IF(AND(ISNUMBER($L$941),$B$677=1),$L$941,HLOOKUP(INDIRECT(ADDRESS(2,COLUMN())),OFFSET($BN$2,0,0,ROW()-1,60),ROW()-1,FALSE))</f>
        <v>0.310178395</v>
      </c>
      <c r="M273">
        <f ca="1">IF(AND(ISNUMBER($M$941),$B$677=1),$M$941,HLOOKUP(INDIRECT(ADDRESS(2,COLUMN())),OFFSET($BN$2,0,0,ROW()-1,60),ROW()-1,FALSE))</f>
        <v>0.28929484</v>
      </c>
      <c r="N273">
        <f ca="1">IF(AND(ISNUMBER($N$941),$B$677=1),$N$941,HLOOKUP(INDIRECT(ADDRESS(2,COLUMN())),OFFSET($BN$2,0,0,ROW()-1,60),ROW()-1,FALSE))</f>
        <v>0.29813097900000002</v>
      </c>
      <c r="O273">
        <f ca="1">IF(AND(ISNUMBER($O$941),$B$677=1),$O$941,HLOOKUP(INDIRECT(ADDRESS(2,COLUMN())),OFFSET($BN$2,0,0,ROW()-1,60),ROW()-1,FALSE))</f>
        <v>0.35637107699999998</v>
      </c>
      <c r="P273">
        <f ca="1">IF(AND(ISNUMBER($P$941),$B$677=1),$P$941,HLOOKUP(INDIRECT(ADDRESS(2,COLUMN())),OFFSET($BN$2,0,0,ROW()-1,60),ROW()-1,FALSE))</f>
        <v>0.28150149899999999</v>
      </c>
      <c r="Q273">
        <f ca="1">IF(AND(ISNUMBER($Q$941),$B$677=1),$Q$941,HLOOKUP(INDIRECT(ADDRESS(2,COLUMN())),OFFSET($BN$2,0,0,ROW()-1,60),ROW()-1,FALSE))</f>
        <v>0.24059319800000001</v>
      </c>
      <c r="R273">
        <f ca="1">IF(AND(ISNUMBER($R$941),$B$677=1),$R$941,HLOOKUP(INDIRECT(ADDRESS(2,COLUMN())),OFFSET($BN$2,0,0,ROW()-1,60),ROW()-1,FALSE))</f>
        <v>0.30649034600000002</v>
      </c>
      <c r="S273">
        <f ca="1">IF(AND(ISNUMBER($S$941),$B$677=1),$S$941,HLOOKUP(INDIRECT(ADDRESS(2,COLUMN())),OFFSET($BN$2,0,0,ROW()-1,60),ROW()-1,FALSE))</f>
        <v>0.44534629599999997</v>
      </c>
      <c r="T273">
        <f ca="1">IF(AND(ISNUMBER($T$941),$B$677=1),$T$941,HLOOKUP(INDIRECT(ADDRESS(2,COLUMN())),OFFSET($BN$2,0,0,ROW()-1,60),ROW()-1,FALSE))</f>
        <v>0.34259425199999999</v>
      </c>
      <c r="U273">
        <f ca="1">IF(AND(ISNUMBER($U$941),$B$677=1),$U$941,HLOOKUP(INDIRECT(ADDRESS(2,COLUMN())),OFFSET($BN$2,0,0,ROW()-1,60),ROW()-1,FALSE))</f>
        <v>0.45738833400000001</v>
      </c>
      <c r="V273">
        <f ca="1">IF(AND(ISNUMBER($V$941),$B$677=1),$V$941,HLOOKUP(INDIRECT(ADDRESS(2,COLUMN())),OFFSET($BN$2,0,0,ROW()-1,60),ROW()-1,FALSE))</f>
        <v>0.48059998300000001</v>
      </c>
      <c r="W273">
        <f ca="1">IF(AND(ISNUMBER($W$941),$B$677=1),$W$941,HLOOKUP(INDIRECT(ADDRESS(2,COLUMN())),OFFSET($BN$2,0,0,ROW()-1,60),ROW()-1,FALSE))</f>
        <v>0.59416308100000004</v>
      </c>
      <c r="X273">
        <f ca="1">IF(AND(ISNUMBER($X$941),$B$677=1),$X$941,HLOOKUP(INDIRECT(ADDRESS(2,COLUMN())),OFFSET($BN$2,0,0,ROW()-1,60),ROW()-1,FALSE))</f>
        <v>0.56830813400000002</v>
      </c>
      <c r="Y273">
        <f ca="1">IF(AND(ISNUMBER($Y$941),$B$677=1),$Y$941,HLOOKUP(INDIRECT(ADDRESS(2,COLUMN())),OFFSET($BN$2,0,0,ROW()-1,60),ROW()-1,FALSE))</f>
        <v>0.51036288600000002</v>
      </c>
      <c r="Z273">
        <f ca="1">IF(AND(ISNUMBER($Z$941),$B$677=1),$Z$941,HLOOKUP(INDIRECT(ADDRESS(2,COLUMN())),OFFSET($BN$2,0,0,ROW()-1,60),ROW()-1,FALSE))</f>
        <v>0.50851018100000001</v>
      </c>
      <c r="AA273">
        <f ca="1">IF(AND(ISNUMBER($AA$941),$B$677=1),$AA$941,HLOOKUP(INDIRECT(ADDRESS(2,COLUMN())),OFFSET($BN$2,0,0,ROW()-1,60),ROW()-1,FALSE))</f>
        <v>0.62294875800000005</v>
      </c>
      <c r="AB273">
        <f ca="1">IF(AND(ISNUMBER($AB$941),$B$677=1),$AB$941,HLOOKUP(INDIRECT(ADDRESS(2,COLUMN())),OFFSET($BN$2,0,0,ROW()-1,60),ROW()-1,FALSE))</f>
        <v>0.53621476099999998</v>
      </c>
      <c r="AC273">
        <f ca="1">IF(AND(ISNUMBER($AC$941),$B$677=1),$AC$941,HLOOKUP(INDIRECT(ADDRESS(2,COLUMN())),OFFSET($BN$2,0,0,ROW()-1,60),ROW()-1,FALSE))</f>
        <v>0.50497366099999996</v>
      </c>
      <c r="AD273">
        <f ca="1">IF(AND(ISNUMBER($AD$941),$B$677=1),$AD$941,HLOOKUP(INDIRECT(ADDRESS(2,COLUMN())),OFFSET($BN$2,0,0,ROW()-1,60),ROW()-1,FALSE))</f>
        <v>0.380886265</v>
      </c>
      <c r="AE273">
        <f ca="1">IF(AND(ISNUMBER($AE$941),$B$677=1),$AE$941,HLOOKUP(INDIRECT(ADDRESS(2,COLUMN())),OFFSET($BN$2,0,0,ROW()-1,60),ROW()-1,FALSE))</f>
        <v>0.217459397</v>
      </c>
      <c r="AF273">
        <f ca="1">IF(AND(ISNUMBER($AF$941),$B$677=1),$AF$941,HLOOKUP(INDIRECT(ADDRESS(2,COLUMN())),OFFSET($BN$2,0,0,ROW()-1,60),ROW()-1,FALSE))</f>
        <v>0.10243779</v>
      </c>
      <c r="AG273">
        <f ca="1">IF(AND(ISNUMBER($AG$941),$B$677=1),$AG$941,HLOOKUP(INDIRECT(ADDRESS(2,COLUMN())),OFFSET($BN$2,0,0,ROW()-1,60),ROW()-1,FALSE))</f>
        <v>0.104216555</v>
      </c>
      <c r="AH273">
        <f ca="1">IF(AND(ISNUMBER($AH$941),$B$677=1),$AH$941,HLOOKUP(INDIRECT(ADDRESS(2,COLUMN())),OFFSET($BN$2,0,0,ROW()-1,60),ROW()-1,FALSE))</f>
        <v>0.13329849499999999</v>
      </c>
      <c r="AI273">
        <f ca="1">IF(AND(ISNUMBER($AI$941),$B$677=1),$AI$941,HLOOKUP(INDIRECT(ADDRESS(2,COLUMN())),OFFSET($BN$2,0,0,ROW()-1,60),ROW()-1,FALSE))</f>
        <v>0.118824321</v>
      </c>
      <c r="AJ273">
        <f ca="1">IF(AND(ISNUMBER($AJ$941),$B$677=1),$AJ$941,HLOOKUP(INDIRECT(ADDRESS(2,COLUMN())),OFFSET($BN$2,0,0,ROW()-1,60),ROW()-1,FALSE))</f>
        <v>0.13148530999999999</v>
      </c>
      <c r="AK273">
        <f ca="1">IF(AND(ISNUMBER($AK$941),$B$677=1),$AK$941,HLOOKUP(INDIRECT(ADDRESS(2,COLUMN())),OFFSET($BN$2,0,0,ROW()-1,60),ROW()-1,FALSE))</f>
        <v>0.173259688</v>
      </c>
      <c r="AL273">
        <f ca="1">IF(AND(ISNUMBER($AL$941),$B$677=1),$AL$941,HLOOKUP(INDIRECT(ADDRESS(2,COLUMN())),OFFSET($BN$2,0,0,ROW()-1,60),ROW()-1,FALSE))</f>
        <v>0.139290423</v>
      </c>
      <c r="AM273">
        <f ca="1">IF(AND(ISNUMBER($AM$941),$B$677=1),$AM$941,HLOOKUP(INDIRECT(ADDRESS(2,COLUMN())),OFFSET($BN$2,0,0,ROW()-1,60),ROW()-1,FALSE))</f>
        <v>0.176049766</v>
      </c>
      <c r="AN273">
        <f ca="1">IF(AND(ISNUMBER($AN$941),$B$677=1),$AN$941,HLOOKUP(INDIRECT(ADDRESS(2,COLUMN())),OFFSET($BN$2,0,0,ROW()-1,60),ROW()-1,FALSE))</f>
        <v>0.149312266</v>
      </c>
      <c r="AO273">
        <f ca="1">IF(AND(ISNUMBER($AO$941),$B$677=1),$AO$941,HLOOKUP(INDIRECT(ADDRESS(2,COLUMN())),OFFSET($BN$2,0,0,ROW()-1,60),ROW()-1,FALSE))</f>
        <v>0.14509781999999999</v>
      </c>
      <c r="AP273">
        <f ca="1">IF(AND(ISNUMBER($AP$941),$B$677=1),$AP$941,HLOOKUP(INDIRECT(ADDRESS(2,COLUMN())),OFFSET($BN$2,0,0,ROW()-1,60),ROW()-1,FALSE))</f>
        <v>0.18172186800000001</v>
      </c>
      <c r="AQ273">
        <f ca="1">IF(AND(ISNUMBER($AQ$941),$B$677=1),$AQ$941,HLOOKUP(INDIRECT(ADDRESS(2,COLUMN())),OFFSET($BN$2,0,0,ROW()-1,60),ROW()-1,FALSE))</f>
        <v>0.14780757899999999</v>
      </c>
      <c r="AR273">
        <f ca="1">IF(AND(ISNUMBER($AR$941),$B$677=1),$AR$941,HLOOKUP(INDIRECT(ADDRESS(2,COLUMN())),OFFSET($BN$2,0,0,ROW()-1,60),ROW()-1,FALSE))</f>
        <v>0.13631353800000001</v>
      </c>
      <c r="AS273">
        <f ca="1">IF(AND(ISNUMBER($AS$941),$B$677=1),$AS$941,HLOOKUP(INDIRECT(ADDRESS(2,COLUMN())),OFFSET($BN$2,0,0,ROW()-1,60),ROW()-1,FALSE))</f>
        <v>0.152798869</v>
      </c>
      <c r="AT273">
        <f ca="1">IF(AND(ISNUMBER($AT$941),$B$677=1),$AT$941,HLOOKUP(INDIRECT(ADDRESS(2,COLUMN())),OFFSET($BN$2,0,0,ROW()-1,60),ROW()-1,FALSE))</f>
        <v>8.9246099999999995E-2</v>
      </c>
      <c r="AU273">
        <f ca="1">IF(AND(ISNUMBER($AU$941),$B$677=1),$AU$941,HLOOKUP(INDIRECT(ADDRESS(2,COLUMN())),OFFSET($BN$2,0,0,ROW()-1,60),ROW()-1,FALSE))</f>
        <v>6.8178016999999994E-2</v>
      </c>
      <c r="AV273">
        <f ca="1">IF(AND(ISNUMBER($AV$941),$B$677=1),$AV$941,HLOOKUP(INDIRECT(ADDRESS(2,COLUMN())),OFFSET($BN$2,0,0,ROW()-1,60),ROW()-1,FALSE))</f>
        <v>0.17348450100000001</v>
      </c>
      <c r="AW273">
        <f ca="1">IF(AND(ISNUMBER($AW$941),$B$677=1),$AW$941,HLOOKUP(INDIRECT(ADDRESS(2,COLUMN())),OFFSET($BN$2,0,0,ROW()-1,60),ROW()-1,FALSE))</f>
        <v>0.22601721299999999</v>
      </c>
      <c r="AX273">
        <f ca="1">IF(AND(ISNUMBER($AX$941),$B$677=1),$AX$941,HLOOKUP(INDIRECT(ADDRESS(2,COLUMN())),OFFSET($BN$2,0,0,ROW()-1,60),ROW()-1,FALSE))</f>
        <v>0.143036263</v>
      </c>
      <c r="AY273">
        <f ca="1">IF(AND(ISNUMBER($AY$941),$B$677=1),$AY$941,HLOOKUP(INDIRECT(ADDRESS(2,COLUMN())),OFFSET($BN$2,0,0,ROW()-1,60),ROW()-1,FALSE))</f>
        <v>0.22671481900000001</v>
      </c>
      <c r="AZ273">
        <f ca="1">IF(AND(ISNUMBER($AZ$941),$B$677=1),$AZ$941,HLOOKUP(INDIRECT(ADDRESS(2,COLUMN())),OFFSET($BN$2,0,0,ROW()-1,60),ROW()-1,FALSE))</f>
        <v>0.24160263400000001</v>
      </c>
      <c r="BA273">
        <f ca="1">IF(AND(ISNUMBER($BA$941),$B$677=1),$BA$941,HLOOKUP(INDIRECT(ADDRESS(2,COLUMN())),OFFSET($BN$2,0,0,ROW()-1,60),ROW()-1,FALSE))</f>
        <v>0.296901105</v>
      </c>
      <c r="BB273">
        <f ca="1">IF(AND(ISNUMBER($BB$941),$B$677=1),$BB$941,HLOOKUP(INDIRECT(ADDRESS(2,COLUMN())),OFFSET($BN$2,0,0,ROW()-1,60),ROW()-1,FALSE))</f>
        <v>0.28171817500000002</v>
      </c>
      <c r="BC273">
        <f ca="1">IF(AND(ISNUMBER($BC$941),$B$677=1),$BC$941,HLOOKUP(INDIRECT(ADDRESS(2,COLUMN())),OFFSET($BN$2,0,0,ROW()-1,60),ROW()-1,FALSE))</f>
        <v>0.36342471599999998</v>
      </c>
      <c r="BD273">
        <f ca="1">IF(AND(ISNUMBER($BD$941),$B$677=1),$BD$941,HLOOKUP(INDIRECT(ADDRESS(2,COLUMN())),OFFSET($BN$2,0,0,ROW()-1,60),ROW()-1,FALSE))</f>
        <v>0.31871159100000002</v>
      </c>
      <c r="BE273">
        <f ca="1">IF(AND(ISNUMBER($BE$941),$B$677=1),$BE$941,HLOOKUP(INDIRECT(ADDRESS(2,COLUMN())),OFFSET($BN$2,0,0,ROW()-1,60),ROW()-1,FALSE))</f>
        <v>0.32215060499999998</v>
      </c>
      <c r="BF273">
        <f ca="1">IF(AND(ISNUMBER($BF$941),$B$677=1),$BF$941,HLOOKUP(INDIRECT(ADDRESS(2,COLUMN())),OFFSET($BN$2,0,0,ROW()-1,60),ROW()-1,FALSE))</f>
        <v>0.31749254900000001</v>
      </c>
      <c r="BG273">
        <f ca="1">IF(AND(ISNUMBER($BG$941),$B$677=1),$BG$941,HLOOKUP(INDIRECT(ADDRESS(2,COLUMN())),OFFSET($BN$2,0,0,ROW()-1,60),ROW()-1,FALSE))</f>
        <v>0.24374928300000001</v>
      </c>
      <c r="BH273">
        <f ca="1">IF(AND(ISNUMBER($BH$941),$B$677=1),$BH$941,HLOOKUP(INDIRECT(ADDRESS(2,COLUMN())),OFFSET($BN$2,0,0,ROW()-1,60),ROW()-1,FALSE))</f>
        <v>0.224027854</v>
      </c>
      <c r="BI273">
        <f ca="1">IF(AND(ISNUMBER($BI$941),$B$677=1),$BI$941,HLOOKUP(INDIRECT(ADDRESS(2,COLUMN())),OFFSET($BN$2,0,0,ROW()-1,60),ROW()-1,FALSE))</f>
        <v>0.18622976899999999</v>
      </c>
      <c r="BJ273">
        <f ca="1">IF(AND(ISNUMBER($BJ$941),$B$677=1),$BJ$941,HLOOKUP(INDIRECT(ADDRESS(2,COLUMN())),OFFSET($BN$2,0,0,ROW()-1,60),ROW()-1,FALSE))</f>
        <v>0.16513789700000001</v>
      </c>
      <c r="BK273" t="str">
        <f ca="1">IF(AND(ISNUMBER($BK$941),$B$677=1),$BK$941,HLOOKUP(INDIRECT(ADDRESS(2,COLUMN())),OFFSET($BN$2,0,0,ROW()-1,60),ROW()-1,FALSE))</f>
        <v/>
      </c>
      <c r="BL273" t="str">
        <f ca="1">IF(AND(ISNUMBER($BL$941),$B$677=1),$BL$941,HLOOKUP(INDIRECT(ADDRESS(2,COLUMN())),OFFSET($BN$2,0,0,ROW()-1,60),ROW()-1,FALSE))</f>
        <v/>
      </c>
      <c r="BM273" t="str">
        <f ca="1">IF(AND(ISNUMBER($BM$941),$B$677=1),$BM$941,HLOOKUP(INDIRECT(ADDRESS(2,COLUMN())),OFFSET($BN$2,0,0,ROW()-1,60),ROW()-1,FALSE))</f>
        <v/>
      </c>
      <c r="BN273">
        <f>0.228143129</f>
        <v>0.228143129</v>
      </c>
      <c r="BO273">
        <f>0.201276682</f>
        <v>0.20127668200000001</v>
      </c>
      <c r="BP273">
        <f>0.241255342</f>
        <v>0.24125534200000001</v>
      </c>
      <c r="BQ273">
        <f>0.237595969</f>
        <v>0.23759596899999999</v>
      </c>
      <c r="BR273">
        <f>0.247656365</f>
        <v>0.24765636499999999</v>
      </c>
      <c r="BS273">
        <f>0.267388211</f>
        <v>0.26738821099999999</v>
      </c>
      <c r="BT273">
        <f>0.310178395</f>
        <v>0.310178395</v>
      </c>
      <c r="BU273">
        <f>0.28929484</f>
        <v>0.28929484</v>
      </c>
      <c r="BV273">
        <f>0.298130979</f>
        <v>0.29813097900000002</v>
      </c>
      <c r="BW273">
        <f>0.356371077</f>
        <v>0.35637107699999998</v>
      </c>
      <c r="BX273">
        <f>0.281501499</f>
        <v>0.28150149899999999</v>
      </c>
      <c r="BY273">
        <f>0.240593198</f>
        <v>0.24059319800000001</v>
      </c>
      <c r="BZ273">
        <f>0.306490346</f>
        <v>0.30649034600000002</v>
      </c>
      <c r="CA273">
        <f>0.445346296</f>
        <v>0.44534629599999997</v>
      </c>
      <c r="CB273">
        <f>0.342594252</f>
        <v>0.34259425199999999</v>
      </c>
      <c r="CC273">
        <f>0.457388334</f>
        <v>0.45738833400000001</v>
      </c>
      <c r="CD273">
        <f>0.480599983</f>
        <v>0.48059998300000001</v>
      </c>
      <c r="CE273">
        <f>0.594163081</f>
        <v>0.59416308100000004</v>
      </c>
      <c r="CF273">
        <f>0.568308134</f>
        <v>0.56830813400000002</v>
      </c>
      <c r="CG273">
        <f>0.510362886</f>
        <v>0.51036288600000002</v>
      </c>
      <c r="CH273">
        <f>0.508510181</f>
        <v>0.50851018100000001</v>
      </c>
      <c r="CI273">
        <f>0.622948758</f>
        <v>0.62294875800000005</v>
      </c>
      <c r="CJ273">
        <f>0.536214761</f>
        <v>0.53621476099999998</v>
      </c>
      <c r="CK273">
        <f>0.504973661</f>
        <v>0.50497366099999996</v>
      </c>
      <c r="CL273">
        <f>0.380886265</f>
        <v>0.380886265</v>
      </c>
      <c r="CM273">
        <f>0.217459397</f>
        <v>0.217459397</v>
      </c>
      <c r="CN273">
        <f>0.10243779</f>
        <v>0.10243779</v>
      </c>
      <c r="CO273">
        <f>0.104216555</f>
        <v>0.104216555</v>
      </c>
      <c r="CP273">
        <f>0.133298495</f>
        <v>0.13329849499999999</v>
      </c>
      <c r="CQ273">
        <f>0.118824321</f>
        <v>0.118824321</v>
      </c>
      <c r="CR273">
        <f>0.13148531</f>
        <v>0.13148530999999999</v>
      </c>
      <c r="CS273">
        <f>0.173259688</f>
        <v>0.173259688</v>
      </c>
      <c r="CT273">
        <f>0.139290423</f>
        <v>0.139290423</v>
      </c>
      <c r="CU273">
        <f>0.176049766</f>
        <v>0.176049766</v>
      </c>
      <c r="CV273">
        <f>0.149312266</f>
        <v>0.149312266</v>
      </c>
      <c r="CW273">
        <f>0.14509782</f>
        <v>0.14509781999999999</v>
      </c>
      <c r="CX273">
        <f>0.181721868</f>
        <v>0.18172186800000001</v>
      </c>
      <c r="CY273">
        <f>0.147807579</f>
        <v>0.14780757899999999</v>
      </c>
      <c r="CZ273">
        <f>0.136313538</f>
        <v>0.13631353800000001</v>
      </c>
      <c r="DA273">
        <f>0.152798869</f>
        <v>0.152798869</v>
      </c>
      <c r="DB273">
        <f>0.0892461</f>
        <v>8.9246099999999995E-2</v>
      </c>
      <c r="DC273">
        <f>0.068178017</f>
        <v>6.8178016999999994E-2</v>
      </c>
      <c r="DD273">
        <f>0.173484501</f>
        <v>0.17348450100000001</v>
      </c>
      <c r="DE273">
        <f>0.226017213</f>
        <v>0.22601721299999999</v>
      </c>
      <c r="DF273">
        <f>0.143036263</f>
        <v>0.143036263</v>
      </c>
      <c r="DG273">
        <f>0.226714819</f>
        <v>0.22671481900000001</v>
      </c>
      <c r="DH273">
        <f>0.241602634</f>
        <v>0.24160263400000001</v>
      </c>
      <c r="DI273">
        <f>0.296901105</f>
        <v>0.296901105</v>
      </c>
      <c r="DJ273">
        <f>0.281718175</f>
        <v>0.28171817500000002</v>
      </c>
      <c r="DK273">
        <f>0.363424716</f>
        <v>0.36342471599999998</v>
      </c>
      <c r="DL273">
        <f>0.318711591</f>
        <v>0.31871159100000002</v>
      </c>
      <c r="DM273">
        <f>0.322150605</f>
        <v>0.32215060499999998</v>
      </c>
      <c r="DN273">
        <f>0.317492549</f>
        <v>0.31749254900000001</v>
      </c>
      <c r="DO273">
        <f>0.243749283</f>
        <v>0.24374928300000001</v>
      </c>
      <c r="DP273">
        <f>0.224027854</f>
        <v>0.224027854</v>
      </c>
      <c r="DQ273">
        <f>0.186229769</f>
        <v>0.18622976899999999</v>
      </c>
      <c r="DR273">
        <f>0.165137897</f>
        <v>0.16513789700000001</v>
      </c>
      <c r="DS273" t="str">
        <f>""</f>
        <v/>
      </c>
      <c r="DT273" t="str">
        <f>""</f>
        <v/>
      </c>
      <c r="DU273" t="str">
        <f>""</f>
        <v/>
      </c>
    </row>
    <row r="274" spans="1:125" x14ac:dyDescent="0.25">
      <c r="A274" t="str">
        <f>"    Mitsubishi Motors Corp"</f>
        <v xml:space="preserve">    Mitsubishi Motors Corp</v>
      </c>
      <c r="B274" t="str">
        <f>"7211 JP Equity"</f>
        <v>7211 JP Equity</v>
      </c>
      <c r="C274" t="str">
        <f t="shared" si="18"/>
        <v>RR904</v>
      </c>
      <c r="D274" t="str">
        <f t="shared" si="19"/>
        <v>PX_TO_SALES_RATIO</v>
      </c>
      <c r="E274" t="str">
        <f t="shared" si="20"/>
        <v>Dynamic</v>
      </c>
      <c r="F274">
        <f ca="1">IF(AND(ISNUMBER($F$942),$B$677=1),$F$942,HLOOKUP(INDIRECT(ADDRESS(2,COLUMN())),OFFSET($BN$2,0,0,ROW()-1,60),ROW()-1,FALSE))</f>
        <v>0.375830302</v>
      </c>
      <c r="G274">
        <f ca="1">IF(AND(ISNUMBER($G$942),$B$677=1),$G$942,HLOOKUP(INDIRECT(ADDRESS(2,COLUMN())),OFFSET($BN$2,0,0,ROW()-1,60),ROW()-1,FALSE))</f>
        <v>0.36316186499999997</v>
      </c>
      <c r="H274">
        <f ca="1">IF(AND(ISNUMBER($H$942),$B$677=1),$H$942,HLOOKUP(INDIRECT(ADDRESS(2,COLUMN())),OFFSET($BN$2,0,0,ROW()-1,60),ROW()-1,FALSE))</f>
        <v>0.49484800000000001</v>
      </c>
      <c r="I274">
        <f ca="1">IF(AND(ISNUMBER($I$942),$B$677=1),$I$942,HLOOKUP(INDIRECT(ADDRESS(2,COLUMN())),OFFSET($BN$2,0,0,ROW()-1,60),ROW()-1,FALSE))</f>
        <v>0.56915456099999995</v>
      </c>
      <c r="J274">
        <f ca="1">IF(AND(ISNUMBER($J$942),$B$677=1),$J$942,HLOOKUP(INDIRECT(ADDRESS(2,COLUMN())),OFFSET($BN$2,0,0,ROW()-1,60),ROW()-1,FALSE))</f>
        <v>0.51721462799999995</v>
      </c>
      <c r="K274">
        <f ca="1">IF(AND(ISNUMBER($K$942),$B$677=1),$K$942,HLOOKUP(INDIRECT(ADDRESS(2,COLUMN())),OFFSET($BN$2,0,0,ROW()-1,60),ROW()-1,FALSE))</f>
        <v>0.58176198300000004</v>
      </c>
      <c r="L274">
        <f ca="1">IF(AND(ISNUMBER($L$942),$B$677=1),$L$942,HLOOKUP(INDIRECT(ADDRESS(2,COLUMN())),OFFSET($BN$2,0,0,ROW()-1,60),ROW()-1,FALSE))</f>
        <v>0.65429242099999996</v>
      </c>
      <c r="M274">
        <f ca="1">IF(AND(ISNUMBER($M$942),$B$677=1),$M$942,HLOOKUP(INDIRECT(ADDRESS(2,COLUMN())),OFFSET($BN$2,0,0,ROW()-1,60),ROW()-1,FALSE))</f>
        <v>0.50559288599999996</v>
      </c>
      <c r="N274">
        <f ca="1">IF(AND(ISNUMBER($N$942),$B$677=1),$N$942,HLOOKUP(INDIRECT(ADDRESS(2,COLUMN())),OFFSET($BN$2,0,0,ROW()-1,60),ROW()-1,FALSE))</f>
        <v>0.41716434400000002</v>
      </c>
      <c r="O274">
        <f ca="1">IF(AND(ISNUMBER($O$942),$B$677=1),$O$942,HLOOKUP(INDIRECT(ADDRESS(2,COLUMN())),OFFSET($BN$2,0,0,ROW()-1,60),ROW()-1,FALSE))</f>
        <v>0.36207763300000001</v>
      </c>
      <c r="P274">
        <f ca="1">IF(AND(ISNUMBER($P$942),$B$677=1),$P$942,HLOOKUP(INDIRECT(ADDRESS(2,COLUMN())),OFFSET($BN$2,0,0,ROW()-1,60),ROW()-1,FALSE))</f>
        <v>0.223582539</v>
      </c>
      <c r="Q274">
        <f ca="1">IF(AND(ISNUMBER($Q$942),$B$677=1),$Q$942,HLOOKUP(INDIRECT(ADDRESS(2,COLUMN())),OFFSET($BN$2,0,0,ROW()-1,60),ROW()-1,FALSE))</f>
        <v>0.210027399</v>
      </c>
      <c r="R274">
        <f ca="1">IF(AND(ISNUMBER($R$942),$B$677=1),$R$942,HLOOKUP(INDIRECT(ADDRESS(2,COLUMN())),OFFSET($BN$2,0,0,ROW()-1,60),ROW()-1,FALSE))</f>
        <v>0.365561839</v>
      </c>
      <c r="S274">
        <f ca="1">IF(AND(ISNUMBER($S$942),$B$677=1),$S$942,HLOOKUP(INDIRECT(ADDRESS(2,COLUMN())),OFFSET($BN$2,0,0,ROW()-1,60),ROW()-1,FALSE))</f>
        <v>0.44937018499999998</v>
      </c>
      <c r="T274">
        <f ca="1">IF(AND(ISNUMBER($T$942),$B$677=1),$T$942,HLOOKUP(INDIRECT(ADDRESS(2,COLUMN())),OFFSET($BN$2,0,0,ROW()-1,60),ROW()-1,FALSE))</f>
        <v>0.40484023099999999</v>
      </c>
      <c r="U274">
        <f ca="1">IF(AND(ISNUMBER($U$942),$B$677=1),$U$942,HLOOKUP(INDIRECT(ADDRESS(2,COLUMN())),OFFSET($BN$2,0,0,ROW()-1,60),ROW()-1,FALSE))</f>
        <v>0.47278566</v>
      </c>
      <c r="V274">
        <f ca="1">IF(AND(ISNUMBER($V$942),$B$677=1),$V$942,HLOOKUP(INDIRECT(ADDRESS(2,COLUMN())),OFFSET($BN$2,0,0,ROW()-1,60),ROW()-1,FALSE))</f>
        <v>0.48930100399999998</v>
      </c>
      <c r="W274">
        <f ca="1">IF(AND(ISNUMBER($W$942),$B$677=1),$W$942,HLOOKUP(INDIRECT(ADDRESS(2,COLUMN())),OFFSET($BN$2,0,0,ROW()-1,60),ROW()-1,FALSE))</f>
        <v>0.477794408</v>
      </c>
      <c r="X274">
        <f ca="1">IF(AND(ISNUMBER($X$942),$B$677=1),$X$942,HLOOKUP(INDIRECT(ADDRESS(2,COLUMN())),OFFSET($BN$2,0,0,ROW()-1,60),ROW()-1,FALSE))</f>
        <v>0.49160847499999999</v>
      </c>
      <c r="Y274">
        <f ca="1">IF(AND(ISNUMBER($Y$942),$B$677=1),$Y$942,HLOOKUP(INDIRECT(ADDRESS(2,COLUMN())),OFFSET($BN$2,0,0,ROW()-1,60),ROW()-1,FALSE))</f>
        <v>0.37013330700000002</v>
      </c>
      <c r="Z274">
        <f ca="1">IF(AND(ISNUMBER($Z$942),$B$677=1),$Z$942,HLOOKUP(INDIRECT(ADDRESS(2,COLUMN())),OFFSET($BN$2,0,0,ROW()-1,60),ROW()-1,FALSE))</f>
        <v>0.34155757799999997</v>
      </c>
      <c r="AA274">
        <f ca="1">IF(AND(ISNUMBER($AA$942),$B$677=1),$AA$942,HLOOKUP(INDIRECT(ADDRESS(2,COLUMN())),OFFSET($BN$2,0,0,ROW()-1,60),ROW()-1,FALSE))</f>
        <v>0.33827307000000001</v>
      </c>
      <c r="AB274">
        <f ca="1">IF(AND(ISNUMBER($AB$942),$B$677=1),$AB$942,HLOOKUP(INDIRECT(ADDRESS(2,COLUMN())),OFFSET($BN$2,0,0,ROW()-1,60),ROW()-1,FALSE))</f>
        <v>0.348282971</v>
      </c>
      <c r="AC274">
        <f ca="1">IF(AND(ISNUMBER($AC$942),$B$677=1),$AC$942,HLOOKUP(INDIRECT(ADDRESS(2,COLUMN())),OFFSET($BN$2,0,0,ROW()-1,60),ROW()-1,FALSE))</f>
        <v>0.44460585000000002</v>
      </c>
      <c r="AD274">
        <f ca="1">IF(AND(ISNUMBER($AD$942),$B$677=1),$AD$942,HLOOKUP(INDIRECT(ADDRESS(2,COLUMN())),OFFSET($BN$2,0,0,ROW()-1,60),ROW()-1,FALSE))</f>
        <v>0.31088569700000002</v>
      </c>
      <c r="AE274">
        <f ca="1">IF(AND(ISNUMBER($AE$942),$B$677=1),$AE$942,HLOOKUP(INDIRECT(ADDRESS(2,COLUMN())),OFFSET($BN$2,0,0,ROW()-1,60),ROW()-1,FALSE))</f>
        <v>0.278356249</v>
      </c>
      <c r="AF274">
        <f ca="1">IF(AND(ISNUMBER($AF$942),$B$677=1),$AF$942,HLOOKUP(INDIRECT(ADDRESS(2,COLUMN())),OFFSET($BN$2,0,0,ROW()-1,60),ROW()-1,FALSE))</f>
        <v>0.22699944</v>
      </c>
      <c r="AG274">
        <f ca="1">IF(AND(ISNUMBER($AG$942),$B$677=1),$AG$942,HLOOKUP(INDIRECT(ADDRESS(2,COLUMN())),OFFSET($BN$2,0,0,ROW()-1,60),ROW()-1,FALSE))</f>
        <v>0.24685148400000001</v>
      </c>
      <c r="AH274">
        <f ca="1">IF(AND(ISNUMBER($AH$942),$B$677=1),$AH$942,HLOOKUP(INDIRECT(ADDRESS(2,COLUMN())),OFFSET($BN$2,0,0,ROW()-1,60),ROW()-1,FALSE))</f>
        <v>0.28803249199999997</v>
      </c>
      <c r="AI274">
        <f ca="1">IF(AND(ISNUMBER($AI$942),$B$677=1),$AI$942,HLOOKUP(INDIRECT(ADDRESS(2,COLUMN())),OFFSET($BN$2,0,0,ROW()-1,60),ROW()-1,FALSE))</f>
        <v>0.27830648800000002</v>
      </c>
      <c r="AJ274">
        <f ca="1">IF(AND(ISNUMBER($AJ$942),$B$677=1),$AJ$942,HLOOKUP(INDIRECT(ADDRESS(2,COLUMN())),OFFSET($BN$2,0,0,ROW()-1,60),ROW()-1,FALSE))</f>
        <v>0.30481799599999998</v>
      </c>
      <c r="AK274">
        <f ca="1">IF(AND(ISNUMBER($AK$942),$B$677=1),$AK$942,HLOOKUP(INDIRECT(ADDRESS(2,COLUMN())),OFFSET($BN$2,0,0,ROW()-1,60),ROW()-1,FALSE))</f>
        <v>0.29229675700000002</v>
      </c>
      <c r="AL274">
        <f ca="1">IF(AND(ISNUMBER($AL$942),$B$677=1),$AL$942,HLOOKUP(INDIRECT(ADDRESS(2,COLUMN())),OFFSET($BN$2,0,0,ROW()-1,60),ROW()-1,FALSE))</f>
        <v>0.30892189799999997</v>
      </c>
      <c r="AM274">
        <f ca="1">IF(AND(ISNUMBER($AM$942),$B$677=1),$AM$942,HLOOKUP(INDIRECT(ADDRESS(2,COLUMN())),OFFSET($BN$2,0,0,ROW()-1,60),ROW()-1,FALSE))</f>
        <v>0.36216499600000002</v>
      </c>
      <c r="AN274">
        <f ca="1">IF(AND(ISNUMBER($AN$942),$B$677=1),$AN$942,HLOOKUP(INDIRECT(ADDRESS(2,COLUMN())),OFFSET($BN$2,0,0,ROW()-1,60),ROW()-1,FALSE))</f>
        <v>0.34745885799999998</v>
      </c>
      <c r="AO274">
        <f ca="1">IF(AND(ISNUMBER($AO$942),$B$677=1),$AO$942,HLOOKUP(INDIRECT(ADDRESS(2,COLUMN())),OFFSET($BN$2,0,0,ROW()-1,60),ROW()-1,FALSE))</f>
        <v>0.39351427100000003</v>
      </c>
      <c r="AP274">
        <f ca="1">IF(AND(ISNUMBER($AP$942),$B$677=1),$AP$942,HLOOKUP(INDIRECT(ADDRESS(2,COLUMN())),OFFSET($BN$2,0,0,ROW()-1,60),ROW()-1,FALSE))</f>
        <v>0.48651154200000002</v>
      </c>
      <c r="AQ274">
        <f ca="1">IF(AND(ISNUMBER($AQ$942),$B$677=1),$AQ$942,HLOOKUP(INDIRECT(ADDRESS(2,COLUMN())),OFFSET($BN$2,0,0,ROW()-1,60),ROW()-1,FALSE))</f>
        <v>0.55921737100000002</v>
      </c>
      <c r="AR274">
        <f ca="1">IF(AND(ISNUMBER($AR$942),$B$677=1),$AR$942,HLOOKUP(INDIRECT(ADDRESS(2,COLUMN())),OFFSET($BN$2,0,0,ROW()-1,60),ROW()-1,FALSE))</f>
        <v>0.61502484999999996</v>
      </c>
      <c r="AS274">
        <f ca="1">IF(AND(ISNUMBER($AS$942),$B$677=1),$AS$942,HLOOKUP(INDIRECT(ADDRESS(2,COLUMN())),OFFSET($BN$2,0,0,ROW()-1,60),ROW()-1,FALSE))</f>
        <v>0.617744089</v>
      </c>
      <c r="AT274">
        <f ca="1">IF(AND(ISNUMBER($AT$942),$B$677=1),$AT$942,HLOOKUP(INDIRECT(ADDRESS(2,COLUMN())),OFFSET($BN$2,0,0,ROW()-1,60),ROW()-1,FALSE))</f>
        <v>0.35074832700000003</v>
      </c>
      <c r="AU274">
        <f ca="1">IF(AND(ISNUMBER($AU$942),$B$677=1),$AU$942,HLOOKUP(INDIRECT(ADDRESS(2,COLUMN())),OFFSET($BN$2,0,0,ROW()-1,60),ROW()-1,FALSE))</f>
        <v>0.28239107800000002</v>
      </c>
      <c r="AV274">
        <f ca="1">IF(AND(ISNUMBER($AV$942),$B$677=1),$AV$942,HLOOKUP(INDIRECT(ADDRESS(2,COLUMN())),OFFSET($BN$2,0,0,ROW()-1,60),ROW()-1,FALSE))</f>
        <v>0.37274986100000002</v>
      </c>
      <c r="AW274">
        <f ca="1">IF(AND(ISNUMBER($AW$942),$B$677=1),$AW$942,HLOOKUP(INDIRECT(ADDRESS(2,COLUMN())),OFFSET($BN$2,0,0,ROW()-1,60),ROW()-1,FALSE))</f>
        <v>0.400326986</v>
      </c>
      <c r="AX274">
        <f ca="1">IF(AND(ISNUMBER($AX$942),$B$677=1),$AX$942,HLOOKUP(INDIRECT(ADDRESS(2,COLUMN())),OFFSET($BN$2,0,0,ROW()-1,60),ROW()-1,FALSE))</f>
        <v>0.33681167200000001</v>
      </c>
      <c r="AY274">
        <f ca="1">IF(AND(ISNUMBER($AY$942),$B$677=1),$AY$942,HLOOKUP(INDIRECT(ADDRESS(2,COLUMN())),OFFSET($BN$2,0,0,ROW()-1,60),ROW()-1,FALSE))</f>
        <v>0.39818177599999999</v>
      </c>
      <c r="AZ274">
        <f ca="1">IF(AND(ISNUMBER($AZ$942),$B$677=1),$AZ$942,HLOOKUP(INDIRECT(ADDRESS(2,COLUMN())),OFFSET($BN$2,0,0,ROW()-1,60),ROW()-1,FALSE))</f>
        <v>0.38253856000000003</v>
      </c>
      <c r="BA274">
        <f ca="1">IF(AND(ISNUMBER($BA$942),$B$677=1),$BA$942,HLOOKUP(INDIRECT(ADDRESS(2,COLUMN())),OFFSET($BN$2,0,0,ROW()-1,60),ROW()-1,FALSE))</f>
        <v>0.43679484600000001</v>
      </c>
      <c r="BB274">
        <f ca="1">IF(AND(ISNUMBER($BB$942),$B$677=1),$BB$942,HLOOKUP(INDIRECT(ADDRESS(2,COLUMN())),OFFSET($BN$2,0,0,ROW()-1,60),ROW()-1,FALSE))</f>
        <v>0.45860145000000002</v>
      </c>
      <c r="BC274">
        <f ca="1">IF(AND(ISNUMBER($BC$942),$B$677=1),$BC$942,HLOOKUP(INDIRECT(ADDRESS(2,COLUMN())),OFFSET($BN$2,0,0,ROW()-1,60),ROW()-1,FALSE))</f>
        <v>0.50556648699999995</v>
      </c>
      <c r="BD274">
        <f ca="1">IF(AND(ISNUMBER($BD$942),$B$677=1),$BD$942,HLOOKUP(INDIRECT(ADDRESS(2,COLUMN())),OFFSET($BN$2,0,0,ROW()-1,60),ROW()-1,FALSE))</f>
        <v>0.481151879</v>
      </c>
      <c r="BE274">
        <f ca="1">IF(AND(ISNUMBER($BE$942),$B$677=1),$BE$942,HLOOKUP(INDIRECT(ADDRESS(2,COLUMN())),OFFSET($BN$2,0,0,ROW()-1,60),ROW()-1,FALSE))</f>
        <v>0.49330870900000001</v>
      </c>
      <c r="BF274">
        <f ca="1">IF(AND(ISNUMBER($BF$942),$B$677=1),$BF$942,HLOOKUP(INDIRECT(ADDRESS(2,COLUMN())),OFFSET($BN$2,0,0,ROW()-1,60),ROW()-1,FALSE))</f>
        <v>0.54669895599999996</v>
      </c>
      <c r="BG274">
        <f ca="1">IF(AND(ISNUMBER($BG$942),$B$677=1),$BG$942,HLOOKUP(INDIRECT(ADDRESS(2,COLUMN())),OFFSET($BN$2,0,0,ROW()-1,60),ROW()-1,FALSE))</f>
        <v>0.48977842900000002</v>
      </c>
      <c r="BH274">
        <f ca="1">IF(AND(ISNUMBER($BH$942),$B$677=1),$BH$942,HLOOKUP(INDIRECT(ADDRESS(2,COLUMN())),OFFSET($BN$2,0,0,ROW()-1,60),ROW()-1,FALSE))</f>
        <v>0.39902251999999999</v>
      </c>
      <c r="BI274">
        <f ca="1">IF(AND(ISNUMBER($BI$942),$B$677=1),$BI$942,HLOOKUP(INDIRECT(ADDRESS(2,COLUMN())),OFFSET($BN$2,0,0,ROW()-1,60),ROW()-1,FALSE))</f>
        <v>0.20166917300000001</v>
      </c>
      <c r="BJ274">
        <f ca="1">IF(AND(ISNUMBER($BJ$942),$B$677=1),$BJ$942,HLOOKUP(INDIRECT(ADDRESS(2,COLUMN())),OFFSET($BN$2,0,0,ROW()-1,60),ROW()-1,FALSE))</f>
        <v>0.14745018500000001</v>
      </c>
      <c r="BK274">
        <f ca="1">IF(AND(ISNUMBER($BK$942),$B$677=1),$BK$942,HLOOKUP(INDIRECT(ADDRESS(2,COLUMN())),OFFSET($BN$2,0,0,ROW()-1,60),ROW()-1,FALSE))</f>
        <v>9.2625658E-2</v>
      </c>
      <c r="BL274">
        <f ca="1">IF(AND(ISNUMBER($BL$942),$B$677=1),$BL$942,HLOOKUP(INDIRECT(ADDRESS(2,COLUMN())),OFFSET($BN$2,0,0,ROW()-1,60),ROW()-1,FALSE))</f>
        <v>7.7131929000000002E-2</v>
      </c>
      <c r="BM274">
        <f ca="1">IF(AND(ISNUMBER($BM$942),$B$677=1),$BM$942,HLOOKUP(INDIRECT(ADDRESS(2,COLUMN())),OFFSET($BN$2,0,0,ROW()-1,60),ROW()-1,FALSE))</f>
        <v>0.10673975600000001</v>
      </c>
      <c r="BN274">
        <f>0.375830302</f>
        <v>0.375830302</v>
      </c>
      <c r="BO274">
        <f>0.363161865</f>
        <v>0.36316186499999997</v>
      </c>
      <c r="BP274">
        <f>0.494848</f>
        <v>0.49484800000000001</v>
      </c>
      <c r="BQ274">
        <f>0.569154561</f>
        <v>0.56915456099999995</v>
      </c>
      <c r="BR274">
        <f>0.517214628</f>
        <v>0.51721462799999995</v>
      </c>
      <c r="BS274">
        <f>0.581761983</f>
        <v>0.58176198300000004</v>
      </c>
      <c r="BT274">
        <f>0.654292421</f>
        <v>0.65429242099999996</v>
      </c>
      <c r="BU274">
        <f>0.505592886</f>
        <v>0.50559288599999996</v>
      </c>
      <c r="BV274">
        <f>0.417164344</f>
        <v>0.41716434400000002</v>
      </c>
      <c r="BW274">
        <f>0.362077633</f>
        <v>0.36207763300000001</v>
      </c>
      <c r="BX274">
        <f>0.223582539</f>
        <v>0.223582539</v>
      </c>
      <c r="BY274">
        <f>0.210027399</f>
        <v>0.210027399</v>
      </c>
      <c r="BZ274">
        <f>0.365561839</f>
        <v>0.365561839</v>
      </c>
      <c r="CA274">
        <f>0.449370185</f>
        <v>0.44937018499999998</v>
      </c>
      <c r="CB274">
        <f>0.404840231</f>
        <v>0.40484023099999999</v>
      </c>
      <c r="CC274">
        <f>0.47278566</f>
        <v>0.47278566</v>
      </c>
      <c r="CD274">
        <f>0.489301004</f>
        <v>0.48930100399999998</v>
      </c>
      <c r="CE274">
        <f>0.477794408</f>
        <v>0.477794408</v>
      </c>
      <c r="CF274">
        <f>0.491608475</f>
        <v>0.49160847499999999</v>
      </c>
      <c r="CG274">
        <f>0.370133307</f>
        <v>0.37013330700000002</v>
      </c>
      <c r="CH274">
        <f>0.341557578</f>
        <v>0.34155757799999997</v>
      </c>
      <c r="CI274">
        <f>0.33827307</f>
        <v>0.33827307000000001</v>
      </c>
      <c r="CJ274">
        <f>0.348282971</f>
        <v>0.348282971</v>
      </c>
      <c r="CK274">
        <f>0.44460585</f>
        <v>0.44460585000000002</v>
      </c>
      <c r="CL274">
        <f>0.310885697</f>
        <v>0.31088569700000002</v>
      </c>
      <c r="CM274">
        <f>0.278356249</f>
        <v>0.278356249</v>
      </c>
      <c r="CN274">
        <f>0.22699944</f>
        <v>0.22699944</v>
      </c>
      <c r="CO274">
        <f>0.246851484</f>
        <v>0.24685148400000001</v>
      </c>
      <c r="CP274">
        <f>0.288032492</f>
        <v>0.28803249199999997</v>
      </c>
      <c r="CQ274">
        <f>0.278306488</f>
        <v>0.27830648800000002</v>
      </c>
      <c r="CR274">
        <f>0.304817996</f>
        <v>0.30481799599999998</v>
      </c>
      <c r="CS274">
        <f>0.292296757</f>
        <v>0.29229675700000002</v>
      </c>
      <c r="CT274">
        <f>0.308921898</f>
        <v>0.30892189799999997</v>
      </c>
      <c r="CU274">
        <f>0.362164996</f>
        <v>0.36216499600000002</v>
      </c>
      <c r="CV274">
        <f>0.347458858</f>
        <v>0.34745885799999998</v>
      </c>
      <c r="CW274">
        <f>0.393514271</f>
        <v>0.39351427100000003</v>
      </c>
      <c r="CX274">
        <f>0.486511542</f>
        <v>0.48651154200000002</v>
      </c>
      <c r="CY274">
        <f>0.559217371</f>
        <v>0.55921737100000002</v>
      </c>
      <c r="CZ274">
        <f>0.61502485</f>
        <v>0.61502484999999996</v>
      </c>
      <c r="DA274">
        <f>0.617744089</f>
        <v>0.617744089</v>
      </c>
      <c r="DB274">
        <f>0.350748327</f>
        <v>0.35074832700000003</v>
      </c>
      <c r="DC274">
        <f>0.282391078</f>
        <v>0.28239107800000002</v>
      </c>
      <c r="DD274">
        <f>0.372749861</f>
        <v>0.37274986100000002</v>
      </c>
      <c r="DE274">
        <f>0.400326986</f>
        <v>0.400326986</v>
      </c>
      <c r="DF274">
        <f>0.336811672</f>
        <v>0.33681167200000001</v>
      </c>
      <c r="DG274">
        <f>0.398181776</f>
        <v>0.39818177599999999</v>
      </c>
      <c r="DH274">
        <f>0.38253856</f>
        <v>0.38253856000000003</v>
      </c>
      <c r="DI274">
        <f>0.436794846</f>
        <v>0.43679484600000001</v>
      </c>
      <c r="DJ274">
        <f>0.45860145</f>
        <v>0.45860145000000002</v>
      </c>
      <c r="DK274">
        <f>0.505566487</f>
        <v>0.50556648699999995</v>
      </c>
      <c r="DL274">
        <f>0.481151879</f>
        <v>0.481151879</v>
      </c>
      <c r="DM274">
        <f>0.493308709</f>
        <v>0.49330870900000001</v>
      </c>
      <c r="DN274">
        <f>0.546698956</f>
        <v>0.54669895599999996</v>
      </c>
      <c r="DO274">
        <f>0.489778429</f>
        <v>0.48977842900000002</v>
      </c>
      <c r="DP274">
        <f>0.39902252</f>
        <v>0.39902251999999999</v>
      </c>
      <c r="DQ274">
        <f>0.201669173</f>
        <v>0.20166917300000001</v>
      </c>
      <c r="DR274">
        <f>0.147450185</f>
        <v>0.14745018500000001</v>
      </c>
      <c r="DS274">
        <f>0.092625658</f>
        <v>9.2625658E-2</v>
      </c>
      <c r="DT274">
        <f>0.077131929</f>
        <v>7.7131929000000002E-2</v>
      </c>
      <c r="DU274">
        <f>0.106739756</f>
        <v>0.10673975600000001</v>
      </c>
    </row>
    <row r="275" spans="1:125" x14ac:dyDescent="0.25">
      <c r="A275" t="str">
        <f>"    Nissan Motor Co Ltd"</f>
        <v xml:space="preserve">    Nissan Motor Co Ltd</v>
      </c>
      <c r="B275" t="str">
        <f>"7201 JP Equity"</f>
        <v>7201 JP Equity</v>
      </c>
      <c r="C275" t="str">
        <f t="shared" si="18"/>
        <v>RR904</v>
      </c>
      <c r="D275" t="str">
        <f t="shared" si="19"/>
        <v>PX_TO_SALES_RATIO</v>
      </c>
      <c r="E275" t="str">
        <f t="shared" si="20"/>
        <v>Dynamic</v>
      </c>
      <c r="F275">
        <f ca="1">IF(AND(ISNUMBER($F$943),$B$677=1),$F$943,HLOOKUP(INDIRECT(ADDRESS(2,COLUMN())),OFFSET($BN$2,0,0,ROW()-1,60),ROW()-1,FALSE))</f>
        <v>0.308811375</v>
      </c>
      <c r="G275">
        <f ca="1">IF(AND(ISNUMBER($G$943),$B$677=1),$G$943,HLOOKUP(INDIRECT(ADDRESS(2,COLUMN())),OFFSET($BN$2,0,0,ROW()-1,60),ROW()-1,FALSE))</f>
        <v>0.28687911900000002</v>
      </c>
      <c r="H275">
        <f ca="1">IF(AND(ISNUMBER($H$943),$B$677=1),$H$943,HLOOKUP(INDIRECT(ADDRESS(2,COLUMN())),OFFSET($BN$2,0,0,ROW()-1,60),ROW()-1,FALSE))</f>
        <v>0.351538462</v>
      </c>
      <c r="I275">
        <f ca="1">IF(AND(ISNUMBER($I$943),$B$677=1),$I$943,HLOOKUP(INDIRECT(ADDRESS(2,COLUMN())),OFFSET($BN$2,0,0,ROW()-1,60),ROW()-1,FALSE))</f>
        <v>0.35406334099999998</v>
      </c>
      <c r="J275">
        <f ca="1">IF(AND(ISNUMBER($J$943),$B$677=1),$J$943,HLOOKUP(INDIRECT(ADDRESS(2,COLUMN())),OFFSET($BN$2,0,0,ROW()-1,60),ROW()-1,FALSE))</f>
        <v>0.36129359100000003</v>
      </c>
      <c r="K275">
        <f ca="1">IF(AND(ISNUMBER($K$943),$B$677=1),$K$943,HLOOKUP(INDIRECT(ADDRESS(2,COLUMN())),OFFSET($BN$2,0,0,ROW()-1,60),ROW()-1,FALSE))</f>
        <v>0.36695717500000002</v>
      </c>
      <c r="L275">
        <f ca="1">IF(AND(ISNUMBER($L$943),$B$677=1),$L$943,HLOOKUP(INDIRECT(ADDRESS(2,COLUMN())),OFFSET($BN$2,0,0,ROW()-1,60),ROW()-1,FALSE))</f>
        <v>0.362468334</v>
      </c>
      <c r="M275">
        <f ca="1">IF(AND(ISNUMBER($M$943),$B$677=1),$M$943,HLOOKUP(INDIRECT(ADDRESS(2,COLUMN())),OFFSET($BN$2,0,0,ROW()-1,60),ROW()-1,FALSE))</f>
        <v>0.37286117699999999</v>
      </c>
      <c r="N275">
        <f ca="1">IF(AND(ISNUMBER($N$943),$B$677=1),$N$943,HLOOKUP(INDIRECT(ADDRESS(2,COLUMN())),OFFSET($BN$2,0,0,ROW()-1,60),ROW()-1,FALSE))</f>
        <v>0.36546241600000001</v>
      </c>
      <c r="O275">
        <f ca="1">IF(AND(ISNUMBER($O$943),$B$677=1),$O$943,HLOOKUP(INDIRECT(ADDRESS(2,COLUMN())),OFFSET($BN$2,0,0,ROW()-1,60),ROW()-1,FALSE))</f>
        <v>0.41512063599999999</v>
      </c>
      <c r="P275">
        <f ca="1">IF(AND(ISNUMBER($P$943),$B$677=1),$P$943,HLOOKUP(INDIRECT(ADDRESS(2,COLUMN())),OFFSET($BN$2,0,0,ROW()-1,60),ROW()-1,FALSE))</f>
        <v>0.35080114600000001</v>
      </c>
      <c r="Q275">
        <f ca="1">IF(AND(ISNUMBER($Q$943),$B$677=1),$Q$943,HLOOKUP(INDIRECT(ADDRESS(2,COLUMN())),OFFSET($BN$2,0,0,ROW()-1,60),ROW()-1,FALSE))</f>
        <v>0.32072235399999999</v>
      </c>
      <c r="R275">
        <f ca="1">IF(AND(ISNUMBER($R$943),$B$677=1),$R$943,HLOOKUP(INDIRECT(ADDRESS(2,COLUMN())),OFFSET($BN$2,0,0,ROW()-1,60),ROW()-1,FALSE))</f>
        <v>0.35804777900000001</v>
      </c>
      <c r="S275">
        <f ca="1">IF(AND(ISNUMBER($S$943),$B$677=1),$S$943,HLOOKUP(INDIRECT(ADDRESS(2,COLUMN())),OFFSET($BN$2,0,0,ROW()-1,60),ROW()-1,FALSE))</f>
        <v>0.43863750299999998</v>
      </c>
      <c r="T275">
        <f ca="1">IF(AND(ISNUMBER($T$943),$B$677=1),$T$943,HLOOKUP(INDIRECT(ADDRESS(2,COLUMN())),OFFSET($BN$2,0,0,ROW()-1,60),ROW()-1,FALSE))</f>
        <v>0.37707251000000003</v>
      </c>
      <c r="U275">
        <f ca="1">IF(AND(ISNUMBER($U$943),$B$677=1),$U$943,HLOOKUP(INDIRECT(ADDRESS(2,COLUMN())),OFFSET($BN$2,0,0,ROW()-1,60),ROW()-1,FALSE))</f>
        <v>0.452678156</v>
      </c>
      <c r="V275">
        <f ca="1">IF(AND(ISNUMBER($V$943),$B$677=1),$V$943,HLOOKUP(INDIRECT(ADDRESS(2,COLUMN())),OFFSET($BN$2,0,0,ROW()-1,60),ROW()-1,FALSE))</f>
        <v>0.45110866100000002</v>
      </c>
      <c r="W275">
        <f ca="1">IF(AND(ISNUMBER($W$943),$B$677=1),$W$943,HLOOKUP(INDIRECT(ADDRESS(2,COLUMN())),OFFSET($BN$2,0,0,ROW()-1,60),ROW()-1,FALSE))</f>
        <v>0.39237560500000002</v>
      </c>
      <c r="X275">
        <f ca="1">IF(AND(ISNUMBER($X$943),$B$677=1),$X$943,HLOOKUP(INDIRECT(ADDRESS(2,COLUMN())),OFFSET($BN$2,0,0,ROW()-1,60),ROW()-1,FALSE))</f>
        <v>0.41219006000000002</v>
      </c>
      <c r="Y275">
        <f ca="1">IF(AND(ISNUMBER($Y$943),$B$677=1),$Y$943,HLOOKUP(INDIRECT(ADDRESS(2,COLUMN())),OFFSET($BN$2,0,0,ROW()-1,60),ROW()-1,FALSE))</f>
        <v>0.375912833</v>
      </c>
      <c r="Z275">
        <f ca="1">IF(AND(ISNUMBER($Z$943),$B$677=1),$Z$943,HLOOKUP(INDIRECT(ADDRESS(2,COLUMN())),OFFSET($BN$2,0,0,ROW()-1,60),ROW()-1,FALSE))</f>
        <v>0.36786070999999998</v>
      </c>
      <c r="AA275">
        <f ca="1">IF(AND(ISNUMBER($AA$943),$B$677=1),$AA$943,HLOOKUP(INDIRECT(ADDRESS(2,COLUMN())),OFFSET($BN$2,0,0,ROW()-1,60),ROW()-1,FALSE))</f>
        <v>0.372910613</v>
      </c>
      <c r="AB275">
        <f ca="1">IF(AND(ISNUMBER($AB$943),$B$677=1),$AB$943,HLOOKUP(INDIRECT(ADDRESS(2,COLUMN())),OFFSET($BN$2,0,0,ROW()-1,60),ROW()-1,FALSE))</f>
        <v>0.43736283999999997</v>
      </c>
      <c r="AC275">
        <f ca="1">IF(AND(ISNUMBER($AC$943),$B$677=1),$AC$943,HLOOKUP(INDIRECT(ADDRESS(2,COLUMN())),OFFSET($BN$2,0,0,ROW()-1,60),ROW()-1,FALSE))</f>
        <v>0.46416357000000003</v>
      </c>
      <c r="AD275">
        <f ca="1">IF(AND(ISNUMBER($AD$943),$B$677=1),$AD$943,HLOOKUP(INDIRECT(ADDRESS(2,COLUMN())),OFFSET($BN$2,0,0,ROW()-1,60),ROW()-1,FALSE))</f>
        <v>0.434128246</v>
      </c>
      <c r="AE275">
        <f ca="1">IF(AND(ISNUMBER($AE$943),$B$677=1),$AE$943,HLOOKUP(INDIRECT(ADDRESS(2,COLUMN())),OFFSET($BN$2,0,0,ROW()-1,60),ROW()-1,FALSE))</f>
        <v>0.386280228</v>
      </c>
      <c r="AF275">
        <f ca="1">IF(AND(ISNUMBER($AF$943),$B$677=1),$AF$943,HLOOKUP(INDIRECT(ADDRESS(2,COLUMN())),OFFSET($BN$2,0,0,ROW()-1,60),ROW()-1,FALSE))</f>
        <v>0.30558711399999999</v>
      </c>
      <c r="AG275">
        <f ca="1">IF(AND(ISNUMBER($AG$943),$B$677=1),$AG$943,HLOOKUP(INDIRECT(ADDRESS(2,COLUMN())),OFFSET($BN$2,0,0,ROW()-1,60),ROW()-1,FALSE))</f>
        <v>0.339205694</v>
      </c>
      <c r="AH275">
        <f ca="1">IF(AND(ISNUMBER($AH$943),$B$677=1),$AH$943,HLOOKUP(INDIRECT(ADDRESS(2,COLUMN())),OFFSET($BN$2,0,0,ROW()-1,60),ROW()-1,FALSE))</f>
        <v>0.39144222099999998</v>
      </c>
      <c r="AI275">
        <f ca="1">IF(AND(ISNUMBER($AI$943),$B$677=1),$AI$943,HLOOKUP(INDIRECT(ADDRESS(2,COLUMN())),OFFSET($BN$2,0,0,ROW()-1,60),ROW()-1,FALSE))</f>
        <v>0.31978873800000002</v>
      </c>
      <c r="AJ275">
        <f ca="1">IF(AND(ISNUMBER($AJ$943),$B$677=1),$AJ$943,HLOOKUP(INDIRECT(ADDRESS(2,COLUMN())),OFFSET($BN$2,0,0,ROW()-1,60),ROW()-1,FALSE))</f>
        <v>0.32863555999999999</v>
      </c>
      <c r="AK275">
        <f ca="1">IF(AND(ISNUMBER($AK$943),$B$677=1),$AK$943,HLOOKUP(INDIRECT(ADDRESS(2,COLUMN())),OFFSET($BN$2,0,0,ROW()-1,60),ROW()-1,FALSE))</f>
        <v>0.40007511800000001</v>
      </c>
      <c r="AL275">
        <f ca="1">IF(AND(ISNUMBER($AL$943),$B$677=1),$AL$943,HLOOKUP(INDIRECT(ADDRESS(2,COLUMN())),OFFSET($BN$2,0,0,ROW()-1,60),ROW()-1,FALSE))</f>
        <v>0.35143013499999998</v>
      </c>
      <c r="AM275">
        <f ca="1">IF(AND(ISNUMBER($AM$943),$B$677=1),$AM$943,HLOOKUP(INDIRECT(ADDRESS(2,COLUMN())),OFFSET($BN$2,0,0,ROW()-1,60),ROW()-1,FALSE))</f>
        <v>0.37485969000000002</v>
      </c>
      <c r="AN275">
        <f ca="1">IF(AND(ISNUMBER($AN$943),$B$677=1),$AN$943,HLOOKUP(INDIRECT(ADDRESS(2,COLUMN())),OFFSET($BN$2,0,0,ROW()-1,60),ROW()-1,FALSE))</f>
        <v>0.35574459000000003</v>
      </c>
      <c r="AO275">
        <f ca="1">IF(AND(ISNUMBER($AO$943),$B$677=1),$AO$943,HLOOKUP(INDIRECT(ADDRESS(2,COLUMN())),OFFSET($BN$2,0,0,ROW()-1,60),ROW()-1,FALSE))</f>
        <v>0.318460823</v>
      </c>
      <c r="AP275">
        <f ca="1">IF(AND(ISNUMBER($AP$943),$B$677=1),$AP$943,HLOOKUP(INDIRECT(ADDRESS(2,COLUMN())),OFFSET($BN$2,0,0,ROW()-1,60),ROW()-1,FALSE))</f>
        <v>0.434261483</v>
      </c>
      <c r="AQ275">
        <f ca="1">IF(AND(ISNUMBER($AQ$943),$B$677=1),$AQ$943,HLOOKUP(INDIRECT(ADDRESS(2,COLUMN())),OFFSET($BN$2,0,0,ROW()-1,60),ROW()-1,FALSE))</f>
        <v>0.462808887</v>
      </c>
      <c r="AR275">
        <f ca="1">IF(AND(ISNUMBER($AR$943),$B$677=1),$AR$943,HLOOKUP(INDIRECT(ADDRESS(2,COLUMN())),OFFSET($BN$2,0,0,ROW()-1,60),ROW()-1,FALSE))</f>
        <v>0.35569931700000001</v>
      </c>
      <c r="AS275">
        <f ca="1">IF(AND(ISNUMBER($AS$943),$B$677=1),$AS$943,HLOOKUP(INDIRECT(ADDRESS(2,COLUMN())),OFFSET($BN$2,0,0,ROW()-1,60),ROW()-1,FALSE))</f>
        <v>0.31385690100000002</v>
      </c>
      <c r="AT275">
        <f ca="1">IF(AND(ISNUMBER($AT$943),$B$677=1),$AT$943,HLOOKUP(INDIRECT(ADDRESS(2,COLUMN())),OFFSET($BN$2,0,0,ROW()-1,60),ROW()-1,FALSE))</f>
        <v>0.16896460699999999</v>
      </c>
      <c r="AU275">
        <f ca="1">IF(AND(ISNUMBER($AU$943),$B$677=1),$AU$943,HLOOKUP(INDIRECT(ADDRESS(2,COLUMN())),OFFSET($BN$2,0,0,ROW()-1,60),ROW()-1,FALSE))</f>
        <v>0.134852206</v>
      </c>
      <c r="AV275">
        <f ca="1">IF(AND(ISNUMBER($AV$943),$B$677=1),$AV$943,HLOOKUP(INDIRECT(ADDRESS(2,COLUMN())),OFFSET($BN$2,0,0,ROW()-1,60),ROW()-1,FALSE))</f>
        <v>0.26764924499999998</v>
      </c>
      <c r="AW275">
        <f ca="1">IF(AND(ISNUMBER($AW$943),$B$677=1),$AW$943,HLOOKUP(INDIRECT(ADDRESS(2,COLUMN())),OFFSET($BN$2,0,0,ROW()-1,60),ROW()-1,FALSE))</f>
        <v>0.33424827499999998</v>
      </c>
      <c r="AX275">
        <f ca="1">IF(AND(ISNUMBER($AX$943),$B$677=1),$AX$943,HLOOKUP(INDIRECT(ADDRESS(2,COLUMN())),OFFSET($BN$2,0,0,ROW()-1,60),ROW()-1,FALSE))</f>
        <v>0.31178509999999998</v>
      </c>
      <c r="AY275">
        <f ca="1">IF(AND(ISNUMBER($AY$943),$B$677=1),$AY$943,HLOOKUP(INDIRECT(ADDRESS(2,COLUMN())),OFFSET($BN$2,0,0,ROW()-1,60),ROW()-1,FALSE))</f>
        <v>0.44169929200000002</v>
      </c>
      <c r="AZ275">
        <f ca="1">IF(AND(ISNUMBER($AZ$943),$B$677=1),$AZ$943,HLOOKUP(INDIRECT(ADDRESS(2,COLUMN())),OFFSET($BN$2,0,0,ROW()-1,60),ROW()-1,FALSE))</f>
        <v>0.42938131099999999</v>
      </c>
      <c r="BA275">
        <f ca="1">IF(AND(ISNUMBER($BA$943),$B$677=1),$BA$943,HLOOKUP(INDIRECT(ADDRESS(2,COLUMN())),OFFSET($BN$2,0,0,ROW()-1,60),ROW()-1,FALSE))</f>
        <v>0.50661003199999999</v>
      </c>
      <c r="BB275">
        <f ca="1">IF(AND(ISNUMBER($BB$943),$B$677=1),$BB$943,HLOOKUP(INDIRECT(ADDRESS(2,COLUMN())),OFFSET($BN$2,0,0,ROW()-1,60),ROW()-1,FALSE))</f>
        <v>0.49505405299999999</v>
      </c>
      <c r="BC275">
        <f ca="1">IF(AND(ISNUMBER($BC$943),$B$677=1),$BC$943,HLOOKUP(INDIRECT(ADDRESS(2,COLUMN())),OFFSET($BN$2,0,0,ROW()-1,60),ROW()-1,FALSE))</f>
        <v>0.61700348699999996</v>
      </c>
      <c r="BD275">
        <f ca="1">IF(AND(ISNUMBER($BD$943),$B$677=1),$BD$943,HLOOKUP(INDIRECT(ADDRESS(2,COLUMN())),OFFSET($BN$2,0,0,ROW()-1,60),ROW()-1,FALSE))</f>
        <v>0.57178831500000005</v>
      </c>
      <c r="BE275">
        <f ca="1">IF(AND(ISNUMBER($BE$943),$B$677=1),$BE$943,HLOOKUP(INDIRECT(ADDRESS(2,COLUMN())),OFFSET($BN$2,0,0,ROW()-1,60),ROW()-1,FALSE))</f>
        <v>0.53768717200000005</v>
      </c>
      <c r="BF275">
        <f ca="1">IF(AND(ISNUMBER($BF$943),$B$677=1),$BF$943,HLOOKUP(INDIRECT(ADDRESS(2,COLUMN())),OFFSET($BN$2,0,0,ROW()-1,60),ROW()-1,FALSE))</f>
        <v>0.60453014999999999</v>
      </c>
      <c r="BG275">
        <f ca="1">IF(AND(ISNUMBER($BG$943),$B$677=1),$BG$943,HLOOKUP(INDIRECT(ADDRESS(2,COLUMN())),OFFSET($BN$2,0,0,ROW()-1,60),ROW()-1,FALSE))</f>
        <v>0.52520128200000005</v>
      </c>
      <c r="BH275">
        <f ca="1">IF(AND(ISNUMBER($BH$943),$B$677=1),$BH$943,HLOOKUP(INDIRECT(ADDRESS(2,COLUMN())),OFFSET($BN$2,0,0,ROW()-1,60),ROW()-1,FALSE))</f>
        <v>0.58314197499999998</v>
      </c>
      <c r="BI275">
        <f ca="1">IF(AND(ISNUMBER($BI$943),$B$677=1),$BI$943,HLOOKUP(INDIRECT(ADDRESS(2,COLUMN())),OFFSET($BN$2,0,0,ROW()-1,60),ROW()-1,FALSE))</f>
        <v>0.50848950999999998</v>
      </c>
      <c r="BJ275">
        <f ca="1">IF(AND(ISNUMBER($BJ$943),$B$677=1),$BJ$943,HLOOKUP(INDIRECT(ADDRESS(2,COLUMN())),OFFSET($BN$2,0,0,ROW()-1,60),ROW()-1,FALSE))</f>
        <v>0.52399691599999998</v>
      </c>
      <c r="BK275" t="str">
        <f ca="1">IF(AND(ISNUMBER($BK$943),$B$677=1),$BK$943,HLOOKUP(INDIRECT(ADDRESS(2,COLUMN())),OFFSET($BN$2,0,0,ROW()-1,60),ROW()-1,FALSE))</f>
        <v/>
      </c>
      <c r="BL275" t="str">
        <f ca="1">IF(AND(ISNUMBER($BL$943),$B$677=1),$BL$943,HLOOKUP(INDIRECT(ADDRESS(2,COLUMN())),OFFSET($BN$2,0,0,ROW()-1,60),ROW()-1,FALSE))</f>
        <v/>
      </c>
      <c r="BM275" t="str">
        <f ca="1">IF(AND(ISNUMBER($BM$943),$B$677=1),$BM$943,HLOOKUP(INDIRECT(ADDRESS(2,COLUMN())),OFFSET($BN$2,0,0,ROW()-1,60),ROW()-1,FALSE))</f>
        <v/>
      </c>
      <c r="BN275">
        <f>0.308811375</f>
        <v>0.308811375</v>
      </c>
      <c r="BO275">
        <f>0.286879119</f>
        <v>0.28687911900000002</v>
      </c>
      <c r="BP275">
        <f>0.351538462</f>
        <v>0.351538462</v>
      </c>
      <c r="BQ275">
        <f>0.354063341</f>
        <v>0.35406334099999998</v>
      </c>
      <c r="BR275">
        <f>0.361293591</f>
        <v>0.36129359100000003</v>
      </c>
      <c r="BS275">
        <f>0.366957175</f>
        <v>0.36695717500000002</v>
      </c>
      <c r="BT275">
        <f>0.362468334</f>
        <v>0.362468334</v>
      </c>
      <c r="BU275">
        <f>0.372861177</f>
        <v>0.37286117699999999</v>
      </c>
      <c r="BV275">
        <f>0.365462416</f>
        <v>0.36546241600000001</v>
      </c>
      <c r="BW275">
        <f>0.415120636</f>
        <v>0.41512063599999999</v>
      </c>
      <c r="BX275">
        <f>0.350801146</f>
        <v>0.35080114600000001</v>
      </c>
      <c r="BY275">
        <f>0.320722354</f>
        <v>0.32072235399999999</v>
      </c>
      <c r="BZ275">
        <f>0.358047779</f>
        <v>0.35804777900000001</v>
      </c>
      <c r="CA275">
        <f>0.438637503</f>
        <v>0.43863750299999998</v>
      </c>
      <c r="CB275">
        <f>0.37707251</f>
        <v>0.37707251000000003</v>
      </c>
      <c r="CC275">
        <f>0.452678156</f>
        <v>0.452678156</v>
      </c>
      <c r="CD275">
        <f>0.451108661</f>
        <v>0.45110866100000002</v>
      </c>
      <c r="CE275">
        <f>0.392375605</f>
        <v>0.39237560500000002</v>
      </c>
      <c r="CF275">
        <f>0.41219006</f>
        <v>0.41219006000000002</v>
      </c>
      <c r="CG275">
        <f>0.375912833</f>
        <v>0.375912833</v>
      </c>
      <c r="CH275">
        <f>0.36786071</f>
        <v>0.36786070999999998</v>
      </c>
      <c r="CI275">
        <f>0.372910613</f>
        <v>0.372910613</v>
      </c>
      <c r="CJ275">
        <f>0.43736284</f>
        <v>0.43736283999999997</v>
      </c>
      <c r="CK275">
        <f>0.46416357</f>
        <v>0.46416357000000003</v>
      </c>
      <c r="CL275">
        <f>0.434128246</f>
        <v>0.434128246</v>
      </c>
      <c r="CM275">
        <f>0.386280228</f>
        <v>0.386280228</v>
      </c>
      <c r="CN275">
        <f>0.305587114</f>
        <v>0.30558711399999999</v>
      </c>
      <c r="CO275">
        <f>0.339205694</f>
        <v>0.339205694</v>
      </c>
      <c r="CP275">
        <f>0.391442221</f>
        <v>0.39144222099999998</v>
      </c>
      <c r="CQ275">
        <f>0.319788738</f>
        <v>0.31978873800000002</v>
      </c>
      <c r="CR275">
        <f>0.32863556</f>
        <v>0.32863555999999999</v>
      </c>
      <c r="CS275">
        <f>0.400075118</f>
        <v>0.40007511800000001</v>
      </c>
      <c r="CT275">
        <f>0.351430135</f>
        <v>0.35143013499999998</v>
      </c>
      <c r="CU275">
        <f>0.37485969</f>
        <v>0.37485969000000002</v>
      </c>
      <c r="CV275">
        <f>0.35574459</f>
        <v>0.35574459000000003</v>
      </c>
      <c r="CW275">
        <f>0.318460823</f>
        <v>0.318460823</v>
      </c>
      <c r="CX275">
        <f>0.434261483</f>
        <v>0.434261483</v>
      </c>
      <c r="CY275">
        <f>0.462808887</f>
        <v>0.462808887</v>
      </c>
      <c r="CZ275">
        <f>0.355699317</f>
        <v>0.35569931700000001</v>
      </c>
      <c r="DA275">
        <f>0.313856901</f>
        <v>0.31385690100000002</v>
      </c>
      <c r="DB275">
        <f>0.168964607</f>
        <v>0.16896460699999999</v>
      </c>
      <c r="DC275">
        <f>0.134852206</f>
        <v>0.134852206</v>
      </c>
      <c r="DD275">
        <f>0.267649245</f>
        <v>0.26764924499999998</v>
      </c>
      <c r="DE275">
        <f>0.334248275</f>
        <v>0.33424827499999998</v>
      </c>
      <c r="DF275">
        <f>0.3117851</f>
        <v>0.31178509999999998</v>
      </c>
      <c r="DG275">
        <f>0.441699292</f>
        <v>0.44169929200000002</v>
      </c>
      <c r="DH275">
        <f>0.429381311</f>
        <v>0.42938131099999999</v>
      </c>
      <c r="DI275">
        <f>0.506610032</f>
        <v>0.50661003199999999</v>
      </c>
      <c r="DJ275">
        <f>0.495054053</f>
        <v>0.49505405299999999</v>
      </c>
      <c r="DK275">
        <f>0.617003487</f>
        <v>0.61700348699999996</v>
      </c>
      <c r="DL275">
        <f>0.571788315</f>
        <v>0.57178831500000005</v>
      </c>
      <c r="DM275">
        <f>0.537687172</f>
        <v>0.53768717200000005</v>
      </c>
      <c r="DN275">
        <f>0.60453015</f>
        <v>0.60453014999999999</v>
      </c>
      <c r="DO275">
        <f>0.525201282</f>
        <v>0.52520128200000005</v>
      </c>
      <c r="DP275">
        <f>0.583141975</f>
        <v>0.58314197499999998</v>
      </c>
      <c r="DQ275">
        <f>0.50848951</f>
        <v>0.50848950999999998</v>
      </c>
      <c r="DR275">
        <f>0.523996916</f>
        <v>0.52399691599999998</v>
      </c>
      <c r="DS275" t="str">
        <f>""</f>
        <v/>
      </c>
      <c r="DT275" t="str">
        <f>""</f>
        <v/>
      </c>
      <c r="DU275" t="str">
        <f>""</f>
        <v/>
      </c>
    </row>
    <row r="276" spans="1:125" x14ac:dyDescent="0.25">
      <c r="A276" t="str">
        <f>"    Peugeot SA"</f>
        <v xml:space="preserve">    Peugeot SA</v>
      </c>
      <c r="B276" t="str">
        <f>"UG FP Equity"</f>
        <v>UG FP Equity</v>
      </c>
      <c r="C276" t="str">
        <f t="shared" si="18"/>
        <v>RR904</v>
      </c>
      <c r="D276" t="str">
        <f t="shared" si="19"/>
        <v>PX_TO_SALES_RATIO</v>
      </c>
      <c r="E276" t="str">
        <f t="shared" si="20"/>
        <v>Dynamic</v>
      </c>
      <c r="F276" t="str">
        <f ca="1">IF(AND(ISNUMBER($F$944),$B$677=1),$F$944,HLOOKUP(INDIRECT(ADDRESS(2,COLUMN())),OFFSET($BN$2,0,0,ROW()-1,60),ROW()-1,FALSE))</f>
        <v/>
      </c>
      <c r="G276" t="str">
        <f ca="1">IF(AND(ISNUMBER($G$944),$B$677=1),$G$944,HLOOKUP(INDIRECT(ADDRESS(2,COLUMN())),OFFSET($BN$2,0,0,ROW()-1,60),ROW()-1,FALSE))</f>
        <v/>
      </c>
      <c r="H276" t="str">
        <f ca="1">IF(AND(ISNUMBER($H$944),$B$677=1),$H$944,HLOOKUP(INDIRECT(ADDRESS(2,COLUMN())),OFFSET($BN$2,0,0,ROW()-1,60),ROW()-1,FALSE))</f>
        <v/>
      </c>
      <c r="I276" t="str">
        <f ca="1">IF(AND(ISNUMBER($I$944),$B$677=1),$I$944,HLOOKUP(INDIRECT(ADDRESS(2,COLUMN())),OFFSET($BN$2,0,0,ROW()-1,60),ROW()-1,FALSE))</f>
        <v/>
      </c>
      <c r="J276" t="str">
        <f ca="1">IF(AND(ISNUMBER($J$944),$B$677=1),$J$944,HLOOKUP(INDIRECT(ADDRESS(2,COLUMN())),OFFSET($BN$2,0,0,ROW()-1,60),ROW()-1,FALSE))</f>
        <v/>
      </c>
      <c r="K276" t="str">
        <f ca="1">IF(AND(ISNUMBER($K$944),$B$677=1),$K$944,HLOOKUP(INDIRECT(ADDRESS(2,COLUMN())),OFFSET($BN$2,0,0,ROW()-1,60),ROW()-1,FALSE))</f>
        <v/>
      </c>
      <c r="L276" t="str">
        <f ca="1">IF(AND(ISNUMBER($L$944),$B$677=1),$L$944,HLOOKUP(INDIRECT(ADDRESS(2,COLUMN())),OFFSET($BN$2,0,0,ROW()-1,60),ROW()-1,FALSE))</f>
        <v/>
      </c>
      <c r="M276" t="str">
        <f ca="1">IF(AND(ISNUMBER($M$944),$B$677=1),$M$944,HLOOKUP(INDIRECT(ADDRESS(2,COLUMN())),OFFSET($BN$2,0,0,ROW()-1,60),ROW()-1,FALSE))</f>
        <v/>
      </c>
      <c r="N276" t="str">
        <f ca="1">IF(AND(ISNUMBER($N$944),$B$677=1),$N$944,HLOOKUP(INDIRECT(ADDRESS(2,COLUMN())),OFFSET($BN$2,0,0,ROW()-1,60),ROW()-1,FALSE))</f>
        <v/>
      </c>
      <c r="O276" t="str">
        <f ca="1">IF(AND(ISNUMBER($O$944),$B$677=1),$O$944,HLOOKUP(INDIRECT(ADDRESS(2,COLUMN())),OFFSET($BN$2,0,0,ROW()-1,60),ROW()-1,FALSE))</f>
        <v/>
      </c>
      <c r="P276" t="str">
        <f ca="1">IF(AND(ISNUMBER($P$944),$B$677=1),$P$944,HLOOKUP(INDIRECT(ADDRESS(2,COLUMN())),OFFSET($BN$2,0,0,ROW()-1,60),ROW()-1,FALSE))</f>
        <v/>
      </c>
      <c r="Q276" t="str">
        <f ca="1">IF(AND(ISNUMBER($Q$944),$B$677=1),$Q$944,HLOOKUP(INDIRECT(ADDRESS(2,COLUMN())),OFFSET($BN$2,0,0,ROW()-1,60),ROW()-1,FALSE))</f>
        <v/>
      </c>
      <c r="R276" t="str">
        <f ca="1">IF(AND(ISNUMBER($R$944),$B$677=1),$R$944,HLOOKUP(INDIRECT(ADDRESS(2,COLUMN())),OFFSET($BN$2,0,0,ROW()-1,60),ROW()-1,FALSE))</f>
        <v/>
      </c>
      <c r="S276" t="str">
        <f ca="1">IF(AND(ISNUMBER($S$944),$B$677=1),$S$944,HLOOKUP(INDIRECT(ADDRESS(2,COLUMN())),OFFSET($BN$2,0,0,ROW()-1,60),ROW()-1,FALSE))</f>
        <v/>
      </c>
      <c r="T276" t="str">
        <f ca="1">IF(AND(ISNUMBER($T$944),$B$677=1),$T$944,HLOOKUP(INDIRECT(ADDRESS(2,COLUMN())),OFFSET($BN$2,0,0,ROW()-1,60),ROW()-1,FALSE))</f>
        <v/>
      </c>
      <c r="U276" t="str">
        <f ca="1">IF(AND(ISNUMBER($U$944),$B$677=1),$U$944,HLOOKUP(INDIRECT(ADDRESS(2,COLUMN())),OFFSET($BN$2,0,0,ROW()-1,60),ROW()-1,FALSE))</f>
        <v/>
      </c>
      <c r="V276" t="str">
        <f ca="1">IF(AND(ISNUMBER($V$944),$B$677=1),$V$944,HLOOKUP(INDIRECT(ADDRESS(2,COLUMN())),OFFSET($BN$2,0,0,ROW()-1,60),ROW()-1,FALSE))</f>
        <v/>
      </c>
      <c r="W276" t="str">
        <f ca="1">IF(AND(ISNUMBER($W$944),$B$677=1),$W$944,HLOOKUP(INDIRECT(ADDRESS(2,COLUMN())),OFFSET($BN$2,0,0,ROW()-1,60),ROW()-1,FALSE))</f>
        <v/>
      </c>
      <c r="X276" t="str">
        <f ca="1">IF(AND(ISNUMBER($X$944),$B$677=1),$X$944,HLOOKUP(INDIRECT(ADDRESS(2,COLUMN())),OFFSET($BN$2,0,0,ROW()-1,60),ROW()-1,FALSE))</f>
        <v/>
      </c>
      <c r="Y276" t="str">
        <f ca="1">IF(AND(ISNUMBER($Y$944),$B$677=1),$Y$944,HLOOKUP(INDIRECT(ADDRESS(2,COLUMN())),OFFSET($BN$2,0,0,ROW()-1,60),ROW()-1,FALSE))</f>
        <v/>
      </c>
      <c r="Z276" t="str">
        <f ca="1">IF(AND(ISNUMBER($Z$944),$B$677=1),$Z$944,HLOOKUP(INDIRECT(ADDRESS(2,COLUMN())),OFFSET($BN$2,0,0,ROW()-1,60),ROW()-1,FALSE))</f>
        <v/>
      </c>
      <c r="AA276" t="str">
        <f ca="1">IF(AND(ISNUMBER($AA$944),$B$677=1),$AA$944,HLOOKUP(INDIRECT(ADDRESS(2,COLUMN())),OFFSET($BN$2,0,0,ROW()-1,60),ROW()-1,FALSE))</f>
        <v/>
      </c>
      <c r="AB276" t="str">
        <f ca="1">IF(AND(ISNUMBER($AB$944),$B$677=1),$AB$944,HLOOKUP(INDIRECT(ADDRESS(2,COLUMN())),OFFSET($BN$2,0,0,ROW()-1,60),ROW()-1,FALSE))</f>
        <v/>
      </c>
      <c r="AC276" t="str">
        <f ca="1">IF(AND(ISNUMBER($AC$944),$B$677=1),$AC$944,HLOOKUP(INDIRECT(ADDRESS(2,COLUMN())),OFFSET($BN$2,0,0,ROW()-1,60),ROW()-1,FALSE))</f>
        <v/>
      </c>
      <c r="AD276" t="str">
        <f ca="1">IF(AND(ISNUMBER($AD$944),$B$677=1),$AD$944,HLOOKUP(INDIRECT(ADDRESS(2,COLUMN())),OFFSET($BN$2,0,0,ROW()-1,60),ROW()-1,FALSE))</f>
        <v/>
      </c>
      <c r="AE276" t="str">
        <f ca="1">IF(AND(ISNUMBER($AE$944),$B$677=1),$AE$944,HLOOKUP(INDIRECT(ADDRESS(2,COLUMN())),OFFSET($BN$2,0,0,ROW()-1,60),ROW()-1,FALSE))</f>
        <v/>
      </c>
      <c r="AF276" t="str">
        <f ca="1">IF(AND(ISNUMBER($AF$944),$B$677=1),$AF$944,HLOOKUP(INDIRECT(ADDRESS(2,COLUMN())),OFFSET($BN$2,0,0,ROW()-1,60),ROW()-1,FALSE))</f>
        <v/>
      </c>
      <c r="AG276" t="str">
        <f ca="1">IF(AND(ISNUMBER($AG$944),$B$677=1),$AG$944,HLOOKUP(INDIRECT(ADDRESS(2,COLUMN())),OFFSET($BN$2,0,0,ROW()-1,60),ROW()-1,FALSE))</f>
        <v/>
      </c>
      <c r="AH276" t="str">
        <f ca="1">IF(AND(ISNUMBER($AH$944),$B$677=1),$AH$944,HLOOKUP(INDIRECT(ADDRESS(2,COLUMN())),OFFSET($BN$2,0,0,ROW()-1,60),ROW()-1,FALSE))</f>
        <v/>
      </c>
      <c r="AI276" t="str">
        <f ca="1">IF(AND(ISNUMBER($AI$944),$B$677=1),$AI$944,HLOOKUP(INDIRECT(ADDRESS(2,COLUMN())),OFFSET($BN$2,0,0,ROW()-1,60),ROW()-1,FALSE))</f>
        <v/>
      </c>
      <c r="AJ276" t="str">
        <f ca="1">IF(AND(ISNUMBER($AJ$944),$B$677=1),$AJ$944,HLOOKUP(INDIRECT(ADDRESS(2,COLUMN())),OFFSET($BN$2,0,0,ROW()-1,60),ROW()-1,FALSE))</f>
        <v/>
      </c>
      <c r="AK276" t="str">
        <f ca="1">IF(AND(ISNUMBER($AK$944),$B$677=1),$AK$944,HLOOKUP(INDIRECT(ADDRESS(2,COLUMN())),OFFSET($BN$2,0,0,ROW()-1,60),ROW()-1,FALSE))</f>
        <v/>
      </c>
      <c r="AL276" t="str">
        <f ca="1">IF(AND(ISNUMBER($AL$944),$B$677=1),$AL$944,HLOOKUP(INDIRECT(ADDRESS(2,COLUMN())),OFFSET($BN$2,0,0,ROW()-1,60),ROW()-1,FALSE))</f>
        <v/>
      </c>
      <c r="AM276" t="str">
        <f ca="1">IF(AND(ISNUMBER($AM$944),$B$677=1),$AM$944,HLOOKUP(INDIRECT(ADDRESS(2,COLUMN())),OFFSET($BN$2,0,0,ROW()-1,60),ROW()-1,FALSE))</f>
        <v/>
      </c>
      <c r="AN276" t="str">
        <f ca="1">IF(AND(ISNUMBER($AN$944),$B$677=1),$AN$944,HLOOKUP(INDIRECT(ADDRESS(2,COLUMN())),OFFSET($BN$2,0,0,ROW()-1,60),ROW()-1,FALSE))</f>
        <v/>
      </c>
      <c r="AO276" t="str">
        <f ca="1">IF(AND(ISNUMBER($AO$944),$B$677=1),$AO$944,HLOOKUP(INDIRECT(ADDRESS(2,COLUMN())),OFFSET($BN$2,0,0,ROW()-1,60),ROW()-1,FALSE))</f>
        <v/>
      </c>
      <c r="AP276" t="str">
        <f ca="1">IF(AND(ISNUMBER($AP$944),$B$677=1),$AP$944,HLOOKUP(INDIRECT(ADDRESS(2,COLUMN())),OFFSET($BN$2,0,0,ROW()-1,60),ROW()-1,FALSE))</f>
        <v/>
      </c>
      <c r="AQ276" t="str">
        <f ca="1">IF(AND(ISNUMBER($AQ$944),$B$677=1),$AQ$944,HLOOKUP(INDIRECT(ADDRESS(2,COLUMN())),OFFSET($BN$2,0,0,ROW()-1,60),ROW()-1,FALSE))</f>
        <v/>
      </c>
      <c r="AR276" t="str">
        <f ca="1">IF(AND(ISNUMBER($AR$944),$B$677=1),$AR$944,HLOOKUP(INDIRECT(ADDRESS(2,COLUMN())),OFFSET($BN$2,0,0,ROW()-1,60),ROW()-1,FALSE))</f>
        <v/>
      </c>
      <c r="AS276" t="str">
        <f ca="1">IF(AND(ISNUMBER($AS$944),$B$677=1),$AS$944,HLOOKUP(INDIRECT(ADDRESS(2,COLUMN())),OFFSET($BN$2,0,0,ROW()-1,60),ROW()-1,FALSE))</f>
        <v/>
      </c>
      <c r="AT276" t="str">
        <f ca="1">IF(AND(ISNUMBER($AT$944),$B$677=1),$AT$944,HLOOKUP(INDIRECT(ADDRESS(2,COLUMN())),OFFSET($BN$2,0,0,ROW()-1,60),ROW()-1,FALSE))</f>
        <v/>
      </c>
      <c r="AU276" t="str">
        <f ca="1">IF(AND(ISNUMBER($AU$944),$B$677=1),$AU$944,HLOOKUP(INDIRECT(ADDRESS(2,COLUMN())),OFFSET($BN$2,0,0,ROW()-1,60),ROW()-1,FALSE))</f>
        <v/>
      </c>
      <c r="AV276" t="str">
        <f ca="1">IF(AND(ISNUMBER($AV$944),$B$677=1),$AV$944,HLOOKUP(INDIRECT(ADDRESS(2,COLUMN())),OFFSET($BN$2,0,0,ROW()-1,60),ROW()-1,FALSE))</f>
        <v/>
      </c>
      <c r="AW276" t="str">
        <f ca="1">IF(AND(ISNUMBER($AW$944),$B$677=1),$AW$944,HLOOKUP(INDIRECT(ADDRESS(2,COLUMN())),OFFSET($BN$2,0,0,ROW()-1,60),ROW()-1,FALSE))</f>
        <v/>
      </c>
      <c r="AX276" t="str">
        <f ca="1">IF(AND(ISNUMBER($AX$944),$B$677=1),$AX$944,HLOOKUP(INDIRECT(ADDRESS(2,COLUMN())),OFFSET($BN$2,0,0,ROW()-1,60),ROW()-1,FALSE))</f>
        <v/>
      </c>
      <c r="AY276" t="str">
        <f ca="1">IF(AND(ISNUMBER($AY$944),$B$677=1),$AY$944,HLOOKUP(INDIRECT(ADDRESS(2,COLUMN())),OFFSET($BN$2,0,0,ROW()-1,60),ROW()-1,FALSE))</f>
        <v/>
      </c>
      <c r="AZ276" t="str">
        <f ca="1">IF(AND(ISNUMBER($AZ$944),$B$677=1),$AZ$944,HLOOKUP(INDIRECT(ADDRESS(2,COLUMN())),OFFSET($BN$2,0,0,ROW()-1,60),ROW()-1,FALSE))</f>
        <v/>
      </c>
      <c r="BA276" t="str">
        <f ca="1">IF(AND(ISNUMBER($BA$944),$B$677=1),$BA$944,HLOOKUP(INDIRECT(ADDRESS(2,COLUMN())),OFFSET($BN$2,0,0,ROW()-1,60),ROW()-1,FALSE))</f>
        <v/>
      </c>
      <c r="BB276" t="str">
        <f ca="1">IF(AND(ISNUMBER($BB$944),$B$677=1),$BB$944,HLOOKUP(INDIRECT(ADDRESS(2,COLUMN())),OFFSET($BN$2,0,0,ROW()-1,60),ROW()-1,FALSE))</f>
        <v/>
      </c>
      <c r="BC276" t="str">
        <f ca="1">IF(AND(ISNUMBER($BC$944),$B$677=1),$BC$944,HLOOKUP(INDIRECT(ADDRESS(2,COLUMN())),OFFSET($BN$2,0,0,ROW()-1,60),ROW()-1,FALSE))</f>
        <v/>
      </c>
      <c r="BD276" t="str">
        <f ca="1">IF(AND(ISNUMBER($BD$944),$B$677=1),$BD$944,HLOOKUP(INDIRECT(ADDRESS(2,COLUMN())),OFFSET($BN$2,0,0,ROW()-1,60),ROW()-1,FALSE))</f>
        <v/>
      </c>
      <c r="BE276" t="str">
        <f ca="1">IF(AND(ISNUMBER($BE$944),$B$677=1),$BE$944,HLOOKUP(INDIRECT(ADDRESS(2,COLUMN())),OFFSET($BN$2,0,0,ROW()-1,60),ROW()-1,FALSE))</f>
        <v/>
      </c>
      <c r="BF276" t="str">
        <f ca="1">IF(AND(ISNUMBER($BF$944),$B$677=1),$BF$944,HLOOKUP(INDIRECT(ADDRESS(2,COLUMN())),OFFSET($BN$2,0,0,ROW()-1,60),ROW()-1,FALSE))</f>
        <v/>
      </c>
      <c r="BG276" t="str">
        <f ca="1">IF(AND(ISNUMBER($BG$944),$B$677=1),$BG$944,HLOOKUP(INDIRECT(ADDRESS(2,COLUMN())),OFFSET($BN$2,0,0,ROW()-1,60),ROW()-1,FALSE))</f>
        <v/>
      </c>
      <c r="BH276" t="str">
        <f ca="1">IF(AND(ISNUMBER($BH$944),$B$677=1),$BH$944,HLOOKUP(INDIRECT(ADDRESS(2,COLUMN())),OFFSET($BN$2,0,0,ROW()-1,60),ROW()-1,FALSE))</f>
        <v/>
      </c>
      <c r="BI276" t="str">
        <f ca="1">IF(AND(ISNUMBER($BI$944),$B$677=1),$BI$944,HLOOKUP(INDIRECT(ADDRESS(2,COLUMN())),OFFSET($BN$2,0,0,ROW()-1,60),ROW()-1,FALSE))</f>
        <v/>
      </c>
      <c r="BJ276" t="str">
        <f ca="1">IF(AND(ISNUMBER($BJ$944),$B$677=1),$BJ$944,HLOOKUP(INDIRECT(ADDRESS(2,COLUMN())),OFFSET($BN$2,0,0,ROW()-1,60),ROW()-1,FALSE))</f>
        <v/>
      </c>
      <c r="BK276" t="str">
        <f ca="1">IF(AND(ISNUMBER($BK$944),$B$677=1),$BK$944,HLOOKUP(INDIRECT(ADDRESS(2,COLUMN())),OFFSET($BN$2,0,0,ROW()-1,60),ROW()-1,FALSE))</f>
        <v/>
      </c>
      <c r="BL276" t="str">
        <f ca="1">IF(AND(ISNUMBER($BL$944),$B$677=1),$BL$944,HLOOKUP(INDIRECT(ADDRESS(2,COLUMN())),OFFSET($BN$2,0,0,ROW()-1,60),ROW()-1,FALSE))</f>
        <v/>
      </c>
      <c r="BM276" t="str">
        <f ca="1">IF(AND(ISNUMBER($BM$944),$B$677=1),$BM$944,HLOOKUP(INDIRECT(ADDRESS(2,COLUMN())),OFFSET($BN$2,0,0,ROW()-1,60),ROW()-1,FALSE))</f>
        <v/>
      </c>
      <c r="BN276" t="str">
        <f>""</f>
        <v/>
      </c>
      <c r="BO276" t="str">
        <f>""</f>
        <v/>
      </c>
      <c r="BP276" t="str">
        <f>""</f>
        <v/>
      </c>
      <c r="BQ276" t="str">
        <f>""</f>
        <v/>
      </c>
      <c r="BR276" t="str">
        <f>""</f>
        <v/>
      </c>
      <c r="BS276" t="str">
        <f>""</f>
        <v/>
      </c>
      <c r="BT276" t="str">
        <f>""</f>
        <v/>
      </c>
      <c r="BU276" t="str">
        <f>""</f>
        <v/>
      </c>
      <c r="BV276" t="str">
        <f>""</f>
        <v/>
      </c>
      <c r="BW276" t="str">
        <f>""</f>
        <v/>
      </c>
      <c r="BX276" t="str">
        <f>""</f>
        <v/>
      </c>
      <c r="BY276" t="str">
        <f>""</f>
        <v/>
      </c>
      <c r="BZ276" t="str">
        <f>""</f>
        <v/>
      </c>
      <c r="CA276" t="str">
        <f>""</f>
        <v/>
      </c>
      <c r="CB276" t="str">
        <f>""</f>
        <v/>
      </c>
      <c r="CC276" t="str">
        <f>""</f>
        <v/>
      </c>
      <c r="CD276" t="str">
        <f>""</f>
        <v/>
      </c>
      <c r="CE276" t="str">
        <f>""</f>
        <v/>
      </c>
      <c r="CF276" t="str">
        <f>""</f>
        <v/>
      </c>
      <c r="CG276" t="str">
        <f>""</f>
        <v/>
      </c>
      <c r="CH276" t="str">
        <f>""</f>
        <v/>
      </c>
      <c r="CI276" t="str">
        <f>""</f>
        <v/>
      </c>
      <c r="CJ276" t="str">
        <f>""</f>
        <v/>
      </c>
      <c r="CK276" t="str">
        <f>""</f>
        <v/>
      </c>
      <c r="CL276" t="str">
        <f>""</f>
        <v/>
      </c>
      <c r="CM276" t="str">
        <f>""</f>
        <v/>
      </c>
      <c r="CN276" t="str">
        <f>""</f>
        <v/>
      </c>
      <c r="CO276" t="str">
        <f>""</f>
        <v/>
      </c>
      <c r="CP276" t="str">
        <f>""</f>
        <v/>
      </c>
      <c r="CQ276" t="str">
        <f>""</f>
        <v/>
      </c>
      <c r="CR276" t="str">
        <f>""</f>
        <v/>
      </c>
      <c r="CS276" t="str">
        <f>""</f>
        <v/>
      </c>
      <c r="CT276" t="str">
        <f>""</f>
        <v/>
      </c>
      <c r="CU276" t="str">
        <f>""</f>
        <v/>
      </c>
      <c r="CV276" t="str">
        <f>""</f>
        <v/>
      </c>
      <c r="CW276" t="str">
        <f>""</f>
        <v/>
      </c>
      <c r="CX276" t="str">
        <f>""</f>
        <v/>
      </c>
      <c r="CY276" t="str">
        <f>""</f>
        <v/>
      </c>
      <c r="CZ276" t="str">
        <f>""</f>
        <v/>
      </c>
      <c r="DA276" t="str">
        <f>""</f>
        <v/>
      </c>
      <c r="DB276" t="str">
        <f>""</f>
        <v/>
      </c>
      <c r="DC276" t="str">
        <f>""</f>
        <v/>
      </c>
      <c r="DD276" t="str">
        <f>""</f>
        <v/>
      </c>
      <c r="DE276" t="str">
        <f>""</f>
        <v/>
      </c>
      <c r="DF276" t="str">
        <f>""</f>
        <v/>
      </c>
      <c r="DG276" t="str">
        <f>""</f>
        <v/>
      </c>
      <c r="DH276" t="str">
        <f>""</f>
        <v/>
      </c>
      <c r="DI276" t="str">
        <f>""</f>
        <v/>
      </c>
      <c r="DJ276" t="str">
        <f>""</f>
        <v/>
      </c>
      <c r="DK276" t="str">
        <f>""</f>
        <v/>
      </c>
      <c r="DL276" t="str">
        <f>""</f>
        <v/>
      </c>
      <c r="DM276" t="str">
        <f>""</f>
        <v/>
      </c>
      <c r="DN276" t="str">
        <f>""</f>
        <v/>
      </c>
      <c r="DO276" t="str">
        <f>""</f>
        <v/>
      </c>
      <c r="DP276" t="str">
        <f>""</f>
        <v/>
      </c>
      <c r="DQ276" t="str">
        <f>""</f>
        <v/>
      </c>
      <c r="DR276" t="str">
        <f>""</f>
        <v/>
      </c>
      <c r="DS276" t="str">
        <f>""</f>
        <v/>
      </c>
      <c r="DT276" t="str">
        <f>""</f>
        <v/>
      </c>
      <c r="DU276" t="str">
        <f>""</f>
        <v/>
      </c>
    </row>
    <row r="277" spans="1:125" x14ac:dyDescent="0.25">
      <c r="A277" t="str">
        <f>"    Renault SA"</f>
        <v xml:space="preserve">    Renault SA</v>
      </c>
      <c r="B277" t="str">
        <f>"RNO FP Equity"</f>
        <v>RNO FP Equity</v>
      </c>
      <c r="C277" t="str">
        <f t="shared" si="18"/>
        <v>RR904</v>
      </c>
      <c r="D277" t="str">
        <f t="shared" si="19"/>
        <v>PX_TO_SALES_RATIO</v>
      </c>
      <c r="E277" t="str">
        <f t="shared" si="20"/>
        <v>Dynamic</v>
      </c>
      <c r="F277" t="str">
        <f ca="1">IF(AND(ISNUMBER($F$945),$B$677=1),$F$945,HLOOKUP(INDIRECT(ADDRESS(2,COLUMN())),OFFSET($BN$2,0,0,ROW()-1,60),ROW()-1,FALSE))</f>
        <v/>
      </c>
      <c r="G277" t="str">
        <f ca="1">IF(AND(ISNUMBER($G$945),$B$677=1),$G$945,HLOOKUP(INDIRECT(ADDRESS(2,COLUMN())),OFFSET($BN$2,0,0,ROW()-1,60),ROW()-1,FALSE))</f>
        <v/>
      </c>
      <c r="H277" t="str">
        <f ca="1">IF(AND(ISNUMBER($H$945),$B$677=1),$H$945,HLOOKUP(INDIRECT(ADDRESS(2,COLUMN())),OFFSET($BN$2,0,0,ROW()-1,60),ROW()-1,FALSE))</f>
        <v/>
      </c>
      <c r="I277" t="str">
        <f ca="1">IF(AND(ISNUMBER($I$945),$B$677=1),$I$945,HLOOKUP(INDIRECT(ADDRESS(2,COLUMN())),OFFSET($BN$2,0,0,ROW()-1,60),ROW()-1,FALSE))</f>
        <v/>
      </c>
      <c r="J277" t="str">
        <f ca="1">IF(AND(ISNUMBER($J$945),$B$677=1),$J$945,HLOOKUP(INDIRECT(ADDRESS(2,COLUMN())),OFFSET($BN$2,0,0,ROW()-1,60),ROW()-1,FALSE))</f>
        <v/>
      </c>
      <c r="K277" t="str">
        <f ca="1">IF(AND(ISNUMBER($K$945),$B$677=1),$K$945,HLOOKUP(INDIRECT(ADDRESS(2,COLUMN())),OFFSET($BN$2,0,0,ROW()-1,60),ROW()-1,FALSE))</f>
        <v/>
      </c>
      <c r="L277" t="str">
        <f ca="1">IF(AND(ISNUMBER($L$945),$B$677=1),$L$945,HLOOKUP(INDIRECT(ADDRESS(2,COLUMN())),OFFSET($BN$2,0,0,ROW()-1,60),ROW()-1,FALSE))</f>
        <v/>
      </c>
      <c r="M277" t="str">
        <f ca="1">IF(AND(ISNUMBER($M$945),$B$677=1),$M$945,HLOOKUP(INDIRECT(ADDRESS(2,COLUMN())),OFFSET($BN$2,0,0,ROW()-1,60),ROW()-1,FALSE))</f>
        <v/>
      </c>
      <c r="N277" t="str">
        <f ca="1">IF(AND(ISNUMBER($N$945),$B$677=1),$N$945,HLOOKUP(INDIRECT(ADDRESS(2,COLUMN())),OFFSET($BN$2,0,0,ROW()-1,60),ROW()-1,FALSE))</f>
        <v/>
      </c>
      <c r="O277" t="str">
        <f ca="1">IF(AND(ISNUMBER($O$945),$B$677=1),$O$945,HLOOKUP(INDIRECT(ADDRESS(2,COLUMN())),OFFSET($BN$2,0,0,ROW()-1,60),ROW()-1,FALSE))</f>
        <v/>
      </c>
      <c r="P277" t="str">
        <f ca="1">IF(AND(ISNUMBER($P$945),$B$677=1),$P$945,HLOOKUP(INDIRECT(ADDRESS(2,COLUMN())),OFFSET($BN$2,0,0,ROW()-1,60),ROW()-1,FALSE))</f>
        <v/>
      </c>
      <c r="Q277" t="str">
        <f ca="1">IF(AND(ISNUMBER($Q$945),$B$677=1),$Q$945,HLOOKUP(INDIRECT(ADDRESS(2,COLUMN())),OFFSET($BN$2,0,0,ROW()-1,60),ROW()-1,FALSE))</f>
        <v/>
      </c>
      <c r="R277" t="str">
        <f ca="1">IF(AND(ISNUMBER($R$945),$B$677=1),$R$945,HLOOKUP(INDIRECT(ADDRESS(2,COLUMN())),OFFSET($BN$2,0,0,ROW()-1,60),ROW()-1,FALSE))</f>
        <v/>
      </c>
      <c r="S277" t="str">
        <f ca="1">IF(AND(ISNUMBER($S$945),$B$677=1),$S$945,HLOOKUP(INDIRECT(ADDRESS(2,COLUMN())),OFFSET($BN$2,0,0,ROW()-1,60),ROW()-1,FALSE))</f>
        <v/>
      </c>
      <c r="T277" t="str">
        <f ca="1">IF(AND(ISNUMBER($T$945),$B$677=1),$T$945,HLOOKUP(INDIRECT(ADDRESS(2,COLUMN())),OFFSET($BN$2,0,0,ROW()-1,60),ROW()-1,FALSE))</f>
        <v/>
      </c>
      <c r="U277" t="str">
        <f ca="1">IF(AND(ISNUMBER($U$945),$B$677=1),$U$945,HLOOKUP(INDIRECT(ADDRESS(2,COLUMN())),OFFSET($BN$2,0,0,ROW()-1,60),ROW()-1,FALSE))</f>
        <v/>
      </c>
      <c r="V277" t="str">
        <f ca="1">IF(AND(ISNUMBER($V$945),$B$677=1),$V$945,HLOOKUP(INDIRECT(ADDRESS(2,COLUMN())),OFFSET($BN$2,0,0,ROW()-1,60),ROW()-1,FALSE))</f>
        <v/>
      </c>
      <c r="W277" t="str">
        <f ca="1">IF(AND(ISNUMBER($W$945),$B$677=1),$W$945,HLOOKUP(INDIRECT(ADDRESS(2,COLUMN())),OFFSET($BN$2,0,0,ROW()-1,60),ROW()-1,FALSE))</f>
        <v/>
      </c>
      <c r="X277" t="str">
        <f ca="1">IF(AND(ISNUMBER($X$945),$B$677=1),$X$945,HLOOKUP(INDIRECT(ADDRESS(2,COLUMN())),OFFSET($BN$2,0,0,ROW()-1,60),ROW()-1,FALSE))</f>
        <v/>
      </c>
      <c r="Y277" t="str">
        <f ca="1">IF(AND(ISNUMBER($Y$945),$B$677=1),$Y$945,HLOOKUP(INDIRECT(ADDRESS(2,COLUMN())),OFFSET($BN$2,0,0,ROW()-1,60),ROW()-1,FALSE))</f>
        <v/>
      </c>
      <c r="Z277" t="str">
        <f ca="1">IF(AND(ISNUMBER($Z$945),$B$677=1),$Z$945,HLOOKUP(INDIRECT(ADDRESS(2,COLUMN())),OFFSET($BN$2,0,0,ROW()-1,60),ROW()-1,FALSE))</f>
        <v/>
      </c>
      <c r="AA277" t="str">
        <f ca="1">IF(AND(ISNUMBER($AA$945),$B$677=1),$AA$945,HLOOKUP(INDIRECT(ADDRESS(2,COLUMN())),OFFSET($BN$2,0,0,ROW()-1,60),ROW()-1,FALSE))</f>
        <v/>
      </c>
      <c r="AB277" t="str">
        <f ca="1">IF(AND(ISNUMBER($AB$945),$B$677=1),$AB$945,HLOOKUP(INDIRECT(ADDRESS(2,COLUMN())),OFFSET($BN$2,0,0,ROW()-1,60),ROW()-1,FALSE))</f>
        <v/>
      </c>
      <c r="AC277" t="str">
        <f ca="1">IF(AND(ISNUMBER($AC$945),$B$677=1),$AC$945,HLOOKUP(INDIRECT(ADDRESS(2,COLUMN())),OFFSET($BN$2,0,0,ROW()-1,60),ROW()-1,FALSE))</f>
        <v/>
      </c>
      <c r="AD277" t="str">
        <f ca="1">IF(AND(ISNUMBER($AD$945),$B$677=1),$AD$945,HLOOKUP(INDIRECT(ADDRESS(2,COLUMN())),OFFSET($BN$2,0,0,ROW()-1,60),ROW()-1,FALSE))</f>
        <v/>
      </c>
      <c r="AE277" t="str">
        <f ca="1">IF(AND(ISNUMBER($AE$945),$B$677=1),$AE$945,HLOOKUP(INDIRECT(ADDRESS(2,COLUMN())),OFFSET($BN$2,0,0,ROW()-1,60),ROW()-1,FALSE))</f>
        <v/>
      </c>
      <c r="AF277" t="str">
        <f ca="1">IF(AND(ISNUMBER($AF$945),$B$677=1),$AF$945,HLOOKUP(INDIRECT(ADDRESS(2,COLUMN())),OFFSET($BN$2,0,0,ROW()-1,60),ROW()-1,FALSE))</f>
        <v/>
      </c>
      <c r="AG277" t="str">
        <f ca="1">IF(AND(ISNUMBER($AG$945),$B$677=1),$AG$945,HLOOKUP(INDIRECT(ADDRESS(2,COLUMN())),OFFSET($BN$2,0,0,ROW()-1,60),ROW()-1,FALSE))</f>
        <v/>
      </c>
      <c r="AH277" t="str">
        <f ca="1">IF(AND(ISNUMBER($AH$945),$B$677=1),$AH$945,HLOOKUP(INDIRECT(ADDRESS(2,COLUMN())),OFFSET($BN$2,0,0,ROW()-1,60),ROW()-1,FALSE))</f>
        <v/>
      </c>
      <c r="AI277" t="str">
        <f ca="1">IF(AND(ISNUMBER($AI$945),$B$677=1),$AI$945,HLOOKUP(INDIRECT(ADDRESS(2,COLUMN())),OFFSET($BN$2,0,0,ROW()-1,60),ROW()-1,FALSE))</f>
        <v/>
      </c>
      <c r="AJ277" t="str">
        <f ca="1">IF(AND(ISNUMBER($AJ$945),$B$677=1),$AJ$945,HLOOKUP(INDIRECT(ADDRESS(2,COLUMN())),OFFSET($BN$2,0,0,ROW()-1,60),ROW()-1,FALSE))</f>
        <v/>
      </c>
      <c r="AK277" t="str">
        <f ca="1">IF(AND(ISNUMBER($AK$945),$B$677=1),$AK$945,HLOOKUP(INDIRECT(ADDRESS(2,COLUMN())),OFFSET($BN$2,0,0,ROW()-1,60),ROW()-1,FALSE))</f>
        <v/>
      </c>
      <c r="AL277" t="str">
        <f ca="1">IF(AND(ISNUMBER($AL$945),$B$677=1),$AL$945,HLOOKUP(INDIRECT(ADDRESS(2,COLUMN())),OFFSET($BN$2,0,0,ROW()-1,60),ROW()-1,FALSE))</f>
        <v/>
      </c>
      <c r="AM277" t="str">
        <f ca="1">IF(AND(ISNUMBER($AM$945),$B$677=1),$AM$945,HLOOKUP(INDIRECT(ADDRESS(2,COLUMN())),OFFSET($BN$2,0,0,ROW()-1,60),ROW()-1,FALSE))</f>
        <v/>
      </c>
      <c r="AN277" t="str">
        <f ca="1">IF(AND(ISNUMBER($AN$945),$B$677=1),$AN$945,HLOOKUP(INDIRECT(ADDRESS(2,COLUMN())),OFFSET($BN$2,0,0,ROW()-1,60),ROW()-1,FALSE))</f>
        <v/>
      </c>
      <c r="AO277" t="str">
        <f ca="1">IF(AND(ISNUMBER($AO$945),$B$677=1),$AO$945,HLOOKUP(INDIRECT(ADDRESS(2,COLUMN())),OFFSET($BN$2,0,0,ROW()-1,60),ROW()-1,FALSE))</f>
        <v/>
      </c>
      <c r="AP277" t="str">
        <f ca="1">IF(AND(ISNUMBER($AP$945),$B$677=1),$AP$945,HLOOKUP(INDIRECT(ADDRESS(2,COLUMN())),OFFSET($BN$2,0,0,ROW()-1,60),ROW()-1,FALSE))</f>
        <v/>
      </c>
      <c r="AQ277" t="str">
        <f ca="1">IF(AND(ISNUMBER($AQ$945),$B$677=1),$AQ$945,HLOOKUP(INDIRECT(ADDRESS(2,COLUMN())),OFFSET($BN$2,0,0,ROW()-1,60),ROW()-1,FALSE))</f>
        <v/>
      </c>
      <c r="AR277" t="str">
        <f ca="1">IF(AND(ISNUMBER($AR$945),$B$677=1),$AR$945,HLOOKUP(INDIRECT(ADDRESS(2,COLUMN())),OFFSET($BN$2,0,0,ROW()-1,60),ROW()-1,FALSE))</f>
        <v/>
      </c>
      <c r="AS277" t="str">
        <f ca="1">IF(AND(ISNUMBER($AS$945),$B$677=1),$AS$945,HLOOKUP(INDIRECT(ADDRESS(2,COLUMN())),OFFSET($BN$2,0,0,ROW()-1,60),ROW()-1,FALSE))</f>
        <v/>
      </c>
      <c r="AT277" t="str">
        <f ca="1">IF(AND(ISNUMBER($AT$945),$B$677=1),$AT$945,HLOOKUP(INDIRECT(ADDRESS(2,COLUMN())),OFFSET($BN$2,0,0,ROW()-1,60),ROW()-1,FALSE))</f>
        <v/>
      </c>
      <c r="AU277" t="str">
        <f ca="1">IF(AND(ISNUMBER($AU$945),$B$677=1),$AU$945,HLOOKUP(INDIRECT(ADDRESS(2,COLUMN())),OFFSET($BN$2,0,0,ROW()-1,60),ROW()-1,FALSE))</f>
        <v/>
      </c>
      <c r="AV277" t="str">
        <f ca="1">IF(AND(ISNUMBER($AV$945),$B$677=1),$AV$945,HLOOKUP(INDIRECT(ADDRESS(2,COLUMN())),OFFSET($BN$2,0,0,ROW()-1,60),ROW()-1,FALSE))</f>
        <v/>
      </c>
      <c r="AW277" t="str">
        <f ca="1">IF(AND(ISNUMBER($AW$945),$B$677=1),$AW$945,HLOOKUP(INDIRECT(ADDRESS(2,COLUMN())),OFFSET($BN$2,0,0,ROW()-1,60),ROW()-1,FALSE))</f>
        <v/>
      </c>
      <c r="AX277" t="str">
        <f ca="1">IF(AND(ISNUMBER($AX$945),$B$677=1),$AX$945,HLOOKUP(INDIRECT(ADDRESS(2,COLUMN())),OFFSET($BN$2,0,0,ROW()-1,60),ROW()-1,FALSE))</f>
        <v/>
      </c>
      <c r="AY277" t="str">
        <f ca="1">IF(AND(ISNUMBER($AY$945),$B$677=1),$AY$945,HLOOKUP(INDIRECT(ADDRESS(2,COLUMN())),OFFSET($BN$2,0,0,ROW()-1,60),ROW()-1,FALSE))</f>
        <v/>
      </c>
      <c r="AZ277" t="str">
        <f ca="1">IF(AND(ISNUMBER($AZ$945),$B$677=1),$AZ$945,HLOOKUP(INDIRECT(ADDRESS(2,COLUMN())),OFFSET($BN$2,0,0,ROW()-1,60),ROW()-1,FALSE))</f>
        <v/>
      </c>
      <c r="BA277" t="str">
        <f ca="1">IF(AND(ISNUMBER($BA$945),$B$677=1),$BA$945,HLOOKUP(INDIRECT(ADDRESS(2,COLUMN())),OFFSET($BN$2,0,0,ROW()-1,60),ROW()-1,FALSE))</f>
        <v/>
      </c>
      <c r="BB277" t="str">
        <f ca="1">IF(AND(ISNUMBER($BB$945),$B$677=1),$BB$945,HLOOKUP(INDIRECT(ADDRESS(2,COLUMN())),OFFSET($BN$2,0,0,ROW()-1,60),ROW()-1,FALSE))</f>
        <v/>
      </c>
      <c r="BC277" t="str">
        <f ca="1">IF(AND(ISNUMBER($BC$945),$B$677=1),$BC$945,HLOOKUP(INDIRECT(ADDRESS(2,COLUMN())),OFFSET($BN$2,0,0,ROW()-1,60),ROW()-1,FALSE))</f>
        <v/>
      </c>
      <c r="BD277" t="str">
        <f ca="1">IF(AND(ISNUMBER($BD$945),$B$677=1),$BD$945,HLOOKUP(INDIRECT(ADDRESS(2,COLUMN())),OFFSET($BN$2,0,0,ROW()-1,60),ROW()-1,FALSE))</f>
        <v/>
      </c>
      <c r="BE277" t="str">
        <f ca="1">IF(AND(ISNUMBER($BE$945),$B$677=1),$BE$945,HLOOKUP(INDIRECT(ADDRESS(2,COLUMN())),OFFSET($BN$2,0,0,ROW()-1,60),ROW()-1,FALSE))</f>
        <v/>
      </c>
      <c r="BF277" t="str">
        <f ca="1">IF(AND(ISNUMBER($BF$945),$B$677=1),$BF$945,HLOOKUP(INDIRECT(ADDRESS(2,COLUMN())),OFFSET($BN$2,0,0,ROW()-1,60),ROW()-1,FALSE))</f>
        <v/>
      </c>
      <c r="BG277" t="str">
        <f ca="1">IF(AND(ISNUMBER($BG$945),$B$677=1),$BG$945,HLOOKUP(INDIRECT(ADDRESS(2,COLUMN())),OFFSET($BN$2,0,0,ROW()-1,60),ROW()-1,FALSE))</f>
        <v/>
      </c>
      <c r="BH277" t="str">
        <f ca="1">IF(AND(ISNUMBER($BH$945),$B$677=1),$BH$945,HLOOKUP(INDIRECT(ADDRESS(2,COLUMN())),OFFSET($BN$2,0,0,ROW()-1,60),ROW()-1,FALSE))</f>
        <v/>
      </c>
      <c r="BI277" t="str">
        <f ca="1">IF(AND(ISNUMBER($BI$945),$B$677=1),$BI$945,HLOOKUP(INDIRECT(ADDRESS(2,COLUMN())),OFFSET($BN$2,0,0,ROW()-1,60),ROW()-1,FALSE))</f>
        <v/>
      </c>
      <c r="BJ277" t="str">
        <f ca="1">IF(AND(ISNUMBER($BJ$945),$B$677=1),$BJ$945,HLOOKUP(INDIRECT(ADDRESS(2,COLUMN())),OFFSET($BN$2,0,0,ROW()-1,60),ROW()-1,FALSE))</f>
        <v/>
      </c>
      <c r="BK277" t="str">
        <f ca="1">IF(AND(ISNUMBER($BK$945),$B$677=1),$BK$945,HLOOKUP(INDIRECT(ADDRESS(2,COLUMN())),OFFSET($BN$2,0,0,ROW()-1,60),ROW()-1,FALSE))</f>
        <v/>
      </c>
      <c r="BL277" t="str">
        <f ca="1">IF(AND(ISNUMBER($BL$945),$B$677=1),$BL$945,HLOOKUP(INDIRECT(ADDRESS(2,COLUMN())),OFFSET($BN$2,0,0,ROW()-1,60),ROW()-1,FALSE))</f>
        <v/>
      </c>
      <c r="BM277" t="str">
        <f ca="1">IF(AND(ISNUMBER($BM$945),$B$677=1),$BM$945,HLOOKUP(INDIRECT(ADDRESS(2,COLUMN())),OFFSET($BN$2,0,0,ROW()-1,60),ROW()-1,FALSE))</f>
        <v/>
      </c>
      <c r="BN277" t="str">
        <f>""</f>
        <v/>
      </c>
      <c r="BO277" t="str">
        <f>""</f>
        <v/>
      </c>
      <c r="BP277" t="str">
        <f>""</f>
        <v/>
      </c>
      <c r="BQ277" t="str">
        <f>""</f>
        <v/>
      </c>
      <c r="BR277" t="str">
        <f>""</f>
        <v/>
      </c>
      <c r="BS277" t="str">
        <f>""</f>
        <v/>
      </c>
      <c r="BT277" t="str">
        <f>""</f>
        <v/>
      </c>
      <c r="BU277" t="str">
        <f>""</f>
        <v/>
      </c>
      <c r="BV277" t="str">
        <f>""</f>
        <v/>
      </c>
      <c r="BW277" t="str">
        <f>""</f>
        <v/>
      </c>
      <c r="BX277" t="str">
        <f>""</f>
        <v/>
      </c>
      <c r="BY277" t="str">
        <f>""</f>
        <v/>
      </c>
      <c r="BZ277" t="str">
        <f>""</f>
        <v/>
      </c>
      <c r="CA277" t="str">
        <f>""</f>
        <v/>
      </c>
      <c r="CB277" t="str">
        <f>""</f>
        <v/>
      </c>
      <c r="CC277" t="str">
        <f>""</f>
        <v/>
      </c>
      <c r="CD277" t="str">
        <f>""</f>
        <v/>
      </c>
      <c r="CE277" t="str">
        <f>""</f>
        <v/>
      </c>
      <c r="CF277" t="str">
        <f>""</f>
        <v/>
      </c>
      <c r="CG277" t="str">
        <f>""</f>
        <v/>
      </c>
      <c r="CH277" t="str">
        <f>""</f>
        <v/>
      </c>
      <c r="CI277" t="str">
        <f>""</f>
        <v/>
      </c>
      <c r="CJ277" t="str">
        <f>""</f>
        <v/>
      </c>
      <c r="CK277" t="str">
        <f>""</f>
        <v/>
      </c>
      <c r="CL277" t="str">
        <f>""</f>
        <v/>
      </c>
      <c r="CM277" t="str">
        <f>""</f>
        <v/>
      </c>
      <c r="CN277" t="str">
        <f>""</f>
        <v/>
      </c>
      <c r="CO277" t="str">
        <f>""</f>
        <v/>
      </c>
      <c r="CP277" t="str">
        <f>""</f>
        <v/>
      </c>
      <c r="CQ277" t="str">
        <f>""</f>
        <v/>
      </c>
      <c r="CR277" t="str">
        <f>""</f>
        <v/>
      </c>
      <c r="CS277" t="str">
        <f>""</f>
        <v/>
      </c>
      <c r="CT277" t="str">
        <f>""</f>
        <v/>
      </c>
      <c r="CU277" t="str">
        <f>""</f>
        <v/>
      </c>
      <c r="CV277" t="str">
        <f>""</f>
        <v/>
      </c>
      <c r="CW277" t="str">
        <f>""</f>
        <v/>
      </c>
      <c r="CX277" t="str">
        <f>""</f>
        <v/>
      </c>
      <c r="CY277" t="str">
        <f>""</f>
        <v/>
      </c>
      <c r="CZ277" t="str">
        <f>""</f>
        <v/>
      </c>
      <c r="DA277" t="str">
        <f>""</f>
        <v/>
      </c>
      <c r="DB277" t="str">
        <f>""</f>
        <v/>
      </c>
      <c r="DC277" t="str">
        <f>""</f>
        <v/>
      </c>
      <c r="DD277" t="str">
        <f>""</f>
        <v/>
      </c>
      <c r="DE277" t="str">
        <f>""</f>
        <v/>
      </c>
      <c r="DF277" t="str">
        <f>""</f>
        <v/>
      </c>
      <c r="DG277" t="str">
        <f>""</f>
        <v/>
      </c>
      <c r="DH277" t="str">
        <f>""</f>
        <v/>
      </c>
      <c r="DI277" t="str">
        <f>""</f>
        <v/>
      </c>
      <c r="DJ277" t="str">
        <f>""</f>
        <v/>
      </c>
      <c r="DK277" t="str">
        <f>""</f>
        <v/>
      </c>
      <c r="DL277" t="str">
        <f>""</f>
        <v/>
      </c>
      <c r="DM277" t="str">
        <f>""</f>
        <v/>
      </c>
      <c r="DN277" t="str">
        <f>""</f>
        <v/>
      </c>
      <c r="DO277" t="str">
        <f>""</f>
        <v/>
      </c>
      <c r="DP277" t="str">
        <f>""</f>
        <v/>
      </c>
      <c r="DQ277" t="str">
        <f>""</f>
        <v/>
      </c>
      <c r="DR277" t="str">
        <f>""</f>
        <v/>
      </c>
      <c r="DS277" t="str">
        <f>""</f>
        <v/>
      </c>
      <c r="DT277" t="str">
        <f>""</f>
        <v/>
      </c>
      <c r="DU277" t="str">
        <f>""</f>
        <v/>
      </c>
    </row>
    <row r="278" spans="1:125" x14ac:dyDescent="0.25">
      <c r="A278" t="str">
        <f>"    SAIC Motor Corp Ltd"</f>
        <v xml:space="preserve">    SAIC Motor Corp Ltd</v>
      </c>
      <c r="B278" t="str">
        <f>"600104 CH Equity"</f>
        <v>600104 CH Equity</v>
      </c>
      <c r="C278" t="str">
        <f t="shared" si="18"/>
        <v>RR904</v>
      </c>
      <c r="D278" t="str">
        <f t="shared" si="19"/>
        <v>PX_TO_SALES_RATIO</v>
      </c>
      <c r="E278" t="str">
        <f t="shared" si="20"/>
        <v>Dynamic</v>
      </c>
      <c r="F278">
        <f ca="1">IF(AND(ISNUMBER($F$946),$B$677=1),$F$946,HLOOKUP(INDIRECT(ADDRESS(2,COLUMN())),OFFSET($BN$2,0,0,ROW()-1,60),ROW()-1,FALSE))</f>
        <v>0.35729555499999999</v>
      </c>
      <c r="G278">
        <f ca="1">IF(AND(ISNUMBER($G$946),$B$677=1),$G$946,HLOOKUP(INDIRECT(ADDRESS(2,COLUMN())),OFFSET($BN$2,0,0,ROW()-1,60),ROW()-1,FALSE))</f>
        <v>0.33541261700000002</v>
      </c>
      <c r="H278">
        <f ca="1">IF(AND(ISNUMBER($H$946),$B$677=1),$H$946,HLOOKUP(INDIRECT(ADDRESS(2,COLUMN())),OFFSET($BN$2,0,0,ROW()-1,60),ROW()-1,FALSE))</f>
        <v>0.418542629</v>
      </c>
      <c r="I278">
        <f ca="1">IF(AND(ISNUMBER($I$946),$B$677=1),$I$946,HLOOKUP(INDIRECT(ADDRESS(2,COLUMN())),OFFSET($BN$2,0,0,ROW()-1,60),ROW()-1,FALSE))</f>
        <v>0.43927638600000002</v>
      </c>
      <c r="J278">
        <f ca="1">IF(AND(ISNUMBER($J$946),$B$677=1),$J$946,HLOOKUP(INDIRECT(ADDRESS(2,COLUMN())),OFFSET($BN$2,0,0,ROW()-1,60),ROW()-1,FALSE))</f>
        <v>0.43902258700000002</v>
      </c>
      <c r="K278">
        <f ca="1">IF(AND(ISNUMBER($K$946),$B$677=1),$K$946,HLOOKUP(INDIRECT(ADDRESS(2,COLUMN())),OFFSET($BN$2,0,0,ROW()-1,60),ROW()-1,FALSE))</f>
        <v>0.43196786599999998</v>
      </c>
      <c r="L278">
        <f ca="1">IF(AND(ISNUMBER($L$946),$B$677=1),$L$946,HLOOKUP(INDIRECT(ADDRESS(2,COLUMN())),OFFSET($BN$2,0,0,ROW()-1,60),ROW()-1,FALSE))</f>
        <v>0.41914096499999998</v>
      </c>
      <c r="M278">
        <f ca="1">IF(AND(ISNUMBER($M$946),$B$677=1),$M$946,HLOOKUP(INDIRECT(ADDRESS(2,COLUMN())),OFFSET($BN$2,0,0,ROW()-1,60),ROW()-1,FALSE))</f>
        <v>0.441427719</v>
      </c>
      <c r="N278">
        <f ca="1">IF(AND(ISNUMBER($N$946),$B$677=1),$N$946,HLOOKUP(INDIRECT(ADDRESS(2,COLUMN())),OFFSET($BN$2,0,0,ROW()-1,60),ROW()-1,FALSE))</f>
        <v>0.37181167599999998</v>
      </c>
      <c r="O278">
        <f ca="1">IF(AND(ISNUMBER($O$946),$B$677=1),$O$946,HLOOKUP(INDIRECT(ADDRESS(2,COLUMN())),OFFSET($BN$2,0,0,ROW()-1,60),ROW()-1,FALSE))</f>
        <v>0.345242137</v>
      </c>
      <c r="P278">
        <f ca="1">IF(AND(ISNUMBER($P$946),$B$677=1),$P$946,HLOOKUP(INDIRECT(ADDRESS(2,COLUMN())),OFFSET($BN$2,0,0,ROW()-1,60),ROW()-1,FALSE))</f>
        <v>0.334713961</v>
      </c>
      <c r="Q278">
        <f ca="1">IF(AND(ISNUMBER($Q$946),$B$677=1),$Q$946,HLOOKUP(INDIRECT(ADDRESS(2,COLUMN())),OFFSET($BN$2,0,0,ROW()-1,60),ROW()-1,FALSE))</f>
        <v>0.32356554399999998</v>
      </c>
      <c r="R278">
        <f ca="1">IF(AND(ISNUMBER($R$946),$B$677=1),$R$946,HLOOKUP(INDIRECT(ADDRESS(2,COLUMN())),OFFSET($BN$2,0,0,ROW()-1,60),ROW()-1,FALSE))</f>
        <v>0.32542558500000002</v>
      </c>
      <c r="S278">
        <f ca="1">IF(AND(ISNUMBER($S$946),$B$677=1),$S$946,HLOOKUP(INDIRECT(ADDRESS(2,COLUMN())),OFFSET($BN$2,0,0,ROW()-1,60),ROW()-1,FALSE))</f>
        <v>0.35190281600000001</v>
      </c>
      <c r="T278">
        <f ca="1">IF(AND(ISNUMBER($T$946),$B$677=1),$T$946,HLOOKUP(INDIRECT(ADDRESS(2,COLUMN())),OFFSET($BN$2,0,0,ROW()-1,60),ROW()-1,FALSE))</f>
        <v>0.29400092500000002</v>
      </c>
      <c r="U278">
        <f ca="1">IF(AND(ISNUMBER($U$946),$B$677=1),$U$946,HLOOKUP(INDIRECT(ADDRESS(2,COLUMN())),OFFSET($BN$2,0,0,ROW()-1,60),ROW()-1,FALSE))</f>
        <v>0.395908818</v>
      </c>
      <c r="V278">
        <f ca="1">IF(AND(ISNUMBER($V$946),$B$677=1),$V$946,HLOOKUP(INDIRECT(ADDRESS(2,COLUMN())),OFFSET($BN$2,0,0,ROW()-1,60),ROW()-1,FALSE))</f>
        <v>0.436905722</v>
      </c>
      <c r="W278">
        <f ca="1">IF(AND(ISNUMBER($W$946),$B$677=1),$W$946,HLOOKUP(INDIRECT(ADDRESS(2,COLUMN())),OFFSET($BN$2,0,0,ROW()-1,60),ROW()-1,FALSE))</f>
        <v>0.37799792599999998</v>
      </c>
      <c r="X278">
        <f ca="1">IF(AND(ISNUMBER($X$946),$B$677=1),$X$946,HLOOKUP(INDIRECT(ADDRESS(2,COLUMN())),OFFSET($BN$2,0,0,ROW()-1,60),ROW()-1,FALSE))</f>
        <v>0.32583825100000002</v>
      </c>
      <c r="Y278">
        <f ca="1">IF(AND(ISNUMBER($Y$946),$B$677=1),$Y$946,HLOOKUP(INDIRECT(ADDRESS(2,COLUMN())),OFFSET($BN$2,0,0,ROW()-1,60),ROW()-1,FALSE))</f>
        <v>0.28056200799999997</v>
      </c>
      <c r="Z278">
        <f ca="1">IF(AND(ISNUMBER($Z$946),$B$677=1),$Z$946,HLOOKUP(INDIRECT(ADDRESS(2,COLUMN())),OFFSET($BN$2,0,0,ROW()-1,60),ROW()-1,FALSE))</f>
        <v>0.26084512100000001</v>
      </c>
      <c r="AA278">
        <f ca="1">IF(AND(ISNUMBER($AA$946),$B$677=1),$AA$946,HLOOKUP(INDIRECT(ADDRESS(2,COLUMN())),OFFSET($BN$2,0,0,ROW()-1,60),ROW()-1,FALSE))</f>
        <v>0.27722352</v>
      </c>
      <c r="AB278">
        <f ca="1">IF(AND(ISNUMBER($AB$946),$B$677=1),$AB$946,HLOOKUP(INDIRECT(ADDRESS(2,COLUMN())),OFFSET($BN$2,0,0,ROW()-1,60),ROW()-1,FALSE))</f>
        <v>0.27311939499999999</v>
      </c>
      <c r="AC278">
        <f ca="1">IF(AND(ISNUMBER($AC$946),$B$677=1),$AC$946,HLOOKUP(INDIRECT(ADDRESS(2,COLUMN())),OFFSET($BN$2,0,0,ROW()-1,60),ROW()-1,FALSE))</f>
        <v>0.27905155999999998</v>
      </c>
      <c r="AD278">
        <f ca="1">IF(AND(ISNUMBER($AD$946),$B$677=1),$AD$946,HLOOKUP(INDIRECT(ADDRESS(2,COLUMN())),OFFSET($BN$2,0,0,ROW()-1,60),ROW()-1,FALSE))</f>
        <v>0.32887720199999998</v>
      </c>
      <c r="AE278">
        <f ca="1">IF(AND(ISNUMBER($AE$946),$B$677=1),$AE$946,HLOOKUP(INDIRECT(ADDRESS(2,COLUMN())),OFFSET($BN$2,0,0,ROW()-1,60),ROW()-1,FALSE))</f>
        <v>0.41118230900000002</v>
      </c>
      <c r="AF278">
        <f ca="1">IF(AND(ISNUMBER($AF$946),$B$677=1),$AF$946,HLOOKUP(INDIRECT(ADDRESS(2,COLUMN())),OFFSET($BN$2,0,0,ROW()-1,60),ROW()-1,FALSE))</f>
        <v>0.28931226199999999</v>
      </c>
      <c r="AG278">
        <f ca="1">IF(AND(ISNUMBER($AG$946),$B$677=1),$AG$946,HLOOKUP(INDIRECT(ADDRESS(2,COLUMN())),OFFSET($BN$2,0,0,ROW()-1,60),ROW()-1,FALSE))</f>
        <v>0.296877697</v>
      </c>
      <c r="AH278">
        <f ca="1">IF(AND(ISNUMBER($AH$946),$B$677=1),$AH$946,HLOOKUP(INDIRECT(ADDRESS(2,COLUMN())),OFFSET($BN$2,0,0,ROW()-1,60),ROW()-1,FALSE))</f>
        <v>0.30081262399999997</v>
      </c>
      <c r="AI278">
        <f ca="1">IF(AND(ISNUMBER($AI$946),$B$677=1),$AI$946,HLOOKUP(INDIRECT(ADDRESS(2,COLUMN())),OFFSET($BN$2,0,0,ROW()-1,60),ROW()-1,FALSE))</f>
        <v>0.284070447</v>
      </c>
      <c r="AJ278">
        <f ca="1">IF(AND(ISNUMBER($AJ$946),$B$677=1),$AJ$946,HLOOKUP(INDIRECT(ADDRESS(2,COLUMN())),OFFSET($BN$2,0,0,ROW()-1,60),ROW()-1,FALSE))</f>
        <v>0.32320730199999997</v>
      </c>
      <c r="AK278">
        <f ca="1">IF(AND(ISNUMBER($AK$946),$B$677=1),$AK$946,HLOOKUP(INDIRECT(ADDRESS(2,COLUMN())),OFFSET($BN$2,0,0,ROW()-1,60),ROW()-1,FALSE))</f>
        <v>0.39923173899999997</v>
      </c>
      <c r="AL278">
        <f ca="1">IF(AND(ISNUMBER($AL$946),$B$677=1),$AL$946,HLOOKUP(INDIRECT(ADDRESS(2,COLUMN())),OFFSET($BN$2,0,0,ROW()-1,60),ROW()-1,FALSE))</f>
        <v>0.44682455100000001</v>
      </c>
      <c r="AM278">
        <f ca="1">IF(AND(ISNUMBER($AM$946),$B$677=1),$AM$946,HLOOKUP(INDIRECT(ADDRESS(2,COLUMN())),OFFSET($BN$2,0,0,ROW()-1,60),ROW()-1,FALSE))</f>
        <v>0.35552219000000002</v>
      </c>
      <c r="AN278">
        <f ca="1">IF(AND(ISNUMBER($AN$946),$B$677=1),$AN$946,HLOOKUP(INDIRECT(ADDRESS(2,COLUMN())),OFFSET($BN$2,0,0,ROW()-1,60),ROW()-1,FALSE))</f>
        <v>0.545162111</v>
      </c>
      <c r="AO278">
        <f ca="1">IF(AND(ISNUMBER($AO$946),$B$677=1),$AO$946,HLOOKUP(INDIRECT(ADDRESS(2,COLUMN())),OFFSET($BN$2,0,0,ROW()-1,60),ROW()-1,FALSE))</f>
        <v>0.47203101800000002</v>
      </c>
      <c r="AP278">
        <f ca="1">IF(AND(ISNUMBER($AP$946),$B$677=1),$AP$946,HLOOKUP(INDIRECT(ADDRESS(2,COLUMN())),OFFSET($BN$2,0,0,ROW()-1,60),ROW()-1,FALSE))</f>
        <v>0.77586156500000003</v>
      </c>
      <c r="AQ278">
        <f ca="1">IF(AND(ISNUMBER($AQ$946),$B$677=1),$AQ$946,HLOOKUP(INDIRECT(ADDRESS(2,COLUMN())),OFFSET($BN$2,0,0,ROW()-1,60),ROW()-1,FALSE))</f>
        <v>1.2360878639999999</v>
      </c>
      <c r="AR278">
        <f ca="1">IF(AND(ISNUMBER($AR$946),$B$677=1),$AR$946,HLOOKUP(INDIRECT(ADDRESS(2,COLUMN())),OFFSET($BN$2,0,0,ROW()-1,60),ROW()-1,FALSE))</f>
        <v>1.0609012819999999</v>
      </c>
      <c r="AS278">
        <f ca="1">IF(AND(ISNUMBER($AS$946),$B$677=1),$AS$946,HLOOKUP(INDIRECT(ADDRESS(2,COLUMN())),OFFSET($BN$2,0,0,ROW()-1,60),ROW()-1,FALSE))</f>
        <v>0.90295613100000005</v>
      </c>
      <c r="AT278">
        <f ca="1">IF(AND(ISNUMBER($AT$946),$B$677=1),$AT$946,HLOOKUP(INDIRECT(ADDRESS(2,COLUMN())),OFFSET($BN$2,0,0,ROW()-1,60),ROW()-1,FALSE))</f>
        <v>0.62540209400000002</v>
      </c>
      <c r="AU278">
        <f ca="1">IF(AND(ISNUMBER($AU$946),$B$677=1),$AU$946,HLOOKUP(INDIRECT(ADDRESS(2,COLUMN())),OFFSET($BN$2,0,0,ROW()-1,60),ROW()-1,FALSE))</f>
        <v>0.33517618700000001</v>
      </c>
      <c r="AV278">
        <f ca="1">IF(AND(ISNUMBER($AV$946),$B$677=1),$AV$946,HLOOKUP(INDIRECT(ADDRESS(2,COLUMN())),OFFSET($BN$2,0,0,ROW()-1,60),ROW()-1,FALSE))</f>
        <v>0.41112992199999998</v>
      </c>
      <c r="AW278">
        <f ca="1">IF(AND(ISNUMBER($AW$946),$B$677=1),$AW$946,HLOOKUP(INDIRECT(ADDRESS(2,COLUMN())),OFFSET($BN$2,0,0,ROW()-1,60),ROW()-1,FALSE))</f>
        <v>0.46656727100000001</v>
      </c>
      <c r="AX278">
        <f ca="1">IF(AND(ISNUMBER($AX$946),$B$677=1),$AX$946,HLOOKUP(INDIRECT(ADDRESS(2,COLUMN())),OFFSET($BN$2,0,0,ROW()-1,60),ROW()-1,FALSE))</f>
        <v>0.840803352</v>
      </c>
      <c r="AY278">
        <f ca="1">IF(AND(ISNUMBER($AY$946),$B$677=1),$AY$946,HLOOKUP(INDIRECT(ADDRESS(2,COLUMN())),OFFSET($BN$2,0,0,ROW()-1,60),ROW()-1,FALSE))</f>
        <v>1.66113043</v>
      </c>
      <c r="AZ278">
        <f ca="1">IF(AND(ISNUMBER($AZ$946),$B$677=1),$AZ$946,HLOOKUP(INDIRECT(ADDRESS(2,COLUMN())),OFFSET($BN$2,0,0,ROW()-1,60),ROW()-1,FALSE))</f>
        <v>2.021770048</v>
      </c>
      <c r="BA278">
        <f ca="1">IF(AND(ISNUMBER($BA$946),$B$677=1),$BA$946,HLOOKUP(INDIRECT(ADDRESS(2,COLUMN())),OFFSET($BN$2,0,0,ROW()-1,60),ROW()-1,FALSE))</f>
        <v>1.5646535530000001</v>
      </c>
      <c r="BB278">
        <f ca="1">IF(AND(ISNUMBER($BB$946),$B$677=1),$BB$946,HLOOKUP(INDIRECT(ADDRESS(2,COLUMN())),OFFSET($BN$2,0,0,ROW()-1,60),ROW()-1,FALSE))</f>
        <v>1.6478679430000001</v>
      </c>
      <c r="BC278">
        <f ca="1">IF(AND(ISNUMBER($BC$946),$B$677=1),$BC$946,HLOOKUP(INDIRECT(ADDRESS(2,COLUMN())),OFFSET($BN$2,0,0,ROW()-1,60),ROW()-1,FALSE))</f>
        <v>2.0537729480000002</v>
      </c>
      <c r="BD278">
        <f ca="1">IF(AND(ISNUMBER($BD$946),$B$677=1),$BD$946,HLOOKUP(INDIRECT(ADDRESS(2,COLUMN())),OFFSET($BN$2,0,0,ROW()-1,60),ROW()-1,FALSE))</f>
        <v>3.4600238989999998</v>
      </c>
      <c r="BE278">
        <f ca="1">IF(AND(ISNUMBER($BE$946),$B$677=1),$BE$946,HLOOKUP(INDIRECT(ADDRESS(2,COLUMN())),OFFSET($BN$2,0,0,ROW()-1,60),ROW()-1,FALSE))</f>
        <v>3.367556725</v>
      </c>
      <c r="BF278">
        <f ca="1">IF(AND(ISNUMBER($BF$946),$B$677=1),$BF$946,HLOOKUP(INDIRECT(ADDRESS(2,COLUMN())),OFFSET($BN$2,0,0,ROW()-1,60),ROW()-1,FALSE))</f>
        <v>1.9203319860000001</v>
      </c>
      <c r="BG278">
        <f ca="1">IF(AND(ISNUMBER($BG$946),$B$677=1),$BG$946,HLOOKUP(INDIRECT(ADDRESS(2,COLUMN())),OFFSET($BN$2,0,0,ROW()-1,60),ROW()-1,FALSE))</f>
        <v>1.7021729640000001</v>
      </c>
      <c r="BH278">
        <f ca="1">IF(AND(ISNUMBER($BH$946),$B$677=1),$BH$946,HLOOKUP(INDIRECT(ADDRESS(2,COLUMN())),OFFSET($BN$2,0,0,ROW()-1,60),ROW()-1,FALSE))</f>
        <v>2.7360340029999999</v>
      </c>
      <c r="BI278">
        <f ca="1">IF(AND(ISNUMBER($BI$946),$B$677=1),$BI$946,HLOOKUP(INDIRECT(ADDRESS(2,COLUMN())),OFFSET($BN$2,0,0,ROW()-1,60),ROW()-1,FALSE))</f>
        <v>2.280028336</v>
      </c>
      <c r="BJ278">
        <f ca="1">IF(AND(ISNUMBER($BJ$946),$B$677=1),$BJ$946,HLOOKUP(INDIRECT(ADDRESS(2,COLUMN())),OFFSET($BN$2,0,0,ROW()-1,60),ROW()-1,FALSE))</f>
        <v>2.0440564459999999</v>
      </c>
      <c r="BK278">
        <f ca="1">IF(AND(ISNUMBER($BK$946),$B$677=1),$BK$946,HLOOKUP(INDIRECT(ADDRESS(2,COLUMN())),OFFSET($BN$2,0,0,ROW()-1,60),ROW()-1,FALSE))</f>
        <v>2.0839633609999999</v>
      </c>
      <c r="BL278">
        <f ca="1">IF(AND(ISNUMBER($BL$946),$B$677=1),$BL$946,HLOOKUP(INDIRECT(ADDRESS(2,COLUMN())),OFFSET($BN$2,0,0,ROW()-1,60),ROW()-1,FALSE))</f>
        <v>3.5418165479999999</v>
      </c>
      <c r="BM278">
        <f ca="1">IF(AND(ISNUMBER($BM$946),$B$677=1),$BM$946,HLOOKUP(INDIRECT(ADDRESS(2,COLUMN())),OFFSET($BN$2,0,0,ROW()-1,60),ROW()-1,FALSE))</f>
        <v>3.7183291829999998</v>
      </c>
      <c r="BN278">
        <f>0.357295555</f>
        <v>0.35729555499999999</v>
      </c>
      <c r="BO278">
        <f>0.335412617</f>
        <v>0.33541261700000002</v>
      </c>
      <c r="BP278">
        <f>0.418542629</f>
        <v>0.418542629</v>
      </c>
      <c r="BQ278">
        <f>0.439276386</f>
        <v>0.43927638600000002</v>
      </c>
      <c r="BR278">
        <f>0.439022587</f>
        <v>0.43902258700000002</v>
      </c>
      <c r="BS278">
        <f>0.431967866</f>
        <v>0.43196786599999998</v>
      </c>
      <c r="BT278">
        <f>0.419140965</f>
        <v>0.41914096499999998</v>
      </c>
      <c r="BU278">
        <f>0.441427719</f>
        <v>0.441427719</v>
      </c>
      <c r="BV278">
        <f>0.371811676</f>
        <v>0.37181167599999998</v>
      </c>
      <c r="BW278">
        <f>0.345242137</f>
        <v>0.345242137</v>
      </c>
      <c r="BX278">
        <f>0.334713961</f>
        <v>0.334713961</v>
      </c>
      <c r="BY278">
        <f>0.323565544</f>
        <v>0.32356554399999998</v>
      </c>
      <c r="BZ278">
        <f>0.325425585</f>
        <v>0.32542558500000002</v>
      </c>
      <c r="CA278">
        <f>0.351902816</f>
        <v>0.35190281600000001</v>
      </c>
      <c r="CB278">
        <f>0.294000925</f>
        <v>0.29400092500000002</v>
      </c>
      <c r="CC278">
        <f>0.395908818</f>
        <v>0.395908818</v>
      </c>
      <c r="CD278">
        <f>0.436905722</f>
        <v>0.436905722</v>
      </c>
      <c r="CE278">
        <f>0.377997926</f>
        <v>0.37799792599999998</v>
      </c>
      <c r="CF278">
        <f>0.325838251</f>
        <v>0.32583825100000002</v>
      </c>
      <c r="CG278">
        <f>0.280562008</f>
        <v>0.28056200799999997</v>
      </c>
      <c r="CH278">
        <f>0.260845121</f>
        <v>0.26084512100000001</v>
      </c>
      <c r="CI278">
        <f>0.27722352</f>
        <v>0.27722352</v>
      </c>
      <c r="CJ278">
        <f>0.273119395</f>
        <v>0.27311939499999999</v>
      </c>
      <c r="CK278">
        <f>0.27905156</f>
        <v>0.27905155999999998</v>
      </c>
      <c r="CL278">
        <f>0.328877202</f>
        <v>0.32887720199999998</v>
      </c>
      <c r="CM278">
        <f>0.411182309</f>
        <v>0.41118230900000002</v>
      </c>
      <c r="CN278">
        <f>0.289312262</f>
        <v>0.28931226199999999</v>
      </c>
      <c r="CO278">
        <f>0.296877697</f>
        <v>0.296877697</v>
      </c>
      <c r="CP278">
        <f>0.300812624</f>
        <v>0.30081262399999997</v>
      </c>
      <c r="CQ278">
        <f>0.284070447</f>
        <v>0.284070447</v>
      </c>
      <c r="CR278">
        <f>0.323207302</f>
        <v>0.32320730199999997</v>
      </c>
      <c r="CS278">
        <f>0.399231739</f>
        <v>0.39923173899999997</v>
      </c>
      <c r="CT278">
        <f>0.446824551</f>
        <v>0.44682455100000001</v>
      </c>
      <c r="CU278">
        <f>0.35552219</f>
        <v>0.35552219000000002</v>
      </c>
      <c r="CV278">
        <f>0.545162111</f>
        <v>0.545162111</v>
      </c>
      <c r="CW278">
        <f>0.472031018</f>
        <v>0.47203101800000002</v>
      </c>
      <c r="CX278">
        <f>0.775861565</f>
        <v>0.77586156500000003</v>
      </c>
      <c r="CY278">
        <f>1.236087864</f>
        <v>1.2360878639999999</v>
      </c>
      <c r="CZ278">
        <f>1.060901282</f>
        <v>1.0609012819999999</v>
      </c>
      <c r="DA278">
        <f>0.902956131</f>
        <v>0.90295613100000005</v>
      </c>
      <c r="DB278">
        <f>0.625402094</f>
        <v>0.62540209400000002</v>
      </c>
      <c r="DC278">
        <f>0.335176187</f>
        <v>0.33517618700000001</v>
      </c>
      <c r="DD278">
        <f>0.411129922</f>
        <v>0.41112992199999998</v>
      </c>
      <c r="DE278">
        <f>0.466567271</f>
        <v>0.46656727100000001</v>
      </c>
      <c r="DF278">
        <f>0.840803352</f>
        <v>0.840803352</v>
      </c>
      <c r="DG278">
        <f>1.66113043</f>
        <v>1.66113043</v>
      </c>
      <c r="DH278">
        <f>2.021770048</f>
        <v>2.021770048</v>
      </c>
      <c r="DI278">
        <f>1.564653553</f>
        <v>1.5646535530000001</v>
      </c>
      <c r="DJ278">
        <f>1.647867943</f>
        <v>1.6478679430000001</v>
      </c>
      <c r="DK278">
        <f>2.053772948</f>
        <v>2.0537729480000002</v>
      </c>
      <c r="DL278">
        <f>3.460023899</f>
        <v>3.4600238989999998</v>
      </c>
      <c r="DM278">
        <f>3.367556725</f>
        <v>3.367556725</v>
      </c>
      <c r="DN278">
        <f>1.920331986</f>
        <v>1.9203319860000001</v>
      </c>
      <c r="DO278">
        <f>1.702172964</f>
        <v>1.7021729640000001</v>
      </c>
      <c r="DP278">
        <f>2.736034003</f>
        <v>2.7360340029999999</v>
      </c>
      <c r="DQ278">
        <f>2.280028336</f>
        <v>2.280028336</v>
      </c>
      <c r="DR278">
        <f>2.044056446</f>
        <v>2.0440564459999999</v>
      </c>
      <c r="DS278">
        <f>2.083963361</f>
        <v>2.0839633609999999</v>
      </c>
      <c r="DT278">
        <f>3.541816548</f>
        <v>3.5418165479999999</v>
      </c>
      <c r="DU278">
        <f>3.718329183</f>
        <v>3.7183291829999998</v>
      </c>
    </row>
    <row r="279" spans="1:125" x14ac:dyDescent="0.25">
      <c r="A279" t="str">
        <f>"    Sanyang Motor Co Ltd"</f>
        <v xml:space="preserve">    Sanyang Motor Co Ltd</v>
      </c>
      <c r="B279" t="str">
        <f>"2206 TT Equity"</f>
        <v>2206 TT Equity</v>
      </c>
      <c r="C279" t="str">
        <f t="shared" si="18"/>
        <v>RR904</v>
      </c>
      <c r="D279" t="str">
        <f t="shared" si="19"/>
        <v>PX_TO_SALES_RATIO</v>
      </c>
      <c r="E279" t="str">
        <f t="shared" si="20"/>
        <v>Dynamic</v>
      </c>
      <c r="F279">
        <f ca="1">IF(AND(ISNUMBER($F$947),$B$677=1),$F$947,HLOOKUP(INDIRECT(ADDRESS(2,COLUMN())),OFFSET($BN$2,0,0,ROW()-1,60),ROW()-1,FALSE))</f>
        <v>0.52265584899999995</v>
      </c>
      <c r="G279">
        <f ca="1">IF(AND(ISNUMBER($G$947),$B$677=1),$G$947,HLOOKUP(INDIRECT(ADDRESS(2,COLUMN())),OFFSET($BN$2,0,0,ROW()-1,60),ROW()-1,FALSE))</f>
        <v>0.52135246800000001</v>
      </c>
      <c r="H279">
        <f ca="1">IF(AND(ISNUMBER($H$947),$B$677=1),$H$947,HLOOKUP(INDIRECT(ADDRESS(2,COLUMN())),OFFSET($BN$2,0,0,ROW()-1,60),ROW()-1,FALSE))</f>
        <v>0.53438627999999999</v>
      </c>
      <c r="I279">
        <f ca="1">IF(AND(ISNUMBER($I$947),$B$677=1),$I$947,HLOOKUP(INDIRECT(ADDRESS(2,COLUMN())),OFFSET($BN$2,0,0,ROW()-1,60),ROW()-1,FALSE))</f>
        <v>0.57211815600000004</v>
      </c>
      <c r="J279">
        <f ca="1">IF(AND(ISNUMBER($J$947),$B$677=1),$J$947,HLOOKUP(INDIRECT(ADDRESS(2,COLUMN())),OFFSET($BN$2,0,0,ROW()-1,60),ROW()-1,FALSE))</f>
        <v>0.56326853499999996</v>
      </c>
      <c r="K279">
        <f ca="1">IF(AND(ISNUMBER($K$947),$B$677=1),$K$947,HLOOKUP(INDIRECT(ADDRESS(2,COLUMN())),OFFSET($BN$2,0,0,ROW()-1,60),ROW()-1,FALSE))</f>
        <v>0.57634368700000005</v>
      </c>
      <c r="L279">
        <f ca="1">IF(AND(ISNUMBER($L$947),$B$677=1),$L$947,HLOOKUP(INDIRECT(ADDRESS(2,COLUMN())),OFFSET($BN$2,0,0,ROW()-1,60),ROW()-1,FALSE))</f>
        <v>0.518525707</v>
      </c>
      <c r="M279">
        <f ca="1">IF(AND(ISNUMBER($M$947),$B$677=1),$M$947,HLOOKUP(INDIRECT(ADDRESS(2,COLUMN())),OFFSET($BN$2,0,0,ROW()-1,60),ROW()-1,FALSE))</f>
        <v>0.53440001400000003</v>
      </c>
      <c r="N279">
        <f ca="1">IF(AND(ISNUMBER($N$947),$B$677=1),$N$947,HLOOKUP(INDIRECT(ADDRESS(2,COLUMN())),OFFSET($BN$2,0,0,ROW()-1,60),ROW()-1,FALSE))</f>
        <v>0.522481266</v>
      </c>
      <c r="O279">
        <f ca="1">IF(AND(ISNUMBER($O$947),$B$677=1),$O$947,HLOOKUP(INDIRECT(ADDRESS(2,COLUMN())),OFFSET($BN$2,0,0,ROW()-1,60),ROW()-1,FALSE))</f>
        <v>0.510957616</v>
      </c>
      <c r="P279">
        <f ca="1">IF(AND(ISNUMBER($P$947),$B$677=1),$P$947,HLOOKUP(INDIRECT(ADDRESS(2,COLUMN())),OFFSET($BN$2,0,0,ROW()-1,60),ROW()-1,FALSE))</f>
        <v>0.59670273399999996</v>
      </c>
      <c r="Q279">
        <f ca="1">IF(AND(ISNUMBER($Q$947),$B$677=1),$Q$947,HLOOKUP(INDIRECT(ADDRESS(2,COLUMN())),OFFSET($BN$2,0,0,ROW()-1,60),ROW()-1,FALSE))</f>
        <v>0.57962433700000004</v>
      </c>
      <c r="R279">
        <f ca="1">IF(AND(ISNUMBER($R$947),$B$677=1),$R$947,HLOOKUP(INDIRECT(ADDRESS(2,COLUMN())),OFFSET($BN$2,0,0,ROW()-1,60),ROW()-1,FALSE))</f>
        <v>0.60226424999999995</v>
      </c>
      <c r="S279">
        <f ca="1">IF(AND(ISNUMBER($S$947),$B$677=1),$S$947,HLOOKUP(INDIRECT(ADDRESS(2,COLUMN())),OFFSET($BN$2,0,0,ROW()-1,60),ROW()-1,FALSE))</f>
        <v>0.590548976</v>
      </c>
      <c r="T279">
        <f ca="1">IF(AND(ISNUMBER($T$947),$B$677=1),$T$947,HLOOKUP(INDIRECT(ADDRESS(2,COLUMN())),OFFSET($BN$2,0,0,ROW()-1,60),ROW()-1,FALSE))</f>
        <v>0.59143232000000001</v>
      </c>
      <c r="U279">
        <f ca="1">IF(AND(ISNUMBER($U$947),$B$677=1),$U$947,HLOOKUP(INDIRECT(ADDRESS(2,COLUMN())),OFFSET($BN$2,0,0,ROW()-1,60),ROW()-1,FALSE))</f>
        <v>0.62224989399999997</v>
      </c>
      <c r="V279">
        <f ca="1">IF(AND(ISNUMBER($V$947),$B$677=1),$V$947,HLOOKUP(INDIRECT(ADDRESS(2,COLUMN())),OFFSET($BN$2,0,0,ROW()-1,60),ROW()-1,FALSE))</f>
        <v>0.62042635899999998</v>
      </c>
      <c r="W279">
        <f ca="1">IF(AND(ISNUMBER($W$947),$B$677=1),$W$947,HLOOKUP(INDIRECT(ADDRESS(2,COLUMN())),OFFSET($BN$2,0,0,ROW()-1,60),ROW()-1,FALSE))</f>
        <v>0.68220749599999997</v>
      </c>
      <c r="X279">
        <f ca="1">IF(AND(ISNUMBER($X$947),$B$677=1),$X$947,HLOOKUP(INDIRECT(ADDRESS(2,COLUMN())),OFFSET($BN$2,0,0,ROW()-1,60),ROW()-1,FALSE))</f>
        <v>0.67057819500000004</v>
      </c>
      <c r="Y279">
        <f ca="1">IF(AND(ISNUMBER($Y$947),$B$677=1),$Y$947,HLOOKUP(INDIRECT(ADDRESS(2,COLUMN())),OFFSET($BN$2,0,0,ROW()-1,60),ROW()-1,FALSE))</f>
        <v>0.771667349</v>
      </c>
      <c r="Z279">
        <f ca="1">IF(AND(ISNUMBER($Z$947),$B$677=1),$Z$947,HLOOKUP(INDIRECT(ADDRESS(2,COLUMN())),OFFSET($BN$2,0,0,ROW()-1,60),ROW()-1,FALSE))</f>
        <v>1.3187453819999999</v>
      </c>
      <c r="AA279">
        <f ca="1">IF(AND(ISNUMBER($AA$947),$B$677=1),$AA$947,HLOOKUP(INDIRECT(ADDRESS(2,COLUMN())),OFFSET($BN$2,0,0,ROW()-1,60),ROW()-1,FALSE))</f>
        <v>1.26911624</v>
      </c>
      <c r="AB279">
        <f ca="1">IF(AND(ISNUMBER($AB$947),$B$677=1),$AB$947,HLOOKUP(INDIRECT(ADDRESS(2,COLUMN())),OFFSET($BN$2,0,0,ROW()-1,60),ROW()-1,FALSE))</f>
        <v>1.1216147999999999</v>
      </c>
      <c r="AC279">
        <f ca="1">IF(AND(ISNUMBER($AC$947),$B$677=1),$AC$947,HLOOKUP(INDIRECT(ADDRESS(2,COLUMN())),OFFSET($BN$2,0,0,ROW()-1,60),ROW()-1,FALSE))</f>
        <v>0.70791710699999999</v>
      </c>
      <c r="AD279">
        <f ca="1">IF(AND(ISNUMBER($AD$947),$B$677=1),$AD$947,HLOOKUP(INDIRECT(ADDRESS(2,COLUMN())),OFFSET($BN$2,0,0,ROW()-1,60),ROW()-1,FALSE))</f>
        <v>0.63262768300000005</v>
      </c>
      <c r="AE279">
        <f ca="1">IF(AND(ISNUMBER($AE$947),$B$677=1),$AE$947,HLOOKUP(INDIRECT(ADDRESS(2,COLUMN())),OFFSET($BN$2,0,0,ROW()-1,60),ROW()-1,FALSE))</f>
        <v>0.45106574500000002</v>
      </c>
      <c r="AF279">
        <f ca="1">IF(AND(ISNUMBER($AF$947),$B$677=1),$AF$947,HLOOKUP(INDIRECT(ADDRESS(2,COLUMN())),OFFSET($BN$2,0,0,ROW()-1,60),ROW()-1,FALSE))</f>
        <v>0.50848464999999998</v>
      </c>
      <c r="AG279">
        <f ca="1">IF(AND(ISNUMBER($AG$947),$B$677=1),$AG$947,HLOOKUP(INDIRECT(ADDRESS(2,COLUMN())),OFFSET($BN$2,0,0,ROW()-1,60),ROW()-1,FALSE))</f>
        <v>0.50349330699999995</v>
      </c>
      <c r="AH279">
        <f ca="1">IF(AND(ISNUMBER($AH$947),$B$677=1),$AH$947,HLOOKUP(INDIRECT(ADDRESS(2,COLUMN())),OFFSET($BN$2,0,0,ROW()-1,60),ROW()-1,FALSE))</f>
        <v>0.50261823100000003</v>
      </c>
      <c r="AI279">
        <f ca="1">IF(AND(ISNUMBER($AI$947),$B$677=1),$AI$947,HLOOKUP(INDIRECT(ADDRESS(2,COLUMN())),OFFSET($BN$2,0,0,ROW()-1,60),ROW()-1,FALSE))</f>
        <v>0.40069707900000001</v>
      </c>
      <c r="AJ279">
        <f ca="1">IF(AND(ISNUMBER($AJ$947),$B$677=1),$AJ$947,HLOOKUP(INDIRECT(ADDRESS(2,COLUMN())),OFFSET($BN$2,0,0,ROW()-1,60),ROW()-1,FALSE))</f>
        <v>0.41354772899999998</v>
      </c>
      <c r="AK279">
        <f ca="1">IF(AND(ISNUMBER($AK$947),$B$677=1),$AK$947,HLOOKUP(INDIRECT(ADDRESS(2,COLUMN())),OFFSET($BN$2,0,0,ROW()-1,60),ROW()-1,FALSE))</f>
        <v>0.39683813699999998</v>
      </c>
      <c r="AL279">
        <f ca="1">IF(AND(ISNUMBER($AL$947),$B$677=1),$AL$947,HLOOKUP(INDIRECT(ADDRESS(2,COLUMN())),OFFSET($BN$2,0,0,ROW()-1,60),ROW()-1,FALSE))</f>
        <v>0.42020315800000002</v>
      </c>
      <c r="AM279">
        <f ca="1">IF(AND(ISNUMBER($AM$947),$B$677=1),$AM$947,HLOOKUP(INDIRECT(ADDRESS(2,COLUMN())),OFFSET($BN$2,0,0,ROW()-1,60),ROW()-1,FALSE))</f>
        <v>0.47853755199999998</v>
      </c>
      <c r="AN279">
        <f ca="1">IF(AND(ISNUMBER($AN$947),$B$677=1),$AN$947,HLOOKUP(INDIRECT(ADDRESS(2,COLUMN())),OFFSET($BN$2,0,0,ROW()-1,60),ROW()-1,FALSE))</f>
        <v>0.43552439999999998</v>
      </c>
      <c r="AO279">
        <f ca="1">IF(AND(ISNUMBER($AO$947),$B$677=1),$AO$947,HLOOKUP(INDIRECT(ADDRESS(2,COLUMN())),OFFSET($BN$2,0,0,ROW()-1,60),ROW()-1,FALSE))</f>
        <v>0.35053922599999998</v>
      </c>
      <c r="AP279">
        <f ca="1">IF(AND(ISNUMBER($AP$947),$B$677=1),$AP$947,HLOOKUP(INDIRECT(ADDRESS(2,COLUMN())),OFFSET($BN$2,0,0,ROW()-1,60),ROW()-1,FALSE))</f>
        <v>0.34117098299999998</v>
      </c>
      <c r="AQ279">
        <f ca="1">IF(AND(ISNUMBER($AQ$947),$B$677=1),$AQ$947,HLOOKUP(INDIRECT(ADDRESS(2,COLUMN())),OFFSET($BN$2,0,0,ROW()-1,60),ROW()-1,FALSE))</f>
        <v>0.37498650500000003</v>
      </c>
      <c r="AR279">
        <f ca="1">IF(AND(ISNUMBER($AR$947),$B$677=1),$AR$947,HLOOKUP(INDIRECT(ADDRESS(2,COLUMN())),OFFSET($BN$2,0,0,ROW()-1,60),ROW()-1,FALSE))</f>
        <v>0.44208328000000002</v>
      </c>
      <c r="AS279">
        <f ca="1">IF(AND(ISNUMBER($AS$947),$B$677=1),$AS$947,HLOOKUP(INDIRECT(ADDRESS(2,COLUMN())),OFFSET($BN$2,0,0,ROW()-1,60),ROW()-1,FALSE))</f>
        <v>0.40878594499999998</v>
      </c>
      <c r="AT279">
        <f ca="1">IF(AND(ISNUMBER($AT$947),$B$677=1),$AT$947,HLOOKUP(INDIRECT(ADDRESS(2,COLUMN())),OFFSET($BN$2,0,0,ROW()-1,60),ROW()-1,FALSE))</f>
        <v>0.205490113</v>
      </c>
      <c r="AU279">
        <f ca="1">IF(AND(ISNUMBER($AU$947),$B$677=1),$AU$947,HLOOKUP(INDIRECT(ADDRESS(2,COLUMN())),OFFSET($BN$2,0,0,ROW()-1,60),ROW()-1,FALSE))</f>
        <v>0.15232911099999999</v>
      </c>
      <c r="AV279" t="str">
        <f ca="1">IF(AND(ISNUMBER($AV$947),$B$677=1),$AV$947,HLOOKUP(INDIRECT(ADDRESS(2,COLUMN())),OFFSET($BN$2,0,0,ROW()-1,60),ROW()-1,FALSE))</f>
        <v/>
      </c>
      <c r="AW279" t="str">
        <f ca="1">IF(AND(ISNUMBER($AW$947),$B$677=1),$AW$947,HLOOKUP(INDIRECT(ADDRESS(2,COLUMN())),OFFSET($BN$2,0,0,ROW()-1,60),ROW()-1,FALSE))</f>
        <v/>
      </c>
      <c r="AX279" t="str">
        <f ca="1">IF(AND(ISNUMBER($AX$947),$B$677=1),$AX$947,HLOOKUP(INDIRECT(ADDRESS(2,COLUMN())),OFFSET($BN$2,0,0,ROW()-1,60),ROW()-1,FALSE))</f>
        <v/>
      </c>
      <c r="AY279" t="str">
        <f ca="1">IF(AND(ISNUMBER($AY$947),$B$677=1),$AY$947,HLOOKUP(INDIRECT(ADDRESS(2,COLUMN())),OFFSET($BN$2,0,0,ROW()-1,60),ROW()-1,FALSE))</f>
        <v/>
      </c>
      <c r="AZ279" t="str">
        <f ca="1">IF(AND(ISNUMBER($AZ$947),$B$677=1),$AZ$947,HLOOKUP(INDIRECT(ADDRESS(2,COLUMN())),OFFSET($BN$2,0,0,ROW()-1,60),ROW()-1,FALSE))</f>
        <v/>
      </c>
      <c r="BA279" t="str">
        <f ca="1">IF(AND(ISNUMBER($BA$947),$B$677=1),$BA$947,HLOOKUP(INDIRECT(ADDRESS(2,COLUMN())),OFFSET($BN$2,0,0,ROW()-1,60),ROW()-1,FALSE))</f>
        <v/>
      </c>
      <c r="BB279" t="str">
        <f ca="1">IF(AND(ISNUMBER($BB$947),$B$677=1),$BB$947,HLOOKUP(INDIRECT(ADDRESS(2,COLUMN())),OFFSET($BN$2,0,0,ROW()-1,60),ROW()-1,FALSE))</f>
        <v/>
      </c>
      <c r="BC279" t="str">
        <f ca="1">IF(AND(ISNUMBER($BC$947),$B$677=1),$BC$947,HLOOKUP(INDIRECT(ADDRESS(2,COLUMN())),OFFSET($BN$2,0,0,ROW()-1,60),ROW()-1,FALSE))</f>
        <v/>
      </c>
      <c r="BD279" t="str">
        <f ca="1">IF(AND(ISNUMBER($BD$947),$B$677=1),$BD$947,HLOOKUP(INDIRECT(ADDRESS(2,COLUMN())),OFFSET($BN$2,0,0,ROW()-1,60),ROW()-1,FALSE))</f>
        <v/>
      </c>
      <c r="BE279" t="str">
        <f ca="1">IF(AND(ISNUMBER($BE$947),$B$677=1),$BE$947,HLOOKUP(INDIRECT(ADDRESS(2,COLUMN())),OFFSET($BN$2,0,0,ROW()-1,60),ROW()-1,FALSE))</f>
        <v/>
      </c>
      <c r="BF279" t="str">
        <f ca="1">IF(AND(ISNUMBER($BF$947),$B$677=1),$BF$947,HLOOKUP(INDIRECT(ADDRESS(2,COLUMN())),OFFSET($BN$2,0,0,ROW()-1,60),ROW()-1,FALSE))</f>
        <v/>
      </c>
      <c r="BG279" t="str">
        <f ca="1">IF(AND(ISNUMBER($BG$947),$B$677=1),$BG$947,HLOOKUP(INDIRECT(ADDRESS(2,COLUMN())),OFFSET($BN$2,0,0,ROW()-1,60),ROW()-1,FALSE))</f>
        <v/>
      </c>
      <c r="BH279" t="str">
        <f ca="1">IF(AND(ISNUMBER($BH$947),$B$677=1),$BH$947,HLOOKUP(INDIRECT(ADDRESS(2,COLUMN())),OFFSET($BN$2,0,0,ROW()-1,60),ROW()-1,FALSE))</f>
        <v/>
      </c>
      <c r="BI279" t="str">
        <f ca="1">IF(AND(ISNUMBER($BI$947),$B$677=1),$BI$947,HLOOKUP(INDIRECT(ADDRESS(2,COLUMN())),OFFSET($BN$2,0,0,ROW()-1,60),ROW()-1,FALSE))</f>
        <v/>
      </c>
      <c r="BJ279" t="str">
        <f ca="1">IF(AND(ISNUMBER($BJ$947),$B$677=1),$BJ$947,HLOOKUP(INDIRECT(ADDRESS(2,COLUMN())),OFFSET($BN$2,0,0,ROW()-1,60),ROW()-1,FALSE))</f>
        <v/>
      </c>
      <c r="BK279" t="str">
        <f ca="1">IF(AND(ISNUMBER($BK$947),$B$677=1),$BK$947,HLOOKUP(INDIRECT(ADDRESS(2,COLUMN())),OFFSET($BN$2,0,0,ROW()-1,60),ROW()-1,FALSE))</f>
        <v/>
      </c>
      <c r="BL279" t="str">
        <f ca="1">IF(AND(ISNUMBER($BL$947),$B$677=1),$BL$947,HLOOKUP(INDIRECT(ADDRESS(2,COLUMN())),OFFSET($BN$2,0,0,ROW()-1,60),ROW()-1,FALSE))</f>
        <v/>
      </c>
      <c r="BM279" t="str">
        <f ca="1">IF(AND(ISNUMBER($BM$947),$B$677=1),$BM$947,HLOOKUP(INDIRECT(ADDRESS(2,COLUMN())),OFFSET($BN$2,0,0,ROW()-1,60),ROW()-1,FALSE))</f>
        <v/>
      </c>
      <c r="BN279">
        <f>0.522655849</f>
        <v>0.52265584899999995</v>
      </c>
      <c r="BO279">
        <f>0.521352468</f>
        <v>0.52135246800000001</v>
      </c>
      <c r="BP279">
        <f>0.53438628</f>
        <v>0.53438627999999999</v>
      </c>
      <c r="BQ279">
        <f>0.572118156</f>
        <v>0.57211815600000004</v>
      </c>
      <c r="BR279">
        <f>0.563268535</f>
        <v>0.56326853499999996</v>
      </c>
      <c r="BS279">
        <f>0.576343687</f>
        <v>0.57634368700000005</v>
      </c>
      <c r="BT279">
        <f>0.518525707</f>
        <v>0.518525707</v>
      </c>
      <c r="BU279">
        <f>0.534400014</f>
        <v>0.53440001400000003</v>
      </c>
      <c r="BV279">
        <f>0.522481266</f>
        <v>0.522481266</v>
      </c>
      <c r="BW279">
        <f>0.510957616</f>
        <v>0.510957616</v>
      </c>
      <c r="BX279">
        <f>0.596702734</f>
        <v>0.59670273399999996</v>
      </c>
      <c r="BY279">
        <f>0.579624337</f>
        <v>0.57962433700000004</v>
      </c>
      <c r="BZ279">
        <f>0.60226425</f>
        <v>0.60226424999999995</v>
      </c>
      <c r="CA279">
        <f>0.590548976</f>
        <v>0.590548976</v>
      </c>
      <c r="CB279">
        <f>0.59143232</f>
        <v>0.59143232000000001</v>
      </c>
      <c r="CC279">
        <f>0.622249894</f>
        <v>0.62224989399999997</v>
      </c>
      <c r="CD279">
        <f>0.620426359</f>
        <v>0.62042635899999998</v>
      </c>
      <c r="CE279">
        <f>0.682207496</f>
        <v>0.68220749599999997</v>
      </c>
      <c r="CF279">
        <f>0.670578195</f>
        <v>0.67057819500000004</v>
      </c>
      <c r="CG279">
        <f>0.771667349</f>
        <v>0.771667349</v>
      </c>
      <c r="CH279">
        <f>1.318745382</f>
        <v>1.3187453819999999</v>
      </c>
      <c r="CI279">
        <f>1.26911624</f>
        <v>1.26911624</v>
      </c>
      <c r="CJ279">
        <f>1.1216148</f>
        <v>1.1216147999999999</v>
      </c>
      <c r="CK279">
        <f>0.707917107</f>
        <v>0.70791710699999999</v>
      </c>
      <c r="CL279">
        <f>0.632627683</f>
        <v>0.63262768300000005</v>
      </c>
      <c r="CM279">
        <f>0.451065745</f>
        <v>0.45106574500000002</v>
      </c>
      <c r="CN279">
        <f>0.50848465</f>
        <v>0.50848464999999998</v>
      </c>
      <c r="CO279">
        <f>0.503493307</f>
        <v>0.50349330699999995</v>
      </c>
      <c r="CP279">
        <f>0.502618231</f>
        <v>0.50261823100000003</v>
      </c>
      <c r="CQ279">
        <f>0.400697079</f>
        <v>0.40069707900000001</v>
      </c>
      <c r="CR279">
        <f>0.413547729</f>
        <v>0.41354772899999998</v>
      </c>
      <c r="CS279">
        <f>0.396838137</f>
        <v>0.39683813699999998</v>
      </c>
      <c r="CT279">
        <f>0.420203158</f>
        <v>0.42020315800000002</v>
      </c>
      <c r="CU279">
        <f>0.478537552</f>
        <v>0.47853755199999998</v>
      </c>
      <c r="CV279">
        <f>0.4355244</f>
        <v>0.43552439999999998</v>
      </c>
      <c r="CW279">
        <f>0.350539226</f>
        <v>0.35053922599999998</v>
      </c>
      <c r="CX279">
        <f>0.341170983</f>
        <v>0.34117098299999998</v>
      </c>
      <c r="CY279">
        <f>0.374986505</f>
        <v>0.37498650500000003</v>
      </c>
      <c r="CZ279">
        <f>0.44208328</f>
        <v>0.44208328000000002</v>
      </c>
      <c r="DA279">
        <f>0.408785945</f>
        <v>0.40878594499999998</v>
      </c>
      <c r="DB279">
        <f>0.205490113</f>
        <v>0.205490113</v>
      </c>
      <c r="DC279">
        <f>0.152329111</f>
        <v>0.15232911099999999</v>
      </c>
      <c r="DD279" t="str">
        <f>""</f>
        <v/>
      </c>
      <c r="DE279" t="str">
        <f>""</f>
        <v/>
      </c>
      <c r="DF279" t="str">
        <f>""</f>
        <v/>
      </c>
      <c r="DG279" t="str">
        <f>""</f>
        <v/>
      </c>
      <c r="DH279" t="str">
        <f>""</f>
        <v/>
      </c>
      <c r="DI279" t="str">
        <f>""</f>
        <v/>
      </c>
      <c r="DJ279" t="str">
        <f>""</f>
        <v/>
      </c>
      <c r="DK279" t="str">
        <f>""</f>
        <v/>
      </c>
      <c r="DL279" t="str">
        <f>""</f>
        <v/>
      </c>
      <c r="DM279" t="str">
        <f>""</f>
        <v/>
      </c>
      <c r="DN279" t="str">
        <f>""</f>
        <v/>
      </c>
      <c r="DO279" t="str">
        <f>""</f>
        <v/>
      </c>
      <c r="DP279" t="str">
        <f>""</f>
        <v/>
      </c>
      <c r="DQ279" t="str">
        <f>""</f>
        <v/>
      </c>
      <c r="DR279" t="str">
        <f>""</f>
        <v/>
      </c>
      <c r="DS279" t="str">
        <f>""</f>
        <v/>
      </c>
      <c r="DT279" t="str">
        <f>""</f>
        <v/>
      </c>
      <c r="DU279" t="str">
        <f>""</f>
        <v/>
      </c>
    </row>
    <row r="280" spans="1:125" x14ac:dyDescent="0.25">
      <c r="A280" t="str">
        <f>"    Sollers PJSC"</f>
        <v xml:space="preserve">    Sollers PJSC</v>
      </c>
      <c r="B280" t="str">
        <f>"SVAV RM Equity"</f>
        <v>SVAV RM Equity</v>
      </c>
      <c r="C280" t="str">
        <f t="shared" si="18"/>
        <v>RR904</v>
      </c>
      <c r="D280" t="str">
        <f t="shared" si="19"/>
        <v>PX_TO_SALES_RATIO</v>
      </c>
      <c r="E280" t="str">
        <f t="shared" si="20"/>
        <v>Dynamic</v>
      </c>
      <c r="F280" t="str">
        <f ca="1">IF(AND(ISNUMBER($F$948),$B$677=1),$F$948,HLOOKUP(INDIRECT(ADDRESS(2,COLUMN())),OFFSET($BN$2,0,0,ROW()-1,60),ROW()-1,FALSE))</f>
        <v/>
      </c>
      <c r="G280" t="str">
        <f ca="1">IF(AND(ISNUMBER($G$948),$B$677=1),$G$948,HLOOKUP(INDIRECT(ADDRESS(2,COLUMN())),OFFSET($BN$2,0,0,ROW()-1,60),ROW()-1,FALSE))</f>
        <v/>
      </c>
      <c r="H280" t="str">
        <f ca="1">IF(AND(ISNUMBER($H$948),$B$677=1),$H$948,HLOOKUP(INDIRECT(ADDRESS(2,COLUMN())),OFFSET($BN$2,0,0,ROW()-1,60),ROW()-1,FALSE))</f>
        <v/>
      </c>
      <c r="I280" t="str">
        <f ca="1">IF(AND(ISNUMBER($I$948),$B$677=1),$I$948,HLOOKUP(INDIRECT(ADDRESS(2,COLUMN())),OFFSET($BN$2,0,0,ROW()-1,60),ROW()-1,FALSE))</f>
        <v/>
      </c>
      <c r="J280" t="str">
        <f ca="1">IF(AND(ISNUMBER($J$948),$B$677=1),$J$948,HLOOKUP(INDIRECT(ADDRESS(2,COLUMN())),OFFSET($BN$2,0,0,ROW()-1,60),ROW()-1,FALSE))</f>
        <v/>
      </c>
      <c r="K280" t="str">
        <f ca="1">IF(AND(ISNUMBER($K$948),$B$677=1),$K$948,HLOOKUP(INDIRECT(ADDRESS(2,COLUMN())),OFFSET($BN$2,0,0,ROW()-1,60),ROW()-1,FALSE))</f>
        <v/>
      </c>
      <c r="L280" t="str">
        <f ca="1">IF(AND(ISNUMBER($L$948),$B$677=1),$L$948,HLOOKUP(INDIRECT(ADDRESS(2,COLUMN())),OFFSET($BN$2,0,0,ROW()-1,60),ROW()-1,FALSE))</f>
        <v/>
      </c>
      <c r="M280" t="str">
        <f ca="1">IF(AND(ISNUMBER($M$948),$B$677=1),$M$948,HLOOKUP(INDIRECT(ADDRESS(2,COLUMN())),OFFSET($BN$2,0,0,ROW()-1,60),ROW()-1,FALSE))</f>
        <v/>
      </c>
      <c r="N280" t="str">
        <f ca="1">IF(AND(ISNUMBER($N$948),$B$677=1),$N$948,HLOOKUP(INDIRECT(ADDRESS(2,COLUMN())),OFFSET($BN$2,0,0,ROW()-1,60),ROW()-1,FALSE))</f>
        <v/>
      </c>
      <c r="O280" t="str">
        <f ca="1">IF(AND(ISNUMBER($O$948),$B$677=1),$O$948,HLOOKUP(INDIRECT(ADDRESS(2,COLUMN())),OFFSET($BN$2,0,0,ROW()-1,60),ROW()-1,FALSE))</f>
        <v/>
      </c>
      <c r="P280" t="str">
        <f ca="1">IF(AND(ISNUMBER($P$948),$B$677=1),$P$948,HLOOKUP(INDIRECT(ADDRESS(2,COLUMN())),OFFSET($BN$2,0,0,ROW()-1,60),ROW()-1,FALSE))</f>
        <v/>
      </c>
      <c r="Q280" t="str">
        <f ca="1">IF(AND(ISNUMBER($Q$948),$B$677=1),$Q$948,HLOOKUP(INDIRECT(ADDRESS(2,COLUMN())),OFFSET($BN$2,0,0,ROW()-1,60),ROW()-1,FALSE))</f>
        <v/>
      </c>
      <c r="R280" t="str">
        <f ca="1">IF(AND(ISNUMBER($R$948),$B$677=1),$R$948,HLOOKUP(INDIRECT(ADDRESS(2,COLUMN())),OFFSET($BN$2,0,0,ROW()-1,60),ROW()-1,FALSE))</f>
        <v/>
      </c>
      <c r="S280" t="str">
        <f ca="1">IF(AND(ISNUMBER($S$948),$B$677=1),$S$948,HLOOKUP(INDIRECT(ADDRESS(2,COLUMN())),OFFSET($BN$2,0,0,ROW()-1,60),ROW()-1,FALSE))</f>
        <v/>
      </c>
      <c r="T280" t="str">
        <f ca="1">IF(AND(ISNUMBER($T$948),$B$677=1),$T$948,HLOOKUP(INDIRECT(ADDRESS(2,COLUMN())),OFFSET($BN$2,0,0,ROW()-1,60),ROW()-1,FALSE))</f>
        <v/>
      </c>
      <c r="U280" t="str">
        <f ca="1">IF(AND(ISNUMBER($U$948),$B$677=1),$U$948,HLOOKUP(INDIRECT(ADDRESS(2,COLUMN())),OFFSET($BN$2,0,0,ROW()-1,60),ROW()-1,FALSE))</f>
        <v/>
      </c>
      <c r="V280" t="str">
        <f ca="1">IF(AND(ISNUMBER($V$948),$B$677=1),$V$948,HLOOKUP(INDIRECT(ADDRESS(2,COLUMN())),OFFSET($BN$2,0,0,ROW()-1,60),ROW()-1,FALSE))</f>
        <v/>
      </c>
      <c r="W280" t="str">
        <f ca="1">IF(AND(ISNUMBER($W$948),$B$677=1),$W$948,HLOOKUP(INDIRECT(ADDRESS(2,COLUMN())),OFFSET($BN$2,0,0,ROW()-1,60),ROW()-1,FALSE))</f>
        <v/>
      </c>
      <c r="X280" t="str">
        <f ca="1">IF(AND(ISNUMBER($X$948),$B$677=1),$X$948,HLOOKUP(INDIRECT(ADDRESS(2,COLUMN())),OFFSET($BN$2,0,0,ROW()-1,60),ROW()-1,FALSE))</f>
        <v/>
      </c>
      <c r="Y280" t="str">
        <f ca="1">IF(AND(ISNUMBER($Y$948),$B$677=1),$Y$948,HLOOKUP(INDIRECT(ADDRESS(2,COLUMN())),OFFSET($BN$2,0,0,ROW()-1,60),ROW()-1,FALSE))</f>
        <v/>
      </c>
      <c r="Z280" t="str">
        <f ca="1">IF(AND(ISNUMBER($Z$948),$B$677=1),$Z$948,HLOOKUP(INDIRECT(ADDRESS(2,COLUMN())),OFFSET($BN$2,0,0,ROW()-1,60),ROW()-1,FALSE))</f>
        <v/>
      </c>
      <c r="AA280" t="str">
        <f ca="1">IF(AND(ISNUMBER($AA$948),$B$677=1),$AA$948,HLOOKUP(INDIRECT(ADDRESS(2,COLUMN())),OFFSET($BN$2,0,0,ROW()-1,60),ROW()-1,FALSE))</f>
        <v/>
      </c>
      <c r="AB280" t="str">
        <f ca="1">IF(AND(ISNUMBER($AB$948),$B$677=1),$AB$948,HLOOKUP(INDIRECT(ADDRESS(2,COLUMN())),OFFSET($BN$2,0,0,ROW()-1,60),ROW()-1,FALSE))</f>
        <v/>
      </c>
      <c r="AC280" t="str">
        <f ca="1">IF(AND(ISNUMBER($AC$948),$B$677=1),$AC$948,HLOOKUP(INDIRECT(ADDRESS(2,COLUMN())),OFFSET($BN$2,0,0,ROW()-1,60),ROW()-1,FALSE))</f>
        <v/>
      </c>
      <c r="AD280" t="str">
        <f ca="1">IF(AND(ISNUMBER($AD$948),$B$677=1),$AD$948,HLOOKUP(INDIRECT(ADDRESS(2,COLUMN())),OFFSET($BN$2,0,0,ROW()-1,60),ROW()-1,FALSE))</f>
        <v/>
      </c>
      <c r="AE280" t="str">
        <f ca="1">IF(AND(ISNUMBER($AE$948),$B$677=1),$AE$948,HLOOKUP(INDIRECT(ADDRESS(2,COLUMN())),OFFSET($BN$2,0,0,ROW()-1,60),ROW()-1,FALSE))</f>
        <v/>
      </c>
      <c r="AF280" t="str">
        <f ca="1">IF(AND(ISNUMBER($AF$948),$B$677=1),$AF$948,HLOOKUP(INDIRECT(ADDRESS(2,COLUMN())),OFFSET($BN$2,0,0,ROW()-1,60),ROW()-1,FALSE))</f>
        <v/>
      </c>
      <c r="AG280" t="str">
        <f ca="1">IF(AND(ISNUMBER($AG$948),$B$677=1),$AG$948,HLOOKUP(INDIRECT(ADDRESS(2,COLUMN())),OFFSET($BN$2,0,0,ROW()-1,60),ROW()-1,FALSE))</f>
        <v/>
      </c>
      <c r="AH280" t="str">
        <f ca="1">IF(AND(ISNUMBER($AH$948),$B$677=1),$AH$948,HLOOKUP(INDIRECT(ADDRESS(2,COLUMN())),OFFSET($BN$2,0,0,ROW()-1,60),ROW()-1,FALSE))</f>
        <v/>
      </c>
      <c r="AI280" t="str">
        <f ca="1">IF(AND(ISNUMBER($AI$948),$B$677=1),$AI$948,HLOOKUP(INDIRECT(ADDRESS(2,COLUMN())),OFFSET($BN$2,0,0,ROW()-1,60),ROW()-1,FALSE))</f>
        <v/>
      </c>
      <c r="AJ280" t="str">
        <f ca="1">IF(AND(ISNUMBER($AJ$948),$B$677=1),$AJ$948,HLOOKUP(INDIRECT(ADDRESS(2,COLUMN())),OFFSET($BN$2,0,0,ROW()-1,60),ROW()-1,FALSE))</f>
        <v/>
      </c>
      <c r="AK280" t="str">
        <f ca="1">IF(AND(ISNUMBER($AK$948),$B$677=1),$AK$948,HLOOKUP(INDIRECT(ADDRESS(2,COLUMN())),OFFSET($BN$2,0,0,ROW()-1,60),ROW()-1,FALSE))</f>
        <v/>
      </c>
      <c r="AL280" t="str">
        <f ca="1">IF(AND(ISNUMBER($AL$948),$B$677=1),$AL$948,HLOOKUP(INDIRECT(ADDRESS(2,COLUMN())),OFFSET($BN$2,0,0,ROW()-1,60),ROW()-1,FALSE))</f>
        <v/>
      </c>
      <c r="AM280" t="str">
        <f ca="1">IF(AND(ISNUMBER($AM$948),$B$677=1),$AM$948,HLOOKUP(INDIRECT(ADDRESS(2,COLUMN())),OFFSET($BN$2,0,0,ROW()-1,60),ROW()-1,FALSE))</f>
        <v/>
      </c>
      <c r="AN280" t="str">
        <f ca="1">IF(AND(ISNUMBER($AN$948),$B$677=1),$AN$948,HLOOKUP(INDIRECT(ADDRESS(2,COLUMN())),OFFSET($BN$2,0,0,ROW()-1,60),ROW()-1,FALSE))</f>
        <v/>
      </c>
      <c r="AO280" t="str">
        <f ca="1">IF(AND(ISNUMBER($AO$948),$B$677=1),$AO$948,HLOOKUP(INDIRECT(ADDRESS(2,COLUMN())),OFFSET($BN$2,0,0,ROW()-1,60),ROW()-1,FALSE))</f>
        <v/>
      </c>
      <c r="AP280" t="str">
        <f ca="1">IF(AND(ISNUMBER($AP$948),$B$677=1),$AP$948,HLOOKUP(INDIRECT(ADDRESS(2,COLUMN())),OFFSET($BN$2,0,0,ROW()-1,60),ROW()-1,FALSE))</f>
        <v/>
      </c>
      <c r="AQ280" t="str">
        <f ca="1">IF(AND(ISNUMBER($AQ$948),$B$677=1),$AQ$948,HLOOKUP(INDIRECT(ADDRESS(2,COLUMN())),OFFSET($BN$2,0,0,ROW()-1,60),ROW()-1,FALSE))</f>
        <v/>
      </c>
      <c r="AR280" t="str">
        <f ca="1">IF(AND(ISNUMBER($AR$948),$B$677=1),$AR$948,HLOOKUP(INDIRECT(ADDRESS(2,COLUMN())),OFFSET($BN$2,0,0,ROW()-1,60),ROW()-1,FALSE))</f>
        <v/>
      </c>
      <c r="AS280" t="str">
        <f ca="1">IF(AND(ISNUMBER($AS$948),$B$677=1),$AS$948,HLOOKUP(INDIRECT(ADDRESS(2,COLUMN())),OFFSET($BN$2,0,0,ROW()-1,60),ROW()-1,FALSE))</f>
        <v/>
      </c>
      <c r="AT280" t="str">
        <f ca="1">IF(AND(ISNUMBER($AT$948),$B$677=1),$AT$948,HLOOKUP(INDIRECT(ADDRESS(2,COLUMN())),OFFSET($BN$2,0,0,ROW()-1,60),ROW()-1,FALSE))</f>
        <v/>
      </c>
      <c r="AU280" t="str">
        <f ca="1">IF(AND(ISNUMBER($AU$948),$B$677=1),$AU$948,HLOOKUP(INDIRECT(ADDRESS(2,COLUMN())),OFFSET($BN$2,0,0,ROW()-1,60),ROW()-1,FALSE))</f>
        <v/>
      </c>
      <c r="AV280" t="str">
        <f ca="1">IF(AND(ISNUMBER($AV$948),$B$677=1),$AV$948,HLOOKUP(INDIRECT(ADDRESS(2,COLUMN())),OFFSET($BN$2,0,0,ROW()-1,60),ROW()-1,FALSE))</f>
        <v/>
      </c>
      <c r="AW280" t="str">
        <f ca="1">IF(AND(ISNUMBER($AW$948),$B$677=1),$AW$948,HLOOKUP(INDIRECT(ADDRESS(2,COLUMN())),OFFSET($BN$2,0,0,ROW()-1,60),ROW()-1,FALSE))</f>
        <v/>
      </c>
      <c r="AX280" t="str">
        <f ca="1">IF(AND(ISNUMBER($AX$948),$B$677=1),$AX$948,HLOOKUP(INDIRECT(ADDRESS(2,COLUMN())),OFFSET($BN$2,0,0,ROW()-1,60),ROW()-1,FALSE))</f>
        <v/>
      </c>
      <c r="AY280" t="str">
        <f ca="1">IF(AND(ISNUMBER($AY$948),$B$677=1),$AY$948,HLOOKUP(INDIRECT(ADDRESS(2,COLUMN())),OFFSET($BN$2,0,0,ROW()-1,60),ROW()-1,FALSE))</f>
        <v/>
      </c>
      <c r="AZ280" t="str">
        <f ca="1">IF(AND(ISNUMBER($AZ$948),$B$677=1),$AZ$948,HLOOKUP(INDIRECT(ADDRESS(2,COLUMN())),OFFSET($BN$2,0,0,ROW()-1,60),ROW()-1,FALSE))</f>
        <v/>
      </c>
      <c r="BA280" t="str">
        <f ca="1">IF(AND(ISNUMBER($BA$948),$B$677=1),$BA$948,HLOOKUP(INDIRECT(ADDRESS(2,COLUMN())),OFFSET($BN$2,0,0,ROW()-1,60),ROW()-1,FALSE))</f>
        <v/>
      </c>
      <c r="BB280" t="str">
        <f ca="1">IF(AND(ISNUMBER($BB$948),$B$677=1),$BB$948,HLOOKUP(INDIRECT(ADDRESS(2,COLUMN())),OFFSET($BN$2,0,0,ROW()-1,60),ROW()-1,FALSE))</f>
        <v/>
      </c>
      <c r="BC280" t="str">
        <f ca="1">IF(AND(ISNUMBER($BC$948),$B$677=1),$BC$948,HLOOKUP(INDIRECT(ADDRESS(2,COLUMN())),OFFSET($BN$2,0,0,ROW()-1,60),ROW()-1,FALSE))</f>
        <v/>
      </c>
      <c r="BD280" t="str">
        <f ca="1">IF(AND(ISNUMBER($BD$948),$B$677=1),$BD$948,HLOOKUP(INDIRECT(ADDRESS(2,COLUMN())),OFFSET($BN$2,0,0,ROW()-1,60),ROW()-1,FALSE))</f>
        <v/>
      </c>
      <c r="BE280" t="str">
        <f ca="1">IF(AND(ISNUMBER($BE$948),$B$677=1),$BE$948,HLOOKUP(INDIRECT(ADDRESS(2,COLUMN())),OFFSET($BN$2,0,0,ROW()-1,60),ROW()-1,FALSE))</f>
        <v/>
      </c>
      <c r="BF280" t="str">
        <f ca="1">IF(AND(ISNUMBER($BF$948),$B$677=1),$BF$948,HLOOKUP(INDIRECT(ADDRESS(2,COLUMN())),OFFSET($BN$2,0,0,ROW()-1,60),ROW()-1,FALSE))</f>
        <v/>
      </c>
      <c r="BG280" t="str">
        <f ca="1">IF(AND(ISNUMBER($BG$948),$B$677=1),$BG$948,HLOOKUP(INDIRECT(ADDRESS(2,COLUMN())),OFFSET($BN$2,0,0,ROW()-1,60),ROW()-1,FALSE))</f>
        <v/>
      </c>
      <c r="BH280" t="str">
        <f ca="1">IF(AND(ISNUMBER($BH$948),$B$677=1),$BH$948,HLOOKUP(INDIRECT(ADDRESS(2,COLUMN())),OFFSET($BN$2,0,0,ROW()-1,60),ROW()-1,FALSE))</f>
        <v/>
      </c>
      <c r="BI280" t="str">
        <f ca="1">IF(AND(ISNUMBER($BI$948),$B$677=1),$BI$948,HLOOKUP(INDIRECT(ADDRESS(2,COLUMN())),OFFSET($BN$2,0,0,ROW()-1,60),ROW()-1,FALSE))</f>
        <v/>
      </c>
      <c r="BJ280" t="str">
        <f ca="1">IF(AND(ISNUMBER($BJ$948),$B$677=1),$BJ$948,HLOOKUP(INDIRECT(ADDRESS(2,COLUMN())),OFFSET($BN$2,0,0,ROW()-1,60),ROW()-1,FALSE))</f>
        <v/>
      </c>
      <c r="BK280" t="str">
        <f ca="1">IF(AND(ISNUMBER($BK$948),$B$677=1),$BK$948,HLOOKUP(INDIRECT(ADDRESS(2,COLUMN())),OFFSET($BN$2,0,0,ROW()-1,60),ROW()-1,FALSE))</f>
        <v/>
      </c>
      <c r="BL280" t="str">
        <f ca="1">IF(AND(ISNUMBER($BL$948),$B$677=1),$BL$948,HLOOKUP(INDIRECT(ADDRESS(2,COLUMN())),OFFSET($BN$2,0,0,ROW()-1,60),ROW()-1,FALSE))</f>
        <v/>
      </c>
      <c r="BM280" t="str">
        <f ca="1">IF(AND(ISNUMBER($BM$948),$B$677=1),$BM$948,HLOOKUP(INDIRECT(ADDRESS(2,COLUMN())),OFFSET($BN$2,0,0,ROW()-1,60),ROW()-1,FALSE))</f>
        <v/>
      </c>
      <c r="BN280" t="str">
        <f>""</f>
        <v/>
      </c>
      <c r="BO280" t="str">
        <f>""</f>
        <v/>
      </c>
      <c r="BP280" t="str">
        <f>""</f>
        <v/>
      </c>
      <c r="BQ280" t="str">
        <f>""</f>
        <v/>
      </c>
      <c r="BR280" t="str">
        <f>""</f>
        <v/>
      </c>
      <c r="BS280" t="str">
        <f>""</f>
        <v/>
      </c>
      <c r="BT280" t="str">
        <f>""</f>
        <v/>
      </c>
      <c r="BU280" t="str">
        <f>""</f>
        <v/>
      </c>
      <c r="BV280" t="str">
        <f>""</f>
        <v/>
      </c>
      <c r="BW280" t="str">
        <f>""</f>
        <v/>
      </c>
      <c r="BX280" t="str">
        <f>""</f>
        <v/>
      </c>
      <c r="BY280" t="str">
        <f>""</f>
        <v/>
      </c>
      <c r="BZ280" t="str">
        <f>""</f>
        <v/>
      </c>
      <c r="CA280" t="str">
        <f>""</f>
        <v/>
      </c>
      <c r="CB280" t="str">
        <f>""</f>
        <v/>
      </c>
      <c r="CC280" t="str">
        <f>""</f>
        <v/>
      </c>
      <c r="CD280" t="str">
        <f>""</f>
        <v/>
      </c>
      <c r="CE280" t="str">
        <f>""</f>
        <v/>
      </c>
      <c r="CF280" t="str">
        <f>""</f>
        <v/>
      </c>
      <c r="CG280" t="str">
        <f>""</f>
        <v/>
      </c>
      <c r="CH280" t="str">
        <f>""</f>
        <v/>
      </c>
      <c r="CI280" t="str">
        <f>""</f>
        <v/>
      </c>
      <c r="CJ280" t="str">
        <f>""</f>
        <v/>
      </c>
      <c r="CK280" t="str">
        <f>""</f>
        <v/>
      </c>
      <c r="CL280" t="str">
        <f>""</f>
        <v/>
      </c>
      <c r="CM280" t="str">
        <f>""</f>
        <v/>
      </c>
      <c r="CN280" t="str">
        <f>""</f>
        <v/>
      </c>
      <c r="CO280" t="str">
        <f>""</f>
        <v/>
      </c>
      <c r="CP280" t="str">
        <f>""</f>
        <v/>
      </c>
      <c r="CQ280" t="str">
        <f>""</f>
        <v/>
      </c>
      <c r="CR280" t="str">
        <f>""</f>
        <v/>
      </c>
      <c r="CS280" t="str">
        <f>""</f>
        <v/>
      </c>
      <c r="CT280" t="str">
        <f>""</f>
        <v/>
      </c>
      <c r="CU280" t="str">
        <f>""</f>
        <v/>
      </c>
      <c r="CV280" t="str">
        <f>""</f>
        <v/>
      </c>
      <c r="CW280" t="str">
        <f>""</f>
        <v/>
      </c>
      <c r="CX280" t="str">
        <f>""</f>
        <v/>
      </c>
      <c r="CY280" t="str">
        <f>""</f>
        <v/>
      </c>
      <c r="CZ280" t="str">
        <f>""</f>
        <v/>
      </c>
      <c r="DA280" t="str">
        <f>""</f>
        <v/>
      </c>
      <c r="DB280" t="str">
        <f>""</f>
        <v/>
      </c>
      <c r="DC280" t="str">
        <f>""</f>
        <v/>
      </c>
      <c r="DD280" t="str">
        <f>""</f>
        <v/>
      </c>
      <c r="DE280" t="str">
        <f>""</f>
        <v/>
      </c>
      <c r="DF280" t="str">
        <f>""</f>
        <v/>
      </c>
      <c r="DG280" t="str">
        <f>""</f>
        <v/>
      </c>
      <c r="DH280" t="str">
        <f>""</f>
        <v/>
      </c>
      <c r="DI280" t="str">
        <f>""</f>
        <v/>
      </c>
      <c r="DJ280" t="str">
        <f>""</f>
        <v/>
      </c>
      <c r="DK280" t="str">
        <f>""</f>
        <v/>
      </c>
      <c r="DL280" t="str">
        <f>""</f>
        <v/>
      </c>
      <c r="DM280" t="str">
        <f>""</f>
        <v/>
      </c>
      <c r="DN280" t="str">
        <f>""</f>
        <v/>
      </c>
      <c r="DO280" t="str">
        <f>""</f>
        <v/>
      </c>
      <c r="DP280" t="str">
        <f>""</f>
        <v/>
      </c>
      <c r="DQ280" t="str">
        <f>""</f>
        <v/>
      </c>
      <c r="DR280" t="str">
        <f>""</f>
        <v/>
      </c>
      <c r="DS280" t="str">
        <f>""</f>
        <v/>
      </c>
      <c r="DT280" t="str">
        <f>""</f>
        <v/>
      </c>
      <c r="DU280" t="str">
        <f>""</f>
        <v/>
      </c>
    </row>
    <row r="281" spans="1:125" x14ac:dyDescent="0.25">
      <c r="A281" t="str">
        <f>"    Ssangyong Motor Co"</f>
        <v xml:space="preserve">    Ssangyong Motor Co</v>
      </c>
      <c r="B281" t="str">
        <f>"003620 KS Equity"</f>
        <v>003620 KS Equity</v>
      </c>
      <c r="C281" t="str">
        <f t="shared" si="18"/>
        <v>RR904</v>
      </c>
      <c r="D281" t="str">
        <f t="shared" si="19"/>
        <v>PX_TO_SALES_RATIO</v>
      </c>
      <c r="E281" t="str">
        <f t="shared" si="20"/>
        <v>Dynamic</v>
      </c>
      <c r="F281" t="str">
        <f ca="1">IF(AND(ISNUMBER($F$949),$B$677=1),$F$949,HLOOKUP(INDIRECT(ADDRESS(2,COLUMN())),OFFSET($BN$2,0,0,ROW()-1,60),ROW()-1,FALSE))</f>
        <v/>
      </c>
      <c r="G281">
        <f ca="1">IF(AND(ISNUMBER($G$949),$B$677=1),$G$949,HLOOKUP(INDIRECT(ADDRESS(2,COLUMN())),OFFSET($BN$2,0,0,ROW()-1,60),ROW()-1,FALSE))</f>
        <v>0.152920432</v>
      </c>
      <c r="H281">
        <f ca="1">IF(AND(ISNUMBER($H$949),$B$677=1),$H$949,HLOOKUP(INDIRECT(ADDRESS(2,COLUMN())),OFFSET($BN$2,0,0,ROW()-1,60),ROW()-1,FALSE))</f>
        <v>0.177178114</v>
      </c>
      <c r="I281">
        <f ca="1">IF(AND(ISNUMBER($I$949),$B$677=1),$I$949,HLOOKUP(INDIRECT(ADDRESS(2,COLUMN())),OFFSET($BN$2,0,0,ROW()-1,60),ROW()-1,FALSE))</f>
        <v>0.177413556</v>
      </c>
      <c r="J281">
        <f ca="1">IF(AND(ISNUMBER($J$949),$B$677=1),$J$949,HLOOKUP(INDIRECT(ADDRESS(2,COLUMN())),OFFSET($BN$2,0,0,ROW()-1,60),ROW()-1,FALSE))</f>
        <v>0.19487331699999999</v>
      </c>
      <c r="K281">
        <f ca="1">IF(AND(ISNUMBER($K$949),$B$677=1),$K$949,HLOOKUP(INDIRECT(ADDRESS(2,COLUMN())),OFFSET($BN$2,0,0,ROW()-1,60),ROW()-1,FALSE))</f>
        <v>0.201910961</v>
      </c>
      <c r="L281">
        <f ca="1">IF(AND(ISNUMBER($L$949),$B$677=1),$L$949,HLOOKUP(INDIRECT(ADDRESS(2,COLUMN())),OFFSET($BN$2,0,0,ROW()-1,60),ROW()-1,FALSE))</f>
        <v>0.198392707</v>
      </c>
      <c r="M281">
        <f ca="1">IF(AND(ISNUMBER($M$949),$B$677=1),$M$949,HLOOKUP(INDIRECT(ADDRESS(2,COLUMN())),OFFSET($BN$2,0,0,ROW()-1,60),ROW()-1,FALSE))</f>
        <v>0.26531269299999999</v>
      </c>
      <c r="N281">
        <f ca="1">IF(AND(ISNUMBER($N$949),$B$677=1),$N$949,HLOOKUP(INDIRECT(ADDRESS(2,COLUMN())),OFFSET($BN$2,0,0,ROW()-1,60),ROW()-1,FALSE))</f>
        <v>0.302723203</v>
      </c>
      <c r="O281">
        <f ca="1">IF(AND(ISNUMBER($O$949),$B$677=1),$O$949,HLOOKUP(INDIRECT(ADDRESS(2,COLUMN())),OFFSET($BN$2,0,0,ROW()-1,60),ROW()-1,FALSE))</f>
        <v>0.29833505700000001</v>
      </c>
      <c r="P281">
        <f ca="1">IF(AND(ISNUMBER($P$949),$B$677=1),$P$949,HLOOKUP(INDIRECT(ADDRESS(2,COLUMN())),OFFSET($BN$2,0,0,ROW()-1,60),ROW()-1,FALSE))</f>
        <v>0.30009539000000002</v>
      </c>
      <c r="Q281">
        <f ca="1">IF(AND(ISNUMBER($Q$949),$B$677=1),$Q$949,HLOOKUP(INDIRECT(ADDRESS(2,COLUMN())),OFFSET($BN$2,0,0,ROW()-1,60),ROW()-1,FALSE))</f>
        <v>0.26891959999999998</v>
      </c>
      <c r="R281">
        <f ca="1">IF(AND(ISNUMBER($R$949),$B$677=1),$R$949,HLOOKUP(INDIRECT(ADDRESS(2,COLUMN())),OFFSET($BN$2,0,0,ROW()-1,60),ROW()-1,FALSE))</f>
        <v>0.329193919</v>
      </c>
      <c r="S281">
        <f ca="1">IF(AND(ISNUMBER($S$949),$B$677=1),$S$949,HLOOKUP(INDIRECT(ADDRESS(2,COLUMN())),OFFSET($BN$2,0,0,ROW()-1,60),ROW()-1,FALSE))</f>
        <v>0.31361861600000002</v>
      </c>
      <c r="T281">
        <f ca="1">IF(AND(ISNUMBER($T$949),$B$677=1),$T$949,HLOOKUP(INDIRECT(ADDRESS(2,COLUMN())),OFFSET($BN$2,0,0,ROW()-1,60),ROW()-1,FALSE))</f>
        <v>0.36938741400000003</v>
      </c>
      <c r="U281">
        <f ca="1">IF(AND(ISNUMBER($U$949),$B$677=1),$U$949,HLOOKUP(INDIRECT(ADDRESS(2,COLUMN())),OFFSET($BN$2,0,0,ROW()-1,60),ROW()-1,FALSE))</f>
        <v>0.37363084499999999</v>
      </c>
      <c r="V281">
        <f ca="1">IF(AND(ISNUMBER($V$949),$B$677=1),$V$949,HLOOKUP(INDIRECT(ADDRESS(2,COLUMN())),OFFSET($BN$2,0,0,ROW()-1,60),ROW()-1,FALSE))</f>
        <v>0.38584853600000002</v>
      </c>
      <c r="W281">
        <f ca="1">IF(AND(ISNUMBER($W$949),$B$677=1),$W$949,HLOOKUP(INDIRECT(ADDRESS(2,COLUMN())),OFFSET($BN$2,0,0,ROW()-1,60),ROW()-1,FALSE))</f>
        <v>0.381917338</v>
      </c>
      <c r="X281">
        <f ca="1">IF(AND(ISNUMBER($X$949),$B$677=1),$X$949,HLOOKUP(INDIRECT(ADDRESS(2,COLUMN())),OFFSET($BN$2,0,0,ROW()-1,60),ROW()-1,FALSE))</f>
        <v>0.259596563</v>
      </c>
      <c r="Y281">
        <f ca="1">IF(AND(ISNUMBER($Y$949),$B$677=1),$Y$949,HLOOKUP(INDIRECT(ADDRESS(2,COLUMN())),OFFSET($BN$2,0,0,ROW()-1,60),ROW()-1,FALSE))</f>
        <v>0.33792067799999997</v>
      </c>
      <c r="Z281">
        <f ca="1">IF(AND(ISNUMBER($Z$949),$B$677=1),$Z$949,HLOOKUP(INDIRECT(ADDRESS(2,COLUMN())),OFFSET($BN$2,0,0,ROW()-1,60),ROW()-1,FALSE))</f>
        <v>0.32842930300000001</v>
      </c>
      <c r="AA281">
        <f ca="1">IF(AND(ISNUMBER($AA$949),$B$677=1),$AA$949,HLOOKUP(INDIRECT(ADDRESS(2,COLUMN())),OFFSET($BN$2,0,0,ROW()-1,60),ROW()-1,FALSE))</f>
        <v>0.28525539999999999</v>
      </c>
      <c r="AB281">
        <f ca="1">IF(AND(ISNUMBER($AB$949),$B$677=1),$AB$949,HLOOKUP(INDIRECT(ADDRESS(2,COLUMN())),OFFSET($BN$2,0,0,ROW()-1,60),ROW()-1,FALSE))</f>
        <v>0.32953460000000001</v>
      </c>
      <c r="AC281">
        <f ca="1">IF(AND(ISNUMBER($AC$949),$B$677=1),$AC$949,HLOOKUP(INDIRECT(ADDRESS(2,COLUMN())),OFFSET($BN$2,0,0,ROW()-1,60),ROW()-1,FALSE))</f>
        <v>0.35009227500000001</v>
      </c>
      <c r="AD281">
        <f ca="1">IF(AND(ISNUMBER($AD$949),$B$677=1),$AD$949,HLOOKUP(INDIRECT(ADDRESS(2,COLUMN())),OFFSET($BN$2,0,0,ROW()-1,60),ROW()-1,FALSE))</f>
        <v>0.25104504599999999</v>
      </c>
      <c r="AE281">
        <f ca="1">IF(AND(ISNUMBER($AE$949),$B$677=1),$AE$949,HLOOKUP(INDIRECT(ADDRESS(2,COLUMN())),OFFSET($BN$2,0,0,ROW()-1,60),ROW()-1,FALSE))</f>
        <v>0.226585183</v>
      </c>
      <c r="AF281" t="str">
        <f ca="1">IF(AND(ISNUMBER($AF$949),$B$677=1),$AF$949,HLOOKUP(INDIRECT(ADDRESS(2,COLUMN())),OFFSET($BN$2,0,0,ROW()-1,60),ROW()-1,FALSE))</f>
        <v/>
      </c>
      <c r="AG281" t="str">
        <f ca="1">IF(AND(ISNUMBER($AG$949),$B$677=1),$AG$949,HLOOKUP(INDIRECT(ADDRESS(2,COLUMN())),OFFSET($BN$2,0,0,ROW()-1,60),ROW()-1,FALSE))</f>
        <v/>
      </c>
      <c r="AH281" t="str">
        <f ca="1">IF(AND(ISNUMBER($AH$949),$B$677=1),$AH$949,HLOOKUP(INDIRECT(ADDRESS(2,COLUMN())),OFFSET($BN$2,0,0,ROW()-1,60),ROW()-1,FALSE))</f>
        <v/>
      </c>
      <c r="AI281" t="str">
        <f ca="1">IF(AND(ISNUMBER($AI$949),$B$677=1),$AI$949,HLOOKUP(INDIRECT(ADDRESS(2,COLUMN())),OFFSET($BN$2,0,0,ROW()-1,60),ROW()-1,FALSE))</f>
        <v/>
      </c>
      <c r="AJ281" t="str">
        <f ca="1">IF(AND(ISNUMBER($AJ$949),$B$677=1),$AJ$949,HLOOKUP(INDIRECT(ADDRESS(2,COLUMN())),OFFSET($BN$2,0,0,ROW()-1,60),ROW()-1,FALSE))</f>
        <v/>
      </c>
      <c r="AK281" t="str">
        <f ca="1">IF(AND(ISNUMBER($AK$949),$B$677=1),$AK$949,HLOOKUP(INDIRECT(ADDRESS(2,COLUMN())),OFFSET($BN$2,0,0,ROW()-1,60),ROW()-1,FALSE))</f>
        <v/>
      </c>
      <c r="AL281" t="str">
        <f ca="1">IF(AND(ISNUMBER($AL$949),$B$677=1),$AL$949,HLOOKUP(INDIRECT(ADDRESS(2,COLUMN())),OFFSET($BN$2,0,0,ROW()-1,60),ROW()-1,FALSE))</f>
        <v/>
      </c>
      <c r="AM281" t="str">
        <f ca="1">IF(AND(ISNUMBER($AM$949),$B$677=1),$AM$949,HLOOKUP(INDIRECT(ADDRESS(2,COLUMN())),OFFSET($BN$2,0,0,ROW()-1,60),ROW()-1,FALSE))</f>
        <v/>
      </c>
      <c r="AN281" t="str">
        <f ca="1">IF(AND(ISNUMBER($AN$949),$B$677=1),$AN$949,HLOOKUP(INDIRECT(ADDRESS(2,COLUMN())),OFFSET($BN$2,0,0,ROW()-1,60),ROW()-1,FALSE))</f>
        <v/>
      </c>
      <c r="AO281" t="str">
        <f ca="1">IF(AND(ISNUMBER($AO$949),$B$677=1),$AO$949,HLOOKUP(INDIRECT(ADDRESS(2,COLUMN())),OFFSET($BN$2,0,0,ROW()-1,60),ROW()-1,FALSE))</f>
        <v/>
      </c>
      <c r="AP281" t="str">
        <f ca="1">IF(AND(ISNUMBER($AP$949),$B$677=1),$AP$949,HLOOKUP(INDIRECT(ADDRESS(2,COLUMN())),OFFSET($BN$2,0,0,ROW()-1,60),ROW()-1,FALSE))</f>
        <v/>
      </c>
      <c r="AQ281" t="str">
        <f ca="1">IF(AND(ISNUMBER($AQ$949),$B$677=1),$AQ$949,HLOOKUP(INDIRECT(ADDRESS(2,COLUMN())),OFFSET($BN$2,0,0,ROW()-1,60),ROW()-1,FALSE))</f>
        <v/>
      </c>
      <c r="AR281" t="str">
        <f ca="1">IF(AND(ISNUMBER($AR$949),$B$677=1),$AR$949,HLOOKUP(INDIRECT(ADDRESS(2,COLUMN())),OFFSET($BN$2,0,0,ROW()-1,60),ROW()-1,FALSE))</f>
        <v/>
      </c>
      <c r="AS281" t="str">
        <f ca="1">IF(AND(ISNUMBER($AS$949),$B$677=1),$AS$949,HLOOKUP(INDIRECT(ADDRESS(2,COLUMN())),OFFSET($BN$2,0,0,ROW()-1,60),ROW()-1,FALSE))</f>
        <v/>
      </c>
      <c r="AT281" t="str">
        <f ca="1">IF(AND(ISNUMBER($AT$949),$B$677=1),$AT$949,HLOOKUP(INDIRECT(ADDRESS(2,COLUMN())),OFFSET($BN$2,0,0,ROW()-1,60),ROW()-1,FALSE))</f>
        <v/>
      </c>
      <c r="AU281" t="str">
        <f ca="1">IF(AND(ISNUMBER($AU$949),$B$677=1),$AU$949,HLOOKUP(INDIRECT(ADDRESS(2,COLUMN())),OFFSET($BN$2,0,0,ROW()-1,60),ROW()-1,FALSE))</f>
        <v/>
      </c>
      <c r="AV281" t="str">
        <f ca="1">IF(AND(ISNUMBER($AV$949),$B$677=1),$AV$949,HLOOKUP(INDIRECT(ADDRESS(2,COLUMN())),OFFSET($BN$2,0,0,ROW()-1,60),ROW()-1,FALSE))</f>
        <v/>
      </c>
      <c r="AW281" t="str">
        <f ca="1">IF(AND(ISNUMBER($AW$949),$B$677=1),$AW$949,HLOOKUP(INDIRECT(ADDRESS(2,COLUMN())),OFFSET($BN$2,0,0,ROW()-1,60),ROW()-1,FALSE))</f>
        <v/>
      </c>
      <c r="AX281" t="str">
        <f ca="1">IF(AND(ISNUMBER($AX$949),$B$677=1),$AX$949,HLOOKUP(INDIRECT(ADDRESS(2,COLUMN())),OFFSET($BN$2,0,0,ROW()-1,60),ROW()-1,FALSE))</f>
        <v/>
      </c>
      <c r="AY281" t="str">
        <f ca="1">IF(AND(ISNUMBER($AY$949),$B$677=1),$AY$949,HLOOKUP(INDIRECT(ADDRESS(2,COLUMN())),OFFSET($BN$2,0,0,ROW()-1,60),ROW()-1,FALSE))</f>
        <v/>
      </c>
      <c r="AZ281" t="str">
        <f ca="1">IF(AND(ISNUMBER($AZ$949),$B$677=1),$AZ$949,HLOOKUP(INDIRECT(ADDRESS(2,COLUMN())),OFFSET($BN$2,0,0,ROW()-1,60),ROW()-1,FALSE))</f>
        <v/>
      </c>
      <c r="BA281" t="str">
        <f ca="1">IF(AND(ISNUMBER($BA$949),$B$677=1),$BA$949,HLOOKUP(INDIRECT(ADDRESS(2,COLUMN())),OFFSET($BN$2,0,0,ROW()-1,60),ROW()-1,FALSE))</f>
        <v/>
      </c>
      <c r="BB281" t="str">
        <f ca="1">IF(AND(ISNUMBER($BB$949),$B$677=1),$BB$949,HLOOKUP(INDIRECT(ADDRESS(2,COLUMN())),OFFSET($BN$2,0,0,ROW()-1,60),ROW()-1,FALSE))</f>
        <v/>
      </c>
      <c r="BC281" t="str">
        <f ca="1">IF(AND(ISNUMBER($BC$949),$B$677=1),$BC$949,HLOOKUP(INDIRECT(ADDRESS(2,COLUMN())),OFFSET($BN$2,0,0,ROW()-1,60),ROW()-1,FALSE))</f>
        <v/>
      </c>
      <c r="BD281" t="str">
        <f ca="1">IF(AND(ISNUMBER($BD$949),$B$677=1),$BD$949,HLOOKUP(INDIRECT(ADDRESS(2,COLUMN())),OFFSET($BN$2,0,0,ROW()-1,60),ROW()-1,FALSE))</f>
        <v/>
      </c>
      <c r="BE281" t="str">
        <f ca="1">IF(AND(ISNUMBER($BE$949),$B$677=1),$BE$949,HLOOKUP(INDIRECT(ADDRESS(2,COLUMN())),OFFSET($BN$2,0,0,ROW()-1,60),ROW()-1,FALSE))</f>
        <v/>
      </c>
      <c r="BF281" t="str">
        <f ca="1">IF(AND(ISNUMBER($BF$949),$B$677=1),$BF$949,HLOOKUP(INDIRECT(ADDRESS(2,COLUMN())),OFFSET($BN$2,0,0,ROW()-1,60),ROW()-1,FALSE))</f>
        <v/>
      </c>
      <c r="BG281" t="str">
        <f ca="1">IF(AND(ISNUMBER($BG$949),$B$677=1),$BG$949,HLOOKUP(INDIRECT(ADDRESS(2,COLUMN())),OFFSET($BN$2,0,0,ROW()-1,60),ROW()-1,FALSE))</f>
        <v/>
      </c>
      <c r="BH281" t="str">
        <f ca="1">IF(AND(ISNUMBER($BH$949),$B$677=1),$BH$949,HLOOKUP(INDIRECT(ADDRESS(2,COLUMN())),OFFSET($BN$2,0,0,ROW()-1,60),ROW()-1,FALSE))</f>
        <v/>
      </c>
      <c r="BI281" t="str">
        <f ca="1">IF(AND(ISNUMBER($BI$949),$B$677=1),$BI$949,HLOOKUP(INDIRECT(ADDRESS(2,COLUMN())),OFFSET($BN$2,0,0,ROW()-1,60),ROW()-1,FALSE))</f>
        <v/>
      </c>
      <c r="BJ281" t="str">
        <f ca="1">IF(AND(ISNUMBER($BJ$949),$B$677=1),$BJ$949,HLOOKUP(INDIRECT(ADDRESS(2,COLUMN())),OFFSET($BN$2,0,0,ROW()-1,60),ROW()-1,FALSE))</f>
        <v/>
      </c>
      <c r="BK281" t="str">
        <f ca="1">IF(AND(ISNUMBER($BK$949),$B$677=1),$BK$949,HLOOKUP(INDIRECT(ADDRESS(2,COLUMN())),OFFSET($BN$2,0,0,ROW()-1,60),ROW()-1,FALSE))</f>
        <v/>
      </c>
      <c r="BL281" t="str">
        <f ca="1">IF(AND(ISNUMBER($BL$949),$B$677=1),$BL$949,HLOOKUP(INDIRECT(ADDRESS(2,COLUMN())),OFFSET($BN$2,0,0,ROW()-1,60),ROW()-1,FALSE))</f>
        <v/>
      </c>
      <c r="BM281" t="str">
        <f ca="1">IF(AND(ISNUMBER($BM$949),$B$677=1),$BM$949,HLOOKUP(INDIRECT(ADDRESS(2,COLUMN())),OFFSET($BN$2,0,0,ROW()-1,60),ROW()-1,FALSE))</f>
        <v/>
      </c>
      <c r="BN281" t="str">
        <f>""</f>
        <v/>
      </c>
      <c r="BO281">
        <f>0.152920432</f>
        <v>0.152920432</v>
      </c>
      <c r="BP281">
        <f>0.177178114</f>
        <v>0.177178114</v>
      </c>
      <c r="BQ281">
        <f>0.177413556</f>
        <v>0.177413556</v>
      </c>
      <c r="BR281">
        <f>0.194873317</f>
        <v>0.19487331699999999</v>
      </c>
      <c r="BS281">
        <f>0.201910961</f>
        <v>0.201910961</v>
      </c>
      <c r="BT281">
        <f>0.198392707</f>
        <v>0.198392707</v>
      </c>
      <c r="BU281">
        <f>0.265312693</f>
        <v>0.26531269299999999</v>
      </c>
      <c r="BV281">
        <f>0.302723203</f>
        <v>0.302723203</v>
      </c>
      <c r="BW281">
        <f>0.298335057</f>
        <v>0.29833505700000001</v>
      </c>
      <c r="BX281">
        <f>0.30009539</f>
        <v>0.30009539000000002</v>
      </c>
      <c r="BY281">
        <f>0.2689196</f>
        <v>0.26891959999999998</v>
      </c>
      <c r="BZ281">
        <f>0.329193919</f>
        <v>0.329193919</v>
      </c>
      <c r="CA281">
        <f>0.313618616</f>
        <v>0.31361861600000002</v>
      </c>
      <c r="CB281">
        <f>0.369387414</f>
        <v>0.36938741400000003</v>
      </c>
      <c r="CC281">
        <f>0.373630845</f>
        <v>0.37363084499999999</v>
      </c>
      <c r="CD281">
        <f>0.385848536</f>
        <v>0.38584853600000002</v>
      </c>
      <c r="CE281">
        <f>0.381917338</f>
        <v>0.381917338</v>
      </c>
      <c r="CF281">
        <f>0.259596563</f>
        <v>0.259596563</v>
      </c>
      <c r="CG281">
        <f>0.337920678</f>
        <v>0.33792067799999997</v>
      </c>
      <c r="CH281">
        <f>0.328429303</f>
        <v>0.32842930300000001</v>
      </c>
      <c r="CI281">
        <f>0.2852554</f>
        <v>0.28525539999999999</v>
      </c>
      <c r="CJ281">
        <f>0.3295346</f>
        <v>0.32953460000000001</v>
      </c>
      <c r="CK281">
        <f>0.350092275</f>
        <v>0.35009227500000001</v>
      </c>
      <c r="CL281">
        <f>0.251045046</f>
        <v>0.25104504599999999</v>
      </c>
      <c r="CM281">
        <f>0.226585183</f>
        <v>0.226585183</v>
      </c>
      <c r="CN281" t="str">
        <f>""</f>
        <v/>
      </c>
      <c r="CO281" t="str">
        <f>""</f>
        <v/>
      </c>
      <c r="CP281" t="str">
        <f>""</f>
        <v/>
      </c>
      <c r="CQ281" t="str">
        <f>""</f>
        <v/>
      </c>
      <c r="CR281" t="str">
        <f>""</f>
        <v/>
      </c>
      <c r="CS281" t="str">
        <f>""</f>
        <v/>
      </c>
      <c r="CT281" t="str">
        <f>""</f>
        <v/>
      </c>
      <c r="CU281" t="str">
        <f>""</f>
        <v/>
      </c>
      <c r="CV281" t="str">
        <f>""</f>
        <v/>
      </c>
      <c r="CW281" t="str">
        <f>""</f>
        <v/>
      </c>
      <c r="CX281" t="str">
        <f>""</f>
        <v/>
      </c>
      <c r="CY281" t="str">
        <f>""</f>
        <v/>
      </c>
      <c r="CZ281" t="str">
        <f>""</f>
        <v/>
      </c>
      <c r="DA281" t="str">
        <f>""</f>
        <v/>
      </c>
      <c r="DB281" t="str">
        <f>""</f>
        <v/>
      </c>
      <c r="DC281" t="str">
        <f>""</f>
        <v/>
      </c>
      <c r="DD281" t="str">
        <f>""</f>
        <v/>
      </c>
      <c r="DE281" t="str">
        <f>""</f>
        <v/>
      </c>
      <c r="DF281" t="str">
        <f>""</f>
        <v/>
      </c>
      <c r="DG281" t="str">
        <f>""</f>
        <v/>
      </c>
      <c r="DH281" t="str">
        <f>""</f>
        <v/>
      </c>
      <c r="DI281" t="str">
        <f>""</f>
        <v/>
      </c>
      <c r="DJ281" t="str">
        <f>""</f>
        <v/>
      </c>
      <c r="DK281" t="str">
        <f>""</f>
        <v/>
      </c>
      <c r="DL281" t="str">
        <f>""</f>
        <v/>
      </c>
      <c r="DM281" t="str">
        <f>""</f>
        <v/>
      </c>
      <c r="DN281" t="str">
        <f>""</f>
        <v/>
      </c>
      <c r="DO281" t="str">
        <f>""</f>
        <v/>
      </c>
      <c r="DP281" t="str">
        <f>""</f>
        <v/>
      </c>
      <c r="DQ281" t="str">
        <f>""</f>
        <v/>
      </c>
      <c r="DR281" t="str">
        <f>""</f>
        <v/>
      </c>
      <c r="DS281" t="str">
        <f>""</f>
        <v/>
      </c>
      <c r="DT281" t="str">
        <f>""</f>
        <v/>
      </c>
      <c r="DU281" t="str">
        <f>""</f>
        <v/>
      </c>
    </row>
    <row r="282" spans="1:125" x14ac:dyDescent="0.25">
      <c r="A282" t="str">
        <f>"    Subaru Corp"</f>
        <v xml:space="preserve">    Subaru Corp</v>
      </c>
      <c r="B282" t="str">
        <f>"7270 JP Equity"</f>
        <v>7270 JP Equity</v>
      </c>
      <c r="C282" t="str">
        <f t="shared" si="18"/>
        <v>RR904</v>
      </c>
      <c r="D282" t="str">
        <f t="shared" si="19"/>
        <v>PX_TO_SALES_RATIO</v>
      </c>
      <c r="E282" t="str">
        <f t="shared" si="20"/>
        <v>Dynamic</v>
      </c>
      <c r="F282">
        <f ca="1">IF(AND(ISNUMBER($F$950),$B$677=1),$F$950,HLOOKUP(INDIRECT(ADDRESS(2,COLUMN())),OFFSET($BN$2,0,0,ROW()-1,60),ROW()-1,FALSE))</f>
        <v>0.67715170999999996</v>
      </c>
      <c r="G282">
        <f ca="1">IF(AND(ISNUMBER($G$950),$B$677=1),$G$950,HLOOKUP(INDIRECT(ADDRESS(2,COLUMN())),OFFSET($BN$2,0,0,ROW()-1,60),ROW()-1,FALSE))</f>
        <v>0.56230754299999997</v>
      </c>
      <c r="H282">
        <f ca="1">IF(AND(ISNUMBER($H$950),$B$677=1),$H$950,HLOOKUP(INDIRECT(ADDRESS(2,COLUMN())),OFFSET($BN$2,0,0,ROW()-1,60),ROW()-1,FALSE))</f>
        <v>0.83232918700000003</v>
      </c>
      <c r="I282">
        <f ca="1">IF(AND(ISNUMBER($I$950),$B$677=1),$I$950,HLOOKUP(INDIRECT(ADDRESS(2,COLUMN())),OFFSET($BN$2,0,0,ROW()-1,60),ROW()-1,FALSE))</f>
        <v>0.75855998800000002</v>
      </c>
      <c r="J282">
        <f ca="1">IF(AND(ISNUMBER($J$950),$B$677=1),$J$950,HLOOKUP(INDIRECT(ADDRESS(2,COLUMN())),OFFSET($BN$2,0,0,ROW()-1,60),ROW()-1,FALSE))</f>
        <v>0.78512112199999995</v>
      </c>
      <c r="K282">
        <f ca="1">IF(AND(ISNUMBER($K$950),$B$677=1),$K$950,HLOOKUP(INDIRECT(ADDRESS(2,COLUMN())),OFFSET($BN$2,0,0,ROW()-1,60),ROW()-1,FALSE))</f>
        <v>0.79346846100000001</v>
      </c>
      <c r="L282">
        <f ca="1">IF(AND(ISNUMBER($L$950),$B$677=1),$L$950,HLOOKUP(INDIRECT(ADDRESS(2,COLUMN())),OFFSET($BN$2,0,0,ROW()-1,60),ROW()-1,FALSE))</f>
        <v>0.90673174499999998</v>
      </c>
      <c r="M282">
        <f ca="1">IF(AND(ISNUMBER($M$950),$B$677=1),$M$950,HLOOKUP(INDIRECT(ADDRESS(2,COLUMN())),OFFSET($BN$2,0,0,ROW()-1,60),ROW()-1,FALSE))</f>
        <v>0.85283773500000004</v>
      </c>
      <c r="N282">
        <f ca="1">IF(AND(ISNUMBER($N$950),$B$677=1),$N$950,HLOOKUP(INDIRECT(ADDRESS(2,COLUMN())),OFFSET($BN$2,0,0,ROW()-1,60),ROW()-1,FALSE))</f>
        <v>0.94726353500000005</v>
      </c>
      <c r="O282">
        <f ca="1">IF(AND(ISNUMBER($O$950),$B$677=1),$O$950,HLOOKUP(INDIRECT(ADDRESS(2,COLUMN())),OFFSET($BN$2,0,0,ROW()-1,60),ROW()-1,FALSE))</f>
        <v>1.140994606</v>
      </c>
      <c r="P282">
        <f ca="1">IF(AND(ISNUMBER($P$950),$B$677=1),$P$950,HLOOKUP(INDIRECT(ADDRESS(2,COLUMN())),OFFSET($BN$2,0,0,ROW()-1,60),ROW()-1,FALSE))</f>
        <v>0.91099371900000004</v>
      </c>
      <c r="Q282">
        <f ca="1">IF(AND(ISNUMBER($Q$950),$B$677=1),$Q$950,HLOOKUP(INDIRECT(ADDRESS(2,COLUMN())),OFFSET($BN$2,0,0,ROW()-1,60),ROW()-1,FALSE))</f>
        <v>0.83864275099999996</v>
      </c>
      <c r="R282">
        <f ca="1">IF(AND(ISNUMBER($R$950),$B$677=1),$R$950,HLOOKUP(INDIRECT(ADDRESS(2,COLUMN())),OFFSET($BN$2,0,0,ROW()-1,60),ROW()-1,FALSE))</f>
        <v>0.95970383100000001</v>
      </c>
      <c r="S282">
        <f ca="1">IF(AND(ISNUMBER($S$950),$B$677=1),$S$950,HLOOKUP(INDIRECT(ADDRESS(2,COLUMN())),OFFSET($BN$2,0,0,ROW()-1,60),ROW()-1,FALSE))</f>
        <v>1.21236006</v>
      </c>
      <c r="T282">
        <f ca="1">IF(AND(ISNUMBER($T$950),$B$677=1),$T$950,HLOOKUP(INDIRECT(ADDRESS(2,COLUMN())),OFFSET($BN$2,0,0,ROW()-1,60),ROW()-1,FALSE))</f>
        <v>1.0546606860000001</v>
      </c>
      <c r="U282">
        <f ca="1">IF(AND(ISNUMBER($U$950),$B$677=1),$U$950,HLOOKUP(INDIRECT(ADDRESS(2,COLUMN())),OFFSET($BN$2,0,0,ROW()-1,60),ROW()-1,FALSE))</f>
        <v>1.153512831</v>
      </c>
      <c r="V282">
        <f ca="1">IF(AND(ISNUMBER($V$950),$B$677=1),$V$950,HLOOKUP(INDIRECT(ADDRESS(2,COLUMN())),OFFSET($BN$2,0,0,ROW()-1,60),ROW()-1,FALSE))</f>
        <v>1.0822147200000001</v>
      </c>
      <c r="W282">
        <f ca="1">IF(AND(ISNUMBER($W$950),$B$677=1),$W$950,HLOOKUP(INDIRECT(ADDRESS(2,COLUMN())),OFFSET($BN$2,0,0,ROW()-1,60),ROW()-1,FALSE))</f>
        <v>1.2156754329999999</v>
      </c>
      <c r="X282">
        <f ca="1">IF(AND(ISNUMBER($X$950),$B$677=1),$X$950,HLOOKUP(INDIRECT(ADDRESS(2,COLUMN())),OFFSET($BN$2,0,0,ROW()-1,60),ROW()-1,FALSE))</f>
        <v>1.0913957379999999</v>
      </c>
      <c r="Y282">
        <f ca="1">IF(AND(ISNUMBER($Y$950),$B$677=1),$Y$950,HLOOKUP(INDIRECT(ADDRESS(2,COLUMN())),OFFSET($BN$2,0,0,ROW()-1,60),ROW()-1,FALSE))</f>
        <v>0.89180426499999998</v>
      </c>
      <c r="Z282">
        <f ca="1">IF(AND(ISNUMBER($Z$950),$B$677=1),$Z$950,HLOOKUP(INDIRECT(ADDRESS(2,COLUMN())),OFFSET($BN$2,0,0,ROW()-1,60),ROW()-1,FALSE))</f>
        <v>0.90480459899999999</v>
      </c>
      <c r="AA282">
        <f ca="1">IF(AND(ISNUMBER($AA$950),$B$677=1),$AA$950,HLOOKUP(INDIRECT(ADDRESS(2,COLUMN())),OFFSET($BN$2,0,0,ROW()-1,60),ROW()-1,FALSE))</f>
        <v>1.0454017229999999</v>
      </c>
      <c r="AB282">
        <f ca="1">IF(AND(ISNUMBER($AB$950),$B$677=1),$AB$950,HLOOKUP(INDIRECT(ADDRESS(2,COLUMN())),OFFSET($BN$2,0,0,ROW()-1,60),ROW()-1,FALSE))</f>
        <v>0.98803091399999998</v>
      </c>
      <c r="AC282">
        <f ca="1">IF(AND(ISNUMBER($AC$950),$B$677=1),$AC$950,HLOOKUP(INDIRECT(ADDRESS(2,COLUMN())),OFFSET($BN$2,0,0,ROW()-1,60),ROW()-1,FALSE))</f>
        <v>0.93952479300000002</v>
      </c>
      <c r="AD282">
        <f ca="1">IF(AND(ISNUMBER($AD$950),$B$677=1),$AD$950,HLOOKUP(INDIRECT(ADDRESS(2,COLUMN())),OFFSET($BN$2,0,0,ROW()-1,60),ROW()-1,FALSE))</f>
        <v>0.59605769200000003</v>
      </c>
      <c r="AE282">
        <f ca="1">IF(AND(ISNUMBER($AE$950),$B$677=1),$AE$950,HLOOKUP(INDIRECT(ADDRESS(2,COLUMN())),OFFSET($BN$2,0,0,ROW()-1,60),ROW()-1,FALSE))</f>
        <v>0.45187325699999997</v>
      </c>
      <c r="AF282">
        <f ca="1">IF(AND(ISNUMBER($AF$950),$B$677=1),$AF$950,HLOOKUP(INDIRECT(ADDRESS(2,COLUMN())),OFFSET($BN$2,0,0,ROW()-1,60),ROW()-1,FALSE))</f>
        <v>0.28733316599999997</v>
      </c>
      <c r="AG282">
        <f ca="1">IF(AND(ISNUMBER($AG$950),$B$677=1),$AG$950,HLOOKUP(INDIRECT(ADDRESS(2,COLUMN())),OFFSET($BN$2,0,0,ROW()-1,60),ROW()-1,FALSE))</f>
        <v>0.30210555500000003</v>
      </c>
      <c r="AH282">
        <f ca="1">IF(AND(ISNUMBER($AH$950),$B$677=1),$AH$950,HLOOKUP(INDIRECT(ADDRESS(2,COLUMN())),OFFSET($BN$2,0,0,ROW()-1,60),ROW()-1,FALSE))</f>
        <v>0.34208115100000003</v>
      </c>
      <c r="AI282">
        <f ca="1">IF(AND(ISNUMBER($AI$950),$B$677=1),$AI$950,HLOOKUP(INDIRECT(ADDRESS(2,COLUMN())),OFFSET($BN$2,0,0,ROW()-1,60),ROW()-1,FALSE))</f>
        <v>0.25278724200000002</v>
      </c>
      <c r="AJ282">
        <f ca="1">IF(AND(ISNUMBER($AJ$950),$B$677=1),$AJ$950,HLOOKUP(INDIRECT(ADDRESS(2,COLUMN())),OFFSET($BN$2,0,0,ROW()-1,60),ROW()-1,FALSE))</f>
        <v>0.24957077499999999</v>
      </c>
      <c r="AK282">
        <f ca="1">IF(AND(ISNUMBER($AK$950),$B$677=1),$AK$950,HLOOKUP(INDIRECT(ADDRESS(2,COLUMN())),OFFSET($BN$2,0,0,ROW()-1,60),ROW()-1,FALSE))</f>
        <v>0.32107031000000003</v>
      </c>
      <c r="AL282">
        <f ca="1">IF(AND(ISNUMBER($AL$950),$B$677=1),$AL$950,HLOOKUP(INDIRECT(ADDRESS(2,COLUMN())),OFFSET($BN$2,0,0,ROW()-1,60),ROW()-1,FALSE))</f>
        <v>0.26434666000000001</v>
      </c>
      <c r="AM282">
        <f ca="1">IF(AND(ISNUMBER($AM$950),$B$677=1),$AM$950,HLOOKUP(INDIRECT(ADDRESS(2,COLUMN())),OFFSET($BN$2,0,0,ROW()-1,60),ROW()-1,FALSE))</f>
        <v>0.30851261600000002</v>
      </c>
      <c r="AN282">
        <f ca="1">IF(AND(ISNUMBER($AN$950),$B$677=1),$AN$950,HLOOKUP(INDIRECT(ADDRESS(2,COLUMN())),OFFSET($BN$2,0,0,ROW()-1,60),ROW()-1,FALSE))</f>
        <v>0.259518152</v>
      </c>
      <c r="AO282">
        <f ca="1">IF(AND(ISNUMBER($AO$950),$B$677=1),$AO$950,HLOOKUP(INDIRECT(ADDRESS(2,COLUMN())),OFFSET($BN$2,0,0,ROW()-1,60),ROW()-1,FALSE))</f>
        <v>0.24478742100000001</v>
      </c>
      <c r="AP282">
        <f ca="1">IF(AND(ISNUMBER($AP$950),$B$677=1),$AP$950,HLOOKUP(INDIRECT(ADDRESS(2,COLUMN())),OFFSET($BN$2,0,0,ROW()-1,60),ROW()-1,FALSE))</f>
        <v>0.263941233</v>
      </c>
      <c r="AQ282">
        <f ca="1">IF(AND(ISNUMBER($AQ$950),$B$677=1),$AQ$950,HLOOKUP(INDIRECT(ADDRESS(2,COLUMN())),OFFSET($BN$2,0,0,ROW()-1,60),ROW()-1,FALSE))</f>
        <v>0.25934453400000002</v>
      </c>
      <c r="AR282">
        <f ca="1">IF(AND(ISNUMBER($AR$950),$B$677=1),$AR$950,HLOOKUP(INDIRECT(ADDRESS(2,COLUMN())),OFFSET($BN$2,0,0,ROW()-1,60),ROW()-1,FALSE))</f>
        <v>0.20324669000000001</v>
      </c>
      <c r="AS282">
        <f ca="1">IF(AND(ISNUMBER($AS$950),$B$677=1),$AS$950,HLOOKUP(INDIRECT(ADDRESS(2,COLUMN())),OFFSET($BN$2,0,0,ROW()-1,60),ROW()-1,FALSE))</f>
        <v>0.21999197200000001</v>
      </c>
      <c r="AT282">
        <f ca="1">IF(AND(ISNUMBER($AT$950),$B$677=1),$AT$950,HLOOKUP(INDIRECT(ADDRESS(2,COLUMN())),OFFSET($BN$2,0,0,ROW()-1,60),ROW()-1,FALSE))</f>
        <v>0.16911008499999999</v>
      </c>
      <c r="AU282">
        <f ca="1">IF(AND(ISNUMBER($AU$950),$B$677=1),$AU$950,HLOOKUP(INDIRECT(ADDRESS(2,COLUMN())),OFFSET($BN$2,0,0,ROW()-1,60),ROW()-1,FALSE))</f>
        <v>0.112829507</v>
      </c>
      <c r="AV282">
        <f ca="1">IF(AND(ISNUMBER($AV$950),$B$677=1),$AV$950,HLOOKUP(INDIRECT(ADDRESS(2,COLUMN())),OFFSET($BN$2,0,0,ROW()-1,60),ROW()-1,FALSE))</f>
        <v>0.23628047099999999</v>
      </c>
      <c r="AW282">
        <f ca="1">IF(AND(ISNUMBER($AW$950),$B$677=1),$AW$950,HLOOKUP(INDIRECT(ADDRESS(2,COLUMN())),OFFSET($BN$2,0,0,ROW()-1,60),ROW()-1,FALSE))</f>
        <v>0.23383024599999999</v>
      </c>
      <c r="AX282">
        <f ca="1">IF(AND(ISNUMBER($AX$950),$B$677=1),$AX$950,HLOOKUP(INDIRECT(ADDRESS(2,COLUMN())),OFFSET($BN$2,0,0,ROW()-1,60),ROW()-1,FALSE))</f>
        <v>0.190428761</v>
      </c>
      <c r="AY282">
        <f ca="1">IF(AND(ISNUMBER($AY$950),$B$677=1),$AY$950,HLOOKUP(INDIRECT(ADDRESS(2,COLUMN())),OFFSET($BN$2,0,0,ROW()-1,60),ROW()-1,FALSE))</f>
        <v>0.24318040199999999</v>
      </c>
      <c r="AZ282">
        <f ca="1">IF(AND(ISNUMBER($AZ$950),$B$677=1),$AZ$950,HLOOKUP(INDIRECT(ADDRESS(2,COLUMN())),OFFSET($BN$2,0,0,ROW()-1,60),ROW()-1,FALSE))</f>
        <v>0.240928739</v>
      </c>
      <c r="BA282">
        <f ca="1">IF(AND(ISNUMBER($BA$950),$B$677=1),$BA$950,HLOOKUP(INDIRECT(ADDRESS(2,COLUMN())),OFFSET($BN$2,0,0,ROW()-1,60),ROW()-1,FALSE))</f>
        <v>0.28581875299999998</v>
      </c>
      <c r="BB282">
        <f ca="1">IF(AND(ISNUMBER($BB$950),$B$677=1),$BB$950,HLOOKUP(INDIRECT(ADDRESS(2,COLUMN())),OFFSET($BN$2,0,0,ROW()-1,60),ROW()-1,FALSE))</f>
        <v>0.29374548700000003</v>
      </c>
      <c r="BC282">
        <f ca="1">IF(AND(ISNUMBER($BC$950),$B$677=1),$BC$950,HLOOKUP(INDIRECT(ADDRESS(2,COLUMN())),OFFSET($BN$2,0,0,ROW()-1,60),ROW()-1,FALSE))</f>
        <v>0.29330368299999998</v>
      </c>
      <c r="BD282">
        <f ca="1">IF(AND(ISNUMBER($BD$950),$B$677=1),$BD$950,HLOOKUP(INDIRECT(ADDRESS(2,COLUMN())),OFFSET($BN$2,0,0,ROW()-1,60),ROW()-1,FALSE))</f>
        <v>0.32050521199999998</v>
      </c>
      <c r="BE282">
        <f ca="1">IF(AND(ISNUMBER($BE$950),$B$677=1),$BE$950,HLOOKUP(INDIRECT(ADDRESS(2,COLUMN())),OFFSET($BN$2,0,0,ROW()-1,60),ROW()-1,FALSE))</f>
        <v>0.32580605200000001</v>
      </c>
      <c r="BF282">
        <f ca="1">IF(AND(ISNUMBER($BF$950),$B$677=1),$BF$950,HLOOKUP(INDIRECT(ADDRESS(2,COLUMN())),OFFSET($BN$2,0,0,ROW()-1,60),ROW()-1,FALSE))</f>
        <v>0.34983698000000002</v>
      </c>
      <c r="BG282">
        <f ca="1">IF(AND(ISNUMBER($BG$950),$B$677=1),$BG$950,HLOOKUP(INDIRECT(ADDRESS(2,COLUMN())),OFFSET($BN$2,0,0,ROW()-1,60),ROW()-1,FALSE))</f>
        <v>0.34046475799999998</v>
      </c>
      <c r="BH282">
        <f ca="1">IF(AND(ISNUMBER($BH$950),$B$677=1),$BH$950,HLOOKUP(INDIRECT(ADDRESS(2,COLUMN())),OFFSET($BN$2,0,0,ROW()-1,60),ROW()-1,FALSE))</f>
        <v>0.28093628100000001</v>
      </c>
      <c r="BI282">
        <f ca="1">IF(AND(ISNUMBER($BI$950),$B$677=1),$BI$950,HLOOKUP(INDIRECT(ADDRESS(2,COLUMN())),OFFSET($BN$2,0,0,ROW()-1,60),ROW()-1,FALSE))</f>
        <v>0.25059455400000002</v>
      </c>
      <c r="BJ282">
        <f ca="1">IF(AND(ISNUMBER($BJ$950),$B$677=1),$BJ$950,HLOOKUP(INDIRECT(ADDRESS(2,COLUMN())),OFFSET($BN$2,0,0,ROW()-1,60),ROW()-1,FALSE))</f>
        <v>0.282285603</v>
      </c>
      <c r="BK282" t="str">
        <f ca="1">IF(AND(ISNUMBER($BK$950),$B$677=1),$BK$950,HLOOKUP(INDIRECT(ADDRESS(2,COLUMN())),OFFSET($BN$2,0,0,ROW()-1,60),ROW()-1,FALSE))</f>
        <v/>
      </c>
      <c r="BL282" t="str">
        <f ca="1">IF(AND(ISNUMBER($BL$950),$B$677=1),$BL$950,HLOOKUP(INDIRECT(ADDRESS(2,COLUMN())),OFFSET($BN$2,0,0,ROW()-1,60),ROW()-1,FALSE))</f>
        <v/>
      </c>
      <c r="BM282" t="str">
        <f ca="1">IF(AND(ISNUMBER($BM$950),$B$677=1),$BM$950,HLOOKUP(INDIRECT(ADDRESS(2,COLUMN())),OFFSET($BN$2,0,0,ROW()-1,60),ROW()-1,FALSE))</f>
        <v/>
      </c>
      <c r="BN282">
        <f>0.67715171</f>
        <v>0.67715170999999996</v>
      </c>
      <c r="BO282">
        <f>0.562307543</f>
        <v>0.56230754299999997</v>
      </c>
      <c r="BP282">
        <f>0.832329187</f>
        <v>0.83232918700000003</v>
      </c>
      <c r="BQ282">
        <f>0.758559988</f>
        <v>0.75855998800000002</v>
      </c>
      <c r="BR282">
        <f>0.785121122</f>
        <v>0.78512112199999995</v>
      </c>
      <c r="BS282">
        <f>0.793468461</f>
        <v>0.79346846100000001</v>
      </c>
      <c r="BT282">
        <f>0.906731745</f>
        <v>0.90673174499999998</v>
      </c>
      <c r="BU282">
        <f>0.852837735</f>
        <v>0.85283773500000004</v>
      </c>
      <c r="BV282">
        <f>0.947263535</f>
        <v>0.94726353500000005</v>
      </c>
      <c r="BW282">
        <f>1.140994606</f>
        <v>1.140994606</v>
      </c>
      <c r="BX282">
        <f>0.910993719</f>
        <v>0.91099371900000004</v>
      </c>
      <c r="BY282">
        <f>0.838642751</f>
        <v>0.83864275099999996</v>
      </c>
      <c r="BZ282">
        <f>0.959703831</f>
        <v>0.95970383100000001</v>
      </c>
      <c r="CA282">
        <f>1.21236006</f>
        <v>1.21236006</v>
      </c>
      <c r="CB282">
        <f>1.054660686</f>
        <v>1.0546606860000001</v>
      </c>
      <c r="CC282">
        <f>1.153512831</f>
        <v>1.153512831</v>
      </c>
      <c r="CD282">
        <f>1.08221472</f>
        <v>1.0822147200000001</v>
      </c>
      <c r="CE282">
        <f>1.215675433</f>
        <v>1.2156754329999999</v>
      </c>
      <c r="CF282">
        <f>1.091395738</f>
        <v>1.0913957379999999</v>
      </c>
      <c r="CG282">
        <f>0.891804265</f>
        <v>0.89180426499999998</v>
      </c>
      <c r="CH282">
        <f>0.904804599</f>
        <v>0.90480459899999999</v>
      </c>
      <c r="CI282">
        <f>1.045401723</f>
        <v>1.0454017229999999</v>
      </c>
      <c r="CJ282">
        <f>0.988030914</f>
        <v>0.98803091399999998</v>
      </c>
      <c r="CK282">
        <f>0.939524793</f>
        <v>0.93952479300000002</v>
      </c>
      <c r="CL282">
        <f>0.596057692</f>
        <v>0.59605769200000003</v>
      </c>
      <c r="CM282">
        <f>0.451873257</f>
        <v>0.45187325699999997</v>
      </c>
      <c r="CN282">
        <f>0.287333166</f>
        <v>0.28733316599999997</v>
      </c>
      <c r="CO282">
        <f>0.302105555</f>
        <v>0.30210555500000003</v>
      </c>
      <c r="CP282">
        <f>0.342081151</f>
        <v>0.34208115100000003</v>
      </c>
      <c r="CQ282">
        <f>0.252787242</f>
        <v>0.25278724200000002</v>
      </c>
      <c r="CR282">
        <f>0.249570775</f>
        <v>0.24957077499999999</v>
      </c>
      <c r="CS282">
        <f>0.32107031</f>
        <v>0.32107031000000003</v>
      </c>
      <c r="CT282">
        <f>0.26434666</f>
        <v>0.26434666000000001</v>
      </c>
      <c r="CU282">
        <f>0.308512616</f>
        <v>0.30851261600000002</v>
      </c>
      <c r="CV282">
        <f>0.259518152</f>
        <v>0.259518152</v>
      </c>
      <c r="CW282">
        <f>0.244787421</f>
        <v>0.24478742100000001</v>
      </c>
      <c r="CX282">
        <f>0.263941233</f>
        <v>0.263941233</v>
      </c>
      <c r="CY282">
        <f>0.259344534</f>
        <v>0.25934453400000002</v>
      </c>
      <c r="CZ282">
        <f>0.20324669</f>
        <v>0.20324669000000001</v>
      </c>
      <c r="DA282">
        <f>0.219991972</f>
        <v>0.21999197200000001</v>
      </c>
      <c r="DB282">
        <f>0.169110085</f>
        <v>0.16911008499999999</v>
      </c>
      <c r="DC282">
        <f>0.112829507</f>
        <v>0.112829507</v>
      </c>
      <c r="DD282">
        <f>0.236280471</f>
        <v>0.23628047099999999</v>
      </c>
      <c r="DE282">
        <f>0.233830246</f>
        <v>0.23383024599999999</v>
      </c>
      <c r="DF282">
        <f>0.190428761</f>
        <v>0.190428761</v>
      </c>
      <c r="DG282">
        <f>0.243180402</f>
        <v>0.24318040199999999</v>
      </c>
      <c r="DH282">
        <f>0.240928739</f>
        <v>0.240928739</v>
      </c>
      <c r="DI282">
        <f>0.285818753</f>
        <v>0.28581875299999998</v>
      </c>
      <c r="DJ282">
        <f>0.293745487</f>
        <v>0.29374548700000003</v>
      </c>
      <c r="DK282">
        <f>0.293303683</f>
        <v>0.29330368299999998</v>
      </c>
      <c r="DL282">
        <f>0.320505212</f>
        <v>0.32050521199999998</v>
      </c>
      <c r="DM282">
        <f>0.325806052</f>
        <v>0.32580605200000001</v>
      </c>
      <c r="DN282">
        <f>0.34983698</f>
        <v>0.34983698000000002</v>
      </c>
      <c r="DO282">
        <f>0.340464758</f>
        <v>0.34046475799999998</v>
      </c>
      <c r="DP282">
        <f>0.280936281</f>
        <v>0.28093628100000001</v>
      </c>
      <c r="DQ282">
        <f>0.250594554</f>
        <v>0.25059455400000002</v>
      </c>
      <c r="DR282">
        <f>0.282285603</f>
        <v>0.282285603</v>
      </c>
      <c r="DS282" t="str">
        <f>""</f>
        <v/>
      </c>
      <c r="DT282" t="str">
        <f>""</f>
        <v/>
      </c>
      <c r="DU282" t="str">
        <f>""</f>
        <v/>
      </c>
    </row>
    <row r="283" spans="1:125" x14ac:dyDescent="0.25">
      <c r="A283" t="str">
        <f>"    Suzuki Motor Corp"</f>
        <v xml:space="preserve">    Suzuki Motor Corp</v>
      </c>
      <c r="B283" t="str">
        <f>"7269 JP Equity"</f>
        <v>7269 JP Equity</v>
      </c>
      <c r="C283" t="str">
        <f t="shared" si="18"/>
        <v>RR904</v>
      </c>
      <c r="D283" t="str">
        <f t="shared" si="19"/>
        <v>PX_TO_SALES_RATIO</v>
      </c>
      <c r="E283" t="str">
        <f t="shared" si="20"/>
        <v>Dynamic</v>
      </c>
      <c r="F283">
        <f ca="1">IF(AND(ISNUMBER($F$951),$B$677=1),$F$951,HLOOKUP(INDIRECT(ADDRESS(2,COLUMN())),OFFSET($BN$2,0,0,ROW()-1,60),ROW()-1,FALSE))</f>
        <v>0.66733377800000004</v>
      </c>
      <c r="G283">
        <f ca="1">IF(AND(ISNUMBER($G$951),$B$677=1),$G$951,HLOOKUP(INDIRECT(ADDRESS(2,COLUMN())),OFFSET($BN$2,0,0,ROW()-1,60),ROW()-1,FALSE))</f>
        <v>0.64296419999999999</v>
      </c>
      <c r="H283">
        <f ca="1">IF(AND(ISNUMBER($H$951),$B$677=1),$H$951,HLOOKUP(INDIRECT(ADDRESS(2,COLUMN())),OFFSET($BN$2,0,0,ROW()-1,60),ROW()-1,FALSE))</f>
        <v>0.74760691599999995</v>
      </c>
      <c r="I283">
        <f ca="1">IF(AND(ISNUMBER($I$951),$B$677=1),$I$951,HLOOKUP(INDIRECT(ADDRESS(2,COLUMN())),OFFSET($BN$2,0,0,ROW()-1,60),ROW()-1,FALSE))</f>
        <v>0.69688045399999998</v>
      </c>
      <c r="J283">
        <f ca="1">IF(AND(ISNUMBER($J$951),$B$677=1),$J$951,HLOOKUP(INDIRECT(ADDRESS(2,COLUMN())),OFFSET($BN$2,0,0,ROW()-1,60),ROW()-1,FALSE))</f>
        <v>0.67301141799999997</v>
      </c>
      <c r="K283">
        <f ca="1">IF(AND(ISNUMBER($K$951),$B$677=1),$K$951,HLOOKUP(INDIRECT(ADDRESS(2,COLUMN())),OFFSET($BN$2,0,0,ROW()-1,60),ROW()-1,FALSE))</f>
        <v>0.79148702199999998</v>
      </c>
      <c r="L283">
        <f ca="1">IF(AND(ISNUMBER($L$951),$B$677=1),$L$951,HLOOKUP(INDIRECT(ADDRESS(2,COLUMN())),OFFSET($BN$2,0,0,ROW()-1,60),ROW()-1,FALSE))</f>
        <v>0.74366558299999996</v>
      </c>
      <c r="M283">
        <f ca="1">IF(AND(ISNUMBER($M$951),$B$677=1),$M$951,HLOOKUP(INDIRECT(ADDRESS(2,COLUMN())),OFFSET($BN$2,0,0,ROW()-1,60),ROW()-1,FALSE))</f>
        <v>0.71592381199999999</v>
      </c>
      <c r="N283">
        <f ca="1">IF(AND(ISNUMBER($N$951),$B$677=1),$N$951,HLOOKUP(INDIRECT(ADDRESS(2,COLUMN())),OFFSET($BN$2,0,0,ROW()-1,60),ROW()-1,FALSE))</f>
        <v>0.64339531500000002</v>
      </c>
      <c r="O283">
        <f ca="1">IF(AND(ISNUMBER($O$951),$B$677=1),$O$951,HLOOKUP(INDIRECT(ADDRESS(2,COLUMN())),OFFSET($BN$2,0,0,ROW()-1,60),ROW()-1,FALSE))</f>
        <v>0.58988251400000002</v>
      </c>
      <c r="P283">
        <f ca="1">IF(AND(ISNUMBER($P$951),$B$677=1),$P$951,HLOOKUP(INDIRECT(ADDRESS(2,COLUMN())),OFFSET($BN$2,0,0,ROW()-1,60),ROW()-1,FALSE))</f>
        <v>0.47728611799999998</v>
      </c>
      <c r="Q283">
        <f ca="1">IF(AND(ISNUMBER($Q$951),$B$677=1),$Q$951,HLOOKUP(INDIRECT(ADDRESS(2,COLUMN())),OFFSET($BN$2,0,0,ROW()-1,60),ROW()-1,FALSE))</f>
        <v>0.402717773</v>
      </c>
      <c r="R283">
        <f ca="1">IF(AND(ISNUMBER($R$951),$B$677=1),$R$951,HLOOKUP(INDIRECT(ADDRESS(2,COLUMN())),OFFSET($BN$2,0,0,ROW()-1,60),ROW()-1,FALSE))</f>
        <v>0.46281112200000002</v>
      </c>
      <c r="S283">
        <f ca="1">IF(AND(ISNUMBER($S$951),$B$677=1),$S$951,HLOOKUP(INDIRECT(ADDRESS(2,COLUMN())),OFFSET($BN$2,0,0,ROW()-1,60),ROW()-1,FALSE))</f>
        <v>0.59812565699999998</v>
      </c>
      <c r="T283">
        <f ca="1">IF(AND(ISNUMBER($T$951),$B$677=1),$T$951,HLOOKUP(INDIRECT(ADDRESS(2,COLUMN())),OFFSET($BN$2,0,0,ROW()-1,60),ROW()-1,FALSE))</f>
        <v>0.64374740900000005</v>
      </c>
      <c r="U283">
        <f ca="1">IF(AND(ISNUMBER($U$951),$B$677=1),$U$951,HLOOKUP(INDIRECT(ADDRESS(2,COLUMN())),OFFSET($BN$2,0,0,ROW()-1,60),ROW()-1,FALSE))</f>
        <v>0.75363929799999996</v>
      </c>
      <c r="V283">
        <f ca="1">IF(AND(ISNUMBER($V$951),$B$677=1),$V$951,HLOOKUP(INDIRECT(ADDRESS(2,COLUMN())),OFFSET($BN$2,0,0,ROW()-1,60),ROW()-1,FALSE))</f>
        <v>0.672045381</v>
      </c>
      <c r="W283">
        <f ca="1">IF(AND(ISNUMBER($W$951),$B$677=1),$W$951,HLOOKUP(INDIRECT(ADDRESS(2,COLUMN())),OFFSET($BN$2,0,0,ROW()-1,60),ROW()-1,FALSE))</f>
        <v>0.67939225299999995</v>
      </c>
      <c r="X283">
        <f ca="1">IF(AND(ISNUMBER($X$951),$B$677=1),$X$951,HLOOKUP(INDIRECT(ADDRESS(2,COLUMN())),OFFSET($BN$2,0,0,ROW()-1,60),ROW()-1,FALSE))</f>
        <v>0.68007850000000003</v>
      </c>
      <c r="Y283">
        <f ca="1">IF(AND(ISNUMBER($Y$951),$B$677=1),$Y$951,HLOOKUP(INDIRECT(ADDRESS(2,COLUMN())),OFFSET($BN$2,0,0,ROW()-1,60),ROW()-1,FALSE))</f>
        <v>0.598728606</v>
      </c>
      <c r="Z283">
        <f ca="1">IF(AND(ISNUMBER($Z$951),$B$677=1),$Z$951,HLOOKUP(INDIRECT(ADDRESS(2,COLUMN())),OFFSET($BN$2,0,0,ROW()-1,60),ROW()-1,FALSE))</f>
        <v>0.51432775399999997</v>
      </c>
      <c r="AA283">
        <f ca="1">IF(AND(ISNUMBER($AA$951),$B$677=1),$AA$951,HLOOKUP(INDIRECT(ADDRESS(2,COLUMN())),OFFSET($BN$2,0,0,ROW()-1,60),ROW()-1,FALSE))</f>
        <v>0.560311895</v>
      </c>
      <c r="AB283">
        <f ca="1">IF(AND(ISNUMBER($AB$951),$B$677=1),$AB$951,HLOOKUP(INDIRECT(ADDRESS(2,COLUMN())),OFFSET($BN$2,0,0,ROW()-1,60),ROW()-1,FALSE))</f>
        <v>0.48476942899999997</v>
      </c>
      <c r="AC283">
        <f ca="1">IF(AND(ISNUMBER($AC$951),$B$677=1),$AC$951,HLOOKUP(INDIRECT(ADDRESS(2,COLUMN())),OFFSET($BN$2,0,0,ROW()-1,60),ROW()-1,FALSE))</f>
        <v>0.49166366500000003</v>
      </c>
      <c r="AD283">
        <f ca="1">IF(AND(ISNUMBER($AD$951),$B$677=1),$AD$951,HLOOKUP(INDIRECT(ADDRESS(2,COLUMN())),OFFSET($BN$2,0,0,ROW()-1,60),ROW()-1,FALSE))</f>
        <v>0.45928917600000002</v>
      </c>
      <c r="AE283">
        <f ca="1">IF(AND(ISNUMBER($AE$951),$B$677=1),$AE$951,HLOOKUP(INDIRECT(ADDRESS(2,COLUMN())),OFFSET($BN$2,0,0,ROW()-1,60),ROW()-1,FALSE))</f>
        <v>0.49574427500000001</v>
      </c>
      <c r="AF283">
        <f ca="1">IF(AND(ISNUMBER($AF$951),$B$677=1),$AF$951,HLOOKUP(INDIRECT(ADDRESS(2,COLUMN())),OFFSET($BN$2,0,0,ROW()-1,60),ROW()-1,FALSE))</f>
        <v>0.33820698199999999</v>
      </c>
      <c r="AG283">
        <f ca="1">IF(AND(ISNUMBER($AG$951),$B$677=1),$AG$951,HLOOKUP(INDIRECT(ADDRESS(2,COLUMN())),OFFSET($BN$2,0,0,ROW()-1,60),ROW()-1,FALSE))</f>
        <v>0.35665106800000002</v>
      </c>
      <c r="AH283">
        <f ca="1">IF(AND(ISNUMBER($AH$951),$B$677=1),$AH$951,HLOOKUP(INDIRECT(ADDRESS(2,COLUMN())),OFFSET($BN$2,0,0,ROW()-1,60),ROW()-1,FALSE))</f>
        <v>0.441459092</v>
      </c>
      <c r="AI283">
        <f ca="1">IF(AND(ISNUMBER($AI$951),$B$677=1),$AI$951,HLOOKUP(INDIRECT(ADDRESS(2,COLUMN())),OFFSET($BN$2,0,0,ROW()-1,60),ROW()-1,FALSE))</f>
        <v>0.36030720999999999</v>
      </c>
      <c r="AJ283">
        <f ca="1">IF(AND(ISNUMBER($AJ$951),$B$677=1),$AJ$951,HLOOKUP(INDIRECT(ADDRESS(2,COLUMN())),OFFSET($BN$2,0,0,ROW()-1,60),ROW()-1,FALSE))</f>
        <v>0.38397826000000002</v>
      </c>
      <c r="AK283">
        <f ca="1">IF(AND(ISNUMBER($AK$951),$B$677=1),$AK$951,HLOOKUP(INDIRECT(ADDRESS(2,COLUMN())),OFFSET($BN$2,0,0,ROW()-1,60),ROW()-1,FALSE))</f>
        <v>0.395624115</v>
      </c>
      <c r="AL283">
        <f ca="1">IF(AND(ISNUMBER($AL$951),$B$677=1),$AL$951,HLOOKUP(INDIRECT(ADDRESS(2,COLUMN())),OFFSET($BN$2,0,0,ROW()-1,60),ROW()-1,FALSE))</f>
        <v>0.39932075299999997</v>
      </c>
      <c r="AM283">
        <f ca="1">IF(AND(ISNUMBER($AM$951),$B$677=1),$AM$951,HLOOKUP(INDIRECT(ADDRESS(2,COLUMN())),OFFSET($BN$2,0,0,ROW()-1,60),ROW()-1,FALSE))</f>
        <v>0.423446559</v>
      </c>
      <c r="AN283">
        <f ca="1">IF(AND(ISNUMBER($AN$951),$B$677=1),$AN$951,HLOOKUP(INDIRECT(ADDRESS(2,COLUMN())),OFFSET($BN$2,0,0,ROW()-1,60),ROW()-1,FALSE))</f>
        <v>0.35037237199999999</v>
      </c>
      <c r="AO283">
        <f ca="1">IF(AND(ISNUMBER($AO$951),$B$677=1),$AO$951,HLOOKUP(INDIRECT(ADDRESS(2,COLUMN())),OFFSET($BN$2,0,0,ROW()-1,60),ROW()-1,FALSE))</f>
        <v>0.336493135</v>
      </c>
      <c r="AP283">
        <f ca="1">IF(AND(ISNUMBER($AP$951),$B$677=1),$AP$951,HLOOKUP(INDIRECT(ADDRESS(2,COLUMN())),OFFSET($BN$2,0,0,ROW()-1,60),ROW()-1,FALSE))</f>
        <v>0.38390452000000003</v>
      </c>
      <c r="AQ283">
        <f ca="1">IF(AND(ISNUMBER($AQ$951),$B$677=1),$AQ$951,HLOOKUP(INDIRECT(ADDRESS(2,COLUMN())),OFFSET($BN$2,0,0,ROW()-1,60),ROW()-1,FALSE))</f>
        <v>0.40490093500000002</v>
      </c>
      <c r="AR283">
        <f ca="1">IF(AND(ISNUMBER($AR$951),$B$677=1),$AR$951,HLOOKUP(INDIRECT(ADDRESS(2,COLUMN())),OFFSET($BN$2,0,0,ROW()-1,60),ROW()-1,FALSE))</f>
        <v>0.37110515500000002</v>
      </c>
      <c r="AS283">
        <f ca="1">IF(AND(ISNUMBER($AS$951),$B$677=1),$AS$951,HLOOKUP(INDIRECT(ADDRESS(2,COLUMN())),OFFSET($BN$2,0,0,ROW()-1,60),ROW()-1,FALSE))</f>
        <v>0.35872210599999999</v>
      </c>
      <c r="AT283">
        <f ca="1">IF(AND(ISNUMBER($AT$951),$B$677=1),$AT$951,HLOOKUP(INDIRECT(ADDRESS(2,COLUMN())),OFFSET($BN$2,0,0,ROW()-1,60),ROW()-1,FALSE))</f>
        <v>0.241699421</v>
      </c>
      <c r="AU283">
        <f ca="1">IF(AND(ISNUMBER($AU$951),$B$677=1),$AU$951,HLOOKUP(INDIRECT(ADDRESS(2,COLUMN())),OFFSET($BN$2,0,0,ROW()-1,60),ROW()-1,FALSE))</f>
        <v>0.169392344</v>
      </c>
      <c r="AV283">
        <f ca="1">IF(AND(ISNUMBER($AV$951),$B$677=1),$AV$951,HLOOKUP(INDIRECT(ADDRESS(2,COLUMN())),OFFSET($BN$2,0,0,ROW()-1,60),ROW()-1,FALSE))</f>
        <v>0.24763455200000001</v>
      </c>
      <c r="AW283">
        <f ca="1">IF(AND(ISNUMBER($AW$951),$B$677=1),$AW$951,HLOOKUP(INDIRECT(ADDRESS(2,COLUMN())),OFFSET($BN$2,0,0,ROW()-1,60),ROW()-1,FALSE))</f>
        <v>0.32176758300000002</v>
      </c>
      <c r="AX283">
        <f ca="1">IF(AND(ISNUMBER($AX$951),$B$677=1),$AX$951,HLOOKUP(INDIRECT(ADDRESS(2,COLUMN())),OFFSET($BN$2,0,0,ROW()-1,60),ROW()-1,FALSE))</f>
        <v>0.32383819699999999</v>
      </c>
      <c r="AY283">
        <f ca="1">IF(AND(ISNUMBER($AY$951),$B$677=1),$AY$951,HLOOKUP(INDIRECT(ADDRESS(2,COLUMN())),OFFSET($BN$2,0,0,ROW()-1,60),ROW()-1,FALSE))</f>
        <v>0.43275800199999997</v>
      </c>
      <c r="AZ283">
        <f ca="1">IF(AND(ISNUMBER($AZ$951),$B$677=1),$AZ$951,HLOOKUP(INDIRECT(ADDRESS(2,COLUMN())),OFFSET($BN$2,0,0,ROW()-1,60),ROW()-1,FALSE))</f>
        <v>0.44642262300000002</v>
      </c>
      <c r="BA283">
        <f ca="1">IF(AND(ISNUMBER($BA$951),$B$677=1),$BA$951,HLOOKUP(INDIRECT(ADDRESS(2,COLUMN())),OFFSET($BN$2,0,0,ROW()-1,60),ROW()-1,FALSE))</f>
        <v>0.47333501500000003</v>
      </c>
      <c r="BB283">
        <f ca="1">IF(AND(ISNUMBER($BB$951),$B$677=1),$BB$951,HLOOKUP(INDIRECT(ADDRESS(2,COLUMN())),OFFSET($BN$2,0,0,ROW()-1,60),ROW()-1,FALSE))</f>
        <v>0.42848289299999998</v>
      </c>
      <c r="BC283">
        <f ca="1">IF(AND(ISNUMBER($BC$951),$B$677=1),$BC$951,HLOOKUP(INDIRECT(ADDRESS(2,COLUMN())),OFFSET($BN$2,0,0,ROW()-1,60),ROW()-1,FALSE))</f>
        <v>0.50550893200000002</v>
      </c>
      <c r="BD283">
        <f ca="1">IF(AND(ISNUMBER($BD$951),$B$677=1),$BD$951,HLOOKUP(INDIRECT(ADDRESS(2,COLUMN())),OFFSET($BN$2,0,0,ROW()-1,60),ROW()-1,FALSE))</f>
        <v>0.48243934399999999</v>
      </c>
      <c r="BE283">
        <f ca="1">IF(AND(ISNUMBER($BE$951),$B$677=1),$BE$951,HLOOKUP(INDIRECT(ADDRESS(2,COLUMN())),OFFSET($BN$2,0,0,ROW()-1,60),ROW()-1,FALSE))</f>
        <v>0.42714424299999998</v>
      </c>
      <c r="BF283">
        <f ca="1">IF(AND(ISNUMBER($BF$951),$B$677=1),$BF$951,HLOOKUP(INDIRECT(ADDRESS(2,COLUMN())),OFFSET($BN$2,0,0,ROW()-1,60),ROW()-1,FALSE))</f>
        <v>0.51372518300000003</v>
      </c>
      <c r="BG283">
        <f ca="1">IF(AND(ISNUMBER($BG$951),$B$677=1),$BG$951,HLOOKUP(INDIRECT(ADDRESS(2,COLUMN())),OFFSET($BN$2,0,0,ROW()-1,60),ROW()-1,FALSE))</f>
        <v>0.44890396799999999</v>
      </c>
      <c r="BH283">
        <f ca="1">IF(AND(ISNUMBER($BH$951),$B$677=1),$BH$951,HLOOKUP(INDIRECT(ADDRESS(2,COLUMN())),OFFSET($BN$2,0,0,ROW()-1,60),ROW()-1,FALSE))</f>
        <v>0.45027914000000002</v>
      </c>
      <c r="BI283">
        <f ca="1">IF(AND(ISNUMBER($BI$951),$B$677=1),$BI$951,HLOOKUP(INDIRECT(ADDRESS(2,COLUMN())),OFFSET($BN$2,0,0,ROW()-1,60),ROW()-1,FALSE))</f>
        <v>0.38418543100000002</v>
      </c>
      <c r="BJ283">
        <f ca="1">IF(AND(ISNUMBER($BJ$951),$B$677=1),$BJ$951,HLOOKUP(INDIRECT(ADDRESS(2,COLUMN())),OFFSET($BN$2,0,0,ROW()-1,60),ROW()-1,FALSE))</f>
        <v>0.432935297</v>
      </c>
      <c r="BK283">
        <f ca="1">IF(AND(ISNUMBER($BK$951),$B$677=1),$BK$951,HLOOKUP(INDIRECT(ADDRESS(2,COLUMN())),OFFSET($BN$2,0,0,ROW()-1,60),ROW()-1,FALSE))</f>
        <v>0.43069463200000002</v>
      </c>
      <c r="BL283">
        <f ca="1">IF(AND(ISNUMBER($BL$951),$B$677=1),$BL$951,HLOOKUP(INDIRECT(ADDRESS(2,COLUMN())),OFFSET($BN$2,0,0,ROW()-1,60),ROW()-1,FALSE))</f>
        <v>0.42431922500000002</v>
      </c>
      <c r="BM283">
        <f ca="1">IF(AND(ISNUMBER($BM$951),$B$677=1),$BM$951,HLOOKUP(INDIRECT(ADDRESS(2,COLUMN())),OFFSET($BN$2,0,0,ROW()-1,60),ROW()-1,FALSE))</f>
        <v>0.46601913900000003</v>
      </c>
      <c r="BN283">
        <f>0.667333778</f>
        <v>0.66733377800000004</v>
      </c>
      <c r="BO283">
        <f>0.6429642</f>
        <v>0.64296419999999999</v>
      </c>
      <c r="BP283">
        <f>0.747606916</f>
        <v>0.74760691599999995</v>
      </c>
      <c r="BQ283">
        <f>0.696880454</f>
        <v>0.69688045399999998</v>
      </c>
      <c r="BR283">
        <f>0.673011418</f>
        <v>0.67301141799999997</v>
      </c>
      <c r="BS283">
        <f>0.791487022</f>
        <v>0.79148702199999998</v>
      </c>
      <c r="BT283">
        <f>0.743665583</f>
        <v>0.74366558299999996</v>
      </c>
      <c r="BU283">
        <f>0.715923812</f>
        <v>0.71592381199999999</v>
      </c>
      <c r="BV283">
        <f>0.643395315</f>
        <v>0.64339531500000002</v>
      </c>
      <c r="BW283">
        <f>0.589882514</f>
        <v>0.58988251400000002</v>
      </c>
      <c r="BX283">
        <f>0.477286118</f>
        <v>0.47728611799999998</v>
      </c>
      <c r="BY283">
        <f>0.402717773</f>
        <v>0.402717773</v>
      </c>
      <c r="BZ283">
        <f>0.462811122</f>
        <v>0.46281112200000002</v>
      </c>
      <c r="CA283">
        <f>0.598125657</f>
        <v>0.59812565699999998</v>
      </c>
      <c r="CB283">
        <f>0.643747409</f>
        <v>0.64374740900000005</v>
      </c>
      <c r="CC283">
        <f>0.753639298</f>
        <v>0.75363929799999996</v>
      </c>
      <c r="CD283">
        <f>0.672045381</f>
        <v>0.672045381</v>
      </c>
      <c r="CE283">
        <f>0.679392253</f>
        <v>0.67939225299999995</v>
      </c>
      <c r="CF283">
        <f>0.6800785</f>
        <v>0.68007850000000003</v>
      </c>
      <c r="CG283">
        <f>0.598728606</f>
        <v>0.598728606</v>
      </c>
      <c r="CH283">
        <f>0.514327754</f>
        <v>0.51432775399999997</v>
      </c>
      <c r="CI283">
        <f>0.560311895</f>
        <v>0.560311895</v>
      </c>
      <c r="CJ283">
        <f>0.484769429</f>
        <v>0.48476942899999997</v>
      </c>
      <c r="CK283">
        <f>0.491663665</f>
        <v>0.49166366500000003</v>
      </c>
      <c r="CL283">
        <f>0.459289176</f>
        <v>0.45928917600000002</v>
      </c>
      <c r="CM283">
        <f>0.495744275</f>
        <v>0.49574427500000001</v>
      </c>
      <c r="CN283">
        <f>0.338206982</f>
        <v>0.33820698199999999</v>
      </c>
      <c r="CO283">
        <f>0.356651068</f>
        <v>0.35665106800000002</v>
      </c>
      <c r="CP283">
        <f>0.441459092</f>
        <v>0.441459092</v>
      </c>
      <c r="CQ283">
        <f>0.36030721</f>
        <v>0.36030720999999999</v>
      </c>
      <c r="CR283">
        <f>0.38397826</f>
        <v>0.38397826000000002</v>
      </c>
      <c r="CS283">
        <f>0.395624115</f>
        <v>0.395624115</v>
      </c>
      <c r="CT283">
        <f>0.399320753</f>
        <v>0.39932075299999997</v>
      </c>
      <c r="CU283">
        <f>0.423446559</f>
        <v>0.423446559</v>
      </c>
      <c r="CV283">
        <f>0.350372372</f>
        <v>0.35037237199999999</v>
      </c>
      <c r="CW283">
        <f>0.336493135</f>
        <v>0.336493135</v>
      </c>
      <c r="CX283">
        <f>0.38390452</f>
        <v>0.38390452000000003</v>
      </c>
      <c r="CY283">
        <f>0.404900935</f>
        <v>0.40490093500000002</v>
      </c>
      <c r="CZ283">
        <f>0.371105155</f>
        <v>0.37110515500000002</v>
      </c>
      <c r="DA283">
        <f>0.358722106</f>
        <v>0.35872210599999999</v>
      </c>
      <c r="DB283">
        <f>0.241699421</f>
        <v>0.241699421</v>
      </c>
      <c r="DC283">
        <f>0.169392344</f>
        <v>0.169392344</v>
      </c>
      <c r="DD283">
        <f>0.247634552</f>
        <v>0.24763455200000001</v>
      </c>
      <c r="DE283">
        <f>0.321767583</f>
        <v>0.32176758300000002</v>
      </c>
      <c r="DF283">
        <f>0.323838197</f>
        <v>0.32383819699999999</v>
      </c>
      <c r="DG283">
        <f>0.432758002</f>
        <v>0.43275800199999997</v>
      </c>
      <c r="DH283">
        <f>0.446422623</f>
        <v>0.44642262300000002</v>
      </c>
      <c r="DI283">
        <f>0.473335015</f>
        <v>0.47333501500000003</v>
      </c>
      <c r="DJ283">
        <f>0.428482893</f>
        <v>0.42848289299999998</v>
      </c>
      <c r="DK283">
        <f>0.505508932</f>
        <v>0.50550893200000002</v>
      </c>
      <c r="DL283">
        <f>0.482439344</f>
        <v>0.48243934399999999</v>
      </c>
      <c r="DM283">
        <f>0.427144243</f>
        <v>0.42714424299999998</v>
      </c>
      <c r="DN283">
        <f>0.513725183</f>
        <v>0.51372518300000003</v>
      </c>
      <c r="DO283">
        <f>0.448903968</f>
        <v>0.44890396799999999</v>
      </c>
      <c r="DP283">
        <f>0.45027914</f>
        <v>0.45027914000000002</v>
      </c>
      <c r="DQ283">
        <f>0.384185431</f>
        <v>0.38418543100000002</v>
      </c>
      <c r="DR283">
        <f>0.432935297</f>
        <v>0.432935297</v>
      </c>
      <c r="DS283">
        <f>0.430694632</f>
        <v>0.43069463200000002</v>
      </c>
      <c r="DT283">
        <f>0.424319225</f>
        <v>0.42431922500000002</v>
      </c>
      <c r="DU283">
        <f>0.466019139</f>
        <v>0.46601913900000003</v>
      </c>
    </row>
    <row r="284" spans="1:125" x14ac:dyDescent="0.25">
      <c r="A284" t="str">
        <f>"    Tata Motors Ltd"</f>
        <v xml:space="preserve">    Tata Motors Ltd</v>
      </c>
      <c r="B284" t="str">
        <f>"TTMT IN Equity"</f>
        <v>TTMT IN Equity</v>
      </c>
      <c r="C284" t="str">
        <f t="shared" si="18"/>
        <v>RR904</v>
      </c>
      <c r="D284" t="str">
        <f t="shared" si="19"/>
        <v>PX_TO_SALES_RATIO</v>
      </c>
      <c r="E284" t="str">
        <f t="shared" si="20"/>
        <v>Dynamic</v>
      </c>
      <c r="F284">
        <f ca="1">IF(AND(ISNUMBER($F$952),$B$677=1),$F$952,HLOOKUP(INDIRECT(ADDRESS(2,COLUMN())),OFFSET($BN$2,0,0,ROW()-1,60),ROW()-1,FALSE))</f>
        <v>0.19350870100000001</v>
      </c>
      <c r="G284">
        <f ca="1">IF(AND(ISNUMBER($G$952),$B$677=1),$G$952,HLOOKUP(INDIRECT(ADDRESS(2,COLUMN())),OFFSET($BN$2,0,0,ROW()-1,60),ROW()-1,FALSE))</f>
        <v>0.19173237300000001</v>
      </c>
      <c r="H284">
        <f ca="1">IF(AND(ISNUMBER($H$952),$B$677=1),$H$952,HLOOKUP(INDIRECT(ADDRESS(2,COLUMN())),OFFSET($BN$2,0,0,ROW()-1,60),ROW()-1,FALSE))</f>
        <v>0.25007664800000001</v>
      </c>
      <c r="I284">
        <f ca="1">IF(AND(ISNUMBER($I$952),$B$677=1),$I$952,HLOOKUP(INDIRECT(ADDRESS(2,COLUMN())),OFFSET($BN$2,0,0,ROW()-1,60),ROW()-1,FALSE))</f>
        <v>0.30223547200000001</v>
      </c>
      <c r="J284">
        <f ca="1">IF(AND(ISNUMBER($J$952),$B$677=1),$J$952,HLOOKUP(INDIRECT(ADDRESS(2,COLUMN())),OFFSET($BN$2,0,0,ROW()-1,60),ROW()-1,FALSE))</f>
        <v>0.377513653</v>
      </c>
      <c r="K284">
        <f ca="1">IF(AND(ISNUMBER($K$952),$B$677=1),$K$952,HLOOKUP(INDIRECT(ADDRESS(2,COLUMN())),OFFSET($BN$2,0,0,ROW()-1,60),ROW()-1,FALSE))</f>
        <v>0.52394852599999997</v>
      </c>
      <c r="L284">
        <f ca="1">IF(AND(ISNUMBER($L$952),$B$677=1),$L$952,HLOOKUP(INDIRECT(ADDRESS(2,COLUMN())),OFFSET($BN$2,0,0,ROW()-1,60),ROW()-1,FALSE))</f>
        <v>0.50559119900000005</v>
      </c>
      <c r="M284">
        <f ca="1">IF(AND(ISNUMBER($M$952),$B$677=1),$M$952,HLOOKUP(INDIRECT(ADDRESS(2,COLUMN())),OFFSET($BN$2,0,0,ROW()-1,60),ROW()-1,FALSE))</f>
        <v>0.55489649299999999</v>
      </c>
      <c r="N284">
        <f ca="1">IF(AND(ISNUMBER($N$952),$B$677=1),$N$952,HLOOKUP(INDIRECT(ADDRESS(2,COLUMN())),OFFSET($BN$2,0,0,ROW()-1,60),ROW()-1,FALSE))</f>
        <v>0.583260954</v>
      </c>
      <c r="O284">
        <f ca="1">IF(AND(ISNUMBER($O$952),$B$677=1),$O$952,HLOOKUP(INDIRECT(ADDRESS(2,COLUMN())),OFFSET($BN$2,0,0,ROW()-1,60),ROW()-1,FALSE))</f>
        <v>0.58600375999999998</v>
      </c>
      <c r="P284">
        <f ca="1">IF(AND(ISNUMBER($P$952),$B$677=1),$P$952,HLOOKUP(INDIRECT(ADDRESS(2,COLUMN())),OFFSET($BN$2,0,0,ROW()-1,60),ROW()-1,FALSE))</f>
        <v>0.65341715700000003</v>
      </c>
      <c r="Q284">
        <f ca="1">IF(AND(ISNUMBER($Q$952),$B$677=1),$Q$952,HLOOKUP(INDIRECT(ADDRESS(2,COLUMN())),OFFSET($BN$2,0,0,ROW()-1,60),ROW()-1,FALSE))</f>
        <v>0.56948714899999997</v>
      </c>
      <c r="R284">
        <f ca="1">IF(AND(ISNUMBER($R$952),$B$677=1),$R$952,HLOOKUP(INDIRECT(ADDRESS(2,COLUMN())),OFFSET($BN$2,0,0,ROW()-1,60),ROW()-1,FALSE))</f>
        <v>0.48769150999999999</v>
      </c>
      <c r="S284">
        <f ca="1">IF(AND(ISNUMBER($S$952),$B$677=1),$S$952,HLOOKUP(INDIRECT(ADDRESS(2,COLUMN())),OFFSET($BN$2,0,0,ROW()-1,60),ROW()-1,FALSE))</f>
        <v>0.51298276099999995</v>
      </c>
      <c r="T284">
        <f ca="1">IF(AND(ISNUMBER($T$952),$B$677=1),$T$952,HLOOKUP(INDIRECT(ADDRESS(2,COLUMN())),OFFSET($BN$2,0,0,ROW()-1,60),ROW()-1,FALSE))</f>
        <v>0.38596678600000001</v>
      </c>
      <c r="U284">
        <f ca="1">IF(AND(ISNUMBER($U$952),$B$677=1),$U$952,HLOOKUP(INDIRECT(ADDRESS(2,COLUMN())),OFFSET($BN$2,0,0,ROW()-1,60),ROW()-1,FALSE))</f>
        <v>0.55759231899999995</v>
      </c>
      <c r="V284">
        <f ca="1">IF(AND(ISNUMBER($V$952),$B$677=1),$V$952,HLOOKUP(INDIRECT(ADDRESS(2,COLUMN())),OFFSET($BN$2,0,0,ROW()-1,60),ROW()-1,FALSE))</f>
        <v>0.68218722499999995</v>
      </c>
      <c r="W284">
        <f ca="1">IF(AND(ISNUMBER($W$952),$B$677=1),$W$952,HLOOKUP(INDIRECT(ADDRESS(2,COLUMN())),OFFSET($BN$2,0,0,ROW()-1,60),ROW()-1,FALSE))</f>
        <v>0.61855925300000003</v>
      </c>
      <c r="X284">
        <f ca="1">IF(AND(ISNUMBER($X$952),$B$677=1),$X$952,HLOOKUP(INDIRECT(ADDRESS(2,COLUMN())),OFFSET($BN$2,0,0,ROW()-1,60),ROW()-1,FALSE))</f>
        <v>0.64069438400000001</v>
      </c>
      <c r="Y284">
        <f ca="1">IF(AND(ISNUMBER($Y$952),$B$677=1),$Y$952,HLOOKUP(INDIRECT(ADDRESS(2,COLUMN())),OFFSET($BN$2,0,0,ROW()-1,60),ROW()-1,FALSE))</f>
        <v>0.560211036</v>
      </c>
      <c r="Z284">
        <f ca="1">IF(AND(ISNUMBER($Z$952),$B$677=1),$Z$952,HLOOKUP(INDIRECT(ADDRESS(2,COLUMN())),OFFSET($BN$2,0,0,ROW()-1,60),ROW()-1,FALSE))</f>
        <v>0.55640843600000001</v>
      </c>
      <c r="AA284">
        <f ca="1">IF(AND(ISNUMBER($AA$952),$B$677=1),$AA$952,HLOOKUP(INDIRECT(ADDRESS(2,COLUMN())),OFFSET($BN$2,0,0,ROW()-1,60),ROW()-1,FALSE))</f>
        <v>0.54517105799999999</v>
      </c>
      <c r="AB284">
        <f ca="1">IF(AND(ISNUMBER($AB$952),$B$677=1),$AB$952,HLOOKUP(INDIRECT(ADDRESS(2,COLUMN())),OFFSET($BN$2,0,0,ROW()-1,60),ROW()-1,FALSE))</f>
        <v>0.52227087900000002</v>
      </c>
      <c r="AC284">
        <f ca="1">IF(AND(ISNUMBER($AC$952),$B$677=1),$AC$952,HLOOKUP(INDIRECT(ADDRESS(2,COLUMN())),OFFSET($BN$2,0,0,ROW()-1,60),ROW()-1,FALSE))</f>
        <v>0.47056251100000002</v>
      </c>
      <c r="AD284">
        <f ca="1">IF(AND(ISNUMBER($AD$952),$B$677=1),$AD$952,HLOOKUP(INDIRECT(ADDRESS(2,COLUMN())),OFFSET($BN$2,0,0,ROW()-1,60),ROW()-1,FALSE))</f>
        <v>0.45818494999999998</v>
      </c>
      <c r="AE284">
        <f ca="1">IF(AND(ISNUMBER($AE$952),$B$677=1),$AE$952,HLOOKUP(INDIRECT(ADDRESS(2,COLUMN())),OFFSET($BN$2,0,0,ROW()-1,60),ROW()-1,FALSE))</f>
        <v>0.546598523</v>
      </c>
      <c r="AF284">
        <f ca="1">IF(AND(ISNUMBER($AF$952),$B$677=1),$AF$952,HLOOKUP(INDIRECT(ADDRESS(2,COLUMN())),OFFSET($BN$2,0,0,ROW()-1,60),ROW()-1,FALSE))</f>
        <v>0.46859304099999999</v>
      </c>
      <c r="AG284">
        <f ca="1">IF(AND(ISNUMBER($AG$952),$B$677=1),$AG$952,HLOOKUP(INDIRECT(ADDRESS(2,COLUMN())),OFFSET($BN$2,0,0,ROW()-1,60),ROW()-1,FALSE))</f>
        <v>0.44084382</v>
      </c>
      <c r="AH284">
        <f ca="1">IF(AND(ISNUMBER($AH$952),$B$677=1),$AH$952,HLOOKUP(INDIRECT(ADDRESS(2,COLUMN())),OFFSET($BN$2,0,0,ROW()-1,60),ROW()-1,FALSE))</f>
        <v>0.52978093400000004</v>
      </c>
      <c r="AI284">
        <f ca="1">IF(AND(ISNUMBER($AI$952),$B$677=1),$AI$952,HLOOKUP(INDIRECT(ADDRESS(2,COLUMN())),OFFSET($BN$2,0,0,ROW()-1,60),ROW()-1,FALSE))</f>
        <v>0.384357964</v>
      </c>
      <c r="AJ284">
        <f ca="1">IF(AND(ISNUMBER($AJ$952),$B$677=1),$AJ$952,HLOOKUP(INDIRECT(ADDRESS(2,COLUMN())),OFFSET($BN$2,0,0,ROW()-1,60),ROW()-1,FALSE))</f>
        <v>0.36714860199999999</v>
      </c>
      <c r="AK284">
        <f ca="1">IF(AND(ISNUMBER($AK$952),$B$677=1),$AK$952,HLOOKUP(INDIRECT(ADDRESS(2,COLUMN())),OFFSET($BN$2,0,0,ROW()-1,60),ROW()-1,FALSE))</f>
        <v>0.48249206500000003</v>
      </c>
      <c r="AL284">
        <f ca="1">IF(AND(ISNUMBER($AL$952),$B$677=1),$AL$952,HLOOKUP(INDIRECT(ADDRESS(2,COLUMN())),OFFSET($BN$2,0,0,ROW()-1,60),ROW()-1,FALSE))</f>
        <v>0.62230973700000003</v>
      </c>
      <c r="AM284">
        <f ca="1">IF(AND(ISNUMBER($AM$952),$B$677=1),$AM$952,HLOOKUP(INDIRECT(ADDRESS(2,COLUMN())),OFFSET($BN$2,0,0,ROW()-1,60),ROW()-1,FALSE))</f>
        <v>0.62674591999999996</v>
      </c>
      <c r="AN284">
        <f ca="1">IF(AND(ISNUMBER($AN$952),$B$677=1),$AN$952,HLOOKUP(INDIRECT(ADDRESS(2,COLUMN())),OFFSET($BN$2,0,0,ROW()-1,60),ROW()-1,FALSE))</f>
        <v>0.53433886200000003</v>
      </c>
      <c r="AO284">
        <f ca="1">IF(AND(ISNUMBER($AO$952),$B$677=1),$AO$952,HLOOKUP(INDIRECT(ADDRESS(2,COLUMN())),OFFSET($BN$2,0,0,ROW()-1,60),ROW()-1,FALSE))</f>
        <v>0.40968897199999998</v>
      </c>
      <c r="AP284">
        <f ca="1">IF(AND(ISNUMBER($AP$952),$B$677=1),$AP$952,HLOOKUP(INDIRECT(ADDRESS(2,COLUMN())),OFFSET($BN$2,0,0,ROW()-1,60),ROW()-1,FALSE))</f>
        <v>0.43371006600000001</v>
      </c>
      <c r="AQ284">
        <f ca="1">IF(AND(ISNUMBER($AQ$952),$B$677=1),$AQ$952,HLOOKUP(INDIRECT(ADDRESS(2,COLUMN())),OFFSET($BN$2,0,0,ROW()-1,60),ROW()-1,FALSE))</f>
        <v>0.55098497099999999</v>
      </c>
      <c r="AR284">
        <f ca="1">IF(AND(ISNUMBER($AR$952),$B$677=1),$AR$952,HLOOKUP(INDIRECT(ADDRESS(2,COLUMN())),OFFSET($BN$2,0,0,ROW()-1,60),ROW()-1,FALSE))</f>
        <v>0.44640837500000002</v>
      </c>
      <c r="AS284">
        <f ca="1">IF(AND(ISNUMBER($AS$952),$B$677=1),$AS$952,HLOOKUP(INDIRECT(ADDRESS(2,COLUMN())),OFFSET($BN$2,0,0,ROW()-1,60),ROW()-1,FALSE))</f>
        <v>0.185094443</v>
      </c>
      <c r="AT284">
        <f ca="1">IF(AND(ISNUMBER($AT$952),$B$677=1),$AT$952,HLOOKUP(INDIRECT(ADDRESS(2,COLUMN())),OFFSET($BN$2,0,0,ROW()-1,60),ROW()-1,FALSE))</f>
        <v>0.111581894</v>
      </c>
      <c r="AU284" t="str">
        <f ca="1">IF(AND(ISNUMBER($AU$952),$B$677=1),$AU$952,HLOOKUP(INDIRECT(ADDRESS(2,COLUMN())),OFFSET($BN$2,0,0,ROW()-1,60),ROW()-1,FALSE))</f>
        <v/>
      </c>
      <c r="AV284" t="str">
        <f ca="1">IF(AND(ISNUMBER($AV$952),$B$677=1),$AV$952,HLOOKUP(INDIRECT(ADDRESS(2,COLUMN())),OFFSET($BN$2,0,0,ROW()-1,60),ROW()-1,FALSE))</f>
        <v/>
      </c>
      <c r="AW284" t="str">
        <f ca="1">IF(AND(ISNUMBER($AW$952),$B$677=1),$AW$952,HLOOKUP(INDIRECT(ADDRESS(2,COLUMN())),OFFSET($BN$2,0,0,ROW()-1,60),ROW()-1,FALSE))</f>
        <v/>
      </c>
      <c r="AX284" t="str">
        <f ca="1">IF(AND(ISNUMBER($AX$952),$B$677=1),$AX$952,HLOOKUP(INDIRECT(ADDRESS(2,COLUMN())),OFFSET($BN$2,0,0,ROW()-1,60),ROW()-1,FALSE))</f>
        <v/>
      </c>
      <c r="AY284" t="str">
        <f ca="1">IF(AND(ISNUMBER($AY$952),$B$677=1),$AY$952,HLOOKUP(INDIRECT(ADDRESS(2,COLUMN())),OFFSET($BN$2,0,0,ROW()-1,60),ROW()-1,FALSE))</f>
        <v/>
      </c>
      <c r="AZ284" t="str">
        <f ca="1">IF(AND(ISNUMBER($AZ$952),$B$677=1),$AZ$952,HLOOKUP(INDIRECT(ADDRESS(2,COLUMN())),OFFSET($BN$2,0,0,ROW()-1,60),ROW()-1,FALSE))</f>
        <v/>
      </c>
      <c r="BA284" t="str">
        <f ca="1">IF(AND(ISNUMBER($BA$952),$B$677=1),$BA$952,HLOOKUP(INDIRECT(ADDRESS(2,COLUMN())),OFFSET($BN$2,0,0,ROW()-1,60),ROW()-1,FALSE))</f>
        <v/>
      </c>
      <c r="BB284" t="str">
        <f ca="1">IF(AND(ISNUMBER($BB$952),$B$677=1),$BB$952,HLOOKUP(INDIRECT(ADDRESS(2,COLUMN())),OFFSET($BN$2,0,0,ROW()-1,60),ROW()-1,FALSE))</f>
        <v/>
      </c>
      <c r="BC284" t="str">
        <f ca="1">IF(AND(ISNUMBER($BC$952),$B$677=1),$BC$952,HLOOKUP(INDIRECT(ADDRESS(2,COLUMN())),OFFSET($BN$2,0,0,ROW()-1,60),ROW()-1,FALSE))</f>
        <v/>
      </c>
      <c r="BD284" t="str">
        <f ca="1">IF(AND(ISNUMBER($BD$952),$B$677=1),$BD$952,HLOOKUP(INDIRECT(ADDRESS(2,COLUMN())),OFFSET($BN$2,0,0,ROW()-1,60),ROW()-1,FALSE))</f>
        <v/>
      </c>
      <c r="BE284" t="str">
        <f ca="1">IF(AND(ISNUMBER($BE$952),$B$677=1),$BE$952,HLOOKUP(INDIRECT(ADDRESS(2,COLUMN())),OFFSET($BN$2,0,0,ROW()-1,60),ROW()-1,FALSE))</f>
        <v/>
      </c>
      <c r="BF284" t="str">
        <f ca="1">IF(AND(ISNUMBER($BF$952),$B$677=1),$BF$952,HLOOKUP(INDIRECT(ADDRESS(2,COLUMN())),OFFSET($BN$2,0,0,ROW()-1,60),ROW()-1,FALSE))</f>
        <v/>
      </c>
      <c r="BG284" t="str">
        <f ca="1">IF(AND(ISNUMBER($BG$952),$B$677=1),$BG$952,HLOOKUP(INDIRECT(ADDRESS(2,COLUMN())),OFFSET($BN$2,0,0,ROW()-1,60),ROW()-1,FALSE))</f>
        <v/>
      </c>
      <c r="BH284" t="str">
        <f ca="1">IF(AND(ISNUMBER($BH$952),$B$677=1),$BH$952,HLOOKUP(INDIRECT(ADDRESS(2,COLUMN())),OFFSET($BN$2,0,0,ROW()-1,60),ROW()-1,FALSE))</f>
        <v/>
      </c>
      <c r="BI284" t="str">
        <f ca="1">IF(AND(ISNUMBER($BI$952),$B$677=1),$BI$952,HLOOKUP(INDIRECT(ADDRESS(2,COLUMN())),OFFSET($BN$2,0,0,ROW()-1,60),ROW()-1,FALSE))</f>
        <v/>
      </c>
      <c r="BJ284" t="str">
        <f ca="1">IF(AND(ISNUMBER($BJ$952),$B$677=1),$BJ$952,HLOOKUP(INDIRECT(ADDRESS(2,COLUMN())),OFFSET($BN$2,0,0,ROW()-1,60),ROW()-1,FALSE))</f>
        <v/>
      </c>
      <c r="BK284" t="str">
        <f ca="1">IF(AND(ISNUMBER($BK$952),$B$677=1),$BK$952,HLOOKUP(INDIRECT(ADDRESS(2,COLUMN())),OFFSET($BN$2,0,0,ROW()-1,60),ROW()-1,FALSE))</f>
        <v/>
      </c>
      <c r="BL284" t="str">
        <f ca="1">IF(AND(ISNUMBER($BL$952),$B$677=1),$BL$952,HLOOKUP(INDIRECT(ADDRESS(2,COLUMN())),OFFSET($BN$2,0,0,ROW()-1,60),ROW()-1,FALSE))</f>
        <v/>
      </c>
      <c r="BM284" t="str">
        <f ca="1">IF(AND(ISNUMBER($BM$952),$B$677=1),$BM$952,HLOOKUP(INDIRECT(ADDRESS(2,COLUMN())),OFFSET($BN$2,0,0,ROW()-1,60),ROW()-1,FALSE))</f>
        <v/>
      </c>
      <c r="BN284">
        <f>0.193508701</f>
        <v>0.19350870100000001</v>
      </c>
      <c r="BO284">
        <f>0.191732373</f>
        <v>0.19173237300000001</v>
      </c>
      <c r="BP284">
        <f>0.250076648</f>
        <v>0.25007664800000001</v>
      </c>
      <c r="BQ284">
        <f>0.302235472</f>
        <v>0.30223547200000001</v>
      </c>
      <c r="BR284">
        <f>0.377513653</f>
        <v>0.377513653</v>
      </c>
      <c r="BS284">
        <f>0.523948526</f>
        <v>0.52394852599999997</v>
      </c>
      <c r="BT284">
        <f>0.505591199</f>
        <v>0.50559119900000005</v>
      </c>
      <c r="BU284">
        <f>0.554896493</f>
        <v>0.55489649299999999</v>
      </c>
      <c r="BV284">
        <f>0.583260954</f>
        <v>0.583260954</v>
      </c>
      <c r="BW284">
        <f>0.58600376</f>
        <v>0.58600375999999998</v>
      </c>
      <c r="BX284">
        <f>0.653417157</f>
        <v>0.65341715700000003</v>
      </c>
      <c r="BY284">
        <f>0.569487149</f>
        <v>0.56948714899999997</v>
      </c>
      <c r="BZ284">
        <f>0.48769151</f>
        <v>0.48769150999999999</v>
      </c>
      <c r="CA284">
        <f>0.512982761</f>
        <v>0.51298276099999995</v>
      </c>
      <c r="CB284">
        <f>0.385966786</f>
        <v>0.38596678600000001</v>
      </c>
      <c r="CC284">
        <f>0.557592319</f>
        <v>0.55759231899999995</v>
      </c>
      <c r="CD284">
        <f>0.682187225</f>
        <v>0.68218722499999995</v>
      </c>
      <c r="CE284">
        <f>0.618559253</f>
        <v>0.61855925300000003</v>
      </c>
      <c r="CF284">
        <f>0.640694384</f>
        <v>0.64069438400000001</v>
      </c>
      <c r="CG284">
        <f>0.560211036</f>
        <v>0.560211036</v>
      </c>
      <c r="CH284">
        <f>0.556408436</f>
        <v>0.55640843600000001</v>
      </c>
      <c r="CI284">
        <f>0.545171058</f>
        <v>0.54517105799999999</v>
      </c>
      <c r="CJ284">
        <f>0.522270879</f>
        <v>0.52227087900000002</v>
      </c>
      <c r="CK284">
        <f>0.470562511</f>
        <v>0.47056251100000002</v>
      </c>
      <c r="CL284">
        <f>0.45818495</f>
        <v>0.45818494999999998</v>
      </c>
      <c r="CM284">
        <f>0.546598523</f>
        <v>0.546598523</v>
      </c>
      <c r="CN284">
        <f>0.468593041</f>
        <v>0.46859304099999999</v>
      </c>
      <c r="CO284">
        <f>0.44084382</f>
        <v>0.44084382</v>
      </c>
      <c r="CP284">
        <f>0.529780934</f>
        <v>0.52978093400000004</v>
      </c>
      <c r="CQ284">
        <f>0.384357964</f>
        <v>0.384357964</v>
      </c>
      <c r="CR284">
        <f>0.367148602</f>
        <v>0.36714860199999999</v>
      </c>
      <c r="CS284">
        <f>0.482492065</f>
        <v>0.48249206500000003</v>
      </c>
      <c r="CT284">
        <f>0.622309737</f>
        <v>0.62230973700000003</v>
      </c>
      <c r="CU284">
        <f>0.62674592</f>
        <v>0.62674591999999996</v>
      </c>
      <c r="CV284">
        <f>0.534338862</f>
        <v>0.53433886200000003</v>
      </c>
      <c r="CW284">
        <f>0.409688972</f>
        <v>0.40968897199999998</v>
      </c>
      <c r="CX284">
        <f>0.433710066</f>
        <v>0.43371006600000001</v>
      </c>
      <c r="CY284">
        <f>0.550984971</f>
        <v>0.55098497099999999</v>
      </c>
      <c r="CZ284">
        <f>0.446408375</f>
        <v>0.44640837500000002</v>
      </c>
      <c r="DA284">
        <f>0.185094443</f>
        <v>0.185094443</v>
      </c>
      <c r="DB284">
        <f>0.111581894</f>
        <v>0.111581894</v>
      </c>
      <c r="DC284" t="str">
        <f>""</f>
        <v/>
      </c>
      <c r="DD284" t="str">
        <f>""</f>
        <v/>
      </c>
      <c r="DE284" t="str">
        <f>""</f>
        <v/>
      </c>
      <c r="DF284" t="str">
        <f>""</f>
        <v/>
      </c>
      <c r="DG284" t="str">
        <f>""</f>
        <v/>
      </c>
      <c r="DH284" t="str">
        <f>""</f>
        <v/>
      </c>
      <c r="DI284" t="str">
        <f>""</f>
        <v/>
      </c>
      <c r="DJ284" t="str">
        <f>""</f>
        <v/>
      </c>
      <c r="DK284" t="str">
        <f>""</f>
        <v/>
      </c>
      <c r="DL284" t="str">
        <f>""</f>
        <v/>
      </c>
      <c r="DM284" t="str">
        <f>""</f>
        <v/>
      </c>
      <c r="DN284" t="str">
        <f>""</f>
        <v/>
      </c>
      <c r="DO284" t="str">
        <f>""</f>
        <v/>
      </c>
      <c r="DP284" t="str">
        <f>""</f>
        <v/>
      </c>
      <c r="DQ284" t="str">
        <f>""</f>
        <v/>
      </c>
      <c r="DR284" t="str">
        <f>""</f>
        <v/>
      </c>
      <c r="DS284" t="str">
        <f>""</f>
        <v/>
      </c>
      <c r="DT284" t="str">
        <f>""</f>
        <v/>
      </c>
      <c r="DU284" t="str">
        <f>""</f>
        <v/>
      </c>
    </row>
    <row r="285" spans="1:125" x14ac:dyDescent="0.25">
      <c r="A285" t="str">
        <f>"    Tesla Inc"</f>
        <v xml:space="preserve">    Tesla Inc</v>
      </c>
      <c r="B285" t="str">
        <f>"TSLA US Equity"</f>
        <v>TSLA US Equity</v>
      </c>
      <c r="C285" t="str">
        <f t="shared" si="18"/>
        <v>RR904</v>
      </c>
      <c r="D285" t="str">
        <f t="shared" si="19"/>
        <v>PX_TO_SALES_RATIO</v>
      </c>
      <c r="E285" t="str">
        <f t="shared" si="20"/>
        <v>Dynamic</v>
      </c>
      <c r="F285">
        <f ca="1">IF(AND(ISNUMBER($F$953),$B$677=1),$F$953,HLOOKUP(INDIRECT(ADDRESS(2,COLUMN())),OFFSET($BN$2,0,0,ROW()-1,60),ROW()-1,FALSE))</f>
        <v>2.3440501540000001</v>
      </c>
      <c r="G285">
        <f ca="1">IF(AND(ISNUMBER($G$953),$B$677=1),$G$953,HLOOKUP(INDIRECT(ADDRESS(2,COLUMN())),OFFSET($BN$2,0,0,ROW()-1,60),ROW()-1,FALSE))</f>
        <v>2.6489635919999999</v>
      </c>
      <c r="H285">
        <f ca="1">IF(AND(ISNUMBER($H$953),$B$677=1),$H$953,HLOOKUP(INDIRECT(ADDRESS(2,COLUMN())),OFFSET($BN$2,0,0,ROW()-1,60),ROW()-1,FALSE))</f>
        <v>2.566448871</v>
      </c>
      <c r="I285">
        <f ca="1">IF(AND(ISNUMBER($I$953),$B$677=1),$I$953,HLOOKUP(INDIRECT(ADDRESS(2,COLUMN())),OFFSET($BN$2,0,0,ROW()-1,60),ROW()-1,FALSE))</f>
        <v>4.230140456</v>
      </c>
      <c r="J285">
        <f ca="1">IF(AND(ISNUMBER($J$953),$B$677=1),$J$953,HLOOKUP(INDIRECT(ADDRESS(2,COLUMN())),OFFSET($BN$2,0,0,ROW()-1,60),ROW()-1,FALSE))</f>
        <v>3.576308601</v>
      </c>
      <c r="K285">
        <f ca="1">IF(AND(ISNUMBER($K$953),$B$677=1),$K$953,HLOOKUP(INDIRECT(ADDRESS(2,COLUMN())),OFFSET($BN$2,0,0,ROW()-1,60),ROW()-1,FALSE))</f>
        <v>4.391866855</v>
      </c>
      <c r="L285">
        <f ca="1">IF(AND(ISNUMBER($L$953),$B$677=1),$L$953,HLOOKUP(INDIRECT(ADDRESS(2,COLUMN())),OFFSET($BN$2,0,0,ROW()-1,60),ROW()-1,FALSE))</f>
        <v>5.1608877</v>
      </c>
      <c r="M285">
        <f ca="1">IF(AND(ISNUMBER($M$953),$B$677=1),$M$953,HLOOKUP(INDIRECT(ADDRESS(2,COLUMN())),OFFSET($BN$2,0,0,ROW()-1,60),ROW()-1,FALSE))</f>
        <v>5.6786327539999997</v>
      </c>
      <c r="N285">
        <f ca="1">IF(AND(ISNUMBER($N$953),$B$677=1),$N$953,HLOOKUP(INDIRECT(ADDRESS(2,COLUMN())),OFFSET($BN$2,0,0,ROW()-1,60),ROW()-1,FALSE))</f>
        <v>4.9814737999999998</v>
      </c>
      <c r="O285">
        <f ca="1">IF(AND(ISNUMBER($O$953),$B$677=1),$O$953,HLOOKUP(INDIRECT(ADDRESS(2,COLUMN())),OFFSET($BN$2,0,0,ROW()-1,60),ROW()-1,FALSE))</f>
        <v>4.462838369</v>
      </c>
      <c r="P285">
        <f ca="1">IF(AND(ISNUMBER($P$953),$B$677=1),$P$953,HLOOKUP(INDIRECT(ADDRESS(2,COLUMN())),OFFSET($BN$2,0,0,ROW()-1,60),ROW()-1,FALSE))</f>
        <v>4.8111422800000003</v>
      </c>
      <c r="Q285">
        <f ca="1">IF(AND(ISNUMBER($Q$953),$B$677=1),$Q$953,HLOOKUP(INDIRECT(ADDRESS(2,COLUMN())),OFFSET($BN$2,0,0,ROW()-1,60),ROW()-1,FALSE))</f>
        <v>6.1992731470000004</v>
      </c>
      <c r="R285">
        <f ca="1">IF(AND(ISNUMBER($R$953),$B$677=1),$R$953,HLOOKUP(INDIRECT(ADDRESS(2,COLUMN())),OFFSET($BN$2,0,0,ROW()-1,60),ROW()-1,FALSE))</f>
        <v>7.0248809559999996</v>
      </c>
      <c r="S285">
        <f ca="1">IF(AND(ISNUMBER($S$953),$B$677=1),$S$953,HLOOKUP(INDIRECT(ADDRESS(2,COLUMN())),OFFSET($BN$2,0,0,ROW()-1,60),ROW()-1,FALSE))</f>
        <v>7.613305918</v>
      </c>
      <c r="T285">
        <f ca="1">IF(AND(ISNUMBER($T$953),$B$677=1),$T$953,HLOOKUP(INDIRECT(ADDRESS(2,COLUMN())),OFFSET($BN$2,0,0,ROW()-1,60),ROW()-1,FALSE))</f>
        <v>8.3118479359999995</v>
      </c>
      <c r="U285">
        <f ca="1">IF(AND(ISNUMBER($U$953),$B$677=1),$U$953,HLOOKUP(INDIRECT(ADDRESS(2,COLUMN())),OFFSET($BN$2,0,0,ROW()-1,60),ROW()-1,FALSE))</f>
        <v>9.1112425730000002</v>
      </c>
      <c r="V285">
        <f ca="1">IF(AND(ISNUMBER($V$953),$B$677=1),$V$953,HLOOKUP(INDIRECT(ADDRESS(2,COLUMN())),OFFSET($BN$2,0,0,ROW()-1,60),ROW()-1,FALSE))</f>
        <v>6.7185743779999996</v>
      </c>
      <c r="W285">
        <f ca="1">IF(AND(ISNUMBER($W$953),$B$677=1),$W$953,HLOOKUP(INDIRECT(ADDRESS(2,COLUMN())),OFFSET($BN$2,0,0,ROW()-1,60),ROW()-1,FALSE))</f>
        <v>8.6675931449999997</v>
      </c>
      <c r="X285">
        <f ca="1">IF(AND(ISNUMBER($X$953),$B$677=1),$X$953,HLOOKUP(INDIRECT(ADDRESS(2,COLUMN())),OFFSET($BN$2,0,0,ROW()-1,60),ROW()-1,FALSE))</f>
        <v>10.52987134</v>
      </c>
      <c r="Y285">
        <f ca="1">IF(AND(ISNUMBER($Y$953),$B$677=1),$Y$953,HLOOKUP(INDIRECT(ADDRESS(2,COLUMN())),OFFSET($BN$2,0,0,ROW()-1,60),ROW()-1,FALSE))</f>
        <v>12.14439701</v>
      </c>
      <c r="Z285">
        <f ca="1">IF(AND(ISNUMBER($Z$953),$B$677=1),$Z$953,HLOOKUP(INDIRECT(ADDRESS(2,COLUMN())),OFFSET($BN$2,0,0,ROW()-1,60),ROW()-1,FALSE))</f>
        <v>12.25963445</v>
      </c>
      <c r="AA285">
        <f ca="1">IF(AND(ISNUMBER($AA$953),$B$677=1),$AA$953,HLOOKUP(INDIRECT(ADDRESS(2,COLUMN())),OFFSET($BN$2,0,0,ROW()-1,60),ROW()-1,FALSE))</f>
        <v>8.9145056650000001</v>
      </c>
      <c r="AB285">
        <f ca="1">IF(AND(ISNUMBER($AB$953),$B$677=1),$AB$953,HLOOKUP(INDIRECT(ADDRESS(2,COLUMN())),OFFSET($BN$2,0,0,ROW()-1,60),ROW()-1,FALSE))</f>
        <v>13.28318058</v>
      </c>
      <c r="AC285">
        <f ca="1">IF(AND(ISNUMBER($AC$953),$B$677=1),$AC$953,HLOOKUP(INDIRECT(ADDRESS(2,COLUMN())),OFFSET($BN$2,0,0,ROW()-1,60),ROW()-1,FALSE))</f>
        <v>9.3416943660000005</v>
      </c>
      <c r="AD285">
        <f ca="1">IF(AND(ISNUMBER($AD$953),$B$677=1),$AD$953,HLOOKUP(INDIRECT(ADDRESS(2,COLUMN())),OFFSET($BN$2,0,0,ROW()-1,60),ROW()-1,FALSE))</f>
        <v>4.5551498500000003</v>
      </c>
      <c r="AE285">
        <f ca="1">IF(AND(ISNUMBER($AE$953),$B$677=1),$AE$953,HLOOKUP(INDIRECT(ADDRESS(2,COLUMN())),OFFSET($BN$2,0,0,ROW()-1,60),ROW()-1,FALSE))</f>
        <v>9.1329816499999996</v>
      </c>
      <c r="AF285">
        <f ca="1">IF(AND(ISNUMBER($AF$953),$B$677=1),$AF$953,HLOOKUP(INDIRECT(ADDRESS(2,COLUMN())),OFFSET($BN$2,0,0,ROW()-1,60),ROW()-1,FALSE))</f>
        <v>21.019379560000001</v>
      </c>
      <c r="AG285">
        <f ca="1">IF(AND(ISNUMBER($AG$953),$B$677=1),$AG$953,HLOOKUP(INDIRECT(ADDRESS(2,COLUMN())),OFFSET($BN$2,0,0,ROW()-1,60),ROW()-1,FALSE))</f>
        <v>21.25094794</v>
      </c>
      <c r="AH285">
        <f ca="1">IF(AND(ISNUMBER($AH$953),$B$677=1),$AH$953,HLOOKUP(INDIRECT(ADDRESS(2,COLUMN())),OFFSET($BN$2,0,0,ROW()-1,60),ROW()-1,FALSE))</f>
        <v>20.526873680000001</v>
      </c>
      <c r="AI285">
        <f ca="1">IF(AND(ISNUMBER($AI$953),$B$677=1),$AI$953,HLOOKUP(INDIRECT(ADDRESS(2,COLUMN())),OFFSET($BN$2,0,0,ROW()-1,60),ROW()-1,FALSE))</f>
        <v>13.990395210000001</v>
      </c>
      <c r="AJ285">
        <f ca="1">IF(AND(ISNUMBER($AJ$953),$B$677=1),$AJ$953,HLOOKUP(INDIRECT(ADDRESS(2,COLUMN())),OFFSET($BN$2,0,0,ROW()-1,60),ROW()-1,FALSE))</f>
        <v>11.901888380000001</v>
      </c>
      <c r="AK285">
        <f ca="1">IF(AND(ISNUMBER($AK$953),$B$677=1),$AK$953,HLOOKUP(INDIRECT(ADDRESS(2,COLUMN())),OFFSET($BN$2,0,0,ROW()-1,60),ROW()-1,FALSE))</f>
        <v>15.88536824</v>
      </c>
      <c r="AL285">
        <f ca="1">IF(AND(ISNUMBER($AL$953),$B$677=1),$AL$953,HLOOKUP(INDIRECT(ADDRESS(2,COLUMN())),OFFSET($BN$2,0,0,ROW()-1,60),ROW()-1,FALSE))</f>
        <v>5.6004556829999999</v>
      </c>
      <c r="AM285">
        <f ca="1">IF(AND(ISNUMBER($AM$953),$B$677=1),$AM$953,HLOOKUP(INDIRECT(ADDRESS(2,COLUMN())),OFFSET($BN$2,0,0,ROW()-1,60),ROW()-1,FALSE))</f>
        <v>3.6529162130000001</v>
      </c>
      <c r="AN285">
        <f ca="1">IF(AND(ISNUMBER($AN$953),$B$677=1),$AN$953,HLOOKUP(INDIRECT(ADDRESS(2,COLUMN())),OFFSET($BN$2,0,0,ROW()-1,60),ROW()-1,FALSE))</f>
        <v>2.1362636749999999</v>
      </c>
      <c r="AO285" t="str">
        <f ca="1">IF(AND(ISNUMBER($AO$953),$B$677=1),$AO$953,HLOOKUP(INDIRECT(ADDRESS(2,COLUMN())),OFFSET($BN$2,0,0,ROW()-1,60),ROW()-1,FALSE))</f>
        <v/>
      </c>
      <c r="AP285" t="str">
        <f ca="1">IF(AND(ISNUMBER($AP$953),$B$677=1),$AP$953,HLOOKUP(INDIRECT(ADDRESS(2,COLUMN())),OFFSET($BN$2,0,0,ROW()-1,60),ROW()-1,FALSE))</f>
        <v/>
      </c>
      <c r="AQ285" t="str">
        <f ca="1">IF(AND(ISNUMBER($AQ$953),$B$677=1),$AQ$953,HLOOKUP(INDIRECT(ADDRESS(2,COLUMN())),OFFSET($BN$2,0,0,ROW()-1,60),ROW()-1,FALSE))</f>
        <v/>
      </c>
      <c r="AR285" t="str">
        <f ca="1">IF(AND(ISNUMBER($AR$953),$B$677=1),$AR$953,HLOOKUP(INDIRECT(ADDRESS(2,COLUMN())),OFFSET($BN$2,0,0,ROW()-1,60),ROW()-1,FALSE))</f>
        <v/>
      </c>
      <c r="AS285" t="str">
        <f ca="1">IF(AND(ISNUMBER($AS$953),$B$677=1),$AS$953,HLOOKUP(INDIRECT(ADDRESS(2,COLUMN())),OFFSET($BN$2,0,0,ROW()-1,60),ROW()-1,FALSE))</f>
        <v/>
      </c>
      <c r="AT285" t="str">
        <f ca="1">IF(AND(ISNUMBER($AT$953),$B$677=1),$AT$953,HLOOKUP(INDIRECT(ADDRESS(2,COLUMN())),OFFSET($BN$2,0,0,ROW()-1,60),ROW()-1,FALSE))</f>
        <v/>
      </c>
      <c r="AU285" t="str">
        <f ca="1">IF(AND(ISNUMBER($AU$953),$B$677=1),$AU$953,HLOOKUP(INDIRECT(ADDRESS(2,COLUMN())),OFFSET($BN$2,0,0,ROW()-1,60),ROW()-1,FALSE))</f>
        <v/>
      </c>
      <c r="AV285" t="str">
        <f ca="1">IF(AND(ISNUMBER($AV$953),$B$677=1),$AV$953,HLOOKUP(INDIRECT(ADDRESS(2,COLUMN())),OFFSET($BN$2,0,0,ROW()-1,60),ROW()-1,FALSE))</f>
        <v/>
      </c>
      <c r="AW285" t="str">
        <f ca="1">IF(AND(ISNUMBER($AW$953),$B$677=1),$AW$953,HLOOKUP(INDIRECT(ADDRESS(2,COLUMN())),OFFSET($BN$2,0,0,ROW()-1,60),ROW()-1,FALSE))</f>
        <v/>
      </c>
      <c r="AX285" t="str">
        <f ca="1">IF(AND(ISNUMBER($AX$953),$B$677=1),$AX$953,HLOOKUP(INDIRECT(ADDRESS(2,COLUMN())),OFFSET($BN$2,0,0,ROW()-1,60),ROW()-1,FALSE))</f>
        <v/>
      </c>
      <c r="AY285" t="str">
        <f ca="1">IF(AND(ISNUMBER($AY$953),$B$677=1),$AY$953,HLOOKUP(INDIRECT(ADDRESS(2,COLUMN())),OFFSET($BN$2,0,0,ROW()-1,60),ROW()-1,FALSE))</f>
        <v/>
      </c>
      <c r="AZ285" t="str">
        <f ca="1">IF(AND(ISNUMBER($AZ$953),$B$677=1),$AZ$953,HLOOKUP(INDIRECT(ADDRESS(2,COLUMN())),OFFSET($BN$2,0,0,ROW()-1,60),ROW()-1,FALSE))</f>
        <v/>
      </c>
      <c r="BA285" t="str">
        <f ca="1">IF(AND(ISNUMBER($BA$953),$B$677=1),$BA$953,HLOOKUP(INDIRECT(ADDRESS(2,COLUMN())),OFFSET($BN$2,0,0,ROW()-1,60),ROW()-1,FALSE))</f>
        <v/>
      </c>
      <c r="BB285" t="str">
        <f ca="1">IF(AND(ISNUMBER($BB$953),$B$677=1),$BB$953,HLOOKUP(INDIRECT(ADDRESS(2,COLUMN())),OFFSET($BN$2,0,0,ROW()-1,60),ROW()-1,FALSE))</f>
        <v/>
      </c>
      <c r="BC285" t="str">
        <f ca="1">IF(AND(ISNUMBER($BC$953),$B$677=1),$BC$953,HLOOKUP(INDIRECT(ADDRESS(2,COLUMN())),OFFSET($BN$2,0,0,ROW()-1,60),ROW()-1,FALSE))</f>
        <v/>
      </c>
      <c r="BD285" t="str">
        <f ca="1">IF(AND(ISNUMBER($BD$953),$B$677=1),$BD$953,HLOOKUP(INDIRECT(ADDRESS(2,COLUMN())),OFFSET($BN$2,0,0,ROW()-1,60),ROW()-1,FALSE))</f>
        <v/>
      </c>
      <c r="BE285" t="str">
        <f ca="1">IF(AND(ISNUMBER($BE$953),$B$677=1),$BE$953,HLOOKUP(INDIRECT(ADDRESS(2,COLUMN())),OFFSET($BN$2,0,0,ROW()-1,60),ROW()-1,FALSE))</f>
        <v/>
      </c>
      <c r="BF285" t="str">
        <f ca="1">IF(AND(ISNUMBER($BF$953),$B$677=1),$BF$953,HLOOKUP(INDIRECT(ADDRESS(2,COLUMN())),OFFSET($BN$2,0,0,ROW()-1,60),ROW()-1,FALSE))</f>
        <v/>
      </c>
      <c r="BG285" t="str">
        <f ca="1">IF(AND(ISNUMBER($BG$953),$B$677=1),$BG$953,HLOOKUP(INDIRECT(ADDRESS(2,COLUMN())),OFFSET($BN$2,0,0,ROW()-1,60),ROW()-1,FALSE))</f>
        <v/>
      </c>
      <c r="BH285" t="str">
        <f ca="1">IF(AND(ISNUMBER($BH$953),$B$677=1),$BH$953,HLOOKUP(INDIRECT(ADDRESS(2,COLUMN())),OFFSET($BN$2,0,0,ROW()-1,60),ROW()-1,FALSE))</f>
        <v/>
      </c>
      <c r="BI285" t="str">
        <f ca="1">IF(AND(ISNUMBER($BI$953),$B$677=1),$BI$953,HLOOKUP(INDIRECT(ADDRESS(2,COLUMN())),OFFSET($BN$2,0,0,ROW()-1,60),ROW()-1,FALSE))</f>
        <v/>
      </c>
      <c r="BJ285" t="str">
        <f ca="1">IF(AND(ISNUMBER($BJ$953),$B$677=1),$BJ$953,HLOOKUP(INDIRECT(ADDRESS(2,COLUMN())),OFFSET($BN$2,0,0,ROW()-1,60),ROW()-1,FALSE))</f>
        <v/>
      </c>
      <c r="BK285" t="str">
        <f ca="1">IF(AND(ISNUMBER($BK$953),$B$677=1),$BK$953,HLOOKUP(INDIRECT(ADDRESS(2,COLUMN())),OFFSET($BN$2,0,0,ROW()-1,60),ROW()-1,FALSE))</f>
        <v/>
      </c>
      <c r="BL285" t="str">
        <f ca="1">IF(AND(ISNUMBER($BL$953),$B$677=1),$BL$953,HLOOKUP(INDIRECT(ADDRESS(2,COLUMN())),OFFSET($BN$2,0,0,ROW()-1,60),ROW()-1,FALSE))</f>
        <v/>
      </c>
      <c r="BM285" t="str">
        <f ca="1">IF(AND(ISNUMBER($BM$953),$B$677=1),$BM$953,HLOOKUP(INDIRECT(ADDRESS(2,COLUMN())),OFFSET($BN$2,0,0,ROW()-1,60),ROW()-1,FALSE))</f>
        <v/>
      </c>
      <c r="BN285">
        <f>2.344050154</f>
        <v>2.3440501540000001</v>
      </c>
      <c r="BO285">
        <f>2.648963592</f>
        <v>2.6489635919999999</v>
      </c>
      <c r="BP285">
        <f>2.566448871</f>
        <v>2.566448871</v>
      </c>
      <c r="BQ285">
        <f>4.230140456</f>
        <v>4.230140456</v>
      </c>
      <c r="BR285">
        <f>3.576308601</f>
        <v>3.576308601</v>
      </c>
      <c r="BS285">
        <f>4.391866855</f>
        <v>4.391866855</v>
      </c>
      <c r="BT285">
        <f>5.1608877</f>
        <v>5.1608877</v>
      </c>
      <c r="BU285">
        <f>5.678632754</f>
        <v>5.6786327539999997</v>
      </c>
      <c r="BV285">
        <f>4.9814738</f>
        <v>4.9814737999999998</v>
      </c>
      <c r="BW285">
        <f>4.462838369</f>
        <v>4.462838369</v>
      </c>
      <c r="BX285">
        <f>4.81114228</f>
        <v>4.8111422800000003</v>
      </c>
      <c r="BY285">
        <f>6.199273147</f>
        <v>6.1992731470000004</v>
      </c>
      <c r="BZ285">
        <f>7.024880956</f>
        <v>7.0248809559999996</v>
      </c>
      <c r="CA285">
        <f>7.613305918</f>
        <v>7.613305918</v>
      </c>
      <c r="CB285">
        <f>8.311847936</f>
        <v>8.3118479359999995</v>
      </c>
      <c r="CC285">
        <f>9.111242573</f>
        <v>9.1112425730000002</v>
      </c>
      <c r="CD285">
        <f>6.718574378</f>
        <v>6.7185743779999996</v>
      </c>
      <c r="CE285">
        <f>8.667593145</f>
        <v>8.6675931449999997</v>
      </c>
      <c r="CF285">
        <f>10.52987134</f>
        <v>10.52987134</v>
      </c>
      <c r="CG285">
        <f>12.14439701</f>
        <v>12.14439701</v>
      </c>
      <c r="CH285">
        <f>12.25963445</f>
        <v>12.25963445</v>
      </c>
      <c r="CI285">
        <f>8.914505665</f>
        <v>8.9145056650000001</v>
      </c>
      <c r="CJ285">
        <f>13.28318058</f>
        <v>13.28318058</v>
      </c>
      <c r="CK285">
        <f>9.341694366</f>
        <v>9.3416943660000005</v>
      </c>
      <c r="CL285">
        <f>4.55514985</f>
        <v>4.5551498500000003</v>
      </c>
      <c r="CM285">
        <f>9.13298165</f>
        <v>9.1329816499999996</v>
      </c>
      <c r="CN285">
        <f>21.01937956</f>
        <v>21.019379560000001</v>
      </c>
      <c r="CO285">
        <f>21.25094794</f>
        <v>21.25094794</v>
      </c>
      <c r="CP285">
        <f>20.52687368</f>
        <v>20.526873680000001</v>
      </c>
      <c r="CQ285">
        <f>13.99039521</f>
        <v>13.990395210000001</v>
      </c>
      <c r="CR285">
        <f>11.90188838</f>
        <v>11.901888380000001</v>
      </c>
      <c r="CS285">
        <f>15.88536824</f>
        <v>15.88536824</v>
      </c>
      <c r="CT285">
        <f>5.600455683</f>
        <v>5.6004556829999999</v>
      </c>
      <c r="CU285">
        <f>3.652916213</f>
        <v>3.6529162130000001</v>
      </c>
      <c r="CV285">
        <f>2.136263675</f>
        <v>2.1362636749999999</v>
      </c>
      <c r="CW285" t="str">
        <f>""</f>
        <v/>
      </c>
      <c r="CX285" t="str">
        <f>""</f>
        <v/>
      </c>
      <c r="CY285" t="str">
        <f>""</f>
        <v/>
      </c>
      <c r="CZ285" t="str">
        <f>""</f>
        <v/>
      </c>
      <c r="DA285" t="str">
        <f>""</f>
        <v/>
      </c>
      <c r="DB285" t="str">
        <f>""</f>
        <v/>
      </c>
      <c r="DC285" t="str">
        <f>""</f>
        <v/>
      </c>
      <c r="DD285" t="str">
        <f>""</f>
        <v/>
      </c>
      <c r="DE285" t="str">
        <f>""</f>
        <v/>
      </c>
      <c r="DF285" t="str">
        <f>""</f>
        <v/>
      </c>
      <c r="DG285" t="str">
        <f>""</f>
        <v/>
      </c>
      <c r="DH285" t="str">
        <f>""</f>
        <v/>
      </c>
      <c r="DI285" t="str">
        <f>""</f>
        <v/>
      </c>
      <c r="DJ285" t="str">
        <f>""</f>
        <v/>
      </c>
      <c r="DK285" t="str">
        <f>""</f>
        <v/>
      </c>
      <c r="DL285" t="str">
        <f>""</f>
        <v/>
      </c>
      <c r="DM285" t="str">
        <f>""</f>
        <v/>
      </c>
      <c r="DN285" t="str">
        <f>""</f>
        <v/>
      </c>
      <c r="DO285" t="str">
        <f>""</f>
        <v/>
      </c>
      <c r="DP285" t="str">
        <f>""</f>
        <v/>
      </c>
      <c r="DQ285" t="str">
        <f>""</f>
        <v/>
      </c>
      <c r="DR285" t="str">
        <f>""</f>
        <v/>
      </c>
      <c r="DS285" t="str">
        <f>""</f>
        <v/>
      </c>
      <c r="DT285" t="str">
        <f>""</f>
        <v/>
      </c>
      <c r="DU285" t="str">
        <f>""</f>
        <v/>
      </c>
    </row>
    <row r="286" spans="1:125" x14ac:dyDescent="0.25">
      <c r="A286" t="str">
        <f>"    Tianjin Faw Xiali Automobile Co Ltd"</f>
        <v xml:space="preserve">    Tianjin Faw Xiali Automobile Co Ltd</v>
      </c>
      <c r="B286" t="str">
        <f>"000927 CH Equity"</f>
        <v>000927 CH Equity</v>
      </c>
      <c r="C286" t="str">
        <f t="shared" si="18"/>
        <v>RR904</v>
      </c>
      <c r="D286" t="str">
        <f t="shared" si="19"/>
        <v>PX_TO_SALES_RATIO</v>
      </c>
      <c r="E286" t="str">
        <f t="shared" si="20"/>
        <v>Dynamic</v>
      </c>
      <c r="F286">
        <f ca="1">IF(AND(ISNUMBER($F$954),$B$677=1),$F$954,HLOOKUP(INDIRECT(ADDRESS(2,COLUMN())),OFFSET($BN$2,0,0,ROW()-1,60),ROW()-1,FALSE))</f>
        <v>4.3313640969999998</v>
      </c>
      <c r="G286">
        <f ca="1">IF(AND(ISNUMBER($G$954),$B$677=1),$G$954,HLOOKUP(INDIRECT(ADDRESS(2,COLUMN())),OFFSET($BN$2,0,0,ROW()-1,60),ROW()-1,FALSE))</f>
        <v>3.727813362</v>
      </c>
      <c r="H286">
        <f ca="1">IF(AND(ISNUMBER($H$954),$B$677=1),$H$954,HLOOKUP(INDIRECT(ADDRESS(2,COLUMN())),OFFSET($BN$2,0,0,ROW()-1,60),ROW()-1,FALSE))</f>
        <v>3.9526655970000002</v>
      </c>
      <c r="I286">
        <f ca="1">IF(AND(ISNUMBER($I$954),$B$677=1),$I$954,HLOOKUP(INDIRECT(ADDRESS(2,COLUMN())),OFFSET($BN$2,0,0,ROW()-1,60),ROW()-1,FALSE))</f>
        <v>4.1287197219999996</v>
      </c>
      <c r="J286">
        <f ca="1">IF(AND(ISNUMBER($J$954),$B$677=1),$J$954,HLOOKUP(INDIRECT(ADDRESS(2,COLUMN())),OFFSET($BN$2,0,0,ROW()-1,60),ROW()-1,FALSE))</f>
        <v>4.5523496120000004</v>
      </c>
      <c r="K286">
        <f ca="1">IF(AND(ISNUMBER($K$954),$B$677=1),$K$954,HLOOKUP(INDIRECT(ADDRESS(2,COLUMN())),OFFSET($BN$2,0,0,ROW()-1,60),ROW()-1,FALSE))</f>
        <v>5.2079816149999996</v>
      </c>
      <c r="L286">
        <f ca="1">IF(AND(ISNUMBER($L$954),$B$677=1),$L$954,HLOOKUP(INDIRECT(ADDRESS(2,COLUMN())),OFFSET($BN$2,0,0,ROW()-1,60),ROW()-1,FALSE))</f>
        <v>6.1754247759999998</v>
      </c>
      <c r="M286">
        <f ca="1">IF(AND(ISNUMBER($M$954),$B$677=1),$M$954,HLOOKUP(INDIRECT(ADDRESS(2,COLUMN())),OFFSET($BN$2,0,0,ROW()-1,60),ROW()-1,FALSE))</f>
        <v>5.294997586</v>
      </c>
      <c r="N286">
        <f ca="1">IF(AND(ISNUMBER($N$954),$B$677=1),$N$954,HLOOKUP(INDIRECT(ADDRESS(2,COLUMN())),OFFSET($BN$2,0,0,ROW()-1,60),ROW()-1,FALSE))</f>
        <v>7.0591906240000002</v>
      </c>
      <c r="O286">
        <f ca="1">IF(AND(ISNUMBER($O$954),$B$677=1),$O$954,HLOOKUP(INDIRECT(ADDRESS(2,COLUMN())),OFFSET($BN$2,0,0,ROW()-1,60),ROW()-1,FALSE))</f>
        <v>4.8970783620000002</v>
      </c>
      <c r="P286">
        <f ca="1">IF(AND(ISNUMBER($P$954),$B$677=1),$P$954,HLOOKUP(INDIRECT(ADDRESS(2,COLUMN())),OFFSET($BN$2,0,0,ROW()-1,60),ROW()-1,FALSE))</f>
        <v>3.629867854</v>
      </c>
      <c r="Q286">
        <f ca="1">IF(AND(ISNUMBER($Q$954),$B$677=1),$Q$954,HLOOKUP(INDIRECT(ADDRESS(2,COLUMN())),OFFSET($BN$2,0,0,ROW()-1,60),ROW()-1,FALSE))</f>
        <v>3.6612091279999999</v>
      </c>
      <c r="R286">
        <f ca="1">IF(AND(ISNUMBER($R$954),$B$677=1),$R$954,HLOOKUP(INDIRECT(ADDRESS(2,COLUMN())),OFFSET($BN$2,0,0,ROW()-1,60),ROW()-1,FALSE))</f>
        <v>3.8295374419999999</v>
      </c>
      <c r="S286">
        <f ca="1">IF(AND(ISNUMBER($S$954),$B$677=1),$S$954,HLOOKUP(INDIRECT(ADDRESS(2,COLUMN())),OFFSET($BN$2,0,0,ROW()-1,60),ROW()-1,FALSE))</f>
        <v>3.5732893090000002</v>
      </c>
      <c r="T286">
        <f ca="1">IF(AND(ISNUMBER($T$954),$B$677=1),$T$954,HLOOKUP(INDIRECT(ADDRESS(2,COLUMN())),OFFSET($BN$2,0,0,ROW()-1,60),ROW()-1,FALSE))</f>
        <v>2.8618333489999999</v>
      </c>
      <c r="U286">
        <f ca="1">IF(AND(ISNUMBER($U$954),$B$677=1),$U$954,HLOOKUP(INDIRECT(ADDRESS(2,COLUMN())),OFFSET($BN$2,0,0,ROW()-1,60),ROW()-1,FALSE))</f>
        <v>4.286094597</v>
      </c>
      <c r="V286">
        <f ca="1">IF(AND(ISNUMBER($V$954),$B$677=1),$V$954,HLOOKUP(INDIRECT(ADDRESS(2,COLUMN())),OFFSET($BN$2,0,0,ROW()-1,60),ROW()-1,FALSE))</f>
        <v>3.9344687450000002</v>
      </c>
      <c r="W286">
        <f ca="1">IF(AND(ISNUMBER($W$954),$B$677=1),$W$954,HLOOKUP(INDIRECT(ADDRESS(2,COLUMN())),OFFSET($BN$2,0,0,ROW()-1,60),ROW()-1,FALSE))</f>
        <v>3.3426235750000002</v>
      </c>
      <c r="X286">
        <f ca="1">IF(AND(ISNUMBER($X$954),$B$677=1),$X$954,HLOOKUP(INDIRECT(ADDRESS(2,COLUMN())),OFFSET($BN$2,0,0,ROW()-1,60),ROW()-1,FALSE))</f>
        <v>2.1220757109999999</v>
      </c>
      <c r="Y286">
        <f ca="1">IF(AND(ISNUMBER($Y$954),$B$677=1),$Y$954,HLOOKUP(INDIRECT(ADDRESS(2,COLUMN())),OFFSET($BN$2,0,0,ROW()-1,60),ROW()-1,FALSE))</f>
        <v>1.406212722</v>
      </c>
      <c r="Z286">
        <f ca="1">IF(AND(ISNUMBER($Z$954),$B$677=1),$Z$954,HLOOKUP(INDIRECT(ADDRESS(2,COLUMN())),OFFSET($BN$2,0,0,ROW()-1,60),ROW()-1,FALSE))</f>
        <v>1.2726693039999999</v>
      </c>
      <c r="AA286">
        <f ca="1">IF(AND(ISNUMBER($AA$954),$B$677=1),$AA$954,HLOOKUP(INDIRECT(ADDRESS(2,COLUMN())),OFFSET($BN$2,0,0,ROW()-1,60),ROW()-1,FALSE))</f>
        <v>1.0373371330000001</v>
      </c>
      <c r="AB286">
        <f ca="1">IF(AND(ISNUMBER($AB$954),$B$677=1),$AB$954,HLOOKUP(INDIRECT(ADDRESS(2,COLUMN())),OFFSET($BN$2,0,0,ROW()-1,60),ROW()-1,FALSE))</f>
        <v>0.98690606999999997</v>
      </c>
      <c r="AC286">
        <f ca="1">IF(AND(ISNUMBER($AC$954),$B$677=1),$AC$954,HLOOKUP(INDIRECT(ADDRESS(2,COLUMN())),OFFSET($BN$2,0,0,ROW()-1,60),ROW()-1,FALSE))</f>
        <v>0.89891936100000003</v>
      </c>
      <c r="AD286">
        <f ca="1">IF(AND(ISNUMBER($AD$954),$B$677=1),$AD$954,HLOOKUP(INDIRECT(ADDRESS(2,COLUMN())),OFFSET($BN$2,0,0,ROW()-1,60),ROW()-1,FALSE))</f>
        <v>0.99835498700000003</v>
      </c>
      <c r="AE286">
        <f ca="1">IF(AND(ISNUMBER($AE$954),$B$677=1),$AE$954,HLOOKUP(INDIRECT(ADDRESS(2,COLUMN())),OFFSET($BN$2,0,0,ROW()-1,60),ROW()-1,FALSE))</f>
        <v>1.080035058</v>
      </c>
      <c r="AF286">
        <f ca="1">IF(AND(ISNUMBER($AF$954),$B$677=1),$AF$954,HLOOKUP(INDIRECT(ADDRESS(2,COLUMN())),OFFSET($BN$2,0,0,ROW()-1,60),ROW()-1,FALSE))</f>
        <v>0.97581626899999996</v>
      </c>
      <c r="AG286">
        <f ca="1">IF(AND(ISNUMBER($AG$954),$B$677=1),$AG$954,HLOOKUP(INDIRECT(ADDRESS(2,COLUMN())),OFFSET($BN$2,0,0,ROW()-1,60),ROW()-1,FALSE))</f>
        <v>1.397039667</v>
      </c>
      <c r="AH286">
        <f ca="1">IF(AND(ISNUMBER($AH$954),$B$677=1),$AH$954,HLOOKUP(INDIRECT(ADDRESS(2,COLUMN())),OFFSET($BN$2,0,0,ROW()-1,60),ROW()-1,FALSE))</f>
        <v>1.1987235759999999</v>
      </c>
      <c r="AI286">
        <f ca="1">IF(AND(ISNUMBER($AI$954),$B$677=1),$AI$954,HLOOKUP(INDIRECT(ADDRESS(2,COLUMN())),OFFSET($BN$2,0,0,ROW()-1,60),ROW()-1,FALSE))</f>
        <v>0.99942146099999996</v>
      </c>
      <c r="AJ286">
        <f ca="1">IF(AND(ISNUMBER($AJ$954),$B$677=1),$AJ$954,HLOOKUP(INDIRECT(ADDRESS(2,COLUMN())),OFFSET($BN$2,0,0,ROW()-1,60),ROW()-1,FALSE))</f>
        <v>1.1169121209999999</v>
      </c>
      <c r="AK286">
        <f ca="1">IF(AND(ISNUMBER($AK$954),$B$677=1),$AK$954,HLOOKUP(INDIRECT(ADDRESS(2,COLUMN())),OFFSET($BN$2,0,0,ROW()-1,60),ROW()-1,FALSE))</f>
        <v>1.0976084340000001</v>
      </c>
      <c r="AL286">
        <f ca="1">IF(AND(ISNUMBER($AL$954),$B$677=1),$AL$954,HLOOKUP(INDIRECT(ADDRESS(2,COLUMN())),OFFSET($BN$2,0,0,ROW()-1,60),ROW()-1,FALSE))</f>
        <v>1.2511022650000001</v>
      </c>
      <c r="AM286">
        <f ca="1">IF(AND(ISNUMBER($AM$954),$B$677=1),$AM$954,HLOOKUP(INDIRECT(ADDRESS(2,COLUMN())),OFFSET($BN$2,0,0,ROW()-1,60),ROW()-1,FALSE))</f>
        <v>1.3407765279999999</v>
      </c>
      <c r="AN286">
        <f ca="1">IF(AND(ISNUMBER($AN$954),$B$677=1),$AN$954,HLOOKUP(INDIRECT(ADDRESS(2,COLUMN())),OFFSET($BN$2,0,0,ROW()-1,60),ROW()-1,FALSE))</f>
        <v>1.4651082550000001</v>
      </c>
      <c r="AO286">
        <f ca="1">IF(AND(ISNUMBER($AO$954),$B$677=1),$AO$954,HLOOKUP(INDIRECT(ADDRESS(2,COLUMN())),OFFSET($BN$2,0,0,ROW()-1,60),ROW()-1,FALSE))</f>
        <v>1.3891649660000001</v>
      </c>
      <c r="AP286">
        <f ca="1">IF(AND(ISNUMBER($AP$954),$B$677=1),$AP$954,HLOOKUP(INDIRECT(ADDRESS(2,COLUMN())),OFFSET($BN$2,0,0,ROW()-1,60),ROW()-1,FALSE))</f>
        <v>1.7319698400000001</v>
      </c>
      <c r="AQ286">
        <f ca="1">IF(AND(ISNUMBER($AQ$954),$B$677=1),$AQ$954,HLOOKUP(INDIRECT(ADDRESS(2,COLUMN())),OFFSET($BN$2,0,0,ROW()-1,60),ROW()-1,FALSE))</f>
        <v>2.2569731850000001</v>
      </c>
      <c r="AR286">
        <f ca="1">IF(AND(ISNUMBER($AR$954),$B$677=1),$AR$954,HLOOKUP(INDIRECT(ADDRESS(2,COLUMN())),OFFSET($BN$2,0,0,ROW()-1,60),ROW()-1,FALSE))</f>
        <v>1.375057985</v>
      </c>
      <c r="AS286">
        <f ca="1">IF(AND(ISNUMBER($AS$954),$B$677=1),$AS$954,HLOOKUP(INDIRECT(ADDRESS(2,COLUMN())),OFFSET($BN$2,0,0,ROW()-1,60),ROW()-1,FALSE))</f>
        <v>1.5012174709999999</v>
      </c>
      <c r="AT286">
        <f ca="1">IF(AND(ISNUMBER($AT$954),$B$677=1),$AT$954,HLOOKUP(INDIRECT(ADDRESS(2,COLUMN())),OFFSET($BN$2,0,0,ROW()-1,60),ROW()-1,FALSE))</f>
        <v>1.1381710780000001</v>
      </c>
      <c r="AU286">
        <f ca="1">IF(AND(ISNUMBER($AU$954),$B$677=1),$AU$954,HLOOKUP(INDIRECT(ADDRESS(2,COLUMN())),OFFSET($BN$2,0,0,ROW()-1,60),ROW()-1,FALSE))</f>
        <v>0.85685576500000005</v>
      </c>
      <c r="AV286">
        <f ca="1">IF(AND(ISNUMBER($AV$954),$B$677=1),$AV$954,HLOOKUP(INDIRECT(ADDRESS(2,COLUMN())),OFFSET($BN$2,0,0,ROW()-1,60),ROW()-1,FALSE))</f>
        <v>0.77186562299999995</v>
      </c>
      <c r="AW286">
        <f ca="1">IF(AND(ISNUMBER($AW$954),$B$677=1),$AW$954,HLOOKUP(INDIRECT(ADDRESS(2,COLUMN())),OFFSET($BN$2,0,0,ROW()-1,60),ROW()-1,FALSE))</f>
        <v>0.86773460400000002</v>
      </c>
      <c r="AX286">
        <f ca="1">IF(AND(ISNUMBER($AX$954),$B$677=1),$AX$954,HLOOKUP(INDIRECT(ADDRESS(2,COLUMN())),OFFSET($BN$2,0,0,ROW()-1,60),ROW()-1,FALSE))</f>
        <v>1.6406312839999999</v>
      </c>
      <c r="AY286">
        <f ca="1">IF(AND(ISNUMBER($AY$954),$B$677=1),$AY$954,HLOOKUP(INDIRECT(ADDRESS(2,COLUMN())),OFFSET($BN$2,0,0,ROW()-1,60),ROW()-1,FALSE))</f>
        <v>3.0356472339999998</v>
      </c>
      <c r="AZ286">
        <f ca="1">IF(AND(ISNUMBER($AZ$954),$B$677=1),$AZ$954,HLOOKUP(INDIRECT(ADDRESS(2,COLUMN())),OFFSET($BN$2,0,0,ROW()-1,60),ROW()-1,FALSE))</f>
        <v>3.1973441380000001</v>
      </c>
      <c r="BA286">
        <f ca="1">IF(AND(ISNUMBER($BA$954),$B$677=1),$BA$954,HLOOKUP(INDIRECT(ADDRESS(2,COLUMN())),OFFSET($BN$2,0,0,ROW()-1,60),ROW()-1,FALSE))</f>
        <v>1.5521870129999999</v>
      </c>
      <c r="BB286">
        <f ca="1">IF(AND(ISNUMBER($BB$954),$B$677=1),$BB$954,HLOOKUP(INDIRECT(ADDRESS(2,COLUMN())),OFFSET($BN$2,0,0,ROW()-1,60),ROW()-1,FALSE))</f>
        <v>1.8566830299999999</v>
      </c>
      <c r="BC286">
        <f ca="1">IF(AND(ISNUMBER($BC$954),$B$677=1),$BC$954,HLOOKUP(INDIRECT(ADDRESS(2,COLUMN())),OFFSET($BN$2,0,0,ROW()-1,60),ROW()-1,FALSE))</f>
        <v>1.113589419</v>
      </c>
      <c r="BD286">
        <f ca="1">IF(AND(ISNUMBER($BD$954),$B$677=1),$BD$954,HLOOKUP(INDIRECT(ADDRESS(2,COLUMN())),OFFSET($BN$2,0,0,ROW()-1,60),ROW()-1,FALSE))</f>
        <v>0.78509087099999997</v>
      </c>
      <c r="BE286">
        <f ca="1">IF(AND(ISNUMBER($BE$954),$B$677=1),$BE$954,HLOOKUP(INDIRECT(ADDRESS(2,COLUMN())),OFFSET($BN$2,0,0,ROW()-1,60),ROW()-1,FALSE))</f>
        <v>1.373206106</v>
      </c>
      <c r="BF286">
        <f ca="1">IF(AND(ISNUMBER($BF$954),$B$677=1),$BF$954,HLOOKUP(INDIRECT(ADDRESS(2,COLUMN())),OFFSET($BN$2,0,0,ROW()-1,60),ROW()-1,FALSE))</f>
        <v>0.99622975700000005</v>
      </c>
      <c r="BG286">
        <f ca="1">IF(AND(ISNUMBER($BG$954),$B$677=1),$BG$954,HLOOKUP(INDIRECT(ADDRESS(2,COLUMN())),OFFSET($BN$2,0,0,ROW()-1,60),ROW()-1,FALSE))</f>
        <v>0.94378833900000003</v>
      </c>
      <c r="BH286">
        <f ca="1">IF(AND(ISNUMBER($BH$954),$B$677=1),$BH$954,HLOOKUP(INDIRECT(ADDRESS(2,COLUMN())),OFFSET($BN$2,0,0,ROW()-1,60),ROW()-1,FALSE))</f>
        <v>1.0339203159999999</v>
      </c>
      <c r="BI286">
        <f ca="1">IF(AND(ISNUMBER($BI$954),$B$677=1),$BI$954,HLOOKUP(INDIRECT(ADDRESS(2,COLUMN())),OFFSET($BN$2,0,0,ROW()-1,60),ROW()-1,FALSE))</f>
        <v>0.84306377200000004</v>
      </c>
      <c r="BJ286">
        <f ca="1">IF(AND(ISNUMBER($BJ$954),$B$677=1),$BJ$954,HLOOKUP(INDIRECT(ADDRESS(2,COLUMN())),OFFSET($BN$2,0,0,ROW()-1,60),ROW()-1,FALSE))</f>
        <v>0.71523460800000005</v>
      </c>
      <c r="BK286">
        <f ca="1">IF(AND(ISNUMBER($BK$954),$B$677=1),$BK$954,HLOOKUP(INDIRECT(ADDRESS(2,COLUMN())),OFFSET($BN$2,0,0,ROW()-1,60),ROW()-1,FALSE))</f>
        <v>0.81782980000000005</v>
      </c>
      <c r="BL286">
        <f ca="1">IF(AND(ISNUMBER($BL$954),$B$677=1),$BL$954,HLOOKUP(INDIRECT(ADDRESS(2,COLUMN())),OFFSET($BN$2,0,0,ROW()-1,60),ROW()-1,FALSE))</f>
        <v>1.2546859079999999</v>
      </c>
      <c r="BM286">
        <f ca="1">IF(AND(ISNUMBER($BM$954),$B$677=1),$BM$954,HLOOKUP(INDIRECT(ADDRESS(2,COLUMN())),OFFSET($BN$2,0,0,ROW()-1,60),ROW()-1,FALSE))</f>
        <v>1.6252339609999999</v>
      </c>
      <c r="BN286">
        <f>4.331364097</f>
        <v>4.3313640969999998</v>
      </c>
      <c r="BO286">
        <f>3.727813362</f>
        <v>3.727813362</v>
      </c>
      <c r="BP286">
        <f>3.952665597</f>
        <v>3.9526655970000002</v>
      </c>
      <c r="BQ286">
        <f>4.128719722</f>
        <v>4.1287197219999996</v>
      </c>
      <c r="BR286">
        <f>4.552349612</f>
        <v>4.5523496120000004</v>
      </c>
      <c r="BS286">
        <f>5.207981615</f>
        <v>5.2079816149999996</v>
      </c>
      <c r="BT286">
        <f>6.175424776</f>
        <v>6.1754247759999998</v>
      </c>
      <c r="BU286">
        <f>5.294997586</f>
        <v>5.294997586</v>
      </c>
      <c r="BV286">
        <f>7.059190624</f>
        <v>7.0591906240000002</v>
      </c>
      <c r="BW286">
        <f>4.897078362</f>
        <v>4.8970783620000002</v>
      </c>
      <c r="BX286">
        <f>3.629867854</f>
        <v>3.629867854</v>
      </c>
      <c r="BY286">
        <f>3.661209128</f>
        <v>3.6612091279999999</v>
      </c>
      <c r="BZ286">
        <f>3.829537442</f>
        <v>3.8295374419999999</v>
      </c>
      <c r="CA286">
        <f>3.573289309</f>
        <v>3.5732893090000002</v>
      </c>
      <c r="CB286">
        <f>2.861833349</f>
        <v>2.8618333489999999</v>
      </c>
      <c r="CC286">
        <f>4.286094597</f>
        <v>4.286094597</v>
      </c>
      <c r="CD286">
        <f>3.934468745</f>
        <v>3.9344687450000002</v>
      </c>
      <c r="CE286">
        <f>3.342623575</f>
        <v>3.3426235750000002</v>
      </c>
      <c r="CF286">
        <f>2.122075711</f>
        <v>2.1220757109999999</v>
      </c>
      <c r="CG286">
        <f>1.406212722</f>
        <v>1.406212722</v>
      </c>
      <c r="CH286">
        <f>1.272669304</f>
        <v>1.2726693039999999</v>
      </c>
      <c r="CI286">
        <f>1.037337133</f>
        <v>1.0373371330000001</v>
      </c>
      <c r="CJ286">
        <f>0.98690607</f>
        <v>0.98690606999999997</v>
      </c>
      <c r="CK286">
        <f>0.898919361</f>
        <v>0.89891936100000003</v>
      </c>
      <c r="CL286">
        <f>0.998354987</f>
        <v>0.99835498700000003</v>
      </c>
      <c r="CM286">
        <f>1.080035058</f>
        <v>1.080035058</v>
      </c>
      <c r="CN286">
        <f>0.975816269</f>
        <v>0.97581626899999996</v>
      </c>
      <c r="CO286">
        <f>1.397039667</f>
        <v>1.397039667</v>
      </c>
      <c r="CP286">
        <f>1.198723576</f>
        <v>1.1987235759999999</v>
      </c>
      <c r="CQ286">
        <f>0.999421461</f>
        <v>0.99942146099999996</v>
      </c>
      <c r="CR286">
        <f>1.116912121</f>
        <v>1.1169121209999999</v>
      </c>
      <c r="CS286">
        <f>1.097608434</f>
        <v>1.0976084340000001</v>
      </c>
      <c r="CT286">
        <f>1.251102265</f>
        <v>1.2511022650000001</v>
      </c>
      <c r="CU286">
        <f>1.340776528</f>
        <v>1.3407765279999999</v>
      </c>
      <c r="CV286">
        <f>1.465108255</f>
        <v>1.4651082550000001</v>
      </c>
      <c r="CW286">
        <f>1.389164966</f>
        <v>1.3891649660000001</v>
      </c>
      <c r="CX286">
        <f>1.73196984</f>
        <v>1.7319698400000001</v>
      </c>
      <c r="CY286">
        <f>2.256973185</f>
        <v>2.2569731850000001</v>
      </c>
      <c r="CZ286">
        <f>1.375057985</f>
        <v>1.375057985</v>
      </c>
      <c r="DA286">
        <f>1.501217471</f>
        <v>1.5012174709999999</v>
      </c>
      <c r="DB286">
        <f>1.138171078</f>
        <v>1.1381710780000001</v>
      </c>
      <c r="DC286">
        <f>0.856855765</f>
        <v>0.85685576500000005</v>
      </c>
      <c r="DD286">
        <f>0.771865623</f>
        <v>0.77186562299999995</v>
      </c>
      <c r="DE286">
        <f>0.867734604</f>
        <v>0.86773460400000002</v>
      </c>
      <c r="DF286">
        <f>1.640631284</f>
        <v>1.6406312839999999</v>
      </c>
      <c r="DG286">
        <f>3.035647234</f>
        <v>3.0356472339999998</v>
      </c>
      <c r="DH286">
        <f>3.197344138</f>
        <v>3.1973441380000001</v>
      </c>
      <c r="DI286">
        <f>1.552187013</f>
        <v>1.5521870129999999</v>
      </c>
      <c r="DJ286">
        <f>1.85668303</f>
        <v>1.8566830299999999</v>
      </c>
      <c r="DK286">
        <f>1.113589419</f>
        <v>1.113589419</v>
      </c>
      <c r="DL286">
        <f>0.785090871</f>
        <v>0.78509087099999997</v>
      </c>
      <c r="DM286">
        <f>1.373206106</f>
        <v>1.373206106</v>
      </c>
      <c r="DN286">
        <f>0.996229757</f>
        <v>0.99622975700000005</v>
      </c>
      <c r="DO286">
        <f>0.943788339</f>
        <v>0.94378833900000003</v>
      </c>
      <c r="DP286">
        <f>1.033920316</f>
        <v>1.0339203159999999</v>
      </c>
      <c r="DQ286">
        <f>0.843063772</f>
        <v>0.84306377200000004</v>
      </c>
      <c r="DR286">
        <f>0.715234608</f>
        <v>0.71523460800000005</v>
      </c>
      <c r="DS286">
        <f>0.8178298</f>
        <v>0.81782980000000005</v>
      </c>
      <c r="DT286">
        <f>1.254685908</f>
        <v>1.2546859079999999</v>
      </c>
      <c r="DU286">
        <f>1.625233961</f>
        <v>1.6252339609999999</v>
      </c>
    </row>
    <row r="287" spans="1:125" x14ac:dyDescent="0.25">
      <c r="A287" t="str">
        <f>"    Tofas Turk Otomobil Fabrikasi AS"</f>
        <v xml:space="preserve">    Tofas Turk Otomobil Fabrikasi AS</v>
      </c>
      <c r="B287" t="str">
        <f>"TOASOTRY EO Equity"</f>
        <v>TOASOTRY EO Equity</v>
      </c>
      <c r="C287" t="str">
        <f t="shared" si="18"/>
        <v>RR904</v>
      </c>
      <c r="D287" t="str">
        <f t="shared" si="19"/>
        <v>PX_TO_SALES_RATIO</v>
      </c>
      <c r="E287" t="str">
        <f t="shared" si="20"/>
        <v>Dynamic</v>
      </c>
      <c r="F287">
        <f ca="1">IF(AND(ISNUMBER($F$955),$B$677=1),$F$955,HLOOKUP(INDIRECT(ADDRESS(2,COLUMN())),OFFSET($BN$2,0,0,ROW()-1,60),ROW()-1,FALSE))</f>
        <v>0.523589792</v>
      </c>
      <c r="G287">
        <f ca="1">IF(AND(ISNUMBER($G$955),$B$677=1),$G$955,HLOOKUP(INDIRECT(ADDRESS(2,COLUMN())),OFFSET($BN$2,0,0,ROW()-1,60),ROW()-1,FALSE))</f>
        <v>0.44243337399999999</v>
      </c>
      <c r="H287">
        <f ca="1">IF(AND(ISNUMBER($H$955),$B$677=1),$H$955,HLOOKUP(INDIRECT(ADDRESS(2,COLUMN())),OFFSET($BN$2,0,0,ROW()-1,60),ROW()-1,FALSE))</f>
        <v>0.55203106800000001</v>
      </c>
      <c r="I287">
        <f ca="1">IF(AND(ISNUMBER($I$955),$B$677=1),$I$955,HLOOKUP(INDIRECT(ADDRESS(2,COLUMN())),OFFSET($BN$2,0,0,ROW()-1,60),ROW()-1,FALSE))</f>
        <v>0.63959619899999998</v>
      </c>
      <c r="J287">
        <f ca="1">IF(AND(ISNUMBER($J$955),$B$677=1),$J$955,HLOOKUP(INDIRECT(ADDRESS(2,COLUMN())),OFFSET($BN$2,0,0,ROW()-1,60),ROW()-1,FALSE))</f>
        <v>0.74153794500000003</v>
      </c>
      <c r="K287">
        <f ca="1">IF(AND(ISNUMBER($K$955),$B$677=1),$K$955,HLOOKUP(INDIRECT(ADDRESS(2,COLUMN())),OFFSET($BN$2,0,0,ROW()-1,60),ROW()-1,FALSE))</f>
        <v>0.92396477600000004</v>
      </c>
      <c r="L287">
        <f ca="1">IF(AND(ISNUMBER($L$955),$B$677=1),$L$955,HLOOKUP(INDIRECT(ADDRESS(2,COLUMN())),OFFSET($BN$2,0,0,ROW()-1,60),ROW()-1,FALSE))</f>
        <v>0.87998710800000002</v>
      </c>
      <c r="M287">
        <f ca="1">IF(AND(ISNUMBER($M$955),$B$677=1),$M$955,HLOOKUP(INDIRECT(ADDRESS(2,COLUMN())),OFFSET($BN$2,0,0,ROW()-1,60),ROW()-1,FALSE))</f>
        <v>0.85764459699999995</v>
      </c>
      <c r="N287">
        <f ca="1">IF(AND(ISNUMBER($N$955),$B$677=1),$N$955,HLOOKUP(INDIRECT(ADDRESS(2,COLUMN())),OFFSET($BN$2,0,0,ROW()-1,60),ROW()-1,FALSE))</f>
        <v>0.85072953399999995</v>
      </c>
      <c r="O287">
        <f ca="1">IF(AND(ISNUMBER($O$955),$B$677=1),$O$955,HLOOKUP(INDIRECT(ADDRESS(2,COLUMN())),OFFSET($BN$2,0,0,ROW()-1,60),ROW()-1,FALSE))</f>
        <v>0.84353050699999998</v>
      </c>
      <c r="P287">
        <f ca="1">IF(AND(ISNUMBER($P$955),$B$677=1),$P$955,HLOOKUP(INDIRECT(ADDRESS(2,COLUMN())),OFFSET($BN$2,0,0,ROW()-1,60),ROW()-1,FALSE))</f>
        <v>0.85606540799999997</v>
      </c>
      <c r="Q287">
        <f ca="1">IF(AND(ISNUMBER($Q$955),$B$677=1),$Q$955,HLOOKUP(INDIRECT(ADDRESS(2,COLUMN())),OFFSET($BN$2,0,0,ROW()-1,60),ROW()-1,FALSE))</f>
        <v>0.99166025099999999</v>
      </c>
      <c r="R287">
        <f ca="1">IF(AND(ISNUMBER($R$955),$B$677=1),$R$955,HLOOKUP(INDIRECT(ADDRESS(2,COLUMN())),OFFSET($BN$2,0,0,ROW()-1,60),ROW()-1,FALSE))</f>
        <v>1.0598622010000001</v>
      </c>
      <c r="S287">
        <f ca="1">IF(AND(ISNUMBER($S$955),$B$677=1),$S$955,HLOOKUP(INDIRECT(ADDRESS(2,COLUMN())),OFFSET($BN$2,0,0,ROW()-1,60),ROW()-1,FALSE))</f>
        <v>0.931795335</v>
      </c>
      <c r="T287">
        <f ca="1">IF(AND(ISNUMBER($T$955),$B$677=1),$T$955,HLOOKUP(INDIRECT(ADDRESS(2,COLUMN())),OFFSET($BN$2,0,0,ROW()-1,60),ROW()-1,FALSE))</f>
        <v>0.95095126799999996</v>
      </c>
      <c r="U287">
        <f ca="1">IF(AND(ISNUMBER($U$955),$B$677=1),$U$955,HLOOKUP(INDIRECT(ADDRESS(2,COLUMN())),OFFSET($BN$2,0,0,ROW()-1,60),ROW()-1,FALSE))</f>
        <v>1.0359469020000001</v>
      </c>
      <c r="V287">
        <f ca="1">IF(AND(ISNUMBER($V$955),$B$677=1),$V$955,HLOOKUP(INDIRECT(ADDRESS(2,COLUMN())),OFFSET($BN$2,0,0,ROW()-1,60),ROW()-1,FALSE))</f>
        <v>0.97372344600000005</v>
      </c>
      <c r="W287">
        <f ca="1">IF(AND(ISNUMBER($W$955),$B$677=1),$W$955,HLOOKUP(INDIRECT(ADDRESS(2,COLUMN())),OFFSET($BN$2,0,0,ROW()-1,60),ROW()-1,FALSE))</f>
        <v>1.0464129680000001</v>
      </c>
      <c r="X287">
        <f ca="1">IF(AND(ISNUMBER($X$955),$B$677=1),$X$955,HLOOKUP(INDIRECT(ADDRESS(2,COLUMN())),OFFSET($BN$2,0,0,ROW()-1,60),ROW()-1,FALSE))</f>
        <v>0.88345281899999994</v>
      </c>
      <c r="Y287">
        <f ca="1">IF(AND(ISNUMBER($Y$955),$B$677=1),$Y$955,HLOOKUP(INDIRECT(ADDRESS(2,COLUMN())),OFFSET($BN$2,0,0,ROW()-1,60),ROW()-1,FALSE))</f>
        <v>0.91090061099999997</v>
      </c>
      <c r="Z287">
        <f ca="1">IF(AND(ISNUMBER($Z$955),$B$677=1),$Z$955,HLOOKUP(INDIRECT(ADDRESS(2,COLUMN())),OFFSET($BN$2,0,0,ROW()-1,60),ROW()-1,FALSE))</f>
        <v>0.84642162899999995</v>
      </c>
      <c r="AA287">
        <f ca="1">IF(AND(ISNUMBER($AA$955),$B$677=1),$AA$955,HLOOKUP(INDIRECT(ADDRESS(2,COLUMN())),OFFSET($BN$2,0,0,ROW()-1,60),ROW()-1,FALSE))</f>
        <v>0.92850035099999995</v>
      </c>
      <c r="AB287">
        <f ca="1">IF(AND(ISNUMBER($AB$955),$B$677=1),$AB$955,HLOOKUP(INDIRECT(ADDRESS(2,COLUMN())),OFFSET($BN$2,0,0,ROW()-1,60),ROW()-1,FALSE))</f>
        <v>0.86585571299999997</v>
      </c>
      <c r="AC287">
        <f ca="1">IF(AND(ISNUMBER($AC$955),$B$677=1),$AC$955,HLOOKUP(INDIRECT(ADDRESS(2,COLUMN())),OFFSET($BN$2,0,0,ROW()-1,60),ROW()-1,FALSE))</f>
        <v>0.862517431</v>
      </c>
      <c r="AD287">
        <f ca="1">IF(AND(ISNUMBER($AD$955),$B$677=1),$AD$955,HLOOKUP(INDIRECT(ADDRESS(2,COLUMN())),OFFSET($BN$2,0,0,ROW()-1,60),ROW()-1,FALSE))</f>
        <v>0.92163163599999998</v>
      </c>
      <c r="AE287">
        <f ca="1">IF(AND(ISNUMBER($AE$955),$B$677=1),$AE$955,HLOOKUP(INDIRECT(ADDRESS(2,COLUMN())),OFFSET($BN$2,0,0,ROW()-1,60),ROW()-1,FALSE))</f>
        <v>0.75794741700000001</v>
      </c>
      <c r="AF287">
        <f ca="1">IF(AND(ISNUMBER($AF$955),$B$677=1),$AF$955,HLOOKUP(INDIRECT(ADDRESS(2,COLUMN())),OFFSET($BN$2,0,0,ROW()-1,60),ROW()-1,FALSE))</f>
        <v>0.65979540199999998</v>
      </c>
      <c r="AG287">
        <f ca="1">IF(AND(ISNUMBER($AG$955),$B$677=1),$AG$955,HLOOKUP(INDIRECT(ADDRESS(2,COLUMN())),OFFSET($BN$2,0,0,ROW()-1,60),ROW()-1,FALSE))</f>
        <v>0.55300582700000001</v>
      </c>
      <c r="AH287">
        <f ca="1">IF(AND(ISNUMBER($AH$955),$B$677=1),$AH$955,HLOOKUP(INDIRECT(ADDRESS(2,COLUMN())),OFFSET($BN$2,0,0,ROW()-1,60),ROW()-1,FALSE))</f>
        <v>0.53167773699999998</v>
      </c>
      <c r="AI287">
        <f ca="1">IF(AND(ISNUMBER($AI$955),$B$677=1),$AI$955,HLOOKUP(INDIRECT(ADDRESS(2,COLUMN())),OFFSET($BN$2,0,0,ROW()-1,60),ROW()-1,FALSE))</f>
        <v>0.39722932399999999</v>
      </c>
      <c r="AJ287">
        <f ca="1">IF(AND(ISNUMBER($AJ$955),$B$677=1),$AJ$955,HLOOKUP(INDIRECT(ADDRESS(2,COLUMN())),OFFSET($BN$2,0,0,ROW()-1,60),ROW()-1,FALSE))</f>
        <v>0.43598166799999999</v>
      </c>
      <c r="AK287">
        <f ca="1">IF(AND(ISNUMBER($AK$955),$B$677=1),$AK$955,HLOOKUP(INDIRECT(ADDRESS(2,COLUMN())),OFFSET($BN$2,0,0,ROW()-1,60),ROW()-1,FALSE))</f>
        <v>0.50833092199999996</v>
      </c>
      <c r="AL287">
        <f ca="1">IF(AND(ISNUMBER($AL$955),$B$677=1),$AL$955,HLOOKUP(INDIRECT(ADDRESS(2,COLUMN())),OFFSET($BN$2,0,0,ROW()-1,60),ROW()-1,FALSE))</f>
        <v>0.64265324899999998</v>
      </c>
      <c r="AM287">
        <f ca="1">IF(AND(ISNUMBER($AM$955),$B$677=1),$AM$955,HLOOKUP(INDIRECT(ADDRESS(2,COLUMN())),OFFSET($BN$2,0,0,ROW()-1,60),ROW()-1,FALSE))</f>
        <v>0.61292674899999999</v>
      </c>
      <c r="AN287">
        <f ca="1">IF(AND(ISNUMBER($AN$955),$B$677=1),$AN$955,HLOOKUP(INDIRECT(ADDRESS(2,COLUMN())),OFFSET($BN$2,0,0,ROW()-1,60),ROW()-1,FALSE))</f>
        <v>0.62249312000000001</v>
      </c>
      <c r="AO287">
        <f ca="1">IF(AND(ISNUMBER($AO$955),$B$677=1),$AO$955,HLOOKUP(INDIRECT(ADDRESS(2,COLUMN())),OFFSET($BN$2,0,0,ROW()-1,60),ROW()-1,FALSE))</f>
        <v>0.45183936099999999</v>
      </c>
      <c r="AP287">
        <f ca="1">IF(AND(ISNUMBER($AP$955),$B$677=1),$AP$955,HLOOKUP(INDIRECT(ADDRESS(2,COLUMN())),OFFSET($BN$2,0,0,ROW()-1,60),ROW()-1,FALSE))</f>
        <v>0.483972605</v>
      </c>
      <c r="AQ287">
        <f ca="1">IF(AND(ISNUMBER($AQ$955),$B$677=1),$AQ$955,HLOOKUP(INDIRECT(ADDRESS(2,COLUMN())),OFFSET($BN$2,0,0,ROW()-1,60),ROW()-1,FALSE))</f>
        <v>0.45305061000000002</v>
      </c>
      <c r="AR287">
        <f ca="1">IF(AND(ISNUMBER($AR$955),$B$677=1),$AR$955,HLOOKUP(INDIRECT(ADDRESS(2,COLUMN())),OFFSET($BN$2,0,0,ROW()-1,60),ROW()-1,FALSE))</f>
        <v>0.45267754100000002</v>
      </c>
      <c r="AS287">
        <f ca="1">IF(AND(ISNUMBER($AS$955),$B$677=1),$AS$955,HLOOKUP(INDIRECT(ADDRESS(2,COLUMN())),OFFSET($BN$2,0,0,ROW()-1,60),ROW()-1,FALSE))</f>
        <v>0.306702535</v>
      </c>
      <c r="AT287">
        <f ca="1">IF(AND(ISNUMBER($AT$955),$B$677=1),$AT$955,HLOOKUP(INDIRECT(ADDRESS(2,COLUMN())),OFFSET($BN$2,0,0,ROW()-1,60),ROW()-1,FALSE))</f>
        <v>0.166831855</v>
      </c>
      <c r="AU287">
        <f ca="1">IF(AND(ISNUMBER($AU$955),$B$677=1),$AU$955,HLOOKUP(INDIRECT(ADDRESS(2,COLUMN())),OFFSET($BN$2,0,0,ROW()-1,60),ROW()-1,FALSE))</f>
        <v>0.119840945</v>
      </c>
      <c r="AV287">
        <f ca="1">IF(AND(ISNUMBER($AV$955),$B$677=1),$AV$955,HLOOKUP(INDIRECT(ADDRESS(2,COLUMN())),OFFSET($BN$2,0,0,ROW()-1,60),ROW()-1,FALSE))</f>
        <v>0.26632289999999997</v>
      </c>
      <c r="AW287">
        <f ca="1">IF(AND(ISNUMBER($AW$955),$B$677=1),$AW$955,HLOOKUP(INDIRECT(ADDRESS(2,COLUMN())),OFFSET($BN$2,0,0,ROW()-1,60),ROW()-1,FALSE))</f>
        <v>0.37521869099999999</v>
      </c>
      <c r="AX287">
        <f ca="1">IF(AND(ISNUMBER($AX$955),$B$677=1),$AX$955,HLOOKUP(INDIRECT(ADDRESS(2,COLUMN())),OFFSET($BN$2,0,0,ROW()-1,60),ROW()-1,FALSE))</f>
        <v>0.51633540600000005</v>
      </c>
      <c r="AY287">
        <f ca="1">IF(AND(ISNUMBER($AY$955),$B$677=1),$AY$955,HLOOKUP(INDIRECT(ADDRESS(2,COLUMN())),OFFSET($BN$2,0,0,ROW()-1,60),ROW()-1,FALSE))</f>
        <v>0.86106813500000001</v>
      </c>
      <c r="AZ287">
        <f ca="1">IF(AND(ISNUMBER($AZ$955),$B$677=1),$AZ$955,HLOOKUP(INDIRECT(ADDRESS(2,COLUMN())),OFFSET($BN$2,0,0,ROW()-1,60),ROW()-1,FALSE))</f>
        <v>0.92305475999999997</v>
      </c>
      <c r="BA287">
        <f ca="1">IF(AND(ISNUMBER($BA$955),$B$677=1),$BA$955,HLOOKUP(INDIRECT(ADDRESS(2,COLUMN())),OFFSET($BN$2,0,0,ROW()-1,60),ROW()-1,FALSE))</f>
        <v>1.001029707</v>
      </c>
      <c r="BB287">
        <f ca="1">IF(AND(ISNUMBER($BB$955),$B$677=1),$BB$955,HLOOKUP(INDIRECT(ADDRESS(2,COLUMN())),OFFSET($BN$2,0,0,ROW()-1,60),ROW()-1,FALSE))</f>
        <v>0.83697469000000002</v>
      </c>
      <c r="BC287">
        <f ca="1">IF(AND(ISNUMBER($BC$955),$B$677=1),$BC$955,HLOOKUP(INDIRECT(ADDRESS(2,COLUMN())),OFFSET($BN$2,0,0,ROW()-1,60),ROW()-1,FALSE))</f>
        <v>0.80218455300000002</v>
      </c>
      <c r="BD287">
        <f ca="1">IF(AND(ISNUMBER($BD$955),$B$677=1),$BD$955,HLOOKUP(INDIRECT(ADDRESS(2,COLUMN())),OFFSET($BN$2,0,0,ROW()-1,60),ROW()-1,FALSE))</f>
        <v>0.69520641599999999</v>
      </c>
      <c r="BE287">
        <f ca="1">IF(AND(ISNUMBER($BE$955),$B$677=1),$BE$955,HLOOKUP(INDIRECT(ADDRESS(2,COLUMN())),OFFSET($BN$2,0,0,ROW()-1,60),ROW()-1,FALSE))</f>
        <v>0.74426510300000004</v>
      </c>
      <c r="BF287">
        <f ca="1">IF(AND(ISNUMBER($BF$955),$B$677=1),$BF$955,HLOOKUP(INDIRECT(ADDRESS(2,COLUMN())),OFFSET($BN$2,0,0,ROW()-1,60),ROW()-1,FALSE))</f>
        <v>0.83780428200000001</v>
      </c>
      <c r="BG287">
        <f ca="1">IF(AND(ISNUMBER($BG$955),$B$677=1),$BG$955,HLOOKUP(INDIRECT(ADDRESS(2,COLUMN())),OFFSET($BN$2,0,0,ROW()-1,60),ROW()-1,FALSE))</f>
        <v>0.57473895600000002</v>
      </c>
      <c r="BH287">
        <f ca="1">IF(AND(ISNUMBER($BH$955),$B$677=1),$BH$955,HLOOKUP(INDIRECT(ADDRESS(2,COLUMN())),OFFSET($BN$2,0,0,ROW()-1,60),ROW()-1,FALSE))</f>
        <v>0.53041388199999995</v>
      </c>
      <c r="BI287">
        <f ca="1">IF(AND(ISNUMBER($BI$955),$B$677=1),$BI$955,HLOOKUP(INDIRECT(ADDRESS(2,COLUMN())),OFFSET($BN$2,0,0,ROW()-1,60),ROW()-1,FALSE))</f>
        <v>0.43825963800000001</v>
      </c>
      <c r="BJ287">
        <f ca="1">IF(AND(ISNUMBER($BJ$955),$B$677=1),$BJ$955,HLOOKUP(INDIRECT(ADDRESS(2,COLUMN())),OFFSET($BN$2,0,0,ROW()-1,60),ROW()-1,FALSE))</f>
        <v>0.44329240800000003</v>
      </c>
      <c r="BK287">
        <f ca="1">IF(AND(ISNUMBER($BK$955),$B$677=1),$BK$955,HLOOKUP(INDIRECT(ADDRESS(2,COLUMN())),OFFSET($BN$2,0,0,ROW()-1,60),ROW()-1,FALSE))</f>
        <v>0.46721495800000001</v>
      </c>
      <c r="BL287">
        <f ca="1">IF(AND(ISNUMBER($BL$955),$B$677=1),$BL$955,HLOOKUP(INDIRECT(ADDRESS(2,COLUMN())),OFFSET($BN$2,0,0,ROW()-1,60),ROW()-1,FALSE))</f>
        <v>0.56668140499999997</v>
      </c>
      <c r="BM287">
        <f ca="1">IF(AND(ISNUMBER($BM$955),$B$677=1),$BM$955,HLOOKUP(INDIRECT(ADDRESS(2,COLUMN())),OFFSET($BN$2,0,0,ROW()-1,60),ROW()-1,FALSE))</f>
        <v>0.40863307300000001</v>
      </c>
      <c r="BN287">
        <f>0.523589792</f>
        <v>0.523589792</v>
      </c>
      <c r="BO287">
        <f>0.442433374</f>
        <v>0.44243337399999999</v>
      </c>
      <c r="BP287">
        <f>0.552031068</f>
        <v>0.55203106800000001</v>
      </c>
      <c r="BQ287">
        <f>0.639596199</f>
        <v>0.63959619899999998</v>
      </c>
      <c r="BR287">
        <f>0.741537945</f>
        <v>0.74153794500000003</v>
      </c>
      <c r="BS287">
        <f>0.923964776</f>
        <v>0.92396477600000004</v>
      </c>
      <c r="BT287">
        <f>0.879987108</f>
        <v>0.87998710800000002</v>
      </c>
      <c r="BU287">
        <f>0.857644597</f>
        <v>0.85764459699999995</v>
      </c>
      <c r="BV287">
        <f>0.850729534</f>
        <v>0.85072953399999995</v>
      </c>
      <c r="BW287">
        <f>0.843530507</f>
        <v>0.84353050699999998</v>
      </c>
      <c r="BX287">
        <f>0.856065408</f>
        <v>0.85606540799999997</v>
      </c>
      <c r="BY287">
        <f>0.991660251</f>
        <v>0.99166025099999999</v>
      </c>
      <c r="BZ287">
        <f>1.059862201</f>
        <v>1.0598622010000001</v>
      </c>
      <c r="CA287">
        <f>0.931795335</f>
        <v>0.931795335</v>
      </c>
      <c r="CB287">
        <f>0.950951268</f>
        <v>0.95095126799999996</v>
      </c>
      <c r="CC287">
        <f>1.035946902</f>
        <v>1.0359469020000001</v>
      </c>
      <c r="CD287">
        <f>0.973723446</f>
        <v>0.97372344600000005</v>
      </c>
      <c r="CE287">
        <f>1.046412968</f>
        <v>1.0464129680000001</v>
      </c>
      <c r="CF287">
        <f>0.883452819</f>
        <v>0.88345281899999994</v>
      </c>
      <c r="CG287">
        <f>0.910900611</f>
        <v>0.91090061099999997</v>
      </c>
      <c r="CH287">
        <f>0.846421629</f>
        <v>0.84642162899999995</v>
      </c>
      <c r="CI287">
        <f>0.928500351</f>
        <v>0.92850035099999995</v>
      </c>
      <c r="CJ287">
        <f>0.865855713</f>
        <v>0.86585571299999997</v>
      </c>
      <c r="CK287">
        <f>0.862517431</f>
        <v>0.862517431</v>
      </c>
      <c r="CL287">
        <f>0.921631636</f>
        <v>0.92163163599999998</v>
      </c>
      <c r="CM287">
        <f>0.757947417</f>
        <v>0.75794741700000001</v>
      </c>
      <c r="CN287">
        <f>0.659795402</f>
        <v>0.65979540199999998</v>
      </c>
      <c r="CO287">
        <f>0.553005827</f>
        <v>0.55300582700000001</v>
      </c>
      <c r="CP287">
        <f>0.531677737</f>
        <v>0.53167773699999998</v>
      </c>
      <c r="CQ287">
        <f>0.397229324</f>
        <v>0.39722932399999999</v>
      </c>
      <c r="CR287">
        <f>0.435981668</f>
        <v>0.43598166799999999</v>
      </c>
      <c r="CS287">
        <f>0.508330922</f>
        <v>0.50833092199999996</v>
      </c>
      <c r="CT287">
        <f>0.642653249</f>
        <v>0.64265324899999998</v>
      </c>
      <c r="CU287">
        <f>0.612926749</f>
        <v>0.61292674899999999</v>
      </c>
      <c r="CV287">
        <f>0.62249312</f>
        <v>0.62249312000000001</v>
      </c>
      <c r="CW287">
        <f>0.451839361</f>
        <v>0.45183936099999999</v>
      </c>
      <c r="CX287">
        <f>0.483972605</f>
        <v>0.483972605</v>
      </c>
      <c r="CY287">
        <f>0.45305061</f>
        <v>0.45305061000000002</v>
      </c>
      <c r="CZ287">
        <f>0.452677541</f>
        <v>0.45267754100000002</v>
      </c>
      <c r="DA287">
        <f>0.306702535</f>
        <v>0.306702535</v>
      </c>
      <c r="DB287">
        <f>0.166831855</f>
        <v>0.166831855</v>
      </c>
      <c r="DC287">
        <f>0.119840945</f>
        <v>0.119840945</v>
      </c>
      <c r="DD287">
        <f>0.2663229</f>
        <v>0.26632289999999997</v>
      </c>
      <c r="DE287">
        <f>0.375218691</f>
        <v>0.37521869099999999</v>
      </c>
      <c r="DF287">
        <f>0.516335406</f>
        <v>0.51633540600000005</v>
      </c>
      <c r="DG287">
        <f>0.861068135</f>
        <v>0.86106813500000001</v>
      </c>
      <c r="DH287">
        <f>0.92305476</f>
        <v>0.92305475999999997</v>
      </c>
      <c r="DI287">
        <f>1.001029707</f>
        <v>1.001029707</v>
      </c>
      <c r="DJ287">
        <f>0.83697469</f>
        <v>0.83697469000000002</v>
      </c>
      <c r="DK287">
        <f>0.802184553</f>
        <v>0.80218455300000002</v>
      </c>
      <c r="DL287">
        <f>0.695206416</f>
        <v>0.69520641599999999</v>
      </c>
      <c r="DM287">
        <f>0.744265103</f>
        <v>0.74426510300000004</v>
      </c>
      <c r="DN287">
        <f>0.837804282</f>
        <v>0.83780428200000001</v>
      </c>
      <c r="DO287">
        <f>0.574738956</f>
        <v>0.57473895600000002</v>
      </c>
      <c r="DP287">
        <f>0.530413882</f>
        <v>0.53041388199999995</v>
      </c>
      <c r="DQ287">
        <f>0.438259638</f>
        <v>0.43825963800000001</v>
      </c>
      <c r="DR287">
        <f>0.443292408</f>
        <v>0.44329240800000003</v>
      </c>
      <c r="DS287">
        <f>0.467214958</f>
        <v>0.46721495800000001</v>
      </c>
      <c r="DT287">
        <f>0.566681405</f>
        <v>0.56668140499999997</v>
      </c>
      <c r="DU287">
        <f>0.408633073</f>
        <v>0.40863307300000001</v>
      </c>
    </row>
    <row r="288" spans="1:125" x14ac:dyDescent="0.25">
      <c r="A288" t="str">
        <f>"    Toyota Motor Corp"</f>
        <v xml:space="preserve">    Toyota Motor Corp</v>
      </c>
      <c r="B288" t="str">
        <f>"7203 JP Equity"</f>
        <v>7203 JP Equity</v>
      </c>
      <c r="C288" t="str">
        <f t="shared" si="18"/>
        <v>RR904</v>
      </c>
      <c r="D288" t="str">
        <f t="shared" si="19"/>
        <v>PX_TO_SALES_RATIO</v>
      </c>
      <c r="E288" t="str">
        <f t="shared" si="20"/>
        <v>Dynamic</v>
      </c>
      <c r="F288">
        <f ca="1">IF(AND(ISNUMBER($F$956),$B$677=1),$F$956,HLOOKUP(INDIRECT(ADDRESS(2,COLUMN())),OFFSET($BN$2,0,0,ROW()-1,60),ROW()-1,FALSE))</f>
        <v>0.64666732599999999</v>
      </c>
      <c r="G288">
        <f ca="1">IF(AND(ISNUMBER($G$956),$B$677=1),$G$956,HLOOKUP(INDIRECT(ADDRESS(2,COLUMN())),OFFSET($BN$2,0,0,ROW()-1,60),ROW()-1,FALSE))</f>
        <v>0.61645102600000001</v>
      </c>
      <c r="H288">
        <f ca="1">IF(AND(ISNUMBER($H$956),$B$677=1),$H$956,HLOOKUP(INDIRECT(ADDRESS(2,COLUMN())),OFFSET($BN$2,0,0,ROW()-1,60),ROW()-1,FALSE))</f>
        <v>0.69196143200000004</v>
      </c>
      <c r="I288">
        <f ca="1">IF(AND(ISNUMBER($I$956),$B$677=1),$I$956,HLOOKUP(INDIRECT(ADDRESS(2,COLUMN())),OFFSET($BN$2,0,0,ROW()-1,60),ROW()-1,FALSE))</f>
        <v>0.70766894499999999</v>
      </c>
      <c r="J288">
        <f ca="1">IF(AND(ISNUMBER($J$956),$B$677=1),$J$956,HLOOKUP(INDIRECT(ADDRESS(2,COLUMN())),OFFSET($BN$2,0,0,ROW()-1,60),ROW()-1,FALSE))</f>
        <v>0.68454368899999996</v>
      </c>
      <c r="K288">
        <f ca="1">IF(AND(ISNUMBER($K$956),$B$677=1),$K$956,HLOOKUP(INDIRECT(ADDRESS(2,COLUMN())),OFFSET($BN$2,0,0,ROW()-1,60),ROW()-1,FALSE))</f>
        <v>0.73055448700000003</v>
      </c>
      <c r="L288">
        <f ca="1">IF(AND(ISNUMBER($L$956),$B$677=1),$L$956,HLOOKUP(INDIRECT(ADDRESS(2,COLUMN())),OFFSET($BN$2,0,0,ROW()-1,60),ROW()-1,FALSE))</f>
        <v>0.69542854099999996</v>
      </c>
      <c r="M288">
        <f ca="1">IF(AND(ISNUMBER($M$956),$B$677=1),$M$956,HLOOKUP(INDIRECT(ADDRESS(2,COLUMN())),OFFSET($BN$2,0,0,ROW()-1,60),ROW()-1,FALSE))</f>
        <v>0.62843861899999998</v>
      </c>
      <c r="N288">
        <f ca="1">IF(AND(ISNUMBER($N$956),$B$677=1),$N$956,HLOOKUP(INDIRECT(ADDRESS(2,COLUMN())),OFFSET($BN$2,0,0,ROW()-1,60),ROW()-1,FALSE))</f>
        <v>0.658326666</v>
      </c>
      <c r="O288">
        <f ca="1">IF(AND(ISNUMBER($O$956),$B$677=1),$O$956,HLOOKUP(INDIRECT(ADDRESS(2,COLUMN())),OFFSET($BN$2,0,0,ROW()-1,60),ROW()-1,FALSE))</f>
        <v>0.76774778300000002</v>
      </c>
      <c r="P288">
        <f ca="1">IF(AND(ISNUMBER($P$956),$B$677=1),$P$956,HLOOKUP(INDIRECT(ADDRESS(2,COLUMN())),OFFSET($BN$2,0,0,ROW()-1,60),ROW()-1,FALSE))</f>
        <v>0.64445121400000005</v>
      </c>
      <c r="Q288">
        <f ca="1">IF(AND(ISNUMBER($Q$956),$B$677=1),$Q$956,HLOOKUP(INDIRECT(ADDRESS(2,COLUMN())),OFFSET($BN$2,0,0,ROW()-1,60),ROW()-1,FALSE))</f>
        <v>0.556429693</v>
      </c>
      <c r="R288">
        <f ca="1">IF(AND(ISNUMBER($R$956),$B$677=1),$R$956,HLOOKUP(INDIRECT(ADDRESS(2,COLUMN())),OFFSET($BN$2,0,0,ROW()-1,60),ROW()-1,FALSE))</f>
        <v>0.65191273000000005</v>
      </c>
      <c r="S288">
        <f ca="1">IF(AND(ISNUMBER($S$956),$B$677=1),$S$956,HLOOKUP(INDIRECT(ADDRESS(2,COLUMN())),OFFSET($BN$2,0,0,ROW()-1,60),ROW()-1,FALSE))</f>
        <v>0.82163529099999999</v>
      </c>
      <c r="T288">
        <f ca="1">IF(AND(ISNUMBER($T$956),$B$677=1),$T$956,HLOOKUP(INDIRECT(ADDRESS(2,COLUMN())),OFFSET($BN$2,0,0,ROW()-1,60),ROW()-1,FALSE))</f>
        <v>0.77337188999999995</v>
      </c>
      <c r="U288">
        <f ca="1">IF(AND(ISNUMBER($U$956),$B$677=1),$U$956,HLOOKUP(INDIRECT(ADDRESS(2,COLUMN())),OFFSET($BN$2,0,0,ROW()-1,60),ROW()-1,FALSE))</f>
        <v>0.92932386</v>
      </c>
      <c r="V288">
        <f ca="1">IF(AND(ISNUMBER($V$956),$B$677=1),$V$956,HLOOKUP(INDIRECT(ADDRESS(2,COLUMN())),OFFSET($BN$2,0,0,ROW()-1,60),ROW()-1,FALSE))</f>
        <v>0.97222760399999997</v>
      </c>
      <c r="W288">
        <f ca="1">IF(AND(ISNUMBER($W$956),$B$677=1),$W$956,HLOOKUP(INDIRECT(ADDRESS(2,COLUMN())),OFFSET($BN$2,0,0,ROW()-1,60),ROW()-1,FALSE))</f>
        <v>0.89631353800000002</v>
      </c>
      <c r="X288">
        <f ca="1">IF(AND(ISNUMBER($X$956),$B$677=1),$X$956,HLOOKUP(INDIRECT(ADDRESS(2,COLUMN())),OFFSET($BN$2,0,0,ROW()-1,60),ROW()-1,FALSE))</f>
        <v>0.78422329700000004</v>
      </c>
      <c r="Y288">
        <f ca="1">IF(AND(ISNUMBER($Y$956),$B$677=1),$Y$956,HLOOKUP(INDIRECT(ADDRESS(2,COLUMN())),OFFSET($BN$2,0,0,ROW()-1,60),ROW()-1,FALSE))</f>
        <v>0.74659648199999995</v>
      </c>
      <c r="Z288">
        <f ca="1">IF(AND(ISNUMBER($Z$956),$B$677=1),$Z$956,HLOOKUP(INDIRECT(ADDRESS(2,COLUMN())),OFFSET($BN$2,0,0,ROW()-1,60),ROW()-1,FALSE))</f>
        <v>0.718614894</v>
      </c>
      <c r="AA288">
        <f ca="1">IF(AND(ISNUMBER($AA$956),$B$677=1),$AA$956,HLOOKUP(INDIRECT(ADDRESS(2,COLUMN())),OFFSET($BN$2,0,0,ROW()-1,60),ROW()-1,FALSE))</f>
        <v>0.814961712</v>
      </c>
      <c r="AB288">
        <f ca="1">IF(AND(ISNUMBER($AB$956),$B$677=1),$AB$956,HLOOKUP(INDIRECT(ADDRESS(2,COLUMN())),OFFSET($BN$2,0,0,ROW()-1,60),ROW()-1,FALSE))</f>
        <v>0.83830817300000005</v>
      </c>
      <c r="AC288">
        <f ca="1">IF(AND(ISNUMBER($AC$956),$B$677=1),$AC$956,HLOOKUP(INDIRECT(ADDRESS(2,COLUMN())),OFFSET($BN$2,0,0,ROW()-1,60),ROW()-1,FALSE))</f>
        <v>0.83145657100000003</v>
      </c>
      <c r="AD288">
        <f ca="1">IF(AND(ISNUMBER($AD$956),$B$677=1),$AD$956,HLOOKUP(INDIRECT(ADDRESS(2,COLUMN())),OFFSET($BN$2,0,0,ROW()-1,60),ROW()-1,FALSE))</f>
        <v>0.69756483599999997</v>
      </c>
      <c r="AE288">
        <f ca="1">IF(AND(ISNUMBER($AE$956),$B$677=1),$AE$956,HLOOKUP(INDIRECT(ADDRESS(2,COLUMN())),OFFSET($BN$2,0,0,ROW()-1,60),ROW()-1,FALSE))</f>
        <v>0.57835393099999999</v>
      </c>
      <c r="AF288">
        <f ca="1">IF(AND(ISNUMBER($AF$956),$B$677=1),$AF$956,HLOOKUP(INDIRECT(ADDRESS(2,COLUMN())),OFFSET($BN$2,0,0,ROW()-1,60),ROW()-1,FALSE))</f>
        <v>0.44726499199999997</v>
      </c>
      <c r="AG288">
        <f ca="1">IF(AND(ISNUMBER($AG$956),$B$677=1),$AG$956,HLOOKUP(INDIRECT(ADDRESS(2,COLUMN())),OFFSET($BN$2,0,0,ROW()-1,60),ROW()-1,FALSE))</f>
        <v>0.48713403300000002</v>
      </c>
      <c r="AH288">
        <f ca="1">IF(AND(ISNUMBER($AH$956),$B$677=1),$AH$956,HLOOKUP(INDIRECT(ADDRESS(2,COLUMN())),OFFSET($BN$2,0,0,ROW()-1,60),ROW()-1,FALSE))</f>
        <v>0.60420153300000001</v>
      </c>
      <c r="AI288">
        <f ca="1">IF(AND(ISNUMBER($AI$956),$B$677=1),$AI$956,HLOOKUP(INDIRECT(ADDRESS(2,COLUMN())),OFFSET($BN$2,0,0,ROW()-1,60),ROW()-1,FALSE))</f>
        <v>0.458994181</v>
      </c>
      <c r="AJ288">
        <f ca="1">IF(AND(ISNUMBER($AJ$956),$B$677=1),$AJ$956,HLOOKUP(INDIRECT(ADDRESS(2,COLUMN())),OFFSET($BN$2,0,0,ROW()-1,60),ROW()-1,FALSE))</f>
        <v>0.48634229400000001</v>
      </c>
      <c r="AK288">
        <f ca="1">IF(AND(ISNUMBER($AK$956),$B$677=1),$AK$956,HLOOKUP(INDIRECT(ADDRESS(2,COLUMN())),OFFSET($BN$2,0,0,ROW()-1,60),ROW()-1,FALSE))</f>
        <v>0.58027969199999996</v>
      </c>
      <c r="AL288">
        <f ca="1">IF(AND(ISNUMBER($AL$956),$B$677=1),$AL$956,HLOOKUP(INDIRECT(ADDRESS(2,COLUMN())),OFFSET($BN$2,0,0,ROW()-1,60),ROW()-1,FALSE))</f>
        <v>0.553089414</v>
      </c>
      <c r="AM288">
        <f ca="1">IF(AND(ISNUMBER($AM$956),$B$677=1),$AM$956,HLOOKUP(INDIRECT(ADDRESS(2,COLUMN())),OFFSET($BN$2,0,0,ROW()-1,60),ROW()-1,FALSE))</f>
        <v>0.51435139200000002</v>
      </c>
      <c r="AN288">
        <f ca="1">IF(AND(ISNUMBER($AN$956),$B$677=1),$AN$956,HLOOKUP(INDIRECT(ADDRESS(2,COLUMN())),OFFSET($BN$2,0,0,ROW()-1,60),ROW()-1,FALSE))</f>
        <v>0.46424024699999999</v>
      </c>
      <c r="AO288">
        <f ca="1">IF(AND(ISNUMBER($AO$956),$B$677=1),$AO$956,HLOOKUP(INDIRECT(ADDRESS(2,COLUMN())),OFFSET($BN$2,0,0,ROW()-1,60),ROW()-1,FALSE))</f>
        <v>0.48326512199999999</v>
      </c>
      <c r="AP288">
        <f ca="1">IF(AND(ISNUMBER($AP$956),$B$677=1),$AP$956,HLOOKUP(INDIRECT(ADDRESS(2,COLUMN())),OFFSET($BN$2,0,0,ROW()-1,60),ROW()-1,FALSE))</f>
        <v>0.61971874000000005</v>
      </c>
      <c r="AQ288">
        <f ca="1">IF(AND(ISNUMBER($AQ$956),$B$677=1),$AQ$956,HLOOKUP(INDIRECT(ADDRESS(2,COLUMN())),OFFSET($BN$2,0,0,ROW()-1,60),ROW()-1,FALSE))</f>
        <v>0.70714086399999998</v>
      </c>
      <c r="AR288">
        <f ca="1">IF(AND(ISNUMBER($AR$956),$B$677=1),$AR$956,HLOOKUP(INDIRECT(ADDRESS(2,COLUMN())),OFFSET($BN$2,0,0,ROW()-1,60),ROW()-1,FALSE))</f>
        <v>0.66973680300000005</v>
      </c>
      <c r="AS288">
        <f ca="1">IF(AND(ISNUMBER($AS$956),$B$677=1),$AS$956,HLOOKUP(INDIRECT(ADDRESS(2,COLUMN())),OFFSET($BN$2,0,0,ROW()-1,60),ROW()-1,FALSE))</f>
        <v>0.63437543900000004</v>
      </c>
      <c r="AT288">
        <f ca="1">IF(AND(ISNUMBER($AT$956),$B$677=1),$AT$956,HLOOKUP(INDIRECT(ADDRESS(2,COLUMN())),OFFSET($BN$2,0,0,ROW()-1,60),ROW()-1,FALSE))</f>
        <v>0.477396349</v>
      </c>
      <c r="AU288">
        <f ca="1">IF(AND(ISNUMBER($AU$956),$B$677=1),$AU$956,HLOOKUP(INDIRECT(ADDRESS(2,COLUMN())),OFFSET($BN$2,0,0,ROW()-1,60),ROW()-1,FALSE))</f>
        <v>0.38128094800000001</v>
      </c>
      <c r="AV288">
        <f ca="1">IF(AND(ISNUMBER($AV$956),$B$677=1),$AV$956,HLOOKUP(INDIRECT(ADDRESS(2,COLUMN())),OFFSET($BN$2,0,0,ROW()-1,60),ROW()-1,FALSE))</f>
        <v>0.54274672300000004</v>
      </c>
      <c r="AW288">
        <f ca="1">IF(AND(ISNUMBER($AW$956),$B$677=1),$AW$956,HLOOKUP(INDIRECT(ADDRESS(2,COLUMN())),OFFSET($BN$2,0,0,ROW()-1,60),ROW()-1,FALSE))</f>
        <v>0.61068686400000005</v>
      </c>
      <c r="AX288">
        <f ca="1">IF(AND(ISNUMBER($AX$956),$B$677=1),$AX$956,HLOOKUP(INDIRECT(ADDRESS(2,COLUMN())),OFFSET($BN$2,0,0,ROW()-1,60),ROW()-1,FALSE))</f>
        <v>0.60070198200000002</v>
      </c>
      <c r="AY288">
        <f ca="1">IF(AND(ISNUMBER($AY$956),$B$677=1),$AY$956,HLOOKUP(INDIRECT(ADDRESS(2,COLUMN())),OFFSET($BN$2,0,0,ROW()-1,60),ROW()-1,FALSE))</f>
        <v>0.738761471</v>
      </c>
      <c r="AZ288">
        <f ca="1">IF(AND(ISNUMBER($AZ$956),$B$677=1),$AZ$956,HLOOKUP(INDIRECT(ADDRESS(2,COLUMN())),OFFSET($BN$2,0,0,ROW()-1,60),ROW()-1,FALSE))</f>
        <v>0.84952661200000001</v>
      </c>
      <c r="BA288">
        <f ca="1">IF(AND(ISNUMBER($BA$956),$B$677=1),$BA$956,HLOOKUP(INDIRECT(ADDRESS(2,COLUMN())),OFFSET($BN$2,0,0,ROW()-1,60),ROW()-1,FALSE))</f>
        <v>1.005372041</v>
      </c>
      <c r="BB288">
        <f ca="1">IF(AND(ISNUMBER($BB$956),$B$677=1),$BB$956,HLOOKUP(INDIRECT(ADDRESS(2,COLUMN())),OFFSET($BN$2,0,0,ROW()-1,60),ROW()-1,FALSE))</f>
        <v>1.0115868459999999</v>
      </c>
      <c r="BC288">
        <f ca="1">IF(AND(ISNUMBER($BC$956),$B$677=1),$BC$956,HLOOKUP(INDIRECT(ADDRESS(2,COLUMN())),OFFSET($BN$2,0,0,ROW()-1,60),ROW()-1,FALSE))</f>
        <v>1.0978451650000001</v>
      </c>
      <c r="BD288">
        <f ca="1">IF(AND(ISNUMBER($BD$956),$B$677=1),$BD$956,HLOOKUP(INDIRECT(ADDRESS(2,COLUMN())),OFFSET($BN$2,0,0,ROW()-1,60),ROW()-1,FALSE))</f>
        <v>0.92088351300000004</v>
      </c>
      <c r="BE288">
        <f ca="1">IF(AND(ISNUMBER($BE$956),$B$677=1),$BE$956,HLOOKUP(INDIRECT(ADDRESS(2,COLUMN())),OFFSET($BN$2,0,0,ROW()-1,60),ROW()-1,FALSE))</f>
        <v>0.89591724100000003</v>
      </c>
      <c r="BF288">
        <f ca="1">IF(AND(ISNUMBER($BF$956),$B$677=1),$BF$956,HLOOKUP(INDIRECT(ADDRESS(2,COLUMN())),OFFSET($BN$2,0,0,ROW()-1,60),ROW()-1,FALSE))</f>
        <v>0.99470334299999996</v>
      </c>
      <c r="BG288">
        <f ca="1">IF(AND(ISNUMBER($BG$956),$B$677=1),$BG$956,HLOOKUP(INDIRECT(ADDRESS(2,COLUMN())),OFFSET($BN$2,0,0,ROW()-1,60),ROW()-1,FALSE))</f>
        <v>1.000260516</v>
      </c>
      <c r="BH288">
        <f ca="1">IF(AND(ISNUMBER($BH$956),$B$677=1),$BH$956,HLOOKUP(INDIRECT(ADDRESS(2,COLUMN())),OFFSET($BN$2,0,0,ROW()-1,60),ROW()-1,FALSE))</f>
        <v>0.88227784399999998</v>
      </c>
      <c r="BI288">
        <f ca="1">IF(AND(ISNUMBER($BI$956),$B$677=1),$BI$956,HLOOKUP(INDIRECT(ADDRESS(2,COLUMN())),OFFSET($BN$2,0,0,ROW()-1,60),ROW()-1,FALSE))</f>
        <v>0.69247724099999997</v>
      </c>
      <c r="BJ288">
        <f ca="1">IF(AND(ISNUMBER($BJ$956),$B$677=1),$BJ$956,HLOOKUP(INDIRECT(ADDRESS(2,COLUMN())),OFFSET($BN$2,0,0,ROW()-1,60),ROW()-1,FALSE))</f>
        <v>0.71719840400000001</v>
      </c>
      <c r="BK288" t="str">
        <f ca="1">IF(AND(ISNUMBER($BK$956),$B$677=1),$BK$956,HLOOKUP(INDIRECT(ADDRESS(2,COLUMN())),OFFSET($BN$2,0,0,ROW()-1,60),ROW()-1,FALSE))</f>
        <v/>
      </c>
      <c r="BL288" t="str">
        <f ca="1">IF(AND(ISNUMBER($BL$956),$B$677=1),$BL$956,HLOOKUP(INDIRECT(ADDRESS(2,COLUMN())),OFFSET($BN$2,0,0,ROW()-1,60),ROW()-1,FALSE))</f>
        <v/>
      </c>
      <c r="BM288" t="str">
        <f ca="1">IF(AND(ISNUMBER($BM$956),$B$677=1),$BM$956,HLOOKUP(INDIRECT(ADDRESS(2,COLUMN())),OFFSET($BN$2,0,0,ROW()-1,60),ROW()-1,FALSE))</f>
        <v/>
      </c>
      <c r="BN288">
        <f>0.646667326</f>
        <v>0.64666732599999999</v>
      </c>
      <c r="BO288">
        <f>0.616451026</f>
        <v>0.61645102600000001</v>
      </c>
      <c r="BP288">
        <f>0.691961432</f>
        <v>0.69196143200000004</v>
      </c>
      <c r="BQ288">
        <f>0.707668945</f>
        <v>0.70766894499999999</v>
      </c>
      <c r="BR288">
        <f>0.684543689</f>
        <v>0.68454368899999996</v>
      </c>
      <c r="BS288">
        <f>0.730554487</f>
        <v>0.73055448700000003</v>
      </c>
      <c r="BT288">
        <f>0.695428541</f>
        <v>0.69542854099999996</v>
      </c>
      <c r="BU288">
        <f>0.628438619</f>
        <v>0.62843861899999998</v>
      </c>
      <c r="BV288">
        <f>0.658326666</f>
        <v>0.658326666</v>
      </c>
      <c r="BW288">
        <f>0.767747783</f>
        <v>0.76774778300000002</v>
      </c>
      <c r="BX288">
        <f>0.644451214</f>
        <v>0.64445121400000005</v>
      </c>
      <c r="BY288">
        <f>0.556429693</f>
        <v>0.556429693</v>
      </c>
      <c r="BZ288">
        <f>0.65191273</f>
        <v>0.65191273000000005</v>
      </c>
      <c r="CA288">
        <f>0.821635291</f>
        <v>0.82163529099999999</v>
      </c>
      <c r="CB288">
        <f>0.77337189</f>
        <v>0.77337188999999995</v>
      </c>
      <c r="CC288">
        <f>0.92932386</f>
        <v>0.92932386</v>
      </c>
      <c r="CD288">
        <f>0.972227604</f>
        <v>0.97222760399999997</v>
      </c>
      <c r="CE288">
        <f>0.896313538</f>
        <v>0.89631353800000002</v>
      </c>
      <c r="CF288">
        <f>0.784223297</f>
        <v>0.78422329700000004</v>
      </c>
      <c r="CG288">
        <f>0.746596482</f>
        <v>0.74659648199999995</v>
      </c>
      <c r="CH288">
        <f>0.718614894</f>
        <v>0.718614894</v>
      </c>
      <c r="CI288">
        <f>0.814961712</f>
        <v>0.814961712</v>
      </c>
      <c r="CJ288">
        <f>0.838308173</f>
        <v>0.83830817300000005</v>
      </c>
      <c r="CK288">
        <f>0.831456571</f>
        <v>0.83145657100000003</v>
      </c>
      <c r="CL288">
        <f>0.697564836</f>
        <v>0.69756483599999997</v>
      </c>
      <c r="CM288">
        <f>0.578353931</f>
        <v>0.57835393099999999</v>
      </c>
      <c r="CN288">
        <f>0.447264992</f>
        <v>0.44726499199999997</v>
      </c>
      <c r="CO288">
        <f>0.487134033</f>
        <v>0.48713403300000002</v>
      </c>
      <c r="CP288">
        <f>0.604201533</f>
        <v>0.60420153300000001</v>
      </c>
      <c r="CQ288">
        <f>0.458994181</f>
        <v>0.458994181</v>
      </c>
      <c r="CR288">
        <f>0.486342294</f>
        <v>0.48634229400000001</v>
      </c>
      <c r="CS288">
        <f>0.580279692</f>
        <v>0.58027969199999996</v>
      </c>
      <c r="CT288">
        <f>0.553089414</f>
        <v>0.553089414</v>
      </c>
      <c r="CU288">
        <f>0.514351392</f>
        <v>0.51435139200000002</v>
      </c>
      <c r="CV288">
        <f>0.464240247</f>
        <v>0.46424024699999999</v>
      </c>
      <c r="CW288">
        <f>0.483265122</f>
        <v>0.48326512199999999</v>
      </c>
      <c r="CX288">
        <f>0.61971874</f>
        <v>0.61971874000000005</v>
      </c>
      <c r="CY288">
        <f>0.707140864</f>
        <v>0.70714086399999998</v>
      </c>
      <c r="CZ288">
        <f>0.669736803</f>
        <v>0.66973680300000005</v>
      </c>
      <c r="DA288">
        <f>0.634375439</f>
        <v>0.63437543900000004</v>
      </c>
      <c r="DB288">
        <f>0.477396349</f>
        <v>0.477396349</v>
      </c>
      <c r="DC288">
        <f>0.381280948</f>
        <v>0.38128094800000001</v>
      </c>
      <c r="DD288">
        <f>0.542746723</f>
        <v>0.54274672300000004</v>
      </c>
      <c r="DE288">
        <f>0.610686864</f>
        <v>0.61068686400000005</v>
      </c>
      <c r="DF288">
        <f>0.600701982</f>
        <v>0.60070198200000002</v>
      </c>
      <c r="DG288">
        <f>0.738761471</f>
        <v>0.738761471</v>
      </c>
      <c r="DH288">
        <f>0.849526612</f>
        <v>0.84952661200000001</v>
      </c>
      <c r="DI288">
        <f>1.005372041</f>
        <v>1.005372041</v>
      </c>
      <c r="DJ288">
        <f>1.011586846</f>
        <v>1.0115868459999999</v>
      </c>
      <c r="DK288">
        <f>1.097845165</f>
        <v>1.0978451650000001</v>
      </c>
      <c r="DL288">
        <f>0.920883513</f>
        <v>0.92088351300000004</v>
      </c>
      <c r="DM288">
        <f>0.895917241</f>
        <v>0.89591724100000003</v>
      </c>
      <c r="DN288">
        <f>0.994703343</f>
        <v>0.99470334299999996</v>
      </c>
      <c r="DO288">
        <f>1.000260516</f>
        <v>1.000260516</v>
      </c>
      <c r="DP288">
        <f>0.882277844</f>
        <v>0.88227784399999998</v>
      </c>
      <c r="DQ288">
        <f>0.692477241</f>
        <v>0.69247724099999997</v>
      </c>
      <c r="DR288">
        <f>0.717198404</f>
        <v>0.71719840400000001</v>
      </c>
      <c r="DS288" t="str">
        <f>""</f>
        <v/>
      </c>
      <c r="DT288" t="str">
        <f>""</f>
        <v/>
      </c>
      <c r="DU288" t="str">
        <f>""</f>
        <v/>
      </c>
    </row>
    <row r="289" spans="1:125" x14ac:dyDescent="0.25">
      <c r="A289" t="str">
        <f>"    Volkswagen AG"</f>
        <v xml:space="preserve">    Volkswagen AG</v>
      </c>
      <c r="B289" t="str">
        <f>"VOW GR Equity"</f>
        <v>VOW GR Equity</v>
      </c>
      <c r="C289" t="str">
        <f t="shared" si="18"/>
        <v>RR904</v>
      </c>
      <c r="D289" t="str">
        <f t="shared" si="19"/>
        <v>PX_TO_SALES_RATIO</v>
      </c>
      <c r="E289" t="str">
        <f t="shared" si="20"/>
        <v>Dynamic</v>
      </c>
      <c r="F289">
        <f ca="1">IF(AND(ISNUMBER($F$957),$B$677=1),$F$957,HLOOKUP(INDIRECT(ADDRESS(2,COLUMN())),OFFSET($BN$2,0,0,ROW()-1,60),ROW()-1,FALSE))</f>
        <v>0.32276145000000001</v>
      </c>
      <c r="G289">
        <f ca="1">IF(AND(ISNUMBER($G$957),$B$677=1),$G$957,HLOOKUP(INDIRECT(ADDRESS(2,COLUMN())),OFFSET($BN$2,0,0,ROW()-1,60),ROW()-1,FALSE))</f>
        <v>0.29595331400000002</v>
      </c>
      <c r="H289">
        <f ca="1">IF(AND(ISNUMBER($H$957),$B$677=1),$H$957,HLOOKUP(INDIRECT(ADDRESS(2,COLUMN())),OFFSET($BN$2,0,0,ROW()-1,60),ROW()-1,FALSE))</f>
        <v>0.31930309400000001</v>
      </c>
      <c r="I289">
        <f ca="1">IF(AND(ISNUMBER($I$957),$B$677=1),$I$957,HLOOKUP(INDIRECT(ADDRESS(2,COLUMN())),OFFSET($BN$2,0,0,ROW()-1,60),ROW()-1,FALSE))</f>
        <v>0.30324764999999998</v>
      </c>
      <c r="J289">
        <f ca="1">IF(AND(ISNUMBER($J$957),$B$677=1),$J$957,HLOOKUP(INDIRECT(ADDRESS(2,COLUMN())),OFFSET($BN$2,0,0,ROW()-1,60),ROW()-1,FALSE))</f>
        <v>0.352115964</v>
      </c>
      <c r="K289">
        <f ca="1">IF(AND(ISNUMBER($K$957),$B$677=1),$K$957,HLOOKUP(INDIRECT(ADDRESS(2,COLUMN())),OFFSET($BN$2,0,0,ROW()-1,60),ROW()-1,FALSE))</f>
        <v>0.36787617299999997</v>
      </c>
      <c r="L289">
        <f ca="1">IF(AND(ISNUMBER($L$957),$B$677=1),$L$957,HLOOKUP(INDIRECT(ADDRESS(2,COLUMN())),OFFSET($BN$2,0,0,ROW()-1,60),ROW()-1,FALSE))</f>
        <v>0.315128197</v>
      </c>
      <c r="M289">
        <f ca="1">IF(AND(ISNUMBER($M$957),$B$677=1),$M$957,HLOOKUP(INDIRECT(ADDRESS(2,COLUMN())),OFFSET($BN$2,0,0,ROW()-1,60),ROW()-1,FALSE))</f>
        <v>0.30379226399999998</v>
      </c>
      <c r="N289">
        <f ca="1">IF(AND(ISNUMBER($N$957),$B$677=1),$N$957,HLOOKUP(INDIRECT(ADDRESS(2,COLUMN())),OFFSET($BN$2,0,0,ROW()-1,60),ROW()-1,FALSE))</f>
        <v>0.31461056300000001</v>
      </c>
      <c r="O289">
        <f ca="1">IF(AND(ISNUMBER($O$957),$B$677=1),$O$957,HLOOKUP(INDIRECT(ADDRESS(2,COLUMN())),OFFSET($BN$2,0,0,ROW()-1,60),ROW()-1,FALSE))</f>
        <v>0.315520034</v>
      </c>
      <c r="P289">
        <f ca="1">IF(AND(ISNUMBER($P$957),$B$677=1),$P$957,HLOOKUP(INDIRECT(ADDRESS(2,COLUMN())),OFFSET($BN$2,0,0,ROW()-1,60),ROW()-1,FALSE))</f>
        <v>0.30250354099999999</v>
      </c>
      <c r="Q289">
        <f ca="1">IF(AND(ISNUMBER($Q$957),$B$677=1),$Q$957,HLOOKUP(INDIRECT(ADDRESS(2,COLUMN())),OFFSET($BN$2,0,0,ROW()-1,60),ROW()-1,FALSE))</f>
        <v>0.28803401099999998</v>
      </c>
      <c r="R289">
        <f ca="1">IF(AND(ISNUMBER($R$957),$B$677=1),$R$957,HLOOKUP(INDIRECT(ADDRESS(2,COLUMN())),OFFSET($BN$2,0,0,ROW()-1,60),ROW()-1,FALSE))</f>
        <v>0.30202706400000001</v>
      </c>
      <c r="S289">
        <f ca="1">IF(AND(ISNUMBER($S$957),$B$677=1),$S$957,HLOOKUP(INDIRECT(ADDRESS(2,COLUMN())),OFFSET($BN$2,0,0,ROW()-1,60),ROW()-1,FALSE))</f>
        <v>0.33444442200000002</v>
      </c>
      <c r="T289">
        <f ca="1">IF(AND(ISNUMBER($T$957),$B$677=1),$T$957,HLOOKUP(INDIRECT(ADDRESS(2,COLUMN())),OFFSET($BN$2,0,0,ROW()-1,60),ROW()-1,FALSE))</f>
        <v>0.24905776900000001</v>
      </c>
      <c r="U289">
        <f ca="1">IF(AND(ISNUMBER($U$957),$B$677=1),$U$957,HLOOKUP(INDIRECT(ADDRESS(2,COLUMN())),OFFSET($BN$2,0,0,ROW()-1,60),ROW()-1,FALSE))</f>
        <v>0.48977093599999999</v>
      </c>
      <c r="V289">
        <f ca="1">IF(AND(ISNUMBER($V$957),$B$677=1),$V$957,HLOOKUP(INDIRECT(ADDRESS(2,COLUMN())),OFFSET($BN$2,0,0,ROW()-1,60),ROW()-1,FALSE))</f>
        <v>0.57533320300000002</v>
      </c>
      <c r="W289">
        <f ca="1">IF(AND(ISNUMBER($W$957),$B$677=1),$W$957,HLOOKUP(INDIRECT(ADDRESS(2,COLUMN())),OFFSET($BN$2,0,0,ROW()-1,60),ROW()-1,FALSE))</f>
        <v>0.44136850100000002</v>
      </c>
      <c r="X289">
        <f ca="1">IF(AND(ISNUMBER($X$957),$B$677=1),$X$957,HLOOKUP(INDIRECT(ADDRESS(2,COLUMN())),OFFSET($BN$2,0,0,ROW()-1,60),ROW()-1,FALSE))</f>
        <v>0.40518116500000001</v>
      </c>
      <c r="Y289">
        <f ca="1">IF(AND(ISNUMBER($Y$957),$B$677=1),$Y$957,HLOOKUP(INDIRECT(ADDRESS(2,COLUMN())),OFFSET($BN$2,0,0,ROW()-1,60),ROW()-1,FALSE))</f>
        <v>0.46863991999999999</v>
      </c>
      <c r="Z289">
        <f ca="1">IF(AND(ISNUMBER($Z$957),$B$677=1),$Z$957,HLOOKUP(INDIRECT(ADDRESS(2,COLUMN())),OFFSET($BN$2,0,0,ROW()-1,60),ROW()-1,FALSE))</f>
        <v>0.45309596699999999</v>
      </c>
      <c r="AA289">
        <f ca="1">IF(AND(ISNUMBER($AA$957),$B$677=1),$AA$957,HLOOKUP(INDIRECT(ADDRESS(2,COLUMN())),OFFSET($BN$2,0,0,ROW()-1,60),ROW()-1,FALSE))</f>
        <v>0.48581908299999998</v>
      </c>
      <c r="AB289">
        <f ca="1">IF(AND(ISNUMBER($AB$957),$B$677=1),$AB$957,HLOOKUP(INDIRECT(ADDRESS(2,COLUMN())),OFFSET($BN$2,0,0,ROW()-1,60),ROW()-1,FALSE))</f>
        <v>0.41679941399999998</v>
      </c>
      <c r="AC289">
        <f ca="1">IF(AND(ISNUMBER($AC$957),$B$677=1),$AC$957,HLOOKUP(INDIRECT(ADDRESS(2,COLUMN())),OFFSET($BN$2,0,0,ROW()-1,60),ROW()-1,FALSE))</f>
        <v>0.36414860100000002</v>
      </c>
      <c r="AD289">
        <f ca="1">IF(AND(ISNUMBER($AD$957),$B$677=1),$AD$957,HLOOKUP(INDIRECT(ADDRESS(2,COLUMN())),OFFSET($BN$2,0,0,ROW()-1,60),ROW()-1,FALSE))</f>
        <v>0.36015932099999998</v>
      </c>
      <c r="AE289">
        <f ca="1">IF(AND(ISNUMBER($AE$957),$B$677=1),$AE$957,HLOOKUP(INDIRECT(ADDRESS(2,COLUMN())),OFFSET($BN$2,0,0,ROW()-1,60),ROW()-1,FALSE))</f>
        <v>0.39497647800000002</v>
      </c>
      <c r="AF289">
        <f ca="1">IF(AND(ISNUMBER($AF$957),$B$677=1),$AF$957,HLOOKUP(INDIRECT(ADDRESS(2,COLUMN())),OFFSET($BN$2,0,0,ROW()-1,60),ROW()-1,FALSE))</f>
        <v>0.32398051</v>
      </c>
      <c r="AG289">
        <f ca="1">IF(AND(ISNUMBER($AG$957),$B$677=1),$AG$957,HLOOKUP(INDIRECT(ADDRESS(2,COLUMN())),OFFSET($BN$2,0,0,ROW()-1,60),ROW()-1,FALSE))</f>
        <v>0.30980561200000001</v>
      </c>
      <c r="AH289">
        <f ca="1">IF(AND(ISNUMBER($AH$957),$B$677=1),$AH$957,HLOOKUP(INDIRECT(ADDRESS(2,COLUMN())),OFFSET($BN$2,0,0,ROW()-1,60),ROW()-1,FALSE))</f>
        <v>0.33289520099999997</v>
      </c>
      <c r="AI289">
        <f ca="1">IF(AND(ISNUMBER($AI$957),$B$677=1),$AI$957,HLOOKUP(INDIRECT(ADDRESS(2,COLUMN())),OFFSET($BN$2,0,0,ROW()-1,60),ROW()-1,FALSE))</f>
        <v>0.30258652200000002</v>
      </c>
      <c r="AJ289">
        <f ca="1">IF(AND(ISNUMBER($AJ$957),$B$677=1),$AJ$957,HLOOKUP(INDIRECT(ADDRESS(2,COLUMN())),OFFSET($BN$2,0,0,ROW()-1,60),ROW()-1,FALSE))</f>
        <v>0.29009025300000002</v>
      </c>
      <c r="AK289">
        <f ca="1">IF(AND(ISNUMBER($AK$957),$B$677=1),$AK$957,HLOOKUP(INDIRECT(ADDRESS(2,COLUMN())),OFFSET($BN$2,0,0,ROW()-1,60),ROW()-1,FALSE))</f>
        <v>0.41439883999999999</v>
      </c>
      <c r="AL289">
        <f ca="1">IF(AND(ISNUMBER($AL$957),$B$677=1),$AL$957,HLOOKUP(INDIRECT(ADDRESS(2,COLUMN())),OFFSET($BN$2,0,0,ROW()-1,60),ROW()-1,FALSE))</f>
        <v>0.37145436399999998</v>
      </c>
      <c r="AM289">
        <f ca="1">IF(AND(ISNUMBER($AM$957),$B$677=1),$AM$957,HLOOKUP(INDIRECT(ADDRESS(2,COLUMN())),OFFSET($BN$2,0,0,ROW()-1,60),ROW()-1,FALSE))</f>
        <v>0.37546012699999998</v>
      </c>
      <c r="AN289">
        <f ca="1">IF(AND(ISNUMBER($AN$957),$B$677=1),$AN$957,HLOOKUP(INDIRECT(ADDRESS(2,COLUMN())),OFFSET($BN$2,0,0,ROW()-1,60),ROW()-1,FALSE))</f>
        <v>0.29077320800000001</v>
      </c>
      <c r="AO289">
        <f ca="1">IF(AND(ISNUMBER($AO$957),$B$677=1),$AO$957,HLOOKUP(INDIRECT(ADDRESS(2,COLUMN())),OFFSET($BN$2,0,0,ROW()-1,60),ROW()-1,FALSE))</f>
        <v>0.25194427600000002</v>
      </c>
      <c r="AP289">
        <f ca="1">IF(AND(ISNUMBER($AP$957),$B$677=1),$AP$957,HLOOKUP(INDIRECT(ADDRESS(2,COLUMN())),OFFSET($BN$2,0,0,ROW()-1,60),ROW()-1,FALSE))</f>
        <v>0.26255352199999998</v>
      </c>
      <c r="AQ289">
        <f ca="1">IF(AND(ISNUMBER($AQ$957),$B$677=1),$AQ$957,HLOOKUP(INDIRECT(ADDRESS(2,COLUMN())),OFFSET($BN$2,0,0,ROW()-1,60),ROW()-1,FALSE))</f>
        <v>0.29296278399999998</v>
      </c>
      <c r="AR289">
        <f ca="1">IF(AND(ISNUMBER($AR$957),$B$677=1),$AR$957,HLOOKUP(INDIRECT(ADDRESS(2,COLUMN())),OFFSET($BN$2,0,0,ROW()-1,60),ROW()-1,FALSE))</f>
        <v>0.42694326300000002</v>
      </c>
      <c r="AS289">
        <f ca="1">IF(AND(ISNUMBER($AS$957),$B$677=1),$AS$957,HLOOKUP(INDIRECT(ADDRESS(2,COLUMN())),OFFSET($BN$2,0,0,ROW()-1,60),ROW()-1,FALSE))</f>
        <v>0.88711939699999998</v>
      </c>
      <c r="AT289">
        <f ca="1">IF(AND(ISNUMBER($AT$957),$B$677=1),$AT$957,HLOOKUP(INDIRECT(ADDRESS(2,COLUMN())),OFFSET($BN$2,0,0,ROW()-1,60),ROW()-1,FALSE))</f>
        <v>0.82561632200000001</v>
      </c>
      <c r="AU289">
        <f ca="1">IF(AND(ISNUMBER($AU$957),$B$677=1),$AU$957,HLOOKUP(INDIRECT(ADDRESS(2,COLUMN())),OFFSET($BN$2,0,0,ROW()-1,60),ROW()-1,FALSE))</f>
        <v>0.87307164999999998</v>
      </c>
      <c r="AV289">
        <f ca="1">IF(AND(ISNUMBER($AV$957),$B$677=1),$AV$957,HLOOKUP(INDIRECT(ADDRESS(2,COLUMN())),OFFSET($BN$2,0,0,ROW()-1,60),ROW()-1,FALSE))</f>
        <v>0.97065122699999995</v>
      </c>
      <c r="AW289">
        <f ca="1">IF(AND(ISNUMBER($AW$957),$B$677=1),$AW$957,HLOOKUP(INDIRECT(ADDRESS(2,COLUMN())),OFFSET($BN$2,0,0,ROW()-1,60),ROW()-1,FALSE))</f>
        <v>0.65164670099999999</v>
      </c>
      <c r="AX289">
        <f ca="1">IF(AND(ISNUMBER($AX$957),$B$677=1),$AX$957,HLOOKUP(INDIRECT(ADDRESS(2,COLUMN())),OFFSET($BN$2,0,0,ROW()-1,60),ROW()-1,FALSE))</f>
        <v>0.66152639300000005</v>
      </c>
      <c r="AY289">
        <f ca="1">IF(AND(ISNUMBER($AY$957),$B$677=1),$AY$957,HLOOKUP(INDIRECT(ADDRESS(2,COLUMN())),OFFSET($BN$2,0,0,ROW()-1,60),ROW()-1,FALSE))</f>
        <v>0.56215188599999999</v>
      </c>
      <c r="AZ289">
        <f ca="1">IF(AND(ISNUMBER($AZ$957),$B$677=1),$AZ$957,HLOOKUP(INDIRECT(ADDRESS(2,COLUMN())),OFFSET($BN$2,0,0,ROW()-1,60),ROW()-1,FALSE))</f>
        <v>0.57299814400000004</v>
      </c>
      <c r="BA289">
        <f ca="1">IF(AND(ISNUMBER($BA$957),$B$677=1),$BA$957,HLOOKUP(INDIRECT(ADDRESS(2,COLUMN())),OFFSET($BN$2,0,0,ROW()-1,60),ROW()-1,FALSE))</f>
        <v>0.42697872100000001</v>
      </c>
      <c r="BB289">
        <f ca="1">IF(AND(ISNUMBER($BB$957),$B$677=1),$BB$957,HLOOKUP(INDIRECT(ADDRESS(2,COLUMN())),OFFSET($BN$2,0,0,ROW()-1,60),ROW()-1,FALSE))</f>
        <v>0.413029268</v>
      </c>
      <c r="BC289">
        <f ca="1">IF(AND(ISNUMBER($BC$957),$B$677=1),$BC$957,HLOOKUP(INDIRECT(ADDRESS(2,COLUMN())),OFFSET($BN$2,0,0,ROW()-1,60),ROW()-1,FALSE))</f>
        <v>0.318269939</v>
      </c>
      <c r="BD289">
        <f ca="1">IF(AND(ISNUMBER($BD$957),$B$677=1),$BD$957,HLOOKUP(INDIRECT(ADDRESS(2,COLUMN())),OFFSET($BN$2,0,0,ROW()-1,60),ROW()-1,FALSE))</f>
        <v>0.25502196100000002</v>
      </c>
      <c r="BE289">
        <f ca="1">IF(AND(ISNUMBER($BE$957),$B$677=1),$BE$957,HLOOKUP(INDIRECT(ADDRESS(2,COLUMN())),OFFSET($BN$2,0,0,ROW()-1,60),ROW()-1,FALSE))</f>
        <v>0.21023299500000001</v>
      </c>
      <c r="BF289">
        <f ca="1">IF(AND(ISNUMBER($BF$957),$B$677=1),$BF$957,HLOOKUP(INDIRECT(ADDRESS(2,COLUMN())),OFFSET($BN$2,0,0,ROW()-1,60),ROW()-1,FALSE))</f>
        <v>0.24177680400000001</v>
      </c>
      <c r="BG289">
        <f ca="1">IF(AND(ISNUMBER($BG$957),$B$677=1),$BG$957,HLOOKUP(INDIRECT(ADDRESS(2,COLUMN())),OFFSET($BN$2,0,0,ROW()-1,60),ROW()-1,FALSE))</f>
        <v>0.182334317</v>
      </c>
      <c r="BH289">
        <f ca="1">IF(AND(ISNUMBER($BH$957),$B$677=1),$BH$957,HLOOKUP(INDIRECT(ADDRESS(2,COLUMN())),OFFSET($BN$2,0,0,ROW()-1,60),ROW()-1,FALSE))</f>
        <v>0.215318751</v>
      </c>
      <c r="BI289">
        <f ca="1">IF(AND(ISNUMBER($BI$957),$B$677=1),$BI$957,HLOOKUP(INDIRECT(ADDRESS(2,COLUMN())),OFFSET($BN$2,0,0,ROW()-1,60),ROW()-1,FALSE))</f>
        <v>0.16220474800000001</v>
      </c>
      <c r="BJ289">
        <f ca="1">IF(AND(ISNUMBER($BJ$957),$B$677=1),$BJ$957,HLOOKUP(INDIRECT(ADDRESS(2,COLUMN())),OFFSET($BN$2,0,0,ROW()-1,60),ROW()-1,FALSE))</f>
        <v>0.15960655000000001</v>
      </c>
      <c r="BK289">
        <f ca="1">IF(AND(ISNUMBER($BK$957),$B$677=1),$BK$957,HLOOKUP(INDIRECT(ADDRESS(2,COLUMN())),OFFSET($BN$2,0,0,ROW()-1,60),ROW()-1,FALSE))</f>
        <v>0.143877005</v>
      </c>
      <c r="BL289">
        <f ca="1">IF(AND(ISNUMBER($BL$957),$B$677=1),$BL$957,HLOOKUP(INDIRECT(ADDRESS(2,COLUMN())),OFFSET($BN$2,0,0,ROW()-1,60),ROW()-1,FALSE))</f>
        <v>0.13100242200000001</v>
      </c>
      <c r="BM289">
        <f ca="1">IF(AND(ISNUMBER($BM$957),$B$677=1),$BM$957,HLOOKUP(INDIRECT(ADDRESS(2,COLUMN())),OFFSET($BN$2,0,0,ROW()-1,60),ROW()-1,FALSE))</f>
        <v>0.14676874100000001</v>
      </c>
      <c r="BN289">
        <f>0.32276145</f>
        <v>0.32276145000000001</v>
      </c>
      <c r="BO289">
        <f>0.295953314</f>
        <v>0.29595331400000002</v>
      </c>
      <c r="BP289">
        <f>0.319303094</f>
        <v>0.31930309400000001</v>
      </c>
      <c r="BQ289">
        <f>0.30324765</f>
        <v>0.30324764999999998</v>
      </c>
      <c r="BR289">
        <f>0.352115964</f>
        <v>0.352115964</v>
      </c>
      <c r="BS289">
        <f>0.367876173</f>
        <v>0.36787617299999997</v>
      </c>
      <c r="BT289">
        <f>0.315128197</f>
        <v>0.315128197</v>
      </c>
      <c r="BU289">
        <f>0.303792264</f>
        <v>0.30379226399999998</v>
      </c>
      <c r="BV289">
        <f>0.314610563</f>
        <v>0.31461056300000001</v>
      </c>
      <c r="BW289">
        <f>0.315520034</f>
        <v>0.315520034</v>
      </c>
      <c r="BX289">
        <f>0.302503541</f>
        <v>0.30250354099999999</v>
      </c>
      <c r="BY289">
        <f>0.288034011</f>
        <v>0.28803401099999998</v>
      </c>
      <c r="BZ289">
        <f>0.302027064</f>
        <v>0.30202706400000001</v>
      </c>
      <c r="CA289">
        <f>0.334444422</f>
        <v>0.33444442200000002</v>
      </c>
      <c r="CB289">
        <f>0.249057769</f>
        <v>0.24905776900000001</v>
      </c>
      <c r="CC289">
        <f>0.489770936</f>
        <v>0.48977093599999999</v>
      </c>
      <c r="CD289">
        <f>0.575333203</f>
        <v>0.57533320300000002</v>
      </c>
      <c r="CE289">
        <f>0.441368501</f>
        <v>0.44136850100000002</v>
      </c>
      <c r="CF289">
        <f>0.405181165</f>
        <v>0.40518116500000001</v>
      </c>
      <c r="CG289">
        <f>0.46863992</f>
        <v>0.46863991999999999</v>
      </c>
      <c r="CH289">
        <f>0.453095967</f>
        <v>0.45309596699999999</v>
      </c>
      <c r="CI289">
        <f>0.485819083</f>
        <v>0.48581908299999998</v>
      </c>
      <c r="CJ289">
        <f>0.416799414</f>
        <v>0.41679941399999998</v>
      </c>
      <c r="CK289">
        <f>0.364148601</f>
        <v>0.36414860100000002</v>
      </c>
      <c r="CL289">
        <f>0.360159321</f>
        <v>0.36015932099999998</v>
      </c>
      <c r="CM289">
        <f>0.394976478</f>
        <v>0.39497647800000002</v>
      </c>
      <c r="CN289">
        <f>0.32398051</f>
        <v>0.32398051</v>
      </c>
      <c r="CO289">
        <f>0.309805612</f>
        <v>0.30980561200000001</v>
      </c>
      <c r="CP289">
        <f>0.332895201</f>
        <v>0.33289520099999997</v>
      </c>
      <c r="CQ289">
        <f>0.302586522</f>
        <v>0.30258652200000002</v>
      </c>
      <c r="CR289">
        <f>0.290090253</f>
        <v>0.29009025300000002</v>
      </c>
      <c r="CS289">
        <f>0.41439884</f>
        <v>0.41439883999999999</v>
      </c>
      <c r="CT289">
        <f>0.371454364</f>
        <v>0.37145436399999998</v>
      </c>
      <c r="CU289">
        <f>0.375460127</f>
        <v>0.37546012699999998</v>
      </c>
      <c r="CV289">
        <f>0.290773208</f>
        <v>0.29077320800000001</v>
      </c>
      <c r="CW289">
        <f>0.251944276</f>
        <v>0.25194427600000002</v>
      </c>
      <c r="CX289">
        <f>0.262553522</f>
        <v>0.26255352199999998</v>
      </c>
      <c r="CY289">
        <f>0.292962784</f>
        <v>0.29296278399999998</v>
      </c>
      <c r="CZ289">
        <f>0.426943263</f>
        <v>0.42694326300000002</v>
      </c>
      <c r="DA289">
        <f>0.887119397</f>
        <v>0.88711939699999998</v>
      </c>
      <c r="DB289">
        <f>0.825616322</f>
        <v>0.82561632200000001</v>
      </c>
      <c r="DC289">
        <f>0.87307165</f>
        <v>0.87307164999999998</v>
      </c>
      <c r="DD289">
        <f>0.970651227</f>
        <v>0.97065122699999995</v>
      </c>
      <c r="DE289">
        <f>0.651646701</f>
        <v>0.65164670099999999</v>
      </c>
      <c r="DF289">
        <f>0.661526393</f>
        <v>0.66152639300000005</v>
      </c>
      <c r="DG289">
        <f>0.562151886</f>
        <v>0.56215188599999999</v>
      </c>
      <c r="DH289">
        <f>0.572998144</f>
        <v>0.57299814400000004</v>
      </c>
      <c r="DI289">
        <f>0.426978721</f>
        <v>0.42697872100000001</v>
      </c>
      <c r="DJ289">
        <f>0.413029268</f>
        <v>0.413029268</v>
      </c>
      <c r="DK289">
        <f>0.318269939</f>
        <v>0.318269939</v>
      </c>
      <c r="DL289">
        <f>0.255021961</f>
        <v>0.25502196100000002</v>
      </c>
      <c r="DM289">
        <f>0.210232995</f>
        <v>0.21023299500000001</v>
      </c>
      <c r="DN289">
        <f>0.241776804</f>
        <v>0.24177680400000001</v>
      </c>
      <c r="DO289">
        <f>0.182334317</f>
        <v>0.182334317</v>
      </c>
      <c r="DP289">
        <f>0.215318751</f>
        <v>0.215318751</v>
      </c>
      <c r="DQ289">
        <f>0.162204748</f>
        <v>0.16220474800000001</v>
      </c>
      <c r="DR289">
        <f>0.15960655</f>
        <v>0.15960655000000001</v>
      </c>
      <c r="DS289">
        <f>0.143877005</f>
        <v>0.143877005</v>
      </c>
      <c r="DT289">
        <f>0.131002422</f>
        <v>0.13100242200000001</v>
      </c>
      <c r="DU289">
        <f>0.146768741</f>
        <v>0.14676874100000001</v>
      </c>
    </row>
    <row r="290" spans="1:125" x14ac:dyDescent="0.25">
      <c r="A290" t="str">
        <f>"    Yulon Motor Co Ltd"</f>
        <v xml:space="preserve">    Yulon Motor Co Ltd</v>
      </c>
      <c r="B290" t="str">
        <f>"2201 TT Equity"</f>
        <v>2201 TT Equity</v>
      </c>
      <c r="C290" t="str">
        <f t="shared" si="18"/>
        <v>RR904</v>
      </c>
      <c r="D290" t="str">
        <f t="shared" si="19"/>
        <v>PX_TO_SALES_RATIO</v>
      </c>
      <c r="E290" t="str">
        <f t="shared" si="20"/>
        <v>Dynamic</v>
      </c>
      <c r="F290">
        <f ca="1">IF(AND(ISNUMBER($F$958),$B$677=1),$F$958,HLOOKUP(INDIRECT(ADDRESS(2,COLUMN())),OFFSET($BN$2,0,0,ROW()-1,60),ROW()-1,FALSE))</f>
        <v>0.31172935600000001</v>
      </c>
      <c r="G290">
        <f ca="1">IF(AND(ISNUMBER($G$958),$B$677=1),$G$958,HLOOKUP(INDIRECT(ADDRESS(2,COLUMN())),OFFSET($BN$2,0,0,ROW()-1,60),ROW()-1,FALSE))</f>
        <v>0.299391782</v>
      </c>
      <c r="H290">
        <f ca="1">IF(AND(ISNUMBER($H$958),$B$677=1),$H$958,HLOOKUP(INDIRECT(ADDRESS(2,COLUMN())),OFFSET($BN$2,0,0,ROW()-1,60),ROW()-1,FALSE))</f>
        <v>0.356967125</v>
      </c>
      <c r="I290">
        <f ca="1">IF(AND(ISNUMBER($I$958),$B$677=1),$I$958,HLOOKUP(INDIRECT(ADDRESS(2,COLUMN())),OFFSET($BN$2,0,0,ROW()-1,60),ROW()-1,FALSE))</f>
        <v>0.342639631</v>
      </c>
      <c r="J290">
        <f ca="1">IF(AND(ISNUMBER($J$958),$B$677=1),$J$958,HLOOKUP(INDIRECT(ADDRESS(2,COLUMN())),OFFSET($BN$2,0,0,ROW()-1,60),ROW()-1,FALSE))</f>
        <v>0.36174231600000001</v>
      </c>
      <c r="K290">
        <f ca="1">IF(AND(ISNUMBER($K$958),$B$677=1),$K$958,HLOOKUP(INDIRECT(ADDRESS(2,COLUMN())),OFFSET($BN$2,0,0,ROW()-1,60),ROW()-1,FALSE))</f>
        <v>0.38170526399999999</v>
      </c>
      <c r="L290">
        <f ca="1">IF(AND(ISNUMBER($L$958),$B$677=1),$L$958,HLOOKUP(INDIRECT(ADDRESS(2,COLUMN())),OFFSET($BN$2,0,0,ROW()-1,60),ROW()-1,FALSE))</f>
        <v>0.38973428900000001</v>
      </c>
      <c r="M290">
        <f ca="1">IF(AND(ISNUMBER($M$958),$B$677=1),$M$958,HLOOKUP(INDIRECT(ADDRESS(2,COLUMN())),OFFSET($BN$2,0,0,ROW()-1,60),ROW()-1,FALSE))</f>
        <v>0.39277051200000002</v>
      </c>
      <c r="N290">
        <f ca="1">IF(AND(ISNUMBER($N$958),$B$677=1),$N$958,HLOOKUP(INDIRECT(ADDRESS(2,COLUMN())),OFFSET($BN$2,0,0,ROW()-1,60),ROW()-1,FALSE))</f>
        <v>0.391242119</v>
      </c>
      <c r="O290">
        <f ca="1">IF(AND(ISNUMBER($O$958),$B$677=1),$O$958,HLOOKUP(INDIRECT(ADDRESS(2,COLUMN())),OFFSET($BN$2,0,0,ROW()-1,60),ROW()-1,FALSE))</f>
        <v>0.35544710099999999</v>
      </c>
      <c r="P290">
        <f ca="1">IF(AND(ISNUMBER($P$958),$B$677=1),$P$958,HLOOKUP(INDIRECT(ADDRESS(2,COLUMN())),OFFSET($BN$2,0,0,ROW()-1,60),ROW()-1,FALSE))</f>
        <v>0.350183089</v>
      </c>
      <c r="Q290">
        <f ca="1">IF(AND(ISNUMBER($Q$958),$B$677=1),$Q$958,HLOOKUP(INDIRECT(ADDRESS(2,COLUMN())),OFFSET($BN$2,0,0,ROW()-1,60),ROW()-1,FALSE))</f>
        <v>0.33595531200000001</v>
      </c>
      <c r="R290">
        <f ca="1">IF(AND(ISNUMBER($R$958),$B$677=1),$R$958,HLOOKUP(INDIRECT(ADDRESS(2,COLUMN())),OFFSET($BN$2,0,0,ROW()-1,60),ROW()-1,FALSE))</f>
        <v>0.38016295300000003</v>
      </c>
      <c r="S290">
        <f ca="1">IF(AND(ISNUMBER($S$958),$B$677=1),$S$958,HLOOKUP(INDIRECT(ADDRESS(2,COLUMN())),OFFSET($BN$2,0,0,ROW()-1,60),ROW()-1,FALSE))</f>
        <v>0.36078225000000003</v>
      </c>
      <c r="T290">
        <f ca="1">IF(AND(ISNUMBER($T$958),$B$677=1),$T$958,HLOOKUP(INDIRECT(ADDRESS(2,COLUMN())),OFFSET($BN$2,0,0,ROW()-1,60),ROW()-1,FALSE))</f>
        <v>0.35099962499999998</v>
      </c>
      <c r="U290">
        <f ca="1">IF(AND(ISNUMBER($U$958),$B$677=1),$U$958,HLOOKUP(INDIRECT(ADDRESS(2,COLUMN())),OFFSET($BN$2,0,0,ROW()-1,60),ROW()-1,FALSE))</f>
        <v>0.415085223</v>
      </c>
      <c r="V290">
        <f ca="1">IF(AND(ISNUMBER($V$958),$B$677=1),$V$958,HLOOKUP(INDIRECT(ADDRESS(2,COLUMN())),OFFSET($BN$2,0,0,ROW()-1,60),ROW()-1,FALSE))</f>
        <v>0.49571845199999998</v>
      </c>
      <c r="W290">
        <f ca="1">IF(AND(ISNUMBER($W$958),$B$677=1),$W$958,HLOOKUP(INDIRECT(ADDRESS(2,COLUMN())),OFFSET($BN$2,0,0,ROW()-1,60),ROW()-1,FALSE))</f>
        <v>0.56396844800000001</v>
      </c>
      <c r="X290">
        <f ca="1">IF(AND(ISNUMBER($X$958),$B$677=1),$X$958,HLOOKUP(INDIRECT(ADDRESS(2,COLUMN())),OFFSET($BN$2,0,0,ROW()-1,60),ROW()-1,FALSE))</f>
        <v>0.57724808100000002</v>
      </c>
      <c r="Y290">
        <f ca="1">IF(AND(ISNUMBER($Y$958),$B$677=1),$Y$958,HLOOKUP(INDIRECT(ADDRESS(2,COLUMN())),OFFSET($BN$2,0,0,ROW()-1,60),ROW()-1,FALSE))</f>
        <v>0.67014707299999998</v>
      </c>
      <c r="Z290">
        <f ca="1">IF(AND(ISNUMBER($Z$958),$B$677=1),$Z$958,HLOOKUP(INDIRECT(ADDRESS(2,COLUMN())),OFFSET($BN$2,0,0,ROW()-1,60),ROW()-1,FALSE))</f>
        <v>0.744621019</v>
      </c>
      <c r="AA290">
        <f ca="1">IF(AND(ISNUMBER($AA$958),$B$677=1),$AA$958,HLOOKUP(INDIRECT(ADDRESS(2,COLUMN())),OFFSET($BN$2,0,0,ROW()-1,60),ROW()-1,FALSE))</f>
        <v>0.85084672299999997</v>
      </c>
      <c r="AB290">
        <f ca="1">IF(AND(ISNUMBER($AB$958),$B$677=1),$AB$958,HLOOKUP(INDIRECT(ADDRESS(2,COLUMN())),OFFSET($BN$2,0,0,ROW()-1,60),ROW()-1,FALSE))</f>
        <v>0.87285193800000005</v>
      </c>
      <c r="AC290">
        <f ca="1">IF(AND(ISNUMBER($AC$958),$B$677=1),$AC$958,HLOOKUP(INDIRECT(ADDRESS(2,COLUMN())),OFFSET($BN$2,0,0,ROW()-1,60),ROW()-1,FALSE))</f>
        <v>0.88358008099999996</v>
      </c>
      <c r="AD290">
        <f ca="1">IF(AND(ISNUMBER($AD$958),$B$677=1),$AD$958,HLOOKUP(INDIRECT(ADDRESS(2,COLUMN())),OFFSET($BN$2,0,0,ROW()-1,60),ROW()-1,FALSE))</f>
        <v>1.014281805</v>
      </c>
      <c r="AE290">
        <f ca="1">IF(AND(ISNUMBER($AE$958),$B$677=1),$AE$958,HLOOKUP(INDIRECT(ADDRESS(2,COLUMN())),OFFSET($BN$2,0,0,ROW()-1,60),ROW()-1,FALSE))</f>
        <v>1.0015105399999999</v>
      </c>
      <c r="AF290">
        <f ca="1">IF(AND(ISNUMBER($AF$958),$B$677=1),$AF$958,HLOOKUP(INDIRECT(ADDRESS(2,COLUMN())),OFFSET($BN$2,0,0,ROW()-1,60),ROW()-1,FALSE))</f>
        <v>1.036921711</v>
      </c>
      <c r="AG290">
        <f ca="1">IF(AND(ISNUMBER($AG$958),$B$677=1),$AG$958,HLOOKUP(INDIRECT(ADDRESS(2,COLUMN())),OFFSET($BN$2,0,0,ROW()-1,60),ROW()-1,FALSE))</f>
        <v>0.96551538699999995</v>
      </c>
      <c r="AH290">
        <f ca="1">IF(AND(ISNUMBER($AH$958),$B$677=1),$AH$958,HLOOKUP(INDIRECT(ADDRESS(2,COLUMN())),OFFSET($BN$2,0,0,ROW()-1,60),ROW()-1,FALSE))</f>
        <v>1.087286873</v>
      </c>
      <c r="AI290">
        <f ca="1">IF(AND(ISNUMBER($AI$958),$B$677=1),$AI$958,HLOOKUP(INDIRECT(ADDRESS(2,COLUMN())),OFFSET($BN$2,0,0,ROW()-1,60),ROW()-1,FALSE))</f>
        <v>1.0599637099999999</v>
      </c>
      <c r="AJ290">
        <f ca="1">IF(AND(ISNUMBER($AJ$958),$B$677=1),$AJ$958,HLOOKUP(INDIRECT(ADDRESS(2,COLUMN())),OFFSET($BN$2,0,0,ROW()-1,60),ROW()-1,FALSE))</f>
        <v>1.252952125</v>
      </c>
      <c r="AK290">
        <f ca="1">IF(AND(ISNUMBER($AK$958),$B$677=1),$AK$958,HLOOKUP(INDIRECT(ADDRESS(2,COLUMN())),OFFSET($BN$2,0,0,ROW()-1,60),ROW()-1,FALSE))</f>
        <v>1.523226277</v>
      </c>
      <c r="AL290">
        <f ca="1">IF(AND(ISNUMBER($AL$958),$B$677=1),$AL$958,HLOOKUP(INDIRECT(ADDRESS(2,COLUMN())),OFFSET($BN$2,0,0,ROW()-1,60),ROW()-1,FALSE))</f>
        <v>1.2008489579999999</v>
      </c>
      <c r="AM290">
        <f ca="1">IF(AND(ISNUMBER($AM$958),$B$677=1),$AM$958,HLOOKUP(INDIRECT(ADDRESS(2,COLUMN())),OFFSET($BN$2,0,0,ROW()-1,60),ROW()-1,FALSE))</f>
        <v>1.4931393829999999</v>
      </c>
      <c r="AN290">
        <f ca="1">IF(AND(ISNUMBER($AN$958),$B$677=1),$AN$958,HLOOKUP(INDIRECT(ADDRESS(2,COLUMN())),OFFSET($BN$2,0,0,ROW()-1,60),ROW()-1,FALSE))</f>
        <v>1.36045511</v>
      </c>
      <c r="AO290">
        <f ca="1">IF(AND(ISNUMBER($AO$958),$B$677=1),$AO$958,HLOOKUP(INDIRECT(ADDRESS(2,COLUMN())),OFFSET($BN$2,0,0,ROW()-1,60),ROW()-1,FALSE))</f>
        <v>0.84476482900000005</v>
      </c>
      <c r="AP290">
        <f ca="1">IF(AND(ISNUMBER($AP$958),$B$677=1),$AP$958,HLOOKUP(INDIRECT(ADDRESS(2,COLUMN())),OFFSET($BN$2,0,0,ROW()-1,60),ROW()-1,FALSE))</f>
        <v>1.0001910700000001</v>
      </c>
      <c r="AQ290">
        <f ca="1">IF(AND(ISNUMBER($AQ$958),$B$677=1),$AQ$958,HLOOKUP(INDIRECT(ADDRESS(2,COLUMN())),OFFSET($BN$2,0,0,ROW()-1,60),ROW()-1,FALSE))</f>
        <v>1.2042161199999999</v>
      </c>
      <c r="AR290">
        <f ca="1">IF(AND(ISNUMBER($AR$958),$B$677=1),$AR$958,HLOOKUP(INDIRECT(ADDRESS(2,COLUMN())),OFFSET($BN$2,0,0,ROW()-1,60),ROW()-1,FALSE))</f>
        <v>1.4600838629999999</v>
      </c>
      <c r="AS290">
        <f ca="1">IF(AND(ISNUMBER($AS$958),$B$677=1),$AS$958,HLOOKUP(INDIRECT(ADDRESS(2,COLUMN())),OFFSET($BN$2,0,0,ROW()-1,60),ROW()-1,FALSE))</f>
        <v>1.336880727</v>
      </c>
      <c r="AT290">
        <f ca="1">IF(AND(ISNUMBER($AT$958),$B$677=1),$AT$958,HLOOKUP(INDIRECT(ADDRESS(2,COLUMN())),OFFSET($BN$2,0,0,ROW()-1,60),ROW()-1,FALSE))</f>
        <v>0.837009067</v>
      </c>
      <c r="AU290">
        <f ca="1">IF(AND(ISNUMBER($AU$958),$B$677=1),$AU$958,HLOOKUP(INDIRECT(ADDRESS(2,COLUMN())),OFFSET($BN$2,0,0,ROW()-1,60),ROW()-1,FALSE))</f>
        <v>0.60415296900000004</v>
      </c>
      <c r="AV290" t="str">
        <f ca="1">IF(AND(ISNUMBER($AV$958),$B$677=1),$AV$958,HLOOKUP(INDIRECT(ADDRESS(2,COLUMN())),OFFSET($BN$2,0,0,ROW()-1,60),ROW()-1,FALSE))</f>
        <v/>
      </c>
      <c r="AW290" t="str">
        <f ca="1">IF(AND(ISNUMBER($AW$958),$B$677=1),$AW$958,HLOOKUP(INDIRECT(ADDRESS(2,COLUMN())),OFFSET($BN$2,0,0,ROW()-1,60),ROW()-1,FALSE))</f>
        <v/>
      </c>
      <c r="AX290" t="str">
        <f ca="1">IF(AND(ISNUMBER($AX$958),$B$677=1),$AX$958,HLOOKUP(INDIRECT(ADDRESS(2,COLUMN())),OFFSET($BN$2,0,0,ROW()-1,60),ROW()-1,FALSE))</f>
        <v/>
      </c>
      <c r="AY290" t="str">
        <f ca="1">IF(AND(ISNUMBER($AY$958),$B$677=1),$AY$958,HLOOKUP(INDIRECT(ADDRESS(2,COLUMN())),OFFSET($BN$2,0,0,ROW()-1,60),ROW()-1,FALSE))</f>
        <v/>
      </c>
      <c r="AZ290" t="str">
        <f ca="1">IF(AND(ISNUMBER($AZ$958),$B$677=1),$AZ$958,HLOOKUP(INDIRECT(ADDRESS(2,COLUMN())),OFFSET($BN$2,0,0,ROW()-1,60),ROW()-1,FALSE))</f>
        <v/>
      </c>
      <c r="BA290" t="str">
        <f ca="1">IF(AND(ISNUMBER($BA$958),$B$677=1),$BA$958,HLOOKUP(INDIRECT(ADDRESS(2,COLUMN())),OFFSET($BN$2,0,0,ROW()-1,60),ROW()-1,FALSE))</f>
        <v/>
      </c>
      <c r="BB290" t="str">
        <f ca="1">IF(AND(ISNUMBER($BB$958),$B$677=1),$BB$958,HLOOKUP(INDIRECT(ADDRESS(2,COLUMN())),OFFSET($BN$2,0,0,ROW()-1,60),ROW()-1,FALSE))</f>
        <v/>
      </c>
      <c r="BC290" t="str">
        <f ca="1">IF(AND(ISNUMBER($BC$958),$B$677=1),$BC$958,HLOOKUP(INDIRECT(ADDRESS(2,COLUMN())),OFFSET($BN$2,0,0,ROW()-1,60),ROW()-1,FALSE))</f>
        <v/>
      </c>
      <c r="BD290" t="str">
        <f ca="1">IF(AND(ISNUMBER($BD$958),$B$677=1),$BD$958,HLOOKUP(INDIRECT(ADDRESS(2,COLUMN())),OFFSET($BN$2,0,0,ROW()-1,60),ROW()-1,FALSE))</f>
        <v/>
      </c>
      <c r="BE290" t="str">
        <f ca="1">IF(AND(ISNUMBER($BE$958),$B$677=1),$BE$958,HLOOKUP(INDIRECT(ADDRESS(2,COLUMN())),OFFSET($BN$2,0,0,ROW()-1,60),ROW()-1,FALSE))</f>
        <v/>
      </c>
      <c r="BF290" t="str">
        <f ca="1">IF(AND(ISNUMBER($BF$958),$B$677=1),$BF$958,HLOOKUP(INDIRECT(ADDRESS(2,COLUMN())),OFFSET($BN$2,0,0,ROW()-1,60),ROW()-1,FALSE))</f>
        <v/>
      </c>
      <c r="BG290" t="str">
        <f ca="1">IF(AND(ISNUMBER($BG$958),$B$677=1),$BG$958,HLOOKUP(INDIRECT(ADDRESS(2,COLUMN())),OFFSET($BN$2,0,0,ROW()-1,60),ROW()-1,FALSE))</f>
        <v/>
      </c>
      <c r="BH290" t="str">
        <f ca="1">IF(AND(ISNUMBER($BH$958),$B$677=1),$BH$958,HLOOKUP(INDIRECT(ADDRESS(2,COLUMN())),OFFSET($BN$2,0,0,ROW()-1,60),ROW()-1,FALSE))</f>
        <v/>
      </c>
      <c r="BI290" t="str">
        <f ca="1">IF(AND(ISNUMBER($BI$958),$B$677=1),$BI$958,HLOOKUP(INDIRECT(ADDRESS(2,COLUMN())),OFFSET($BN$2,0,0,ROW()-1,60),ROW()-1,FALSE))</f>
        <v/>
      </c>
      <c r="BJ290" t="str">
        <f ca="1">IF(AND(ISNUMBER($BJ$958),$B$677=1),$BJ$958,HLOOKUP(INDIRECT(ADDRESS(2,COLUMN())),OFFSET($BN$2,0,0,ROW()-1,60),ROW()-1,FALSE))</f>
        <v/>
      </c>
      <c r="BK290" t="str">
        <f ca="1">IF(AND(ISNUMBER($BK$958),$B$677=1),$BK$958,HLOOKUP(INDIRECT(ADDRESS(2,COLUMN())),OFFSET($BN$2,0,0,ROW()-1,60),ROW()-1,FALSE))</f>
        <v/>
      </c>
      <c r="BL290" t="str">
        <f ca="1">IF(AND(ISNUMBER($BL$958),$B$677=1),$BL$958,HLOOKUP(INDIRECT(ADDRESS(2,COLUMN())),OFFSET($BN$2,0,0,ROW()-1,60),ROW()-1,FALSE))</f>
        <v/>
      </c>
      <c r="BM290" t="str">
        <f ca="1">IF(AND(ISNUMBER($BM$958),$B$677=1),$BM$958,HLOOKUP(INDIRECT(ADDRESS(2,COLUMN())),OFFSET($BN$2,0,0,ROW()-1,60),ROW()-1,FALSE))</f>
        <v/>
      </c>
      <c r="BN290">
        <f>0.311729356</f>
        <v>0.31172935600000001</v>
      </c>
      <c r="BO290">
        <f>0.299391782</f>
        <v>0.299391782</v>
      </c>
      <c r="BP290">
        <f>0.356967125</f>
        <v>0.356967125</v>
      </c>
      <c r="BQ290">
        <f>0.342639631</f>
        <v>0.342639631</v>
      </c>
      <c r="BR290">
        <f>0.361742316</f>
        <v>0.36174231600000001</v>
      </c>
      <c r="BS290">
        <f>0.381705264</f>
        <v>0.38170526399999999</v>
      </c>
      <c r="BT290">
        <f>0.389734289</f>
        <v>0.38973428900000001</v>
      </c>
      <c r="BU290">
        <f>0.392770512</f>
        <v>0.39277051200000002</v>
      </c>
      <c r="BV290">
        <f>0.391242119</f>
        <v>0.391242119</v>
      </c>
      <c r="BW290">
        <f>0.355447101</f>
        <v>0.35544710099999999</v>
      </c>
      <c r="BX290">
        <f>0.350183089</f>
        <v>0.350183089</v>
      </c>
      <c r="BY290">
        <f>0.335955312</f>
        <v>0.33595531200000001</v>
      </c>
      <c r="BZ290">
        <f>0.380162953</f>
        <v>0.38016295300000003</v>
      </c>
      <c r="CA290">
        <f>0.36078225</f>
        <v>0.36078225000000003</v>
      </c>
      <c r="CB290">
        <f>0.350999625</f>
        <v>0.35099962499999998</v>
      </c>
      <c r="CC290">
        <f>0.415085223</f>
        <v>0.415085223</v>
      </c>
      <c r="CD290">
        <f>0.495718452</f>
        <v>0.49571845199999998</v>
      </c>
      <c r="CE290">
        <f>0.563968448</f>
        <v>0.56396844800000001</v>
      </c>
      <c r="CF290">
        <f>0.577248081</f>
        <v>0.57724808100000002</v>
      </c>
      <c r="CG290">
        <f>0.670147073</f>
        <v>0.67014707299999998</v>
      </c>
      <c r="CH290">
        <f>0.744621019</f>
        <v>0.744621019</v>
      </c>
      <c r="CI290">
        <f>0.850846723</f>
        <v>0.85084672299999997</v>
      </c>
      <c r="CJ290">
        <f>0.872851938</f>
        <v>0.87285193800000005</v>
      </c>
      <c r="CK290">
        <f>0.883580081</f>
        <v>0.88358008099999996</v>
      </c>
      <c r="CL290">
        <f>1.014281805</f>
        <v>1.014281805</v>
      </c>
      <c r="CM290">
        <f>1.00151054</f>
        <v>1.0015105399999999</v>
      </c>
      <c r="CN290">
        <f>1.036921711</f>
        <v>1.036921711</v>
      </c>
      <c r="CO290">
        <f>0.965515387</f>
        <v>0.96551538699999995</v>
      </c>
      <c r="CP290">
        <f>1.087286873</f>
        <v>1.087286873</v>
      </c>
      <c r="CQ290">
        <f>1.05996371</f>
        <v>1.0599637099999999</v>
      </c>
      <c r="CR290">
        <f>1.252952125</f>
        <v>1.252952125</v>
      </c>
      <c r="CS290">
        <f>1.523226277</f>
        <v>1.523226277</v>
      </c>
      <c r="CT290">
        <f>1.200848958</f>
        <v>1.2008489579999999</v>
      </c>
      <c r="CU290">
        <f>1.493139383</f>
        <v>1.4931393829999999</v>
      </c>
      <c r="CV290">
        <f>1.36045511</f>
        <v>1.36045511</v>
      </c>
      <c r="CW290">
        <f>0.844764829</f>
        <v>0.84476482900000005</v>
      </c>
      <c r="CX290">
        <f>1.00019107</f>
        <v>1.0001910700000001</v>
      </c>
      <c r="CY290">
        <f>1.20421612</f>
        <v>1.2042161199999999</v>
      </c>
      <c r="CZ290">
        <f>1.460083863</f>
        <v>1.4600838629999999</v>
      </c>
      <c r="DA290">
        <f>1.336880727</f>
        <v>1.336880727</v>
      </c>
      <c r="DB290">
        <f>0.837009067</f>
        <v>0.837009067</v>
      </c>
      <c r="DC290">
        <f>0.604152969</f>
        <v>0.60415296900000004</v>
      </c>
      <c r="DD290" t="str">
        <f>""</f>
        <v/>
      </c>
      <c r="DE290" t="str">
        <f>""</f>
        <v/>
      </c>
      <c r="DF290" t="str">
        <f>""</f>
        <v/>
      </c>
      <c r="DG290" t="str">
        <f>""</f>
        <v/>
      </c>
      <c r="DH290" t="str">
        <f>""</f>
        <v/>
      </c>
      <c r="DI290" t="str">
        <f>""</f>
        <v/>
      </c>
      <c r="DJ290" t="str">
        <f>""</f>
        <v/>
      </c>
      <c r="DK290" t="str">
        <f>""</f>
        <v/>
      </c>
      <c r="DL290" t="str">
        <f>""</f>
        <v/>
      </c>
      <c r="DM290" t="str">
        <f>""</f>
        <v/>
      </c>
      <c r="DN290" t="str">
        <f>""</f>
        <v/>
      </c>
      <c r="DO290" t="str">
        <f>""</f>
        <v/>
      </c>
      <c r="DP290" t="str">
        <f>""</f>
        <v/>
      </c>
      <c r="DQ290" t="str">
        <f>""</f>
        <v/>
      </c>
      <c r="DR290" t="str">
        <f>""</f>
        <v/>
      </c>
      <c r="DS290" t="str">
        <f>""</f>
        <v/>
      </c>
      <c r="DT290" t="str">
        <f>""</f>
        <v/>
      </c>
      <c r="DU290" t="str">
        <f>""</f>
        <v/>
      </c>
    </row>
    <row r="291" spans="1:125" x14ac:dyDescent="0.25">
      <c r="A291" t="str">
        <f>"Enterprise Value Ratios"</f>
        <v>Enterprise Value Ratios</v>
      </c>
      <c r="B291" t="str">
        <f>""</f>
        <v/>
      </c>
      <c r="E291" t="str">
        <f>"Heading"</f>
        <v>Heading</v>
      </c>
      <c r="BN291" t="str">
        <f>""</f>
        <v/>
      </c>
      <c r="BO291" t="str">
        <f>""</f>
        <v/>
      </c>
      <c r="BP291" t="str">
        <f>""</f>
        <v/>
      </c>
      <c r="BQ291" t="str">
        <f>""</f>
        <v/>
      </c>
      <c r="BR291" t="str">
        <f>""</f>
        <v/>
      </c>
      <c r="BS291" t="str">
        <f>""</f>
        <v/>
      </c>
      <c r="BT291" t="str">
        <f>""</f>
        <v/>
      </c>
      <c r="BU291" t="str">
        <f>""</f>
        <v/>
      </c>
      <c r="BV291" t="str">
        <f>""</f>
        <v/>
      </c>
      <c r="BW291" t="str">
        <f>""</f>
        <v/>
      </c>
      <c r="BX291" t="str">
        <f>""</f>
        <v/>
      </c>
      <c r="BY291" t="str">
        <f>""</f>
        <v/>
      </c>
      <c r="BZ291" t="str">
        <f>""</f>
        <v/>
      </c>
      <c r="CA291" t="str">
        <f>""</f>
        <v/>
      </c>
      <c r="CB291" t="str">
        <f>""</f>
        <v/>
      </c>
      <c r="CC291" t="str">
        <f>""</f>
        <v/>
      </c>
      <c r="CD291" t="str">
        <f>""</f>
        <v/>
      </c>
      <c r="CE291" t="str">
        <f>""</f>
        <v/>
      </c>
      <c r="CF291" t="str">
        <f>""</f>
        <v/>
      </c>
      <c r="CG291" t="str">
        <f>""</f>
        <v/>
      </c>
      <c r="CH291" t="str">
        <f>""</f>
        <v/>
      </c>
      <c r="CI291" t="str">
        <f>""</f>
        <v/>
      </c>
      <c r="CJ291" t="str">
        <f>""</f>
        <v/>
      </c>
      <c r="CK291" t="str">
        <f>""</f>
        <v/>
      </c>
      <c r="CL291" t="str">
        <f>""</f>
        <v/>
      </c>
      <c r="CM291" t="str">
        <f>""</f>
        <v/>
      </c>
      <c r="CN291" t="str">
        <f>""</f>
        <v/>
      </c>
      <c r="CO291" t="str">
        <f>""</f>
        <v/>
      </c>
      <c r="CP291" t="str">
        <f>""</f>
        <v/>
      </c>
      <c r="CQ291" t="str">
        <f>""</f>
        <v/>
      </c>
      <c r="CR291" t="str">
        <f>""</f>
        <v/>
      </c>
      <c r="CS291" t="str">
        <f>""</f>
        <v/>
      </c>
      <c r="CT291" t="str">
        <f>""</f>
        <v/>
      </c>
      <c r="CU291" t="str">
        <f>""</f>
        <v/>
      </c>
      <c r="CV291" t="str">
        <f>""</f>
        <v/>
      </c>
      <c r="CW291" t="str">
        <f>""</f>
        <v/>
      </c>
      <c r="CX291" t="str">
        <f>""</f>
        <v/>
      </c>
      <c r="CY291" t="str">
        <f>""</f>
        <v/>
      </c>
      <c r="CZ291" t="str">
        <f>""</f>
        <v/>
      </c>
      <c r="DA291" t="str">
        <f>""</f>
        <v/>
      </c>
      <c r="DB291" t="str">
        <f>""</f>
        <v/>
      </c>
      <c r="DC291" t="str">
        <f>""</f>
        <v/>
      </c>
      <c r="DD291" t="str">
        <f>""</f>
        <v/>
      </c>
      <c r="DE291" t="str">
        <f>""</f>
        <v/>
      </c>
      <c r="DF291" t="str">
        <f>""</f>
        <v/>
      </c>
      <c r="DG291" t="str">
        <f>""</f>
        <v/>
      </c>
      <c r="DH291" t="str">
        <f>""</f>
        <v/>
      </c>
      <c r="DI291" t="str">
        <f>""</f>
        <v/>
      </c>
      <c r="DJ291" t="str">
        <f>""</f>
        <v/>
      </c>
      <c r="DK291" t="str">
        <f>""</f>
        <v/>
      </c>
      <c r="DL291" t="str">
        <f>""</f>
        <v/>
      </c>
      <c r="DM291" t="str">
        <f>""</f>
        <v/>
      </c>
      <c r="DN291" t="str">
        <f>""</f>
        <v/>
      </c>
      <c r="DO291" t="str">
        <f>""</f>
        <v/>
      </c>
      <c r="DP291" t="str">
        <f>""</f>
        <v/>
      </c>
      <c r="DQ291" t="str">
        <f>""</f>
        <v/>
      </c>
      <c r="DR291" t="str">
        <f>""</f>
        <v/>
      </c>
      <c r="DS291" t="str">
        <f>""</f>
        <v/>
      </c>
      <c r="DT291" t="str">
        <f>""</f>
        <v/>
      </c>
      <c r="DU291" t="str">
        <f>""</f>
        <v/>
      </c>
    </row>
    <row r="292" spans="1:125" x14ac:dyDescent="0.25">
      <c r="A292" t="str">
        <f>"EV / T12M EBITDA"</f>
        <v>EV / T12M EBITDA</v>
      </c>
      <c r="B292" t="str">
        <f>""</f>
        <v/>
      </c>
      <c r="E292" t="str">
        <f>"Average"</f>
        <v>Average</v>
      </c>
      <c r="F292" t="str">
        <f ca="1">IF(ISERROR(IF(AVERAGE($F$293:$F$332) = 0, "", AVERAGE($F$293:$F$332))), "", (IF(AVERAGE($F$293:$F$332) = 0, "", AVERAGE($F$293:$F$332))))</f>
        <v/>
      </c>
      <c r="G292">
        <f ca="1">IF(ISERROR(IF(AVERAGE($G$293:$G$332) = 0, "", AVERAGE($G$293:$G$332))), "", (IF(AVERAGE($G$293:$G$332) = 0, "", AVERAGE($G$293:$G$332))))</f>
        <v>6.9098969530714287</v>
      </c>
      <c r="H292">
        <f ca="1">IF(ISERROR(IF(AVERAGE($H$293:$H$332) = 0, "", AVERAGE($H$293:$H$332))), "", (IF(AVERAGE($H$293:$H$332) = 0, "", AVERAGE($H$293:$H$332))))</f>
        <v>12.380674193956521</v>
      </c>
      <c r="I292">
        <f ca="1">IF(ISERROR(IF(AVERAGE($I$293:$I$332) = 0, "", AVERAGE($I$293:$I$332))), "", (IF(AVERAGE($I$293:$I$332) = 0, "", AVERAGE($I$293:$I$332))))</f>
        <v>7.0193585903809526</v>
      </c>
      <c r="J292">
        <f ca="1">IF(ISERROR(IF(AVERAGE($J$293:$J$332) = 0, "", AVERAGE($J$293:$J$332))), "", (IF(AVERAGE($J$293:$J$332) = 0, "", AVERAGE($J$293:$J$332))))</f>
        <v>6.2032455916666649</v>
      </c>
      <c r="K292">
        <f ca="1">IF(ISERROR(IF(AVERAGE($K$293:$K$332) = 0, "", AVERAGE($K$293:$K$332))), "", (IF(AVERAGE($K$293:$K$332) = 0, "", AVERAGE($K$293:$K$332))))</f>
        <v>745.16318367076178</v>
      </c>
      <c r="L292">
        <f ca="1">IF(ISERROR(IF(AVERAGE($L$293:$L$332) = 0, "", AVERAGE($L$293:$L$332))), "", (IF(AVERAGE($L$293:$L$332) = 0, "", AVERAGE($L$293:$L$332))))</f>
        <v>20.668823710652173</v>
      </c>
      <c r="M292">
        <f ca="1">IF(ISERROR(IF(AVERAGE($M$293:$M$332) = 0, "", AVERAGE($M$293:$M$332))), "", (IF(AVERAGE($M$293:$M$332) = 0, "", AVERAGE($M$293:$M$332))))</f>
        <v>10.621541262045453</v>
      </c>
      <c r="N292">
        <f ca="1">IF(ISERROR(IF(AVERAGE($N$293:$N$332) = 0, "", AVERAGE($N$293:$N$332))), "", (IF(AVERAGE($N$293:$N$332) = 0, "", AVERAGE($N$293:$N$332))))</f>
        <v>10.766310756391304</v>
      </c>
      <c r="O292">
        <f ca="1">IF(ISERROR(IF(AVERAGE($O$293:$O$332) = 0, "", AVERAGE($O$293:$O$332))), "", (IF(AVERAGE($O$293:$O$332) = 0, "", AVERAGE($O$293:$O$332))))</f>
        <v>13.096699947227277</v>
      </c>
      <c r="P292">
        <f ca="1">IF(ISERROR(IF(AVERAGE($P$293:$P$332) = 0, "", AVERAGE($P$293:$P$332))), "", (IF(AVERAGE($P$293:$P$332) = 0, "", AVERAGE($P$293:$P$332))))</f>
        <v>19.939983222363637</v>
      </c>
      <c r="Q292">
        <f ca="1">IF(ISERROR(IF(AVERAGE($Q$293:$Q$332) = 0, "", AVERAGE($Q$293:$Q$332))), "", (IF(AVERAGE($Q$293:$Q$332) = 0, "", AVERAGE($Q$293:$Q$332))))</f>
        <v>6.6060758131500013</v>
      </c>
      <c r="R292">
        <f ca="1">IF(ISERROR(IF(AVERAGE($R$293:$R$332) = 0, "", AVERAGE($R$293:$R$332))), "", (IF(AVERAGE($R$293:$R$332) = 0, "", AVERAGE($R$293:$R$332))))</f>
        <v>10.617971143347825</v>
      </c>
      <c r="S292">
        <f ca="1">IF(ISERROR(IF(AVERAGE($S$293:$S$332) = 0, "", AVERAGE($S$293:$S$332))), "", (IF(AVERAGE($S$293:$S$332) = 0, "", AVERAGE($S$293:$S$332))))</f>
        <v>8.2300763042727265</v>
      </c>
      <c r="T292">
        <f ca="1">IF(ISERROR(IF(AVERAGE($T$293:$T$332) = 0, "", AVERAGE($T$293:$T$332))), "", (IF(AVERAGE($T$293:$T$332) = 0, "", AVERAGE($T$293:$T$332))))</f>
        <v>8.2799330097391302</v>
      </c>
      <c r="U292">
        <f ca="1">IF(ISERROR(IF(AVERAGE($U$293:$U$332) = 0, "", AVERAGE($U$293:$U$332))), "", (IF(AVERAGE($U$293:$U$332) = 0, "", AVERAGE($U$293:$U$332))))</f>
        <v>15.09743351381818</v>
      </c>
      <c r="V292">
        <f ca="1">IF(ISERROR(IF(AVERAGE($V$293:$V$332) = 0, "", AVERAGE($V$293:$V$332))), "", (IF(AVERAGE($V$293:$V$332) = 0, "", AVERAGE($V$293:$V$332))))</f>
        <v>81.044757450583333</v>
      </c>
      <c r="W292">
        <f ca="1">IF(ISERROR(IF(AVERAGE($W$293:$W$332) = 0, "", AVERAGE($W$293:$W$332))), "", (IF(AVERAGE($W$293:$W$332) = 0, "", AVERAGE($W$293:$W$332))))</f>
        <v>41.38123259769565</v>
      </c>
      <c r="X292">
        <f ca="1">IF(ISERROR(IF(AVERAGE($X$293:$X$332) = 0, "", AVERAGE($X$293:$X$332))), "", (IF(AVERAGE($X$293:$X$332) = 0, "", AVERAGE($X$293:$X$332))))</f>
        <v>38.644167511652171</v>
      </c>
      <c r="Y292">
        <f ca="1">IF(ISERROR(IF(AVERAGE($Y$293:$Y$332) = 0, "", AVERAGE($Y$293:$Y$332))), "", (IF(AVERAGE($Y$293:$Y$332) = 0, "", AVERAGE($Y$293:$Y$332))))</f>
        <v>54.341352266136369</v>
      </c>
      <c r="Z292">
        <f ca="1">IF(ISERROR(IF(AVERAGE($Z$293:$Z$332) = 0, "", AVERAGE($Z$293:$Z$332))), "", (IF(AVERAGE($Z$293:$Z$332) = 0, "", AVERAGE($Z$293:$Z$332))))</f>
        <v>94.665100111695665</v>
      </c>
      <c r="AA292">
        <f ca="1">IF(ISERROR(IF(AVERAGE($AA$293:$AA$332) = 0, "", AVERAGE($AA$293:$AA$332))), "", (IF(AVERAGE($AA$293:$AA$332) = 0, "", AVERAGE($AA$293:$AA$332))))</f>
        <v>27.171828956545461</v>
      </c>
      <c r="AB292">
        <f ca="1">IF(ISERROR(IF(AVERAGE($AB$293:$AB$332) = 0, "", AVERAGE($AB$293:$AB$332))), "", (IF(AVERAGE($AB$293:$AB$332) = 0, "", AVERAGE($AB$293:$AB$332))))</f>
        <v>10.157708129190476</v>
      </c>
      <c r="AC292">
        <f ca="1">IF(ISERROR(IF(AVERAGE($AC$293:$AC$332) = 0, "", AVERAGE($AC$293:$AC$332))), "", (IF(AVERAGE($AC$293:$AC$332) = 0, "", AVERAGE($AC$293:$AC$332))))</f>
        <v>8.6488377253000017</v>
      </c>
      <c r="AD292">
        <f ca="1">IF(ISERROR(IF(AVERAGE($AD$293:$AD$332) = 0, "", AVERAGE($AD$293:$AD$332))), "", (IF(AVERAGE($AD$293:$AD$332) = 0, "", AVERAGE($AD$293:$AD$332))))</f>
        <v>7.6642359879999997</v>
      </c>
      <c r="AE292">
        <f ca="1">IF(ISERROR(IF(AVERAGE($AE$293:$AE$332) = 0, "", AVERAGE($AE$293:$AE$332))), "", (IF(AVERAGE($AE$293:$AE$332) = 0, "", AVERAGE($AE$293:$AE$332))))</f>
        <v>7.3422599738500001</v>
      </c>
      <c r="AF292">
        <f ca="1">IF(ISERROR(IF(AVERAGE($AF$293:$AF$332) = 0, "", AVERAGE($AF$293:$AF$332))), "", (IF(AVERAGE($AF$293:$AF$332) = 0, "", AVERAGE($AF$293:$AF$332))))</f>
        <v>6.1117550016190467</v>
      </c>
      <c r="AG292">
        <f ca="1">IF(ISERROR(IF(AVERAGE($AG$293:$AG$332) = 0, "", AVERAGE($AG$293:$AG$332))), "", (IF(AVERAGE($AG$293:$AG$332) = 0, "", AVERAGE($AG$293:$AG$332))))</f>
        <v>6.14683473965</v>
      </c>
      <c r="AH292">
        <f ca="1">IF(ISERROR(IF(AVERAGE($AH$293:$AH$332) = 0, "", AVERAGE($AH$293:$AH$332))), "", (IF(AVERAGE($AH$293:$AH$332) = 0, "", AVERAGE($AH$293:$AH$332))))</f>
        <v>7.2507711984761904</v>
      </c>
      <c r="AI292">
        <f ca="1">IF(ISERROR(IF(AVERAGE($AI$293:$AI$332) = 0, "", AVERAGE($AI$293:$AI$332))), "", (IF(AVERAGE($AI$293:$AI$332) = 0, "", AVERAGE($AI$293:$AI$332))))</f>
        <v>6.9607886375000003</v>
      </c>
      <c r="AJ292">
        <f ca="1">IF(ISERROR(IF(AVERAGE($AJ$293:$AJ$332) = 0, "", AVERAGE($AJ$293:$AJ$332))), "", (IF(AVERAGE($AJ$293:$AJ$332) = 0, "", AVERAGE($AJ$293:$AJ$332))))</f>
        <v>5.9905097228571433</v>
      </c>
      <c r="AK292">
        <f ca="1">IF(ISERROR(IF(AVERAGE($AK$293:$AK$332) = 0, "", AVERAGE($AK$293:$AK$332))), "", (IF(AVERAGE($AK$293:$AK$332) = 0, "", AVERAGE($AK$293:$AK$332))))</f>
        <v>6.9247140689473685</v>
      </c>
      <c r="AL292">
        <f ca="1">IF(ISERROR(IF(AVERAGE($AL$293:$AL$332) = 0, "", AVERAGE($AL$293:$AL$332))), "", (IF(AVERAGE($AL$293:$AL$332) = 0, "", AVERAGE($AL$293:$AL$332))))</f>
        <v>6.3952676466000016</v>
      </c>
      <c r="AM292">
        <f ca="1">IF(ISERROR(IF(AVERAGE($AM$293:$AM$332) = 0, "", AVERAGE($AM$293:$AM$332))), "", (IF(AVERAGE($AM$293:$AM$332) = 0, "", AVERAGE($AM$293:$AM$332))))</f>
        <v>7.096376150368422</v>
      </c>
      <c r="AN292">
        <f ca="1">IF(ISERROR(IF(AVERAGE($AN$293:$AN$332) = 0, "", AVERAGE($AN$293:$AN$332))), "", (IF(AVERAGE($AN$293:$AN$332) = 0, "", AVERAGE($AN$293:$AN$332))))</f>
        <v>6.6362067417777775</v>
      </c>
      <c r="AO292">
        <f ca="1">IF(ISERROR(IF(AVERAGE($AO$293:$AO$332) = 0, "", AVERAGE($AO$293:$AO$332))), "", (IF(AVERAGE($AO$293:$AO$332) = 0, "", AVERAGE($AO$293:$AO$332))))</f>
        <v>6.2993064410000006</v>
      </c>
      <c r="AP292">
        <f ca="1">IF(ISERROR(IF(AVERAGE($AP$293:$AP$332) = 0, "", AVERAGE($AP$293:$AP$332))), "", (IF(AVERAGE($AP$293:$AP$332) = 0, "", AVERAGE($AP$293:$AP$332))))</f>
        <v>7.5530965939411754</v>
      </c>
      <c r="AQ292">
        <f ca="1">IF(ISERROR(IF(AVERAGE($AQ$293:$AQ$332) = 0, "", AVERAGE($AQ$293:$AQ$332))), "", (IF(AVERAGE($AQ$293:$AQ$332) = 0, "", AVERAGE($AQ$293:$AQ$332))))</f>
        <v>37.904245457687502</v>
      </c>
      <c r="AR292">
        <f ca="1">IF(ISERROR(IF(AVERAGE($AR$293:$AR$332) = 0, "", AVERAGE($AR$293:$AR$332))), "", (IF(AVERAGE($AR$293:$AR$332) = 0, "", AVERAGE($AR$293:$AR$332))))</f>
        <v>21.053488730733331</v>
      </c>
      <c r="AS292">
        <f ca="1">IF(ISERROR(IF(AVERAGE($AS$293:$AS$332) = 0, "", AVERAGE($AS$293:$AS$332))), "", (IF(AVERAGE($AS$293:$AS$332) = 0, "", AVERAGE($AS$293:$AS$332))))</f>
        <v>740.96563052847057</v>
      </c>
      <c r="AT292">
        <f ca="1">IF(ISERROR(IF(AVERAGE($AT$293:$AT$332) = 0, "", AVERAGE($AT$293:$AT$332))), "", (IF(AVERAGE($AT$293:$AT$332) = 0, "", AVERAGE($AT$293:$AT$332))))</f>
        <v>9.3658424583749991</v>
      </c>
      <c r="AU292">
        <f ca="1">IF(ISERROR(IF(AVERAGE($AU$293:$AU$332) = 0, "", AVERAGE($AU$293:$AU$332))), "", (IF(AVERAGE($AU$293:$AU$332) = 0, "", AVERAGE($AU$293:$AU$332))))</f>
        <v>24.990750181583334</v>
      </c>
      <c r="AV292">
        <f ca="1">IF(ISERROR(IF(AVERAGE($AV$293:$AV$332) = 0, "", AVERAGE($AV$293:$AV$332))), "", (IF(AVERAGE($AV$293:$AV$332) = 0, "", AVERAGE($AV$293:$AV$332))))</f>
        <v>4.8011892890909085</v>
      </c>
      <c r="AW292">
        <f ca="1">IF(ISERROR(IF(AVERAGE($AW$293:$AW$332) = 0, "", AVERAGE($AW$293:$AW$332))), "", (IF(AVERAGE($AW$293:$AW$332) = 0, "", AVERAGE($AW$293:$AW$332))))</f>
        <v>4.5987731577272726</v>
      </c>
      <c r="AX292">
        <f ca="1">IF(ISERROR(IF(AVERAGE($AX$293:$AX$332) = 0, "", AVERAGE($AX$293:$AX$332))), "", (IF(AVERAGE($AX$293:$AX$332) = 0, "", AVERAGE($AX$293:$AX$332))))</f>
        <v>5.000483748545455</v>
      </c>
      <c r="AY292">
        <f ca="1">IF(ISERROR(IF(AVERAGE($AY$293:$AY$332) = 0, "", AVERAGE($AY$293:$AY$332))), "", (IF(AVERAGE($AY$293:$AY$332) = 0, "", AVERAGE($AY$293:$AY$332))))</f>
        <v>5.858533417272727</v>
      </c>
      <c r="AZ292">
        <f ca="1">IF(ISERROR(IF(AVERAGE($AZ$293:$AZ$332) = 0, "", AVERAGE($AZ$293:$AZ$332))), "", (IF(AVERAGE($AZ$293:$AZ$332) = 0, "", AVERAGE($AZ$293:$AZ$332))))</f>
        <v>8.4371414521666672</v>
      </c>
      <c r="BA292">
        <f ca="1">IF(ISERROR(IF(AVERAGE($BA$293:$BA$332) = 0, "", AVERAGE($BA$293:$BA$332))), "", (IF(AVERAGE($BA$293:$BA$332) = 0, "", AVERAGE($BA$293:$BA$332))))</f>
        <v>8.248524437416668</v>
      </c>
      <c r="BB292">
        <f ca="1">IF(ISERROR(IF(AVERAGE($BB$293:$BB$332) = 0, "", AVERAGE($BB$293:$BB$332))), "", (IF(AVERAGE($BB$293:$BB$332) = 0, "", AVERAGE($BB$293:$BB$332))))</f>
        <v>7.8412255584999997</v>
      </c>
      <c r="BC292">
        <f ca="1">IF(ISERROR(IF(AVERAGE($BC$293:$BC$332) = 0, "", AVERAGE($BC$293:$BC$332))), "", (IF(AVERAGE($BC$293:$BC$332) = 0, "", AVERAGE($BC$293:$BC$332))))</f>
        <v>10.772674884999999</v>
      </c>
      <c r="BD292">
        <f ca="1">IF(ISERROR(IF(AVERAGE($BD$293:$BD$332) = 0, "", AVERAGE($BD$293:$BD$332))), "", (IF(AVERAGE($BD$293:$BD$332) = 0, "", AVERAGE($BD$293:$BD$332))))</f>
        <v>6.6430407712727266</v>
      </c>
      <c r="BE292">
        <f ca="1">IF(ISERROR(IF(AVERAGE($BE$293:$BE$332) = 0, "", AVERAGE($BE$293:$BE$332))), "", (IF(AVERAGE($BE$293:$BE$332) = 0, "", AVERAGE($BE$293:$BE$332))))</f>
        <v>5.6599536264545449</v>
      </c>
      <c r="BF292">
        <f ca="1">IF(ISERROR(IF(AVERAGE($BF$293:$BF$332) = 0, "", AVERAGE($BF$293:$BF$332))), "", (IF(AVERAGE($BF$293:$BF$332) = 0, "", AVERAGE($BF$293:$BF$332))))</f>
        <v>6.2268652920909089</v>
      </c>
      <c r="BG292">
        <f ca="1">IF(ISERROR(IF(AVERAGE($BG$293:$BG$332) = 0, "", AVERAGE($BG$293:$BG$332))), "", (IF(AVERAGE($BG$293:$BG$332) = 0, "", AVERAGE($BG$293:$BG$332))))</f>
        <v>10.738548822642857</v>
      </c>
      <c r="BH292">
        <f ca="1">IF(ISERROR(IF(AVERAGE($BH$293:$BH$332) = 0, "", AVERAGE($BH$293:$BH$332))), "", (IF(AVERAGE($BH$293:$BH$332) = 0, "", AVERAGE($BH$293:$BH$332))))</f>
        <v>9.2586078197500008</v>
      </c>
      <c r="BI292">
        <f ca="1">IF(ISERROR(IF(AVERAGE($BI$293:$BI$332) = 0, "", AVERAGE($BI$293:$BI$332))), "", (IF(AVERAGE($BI$293:$BI$332) = 0, "", AVERAGE($BI$293:$BI$332))))</f>
        <v>9.4003978153749994</v>
      </c>
      <c r="BJ292">
        <f ca="1">IF(ISERROR(IF(AVERAGE($BJ$293:$BJ$332) = 0, "", AVERAGE($BJ$293:$BJ$332))), "", (IF(AVERAGE($BJ$293:$BJ$332) = 0, "", AVERAGE($BJ$293:$BJ$332))))</f>
        <v>8.8175352006363639</v>
      </c>
      <c r="BK292">
        <f ca="1">IF(ISERROR(IF(AVERAGE($BK$293:$BK$332) = 0, "", AVERAGE($BK$293:$BK$332))), "", (IF(AVERAGE($BK$293:$BK$332) = 0, "", AVERAGE($BK$293:$BK$332))))</f>
        <v>10.458998317375</v>
      </c>
      <c r="BL292">
        <f ca="1">IF(ISERROR(IF(AVERAGE($BL$293:$BL$332) = 0, "", AVERAGE($BL$293:$BL$332))), "", (IF(AVERAGE($BL$293:$BL$332) = 0, "", AVERAGE($BL$293:$BL$332))))</f>
        <v>16.602108190749998</v>
      </c>
      <c r="BM292">
        <f ca="1">IF(ISERROR(IF(AVERAGE($BM$293:$BM$332) = 0, "", AVERAGE($BM$293:$BM$332))), "", (IF(AVERAGE($BM$293:$BM$332) = 0, "", AVERAGE($BM$293:$BM$332))))</f>
        <v>17.558047222857144</v>
      </c>
      <c r="BN292" t="str">
        <f>""</f>
        <v/>
      </c>
      <c r="BO292">
        <f>6.909896953</f>
        <v>6.9098969529999996</v>
      </c>
      <c r="BP292">
        <f>12.38067419</f>
        <v>12.380674190000001</v>
      </c>
      <c r="BQ292">
        <f>7.019358591</f>
        <v>7.0193585909999996</v>
      </c>
      <c r="BR292">
        <f>6.203245591</f>
        <v>6.2032455909999999</v>
      </c>
      <c r="BS292">
        <f>745.1631835</f>
        <v>745.16318349999995</v>
      </c>
      <c r="BT292">
        <f>20.66882371</f>
        <v>20.668823710000002</v>
      </c>
      <c r="BU292">
        <f>10.62154126</f>
        <v>10.621541260000001</v>
      </c>
      <c r="BV292">
        <f>10.76631076</f>
        <v>10.76631076</v>
      </c>
      <c r="BW292">
        <f>13.09669995</f>
        <v>13.09669995</v>
      </c>
      <c r="BX292">
        <f>19.93998322</f>
        <v>19.939983219999998</v>
      </c>
      <c r="BY292">
        <f>6.606075813</f>
        <v>6.6060758130000004</v>
      </c>
      <c r="BZ292">
        <f>10.61797114</f>
        <v>10.61797114</v>
      </c>
      <c r="CA292">
        <f>8.230076304</f>
        <v>8.2300763040000007</v>
      </c>
      <c r="CB292">
        <f>8.27993301</f>
        <v>8.2799330100000006</v>
      </c>
      <c r="CC292">
        <f>15.09743351</f>
        <v>15.09743351</v>
      </c>
      <c r="CD292">
        <f>81.04475743</f>
        <v>81.044757430000004</v>
      </c>
      <c r="CE292">
        <f>41.3812326</f>
        <v>41.381232599999997</v>
      </c>
      <c r="CF292">
        <f>38.64416751</f>
        <v>38.644167510000003</v>
      </c>
      <c r="CG292">
        <f>54.34135227</f>
        <v>54.341352270000002</v>
      </c>
      <c r="CH292">
        <f>94.6651001</f>
        <v>94.665100100000004</v>
      </c>
      <c r="CI292">
        <f>27.17182896</f>
        <v>27.171828959999999</v>
      </c>
      <c r="CJ292">
        <f>10.15770813</f>
        <v>10.15770813</v>
      </c>
      <c r="CK292">
        <f>8.648837725</f>
        <v>8.6488377249999999</v>
      </c>
      <c r="CL292">
        <f>7.664235988</f>
        <v>7.6642359879999997</v>
      </c>
      <c r="CM292">
        <f>7.342259974</f>
        <v>7.3422599740000001</v>
      </c>
      <c r="CN292">
        <f>6.111755001</f>
        <v>6.1117550009999997</v>
      </c>
      <c r="CO292">
        <f>6.14683474</f>
        <v>6.1468347400000001</v>
      </c>
      <c r="CP292">
        <f>7.250771199</f>
        <v>7.2507711989999999</v>
      </c>
      <c r="CQ292">
        <f>6.960788638</f>
        <v>6.9607886380000004</v>
      </c>
      <c r="CR292">
        <f>5.990509723</f>
        <v>5.9905097229999997</v>
      </c>
      <c r="CS292">
        <f>6.924714069</f>
        <v>6.9247140690000002</v>
      </c>
      <c r="CT292">
        <f>6.395267646</f>
        <v>6.3952676459999998</v>
      </c>
      <c r="CU292">
        <f>7.096376151</f>
        <v>7.0963761510000003</v>
      </c>
      <c r="CV292">
        <f>6.636206742</f>
        <v>6.6362067419999997</v>
      </c>
      <c r="CW292">
        <f>6.299306441</f>
        <v>6.2993064409999997</v>
      </c>
      <c r="CX292">
        <f>7.553096594</f>
        <v>7.5530965940000003</v>
      </c>
      <c r="CY292">
        <f>37.90424546</f>
        <v>37.904245459999999</v>
      </c>
      <c r="CZ292">
        <f>21.05348873</f>
        <v>21.053488730000002</v>
      </c>
      <c r="DA292">
        <f>740.9656308</f>
        <v>740.96563079999999</v>
      </c>
      <c r="DB292">
        <f>9.365842459</f>
        <v>9.3658424589999996</v>
      </c>
      <c r="DC292">
        <f>24.99075019</f>
        <v>24.99075019</v>
      </c>
      <c r="DD292">
        <f>4.801189289</f>
        <v>4.8011892889999999</v>
      </c>
      <c r="DE292">
        <f>4.598773158</f>
        <v>4.5987731580000002</v>
      </c>
      <c r="DF292">
        <f>5.000483748</f>
        <v>5.0004837479999997</v>
      </c>
      <c r="DG292">
        <f>5.858533417</f>
        <v>5.8585334170000003</v>
      </c>
      <c r="DH292">
        <f>8.437141452</f>
        <v>8.4371414520000005</v>
      </c>
      <c r="DI292">
        <f>8.248524437</f>
        <v>8.2485244370000004</v>
      </c>
      <c r="DJ292">
        <f>7.841225559</f>
        <v>7.8412255589999997</v>
      </c>
      <c r="DK292">
        <f>10.77267489</f>
        <v>10.772674889999999</v>
      </c>
      <c r="DL292">
        <f>6.643040772</f>
        <v>6.643040772</v>
      </c>
      <c r="DM292">
        <f>5.659953627</f>
        <v>5.6599536270000002</v>
      </c>
      <c r="DN292">
        <f>6.226865292</f>
        <v>6.2268652920000003</v>
      </c>
      <c r="DO292">
        <f>10.73854882</f>
        <v>10.73854882</v>
      </c>
      <c r="DP292">
        <f>9.25860782</f>
        <v>9.2586078199999999</v>
      </c>
      <c r="DQ292">
        <f>9.400397816</f>
        <v>9.4003978159999999</v>
      </c>
      <c r="DR292">
        <f>8.8175352</f>
        <v>8.8175352</v>
      </c>
      <c r="DS292">
        <f>10.45899832</f>
        <v>10.458998319999999</v>
      </c>
      <c r="DT292">
        <f>16.60210819</f>
        <v>16.602108189999999</v>
      </c>
      <c r="DU292">
        <f>17.55804722</f>
        <v>17.558047219999999</v>
      </c>
    </row>
    <row r="293" spans="1:125" x14ac:dyDescent="0.25">
      <c r="A293" t="str">
        <f>"    AUDI AG"</f>
        <v xml:space="preserve">    AUDI AG</v>
      </c>
      <c r="B293" t="str">
        <f>"NSU GR Equity"</f>
        <v>NSU GR Equity</v>
      </c>
      <c r="C293" t="str">
        <f t="shared" ref="C293:C332" si="21">"RR474"</f>
        <v>RR474</v>
      </c>
      <c r="D293" t="str">
        <f t="shared" ref="D293:D332" si="22">"EV_TO_T12M_EBITDA"</f>
        <v>EV_TO_T12M_EBITDA</v>
      </c>
      <c r="E293" t="str">
        <f t="shared" ref="E293:E332" si="23">"Dynamic"</f>
        <v>Dynamic</v>
      </c>
      <c r="F293" t="str">
        <f ca="1">IF(AND(ISNUMBER($F$959),$B$677=1),$F$959,HLOOKUP(INDIRECT(ADDRESS(2,COLUMN())),OFFSET($BN$2,0,0,ROW()-1,60),ROW()-1,FALSE))</f>
        <v/>
      </c>
      <c r="G293" t="str">
        <f ca="1">IF(AND(ISNUMBER($G$959),$B$677=1),$G$959,HLOOKUP(INDIRECT(ADDRESS(2,COLUMN())),OFFSET($BN$2,0,0,ROW()-1,60),ROW()-1,FALSE))</f>
        <v/>
      </c>
      <c r="H293" t="str">
        <f ca="1">IF(AND(ISNUMBER($H$959),$B$677=1),$H$959,HLOOKUP(INDIRECT(ADDRESS(2,COLUMN())),OFFSET($BN$2,0,0,ROW()-1,60),ROW()-1,FALSE))</f>
        <v/>
      </c>
      <c r="I293" t="str">
        <f ca="1">IF(AND(ISNUMBER($I$959),$B$677=1),$I$959,HLOOKUP(INDIRECT(ADDRESS(2,COLUMN())),OFFSET($BN$2,0,0,ROW()-1,60),ROW()-1,FALSE))</f>
        <v/>
      </c>
      <c r="J293" t="str">
        <f ca="1">IF(AND(ISNUMBER($J$959),$B$677=1),$J$959,HLOOKUP(INDIRECT(ADDRESS(2,COLUMN())),OFFSET($BN$2,0,0,ROW()-1,60),ROW()-1,FALSE))</f>
        <v/>
      </c>
      <c r="K293" t="str">
        <f ca="1">IF(AND(ISNUMBER($K$959),$B$677=1),$K$959,HLOOKUP(INDIRECT(ADDRESS(2,COLUMN())),OFFSET($BN$2,0,0,ROW()-1,60),ROW()-1,FALSE))</f>
        <v/>
      </c>
      <c r="L293" t="str">
        <f ca="1">IF(AND(ISNUMBER($L$959),$B$677=1),$L$959,HLOOKUP(INDIRECT(ADDRESS(2,COLUMN())),OFFSET($BN$2,0,0,ROW()-1,60),ROW()-1,FALSE))</f>
        <v/>
      </c>
      <c r="M293" t="str">
        <f ca="1">IF(AND(ISNUMBER($M$959),$B$677=1),$M$959,HLOOKUP(INDIRECT(ADDRESS(2,COLUMN())),OFFSET($BN$2,0,0,ROW()-1,60),ROW()-1,FALSE))</f>
        <v/>
      </c>
      <c r="N293" t="str">
        <f ca="1">IF(AND(ISNUMBER($N$959),$B$677=1),$N$959,HLOOKUP(INDIRECT(ADDRESS(2,COLUMN())),OFFSET($BN$2,0,0,ROW()-1,60),ROW()-1,FALSE))</f>
        <v/>
      </c>
      <c r="O293" t="str">
        <f ca="1">IF(AND(ISNUMBER($O$959),$B$677=1),$O$959,HLOOKUP(INDIRECT(ADDRESS(2,COLUMN())),OFFSET($BN$2,0,0,ROW()-1,60),ROW()-1,FALSE))</f>
        <v/>
      </c>
      <c r="P293" t="str">
        <f ca="1">IF(AND(ISNUMBER($P$959),$B$677=1),$P$959,HLOOKUP(INDIRECT(ADDRESS(2,COLUMN())),OFFSET($BN$2,0,0,ROW()-1,60),ROW()-1,FALSE))</f>
        <v/>
      </c>
      <c r="Q293" t="str">
        <f ca="1">IF(AND(ISNUMBER($Q$959),$B$677=1),$Q$959,HLOOKUP(INDIRECT(ADDRESS(2,COLUMN())),OFFSET($BN$2,0,0,ROW()-1,60),ROW()-1,FALSE))</f>
        <v/>
      </c>
      <c r="R293" t="str">
        <f ca="1">IF(AND(ISNUMBER($R$959),$B$677=1),$R$959,HLOOKUP(INDIRECT(ADDRESS(2,COLUMN())),OFFSET($BN$2,0,0,ROW()-1,60),ROW()-1,FALSE))</f>
        <v/>
      </c>
      <c r="S293" t="str">
        <f ca="1">IF(AND(ISNUMBER($S$959),$B$677=1),$S$959,HLOOKUP(INDIRECT(ADDRESS(2,COLUMN())),OFFSET($BN$2,0,0,ROW()-1,60),ROW()-1,FALSE))</f>
        <v/>
      </c>
      <c r="T293" t="str">
        <f ca="1">IF(AND(ISNUMBER($T$959),$B$677=1),$T$959,HLOOKUP(INDIRECT(ADDRESS(2,COLUMN())),OFFSET($BN$2,0,0,ROW()-1,60),ROW()-1,FALSE))</f>
        <v/>
      </c>
      <c r="U293" t="str">
        <f ca="1">IF(AND(ISNUMBER($U$959),$B$677=1),$U$959,HLOOKUP(INDIRECT(ADDRESS(2,COLUMN())),OFFSET($BN$2,0,0,ROW()-1,60),ROW()-1,FALSE))</f>
        <v/>
      </c>
      <c r="V293" t="str">
        <f ca="1">IF(AND(ISNUMBER($V$959),$B$677=1),$V$959,HLOOKUP(INDIRECT(ADDRESS(2,COLUMN())),OFFSET($BN$2,0,0,ROW()-1,60),ROW()-1,FALSE))</f>
        <v/>
      </c>
      <c r="W293" t="str">
        <f ca="1">IF(AND(ISNUMBER($W$959),$B$677=1),$W$959,HLOOKUP(INDIRECT(ADDRESS(2,COLUMN())),OFFSET($BN$2,0,0,ROW()-1,60),ROW()-1,FALSE))</f>
        <v/>
      </c>
      <c r="X293" t="str">
        <f ca="1">IF(AND(ISNUMBER($X$959),$B$677=1),$X$959,HLOOKUP(INDIRECT(ADDRESS(2,COLUMN())),OFFSET($BN$2,0,0,ROW()-1,60),ROW()-1,FALSE))</f>
        <v/>
      </c>
      <c r="Y293" t="str">
        <f ca="1">IF(AND(ISNUMBER($Y$959),$B$677=1),$Y$959,HLOOKUP(INDIRECT(ADDRESS(2,COLUMN())),OFFSET($BN$2,0,0,ROW()-1,60),ROW()-1,FALSE))</f>
        <v/>
      </c>
      <c r="Z293" t="str">
        <f ca="1">IF(AND(ISNUMBER($Z$959),$B$677=1),$Z$959,HLOOKUP(INDIRECT(ADDRESS(2,COLUMN())),OFFSET($BN$2,0,0,ROW()-1,60),ROW()-1,FALSE))</f>
        <v/>
      </c>
      <c r="AA293" t="str">
        <f ca="1">IF(AND(ISNUMBER($AA$959),$B$677=1),$AA$959,HLOOKUP(INDIRECT(ADDRESS(2,COLUMN())),OFFSET($BN$2,0,0,ROW()-1,60),ROW()-1,FALSE))</f>
        <v/>
      </c>
      <c r="AB293" t="str">
        <f ca="1">IF(AND(ISNUMBER($AB$959),$B$677=1),$AB$959,HLOOKUP(INDIRECT(ADDRESS(2,COLUMN())),OFFSET($BN$2,0,0,ROW()-1,60),ROW()-1,FALSE))</f>
        <v/>
      </c>
      <c r="AC293" t="str">
        <f ca="1">IF(AND(ISNUMBER($AC$959),$B$677=1),$AC$959,HLOOKUP(INDIRECT(ADDRESS(2,COLUMN())),OFFSET($BN$2,0,0,ROW()-1,60),ROW()-1,FALSE))</f>
        <v/>
      </c>
      <c r="AD293" t="str">
        <f ca="1">IF(AND(ISNUMBER($AD$959),$B$677=1),$AD$959,HLOOKUP(INDIRECT(ADDRESS(2,COLUMN())),OFFSET($BN$2,0,0,ROW()-1,60),ROW()-1,FALSE))</f>
        <v/>
      </c>
      <c r="AE293" t="str">
        <f ca="1">IF(AND(ISNUMBER($AE$959),$B$677=1),$AE$959,HLOOKUP(INDIRECT(ADDRESS(2,COLUMN())),OFFSET($BN$2,0,0,ROW()-1,60),ROW()-1,FALSE))</f>
        <v/>
      </c>
      <c r="AF293" t="str">
        <f ca="1">IF(AND(ISNUMBER($AF$959),$B$677=1),$AF$959,HLOOKUP(INDIRECT(ADDRESS(2,COLUMN())),OFFSET($BN$2,0,0,ROW()-1,60),ROW()-1,FALSE))</f>
        <v/>
      </c>
      <c r="AG293" t="str">
        <f ca="1">IF(AND(ISNUMBER($AG$959),$B$677=1),$AG$959,HLOOKUP(INDIRECT(ADDRESS(2,COLUMN())),OFFSET($BN$2,0,0,ROW()-1,60),ROW()-1,FALSE))</f>
        <v/>
      </c>
      <c r="AH293" t="str">
        <f ca="1">IF(AND(ISNUMBER($AH$959),$B$677=1),$AH$959,HLOOKUP(INDIRECT(ADDRESS(2,COLUMN())),OFFSET($BN$2,0,0,ROW()-1,60),ROW()-1,FALSE))</f>
        <v/>
      </c>
      <c r="AI293" t="str">
        <f ca="1">IF(AND(ISNUMBER($AI$959),$B$677=1),$AI$959,HLOOKUP(INDIRECT(ADDRESS(2,COLUMN())),OFFSET($BN$2,0,0,ROW()-1,60),ROW()-1,FALSE))</f>
        <v/>
      </c>
      <c r="AJ293" t="str">
        <f ca="1">IF(AND(ISNUMBER($AJ$959),$B$677=1),$AJ$959,HLOOKUP(INDIRECT(ADDRESS(2,COLUMN())),OFFSET($BN$2,0,0,ROW()-1,60),ROW()-1,FALSE))</f>
        <v/>
      </c>
      <c r="AK293" t="str">
        <f ca="1">IF(AND(ISNUMBER($AK$959),$B$677=1),$AK$959,HLOOKUP(INDIRECT(ADDRESS(2,COLUMN())),OFFSET($BN$2,0,0,ROW()-1,60),ROW()-1,FALSE))</f>
        <v/>
      </c>
      <c r="AL293" t="str">
        <f ca="1">IF(AND(ISNUMBER($AL$959),$B$677=1),$AL$959,HLOOKUP(INDIRECT(ADDRESS(2,COLUMN())),OFFSET($BN$2,0,0,ROW()-1,60),ROW()-1,FALSE))</f>
        <v/>
      </c>
      <c r="AM293" t="str">
        <f ca="1">IF(AND(ISNUMBER($AM$959),$B$677=1),$AM$959,HLOOKUP(INDIRECT(ADDRESS(2,COLUMN())),OFFSET($BN$2,0,0,ROW()-1,60),ROW()-1,FALSE))</f>
        <v/>
      </c>
      <c r="AN293" t="str">
        <f ca="1">IF(AND(ISNUMBER($AN$959),$B$677=1),$AN$959,HLOOKUP(INDIRECT(ADDRESS(2,COLUMN())),OFFSET($BN$2,0,0,ROW()-1,60),ROW()-1,FALSE))</f>
        <v/>
      </c>
      <c r="AO293" t="str">
        <f ca="1">IF(AND(ISNUMBER($AO$959),$B$677=1),$AO$959,HLOOKUP(INDIRECT(ADDRESS(2,COLUMN())),OFFSET($BN$2,0,0,ROW()-1,60),ROW()-1,FALSE))</f>
        <v/>
      </c>
      <c r="AP293" t="str">
        <f ca="1">IF(AND(ISNUMBER($AP$959),$B$677=1),$AP$959,HLOOKUP(INDIRECT(ADDRESS(2,COLUMN())),OFFSET($BN$2,0,0,ROW()-1,60),ROW()-1,FALSE))</f>
        <v/>
      </c>
      <c r="AQ293" t="str">
        <f ca="1">IF(AND(ISNUMBER($AQ$959),$B$677=1),$AQ$959,HLOOKUP(INDIRECT(ADDRESS(2,COLUMN())),OFFSET($BN$2,0,0,ROW()-1,60),ROW()-1,FALSE))</f>
        <v/>
      </c>
      <c r="AR293" t="str">
        <f ca="1">IF(AND(ISNUMBER($AR$959),$B$677=1),$AR$959,HLOOKUP(INDIRECT(ADDRESS(2,COLUMN())),OFFSET($BN$2,0,0,ROW()-1,60),ROW()-1,FALSE))</f>
        <v/>
      </c>
      <c r="AS293" t="str">
        <f ca="1">IF(AND(ISNUMBER($AS$959),$B$677=1),$AS$959,HLOOKUP(INDIRECT(ADDRESS(2,COLUMN())),OFFSET($BN$2,0,0,ROW()-1,60),ROW()-1,FALSE))</f>
        <v/>
      </c>
      <c r="AT293" t="str">
        <f ca="1">IF(AND(ISNUMBER($AT$959),$B$677=1),$AT$959,HLOOKUP(INDIRECT(ADDRESS(2,COLUMN())),OFFSET($BN$2,0,0,ROW()-1,60),ROW()-1,FALSE))</f>
        <v/>
      </c>
      <c r="AU293" t="str">
        <f ca="1">IF(AND(ISNUMBER($AU$959),$B$677=1),$AU$959,HLOOKUP(INDIRECT(ADDRESS(2,COLUMN())),OFFSET($BN$2,0,0,ROW()-1,60),ROW()-1,FALSE))</f>
        <v/>
      </c>
      <c r="AV293" t="str">
        <f ca="1">IF(AND(ISNUMBER($AV$959),$B$677=1),$AV$959,HLOOKUP(INDIRECT(ADDRESS(2,COLUMN())),OFFSET($BN$2,0,0,ROW()-1,60),ROW()-1,FALSE))</f>
        <v/>
      </c>
      <c r="AW293" t="str">
        <f ca="1">IF(AND(ISNUMBER($AW$959),$B$677=1),$AW$959,HLOOKUP(INDIRECT(ADDRESS(2,COLUMN())),OFFSET($BN$2,0,0,ROW()-1,60),ROW()-1,FALSE))</f>
        <v/>
      </c>
      <c r="AX293" t="str">
        <f ca="1">IF(AND(ISNUMBER($AX$959),$B$677=1),$AX$959,HLOOKUP(INDIRECT(ADDRESS(2,COLUMN())),OFFSET($BN$2,0,0,ROW()-1,60),ROW()-1,FALSE))</f>
        <v/>
      </c>
      <c r="AY293" t="str">
        <f ca="1">IF(AND(ISNUMBER($AY$959),$B$677=1),$AY$959,HLOOKUP(INDIRECT(ADDRESS(2,COLUMN())),OFFSET($BN$2,0,0,ROW()-1,60),ROW()-1,FALSE))</f>
        <v/>
      </c>
      <c r="AZ293" t="str">
        <f ca="1">IF(AND(ISNUMBER($AZ$959),$B$677=1),$AZ$959,HLOOKUP(INDIRECT(ADDRESS(2,COLUMN())),OFFSET($BN$2,0,0,ROW()-1,60),ROW()-1,FALSE))</f>
        <v/>
      </c>
      <c r="BA293" t="str">
        <f ca="1">IF(AND(ISNUMBER($BA$959),$B$677=1),$BA$959,HLOOKUP(INDIRECT(ADDRESS(2,COLUMN())),OFFSET($BN$2,0,0,ROW()-1,60),ROW()-1,FALSE))</f>
        <v/>
      </c>
      <c r="BB293" t="str">
        <f ca="1">IF(AND(ISNUMBER($BB$959),$B$677=1),$BB$959,HLOOKUP(INDIRECT(ADDRESS(2,COLUMN())),OFFSET($BN$2,0,0,ROW()-1,60),ROW()-1,FALSE))</f>
        <v/>
      </c>
      <c r="BC293" t="str">
        <f ca="1">IF(AND(ISNUMBER($BC$959),$B$677=1),$BC$959,HLOOKUP(INDIRECT(ADDRESS(2,COLUMN())),OFFSET($BN$2,0,0,ROW()-1,60),ROW()-1,FALSE))</f>
        <v/>
      </c>
      <c r="BD293" t="str">
        <f ca="1">IF(AND(ISNUMBER($BD$959),$B$677=1),$BD$959,HLOOKUP(INDIRECT(ADDRESS(2,COLUMN())),OFFSET($BN$2,0,0,ROW()-1,60),ROW()-1,FALSE))</f>
        <v/>
      </c>
      <c r="BE293" t="str">
        <f ca="1">IF(AND(ISNUMBER($BE$959),$B$677=1),$BE$959,HLOOKUP(INDIRECT(ADDRESS(2,COLUMN())),OFFSET($BN$2,0,0,ROW()-1,60),ROW()-1,FALSE))</f>
        <v/>
      </c>
      <c r="BF293" t="str">
        <f ca="1">IF(AND(ISNUMBER($BF$959),$B$677=1),$BF$959,HLOOKUP(INDIRECT(ADDRESS(2,COLUMN())),OFFSET($BN$2,0,0,ROW()-1,60),ROW()-1,FALSE))</f>
        <v/>
      </c>
      <c r="BG293" t="str">
        <f ca="1">IF(AND(ISNUMBER($BG$959),$B$677=1),$BG$959,HLOOKUP(INDIRECT(ADDRESS(2,COLUMN())),OFFSET($BN$2,0,0,ROW()-1,60),ROW()-1,FALSE))</f>
        <v/>
      </c>
      <c r="BH293" t="str">
        <f ca="1">IF(AND(ISNUMBER($BH$959),$B$677=1),$BH$959,HLOOKUP(INDIRECT(ADDRESS(2,COLUMN())),OFFSET($BN$2,0,0,ROW()-1,60),ROW()-1,FALSE))</f>
        <v/>
      </c>
      <c r="BI293" t="str">
        <f ca="1">IF(AND(ISNUMBER($BI$959),$B$677=1),$BI$959,HLOOKUP(INDIRECT(ADDRESS(2,COLUMN())),OFFSET($BN$2,0,0,ROW()-1,60),ROW()-1,FALSE))</f>
        <v/>
      </c>
      <c r="BJ293" t="str">
        <f ca="1">IF(AND(ISNUMBER($BJ$959),$B$677=1),$BJ$959,HLOOKUP(INDIRECT(ADDRESS(2,COLUMN())),OFFSET($BN$2,0,0,ROW()-1,60),ROW()-1,FALSE))</f>
        <v/>
      </c>
      <c r="BK293" t="str">
        <f ca="1">IF(AND(ISNUMBER($BK$959),$B$677=1),$BK$959,HLOOKUP(INDIRECT(ADDRESS(2,COLUMN())),OFFSET($BN$2,0,0,ROW()-1,60),ROW()-1,FALSE))</f>
        <v/>
      </c>
      <c r="BL293" t="str">
        <f ca="1">IF(AND(ISNUMBER($BL$959),$B$677=1),$BL$959,HLOOKUP(INDIRECT(ADDRESS(2,COLUMN())),OFFSET($BN$2,0,0,ROW()-1,60),ROW()-1,FALSE))</f>
        <v/>
      </c>
      <c r="BM293" t="str">
        <f ca="1">IF(AND(ISNUMBER($BM$959),$B$677=1),$BM$959,HLOOKUP(INDIRECT(ADDRESS(2,COLUMN())),OFFSET($BN$2,0,0,ROW()-1,60),ROW()-1,FALSE))</f>
        <v/>
      </c>
      <c r="BN293" t="str">
        <f>""</f>
        <v/>
      </c>
      <c r="BO293" t="str">
        <f>""</f>
        <v/>
      </c>
      <c r="BP293" t="str">
        <f>""</f>
        <v/>
      </c>
      <c r="BQ293" t="str">
        <f>""</f>
        <v/>
      </c>
      <c r="BR293" t="str">
        <f>""</f>
        <v/>
      </c>
      <c r="BS293" t="str">
        <f>""</f>
        <v/>
      </c>
      <c r="BT293" t="str">
        <f>""</f>
        <v/>
      </c>
      <c r="BU293" t="str">
        <f>""</f>
        <v/>
      </c>
      <c r="BV293" t="str">
        <f>""</f>
        <v/>
      </c>
      <c r="BW293" t="str">
        <f>""</f>
        <v/>
      </c>
      <c r="BX293" t="str">
        <f>""</f>
        <v/>
      </c>
      <c r="BY293" t="str">
        <f>""</f>
        <v/>
      </c>
      <c r="BZ293" t="str">
        <f>""</f>
        <v/>
      </c>
      <c r="CA293" t="str">
        <f>""</f>
        <v/>
      </c>
      <c r="CB293" t="str">
        <f>""</f>
        <v/>
      </c>
      <c r="CC293" t="str">
        <f>""</f>
        <v/>
      </c>
      <c r="CD293" t="str">
        <f>""</f>
        <v/>
      </c>
      <c r="CE293" t="str">
        <f>""</f>
        <v/>
      </c>
      <c r="CF293" t="str">
        <f>""</f>
        <v/>
      </c>
      <c r="CG293" t="str">
        <f>""</f>
        <v/>
      </c>
      <c r="CH293" t="str">
        <f>""</f>
        <v/>
      </c>
      <c r="CI293" t="str">
        <f>""</f>
        <v/>
      </c>
      <c r="CJ293" t="str">
        <f>""</f>
        <v/>
      </c>
      <c r="CK293" t="str">
        <f>""</f>
        <v/>
      </c>
      <c r="CL293" t="str">
        <f>""</f>
        <v/>
      </c>
      <c r="CM293" t="str">
        <f>""</f>
        <v/>
      </c>
      <c r="CN293" t="str">
        <f>""</f>
        <v/>
      </c>
      <c r="CO293" t="str">
        <f>""</f>
        <v/>
      </c>
      <c r="CP293" t="str">
        <f>""</f>
        <v/>
      </c>
      <c r="CQ293" t="str">
        <f>""</f>
        <v/>
      </c>
      <c r="CR293" t="str">
        <f>""</f>
        <v/>
      </c>
      <c r="CS293" t="str">
        <f>""</f>
        <v/>
      </c>
      <c r="CT293" t="str">
        <f>""</f>
        <v/>
      </c>
      <c r="CU293" t="str">
        <f>""</f>
        <v/>
      </c>
      <c r="CV293" t="str">
        <f>""</f>
        <v/>
      </c>
      <c r="CW293" t="str">
        <f>""</f>
        <v/>
      </c>
      <c r="CX293" t="str">
        <f>""</f>
        <v/>
      </c>
      <c r="CY293" t="str">
        <f>""</f>
        <v/>
      </c>
      <c r="CZ293" t="str">
        <f>""</f>
        <v/>
      </c>
      <c r="DA293" t="str">
        <f>""</f>
        <v/>
      </c>
      <c r="DB293" t="str">
        <f>""</f>
        <v/>
      </c>
      <c r="DC293" t="str">
        <f>""</f>
        <v/>
      </c>
      <c r="DD293" t="str">
        <f>""</f>
        <v/>
      </c>
      <c r="DE293" t="str">
        <f>""</f>
        <v/>
      </c>
      <c r="DF293" t="str">
        <f>""</f>
        <v/>
      </c>
      <c r="DG293" t="str">
        <f>""</f>
        <v/>
      </c>
      <c r="DH293" t="str">
        <f>""</f>
        <v/>
      </c>
      <c r="DI293" t="str">
        <f>""</f>
        <v/>
      </c>
      <c r="DJ293" t="str">
        <f>""</f>
        <v/>
      </c>
      <c r="DK293" t="str">
        <f>""</f>
        <v/>
      </c>
      <c r="DL293" t="str">
        <f>""</f>
        <v/>
      </c>
      <c r="DM293" t="str">
        <f>""</f>
        <v/>
      </c>
      <c r="DN293" t="str">
        <f>""</f>
        <v/>
      </c>
      <c r="DO293" t="str">
        <f>""</f>
        <v/>
      </c>
      <c r="DP293" t="str">
        <f>""</f>
        <v/>
      </c>
      <c r="DQ293" t="str">
        <f>""</f>
        <v/>
      </c>
      <c r="DR293" t="str">
        <f>""</f>
        <v/>
      </c>
      <c r="DS293" t="str">
        <f>""</f>
        <v/>
      </c>
      <c r="DT293" t="str">
        <f>""</f>
        <v/>
      </c>
      <c r="DU293" t="str">
        <f>""</f>
        <v/>
      </c>
    </row>
    <row r="294" spans="1:125" x14ac:dyDescent="0.25">
      <c r="A294" t="str">
        <f>"    Avtovaz PJSC"</f>
        <v xml:space="preserve">    Avtovaz PJSC</v>
      </c>
      <c r="B294" t="str">
        <f>"AVAZ RM Equity"</f>
        <v>AVAZ RM Equity</v>
      </c>
      <c r="C294" t="str">
        <f t="shared" si="21"/>
        <v>RR474</v>
      </c>
      <c r="D294" t="str">
        <f t="shared" si="22"/>
        <v>EV_TO_T12M_EBITDA</v>
      </c>
      <c r="E294" t="str">
        <f t="shared" si="23"/>
        <v>Dynamic</v>
      </c>
      <c r="F294" t="str">
        <f ca="1">IF(AND(ISNUMBER($F$960),$B$677=1),$F$960,HLOOKUP(INDIRECT(ADDRESS(2,COLUMN())),OFFSET($BN$2,0,0,ROW()-1,60),ROW()-1,FALSE))</f>
        <v/>
      </c>
      <c r="G294" t="str">
        <f ca="1">IF(AND(ISNUMBER($G$960),$B$677=1),$G$960,HLOOKUP(INDIRECT(ADDRESS(2,COLUMN())),OFFSET($BN$2,0,0,ROW()-1,60),ROW()-1,FALSE))</f>
        <v/>
      </c>
      <c r="H294" t="str">
        <f ca="1">IF(AND(ISNUMBER($H$960),$B$677=1),$H$960,HLOOKUP(INDIRECT(ADDRESS(2,COLUMN())),OFFSET($BN$2,0,0,ROW()-1,60),ROW()-1,FALSE))</f>
        <v/>
      </c>
      <c r="I294" t="str">
        <f ca="1">IF(AND(ISNUMBER($I$960),$B$677=1),$I$960,HLOOKUP(INDIRECT(ADDRESS(2,COLUMN())),OFFSET($BN$2,0,0,ROW()-1,60),ROW()-1,FALSE))</f>
        <v/>
      </c>
      <c r="J294" t="str">
        <f ca="1">IF(AND(ISNUMBER($J$960),$B$677=1),$J$960,HLOOKUP(INDIRECT(ADDRESS(2,COLUMN())),OFFSET($BN$2,0,0,ROW()-1,60),ROW()-1,FALSE))</f>
        <v/>
      </c>
      <c r="K294" t="str">
        <f ca="1">IF(AND(ISNUMBER($K$960),$B$677=1),$K$960,HLOOKUP(INDIRECT(ADDRESS(2,COLUMN())),OFFSET($BN$2,0,0,ROW()-1,60),ROW()-1,FALSE))</f>
        <v/>
      </c>
      <c r="L294" t="str">
        <f ca="1">IF(AND(ISNUMBER($L$960),$B$677=1),$L$960,HLOOKUP(INDIRECT(ADDRESS(2,COLUMN())),OFFSET($BN$2,0,0,ROW()-1,60),ROW()-1,FALSE))</f>
        <v/>
      </c>
      <c r="M294" t="str">
        <f ca="1">IF(AND(ISNUMBER($M$960),$B$677=1),$M$960,HLOOKUP(INDIRECT(ADDRESS(2,COLUMN())),OFFSET($BN$2,0,0,ROW()-1,60),ROW()-1,FALSE))</f>
        <v/>
      </c>
      <c r="N294" t="str">
        <f ca="1">IF(AND(ISNUMBER($N$960),$B$677=1),$N$960,HLOOKUP(INDIRECT(ADDRESS(2,COLUMN())),OFFSET($BN$2,0,0,ROW()-1,60),ROW()-1,FALSE))</f>
        <v/>
      </c>
      <c r="O294" t="str">
        <f ca="1">IF(AND(ISNUMBER($O$960),$B$677=1),$O$960,HLOOKUP(INDIRECT(ADDRESS(2,COLUMN())),OFFSET($BN$2,0,0,ROW()-1,60),ROW()-1,FALSE))</f>
        <v/>
      </c>
      <c r="P294" t="str">
        <f ca="1">IF(AND(ISNUMBER($P$960),$B$677=1),$P$960,HLOOKUP(INDIRECT(ADDRESS(2,COLUMN())),OFFSET($BN$2,0,0,ROW()-1,60),ROW()-1,FALSE))</f>
        <v/>
      </c>
      <c r="Q294" t="str">
        <f ca="1">IF(AND(ISNUMBER($Q$960),$B$677=1),$Q$960,HLOOKUP(INDIRECT(ADDRESS(2,COLUMN())),OFFSET($BN$2,0,0,ROW()-1,60),ROW()-1,FALSE))</f>
        <v/>
      </c>
      <c r="R294" t="str">
        <f ca="1">IF(AND(ISNUMBER($R$960),$B$677=1),$R$960,HLOOKUP(INDIRECT(ADDRESS(2,COLUMN())),OFFSET($BN$2,0,0,ROW()-1,60),ROW()-1,FALSE))</f>
        <v/>
      </c>
      <c r="S294" t="str">
        <f ca="1">IF(AND(ISNUMBER($S$960),$B$677=1),$S$960,HLOOKUP(INDIRECT(ADDRESS(2,COLUMN())),OFFSET($BN$2,0,0,ROW()-1,60),ROW()-1,FALSE))</f>
        <v/>
      </c>
      <c r="T294" t="str">
        <f ca="1">IF(AND(ISNUMBER($T$960),$B$677=1),$T$960,HLOOKUP(INDIRECT(ADDRESS(2,COLUMN())),OFFSET($BN$2,0,0,ROW()-1,60),ROW()-1,FALSE))</f>
        <v/>
      </c>
      <c r="U294" t="str">
        <f ca="1">IF(AND(ISNUMBER($U$960),$B$677=1),$U$960,HLOOKUP(INDIRECT(ADDRESS(2,COLUMN())),OFFSET($BN$2,0,0,ROW()-1,60),ROW()-1,FALSE))</f>
        <v/>
      </c>
      <c r="V294" t="str">
        <f ca="1">IF(AND(ISNUMBER($V$960),$B$677=1),$V$960,HLOOKUP(INDIRECT(ADDRESS(2,COLUMN())),OFFSET($BN$2,0,0,ROW()-1,60),ROW()-1,FALSE))</f>
        <v/>
      </c>
      <c r="W294" t="str">
        <f ca="1">IF(AND(ISNUMBER($W$960),$B$677=1),$W$960,HLOOKUP(INDIRECT(ADDRESS(2,COLUMN())),OFFSET($BN$2,0,0,ROW()-1,60),ROW()-1,FALSE))</f>
        <v/>
      </c>
      <c r="X294" t="str">
        <f ca="1">IF(AND(ISNUMBER($X$960),$B$677=1),$X$960,HLOOKUP(INDIRECT(ADDRESS(2,COLUMN())),OFFSET($BN$2,0,0,ROW()-1,60),ROW()-1,FALSE))</f>
        <v/>
      </c>
      <c r="Y294" t="str">
        <f ca="1">IF(AND(ISNUMBER($Y$960),$B$677=1),$Y$960,HLOOKUP(INDIRECT(ADDRESS(2,COLUMN())),OFFSET($BN$2,0,0,ROW()-1,60),ROW()-1,FALSE))</f>
        <v/>
      </c>
      <c r="Z294" t="str">
        <f ca="1">IF(AND(ISNUMBER($Z$960),$B$677=1),$Z$960,HLOOKUP(INDIRECT(ADDRESS(2,COLUMN())),OFFSET($BN$2,0,0,ROW()-1,60),ROW()-1,FALSE))</f>
        <v/>
      </c>
      <c r="AA294" t="str">
        <f ca="1">IF(AND(ISNUMBER($AA$960),$B$677=1),$AA$960,HLOOKUP(INDIRECT(ADDRESS(2,COLUMN())),OFFSET($BN$2,0,0,ROW()-1,60),ROW()-1,FALSE))</f>
        <v/>
      </c>
      <c r="AB294" t="str">
        <f ca="1">IF(AND(ISNUMBER($AB$960),$B$677=1),$AB$960,HLOOKUP(INDIRECT(ADDRESS(2,COLUMN())),OFFSET($BN$2,0,0,ROW()-1,60),ROW()-1,FALSE))</f>
        <v/>
      </c>
      <c r="AC294" t="str">
        <f ca="1">IF(AND(ISNUMBER($AC$960),$B$677=1),$AC$960,HLOOKUP(INDIRECT(ADDRESS(2,COLUMN())),OFFSET($BN$2,0,0,ROW()-1,60),ROW()-1,FALSE))</f>
        <v/>
      </c>
      <c r="AD294" t="str">
        <f ca="1">IF(AND(ISNUMBER($AD$960),$B$677=1),$AD$960,HLOOKUP(INDIRECT(ADDRESS(2,COLUMN())),OFFSET($BN$2,0,0,ROW()-1,60),ROW()-1,FALSE))</f>
        <v/>
      </c>
      <c r="AE294" t="str">
        <f ca="1">IF(AND(ISNUMBER($AE$960),$B$677=1),$AE$960,HLOOKUP(INDIRECT(ADDRESS(2,COLUMN())),OFFSET($BN$2,0,0,ROW()-1,60),ROW()-1,FALSE))</f>
        <v/>
      </c>
      <c r="AF294" t="str">
        <f ca="1">IF(AND(ISNUMBER($AF$960),$B$677=1),$AF$960,HLOOKUP(INDIRECT(ADDRESS(2,COLUMN())),OFFSET($BN$2,0,0,ROW()-1,60),ROW()-1,FALSE))</f>
        <v/>
      </c>
      <c r="AG294" t="str">
        <f ca="1">IF(AND(ISNUMBER($AG$960),$B$677=1),$AG$960,HLOOKUP(INDIRECT(ADDRESS(2,COLUMN())),OFFSET($BN$2,0,0,ROW()-1,60),ROW()-1,FALSE))</f>
        <v/>
      </c>
      <c r="AH294" t="str">
        <f ca="1">IF(AND(ISNUMBER($AH$960),$B$677=1),$AH$960,HLOOKUP(INDIRECT(ADDRESS(2,COLUMN())),OFFSET($BN$2,0,0,ROW()-1,60),ROW()-1,FALSE))</f>
        <v/>
      </c>
      <c r="AI294" t="str">
        <f ca="1">IF(AND(ISNUMBER($AI$960),$B$677=1),$AI$960,HLOOKUP(INDIRECT(ADDRESS(2,COLUMN())),OFFSET($BN$2,0,0,ROW()-1,60),ROW()-1,FALSE))</f>
        <v/>
      </c>
      <c r="AJ294" t="str">
        <f ca="1">IF(AND(ISNUMBER($AJ$960),$B$677=1),$AJ$960,HLOOKUP(INDIRECT(ADDRESS(2,COLUMN())),OFFSET($BN$2,0,0,ROW()-1,60),ROW()-1,FALSE))</f>
        <v/>
      </c>
      <c r="AK294" t="str">
        <f ca="1">IF(AND(ISNUMBER($AK$960),$B$677=1),$AK$960,HLOOKUP(INDIRECT(ADDRESS(2,COLUMN())),OFFSET($BN$2,0,0,ROW()-1,60),ROW()-1,FALSE))</f>
        <v/>
      </c>
      <c r="AL294" t="str">
        <f ca="1">IF(AND(ISNUMBER($AL$960),$B$677=1),$AL$960,HLOOKUP(INDIRECT(ADDRESS(2,COLUMN())),OFFSET($BN$2,0,0,ROW()-1,60),ROW()-1,FALSE))</f>
        <v/>
      </c>
      <c r="AM294" t="str">
        <f ca="1">IF(AND(ISNUMBER($AM$960),$B$677=1),$AM$960,HLOOKUP(INDIRECT(ADDRESS(2,COLUMN())),OFFSET($BN$2,0,0,ROW()-1,60),ROW()-1,FALSE))</f>
        <v/>
      </c>
      <c r="AN294" t="str">
        <f ca="1">IF(AND(ISNUMBER($AN$960),$B$677=1),$AN$960,HLOOKUP(INDIRECT(ADDRESS(2,COLUMN())),OFFSET($BN$2,0,0,ROW()-1,60),ROW()-1,FALSE))</f>
        <v/>
      </c>
      <c r="AO294" t="str">
        <f ca="1">IF(AND(ISNUMBER($AO$960),$B$677=1),$AO$960,HLOOKUP(INDIRECT(ADDRESS(2,COLUMN())),OFFSET($BN$2,0,0,ROW()-1,60),ROW()-1,FALSE))</f>
        <v/>
      </c>
      <c r="AP294" t="str">
        <f ca="1">IF(AND(ISNUMBER($AP$960),$B$677=1),$AP$960,HLOOKUP(INDIRECT(ADDRESS(2,COLUMN())),OFFSET($BN$2,0,0,ROW()-1,60),ROW()-1,FALSE))</f>
        <v/>
      </c>
      <c r="AQ294" t="str">
        <f ca="1">IF(AND(ISNUMBER($AQ$960),$B$677=1),$AQ$960,HLOOKUP(INDIRECT(ADDRESS(2,COLUMN())),OFFSET($BN$2,0,0,ROW()-1,60),ROW()-1,FALSE))</f>
        <v/>
      </c>
      <c r="AR294" t="str">
        <f ca="1">IF(AND(ISNUMBER($AR$960),$B$677=1),$AR$960,HLOOKUP(INDIRECT(ADDRESS(2,COLUMN())),OFFSET($BN$2,0,0,ROW()-1,60),ROW()-1,FALSE))</f>
        <v/>
      </c>
      <c r="AS294" t="str">
        <f ca="1">IF(AND(ISNUMBER($AS$960),$B$677=1),$AS$960,HLOOKUP(INDIRECT(ADDRESS(2,COLUMN())),OFFSET($BN$2,0,0,ROW()-1,60),ROW()-1,FALSE))</f>
        <v/>
      </c>
      <c r="AT294" t="str">
        <f ca="1">IF(AND(ISNUMBER($AT$960),$B$677=1),$AT$960,HLOOKUP(INDIRECT(ADDRESS(2,COLUMN())),OFFSET($BN$2,0,0,ROW()-1,60),ROW()-1,FALSE))</f>
        <v/>
      </c>
      <c r="AU294" t="str">
        <f ca="1">IF(AND(ISNUMBER($AU$960),$B$677=1),$AU$960,HLOOKUP(INDIRECT(ADDRESS(2,COLUMN())),OFFSET($BN$2,0,0,ROW()-1,60),ROW()-1,FALSE))</f>
        <v/>
      </c>
      <c r="AV294" t="str">
        <f ca="1">IF(AND(ISNUMBER($AV$960),$B$677=1),$AV$960,HLOOKUP(INDIRECT(ADDRESS(2,COLUMN())),OFFSET($BN$2,0,0,ROW()-1,60),ROW()-1,FALSE))</f>
        <v/>
      </c>
      <c r="AW294" t="str">
        <f ca="1">IF(AND(ISNUMBER($AW$960),$B$677=1),$AW$960,HLOOKUP(INDIRECT(ADDRESS(2,COLUMN())),OFFSET($BN$2,0,0,ROW()-1,60),ROW()-1,FALSE))</f>
        <v/>
      </c>
      <c r="AX294" t="str">
        <f ca="1">IF(AND(ISNUMBER($AX$960),$B$677=1),$AX$960,HLOOKUP(INDIRECT(ADDRESS(2,COLUMN())),OFFSET($BN$2,0,0,ROW()-1,60),ROW()-1,FALSE))</f>
        <v/>
      </c>
      <c r="AY294" t="str">
        <f ca="1">IF(AND(ISNUMBER($AY$960),$B$677=1),$AY$960,HLOOKUP(INDIRECT(ADDRESS(2,COLUMN())),OFFSET($BN$2,0,0,ROW()-1,60),ROW()-1,FALSE))</f>
        <v/>
      </c>
      <c r="AZ294" t="str">
        <f ca="1">IF(AND(ISNUMBER($AZ$960),$B$677=1),$AZ$960,HLOOKUP(INDIRECT(ADDRESS(2,COLUMN())),OFFSET($BN$2,0,0,ROW()-1,60),ROW()-1,FALSE))</f>
        <v/>
      </c>
      <c r="BA294" t="str">
        <f ca="1">IF(AND(ISNUMBER($BA$960),$B$677=1),$BA$960,HLOOKUP(INDIRECT(ADDRESS(2,COLUMN())),OFFSET($BN$2,0,0,ROW()-1,60),ROW()-1,FALSE))</f>
        <v/>
      </c>
      <c r="BB294" t="str">
        <f ca="1">IF(AND(ISNUMBER($BB$960),$B$677=1),$BB$960,HLOOKUP(INDIRECT(ADDRESS(2,COLUMN())),OFFSET($BN$2,0,0,ROW()-1,60),ROW()-1,FALSE))</f>
        <v/>
      </c>
      <c r="BC294" t="str">
        <f ca="1">IF(AND(ISNUMBER($BC$960),$B$677=1),$BC$960,HLOOKUP(INDIRECT(ADDRESS(2,COLUMN())),OFFSET($BN$2,0,0,ROW()-1,60),ROW()-1,FALSE))</f>
        <v/>
      </c>
      <c r="BD294" t="str">
        <f ca="1">IF(AND(ISNUMBER($BD$960),$B$677=1),$BD$960,HLOOKUP(INDIRECT(ADDRESS(2,COLUMN())),OFFSET($BN$2,0,0,ROW()-1,60),ROW()-1,FALSE))</f>
        <v/>
      </c>
      <c r="BE294" t="str">
        <f ca="1">IF(AND(ISNUMBER($BE$960),$B$677=1),$BE$960,HLOOKUP(INDIRECT(ADDRESS(2,COLUMN())),OFFSET($BN$2,0,0,ROW()-1,60),ROW()-1,FALSE))</f>
        <v/>
      </c>
      <c r="BF294" t="str">
        <f ca="1">IF(AND(ISNUMBER($BF$960),$B$677=1),$BF$960,HLOOKUP(INDIRECT(ADDRESS(2,COLUMN())),OFFSET($BN$2,0,0,ROW()-1,60),ROW()-1,FALSE))</f>
        <v/>
      </c>
      <c r="BG294" t="str">
        <f ca="1">IF(AND(ISNUMBER($BG$960),$B$677=1),$BG$960,HLOOKUP(INDIRECT(ADDRESS(2,COLUMN())),OFFSET($BN$2,0,0,ROW()-1,60),ROW()-1,FALSE))</f>
        <v/>
      </c>
      <c r="BH294" t="str">
        <f ca="1">IF(AND(ISNUMBER($BH$960),$B$677=1),$BH$960,HLOOKUP(INDIRECT(ADDRESS(2,COLUMN())),OFFSET($BN$2,0,0,ROW()-1,60),ROW()-1,FALSE))</f>
        <v/>
      </c>
      <c r="BI294" t="str">
        <f ca="1">IF(AND(ISNUMBER($BI$960),$B$677=1),$BI$960,HLOOKUP(INDIRECT(ADDRESS(2,COLUMN())),OFFSET($BN$2,0,0,ROW()-1,60),ROW()-1,FALSE))</f>
        <v/>
      </c>
      <c r="BJ294" t="str">
        <f ca="1">IF(AND(ISNUMBER($BJ$960),$B$677=1),$BJ$960,HLOOKUP(INDIRECT(ADDRESS(2,COLUMN())),OFFSET($BN$2,0,0,ROW()-1,60),ROW()-1,FALSE))</f>
        <v/>
      </c>
      <c r="BK294" t="str">
        <f ca="1">IF(AND(ISNUMBER($BK$960),$B$677=1),$BK$960,HLOOKUP(INDIRECT(ADDRESS(2,COLUMN())),OFFSET($BN$2,0,0,ROW()-1,60),ROW()-1,FALSE))</f>
        <v/>
      </c>
      <c r="BL294" t="str">
        <f ca="1">IF(AND(ISNUMBER($BL$960),$B$677=1),$BL$960,HLOOKUP(INDIRECT(ADDRESS(2,COLUMN())),OFFSET($BN$2,0,0,ROW()-1,60),ROW()-1,FALSE))</f>
        <v/>
      </c>
      <c r="BM294" t="str">
        <f ca="1">IF(AND(ISNUMBER($BM$960),$B$677=1),$BM$960,HLOOKUP(INDIRECT(ADDRESS(2,COLUMN())),OFFSET($BN$2,0,0,ROW()-1,60),ROW()-1,FALSE))</f>
        <v/>
      </c>
      <c r="BN294" t="str">
        <f>""</f>
        <v/>
      </c>
      <c r="BO294" t="str">
        <f>""</f>
        <v/>
      </c>
      <c r="BP294" t="str">
        <f>""</f>
        <v/>
      </c>
      <c r="BQ294" t="str">
        <f>""</f>
        <v/>
      </c>
      <c r="BR294" t="str">
        <f>""</f>
        <v/>
      </c>
      <c r="BS294" t="str">
        <f>""</f>
        <v/>
      </c>
      <c r="BT294" t="str">
        <f>""</f>
        <v/>
      </c>
      <c r="BU294" t="str">
        <f>""</f>
        <v/>
      </c>
      <c r="BV294" t="str">
        <f>""</f>
        <v/>
      </c>
      <c r="BW294" t="str">
        <f>""</f>
        <v/>
      </c>
      <c r="BX294" t="str">
        <f>""</f>
        <v/>
      </c>
      <c r="BY294" t="str">
        <f>""</f>
        <v/>
      </c>
      <c r="BZ294" t="str">
        <f>""</f>
        <v/>
      </c>
      <c r="CA294" t="str">
        <f>""</f>
        <v/>
      </c>
      <c r="CB294" t="str">
        <f>""</f>
        <v/>
      </c>
      <c r="CC294" t="str">
        <f>""</f>
        <v/>
      </c>
      <c r="CD294" t="str">
        <f>""</f>
        <v/>
      </c>
      <c r="CE294" t="str">
        <f>""</f>
        <v/>
      </c>
      <c r="CF294" t="str">
        <f>""</f>
        <v/>
      </c>
      <c r="CG294" t="str">
        <f>""</f>
        <v/>
      </c>
      <c r="CH294" t="str">
        <f>""</f>
        <v/>
      </c>
      <c r="CI294" t="str">
        <f>""</f>
        <v/>
      </c>
      <c r="CJ294" t="str">
        <f>""</f>
        <v/>
      </c>
      <c r="CK294" t="str">
        <f>""</f>
        <v/>
      </c>
      <c r="CL294" t="str">
        <f>""</f>
        <v/>
      </c>
      <c r="CM294" t="str">
        <f>""</f>
        <v/>
      </c>
      <c r="CN294" t="str">
        <f>""</f>
        <v/>
      </c>
      <c r="CO294" t="str">
        <f>""</f>
        <v/>
      </c>
      <c r="CP294" t="str">
        <f>""</f>
        <v/>
      </c>
      <c r="CQ294" t="str">
        <f>""</f>
        <v/>
      </c>
      <c r="CR294" t="str">
        <f>""</f>
        <v/>
      </c>
      <c r="CS294" t="str">
        <f>""</f>
        <v/>
      </c>
      <c r="CT294" t="str">
        <f>""</f>
        <v/>
      </c>
      <c r="CU294" t="str">
        <f>""</f>
        <v/>
      </c>
      <c r="CV294" t="str">
        <f>""</f>
        <v/>
      </c>
      <c r="CW294" t="str">
        <f>""</f>
        <v/>
      </c>
      <c r="CX294" t="str">
        <f>""</f>
        <v/>
      </c>
      <c r="CY294" t="str">
        <f>""</f>
        <v/>
      </c>
      <c r="CZ294" t="str">
        <f>""</f>
        <v/>
      </c>
      <c r="DA294" t="str">
        <f>""</f>
        <v/>
      </c>
      <c r="DB294" t="str">
        <f>""</f>
        <v/>
      </c>
      <c r="DC294" t="str">
        <f>""</f>
        <v/>
      </c>
      <c r="DD294" t="str">
        <f>""</f>
        <v/>
      </c>
      <c r="DE294" t="str">
        <f>""</f>
        <v/>
      </c>
      <c r="DF294" t="str">
        <f>""</f>
        <v/>
      </c>
      <c r="DG294" t="str">
        <f>""</f>
        <v/>
      </c>
      <c r="DH294" t="str">
        <f>""</f>
        <v/>
      </c>
      <c r="DI294" t="str">
        <f>""</f>
        <v/>
      </c>
      <c r="DJ294" t="str">
        <f>""</f>
        <v/>
      </c>
      <c r="DK294" t="str">
        <f>""</f>
        <v/>
      </c>
      <c r="DL294" t="str">
        <f>""</f>
        <v/>
      </c>
      <c r="DM294" t="str">
        <f>""</f>
        <v/>
      </c>
      <c r="DN294" t="str">
        <f>""</f>
        <v/>
      </c>
      <c r="DO294" t="str">
        <f>""</f>
        <v/>
      </c>
      <c r="DP294" t="str">
        <f>""</f>
        <v/>
      </c>
      <c r="DQ294" t="str">
        <f>""</f>
        <v/>
      </c>
      <c r="DR294" t="str">
        <f>""</f>
        <v/>
      </c>
      <c r="DS294" t="str">
        <f>""</f>
        <v/>
      </c>
      <c r="DT294" t="str">
        <f>""</f>
        <v/>
      </c>
      <c r="DU294" t="str">
        <f>""</f>
        <v/>
      </c>
    </row>
    <row r="295" spans="1:125" x14ac:dyDescent="0.25">
      <c r="A295" t="str">
        <f>"    Bayerische Motoren Werke AG"</f>
        <v xml:space="preserve">    Bayerische Motoren Werke AG</v>
      </c>
      <c r="B295" t="str">
        <f>"BMW GR Equity"</f>
        <v>BMW GR Equity</v>
      </c>
      <c r="C295" t="str">
        <f t="shared" si="21"/>
        <v>RR474</v>
      </c>
      <c r="D295" t="str">
        <f t="shared" si="22"/>
        <v>EV_TO_T12M_EBITDA</v>
      </c>
      <c r="E295" t="str">
        <f t="shared" si="23"/>
        <v>Dynamic</v>
      </c>
      <c r="F295" t="str">
        <f ca="1">IF(AND(ISNUMBER($F$961),$B$677=1),$F$961,HLOOKUP(INDIRECT(ADDRESS(2,COLUMN())),OFFSET($BN$2,0,0,ROW()-1,60),ROW()-1,FALSE))</f>
        <v/>
      </c>
      <c r="G295" t="str">
        <f ca="1">IF(AND(ISNUMBER($G$961),$B$677=1),$G$961,HLOOKUP(INDIRECT(ADDRESS(2,COLUMN())),OFFSET($BN$2,0,0,ROW()-1,60),ROW()-1,FALSE))</f>
        <v/>
      </c>
      <c r="H295">
        <f ca="1">IF(AND(ISNUMBER($H$961),$B$677=1),$H$961,HLOOKUP(INDIRECT(ADDRESS(2,COLUMN())),OFFSET($BN$2,0,0,ROW()-1,60),ROW()-1,FALSE))</f>
        <v>5.1433322400000003</v>
      </c>
      <c r="I295">
        <f ca="1">IF(AND(ISNUMBER($I$961),$B$677=1),$I$961,HLOOKUP(INDIRECT(ADDRESS(2,COLUMN())),OFFSET($BN$2,0,0,ROW()-1,60),ROW()-1,FALSE))</f>
        <v>4.9925144689999996</v>
      </c>
      <c r="J295">
        <f ca="1">IF(AND(ISNUMBER($J$961),$B$677=1),$J$961,HLOOKUP(INDIRECT(ADDRESS(2,COLUMN())),OFFSET($BN$2,0,0,ROW()-1,60),ROW()-1,FALSE))</f>
        <v>5.2045326430000003</v>
      </c>
      <c r="K295">
        <f ca="1">IF(AND(ISNUMBER($K$961),$B$677=1),$K$961,HLOOKUP(INDIRECT(ADDRESS(2,COLUMN())),OFFSET($BN$2,0,0,ROW()-1,60),ROW()-1,FALSE))</f>
        <v>5.1393140089999996</v>
      </c>
      <c r="L295">
        <f ca="1">IF(AND(ISNUMBER($L$961),$B$677=1),$L$961,HLOOKUP(INDIRECT(ADDRESS(2,COLUMN())),OFFSET($BN$2,0,0,ROW()-1,60),ROW()-1,FALSE))</f>
        <v>5.4463889889999999</v>
      </c>
      <c r="M295">
        <f ca="1">IF(AND(ISNUMBER($M$961),$B$677=1),$M$961,HLOOKUP(INDIRECT(ADDRESS(2,COLUMN())),OFFSET($BN$2,0,0,ROW()-1,60),ROW()-1,FALSE))</f>
        <v>5.3578947049999996</v>
      </c>
      <c r="N295">
        <f ca="1">IF(AND(ISNUMBER($N$961),$B$677=1),$N$961,HLOOKUP(INDIRECT(ADDRESS(2,COLUMN())),OFFSET($BN$2,0,0,ROW()-1,60),ROW()-1,FALSE))</f>
        <v>5.5645249080000001</v>
      </c>
      <c r="O295">
        <f ca="1">IF(AND(ISNUMBER($O$961),$B$677=1),$O$961,HLOOKUP(INDIRECT(ADDRESS(2,COLUMN())),OFFSET($BN$2,0,0,ROW()-1,60),ROW()-1,FALSE))</f>
        <v>5.5152162130000004</v>
      </c>
      <c r="P295">
        <f ca="1">IF(AND(ISNUMBER($P$961),$B$677=1),$P$961,HLOOKUP(INDIRECT(ADDRESS(2,COLUMN())),OFFSET($BN$2,0,0,ROW()-1,60),ROW()-1,FALSE))</f>
        <v>5.1702429219999999</v>
      </c>
      <c r="Q295">
        <f ca="1">IF(AND(ISNUMBER($Q$961),$B$677=1),$Q$961,HLOOKUP(INDIRECT(ADDRESS(2,COLUMN())),OFFSET($BN$2,0,0,ROW()-1,60),ROW()-1,FALSE))</f>
        <v>4.6692161319999999</v>
      </c>
      <c r="R295">
        <f ca="1">IF(AND(ISNUMBER($R$961),$B$677=1),$R$961,HLOOKUP(INDIRECT(ADDRESS(2,COLUMN())),OFFSET($BN$2,0,0,ROW()-1,60),ROW()-1,FALSE))</f>
        <v>5.2225668240000003</v>
      </c>
      <c r="S295">
        <f ca="1">IF(AND(ISNUMBER($S$961),$B$677=1),$S$961,HLOOKUP(INDIRECT(ADDRESS(2,COLUMN())),OFFSET($BN$2,0,0,ROW()-1,60),ROW()-1,FALSE))</f>
        <v>5.7506506259999997</v>
      </c>
      <c r="T295">
        <f ca="1">IF(AND(ISNUMBER($T$961),$B$677=1),$T$961,HLOOKUP(INDIRECT(ADDRESS(2,COLUMN())),OFFSET($BN$2,0,0,ROW()-1,60),ROW()-1,FALSE))</f>
        <v>5.220230409</v>
      </c>
      <c r="U295">
        <f ca="1">IF(AND(ISNUMBER($U$961),$B$677=1),$U$961,HLOOKUP(INDIRECT(ADDRESS(2,COLUMN())),OFFSET($BN$2,0,0,ROW()-1,60),ROW()-1,FALSE))</f>
        <v>6.1494852169999996</v>
      </c>
      <c r="V295">
        <f ca="1">IF(AND(ISNUMBER($V$961),$B$677=1),$V$961,HLOOKUP(INDIRECT(ADDRESS(2,COLUMN())),OFFSET($BN$2,0,0,ROW()-1,60),ROW()-1,FALSE))</f>
        <v>6.7810376909999999</v>
      </c>
      <c r="W295">
        <f ca="1">IF(AND(ISNUMBER($W$961),$B$677=1),$W$961,HLOOKUP(INDIRECT(ADDRESS(2,COLUMN())),OFFSET($BN$2,0,0,ROW()-1,60),ROW()-1,FALSE))</f>
        <v>5.6769364250000001</v>
      </c>
      <c r="X295">
        <f ca="1">IF(AND(ISNUMBER($X$961),$B$677=1),$X$961,HLOOKUP(INDIRECT(ADDRESS(2,COLUMN())),OFFSET($BN$2,0,0,ROW()-1,60),ROW()-1,FALSE))</f>
        <v>5.4967387130000001</v>
      </c>
      <c r="Y295">
        <f ca="1">IF(AND(ISNUMBER($Y$961),$B$677=1),$Y$961,HLOOKUP(INDIRECT(ADDRESS(2,COLUMN())),OFFSET($BN$2,0,0,ROW()-1,60),ROW()-1,FALSE))</f>
        <v>6.2011042410000003</v>
      </c>
      <c r="Z295">
        <f ca="1">IF(AND(ISNUMBER($Z$961),$B$677=1),$Z$961,HLOOKUP(INDIRECT(ADDRESS(2,COLUMN())),OFFSET($BN$2,0,0,ROW()-1,60),ROW()-1,FALSE))</f>
        <v>6.1727155409999996</v>
      </c>
      <c r="AA295">
        <f ca="1">IF(AND(ISNUMBER($AA$961),$B$677=1),$AA$961,HLOOKUP(INDIRECT(ADDRESS(2,COLUMN())),OFFSET($BN$2,0,0,ROW()-1,60),ROW()-1,FALSE))</f>
        <v>5.6329433880000002</v>
      </c>
      <c r="AB295">
        <f ca="1">IF(AND(ISNUMBER($AB$961),$B$677=1),$AB$961,HLOOKUP(INDIRECT(ADDRESS(2,COLUMN())),OFFSET($BN$2,0,0,ROW()-1,60),ROW()-1,FALSE))</f>
        <v>5.2297102219999996</v>
      </c>
      <c r="AC295">
        <f ca="1">IF(AND(ISNUMBER($AC$961),$B$677=1),$AC$961,HLOOKUP(INDIRECT(ADDRESS(2,COLUMN())),OFFSET($BN$2,0,0,ROW()-1,60),ROW()-1,FALSE))</f>
        <v>4.4534834080000003</v>
      </c>
      <c r="AD295">
        <f ca="1">IF(AND(ISNUMBER($AD$961),$B$677=1),$AD$961,HLOOKUP(INDIRECT(ADDRESS(2,COLUMN())),OFFSET($BN$2,0,0,ROW()-1,60),ROW()-1,FALSE))</f>
        <v>4.2781162530000003</v>
      </c>
      <c r="AE295">
        <f ca="1">IF(AND(ISNUMBER($AE$961),$B$677=1),$AE$961,HLOOKUP(INDIRECT(ADDRESS(2,COLUMN())),OFFSET($BN$2,0,0,ROW()-1,60),ROW()-1,FALSE))</f>
        <v>4.625673581</v>
      </c>
      <c r="AF295">
        <f ca="1">IF(AND(ISNUMBER($AF$961),$B$677=1),$AF$961,HLOOKUP(INDIRECT(ADDRESS(2,COLUMN())),OFFSET($BN$2,0,0,ROW()-1,60),ROW()-1,FALSE))</f>
        <v>3.9273275390000002</v>
      </c>
      <c r="AG295">
        <f ca="1">IF(AND(ISNUMBER($AG$961),$B$677=1),$AG$961,HLOOKUP(INDIRECT(ADDRESS(2,COLUMN())),OFFSET($BN$2,0,0,ROW()-1,60),ROW()-1,FALSE))</f>
        <v>4.0842045479999998</v>
      </c>
      <c r="AH295">
        <f ca="1">IF(AND(ISNUMBER($AH$961),$B$677=1),$AH$961,HLOOKUP(INDIRECT(ADDRESS(2,COLUMN())),OFFSET($BN$2,0,0,ROW()-1,60),ROW()-1,FALSE))</f>
        <v>4.5265821549999998</v>
      </c>
      <c r="AI295">
        <f ca="1">IF(AND(ISNUMBER($AI$961),$B$677=1),$AI$961,HLOOKUP(INDIRECT(ADDRESS(2,COLUMN())),OFFSET($BN$2,0,0,ROW()-1,60),ROW()-1,FALSE))</f>
        <v>4.1071694870000002</v>
      </c>
      <c r="AJ295">
        <f ca="1">IF(AND(ISNUMBER($AJ$961),$B$677=1),$AJ$961,HLOOKUP(INDIRECT(ADDRESS(2,COLUMN())),OFFSET($BN$2,0,0,ROW()-1,60),ROW()-1,FALSE))</f>
        <v>4.3429995799999999</v>
      </c>
      <c r="AK295">
        <f ca="1">IF(AND(ISNUMBER($AK$961),$B$677=1),$AK$961,HLOOKUP(INDIRECT(ADDRESS(2,COLUMN())),OFFSET($BN$2,0,0,ROW()-1,60),ROW()-1,FALSE))</f>
        <v>4.8429671900000004</v>
      </c>
      <c r="AL295">
        <f ca="1">IF(AND(ISNUMBER($AL$961),$B$677=1),$AL$961,HLOOKUP(INDIRECT(ADDRESS(2,COLUMN())),OFFSET($BN$2,0,0,ROW()-1,60),ROW()-1,FALSE))</f>
        <v>4.5979795809999997</v>
      </c>
      <c r="AM295">
        <f ca="1">IF(AND(ISNUMBER($AM$961),$B$677=1),$AM$961,HLOOKUP(INDIRECT(ADDRESS(2,COLUMN())),OFFSET($BN$2,0,0,ROW()-1,60),ROW()-1,FALSE))</f>
        <v>5.1185823590000004</v>
      </c>
      <c r="AN295">
        <f ca="1">IF(AND(ISNUMBER($AN$961),$B$677=1),$AN$961,HLOOKUP(INDIRECT(ADDRESS(2,COLUMN())),OFFSET($BN$2,0,0,ROW()-1,60),ROW()-1,FALSE))</f>
        <v>4.5801762779999997</v>
      </c>
      <c r="AO295">
        <f ca="1">IF(AND(ISNUMBER($AO$961),$B$677=1),$AO$961,HLOOKUP(INDIRECT(ADDRESS(2,COLUMN())),OFFSET($BN$2,0,0,ROW()-1,60),ROW()-1,FALSE))</f>
        <v>4.9129509709999999</v>
      </c>
      <c r="AP295">
        <f ca="1">IF(AND(ISNUMBER($AP$961),$B$677=1),$AP$961,HLOOKUP(INDIRECT(ADDRESS(2,COLUMN())),OFFSET($BN$2,0,0,ROW()-1,60),ROW()-1,FALSE))</f>
        <v>5.1273683910000001</v>
      </c>
      <c r="AQ295">
        <f ca="1">IF(AND(ISNUMBER($AQ$961),$B$677=1),$AQ$961,HLOOKUP(INDIRECT(ADDRESS(2,COLUMN())),OFFSET($BN$2,0,0,ROW()-1,60),ROW()-1,FALSE))</f>
        <v>5.3131186829999999</v>
      </c>
      <c r="AR295">
        <f ca="1">IF(AND(ISNUMBER($AR$961),$B$677=1),$AR$961,HLOOKUP(INDIRECT(ADDRESS(2,COLUMN())),OFFSET($BN$2,0,0,ROW()-1,60),ROW()-1,FALSE))</f>
        <v>5.2476576909999997</v>
      </c>
      <c r="AS295">
        <f ca="1">IF(AND(ISNUMBER($AS$961),$B$677=1),$AS$961,HLOOKUP(INDIRECT(ADDRESS(2,COLUMN())),OFFSET($BN$2,0,0,ROW()-1,60),ROW()-1,FALSE))</f>
        <v>3.3752178960000001</v>
      </c>
      <c r="AT295">
        <f ca="1">IF(AND(ISNUMBER($AT$961),$B$677=1),$AT$961,HLOOKUP(INDIRECT(ADDRESS(2,COLUMN())),OFFSET($BN$2,0,0,ROW()-1,60),ROW()-1,FALSE))</f>
        <v>3.0727066789999999</v>
      </c>
      <c r="AU295">
        <f ca="1">IF(AND(ISNUMBER($AU$961),$B$677=1),$AU$961,HLOOKUP(INDIRECT(ADDRESS(2,COLUMN())),OFFSET($BN$2,0,0,ROW()-1,60),ROW()-1,FALSE))</f>
        <v>4.2737976480000004</v>
      </c>
      <c r="AV295">
        <f ca="1">IF(AND(ISNUMBER($AV$961),$B$677=1),$AV$961,HLOOKUP(INDIRECT(ADDRESS(2,COLUMN())),OFFSET($BN$2,0,0,ROW()-1,60),ROW()-1,FALSE))</f>
        <v>4.285779174</v>
      </c>
      <c r="AW295">
        <f ca="1">IF(AND(ISNUMBER($AW$961),$B$677=1),$AW$961,HLOOKUP(INDIRECT(ADDRESS(2,COLUMN())),OFFSET($BN$2,0,0,ROW()-1,60),ROW()-1,FALSE))</f>
        <v>4.7795523580000001</v>
      </c>
      <c r="AX295">
        <f ca="1">IF(AND(ISNUMBER($AX$961),$B$677=1),$AX$961,HLOOKUP(INDIRECT(ADDRESS(2,COLUMN())),OFFSET($BN$2,0,0,ROW()-1,60),ROW()-1,FALSE))</f>
        <v>4.8281843809999998</v>
      </c>
      <c r="AY295">
        <f ca="1">IF(AND(ISNUMBER($AY$961),$B$677=1),$AY$961,HLOOKUP(INDIRECT(ADDRESS(2,COLUMN())),OFFSET($BN$2,0,0,ROW()-1,60),ROW()-1,FALSE))</f>
        <v>5.3129027029999998</v>
      </c>
      <c r="AZ295">
        <f ca="1">IF(AND(ISNUMBER($AZ$961),$B$677=1),$AZ$961,HLOOKUP(INDIRECT(ADDRESS(2,COLUMN())),OFFSET($BN$2,0,0,ROW()-1,60),ROW()-1,FALSE))</f>
        <v>5.5783851719999999</v>
      </c>
      <c r="BA295">
        <f ca="1">IF(AND(ISNUMBER($BA$961),$B$677=1),$BA$961,HLOOKUP(INDIRECT(ADDRESS(2,COLUMN())),OFFSET($BN$2,0,0,ROW()-1,60),ROW()-1,FALSE))</f>
        <v>5.8401514570000002</v>
      </c>
      <c r="BB295">
        <f ca="1">IF(AND(ISNUMBER($BB$961),$B$677=1),$BB$961,HLOOKUP(INDIRECT(ADDRESS(2,COLUMN())),OFFSET($BN$2,0,0,ROW()-1,60),ROW()-1,FALSE))</f>
        <v>5.4636852820000001</v>
      </c>
      <c r="BC295">
        <f ca="1">IF(AND(ISNUMBER($BC$961),$B$677=1),$BC$961,HLOOKUP(INDIRECT(ADDRESS(2,COLUMN())),OFFSET($BN$2,0,0,ROW()-1,60),ROW()-1,FALSE))</f>
        <v>5.5517718909999996</v>
      </c>
      <c r="BD295">
        <f ca="1">IF(AND(ISNUMBER($BD$961),$B$677=1),$BD$961,HLOOKUP(INDIRECT(ADDRESS(2,COLUMN())),OFFSET($BN$2,0,0,ROW()-1,60),ROW()-1,FALSE))</f>
        <v>5.2743274920000003</v>
      </c>
      <c r="BE295">
        <f ca="1">IF(AND(ISNUMBER($BE$961),$B$677=1),$BE$961,HLOOKUP(INDIRECT(ADDRESS(2,COLUMN())),OFFSET($BN$2,0,0,ROW()-1,60),ROW()-1,FALSE))</f>
        <v>5.0123948550000001</v>
      </c>
      <c r="BF295">
        <f ca="1">IF(AND(ISNUMBER($BF$961),$B$677=1),$BF$961,HLOOKUP(INDIRECT(ADDRESS(2,COLUMN())),OFFSET($BN$2,0,0,ROW()-1,60),ROW()-1,FALSE))</f>
        <v>5.5629523809999997</v>
      </c>
      <c r="BG295">
        <f ca="1">IF(AND(ISNUMBER($BG$961),$B$677=1),$BG$961,HLOOKUP(INDIRECT(ADDRESS(2,COLUMN())),OFFSET($BN$2,0,0,ROW()-1,60),ROW()-1,FALSE))</f>
        <v>5.3443734100000002</v>
      </c>
      <c r="BH295">
        <f ca="1">IF(AND(ISNUMBER($BH$961),$B$677=1),$BH$961,HLOOKUP(INDIRECT(ADDRESS(2,COLUMN())),OFFSET($BN$2,0,0,ROW()-1,60),ROW()-1,FALSE))</f>
        <v>5.4190935439999999</v>
      </c>
      <c r="BI295">
        <f ca="1">IF(AND(ISNUMBER($BI$961),$B$677=1),$BI$961,HLOOKUP(INDIRECT(ADDRESS(2,COLUMN())),OFFSET($BN$2,0,0,ROW()-1,60),ROW()-1,FALSE))</f>
        <v>5.4362924860000001</v>
      </c>
      <c r="BJ295">
        <f ca="1">IF(AND(ISNUMBER($BJ$961),$B$677=1),$BJ$961,HLOOKUP(INDIRECT(ADDRESS(2,COLUMN())),OFFSET($BN$2,0,0,ROW()-1,60),ROW()-1,FALSE))</f>
        <v>5.3007505940000001</v>
      </c>
      <c r="BK295">
        <f ca="1">IF(AND(ISNUMBER($BK$961),$B$677=1),$BK$961,HLOOKUP(INDIRECT(ADDRESS(2,COLUMN())),OFFSET($BN$2,0,0,ROW()-1,60),ROW()-1,FALSE))</f>
        <v>4.9799064409999998</v>
      </c>
      <c r="BL295">
        <f ca="1">IF(AND(ISNUMBER($BL$961),$B$677=1),$BL$961,HLOOKUP(INDIRECT(ADDRESS(2,COLUMN())),OFFSET($BN$2,0,0,ROW()-1,60),ROW()-1,FALSE))</f>
        <v>5.222405084</v>
      </c>
      <c r="BM295">
        <f ca="1">IF(AND(ISNUMBER($BM$961),$B$677=1),$BM$961,HLOOKUP(INDIRECT(ADDRESS(2,COLUMN())),OFFSET($BN$2,0,0,ROW()-1,60),ROW()-1,FALSE))</f>
        <v>5.594652999</v>
      </c>
      <c r="BN295" t="str">
        <f>""</f>
        <v/>
      </c>
      <c r="BO295" t="str">
        <f>""</f>
        <v/>
      </c>
      <c r="BP295">
        <f>5.14333224</f>
        <v>5.1433322400000003</v>
      </c>
      <c r="BQ295">
        <f>4.992514469</f>
        <v>4.9925144689999996</v>
      </c>
      <c r="BR295">
        <f>5.204532643</f>
        <v>5.2045326430000003</v>
      </c>
      <c r="BS295">
        <f>5.139314009</f>
        <v>5.1393140089999996</v>
      </c>
      <c r="BT295">
        <f>5.446388989</f>
        <v>5.4463889889999999</v>
      </c>
      <c r="BU295">
        <f>5.357894705</f>
        <v>5.3578947049999996</v>
      </c>
      <c r="BV295">
        <f>5.564524908</f>
        <v>5.5645249080000001</v>
      </c>
      <c r="BW295">
        <f>5.515216213</f>
        <v>5.5152162130000004</v>
      </c>
      <c r="BX295">
        <f>5.170242922</f>
        <v>5.1702429219999999</v>
      </c>
      <c r="BY295">
        <f>4.669216132</f>
        <v>4.6692161319999999</v>
      </c>
      <c r="BZ295">
        <f>5.222566824</f>
        <v>5.2225668240000003</v>
      </c>
      <c r="CA295">
        <f>5.750650626</f>
        <v>5.7506506259999997</v>
      </c>
      <c r="CB295">
        <f>5.220230409</f>
        <v>5.220230409</v>
      </c>
      <c r="CC295">
        <f>6.149485217</f>
        <v>6.1494852169999996</v>
      </c>
      <c r="CD295">
        <f>6.781037691</f>
        <v>6.7810376909999999</v>
      </c>
      <c r="CE295">
        <f>5.676936425</f>
        <v>5.6769364250000001</v>
      </c>
      <c r="CF295">
        <f>5.496738713</f>
        <v>5.4967387130000001</v>
      </c>
      <c r="CG295">
        <f>6.201104241</f>
        <v>6.2011042410000003</v>
      </c>
      <c r="CH295">
        <f>6.172715541</f>
        <v>6.1727155409999996</v>
      </c>
      <c r="CI295">
        <f>5.632943388</f>
        <v>5.6329433880000002</v>
      </c>
      <c r="CJ295">
        <f>5.229710222</f>
        <v>5.2297102219999996</v>
      </c>
      <c r="CK295">
        <f>4.453483408</f>
        <v>4.4534834080000003</v>
      </c>
      <c r="CL295">
        <f>4.278116253</f>
        <v>4.2781162530000003</v>
      </c>
      <c r="CM295">
        <f>4.625673581</f>
        <v>4.625673581</v>
      </c>
      <c r="CN295">
        <f>3.927327539</f>
        <v>3.9273275390000002</v>
      </c>
      <c r="CO295">
        <f>4.084204548</f>
        <v>4.0842045479999998</v>
      </c>
      <c r="CP295">
        <f>4.526582155</f>
        <v>4.5265821549999998</v>
      </c>
      <c r="CQ295">
        <f>4.107169487</f>
        <v>4.1071694870000002</v>
      </c>
      <c r="CR295">
        <f>4.34299958</f>
        <v>4.3429995799999999</v>
      </c>
      <c r="CS295">
        <f>4.84296719</f>
        <v>4.8429671900000004</v>
      </c>
      <c r="CT295">
        <f>4.597979581</f>
        <v>4.5979795809999997</v>
      </c>
      <c r="CU295">
        <f>5.118582359</f>
        <v>5.1185823590000004</v>
      </c>
      <c r="CV295">
        <f>4.580176278</f>
        <v>4.5801762779999997</v>
      </c>
      <c r="CW295">
        <f>4.912950971</f>
        <v>4.9129509709999999</v>
      </c>
      <c r="CX295">
        <f>5.127368391</f>
        <v>5.1273683910000001</v>
      </c>
      <c r="CY295">
        <f>5.313118683</f>
        <v>5.3131186829999999</v>
      </c>
      <c r="CZ295">
        <f>5.247657691</f>
        <v>5.2476576909999997</v>
      </c>
      <c r="DA295">
        <f>3.375217896</f>
        <v>3.3752178960000001</v>
      </c>
      <c r="DB295">
        <f>3.072706679</f>
        <v>3.0727066789999999</v>
      </c>
      <c r="DC295">
        <f>4.273797648</f>
        <v>4.2737976480000004</v>
      </c>
      <c r="DD295">
        <f>4.285779174</f>
        <v>4.285779174</v>
      </c>
      <c r="DE295">
        <f>4.779552358</f>
        <v>4.7795523580000001</v>
      </c>
      <c r="DF295">
        <f>4.828184381</f>
        <v>4.8281843809999998</v>
      </c>
      <c r="DG295">
        <f>5.312902703</f>
        <v>5.3129027029999998</v>
      </c>
      <c r="DH295">
        <f>5.578385172</f>
        <v>5.5783851719999999</v>
      </c>
      <c r="DI295">
        <f>5.840151457</f>
        <v>5.8401514570000002</v>
      </c>
      <c r="DJ295">
        <f>5.463685282</f>
        <v>5.4636852820000001</v>
      </c>
      <c r="DK295">
        <f>5.551771891</f>
        <v>5.5517718909999996</v>
      </c>
      <c r="DL295">
        <f>5.274327492</f>
        <v>5.2743274920000003</v>
      </c>
      <c r="DM295">
        <f>5.012394855</f>
        <v>5.0123948550000001</v>
      </c>
      <c r="DN295">
        <f>5.562952381</f>
        <v>5.5629523809999997</v>
      </c>
      <c r="DO295">
        <f>5.34437341</f>
        <v>5.3443734100000002</v>
      </c>
      <c r="DP295">
        <f>5.419093544</f>
        <v>5.4190935439999999</v>
      </c>
      <c r="DQ295">
        <f>5.436292486</f>
        <v>5.4362924860000001</v>
      </c>
      <c r="DR295">
        <f>5.300750594</f>
        <v>5.3007505940000001</v>
      </c>
      <c r="DS295">
        <f>4.979906441</f>
        <v>4.9799064409999998</v>
      </c>
      <c r="DT295">
        <f>5.222405084</f>
        <v>5.222405084</v>
      </c>
      <c r="DU295">
        <f>5.594652999</f>
        <v>5.594652999</v>
      </c>
    </row>
    <row r="296" spans="1:125" x14ac:dyDescent="0.25">
      <c r="A296" t="str">
        <f>"    Brilliance China Automotive Holdings Ltd"</f>
        <v xml:space="preserve">    Brilliance China Automotive Holdings Ltd</v>
      </c>
      <c r="B296" t="str">
        <f>"1114 HK Equity"</f>
        <v>1114 HK Equity</v>
      </c>
      <c r="C296" t="str">
        <f t="shared" si="21"/>
        <v>RR474</v>
      </c>
      <c r="D296" t="str">
        <f t="shared" si="22"/>
        <v>EV_TO_T12M_EBITDA</v>
      </c>
      <c r="E296" t="str">
        <f t="shared" si="23"/>
        <v>Dynamic</v>
      </c>
      <c r="F296" t="str">
        <f ca="1">IF(AND(ISNUMBER($F$962),$B$677=1),$F$962,HLOOKUP(INDIRECT(ADDRESS(2,COLUMN())),OFFSET($BN$2,0,0,ROW()-1,60),ROW()-1,FALSE))</f>
        <v/>
      </c>
      <c r="G296" t="str">
        <f ca="1">IF(AND(ISNUMBER($G$962),$B$677=1),$G$962,HLOOKUP(INDIRECT(ADDRESS(2,COLUMN())),OFFSET($BN$2,0,0,ROW()-1,60),ROW()-1,FALSE))</f>
        <v/>
      </c>
      <c r="H296" t="str">
        <f ca="1">IF(AND(ISNUMBER($H$962),$B$677=1),$H$962,HLOOKUP(INDIRECT(ADDRESS(2,COLUMN())),OFFSET($BN$2,0,0,ROW()-1,60),ROW()-1,FALSE))</f>
        <v/>
      </c>
      <c r="I296" t="str">
        <f ca="1">IF(AND(ISNUMBER($I$962),$B$677=1),$I$962,HLOOKUP(INDIRECT(ADDRESS(2,COLUMN())),OFFSET($BN$2,0,0,ROW()-1,60),ROW()-1,FALSE))</f>
        <v/>
      </c>
      <c r="J296" t="str">
        <f ca="1">IF(AND(ISNUMBER($J$962),$B$677=1),$J$962,HLOOKUP(INDIRECT(ADDRESS(2,COLUMN())),OFFSET($BN$2,0,0,ROW()-1,60),ROW()-1,FALSE))</f>
        <v/>
      </c>
      <c r="K296" t="str">
        <f ca="1">IF(AND(ISNUMBER($K$962),$B$677=1),$K$962,HLOOKUP(INDIRECT(ADDRESS(2,COLUMN())),OFFSET($BN$2,0,0,ROW()-1,60),ROW()-1,FALSE))</f>
        <v/>
      </c>
      <c r="L296" t="str">
        <f ca="1">IF(AND(ISNUMBER($L$962),$B$677=1),$L$962,HLOOKUP(INDIRECT(ADDRESS(2,COLUMN())),OFFSET($BN$2,0,0,ROW()-1,60),ROW()-1,FALSE))</f>
        <v/>
      </c>
      <c r="M296" t="str">
        <f ca="1">IF(AND(ISNUMBER($M$962),$B$677=1),$M$962,HLOOKUP(INDIRECT(ADDRESS(2,COLUMN())),OFFSET($BN$2,0,0,ROW()-1,60),ROW()-1,FALSE))</f>
        <v/>
      </c>
      <c r="N296" t="str">
        <f ca="1">IF(AND(ISNUMBER($N$962),$B$677=1),$N$962,HLOOKUP(INDIRECT(ADDRESS(2,COLUMN())),OFFSET($BN$2,0,0,ROW()-1,60),ROW()-1,FALSE))</f>
        <v/>
      </c>
      <c r="O296" t="str">
        <f ca="1">IF(AND(ISNUMBER($O$962),$B$677=1),$O$962,HLOOKUP(INDIRECT(ADDRESS(2,COLUMN())),OFFSET($BN$2,0,0,ROW()-1,60),ROW()-1,FALSE))</f>
        <v/>
      </c>
      <c r="P296" t="str">
        <f ca="1">IF(AND(ISNUMBER($P$962),$B$677=1),$P$962,HLOOKUP(INDIRECT(ADDRESS(2,COLUMN())),OFFSET($BN$2,0,0,ROW()-1,60),ROW()-1,FALSE))</f>
        <v/>
      </c>
      <c r="Q296" t="str">
        <f ca="1">IF(AND(ISNUMBER($Q$962),$B$677=1),$Q$962,HLOOKUP(INDIRECT(ADDRESS(2,COLUMN())),OFFSET($BN$2,0,0,ROW()-1,60),ROW()-1,FALSE))</f>
        <v/>
      </c>
      <c r="R296" t="str">
        <f ca="1">IF(AND(ISNUMBER($R$962),$B$677=1),$R$962,HLOOKUP(INDIRECT(ADDRESS(2,COLUMN())),OFFSET($BN$2,0,0,ROW()-1,60),ROW()-1,FALSE))</f>
        <v/>
      </c>
      <c r="S296" t="str">
        <f ca="1">IF(AND(ISNUMBER($S$962),$B$677=1),$S$962,HLOOKUP(INDIRECT(ADDRESS(2,COLUMN())),OFFSET($BN$2,0,0,ROW()-1,60),ROW()-1,FALSE))</f>
        <v/>
      </c>
      <c r="T296" t="str">
        <f ca="1">IF(AND(ISNUMBER($T$962),$B$677=1),$T$962,HLOOKUP(INDIRECT(ADDRESS(2,COLUMN())),OFFSET($BN$2,0,0,ROW()-1,60),ROW()-1,FALSE))</f>
        <v/>
      </c>
      <c r="U296" t="str">
        <f ca="1">IF(AND(ISNUMBER($U$962),$B$677=1),$U$962,HLOOKUP(INDIRECT(ADDRESS(2,COLUMN())),OFFSET($BN$2,0,0,ROW()-1,60),ROW()-1,FALSE))</f>
        <v/>
      </c>
      <c r="V296" t="str">
        <f ca="1">IF(AND(ISNUMBER($V$962),$B$677=1),$V$962,HLOOKUP(INDIRECT(ADDRESS(2,COLUMN())),OFFSET($BN$2,0,0,ROW()-1,60),ROW()-1,FALSE))</f>
        <v/>
      </c>
      <c r="W296" t="str">
        <f ca="1">IF(AND(ISNUMBER($W$962),$B$677=1),$W$962,HLOOKUP(INDIRECT(ADDRESS(2,COLUMN())),OFFSET($BN$2,0,0,ROW()-1,60),ROW()-1,FALSE))</f>
        <v/>
      </c>
      <c r="X296" t="str">
        <f ca="1">IF(AND(ISNUMBER($X$962),$B$677=1),$X$962,HLOOKUP(INDIRECT(ADDRESS(2,COLUMN())),OFFSET($BN$2,0,0,ROW()-1,60),ROW()-1,FALSE))</f>
        <v/>
      </c>
      <c r="Y296" t="str">
        <f ca="1">IF(AND(ISNUMBER($Y$962),$B$677=1),$Y$962,HLOOKUP(INDIRECT(ADDRESS(2,COLUMN())),OFFSET($BN$2,0,0,ROW()-1,60),ROW()-1,FALSE))</f>
        <v/>
      </c>
      <c r="Z296" t="str">
        <f ca="1">IF(AND(ISNUMBER($Z$962),$B$677=1),$Z$962,HLOOKUP(INDIRECT(ADDRESS(2,COLUMN())),OFFSET($BN$2,0,0,ROW()-1,60),ROW()-1,FALSE))</f>
        <v/>
      </c>
      <c r="AA296" t="str">
        <f ca="1">IF(AND(ISNUMBER($AA$962),$B$677=1),$AA$962,HLOOKUP(INDIRECT(ADDRESS(2,COLUMN())),OFFSET($BN$2,0,0,ROW()-1,60),ROW()-1,FALSE))</f>
        <v/>
      </c>
      <c r="AB296" t="str">
        <f ca="1">IF(AND(ISNUMBER($AB$962),$B$677=1),$AB$962,HLOOKUP(INDIRECT(ADDRESS(2,COLUMN())),OFFSET($BN$2,0,0,ROW()-1,60),ROW()-1,FALSE))</f>
        <v/>
      </c>
      <c r="AC296" t="str">
        <f ca="1">IF(AND(ISNUMBER($AC$962),$B$677=1),$AC$962,HLOOKUP(INDIRECT(ADDRESS(2,COLUMN())),OFFSET($BN$2,0,0,ROW()-1,60),ROW()-1,FALSE))</f>
        <v/>
      </c>
      <c r="AD296" t="str">
        <f ca="1">IF(AND(ISNUMBER($AD$962),$B$677=1),$AD$962,HLOOKUP(INDIRECT(ADDRESS(2,COLUMN())),OFFSET($BN$2,0,0,ROW()-1,60),ROW()-1,FALSE))</f>
        <v/>
      </c>
      <c r="AE296" t="str">
        <f ca="1">IF(AND(ISNUMBER($AE$962),$B$677=1),$AE$962,HLOOKUP(INDIRECT(ADDRESS(2,COLUMN())),OFFSET($BN$2,0,0,ROW()-1,60),ROW()-1,FALSE))</f>
        <v/>
      </c>
      <c r="AF296" t="str">
        <f ca="1">IF(AND(ISNUMBER($AF$962),$B$677=1),$AF$962,HLOOKUP(INDIRECT(ADDRESS(2,COLUMN())),OFFSET($BN$2,0,0,ROW()-1,60),ROW()-1,FALSE))</f>
        <v/>
      </c>
      <c r="AG296" t="str">
        <f ca="1">IF(AND(ISNUMBER($AG$962),$B$677=1),$AG$962,HLOOKUP(INDIRECT(ADDRESS(2,COLUMN())),OFFSET($BN$2,0,0,ROW()-1,60),ROW()-1,FALSE))</f>
        <v/>
      </c>
      <c r="AH296" t="str">
        <f ca="1">IF(AND(ISNUMBER($AH$962),$B$677=1),$AH$962,HLOOKUP(INDIRECT(ADDRESS(2,COLUMN())),OFFSET($BN$2,0,0,ROW()-1,60),ROW()-1,FALSE))</f>
        <v/>
      </c>
      <c r="AI296" t="str">
        <f ca="1">IF(AND(ISNUMBER($AI$962),$B$677=1),$AI$962,HLOOKUP(INDIRECT(ADDRESS(2,COLUMN())),OFFSET($BN$2,0,0,ROW()-1,60),ROW()-1,FALSE))</f>
        <v/>
      </c>
      <c r="AJ296" t="str">
        <f ca="1">IF(AND(ISNUMBER($AJ$962),$B$677=1),$AJ$962,HLOOKUP(INDIRECT(ADDRESS(2,COLUMN())),OFFSET($BN$2,0,0,ROW()-1,60),ROW()-1,FALSE))</f>
        <v/>
      </c>
      <c r="AK296" t="str">
        <f ca="1">IF(AND(ISNUMBER($AK$962),$B$677=1),$AK$962,HLOOKUP(INDIRECT(ADDRESS(2,COLUMN())),OFFSET($BN$2,0,0,ROW()-1,60),ROW()-1,FALSE))</f>
        <v/>
      </c>
      <c r="AL296" t="str">
        <f ca="1">IF(AND(ISNUMBER($AL$962),$B$677=1),$AL$962,HLOOKUP(INDIRECT(ADDRESS(2,COLUMN())),OFFSET($BN$2,0,0,ROW()-1,60),ROW()-1,FALSE))</f>
        <v/>
      </c>
      <c r="AM296" t="str">
        <f ca="1">IF(AND(ISNUMBER($AM$962),$B$677=1),$AM$962,HLOOKUP(INDIRECT(ADDRESS(2,COLUMN())),OFFSET($BN$2,0,0,ROW()-1,60),ROW()-1,FALSE))</f>
        <v/>
      </c>
      <c r="AN296" t="str">
        <f ca="1">IF(AND(ISNUMBER($AN$962),$B$677=1),$AN$962,HLOOKUP(INDIRECT(ADDRESS(2,COLUMN())),OFFSET($BN$2,0,0,ROW()-1,60),ROW()-1,FALSE))</f>
        <v/>
      </c>
      <c r="AO296" t="str">
        <f ca="1">IF(AND(ISNUMBER($AO$962),$B$677=1),$AO$962,HLOOKUP(INDIRECT(ADDRESS(2,COLUMN())),OFFSET($BN$2,0,0,ROW()-1,60),ROW()-1,FALSE))</f>
        <v/>
      </c>
      <c r="AP296" t="str">
        <f ca="1">IF(AND(ISNUMBER($AP$962),$B$677=1),$AP$962,HLOOKUP(INDIRECT(ADDRESS(2,COLUMN())),OFFSET($BN$2,0,0,ROW()-1,60),ROW()-1,FALSE))</f>
        <v/>
      </c>
      <c r="AQ296" t="str">
        <f ca="1">IF(AND(ISNUMBER($AQ$962),$B$677=1),$AQ$962,HLOOKUP(INDIRECT(ADDRESS(2,COLUMN())),OFFSET($BN$2,0,0,ROW()-1,60),ROW()-1,FALSE))</f>
        <v/>
      </c>
      <c r="AR296" t="str">
        <f ca="1">IF(AND(ISNUMBER($AR$962),$B$677=1),$AR$962,HLOOKUP(INDIRECT(ADDRESS(2,COLUMN())),OFFSET($BN$2,0,0,ROW()-1,60),ROW()-1,FALSE))</f>
        <v/>
      </c>
      <c r="AS296" t="str">
        <f ca="1">IF(AND(ISNUMBER($AS$962),$B$677=1),$AS$962,HLOOKUP(INDIRECT(ADDRESS(2,COLUMN())),OFFSET($BN$2,0,0,ROW()-1,60),ROW()-1,FALSE))</f>
        <v/>
      </c>
      <c r="AT296" t="str">
        <f ca="1">IF(AND(ISNUMBER($AT$962),$B$677=1),$AT$962,HLOOKUP(INDIRECT(ADDRESS(2,COLUMN())),OFFSET($BN$2,0,0,ROW()-1,60),ROW()-1,FALSE))</f>
        <v/>
      </c>
      <c r="AU296" t="str">
        <f ca="1">IF(AND(ISNUMBER($AU$962),$B$677=1),$AU$962,HLOOKUP(INDIRECT(ADDRESS(2,COLUMN())),OFFSET($BN$2,0,0,ROW()-1,60),ROW()-1,FALSE))</f>
        <v/>
      </c>
      <c r="AV296" t="str">
        <f ca="1">IF(AND(ISNUMBER($AV$962),$B$677=1),$AV$962,HLOOKUP(INDIRECT(ADDRESS(2,COLUMN())),OFFSET($BN$2,0,0,ROW()-1,60),ROW()-1,FALSE))</f>
        <v/>
      </c>
      <c r="AW296" t="str">
        <f ca="1">IF(AND(ISNUMBER($AW$962),$B$677=1),$AW$962,HLOOKUP(INDIRECT(ADDRESS(2,COLUMN())),OFFSET($BN$2,0,0,ROW()-1,60),ROW()-1,FALSE))</f>
        <v/>
      </c>
      <c r="AX296" t="str">
        <f ca="1">IF(AND(ISNUMBER($AX$962),$B$677=1),$AX$962,HLOOKUP(INDIRECT(ADDRESS(2,COLUMN())),OFFSET($BN$2,0,0,ROW()-1,60),ROW()-1,FALSE))</f>
        <v/>
      </c>
      <c r="AY296" t="str">
        <f ca="1">IF(AND(ISNUMBER($AY$962),$B$677=1),$AY$962,HLOOKUP(INDIRECT(ADDRESS(2,COLUMN())),OFFSET($BN$2,0,0,ROW()-1,60),ROW()-1,FALSE))</f>
        <v/>
      </c>
      <c r="AZ296" t="str">
        <f ca="1">IF(AND(ISNUMBER($AZ$962),$B$677=1),$AZ$962,HLOOKUP(INDIRECT(ADDRESS(2,COLUMN())),OFFSET($BN$2,0,0,ROW()-1,60),ROW()-1,FALSE))</f>
        <v/>
      </c>
      <c r="BA296" t="str">
        <f ca="1">IF(AND(ISNUMBER($BA$962),$B$677=1),$BA$962,HLOOKUP(INDIRECT(ADDRESS(2,COLUMN())),OFFSET($BN$2,0,0,ROW()-1,60),ROW()-1,FALSE))</f>
        <v/>
      </c>
      <c r="BB296" t="str">
        <f ca="1">IF(AND(ISNUMBER($BB$962),$B$677=1),$BB$962,HLOOKUP(INDIRECT(ADDRESS(2,COLUMN())),OFFSET($BN$2,0,0,ROW()-1,60),ROW()-1,FALSE))</f>
        <v/>
      </c>
      <c r="BC296" t="str">
        <f ca="1">IF(AND(ISNUMBER($BC$962),$B$677=1),$BC$962,HLOOKUP(INDIRECT(ADDRESS(2,COLUMN())),OFFSET($BN$2,0,0,ROW()-1,60),ROW()-1,FALSE))</f>
        <v/>
      </c>
      <c r="BD296" t="str">
        <f ca="1">IF(AND(ISNUMBER($BD$962),$B$677=1),$BD$962,HLOOKUP(INDIRECT(ADDRESS(2,COLUMN())),OFFSET($BN$2,0,0,ROW()-1,60),ROW()-1,FALSE))</f>
        <v/>
      </c>
      <c r="BE296" t="str">
        <f ca="1">IF(AND(ISNUMBER($BE$962),$B$677=1),$BE$962,HLOOKUP(INDIRECT(ADDRESS(2,COLUMN())),OFFSET($BN$2,0,0,ROW()-1,60),ROW()-1,FALSE))</f>
        <v/>
      </c>
      <c r="BF296" t="str">
        <f ca="1">IF(AND(ISNUMBER($BF$962),$B$677=1),$BF$962,HLOOKUP(INDIRECT(ADDRESS(2,COLUMN())),OFFSET($BN$2,0,0,ROW()-1,60),ROW()-1,FALSE))</f>
        <v/>
      </c>
      <c r="BG296" t="str">
        <f ca="1">IF(AND(ISNUMBER($BG$962),$B$677=1),$BG$962,HLOOKUP(INDIRECT(ADDRESS(2,COLUMN())),OFFSET($BN$2,0,0,ROW()-1,60),ROW()-1,FALSE))</f>
        <v/>
      </c>
      <c r="BH296" t="str">
        <f ca="1">IF(AND(ISNUMBER($BH$962),$B$677=1),$BH$962,HLOOKUP(INDIRECT(ADDRESS(2,COLUMN())),OFFSET($BN$2,0,0,ROW()-1,60),ROW()-1,FALSE))</f>
        <v/>
      </c>
      <c r="BI296" t="str">
        <f ca="1">IF(AND(ISNUMBER($BI$962),$B$677=1),$BI$962,HLOOKUP(INDIRECT(ADDRESS(2,COLUMN())),OFFSET($BN$2,0,0,ROW()-1,60),ROW()-1,FALSE))</f>
        <v/>
      </c>
      <c r="BJ296" t="str">
        <f ca="1">IF(AND(ISNUMBER($BJ$962),$B$677=1),$BJ$962,HLOOKUP(INDIRECT(ADDRESS(2,COLUMN())),OFFSET($BN$2,0,0,ROW()-1,60),ROW()-1,FALSE))</f>
        <v/>
      </c>
      <c r="BK296" t="str">
        <f ca="1">IF(AND(ISNUMBER($BK$962),$B$677=1),$BK$962,HLOOKUP(INDIRECT(ADDRESS(2,COLUMN())),OFFSET($BN$2,0,0,ROW()-1,60),ROW()-1,FALSE))</f>
        <v/>
      </c>
      <c r="BL296" t="str">
        <f ca="1">IF(AND(ISNUMBER($BL$962),$B$677=1),$BL$962,HLOOKUP(INDIRECT(ADDRESS(2,COLUMN())),OFFSET($BN$2,0,0,ROW()-1,60),ROW()-1,FALSE))</f>
        <v/>
      </c>
      <c r="BM296" t="str">
        <f ca="1">IF(AND(ISNUMBER($BM$962),$B$677=1),$BM$962,HLOOKUP(INDIRECT(ADDRESS(2,COLUMN())),OFFSET($BN$2,0,0,ROW()-1,60),ROW()-1,FALSE))</f>
        <v/>
      </c>
      <c r="BN296" t="str">
        <f>""</f>
        <v/>
      </c>
      <c r="BO296" t="str">
        <f>""</f>
        <v/>
      </c>
      <c r="BP296" t="str">
        <f>""</f>
        <v/>
      </c>
      <c r="BQ296" t="str">
        <f>""</f>
        <v/>
      </c>
      <c r="BR296" t="str">
        <f>""</f>
        <v/>
      </c>
      <c r="BS296" t="str">
        <f>""</f>
        <v/>
      </c>
      <c r="BT296" t="str">
        <f>""</f>
        <v/>
      </c>
      <c r="BU296" t="str">
        <f>""</f>
        <v/>
      </c>
      <c r="BV296" t="str">
        <f>""</f>
        <v/>
      </c>
      <c r="BW296" t="str">
        <f>""</f>
        <v/>
      </c>
      <c r="BX296" t="str">
        <f>""</f>
        <v/>
      </c>
      <c r="BY296" t="str">
        <f>""</f>
        <v/>
      </c>
      <c r="BZ296" t="str">
        <f>""</f>
        <v/>
      </c>
      <c r="CA296" t="str">
        <f>""</f>
        <v/>
      </c>
      <c r="CB296" t="str">
        <f>""</f>
        <v/>
      </c>
      <c r="CC296" t="str">
        <f>""</f>
        <v/>
      </c>
      <c r="CD296" t="str">
        <f>""</f>
        <v/>
      </c>
      <c r="CE296" t="str">
        <f>""</f>
        <v/>
      </c>
      <c r="CF296" t="str">
        <f>""</f>
        <v/>
      </c>
      <c r="CG296" t="str">
        <f>""</f>
        <v/>
      </c>
      <c r="CH296" t="str">
        <f>""</f>
        <v/>
      </c>
      <c r="CI296" t="str">
        <f>""</f>
        <v/>
      </c>
      <c r="CJ296" t="str">
        <f>""</f>
        <v/>
      </c>
      <c r="CK296" t="str">
        <f>""</f>
        <v/>
      </c>
      <c r="CL296" t="str">
        <f>""</f>
        <v/>
      </c>
      <c r="CM296" t="str">
        <f>""</f>
        <v/>
      </c>
      <c r="CN296" t="str">
        <f>""</f>
        <v/>
      </c>
      <c r="CO296" t="str">
        <f>""</f>
        <v/>
      </c>
      <c r="CP296" t="str">
        <f>""</f>
        <v/>
      </c>
      <c r="CQ296" t="str">
        <f>""</f>
        <v/>
      </c>
      <c r="CR296" t="str">
        <f>""</f>
        <v/>
      </c>
      <c r="CS296" t="str">
        <f>""</f>
        <v/>
      </c>
      <c r="CT296" t="str">
        <f>""</f>
        <v/>
      </c>
      <c r="CU296" t="str">
        <f>""</f>
        <v/>
      </c>
      <c r="CV296" t="str">
        <f>""</f>
        <v/>
      </c>
      <c r="CW296" t="str">
        <f>""</f>
        <v/>
      </c>
      <c r="CX296" t="str">
        <f>""</f>
        <v/>
      </c>
      <c r="CY296" t="str">
        <f>""</f>
        <v/>
      </c>
      <c r="CZ296" t="str">
        <f>""</f>
        <v/>
      </c>
      <c r="DA296" t="str">
        <f>""</f>
        <v/>
      </c>
      <c r="DB296" t="str">
        <f>""</f>
        <v/>
      </c>
      <c r="DC296" t="str">
        <f>""</f>
        <v/>
      </c>
      <c r="DD296" t="str">
        <f>""</f>
        <v/>
      </c>
      <c r="DE296" t="str">
        <f>""</f>
        <v/>
      </c>
      <c r="DF296" t="str">
        <f>""</f>
        <v/>
      </c>
      <c r="DG296" t="str">
        <f>""</f>
        <v/>
      </c>
      <c r="DH296" t="str">
        <f>""</f>
        <v/>
      </c>
      <c r="DI296" t="str">
        <f>""</f>
        <v/>
      </c>
      <c r="DJ296" t="str">
        <f>""</f>
        <v/>
      </c>
      <c r="DK296" t="str">
        <f>""</f>
        <v/>
      </c>
      <c r="DL296" t="str">
        <f>""</f>
        <v/>
      </c>
      <c r="DM296" t="str">
        <f>""</f>
        <v/>
      </c>
      <c r="DN296" t="str">
        <f>""</f>
        <v/>
      </c>
      <c r="DO296" t="str">
        <f>""</f>
        <v/>
      </c>
      <c r="DP296" t="str">
        <f>""</f>
        <v/>
      </c>
      <c r="DQ296" t="str">
        <f>""</f>
        <v/>
      </c>
      <c r="DR296" t="str">
        <f>""</f>
        <v/>
      </c>
      <c r="DS296" t="str">
        <f>""</f>
        <v/>
      </c>
      <c r="DT296" t="str">
        <f>""</f>
        <v/>
      </c>
      <c r="DU296" t="str">
        <f>""</f>
        <v/>
      </c>
    </row>
    <row r="297" spans="1:125" x14ac:dyDescent="0.25">
      <c r="A297" t="str">
        <f>"    BYD Co Ltd"</f>
        <v xml:space="preserve">    BYD Co Ltd</v>
      </c>
      <c r="B297" t="str">
        <f>"1211 HK Equity"</f>
        <v>1211 HK Equity</v>
      </c>
      <c r="C297" t="str">
        <f t="shared" si="21"/>
        <v>RR474</v>
      </c>
      <c r="D297" t="str">
        <f t="shared" si="22"/>
        <v>EV_TO_T12M_EBITDA</v>
      </c>
      <c r="E297" t="str">
        <f t="shared" si="23"/>
        <v>Dynamic</v>
      </c>
      <c r="F297" t="str">
        <f ca="1">IF(AND(ISNUMBER($F$963),$B$677=1),$F$963,HLOOKUP(INDIRECT(ADDRESS(2,COLUMN())),OFFSET($BN$2,0,0,ROW()-1,60),ROW()-1,FALSE))</f>
        <v/>
      </c>
      <c r="G297" t="str">
        <f ca="1">IF(AND(ISNUMBER($G$963),$B$677=1),$G$963,HLOOKUP(INDIRECT(ADDRESS(2,COLUMN())),OFFSET($BN$2,0,0,ROW()-1,60),ROW()-1,FALSE))</f>
        <v/>
      </c>
      <c r="H297" t="str">
        <f ca="1">IF(AND(ISNUMBER($H$963),$B$677=1),$H$963,HLOOKUP(INDIRECT(ADDRESS(2,COLUMN())),OFFSET($BN$2,0,0,ROW()-1,60),ROW()-1,FALSE))</f>
        <v/>
      </c>
      <c r="I297" t="str">
        <f ca="1">IF(AND(ISNUMBER($I$963),$B$677=1),$I$963,HLOOKUP(INDIRECT(ADDRESS(2,COLUMN())),OFFSET($BN$2,0,0,ROW()-1,60),ROW()-1,FALSE))</f>
        <v/>
      </c>
      <c r="J297" t="str">
        <f ca="1">IF(AND(ISNUMBER($J$963),$B$677=1),$J$963,HLOOKUP(INDIRECT(ADDRESS(2,COLUMN())),OFFSET($BN$2,0,0,ROW()-1,60),ROW()-1,FALSE))</f>
        <v/>
      </c>
      <c r="K297" t="str">
        <f ca="1">IF(AND(ISNUMBER($K$963),$B$677=1),$K$963,HLOOKUP(INDIRECT(ADDRESS(2,COLUMN())),OFFSET($BN$2,0,0,ROW()-1,60),ROW()-1,FALSE))</f>
        <v/>
      </c>
      <c r="L297" t="str">
        <f ca="1">IF(AND(ISNUMBER($L$963),$B$677=1),$L$963,HLOOKUP(INDIRECT(ADDRESS(2,COLUMN())),OFFSET($BN$2,0,0,ROW()-1,60),ROW()-1,FALSE))</f>
        <v/>
      </c>
      <c r="M297" t="str">
        <f ca="1">IF(AND(ISNUMBER($M$963),$B$677=1),$M$963,HLOOKUP(INDIRECT(ADDRESS(2,COLUMN())),OFFSET($BN$2,0,0,ROW()-1,60),ROW()-1,FALSE))</f>
        <v/>
      </c>
      <c r="N297" t="str">
        <f ca="1">IF(AND(ISNUMBER($N$963),$B$677=1),$N$963,HLOOKUP(INDIRECT(ADDRESS(2,COLUMN())),OFFSET($BN$2,0,0,ROW()-1,60),ROW()-1,FALSE))</f>
        <v/>
      </c>
      <c r="O297" t="str">
        <f ca="1">IF(AND(ISNUMBER($O$963),$B$677=1),$O$963,HLOOKUP(INDIRECT(ADDRESS(2,COLUMN())),OFFSET($BN$2,0,0,ROW()-1,60),ROW()-1,FALSE))</f>
        <v/>
      </c>
      <c r="P297" t="str">
        <f ca="1">IF(AND(ISNUMBER($P$963),$B$677=1),$P$963,HLOOKUP(INDIRECT(ADDRESS(2,COLUMN())),OFFSET($BN$2,0,0,ROW()-1,60),ROW()-1,FALSE))</f>
        <v/>
      </c>
      <c r="Q297" t="str">
        <f ca="1">IF(AND(ISNUMBER($Q$963),$B$677=1),$Q$963,HLOOKUP(INDIRECT(ADDRESS(2,COLUMN())),OFFSET($BN$2,0,0,ROW()-1,60),ROW()-1,FALSE))</f>
        <v/>
      </c>
      <c r="R297" t="str">
        <f ca="1">IF(AND(ISNUMBER($R$963),$B$677=1),$R$963,HLOOKUP(INDIRECT(ADDRESS(2,COLUMN())),OFFSET($BN$2,0,0,ROW()-1,60),ROW()-1,FALSE))</f>
        <v/>
      </c>
      <c r="S297" t="str">
        <f ca="1">IF(AND(ISNUMBER($S$963),$B$677=1),$S$963,HLOOKUP(INDIRECT(ADDRESS(2,COLUMN())),OFFSET($BN$2,0,0,ROW()-1,60),ROW()-1,FALSE))</f>
        <v/>
      </c>
      <c r="T297" t="str">
        <f ca="1">IF(AND(ISNUMBER($T$963),$B$677=1),$T$963,HLOOKUP(INDIRECT(ADDRESS(2,COLUMN())),OFFSET($BN$2,0,0,ROW()-1,60),ROW()-1,FALSE))</f>
        <v/>
      </c>
      <c r="U297" t="str">
        <f ca="1">IF(AND(ISNUMBER($U$963),$B$677=1),$U$963,HLOOKUP(INDIRECT(ADDRESS(2,COLUMN())),OFFSET($BN$2,0,0,ROW()-1,60),ROW()-1,FALSE))</f>
        <v/>
      </c>
      <c r="V297" t="str">
        <f ca="1">IF(AND(ISNUMBER($V$963),$B$677=1),$V$963,HLOOKUP(INDIRECT(ADDRESS(2,COLUMN())),OFFSET($BN$2,0,0,ROW()-1,60),ROW()-1,FALSE))</f>
        <v/>
      </c>
      <c r="W297" t="str">
        <f ca="1">IF(AND(ISNUMBER($W$963),$B$677=1),$W$963,HLOOKUP(INDIRECT(ADDRESS(2,COLUMN())),OFFSET($BN$2,0,0,ROW()-1,60),ROW()-1,FALSE))</f>
        <v/>
      </c>
      <c r="X297" t="str">
        <f ca="1">IF(AND(ISNUMBER($X$963),$B$677=1),$X$963,HLOOKUP(INDIRECT(ADDRESS(2,COLUMN())),OFFSET($BN$2,0,0,ROW()-1,60),ROW()-1,FALSE))</f>
        <v/>
      </c>
      <c r="Y297" t="str">
        <f ca="1">IF(AND(ISNUMBER($Y$963),$B$677=1),$Y$963,HLOOKUP(INDIRECT(ADDRESS(2,COLUMN())),OFFSET($BN$2,0,0,ROW()-1,60),ROW()-1,FALSE))</f>
        <v/>
      </c>
      <c r="Z297" t="str">
        <f ca="1">IF(AND(ISNUMBER($Z$963),$B$677=1),$Z$963,HLOOKUP(INDIRECT(ADDRESS(2,COLUMN())),OFFSET($BN$2,0,0,ROW()-1,60),ROW()-1,FALSE))</f>
        <v/>
      </c>
      <c r="AA297" t="str">
        <f ca="1">IF(AND(ISNUMBER($AA$963),$B$677=1),$AA$963,HLOOKUP(INDIRECT(ADDRESS(2,COLUMN())),OFFSET($BN$2,0,0,ROW()-1,60),ROW()-1,FALSE))</f>
        <v/>
      </c>
      <c r="AB297" t="str">
        <f ca="1">IF(AND(ISNUMBER($AB$963),$B$677=1),$AB$963,HLOOKUP(INDIRECT(ADDRESS(2,COLUMN())),OFFSET($BN$2,0,0,ROW()-1,60),ROW()-1,FALSE))</f>
        <v/>
      </c>
      <c r="AC297" t="str">
        <f ca="1">IF(AND(ISNUMBER($AC$963),$B$677=1),$AC$963,HLOOKUP(INDIRECT(ADDRESS(2,COLUMN())),OFFSET($BN$2,0,0,ROW()-1,60),ROW()-1,FALSE))</f>
        <v/>
      </c>
      <c r="AD297" t="str">
        <f ca="1">IF(AND(ISNUMBER($AD$963),$B$677=1),$AD$963,HLOOKUP(INDIRECT(ADDRESS(2,COLUMN())),OFFSET($BN$2,0,0,ROW()-1,60),ROW()-1,FALSE))</f>
        <v/>
      </c>
      <c r="AE297" t="str">
        <f ca="1">IF(AND(ISNUMBER($AE$963),$B$677=1),$AE$963,HLOOKUP(INDIRECT(ADDRESS(2,COLUMN())),OFFSET($BN$2,0,0,ROW()-1,60),ROW()-1,FALSE))</f>
        <v/>
      </c>
      <c r="AF297" t="str">
        <f ca="1">IF(AND(ISNUMBER($AF$963),$B$677=1),$AF$963,HLOOKUP(INDIRECT(ADDRESS(2,COLUMN())),OFFSET($BN$2,0,0,ROW()-1,60),ROW()-1,FALSE))</f>
        <v/>
      </c>
      <c r="AG297" t="str">
        <f ca="1">IF(AND(ISNUMBER($AG$963),$B$677=1),$AG$963,HLOOKUP(INDIRECT(ADDRESS(2,COLUMN())),OFFSET($BN$2,0,0,ROW()-1,60),ROW()-1,FALSE))</f>
        <v/>
      </c>
      <c r="AH297" t="str">
        <f ca="1">IF(AND(ISNUMBER($AH$963),$B$677=1),$AH$963,HLOOKUP(INDIRECT(ADDRESS(2,COLUMN())),OFFSET($BN$2,0,0,ROW()-1,60),ROW()-1,FALSE))</f>
        <v/>
      </c>
      <c r="AI297" t="str">
        <f ca="1">IF(AND(ISNUMBER($AI$963),$B$677=1),$AI$963,HLOOKUP(INDIRECT(ADDRESS(2,COLUMN())),OFFSET($BN$2,0,0,ROW()-1,60),ROW()-1,FALSE))</f>
        <v/>
      </c>
      <c r="AJ297" t="str">
        <f ca="1">IF(AND(ISNUMBER($AJ$963),$B$677=1),$AJ$963,HLOOKUP(INDIRECT(ADDRESS(2,COLUMN())),OFFSET($BN$2,0,0,ROW()-1,60),ROW()-1,FALSE))</f>
        <v/>
      </c>
      <c r="AK297" t="str">
        <f ca="1">IF(AND(ISNUMBER($AK$963),$B$677=1),$AK$963,HLOOKUP(INDIRECT(ADDRESS(2,COLUMN())),OFFSET($BN$2,0,0,ROW()-1,60),ROW()-1,FALSE))</f>
        <v/>
      </c>
      <c r="AL297" t="str">
        <f ca="1">IF(AND(ISNUMBER($AL$963),$B$677=1),$AL$963,HLOOKUP(INDIRECT(ADDRESS(2,COLUMN())),OFFSET($BN$2,0,0,ROW()-1,60),ROW()-1,FALSE))</f>
        <v/>
      </c>
      <c r="AM297" t="str">
        <f ca="1">IF(AND(ISNUMBER($AM$963),$B$677=1),$AM$963,HLOOKUP(INDIRECT(ADDRESS(2,COLUMN())),OFFSET($BN$2,0,0,ROW()-1,60),ROW()-1,FALSE))</f>
        <v/>
      </c>
      <c r="AN297" t="str">
        <f ca="1">IF(AND(ISNUMBER($AN$963),$B$677=1),$AN$963,HLOOKUP(INDIRECT(ADDRESS(2,COLUMN())),OFFSET($BN$2,0,0,ROW()-1,60),ROW()-1,FALSE))</f>
        <v/>
      </c>
      <c r="AO297" t="str">
        <f ca="1">IF(AND(ISNUMBER($AO$963),$B$677=1),$AO$963,HLOOKUP(INDIRECT(ADDRESS(2,COLUMN())),OFFSET($BN$2,0,0,ROW()-1,60),ROW()-1,FALSE))</f>
        <v/>
      </c>
      <c r="AP297" t="str">
        <f ca="1">IF(AND(ISNUMBER($AP$963),$B$677=1),$AP$963,HLOOKUP(INDIRECT(ADDRESS(2,COLUMN())),OFFSET($BN$2,0,0,ROW()-1,60),ROW()-1,FALSE))</f>
        <v/>
      </c>
      <c r="AQ297" t="str">
        <f ca="1">IF(AND(ISNUMBER($AQ$963),$B$677=1),$AQ$963,HLOOKUP(INDIRECT(ADDRESS(2,COLUMN())),OFFSET($BN$2,0,0,ROW()-1,60),ROW()-1,FALSE))</f>
        <v/>
      </c>
      <c r="AR297" t="str">
        <f ca="1">IF(AND(ISNUMBER($AR$963),$B$677=1),$AR$963,HLOOKUP(INDIRECT(ADDRESS(2,COLUMN())),OFFSET($BN$2,0,0,ROW()-1,60),ROW()-1,FALSE))</f>
        <v/>
      </c>
      <c r="AS297" t="str">
        <f ca="1">IF(AND(ISNUMBER($AS$963),$B$677=1),$AS$963,HLOOKUP(INDIRECT(ADDRESS(2,COLUMN())),OFFSET($BN$2,0,0,ROW()-1,60),ROW()-1,FALSE))</f>
        <v/>
      </c>
      <c r="AT297" t="str">
        <f ca="1">IF(AND(ISNUMBER($AT$963),$B$677=1),$AT$963,HLOOKUP(INDIRECT(ADDRESS(2,COLUMN())),OFFSET($BN$2,0,0,ROW()-1,60),ROW()-1,FALSE))</f>
        <v/>
      </c>
      <c r="AU297" t="str">
        <f ca="1">IF(AND(ISNUMBER($AU$963),$B$677=1),$AU$963,HLOOKUP(INDIRECT(ADDRESS(2,COLUMN())),OFFSET($BN$2,0,0,ROW()-1,60),ROW()-1,FALSE))</f>
        <v/>
      </c>
      <c r="AV297" t="str">
        <f ca="1">IF(AND(ISNUMBER($AV$963),$B$677=1),$AV$963,HLOOKUP(INDIRECT(ADDRESS(2,COLUMN())),OFFSET($BN$2,0,0,ROW()-1,60),ROW()-1,FALSE))</f>
        <v/>
      </c>
      <c r="AW297" t="str">
        <f ca="1">IF(AND(ISNUMBER($AW$963),$B$677=1),$AW$963,HLOOKUP(INDIRECT(ADDRESS(2,COLUMN())),OFFSET($BN$2,0,0,ROW()-1,60),ROW()-1,FALSE))</f>
        <v/>
      </c>
      <c r="AX297" t="str">
        <f ca="1">IF(AND(ISNUMBER($AX$963),$B$677=1),$AX$963,HLOOKUP(INDIRECT(ADDRESS(2,COLUMN())),OFFSET($BN$2,0,0,ROW()-1,60),ROW()-1,FALSE))</f>
        <v/>
      </c>
      <c r="AY297" t="str">
        <f ca="1">IF(AND(ISNUMBER($AY$963),$B$677=1),$AY$963,HLOOKUP(INDIRECT(ADDRESS(2,COLUMN())),OFFSET($BN$2,0,0,ROW()-1,60),ROW()-1,FALSE))</f>
        <v/>
      </c>
      <c r="AZ297" t="str">
        <f ca="1">IF(AND(ISNUMBER($AZ$963),$B$677=1),$AZ$963,HLOOKUP(INDIRECT(ADDRESS(2,COLUMN())),OFFSET($BN$2,0,0,ROW()-1,60),ROW()-1,FALSE))</f>
        <v/>
      </c>
      <c r="BA297" t="str">
        <f ca="1">IF(AND(ISNUMBER($BA$963),$B$677=1),$BA$963,HLOOKUP(INDIRECT(ADDRESS(2,COLUMN())),OFFSET($BN$2,0,0,ROW()-1,60),ROW()-1,FALSE))</f>
        <v/>
      </c>
      <c r="BB297" t="str">
        <f ca="1">IF(AND(ISNUMBER($BB$963),$B$677=1),$BB$963,HLOOKUP(INDIRECT(ADDRESS(2,COLUMN())),OFFSET($BN$2,0,0,ROW()-1,60),ROW()-1,FALSE))</f>
        <v/>
      </c>
      <c r="BC297" t="str">
        <f ca="1">IF(AND(ISNUMBER($BC$963),$B$677=1),$BC$963,HLOOKUP(INDIRECT(ADDRESS(2,COLUMN())),OFFSET($BN$2,0,0,ROW()-1,60),ROW()-1,FALSE))</f>
        <v/>
      </c>
      <c r="BD297" t="str">
        <f ca="1">IF(AND(ISNUMBER($BD$963),$B$677=1),$BD$963,HLOOKUP(INDIRECT(ADDRESS(2,COLUMN())),OFFSET($BN$2,0,0,ROW()-1,60),ROW()-1,FALSE))</f>
        <v/>
      </c>
      <c r="BE297" t="str">
        <f ca="1">IF(AND(ISNUMBER($BE$963),$B$677=1),$BE$963,HLOOKUP(INDIRECT(ADDRESS(2,COLUMN())),OFFSET($BN$2,0,0,ROW()-1,60),ROW()-1,FALSE))</f>
        <v/>
      </c>
      <c r="BF297" t="str">
        <f ca="1">IF(AND(ISNUMBER($BF$963),$B$677=1),$BF$963,HLOOKUP(INDIRECT(ADDRESS(2,COLUMN())),OFFSET($BN$2,0,0,ROW()-1,60),ROW()-1,FALSE))</f>
        <v/>
      </c>
      <c r="BG297" t="str">
        <f ca="1">IF(AND(ISNUMBER($BG$963),$B$677=1),$BG$963,HLOOKUP(INDIRECT(ADDRESS(2,COLUMN())),OFFSET($BN$2,0,0,ROW()-1,60),ROW()-1,FALSE))</f>
        <v/>
      </c>
      <c r="BH297" t="str">
        <f ca="1">IF(AND(ISNUMBER($BH$963),$B$677=1),$BH$963,HLOOKUP(INDIRECT(ADDRESS(2,COLUMN())),OFFSET($BN$2,0,0,ROW()-1,60),ROW()-1,FALSE))</f>
        <v/>
      </c>
      <c r="BI297" t="str">
        <f ca="1">IF(AND(ISNUMBER($BI$963),$B$677=1),$BI$963,HLOOKUP(INDIRECT(ADDRESS(2,COLUMN())),OFFSET($BN$2,0,0,ROW()-1,60),ROW()-1,FALSE))</f>
        <v/>
      </c>
      <c r="BJ297" t="str">
        <f ca="1">IF(AND(ISNUMBER($BJ$963),$B$677=1),$BJ$963,HLOOKUP(INDIRECT(ADDRESS(2,COLUMN())),OFFSET($BN$2,0,0,ROW()-1,60),ROW()-1,FALSE))</f>
        <v/>
      </c>
      <c r="BK297" t="str">
        <f ca="1">IF(AND(ISNUMBER($BK$963),$B$677=1),$BK$963,HLOOKUP(INDIRECT(ADDRESS(2,COLUMN())),OFFSET($BN$2,0,0,ROW()-1,60),ROW()-1,FALSE))</f>
        <v/>
      </c>
      <c r="BL297" t="str">
        <f ca="1">IF(AND(ISNUMBER($BL$963),$B$677=1),$BL$963,HLOOKUP(INDIRECT(ADDRESS(2,COLUMN())),OFFSET($BN$2,0,0,ROW()-1,60),ROW()-1,FALSE))</f>
        <v/>
      </c>
      <c r="BM297" t="str">
        <f ca="1">IF(AND(ISNUMBER($BM$963),$B$677=1),$BM$963,HLOOKUP(INDIRECT(ADDRESS(2,COLUMN())),OFFSET($BN$2,0,0,ROW()-1,60),ROW()-1,FALSE))</f>
        <v/>
      </c>
      <c r="BN297" t="str">
        <f>""</f>
        <v/>
      </c>
      <c r="BO297" t="str">
        <f>""</f>
        <v/>
      </c>
      <c r="BP297" t="str">
        <f>""</f>
        <v/>
      </c>
      <c r="BQ297" t="str">
        <f>""</f>
        <v/>
      </c>
      <c r="BR297" t="str">
        <f>""</f>
        <v/>
      </c>
      <c r="BS297" t="str">
        <f>""</f>
        <v/>
      </c>
      <c r="BT297" t="str">
        <f>""</f>
        <v/>
      </c>
      <c r="BU297" t="str">
        <f>""</f>
        <v/>
      </c>
      <c r="BV297" t="str">
        <f>""</f>
        <v/>
      </c>
      <c r="BW297" t="str">
        <f>""</f>
        <v/>
      </c>
      <c r="BX297" t="str">
        <f>""</f>
        <v/>
      </c>
      <c r="BY297" t="str">
        <f>""</f>
        <v/>
      </c>
      <c r="BZ297" t="str">
        <f>""</f>
        <v/>
      </c>
      <c r="CA297" t="str">
        <f>""</f>
        <v/>
      </c>
      <c r="CB297" t="str">
        <f>""</f>
        <v/>
      </c>
      <c r="CC297" t="str">
        <f>""</f>
        <v/>
      </c>
      <c r="CD297" t="str">
        <f>""</f>
        <v/>
      </c>
      <c r="CE297" t="str">
        <f>""</f>
        <v/>
      </c>
      <c r="CF297" t="str">
        <f>""</f>
        <v/>
      </c>
      <c r="CG297" t="str">
        <f>""</f>
        <v/>
      </c>
      <c r="CH297" t="str">
        <f>""</f>
        <v/>
      </c>
      <c r="CI297" t="str">
        <f>""</f>
        <v/>
      </c>
      <c r="CJ297" t="str">
        <f>""</f>
        <v/>
      </c>
      <c r="CK297" t="str">
        <f>""</f>
        <v/>
      </c>
      <c r="CL297" t="str">
        <f>""</f>
        <v/>
      </c>
      <c r="CM297" t="str">
        <f>""</f>
        <v/>
      </c>
      <c r="CN297" t="str">
        <f>""</f>
        <v/>
      </c>
      <c r="CO297" t="str">
        <f>""</f>
        <v/>
      </c>
      <c r="CP297" t="str">
        <f>""</f>
        <v/>
      </c>
      <c r="CQ297" t="str">
        <f>""</f>
        <v/>
      </c>
      <c r="CR297" t="str">
        <f>""</f>
        <v/>
      </c>
      <c r="CS297" t="str">
        <f>""</f>
        <v/>
      </c>
      <c r="CT297" t="str">
        <f>""</f>
        <v/>
      </c>
      <c r="CU297" t="str">
        <f>""</f>
        <v/>
      </c>
      <c r="CV297" t="str">
        <f>""</f>
        <v/>
      </c>
      <c r="CW297" t="str">
        <f>""</f>
        <v/>
      </c>
      <c r="CX297" t="str">
        <f>""</f>
        <v/>
      </c>
      <c r="CY297" t="str">
        <f>""</f>
        <v/>
      </c>
      <c r="CZ297" t="str">
        <f>""</f>
        <v/>
      </c>
      <c r="DA297" t="str">
        <f>""</f>
        <v/>
      </c>
      <c r="DB297" t="str">
        <f>""</f>
        <v/>
      </c>
      <c r="DC297" t="str">
        <f>""</f>
        <v/>
      </c>
      <c r="DD297" t="str">
        <f>""</f>
        <v/>
      </c>
      <c r="DE297" t="str">
        <f>""</f>
        <v/>
      </c>
      <c r="DF297" t="str">
        <f>""</f>
        <v/>
      </c>
      <c r="DG297" t="str">
        <f>""</f>
        <v/>
      </c>
      <c r="DH297" t="str">
        <f>""</f>
        <v/>
      </c>
      <c r="DI297" t="str">
        <f>""</f>
        <v/>
      </c>
      <c r="DJ297" t="str">
        <f>""</f>
        <v/>
      </c>
      <c r="DK297" t="str">
        <f>""</f>
        <v/>
      </c>
      <c r="DL297" t="str">
        <f>""</f>
        <v/>
      </c>
      <c r="DM297" t="str">
        <f>""</f>
        <v/>
      </c>
      <c r="DN297" t="str">
        <f>""</f>
        <v/>
      </c>
      <c r="DO297" t="str">
        <f>""</f>
        <v/>
      </c>
      <c r="DP297" t="str">
        <f>""</f>
        <v/>
      </c>
      <c r="DQ297" t="str">
        <f>""</f>
        <v/>
      </c>
      <c r="DR297" t="str">
        <f>""</f>
        <v/>
      </c>
      <c r="DS297" t="str">
        <f>""</f>
        <v/>
      </c>
      <c r="DT297" t="str">
        <f>""</f>
        <v/>
      </c>
      <c r="DU297" t="str">
        <f>""</f>
        <v/>
      </c>
    </row>
    <row r="298" spans="1:125" x14ac:dyDescent="0.25">
      <c r="A298" t="str">
        <f>"    Chongqing Changan Automobile Co Ltd"</f>
        <v xml:space="preserve">    Chongqing Changan Automobile Co Ltd</v>
      </c>
      <c r="B298" t="str">
        <f>"200625 CH Equity"</f>
        <v>200625 CH Equity</v>
      </c>
      <c r="C298" t="str">
        <f t="shared" si="21"/>
        <v>RR474</v>
      </c>
      <c r="D298" t="str">
        <f t="shared" si="22"/>
        <v>EV_TO_T12M_EBITDA</v>
      </c>
      <c r="E298" t="str">
        <f t="shared" si="23"/>
        <v>Dynamic</v>
      </c>
      <c r="F298" t="str">
        <f ca="1">IF(AND(ISNUMBER($F$964),$B$677=1),$F$964,HLOOKUP(INDIRECT(ADDRESS(2,COLUMN())),OFFSET($BN$2,0,0,ROW()-1,60),ROW()-1,FALSE))</f>
        <v/>
      </c>
      <c r="G298" t="str">
        <f ca="1">IF(AND(ISNUMBER($G$964),$B$677=1),$G$964,HLOOKUP(INDIRECT(ADDRESS(2,COLUMN())),OFFSET($BN$2,0,0,ROW()-1,60),ROW()-1,FALSE))</f>
        <v/>
      </c>
      <c r="H298" t="str">
        <f ca="1">IF(AND(ISNUMBER($H$964),$B$677=1),$H$964,HLOOKUP(INDIRECT(ADDRESS(2,COLUMN())),OFFSET($BN$2,0,0,ROW()-1,60),ROW()-1,FALSE))</f>
        <v/>
      </c>
      <c r="I298" t="str">
        <f ca="1">IF(AND(ISNUMBER($I$964),$B$677=1),$I$964,HLOOKUP(INDIRECT(ADDRESS(2,COLUMN())),OFFSET($BN$2,0,0,ROW()-1,60),ROW()-1,FALSE))</f>
        <v/>
      </c>
      <c r="J298" t="str">
        <f ca="1">IF(AND(ISNUMBER($J$964),$B$677=1),$J$964,HLOOKUP(INDIRECT(ADDRESS(2,COLUMN())),OFFSET($BN$2,0,0,ROW()-1,60),ROW()-1,FALSE))</f>
        <v/>
      </c>
      <c r="K298" t="str">
        <f ca="1">IF(AND(ISNUMBER($K$964),$B$677=1),$K$964,HLOOKUP(INDIRECT(ADDRESS(2,COLUMN())),OFFSET($BN$2,0,0,ROW()-1,60),ROW()-1,FALSE))</f>
        <v/>
      </c>
      <c r="L298" t="str">
        <f ca="1">IF(AND(ISNUMBER($L$964),$B$677=1),$L$964,HLOOKUP(INDIRECT(ADDRESS(2,COLUMN())),OFFSET($BN$2,0,0,ROW()-1,60),ROW()-1,FALSE))</f>
        <v/>
      </c>
      <c r="M298" t="str">
        <f ca="1">IF(AND(ISNUMBER($M$964),$B$677=1),$M$964,HLOOKUP(INDIRECT(ADDRESS(2,COLUMN())),OFFSET($BN$2,0,0,ROW()-1,60),ROW()-1,FALSE))</f>
        <v/>
      </c>
      <c r="N298" t="str">
        <f ca="1">IF(AND(ISNUMBER($N$964),$B$677=1),$N$964,HLOOKUP(INDIRECT(ADDRESS(2,COLUMN())),OFFSET($BN$2,0,0,ROW()-1,60),ROW()-1,FALSE))</f>
        <v/>
      </c>
      <c r="O298" t="str">
        <f ca="1">IF(AND(ISNUMBER($O$964),$B$677=1),$O$964,HLOOKUP(INDIRECT(ADDRESS(2,COLUMN())),OFFSET($BN$2,0,0,ROW()-1,60),ROW()-1,FALSE))</f>
        <v/>
      </c>
      <c r="P298" t="str">
        <f ca="1">IF(AND(ISNUMBER($P$964),$B$677=1),$P$964,HLOOKUP(INDIRECT(ADDRESS(2,COLUMN())),OFFSET($BN$2,0,0,ROW()-1,60),ROW()-1,FALSE))</f>
        <v/>
      </c>
      <c r="Q298" t="str">
        <f ca="1">IF(AND(ISNUMBER($Q$964),$B$677=1),$Q$964,HLOOKUP(INDIRECT(ADDRESS(2,COLUMN())),OFFSET($BN$2,0,0,ROW()-1,60),ROW()-1,FALSE))</f>
        <v/>
      </c>
      <c r="R298" t="str">
        <f ca="1">IF(AND(ISNUMBER($R$964),$B$677=1),$R$964,HLOOKUP(INDIRECT(ADDRESS(2,COLUMN())),OFFSET($BN$2,0,0,ROW()-1,60),ROW()-1,FALSE))</f>
        <v/>
      </c>
      <c r="S298" t="str">
        <f ca="1">IF(AND(ISNUMBER($S$964),$B$677=1),$S$964,HLOOKUP(INDIRECT(ADDRESS(2,COLUMN())),OFFSET($BN$2,0,0,ROW()-1,60),ROW()-1,FALSE))</f>
        <v/>
      </c>
      <c r="T298" t="str">
        <f ca="1">IF(AND(ISNUMBER($T$964),$B$677=1),$T$964,HLOOKUP(INDIRECT(ADDRESS(2,COLUMN())),OFFSET($BN$2,0,0,ROW()-1,60),ROW()-1,FALSE))</f>
        <v/>
      </c>
      <c r="U298" t="str">
        <f ca="1">IF(AND(ISNUMBER($U$964),$B$677=1),$U$964,HLOOKUP(INDIRECT(ADDRESS(2,COLUMN())),OFFSET($BN$2,0,0,ROW()-1,60),ROW()-1,FALSE))</f>
        <v/>
      </c>
      <c r="V298" t="str">
        <f ca="1">IF(AND(ISNUMBER($V$964),$B$677=1),$V$964,HLOOKUP(INDIRECT(ADDRESS(2,COLUMN())),OFFSET($BN$2,0,0,ROW()-1,60),ROW()-1,FALSE))</f>
        <v/>
      </c>
      <c r="W298" t="str">
        <f ca="1">IF(AND(ISNUMBER($W$964),$B$677=1),$W$964,HLOOKUP(INDIRECT(ADDRESS(2,COLUMN())),OFFSET($BN$2,0,0,ROW()-1,60),ROW()-1,FALSE))</f>
        <v/>
      </c>
      <c r="X298" t="str">
        <f ca="1">IF(AND(ISNUMBER($X$964),$B$677=1),$X$964,HLOOKUP(INDIRECT(ADDRESS(2,COLUMN())),OFFSET($BN$2,0,0,ROW()-1,60),ROW()-1,FALSE))</f>
        <v/>
      </c>
      <c r="Y298" t="str">
        <f ca="1">IF(AND(ISNUMBER($Y$964),$B$677=1),$Y$964,HLOOKUP(INDIRECT(ADDRESS(2,COLUMN())),OFFSET($BN$2,0,0,ROW()-1,60),ROW()-1,FALSE))</f>
        <v/>
      </c>
      <c r="Z298" t="str">
        <f ca="1">IF(AND(ISNUMBER($Z$964),$B$677=1),$Z$964,HLOOKUP(INDIRECT(ADDRESS(2,COLUMN())),OFFSET($BN$2,0,0,ROW()-1,60),ROW()-1,FALSE))</f>
        <v/>
      </c>
      <c r="AA298" t="str">
        <f ca="1">IF(AND(ISNUMBER($AA$964),$B$677=1),$AA$964,HLOOKUP(INDIRECT(ADDRESS(2,COLUMN())),OFFSET($BN$2,0,0,ROW()-1,60),ROW()-1,FALSE))</f>
        <v/>
      </c>
      <c r="AB298" t="str">
        <f ca="1">IF(AND(ISNUMBER($AB$964),$B$677=1),$AB$964,HLOOKUP(INDIRECT(ADDRESS(2,COLUMN())),OFFSET($BN$2,0,0,ROW()-1,60),ROW()-1,FALSE))</f>
        <v/>
      </c>
      <c r="AC298" t="str">
        <f ca="1">IF(AND(ISNUMBER($AC$964),$B$677=1),$AC$964,HLOOKUP(INDIRECT(ADDRESS(2,COLUMN())),OFFSET($BN$2,0,0,ROW()-1,60),ROW()-1,FALSE))</f>
        <v/>
      </c>
      <c r="AD298" t="str">
        <f ca="1">IF(AND(ISNUMBER($AD$964),$B$677=1),$AD$964,HLOOKUP(INDIRECT(ADDRESS(2,COLUMN())),OFFSET($BN$2,0,0,ROW()-1,60),ROW()-1,FALSE))</f>
        <v/>
      </c>
      <c r="AE298" t="str">
        <f ca="1">IF(AND(ISNUMBER($AE$964),$B$677=1),$AE$964,HLOOKUP(INDIRECT(ADDRESS(2,COLUMN())),OFFSET($BN$2,0,0,ROW()-1,60),ROW()-1,FALSE))</f>
        <v/>
      </c>
      <c r="AF298" t="str">
        <f ca="1">IF(AND(ISNUMBER($AF$964),$B$677=1),$AF$964,HLOOKUP(INDIRECT(ADDRESS(2,COLUMN())),OFFSET($BN$2,0,0,ROW()-1,60),ROW()-1,FALSE))</f>
        <v/>
      </c>
      <c r="AG298" t="str">
        <f ca="1">IF(AND(ISNUMBER($AG$964),$B$677=1),$AG$964,HLOOKUP(INDIRECT(ADDRESS(2,COLUMN())),OFFSET($BN$2,0,0,ROW()-1,60),ROW()-1,FALSE))</f>
        <v/>
      </c>
      <c r="AH298" t="str">
        <f ca="1">IF(AND(ISNUMBER($AH$964),$B$677=1),$AH$964,HLOOKUP(INDIRECT(ADDRESS(2,COLUMN())),OFFSET($BN$2,0,0,ROW()-1,60),ROW()-1,FALSE))</f>
        <v/>
      </c>
      <c r="AI298" t="str">
        <f ca="1">IF(AND(ISNUMBER($AI$964),$B$677=1),$AI$964,HLOOKUP(INDIRECT(ADDRESS(2,COLUMN())),OFFSET($BN$2,0,0,ROW()-1,60),ROW()-1,FALSE))</f>
        <v/>
      </c>
      <c r="AJ298" t="str">
        <f ca="1">IF(AND(ISNUMBER($AJ$964),$B$677=1),$AJ$964,HLOOKUP(INDIRECT(ADDRESS(2,COLUMN())),OFFSET($BN$2,0,0,ROW()-1,60),ROW()-1,FALSE))</f>
        <v/>
      </c>
      <c r="AK298" t="str">
        <f ca="1">IF(AND(ISNUMBER($AK$964),$B$677=1),$AK$964,HLOOKUP(INDIRECT(ADDRESS(2,COLUMN())),OFFSET($BN$2,0,0,ROW()-1,60),ROW()-1,FALSE))</f>
        <v/>
      </c>
      <c r="AL298" t="str">
        <f ca="1">IF(AND(ISNUMBER($AL$964),$B$677=1),$AL$964,HLOOKUP(INDIRECT(ADDRESS(2,COLUMN())),OFFSET($BN$2,0,0,ROW()-1,60),ROW()-1,FALSE))</f>
        <v/>
      </c>
      <c r="AM298" t="str">
        <f ca="1">IF(AND(ISNUMBER($AM$964),$B$677=1),$AM$964,HLOOKUP(INDIRECT(ADDRESS(2,COLUMN())),OFFSET($BN$2,0,0,ROW()-1,60),ROW()-1,FALSE))</f>
        <v/>
      </c>
      <c r="AN298" t="str">
        <f ca="1">IF(AND(ISNUMBER($AN$964),$B$677=1),$AN$964,HLOOKUP(INDIRECT(ADDRESS(2,COLUMN())),OFFSET($BN$2,0,0,ROW()-1,60),ROW()-1,FALSE))</f>
        <v/>
      </c>
      <c r="AO298" t="str">
        <f ca="1">IF(AND(ISNUMBER($AO$964),$B$677=1),$AO$964,HLOOKUP(INDIRECT(ADDRESS(2,COLUMN())),OFFSET($BN$2,0,0,ROW()-1,60),ROW()-1,FALSE))</f>
        <v/>
      </c>
      <c r="AP298" t="str">
        <f ca="1">IF(AND(ISNUMBER($AP$964),$B$677=1),$AP$964,HLOOKUP(INDIRECT(ADDRESS(2,COLUMN())),OFFSET($BN$2,0,0,ROW()-1,60),ROW()-1,FALSE))</f>
        <v/>
      </c>
      <c r="AQ298" t="str">
        <f ca="1">IF(AND(ISNUMBER($AQ$964),$B$677=1),$AQ$964,HLOOKUP(INDIRECT(ADDRESS(2,COLUMN())),OFFSET($BN$2,0,0,ROW()-1,60),ROW()-1,FALSE))</f>
        <v/>
      </c>
      <c r="AR298" t="str">
        <f ca="1">IF(AND(ISNUMBER($AR$964),$B$677=1),$AR$964,HLOOKUP(INDIRECT(ADDRESS(2,COLUMN())),OFFSET($BN$2,0,0,ROW()-1,60),ROW()-1,FALSE))</f>
        <v/>
      </c>
      <c r="AS298" t="str">
        <f ca="1">IF(AND(ISNUMBER($AS$964),$B$677=1),$AS$964,HLOOKUP(INDIRECT(ADDRESS(2,COLUMN())),OFFSET($BN$2,0,0,ROW()-1,60),ROW()-1,FALSE))</f>
        <v/>
      </c>
      <c r="AT298" t="str">
        <f ca="1">IF(AND(ISNUMBER($AT$964),$B$677=1),$AT$964,HLOOKUP(INDIRECT(ADDRESS(2,COLUMN())),OFFSET($BN$2,0,0,ROW()-1,60),ROW()-1,FALSE))</f>
        <v/>
      </c>
      <c r="AU298" t="str">
        <f ca="1">IF(AND(ISNUMBER($AU$964),$B$677=1),$AU$964,HLOOKUP(INDIRECT(ADDRESS(2,COLUMN())),OFFSET($BN$2,0,0,ROW()-1,60),ROW()-1,FALSE))</f>
        <v/>
      </c>
      <c r="AV298" t="str">
        <f ca="1">IF(AND(ISNUMBER($AV$964),$B$677=1),$AV$964,HLOOKUP(INDIRECT(ADDRESS(2,COLUMN())),OFFSET($BN$2,0,0,ROW()-1,60),ROW()-1,FALSE))</f>
        <v/>
      </c>
      <c r="AW298" t="str">
        <f ca="1">IF(AND(ISNUMBER($AW$964),$B$677=1),$AW$964,HLOOKUP(INDIRECT(ADDRESS(2,COLUMN())),OFFSET($BN$2,0,0,ROW()-1,60),ROW()-1,FALSE))</f>
        <v/>
      </c>
      <c r="AX298" t="str">
        <f ca="1">IF(AND(ISNUMBER($AX$964),$B$677=1),$AX$964,HLOOKUP(INDIRECT(ADDRESS(2,COLUMN())),OFFSET($BN$2,0,0,ROW()-1,60),ROW()-1,FALSE))</f>
        <v/>
      </c>
      <c r="AY298" t="str">
        <f ca="1">IF(AND(ISNUMBER($AY$964),$B$677=1),$AY$964,HLOOKUP(INDIRECT(ADDRESS(2,COLUMN())),OFFSET($BN$2,0,0,ROW()-1,60),ROW()-1,FALSE))</f>
        <v/>
      </c>
      <c r="AZ298" t="str">
        <f ca="1">IF(AND(ISNUMBER($AZ$964),$B$677=1),$AZ$964,HLOOKUP(INDIRECT(ADDRESS(2,COLUMN())),OFFSET($BN$2,0,0,ROW()-1,60),ROW()-1,FALSE))</f>
        <v/>
      </c>
      <c r="BA298" t="str">
        <f ca="1">IF(AND(ISNUMBER($BA$964),$B$677=1),$BA$964,HLOOKUP(INDIRECT(ADDRESS(2,COLUMN())),OFFSET($BN$2,0,0,ROW()-1,60),ROW()-1,FALSE))</f>
        <v/>
      </c>
      <c r="BB298" t="str">
        <f ca="1">IF(AND(ISNUMBER($BB$964),$B$677=1),$BB$964,HLOOKUP(INDIRECT(ADDRESS(2,COLUMN())),OFFSET($BN$2,0,0,ROW()-1,60),ROW()-1,FALSE))</f>
        <v/>
      </c>
      <c r="BC298">
        <f ca="1">IF(AND(ISNUMBER($BC$964),$B$677=1),$BC$964,HLOOKUP(INDIRECT(ADDRESS(2,COLUMN())),OFFSET($BN$2,0,0,ROW()-1,60),ROW()-1,FALSE))</f>
        <v>10.206263460000001</v>
      </c>
      <c r="BD298">
        <f ca="1">IF(AND(ISNUMBER($BD$964),$B$677=1),$BD$964,HLOOKUP(INDIRECT(ADDRESS(2,COLUMN())),OFFSET($BN$2,0,0,ROW()-1,60),ROW()-1,FALSE))</f>
        <v>8.3103639529999995</v>
      </c>
      <c r="BE298">
        <f ca="1">IF(AND(ISNUMBER($BE$964),$B$677=1),$BE$964,HLOOKUP(INDIRECT(ADDRESS(2,COLUMN())),OFFSET($BN$2,0,0,ROW()-1,60),ROW()-1,FALSE))</f>
        <v>10.000678539999999</v>
      </c>
      <c r="BF298">
        <f ca="1">IF(AND(ISNUMBER($BF$964),$B$677=1),$BF$964,HLOOKUP(INDIRECT(ADDRESS(2,COLUMN())),OFFSET($BN$2,0,0,ROW()-1,60),ROW()-1,FALSE))</f>
        <v>11.34791313</v>
      </c>
      <c r="BG298">
        <f ca="1">IF(AND(ISNUMBER($BG$964),$B$677=1),$BG$964,HLOOKUP(INDIRECT(ADDRESS(2,COLUMN())),OFFSET($BN$2,0,0,ROW()-1,60),ROW()-1,FALSE))</f>
        <v>11.48808279</v>
      </c>
      <c r="BH298">
        <f ca="1">IF(AND(ISNUMBER($BH$964),$B$677=1),$BH$964,HLOOKUP(INDIRECT(ADDRESS(2,COLUMN())),OFFSET($BN$2,0,0,ROW()-1,60),ROW()-1,FALSE))</f>
        <v>8.4109605260000002</v>
      </c>
      <c r="BI298" t="str">
        <f ca="1">IF(AND(ISNUMBER($BI$964),$B$677=1),$BI$964,HLOOKUP(INDIRECT(ADDRESS(2,COLUMN())),OFFSET($BN$2,0,0,ROW()-1,60),ROW()-1,FALSE))</f>
        <v/>
      </c>
      <c r="BJ298" t="str">
        <f ca="1">IF(AND(ISNUMBER($BJ$964),$B$677=1),$BJ$964,HLOOKUP(INDIRECT(ADDRESS(2,COLUMN())),OFFSET($BN$2,0,0,ROW()-1,60),ROW()-1,FALSE))</f>
        <v/>
      </c>
      <c r="BK298" t="str">
        <f ca="1">IF(AND(ISNUMBER($BK$964),$B$677=1),$BK$964,HLOOKUP(INDIRECT(ADDRESS(2,COLUMN())),OFFSET($BN$2,0,0,ROW()-1,60),ROW()-1,FALSE))</f>
        <v/>
      </c>
      <c r="BL298" t="str">
        <f ca="1">IF(AND(ISNUMBER($BL$964),$B$677=1),$BL$964,HLOOKUP(INDIRECT(ADDRESS(2,COLUMN())),OFFSET($BN$2,0,0,ROW()-1,60),ROW()-1,FALSE))</f>
        <v/>
      </c>
      <c r="BM298" t="str">
        <f ca="1">IF(AND(ISNUMBER($BM$964),$B$677=1),$BM$964,HLOOKUP(INDIRECT(ADDRESS(2,COLUMN())),OFFSET($BN$2,0,0,ROW()-1,60),ROW()-1,FALSE))</f>
        <v/>
      </c>
      <c r="BN298" t="str">
        <f>""</f>
        <v/>
      </c>
      <c r="BO298" t="str">
        <f>""</f>
        <v/>
      </c>
      <c r="BP298" t="str">
        <f>""</f>
        <v/>
      </c>
      <c r="BQ298" t="str">
        <f>""</f>
        <v/>
      </c>
      <c r="BR298" t="str">
        <f>""</f>
        <v/>
      </c>
      <c r="BS298" t="str">
        <f>""</f>
        <v/>
      </c>
      <c r="BT298" t="str">
        <f>""</f>
        <v/>
      </c>
      <c r="BU298" t="str">
        <f>""</f>
        <v/>
      </c>
      <c r="BV298" t="str">
        <f>""</f>
        <v/>
      </c>
      <c r="BW298" t="str">
        <f>""</f>
        <v/>
      </c>
      <c r="BX298" t="str">
        <f>""</f>
        <v/>
      </c>
      <c r="BY298" t="str">
        <f>""</f>
        <v/>
      </c>
      <c r="BZ298" t="str">
        <f>""</f>
        <v/>
      </c>
      <c r="CA298" t="str">
        <f>""</f>
        <v/>
      </c>
      <c r="CB298" t="str">
        <f>""</f>
        <v/>
      </c>
      <c r="CC298" t="str">
        <f>""</f>
        <v/>
      </c>
      <c r="CD298" t="str">
        <f>""</f>
        <v/>
      </c>
      <c r="CE298" t="str">
        <f>""</f>
        <v/>
      </c>
      <c r="CF298" t="str">
        <f>""</f>
        <v/>
      </c>
      <c r="CG298" t="str">
        <f>""</f>
        <v/>
      </c>
      <c r="CH298" t="str">
        <f>""</f>
        <v/>
      </c>
      <c r="CI298" t="str">
        <f>""</f>
        <v/>
      </c>
      <c r="CJ298" t="str">
        <f>""</f>
        <v/>
      </c>
      <c r="CK298" t="str">
        <f>""</f>
        <v/>
      </c>
      <c r="CL298" t="str">
        <f>""</f>
        <v/>
      </c>
      <c r="CM298" t="str">
        <f>""</f>
        <v/>
      </c>
      <c r="CN298" t="str">
        <f>""</f>
        <v/>
      </c>
      <c r="CO298" t="str">
        <f>""</f>
        <v/>
      </c>
      <c r="CP298" t="str">
        <f>""</f>
        <v/>
      </c>
      <c r="CQ298" t="str">
        <f>""</f>
        <v/>
      </c>
      <c r="CR298" t="str">
        <f>""</f>
        <v/>
      </c>
      <c r="CS298" t="str">
        <f>""</f>
        <v/>
      </c>
      <c r="CT298" t="str">
        <f>""</f>
        <v/>
      </c>
      <c r="CU298" t="str">
        <f>""</f>
        <v/>
      </c>
      <c r="CV298" t="str">
        <f>""</f>
        <v/>
      </c>
      <c r="CW298" t="str">
        <f>""</f>
        <v/>
      </c>
      <c r="CX298" t="str">
        <f>""</f>
        <v/>
      </c>
      <c r="CY298" t="str">
        <f>""</f>
        <v/>
      </c>
      <c r="CZ298" t="str">
        <f>""</f>
        <v/>
      </c>
      <c r="DA298" t="str">
        <f>""</f>
        <v/>
      </c>
      <c r="DB298" t="str">
        <f>""</f>
        <v/>
      </c>
      <c r="DC298" t="str">
        <f>""</f>
        <v/>
      </c>
      <c r="DD298" t="str">
        <f>""</f>
        <v/>
      </c>
      <c r="DE298" t="str">
        <f>""</f>
        <v/>
      </c>
      <c r="DF298" t="str">
        <f>""</f>
        <v/>
      </c>
      <c r="DG298" t="str">
        <f>""</f>
        <v/>
      </c>
      <c r="DH298" t="str">
        <f>""</f>
        <v/>
      </c>
      <c r="DI298" t="str">
        <f>""</f>
        <v/>
      </c>
      <c r="DJ298" t="str">
        <f>""</f>
        <v/>
      </c>
      <c r="DK298">
        <f>10.20626346</f>
        <v>10.206263460000001</v>
      </c>
      <c r="DL298">
        <f>8.310363953</f>
        <v>8.3103639529999995</v>
      </c>
      <c r="DM298">
        <f>10.00067854</f>
        <v>10.000678539999999</v>
      </c>
      <c r="DN298">
        <f>11.34791313</f>
        <v>11.34791313</v>
      </c>
      <c r="DO298">
        <f>11.48808279</f>
        <v>11.48808279</v>
      </c>
      <c r="DP298">
        <f>8.410960526</f>
        <v>8.4109605260000002</v>
      </c>
      <c r="DQ298" t="str">
        <f>""</f>
        <v/>
      </c>
      <c r="DR298" t="str">
        <f>""</f>
        <v/>
      </c>
      <c r="DS298" t="str">
        <f>""</f>
        <v/>
      </c>
      <c r="DT298" t="str">
        <f>""</f>
        <v/>
      </c>
      <c r="DU298" t="str">
        <f>""</f>
        <v/>
      </c>
    </row>
    <row r="299" spans="1:125" x14ac:dyDescent="0.25">
      <c r="A299" t="str">
        <f>"    Daihatsu Motor Co Ltd"</f>
        <v xml:space="preserve">    Daihatsu Motor Co Ltd</v>
      </c>
      <c r="B299" t="str">
        <f>"7262 JP Equity"</f>
        <v>7262 JP Equity</v>
      </c>
      <c r="C299" t="str">
        <f t="shared" si="21"/>
        <v>RR474</v>
      </c>
      <c r="D299" t="str">
        <f t="shared" si="22"/>
        <v>EV_TO_T12M_EBITDA</v>
      </c>
      <c r="E299" t="str">
        <f t="shared" si="23"/>
        <v>Dynamic</v>
      </c>
      <c r="F299" t="str">
        <f ca="1">IF(AND(ISNUMBER($F$965),$B$677=1),$F$965,HLOOKUP(INDIRECT(ADDRESS(2,COLUMN())),OFFSET($BN$2,0,0,ROW()-1,60),ROW()-1,FALSE))</f>
        <v/>
      </c>
      <c r="G299" t="str">
        <f ca="1">IF(AND(ISNUMBER($G$965),$B$677=1),$G$965,HLOOKUP(INDIRECT(ADDRESS(2,COLUMN())),OFFSET($BN$2,0,0,ROW()-1,60),ROW()-1,FALSE))</f>
        <v/>
      </c>
      <c r="H299" t="str">
        <f ca="1">IF(AND(ISNUMBER($H$965),$B$677=1),$H$965,HLOOKUP(INDIRECT(ADDRESS(2,COLUMN())),OFFSET($BN$2,0,0,ROW()-1,60),ROW()-1,FALSE))</f>
        <v/>
      </c>
      <c r="I299" t="str">
        <f ca="1">IF(AND(ISNUMBER($I$965),$B$677=1),$I$965,HLOOKUP(INDIRECT(ADDRESS(2,COLUMN())),OFFSET($BN$2,0,0,ROW()-1,60),ROW()-1,FALSE))</f>
        <v/>
      </c>
      <c r="J299" t="str">
        <f ca="1">IF(AND(ISNUMBER($J$965),$B$677=1),$J$965,HLOOKUP(INDIRECT(ADDRESS(2,COLUMN())),OFFSET($BN$2,0,0,ROW()-1,60),ROW()-1,FALSE))</f>
        <v/>
      </c>
      <c r="K299" t="str">
        <f ca="1">IF(AND(ISNUMBER($K$965),$B$677=1),$K$965,HLOOKUP(INDIRECT(ADDRESS(2,COLUMN())),OFFSET($BN$2,0,0,ROW()-1,60),ROW()-1,FALSE))</f>
        <v/>
      </c>
      <c r="L299" t="str">
        <f ca="1">IF(AND(ISNUMBER($L$965),$B$677=1),$L$965,HLOOKUP(INDIRECT(ADDRESS(2,COLUMN())),OFFSET($BN$2,0,0,ROW()-1,60),ROW()-1,FALSE))</f>
        <v/>
      </c>
      <c r="M299" t="str">
        <f ca="1">IF(AND(ISNUMBER($M$965),$B$677=1),$M$965,HLOOKUP(INDIRECT(ADDRESS(2,COLUMN())),OFFSET($BN$2,0,0,ROW()-1,60),ROW()-1,FALSE))</f>
        <v/>
      </c>
      <c r="N299" t="str">
        <f ca="1">IF(AND(ISNUMBER($N$965),$B$677=1),$N$965,HLOOKUP(INDIRECT(ADDRESS(2,COLUMN())),OFFSET($BN$2,0,0,ROW()-1,60),ROW()-1,FALSE))</f>
        <v/>
      </c>
      <c r="O299" t="str">
        <f ca="1">IF(AND(ISNUMBER($O$965),$B$677=1),$O$965,HLOOKUP(INDIRECT(ADDRESS(2,COLUMN())),OFFSET($BN$2,0,0,ROW()-1,60),ROW()-1,FALSE))</f>
        <v/>
      </c>
      <c r="P299" t="str">
        <f ca="1">IF(AND(ISNUMBER($P$965),$B$677=1),$P$965,HLOOKUP(INDIRECT(ADDRESS(2,COLUMN())),OFFSET($BN$2,0,0,ROW()-1,60),ROW()-1,FALSE))</f>
        <v/>
      </c>
      <c r="Q299" t="str">
        <f ca="1">IF(AND(ISNUMBER($Q$965),$B$677=1),$Q$965,HLOOKUP(INDIRECT(ADDRESS(2,COLUMN())),OFFSET($BN$2,0,0,ROW()-1,60),ROW()-1,FALSE))</f>
        <v/>
      </c>
      <c r="R299">
        <f ca="1">IF(AND(ISNUMBER($R$965),$B$677=1),$R$965,HLOOKUP(INDIRECT(ADDRESS(2,COLUMN())),OFFSET($BN$2,0,0,ROW()-1,60),ROW()-1,FALSE))</f>
        <v>5.3285983210000003</v>
      </c>
      <c r="S299">
        <f ca="1">IF(AND(ISNUMBER($S$965),$B$677=1),$S$965,HLOOKUP(INDIRECT(ADDRESS(2,COLUMN())),OFFSET($BN$2,0,0,ROW()-1,60),ROW()-1,FALSE))</f>
        <v>4.755942009</v>
      </c>
      <c r="T299">
        <f ca="1">IF(AND(ISNUMBER($T$965),$B$677=1),$T$965,HLOOKUP(INDIRECT(ADDRESS(2,COLUMN())),OFFSET($BN$2,0,0,ROW()-1,60),ROW()-1,FALSE))</f>
        <v>4.2610254349999996</v>
      </c>
      <c r="U299">
        <f ca="1">IF(AND(ISNUMBER($U$965),$B$677=1),$U$965,HLOOKUP(INDIRECT(ADDRESS(2,COLUMN())),OFFSET($BN$2,0,0,ROW()-1,60),ROW()-1,FALSE))</f>
        <v>5.2091330429999996</v>
      </c>
      <c r="V299">
        <f ca="1">IF(AND(ISNUMBER($V$965),$B$677=1),$V$965,HLOOKUP(INDIRECT(ADDRESS(2,COLUMN())),OFFSET($BN$2,0,0,ROW()-1,60),ROW()-1,FALSE))</f>
        <v>5.0769712020000002</v>
      </c>
      <c r="W299">
        <f ca="1">IF(AND(ISNUMBER($W$965),$B$677=1),$W$965,HLOOKUP(INDIRECT(ADDRESS(2,COLUMN())),OFFSET($BN$2,0,0,ROW()-1,60),ROW()-1,FALSE))</f>
        <v>4.7330675659999999</v>
      </c>
      <c r="X299">
        <f ca="1">IF(AND(ISNUMBER($X$965),$B$677=1),$X$965,HLOOKUP(INDIRECT(ADDRESS(2,COLUMN())),OFFSET($BN$2,0,0,ROW()-1,60),ROW()-1,FALSE))</f>
        <v>5.0019168360000004</v>
      </c>
      <c r="Y299">
        <f ca="1">IF(AND(ISNUMBER($Y$965),$B$677=1),$Y$965,HLOOKUP(INDIRECT(ADDRESS(2,COLUMN())),OFFSET($BN$2,0,0,ROW()-1,60),ROW()-1,FALSE))</f>
        <v>4.7753429179999998</v>
      </c>
      <c r="Z299">
        <f ca="1">IF(AND(ISNUMBER($Z$965),$B$677=1),$Z$965,HLOOKUP(INDIRECT(ADDRESS(2,COLUMN())),OFFSET($BN$2,0,0,ROW()-1,60),ROW()-1,FALSE))</f>
        <v>4.2893491450000001</v>
      </c>
      <c r="AA299">
        <f ca="1">IF(AND(ISNUMBER($AA$965),$B$677=1),$AA$965,HLOOKUP(INDIRECT(ADDRESS(2,COLUMN())),OFFSET($BN$2,0,0,ROW()-1,60),ROW()-1,FALSE))</f>
        <v>4.4380471239999997</v>
      </c>
      <c r="AB299">
        <f ca="1">IF(AND(ISNUMBER($AB$965),$B$677=1),$AB$965,HLOOKUP(INDIRECT(ADDRESS(2,COLUMN())),OFFSET($BN$2,0,0,ROW()-1,60),ROW()-1,FALSE))</f>
        <v>4.9145640860000004</v>
      </c>
      <c r="AC299">
        <f ca="1">IF(AND(ISNUMBER($AC$965),$B$677=1),$AC$965,HLOOKUP(INDIRECT(ADDRESS(2,COLUMN())),OFFSET($BN$2,0,0,ROW()-1,60),ROW()-1,FALSE))</f>
        <v>4.7169615260000004</v>
      </c>
      <c r="AD299">
        <f ca="1">IF(AND(ISNUMBER($AD$965),$B$677=1),$AD$965,HLOOKUP(INDIRECT(ADDRESS(2,COLUMN())),OFFSET($BN$2,0,0,ROW()-1,60),ROW()-1,FALSE))</f>
        <v>4.9569172359999998</v>
      </c>
      <c r="AE299">
        <f ca="1">IF(AND(ISNUMBER($AE$965),$B$677=1),$AE$965,HLOOKUP(INDIRECT(ADDRESS(2,COLUMN())),OFFSET($BN$2,0,0,ROW()-1,60),ROW()-1,FALSE))</f>
        <v>4.3256060959999996</v>
      </c>
      <c r="AF299">
        <f ca="1">IF(AND(ISNUMBER($AF$965),$B$677=1),$AF$965,HLOOKUP(INDIRECT(ADDRESS(2,COLUMN())),OFFSET($BN$2,0,0,ROW()-1,60),ROW()-1,FALSE))</f>
        <v>3.316364439</v>
      </c>
      <c r="AG299">
        <f ca="1">IF(AND(ISNUMBER($AG$965),$B$677=1),$AG$965,HLOOKUP(INDIRECT(ADDRESS(2,COLUMN())),OFFSET($BN$2,0,0,ROW()-1,60),ROW()-1,FALSE))</f>
        <v>3.6130775690000001</v>
      </c>
      <c r="AH299">
        <f ca="1">IF(AND(ISNUMBER($AH$965),$B$677=1),$AH$965,HLOOKUP(INDIRECT(ADDRESS(2,COLUMN())),OFFSET($BN$2,0,0,ROW()-1,60),ROW()-1,FALSE))</f>
        <v>4.3056802760000004</v>
      </c>
      <c r="AI299">
        <f ca="1">IF(AND(ISNUMBER($AI$965),$B$677=1),$AI$965,HLOOKUP(INDIRECT(ADDRESS(2,COLUMN())),OFFSET($BN$2,0,0,ROW()-1,60),ROW()-1,FALSE))</f>
        <v>4.2428614260000002</v>
      </c>
      <c r="AJ299">
        <f ca="1">IF(AND(ISNUMBER($AJ$965),$B$677=1),$AJ$965,HLOOKUP(INDIRECT(ADDRESS(2,COLUMN())),OFFSET($BN$2,0,0,ROW()-1,60),ROW()-1,FALSE))</f>
        <v>4.6624636009999998</v>
      </c>
      <c r="AK299">
        <f ca="1">IF(AND(ISNUMBER($AK$965),$B$677=1),$AK$965,HLOOKUP(INDIRECT(ADDRESS(2,COLUMN())),OFFSET($BN$2,0,0,ROW()-1,60),ROW()-1,FALSE))</f>
        <v>4.6780219790000004</v>
      </c>
      <c r="AL299">
        <f ca="1">IF(AND(ISNUMBER($AL$965),$B$677=1),$AL$965,HLOOKUP(INDIRECT(ADDRESS(2,COLUMN())),OFFSET($BN$2,0,0,ROW()-1,60),ROW()-1,FALSE))</f>
        <v>3.899208936</v>
      </c>
      <c r="AM299">
        <f ca="1">IF(AND(ISNUMBER($AM$965),$B$677=1),$AM$965,HLOOKUP(INDIRECT(ADDRESS(2,COLUMN())),OFFSET($BN$2,0,0,ROW()-1,60),ROW()-1,FALSE))</f>
        <v>4.2779025769999999</v>
      </c>
      <c r="AN299">
        <f ca="1">IF(AND(ISNUMBER($AN$965),$B$677=1),$AN$965,HLOOKUP(INDIRECT(ADDRESS(2,COLUMN())),OFFSET($BN$2,0,0,ROW()-1,60),ROW()-1,FALSE))</f>
        <v>4.0517818920000002</v>
      </c>
      <c r="AO299">
        <f ca="1">IF(AND(ISNUMBER($AO$965),$B$677=1),$AO$965,HLOOKUP(INDIRECT(ADDRESS(2,COLUMN())),OFFSET($BN$2,0,0,ROW()-1,60),ROW()-1,FALSE))</f>
        <v>3.5650349280000002</v>
      </c>
      <c r="AP299">
        <f ca="1">IF(AND(ISNUMBER($AP$965),$B$677=1),$AP$965,HLOOKUP(INDIRECT(ADDRESS(2,COLUMN())),OFFSET($BN$2,0,0,ROW()-1,60),ROW()-1,FALSE))</f>
        <v>4.9302541120000001</v>
      </c>
      <c r="AQ299">
        <f ca="1">IF(AND(ISNUMBER($AQ$965),$B$677=1),$AQ$965,HLOOKUP(INDIRECT(ADDRESS(2,COLUMN())),OFFSET($BN$2,0,0,ROW()-1,60),ROW()-1,FALSE))</f>
        <v>5.1844806559999999</v>
      </c>
      <c r="AR299">
        <f ca="1">IF(AND(ISNUMBER($AR$965),$B$677=1),$AR$965,HLOOKUP(INDIRECT(ADDRESS(2,COLUMN())),OFFSET($BN$2,0,0,ROW()-1,60),ROW()-1,FALSE))</f>
        <v>5.5982144429999998</v>
      </c>
      <c r="AS299">
        <f ca="1">IF(AND(ISNUMBER($AS$965),$B$677=1),$AS$965,HLOOKUP(INDIRECT(ADDRESS(2,COLUMN())),OFFSET($BN$2,0,0,ROW()-1,60),ROW()-1,FALSE))</f>
        <v>5.2670567029999997</v>
      </c>
      <c r="AT299">
        <f ca="1">IF(AND(ISNUMBER($AT$965),$B$677=1),$AT$965,HLOOKUP(INDIRECT(ADDRESS(2,COLUMN())),OFFSET($BN$2,0,0,ROW()-1,60),ROW()-1,FALSE))</f>
        <v>4.3366460790000003</v>
      </c>
      <c r="AU299">
        <f ca="1">IF(AND(ISNUMBER($AU$965),$B$677=1),$AU$965,HLOOKUP(INDIRECT(ADDRESS(2,COLUMN())),OFFSET($BN$2,0,0,ROW()-1,60),ROW()-1,FALSE))</f>
        <v>3.4767527390000001</v>
      </c>
      <c r="AV299">
        <f ca="1">IF(AND(ISNUMBER($AV$965),$B$677=1),$AV$965,HLOOKUP(INDIRECT(ADDRESS(2,COLUMN())),OFFSET($BN$2,0,0,ROW()-1,60),ROW()-1,FALSE))</f>
        <v>4.4687683959999998</v>
      </c>
      <c r="AW299">
        <f ca="1">IF(AND(ISNUMBER($AW$965),$B$677=1),$AW$965,HLOOKUP(INDIRECT(ADDRESS(2,COLUMN())),OFFSET($BN$2,0,0,ROW()-1,60),ROW()-1,FALSE))</f>
        <v>4.7235514270000003</v>
      </c>
      <c r="AX299">
        <f ca="1">IF(AND(ISNUMBER($AX$965),$B$677=1),$AX$965,HLOOKUP(INDIRECT(ADDRESS(2,COLUMN())),OFFSET($BN$2,0,0,ROW()-1,60),ROW()-1,FALSE))</f>
        <v>4.9093036789999998</v>
      </c>
      <c r="AY299">
        <f ca="1">IF(AND(ISNUMBER($AY$965),$B$677=1),$AY$965,HLOOKUP(INDIRECT(ADDRESS(2,COLUMN())),OFFSET($BN$2,0,0,ROW()-1,60),ROW()-1,FALSE))</f>
        <v>4.5851812049999996</v>
      </c>
      <c r="AZ299">
        <f ca="1">IF(AND(ISNUMBER($AZ$965),$B$677=1),$AZ$965,HLOOKUP(INDIRECT(ADDRESS(2,COLUMN())),OFFSET($BN$2,0,0,ROW()-1,60),ROW()-1,FALSE))</f>
        <v>5.2361206640000004</v>
      </c>
      <c r="BA299">
        <f ca="1">IF(AND(ISNUMBER($BA$965),$B$677=1),$BA$965,HLOOKUP(INDIRECT(ADDRESS(2,COLUMN())),OFFSET($BN$2,0,0,ROW()-1,60),ROW()-1,FALSE))</f>
        <v>5.0397663990000003</v>
      </c>
      <c r="BB299">
        <f ca="1">IF(AND(ISNUMBER($BB$965),$B$677=1),$BB$965,HLOOKUP(INDIRECT(ADDRESS(2,COLUMN())),OFFSET($BN$2,0,0,ROW()-1,60),ROW()-1,FALSE))</f>
        <v>5.0937715729999997</v>
      </c>
      <c r="BC299">
        <f ca="1">IF(AND(ISNUMBER($BC$965),$B$677=1),$BC$965,HLOOKUP(INDIRECT(ADDRESS(2,COLUMN())),OFFSET($BN$2,0,0,ROW()-1,60),ROW()-1,FALSE))</f>
        <v>5.3612965079999997</v>
      </c>
      <c r="BD299">
        <f ca="1">IF(AND(ISNUMBER($BD$965),$B$677=1),$BD$965,HLOOKUP(INDIRECT(ADDRESS(2,COLUMN())),OFFSET($BN$2,0,0,ROW()-1,60),ROW()-1,FALSE))</f>
        <v>5.3274551539999999</v>
      </c>
      <c r="BE299">
        <f ca="1">IF(AND(ISNUMBER($BE$965),$B$677=1),$BE$965,HLOOKUP(INDIRECT(ADDRESS(2,COLUMN())),OFFSET($BN$2,0,0,ROW()-1,60),ROW()-1,FALSE))</f>
        <v>4.7898002159999997</v>
      </c>
      <c r="BF299">
        <f ca="1">IF(AND(ISNUMBER($BF$965),$B$677=1),$BF$965,HLOOKUP(INDIRECT(ADDRESS(2,COLUMN())),OFFSET($BN$2,0,0,ROW()-1,60),ROW()-1,FALSE))</f>
        <v>6.3014304169999997</v>
      </c>
      <c r="BG299">
        <f ca="1">IF(AND(ISNUMBER($BG$965),$B$677=1),$BG$965,HLOOKUP(INDIRECT(ADDRESS(2,COLUMN())),OFFSET($BN$2,0,0,ROW()-1,60),ROW()-1,FALSE))</f>
        <v>7.0667242540000004</v>
      </c>
      <c r="BH299">
        <f ca="1">IF(AND(ISNUMBER($BH$965),$B$677=1),$BH$965,HLOOKUP(INDIRECT(ADDRESS(2,COLUMN())),OFFSET($BN$2,0,0,ROW()-1,60),ROW()-1,FALSE))</f>
        <v>6.7196177920000002</v>
      </c>
      <c r="BI299" t="str">
        <f ca="1">IF(AND(ISNUMBER($BI$965),$B$677=1),$BI$965,HLOOKUP(INDIRECT(ADDRESS(2,COLUMN())),OFFSET($BN$2,0,0,ROW()-1,60),ROW()-1,FALSE))</f>
        <v/>
      </c>
      <c r="BJ299">
        <f ca="1">IF(AND(ISNUMBER($BJ$965),$B$677=1),$BJ$965,HLOOKUP(INDIRECT(ADDRESS(2,COLUMN())),OFFSET($BN$2,0,0,ROW()-1,60),ROW()-1,FALSE))</f>
        <v>5.5819936459999999</v>
      </c>
      <c r="BK299" t="str">
        <f ca="1">IF(AND(ISNUMBER($BK$965),$B$677=1),$BK$965,HLOOKUP(INDIRECT(ADDRESS(2,COLUMN())),OFFSET($BN$2,0,0,ROW()-1,60),ROW()-1,FALSE))</f>
        <v/>
      </c>
      <c r="BL299" t="str">
        <f ca="1">IF(AND(ISNUMBER($BL$965),$B$677=1),$BL$965,HLOOKUP(INDIRECT(ADDRESS(2,COLUMN())),OFFSET($BN$2,0,0,ROW()-1,60),ROW()-1,FALSE))</f>
        <v/>
      </c>
      <c r="BM299" t="str">
        <f ca="1">IF(AND(ISNUMBER($BM$965),$B$677=1),$BM$965,HLOOKUP(INDIRECT(ADDRESS(2,COLUMN())),OFFSET($BN$2,0,0,ROW()-1,60),ROW()-1,FALSE))</f>
        <v/>
      </c>
      <c r="BN299" t="str">
        <f>""</f>
        <v/>
      </c>
      <c r="BO299" t="str">
        <f>""</f>
        <v/>
      </c>
      <c r="BP299" t="str">
        <f>""</f>
        <v/>
      </c>
      <c r="BQ299" t="str">
        <f>""</f>
        <v/>
      </c>
      <c r="BR299" t="str">
        <f>""</f>
        <v/>
      </c>
      <c r="BS299" t="str">
        <f>""</f>
        <v/>
      </c>
      <c r="BT299" t="str">
        <f>""</f>
        <v/>
      </c>
      <c r="BU299" t="str">
        <f>""</f>
        <v/>
      </c>
      <c r="BV299" t="str">
        <f>""</f>
        <v/>
      </c>
      <c r="BW299" t="str">
        <f>""</f>
        <v/>
      </c>
      <c r="BX299" t="str">
        <f>""</f>
        <v/>
      </c>
      <c r="BY299" t="str">
        <f>""</f>
        <v/>
      </c>
      <c r="BZ299">
        <f>5.328598321</f>
        <v>5.3285983210000003</v>
      </c>
      <c r="CA299">
        <f>4.755942009</f>
        <v>4.755942009</v>
      </c>
      <c r="CB299">
        <f>4.261025435</f>
        <v>4.2610254349999996</v>
      </c>
      <c r="CC299">
        <f>5.209133043</f>
        <v>5.2091330429999996</v>
      </c>
      <c r="CD299">
        <f>5.076971202</f>
        <v>5.0769712020000002</v>
      </c>
      <c r="CE299">
        <f>4.733067566</f>
        <v>4.7330675659999999</v>
      </c>
      <c r="CF299">
        <f>5.001916836</f>
        <v>5.0019168360000004</v>
      </c>
      <c r="CG299">
        <f>4.775342918</f>
        <v>4.7753429179999998</v>
      </c>
      <c r="CH299">
        <f>4.289349145</f>
        <v>4.2893491450000001</v>
      </c>
      <c r="CI299">
        <f>4.438047124</f>
        <v>4.4380471239999997</v>
      </c>
      <c r="CJ299">
        <f>4.914564086</f>
        <v>4.9145640860000004</v>
      </c>
      <c r="CK299">
        <f>4.716961526</f>
        <v>4.7169615260000004</v>
      </c>
      <c r="CL299">
        <f>4.956917236</f>
        <v>4.9569172359999998</v>
      </c>
      <c r="CM299">
        <f>4.325606096</f>
        <v>4.3256060959999996</v>
      </c>
      <c r="CN299">
        <f>3.316364439</f>
        <v>3.316364439</v>
      </c>
      <c r="CO299">
        <f>3.613077569</f>
        <v>3.6130775690000001</v>
      </c>
      <c r="CP299">
        <f>4.305680276</f>
        <v>4.3056802760000004</v>
      </c>
      <c r="CQ299">
        <f>4.242861426</f>
        <v>4.2428614260000002</v>
      </c>
      <c r="CR299">
        <f>4.662463601</f>
        <v>4.6624636009999998</v>
      </c>
      <c r="CS299">
        <f>4.678021979</f>
        <v>4.6780219790000004</v>
      </c>
      <c r="CT299">
        <f>3.899208936</f>
        <v>3.899208936</v>
      </c>
      <c r="CU299">
        <f>4.277902577</f>
        <v>4.2779025769999999</v>
      </c>
      <c r="CV299">
        <f>4.051781892</f>
        <v>4.0517818920000002</v>
      </c>
      <c r="CW299">
        <f>3.565034928</f>
        <v>3.5650349280000002</v>
      </c>
      <c r="CX299">
        <f>4.930254112</f>
        <v>4.9302541120000001</v>
      </c>
      <c r="CY299">
        <f>5.184480656</f>
        <v>5.1844806559999999</v>
      </c>
      <c r="CZ299">
        <f>5.598214443</f>
        <v>5.5982144429999998</v>
      </c>
      <c r="DA299">
        <f>5.267056703</f>
        <v>5.2670567029999997</v>
      </c>
      <c r="DB299">
        <f>4.336646079</f>
        <v>4.3366460790000003</v>
      </c>
      <c r="DC299">
        <f>3.476752739</f>
        <v>3.4767527390000001</v>
      </c>
      <c r="DD299">
        <f>4.468768396</f>
        <v>4.4687683959999998</v>
      </c>
      <c r="DE299">
        <f>4.723551427</f>
        <v>4.7235514270000003</v>
      </c>
      <c r="DF299">
        <f>4.909303679</f>
        <v>4.9093036789999998</v>
      </c>
      <c r="DG299">
        <f>4.585181205</f>
        <v>4.5851812049999996</v>
      </c>
      <c r="DH299">
        <f>5.236120664</f>
        <v>5.2361206640000004</v>
      </c>
      <c r="DI299">
        <f>5.039766399</f>
        <v>5.0397663990000003</v>
      </c>
      <c r="DJ299">
        <f>5.093771573</f>
        <v>5.0937715729999997</v>
      </c>
      <c r="DK299">
        <f>5.361296508</f>
        <v>5.3612965079999997</v>
      </c>
      <c r="DL299">
        <f>5.327455154</f>
        <v>5.3274551539999999</v>
      </c>
      <c r="DM299">
        <f>4.789800216</f>
        <v>4.7898002159999997</v>
      </c>
      <c r="DN299">
        <f>6.301430417</f>
        <v>6.3014304169999997</v>
      </c>
      <c r="DO299">
        <f>7.066724254</f>
        <v>7.0667242540000004</v>
      </c>
      <c r="DP299">
        <f>6.719617792</f>
        <v>6.7196177920000002</v>
      </c>
      <c r="DQ299" t="str">
        <f>""</f>
        <v/>
      </c>
      <c r="DR299">
        <f>5.581993646</f>
        <v>5.5819936459999999</v>
      </c>
      <c r="DS299" t="str">
        <f>""</f>
        <v/>
      </c>
      <c r="DT299" t="str">
        <f>""</f>
        <v/>
      </c>
      <c r="DU299" t="str">
        <f>""</f>
        <v/>
      </c>
    </row>
    <row r="300" spans="1:125" x14ac:dyDescent="0.25">
      <c r="A300" t="str">
        <f>"    Daimler AG"</f>
        <v xml:space="preserve">    Daimler AG</v>
      </c>
      <c r="B300" t="str">
        <f>"DAI GR Equity"</f>
        <v>DAI GR Equity</v>
      </c>
      <c r="C300" t="str">
        <f t="shared" si="21"/>
        <v>RR474</v>
      </c>
      <c r="D300" t="str">
        <f t="shared" si="22"/>
        <v>EV_TO_T12M_EBITDA</v>
      </c>
      <c r="E300" t="str">
        <f t="shared" si="23"/>
        <v>Dynamic</v>
      </c>
      <c r="F300" t="str">
        <f ca="1">IF(AND(ISNUMBER($F$966),$B$677=1),$F$966,HLOOKUP(INDIRECT(ADDRESS(2,COLUMN())),OFFSET($BN$2,0,0,ROW()-1,60),ROW()-1,FALSE))</f>
        <v/>
      </c>
      <c r="G300">
        <f ca="1">IF(AND(ISNUMBER($G$966),$B$677=1),$G$966,HLOOKUP(INDIRECT(ADDRESS(2,COLUMN())),OFFSET($BN$2,0,0,ROW()-1,60),ROW()-1,FALSE))</f>
        <v>1.916764227</v>
      </c>
      <c r="H300">
        <f ca="1">IF(AND(ISNUMBER($H$966),$B$677=1),$H$966,HLOOKUP(INDIRECT(ADDRESS(2,COLUMN())),OFFSET($BN$2,0,0,ROW()-1,60),ROW()-1,FALSE))</f>
        <v>2.4915406099999999</v>
      </c>
      <c r="I300">
        <f ca="1">IF(AND(ISNUMBER($I$966),$B$677=1),$I$966,HLOOKUP(INDIRECT(ADDRESS(2,COLUMN())),OFFSET($BN$2,0,0,ROW()-1,60),ROW()-1,FALSE))</f>
        <v>2.2963891269999999</v>
      </c>
      <c r="J300">
        <f ca="1">IF(AND(ISNUMBER($J$966),$B$677=1),$J$966,HLOOKUP(INDIRECT(ADDRESS(2,COLUMN())),OFFSET($BN$2,0,0,ROW()-1,60),ROW()-1,FALSE))</f>
        <v>2.8333340489999999</v>
      </c>
      <c r="K300">
        <f ca="1">IF(AND(ISNUMBER($K$966),$B$677=1),$K$966,HLOOKUP(INDIRECT(ADDRESS(2,COLUMN())),OFFSET($BN$2,0,0,ROW()-1,60),ROW()-1,FALSE))</f>
        <v>3.038802306</v>
      </c>
      <c r="L300">
        <f ca="1">IF(AND(ISNUMBER($L$966),$B$677=1),$L$966,HLOOKUP(INDIRECT(ADDRESS(2,COLUMN())),OFFSET($BN$2,0,0,ROW()-1,60),ROW()-1,FALSE))</f>
        <v>2.5603660339999998</v>
      </c>
      <c r="M300">
        <f ca="1">IF(AND(ISNUMBER($M$966),$B$677=1),$M$966,HLOOKUP(INDIRECT(ADDRESS(2,COLUMN())),OFFSET($BN$2,0,0,ROW()-1,60),ROW()-1,FALSE))</f>
        <v>2.3674282149999999</v>
      </c>
      <c r="N300">
        <f ca="1">IF(AND(ISNUMBER($N$966),$B$677=1),$N$966,HLOOKUP(INDIRECT(ADDRESS(2,COLUMN())),OFFSET($BN$2,0,0,ROW()-1,60),ROW()-1,FALSE))</f>
        <v>2.6833860519999999</v>
      </c>
      <c r="O300">
        <f ca="1">IF(AND(ISNUMBER($O$966),$B$677=1),$O$966,HLOOKUP(INDIRECT(ADDRESS(2,COLUMN())),OFFSET($BN$2,0,0,ROW()-1,60),ROW()-1,FALSE))</f>
        <v>3.0648980290000001</v>
      </c>
      <c r="P300">
        <f ca="1">IF(AND(ISNUMBER($P$966),$B$677=1),$P$966,HLOOKUP(INDIRECT(ADDRESS(2,COLUMN())),OFFSET($BN$2,0,0,ROW()-1,60),ROW()-1,FALSE))</f>
        <v>2.7001541310000001</v>
      </c>
      <c r="Q300">
        <f ca="1">IF(AND(ISNUMBER($Q$966),$B$677=1),$Q$966,HLOOKUP(INDIRECT(ADDRESS(2,COLUMN())),OFFSET($BN$2,0,0,ROW()-1,60),ROW()-1,FALSE))</f>
        <v>2.273971381</v>
      </c>
      <c r="R300">
        <f ca="1">IF(AND(ISNUMBER($R$966),$B$677=1),$R$966,HLOOKUP(INDIRECT(ADDRESS(2,COLUMN())),OFFSET($BN$2,0,0,ROW()-1,60),ROW()-1,FALSE))</f>
        <v>2.930904972</v>
      </c>
      <c r="S300">
        <f ca="1">IF(AND(ISNUMBER($S$966),$B$677=1),$S$966,HLOOKUP(INDIRECT(ADDRESS(2,COLUMN())),OFFSET($BN$2,0,0,ROW()-1,60),ROW()-1,FALSE))</f>
        <v>3.4722108860000001</v>
      </c>
      <c r="T300">
        <f ca="1">IF(AND(ISNUMBER($T$966),$B$677=1),$T$966,HLOOKUP(INDIRECT(ADDRESS(2,COLUMN())),OFFSET($BN$2,0,0,ROW()-1,60),ROW()-1,FALSE))</f>
        <v>2.7421846209999998</v>
      </c>
      <c r="U300">
        <f ca="1">IF(AND(ISNUMBER($U$966),$B$677=1),$U$966,HLOOKUP(INDIRECT(ADDRESS(2,COLUMN())),OFFSET($BN$2,0,0,ROW()-1,60),ROW()-1,FALSE))</f>
        <v>4.0797701039999996</v>
      </c>
      <c r="V300">
        <f ca="1">IF(AND(ISNUMBER($V$966),$B$677=1),$V$966,HLOOKUP(INDIRECT(ADDRESS(2,COLUMN())),OFFSET($BN$2,0,0,ROW()-1,60),ROW()-1,FALSE))</f>
        <v>4.7891800230000001</v>
      </c>
      <c r="W300">
        <f ca="1">IF(AND(ISNUMBER($W$966),$B$677=1),$W$966,HLOOKUP(INDIRECT(ADDRESS(2,COLUMN())),OFFSET($BN$2,0,0,ROW()-1,60),ROW()-1,FALSE))</f>
        <v>3.8158757730000001</v>
      </c>
      <c r="X300">
        <f ca="1">IF(AND(ISNUMBER($X$966),$B$677=1),$X$966,HLOOKUP(INDIRECT(ADDRESS(2,COLUMN())),OFFSET($BN$2,0,0,ROW()-1,60),ROW()-1,FALSE))</f>
        <v>3.0358572019999999</v>
      </c>
      <c r="Y300">
        <f ca="1">IF(AND(ISNUMBER($Y$966),$B$677=1),$Y$966,HLOOKUP(INDIRECT(ADDRESS(2,COLUMN())),OFFSET($BN$2,0,0,ROW()-1,60),ROW()-1,FALSE))</f>
        <v>4.1206645130000004</v>
      </c>
      <c r="Z300">
        <f ca="1">IF(AND(ISNUMBER($Z$966),$B$677=1),$Z$966,HLOOKUP(INDIRECT(ADDRESS(2,COLUMN())),OFFSET($BN$2,0,0,ROW()-1,60),ROW()-1,FALSE))</f>
        <v>4.1413667629999997</v>
      </c>
      <c r="AA300">
        <f ca="1">IF(AND(ISNUMBER($AA$966),$B$677=1),$AA$966,HLOOKUP(INDIRECT(ADDRESS(2,COLUMN())),OFFSET($BN$2,0,0,ROW()-1,60),ROW()-1,FALSE))</f>
        <v>4.1755725190000001</v>
      </c>
      <c r="AB300">
        <f ca="1">IF(AND(ISNUMBER($AB$966),$B$677=1),$AB$966,HLOOKUP(INDIRECT(ADDRESS(2,COLUMN())),OFFSET($BN$2,0,0,ROW()-1,60),ROW()-1,FALSE))</f>
        <v>4.0717536489999997</v>
      </c>
      <c r="AC300">
        <f ca="1">IF(AND(ISNUMBER($AC$966),$B$677=1),$AC$966,HLOOKUP(INDIRECT(ADDRESS(2,COLUMN())),OFFSET($BN$2,0,0,ROW()-1,60),ROW()-1,FALSE))</f>
        <v>3.203598972</v>
      </c>
      <c r="AD300">
        <f ca="1">IF(AND(ISNUMBER($AD$966),$B$677=1),$AD$966,HLOOKUP(INDIRECT(ADDRESS(2,COLUMN())),OFFSET($BN$2,0,0,ROW()-1,60),ROW()-1,FALSE))</f>
        <v>3.0201258260000001</v>
      </c>
      <c r="AE300">
        <f ca="1">IF(AND(ISNUMBER($AE$966),$B$677=1),$AE$966,HLOOKUP(INDIRECT(ADDRESS(2,COLUMN())),OFFSET($BN$2,0,0,ROW()-1,60),ROW()-1,FALSE))</f>
        <v>2.592562917</v>
      </c>
      <c r="AF300">
        <f ca="1">IF(AND(ISNUMBER($AF$966),$B$677=1),$AF$966,HLOOKUP(INDIRECT(ADDRESS(2,COLUMN())),OFFSET($BN$2,0,0,ROW()-1,60),ROW()-1,FALSE))</f>
        <v>2.4787040440000001</v>
      </c>
      <c r="AG300">
        <f ca="1">IF(AND(ISNUMBER($AG$966),$B$677=1),$AG$966,HLOOKUP(INDIRECT(ADDRESS(2,COLUMN())),OFFSET($BN$2,0,0,ROW()-1,60),ROW()-1,FALSE))</f>
        <v>2.232932436</v>
      </c>
      <c r="AH300">
        <f ca="1">IF(AND(ISNUMBER($AH$966),$B$677=1),$AH$966,HLOOKUP(INDIRECT(ADDRESS(2,COLUMN())),OFFSET($BN$2,0,0,ROW()-1,60),ROW()-1,FALSE))</f>
        <v>2.9349063969999998</v>
      </c>
      <c r="AI300">
        <f ca="1">IF(AND(ISNUMBER($AI$966),$B$677=1),$AI$966,HLOOKUP(INDIRECT(ADDRESS(2,COLUMN())),OFFSET($BN$2,0,0,ROW()-1,60),ROW()-1,FALSE))</f>
        <v>1.859673543</v>
      </c>
      <c r="AJ300">
        <f ca="1">IF(AND(ISNUMBER($AJ$966),$B$677=1),$AJ$966,HLOOKUP(INDIRECT(ADDRESS(2,COLUMN())),OFFSET($BN$2,0,0,ROW()-1,60),ROW()-1,FALSE))</f>
        <v>2.049336147</v>
      </c>
      <c r="AK300">
        <f ca="1">IF(AND(ISNUMBER($AK$966),$B$677=1),$AK$966,HLOOKUP(INDIRECT(ADDRESS(2,COLUMN())),OFFSET($BN$2,0,0,ROW()-1,60),ROW()-1,FALSE))</f>
        <v>3.485530357</v>
      </c>
      <c r="AL300">
        <f ca="1">IF(AND(ISNUMBER($AL$966),$B$677=1),$AL$966,HLOOKUP(INDIRECT(ADDRESS(2,COLUMN())),OFFSET($BN$2,0,0,ROW()-1,60),ROW()-1,FALSE))</f>
        <v>3.4351205029999998</v>
      </c>
      <c r="AM300">
        <f ca="1">IF(AND(ISNUMBER($AM$966),$B$677=1),$AM$966,HLOOKUP(INDIRECT(ADDRESS(2,COLUMN())),OFFSET($BN$2,0,0,ROW()-1,60),ROW()-1,FALSE))</f>
        <v>3.8906506859999999</v>
      </c>
      <c r="AN300">
        <f ca="1">IF(AND(ISNUMBER($AN$966),$B$677=1),$AN$966,HLOOKUP(INDIRECT(ADDRESS(2,COLUMN())),OFFSET($BN$2,0,0,ROW()-1,60),ROW()-1,FALSE))</f>
        <v>3.7059829249999998</v>
      </c>
      <c r="AO300">
        <f ca="1">IF(AND(ISNUMBER($AO$966),$B$677=1),$AO$966,HLOOKUP(INDIRECT(ADDRESS(2,COLUMN())),OFFSET($BN$2,0,0,ROW()-1,60),ROW()-1,FALSE))</f>
        <v>4.2856037369999997</v>
      </c>
      <c r="AP300">
        <f ca="1">IF(AND(ISNUMBER($AP$966),$B$677=1),$AP$966,HLOOKUP(INDIRECT(ADDRESS(2,COLUMN())),OFFSET($BN$2,0,0,ROW()-1,60),ROW()-1,FALSE))</f>
        <v>5.0526160710000001</v>
      </c>
      <c r="AQ300">
        <f ca="1">IF(AND(ISNUMBER($AQ$966),$B$677=1),$AQ$966,HLOOKUP(INDIRECT(ADDRESS(2,COLUMN())),OFFSET($BN$2,0,0,ROW()-1,60),ROW()-1,FALSE))</f>
        <v>10.593457949999999</v>
      </c>
      <c r="AR300">
        <f ca="1">IF(AND(ISNUMBER($AR$966),$B$677=1),$AR$966,HLOOKUP(INDIRECT(ADDRESS(2,COLUMN())),OFFSET($BN$2,0,0,ROW()-1,60),ROW()-1,FALSE))</f>
        <v>10.49680729</v>
      </c>
      <c r="AS300">
        <f ca="1">IF(AND(ISNUMBER($AS$966),$B$677=1),$AS$966,HLOOKUP(INDIRECT(ADDRESS(2,COLUMN())),OFFSET($BN$2,0,0,ROW()-1,60),ROW()-1,FALSE))</f>
        <v>5.3318366509999997</v>
      </c>
      <c r="AT300">
        <f ca="1">IF(AND(ISNUMBER($AT$966),$B$677=1),$AT$966,HLOOKUP(INDIRECT(ADDRESS(2,COLUMN())),OFFSET($BN$2,0,0,ROW()-1,60),ROW()-1,FALSE))</f>
        <v>2.1588274809999999</v>
      </c>
      <c r="AU300">
        <f ca="1">IF(AND(ISNUMBER($AU$966),$B$677=1),$AU$966,HLOOKUP(INDIRECT(ADDRESS(2,COLUMN())),OFFSET($BN$2,0,0,ROW()-1,60),ROW()-1,FALSE))</f>
        <v>7.2963991950000002</v>
      </c>
      <c r="AV300">
        <f ca="1">IF(AND(ISNUMBER($AV$966),$B$677=1),$AV$966,HLOOKUP(INDIRECT(ADDRESS(2,COLUMN())),OFFSET($BN$2,0,0,ROW()-1,60),ROW()-1,FALSE))</f>
        <v>6.0171570360000004</v>
      </c>
      <c r="AW300">
        <f ca="1">IF(AND(ISNUMBER($AW$966),$B$677=1),$AW$966,HLOOKUP(INDIRECT(ADDRESS(2,COLUMN())),OFFSET($BN$2,0,0,ROW()-1,60),ROW()-1,FALSE))</f>
        <v>5.6371904730000004</v>
      </c>
      <c r="AX300">
        <f ca="1">IF(AND(ISNUMBER($AX$966),$B$677=1),$AX$966,HLOOKUP(INDIRECT(ADDRESS(2,COLUMN())),OFFSET($BN$2,0,0,ROW()-1,60),ROW()-1,FALSE))</f>
        <v>6.186930705</v>
      </c>
      <c r="AY300">
        <f ca="1">IF(AND(ISNUMBER($AY$966),$B$677=1),$AY$966,HLOOKUP(INDIRECT(ADDRESS(2,COLUMN())),OFFSET($BN$2,0,0,ROW()-1,60),ROW()-1,FALSE))</f>
        <v>6.5454005520000003</v>
      </c>
      <c r="AZ300">
        <f ca="1">IF(AND(ISNUMBER($AZ$966),$B$677=1),$AZ$966,HLOOKUP(INDIRECT(ADDRESS(2,COLUMN())),OFFSET($BN$2,0,0,ROW()-1,60),ROW()-1,FALSE))</f>
        <v>7.3604507750000003</v>
      </c>
      <c r="BA300">
        <f ca="1">IF(AND(ISNUMBER($BA$966),$B$677=1),$BA$966,HLOOKUP(INDIRECT(ADDRESS(2,COLUMN())),OFFSET($BN$2,0,0,ROW()-1,60),ROW()-1,FALSE))</f>
        <v>7.8144828039999998</v>
      </c>
      <c r="BB300">
        <f ca="1">IF(AND(ISNUMBER($BB$966),$B$677=1),$BB$966,HLOOKUP(INDIRECT(ADDRESS(2,COLUMN())),OFFSET($BN$2,0,0,ROW()-1,60),ROW()-1,FALSE))</f>
        <v>8.4635390469999994</v>
      </c>
      <c r="BC300">
        <f ca="1">IF(AND(ISNUMBER($BC$966),$B$677=1),$BC$966,HLOOKUP(INDIRECT(ADDRESS(2,COLUMN())),OFFSET($BN$2,0,0,ROW()-1,60),ROW()-1,FALSE))</f>
        <v>8.1819326770000007</v>
      </c>
      <c r="BD300">
        <f ca="1">IF(AND(ISNUMBER($BD$966),$B$677=1),$BD$966,HLOOKUP(INDIRECT(ADDRESS(2,COLUMN())),OFFSET($BN$2,0,0,ROW()-1,60),ROW()-1,FALSE))</f>
        <v>6.8953850719999998</v>
      </c>
      <c r="BE300">
        <f ca="1">IF(AND(ISNUMBER($BE$966),$B$677=1),$BE$966,HLOOKUP(INDIRECT(ADDRESS(2,COLUMN())),OFFSET($BN$2,0,0,ROW()-1,60),ROW()-1,FALSE))</f>
        <v>6.7558091950000003</v>
      </c>
      <c r="BF300">
        <f ca="1">IF(AND(ISNUMBER($BF$966),$B$677=1),$BF$966,HLOOKUP(INDIRECT(ADDRESS(2,COLUMN())),OFFSET($BN$2,0,0,ROW()-1,60),ROW()-1,FALSE))</f>
        <v>7.0507604319999997</v>
      </c>
      <c r="BG300">
        <f ca="1">IF(AND(ISNUMBER($BG$966),$B$677=1),$BG$966,HLOOKUP(INDIRECT(ADDRESS(2,COLUMN())),OFFSET($BN$2,0,0,ROW()-1,60),ROW()-1,FALSE))</f>
        <v>7.1904924890000004</v>
      </c>
      <c r="BH300">
        <f ca="1">IF(AND(ISNUMBER($BH$966),$B$677=1),$BH$966,HLOOKUP(INDIRECT(ADDRESS(2,COLUMN())),OFFSET($BN$2,0,0,ROW()-1,60),ROW()-1,FALSE))</f>
        <v>6.5501284750000002</v>
      </c>
      <c r="BI300">
        <f ca="1">IF(AND(ISNUMBER($BI$966),$B$677=1),$BI$966,HLOOKUP(INDIRECT(ADDRESS(2,COLUMN())),OFFSET($BN$2,0,0,ROW()-1,60),ROW()-1,FALSE))</f>
        <v>4.7669290350000004</v>
      </c>
      <c r="BJ300">
        <f ca="1">IF(AND(ISNUMBER($BJ$966),$B$677=1),$BJ$966,HLOOKUP(INDIRECT(ADDRESS(2,COLUMN())),OFFSET($BN$2,0,0,ROW()-1,60),ROW()-1,FALSE))</f>
        <v>4.8346350579999999</v>
      </c>
      <c r="BK300">
        <f ca="1">IF(AND(ISNUMBER($BK$966),$B$677=1),$BK$966,HLOOKUP(INDIRECT(ADDRESS(2,COLUMN())),OFFSET($BN$2,0,0,ROW()-1,60),ROW()-1,FALSE))</f>
        <v>4.7722168920000003</v>
      </c>
      <c r="BL300">
        <f ca="1">IF(AND(ISNUMBER($BL$966),$B$677=1),$BL$966,HLOOKUP(INDIRECT(ADDRESS(2,COLUMN())),OFFSET($BN$2,0,0,ROW()-1,60),ROW()-1,FALSE))</f>
        <v>4.472146253</v>
      </c>
      <c r="BM300">
        <f ca="1">IF(AND(ISNUMBER($BM$966),$B$677=1),$BM$966,HLOOKUP(INDIRECT(ADDRESS(2,COLUMN())),OFFSET($BN$2,0,0,ROW()-1,60),ROW()-1,FALSE))</f>
        <v>4.6569438449999998</v>
      </c>
      <c r="BN300" t="str">
        <f>""</f>
        <v/>
      </c>
      <c r="BO300">
        <f>1.916764227</f>
        <v>1.916764227</v>
      </c>
      <c r="BP300">
        <f>2.49154061</f>
        <v>2.4915406099999999</v>
      </c>
      <c r="BQ300">
        <f>2.296389127</f>
        <v>2.2963891269999999</v>
      </c>
      <c r="BR300">
        <f>2.833334049</f>
        <v>2.8333340489999999</v>
      </c>
      <c r="BS300">
        <f>3.038802306</f>
        <v>3.038802306</v>
      </c>
      <c r="BT300">
        <f>2.560366034</f>
        <v>2.5603660339999998</v>
      </c>
      <c r="BU300">
        <f>2.367428215</f>
        <v>2.3674282149999999</v>
      </c>
      <c r="BV300">
        <f>2.683386052</f>
        <v>2.6833860519999999</v>
      </c>
      <c r="BW300">
        <f>3.064898029</f>
        <v>3.0648980290000001</v>
      </c>
      <c r="BX300">
        <f>2.700154131</f>
        <v>2.7001541310000001</v>
      </c>
      <c r="BY300">
        <f>2.273971381</f>
        <v>2.273971381</v>
      </c>
      <c r="BZ300">
        <f>2.930904972</f>
        <v>2.930904972</v>
      </c>
      <c r="CA300">
        <f>3.472210886</f>
        <v>3.4722108860000001</v>
      </c>
      <c r="CB300">
        <f>2.742184621</f>
        <v>2.7421846209999998</v>
      </c>
      <c r="CC300">
        <f>4.079770104</f>
        <v>4.0797701039999996</v>
      </c>
      <c r="CD300">
        <f>4.789180023</f>
        <v>4.7891800230000001</v>
      </c>
      <c r="CE300">
        <f>3.815875773</f>
        <v>3.8158757730000001</v>
      </c>
      <c r="CF300">
        <f>3.035857202</f>
        <v>3.0358572019999999</v>
      </c>
      <c r="CG300">
        <f>4.120664513</f>
        <v>4.1206645130000004</v>
      </c>
      <c r="CH300">
        <f>4.141366763</f>
        <v>4.1413667629999997</v>
      </c>
      <c r="CI300">
        <f>4.175572519</f>
        <v>4.1755725190000001</v>
      </c>
      <c r="CJ300">
        <f>4.071753649</f>
        <v>4.0717536489999997</v>
      </c>
      <c r="CK300">
        <f>3.203598972</f>
        <v>3.203598972</v>
      </c>
      <c r="CL300">
        <f>3.020125826</f>
        <v>3.0201258260000001</v>
      </c>
      <c r="CM300">
        <f>2.592562917</f>
        <v>2.592562917</v>
      </c>
      <c r="CN300">
        <f>2.478704044</f>
        <v>2.4787040440000001</v>
      </c>
      <c r="CO300">
        <f>2.232932436</f>
        <v>2.232932436</v>
      </c>
      <c r="CP300">
        <f>2.934906397</f>
        <v>2.9349063969999998</v>
      </c>
      <c r="CQ300">
        <f>1.859673543</f>
        <v>1.859673543</v>
      </c>
      <c r="CR300">
        <f>2.049336147</f>
        <v>2.049336147</v>
      </c>
      <c r="CS300">
        <f>3.485530357</f>
        <v>3.485530357</v>
      </c>
      <c r="CT300">
        <f>3.435120503</f>
        <v>3.4351205029999998</v>
      </c>
      <c r="CU300">
        <f>3.890650686</f>
        <v>3.8906506859999999</v>
      </c>
      <c r="CV300">
        <f>3.705982925</f>
        <v>3.7059829249999998</v>
      </c>
      <c r="CW300">
        <f>4.285603737</f>
        <v>4.2856037369999997</v>
      </c>
      <c r="CX300">
        <f>5.052616071</f>
        <v>5.0526160710000001</v>
      </c>
      <c r="CY300">
        <f>10.59345795</f>
        <v>10.593457949999999</v>
      </c>
      <c r="CZ300">
        <f>10.49680729</f>
        <v>10.49680729</v>
      </c>
      <c r="DA300">
        <f>5.331836651</f>
        <v>5.3318366509999997</v>
      </c>
      <c r="DB300">
        <f>2.158827481</f>
        <v>2.1588274809999999</v>
      </c>
      <c r="DC300">
        <f>7.296399195</f>
        <v>7.2963991950000002</v>
      </c>
      <c r="DD300">
        <f>6.017157036</f>
        <v>6.0171570360000004</v>
      </c>
      <c r="DE300">
        <f>5.637190473</f>
        <v>5.6371904730000004</v>
      </c>
      <c r="DF300">
        <f>6.186930705</f>
        <v>6.186930705</v>
      </c>
      <c r="DG300">
        <f>6.545400552</f>
        <v>6.5454005520000003</v>
      </c>
      <c r="DH300">
        <f>7.360450775</f>
        <v>7.3604507750000003</v>
      </c>
      <c r="DI300">
        <f>7.814482804</f>
        <v>7.8144828039999998</v>
      </c>
      <c r="DJ300">
        <f>8.463539047</f>
        <v>8.4635390469999994</v>
      </c>
      <c r="DK300">
        <f>8.181932677</f>
        <v>8.1819326770000007</v>
      </c>
      <c r="DL300">
        <f>6.895385072</f>
        <v>6.8953850719999998</v>
      </c>
      <c r="DM300">
        <f>6.755809195</f>
        <v>6.7558091950000003</v>
      </c>
      <c r="DN300">
        <f>7.050760432</f>
        <v>7.0507604319999997</v>
      </c>
      <c r="DO300">
        <f>7.190492489</f>
        <v>7.1904924890000004</v>
      </c>
      <c r="DP300">
        <f>6.550128475</f>
        <v>6.5501284750000002</v>
      </c>
      <c r="DQ300">
        <f>4.766929035</f>
        <v>4.7669290350000004</v>
      </c>
      <c r="DR300">
        <f>4.834635058</f>
        <v>4.8346350579999999</v>
      </c>
      <c r="DS300">
        <f>4.772216892</f>
        <v>4.7722168920000003</v>
      </c>
      <c r="DT300">
        <f>4.472146253</f>
        <v>4.472146253</v>
      </c>
      <c r="DU300">
        <f>4.656943845</f>
        <v>4.6569438449999998</v>
      </c>
    </row>
    <row r="301" spans="1:125" x14ac:dyDescent="0.25">
      <c r="A301" t="str">
        <f>"    Dongfeng Motor Group Co Ltd"</f>
        <v xml:space="preserve">    Dongfeng Motor Group Co Ltd</v>
      </c>
      <c r="B301" t="str">
        <f>"489 HK Equity"</f>
        <v>489 HK Equity</v>
      </c>
      <c r="C301" t="str">
        <f t="shared" si="21"/>
        <v>RR474</v>
      </c>
      <c r="D301" t="str">
        <f t="shared" si="22"/>
        <v>EV_TO_T12M_EBITDA</v>
      </c>
      <c r="E301" t="str">
        <f t="shared" si="23"/>
        <v>Dynamic</v>
      </c>
      <c r="F301" t="str">
        <f ca="1">IF(AND(ISNUMBER($F$967),$B$677=1),$F$967,HLOOKUP(INDIRECT(ADDRESS(2,COLUMN())),OFFSET($BN$2,0,0,ROW()-1,60),ROW()-1,FALSE))</f>
        <v/>
      </c>
      <c r="G301" t="str">
        <f ca="1">IF(AND(ISNUMBER($G$967),$B$677=1),$G$967,HLOOKUP(INDIRECT(ADDRESS(2,COLUMN())),OFFSET($BN$2,0,0,ROW()-1,60),ROW()-1,FALSE))</f>
        <v/>
      </c>
      <c r="H301" t="str">
        <f ca="1">IF(AND(ISNUMBER($H$967),$B$677=1),$H$967,HLOOKUP(INDIRECT(ADDRESS(2,COLUMN())),OFFSET($BN$2,0,0,ROW()-1,60),ROW()-1,FALSE))</f>
        <v/>
      </c>
      <c r="I301" t="str">
        <f ca="1">IF(AND(ISNUMBER($I$967),$B$677=1),$I$967,HLOOKUP(INDIRECT(ADDRESS(2,COLUMN())),OFFSET($BN$2,0,0,ROW()-1,60),ROW()-1,FALSE))</f>
        <v/>
      </c>
      <c r="J301" t="str">
        <f ca="1">IF(AND(ISNUMBER($J$967),$B$677=1),$J$967,HLOOKUP(INDIRECT(ADDRESS(2,COLUMN())),OFFSET($BN$2,0,0,ROW()-1,60),ROW()-1,FALSE))</f>
        <v/>
      </c>
      <c r="K301" t="str">
        <f ca="1">IF(AND(ISNUMBER($K$967),$B$677=1),$K$967,HLOOKUP(INDIRECT(ADDRESS(2,COLUMN())),OFFSET($BN$2,0,0,ROW()-1,60),ROW()-1,FALSE))</f>
        <v/>
      </c>
      <c r="L301" t="str">
        <f ca="1">IF(AND(ISNUMBER($L$967),$B$677=1),$L$967,HLOOKUP(INDIRECT(ADDRESS(2,COLUMN())),OFFSET($BN$2,0,0,ROW()-1,60),ROW()-1,FALSE))</f>
        <v/>
      </c>
      <c r="M301" t="str">
        <f ca="1">IF(AND(ISNUMBER($M$967),$B$677=1),$M$967,HLOOKUP(INDIRECT(ADDRESS(2,COLUMN())),OFFSET($BN$2,0,0,ROW()-1,60),ROW()-1,FALSE))</f>
        <v/>
      </c>
      <c r="N301" t="str">
        <f ca="1">IF(AND(ISNUMBER($N$967),$B$677=1),$N$967,HLOOKUP(INDIRECT(ADDRESS(2,COLUMN())),OFFSET($BN$2,0,0,ROW()-1,60),ROW()-1,FALSE))</f>
        <v/>
      </c>
      <c r="O301" t="str">
        <f ca="1">IF(AND(ISNUMBER($O$967),$B$677=1),$O$967,HLOOKUP(INDIRECT(ADDRESS(2,COLUMN())),OFFSET($BN$2,0,0,ROW()-1,60),ROW()-1,FALSE))</f>
        <v/>
      </c>
      <c r="P301" t="str">
        <f ca="1">IF(AND(ISNUMBER($P$967),$B$677=1),$P$967,HLOOKUP(INDIRECT(ADDRESS(2,COLUMN())),OFFSET($BN$2,0,0,ROW()-1,60),ROW()-1,FALSE))</f>
        <v/>
      </c>
      <c r="Q301" t="str">
        <f ca="1">IF(AND(ISNUMBER($Q$967),$B$677=1),$Q$967,HLOOKUP(INDIRECT(ADDRESS(2,COLUMN())),OFFSET($BN$2,0,0,ROW()-1,60),ROW()-1,FALSE))</f>
        <v/>
      </c>
      <c r="R301" t="str">
        <f ca="1">IF(AND(ISNUMBER($R$967),$B$677=1),$R$967,HLOOKUP(INDIRECT(ADDRESS(2,COLUMN())),OFFSET($BN$2,0,0,ROW()-1,60),ROW()-1,FALSE))</f>
        <v/>
      </c>
      <c r="S301" t="str">
        <f ca="1">IF(AND(ISNUMBER($S$967),$B$677=1),$S$967,HLOOKUP(INDIRECT(ADDRESS(2,COLUMN())),OFFSET($BN$2,0,0,ROW()-1,60),ROW()-1,FALSE))</f>
        <v/>
      </c>
      <c r="T301" t="str">
        <f ca="1">IF(AND(ISNUMBER($T$967),$B$677=1),$T$967,HLOOKUP(INDIRECT(ADDRESS(2,COLUMN())),OFFSET($BN$2,0,0,ROW()-1,60),ROW()-1,FALSE))</f>
        <v/>
      </c>
      <c r="U301" t="str">
        <f ca="1">IF(AND(ISNUMBER($U$967),$B$677=1),$U$967,HLOOKUP(INDIRECT(ADDRESS(2,COLUMN())),OFFSET($BN$2,0,0,ROW()-1,60),ROW()-1,FALSE))</f>
        <v/>
      </c>
      <c r="V301" t="str">
        <f ca="1">IF(AND(ISNUMBER($V$967),$B$677=1),$V$967,HLOOKUP(INDIRECT(ADDRESS(2,COLUMN())),OFFSET($BN$2,0,0,ROW()-1,60),ROW()-1,FALSE))</f>
        <v/>
      </c>
      <c r="W301" t="str">
        <f ca="1">IF(AND(ISNUMBER($W$967),$B$677=1),$W$967,HLOOKUP(INDIRECT(ADDRESS(2,COLUMN())),OFFSET($BN$2,0,0,ROW()-1,60),ROW()-1,FALSE))</f>
        <v/>
      </c>
      <c r="X301" t="str">
        <f ca="1">IF(AND(ISNUMBER($X$967),$B$677=1),$X$967,HLOOKUP(INDIRECT(ADDRESS(2,COLUMN())),OFFSET($BN$2,0,0,ROW()-1,60),ROW()-1,FALSE))</f>
        <v/>
      </c>
      <c r="Y301" t="str">
        <f ca="1">IF(AND(ISNUMBER($Y$967),$B$677=1),$Y$967,HLOOKUP(INDIRECT(ADDRESS(2,COLUMN())),OFFSET($BN$2,0,0,ROW()-1,60),ROW()-1,FALSE))</f>
        <v/>
      </c>
      <c r="Z301" t="str">
        <f ca="1">IF(AND(ISNUMBER($Z$967),$B$677=1),$Z$967,HLOOKUP(INDIRECT(ADDRESS(2,COLUMN())),OFFSET($BN$2,0,0,ROW()-1,60),ROW()-1,FALSE))</f>
        <v/>
      </c>
      <c r="AA301" t="str">
        <f ca="1">IF(AND(ISNUMBER($AA$967),$B$677=1),$AA$967,HLOOKUP(INDIRECT(ADDRESS(2,COLUMN())),OFFSET($BN$2,0,0,ROW()-1,60),ROW()-1,FALSE))</f>
        <v/>
      </c>
      <c r="AB301" t="str">
        <f ca="1">IF(AND(ISNUMBER($AB$967),$B$677=1),$AB$967,HLOOKUP(INDIRECT(ADDRESS(2,COLUMN())),OFFSET($BN$2,0,0,ROW()-1,60),ROW()-1,FALSE))</f>
        <v/>
      </c>
      <c r="AC301" t="str">
        <f ca="1">IF(AND(ISNUMBER($AC$967),$B$677=1),$AC$967,HLOOKUP(INDIRECT(ADDRESS(2,COLUMN())),OFFSET($BN$2,0,0,ROW()-1,60),ROW()-1,FALSE))</f>
        <v/>
      </c>
      <c r="AD301" t="str">
        <f ca="1">IF(AND(ISNUMBER($AD$967),$B$677=1),$AD$967,HLOOKUP(INDIRECT(ADDRESS(2,COLUMN())),OFFSET($BN$2,0,0,ROW()-1,60),ROW()-1,FALSE))</f>
        <v/>
      </c>
      <c r="AE301" t="str">
        <f ca="1">IF(AND(ISNUMBER($AE$967),$B$677=1),$AE$967,HLOOKUP(INDIRECT(ADDRESS(2,COLUMN())),OFFSET($BN$2,0,0,ROW()-1,60),ROW()-1,FALSE))</f>
        <v/>
      </c>
      <c r="AF301" t="str">
        <f ca="1">IF(AND(ISNUMBER($AF$967),$B$677=1),$AF$967,HLOOKUP(INDIRECT(ADDRESS(2,COLUMN())),OFFSET($BN$2,0,0,ROW()-1,60),ROW()-1,FALSE))</f>
        <v/>
      </c>
      <c r="AG301" t="str">
        <f ca="1">IF(AND(ISNUMBER($AG$967),$B$677=1),$AG$967,HLOOKUP(INDIRECT(ADDRESS(2,COLUMN())),OFFSET($BN$2,0,0,ROW()-1,60),ROW()-1,FALSE))</f>
        <v/>
      </c>
      <c r="AH301" t="str">
        <f ca="1">IF(AND(ISNUMBER($AH$967),$B$677=1),$AH$967,HLOOKUP(INDIRECT(ADDRESS(2,COLUMN())),OFFSET($BN$2,0,0,ROW()-1,60),ROW()-1,FALSE))</f>
        <v/>
      </c>
      <c r="AI301" t="str">
        <f ca="1">IF(AND(ISNUMBER($AI$967),$B$677=1),$AI$967,HLOOKUP(INDIRECT(ADDRESS(2,COLUMN())),OFFSET($BN$2,0,0,ROW()-1,60),ROW()-1,FALSE))</f>
        <v/>
      </c>
      <c r="AJ301" t="str">
        <f ca="1">IF(AND(ISNUMBER($AJ$967),$B$677=1),$AJ$967,HLOOKUP(INDIRECT(ADDRESS(2,COLUMN())),OFFSET($BN$2,0,0,ROW()-1,60),ROW()-1,FALSE))</f>
        <v/>
      </c>
      <c r="AK301" t="str">
        <f ca="1">IF(AND(ISNUMBER($AK$967),$B$677=1),$AK$967,HLOOKUP(INDIRECT(ADDRESS(2,COLUMN())),OFFSET($BN$2,0,0,ROW()-1,60),ROW()-1,FALSE))</f>
        <v/>
      </c>
      <c r="AL301" t="str">
        <f ca="1">IF(AND(ISNUMBER($AL$967),$B$677=1),$AL$967,HLOOKUP(INDIRECT(ADDRESS(2,COLUMN())),OFFSET($BN$2,0,0,ROW()-1,60),ROW()-1,FALSE))</f>
        <v/>
      </c>
      <c r="AM301" t="str">
        <f ca="1">IF(AND(ISNUMBER($AM$967),$B$677=1),$AM$967,HLOOKUP(INDIRECT(ADDRESS(2,COLUMN())),OFFSET($BN$2,0,0,ROW()-1,60),ROW()-1,FALSE))</f>
        <v/>
      </c>
      <c r="AN301" t="str">
        <f ca="1">IF(AND(ISNUMBER($AN$967),$B$677=1),$AN$967,HLOOKUP(INDIRECT(ADDRESS(2,COLUMN())),OFFSET($BN$2,0,0,ROW()-1,60),ROW()-1,FALSE))</f>
        <v/>
      </c>
      <c r="AO301" t="str">
        <f ca="1">IF(AND(ISNUMBER($AO$967),$B$677=1),$AO$967,HLOOKUP(INDIRECT(ADDRESS(2,COLUMN())),OFFSET($BN$2,0,0,ROW()-1,60),ROW()-1,FALSE))</f>
        <v/>
      </c>
      <c r="AP301" t="str">
        <f ca="1">IF(AND(ISNUMBER($AP$967),$B$677=1),$AP$967,HLOOKUP(INDIRECT(ADDRESS(2,COLUMN())),OFFSET($BN$2,0,0,ROW()-1,60),ROW()-1,FALSE))</f>
        <v/>
      </c>
      <c r="AQ301" t="str">
        <f ca="1">IF(AND(ISNUMBER($AQ$967),$B$677=1),$AQ$967,HLOOKUP(INDIRECT(ADDRESS(2,COLUMN())),OFFSET($BN$2,0,0,ROW()-1,60),ROW()-1,FALSE))</f>
        <v/>
      </c>
      <c r="AR301" t="str">
        <f ca="1">IF(AND(ISNUMBER($AR$967),$B$677=1),$AR$967,HLOOKUP(INDIRECT(ADDRESS(2,COLUMN())),OFFSET($BN$2,0,0,ROW()-1,60),ROW()-1,FALSE))</f>
        <v/>
      </c>
      <c r="AS301" t="str">
        <f ca="1">IF(AND(ISNUMBER($AS$967),$B$677=1),$AS$967,HLOOKUP(INDIRECT(ADDRESS(2,COLUMN())),OFFSET($BN$2,0,0,ROW()-1,60),ROW()-1,FALSE))</f>
        <v/>
      </c>
      <c r="AT301" t="str">
        <f ca="1">IF(AND(ISNUMBER($AT$967),$B$677=1),$AT$967,HLOOKUP(INDIRECT(ADDRESS(2,COLUMN())),OFFSET($BN$2,0,0,ROW()-1,60),ROW()-1,FALSE))</f>
        <v/>
      </c>
      <c r="AU301" t="str">
        <f ca="1">IF(AND(ISNUMBER($AU$967),$B$677=1),$AU$967,HLOOKUP(INDIRECT(ADDRESS(2,COLUMN())),OFFSET($BN$2,0,0,ROW()-1,60),ROW()-1,FALSE))</f>
        <v/>
      </c>
      <c r="AV301" t="str">
        <f ca="1">IF(AND(ISNUMBER($AV$967),$B$677=1),$AV$967,HLOOKUP(INDIRECT(ADDRESS(2,COLUMN())),OFFSET($BN$2,0,0,ROW()-1,60),ROW()-1,FALSE))</f>
        <v/>
      </c>
      <c r="AW301" t="str">
        <f ca="1">IF(AND(ISNUMBER($AW$967),$B$677=1),$AW$967,HLOOKUP(INDIRECT(ADDRESS(2,COLUMN())),OFFSET($BN$2,0,0,ROW()-1,60),ROW()-1,FALSE))</f>
        <v/>
      </c>
      <c r="AX301" t="str">
        <f ca="1">IF(AND(ISNUMBER($AX$967),$B$677=1),$AX$967,HLOOKUP(INDIRECT(ADDRESS(2,COLUMN())),OFFSET($BN$2,0,0,ROW()-1,60),ROW()-1,FALSE))</f>
        <v/>
      </c>
      <c r="AY301" t="str">
        <f ca="1">IF(AND(ISNUMBER($AY$967),$B$677=1),$AY$967,HLOOKUP(INDIRECT(ADDRESS(2,COLUMN())),OFFSET($BN$2,0,0,ROW()-1,60),ROW()-1,FALSE))</f>
        <v/>
      </c>
      <c r="AZ301" t="str">
        <f ca="1">IF(AND(ISNUMBER($AZ$967),$B$677=1),$AZ$967,HLOOKUP(INDIRECT(ADDRESS(2,COLUMN())),OFFSET($BN$2,0,0,ROW()-1,60),ROW()-1,FALSE))</f>
        <v/>
      </c>
      <c r="BA301" t="str">
        <f ca="1">IF(AND(ISNUMBER($BA$967),$B$677=1),$BA$967,HLOOKUP(INDIRECT(ADDRESS(2,COLUMN())),OFFSET($BN$2,0,0,ROW()-1,60),ROW()-1,FALSE))</f>
        <v/>
      </c>
      <c r="BB301" t="str">
        <f ca="1">IF(AND(ISNUMBER($BB$967),$B$677=1),$BB$967,HLOOKUP(INDIRECT(ADDRESS(2,COLUMN())),OFFSET($BN$2,0,0,ROW()-1,60),ROW()-1,FALSE))</f>
        <v/>
      </c>
      <c r="BC301" t="str">
        <f ca="1">IF(AND(ISNUMBER($BC$967),$B$677=1),$BC$967,HLOOKUP(INDIRECT(ADDRESS(2,COLUMN())),OFFSET($BN$2,0,0,ROW()-1,60),ROW()-1,FALSE))</f>
        <v/>
      </c>
      <c r="BD301" t="str">
        <f ca="1">IF(AND(ISNUMBER($BD$967),$B$677=1),$BD$967,HLOOKUP(INDIRECT(ADDRESS(2,COLUMN())),OFFSET($BN$2,0,0,ROW()-1,60),ROW()-1,FALSE))</f>
        <v/>
      </c>
      <c r="BE301" t="str">
        <f ca="1">IF(AND(ISNUMBER($BE$967),$B$677=1),$BE$967,HLOOKUP(INDIRECT(ADDRESS(2,COLUMN())),OFFSET($BN$2,0,0,ROW()-1,60),ROW()-1,FALSE))</f>
        <v/>
      </c>
      <c r="BF301" t="str">
        <f ca="1">IF(AND(ISNUMBER($BF$967),$B$677=1),$BF$967,HLOOKUP(INDIRECT(ADDRESS(2,COLUMN())),OFFSET($BN$2,0,0,ROW()-1,60),ROW()-1,FALSE))</f>
        <v/>
      </c>
      <c r="BG301" t="str">
        <f ca="1">IF(AND(ISNUMBER($BG$967),$B$677=1),$BG$967,HLOOKUP(INDIRECT(ADDRESS(2,COLUMN())),OFFSET($BN$2,0,0,ROW()-1,60),ROW()-1,FALSE))</f>
        <v/>
      </c>
      <c r="BH301" t="str">
        <f ca="1">IF(AND(ISNUMBER($BH$967),$B$677=1),$BH$967,HLOOKUP(INDIRECT(ADDRESS(2,COLUMN())),OFFSET($BN$2,0,0,ROW()-1,60),ROW()-1,FALSE))</f>
        <v/>
      </c>
      <c r="BI301" t="str">
        <f ca="1">IF(AND(ISNUMBER($BI$967),$B$677=1),$BI$967,HLOOKUP(INDIRECT(ADDRESS(2,COLUMN())),OFFSET($BN$2,0,0,ROW()-1,60),ROW()-1,FALSE))</f>
        <v/>
      </c>
      <c r="BJ301" t="str">
        <f ca="1">IF(AND(ISNUMBER($BJ$967),$B$677=1),$BJ$967,HLOOKUP(INDIRECT(ADDRESS(2,COLUMN())),OFFSET($BN$2,0,0,ROW()-1,60),ROW()-1,FALSE))</f>
        <v/>
      </c>
      <c r="BK301" t="str">
        <f ca="1">IF(AND(ISNUMBER($BK$967),$B$677=1),$BK$967,HLOOKUP(INDIRECT(ADDRESS(2,COLUMN())),OFFSET($BN$2,0,0,ROW()-1,60),ROW()-1,FALSE))</f>
        <v/>
      </c>
      <c r="BL301" t="str">
        <f ca="1">IF(AND(ISNUMBER($BL$967),$B$677=1),$BL$967,HLOOKUP(INDIRECT(ADDRESS(2,COLUMN())),OFFSET($BN$2,0,0,ROW()-1,60),ROW()-1,FALSE))</f>
        <v/>
      </c>
      <c r="BM301" t="str">
        <f ca="1">IF(AND(ISNUMBER($BM$967),$B$677=1),$BM$967,HLOOKUP(INDIRECT(ADDRESS(2,COLUMN())),OFFSET($BN$2,0,0,ROW()-1,60),ROW()-1,FALSE))</f>
        <v/>
      </c>
      <c r="BN301" t="str">
        <f>""</f>
        <v/>
      </c>
      <c r="BO301" t="str">
        <f>""</f>
        <v/>
      </c>
      <c r="BP301" t="str">
        <f>""</f>
        <v/>
      </c>
      <c r="BQ301" t="str">
        <f>""</f>
        <v/>
      </c>
      <c r="BR301" t="str">
        <f>""</f>
        <v/>
      </c>
      <c r="BS301" t="str">
        <f>""</f>
        <v/>
      </c>
      <c r="BT301" t="str">
        <f>""</f>
        <v/>
      </c>
      <c r="BU301" t="str">
        <f>""</f>
        <v/>
      </c>
      <c r="BV301" t="str">
        <f>""</f>
        <v/>
      </c>
      <c r="BW301" t="str">
        <f>""</f>
        <v/>
      </c>
      <c r="BX301" t="str">
        <f>""</f>
        <v/>
      </c>
      <c r="BY301" t="str">
        <f>""</f>
        <v/>
      </c>
      <c r="BZ301" t="str">
        <f>""</f>
        <v/>
      </c>
      <c r="CA301" t="str">
        <f>""</f>
        <v/>
      </c>
      <c r="CB301" t="str">
        <f>""</f>
        <v/>
      </c>
      <c r="CC301" t="str">
        <f>""</f>
        <v/>
      </c>
      <c r="CD301" t="str">
        <f>""</f>
        <v/>
      </c>
      <c r="CE301" t="str">
        <f>""</f>
        <v/>
      </c>
      <c r="CF301" t="str">
        <f>""</f>
        <v/>
      </c>
      <c r="CG301" t="str">
        <f>""</f>
        <v/>
      </c>
      <c r="CH301" t="str">
        <f>""</f>
        <v/>
      </c>
      <c r="CI301" t="str">
        <f>""</f>
        <v/>
      </c>
      <c r="CJ301" t="str">
        <f>""</f>
        <v/>
      </c>
      <c r="CK301" t="str">
        <f>""</f>
        <v/>
      </c>
      <c r="CL301" t="str">
        <f>""</f>
        <v/>
      </c>
      <c r="CM301" t="str">
        <f>""</f>
        <v/>
      </c>
      <c r="CN301" t="str">
        <f>""</f>
        <v/>
      </c>
      <c r="CO301" t="str">
        <f>""</f>
        <v/>
      </c>
      <c r="CP301" t="str">
        <f>""</f>
        <v/>
      </c>
      <c r="CQ301" t="str">
        <f>""</f>
        <v/>
      </c>
      <c r="CR301" t="str">
        <f>""</f>
        <v/>
      </c>
      <c r="CS301" t="str">
        <f>""</f>
        <v/>
      </c>
      <c r="CT301" t="str">
        <f>""</f>
        <v/>
      </c>
      <c r="CU301" t="str">
        <f>""</f>
        <v/>
      </c>
      <c r="CV301" t="str">
        <f>""</f>
        <v/>
      </c>
      <c r="CW301" t="str">
        <f>""</f>
        <v/>
      </c>
      <c r="CX301" t="str">
        <f>""</f>
        <v/>
      </c>
      <c r="CY301" t="str">
        <f>""</f>
        <v/>
      </c>
      <c r="CZ301" t="str">
        <f>""</f>
        <v/>
      </c>
      <c r="DA301" t="str">
        <f>""</f>
        <v/>
      </c>
      <c r="DB301" t="str">
        <f>""</f>
        <v/>
      </c>
      <c r="DC301" t="str">
        <f>""</f>
        <v/>
      </c>
      <c r="DD301" t="str">
        <f>""</f>
        <v/>
      </c>
      <c r="DE301" t="str">
        <f>""</f>
        <v/>
      </c>
      <c r="DF301" t="str">
        <f>""</f>
        <v/>
      </c>
      <c r="DG301" t="str">
        <f>""</f>
        <v/>
      </c>
      <c r="DH301" t="str">
        <f>""</f>
        <v/>
      </c>
      <c r="DI301" t="str">
        <f>""</f>
        <v/>
      </c>
      <c r="DJ301" t="str">
        <f>""</f>
        <v/>
      </c>
      <c r="DK301" t="str">
        <f>""</f>
        <v/>
      </c>
      <c r="DL301" t="str">
        <f>""</f>
        <v/>
      </c>
      <c r="DM301" t="str">
        <f>""</f>
        <v/>
      </c>
      <c r="DN301" t="str">
        <f>""</f>
        <v/>
      </c>
      <c r="DO301" t="str">
        <f>""</f>
        <v/>
      </c>
      <c r="DP301" t="str">
        <f>""</f>
        <v/>
      </c>
      <c r="DQ301" t="str">
        <f>""</f>
        <v/>
      </c>
      <c r="DR301" t="str">
        <f>""</f>
        <v/>
      </c>
      <c r="DS301" t="str">
        <f>""</f>
        <v/>
      </c>
      <c r="DT301" t="str">
        <f>""</f>
        <v/>
      </c>
      <c r="DU301" t="str">
        <f>""</f>
        <v/>
      </c>
    </row>
    <row r="302" spans="1:125" x14ac:dyDescent="0.25">
      <c r="A302" t="str">
        <f>"    DRB-Hicom Bhd"</f>
        <v xml:space="preserve">    DRB-Hicom Bhd</v>
      </c>
      <c r="B302" t="str">
        <f>"DRB MK Equity"</f>
        <v>DRB MK Equity</v>
      </c>
      <c r="C302" t="str">
        <f t="shared" si="21"/>
        <v>RR474</v>
      </c>
      <c r="D302" t="str">
        <f t="shared" si="22"/>
        <v>EV_TO_T12M_EBITDA</v>
      </c>
      <c r="E302" t="str">
        <f t="shared" si="23"/>
        <v>Dynamic</v>
      </c>
      <c r="F302" t="str">
        <f ca="1">IF(AND(ISNUMBER($F$968),$B$677=1),$F$968,HLOOKUP(INDIRECT(ADDRESS(2,COLUMN())),OFFSET($BN$2,0,0,ROW()-1,60),ROW()-1,FALSE))</f>
        <v/>
      </c>
      <c r="G302" t="str">
        <f ca="1">IF(AND(ISNUMBER($G$968),$B$677=1),$G$968,HLOOKUP(INDIRECT(ADDRESS(2,COLUMN())),OFFSET($BN$2,0,0,ROW()-1,60),ROW()-1,FALSE))</f>
        <v/>
      </c>
      <c r="H302">
        <f ca="1">IF(AND(ISNUMBER($H$968),$B$677=1),$H$968,HLOOKUP(INDIRECT(ADDRESS(2,COLUMN())),OFFSET($BN$2,0,0,ROW()-1,60),ROW()-1,FALSE))</f>
        <v>25.070180189999999</v>
      </c>
      <c r="I302">
        <f ca="1">IF(AND(ISNUMBER($I$968),$B$677=1),$I$968,HLOOKUP(INDIRECT(ADDRESS(2,COLUMN())),OFFSET($BN$2,0,0,ROW()-1,60),ROW()-1,FALSE))</f>
        <v>7.8681212770000002</v>
      </c>
      <c r="J302">
        <f ca="1">IF(AND(ISNUMBER($J$968),$B$677=1),$J$968,HLOOKUP(INDIRECT(ADDRESS(2,COLUMN())),OFFSET($BN$2,0,0,ROW()-1,60),ROW()-1,FALSE))</f>
        <v>7.4722870429999997</v>
      </c>
      <c r="K302">
        <f ca="1">IF(AND(ISNUMBER($K$968),$B$677=1),$K$968,HLOOKUP(INDIRECT(ADDRESS(2,COLUMN())),OFFSET($BN$2,0,0,ROW()-1,60),ROW()-1,FALSE))</f>
        <v>7.2229777329999996</v>
      </c>
      <c r="L302">
        <f ca="1">IF(AND(ISNUMBER($L$968),$B$677=1),$L$968,HLOOKUP(INDIRECT(ADDRESS(2,COLUMN())),OFFSET($BN$2,0,0,ROW()-1,60),ROW()-1,FALSE))</f>
        <v>4.9590120180000001</v>
      </c>
      <c r="M302">
        <f ca="1">IF(AND(ISNUMBER($M$968),$B$677=1),$M$968,HLOOKUP(INDIRECT(ADDRESS(2,COLUMN())),OFFSET($BN$2,0,0,ROW()-1,60),ROW()-1,FALSE))</f>
        <v>10.844834990000001</v>
      </c>
      <c r="N302">
        <f ca="1">IF(AND(ISNUMBER($N$968),$B$677=1),$N$968,HLOOKUP(INDIRECT(ADDRESS(2,COLUMN())),OFFSET($BN$2,0,0,ROW()-1,60),ROW()-1,FALSE))</f>
        <v>10.7680156</v>
      </c>
      <c r="O302">
        <f ca="1">IF(AND(ISNUMBER($O$968),$B$677=1),$O$968,HLOOKUP(INDIRECT(ADDRESS(2,COLUMN())),OFFSET($BN$2,0,0,ROW()-1,60),ROW()-1,FALSE))</f>
        <v>20.589228599999998</v>
      </c>
      <c r="P302" t="str">
        <f ca="1">IF(AND(ISNUMBER($P$968),$B$677=1),$P$968,HLOOKUP(INDIRECT(ADDRESS(2,COLUMN())),OFFSET($BN$2,0,0,ROW()-1,60),ROW()-1,FALSE))</f>
        <v/>
      </c>
      <c r="Q302" t="str">
        <f ca="1">IF(AND(ISNUMBER($Q$968),$B$677=1),$Q$968,HLOOKUP(INDIRECT(ADDRESS(2,COLUMN())),OFFSET($BN$2,0,0,ROW()-1,60),ROW()-1,FALSE))</f>
        <v/>
      </c>
      <c r="R302">
        <f ca="1">IF(AND(ISNUMBER($R$968),$B$677=1),$R$968,HLOOKUP(INDIRECT(ADDRESS(2,COLUMN())),OFFSET($BN$2,0,0,ROW()-1,60),ROW()-1,FALSE))</f>
        <v>73.817015269999999</v>
      </c>
      <c r="S302">
        <f ca="1">IF(AND(ISNUMBER($S$968),$B$677=1),$S$968,HLOOKUP(INDIRECT(ADDRESS(2,COLUMN())),OFFSET($BN$2,0,0,ROW()-1,60),ROW()-1,FALSE))</f>
        <v>9.3228281479999993</v>
      </c>
      <c r="T302">
        <f ca="1">IF(AND(ISNUMBER($T$968),$B$677=1),$T$968,HLOOKUP(INDIRECT(ADDRESS(2,COLUMN())),OFFSET($BN$2,0,0,ROW()-1,60),ROW()-1,FALSE))</f>
        <v>11.011104599999999</v>
      </c>
      <c r="U302">
        <f ca="1">IF(AND(ISNUMBER($U$968),$B$677=1),$U$968,HLOOKUP(INDIRECT(ADDRESS(2,COLUMN())),OFFSET($BN$2,0,0,ROW()-1,60),ROW()-1,FALSE))</f>
        <v>9.9133112539999999</v>
      </c>
      <c r="V302">
        <f ca="1">IF(AND(ISNUMBER($V$968),$B$677=1),$V$968,HLOOKUP(INDIRECT(ADDRESS(2,COLUMN())),OFFSET($BN$2,0,0,ROW()-1,60),ROW()-1,FALSE))</f>
        <v>6.6958069509999998</v>
      </c>
      <c r="W302">
        <f ca="1">IF(AND(ISNUMBER($W$968),$B$677=1),$W$968,HLOOKUP(INDIRECT(ADDRESS(2,COLUMN())),OFFSET($BN$2,0,0,ROW()-1,60),ROW()-1,FALSE))</f>
        <v>6.1828372659999999</v>
      </c>
      <c r="X302">
        <f ca="1">IF(AND(ISNUMBER($X$968),$B$677=1),$X$968,HLOOKUP(INDIRECT(ADDRESS(2,COLUMN())),OFFSET($BN$2,0,0,ROW()-1,60),ROW()-1,FALSE))</f>
        <v>6.1549097430000002</v>
      </c>
      <c r="Y302">
        <f ca="1">IF(AND(ISNUMBER($Y$968),$B$677=1),$Y$968,HLOOKUP(INDIRECT(ADDRESS(2,COLUMN())),OFFSET($BN$2,0,0,ROW()-1,60),ROW()-1,FALSE))</f>
        <v>5.7246489980000002</v>
      </c>
      <c r="Z302">
        <f ca="1">IF(AND(ISNUMBER($Z$968),$B$677=1),$Z$968,HLOOKUP(INDIRECT(ADDRESS(2,COLUMN())),OFFSET($BN$2,0,0,ROW()-1,60),ROW()-1,FALSE))</f>
        <v>5.2667658719999997</v>
      </c>
      <c r="AA302">
        <f ca="1">IF(AND(ISNUMBER($AA$968),$B$677=1),$AA$968,HLOOKUP(INDIRECT(ADDRESS(2,COLUMN())),OFFSET($BN$2,0,0,ROW()-1,60),ROW()-1,FALSE))</f>
        <v>4.6789242270000004</v>
      </c>
      <c r="AB302">
        <f ca="1">IF(AND(ISNUMBER($AB$968),$B$677=1),$AB$968,HLOOKUP(INDIRECT(ADDRESS(2,COLUMN())),OFFSET($BN$2,0,0,ROW()-1,60),ROW()-1,FALSE))</f>
        <v>5.0224292369999999</v>
      </c>
      <c r="AC302">
        <f ca="1">IF(AND(ISNUMBER($AC$968),$B$677=1),$AC$968,HLOOKUP(INDIRECT(ADDRESS(2,COLUMN())),OFFSET($BN$2,0,0,ROW()-1,60),ROW()-1,FALSE))</f>
        <v>5.3137188829999999</v>
      </c>
      <c r="AD302">
        <f ca="1">IF(AND(ISNUMBER($AD$968),$B$677=1),$AD$968,HLOOKUP(INDIRECT(ADDRESS(2,COLUMN())),OFFSET($BN$2,0,0,ROW()-1,60),ROW()-1,FALSE))</f>
        <v>3.001722215</v>
      </c>
      <c r="AE302">
        <f ca="1">IF(AND(ISNUMBER($AE$968),$B$677=1),$AE$968,HLOOKUP(INDIRECT(ADDRESS(2,COLUMN())),OFFSET($BN$2,0,0,ROW()-1,60),ROW()-1,FALSE))</f>
        <v>3.1434648379999999</v>
      </c>
      <c r="AF302">
        <f ca="1">IF(AND(ISNUMBER($AF$968),$B$677=1),$AF$968,HLOOKUP(INDIRECT(ADDRESS(2,COLUMN())),OFFSET($BN$2,0,0,ROW()-1,60),ROW()-1,FALSE))</f>
        <v>2.860536771</v>
      </c>
      <c r="AG302">
        <f ca="1">IF(AND(ISNUMBER($AG$968),$B$677=1),$AG$968,HLOOKUP(INDIRECT(ADDRESS(2,COLUMN())),OFFSET($BN$2,0,0,ROW()-1,60),ROW()-1,FALSE))</f>
        <v>3.2458010509999999</v>
      </c>
      <c r="AH302">
        <f ca="1">IF(AND(ISNUMBER($AH$968),$B$677=1),$AH$968,HLOOKUP(INDIRECT(ADDRESS(2,COLUMN())),OFFSET($BN$2,0,0,ROW()-1,60),ROW()-1,FALSE))</f>
        <v>1.3000054720000001</v>
      </c>
      <c r="AI302">
        <f ca="1">IF(AND(ISNUMBER($AI$968),$B$677=1),$AI$968,HLOOKUP(INDIRECT(ADDRESS(2,COLUMN())),OFFSET($BN$2,0,0,ROW()-1,60),ROW()-1,FALSE))</f>
        <v>2.8874767530000001</v>
      </c>
      <c r="AJ302">
        <f ca="1">IF(AND(ISNUMBER($AJ$968),$B$677=1),$AJ$968,HLOOKUP(INDIRECT(ADDRESS(2,COLUMN())),OFFSET($BN$2,0,0,ROW()-1,60),ROW()-1,FALSE))</f>
        <v>2.120551523</v>
      </c>
      <c r="AK302" t="str">
        <f ca="1">IF(AND(ISNUMBER($AK$968),$B$677=1),$AK$968,HLOOKUP(INDIRECT(ADDRESS(2,COLUMN())),OFFSET($BN$2,0,0,ROW()-1,60),ROW()-1,FALSE))</f>
        <v/>
      </c>
      <c r="AL302" t="str">
        <f ca="1">IF(AND(ISNUMBER($AL$968),$B$677=1),$AL$968,HLOOKUP(INDIRECT(ADDRESS(2,COLUMN())),OFFSET($BN$2,0,0,ROW()-1,60),ROW()-1,FALSE))</f>
        <v/>
      </c>
      <c r="AM302">
        <f ca="1">IF(AND(ISNUMBER($AM$968),$B$677=1),$AM$968,HLOOKUP(INDIRECT(ADDRESS(2,COLUMN())),OFFSET($BN$2,0,0,ROW()-1,60),ROW()-1,FALSE))</f>
        <v>15.074870580000001</v>
      </c>
      <c r="AN302">
        <f ca="1">IF(AND(ISNUMBER($AN$968),$B$677=1),$AN$968,HLOOKUP(INDIRECT(ADDRESS(2,COLUMN())),OFFSET($BN$2,0,0,ROW()-1,60),ROW()-1,FALSE))</f>
        <v>15.628465589999999</v>
      </c>
      <c r="AO302">
        <f ca="1">IF(AND(ISNUMBER($AO$968),$B$677=1),$AO$968,HLOOKUP(INDIRECT(ADDRESS(2,COLUMN())),OFFSET($BN$2,0,0,ROW()-1,60),ROW()-1,FALSE))</f>
        <v>17.332010610000001</v>
      </c>
      <c r="AP302" t="str">
        <f ca="1">IF(AND(ISNUMBER($AP$968),$B$677=1),$AP$968,HLOOKUP(INDIRECT(ADDRESS(2,COLUMN())),OFFSET($BN$2,0,0,ROW()-1,60),ROW()-1,FALSE))</f>
        <v/>
      </c>
      <c r="AQ302" t="str">
        <f ca="1">IF(AND(ISNUMBER($AQ$968),$B$677=1),$AQ$968,HLOOKUP(INDIRECT(ADDRESS(2,COLUMN())),OFFSET($BN$2,0,0,ROW()-1,60),ROW()-1,FALSE))</f>
        <v/>
      </c>
      <c r="AR302" t="str">
        <f ca="1">IF(AND(ISNUMBER($AR$968),$B$677=1),$AR$968,HLOOKUP(INDIRECT(ADDRESS(2,COLUMN())),OFFSET($BN$2,0,0,ROW()-1,60),ROW()-1,FALSE))</f>
        <v/>
      </c>
      <c r="AS302">
        <f ca="1">IF(AND(ISNUMBER($AS$968),$B$677=1),$AS$968,HLOOKUP(INDIRECT(ADDRESS(2,COLUMN())),OFFSET($BN$2,0,0,ROW()-1,60),ROW()-1,FALSE))</f>
        <v>32.052132069999999</v>
      </c>
      <c r="AT302" t="str">
        <f ca="1">IF(AND(ISNUMBER($AT$968),$B$677=1),$AT$968,HLOOKUP(INDIRECT(ADDRESS(2,COLUMN())),OFFSET($BN$2,0,0,ROW()-1,60),ROW()-1,FALSE))</f>
        <v/>
      </c>
      <c r="AU302" t="str">
        <f ca="1">IF(AND(ISNUMBER($AU$968),$B$677=1),$AU$968,HLOOKUP(INDIRECT(ADDRESS(2,COLUMN())),OFFSET($BN$2,0,0,ROW()-1,60),ROW()-1,FALSE))</f>
        <v/>
      </c>
      <c r="AV302">
        <f ca="1">IF(AND(ISNUMBER($AV$968),$B$677=1),$AV$968,HLOOKUP(INDIRECT(ADDRESS(2,COLUMN())),OFFSET($BN$2,0,0,ROW()-1,60),ROW()-1,FALSE))</f>
        <v>0.92348226</v>
      </c>
      <c r="AW302">
        <f ca="1">IF(AND(ISNUMBER($AW$968),$B$677=1),$AW$968,HLOOKUP(INDIRECT(ADDRESS(2,COLUMN())),OFFSET($BN$2,0,0,ROW()-1,60),ROW()-1,FALSE))</f>
        <v>0.90071504700000005</v>
      </c>
      <c r="AX302">
        <f ca="1">IF(AND(ISNUMBER($AX$968),$B$677=1),$AX$968,HLOOKUP(INDIRECT(ADDRESS(2,COLUMN())),OFFSET($BN$2,0,0,ROW()-1,60),ROW()-1,FALSE))</f>
        <v>5.3208467840000004</v>
      </c>
      <c r="AY302">
        <f ca="1">IF(AND(ISNUMBER($AY$968),$B$677=1),$AY$968,HLOOKUP(INDIRECT(ADDRESS(2,COLUMN())),OFFSET($BN$2,0,0,ROW()-1,60),ROW()-1,FALSE))</f>
        <v>4.5665247359999999</v>
      </c>
      <c r="AZ302">
        <f ca="1">IF(AND(ISNUMBER($AZ$968),$B$677=1),$AZ$968,HLOOKUP(INDIRECT(ADDRESS(2,COLUMN())),OFFSET($BN$2,0,0,ROW()-1,60),ROW()-1,FALSE))</f>
        <v>5.9446733800000002</v>
      </c>
      <c r="BA302">
        <f ca="1">IF(AND(ISNUMBER($BA$968),$B$677=1),$BA$968,HLOOKUP(INDIRECT(ADDRESS(2,COLUMN())),OFFSET($BN$2,0,0,ROW()-1,60),ROW()-1,FALSE))</f>
        <v>5.2814441280000004</v>
      </c>
      <c r="BB302">
        <f ca="1">IF(AND(ISNUMBER($BB$968),$B$677=1),$BB$968,HLOOKUP(INDIRECT(ADDRESS(2,COLUMN())),OFFSET($BN$2,0,0,ROW()-1,60),ROW()-1,FALSE))</f>
        <v>7.2048222370000001</v>
      </c>
      <c r="BC302">
        <f ca="1">IF(AND(ISNUMBER($BC$968),$B$677=1),$BC$968,HLOOKUP(INDIRECT(ADDRESS(2,COLUMN())),OFFSET($BN$2,0,0,ROW()-1,60),ROW()-1,FALSE))</f>
        <v>25.667754769999998</v>
      </c>
      <c r="BD302" t="str">
        <f ca="1">IF(AND(ISNUMBER($BD$968),$B$677=1),$BD$968,HLOOKUP(INDIRECT(ADDRESS(2,COLUMN())),OFFSET($BN$2,0,0,ROW()-1,60),ROW()-1,FALSE))</f>
        <v/>
      </c>
      <c r="BE302" t="str">
        <f ca="1">IF(AND(ISNUMBER($BE$968),$B$677=1),$BE$968,HLOOKUP(INDIRECT(ADDRESS(2,COLUMN())),OFFSET($BN$2,0,0,ROW()-1,60),ROW()-1,FALSE))</f>
        <v/>
      </c>
      <c r="BF302" t="str">
        <f ca="1">IF(AND(ISNUMBER($BF$968),$B$677=1),$BF$968,HLOOKUP(INDIRECT(ADDRESS(2,COLUMN())),OFFSET($BN$2,0,0,ROW()-1,60),ROW()-1,FALSE))</f>
        <v/>
      </c>
      <c r="BG302">
        <f ca="1">IF(AND(ISNUMBER($BG$968),$B$677=1),$BG$968,HLOOKUP(INDIRECT(ADDRESS(2,COLUMN())),OFFSET($BN$2,0,0,ROW()-1,60),ROW()-1,FALSE))</f>
        <v>41.696342919999999</v>
      </c>
      <c r="BH302">
        <f ca="1">IF(AND(ISNUMBER($BH$968),$B$677=1),$BH$968,HLOOKUP(INDIRECT(ADDRESS(2,COLUMN())),OFFSET($BN$2,0,0,ROW()-1,60),ROW()-1,FALSE))</f>
        <v>11.744582400000001</v>
      </c>
      <c r="BI302">
        <f ca="1">IF(AND(ISNUMBER($BI$968),$B$677=1),$BI$968,HLOOKUP(INDIRECT(ADDRESS(2,COLUMN())),OFFSET($BN$2,0,0,ROW()-1,60),ROW()-1,FALSE))</f>
        <v>9.4103504929999993</v>
      </c>
      <c r="BJ302">
        <f ca="1">IF(AND(ISNUMBER($BJ$968),$B$677=1),$BJ$968,HLOOKUP(INDIRECT(ADDRESS(2,COLUMN())),OFFSET($BN$2,0,0,ROW()-1,60),ROW()-1,FALSE))</f>
        <v>10.84501305</v>
      </c>
      <c r="BK302">
        <f ca="1">IF(AND(ISNUMBER($BK$968),$B$677=1),$BK$968,HLOOKUP(INDIRECT(ADDRESS(2,COLUMN())),OFFSET($BN$2,0,0,ROW()-1,60),ROW()-1,FALSE))</f>
        <v>10.53573048</v>
      </c>
      <c r="BL302">
        <f ca="1">IF(AND(ISNUMBER($BL$968),$B$677=1),$BL$968,HLOOKUP(INDIRECT(ADDRESS(2,COLUMN())),OFFSET($BN$2,0,0,ROW()-1,60),ROW()-1,FALSE))</f>
        <v>10.344501899999999</v>
      </c>
      <c r="BM302">
        <f ca="1">IF(AND(ISNUMBER($BM$968),$B$677=1),$BM$968,HLOOKUP(INDIRECT(ADDRESS(2,COLUMN())),OFFSET($BN$2,0,0,ROW()-1,60),ROW()-1,FALSE))</f>
        <v>9.3970798470000005</v>
      </c>
      <c r="BN302" t="str">
        <f>""</f>
        <v/>
      </c>
      <c r="BO302" t="str">
        <f>""</f>
        <v/>
      </c>
      <c r="BP302">
        <f>25.07018019</f>
        <v>25.070180189999999</v>
      </c>
      <c r="BQ302">
        <f>7.868121277</f>
        <v>7.8681212770000002</v>
      </c>
      <c r="BR302">
        <f>7.472287043</f>
        <v>7.4722870429999997</v>
      </c>
      <c r="BS302">
        <f>7.222977733</f>
        <v>7.2229777329999996</v>
      </c>
      <c r="BT302">
        <f>4.959012018</f>
        <v>4.9590120180000001</v>
      </c>
      <c r="BU302">
        <f>10.84483499</f>
        <v>10.844834990000001</v>
      </c>
      <c r="BV302">
        <f>10.7680156</f>
        <v>10.7680156</v>
      </c>
      <c r="BW302">
        <f>20.5892286</f>
        <v>20.589228599999998</v>
      </c>
      <c r="BX302" t="str">
        <f>""</f>
        <v/>
      </c>
      <c r="BY302" t="str">
        <f>""</f>
        <v/>
      </c>
      <c r="BZ302">
        <f>73.81701527</f>
        <v>73.817015269999999</v>
      </c>
      <c r="CA302">
        <f>9.322828148</f>
        <v>9.3228281479999993</v>
      </c>
      <c r="CB302">
        <f>11.0111046</f>
        <v>11.011104599999999</v>
      </c>
      <c r="CC302">
        <f>9.913311254</f>
        <v>9.9133112539999999</v>
      </c>
      <c r="CD302">
        <f>6.695806951</f>
        <v>6.6958069509999998</v>
      </c>
      <c r="CE302">
        <f>6.182837266</f>
        <v>6.1828372659999999</v>
      </c>
      <c r="CF302">
        <f>6.154909743</f>
        <v>6.1549097430000002</v>
      </c>
      <c r="CG302">
        <f>5.724648998</f>
        <v>5.7246489980000002</v>
      </c>
      <c r="CH302">
        <f>5.266765872</f>
        <v>5.2667658719999997</v>
      </c>
      <c r="CI302">
        <f>4.678924227</f>
        <v>4.6789242270000004</v>
      </c>
      <c r="CJ302">
        <f>5.022429237</f>
        <v>5.0224292369999999</v>
      </c>
      <c r="CK302">
        <f>5.313718883</f>
        <v>5.3137188829999999</v>
      </c>
      <c r="CL302">
        <f>3.001722215</f>
        <v>3.001722215</v>
      </c>
      <c r="CM302">
        <f>3.143464838</f>
        <v>3.1434648379999999</v>
      </c>
      <c r="CN302">
        <f>2.860536771</f>
        <v>2.860536771</v>
      </c>
      <c r="CO302">
        <f>3.245801051</f>
        <v>3.2458010509999999</v>
      </c>
      <c r="CP302">
        <f>1.300005472</f>
        <v>1.3000054720000001</v>
      </c>
      <c r="CQ302">
        <f>2.887476753</f>
        <v>2.8874767530000001</v>
      </c>
      <c r="CR302">
        <f>2.120551523</f>
        <v>2.120551523</v>
      </c>
      <c r="CS302" t="str">
        <f>""</f>
        <v/>
      </c>
      <c r="CT302" t="str">
        <f>""</f>
        <v/>
      </c>
      <c r="CU302">
        <f>15.07487058</f>
        <v>15.074870580000001</v>
      </c>
      <c r="CV302">
        <f>15.62846559</f>
        <v>15.628465589999999</v>
      </c>
      <c r="CW302">
        <f>17.33201061</f>
        <v>17.332010610000001</v>
      </c>
      <c r="CX302" t="str">
        <f>""</f>
        <v/>
      </c>
      <c r="CY302" t="str">
        <f>""</f>
        <v/>
      </c>
      <c r="CZ302" t="str">
        <f>""</f>
        <v/>
      </c>
      <c r="DA302">
        <f>32.05213207</f>
        <v>32.052132069999999</v>
      </c>
      <c r="DB302" t="str">
        <f>""</f>
        <v/>
      </c>
      <c r="DC302" t="str">
        <f>""</f>
        <v/>
      </c>
      <c r="DD302">
        <f>0.92348226</f>
        <v>0.92348226</v>
      </c>
      <c r="DE302">
        <f>0.900715047</f>
        <v>0.90071504700000005</v>
      </c>
      <c r="DF302">
        <f>5.320846784</f>
        <v>5.3208467840000004</v>
      </c>
      <c r="DG302">
        <f>4.566524736</f>
        <v>4.5665247359999999</v>
      </c>
      <c r="DH302">
        <f>5.94467338</f>
        <v>5.9446733800000002</v>
      </c>
      <c r="DI302">
        <f>5.281444128</f>
        <v>5.2814441280000004</v>
      </c>
      <c r="DJ302">
        <f>7.204822237</f>
        <v>7.2048222370000001</v>
      </c>
      <c r="DK302">
        <f>25.66775477</f>
        <v>25.667754769999998</v>
      </c>
      <c r="DL302" t="str">
        <f>""</f>
        <v/>
      </c>
      <c r="DM302" t="str">
        <f>""</f>
        <v/>
      </c>
      <c r="DN302" t="str">
        <f>""</f>
        <v/>
      </c>
      <c r="DO302">
        <f>41.69634292</f>
        <v>41.696342919999999</v>
      </c>
      <c r="DP302">
        <f>11.7445824</f>
        <v>11.744582400000001</v>
      </c>
      <c r="DQ302">
        <f>9.410350493</f>
        <v>9.4103504929999993</v>
      </c>
      <c r="DR302">
        <f>10.84501305</f>
        <v>10.84501305</v>
      </c>
      <c r="DS302">
        <f>10.53573048</f>
        <v>10.53573048</v>
      </c>
      <c r="DT302">
        <f>10.3445019</f>
        <v>10.344501899999999</v>
      </c>
      <c r="DU302">
        <f>9.397079847</f>
        <v>9.3970798470000005</v>
      </c>
    </row>
    <row r="303" spans="1:125" x14ac:dyDescent="0.25">
      <c r="A303" t="str">
        <f>"    FAW CAR Co Ltd"</f>
        <v xml:space="preserve">    FAW CAR Co Ltd</v>
      </c>
      <c r="B303" t="str">
        <f>"000800 CH Equity"</f>
        <v>000800 CH Equity</v>
      </c>
      <c r="C303" t="str">
        <f t="shared" si="21"/>
        <v>RR474</v>
      </c>
      <c r="D303" t="str">
        <f t="shared" si="22"/>
        <v>EV_TO_T12M_EBITDA</v>
      </c>
      <c r="E303" t="str">
        <f t="shared" si="23"/>
        <v>Dynamic</v>
      </c>
      <c r="F303" t="str">
        <f ca="1">IF(AND(ISNUMBER($F$969),$B$677=1),$F$969,HLOOKUP(INDIRECT(ADDRESS(2,COLUMN())),OFFSET($BN$2,0,0,ROW()-1,60),ROW()-1,FALSE))</f>
        <v/>
      </c>
      <c r="G303" t="str">
        <f ca="1">IF(AND(ISNUMBER($G$969),$B$677=1),$G$969,HLOOKUP(INDIRECT(ADDRESS(2,COLUMN())),OFFSET($BN$2,0,0,ROW()-1,60),ROW()-1,FALSE))</f>
        <v/>
      </c>
      <c r="H303" t="str">
        <f ca="1">IF(AND(ISNUMBER($H$969),$B$677=1),$H$969,HLOOKUP(INDIRECT(ADDRESS(2,COLUMN())),OFFSET($BN$2,0,0,ROW()-1,60),ROW()-1,FALSE))</f>
        <v/>
      </c>
      <c r="I303" t="str">
        <f ca="1">IF(AND(ISNUMBER($I$969),$B$677=1),$I$969,HLOOKUP(INDIRECT(ADDRESS(2,COLUMN())),OFFSET($BN$2,0,0,ROW()-1,60),ROW()-1,FALSE))</f>
        <v/>
      </c>
      <c r="J303" t="str">
        <f ca="1">IF(AND(ISNUMBER($J$969),$B$677=1),$J$969,HLOOKUP(INDIRECT(ADDRESS(2,COLUMN())),OFFSET($BN$2,0,0,ROW()-1,60),ROW()-1,FALSE))</f>
        <v/>
      </c>
      <c r="K303" t="str">
        <f ca="1">IF(AND(ISNUMBER($K$969),$B$677=1),$K$969,HLOOKUP(INDIRECT(ADDRESS(2,COLUMN())),OFFSET($BN$2,0,0,ROW()-1,60),ROW()-1,FALSE))</f>
        <v/>
      </c>
      <c r="L303" t="str">
        <f ca="1">IF(AND(ISNUMBER($L$969),$B$677=1),$L$969,HLOOKUP(INDIRECT(ADDRESS(2,COLUMN())),OFFSET($BN$2,0,0,ROW()-1,60),ROW()-1,FALSE))</f>
        <v/>
      </c>
      <c r="M303" t="str">
        <f ca="1">IF(AND(ISNUMBER($M$969),$B$677=1),$M$969,HLOOKUP(INDIRECT(ADDRESS(2,COLUMN())),OFFSET($BN$2,0,0,ROW()-1,60),ROW()-1,FALSE))</f>
        <v/>
      </c>
      <c r="N303" t="str">
        <f ca="1">IF(AND(ISNUMBER($N$969),$B$677=1),$N$969,HLOOKUP(INDIRECT(ADDRESS(2,COLUMN())),OFFSET($BN$2,0,0,ROW()-1,60),ROW()-1,FALSE))</f>
        <v/>
      </c>
      <c r="O303" t="str">
        <f ca="1">IF(AND(ISNUMBER($O$969),$B$677=1),$O$969,HLOOKUP(INDIRECT(ADDRESS(2,COLUMN())),OFFSET($BN$2,0,0,ROW()-1,60),ROW()-1,FALSE))</f>
        <v/>
      </c>
      <c r="P303" t="str">
        <f ca="1">IF(AND(ISNUMBER($P$969),$B$677=1),$P$969,HLOOKUP(INDIRECT(ADDRESS(2,COLUMN())),OFFSET($BN$2,0,0,ROW()-1,60),ROW()-1,FALSE))</f>
        <v/>
      </c>
      <c r="Q303" t="str">
        <f ca="1">IF(AND(ISNUMBER($Q$969),$B$677=1),$Q$969,HLOOKUP(INDIRECT(ADDRESS(2,COLUMN())),OFFSET($BN$2,0,0,ROW()-1,60),ROW()-1,FALSE))</f>
        <v/>
      </c>
      <c r="R303" t="str">
        <f ca="1">IF(AND(ISNUMBER($R$969),$B$677=1),$R$969,HLOOKUP(INDIRECT(ADDRESS(2,COLUMN())),OFFSET($BN$2,0,0,ROW()-1,60),ROW()-1,FALSE))</f>
        <v/>
      </c>
      <c r="S303" t="str">
        <f ca="1">IF(AND(ISNUMBER($S$969),$B$677=1),$S$969,HLOOKUP(INDIRECT(ADDRESS(2,COLUMN())),OFFSET($BN$2,0,0,ROW()-1,60),ROW()-1,FALSE))</f>
        <v/>
      </c>
      <c r="T303" t="str">
        <f ca="1">IF(AND(ISNUMBER($T$969),$B$677=1),$T$969,HLOOKUP(INDIRECT(ADDRESS(2,COLUMN())),OFFSET($BN$2,0,0,ROW()-1,60),ROW()-1,FALSE))</f>
        <v/>
      </c>
      <c r="U303" t="str">
        <f ca="1">IF(AND(ISNUMBER($U$969),$B$677=1),$U$969,HLOOKUP(INDIRECT(ADDRESS(2,COLUMN())),OFFSET($BN$2,0,0,ROW()-1,60),ROW()-1,FALSE))</f>
        <v/>
      </c>
      <c r="V303" t="str">
        <f ca="1">IF(AND(ISNUMBER($V$969),$B$677=1),$V$969,HLOOKUP(INDIRECT(ADDRESS(2,COLUMN())),OFFSET($BN$2,0,0,ROW()-1,60),ROW()-1,FALSE))</f>
        <v/>
      </c>
      <c r="W303" t="str">
        <f ca="1">IF(AND(ISNUMBER($W$969),$B$677=1),$W$969,HLOOKUP(INDIRECT(ADDRESS(2,COLUMN())),OFFSET($BN$2,0,0,ROW()-1,60),ROW()-1,FALSE))</f>
        <v/>
      </c>
      <c r="X303" t="str">
        <f ca="1">IF(AND(ISNUMBER($X$969),$B$677=1),$X$969,HLOOKUP(INDIRECT(ADDRESS(2,COLUMN())),OFFSET($BN$2,0,0,ROW()-1,60),ROW()-1,FALSE))</f>
        <v/>
      </c>
      <c r="Y303" t="str">
        <f ca="1">IF(AND(ISNUMBER($Y$969),$B$677=1),$Y$969,HLOOKUP(INDIRECT(ADDRESS(2,COLUMN())),OFFSET($BN$2,0,0,ROW()-1,60),ROW()-1,FALSE))</f>
        <v/>
      </c>
      <c r="Z303" t="str">
        <f ca="1">IF(AND(ISNUMBER($Z$969),$B$677=1),$Z$969,HLOOKUP(INDIRECT(ADDRESS(2,COLUMN())),OFFSET($BN$2,0,0,ROW()-1,60),ROW()-1,FALSE))</f>
        <v/>
      </c>
      <c r="AA303" t="str">
        <f ca="1">IF(AND(ISNUMBER($AA$969),$B$677=1),$AA$969,HLOOKUP(INDIRECT(ADDRESS(2,COLUMN())),OFFSET($BN$2,0,0,ROW()-1,60),ROW()-1,FALSE))</f>
        <v/>
      </c>
      <c r="AB303" t="str">
        <f ca="1">IF(AND(ISNUMBER($AB$969),$B$677=1),$AB$969,HLOOKUP(INDIRECT(ADDRESS(2,COLUMN())),OFFSET($BN$2,0,0,ROW()-1,60),ROW()-1,FALSE))</f>
        <v/>
      </c>
      <c r="AC303" t="str">
        <f ca="1">IF(AND(ISNUMBER($AC$969),$B$677=1),$AC$969,HLOOKUP(INDIRECT(ADDRESS(2,COLUMN())),OFFSET($BN$2,0,0,ROW()-1,60),ROW()-1,FALSE))</f>
        <v/>
      </c>
      <c r="AD303" t="str">
        <f ca="1">IF(AND(ISNUMBER($AD$969),$B$677=1),$AD$969,HLOOKUP(INDIRECT(ADDRESS(2,COLUMN())),OFFSET($BN$2,0,0,ROW()-1,60),ROW()-1,FALSE))</f>
        <v/>
      </c>
      <c r="AE303" t="str">
        <f ca="1">IF(AND(ISNUMBER($AE$969),$B$677=1),$AE$969,HLOOKUP(INDIRECT(ADDRESS(2,COLUMN())),OFFSET($BN$2,0,0,ROW()-1,60),ROW()-1,FALSE))</f>
        <v/>
      </c>
      <c r="AF303" t="str">
        <f ca="1">IF(AND(ISNUMBER($AF$969),$B$677=1),$AF$969,HLOOKUP(INDIRECT(ADDRESS(2,COLUMN())),OFFSET($BN$2,0,0,ROW()-1,60),ROW()-1,FALSE))</f>
        <v/>
      </c>
      <c r="AG303" t="str">
        <f ca="1">IF(AND(ISNUMBER($AG$969),$B$677=1),$AG$969,HLOOKUP(INDIRECT(ADDRESS(2,COLUMN())),OFFSET($BN$2,0,0,ROW()-1,60),ROW()-1,FALSE))</f>
        <v/>
      </c>
      <c r="AH303" t="str">
        <f ca="1">IF(AND(ISNUMBER($AH$969),$B$677=1),$AH$969,HLOOKUP(INDIRECT(ADDRESS(2,COLUMN())),OFFSET($BN$2,0,0,ROW()-1,60),ROW()-1,FALSE))</f>
        <v/>
      </c>
      <c r="AI303" t="str">
        <f ca="1">IF(AND(ISNUMBER($AI$969),$B$677=1),$AI$969,HLOOKUP(INDIRECT(ADDRESS(2,COLUMN())),OFFSET($BN$2,0,0,ROW()-1,60),ROW()-1,FALSE))</f>
        <v/>
      </c>
      <c r="AJ303" t="str">
        <f ca="1">IF(AND(ISNUMBER($AJ$969),$B$677=1),$AJ$969,HLOOKUP(INDIRECT(ADDRESS(2,COLUMN())),OFFSET($BN$2,0,0,ROW()-1,60),ROW()-1,FALSE))</f>
        <v/>
      </c>
      <c r="AK303" t="str">
        <f ca="1">IF(AND(ISNUMBER($AK$969),$B$677=1),$AK$969,HLOOKUP(INDIRECT(ADDRESS(2,COLUMN())),OFFSET($BN$2,0,0,ROW()-1,60),ROW()-1,FALSE))</f>
        <v/>
      </c>
      <c r="AL303" t="str">
        <f ca="1">IF(AND(ISNUMBER($AL$969),$B$677=1),$AL$969,HLOOKUP(INDIRECT(ADDRESS(2,COLUMN())),OFFSET($BN$2,0,0,ROW()-1,60),ROW()-1,FALSE))</f>
        <v/>
      </c>
      <c r="AM303" t="str">
        <f ca="1">IF(AND(ISNUMBER($AM$969),$B$677=1),$AM$969,HLOOKUP(INDIRECT(ADDRESS(2,COLUMN())),OFFSET($BN$2,0,0,ROW()-1,60),ROW()-1,FALSE))</f>
        <v/>
      </c>
      <c r="AN303" t="str">
        <f ca="1">IF(AND(ISNUMBER($AN$969),$B$677=1),$AN$969,HLOOKUP(INDIRECT(ADDRESS(2,COLUMN())),OFFSET($BN$2,0,0,ROW()-1,60),ROW()-1,FALSE))</f>
        <v/>
      </c>
      <c r="AO303" t="str">
        <f ca="1">IF(AND(ISNUMBER($AO$969),$B$677=1),$AO$969,HLOOKUP(INDIRECT(ADDRESS(2,COLUMN())),OFFSET($BN$2,0,0,ROW()-1,60),ROW()-1,FALSE))</f>
        <v/>
      </c>
      <c r="AP303" t="str">
        <f ca="1">IF(AND(ISNUMBER($AP$969),$B$677=1),$AP$969,HLOOKUP(INDIRECT(ADDRESS(2,COLUMN())),OFFSET($BN$2,0,0,ROW()-1,60),ROW()-1,FALSE))</f>
        <v/>
      </c>
      <c r="AQ303" t="str">
        <f ca="1">IF(AND(ISNUMBER($AQ$969),$B$677=1),$AQ$969,HLOOKUP(INDIRECT(ADDRESS(2,COLUMN())),OFFSET($BN$2,0,0,ROW()-1,60),ROW()-1,FALSE))</f>
        <v/>
      </c>
      <c r="AR303" t="str">
        <f ca="1">IF(AND(ISNUMBER($AR$969),$B$677=1),$AR$969,HLOOKUP(INDIRECT(ADDRESS(2,COLUMN())),OFFSET($BN$2,0,0,ROW()-1,60),ROW()-1,FALSE))</f>
        <v/>
      </c>
      <c r="AS303" t="str">
        <f ca="1">IF(AND(ISNUMBER($AS$969),$B$677=1),$AS$969,HLOOKUP(INDIRECT(ADDRESS(2,COLUMN())),OFFSET($BN$2,0,0,ROW()-1,60),ROW()-1,FALSE))</f>
        <v/>
      </c>
      <c r="AT303" t="str">
        <f ca="1">IF(AND(ISNUMBER($AT$969),$B$677=1),$AT$969,HLOOKUP(INDIRECT(ADDRESS(2,COLUMN())),OFFSET($BN$2,0,0,ROW()-1,60),ROW()-1,FALSE))</f>
        <v/>
      </c>
      <c r="AU303" t="str">
        <f ca="1">IF(AND(ISNUMBER($AU$969),$B$677=1),$AU$969,HLOOKUP(INDIRECT(ADDRESS(2,COLUMN())),OFFSET($BN$2,0,0,ROW()-1,60),ROW()-1,FALSE))</f>
        <v/>
      </c>
      <c r="AV303" t="str">
        <f ca="1">IF(AND(ISNUMBER($AV$969),$B$677=1),$AV$969,HLOOKUP(INDIRECT(ADDRESS(2,COLUMN())),OFFSET($BN$2,0,0,ROW()-1,60),ROW()-1,FALSE))</f>
        <v/>
      </c>
      <c r="AW303" t="str">
        <f ca="1">IF(AND(ISNUMBER($AW$969),$B$677=1),$AW$969,HLOOKUP(INDIRECT(ADDRESS(2,COLUMN())),OFFSET($BN$2,0,0,ROW()-1,60),ROW()-1,FALSE))</f>
        <v/>
      </c>
      <c r="AX303" t="str">
        <f ca="1">IF(AND(ISNUMBER($AX$969),$B$677=1),$AX$969,HLOOKUP(INDIRECT(ADDRESS(2,COLUMN())),OFFSET($BN$2,0,0,ROW()-1,60),ROW()-1,FALSE))</f>
        <v/>
      </c>
      <c r="AY303" t="str">
        <f ca="1">IF(AND(ISNUMBER($AY$969),$B$677=1),$AY$969,HLOOKUP(INDIRECT(ADDRESS(2,COLUMN())),OFFSET($BN$2,0,0,ROW()-1,60),ROW()-1,FALSE))</f>
        <v/>
      </c>
      <c r="AZ303">
        <f ca="1">IF(AND(ISNUMBER($AZ$969),$B$677=1),$AZ$969,HLOOKUP(INDIRECT(ADDRESS(2,COLUMN())),OFFSET($BN$2,0,0,ROW()-1,60),ROW()-1,FALSE))</f>
        <v>30.736288479999999</v>
      </c>
      <c r="BA303">
        <f ca="1">IF(AND(ISNUMBER($BA$969),$B$677=1),$BA$969,HLOOKUP(INDIRECT(ADDRESS(2,COLUMN())),OFFSET($BN$2,0,0,ROW()-1,60),ROW()-1,FALSE))</f>
        <v>20.934369369999999</v>
      </c>
      <c r="BB303">
        <f ca="1">IF(AND(ISNUMBER($BB$969),$B$677=1),$BB$969,HLOOKUP(INDIRECT(ADDRESS(2,COLUMN())),OFFSET($BN$2,0,0,ROW()-1,60),ROW()-1,FALSE))</f>
        <v>18.051824289999999</v>
      </c>
      <c r="BC303">
        <f ca="1">IF(AND(ISNUMBER($BC$969),$B$677=1),$BC$969,HLOOKUP(INDIRECT(ADDRESS(2,COLUMN())),OFFSET($BN$2,0,0,ROW()-1,60),ROW()-1,FALSE))</f>
        <v>5.8313518899999996</v>
      </c>
      <c r="BD303">
        <f ca="1">IF(AND(ISNUMBER($BD$969),$B$677=1),$BD$969,HLOOKUP(INDIRECT(ADDRESS(2,COLUMN())),OFFSET($BN$2,0,0,ROW()-1,60),ROW()-1,FALSE))</f>
        <v>9.5520579249999997</v>
      </c>
      <c r="BE303">
        <f ca="1">IF(AND(ISNUMBER($BE$969),$B$677=1),$BE$969,HLOOKUP(INDIRECT(ADDRESS(2,COLUMN())),OFFSET($BN$2,0,0,ROW()-1,60),ROW()-1,FALSE))</f>
        <v>3.919870886</v>
      </c>
      <c r="BF303">
        <f ca="1">IF(AND(ISNUMBER($BF$969),$B$677=1),$BF$969,HLOOKUP(INDIRECT(ADDRESS(2,COLUMN())),OFFSET($BN$2,0,0,ROW()-1,60),ROW()-1,FALSE))</f>
        <v>2.9405927900000002</v>
      </c>
      <c r="BG303">
        <f ca="1">IF(AND(ISNUMBER($BG$969),$B$677=1),$BG$969,HLOOKUP(INDIRECT(ADDRESS(2,COLUMN())),OFFSET($BN$2,0,0,ROW()-1,60),ROW()-1,FALSE))</f>
        <v>2.7525156389999998</v>
      </c>
      <c r="BH303">
        <f ca="1">IF(AND(ISNUMBER($BH$969),$B$677=1),$BH$969,HLOOKUP(INDIRECT(ADDRESS(2,COLUMN())),OFFSET($BN$2,0,0,ROW()-1,60),ROW()-1,FALSE))</f>
        <v>2.957012169</v>
      </c>
      <c r="BI303">
        <f ca="1">IF(AND(ISNUMBER($BI$969),$B$677=1),$BI$969,HLOOKUP(INDIRECT(ADDRESS(2,COLUMN())),OFFSET($BN$2,0,0,ROW()-1,60),ROW()-1,FALSE))</f>
        <v>2.5298955410000001</v>
      </c>
      <c r="BJ303">
        <f ca="1">IF(AND(ISNUMBER($BJ$969),$B$677=1),$BJ$969,HLOOKUP(INDIRECT(ADDRESS(2,COLUMN())),OFFSET($BN$2,0,0,ROW()-1,60),ROW()-1,FALSE))</f>
        <v>6.018145348</v>
      </c>
      <c r="BK303">
        <f ca="1">IF(AND(ISNUMBER($BK$969),$B$677=1),$BK$969,HLOOKUP(INDIRECT(ADDRESS(2,COLUMN())),OFFSET($BN$2,0,0,ROW()-1,60),ROW()-1,FALSE))</f>
        <v>6.6092868490000001</v>
      </c>
      <c r="BL303">
        <f ca="1">IF(AND(ISNUMBER($BL$969),$B$677=1),$BL$969,HLOOKUP(INDIRECT(ADDRESS(2,COLUMN())),OFFSET($BN$2,0,0,ROW()-1,60),ROW()-1,FALSE))</f>
        <v>8.0452363130000002</v>
      </c>
      <c r="BM303">
        <f ca="1">IF(AND(ISNUMBER($BM$969),$B$677=1),$BM$969,HLOOKUP(INDIRECT(ADDRESS(2,COLUMN())),OFFSET($BN$2,0,0,ROW()-1,60),ROW()-1,FALSE))</f>
        <v>6.5886741420000003</v>
      </c>
      <c r="BN303" t="str">
        <f>""</f>
        <v/>
      </c>
      <c r="BO303" t="str">
        <f>""</f>
        <v/>
      </c>
      <c r="BP303" t="str">
        <f>""</f>
        <v/>
      </c>
      <c r="BQ303" t="str">
        <f>""</f>
        <v/>
      </c>
      <c r="BR303" t="str">
        <f>""</f>
        <v/>
      </c>
      <c r="BS303" t="str">
        <f>""</f>
        <v/>
      </c>
      <c r="BT303" t="str">
        <f>""</f>
        <v/>
      </c>
      <c r="BU303" t="str">
        <f>""</f>
        <v/>
      </c>
      <c r="BV303" t="str">
        <f>""</f>
        <v/>
      </c>
      <c r="BW303" t="str">
        <f>""</f>
        <v/>
      </c>
      <c r="BX303" t="str">
        <f>""</f>
        <v/>
      </c>
      <c r="BY303" t="str">
        <f>""</f>
        <v/>
      </c>
      <c r="BZ303" t="str">
        <f>""</f>
        <v/>
      </c>
      <c r="CA303" t="str">
        <f>""</f>
        <v/>
      </c>
      <c r="CB303" t="str">
        <f>""</f>
        <v/>
      </c>
      <c r="CC303" t="str">
        <f>""</f>
        <v/>
      </c>
      <c r="CD303" t="str">
        <f>""</f>
        <v/>
      </c>
      <c r="CE303" t="str">
        <f>""</f>
        <v/>
      </c>
      <c r="CF303" t="str">
        <f>""</f>
        <v/>
      </c>
      <c r="CG303" t="str">
        <f>""</f>
        <v/>
      </c>
      <c r="CH303" t="str">
        <f>""</f>
        <v/>
      </c>
      <c r="CI303" t="str">
        <f>""</f>
        <v/>
      </c>
      <c r="CJ303" t="str">
        <f>""</f>
        <v/>
      </c>
      <c r="CK303" t="str">
        <f>""</f>
        <v/>
      </c>
      <c r="CL303" t="str">
        <f>""</f>
        <v/>
      </c>
      <c r="CM303" t="str">
        <f>""</f>
        <v/>
      </c>
      <c r="CN303" t="str">
        <f>""</f>
        <v/>
      </c>
      <c r="CO303" t="str">
        <f>""</f>
        <v/>
      </c>
      <c r="CP303" t="str">
        <f>""</f>
        <v/>
      </c>
      <c r="CQ303" t="str">
        <f>""</f>
        <v/>
      </c>
      <c r="CR303" t="str">
        <f>""</f>
        <v/>
      </c>
      <c r="CS303" t="str">
        <f>""</f>
        <v/>
      </c>
      <c r="CT303" t="str">
        <f>""</f>
        <v/>
      </c>
      <c r="CU303" t="str">
        <f>""</f>
        <v/>
      </c>
      <c r="CV303" t="str">
        <f>""</f>
        <v/>
      </c>
      <c r="CW303" t="str">
        <f>""</f>
        <v/>
      </c>
      <c r="CX303" t="str">
        <f>""</f>
        <v/>
      </c>
      <c r="CY303" t="str">
        <f>""</f>
        <v/>
      </c>
      <c r="CZ303" t="str">
        <f>""</f>
        <v/>
      </c>
      <c r="DA303" t="str">
        <f>""</f>
        <v/>
      </c>
      <c r="DB303" t="str">
        <f>""</f>
        <v/>
      </c>
      <c r="DC303" t="str">
        <f>""</f>
        <v/>
      </c>
      <c r="DD303" t="str">
        <f>""</f>
        <v/>
      </c>
      <c r="DE303" t="str">
        <f>""</f>
        <v/>
      </c>
      <c r="DF303" t="str">
        <f>""</f>
        <v/>
      </c>
      <c r="DG303" t="str">
        <f>""</f>
        <v/>
      </c>
      <c r="DH303">
        <f>30.73628848</f>
        <v>30.736288479999999</v>
      </c>
      <c r="DI303">
        <f>20.93436937</f>
        <v>20.934369369999999</v>
      </c>
      <c r="DJ303">
        <f>18.05182429</f>
        <v>18.051824289999999</v>
      </c>
      <c r="DK303">
        <f>5.83135189</f>
        <v>5.8313518899999996</v>
      </c>
      <c r="DL303">
        <f>9.552057925</f>
        <v>9.5520579249999997</v>
      </c>
      <c r="DM303">
        <f>3.919870886</f>
        <v>3.919870886</v>
      </c>
      <c r="DN303">
        <f>2.94059279</f>
        <v>2.9405927900000002</v>
      </c>
      <c r="DO303">
        <f>2.752515639</f>
        <v>2.7525156389999998</v>
      </c>
      <c r="DP303">
        <f>2.957012169</f>
        <v>2.957012169</v>
      </c>
      <c r="DQ303">
        <f>2.529895541</f>
        <v>2.5298955410000001</v>
      </c>
      <c r="DR303">
        <f>6.018145348</f>
        <v>6.018145348</v>
      </c>
      <c r="DS303">
        <f>6.609286849</f>
        <v>6.6092868490000001</v>
      </c>
      <c r="DT303">
        <f>8.045236313</f>
        <v>8.0452363130000002</v>
      </c>
      <c r="DU303">
        <f>6.588674142</f>
        <v>6.5886741420000003</v>
      </c>
    </row>
    <row r="304" spans="1:125" x14ac:dyDescent="0.25">
      <c r="A304" t="str">
        <f>"    Fiat Chrysler Automobiles NV"</f>
        <v xml:space="preserve">    Fiat Chrysler Automobiles NV</v>
      </c>
      <c r="B304" t="str">
        <f>"FCAU US Equity"</f>
        <v>FCAU US Equity</v>
      </c>
      <c r="C304" t="str">
        <f t="shared" si="21"/>
        <v>RR474</v>
      </c>
      <c r="D304" t="str">
        <f t="shared" si="22"/>
        <v>EV_TO_T12M_EBITDA</v>
      </c>
      <c r="E304" t="str">
        <f t="shared" si="23"/>
        <v>Dynamic</v>
      </c>
      <c r="F304" t="str">
        <f ca="1">IF(AND(ISNUMBER($F$970),$B$677=1),$F$970,HLOOKUP(INDIRECT(ADDRESS(2,COLUMN())),OFFSET($BN$2,0,0,ROW()-1,60),ROW()-1,FALSE))</f>
        <v/>
      </c>
      <c r="G304">
        <f ca="1">IF(AND(ISNUMBER($G$970),$B$677=1),$G$970,HLOOKUP(INDIRECT(ADDRESS(2,COLUMN())),OFFSET($BN$2,0,0,ROW()-1,60),ROW()-1,FALSE))</f>
        <v>2.5011349479999998</v>
      </c>
      <c r="H304">
        <f ca="1">IF(AND(ISNUMBER($H$970),$B$677=1),$H$970,HLOOKUP(INDIRECT(ADDRESS(2,COLUMN())),OFFSET($BN$2,0,0,ROW()-1,60),ROW()-1,FALSE))</f>
        <v>2.9630346950000002</v>
      </c>
      <c r="I304">
        <f ca="1">IF(AND(ISNUMBER($I$970),$B$677=1),$I$970,HLOOKUP(INDIRECT(ADDRESS(2,COLUMN())),OFFSET($BN$2,0,0,ROW()-1,60),ROW()-1,FALSE))</f>
        <v>2.9639214109999998</v>
      </c>
      <c r="J304">
        <f ca="1">IF(AND(ISNUMBER($J$970),$B$677=1),$J$970,HLOOKUP(INDIRECT(ADDRESS(2,COLUMN())),OFFSET($BN$2,0,0,ROW()-1,60),ROW()-1,FALSE))</f>
        <v>2.8926229399999999</v>
      </c>
      <c r="K304">
        <f ca="1">IF(AND(ISNUMBER($K$970),$B$677=1),$K$970,HLOOKUP(INDIRECT(ADDRESS(2,COLUMN())),OFFSET($BN$2,0,0,ROW()-1,60),ROW()-1,FALSE))</f>
        <v>2.7213219560000002</v>
      </c>
      <c r="L304">
        <f ca="1">IF(AND(ISNUMBER($L$970),$B$677=1),$L$970,HLOOKUP(INDIRECT(ADDRESS(2,COLUMN())),OFFSET($BN$2,0,0,ROW()-1,60),ROW()-1,FALSE))</f>
        <v>2.754581248</v>
      </c>
      <c r="M304">
        <f ca="1">IF(AND(ISNUMBER($M$970),$B$677=1),$M$970,HLOOKUP(INDIRECT(ADDRESS(2,COLUMN())),OFFSET($BN$2,0,0,ROW()-1,60),ROW()-1,FALSE))</f>
        <v>1.848080752</v>
      </c>
      <c r="N304">
        <f ca="1">IF(AND(ISNUMBER($N$970),$B$677=1),$N$970,HLOOKUP(INDIRECT(ADDRESS(2,COLUMN())),OFFSET($BN$2,0,0,ROW()-1,60),ROW()-1,FALSE))</f>
        <v>2.3022953739999998</v>
      </c>
      <c r="O304">
        <f ca="1">IF(AND(ISNUMBER($O$970),$B$677=1),$O$970,HLOOKUP(INDIRECT(ADDRESS(2,COLUMN())),OFFSET($BN$2,0,0,ROW()-1,60),ROW()-1,FALSE))</f>
        <v>1.9995898599999999</v>
      </c>
      <c r="P304">
        <f ca="1">IF(AND(ISNUMBER($P$970),$B$677=1),$P$970,HLOOKUP(INDIRECT(ADDRESS(2,COLUMN())),OFFSET($BN$2,0,0,ROW()-1,60),ROW()-1,FALSE))</f>
        <v>1.7452113849999999</v>
      </c>
      <c r="Q304">
        <f ca="1">IF(AND(ISNUMBER($Q$970),$B$677=1),$Q$970,HLOOKUP(INDIRECT(ADDRESS(2,COLUMN())),OFFSET($BN$2,0,0,ROW()-1,60),ROW()-1,FALSE))</f>
        <v>1.8146635609999999</v>
      </c>
      <c r="R304">
        <f ca="1">IF(AND(ISNUMBER($R$970),$B$677=1),$R$970,HLOOKUP(INDIRECT(ADDRESS(2,COLUMN())),OFFSET($BN$2,0,0,ROW()-1,60),ROW()-1,FALSE))</f>
        <v>2.2819868030000001</v>
      </c>
      <c r="S304">
        <f ca="1">IF(AND(ISNUMBER($S$970),$B$677=1),$S$970,HLOOKUP(INDIRECT(ADDRESS(2,COLUMN())),OFFSET($BN$2,0,0,ROW()-1,60),ROW()-1,FALSE))</f>
        <v>3.4611852029999999</v>
      </c>
      <c r="T304">
        <f ca="1">IF(AND(ISNUMBER($T$970),$B$677=1),$T$970,HLOOKUP(INDIRECT(ADDRESS(2,COLUMN())),OFFSET($BN$2,0,0,ROW()-1,60),ROW()-1,FALSE))</f>
        <v>3.8768081360000002</v>
      </c>
      <c r="U304">
        <f ca="1">IF(AND(ISNUMBER($U$970),$B$677=1),$U$970,HLOOKUP(INDIRECT(ADDRESS(2,COLUMN())),OFFSET($BN$2,0,0,ROW()-1,60),ROW()-1,FALSE))</f>
        <v>3.803577765</v>
      </c>
      <c r="V304">
        <f ca="1">IF(AND(ISNUMBER($V$970),$B$677=1),$V$970,HLOOKUP(INDIRECT(ADDRESS(2,COLUMN())),OFFSET($BN$2,0,0,ROW()-1,60),ROW()-1,FALSE))</f>
        <v>4.5165467140000004</v>
      </c>
      <c r="W304">
        <f ca="1">IF(AND(ISNUMBER($W$970),$B$677=1),$W$970,HLOOKUP(INDIRECT(ADDRESS(2,COLUMN())),OFFSET($BN$2,0,0,ROW()-1,60),ROW()-1,FALSE))</f>
        <v>3.468844571</v>
      </c>
      <c r="X304" t="str">
        <f ca="1">IF(AND(ISNUMBER($X$970),$B$677=1),$X$970,HLOOKUP(INDIRECT(ADDRESS(2,COLUMN())),OFFSET($BN$2,0,0,ROW()-1,60),ROW()-1,FALSE))</f>
        <v/>
      </c>
      <c r="Y304" t="str">
        <f ca="1">IF(AND(ISNUMBER($Y$970),$B$677=1),$Y$970,HLOOKUP(INDIRECT(ADDRESS(2,COLUMN())),OFFSET($BN$2,0,0,ROW()-1,60),ROW()-1,FALSE))</f>
        <v/>
      </c>
      <c r="Z304" t="str">
        <f ca="1">IF(AND(ISNUMBER($Z$970),$B$677=1),$Z$970,HLOOKUP(INDIRECT(ADDRESS(2,COLUMN())),OFFSET($BN$2,0,0,ROW()-1,60),ROW()-1,FALSE))</f>
        <v/>
      </c>
      <c r="AA304" t="str">
        <f ca="1">IF(AND(ISNUMBER($AA$970),$B$677=1),$AA$970,HLOOKUP(INDIRECT(ADDRESS(2,COLUMN())),OFFSET($BN$2,0,0,ROW()-1,60),ROW()-1,FALSE))</f>
        <v/>
      </c>
      <c r="AB304" t="str">
        <f ca="1">IF(AND(ISNUMBER($AB$970),$B$677=1),$AB$970,HLOOKUP(INDIRECT(ADDRESS(2,COLUMN())),OFFSET($BN$2,0,0,ROW()-1,60),ROW()-1,FALSE))</f>
        <v/>
      </c>
      <c r="AC304" t="str">
        <f ca="1">IF(AND(ISNUMBER($AC$970),$B$677=1),$AC$970,HLOOKUP(INDIRECT(ADDRESS(2,COLUMN())),OFFSET($BN$2,0,0,ROW()-1,60),ROW()-1,FALSE))</f>
        <v/>
      </c>
      <c r="AD304" t="str">
        <f ca="1">IF(AND(ISNUMBER($AD$970),$B$677=1),$AD$970,HLOOKUP(INDIRECT(ADDRESS(2,COLUMN())),OFFSET($BN$2,0,0,ROW()-1,60),ROW()-1,FALSE))</f>
        <v/>
      </c>
      <c r="AE304" t="str">
        <f ca="1">IF(AND(ISNUMBER($AE$970),$B$677=1),$AE$970,HLOOKUP(INDIRECT(ADDRESS(2,COLUMN())),OFFSET($BN$2,0,0,ROW()-1,60),ROW()-1,FALSE))</f>
        <v/>
      </c>
      <c r="AF304" t="str">
        <f ca="1">IF(AND(ISNUMBER($AF$970),$B$677=1),$AF$970,HLOOKUP(INDIRECT(ADDRESS(2,COLUMN())),OFFSET($BN$2,0,0,ROW()-1,60),ROW()-1,FALSE))</f>
        <v/>
      </c>
      <c r="AG304" t="str">
        <f ca="1">IF(AND(ISNUMBER($AG$970),$B$677=1),$AG$970,HLOOKUP(INDIRECT(ADDRESS(2,COLUMN())),OFFSET($BN$2,0,0,ROW()-1,60),ROW()-1,FALSE))</f>
        <v/>
      </c>
      <c r="AH304" t="str">
        <f ca="1">IF(AND(ISNUMBER($AH$970),$B$677=1),$AH$970,HLOOKUP(INDIRECT(ADDRESS(2,COLUMN())),OFFSET($BN$2,0,0,ROW()-1,60),ROW()-1,FALSE))</f>
        <v/>
      </c>
      <c r="AI304" t="str">
        <f ca="1">IF(AND(ISNUMBER($AI$970),$B$677=1),$AI$970,HLOOKUP(INDIRECT(ADDRESS(2,COLUMN())),OFFSET($BN$2,0,0,ROW()-1,60),ROW()-1,FALSE))</f>
        <v/>
      </c>
      <c r="AJ304" t="str">
        <f ca="1">IF(AND(ISNUMBER($AJ$970),$B$677=1),$AJ$970,HLOOKUP(INDIRECT(ADDRESS(2,COLUMN())),OFFSET($BN$2,0,0,ROW()-1,60),ROW()-1,FALSE))</f>
        <v/>
      </c>
      <c r="AK304" t="str">
        <f ca="1">IF(AND(ISNUMBER($AK$970),$B$677=1),$AK$970,HLOOKUP(INDIRECT(ADDRESS(2,COLUMN())),OFFSET($BN$2,0,0,ROW()-1,60),ROW()-1,FALSE))</f>
        <v/>
      </c>
      <c r="AL304" t="str">
        <f ca="1">IF(AND(ISNUMBER($AL$970),$B$677=1),$AL$970,HLOOKUP(INDIRECT(ADDRESS(2,COLUMN())),OFFSET($BN$2,0,0,ROW()-1,60),ROW()-1,FALSE))</f>
        <v/>
      </c>
      <c r="AM304" t="str">
        <f ca="1">IF(AND(ISNUMBER($AM$970),$B$677=1),$AM$970,HLOOKUP(INDIRECT(ADDRESS(2,COLUMN())),OFFSET($BN$2,0,0,ROW()-1,60),ROW()-1,FALSE))</f>
        <v/>
      </c>
      <c r="AN304" t="str">
        <f ca="1">IF(AND(ISNUMBER($AN$970),$B$677=1),$AN$970,HLOOKUP(INDIRECT(ADDRESS(2,COLUMN())),OFFSET($BN$2,0,0,ROW()-1,60),ROW()-1,FALSE))</f>
        <v/>
      </c>
      <c r="AO304" t="str">
        <f ca="1">IF(AND(ISNUMBER($AO$970),$B$677=1),$AO$970,HLOOKUP(INDIRECT(ADDRESS(2,COLUMN())),OFFSET($BN$2,0,0,ROW()-1,60),ROW()-1,FALSE))</f>
        <v/>
      </c>
      <c r="AP304" t="str">
        <f ca="1">IF(AND(ISNUMBER($AP$970),$B$677=1),$AP$970,HLOOKUP(INDIRECT(ADDRESS(2,COLUMN())),OFFSET($BN$2,0,0,ROW()-1,60),ROW()-1,FALSE))</f>
        <v/>
      </c>
      <c r="AQ304" t="str">
        <f ca="1">IF(AND(ISNUMBER($AQ$970),$B$677=1),$AQ$970,HLOOKUP(INDIRECT(ADDRESS(2,COLUMN())),OFFSET($BN$2,0,0,ROW()-1,60),ROW()-1,FALSE))</f>
        <v/>
      </c>
      <c r="AR304" t="str">
        <f ca="1">IF(AND(ISNUMBER($AR$970),$B$677=1),$AR$970,HLOOKUP(INDIRECT(ADDRESS(2,COLUMN())),OFFSET($BN$2,0,0,ROW()-1,60),ROW()-1,FALSE))</f>
        <v/>
      </c>
      <c r="AS304" t="str">
        <f ca="1">IF(AND(ISNUMBER($AS$970),$B$677=1),$AS$970,HLOOKUP(INDIRECT(ADDRESS(2,COLUMN())),OFFSET($BN$2,0,0,ROW()-1,60),ROW()-1,FALSE))</f>
        <v/>
      </c>
      <c r="AT304" t="str">
        <f ca="1">IF(AND(ISNUMBER($AT$970),$B$677=1),$AT$970,HLOOKUP(INDIRECT(ADDRESS(2,COLUMN())),OFFSET($BN$2,0,0,ROW()-1,60),ROW()-1,FALSE))</f>
        <v/>
      </c>
      <c r="AU304" t="str">
        <f ca="1">IF(AND(ISNUMBER($AU$970),$B$677=1),$AU$970,HLOOKUP(INDIRECT(ADDRESS(2,COLUMN())),OFFSET($BN$2,0,0,ROW()-1,60),ROW()-1,FALSE))</f>
        <v/>
      </c>
      <c r="AV304" t="str">
        <f ca="1">IF(AND(ISNUMBER($AV$970),$B$677=1),$AV$970,HLOOKUP(INDIRECT(ADDRESS(2,COLUMN())),OFFSET($BN$2,0,0,ROW()-1,60),ROW()-1,FALSE))</f>
        <v/>
      </c>
      <c r="AW304" t="str">
        <f ca="1">IF(AND(ISNUMBER($AW$970),$B$677=1),$AW$970,HLOOKUP(INDIRECT(ADDRESS(2,COLUMN())),OFFSET($BN$2,0,0,ROW()-1,60),ROW()-1,FALSE))</f>
        <v/>
      </c>
      <c r="AX304" t="str">
        <f ca="1">IF(AND(ISNUMBER($AX$970),$B$677=1),$AX$970,HLOOKUP(INDIRECT(ADDRESS(2,COLUMN())),OFFSET($BN$2,0,0,ROW()-1,60),ROW()-1,FALSE))</f>
        <v/>
      </c>
      <c r="AY304" t="str">
        <f ca="1">IF(AND(ISNUMBER($AY$970),$B$677=1),$AY$970,HLOOKUP(INDIRECT(ADDRESS(2,COLUMN())),OFFSET($BN$2,0,0,ROW()-1,60),ROW()-1,FALSE))</f>
        <v/>
      </c>
      <c r="AZ304" t="str">
        <f ca="1">IF(AND(ISNUMBER($AZ$970),$B$677=1),$AZ$970,HLOOKUP(INDIRECT(ADDRESS(2,COLUMN())),OFFSET($BN$2,0,0,ROW()-1,60),ROW()-1,FALSE))</f>
        <v/>
      </c>
      <c r="BA304" t="str">
        <f ca="1">IF(AND(ISNUMBER($BA$970),$B$677=1),$BA$970,HLOOKUP(INDIRECT(ADDRESS(2,COLUMN())),OFFSET($BN$2,0,0,ROW()-1,60),ROW()-1,FALSE))</f>
        <v/>
      </c>
      <c r="BB304" t="str">
        <f ca="1">IF(AND(ISNUMBER($BB$970),$B$677=1),$BB$970,HLOOKUP(INDIRECT(ADDRESS(2,COLUMN())),OFFSET($BN$2,0,0,ROW()-1,60),ROW()-1,FALSE))</f>
        <v/>
      </c>
      <c r="BC304" t="str">
        <f ca="1">IF(AND(ISNUMBER($BC$970),$B$677=1),$BC$970,HLOOKUP(INDIRECT(ADDRESS(2,COLUMN())),OFFSET($BN$2,0,0,ROW()-1,60),ROW()-1,FALSE))</f>
        <v/>
      </c>
      <c r="BD304" t="str">
        <f ca="1">IF(AND(ISNUMBER($BD$970),$B$677=1),$BD$970,HLOOKUP(INDIRECT(ADDRESS(2,COLUMN())),OFFSET($BN$2,0,0,ROW()-1,60),ROW()-1,FALSE))</f>
        <v/>
      </c>
      <c r="BE304" t="str">
        <f ca="1">IF(AND(ISNUMBER($BE$970),$B$677=1),$BE$970,HLOOKUP(INDIRECT(ADDRESS(2,COLUMN())),OFFSET($BN$2,0,0,ROW()-1,60),ROW()-1,FALSE))</f>
        <v/>
      </c>
      <c r="BF304" t="str">
        <f ca="1">IF(AND(ISNUMBER($BF$970),$B$677=1),$BF$970,HLOOKUP(INDIRECT(ADDRESS(2,COLUMN())),OFFSET($BN$2,0,0,ROW()-1,60),ROW()-1,FALSE))</f>
        <v/>
      </c>
      <c r="BG304" t="str">
        <f ca="1">IF(AND(ISNUMBER($BG$970),$B$677=1),$BG$970,HLOOKUP(INDIRECT(ADDRESS(2,COLUMN())),OFFSET($BN$2,0,0,ROW()-1,60),ROW()-1,FALSE))</f>
        <v/>
      </c>
      <c r="BH304" t="str">
        <f ca="1">IF(AND(ISNUMBER($BH$970),$B$677=1),$BH$970,HLOOKUP(INDIRECT(ADDRESS(2,COLUMN())),OFFSET($BN$2,0,0,ROW()-1,60),ROW()-1,FALSE))</f>
        <v/>
      </c>
      <c r="BI304" t="str">
        <f ca="1">IF(AND(ISNUMBER($BI$970),$B$677=1),$BI$970,HLOOKUP(INDIRECT(ADDRESS(2,COLUMN())),OFFSET($BN$2,0,0,ROW()-1,60),ROW()-1,FALSE))</f>
        <v/>
      </c>
      <c r="BJ304" t="str">
        <f ca="1">IF(AND(ISNUMBER($BJ$970),$B$677=1),$BJ$970,HLOOKUP(INDIRECT(ADDRESS(2,COLUMN())),OFFSET($BN$2,0,0,ROW()-1,60),ROW()-1,FALSE))</f>
        <v/>
      </c>
      <c r="BK304" t="str">
        <f ca="1">IF(AND(ISNUMBER($BK$970),$B$677=1),$BK$970,HLOOKUP(INDIRECT(ADDRESS(2,COLUMN())),OFFSET($BN$2,0,0,ROW()-1,60),ROW()-1,FALSE))</f>
        <v/>
      </c>
      <c r="BL304" t="str">
        <f ca="1">IF(AND(ISNUMBER($BL$970),$B$677=1),$BL$970,HLOOKUP(INDIRECT(ADDRESS(2,COLUMN())),OFFSET($BN$2,0,0,ROW()-1,60),ROW()-1,FALSE))</f>
        <v/>
      </c>
      <c r="BM304" t="str">
        <f ca="1">IF(AND(ISNUMBER($BM$970),$B$677=1),$BM$970,HLOOKUP(INDIRECT(ADDRESS(2,COLUMN())),OFFSET($BN$2,0,0,ROW()-1,60),ROW()-1,FALSE))</f>
        <v/>
      </c>
      <c r="BN304" t="str">
        <f>""</f>
        <v/>
      </c>
      <c r="BO304">
        <f>2.501134948</f>
        <v>2.5011349479999998</v>
      </c>
      <c r="BP304">
        <f>2.963034695</f>
        <v>2.9630346950000002</v>
      </c>
      <c r="BQ304">
        <f>2.963921411</f>
        <v>2.9639214109999998</v>
      </c>
      <c r="BR304">
        <f>2.89262294</f>
        <v>2.8926229399999999</v>
      </c>
      <c r="BS304">
        <f>2.721321956</f>
        <v>2.7213219560000002</v>
      </c>
      <c r="BT304">
        <f>2.754581248</f>
        <v>2.754581248</v>
      </c>
      <c r="BU304">
        <f>1.848080752</f>
        <v>1.848080752</v>
      </c>
      <c r="BV304">
        <f>2.302295374</f>
        <v>2.3022953739999998</v>
      </c>
      <c r="BW304">
        <f>1.99958986</f>
        <v>1.9995898599999999</v>
      </c>
      <c r="BX304">
        <f>1.745211385</f>
        <v>1.7452113849999999</v>
      </c>
      <c r="BY304">
        <f>1.814663561</f>
        <v>1.8146635609999999</v>
      </c>
      <c r="BZ304">
        <f>2.281986803</f>
        <v>2.2819868030000001</v>
      </c>
      <c r="CA304">
        <f>3.461185203</f>
        <v>3.4611852029999999</v>
      </c>
      <c r="CB304">
        <f>3.876808136</f>
        <v>3.8768081360000002</v>
      </c>
      <c r="CC304">
        <f>3.803577765</f>
        <v>3.803577765</v>
      </c>
      <c r="CD304">
        <f>4.516546714</f>
        <v>4.5165467140000004</v>
      </c>
      <c r="CE304">
        <f>3.468844571</f>
        <v>3.468844571</v>
      </c>
      <c r="CF304" t="str">
        <f>""</f>
        <v/>
      </c>
      <c r="CG304" t="str">
        <f>""</f>
        <v/>
      </c>
      <c r="CH304" t="str">
        <f>""</f>
        <v/>
      </c>
      <c r="CI304" t="str">
        <f>""</f>
        <v/>
      </c>
      <c r="CJ304" t="str">
        <f>""</f>
        <v/>
      </c>
      <c r="CK304" t="str">
        <f>""</f>
        <v/>
      </c>
      <c r="CL304" t="str">
        <f>""</f>
        <v/>
      </c>
      <c r="CM304" t="str">
        <f>""</f>
        <v/>
      </c>
      <c r="CN304" t="str">
        <f>""</f>
        <v/>
      </c>
      <c r="CO304" t="str">
        <f>""</f>
        <v/>
      </c>
      <c r="CP304" t="str">
        <f>""</f>
        <v/>
      </c>
      <c r="CQ304" t="str">
        <f>""</f>
        <v/>
      </c>
      <c r="CR304" t="str">
        <f>""</f>
        <v/>
      </c>
      <c r="CS304" t="str">
        <f>""</f>
        <v/>
      </c>
      <c r="CT304" t="str">
        <f>""</f>
        <v/>
      </c>
      <c r="CU304" t="str">
        <f>""</f>
        <v/>
      </c>
      <c r="CV304" t="str">
        <f>""</f>
        <v/>
      </c>
      <c r="CW304" t="str">
        <f>""</f>
        <v/>
      </c>
      <c r="CX304" t="str">
        <f>""</f>
        <v/>
      </c>
      <c r="CY304" t="str">
        <f>""</f>
        <v/>
      </c>
      <c r="CZ304" t="str">
        <f>""</f>
        <v/>
      </c>
      <c r="DA304" t="str">
        <f>""</f>
        <v/>
      </c>
      <c r="DB304" t="str">
        <f>""</f>
        <v/>
      </c>
      <c r="DC304" t="str">
        <f>""</f>
        <v/>
      </c>
      <c r="DD304" t="str">
        <f>""</f>
        <v/>
      </c>
      <c r="DE304" t="str">
        <f>""</f>
        <v/>
      </c>
      <c r="DF304" t="str">
        <f>""</f>
        <v/>
      </c>
      <c r="DG304" t="str">
        <f>""</f>
        <v/>
      </c>
      <c r="DH304" t="str">
        <f>""</f>
        <v/>
      </c>
      <c r="DI304" t="str">
        <f>""</f>
        <v/>
      </c>
      <c r="DJ304" t="str">
        <f>""</f>
        <v/>
      </c>
      <c r="DK304" t="str">
        <f>""</f>
        <v/>
      </c>
      <c r="DL304" t="str">
        <f>""</f>
        <v/>
      </c>
      <c r="DM304" t="str">
        <f>""</f>
        <v/>
      </c>
      <c r="DN304" t="str">
        <f>""</f>
        <v/>
      </c>
      <c r="DO304" t="str">
        <f>""</f>
        <v/>
      </c>
      <c r="DP304" t="str">
        <f>""</f>
        <v/>
      </c>
      <c r="DQ304" t="str">
        <f>""</f>
        <v/>
      </c>
      <c r="DR304" t="str">
        <f>""</f>
        <v/>
      </c>
      <c r="DS304" t="str">
        <f>""</f>
        <v/>
      </c>
      <c r="DT304" t="str">
        <f>""</f>
        <v/>
      </c>
      <c r="DU304" t="str">
        <f>""</f>
        <v/>
      </c>
    </row>
    <row r="305" spans="1:125" x14ac:dyDescent="0.25">
      <c r="A305" t="str">
        <f>"    Ford Motor Co"</f>
        <v xml:space="preserve">    Ford Motor Co</v>
      </c>
      <c r="B305" t="str">
        <f>"F US Equity"</f>
        <v>F US Equity</v>
      </c>
      <c r="C305" t="str">
        <f t="shared" si="21"/>
        <v>RR474</v>
      </c>
      <c r="D305" t="str">
        <f t="shared" si="22"/>
        <v>EV_TO_T12M_EBITDA</v>
      </c>
      <c r="E305" t="str">
        <f t="shared" si="23"/>
        <v>Dynamic</v>
      </c>
      <c r="F305" t="str">
        <f ca="1">IF(AND(ISNUMBER($F$971),$B$677=1),$F$971,HLOOKUP(INDIRECT(ADDRESS(2,COLUMN())),OFFSET($BN$2,0,0,ROW()-1,60),ROW()-1,FALSE))</f>
        <v/>
      </c>
      <c r="G305">
        <f ca="1">IF(AND(ISNUMBER($G$971),$B$677=1),$G$971,HLOOKUP(INDIRECT(ADDRESS(2,COLUMN())),OFFSET($BN$2,0,0,ROW()-1,60),ROW()-1,FALSE))</f>
        <v>1.8313718000000001</v>
      </c>
      <c r="H305">
        <f ca="1">IF(AND(ISNUMBER($H$971),$B$677=1),$H$971,HLOOKUP(INDIRECT(ADDRESS(2,COLUMN())),OFFSET($BN$2,0,0,ROW()-1,60),ROW()-1,FALSE))</f>
        <v>2.2766745030000002</v>
      </c>
      <c r="I305">
        <f ca="1">IF(AND(ISNUMBER($I$971),$B$677=1),$I$971,HLOOKUP(INDIRECT(ADDRESS(2,COLUMN())),OFFSET($BN$2,0,0,ROW()-1,60),ROW()-1,FALSE))</f>
        <v>2.8193097589999998</v>
      </c>
      <c r="J305">
        <f ca="1">IF(AND(ISNUMBER($J$971),$B$677=1),$J$971,HLOOKUP(INDIRECT(ADDRESS(2,COLUMN())),OFFSET($BN$2,0,0,ROW()-1,60),ROW()-1,FALSE))</f>
        <v>2.483560201</v>
      </c>
      <c r="K305">
        <f ca="1">IF(AND(ISNUMBER($K$971),$B$677=1),$K$971,HLOOKUP(INDIRECT(ADDRESS(2,COLUMN())),OFFSET($BN$2,0,0,ROW()-1,60),ROW()-1,FALSE))</f>
        <v>2.9395651850000002</v>
      </c>
      <c r="L305">
        <f ca="1">IF(AND(ISNUMBER($L$971),$B$677=1),$L$971,HLOOKUP(INDIRECT(ADDRESS(2,COLUMN())),OFFSET($BN$2,0,0,ROW()-1,60),ROW()-1,FALSE))</f>
        <v>2.8170818199999998</v>
      </c>
      <c r="M305">
        <f ca="1">IF(AND(ISNUMBER($M$971),$B$677=1),$M$971,HLOOKUP(INDIRECT(ADDRESS(2,COLUMN())),OFFSET($BN$2,0,0,ROW()-1,60),ROW()-1,FALSE))</f>
        <v>2.476240615</v>
      </c>
      <c r="N305">
        <f ca="1">IF(AND(ISNUMBER($N$971),$B$677=1),$N$971,HLOOKUP(INDIRECT(ADDRESS(2,COLUMN())),OFFSET($BN$2,0,0,ROW()-1,60),ROW()-1,FALSE))</f>
        <v>2.5444565670000001</v>
      </c>
      <c r="O305">
        <f ca="1">IF(AND(ISNUMBER($O$971),$B$677=1),$O$971,HLOOKUP(INDIRECT(ADDRESS(2,COLUMN())),OFFSET($BN$2,0,0,ROW()-1,60),ROW()-1,FALSE))</f>
        <v>2.534525592</v>
      </c>
      <c r="P305">
        <f ca="1">IF(AND(ISNUMBER($P$971),$B$677=1),$P$971,HLOOKUP(INDIRECT(ADDRESS(2,COLUMN())),OFFSET($BN$2,0,0,ROW()-1,60),ROW()-1,FALSE))</f>
        <v>2.7897162350000002</v>
      </c>
      <c r="Q305">
        <f ca="1">IF(AND(ISNUMBER($Q$971),$B$677=1),$Q$971,HLOOKUP(INDIRECT(ADDRESS(2,COLUMN())),OFFSET($BN$2,0,0,ROW()-1,60),ROW()-1,FALSE))</f>
        <v>2.3927402039999999</v>
      </c>
      <c r="R305">
        <f ca="1">IF(AND(ISNUMBER($R$971),$B$677=1),$R$971,HLOOKUP(INDIRECT(ADDRESS(2,COLUMN())),OFFSET($BN$2,0,0,ROW()-1,60),ROW()-1,FALSE))</f>
        <v>2.6187674969999999</v>
      </c>
      <c r="S305">
        <f ca="1">IF(AND(ISNUMBER($S$971),$B$677=1),$S$971,HLOOKUP(INDIRECT(ADDRESS(2,COLUMN())),OFFSET($BN$2,0,0,ROW()-1,60),ROW()-1,FALSE))</f>
        <v>3.031473992</v>
      </c>
      <c r="T305">
        <f ca="1">IF(AND(ISNUMBER($T$971),$B$677=1),$T$971,HLOOKUP(INDIRECT(ADDRESS(2,COLUMN())),OFFSET($BN$2,0,0,ROW()-1,60),ROW()-1,FALSE))</f>
        <v>4.310954476</v>
      </c>
      <c r="U305">
        <f ca="1">IF(AND(ISNUMBER($U$971),$B$677=1),$U$971,HLOOKUP(INDIRECT(ADDRESS(2,COLUMN())),OFFSET($BN$2,0,0,ROW()-1,60),ROW()-1,FALSE))</f>
        <v>5.906268281</v>
      </c>
      <c r="V305">
        <f ca="1">IF(AND(ISNUMBER($V$971),$B$677=1),$V$971,HLOOKUP(INDIRECT(ADDRESS(2,COLUMN())),OFFSET($BN$2,0,0,ROW()-1,60),ROW()-1,FALSE))</f>
        <v>6.6575751810000003</v>
      </c>
      <c r="W305">
        <f ca="1">IF(AND(ISNUMBER($W$971),$B$677=1),$W$971,HLOOKUP(INDIRECT(ADDRESS(2,COLUMN())),OFFSET($BN$2,0,0,ROW()-1,60),ROW()-1,FALSE))</f>
        <v>6.7194195079999997</v>
      </c>
      <c r="X305">
        <f ca="1">IF(AND(ISNUMBER($X$971),$B$677=1),$X$971,HLOOKUP(INDIRECT(ADDRESS(2,COLUMN())),OFFSET($BN$2,0,0,ROW()-1,60),ROW()-1,FALSE))</f>
        <v>4.3685794380000003</v>
      </c>
      <c r="Y305">
        <f ca="1">IF(AND(ISNUMBER($Y$971),$B$677=1),$Y$971,HLOOKUP(INDIRECT(ADDRESS(2,COLUMN())),OFFSET($BN$2,0,0,ROW()-1,60),ROW()-1,FALSE))</f>
        <v>4.569680365</v>
      </c>
      <c r="Z305">
        <f ca="1">IF(AND(ISNUMBER($Z$971),$B$677=1),$Z$971,HLOOKUP(INDIRECT(ADDRESS(2,COLUMN())),OFFSET($BN$2,0,0,ROW()-1,60),ROW()-1,FALSE))</f>
        <v>4.5043215810000001</v>
      </c>
      <c r="AA305">
        <f ca="1">IF(AND(ISNUMBER($AA$971),$B$677=1),$AA$971,HLOOKUP(INDIRECT(ADDRESS(2,COLUMN())),OFFSET($BN$2,0,0,ROW()-1,60),ROW()-1,FALSE))</f>
        <v>4.2262275450000004</v>
      </c>
      <c r="AB305">
        <f ca="1">IF(AND(ISNUMBER($AB$971),$B$677=1),$AB$971,HLOOKUP(INDIRECT(ADDRESS(2,COLUMN())),OFFSET($BN$2,0,0,ROW()-1,60),ROW()-1,FALSE))</f>
        <v>4.8127711790000003</v>
      </c>
      <c r="AC305">
        <f ca="1">IF(AND(ISNUMBER($AC$971),$B$677=1),$AC$971,HLOOKUP(INDIRECT(ADDRESS(2,COLUMN())),OFFSET($BN$2,0,0,ROW()-1,60),ROW()-1,FALSE))</f>
        <v>4.464258407</v>
      </c>
      <c r="AD305">
        <f ca="1">IF(AND(ISNUMBER($AD$971),$B$677=1),$AD$971,HLOOKUP(INDIRECT(ADDRESS(2,COLUMN())),OFFSET($BN$2,0,0,ROW()-1,60),ROW()-1,FALSE))</f>
        <v>3.8741849479999999</v>
      </c>
      <c r="AE305">
        <f ca="1">IF(AND(ISNUMBER($AE$971),$B$677=1),$AE$971,HLOOKUP(INDIRECT(ADDRESS(2,COLUMN())),OFFSET($BN$2,0,0,ROW()-1,60),ROW()-1,FALSE))</f>
        <v>3.5564938700000002</v>
      </c>
      <c r="AF305">
        <f ca="1">IF(AND(ISNUMBER($AF$971),$B$677=1),$AF$971,HLOOKUP(INDIRECT(ADDRESS(2,COLUMN())),OFFSET($BN$2,0,0,ROW()-1,60),ROW()-1,FALSE))</f>
        <v>2.0849842789999999</v>
      </c>
      <c r="AG305">
        <f ca="1">IF(AND(ISNUMBER($AG$971),$B$677=1),$AG$971,HLOOKUP(INDIRECT(ADDRESS(2,COLUMN())),OFFSET($BN$2,0,0,ROW()-1,60),ROW()-1,FALSE))</f>
        <v>2.048421437</v>
      </c>
      <c r="AH305">
        <f ca="1">IF(AND(ISNUMBER($AH$971),$B$677=1),$AH$971,HLOOKUP(INDIRECT(ADDRESS(2,COLUMN())),OFFSET($BN$2,0,0,ROW()-1,60),ROW()-1,FALSE))</f>
        <v>2.8806692429999998</v>
      </c>
      <c r="AI305">
        <f ca="1">IF(AND(ISNUMBER($AI$971),$B$677=1),$AI$971,HLOOKUP(INDIRECT(ADDRESS(2,COLUMN())),OFFSET($BN$2,0,0,ROW()-1,60),ROW()-1,FALSE))</f>
        <v>2.2366604570000002</v>
      </c>
      <c r="AJ305">
        <f ca="1">IF(AND(ISNUMBER($AJ$971),$B$677=1),$AJ$971,HLOOKUP(INDIRECT(ADDRESS(2,COLUMN())),OFFSET($BN$2,0,0,ROW()-1,60),ROW()-1,FALSE))</f>
        <v>1.8910511329999999</v>
      </c>
      <c r="AK305">
        <f ca="1">IF(AND(ISNUMBER($AK$971),$B$677=1),$AK$971,HLOOKUP(INDIRECT(ADDRESS(2,COLUMN())),OFFSET($BN$2,0,0,ROW()-1,60),ROW()-1,FALSE))</f>
        <v>2.907483279</v>
      </c>
      <c r="AL305">
        <f ca="1">IF(AND(ISNUMBER($AL$971),$B$677=1),$AL$971,HLOOKUP(INDIRECT(ADDRESS(2,COLUMN())),OFFSET($BN$2,0,0,ROW()-1,60),ROW()-1,FALSE))</f>
        <v>3.2586762550000001</v>
      </c>
      <c r="AM305">
        <f ca="1">IF(AND(ISNUMBER($AM$971),$B$677=1),$AM$971,HLOOKUP(INDIRECT(ADDRESS(2,COLUMN())),OFFSET($BN$2,0,0,ROW()-1,60),ROW()-1,FALSE))</f>
        <v>3.9543467849999998</v>
      </c>
      <c r="AN305">
        <f ca="1">IF(AND(ISNUMBER($AN$971),$B$677=1),$AN$971,HLOOKUP(INDIRECT(ADDRESS(2,COLUMN())),OFFSET($BN$2,0,0,ROW()-1,60),ROW()-1,FALSE))</f>
        <v>3.0211433109999999</v>
      </c>
      <c r="AO305">
        <f ca="1">IF(AND(ISNUMBER($AO$971),$B$677=1),$AO$971,HLOOKUP(INDIRECT(ADDRESS(2,COLUMN())),OFFSET($BN$2,0,0,ROW()-1,60),ROW()-1,FALSE))</f>
        <v>2.6834958950000001</v>
      </c>
      <c r="AP305">
        <f ca="1">IF(AND(ISNUMBER($AP$971),$B$677=1),$AP$971,HLOOKUP(INDIRECT(ADDRESS(2,COLUMN())),OFFSET($BN$2,0,0,ROW()-1,60),ROW()-1,FALSE))</f>
        <v>5.1132543500000001</v>
      </c>
      <c r="AQ305">
        <f ca="1">IF(AND(ISNUMBER($AQ$971),$B$677=1),$AQ$971,HLOOKUP(INDIRECT(ADDRESS(2,COLUMN())),OFFSET($BN$2,0,0,ROW()-1,60),ROW()-1,FALSE))</f>
        <v>6.4616811590000003</v>
      </c>
      <c r="AR305">
        <f ca="1">IF(AND(ISNUMBER($AR$971),$B$677=1),$AR$971,HLOOKUP(INDIRECT(ADDRESS(2,COLUMN())),OFFSET($BN$2,0,0,ROW()-1,60),ROW()-1,FALSE))</f>
        <v>63.698133290000001</v>
      </c>
      <c r="AS305">
        <f ca="1">IF(AND(ISNUMBER($AS$971),$B$677=1),$AS$971,HLOOKUP(INDIRECT(ADDRESS(2,COLUMN())),OFFSET($BN$2,0,0,ROW()-1,60),ROW()-1,FALSE))</f>
        <v>249.18851770000001</v>
      </c>
      <c r="AT305" t="str">
        <f ca="1">IF(AND(ISNUMBER($AT$971),$B$677=1),$AT$971,HLOOKUP(INDIRECT(ADDRESS(2,COLUMN())),OFFSET($BN$2,0,0,ROW()-1,60),ROW()-1,FALSE))</f>
        <v/>
      </c>
      <c r="AU305">
        <f ca="1">IF(AND(ISNUMBER($AU$971),$B$677=1),$AU$971,HLOOKUP(INDIRECT(ADDRESS(2,COLUMN())),OFFSET($BN$2,0,0,ROW()-1,60),ROW()-1,FALSE))</f>
        <v>238.07147990000001</v>
      </c>
      <c r="AV305">
        <f ca="1">IF(AND(ISNUMBER($AV$971),$B$677=1),$AV$971,HLOOKUP(INDIRECT(ADDRESS(2,COLUMN())),OFFSET($BN$2,0,0,ROW()-1,60),ROW()-1,FALSE))</f>
        <v>3.4925119339999999</v>
      </c>
      <c r="AW305">
        <f ca="1">IF(AND(ISNUMBER($AW$971),$B$677=1),$AW$971,HLOOKUP(INDIRECT(ADDRESS(2,COLUMN())),OFFSET($BN$2,0,0,ROW()-1,60),ROW()-1,FALSE))</f>
        <v>1.7343195309999999</v>
      </c>
      <c r="AX305">
        <f ca="1">IF(AND(ISNUMBER($AX$971),$B$677=1),$AX$971,HLOOKUP(INDIRECT(ADDRESS(2,COLUMN())),OFFSET($BN$2,0,0,ROW()-1,60),ROW()-1,FALSE))</f>
        <v>0.69778976800000003</v>
      </c>
      <c r="AY305">
        <f ca="1">IF(AND(ISNUMBER($AY$971),$B$677=1),$AY$971,HLOOKUP(INDIRECT(ADDRESS(2,COLUMN())),OFFSET($BN$2,0,0,ROW()-1,60),ROW()-1,FALSE))</f>
        <v>0.75273873199999997</v>
      </c>
      <c r="AZ305">
        <f ca="1">IF(AND(ISNUMBER($AZ$971),$B$677=1),$AZ$971,HLOOKUP(INDIRECT(ADDRESS(2,COLUMN())),OFFSET($BN$2,0,0,ROW()-1,60),ROW()-1,FALSE))</f>
        <v>1.039397202</v>
      </c>
      <c r="BA305">
        <f ca="1">IF(AND(ISNUMBER($BA$971),$B$677=1),$BA$971,HLOOKUP(INDIRECT(ADDRESS(2,COLUMN())),OFFSET($BN$2,0,0,ROW()-1,60),ROW()-1,FALSE))</f>
        <v>2.7312755910000002</v>
      </c>
      <c r="BB305">
        <f ca="1">IF(AND(ISNUMBER($BB$971),$B$677=1),$BB$971,HLOOKUP(INDIRECT(ADDRESS(2,COLUMN())),OFFSET($BN$2,0,0,ROW()-1,60),ROW()-1,FALSE))</f>
        <v>4.111044444</v>
      </c>
      <c r="BC305">
        <f ca="1">IF(AND(ISNUMBER($BC$971),$B$677=1),$BC$971,HLOOKUP(INDIRECT(ADDRESS(2,COLUMN())),OFFSET($BN$2,0,0,ROW()-1,60),ROW()-1,FALSE))</f>
        <v>29.389074069999999</v>
      </c>
      <c r="BD305">
        <f ca="1">IF(AND(ISNUMBER($BD$971),$B$677=1),$BD$971,HLOOKUP(INDIRECT(ADDRESS(2,COLUMN())),OFFSET($BN$2,0,0,ROW()-1,60),ROW()-1,FALSE))</f>
        <v>4.7731671210000002</v>
      </c>
      <c r="BE305">
        <f ca="1">IF(AND(ISNUMBER($BE$971),$B$677=1),$BE$971,HLOOKUP(INDIRECT(ADDRESS(2,COLUMN())),OFFSET($BN$2,0,0,ROW()-1,60),ROW()-1,FALSE))</f>
        <v>0.96893105000000002</v>
      </c>
      <c r="BF305">
        <f ca="1">IF(AND(ISNUMBER($BF$971),$B$677=1),$BF$971,HLOOKUP(INDIRECT(ADDRESS(2,COLUMN())),OFFSET($BN$2,0,0,ROW()-1,60),ROW()-1,FALSE))</f>
        <v>1.1867056330000001</v>
      </c>
      <c r="BG305">
        <f ca="1">IF(AND(ISNUMBER($BG$971),$B$677=1),$BG$971,HLOOKUP(INDIRECT(ADDRESS(2,COLUMN())),OFFSET($BN$2,0,0,ROW()-1,60),ROW()-1,FALSE))</f>
        <v>9.3357398679999992</v>
      </c>
      <c r="BH305">
        <f ca="1">IF(AND(ISNUMBER($BH$971),$B$677=1),$BH$971,HLOOKUP(INDIRECT(ADDRESS(2,COLUMN())),OFFSET($BN$2,0,0,ROW()-1,60),ROW()-1,FALSE))</f>
        <v>9.8793461180000008</v>
      </c>
      <c r="BI305">
        <f ca="1">IF(AND(ISNUMBER($BI$971),$B$677=1),$BI$971,HLOOKUP(INDIRECT(ADDRESS(2,COLUMN())),OFFSET($BN$2,0,0,ROW()-1,60),ROW()-1,FALSE))</f>
        <v>9.8112744139999997</v>
      </c>
      <c r="BJ305">
        <f ca="1">IF(AND(ISNUMBER($BJ$971),$B$677=1),$BJ$971,HLOOKUP(INDIRECT(ADDRESS(2,COLUMN())),OFFSET($BN$2,0,0,ROW()-1,60),ROW()-1,FALSE))</f>
        <v>9.5457066780000002</v>
      </c>
      <c r="BK305">
        <f ca="1">IF(AND(ISNUMBER($BK$971),$B$677=1),$BK$971,HLOOKUP(INDIRECT(ADDRESS(2,COLUMN())),OFFSET($BN$2,0,0,ROW()-1,60),ROW()-1,FALSE))</f>
        <v>9.0863281039999997</v>
      </c>
      <c r="BL305">
        <f ca="1">IF(AND(ISNUMBER($BL$971),$B$677=1),$BL$971,HLOOKUP(INDIRECT(ADDRESS(2,COLUMN())),OFFSET($BN$2,0,0,ROW()-1,60),ROW()-1,FALSE))</f>
        <v>8.9764698420000002</v>
      </c>
      <c r="BM305">
        <f ca="1">IF(AND(ISNUMBER($BM$971),$B$677=1),$BM$971,HLOOKUP(INDIRECT(ADDRESS(2,COLUMN())),OFFSET($BN$2,0,0,ROW()-1,60),ROW()-1,FALSE))</f>
        <v>9.2188001370000006</v>
      </c>
      <c r="BN305" t="str">
        <f>""</f>
        <v/>
      </c>
      <c r="BO305">
        <f>1.8313718</f>
        <v>1.8313718000000001</v>
      </c>
      <c r="BP305">
        <f>2.276674503</f>
        <v>2.2766745030000002</v>
      </c>
      <c r="BQ305">
        <f>2.819309759</f>
        <v>2.8193097589999998</v>
      </c>
      <c r="BR305">
        <f>2.483560201</f>
        <v>2.483560201</v>
      </c>
      <c r="BS305">
        <f>2.939565185</f>
        <v>2.9395651850000002</v>
      </c>
      <c r="BT305">
        <f>2.81708182</f>
        <v>2.8170818199999998</v>
      </c>
      <c r="BU305">
        <f>2.476240615</f>
        <v>2.476240615</v>
      </c>
      <c r="BV305">
        <f>2.544456567</f>
        <v>2.5444565670000001</v>
      </c>
      <c r="BW305">
        <f>2.534525592</f>
        <v>2.534525592</v>
      </c>
      <c r="BX305">
        <f>2.789716235</f>
        <v>2.7897162350000002</v>
      </c>
      <c r="BY305">
        <f>2.392740204</f>
        <v>2.3927402039999999</v>
      </c>
      <c r="BZ305">
        <f>2.618767497</f>
        <v>2.6187674969999999</v>
      </c>
      <c r="CA305">
        <f>3.031473992</f>
        <v>3.031473992</v>
      </c>
      <c r="CB305">
        <f>4.310954476</f>
        <v>4.310954476</v>
      </c>
      <c r="CC305">
        <f>5.906268281</f>
        <v>5.906268281</v>
      </c>
      <c r="CD305">
        <f>6.657575181</f>
        <v>6.6575751810000003</v>
      </c>
      <c r="CE305">
        <f>6.719419508</f>
        <v>6.7194195079999997</v>
      </c>
      <c r="CF305">
        <f>4.368579438</f>
        <v>4.3685794380000003</v>
      </c>
      <c r="CG305">
        <f>4.569680365</f>
        <v>4.569680365</v>
      </c>
      <c r="CH305">
        <f>4.504321581</f>
        <v>4.5043215810000001</v>
      </c>
      <c r="CI305">
        <f>4.226227545</f>
        <v>4.2262275450000004</v>
      </c>
      <c r="CJ305">
        <f>4.812771179</f>
        <v>4.8127711790000003</v>
      </c>
      <c r="CK305">
        <f>4.464258407</f>
        <v>4.464258407</v>
      </c>
      <c r="CL305">
        <f>3.874184948</f>
        <v>3.8741849479999999</v>
      </c>
      <c r="CM305">
        <f>3.55649387</f>
        <v>3.5564938700000002</v>
      </c>
      <c r="CN305">
        <f>2.084984279</f>
        <v>2.0849842789999999</v>
      </c>
      <c r="CO305">
        <f>2.048421437</f>
        <v>2.048421437</v>
      </c>
      <c r="CP305">
        <f>2.880669243</f>
        <v>2.8806692429999998</v>
      </c>
      <c r="CQ305">
        <f>2.236660457</f>
        <v>2.2366604570000002</v>
      </c>
      <c r="CR305">
        <f>1.891051133</f>
        <v>1.8910511329999999</v>
      </c>
      <c r="CS305">
        <f>2.907483279</f>
        <v>2.907483279</v>
      </c>
      <c r="CT305">
        <f>3.258676255</f>
        <v>3.2586762550000001</v>
      </c>
      <c r="CU305">
        <f>3.954346785</f>
        <v>3.9543467849999998</v>
      </c>
      <c r="CV305">
        <f>3.021143311</f>
        <v>3.0211433109999999</v>
      </c>
      <c r="CW305">
        <f>2.683495895</f>
        <v>2.6834958950000001</v>
      </c>
      <c r="CX305">
        <f>5.11325435</f>
        <v>5.1132543500000001</v>
      </c>
      <c r="CY305">
        <f>6.461681159</f>
        <v>6.4616811590000003</v>
      </c>
      <c r="CZ305">
        <f>63.69813329</f>
        <v>63.698133290000001</v>
      </c>
      <c r="DA305">
        <f>249.1885177</f>
        <v>249.18851770000001</v>
      </c>
      <c r="DB305" t="str">
        <f>""</f>
        <v/>
      </c>
      <c r="DC305">
        <f>238.0714799</f>
        <v>238.07147990000001</v>
      </c>
      <c r="DD305">
        <f>3.492511934</f>
        <v>3.4925119339999999</v>
      </c>
      <c r="DE305">
        <f>1.734319531</f>
        <v>1.7343195309999999</v>
      </c>
      <c r="DF305">
        <f>0.697789768</f>
        <v>0.69778976800000003</v>
      </c>
      <c r="DG305">
        <f>0.752738732</f>
        <v>0.75273873199999997</v>
      </c>
      <c r="DH305">
        <f>1.039397202</f>
        <v>1.039397202</v>
      </c>
      <c r="DI305">
        <f>2.731275591</f>
        <v>2.7312755910000002</v>
      </c>
      <c r="DJ305">
        <f>4.111044444</f>
        <v>4.111044444</v>
      </c>
      <c r="DK305">
        <f>29.38907407</f>
        <v>29.389074069999999</v>
      </c>
      <c r="DL305">
        <f>4.773167121</f>
        <v>4.7731671210000002</v>
      </c>
      <c r="DM305">
        <f>0.96893105</f>
        <v>0.96893105000000002</v>
      </c>
      <c r="DN305">
        <f>1.186705633</f>
        <v>1.1867056330000001</v>
      </c>
      <c r="DO305">
        <f>9.335739868</f>
        <v>9.3357398679999992</v>
      </c>
      <c r="DP305">
        <f>9.879346118</f>
        <v>9.8793461180000008</v>
      </c>
      <c r="DQ305">
        <f>9.811274414</f>
        <v>9.8112744139999997</v>
      </c>
      <c r="DR305">
        <f>9.545706678</f>
        <v>9.5457066780000002</v>
      </c>
      <c r="DS305">
        <f>9.086328104</f>
        <v>9.0863281039999997</v>
      </c>
      <c r="DT305">
        <f>8.976469842</f>
        <v>8.9764698420000002</v>
      </c>
      <c r="DU305">
        <f>9.218800137</f>
        <v>9.2188001370000006</v>
      </c>
    </row>
    <row r="306" spans="1:125" x14ac:dyDescent="0.25">
      <c r="A306" t="str">
        <f>"    Ford Otomotiv Sanayi AS"</f>
        <v xml:space="preserve">    Ford Otomotiv Sanayi AS</v>
      </c>
      <c r="B306" t="str">
        <f>"FROTOTRY EO Equity"</f>
        <v>FROTOTRY EO Equity</v>
      </c>
      <c r="C306" t="str">
        <f t="shared" si="21"/>
        <v>RR474</v>
      </c>
      <c r="D306" t="str">
        <f t="shared" si="22"/>
        <v>EV_TO_T12M_EBITDA</v>
      </c>
      <c r="E306" t="str">
        <f t="shared" si="23"/>
        <v>Dynamic</v>
      </c>
      <c r="F306" t="str">
        <f ca="1">IF(AND(ISNUMBER($F$972),$B$677=1),$F$972,HLOOKUP(INDIRECT(ADDRESS(2,COLUMN())),OFFSET($BN$2,0,0,ROW()-1,60),ROW()-1,FALSE))</f>
        <v/>
      </c>
      <c r="G306">
        <f ca="1">IF(AND(ISNUMBER($G$972),$B$677=1),$G$972,HLOOKUP(INDIRECT(ADDRESS(2,COLUMN())),OFFSET($BN$2,0,0,ROW()-1,60),ROW()-1,FALSE))</f>
        <v>7.0466816650000004</v>
      </c>
      <c r="H306">
        <f ca="1">IF(AND(ISNUMBER($H$972),$B$677=1),$H$972,HLOOKUP(INDIRECT(ADDRESS(2,COLUMN())),OFFSET($BN$2,0,0,ROW()-1,60),ROW()-1,FALSE))</f>
        <v>10.334211720000001</v>
      </c>
      <c r="I306">
        <f ca="1">IF(AND(ISNUMBER($I$972),$B$677=1),$I$972,HLOOKUP(INDIRECT(ADDRESS(2,COLUMN())),OFFSET($BN$2,0,0,ROW()-1,60),ROW()-1,FALSE))</f>
        <v>9.6083705049999999</v>
      </c>
      <c r="J306">
        <f ca="1">IF(AND(ISNUMBER($J$972),$B$677=1),$J$972,HLOOKUP(INDIRECT(ADDRESS(2,COLUMN())),OFFSET($BN$2,0,0,ROW()-1,60),ROW()-1,FALSE))</f>
        <v>10.68063227</v>
      </c>
      <c r="K306">
        <f ca="1">IF(AND(ISNUMBER($K$972),$B$677=1),$K$972,HLOOKUP(INDIRECT(ADDRESS(2,COLUMN())),OFFSET($BN$2,0,0,ROW()-1,60),ROW()-1,FALSE))</f>
        <v>11.11344004</v>
      </c>
      <c r="L306">
        <f ca="1">IF(AND(ISNUMBER($L$972),$B$677=1),$L$972,HLOOKUP(INDIRECT(ADDRESS(2,COLUMN())),OFFSET($BN$2,0,0,ROW()-1,60),ROW()-1,FALSE))</f>
        <v>9.1369902580000009</v>
      </c>
      <c r="M306">
        <f ca="1">IF(AND(ISNUMBER($M$972),$B$677=1),$M$972,HLOOKUP(INDIRECT(ADDRESS(2,COLUMN())),OFFSET($BN$2,0,0,ROW()-1,60),ROW()-1,FALSE))</f>
        <v>9.6354207879999993</v>
      </c>
      <c r="N306">
        <f ca="1">IF(AND(ISNUMBER($N$972),$B$677=1),$N$972,HLOOKUP(INDIRECT(ADDRESS(2,COLUMN())),OFFSET($BN$2,0,0,ROW()-1,60),ROW()-1,FALSE))</f>
        <v>8.4945741009999995</v>
      </c>
      <c r="O306">
        <f ca="1">IF(AND(ISNUMBER($O$972),$B$677=1),$O$972,HLOOKUP(INDIRECT(ADDRESS(2,COLUMN())),OFFSET($BN$2,0,0,ROW()-1,60),ROW()-1,FALSE))</f>
        <v>7.7890603020000002</v>
      </c>
      <c r="P306">
        <f ca="1">IF(AND(ISNUMBER($P$972),$B$677=1),$P$972,HLOOKUP(INDIRECT(ADDRESS(2,COLUMN())),OFFSET($BN$2,0,0,ROW()-1,60),ROW()-1,FALSE))</f>
        <v>8.3983936010000004</v>
      </c>
      <c r="Q306">
        <f ca="1">IF(AND(ISNUMBER($Q$972),$B$677=1),$Q$972,HLOOKUP(INDIRECT(ADDRESS(2,COLUMN())),OFFSET($BN$2,0,0,ROW()-1,60),ROW()-1,FALSE))</f>
        <v>8.3010056149999993</v>
      </c>
      <c r="R306">
        <f ca="1">IF(AND(ISNUMBER($R$972),$B$677=1),$R$972,HLOOKUP(INDIRECT(ADDRESS(2,COLUMN())),OFFSET($BN$2,0,0,ROW()-1,60),ROW()-1,FALSE))</f>
        <v>10.06718077</v>
      </c>
      <c r="S306">
        <f ca="1">IF(AND(ISNUMBER($S$972),$B$677=1),$S$972,HLOOKUP(INDIRECT(ADDRESS(2,COLUMN())),OFFSET($BN$2,0,0,ROW()-1,60),ROW()-1,FALSE))</f>
        <v>8.5903680609999995</v>
      </c>
      <c r="T306">
        <f ca="1">IF(AND(ISNUMBER($T$972),$B$677=1),$T$972,HLOOKUP(INDIRECT(ADDRESS(2,COLUMN())),OFFSET($BN$2,0,0,ROW()-1,60),ROW()-1,FALSE))</f>
        <v>10.792948150000001</v>
      </c>
      <c r="U306">
        <f ca="1">IF(AND(ISNUMBER($U$972),$B$677=1),$U$972,HLOOKUP(INDIRECT(ADDRESS(2,COLUMN())),OFFSET($BN$2,0,0,ROW()-1,60),ROW()-1,FALSE))</f>
        <v>13.33711241</v>
      </c>
      <c r="V306">
        <f ca="1">IF(AND(ISNUMBER($V$972),$B$677=1),$V$972,HLOOKUP(INDIRECT(ADDRESS(2,COLUMN())),OFFSET($BN$2,0,0,ROW()-1,60),ROW()-1,FALSE))</f>
        <v>13.994711519999999</v>
      </c>
      <c r="W306">
        <f ca="1">IF(AND(ISNUMBER($W$972),$B$677=1),$W$972,HLOOKUP(INDIRECT(ADDRESS(2,COLUMN())),OFFSET($BN$2,0,0,ROW()-1,60),ROW()-1,FALSE))</f>
        <v>15.61841819</v>
      </c>
      <c r="X306">
        <f ca="1">IF(AND(ISNUMBER($X$972),$B$677=1),$X$972,HLOOKUP(INDIRECT(ADDRESS(2,COLUMN())),OFFSET($BN$2,0,0,ROW()-1,60),ROW()-1,FALSE))</f>
        <v>14.38167507</v>
      </c>
      <c r="Y306">
        <f ca="1">IF(AND(ISNUMBER($Y$972),$B$677=1),$Y$972,HLOOKUP(INDIRECT(ADDRESS(2,COLUMN())),OFFSET($BN$2,0,0,ROW()-1,60),ROW()-1,FALSE))</f>
        <v>15.157743999999999</v>
      </c>
      <c r="Z306">
        <f ca="1">IF(AND(ISNUMBER($Z$972),$B$677=1),$Z$972,HLOOKUP(INDIRECT(ADDRESS(2,COLUMN())),OFFSET($BN$2,0,0,ROW()-1,60),ROW()-1,FALSE))</f>
        <v>12.594711820000001</v>
      </c>
      <c r="AA306">
        <f ca="1">IF(AND(ISNUMBER($AA$972),$B$677=1),$AA$972,HLOOKUP(INDIRECT(ADDRESS(2,COLUMN())),OFFSET($BN$2,0,0,ROW()-1,60),ROW()-1,FALSE))</f>
        <v>12.60615307</v>
      </c>
      <c r="AB306">
        <f ca="1">IF(AND(ISNUMBER($AB$972),$B$677=1),$AB$972,HLOOKUP(INDIRECT(ADDRESS(2,COLUMN())),OFFSET($BN$2,0,0,ROW()-1,60),ROW()-1,FALSE))</f>
        <v>13.966588290000001</v>
      </c>
      <c r="AC306">
        <f ca="1">IF(AND(ISNUMBER($AC$972),$B$677=1),$AC$972,HLOOKUP(INDIRECT(ADDRESS(2,COLUMN())),OFFSET($BN$2,0,0,ROW()-1,60),ROW()-1,FALSE))</f>
        <v>13.583035929999999</v>
      </c>
      <c r="AD306">
        <f ca="1">IF(AND(ISNUMBER($AD$972),$B$677=1),$AD$972,HLOOKUP(INDIRECT(ADDRESS(2,COLUMN())),OFFSET($BN$2,0,0,ROW()-1,60),ROW()-1,FALSE))</f>
        <v>13.069322550000001</v>
      </c>
      <c r="AE306">
        <f ca="1">IF(AND(ISNUMBER($AE$972),$B$677=1),$AE$972,HLOOKUP(INDIRECT(ADDRESS(2,COLUMN())),OFFSET($BN$2,0,0,ROW()-1,60),ROW()-1,FALSE))</f>
        <v>10.57327506</v>
      </c>
      <c r="AF306">
        <f ca="1">IF(AND(ISNUMBER($AF$972),$B$677=1),$AF$972,HLOOKUP(INDIRECT(ADDRESS(2,COLUMN())),OFFSET($BN$2,0,0,ROW()-1,60),ROW()-1,FALSE))</f>
        <v>9.0264039749999991</v>
      </c>
      <c r="AG306">
        <f ca="1">IF(AND(ISNUMBER($AG$972),$B$677=1),$AG$972,HLOOKUP(INDIRECT(ADDRESS(2,COLUMN())),OFFSET($BN$2,0,0,ROW()-1,60),ROW()-1,FALSE))</f>
        <v>6.9958057079999998</v>
      </c>
      <c r="AH306">
        <f ca="1">IF(AND(ISNUMBER($AH$972),$B$677=1),$AH$972,HLOOKUP(INDIRECT(ADDRESS(2,COLUMN())),OFFSET($BN$2,0,0,ROW()-1,60),ROW()-1,FALSE))</f>
        <v>6.6211540680000001</v>
      </c>
      <c r="AI306">
        <f ca="1">IF(AND(ISNUMBER($AI$972),$B$677=1),$AI$972,HLOOKUP(INDIRECT(ADDRESS(2,COLUMN())),OFFSET($BN$2,0,0,ROW()-1,60),ROW()-1,FALSE))</f>
        <v>6.2133669080000002</v>
      </c>
      <c r="AJ306">
        <f ca="1">IF(AND(ISNUMBER($AJ$972),$B$677=1),$AJ$972,HLOOKUP(INDIRECT(ADDRESS(2,COLUMN())),OFFSET($BN$2,0,0,ROW()-1,60),ROW()-1,FALSE))</f>
        <v>4.7328314560000004</v>
      </c>
      <c r="AK306">
        <f ca="1">IF(AND(ISNUMBER($AK$972),$B$677=1),$AK$972,HLOOKUP(INDIRECT(ADDRESS(2,COLUMN())),OFFSET($BN$2,0,0,ROW()-1,60),ROW()-1,FALSE))</f>
        <v>5.3788006519999998</v>
      </c>
      <c r="AL306">
        <f ca="1">IF(AND(ISNUMBER($AL$972),$B$677=1),$AL$972,HLOOKUP(INDIRECT(ADDRESS(2,COLUMN())),OFFSET($BN$2,0,0,ROW()-1,60),ROW()-1,FALSE))</f>
        <v>5.7995267769999996</v>
      </c>
      <c r="AM306">
        <f ca="1">IF(AND(ISNUMBER($AM$972),$B$677=1),$AM$972,HLOOKUP(INDIRECT(ADDRESS(2,COLUMN())),OFFSET($BN$2,0,0,ROW()-1,60),ROW()-1,FALSE))</f>
        <v>5.8410540830000004</v>
      </c>
      <c r="AN306">
        <f ca="1">IF(AND(ISNUMBER($AN$972),$B$677=1),$AN$972,HLOOKUP(INDIRECT(ADDRESS(2,COLUMN())),OFFSET($BN$2,0,0,ROW()-1,60),ROW()-1,FALSE))</f>
        <v>6.0951116509999999</v>
      </c>
      <c r="AO306">
        <f ca="1">IF(AND(ISNUMBER($AO$972),$B$677=1),$AO$972,HLOOKUP(INDIRECT(ADDRESS(2,COLUMN())),OFFSET($BN$2,0,0,ROW()-1,60),ROW()-1,FALSE))</f>
        <v>5.3360926150000001</v>
      </c>
      <c r="AP306">
        <f ca="1">IF(AND(ISNUMBER($AP$972),$B$677=1),$AP$972,HLOOKUP(INDIRECT(ADDRESS(2,COLUMN())),OFFSET($BN$2,0,0,ROW()-1,60),ROW()-1,FALSE))</f>
        <v>5.9416214170000003</v>
      </c>
      <c r="AQ306">
        <f ca="1">IF(AND(ISNUMBER($AQ$972),$B$677=1),$AQ$972,HLOOKUP(INDIRECT(ADDRESS(2,COLUMN())),OFFSET($BN$2,0,0,ROW()-1,60),ROW()-1,FALSE))</f>
        <v>5.6880900099999998</v>
      </c>
      <c r="AR306">
        <f ca="1">IF(AND(ISNUMBER($AR$972),$B$677=1),$AR$972,HLOOKUP(INDIRECT(ADDRESS(2,COLUMN())),OFFSET($BN$2,0,0,ROW()-1,60),ROW()-1,FALSE))</f>
        <v>6.300371084</v>
      </c>
      <c r="AS306">
        <f ca="1">IF(AND(ISNUMBER($AS$972),$B$677=1),$AS$972,HLOOKUP(INDIRECT(ADDRESS(2,COLUMN())),OFFSET($BN$2,0,0,ROW()-1,60),ROW()-1,FALSE))</f>
        <v>3.934696846</v>
      </c>
      <c r="AT306">
        <f ca="1">IF(AND(ISNUMBER($AT$972),$B$677=1),$AT$972,HLOOKUP(INDIRECT(ADDRESS(2,COLUMN())),OFFSET($BN$2,0,0,ROW()-1,60),ROW()-1,FALSE))</f>
        <v>2.5121748639999999</v>
      </c>
      <c r="AU306">
        <f ca="1">IF(AND(ISNUMBER($AU$972),$B$677=1),$AU$972,HLOOKUP(INDIRECT(ADDRESS(2,COLUMN())),OFFSET($BN$2,0,0,ROW()-1,60),ROW()-1,FALSE))</f>
        <v>2.168635842</v>
      </c>
      <c r="AV306">
        <f ca="1">IF(AND(ISNUMBER($AV$972),$B$677=1),$AV$972,HLOOKUP(INDIRECT(ADDRESS(2,COLUMN())),OFFSET($BN$2,0,0,ROW()-1,60),ROW()-1,FALSE))</f>
        <v>2.4925120999999999</v>
      </c>
      <c r="AW306">
        <f ca="1">IF(AND(ISNUMBER($AW$972),$B$677=1),$AW$972,HLOOKUP(INDIRECT(ADDRESS(2,COLUMN())),OFFSET($BN$2,0,0,ROW()-1,60),ROW()-1,FALSE))</f>
        <v>3.545028426</v>
      </c>
      <c r="AX306">
        <f ca="1">IF(AND(ISNUMBER($AX$972),$B$677=1),$AX$972,HLOOKUP(INDIRECT(ADDRESS(2,COLUMN())),OFFSET($BN$2,0,0,ROW()-1,60),ROW()-1,FALSE))</f>
        <v>3.954087774</v>
      </c>
      <c r="AY306">
        <f ca="1">IF(AND(ISNUMBER($AY$972),$B$677=1),$AY$972,HLOOKUP(INDIRECT(ADDRESS(2,COLUMN())),OFFSET($BN$2,0,0,ROW()-1,60),ROW()-1,FALSE))</f>
        <v>5.3397268249999996</v>
      </c>
      <c r="AZ306">
        <f ca="1">IF(AND(ISNUMBER($AZ$972),$B$677=1),$AZ$972,HLOOKUP(INDIRECT(ADDRESS(2,COLUMN())),OFFSET($BN$2,0,0,ROW()-1,60),ROW()-1,FALSE))</f>
        <v>6.2104524330000004</v>
      </c>
      <c r="BA306">
        <f ca="1">IF(AND(ISNUMBER($BA$972),$B$677=1),$BA$972,HLOOKUP(INDIRECT(ADDRESS(2,COLUMN())),OFFSET($BN$2,0,0,ROW()-1,60),ROW()-1,FALSE))</f>
        <v>6.2913250449999998</v>
      </c>
      <c r="BB306">
        <f ca="1">IF(AND(ISNUMBER($BB$972),$B$677=1),$BB$972,HLOOKUP(INDIRECT(ADDRESS(2,COLUMN())),OFFSET($BN$2,0,0,ROW()-1,60),ROW()-1,FALSE))</f>
        <v>6.3192370640000002</v>
      </c>
      <c r="BC306">
        <f ca="1">IF(AND(ISNUMBER($BC$972),$B$677=1),$BC$972,HLOOKUP(INDIRECT(ADDRESS(2,COLUMN())),OFFSET($BN$2,0,0,ROW()-1,60),ROW()-1,FALSE))</f>
        <v>5.6468718999999998</v>
      </c>
      <c r="BD306">
        <f ca="1">IF(AND(ISNUMBER($BD$972),$B$677=1),$BD$972,HLOOKUP(INDIRECT(ADDRESS(2,COLUMN())),OFFSET($BN$2,0,0,ROW()-1,60),ROW()-1,FALSE))</f>
        <v>4.4474603049999999</v>
      </c>
      <c r="BE306">
        <f ca="1">IF(AND(ISNUMBER($BE$972),$B$677=1),$BE$972,HLOOKUP(INDIRECT(ADDRESS(2,COLUMN())),OFFSET($BN$2,0,0,ROW()-1,60),ROW()-1,FALSE))</f>
        <v>4.6496487540000002</v>
      </c>
      <c r="BF306">
        <f ca="1">IF(AND(ISNUMBER($BF$972),$B$677=1),$BF$972,HLOOKUP(INDIRECT(ADDRESS(2,COLUMN())),OFFSET($BN$2,0,0,ROW()-1,60),ROW()-1,FALSE))</f>
        <v>5.0236521969999997</v>
      </c>
      <c r="BG306">
        <f ca="1">IF(AND(ISNUMBER($BG$972),$B$677=1),$BG$972,HLOOKUP(INDIRECT(ADDRESS(2,COLUMN())),OFFSET($BN$2,0,0,ROW()-1,60),ROW()-1,FALSE))</f>
        <v>5.283339046</v>
      </c>
      <c r="BH306" t="str">
        <f ca="1">IF(AND(ISNUMBER($BH$972),$B$677=1),$BH$972,HLOOKUP(INDIRECT(ADDRESS(2,COLUMN())),OFFSET($BN$2,0,0,ROW()-1,60),ROW()-1,FALSE))</f>
        <v/>
      </c>
      <c r="BI306" t="str">
        <f ca="1">IF(AND(ISNUMBER($BI$972),$B$677=1),$BI$972,HLOOKUP(INDIRECT(ADDRESS(2,COLUMN())),OFFSET($BN$2,0,0,ROW()-1,60),ROW()-1,FALSE))</f>
        <v/>
      </c>
      <c r="BJ306" t="str">
        <f ca="1">IF(AND(ISNUMBER($BJ$972),$B$677=1),$BJ$972,HLOOKUP(INDIRECT(ADDRESS(2,COLUMN())),OFFSET($BN$2,0,0,ROW()-1,60),ROW()-1,FALSE))</f>
        <v/>
      </c>
      <c r="BK306" t="str">
        <f ca="1">IF(AND(ISNUMBER($BK$972),$B$677=1),$BK$972,HLOOKUP(INDIRECT(ADDRESS(2,COLUMN())),OFFSET($BN$2,0,0,ROW()-1,60),ROW()-1,FALSE))</f>
        <v/>
      </c>
      <c r="BL306" t="str">
        <f ca="1">IF(AND(ISNUMBER($BL$972),$B$677=1),$BL$972,HLOOKUP(INDIRECT(ADDRESS(2,COLUMN())),OFFSET($BN$2,0,0,ROW()-1,60),ROW()-1,FALSE))</f>
        <v/>
      </c>
      <c r="BM306" t="str">
        <f ca="1">IF(AND(ISNUMBER($BM$972),$B$677=1),$BM$972,HLOOKUP(INDIRECT(ADDRESS(2,COLUMN())),OFFSET($BN$2,0,0,ROW()-1,60),ROW()-1,FALSE))</f>
        <v/>
      </c>
      <c r="BN306" t="str">
        <f>""</f>
        <v/>
      </c>
      <c r="BO306">
        <f>7.046681665</f>
        <v>7.0466816650000004</v>
      </c>
      <c r="BP306">
        <f>10.33421172</f>
        <v>10.334211720000001</v>
      </c>
      <c r="BQ306">
        <f>9.608370505</f>
        <v>9.6083705049999999</v>
      </c>
      <c r="BR306">
        <f>10.68063227</f>
        <v>10.68063227</v>
      </c>
      <c r="BS306">
        <f>11.11344004</f>
        <v>11.11344004</v>
      </c>
      <c r="BT306">
        <f>9.136990258</f>
        <v>9.1369902580000009</v>
      </c>
      <c r="BU306">
        <f>9.635420788</f>
        <v>9.6354207879999993</v>
      </c>
      <c r="BV306">
        <f>8.494574101</f>
        <v>8.4945741009999995</v>
      </c>
      <c r="BW306">
        <f>7.789060302</f>
        <v>7.7890603020000002</v>
      </c>
      <c r="BX306">
        <f>8.398393601</f>
        <v>8.3983936010000004</v>
      </c>
      <c r="BY306">
        <f>8.301005615</f>
        <v>8.3010056149999993</v>
      </c>
      <c r="BZ306">
        <f>10.06718077</f>
        <v>10.06718077</v>
      </c>
      <c r="CA306">
        <f>8.590368061</f>
        <v>8.5903680609999995</v>
      </c>
      <c r="CB306">
        <f>10.79294815</f>
        <v>10.792948150000001</v>
      </c>
      <c r="CC306">
        <f>13.33711241</f>
        <v>13.33711241</v>
      </c>
      <c r="CD306">
        <f>13.99471152</f>
        <v>13.994711519999999</v>
      </c>
      <c r="CE306">
        <f>15.61841819</f>
        <v>15.61841819</v>
      </c>
      <c r="CF306">
        <f>14.38167507</f>
        <v>14.38167507</v>
      </c>
      <c r="CG306">
        <f>15.157744</f>
        <v>15.157743999999999</v>
      </c>
      <c r="CH306">
        <f>12.59471182</f>
        <v>12.594711820000001</v>
      </c>
      <c r="CI306">
        <f>12.60615307</f>
        <v>12.60615307</v>
      </c>
      <c r="CJ306">
        <f>13.96658829</f>
        <v>13.966588290000001</v>
      </c>
      <c r="CK306">
        <f>13.58303593</f>
        <v>13.583035929999999</v>
      </c>
      <c r="CL306">
        <f>13.06932255</f>
        <v>13.069322550000001</v>
      </c>
      <c r="CM306">
        <f>10.57327506</f>
        <v>10.57327506</v>
      </c>
      <c r="CN306">
        <f>9.026403975</f>
        <v>9.0264039749999991</v>
      </c>
      <c r="CO306">
        <f>6.995805708</f>
        <v>6.9958057079999998</v>
      </c>
      <c r="CP306">
        <f>6.621154068</f>
        <v>6.6211540680000001</v>
      </c>
      <c r="CQ306">
        <f>6.213366908</f>
        <v>6.2133669080000002</v>
      </c>
      <c r="CR306">
        <f>4.732831456</f>
        <v>4.7328314560000004</v>
      </c>
      <c r="CS306">
        <f>5.378800652</f>
        <v>5.3788006519999998</v>
      </c>
      <c r="CT306">
        <f>5.799526777</f>
        <v>5.7995267769999996</v>
      </c>
      <c r="CU306">
        <f>5.841054083</f>
        <v>5.8410540830000004</v>
      </c>
      <c r="CV306">
        <f>6.095111651</f>
        <v>6.0951116509999999</v>
      </c>
      <c r="CW306">
        <f>5.336092615</f>
        <v>5.3360926150000001</v>
      </c>
      <c r="CX306">
        <f>5.941621417</f>
        <v>5.9416214170000003</v>
      </c>
      <c r="CY306">
        <f>5.68809001</f>
        <v>5.6880900099999998</v>
      </c>
      <c r="CZ306">
        <f>6.300371084</f>
        <v>6.300371084</v>
      </c>
      <c r="DA306">
        <f>3.934696846</f>
        <v>3.934696846</v>
      </c>
      <c r="DB306">
        <f>2.512174864</f>
        <v>2.5121748639999999</v>
      </c>
      <c r="DC306">
        <f>2.168635842</f>
        <v>2.168635842</v>
      </c>
      <c r="DD306">
        <f>2.4925121</f>
        <v>2.4925120999999999</v>
      </c>
      <c r="DE306">
        <f>3.545028426</f>
        <v>3.545028426</v>
      </c>
      <c r="DF306">
        <f>3.954087774</f>
        <v>3.954087774</v>
      </c>
      <c r="DG306">
        <f>5.339726825</f>
        <v>5.3397268249999996</v>
      </c>
      <c r="DH306">
        <f>6.210452433</f>
        <v>6.2104524330000004</v>
      </c>
      <c r="DI306">
        <f>6.291325045</f>
        <v>6.2913250449999998</v>
      </c>
      <c r="DJ306">
        <f>6.319237064</f>
        <v>6.3192370640000002</v>
      </c>
      <c r="DK306">
        <f>5.6468719</f>
        <v>5.6468718999999998</v>
      </c>
      <c r="DL306">
        <f>4.447460305</f>
        <v>4.4474603049999999</v>
      </c>
      <c r="DM306">
        <f>4.649648754</f>
        <v>4.6496487540000002</v>
      </c>
      <c r="DN306">
        <f>5.023652197</f>
        <v>5.0236521969999997</v>
      </c>
      <c r="DO306">
        <f>5.283339046</f>
        <v>5.283339046</v>
      </c>
      <c r="DP306" t="str">
        <f>""</f>
        <v/>
      </c>
      <c r="DQ306" t="str">
        <f>""</f>
        <v/>
      </c>
      <c r="DR306" t="str">
        <f>""</f>
        <v/>
      </c>
      <c r="DS306" t="str">
        <f>""</f>
        <v/>
      </c>
      <c r="DT306" t="str">
        <f>""</f>
        <v/>
      </c>
      <c r="DU306" t="str">
        <f>""</f>
        <v/>
      </c>
    </row>
    <row r="307" spans="1:125" x14ac:dyDescent="0.25">
      <c r="A307" t="str">
        <f>"    GAZ PJSC"</f>
        <v xml:space="preserve">    GAZ PJSC</v>
      </c>
      <c r="B307" t="str">
        <f>"GAZA RM Equity"</f>
        <v>GAZA RM Equity</v>
      </c>
      <c r="C307" t="str">
        <f t="shared" si="21"/>
        <v>RR474</v>
      </c>
      <c r="D307" t="str">
        <f t="shared" si="22"/>
        <v>EV_TO_T12M_EBITDA</v>
      </c>
      <c r="E307" t="str">
        <f t="shared" si="23"/>
        <v>Dynamic</v>
      </c>
      <c r="F307" t="str">
        <f ca="1">IF(AND(ISNUMBER($F$973),$B$677=1),$F$973,HLOOKUP(INDIRECT(ADDRESS(2,COLUMN())),OFFSET($BN$2,0,0,ROW()-1,60),ROW()-1,FALSE))</f>
        <v/>
      </c>
      <c r="G307" t="str">
        <f ca="1">IF(AND(ISNUMBER($G$973),$B$677=1),$G$973,HLOOKUP(INDIRECT(ADDRESS(2,COLUMN())),OFFSET($BN$2,0,0,ROW()-1,60),ROW()-1,FALSE))</f>
        <v/>
      </c>
      <c r="H307" t="str">
        <f ca="1">IF(AND(ISNUMBER($H$973),$B$677=1),$H$973,HLOOKUP(INDIRECT(ADDRESS(2,COLUMN())),OFFSET($BN$2,0,0,ROW()-1,60),ROW()-1,FALSE))</f>
        <v/>
      </c>
      <c r="I307" t="str">
        <f ca="1">IF(AND(ISNUMBER($I$973),$B$677=1),$I$973,HLOOKUP(INDIRECT(ADDRESS(2,COLUMN())),OFFSET($BN$2,0,0,ROW()-1,60),ROW()-1,FALSE))</f>
        <v/>
      </c>
      <c r="J307" t="str">
        <f ca="1">IF(AND(ISNUMBER($J$973),$B$677=1),$J$973,HLOOKUP(INDIRECT(ADDRESS(2,COLUMN())),OFFSET($BN$2,0,0,ROW()-1,60),ROW()-1,FALSE))</f>
        <v/>
      </c>
      <c r="K307" t="str">
        <f ca="1">IF(AND(ISNUMBER($K$973),$B$677=1),$K$973,HLOOKUP(INDIRECT(ADDRESS(2,COLUMN())),OFFSET($BN$2,0,0,ROW()-1,60),ROW()-1,FALSE))</f>
        <v/>
      </c>
      <c r="L307" t="str">
        <f ca="1">IF(AND(ISNUMBER($L$973),$B$677=1),$L$973,HLOOKUP(INDIRECT(ADDRESS(2,COLUMN())),OFFSET($BN$2,0,0,ROW()-1,60),ROW()-1,FALSE))</f>
        <v/>
      </c>
      <c r="M307" t="str">
        <f ca="1">IF(AND(ISNUMBER($M$973),$B$677=1),$M$973,HLOOKUP(INDIRECT(ADDRESS(2,COLUMN())),OFFSET($BN$2,0,0,ROW()-1,60),ROW()-1,FALSE))</f>
        <v/>
      </c>
      <c r="N307" t="str">
        <f ca="1">IF(AND(ISNUMBER($N$973),$B$677=1),$N$973,HLOOKUP(INDIRECT(ADDRESS(2,COLUMN())),OFFSET($BN$2,0,0,ROW()-1,60),ROW()-1,FALSE))</f>
        <v/>
      </c>
      <c r="O307" t="str">
        <f ca="1">IF(AND(ISNUMBER($O$973),$B$677=1),$O$973,HLOOKUP(INDIRECT(ADDRESS(2,COLUMN())),OFFSET($BN$2,0,0,ROW()-1,60),ROW()-1,FALSE))</f>
        <v/>
      </c>
      <c r="P307" t="str">
        <f ca="1">IF(AND(ISNUMBER($P$973),$B$677=1),$P$973,HLOOKUP(INDIRECT(ADDRESS(2,COLUMN())),OFFSET($BN$2,0,0,ROW()-1,60),ROW()-1,FALSE))</f>
        <v/>
      </c>
      <c r="Q307" t="str">
        <f ca="1">IF(AND(ISNUMBER($Q$973),$B$677=1),$Q$973,HLOOKUP(INDIRECT(ADDRESS(2,COLUMN())),OFFSET($BN$2,0,0,ROW()-1,60),ROW()-1,FALSE))</f>
        <v/>
      </c>
      <c r="R307" t="str">
        <f ca="1">IF(AND(ISNUMBER($R$973),$B$677=1),$R$973,HLOOKUP(INDIRECT(ADDRESS(2,COLUMN())),OFFSET($BN$2,0,0,ROW()-1,60),ROW()-1,FALSE))</f>
        <v/>
      </c>
      <c r="S307" t="str">
        <f ca="1">IF(AND(ISNUMBER($S$973),$B$677=1),$S$973,HLOOKUP(INDIRECT(ADDRESS(2,COLUMN())),OFFSET($BN$2,0,0,ROW()-1,60),ROW()-1,FALSE))</f>
        <v/>
      </c>
      <c r="T307" t="str">
        <f ca="1">IF(AND(ISNUMBER($T$973),$B$677=1),$T$973,HLOOKUP(INDIRECT(ADDRESS(2,COLUMN())),OFFSET($BN$2,0,0,ROW()-1,60),ROW()-1,FALSE))</f>
        <v/>
      </c>
      <c r="U307" t="str">
        <f ca="1">IF(AND(ISNUMBER($U$973),$B$677=1),$U$973,HLOOKUP(INDIRECT(ADDRESS(2,COLUMN())),OFFSET($BN$2,0,0,ROW()-1,60),ROW()-1,FALSE))</f>
        <v/>
      </c>
      <c r="V307" t="str">
        <f ca="1">IF(AND(ISNUMBER($V$973),$B$677=1),$V$973,HLOOKUP(INDIRECT(ADDRESS(2,COLUMN())),OFFSET($BN$2,0,0,ROW()-1,60),ROW()-1,FALSE))</f>
        <v/>
      </c>
      <c r="W307" t="str">
        <f ca="1">IF(AND(ISNUMBER($W$973),$B$677=1),$W$973,HLOOKUP(INDIRECT(ADDRESS(2,COLUMN())),OFFSET($BN$2,0,0,ROW()-1,60),ROW()-1,FALSE))</f>
        <v/>
      </c>
      <c r="X307" t="str">
        <f ca="1">IF(AND(ISNUMBER($X$973),$B$677=1),$X$973,HLOOKUP(INDIRECT(ADDRESS(2,COLUMN())),OFFSET($BN$2,0,0,ROW()-1,60),ROW()-1,FALSE))</f>
        <v/>
      </c>
      <c r="Y307" t="str">
        <f ca="1">IF(AND(ISNUMBER($Y$973),$B$677=1),$Y$973,HLOOKUP(INDIRECT(ADDRESS(2,COLUMN())),OFFSET($BN$2,0,0,ROW()-1,60),ROW()-1,FALSE))</f>
        <v/>
      </c>
      <c r="Z307" t="str">
        <f ca="1">IF(AND(ISNUMBER($Z$973),$B$677=1),$Z$973,HLOOKUP(INDIRECT(ADDRESS(2,COLUMN())),OFFSET($BN$2,0,0,ROW()-1,60),ROW()-1,FALSE))</f>
        <v/>
      </c>
      <c r="AA307" t="str">
        <f ca="1">IF(AND(ISNUMBER($AA$973),$B$677=1),$AA$973,HLOOKUP(INDIRECT(ADDRESS(2,COLUMN())),OFFSET($BN$2,0,0,ROW()-1,60),ROW()-1,FALSE))</f>
        <v/>
      </c>
      <c r="AB307" t="str">
        <f ca="1">IF(AND(ISNUMBER($AB$973),$B$677=1),$AB$973,HLOOKUP(INDIRECT(ADDRESS(2,COLUMN())),OFFSET($BN$2,0,0,ROW()-1,60),ROW()-1,FALSE))</f>
        <v/>
      </c>
      <c r="AC307" t="str">
        <f ca="1">IF(AND(ISNUMBER($AC$973),$B$677=1),$AC$973,HLOOKUP(INDIRECT(ADDRESS(2,COLUMN())),OFFSET($BN$2,0,0,ROW()-1,60),ROW()-1,FALSE))</f>
        <v/>
      </c>
      <c r="AD307" t="str">
        <f ca="1">IF(AND(ISNUMBER($AD$973),$B$677=1),$AD$973,HLOOKUP(INDIRECT(ADDRESS(2,COLUMN())),OFFSET($BN$2,0,0,ROW()-1,60),ROW()-1,FALSE))</f>
        <v/>
      </c>
      <c r="AE307" t="str">
        <f ca="1">IF(AND(ISNUMBER($AE$973),$B$677=1),$AE$973,HLOOKUP(INDIRECT(ADDRESS(2,COLUMN())),OFFSET($BN$2,0,0,ROW()-1,60),ROW()-1,FALSE))</f>
        <v/>
      </c>
      <c r="AF307" t="str">
        <f ca="1">IF(AND(ISNUMBER($AF$973),$B$677=1),$AF$973,HLOOKUP(INDIRECT(ADDRESS(2,COLUMN())),OFFSET($BN$2,0,0,ROW()-1,60),ROW()-1,FALSE))</f>
        <v/>
      </c>
      <c r="AG307" t="str">
        <f ca="1">IF(AND(ISNUMBER($AG$973),$B$677=1),$AG$973,HLOOKUP(INDIRECT(ADDRESS(2,COLUMN())),OFFSET($BN$2,0,0,ROW()-1,60),ROW()-1,FALSE))</f>
        <v/>
      </c>
      <c r="AH307" t="str">
        <f ca="1">IF(AND(ISNUMBER($AH$973),$B$677=1),$AH$973,HLOOKUP(INDIRECT(ADDRESS(2,COLUMN())),OFFSET($BN$2,0,0,ROW()-1,60),ROW()-1,FALSE))</f>
        <v/>
      </c>
      <c r="AI307" t="str">
        <f ca="1">IF(AND(ISNUMBER($AI$973),$B$677=1),$AI$973,HLOOKUP(INDIRECT(ADDRESS(2,COLUMN())),OFFSET($BN$2,0,0,ROW()-1,60),ROW()-1,FALSE))</f>
        <v/>
      </c>
      <c r="AJ307" t="str">
        <f ca="1">IF(AND(ISNUMBER($AJ$973),$B$677=1),$AJ$973,HLOOKUP(INDIRECT(ADDRESS(2,COLUMN())),OFFSET($BN$2,0,0,ROW()-1,60),ROW()-1,FALSE))</f>
        <v/>
      </c>
      <c r="AK307" t="str">
        <f ca="1">IF(AND(ISNUMBER($AK$973),$B$677=1),$AK$973,HLOOKUP(INDIRECT(ADDRESS(2,COLUMN())),OFFSET($BN$2,0,0,ROW()-1,60),ROW()-1,FALSE))</f>
        <v/>
      </c>
      <c r="AL307" t="str">
        <f ca="1">IF(AND(ISNUMBER($AL$973),$B$677=1),$AL$973,HLOOKUP(INDIRECT(ADDRESS(2,COLUMN())),OFFSET($BN$2,0,0,ROW()-1,60),ROW()-1,FALSE))</f>
        <v/>
      </c>
      <c r="AM307" t="str">
        <f ca="1">IF(AND(ISNUMBER($AM$973),$B$677=1),$AM$973,HLOOKUP(INDIRECT(ADDRESS(2,COLUMN())),OFFSET($BN$2,0,0,ROW()-1,60),ROW()-1,FALSE))</f>
        <v/>
      </c>
      <c r="AN307" t="str">
        <f ca="1">IF(AND(ISNUMBER($AN$973),$B$677=1),$AN$973,HLOOKUP(INDIRECT(ADDRESS(2,COLUMN())),OFFSET($BN$2,0,0,ROW()-1,60),ROW()-1,FALSE))</f>
        <v/>
      </c>
      <c r="AO307" t="str">
        <f ca="1">IF(AND(ISNUMBER($AO$973),$B$677=1),$AO$973,HLOOKUP(INDIRECT(ADDRESS(2,COLUMN())),OFFSET($BN$2,0,0,ROW()-1,60),ROW()-1,FALSE))</f>
        <v/>
      </c>
      <c r="AP307" t="str">
        <f ca="1">IF(AND(ISNUMBER($AP$973),$B$677=1),$AP$973,HLOOKUP(INDIRECT(ADDRESS(2,COLUMN())),OFFSET($BN$2,0,0,ROW()-1,60),ROW()-1,FALSE))</f>
        <v/>
      </c>
      <c r="AQ307" t="str">
        <f ca="1">IF(AND(ISNUMBER($AQ$973),$B$677=1),$AQ$973,HLOOKUP(INDIRECT(ADDRESS(2,COLUMN())),OFFSET($BN$2,0,0,ROW()-1,60),ROW()-1,FALSE))</f>
        <v/>
      </c>
      <c r="AR307" t="str">
        <f ca="1">IF(AND(ISNUMBER($AR$973),$B$677=1),$AR$973,HLOOKUP(INDIRECT(ADDRESS(2,COLUMN())),OFFSET($BN$2,0,0,ROW()-1,60),ROW()-1,FALSE))</f>
        <v/>
      </c>
      <c r="AS307" t="str">
        <f ca="1">IF(AND(ISNUMBER($AS$973),$B$677=1),$AS$973,HLOOKUP(INDIRECT(ADDRESS(2,COLUMN())),OFFSET($BN$2,0,0,ROW()-1,60),ROW()-1,FALSE))</f>
        <v/>
      </c>
      <c r="AT307" t="str">
        <f ca="1">IF(AND(ISNUMBER($AT$973),$B$677=1),$AT$973,HLOOKUP(INDIRECT(ADDRESS(2,COLUMN())),OFFSET($BN$2,0,0,ROW()-1,60),ROW()-1,FALSE))</f>
        <v/>
      </c>
      <c r="AU307" t="str">
        <f ca="1">IF(AND(ISNUMBER($AU$973),$B$677=1),$AU$973,HLOOKUP(INDIRECT(ADDRESS(2,COLUMN())),OFFSET($BN$2,0,0,ROW()-1,60),ROW()-1,FALSE))</f>
        <v/>
      </c>
      <c r="AV307" t="str">
        <f ca="1">IF(AND(ISNUMBER($AV$973),$B$677=1),$AV$973,HLOOKUP(INDIRECT(ADDRESS(2,COLUMN())),OFFSET($BN$2,0,0,ROW()-1,60),ROW()-1,FALSE))</f>
        <v/>
      </c>
      <c r="AW307" t="str">
        <f ca="1">IF(AND(ISNUMBER($AW$973),$B$677=1),$AW$973,HLOOKUP(INDIRECT(ADDRESS(2,COLUMN())),OFFSET($BN$2,0,0,ROW()-1,60),ROW()-1,FALSE))</f>
        <v/>
      </c>
      <c r="AX307" t="str">
        <f ca="1">IF(AND(ISNUMBER($AX$973),$B$677=1),$AX$973,HLOOKUP(INDIRECT(ADDRESS(2,COLUMN())),OFFSET($BN$2,0,0,ROW()-1,60),ROW()-1,FALSE))</f>
        <v/>
      </c>
      <c r="AY307" t="str">
        <f ca="1">IF(AND(ISNUMBER($AY$973),$B$677=1),$AY$973,HLOOKUP(INDIRECT(ADDRESS(2,COLUMN())),OFFSET($BN$2,0,0,ROW()-1,60),ROW()-1,FALSE))</f>
        <v/>
      </c>
      <c r="AZ307" t="str">
        <f ca="1">IF(AND(ISNUMBER($AZ$973),$B$677=1),$AZ$973,HLOOKUP(INDIRECT(ADDRESS(2,COLUMN())),OFFSET($BN$2,0,0,ROW()-1,60),ROW()-1,FALSE))</f>
        <v/>
      </c>
      <c r="BA307" t="str">
        <f ca="1">IF(AND(ISNUMBER($BA$973),$B$677=1),$BA$973,HLOOKUP(INDIRECT(ADDRESS(2,COLUMN())),OFFSET($BN$2,0,0,ROW()-1,60),ROW()-1,FALSE))</f>
        <v/>
      </c>
      <c r="BB307" t="str">
        <f ca="1">IF(AND(ISNUMBER($BB$973),$B$677=1),$BB$973,HLOOKUP(INDIRECT(ADDRESS(2,COLUMN())),OFFSET($BN$2,0,0,ROW()-1,60),ROW()-1,FALSE))</f>
        <v/>
      </c>
      <c r="BC307" t="str">
        <f ca="1">IF(AND(ISNUMBER($BC$973),$B$677=1),$BC$973,HLOOKUP(INDIRECT(ADDRESS(2,COLUMN())),OFFSET($BN$2,0,0,ROW()-1,60),ROW()-1,FALSE))</f>
        <v/>
      </c>
      <c r="BD307" t="str">
        <f ca="1">IF(AND(ISNUMBER($BD$973),$B$677=1),$BD$973,HLOOKUP(INDIRECT(ADDRESS(2,COLUMN())),OFFSET($BN$2,0,0,ROW()-1,60),ROW()-1,FALSE))</f>
        <v/>
      </c>
      <c r="BE307" t="str">
        <f ca="1">IF(AND(ISNUMBER($BE$973),$B$677=1),$BE$973,HLOOKUP(INDIRECT(ADDRESS(2,COLUMN())),OFFSET($BN$2,0,0,ROW()-1,60),ROW()-1,FALSE))</f>
        <v/>
      </c>
      <c r="BF307" t="str">
        <f ca="1">IF(AND(ISNUMBER($BF$973),$B$677=1),$BF$973,HLOOKUP(INDIRECT(ADDRESS(2,COLUMN())),OFFSET($BN$2,0,0,ROW()-1,60),ROW()-1,FALSE))</f>
        <v/>
      </c>
      <c r="BG307" t="str">
        <f ca="1">IF(AND(ISNUMBER($BG$973),$B$677=1),$BG$973,HLOOKUP(INDIRECT(ADDRESS(2,COLUMN())),OFFSET($BN$2,0,0,ROW()-1,60),ROW()-1,FALSE))</f>
        <v/>
      </c>
      <c r="BH307" t="str">
        <f ca="1">IF(AND(ISNUMBER($BH$973),$B$677=1),$BH$973,HLOOKUP(INDIRECT(ADDRESS(2,COLUMN())),OFFSET($BN$2,0,0,ROW()-1,60),ROW()-1,FALSE))</f>
        <v/>
      </c>
      <c r="BI307" t="str">
        <f ca="1">IF(AND(ISNUMBER($BI$973),$B$677=1),$BI$973,HLOOKUP(INDIRECT(ADDRESS(2,COLUMN())),OFFSET($BN$2,0,0,ROW()-1,60),ROW()-1,FALSE))</f>
        <v/>
      </c>
      <c r="BJ307" t="str">
        <f ca="1">IF(AND(ISNUMBER($BJ$973),$B$677=1),$BJ$973,HLOOKUP(INDIRECT(ADDRESS(2,COLUMN())),OFFSET($BN$2,0,0,ROW()-1,60),ROW()-1,FALSE))</f>
        <v/>
      </c>
      <c r="BK307" t="str">
        <f ca="1">IF(AND(ISNUMBER($BK$973),$B$677=1),$BK$973,HLOOKUP(INDIRECT(ADDRESS(2,COLUMN())),OFFSET($BN$2,0,0,ROW()-1,60),ROW()-1,FALSE))</f>
        <v/>
      </c>
      <c r="BL307" t="str">
        <f ca="1">IF(AND(ISNUMBER($BL$973),$B$677=1),$BL$973,HLOOKUP(INDIRECT(ADDRESS(2,COLUMN())),OFFSET($BN$2,0,0,ROW()-1,60),ROW()-1,FALSE))</f>
        <v/>
      </c>
      <c r="BM307" t="str">
        <f ca="1">IF(AND(ISNUMBER($BM$973),$B$677=1),$BM$973,HLOOKUP(INDIRECT(ADDRESS(2,COLUMN())),OFFSET($BN$2,0,0,ROW()-1,60),ROW()-1,FALSE))</f>
        <v/>
      </c>
      <c r="BN307" t="str">
        <f>""</f>
        <v/>
      </c>
      <c r="BO307" t="str">
        <f>""</f>
        <v/>
      </c>
      <c r="BP307" t="str">
        <f>""</f>
        <v/>
      </c>
      <c r="BQ307" t="str">
        <f>""</f>
        <v/>
      </c>
      <c r="BR307" t="str">
        <f>""</f>
        <v/>
      </c>
      <c r="BS307" t="str">
        <f>""</f>
        <v/>
      </c>
      <c r="BT307" t="str">
        <f>""</f>
        <v/>
      </c>
      <c r="BU307" t="str">
        <f>""</f>
        <v/>
      </c>
      <c r="BV307" t="str">
        <f>""</f>
        <v/>
      </c>
      <c r="BW307" t="str">
        <f>""</f>
        <v/>
      </c>
      <c r="BX307" t="str">
        <f>""</f>
        <v/>
      </c>
      <c r="BY307" t="str">
        <f>""</f>
        <v/>
      </c>
      <c r="BZ307" t="str">
        <f>""</f>
        <v/>
      </c>
      <c r="CA307" t="str">
        <f>""</f>
        <v/>
      </c>
      <c r="CB307" t="str">
        <f>""</f>
        <v/>
      </c>
      <c r="CC307" t="str">
        <f>""</f>
        <v/>
      </c>
      <c r="CD307" t="str">
        <f>""</f>
        <v/>
      </c>
      <c r="CE307" t="str">
        <f>""</f>
        <v/>
      </c>
      <c r="CF307" t="str">
        <f>""</f>
        <v/>
      </c>
      <c r="CG307" t="str">
        <f>""</f>
        <v/>
      </c>
      <c r="CH307" t="str">
        <f>""</f>
        <v/>
      </c>
      <c r="CI307" t="str">
        <f>""</f>
        <v/>
      </c>
      <c r="CJ307" t="str">
        <f>""</f>
        <v/>
      </c>
      <c r="CK307" t="str">
        <f>""</f>
        <v/>
      </c>
      <c r="CL307" t="str">
        <f>""</f>
        <v/>
      </c>
      <c r="CM307" t="str">
        <f>""</f>
        <v/>
      </c>
      <c r="CN307" t="str">
        <f>""</f>
        <v/>
      </c>
      <c r="CO307" t="str">
        <f>""</f>
        <v/>
      </c>
      <c r="CP307" t="str">
        <f>""</f>
        <v/>
      </c>
      <c r="CQ307" t="str">
        <f>""</f>
        <v/>
      </c>
      <c r="CR307" t="str">
        <f>""</f>
        <v/>
      </c>
      <c r="CS307" t="str">
        <f>""</f>
        <v/>
      </c>
      <c r="CT307" t="str">
        <f>""</f>
        <v/>
      </c>
      <c r="CU307" t="str">
        <f>""</f>
        <v/>
      </c>
      <c r="CV307" t="str">
        <f>""</f>
        <v/>
      </c>
      <c r="CW307" t="str">
        <f>""</f>
        <v/>
      </c>
      <c r="CX307" t="str">
        <f>""</f>
        <v/>
      </c>
      <c r="CY307" t="str">
        <f>""</f>
        <v/>
      </c>
      <c r="CZ307" t="str">
        <f>""</f>
        <v/>
      </c>
      <c r="DA307" t="str">
        <f>""</f>
        <v/>
      </c>
      <c r="DB307" t="str">
        <f>""</f>
        <v/>
      </c>
      <c r="DC307" t="str">
        <f>""</f>
        <v/>
      </c>
      <c r="DD307" t="str">
        <f>""</f>
        <v/>
      </c>
      <c r="DE307" t="str">
        <f>""</f>
        <v/>
      </c>
      <c r="DF307" t="str">
        <f>""</f>
        <v/>
      </c>
      <c r="DG307" t="str">
        <f>""</f>
        <v/>
      </c>
      <c r="DH307" t="str">
        <f>""</f>
        <v/>
      </c>
      <c r="DI307" t="str">
        <f>""</f>
        <v/>
      </c>
      <c r="DJ307" t="str">
        <f>""</f>
        <v/>
      </c>
      <c r="DK307" t="str">
        <f>""</f>
        <v/>
      </c>
      <c r="DL307" t="str">
        <f>""</f>
        <v/>
      </c>
      <c r="DM307" t="str">
        <f>""</f>
        <v/>
      </c>
      <c r="DN307" t="str">
        <f>""</f>
        <v/>
      </c>
      <c r="DO307" t="str">
        <f>""</f>
        <v/>
      </c>
      <c r="DP307" t="str">
        <f>""</f>
        <v/>
      </c>
      <c r="DQ307" t="str">
        <f>""</f>
        <v/>
      </c>
      <c r="DR307" t="str">
        <f>""</f>
        <v/>
      </c>
      <c r="DS307" t="str">
        <f>""</f>
        <v/>
      </c>
      <c r="DT307" t="str">
        <f>""</f>
        <v/>
      </c>
      <c r="DU307" t="str">
        <f>""</f>
        <v/>
      </c>
    </row>
    <row r="308" spans="1:125" x14ac:dyDescent="0.25">
      <c r="A308" t="str">
        <f>"    Geely Automobile Holdings Ltd"</f>
        <v xml:space="preserve">    Geely Automobile Holdings Ltd</v>
      </c>
      <c r="B308" t="str">
        <f>"175 HK Equity"</f>
        <v>175 HK Equity</v>
      </c>
      <c r="C308" t="str">
        <f t="shared" si="21"/>
        <v>RR474</v>
      </c>
      <c r="D308" t="str">
        <f t="shared" si="22"/>
        <v>EV_TO_T12M_EBITDA</v>
      </c>
      <c r="E308" t="str">
        <f t="shared" si="23"/>
        <v>Dynamic</v>
      </c>
      <c r="F308" t="str">
        <f ca="1">IF(AND(ISNUMBER($F$974),$B$677=1),$F$974,HLOOKUP(INDIRECT(ADDRESS(2,COLUMN())),OFFSET($BN$2,0,0,ROW()-1,60),ROW()-1,FALSE))</f>
        <v/>
      </c>
      <c r="G308" t="str">
        <f ca="1">IF(AND(ISNUMBER($G$974),$B$677=1),$G$974,HLOOKUP(INDIRECT(ADDRESS(2,COLUMN())),OFFSET($BN$2,0,0,ROW()-1,60),ROW()-1,FALSE))</f>
        <v/>
      </c>
      <c r="H308" t="str">
        <f ca="1">IF(AND(ISNUMBER($H$974),$B$677=1),$H$974,HLOOKUP(INDIRECT(ADDRESS(2,COLUMN())),OFFSET($BN$2,0,0,ROW()-1,60),ROW()-1,FALSE))</f>
        <v/>
      </c>
      <c r="I308" t="str">
        <f ca="1">IF(AND(ISNUMBER($I$974),$B$677=1),$I$974,HLOOKUP(INDIRECT(ADDRESS(2,COLUMN())),OFFSET($BN$2,0,0,ROW()-1,60),ROW()-1,FALSE))</f>
        <v/>
      </c>
      <c r="J308" t="str">
        <f ca="1">IF(AND(ISNUMBER($J$974),$B$677=1),$J$974,HLOOKUP(INDIRECT(ADDRESS(2,COLUMN())),OFFSET($BN$2,0,0,ROW()-1,60),ROW()-1,FALSE))</f>
        <v/>
      </c>
      <c r="K308" t="str">
        <f ca="1">IF(AND(ISNUMBER($K$974),$B$677=1),$K$974,HLOOKUP(INDIRECT(ADDRESS(2,COLUMN())),OFFSET($BN$2,0,0,ROW()-1,60),ROW()-1,FALSE))</f>
        <v/>
      </c>
      <c r="L308" t="str">
        <f ca="1">IF(AND(ISNUMBER($L$974),$B$677=1),$L$974,HLOOKUP(INDIRECT(ADDRESS(2,COLUMN())),OFFSET($BN$2,0,0,ROW()-1,60),ROW()-1,FALSE))</f>
        <v/>
      </c>
      <c r="M308" t="str">
        <f ca="1">IF(AND(ISNUMBER($M$974),$B$677=1),$M$974,HLOOKUP(INDIRECT(ADDRESS(2,COLUMN())),OFFSET($BN$2,0,0,ROW()-1,60),ROW()-1,FALSE))</f>
        <v/>
      </c>
      <c r="N308" t="str">
        <f ca="1">IF(AND(ISNUMBER($N$974),$B$677=1),$N$974,HLOOKUP(INDIRECT(ADDRESS(2,COLUMN())),OFFSET($BN$2,0,0,ROW()-1,60),ROW()-1,FALSE))</f>
        <v/>
      </c>
      <c r="O308" t="str">
        <f ca="1">IF(AND(ISNUMBER($O$974),$B$677=1),$O$974,HLOOKUP(INDIRECT(ADDRESS(2,COLUMN())),OFFSET($BN$2,0,0,ROW()-1,60),ROW()-1,FALSE))</f>
        <v/>
      </c>
      <c r="P308" t="str">
        <f ca="1">IF(AND(ISNUMBER($P$974),$B$677=1),$P$974,HLOOKUP(INDIRECT(ADDRESS(2,COLUMN())),OFFSET($BN$2,0,0,ROW()-1,60),ROW()-1,FALSE))</f>
        <v/>
      </c>
      <c r="Q308" t="str">
        <f ca="1">IF(AND(ISNUMBER($Q$974),$B$677=1),$Q$974,HLOOKUP(INDIRECT(ADDRESS(2,COLUMN())),OFFSET($BN$2,0,0,ROW()-1,60),ROW()-1,FALSE))</f>
        <v/>
      </c>
      <c r="R308" t="str">
        <f ca="1">IF(AND(ISNUMBER($R$974),$B$677=1),$R$974,HLOOKUP(INDIRECT(ADDRESS(2,COLUMN())),OFFSET($BN$2,0,0,ROW()-1,60),ROW()-1,FALSE))</f>
        <v/>
      </c>
      <c r="S308" t="str">
        <f ca="1">IF(AND(ISNUMBER($S$974),$B$677=1),$S$974,HLOOKUP(INDIRECT(ADDRESS(2,COLUMN())),OFFSET($BN$2,0,0,ROW()-1,60),ROW()-1,FALSE))</f>
        <v/>
      </c>
      <c r="T308" t="str">
        <f ca="1">IF(AND(ISNUMBER($T$974),$B$677=1),$T$974,HLOOKUP(INDIRECT(ADDRESS(2,COLUMN())),OFFSET($BN$2,0,0,ROW()-1,60),ROW()-1,FALSE))</f>
        <v/>
      </c>
      <c r="U308" t="str">
        <f ca="1">IF(AND(ISNUMBER($U$974),$B$677=1),$U$974,HLOOKUP(INDIRECT(ADDRESS(2,COLUMN())),OFFSET($BN$2,0,0,ROW()-1,60),ROW()-1,FALSE))</f>
        <v/>
      </c>
      <c r="V308" t="str">
        <f ca="1">IF(AND(ISNUMBER($V$974),$B$677=1),$V$974,HLOOKUP(INDIRECT(ADDRESS(2,COLUMN())),OFFSET($BN$2,0,0,ROW()-1,60),ROW()-1,FALSE))</f>
        <v/>
      </c>
      <c r="W308" t="str">
        <f ca="1">IF(AND(ISNUMBER($W$974),$B$677=1),$W$974,HLOOKUP(INDIRECT(ADDRESS(2,COLUMN())),OFFSET($BN$2,0,0,ROW()-1,60),ROW()-1,FALSE))</f>
        <v/>
      </c>
      <c r="X308" t="str">
        <f ca="1">IF(AND(ISNUMBER($X$974),$B$677=1),$X$974,HLOOKUP(INDIRECT(ADDRESS(2,COLUMN())),OFFSET($BN$2,0,0,ROW()-1,60),ROW()-1,FALSE))</f>
        <v/>
      </c>
      <c r="Y308" t="str">
        <f ca="1">IF(AND(ISNUMBER($Y$974),$B$677=1),$Y$974,HLOOKUP(INDIRECT(ADDRESS(2,COLUMN())),OFFSET($BN$2,0,0,ROW()-1,60),ROW()-1,FALSE))</f>
        <v/>
      </c>
      <c r="Z308" t="str">
        <f ca="1">IF(AND(ISNUMBER($Z$974),$B$677=1),$Z$974,HLOOKUP(INDIRECT(ADDRESS(2,COLUMN())),OFFSET($BN$2,0,0,ROW()-1,60),ROW()-1,FALSE))</f>
        <v/>
      </c>
      <c r="AA308" t="str">
        <f ca="1">IF(AND(ISNUMBER($AA$974),$B$677=1),$AA$974,HLOOKUP(INDIRECT(ADDRESS(2,COLUMN())),OFFSET($BN$2,0,0,ROW()-1,60),ROW()-1,FALSE))</f>
        <v/>
      </c>
      <c r="AB308" t="str">
        <f ca="1">IF(AND(ISNUMBER($AB$974),$B$677=1),$AB$974,HLOOKUP(INDIRECT(ADDRESS(2,COLUMN())),OFFSET($BN$2,0,0,ROW()-1,60),ROW()-1,FALSE))</f>
        <v/>
      </c>
      <c r="AC308" t="str">
        <f ca="1">IF(AND(ISNUMBER($AC$974),$B$677=1),$AC$974,HLOOKUP(INDIRECT(ADDRESS(2,COLUMN())),OFFSET($BN$2,0,0,ROW()-1,60),ROW()-1,FALSE))</f>
        <v/>
      </c>
      <c r="AD308" t="str">
        <f ca="1">IF(AND(ISNUMBER($AD$974),$B$677=1),$AD$974,HLOOKUP(INDIRECT(ADDRESS(2,COLUMN())),OFFSET($BN$2,0,0,ROW()-1,60),ROW()-1,FALSE))</f>
        <v/>
      </c>
      <c r="AE308" t="str">
        <f ca="1">IF(AND(ISNUMBER($AE$974),$B$677=1),$AE$974,HLOOKUP(INDIRECT(ADDRESS(2,COLUMN())),OFFSET($BN$2,0,0,ROW()-1,60),ROW()-1,FALSE))</f>
        <v/>
      </c>
      <c r="AF308" t="str">
        <f ca="1">IF(AND(ISNUMBER($AF$974),$B$677=1),$AF$974,HLOOKUP(INDIRECT(ADDRESS(2,COLUMN())),OFFSET($BN$2,0,0,ROW()-1,60),ROW()-1,FALSE))</f>
        <v/>
      </c>
      <c r="AG308" t="str">
        <f ca="1">IF(AND(ISNUMBER($AG$974),$B$677=1),$AG$974,HLOOKUP(INDIRECT(ADDRESS(2,COLUMN())),OFFSET($BN$2,0,0,ROW()-1,60),ROW()-1,FALSE))</f>
        <v/>
      </c>
      <c r="AH308" t="str">
        <f ca="1">IF(AND(ISNUMBER($AH$974),$B$677=1),$AH$974,HLOOKUP(INDIRECT(ADDRESS(2,COLUMN())),OFFSET($BN$2,0,0,ROW()-1,60),ROW()-1,FALSE))</f>
        <v/>
      </c>
      <c r="AI308" t="str">
        <f ca="1">IF(AND(ISNUMBER($AI$974),$B$677=1),$AI$974,HLOOKUP(INDIRECT(ADDRESS(2,COLUMN())),OFFSET($BN$2,0,0,ROW()-1,60),ROW()-1,FALSE))</f>
        <v/>
      </c>
      <c r="AJ308" t="str">
        <f ca="1">IF(AND(ISNUMBER($AJ$974),$B$677=1),$AJ$974,HLOOKUP(INDIRECT(ADDRESS(2,COLUMN())),OFFSET($BN$2,0,0,ROW()-1,60),ROW()-1,FALSE))</f>
        <v/>
      </c>
      <c r="AK308" t="str">
        <f ca="1">IF(AND(ISNUMBER($AK$974),$B$677=1),$AK$974,HLOOKUP(INDIRECT(ADDRESS(2,COLUMN())),OFFSET($BN$2,0,0,ROW()-1,60),ROW()-1,FALSE))</f>
        <v/>
      </c>
      <c r="AL308" t="str">
        <f ca="1">IF(AND(ISNUMBER($AL$974),$B$677=1),$AL$974,HLOOKUP(INDIRECT(ADDRESS(2,COLUMN())),OFFSET($BN$2,0,0,ROW()-1,60),ROW()-1,FALSE))</f>
        <v/>
      </c>
      <c r="AM308" t="str">
        <f ca="1">IF(AND(ISNUMBER($AM$974),$B$677=1),$AM$974,HLOOKUP(INDIRECT(ADDRESS(2,COLUMN())),OFFSET($BN$2,0,0,ROW()-1,60),ROW()-1,FALSE))</f>
        <v/>
      </c>
      <c r="AN308" t="str">
        <f ca="1">IF(AND(ISNUMBER($AN$974),$B$677=1),$AN$974,HLOOKUP(INDIRECT(ADDRESS(2,COLUMN())),OFFSET($BN$2,0,0,ROW()-1,60),ROW()-1,FALSE))</f>
        <v/>
      </c>
      <c r="AO308" t="str">
        <f ca="1">IF(AND(ISNUMBER($AO$974),$B$677=1),$AO$974,HLOOKUP(INDIRECT(ADDRESS(2,COLUMN())),OFFSET($BN$2,0,0,ROW()-1,60),ROW()-1,FALSE))</f>
        <v/>
      </c>
      <c r="AP308" t="str">
        <f ca="1">IF(AND(ISNUMBER($AP$974),$B$677=1),$AP$974,HLOOKUP(INDIRECT(ADDRESS(2,COLUMN())),OFFSET($BN$2,0,0,ROW()-1,60),ROW()-1,FALSE))</f>
        <v/>
      </c>
      <c r="AQ308" t="str">
        <f ca="1">IF(AND(ISNUMBER($AQ$974),$B$677=1),$AQ$974,HLOOKUP(INDIRECT(ADDRESS(2,COLUMN())),OFFSET($BN$2,0,0,ROW()-1,60),ROW()-1,FALSE))</f>
        <v/>
      </c>
      <c r="AR308" t="str">
        <f ca="1">IF(AND(ISNUMBER($AR$974),$B$677=1),$AR$974,HLOOKUP(INDIRECT(ADDRESS(2,COLUMN())),OFFSET($BN$2,0,0,ROW()-1,60),ROW()-1,FALSE))</f>
        <v/>
      </c>
      <c r="AS308" t="str">
        <f ca="1">IF(AND(ISNUMBER($AS$974),$B$677=1),$AS$974,HLOOKUP(INDIRECT(ADDRESS(2,COLUMN())),OFFSET($BN$2,0,0,ROW()-1,60),ROW()-1,FALSE))</f>
        <v/>
      </c>
      <c r="AT308" t="str">
        <f ca="1">IF(AND(ISNUMBER($AT$974),$B$677=1),$AT$974,HLOOKUP(INDIRECT(ADDRESS(2,COLUMN())),OFFSET($BN$2,0,0,ROW()-1,60),ROW()-1,FALSE))</f>
        <v/>
      </c>
      <c r="AU308" t="str">
        <f ca="1">IF(AND(ISNUMBER($AU$974),$B$677=1),$AU$974,HLOOKUP(INDIRECT(ADDRESS(2,COLUMN())),OFFSET($BN$2,0,0,ROW()-1,60),ROW()-1,FALSE))</f>
        <v/>
      </c>
      <c r="AV308" t="str">
        <f ca="1">IF(AND(ISNUMBER($AV$974),$B$677=1),$AV$974,HLOOKUP(INDIRECT(ADDRESS(2,COLUMN())),OFFSET($BN$2,0,0,ROW()-1,60),ROW()-1,FALSE))</f>
        <v/>
      </c>
      <c r="AW308" t="str">
        <f ca="1">IF(AND(ISNUMBER($AW$974),$B$677=1),$AW$974,HLOOKUP(INDIRECT(ADDRESS(2,COLUMN())),OFFSET($BN$2,0,0,ROW()-1,60),ROW()-1,FALSE))</f>
        <v/>
      </c>
      <c r="AX308" t="str">
        <f ca="1">IF(AND(ISNUMBER($AX$974),$B$677=1),$AX$974,HLOOKUP(INDIRECT(ADDRESS(2,COLUMN())),OFFSET($BN$2,0,0,ROW()-1,60),ROW()-1,FALSE))</f>
        <v/>
      </c>
      <c r="AY308" t="str">
        <f ca="1">IF(AND(ISNUMBER($AY$974),$B$677=1),$AY$974,HLOOKUP(INDIRECT(ADDRESS(2,COLUMN())),OFFSET($BN$2,0,0,ROW()-1,60),ROW()-1,FALSE))</f>
        <v/>
      </c>
      <c r="AZ308" t="str">
        <f ca="1">IF(AND(ISNUMBER($AZ$974),$B$677=1),$AZ$974,HLOOKUP(INDIRECT(ADDRESS(2,COLUMN())),OFFSET($BN$2,0,0,ROW()-1,60),ROW()-1,FALSE))</f>
        <v/>
      </c>
      <c r="BA308" t="str">
        <f ca="1">IF(AND(ISNUMBER($BA$974),$B$677=1),$BA$974,HLOOKUP(INDIRECT(ADDRESS(2,COLUMN())),OFFSET($BN$2,0,0,ROW()-1,60),ROW()-1,FALSE))</f>
        <v/>
      </c>
      <c r="BB308" t="str">
        <f ca="1">IF(AND(ISNUMBER($BB$974),$B$677=1),$BB$974,HLOOKUP(INDIRECT(ADDRESS(2,COLUMN())),OFFSET($BN$2,0,0,ROW()-1,60),ROW()-1,FALSE))</f>
        <v/>
      </c>
      <c r="BC308" t="str">
        <f ca="1">IF(AND(ISNUMBER($BC$974),$B$677=1),$BC$974,HLOOKUP(INDIRECT(ADDRESS(2,COLUMN())),OFFSET($BN$2,0,0,ROW()-1,60),ROW()-1,FALSE))</f>
        <v/>
      </c>
      <c r="BD308" t="str">
        <f ca="1">IF(AND(ISNUMBER($BD$974),$B$677=1),$BD$974,HLOOKUP(INDIRECT(ADDRESS(2,COLUMN())),OFFSET($BN$2,0,0,ROW()-1,60),ROW()-1,FALSE))</f>
        <v/>
      </c>
      <c r="BE308" t="str">
        <f ca="1">IF(AND(ISNUMBER($BE$974),$B$677=1),$BE$974,HLOOKUP(INDIRECT(ADDRESS(2,COLUMN())),OFFSET($BN$2,0,0,ROW()-1,60),ROW()-1,FALSE))</f>
        <v/>
      </c>
      <c r="BF308" t="str">
        <f ca="1">IF(AND(ISNUMBER($BF$974),$B$677=1),$BF$974,HLOOKUP(INDIRECT(ADDRESS(2,COLUMN())),OFFSET($BN$2,0,0,ROW()-1,60),ROW()-1,FALSE))</f>
        <v/>
      </c>
      <c r="BG308" t="str">
        <f ca="1">IF(AND(ISNUMBER($BG$974),$B$677=1),$BG$974,HLOOKUP(INDIRECT(ADDRESS(2,COLUMN())),OFFSET($BN$2,0,0,ROW()-1,60),ROW()-1,FALSE))</f>
        <v/>
      </c>
      <c r="BH308" t="str">
        <f ca="1">IF(AND(ISNUMBER($BH$974),$B$677=1),$BH$974,HLOOKUP(INDIRECT(ADDRESS(2,COLUMN())),OFFSET($BN$2,0,0,ROW()-1,60),ROW()-1,FALSE))</f>
        <v/>
      </c>
      <c r="BI308" t="str">
        <f ca="1">IF(AND(ISNUMBER($BI$974),$B$677=1),$BI$974,HLOOKUP(INDIRECT(ADDRESS(2,COLUMN())),OFFSET($BN$2,0,0,ROW()-1,60),ROW()-1,FALSE))</f>
        <v/>
      </c>
      <c r="BJ308" t="str">
        <f ca="1">IF(AND(ISNUMBER($BJ$974),$B$677=1),$BJ$974,HLOOKUP(INDIRECT(ADDRESS(2,COLUMN())),OFFSET($BN$2,0,0,ROW()-1,60),ROW()-1,FALSE))</f>
        <v/>
      </c>
      <c r="BK308" t="str">
        <f ca="1">IF(AND(ISNUMBER($BK$974),$B$677=1),$BK$974,HLOOKUP(INDIRECT(ADDRESS(2,COLUMN())),OFFSET($BN$2,0,0,ROW()-1,60),ROW()-1,FALSE))</f>
        <v/>
      </c>
      <c r="BL308" t="str">
        <f ca="1">IF(AND(ISNUMBER($BL$974),$B$677=1),$BL$974,HLOOKUP(INDIRECT(ADDRESS(2,COLUMN())),OFFSET($BN$2,0,0,ROW()-1,60),ROW()-1,FALSE))</f>
        <v/>
      </c>
      <c r="BM308" t="str">
        <f ca="1">IF(AND(ISNUMBER($BM$974),$B$677=1),$BM$974,HLOOKUP(INDIRECT(ADDRESS(2,COLUMN())),OFFSET($BN$2,0,0,ROW()-1,60),ROW()-1,FALSE))</f>
        <v/>
      </c>
      <c r="BN308" t="str">
        <f>""</f>
        <v/>
      </c>
      <c r="BO308" t="str">
        <f>""</f>
        <v/>
      </c>
      <c r="BP308" t="str">
        <f>""</f>
        <v/>
      </c>
      <c r="BQ308" t="str">
        <f>""</f>
        <v/>
      </c>
      <c r="BR308" t="str">
        <f>""</f>
        <v/>
      </c>
      <c r="BS308" t="str">
        <f>""</f>
        <v/>
      </c>
      <c r="BT308" t="str">
        <f>""</f>
        <v/>
      </c>
      <c r="BU308" t="str">
        <f>""</f>
        <v/>
      </c>
      <c r="BV308" t="str">
        <f>""</f>
        <v/>
      </c>
      <c r="BW308" t="str">
        <f>""</f>
        <v/>
      </c>
      <c r="BX308" t="str">
        <f>""</f>
        <v/>
      </c>
      <c r="BY308" t="str">
        <f>""</f>
        <v/>
      </c>
      <c r="BZ308" t="str">
        <f>""</f>
        <v/>
      </c>
      <c r="CA308" t="str">
        <f>""</f>
        <v/>
      </c>
      <c r="CB308" t="str">
        <f>""</f>
        <v/>
      </c>
      <c r="CC308" t="str">
        <f>""</f>
        <v/>
      </c>
      <c r="CD308" t="str">
        <f>""</f>
        <v/>
      </c>
      <c r="CE308" t="str">
        <f>""</f>
        <v/>
      </c>
      <c r="CF308" t="str">
        <f>""</f>
        <v/>
      </c>
      <c r="CG308" t="str">
        <f>""</f>
        <v/>
      </c>
      <c r="CH308" t="str">
        <f>""</f>
        <v/>
      </c>
      <c r="CI308" t="str">
        <f>""</f>
        <v/>
      </c>
      <c r="CJ308" t="str">
        <f>""</f>
        <v/>
      </c>
      <c r="CK308" t="str">
        <f>""</f>
        <v/>
      </c>
      <c r="CL308" t="str">
        <f>""</f>
        <v/>
      </c>
      <c r="CM308" t="str">
        <f>""</f>
        <v/>
      </c>
      <c r="CN308" t="str">
        <f>""</f>
        <v/>
      </c>
      <c r="CO308" t="str">
        <f>""</f>
        <v/>
      </c>
      <c r="CP308" t="str">
        <f>""</f>
        <v/>
      </c>
      <c r="CQ308" t="str">
        <f>""</f>
        <v/>
      </c>
      <c r="CR308" t="str">
        <f>""</f>
        <v/>
      </c>
      <c r="CS308" t="str">
        <f>""</f>
        <v/>
      </c>
      <c r="CT308" t="str">
        <f>""</f>
        <v/>
      </c>
      <c r="CU308" t="str">
        <f>""</f>
        <v/>
      </c>
      <c r="CV308" t="str">
        <f>""</f>
        <v/>
      </c>
      <c r="CW308" t="str">
        <f>""</f>
        <v/>
      </c>
      <c r="CX308" t="str">
        <f>""</f>
        <v/>
      </c>
      <c r="CY308" t="str">
        <f>""</f>
        <v/>
      </c>
      <c r="CZ308" t="str">
        <f>""</f>
        <v/>
      </c>
      <c r="DA308" t="str">
        <f>""</f>
        <v/>
      </c>
      <c r="DB308" t="str">
        <f>""</f>
        <v/>
      </c>
      <c r="DC308" t="str">
        <f>""</f>
        <v/>
      </c>
      <c r="DD308" t="str">
        <f>""</f>
        <v/>
      </c>
      <c r="DE308" t="str">
        <f>""</f>
        <v/>
      </c>
      <c r="DF308" t="str">
        <f>""</f>
        <v/>
      </c>
      <c r="DG308" t="str">
        <f>""</f>
        <v/>
      </c>
      <c r="DH308" t="str">
        <f>""</f>
        <v/>
      </c>
      <c r="DI308" t="str">
        <f>""</f>
        <v/>
      </c>
      <c r="DJ308" t="str">
        <f>""</f>
        <v/>
      </c>
      <c r="DK308" t="str">
        <f>""</f>
        <v/>
      </c>
      <c r="DL308" t="str">
        <f>""</f>
        <v/>
      </c>
      <c r="DM308" t="str">
        <f>""</f>
        <v/>
      </c>
      <c r="DN308" t="str">
        <f>""</f>
        <v/>
      </c>
      <c r="DO308" t="str">
        <f>""</f>
        <v/>
      </c>
      <c r="DP308" t="str">
        <f>""</f>
        <v/>
      </c>
      <c r="DQ308" t="str">
        <f>""</f>
        <v/>
      </c>
      <c r="DR308" t="str">
        <f>""</f>
        <v/>
      </c>
      <c r="DS308" t="str">
        <f>""</f>
        <v/>
      </c>
      <c r="DT308" t="str">
        <f>""</f>
        <v/>
      </c>
      <c r="DU308" t="str">
        <f>""</f>
        <v/>
      </c>
    </row>
    <row r="309" spans="1:125" x14ac:dyDescent="0.25">
      <c r="A309" t="str">
        <f>"    General Motors Co"</f>
        <v xml:space="preserve">    General Motors Co</v>
      </c>
      <c r="B309" t="str">
        <f>"GM US Equity"</f>
        <v>GM US Equity</v>
      </c>
      <c r="C309" t="str">
        <f t="shared" si="21"/>
        <v>RR474</v>
      </c>
      <c r="D309" t="str">
        <f t="shared" si="22"/>
        <v>EV_TO_T12M_EBITDA</v>
      </c>
      <c r="E309" t="str">
        <f t="shared" si="23"/>
        <v>Dynamic</v>
      </c>
      <c r="F309" t="str">
        <f ca="1">IF(AND(ISNUMBER($F$975),$B$677=1),$F$975,HLOOKUP(INDIRECT(ADDRESS(2,COLUMN())),OFFSET($BN$2,0,0,ROW()-1,60),ROW()-1,FALSE))</f>
        <v/>
      </c>
      <c r="G309">
        <f ca="1">IF(AND(ISNUMBER($G$975),$B$677=1),$G$975,HLOOKUP(INDIRECT(ADDRESS(2,COLUMN())),OFFSET($BN$2,0,0,ROW()-1,60),ROW()-1,FALSE))</f>
        <v>2.4934304960000002</v>
      </c>
      <c r="H309">
        <f ca="1">IF(AND(ISNUMBER($H$975),$B$677=1),$H$975,HLOOKUP(INDIRECT(ADDRESS(2,COLUMN())),OFFSET($BN$2,0,0,ROW()-1,60),ROW()-1,FALSE))</f>
        <v>2.4554439829999999</v>
      </c>
      <c r="I309">
        <f ca="1">IF(AND(ISNUMBER($I$975),$B$677=1),$I$975,HLOOKUP(INDIRECT(ADDRESS(2,COLUMN())),OFFSET($BN$2,0,0,ROW()-1,60),ROW()-1,FALSE))</f>
        <v>2.8625471550000001</v>
      </c>
      <c r="J309">
        <f ca="1">IF(AND(ISNUMBER($J$975),$B$677=1),$J$975,HLOOKUP(INDIRECT(ADDRESS(2,COLUMN())),OFFSET($BN$2,0,0,ROW()-1,60),ROW()-1,FALSE))</f>
        <v>2.5447071960000001</v>
      </c>
      <c r="K309">
        <f ca="1">IF(AND(ISNUMBER($K$975),$B$677=1),$K$975,HLOOKUP(INDIRECT(ADDRESS(2,COLUMN())),OFFSET($BN$2,0,0,ROW()-1,60),ROW()-1,FALSE))</f>
        <v>2.511710162</v>
      </c>
      <c r="L309">
        <f ca="1">IF(AND(ISNUMBER($L$975),$B$677=1),$L$975,HLOOKUP(INDIRECT(ADDRESS(2,COLUMN())),OFFSET($BN$2,0,0,ROW()-1,60),ROW()-1,FALSE))</f>
        <v>2.9170452720000002</v>
      </c>
      <c r="M309">
        <f ca="1">IF(AND(ISNUMBER($M$975),$B$677=1),$M$975,HLOOKUP(INDIRECT(ADDRESS(2,COLUMN())),OFFSET($BN$2,0,0,ROW()-1,60),ROW()-1,FALSE))</f>
        <v>2.2002245130000002</v>
      </c>
      <c r="N309">
        <f ca="1">IF(AND(ISNUMBER($N$975),$B$677=1),$N$975,HLOOKUP(INDIRECT(ADDRESS(2,COLUMN())),OFFSET($BN$2,0,0,ROW()-1,60),ROW()-1,FALSE))</f>
        <v>2.252365282</v>
      </c>
      <c r="O309">
        <f ca="1">IF(AND(ISNUMBER($O$975),$B$677=1),$O$975,HLOOKUP(INDIRECT(ADDRESS(2,COLUMN())),OFFSET($BN$2,0,0,ROW()-1,60),ROW()-1,FALSE))</f>
        <v>2.2549222229999999</v>
      </c>
      <c r="P309">
        <f ca="1">IF(AND(ISNUMBER($P$975),$B$677=1),$P$975,HLOOKUP(INDIRECT(ADDRESS(2,COLUMN())),OFFSET($BN$2,0,0,ROW()-1,60),ROW()-1,FALSE))</f>
        <v>1.978889758</v>
      </c>
      <c r="Q309">
        <f ca="1">IF(AND(ISNUMBER($Q$975),$B$677=1),$Q$975,HLOOKUP(INDIRECT(ADDRESS(2,COLUMN())),OFFSET($BN$2,0,0,ROW()-1,60),ROW()-1,FALSE))</f>
        <v>2.254727811</v>
      </c>
      <c r="R309">
        <f ca="1">IF(AND(ISNUMBER($R$975),$B$677=1),$R$975,HLOOKUP(INDIRECT(ADDRESS(2,COLUMN())),OFFSET($BN$2,0,0,ROW()-1,60),ROW()-1,FALSE))</f>
        <v>2.7329213409999999</v>
      </c>
      <c r="S309">
        <f ca="1">IF(AND(ISNUMBER($S$975),$B$677=1),$S$975,HLOOKUP(INDIRECT(ADDRESS(2,COLUMN())),OFFSET($BN$2,0,0,ROW()-1,60),ROW()-1,FALSE))</f>
        <v>3.0890506430000002</v>
      </c>
      <c r="T309">
        <f ca="1">IF(AND(ISNUMBER($T$975),$B$677=1),$T$975,HLOOKUP(INDIRECT(ADDRESS(2,COLUMN())),OFFSET($BN$2,0,0,ROW()-1,60),ROW()-1,FALSE))</f>
        <v>2.964827417</v>
      </c>
      <c r="U309">
        <f ca="1">IF(AND(ISNUMBER($U$975),$B$677=1),$U$975,HLOOKUP(INDIRECT(ADDRESS(2,COLUMN())),OFFSET($BN$2,0,0,ROW()-1,60),ROW()-1,FALSE))</f>
        <v>3.2984735299999999</v>
      </c>
      <c r="V309">
        <f ca="1">IF(AND(ISNUMBER($V$975),$B$677=1),$V$975,HLOOKUP(INDIRECT(ADDRESS(2,COLUMN())),OFFSET($BN$2,0,0,ROW()-1,60),ROW()-1,FALSE))</f>
        <v>4.6035846600000001</v>
      </c>
      <c r="W309">
        <f ca="1">IF(AND(ISNUMBER($W$975),$B$677=1),$W$975,HLOOKUP(INDIRECT(ADDRESS(2,COLUMN())),OFFSET($BN$2,0,0,ROW()-1,60),ROW()-1,FALSE))</f>
        <v>4.6271669710000003</v>
      </c>
      <c r="X309">
        <f ca="1">IF(AND(ISNUMBER($X$975),$B$677=1),$X$975,HLOOKUP(INDIRECT(ADDRESS(2,COLUMN())),OFFSET($BN$2,0,0,ROW()-1,60),ROW()-1,FALSE))</f>
        <v>3.9357025700000001</v>
      </c>
      <c r="Y309">
        <f ca="1">IF(AND(ISNUMBER($Y$975),$B$677=1),$Y$975,HLOOKUP(INDIRECT(ADDRESS(2,COLUMN())),OFFSET($BN$2,0,0,ROW()-1,60),ROW()-1,FALSE))</f>
        <v>3.6441082800000002</v>
      </c>
      <c r="Z309">
        <f ca="1">IF(AND(ISNUMBER($Z$975),$B$677=1),$Z$975,HLOOKUP(INDIRECT(ADDRESS(2,COLUMN())),OFFSET($BN$2,0,0,ROW()-1,60),ROW()-1,FALSE))</f>
        <v>3.445769882</v>
      </c>
      <c r="AA309">
        <f ca="1">IF(AND(ISNUMBER($AA$975),$B$677=1),$AA$975,HLOOKUP(INDIRECT(ADDRESS(2,COLUMN())),OFFSET($BN$2,0,0,ROW()-1,60),ROW()-1,FALSE))</f>
        <v>3.0452474949999999</v>
      </c>
      <c r="AB309" t="str">
        <f ca="1">IF(AND(ISNUMBER($AB$975),$B$677=1),$AB$975,HLOOKUP(INDIRECT(ADDRESS(2,COLUMN())),OFFSET($BN$2,0,0,ROW()-1,60),ROW()-1,FALSE))</f>
        <v/>
      </c>
      <c r="AC309" t="str">
        <f ca="1">IF(AND(ISNUMBER($AC$975),$B$677=1),$AC$975,HLOOKUP(INDIRECT(ADDRESS(2,COLUMN())),OFFSET($BN$2,0,0,ROW()-1,60),ROW()-1,FALSE))</f>
        <v/>
      </c>
      <c r="AD309" t="str">
        <f ca="1">IF(AND(ISNUMBER($AD$975),$B$677=1),$AD$975,HLOOKUP(INDIRECT(ADDRESS(2,COLUMN())),OFFSET($BN$2,0,0,ROW()-1,60),ROW()-1,FALSE))</f>
        <v/>
      </c>
      <c r="AE309" t="str">
        <f ca="1">IF(AND(ISNUMBER($AE$975),$B$677=1),$AE$975,HLOOKUP(INDIRECT(ADDRESS(2,COLUMN())),OFFSET($BN$2,0,0,ROW()-1,60),ROW()-1,FALSE))</f>
        <v/>
      </c>
      <c r="AF309">
        <f ca="1">IF(AND(ISNUMBER($AF$975),$B$677=1),$AF$975,HLOOKUP(INDIRECT(ADDRESS(2,COLUMN())),OFFSET($BN$2,0,0,ROW()-1,60),ROW()-1,FALSE))</f>
        <v>2.4271997430000001</v>
      </c>
      <c r="AG309">
        <f ca="1">IF(AND(ISNUMBER($AG$975),$B$677=1),$AG$975,HLOOKUP(INDIRECT(ADDRESS(2,COLUMN())),OFFSET($BN$2,0,0,ROW()-1,60),ROW()-1,FALSE))</f>
        <v>3.0195039000000001</v>
      </c>
      <c r="AH309">
        <f ca="1">IF(AND(ISNUMBER($AH$975),$B$677=1),$AH$975,HLOOKUP(INDIRECT(ADDRESS(2,COLUMN())),OFFSET($BN$2,0,0,ROW()-1,60),ROW()-1,FALSE))</f>
        <v>3.9108113339999999</v>
      </c>
      <c r="AI309">
        <f ca="1">IF(AND(ISNUMBER($AI$975),$B$677=1),$AI$975,HLOOKUP(INDIRECT(ADDRESS(2,COLUMN())),OFFSET($BN$2,0,0,ROW()-1,60),ROW()-1,FALSE))</f>
        <v>1.9058943319999999</v>
      </c>
      <c r="AJ309">
        <f ca="1">IF(AND(ISNUMBER($AJ$975),$B$677=1),$AJ$975,HLOOKUP(INDIRECT(ADDRESS(2,COLUMN())),OFFSET($BN$2,0,0,ROW()-1,60),ROW()-1,FALSE))</f>
        <v>2.334518251</v>
      </c>
      <c r="AK309">
        <f ca="1">IF(AND(ISNUMBER($AK$975),$B$677=1),$AK$975,HLOOKUP(INDIRECT(ADDRESS(2,COLUMN())),OFFSET($BN$2,0,0,ROW()-1,60),ROW()-1,FALSE))</f>
        <v>3.3107517369999999</v>
      </c>
      <c r="AL309">
        <f ca="1">IF(AND(ISNUMBER($AL$975),$B$677=1),$AL$975,HLOOKUP(INDIRECT(ADDRESS(2,COLUMN())),OFFSET($BN$2,0,0,ROW()-1,60),ROW()-1,FALSE))</f>
        <v>3.9058641139999999</v>
      </c>
      <c r="AM309">
        <f ca="1">IF(AND(ISNUMBER($AM$975),$B$677=1),$AM$975,HLOOKUP(INDIRECT(ADDRESS(2,COLUMN())),OFFSET($BN$2,0,0,ROW()-1,60),ROW()-1,FALSE))</f>
        <v>4.2921660499999996</v>
      </c>
      <c r="AN309" t="str">
        <f ca="1">IF(AND(ISNUMBER($AN$975),$B$677=1),$AN$975,HLOOKUP(INDIRECT(ADDRESS(2,COLUMN())),OFFSET($BN$2,0,0,ROW()-1,60),ROW()-1,FALSE))</f>
        <v/>
      </c>
      <c r="AO309" t="str">
        <f ca="1">IF(AND(ISNUMBER($AO$975),$B$677=1),$AO$975,HLOOKUP(INDIRECT(ADDRESS(2,COLUMN())),OFFSET($BN$2,0,0,ROW()-1,60),ROW()-1,FALSE))</f>
        <v/>
      </c>
      <c r="AP309" t="str">
        <f ca="1">IF(AND(ISNUMBER($AP$975),$B$677=1),$AP$975,HLOOKUP(INDIRECT(ADDRESS(2,COLUMN())),OFFSET($BN$2,0,0,ROW()-1,60),ROW()-1,FALSE))</f>
        <v/>
      </c>
      <c r="AQ309" t="str">
        <f ca="1">IF(AND(ISNUMBER($AQ$975),$B$677=1),$AQ$975,HLOOKUP(INDIRECT(ADDRESS(2,COLUMN())),OFFSET($BN$2,0,0,ROW()-1,60),ROW()-1,FALSE))</f>
        <v/>
      </c>
      <c r="AR309" t="str">
        <f ca="1">IF(AND(ISNUMBER($AR$975),$B$677=1),$AR$975,HLOOKUP(INDIRECT(ADDRESS(2,COLUMN())),OFFSET($BN$2,0,0,ROW()-1,60),ROW()-1,FALSE))</f>
        <v/>
      </c>
      <c r="AS309" t="str">
        <f ca="1">IF(AND(ISNUMBER($AS$975),$B$677=1),$AS$975,HLOOKUP(INDIRECT(ADDRESS(2,COLUMN())),OFFSET($BN$2,0,0,ROW()-1,60),ROW()-1,FALSE))</f>
        <v/>
      </c>
      <c r="AT309" t="str">
        <f ca="1">IF(AND(ISNUMBER($AT$975),$B$677=1),$AT$975,HLOOKUP(INDIRECT(ADDRESS(2,COLUMN())),OFFSET($BN$2,0,0,ROW()-1,60),ROW()-1,FALSE))</f>
        <v/>
      </c>
      <c r="AU309" t="str">
        <f ca="1">IF(AND(ISNUMBER($AU$975),$B$677=1),$AU$975,HLOOKUP(INDIRECT(ADDRESS(2,COLUMN())),OFFSET($BN$2,0,0,ROW()-1,60),ROW()-1,FALSE))</f>
        <v/>
      </c>
      <c r="AV309" t="str">
        <f ca="1">IF(AND(ISNUMBER($AV$975),$B$677=1),$AV$975,HLOOKUP(INDIRECT(ADDRESS(2,COLUMN())),OFFSET($BN$2,0,0,ROW()-1,60),ROW()-1,FALSE))</f>
        <v/>
      </c>
      <c r="AW309" t="str">
        <f ca="1">IF(AND(ISNUMBER($AW$975),$B$677=1),$AW$975,HLOOKUP(INDIRECT(ADDRESS(2,COLUMN())),OFFSET($BN$2,0,0,ROW()-1,60),ROW()-1,FALSE))</f>
        <v/>
      </c>
      <c r="AX309" t="str">
        <f ca="1">IF(AND(ISNUMBER($AX$975),$B$677=1),$AX$975,HLOOKUP(INDIRECT(ADDRESS(2,COLUMN())),OFFSET($BN$2,0,0,ROW()-1,60),ROW()-1,FALSE))</f>
        <v/>
      </c>
      <c r="AY309" t="str">
        <f ca="1">IF(AND(ISNUMBER($AY$975),$B$677=1),$AY$975,HLOOKUP(INDIRECT(ADDRESS(2,COLUMN())),OFFSET($BN$2,0,0,ROW()-1,60),ROW()-1,FALSE))</f>
        <v/>
      </c>
      <c r="AZ309" t="str">
        <f ca="1">IF(AND(ISNUMBER($AZ$975),$B$677=1),$AZ$975,HLOOKUP(INDIRECT(ADDRESS(2,COLUMN())),OFFSET($BN$2,0,0,ROW()-1,60),ROW()-1,FALSE))</f>
        <v/>
      </c>
      <c r="BA309" t="str">
        <f ca="1">IF(AND(ISNUMBER($BA$975),$B$677=1),$BA$975,HLOOKUP(INDIRECT(ADDRESS(2,COLUMN())),OFFSET($BN$2,0,0,ROW()-1,60),ROW()-1,FALSE))</f>
        <v/>
      </c>
      <c r="BB309" t="str">
        <f ca="1">IF(AND(ISNUMBER($BB$975),$B$677=1),$BB$975,HLOOKUP(INDIRECT(ADDRESS(2,COLUMN())),OFFSET($BN$2,0,0,ROW()-1,60),ROW()-1,FALSE))</f>
        <v/>
      </c>
      <c r="BC309" t="str">
        <f ca="1">IF(AND(ISNUMBER($BC$975),$B$677=1),$BC$975,HLOOKUP(INDIRECT(ADDRESS(2,COLUMN())),OFFSET($BN$2,0,0,ROW()-1,60),ROW()-1,FALSE))</f>
        <v/>
      </c>
      <c r="BD309" t="str">
        <f ca="1">IF(AND(ISNUMBER($BD$975),$B$677=1),$BD$975,HLOOKUP(INDIRECT(ADDRESS(2,COLUMN())),OFFSET($BN$2,0,0,ROW()-1,60),ROW()-1,FALSE))</f>
        <v/>
      </c>
      <c r="BE309" t="str">
        <f ca="1">IF(AND(ISNUMBER($BE$975),$B$677=1),$BE$975,HLOOKUP(INDIRECT(ADDRESS(2,COLUMN())),OFFSET($BN$2,0,0,ROW()-1,60),ROW()-1,FALSE))</f>
        <v/>
      </c>
      <c r="BF309" t="str">
        <f ca="1">IF(AND(ISNUMBER($BF$975),$B$677=1),$BF$975,HLOOKUP(INDIRECT(ADDRESS(2,COLUMN())),OFFSET($BN$2,0,0,ROW()-1,60),ROW()-1,FALSE))</f>
        <v/>
      </c>
      <c r="BG309" t="str">
        <f ca="1">IF(AND(ISNUMBER($BG$975),$B$677=1),$BG$975,HLOOKUP(INDIRECT(ADDRESS(2,COLUMN())),OFFSET($BN$2,0,0,ROW()-1,60),ROW()-1,FALSE))</f>
        <v/>
      </c>
      <c r="BH309" t="str">
        <f ca="1">IF(AND(ISNUMBER($BH$975),$B$677=1),$BH$975,HLOOKUP(INDIRECT(ADDRESS(2,COLUMN())),OFFSET($BN$2,0,0,ROW()-1,60),ROW()-1,FALSE))</f>
        <v/>
      </c>
      <c r="BI309" t="str">
        <f ca="1">IF(AND(ISNUMBER($BI$975),$B$677=1),$BI$975,HLOOKUP(INDIRECT(ADDRESS(2,COLUMN())),OFFSET($BN$2,0,0,ROW()-1,60),ROW()-1,FALSE))</f>
        <v/>
      </c>
      <c r="BJ309" t="str">
        <f ca="1">IF(AND(ISNUMBER($BJ$975),$B$677=1),$BJ$975,HLOOKUP(INDIRECT(ADDRESS(2,COLUMN())),OFFSET($BN$2,0,0,ROW()-1,60),ROW()-1,FALSE))</f>
        <v/>
      </c>
      <c r="BK309" t="str">
        <f ca="1">IF(AND(ISNUMBER($BK$975),$B$677=1),$BK$975,HLOOKUP(INDIRECT(ADDRESS(2,COLUMN())),OFFSET($BN$2,0,0,ROW()-1,60),ROW()-1,FALSE))</f>
        <v/>
      </c>
      <c r="BL309" t="str">
        <f ca="1">IF(AND(ISNUMBER($BL$975),$B$677=1),$BL$975,HLOOKUP(INDIRECT(ADDRESS(2,COLUMN())),OFFSET($BN$2,0,0,ROW()-1,60),ROW()-1,FALSE))</f>
        <v/>
      </c>
      <c r="BM309" t="str">
        <f ca="1">IF(AND(ISNUMBER($BM$975),$B$677=1),$BM$975,HLOOKUP(INDIRECT(ADDRESS(2,COLUMN())),OFFSET($BN$2,0,0,ROW()-1,60),ROW()-1,FALSE))</f>
        <v/>
      </c>
      <c r="BN309" t="str">
        <f>""</f>
        <v/>
      </c>
      <c r="BO309">
        <f>2.493430496</f>
        <v>2.4934304960000002</v>
      </c>
      <c r="BP309">
        <f>2.455443983</f>
        <v>2.4554439829999999</v>
      </c>
      <c r="BQ309">
        <f>2.862547155</f>
        <v>2.8625471550000001</v>
      </c>
      <c r="BR309">
        <f>2.544707196</f>
        <v>2.5447071960000001</v>
      </c>
      <c r="BS309">
        <f>2.511710162</f>
        <v>2.511710162</v>
      </c>
      <c r="BT309">
        <f>2.917045272</f>
        <v>2.9170452720000002</v>
      </c>
      <c r="BU309">
        <f>2.200224513</f>
        <v>2.2002245130000002</v>
      </c>
      <c r="BV309">
        <f>2.252365282</f>
        <v>2.252365282</v>
      </c>
      <c r="BW309">
        <f>2.254922223</f>
        <v>2.2549222229999999</v>
      </c>
      <c r="BX309">
        <f>1.978889758</f>
        <v>1.978889758</v>
      </c>
      <c r="BY309">
        <f>2.254727811</f>
        <v>2.254727811</v>
      </c>
      <c r="BZ309">
        <f>2.732921341</f>
        <v>2.7329213409999999</v>
      </c>
      <c r="CA309">
        <f>3.089050643</f>
        <v>3.0890506430000002</v>
      </c>
      <c r="CB309">
        <f>2.964827417</f>
        <v>2.964827417</v>
      </c>
      <c r="CC309">
        <f>3.29847353</f>
        <v>3.2984735299999999</v>
      </c>
      <c r="CD309">
        <f>4.60358466</f>
        <v>4.6035846600000001</v>
      </c>
      <c r="CE309">
        <f>4.627166971</f>
        <v>4.6271669710000003</v>
      </c>
      <c r="CF309">
        <f>3.93570257</f>
        <v>3.9357025700000001</v>
      </c>
      <c r="CG309">
        <f>3.64410828</f>
        <v>3.6441082800000002</v>
      </c>
      <c r="CH309">
        <f>3.445769882</f>
        <v>3.445769882</v>
      </c>
      <c r="CI309">
        <f>3.045247495</f>
        <v>3.0452474949999999</v>
      </c>
      <c r="CJ309" t="str">
        <f>""</f>
        <v/>
      </c>
      <c r="CK309" t="str">
        <f>""</f>
        <v/>
      </c>
      <c r="CL309" t="str">
        <f>""</f>
        <v/>
      </c>
      <c r="CM309" t="str">
        <f>""</f>
        <v/>
      </c>
      <c r="CN309">
        <f>2.427199743</f>
        <v>2.4271997430000001</v>
      </c>
      <c r="CO309">
        <f>3.0195039</f>
        <v>3.0195039000000001</v>
      </c>
      <c r="CP309">
        <f>3.910811334</f>
        <v>3.9108113339999999</v>
      </c>
      <c r="CQ309">
        <f>1.905894332</f>
        <v>1.9058943319999999</v>
      </c>
      <c r="CR309">
        <f>2.334518251</f>
        <v>2.334518251</v>
      </c>
      <c r="CS309">
        <f>3.310751737</f>
        <v>3.3107517369999999</v>
      </c>
      <c r="CT309">
        <f>3.905864114</f>
        <v>3.9058641139999999</v>
      </c>
      <c r="CU309">
        <f>4.29216605</f>
        <v>4.2921660499999996</v>
      </c>
      <c r="CV309" t="str">
        <f>""</f>
        <v/>
      </c>
      <c r="CW309" t="str">
        <f>""</f>
        <v/>
      </c>
      <c r="CX309" t="str">
        <f>""</f>
        <v/>
      </c>
      <c r="CY309" t="str">
        <f>""</f>
        <v/>
      </c>
      <c r="CZ309" t="str">
        <f>""</f>
        <v/>
      </c>
      <c r="DA309" t="str">
        <f>""</f>
        <v/>
      </c>
      <c r="DB309" t="str">
        <f>""</f>
        <v/>
      </c>
      <c r="DC309" t="str">
        <f>""</f>
        <v/>
      </c>
      <c r="DD309" t="str">
        <f>""</f>
        <v/>
      </c>
      <c r="DE309" t="str">
        <f>""</f>
        <v/>
      </c>
      <c r="DF309" t="str">
        <f>""</f>
        <v/>
      </c>
      <c r="DG309" t="str">
        <f>""</f>
        <v/>
      </c>
      <c r="DH309" t="str">
        <f>""</f>
        <v/>
      </c>
      <c r="DI309" t="str">
        <f>""</f>
        <v/>
      </c>
      <c r="DJ309" t="str">
        <f>""</f>
        <v/>
      </c>
      <c r="DK309" t="str">
        <f>""</f>
        <v/>
      </c>
      <c r="DL309" t="str">
        <f>""</f>
        <v/>
      </c>
      <c r="DM309" t="str">
        <f>""</f>
        <v/>
      </c>
      <c r="DN309" t="str">
        <f>""</f>
        <v/>
      </c>
      <c r="DO309" t="str">
        <f>""</f>
        <v/>
      </c>
      <c r="DP309" t="str">
        <f>""</f>
        <v/>
      </c>
      <c r="DQ309" t="str">
        <f>""</f>
        <v/>
      </c>
      <c r="DR309" t="str">
        <f>""</f>
        <v/>
      </c>
      <c r="DS309" t="str">
        <f>""</f>
        <v/>
      </c>
      <c r="DT309" t="str">
        <f>""</f>
        <v/>
      </c>
      <c r="DU309" t="str">
        <f>""</f>
        <v/>
      </c>
    </row>
    <row r="310" spans="1:125" x14ac:dyDescent="0.25">
      <c r="A310" t="str">
        <f>"    Great Wall Motor Co Ltd"</f>
        <v xml:space="preserve">    Great Wall Motor Co Ltd</v>
      </c>
      <c r="B310" t="str">
        <f>"2333 HK Equity"</f>
        <v>2333 HK Equity</v>
      </c>
      <c r="C310" t="str">
        <f t="shared" si="21"/>
        <v>RR474</v>
      </c>
      <c r="D310" t="str">
        <f t="shared" si="22"/>
        <v>EV_TO_T12M_EBITDA</v>
      </c>
      <c r="E310" t="str">
        <f t="shared" si="23"/>
        <v>Dynamic</v>
      </c>
      <c r="F310" t="str">
        <f ca="1">IF(AND(ISNUMBER($F$976),$B$677=1),$F$976,HLOOKUP(INDIRECT(ADDRESS(2,COLUMN())),OFFSET($BN$2,0,0,ROW()-1,60),ROW()-1,FALSE))</f>
        <v/>
      </c>
      <c r="G310" t="str">
        <f ca="1">IF(AND(ISNUMBER($G$976),$B$677=1),$G$976,HLOOKUP(INDIRECT(ADDRESS(2,COLUMN())),OFFSET($BN$2,0,0,ROW()-1,60),ROW()-1,FALSE))</f>
        <v/>
      </c>
      <c r="H310" t="str">
        <f ca="1">IF(AND(ISNUMBER($H$976),$B$677=1),$H$976,HLOOKUP(INDIRECT(ADDRESS(2,COLUMN())),OFFSET($BN$2,0,0,ROW()-1,60),ROW()-1,FALSE))</f>
        <v/>
      </c>
      <c r="I310" t="str">
        <f ca="1">IF(AND(ISNUMBER($I$976),$B$677=1),$I$976,HLOOKUP(INDIRECT(ADDRESS(2,COLUMN())),OFFSET($BN$2,0,0,ROW()-1,60),ROW()-1,FALSE))</f>
        <v/>
      </c>
      <c r="J310" t="str">
        <f ca="1">IF(AND(ISNUMBER($J$976),$B$677=1),$J$976,HLOOKUP(INDIRECT(ADDRESS(2,COLUMN())),OFFSET($BN$2,0,0,ROW()-1,60),ROW()-1,FALSE))</f>
        <v/>
      </c>
      <c r="K310" t="str">
        <f ca="1">IF(AND(ISNUMBER($K$976),$B$677=1),$K$976,HLOOKUP(INDIRECT(ADDRESS(2,COLUMN())),OFFSET($BN$2,0,0,ROW()-1,60),ROW()-1,FALSE))</f>
        <v/>
      </c>
      <c r="L310" t="str">
        <f ca="1">IF(AND(ISNUMBER($L$976),$B$677=1),$L$976,HLOOKUP(INDIRECT(ADDRESS(2,COLUMN())),OFFSET($BN$2,0,0,ROW()-1,60),ROW()-1,FALSE))</f>
        <v/>
      </c>
      <c r="M310" t="str">
        <f ca="1">IF(AND(ISNUMBER($M$976),$B$677=1),$M$976,HLOOKUP(INDIRECT(ADDRESS(2,COLUMN())),OFFSET($BN$2,0,0,ROW()-1,60),ROW()-1,FALSE))</f>
        <v/>
      </c>
      <c r="N310" t="str">
        <f ca="1">IF(AND(ISNUMBER($N$976),$B$677=1),$N$976,HLOOKUP(INDIRECT(ADDRESS(2,COLUMN())),OFFSET($BN$2,0,0,ROW()-1,60),ROW()-1,FALSE))</f>
        <v/>
      </c>
      <c r="O310" t="str">
        <f ca="1">IF(AND(ISNUMBER($O$976),$B$677=1),$O$976,HLOOKUP(INDIRECT(ADDRESS(2,COLUMN())),OFFSET($BN$2,0,0,ROW()-1,60),ROW()-1,FALSE))</f>
        <v/>
      </c>
      <c r="P310" t="str">
        <f ca="1">IF(AND(ISNUMBER($P$976),$B$677=1),$P$976,HLOOKUP(INDIRECT(ADDRESS(2,COLUMN())),OFFSET($BN$2,0,0,ROW()-1,60),ROW()-1,FALSE))</f>
        <v/>
      </c>
      <c r="Q310" t="str">
        <f ca="1">IF(AND(ISNUMBER($Q$976),$B$677=1),$Q$976,HLOOKUP(INDIRECT(ADDRESS(2,COLUMN())),OFFSET($BN$2,0,0,ROW()-1,60),ROW()-1,FALSE))</f>
        <v/>
      </c>
      <c r="R310" t="str">
        <f ca="1">IF(AND(ISNUMBER($R$976),$B$677=1),$R$976,HLOOKUP(INDIRECT(ADDRESS(2,COLUMN())),OFFSET($BN$2,0,0,ROW()-1,60),ROW()-1,FALSE))</f>
        <v/>
      </c>
      <c r="S310" t="str">
        <f ca="1">IF(AND(ISNUMBER($S$976),$B$677=1),$S$976,HLOOKUP(INDIRECT(ADDRESS(2,COLUMN())),OFFSET($BN$2,0,0,ROW()-1,60),ROW()-1,FALSE))</f>
        <v/>
      </c>
      <c r="T310" t="str">
        <f ca="1">IF(AND(ISNUMBER($T$976),$B$677=1),$T$976,HLOOKUP(INDIRECT(ADDRESS(2,COLUMN())),OFFSET($BN$2,0,0,ROW()-1,60),ROW()-1,FALSE))</f>
        <v/>
      </c>
      <c r="U310" t="str">
        <f ca="1">IF(AND(ISNUMBER($U$976),$B$677=1),$U$976,HLOOKUP(INDIRECT(ADDRESS(2,COLUMN())),OFFSET($BN$2,0,0,ROW()-1,60),ROW()-1,FALSE))</f>
        <v/>
      </c>
      <c r="V310" t="str">
        <f ca="1">IF(AND(ISNUMBER($V$976),$B$677=1),$V$976,HLOOKUP(INDIRECT(ADDRESS(2,COLUMN())),OFFSET($BN$2,0,0,ROW()-1,60),ROW()-1,FALSE))</f>
        <v/>
      </c>
      <c r="W310" t="str">
        <f ca="1">IF(AND(ISNUMBER($W$976),$B$677=1),$W$976,HLOOKUP(INDIRECT(ADDRESS(2,COLUMN())),OFFSET($BN$2,0,0,ROW()-1,60),ROW()-1,FALSE))</f>
        <v/>
      </c>
      <c r="X310" t="str">
        <f ca="1">IF(AND(ISNUMBER($X$976),$B$677=1),$X$976,HLOOKUP(INDIRECT(ADDRESS(2,COLUMN())),OFFSET($BN$2,0,0,ROW()-1,60),ROW()-1,FALSE))</f>
        <v/>
      </c>
      <c r="Y310" t="str">
        <f ca="1">IF(AND(ISNUMBER($Y$976),$B$677=1),$Y$976,HLOOKUP(INDIRECT(ADDRESS(2,COLUMN())),OFFSET($BN$2,0,0,ROW()-1,60),ROW()-1,FALSE))</f>
        <v/>
      </c>
      <c r="Z310" t="str">
        <f ca="1">IF(AND(ISNUMBER($Z$976),$B$677=1),$Z$976,HLOOKUP(INDIRECT(ADDRESS(2,COLUMN())),OFFSET($BN$2,0,0,ROW()-1,60),ROW()-1,FALSE))</f>
        <v/>
      </c>
      <c r="AA310" t="str">
        <f ca="1">IF(AND(ISNUMBER($AA$976),$B$677=1),$AA$976,HLOOKUP(INDIRECT(ADDRESS(2,COLUMN())),OFFSET($BN$2,0,0,ROW()-1,60),ROW()-1,FALSE))</f>
        <v/>
      </c>
      <c r="AB310" t="str">
        <f ca="1">IF(AND(ISNUMBER($AB$976),$B$677=1),$AB$976,HLOOKUP(INDIRECT(ADDRESS(2,COLUMN())),OFFSET($BN$2,0,0,ROW()-1,60),ROW()-1,FALSE))</f>
        <v/>
      </c>
      <c r="AC310" t="str">
        <f ca="1">IF(AND(ISNUMBER($AC$976),$B$677=1),$AC$976,HLOOKUP(INDIRECT(ADDRESS(2,COLUMN())),OFFSET($BN$2,0,0,ROW()-1,60),ROW()-1,FALSE))</f>
        <v/>
      </c>
      <c r="AD310" t="str">
        <f ca="1">IF(AND(ISNUMBER($AD$976),$B$677=1),$AD$976,HLOOKUP(INDIRECT(ADDRESS(2,COLUMN())),OFFSET($BN$2,0,0,ROW()-1,60),ROW()-1,FALSE))</f>
        <v/>
      </c>
      <c r="AE310" t="str">
        <f ca="1">IF(AND(ISNUMBER($AE$976),$B$677=1),$AE$976,HLOOKUP(INDIRECT(ADDRESS(2,COLUMN())),OFFSET($BN$2,0,0,ROW()-1,60),ROW()-1,FALSE))</f>
        <v/>
      </c>
      <c r="AF310" t="str">
        <f ca="1">IF(AND(ISNUMBER($AF$976),$B$677=1),$AF$976,HLOOKUP(INDIRECT(ADDRESS(2,COLUMN())),OFFSET($BN$2,0,0,ROW()-1,60),ROW()-1,FALSE))</f>
        <v/>
      </c>
      <c r="AG310" t="str">
        <f ca="1">IF(AND(ISNUMBER($AG$976),$B$677=1),$AG$976,HLOOKUP(INDIRECT(ADDRESS(2,COLUMN())),OFFSET($BN$2,0,0,ROW()-1,60),ROW()-1,FALSE))</f>
        <v/>
      </c>
      <c r="AH310" t="str">
        <f ca="1">IF(AND(ISNUMBER($AH$976),$B$677=1),$AH$976,HLOOKUP(INDIRECT(ADDRESS(2,COLUMN())),OFFSET($BN$2,0,0,ROW()-1,60),ROW()-1,FALSE))</f>
        <v/>
      </c>
      <c r="AI310" t="str">
        <f ca="1">IF(AND(ISNUMBER($AI$976),$B$677=1),$AI$976,HLOOKUP(INDIRECT(ADDRESS(2,COLUMN())),OFFSET($BN$2,0,0,ROW()-1,60),ROW()-1,FALSE))</f>
        <v/>
      </c>
      <c r="AJ310" t="str">
        <f ca="1">IF(AND(ISNUMBER($AJ$976),$B$677=1),$AJ$976,HLOOKUP(INDIRECT(ADDRESS(2,COLUMN())),OFFSET($BN$2,0,0,ROW()-1,60),ROW()-1,FALSE))</f>
        <v/>
      </c>
      <c r="AK310" t="str">
        <f ca="1">IF(AND(ISNUMBER($AK$976),$B$677=1),$AK$976,HLOOKUP(INDIRECT(ADDRESS(2,COLUMN())),OFFSET($BN$2,0,0,ROW()-1,60),ROW()-1,FALSE))</f>
        <v/>
      </c>
      <c r="AL310" t="str">
        <f ca="1">IF(AND(ISNUMBER($AL$976),$B$677=1),$AL$976,HLOOKUP(INDIRECT(ADDRESS(2,COLUMN())),OFFSET($BN$2,0,0,ROW()-1,60),ROW()-1,FALSE))</f>
        <v/>
      </c>
      <c r="AM310" t="str">
        <f ca="1">IF(AND(ISNUMBER($AM$976),$B$677=1),$AM$976,HLOOKUP(INDIRECT(ADDRESS(2,COLUMN())),OFFSET($BN$2,0,0,ROW()-1,60),ROW()-1,FALSE))</f>
        <v/>
      </c>
      <c r="AN310" t="str">
        <f ca="1">IF(AND(ISNUMBER($AN$976),$B$677=1),$AN$976,HLOOKUP(INDIRECT(ADDRESS(2,COLUMN())),OFFSET($BN$2,0,0,ROW()-1,60),ROW()-1,FALSE))</f>
        <v/>
      </c>
      <c r="AO310" t="str">
        <f ca="1">IF(AND(ISNUMBER($AO$976),$B$677=1),$AO$976,HLOOKUP(INDIRECT(ADDRESS(2,COLUMN())),OFFSET($BN$2,0,0,ROW()-1,60),ROW()-1,FALSE))</f>
        <v/>
      </c>
      <c r="AP310" t="str">
        <f ca="1">IF(AND(ISNUMBER($AP$976),$B$677=1),$AP$976,HLOOKUP(INDIRECT(ADDRESS(2,COLUMN())),OFFSET($BN$2,0,0,ROW()-1,60),ROW()-1,FALSE))</f>
        <v/>
      </c>
      <c r="AQ310" t="str">
        <f ca="1">IF(AND(ISNUMBER($AQ$976),$B$677=1),$AQ$976,HLOOKUP(INDIRECT(ADDRESS(2,COLUMN())),OFFSET($BN$2,0,0,ROW()-1,60),ROW()-1,FALSE))</f>
        <v/>
      </c>
      <c r="AR310" t="str">
        <f ca="1">IF(AND(ISNUMBER($AR$976),$B$677=1),$AR$976,HLOOKUP(INDIRECT(ADDRESS(2,COLUMN())),OFFSET($BN$2,0,0,ROW()-1,60),ROW()-1,FALSE))</f>
        <v/>
      </c>
      <c r="AS310" t="str">
        <f ca="1">IF(AND(ISNUMBER($AS$976),$B$677=1),$AS$976,HLOOKUP(INDIRECT(ADDRESS(2,COLUMN())),OFFSET($BN$2,0,0,ROW()-1,60),ROW()-1,FALSE))</f>
        <v/>
      </c>
      <c r="AT310" t="str">
        <f ca="1">IF(AND(ISNUMBER($AT$976),$B$677=1),$AT$976,HLOOKUP(INDIRECT(ADDRESS(2,COLUMN())),OFFSET($BN$2,0,0,ROW()-1,60),ROW()-1,FALSE))</f>
        <v/>
      </c>
      <c r="AU310" t="str">
        <f ca="1">IF(AND(ISNUMBER($AU$976),$B$677=1),$AU$976,HLOOKUP(INDIRECT(ADDRESS(2,COLUMN())),OFFSET($BN$2,0,0,ROW()-1,60),ROW()-1,FALSE))</f>
        <v/>
      </c>
      <c r="AV310" t="str">
        <f ca="1">IF(AND(ISNUMBER($AV$976),$B$677=1),$AV$976,HLOOKUP(INDIRECT(ADDRESS(2,COLUMN())),OFFSET($BN$2,0,0,ROW()-1,60),ROW()-1,FALSE))</f>
        <v/>
      </c>
      <c r="AW310" t="str">
        <f ca="1">IF(AND(ISNUMBER($AW$976),$B$677=1),$AW$976,HLOOKUP(INDIRECT(ADDRESS(2,COLUMN())),OFFSET($BN$2,0,0,ROW()-1,60),ROW()-1,FALSE))</f>
        <v/>
      </c>
      <c r="AX310" t="str">
        <f ca="1">IF(AND(ISNUMBER($AX$976),$B$677=1),$AX$976,HLOOKUP(INDIRECT(ADDRESS(2,COLUMN())),OFFSET($BN$2,0,0,ROW()-1,60),ROW()-1,FALSE))</f>
        <v/>
      </c>
      <c r="AY310" t="str">
        <f ca="1">IF(AND(ISNUMBER($AY$976),$B$677=1),$AY$976,HLOOKUP(INDIRECT(ADDRESS(2,COLUMN())),OFFSET($BN$2,0,0,ROW()-1,60),ROW()-1,FALSE))</f>
        <v/>
      </c>
      <c r="AZ310" t="str">
        <f ca="1">IF(AND(ISNUMBER($AZ$976),$B$677=1),$AZ$976,HLOOKUP(INDIRECT(ADDRESS(2,COLUMN())),OFFSET($BN$2,0,0,ROW()-1,60),ROW()-1,FALSE))</f>
        <v/>
      </c>
      <c r="BA310" t="str">
        <f ca="1">IF(AND(ISNUMBER($BA$976),$B$677=1),$BA$976,HLOOKUP(INDIRECT(ADDRESS(2,COLUMN())),OFFSET($BN$2,0,0,ROW()-1,60),ROW()-1,FALSE))</f>
        <v/>
      </c>
      <c r="BB310" t="str">
        <f ca="1">IF(AND(ISNUMBER($BB$976),$B$677=1),$BB$976,HLOOKUP(INDIRECT(ADDRESS(2,COLUMN())),OFFSET($BN$2,0,0,ROW()-1,60),ROW()-1,FALSE))</f>
        <v/>
      </c>
      <c r="BC310" t="str">
        <f ca="1">IF(AND(ISNUMBER($BC$976),$B$677=1),$BC$976,HLOOKUP(INDIRECT(ADDRESS(2,COLUMN())),OFFSET($BN$2,0,0,ROW()-1,60),ROW()-1,FALSE))</f>
        <v/>
      </c>
      <c r="BD310" t="str">
        <f ca="1">IF(AND(ISNUMBER($BD$976),$B$677=1),$BD$976,HLOOKUP(INDIRECT(ADDRESS(2,COLUMN())),OFFSET($BN$2,0,0,ROW()-1,60),ROW()-1,FALSE))</f>
        <v/>
      </c>
      <c r="BE310" t="str">
        <f ca="1">IF(AND(ISNUMBER($BE$976),$B$677=1),$BE$976,HLOOKUP(INDIRECT(ADDRESS(2,COLUMN())),OFFSET($BN$2,0,0,ROW()-1,60),ROW()-1,FALSE))</f>
        <v/>
      </c>
      <c r="BF310" t="str">
        <f ca="1">IF(AND(ISNUMBER($BF$976),$B$677=1),$BF$976,HLOOKUP(INDIRECT(ADDRESS(2,COLUMN())),OFFSET($BN$2,0,0,ROW()-1,60),ROW()-1,FALSE))</f>
        <v/>
      </c>
      <c r="BG310" t="str">
        <f ca="1">IF(AND(ISNUMBER($BG$976),$B$677=1),$BG$976,HLOOKUP(INDIRECT(ADDRESS(2,COLUMN())),OFFSET($BN$2,0,0,ROW()-1,60),ROW()-1,FALSE))</f>
        <v/>
      </c>
      <c r="BH310" t="str">
        <f ca="1">IF(AND(ISNUMBER($BH$976),$B$677=1),$BH$976,HLOOKUP(INDIRECT(ADDRESS(2,COLUMN())),OFFSET($BN$2,0,0,ROW()-1,60),ROW()-1,FALSE))</f>
        <v/>
      </c>
      <c r="BI310" t="str">
        <f ca="1">IF(AND(ISNUMBER($BI$976),$B$677=1),$BI$976,HLOOKUP(INDIRECT(ADDRESS(2,COLUMN())),OFFSET($BN$2,0,0,ROW()-1,60),ROW()-1,FALSE))</f>
        <v/>
      </c>
      <c r="BJ310" t="str">
        <f ca="1">IF(AND(ISNUMBER($BJ$976),$B$677=1),$BJ$976,HLOOKUP(INDIRECT(ADDRESS(2,COLUMN())),OFFSET($BN$2,0,0,ROW()-1,60),ROW()-1,FALSE))</f>
        <v/>
      </c>
      <c r="BK310" t="str">
        <f ca="1">IF(AND(ISNUMBER($BK$976),$B$677=1),$BK$976,HLOOKUP(INDIRECT(ADDRESS(2,COLUMN())),OFFSET($BN$2,0,0,ROW()-1,60),ROW()-1,FALSE))</f>
        <v/>
      </c>
      <c r="BL310" t="str">
        <f ca="1">IF(AND(ISNUMBER($BL$976),$B$677=1),$BL$976,HLOOKUP(INDIRECT(ADDRESS(2,COLUMN())),OFFSET($BN$2,0,0,ROW()-1,60),ROW()-1,FALSE))</f>
        <v/>
      </c>
      <c r="BM310" t="str">
        <f ca="1">IF(AND(ISNUMBER($BM$976),$B$677=1),$BM$976,HLOOKUP(INDIRECT(ADDRESS(2,COLUMN())),OFFSET($BN$2,0,0,ROW()-1,60),ROW()-1,FALSE))</f>
        <v/>
      </c>
      <c r="BN310" t="str">
        <f>""</f>
        <v/>
      </c>
      <c r="BO310" t="str">
        <f>""</f>
        <v/>
      </c>
      <c r="BP310" t="str">
        <f>""</f>
        <v/>
      </c>
      <c r="BQ310" t="str">
        <f>""</f>
        <v/>
      </c>
      <c r="BR310" t="str">
        <f>""</f>
        <v/>
      </c>
      <c r="BS310" t="str">
        <f>""</f>
        <v/>
      </c>
      <c r="BT310" t="str">
        <f>""</f>
        <v/>
      </c>
      <c r="BU310" t="str">
        <f>""</f>
        <v/>
      </c>
      <c r="BV310" t="str">
        <f>""</f>
        <v/>
      </c>
      <c r="BW310" t="str">
        <f>""</f>
        <v/>
      </c>
      <c r="BX310" t="str">
        <f>""</f>
        <v/>
      </c>
      <c r="BY310" t="str">
        <f>""</f>
        <v/>
      </c>
      <c r="BZ310" t="str">
        <f>""</f>
        <v/>
      </c>
      <c r="CA310" t="str">
        <f>""</f>
        <v/>
      </c>
      <c r="CB310" t="str">
        <f>""</f>
        <v/>
      </c>
      <c r="CC310" t="str">
        <f>""</f>
        <v/>
      </c>
      <c r="CD310" t="str">
        <f>""</f>
        <v/>
      </c>
      <c r="CE310" t="str">
        <f>""</f>
        <v/>
      </c>
      <c r="CF310" t="str">
        <f>""</f>
        <v/>
      </c>
      <c r="CG310" t="str">
        <f>""</f>
        <v/>
      </c>
      <c r="CH310" t="str">
        <f>""</f>
        <v/>
      </c>
      <c r="CI310" t="str">
        <f>""</f>
        <v/>
      </c>
      <c r="CJ310" t="str">
        <f>""</f>
        <v/>
      </c>
      <c r="CK310" t="str">
        <f>""</f>
        <v/>
      </c>
      <c r="CL310" t="str">
        <f>""</f>
        <v/>
      </c>
      <c r="CM310" t="str">
        <f>""</f>
        <v/>
      </c>
      <c r="CN310" t="str">
        <f>""</f>
        <v/>
      </c>
      <c r="CO310" t="str">
        <f>""</f>
        <v/>
      </c>
      <c r="CP310" t="str">
        <f>""</f>
        <v/>
      </c>
      <c r="CQ310" t="str">
        <f>""</f>
        <v/>
      </c>
      <c r="CR310" t="str">
        <f>""</f>
        <v/>
      </c>
      <c r="CS310" t="str">
        <f>""</f>
        <v/>
      </c>
      <c r="CT310" t="str">
        <f>""</f>
        <v/>
      </c>
      <c r="CU310" t="str">
        <f>""</f>
        <v/>
      </c>
      <c r="CV310" t="str">
        <f>""</f>
        <v/>
      </c>
      <c r="CW310" t="str">
        <f>""</f>
        <v/>
      </c>
      <c r="CX310" t="str">
        <f>""</f>
        <v/>
      </c>
      <c r="CY310" t="str">
        <f>""</f>
        <v/>
      </c>
      <c r="CZ310" t="str">
        <f>""</f>
        <v/>
      </c>
      <c r="DA310" t="str">
        <f>""</f>
        <v/>
      </c>
      <c r="DB310" t="str">
        <f>""</f>
        <v/>
      </c>
      <c r="DC310" t="str">
        <f>""</f>
        <v/>
      </c>
      <c r="DD310" t="str">
        <f>""</f>
        <v/>
      </c>
      <c r="DE310" t="str">
        <f>""</f>
        <v/>
      </c>
      <c r="DF310" t="str">
        <f>""</f>
        <v/>
      </c>
      <c r="DG310" t="str">
        <f>""</f>
        <v/>
      </c>
      <c r="DH310" t="str">
        <f>""</f>
        <v/>
      </c>
      <c r="DI310" t="str">
        <f>""</f>
        <v/>
      </c>
      <c r="DJ310" t="str">
        <f>""</f>
        <v/>
      </c>
      <c r="DK310" t="str">
        <f>""</f>
        <v/>
      </c>
      <c r="DL310" t="str">
        <f>""</f>
        <v/>
      </c>
      <c r="DM310" t="str">
        <f>""</f>
        <v/>
      </c>
      <c r="DN310" t="str">
        <f>""</f>
        <v/>
      </c>
      <c r="DO310" t="str">
        <f>""</f>
        <v/>
      </c>
      <c r="DP310" t="str">
        <f>""</f>
        <v/>
      </c>
      <c r="DQ310" t="str">
        <f>""</f>
        <v/>
      </c>
      <c r="DR310" t="str">
        <f>""</f>
        <v/>
      </c>
      <c r="DS310" t="str">
        <f>""</f>
        <v/>
      </c>
      <c r="DT310" t="str">
        <f>""</f>
        <v/>
      </c>
      <c r="DU310" t="str">
        <f>""</f>
        <v/>
      </c>
    </row>
    <row r="311" spans="1:125" x14ac:dyDescent="0.25">
      <c r="A311" t="str">
        <f>"    Guangzhou Automobile Group Co Ltd"</f>
        <v xml:space="preserve">    Guangzhou Automobile Group Co Ltd</v>
      </c>
      <c r="B311" t="str">
        <f>"2238 HK Equity"</f>
        <v>2238 HK Equity</v>
      </c>
      <c r="C311" t="str">
        <f t="shared" si="21"/>
        <v>RR474</v>
      </c>
      <c r="D311" t="str">
        <f t="shared" si="22"/>
        <v>EV_TO_T12M_EBITDA</v>
      </c>
      <c r="E311" t="str">
        <f t="shared" si="23"/>
        <v>Dynamic</v>
      </c>
      <c r="F311" t="str">
        <f ca="1">IF(AND(ISNUMBER($F$977),$B$677=1),$F$977,HLOOKUP(INDIRECT(ADDRESS(2,COLUMN())),OFFSET($BN$2,0,0,ROW()-1,60),ROW()-1,FALSE))</f>
        <v/>
      </c>
      <c r="G311" t="str">
        <f ca="1">IF(AND(ISNUMBER($G$977),$B$677=1),$G$977,HLOOKUP(INDIRECT(ADDRESS(2,COLUMN())),OFFSET($BN$2,0,0,ROW()-1,60),ROW()-1,FALSE))</f>
        <v/>
      </c>
      <c r="H311" t="str">
        <f ca="1">IF(AND(ISNUMBER($H$977),$B$677=1),$H$977,HLOOKUP(INDIRECT(ADDRESS(2,COLUMN())),OFFSET($BN$2,0,0,ROW()-1,60),ROW()-1,FALSE))</f>
        <v/>
      </c>
      <c r="I311" t="str">
        <f ca="1">IF(AND(ISNUMBER($I$977),$B$677=1),$I$977,HLOOKUP(INDIRECT(ADDRESS(2,COLUMN())),OFFSET($BN$2,0,0,ROW()-1,60),ROW()-1,FALSE))</f>
        <v/>
      </c>
      <c r="J311" t="str">
        <f ca="1">IF(AND(ISNUMBER($J$977),$B$677=1),$J$977,HLOOKUP(INDIRECT(ADDRESS(2,COLUMN())),OFFSET($BN$2,0,0,ROW()-1,60),ROW()-1,FALSE))</f>
        <v/>
      </c>
      <c r="K311" t="str">
        <f ca="1">IF(AND(ISNUMBER($K$977),$B$677=1),$K$977,HLOOKUP(INDIRECT(ADDRESS(2,COLUMN())),OFFSET($BN$2,0,0,ROW()-1,60),ROW()-1,FALSE))</f>
        <v/>
      </c>
      <c r="L311" t="str">
        <f ca="1">IF(AND(ISNUMBER($L$977),$B$677=1),$L$977,HLOOKUP(INDIRECT(ADDRESS(2,COLUMN())),OFFSET($BN$2,0,0,ROW()-1,60),ROW()-1,FALSE))</f>
        <v/>
      </c>
      <c r="M311" t="str">
        <f ca="1">IF(AND(ISNUMBER($M$977),$B$677=1),$M$977,HLOOKUP(INDIRECT(ADDRESS(2,COLUMN())),OFFSET($BN$2,0,0,ROW()-1,60),ROW()-1,FALSE))</f>
        <v/>
      </c>
      <c r="N311" t="str">
        <f ca="1">IF(AND(ISNUMBER($N$977),$B$677=1),$N$977,HLOOKUP(INDIRECT(ADDRESS(2,COLUMN())),OFFSET($BN$2,0,0,ROW()-1,60),ROW()-1,FALSE))</f>
        <v/>
      </c>
      <c r="O311" t="str">
        <f ca="1">IF(AND(ISNUMBER($O$977),$B$677=1),$O$977,HLOOKUP(INDIRECT(ADDRESS(2,COLUMN())),OFFSET($BN$2,0,0,ROW()-1,60),ROW()-1,FALSE))</f>
        <v/>
      </c>
      <c r="P311" t="str">
        <f ca="1">IF(AND(ISNUMBER($P$977),$B$677=1),$P$977,HLOOKUP(INDIRECT(ADDRESS(2,COLUMN())),OFFSET($BN$2,0,0,ROW()-1,60),ROW()-1,FALSE))</f>
        <v/>
      </c>
      <c r="Q311" t="str">
        <f ca="1">IF(AND(ISNUMBER($Q$977),$B$677=1),$Q$977,HLOOKUP(INDIRECT(ADDRESS(2,COLUMN())),OFFSET($BN$2,0,0,ROW()-1,60),ROW()-1,FALSE))</f>
        <v/>
      </c>
      <c r="R311" t="str">
        <f ca="1">IF(AND(ISNUMBER($R$977),$B$677=1),$R$977,HLOOKUP(INDIRECT(ADDRESS(2,COLUMN())),OFFSET($BN$2,0,0,ROW()-1,60),ROW()-1,FALSE))</f>
        <v/>
      </c>
      <c r="S311" t="str">
        <f ca="1">IF(AND(ISNUMBER($S$977),$B$677=1),$S$977,HLOOKUP(INDIRECT(ADDRESS(2,COLUMN())),OFFSET($BN$2,0,0,ROW()-1,60),ROW()-1,FALSE))</f>
        <v/>
      </c>
      <c r="T311" t="str">
        <f ca="1">IF(AND(ISNUMBER($T$977),$B$677=1),$T$977,HLOOKUP(INDIRECT(ADDRESS(2,COLUMN())),OFFSET($BN$2,0,0,ROW()-1,60),ROW()-1,FALSE))</f>
        <v/>
      </c>
      <c r="U311" t="str">
        <f ca="1">IF(AND(ISNUMBER($U$977),$B$677=1),$U$977,HLOOKUP(INDIRECT(ADDRESS(2,COLUMN())),OFFSET($BN$2,0,0,ROW()-1,60),ROW()-1,FALSE))</f>
        <v/>
      </c>
      <c r="V311" t="str">
        <f ca="1">IF(AND(ISNUMBER($V$977),$B$677=1),$V$977,HLOOKUP(INDIRECT(ADDRESS(2,COLUMN())),OFFSET($BN$2,0,0,ROW()-1,60),ROW()-1,FALSE))</f>
        <v/>
      </c>
      <c r="W311" t="str">
        <f ca="1">IF(AND(ISNUMBER($W$977),$B$677=1),$W$977,HLOOKUP(INDIRECT(ADDRESS(2,COLUMN())),OFFSET($BN$2,0,0,ROW()-1,60),ROW()-1,FALSE))</f>
        <v/>
      </c>
      <c r="X311" t="str">
        <f ca="1">IF(AND(ISNUMBER($X$977),$B$677=1),$X$977,HLOOKUP(INDIRECT(ADDRESS(2,COLUMN())),OFFSET($BN$2,0,0,ROW()-1,60),ROW()-1,FALSE))</f>
        <v/>
      </c>
      <c r="Y311" t="str">
        <f ca="1">IF(AND(ISNUMBER($Y$977),$B$677=1),$Y$977,HLOOKUP(INDIRECT(ADDRESS(2,COLUMN())),OFFSET($BN$2,0,0,ROW()-1,60),ROW()-1,FALSE))</f>
        <v/>
      </c>
      <c r="Z311" t="str">
        <f ca="1">IF(AND(ISNUMBER($Z$977),$B$677=1),$Z$977,HLOOKUP(INDIRECT(ADDRESS(2,COLUMN())),OFFSET($BN$2,0,0,ROW()-1,60),ROW()-1,FALSE))</f>
        <v/>
      </c>
      <c r="AA311" t="str">
        <f ca="1">IF(AND(ISNUMBER($AA$977),$B$677=1),$AA$977,HLOOKUP(INDIRECT(ADDRESS(2,COLUMN())),OFFSET($BN$2,0,0,ROW()-1,60),ROW()-1,FALSE))</f>
        <v/>
      </c>
      <c r="AB311" t="str">
        <f ca="1">IF(AND(ISNUMBER($AB$977),$B$677=1),$AB$977,HLOOKUP(INDIRECT(ADDRESS(2,COLUMN())),OFFSET($BN$2,0,0,ROW()-1,60),ROW()-1,FALSE))</f>
        <v/>
      </c>
      <c r="AC311" t="str">
        <f ca="1">IF(AND(ISNUMBER($AC$977),$B$677=1),$AC$977,HLOOKUP(INDIRECT(ADDRESS(2,COLUMN())),OFFSET($BN$2,0,0,ROW()-1,60),ROW()-1,FALSE))</f>
        <v/>
      </c>
      <c r="AD311" t="str">
        <f ca="1">IF(AND(ISNUMBER($AD$977),$B$677=1),$AD$977,HLOOKUP(INDIRECT(ADDRESS(2,COLUMN())),OFFSET($BN$2,0,0,ROW()-1,60),ROW()-1,FALSE))</f>
        <v/>
      </c>
      <c r="AE311" t="str">
        <f ca="1">IF(AND(ISNUMBER($AE$977),$B$677=1),$AE$977,HLOOKUP(INDIRECT(ADDRESS(2,COLUMN())),OFFSET($BN$2,0,0,ROW()-1,60),ROW()-1,FALSE))</f>
        <v/>
      </c>
      <c r="AF311" t="str">
        <f ca="1">IF(AND(ISNUMBER($AF$977),$B$677=1),$AF$977,HLOOKUP(INDIRECT(ADDRESS(2,COLUMN())),OFFSET($BN$2,0,0,ROW()-1,60),ROW()-1,FALSE))</f>
        <v/>
      </c>
      <c r="AG311" t="str">
        <f ca="1">IF(AND(ISNUMBER($AG$977),$B$677=1),$AG$977,HLOOKUP(INDIRECT(ADDRESS(2,COLUMN())),OFFSET($BN$2,0,0,ROW()-1,60),ROW()-1,FALSE))</f>
        <v/>
      </c>
      <c r="AH311" t="str">
        <f ca="1">IF(AND(ISNUMBER($AH$977),$B$677=1),$AH$977,HLOOKUP(INDIRECT(ADDRESS(2,COLUMN())),OFFSET($BN$2,0,0,ROW()-1,60),ROW()-1,FALSE))</f>
        <v/>
      </c>
      <c r="AI311" t="str">
        <f ca="1">IF(AND(ISNUMBER($AI$977),$B$677=1),$AI$977,HLOOKUP(INDIRECT(ADDRESS(2,COLUMN())),OFFSET($BN$2,0,0,ROW()-1,60),ROW()-1,FALSE))</f>
        <v/>
      </c>
      <c r="AJ311" t="str">
        <f ca="1">IF(AND(ISNUMBER($AJ$977),$B$677=1),$AJ$977,HLOOKUP(INDIRECT(ADDRESS(2,COLUMN())),OFFSET($BN$2,0,0,ROW()-1,60),ROW()-1,FALSE))</f>
        <v/>
      </c>
      <c r="AK311" t="str">
        <f ca="1">IF(AND(ISNUMBER($AK$977),$B$677=1),$AK$977,HLOOKUP(INDIRECT(ADDRESS(2,COLUMN())),OFFSET($BN$2,0,0,ROW()-1,60),ROW()-1,FALSE))</f>
        <v/>
      </c>
      <c r="AL311" t="str">
        <f ca="1">IF(AND(ISNUMBER($AL$977),$B$677=1),$AL$977,HLOOKUP(INDIRECT(ADDRESS(2,COLUMN())),OFFSET($BN$2,0,0,ROW()-1,60),ROW()-1,FALSE))</f>
        <v/>
      </c>
      <c r="AM311" t="str">
        <f ca="1">IF(AND(ISNUMBER($AM$977),$B$677=1),$AM$977,HLOOKUP(INDIRECT(ADDRESS(2,COLUMN())),OFFSET($BN$2,0,0,ROW()-1,60),ROW()-1,FALSE))</f>
        <v/>
      </c>
      <c r="AN311" t="str">
        <f ca="1">IF(AND(ISNUMBER($AN$977),$B$677=1),$AN$977,HLOOKUP(INDIRECT(ADDRESS(2,COLUMN())),OFFSET($BN$2,0,0,ROW()-1,60),ROW()-1,FALSE))</f>
        <v/>
      </c>
      <c r="AO311" t="str">
        <f ca="1">IF(AND(ISNUMBER($AO$977),$B$677=1),$AO$977,HLOOKUP(INDIRECT(ADDRESS(2,COLUMN())),OFFSET($BN$2,0,0,ROW()-1,60),ROW()-1,FALSE))</f>
        <v/>
      </c>
      <c r="AP311" t="str">
        <f ca="1">IF(AND(ISNUMBER($AP$977),$B$677=1),$AP$977,HLOOKUP(INDIRECT(ADDRESS(2,COLUMN())),OFFSET($BN$2,0,0,ROW()-1,60),ROW()-1,FALSE))</f>
        <v/>
      </c>
      <c r="AQ311" t="str">
        <f ca="1">IF(AND(ISNUMBER($AQ$977),$B$677=1),$AQ$977,HLOOKUP(INDIRECT(ADDRESS(2,COLUMN())),OFFSET($BN$2,0,0,ROW()-1,60),ROW()-1,FALSE))</f>
        <v/>
      </c>
      <c r="AR311" t="str">
        <f ca="1">IF(AND(ISNUMBER($AR$977),$B$677=1),$AR$977,HLOOKUP(INDIRECT(ADDRESS(2,COLUMN())),OFFSET($BN$2,0,0,ROW()-1,60),ROW()-1,FALSE))</f>
        <v/>
      </c>
      <c r="AS311" t="str">
        <f ca="1">IF(AND(ISNUMBER($AS$977),$B$677=1),$AS$977,HLOOKUP(INDIRECT(ADDRESS(2,COLUMN())),OFFSET($BN$2,0,0,ROW()-1,60),ROW()-1,FALSE))</f>
        <v/>
      </c>
      <c r="AT311" t="str">
        <f ca="1">IF(AND(ISNUMBER($AT$977),$B$677=1),$AT$977,HLOOKUP(INDIRECT(ADDRESS(2,COLUMN())),OFFSET($BN$2,0,0,ROW()-1,60),ROW()-1,FALSE))</f>
        <v/>
      </c>
      <c r="AU311" t="str">
        <f ca="1">IF(AND(ISNUMBER($AU$977),$B$677=1),$AU$977,HLOOKUP(INDIRECT(ADDRESS(2,COLUMN())),OFFSET($BN$2,0,0,ROW()-1,60),ROW()-1,FALSE))</f>
        <v/>
      </c>
      <c r="AV311" t="str">
        <f ca="1">IF(AND(ISNUMBER($AV$977),$B$677=1),$AV$977,HLOOKUP(INDIRECT(ADDRESS(2,COLUMN())),OFFSET($BN$2,0,0,ROW()-1,60),ROW()-1,FALSE))</f>
        <v/>
      </c>
      <c r="AW311" t="str">
        <f ca="1">IF(AND(ISNUMBER($AW$977),$B$677=1),$AW$977,HLOOKUP(INDIRECT(ADDRESS(2,COLUMN())),OFFSET($BN$2,0,0,ROW()-1,60),ROW()-1,FALSE))</f>
        <v/>
      </c>
      <c r="AX311" t="str">
        <f ca="1">IF(AND(ISNUMBER($AX$977),$B$677=1),$AX$977,HLOOKUP(INDIRECT(ADDRESS(2,COLUMN())),OFFSET($BN$2,0,0,ROW()-1,60),ROW()-1,FALSE))</f>
        <v/>
      </c>
      <c r="AY311" t="str">
        <f ca="1">IF(AND(ISNUMBER($AY$977),$B$677=1),$AY$977,HLOOKUP(INDIRECT(ADDRESS(2,COLUMN())),OFFSET($BN$2,0,0,ROW()-1,60),ROW()-1,FALSE))</f>
        <v/>
      </c>
      <c r="AZ311" t="str">
        <f ca="1">IF(AND(ISNUMBER($AZ$977),$B$677=1),$AZ$977,HLOOKUP(INDIRECT(ADDRESS(2,COLUMN())),OFFSET($BN$2,0,0,ROW()-1,60),ROW()-1,FALSE))</f>
        <v/>
      </c>
      <c r="BA311" t="str">
        <f ca="1">IF(AND(ISNUMBER($BA$977),$B$677=1),$BA$977,HLOOKUP(INDIRECT(ADDRESS(2,COLUMN())),OFFSET($BN$2,0,0,ROW()-1,60),ROW()-1,FALSE))</f>
        <v/>
      </c>
      <c r="BB311" t="str">
        <f ca="1">IF(AND(ISNUMBER($BB$977),$B$677=1),$BB$977,HLOOKUP(INDIRECT(ADDRESS(2,COLUMN())),OFFSET($BN$2,0,0,ROW()-1,60),ROW()-1,FALSE))</f>
        <v/>
      </c>
      <c r="BC311" t="str">
        <f ca="1">IF(AND(ISNUMBER($BC$977),$B$677=1),$BC$977,HLOOKUP(INDIRECT(ADDRESS(2,COLUMN())),OFFSET($BN$2,0,0,ROW()-1,60),ROW()-1,FALSE))</f>
        <v/>
      </c>
      <c r="BD311" t="str">
        <f ca="1">IF(AND(ISNUMBER($BD$977),$B$677=1),$BD$977,HLOOKUP(INDIRECT(ADDRESS(2,COLUMN())),OFFSET($BN$2,0,0,ROW()-1,60),ROW()-1,FALSE))</f>
        <v/>
      </c>
      <c r="BE311" t="str">
        <f ca="1">IF(AND(ISNUMBER($BE$977),$B$677=1),$BE$977,HLOOKUP(INDIRECT(ADDRESS(2,COLUMN())),OFFSET($BN$2,0,0,ROW()-1,60),ROW()-1,FALSE))</f>
        <v/>
      </c>
      <c r="BF311" t="str">
        <f ca="1">IF(AND(ISNUMBER($BF$977),$B$677=1),$BF$977,HLOOKUP(INDIRECT(ADDRESS(2,COLUMN())),OFFSET($BN$2,0,0,ROW()-1,60),ROW()-1,FALSE))</f>
        <v/>
      </c>
      <c r="BG311" t="str">
        <f ca="1">IF(AND(ISNUMBER($BG$977),$B$677=1),$BG$977,HLOOKUP(INDIRECT(ADDRESS(2,COLUMN())),OFFSET($BN$2,0,0,ROW()-1,60),ROW()-1,FALSE))</f>
        <v/>
      </c>
      <c r="BH311" t="str">
        <f ca="1">IF(AND(ISNUMBER($BH$977),$B$677=1),$BH$977,HLOOKUP(INDIRECT(ADDRESS(2,COLUMN())),OFFSET($BN$2,0,0,ROW()-1,60),ROW()-1,FALSE))</f>
        <v/>
      </c>
      <c r="BI311" t="str">
        <f ca="1">IF(AND(ISNUMBER($BI$977),$B$677=1),$BI$977,HLOOKUP(INDIRECT(ADDRESS(2,COLUMN())),OFFSET($BN$2,0,0,ROW()-1,60),ROW()-1,FALSE))</f>
        <v/>
      </c>
      <c r="BJ311" t="str">
        <f ca="1">IF(AND(ISNUMBER($BJ$977),$B$677=1),$BJ$977,HLOOKUP(INDIRECT(ADDRESS(2,COLUMN())),OFFSET($BN$2,0,0,ROW()-1,60),ROW()-1,FALSE))</f>
        <v/>
      </c>
      <c r="BK311" t="str">
        <f ca="1">IF(AND(ISNUMBER($BK$977),$B$677=1),$BK$977,HLOOKUP(INDIRECT(ADDRESS(2,COLUMN())),OFFSET($BN$2,0,0,ROW()-1,60),ROW()-1,FALSE))</f>
        <v/>
      </c>
      <c r="BL311" t="str">
        <f ca="1">IF(AND(ISNUMBER($BL$977),$B$677=1),$BL$977,HLOOKUP(INDIRECT(ADDRESS(2,COLUMN())),OFFSET($BN$2,0,0,ROW()-1,60),ROW()-1,FALSE))</f>
        <v/>
      </c>
      <c r="BM311" t="str">
        <f ca="1">IF(AND(ISNUMBER($BM$977),$B$677=1),$BM$977,HLOOKUP(INDIRECT(ADDRESS(2,COLUMN())),OFFSET($BN$2,0,0,ROW()-1,60),ROW()-1,FALSE))</f>
        <v/>
      </c>
      <c r="BN311" t="str">
        <f>""</f>
        <v/>
      </c>
      <c r="BO311" t="str">
        <f>""</f>
        <v/>
      </c>
      <c r="BP311" t="str">
        <f>""</f>
        <v/>
      </c>
      <c r="BQ311" t="str">
        <f>""</f>
        <v/>
      </c>
      <c r="BR311" t="str">
        <f>""</f>
        <v/>
      </c>
      <c r="BS311" t="str">
        <f>""</f>
        <v/>
      </c>
      <c r="BT311" t="str">
        <f>""</f>
        <v/>
      </c>
      <c r="BU311" t="str">
        <f>""</f>
        <v/>
      </c>
      <c r="BV311" t="str">
        <f>""</f>
        <v/>
      </c>
      <c r="BW311" t="str">
        <f>""</f>
        <v/>
      </c>
      <c r="BX311" t="str">
        <f>""</f>
        <v/>
      </c>
      <c r="BY311" t="str">
        <f>""</f>
        <v/>
      </c>
      <c r="BZ311" t="str">
        <f>""</f>
        <v/>
      </c>
      <c r="CA311" t="str">
        <f>""</f>
        <v/>
      </c>
      <c r="CB311" t="str">
        <f>""</f>
        <v/>
      </c>
      <c r="CC311" t="str">
        <f>""</f>
        <v/>
      </c>
      <c r="CD311" t="str">
        <f>""</f>
        <v/>
      </c>
      <c r="CE311" t="str">
        <f>""</f>
        <v/>
      </c>
      <c r="CF311" t="str">
        <f>""</f>
        <v/>
      </c>
      <c r="CG311" t="str">
        <f>""</f>
        <v/>
      </c>
      <c r="CH311" t="str">
        <f>""</f>
        <v/>
      </c>
      <c r="CI311" t="str">
        <f>""</f>
        <v/>
      </c>
      <c r="CJ311" t="str">
        <f>""</f>
        <v/>
      </c>
      <c r="CK311" t="str">
        <f>""</f>
        <v/>
      </c>
      <c r="CL311" t="str">
        <f>""</f>
        <v/>
      </c>
      <c r="CM311" t="str">
        <f>""</f>
        <v/>
      </c>
      <c r="CN311" t="str">
        <f>""</f>
        <v/>
      </c>
      <c r="CO311" t="str">
        <f>""</f>
        <v/>
      </c>
      <c r="CP311" t="str">
        <f>""</f>
        <v/>
      </c>
      <c r="CQ311" t="str">
        <f>""</f>
        <v/>
      </c>
      <c r="CR311" t="str">
        <f>""</f>
        <v/>
      </c>
      <c r="CS311" t="str">
        <f>""</f>
        <v/>
      </c>
      <c r="CT311" t="str">
        <f>""</f>
        <v/>
      </c>
      <c r="CU311" t="str">
        <f>""</f>
        <v/>
      </c>
      <c r="CV311" t="str">
        <f>""</f>
        <v/>
      </c>
      <c r="CW311" t="str">
        <f>""</f>
        <v/>
      </c>
      <c r="CX311" t="str">
        <f>""</f>
        <v/>
      </c>
      <c r="CY311" t="str">
        <f>""</f>
        <v/>
      </c>
      <c r="CZ311" t="str">
        <f>""</f>
        <v/>
      </c>
      <c r="DA311" t="str">
        <f>""</f>
        <v/>
      </c>
      <c r="DB311" t="str">
        <f>""</f>
        <v/>
      </c>
      <c r="DC311" t="str">
        <f>""</f>
        <v/>
      </c>
      <c r="DD311" t="str">
        <f>""</f>
        <v/>
      </c>
      <c r="DE311" t="str">
        <f>""</f>
        <v/>
      </c>
      <c r="DF311" t="str">
        <f>""</f>
        <v/>
      </c>
      <c r="DG311" t="str">
        <f>""</f>
        <v/>
      </c>
      <c r="DH311" t="str">
        <f>""</f>
        <v/>
      </c>
      <c r="DI311" t="str">
        <f>""</f>
        <v/>
      </c>
      <c r="DJ311" t="str">
        <f>""</f>
        <v/>
      </c>
      <c r="DK311" t="str">
        <f>""</f>
        <v/>
      </c>
      <c r="DL311" t="str">
        <f>""</f>
        <v/>
      </c>
      <c r="DM311" t="str">
        <f>""</f>
        <v/>
      </c>
      <c r="DN311" t="str">
        <f>""</f>
        <v/>
      </c>
      <c r="DO311" t="str">
        <f>""</f>
        <v/>
      </c>
      <c r="DP311" t="str">
        <f>""</f>
        <v/>
      </c>
      <c r="DQ311" t="str">
        <f>""</f>
        <v/>
      </c>
      <c r="DR311" t="str">
        <f>""</f>
        <v/>
      </c>
      <c r="DS311" t="str">
        <f>""</f>
        <v/>
      </c>
      <c r="DT311" t="str">
        <f>""</f>
        <v/>
      </c>
      <c r="DU311" t="str">
        <f>""</f>
        <v/>
      </c>
    </row>
    <row r="312" spans="1:125" x14ac:dyDescent="0.25">
      <c r="A312" t="str">
        <f>"    Honda Motor Co Ltd"</f>
        <v xml:space="preserve">    Honda Motor Co Ltd</v>
      </c>
      <c r="B312" t="str">
        <f>"7267 JP Equity"</f>
        <v>7267 JP Equity</v>
      </c>
      <c r="C312" t="str">
        <f t="shared" si="21"/>
        <v>RR474</v>
      </c>
      <c r="D312" t="str">
        <f t="shared" si="22"/>
        <v>EV_TO_T12M_EBITDA</v>
      </c>
      <c r="E312" t="str">
        <f t="shared" si="23"/>
        <v>Dynamic</v>
      </c>
      <c r="F312" t="str">
        <f ca="1">IF(AND(ISNUMBER($F$978),$B$677=1),$F$978,HLOOKUP(INDIRECT(ADDRESS(2,COLUMN())),OFFSET($BN$2,0,0,ROW()-1,60),ROW()-1,FALSE))</f>
        <v/>
      </c>
      <c r="G312">
        <f ca="1">IF(AND(ISNUMBER($G$978),$B$677=1),$G$978,HLOOKUP(INDIRECT(ADDRESS(2,COLUMN())),OFFSET($BN$2,0,0,ROW()-1,60),ROW()-1,FALSE))</f>
        <v>6.8300365330000004</v>
      </c>
      <c r="H312">
        <f ca="1">IF(AND(ISNUMBER($H$978),$B$677=1),$H$978,HLOOKUP(INDIRECT(ADDRESS(2,COLUMN())),OFFSET($BN$2,0,0,ROW()-1,60),ROW()-1,FALSE))</f>
        <v>6.9387266859999999</v>
      </c>
      <c r="I312">
        <f ca="1">IF(AND(ISNUMBER($I$978),$B$677=1),$I$978,HLOOKUP(INDIRECT(ADDRESS(2,COLUMN())),OFFSET($BN$2,0,0,ROW()-1,60),ROW()-1,FALSE))</f>
        <v>6.8496966879999999</v>
      </c>
      <c r="J312">
        <f ca="1">IF(AND(ISNUMBER($J$978),$B$677=1),$J$978,HLOOKUP(INDIRECT(ADDRESS(2,COLUMN())),OFFSET($BN$2,0,0,ROW()-1,60),ROW()-1,FALSE))</f>
        <v>7.3864102520000001</v>
      </c>
      <c r="K312">
        <f ca="1">IF(AND(ISNUMBER($K$978),$B$677=1),$K$978,HLOOKUP(INDIRECT(ADDRESS(2,COLUMN())),OFFSET($BN$2,0,0,ROW()-1,60),ROW()-1,FALSE))</f>
        <v>7.7579403640000004</v>
      </c>
      <c r="L312">
        <f ca="1">IF(AND(ISNUMBER($L$978),$B$677=1),$L$978,HLOOKUP(INDIRECT(ADDRESS(2,COLUMN())),OFFSET($BN$2,0,0,ROW()-1,60),ROW()-1,FALSE))</f>
        <v>7.5441426070000004</v>
      </c>
      <c r="M312">
        <f ca="1">IF(AND(ISNUMBER($M$978),$B$677=1),$M$978,HLOOKUP(INDIRECT(ADDRESS(2,COLUMN())),OFFSET($BN$2,0,0,ROW()-1,60),ROW()-1,FALSE))</f>
        <v>6.9429331420000002</v>
      </c>
      <c r="N312">
        <f ca="1">IF(AND(ISNUMBER($N$978),$B$677=1),$N$978,HLOOKUP(INDIRECT(ADDRESS(2,COLUMN())),OFFSET($BN$2,0,0,ROW()-1,60),ROW()-1,FALSE))</f>
        <v>7.317481785</v>
      </c>
      <c r="O312">
        <f ca="1">IF(AND(ISNUMBER($O$978),$B$677=1),$O$978,HLOOKUP(INDIRECT(ADDRESS(2,COLUMN())),OFFSET($BN$2,0,0,ROW()-1,60),ROW()-1,FALSE))</f>
        <v>8.9070832909999993</v>
      </c>
      <c r="P312">
        <f ca="1">IF(AND(ISNUMBER($P$978),$B$677=1),$P$978,HLOOKUP(INDIRECT(ADDRESS(2,COLUMN())),OFFSET($BN$2,0,0,ROW()-1,60),ROW()-1,FALSE))</f>
        <v>7.8224184589999997</v>
      </c>
      <c r="Q312">
        <f ca="1">IF(AND(ISNUMBER($Q$978),$B$677=1),$Q$978,HLOOKUP(INDIRECT(ADDRESS(2,COLUMN())),OFFSET($BN$2,0,0,ROW()-1,60),ROW()-1,FALSE))</f>
        <v>7.788467968</v>
      </c>
      <c r="R312">
        <f ca="1">IF(AND(ISNUMBER($R$978),$B$677=1),$R$978,HLOOKUP(INDIRECT(ADDRESS(2,COLUMN())),OFFSET($BN$2,0,0,ROW()-1,60),ROW()-1,FALSE))</f>
        <v>9.1661297150000003</v>
      </c>
      <c r="S312">
        <f ca="1">IF(AND(ISNUMBER($S$978),$B$677=1),$S$978,HLOOKUP(INDIRECT(ADDRESS(2,COLUMN())),OFFSET($BN$2,0,0,ROW()-1,60),ROW()-1,FALSE))</f>
        <v>8.7968587399999993</v>
      </c>
      <c r="T312">
        <f ca="1">IF(AND(ISNUMBER($T$978),$B$677=1),$T$978,HLOOKUP(INDIRECT(ADDRESS(2,COLUMN())),OFFSET($BN$2,0,0,ROW()-1,60),ROW()-1,FALSE))</f>
        <v>8.0519049200000001</v>
      </c>
      <c r="U312">
        <f ca="1">IF(AND(ISNUMBER($U$978),$B$677=1),$U$978,HLOOKUP(INDIRECT(ADDRESS(2,COLUMN())),OFFSET($BN$2,0,0,ROW()-1,60),ROW()-1,FALSE))</f>
        <v>8.7557193160000004</v>
      </c>
      <c r="V312">
        <f ca="1">IF(AND(ISNUMBER($V$978),$B$677=1),$V$978,HLOOKUP(INDIRECT(ADDRESS(2,COLUMN())),OFFSET($BN$2,0,0,ROW()-1,60),ROW()-1,FALSE))</f>
        <v>8.9762822940000007</v>
      </c>
      <c r="W312">
        <f ca="1">IF(AND(ISNUMBER($W$978),$B$677=1),$W$978,HLOOKUP(INDIRECT(ADDRESS(2,COLUMN())),OFFSET($BN$2,0,0,ROW()-1,60),ROW()-1,FALSE))</f>
        <v>8.5816167740000004</v>
      </c>
      <c r="X312">
        <f ca="1">IF(AND(ISNUMBER($X$978),$B$677=1),$X$978,HLOOKUP(INDIRECT(ADDRESS(2,COLUMN())),OFFSET($BN$2,0,0,ROW()-1,60),ROW()-1,FALSE))</f>
        <v>8.2447338380000001</v>
      </c>
      <c r="Y312">
        <f ca="1">IF(AND(ISNUMBER($Y$978),$B$677=1),$Y$978,HLOOKUP(INDIRECT(ADDRESS(2,COLUMN())),OFFSET($BN$2,0,0,ROW()-1,60),ROW()-1,FALSE))</f>
        <v>7.4147880810000002</v>
      </c>
      <c r="Z312">
        <f ca="1">IF(AND(ISNUMBER($Z$978),$B$677=1),$Z$978,HLOOKUP(INDIRECT(ADDRESS(2,COLUMN())),OFFSET($BN$2,0,0,ROW()-1,60),ROW()-1,FALSE))</f>
        <v>7.3992866060000004</v>
      </c>
      <c r="AA312">
        <f ca="1">IF(AND(ISNUMBER($AA$978),$B$677=1),$AA$978,HLOOKUP(INDIRECT(ADDRESS(2,COLUMN())),OFFSET($BN$2,0,0,ROW()-1,60),ROW()-1,FALSE))</f>
        <v>8.5590884809999999</v>
      </c>
      <c r="AB312">
        <f ca="1">IF(AND(ISNUMBER($AB$978),$B$677=1),$AB$978,HLOOKUP(INDIRECT(ADDRESS(2,COLUMN())),OFFSET($BN$2,0,0,ROW()-1,60),ROW()-1,FALSE))</f>
        <v>8.3622846860000006</v>
      </c>
      <c r="AC312">
        <f ca="1">IF(AND(ISNUMBER($AC$978),$B$677=1),$AC$978,HLOOKUP(INDIRECT(ADDRESS(2,COLUMN())),OFFSET($BN$2,0,0,ROW()-1,60),ROW()-1,FALSE))</f>
        <v>9.0445888060000001</v>
      </c>
      <c r="AD312">
        <f ca="1">IF(AND(ISNUMBER($AD$978),$B$677=1),$AD$978,HLOOKUP(INDIRECT(ADDRESS(2,COLUMN())),OFFSET($BN$2,0,0,ROW()-1,60),ROW()-1,FALSE))</f>
        <v>9.0334550940000007</v>
      </c>
      <c r="AE312">
        <f ca="1">IF(AND(ISNUMBER($AE$978),$B$677=1),$AE$978,HLOOKUP(INDIRECT(ADDRESS(2,COLUMN())),OFFSET($BN$2,0,0,ROW()-1,60),ROW()-1,FALSE))</f>
        <v>8.6183414840000001</v>
      </c>
      <c r="AF312">
        <f ca="1">IF(AND(ISNUMBER($AF$978),$B$677=1),$AF$978,HLOOKUP(INDIRECT(ADDRESS(2,COLUMN())),OFFSET($BN$2,0,0,ROW()-1,60),ROW()-1,FALSE))</f>
        <v>7.7149775009999999</v>
      </c>
      <c r="AG312">
        <f ca="1">IF(AND(ISNUMBER($AG$978),$B$677=1),$AG$978,HLOOKUP(INDIRECT(ADDRESS(2,COLUMN())),OFFSET($BN$2,0,0,ROW()-1,60),ROW()-1,FALSE))</f>
        <v>8.6749910860000004</v>
      </c>
      <c r="AH312">
        <f ca="1">IF(AND(ISNUMBER($AH$978),$B$677=1),$AH$978,HLOOKUP(INDIRECT(ADDRESS(2,COLUMN())),OFFSET($BN$2,0,0,ROW()-1,60),ROW()-1,FALSE))</f>
        <v>11.360437190000001</v>
      </c>
      <c r="AI312">
        <f ca="1">IF(AND(ISNUMBER($AI$978),$B$677=1),$AI$978,HLOOKUP(INDIRECT(ADDRESS(2,COLUMN())),OFFSET($BN$2,0,0,ROW()-1,60),ROW()-1,FALSE))</f>
        <v>10.20923241</v>
      </c>
      <c r="AJ312">
        <f ca="1">IF(AND(ISNUMBER($AJ$978),$B$677=1),$AJ$978,HLOOKUP(INDIRECT(ADDRESS(2,COLUMN())),OFFSET($BN$2,0,0,ROW()-1,60),ROW()-1,FALSE))</f>
        <v>8.595875972</v>
      </c>
      <c r="AK312">
        <f ca="1">IF(AND(ISNUMBER($AK$978),$B$677=1),$AK$978,HLOOKUP(INDIRECT(ADDRESS(2,COLUMN())),OFFSET($BN$2,0,0,ROW()-1,60),ROW()-1,FALSE))</f>
        <v>9.3374366309999992</v>
      </c>
      <c r="AL312">
        <f ca="1">IF(AND(ISNUMBER($AL$978),$B$677=1),$AL$978,HLOOKUP(INDIRECT(ADDRESS(2,COLUMN())),OFFSET($BN$2,0,0,ROW()-1,60),ROW()-1,FALSE))</f>
        <v>7.5758203589999997</v>
      </c>
      <c r="AM312">
        <f ca="1">IF(AND(ISNUMBER($AM$978),$B$677=1),$AM$978,HLOOKUP(INDIRECT(ADDRESS(2,COLUMN())),OFFSET($BN$2,0,0,ROW()-1,60),ROW()-1,FALSE))</f>
        <v>7.3427861090000004</v>
      </c>
      <c r="AN312">
        <f ca="1">IF(AND(ISNUMBER($AN$978),$B$677=1),$AN$978,HLOOKUP(INDIRECT(ADDRESS(2,COLUMN())),OFFSET($BN$2,0,0,ROW()-1,60),ROW()-1,FALSE))</f>
        <v>6.5118475250000003</v>
      </c>
      <c r="AO312">
        <f ca="1">IF(AND(ISNUMBER($AO$978),$B$677=1),$AO$978,HLOOKUP(INDIRECT(ADDRESS(2,COLUMN())),OFFSET($BN$2,0,0,ROW()-1,60),ROW()-1,FALSE))</f>
        <v>6.548001298</v>
      </c>
      <c r="AP312">
        <f ca="1">IF(AND(ISNUMBER($AP$978),$B$677=1),$AP$978,HLOOKUP(INDIRECT(ADDRESS(2,COLUMN())),OFFSET($BN$2,0,0,ROW()-1,60),ROW()-1,FALSE))</f>
        <v>9.1553648239999994</v>
      </c>
      <c r="AQ312">
        <f ca="1">IF(AND(ISNUMBER($AQ$978),$B$677=1),$AQ$978,HLOOKUP(INDIRECT(ADDRESS(2,COLUMN())),OFFSET($BN$2,0,0,ROW()-1,60),ROW()-1,FALSE))</f>
        <v>13.95852376</v>
      </c>
      <c r="AR312">
        <f ca="1">IF(AND(ISNUMBER($AR$978),$B$677=1),$AR$978,HLOOKUP(INDIRECT(ADDRESS(2,COLUMN())),OFFSET($BN$2,0,0,ROW()-1,60),ROW()-1,FALSE))</f>
        <v>14.76842826</v>
      </c>
      <c r="AS312">
        <f ca="1">IF(AND(ISNUMBER($AS$978),$B$677=1),$AS$978,HLOOKUP(INDIRECT(ADDRESS(2,COLUMN())),OFFSET($BN$2,0,0,ROW()-1,60),ROW()-1,FALSE))</f>
        <v>13.40004306</v>
      </c>
      <c r="AT312">
        <f ca="1">IF(AND(ISNUMBER($AT$978),$B$677=1),$AT$978,HLOOKUP(INDIRECT(ADDRESS(2,COLUMN())),OFFSET($BN$2,0,0,ROW()-1,60),ROW()-1,FALSE))</f>
        <v>9.9729426849999996</v>
      </c>
      <c r="AU312">
        <f ca="1">IF(AND(ISNUMBER($AU$978),$B$677=1),$AU$978,HLOOKUP(INDIRECT(ADDRESS(2,COLUMN())),OFFSET($BN$2,0,0,ROW()-1,60),ROW()-1,FALSE))</f>
        <v>5.9730912119999999</v>
      </c>
      <c r="AV312">
        <f ca="1">IF(AND(ISNUMBER($AV$978),$B$677=1),$AV$978,HLOOKUP(INDIRECT(ADDRESS(2,COLUMN())),OFFSET($BN$2,0,0,ROW()-1,60),ROW()-1,FALSE))</f>
        <v>6.9987960659999997</v>
      </c>
      <c r="AW312">
        <f ca="1">IF(AND(ISNUMBER($AW$978),$B$677=1),$AW$978,HLOOKUP(INDIRECT(ADDRESS(2,COLUMN())),OFFSET($BN$2,0,0,ROW()-1,60),ROW()-1,FALSE))</f>
        <v>7.0057736019999997</v>
      </c>
      <c r="AX312">
        <f ca="1">IF(AND(ISNUMBER($AX$978),$B$677=1),$AX$978,HLOOKUP(INDIRECT(ADDRESS(2,COLUMN())),OFFSET($BN$2,0,0,ROW()-1,60),ROW()-1,FALSE))</f>
        <v>5.8751801339999998</v>
      </c>
      <c r="AY312">
        <f ca="1">IF(AND(ISNUMBER($AY$978),$B$677=1),$AY$978,HLOOKUP(INDIRECT(ADDRESS(2,COLUMN())),OFFSET($BN$2,0,0,ROW()-1,60),ROW()-1,FALSE))</f>
        <v>6.9438122350000002</v>
      </c>
      <c r="AZ312">
        <f ca="1">IF(AND(ISNUMBER($AZ$978),$B$677=1),$AZ$978,HLOOKUP(INDIRECT(ADDRESS(2,COLUMN())),OFFSET($BN$2,0,0,ROW()-1,60),ROW()-1,FALSE))</f>
        <v>7.4443925599999998</v>
      </c>
      <c r="BA312">
        <f ca="1">IF(AND(ISNUMBER($BA$978),$B$677=1),$BA$978,HLOOKUP(INDIRECT(ADDRESS(2,COLUMN())),OFFSET($BN$2,0,0,ROW()-1,60),ROW()-1,FALSE))</f>
        <v>9.1718185779999999</v>
      </c>
      <c r="BB312">
        <f ca="1">IF(AND(ISNUMBER($BB$978),$B$677=1),$BB$978,HLOOKUP(INDIRECT(ADDRESS(2,COLUMN())),OFFSET($BN$2,0,0,ROW()-1,60),ROW()-1,FALSE))</f>
        <v>8.6381019370000001</v>
      </c>
      <c r="BC312">
        <f ca="1">IF(AND(ISNUMBER($BC$978),$B$677=1),$BC$978,HLOOKUP(INDIRECT(ADDRESS(2,COLUMN())),OFFSET($BN$2,0,0,ROW()-1,60),ROW()-1,FALSE))</f>
        <v>9.1105089899999996</v>
      </c>
      <c r="BD312">
        <f ca="1">IF(AND(ISNUMBER($BD$978),$B$677=1),$BD$978,HLOOKUP(INDIRECT(ADDRESS(2,COLUMN())),OFFSET($BN$2,0,0,ROW()-1,60),ROW()-1,FALSE))</f>
        <v>8.1931858599999998</v>
      </c>
      <c r="BE312">
        <f ca="1">IF(AND(ISNUMBER($BE$978),$B$677=1),$BE$978,HLOOKUP(INDIRECT(ADDRESS(2,COLUMN())),OFFSET($BN$2,0,0,ROW()-1,60),ROW()-1,FALSE))</f>
        <v>7.9100647479999999</v>
      </c>
      <c r="BF312">
        <f ca="1">IF(AND(ISNUMBER($BF$978),$B$677=1),$BF$978,HLOOKUP(INDIRECT(ADDRESS(2,COLUMN())),OFFSET($BN$2,0,0,ROW()-1,60),ROW()-1,FALSE))</f>
        <v>8.1235742559999995</v>
      </c>
      <c r="BG312">
        <f ca="1">IF(AND(ISNUMBER($BG$978),$B$677=1),$BG$978,HLOOKUP(INDIRECT(ADDRESS(2,COLUMN())),OFFSET($BN$2,0,0,ROW()-1,60),ROW()-1,FALSE))</f>
        <v>9.6232833410000005</v>
      </c>
      <c r="BH312">
        <f ca="1">IF(AND(ISNUMBER($BH$978),$B$677=1),$BH$978,HLOOKUP(INDIRECT(ADDRESS(2,COLUMN())),OFFSET($BN$2,0,0,ROW()-1,60),ROW()-1,FALSE))</f>
        <v>9.5374386649999998</v>
      </c>
      <c r="BI312" t="str">
        <f ca="1">IF(AND(ISNUMBER($BI$978),$B$677=1),$BI$978,HLOOKUP(INDIRECT(ADDRESS(2,COLUMN())),OFFSET($BN$2,0,0,ROW()-1,60),ROW()-1,FALSE))</f>
        <v/>
      </c>
      <c r="BJ312">
        <f ca="1">IF(AND(ISNUMBER($BJ$978),$B$677=1),$BJ$978,HLOOKUP(INDIRECT(ADDRESS(2,COLUMN())),OFFSET($BN$2,0,0,ROW()-1,60),ROW()-1,FALSE))</f>
        <v>8.2251151819999997</v>
      </c>
      <c r="BK312" t="str">
        <f ca="1">IF(AND(ISNUMBER($BK$978),$B$677=1),$BK$978,HLOOKUP(INDIRECT(ADDRESS(2,COLUMN())),OFFSET($BN$2,0,0,ROW()-1,60),ROW()-1,FALSE))</f>
        <v/>
      </c>
      <c r="BL312" t="str">
        <f ca="1">IF(AND(ISNUMBER($BL$978),$B$677=1),$BL$978,HLOOKUP(INDIRECT(ADDRESS(2,COLUMN())),OFFSET($BN$2,0,0,ROW()-1,60),ROW()-1,FALSE))</f>
        <v/>
      </c>
      <c r="BM312" t="str">
        <f ca="1">IF(AND(ISNUMBER($BM$978),$B$677=1),$BM$978,HLOOKUP(INDIRECT(ADDRESS(2,COLUMN())),OFFSET($BN$2,0,0,ROW()-1,60),ROW()-1,FALSE))</f>
        <v/>
      </c>
      <c r="BN312" t="str">
        <f>""</f>
        <v/>
      </c>
      <c r="BO312">
        <f>6.830036533</f>
        <v>6.8300365330000004</v>
      </c>
      <c r="BP312">
        <f>6.938726686</f>
        <v>6.9387266859999999</v>
      </c>
      <c r="BQ312">
        <f>6.849696688</f>
        <v>6.8496966879999999</v>
      </c>
      <c r="BR312">
        <f>7.386410252</f>
        <v>7.3864102520000001</v>
      </c>
      <c r="BS312">
        <f>7.757940364</f>
        <v>7.7579403640000004</v>
      </c>
      <c r="BT312">
        <f>7.544142607</f>
        <v>7.5441426070000004</v>
      </c>
      <c r="BU312">
        <f>6.942933142</f>
        <v>6.9429331420000002</v>
      </c>
      <c r="BV312">
        <f>7.317481785</f>
        <v>7.317481785</v>
      </c>
      <c r="BW312">
        <f>8.907083291</f>
        <v>8.9070832909999993</v>
      </c>
      <c r="BX312">
        <f>7.822418459</f>
        <v>7.8224184589999997</v>
      </c>
      <c r="BY312">
        <f>7.788467968</f>
        <v>7.788467968</v>
      </c>
      <c r="BZ312">
        <f>9.166129715</f>
        <v>9.1661297150000003</v>
      </c>
      <c r="CA312">
        <f>8.79685874</f>
        <v>8.7968587399999993</v>
      </c>
      <c r="CB312">
        <f>8.05190492</f>
        <v>8.0519049200000001</v>
      </c>
      <c r="CC312">
        <f>8.755719316</f>
        <v>8.7557193160000004</v>
      </c>
      <c r="CD312">
        <f>8.976282294</f>
        <v>8.9762822940000007</v>
      </c>
      <c r="CE312">
        <f>8.581616774</f>
        <v>8.5816167740000004</v>
      </c>
      <c r="CF312">
        <f>8.244733838</f>
        <v>8.2447338380000001</v>
      </c>
      <c r="CG312">
        <f>7.414788081</f>
        <v>7.4147880810000002</v>
      </c>
      <c r="CH312">
        <f>7.399286606</f>
        <v>7.3992866060000004</v>
      </c>
      <c r="CI312">
        <f>8.559088481</f>
        <v>8.5590884809999999</v>
      </c>
      <c r="CJ312">
        <f>8.362284686</f>
        <v>8.3622846860000006</v>
      </c>
      <c r="CK312">
        <f>9.044588806</f>
        <v>9.0445888060000001</v>
      </c>
      <c r="CL312">
        <f>9.033455094</f>
        <v>9.0334550940000007</v>
      </c>
      <c r="CM312">
        <f>8.618341484</f>
        <v>8.6183414840000001</v>
      </c>
      <c r="CN312">
        <f>7.714977501</f>
        <v>7.7149775009999999</v>
      </c>
      <c r="CO312">
        <f>8.674991086</f>
        <v>8.6749910860000004</v>
      </c>
      <c r="CP312">
        <f>11.36043719</f>
        <v>11.360437190000001</v>
      </c>
      <c r="CQ312">
        <f>10.20923241</f>
        <v>10.20923241</v>
      </c>
      <c r="CR312">
        <f>8.595875972</f>
        <v>8.595875972</v>
      </c>
      <c r="CS312">
        <f>9.337436631</f>
        <v>9.3374366309999992</v>
      </c>
      <c r="CT312">
        <f>7.575820359</f>
        <v>7.5758203589999997</v>
      </c>
      <c r="CU312">
        <f>7.342786109</f>
        <v>7.3427861090000004</v>
      </c>
      <c r="CV312">
        <f>6.511847525</f>
        <v>6.5118475250000003</v>
      </c>
      <c r="CW312">
        <f>6.548001298</f>
        <v>6.548001298</v>
      </c>
      <c r="CX312">
        <f>9.155364824</f>
        <v>9.1553648239999994</v>
      </c>
      <c r="CY312">
        <f>13.95852376</f>
        <v>13.95852376</v>
      </c>
      <c r="CZ312">
        <f>14.76842826</f>
        <v>14.76842826</v>
      </c>
      <c r="DA312">
        <f>13.40004306</f>
        <v>13.40004306</v>
      </c>
      <c r="DB312">
        <f>9.972942685</f>
        <v>9.9729426849999996</v>
      </c>
      <c r="DC312">
        <f>5.973091212</f>
        <v>5.9730912119999999</v>
      </c>
      <c r="DD312">
        <f>6.998796066</f>
        <v>6.9987960659999997</v>
      </c>
      <c r="DE312">
        <f>7.005773602</f>
        <v>7.0057736019999997</v>
      </c>
      <c r="DF312">
        <f>5.875180134</f>
        <v>5.8751801339999998</v>
      </c>
      <c r="DG312">
        <f>6.943812235</f>
        <v>6.9438122350000002</v>
      </c>
      <c r="DH312">
        <f>7.44439256</f>
        <v>7.4443925599999998</v>
      </c>
      <c r="DI312">
        <f>9.171818578</f>
        <v>9.1718185779999999</v>
      </c>
      <c r="DJ312">
        <f>8.638101937</f>
        <v>8.6381019370000001</v>
      </c>
      <c r="DK312">
        <f>9.11050899</f>
        <v>9.1105089899999996</v>
      </c>
      <c r="DL312">
        <f>8.19318586</f>
        <v>8.1931858599999998</v>
      </c>
      <c r="DM312">
        <f>7.910064748</f>
        <v>7.9100647479999999</v>
      </c>
      <c r="DN312">
        <f>8.123574256</f>
        <v>8.1235742559999995</v>
      </c>
      <c r="DO312">
        <f>9.623283341</f>
        <v>9.6232833410000005</v>
      </c>
      <c r="DP312">
        <f>9.537438665</f>
        <v>9.5374386649999998</v>
      </c>
      <c r="DQ312" t="str">
        <f>""</f>
        <v/>
      </c>
      <c r="DR312">
        <f>8.225115182</f>
        <v>8.2251151819999997</v>
      </c>
      <c r="DS312" t="str">
        <f>""</f>
        <v/>
      </c>
      <c r="DT312" t="str">
        <f>""</f>
        <v/>
      </c>
      <c r="DU312" t="str">
        <f>""</f>
        <v/>
      </c>
    </row>
    <row r="313" spans="1:125" x14ac:dyDescent="0.25">
      <c r="A313" t="str">
        <f>"    Hyundai Motor Co"</f>
        <v xml:space="preserve">    Hyundai Motor Co</v>
      </c>
      <c r="B313" t="str">
        <f>"005380 KS Equity"</f>
        <v>005380 KS Equity</v>
      </c>
      <c r="C313" t="str">
        <f t="shared" si="21"/>
        <v>RR474</v>
      </c>
      <c r="D313" t="str">
        <f t="shared" si="22"/>
        <v>EV_TO_T12M_EBITDA</v>
      </c>
      <c r="E313" t="str">
        <f t="shared" si="23"/>
        <v>Dynamic</v>
      </c>
      <c r="F313" t="str">
        <f ca="1">IF(AND(ISNUMBER($F$979),$B$677=1),$F$979,HLOOKUP(INDIRECT(ADDRESS(2,COLUMN())),OFFSET($BN$2,0,0,ROW()-1,60),ROW()-1,FALSE))</f>
        <v/>
      </c>
      <c r="G313" t="str">
        <f ca="1">IF(AND(ISNUMBER($G$979),$B$677=1),$G$979,HLOOKUP(INDIRECT(ADDRESS(2,COLUMN())),OFFSET($BN$2,0,0,ROW()-1,60),ROW()-1,FALSE))</f>
        <v/>
      </c>
      <c r="H313">
        <f ca="1">IF(AND(ISNUMBER($H$979),$B$677=1),$H$979,HLOOKUP(INDIRECT(ADDRESS(2,COLUMN())),OFFSET($BN$2,0,0,ROW()-1,60),ROW()-1,FALSE))</f>
        <v>12.088409130000001</v>
      </c>
      <c r="I313">
        <f ca="1">IF(AND(ISNUMBER($I$979),$B$677=1),$I$979,HLOOKUP(INDIRECT(ADDRESS(2,COLUMN())),OFFSET($BN$2,0,0,ROW()-1,60),ROW()-1,FALSE))</f>
        <v>10.615496090000001</v>
      </c>
      <c r="J313">
        <f ca="1">IF(AND(ISNUMBER($J$979),$B$677=1),$J$979,HLOOKUP(INDIRECT(ADDRESS(2,COLUMN())),OFFSET($BN$2,0,0,ROW()-1,60),ROW()-1,FALSE))</f>
        <v>10.41796166</v>
      </c>
      <c r="K313">
        <f ca="1">IF(AND(ISNUMBER($K$979),$B$677=1),$K$979,HLOOKUP(INDIRECT(ADDRESS(2,COLUMN())),OFFSET($BN$2,0,0,ROW()-1,60),ROW()-1,FALSE))</f>
        <v>9.6797247130000006</v>
      </c>
      <c r="L313">
        <f ca="1">IF(AND(ISNUMBER($L$979),$B$677=1),$L$979,HLOOKUP(INDIRECT(ADDRESS(2,COLUMN())),OFFSET($BN$2,0,0,ROW()-1,60),ROW()-1,FALSE))</f>
        <v>9.6414105009999993</v>
      </c>
      <c r="M313">
        <f ca="1">IF(AND(ISNUMBER($M$979),$B$677=1),$M$979,HLOOKUP(INDIRECT(ADDRESS(2,COLUMN())),OFFSET($BN$2,0,0,ROW()-1,60),ROW()-1,FALSE))</f>
        <v>9.876730062</v>
      </c>
      <c r="N313">
        <f ca="1">IF(AND(ISNUMBER($N$979),$B$677=1),$N$979,HLOOKUP(INDIRECT(ADDRESS(2,COLUMN())),OFFSET($BN$2,0,0,ROW()-1,60),ROW()-1,FALSE))</f>
        <v>9.1982208409999995</v>
      </c>
      <c r="O313">
        <f ca="1">IF(AND(ISNUMBER($O$979),$B$677=1),$O$979,HLOOKUP(INDIRECT(ADDRESS(2,COLUMN())),OFFSET($BN$2,0,0,ROW()-1,60),ROW()-1,FALSE))</f>
        <v>9.2414910149999994</v>
      </c>
      <c r="P313">
        <f ca="1">IF(AND(ISNUMBER($P$979),$B$677=1),$P$979,HLOOKUP(INDIRECT(ADDRESS(2,COLUMN())),OFFSET($BN$2,0,0,ROW()-1,60),ROW()-1,FALSE))</f>
        <v>8.1354459860000006</v>
      </c>
      <c r="Q313">
        <f ca="1">IF(AND(ISNUMBER($Q$979),$B$677=1),$Q$979,HLOOKUP(INDIRECT(ADDRESS(2,COLUMN())),OFFSET($BN$2,0,0,ROW()-1,60),ROW()-1,FALSE))</f>
        <v>8.0074166519999999</v>
      </c>
      <c r="R313">
        <f ca="1">IF(AND(ISNUMBER($R$979),$B$677=1),$R$979,HLOOKUP(INDIRECT(ADDRESS(2,COLUMN())),OFFSET($BN$2,0,0,ROW()-1,60),ROW()-1,FALSE))</f>
        <v>8.4336760569999996</v>
      </c>
      <c r="S313">
        <f ca="1">IF(AND(ISNUMBER($S$979),$B$677=1),$S$979,HLOOKUP(INDIRECT(ADDRESS(2,COLUMN())),OFFSET($BN$2,0,0,ROW()-1,60),ROW()-1,FALSE))</f>
        <v>8.0853968389999995</v>
      </c>
      <c r="T313">
        <f ca="1">IF(AND(ISNUMBER($T$979),$B$677=1),$T$979,HLOOKUP(INDIRECT(ADDRESS(2,COLUMN())),OFFSET($BN$2,0,0,ROW()-1,60),ROW()-1,FALSE))</f>
        <v>8.0476634560000004</v>
      </c>
      <c r="U313">
        <f ca="1">IF(AND(ISNUMBER($U$979),$B$677=1),$U$979,HLOOKUP(INDIRECT(ADDRESS(2,COLUMN())),OFFSET($BN$2,0,0,ROW()-1,60),ROW()-1,FALSE))</f>
        <v>6.8382198980000002</v>
      </c>
      <c r="V313">
        <f ca="1">IF(AND(ISNUMBER($V$979),$B$677=1),$V$979,HLOOKUP(INDIRECT(ADDRESS(2,COLUMN())),OFFSET($BN$2,0,0,ROW()-1,60),ROW()-1,FALSE))</f>
        <v>7.0339870949999996</v>
      </c>
      <c r="W313">
        <f ca="1">IF(AND(ISNUMBER($W$979),$B$677=1),$W$979,HLOOKUP(INDIRECT(ADDRESS(2,COLUMN())),OFFSET($BN$2,0,0,ROW()-1,60),ROW()-1,FALSE))</f>
        <v>6.5943549189999997</v>
      </c>
      <c r="X313">
        <f ca="1">IF(AND(ISNUMBER($X$979),$B$677=1),$X$979,HLOOKUP(INDIRECT(ADDRESS(2,COLUMN())),OFFSET($BN$2,0,0,ROW()-1,60),ROW()-1,FALSE))</f>
        <v>6.5662973500000001</v>
      </c>
      <c r="Y313">
        <f ca="1">IF(AND(ISNUMBER($Y$979),$B$677=1),$Y$979,HLOOKUP(INDIRECT(ADDRESS(2,COLUMN())),OFFSET($BN$2,0,0,ROW()-1,60),ROW()-1,FALSE))</f>
        <v>6.9566168639999999</v>
      </c>
      <c r="Z313">
        <f ca="1">IF(AND(ISNUMBER($Z$979),$B$677=1),$Z$979,HLOOKUP(INDIRECT(ADDRESS(2,COLUMN())),OFFSET($BN$2,0,0,ROW()-1,60),ROW()-1,FALSE))</f>
        <v>7.2995822029999999</v>
      </c>
      <c r="AA313">
        <f ca="1">IF(AND(ISNUMBER($AA$979),$B$677=1),$AA$979,HLOOKUP(INDIRECT(ADDRESS(2,COLUMN())),OFFSET($BN$2,0,0,ROW()-1,60),ROW()-1,FALSE))</f>
        <v>7.1579461149999997</v>
      </c>
      <c r="AB313">
        <f ca="1">IF(AND(ISNUMBER($AB$979),$B$677=1),$AB$979,HLOOKUP(INDIRECT(ADDRESS(2,COLUMN())),OFFSET($BN$2,0,0,ROW()-1,60),ROW()-1,FALSE))</f>
        <v>7.4568332489999998</v>
      </c>
      <c r="AC313">
        <f ca="1">IF(AND(ISNUMBER($AC$979),$B$677=1),$AC$979,HLOOKUP(INDIRECT(ADDRESS(2,COLUMN())),OFFSET($BN$2,0,0,ROW()-1,60),ROW()-1,FALSE))</f>
        <v>7.0121099689999999</v>
      </c>
      <c r="AD313">
        <f ca="1">IF(AND(ISNUMBER($AD$979),$B$677=1),$AD$979,HLOOKUP(INDIRECT(ADDRESS(2,COLUMN())),OFFSET($BN$2,0,0,ROW()-1,60),ROW()-1,FALSE))</f>
        <v>7.048468304</v>
      </c>
      <c r="AE313">
        <f ca="1">IF(AND(ISNUMBER($AE$979),$B$677=1),$AE$979,HLOOKUP(INDIRECT(ADDRESS(2,COLUMN())),OFFSET($BN$2,0,0,ROW()-1,60),ROW()-1,FALSE))</f>
        <v>6.7863132830000001</v>
      </c>
      <c r="AF313">
        <f ca="1">IF(AND(ISNUMBER($AF$979),$B$677=1),$AF$979,HLOOKUP(INDIRECT(ADDRESS(2,COLUMN())),OFFSET($BN$2,0,0,ROW()-1,60),ROW()-1,FALSE))</f>
        <v>7.2614211659999999</v>
      </c>
      <c r="AG313">
        <f ca="1">IF(AND(ISNUMBER($AG$979),$B$677=1),$AG$979,HLOOKUP(INDIRECT(ADDRESS(2,COLUMN())),OFFSET($BN$2,0,0,ROW()-1,60),ROW()-1,FALSE))</f>
        <v>6.8392423510000002</v>
      </c>
      <c r="AH313">
        <f ca="1">IF(AND(ISNUMBER($AH$979),$B$677=1),$AH$979,HLOOKUP(INDIRECT(ADDRESS(2,COLUMN())),OFFSET($BN$2,0,0,ROW()-1,60),ROW()-1,FALSE))</f>
        <v>7.2288990159999997</v>
      </c>
      <c r="AI313">
        <f ca="1">IF(AND(ISNUMBER($AI$979),$B$677=1),$AI$979,HLOOKUP(INDIRECT(ADDRESS(2,COLUMN())),OFFSET($BN$2,0,0,ROW()-1,60),ROW()-1,FALSE))</f>
        <v>7.1974674869999999</v>
      </c>
      <c r="AJ313">
        <f ca="1">IF(AND(ISNUMBER($AJ$979),$B$677=1),$AJ$979,HLOOKUP(INDIRECT(ADDRESS(2,COLUMN())),OFFSET($BN$2,0,0,ROW()-1,60),ROW()-1,FALSE))</f>
        <v>7.7519856029999996</v>
      </c>
      <c r="AK313">
        <f ca="1">IF(AND(ISNUMBER($AK$979),$B$677=1),$AK$979,HLOOKUP(INDIRECT(ADDRESS(2,COLUMN())),OFFSET($BN$2,0,0,ROW()-1,60),ROW()-1,FALSE))</f>
        <v>8.4769065389999998</v>
      </c>
      <c r="AL313">
        <f ca="1">IF(AND(ISNUMBER($AL$979),$B$677=1),$AL$979,HLOOKUP(INDIRECT(ADDRESS(2,COLUMN())),OFFSET($BN$2,0,0,ROW()-1,60),ROW()-1,FALSE))</f>
        <v>7.8525338629999997</v>
      </c>
      <c r="AM313">
        <f ca="1">IF(AND(ISNUMBER($AM$979),$B$677=1),$AM$979,HLOOKUP(INDIRECT(ADDRESS(2,COLUMN())),OFFSET($BN$2,0,0,ROW()-1,60),ROW()-1,FALSE))</f>
        <v>7.799142207</v>
      </c>
      <c r="AN313" t="str">
        <f ca="1">IF(AND(ISNUMBER($AN$979),$B$677=1),$AN$979,HLOOKUP(INDIRECT(ADDRESS(2,COLUMN())),OFFSET($BN$2,0,0,ROW()-1,60),ROW()-1,FALSE))</f>
        <v/>
      </c>
      <c r="AO313" t="str">
        <f ca="1">IF(AND(ISNUMBER($AO$979),$B$677=1),$AO$979,HLOOKUP(INDIRECT(ADDRESS(2,COLUMN())),OFFSET($BN$2,0,0,ROW()-1,60),ROW()-1,FALSE))</f>
        <v/>
      </c>
      <c r="AP313" t="str">
        <f ca="1">IF(AND(ISNUMBER($AP$979),$B$677=1),$AP$979,HLOOKUP(INDIRECT(ADDRESS(2,COLUMN())),OFFSET($BN$2,0,0,ROW()-1,60),ROW()-1,FALSE))</f>
        <v/>
      </c>
      <c r="AQ313" t="str">
        <f ca="1">IF(AND(ISNUMBER($AQ$979),$B$677=1),$AQ$979,HLOOKUP(INDIRECT(ADDRESS(2,COLUMN())),OFFSET($BN$2,0,0,ROW()-1,60),ROW()-1,FALSE))</f>
        <v/>
      </c>
      <c r="AR313" t="str">
        <f ca="1">IF(AND(ISNUMBER($AR$979),$B$677=1),$AR$979,HLOOKUP(INDIRECT(ADDRESS(2,COLUMN())),OFFSET($BN$2,0,0,ROW()-1,60),ROW()-1,FALSE))</f>
        <v/>
      </c>
      <c r="AS313" t="str">
        <f ca="1">IF(AND(ISNUMBER($AS$979),$B$677=1),$AS$979,HLOOKUP(INDIRECT(ADDRESS(2,COLUMN())),OFFSET($BN$2,0,0,ROW()-1,60),ROW()-1,FALSE))</f>
        <v/>
      </c>
      <c r="AT313" t="str">
        <f ca="1">IF(AND(ISNUMBER($AT$979),$B$677=1),$AT$979,HLOOKUP(INDIRECT(ADDRESS(2,COLUMN())),OFFSET($BN$2,0,0,ROW()-1,60),ROW()-1,FALSE))</f>
        <v/>
      </c>
      <c r="AU313" t="str">
        <f ca="1">IF(AND(ISNUMBER($AU$979),$B$677=1),$AU$979,HLOOKUP(INDIRECT(ADDRESS(2,COLUMN())),OFFSET($BN$2,0,0,ROW()-1,60),ROW()-1,FALSE))</f>
        <v/>
      </c>
      <c r="AV313" t="str">
        <f ca="1">IF(AND(ISNUMBER($AV$979),$B$677=1),$AV$979,HLOOKUP(INDIRECT(ADDRESS(2,COLUMN())),OFFSET($BN$2,0,0,ROW()-1,60),ROW()-1,FALSE))</f>
        <v/>
      </c>
      <c r="AW313" t="str">
        <f ca="1">IF(AND(ISNUMBER($AW$979),$B$677=1),$AW$979,HLOOKUP(INDIRECT(ADDRESS(2,COLUMN())),OFFSET($BN$2,0,0,ROW()-1,60),ROW()-1,FALSE))</f>
        <v/>
      </c>
      <c r="AX313" t="str">
        <f ca="1">IF(AND(ISNUMBER($AX$979),$B$677=1),$AX$979,HLOOKUP(INDIRECT(ADDRESS(2,COLUMN())),OFFSET($BN$2,0,0,ROW()-1,60),ROW()-1,FALSE))</f>
        <v/>
      </c>
      <c r="AY313" t="str">
        <f ca="1">IF(AND(ISNUMBER($AY$979),$B$677=1),$AY$979,HLOOKUP(INDIRECT(ADDRESS(2,COLUMN())),OFFSET($BN$2,0,0,ROW()-1,60),ROW()-1,FALSE))</f>
        <v/>
      </c>
      <c r="AZ313" t="str">
        <f ca="1">IF(AND(ISNUMBER($AZ$979),$B$677=1),$AZ$979,HLOOKUP(INDIRECT(ADDRESS(2,COLUMN())),OFFSET($BN$2,0,0,ROW()-1,60),ROW()-1,FALSE))</f>
        <v/>
      </c>
      <c r="BA313" t="str">
        <f ca="1">IF(AND(ISNUMBER($BA$979),$B$677=1),$BA$979,HLOOKUP(INDIRECT(ADDRESS(2,COLUMN())),OFFSET($BN$2,0,0,ROW()-1,60),ROW()-1,FALSE))</f>
        <v/>
      </c>
      <c r="BB313" t="str">
        <f ca="1">IF(AND(ISNUMBER($BB$979),$B$677=1),$BB$979,HLOOKUP(INDIRECT(ADDRESS(2,COLUMN())),OFFSET($BN$2,0,0,ROW()-1,60),ROW()-1,FALSE))</f>
        <v/>
      </c>
      <c r="BC313" t="str">
        <f ca="1">IF(AND(ISNUMBER($BC$979),$B$677=1),$BC$979,HLOOKUP(INDIRECT(ADDRESS(2,COLUMN())),OFFSET($BN$2,0,0,ROW()-1,60),ROW()-1,FALSE))</f>
        <v/>
      </c>
      <c r="BD313" t="str">
        <f ca="1">IF(AND(ISNUMBER($BD$979),$B$677=1),$BD$979,HLOOKUP(INDIRECT(ADDRESS(2,COLUMN())),OFFSET($BN$2,0,0,ROW()-1,60),ROW()-1,FALSE))</f>
        <v/>
      </c>
      <c r="BE313" t="str">
        <f ca="1">IF(AND(ISNUMBER($BE$979),$B$677=1),$BE$979,HLOOKUP(INDIRECT(ADDRESS(2,COLUMN())),OFFSET($BN$2,0,0,ROW()-1,60),ROW()-1,FALSE))</f>
        <v/>
      </c>
      <c r="BF313" t="str">
        <f ca="1">IF(AND(ISNUMBER($BF$979),$B$677=1),$BF$979,HLOOKUP(INDIRECT(ADDRESS(2,COLUMN())),OFFSET($BN$2,0,0,ROW()-1,60),ROW()-1,FALSE))</f>
        <v/>
      </c>
      <c r="BG313" t="str">
        <f ca="1">IF(AND(ISNUMBER($BG$979),$B$677=1),$BG$979,HLOOKUP(INDIRECT(ADDRESS(2,COLUMN())),OFFSET($BN$2,0,0,ROW()-1,60),ROW()-1,FALSE))</f>
        <v/>
      </c>
      <c r="BH313" t="str">
        <f ca="1">IF(AND(ISNUMBER($BH$979),$B$677=1),$BH$979,HLOOKUP(INDIRECT(ADDRESS(2,COLUMN())),OFFSET($BN$2,0,0,ROW()-1,60),ROW()-1,FALSE))</f>
        <v/>
      </c>
      <c r="BI313" t="str">
        <f ca="1">IF(AND(ISNUMBER($BI$979),$B$677=1),$BI$979,HLOOKUP(INDIRECT(ADDRESS(2,COLUMN())),OFFSET($BN$2,0,0,ROW()-1,60),ROW()-1,FALSE))</f>
        <v/>
      </c>
      <c r="BJ313" t="str">
        <f ca="1">IF(AND(ISNUMBER($BJ$979),$B$677=1),$BJ$979,HLOOKUP(INDIRECT(ADDRESS(2,COLUMN())),OFFSET($BN$2,0,0,ROW()-1,60),ROW()-1,FALSE))</f>
        <v/>
      </c>
      <c r="BK313" t="str">
        <f ca="1">IF(AND(ISNUMBER($BK$979),$B$677=1),$BK$979,HLOOKUP(INDIRECT(ADDRESS(2,COLUMN())),OFFSET($BN$2,0,0,ROW()-1,60),ROW()-1,FALSE))</f>
        <v/>
      </c>
      <c r="BL313" t="str">
        <f ca="1">IF(AND(ISNUMBER($BL$979),$B$677=1),$BL$979,HLOOKUP(INDIRECT(ADDRESS(2,COLUMN())),OFFSET($BN$2,0,0,ROW()-1,60),ROW()-1,FALSE))</f>
        <v/>
      </c>
      <c r="BM313" t="str">
        <f ca="1">IF(AND(ISNUMBER($BM$979),$B$677=1),$BM$979,HLOOKUP(INDIRECT(ADDRESS(2,COLUMN())),OFFSET($BN$2,0,0,ROW()-1,60),ROW()-1,FALSE))</f>
        <v/>
      </c>
      <c r="BN313" t="str">
        <f>""</f>
        <v/>
      </c>
      <c r="BO313" t="str">
        <f>""</f>
        <v/>
      </c>
      <c r="BP313">
        <f>12.08840913</f>
        <v>12.088409130000001</v>
      </c>
      <c r="BQ313">
        <f>10.61549609</f>
        <v>10.615496090000001</v>
      </c>
      <c r="BR313">
        <f>10.41796166</f>
        <v>10.41796166</v>
      </c>
      <c r="BS313">
        <f>9.679724713</f>
        <v>9.6797247130000006</v>
      </c>
      <c r="BT313">
        <f>9.641410501</f>
        <v>9.6414105009999993</v>
      </c>
      <c r="BU313">
        <f>9.876730062</f>
        <v>9.876730062</v>
      </c>
      <c r="BV313">
        <f>9.198220841</f>
        <v>9.1982208409999995</v>
      </c>
      <c r="BW313">
        <f>9.241491015</f>
        <v>9.2414910149999994</v>
      </c>
      <c r="BX313">
        <f>8.135445986</f>
        <v>8.1354459860000006</v>
      </c>
      <c r="BY313">
        <f>8.007416652</f>
        <v>8.0074166519999999</v>
      </c>
      <c r="BZ313">
        <f>8.433676057</f>
        <v>8.4336760569999996</v>
      </c>
      <c r="CA313">
        <f>8.085396839</f>
        <v>8.0853968389999995</v>
      </c>
      <c r="CB313">
        <f>8.047663456</f>
        <v>8.0476634560000004</v>
      </c>
      <c r="CC313">
        <f>6.838219898</f>
        <v>6.8382198980000002</v>
      </c>
      <c r="CD313">
        <f>7.033987095</f>
        <v>7.0339870949999996</v>
      </c>
      <c r="CE313">
        <f>6.594354919</f>
        <v>6.5943549189999997</v>
      </c>
      <c r="CF313">
        <f>6.56629735</f>
        <v>6.5662973500000001</v>
      </c>
      <c r="CG313">
        <f>6.956616864</f>
        <v>6.9566168639999999</v>
      </c>
      <c r="CH313">
        <f>7.299582203</f>
        <v>7.2995822029999999</v>
      </c>
      <c r="CI313">
        <f>7.157946115</f>
        <v>7.1579461149999997</v>
      </c>
      <c r="CJ313">
        <f>7.456833249</f>
        <v>7.4568332489999998</v>
      </c>
      <c r="CK313">
        <f>7.012109969</f>
        <v>7.0121099689999999</v>
      </c>
      <c r="CL313">
        <f>7.048468304</f>
        <v>7.048468304</v>
      </c>
      <c r="CM313">
        <f>6.786313283</f>
        <v>6.7863132830000001</v>
      </c>
      <c r="CN313">
        <f>7.261421166</f>
        <v>7.2614211659999999</v>
      </c>
      <c r="CO313">
        <f>6.839242351</f>
        <v>6.8392423510000002</v>
      </c>
      <c r="CP313">
        <f>7.228899016</f>
        <v>7.2288990159999997</v>
      </c>
      <c r="CQ313">
        <f>7.197467487</f>
        <v>7.1974674869999999</v>
      </c>
      <c r="CR313">
        <f>7.751985603</f>
        <v>7.7519856029999996</v>
      </c>
      <c r="CS313">
        <f>8.476906539</f>
        <v>8.4769065389999998</v>
      </c>
      <c r="CT313">
        <f>7.852533863</f>
        <v>7.8525338629999997</v>
      </c>
      <c r="CU313">
        <f>7.799142207</f>
        <v>7.799142207</v>
      </c>
      <c r="CV313" t="str">
        <f>""</f>
        <v/>
      </c>
      <c r="CW313" t="str">
        <f>""</f>
        <v/>
      </c>
      <c r="CX313" t="str">
        <f>""</f>
        <v/>
      </c>
      <c r="CY313" t="str">
        <f>""</f>
        <v/>
      </c>
      <c r="CZ313" t="str">
        <f>""</f>
        <v/>
      </c>
      <c r="DA313" t="str">
        <f>""</f>
        <v/>
      </c>
      <c r="DB313" t="str">
        <f>""</f>
        <v/>
      </c>
      <c r="DC313" t="str">
        <f>""</f>
        <v/>
      </c>
      <c r="DD313" t="str">
        <f>""</f>
        <v/>
      </c>
      <c r="DE313" t="str">
        <f>""</f>
        <v/>
      </c>
      <c r="DF313" t="str">
        <f>""</f>
        <v/>
      </c>
      <c r="DG313" t="str">
        <f>""</f>
        <v/>
      </c>
      <c r="DH313" t="str">
        <f>""</f>
        <v/>
      </c>
      <c r="DI313" t="str">
        <f>""</f>
        <v/>
      </c>
      <c r="DJ313" t="str">
        <f>""</f>
        <v/>
      </c>
      <c r="DK313" t="str">
        <f>""</f>
        <v/>
      </c>
      <c r="DL313" t="str">
        <f>""</f>
        <v/>
      </c>
      <c r="DM313" t="str">
        <f>""</f>
        <v/>
      </c>
      <c r="DN313" t="str">
        <f>""</f>
        <v/>
      </c>
      <c r="DO313" t="str">
        <f>""</f>
        <v/>
      </c>
      <c r="DP313" t="str">
        <f>""</f>
        <v/>
      </c>
      <c r="DQ313" t="str">
        <f>""</f>
        <v/>
      </c>
      <c r="DR313" t="str">
        <f>""</f>
        <v/>
      </c>
      <c r="DS313" t="str">
        <f>""</f>
        <v/>
      </c>
      <c r="DT313" t="str">
        <f>""</f>
        <v/>
      </c>
      <c r="DU313" t="str">
        <f>""</f>
        <v/>
      </c>
    </row>
    <row r="314" spans="1:125" x14ac:dyDescent="0.25">
      <c r="A314" t="str">
        <f>"    Kia Motors Corp"</f>
        <v xml:space="preserve">    Kia Motors Corp</v>
      </c>
      <c r="B314" t="str">
        <f>"000270 KS Equity"</f>
        <v>000270 KS Equity</v>
      </c>
      <c r="C314" t="str">
        <f t="shared" si="21"/>
        <v>RR474</v>
      </c>
      <c r="D314" t="str">
        <f t="shared" si="22"/>
        <v>EV_TO_T12M_EBITDA</v>
      </c>
      <c r="E314" t="str">
        <f t="shared" si="23"/>
        <v>Dynamic</v>
      </c>
      <c r="F314" t="str">
        <f ca="1">IF(AND(ISNUMBER($F$980),$B$677=1),$F$980,HLOOKUP(INDIRECT(ADDRESS(2,COLUMN())),OFFSET($BN$2,0,0,ROW()-1,60),ROW()-1,FALSE))</f>
        <v/>
      </c>
      <c r="G314" t="str">
        <f ca="1">IF(AND(ISNUMBER($G$980),$B$677=1),$G$980,HLOOKUP(INDIRECT(ADDRESS(2,COLUMN())),OFFSET($BN$2,0,0,ROW()-1,60),ROW()-1,FALSE))</f>
        <v/>
      </c>
      <c r="H314">
        <f ca="1">IF(AND(ISNUMBER($H$980),$B$677=1),$H$980,HLOOKUP(INDIRECT(ADDRESS(2,COLUMN())),OFFSET($BN$2,0,0,ROW()-1,60),ROW()-1,FALSE))</f>
        <v>3.5375106719999998</v>
      </c>
      <c r="I314">
        <f ca="1">IF(AND(ISNUMBER($I$980),$B$677=1),$I$980,HLOOKUP(INDIRECT(ADDRESS(2,COLUMN())),OFFSET($BN$2,0,0,ROW()-1,60),ROW()-1,FALSE))</f>
        <v>3.918086894</v>
      </c>
      <c r="J314">
        <f ca="1">IF(AND(ISNUMBER($J$980),$B$677=1),$J$980,HLOOKUP(INDIRECT(ADDRESS(2,COLUMN())),OFFSET($BN$2,0,0,ROW()-1,60),ROW()-1,FALSE))</f>
        <v>4.3599685539999999</v>
      </c>
      <c r="K314">
        <f ca="1">IF(AND(ISNUMBER($K$980),$B$677=1),$K$980,HLOOKUP(INDIRECT(ADDRESS(2,COLUMN())),OFFSET($BN$2,0,0,ROW()-1,60),ROW()-1,FALSE))</f>
        <v>4.8468687309999998</v>
      </c>
      <c r="L314">
        <f ca="1">IF(AND(ISNUMBER($L$980),$B$677=1),$L$980,HLOOKUP(INDIRECT(ADDRESS(2,COLUMN())),OFFSET($BN$2,0,0,ROW()-1,60),ROW()-1,FALSE))</f>
        <v>3.7686919200000002</v>
      </c>
      <c r="M314">
        <f ca="1">IF(AND(ISNUMBER($M$980),$B$677=1),$M$980,HLOOKUP(INDIRECT(ADDRESS(2,COLUMN())),OFFSET($BN$2,0,0,ROW()-1,60),ROW()-1,FALSE))</f>
        <v>3.831695667</v>
      </c>
      <c r="N314">
        <f ca="1">IF(AND(ISNUMBER($N$980),$B$677=1),$N$980,HLOOKUP(INDIRECT(ADDRESS(2,COLUMN())),OFFSET($BN$2,0,0,ROW()-1,60),ROW()-1,FALSE))</f>
        <v>3.4698790260000001</v>
      </c>
      <c r="O314">
        <f ca="1">IF(AND(ISNUMBER($O$980),$B$677=1),$O$980,HLOOKUP(INDIRECT(ADDRESS(2,COLUMN())),OFFSET($BN$2,0,0,ROW()-1,60),ROW()-1,FALSE))</f>
        <v>3.5855674419999999</v>
      </c>
      <c r="P314">
        <f ca="1">IF(AND(ISNUMBER($P$980),$B$677=1),$P$980,HLOOKUP(INDIRECT(ADDRESS(2,COLUMN())),OFFSET($BN$2,0,0,ROW()-1,60),ROW()-1,FALSE))</f>
        <v>3.4880105050000001</v>
      </c>
      <c r="Q314">
        <f ca="1">IF(AND(ISNUMBER($Q$980),$B$677=1),$Q$980,HLOOKUP(INDIRECT(ADDRESS(2,COLUMN())),OFFSET($BN$2,0,0,ROW()-1,60),ROW()-1,FALSE))</f>
        <v>3.709079488</v>
      </c>
      <c r="R314">
        <f ca="1">IF(AND(ISNUMBER($R$980),$B$677=1),$R$980,HLOOKUP(INDIRECT(ADDRESS(2,COLUMN())),OFFSET($BN$2,0,0,ROW()-1,60),ROW()-1,FALSE))</f>
        <v>4.9338766730000003</v>
      </c>
      <c r="S314">
        <f ca="1">IF(AND(ISNUMBER($S$980),$B$677=1),$S$980,HLOOKUP(INDIRECT(ADDRESS(2,COLUMN())),OFFSET($BN$2,0,0,ROW()-1,60),ROW()-1,FALSE))</f>
        <v>5.1954735740000002</v>
      </c>
      <c r="T314">
        <f ca="1">IF(AND(ISNUMBER($T$980),$B$677=1),$T$980,HLOOKUP(INDIRECT(ADDRESS(2,COLUMN())),OFFSET($BN$2,0,0,ROW()-1,60),ROW()-1,FALSE))</f>
        <v>4.9321642079999997</v>
      </c>
      <c r="U314">
        <f ca="1">IF(AND(ISNUMBER($U$980),$B$677=1),$U$980,HLOOKUP(INDIRECT(ADDRESS(2,COLUMN())),OFFSET($BN$2,0,0,ROW()-1,60),ROW()-1,FALSE))</f>
        <v>4.2788837180000003</v>
      </c>
      <c r="V314">
        <f ca="1">IF(AND(ISNUMBER($V$980),$B$677=1),$V$980,HLOOKUP(INDIRECT(ADDRESS(2,COLUMN())),OFFSET($BN$2,0,0,ROW()-1,60),ROW()-1,FALSE))</f>
        <v>4.1836147830000003</v>
      </c>
      <c r="W314">
        <f ca="1">IF(AND(ISNUMBER($W$980),$B$677=1),$W$980,HLOOKUP(INDIRECT(ADDRESS(2,COLUMN())),OFFSET($BN$2,0,0,ROW()-1,60),ROW()-1,FALSE))</f>
        <v>4.4301667580000004</v>
      </c>
      <c r="X314">
        <f ca="1">IF(AND(ISNUMBER($X$980),$B$677=1),$X$980,HLOOKUP(INDIRECT(ADDRESS(2,COLUMN())),OFFSET($BN$2,0,0,ROW()-1,60),ROW()-1,FALSE))</f>
        <v>4.357313961</v>
      </c>
      <c r="Y314">
        <f ca="1">IF(AND(ISNUMBER($Y$980),$B$677=1),$Y$980,HLOOKUP(INDIRECT(ADDRESS(2,COLUMN())),OFFSET($BN$2,0,0,ROW()-1,60),ROW()-1,FALSE))</f>
        <v>4.669535057</v>
      </c>
      <c r="Z314">
        <f ca="1">IF(AND(ISNUMBER($Z$980),$B$677=1),$Z$980,HLOOKUP(INDIRECT(ADDRESS(2,COLUMN())),OFFSET($BN$2,0,0,ROW()-1,60),ROW()-1,FALSE))</f>
        <v>4.4601197990000001</v>
      </c>
      <c r="AA314">
        <f ca="1">IF(AND(ISNUMBER($AA$980),$B$677=1),$AA$980,HLOOKUP(INDIRECT(ADDRESS(2,COLUMN())),OFFSET($BN$2,0,0,ROW()-1,60),ROW()-1,FALSE))</f>
        <v>4.2162345180000003</v>
      </c>
      <c r="AB314">
        <f ca="1">IF(AND(ISNUMBER($AB$980),$B$677=1),$AB$980,HLOOKUP(INDIRECT(ADDRESS(2,COLUMN())),OFFSET($BN$2,0,0,ROW()-1,60),ROW()-1,FALSE))</f>
        <v>5.3492631169999996</v>
      </c>
      <c r="AC314">
        <f ca="1">IF(AND(ISNUMBER($AC$980),$B$677=1),$AC$980,HLOOKUP(INDIRECT(ADDRESS(2,COLUMN())),OFFSET($BN$2,0,0,ROW()-1,60),ROW()-1,FALSE))</f>
        <v>5.1718099229999996</v>
      </c>
      <c r="AD314">
        <f ca="1">IF(AND(ISNUMBER($AD$980),$B$677=1),$AD$980,HLOOKUP(INDIRECT(ADDRESS(2,COLUMN())),OFFSET($BN$2,0,0,ROW()-1,60),ROW()-1,FALSE))</f>
        <v>4.8261800260000003</v>
      </c>
      <c r="AE314">
        <f ca="1">IF(AND(ISNUMBER($AE$980),$B$677=1),$AE$980,HLOOKUP(INDIRECT(ADDRESS(2,COLUMN())),OFFSET($BN$2,0,0,ROW()-1,60),ROW()-1,FALSE))</f>
        <v>4.548357545</v>
      </c>
      <c r="AF314">
        <f ca="1">IF(AND(ISNUMBER($AF$980),$B$677=1),$AF$980,HLOOKUP(INDIRECT(ADDRESS(2,COLUMN())),OFFSET($BN$2,0,0,ROW()-1,60),ROW()-1,FALSE))</f>
        <v>5.0840396730000004</v>
      </c>
      <c r="AG314">
        <f ca="1">IF(AND(ISNUMBER($AG$980),$B$677=1),$AG$980,HLOOKUP(INDIRECT(ADDRESS(2,COLUMN())),OFFSET($BN$2,0,0,ROW()-1,60),ROW()-1,FALSE))</f>
        <v>5.6669811909999996</v>
      </c>
      <c r="AH314">
        <f ca="1">IF(AND(ISNUMBER($AH$980),$B$677=1),$AH$980,HLOOKUP(INDIRECT(ADDRESS(2,COLUMN())),OFFSET($BN$2,0,0,ROW()-1,60),ROW()-1,FALSE))</f>
        <v>6.1411284330000004</v>
      </c>
      <c r="AI314">
        <f ca="1">IF(AND(ISNUMBER($AI$980),$B$677=1),$AI$980,HLOOKUP(INDIRECT(ADDRESS(2,COLUMN())),OFFSET($BN$2,0,0,ROW()-1,60),ROW()-1,FALSE))</f>
        <v>6.0889559159999997</v>
      </c>
      <c r="AJ314">
        <f ca="1">IF(AND(ISNUMBER($AJ$980),$B$677=1),$AJ$980,HLOOKUP(INDIRECT(ADDRESS(2,COLUMN())),OFFSET($BN$2,0,0,ROW()-1,60),ROW()-1,FALSE))</f>
        <v>6.7965005789999999</v>
      </c>
      <c r="AK314">
        <f ca="1">IF(AND(ISNUMBER($AK$980),$B$677=1),$AK$980,HLOOKUP(INDIRECT(ADDRESS(2,COLUMN())),OFFSET($BN$2,0,0,ROW()-1,60),ROW()-1,FALSE))</f>
        <v>7.2654557249999998</v>
      </c>
      <c r="AL314">
        <f ca="1">IF(AND(ISNUMBER($AL$980),$B$677=1),$AL$980,HLOOKUP(INDIRECT(ADDRESS(2,COLUMN())),OFFSET($BN$2,0,0,ROW()-1,60),ROW()-1,FALSE))</f>
        <v>7.8609412020000002</v>
      </c>
      <c r="AM314" t="str">
        <f ca="1">IF(AND(ISNUMBER($AM$980),$B$677=1),$AM$980,HLOOKUP(INDIRECT(ADDRESS(2,COLUMN())),OFFSET($BN$2,0,0,ROW()-1,60),ROW()-1,FALSE))</f>
        <v/>
      </c>
      <c r="AN314" t="str">
        <f ca="1">IF(AND(ISNUMBER($AN$980),$B$677=1),$AN$980,HLOOKUP(INDIRECT(ADDRESS(2,COLUMN())),OFFSET($BN$2,0,0,ROW()-1,60),ROW()-1,FALSE))</f>
        <v/>
      </c>
      <c r="AO314" t="str">
        <f ca="1">IF(AND(ISNUMBER($AO$980),$B$677=1),$AO$980,HLOOKUP(INDIRECT(ADDRESS(2,COLUMN())),OFFSET($BN$2,0,0,ROW()-1,60),ROW()-1,FALSE))</f>
        <v/>
      </c>
      <c r="AP314" t="str">
        <f ca="1">IF(AND(ISNUMBER($AP$980),$B$677=1),$AP$980,HLOOKUP(INDIRECT(ADDRESS(2,COLUMN())),OFFSET($BN$2,0,0,ROW()-1,60),ROW()-1,FALSE))</f>
        <v/>
      </c>
      <c r="AQ314" t="str">
        <f ca="1">IF(AND(ISNUMBER($AQ$980),$B$677=1),$AQ$980,HLOOKUP(INDIRECT(ADDRESS(2,COLUMN())),OFFSET($BN$2,0,0,ROW()-1,60),ROW()-1,FALSE))</f>
        <v/>
      </c>
      <c r="AR314" t="str">
        <f ca="1">IF(AND(ISNUMBER($AR$980),$B$677=1),$AR$980,HLOOKUP(INDIRECT(ADDRESS(2,COLUMN())),OFFSET($BN$2,0,0,ROW()-1,60),ROW()-1,FALSE))</f>
        <v/>
      </c>
      <c r="AS314" t="str">
        <f ca="1">IF(AND(ISNUMBER($AS$980),$B$677=1),$AS$980,HLOOKUP(INDIRECT(ADDRESS(2,COLUMN())),OFFSET($BN$2,0,0,ROW()-1,60),ROW()-1,FALSE))</f>
        <v/>
      </c>
      <c r="AT314" t="str">
        <f ca="1">IF(AND(ISNUMBER($AT$980),$B$677=1),$AT$980,HLOOKUP(INDIRECT(ADDRESS(2,COLUMN())),OFFSET($BN$2,0,0,ROW()-1,60),ROW()-1,FALSE))</f>
        <v/>
      </c>
      <c r="AU314" t="str">
        <f ca="1">IF(AND(ISNUMBER($AU$980),$B$677=1),$AU$980,HLOOKUP(INDIRECT(ADDRESS(2,COLUMN())),OFFSET($BN$2,0,0,ROW()-1,60),ROW()-1,FALSE))</f>
        <v/>
      </c>
      <c r="AV314" t="str">
        <f ca="1">IF(AND(ISNUMBER($AV$980),$B$677=1),$AV$980,HLOOKUP(INDIRECT(ADDRESS(2,COLUMN())),OFFSET($BN$2,0,0,ROW()-1,60),ROW()-1,FALSE))</f>
        <v/>
      </c>
      <c r="AW314" t="str">
        <f ca="1">IF(AND(ISNUMBER($AW$980),$B$677=1),$AW$980,HLOOKUP(INDIRECT(ADDRESS(2,COLUMN())),OFFSET($BN$2,0,0,ROW()-1,60),ROW()-1,FALSE))</f>
        <v/>
      </c>
      <c r="AX314" t="str">
        <f ca="1">IF(AND(ISNUMBER($AX$980),$B$677=1),$AX$980,HLOOKUP(INDIRECT(ADDRESS(2,COLUMN())),OFFSET($BN$2,0,0,ROW()-1,60),ROW()-1,FALSE))</f>
        <v/>
      </c>
      <c r="AY314" t="str">
        <f ca="1">IF(AND(ISNUMBER($AY$980),$B$677=1),$AY$980,HLOOKUP(INDIRECT(ADDRESS(2,COLUMN())),OFFSET($BN$2,0,0,ROW()-1,60),ROW()-1,FALSE))</f>
        <v/>
      </c>
      <c r="AZ314" t="str">
        <f ca="1">IF(AND(ISNUMBER($AZ$980),$B$677=1),$AZ$980,HLOOKUP(INDIRECT(ADDRESS(2,COLUMN())),OFFSET($BN$2,0,0,ROW()-1,60),ROW()-1,FALSE))</f>
        <v/>
      </c>
      <c r="BA314" t="str">
        <f ca="1">IF(AND(ISNUMBER($BA$980),$B$677=1),$BA$980,HLOOKUP(INDIRECT(ADDRESS(2,COLUMN())),OFFSET($BN$2,0,0,ROW()-1,60),ROW()-1,FALSE))</f>
        <v/>
      </c>
      <c r="BB314" t="str">
        <f ca="1">IF(AND(ISNUMBER($BB$980),$B$677=1),$BB$980,HLOOKUP(INDIRECT(ADDRESS(2,COLUMN())),OFFSET($BN$2,0,0,ROW()-1,60),ROW()-1,FALSE))</f>
        <v/>
      </c>
      <c r="BC314" t="str">
        <f ca="1">IF(AND(ISNUMBER($BC$980),$B$677=1),$BC$980,HLOOKUP(INDIRECT(ADDRESS(2,COLUMN())),OFFSET($BN$2,0,0,ROW()-1,60),ROW()-1,FALSE))</f>
        <v/>
      </c>
      <c r="BD314" t="str">
        <f ca="1">IF(AND(ISNUMBER($BD$980),$B$677=1),$BD$980,HLOOKUP(INDIRECT(ADDRESS(2,COLUMN())),OFFSET($BN$2,0,0,ROW()-1,60),ROW()-1,FALSE))</f>
        <v/>
      </c>
      <c r="BE314" t="str">
        <f ca="1">IF(AND(ISNUMBER($BE$980),$B$677=1),$BE$980,HLOOKUP(INDIRECT(ADDRESS(2,COLUMN())),OFFSET($BN$2,0,0,ROW()-1,60),ROW()-1,FALSE))</f>
        <v/>
      </c>
      <c r="BF314" t="str">
        <f ca="1">IF(AND(ISNUMBER($BF$980),$B$677=1),$BF$980,HLOOKUP(INDIRECT(ADDRESS(2,COLUMN())),OFFSET($BN$2,0,0,ROW()-1,60),ROW()-1,FALSE))</f>
        <v/>
      </c>
      <c r="BG314" t="str">
        <f ca="1">IF(AND(ISNUMBER($BG$980),$B$677=1),$BG$980,HLOOKUP(INDIRECT(ADDRESS(2,COLUMN())),OFFSET($BN$2,0,0,ROW()-1,60),ROW()-1,FALSE))</f>
        <v/>
      </c>
      <c r="BH314" t="str">
        <f ca="1">IF(AND(ISNUMBER($BH$980),$B$677=1),$BH$980,HLOOKUP(INDIRECT(ADDRESS(2,COLUMN())),OFFSET($BN$2,0,0,ROW()-1,60),ROW()-1,FALSE))</f>
        <v/>
      </c>
      <c r="BI314" t="str">
        <f ca="1">IF(AND(ISNUMBER($BI$980),$B$677=1),$BI$980,HLOOKUP(INDIRECT(ADDRESS(2,COLUMN())),OFFSET($BN$2,0,0,ROW()-1,60),ROW()-1,FALSE))</f>
        <v/>
      </c>
      <c r="BJ314" t="str">
        <f ca="1">IF(AND(ISNUMBER($BJ$980),$B$677=1),$BJ$980,HLOOKUP(INDIRECT(ADDRESS(2,COLUMN())),OFFSET($BN$2,0,0,ROW()-1,60),ROW()-1,FALSE))</f>
        <v/>
      </c>
      <c r="BK314" t="str">
        <f ca="1">IF(AND(ISNUMBER($BK$980),$B$677=1),$BK$980,HLOOKUP(INDIRECT(ADDRESS(2,COLUMN())),OFFSET($BN$2,0,0,ROW()-1,60),ROW()-1,FALSE))</f>
        <v/>
      </c>
      <c r="BL314" t="str">
        <f ca="1">IF(AND(ISNUMBER($BL$980),$B$677=1),$BL$980,HLOOKUP(INDIRECT(ADDRESS(2,COLUMN())),OFFSET($BN$2,0,0,ROW()-1,60),ROW()-1,FALSE))</f>
        <v/>
      </c>
      <c r="BM314" t="str">
        <f ca="1">IF(AND(ISNUMBER($BM$980),$B$677=1),$BM$980,HLOOKUP(INDIRECT(ADDRESS(2,COLUMN())),OFFSET($BN$2,0,0,ROW()-1,60),ROW()-1,FALSE))</f>
        <v/>
      </c>
      <c r="BN314" t="str">
        <f>""</f>
        <v/>
      </c>
      <c r="BO314" t="str">
        <f>""</f>
        <v/>
      </c>
      <c r="BP314">
        <f>3.537510672</f>
        <v>3.5375106719999998</v>
      </c>
      <c r="BQ314">
        <f>3.918086894</f>
        <v>3.918086894</v>
      </c>
      <c r="BR314">
        <f>4.359968554</f>
        <v>4.3599685539999999</v>
      </c>
      <c r="BS314">
        <f>4.846868731</f>
        <v>4.8468687309999998</v>
      </c>
      <c r="BT314">
        <f>3.76869192</f>
        <v>3.7686919200000002</v>
      </c>
      <c r="BU314">
        <f>3.831695667</f>
        <v>3.831695667</v>
      </c>
      <c r="BV314">
        <f>3.469879026</f>
        <v>3.4698790260000001</v>
      </c>
      <c r="BW314">
        <f>3.585567442</f>
        <v>3.5855674419999999</v>
      </c>
      <c r="BX314">
        <f>3.488010505</f>
        <v>3.4880105050000001</v>
      </c>
      <c r="BY314">
        <f>3.709079488</f>
        <v>3.709079488</v>
      </c>
      <c r="BZ314">
        <f>4.933876673</f>
        <v>4.9338766730000003</v>
      </c>
      <c r="CA314">
        <f>5.195473574</f>
        <v>5.1954735740000002</v>
      </c>
      <c r="CB314">
        <f>4.932164208</f>
        <v>4.9321642079999997</v>
      </c>
      <c r="CC314">
        <f>4.278883718</f>
        <v>4.2788837180000003</v>
      </c>
      <c r="CD314">
        <f>4.183614783</f>
        <v>4.1836147830000003</v>
      </c>
      <c r="CE314">
        <f>4.430166758</f>
        <v>4.4301667580000004</v>
      </c>
      <c r="CF314">
        <f>4.357313961</f>
        <v>4.357313961</v>
      </c>
      <c r="CG314">
        <f>4.669535057</f>
        <v>4.669535057</v>
      </c>
      <c r="CH314">
        <f>4.460119799</f>
        <v>4.4601197990000001</v>
      </c>
      <c r="CI314">
        <f>4.216234518</f>
        <v>4.2162345180000003</v>
      </c>
      <c r="CJ314">
        <f>5.349263117</f>
        <v>5.3492631169999996</v>
      </c>
      <c r="CK314">
        <f>5.171809923</f>
        <v>5.1718099229999996</v>
      </c>
      <c r="CL314">
        <f>4.826180026</f>
        <v>4.8261800260000003</v>
      </c>
      <c r="CM314">
        <f>4.548357545</f>
        <v>4.548357545</v>
      </c>
      <c r="CN314">
        <f>5.084039673</f>
        <v>5.0840396730000004</v>
      </c>
      <c r="CO314">
        <f>5.666981191</f>
        <v>5.6669811909999996</v>
      </c>
      <c r="CP314">
        <f>6.141128433</f>
        <v>6.1411284330000004</v>
      </c>
      <c r="CQ314">
        <f>6.088955916</f>
        <v>6.0889559159999997</v>
      </c>
      <c r="CR314">
        <f>6.796500579</f>
        <v>6.7965005789999999</v>
      </c>
      <c r="CS314">
        <f>7.265455725</f>
        <v>7.2654557249999998</v>
      </c>
      <c r="CT314">
        <f>7.860941202</f>
        <v>7.8609412020000002</v>
      </c>
      <c r="CU314" t="str">
        <f>""</f>
        <v/>
      </c>
      <c r="CV314" t="str">
        <f>""</f>
        <v/>
      </c>
      <c r="CW314" t="str">
        <f>""</f>
        <v/>
      </c>
      <c r="CX314" t="str">
        <f>""</f>
        <v/>
      </c>
      <c r="CY314" t="str">
        <f>""</f>
        <v/>
      </c>
      <c r="CZ314" t="str">
        <f>""</f>
        <v/>
      </c>
      <c r="DA314" t="str">
        <f>""</f>
        <v/>
      </c>
      <c r="DB314" t="str">
        <f>""</f>
        <v/>
      </c>
      <c r="DC314" t="str">
        <f>""</f>
        <v/>
      </c>
      <c r="DD314" t="str">
        <f>""</f>
        <v/>
      </c>
      <c r="DE314" t="str">
        <f>""</f>
        <v/>
      </c>
      <c r="DF314" t="str">
        <f>""</f>
        <v/>
      </c>
      <c r="DG314" t="str">
        <f>""</f>
        <v/>
      </c>
      <c r="DH314" t="str">
        <f>""</f>
        <v/>
      </c>
      <c r="DI314" t="str">
        <f>""</f>
        <v/>
      </c>
      <c r="DJ314" t="str">
        <f>""</f>
        <v/>
      </c>
      <c r="DK314" t="str">
        <f>""</f>
        <v/>
      </c>
      <c r="DL314" t="str">
        <f>""</f>
        <v/>
      </c>
      <c r="DM314" t="str">
        <f>""</f>
        <v/>
      </c>
      <c r="DN314" t="str">
        <f>""</f>
        <v/>
      </c>
      <c r="DO314" t="str">
        <f>""</f>
        <v/>
      </c>
      <c r="DP314" t="str">
        <f>""</f>
        <v/>
      </c>
      <c r="DQ314" t="str">
        <f>""</f>
        <v/>
      </c>
      <c r="DR314" t="str">
        <f>""</f>
        <v/>
      </c>
      <c r="DS314" t="str">
        <f>""</f>
        <v/>
      </c>
      <c r="DT314" t="str">
        <f>""</f>
        <v/>
      </c>
      <c r="DU314" t="str">
        <f>""</f>
        <v/>
      </c>
    </row>
    <row r="315" spans="1:125" x14ac:dyDescent="0.25">
      <c r="A315" t="str">
        <f>"    Mazda Motor Corp"</f>
        <v xml:space="preserve">    Mazda Motor Corp</v>
      </c>
      <c r="B315" t="str">
        <f>"7261 JP Equity"</f>
        <v>7261 JP Equity</v>
      </c>
      <c r="C315" t="str">
        <f t="shared" si="21"/>
        <v>RR474</v>
      </c>
      <c r="D315" t="str">
        <f t="shared" si="22"/>
        <v>EV_TO_T12M_EBITDA</v>
      </c>
      <c r="E315" t="str">
        <f t="shared" si="23"/>
        <v>Dynamic</v>
      </c>
      <c r="F315" t="str">
        <f ca="1">IF(AND(ISNUMBER($F$981),$B$677=1),$F$981,HLOOKUP(INDIRECT(ADDRESS(2,COLUMN())),OFFSET($BN$2,0,0,ROW()-1,60),ROW()-1,FALSE))</f>
        <v/>
      </c>
      <c r="G315">
        <f ca="1">IF(AND(ISNUMBER($G$981),$B$677=1),$G$981,HLOOKUP(INDIRECT(ADDRESS(2,COLUMN())),OFFSET($BN$2,0,0,ROW()-1,60),ROW()-1,FALSE))</f>
        <v>3.557747526</v>
      </c>
      <c r="H315">
        <f ca="1">IF(AND(ISNUMBER($H$981),$B$677=1),$H$981,HLOOKUP(INDIRECT(ADDRESS(2,COLUMN())),OFFSET($BN$2,0,0,ROW()-1,60),ROW()-1,FALSE))</f>
        <v>4.0972451510000001</v>
      </c>
      <c r="I315">
        <f ca="1">IF(AND(ISNUMBER($I$981),$B$677=1),$I$981,HLOOKUP(INDIRECT(ADDRESS(2,COLUMN())),OFFSET($BN$2,0,0,ROW()-1,60),ROW()-1,FALSE))</f>
        <v>3.5140129299999998</v>
      </c>
      <c r="J315">
        <f ca="1">IF(AND(ISNUMBER($J$981),$B$677=1),$J$981,HLOOKUP(INDIRECT(ADDRESS(2,COLUMN())),OFFSET($BN$2,0,0,ROW()-1,60),ROW()-1,FALSE))</f>
        <v>3.4058050309999999</v>
      </c>
      <c r="K315">
        <f ca="1">IF(AND(ISNUMBER($K$981),$B$677=1),$K$981,HLOOKUP(INDIRECT(ADDRESS(2,COLUMN())),OFFSET($BN$2,0,0,ROW()-1,60),ROW()-1,FALSE))</f>
        <v>4.2310715749999996</v>
      </c>
      <c r="L315">
        <f ca="1">IF(AND(ISNUMBER($L$981),$B$677=1),$L$981,HLOOKUP(INDIRECT(ADDRESS(2,COLUMN())),OFFSET($BN$2,0,0,ROW()-1,60),ROW()-1,FALSE))</f>
        <v>4.992501979</v>
      </c>
      <c r="M315">
        <f ca="1">IF(AND(ISNUMBER($M$981),$B$677=1),$M$981,HLOOKUP(INDIRECT(ADDRESS(2,COLUMN())),OFFSET($BN$2,0,0,ROW()-1,60),ROW()-1,FALSE))</f>
        <v>4.7649519749999998</v>
      </c>
      <c r="N315">
        <f ca="1">IF(AND(ISNUMBER($N$981),$B$677=1),$N$981,HLOOKUP(INDIRECT(ADDRESS(2,COLUMN())),OFFSET($BN$2,0,0,ROW()-1,60),ROW()-1,FALSE))</f>
        <v>4.5518711789999999</v>
      </c>
      <c r="O315">
        <f ca="1">IF(AND(ISNUMBER($O$981),$B$677=1),$O$981,HLOOKUP(INDIRECT(ADDRESS(2,COLUMN())),OFFSET($BN$2,0,0,ROW()-1,60),ROW()-1,FALSE))</f>
        <v>5.0180416259999996</v>
      </c>
      <c r="P315">
        <f ca="1">IF(AND(ISNUMBER($P$981),$B$677=1),$P$981,HLOOKUP(INDIRECT(ADDRESS(2,COLUMN())),OFFSET($BN$2,0,0,ROW()-1,60),ROW()-1,FALSE))</f>
        <v>3.4271048980000001</v>
      </c>
      <c r="Q315">
        <f ca="1">IF(AND(ISNUMBER($Q$981),$B$677=1),$Q$981,HLOOKUP(INDIRECT(ADDRESS(2,COLUMN())),OFFSET($BN$2,0,0,ROW()-1,60),ROW()-1,FALSE))</f>
        <v>2.7909880490000001</v>
      </c>
      <c r="R315">
        <f ca="1">IF(AND(ISNUMBER($R$981),$B$677=1),$R$981,HLOOKUP(INDIRECT(ADDRESS(2,COLUMN())),OFFSET($BN$2,0,0,ROW()-1,60),ROW()-1,FALSE))</f>
        <v>3.5489191729999998</v>
      </c>
      <c r="S315">
        <f ca="1">IF(AND(ISNUMBER($S$981),$B$677=1),$S$981,HLOOKUP(INDIRECT(ADDRESS(2,COLUMN())),OFFSET($BN$2,0,0,ROW()-1,60),ROW()-1,FALSE))</f>
        <v>5.3746318730000002</v>
      </c>
      <c r="T315">
        <f ca="1">IF(AND(ISNUMBER($T$981),$B$677=1),$T$981,HLOOKUP(INDIRECT(ADDRESS(2,COLUMN())),OFFSET($BN$2,0,0,ROW()-1,60),ROW()-1,FALSE))</f>
        <v>4.1487414290000002</v>
      </c>
      <c r="U315">
        <f ca="1">IF(AND(ISNUMBER($U$981),$B$677=1),$U$981,HLOOKUP(INDIRECT(ADDRESS(2,COLUMN())),OFFSET($BN$2,0,0,ROW()-1,60),ROW()-1,FALSE))</f>
        <v>5.8982413989999998</v>
      </c>
      <c r="V315">
        <f ca="1">IF(AND(ISNUMBER($V$981),$B$677=1),$V$981,HLOOKUP(INDIRECT(ADDRESS(2,COLUMN())),OFFSET($BN$2,0,0,ROW()-1,60),ROW()-1,FALSE))</f>
        <v>5.9283779069999998</v>
      </c>
      <c r="W315">
        <f ca="1">IF(AND(ISNUMBER($W$981),$B$677=1),$W$981,HLOOKUP(INDIRECT(ADDRESS(2,COLUMN())),OFFSET($BN$2,0,0,ROW()-1,60),ROW()-1,FALSE))</f>
        <v>7.3925865479999997</v>
      </c>
      <c r="X315">
        <f ca="1">IF(AND(ISNUMBER($X$981),$B$677=1),$X$981,HLOOKUP(INDIRECT(ADDRESS(2,COLUMN())),OFFSET($BN$2,0,0,ROW()-1,60),ROW()-1,FALSE))</f>
        <v>6.9430713549999998</v>
      </c>
      <c r="Y315">
        <f ca="1">IF(AND(ISNUMBER($Y$981),$B$677=1),$Y$981,HLOOKUP(INDIRECT(ADDRESS(2,COLUMN())),OFFSET($BN$2,0,0,ROW()-1,60),ROW()-1,FALSE))</f>
        <v>6.4699094529999996</v>
      </c>
      <c r="Z315">
        <f ca="1">IF(AND(ISNUMBER($Z$981),$B$677=1),$Z$981,HLOOKUP(INDIRECT(ADDRESS(2,COLUMN())),OFFSET($BN$2,0,0,ROW()-1,60),ROW()-1,FALSE))</f>
        <v>6.6996929979999997</v>
      </c>
      <c r="AA315">
        <f ca="1">IF(AND(ISNUMBER($AA$981),$B$677=1),$AA$981,HLOOKUP(INDIRECT(ADDRESS(2,COLUMN())),OFFSET($BN$2,0,0,ROW()-1,60),ROW()-1,FALSE))</f>
        <v>9.0671922180000006</v>
      </c>
      <c r="AB315">
        <f ca="1">IF(AND(ISNUMBER($AB$981),$B$677=1),$AB$981,HLOOKUP(INDIRECT(ADDRESS(2,COLUMN())),OFFSET($BN$2,0,0,ROW()-1,60),ROW()-1,FALSE))</f>
        <v>9.4501856340000003</v>
      </c>
      <c r="AC315">
        <f ca="1">IF(AND(ISNUMBER($AC$981),$B$677=1),$AC$981,HLOOKUP(INDIRECT(ADDRESS(2,COLUMN())),OFFSET($BN$2,0,0,ROW()-1,60),ROW()-1,FALSE))</f>
        <v>10.16237639</v>
      </c>
      <c r="AD315">
        <f ca="1">IF(AND(ISNUMBER($AD$981),$B$677=1),$AD$981,HLOOKUP(INDIRECT(ADDRESS(2,COLUMN())),OFFSET($BN$2,0,0,ROW()-1,60),ROW()-1,FALSE))</f>
        <v>9.9204703219999999</v>
      </c>
      <c r="AE315">
        <f ca="1">IF(AND(ISNUMBER($AE$981),$B$677=1),$AE$981,HLOOKUP(INDIRECT(ADDRESS(2,COLUMN())),OFFSET($BN$2,0,0,ROW()-1,60),ROW()-1,FALSE))</f>
        <v>8.9866195139999991</v>
      </c>
      <c r="AF315">
        <f ca="1">IF(AND(ISNUMBER($AF$981),$B$677=1),$AF$981,HLOOKUP(INDIRECT(ADDRESS(2,COLUMN())),OFFSET($BN$2,0,0,ROW()-1,60),ROW()-1,FALSE))</f>
        <v>10.31340153</v>
      </c>
      <c r="AG315">
        <f ca="1">IF(AND(ISNUMBER($AG$981),$B$677=1),$AG$981,HLOOKUP(INDIRECT(ADDRESS(2,COLUMN())),OFFSET($BN$2,0,0,ROW()-1,60),ROW()-1,FALSE))</f>
        <v>12.39541208</v>
      </c>
      <c r="AH315">
        <f ca="1">IF(AND(ISNUMBER($AH$981),$B$677=1),$AH$981,HLOOKUP(INDIRECT(ADDRESS(2,COLUMN())),OFFSET($BN$2,0,0,ROW()-1,60),ROW()-1,FALSE))</f>
        <v>24.557422769999999</v>
      </c>
      <c r="AI315">
        <f ca="1">IF(AND(ISNUMBER($AI$981),$B$677=1),$AI$981,HLOOKUP(INDIRECT(ADDRESS(2,COLUMN())),OFFSET($BN$2,0,0,ROW()-1,60),ROW()-1,FALSE))</f>
        <v>29.221058280000001</v>
      </c>
      <c r="AJ315">
        <f ca="1">IF(AND(ISNUMBER($AJ$981),$B$677=1),$AJ$981,HLOOKUP(INDIRECT(ADDRESS(2,COLUMN())),OFFSET($BN$2,0,0,ROW()-1,60),ROW()-1,FALSE))</f>
        <v>11.74253852</v>
      </c>
      <c r="AK315">
        <f ca="1">IF(AND(ISNUMBER($AK$981),$B$677=1),$AK$981,HLOOKUP(INDIRECT(ADDRESS(2,COLUMN())),OFFSET($BN$2,0,0,ROW()-1,60),ROW()-1,FALSE))</f>
        <v>12.09554662</v>
      </c>
      <c r="AL315">
        <f ca="1">IF(AND(ISNUMBER($AL$981),$B$677=1),$AL$981,HLOOKUP(INDIRECT(ADDRESS(2,COLUMN())),OFFSET($BN$2,0,0,ROW()-1,60),ROW()-1,FALSE))</f>
        <v>7.2879679069999996</v>
      </c>
      <c r="AM315">
        <f ca="1">IF(AND(ISNUMBER($AM$981),$B$677=1),$AM$981,HLOOKUP(INDIRECT(ADDRESS(2,COLUMN())),OFFSET($BN$2,0,0,ROW()-1,60),ROW()-1,FALSE))</f>
        <v>7.8749398419999999</v>
      </c>
      <c r="AN315">
        <f ca="1">IF(AND(ISNUMBER($AN$981),$B$677=1),$AN$981,HLOOKUP(INDIRECT(ADDRESS(2,COLUMN())),OFFSET($BN$2,0,0,ROW()-1,60),ROW()-1,FALSE))</f>
        <v>6.0853707549999996</v>
      </c>
      <c r="AO315">
        <f ca="1">IF(AND(ISNUMBER($AO$981),$B$677=1),$AO$981,HLOOKUP(INDIRECT(ADDRESS(2,COLUMN())),OFFSET($BN$2,0,0,ROW()-1,60),ROW()-1,FALSE))</f>
        <v>6.1316651709999999</v>
      </c>
      <c r="AP315">
        <f ca="1">IF(AND(ISNUMBER($AP$981),$B$677=1),$AP$981,HLOOKUP(INDIRECT(ADDRESS(2,COLUMN())),OFFSET($BN$2,0,0,ROW()-1,60),ROW()-1,FALSE))</f>
        <v>9.587100994</v>
      </c>
      <c r="AQ315">
        <f ca="1">IF(AND(ISNUMBER($AQ$981),$B$677=1),$AQ$981,HLOOKUP(INDIRECT(ADDRESS(2,COLUMN())),OFFSET($BN$2,0,0,ROW()-1,60),ROW()-1,FALSE))</f>
        <v>435.82938159999998</v>
      </c>
      <c r="AR315" t="str">
        <f ca="1">IF(AND(ISNUMBER($AR$981),$B$677=1),$AR$981,HLOOKUP(INDIRECT(ADDRESS(2,COLUMN())),OFFSET($BN$2,0,0,ROW()-1,60),ROW()-1,FALSE))</f>
        <v/>
      </c>
      <c r="AS315">
        <f ca="1">IF(AND(ISNUMBER($AS$981),$B$677=1),$AS$981,HLOOKUP(INDIRECT(ADDRESS(2,COLUMN())),OFFSET($BN$2,0,0,ROW()-1,60),ROW()-1,FALSE))</f>
        <v>12103.779119999999</v>
      </c>
      <c r="AT315">
        <f ca="1">IF(AND(ISNUMBER($AT$981),$B$677=1),$AT$981,HLOOKUP(INDIRECT(ADDRESS(2,COLUMN())),OFFSET($BN$2,0,0,ROW()-1,60),ROW()-1,FALSE))</f>
        <v>13.45578707</v>
      </c>
      <c r="AU315">
        <f ca="1">IF(AND(ISNUMBER($AU$981),$B$677=1),$AU$981,HLOOKUP(INDIRECT(ADDRESS(2,COLUMN())),OFFSET($BN$2,0,0,ROW()-1,60),ROW()-1,FALSE))</f>
        <v>4.4769267810000004</v>
      </c>
      <c r="AV315">
        <f ca="1">IF(AND(ISNUMBER($AV$981),$B$677=1),$AV$981,HLOOKUP(INDIRECT(ADDRESS(2,COLUMN())),OFFSET($BN$2,0,0,ROW()-1,60),ROW()-1,FALSE))</f>
        <v>4.3573764329999998</v>
      </c>
      <c r="AW315">
        <f ca="1">IF(AND(ISNUMBER($AW$981),$B$677=1),$AW$981,HLOOKUP(INDIRECT(ADDRESS(2,COLUMN())),OFFSET($BN$2,0,0,ROW()-1,60),ROW()-1,FALSE))</f>
        <v>5.0638377190000003</v>
      </c>
      <c r="AX315">
        <f ca="1">IF(AND(ISNUMBER($AX$981),$B$677=1),$AX$981,HLOOKUP(INDIRECT(ADDRESS(2,COLUMN())),OFFSET($BN$2,0,0,ROW()-1,60),ROW()-1,FALSE))</f>
        <v>3.412483887</v>
      </c>
      <c r="AY315">
        <f ca="1">IF(AND(ISNUMBER($AY$981),$B$677=1),$AY$981,HLOOKUP(INDIRECT(ADDRESS(2,COLUMN())),OFFSET($BN$2,0,0,ROW()-1,60),ROW()-1,FALSE))</f>
        <v>5.0940770549999996</v>
      </c>
      <c r="AZ315">
        <f ca="1">IF(AND(ISNUMBER($AZ$981),$B$677=1),$AZ$981,HLOOKUP(INDIRECT(ADDRESS(2,COLUMN())),OFFSET($BN$2,0,0,ROW()-1,60),ROW()-1,FALSE))</f>
        <v>5.0525350869999999</v>
      </c>
      <c r="BA315">
        <f ca="1">IF(AND(ISNUMBER($BA$981),$B$677=1),$BA$981,HLOOKUP(INDIRECT(ADDRESS(2,COLUMN())),OFFSET($BN$2,0,0,ROW()-1,60),ROW()-1,FALSE))</f>
        <v>6.1429371379999997</v>
      </c>
      <c r="BB315">
        <f ca="1">IF(AND(ISNUMBER($BB$981),$B$677=1),$BB$981,HLOOKUP(INDIRECT(ADDRESS(2,COLUMN())),OFFSET($BN$2,0,0,ROW()-1,60),ROW()-1,FALSE))</f>
        <v>5.6245790729999996</v>
      </c>
      <c r="BC315" t="str">
        <f ca="1">IF(AND(ISNUMBER($BC$981),$B$677=1),$BC$981,HLOOKUP(INDIRECT(ADDRESS(2,COLUMN())),OFFSET($BN$2,0,0,ROW()-1,60),ROW()-1,FALSE))</f>
        <v/>
      </c>
      <c r="BD315" t="str">
        <f ca="1">IF(AND(ISNUMBER($BD$981),$B$677=1),$BD$981,HLOOKUP(INDIRECT(ADDRESS(2,COLUMN())),OFFSET($BN$2,0,0,ROW()-1,60),ROW()-1,FALSE))</f>
        <v/>
      </c>
      <c r="BE315" t="str">
        <f ca="1">IF(AND(ISNUMBER($BE$981),$B$677=1),$BE$981,HLOOKUP(INDIRECT(ADDRESS(2,COLUMN())),OFFSET($BN$2,0,0,ROW()-1,60),ROW()-1,FALSE))</f>
        <v/>
      </c>
      <c r="BF315" t="str">
        <f ca="1">IF(AND(ISNUMBER($BF$981),$B$677=1),$BF$981,HLOOKUP(INDIRECT(ADDRESS(2,COLUMN())),OFFSET($BN$2,0,0,ROW()-1,60),ROW()-1,FALSE))</f>
        <v/>
      </c>
      <c r="BG315" t="str">
        <f ca="1">IF(AND(ISNUMBER($BG$981),$B$677=1),$BG$981,HLOOKUP(INDIRECT(ADDRESS(2,COLUMN())),OFFSET($BN$2,0,0,ROW()-1,60),ROW()-1,FALSE))</f>
        <v/>
      </c>
      <c r="BH315" t="str">
        <f ca="1">IF(AND(ISNUMBER($BH$981),$B$677=1),$BH$981,HLOOKUP(INDIRECT(ADDRESS(2,COLUMN())),OFFSET($BN$2,0,0,ROW()-1,60),ROW()-1,FALSE))</f>
        <v/>
      </c>
      <c r="BI315" t="str">
        <f ca="1">IF(AND(ISNUMBER($BI$981),$B$677=1),$BI$981,HLOOKUP(INDIRECT(ADDRESS(2,COLUMN())),OFFSET($BN$2,0,0,ROW()-1,60),ROW()-1,FALSE))</f>
        <v/>
      </c>
      <c r="BJ315" t="str">
        <f ca="1">IF(AND(ISNUMBER($BJ$981),$B$677=1),$BJ$981,HLOOKUP(INDIRECT(ADDRESS(2,COLUMN())),OFFSET($BN$2,0,0,ROW()-1,60),ROW()-1,FALSE))</f>
        <v/>
      </c>
      <c r="BK315" t="str">
        <f ca="1">IF(AND(ISNUMBER($BK$981),$B$677=1),$BK$981,HLOOKUP(INDIRECT(ADDRESS(2,COLUMN())),OFFSET($BN$2,0,0,ROW()-1,60),ROW()-1,FALSE))</f>
        <v/>
      </c>
      <c r="BL315" t="str">
        <f ca="1">IF(AND(ISNUMBER($BL$981),$B$677=1),$BL$981,HLOOKUP(INDIRECT(ADDRESS(2,COLUMN())),OFFSET($BN$2,0,0,ROW()-1,60),ROW()-1,FALSE))</f>
        <v/>
      </c>
      <c r="BM315" t="str">
        <f ca="1">IF(AND(ISNUMBER($BM$981),$B$677=1),$BM$981,HLOOKUP(INDIRECT(ADDRESS(2,COLUMN())),OFFSET($BN$2,0,0,ROW()-1,60),ROW()-1,FALSE))</f>
        <v/>
      </c>
      <c r="BN315" t="str">
        <f>""</f>
        <v/>
      </c>
      <c r="BO315">
        <f>3.557747526</f>
        <v>3.557747526</v>
      </c>
      <c r="BP315">
        <f>4.097245151</f>
        <v>4.0972451510000001</v>
      </c>
      <c r="BQ315">
        <f>3.51401293</f>
        <v>3.5140129299999998</v>
      </c>
      <c r="BR315">
        <f>3.405805031</f>
        <v>3.4058050309999999</v>
      </c>
      <c r="BS315">
        <f>4.231071575</f>
        <v>4.2310715749999996</v>
      </c>
      <c r="BT315">
        <f>4.992501979</f>
        <v>4.992501979</v>
      </c>
      <c r="BU315">
        <f>4.764951975</f>
        <v>4.7649519749999998</v>
      </c>
      <c r="BV315">
        <f>4.551871179</f>
        <v>4.5518711789999999</v>
      </c>
      <c r="BW315">
        <f>5.018041626</f>
        <v>5.0180416259999996</v>
      </c>
      <c r="BX315">
        <f>3.427104898</f>
        <v>3.4271048980000001</v>
      </c>
      <c r="BY315">
        <f>2.790988049</f>
        <v>2.7909880490000001</v>
      </c>
      <c r="BZ315">
        <f>3.548919173</f>
        <v>3.5489191729999998</v>
      </c>
      <c r="CA315">
        <f>5.374631873</f>
        <v>5.3746318730000002</v>
      </c>
      <c r="CB315">
        <f>4.148741429</f>
        <v>4.1487414290000002</v>
      </c>
      <c r="CC315">
        <f>5.898241399</f>
        <v>5.8982413989999998</v>
      </c>
      <c r="CD315">
        <f>5.928377907</f>
        <v>5.9283779069999998</v>
      </c>
      <c r="CE315">
        <f>7.392586548</f>
        <v>7.3925865479999997</v>
      </c>
      <c r="CF315">
        <f>6.943071355</f>
        <v>6.9430713549999998</v>
      </c>
      <c r="CG315">
        <f>6.469909453</f>
        <v>6.4699094529999996</v>
      </c>
      <c r="CH315">
        <f>6.699692998</f>
        <v>6.6996929979999997</v>
      </c>
      <c r="CI315">
        <f>9.067192218</f>
        <v>9.0671922180000006</v>
      </c>
      <c r="CJ315">
        <f>9.450185634</f>
        <v>9.4501856340000003</v>
      </c>
      <c r="CK315">
        <f>10.16237639</f>
        <v>10.16237639</v>
      </c>
      <c r="CL315">
        <f>9.920470322</f>
        <v>9.9204703219999999</v>
      </c>
      <c r="CM315">
        <f>8.986619514</f>
        <v>8.9866195139999991</v>
      </c>
      <c r="CN315">
        <f>10.31340153</f>
        <v>10.31340153</v>
      </c>
      <c r="CO315">
        <f>12.39541208</f>
        <v>12.39541208</v>
      </c>
      <c r="CP315">
        <f>24.55742277</f>
        <v>24.557422769999999</v>
      </c>
      <c r="CQ315">
        <f>29.22105828</f>
        <v>29.221058280000001</v>
      </c>
      <c r="CR315">
        <f>11.74253852</f>
        <v>11.74253852</v>
      </c>
      <c r="CS315">
        <f>12.09554662</f>
        <v>12.09554662</v>
      </c>
      <c r="CT315">
        <f>7.287967907</f>
        <v>7.2879679069999996</v>
      </c>
      <c r="CU315">
        <f>7.874939842</f>
        <v>7.8749398419999999</v>
      </c>
      <c r="CV315">
        <f>6.085370755</f>
        <v>6.0853707549999996</v>
      </c>
      <c r="CW315">
        <f>6.131665171</f>
        <v>6.1316651709999999</v>
      </c>
      <c r="CX315">
        <f>9.587100994</f>
        <v>9.587100994</v>
      </c>
      <c r="CY315">
        <f>435.8293816</f>
        <v>435.82938159999998</v>
      </c>
      <c r="CZ315" t="str">
        <f>""</f>
        <v/>
      </c>
      <c r="DA315">
        <f>12103.77912</f>
        <v>12103.779119999999</v>
      </c>
      <c r="DB315">
        <f>13.45578707</f>
        <v>13.45578707</v>
      </c>
      <c r="DC315">
        <f>4.476926781</f>
        <v>4.4769267810000004</v>
      </c>
      <c r="DD315">
        <f>4.357376433</f>
        <v>4.3573764329999998</v>
      </c>
      <c r="DE315">
        <f>5.063837719</f>
        <v>5.0638377190000003</v>
      </c>
      <c r="DF315">
        <f>3.412483887</f>
        <v>3.412483887</v>
      </c>
      <c r="DG315">
        <f>5.094077055</f>
        <v>5.0940770549999996</v>
      </c>
      <c r="DH315">
        <f>5.052535087</f>
        <v>5.0525350869999999</v>
      </c>
      <c r="DI315">
        <f>6.142937138</f>
        <v>6.1429371379999997</v>
      </c>
      <c r="DJ315">
        <f>5.624579073</f>
        <v>5.6245790729999996</v>
      </c>
      <c r="DK315" t="str">
        <f>""</f>
        <v/>
      </c>
      <c r="DL315" t="str">
        <f>""</f>
        <v/>
      </c>
      <c r="DM315" t="str">
        <f>""</f>
        <v/>
      </c>
      <c r="DN315" t="str">
        <f>""</f>
        <v/>
      </c>
      <c r="DO315" t="str">
        <f>""</f>
        <v/>
      </c>
      <c r="DP315" t="str">
        <f>""</f>
        <v/>
      </c>
      <c r="DQ315" t="str">
        <f>""</f>
        <v/>
      </c>
      <c r="DR315" t="str">
        <f>""</f>
        <v/>
      </c>
      <c r="DS315" t="str">
        <f>""</f>
        <v/>
      </c>
      <c r="DT315" t="str">
        <f>""</f>
        <v/>
      </c>
      <c r="DU315" t="str">
        <f>""</f>
        <v/>
      </c>
    </row>
    <row r="316" spans="1:125" x14ac:dyDescent="0.25">
      <c r="A316" t="str">
        <f>"    Mitsubishi Motors Corp"</f>
        <v xml:space="preserve">    Mitsubishi Motors Corp</v>
      </c>
      <c r="B316" t="str">
        <f>"7211 JP Equity"</f>
        <v>7211 JP Equity</v>
      </c>
      <c r="C316" t="str">
        <f t="shared" si="21"/>
        <v>RR474</v>
      </c>
      <c r="D316" t="str">
        <f t="shared" si="22"/>
        <v>EV_TO_T12M_EBITDA</v>
      </c>
      <c r="E316" t="str">
        <f t="shared" si="23"/>
        <v>Dynamic</v>
      </c>
      <c r="F316" t="str">
        <f ca="1">IF(AND(ISNUMBER($F$982),$B$677=1),$F$982,HLOOKUP(INDIRECT(ADDRESS(2,COLUMN())),OFFSET($BN$2,0,0,ROW()-1,60),ROW()-1,FALSE))</f>
        <v/>
      </c>
      <c r="G316">
        <f ca="1">IF(AND(ISNUMBER($G$982),$B$677=1),$G$982,HLOOKUP(INDIRECT(ADDRESS(2,COLUMN())),OFFSET($BN$2,0,0,ROW()-1,60),ROW()-1,FALSE))</f>
        <v>3.927849004</v>
      </c>
      <c r="H316">
        <f ca="1">IF(AND(ISNUMBER($H$982),$B$677=1),$H$982,HLOOKUP(INDIRECT(ADDRESS(2,COLUMN())),OFFSET($BN$2,0,0,ROW()-1,60),ROW()-1,FALSE))</f>
        <v>5.6661061979999996</v>
      </c>
      <c r="I316">
        <f ca="1">IF(AND(ISNUMBER($I$982),$B$677=1),$I$982,HLOOKUP(INDIRECT(ADDRESS(2,COLUMN())),OFFSET($BN$2,0,0,ROW()-1,60),ROW()-1,FALSE))</f>
        <v>6.793994391</v>
      </c>
      <c r="J316">
        <f ca="1">IF(AND(ISNUMBER($J$982),$B$677=1),$J$982,HLOOKUP(INDIRECT(ADDRESS(2,COLUMN())),OFFSET($BN$2,0,0,ROW()-1,60),ROW()-1,FALSE))</f>
        <v>4.0706900069999996</v>
      </c>
      <c r="K316">
        <f ca="1">IF(AND(ISNUMBER($K$982),$B$677=1),$K$982,HLOOKUP(INDIRECT(ADDRESS(2,COLUMN())),OFFSET($BN$2,0,0,ROW()-1,60),ROW()-1,FALSE))</f>
        <v>5.1268987050000003</v>
      </c>
      <c r="L316">
        <f ca="1">IF(AND(ISNUMBER($L$982),$B$677=1),$L$982,HLOOKUP(INDIRECT(ADDRESS(2,COLUMN())),OFFSET($BN$2,0,0,ROW()-1,60),ROW()-1,FALSE))</f>
        <v>6.6795906819999997</v>
      </c>
      <c r="M316">
        <f ca="1">IF(AND(ISNUMBER($M$982),$B$677=1),$M$982,HLOOKUP(INDIRECT(ADDRESS(2,COLUMN())),OFFSET($BN$2,0,0,ROW()-1,60),ROW()-1,FALSE))</f>
        <v>9.4035372289999994</v>
      </c>
      <c r="N316">
        <f ca="1">IF(AND(ISNUMBER($N$982),$B$677=1),$N$982,HLOOKUP(INDIRECT(ADDRESS(2,COLUMN())),OFFSET($BN$2,0,0,ROW()-1,60),ROW()-1,FALSE))</f>
        <v>9.2299913349999994</v>
      </c>
      <c r="O316">
        <f ca="1">IF(AND(ISNUMBER($O$982),$B$677=1),$O$982,HLOOKUP(INDIRECT(ADDRESS(2,COLUMN())),OFFSET($BN$2,0,0,ROW()-1,60),ROW()-1,FALSE))</f>
        <v>7.4685295070000004</v>
      </c>
      <c r="P316">
        <f ca="1">IF(AND(ISNUMBER($P$982),$B$677=1),$P$982,HLOOKUP(INDIRECT(ADDRESS(2,COLUMN())),OFFSET($BN$2,0,0,ROW()-1,60),ROW()-1,FALSE))</f>
        <v>1.619055868</v>
      </c>
      <c r="Q316">
        <f ca="1">IF(AND(ISNUMBER($Q$982),$B$677=1),$Q$982,HLOOKUP(INDIRECT(ADDRESS(2,COLUMN())),OFFSET($BN$2,0,0,ROW()-1,60),ROW()-1,FALSE))</f>
        <v>0.53534745800000005</v>
      </c>
      <c r="R316">
        <f ca="1">IF(AND(ISNUMBER($R$982),$B$677=1),$R$982,HLOOKUP(INDIRECT(ADDRESS(2,COLUMN())),OFFSET($BN$2,0,0,ROW()-1,60),ROW()-1,FALSE))</f>
        <v>2.1811821770000002</v>
      </c>
      <c r="S316">
        <f ca="1">IF(AND(ISNUMBER($S$982),$B$677=1),$S$982,HLOOKUP(INDIRECT(ADDRESS(2,COLUMN())),OFFSET($BN$2,0,0,ROW()-1,60),ROW()-1,FALSE))</f>
        <v>2.890850908</v>
      </c>
      <c r="T316">
        <f ca="1">IF(AND(ISNUMBER($T$982),$B$677=1),$T$982,HLOOKUP(INDIRECT(ADDRESS(2,COLUMN())),OFFSET($BN$2,0,0,ROW()-1,60),ROW()-1,FALSE))</f>
        <v>2.6951230559999999</v>
      </c>
      <c r="U316">
        <f ca="1">IF(AND(ISNUMBER($U$982),$B$677=1),$U$982,HLOOKUP(INDIRECT(ADDRESS(2,COLUMN())),OFFSET($BN$2,0,0,ROW()-1,60),ROW()-1,FALSE))</f>
        <v>4.0938383649999999</v>
      </c>
      <c r="V316">
        <f ca="1">IF(AND(ISNUMBER($V$982),$B$677=1),$V$982,HLOOKUP(INDIRECT(ADDRESS(2,COLUMN())),OFFSET($BN$2,0,0,ROW()-1,60),ROW()-1,FALSE))</f>
        <v>4.0254912540000003</v>
      </c>
      <c r="W316">
        <f ca="1">IF(AND(ISNUMBER($W$982),$B$677=1),$W$982,HLOOKUP(INDIRECT(ADDRESS(2,COLUMN())),OFFSET($BN$2,0,0,ROW()-1,60),ROW()-1,FALSE))</f>
        <v>4.245621474</v>
      </c>
      <c r="X316">
        <f ca="1">IF(AND(ISNUMBER($X$982),$B$677=1),$X$982,HLOOKUP(INDIRECT(ADDRESS(2,COLUMN())),OFFSET($BN$2,0,0,ROW()-1,60),ROW()-1,FALSE))</f>
        <v>5.5012114959999998</v>
      </c>
      <c r="Y316">
        <f ca="1">IF(AND(ISNUMBER($Y$982),$B$677=1),$Y$982,HLOOKUP(INDIRECT(ADDRESS(2,COLUMN())),OFFSET($BN$2,0,0,ROW()-1,60),ROW()-1,FALSE))</f>
        <v>4.4690411770000003</v>
      </c>
      <c r="Z316">
        <f ca="1">IF(AND(ISNUMBER($Z$982),$B$677=1),$Z$982,HLOOKUP(INDIRECT(ADDRESS(2,COLUMN())),OFFSET($BN$2,0,0,ROW()-1,60),ROW()-1,FALSE))</f>
        <v>4.7868421190000001</v>
      </c>
      <c r="AA316">
        <f ca="1">IF(AND(ISNUMBER($AA$982),$B$677=1),$AA$982,HLOOKUP(INDIRECT(ADDRESS(2,COLUMN())),OFFSET($BN$2,0,0,ROW()-1,60),ROW()-1,FALSE))</f>
        <v>5.1433755879999996</v>
      </c>
      <c r="AB316">
        <f ca="1">IF(AND(ISNUMBER($AB$982),$B$677=1),$AB$982,HLOOKUP(INDIRECT(ADDRESS(2,COLUMN())),OFFSET($BN$2,0,0,ROW()-1,60),ROW()-1,FALSE))</f>
        <v>7.0358454840000002</v>
      </c>
      <c r="AC316">
        <f ca="1">IF(AND(ISNUMBER($AC$982),$B$677=1),$AC$982,HLOOKUP(INDIRECT(ADDRESS(2,COLUMN())),OFFSET($BN$2,0,0,ROW()-1,60),ROW()-1,FALSE))</f>
        <v>9.6741999669999998</v>
      </c>
      <c r="AD316">
        <f ca="1">IF(AND(ISNUMBER($AD$982),$B$677=1),$AD$982,HLOOKUP(INDIRECT(ADDRESS(2,COLUMN())),OFFSET($BN$2,0,0,ROW()-1,60),ROW()-1,FALSE))</f>
        <v>8.1290905129999995</v>
      </c>
      <c r="AE316">
        <f ca="1">IF(AND(ISNUMBER($AE$982),$B$677=1),$AE$982,HLOOKUP(INDIRECT(ADDRESS(2,COLUMN())),OFFSET($BN$2,0,0,ROW()-1,60),ROW()-1,FALSE))</f>
        <v>8.0479929469999991</v>
      </c>
      <c r="AF316">
        <f ca="1">IF(AND(ISNUMBER($AF$982),$B$677=1),$AF$982,HLOOKUP(INDIRECT(ADDRESS(2,COLUMN())),OFFSET($BN$2,0,0,ROW()-1,60),ROW()-1,FALSE))</f>
        <v>7.3859709950000001</v>
      </c>
      <c r="AG316">
        <f ca="1">IF(AND(ISNUMBER($AG$982),$B$677=1),$AG$982,HLOOKUP(INDIRECT(ADDRESS(2,COLUMN())),OFFSET($BN$2,0,0,ROW()-1,60),ROW()-1,FALSE))</f>
        <v>7.3040755879999999</v>
      </c>
      <c r="AH316">
        <f ca="1">IF(AND(ISNUMBER($AH$982),$B$677=1),$AH$982,HLOOKUP(INDIRECT(ADDRESS(2,COLUMN())),OFFSET($BN$2,0,0,ROW()-1,60),ROW()-1,FALSE))</f>
        <v>8.6052713910000005</v>
      </c>
      <c r="AI316">
        <f ca="1">IF(AND(ISNUMBER($AI$982),$B$677=1),$AI$982,HLOOKUP(INDIRECT(ADDRESS(2,COLUMN())),OFFSET($BN$2,0,0,ROW()-1,60),ROW()-1,FALSE))</f>
        <v>8.2688816490000008</v>
      </c>
      <c r="AJ316">
        <f ca="1">IF(AND(ISNUMBER($AJ$982),$B$677=1),$AJ$982,HLOOKUP(INDIRECT(ADDRESS(2,COLUMN())),OFFSET($BN$2,0,0,ROW()-1,60),ROW()-1,FALSE))</f>
        <v>8.3871213040000008</v>
      </c>
      <c r="AK316">
        <f ca="1">IF(AND(ISNUMBER($AK$982),$B$677=1),$AK$982,HLOOKUP(INDIRECT(ADDRESS(2,COLUMN())),OFFSET($BN$2,0,0,ROW()-1,60),ROW()-1,FALSE))</f>
        <v>8.9026659820000003</v>
      </c>
      <c r="AL316">
        <f ca="1">IF(AND(ISNUMBER($AL$982),$B$677=1),$AL$982,HLOOKUP(INDIRECT(ADDRESS(2,COLUMN())),OFFSET($BN$2,0,0,ROW()-1,60),ROW()-1,FALSE))</f>
        <v>10.69127404</v>
      </c>
      <c r="AM316">
        <f ca="1">IF(AND(ISNUMBER($AM$982),$B$677=1),$AM$982,HLOOKUP(INDIRECT(ADDRESS(2,COLUMN())),OFFSET($BN$2,0,0,ROW()-1,60),ROW()-1,FALSE))</f>
        <v>10.35361479</v>
      </c>
      <c r="AN316">
        <f ca="1">IF(AND(ISNUMBER($AN$982),$B$677=1),$AN$982,HLOOKUP(INDIRECT(ADDRESS(2,COLUMN())),OFFSET($BN$2,0,0,ROW()-1,60),ROW()-1,FALSE))</f>
        <v>9.3584827399999995</v>
      </c>
      <c r="AO316">
        <f ca="1">IF(AND(ISNUMBER($AO$982),$B$677=1),$AO$982,HLOOKUP(INDIRECT(ADDRESS(2,COLUMN())),OFFSET($BN$2,0,0,ROW()-1,60),ROW()-1,FALSE))</f>
        <v>10.81149431</v>
      </c>
      <c r="AP316">
        <f ca="1">IF(AND(ISNUMBER($AP$982),$B$677=1),$AP$982,HLOOKUP(INDIRECT(ADDRESS(2,COLUMN())),OFFSET($BN$2,0,0,ROW()-1,60),ROW()-1,FALSE))</f>
        <v>15.30227637</v>
      </c>
      <c r="AQ316">
        <f ca="1">IF(AND(ISNUMBER($AQ$982),$B$677=1),$AQ$982,HLOOKUP(INDIRECT(ADDRESS(2,COLUMN())),OFFSET($BN$2,0,0,ROW()-1,60),ROW()-1,FALSE))</f>
        <v>34.625074120000001</v>
      </c>
      <c r="AR316">
        <f ca="1">IF(AND(ISNUMBER($AR$982),$B$677=1),$AR$982,HLOOKUP(INDIRECT(ADDRESS(2,COLUMN())),OFFSET($BN$2,0,0,ROW()-1,60),ROW()-1,FALSE))</f>
        <v>62.442210699999997</v>
      </c>
      <c r="AS316">
        <f ca="1">IF(AND(ISNUMBER($AS$982),$B$677=1),$AS$982,HLOOKUP(INDIRECT(ADDRESS(2,COLUMN())),OFFSET($BN$2,0,0,ROW()-1,60),ROW()-1,FALSE))</f>
        <v>36.008490889999997</v>
      </c>
      <c r="AT316">
        <f ca="1">IF(AND(ISNUMBER($AT$982),$B$677=1),$AT$982,HLOOKUP(INDIRECT(ADDRESS(2,COLUMN())),OFFSET($BN$2,0,0,ROW()-1,60),ROW()-1,FALSE))</f>
        <v>15.43631856</v>
      </c>
      <c r="AU316" t="str">
        <f ca="1">IF(AND(ISNUMBER($AU$982),$B$677=1),$AU$982,HLOOKUP(INDIRECT(ADDRESS(2,COLUMN())),OFFSET($BN$2,0,0,ROW()-1,60),ROW()-1,FALSE))</f>
        <v/>
      </c>
      <c r="AV316" t="str">
        <f ca="1">IF(AND(ISNUMBER($AV$982),$B$677=1),$AV$982,HLOOKUP(INDIRECT(ADDRESS(2,COLUMN())),OFFSET($BN$2,0,0,ROW()-1,60),ROW()-1,FALSE))</f>
        <v/>
      </c>
      <c r="AW316" t="str">
        <f ca="1">IF(AND(ISNUMBER($AW$982),$B$677=1),$AW$982,HLOOKUP(INDIRECT(ADDRESS(2,COLUMN())),OFFSET($BN$2,0,0,ROW()-1,60),ROW()-1,FALSE))</f>
        <v/>
      </c>
      <c r="AX316" t="str">
        <f ca="1">IF(AND(ISNUMBER($AX$982),$B$677=1),$AX$982,HLOOKUP(INDIRECT(ADDRESS(2,COLUMN())),OFFSET($BN$2,0,0,ROW()-1,60),ROW()-1,FALSE))</f>
        <v/>
      </c>
      <c r="AY316" t="str">
        <f ca="1">IF(AND(ISNUMBER($AY$982),$B$677=1),$AY$982,HLOOKUP(INDIRECT(ADDRESS(2,COLUMN())),OFFSET($BN$2,0,0,ROW()-1,60),ROW()-1,FALSE))</f>
        <v/>
      </c>
      <c r="AZ316" t="str">
        <f ca="1">IF(AND(ISNUMBER($AZ$982),$B$677=1),$AZ$982,HLOOKUP(INDIRECT(ADDRESS(2,COLUMN())),OFFSET($BN$2,0,0,ROW()-1,60),ROW()-1,FALSE))</f>
        <v/>
      </c>
      <c r="BA316" t="str">
        <f ca="1">IF(AND(ISNUMBER($BA$982),$B$677=1),$BA$982,HLOOKUP(INDIRECT(ADDRESS(2,COLUMN())),OFFSET($BN$2,0,0,ROW()-1,60),ROW()-1,FALSE))</f>
        <v/>
      </c>
      <c r="BB316" t="str">
        <f ca="1">IF(AND(ISNUMBER($BB$982),$B$677=1),$BB$982,HLOOKUP(INDIRECT(ADDRESS(2,COLUMN())),OFFSET($BN$2,0,0,ROW()-1,60),ROW()-1,FALSE))</f>
        <v/>
      </c>
      <c r="BC316" t="str">
        <f ca="1">IF(AND(ISNUMBER($BC$982),$B$677=1),$BC$982,HLOOKUP(INDIRECT(ADDRESS(2,COLUMN())),OFFSET($BN$2,0,0,ROW()-1,60),ROW()-1,FALSE))</f>
        <v/>
      </c>
      <c r="BD316" t="str">
        <f ca="1">IF(AND(ISNUMBER($BD$982),$B$677=1),$BD$982,HLOOKUP(INDIRECT(ADDRESS(2,COLUMN())),OFFSET($BN$2,0,0,ROW()-1,60),ROW()-1,FALSE))</f>
        <v/>
      </c>
      <c r="BE316" t="str">
        <f ca="1">IF(AND(ISNUMBER($BE$982),$B$677=1),$BE$982,HLOOKUP(INDIRECT(ADDRESS(2,COLUMN())),OFFSET($BN$2,0,0,ROW()-1,60),ROW()-1,FALSE))</f>
        <v/>
      </c>
      <c r="BF316" t="str">
        <f ca="1">IF(AND(ISNUMBER($BF$982),$B$677=1),$BF$982,HLOOKUP(INDIRECT(ADDRESS(2,COLUMN())),OFFSET($BN$2,0,0,ROW()-1,60),ROW()-1,FALSE))</f>
        <v/>
      </c>
      <c r="BG316" t="str">
        <f ca="1">IF(AND(ISNUMBER($BG$982),$B$677=1),$BG$982,HLOOKUP(INDIRECT(ADDRESS(2,COLUMN())),OFFSET($BN$2,0,0,ROW()-1,60),ROW()-1,FALSE))</f>
        <v/>
      </c>
      <c r="BH316" t="str">
        <f ca="1">IF(AND(ISNUMBER($BH$982),$B$677=1),$BH$982,HLOOKUP(INDIRECT(ADDRESS(2,COLUMN())),OFFSET($BN$2,0,0,ROW()-1,60),ROW()-1,FALSE))</f>
        <v/>
      </c>
      <c r="BI316" t="str">
        <f ca="1">IF(AND(ISNUMBER($BI$982),$B$677=1),$BI$982,HLOOKUP(INDIRECT(ADDRESS(2,COLUMN())),OFFSET($BN$2,0,0,ROW()-1,60),ROW()-1,FALSE))</f>
        <v/>
      </c>
      <c r="BJ316" t="str">
        <f ca="1">IF(AND(ISNUMBER($BJ$982),$B$677=1),$BJ$982,HLOOKUP(INDIRECT(ADDRESS(2,COLUMN())),OFFSET($BN$2,0,0,ROW()-1,60),ROW()-1,FALSE))</f>
        <v/>
      </c>
      <c r="BK316" t="str">
        <f ca="1">IF(AND(ISNUMBER($BK$982),$B$677=1),$BK$982,HLOOKUP(INDIRECT(ADDRESS(2,COLUMN())),OFFSET($BN$2,0,0,ROW()-1,60),ROW()-1,FALSE))</f>
        <v/>
      </c>
      <c r="BL316" t="str">
        <f ca="1">IF(AND(ISNUMBER($BL$982),$B$677=1),$BL$982,HLOOKUP(INDIRECT(ADDRESS(2,COLUMN())),OFFSET($BN$2,0,0,ROW()-1,60),ROW()-1,FALSE))</f>
        <v/>
      </c>
      <c r="BM316" t="str">
        <f ca="1">IF(AND(ISNUMBER($BM$982),$B$677=1),$BM$982,HLOOKUP(INDIRECT(ADDRESS(2,COLUMN())),OFFSET($BN$2,0,0,ROW()-1,60),ROW()-1,FALSE))</f>
        <v/>
      </c>
      <c r="BN316" t="str">
        <f>""</f>
        <v/>
      </c>
      <c r="BO316">
        <f>3.927849004</f>
        <v>3.927849004</v>
      </c>
      <c r="BP316">
        <f>5.666106198</f>
        <v>5.6661061979999996</v>
      </c>
      <c r="BQ316">
        <f>6.793994391</f>
        <v>6.793994391</v>
      </c>
      <c r="BR316">
        <f>4.070690007</f>
        <v>4.0706900069999996</v>
      </c>
      <c r="BS316">
        <f>5.126898705</f>
        <v>5.1268987050000003</v>
      </c>
      <c r="BT316">
        <f>6.679590682</f>
        <v>6.6795906819999997</v>
      </c>
      <c r="BU316">
        <f>9.403537229</f>
        <v>9.4035372289999994</v>
      </c>
      <c r="BV316">
        <f>9.229991335</f>
        <v>9.2299913349999994</v>
      </c>
      <c r="BW316">
        <f>7.468529507</f>
        <v>7.4685295070000004</v>
      </c>
      <c r="BX316">
        <f>1.619055868</f>
        <v>1.619055868</v>
      </c>
      <c r="BY316">
        <f>0.535347458</f>
        <v>0.53534745800000005</v>
      </c>
      <c r="BZ316">
        <f>2.181182177</f>
        <v>2.1811821770000002</v>
      </c>
      <c r="CA316">
        <f>2.890850908</f>
        <v>2.890850908</v>
      </c>
      <c r="CB316">
        <f>2.695123056</f>
        <v>2.6951230559999999</v>
      </c>
      <c r="CC316">
        <f>4.093838365</f>
        <v>4.0938383649999999</v>
      </c>
      <c r="CD316">
        <f>4.025491254</f>
        <v>4.0254912540000003</v>
      </c>
      <c r="CE316">
        <f>4.245621474</f>
        <v>4.245621474</v>
      </c>
      <c r="CF316">
        <f>5.501211496</f>
        <v>5.5012114959999998</v>
      </c>
      <c r="CG316">
        <f>4.469041177</f>
        <v>4.4690411770000003</v>
      </c>
      <c r="CH316">
        <f>4.786842119</f>
        <v>4.7868421190000001</v>
      </c>
      <c r="CI316">
        <f>5.143375588</f>
        <v>5.1433755879999996</v>
      </c>
      <c r="CJ316">
        <f>7.035845484</f>
        <v>7.0358454840000002</v>
      </c>
      <c r="CK316">
        <f>9.674199967</f>
        <v>9.6741999669999998</v>
      </c>
      <c r="CL316">
        <f>8.129090513</f>
        <v>8.1290905129999995</v>
      </c>
      <c r="CM316">
        <f>8.047992947</f>
        <v>8.0479929469999991</v>
      </c>
      <c r="CN316">
        <f>7.385970995</f>
        <v>7.3859709950000001</v>
      </c>
      <c r="CO316">
        <f>7.304075588</f>
        <v>7.3040755879999999</v>
      </c>
      <c r="CP316">
        <f>8.605271391</f>
        <v>8.6052713910000005</v>
      </c>
      <c r="CQ316">
        <f>8.268881649</f>
        <v>8.2688816490000008</v>
      </c>
      <c r="CR316">
        <f>8.387121304</f>
        <v>8.3871213040000008</v>
      </c>
      <c r="CS316">
        <f>8.902665982</f>
        <v>8.9026659820000003</v>
      </c>
      <c r="CT316">
        <f>10.69127404</f>
        <v>10.69127404</v>
      </c>
      <c r="CU316">
        <f>10.35361479</f>
        <v>10.35361479</v>
      </c>
      <c r="CV316">
        <f>9.35848274</f>
        <v>9.3584827399999995</v>
      </c>
      <c r="CW316">
        <f>10.81149431</f>
        <v>10.81149431</v>
      </c>
      <c r="CX316">
        <f>15.30227637</f>
        <v>15.30227637</v>
      </c>
      <c r="CY316">
        <f>34.62507412</f>
        <v>34.625074120000001</v>
      </c>
      <c r="CZ316">
        <f>62.4422107</f>
        <v>62.442210699999997</v>
      </c>
      <c r="DA316">
        <f>36.00849089</f>
        <v>36.008490889999997</v>
      </c>
      <c r="DB316">
        <f>15.43631856</f>
        <v>15.43631856</v>
      </c>
      <c r="DC316" t="str">
        <f>""</f>
        <v/>
      </c>
      <c r="DD316" t="str">
        <f>""</f>
        <v/>
      </c>
      <c r="DE316" t="str">
        <f>""</f>
        <v/>
      </c>
      <c r="DF316" t="str">
        <f>""</f>
        <v/>
      </c>
      <c r="DG316" t="str">
        <f>""</f>
        <v/>
      </c>
      <c r="DH316" t="str">
        <f>""</f>
        <v/>
      </c>
      <c r="DI316" t="str">
        <f>""</f>
        <v/>
      </c>
      <c r="DJ316" t="str">
        <f>""</f>
        <v/>
      </c>
      <c r="DK316" t="str">
        <f>""</f>
        <v/>
      </c>
      <c r="DL316" t="str">
        <f>""</f>
        <v/>
      </c>
      <c r="DM316" t="str">
        <f>""</f>
        <v/>
      </c>
      <c r="DN316" t="str">
        <f>""</f>
        <v/>
      </c>
      <c r="DO316" t="str">
        <f>""</f>
        <v/>
      </c>
      <c r="DP316" t="str">
        <f>""</f>
        <v/>
      </c>
      <c r="DQ316" t="str">
        <f>""</f>
        <v/>
      </c>
      <c r="DR316" t="str">
        <f>""</f>
        <v/>
      </c>
      <c r="DS316" t="str">
        <f>""</f>
        <v/>
      </c>
      <c r="DT316" t="str">
        <f>""</f>
        <v/>
      </c>
      <c r="DU316" t="str">
        <f>""</f>
        <v/>
      </c>
    </row>
    <row r="317" spans="1:125" x14ac:dyDescent="0.25">
      <c r="A317" t="str">
        <f>"    Nissan Motor Co Ltd"</f>
        <v xml:space="preserve">    Nissan Motor Co Ltd</v>
      </c>
      <c r="B317" t="str">
        <f>"7201 JP Equity"</f>
        <v>7201 JP Equity</v>
      </c>
      <c r="C317" t="str">
        <f t="shared" si="21"/>
        <v>RR474</v>
      </c>
      <c r="D317" t="str">
        <f t="shared" si="22"/>
        <v>EV_TO_T12M_EBITDA</v>
      </c>
      <c r="E317" t="str">
        <f t="shared" si="23"/>
        <v>Dynamic</v>
      </c>
      <c r="F317" t="str">
        <f ca="1">IF(AND(ISNUMBER($F$983),$B$677=1),$F$983,HLOOKUP(INDIRECT(ADDRESS(2,COLUMN())),OFFSET($BN$2,0,0,ROW()-1,60),ROW()-1,FALSE))</f>
        <v/>
      </c>
      <c r="G317">
        <f ca="1">IF(AND(ISNUMBER($G$983),$B$677=1),$G$983,HLOOKUP(INDIRECT(ADDRESS(2,COLUMN())),OFFSET($BN$2,0,0,ROW()-1,60),ROW()-1,FALSE))</f>
        <v>1.687883134</v>
      </c>
      <c r="H317">
        <f ca="1">IF(AND(ISNUMBER($H$983),$B$677=1),$H$983,HLOOKUP(INDIRECT(ADDRESS(2,COLUMN())),OFFSET($BN$2,0,0,ROW()-1,60),ROW()-1,FALSE))</f>
        <v>2.0499125889999998</v>
      </c>
      <c r="I317">
        <f ca="1">IF(AND(ISNUMBER($I$983),$B$677=1),$I$983,HLOOKUP(INDIRECT(ADDRESS(2,COLUMN())),OFFSET($BN$2,0,0,ROW()-1,60),ROW()-1,FALSE))</f>
        <v>2.0495370519999998</v>
      </c>
      <c r="J317">
        <f ca="1">IF(AND(ISNUMBER($J$983),$B$677=1),$J$983,HLOOKUP(INDIRECT(ADDRESS(2,COLUMN())),OFFSET($BN$2,0,0,ROW()-1,60),ROW()-1,FALSE))</f>
        <v>1.947953284</v>
      </c>
      <c r="K317">
        <f ca="1">IF(AND(ISNUMBER($K$983),$B$677=1),$K$983,HLOOKUP(INDIRECT(ADDRESS(2,COLUMN())),OFFSET($BN$2,0,0,ROW()-1,60),ROW()-1,FALSE))</f>
        <v>2.2975601430000001</v>
      </c>
      <c r="L317">
        <f ca="1">IF(AND(ISNUMBER($L$983),$B$677=1),$L$983,HLOOKUP(INDIRECT(ADDRESS(2,COLUMN())),OFFSET($BN$2,0,0,ROW()-1,60),ROW()-1,FALSE))</f>
        <v>1.8705079259999999</v>
      </c>
      <c r="M317">
        <f ca="1">IF(AND(ISNUMBER($M$983),$B$677=1),$M$983,HLOOKUP(INDIRECT(ADDRESS(2,COLUMN())),OFFSET($BN$2,0,0,ROW()-1,60),ROW()-1,FALSE))</f>
        <v>1.9254174420000001</v>
      </c>
      <c r="N317">
        <f ca="1">IF(AND(ISNUMBER($N$983),$B$677=1),$N$983,HLOOKUP(INDIRECT(ADDRESS(2,COLUMN())),OFFSET($BN$2,0,0,ROW()-1,60),ROW()-1,FALSE))</f>
        <v>1.8103109770000001</v>
      </c>
      <c r="O317">
        <f ca="1">IF(AND(ISNUMBER($O$983),$B$677=1),$O$983,HLOOKUP(INDIRECT(ADDRESS(2,COLUMN())),OFFSET($BN$2,0,0,ROW()-1,60),ROW()-1,FALSE))</f>
        <v>2.5438352399999999</v>
      </c>
      <c r="P317">
        <f ca="1">IF(AND(ISNUMBER($P$983),$B$677=1),$P$983,HLOOKUP(INDIRECT(ADDRESS(2,COLUMN())),OFFSET($BN$2,0,0,ROW()-1,60),ROW()-1,FALSE))</f>
        <v>1.919093116</v>
      </c>
      <c r="Q317">
        <f ca="1">IF(AND(ISNUMBER($Q$983),$B$677=1),$Q$983,HLOOKUP(INDIRECT(ADDRESS(2,COLUMN())),OFFSET($BN$2,0,0,ROW()-1,60),ROW()-1,FALSE))</f>
        <v>1.7224414720000001</v>
      </c>
      <c r="R317">
        <f ca="1">IF(AND(ISNUMBER($R$983),$B$677=1),$R$983,HLOOKUP(INDIRECT(ADDRESS(2,COLUMN())),OFFSET($BN$2,0,0,ROW()-1,60),ROW()-1,FALSE))</f>
        <v>2.003160555</v>
      </c>
      <c r="S317">
        <f ca="1">IF(AND(ISNUMBER($S$983),$B$677=1),$S$983,HLOOKUP(INDIRECT(ADDRESS(2,COLUMN())),OFFSET($BN$2,0,0,ROW()-1,60),ROW()-1,FALSE))</f>
        <v>2.7545437979999998</v>
      </c>
      <c r="T317">
        <f ca="1">IF(AND(ISNUMBER($T$983),$B$677=1),$T$983,HLOOKUP(INDIRECT(ADDRESS(2,COLUMN())),OFFSET($BN$2,0,0,ROW()-1,60),ROW()-1,FALSE))</f>
        <v>2.2089978430000001</v>
      </c>
      <c r="U317">
        <f ca="1">IF(AND(ISNUMBER($U$983),$B$677=1),$U$983,HLOOKUP(INDIRECT(ADDRESS(2,COLUMN())),OFFSET($BN$2,0,0,ROW()-1,60),ROW()-1,FALSE))</f>
        <v>3.2305912769999998</v>
      </c>
      <c r="V317">
        <f ca="1">IF(AND(ISNUMBER($V$983),$B$677=1),$V$983,HLOOKUP(INDIRECT(ADDRESS(2,COLUMN())),OFFSET($BN$2,0,0,ROW()-1,60),ROW()-1,FALSE))</f>
        <v>3.027445138</v>
      </c>
      <c r="W317">
        <f ca="1">IF(AND(ISNUMBER($W$983),$B$677=1),$W$983,HLOOKUP(INDIRECT(ADDRESS(2,COLUMN())),OFFSET($BN$2,0,0,ROW()-1,60),ROW()-1,FALSE))</f>
        <v>2.6516463620000001</v>
      </c>
      <c r="X317">
        <f ca="1">IF(AND(ISNUMBER($X$983),$B$677=1),$X$983,HLOOKUP(INDIRECT(ADDRESS(2,COLUMN())),OFFSET($BN$2,0,0,ROW()-1,60),ROW()-1,FALSE))</f>
        <v>2.9561428959999998</v>
      </c>
      <c r="Y317">
        <f ca="1">IF(AND(ISNUMBER($Y$983),$B$677=1),$Y$983,HLOOKUP(INDIRECT(ADDRESS(2,COLUMN())),OFFSET($BN$2,0,0,ROW()-1,60),ROW()-1,FALSE))</f>
        <v>2.8550053599999998</v>
      </c>
      <c r="Z317">
        <f ca="1">IF(AND(ISNUMBER($Z$983),$B$677=1),$Z$983,HLOOKUP(INDIRECT(ADDRESS(2,COLUMN())),OFFSET($BN$2,0,0,ROW()-1,60),ROW()-1,FALSE))</f>
        <v>2.6936468840000001</v>
      </c>
      <c r="AA317">
        <f ca="1">IF(AND(ISNUMBER($AA$983),$B$677=1),$AA$983,HLOOKUP(INDIRECT(ADDRESS(2,COLUMN())),OFFSET($BN$2,0,0,ROW()-1,60),ROW()-1,FALSE))</f>
        <v>3.0211467320000001</v>
      </c>
      <c r="AB317">
        <f ca="1">IF(AND(ISNUMBER($AB$983),$B$677=1),$AB$983,HLOOKUP(INDIRECT(ADDRESS(2,COLUMN())),OFFSET($BN$2,0,0,ROW()-1,60),ROW()-1,FALSE))</f>
        <v>3.501210484</v>
      </c>
      <c r="AC317">
        <f ca="1">IF(AND(ISNUMBER($AC$983),$B$677=1),$AC$983,HLOOKUP(INDIRECT(ADDRESS(2,COLUMN())),OFFSET($BN$2,0,0,ROW()-1,60),ROW()-1,FALSE))</f>
        <v>3.6839021239999998</v>
      </c>
      <c r="AD317">
        <f ca="1">IF(AND(ISNUMBER($AD$983),$B$677=1),$AD$983,HLOOKUP(INDIRECT(ADDRESS(2,COLUMN())),OFFSET($BN$2,0,0,ROW()-1,60),ROW()-1,FALSE))</f>
        <v>3.2314012860000001</v>
      </c>
      <c r="AE317">
        <f ca="1">IF(AND(ISNUMBER($AE$983),$B$677=1),$AE$983,HLOOKUP(INDIRECT(ADDRESS(2,COLUMN())),OFFSET($BN$2,0,0,ROW()-1,60),ROW()-1,FALSE))</f>
        <v>3.5280703120000001</v>
      </c>
      <c r="AF317">
        <f ca="1">IF(AND(ISNUMBER($AF$983),$B$677=1),$AF$983,HLOOKUP(INDIRECT(ADDRESS(2,COLUMN())),OFFSET($BN$2,0,0,ROW()-1,60),ROW()-1,FALSE))</f>
        <v>2.6031573529999998</v>
      </c>
      <c r="AG317">
        <f ca="1">IF(AND(ISNUMBER($AG$983),$B$677=1),$AG$983,HLOOKUP(INDIRECT(ADDRESS(2,COLUMN())),OFFSET($BN$2,0,0,ROW()-1,60),ROW()-1,FALSE))</f>
        <v>2.796838685</v>
      </c>
      <c r="AH317">
        <f ca="1">IF(AND(ISNUMBER($AH$983),$B$677=1),$AH$983,HLOOKUP(INDIRECT(ADDRESS(2,COLUMN())),OFFSET($BN$2,0,0,ROW()-1,60),ROW()-1,FALSE))</f>
        <v>2.9792297849999998</v>
      </c>
      <c r="AI317">
        <f ca="1">IF(AND(ISNUMBER($AI$983),$B$677=1),$AI$983,HLOOKUP(INDIRECT(ADDRESS(2,COLUMN())),OFFSET($BN$2,0,0,ROW()-1,60),ROW()-1,FALSE))</f>
        <v>2.5542029780000002</v>
      </c>
      <c r="AJ317">
        <f ca="1">IF(AND(ISNUMBER($AJ$983),$B$677=1),$AJ$983,HLOOKUP(INDIRECT(ADDRESS(2,COLUMN())),OFFSET($BN$2,0,0,ROW()-1,60),ROW()-1,FALSE))</f>
        <v>2.5769938940000001</v>
      </c>
      <c r="AK317">
        <f ca="1">IF(AND(ISNUMBER($AK$983),$B$677=1),$AK$983,HLOOKUP(INDIRECT(ADDRESS(2,COLUMN())),OFFSET($BN$2,0,0,ROW()-1,60),ROW()-1,FALSE))</f>
        <v>3.0700771630000001</v>
      </c>
      <c r="AL317">
        <f ca="1">IF(AND(ISNUMBER($AL$983),$B$677=1),$AL$983,HLOOKUP(INDIRECT(ADDRESS(2,COLUMN())),OFFSET($BN$2,0,0,ROW()-1,60),ROW()-1,FALSE))</f>
        <v>2.6543495770000001</v>
      </c>
      <c r="AM317">
        <f ca="1">IF(AND(ISNUMBER($AM$983),$B$677=1),$AM$983,HLOOKUP(INDIRECT(ADDRESS(2,COLUMN())),OFFSET($BN$2,0,0,ROW()-1,60),ROW()-1,FALSE))</f>
        <v>3.0199244589999998</v>
      </c>
      <c r="AN317">
        <f ca="1">IF(AND(ISNUMBER($AN$983),$B$677=1),$AN$983,HLOOKUP(INDIRECT(ADDRESS(2,COLUMN())),OFFSET($BN$2,0,0,ROW()-1,60),ROW()-1,FALSE))</f>
        <v>2.7205712690000001</v>
      </c>
      <c r="AO317">
        <f ca="1">IF(AND(ISNUMBER($AO$983),$B$677=1),$AO$983,HLOOKUP(INDIRECT(ADDRESS(2,COLUMN())),OFFSET($BN$2,0,0,ROW()-1,60),ROW()-1,FALSE))</f>
        <v>2.5457570039999999</v>
      </c>
      <c r="AP317">
        <f ca="1">IF(AND(ISNUMBER($AP$983),$B$677=1),$AP$983,HLOOKUP(INDIRECT(ADDRESS(2,COLUMN())),OFFSET($BN$2,0,0,ROW()-1,60),ROW()-1,FALSE))</f>
        <v>3.5775888020000002</v>
      </c>
      <c r="AQ317">
        <f ca="1">IF(AND(ISNUMBER($AQ$983),$B$677=1),$AQ$983,HLOOKUP(INDIRECT(ADDRESS(2,COLUMN())),OFFSET($BN$2,0,0,ROW()-1,60),ROW()-1,FALSE))</f>
        <v>5.4637832319999999</v>
      </c>
      <c r="AR317">
        <f ca="1">IF(AND(ISNUMBER($AR$983),$B$677=1),$AR$983,HLOOKUP(INDIRECT(ADDRESS(2,COLUMN())),OFFSET($BN$2,0,0,ROW()-1,60),ROW()-1,FALSE))</f>
        <v>6.2082641760000001</v>
      </c>
      <c r="AS317">
        <f ca="1">IF(AND(ISNUMBER($AS$983),$B$677=1),$AS$983,HLOOKUP(INDIRECT(ADDRESS(2,COLUMN())),OFFSET($BN$2,0,0,ROW()-1,60),ROW()-1,FALSE))</f>
        <v>5.6826941299999998</v>
      </c>
      <c r="AT317">
        <f ca="1">IF(AND(ISNUMBER($AT$983),$B$677=1),$AT$983,HLOOKUP(INDIRECT(ADDRESS(2,COLUMN())),OFFSET($BN$2,0,0,ROW()-1,60),ROW()-1,FALSE))</f>
        <v>9.0218369599999999</v>
      </c>
      <c r="AU317" t="str">
        <f ca="1">IF(AND(ISNUMBER($AU$983),$B$677=1),$AU$983,HLOOKUP(INDIRECT(ADDRESS(2,COLUMN())),OFFSET($BN$2,0,0,ROW()-1,60),ROW()-1,FALSE))</f>
        <v/>
      </c>
      <c r="AV317" t="str">
        <f ca="1">IF(AND(ISNUMBER($AV$983),$B$677=1),$AV$983,HLOOKUP(INDIRECT(ADDRESS(2,COLUMN())),OFFSET($BN$2,0,0,ROW()-1,60),ROW()-1,FALSE))</f>
        <v/>
      </c>
      <c r="AW317" t="str">
        <f ca="1">IF(AND(ISNUMBER($AW$983),$B$677=1),$AW$983,HLOOKUP(INDIRECT(ADDRESS(2,COLUMN())),OFFSET($BN$2,0,0,ROW()-1,60),ROW()-1,FALSE))</f>
        <v/>
      </c>
      <c r="AX317" t="str">
        <f ca="1">IF(AND(ISNUMBER($AX$983),$B$677=1),$AX$983,HLOOKUP(INDIRECT(ADDRESS(2,COLUMN())),OFFSET($BN$2,0,0,ROW()-1,60),ROW()-1,FALSE))</f>
        <v/>
      </c>
      <c r="AY317" t="str">
        <f ca="1">IF(AND(ISNUMBER($AY$983),$B$677=1),$AY$983,HLOOKUP(INDIRECT(ADDRESS(2,COLUMN())),OFFSET($BN$2,0,0,ROW()-1,60),ROW()-1,FALSE))</f>
        <v/>
      </c>
      <c r="AZ317" t="str">
        <f ca="1">IF(AND(ISNUMBER($AZ$983),$B$677=1),$AZ$983,HLOOKUP(INDIRECT(ADDRESS(2,COLUMN())),OFFSET($BN$2,0,0,ROW()-1,60),ROW()-1,FALSE))</f>
        <v/>
      </c>
      <c r="BA317" t="str">
        <f ca="1">IF(AND(ISNUMBER($BA$983),$B$677=1),$BA$983,HLOOKUP(INDIRECT(ADDRESS(2,COLUMN())),OFFSET($BN$2,0,0,ROW()-1,60),ROW()-1,FALSE))</f>
        <v/>
      </c>
      <c r="BB317" t="str">
        <f ca="1">IF(AND(ISNUMBER($BB$983),$B$677=1),$BB$983,HLOOKUP(INDIRECT(ADDRESS(2,COLUMN())),OFFSET($BN$2,0,0,ROW()-1,60),ROW()-1,FALSE))</f>
        <v/>
      </c>
      <c r="BC317" t="str">
        <f ca="1">IF(AND(ISNUMBER($BC$983),$B$677=1),$BC$983,HLOOKUP(INDIRECT(ADDRESS(2,COLUMN())),OFFSET($BN$2,0,0,ROW()-1,60),ROW()-1,FALSE))</f>
        <v/>
      </c>
      <c r="BD317" t="str">
        <f ca="1">IF(AND(ISNUMBER($BD$983),$B$677=1),$BD$983,HLOOKUP(INDIRECT(ADDRESS(2,COLUMN())),OFFSET($BN$2,0,0,ROW()-1,60),ROW()-1,FALSE))</f>
        <v/>
      </c>
      <c r="BE317" t="str">
        <f ca="1">IF(AND(ISNUMBER($BE$983),$B$677=1),$BE$983,HLOOKUP(INDIRECT(ADDRESS(2,COLUMN())),OFFSET($BN$2,0,0,ROW()-1,60),ROW()-1,FALSE))</f>
        <v/>
      </c>
      <c r="BF317" t="str">
        <f ca="1">IF(AND(ISNUMBER($BF$983),$B$677=1),$BF$983,HLOOKUP(INDIRECT(ADDRESS(2,COLUMN())),OFFSET($BN$2,0,0,ROW()-1,60),ROW()-1,FALSE))</f>
        <v/>
      </c>
      <c r="BG317" t="str">
        <f ca="1">IF(AND(ISNUMBER($BG$983),$B$677=1),$BG$983,HLOOKUP(INDIRECT(ADDRESS(2,COLUMN())),OFFSET($BN$2,0,0,ROW()-1,60),ROW()-1,FALSE))</f>
        <v/>
      </c>
      <c r="BH317" t="str">
        <f ca="1">IF(AND(ISNUMBER($BH$983),$B$677=1),$BH$983,HLOOKUP(INDIRECT(ADDRESS(2,COLUMN())),OFFSET($BN$2,0,0,ROW()-1,60),ROW()-1,FALSE))</f>
        <v/>
      </c>
      <c r="BI317" t="str">
        <f ca="1">IF(AND(ISNUMBER($BI$983),$B$677=1),$BI$983,HLOOKUP(INDIRECT(ADDRESS(2,COLUMN())),OFFSET($BN$2,0,0,ROW()-1,60),ROW()-1,FALSE))</f>
        <v/>
      </c>
      <c r="BJ317" t="str">
        <f ca="1">IF(AND(ISNUMBER($BJ$983),$B$677=1),$BJ$983,HLOOKUP(INDIRECT(ADDRESS(2,COLUMN())),OFFSET($BN$2,0,0,ROW()-1,60),ROW()-1,FALSE))</f>
        <v/>
      </c>
      <c r="BK317" t="str">
        <f ca="1">IF(AND(ISNUMBER($BK$983),$B$677=1),$BK$983,HLOOKUP(INDIRECT(ADDRESS(2,COLUMN())),OFFSET($BN$2,0,0,ROW()-1,60),ROW()-1,FALSE))</f>
        <v/>
      </c>
      <c r="BL317" t="str">
        <f ca="1">IF(AND(ISNUMBER($BL$983),$B$677=1),$BL$983,HLOOKUP(INDIRECT(ADDRESS(2,COLUMN())),OFFSET($BN$2,0,0,ROW()-1,60),ROW()-1,FALSE))</f>
        <v/>
      </c>
      <c r="BM317" t="str">
        <f ca="1">IF(AND(ISNUMBER($BM$983),$B$677=1),$BM$983,HLOOKUP(INDIRECT(ADDRESS(2,COLUMN())),OFFSET($BN$2,0,0,ROW()-1,60),ROW()-1,FALSE))</f>
        <v/>
      </c>
      <c r="BN317" t="str">
        <f>""</f>
        <v/>
      </c>
      <c r="BO317">
        <f>1.687883134</f>
        <v>1.687883134</v>
      </c>
      <c r="BP317">
        <f>2.049912589</f>
        <v>2.0499125889999998</v>
      </c>
      <c r="BQ317">
        <f>2.049537052</f>
        <v>2.0495370519999998</v>
      </c>
      <c r="BR317">
        <f>1.947953284</f>
        <v>1.947953284</v>
      </c>
      <c r="BS317">
        <f>2.297560143</f>
        <v>2.2975601430000001</v>
      </c>
      <c r="BT317">
        <f>1.870507926</f>
        <v>1.8705079259999999</v>
      </c>
      <c r="BU317">
        <f>1.925417442</f>
        <v>1.9254174420000001</v>
      </c>
      <c r="BV317">
        <f>1.810310977</f>
        <v>1.8103109770000001</v>
      </c>
      <c r="BW317">
        <f>2.54383524</f>
        <v>2.5438352399999999</v>
      </c>
      <c r="BX317">
        <f>1.919093116</f>
        <v>1.919093116</v>
      </c>
      <c r="BY317">
        <f>1.722441472</f>
        <v>1.7224414720000001</v>
      </c>
      <c r="BZ317">
        <f>2.003160555</f>
        <v>2.003160555</v>
      </c>
      <c r="CA317">
        <f>2.754543798</f>
        <v>2.7545437979999998</v>
      </c>
      <c r="CB317">
        <f>2.208997843</f>
        <v>2.2089978430000001</v>
      </c>
      <c r="CC317">
        <f>3.230591277</f>
        <v>3.2305912769999998</v>
      </c>
      <c r="CD317">
        <f>3.027445138</f>
        <v>3.027445138</v>
      </c>
      <c r="CE317">
        <f>2.651646362</f>
        <v>2.6516463620000001</v>
      </c>
      <c r="CF317">
        <f>2.956142896</f>
        <v>2.9561428959999998</v>
      </c>
      <c r="CG317">
        <f>2.85500536</f>
        <v>2.8550053599999998</v>
      </c>
      <c r="CH317">
        <f>2.693646884</f>
        <v>2.6936468840000001</v>
      </c>
      <c r="CI317">
        <f>3.021146732</f>
        <v>3.0211467320000001</v>
      </c>
      <c r="CJ317">
        <f>3.501210484</f>
        <v>3.501210484</v>
      </c>
      <c r="CK317">
        <f>3.683902124</f>
        <v>3.6839021239999998</v>
      </c>
      <c r="CL317">
        <f>3.231401286</f>
        <v>3.2314012860000001</v>
      </c>
      <c r="CM317">
        <f>3.528070312</f>
        <v>3.5280703120000001</v>
      </c>
      <c r="CN317">
        <f>2.603157353</f>
        <v>2.6031573529999998</v>
      </c>
      <c r="CO317">
        <f>2.796838685</f>
        <v>2.796838685</v>
      </c>
      <c r="CP317">
        <f>2.979229785</f>
        <v>2.9792297849999998</v>
      </c>
      <c r="CQ317">
        <f>2.554202978</f>
        <v>2.5542029780000002</v>
      </c>
      <c r="CR317">
        <f>2.576993894</f>
        <v>2.5769938940000001</v>
      </c>
      <c r="CS317">
        <f>3.070077163</f>
        <v>3.0700771630000001</v>
      </c>
      <c r="CT317">
        <f>2.654349577</f>
        <v>2.6543495770000001</v>
      </c>
      <c r="CU317">
        <f>3.019924459</f>
        <v>3.0199244589999998</v>
      </c>
      <c r="CV317">
        <f>2.720571269</f>
        <v>2.7205712690000001</v>
      </c>
      <c r="CW317">
        <f>2.545757004</f>
        <v>2.5457570039999999</v>
      </c>
      <c r="CX317">
        <f>3.577588802</f>
        <v>3.5775888020000002</v>
      </c>
      <c r="CY317">
        <f>5.463783232</f>
        <v>5.4637832319999999</v>
      </c>
      <c r="CZ317">
        <f>6.208264176</f>
        <v>6.2082641760000001</v>
      </c>
      <c r="DA317">
        <f>5.68269413</f>
        <v>5.6826941299999998</v>
      </c>
      <c r="DB317">
        <f>9.02183696</f>
        <v>9.0218369599999999</v>
      </c>
      <c r="DC317" t="str">
        <f>""</f>
        <v/>
      </c>
      <c r="DD317" t="str">
        <f>""</f>
        <v/>
      </c>
      <c r="DE317" t="str">
        <f>""</f>
        <v/>
      </c>
      <c r="DF317" t="str">
        <f>""</f>
        <v/>
      </c>
      <c r="DG317" t="str">
        <f>""</f>
        <v/>
      </c>
      <c r="DH317" t="str">
        <f>""</f>
        <v/>
      </c>
      <c r="DI317" t="str">
        <f>""</f>
        <v/>
      </c>
      <c r="DJ317" t="str">
        <f>""</f>
        <v/>
      </c>
      <c r="DK317" t="str">
        <f>""</f>
        <v/>
      </c>
      <c r="DL317" t="str">
        <f>""</f>
        <v/>
      </c>
      <c r="DM317" t="str">
        <f>""</f>
        <v/>
      </c>
      <c r="DN317" t="str">
        <f>""</f>
        <v/>
      </c>
      <c r="DO317" t="str">
        <f>""</f>
        <v/>
      </c>
      <c r="DP317" t="str">
        <f>""</f>
        <v/>
      </c>
      <c r="DQ317" t="str">
        <f>""</f>
        <v/>
      </c>
      <c r="DR317" t="str">
        <f>""</f>
        <v/>
      </c>
      <c r="DS317" t="str">
        <f>""</f>
        <v/>
      </c>
      <c r="DT317" t="str">
        <f>""</f>
        <v/>
      </c>
      <c r="DU317" t="str">
        <f>""</f>
        <v/>
      </c>
    </row>
    <row r="318" spans="1:125" x14ac:dyDescent="0.25">
      <c r="A318" t="str">
        <f>"    Peugeot SA"</f>
        <v xml:space="preserve">    Peugeot SA</v>
      </c>
      <c r="B318" t="str">
        <f>"UG FP Equity"</f>
        <v>UG FP Equity</v>
      </c>
      <c r="C318" t="str">
        <f t="shared" si="21"/>
        <v>RR474</v>
      </c>
      <c r="D318" t="str">
        <f t="shared" si="22"/>
        <v>EV_TO_T12M_EBITDA</v>
      </c>
      <c r="E318" t="str">
        <f t="shared" si="23"/>
        <v>Dynamic</v>
      </c>
      <c r="F318" t="str">
        <f ca="1">IF(AND(ISNUMBER($F$984),$B$677=1),$F$984,HLOOKUP(INDIRECT(ADDRESS(2,COLUMN())),OFFSET($BN$2,0,0,ROW()-1,60),ROW()-1,FALSE))</f>
        <v/>
      </c>
      <c r="G318" t="str">
        <f ca="1">IF(AND(ISNUMBER($G$984),$B$677=1),$G$984,HLOOKUP(INDIRECT(ADDRESS(2,COLUMN())),OFFSET($BN$2,0,0,ROW()-1,60),ROW()-1,FALSE))</f>
        <v/>
      </c>
      <c r="H318" t="str">
        <f ca="1">IF(AND(ISNUMBER($H$984),$B$677=1),$H$984,HLOOKUP(INDIRECT(ADDRESS(2,COLUMN())),OFFSET($BN$2,0,0,ROW()-1,60),ROW()-1,FALSE))</f>
        <v/>
      </c>
      <c r="I318" t="str">
        <f ca="1">IF(AND(ISNUMBER($I$984),$B$677=1),$I$984,HLOOKUP(INDIRECT(ADDRESS(2,COLUMN())),OFFSET($BN$2,0,0,ROW()-1,60),ROW()-1,FALSE))</f>
        <v/>
      </c>
      <c r="J318" t="str">
        <f ca="1">IF(AND(ISNUMBER($J$984),$B$677=1),$J$984,HLOOKUP(INDIRECT(ADDRESS(2,COLUMN())),OFFSET($BN$2,0,0,ROW()-1,60),ROW()-1,FALSE))</f>
        <v/>
      </c>
      <c r="K318" t="str">
        <f ca="1">IF(AND(ISNUMBER($K$984),$B$677=1),$K$984,HLOOKUP(INDIRECT(ADDRESS(2,COLUMN())),OFFSET($BN$2,0,0,ROW()-1,60),ROW()-1,FALSE))</f>
        <v/>
      </c>
      <c r="L318" t="str">
        <f ca="1">IF(AND(ISNUMBER($L$984),$B$677=1),$L$984,HLOOKUP(INDIRECT(ADDRESS(2,COLUMN())),OFFSET($BN$2,0,0,ROW()-1,60),ROW()-1,FALSE))</f>
        <v/>
      </c>
      <c r="M318" t="str">
        <f ca="1">IF(AND(ISNUMBER($M$984),$B$677=1),$M$984,HLOOKUP(INDIRECT(ADDRESS(2,COLUMN())),OFFSET($BN$2,0,0,ROW()-1,60),ROW()-1,FALSE))</f>
        <v/>
      </c>
      <c r="N318" t="str">
        <f ca="1">IF(AND(ISNUMBER($N$984),$B$677=1),$N$984,HLOOKUP(INDIRECT(ADDRESS(2,COLUMN())),OFFSET($BN$2,0,0,ROW()-1,60),ROW()-1,FALSE))</f>
        <v/>
      </c>
      <c r="O318" t="str">
        <f ca="1">IF(AND(ISNUMBER($O$984),$B$677=1),$O$984,HLOOKUP(INDIRECT(ADDRESS(2,COLUMN())),OFFSET($BN$2,0,0,ROW()-1,60),ROW()-1,FALSE))</f>
        <v/>
      </c>
      <c r="P318" t="str">
        <f ca="1">IF(AND(ISNUMBER($P$984),$B$677=1),$P$984,HLOOKUP(INDIRECT(ADDRESS(2,COLUMN())),OFFSET($BN$2,0,0,ROW()-1,60),ROW()-1,FALSE))</f>
        <v/>
      </c>
      <c r="Q318" t="str">
        <f ca="1">IF(AND(ISNUMBER($Q$984),$B$677=1),$Q$984,HLOOKUP(INDIRECT(ADDRESS(2,COLUMN())),OFFSET($BN$2,0,0,ROW()-1,60),ROW()-1,FALSE))</f>
        <v/>
      </c>
      <c r="R318" t="str">
        <f ca="1">IF(AND(ISNUMBER($R$984),$B$677=1),$R$984,HLOOKUP(INDIRECT(ADDRESS(2,COLUMN())),OFFSET($BN$2,0,0,ROW()-1,60),ROW()-1,FALSE))</f>
        <v/>
      </c>
      <c r="S318" t="str">
        <f ca="1">IF(AND(ISNUMBER($S$984),$B$677=1),$S$984,HLOOKUP(INDIRECT(ADDRESS(2,COLUMN())),OFFSET($BN$2,0,0,ROW()-1,60),ROW()-1,FALSE))</f>
        <v/>
      </c>
      <c r="T318" t="str">
        <f ca="1">IF(AND(ISNUMBER($T$984),$B$677=1),$T$984,HLOOKUP(INDIRECT(ADDRESS(2,COLUMN())),OFFSET($BN$2,0,0,ROW()-1,60),ROW()-1,FALSE))</f>
        <v/>
      </c>
      <c r="U318" t="str">
        <f ca="1">IF(AND(ISNUMBER($U$984),$B$677=1),$U$984,HLOOKUP(INDIRECT(ADDRESS(2,COLUMN())),OFFSET($BN$2,0,0,ROW()-1,60),ROW()-1,FALSE))</f>
        <v/>
      </c>
      <c r="V318" t="str">
        <f ca="1">IF(AND(ISNUMBER($V$984),$B$677=1),$V$984,HLOOKUP(INDIRECT(ADDRESS(2,COLUMN())),OFFSET($BN$2,0,0,ROW()-1,60),ROW()-1,FALSE))</f>
        <v/>
      </c>
      <c r="W318" t="str">
        <f ca="1">IF(AND(ISNUMBER($W$984),$B$677=1),$W$984,HLOOKUP(INDIRECT(ADDRESS(2,COLUMN())),OFFSET($BN$2,0,0,ROW()-1,60),ROW()-1,FALSE))</f>
        <v/>
      </c>
      <c r="X318" t="str">
        <f ca="1">IF(AND(ISNUMBER($X$984),$B$677=1),$X$984,HLOOKUP(INDIRECT(ADDRESS(2,COLUMN())),OFFSET($BN$2,0,0,ROW()-1,60),ROW()-1,FALSE))</f>
        <v/>
      </c>
      <c r="Y318" t="str">
        <f ca="1">IF(AND(ISNUMBER($Y$984),$B$677=1),$Y$984,HLOOKUP(INDIRECT(ADDRESS(2,COLUMN())),OFFSET($BN$2,0,0,ROW()-1,60),ROW()-1,FALSE))</f>
        <v/>
      </c>
      <c r="Z318" t="str">
        <f ca="1">IF(AND(ISNUMBER($Z$984),$B$677=1),$Z$984,HLOOKUP(INDIRECT(ADDRESS(2,COLUMN())),OFFSET($BN$2,0,0,ROW()-1,60),ROW()-1,FALSE))</f>
        <v/>
      </c>
      <c r="AA318" t="str">
        <f ca="1">IF(AND(ISNUMBER($AA$984),$B$677=1),$AA$984,HLOOKUP(INDIRECT(ADDRESS(2,COLUMN())),OFFSET($BN$2,0,0,ROW()-1,60),ROW()-1,FALSE))</f>
        <v/>
      </c>
      <c r="AB318" t="str">
        <f ca="1">IF(AND(ISNUMBER($AB$984),$B$677=1),$AB$984,HLOOKUP(INDIRECT(ADDRESS(2,COLUMN())),OFFSET($BN$2,0,0,ROW()-1,60),ROW()-1,FALSE))</f>
        <v/>
      </c>
      <c r="AC318" t="str">
        <f ca="1">IF(AND(ISNUMBER($AC$984),$B$677=1),$AC$984,HLOOKUP(INDIRECT(ADDRESS(2,COLUMN())),OFFSET($BN$2,0,0,ROW()-1,60),ROW()-1,FALSE))</f>
        <v/>
      </c>
      <c r="AD318" t="str">
        <f ca="1">IF(AND(ISNUMBER($AD$984),$B$677=1),$AD$984,HLOOKUP(INDIRECT(ADDRESS(2,COLUMN())),OFFSET($BN$2,0,0,ROW()-1,60),ROW()-1,FALSE))</f>
        <v/>
      </c>
      <c r="AE318" t="str">
        <f ca="1">IF(AND(ISNUMBER($AE$984),$B$677=1),$AE$984,HLOOKUP(INDIRECT(ADDRESS(2,COLUMN())),OFFSET($BN$2,0,0,ROW()-1,60),ROW()-1,FALSE))</f>
        <v/>
      </c>
      <c r="AF318" t="str">
        <f ca="1">IF(AND(ISNUMBER($AF$984),$B$677=1),$AF$984,HLOOKUP(INDIRECT(ADDRESS(2,COLUMN())),OFFSET($BN$2,0,0,ROW()-1,60),ROW()-1,FALSE))</f>
        <v/>
      </c>
      <c r="AG318" t="str">
        <f ca="1">IF(AND(ISNUMBER($AG$984),$B$677=1),$AG$984,HLOOKUP(INDIRECT(ADDRESS(2,COLUMN())),OFFSET($BN$2,0,0,ROW()-1,60),ROW()-1,FALSE))</f>
        <v/>
      </c>
      <c r="AH318" t="str">
        <f ca="1">IF(AND(ISNUMBER($AH$984),$B$677=1),$AH$984,HLOOKUP(INDIRECT(ADDRESS(2,COLUMN())),OFFSET($BN$2,0,0,ROW()-1,60),ROW()-1,FALSE))</f>
        <v/>
      </c>
      <c r="AI318" t="str">
        <f ca="1">IF(AND(ISNUMBER($AI$984),$B$677=1),$AI$984,HLOOKUP(INDIRECT(ADDRESS(2,COLUMN())),OFFSET($BN$2,0,0,ROW()-1,60),ROW()-1,FALSE))</f>
        <v/>
      </c>
      <c r="AJ318" t="str">
        <f ca="1">IF(AND(ISNUMBER($AJ$984),$B$677=1),$AJ$984,HLOOKUP(INDIRECT(ADDRESS(2,COLUMN())),OFFSET($BN$2,0,0,ROW()-1,60),ROW()-1,FALSE))</f>
        <v/>
      </c>
      <c r="AK318" t="str">
        <f ca="1">IF(AND(ISNUMBER($AK$984),$B$677=1),$AK$984,HLOOKUP(INDIRECT(ADDRESS(2,COLUMN())),OFFSET($BN$2,0,0,ROW()-1,60),ROW()-1,FALSE))</f>
        <v/>
      </c>
      <c r="AL318" t="str">
        <f ca="1">IF(AND(ISNUMBER($AL$984),$B$677=1),$AL$984,HLOOKUP(INDIRECT(ADDRESS(2,COLUMN())),OFFSET($BN$2,0,0,ROW()-1,60),ROW()-1,FALSE))</f>
        <v/>
      </c>
      <c r="AM318" t="str">
        <f ca="1">IF(AND(ISNUMBER($AM$984),$B$677=1),$AM$984,HLOOKUP(INDIRECT(ADDRESS(2,COLUMN())),OFFSET($BN$2,0,0,ROW()-1,60),ROW()-1,FALSE))</f>
        <v/>
      </c>
      <c r="AN318" t="str">
        <f ca="1">IF(AND(ISNUMBER($AN$984),$B$677=1),$AN$984,HLOOKUP(INDIRECT(ADDRESS(2,COLUMN())),OFFSET($BN$2,0,0,ROW()-1,60),ROW()-1,FALSE))</f>
        <v/>
      </c>
      <c r="AO318" t="str">
        <f ca="1">IF(AND(ISNUMBER($AO$984),$B$677=1),$AO$984,HLOOKUP(INDIRECT(ADDRESS(2,COLUMN())),OFFSET($BN$2,0,0,ROW()-1,60),ROW()-1,FALSE))</f>
        <v/>
      </c>
      <c r="AP318" t="str">
        <f ca="1">IF(AND(ISNUMBER($AP$984),$B$677=1),$AP$984,HLOOKUP(INDIRECT(ADDRESS(2,COLUMN())),OFFSET($BN$2,0,0,ROW()-1,60),ROW()-1,FALSE))</f>
        <v/>
      </c>
      <c r="AQ318" t="str">
        <f ca="1">IF(AND(ISNUMBER($AQ$984),$B$677=1),$AQ$984,HLOOKUP(INDIRECT(ADDRESS(2,COLUMN())),OFFSET($BN$2,0,0,ROW()-1,60),ROW()-1,FALSE))</f>
        <v/>
      </c>
      <c r="AR318" t="str">
        <f ca="1">IF(AND(ISNUMBER($AR$984),$B$677=1),$AR$984,HLOOKUP(INDIRECT(ADDRESS(2,COLUMN())),OFFSET($BN$2,0,0,ROW()-1,60),ROW()-1,FALSE))</f>
        <v/>
      </c>
      <c r="AS318" t="str">
        <f ca="1">IF(AND(ISNUMBER($AS$984),$B$677=1),$AS$984,HLOOKUP(INDIRECT(ADDRESS(2,COLUMN())),OFFSET($BN$2,0,0,ROW()-1,60),ROW()-1,FALSE))</f>
        <v/>
      </c>
      <c r="AT318" t="str">
        <f ca="1">IF(AND(ISNUMBER($AT$984),$B$677=1),$AT$984,HLOOKUP(INDIRECT(ADDRESS(2,COLUMN())),OFFSET($BN$2,0,0,ROW()-1,60),ROW()-1,FALSE))</f>
        <v/>
      </c>
      <c r="AU318" t="str">
        <f ca="1">IF(AND(ISNUMBER($AU$984),$B$677=1),$AU$984,HLOOKUP(INDIRECT(ADDRESS(2,COLUMN())),OFFSET($BN$2,0,0,ROW()-1,60),ROW()-1,FALSE))</f>
        <v/>
      </c>
      <c r="AV318" t="str">
        <f ca="1">IF(AND(ISNUMBER($AV$984),$B$677=1),$AV$984,HLOOKUP(INDIRECT(ADDRESS(2,COLUMN())),OFFSET($BN$2,0,0,ROW()-1,60),ROW()-1,FALSE))</f>
        <v/>
      </c>
      <c r="AW318" t="str">
        <f ca="1">IF(AND(ISNUMBER($AW$984),$B$677=1),$AW$984,HLOOKUP(INDIRECT(ADDRESS(2,COLUMN())),OFFSET($BN$2,0,0,ROW()-1,60),ROW()-1,FALSE))</f>
        <v/>
      </c>
      <c r="AX318" t="str">
        <f ca="1">IF(AND(ISNUMBER($AX$984),$B$677=1),$AX$984,HLOOKUP(INDIRECT(ADDRESS(2,COLUMN())),OFFSET($BN$2,0,0,ROW()-1,60),ROW()-1,FALSE))</f>
        <v/>
      </c>
      <c r="AY318" t="str">
        <f ca="1">IF(AND(ISNUMBER($AY$984),$B$677=1),$AY$984,HLOOKUP(INDIRECT(ADDRESS(2,COLUMN())),OFFSET($BN$2,0,0,ROW()-1,60),ROW()-1,FALSE))</f>
        <v/>
      </c>
      <c r="AZ318" t="str">
        <f ca="1">IF(AND(ISNUMBER($AZ$984),$B$677=1),$AZ$984,HLOOKUP(INDIRECT(ADDRESS(2,COLUMN())),OFFSET($BN$2,0,0,ROW()-1,60),ROW()-1,FALSE))</f>
        <v/>
      </c>
      <c r="BA318" t="str">
        <f ca="1">IF(AND(ISNUMBER($BA$984),$B$677=1),$BA$984,HLOOKUP(INDIRECT(ADDRESS(2,COLUMN())),OFFSET($BN$2,0,0,ROW()-1,60),ROW()-1,FALSE))</f>
        <v/>
      </c>
      <c r="BB318" t="str">
        <f ca="1">IF(AND(ISNUMBER($BB$984),$B$677=1),$BB$984,HLOOKUP(INDIRECT(ADDRESS(2,COLUMN())),OFFSET($BN$2,0,0,ROW()-1,60),ROW()-1,FALSE))</f>
        <v/>
      </c>
      <c r="BC318" t="str">
        <f ca="1">IF(AND(ISNUMBER($BC$984),$B$677=1),$BC$984,HLOOKUP(INDIRECT(ADDRESS(2,COLUMN())),OFFSET($BN$2,0,0,ROW()-1,60),ROW()-1,FALSE))</f>
        <v/>
      </c>
      <c r="BD318" t="str">
        <f ca="1">IF(AND(ISNUMBER($BD$984),$B$677=1),$BD$984,HLOOKUP(INDIRECT(ADDRESS(2,COLUMN())),OFFSET($BN$2,0,0,ROW()-1,60),ROW()-1,FALSE))</f>
        <v/>
      </c>
      <c r="BE318" t="str">
        <f ca="1">IF(AND(ISNUMBER($BE$984),$B$677=1),$BE$984,HLOOKUP(INDIRECT(ADDRESS(2,COLUMN())),OFFSET($BN$2,0,0,ROW()-1,60),ROW()-1,FALSE))</f>
        <v/>
      </c>
      <c r="BF318" t="str">
        <f ca="1">IF(AND(ISNUMBER($BF$984),$B$677=1),$BF$984,HLOOKUP(INDIRECT(ADDRESS(2,COLUMN())),OFFSET($BN$2,0,0,ROW()-1,60),ROW()-1,FALSE))</f>
        <v/>
      </c>
      <c r="BG318" t="str">
        <f ca="1">IF(AND(ISNUMBER($BG$984),$B$677=1),$BG$984,HLOOKUP(INDIRECT(ADDRESS(2,COLUMN())),OFFSET($BN$2,0,0,ROW()-1,60),ROW()-1,FALSE))</f>
        <v/>
      </c>
      <c r="BH318" t="str">
        <f ca="1">IF(AND(ISNUMBER($BH$984),$B$677=1),$BH$984,HLOOKUP(INDIRECT(ADDRESS(2,COLUMN())),OFFSET($BN$2,0,0,ROW()-1,60),ROW()-1,FALSE))</f>
        <v/>
      </c>
      <c r="BI318" t="str">
        <f ca="1">IF(AND(ISNUMBER($BI$984),$B$677=1),$BI$984,HLOOKUP(INDIRECT(ADDRESS(2,COLUMN())),OFFSET($BN$2,0,0,ROW()-1,60),ROW()-1,FALSE))</f>
        <v/>
      </c>
      <c r="BJ318" t="str">
        <f ca="1">IF(AND(ISNUMBER($BJ$984),$B$677=1),$BJ$984,HLOOKUP(INDIRECT(ADDRESS(2,COLUMN())),OFFSET($BN$2,0,0,ROW()-1,60),ROW()-1,FALSE))</f>
        <v/>
      </c>
      <c r="BK318" t="str">
        <f ca="1">IF(AND(ISNUMBER($BK$984),$B$677=1),$BK$984,HLOOKUP(INDIRECT(ADDRESS(2,COLUMN())),OFFSET($BN$2,0,0,ROW()-1,60),ROW()-1,FALSE))</f>
        <v/>
      </c>
      <c r="BL318" t="str">
        <f ca="1">IF(AND(ISNUMBER($BL$984),$B$677=1),$BL$984,HLOOKUP(INDIRECT(ADDRESS(2,COLUMN())),OFFSET($BN$2,0,0,ROW()-1,60),ROW()-1,FALSE))</f>
        <v/>
      </c>
      <c r="BM318" t="str">
        <f ca="1">IF(AND(ISNUMBER($BM$984),$B$677=1),$BM$984,HLOOKUP(INDIRECT(ADDRESS(2,COLUMN())),OFFSET($BN$2,0,0,ROW()-1,60),ROW()-1,FALSE))</f>
        <v/>
      </c>
      <c r="BN318" t="str">
        <f>""</f>
        <v/>
      </c>
      <c r="BO318" t="str">
        <f>""</f>
        <v/>
      </c>
      <c r="BP318" t="str">
        <f>""</f>
        <v/>
      </c>
      <c r="BQ318" t="str">
        <f>""</f>
        <v/>
      </c>
      <c r="BR318" t="str">
        <f>""</f>
        <v/>
      </c>
      <c r="BS318" t="str">
        <f>""</f>
        <v/>
      </c>
      <c r="BT318" t="str">
        <f>""</f>
        <v/>
      </c>
      <c r="BU318" t="str">
        <f>""</f>
        <v/>
      </c>
      <c r="BV318" t="str">
        <f>""</f>
        <v/>
      </c>
      <c r="BW318" t="str">
        <f>""</f>
        <v/>
      </c>
      <c r="BX318" t="str">
        <f>""</f>
        <v/>
      </c>
      <c r="BY318" t="str">
        <f>""</f>
        <v/>
      </c>
      <c r="BZ318" t="str">
        <f>""</f>
        <v/>
      </c>
      <c r="CA318" t="str">
        <f>""</f>
        <v/>
      </c>
      <c r="CB318" t="str">
        <f>""</f>
        <v/>
      </c>
      <c r="CC318" t="str">
        <f>""</f>
        <v/>
      </c>
      <c r="CD318" t="str">
        <f>""</f>
        <v/>
      </c>
      <c r="CE318" t="str">
        <f>""</f>
        <v/>
      </c>
      <c r="CF318" t="str">
        <f>""</f>
        <v/>
      </c>
      <c r="CG318" t="str">
        <f>""</f>
        <v/>
      </c>
      <c r="CH318" t="str">
        <f>""</f>
        <v/>
      </c>
      <c r="CI318" t="str">
        <f>""</f>
        <v/>
      </c>
      <c r="CJ318" t="str">
        <f>""</f>
        <v/>
      </c>
      <c r="CK318" t="str">
        <f>""</f>
        <v/>
      </c>
      <c r="CL318" t="str">
        <f>""</f>
        <v/>
      </c>
      <c r="CM318" t="str">
        <f>""</f>
        <v/>
      </c>
      <c r="CN318" t="str">
        <f>""</f>
        <v/>
      </c>
      <c r="CO318" t="str">
        <f>""</f>
        <v/>
      </c>
      <c r="CP318" t="str">
        <f>""</f>
        <v/>
      </c>
      <c r="CQ318" t="str">
        <f>""</f>
        <v/>
      </c>
      <c r="CR318" t="str">
        <f>""</f>
        <v/>
      </c>
      <c r="CS318" t="str">
        <f>""</f>
        <v/>
      </c>
      <c r="CT318" t="str">
        <f>""</f>
        <v/>
      </c>
      <c r="CU318" t="str">
        <f>""</f>
        <v/>
      </c>
      <c r="CV318" t="str">
        <f>""</f>
        <v/>
      </c>
      <c r="CW318" t="str">
        <f>""</f>
        <v/>
      </c>
      <c r="CX318" t="str">
        <f>""</f>
        <v/>
      </c>
      <c r="CY318" t="str">
        <f>""</f>
        <v/>
      </c>
      <c r="CZ318" t="str">
        <f>""</f>
        <v/>
      </c>
      <c r="DA318" t="str">
        <f>""</f>
        <v/>
      </c>
      <c r="DB318" t="str">
        <f>""</f>
        <v/>
      </c>
      <c r="DC318" t="str">
        <f>""</f>
        <v/>
      </c>
      <c r="DD318" t="str">
        <f>""</f>
        <v/>
      </c>
      <c r="DE318" t="str">
        <f>""</f>
        <v/>
      </c>
      <c r="DF318" t="str">
        <f>""</f>
        <v/>
      </c>
      <c r="DG318" t="str">
        <f>""</f>
        <v/>
      </c>
      <c r="DH318" t="str">
        <f>""</f>
        <v/>
      </c>
      <c r="DI318" t="str">
        <f>""</f>
        <v/>
      </c>
      <c r="DJ318" t="str">
        <f>""</f>
        <v/>
      </c>
      <c r="DK318" t="str">
        <f>""</f>
        <v/>
      </c>
      <c r="DL318" t="str">
        <f>""</f>
        <v/>
      </c>
      <c r="DM318" t="str">
        <f>""</f>
        <v/>
      </c>
      <c r="DN318" t="str">
        <f>""</f>
        <v/>
      </c>
      <c r="DO318" t="str">
        <f>""</f>
        <v/>
      </c>
      <c r="DP318" t="str">
        <f>""</f>
        <v/>
      </c>
      <c r="DQ318" t="str">
        <f>""</f>
        <v/>
      </c>
      <c r="DR318" t="str">
        <f>""</f>
        <v/>
      </c>
      <c r="DS318" t="str">
        <f>""</f>
        <v/>
      </c>
      <c r="DT318" t="str">
        <f>""</f>
        <v/>
      </c>
      <c r="DU318" t="str">
        <f>""</f>
        <v/>
      </c>
    </row>
    <row r="319" spans="1:125" x14ac:dyDescent="0.25">
      <c r="A319" t="str">
        <f>"    Renault SA"</f>
        <v xml:space="preserve">    Renault SA</v>
      </c>
      <c r="B319" t="str">
        <f>"RNO FP Equity"</f>
        <v>RNO FP Equity</v>
      </c>
      <c r="C319" t="str">
        <f t="shared" si="21"/>
        <v>RR474</v>
      </c>
      <c r="D319" t="str">
        <f t="shared" si="22"/>
        <v>EV_TO_T12M_EBITDA</v>
      </c>
      <c r="E319" t="str">
        <f t="shared" si="23"/>
        <v>Dynamic</v>
      </c>
      <c r="F319" t="str">
        <f ca="1">IF(AND(ISNUMBER($F$985),$B$677=1),$F$985,HLOOKUP(INDIRECT(ADDRESS(2,COLUMN())),OFFSET($BN$2,0,0,ROW()-1,60),ROW()-1,FALSE))</f>
        <v/>
      </c>
      <c r="G319" t="str">
        <f ca="1">IF(AND(ISNUMBER($G$985),$B$677=1),$G$985,HLOOKUP(INDIRECT(ADDRESS(2,COLUMN())),OFFSET($BN$2,0,0,ROW()-1,60),ROW()-1,FALSE))</f>
        <v/>
      </c>
      <c r="H319" t="str">
        <f ca="1">IF(AND(ISNUMBER($H$985),$B$677=1),$H$985,HLOOKUP(INDIRECT(ADDRESS(2,COLUMN())),OFFSET($BN$2,0,0,ROW()-1,60),ROW()-1,FALSE))</f>
        <v/>
      </c>
      <c r="I319" t="str">
        <f ca="1">IF(AND(ISNUMBER($I$985),$B$677=1),$I$985,HLOOKUP(INDIRECT(ADDRESS(2,COLUMN())),OFFSET($BN$2,0,0,ROW()-1,60),ROW()-1,FALSE))</f>
        <v/>
      </c>
      <c r="J319" t="str">
        <f ca="1">IF(AND(ISNUMBER($J$985),$B$677=1),$J$985,HLOOKUP(INDIRECT(ADDRESS(2,COLUMN())),OFFSET($BN$2,0,0,ROW()-1,60),ROW()-1,FALSE))</f>
        <v/>
      </c>
      <c r="K319" t="str">
        <f ca="1">IF(AND(ISNUMBER($K$985),$B$677=1),$K$985,HLOOKUP(INDIRECT(ADDRESS(2,COLUMN())),OFFSET($BN$2,0,0,ROW()-1,60),ROW()-1,FALSE))</f>
        <v/>
      </c>
      <c r="L319" t="str">
        <f ca="1">IF(AND(ISNUMBER($L$985),$B$677=1),$L$985,HLOOKUP(INDIRECT(ADDRESS(2,COLUMN())),OFFSET($BN$2,0,0,ROW()-1,60),ROW()-1,FALSE))</f>
        <v/>
      </c>
      <c r="M319" t="str">
        <f ca="1">IF(AND(ISNUMBER($M$985),$B$677=1),$M$985,HLOOKUP(INDIRECT(ADDRESS(2,COLUMN())),OFFSET($BN$2,0,0,ROW()-1,60),ROW()-1,FALSE))</f>
        <v/>
      </c>
      <c r="N319" t="str">
        <f ca="1">IF(AND(ISNUMBER($N$985),$B$677=1),$N$985,HLOOKUP(INDIRECT(ADDRESS(2,COLUMN())),OFFSET($BN$2,0,0,ROW()-1,60),ROW()-1,FALSE))</f>
        <v/>
      </c>
      <c r="O319" t="str">
        <f ca="1">IF(AND(ISNUMBER($O$985),$B$677=1),$O$985,HLOOKUP(INDIRECT(ADDRESS(2,COLUMN())),OFFSET($BN$2,0,0,ROW()-1,60),ROW()-1,FALSE))</f>
        <v/>
      </c>
      <c r="P319" t="str">
        <f ca="1">IF(AND(ISNUMBER($P$985),$B$677=1),$P$985,HLOOKUP(INDIRECT(ADDRESS(2,COLUMN())),OFFSET($BN$2,0,0,ROW()-1,60),ROW()-1,FALSE))</f>
        <v/>
      </c>
      <c r="Q319" t="str">
        <f ca="1">IF(AND(ISNUMBER($Q$985),$B$677=1),$Q$985,HLOOKUP(INDIRECT(ADDRESS(2,COLUMN())),OFFSET($BN$2,0,0,ROW()-1,60),ROW()-1,FALSE))</f>
        <v/>
      </c>
      <c r="R319" t="str">
        <f ca="1">IF(AND(ISNUMBER($R$985),$B$677=1),$R$985,HLOOKUP(INDIRECT(ADDRESS(2,COLUMN())),OFFSET($BN$2,0,0,ROW()-1,60),ROW()-1,FALSE))</f>
        <v/>
      </c>
      <c r="S319" t="str">
        <f ca="1">IF(AND(ISNUMBER($S$985),$B$677=1),$S$985,HLOOKUP(INDIRECT(ADDRESS(2,COLUMN())),OFFSET($BN$2,0,0,ROW()-1,60),ROW()-1,FALSE))</f>
        <v/>
      </c>
      <c r="T319" t="str">
        <f ca="1">IF(AND(ISNUMBER($T$985),$B$677=1),$T$985,HLOOKUP(INDIRECT(ADDRESS(2,COLUMN())),OFFSET($BN$2,0,0,ROW()-1,60),ROW()-1,FALSE))</f>
        <v/>
      </c>
      <c r="U319" t="str">
        <f ca="1">IF(AND(ISNUMBER($U$985),$B$677=1),$U$985,HLOOKUP(INDIRECT(ADDRESS(2,COLUMN())),OFFSET($BN$2,0,0,ROW()-1,60),ROW()-1,FALSE))</f>
        <v/>
      </c>
      <c r="V319" t="str">
        <f ca="1">IF(AND(ISNUMBER($V$985),$B$677=1),$V$985,HLOOKUP(INDIRECT(ADDRESS(2,COLUMN())),OFFSET($BN$2,0,0,ROW()-1,60),ROW()-1,FALSE))</f>
        <v/>
      </c>
      <c r="W319" t="str">
        <f ca="1">IF(AND(ISNUMBER($W$985),$B$677=1),$W$985,HLOOKUP(INDIRECT(ADDRESS(2,COLUMN())),OFFSET($BN$2,0,0,ROW()-1,60),ROW()-1,FALSE))</f>
        <v/>
      </c>
      <c r="X319" t="str">
        <f ca="1">IF(AND(ISNUMBER($X$985),$B$677=1),$X$985,HLOOKUP(INDIRECT(ADDRESS(2,COLUMN())),OFFSET($BN$2,0,0,ROW()-1,60),ROW()-1,FALSE))</f>
        <v/>
      </c>
      <c r="Y319" t="str">
        <f ca="1">IF(AND(ISNUMBER($Y$985),$B$677=1),$Y$985,HLOOKUP(INDIRECT(ADDRESS(2,COLUMN())),OFFSET($BN$2,0,0,ROW()-1,60),ROW()-1,FALSE))</f>
        <v/>
      </c>
      <c r="Z319" t="str">
        <f ca="1">IF(AND(ISNUMBER($Z$985),$B$677=1),$Z$985,HLOOKUP(INDIRECT(ADDRESS(2,COLUMN())),OFFSET($BN$2,0,0,ROW()-1,60),ROW()-1,FALSE))</f>
        <v/>
      </c>
      <c r="AA319" t="str">
        <f ca="1">IF(AND(ISNUMBER($AA$985),$B$677=1),$AA$985,HLOOKUP(INDIRECT(ADDRESS(2,COLUMN())),OFFSET($BN$2,0,0,ROW()-1,60),ROW()-1,FALSE))</f>
        <v/>
      </c>
      <c r="AB319" t="str">
        <f ca="1">IF(AND(ISNUMBER($AB$985),$B$677=1),$AB$985,HLOOKUP(INDIRECT(ADDRESS(2,COLUMN())),OFFSET($BN$2,0,0,ROW()-1,60),ROW()-1,FALSE))</f>
        <v/>
      </c>
      <c r="AC319" t="str">
        <f ca="1">IF(AND(ISNUMBER($AC$985),$B$677=1),$AC$985,HLOOKUP(INDIRECT(ADDRESS(2,COLUMN())),OFFSET($BN$2,0,0,ROW()-1,60),ROW()-1,FALSE))</f>
        <v/>
      </c>
      <c r="AD319" t="str">
        <f ca="1">IF(AND(ISNUMBER($AD$985),$B$677=1),$AD$985,HLOOKUP(INDIRECT(ADDRESS(2,COLUMN())),OFFSET($BN$2,0,0,ROW()-1,60),ROW()-1,FALSE))</f>
        <v/>
      </c>
      <c r="AE319" t="str">
        <f ca="1">IF(AND(ISNUMBER($AE$985),$B$677=1),$AE$985,HLOOKUP(INDIRECT(ADDRESS(2,COLUMN())),OFFSET($BN$2,0,0,ROW()-1,60),ROW()-1,FALSE))</f>
        <v/>
      </c>
      <c r="AF319" t="str">
        <f ca="1">IF(AND(ISNUMBER($AF$985),$B$677=1),$AF$985,HLOOKUP(INDIRECT(ADDRESS(2,COLUMN())),OFFSET($BN$2,0,0,ROW()-1,60),ROW()-1,FALSE))</f>
        <v/>
      </c>
      <c r="AG319" t="str">
        <f ca="1">IF(AND(ISNUMBER($AG$985),$B$677=1),$AG$985,HLOOKUP(INDIRECT(ADDRESS(2,COLUMN())),OFFSET($BN$2,0,0,ROW()-1,60),ROW()-1,FALSE))</f>
        <v/>
      </c>
      <c r="AH319" t="str">
        <f ca="1">IF(AND(ISNUMBER($AH$985),$B$677=1),$AH$985,HLOOKUP(INDIRECT(ADDRESS(2,COLUMN())),OFFSET($BN$2,0,0,ROW()-1,60),ROW()-1,FALSE))</f>
        <v/>
      </c>
      <c r="AI319" t="str">
        <f ca="1">IF(AND(ISNUMBER($AI$985),$B$677=1),$AI$985,HLOOKUP(INDIRECT(ADDRESS(2,COLUMN())),OFFSET($BN$2,0,0,ROW()-1,60),ROW()-1,FALSE))</f>
        <v/>
      </c>
      <c r="AJ319" t="str">
        <f ca="1">IF(AND(ISNUMBER($AJ$985),$B$677=1),$AJ$985,HLOOKUP(INDIRECT(ADDRESS(2,COLUMN())),OFFSET($BN$2,0,0,ROW()-1,60),ROW()-1,FALSE))</f>
        <v/>
      </c>
      <c r="AK319" t="str">
        <f ca="1">IF(AND(ISNUMBER($AK$985),$B$677=1),$AK$985,HLOOKUP(INDIRECT(ADDRESS(2,COLUMN())),OFFSET($BN$2,0,0,ROW()-1,60),ROW()-1,FALSE))</f>
        <v/>
      </c>
      <c r="AL319" t="str">
        <f ca="1">IF(AND(ISNUMBER($AL$985),$B$677=1),$AL$985,HLOOKUP(INDIRECT(ADDRESS(2,COLUMN())),OFFSET($BN$2,0,0,ROW()-1,60),ROW()-1,FALSE))</f>
        <v/>
      </c>
      <c r="AM319" t="str">
        <f ca="1">IF(AND(ISNUMBER($AM$985),$B$677=1),$AM$985,HLOOKUP(INDIRECT(ADDRESS(2,COLUMN())),OFFSET($BN$2,0,0,ROW()-1,60),ROW()-1,FALSE))</f>
        <v/>
      </c>
      <c r="AN319" t="str">
        <f ca="1">IF(AND(ISNUMBER($AN$985),$B$677=1),$AN$985,HLOOKUP(INDIRECT(ADDRESS(2,COLUMN())),OFFSET($BN$2,0,0,ROW()-1,60),ROW()-1,FALSE))</f>
        <v/>
      </c>
      <c r="AO319" t="str">
        <f ca="1">IF(AND(ISNUMBER($AO$985),$B$677=1),$AO$985,HLOOKUP(INDIRECT(ADDRESS(2,COLUMN())),OFFSET($BN$2,0,0,ROW()-1,60),ROW()-1,FALSE))</f>
        <v/>
      </c>
      <c r="AP319" t="str">
        <f ca="1">IF(AND(ISNUMBER($AP$985),$B$677=1),$AP$985,HLOOKUP(INDIRECT(ADDRESS(2,COLUMN())),OFFSET($BN$2,0,0,ROW()-1,60),ROW()-1,FALSE))</f>
        <v/>
      </c>
      <c r="AQ319" t="str">
        <f ca="1">IF(AND(ISNUMBER($AQ$985),$B$677=1),$AQ$985,HLOOKUP(INDIRECT(ADDRESS(2,COLUMN())),OFFSET($BN$2,0,0,ROW()-1,60),ROW()-1,FALSE))</f>
        <v/>
      </c>
      <c r="AR319" t="str">
        <f ca="1">IF(AND(ISNUMBER($AR$985),$B$677=1),$AR$985,HLOOKUP(INDIRECT(ADDRESS(2,COLUMN())),OFFSET($BN$2,0,0,ROW()-1,60),ROW()-1,FALSE))</f>
        <v/>
      </c>
      <c r="AS319" t="str">
        <f ca="1">IF(AND(ISNUMBER($AS$985),$B$677=1),$AS$985,HLOOKUP(INDIRECT(ADDRESS(2,COLUMN())),OFFSET($BN$2,0,0,ROW()-1,60),ROW()-1,FALSE))</f>
        <v/>
      </c>
      <c r="AT319" t="str">
        <f ca="1">IF(AND(ISNUMBER($AT$985),$B$677=1),$AT$985,HLOOKUP(INDIRECT(ADDRESS(2,COLUMN())),OFFSET($BN$2,0,0,ROW()-1,60),ROW()-1,FALSE))</f>
        <v/>
      </c>
      <c r="AU319" t="str">
        <f ca="1">IF(AND(ISNUMBER($AU$985),$B$677=1),$AU$985,HLOOKUP(INDIRECT(ADDRESS(2,COLUMN())),OFFSET($BN$2,0,0,ROW()-1,60),ROW()-1,FALSE))</f>
        <v/>
      </c>
      <c r="AV319" t="str">
        <f ca="1">IF(AND(ISNUMBER($AV$985),$B$677=1),$AV$985,HLOOKUP(INDIRECT(ADDRESS(2,COLUMN())),OFFSET($BN$2,0,0,ROW()-1,60),ROW()-1,FALSE))</f>
        <v/>
      </c>
      <c r="AW319" t="str">
        <f ca="1">IF(AND(ISNUMBER($AW$985),$B$677=1),$AW$985,HLOOKUP(INDIRECT(ADDRESS(2,COLUMN())),OFFSET($BN$2,0,0,ROW()-1,60),ROW()-1,FALSE))</f>
        <v/>
      </c>
      <c r="AX319" t="str">
        <f ca="1">IF(AND(ISNUMBER($AX$985),$B$677=1),$AX$985,HLOOKUP(INDIRECT(ADDRESS(2,COLUMN())),OFFSET($BN$2,0,0,ROW()-1,60),ROW()-1,FALSE))</f>
        <v/>
      </c>
      <c r="AY319" t="str">
        <f ca="1">IF(AND(ISNUMBER($AY$985),$B$677=1),$AY$985,HLOOKUP(INDIRECT(ADDRESS(2,COLUMN())),OFFSET($BN$2,0,0,ROW()-1,60),ROW()-1,FALSE))</f>
        <v/>
      </c>
      <c r="AZ319" t="str">
        <f ca="1">IF(AND(ISNUMBER($AZ$985),$B$677=1),$AZ$985,HLOOKUP(INDIRECT(ADDRESS(2,COLUMN())),OFFSET($BN$2,0,0,ROW()-1,60),ROW()-1,FALSE))</f>
        <v/>
      </c>
      <c r="BA319" t="str">
        <f ca="1">IF(AND(ISNUMBER($BA$985),$B$677=1),$BA$985,HLOOKUP(INDIRECT(ADDRESS(2,COLUMN())),OFFSET($BN$2,0,0,ROW()-1,60),ROW()-1,FALSE))</f>
        <v/>
      </c>
      <c r="BB319" t="str">
        <f ca="1">IF(AND(ISNUMBER($BB$985),$B$677=1),$BB$985,HLOOKUP(INDIRECT(ADDRESS(2,COLUMN())),OFFSET($BN$2,0,0,ROW()-1,60),ROW()-1,FALSE))</f>
        <v/>
      </c>
      <c r="BC319" t="str">
        <f ca="1">IF(AND(ISNUMBER($BC$985),$B$677=1),$BC$985,HLOOKUP(INDIRECT(ADDRESS(2,COLUMN())),OFFSET($BN$2,0,0,ROW()-1,60),ROW()-1,FALSE))</f>
        <v/>
      </c>
      <c r="BD319" t="str">
        <f ca="1">IF(AND(ISNUMBER($BD$985),$B$677=1),$BD$985,HLOOKUP(INDIRECT(ADDRESS(2,COLUMN())),OFFSET($BN$2,0,0,ROW()-1,60),ROW()-1,FALSE))</f>
        <v/>
      </c>
      <c r="BE319" t="str">
        <f ca="1">IF(AND(ISNUMBER($BE$985),$B$677=1),$BE$985,HLOOKUP(INDIRECT(ADDRESS(2,COLUMN())),OFFSET($BN$2,0,0,ROW()-1,60),ROW()-1,FALSE))</f>
        <v/>
      </c>
      <c r="BF319" t="str">
        <f ca="1">IF(AND(ISNUMBER($BF$985),$B$677=1),$BF$985,HLOOKUP(INDIRECT(ADDRESS(2,COLUMN())),OFFSET($BN$2,0,0,ROW()-1,60),ROW()-1,FALSE))</f>
        <v/>
      </c>
      <c r="BG319" t="str">
        <f ca="1">IF(AND(ISNUMBER($BG$985),$B$677=1),$BG$985,HLOOKUP(INDIRECT(ADDRESS(2,COLUMN())),OFFSET($BN$2,0,0,ROW()-1,60),ROW()-1,FALSE))</f>
        <v/>
      </c>
      <c r="BH319" t="str">
        <f ca="1">IF(AND(ISNUMBER($BH$985),$B$677=1),$BH$985,HLOOKUP(INDIRECT(ADDRESS(2,COLUMN())),OFFSET($BN$2,0,0,ROW()-1,60),ROW()-1,FALSE))</f>
        <v/>
      </c>
      <c r="BI319" t="str">
        <f ca="1">IF(AND(ISNUMBER($BI$985),$B$677=1),$BI$985,HLOOKUP(INDIRECT(ADDRESS(2,COLUMN())),OFFSET($BN$2,0,0,ROW()-1,60),ROW()-1,FALSE))</f>
        <v/>
      </c>
      <c r="BJ319" t="str">
        <f ca="1">IF(AND(ISNUMBER($BJ$985),$B$677=1),$BJ$985,HLOOKUP(INDIRECT(ADDRESS(2,COLUMN())),OFFSET($BN$2,0,0,ROW()-1,60),ROW()-1,FALSE))</f>
        <v/>
      </c>
      <c r="BK319" t="str">
        <f ca="1">IF(AND(ISNUMBER($BK$985),$B$677=1),$BK$985,HLOOKUP(INDIRECT(ADDRESS(2,COLUMN())),OFFSET($BN$2,0,0,ROW()-1,60),ROW()-1,FALSE))</f>
        <v/>
      </c>
      <c r="BL319" t="str">
        <f ca="1">IF(AND(ISNUMBER($BL$985),$B$677=1),$BL$985,HLOOKUP(INDIRECT(ADDRESS(2,COLUMN())),OFFSET($BN$2,0,0,ROW()-1,60),ROW()-1,FALSE))</f>
        <v/>
      </c>
      <c r="BM319" t="str">
        <f ca="1">IF(AND(ISNUMBER($BM$985),$B$677=1),$BM$985,HLOOKUP(INDIRECT(ADDRESS(2,COLUMN())),OFFSET($BN$2,0,0,ROW()-1,60),ROW()-1,FALSE))</f>
        <v/>
      </c>
      <c r="BN319" t="str">
        <f>""</f>
        <v/>
      </c>
      <c r="BO319" t="str">
        <f>""</f>
        <v/>
      </c>
      <c r="BP319" t="str">
        <f>""</f>
        <v/>
      </c>
      <c r="BQ319" t="str">
        <f>""</f>
        <v/>
      </c>
      <c r="BR319" t="str">
        <f>""</f>
        <v/>
      </c>
      <c r="BS319" t="str">
        <f>""</f>
        <v/>
      </c>
      <c r="BT319" t="str">
        <f>""</f>
        <v/>
      </c>
      <c r="BU319" t="str">
        <f>""</f>
        <v/>
      </c>
      <c r="BV319" t="str">
        <f>""</f>
        <v/>
      </c>
      <c r="BW319" t="str">
        <f>""</f>
        <v/>
      </c>
      <c r="BX319" t="str">
        <f>""</f>
        <v/>
      </c>
      <c r="BY319" t="str">
        <f>""</f>
        <v/>
      </c>
      <c r="BZ319" t="str">
        <f>""</f>
        <v/>
      </c>
      <c r="CA319" t="str">
        <f>""</f>
        <v/>
      </c>
      <c r="CB319" t="str">
        <f>""</f>
        <v/>
      </c>
      <c r="CC319" t="str">
        <f>""</f>
        <v/>
      </c>
      <c r="CD319" t="str">
        <f>""</f>
        <v/>
      </c>
      <c r="CE319" t="str">
        <f>""</f>
        <v/>
      </c>
      <c r="CF319" t="str">
        <f>""</f>
        <v/>
      </c>
      <c r="CG319" t="str">
        <f>""</f>
        <v/>
      </c>
      <c r="CH319" t="str">
        <f>""</f>
        <v/>
      </c>
      <c r="CI319" t="str">
        <f>""</f>
        <v/>
      </c>
      <c r="CJ319" t="str">
        <f>""</f>
        <v/>
      </c>
      <c r="CK319" t="str">
        <f>""</f>
        <v/>
      </c>
      <c r="CL319" t="str">
        <f>""</f>
        <v/>
      </c>
      <c r="CM319" t="str">
        <f>""</f>
        <v/>
      </c>
      <c r="CN319" t="str">
        <f>""</f>
        <v/>
      </c>
      <c r="CO319" t="str">
        <f>""</f>
        <v/>
      </c>
      <c r="CP319" t="str">
        <f>""</f>
        <v/>
      </c>
      <c r="CQ319" t="str">
        <f>""</f>
        <v/>
      </c>
      <c r="CR319" t="str">
        <f>""</f>
        <v/>
      </c>
      <c r="CS319" t="str">
        <f>""</f>
        <v/>
      </c>
      <c r="CT319" t="str">
        <f>""</f>
        <v/>
      </c>
      <c r="CU319" t="str">
        <f>""</f>
        <v/>
      </c>
      <c r="CV319" t="str">
        <f>""</f>
        <v/>
      </c>
      <c r="CW319" t="str">
        <f>""</f>
        <v/>
      </c>
      <c r="CX319" t="str">
        <f>""</f>
        <v/>
      </c>
      <c r="CY319" t="str">
        <f>""</f>
        <v/>
      </c>
      <c r="CZ319" t="str">
        <f>""</f>
        <v/>
      </c>
      <c r="DA319" t="str">
        <f>""</f>
        <v/>
      </c>
      <c r="DB319" t="str">
        <f>""</f>
        <v/>
      </c>
      <c r="DC319" t="str">
        <f>""</f>
        <v/>
      </c>
      <c r="DD319" t="str">
        <f>""</f>
        <v/>
      </c>
      <c r="DE319" t="str">
        <f>""</f>
        <v/>
      </c>
      <c r="DF319" t="str">
        <f>""</f>
        <v/>
      </c>
      <c r="DG319" t="str">
        <f>""</f>
        <v/>
      </c>
      <c r="DH319" t="str">
        <f>""</f>
        <v/>
      </c>
      <c r="DI319" t="str">
        <f>""</f>
        <v/>
      </c>
      <c r="DJ319" t="str">
        <f>""</f>
        <v/>
      </c>
      <c r="DK319" t="str">
        <f>""</f>
        <v/>
      </c>
      <c r="DL319" t="str">
        <f>""</f>
        <v/>
      </c>
      <c r="DM319" t="str">
        <f>""</f>
        <v/>
      </c>
      <c r="DN319" t="str">
        <f>""</f>
        <v/>
      </c>
      <c r="DO319" t="str">
        <f>""</f>
        <v/>
      </c>
      <c r="DP319" t="str">
        <f>""</f>
        <v/>
      </c>
      <c r="DQ319" t="str">
        <f>""</f>
        <v/>
      </c>
      <c r="DR319" t="str">
        <f>""</f>
        <v/>
      </c>
      <c r="DS319" t="str">
        <f>""</f>
        <v/>
      </c>
      <c r="DT319" t="str">
        <f>""</f>
        <v/>
      </c>
      <c r="DU319" t="str">
        <f>""</f>
        <v/>
      </c>
    </row>
    <row r="320" spans="1:125" x14ac:dyDescent="0.25">
      <c r="A320" t="str">
        <f>"    SAIC Motor Corp Ltd"</f>
        <v xml:space="preserve">    SAIC Motor Corp Ltd</v>
      </c>
      <c r="B320" t="str">
        <f>"600104 CH Equity"</f>
        <v>600104 CH Equity</v>
      </c>
      <c r="C320" t="str">
        <f t="shared" si="21"/>
        <v>RR474</v>
      </c>
      <c r="D320" t="str">
        <f t="shared" si="22"/>
        <v>EV_TO_T12M_EBITDA</v>
      </c>
      <c r="E320" t="str">
        <f t="shared" si="23"/>
        <v>Dynamic</v>
      </c>
      <c r="F320" t="str">
        <f ca="1">IF(AND(ISNUMBER($F$986),$B$677=1),$F$986,HLOOKUP(INDIRECT(ADDRESS(2,COLUMN())),OFFSET($BN$2,0,0,ROW()-1,60),ROW()-1,FALSE))</f>
        <v/>
      </c>
      <c r="G320" t="str">
        <f ca="1">IF(AND(ISNUMBER($G$986),$B$677=1),$G$986,HLOOKUP(INDIRECT(ADDRESS(2,COLUMN())),OFFSET($BN$2,0,0,ROW()-1,60),ROW()-1,FALSE))</f>
        <v/>
      </c>
      <c r="H320" t="str">
        <f ca="1">IF(AND(ISNUMBER($H$986),$B$677=1),$H$986,HLOOKUP(INDIRECT(ADDRESS(2,COLUMN())),OFFSET($BN$2,0,0,ROW()-1,60),ROW()-1,FALSE))</f>
        <v/>
      </c>
      <c r="I320" t="str">
        <f ca="1">IF(AND(ISNUMBER($I$986),$B$677=1),$I$986,HLOOKUP(INDIRECT(ADDRESS(2,COLUMN())),OFFSET($BN$2,0,0,ROW()-1,60),ROW()-1,FALSE))</f>
        <v/>
      </c>
      <c r="J320" t="str">
        <f ca="1">IF(AND(ISNUMBER($J$986),$B$677=1),$J$986,HLOOKUP(INDIRECT(ADDRESS(2,COLUMN())),OFFSET($BN$2,0,0,ROW()-1,60),ROW()-1,FALSE))</f>
        <v/>
      </c>
      <c r="K320" t="str">
        <f ca="1">IF(AND(ISNUMBER($K$986),$B$677=1),$K$986,HLOOKUP(INDIRECT(ADDRESS(2,COLUMN())),OFFSET($BN$2,0,0,ROW()-1,60),ROW()-1,FALSE))</f>
        <v/>
      </c>
      <c r="L320" t="str">
        <f ca="1">IF(AND(ISNUMBER($L$986),$B$677=1),$L$986,HLOOKUP(INDIRECT(ADDRESS(2,COLUMN())),OFFSET($BN$2,0,0,ROW()-1,60),ROW()-1,FALSE))</f>
        <v/>
      </c>
      <c r="M320" t="str">
        <f ca="1">IF(AND(ISNUMBER($M$986),$B$677=1),$M$986,HLOOKUP(INDIRECT(ADDRESS(2,COLUMN())),OFFSET($BN$2,0,0,ROW()-1,60),ROW()-1,FALSE))</f>
        <v/>
      </c>
      <c r="N320" t="str">
        <f ca="1">IF(AND(ISNUMBER($N$986),$B$677=1),$N$986,HLOOKUP(INDIRECT(ADDRESS(2,COLUMN())),OFFSET($BN$2,0,0,ROW()-1,60),ROW()-1,FALSE))</f>
        <v/>
      </c>
      <c r="O320" t="str">
        <f ca="1">IF(AND(ISNUMBER($O$986),$B$677=1),$O$986,HLOOKUP(INDIRECT(ADDRESS(2,COLUMN())),OFFSET($BN$2,0,0,ROW()-1,60),ROW()-1,FALSE))</f>
        <v/>
      </c>
      <c r="P320" t="str">
        <f ca="1">IF(AND(ISNUMBER($P$986),$B$677=1),$P$986,HLOOKUP(INDIRECT(ADDRESS(2,COLUMN())),OFFSET($BN$2,0,0,ROW()-1,60),ROW()-1,FALSE))</f>
        <v/>
      </c>
      <c r="Q320" t="str">
        <f ca="1">IF(AND(ISNUMBER($Q$986),$B$677=1),$Q$986,HLOOKUP(INDIRECT(ADDRESS(2,COLUMN())),OFFSET($BN$2,0,0,ROW()-1,60),ROW()-1,FALSE))</f>
        <v/>
      </c>
      <c r="R320" t="str">
        <f ca="1">IF(AND(ISNUMBER($R$986),$B$677=1),$R$986,HLOOKUP(INDIRECT(ADDRESS(2,COLUMN())),OFFSET($BN$2,0,0,ROW()-1,60),ROW()-1,FALSE))</f>
        <v/>
      </c>
      <c r="S320" t="str">
        <f ca="1">IF(AND(ISNUMBER($S$986),$B$677=1),$S$986,HLOOKUP(INDIRECT(ADDRESS(2,COLUMN())),OFFSET($BN$2,0,0,ROW()-1,60),ROW()-1,FALSE))</f>
        <v/>
      </c>
      <c r="T320" t="str">
        <f ca="1">IF(AND(ISNUMBER($T$986),$B$677=1),$T$986,HLOOKUP(INDIRECT(ADDRESS(2,COLUMN())),OFFSET($BN$2,0,0,ROW()-1,60),ROW()-1,FALSE))</f>
        <v/>
      </c>
      <c r="U320" t="str">
        <f ca="1">IF(AND(ISNUMBER($U$986),$B$677=1),$U$986,HLOOKUP(INDIRECT(ADDRESS(2,COLUMN())),OFFSET($BN$2,0,0,ROW()-1,60),ROW()-1,FALSE))</f>
        <v/>
      </c>
      <c r="V320" t="str">
        <f ca="1">IF(AND(ISNUMBER($V$986),$B$677=1),$V$986,HLOOKUP(INDIRECT(ADDRESS(2,COLUMN())),OFFSET($BN$2,0,0,ROW()-1,60),ROW()-1,FALSE))</f>
        <v/>
      </c>
      <c r="W320" t="str">
        <f ca="1">IF(AND(ISNUMBER($W$986),$B$677=1),$W$986,HLOOKUP(INDIRECT(ADDRESS(2,COLUMN())),OFFSET($BN$2,0,0,ROW()-1,60),ROW()-1,FALSE))</f>
        <v/>
      </c>
      <c r="X320" t="str">
        <f ca="1">IF(AND(ISNUMBER($X$986),$B$677=1),$X$986,HLOOKUP(INDIRECT(ADDRESS(2,COLUMN())),OFFSET($BN$2,0,0,ROW()-1,60),ROW()-1,FALSE))</f>
        <v/>
      </c>
      <c r="Y320" t="str">
        <f ca="1">IF(AND(ISNUMBER($Y$986),$B$677=1),$Y$986,HLOOKUP(INDIRECT(ADDRESS(2,COLUMN())),OFFSET($BN$2,0,0,ROW()-1,60),ROW()-1,FALSE))</f>
        <v/>
      </c>
      <c r="Z320" t="str">
        <f ca="1">IF(AND(ISNUMBER($Z$986),$B$677=1),$Z$986,HLOOKUP(INDIRECT(ADDRESS(2,COLUMN())),OFFSET($BN$2,0,0,ROW()-1,60),ROW()-1,FALSE))</f>
        <v/>
      </c>
      <c r="AA320" t="str">
        <f ca="1">IF(AND(ISNUMBER($AA$986),$B$677=1),$AA$986,HLOOKUP(INDIRECT(ADDRESS(2,COLUMN())),OFFSET($BN$2,0,0,ROW()-1,60),ROW()-1,FALSE))</f>
        <v/>
      </c>
      <c r="AB320" t="str">
        <f ca="1">IF(AND(ISNUMBER($AB$986),$B$677=1),$AB$986,HLOOKUP(INDIRECT(ADDRESS(2,COLUMN())),OFFSET($BN$2,0,0,ROW()-1,60),ROW()-1,FALSE))</f>
        <v/>
      </c>
      <c r="AC320" t="str">
        <f ca="1">IF(AND(ISNUMBER($AC$986),$B$677=1),$AC$986,HLOOKUP(INDIRECT(ADDRESS(2,COLUMN())),OFFSET($BN$2,0,0,ROW()-1,60),ROW()-1,FALSE))</f>
        <v/>
      </c>
      <c r="AD320" t="str">
        <f ca="1">IF(AND(ISNUMBER($AD$986),$B$677=1),$AD$986,HLOOKUP(INDIRECT(ADDRESS(2,COLUMN())),OFFSET($BN$2,0,0,ROW()-1,60),ROW()-1,FALSE))</f>
        <v/>
      </c>
      <c r="AE320" t="str">
        <f ca="1">IF(AND(ISNUMBER($AE$986),$B$677=1),$AE$986,HLOOKUP(INDIRECT(ADDRESS(2,COLUMN())),OFFSET($BN$2,0,0,ROW()-1,60),ROW()-1,FALSE))</f>
        <v/>
      </c>
      <c r="AF320" t="str">
        <f ca="1">IF(AND(ISNUMBER($AF$986),$B$677=1),$AF$986,HLOOKUP(INDIRECT(ADDRESS(2,COLUMN())),OFFSET($BN$2,0,0,ROW()-1,60),ROW()-1,FALSE))</f>
        <v/>
      </c>
      <c r="AG320" t="str">
        <f ca="1">IF(AND(ISNUMBER($AG$986),$B$677=1),$AG$986,HLOOKUP(INDIRECT(ADDRESS(2,COLUMN())),OFFSET($BN$2,0,0,ROW()-1,60),ROW()-1,FALSE))</f>
        <v/>
      </c>
      <c r="AH320" t="str">
        <f ca="1">IF(AND(ISNUMBER($AH$986),$B$677=1),$AH$986,HLOOKUP(INDIRECT(ADDRESS(2,COLUMN())),OFFSET($BN$2,0,0,ROW()-1,60),ROW()-1,FALSE))</f>
        <v/>
      </c>
      <c r="AI320" t="str">
        <f ca="1">IF(AND(ISNUMBER($AI$986),$B$677=1),$AI$986,HLOOKUP(INDIRECT(ADDRESS(2,COLUMN())),OFFSET($BN$2,0,0,ROW()-1,60),ROW()-1,FALSE))</f>
        <v/>
      </c>
      <c r="AJ320" t="str">
        <f ca="1">IF(AND(ISNUMBER($AJ$986),$B$677=1),$AJ$986,HLOOKUP(INDIRECT(ADDRESS(2,COLUMN())),OFFSET($BN$2,0,0,ROW()-1,60),ROW()-1,FALSE))</f>
        <v/>
      </c>
      <c r="AK320" t="str">
        <f ca="1">IF(AND(ISNUMBER($AK$986),$B$677=1),$AK$986,HLOOKUP(INDIRECT(ADDRESS(2,COLUMN())),OFFSET($BN$2,0,0,ROW()-1,60),ROW()-1,FALSE))</f>
        <v/>
      </c>
      <c r="AL320" t="str">
        <f ca="1">IF(AND(ISNUMBER($AL$986),$B$677=1),$AL$986,HLOOKUP(INDIRECT(ADDRESS(2,COLUMN())),OFFSET($BN$2,0,0,ROW()-1,60),ROW()-1,FALSE))</f>
        <v/>
      </c>
      <c r="AM320" t="str">
        <f ca="1">IF(AND(ISNUMBER($AM$986),$B$677=1),$AM$986,HLOOKUP(INDIRECT(ADDRESS(2,COLUMN())),OFFSET($BN$2,0,0,ROW()-1,60),ROW()-1,FALSE))</f>
        <v/>
      </c>
      <c r="AN320" t="str">
        <f ca="1">IF(AND(ISNUMBER($AN$986),$B$677=1),$AN$986,HLOOKUP(INDIRECT(ADDRESS(2,COLUMN())),OFFSET($BN$2,0,0,ROW()-1,60),ROW()-1,FALSE))</f>
        <v/>
      </c>
      <c r="AO320" t="str">
        <f ca="1">IF(AND(ISNUMBER($AO$986),$B$677=1),$AO$986,HLOOKUP(INDIRECT(ADDRESS(2,COLUMN())),OFFSET($BN$2,0,0,ROW()-1,60),ROW()-1,FALSE))</f>
        <v/>
      </c>
      <c r="AP320" t="str">
        <f ca="1">IF(AND(ISNUMBER($AP$986),$B$677=1),$AP$986,HLOOKUP(INDIRECT(ADDRESS(2,COLUMN())),OFFSET($BN$2,0,0,ROW()-1,60),ROW()-1,FALSE))</f>
        <v/>
      </c>
      <c r="AQ320" t="str">
        <f ca="1">IF(AND(ISNUMBER($AQ$986),$B$677=1),$AQ$986,HLOOKUP(INDIRECT(ADDRESS(2,COLUMN())),OFFSET($BN$2,0,0,ROW()-1,60),ROW()-1,FALSE))</f>
        <v/>
      </c>
      <c r="AR320" t="str">
        <f ca="1">IF(AND(ISNUMBER($AR$986),$B$677=1),$AR$986,HLOOKUP(INDIRECT(ADDRESS(2,COLUMN())),OFFSET($BN$2,0,0,ROW()-1,60),ROW()-1,FALSE))</f>
        <v/>
      </c>
      <c r="AS320" t="str">
        <f ca="1">IF(AND(ISNUMBER($AS$986),$B$677=1),$AS$986,HLOOKUP(INDIRECT(ADDRESS(2,COLUMN())),OFFSET($BN$2,0,0,ROW()-1,60),ROW()-1,FALSE))</f>
        <v/>
      </c>
      <c r="AT320" t="str">
        <f ca="1">IF(AND(ISNUMBER($AT$986),$B$677=1),$AT$986,HLOOKUP(INDIRECT(ADDRESS(2,COLUMN())),OFFSET($BN$2,0,0,ROW()-1,60),ROW()-1,FALSE))</f>
        <v/>
      </c>
      <c r="AU320" t="str">
        <f ca="1">IF(AND(ISNUMBER($AU$986),$B$677=1),$AU$986,HLOOKUP(INDIRECT(ADDRESS(2,COLUMN())),OFFSET($BN$2,0,0,ROW()-1,60),ROW()-1,FALSE))</f>
        <v/>
      </c>
      <c r="AV320" t="str">
        <f ca="1">IF(AND(ISNUMBER($AV$986),$B$677=1),$AV$986,HLOOKUP(INDIRECT(ADDRESS(2,COLUMN())),OFFSET($BN$2,0,0,ROW()-1,60),ROW()-1,FALSE))</f>
        <v/>
      </c>
      <c r="AW320" t="str">
        <f ca="1">IF(AND(ISNUMBER($AW$986),$B$677=1),$AW$986,HLOOKUP(INDIRECT(ADDRESS(2,COLUMN())),OFFSET($BN$2,0,0,ROW()-1,60),ROW()-1,FALSE))</f>
        <v/>
      </c>
      <c r="AX320" t="str">
        <f ca="1">IF(AND(ISNUMBER($AX$986),$B$677=1),$AX$986,HLOOKUP(INDIRECT(ADDRESS(2,COLUMN())),OFFSET($BN$2,0,0,ROW()-1,60),ROW()-1,FALSE))</f>
        <v/>
      </c>
      <c r="AY320" t="str">
        <f ca="1">IF(AND(ISNUMBER($AY$986),$B$677=1),$AY$986,HLOOKUP(INDIRECT(ADDRESS(2,COLUMN())),OFFSET($BN$2,0,0,ROW()-1,60),ROW()-1,FALSE))</f>
        <v/>
      </c>
      <c r="AZ320" t="str">
        <f ca="1">IF(AND(ISNUMBER($AZ$986),$B$677=1),$AZ$986,HLOOKUP(INDIRECT(ADDRESS(2,COLUMN())),OFFSET($BN$2,0,0,ROW()-1,60),ROW()-1,FALSE))</f>
        <v/>
      </c>
      <c r="BA320" t="str">
        <f ca="1">IF(AND(ISNUMBER($BA$986),$B$677=1),$BA$986,HLOOKUP(INDIRECT(ADDRESS(2,COLUMN())),OFFSET($BN$2,0,0,ROW()-1,60),ROW()-1,FALSE))</f>
        <v/>
      </c>
      <c r="BB320" t="str">
        <f ca="1">IF(AND(ISNUMBER($BB$986),$B$677=1),$BB$986,HLOOKUP(INDIRECT(ADDRESS(2,COLUMN())),OFFSET($BN$2,0,0,ROW()-1,60),ROW()-1,FALSE))</f>
        <v/>
      </c>
      <c r="BC320" t="str">
        <f ca="1">IF(AND(ISNUMBER($BC$986),$B$677=1),$BC$986,HLOOKUP(INDIRECT(ADDRESS(2,COLUMN())),OFFSET($BN$2,0,0,ROW()-1,60),ROW()-1,FALSE))</f>
        <v/>
      </c>
      <c r="BD320" t="str">
        <f ca="1">IF(AND(ISNUMBER($BD$986),$B$677=1),$BD$986,HLOOKUP(INDIRECT(ADDRESS(2,COLUMN())),OFFSET($BN$2,0,0,ROW()-1,60),ROW()-1,FALSE))</f>
        <v/>
      </c>
      <c r="BE320" t="str">
        <f ca="1">IF(AND(ISNUMBER($BE$986),$B$677=1),$BE$986,HLOOKUP(INDIRECT(ADDRESS(2,COLUMN())),OFFSET($BN$2,0,0,ROW()-1,60),ROW()-1,FALSE))</f>
        <v/>
      </c>
      <c r="BF320" t="str">
        <f ca="1">IF(AND(ISNUMBER($BF$986),$B$677=1),$BF$986,HLOOKUP(INDIRECT(ADDRESS(2,COLUMN())),OFFSET($BN$2,0,0,ROW()-1,60),ROW()-1,FALSE))</f>
        <v/>
      </c>
      <c r="BG320">
        <f ca="1">IF(AND(ISNUMBER($BG$986),$B$677=1),$BG$986,HLOOKUP(INDIRECT(ADDRESS(2,COLUMN())),OFFSET($BN$2,0,0,ROW()-1,60),ROW()-1,FALSE))</f>
        <v>13.915251980000001</v>
      </c>
      <c r="BH320">
        <f ca="1">IF(AND(ISNUMBER($BH$986),$B$677=1),$BH$986,HLOOKUP(INDIRECT(ADDRESS(2,COLUMN())),OFFSET($BN$2,0,0,ROW()-1,60),ROW()-1,FALSE))</f>
        <v>20.029180310000001</v>
      </c>
      <c r="BI320">
        <f ca="1">IF(AND(ISNUMBER($BI$986),$B$677=1),$BI$986,HLOOKUP(INDIRECT(ADDRESS(2,COLUMN())),OFFSET($BN$2,0,0,ROW()-1,60),ROW()-1,FALSE))</f>
        <v>15.31882508</v>
      </c>
      <c r="BJ320">
        <f ca="1">IF(AND(ISNUMBER($BJ$986),$B$677=1),$BJ$986,HLOOKUP(INDIRECT(ADDRESS(2,COLUMN())),OFFSET($BN$2,0,0,ROW()-1,60),ROW()-1,FALSE))</f>
        <v>13.177819530000001</v>
      </c>
      <c r="BK320">
        <f ca="1">IF(AND(ISNUMBER($BK$986),$B$677=1),$BK$986,HLOOKUP(INDIRECT(ADDRESS(2,COLUMN())),OFFSET($BN$2,0,0,ROW()-1,60),ROW()-1,FALSE))</f>
        <v>13.416428789999999</v>
      </c>
      <c r="BL320">
        <f ca="1">IF(AND(ISNUMBER($BL$986),$B$677=1),$BL$986,HLOOKUP(INDIRECT(ADDRESS(2,COLUMN())),OFFSET($BN$2,0,0,ROW()-1,60),ROW()-1,FALSE))</f>
        <v>26.976781169999999</v>
      </c>
      <c r="BM320">
        <f ca="1">IF(AND(ISNUMBER($BM$986),$B$677=1),$BM$986,HLOOKUP(INDIRECT(ADDRESS(2,COLUMN())),OFFSET($BN$2,0,0,ROW()-1,60),ROW()-1,FALSE))</f>
        <v>31.680834170000001</v>
      </c>
      <c r="BN320" t="str">
        <f>""</f>
        <v/>
      </c>
      <c r="BO320" t="str">
        <f>""</f>
        <v/>
      </c>
      <c r="BP320" t="str">
        <f>""</f>
        <v/>
      </c>
      <c r="BQ320" t="str">
        <f>""</f>
        <v/>
      </c>
      <c r="BR320" t="str">
        <f>""</f>
        <v/>
      </c>
      <c r="BS320" t="str">
        <f>""</f>
        <v/>
      </c>
      <c r="BT320" t="str">
        <f>""</f>
        <v/>
      </c>
      <c r="BU320" t="str">
        <f>""</f>
        <v/>
      </c>
      <c r="BV320" t="str">
        <f>""</f>
        <v/>
      </c>
      <c r="BW320" t="str">
        <f>""</f>
        <v/>
      </c>
      <c r="BX320" t="str">
        <f>""</f>
        <v/>
      </c>
      <c r="BY320" t="str">
        <f>""</f>
        <v/>
      </c>
      <c r="BZ320" t="str">
        <f>""</f>
        <v/>
      </c>
      <c r="CA320" t="str">
        <f>""</f>
        <v/>
      </c>
      <c r="CB320" t="str">
        <f>""</f>
        <v/>
      </c>
      <c r="CC320" t="str">
        <f>""</f>
        <v/>
      </c>
      <c r="CD320" t="str">
        <f>""</f>
        <v/>
      </c>
      <c r="CE320" t="str">
        <f>""</f>
        <v/>
      </c>
      <c r="CF320" t="str">
        <f>""</f>
        <v/>
      </c>
      <c r="CG320" t="str">
        <f>""</f>
        <v/>
      </c>
      <c r="CH320" t="str">
        <f>""</f>
        <v/>
      </c>
      <c r="CI320" t="str">
        <f>""</f>
        <v/>
      </c>
      <c r="CJ320" t="str">
        <f>""</f>
        <v/>
      </c>
      <c r="CK320" t="str">
        <f>""</f>
        <v/>
      </c>
      <c r="CL320" t="str">
        <f>""</f>
        <v/>
      </c>
      <c r="CM320" t="str">
        <f>""</f>
        <v/>
      </c>
      <c r="CN320" t="str">
        <f>""</f>
        <v/>
      </c>
      <c r="CO320" t="str">
        <f>""</f>
        <v/>
      </c>
      <c r="CP320" t="str">
        <f>""</f>
        <v/>
      </c>
      <c r="CQ320" t="str">
        <f>""</f>
        <v/>
      </c>
      <c r="CR320" t="str">
        <f>""</f>
        <v/>
      </c>
      <c r="CS320" t="str">
        <f>""</f>
        <v/>
      </c>
      <c r="CT320" t="str">
        <f>""</f>
        <v/>
      </c>
      <c r="CU320" t="str">
        <f>""</f>
        <v/>
      </c>
      <c r="CV320" t="str">
        <f>""</f>
        <v/>
      </c>
      <c r="CW320" t="str">
        <f>""</f>
        <v/>
      </c>
      <c r="CX320" t="str">
        <f>""</f>
        <v/>
      </c>
      <c r="CY320" t="str">
        <f>""</f>
        <v/>
      </c>
      <c r="CZ320" t="str">
        <f>""</f>
        <v/>
      </c>
      <c r="DA320" t="str">
        <f>""</f>
        <v/>
      </c>
      <c r="DB320" t="str">
        <f>""</f>
        <v/>
      </c>
      <c r="DC320" t="str">
        <f>""</f>
        <v/>
      </c>
      <c r="DD320" t="str">
        <f>""</f>
        <v/>
      </c>
      <c r="DE320" t="str">
        <f>""</f>
        <v/>
      </c>
      <c r="DF320" t="str">
        <f>""</f>
        <v/>
      </c>
      <c r="DG320" t="str">
        <f>""</f>
        <v/>
      </c>
      <c r="DH320" t="str">
        <f>""</f>
        <v/>
      </c>
      <c r="DI320" t="str">
        <f>""</f>
        <v/>
      </c>
      <c r="DJ320" t="str">
        <f>""</f>
        <v/>
      </c>
      <c r="DK320" t="str">
        <f>""</f>
        <v/>
      </c>
      <c r="DL320" t="str">
        <f>""</f>
        <v/>
      </c>
      <c r="DM320" t="str">
        <f>""</f>
        <v/>
      </c>
      <c r="DN320" t="str">
        <f>""</f>
        <v/>
      </c>
      <c r="DO320">
        <f>13.91525198</f>
        <v>13.915251980000001</v>
      </c>
      <c r="DP320">
        <f>20.02918031</f>
        <v>20.029180310000001</v>
      </c>
      <c r="DQ320">
        <f>15.31882508</f>
        <v>15.31882508</v>
      </c>
      <c r="DR320">
        <f>13.17781953</f>
        <v>13.177819530000001</v>
      </c>
      <c r="DS320">
        <f>13.41642879</f>
        <v>13.416428789999999</v>
      </c>
      <c r="DT320">
        <f>26.97678117</f>
        <v>26.976781169999999</v>
      </c>
      <c r="DU320">
        <f>31.68083417</f>
        <v>31.680834170000001</v>
      </c>
    </row>
    <row r="321" spans="1:125" x14ac:dyDescent="0.25">
      <c r="A321" t="str">
        <f>"    Sanyang Motor Co Ltd"</f>
        <v xml:space="preserve">    Sanyang Motor Co Ltd</v>
      </c>
      <c r="B321" t="str">
        <f>"2206 TT Equity"</f>
        <v>2206 TT Equity</v>
      </c>
      <c r="C321" t="str">
        <f t="shared" si="21"/>
        <v>RR474</v>
      </c>
      <c r="D321" t="str">
        <f t="shared" si="22"/>
        <v>EV_TO_T12M_EBITDA</v>
      </c>
      <c r="E321" t="str">
        <f t="shared" si="23"/>
        <v>Dynamic</v>
      </c>
      <c r="F321" t="str">
        <f ca="1">IF(AND(ISNUMBER($F$987),$B$677=1),$F$987,HLOOKUP(INDIRECT(ADDRESS(2,COLUMN())),OFFSET($BN$2,0,0,ROW()-1,60),ROW()-1,FALSE))</f>
        <v/>
      </c>
      <c r="G321" t="str">
        <f ca="1">IF(AND(ISNUMBER($G$987),$B$677=1),$G$987,HLOOKUP(INDIRECT(ADDRESS(2,COLUMN())),OFFSET($BN$2,0,0,ROW()-1,60),ROW()-1,FALSE))</f>
        <v/>
      </c>
      <c r="H321">
        <f ca="1">IF(AND(ISNUMBER($H$987),$B$677=1),$H$987,HLOOKUP(INDIRECT(ADDRESS(2,COLUMN())),OFFSET($BN$2,0,0,ROW()-1,60),ROW()-1,FALSE))</f>
        <v>22.124307829999999</v>
      </c>
      <c r="I321">
        <f ca="1">IF(AND(ISNUMBER($I$987),$B$677=1),$I$987,HLOOKUP(INDIRECT(ADDRESS(2,COLUMN())),OFFSET($BN$2,0,0,ROW()-1,60),ROW()-1,FALSE))</f>
        <v>21.86521552</v>
      </c>
      <c r="J321">
        <f ca="1">IF(AND(ISNUMBER($J$987),$B$677=1),$J$987,HLOOKUP(INDIRECT(ADDRESS(2,COLUMN())),OFFSET($BN$2,0,0,ROW()-1,60),ROW()-1,FALSE))</f>
        <v>19.16571845</v>
      </c>
      <c r="K321">
        <f ca="1">IF(AND(ISNUMBER($K$987),$B$677=1),$K$987,HLOOKUP(INDIRECT(ADDRESS(2,COLUMN())),OFFSET($BN$2,0,0,ROW()-1,60),ROW()-1,FALSE))</f>
        <v>16.088143939999998</v>
      </c>
      <c r="L321">
        <f ca="1">IF(AND(ISNUMBER($L$987),$B$677=1),$L$987,HLOOKUP(INDIRECT(ADDRESS(2,COLUMN())),OFFSET($BN$2,0,0,ROW()-1,60),ROW()-1,FALSE))</f>
        <v>16.210909959999999</v>
      </c>
      <c r="M321">
        <f ca="1">IF(AND(ISNUMBER($M$987),$B$677=1),$M$987,HLOOKUP(INDIRECT(ADDRESS(2,COLUMN())),OFFSET($BN$2,0,0,ROW()-1,60),ROW()-1,FALSE))</f>
        <v>17.155190229999999</v>
      </c>
      <c r="N321">
        <f ca="1">IF(AND(ISNUMBER($N$987),$B$677=1),$N$987,HLOOKUP(INDIRECT(ADDRESS(2,COLUMN())),OFFSET($BN$2,0,0,ROW()-1,60),ROW()-1,FALSE))</f>
        <v>17.765844340000001</v>
      </c>
      <c r="O321">
        <f ca="1">IF(AND(ISNUMBER($O$987),$B$677=1),$O$987,HLOOKUP(INDIRECT(ADDRESS(2,COLUMN())),OFFSET($BN$2,0,0,ROW()-1,60),ROW()-1,FALSE))</f>
        <v>16.781636030000001</v>
      </c>
      <c r="P321">
        <f ca="1">IF(AND(ISNUMBER($P$987),$B$677=1),$P$987,HLOOKUP(INDIRECT(ADDRESS(2,COLUMN())),OFFSET($BN$2,0,0,ROW()-1,60),ROW()-1,FALSE))</f>
        <v>41.174010869999996</v>
      </c>
      <c r="Q321">
        <f ca="1">IF(AND(ISNUMBER($Q$987),$B$677=1),$Q$987,HLOOKUP(INDIRECT(ADDRESS(2,COLUMN())),OFFSET($BN$2,0,0,ROW()-1,60),ROW()-1,FALSE))</f>
        <v>38.13359045</v>
      </c>
      <c r="R321">
        <f ca="1">IF(AND(ISNUMBER($R$987),$B$677=1),$R$987,HLOOKUP(INDIRECT(ADDRESS(2,COLUMN())),OFFSET($BN$2,0,0,ROW()-1,60),ROW()-1,FALSE))</f>
        <v>51.378028489999998</v>
      </c>
      <c r="S321">
        <f ca="1">IF(AND(ISNUMBER($S$987),$B$677=1),$S$987,HLOOKUP(INDIRECT(ADDRESS(2,COLUMN())),OFFSET($BN$2,0,0,ROW()-1,60),ROW()-1,FALSE))</f>
        <v>49.125513230000003</v>
      </c>
      <c r="T321">
        <f ca="1">IF(AND(ISNUMBER($T$987),$B$677=1),$T$987,HLOOKUP(INDIRECT(ADDRESS(2,COLUMN())),OFFSET($BN$2,0,0,ROW()-1,60),ROW()-1,FALSE))</f>
        <v>37.267336749999998</v>
      </c>
      <c r="U321">
        <f ca="1">IF(AND(ISNUMBER($U$987),$B$677=1),$U$987,HLOOKUP(INDIRECT(ADDRESS(2,COLUMN())),OFFSET($BN$2,0,0,ROW()-1,60),ROW()-1,FALSE))</f>
        <v>51.905838729999999</v>
      </c>
      <c r="V321">
        <f ca="1">IF(AND(ISNUMBER($V$987),$B$677=1),$V$987,HLOOKUP(INDIRECT(ADDRESS(2,COLUMN())),OFFSET($BN$2,0,0,ROW()-1,60),ROW()-1,FALSE))</f>
        <v>77.511389399999999</v>
      </c>
      <c r="W321">
        <f ca="1">IF(AND(ISNUMBER($W$987),$B$677=1),$W$987,HLOOKUP(INDIRECT(ADDRESS(2,COLUMN())),OFFSET($BN$2,0,0,ROW()-1,60),ROW()-1,FALSE))</f>
        <v>139.6297605</v>
      </c>
      <c r="X321">
        <f ca="1">IF(AND(ISNUMBER($X$987),$B$677=1),$X$987,HLOOKUP(INDIRECT(ADDRESS(2,COLUMN())),OFFSET($BN$2,0,0,ROW()-1,60),ROW()-1,FALSE))</f>
        <v>348.38689829999998</v>
      </c>
      <c r="Y321">
        <f ca="1">IF(AND(ISNUMBER($Y$987),$B$677=1),$Y$987,HLOOKUP(INDIRECT(ADDRESS(2,COLUMN())),OFFSET($BN$2,0,0,ROW()-1,60),ROW()-1,FALSE))</f>
        <v>444.51934599999998</v>
      </c>
      <c r="Z321">
        <f ca="1">IF(AND(ISNUMBER($Z$987),$B$677=1),$Z$987,HLOOKUP(INDIRECT(ADDRESS(2,COLUMN())),OFFSET($BN$2,0,0,ROW()-1,60),ROW()-1,FALSE))</f>
        <v>1540.7565300000001</v>
      </c>
      <c r="AA321">
        <f ca="1">IF(AND(ISNUMBER($AA$987),$B$677=1),$AA$987,HLOOKUP(INDIRECT(ADDRESS(2,COLUMN())),OFFSET($BN$2,0,0,ROW()-1,60),ROW()-1,FALSE))</f>
        <v>169.825377</v>
      </c>
      <c r="AB321">
        <f ca="1">IF(AND(ISNUMBER($AB$987),$B$677=1),$AB$987,HLOOKUP(INDIRECT(ADDRESS(2,COLUMN())),OFFSET($BN$2,0,0,ROW()-1,60),ROW()-1,FALSE))</f>
        <v>69.784722209999998</v>
      </c>
      <c r="AC321">
        <f ca="1">IF(AND(ISNUMBER($AC$987),$B$677=1),$AC$987,HLOOKUP(INDIRECT(ADDRESS(2,COLUMN())),OFFSET($BN$2,0,0,ROW()-1,60),ROW()-1,FALSE))</f>
        <v>32.61641504</v>
      </c>
      <c r="AD321">
        <f ca="1">IF(AND(ISNUMBER($AD$987),$B$677=1),$AD$987,HLOOKUP(INDIRECT(ADDRESS(2,COLUMN())),OFFSET($BN$2,0,0,ROW()-1,60),ROW()-1,FALSE))</f>
        <v>23.658270510000001</v>
      </c>
      <c r="AE321">
        <f ca="1">IF(AND(ISNUMBER($AE$987),$B$677=1),$AE$987,HLOOKUP(INDIRECT(ADDRESS(2,COLUMN())),OFFSET($BN$2,0,0,ROW()-1,60),ROW()-1,FALSE))</f>
        <v>16.295608770000001</v>
      </c>
      <c r="AF321">
        <f ca="1">IF(AND(ISNUMBER($AF$987),$B$677=1),$AF$987,HLOOKUP(INDIRECT(ADDRESS(2,COLUMN())),OFFSET($BN$2,0,0,ROW()-1,60),ROW()-1,FALSE))</f>
        <v>16.529384029999999</v>
      </c>
      <c r="AG321">
        <f ca="1">IF(AND(ISNUMBER($AG$987),$B$677=1),$AG$987,HLOOKUP(INDIRECT(ADDRESS(2,COLUMN())),OFFSET($BN$2,0,0,ROW()-1,60),ROW()-1,FALSE))</f>
        <v>13.095198</v>
      </c>
      <c r="AH321">
        <f ca="1">IF(AND(ISNUMBER($AH$987),$B$677=1),$AH$987,HLOOKUP(INDIRECT(ADDRESS(2,COLUMN())),OFFSET($BN$2,0,0,ROW()-1,60),ROW()-1,FALSE))</f>
        <v>10.87949747</v>
      </c>
      <c r="AI321">
        <f ca="1">IF(AND(ISNUMBER($AI$987),$B$677=1),$AI$987,HLOOKUP(INDIRECT(ADDRESS(2,COLUMN())),OFFSET($BN$2,0,0,ROW()-1,60),ROW()-1,FALSE))</f>
        <v>8.1426404649999995</v>
      </c>
      <c r="AJ321">
        <f ca="1">IF(AND(ISNUMBER($AJ$987),$B$677=1),$AJ$987,HLOOKUP(INDIRECT(ADDRESS(2,COLUMN())),OFFSET($BN$2,0,0,ROW()-1,60),ROW()-1,FALSE))</f>
        <v>7.9152964309999998</v>
      </c>
      <c r="AK321">
        <f ca="1">IF(AND(ISNUMBER($AK$987),$B$677=1),$AK$987,HLOOKUP(INDIRECT(ADDRESS(2,COLUMN())),OFFSET($BN$2,0,0,ROW()-1,60),ROW()-1,FALSE))</f>
        <v>8.4568243449999994</v>
      </c>
      <c r="AL321">
        <f ca="1">IF(AND(ISNUMBER($AL$987),$B$677=1),$AL$987,HLOOKUP(INDIRECT(ADDRESS(2,COLUMN())),OFFSET($BN$2,0,0,ROW()-1,60),ROW()-1,FALSE))</f>
        <v>9.1792371589999995</v>
      </c>
      <c r="AM321">
        <f ca="1">IF(AND(ISNUMBER($AM$987),$B$677=1),$AM$987,HLOOKUP(INDIRECT(ADDRESS(2,COLUMN())),OFFSET($BN$2,0,0,ROW()-1,60),ROW()-1,FALSE))</f>
        <v>10.801300619999999</v>
      </c>
      <c r="AN321">
        <f ca="1">IF(AND(ISNUMBER($AN$987),$B$677=1),$AN$987,HLOOKUP(INDIRECT(ADDRESS(2,COLUMN())),OFFSET($BN$2,0,0,ROW()-1,60),ROW()-1,FALSE))</f>
        <v>8.442422487</v>
      </c>
      <c r="AO321">
        <f ca="1">IF(AND(ISNUMBER($AO$987),$B$677=1),$AO$987,HLOOKUP(INDIRECT(ADDRESS(2,COLUMN())),OFFSET($BN$2,0,0,ROW()-1,60),ROW()-1,FALSE))</f>
        <v>7.183959593</v>
      </c>
      <c r="AP321">
        <f ca="1">IF(AND(ISNUMBER($AP$987),$B$677=1),$AP$987,HLOOKUP(INDIRECT(ADDRESS(2,COLUMN())),OFFSET($BN$2,0,0,ROW()-1,60),ROW()-1,FALSE))</f>
        <v>7.0029783209999996</v>
      </c>
      <c r="AQ321">
        <f ca="1">IF(AND(ISNUMBER($AQ$987),$B$677=1),$AQ$987,HLOOKUP(INDIRECT(ADDRESS(2,COLUMN())),OFFSET($BN$2,0,0,ROW()-1,60),ROW()-1,FALSE))</f>
        <v>11.275031780000001</v>
      </c>
      <c r="AR321">
        <f ca="1">IF(AND(ISNUMBER($AR$987),$B$677=1),$AR$987,HLOOKUP(INDIRECT(ADDRESS(2,COLUMN())),OFFSET($BN$2,0,0,ROW()-1,60),ROW()-1,FALSE))</f>
        <v>13.93191683</v>
      </c>
      <c r="AS321">
        <f ca="1">IF(AND(ISNUMBER($AS$987),$B$677=1),$AS$987,HLOOKUP(INDIRECT(ADDRESS(2,COLUMN())),OFFSET($BN$2,0,0,ROW()-1,60),ROW()-1,FALSE))</f>
        <v>33.441012790000002</v>
      </c>
      <c r="AT321">
        <f ca="1">IF(AND(ISNUMBER($AT$987),$B$677=1),$AT$987,HLOOKUP(INDIRECT(ADDRESS(2,COLUMN())),OFFSET($BN$2,0,0,ROW()-1,60),ROW()-1,FALSE))</f>
        <v>14.382505399999999</v>
      </c>
      <c r="AU321">
        <f ca="1">IF(AND(ISNUMBER($AU$987),$B$677=1),$AU$987,HLOOKUP(INDIRECT(ADDRESS(2,COLUMN())),OFFSET($BN$2,0,0,ROW()-1,60),ROW()-1,FALSE))</f>
        <v>8.7572530059999991</v>
      </c>
      <c r="AV321" t="str">
        <f ca="1">IF(AND(ISNUMBER($AV$987),$B$677=1),$AV$987,HLOOKUP(INDIRECT(ADDRESS(2,COLUMN())),OFFSET($BN$2,0,0,ROW()-1,60),ROW()-1,FALSE))</f>
        <v/>
      </c>
      <c r="AW321" t="str">
        <f ca="1">IF(AND(ISNUMBER($AW$987),$B$677=1),$AW$987,HLOOKUP(INDIRECT(ADDRESS(2,COLUMN())),OFFSET($BN$2,0,0,ROW()-1,60),ROW()-1,FALSE))</f>
        <v/>
      </c>
      <c r="AX321" t="str">
        <f ca="1">IF(AND(ISNUMBER($AX$987),$B$677=1),$AX$987,HLOOKUP(INDIRECT(ADDRESS(2,COLUMN())),OFFSET($BN$2,0,0,ROW()-1,60),ROW()-1,FALSE))</f>
        <v/>
      </c>
      <c r="AY321" t="str">
        <f ca="1">IF(AND(ISNUMBER($AY$987),$B$677=1),$AY$987,HLOOKUP(INDIRECT(ADDRESS(2,COLUMN())),OFFSET($BN$2,0,0,ROW()-1,60),ROW()-1,FALSE))</f>
        <v/>
      </c>
      <c r="AZ321" t="str">
        <f ca="1">IF(AND(ISNUMBER($AZ$987),$B$677=1),$AZ$987,HLOOKUP(INDIRECT(ADDRESS(2,COLUMN())),OFFSET($BN$2,0,0,ROW()-1,60),ROW()-1,FALSE))</f>
        <v/>
      </c>
      <c r="BA321" t="str">
        <f ca="1">IF(AND(ISNUMBER($BA$987),$B$677=1),$BA$987,HLOOKUP(INDIRECT(ADDRESS(2,COLUMN())),OFFSET($BN$2,0,0,ROW()-1,60),ROW()-1,FALSE))</f>
        <v/>
      </c>
      <c r="BB321" t="str">
        <f ca="1">IF(AND(ISNUMBER($BB$987),$B$677=1),$BB$987,HLOOKUP(INDIRECT(ADDRESS(2,COLUMN())),OFFSET($BN$2,0,0,ROW()-1,60),ROW()-1,FALSE))</f>
        <v/>
      </c>
      <c r="BC321" t="str">
        <f ca="1">IF(AND(ISNUMBER($BC$987),$B$677=1),$BC$987,HLOOKUP(INDIRECT(ADDRESS(2,COLUMN())),OFFSET($BN$2,0,0,ROW()-1,60),ROW()-1,FALSE))</f>
        <v/>
      </c>
      <c r="BD321" t="str">
        <f ca="1">IF(AND(ISNUMBER($BD$987),$B$677=1),$BD$987,HLOOKUP(INDIRECT(ADDRESS(2,COLUMN())),OFFSET($BN$2,0,0,ROW()-1,60),ROW()-1,FALSE))</f>
        <v/>
      </c>
      <c r="BE321" t="str">
        <f ca="1">IF(AND(ISNUMBER($BE$987),$B$677=1),$BE$987,HLOOKUP(INDIRECT(ADDRESS(2,COLUMN())),OFFSET($BN$2,0,0,ROW()-1,60),ROW()-1,FALSE))</f>
        <v/>
      </c>
      <c r="BF321" t="str">
        <f ca="1">IF(AND(ISNUMBER($BF$987),$B$677=1),$BF$987,HLOOKUP(INDIRECT(ADDRESS(2,COLUMN())),OFFSET($BN$2,0,0,ROW()-1,60),ROW()-1,FALSE))</f>
        <v/>
      </c>
      <c r="BG321" t="str">
        <f ca="1">IF(AND(ISNUMBER($BG$987),$B$677=1),$BG$987,HLOOKUP(INDIRECT(ADDRESS(2,COLUMN())),OFFSET($BN$2,0,0,ROW()-1,60),ROW()-1,FALSE))</f>
        <v/>
      </c>
      <c r="BH321" t="str">
        <f ca="1">IF(AND(ISNUMBER($BH$987),$B$677=1),$BH$987,HLOOKUP(INDIRECT(ADDRESS(2,COLUMN())),OFFSET($BN$2,0,0,ROW()-1,60),ROW()-1,FALSE))</f>
        <v/>
      </c>
      <c r="BI321" t="str">
        <f ca="1">IF(AND(ISNUMBER($BI$987),$B$677=1),$BI$987,HLOOKUP(INDIRECT(ADDRESS(2,COLUMN())),OFFSET($BN$2,0,0,ROW()-1,60),ROW()-1,FALSE))</f>
        <v/>
      </c>
      <c r="BJ321" t="str">
        <f ca="1">IF(AND(ISNUMBER($BJ$987),$B$677=1),$BJ$987,HLOOKUP(INDIRECT(ADDRESS(2,COLUMN())),OFFSET($BN$2,0,0,ROW()-1,60),ROW()-1,FALSE))</f>
        <v/>
      </c>
      <c r="BK321" t="str">
        <f ca="1">IF(AND(ISNUMBER($BK$987),$B$677=1),$BK$987,HLOOKUP(INDIRECT(ADDRESS(2,COLUMN())),OFFSET($BN$2,0,0,ROW()-1,60),ROW()-1,FALSE))</f>
        <v/>
      </c>
      <c r="BL321" t="str">
        <f ca="1">IF(AND(ISNUMBER($BL$987),$B$677=1),$BL$987,HLOOKUP(INDIRECT(ADDRESS(2,COLUMN())),OFFSET($BN$2,0,0,ROW()-1,60),ROW()-1,FALSE))</f>
        <v/>
      </c>
      <c r="BM321" t="str">
        <f ca="1">IF(AND(ISNUMBER($BM$987),$B$677=1),$BM$987,HLOOKUP(INDIRECT(ADDRESS(2,COLUMN())),OFFSET($BN$2,0,0,ROW()-1,60),ROW()-1,FALSE))</f>
        <v/>
      </c>
      <c r="BN321" t="str">
        <f>""</f>
        <v/>
      </c>
      <c r="BO321" t="str">
        <f>""</f>
        <v/>
      </c>
      <c r="BP321">
        <f>22.12430783</f>
        <v>22.124307829999999</v>
      </c>
      <c r="BQ321">
        <f>21.86521552</f>
        <v>21.86521552</v>
      </c>
      <c r="BR321">
        <f>19.16571845</f>
        <v>19.16571845</v>
      </c>
      <c r="BS321">
        <f>16.08814394</f>
        <v>16.088143939999998</v>
      </c>
      <c r="BT321">
        <f>16.21090996</f>
        <v>16.210909959999999</v>
      </c>
      <c r="BU321">
        <f>17.15519023</f>
        <v>17.155190229999999</v>
      </c>
      <c r="BV321">
        <f>17.76584434</f>
        <v>17.765844340000001</v>
      </c>
      <c r="BW321">
        <f>16.78163603</f>
        <v>16.781636030000001</v>
      </c>
      <c r="BX321">
        <f>41.17401087</f>
        <v>41.174010869999996</v>
      </c>
      <c r="BY321">
        <f>38.13359045</f>
        <v>38.13359045</v>
      </c>
      <c r="BZ321">
        <f>51.37802849</f>
        <v>51.378028489999998</v>
      </c>
      <c r="CA321">
        <f>49.12551323</f>
        <v>49.125513230000003</v>
      </c>
      <c r="CB321">
        <f>37.26733675</f>
        <v>37.267336749999998</v>
      </c>
      <c r="CC321">
        <f>51.90583873</f>
        <v>51.905838729999999</v>
      </c>
      <c r="CD321">
        <f>77.5113894</f>
        <v>77.511389399999999</v>
      </c>
      <c r="CE321">
        <f>139.6297605</f>
        <v>139.6297605</v>
      </c>
      <c r="CF321">
        <f>348.3868983</f>
        <v>348.38689829999998</v>
      </c>
      <c r="CG321">
        <f>444.519346</f>
        <v>444.51934599999998</v>
      </c>
      <c r="CH321">
        <f>1540.75653</f>
        <v>1540.7565300000001</v>
      </c>
      <c r="CI321">
        <f>169.825377</f>
        <v>169.825377</v>
      </c>
      <c r="CJ321">
        <f>69.78472221</f>
        <v>69.784722209999998</v>
      </c>
      <c r="CK321">
        <f>32.61641504</f>
        <v>32.61641504</v>
      </c>
      <c r="CL321">
        <f>23.65827051</f>
        <v>23.658270510000001</v>
      </c>
      <c r="CM321">
        <f>16.29560877</f>
        <v>16.295608770000001</v>
      </c>
      <c r="CN321">
        <f>16.52938403</f>
        <v>16.529384029999999</v>
      </c>
      <c r="CO321">
        <f>13.095198</f>
        <v>13.095198</v>
      </c>
      <c r="CP321">
        <f>10.87949747</f>
        <v>10.87949747</v>
      </c>
      <c r="CQ321">
        <f>8.142640465</f>
        <v>8.1426404649999995</v>
      </c>
      <c r="CR321">
        <f>7.915296431</f>
        <v>7.9152964309999998</v>
      </c>
      <c r="CS321">
        <f>8.456824345</f>
        <v>8.4568243449999994</v>
      </c>
      <c r="CT321">
        <f>9.179237159</f>
        <v>9.1792371589999995</v>
      </c>
      <c r="CU321">
        <f>10.80130062</f>
        <v>10.801300619999999</v>
      </c>
      <c r="CV321">
        <f>8.442422487</f>
        <v>8.442422487</v>
      </c>
      <c r="CW321">
        <f>7.183959593</f>
        <v>7.183959593</v>
      </c>
      <c r="CX321">
        <f>7.002978321</f>
        <v>7.0029783209999996</v>
      </c>
      <c r="CY321">
        <f>11.27503178</f>
        <v>11.275031780000001</v>
      </c>
      <c r="CZ321">
        <f>13.93191683</f>
        <v>13.93191683</v>
      </c>
      <c r="DA321">
        <f>33.44101279</f>
        <v>33.441012790000002</v>
      </c>
      <c r="DB321">
        <f>14.3825054</f>
        <v>14.382505399999999</v>
      </c>
      <c r="DC321">
        <f>8.757253006</f>
        <v>8.7572530059999991</v>
      </c>
      <c r="DD321" t="str">
        <f>""</f>
        <v/>
      </c>
      <c r="DE321" t="str">
        <f>""</f>
        <v/>
      </c>
      <c r="DF321" t="str">
        <f>""</f>
        <v/>
      </c>
      <c r="DG321" t="str">
        <f>""</f>
        <v/>
      </c>
      <c r="DH321" t="str">
        <f>""</f>
        <v/>
      </c>
      <c r="DI321" t="str">
        <f>""</f>
        <v/>
      </c>
      <c r="DJ321" t="str">
        <f>""</f>
        <v/>
      </c>
      <c r="DK321" t="str">
        <f>""</f>
        <v/>
      </c>
      <c r="DL321" t="str">
        <f>""</f>
        <v/>
      </c>
      <c r="DM321" t="str">
        <f>""</f>
        <v/>
      </c>
      <c r="DN321" t="str">
        <f>""</f>
        <v/>
      </c>
      <c r="DO321" t="str">
        <f>""</f>
        <v/>
      </c>
      <c r="DP321" t="str">
        <f>""</f>
        <v/>
      </c>
      <c r="DQ321" t="str">
        <f>""</f>
        <v/>
      </c>
      <c r="DR321" t="str">
        <f>""</f>
        <v/>
      </c>
      <c r="DS321" t="str">
        <f>""</f>
        <v/>
      </c>
      <c r="DT321" t="str">
        <f>""</f>
        <v/>
      </c>
      <c r="DU321" t="str">
        <f>""</f>
        <v/>
      </c>
    </row>
    <row r="322" spans="1:125" x14ac:dyDescent="0.25">
      <c r="A322" t="str">
        <f>"    Sollers PJSC"</f>
        <v xml:space="preserve">    Sollers PJSC</v>
      </c>
      <c r="B322" t="str">
        <f>"SVAV RM Equity"</f>
        <v>SVAV RM Equity</v>
      </c>
      <c r="C322" t="str">
        <f t="shared" si="21"/>
        <v>RR474</v>
      </c>
      <c r="D322" t="str">
        <f t="shared" si="22"/>
        <v>EV_TO_T12M_EBITDA</v>
      </c>
      <c r="E322" t="str">
        <f t="shared" si="23"/>
        <v>Dynamic</v>
      </c>
      <c r="F322" t="str">
        <f ca="1">IF(AND(ISNUMBER($F$988),$B$677=1),$F$988,HLOOKUP(INDIRECT(ADDRESS(2,COLUMN())),OFFSET($BN$2,0,0,ROW()-1,60),ROW()-1,FALSE))</f>
        <v/>
      </c>
      <c r="G322" t="str">
        <f ca="1">IF(AND(ISNUMBER($G$988),$B$677=1),$G$988,HLOOKUP(INDIRECT(ADDRESS(2,COLUMN())),OFFSET($BN$2,0,0,ROW()-1,60),ROW()-1,FALSE))</f>
        <v/>
      </c>
      <c r="H322" t="str">
        <f ca="1">IF(AND(ISNUMBER($H$988),$B$677=1),$H$988,HLOOKUP(INDIRECT(ADDRESS(2,COLUMN())),OFFSET($BN$2,0,0,ROW()-1,60),ROW()-1,FALSE))</f>
        <v/>
      </c>
      <c r="I322" t="str">
        <f ca="1">IF(AND(ISNUMBER($I$988),$B$677=1),$I$988,HLOOKUP(INDIRECT(ADDRESS(2,COLUMN())),OFFSET($BN$2,0,0,ROW()-1,60),ROW()-1,FALSE))</f>
        <v/>
      </c>
      <c r="J322" t="str">
        <f ca="1">IF(AND(ISNUMBER($J$988),$B$677=1),$J$988,HLOOKUP(INDIRECT(ADDRESS(2,COLUMN())),OFFSET($BN$2,0,0,ROW()-1,60),ROW()-1,FALSE))</f>
        <v/>
      </c>
      <c r="K322" t="str">
        <f ca="1">IF(AND(ISNUMBER($K$988),$B$677=1),$K$988,HLOOKUP(INDIRECT(ADDRESS(2,COLUMN())),OFFSET($BN$2,0,0,ROW()-1,60),ROW()-1,FALSE))</f>
        <v/>
      </c>
      <c r="L322" t="str">
        <f ca="1">IF(AND(ISNUMBER($L$988),$B$677=1),$L$988,HLOOKUP(INDIRECT(ADDRESS(2,COLUMN())),OFFSET($BN$2,0,0,ROW()-1,60),ROW()-1,FALSE))</f>
        <v/>
      </c>
      <c r="M322" t="str">
        <f ca="1">IF(AND(ISNUMBER($M$988),$B$677=1),$M$988,HLOOKUP(INDIRECT(ADDRESS(2,COLUMN())),OFFSET($BN$2,0,0,ROW()-1,60),ROW()-1,FALSE))</f>
        <v/>
      </c>
      <c r="N322" t="str">
        <f ca="1">IF(AND(ISNUMBER($N$988),$B$677=1),$N$988,HLOOKUP(INDIRECT(ADDRESS(2,COLUMN())),OFFSET($BN$2,0,0,ROW()-1,60),ROW()-1,FALSE))</f>
        <v/>
      </c>
      <c r="O322" t="str">
        <f ca="1">IF(AND(ISNUMBER($O$988),$B$677=1),$O$988,HLOOKUP(INDIRECT(ADDRESS(2,COLUMN())),OFFSET($BN$2,0,0,ROW()-1,60),ROW()-1,FALSE))</f>
        <v/>
      </c>
      <c r="P322" t="str">
        <f ca="1">IF(AND(ISNUMBER($P$988),$B$677=1),$P$988,HLOOKUP(INDIRECT(ADDRESS(2,COLUMN())),OFFSET($BN$2,0,0,ROW()-1,60),ROW()-1,FALSE))</f>
        <v/>
      </c>
      <c r="Q322" t="str">
        <f ca="1">IF(AND(ISNUMBER($Q$988),$B$677=1),$Q$988,HLOOKUP(INDIRECT(ADDRESS(2,COLUMN())),OFFSET($BN$2,0,0,ROW()-1,60),ROW()-1,FALSE))</f>
        <v/>
      </c>
      <c r="R322" t="str">
        <f ca="1">IF(AND(ISNUMBER($R$988),$B$677=1),$R$988,HLOOKUP(INDIRECT(ADDRESS(2,COLUMN())),OFFSET($BN$2,0,0,ROW()-1,60),ROW()-1,FALSE))</f>
        <v/>
      </c>
      <c r="S322" t="str">
        <f ca="1">IF(AND(ISNUMBER($S$988),$B$677=1),$S$988,HLOOKUP(INDIRECT(ADDRESS(2,COLUMN())),OFFSET($BN$2,0,0,ROW()-1,60),ROW()-1,FALSE))</f>
        <v/>
      </c>
      <c r="T322" t="str">
        <f ca="1">IF(AND(ISNUMBER($T$988),$B$677=1),$T$988,HLOOKUP(INDIRECT(ADDRESS(2,COLUMN())),OFFSET($BN$2,0,0,ROW()-1,60),ROW()-1,FALSE))</f>
        <v/>
      </c>
      <c r="U322" t="str">
        <f ca="1">IF(AND(ISNUMBER($U$988),$B$677=1),$U$988,HLOOKUP(INDIRECT(ADDRESS(2,COLUMN())),OFFSET($BN$2,0,0,ROW()-1,60),ROW()-1,FALSE))</f>
        <v/>
      </c>
      <c r="V322" t="str">
        <f ca="1">IF(AND(ISNUMBER($V$988),$B$677=1),$V$988,HLOOKUP(INDIRECT(ADDRESS(2,COLUMN())),OFFSET($BN$2,0,0,ROW()-1,60),ROW()-1,FALSE))</f>
        <v/>
      </c>
      <c r="W322" t="str">
        <f ca="1">IF(AND(ISNUMBER($W$988),$B$677=1),$W$988,HLOOKUP(INDIRECT(ADDRESS(2,COLUMN())),OFFSET($BN$2,0,0,ROW()-1,60),ROW()-1,FALSE))</f>
        <v/>
      </c>
      <c r="X322" t="str">
        <f ca="1">IF(AND(ISNUMBER($X$988),$B$677=1),$X$988,HLOOKUP(INDIRECT(ADDRESS(2,COLUMN())),OFFSET($BN$2,0,0,ROW()-1,60),ROW()-1,FALSE))</f>
        <v/>
      </c>
      <c r="Y322" t="str">
        <f ca="1">IF(AND(ISNUMBER($Y$988),$B$677=1),$Y$988,HLOOKUP(INDIRECT(ADDRESS(2,COLUMN())),OFFSET($BN$2,0,0,ROW()-1,60),ROW()-1,FALSE))</f>
        <v/>
      </c>
      <c r="Z322" t="str">
        <f ca="1">IF(AND(ISNUMBER($Z$988),$B$677=1),$Z$988,HLOOKUP(INDIRECT(ADDRESS(2,COLUMN())),OFFSET($BN$2,0,0,ROW()-1,60),ROW()-1,FALSE))</f>
        <v/>
      </c>
      <c r="AA322" t="str">
        <f ca="1">IF(AND(ISNUMBER($AA$988),$B$677=1),$AA$988,HLOOKUP(INDIRECT(ADDRESS(2,COLUMN())),OFFSET($BN$2,0,0,ROW()-1,60),ROW()-1,FALSE))</f>
        <v/>
      </c>
      <c r="AB322" t="str">
        <f ca="1">IF(AND(ISNUMBER($AB$988),$B$677=1),$AB$988,HLOOKUP(INDIRECT(ADDRESS(2,COLUMN())),OFFSET($BN$2,0,0,ROW()-1,60),ROW()-1,FALSE))</f>
        <v/>
      </c>
      <c r="AC322" t="str">
        <f ca="1">IF(AND(ISNUMBER($AC$988),$B$677=1),$AC$988,HLOOKUP(INDIRECT(ADDRESS(2,COLUMN())),OFFSET($BN$2,0,0,ROW()-1,60),ROW()-1,FALSE))</f>
        <v/>
      </c>
      <c r="AD322" t="str">
        <f ca="1">IF(AND(ISNUMBER($AD$988),$B$677=1),$AD$988,HLOOKUP(INDIRECT(ADDRESS(2,COLUMN())),OFFSET($BN$2,0,0,ROW()-1,60),ROW()-1,FALSE))</f>
        <v/>
      </c>
      <c r="AE322" t="str">
        <f ca="1">IF(AND(ISNUMBER($AE$988),$B$677=1),$AE$988,HLOOKUP(INDIRECT(ADDRESS(2,COLUMN())),OFFSET($BN$2,0,0,ROW()-1,60),ROW()-1,FALSE))</f>
        <v/>
      </c>
      <c r="AF322" t="str">
        <f ca="1">IF(AND(ISNUMBER($AF$988),$B$677=1),$AF$988,HLOOKUP(INDIRECT(ADDRESS(2,COLUMN())),OFFSET($BN$2,0,0,ROW()-1,60),ROW()-1,FALSE))</f>
        <v/>
      </c>
      <c r="AG322" t="str">
        <f ca="1">IF(AND(ISNUMBER($AG$988),$B$677=1),$AG$988,HLOOKUP(INDIRECT(ADDRESS(2,COLUMN())),OFFSET($BN$2,0,0,ROW()-1,60),ROW()-1,FALSE))</f>
        <v/>
      </c>
      <c r="AH322" t="str">
        <f ca="1">IF(AND(ISNUMBER($AH$988),$B$677=1),$AH$988,HLOOKUP(INDIRECT(ADDRESS(2,COLUMN())),OFFSET($BN$2,0,0,ROW()-1,60),ROW()-1,FALSE))</f>
        <v/>
      </c>
      <c r="AI322" t="str">
        <f ca="1">IF(AND(ISNUMBER($AI$988),$B$677=1),$AI$988,HLOOKUP(INDIRECT(ADDRESS(2,COLUMN())),OFFSET($BN$2,0,0,ROW()-1,60),ROW()-1,FALSE))</f>
        <v/>
      </c>
      <c r="AJ322" t="str">
        <f ca="1">IF(AND(ISNUMBER($AJ$988),$B$677=1),$AJ$988,HLOOKUP(INDIRECT(ADDRESS(2,COLUMN())),OFFSET($BN$2,0,0,ROW()-1,60),ROW()-1,FALSE))</f>
        <v/>
      </c>
      <c r="AK322" t="str">
        <f ca="1">IF(AND(ISNUMBER($AK$988),$B$677=1),$AK$988,HLOOKUP(INDIRECT(ADDRESS(2,COLUMN())),OFFSET($BN$2,0,0,ROW()-1,60),ROW()-1,FALSE))</f>
        <v/>
      </c>
      <c r="AL322" t="str">
        <f ca="1">IF(AND(ISNUMBER($AL$988),$B$677=1),$AL$988,HLOOKUP(INDIRECT(ADDRESS(2,COLUMN())),OFFSET($BN$2,0,0,ROW()-1,60),ROW()-1,FALSE))</f>
        <v/>
      </c>
      <c r="AM322" t="str">
        <f ca="1">IF(AND(ISNUMBER($AM$988),$B$677=1),$AM$988,HLOOKUP(INDIRECT(ADDRESS(2,COLUMN())),OFFSET($BN$2,0,0,ROW()-1,60),ROW()-1,FALSE))</f>
        <v/>
      </c>
      <c r="AN322" t="str">
        <f ca="1">IF(AND(ISNUMBER($AN$988),$B$677=1),$AN$988,HLOOKUP(INDIRECT(ADDRESS(2,COLUMN())),OFFSET($BN$2,0,0,ROW()-1,60),ROW()-1,FALSE))</f>
        <v/>
      </c>
      <c r="AO322" t="str">
        <f ca="1">IF(AND(ISNUMBER($AO$988),$B$677=1),$AO$988,HLOOKUP(INDIRECT(ADDRESS(2,COLUMN())),OFFSET($BN$2,0,0,ROW()-1,60),ROW()-1,FALSE))</f>
        <v/>
      </c>
      <c r="AP322" t="str">
        <f ca="1">IF(AND(ISNUMBER($AP$988),$B$677=1),$AP$988,HLOOKUP(INDIRECT(ADDRESS(2,COLUMN())),OFFSET($BN$2,0,0,ROW()-1,60),ROW()-1,FALSE))</f>
        <v/>
      </c>
      <c r="AQ322" t="str">
        <f ca="1">IF(AND(ISNUMBER($AQ$988),$B$677=1),$AQ$988,HLOOKUP(INDIRECT(ADDRESS(2,COLUMN())),OFFSET($BN$2,0,0,ROW()-1,60),ROW()-1,FALSE))</f>
        <v/>
      </c>
      <c r="AR322" t="str">
        <f ca="1">IF(AND(ISNUMBER($AR$988),$B$677=1),$AR$988,HLOOKUP(INDIRECT(ADDRESS(2,COLUMN())),OFFSET($BN$2,0,0,ROW()-1,60),ROW()-1,FALSE))</f>
        <v/>
      </c>
      <c r="AS322" t="str">
        <f ca="1">IF(AND(ISNUMBER($AS$988),$B$677=1),$AS$988,HLOOKUP(INDIRECT(ADDRESS(2,COLUMN())),OFFSET($BN$2,0,0,ROW()-1,60),ROW()-1,FALSE))</f>
        <v/>
      </c>
      <c r="AT322" t="str">
        <f ca="1">IF(AND(ISNUMBER($AT$988),$B$677=1),$AT$988,HLOOKUP(INDIRECT(ADDRESS(2,COLUMN())),OFFSET($BN$2,0,0,ROW()-1,60),ROW()-1,FALSE))</f>
        <v/>
      </c>
      <c r="AU322" t="str">
        <f ca="1">IF(AND(ISNUMBER($AU$988),$B$677=1),$AU$988,HLOOKUP(INDIRECT(ADDRESS(2,COLUMN())),OFFSET($BN$2,0,0,ROW()-1,60),ROW()-1,FALSE))</f>
        <v/>
      </c>
      <c r="AV322" t="str">
        <f ca="1">IF(AND(ISNUMBER($AV$988),$B$677=1),$AV$988,HLOOKUP(INDIRECT(ADDRESS(2,COLUMN())),OFFSET($BN$2,0,0,ROW()-1,60),ROW()-1,FALSE))</f>
        <v/>
      </c>
      <c r="AW322" t="str">
        <f ca="1">IF(AND(ISNUMBER($AW$988),$B$677=1),$AW$988,HLOOKUP(INDIRECT(ADDRESS(2,COLUMN())),OFFSET($BN$2,0,0,ROW()-1,60),ROW()-1,FALSE))</f>
        <v/>
      </c>
      <c r="AX322" t="str">
        <f ca="1">IF(AND(ISNUMBER($AX$988),$B$677=1),$AX$988,HLOOKUP(INDIRECT(ADDRESS(2,COLUMN())),OFFSET($BN$2,0,0,ROW()-1,60),ROW()-1,FALSE))</f>
        <v/>
      </c>
      <c r="AY322" t="str">
        <f ca="1">IF(AND(ISNUMBER($AY$988),$B$677=1),$AY$988,HLOOKUP(INDIRECT(ADDRESS(2,COLUMN())),OFFSET($BN$2,0,0,ROW()-1,60),ROW()-1,FALSE))</f>
        <v/>
      </c>
      <c r="AZ322" t="str">
        <f ca="1">IF(AND(ISNUMBER($AZ$988),$B$677=1),$AZ$988,HLOOKUP(INDIRECT(ADDRESS(2,COLUMN())),OFFSET($BN$2,0,0,ROW()-1,60),ROW()-1,FALSE))</f>
        <v/>
      </c>
      <c r="BA322" t="str">
        <f ca="1">IF(AND(ISNUMBER($BA$988),$B$677=1),$BA$988,HLOOKUP(INDIRECT(ADDRESS(2,COLUMN())),OFFSET($BN$2,0,0,ROW()-1,60),ROW()-1,FALSE))</f>
        <v/>
      </c>
      <c r="BB322" t="str">
        <f ca="1">IF(AND(ISNUMBER($BB$988),$B$677=1),$BB$988,HLOOKUP(INDIRECT(ADDRESS(2,COLUMN())),OFFSET($BN$2,0,0,ROW()-1,60),ROW()-1,FALSE))</f>
        <v/>
      </c>
      <c r="BC322" t="str">
        <f ca="1">IF(AND(ISNUMBER($BC$988),$B$677=1),$BC$988,HLOOKUP(INDIRECT(ADDRESS(2,COLUMN())),OFFSET($BN$2,0,0,ROW()-1,60),ROW()-1,FALSE))</f>
        <v/>
      </c>
      <c r="BD322" t="str">
        <f ca="1">IF(AND(ISNUMBER($BD$988),$B$677=1),$BD$988,HLOOKUP(INDIRECT(ADDRESS(2,COLUMN())),OFFSET($BN$2,0,0,ROW()-1,60),ROW()-1,FALSE))</f>
        <v/>
      </c>
      <c r="BE322" t="str">
        <f ca="1">IF(AND(ISNUMBER($BE$988),$B$677=1),$BE$988,HLOOKUP(INDIRECT(ADDRESS(2,COLUMN())),OFFSET($BN$2,0,0,ROW()-1,60),ROW()-1,FALSE))</f>
        <v/>
      </c>
      <c r="BF322" t="str">
        <f ca="1">IF(AND(ISNUMBER($BF$988),$B$677=1),$BF$988,HLOOKUP(INDIRECT(ADDRESS(2,COLUMN())),OFFSET($BN$2,0,0,ROW()-1,60),ROW()-1,FALSE))</f>
        <v/>
      </c>
      <c r="BG322" t="str">
        <f ca="1">IF(AND(ISNUMBER($BG$988),$B$677=1),$BG$988,HLOOKUP(INDIRECT(ADDRESS(2,COLUMN())),OFFSET($BN$2,0,0,ROW()-1,60),ROW()-1,FALSE))</f>
        <v/>
      </c>
      <c r="BH322" t="str">
        <f ca="1">IF(AND(ISNUMBER($BH$988),$B$677=1),$BH$988,HLOOKUP(INDIRECT(ADDRESS(2,COLUMN())),OFFSET($BN$2,0,0,ROW()-1,60),ROW()-1,FALSE))</f>
        <v/>
      </c>
      <c r="BI322" t="str">
        <f ca="1">IF(AND(ISNUMBER($BI$988),$B$677=1),$BI$988,HLOOKUP(INDIRECT(ADDRESS(2,COLUMN())),OFFSET($BN$2,0,0,ROW()-1,60),ROW()-1,FALSE))</f>
        <v/>
      </c>
      <c r="BJ322" t="str">
        <f ca="1">IF(AND(ISNUMBER($BJ$988),$B$677=1),$BJ$988,HLOOKUP(INDIRECT(ADDRESS(2,COLUMN())),OFFSET($BN$2,0,0,ROW()-1,60),ROW()-1,FALSE))</f>
        <v/>
      </c>
      <c r="BK322" t="str">
        <f ca="1">IF(AND(ISNUMBER($BK$988),$B$677=1),$BK$988,HLOOKUP(INDIRECT(ADDRESS(2,COLUMN())),OFFSET($BN$2,0,0,ROW()-1,60),ROW()-1,FALSE))</f>
        <v/>
      </c>
      <c r="BL322" t="str">
        <f ca="1">IF(AND(ISNUMBER($BL$988),$B$677=1),$BL$988,HLOOKUP(INDIRECT(ADDRESS(2,COLUMN())),OFFSET($BN$2,0,0,ROW()-1,60),ROW()-1,FALSE))</f>
        <v/>
      </c>
      <c r="BM322" t="str">
        <f ca="1">IF(AND(ISNUMBER($BM$988),$B$677=1),$BM$988,HLOOKUP(INDIRECT(ADDRESS(2,COLUMN())),OFFSET($BN$2,0,0,ROW()-1,60),ROW()-1,FALSE))</f>
        <v/>
      </c>
      <c r="BN322" t="str">
        <f>""</f>
        <v/>
      </c>
      <c r="BO322" t="str">
        <f>""</f>
        <v/>
      </c>
      <c r="BP322" t="str">
        <f>""</f>
        <v/>
      </c>
      <c r="BQ322" t="str">
        <f>""</f>
        <v/>
      </c>
      <c r="BR322" t="str">
        <f>""</f>
        <v/>
      </c>
      <c r="BS322" t="str">
        <f>""</f>
        <v/>
      </c>
      <c r="BT322" t="str">
        <f>""</f>
        <v/>
      </c>
      <c r="BU322" t="str">
        <f>""</f>
        <v/>
      </c>
      <c r="BV322" t="str">
        <f>""</f>
        <v/>
      </c>
      <c r="BW322" t="str">
        <f>""</f>
        <v/>
      </c>
      <c r="BX322" t="str">
        <f>""</f>
        <v/>
      </c>
      <c r="BY322" t="str">
        <f>""</f>
        <v/>
      </c>
      <c r="BZ322" t="str">
        <f>""</f>
        <v/>
      </c>
      <c r="CA322" t="str">
        <f>""</f>
        <v/>
      </c>
      <c r="CB322" t="str">
        <f>""</f>
        <v/>
      </c>
      <c r="CC322" t="str">
        <f>""</f>
        <v/>
      </c>
      <c r="CD322" t="str">
        <f>""</f>
        <v/>
      </c>
      <c r="CE322" t="str">
        <f>""</f>
        <v/>
      </c>
      <c r="CF322" t="str">
        <f>""</f>
        <v/>
      </c>
      <c r="CG322" t="str">
        <f>""</f>
        <v/>
      </c>
      <c r="CH322" t="str">
        <f>""</f>
        <v/>
      </c>
      <c r="CI322" t="str">
        <f>""</f>
        <v/>
      </c>
      <c r="CJ322" t="str">
        <f>""</f>
        <v/>
      </c>
      <c r="CK322" t="str">
        <f>""</f>
        <v/>
      </c>
      <c r="CL322" t="str">
        <f>""</f>
        <v/>
      </c>
      <c r="CM322" t="str">
        <f>""</f>
        <v/>
      </c>
      <c r="CN322" t="str">
        <f>""</f>
        <v/>
      </c>
      <c r="CO322" t="str">
        <f>""</f>
        <v/>
      </c>
      <c r="CP322" t="str">
        <f>""</f>
        <v/>
      </c>
      <c r="CQ322" t="str">
        <f>""</f>
        <v/>
      </c>
      <c r="CR322" t="str">
        <f>""</f>
        <v/>
      </c>
      <c r="CS322" t="str">
        <f>""</f>
        <v/>
      </c>
      <c r="CT322" t="str">
        <f>""</f>
        <v/>
      </c>
      <c r="CU322" t="str">
        <f>""</f>
        <v/>
      </c>
      <c r="CV322" t="str">
        <f>""</f>
        <v/>
      </c>
      <c r="CW322" t="str">
        <f>""</f>
        <v/>
      </c>
      <c r="CX322" t="str">
        <f>""</f>
        <v/>
      </c>
      <c r="CY322" t="str">
        <f>""</f>
        <v/>
      </c>
      <c r="CZ322" t="str">
        <f>""</f>
        <v/>
      </c>
      <c r="DA322" t="str">
        <f>""</f>
        <v/>
      </c>
      <c r="DB322" t="str">
        <f>""</f>
        <v/>
      </c>
      <c r="DC322" t="str">
        <f>""</f>
        <v/>
      </c>
      <c r="DD322" t="str">
        <f>""</f>
        <v/>
      </c>
      <c r="DE322" t="str">
        <f>""</f>
        <v/>
      </c>
      <c r="DF322" t="str">
        <f>""</f>
        <v/>
      </c>
      <c r="DG322" t="str">
        <f>""</f>
        <v/>
      </c>
      <c r="DH322" t="str">
        <f>""</f>
        <v/>
      </c>
      <c r="DI322" t="str">
        <f>""</f>
        <v/>
      </c>
      <c r="DJ322" t="str">
        <f>""</f>
        <v/>
      </c>
      <c r="DK322" t="str">
        <f>""</f>
        <v/>
      </c>
      <c r="DL322" t="str">
        <f>""</f>
        <v/>
      </c>
      <c r="DM322" t="str">
        <f>""</f>
        <v/>
      </c>
      <c r="DN322" t="str">
        <f>""</f>
        <v/>
      </c>
      <c r="DO322" t="str">
        <f>""</f>
        <v/>
      </c>
      <c r="DP322" t="str">
        <f>""</f>
        <v/>
      </c>
      <c r="DQ322" t="str">
        <f>""</f>
        <v/>
      </c>
      <c r="DR322" t="str">
        <f>""</f>
        <v/>
      </c>
      <c r="DS322" t="str">
        <f>""</f>
        <v/>
      </c>
      <c r="DT322" t="str">
        <f>""</f>
        <v/>
      </c>
      <c r="DU322" t="str">
        <f>""</f>
        <v/>
      </c>
    </row>
    <row r="323" spans="1:125" x14ac:dyDescent="0.25">
      <c r="A323" t="str">
        <f>"    Ssangyong Motor Co"</f>
        <v xml:space="preserve">    Ssangyong Motor Co</v>
      </c>
      <c r="B323" t="str">
        <f>"003620 KS Equity"</f>
        <v>003620 KS Equity</v>
      </c>
      <c r="C323" t="str">
        <f t="shared" si="21"/>
        <v>RR474</v>
      </c>
      <c r="D323" t="str">
        <f t="shared" si="22"/>
        <v>EV_TO_T12M_EBITDA</v>
      </c>
      <c r="E323" t="str">
        <f t="shared" si="23"/>
        <v>Dynamic</v>
      </c>
      <c r="F323" t="str">
        <f ca="1">IF(AND(ISNUMBER($F$989),$B$677=1),$F$989,HLOOKUP(INDIRECT(ADDRESS(2,COLUMN())),OFFSET($BN$2,0,0,ROW()-1,60),ROW()-1,FALSE))</f>
        <v/>
      </c>
      <c r="G323" t="str">
        <f ca="1">IF(AND(ISNUMBER($G$989),$B$677=1),$G$989,HLOOKUP(INDIRECT(ADDRESS(2,COLUMN())),OFFSET($BN$2,0,0,ROW()-1,60),ROW()-1,FALSE))</f>
        <v/>
      </c>
      <c r="H323">
        <f ca="1">IF(AND(ISNUMBER($H$989),$B$677=1),$H$989,HLOOKUP(INDIRECT(ADDRESS(2,COLUMN())),OFFSET($BN$2,0,0,ROW()-1,60),ROW()-1,FALSE))</f>
        <v>5.6739168930000003</v>
      </c>
      <c r="I323">
        <f ca="1">IF(AND(ISNUMBER($I$989),$B$677=1),$I$989,HLOOKUP(INDIRECT(ADDRESS(2,COLUMN())),OFFSET($BN$2,0,0,ROW()-1,60),ROW()-1,FALSE))</f>
        <v>6.2341824819999996</v>
      </c>
      <c r="J323">
        <f ca="1">IF(AND(ISNUMBER($J$989),$B$677=1),$J$989,HLOOKUP(INDIRECT(ADDRESS(2,COLUMN())),OFFSET($BN$2,0,0,ROW()-1,60),ROW()-1,FALSE))</f>
        <v>6.3315712120000001</v>
      </c>
      <c r="K323">
        <f ca="1">IF(AND(ISNUMBER($K$989),$B$677=1),$K$989,HLOOKUP(INDIRECT(ADDRESS(2,COLUMN())),OFFSET($BN$2,0,0,ROW()-1,60),ROW()-1,FALSE))</f>
        <v>6.3851440019999997</v>
      </c>
      <c r="L323">
        <f ca="1">IF(AND(ISNUMBER($L$989),$B$677=1),$L$989,HLOOKUP(INDIRECT(ADDRESS(2,COLUMN())),OFFSET($BN$2,0,0,ROW()-1,60),ROW()-1,FALSE))</f>
        <v>6.2252812689999999</v>
      </c>
      <c r="M323">
        <f ca="1">IF(AND(ISNUMBER($M$989),$B$677=1),$M$989,HLOOKUP(INDIRECT(ADDRESS(2,COLUMN())),OFFSET($BN$2,0,0,ROW()-1,60),ROW()-1,FALSE))</f>
        <v>7.0517501889999998</v>
      </c>
      <c r="N323">
        <f ca="1">IF(AND(ISNUMBER($N$989),$B$677=1),$N$989,HLOOKUP(INDIRECT(ADDRESS(2,COLUMN())),OFFSET($BN$2,0,0,ROW()-1,60),ROW()-1,FALSE))</f>
        <v>7.0359173310000003</v>
      </c>
      <c r="O323">
        <f ca="1">IF(AND(ISNUMBER($O$989),$B$677=1),$O$989,HLOOKUP(INDIRECT(ADDRESS(2,COLUMN())),OFFSET($BN$2,0,0,ROW()-1,60),ROW()-1,FALSE))</f>
        <v>5.6499949919999999</v>
      </c>
      <c r="P323">
        <f ca="1">IF(AND(ISNUMBER($P$989),$B$677=1),$P$989,HLOOKUP(INDIRECT(ADDRESS(2,COLUMN())),OFFSET($BN$2,0,0,ROW()-1,60),ROW()-1,FALSE))</f>
        <v>5.9523859520000002</v>
      </c>
      <c r="Q323">
        <f ca="1">IF(AND(ISNUMBER($Q$989),$B$677=1),$Q$989,HLOOKUP(INDIRECT(ADDRESS(2,COLUMN())),OFFSET($BN$2,0,0,ROW()-1,60),ROW()-1,FALSE))</f>
        <v>4.8818221959999999</v>
      </c>
      <c r="R323">
        <f ca="1">IF(AND(ISNUMBER($R$989),$B$677=1),$R$989,HLOOKUP(INDIRECT(ADDRESS(2,COLUMN())),OFFSET($BN$2,0,0,ROW()-1,60),ROW()-1,FALSE))</f>
        <v>7.9183863700000003</v>
      </c>
      <c r="S323">
        <f ca="1">IF(AND(ISNUMBER($S$989),$B$677=1),$S$989,HLOOKUP(INDIRECT(ADDRESS(2,COLUMN())),OFFSET($BN$2,0,0,ROW()-1,60),ROW()-1,FALSE))</f>
        <v>9.2148048300000003</v>
      </c>
      <c r="T323">
        <f ca="1">IF(AND(ISNUMBER($T$989),$B$677=1),$T$989,HLOOKUP(INDIRECT(ADDRESS(2,COLUMN())),OFFSET($BN$2,0,0,ROW()-1,60),ROW()-1,FALSE))</f>
        <v>28.056533980000001</v>
      </c>
      <c r="U323">
        <f ca="1">IF(AND(ISNUMBER($U$989),$B$677=1),$U$989,HLOOKUP(INDIRECT(ADDRESS(2,COLUMN())),OFFSET($BN$2,0,0,ROW()-1,60),ROW()-1,FALSE))</f>
        <v>143.0687657</v>
      </c>
      <c r="V323">
        <f ca="1">IF(AND(ISNUMBER($V$989),$B$677=1),$V$989,HLOOKUP(INDIRECT(ADDRESS(2,COLUMN())),OFFSET($BN$2,0,0,ROW()-1,60),ROW()-1,FALSE))</f>
        <v>455.0435895</v>
      </c>
      <c r="W323">
        <f ca="1">IF(AND(ISNUMBER($W$989),$B$677=1),$W$989,HLOOKUP(INDIRECT(ADDRESS(2,COLUMN())),OFFSET($BN$2,0,0,ROW()-1,60),ROW()-1,FALSE))</f>
        <v>42.389877660000003</v>
      </c>
      <c r="X323">
        <f ca="1">IF(AND(ISNUMBER($X$989),$B$677=1),$X$989,HLOOKUP(INDIRECT(ADDRESS(2,COLUMN())),OFFSET($BN$2,0,0,ROW()-1,60),ROW()-1,FALSE))</f>
        <v>12.107324070000001</v>
      </c>
      <c r="Y323">
        <f ca="1">IF(AND(ISNUMBER($Y$989),$B$677=1),$Y$989,HLOOKUP(INDIRECT(ADDRESS(2,COLUMN())),OFFSET($BN$2,0,0,ROW()-1,60),ROW()-1,FALSE))</f>
        <v>9.6075631890000004</v>
      </c>
      <c r="Z323">
        <f ca="1">IF(AND(ISNUMBER($Z$989),$B$677=1),$Z$989,HLOOKUP(INDIRECT(ADDRESS(2,COLUMN())),OFFSET($BN$2,0,0,ROW()-1,60),ROW()-1,FALSE))</f>
        <v>6.948608203</v>
      </c>
      <c r="AA323">
        <f ca="1">IF(AND(ISNUMBER($AA$989),$B$677=1),$AA$989,HLOOKUP(INDIRECT(ADDRESS(2,COLUMN())),OFFSET($BN$2,0,0,ROW()-1,60),ROW()-1,FALSE))</f>
        <v>6.0723349449999997</v>
      </c>
      <c r="AB323">
        <f ca="1">IF(AND(ISNUMBER($AB$989),$B$677=1),$AB$989,HLOOKUP(INDIRECT(ADDRESS(2,COLUMN())),OFFSET($BN$2,0,0,ROW()-1,60),ROW()-1,FALSE))</f>
        <v>10.58351337</v>
      </c>
      <c r="AC323">
        <f ca="1">IF(AND(ISNUMBER($AC$989),$B$677=1),$AC$989,HLOOKUP(INDIRECT(ADDRESS(2,COLUMN())),OFFSET($BN$2,0,0,ROW()-1,60),ROW()-1,FALSE))</f>
        <v>10.949387249999999</v>
      </c>
      <c r="AD323">
        <f ca="1">IF(AND(ISNUMBER($AD$989),$B$677=1),$AD$989,HLOOKUP(INDIRECT(ADDRESS(2,COLUMN())),OFFSET($BN$2,0,0,ROW()-1,60),ROW()-1,FALSE))</f>
        <v>10.3101498</v>
      </c>
      <c r="AE323">
        <f ca="1">IF(AND(ISNUMBER($AE$989),$B$677=1),$AE$989,HLOOKUP(INDIRECT(ADDRESS(2,COLUMN())),OFFSET($BN$2,0,0,ROW()-1,60),ROW()-1,FALSE))</f>
        <v>14.063736949999999</v>
      </c>
      <c r="AF323" t="str">
        <f ca="1">IF(AND(ISNUMBER($AF$989),$B$677=1),$AF$989,HLOOKUP(INDIRECT(ADDRESS(2,COLUMN())),OFFSET($BN$2,0,0,ROW()-1,60),ROW()-1,FALSE))</f>
        <v/>
      </c>
      <c r="AG323" t="str">
        <f ca="1">IF(AND(ISNUMBER($AG$989),$B$677=1),$AG$989,HLOOKUP(INDIRECT(ADDRESS(2,COLUMN())),OFFSET($BN$2,0,0,ROW()-1,60),ROW()-1,FALSE))</f>
        <v/>
      </c>
      <c r="AH323" t="str">
        <f ca="1">IF(AND(ISNUMBER($AH$989),$B$677=1),$AH$989,HLOOKUP(INDIRECT(ADDRESS(2,COLUMN())),OFFSET($BN$2,0,0,ROW()-1,60),ROW()-1,FALSE))</f>
        <v/>
      </c>
      <c r="AI323" t="str">
        <f ca="1">IF(AND(ISNUMBER($AI$989),$B$677=1),$AI$989,HLOOKUP(INDIRECT(ADDRESS(2,COLUMN())),OFFSET($BN$2,0,0,ROW()-1,60),ROW()-1,FALSE))</f>
        <v/>
      </c>
      <c r="AJ323" t="str">
        <f ca="1">IF(AND(ISNUMBER($AJ$989),$B$677=1),$AJ$989,HLOOKUP(INDIRECT(ADDRESS(2,COLUMN())),OFFSET($BN$2,0,0,ROW()-1,60),ROW()-1,FALSE))</f>
        <v/>
      </c>
      <c r="AK323" t="str">
        <f ca="1">IF(AND(ISNUMBER($AK$989),$B$677=1),$AK$989,HLOOKUP(INDIRECT(ADDRESS(2,COLUMN())),OFFSET($BN$2,0,0,ROW()-1,60),ROW()-1,FALSE))</f>
        <v/>
      </c>
      <c r="AL323" t="str">
        <f ca="1">IF(AND(ISNUMBER($AL$989),$B$677=1),$AL$989,HLOOKUP(INDIRECT(ADDRESS(2,COLUMN())),OFFSET($BN$2,0,0,ROW()-1,60),ROW()-1,FALSE))</f>
        <v/>
      </c>
      <c r="AM323" t="str">
        <f ca="1">IF(AND(ISNUMBER($AM$989),$B$677=1),$AM$989,HLOOKUP(INDIRECT(ADDRESS(2,COLUMN())),OFFSET($BN$2,0,0,ROW()-1,60),ROW()-1,FALSE))</f>
        <v/>
      </c>
      <c r="AN323" t="str">
        <f ca="1">IF(AND(ISNUMBER($AN$989),$B$677=1),$AN$989,HLOOKUP(INDIRECT(ADDRESS(2,COLUMN())),OFFSET($BN$2,0,0,ROW()-1,60),ROW()-1,FALSE))</f>
        <v/>
      </c>
      <c r="AO323" t="str">
        <f ca="1">IF(AND(ISNUMBER($AO$989),$B$677=1),$AO$989,HLOOKUP(INDIRECT(ADDRESS(2,COLUMN())),OFFSET($BN$2,0,0,ROW()-1,60),ROW()-1,FALSE))</f>
        <v/>
      </c>
      <c r="AP323" t="str">
        <f ca="1">IF(AND(ISNUMBER($AP$989),$B$677=1),$AP$989,HLOOKUP(INDIRECT(ADDRESS(2,COLUMN())),OFFSET($BN$2,0,0,ROW()-1,60),ROW()-1,FALSE))</f>
        <v/>
      </c>
      <c r="AQ323" t="str">
        <f ca="1">IF(AND(ISNUMBER($AQ$989),$B$677=1),$AQ$989,HLOOKUP(INDIRECT(ADDRESS(2,COLUMN())),OFFSET($BN$2,0,0,ROW()-1,60),ROW()-1,FALSE))</f>
        <v/>
      </c>
      <c r="AR323" t="str">
        <f ca="1">IF(AND(ISNUMBER($AR$989),$B$677=1),$AR$989,HLOOKUP(INDIRECT(ADDRESS(2,COLUMN())),OFFSET($BN$2,0,0,ROW()-1,60),ROW()-1,FALSE))</f>
        <v/>
      </c>
      <c r="AS323" t="str">
        <f ca="1">IF(AND(ISNUMBER($AS$989),$B$677=1),$AS$989,HLOOKUP(INDIRECT(ADDRESS(2,COLUMN())),OFFSET($BN$2,0,0,ROW()-1,60),ROW()-1,FALSE))</f>
        <v/>
      </c>
      <c r="AT323" t="str">
        <f ca="1">IF(AND(ISNUMBER($AT$989),$B$677=1),$AT$989,HLOOKUP(INDIRECT(ADDRESS(2,COLUMN())),OFFSET($BN$2,0,0,ROW()-1,60),ROW()-1,FALSE))</f>
        <v/>
      </c>
      <c r="AU323" t="str">
        <f ca="1">IF(AND(ISNUMBER($AU$989),$B$677=1),$AU$989,HLOOKUP(INDIRECT(ADDRESS(2,COLUMN())),OFFSET($BN$2,0,0,ROW()-1,60),ROW()-1,FALSE))</f>
        <v/>
      </c>
      <c r="AV323" t="str">
        <f ca="1">IF(AND(ISNUMBER($AV$989),$B$677=1),$AV$989,HLOOKUP(INDIRECT(ADDRESS(2,COLUMN())),OFFSET($BN$2,0,0,ROW()-1,60),ROW()-1,FALSE))</f>
        <v/>
      </c>
      <c r="AW323" t="str">
        <f ca="1">IF(AND(ISNUMBER($AW$989),$B$677=1),$AW$989,HLOOKUP(INDIRECT(ADDRESS(2,COLUMN())),OFFSET($BN$2,0,0,ROW()-1,60),ROW()-1,FALSE))</f>
        <v/>
      </c>
      <c r="AX323" t="str">
        <f ca="1">IF(AND(ISNUMBER($AX$989),$B$677=1),$AX$989,HLOOKUP(INDIRECT(ADDRESS(2,COLUMN())),OFFSET($BN$2,0,0,ROW()-1,60),ROW()-1,FALSE))</f>
        <v/>
      </c>
      <c r="AY323" t="str">
        <f ca="1">IF(AND(ISNUMBER($AY$989),$B$677=1),$AY$989,HLOOKUP(INDIRECT(ADDRESS(2,COLUMN())),OFFSET($BN$2,0,0,ROW()-1,60),ROW()-1,FALSE))</f>
        <v/>
      </c>
      <c r="AZ323" t="str">
        <f ca="1">IF(AND(ISNUMBER($AZ$989),$B$677=1),$AZ$989,HLOOKUP(INDIRECT(ADDRESS(2,COLUMN())),OFFSET($BN$2,0,0,ROW()-1,60),ROW()-1,FALSE))</f>
        <v/>
      </c>
      <c r="BA323" t="str">
        <f ca="1">IF(AND(ISNUMBER($BA$989),$B$677=1),$BA$989,HLOOKUP(INDIRECT(ADDRESS(2,COLUMN())),OFFSET($BN$2,0,0,ROW()-1,60),ROW()-1,FALSE))</f>
        <v/>
      </c>
      <c r="BB323" t="str">
        <f ca="1">IF(AND(ISNUMBER($BB$989),$B$677=1),$BB$989,HLOOKUP(INDIRECT(ADDRESS(2,COLUMN())),OFFSET($BN$2,0,0,ROW()-1,60),ROW()-1,FALSE))</f>
        <v/>
      </c>
      <c r="BC323" t="str">
        <f ca="1">IF(AND(ISNUMBER($BC$989),$B$677=1),$BC$989,HLOOKUP(INDIRECT(ADDRESS(2,COLUMN())),OFFSET($BN$2,0,0,ROW()-1,60),ROW()-1,FALSE))</f>
        <v/>
      </c>
      <c r="BD323" t="str">
        <f ca="1">IF(AND(ISNUMBER($BD$989),$B$677=1),$BD$989,HLOOKUP(INDIRECT(ADDRESS(2,COLUMN())),OFFSET($BN$2,0,0,ROW()-1,60),ROW()-1,FALSE))</f>
        <v/>
      </c>
      <c r="BE323" t="str">
        <f ca="1">IF(AND(ISNUMBER($BE$989),$B$677=1),$BE$989,HLOOKUP(INDIRECT(ADDRESS(2,COLUMN())),OFFSET($BN$2,0,0,ROW()-1,60),ROW()-1,FALSE))</f>
        <v/>
      </c>
      <c r="BF323" t="str">
        <f ca="1">IF(AND(ISNUMBER($BF$989),$B$677=1),$BF$989,HLOOKUP(INDIRECT(ADDRESS(2,COLUMN())),OFFSET($BN$2,0,0,ROW()-1,60),ROW()-1,FALSE))</f>
        <v/>
      </c>
      <c r="BG323" t="str">
        <f ca="1">IF(AND(ISNUMBER($BG$989),$B$677=1),$BG$989,HLOOKUP(INDIRECT(ADDRESS(2,COLUMN())),OFFSET($BN$2,0,0,ROW()-1,60),ROW()-1,FALSE))</f>
        <v/>
      </c>
      <c r="BH323" t="str">
        <f ca="1">IF(AND(ISNUMBER($BH$989),$B$677=1),$BH$989,HLOOKUP(INDIRECT(ADDRESS(2,COLUMN())),OFFSET($BN$2,0,0,ROW()-1,60),ROW()-1,FALSE))</f>
        <v/>
      </c>
      <c r="BI323" t="str">
        <f ca="1">IF(AND(ISNUMBER($BI$989),$B$677=1),$BI$989,HLOOKUP(INDIRECT(ADDRESS(2,COLUMN())),OFFSET($BN$2,0,0,ROW()-1,60),ROW()-1,FALSE))</f>
        <v/>
      </c>
      <c r="BJ323" t="str">
        <f ca="1">IF(AND(ISNUMBER($BJ$989),$B$677=1),$BJ$989,HLOOKUP(INDIRECT(ADDRESS(2,COLUMN())),OFFSET($BN$2,0,0,ROW()-1,60),ROW()-1,FALSE))</f>
        <v/>
      </c>
      <c r="BK323" t="str">
        <f ca="1">IF(AND(ISNUMBER($BK$989),$B$677=1),$BK$989,HLOOKUP(INDIRECT(ADDRESS(2,COLUMN())),OFFSET($BN$2,0,0,ROW()-1,60),ROW()-1,FALSE))</f>
        <v/>
      </c>
      <c r="BL323" t="str">
        <f ca="1">IF(AND(ISNUMBER($BL$989),$B$677=1),$BL$989,HLOOKUP(INDIRECT(ADDRESS(2,COLUMN())),OFFSET($BN$2,0,0,ROW()-1,60),ROW()-1,FALSE))</f>
        <v/>
      </c>
      <c r="BM323" t="str">
        <f ca="1">IF(AND(ISNUMBER($BM$989),$B$677=1),$BM$989,HLOOKUP(INDIRECT(ADDRESS(2,COLUMN())),OFFSET($BN$2,0,0,ROW()-1,60),ROW()-1,FALSE))</f>
        <v/>
      </c>
      <c r="BN323" t="str">
        <f>""</f>
        <v/>
      </c>
      <c r="BO323" t="str">
        <f>""</f>
        <v/>
      </c>
      <c r="BP323">
        <f>5.673916893</f>
        <v>5.6739168930000003</v>
      </c>
      <c r="BQ323">
        <f>6.234182482</f>
        <v>6.2341824819999996</v>
      </c>
      <c r="BR323">
        <f>6.331571212</f>
        <v>6.3315712120000001</v>
      </c>
      <c r="BS323">
        <f>6.385144002</f>
        <v>6.3851440019999997</v>
      </c>
      <c r="BT323">
        <f>6.225281269</f>
        <v>6.2252812689999999</v>
      </c>
      <c r="BU323">
        <f>7.051750189</f>
        <v>7.0517501889999998</v>
      </c>
      <c r="BV323">
        <f>7.035917331</f>
        <v>7.0359173310000003</v>
      </c>
      <c r="BW323">
        <f>5.649994992</f>
        <v>5.6499949919999999</v>
      </c>
      <c r="BX323">
        <f>5.952385952</f>
        <v>5.9523859520000002</v>
      </c>
      <c r="BY323">
        <f>4.881822196</f>
        <v>4.8818221959999999</v>
      </c>
      <c r="BZ323">
        <f>7.91838637</f>
        <v>7.9183863700000003</v>
      </c>
      <c r="CA323">
        <f>9.21480483</f>
        <v>9.2148048300000003</v>
      </c>
      <c r="CB323">
        <f>28.05653398</f>
        <v>28.056533980000001</v>
      </c>
      <c r="CC323">
        <f>143.0687657</f>
        <v>143.0687657</v>
      </c>
      <c r="CD323">
        <f>455.0435895</f>
        <v>455.0435895</v>
      </c>
      <c r="CE323">
        <f>42.38987766</f>
        <v>42.389877660000003</v>
      </c>
      <c r="CF323">
        <f>12.10732407</f>
        <v>12.107324070000001</v>
      </c>
      <c r="CG323">
        <f>9.607563189</f>
        <v>9.6075631890000004</v>
      </c>
      <c r="CH323">
        <f>6.948608203</f>
        <v>6.948608203</v>
      </c>
      <c r="CI323">
        <f>6.072334945</f>
        <v>6.0723349449999997</v>
      </c>
      <c r="CJ323">
        <f>10.58351337</f>
        <v>10.58351337</v>
      </c>
      <c r="CK323">
        <f>10.94938725</f>
        <v>10.949387249999999</v>
      </c>
      <c r="CL323">
        <f>10.3101498</f>
        <v>10.3101498</v>
      </c>
      <c r="CM323">
        <f>14.06373695</f>
        <v>14.063736949999999</v>
      </c>
      <c r="CN323" t="str">
        <f>""</f>
        <v/>
      </c>
      <c r="CO323" t="str">
        <f>""</f>
        <v/>
      </c>
      <c r="CP323" t="str">
        <f>""</f>
        <v/>
      </c>
      <c r="CQ323" t="str">
        <f>""</f>
        <v/>
      </c>
      <c r="CR323" t="str">
        <f>""</f>
        <v/>
      </c>
      <c r="CS323" t="str">
        <f>""</f>
        <v/>
      </c>
      <c r="CT323" t="str">
        <f>""</f>
        <v/>
      </c>
      <c r="CU323" t="str">
        <f>""</f>
        <v/>
      </c>
      <c r="CV323" t="str">
        <f>""</f>
        <v/>
      </c>
      <c r="CW323" t="str">
        <f>""</f>
        <v/>
      </c>
      <c r="CX323" t="str">
        <f>""</f>
        <v/>
      </c>
      <c r="CY323" t="str">
        <f>""</f>
        <v/>
      </c>
      <c r="CZ323" t="str">
        <f>""</f>
        <v/>
      </c>
      <c r="DA323" t="str">
        <f>""</f>
        <v/>
      </c>
      <c r="DB323" t="str">
        <f>""</f>
        <v/>
      </c>
      <c r="DC323" t="str">
        <f>""</f>
        <v/>
      </c>
      <c r="DD323" t="str">
        <f>""</f>
        <v/>
      </c>
      <c r="DE323" t="str">
        <f>""</f>
        <v/>
      </c>
      <c r="DF323" t="str">
        <f>""</f>
        <v/>
      </c>
      <c r="DG323" t="str">
        <f>""</f>
        <v/>
      </c>
      <c r="DH323" t="str">
        <f>""</f>
        <v/>
      </c>
      <c r="DI323" t="str">
        <f>""</f>
        <v/>
      </c>
      <c r="DJ323" t="str">
        <f>""</f>
        <v/>
      </c>
      <c r="DK323" t="str">
        <f>""</f>
        <v/>
      </c>
      <c r="DL323" t="str">
        <f>""</f>
        <v/>
      </c>
      <c r="DM323" t="str">
        <f>""</f>
        <v/>
      </c>
      <c r="DN323" t="str">
        <f>""</f>
        <v/>
      </c>
      <c r="DO323" t="str">
        <f>""</f>
        <v/>
      </c>
      <c r="DP323" t="str">
        <f>""</f>
        <v/>
      </c>
      <c r="DQ323" t="str">
        <f>""</f>
        <v/>
      </c>
      <c r="DR323" t="str">
        <f>""</f>
        <v/>
      </c>
      <c r="DS323" t="str">
        <f>""</f>
        <v/>
      </c>
      <c r="DT323" t="str">
        <f>""</f>
        <v/>
      </c>
      <c r="DU323" t="str">
        <f>""</f>
        <v/>
      </c>
    </row>
    <row r="324" spans="1:125" x14ac:dyDescent="0.25">
      <c r="A324" t="str">
        <f>"    Subaru Corp"</f>
        <v xml:space="preserve">    Subaru Corp</v>
      </c>
      <c r="B324" t="str">
        <f>"7270 JP Equity"</f>
        <v>7270 JP Equity</v>
      </c>
      <c r="C324" t="str">
        <f t="shared" si="21"/>
        <v>RR474</v>
      </c>
      <c r="D324" t="str">
        <f t="shared" si="22"/>
        <v>EV_TO_T12M_EBITDA</v>
      </c>
      <c r="E324" t="str">
        <f t="shared" si="23"/>
        <v>Dynamic</v>
      </c>
      <c r="F324" t="str">
        <f ca="1">IF(AND(ISNUMBER($F$990),$B$677=1),$F$990,HLOOKUP(INDIRECT(ADDRESS(2,COLUMN())),OFFSET($BN$2,0,0,ROW()-1,60),ROW()-1,FALSE))</f>
        <v/>
      </c>
      <c r="G324">
        <f ca="1">IF(AND(ISNUMBER($G$990),$B$677=1),$G$990,HLOOKUP(INDIRECT(ADDRESS(2,COLUMN())),OFFSET($BN$2,0,0,ROW()-1,60),ROW()-1,FALSE))</f>
        <v>2.995427303</v>
      </c>
      <c r="H324">
        <f ca="1">IF(AND(ISNUMBER($H$990),$B$677=1),$H$990,HLOOKUP(INDIRECT(ADDRESS(2,COLUMN())),OFFSET($BN$2,0,0,ROW()-1,60),ROW()-1,FALSE))</f>
        <v>5.4814854459999998</v>
      </c>
      <c r="I324">
        <f ca="1">IF(AND(ISNUMBER($I$990),$B$677=1),$I$990,HLOOKUP(INDIRECT(ADDRESS(2,COLUMN())),OFFSET($BN$2,0,0,ROW()-1,60),ROW()-1,FALSE))</f>
        <v>3.784258023</v>
      </c>
      <c r="J324">
        <f ca="1">IF(AND(ISNUMBER($J$990),$B$677=1),$J$990,HLOOKUP(INDIRECT(ADDRESS(2,COLUMN())),OFFSET($BN$2,0,0,ROW()-1,60),ROW()-1,FALSE))</f>
        <v>3.6660882419999998</v>
      </c>
      <c r="K324">
        <f ca="1">IF(AND(ISNUMBER($K$990),$B$677=1),$K$990,HLOOKUP(INDIRECT(ADDRESS(2,COLUMN())),OFFSET($BN$2,0,0,ROW()-1,60),ROW()-1,FALSE))</f>
        <v>3.6905232020000001</v>
      </c>
      <c r="L324">
        <f ca="1">IF(AND(ISNUMBER($L$990),$B$677=1),$L$990,HLOOKUP(INDIRECT(ADDRESS(2,COLUMN())),OFFSET($BN$2,0,0,ROW()-1,60),ROW()-1,FALSE))</f>
        <v>4.331747086</v>
      </c>
      <c r="M324">
        <f ca="1">IF(AND(ISNUMBER($M$990),$B$677=1),$M$990,HLOOKUP(INDIRECT(ADDRESS(2,COLUMN())),OFFSET($BN$2,0,0,ROW()-1,60),ROW()-1,FALSE))</f>
        <v>3.8928414949999999</v>
      </c>
      <c r="N324">
        <f ca="1">IF(AND(ISNUMBER($N$990),$B$677=1),$N$990,HLOOKUP(INDIRECT(ADDRESS(2,COLUMN())),OFFSET($BN$2,0,0,ROW()-1,60),ROW()-1,FALSE))</f>
        <v>4.6559057529999999</v>
      </c>
      <c r="O324">
        <f ca="1">IF(AND(ISNUMBER($O$990),$B$677=1),$O$990,HLOOKUP(INDIRECT(ADDRESS(2,COLUMN())),OFFSET($BN$2,0,0,ROW()-1,60),ROW()-1,FALSE))</f>
        <v>5.6253200530000003</v>
      </c>
      <c r="P324">
        <f ca="1">IF(AND(ISNUMBER($P$990),$B$677=1),$P$990,HLOOKUP(INDIRECT(ADDRESS(2,COLUMN())),OFFSET($BN$2,0,0,ROW()-1,60),ROW()-1,FALSE))</f>
        <v>3.6499681050000001</v>
      </c>
      <c r="Q324">
        <f ca="1">IF(AND(ISNUMBER($Q$990),$B$677=1),$Q$990,HLOOKUP(INDIRECT(ADDRESS(2,COLUMN())),OFFSET($BN$2,0,0,ROW()-1,60),ROW()-1,FALSE))</f>
        <v>3.2014226950000002</v>
      </c>
      <c r="R324">
        <f ca="1">IF(AND(ISNUMBER($R$990),$B$677=1),$R$990,HLOOKUP(INDIRECT(ADDRESS(2,COLUMN())),OFFSET($BN$2,0,0,ROW()-1,60),ROW()-1,FALSE))</f>
        <v>3.5626160680000001</v>
      </c>
      <c r="S324">
        <f ca="1">IF(AND(ISNUMBER($S$990),$B$677=1),$S$990,HLOOKUP(INDIRECT(ADDRESS(2,COLUMN())),OFFSET($BN$2,0,0,ROW()-1,60),ROW()-1,FALSE))</f>
        <v>5.162119186</v>
      </c>
      <c r="T324">
        <f ca="1">IF(AND(ISNUMBER($T$990),$B$677=1),$T$990,HLOOKUP(INDIRECT(ADDRESS(2,COLUMN())),OFFSET($BN$2,0,0,ROW()-1,60),ROW()-1,FALSE))</f>
        <v>4.503989861</v>
      </c>
      <c r="U324">
        <f ca="1">IF(AND(ISNUMBER($U$990),$B$677=1),$U$990,HLOOKUP(INDIRECT(ADDRESS(2,COLUMN())),OFFSET($BN$2,0,0,ROW()-1,60),ROW()-1,FALSE))</f>
        <v>5.410831033</v>
      </c>
      <c r="V324">
        <f ca="1">IF(AND(ISNUMBER($V$990),$B$677=1),$V$990,HLOOKUP(INDIRECT(ADDRESS(2,COLUMN())),OFFSET($BN$2,0,0,ROW()-1,60),ROW()-1,FALSE))</f>
        <v>5.3949080399999998</v>
      </c>
      <c r="W324">
        <f ca="1">IF(AND(ISNUMBER($W$990),$B$677=1),$W$990,HLOOKUP(INDIRECT(ADDRESS(2,COLUMN())),OFFSET($BN$2,0,0,ROW()-1,60),ROW()-1,FALSE))</f>
        <v>6.3468208720000003</v>
      </c>
      <c r="X324">
        <f ca="1">IF(AND(ISNUMBER($X$990),$B$677=1),$X$990,HLOOKUP(INDIRECT(ADDRESS(2,COLUMN())),OFFSET($BN$2,0,0,ROW()-1,60),ROW()-1,FALSE))</f>
        <v>5.7924310510000003</v>
      </c>
      <c r="Y324">
        <f ca="1">IF(AND(ISNUMBER($Y$990),$B$677=1),$Y$990,HLOOKUP(INDIRECT(ADDRESS(2,COLUMN())),OFFSET($BN$2,0,0,ROW()-1,60),ROW()-1,FALSE))</f>
        <v>4.8488203939999996</v>
      </c>
      <c r="Z324">
        <f ca="1">IF(AND(ISNUMBER($Z$990),$B$677=1),$Z$990,HLOOKUP(INDIRECT(ADDRESS(2,COLUMN())),OFFSET($BN$2,0,0,ROW()-1,60),ROW()-1,FALSE))</f>
        <v>4.8282242310000001</v>
      </c>
      <c r="AA324">
        <f ca="1">IF(AND(ISNUMBER($AA$990),$B$677=1),$AA$990,HLOOKUP(INDIRECT(ADDRESS(2,COLUMN())),OFFSET($BN$2,0,0,ROW()-1,60),ROW()-1,FALSE))</f>
        <v>6.1411082879999999</v>
      </c>
      <c r="AB324">
        <f ca="1">IF(AND(ISNUMBER($AB$990),$B$677=1),$AB$990,HLOOKUP(INDIRECT(ADDRESS(2,COLUMN())),OFFSET($BN$2,0,0,ROW()-1,60),ROW()-1,FALSE))</f>
        <v>6.7214732719999999</v>
      </c>
      <c r="AC324">
        <f ca="1">IF(AND(ISNUMBER($AC$990),$B$677=1),$AC$990,HLOOKUP(INDIRECT(ADDRESS(2,COLUMN())),OFFSET($BN$2,0,0,ROW()-1,60),ROW()-1,FALSE))</f>
        <v>7.6989881359999996</v>
      </c>
      <c r="AD324">
        <f ca="1">IF(AND(ISNUMBER($AD$990),$B$677=1),$AD$990,HLOOKUP(INDIRECT(ADDRESS(2,COLUMN())),OFFSET($BN$2,0,0,ROW()-1,60),ROW()-1,FALSE))</f>
        <v>6.0581969720000002</v>
      </c>
      <c r="AE324">
        <f ca="1">IF(AND(ISNUMBER($AE$990),$B$677=1),$AE$990,HLOOKUP(INDIRECT(ADDRESS(2,COLUMN())),OFFSET($BN$2,0,0,ROW()-1,60),ROW()-1,FALSE))</f>
        <v>5.6578002319999996</v>
      </c>
      <c r="AF324">
        <f ca="1">IF(AND(ISNUMBER($AF$990),$B$677=1),$AF$990,HLOOKUP(INDIRECT(ADDRESS(2,COLUMN())),OFFSET($BN$2,0,0,ROW()-1,60),ROW()-1,FALSE))</f>
        <v>3.941449237</v>
      </c>
      <c r="AG324">
        <f ca="1">IF(AND(ISNUMBER($AG$990),$B$677=1),$AG$990,HLOOKUP(INDIRECT(ADDRESS(2,COLUMN())),OFFSET($BN$2,0,0,ROW()-1,60),ROW()-1,FALSE))</f>
        <v>4.9466991919999996</v>
      </c>
      <c r="AH324">
        <f ca="1">IF(AND(ISNUMBER($AH$990),$B$677=1),$AH$990,HLOOKUP(INDIRECT(ADDRESS(2,COLUMN())),OFFSET($BN$2,0,0,ROW()-1,60),ROW()-1,FALSE))</f>
        <v>5.8262672809999998</v>
      </c>
      <c r="AI324">
        <f ca="1">IF(AND(ISNUMBER($AI$990),$B$677=1),$AI$990,HLOOKUP(INDIRECT(ADDRESS(2,COLUMN())),OFFSET($BN$2,0,0,ROW()-1,60),ROW()-1,FALSE))</f>
        <v>5.0088402189999996</v>
      </c>
      <c r="AJ324">
        <f ca="1">IF(AND(ISNUMBER($AJ$990),$B$677=1),$AJ$990,HLOOKUP(INDIRECT(ADDRESS(2,COLUMN())),OFFSET($BN$2,0,0,ROW()-1,60),ROW()-1,FALSE))</f>
        <v>4.5889735849999997</v>
      </c>
      <c r="AK324">
        <f ca="1">IF(AND(ISNUMBER($AK$990),$B$677=1),$AK$990,HLOOKUP(INDIRECT(ADDRESS(2,COLUMN())),OFFSET($BN$2,0,0,ROW()-1,60),ROW()-1,FALSE))</f>
        <v>4.5529747169999997</v>
      </c>
      <c r="AL324">
        <f ca="1">IF(AND(ISNUMBER($AL$990),$B$677=1),$AL$990,HLOOKUP(INDIRECT(ADDRESS(2,COLUMN())),OFFSET($BN$2,0,0,ROW()-1,60),ROW()-1,FALSE))</f>
        <v>3.7269702649999998</v>
      </c>
      <c r="AM324">
        <f ca="1">IF(AND(ISNUMBER($AM$990),$B$677=1),$AM$990,HLOOKUP(INDIRECT(ADDRESS(2,COLUMN())),OFFSET($BN$2,0,0,ROW()-1,60),ROW()-1,FALSE))</f>
        <v>4.2306048580000004</v>
      </c>
      <c r="AN324">
        <f ca="1">IF(AND(ISNUMBER($AN$990),$B$677=1),$AN$990,HLOOKUP(INDIRECT(ADDRESS(2,COLUMN())),OFFSET($BN$2,0,0,ROW()-1,60),ROW()-1,FALSE))</f>
        <v>3.515996382</v>
      </c>
      <c r="AO324">
        <f ca="1">IF(AND(ISNUMBER($AO$990),$B$677=1),$AO$990,HLOOKUP(INDIRECT(ADDRESS(2,COLUMN())),OFFSET($BN$2,0,0,ROW()-1,60),ROW()-1,FALSE))</f>
        <v>4.1109738079999998</v>
      </c>
      <c r="AP324">
        <f ca="1">IF(AND(ISNUMBER($AP$990),$B$677=1),$AP$990,HLOOKUP(INDIRECT(ADDRESS(2,COLUMN())),OFFSET($BN$2,0,0,ROW()-1,60),ROW()-1,FALSE))</f>
        <v>6.128542307</v>
      </c>
      <c r="AQ324">
        <f ca="1">IF(AND(ISNUMBER($AQ$990),$B$677=1),$AQ$990,HLOOKUP(INDIRECT(ADDRESS(2,COLUMN())),OFFSET($BN$2,0,0,ROW()-1,60),ROW()-1,FALSE))</f>
        <v>10.39350947</v>
      </c>
      <c r="AR324">
        <f ca="1">IF(AND(ISNUMBER($AR$990),$B$677=1),$AR$990,HLOOKUP(INDIRECT(ADDRESS(2,COLUMN())),OFFSET($BN$2,0,0,ROW()-1,60),ROW()-1,FALSE))</f>
        <v>14.227174550000001</v>
      </c>
      <c r="AS324">
        <f ca="1">IF(AND(ISNUMBER($AS$990),$B$677=1),$AS$990,HLOOKUP(INDIRECT(ADDRESS(2,COLUMN())),OFFSET($BN$2,0,0,ROW()-1,60),ROW()-1,FALSE))</f>
        <v>14.36142345</v>
      </c>
      <c r="AT324">
        <f ca="1">IF(AND(ISNUMBER($AT$990),$B$677=1),$AT$990,HLOOKUP(INDIRECT(ADDRESS(2,COLUMN())),OFFSET($BN$2,0,0,ROW()-1,60),ROW()-1,FALSE))</f>
        <v>8.0438362800000007</v>
      </c>
      <c r="AU324" t="str">
        <f ca="1">IF(AND(ISNUMBER($AU$990),$B$677=1),$AU$990,HLOOKUP(INDIRECT(ADDRESS(2,COLUMN())),OFFSET($BN$2,0,0,ROW()-1,60),ROW()-1,FALSE))</f>
        <v/>
      </c>
      <c r="AV324" t="str">
        <f ca="1">IF(AND(ISNUMBER($AV$990),$B$677=1),$AV$990,HLOOKUP(INDIRECT(ADDRESS(2,COLUMN())),OFFSET($BN$2,0,0,ROW()-1,60),ROW()-1,FALSE))</f>
        <v/>
      </c>
      <c r="AW324" t="str">
        <f ca="1">IF(AND(ISNUMBER($AW$990),$B$677=1),$AW$990,HLOOKUP(INDIRECT(ADDRESS(2,COLUMN())),OFFSET($BN$2,0,0,ROW()-1,60),ROW()-1,FALSE))</f>
        <v/>
      </c>
      <c r="AX324" t="str">
        <f ca="1">IF(AND(ISNUMBER($AX$990),$B$677=1),$AX$990,HLOOKUP(INDIRECT(ADDRESS(2,COLUMN())),OFFSET($BN$2,0,0,ROW()-1,60),ROW()-1,FALSE))</f>
        <v/>
      </c>
      <c r="AY324" t="str">
        <f ca="1">IF(AND(ISNUMBER($AY$990),$B$677=1),$AY$990,HLOOKUP(INDIRECT(ADDRESS(2,COLUMN())),OFFSET($BN$2,0,0,ROW()-1,60),ROW()-1,FALSE))</f>
        <v/>
      </c>
      <c r="AZ324" t="str">
        <f ca="1">IF(AND(ISNUMBER($AZ$990),$B$677=1),$AZ$990,HLOOKUP(INDIRECT(ADDRESS(2,COLUMN())),OFFSET($BN$2,0,0,ROW()-1,60),ROW()-1,FALSE))</f>
        <v/>
      </c>
      <c r="BA324" t="str">
        <f ca="1">IF(AND(ISNUMBER($BA$990),$B$677=1),$BA$990,HLOOKUP(INDIRECT(ADDRESS(2,COLUMN())),OFFSET($BN$2,0,0,ROW()-1,60),ROW()-1,FALSE))</f>
        <v/>
      </c>
      <c r="BB324" t="str">
        <f ca="1">IF(AND(ISNUMBER($BB$990),$B$677=1),$BB$990,HLOOKUP(INDIRECT(ADDRESS(2,COLUMN())),OFFSET($BN$2,0,0,ROW()-1,60),ROW()-1,FALSE))</f>
        <v/>
      </c>
      <c r="BC324" t="str">
        <f ca="1">IF(AND(ISNUMBER($BC$990),$B$677=1),$BC$990,HLOOKUP(INDIRECT(ADDRESS(2,COLUMN())),OFFSET($BN$2,0,0,ROW()-1,60),ROW()-1,FALSE))</f>
        <v/>
      </c>
      <c r="BD324" t="str">
        <f ca="1">IF(AND(ISNUMBER($BD$990),$B$677=1),$BD$990,HLOOKUP(INDIRECT(ADDRESS(2,COLUMN())),OFFSET($BN$2,0,0,ROW()-1,60),ROW()-1,FALSE))</f>
        <v/>
      </c>
      <c r="BE324" t="str">
        <f ca="1">IF(AND(ISNUMBER($BE$990),$B$677=1),$BE$990,HLOOKUP(INDIRECT(ADDRESS(2,COLUMN())),OFFSET($BN$2,0,0,ROW()-1,60),ROW()-1,FALSE))</f>
        <v/>
      </c>
      <c r="BF324" t="str">
        <f ca="1">IF(AND(ISNUMBER($BF$990),$B$677=1),$BF$990,HLOOKUP(INDIRECT(ADDRESS(2,COLUMN())),OFFSET($BN$2,0,0,ROW()-1,60),ROW()-1,FALSE))</f>
        <v/>
      </c>
      <c r="BG324" t="str">
        <f ca="1">IF(AND(ISNUMBER($BG$990),$B$677=1),$BG$990,HLOOKUP(INDIRECT(ADDRESS(2,COLUMN())),OFFSET($BN$2,0,0,ROW()-1,60),ROW()-1,FALSE))</f>
        <v/>
      </c>
      <c r="BH324" t="str">
        <f ca="1">IF(AND(ISNUMBER($BH$990),$B$677=1),$BH$990,HLOOKUP(INDIRECT(ADDRESS(2,COLUMN())),OFFSET($BN$2,0,0,ROW()-1,60),ROW()-1,FALSE))</f>
        <v/>
      </c>
      <c r="BI324" t="str">
        <f ca="1">IF(AND(ISNUMBER($BI$990),$B$677=1),$BI$990,HLOOKUP(INDIRECT(ADDRESS(2,COLUMN())),OFFSET($BN$2,0,0,ROW()-1,60),ROW()-1,FALSE))</f>
        <v/>
      </c>
      <c r="BJ324" t="str">
        <f ca="1">IF(AND(ISNUMBER($BJ$990),$B$677=1),$BJ$990,HLOOKUP(INDIRECT(ADDRESS(2,COLUMN())),OFFSET($BN$2,0,0,ROW()-1,60),ROW()-1,FALSE))</f>
        <v/>
      </c>
      <c r="BK324" t="str">
        <f ca="1">IF(AND(ISNUMBER($BK$990),$B$677=1),$BK$990,HLOOKUP(INDIRECT(ADDRESS(2,COLUMN())),OFFSET($BN$2,0,0,ROW()-1,60),ROW()-1,FALSE))</f>
        <v/>
      </c>
      <c r="BL324" t="str">
        <f ca="1">IF(AND(ISNUMBER($BL$990),$B$677=1),$BL$990,HLOOKUP(INDIRECT(ADDRESS(2,COLUMN())),OFFSET($BN$2,0,0,ROW()-1,60),ROW()-1,FALSE))</f>
        <v/>
      </c>
      <c r="BM324" t="str">
        <f ca="1">IF(AND(ISNUMBER($BM$990),$B$677=1),$BM$990,HLOOKUP(INDIRECT(ADDRESS(2,COLUMN())),OFFSET($BN$2,0,0,ROW()-1,60),ROW()-1,FALSE))</f>
        <v/>
      </c>
      <c r="BN324" t="str">
        <f>""</f>
        <v/>
      </c>
      <c r="BO324">
        <f>2.995427303</f>
        <v>2.995427303</v>
      </c>
      <c r="BP324">
        <f>5.481485446</f>
        <v>5.4814854459999998</v>
      </c>
      <c r="BQ324">
        <f>3.784258023</f>
        <v>3.784258023</v>
      </c>
      <c r="BR324">
        <f>3.666088242</f>
        <v>3.6660882419999998</v>
      </c>
      <c r="BS324">
        <f>3.690523202</f>
        <v>3.6905232020000001</v>
      </c>
      <c r="BT324">
        <f>4.331747086</f>
        <v>4.331747086</v>
      </c>
      <c r="BU324">
        <f>3.892841495</f>
        <v>3.8928414949999999</v>
      </c>
      <c r="BV324">
        <f>4.655905753</f>
        <v>4.6559057529999999</v>
      </c>
      <c r="BW324">
        <f>5.625320053</f>
        <v>5.6253200530000003</v>
      </c>
      <c r="BX324">
        <f>3.649968105</f>
        <v>3.6499681050000001</v>
      </c>
      <c r="BY324">
        <f>3.201422695</f>
        <v>3.2014226950000002</v>
      </c>
      <c r="BZ324">
        <f>3.562616068</f>
        <v>3.5626160680000001</v>
      </c>
      <c r="CA324">
        <f>5.162119186</f>
        <v>5.162119186</v>
      </c>
      <c r="CB324">
        <f>4.503989861</f>
        <v>4.503989861</v>
      </c>
      <c r="CC324">
        <f>5.410831033</f>
        <v>5.410831033</v>
      </c>
      <c r="CD324">
        <f>5.39490804</f>
        <v>5.3949080399999998</v>
      </c>
      <c r="CE324">
        <f>6.346820872</f>
        <v>6.3468208720000003</v>
      </c>
      <c r="CF324">
        <f>5.792431051</f>
        <v>5.7924310510000003</v>
      </c>
      <c r="CG324">
        <f>4.848820394</f>
        <v>4.8488203939999996</v>
      </c>
      <c r="CH324">
        <f>4.828224231</f>
        <v>4.8282242310000001</v>
      </c>
      <c r="CI324">
        <f>6.141108288</f>
        <v>6.1411082879999999</v>
      </c>
      <c r="CJ324">
        <f>6.721473272</f>
        <v>6.7214732719999999</v>
      </c>
      <c r="CK324">
        <f>7.698988136</f>
        <v>7.6989881359999996</v>
      </c>
      <c r="CL324">
        <f>6.058196972</f>
        <v>6.0581969720000002</v>
      </c>
      <c r="CM324">
        <f>5.657800232</f>
        <v>5.6578002319999996</v>
      </c>
      <c r="CN324">
        <f>3.941449237</f>
        <v>3.941449237</v>
      </c>
      <c r="CO324">
        <f>4.946699192</f>
        <v>4.9466991919999996</v>
      </c>
      <c r="CP324">
        <f>5.826267281</f>
        <v>5.8262672809999998</v>
      </c>
      <c r="CQ324">
        <f>5.008840219</f>
        <v>5.0088402189999996</v>
      </c>
      <c r="CR324">
        <f>4.588973585</f>
        <v>4.5889735849999997</v>
      </c>
      <c r="CS324">
        <f>4.552974717</f>
        <v>4.5529747169999997</v>
      </c>
      <c r="CT324">
        <f>3.726970265</f>
        <v>3.7269702649999998</v>
      </c>
      <c r="CU324">
        <f>4.230604858</f>
        <v>4.2306048580000004</v>
      </c>
      <c r="CV324">
        <f>3.515996382</f>
        <v>3.515996382</v>
      </c>
      <c r="CW324">
        <f>4.110973808</f>
        <v>4.1109738079999998</v>
      </c>
      <c r="CX324">
        <f>6.128542307</f>
        <v>6.128542307</v>
      </c>
      <c r="CY324">
        <f>10.39350947</f>
        <v>10.39350947</v>
      </c>
      <c r="CZ324">
        <f>14.22717455</f>
        <v>14.227174550000001</v>
      </c>
      <c r="DA324">
        <f>14.36142345</f>
        <v>14.36142345</v>
      </c>
      <c r="DB324">
        <f>8.04383628</f>
        <v>8.0438362800000007</v>
      </c>
      <c r="DC324" t="str">
        <f>""</f>
        <v/>
      </c>
      <c r="DD324" t="str">
        <f>""</f>
        <v/>
      </c>
      <c r="DE324" t="str">
        <f>""</f>
        <v/>
      </c>
      <c r="DF324" t="str">
        <f>""</f>
        <v/>
      </c>
      <c r="DG324" t="str">
        <f>""</f>
        <v/>
      </c>
      <c r="DH324" t="str">
        <f>""</f>
        <v/>
      </c>
      <c r="DI324" t="str">
        <f>""</f>
        <v/>
      </c>
      <c r="DJ324" t="str">
        <f>""</f>
        <v/>
      </c>
      <c r="DK324" t="str">
        <f>""</f>
        <v/>
      </c>
      <c r="DL324" t="str">
        <f>""</f>
        <v/>
      </c>
      <c r="DM324" t="str">
        <f>""</f>
        <v/>
      </c>
      <c r="DN324" t="str">
        <f>""</f>
        <v/>
      </c>
      <c r="DO324" t="str">
        <f>""</f>
        <v/>
      </c>
      <c r="DP324" t="str">
        <f>""</f>
        <v/>
      </c>
      <c r="DQ324" t="str">
        <f>""</f>
        <v/>
      </c>
      <c r="DR324" t="str">
        <f>""</f>
        <v/>
      </c>
      <c r="DS324" t="str">
        <f>""</f>
        <v/>
      </c>
      <c r="DT324" t="str">
        <f>""</f>
        <v/>
      </c>
      <c r="DU324" t="str">
        <f>""</f>
        <v/>
      </c>
    </row>
    <row r="325" spans="1:125" x14ac:dyDescent="0.25">
      <c r="A325" t="str">
        <f>"    Suzuki Motor Corp"</f>
        <v xml:space="preserve">    Suzuki Motor Corp</v>
      </c>
      <c r="B325" t="str">
        <f>"7269 JP Equity"</f>
        <v>7269 JP Equity</v>
      </c>
      <c r="C325" t="str">
        <f t="shared" si="21"/>
        <v>RR474</v>
      </c>
      <c r="D325" t="str">
        <f t="shared" si="22"/>
        <v>EV_TO_T12M_EBITDA</v>
      </c>
      <c r="E325" t="str">
        <f t="shared" si="23"/>
        <v>Dynamic</v>
      </c>
      <c r="F325" t="str">
        <f ca="1">IF(AND(ISNUMBER($F$991),$B$677=1),$F$991,HLOOKUP(INDIRECT(ADDRESS(2,COLUMN())),OFFSET($BN$2,0,0,ROW()-1,60),ROW()-1,FALSE))</f>
        <v/>
      </c>
      <c r="G325">
        <f ca="1">IF(AND(ISNUMBER($G$991),$B$677=1),$G$991,HLOOKUP(INDIRECT(ADDRESS(2,COLUMN())),OFFSET($BN$2,0,0,ROW()-1,60),ROW()-1,FALSE))</f>
        <v>5.1101809349999998</v>
      </c>
      <c r="H325">
        <f ca="1">IF(AND(ISNUMBER($H$991),$B$677=1),$H$991,HLOOKUP(INDIRECT(ADDRESS(2,COLUMN())),OFFSET($BN$2,0,0,ROW()-1,60),ROW()-1,FALSE))</f>
        <v>5.4272641420000003</v>
      </c>
      <c r="I325">
        <f ca="1">IF(AND(ISNUMBER($I$991),$B$677=1),$I$991,HLOOKUP(INDIRECT(ADDRESS(2,COLUMN())),OFFSET($BN$2,0,0,ROW()-1,60),ROW()-1,FALSE))</f>
        <v>4.8714219410000004</v>
      </c>
      <c r="J325">
        <f ca="1">IF(AND(ISNUMBER($J$991),$B$677=1),$J$991,HLOOKUP(INDIRECT(ADDRESS(2,COLUMN())),OFFSET($BN$2,0,0,ROW()-1,60),ROW()-1,FALSE))</f>
        <v>4.7094830200000004</v>
      </c>
      <c r="K325">
        <f ca="1">IF(AND(ISNUMBER($K$991),$B$677=1),$K$991,HLOOKUP(INDIRECT(ADDRESS(2,COLUMN())),OFFSET($BN$2,0,0,ROW()-1,60),ROW()-1,FALSE))</f>
        <v>5.4111983199999996</v>
      </c>
      <c r="L325">
        <f ca="1">IF(AND(ISNUMBER($L$991),$B$677=1),$L$991,HLOOKUP(INDIRECT(ADDRESS(2,COLUMN())),OFFSET($BN$2,0,0,ROW()-1,60),ROW()-1,FALSE))</f>
        <v>5.075978804</v>
      </c>
      <c r="M325">
        <f ca="1">IF(AND(ISNUMBER($M$991),$B$677=1),$M$991,HLOOKUP(INDIRECT(ADDRESS(2,COLUMN())),OFFSET($BN$2,0,0,ROW()-1,60),ROW()-1,FALSE))</f>
        <v>4.9193177429999997</v>
      </c>
      <c r="N325">
        <f ca="1">IF(AND(ISNUMBER($N$991),$B$677=1),$N$991,HLOOKUP(INDIRECT(ADDRESS(2,COLUMN())),OFFSET($BN$2,0,0,ROW()-1,60),ROW()-1,FALSE))</f>
        <v>4.4784020509999998</v>
      </c>
      <c r="O325">
        <f ca="1">IF(AND(ISNUMBER($O$991),$B$677=1),$O$991,HLOOKUP(INDIRECT(ADDRESS(2,COLUMN())),OFFSET($BN$2,0,0,ROW()-1,60),ROW()-1,FALSE))</f>
        <v>4.5627133339999997</v>
      </c>
      <c r="P325">
        <f ca="1">IF(AND(ISNUMBER($P$991),$B$677=1),$P$991,HLOOKUP(INDIRECT(ADDRESS(2,COLUMN())),OFFSET($BN$2,0,0,ROW()-1,60),ROW()-1,FALSE))</f>
        <v>3.5245762100000002</v>
      </c>
      <c r="Q325">
        <f ca="1">IF(AND(ISNUMBER($Q$991),$B$677=1),$Q$991,HLOOKUP(INDIRECT(ADDRESS(2,COLUMN())),OFFSET($BN$2,0,0,ROW()-1,60),ROW()-1,FALSE))</f>
        <v>3.1036089589999998</v>
      </c>
      <c r="R325">
        <f ca="1">IF(AND(ISNUMBER($R$991),$B$677=1),$R$991,HLOOKUP(INDIRECT(ADDRESS(2,COLUMN())),OFFSET($BN$2,0,0,ROW()-1,60),ROW()-1,FALSE))</f>
        <v>3.6376015050000001</v>
      </c>
      <c r="S325">
        <f ca="1">IF(AND(ISNUMBER($S$991),$B$677=1),$S$991,HLOOKUP(INDIRECT(ADDRESS(2,COLUMN())),OFFSET($BN$2,0,0,ROW()-1,60),ROW()-1,FALSE))</f>
        <v>4.7676197189999998</v>
      </c>
      <c r="T325">
        <f ca="1">IF(AND(ISNUMBER($T$991),$B$677=1),$T$991,HLOOKUP(INDIRECT(ADDRESS(2,COLUMN())),OFFSET($BN$2,0,0,ROW()-1,60),ROW()-1,FALSE))</f>
        <v>5.1088670900000004</v>
      </c>
      <c r="U325">
        <f ca="1">IF(AND(ISNUMBER($U$991),$B$677=1),$U$991,HLOOKUP(INDIRECT(ADDRESS(2,COLUMN())),OFFSET($BN$2,0,0,ROW()-1,60),ROW()-1,FALSE))</f>
        <v>6.0286736330000004</v>
      </c>
      <c r="V325">
        <f ca="1">IF(AND(ISNUMBER($V$991),$B$677=1),$V$991,HLOOKUP(INDIRECT(ADDRESS(2,COLUMN())),OFFSET($BN$2,0,0,ROW()-1,60),ROW()-1,FALSE))</f>
        <v>5.3247190639999999</v>
      </c>
      <c r="W325">
        <f ca="1">IF(AND(ISNUMBER($W$991),$B$677=1),$W$991,HLOOKUP(INDIRECT(ADDRESS(2,COLUMN())),OFFSET($BN$2,0,0,ROW()-1,60),ROW()-1,FALSE))</f>
        <v>5.4744892849999998</v>
      </c>
      <c r="X325">
        <f ca="1">IF(AND(ISNUMBER($X$991),$B$677=1),$X$991,HLOOKUP(INDIRECT(ADDRESS(2,COLUMN())),OFFSET($BN$2,0,0,ROW()-1,60),ROW()-1,FALSE))</f>
        <v>5.3230845770000004</v>
      </c>
      <c r="Y325">
        <f ca="1">IF(AND(ISNUMBER($Y$991),$B$677=1),$Y$991,HLOOKUP(INDIRECT(ADDRESS(2,COLUMN())),OFFSET($BN$2,0,0,ROW()-1,60),ROW()-1,FALSE))</f>
        <v>4.5218211110000004</v>
      </c>
      <c r="Z325">
        <f ca="1">IF(AND(ISNUMBER($Z$991),$B$677=1),$Z$991,HLOOKUP(INDIRECT(ADDRESS(2,COLUMN())),OFFSET($BN$2,0,0,ROW()-1,60),ROW()-1,FALSE))</f>
        <v>3.8253840810000002</v>
      </c>
      <c r="AA325">
        <f ca="1">IF(AND(ISNUMBER($AA$991),$B$677=1),$AA$991,HLOOKUP(INDIRECT(ADDRESS(2,COLUMN())),OFFSET($BN$2,0,0,ROW()-1,60),ROW()-1,FALSE))</f>
        <v>4.3908240019999996</v>
      </c>
      <c r="AB325">
        <f ca="1">IF(AND(ISNUMBER($AB$991),$B$677=1),$AB$991,HLOOKUP(INDIRECT(ADDRESS(2,COLUMN())),OFFSET($BN$2,0,0,ROW()-1,60),ROW()-1,FALSE))</f>
        <v>3.719781936</v>
      </c>
      <c r="AC325">
        <f ca="1">IF(AND(ISNUMBER($AC$991),$B$677=1),$AC$991,HLOOKUP(INDIRECT(ADDRESS(2,COLUMN())),OFFSET($BN$2,0,0,ROW()-1,60),ROW()-1,FALSE))</f>
        <v>4.0473971329999996</v>
      </c>
      <c r="AD325">
        <f ca="1">IF(AND(ISNUMBER($AD$991),$B$677=1),$AD$991,HLOOKUP(INDIRECT(ADDRESS(2,COLUMN())),OFFSET($BN$2,0,0,ROW()-1,60),ROW()-1,FALSE))</f>
        <v>3.9343249029999998</v>
      </c>
      <c r="AE325">
        <f ca="1">IF(AND(ISNUMBER($AE$991),$B$677=1),$AE$991,HLOOKUP(INDIRECT(ADDRESS(2,COLUMN())),OFFSET($BN$2,0,0,ROW()-1,60),ROW()-1,FALSE))</f>
        <v>4.5505239499999997</v>
      </c>
      <c r="AF325">
        <f ca="1">IF(AND(ISNUMBER($AF$991),$B$677=1),$AF$991,HLOOKUP(INDIRECT(ADDRESS(2,COLUMN())),OFFSET($BN$2,0,0,ROW()-1,60),ROW()-1,FALSE))</f>
        <v>2.54681516</v>
      </c>
      <c r="AG325">
        <f ca="1">IF(AND(ISNUMBER($AG$991),$B$677=1),$AG$991,HLOOKUP(INDIRECT(ADDRESS(2,COLUMN())),OFFSET($BN$2,0,0,ROW()-1,60),ROW()-1,FALSE))</f>
        <v>2.6312928040000001</v>
      </c>
      <c r="AH325">
        <f ca="1">IF(AND(ISNUMBER($AH$991),$B$677=1),$AH$991,HLOOKUP(INDIRECT(ADDRESS(2,COLUMN())),OFFSET($BN$2,0,0,ROW()-1,60),ROW()-1,FALSE))</f>
        <v>3.8219452719999998</v>
      </c>
      <c r="AI325">
        <f ca="1">IF(AND(ISNUMBER($AI$991),$B$677=1),$AI$991,HLOOKUP(INDIRECT(ADDRESS(2,COLUMN())),OFFSET($BN$2,0,0,ROW()-1,60),ROW()-1,FALSE))</f>
        <v>3.0044699779999999</v>
      </c>
      <c r="AJ325">
        <f ca="1">IF(AND(ISNUMBER($AJ$991),$B$677=1),$AJ$991,HLOOKUP(INDIRECT(ADDRESS(2,COLUMN())),OFFSET($BN$2,0,0,ROW()-1,60),ROW()-1,FALSE))</f>
        <v>3.1714319350000002</v>
      </c>
      <c r="AK325">
        <f ca="1">IF(AND(ISNUMBER($AK$991),$B$677=1),$AK$991,HLOOKUP(INDIRECT(ADDRESS(2,COLUMN())),OFFSET($BN$2,0,0,ROW()-1,60),ROW()-1,FALSE))</f>
        <v>3.6666363999999998</v>
      </c>
      <c r="AL325">
        <f ca="1">IF(AND(ISNUMBER($AL$991),$B$677=1),$AL$991,HLOOKUP(INDIRECT(ADDRESS(2,COLUMN())),OFFSET($BN$2,0,0,ROW()-1,60),ROW()-1,FALSE))</f>
        <v>3.7901758860000001</v>
      </c>
      <c r="AM325">
        <f ca="1">IF(AND(ISNUMBER($AM$991),$B$677=1),$AM$991,HLOOKUP(INDIRECT(ADDRESS(2,COLUMN())),OFFSET($BN$2,0,0,ROW()-1,60),ROW()-1,FALSE))</f>
        <v>3.9290787900000002</v>
      </c>
      <c r="AN325">
        <f ca="1">IF(AND(ISNUMBER($AN$991),$B$677=1),$AN$991,HLOOKUP(INDIRECT(ADDRESS(2,COLUMN())),OFFSET($BN$2,0,0,ROW()-1,60),ROW()-1,FALSE))</f>
        <v>3.131793966</v>
      </c>
      <c r="AO325">
        <f ca="1">IF(AND(ISNUMBER($AO$991),$B$677=1),$AO$991,HLOOKUP(INDIRECT(ADDRESS(2,COLUMN())),OFFSET($BN$2,0,0,ROW()-1,60),ROW()-1,FALSE))</f>
        <v>3.401585817</v>
      </c>
      <c r="AP325">
        <f ca="1">IF(AND(ISNUMBER($AP$991),$B$677=1),$AP$991,HLOOKUP(INDIRECT(ADDRESS(2,COLUMN())),OFFSET($BN$2,0,0,ROW()-1,60),ROW()-1,FALSE))</f>
        <v>4.9493329140000002</v>
      </c>
      <c r="AQ325">
        <f ca="1">IF(AND(ISNUMBER($AQ$991),$B$677=1),$AQ$991,HLOOKUP(INDIRECT(ADDRESS(2,COLUMN())),OFFSET($BN$2,0,0,ROW()-1,60),ROW()-1,FALSE))</f>
        <v>6.3963918450000001</v>
      </c>
      <c r="AR325">
        <f ca="1">IF(AND(ISNUMBER($AR$991),$B$677=1),$AR$991,HLOOKUP(INDIRECT(ADDRESS(2,COLUMN())),OFFSET($BN$2,0,0,ROW()-1,60),ROW()-1,FALSE))</f>
        <v>6.5316726779999996</v>
      </c>
      <c r="AS325">
        <f ca="1">IF(AND(ISNUMBER($AS$991),$B$677=1),$AS$991,HLOOKUP(INDIRECT(ADDRESS(2,COLUMN())),OFFSET($BN$2,0,0,ROW()-1,60),ROW()-1,FALSE))</f>
        <v>6.8078584329999998</v>
      </c>
      <c r="AT325">
        <f ca="1">IF(AND(ISNUMBER($AT$991),$B$677=1),$AT$991,HLOOKUP(INDIRECT(ADDRESS(2,COLUMN())),OFFSET($BN$2,0,0,ROW()-1,60),ROW()-1,FALSE))</f>
        <v>4.8222356059999996</v>
      </c>
      <c r="AU325">
        <f ca="1">IF(AND(ISNUMBER($AU$991),$B$677=1),$AU$991,HLOOKUP(INDIRECT(ADDRESS(2,COLUMN())),OFFSET($BN$2,0,0,ROW()-1,60),ROW()-1,FALSE))</f>
        <v>3.1841228930000001</v>
      </c>
      <c r="AV325">
        <f ca="1">IF(AND(ISNUMBER($AV$991),$B$677=1),$AV$991,HLOOKUP(INDIRECT(ADDRESS(2,COLUMN())),OFFSET($BN$2,0,0,ROW()-1,60),ROW()-1,FALSE))</f>
        <v>3.4342052359999999</v>
      </c>
      <c r="AW325">
        <f ca="1">IF(AND(ISNUMBER($AW$991),$B$677=1),$AW$991,HLOOKUP(INDIRECT(ADDRESS(2,COLUMN())),OFFSET($BN$2,0,0,ROW()-1,60),ROW()-1,FALSE))</f>
        <v>4.0878985249999999</v>
      </c>
      <c r="AX325">
        <f ca="1">IF(AND(ISNUMBER($AX$991),$B$677=1),$AX$991,HLOOKUP(INDIRECT(ADDRESS(2,COLUMN())),OFFSET($BN$2,0,0,ROW()-1,60),ROW()-1,FALSE))</f>
        <v>3.9674770989999999</v>
      </c>
      <c r="AY325">
        <f ca="1">IF(AND(ISNUMBER($AY$991),$B$677=1),$AY$991,HLOOKUP(INDIRECT(ADDRESS(2,COLUMN())),OFFSET($BN$2,0,0,ROW()-1,60),ROW()-1,FALSE))</f>
        <v>4.9725840769999996</v>
      </c>
      <c r="AZ325">
        <f ca="1">IF(AND(ISNUMBER($AZ$991),$B$677=1),$AZ$991,HLOOKUP(INDIRECT(ADDRESS(2,COLUMN())),OFFSET($BN$2,0,0,ROW()-1,60),ROW()-1,FALSE))</f>
        <v>5.0423391820000001</v>
      </c>
      <c r="BA325">
        <f ca="1">IF(AND(ISNUMBER($BA$991),$B$677=1),$BA$991,HLOOKUP(INDIRECT(ADDRESS(2,COLUMN())),OFFSET($BN$2,0,0,ROW()-1,60),ROW()-1,FALSE))</f>
        <v>5.3309330319999999</v>
      </c>
      <c r="BB325">
        <f ca="1">IF(AND(ISNUMBER($BB$991),$B$677=1),$BB$991,HLOOKUP(INDIRECT(ADDRESS(2,COLUMN())),OFFSET($BN$2,0,0,ROW()-1,60),ROW()-1,FALSE))</f>
        <v>5.0526701149999997</v>
      </c>
      <c r="BC325">
        <f ca="1">IF(AND(ISNUMBER($BC$991),$B$677=1),$BC$991,HLOOKUP(INDIRECT(ADDRESS(2,COLUMN())),OFFSET($BN$2,0,0,ROW()-1,60),ROW()-1,FALSE))</f>
        <v>5.7735542239999997</v>
      </c>
      <c r="BD325">
        <f ca="1">IF(AND(ISNUMBER($BD$991),$B$677=1),$BD$991,HLOOKUP(INDIRECT(ADDRESS(2,COLUMN())),OFFSET($BN$2,0,0,ROW()-1,60),ROW()-1,FALSE))</f>
        <v>5.0411223229999997</v>
      </c>
      <c r="BE325">
        <f ca="1">IF(AND(ISNUMBER($BE$991),$B$677=1),$BE$991,HLOOKUP(INDIRECT(ADDRESS(2,COLUMN())),OFFSET($BN$2,0,0,ROW()-1,60),ROW()-1,FALSE))</f>
        <v>4.2286328270000002</v>
      </c>
      <c r="BF325">
        <f ca="1">IF(AND(ISNUMBER($BF$991),$B$677=1),$BF$991,HLOOKUP(INDIRECT(ADDRESS(2,COLUMN())),OFFSET($BN$2,0,0,ROW()-1,60),ROW()-1,FALSE))</f>
        <v>5.1122110730000001</v>
      </c>
      <c r="BG325">
        <f ca="1">IF(AND(ISNUMBER($BG$991),$B$677=1),$BG$991,HLOOKUP(INDIRECT(ADDRESS(2,COLUMN())),OFFSET($BN$2,0,0,ROW()-1,60),ROW()-1,FALSE))</f>
        <v>4.2354225510000001</v>
      </c>
      <c r="BH325">
        <f ca="1">IF(AND(ISNUMBER($BH$991),$B$677=1),$BH$991,HLOOKUP(INDIRECT(ADDRESS(2,COLUMN())),OFFSET($BN$2,0,0,ROW()-1,60),ROW()-1,FALSE))</f>
        <v>4.0610670100000004</v>
      </c>
      <c r="BI325" t="str">
        <f ca="1">IF(AND(ISNUMBER($BI$991),$B$677=1),$BI$991,HLOOKUP(INDIRECT(ADDRESS(2,COLUMN())),OFFSET($BN$2,0,0,ROW()-1,60),ROW()-1,FALSE))</f>
        <v/>
      </c>
      <c r="BJ325">
        <f ca="1">IF(AND(ISNUMBER($BJ$991),$B$677=1),$BJ$991,HLOOKUP(INDIRECT(ADDRESS(2,COLUMN())),OFFSET($BN$2,0,0,ROW()-1,60),ROW()-1,FALSE))</f>
        <v>4.367212769</v>
      </c>
      <c r="BK325" t="str">
        <f ca="1">IF(AND(ISNUMBER($BK$991),$B$677=1),$BK$991,HLOOKUP(INDIRECT(ADDRESS(2,COLUMN())),OFFSET($BN$2,0,0,ROW()-1,60),ROW()-1,FALSE))</f>
        <v/>
      </c>
      <c r="BL325">
        <f ca="1">IF(AND(ISNUMBER($BL$991),$B$677=1),$BL$991,HLOOKUP(INDIRECT(ADDRESS(2,COLUMN())),OFFSET($BN$2,0,0,ROW()-1,60),ROW()-1,FALSE))</f>
        <v>4.3800245139999996</v>
      </c>
      <c r="BM325" t="str">
        <f ca="1">IF(AND(ISNUMBER($BM$991),$B$677=1),$BM$991,HLOOKUP(INDIRECT(ADDRESS(2,COLUMN())),OFFSET($BN$2,0,0,ROW()-1,60),ROW()-1,FALSE))</f>
        <v/>
      </c>
      <c r="BN325" t="str">
        <f>""</f>
        <v/>
      </c>
      <c r="BO325">
        <f>5.110180935</f>
        <v>5.1101809349999998</v>
      </c>
      <c r="BP325">
        <f>5.427264142</f>
        <v>5.4272641420000003</v>
      </c>
      <c r="BQ325">
        <f>4.871421941</f>
        <v>4.8714219410000004</v>
      </c>
      <c r="BR325">
        <f>4.70948302</f>
        <v>4.7094830200000004</v>
      </c>
      <c r="BS325">
        <f>5.41119832</f>
        <v>5.4111983199999996</v>
      </c>
      <c r="BT325">
        <f>5.075978804</f>
        <v>5.075978804</v>
      </c>
      <c r="BU325">
        <f>4.919317743</f>
        <v>4.9193177429999997</v>
      </c>
      <c r="BV325">
        <f>4.478402051</f>
        <v>4.4784020509999998</v>
      </c>
      <c r="BW325">
        <f>4.562713334</f>
        <v>4.5627133339999997</v>
      </c>
      <c r="BX325">
        <f>3.52457621</f>
        <v>3.5245762100000002</v>
      </c>
      <c r="BY325">
        <f>3.103608959</f>
        <v>3.1036089589999998</v>
      </c>
      <c r="BZ325">
        <f>3.637601505</f>
        <v>3.6376015050000001</v>
      </c>
      <c r="CA325">
        <f>4.767619719</f>
        <v>4.7676197189999998</v>
      </c>
      <c r="CB325">
        <f>5.10886709</f>
        <v>5.1088670900000004</v>
      </c>
      <c r="CC325">
        <f>6.028673633</f>
        <v>6.0286736330000004</v>
      </c>
      <c r="CD325">
        <f>5.324719064</f>
        <v>5.3247190639999999</v>
      </c>
      <c r="CE325">
        <f>5.474489285</f>
        <v>5.4744892849999998</v>
      </c>
      <c r="CF325">
        <f>5.323084577</f>
        <v>5.3230845770000004</v>
      </c>
      <c r="CG325">
        <f>4.521821111</f>
        <v>4.5218211110000004</v>
      </c>
      <c r="CH325">
        <f>3.825384081</f>
        <v>3.8253840810000002</v>
      </c>
      <c r="CI325">
        <f>4.390824002</f>
        <v>4.3908240019999996</v>
      </c>
      <c r="CJ325">
        <f>3.719781936</f>
        <v>3.719781936</v>
      </c>
      <c r="CK325">
        <f>4.047397133</f>
        <v>4.0473971329999996</v>
      </c>
      <c r="CL325">
        <f>3.934324903</f>
        <v>3.9343249029999998</v>
      </c>
      <c r="CM325">
        <f>4.55052395</f>
        <v>4.5505239499999997</v>
      </c>
      <c r="CN325">
        <f>2.54681516</f>
        <v>2.54681516</v>
      </c>
      <c r="CO325">
        <f>2.631292804</f>
        <v>2.6312928040000001</v>
      </c>
      <c r="CP325">
        <f>3.821945272</f>
        <v>3.8219452719999998</v>
      </c>
      <c r="CQ325">
        <f>3.004469978</f>
        <v>3.0044699779999999</v>
      </c>
      <c r="CR325">
        <f>3.171431935</f>
        <v>3.1714319350000002</v>
      </c>
      <c r="CS325">
        <f>3.6666364</f>
        <v>3.6666363999999998</v>
      </c>
      <c r="CT325">
        <f>3.790175886</f>
        <v>3.7901758860000001</v>
      </c>
      <c r="CU325">
        <f>3.92907879</f>
        <v>3.9290787900000002</v>
      </c>
      <c r="CV325">
        <f>3.131793966</f>
        <v>3.131793966</v>
      </c>
      <c r="CW325">
        <f>3.401585817</f>
        <v>3.401585817</v>
      </c>
      <c r="CX325">
        <f>4.949332914</f>
        <v>4.9493329140000002</v>
      </c>
      <c r="CY325">
        <f>6.396391845</f>
        <v>6.3963918450000001</v>
      </c>
      <c r="CZ325">
        <f>6.531672678</f>
        <v>6.5316726779999996</v>
      </c>
      <c r="DA325">
        <f>6.807858433</f>
        <v>6.8078584329999998</v>
      </c>
      <c r="DB325">
        <f>4.822235606</f>
        <v>4.8222356059999996</v>
      </c>
      <c r="DC325">
        <f>3.184122893</f>
        <v>3.1841228930000001</v>
      </c>
      <c r="DD325">
        <f>3.434205236</f>
        <v>3.4342052359999999</v>
      </c>
      <c r="DE325">
        <f>4.087898525</f>
        <v>4.0878985249999999</v>
      </c>
      <c r="DF325">
        <f>3.967477099</f>
        <v>3.9674770989999999</v>
      </c>
      <c r="DG325">
        <f>4.972584077</f>
        <v>4.9725840769999996</v>
      </c>
      <c r="DH325">
        <f>5.042339182</f>
        <v>5.0423391820000001</v>
      </c>
      <c r="DI325">
        <f>5.330933032</f>
        <v>5.3309330319999999</v>
      </c>
      <c r="DJ325">
        <f>5.052670115</f>
        <v>5.0526701149999997</v>
      </c>
      <c r="DK325">
        <f>5.773554224</f>
        <v>5.7735542239999997</v>
      </c>
      <c r="DL325">
        <f>5.041122323</f>
        <v>5.0411223229999997</v>
      </c>
      <c r="DM325">
        <f>4.228632827</f>
        <v>4.2286328270000002</v>
      </c>
      <c r="DN325">
        <f>5.112211073</f>
        <v>5.1122110730000001</v>
      </c>
      <c r="DO325">
        <f>4.235422551</f>
        <v>4.2354225510000001</v>
      </c>
      <c r="DP325">
        <f>4.06106701</f>
        <v>4.0610670100000004</v>
      </c>
      <c r="DQ325" t="str">
        <f>""</f>
        <v/>
      </c>
      <c r="DR325">
        <f>4.367212769</f>
        <v>4.367212769</v>
      </c>
      <c r="DS325" t="str">
        <f>""</f>
        <v/>
      </c>
      <c r="DT325">
        <f>4.380024514</f>
        <v>4.3800245139999996</v>
      </c>
      <c r="DU325" t="str">
        <f>""</f>
        <v/>
      </c>
    </row>
    <row r="326" spans="1:125" x14ac:dyDescent="0.25">
      <c r="A326" t="str">
        <f>"    Tata Motors Ltd"</f>
        <v xml:space="preserve">    Tata Motors Ltd</v>
      </c>
      <c r="B326" t="str">
        <f>"TTMT IN Equity"</f>
        <v>TTMT IN Equity</v>
      </c>
      <c r="C326" t="str">
        <f t="shared" si="21"/>
        <v>RR474</v>
      </c>
      <c r="D326" t="str">
        <f t="shared" si="22"/>
        <v>EV_TO_T12M_EBITDA</v>
      </c>
      <c r="E326" t="str">
        <f t="shared" si="23"/>
        <v>Dynamic</v>
      </c>
      <c r="F326" t="str">
        <f ca="1">IF(AND(ISNUMBER($F$992),$B$677=1),$F$992,HLOOKUP(INDIRECT(ADDRESS(2,COLUMN())),OFFSET($BN$2,0,0,ROW()-1,60),ROW()-1,FALSE))</f>
        <v/>
      </c>
      <c r="G326" t="str">
        <f ca="1">IF(AND(ISNUMBER($G$992),$B$677=1),$G$992,HLOOKUP(INDIRECT(ADDRESS(2,COLUMN())),OFFSET($BN$2,0,0,ROW()-1,60),ROW()-1,FALSE))</f>
        <v/>
      </c>
      <c r="H326">
        <f ca="1">IF(AND(ISNUMBER($H$992),$B$677=1),$H$992,HLOOKUP(INDIRECT(ADDRESS(2,COLUMN())),OFFSET($BN$2,0,0,ROW()-1,60),ROW()-1,FALSE))</f>
        <v>4.3360807780000004</v>
      </c>
      <c r="I326" t="str">
        <f ca="1">IF(AND(ISNUMBER($I$992),$B$677=1),$I$992,HLOOKUP(INDIRECT(ADDRESS(2,COLUMN())),OFFSET($BN$2,0,0,ROW()-1,60),ROW()-1,FALSE))</f>
        <v/>
      </c>
      <c r="J326">
        <f ca="1">IF(AND(ISNUMBER($J$992),$B$677=1),$J$992,HLOOKUP(INDIRECT(ADDRESS(2,COLUMN())),OFFSET($BN$2,0,0,ROW()-1,60),ROW()-1,FALSE))</f>
        <v>4.5659647899999998</v>
      </c>
      <c r="K326" t="str">
        <f ca="1">IF(AND(ISNUMBER($K$992),$B$677=1),$K$992,HLOOKUP(INDIRECT(ADDRESS(2,COLUMN())),OFFSET($BN$2,0,0,ROW()-1,60),ROW()-1,FALSE))</f>
        <v/>
      </c>
      <c r="L326">
        <f ca="1">IF(AND(ISNUMBER($L$992),$B$677=1),$L$992,HLOOKUP(INDIRECT(ADDRESS(2,COLUMN())),OFFSET($BN$2,0,0,ROW()-1,60),ROW()-1,FALSE))</f>
        <v>5.6540096330000003</v>
      </c>
      <c r="M326" t="str">
        <f ca="1">IF(AND(ISNUMBER($M$992),$B$677=1),$M$992,HLOOKUP(INDIRECT(ADDRESS(2,COLUMN())),OFFSET($BN$2,0,0,ROW()-1,60),ROW()-1,FALSE))</f>
        <v/>
      </c>
      <c r="N326">
        <f ca="1">IF(AND(ISNUMBER($N$992),$B$677=1),$N$992,HLOOKUP(INDIRECT(ADDRESS(2,COLUMN())),OFFSET($BN$2,0,0,ROW()-1,60),ROW()-1,FALSE))</f>
        <v>5.7552074009999998</v>
      </c>
      <c r="O326" t="str">
        <f ca="1">IF(AND(ISNUMBER($O$992),$B$677=1),$O$992,HLOOKUP(INDIRECT(ADDRESS(2,COLUMN())),OFFSET($BN$2,0,0,ROW()-1,60),ROW()-1,FALSE))</f>
        <v/>
      </c>
      <c r="P326">
        <f ca="1">IF(AND(ISNUMBER($P$992),$B$677=1),$P$992,HLOOKUP(INDIRECT(ADDRESS(2,COLUMN())),OFFSET($BN$2,0,0,ROW()-1,60),ROW()-1,FALSE))</f>
        <v>5.8042918930000003</v>
      </c>
      <c r="Q326" t="str">
        <f ca="1">IF(AND(ISNUMBER($Q$992),$B$677=1),$Q$992,HLOOKUP(INDIRECT(ADDRESS(2,COLUMN())),OFFSET($BN$2,0,0,ROW()-1,60),ROW()-1,FALSE))</f>
        <v/>
      </c>
      <c r="R326">
        <f ca="1">IF(AND(ISNUMBER($R$992),$B$677=1),$R$992,HLOOKUP(INDIRECT(ADDRESS(2,COLUMN())),OFFSET($BN$2,0,0,ROW()-1,60),ROW()-1,FALSE))</f>
        <v>3.9474331459999998</v>
      </c>
      <c r="S326" t="str">
        <f ca="1">IF(AND(ISNUMBER($S$992),$B$677=1),$S$992,HLOOKUP(INDIRECT(ADDRESS(2,COLUMN())),OFFSET($BN$2,0,0,ROW()-1,60),ROW()-1,FALSE))</f>
        <v/>
      </c>
      <c r="T326">
        <f ca="1">IF(AND(ISNUMBER($T$992),$B$677=1),$T$992,HLOOKUP(INDIRECT(ADDRESS(2,COLUMN())),OFFSET($BN$2,0,0,ROW()-1,60),ROW()-1,FALSE))</f>
        <v>3.6695728490000001</v>
      </c>
      <c r="U326" t="str">
        <f ca="1">IF(AND(ISNUMBER($U$992),$B$677=1),$U$992,HLOOKUP(INDIRECT(ADDRESS(2,COLUMN())),OFFSET($BN$2,0,0,ROW()-1,60),ROW()-1,FALSE))</f>
        <v/>
      </c>
      <c r="V326">
        <f ca="1">IF(AND(ISNUMBER($V$992),$B$677=1),$V$992,HLOOKUP(INDIRECT(ADDRESS(2,COLUMN())),OFFSET($BN$2,0,0,ROW()-1,60),ROW()-1,FALSE))</f>
        <v>5.3315154490000003</v>
      </c>
      <c r="W326" t="str">
        <f ca="1">IF(AND(ISNUMBER($W$992),$B$677=1),$W$992,HLOOKUP(INDIRECT(ADDRESS(2,COLUMN())),OFFSET($BN$2,0,0,ROW()-1,60),ROW()-1,FALSE))</f>
        <v/>
      </c>
      <c r="X326">
        <f ca="1">IF(AND(ISNUMBER($X$992),$B$677=1),$X$992,HLOOKUP(INDIRECT(ADDRESS(2,COLUMN())),OFFSET($BN$2,0,0,ROW()-1,60),ROW()-1,FALSE))</f>
        <v>4.4288833869999999</v>
      </c>
      <c r="Y326" t="str">
        <f ca="1">IF(AND(ISNUMBER($Y$992),$B$677=1),$Y$992,HLOOKUP(INDIRECT(ADDRESS(2,COLUMN())),OFFSET($BN$2,0,0,ROW()-1,60),ROW()-1,FALSE))</f>
        <v/>
      </c>
      <c r="Z326">
        <f ca="1">IF(AND(ISNUMBER($Z$992),$B$677=1),$Z$992,HLOOKUP(INDIRECT(ADDRESS(2,COLUMN())),OFFSET($BN$2,0,0,ROW()-1,60),ROW()-1,FALSE))</f>
        <v>4.4637283999999999</v>
      </c>
      <c r="AA326" t="str">
        <f ca="1">IF(AND(ISNUMBER($AA$992),$B$677=1),$AA$992,HLOOKUP(INDIRECT(ADDRESS(2,COLUMN())),OFFSET($BN$2,0,0,ROW()-1,60),ROW()-1,FALSE))</f>
        <v/>
      </c>
      <c r="AB326">
        <f ca="1">IF(AND(ISNUMBER($AB$992),$B$677=1),$AB$992,HLOOKUP(INDIRECT(ADDRESS(2,COLUMN())),OFFSET($BN$2,0,0,ROW()-1,60),ROW()-1,FALSE))</f>
        <v>4.6186072229999997</v>
      </c>
      <c r="AC326" t="str">
        <f ca="1">IF(AND(ISNUMBER($AC$992),$B$677=1),$AC$992,HLOOKUP(INDIRECT(ADDRESS(2,COLUMN())),OFFSET($BN$2,0,0,ROW()-1,60),ROW()-1,FALSE))</f>
        <v/>
      </c>
      <c r="AD326">
        <f ca="1">IF(AND(ISNUMBER($AD$992),$B$677=1),$AD$992,HLOOKUP(INDIRECT(ADDRESS(2,COLUMN())),OFFSET($BN$2,0,0,ROW()-1,60),ROW()-1,FALSE))</f>
        <v>4.7635036079999997</v>
      </c>
      <c r="AE326" t="str">
        <f ca="1">IF(AND(ISNUMBER($AE$992),$B$677=1),$AE$992,HLOOKUP(INDIRECT(ADDRESS(2,COLUMN())),OFFSET($BN$2,0,0,ROW()-1,60),ROW()-1,FALSE))</f>
        <v/>
      </c>
      <c r="AF326">
        <f ca="1">IF(AND(ISNUMBER($AF$992),$B$677=1),$AF$992,HLOOKUP(INDIRECT(ADDRESS(2,COLUMN())),OFFSET($BN$2,0,0,ROW()-1,60),ROW()-1,FALSE))</f>
        <v>4.205799786</v>
      </c>
      <c r="AG326" t="str">
        <f ca="1">IF(AND(ISNUMBER($AG$992),$B$677=1),$AG$992,HLOOKUP(INDIRECT(ADDRESS(2,COLUMN())),OFFSET($BN$2,0,0,ROW()-1,60),ROW()-1,FALSE))</f>
        <v/>
      </c>
      <c r="AH326">
        <f ca="1">IF(AND(ISNUMBER($AH$992),$B$677=1),$AH$992,HLOOKUP(INDIRECT(ADDRESS(2,COLUMN())),OFFSET($BN$2,0,0,ROW()-1,60),ROW()-1,FALSE))</f>
        <v>5.1476757610000003</v>
      </c>
      <c r="AI326" t="str">
        <f ca="1">IF(AND(ISNUMBER($AI$992),$B$677=1),$AI$992,HLOOKUP(INDIRECT(ADDRESS(2,COLUMN())),OFFSET($BN$2,0,0,ROW()-1,60),ROW()-1,FALSE))</f>
        <v/>
      </c>
      <c r="AJ326">
        <f ca="1">IF(AND(ISNUMBER($AJ$992),$B$677=1),$AJ$992,HLOOKUP(INDIRECT(ADDRESS(2,COLUMN())),OFFSET($BN$2,0,0,ROW()-1,60),ROW()-1,FALSE))</f>
        <v>4.8000111759999999</v>
      </c>
      <c r="AK326" t="str">
        <f ca="1">IF(AND(ISNUMBER($AK$992),$B$677=1),$AK$992,HLOOKUP(INDIRECT(ADDRESS(2,COLUMN())),OFFSET($BN$2,0,0,ROW()-1,60),ROW()-1,FALSE))</f>
        <v/>
      </c>
      <c r="AL326">
        <f ca="1">IF(AND(ISNUMBER($AL$992),$B$677=1),$AL$992,HLOOKUP(INDIRECT(ADDRESS(2,COLUMN())),OFFSET($BN$2,0,0,ROW()-1,60),ROW()-1,FALSE))</f>
        <v>6.820481064</v>
      </c>
      <c r="AM326" t="str">
        <f ca="1">IF(AND(ISNUMBER($AM$992),$B$677=1),$AM$992,HLOOKUP(INDIRECT(ADDRESS(2,COLUMN())),OFFSET($BN$2,0,0,ROW()-1,60),ROW()-1,FALSE))</f>
        <v/>
      </c>
      <c r="AN326">
        <f ca="1">IF(AND(ISNUMBER($AN$992),$B$677=1),$AN$992,HLOOKUP(INDIRECT(ADDRESS(2,COLUMN())),OFFSET($BN$2,0,0,ROW()-1,60),ROW()-1,FALSE))</f>
        <v>7.4433132649999996</v>
      </c>
      <c r="AO326" t="str">
        <f ca="1">IF(AND(ISNUMBER($AO$992),$B$677=1),$AO$992,HLOOKUP(INDIRECT(ADDRESS(2,COLUMN())),OFFSET($BN$2,0,0,ROW()-1,60),ROW()-1,FALSE))</f>
        <v/>
      </c>
      <c r="AP326">
        <f ca="1">IF(AND(ISNUMBER($AP$992),$B$677=1),$AP$992,HLOOKUP(INDIRECT(ADDRESS(2,COLUMN())),OFFSET($BN$2,0,0,ROW()-1,60),ROW()-1,FALSE))</f>
        <v>11.70857979</v>
      </c>
      <c r="AQ326" t="str">
        <f ca="1">IF(AND(ISNUMBER($AQ$992),$B$677=1),$AQ$992,HLOOKUP(INDIRECT(ADDRESS(2,COLUMN())),OFFSET($BN$2,0,0,ROW()-1,60),ROW()-1,FALSE))</f>
        <v/>
      </c>
      <c r="AR326" t="str">
        <f ca="1">IF(AND(ISNUMBER($AR$992),$B$677=1),$AR$992,HLOOKUP(INDIRECT(ADDRESS(2,COLUMN())),OFFSET($BN$2,0,0,ROW()-1,60),ROW()-1,FALSE))</f>
        <v/>
      </c>
      <c r="AS326" t="str">
        <f ca="1">IF(AND(ISNUMBER($AS$992),$B$677=1),$AS$992,HLOOKUP(INDIRECT(ADDRESS(2,COLUMN())),OFFSET($BN$2,0,0,ROW()-1,60),ROW()-1,FALSE))</f>
        <v/>
      </c>
      <c r="AT326">
        <f ca="1">IF(AND(ISNUMBER($AT$992),$B$677=1),$AT$992,HLOOKUP(INDIRECT(ADDRESS(2,COLUMN())),OFFSET($BN$2,0,0,ROW()-1,60),ROW()-1,FALSE))</f>
        <v>18.023750799999998</v>
      </c>
      <c r="AU326" t="str">
        <f ca="1">IF(AND(ISNUMBER($AU$992),$B$677=1),$AU$992,HLOOKUP(INDIRECT(ADDRESS(2,COLUMN())),OFFSET($BN$2,0,0,ROW()-1,60),ROW()-1,FALSE))</f>
        <v/>
      </c>
      <c r="AV326" t="str">
        <f ca="1">IF(AND(ISNUMBER($AV$992),$B$677=1),$AV$992,HLOOKUP(INDIRECT(ADDRESS(2,COLUMN())),OFFSET($BN$2,0,0,ROW()-1,60),ROW()-1,FALSE))</f>
        <v/>
      </c>
      <c r="AW326" t="str">
        <f ca="1">IF(AND(ISNUMBER($AW$992),$B$677=1),$AW$992,HLOOKUP(INDIRECT(ADDRESS(2,COLUMN())),OFFSET($BN$2,0,0,ROW()-1,60),ROW()-1,FALSE))</f>
        <v/>
      </c>
      <c r="AX326" t="str">
        <f ca="1">IF(AND(ISNUMBER($AX$992),$B$677=1),$AX$992,HLOOKUP(INDIRECT(ADDRESS(2,COLUMN())),OFFSET($BN$2,0,0,ROW()-1,60),ROW()-1,FALSE))</f>
        <v/>
      </c>
      <c r="AY326" t="str">
        <f ca="1">IF(AND(ISNUMBER($AY$992),$B$677=1),$AY$992,HLOOKUP(INDIRECT(ADDRESS(2,COLUMN())),OFFSET($BN$2,0,0,ROW()-1,60),ROW()-1,FALSE))</f>
        <v/>
      </c>
      <c r="AZ326" t="str">
        <f ca="1">IF(AND(ISNUMBER($AZ$992),$B$677=1),$AZ$992,HLOOKUP(INDIRECT(ADDRESS(2,COLUMN())),OFFSET($BN$2,0,0,ROW()-1,60),ROW()-1,FALSE))</f>
        <v/>
      </c>
      <c r="BA326" t="str">
        <f ca="1">IF(AND(ISNUMBER($BA$992),$B$677=1),$BA$992,HLOOKUP(INDIRECT(ADDRESS(2,COLUMN())),OFFSET($BN$2,0,0,ROW()-1,60),ROW()-1,FALSE))</f>
        <v/>
      </c>
      <c r="BB326" t="str">
        <f ca="1">IF(AND(ISNUMBER($BB$992),$B$677=1),$BB$992,HLOOKUP(INDIRECT(ADDRESS(2,COLUMN())),OFFSET($BN$2,0,0,ROW()-1,60),ROW()-1,FALSE))</f>
        <v/>
      </c>
      <c r="BC326" t="str">
        <f ca="1">IF(AND(ISNUMBER($BC$992),$B$677=1),$BC$992,HLOOKUP(INDIRECT(ADDRESS(2,COLUMN())),OFFSET($BN$2,0,0,ROW()-1,60),ROW()-1,FALSE))</f>
        <v/>
      </c>
      <c r="BD326" t="str">
        <f ca="1">IF(AND(ISNUMBER($BD$992),$B$677=1),$BD$992,HLOOKUP(INDIRECT(ADDRESS(2,COLUMN())),OFFSET($BN$2,0,0,ROW()-1,60),ROW()-1,FALSE))</f>
        <v/>
      </c>
      <c r="BE326" t="str">
        <f ca="1">IF(AND(ISNUMBER($BE$992),$B$677=1),$BE$992,HLOOKUP(INDIRECT(ADDRESS(2,COLUMN())),OFFSET($BN$2,0,0,ROW()-1,60),ROW()-1,FALSE))</f>
        <v/>
      </c>
      <c r="BF326" t="str">
        <f ca="1">IF(AND(ISNUMBER($BF$992),$B$677=1),$BF$992,HLOOKUP(INDIRECT(ADDRESS(2,COLUMN())),OFFSET($BN$2,0,0,ROW()-1,60),ROW()-1,FALSE))</f>
        <v/>
      </c>
      <c r="BG326" t="str">
        <f ca="1">IF(AND(ISNUMBER($BG$992),$B$677=1),$BG$992,HLOOKUP(INDIRECT(ADDRESS(2,COLUMN())),OFFSET($BN$2,0,0,ROW()-1,60),ROW()-1,FALSE))</f>
        <v/>
      </c>
      <c r="BH326" t="str">
        <f ca="1">IF(AND(ISNUMBER($BH$992),$B$677=1),$BH$992,HLOOKUP(INDIRECT(ADDRESS(2,COLUMN())),OFFSET($BN$2,0,0,ROW()-1,60),ROW()-1,FALSE))</f>
        <v/>
      </c>
      <c r="BI326" t="str">
        <f ca="1">IF(AND(ISNUMBER($BI$992),$B$677=1),$BI$992,HLOOKUP(INDIRECT(ADDRESS(2,COLUMN())),OFFSET($BN$2,0,0,ROW()-1,60),ROW()-1,FALSE))</f>
        <v/>
      </c>
      <c r="BJ326" t="str">
        <f ca="1">IF(AND(ISNUMBER($BJ$992),$B$677=1),$BJ$992,HLOOKUP(INDIRECT(ADDRESS(2,COLUMN())),OFFSET($BN$2,0,0,ROW()-1,60),ROW()-1,FALSE))</f>
        <v/>
      </c>
      <c r="BK326" t="str">
        <f ca="1">IF(AND(ISNUMBER($BK$992),$B$677=1),$BK$992,HLOOKUP(INDIRECT(ADDRESS(2,COLUMN())),OFFSET($BN$2,0,0,ROW()-1,60),ROW()-1,FALSE))</f>
        <v/>
      </c>
      <c r="BL326" t="str">
        <f ca="1">IF(AND(ISNUMBER($BL$992),$B$677=1),$BL$992,HLOOKUP(INDIRECT(ADDRESS(2,COLUMN())),OFFSET($BN$2,0,0,ROW()-1,60),ROW()-1,FALSE))</f>
        <v/>
      </c>
      <c r="BM326" t="str">
        <f ca="1">IF(AND(ISNUMBER($BM$992),$B$677=1),$BM$992,HLOOKUP(INDIRECT(ADDRESS(2,COLUMN())),OFFSET($BN$2,0,0,ROW()-1,60),ROW()-1,FALSE))</f>
        <v/>
      </c>
      <c r="BN326" t="str">
        <f>""</f>
        <v/>
      </c>
      <c r="BO326" t="str">
        <f>""</f>
        <v/>
      </c>
      <c r="BP326">
        <f>4.336080778</f>
        <v>4.3360807780000004</v>
      </c>
      <c r="BQ326" t="str">
        <f>""</f>
        <v/>
      </c>
      <c r="BR326">
        <f>4.56596479</f>
        <v>4.5659647899999998</v>
      </c>
      <c r="BS326" t="str">
        <f>""</f>
        <v/>
      </c>
      <c r="BT326">
        <f>5.654009633</f>
        <v>5.6540096330000003</v>
      </c>
      <c r="BU326" t="str">
        <f>""</f>
        <v/>
      </c>
      <c r="BV326">
        <f>5.755207401</f>
        <v>5.7552074009999998</v>
      </c>
      <c r="BW326" t="str">
        <f>""</f>
        <v/>
      </c>
      <c r="BX326">
        <f>5.804291893</f>
        <v>5.8042918930000003</v>
      </c>
      <c r="BY326" t="str">
        <f>""</f>
        <v/>
      </c>
      <c r="BZ326">
        <f>3.947433146</f>
        <v>3.9474331459999998</v>
      </c>
      <c r="CA326" t="str">
        <f>""</f>
        <v/>
      </c>
      <c r="CB326">
        <f>3.669572849</f>
        <v>3.6695728490000001</v>
      </c>
      <c r="CC326" t="str">
        <f>""</f>
        <v/>
      </c>
      <c r="CD326">
        <f>5.331515449</f>
        <v>5.3315154490000003</v>
      </c>
      <c r="CE326" t="str">
        <f>""</f>
        <v/>
      </c>
      <c r="CF326">
        <f>4.428883387</f>
        <v>4.4288833869999999</v>
      </c>
      <c r="CG326" t="str">
        <f>""</f>
        <v/>
      </c>
      <c r="CH326">
        <f>4.4637284</f>
        <v>4.4637283999999999</v>
      </c>
      <c r="CI326" t="str">
        <f>""</f>
        <v/>
      </c>
      <c r="CJ326">
        <f>4.618607223</f>
        <v>4.6186072229999997</v>
      </c>
      <c r="CK326" t="str">
        <f>""</f>
        <v/>
      </c>
      <c r="CL326">
        <f>4.763503608</f>
        <v>4.7635036079999997</v>
      </c>
      <c r="CM326" t="str">
        <f>""</f>
        <v/>
      </c>
      <c r="CN326">
        <f>4.205799786</f>
        <v>4.205799786</v>
      </c>
      <c r="CO326" t="str">
        <f>""</f>
        <v/>
      </c>
      <c r="CP326">
        <f>5.147675761</f>
        <v>5.1476757610000003</v>
      </c>
      <c r="CQ326" t="str">
        <f>""</f>
        <v/>
      </c>
      <c r="CR326">
        <f>4.800011176</f>
        <v>4.8000111759999999</v>
      </c>
      <c r="CS326" t="str">
        <f>""</f>
        <v/>
      </c>
      <c r="CT326">
        <f>6.820481064</f>
        <v>6.820481064</v>
      </c>
      <c r="CU326" t="str">
        <f>""</f>
        <v/>
      </c>
      <c r="CV326">
        <f>7.443313265</f>
        <v>7.4433132649999996</v>
      </c>
      <c r="CW326" t="str">
        <f>""</f>
        <v/>
      </c>
      <c r="CX326">
        <f>11.70857979</f>
        <v>11.70857979</v>
      </c>
      <c r="CY326" t="str">
        <f>""</f>
        <v/>
      </c>
      <c r="CZ326" t="str">
        <f>""</f>
        <v/>
      </c>
      <c r="DA326" t="str">
        <f>""</f>
        <v/>
      </c>
      <c r="DB326">
        <f>18.0237508</f>
        <v>18.023750799999998</v>
      </c>
      <c r="DC326" t="str">
        <f>""</f>
        <v/>
      </c>
      <c r="DD326" t="str">
        <f>""</f>
        <v/>
      </c>
      <c r="DE326" t="str">
        <f>""</f>
        <v/>
      </c>
      <c r="DF326" t="str">
        <f>""</f>
        <v/>
      </c>
      <c r="DG326" t="str">
        <f>""</f>
        <v/>
      </c>
      <c r="DH326" t="str">
        <f>""</f>
        <v/>
      </c>
      <c r="DI326" t="str">
        <f>""</f>
        <v/>
      </c>
      <c r="DJ326" t="str">
        <f>""</f>
        <v/>
      </c>
      <c r="DK326" t="str">
        <f>""</f>
        <v/>
      </c>
      <c r="DL326" t="str">
        <f>""</f>
        <v/>
      </c>
      <c r="DM326" t="str">
        <f>""</f>
        <v/>
      </c>
      <c r="DN326" t="str">
        <f>""</f>
        <v/>
      </c>
      <c r="DO326" t="str">
        <f>""</f>
        <v/>
      </c>
      <c r="DP326" t="str">
        <f>""</f>
        <v/>
      </c>
      <c r="DQ326" t="str">
        <f>""</f>
        <v/>
      </c>
      <c r="DR326" t="str">
        <f>""</f>
        <v/>
      </c>
      <c r="DS326" t="str">
        <f>""</f>
        <v/>
      </c>
      <c r="DT326" t="str">
        <f>""</f>
        <v/>
      </c>
      <c r="DU326" t="str">
        <f>""</f>
        <v/>
      </c>
    </row>
    <row r="327" spans="1:125" x14ac:dyDescent="0.25">
      <c r="A327" t="str">
        <f>"    Tesla Inc"</f>
        <v xml:space="preserve">    Tesla Inc</v>
      </c>
      <c r="B327" t="str">
        <f>"TSLA US Equity"</f>
        <v>TSLA US Equity</v>
      </c>
      <c r="C327" t="str">
        <f t="shared" si="21"/>
        <v>RR474</v>
      </c>
      <c r="D327" t="str">
        <f t="shared" si="22"/>
        <v>EV_TO_T12M_EBITDA</v>
      </c>
      <c r="E327" t="str">
        <f t="shared" si="23"/>
        <v>Dynamic</v>
      </c>
      <c r="F327" t="str">
        <f ca="1">IF(AND(ISNUMBER($F$993),$B$677=1),$F$993,HLOOKUP(INDIRECT(ADDRESS(2,COLUMN())),OFFSET($BN$2,0,0,ROW()-1,60),ROW()-1,FALSE))</f>
        <v/>
      </c>
      <c r="G327">
        <f ca="1">IF(AND(ISNUMBER($G$993),$B$677=1),$G$993,HLOOKUP(INDIRECT(ADDRESS(2,COLUMN())),OFFSET($BN$2,0,0,ROW()-1,60),ROW()-1,FALSE))</f>
        <v>44.36180616</v>
      </c>
      <c r="H327">
        <f ca="1">IF(AND(ISNUMBER($H$993),$B$677=1),$H$993,HLOOKUP(INDIRECT(ADDRESS(2,COLUMN())),OFFSET($BN$2,0,0,ROW()-1,60),ROW()-1,FALSE))</f>
        <v>117.22610520000001</v>
      </c>
      <c r="I327" t="str">
        <f ca="1">IF(AND(ISNUMBER($I$993),$B$677=1),$I$993,HLOOKUP(INDIRECT(ADDRESS(2,COLUMN())),OFFSET($BN$2,0,0,ROW()-1,60),ROW()-1,FALSE))</f>
        <v/>
      </c>
      <c r="J327" t="str">
        <f ca="1">IF(AND(ISNUMBER($J$993),$B$677=1),$J$993,HLOOKUP(INDIRECT(ADDRESS(2,COLUMN())),OFFSET($BN$2,0,0,ROW()-1,60),ROW()-1,FALSE))</f>
        <v/>
      </c>
      <c r="K327">
        <f ca="1">IF(AND(ISNUMBER($K$993),$B$677=1),$K$993,HLOOKUP(INDIRECT(ADDRESS(2,COLUMN())),OFFSET($BN$2,0,0,ROW()-1,60),ROW()-1,FALSE))</f>
        <v>15521.286690000001</v>
      </c>
      <c r="L327">
        <f ca="1">IF(AND(ISNUMBER($L$993),$B$677=1),$L$993,HLOOKUP(INDIRECT(ADDRESS(2,COLUMN())),OFFSET($BN$2,0,0,ROW()-1,60),ROW()-1,FALSE))</f>
        <v>338.1288874</v>
      </c>
      <c r="M327">
        <f ca="1">IF(AND(ISNUMBER($M$993),$B$677=1),$M$993,HLOOKUP(INDIRECT(ADDRESS(2,COLUMN())),OFFSET($BN$2,0,0,ROW()-1,60),ROW()-1,FALSE))</f>
        <v>95.359103840000003</v>
      </c>
      <c r="N327">
        <f ca="1">IF(AND(ISNUMBER($N$993),$B$677=1),$N$993,HLOOKUP(INDIRECT(ADDRESS(2,COLUMN())),OFFSET($BN$2,0,0,ROW()-1,60),ROW()-1,FALSE))</f>
        <v>103.6364502</v>
      </c>
      <c r="O327">
        <f ca="1">IF(AND(ISNUMBER($O$993),$B$677=1),$O$993,HLOOKUP(INDIRECT(ADDRESS(2,COLUMN())),OFFSET($BN$2,0,0,ROW()-1,60),ROW()-1,FALSE))</f>
        <v>139.8972512</v>
      </c>
      <c r="P327">
        <f ca="1">IF(AND(ISNUMBER($P$993),$B$677=1),$P$993,HLOOKUP(INDIRECT(ADDRESS(2,COLUMN())),OFFSET($BN$2,0,0,ROW()-1,60),ROW()-1,FALSE))</f>
        <v>293.35648099999997</v>
      </c>
      <c r="Q327" t="str">
        <f ca="1">IF(AND(ISNUMBER($Q$993),$B$677=1),$Q$993,HLOOKUP(INDIRECT(ADDRESS(2,COLUMN())),OFFSET($BN$2,0,0,ROW()-1,60),ROW()-1,FALSE))</f>
        <v/>
      </c>
      <c r="R327" t="str">
        <f ca="1">IF(AND(ISNUMBER($R$993),$B$677=1),$R$993,HLOOKUP(INDIRECT(ADDRESS(2,COLUMN())),OFFSET($BN$2,0,0,ROW()-1,60),ROW()-1,FALSE))</f>
        <v/>
      </c>
      <c r="S327" t="str">
        <f ca="1">IF(AND(ISNUMBER($S$993),$B$677=1),$S$993,HLOOKUP(INDIRECT(ADDRESS(2,COLUMN())),OFFSET($BN$2,0,0,ROW()-1,60),ROW()-1,FALSE))</f>
        <v/>
      </c>
      <c r="T327" t="str">
        <f ca="1">IF(AND(ISNUMBER($T$993),$B$677=1),$T$993,HLOOKUP(INDIRECT(ADDRESS(2,COLUMN())),OFFSET($BN$2,0,0,ROW()-1,60),ROW()-1,FALSE))</f>
        <v/>
      </c>
      <c r="U327" t="str">
        <f ca="1">IF(AND(ISNUMBER($U$993),$B$677=1),$U$993,HLOOKUP(INDIRECT(ADDRESS(2,COLUMN())),OFFSET($BN$2,0,0,ROW()-1,60),ROW()-1,FALSE))</f>
        <v/>
      </c>
      <c r="V327">
        <f ca="1">IF(AND(ISNUMBER($V$993),$B$677=1),$V$993,HLOOKUP(INDIRECT(ADDRESS(2,COLUMN())),OFFSET($BN$2,0,0,ROW()-1,60),ROW()-1,FALSE))</f>
        <v>1268.479012</v>
      </c>
      <c r="W327">
        <f ca="1">IF(AND(ISNUMBER($W$993),$B$677=1),$W$993,HLOOKUP(INDIRECT(ADDRESS(2,COLUMN())),OFFSET($BN$2,0,0,ROW()-1,60),ROW()-1,FALSE))</f>
        <v>630.72556959999997</v>
      </c>
      <c r="X327">
        <f ca="1">IF(AND(ISNUMBER($X$993),$B$677=1),$X$993,HLOOKUP(INDIRECT(ADDRESS(2,COLUMN())),OFFSET($BN$2,0,0,ROW()-1,60),ROW()-1,FALSE))</f>
        <v>399.01210900000001</v>
      </c>
      <c r="Y327">
        <f ca="1">IF(AND(ISNUMBER($Y$993),$B$677=1),$Y$993,HLOOKUP(INDIRECT(ADDRESS(2,COLUMN())),OFFSET($BN$2,0,0,ROW()-1,60),ROW()-1,FALSE))</f>
        <v>613.42717470000002</v>
      </c>
      <c r="Z327">
        <f ca="1">IF(AND(ISNUMBER($Z$993),$B$677=1),$Z$993,HLOOKUP(INDIRECT(ADDRESS(2,COLUMN())),OFFSET($BN$2,0,0,ROW()-1,60),ROW()-1,FALSE))</f>
        <v>501.21510480000001</v>
      </c>
      <c r="AA327">
        <f ca="1">IF(AND(ISNUMBER($AA$993),$B$677=1),$AA$993,HLOOKUP(INDIRECT(ADDRESS(2,COLUMN())),OFFSET($BN$2,0,0,ROW()-1,60),ROW()-1,FALSE))</f>
        <v>291.73892310000002</v>
      </c>
      <c r="AB327" t="str">
        <f ca="1">IF(AND(ISNUMBER($AB$993),$B$677=1),$AB$993,HLOOKUP(INDIRECT(ADDRESS(2,COLUMN())),OFFSET($BN$2,0,0,ROW()-1,60),ROW()-1,FALSE))</f>
        <v/>
      </c>
      <c r="AC327" t="str">
        <f ca="1">IF(AND(ISNUMBER($AC$993),$B$677=1),$AC$993,HLOOKUP(INDIRECT(ADDRESS(2,COLUMN())),OFFSET($BN$2,0,0,ROW()-1,60),ROW()-1,FALSE))</f>
        <v/>
      </c>
      <c r="AD327" t="str">
        <f ca="1">IF(AND(ISNUMBER($AD$993),$B$677=1),$AD$993,HLOOKUP(INDIRECT(ADDRESS(2,COLUMN())),OFFSET($BN$2,0,0,ROW()-1,60),ROW()-1,FALSE))</f>
        <v/>
      </c>
      <c r="AE327" t="str">
        <f ca="1">IF(AND(ISNUMBER($AE$993),$B$677=1),$AE$993,HLOOKUP(INDIRECT(ADDRESS(2,COLUMN())),OFFSET($BN$2,0,0,ROW()-1,60),ROW()-1,FALSE))</f>
        <v/>
      </c>
      <c r="AF327" t="str">
        <f ca="1">IF(AND(ISNUMBER($AF$993),$B$677=1),$AF$993,HLOOKUP(INDIRECT(ADDRESS(2,COLUMN())),OFFSET($BN$2,0,0,ROW()-1,60),ROW()-1,FALSE))</f>
        <v/>
      </c>
      <c r="AG327" t="str">
        <f ca="1">IF(AND(ISNUMBER($AG$993),$B$677=1),$AG$993,HLOOKUP(INDIRECT(ADDRESS(2,COLUMN())),OFFSET($BN$2,0,0,ROW()-1,60),ROW()-1,FALSE))</f>
        <v/>
      </c>
      <c r="AH327" t="str">
        <f ca="1">IF(AND(ISNUMBER($AH$993),$B$677=1),$AH$993,HLOOKUP(INDIRECT(ADDRESS(2,COLUMN())),OFFSET($BN$2,0,0,ROW()-1,60),ROW()-1,FALSE))</f>
        <v/>
      </c>
      <c r="AI327" t="str">
        <f ca="1">IF(AND(ISNUMBER($AI$993),$B$677=1),$AI$993,HLOOKUP(INDIRECT(ADDRESS(2,COLUMN())),OFFSET($BN$2,0,0,ROW()-1,60),ROW()-1,FALSE))</f>
        <v/>
      </c>
      <c r="AJ327" t="str">
        <f ca="1">IF(AND(ISNUMBER($AJ$993),$B$677=1),$AJ$993,HLOOKUP(INDIRECT(ADDRESS(2,COLUMN())),OFFSET($BN$2,0,0,ROW()-1,60),ROW()-1,FALSE))</f>
        <v/>
      </c>
      <c r="AK327" t="str">
        <f ca="1">IF(AND(ISNUMBER($AK$993),$B$677=1),$AK$993,HLOOKUP(INDIRECT(ADDRESS(2,COLUMN())),OFFSET($BN$2,0,0,ROW()-1,60),ROW()-1,FALSE))</f>
        <v/>
      </c>
      <c r="AL327" t="str">
        <f ca="1">IF(AND(ISNUMBER($AL$993),$B$677=1),$AL$993,HLOOKUP(INDIRECT(ADDRESS(2,COLUMN())),OFFSET($BN$2,0,0,ROW()-1,60),ROW()-1,FALSE))</f>
        <v/>
      </c>
      <c r="AM327" t="str">
        <f ca="1">IF(AND(ISNUMBER($AM$993),$B$677=1),$AM$993,HLOOKUP(INDIRECT(ADDRESS(2,COLUMN())),OFFSET($BN$2,0,0,ROW()-1,60),ROW()-1,FALSE))</f>
        <v/>
      </c>
      <c r="AN327" t="str">
        <f ca="1">IF(AND(ISNUMBER($AN$993),$B$677=1),$AN$993,HLOOKUP(INDIRECT(ADDRESS(2,COLUMN())),OFFSET($BN$2,0,0,ROW()-1,60),ROW()-1,FALSE))</f>
        <v/>
      </c>
      <c r="AO327" t="str">
        <f ca="1">IF(AND(ISNUMBER($AO$993),$B$677=1),$AO$993,HLOOKUP(INDIRECT(ADDRESS(2,COLUMN())),OFFSET($BN$2,0,0,ROW()-1,60),ROW()-1,FALSE))</f>
        <v/>
      </c>
      <c r="AP327" t="str">
        <f ca="1">IF(AND(ISNUMBER($AP$993),$B$677=1),$AP$993,HLOOKUP(INDIRECT(ADDRESS(2,COLUMN())),OFFSET($BN$2,0,0,ROW()-1,60),ROW()-1,FALSE))</f>
        <v/>
      </c>
      <c r="AQ327" t="str">
        <f ca="1">IF(AND(ISNUMBER($AQ$993),$B$677=1),$AQ$993,HLOOKUP(INDIRECT(ADDRESS(2,COLUMN())),OFFSET($BN$2,0,0,ROW()-1,60),ROW()-1,FALSE))</f>
        <v/>
      </c>
      <c r="AR327" t="str">
        <f ca="1">IF(AND(ISNUMBER($AR$993),$B$677=1),$AR$993,HLOOKUP(INDIRECT(ADDRESS(2,COLUMN())),OFFSET($BN$2,0,0,ROW()-1,60),ROW()-1,FALSE))</f>
        <v/>
      </c>
      <c r="AS327" t="str">
        <f ca="1">IF(AND(ISNUMBER($AS$993),$B$677=1),$AS$993,HLOOKUP(INDIRECT(ADDRESS(2,COLUMN())),OFFSET($BN$2,0,0,ROW()-1,60),ROW()-1,FALSE))</f>
        <v/>
      </c>
      <c r="AT327" t="str">
        <f ca="1">IF(AND(ISNUMBER($AT$993),$B$677=1),$AT$993,HLOOKUP(INDIRECT(ADDRESS(2,COLUMN())),OFFSET($BN$2,0,0,ROW()-1,60),ROW()-1,FALSE))</f>
        <v/>
      </c>
      <c r="AU327" t="str">
        <f ca="1">IF(AND(ISNUMBER($AU$993),$B$677=1),$AU$993,HLOOKUP(INDIRECT(ADDRESS(2,COLUMN())),OFFSET($BN$2,0,0,ROW()-1,60),ROW()-1,FALSE))</f>
        <v/>
      </c>
      <c r="AV327" t="str">
        <f ca="1">IF(AND(ISNUMBER($AV$993),$B$677=1),$AV$993,HLOOKUP(INDIRECT(ADDRESS(2,COLUMN())),OFFSET($BN$2,0,0,ROW()-1,60),ROW()-1,FALSE))</f>
        <v/>
      </c>
      <c r="AW327" t="str">
        <f ca="1">IF(AND(ISNUMBER($AW$993),$B$677=1),$AW$993,HLOOKUP(INDIRECT(ADDRESS(2,COLUMN())),OFFSET($BN$2,0,0,ROW()-1,60),ROW()-1,FALSE))</f>
        <v/>
      </c>
      <c r="AX327" t="str">
        <f ca="1">IF(AND(ISNUMBER($AX$993),$B$677=1),$AX$993,HLOOKUP(INDIRECT(ADDRESS(2,COLUMN())),OFFSET($BN$2,0,0,ROW()-1,60),ROW()-1,FALSE))</f>
        <v/>
      </c>
      <c r="AY327" t="str">
        <f ca="1">IF(AND(ISNUMBER($AY$993),$B$677=1),$AY$993,HLOOKUP(INDIRECT(ADDRESS(2,COLUMN())),OFFSET($BN$2,0,0,ROW()-1,60),ROW()-1,FALSE))</f>
        <v/>
      </c>
      <c r="AZ327" t="str">
        <f ca="1">IF(AND(ISNUMBER($AZ$993),$B$677=1),$AZ$993,HLOOKUP(INDIRECT(ADDRESS(2,COLUMN())),OFFSET($BN$2,0,0,ROW()-1,60),ROW()-1,FALSE))</f>
        <v/>
      </c>
      <c r="BA327" t="str">
        <f ca="1">IF(AND(ISNUMBER($BA$993),$B$677=1),$BA$993,HLOOKUP(INDIRECT(ADDRESS(2,COLUMN())),OFFSET($BN$2,0,0,ROW()-1,60),ROW()-1,FALSE))</f>
        <v/>
      </c>
      <c r="BB327" t="str">
        <f ca="1">IF(AND(ISNUMBER($BB$993),$B$677=1),$BB$993,HLOOKUP(INDIRECT(ADDRESS(2,COLUMN())),OFFSET($BN$2,0,0,ROW()-1,60),ROW()-1,FALSE))</f>
        <v/>
      </c>
      <c r="BC327" t="str">
        <f ca="1">IF(AND(ISNUMBER($BC$993),$B$677=1),$BC$993,HLOOKUP(INDIRECT(ADDRESS(2,COLUMN())),OFFSET($BN$2,0,0,ROW()-1,60),ROW()-1,FALSE))</f>
        <v/>
      </c>
      <c r="BD327" t="str">
        <f ca="1">IF(AND(ISNUMBER($BD$993),$B$677=1),$BD$993,HLOOKUP(INDIRECT(ADDRESS(2,COLUMN())),OFFSET($BN$2,0,0,ROW()-1,60),ROW()-1,FALSE))</f>
        <v/>
      </c>
      <c r="BE327" t="str">
        <f ca="1">IF(AND(ISNUMBER($BE$993),$B$677=1),$BE$993,HLOOKUP(INDIRECT(ADDRESS(2,COLUMN())),OFFSET($BN$2,0,0,ROW()-1,60),ROW()-1,FALSE))</f>
        <v/>
      </c>
      <c r="BF327" t="str">
        <f ca="1">IF(AND(ISNUMBER($BF$993),$B$677=1),$BF$993,HLOOKUP(INDIRECT(ADDRESS(2,COLUMN())),OFFSET($BN$2,0,0,ROW()-1,60),ROW()-1,FALSE))</f>
        <v/>
      </c>
      <c r="BG327" t="str">
        <f ca="1">IF(AND(ISNUMBER($BG$993),$B$677=1),$BG$993,HLOOKUP(INDIRECT(ADDRESS(2,COLUMN())),OFFSET($BN$2,0,0,ROW()-1,60),ROW()-1,FALSE))</f>
        <v/>
      </c>
      <c r="BH327" t="str">
        <f ca="1">IF(AND(ISNUMBER($BH$993),$B$677=1),$BH$993,HLOOKUP(INDIRECT(ADDRESS(2,COLUMN())),OFFSET($BN$2,0,0,ROW()-1,60),ROW()-1,FALSE))</f>
        <v/>
      </c>
      <c r="BI327" t="str">
        <f ca="1">IF(AND(ISNUMBER($BI$993),$B$677=1),$BI$993,HLOOKUP(INDIRECT(ADDRESS(2,COLUMN())),OFFSET($BN$2,0,0,ROW()-1,60),ROW()-1,FALSE))</f>
        <v/>
      </c>
      <c r="BJ327" t="str">
        <f ca="1">IF(AND(ISNUMBER($BJ$993),$B$677=1),$BJ$993,HLOOKUP(INDIRECT(ADDRESS(2,COLUMN())),OFFSET($BN$2,0,0,ROW()-1,60),ROW()-1,FALSE))</f>
        <v/>
      </c>
      <c r="BK327" t="str">
        <f ca="1">IF(AND(ISNUMBER($BK$993),$B$677=1),$BK$993,HLOOKUP(INDIRECT(ADDRESS(2,COLUMN())),OFFSET($BN$2,0,0,ROW()-1,60),ROW()-1,FALSE))</f>
        <v/>
      </c>
      <c r="BL327" t="str">
        <f ca="1">IF(AND(ISNUMBER($BL$993),$B$677=1),$BL$993,HLOOKUP(INDIRECT(ADDRESS(2,COLUMN())),OFFSET($BN$2,0,0,ROW()-1,60),ROW()-1,FALSE))</f>
        <v/>
      </c>
      <c r="BM327" t="str">
        <f ca="1">IF(AND(ISNUMBER($BM$993),$B$677=1),$BM$993,HLOOKUP(INDIRECT(ADDRESS(2,COLUMN())),OFFSET($BN$2,0,0,ROW()-1,60),ROW()-1,FALSE))</f>
        <v/>
      </c>
      <c r="BN327" t="str">
        <f>""</f>
        <v/>
      </c>
      <c r="BO327">
        <f>44.36180616</f>
        <v>44.36180616</v>
      </c>
      <c r="BP327">
        <f>117.2261052</f>
        <v>117.22610520000001</v>
      </c>
      <c r="BQ327" t="str">
        <f>""</f>
        <v/>
      </c>
      <c r="BR327" t="str">
        <f>""</f>
        <v/>
      </c>
      <c r="BS327">
        <f>15521.28669</f>
        <v>15521.286690000001</v>
      </c>
      <c r="BT327">
        <f>338.1288874</f>
        <v>338.1288874</v>
      </c>
      <c r="BU327">
        <f>95.35910384</f>
        <v>95.359103840000003</v>
      </c>
      <c r="BV327">
        <f>103.6364502</f>
        <v>103.6364502</v>
      </c>
      <c r="BW327">
        <f>139.8972512</f>
        <v>139.8972512</v>
      </c>
      <c r="BX327">
        <f>293.356481</f>
        <v>293.35648099999997</v>
      </c>
      <c r="BY327" t="str">
        <f>""</f>
        <v/>
      </c>
      <c r="BZ327" t="str">
        <f>""</f>
        <v/>
      </c>
      <c r="CA327" t="str">
        <f>""</f>
        <v/>
      </c>
      <c r="CB327" t="str">
        <f>""</f>
        <v/>
      </c>
      <c r="CC327" t="str">
        <f>""</f>
        <v/>
      </c>
      <c r="CD327">
        <f>1268.479012</f>
        <v>1268.479012</v>
      </c>
      <c r="CE327">
        <f>630.7255696</f>
        <v>630.72556959999997</v>
      </c>
      <c r="CF327">
        <f>399.012109</f>
        <v>399.01210900000001</v>
      </c>
      <c r="CG327">
        <f>613.4271747</f>
        <v>613.42717470000002</v>
      </c>
      <c r="CH327">
        <f>501.2151048</f>
        <v>501.21510480000001</v>
      </c>
      <c r="CI327">
        <f>291.7389231</f>
        <v>291.73892310000002</v>
      </c>
      <c r="CJ327" t="str">
        <f>""</f>
        <v/>
      </c>
      <c r="CK327" t="str">
        <f>""</f>
        <v/>
      </c>
      <c r="CL327" t="str">
        <f>""</f>
        <v/>
      </c>
      <c r="CM327" t="str">
        <f>""</f>
        <v/>
      </c>
      <c r="CN327" t="str">
        <f>""</f>
        <v/>
      </c>
      <c r="CO327" t="str">
        <f>""</f>
        <v/>
      </c>
      <c r="CP327" t="str">
        <f>""</f>
        <v/>
      </c>
      <c r="CQ327" t="str">
        <f>""</f>
        <v/>
      </c>
      <c r="CR327" t="str">
        <f>""</f>
        <v/>
      </c>
      <c r="CS327" t="str">
        <f>""</f>
        <v/>
      </c>
      <c r="CT327" t="str">
        <f>""</f>
        <v/>
      </c>
      <c r="CU327" t="str">
        <f>""</f>
        <v/>
      </c>
      <c r="CV327" t="str">
        <f>""</f>
        <v/>
      </c>
      <c r="CW327" t="str">
        <f>""</f>
        <v/>
      </c>
      <c r="CX327" t="str">
        <f>""</f>
        <v/>
      </c>
      <c r="CY327" t="str">
        <f>""</f>
        <v/>
      </c>
      <c r="CZ327" t="str">
        <f>""</f>
        <v/>
      </c>
      <c r="DA327" t="str">
        <f>""</f>
        <v/>
      </c>
      <c r="DB327" t="str">
        <f>""</f>
        <v/>
      </c>
      <c r="DC327" t="str">
        <f>""</f>
        <v/>
      </c>
      <c r="DD327" t="str">
        <f>""</f>
        <v/>
      </c>
      <c r="DE327" t="str">
        <f>""</f>
        <v/>
      </c>
      <c r="DF327" t="str">
        <f>""</f>
        <v/>
      </c>
      <c r="DG327" t="str">
        <f>""</f>
        <v/>
      </c>
      <c r="DH327" t="str">
        <f>""</f>
        <v/>
      </c>
      <c r="DI327" t="str">
        <f>""</f>
        <v/>
      </c>
      <c r="DJ327" t="str">
        <f>""</f>
        <v/>
      </c>
      <c r="DK327" t="str">
        <f>""</f>
        <v/>
      </c>
      <c r="DL327" t="str">
        <f>""</f>
        <v/>
      </c>
      <c r="DM327" t="str">
        <f>""</f>
        <v/>
      </c>
      <c r="DN327" t="str">
        <f>""</f>
        <v/>
      </c>
      <c r="DO327" t="str">
        <f>""</f>
        <v/>
      </c>
      <c r="DP327" t="str">
        <f>""</f>
        <v/>
      </c>
      <c r="DQ327" t="str">
        <f>""</f>
        <v/>
      </c>
      <c r="DR327" t="str">
        <f>""</f>
        <v/>
      </c>
      <c r="DS327" t="str">
        <f>""</f>
        <v/>
      </c>
      <c r="DT327" t="str">
        <f>""</f>
        <v/>
      </c>
      <c r="DU327" t="str">
        <f>""</f>
        <v/>
      </c>
    </row>
    <row r="328" spans="1:125" x14ac:dyDescent="0.25">
      <c r="A328" t="str">
        <f>"    Tianjin Faw Xiali Automobile Co Ltd"</f>
        <v xml:space="preserve">    Tianjin Faw Xiali Automobile Co Ltd</v>
      </c>
      <c r="B328" t="str">
        <f>"000927 CH Equity"</f>
        <v>000927 CH Equity</v>
      </c>
      <c r="C328" t="str">
        <f t="shared" si="21"/>
        <v>RR474</v>
      </c>
      <c r="D328" t="str">
        <f t="shared" si="22"/>
        <v>EV_TO_T12M_EBITDA</v>
      </c>
      <c r="E328" t="str">
        <f t="shared" si="23"/>
        <v>Dynamic</v>
      </c>
      <c r="F328" t="str">
        <f ca="1">IF(AND(ISNUMBER($F$994),$B$677=1),$F$994,HLOOKUP(INDIRECT(ADDRESS(2,COLUMN())),OFFSET($BN$2,0,0,ROW()-1,60),ROW()-1,FALSE))</f>
        <v/>
      </c>
      <c r="G328" t="str">
        <f ca="1">IF(AND(ISNUMBER($G$994),$B$677=1),$G$994,HLOOKUP(INDIRECT(ADDRESS(2,COLUMN())),OFFSET($BN$2,0,0,ROW()-1,60),ROW()-1,FALSE))</f>
        <v/>
      </c>
      <c r="H328" t="str">
        <f ca="1">IF(AND(ISNUMBER($H$994),$B$677=1),$H$994,HLOOKUP(INDIRECT(ADDRESS(2,COLUMN())),OFFSET($BN$2,0,0,ROW()-1,60),ROW()-1,FALSE))</f>
        <v/>
      </c>
      <c r="I328" t="str">
        <f ca="1">IF(AND(ISNUMBER($I$994),$B$677=1),$I$994,HLOOKUP(INDIRECT(ADDRESS(2,COLUMN())),OFFSET($BN$2,0,0,ROW()-1,60),ROW()-1,FALSE))</f>
        <v/>
      </c>
      <c r="J328" t="str">
        <f ca="1">IF(AND(ISNUMBER($J$994),$B$677=1),$J$994,HLOOKUP(INDIRECT(ADDRESS(2,COLUMN())),OFFSET($BN$2,0,0,ROW()-1,60),ROW()-1,FALSE))</f>
        <v/>
      </c>
      <c r="K328" t="str">
        <f ca="1">IF(AND(ISNUMBER($K$994),$B$677=1),$K$994,HLOOKUP(INDIRECT(ADDRESS(2,COLUMN())),OFFSET($BN$2,0,0,ROW()-1,60),ROW()-1,FALSE))</f>
        <v/>
      </c>
      <c r="L328" t="str">
        <f ca="1">IF(AND(ISNUMBER($L$994),$B$677=1),$L$994,HLOOKUP(INDIRECT(ADDRESS(2,COLUMN())),OFFSET($BN$2,0,0,ROW()-1,60),ROW()-1,FALSE))</f>
        <v/>
      </c>
      <c r="M328" t="str">
        <f ca="1">IF(AND(ISNUMBER($M$994),$B$677=1),$M$994,HLOOKUP(INDIRECT(ADDRESS(2,COLUMN())),OFFSET($BN$2,0,0,ROW()-1,60),ROW()-1,FALSE))</f>
        <v/>
      </c>
      <c r="N328" t="str">
        <f ca="1">IF(AND(ISNUMBER($N$994),$B$677=1),$N$994,HLOOKUP(INDIRECT(ADDRESS(2,COLUMN())),OFFSET($BN$2,0,0,ROW()-1,60),ROW()-1,FALSE))</f>
        <v/>
      </c>
      <c r="O328" t="str">
        <f ca="1">IF(AND(ISNUMBER($O$994),$B$677=1),$O$994,HLOOKUP(INDIRECT(ADDRESS(2,COLUMN())),OFFSET($BN$2,0,0,ROW()-1,60),ROW()-1,FALSE))</f>
        <v/>
      </c>
      <c r="P328" t="str">
        <f ca="1">IF(AND(ISNUMBER($P$994),$B$677=1),$P$994,HLOOKUP(INDIRECT(ADDRESS(2,COLUMN())),OFFSET($BN$2,0,0,ROW()-1,60),ROW()-1,FALSE))</f>
        <v/>
      </c>
      <c r="Q328" t="str">
        <f ca="1">IF(AND(ISNUMBER($Q$994),$B$677=1),$Q$994,HLOOKUP(INDIRECT(ADDRESS(2,COLUMN())),OFFSET($BN$2,0,0,ROW()-1,60),ROW()-1,FALSE))</f>
        <v/>
      </c>
      <c r="R328" t="str">
        <f ca="1">IF(AND(ISNUMBER($R$994),$B$677=1),$R$994,HLOOKUP(INDIRECT(ADDRESS(2,COLUMN())),OFFSET($BN$2,0,0,ROW()-1,60),ROW()-1,FALSE))</f>
        <v/>
      </c>
      <c r="S328" t="str">
        <f ca="1">IF(AND(ISNUMBER($S$994),$B$677=1),$S$994,HLOOKUP(INDIRECT(ADDRESS(2,COLUMN())),OFFSET($BN$2,0,0,ROW()-1,60),ROW()-1,FALSE))</f>
        <v/>
      </c>
      <c r="T328" t="str">
        <f ca="1">IF(AND(ISNUMBER($T$994),$B$677=1),$T$994,HLOOKUP(INDIRECT(ADDRESS(2,COLUMN())),OFFSET($BN$2,0,0,ROW()-1,60),ROW()-1,FALSE))</f>
        <v/>
      </c>
      <c r="U328" t="str">
        <f ca="1">IF(AND(ISNUMBER($U$994),$B$677=1),$U$994,HLOOKUP(INDIRECT(ADDRESS(2,COLUMN())),OFFSET($BN$2,0,0,ROW()-1,60),ROW()-1,FALSE))</f>
        <v/>
      </c>
      <c r="V328" t="str">
        <f ca="1">IF(AND(ISNUMBER($V$994),$B$677=1),$V$994,HLOOKUP(INDIRECT(ADDRESS(2,COLUMN())),OFFSET($BN$2,0,0,ROW()-1,60),ROW()-1,FALSE))</f>
        <v/>
      </c>
      <c r="W328" t="str">
        <f ca="1">IF(AND(ISNUMBER($W$994),$B$677=1),$W$994,HLOOKUP(INDIRECT(ADDRESS(2,COLUMN())),OFFSET($BN$2,0,0,ROW()-1,60),ROW()-1,FALSE))</f>
        <v/>
      </c>
      <c r="X328" t="str">
        <f ca="1">IF(AND(ISNUMBER($X$994),$B$677=1),$X$994,HLOOKUP(INDIRECT(ADDRESS(2,COLUMN())),OFFSET($BN$2,0,0,ROW()-1,60),ROW()-1,FALSE))</f>
        <v/>
      </c>
      <c r="Y328" t="str">
        <f ca="1">IF(AND(ISNUMBER($Y$994),$B$677=1),$Y$994,HLOOKUP(INDIRECT(ADDRESS(2,COLUMN())),OFFSET($BN$2,0,0,ROW()-1,60),ROW()-1,FALSE))</f>
        <v/>
      </c>
      <c r="Z328" t="str">
        <f ca="1">IF(AND(ISNUMBER($Z$994),$B$677=1),$Z$994,HLOOKUP(INDIRECT(ADDRESS(2,COLUMN())),OFFSET($BN$2,0,0,ROW()-1,60),ROW()-1,FALSE))</f>
        <v/>
      </c>
      <c r="AA328" t="str">
        <f ca="1">IF(AND(ISNUMBER($AA$994),$B$677=1),$AA$994,HLOOKUP(INDIRECT(ADDRESS(2,COLUMN())),OFFSET($BN$2,0,0,ROW()-1,60),ROW()-1,FALSE))</f>
        <v/>
      </c>
      <c r="AB328" t="str">
        <f ca="1">IF(AND(ISNUMBER($AB$994),$B$677=1),$AB$994,HLOOKUP(INDIRECT(ADDRESS(2,COLUMN())),OFFSET($BN$2,0,0,ROW()-1,60),ROW()-1,FALSE))</f>
        <v/>
      </c>
      <c r="AC328" t="str">
        <f ca="1">IF(AND(ISNUMBER($AC$994),$B$677=1),$AC$994,HLOOKUP(INDIRECT(ADDRESS(2,COLUMN())),OFFSET($BN$2,0,0,ROW()-1,60),ROW()-1,FALSE))</f>
        <v/>
      </c>
      <c r="AD328" t="str">
        <f ca="1">IF(AND(ISNUMBER($AD$994),$B$677=1),$AD$994,HLOOKUP(INDIRECT(ADDRESS(2,COLUMN())),OFFSET($BN$2,0,0,ROW()-1,60),ROW()-1,FALSE))</f>
        <v/>
      </c>
      <c r="AE328" t="str">
        <f ca="1">IF(AND(ISNUMBER($AE$994),$B$677=1),$AE$994,HLOOKUP(INDIRECT(ADDRESS(2,COLUMN())),OFFSET($BN$2,0,0,ROW()-1,60),ROW()-1,FALSE))</f>
        <v/>
      </c>
      <c r="AF328" t="str">
        <f ca="1">IF(AND(ISNUMBER($AF$994),$B$677=1),$AF$994,HLOOKUP(INDIRECT(ADDRESS(2,COLUMN())),OFFSET($BN$2,0,0,ROW()-1,60),ROW()-1,FALSE))</f>
        <v/>
      </c>
      <c r="AG328" t="str">
        <f ca="1">IF(AND(ISNUMBER($AG$994),$B$677=1),$AG$994,HLOOKUP(INDIRECT(ADDRESS(2,COLUMN())),OFFSET($BN$2,0,0,ROW()-1,60),ROW()-1,FALSE))</f>
        <v/>
      </c>
      <c r="AH328" t="str">
        <f ca="1">IF(AND(ISNUMBER($AH$994),$B$677=1),$AH$994,HLOOKUP(INDIRECT(ADDRESS(2,COLUMN())),OFFSET($BN$2,0,0,ROW()-1,60),ROW()-1,FALSE))</f>
        <v/>
      </c>
      <c r="AI328" t="str">
        <f ca="1">IF(AND(ISNUMBER($AI$994),$B$677=1),$AI$994,HLOOKUP(INDIRECT(ADDRESS(2,COLUMN())),OFFSET($BN$2,0,0,ROW()-1,60),ROW()-1,FALSE))</f>
        <v/>
      </c>
      <c r="AJ328" t="str">
        <f ca="1">IF(AND(ISNUMBER($AJ$994),$B$677=1),$AJ$994,HLOOKUP(INDIRECT(ADDRESS(2,COLUMN())),OFFSET($BN$2,0,0,ROW()-1,60),ROW()-1,FALSE))</f>
        <v/>
      </c>
      <c r="AK328" t="str">
        <f ca="1">IF(AND(ISNUMBER($AK$994),$B$677=1),$AK$994,HLOOKUP(INDIRECT(ADDRESS(2,COLUMN())),OFFSET($BN$2,0,0,ROW()-1,60),ROW()-1,FALSE))</f>
        <v/>
      </c>
      <c r="AL328" t="str">
        <f ca="1">IF(AND(ISNUMBER($AL$994),$B$677=1),$AL$994,HLOOKUP(INDIRECT(ADDRESS(2,COLUMN())),OFFSET($BN$2,0,0,ROW()-1,60),ROW()-1,FALSE))</f>
        <v/>
      </c>
      <c r="AM328" t="str">
        <f ca="1">IF(AND(ISNUMBER($AM$994),$B$677=1),$AM$994,HLOOKUP(INDIRECT(ADDRESS(2,COLUMN())),OFFSET($BN$2,0,0,ROW()-1,60),ROW()-1,FALSE))</f>
        <v/>
      </c>
      <c r="AN328" t="str">
        <f ca="1">IF(AND(ISNUMBER($AN$994),$B$677=1),$AN$994,HLOOKUP(INDIRECT(ADDRESS(2,COLUMN())),OFFSET($BN$2,0,0,ROW()-1,60),ROW()-1,FALSE))</f>
        <v/>
      </c>
      <c r="AO328" t="str">
        <f ca="1">IF(AND(ISNUMBER($AO$994),$B$677=1),$AO$994,HLOOKUP(INDIRECT(ADDRESS(2,COLUMN())),OFFSET($BN$2,0,0,ROW()-1,60),ROW()-1,FALSE))</f>
        <v/>
      </c>
      <c r="AP328" t="str">
        <f ca="1">IF(AND(ISNUMBER($AP$994),$B$677=1),$AP$994,HLOOKUP(INDIRECT(ADDRESS(2,COLUMN())),OFFSET($BN$2,0,0,ROW()-1,60),ROW()-1,FALSE))</f>
        <v/>
      </c>
      <c r="AQ328" t="str">
        <f ca="1">IF(AND(ISNUMBER($AQ$994),$B$677=1),$AQ$994,HLOOKUP(INDIRECT(ADDRESS(2,COLUMN())),OFFSET($BN$2,0,0,ROW()-1,60),ROW()-1,FALSE))</f>
        <v/>
      </c>
      <c r="AR328" t="str">
        <f ca="1">IF(AND(ISNUMBER($AR$994),$B$677=1),$AR$994,HLOOKUP(INDIRECT(ADDRESS(2,COLUMN())),OFFSET($BN$2,0,0,ROW()-1,60),ROW()-1,FALSE))</f>
        <v/>
      </c>
      <c r="AS328" t="str">
        <f ca="1">IF(AND(ISNUMBER($AS$994),$B$677=1),$AS$994,HLOOKUP(INDIRECT(ADDRESS(2,COLUMN())),OFFSET($BN$2,0,0,ROW()-1,60),ROW()-1,FALSE))</f>
        <v/>
      </c>
      <c r="AT328" t="str">
        <f ca="1">IF(AND(ISNUMBER($AT$994),$B$677=1),$AT$994,HLOOKUP(INDIRECT(ADDRESS(2,COLUMN())),OFFSET($BN$2,0,0,ROW()-1,60),ROW()-1,FALSE))</f>
        <v/>
      </c>
      <c r="AU328" t="str">
        <f ca="1">IF(AND(ISNUMBER($AU$994),$B$677=1),$AU$994,HLOOKUP(INDIRECT(ADDRESS(2,COLUMN())),OFFSET($BN$2,0,0,ROW()-1,60),ROW()-1,FALSE))</f>
        <v/>
      </c>
      <c r="AV328" t="str">
        <f ca="1">IF(AND(ISNUMBER($AV$994),$B$677=1),$AV$994,HLOOKUP(INDIRECT(ADDRESS(2,COLUMN())),OFFSET($BN$2,0,0,ROW()-1,60),ROW()-1,FALSE))</f>
        <v/>
      </c>
      <c r="AW328" t="str">
        <f ca="1">IF(AND(ISNUMBER($AW$994),$B$677=1),$AW$994,HLOOKUP(INDIRECT(ADDRESS(2,COLUMN())),OFFSET($BN$2,0,0,ROW()-1,60),ROW()-1,FALSE))</f>
        <v/>
      </c>
      <c r="AX328" t="str">
        <f ca="1">IF(AND(ISNUMBER($AX$994),$B$677=1),$AX$994,HLOOKUP(INDIRECT(ADDRESS(2,COLUMN())),OFFSET($BN$2,0,0,ROW()-1,60),ROW()-1,FALSE))</f>
        <v/>
      </c>
      <c r="AY328" t="str">
        <f ca="1">IF(AND(ISNUMBER($AY$994),$B$677=1),$AY$994,HLOOKUP(INDIRECT(ADDRESS(2,COLUMN())),OFFSET($BN$2,0,0,ROW()-1,60),ROW()-1,FALSE))</f>
        <v/>
      </c>
      <c r="AZ328" t="str">
        <f ca="1">IF(AND(ISNUMBER($AZ$994),$B$677=1),$AZ$994,HLOOKUP(INDIRECT(ADDRESS(2,COLUMN())),OFFSET($BN$2,0,0,ROW()-1,60),ROW()-1,FALSE))</f>
        <v/>
      </c>
      <c r="BA328" t="str">
        <f ca="1">IF(AND(ISNUMBER($BA$994),$B$677=1),$BA$994,HLOOKUP(INDIRECT(ADDRESS(2,COLUMN())),OFFSET($BN$2,0,0,ROW()-1,60),ROW()-1,FALSE))</f>
        <v/>
      </c>
      <c r="BB328" t="str">
        <f ca="1">IF(AND(ISNUMBER($BB$994),$B$677=1),$BB$994,HLOOKUP(INDIRECT(ADDRESS(2,COLUMN())),OFFSET($BN$2,0,0,ROW()-1,60),ROW()-1,FALSE))</f>
        <v/>
      </c>
      <c r="BC328" t="str">
        <f ca="1">IF(AND(ISNUMBER($BC$994),$B$677=1),$BC$994,HLOOKUP(INDIRECT(ADDRESS(2,COLUMN())),OFFSET($BN$2,0,0,ROW()-1,60),ROW()-1,FALSE))</f>
        <v/>
      </c>
      <c r="BD328" t="str">
        <f ca="1">IF(AND(ISNUMBER($BD$994),$B$677=1),$BD$994,HLOOKUP(INDIRECT(ADDRESS(2,COLUMN())),OFFSET($BN$2,0,0,ROW()-1,60),ROW()-1,FALSE))</f>
        <v/>
      </c>
      <c r="BE328" t="str">
        <f ca="1">IF(AND(ISNUMBER($BE$994),$B$677=1),$BE$994,HLOOKUP(INDIRECT(ADDRESS(2,COLUMN())),OFFSET($BN$2,0,0,ROW()-1,60),ROW()-1,FALSE))</f>
        <v/>
      </c>
      <c r="BF328" t="str">
        <f ca="1">IF(AND(ISNUMBER($BF$994),$B$677=1),$BF$994,HLOOKUP(INDIRECT(ADDRESS(2,COLUMN())),OFFSET($BN$2,0,0,ROW()-1,60),ROW()-1,FALSE))</f>
        <v/>
      </c>
      <c r="BG328">
        <f ca="1">IF(AND(ISNUMBER($BG$994),$B$677=1),$BG$994,HLOOKUP(INDIRECT(ADDRESS(2,COLUMN())),OFFSET($BN$2,0,0,ROW()-1,60),ROW()-1,FALSE))</f>
        <v>19.237508129999998</v>
      </c>
      <c r="BH328">
        <f ca="1">IF(AND(ISNUMBER($BH$994),$B$677=1),$BH$994,HLOOKUP(INDIRECT(ADDRESS(2,COLUMN())),OFFSET($BN$2,0,0,ROW()-1,60),ROW()-1,FALSE))</f>
        <v>19.456955109999999</v>
      </c>
      <c r="BI328">
        <f ca="1">IF(AND(ISNUMBER($BI$994),$B$677=1),$BI$994,HLOOKUP(INDIRECT(ADDRESS(2,COLUMN())),OFFSET($BN$2,0,0,ROW()-1,60),ROW()-1,FALSE))</f>
        <v>21.870207430000001</v>
      </c>
      <c r="BJ328">
        <f ca="1">IF(AND(ISNUMBER($BJ$994),$B$677=1),$BJ$994,HLOOKUP(INDIRECT(ADDRESS(2,COLUMN())),OFFSET($BN$2,0,0,ROW()-1,60),ROW()-1,FALSE))</f>
        <v>23.055213200000001</v>
      </c>
      <c r="BK328">
        <f ca="1">IF(AND(ISNUMBER($BK$994),$B$677=1),$BK$994,HLOOKUP(INDIRECT(ADDRESS(2,COLUMN())),OFFSET($BN$2,0,0,ROW()-1,60),ROW()-1,FALSE))</f>
        <v>28.36024102</v>
      </c>
      <c r="BL328">
        <f ca="1">IF(AND(ISNUMBER($BL$994),$B$677=1),$BL$994,HLOOKUP(INDIRECT(ADDRESS(2,COLUMN())),OFFSET($BN$2,0,0,ROW()-1,60),ROW()-1,FALSE))</f>
        <v>64.399300449999998</v>
      </c>
      <c r="BM328">
        <f ca="1">IF(AND(ISNUMBER($BM$994),$B$677=1),$BM$994,HLOOKUP(INDIRECT(ADDRESS(2,COLUMN())),OFFSET($BN$2,0,0,ROW()-1,60),ROW()-1,FALSE))</f>
        <v>55.769345420000001</v>
      </c>
      <c r="BN328" t="str">
        <f>""</f>
        <v/>
      </c>
      <c r="BO328" t="str">
        <f>""</f>
        <v/>
      </c>
      <c r="BP328" t="str">
        <f>""</f>
        <v/>
      </c>
      <c r="BQ328" t="str">
        <f>""</f>
        <v/>
      </c>
      <c r="BR328" t="str">
        <f>""</f>
        <v/>
      </c>
      <c r="BS328" t="str">
        <f>""</f>
        <v/>
      </c>
      <c r="BT328" t="str">
        <f>""</f>
        <v/>
      </c>
      <c r="BU328" t="str">
        <f>""</f>
        <v/>
      </c>
      <c r="BV328" t="str">
        <f>""</f>
        <v/>
      </c>
      <c r="BW328" t="str">
        <f>""</f>
        <v/>
      </c>
      <c r="BX328" t="str">
        <f>""</f>
        <v/>
      </c>
      <c r="BY328" t="str">
        <f>""</f>
        <v/>
      </c>
      <c r="BZ328" t="str">
        <f>""</f>
        <v/>
      </c>
      <c r="CA328" t="str">
        <f>""</f>
        <v/>
      </c>
      <c r="CB328" t="str">
        <f>""</f>
        <v/>
      </c>
      <c r="CC328" t="str">
        <f>""</f>
        <v/>
      </c>
      <c r="CD328" t="str">
        <f>""</f>
        <v/>
      </c>
      <c r="CE328" t="str">
        <f>""</f>
        <v/>
      </c>
      <c r="CF328" t="str">
        <f>""</f>
        <v/>
      </c>
      <c r="CG328" t="str">
        <f>""</f>
        <v/>
      </c>
      <c r="CH328" t="str">
        <f>""</f>
        <v/>
      </c>
      <c r="CI328" t="str">
        <f>""</f>
        <v/>
      </c>
      <c r="CJ328" t="str">
        <f>""</f>
        <v/>
      </c>
      <c r="CK328" t="str">
        <f>""</f>
        <v/>
      </c>
      <c r="CL328" t="str">
        <f>""</f>
        <v/>
      </c>
      <c r="CM328" t="str">
        <f>""</f>
        <v/>
      </c>
      <c r="CN328" t="str">
        <f>""</f>
        <v/>
      </c>
      <c r="CO328" t="str">
        <f>""</f>
        <v/>
      </c>
      <c r="CP328" t="str">
        <f>""</f>
        <v/>
      </c>
      <c r="CQ328" t="str">
        <f>""</f>
        <v/>
      </c>
      <c r="CR328" t="str">
        <f>""</f>
        <v/>
      </c>
      <c r="CS328" t="str">
        <f>""</f>
        <v/>
      </c>
      <c r="CT328" t="str">
        <f>""</f>
        <v/>
      </c>
      <c r="CU328" t="str">
        <f>""</f>
        <v/>
      </c>
      <c r="CV328" t="str">
        <f>""</f>
        <v/>
      </c>
      <c r="CW328" t="str">
        <f>""</f>
        <v/>
      </c>
      <c r="CX328" t="str">
        <f>""</f>
        <v/>
      </c>
      <c r="CY328" t="str">
        <f>""</f>
        <v/>
      </c>
      <c r="CZ328" t="str">
        <f>""</f>
        <v/>
      </c>
      <c r="DA328" t="str">
        <f>""</f>
        <v/>
      </c>
      <c r="DB328" t="str">
        <f>""</f>
        <v/>
      </c>
      <c r="DC328" t="str">
        <f>""</f>
        <v/>
      </c>
      <c r="DD328" t="str">
        <f>""</f>
        <v/>
      </c>
      <c r="DE328" t="str">
        <f>""</f>
        <v/>
      </c>
      <c r="DF328" t="str">
        <f>""</f>
        <v/>
      </c>
      <c r="DG328" t="str">
        <f>""</f>
        <v/>
      </c>
      <c r="DH328" t="str">
        <f>""</f>
        <v/>
      </c>
      <c r="DI328" t="str">
        <f>""</f>
        <v/>
      </c>
      <c r="DJ328" t="str">
        <f>""</f>
        <v/>
      </c>
      <c r="DK328" t="str">
        <f>""</f>
        <v/>
      </c>
      <c r="DL328" t="str">
        <f>""</f>
        <v/>
      </c>
      <c r="DM328" t="str">
        <f>""</f>
        <v/>
      </c>
      <c r="DN328" t="str">
        <f>""</f>
        <v/>
      </c>
      <c r="DO328">
        <f>19.23750813</f>
        <v>19.237508129999998</v>
      </c>
      <c r="DP328">
        <f>19.45695511</f>
        <v>19.456955109999999</v>
      </c>
      <c r="DQ328">
        <f>21.87020743</f>
        <v>21.870207430000001</v>
      </c>
      <c r="DR328">
        <f>23.0552132</f>
        <v>23.055213200000001</v>
      </c>
      <c r="DS328">
        <f>28.36024102</f>
        <v>28.36024102</v>
      </c>
      <c r="DT328">
        <f>64.39930045</f>
        <v>64.399300449999998</v>
      </c>
      <c r="DU328">
        <f>55.76934542</f>
        <v>55.769345420000001</v>
      </c>
    </row>
    <row r="329" spans="1:125" x14ac:dyDescent="0.25">
      <c r="A329" t="str">
        <f>"    Tofas Turk Otomobil Fabrikasi AS"</f>
        <v xml:space="preserve">    Tofas Turk Otomobil Fabrikasi AS</v>
      </c>
      <c r="B329" t="str">
        <f>"TOASOTRY EO Equity"</f>
        <v>TOASOTRY EO Equity</v>
      </c>
      <c r="C329" t="str">
        <f t="shared" si="21"/>
        <v>RR474</v>
      </c>
      <c r="D329" t="str">
        <f t="shared" si="22"/>
        <v>EV_TO_T12M_EBITDA</v>
      </c>
      <c r="E329" t="str">
        <f t="shared" si="23"/>
        <v>Dynamic</v>
      </c>
      <c r="F329" t="str">
        <f ca="1">IF(AND(ISNUMBER($F$995),$B$677=1),$F$995,HLOOKUP(INDIRECT(ADDRESS(2,COLUMN())),OFFSET($BN$2,0,0,ROW()-1,60),ROW()-1,FALSE))</f>
        <v/>
      </c>
      <c r="G329">
        <f ca="1">IF(AND(ISNUMBER($G$995),$B$677=1),$G$995,HLOOKUP(INDIRECT(ADDRESS(2,COLUMN())),OFFSET($BN$2,0,0,ROW()-1,60),ROW()-1,FALSE))</f>
        <v>4.5591599629999999</v>
      </c>
      <c r="H329">
        <f ca="1">IF(AND(ISNUMBER($H$995),$B$677=1),$H$995,HLOOKUP(INDIRECT(ADDRESS(2,COLUMN())),OFFSET($BN$2,0,0,ROW()-1,60),ROW()-1,FALSE))</f>
        <v>12.85255145</v>
      </c>
      <c r="I329">
        <f ca="1">IF(AND(ISNUMBER($I$995),$B$677=1),$I$995,HLOOKUP(INDIRECT(ADDRESS(2,COLUMN())),OFFSET($BN$2,0,0,ROW()-1,60),ROW()-1,FALSE))</f>
        <v>16.905908010000001</v>
      </c>
      <c r="J329" t="str">
        <f ca="1">IF(AND(ISNUMBER($J$995),$B$677=1),$J$995,HLOOKUP(INDIRECT(ADDRESS(2,COLUMN())),OFFSET($BN$2,0,0,ROW()-1,60),ROW()-1,FALSE))</f>
        <v/>
      </c>
      <c r="K329" t="str">
        <f ca="1">IF(AND(ISNUMBER($K$995),$B$677=1),$K$995,HLOOKUP(INDIRECT(ADDRESS(2,COLUMN())),OFFSET($BN$2,0,0,ROW()-1,60),ROW()-1,FALSE))</f>
        <v/>
      </c>
      <c r="L329">
        <f ca="1">IF(AND(ISNUMBER($L$995),$B$677=1),$L$995,HLOOKUP(INDIRECT(ADDRESS(2,COLUMN())),OFFSET($BN$2,0,0,ROW()-1,60),ROW()-1,FALSE))</f>
        <v>9.1455568819999993</v>
      </c>
      <c r="M329">
        <f ca="1">IF(AND(ISNUMBER($M$995),$B$677=1),$M$995,HLOOKUP(INDIRECT(ADDRESS(2,COLUMN())),OFFSET($BN$2,0,0,ROW()-1,60),ROW()-1,FALSE))</f>
        <v>9.3646021749999999</v>
      </c>
      <c r="N329">
        <f ca="1">IF(AND(ISNUMBER($N$995),$B$677=1),$N$995,HLOOKUP(INDIRECT(ADDRESS(2,COLUMN())),OFFSET($BN$2,0,0,ROW()-1,60),ROW()-1,FALSE))</f>
        <v>10.339100780000001</v>
      </c>
      <c r="O329">
        <f ca="1">IF(AND(ISNUMBER($O$995),$B$677=1),$O$995,HLOOKUP(INDIRECT(ADDRESS(2,COLUMN())),OFFSET($BN$2,0,0,ROW()-1,60),ROW()-1,FALSE))</f>
        <v>10.91287554</v>
      </c>
      <c r="P329">
        <f ca="1">IF(AND(ISNUMBER($P$995),$B$677=1),$P$995,HLOOKUP(INDIRECT(ADDRESS(2,COLUMN())),OFFSET($BN$2,0,0,ROW()-1,60),ROW()-1,FALSE))</f>
        <v>11.914191779999999</v>
      </c>
      <c r="Q329">
        <f ca="1">IF(AND(ISNUMBER($Q$995),$B$677=1),$Q$995,HLOOKUP(INDIRECT(ADDRESS(2,COLUMN())),OFFSET($BN$2,0,0,ROW()-1,60),ROW()-1,FALSE))</f>
        <v>12.985441639999999</v>
      </c>
      <c r="R329">
        <f ca="1">IF(AND(ISNUMBER($R$995),$B$677=1),$R$995,HLOOKUP(INDIRECT(ADDRESS(2,COLUMN())),OFFSET($BN$2,0,0,ROW()-1,60),ROW()-1,FALSE))</f>
        <v>12.8179406</v>
      </c>
      <c r="S329">
        <f ca="1">IF(AND(ISNUMBER($S$995),$B$677=1),$S$995,HLOOKUP(INDIRECT(ADDRESS(2,COLUMN())),OFFSET($BN$2,0,0,ROW()-1,60),ROW()-1,FALSE))</f>
        <v>10.70121644</v>
      </c>
      <c r="T329">
        <f ca="1">IF(AND(ISNUMBER($T$995),$B$677=1),$T$995,HLOOKUP(INDIRECT(ADDRESS(2,COLUMN())),OFFSET($BN$2,0,0,ROW()-1,60),ROW()-1,FALSE))</f>
        <v>10.930827900000001</v>
      </c>
      <c r="U329">
        <f ca="1">IF(AND(ISNUMBER($U$995),$B$677=1),$U$995,HLOOKUP(INDIRECT(ADDRESS(2,COLUMN())),OFFSET($BN$2,0,0,ROW()-1,60),ROW()-1,FALSE))</f>
        <v>11.89255927</v>
      </c>
      <c r="V329">
        <f ca="1">IF(AND(ISNUMBER($V$995),$B$677=1),$V$995,HLOOKUP(INDIRECT(ADDRESS(2,COLUMN())),OFFSET($BN$2,0,0,ROW()-1,60),ROW()-1,FALSE))</f>
        <v>10.82814731</v>
      </c>
      <c r="W329">
        <f ca="1">IF(AND(ISNUMBER($W$995),$B$677=1),$W$995,HLOOKUP(INDIRECT(ADDRESS(2,COLUMN())),OFFSET($BN$2,0,0,ROW()-1,60),ROW()-1,FALSE))</f>
        <v>10.766241819999999</v>
      </c>
      <c r="X329">
        <f ca="1">IF(AND(ISNUMBER($X$995),$B$677=1),$X$995,HLOOKUP(INDIRECT(ADDRESS(2,COLUMN())),OFFSET($BN$2,0,0,ROW()-1,60),ROW()-1,FALSE))</f>
        <v>8.1390130719999991</v>
      </c>
      <c r="Y329">
        <f ca="1">IF(AND(ISNUMBER($Y$995),$B$677=1),$Y$995,HLOOKUP(INDIRECT(ADDRESS(2,COLUMN())),OFFSET($BN$2,0,0,ROW()-1,60),ROW()-1,FALSE))</f>
        <v>8.3066248839999997</v>
      </c>
      <c r="Z329">
        <f ca="1">IF(AND(ISNUMBER($Z$995),$B$677=1),$Z$995,HLOOKUP(INDIRECT(ADDRESS(2,COLUMN())),OFFSET($BN$2,0,0,ROW()-1,60),ROW()-1,FALSE))</f>
        <v>8.0933417290000005</v>
      </c>
      <c r="AA329">
        <f ca="1">IF(AND(ISNUMBER($AA$995),$B$677=1),$AA$995,HLOOKUP(INDIRECT(ADDRESS(2,COLUMN())),OFFSET($BN$2,0,0,ROW()-1,60),ROW()-1,FALSE))</f>
        <v>8.8359255409999999</v>
      </c>
      <c r="AB329">
        <f ca="1">IF(AND(ISNUMBER($AB$995),$B$677=1),$AB$995,HLOOKUP(INDIRECT(ADDRESS(2,COLUMN())),OFFSET($BN$2,0,0,ROW()-1,60),ROW()-1,FALSE))</f>
        <v>7.5756511260000003</v>
      </c>
      <c r="AC329">
        <f ca="1">IF(AND(ISNUMBER($AC$995),$B$677=1),$AC$995,HLOOKUP(INDIRECT(ADDRESS(2,COLUMN())),OFFSET($BN$2,0,0,ROW()-1,60),ROW()-1,FALSE))</f>
        <v>7.4909999760000003</v>
      </c>
      <c r="AD329">
        <f ca="1">IF(AND(ISNUMBER($AD$995),$B$677=1),$AD$995,HLOOKUP(INDIRECT(ADDRESS(2,COLUMN())),OFFSET($BN$2,0,0,ROW()-1,60),ROW()-1,FALSE))</f>
        <v>8.0303816609999998</v>
      </c>
      <c r="AE329">
        <f ca="1">IF(AND(ISNUMBER($AE$995),$B$677=1),$AE$995,HLOOKUP(INDIRECT(ADDRESS(2,COLUMN())),OFFSET($BN$2,0,0,ROW()-1,60),ROW()-1,FALSE))</f>
        <v>6.9491662920000001</v>
      </c>
      <c r="AF329">
        <f ca="1">IF(AND(ISNUMBER($AF$995),$B$677=1),$AF$995,HLOOKUP(INDIRECT(ADDRESS(2,COLUMN())),OFFSET($BN$2,0,0,ROW()-1,60),ROW()-1,FALSE))</f>
        <v>6.6771196489999998</v>
      </c>
      <c r="AG329">
        <f ca="1">IF(AND(ISNUMBER($AG$995),$B$677=1),$AG$995,HLOOKUP(INDIRECT(ADDRESS(2,COLUMN())),OFFSET($BN$2,0,0,ROW()-1,60),ROW()-1,FALSE))</f>
        <v>5.6239023350000004</v>
      </c>
      <c r="AH329">
        <f ca="1">IF(AND(ISNUMBER($AH$995),$B$677=1),$AH$995,HLOOKUP(INDIRECT(ADDRESS(2,COLUMN())),OFFSET($BN$2,0,0,ROW()-1,60),ROW()-1,FALSE))</f>
        <v>6.0107451660000004</v>
      </c>
      <c r="AI329">
        <f ca="1">IF(AND(ISNUMBER($AI$995),$B$677=1),$AI$995,HLOOKUP(INDIRECT(ADDRESS(2,COLUMN())),OFFSET($BN$2,0,0,ROW()-1,60),ROW()-1,FALSE))</f>
        <v>5.1994056940000002</v>
      </c>
      <c r="AJ329">
        <f ca="1">IF(AND(ISNUMBER($AJ$995),$B$677=1),$AJ$995,HLOOKUP(INDIRECT(ADDRESS(2,COLUMN())),OFFSET($BN$2,0,0,ROW()-1,60),ROW()-1,FALSE))</f>
        <v>5.6824758080000004</v>
      </c>
      <c r="AK329">
        <f ca="1">IF(AND(ISNUMBER($AK$995),$B$677=1),$AK$995,HLOOKUP(INDIRECT(ADDRESS(2,COLUMN())),OFFSET($BN$2,0,0,ROW()-1,60),ROW()-1,FALSE))</f>
        <v>6.3667193830000004</v>
      </c>
      <c r="AL329">
        <f ca="1">IF(AND(ISNUMBER($AL$995),$B$677=1),$AL$995,HLOOKUP(INDIRECT(ADDRESS(2,COLUMN())),OFFSET($BN$2,0,0,ROW()-1,60),ROW()-1,FALSE))</f>
        <v>7.3916188849999998</v>
      </c>
      <c r="AM329">
        <f ca="1">IF(AND(ISNUMBER($AM$995),$B$677=1),$AM$995,HLOOKUP(INDIRECT(ADDRESS(2,COLUMN())),OFFSET($BN$2,0,0,ROW()-1,60),ROW()-1,FALSE))</f>
        <v>7.0821569699999998</v>
      </c>
      <c r="AN329">
        <f ca="1">IF(AND(ISNUMBER($AN$995),$B$677=1),$AN$995,HLOOKUP(INDIRECT(ADDRESS(2,COLUMN())),OFFSET($BN$2,0,0,ROW()-1,60),ROW()-1,FALSE))</f>
        <v>7.7826818619999996</v>
      </c>
      <c r="AO329">
        <f ca="1">IF(AND(ISNUMBER($AO$995),$B$677=1),$AO$995,HLOOKUP(INDIRECT(ADDRESS(2,COLUMN())),OFFSET($BN$2,0,0,ROW()-1,60),ROW()-1,FALSE))</f>
        <v>5.7186899359999996</v>
      </c>
      <c r="AP329">
        <f ca="1">IF(AND(ISNUMBER($AP$995),$B$677=1),$AP$995,HLOOKUP(INDIRECT(ADDRESS(2,COLUMN())),OFFSET($BN$2,0,0,ROW()-1,60),ROW()-1,FALSE))</f>
        <v>6.4025615220000001</v>
      </c>
      <c r="AQ329">
        <f ca="1">IF(AND(ISNUMBER($AQ$995),$B$677=1),$AQ$995,HLOOKUP(INDIRECT(ADDRESS(2,COLUMN())),OFFSET($BN$2,0,0,ROW()-1,60),ROW()-1,FALSE))</f>
        <v>6.6341000149999996</v>
      </c>
      <c r="AR329">
        <f ca="1">IF(AND(ISNUMBER($AR$995),$B$677=1),$AR$995,HLOOKUP(INDIRECT(ADDRESS(2,COLUMN())),OFFSET($BN$2,0,0,ROW()-1,60),ROW()-1,FALSE))</f>
        <v>6.4130647070000002</v>
      </c>
      <c r="AS329">
        <f ca="1">IF(AND(ISNUMBER($AS$995),$B$677=1),$AS$995,HLOOKUP(INDIRECT(ADDRESS(2,COLUMN())),OFFSET($BN$2,0,0,ROW()-1,60),ROW()-1,FALSE))</f>
        <v>5.1579247549999998</v>
      </c>
      <c r="AT329">
        <f ca="1">IF(AND(ISNUMBER($AT$995),$B$677=1),$AT$995,HLOOKUP(INDIRECT(ADDRESS(2,COLUMN())),OFFSET($BN$2,0,0,ROW()-1,60),ROW()-1,FALSE))</f>
        <v>4.13631554</v>
      </c>
      <c r="AU329">
        <f ca="1">IF(AND(ISNUMBER($AU$995),$B$677=1),$AU$995,HLOOKUP(INDIRECT(ADDRESS(2,COLUMN())),OFFSET($BN$2,0,0,ROW()-1,60),ROW()-1,FALSE))</f>
        <v>3.7355870150000001</v>
      </c>
      <c r="AV329">
        <f ca="1">IF(AND(ISNUMBER($AV$995),$B$677=1),$AV$995,HLOOKUP(INDIRECT(ADDRESS(2,COLUMN())),OFFSET($BN$2,0,0,ROW()-1,60),ROW()-1,FALSE))</f>
        <v>4.9367117650000001</v>
      </c>
      <c r="AW329">
        <f ca="1">IF(AND(ISNUMBER($AW$995),$B$677=1),$AW$995,HLOOKUP(INDIRECT(ADDRESS(2,COLUMN())),OFFSET($BN$2,0,0,ROW()-1,60),ROW()-1,FALSE))</f>
        <v>5.8538881099999998</v>
      </c>
      <c r="AX329">
        <f ca="1">IF(AND(ISNUMBER($AX$995),$B$677=1),$AX$995,HLOOKUP(INDIRECT(ADDRESS(2,COLUMN())),OFFSET($BN$2,0,0,ROW()-1,60),ROW()-1,FALSE))</f>
        <v>8.5470005800000006</v>
      </c>
      <c r="AY329">
        <f ca="1">IF(AND(ISNUMBER($AY$995),$B$677=1),$AY$995,HLOOKUP(INDIRECT(ADDRESS(2,COLUMN())),OFFSET($BN$2,0,0,ROW()-1,60),ROW()-1,FALSE))</f>
        <v>13.691523269999999</v>
      </c>
      <c r="AZ329">
        <f ca="1">IF(AND(ISNUMBER($AZ$995),$B$677=1),$AZ$995,HLOOKUP(INDIRECT(ADDRESS(2,COLUMN())),OFFSET($BN$2,0,0,ROW()-1,60),ROW()-1,FALSE))</f>
        <v>14.50154238</v>
      </c>
      <c r="BA329">
        <f ca="1">IF(AND(ISNUMBER($BA$995),$B$677=1),$BA$995,HLOOKUP(INDIRECT(ADDRESS(2,COLUMN())),OFFSET($BN$2,0,0,ROW()-1,60),ROW()-1,FALSE))</f>
        <v>18.027242909999998</v>
      </c>
      <c r="BB329">
        <f ca="1">IF(AND(ISNUMBER($BB$995),$B$677=1),$BB$995,HLOOKUP(INDIRECT(ADDRESS(2,COLUMN())),OFFSET($BN$2,0,0,ROW()-1,60),ROW()-1,FALSE))</f>
        <v>13.60307972</v>
      </c>
      <c r="BC329">
        <f ca="1">IF(AND(ISNUMBER($BC$995),$B$677=1),$BC$995,HLOOKUP(INDIRECT(ADDRESS(2,COLUMN())),OFFSET($BN$2,0,0,ROW()-1,60),ROW()-1,FALSE))</f>
        <v>12.63721696</v>
      </c>
      <c r="BD329">
        <f ca="1">IF(AND(ISNUMBER($BD$995),$B$677=1),$BD$995,HLOOKUP(INDIRECT(ADDRESS(2,COLUMN())),OFFSET($BN$2,0,0,ROW()-1,60),ROW()-1,FALSE))</f>
        <v>10.08988422</v>
      </c>
      <c r="BE329">
        <f ca="1">IF(AND(ISNUMBER($BE$995),$B$677=1),$BE$995,HLOOKUP(INDIRECT(ADDRESS(2,COLUMN())),OFFSET($BN$2,0,0,ROW()-1,60),ROW()-1,FALSE))</f>
        <v>8.9298534689999993</v>
      </c>
      <c r="BF329">
        <f ca="1">IF(AND(ISNUMBER($BF$995),$B$677=1),$BF$995,HLOOKUP(INDIRECT(ADDRESS(2,COLUMN())),OFFSET($BN$2,0,0,ROW()-1,60),ROW()-1,FALSE))</f>
        <v>9.8630603220000008</v>
      </c>
      <c r="BG329">
        <f ca="1">IF(AND(ISNUMBER($BG$995),$B$677=1),$BG$995,HLOOKUP(INDIRECT(ADDRESS(2,COLUMN())),OFFSET($BN$2,0,0,ROW()-1,60),ROW()-1,FALSE))</f>
        <v>7.0499523719999999</v>
      </c>
      <c r="BH329" t="str">
        <f ca="1">IF(AND(ISNUMBER($BH$995),$B$677=1),$BH$995,HLOOKUP(INDIRECT(ADDRESS(2,COLUMN())),OFFSET($BN$2,0,0,ROW()-1,60),ROW()-1,FALSE))</f>
        <v/>
      </c>
      <c r="BI329" t="str">
        <f ca="1">IF(AND(ISNUMBER($BI$995),$B$677=1),$BI$995,HLOOKUP(INDIRECT(ADDRESS(2,COLUMN())),OFFSET($BN$2,0,0,ROW()-1,60),ROW()-1,FALSE))</f>
        <v/>
      </c>
      <c r="BJ329" t="str">
        <f ca="1">IF(AND(ISNUMBER($BJ$995),$B$677=1),$BJ$995,HLOOKUP(INDIRECT(ADDRESS(2,COLUMN())),OFFSET($BN$2,0,0,ROW()-1,60),ROW()-1,FALSE))</f>
        <v/>
      </c>
      <c r="BK329" t="str">
        <f ca="1">IF(AND(ISNUMBER($BK$995),$B$677=1),$BK$995,HLOOKUP(INDIRECT(ADDRESS(2,COLUMN())),OFFSET($BN$2,0,0,ROW()-1,60),ROW()-1,FALSE))</f>
        <v/>
      </c>
      <c r="BL329" t="str">
        <f ca="1">IF(AND(ISNUMBER($BL$995),$B$677=1),$BL$995,HLOOKUP(INDIRECT(ADDRESS(2,COLUMN())),OFFSET($BN$2,0,0,ROW()-1,60),ROW()-1,FALSE))</f>
        <v/>
      </c>
      <c r="BM329" t="str">
        <f ca="1">IF(AND(ISNUMBER($BM$995),$B$677=1),$BM$995,HLOOKUP(INDIRECT(ADDRESS(2,COLUMN())),OFFSET($BN$2,0,0,ROW()-1,60),ROW()-1,FALSE))</f>
        <v/>
      </c>
      <c r="BN329" t="str">
        <f>""</f>
        <v/>
      </c>
      <c r="BO329">
        <f>4.559159963</f>
        <v>4.5591599629999999</v>
      </c>
      <c r="BP329">
        <f>12.85255145</f>
        <v>12.85255145</v>
      </c>
      <c r="BQ329">
        <f>16.90590801</f>
        <v>16.905908010000001</v>
      </c>
      <c r="BR329" t="str">
        <f>""</f>
        <v/>
      </c>
      <c r="BS329" t="str">
        <f>""</f>
        <v/>
      </c>
      <c r="BT329">
        <f>9.145556882</f>
        <v>9.1455568819999993</v>
      </c>
      <c r="BU329">
        <f>9.364602175</f>
        <v>9.3646021749999999</v>
      </c>
      <c r="BV329">
        <f>10.33910078</f>
        <v>10.339100780000001</v>
      </c>
      <c r="BW329">
        <f>10.91287554</f>
        <v>10.91287554</v>
      </c>
      <c r="BX329">
        <f>11.91419178</f>
        <v>11.914191779999999</v>
      </c>
      <c r="BY329">
        <f>12.98544164</f>
        <v>12.985441639999999</v>
      </c>
      <c r="BZ329">
        <f>12.8179406</f>
        <v>12.8179406</v>
      </c>
      <c r="CA329">
        <f>10.70121644</f>
        <v>10.70121644</v>
      </c>
      <c r="CB329">
        <f>10.9308279</f>
        <v>10.930827900000001</v>
      </c>
      <c r="CC329">
        <f>11.89255927</f>
        <v>11.89255927</v>
      </c>
      <c r="CD329">
        <f>10.82814731</f>
        <v>10.82814731</v>
      </c>
      <c r="CE329">
        <f>10.76624182</f>
        <v>10.766241819999999</v>
      </c>
      <c r="CF329">
        <f>8.139013072</f>
        <v>8.1390130719999991</v>
      </c>
      <c r="CG329">
        <f>8.306624884</f>
        <v>8.3066248839999997</v>
      </c>
      <c r="CH329">
        <f>8.093341729</f>
        <v>8.0933417290000005</v>
      </c>
      <c r="CI329">
        <f>8.835925541</f>
        <v>8.8359255409999999</v>
      </c>
      <c r="CJ329">
        <f>7.575651126</f>
        <v>7.5756511260000003</v>
      </c>
      <c r="CK329">
        <f>7.490999976</f>
        <v>7.4909999760000003</v>
      </c>
      <c r="CL329">
        <f>8.030381661</f>
        <v>8.0303816609999998</v>
      </c>
      <c r="CM329">
        <f>6.949166292</f>
        <v>6.9491662920000001</v>
      </c>
      <c r="CN329">
        <f>6.677119649</f>
        <v>6.6771196489999998</v>
      </c>
      <c r="CO329">
        <f>5.623902335</f>
        <v>5.6239023350000004</v>
      </c>
      <c r="CP329">
        <f>6.010745166</f>
        <v>6.0107451660000004</v>
      </c>
      <c r="CQ329">
        <f>5.199405694</f>
        <v>5.1994056940000002</v>
      </c>
      <c r="CR329">
        <f>5.682475808</f>
        <v>5.6824758080000004</v>
      </c>
      <c r="CS329">
        <f>6.366719383</f>
        <v>6.3667193830000004</v>
      </c>
      <c r="CT329">
        <f>7.391618885</f>
        <v>7.3916188849999998</v>
      </c>
      <c r="CU329">
        <f>7.08215697</f>
        <v>7.0821569699999998</v>
      </c>
      <c r="CV329">
        <f>7.782681862</f>
        <v>7.7826818619999996</v>
      </c>
      <c r="CW329">
        <f>5.718689936</f>
        <v>5.7186899359999996</v>
      </c>
      <c r="CX329">
        <f>6.402561522</f>
        <v>6.4025615220000001</v>
      </c>
      <c r="CY329">
        <f>6.634100015</f>
        <v>6.6341000149999996</v>
      </c>
      <c r="CZ329">
        <f>6.413064707</f>
        <v>6.4130647070000002</v>
      </c>
      <c r="DA329">
        <f>5.157924755</f>
        <v>5.1579247549999998</v>
      </c>
      <c r="DB329">
        <f>4.13631554</f>
        <v>4.13631554</v>
      </c>
      <c r="DC329">
        <f>3.735587015</f>
        <v>3.7355870150000001</v>
      </c>
      <c r="DD329">
        <f>4.936711765</f>
        <v>4.9367117650000001</v>
      </c>
      <c r="DE329">
        <f>5.85388811</f>
        <v>5.8538881099999998</v>
      </c>
      <c r="DF329">
        <f>8.54700058</f>
        <v>8.5470005800000006</v>
      </c>
      <c r="DG329">
        <f>13.69152327</f>
        <v>13.691523269999999</v>
      </c>
      <c r="DH329">
        <f>14.50154238</f>
        <v>14.50154238</v>
      </c>
      <c r="DI329">
        <f>18.02724291</f>
        <v>18.027242909999998</v>
      </c>
      <c r="DJ329">
        <f>13.60307972</f>
        <v>13.60307972</v>
      </c>
      <c r="DK329">
        <f>12.63721696</f>
        <v>12.63721696</v>
      </c>
      <c r="DL329">
        <f>10.08988422</f>
        <v>10.08988422</v>
      </c>
      <c r="DM329">
        <f>8.929853469</f>
        <v>8.9298534689999993</v>
      </c>
      <c r="DN329">
        <f>9.863060322</f>
        <v>9.8630603220000008</v>
      </c>
      <c r="DO329">
        <f>7.049952372</f>
        <v>7.0499523719999999</v>
      </c>
      <c r="DP329" t="str">
        <f>""</f>
        <v/>
      </c>
      <c r="DQ329" t="str">
        <f>""</f>
        <v/>
      </c>
      <c r="DR329" t="str">
        <f>""</f>
        <v/>
      </c>
      <c r="DS329" t="str">
        <f>""</f>
        <v/>
      </c>
      <c r="DT329" t="str">
        <f>""</f>
        <v/>
      </c>
      <c r="DU329" t="str">
        <f>""</f>
        <v/>
      </c>
    </row>
    <row r="330" spans="1:125" x14ac:dyDescent="0.25">
      <c r="A330" t="str">
        <f>"    Toyota Motor Corp"</f>
        <v xml:space="preserve">    Toyota Motor Corp</v>
      </c>
      <c r="B330" t="str">
        <f>"7203 JP Equity"</f>
        <v>7203 JP Equity</v>
      </c>
      <c r="C330" t="str">
        <f t="shared" si="21"/>
        <v>RR474</v>
      </c>
      <c r="D330" t="str">
        <f t="shared" si="22"/>
        <v>EV_TO_T12M_EBITDA</v>
      </c>
      <c r="E330" t="str">
        <f t="shared" si="23"/>
        <v>Dynamic</v>
      </c>
      <c r="F330" t="str">
        <f ca="1">IF(AND(ISNUMBER($F$996),$B$677=1),$F$996,HLOOKUP(INDIRECT(ADDRESS(2,COLUMN())),OFFSET($BN$2,0,0,ROW()-1,60),ROW()-1,FALSE))</f>
        <v/>
      </c>
      <c r="G330">
        <f ca="1">IF(AND(ISNUMBER($G$996),$B$677=1),$G$996,HLOOKUP(INDIRECT(ADDRESS(2,COLUMN())),OFFSET($BN$2,0,0,ROW()-1,60),ROW()-1,FALSE))</f>
        <v>7.9190836490000001</v>
      </c>
      <c r="H330">
        <f ca="1">IF(AND(ISNUMBER($H$996),$B$677=1),$H$996,HLOOKUP(INDIRECT(ADDRESS(2,COLUMN())),OFFSET($BN$2,0,0,ROW()-1,60),ROW()-1,FALSE))</f>
        <v>8.4454494049999997</v>
      </c>
      <c r="I330">
        <f ca="1">IF(AND(ISNUMBER($I$996),$B$677=1),$I$996,HLOOKUP(INDIRECT(ADDRESS(2,COLUMN())),OFFSET($BN$2,0,0,ROW()-1,60),ROW()-1,FALSE))</f>
        <v>8.6040479429999994</v>
      </c>
      <c r="J330">
        <f ca="1">IF(AND(ISNUMBER($J$996),$B$677=1),$J$996,HLOOKUP(INDIRECT(ADDRESS(2,COLUMN())),OFFSET($BN$2,0,0,ROW()-1,60),ROW()-1,FALSE))</f>
        <v>8.3886533889999999</v>
      </c>
      <c r="K330">
        <f ca="1">IF(AND(ISNUMBER($K$996),$B$677=1),$K$996,HLOOKUP(INDIRECT(ADDRESS(2,COLUMN())),OFFSET($BN$2,0,0,ROW()-1,60),ROW()-1,FALSE))</f>
        <v>9.4088937480000006</v>
      </c>
      <c r="L330">
        <f ca="1">IF(AND(ISNUMBER($L$996),$B$677=1),$L$996,HLOOKUP(INDIRECT(ADDRESS(2,COLUMN())),OFFSET($BN$2,0,0,ROW()-1,60),ROW()-1,FALSE))</f>
        <v>9.5433733939999996</v>
      </c>
      <c r="M330">
        <f ca="1">IF(AND(ISNUMBER($M$996),$B$677=1),$M$996,HLOOKUP(INDIRECT(ADDRESS(2,COLUMN())),OFFSET($BN$2,0,0,ROW()-1,60),ROW()-1,FALSE))</f>
        <v>9.0925549439999998</v>
      </c>
      <c r="N330">
        <f ca="1">IF(AND(ISNUMBER($N$996),$B$677=1),$N$996,HLOOKUP(INDIRECT(ADDRESS(2,COLUMN())),OFFSET($BN$2,0,0,ROW()-1,60),ROW()-1,FALSE))</f>
        <v>8.9883972540000006</v>
      </c>
      <c r="O330">
        <f ca="1">IF(AND(ISNUMBER($O$996),$B$677=1),$O$996,HLOOKUP(INDIRECT(ADDRESS(2,COLUMN())),OFFSET($BN$2,0,0,ROW()-1,60),ROW()-1,FALSE))</f>
        <v>9.7558657380000007</v>
      </c>
      <c r="P330">
        <f ca="1">IF(AND(ISNUMBER($P$996),$B$677=1),$P$996,HLOOKUP(INDIRECT(ADDRESS(2,COLUMN())),OFFSET($BN$2,0,0,ROW()-1,60),ROW()-1,FALSE))</f>
        <v>7.510641197</v>
      </c>
      <c r="Q330">
        <f ca="1">IF(AND(ISNUMBER($Q$996),$B$677=1),$Q$996,HLOOKUP(INDIRECT(ADDRESS(2,COLUMN())),OFFSET($BN$2,0,0,ROW()-1,60),ROW()-1,FALSE))</f>
        <v>6.3339399800000002</v>
      </c>
      <c r="R330">
        <f ca="1">IF(AND(ISNUMBER($R$996),$B$677=1),$R$996,HLOOKUP(INDIRECT(ADDRESS(2,COLUMN())),OFFSET($BN$2,0,0,ROW()-1,60),ROW()-1,FALSE))</f>
        <v>7.1949066909999999</v>
      </c>
      <c r="S330">
        <f ca="1">IF(AND(ISNUMBER($S$996),$B$677=1),$S$996,HLOOKUP(INDIRECT(ADDRESS(2,COLUMN())),OFFSET($BN$2,0,0,ROW()-1,60),ROW()-1,FALSE))</f>
        <v>8.4888093560000009</v>
      </c>
      <c r="T330">
        <f ca="1">IF(AND(ISNUMBER($T$996),$B$677=1),$T$996,HLOOKUP(INDIRECT(ADDRESS(2,COLUMN())),OFFSET($BN$2,0,0,ROW()-1,60),ROW()-1,FALSE))</f>
        <v>8.1592307169999998</v>
      </c>
      <c r="U330">
        <f ca="1">IF(AND(ISNUMBER($U$996),$B$677=1),$U$996,HLOOKUP(INDIRECT(ADDRESS(2,COLUMN())),OFFSET($BN$2,0,0,ROW()-1,60),ROW()-1,FALSE))</f>
        <v>9.6647569149999999</v>
      </c>
      <c r="V330">
        <f ca="1">IF(AND(ISNUMBER($V$996),$B$677=1),$V$996,HLOOKUP(INDIRECT(ADDRESS(2,COLUMN())),OFFSET($BN$2,0,0,ROW()-1,60),ROW()-1,FALSE))</f>
        <v>9.8568288650000007</v>
      </c>
      <c r="W330">
        <f ca="1">IF(AND(ISNUMBER($W$996),$B$677=1),$W$996,HLOOKUP(INDIRECT(ADDRESS(2,COLUMN())),OFFSET($BN$2,0,0,ROW()-1,60),ROW()-1,FALSE))</f>
        <v>10.06267454</v>
      </c>
      <c r="X330">
        <f ca="1">IF(AND(ISNUMBER($X$996),$B$677=1),$X$996,HLOOKUP(INDIRECT(ADDRESS(2,COLUMN())),OFFSET($BN$2,0,0,ROW()-1,60),ROW()-1,FALSE))</f>
        <v>9.2959499230000002</v>
      </c>
      <c r="Y330">
        <f ca="1">IF(AND(ISNUMBER($Y$996),$B$677=1),$Y$996,HLOOKUP(INDIRECT(ADDRESS(2,COLUMN())),OFFSET($BN$2,0,0,ROW()-1,60),ROW()-1,FALSE))</f>
        <v>8.9290219539999995</v>
      </c>
      <c r="Z330">
        <f ca="1">IF(AND(ISNUMBER($Z$996),$B$677=1),$Z$996,HLOOKUP(INDIRECT(ADDRESS(2,COLUMN())),OFFSET($BN$2,0,0,ROW()-1,60),ROW()-1,FALSE))</f>
        <v>8.8276442799999995</v>
      </c>
      <c r="AA330">
        <f ca="1">IF(AND(ISNUMBER($AA$996),$B$677=1),$AA$996,HLOOKUP(INDIRECT(ADDRESS(2,COLUMN())),OFFSET($BN$2,0,0,ROW()-1,60),ROW()-1,FALSE))</f>
        <v>9.4499778760000002</v>
      </c>
      <c r="AB330">
        <f ca="1">IF(AND(ISNUMBER($AB$996),$B$677=1),$AB$996,HLOOKUP(INDIRECT(ADDRESS(2,COLUMN())),OFFSET($BN$2,0,0,ROW()-1,60),ROW()-1,FALSE))</f>
        <v>10.3711076</v>
      </c>
      <c r="AC330">
        <f ca="1">IF(AND(ISNUMBER($AC$996),$B$677=1),$AC$996,HLOOKUP(INDIRECT(ADDRESS(2,COLUMN())),OFFSET($BN$2,0,0,ROW()-1,60),ROW()-1,FALSE))</f>
        <v>11.085379440000001</v>
      </c>
      <c r="AD330">
        <f ca="1">IF(AND(ISNUMBER($AD$996),$B$677=1),$AD$996,HLOOKUP(INDIRECT(ADDRESS(2,COLUMN())),OFFSET($BN$2,0,0,ROW()-1,60),ROW()-1,FALSE))</f>
        <v>11.079834780000001</v>
      </c>
      <c r="AE330">
        <f ca="1">IF(AND(ISNUMBER($AE$996),$B$677=1),$AE$996,HLOOKUP(INDIRECT(ADDRESS(2,COLUMN())),OFFSET($BN$2,0,0,ROW()-1,60),ROW()-1,FALSE))</f>
        <v>10.959411960000001</v>
      </c>
      <c r="AF330">
        <f ca="1">IF(AND(ISNUMBER($AF$996),$B$677=1),$AF$996,HLOOKUP(INDIRECT(ADDRESS(2,COLUMN())),OFFSET($BN$2,0,0,ROW()-1,60),ROW()-1,FALSE))</f>
        <v>8.7866552819999999</v>
      </c>
      <c r="AG330">
        <f ca="1">IF(AND(ISNUMBER($AG$996),$B$677=1),$AG$996,HLOOKUP(INDIRECT(ADDRESS(2,COLUMN())),OFFSET($BN$2,0,0,ROW()-1,60),ROW()-1,FALSE))</f>
        <v>10.25126837</v>
      </c>
      <c r="AH330">
        <f ca="1">IF(AND(ISNUMBER($AH$996),$B$677=1),$AH$996,HLOOKUP(INDIRECT(ADDRESS(2,COLUMN())),OFFSET($BN$2,0,0,ROW()-1,60),ROW()-1,FALSE))</f>
        <v>14.6732242</v>
      </c>
      <c r="AI330">
        <f ca="1">IF(AND(ISNUMBER($AI$996),$B$677=1),$AI$996,HLOOKUP(INDIRECT(ADDRESS(2,COLUMN())),OFFSET($BN$2,0,0,ROW()-1,60),ROW()-1,FALSE))</f>
        <v>13.90426998</v>
      </c>
      <c r="AJ330">
        <f ca="1">IF(AND(ISNUMBER($AJ$996),$B$677=1),$AJ$996,HLOOKUP(INDIRECT(ADDRESS(2,COLUMN())),OFFSET($BN$2,0,0,ROW()-1,60),ROW()-1,FALSE))</f>
        <v>14.15329373</v>
      </c>
      <c r="AK330">
        <f ca="1">IF(AND(ISNUMBER($AK$996),$B$677=1),$AK$996,HLOOKUP(INDIRECT(ADDRESS(2,COLUMN())),OFFSET($BN$2,0,0,ROW()-1,60),ROW()-1,FALSE))</f>
        <v>15.020485259999999</v>
      </c>
      <c r="AL330">
        <f ca="1">IF(AND(ISNUMBER($AL$996),$B$677=1),$AL$996,HLOOKUP(INDIRECT(ADDRESS(2,COLUMN())),OFFSET($BN$2,0,0,ROW()-1,60),ROW()-1,FALSE))</f>
        <v>12.15637579</v>
      </c>
      <c r="AM330">
        <f ca="1">IF(AND(ISNUMBER($AM$996),$B$677=1),$AM$996,HLOOKUP(INDIRECT(ADDRESS(2,COLUMN())),OFFSET($BN$2,0,0,ROW()-1,60),ROW()-1,FALSE))</f>
        <v>10.87220026</v>
      </c>
      <c r="AN330">
        <f ca="1">IF(AND(ISNUMBER($AN$996),$B$677=1),$AN$996,HLOOKUP(INDIRECT(ADDRESS(2,COLUMN())),OFFSET($BN$2,0,0,ROW()-1,60),ROW()-1,FALSE))</f>
        <v>9.4306259130000001</v>
      </c>
      <c r="AO330">
        <f ca="1">IF(AND(ISNUMBER($AO$996),$B$677=1),$AO$996,HLOOKUP(INDIRECT(ADDRESS(2,COLUMN())),OFFSET($BN$2,0,0,ROW()-1,60),ROW()-1,FALSE))</f>
        <v>9.575607497</v>
      </c>
      <c r="AP330">
        <f ca="1">IF(AND(ISNUMBER($AP$996),$B$677=1),$AP$996,HLOOKUP(INDIRECT(ADDRESS(2,COLUMN())),OFFSET($BN$2,0,0,ROW()-1,60),ROW()-1,FALSE))</f>
        <v>13.30067972</v>
      </c>
      <c r="AQ330">
        <f ca="1">IF(AND(ISNUMBER($AQ$996),$B$677=1),$AQ$996,HLOOKUP(INDIRECT(ADDRESS(2,COLUMN())),OFFSET($BN$2,0,0,ROW()-1,60),ROW()-1,FALSE))</f>
        <v>26.679256630000001</v>
      </c>
      <c r="AR330">
        <f ca="1">IF(AND(ISNUMBER($AR$996),$B$677=1),$AR$996,HLOOKUP(INDIRECT(ADDRESS(2,COLUMN())),OFFSET($BN$2,0,0,ROW()-1,60),ROW()-1,FALSE))</f>
        <v>77.553506010000007</v>
      </c>
      <c r="AS330">
        <f ca="1">IF(AND(ISNUMBER($AS$996),$B$677=1),$AS$996,HLOOKUP(INDIRECT(ADDRESS(2,COLUMN())),OFFSET($BN$2,0,0,ROW()-1,60),ROW()-1,FALSE))</f>
        <v>52.90054147</v>
      </c>
      <c r="AT330">
        <f ca="1">IF(AND(ISNUMBER($AT$996),$B$677=1),$AT$996,HLOOKUP(INDIRECT(ADDRESS(2,COLUMN())),OFFSET($BN$2,0,0,ROW()-1,60),ROW()-1,FALSE))</f>
        <v>19.29814549</v>
      </c>
      <c r="AU330" t="str">
        <f ca="1">IF(AND(ISNUMBER($AU$996),$B$677=1),$AU$996,HLOOKUP(INDIRECT(ADDRESS(2,COLUMN())),OFFSET($BN$2,0,0,ROW()-1,60),ROW()-1,FALSE))</f>
        <v/>
      </c>
      <c r="AV330" t="str">
        <f ca="1">IF(AND(ISNUMBER($AV$996),$B$677=1),$AV$996,HLOOKUP(INDIRECT(ADDRESS(2,COLUMN())),OFFSET($BN$2,0,0,ROW()-1,60),ROW()-1,FALSE))</f>
        <v/>
      </c>
      <c r="AW330" t="str">
        <f ca="1">IF(AND(ISNUMBER($AW$996),$B$677=1),$AW$996,HLOOKUP(INDIRECT(ADDRESS(2,COLUMN())),OFFSET($BN$2,0,0,ROW()-1,60),ROW()-1,FALSE))</f>
        <v/>
      </c>
      <c r="AX330" t="str">
        <f ca="1">IF(AND(ISNUMBER($AX$996),$B$677=1),$AX$996,HLOOKUP(INDIRECT(ADDRESS(2,COLUMN())),OFFSET($BN$2,0,0,ROW()-1,60),ROW()-1,FALSE))</f>
        <v/>
      </c>
      <c r="AY330" t="str">
        <f ca="1">IF(AND(ISNUMBER($AY$996),$B$677=1),$AY$996,HLOOKUP(INDIRECT(ADDRESS(2,COLUMN())),OFFSET($BN$2,0,0,ROW()-1,60),ROW()-1,FALSE))</f>
        <v/>
      </c>
      <c r="AZ330" t="str">
        <f ca="1">IF(AND(ISNUMBER($AZ$996),$B$677=1),$AZ$996,HLOOKUP(INDIRECT(ADDRESS(2,COLUMN())),OFFSET($BN$2,0,0,ROW()-1,60),ROW()-1,FALSE))</f>
        <v/>
      </c>
      <c r="BA330" t="str">
        <f ca="1">IF(AND(ISNUMBER($BA$996),$B$677=1),$BA$996,HLOOKUP(INDIRECT(ADDRESS(2,COLUMN())),OFFSET($BN$2,0,0,ROW()-1,60),ROW()-1,FALSE))</f>
        <v/>
      </c>
      <c r="BB330" t="str">
        <f ca="1">IF(AND(ISNUMBER($BB$996),$B$677=1),$BB$996,HLOOKUP(INDIRECT(ADDRESS(2,COLUMN())),OFFSET($BN$2,0,0,ROW()-1,60),ROW()-1,FALSE))</f>
        <v/>
      </c>
      <c r="BC330" t="str">
        <f ca="1">IF(AND(ISNUMBER($BC$996),$B$677=1),$BC$996,HLOOKUP(INDIRECT(ADDRESS(2,COLUMN())),OFFSET($BN$2,0,0,ROW()-1,60),ROW()-1,FALSE))</f>
        <v/>
      </c>
      <c r="BD330" t="str">
        <f ca="1">IF(AND(ISNUMBER($BD$996),$B$677=1),$BD$996,HLOOKUP(INDIRECT(ADDRESS(2,COLUMN())),OFFSET($BN$2,0,0,ROW()-1,60),ROW()-1,FALSE))</f>
        <v/>
      </c>
      <c r="BE330" t="str">
        <f ca="1">IF(AND(ISNUMBER($BE$996),$B$677=1),$BE$996,HLOOKUP(INDIRECT(ADDRESS(2,COLUMN())),OFFSET($BN$2,0,0,ROW()-1,60),ROW()-1,FALSE))</f>
        <v/>
      </c>
      <c r="BF330" t="str">
        <f ca="1">IF(AND(ISNUMBER($BF$996),$B$677=1),$BF$996,HLOOKUP(INDIRECT(ADDRESS(2,COLUMN())),OFFSET($BN$2,0,0,ROW()-1,60),ROW()-1,FALSE))</f>
        <v/>
      </c>
      <c r="BG330" t="str">
        <f ca="1">IF(AND(ISNUMBER($BG$996),$B$677=1),$BG$996,HLOOKUP(INDIRECT(ADDRESS(2,COLUMN())),OFFSET($BN$2,0,0,ROW()-1,60),ROW()-1,FALSE))</f>
        <v/>
      </c>
      <c r="BH330" t="str">
        <f ca="1">IF(AND(ISNUMBER($BH$996),$B$677=1),$BH$996,HLOOKUP(INDIRECT(ADDRESS(2,COLUMN())),OFFSET($BN$2,0,0,ROW()-1,60),ROW()-1,FALSE))</f>
        <v/>
      </c>
      <c r="BI330" t="str">
        <f ca="1">IF(AND(ISNUMBER($BI$996),$B$677=1),$BI$996,HLOOKUP(INDIRECT(ADDRESS(2,COLUMN())),OFFSET($BN$2,0,0,ROW()-1,60),ROW()-1,FALSE))</f>
        <v/>
      </c>
      <c r="BJ330" t="str">
        <f ca="1">IF(AND(ISNUMBER($BJ$996),$B$677=1),$BJ$996,HLOOKUP(INDIRECT(ADDRESS(2,COLUMN())),OFFSET($BN$2,0,0,ROW()-1,60),ROW()-1,FALSE))</f>
        <v/>
      </c>
      <c r="BK330" t="str">
        <f ca="1">IF(AND(ISNUMBER($BK$996),$B$677=1),$BK$996,HLOOKUP(INDIRECT(ADDRESS(2,COLUMN())),OFFSET($BN$2,0,0,ROW()-1,60),ROW()-1,FALSE))</f>
        <v/>
      </c>
      <c r="BL330" t="str">
        <f ca="1">IF(AND(ISNUMBER($BL$996),$B$677=1),$BL$996,HLOOKUP(INDIRECT(ADDRESS(2,COLUMN())),OFFSET($BN$2,0,0,ROW()-1,60),ROW()-1,FALSE))</f>
        <v/>
      </c>
      <c r="BM330" t="str">
        <f ca="1">IF(AND(ISNUMBER($BM$996),$B$677=1),$BM$996,HLOOKUP(INDIRECT(ADDRESS(2,COLUMN())),OFFSET($BN$2,0,0,ROW()-1,60),ROW()-1,FALSE))</f>
        <v/>
      </c>
      <c r="BN330" t="str">
        <f>""</f>
        <v/>
      </c>
      <c r="BO330">
        <f>7.919083649</f>
        <v>7.9190836490000001</v>
      </c>
      <c r="BP330">
        <f>8.445449405</f>
        <v>8.4454494049999997</v>
      </c>
      <c r="BQ330">
        <f>8.604047943</f>
        <v>8.6040479429999994</v>
      </c>
      <c r="BR330">
        <f>8.388653389</f>
        <v>8.3886533889999999</v>
      </c>
      <c r="BS330">
        <f>9.408893748</f>
        <v>9.4088937480000006</v>
      </c>
      <c r="BT330">
        <f>9.543373394</f>
        <v>9.5433733939999996</v>
      </c>
      <c r="BU330">
        <f>9.092554944</f>
        <v>9.0925549439999998</v>
      </c>
      <c r="BV330">
        <f>8.988397254</f>
        <v>8.9883972540000006</v>
      </c>
      <c r="BW330">
        <f>9.755865738</f>
        <v>9.7558657380000007</v>
      </c>
      <c r="BX330">
        <f>7.510641197</f>
        <v>7.510641197</v>
      </c>
      <c r="BY330">
        <f>6.33393998</f>
        <v>6.3339399800000002</v>
      </c>
      <c r="BZ330">
        <f>7.194906691</f>
        <v>7.1949066909999999</v>
      </c>
      <c r="CA330">
        <f>8.488809356</f>
        <v>8.4888093560000009</v>
      </c>
      <c r="CB330">
        <f>8.159230717</f>
        <v>8.1592307169999998</v>
      </c>
      <c r="CC330">
        <f>9.664756915</f>
        <v>9.6647569149999999</v>
      </c>
      <c r="CD330">
        <f>9.856828865</f>
        <v>9.8568288650000007</v>
      </c>
      <c r="CE330">
        <f>10.06267454</f>
        <v>10.06267454</v>
      </c>
      <c r="CF330">
        <f>9.295949923</f>
        <v>9.2959499230000002</v>
      </c>
      <c r="CG330">
        <f>8.929021954</f>
        <v>8.9290219539999995</v>
      </c>
      <c r="CH330">
        <f>8.82764428</f>
        <v>8.8276442799999995</v>
      </c>
      <c r="CI330">
        <f>9.449977876</f>
        <v>9.4499778760000002</v>
      </c>
      <c r="CJ330">
        <f>10.3711076</f>
        <v>10.3711076</v>
      </c>
      <c r="CK330">
        <f>11.08537944</f>
        <v>11.085379440000001</v>
      </c>
      <c r="CL330">
        <f>11.07983478</f>
        <v>11.079834780000001</v>
      </c>
      <c r="CM330">
        <f>10.95941196</f>
        <v>10.959411960000001</v>
      </c>
      <c r="CN330">
        <f>8.786655282</f>
        <v>8.7866552819999999</v>
      </c>
      <c r="CO330">
        <f>10.25126837</f>
        <v>10.25126837</v>
      </c>
      <c r="CP330">
        <f>14.6732242</f>
        <v>14.6732242</v>
      </c>
      <c r="CQ330">
        <f>13.90426998</f>
        <v>13.90426998</v>
      </c>
      <c r="CR330">
        <f>14.15329373</f>
        <v>14.15329373</v>
      </c>
      <c r="CS330">
        <f>15.02048526</f>
        <v>15.020485259999999</v>
      </c>
      <c r="CT330">
        <f>12.15637579</f>
        <v>12.15637579</v>
      </c>
      <c r="CU330">
        <f>10.87220026</f>
        <v>10.87220026</v>
      </c>
      <c r="CV330">
        <f>9.430625913</f>
        <v>9.4306259130000001</v>
      </c>
      <c r="CW330">
        <f>9.575607497</f>
        <v>9.575607497</v>
      </c>
      <c r="CX330">
        <f>13.30067972</f>
        <v>13.30067972</v>
      </c>
      <c r="CY330">
        <f>26.67925663</f>
        <v>26.679256630000001</v>
      </c>
      <c r="CZ330">
        <f>77.55350601</f>
        <v>77.553506010000007</v>
      </c>
      <c r="DA330">
        <f>52.90054147</f>
        <v>52.90054147</v>
      </c>
      <c r="DB330">
        <f>19.29814549</f>
        <v>19.29814549</v>
      </c>
      <c r="DC330" t="str">
        <f>""</f>
        <v/>
      </c>
      <c r="DD330" t="str">
        <f>""</f>
        <v/>
      </c>
      <c r="DE330" t="str">
        <f>""</f>
        <v/>
      </c>
      <c r="DF330" t="str">
        <f>""</f>
        <v/>
      </c>
      <c r="DG330" t="str">
        <f>""</f>
        <v/>
      </c>
      <c r="DH330" t="str">
        <f>""</f>
        <v/>
      </c>
      <c r="DI330" t="str">
        <f>""</f>
        <v/>
      </c>
      <c r="DJ330" t="str">
        <f>""</f>
        <v/>
      </c>
      <c r="DK330" t="str">
        <f>""</f>
        <v/>
      </c>
      <c r="DL330" t="str">
        <f>""</f>
        <v/>
      </c>
      <c r="DM330" t="str">
        <f>""</f>
        <v/>
      </c>
      <c r="DN330" t="str">
        <f>""</f>
        <v/>
      </c>
      <c r="DO330" t="str">
        <f>""</f>
        <v/>
      </c>
      <c r="DP330" t="str">
        <f>""</f>
        <v/>
      </c>
      <c r="DQ330" t="str">
        <f>""</f>
        <v/>
      </c>
      <c r="DR330" t="str">
        <f>""</f>
        <v/>
      </c>
      <c r="DS330" t="str">
        <f>""</f>
        <v/>
      </c>
      <c r="DT330" t="str">
        <f>""</f>
        <v/>
      </c>
      <c r="DU330" t="str">
        <f>""</f>
        <v/>
      </c>
    </row>
    <row r="331" spans="1:125" x14ac:dyDescent="0.25">
      <c r="A331" t="str">
        <f>"    Volkswagen AG"</f>
        <v xml:space="preserve">    Volkswagen AG</v>
      </c>
      <c r="B331" t="str">
        <f>"VOW GR Equity"</f>
        <v>VOW GR Equity</v>
      </c>
      <c r="C331" t="str">
        <f t="shared" si="21"/>
        <v>RR474</v>
      </c>
      <c r="D331" t="str">
        <f t="shared" si="22"/>
        <v>EV_TO_T12M_EBITDA</v>
      </c>
      <c r="E331" t="str">
        <f t="shared" si="23"/>
        <v>Dynamic</v>
      </c>
      <c r="F331" t="str">
        <f ca="1">IF(AND(ISNUMBER($F$997),$B$677=1),$F$997,HLOOKUP(INDIRECT(ADDRESS(2,COLUMN())),OFFSET($BN$2,0,0,ROW()-1,60),ROW()-1,FALSE))</f>
        <v/>
      </c>
      <c r="G331" t="str">
        <f ca="1">IF(AND(ISNUMBER($G$997),$B$677=1),$G$997,HLOOKUP(INDIRECT(ADDRESS(2,COLUMN())),OFFSET($BN$2,0,0,ROW()-1,60),ROW()-1,FALSE))</f>
        <v/>
      </c>
      <c r="H331">
        <f ca="1">IF(AND(ISNUMBER($H$997),$B$677=1),$H$997,HLOOKUP(INDIRECT(ADDRESS(2,COLUMN())),OFFSET($BN$2,0,0,ROW()-1,60),ROW()-1,FALSE))</f>
        <v>1.7455979800000001</v>
      </c>
      <c r="I331">
        <f ca="1">IF(AND(ISNUMBER($I$997),$B$677=1),$I$997,HLOOKUP(INDIRECT(ADDRESS(2,COLUMN())),OFFSET($BN$2,0,0,ROW()-1,60),ROW()-1,FALSE))</f>
        <v>2.0327354610000001</v>
      </c>
      <c r="J331">
        <f ca="1">IF(AND(ISNUMBER($J$997),$B$677=1),$J$997,HLOOKUP(INDIRECT(ADDRESS(2,COLUMN())),OFFSET($BN$2,0,0,ROW()-1,60),ROW()-1,FALSE))</f>
        <v>1.9496002219999999</v>
      </c>
      <c r="K331">
        <f ca="1">IF(AND(ISNUMBER($K$997),$B$677=1),$K$997,HLOOKUP(INDIRECT(ADDRESS(2,COLUMN())),OFFSET($BN$2,0,0,ROW()-1,60),ROW()-1,FALSE))</f>
        <v>1.831111352</v>
      </c>
      <c r="L331">
        <f ca="1">IF(AND(ISNUMBER($L$997),$B$677=1),$L$997,HLOOKUP(INDIRECT(ADDRESS(2,COLUMN())),OFFSET($BN$2,0,0,ROW()-1,60),ROW()-1,FALSE))</f>
        <v>1.928737983</v>
      </c>
      <c r="M331">
        <f ca="1">IF(AND(ISNUMBER($M$997),$B$677=1),$M$997,HLOOKUP(INDIRECT(ADDRESS(2,COLUMN())),OFFSET($BN$2,0,0,ROW()-1,60),ROW()-1,FALSE))</f>
        <v>1.8666758539999999</v>
      </c>
      <c r="N331">
        <f ca="1">IF(AND(ISNUMBER($N$997),$B$677=1),$N$997,HLOOKUP(INDIRECT(ADDRESS(2,COLUMN())),OFFSET($BN$2,0,0,ROW()-1,60),ROW()-1,FALSE))</f>
        <v>2.4393508000000002</v>
      </c>
      <c r="O331">
        <f ca="1">IF(AND(ISNUMBER($O$997),$B$677=1),$O$997,HLOOKUP(INDIRECT(ADDRESS(2,COLUMN())),OFFSET($BN$2,0,0,ROW()-1,60),ROW()-1,FALSE))</f>
        <v>1.519540122</v>
      </c>
      <c r="P331">
        <f ca="1">IF(AND(ISNUMBER($P$997),$B$677=1),$P$997,HLOOKUP(INDIRECT(ADDRESS(2,COLUMN())),OFFSET($BN$2,0,0,ROW()-1,60),ROW()-1,FALSE))</f>
        <v>2.0591014510000001</v>
      </c>
      <c r="Q331">
        <f ca="1">IF(AND(ISNUMBER($Q$997),$B$677=1),$Q$997,HLOOKUP(INDIRECT(ADDRESS(2,COLUMN())),OFFSET($BN$2,0,0,ROW()-1,60),ROW()-1,FALSE))</f>
        <v>2.805229642</v>
      </c>
      <c r="R331">
        <f ca="1">IF(AND(ISNUMBER($R$997),$B$677=1),$R$997,HLOOKUP(INDIRECT(ADDRESS(2,COLUMN())),OFFSET($BN$2,0,0,ROW()-1,60),ROW()-1,FALSE))</f>
        <v>2.969088599</v>
      </c>
      <c r="S331">
        <f ca="1">IF(AND(ISNUMBER($S$997),$B$677=1),$S$997,HLOOKUP(INDIRECT(ADDRESS(2,COLUMN())),OFFSET($BN$2,0,0,ROW()-1,60),ROW()-1,FALSE))</f>
        <v>3.5511181430000001</v>
      </c>
      <c r="T331">
        <f ca="1">IF(AND(ISNUMBER($T$997),$B$677=1),$T$997,HLOOKUP(INDIRECT(ADDRESS(2,COLUMN())),OFFSET($BN$2,0,0,ROW()-1,60),ROW()-1,FALSE))</f>
        <v>1.2810196410000001</v>
      </c>
      <c r="U331">
        <f ca="1">IF(AND(ISNUMBER($U$997),$B$677=1),$U$997,HLOOKUP(INDIRECT(ADDRESS(2,COLUMN())),OFFSET($BN$2,0,0,ROW()-1,60),ROW()-1,FALSE))</f>
        <v>2.7812890659999998</v>
      </c>
      <c r="V331">
        <f ca="1">IF(AND(ISNUMBER($V$997),$B$677=1),$V$997,HLOOKUP(INDIRECT(ADDRESS(2,COLUMN())),OFFSET($BN$2,0,0,ROW()-1,60),ROW()-1,FALSE))</f>
        <v>3.363939893</v>
      </c>
      <c r="W331">
        <f ca="1">IF(AND(ISNUMBER($W$997),$B$677=1),$W$997,HLOOKUP(INDIRECT(ADDRESS(2,COLUMN())),OFFSET($BN$2,0,0,ROW()-1,60),ROW()-1,FALSE))</f>
        <v>2.5718978749999999</v>
      </c>
      <c r="X331">
        <f ca="1">IF(AND(ISNUMBER($X$997),$B$677=1),$X$997,HLOOKUP(INDIRECT(ADDRESS(2,COLUMN())),OFFSET($BN$2,0,0,ROW()-1,60),ROW()-1,FALSE))</f>
        <v>2.3618134099999999</v>
      </c>
      <c r="Y331">
        <f ca="1">IF(AND(ISNUMBER($Y$997),$B$677=1),$Y$997,HLOOKUP(INDIRECT(ADDRESS(2,COLUMN())),OFFSET($BN$2,0,0,ROW()-1,60),ROW()-1,FALSE))</f>
        <v>2.990430726</v>
      </c>
      <c r="Z331">
        <f ca="1">IF(AND(ISNUMBER($Z$997),$B$677=1),$Z$997,HLOOKUP(INDIRECT(ADDRESS(2,COLUMN())),OFFSET($BN$2,0,0,ROW()-1,60),ROW()-1,FALSE))</f>
        <v>2.8276748120000001</v>
      </c>
      <c r="AA331">
        <f ca="1">IF(AND(ISNUMBER($AA$997),$B$677=1),$AA$997,HLOOKUP(INDIRECT(ADDRESS(2,COLUMN())),OFFSET($BN$2,0,0,ROW()-1,60),ROW()-1,FALSE))</f>
        <v>3.1950207920000002</v>
      </c>
      <c r="AB331">
        <f ca="1">IF(AND(ISNUMBER($AB$997),$B$677=1),$AB$997,HLOOKUP(INDIRECT(ADDRESS(2,COLUMN())),OFFSET($BN$2,0,0,ROW()-1,60),ROW()-1,FALSE))</f>
        <v>2.6294004989999999</v>
      </c>
      <c r="AC331">
        <f ca="1">IF(AND(ISNUMBER($AC$997),$B$677=1),$AC$997,HLOOKUP(INDIRECT(ADDRESS(2,COLUMN())),OFFSET($BN$2,0,0,ROW()-1,60),ROW()-1,FALSE))</f>
        <v>2.4938955059999999</v>
      </c>
      <c r="AD331">
        <f ca="1">IF(AND(ISNUMBER($AD$997),$B$677=1),$AD$997,HLOOKUP(INDIRECT(ADDRESS(2,COLUMN())),OFFSET($BN$2,0,0,ROW()-1,60),ROW()-1,FALSE))</f>
        <v>2.618072701</v>
      </c>
      <c r="AE331">
        <f ca="1">IF(AND(ISNUMBER($AE$997),$B$677=1),$AE$997,HLOOKUP(INDIRECT(ADDRESS(2,COLUMN())),OFFSET($BN$2,0,0,ROW()-1,60),ROW()-1,FALSE))</f>
        <v>2.9658274859999998</v>
      </c>
      <c r="AF331">
        <f ca="1">IF(AND(ISNUMBER($AF$997),$B$677=1),$AF$997,HLOOKUP(INDIRECT(ADDRESS(2,COLUMN())),OFFSET($BN$2,0,0,ROW()-1,60),ROW()-1,FALSE))</f>
        <v>2.456428072</v>
      </c>
      <c r="AG331">
        <f ca="1">IF(AND(ISNUMBER($AG$997),$B$677=1),$AG$997,HLOOKUP(INDIRECT(ADDRESS(2,COLUMN())),OFFSET($BN$2,0,0,ROW()-1,60),ROW()-1,FALSE))</f>
        <v>1.968653902</v>
      </c>
      <c r="AH331">
        <f ca="1">IF(AND(ISNUMBER($AH$997),$B$677=1),$AH$997,HLOOKUP(INDIRECT(ADDRESS(2,COLUMN())),OFFSET($BN$2,0,0,ROW()-1,60),ROW()-1,FALSE))</f>
        <v>2.094270538</v>
      </c>
      <c r="AI331">
        <f ca="1">IF(AND(ISNUMBER($AI$997),$B$677=1),$AI$997,HLOOKUP(INDIRECT(ADDRESS(2,COLUMN())),OFFSET($BN$2,0,0,ROW()-1,60),ROW()-1,FALSE))</f>
        <v>1.8061192580000001</v>
      </c>
      <c r="AJ331">
        <f ca="1">IF(AND(ISNUMBER($AJ$997),$B$677=1),$AJ$997,HLOOKUP(INDIRECT(ADDRESS(2,COLUMN())),OFFSET($BN$2,0,0,ROW()-1,60),ROW()-1,FALSE))</f>
        <v>1.2775853020000001</v>
      </c>
      <c r="AK331">
        <f ca="1">IF(AND(ISNUMBER($AK$997),$B$677=1),$AK$997,HLOOKUP(INDIRECT(ADDRESS(2,COLUMN())),OFFSET($BN$2,0,0,ROW()-1,60),ROW()-1,FALSE))</f>
        <v>2.2067036710000001</v>
      </c>
      <c r="AL331">
        <f ca="1">IF(AND(ISNUMBER($AL$997),$B$677=1),$AL$997,HLOOKUP(INDIRECT(ADDRESS(2,COLUMN())),OFFSET($BN$2,0,0,ROW()-1,60),ROW()-1,FALSE))</f>
        <v>1.829788269</v>
      </c>
      <c r="AM331">
        <f ca="1">IF(AND(ISNUMBER($AM$997),$B$677=1),$AM$997,HLOOKUP(INDIRECT(ADDRESS(2,COLUMN())),OFFSET($BN$2,0,0,ROW()-1,60),ROW()-1,FALSE))</f>
        <v>2.0342104320000001</v>
      </c>
      <c r="AN331">
        <f ca="1">IF(AND(ISNUMBER($AN$997),$B$677=1),$AN$997,HLOOKUP(INDIRECT(ADDRESS(2,COLUMN())),OFFSET($BN$2,0,0,ROW()-1,60),ROW()-1,FALSE))</f>
        <v>1.5037274810000001</v>
      </c>
      <c r="AO331">
        <f ca="1">IF(AND(ISNUMBER($AO$997),$B$677=1),$AO$997,HLOOKUP(INDIRECT(ADDRESS(2,COLUMN())),OFFSET($BN$2,0,0,ROW()-1,60),ROW()-1,FALSE))</f>
        <v>1.4406662370000001</v>
      </c>
      <c r="AP331">
        <f ca="1">IF(AND(ISNUMBER($AP$997),$B$677=1),$AP$997,HLOOKUP(INDIRECT(ADDRESS(2,COLUMN())),OFFSET($BN$2,0,0,ROW()-1,60),ROW()-1,FALSE))</f>
        <v>1.9427485419999999</v>
      </c>
      <c r="AQ331">
        <f ca="1">IF(AND(ISNUMBER($AQ$997),$B$677=1),$AQ$997,HLOOKUP(INDIRECT(ADDRESS(2,COLUMN())),OFFSET($BN$2,0,0,ROW()-1,60),ROW()-1,FALSE))</f>
        <v>7.9805208729999997</v>
      </c>
      <c r="AR331">
        <f ca="1">IF(AND(ISNUMBER($AR$997),$B$677=1),$AR$997,HLOOKUP(INDIRECT(ADDRESS(2,COLUMN())),OFFSET($BN$2,0,0,ROW()-1,60),ROW()-1,FALSE))</f>
        <v>7.9910163220000001</v>
      </c>
      <c r="AS331">
        <f ca="1">IF(AND(ISNUMBER($AS$997),$B$677=1),$AS$997,HLOOKUP(INDIRECT(ADDRESS(2,COLUMN())),OFFSET($BN$2,0,0,ROW()-1,60),ROW()-1,FALSE))</f>
        <v>11.42170778</v>
      </c>
      <c r="AT331">
        <f ca="1">IF(AND(ISNUMBER($AT$997),$B$677=1),$AT$997,HLOOKUP(INDIRECT(ADDRESS(2,COLUMN())),OFFSET($BN$2,0,0,ROW()-1,60),ROW()-1,FALSE))</f>
        <v>10.4872364</v>
      </c>
      <c r="AU331">
        <f ca="1">IF(AND(ISNUMBER($AU$997),$B$677=1),$AU$997,HLOOKUP(INDIRECT(ADDRESS(2,COLUMN())),OFFSET($BN$2,0,0,ROW()-1,60),ROW()-1,FALSE))</f>
        <v>9.3397981600000008</v>
      </c>
      <c r="AV331">
        <f ca="1">IF(AND(ISNUMBER($AV$997),$B$677=1),$AV$997,HLOOKUP(INDIRECT(ADDRESS(2,COLUMN())),OFFSET($BN$2,0,0,ROW()-1,60),ROW()-1,FALSE))</f>
        <v>11.40578178</v>
      </c>
      <c r="AW331">
        <f ca="1">IF(AND(ISNUMBER($AW$997),$B$677=1),$AW$997,HLOOKUP(INDIRECT(ADDRESS(2,COLUMN())),OFFSET($BN$2,0,0,ROW()-1,60),ROW()-1,FALSE))</f>
        <v>7.2547495169999996</v>
      </c>
      <c r="AX331">
        <f ca="1">IF(AND(ISNUMBER($AX$997),$B$677=1),$AX$997,HLOOKUP(INDIRECT(ADDRESS(2,COLUMN())),OFFSET($BN$2,0,0,ROW()-1,60),ROW()-1,FALSE))</f>
        <v>7.306036443</v>
      </c>
      <c r="AY331">
        <f ca="1">IF(AND(ISNUMBER($AY$997),$B$677=1),$AY$997,HLOOKUP(INDIRECT(ADDRESS(2,COLUMN())),OFFSET($BN$2,0,0,ROW()-1,60),ROW()-1,FALSE))</f>
        <v>6.6393962000000002</v>
      </c>
      <c r="AZ331">
        <f ca="1">IF(AND(ISNUMBER($AZ$997),$B$677=1),$AZ$997,HLOOKUP(INDIRECT(ADDRESS(2,COLUMN())),OFFSET($BN$2,0,0,ROW()-1,60),ROW()-1,FALSE))</f>
        <v>7.0991201110000004</v>
      </c>
      <c r="BA331">
        <f ca="1">IF(AND(ISNUMBER($BA$997),$B$677=1),$BA$997,HLOOKUP(INDIRECT(ADDRESS(2,COLUMN())),OFFSET($BN$2,0,0,ROW()-1,60),ROW()-1,FALSE))</f>
        <v>6.3765467969999996</v>
      </c>
      <c r="BB331">
        <f ca="1">IF(AND(ISNUMBER($BB$997),$B$677=1),$BB$997,HLOOKUP(INDIRECT(ADDRESS(2,COLUMN())),OFFSET($BN$2,0,0,ROW()-1,60),ROW()-1,FALSE))</f>
        <v>6.4683519199999999</v>
      </c>
      <c r="BC331">
        <f ca="1">IF(AND(ISNUMBER($BC$997),$B$677=1),$BC$997,HLOOKUP(INDIRECT(ADDRESS(2,COLUMN())),OFFSET($BN$2,0,0,ROW()-1,60),ROW()-1,FALSE))</f>
        <v>5.9145012799999996</v>
      </c>
      <c r="BD331">
        <f ca="1">IF(AND(ISNUMBER($BD$997),$B$677=1),$BD$997,HLOOKUP(INDIRECT(ADDRESS(2,COLUMN())),OFFSET($BN$2,0,0,ROW()-1,60),ROW()-1,FALSE))</f>
        <v>5.1690390590000002</v>
      </c>
      <c r="BE331">
        <f ca="1">IF(AND(ISNUMBER($BE$997),$B$677=1),$BE$997,HLOOKUP(INDIRECT(ADDRESS(2,COLUMN())),OFFSET($BN$2,0,0,ROW()-1,60),ROW()-1,FALSE))</f>
        <v>5.0938053510000003</v>
      </c>
      <c r="BF331">
        <f ca="1">IF(AND(ISNUMBER($BF$997),$B$677=1),$BF$997,HLOOKUP(INDIRECT(ADDRESS(2,COLUMN())),OFFSET($BN$2,0,0,ROW()-1,60),ROW()-1,FALSE))</f>
        <v>5.9826655820000001</v>
      </c>
      <c r="BG331">
        <f ca="1">IF(AND(ISNUMBER($BG$997),$B$677=1),$BG$997,HLOOKUP(INDIRECT(ADDRESS(2,COLUMN())),OFFSET($BN$2,0,0,ROW()-1,60),ROW()-1,FALSE))</f>
        <v>6.1206547269999998</v>
      </c>
      <c r="BH331">
        <f ca="1">IF(AND(ISNUMBER($BH$997),$B$677=1),$BH$997,HLOOKUP(INDIRECT(ADDRESS(2,COLUMN())),OFFSET($BN$2,0,0,ROW()-1,60),ROW()-1,FALSE))</f>
        <v>6.337911718</v>
      </c>
      <c r="BI331">
        <f ca="1">IF(AND(ISNUMBER($BI$997),$B$677=1),$BI$997,HLOOKUP(INDIRECT(ADDRESS(2,COLUMN())),OFFSET($BN$2,0,0,ROW()-1,60),ROW()-1,FALSE))</f>
        <v>6.0594080440000004</v>
      </c>
      <c r="BJ331">
        <f ca="1">IF(AND(ISNUMBER($BJ$997),$B$677=1),$BJ$997,HLOOKUP(INDIRECT(ADDRESS(2,COLUMN())),OFFSET($BN$2,0,0,ROW()-1,60),ROW()-1,FALSE))</f>
        <v>6.041282152</v>
      </c>
      <c r="BK331">
        <f ca="1">IF(AND(ISNUMBER($BK$997),$B$677=1),$BK$997,HLOOKUP(INDIRECT(ADDRESS(2,COLUMN())),OFFSET($BN$2,0,0,ROW()-1,60),ROW()-1,FALSE))</f>
        <v>5.9118479629999996</v>
      </c>
      <c r="BL331" t="str">
        <f ca="1">IF(AND(ISNUMBER($BL$997),$B$677=1),$BL$997,HLOOKUP(INDIRECT(ADDRESS(2,COLUMN())),OFFSET($BN$2,0,0,ROW()-1,60),ROW()-1,FALSE))</f>
        <v/>
      </c>
      <c r="BM331" t="str">
        <f ca="1">IF(AND(ISNUMBER($BM$997),$B$677=1),$BM$997,HLOOKUP(INDIRECT(ADDRESS(2,COLUMN())),OFFSET($BN$2,0,0,ROW()-1,60),ROW()-1,FALSE))</f>
        <v/>
      </c>
      <c r="BN331" t="str">
        <f>""</f>
        <v/>
      </c>
      <c r="BO331" t="str">
        <f>""</f>
        <v/>
      </c>
      <c r="BP331">
        <f>1.74559798</f>
        <v>1.7455979800000001</v>
      </c>
      <c r="BQ331">
        <f>2.032735461</f>
        <v>2.0327354610000001</v>
      </c>
      <c r="BR331">
        <f>1.949600222</f>
        <v>1.9496002219999999</v>
      </c>
      <c r="BS331">
        <f>1.831111352</f>
        <v>1.831111352</v>
      </c>
      <c r="BT331">
        <f>1.928737983</f>
        <v>1.928737983</v>
      </c>
      <c r="BU331">
        <f>1.866675854</f>
        <v>1.8666758539999999</v>
      </c>
      <c r="BV331">
        <f>2.4393508</f>
        <v>2.4393508000000002</v>
      </c>
      <c r="BW331">
        <f>1.519540122</f>
        <v>1.519540122</v>
      </c>
      <c r="BX331">
        <f>2.059101451</f>
        <v>2.0591014510000001</v>
      </c>
      <c r="BY331">
        <f>2.805229642</f>
        <v>2.805229642</v>
      </c>
      <c r="BZ331">
        <f>2.969088599</f>
        <v>2.969088599</v>
      </c>
      <c r="CA331">
        <f>3.551118143</f>
        <v>3.5511181430000001</v>
      </c>
      <c r="CB331">
        <f>1.281019641</f>
        <v>1.2810196410000001</v>
      </c>
      <c r="CC331">
        <f>2.781289066</f>
        <v>2.7812890659999998</v>
      </c>
      <c r="CD331">
        <f>3.363939893</f>
        <v>3.363939893</v>
      </c>
      <c r="CE331">
        <f>2.571897875</f>
        <v>2.5718978749999999</v>
      </c>
      <c r="CF331">
        <f>2.36181341</f>
        <v>2.3618134099999999</v>
      </c>
      <c r="CG331">
        <f>2.990430726</f>
        <v>2.990430726</v>
      </c>
      <c r="CH331">
        <f>2.827674812</f>
        <v>2.8276748120000001</v>
      </c>
      <c r="CI331">
        <f>3.195020792</f>
        <v>3.1950207920000002</v>
      </c>
      <c r="CJ331">
        <f>2.629400499</f>
        <v>2.6294004989999999</v>
      </c>
      <c r="CK331">
        <f>2.493895506</f>
        <v>2.4938955059999999</v>
      </c>
      <c r="CL331">
        <f>2.618072701</f>
        <v>2.618072701</v>
      </c>
      <c r="CM331">
        <f>2.965827486</f>
        <v>2.9658274859999998</v>
      </c>
      <c r="CN331">
        <f>2.456428072</f>
        <v>2.456428072</v>
      </c>
      <c r="CO331">
        <f>1.968653902</f>
        <v>1.968653902</v>
      </c>
      <c r="CP331">
        <f>2.094270538</f>
        <v>2.094270538</v>
      </c>
      <c r="CQ331">
        <f>1.806119258</f>
        <v>1.8061192580000001</v>
      </c>
      <c r="CR331">
        <f>1.277585302</f>
        <v>1.2775853020000001</v>
      </c>
      <c r="CS331">
        <f>2.206703671</f>
        <v>2.2067036710000001</v>
      </c>
      <c r="CT331">
        <f>1.829788269</f>
        <v>1.829788269</v>
      </c>
      <c r="CU331">
        <f>2.034210432</f>
        <v>2.0342104320000001</v>
      </c>
      <c r="CV331">
        <f>1.503727481</f>
        <v>1.5037274810000001</v>
      </c>
      <c r="CW331">
        <f>1.440666237</f>
        <v>1.4406662370000001</v>
      </c>
      <c r="CX331">
        <f>1.942748542</f>
        <v>1.9427485419999999</v>
      </c>
      <c r="CY331">
        <f>7.980520873</f>
        <v>7.9805208729999997</v>
      </c>
      <c r="CZ331">
        <f>7.991016322</f>
        <v>7.9910163220000001</v>
      </c>
      <c r="DA331">
        <f>11.42170778</f>
        <v>11.42170778</v>
      </c>
      <c r="DB331">
        <f>10.4872364</f>
        <v>10.4872364</v>
      </c>
      <c r="DC331">
        <f>9.33979816</f>
        <v>9.3397981600000008</v>
      </c>
      <c r="DD331">
        <f>11.40578178</f>
        <v>11.40578178</v>
      </c>
      <c r="DE331">
        <f>7.254749517</f>
        <v>7.2547495169999996</v>
      </c>
      <c r="DF331">
        <f>7.306036443</f>
        <v>7.306036443</v>
      </c>
      <c r="DG331">
        <f>6.6393962</f>
        <v>6.6393962000000002</v>
      </c>
      <c r="DH331">
        <f>7.099120111</f>
        <v>7.0991201110000004</v>
      </c>
      <c r="DI331">
        <f>6.376546797</f>
        <v>6.3765467969999996</v>
      </c>
      <c r="DJ331">
        <f>6.46835192</f>
        <v>6.4683519199999999</v>
      </c>
      <c r="DK331">
        <f>5.91450128</f>
        <v>5.9145012799999996</v>
      </c>
      <c r="DL331">
        <f>5.169039059</f>
        <v>5.1690390590000002</v>
      </c>
      <c r="DM331">
        <f>5.093805351</f>
        <v>5.0938053510000003</v>
      </c>
      <c r="DN331">
        <f>5.982665582</f>
        <v>5.9826655820000001</v>
      </c>
      <c r="DO331">
        <f>6.120654727</f>
        <v>6.1206547269999998</v>
      </c>
      <c r="DP331">
        <f>6.337911718</f>
        <v>6.337911718</v>
      </c>
      <c r="DQ331">
        <f>6.059408044</f>
        <v>6.0594080440000004</v>
      </c>
      <c r="DR331">
        <f>6.041282152</f>
        <v>6.041282152</v>
      </c>
      <c r="DS331">
        <f>5.911847963</f>
        <v>5.9118479629999996</v>
      </c>
      <c r="DT331" t="str">
        <f>""</f>
        <v/>
      </c>
      <c r="DU331" t="str">
        <f>""</f>
        <v/>
      </c>
    </row>
    <row r="332" spans="1:125" x14ac:dyDescent="0.25">
      <c r="A332" t="str">
        <f>"    Yulon Motor Co Ltd"</f>
        <v xml:space="preserve">    Yulon Motor Co Ltd</v>
      </c>
      <c r="B332" t="str">
        <f>"2201 TT Equity"</f>
        <v>2201 TT Equity</v>
      </c>
      <c r="C332" t="str">
        <f t="shared" si="21"/>
        <v>RR474</v>
      </c>
      <c r="D332" t="str">
        <f t="shared" si="22"/>
        <v>EV_TO_T12M_EBITDA</v>
      </c>
      <c r="E332" t="str">
        <f t="shared" si="23"/>
        <v>Dynamic</v>
      </c>
      <c r="F332" t="str">
        <f ca="1">IF(AND(ISNUMBER($F$998),$B$677=1),$F$998,HLOOKUP(INDIRECT(ADDRESS(2,COLUMN())),OFFSET($BN$2,0,0,ROW()-1,60),ROW()-1,FALSE))</f>
        <v/>
      </c>
      <c r="G332" t="str">
        <f ca="1">IF(AND(ISNUMBER($G$998),$B$677=1),$G$998,HLOOKUP(INDIRECT(ADDRESS(2,COLUMN())),OFFSET($BN$2,0,0,ROW()-1,60),ROW()-1,FALSE))</f>
        <v/>
      </c>
      <c r="H332">
        <f ca="1">IF(AND(ISNUMBER($H$998),$B$677=1),$H$998,HLOOKUP(INDIRECT(ADDRESS(2,COLUMN())),OFFSET($BN$2,0,0,ROW()-1,60),ROW()-1,FALSE))</f>
        <v>16.33041897</v>
      </c>
      <c r="I332">
        <f ca="1">IF(AND(ISNUMBER($I$998),$B$677=1),$I$998,HLOOKUP(INDIRECT(ADDRESS(2,COLUMN())),OFFSET($BN$2,0,0,ROW()-1,60),ROW()-1,FALSE))</f>
        <v>15.95676327</v>
      </c>
      <c r="J332">
        <f ca="1">IF(AND(ISNUMBER($J$998),$B$677=1),$J$998,HLOOKUP(INDIRECT(ADDRESS(2,COLUMN())),OFFSET($BN$2,0,0,ROW()-1,60),ROW()-1,FALSE))</f>
        <v>15.79061297</v>
      </c>
      <c r="K332">
        <f ca="1">IF(AND(ISNUMBER($K$998),$B$677=1),$K$998,HLOOKUP(INDIRECT(ADDRESS(2,COLUMN())),OFFSET($BN$2,0,0,ROW()-1,60),ROW()-1,FALSE))</f>
        <v>15.697956899999999</v>
      </c>
      <c r="L332">
        <f ca="1">IF(AND(ISNUMBER($L$998),$B$677=1),$L$998,HLOOKUP(INDIRECT(ADDRESS(2,COLUMN())),OFFSET($BN$2,0,0,ROW()-1,60),ROW()-1,FALSE))</f>
        <v>14.050151680000001</v>
      </c>
      <c r="M332">
        <f ca="1">IF(AND(ISNUMBER($M$998),$B$677=1),$M$998,HLOOKUP(INDIRECT(ADDRESS(2,COLUMN())),OFFSET($BN$2,0,0,ROW()-1,60),ROW()-1,FALSE))</f>
        <v>13.4964812</v>
      </c>
      <c r="N332">
        <f ca="1">IF(AND(ISNUMBER($N$998),$B$677=1),$N$998,HLOOKUP(INDIRECT(ADDRESS(2,COLUMN())),OFFSET($BN$2,0,0,ROW()-1,60),ROW()-1,FALSE))</f>
        <v>12.34319846</v>
      </c>
      <c r="O332">
        <f ca="1">IF(AND(ISNUMBER($O$998),$B$677=1),$O$998,HLOOKUP(INDIRECT(ADDRESS(2,COLUMN())),OFFSET($BN$2,0,0,ROW()-1,60),ROW()-1,FALSE))</f>
        <v>12.91021289</v>
      </c>
      <c r="P332">
        <f ca="1">IF(AND(ISNUMBER($P$998),$B$677=1),$P$998,HLOOKUP(INDIRECT(ADDRESS(2,COLUMN())),OFFSET($BN$2,0,0,ROW()-1,60),ROW()-1,FALSE))</f>
        <v>14.54024557</v>
      </c>
      <c r="Q332">
        <f ca="1">IF(AND(ISNUMBER($Q$998),$B$677=1),$Q$998,HLOOKUP(INDIRECT(ADDRESS(2,COLUMN())),OFFSET($BN$2,0,0,ROW()-1,60),ROW()-1,FALSE))</f>
        <v>14.416394909999999</v>
      </c>
      <c r="R332">
        <f ca="1">IF(AND(ISNUMBER($R$998),$B$677=1),$R$998,HLOOKUP(INDIRECT(ADDRESS(2,COLUMN())),OFFSET($BN$2,0,0,ROW()-1,60),ROW()-1,FALSE))</f>
        <v>15.520448679999999</v>
      </c>
      <c r="S332">
        <f ca="1">IF(AND(ISNUMBER($S$998),$B$677=1),$S$998,HLOOKUP(INDIRECT(ADDRESS(2,COLUMN())),OFFSET($BN$2,0,0,ROW()-1,60),ROW()-1,FALSE))</f>
        <v>15.479012490000001</v>
      </c>
      <c r="T332">
        <f ca="1">IF(AND(ISNUMBER($T$998),$B$677=1),$T$998,HLOOKUP(INDIRECT(ADDRESS(2,COLUMN())),OFFSET($BN$2,0,0,ROW()-1,60),ROW()-1,FALSE))</f>
        <v>16.196402280000001</v>
      </c>
      <c r="U332">
        <f ca="1">IF(AND(ISNUMBER($U$998),$B$677=1),$U$998,HLOOKUP(INDIRECT(ADDRESS(2,COLUMN())),OFFSET($BN$2,0,0,ROW()-1,60),ROW()-1,FALSE))</f>
        <v>16.598197379999998</v>
      </c>
      <c r="V332">
        <f ca="1">IF(AND(ISNUMBER($V$998),$B$677=1),$V$998,HLOOKUP(INDIRECT(ADDRESS(2,COLUMN())),OFFSET($BN$2,0,0,ROW()-1,60),ROW()-1,FALSE))</f>
        <v>17.64951688</v>
      </c>
      <c r="W332">
        <f ca="1">IF(AND(ISNUMBER($W$998),$B$677=1),$W$998,HLOOKUP(INDIRECT(ADDRESS(2,COLUMN())),OFFSET($BN$2,0,0,ROW()-1,60),ROW()-1,FALSE))</f>
        <v>19.062458490000001</v>
      </c>
      <c r="X332">
        <f ca="1">IF(AND(ISNUMBER($X$998),$B$677=1),$X$998,HLOOKUP(INDIRECT(ADDRESS(2,COLUMN())),OFFSET($BN$2,0,0,ROW()-1,60),ROW()-1,FALSE))</f>
        <v>17.024195509999998</v>
      </c>
      <c r="Y332">
        <f ca="1">IF(AND(ISNUMBER($Y$998),$B$677=1),$Y$998,HLOOKUP(INDIRECT(ADDRESS(2,COLUMN())),OFFSET($BN$2,0,0,ROW()-1,60),ROW()-1,FALSE))</f>
        <v>21.330757590000001</v>
      </c>
      <c r="Z332">
        <f ca="1">IF(AND(ISNUMBER($Z$998),$B$677=1),$Z$998,HLOOKUP(INDIRECT(ADDRESS(2,COLUMN())),OFFSET($BN$2,0,0,ROW()-1,60),ROW()-1,FALSE))</f>
        <v>21.756890819999999</v>
      </c>
      <c r="AA332">
        <f ca="1">IF(AND(ISNUMBER($AA$998),$B$677=1),$AA$998,HLOOKUP(INDIRECT(ADDRESS(2,COLUMN())),OFFSET($BN$2,0,0,ROW()-1,60),ROW()-1,FALSE))</f>
        <v>22.162646479999999</v>
      </c>
      <c r="AB332">
        <f ca="1">IF(AND(ISNUMBER($AB$998),$B$677=1),$AB$998,HLOOKUP(INDIRECT(ADDRESS(2,COLUMN())),OFFSET($BN$2,0,0,ROW()-1,60),ROW()-1,FALSE))</f>
        <v>18.134174160000001</v>
      </c>
      <c r="AC332">
        <f ca="1">IF(AND(ISNUMBER($AC$998),$B$677=1),$AC$998,HLOOKUP(INDIRECT(ADDRESS(2,COLUMN())),OFFSET($BN$2,0,0,ROW()-1,60),ROW()-1,FALSE))</f>
        <v>16.11024772</v>
      </c>
      <c r="AD332">
        <f ca="1">IF(AND(ISNUMBER($AD$998),$B$677=1),$AD$998,HLOOKUP(INDIRECT(ADDRESS(2,COLUMN())),OFFSET($BN$2,0,0,ROW()-1,60),ROW()-1,FALSE))</f>
        <v>16.106766239999999</v>
      </c>
      <c r="AE332">
        <f ca="1">IF(AND(ISNUMBER($AE$998),$B$677=1),$AE$998,HLOOKUP(INDIRECT(ADDRESS(2,COLUMN())),OFFSET($BN$2,0,0,ROW()-1,60),ROW()-1,FALSE))</f>
        <v>16.07035239</v>
      </c>
      <c r="AF332">
        <f ca="1">IF(AND(ISNUMBER($AF$998),$B$677=1),$AF$998,HLOOKUP(INDIRECT(ADDRESS(2,COLUMN())),OFFSET($BN$2,0,0,ROW()-1,60),ROW()-1,FALSE))</f>
        <v>16.718714810000002</v>
      </c>
      <c r="AG332">
        <f ca="1">IF(AND(ISNUMBER($AG$998),$B$677=1),$AG$998,HLOOKUP(INDIRECT(ADDRESS(2,COLUMN())),OFFSET($BN$2,0,0,ROW()-1,60),ROW()-1,FALSE))</f>
        <v>15.502392560000001</v>
      </c>
      <c r="AH332">
        <f ca="1">IF(AND(ISNUMBER($AH$998),$B$677=1),$AH$998,HLOOKUP(INDIRECT(ADDRESS(2,COLUMN())),OFFSET($BN$2,0,0,ROW()-1,60),ROW()-1,FALSE))</f>
        <v>16.460371949999999</v>
      </c>
      <c r="AI332">
        <f ca="1">IF(AND(ISNUMBER($AI$998),$B$677=1),$AI$998,HLOOKUP(INDIRECT(ADDRESS(2,COLUMN())),OFFSET($BN$2,0,0,ROW()-1,60),ROW()-1,FALSE))</f>
        <v>15.15712553</v>
      </c>
      <c r="AJ332">
        <f ca="1">IF(AND(ISNUMBER($AJ$998),$B$677=1),$AJ$998,HLOOKUP(INDIRECT(ADDRESS(2,COLUMN())),OFFSET($BN$2,0,0,ROW()-1,60),ROW()-1,FALSE))</f>
        <v>16.22686865</v>
      </c>
      <c r="AK332">
        <f ca="1">IF(AND(ISNUMBER($AK$998),$B$677=1),$AK$998,HLOOKUP(INDIRECT(ADDRESS(2,COLUMN())),OFFSET($BN$2,0,0,ROW()-1,60),ROW()-1,FALSE))</f>
        <v>17.547579679999998</v>
      </c>
      <c r="AL332">
        <f ca="1">IF(AND(ISNUMBER($AL$998),$B$677=1),$AL$998,HLOOKUP(INDIRECT(ADDRESS(2,COLUMN())),OFFSET($BN$2,0,0,ROW()-1,60),ROW()-1,FALSE))</f>
        <v>14.191442500000001</v>
      </c>
      <c r="AM332">
        <f ca="1">IF(AND(ISNUMBER($AM$998),$B$677=1),$AM$998,HLOOKUP(INDIRECT(ADDRESS(2,COLUMN())),OFFSET($BN$2,0,0,ROW()-1,60),ROW()-1,FALSE))</f>
        <v>17.0416144</v>
      </c>
      <c r="AN332">
        <f ca="1">IF(AND(ISNUMBER($AN$998),$B$677=1),$AN$998,HLOOKUP(INDIRECT(ADDRESS(2,COLUMN())),OFFSET($BN$2,0,0,ROW()-1,60),ROW()-1,FALSE))</f>
        <v>16.442226059999999</v>
      </c>
      <c r="AO332">
        <f ca="1">IF(AND(ISNUMBER($AO$998),$B$677=1),$AO$998,HLOOKUP(INDIRECT(ADDRESS(2,COLUMN())),OFFSET($BN$2,0,0,ROW()-1,60),ROW()-1,FALSE))</f>
        <v>11.50462007</v>
      </c>
      <c r="AP332">
        <f ca="1">IF(AND(ISNUMBER($AP$998),$B$677=1),$AP$998,HLOOKUP(INDIRECT(ADDRESS(2,COLUMN())),OFFSET($BN$2,0,0,ROW()-1,60),ROW()-1,FALSE))</f>
        <v>13.17977365</v>
      </c>
      <c r="AQ332">
        <f ca="1">IF(AND(ISNUMBER($AQ$998),$B$677=1),$AQ$998,HLOOKUP(INDIRECT(ADDRESS(2,COLUMN())),OFFSET($BN$2,0,0,ROW()-1,60),ROW()-1,FALSE))</f>
        <v>13.99152554</v>
      </c>
      <c r="AR332">
        <f ca="1">IF(AND(ISNUMBER($AR$998),$B$677=1),$AR$998,HLOOKUP(INDIRECT(ADDRESS(2,COLUMN())),OFFSET($BN$2,0,0,ROW()-1,60),ROW()-1,FALSE))</f>
        <v>14.39389293</v>
      </c>
      <c r="AS332">
        <f ca="1">IF(AND(ISNUMBER($AS$998),$B$677=1),$AS$998,HLOOKUP(INDIRECT(ADDRESS(2,COLUMN())),OFFSET($BN$2,0,0,ROW()-1,60),ROW()-1,FALSE))</f>
        <v>14.305444359999999</v>
      </c>
      <c r="AT332">
        <f ca="1">IF(AND(ISNUMBER($AT$998),$B$677=1),$AT$998,HLOOKUP(INDIRECT(ADDRESS(2,COLUMN())),OFFSET($BN$2,0,0,ROW()-1,60),ROW()-1,FALSE))</f>
        <v>10.69221344</v>
      </c>
      <c r="AU332">
        <f ca="1">IF(AND(ISNUMBER($AU$998),$B$677=1),$AU$998,HLOOKUP(INDIRECT(ADDRESS(2,COLUMN())),OFFSET($BN$2,0,0,ROW()-1,60),ROW()-1,FALSE))</f>
        <v>9.1351577880000008</v>
      </c>
      <c r="AV332" t="str">
        <f ca="1">IF(AND(ISNUMBER($AV$998),$B$677=1),$AV$998,HLOOKUP(INDIRECT(ADDRESS(2,COLUMN())),OFFSET($BN$2,0,0,ROW()-1,60),ROW()-1,FALSE))</f>
        <v/>
      </c>
      <c r="AW332" t="str">
        <f ca="1">IF(AND(ISNUMBER($AW$998),$B$677=1),$AW$998,HLOOKUP(INDIRECT(ADDRESS(2,COLUMN())),OFFSET($BN$2,0,0,ROW()-1,60),ROW()-1,FALSE))</f>
        <v/>
      </c>
      <c r="AX332" t="str">
        <f ca="1">IF(AND(ISNUMBER($AX$998),$B$677=1),$AX$998,HLOOKUP(INDIRECT(ADDRESS(2,COLUMN())),OFFSET($BN$2,0,0,ROW()-1,60),ROW()-1,FALSE))</f>
        <v/>
      </c>
      <c r="AY332" t="str">
        <f ca="1">IF(AND(ISNUMBER($AY$998),$B$677=1),$AY$998,HLOOKUP(INDIRECT(ADDRESS(2,COLUMN())),OFFSET($BN$2,0,0,ROW()-1,60),ROW()-1,FALSE))</f>
        <v/>
      </c>
      <c r="AZ332" t="str">
        <f ca="1">IF(AND(ISNUMBER($AZ$998),$B$677=1),$AZ$998,HLOOKUP(INDIRECT(ADDRESS(2,COLUMN())),OFFSET($BN$2,0,0,ROW()-1,60),ROW()-1,FALSE))</f>
        <v/>
      </c>
      <c r="BA332" t="str">
        <f ca="1">IF(AND(ISNUMBER($BA$998),$B$677=1),$BA$998,HLOOKUP(INDIRECT(ADDRESS(2,COLUMN())),OFFSET($BN$2,0,0,ROW()-1,60),ROW()-1,FALSE))</f>
        <v/>
      </c>
      <c r="BB332" t="str">
        <f ca="1">IF(AND(ISNUMBER($BB$998),$B$677=1),$BB$998,HLOOKUP(INDIRECT(ADDRESS(2,COLUMN())),OFFSET($BN$2,0,0,ROW()-1,60),ROW()-1,FALSE))</f>
        <v/>
      </c>
      <c r="BC332" t="str">
        <f ca="1">IF(AND(ISNUMBER($BC$998),$B$677=1),$BC$998,HLOOKUP(INDIRECT(ADDRESS(2,COLUMN())),OFFSET($BN$2,0,0,ROW()-1,60),ROW()-1,FALSE))</f>
        <v/>
      </c>
      <c r="BD332" t="str">
        <f ca="1">IF(AND(ISNUMBER($BD$998),$B$677=1),$BD$998,HLOOKUP(INDIRECT(ADDRESS(2,COLUMN())),OFFSET($BN$2,0,0,ROW()-1,60),ROW()-1,FALSE))</f>
        <v/>
      </c>
      <c r="BE332" t="str">
        <f ca="1">IF(AND(ISNUMBER($BE$998),$B$677=1),$BE$998,HLOOKUP(INDIRECT(ADDRESS(2,COLUMN())),OFFSET($BN$2,0,0,ROW()-1,60),ROW()-1,FALSE))</f>
        <v/>
      </c>
      <c r="BF332" t="str">
        <f ca="1">IF(AND(ISNUMBER($BF$998),$B$677=1),$BF$998,HLOOKUP(INDIRECT(ADDRESS(2,COLUMN())),OFFSET($BN$2,0,0,ROW()-1,60),ROW()-1,FALSE))</f>
        <v/>
      </c>
      <c r="BG332" t="str">
        <f ca="1">IF(AND(ISNUMBER($BG$998),$B$677=1),$BG$998,HLOOKUP(INDIRECT(ADDRESS(2,COLUMN())),OFFSET($BN$2,0,0,ROW()-1,60),ROW()-1,FALSE))</f>
        <v/>
      </c>
      <c r="BH332" t="str">
        <f ca="1">IF(AND(ISNUMBER($BH$998),$B$677=1),$BH$998,HLOOKUP(INDIRECT(ADDRESS(2,COLUMN())),OFFSET($BN$2,0,0,ROW()-1,60),ROW()-1,FALSE))</f>
        <v/>
      </c>
      <c r="BI332" t="str">
        <f ca="1">IF(AND(ISNUMBER($BI$998),$B$677=1),$BI$998,HLOOKUP(INDIRECT(ADDRESS(2,COLUMN())),OFFSET($BN$2,0,0,ROW()-1,60),ROW()-1,FALSE))</f>
        <v/>
      </c>
      <c r="BJ332" t="str">
        <f ca="1">IF(AND(ISNUMBER($BJ$998),$B$677=1),$BJ$998,HLOOKUP(INDIRECT(ADDRESS(2,COLUMN())),OFFSET($BN$2,0,0,ROW()-1,60),ROW()-1,FALSE))</f>
        <v/>
      </c>
      <c r="BK332" t="str">
        <f ca="1">IF(AND(ISNUMBER($BK$998),$B$677=1),$BK$998,HLOOKUP(INDIRECT(ADDRESS(2,COLUMN())),OFFSET($BN$2,0,0,ROW()-1,60),ROW()-1,FALSE))</f>
        <v/>
      </c>
      <c r="BL332" t="str">
        <f ca="1">IF(AND(ISNUMBER($BL$998),$B$677=1),$BL$998,HLOOKUP(INDIRECT(ADDRESS(2,COLUMN())),OFFSET($BN$2,0,0,ROW()-1,60),ROW()-1,FALSE))</f>
        <v/>
      </c>
      <c r="BM332" t="str">
        <f ca="1">IF(AND(ISNUMBER($BM$998),$B$677=1),$BM$998,HLOOKUP(INDIRECT(ADDRESS(2,COLUMN())),OFFSET($BN$2,0,0,ROW()-1,60),ROW()-1,FALSE))</f>
        <v/>
      </c>
      <c r="BN332" t="str">
        <f>""</f>
        <v/>
      </c>
      <c r="BO332" t="str">
        <f>""</f>
        <v/>
      </c>
      <c r="BP332">
        <f>16.33041897</f>
        <v>16.33041897</v>
      </c>
      <c r="BQ332">
        <f>15.95676327</f>
        <v>15.95676327</v>
      </c>
      <c r="BR332">
        <f>15.79061297</f>
        <v>15.79061297</v>
      </c>
      <c r="BS332">
        <f>15.6979569</f>
        <v>15.697956899999999</v>
      </c>
      <c r="BT332">
        <f>14.05015168</f>
        <v>14.050151680000001</v>
      </c>
      <c r="BU332">
        <f>13.4964812</f>
        <v>13.4964812</v>
      </c>
      <c r="BV332">
        <f>12.34319846</f>
        <v>12.34319846</v>
      </c>
      <c r="BW332">
        <f>12.91021289</f>
        <v>12.91021289</v>
      </c>
      <c r="BX332">
        <f>14.54024557</f>
        <v>14.54024557</v>
      </c>
      <c r="BY332">
        <f>14.41639491</f>
        <v>14.416394909999999</v>
      </c>
      <c r="BZ332">
        <f>15.52044868</f>
        <v>15.520448679999999</v>
      </c>
      <c r="CA332">
        <f>15.47901249</f>
        <v>15.479012490000001</v>
      </c>
      <c r="CB332">
        <f>16.19640228</f>
        <v>16.196402280000001</v>
      </c>
      <c r="CC332">
        <f>16.59819738</f>
        <v>16.598197379999998</v>
      </c>
      <c r="CD332">
        <f>17.64951688</f>
        <v>17.64951688</v>
      </c>
      <c r="CE332">
        <f>19.06245849</f>
        <v>19.062458490000001</v>
      </c>
      <c r="CF332">
        <f>17.02419551</f>
        <v>17.024195509999998</v>
      </c>
      <c r="CG332">
        <f>21.33075759</f>
        <v>21.330757590000001</v>
      </c>
      <c r="CH332">
        <f>21.75689082</f>
        <v>21.756890819999999</v>
      </c>
      <c r="CI332">
        <f>22.16264648</f>
        <v>22.162646479999999</v>
      </c>
      <c r="CJ332">
        <f>18.13417416</f>
        <v>18.134174160000001</v>
      </c>
      <c r="CK332">
        <f>16.11024772</f>
        <v>16.11024772</v>
      </c>
      <c r="CL332">
        <f>16.10676624</f>
        <v>16.106766239999999</v>
      </c>
      <c r="CM332">
        <f>16.07035239</f>
        <v>16.07035239</v>
      </c>
      <c r="CN332">
        <f>16.71871481</f>
        <v>16.718714810000002</v>
      </c>
      <c r="CO332">
        <f>15.50239256</f>
        <v>15.502392560000001</v>
      </c>
      <c r="CP332">
        <f>16.46037195</f>
        <v>16.460371949999999</v>
      </c>
      <c r="CQ332">
        <f>15.15712553</f>
        <v>15.15712553</v>
      </c>
      <c r="CR332">
        <f>16.22686865</f>
        <v>16.22686865</v>
      </c>
      <c r="CS332">
        <f>17.54757968</f>
        <v>17.547579679999998</v>
      </c>
      <c r="CT332">
        <f>14.1914425</f>
        <v>14.191442500000001</v>
      </c>
      <c r="CU332">
        <f>17.0416144</f>
        <v>17.0416144</v>
      </c>
      <c r="CV332">
        <f>16.44222606</f>
        <v>16.442226059999999</v>
      </c>
      <c r="CW332">
        <f>11.50462007</f>
        <v>11.50462007</v>
      </c>
      <c r="CX332">
        <f>13.17977365</f>
        <v>13.17977365</v>
      </c>
      <c r="CY332">
        <f>13.99152554</f>
        <v>13.99152554</v>
      </c>
      <c r="CZ332">
        <f>14.39389293</f>
        <v>14.39389293</v>
      </c>
      <c r="DA332">
        <f>14.30544436</f>
        <v>14.305444359999999</v>
      </c>
      <c r="DB332">
        <f>10.69221344</f>
        <v>10.69221344</v>
      </c>
      <c r="DC332">
        <f>9.135157788</f>
        <v>9.1351577880000008</v>
      </c>
      <c r="DD332" t="str">
        <f>""</f>
        <v/>
      </c>
      <c r="DE332" t="str">
        <f>""</f>
        <v/>
      </c>
      <c r="DF332" t="str">
        <f>""</f>
        <v/>
      </c>
      <c r="DG332" t="str">
        <f>""</f>
        <v/>
      </c>
      <c r="DH332" t="str">
        <f>""</f>
        <v/>
      </c>
      <c r="DI332" t="str">
        <f>""</f>
        <v/>
      </c>
      <c r="DJ332" t="str">
        <f>""</f>
        <v/>
      </c>
      <c r="DK332" t="str">
        <f>""</f>
        <v/>
      </c>
      <c r="DL332" t="str">
        <f>""</f>
        <v/>
      </c>
      <c r="DM332" t="str">
        <f>""</f>
        <v/>
      </c>
      <c r="DN332" t="str">
        <f>""</f>
        <v/>
      </c>
      <c r="DO332" t="str">
        <f>""</f>
        <v/>
      </c>
      <c r="DP332" t="str">
        <f>""</f>
        <v/>
      </c>
      <c r="DQ332" t="str">
        <f>""</f>
        <v/>
      </c>
      <c r="DR332" t="str">
        <f>""</f>
        <v/>
      </c>
      <c r="DS332" t="str">
        <f>""</f>
        <v/>
      </c>
      <c r="DT332" t="str">
        <f>""</f>
        <v/>
      </c>
      <c r="DU332" t="str">
        <f>""</f>
        <v/>
      </c>
    </row>
    <row r="333" spans="1:125" x14ac:dyDescent="0.25">
      <c r="A333" t="str">
        <f>"EV / T12M Sales"</f>
        <v>EV / T12M Sales</v>
      </c>
      <c r="B333" t="str">
        <f>""</f>
        <v/>
      </c>
      <c r="E333" t="str">
        <f>"Average"</f>
        <v>Average</v>
      </c>
      <c r="F333" t="str">
        <f ca="1">IF(ISERROR(IF(AVERAGE($F$334:$F$373) = 0, "", AVERAGE($F$334:$F$373))), "", (IF(AVERAGE($F$334:$F$373) = 0, "", AVERAGE($F$334:$F$373))))</f>
        <v/>
      </c>
      <c r="G333">
        <f ca="1">IF(ISERROR(IF(AVERAGE($G$334:$G$373) = 0, "", AVERAGE($G$334:$G$373))), "", (IF(AVERAGE($G$334:$G$373) = 0, "", AVERAGE($G$334:$G$373))))</f>
        <v>0.61991432807142854</v>
      </c>
      <c r="H333">
        <f ca="1">IF(ISERROR(IF(AVERAGE($H$334:$H$373) = 0, "", AVERAGE($H$334:$H$373))), "", (IF(AVERAGE($H$334:$H$373) = 0, "", AVERAGE($H$334:$H$373))))</f>
        <v>0.84896656770967738</v>
      </c>
      <c r="I333">
        <f ca="1">IF(ISERROR(IF(AVERAGE($I$334:$I$373) = 0, "", AVERAGE($I$334:$I$373))), "", (IF(AVERAGE($I$334:$I$373) = 0, "", AVERAGE($I$334:$I$373))))</f>
        <v>0.94808827910000015</v>
      </c>
      <c r="J333">
        <f ca="1">IF(ISERROR(IF(AVERAGE($J$334:$J$373) = 0, "", AVERAGE($J$334:$J$373))), "", (IF(AVERAGE($J$334:$J$373) = 0, "", AVERAGE($J$334:$J$373))))</f>
        <v>0.99977268187096779</v>
      </c>
      <c r="K333">
        <f ca="1">IF(ISERROR(IF(AVERAGE($K$334:$K$373) = 0, "", AVERAGE($K$334:$K$373))), "", (IF(AVERAGE($K$334:$K$373) = 0, "", AVERAGE($K$334:$K$373))))</f>
        <v>1.1164431953</v>
      </c>
      <c r="L333">
        <f ca="1">IF(ISERROR(IF(AVERAGE($L$334:$L$373) = 0, "", AVERAGE($L$334:$L$373))), "", (IF(AVERAGE($L$334:$L$373) = 0, "", AVERAGE($L$334:$L$373))))</f>
        <v>1.1486952496774192</v>
      </c>
      <c r="M333">
        <f ca="1">IF(ISERROR(IF(AVERAGE($M$334:$M$373) = 0, "", AVERAGE($M$334:$M$373))), "", (IF(AVERAGE($M$334:$M$373) = 0, "", AVERAGE($M$334:$M$373))))</f>
        <v>1.0790279313</v>
      </c>
      <c r="N333">
        <f ca="1">IF(ISERROR(IF(AVERAGE($N$334:$N$373) = 0, "", AVERAGE($N$334:$N$373))), "", (IF(AVERAGE($N$334:$N$373) = 0, "", AVERAGE($N$334:$N$373))))</f>
        <v>1.0981805941290321</v>
      </c>
      <c r="O333">
        <f ca="1">IF(ISERROR(IF(AVERAGE($O$334:$O$373) = 0, "", AVERAGE($O$334:$O$373))), "", (IF(AVERAGE($O$334:$O$373) = 0, "", AVERAGE($O$334:$O$373))))</f>
        <v>1.0299347244666663</v>
      </c>
      <c r="P333">
        <f ca="1">IF(ISERROR(IF(AVERAGE($P$334:$P$373) = 0, "", AVERAGE($P$334:$P$373))), "", (IF(AVERAGE($P$334:$P$373) = 0, "", AVERAGE($P$334:$P$373))))</f>
        <v>0.9324697863548389</v>
      </c>
      <c r="Q333">
        <f ca="1">IF(ISERROR(IF(AVERAGE($Q$334:$Q$373) = 0, "", AVERAGE($Q$334:$Q$373))), "", (IF(AVERAGE($Q$334:$Q$373) = 0, "", AVERAGE($Q$334:$Q$373))))</f>
        <v>1.0296968171666667</v>
      </c>
      <c r="R333">
        <f ca="1">IF(ISERROR(IF(AVERAGE($R$334:$R$373) = 0, "", AVERAGE($R$334:$R$373))), "", (IF(AVERAGE($R$334:$R$373) = 0, "", AVERAGE($R$334:$R$373))))</f>
        <v>1.0988727768064515</v>
      </c>
      <c r="S333">
        <f ca="1">IF(ISERROR(IF(AVERAGE($S$334:$S$373) = 0, "", AVERAGE($S$334:$S$373))), "", (IF(AVERAGE($S$334:$S$373) = 0, "", AVERAGE($S$334:$S$373))))</f>
        <v>1.1924401623666667</v>
      </c>
      <c r="T333">
        <f ca="1">IF(ISERROR(IF(AVERAGE($T$334:$T$373) = 0, "", AVERAGE($T$334:$T$373))), "", (IF(AVERAGE($T$334:$T$373) = 0, "", AVERAGE($T$334:$T$373))))</f>
        <v>1.2079378055806456</v>
      </c>
      <c r="U333">
        <f ca="1">IF(ISERROR(IF(AVERAGE($U$334:$U$373) = 0, "", AVERAGE($U$334:$U$373))), "", (IF(AVERAGE($U$334:$U$373) = 0, "", AVERAGE($U$334:$U$373))))</f>
        <v>1.3661334314666667</v>
      </c>
      <c r="V333">
        <f ca="1">IF(ISERROR(IF(AVERAGE($V$334:$V$373) = 0, "", AVERAGE($V$334:$V$373))), "", (IF(AVERAGE($V$334:$V$373) = 0, "", AVERAGE($V$334:$V$373))))</f>
        <v>1.2554105457741935</v>
      </c>
      <c r="W333">
        <f ca="1">IF(ISERROR(IF(AVERAGE($W$334:$W$373) = 0, "", AVERAGE($W$334:$W$373))), "", (IF(AVERAGE($W$334:$W$373) = 0, "", AVERAGE($W$334:$W$373))))</f>
        <v>1.2472734760666668</v>
      </c>
      <c r="X333">
        <f ca="1">IF(ISERROR(IF(AVERAGE($X$334:$X$373) = 0, "", AVERAGE($X$334:$X$373))), "", (IF(AVERAGE($X$334:$X$373) = 0, "", AVERAGE($X$334:$X$373))))</f>
        <v>1.2228888414333334</v>
      </c>
      <c r="Y333">
        <f ca="1">IF(ISERROR(IF(AVERAGE($Y$334:$Y$373) = 0, "", AVERAGE($Y$334:$Y$373))), "", (IF(AVERAGE($Y$334:$Y$373) = 0, "", AVERAGE($Y$334:$Y$373))))</f>
        <v>1.2615739048965517</v>
      </c>
      <c r="Z333">
        <f ca="1">IF(ISERROR(IF(AVERAGE($Z$334:$Z$373) = 0, "", AVERAGE($Z$334:$Z$373))), "", (IF(AVERAGE($Z$334:$Z$373) = 0, "", AVERAGE($Z$334:$Z$373))))</f>
        <v>1.2659790266999997</v>
      </c>
      <c r="AA333">
        <f ca="1">IF(ISERROR(IF(AVERAGE($AA$334:$AA$373) = 0, "", AVERAGE($AA$334:$AA$373))), "", (IF(AVERAGE($AA$334:$AA$373) = 0, "", AVERAGE($AA$334:$AA$373))))</f>
        <v>1.1994279293103447</v>
      </c>
      <c r="AB333">
        <f ca="1">IF(ISERROR(IF(AVERAGE($AB$334:$AB$373) = 0, "", AVERAGE($AB$334:$AB$373))), "", (IF(AVERAGE($AB$334:$AB$373) = 0, "", AVERAGE($AB$334:$AB$373))))</f>
        <v>1.3297845766333327</v>
      </c>
      <c r="AC333">
        <f ca="1">IF(ISERROR(IF(AVERAGE($AC$334:$AC$373) = 0, "", AVERAGE($AC$334:$AC$373))), "", (IF(AVERAGE($AC$334:$AC$373) = 0, "", AVERAGE($AC$334:$AC$373))))</f>
        <v>1.1769957807586209</v>
      </c>
      <c r="AD333">
        <f ca="1">IF(ISERROR(IF(AVERAGE($AD$334:$AD$373) = 0, "", AVERAGE($AD$334:$AD$373))), "", (IF(AVERAGE($AD$334:$AD$373) = 0, "", AVERAGE($AD$334:$AD$373))))</f>
        <v>0.93853369676666654</v>
      </c>
      <c r="AE333">
        <f ca="1">IF(ISERROR(IF(AVERAGE($AE$334:$AE$373) = 0, "", AVERAGE($AE$334:$AE$373))), "", (IF(AVERAGE($AE$334:$AE$373) = 0, "", AVERAGE($AE$334:$AE$373))))</f>
        <v>1.1270674477931037</v>
      </c>
      <c r="AF333">
        <f ca="1">IF(ISERROR(IF(AVERAGE($AF$334:$AF$373) = 0, "", AVERAGE($AF$334:$AF$373))), "", (IF(AVERAGE($AF$334:$AF$373) = 0, "", AVERAGE($AF$334:$AF$373))))</f>
        <v>1.4959535962413795</v>
      </c>
      <c r="AG333">
        <f ca="1">IF(ISERROR(IF(AVERAGE($AG$334:$AG$373) = 0, "", AVERAGE($AG$334:$AG$373))), "", (IF(AVERAGE($AG$334:$AG$373) = 0, "", AVERAGE($AG$334:$AG$373))))</f>
        <v>1.5910063854285714</v>
      </c>
      <c r="AH333">
        <f ca="1">IF(ISERROR(IF(AVERAGE($AH$334:$AH$373) = 0, "", AVERAGE($AH$334:$AH$373))), "", (IF(AVERAGE($AH$334:$AH$373) = 0, "", AVERAGE($AH$334:$AH$373))))</f>
        <v>1.5374467187037038</v>
      </c>
      <c r="AI333">
        <f ca="1">IF(ISERROR(IF(AVERAGE($AI$334:$AI$373) = 0, "", AVERAGE($AI$334:$AI$373))), "", (IF(AVERAGE($AI$334:$AI$373) = 0, "", AVERAGE($AI$334:$AI$373))))</f>
        <v>1.1798499715384616</v>
      </c>
      <c r="AJ333">
        <f ca="1">IF(ISERROR(IF(AVERAGE($AJ$334:$AJ$373) = 0, "", AVERAGE($AJ$334:$AJ$373))), "", (IF(AVERAGE($AJ$334:$AJ$373) = 0, "", AVERAGE($AJ$334:$AJ$373))))</f>
        <v>1.1040858661481483</v>
      </c>
      <c r="AK333">
        <f ca="1">IF(ISERROR(IF(AVERAGE($AK$334:$AK$373) = 0, "", AVERAGE($AK$334:$AK$373))), "", (IF(AVERAGE($AK$334:$AK$373) = 0, "", AVERAGE($AK$334:$AK$373))))</f>
        <v>1.42265812412</v>
      </c>
      <c r="AL333">
        <f ca="1">IF(ISERROR(IF(AVERAGE($AL$334:$AL$373) = 0, "", AVERAGE($AL$334:$AL$373))), "", (IF(AVERAGE($AL$334:$AL$373) = 0, "", AVERAGE($AL$334:$AL$373))))</f>
        <v>1.5403679574400002</v>
      </c>
      <c r="AM333">
        <f ca="1">IF(ISERROR(IF(AVERAGE($AM$334:$AM$373) = 0, "", AVERAGE($AM$334:$AM$373))), "", (IF(AVERAGE($AM$334:$AM$373) = 0, "", AVERAGE($AM$334:$AM$373))))</f>
        <v>1.7646495535</v>
      </c>
      <c r="AN333">
        <f ca="1">IF(ISERROR(IF(AVERAGE($AN$334:$AN$373) = 0, "", AVERAGE($AN$334:$AN$373))), "", (IF(AVERAGE($AN$334:$AN$373) = 0, "", AVERAGE($AN$334:$AN$373))))</f>
        <v>1.8012016409600005</v>
      </c>
      <c r="AO333">
        <f ca="1">IF(ISERROR(IF(AVERAGE($AO$334:$AO$373) = 0, "", AVERAGE($AO$334:$AO$373))), "", (IF(AVERAGE($AO$334:$AO$373) = 0, "", AVERAGE($AO$334:$AO$373))))</f>
        <v>0.74858315304545464</v>
      </c>
      <c r="AP333">
        <f ca="1">IF(ISERROR(IF(AVERAGE($AP$334:$AP$373) = 0, "", AVERAGE($AP$334:$AP$373))), "", (IF(AVERAGE($AP$334:$AP$373) = 0, "", AVERAGE($AP$334:$AP$373))))</f>
        <v>0.73715705238095242</v>
      </c>
      <c r="AQ333">
        <f ca="1">IF(ISERROR(IF(AVERAGE($AQ$334:$AQ$373) = 0, "", AVERAGE($AQ$334:$AQ$373))), "", (IF(AVERAGE($AQ$334:$AQ$373) = 0, "", AVERAGE($AQ$334:$AQ$373))))</f>
        <v>0.89376923660000007</v>
      </c>
      <c r="AR333">
        <f ca="1">IF(ISERROR(IF(AVERAGE($AR$334:$AR$373) = 0, "", AVERAGE($AR$334:$AR$373))), "", (IF(AVERAGE($AR$334:$AR$373) = 0, "", AVERAGE($AR$334:$AR$373))))</f>
        <v>0.79568691280000003</v>
      </c>
      <c r="AS333">
        <f ca="1">IF(ISERROR(IF(AVERAGE($AS$334:$AS$373) = 0, "", AVERAGE($AS$334:$AS$373))), "", (IF(AVERAGE($AS$334:$AS$373) = 0, "", AVERAGE($AS$334:$AS$373))))</f>
        <v>0.84618607852380934</v>
      </c>
      <c r="AT333">
        <f ca="1">IF(ISERROR(IF(AVERAGE($AT$334:$AT$373) = 0, "", AVERAGE($AT$334:$AT$373))), "", (IF(AVERAGE($AT$334:$AT$373) = 0, "", AVERAGE($AT$334:$AT$373))))</f>
        <v>0.66830022528571431</v>
      </c>
      <c r="AU333">
        <f ca="1">IF(ISERROR(IF(AVERAGE($AU$334:$AU$373) = 0, "", AVERAGE($AU$334:$AU$373))), "", (IF(AVERAGE($AU$334:$AU$373) = 0, "", AVERAGE($AU$334:$AU$373))))</f>
        <v>0.57013962215789471</v>
      </c>
      <c r="AV333">
        <f ca="1">IF(ISERROR(IF(AVERAGE($AV$334:$AV$373) = 0, "", AVERAGE($AV$334:$AV$373))), "", (IF(AVERAGE($AV$334:$AV$373) = 0, "", AVERAGE($AV$334:$AV$373))))</f>
        <v>0.60752668389473674</v>
      </c>
      <c r="AW333">
        <f ca="1">IF(ISERROR(IF(AVERAGE($AW$334:$AW$373) = 0, "", AVERAGE($AW$334:$AW$373))), "", (IF(AVERAGE($AW$334:$AW$373) = 0, "", AVERAGE($AW$334:$AW$373))))</f>
        <v>0.61515026752631585</v>
      </c>
      <c r="AX333">
        <f ca="1">IF(ISERROR(IF(AVERAGE($AX$334:$AX$373) = 0, "", AVERAGE($AX$334:$AX$373))), "", (IF(AVERAGE($AX$334:$AX$373) = 0, "", AVERAGE($AX$334:$AX$373))))</f>
        <v>0.7482336565263159</v>
      </c>
      <c r="AY333">
        <f ca="1">IF(ISERROR(IF(AVERAGE($AY$334:$AY$373) = 0, "", AVERAGE($AY$334:$AY$373))), "", (IF(AVERAGE($AY$334:$AY$373) = 0, "", AVERAGE($AY$334:$AY$373))))</f>
        <v>1.068108922789474</v>
      </c>
      <c r="AZ333">
        <f ca="1">IF(ISERROR(IF(AVERAGE($AZ$334:$AZ$373) = 0, "", AVERAGE($AZ$334:$AZ$373))), "", (IF(AVERAGE($AZ$334:$AZ$373) = 0, "", AVERAGE($AZ$334:$AZ$373))))</f>
        <v>1.1469306678947369</v>
      </c>
      <c r="BA333">
        <f ca="1">IF(ISERROR(IF(AVERAGE($BA$334:$BA$373) = 0, "", AVERAGE($BA$334:$BA$373))), "", (IF(AVERAGE($BA$334:$BA$373) = 0, "", AVERAGE($BA$334:$BA$373))))</f>
        <v>0.96153930452631564</v>
      </c>
      <c r="BB333">
        <f ca="1">IF(ISERROR(IF(AVERAGE($BB$334:$BB$373) = 0, "", AVERAGE($BB$334:$BB$373))), "", (IF(AVERAGE($BB$334:$BB$373) = 0, "", AVERAGE($BB$334:$BB$373))))</f>
        <v>0.95457128415789461</v>
      </c>
      <c r="BC333">
        <f ca="1">IF(ISERROR(IF(AVERAGE($BC$334:$BC$373) = 0, "", AVERAGE($BC$334:$BC$373))), "", (IF(AVERAGE($BC$334:$BC$373) = 0, "", AVERAGE($BC$334:$BC$373))))</f>
        <v>0.91111806005263174</v>
      </c>
      <c r="BD333">
        <f ca="1">IF(ISERROR(IF(AVERAGE($BD$334:$BD$373) = 0, "", AVERAGE($BD$334:$BD$373))), "", (IF(AVERAGE($BD$334:$BD$373) = 0, "", AVERAGE($BD$334:$BD$373))))</f>
        <v>0.85408560721052629</v>
      </c>
      <c r="BE333">
        <f ca="1">IF(ISERROR(IF(AVERAGE($BE$334:$BE$373) = 0, "", AVERAGE($BE$334:$BE$373))), "", (IF(AVERAGE($BE$334:$BE$373) = 0, "", AVERAGE($BE$334:$BE$373))))</f>
        <v>0.84386081152631576</v>
      </c>
      <c r="BF333">
        <f ca="1">IF(ISERROR(IF(AVERAGE($BF$334:$BF$373) = 0, "", AVERAGE($BF$334:$BF$373))), "", (IF(AVERAGE($BF$334:$BF$373) = 0, "", AVERAGE($BF$334:$BF$373))))</f>
        <v>0.78855977152631573</v>
      </c>
      <c r="BG333">
        <f ca="1">IF(ISERROR(IF(AVERAGE($BG$334:$BG$373) = 0, "", AVERAGE($BG$334:$BG$373))), "", (IF(AVERAGE($BG$334:$BG$373) = 0, "", AVERAGE($BG$334:$BG$373))))</f>
        <v>0.76406765182352943</v>
      </c>
      <c r="BH333">
        <f ca="1">IF(ISERROR(IF(AVERAGE($BH$334:$BH$373) = 0, "", AVERAGE($BH$334:$BH$373))), "", (IF(AVERAGE($BH$334:$BH$373) = 0, "", AVERAGE($BH$334:$BH$373))))</f>
        <v>0.79940173621052635</v>
      </c>
      <c r="BI333">
        <f ca="1">IF(ISERROR(IF(AVERAGE($BI$334:$BI$373) = 0, "", AVERAGE($BI$334:$BI$373))), "", (IF(AVERAGE($BI$334:$BI$373) = 0, "", AVERAGE($BI$334:$BI$373))))</f>
        <v>0.79386195899999978</v>
      </c>
      <c r="BJ333">
        <f ca="1">IF(ISERROR(IF(AVERAGE($BJ$334:$BJ$373) = 0, "", AVERAGE($BJ$334:$BJ$373))), "", (IF(AVERAGE($BJ$334:$BJ$373) = 0, "", AVERAGE($BJ$334:$BJ$373))))</f>
        <v>0.76666037155555555</v>
      </c>
      <c r="BK333">
        <f ca="1">IF(ISERROR(IF(AVERAGE($BK$334:$BK$373) = 0, "", AVERAGE($BK$334:$BK$373))), "", (IF(AVERAGE($BK$334:$BK$373) = 0, "", AVERAGE($BK$334:$BK$373))))</f>
        <v>0.86810089983333327</v>
      </c>
      <c r="BL333">
        <f ca="1">IF(ISERROR(IF(AVERAGE($BL$334:$BL$373) = 0, "", AVERAGE($BL$334:$BL$373))), "", (IF(AVERAGE($BL$334:$BL$373) = 0, "", AVERAGE($BL$334:$BL$373))))</f>
        <v>0.97103208206250002</v>
      </c>
      <c r="BM333">
        <f ca="1">IF(ISERROR(IF(AVERAGE($BM$334:$BM$373) = 0, "", AVERAGE($BM$334:$BM$373))), "", (IF(AVERAGE($BM$334:$BM$373) = 0, "", AVERAGE($BM$334:$BM$373))))</f>
        <v>1.1282727966363635</v>
      </c>
      <c r="BN333" t="str">
        <f>""</f>
        <v/>
      </c>
      <c r="BO333">
        <f>0.619914328</f>
        <v>0.61991432800000001</v>
      </c>
      <c r="BP333">
        <f>0.848966568</f>
        <v>0.84896656800000003</v>
      </c>
      <c r="BQ333">
        <f>0.948088279</f>
        <v>0.94808827900000003</v>
      </c>
      <c r="BR333">
        <f>0.999772682</f>
        <v>0.99977268200000002</v>
      </c>
      <c r="BS333">
        <f>1.116443195</f>
        <v>1.116443195</v>
      </c>
      <c r="BT333">
        <f>1.14869525</f>
        <v>1.1486952500000001</v>
      </c>
      <c r="BU333">
        <f>1.079027931</f>
        <v>1.0790279309999999</v>
      </c>
      <c r="BV333">
        <f>1.098180594</f>
        <v>1.098180594</v>
      </c>
      <c r="BW333">
        <f>1.029934724</f>
        <v>1.0299347240000001</v>
      </c>
      <c r="BX333">
        <f>0.932469786</f>
        <v>0.93246978599999997</v>
      </c>
      <c r="BY333">
        <f>1.029696817</f>
        <v>1.029696817</v>
      </c>
      <c r="BZ333">
        <f>1.098872777</f>
        <v>1.098872777</v>
      </c>
      <c r="CA333">
        <f>1.192440162</f>
        <v>1.192440162</v>
      </c>
      <c r="CB333">
        <f>1.207937806</f>
        <v>1.2079378059999999</v>
      </c>
      <c r="CC333">
        <f>1.366133432</f>
        <v>1.366133432</v>
      </c>
      <c r="CD333">
        <f>1.255410546</f>
        <v>1.255410546</v>
      </c>
      <c r="CE333">
        <f>1.247273476</f>
        <v>1.2472734759999999</v>
      </c>
      <c r="CF333">
        <f>1.222888841</f>
        <v>1.2228888410000001</v>
      </c>
      <c r="CG333">
        <f>1.261573905</f>
        <v>1.2615739050000001</v>
      </c>
      <c r="CH333">
        <f>1.265979027</f>
        <v>1.265979027</v>
      </c>
      <c r="CI333">
        <f>1.199427929</f>
        <v>1.1994279290000001</v>
      </c>
      <c r="CJ333">
        <f>1.329784576</f>
        <v>1.329784576</v>
      </c>
      <c r="CK333">
        <f>1.176995781</f>
        <v>1.176995781</v>
      </c>
      <c r="CL333">
        <f>0.938533697</f>
        <v>0.938533697</v>
      </c>
      <c r="CM333">
        <f>1.127067448</f>
        <v>1.127067448</v>
      </c>
      <c r="CN333">
        <f>1.495953596</f>
        <v>1.4959535960000001</v>
      </c>
      <c r="CO333">
        <f>1.591006385</f>
        <v>1.591006385</v>
      </c>
      <c r="CP333">
        <f>1.537446719</f>
        <v>1.5374467190000001</v>
      </c>
      <c r="CQ333">
        <f>1.179849971</f>
        <v>1.1798499710000001</v>
      </c>
      <c r="CR333">
        <f>1.104085866</f>
        <v>1.1040858659999999</v>
      </c>
      <c r="CS333">
        <f>1.422658124</f>
        <v>1.422658124</v>
      </c>
      <c r="CT333">
        <f>1.540367957</f>
        <v>1.540367957</v>
      </c>
      <c r="CU333">
        <f>1.764649553</f>
        <v>1.7646495529999999</v>
      </c>
      <c r="CV333">
        <f>1.801201641</f>
        <v>1.801201641</v>
      </c>
      <c r="CW333">
        <f>0.748583153</f>
        <v>0.748583153</v>
      </c>
      <c r="CX333">
        <f>0.737157052</f>
        <v>0.73715705200000003</v>
      </c>
      <c r="CY333">
        <f>0.893769237</f>
        <v>0.89376923699999999</v>
      </c>
      <c r="CZ333">
        <f>0.795686913</f>
        <v>0.79568691300000005</v>
      </c>
      <c r="DA333">
        <f>0.846186078</f>
        <v>0.84618607800000001</v>
      </c>
      <c r="DB333">
        <f>0.668300225</f>
        <v>0.66830022499999997</v>
      </c>
      <c r="DC333">
        <f>0.570139622</f>
        <v>0.57013962200000001</v>
      </c>
      <c r="DD333">
        <f>0.607526684</f>
        <v>0.60752668399999998</v>
      </c>
      <c r="DE333">
        <f>0.615150268</f>
        <v>0.61515026799999994</v>
      </c>
      <c r="DF333">
        <f>0.748233657</f>
        <v>0.748233657</v>
      </c>
      <c r="DG333">
        <f>1.068108923</f>
        <v>1.068108923</v>
      </c>
      <c r="DH333">
        <f>1.146930668</f>
        <v>1.146930668</v>
      </c>
      <c r="DI333">
        <f>0.961539305</f>
        <v>0.96153930499999996</v>
      </c>
      <c r="DJ333">
        <f>0.954571284</f>
        <v>0.95457128400000002</v>
      </c>
      <c r="DK333">
        <f>0.91111806</f>
        <v>0.91111805999999995</v>
      </c>
      <c r="DL333">
        <f>0.854085607</f>
        <v>0.85408560700000002</v>
      </c>
      <c r="DM333">
        <f>0.843860812</f>
        <v>0.84386081199999996</v>
      </c>
      <c r="DN333">
        <f>0.788559772</f>
        <v>0.78855977200000005</v>
      </c>
      <c r="DO333">
        <f>0.764067652</f>
        <v>0.76406765200000004</v>
      </c>
      <c r="DP333">
        <f>0.799401736</f>
        <v>0.79940173599999997</v>
      </c>
      <c r="DQ333">
        <f>0.793861959</f>
        <v>0.79386195900000001</v>
      </c>
      <c r="DR333">
        <f>0.766660372</f>
        <v>0.76666037200000003</v>
      </c>
      <c r="DS333">
        <f>0.8681009</f>
        <v>0.86810089999999995</v>
      </c>
      <c r="DT333">
        <f>0.971032082</f>
        <v>0.97103208200000002</v>
      </c>
      <c r="DU333">
        <f>1.128272797</f>
        <v>1.1282727969999999</v>
      </c>
    </row>
    <row r="334" spans="1:125" x14ac:dyDescent="0.25">
      <c r="A334" t="str">
        <f>"    AUDI AG"</f>
        <v xml:space="preserve">    AUDI AG</v>
      </c>
      <c r="B334" t="str">
        <f>"NSU GR Equity"</f>
        <v>NSU GR Equity</v>
      </c>
      <c r="C334" t="str">
        <f t="shared" ref="C334:C373" si="24">"RR473"</f>
        <v>RR473</v>
      </c>
      <c r="D334" t="str">
        <f t="shared" ref="D334:D373" si="25">"EV_TO_T12M_SALES"</f>
        <v>EV_TO_T12M_SALES</v>
      </c>
      <c r="E334" t="str">
        <f t="shared" ref="E334:E373" si="26">"Dynamic"</f>
        <v>Dynamic</v>
      </c>
      <c r="F334" t="str">
        <f ca="1">IF(AND(ISNUMBER($F$999),$B$677=1),$F$999,HLOOKUP(INDIRECT(ADDRESS(2,COLUMN())),OFFSET($BN$2,0,0,ROW()-1,60),ROW()-1,FALSE))</f>
        <v/>
      </c>
      <c r="G334" t="str">
        <f ca="1">IF(AND(ISNUMBER($G$999),$B$677=1),$G$999,HLOOKUP(INDIRECT(ADDRESS(2,COLUMN())),OFFSET($BN$2,0,0,ROW()-1,60),ROW()-1,FALSE))</f>
        <v/>
      </c>
      <c r="H334" t="str">
        <f ca="1">IF(AND(ISNUMBER($H$999),$B$677=1),$H$999,HLOOKUP(INDIRECT(ADDRESS(2,COLUMN())),OFFSET($BN$2,0,0,ROW()-1,60),ROW()-1,FALSE))</f>
        <v/>
      </c>
      <c r="I334" t="str">
        <f ca="1">IF(AND(ISNUMBER($I$999),$B$677=1),$I$999,HLOOKUP(INDIRECT(ADDRESS(2,COLUMN())),OFFSET($BN$2,0,0,ROW()-1,60),ROW()-1,FALSE))</f>
        <v/>
      </c>
      <c r="J334" t="str">
        <f ca="1">IF(AND(ISNUMBER($J$999),$B$677=1),$J$999,HLOOKUP(INDIRECT(ADDRESS(2,COLUMN())),OFFSET($BN$2,0,0,ROW()-1,60),ROW()-1,FALSE))</f>
        <v/>
      </c>
      <c r="K334" t="str">
        <f ca="1">IF(AND(ISNUMBER($K$999),$B$677=1),$K$999,HLOOKUP(INDIRECT(ADDRESS(2,COLUMN())),OFFSET($BN$2,0,0,ROW()-1,60),ROW()-1,FALSE))</f>
        <v/>
      </c>
      <c r="L334" t="str">
        <f ca="1">IF(AND(ISNUMBER($L$999),$B$677=1),$L$999,HLOOKUP(INDIRECT(ADDRESS(2,COLUMN())),OFFSET($BN$2,0,0,ROW()-1,60),ROW()-1,FALSE))</f>
        <v/>
      </c>
      <c r="M334" t="str">
        <f ca="1">IF(AND(ISNUMBER($M$999),$B$677=1),$M$999,HLOOKUP(INDIRECT(ADDRESS(2,COLUMN())),OFFSET($BN$2,0,0,ROW()-1,60),ROW()-1,FALSE))</f>
        <v/>
      </c>
      <c r="N334" t="str">
        <f ca="1">IF(AND(ISNUMBER($N$999),$B$677=1),$N$999,HLOOKUP(INDIRECT(ADDRESS(2,COLUMN())),OFFSET($BN$2,0,0,ROW()-1,60),ROW()-1,FALSE))</f>
        <v/>
      </c>
      <c r="O334" t="str">
        <f ca="1">IF(AND(ISNUMBER($O$999),$B$677=1),$O$999,HLOOKUP(INDIRECT(ADDRESS(2,COLUMN())),OFFSET($BN$2,0,0,ROW()-1,60),ROW()-1,FALSE))</f>
        <v/>
      </c>
      <c r="P334" t="str">
        <f ca="1">IF(AND(ISNUMBER($P$999),$B$677=1),$P$999,HLOOKUP(INDIRECT(ADDRESS(2,COLUMN())),OFFSET($BN$2,0,0,ROW()-1,60),ROW()-1,FALSE))</f>
        <v/>
      </c>
      <c r="Q334" t="str">
        <f ca="1">IF(AND(ISNUMBER($Q$999),$B$677=1),$Q$999,HLOOKUP(INDIRECT(ADDRESS(2,COLUMN())),OFFSET($BN$2,0,0,ROW()-1,60),ROW()-1,FALSE))</f>
        <v/>
      </c>
      <c r="R334" t="str">
        <f ca="1">IF(AND(ISNUMBER($R$999),$B$677=1),$R$999,HLOOKUP(INDIRECT(ADDRESS(2,COLUMN())),OFFSET($BN$2,0,0,ROW()-1,60),ROW()-1,FALSE))</f>
        <v/>
      </c>
      <c r="S334" t="str">
        <f ca="1">IF(AND(ISNUMBER($S$999),$B$677=1),$S$999,HLOOKUP(INDIRECT(ADDRESS(2,COLUMN())),OFFSET($BN$2,0,0,ROW()-1,60),ROW()-1,FALSE))</f>
        <v/>
      </c>
      <c r="T334" t="str">
        <f ca="1">IF(AND(ISNUMBER($T$999),$B$677=1),$T$999,HLOOKUP(INDIRECT(ADDRESS(2,COLUMN())),OFFSET($BN$2,0,0,ROW()-1,60),ROW()-1,FALSE))</f>
        <v/>
      </c>
      <c r="U334" t="str">
        <f ca="1">IF(AND(ISNUMBER($U$999),$B$677=1),$U$999,HLOOKUP(INDIRECT(ADDRESS(2,COLUMN())),OFFSET($BN$2,0,0,ROW()-1,60),ROW()-1,FALSE))</f>
        <v/>
      </c>
      <c r="V334" t="str">
        <f ca="1">IF(AND(ISNUMBER($V$999),$B$677=1),$V$999,HLOOKUP(INDIRECT(ADDRESS(2,COLUMN())),OFFSET($BN$2,0,0,ROW()-1,60),ROW()-1,FALSE))</f>
        <v/>
      </c>
      <c r="W334" t="str">
        <f ca="1">IF(AND(ISNUMBER($W$999),$B$677=1),$W$999,HLOOKUP(INDIRECT(ADDRESS(2,COLUMN())),OFFSET($BN$2,0,0,ROW()-1,60),ROW()-1,FALSE))</f>
        <v/>
      </c>
      <c r="X334" t="str">
        <f ca="1">IF(AND(ISNUMBER($X$999),$B$677=1),$X$999,HLOOKUP(INDIRECT(ADDRESS(2,COLUMN())),OFFSET($BN$2,0,0,ROW()-1,60),ROW()-1,FALSE))</f>
        <v/>
      </c>
      <c r="Y334" t="str">
        <f ca="1">IF(AND(ISNUMBER($Y$999),$B$677=1),$Y$999,HLOOKUP(INDIRECT(ADDRESS(2,COLUMN())),OFFSET($BN$2,0,0,ROW()-1,60),ROW()-1,FALSE))</f>
        <v/>
      </c>
      <c r="Z334" t="str">
        <f ca="1">IF(AND(ISNUMBER($Z$999),$B$677=1),$Z$999,HLOOKUP(INDIRECT(ADDRESS(2,COLUMN())),OFFSET($BN$2,0,0,ROW()-1,60),ROW()-1,FALSE))</f>
        <v/>
      </c>
      <c r="AA334" t="str">
        <f ca="1">IF(AND(ISNUMBER($AA$999),$B$677=1),$AA$999,HLOOKUP(INDIRECT(ADDRESS(2,COLUMN())),OFFSET($BN$2,0,0,ROW()-1,60),ROW()-1,FALSE))</f>
        <v/>
      </c>
      <c r="AB334" t="str">
        <f ca="1">IF(AND(ISNUMBER($AB$999),$B$677=1),$AB$999,HLOOKUP(INDIRECT(ADDRESS(2,COLUMN())),OFFSET($BN$2,0,0,ROW()-1,60),ROW()-1,FALSE))</f>
        <v/>
      </c>
      <c r="AC334" t="str">
        <f ca="1">IF(AND(ISNUMBER($AC$999),$B$677=1),$AC$999,HLOOKUP(INDIRECT(ADDRESS(2,COLUMN())),OFFSET($BN$2,0,0,ROW()-1,60),ROW()-1,FALSE))</f>
        <v/>
      </c>
      <c r="AD334" t="str">
        <f ca="1">IF(AND(ISNUMBER($AD$999),$B$677=1),$AD$999,HLOOKUP(INDIRECT(ADDRESS(2,COLUMN())),OFFSET($BN$2,0,0,ROW()-1,60),ROW()-1,FALSE))</f>
        <v/>
      </c>
      <c r="AE334" t="str">
        <f ca="1">IF(AND(ISNUMBER($AE$999),$B$677=1),$AE$999,HLOOKUP(INDIRECT(ADDRESS(2,COLUMN())),OFFSET($BN$2,0,0,ROW()-1,60),ROW()-1,FALSE))</f>
        <v/>
      </c>
      <c r="AF334" t="str">
        <f ca="1">IF(AND(ISNUMBER($AF$999),$B$677=1),$AF$999,HLOOKUP(INDIRECT(ADDRESS(2,COLUMN())),OFFSET($BN$2,0,0,ROW()-1,60),ROW()-1,FALSE))</f>
        <v/>
      </c>
      <c r="AG334" t="str">
        <f ca="1">IF(AND(ISNUMBER($AG$999),$B$677=1),$AG$999,HLOOKUP(INDIRECT(ADDRESS(2,COLUMN())),OFFSET($BN$2,0,0,ROW()-1,60),ROW()-1,FALSE))</f>
        <v/>
      </c>
      <c r="AH334" t="str">
        <f ca="1">IF(AND(ISNUMBER($AH$999),$B$677=1),$AH$999,HLOOKUP(INDIRECT(ADDRESS(2,COLUMN())),OFFSET($BN$2,0,0,ROW()-1,60),ROW()-1,FALSE))</f>
        <v/>
      </c>
      <c r="AI334" t="str">
        <f ca="1">IF(AND(ISNUMBER($AI$999),$B$677=1),$AI$999,HLOOKUP(INDIRECT(ADDRESS(2,COLUMN())),OFFSET($BN$2,0,0,ROW()-1,60),ROW()-1,FALSE))</f>
        <v/>
      </c>
      <c r="AJ334" t="str">
        <f ca="1">IF(AND(ISNUMBER($AJ$999),$B$677=1),$AJ$999,HLOOKUP(INDIRECT(ADDRESS(2,COLUMN())),OFFSET($BN$2,0,0,ROW()-1,60),ROW()-1,FALSE))</f>
        <v/>
      </c>
      <c r="AK334" t="str">
        <f ca="1">IF(AND(ISNUMBER($AK$999),$B$677=1),$AK$999,HLOOKUP(INDIRECT(ADDRESS(2,COLUMN())),OFFSET($BN$2,0,0,ROW()-1,60),ROW()-1,FALSE))</f>
        <v/>
      </c>
      <c r="AL334" t="str">
        <f ca="1">IF(AND(ISNUMBER($AL$999),$B$677=1),$AL$999,HLOOKUP(INDIRECT(ADDRESS(2,COLUMN())),OFFSET($BN$2,0,0,ROW()-1,60),ROW()-1,FALSE))</f>
        <v/>
      </c>
      <c r="AM334" t="str">
        <f ca="1">IF(AND(ISNUMBER($AM$999),$B$677=1),$AM$999,HLOOKUP(INDIRECT(ADDRESS(2,COLUMN())),OFFSET($BN$2,0,0,ROW()-1,60),ROW()-1,FALSE))</f>
        <v/>
      </c>
      <c r="AN334" t="str">
        <f ca="1">IF(AND(ISNUMBER($AN$999),$B$677=1),$AN$999,HLOOKUP(INDIRECT(ADDRESS(2,COLUMN())),OFFSET($BN$2,0,0,ROW()-1,60),ROW()-1,FALSE))</f>
        <v/>
      </c>
      <c r="AO334" t="str">
        <f ca="1">IF(AND(ISNUMBER($AO$999),$B$677=1),$AO$999,HLOOKUP(INDIRECT(ADDRESS(2,COLUMN())),OFFSET($BN$2,0,0,ROW()-1,60),ROW()-1,FALSE))</f>
        <v/>
      </c>
      <c r="AP334" t="str">
        <f ca="1">IF(AND(ISNUMBER($AP$999),$B$677=1),$AP$999,HLOOKUP(INDIRECT(ADDRESS(2,COLUMN())),OFFSET($BN$2,0,0,ROW()-1,60),ROW()-1,FALSE))</f>
        <v/>
      </c>
      <c r="AQ334" t="str">
        <f ca="1">IF(AND(ISNUMBER($AQ$999),$B$677=1),$AQ$999,HLOOKUP(INDIRECT(ADDRESS(2,COLUMN())),OFFSET($BN$2,0,0,ROW()-1,60),ROW()-1,FALSE))</f>
        <v/>
      </c>
      <c r="AR334" t="str">
        <f ca="1">IF(AND(ISNUMBER($AR$999),$B$677=1),$AR$999,HLOOKUP(INDIRECT(ADDRESS(2,COLUMN())),OFFSET($BN$2,0,0,ROW()-1,60),ROW()-1,FALSE))</f>
        <v/>
      </c>
      <c r="AS334" t="str">
        <f ca="1">IF(AND(ISNUMBER($AS$999),$B$677=1),$AS$999,HLOOKUP(INDIRECT(ADDRESS(2,COLUMN())),OFFSET($BN$2,0,0,ROW()-1,60),ROW()-1,FALSE))</f>
        <v/>
      </c>
      <c r="AT334" t="str">
        <f ca="1">IF(AND(ISNUMBER($AT$999),$B$677=1),$AT$999,HLOOKUP(INDIRECT(ADDRESS(2,COLUMN())),OFFSET($BN$2,0,0,ROW()-1,60),ROW()-1,FALSE))</f>
        <v/>
      </c>
      <c r="AU334" t="str">
        <f ca="1">IF(AND(ISNUMBER($AU$999),$B$677=1),$AU$999,HLOOKUP(INDIRECT(ADDRESS(2,COLUMN())),OFFSET($BN$2,0,0,ROW()-1,60),ROW()-1,FALSE))</f>
        <v/>
      </c>
      <c r="AV334" t="str">
        <f ca="1">IF(AND(ISNUMBER($AV$999),$B$677=1),$AV$999,HLOOKUP(INDIRECT(ADDRESS(2,COLUMN())),OFFSET($BN$2,0,0,ROW()-1,60),ROW()-1,FALSE))</f>
        <v/>
      </c>
      <c r="AW334" t="str">
        <f ca="1">IF(AND(ISNUMBER($AW$999),$B$677=1),$AW$999,HLOOKUP(INDIRECT(ADDRESS(2,COLUMN())),OFFSET($BN$2,0,0,ROW()-1,60),ROW()-1,FALSE))</f>
        <v/>
      </c>
      <c r="AX334" t="str">
        <f ca="1">IF(AND(ISNUMBER($AX$999),$B$677=1),$AX$999,HLOOKUP(INDIRECT(ADDRESS(2,COLUMN())),OFFSET($BN$2,0,0,ROW()-1,60),ROW()-1,FALSE))</f>
        <v/>
      </c>
      <c r="AY334" t="str">
        <f ca="1">IF(AND(ISNUMBER($AY$999),$B$677=1),$AY$999,HLOOKUP(INDIRECT(ADDRESS(2,COLUMN())),OFFSET($BN$2,0,0,ROW()-1,60),ROW()-1,FALSE))</f>
        <v/>
      </c>
      <c r="AZ334" t="str">
        <f ca="1">IF(AND(ISNUMBER($AZ$999),$B$677=1),$AZ$999,HLOOKUP(INDIRECT(ADDRESS(2,COLUMN())),OFFSET($BN$2,0,0,ROW()-1,60),ROW()-1,FALSE))</f>
        <v/>
      </c>
      <c r="BA334" t="str">
        <f ca="1">IF(AND(ISNUMBER($BA$999),$B$677=1),$BA$999,HLOOKUP(INDIRECT(ADDRESS(2,COLUMN())),OFFSET($BN$2,0,0,ROW()-1,60),ROW()-1,FALSE))</f>
        <v/>
      </c>
      <c r="BB334" t="str">
        <f ca="1">IF(AND(ISNUMBER($BB$999),$B$677=1),$BB$999,HLOOKUP(INDIRECT(ADDRESS(2,COLUMN())),OFFSET($BN$2,0,0,ROW()-1,60),ROW()-1,FALSE))</f>
        <v/>
      </c>
      <c r="BC334" t="str">
        <f ca="1">IF(AND(ISNUMBER($BC$999),$B$677=1),$BC$999,HLOOKUP(INDIRECT(ADDRESS(2,COLUMN())),OFFSET($BN$2,0,0,ROW()-1,60),ROW()-1,FALSE))</f>
        <v/>
      </c>
      <c r="BD334" t="str">
        <f ca="1">IF(AND(ISNUMBER($BD$999),$B$677=1),$BD$999,HLOOKUP(INDIRECT(ADDRESS(2,COLUMN())),OFFSET($BN$2,0,0,ROW()-1,60),ROW()-1,FALSE))</f>
        <v/>
      </c>
      <c r="BE334" t="str">
        <f ca="1">IF(AND(ISNUMBER($BE$999),$B$677=1),$BE$999,HLOOKUP(INDIRECT(ADDRESS(2,COLUMN())),OFFSET($BN$2,0,0,ROW()-1,60),ROW()-1,FALSE))</f>
        <v/>
      </c>
      <c r="BF334" t="str">
        <f ca="1">IF(AND(ISNUMBER($BF$999),$B$677=1),$BF$999,HLOOKUP(INDIRECT(ADDRESS(2,COLUMN())),OFFSET($BN$2,0,0,ROW()-1,60),ROW()-1,FALSE))</f>
        <v/>
      </c>
      <c r="BG334" t="str">
        <f ca="1">IF(AND(ISNUMBER($BG$999),$B$677=1),$BG$999,HLOOKUP(INDIRECT(ADDRESS(2,COLUMN())),OFFSET($BN$2,0,0,ROW()-1,60),ROW()-1,FALSE))</f>
        <v/>
      </c>
      <c r="BH334" t="str">
        <f ca="1">IF(AND(ISNUMBER($BH$999),$B$677=1),$BH$999,HLOOKUP(INDIRECT(ADDRESS(2,COLUMN())),OFFSET($BN$2,0,0,ROW()-1,60),ROW()-1,FALSE))</f>
        <v/>
      </c>
      <c r="BI334" t="str">
        <f ca="1">IF(AND(ISNUMBER($BI$999),$B$677=1),$BI$999,HLOOKUP(INDIRECT(ADDRESS(2,COLUMN())),OFFSET($BN$2,0,0,ROW()-1,60),ROW()-1,FALSE))</f>
        <v/>
      </c>
      <c r="BJ334" t="str">
        <f ca="1">IF(AND(ISNUMBER($BJ$999),$B$677=1),$BJ$999,HLOOKUP(INDIRECT(ADDRESS(2,COLUMN())),OFFSET($BN$2,0,0,ROW()-1,60),ROW()-1,FALSE))</f>
        <v/>
      </c>
      <c r="BK334" t="str">
        <f ca="1">IF(AND(ISNUMBER($BK$999),$B$677=1),$BK$999,HLOOKUP(INDIRECT(ADDRESS(2,COLUMN())),OFFSET($BN$2,0,0,ROW()-1,60),ROW()-1,FALSE))</f>
        <v/>
      </c>
      <c r="BL334" t="str">
        <f ca="1">IF(AND(ISNUMBER($BL$999),$B$677=1),$BL$999,HLOOKUP(INDIRECT(ADDRESS(2,COLUMN())),OFFSET($BN$2,0,0,ROW()-1,60),ROW()-1,FALSE))</f>
        <v/>
      </c>
      <c r="BM334" t="str">
        <f ca="1">IF(AND(ISNUMBER($BM$999),$B$677=1),$BM$999,HLOOKUP(INDIRECT(ADDRESS(2,COLUMN())),OFFSET($BN$2,0,0,ROW()-1,60),ROW()-1,FALSE))</f>
        <v/>
      </c>
      <c r="BN334" t="str">
        <f>""</f>
        <v/>
      </c>
      <c r="BO334" t="str">
        <f>""</f>
        <v/>
      </c>
      <c r="BP334" t="str">
        <f>""</f>
        <v/>
      </c>
      <c r="BQ334" t="str">
        <f>""</f>
        <v/>
      </c>
      <c r="BR334" t="str">
        <f>""</f>
        <v/>
      </c>
      <c r="BS334" t="str">
        <f>""</f>
        <v/>
      </c>
      <c r="BT334" t="str">
        <f>""</f>
        <v/>
      </c>
      <c r="BU334" t="str">
        <f>""</f>
        <v/>
      </c>
      <c r="BV334" t="str">
        <f>""</f>
        <v/>
      </c>
      <c r="BW334" t="str">
        <f>""</f>
        <v/>
      </c>
      <c r="BX334" t="str">
        <f>""</f>
        <v/>
      </c>
      <c r="BY334" t="str">
        <f>""</f>
        <v/>
      </c>
      <c r="BZ334" t="str">
        <f>""</f>
        <v/>
      </c>
      <c r="CA334" t="str">
        <f>""</f>
        <v/>
      </c>
      <c r="CB334" t="str">
        <f>""</f>
        <v/>
      </c>
      <c r="CC334" t="str">
        <f>""</f>
        <v/>
      </c>
      <c r="CD334" t="str">
        <f>""</f>
        <v/>
      </c>
      <c r="CE334" t="str">
        <f>""</f>
        <v/>
      </c>
      <c r="CF334" t="str">
        <f>""</f>
        <v/>
      </c>
      <c r="CG334" t="str">
        <f>""</f>
        <v/>
      </c>
      <c r="CH334" t="str">
        <f>""</f>
        <v/>
      </c>
      <c r="CI334" t="str">
        <f>""</f>
        <v/>
      </c>
      <c r="CJ334" t="str">
        <f>""</f>
        <v/>
      </c>
      <c r="CK334" t="str">
        <f>""</f>
        <v/>
      </c>
      <c r="CL334" t="str">
        <f>""</f>
        <v/>
      </c>
      <c r="CM334" t="str">
        <f>""</f>
        <v/>
      </c>
      <c r="CN334" t="str">
        <f>""</f>
        <v/>
      </c>
      <c r="CO334" t="str">
        <f>""</f>
        <v/>
      </c>
      <c r="CP334" t="str">
        <f>""</f>
        <v/>
      </c>
      <c r="CQ334" t="str">
        <f>""</f>
        <v/>
      </c>
      <c r="CR334" t="str">
        <f>""</f>
        <v/>
      </c>
      <c r="CS334" t="str">
        <f>""</f>
        <v/>
      </c>
      <c r="CT334" t="str">
        <f>""</f>
        <v/>
      </c>
      <c r="CU334" t="str">
        <f>""</f>
        <v/>
      </c>
      <c r="CV334" t="str">
        <f>""</f>
        <v/>
      </c>
      <c r="CW334" t="str">
        <f>""</f>
        <v/>
      </c>
      <c r="CX334" t="str">
        <f>""</f>
        <v/>
      </c>
      <c r="CY334" t="str">
        <f>""</f>
        <v/>
      </c>
      <c r="CZ334" t="str">
        <f>""</f>
        <v/>
      </c>
      <c r="DA334" t="str">
        <f>""</f>
        <v/>
      </c>
      <c r="DB334" t="str">
        <f>""</f>
        <v/>
      </c>
      <c r="DC334" t="str">
        <f>""</f>
        <v/>
      </c>
      <c r="DD334" t="str">
        <f>""</f>
        <v/>
      </c>
      <c r="DE334" t="str">
        <f>""</f>
        <v/>
      </c>
      <c r="DF334" t="str">
        <f>""</f>
        <v/>
      </c>
      <c r="DG334" t="str">
        <f>""</f>
        <v/>
      </c>
      <c r="DH334" t="str">
        <f>""</f>
        <v/>
      </c>
      <c r="DI334" t="str">
        <f>""</f>
        <v/>
      </c>
      <c r="DJ334" t="str">
        <f>""</f>
        <v/>
      </c>
      <c r="DK334" t="str">
        <f>""</f>
        <v/>
      </c>
      <c r="DL334" t="str">
        <f>""</f>
        <v/>
      </c>
      <c r="DM334" t="str">
        <f>""</f>
        <v/>
      </c>
      <c r="DN334" t="str">
        <f>""</f>
        <v/>
      </c>
      <c r="DO334" t="str">
        <f>""</f>
        <v/>
      </c>
      <c r="DP334" t="str">
        <f>""</f>
        <v/>
      </c>
      <c r="DQ334" t="str">
        <f>""</f>
        <v/>
      </c>
      <c r="DR334" t="str">
        <f>""</f>
        <v/>
      </c>
      <c r="DS334" t="str">
        <f>""</f>
        <v/>
      </c>
      <c r="DT334" t="str">
        <f>""</f>
        <v/>
      </c>
      <c r="DU334" t="str">
        <f>""</f>
        <v/>
      </c>
    </row>
    <row r="335" spans="1:125" x14ac:dyDescent="0.25">
      <c r="A335" t="str">
        <f>"    Avtovaz PJSC"</f>
        <v xml:space="preserve">    Avtovaz PJSC</v>
      </c>
      <c r="B335" t="str">
        <f>"AVAZ RM Equity"</f>
        <v>AVAZ RM Equity</v>
      </c>
      <c r="C335" t="str">
        <f t="shared" si="24"/>
        <v>RR473</v>
      </c>
      <c r="D335" t="str">
        <f t="shared" si="25"/>
        <v>EV_TO_T12M_SALES</v>
      </c>
      <c r="E335" t="str">
        <f t="shared" si="26"/>
        <v>Dynamic</v>
      </c>
      <c r="F335" t="str">
        <f ca="1">IF(AND(ISNUMBER($F$1000),$B$677=1),$F$1000,HLOOKUP(INDIRECT(ADDRESS(2,COLUMN())),OFFSET($BN$2,0,0,ROW()-1,60),ROW()-1,FALSE))</f>
        <v/>
      </c>
      <c r="G335" t="str">
        <f ca="1">IF(AND(ISNUMBER($G$1000),$B$677=1),$G$1000,HLOOKUP(INDIRECT(ADDRESS(2,COLUMN())),OFFSET($BN$2,0,0,ROW()-1,60),ROW()-1,FALSE))</f>
        <v/>
      </c>
      <c r="H335">
        <f ca="1">IF(AND(ISNUMBER($H$1000),$B$677=1),$H$1000,HLOOKUP(INDIRECT(ADDRESS(2,COLUMN())),OFFSET($BN$2,0,0,ROW()-1,60),ROW()-1,FALSE))</f>
        <v>0.48875676699999998</v>
      </c>
      <c r="I335">
        <f ca="1">IF(AND(ISNUMBER($I$1000),$B$677=1),$I$1000,HLOOKUP(INDIRECT(ADDRESS(2,COLUMN())),OFFSET($BN$2,0,0,ROW()-1,60),ROW()-1,FALSE))</f>
        <v>0.78246742300000005</v>
      </c>
      <c r="J335">
        <f ca="1">IF(AND(ISNUMBER($J$1000),$B$677=1),$J$1000,HLOOKUP(INDIRECT(ADDRESS(2,COLUMN())),OFFSET($BN$2,0,0,ROW()-1,60),ROW()-1,FALSE))</f>
        <v>0.55854499000000002</v>
      </c>
      <c r="K335">
        <f ca="1">IF(AND(ISNUMBER($K$1000),$B$677=1),$K$1000,HLOOKUP(INDIRECT(ADDRESS(2,COLUMN())),OFFSET($BN$2,0,0,ROW()-1,60),ROW()-1,FALSE))</f>
        <v>0.62840740900000003</v>
      </c>
      <c r="L335">
        <f ca="1">IF(AND(ISNUMBER($L$1000),$B$677=1),$L$1000,HLOOKUP(INDIRECT(ADDRESS(2,COLUMN())),OFFSET($BN$2,0,0,ROW()-1,60),ROW()-1,FALSE))</f>
        <v>0.70969131100000005</v>
      </c>
      <c r="M335">
        <f ca="1">IF(AND(ISNUMBER($M$1000),$B$677=1),$M$1000,HLOOKUP(INDIRECT(ADDRESS(2,COLUMN())),OFFSET($BN$2,0,0,ROW()-1,60),ROW()-1,FALSE))</f>
        <v>0.69871162399999998</v>
      </c>
      <c r="N335">
        <f ca="1">IF(AND(ISNUMBER($N$1000),$B$677=1),$N$1000,HLOOKUP(INDIRECT(ADDRESS(2,COLUMN())),OFFSET($BN$2,0,0,ROW()-1,60),ROW()-1,FALSE))</f>
        <v>0.75082355199999995</v>
      </c>
      <c r="O335">
        <f ca="1">IF(AND(ISNUMBER($O$1000),$B$677=1),$O$1000,HLOOKUP(INDIRECT(ADDRESS(2,COLUMN())),OFFSET($BN$2,0,0,ROW()-1,60),ROW()-1,FALSE))</f>
        <v>0.76871356800000001</v>
      </c>
      <c r="P335">
        <f ca="1">IF(AND(ISNUMBER($P$1000),$B$677=1),$P$1000,HLOOKUP(INDIRECT(ADDRESS(2,COLUMN())),OFFSET($BN$2,0,0,ROW()-1,60),ROW()-1,FALSE))</f>
        <v>0.700850635</v>
      </c>
      <c r="Q335">
        <f ca="1">IF(AND(ISNUMBER($Q$1000),$B$677=1),$Q$1000,HLOOKUP(INDIRECT(ADDRESS(2,COLUMN())),OFFSET($BN$2,0,0,ROW()-1,60),ROW()-1,FALSE))</f>
        <v>0.69582426600000002</v>
      </c>
      <c r="R335" t="str">
        <f ca="1">IF(AND(ISNUMBER($R$1000),$B$677=1),$R$1000,HLOOKUP(INDIRECT(ADDRESS(2,COLUMN())),OFFSET($BN$2,0,0,ROW()-1,60),ROW()-1,FALSE))</f>
        <v/>
      </c>
      <c r="S335" t="str">
        <f ca="1">IF(AND(ISNUMBER($S$1000),$B$677=1),$S$1000,HLOOKUP(INDIRECT(ADDRESS(2,COLUMN())),OFFSET($BN$2,0,0,ROW()-1,60),ROW()-1,FALSE))</f>
        <v/>
      </c>
      <c r="T335" t="str">
        <f ca="1">IF(AND(ISNUMBER($T$1000),$B$677=1),$T$1000,HLOOKUP(INDIRECT(ADDRESS(2,COLUMN())),OFFSET($BN$2,0,0,ROW()-1,60),ROW()-1,FALSE))</f>
        <v/>
      </c>
      <c r="U335" t="str">
        <f ca="1">IF(AND(ISNUMBER($U$1000),$B$677=1),$U$1000,HLOOKUP(INDIRECT(ADDRESS(2,COLUMN())),OFFSET($BN$2,0,0,ROW()-1,60),ROW()-1,FALSE))</f>
        <v/>
      </c>
      <c r="V335" t="str">
        <f ca="1">IF(AND(ISNUMBER($V$1000),$B$677=1),$V$1000,HLOOKUP(INDIRECT(ADDRESS(2,COLUMN())),OFFSET($BN$2,0,0,ROW()-1,60),ROW()-1,FALSE))</f>
        <v/>
      </c>
      <c r="W335" t="str">
        <f ca="1">IF(AND(ISNUMBER($W$1000),$B$677=1),$W$1000,HLOOKUP(INDIRECT(ADDRESS(2,COLUMN())),OFFSET($BN$2,0,0,ROW()-1,60),ROW()-1,FALSE))</f>
        <v/>
      </c>
      <c r="X335" t="str">
        <f ca="1">IF(AND(ISNUMBER($X$1000),$B$677=1),$X$1000,HLOOKUP(INDIRECT(ADDRESS(2,COLUMN())),OFFSET($BN$2,0,0,ROW()-1,60),ROW()-1,FALSE))</f>
        <v/>
      </c>
      <c r="Y335" t="str">
        <f ca="1">IF(AND(ISNUMBER($Y$1000),$B$677=1),$Y$1000,HLOOKUP(INDIRECT(ADDRESS(2,COLUMN())),OFFSET($BN$2,0,0,ROW()-1,60),ROW()-1,FALSE))</f>
        <v/>
      </c>
      <c r="Z335" t="str">
        <f ca="1">IF(AND(ISNUMBER($Z$1000),$B$677=1),$Z$1000,HLOOKUP(INDIRECT(ADDRESS(2,COLUMN())),OFFSET($BN$2,0,0,ROW()-1,60),ROW()-1,FALSE))</f>
        <v/>
      </c>
      <c r="AA335" t="str">
        <f ca="1">IF(AND(ISNUMBER($AA$1000),$B$677=1),$AA$1000,HLOOKUP(INDIRECT(ADDRESS(2,COLUMN())),OFFSET($BN$2,0,0,ROW()-1,60),ROW()-1,FALSE))</f>
        <v/>
      </c>
      <c r="AB335" t="str">
        <f ca="1">IF(AND(ISNUMBER($AB$1000),$B$677=1),$AB$1000,HLOOKUP(INDIRECT(ADDRESS(2,COLUMN())),OFFSET($BN$2,0,0,ROW()-1,60),ROW()-1,FALSE))</f>
        <v/>
      </c>
      <c r="AC335" t="str">
        <f ca="1">IF(AND(ISNUMBER($AC$1000),$B$677=1),$AC$1000,HLOOKUP(INDIRECT(ADDRESS(2,COLUMN())),OFFSET($BN$2,0,0,ROW()-1,60),ROW()-1,FALSE))</f>
        <v/>
      </c>
      <c r="AD335" t="str">
        <f ca="1">IF(AND(ISNUMBER($AD$1000),$B$677=1),$AD$1000,HLOOKUP(INDIRECT(ADDRESS(2,COLUMN())),OFFSET($BN$2,0,0,ROW()-1,60),ROW()-1,FALSE))</f>
        <v/>
      </c>
      <c r="AE335" t="str">
        <f ca="1">IF(AND(ISNUMBER($AE$1000),$B$677=1),$AE$1000,HLOOKUP(INDIRECT(ADDRESS(2,COLUMN())),OFFSET($BN$2,0,0,ROW()-1,60),ROW()-1,FALSE))</f>
        <v/>
      </c>
      <c r="AF335" t="str">
        <f ca="1">IF(AND(ISNUMBER($AF$1000),$B$677=1),$AF$1000,HLOOKUP(INDIRECT(ADDRESS(2,COLUMN())),OFFSET($BN$2,0,0,ROW()-1,60),ROW()-1,FALSE))</f>
        <v/>
      </c>
      <c r="AG335" t="str">
        <f ca="1">IF(AND(ISNUMBER($AG$1000),$B$677=1),$AG$1000,HLOOKUP(INDIRECT(ADDRESS(2,COLUMN())),OFFSET($BN$2,0,0,ROW()-1,60),ROW()-1,FALSE))</f>
        <v/>
      </c>
      <c r="AH335" t="str">
        <f ca="1">IF(AND(ISNUMBER($AH$1000),$B$677=1),$AH$1000,HLOOKUP(INDIRECT(ADDRESS(2,COLUMN())),OFFSET($BN$2,0,0,ROW()-1,60),ROW()-1,FALSE))</f>
        <v/>
      </c>
      <c r="AI335" t="str">
        <f ca="1">IF(AND(ISNUMBER($AI$1000),$B$677=1),$AI$1000,HLOOKUP(INDIRECT(ADDRESS(2,COLUMN())),OFFSET($BN$2,0,0,ROW()-1,60),ROW()-1,FALSE))</f>
        <v/>
      </c>
      <c r="AJ335" t="str">
        <f ca="1">IF(AND(ISNUMBER($AJ$1000),$B$677=1),$AJ$1000,HLOOKUP(INDIRECT(ADDRESS(2,COLUMN())),OFFSET($BN$2,0,0,ROW()-1,60),ROW()-1,FALSE))</f>
        <v/>
      </c>
      <c r="AK335" t="str">
        <f ca="1">IF(AND(ISNUMBER($AK$1000),$B$677=1),$AK$1000,HLOOKUP(INDIRECT(ADDRESS(2,COLUMN())),OFFSET($BN$2,0,0,ROW()-1,60),ROW()-1,FALSE))</f>
        <v/>
      </c>
      <c r="AL335" t="str">
        <f ca="1">IF(AND(ISNUMBER($AL$1000),$B$677=1),$AL$1000,HLOOKUP(INDIRECT(ADDRESS(2,COLUMN())),OFFSET($BN$2,0,0,ROW()-1,60),ROW()-1,FALSE))</f>
        <v/>
      </c>
      <c r="AM335" t="str">
        <f ca="1">IF(AND(ISNUMBER($AM$1000),$B$677=1),$AM$1000,HLOOKUP(INDIRECT(ADDRESS(2,COLUMN())),OFFSET($BN$2,0,0,ROW()-1,60),ROW()-1,FALSE))</f>
        <v/>
      </c>
      <c r="AN335" t="str">
        <f ca="1">IF(AND(ISNUMBER($AN$1000),$B$677=1),$AN$1000,HLOOKUP(INDIRECT(ADDRESS(2,COLUMN())),OFFSET($BN$2,0,0,ROW()-1,60),ROW()-1,FALSE))</f>
        <v/>
      </c>
      <c r="AO335" t="str">
        <f ca="1">IF(AND(ISNUMBER($AO$1000),$B$677=1),$AO$1000,HLOOKUP(INDIRECT(ADDRESS(2,COLUMN())),OFFSET($BN$2,0,0,ROW()-1,60),ROW()-1,FALSE))</f>
        <v/>
      </c>
      <c r="AP335" t="str">
        <f ca="1">IF(AND(ISNUMBER($AP$1000),$B$677=1),$AP$1000,HLOOKUP(INDIRECT(ADDRESS(2,COLUMN())),OFFSET($BN$2,0,0,ROW()-1,60),ROW()-1,FALSE))</f>
        <v/>
      </c>
      <c r="AQ335" t="str">
        <f ca="1">IF(AND(ISNUMBER($AQ$1000),$B$677=1),$AQ$1000,HLOOKUP(INDIRECT(ADDRESS(2,COLUMN())),OFFSET($BN$2,0,0,ROW()-1,60),ROW()-1,FALSE))</f>
        <v/>
      </c>
      <c r="AR335" t="str">
        <f ca="1">IF(AND(ISNUMBER($AR$1000),$B$677=1),$AR$1000,HLOOKUP(INDIRECT(ADDRESS(2,COLUMN())),OFFSET($BN$2,0,0,ROW()-1,60),ROW()-1,FALSE))</f>
        <v/>
      </c>
      <c r="AS335" t="str">
        <f ca="1">IF(AND(ISNUMBER($AS$1000),$B$677=1),$AS$1000,HLOOKUP(INDIRECT(ADDRESS(2,COLUMN())),OFFSET($BN$2,0,0,ROW()-1,60),ROW()-1,FALSE))</f>
        <v/>
      </c>
      <c r="AT335" t="str">
        <f ca="1">IF(AND(ISNUMBER($AT$1000),$B$677=1),$AT$1000,HLOOKUP(INDIRECT(ADDRESS(2,COLUMN())),OFFSET($BN$2,0,0,ROW()-1,60),ROW()-1,FALSE))</f>
        <v/>
      </c>
      <c r="AU335" t="str">
        <f ca="1">IF(AND(ISNUMBER($AU$1000),$B$677=1),$AU$1000,HLOOKUP(INDIRECT(ADDRESS(2,COLUMN())),OFFSET($BN$2,0,0,ROW()-1,60),ROW()-1,FALSE))</f>
        <v/>
      </c>
      <c r="AV335" t="str">
        <f ca="1">IF(AND(ISNUMBER($AV$1000),$B$677=1),$AV$1000,HLOOKUP(INDIRECT(ADDRESS(2,COLUMN())),OFFSET($BN$2,0,0,ROW()-1,60),ROW()-1,FALSE))</f>
        <v/>
      </c>
      <c r="AW335" t="str">
        <f ca="1">IF(AND(ISNUMBER($AW$1000),$B$677=1),$AW$1000,HLOOKUP(INDIRECT(ADDRESS(2,COLUMN())),OFFSET($BN$2,0,0,ROW()-1,60),ROW()-1,FALSE))</f>
        <v/>
      </c>
      <c r="AX335" t="str">
        <f ca="1">IF(AND(ISNUMBER($AX$1000),$B$677=1),$AX$1000,HLOOKUP(INDIRECT(ADDRESS(2,COLUMN())),OFFSET($BN$2,0,0,ROW()-1,60),ROW()-1,FALSE))</f>
        <v/>
      </c>
      <c r="AY335" t="str">
        <f ca="1">IF(AND(ISNUMBER($AY$1000),$B$677=1),$AY$1000,HLOOKUP(INDIRECT(ADDRESS(2,COLUMN())),OFFSET($BN$2,0,0,ROW()-1,60),ROW()-1,FALSE))</f>
        <v/>
      </c>
      <c r="AZ335" t="str">
        <f ca="1">IF(AND(ISNUMBER($AZ$1000),$B$677=1),$AZ$1000,HLOOKUP(INDIRECT(ADDRESS(2,COLUMN())),OFFSET($BN$2,0,0,ROW()-1,60),ROW()-1,FALSE))</f>
        <v/>
      </c>
      <c r="BA335" t="str">
        <f ca="1">IF(AND(ISNUMBER($BA$1000),$B$677=1),$BA$1000,HLOOKUP(INDIRECT(ADDRESS(2,COLUMN())),OFFSET($BN$2,0,0,ROW()-1,60),ROW()-1,FALSE))</f>
        <v/>
      </c>
      <c r="BB335" t="str">
        <f ca="1">IF(AND(ISNUMBER($BB$1000),$B$677=1),$BB$1000,HLOOKUP(INDIRECT(ADDRESS(2,COLUMN())),OFFSET($BN$2,0,0,ROW()-1,60),ROW()-1,FALSE))</f>
        <v/>
      </c>
      <c r="BC335" t="str">
        <f ca="1">IF(AND(ISNUMBER($BC$1000),$B$677=1),$BC$1000,HLOOKUP(INDIRECT(ADDRESS(2,COLUMN())),OFFSET($BN$2,0,0,ROW()-1,60),ROW()-1,FALSE))</f>
        <v/>
      </c>
      <c r="BD335" t="str">
        <f ca="1">IF(AND(ISNUMBER($BD$1000),$B$677=1),$BD$1000,HLOOKUP(INDIRECT(ADDRESS(2,COLUMN())),OFFSET($BN$2,0,0,ROW()-1,60),ROW()-1,FALSE))</f>
        <v/>
      </c>
      <c r="BE335" t="str">
        <f ca="1">IF(AND(ISNUMBER($BE$1000),$B$677=1),$BE$1000,HLOOKUP(INDIRECT(ADDRESS(2,COLUMN())),OFFSET($BN$2,0,0,ROW()-1,60),ROW()-1,FALSE))</f>
        <v/>
      </c>
      <c r="BF335" t="str">
        <f ca="1">IF(AND(ISNUMBER($BF$1000),$B$677=1),$BF$1000,HLOOKUP(INDIRECT(ADDRESS(2,COLUMN())),OFFSET($BN$2,0,0,ROW()-1,60),ROW()-1,FALSE))</f>
        <v/>
      </c>
      <c r="BG335" t="str">
        <f ca="1">IF(AND(ISNUMBER($BG$1000),$B$677=1),$BG$1000,HLOOKUP(INDIRECT(ADDRESS(2,COLUMN())),OFFSET($BN$2,0,0,ROW()-1,60),ROW()-1,FALSE))</f>
        <v/>
      </c>
      <c r="BH335" t="str">
        <f ca="1">IF(AND(ISNUMBER($BH$1000),$B$677=1),$BH$1000,HLOOKUP(INDIRECT(ADDRESS(2,COLUMN())),OFFSET($BN$2,0,0,ROW()-1,60),ROW()-1,FALSE))</f>
        <v/>
      </c>
      <c r="BI335" t="str">
        <f ca="1">IF(AND(ISNUMBER($BI$1000),$B$677=1),$BI$1000,HLOOKUP(INDIRECT(ADDRESS(2,COLUMN())),OFFSET($BN$2,0,0,ROW()-1,60),ROW()-1,FALSE))</f>
        <v/>
      </c>
      <c r="BJ335" t="str">
        <f ca="1">IF(AND(ISNUMBER($BJ$1000),$B$677=1),$BJ$1000,HLOOKUP(INDIRECT(ADDRESS(2,COLUMN())),OFFSET($BN$2,0,0,ROW()-1,60),ROW()-1,FALSE))</f>
        <v/>
      </c>
      <c r="BK335" t="str">
        <f ca="1">IF(AND(ISNUMBER($BK$1000),$B$677=1),$BK$1000,HLOOKUP(INDIRECT(ADDRESS(2,COLUMN())),OFFSET($BN$2,0,0,ROW()-1,60),ROW()-1,FALSE))</f>
        <v/>
      </c>
      <c r="BL335" t="str">
        <f ca="1">IF(AND(ISNUMBER($BL$1000),$B$677=1),$BL$1000,HLOOKUP(INDIRECT(ADDRESS(2,COLUMN())),OFFSET($BN$2,0,0,ROW()-1,60),ROW()-1,FALSE))</f>
        <v/>
      </c>
      <c r="BM335" t="str">
        <f ca="1">IF(AND(ISNUMBER($BM$1000),$B$677=1),$BM$1000,HLOOKUP(INDIRECT(ADDRESS(2,COLUMN())),OFFSET($BN$2,0,0,ROW()-1,60),ROW()-1,FALSE))</f>
        <v/>
      </c>
      <c r="BN335" t="str">
        <f>""</f>
        <v/>
      </c>
      <c r="BO335" t="str">
        <f>""</f>
        <v/>
      </c>
      <c r="BP335">
        <f>0.488756767</f>
        <v>0.48875676699999998</v>
      </c>
      <c r="BQ335">
        <f>0.782467423</f>
        <v>0.78246742300000005</v>
      </c>
      <c r="BR335">
        <f>0.55854499</f>
        <v>0.55854499000000002</v>
      </c>
      <c r="BS335">
        <f>0.628407409</f>
        <v>0.62840740900000003</v>
      </c>
      <c r="BT335">
        <f>0.709691311</f>
        <v>0.70969131100000005</v>
      </c>
      <c r="BU335">
        <f>0.698711624</f>
        <v>0.69871162399999998</v>
      </c>
      <c r="BV335">
        <f>0.750823552</f>
        <v>0.75082355199999995</v>
      </c>
      <c r="BW335">
        <f>0.768713568</f>
        <v>0.76871356800000001</v>
      </c>
      <c r="BX335">
        <f>0.700850635</f>
        <v>0.700850635</v>
      </c>
      <c r="BY335">
        <f>0.695824266</f>
        <v>0.69582426600000002</v>
      </c>
      <c r="BZ335" t="str">
        <f>""</f>
        <v/>
      </c>
      <c r="CA335" t="str">
        <f>""</f>
        <v/>
      </c>
      <c r="CB335" t="str">
        <f>""</f>
        <v/>
      </c>
      <c r="CC335" t="str">
        <f>""</f>
        <v/>
      </c>
      <c r="CD335" t="str">
        <f>""</f>
        <v/>
      </c>
      <c r="CE335" t="str">
        <f>""</f>
        <v/>
      </c>
      <c r="CF335" t="str">
        <f>""</f>
        <v/>
      </c>
      <c r="CG335" t="str">
        <f>""</f>
        <v/>
      </c>
      <c r="CH335" t="str">
        <f>""</f>
        <v/>
      </c>
      <c r="CI335" t="str">
        <f>""</f>
        <v/>
      </c>
      <c r="CJ335" t="str">
        <f>""</f>
        <v/>
      </c>
      <c r="CK335" t="str">
        <f>""</f>
        <v/>
      </c>
      <c r="CL335" t="str">
        <f>""</f>
        <v/>
      </c>
      <c r="CM335" t="str">
        <f>""</f>
        <v/>
      </c>
      <c r="CN335" t="str">
        <f>""</f>
        <v/>
      </c>
      <c r="CO335" t="str">
        <f>""</f>
        <v/>
      </c>
      <c r="CP335" t="str">
        <f>""</f>
        <v/>
      </c>
      <c r="CQ335" t="str">
        <f>""</f>
        <v/>
      </c>
      <c r="CR335" t="str">
        <f>""</f>
        <v/>
      </c>
      <c r="CS335" t="str">
        <f>""</f>
        <v/>
      </c>
      <c r="CT335" t="str">
        <f>""</f>
        <v/>
      </c>
      <c r="CU335" t="str">
        <f>""</f>
        <v/>
      </c>
      <c r="CV335" t="str">
        <f>""</f>
        <v/>
      </c>
      <c r="CW335" t="str">
        <f>""</f>
        <v/>
      </c>
      <c r="CX335" t="str">
        <f>""</f>
        <v/>
      </c>
      <c r="CY335" t="str">
        <f>""</f>
        <v/>
      </c>
      <c r="CZ335" t="str">
        <f>""</f>
        <v/>
      </c>
      <c r="DA335" t="str">
        <f>""</f>
        <v/>
      </c>
      <c r="DB335" t="str">
        <f>""</f>
        <v/>
      </c>
      <c r="DC335" t="str">
        <f>""</f>
        <v/>
      </c>
      <c r="DD335" t="str">
        <f>""</f>
        <v/>
      </c>
      <c r="DE335" t="str">
        <f>""</f>
        <v/>
      </c>
      <c r="DF335" t="str">
        <f>""</f>
        <v/>
      </c>
      <c r="DG335" t="str">
        <f>""</f>
        <v/>
      </c>
      <c r="DH335" t="str">
        <f>""</f>
        <v/>
      </c>
      <c r="DI335" t="str">
        <f>""</f>
        <v/>
      </c>
      <c r="DJ335" t="str">
        <f>""</f>
        <v/>
      </c>
      <c r="DK335" t="str">
        <f>""</f>
        <v/>
      </c>
      <c r="DL335" t="str">
        <f>""</f>
        <v/>
      </c>
      <c r="DM335" t="str">
        <f>""</f>
        <v/>
      </c>
      <c r="DN335" t="str">
        <f>""</f>
        <v/>
      </c>
      <c r="DO335" t="str">
        <f>""</f>
        <v/>
      </c>
      <c r="DP335" t="str">
        <f>""</f>
        <v/>
      </c>
      <c r="DQ335" t="str">
        <f>""</f>
        <v/>
      </c>
      <c r="DR335" t="str">
        <f>""</f>
        <v/>
      </c>
      <c r="DS335" t="str">
        <f>""</f>
        <v/>
      </c>
      <c r="DT335" t="str">
        <f>""</f>
        <v/>
      </c>
      <c r="DU335" t="str">
        <f>""</f>
        <v/>
      </c>
    </row>
    <row r="336" spans="1:125" x14ac:dyDescent="0.25">
      <c r="A336" t="str">
        <f>"    Bayerische Motoren Werke AG"</f>
        <v xml:space="preserve">    Bayerische Motoren Werke AG</v>
      </c>
      <c r="B336" t="str">
        <f>"BMW GR Equity"</f>
        <v>BMW GR Equity</v>
      </c>
      <c r="C336" t="str">
        <f t="shared" si="24"/>
        <v>RR473</v>
      </c>
      <c r="D336" t="str">
        <f t="shared" si="25"/>
        <v>EV_TO_T12M_SALES</v>
      </c>
      <c r="E336" t="str">
        <f t="shared" si="26"/>
        <v>Dynamic</v>
      </c>
      <c r="F336" t="str">
        <f ca="1">IF(AND(ISNUMBER($F$1001),$B$677=1),$F$1001,HLOOKUP(INDIRECT(ADDRESS(2,COLUMN())),OFFSET($BN$2,0,0,ROW()-1,60),ROW()-1,FALSE))</f>
        <v/>
      </c>
      <c r="G336" t="str">
        <f ca="1">IF(AND(ISNUMBER($G$1001),$B$677=1),$G$1001,HLOOKUP(INDIRECT(ADDRESS(2,COLUMN())),OFFSET($BN$2,0,0,ROW()-1,60),ROW()-1,FALSE))</f>
        <v/>
      </c>
      <c r="H336">
        <f ca="1">IF(AND(ISNUMBER($H$1001),$B$677=1),$H$1001,HLOOKUP(INDIRECT(ADDRESS(2,COLUMN())),OFFSET($BN$2,0,0,ROW()-1,60),ROW()-1,FALSE))</f>
        <v>0.96319626400000002</v>
      </c>
      <c r="I336">
        <f ca="1">IF(AND(ISNUMBER($I$1001),$B$677=1),$I$1001,HLOOKUP(INDIRECT(ADDRESS(2,COLUMN())),OFFSET($BN$2,0,0,ROW()-1,60),ROW()-1,FALSE))</f>
        <v>0.953560674</v>
      </c>
      <c r="J336">
        <f ca="1">IF(AND(ISNUMBER($J$1001),$B$677=1),$J$1001,HLOOKUP(INDIRECT(ADDRESS(2,COLUMN())),OFFSET($BN$2,0,0,ROW()-1,60),ROW()-1,FALSE))</f>
        <v>0.99375223999999995</v>
      </c>
      <c r="K336">
        <f ca="1">IF(AND(ISNUMBER($K$1001),$B$677=1),$K$1001,HLOOKUP(INDIRECT(ADDRESS(2,COLUMN())),OFFSET($BN$2,0,0,ROW()-1,60),ROW()-1,FALSE))</f>
        <v>0.96540314800000004</v>
      </c>
      <c r="L336">
        <f ca="1">IF(AND(ISNUMBER($L$1001),$B$677=1),$L$1001,HLOOKUP(INDIRECT(ADDRESS(2,COLUMN())),OFFSET($BN$2,0,0,ROW()-1,60),ROW()-1,FALSE))</f>
        <v>0.98531428099999996</v>
      </c>
      <c r="M336">
        <f ca="1">IF(AND(ISNUMBER($M$1001),$B$677=1),$M$1001,HLOOKUP(INDIRECT(ADDRESS(2,COLUMN())),OFFSET($BN$2,0,0,ROW()-1,60),ROW()-1,FALSE))</f>
        <v>0.97368049899999998</v>
      </c>
      <c r="N336">
        <f ca="1">IF(AND(ISNUMBER($N$1001),$B$677=1),$N$1001,HLOOKUP(INDIRECT(ADDRESS(2,COLUMN())),OFFSET($BN$2,0,0,ROW()-1,60),ROW()-1,FALSE))</f>
        <v>1.011430059</v>
      </c>
      <c r="O336">
        <f ca="1">IF(AND(ISNUMBER($O$1001),$B$677=1),$O$1001,HLOOKUP(INDIRECT(ADDRESS(2,COLUMN())),OFFSET($BN$2,0,0,ROW()-1,60),ROW()-1,FALSE))</f>
        <v>1.035358655</v>
      </c>
      <c r="P336">
        <f ca="1">IF(AND(ISNUMBER($P$1001),$B$677=1),$P$1001,HLOOKUP(INDIRECT(ADDRESS(2,COLUMN())),OFFSET($BN$2,0,0,ROW()-1,60),ROW()-1,FALSE))</f>
        <v>0.958783783</v>
      </c>
      <c r="Q336">
        <f ca="1">IF(AND(ISNUMBER($Q$1001),$B$677=1),$Q$1001,HLOOKUP(INDIRECT(ADDRESS(2,COLUMN())),OFFSET($BN$2,0,0,ROW()-1,60),ROW()-1,FALSE))</f>
        <v>0.92347164400000004</v>
      </c>
      <c r="R336">
        <f ca="1">IF(AND(ISNUMBER($R$1001),$B$677=1),$R$1001,HLOOKUP(INDIRECT(ADDRESS(2,COLUMN())),OFFSET($BN$2,0,0,ROW()-1,60),ROW()-1,FALSE))</f>
        <v>1.0242606169999999</v>
      </c>
      <c r="S336">
        <f ca="1">IF(AND(ISNUMBER($S$1001),$B$677=1),$S$1001,HLOOKUP(INDIRECT(ADDRESS(2,COLUMN())),OFFSET($BN$2,0,0,ROW()-1,60),ROW()-1,FALSE))</f>
        <v>1.110700657</v>
      </c>
      <c r="T336">
        <f ca="1">IF(AND(ISNUMBER($T$1001),$B$677=1),$T$1001,HLOOKUP(INDIRECT(ADDRESS(2,COLUMN())),OFFSET($BN$2,0,0,ROW()-1,60),ROW()-1,FALSE))</f>
        <v>1.046160711</v>
      </c>
      <c r="U336">
        <f ca="1">IF(AND(ISNUMBER($U$1001),$B$677=1),$U$1001,HLOOKUP(INDIRECT(ADDRESS(2,COLUMN())),OFFSET($BN$2,0,0,ROW()-1,60),ROW()-1,FALSE))</f>
        <v>1.232819554</v>
      </c>
      <c r="V336">
        <f ca="1">IF(AND(ISNUMBER($V$1001),$B$677=1),$V$1001,HLOOKUP(INDIRECT(ADDRESS(2,COLUMN())),OFFSET($BN$2,0,0,ROW()-1,60),ROW()-1,FALSE))</f>
        <v>1.4254519370000001</v>
      </c>
      <c r="W336">
        <f ca="1">IF(AND(ISNUMBER($W$1001),$B$677=1),$W$1001,HLOOKUP(INDIRECT(ADDRESS(2,COLUMN())),OFFSET($BN$2,0,0,ROW()-1,60),ROW()-1,FALSE))</f>
        <v>1.1908002740000001</v>
      </c>
      <c r="X336">
        <f ca="1">IF(AND(ISNUMBER($X$1001),$B$677=1),$X$1001,HLOOKUP(INDIRECT(ADDRESS(2,COLUMN())),OFFSET($BN$2,0,0,ROW()-1,60),ROW()-1,FALSE))</f>
        <v>1.15561968</v>
      </c>
      <c r="Y336">
        <f ca="1">IF(AND(ISNUMBER($Y$1001),$B$677=1),$Y$1001,HLOOKUP(INDIRECT(ADDRESS(2,COLUMN())),OFFSET($BN$2,0,0,ROW()-1,60),ROW()-1,FALSE))</f>
        <v>1.1962104689999999</v>
      </c>
      <c r="Z336">
        <f ca="1">IF(AND(ISNUMBER($Z$1001),$B$677=1),$Z$1001,HLOOKUP(INDIRECT(ADDRESS(2,COLUMN())),OFFSET($BN$2,0,0,ROW()-1,60),ROW()-1,FALSE))</f>
        <v>1.151492787</v>
      </c>
      <c r="AA336">
        <f ca="1">IF(AND(ISNUMBER($AA$1001),$B$677=1),$AA$1001,HLOOKUP(INDIRECT(ADDRESS(2,COLUMN())),OFFSET($BN$2,0,0,ROW()-1,60),ROW()-1,FALSE))</f>
        <v>1.111124912</v>
      </c>
      <c r="AB336">
        <f ca="1">IF(AND(ISNUMBER($AB$1001),$B$677=1),$AB$1001,HLOOKUP(INDIRECT(ADDRESS(2,COLUMN())),OFFSET($BN$2,0,0,ROW()-1,60),ROW()-1,FALSE))</f>
        <v>1.0403963679999999</v>
      </c>
      <c r="AC336">
        <f ca="1">IF(AND(ISNUMBER($AC$1001),$B$677=1),$AC$1001,HLOOKUP(INDIRECT(ADDRESS(2,COLUMN())),OFFSET($BN$2,0,0,ROW()-1,60),ROW()-1,FALSE))</f>
        <v>0.93256878099999996</v>
      </c>
      <c r="AD336">
        <f ca="1">IF(AND(ISNUMBER($AD$1001),$B$677=1),$AD$1001,HLOOKUP(INDIRECT(ADDRESS(2,COLUMN())),OFFSET($BN$2,0,0,ROW()-1,60),ROW()-1,FALSE))</f>
        <v>0.95134835799999995</v>
      </c>
      <c r="AE336">
        <f ca="1">IF(AND(ISNUMBER($AE$1001),$B$677=1),$AE$1001,HLOOKUP(INDIRECT(ADDRESS(2,COLUMN())),OFFSET($BN$2,0,0,ROW()-1,60),ROW()-1,FALSE))</f>
        <v>0.97698454000000001</v>
      </c>
      <c r="AF336">
        <f ca="1">IF(AND(ISNUMBER($AF$1001),$B$677=1),$AF$1001,HLOOKUP(INDIRECT(ADDRESS(2,COLUMN())),OFFSET($BN$2,0,0,ROW()-1,60),ROW()-1,FALSE))</f>
        <v>0.863884761</v>
      </c>
      <c r="AG336">
        <f ca="1">IF(AND(ISNUMBER($AG$1001),$B$677=1),$AG$1001,HLOOKUP(INDIRECT(ADDRESS(2,COLUMN())),OFFSET($BN$2,0,0,ROW()-1,60),ROW()-1,FALSE))</f>
        <v>0.92199404200000001</v>
      </c>
      <c r="AH336">
        <f ca="1">IF(AND(ISNUMBER($AH$1001),$B$677=1),$AH$1001,HLOOKUP(INDIRECT(ADDRESS(2,COLUMN())),OFFSET($BN$2,0,0,ROW()-1,60),ROW()-1,FALSE))</f>
        <v>1.008015847</v>
      </c>
      <c r="AI336">
        <f ca="1">IF(AND(ISNUMBER($AI$1001),$B$677=1),$AI$1001,HLOOKUP(INDIRECT(ADDRESS(2,COLUMN())),OFFSET($BN$2,0,0,ROW()-1,60),ROW()-1,FALSE))</f>
        <v>0.92168270699999999</v>
      </c>
      <c r="AJ336">
        <f ca="1">IF(AND(ISNUMBER($AJ$1001),$B$677=1),$AJ$1001,HLOOKUP(INDIRECT(ADDRESS(2,COLUMN())),OFFSET($BN$2,0,0,ROW()-1,60),ROW()-1,FALSE))</f>
        <v>0.90913664599999999</v>
      </c>
      <c r="AK336">
        <f ca="1">IF(AND(ISNUMBER($AK$1001),$B$677=1),$AK$1001,HLOOKUP(INDIRECT(ADDRESS(2,COLUMN())),OFFSET($BN$2,0,0,ROW()-1,60),ROW()-1,FALSE))</f>
        <v>1.035322286</v>
      </c>
      <c r="AL336">
        <f ca="1">IF(AND(ISNUMBER($AL$1001),$B$677=1),$AL$1001,HLOOKUP(INDIRECT(ADDRESS(2,COLUMN())),OFFSET($BN$2,0,0,ROW()-1,60),ROW()-1,FALSE))</f>
        <v>0.99349829599999995</v>
      </c>
      <c r="AM336">
        <f ca="1">IF(AND(ISNUMBER($AM$1001),$B$677=1),$AM$1001,HLOOKUP(INDIRECT(ADDRESS(2,COLUMN())),OFFSET($BN$2,0,0,ROW()-1,60),ROW()-1,FALSE))</f>
        <v>1.0935080129999999</v>
      </c>
      <c r="AN336">
        <f ca="1">IF(AND(ISNUMBER($AN$1001),$B$677=1),$AN$1001,HLOOKUP(INDIRECT(ADDRESS(2,COLUMN())),OFFSET($BN$2,0,0,ROW()-1,60),ROW()-1,FALSE))</f>
        <v>1.0239319360000001</v>
      </c>
      <c r="AO336">
        <f ca="1">IF(AND(ISNUMBER($AO$1001),$B$677=1),$AO$1001,HLOOKUP(INDIRECT(ADDRESS(2,COLUMN())),OFFSET($BN$2,0,0,ROW()-1,60),ROW()-1,FALSE))</f>
        <v>1.0261399490000001</v>
      </c>
      <c r="AP336">
        <f ca="1">IF(AND(ISNUMBER($AP$1001),$B$677=1),$AP$1001,HLOOKUP(INDIRECT(ADDRESS(2,COLUMN())),OFFSET($BN$2,0,0,ROW()-1,60),ROW()-1,FALSE))</f>
        <v>0.97550629899999997</v>
      </c>
      <c r="AQ336">
        <f ca="1">IF(AND(ISNUMBER($AQ$1001),$B$677=1),$AQ$1001,HLOOKUP(INDIRECT(ADDRESS(2,COLUMN())),OFFSET($BN$2,0,0,ROW()-1,60),ROW()-1,FALSE))</f>
        <v>0.98492038500000001</v>
      </c>
      <c r="AR336">
        <f ca="1">IF(AND(ISNUMBER($AR$1001),$B$677=1),$AR$1001,HLOOKUP(INDIRECT(ADDRESS(2,COLUMN())),OFFSET($BN$2,0,0,ROW()-1,60),ROW()-1,FALSE))</f>
        <v>1.0062534329999999</v>
      </c>
      <c r="AS336">
        <f ca="1">IF(AND(ISNUMBER($AS$1001),$B$677=1),$AS$1001,HLOOKUP(INDIRECT(ADDRESS(2,COLUMN())),OFFSET($BN$2,0,0,ROW()-1,60),ROW()-1,FALSE))</f>
        <v>0.88152510799999995</v>
      </c>
      <c r="AT336">
        <f ca="1">IF(AND(ISNUMBER($AT$1001),$B$677=1),$AT$1001,HLOOKUP(INDIRECT(ADDRESS(2,COLUMN())),OFFSET($BN$2,0,0,ROW()-1,60),ROW()-1,FALSE))</f>
        <v>0.817639593</v>
      </c>
      <c r="AU336">
        <f ca="1">IF(AND(ISNUMBER($AU$1001),$B$677=1),$AU$1001,HLOOKUP(INDIRECT(ADDRESS(2,COLUMN())),OFFSET($BN$2,0,0,ROW()-1,60),ROW()-1,FALSE))</f>
        <v>1.160658583</v>
      </c>
      <c r="AV336">
        <f ca="1">IF(AND(ISNUMBER($AV$1001),$B$677=1),$AV$1001,HLOOKUP(INDIRECT(ADDRESS(2,COLUMN())),OFFSET($BN$2,0,0,ROW()-1,60),ROW()-1,FALSE))</f>
        <v>1.1512423899999999</v>
      </c>
      <c r="AW336">
        <f ca="1">IF(AND(ISNUMBER($AW$1001),$B$677=1),$AW$1001,HLOOKUP(INDIRECT(ADDRESS(2,COLUMN())),OFFSET($BN$2,0,0,ROW()-1,60),ROW()-1,FALSE))</f>
        <v>1.044349856</v>
      </c>
      <c r="AX336">
        <f ca="1">IF(AND(ISNUMBER($AX$1001),$B$677=1),$AX$1001,HLOOKUP(INDIRECT(ADDRESS(2,COLUMN())),OFFSET($BN$2,0,0,ROW()-1,60),ROW()-1,FALSE))</f>
        <v>1.047262758</v>
      </c>
      <c r="AY336">
        <f ca="1">IF(AND(ISNUMBER($AY$1001),$B$677=1),$AY$1001,HLOOKUP(INDIRECT(ADDRESS(2,COLUMN())),OFFSET($BN$2,0,0,ROW()-1,60),ROW()-1,FALSE))</f>
        <v>1.1757659110000001</v>
      </c>
      <c r="AZ336">
        <f ca="1">IF(AND(ISNUMBER($AZ$1001),$B$677=1),$AZ$1001,HLOOKUP(INDIRECT(ADDRESS(2,COLUMN())),OFFSET($BN$2,0,0,ROW()-1,60),ROW()-1,FALSE))</f>
        <v>1.2505434849999999</v>
      </c>
      <c r="BA336">
        <f ca="1">IF(AND(ISNUMBER($BA$1001),$B$677=1),$BA$1001,HLOOKUP(INDIRECT(ADDRESS(2,COLUMN())),OFFSET($BN$2,0,0,ROW()-1,60),ROW()-1,FALSE))</f>
        <v>1.324956639</v>
      </c>
      <c r="BB336">
        <f ca="1">IF(AND(ISNUMBER($BB$1001),$B$677=1),$BB$1001,HLOOKUP(INDIRECT(ADDRESS(2,COLUMN())),OFFSET($BN$2,0,0,ROW()-1,60),ROW()-1,FALSE))</f>
        <v>1.2599303449999999</v>
      </c>
      <c r="BC336">
        <f ca="1">IF(AND(ISNUMBER($BC$1001),$B$677=1),$BC$1001,HLOOKUP(INDIRECT(ADDRESS(2,COLUMN())),OFFSET($BN$2,0,0,ROW()-1,60),ROW()-1,FALSE))</f>
        <v>1.254272839</v>
      </c>
      <c r="BD336">
        <f ca="1">IF(AND(ISNUMBER($BD$1001),$B$677=1),$BD$1001,HLOOKUP(INDIRECT(ADDRESS(2,COLUMN())),OFFSET($BN$2,0,0,ROW()-1,60),ROW()-1,FALSE))</f>
        <v>1.1932021340000001</v>
      </c>
      <c r="BE336">
        <f ca="1">IF(AND(ISNUMBER($BE$1001),$B$677=1),$BE$1001,HLOOKUP(INDIRECT(ADDRESS(2,COLUMN())),OFFSET($BN$2,0,0,ROW()-1,60),ROW()-1,FALSE))</f>
        <v>1.1052642450000001</v>
      </c>
      <c r="BF336">
        <f ca="1">IF(AND(ISNUMBER($BF$1001),$B$677=1),$BF$1001,HLOOKUP(INDIRECT(ADDRESS(2,COLUMN())),OFFSET($BN$2,0,0,ROW()-1,60),ROW()-1,FALSE))</f>
        <v>1.219003694</v>
      </c>
      <c r="BG336">
        <f ca="1">IF(AND(ISNUMBER($BG$1001),$B$677=1),$BG$1001,HLOOKUP(INDIRECT(ADDRESS(2,COLUMN())),OFFSET($BN$2,0,0,ROW()-1,60),ROW()-1,FALSE))</f>
        <v>1.1817965640000001</v>
      </c>
      <c r="BH336">
        <f ca="1">IF(AND(ISNUMBER($BH$1001),$B$677=1),$BH$1001,HLOOKUP(INDIRECT(ADDRESS(2,COLUMN())),OFFSET($BN$2,0,0,ROW()-1,60),ROW()-1,FALSE))</f>
        <v>1.19949215</v>
      </c>
      <c r="BI336">
        <f ca="1">IF(AND(ISNUMBER($BI$1001),$B$677=1),$BI$1001,HLOOKUP(INDIRECT(ADDRESS(2,COLUMN())),OFFSET($BN$2,0,0,ROW()-1,60),ROW()-1,FALSE))</f>
        <v>1.204493027</v>
      </c>
      <c r="BJ336">
        <f ca="1">IF(AND(ISNUMBER($BJ$1001),$B$677=1),$BJ$1001,HLOOKUP(INDIRECT(ADDRESS(2,COLUMN())),OFFSET($BN$2,0,0,ROW()-1,60),ROW()-1,FALSE))</f>
        <v>1.1564856779999999</v>
      </c>
      <c r="BK336">
        <f ca="1">IF(AND(ISNUMBER($BK$1001),$B$677=1),$BK$1001,HLOOKUP(INDIRECT(ADDRESS(2,COLUMN())),OFFSET($BN$2,0,0,ROW()-1,60),ROW()-1,FALSE))</f>
        <v>1.0429329270000001</v>
      </c>
      <c r="BL336">
        <f ca="1">IF(AND(ISNUMBER($BL$1001),$B$677=1),$BL$1001,HLOOKUP(INDIRECT(ADDRESS(2,COLUMN())),OFFSET($BN$2,0,0,ROW()-1,60),ROW()-1,FALSE))</f>
        <v>1.0504100869999999</v>
      </c>
      <c r="BM336">
        <f ca="1">IF(AND(ISNUMBER($BM$1001),$B$677=1),$BM$1001,HLOOKUP(INDIRECT(ADDRESS(2,COLUMN())),OFFSET($BN$2,0,0,ROW()-1,60),ROW()-1,FALSE))</f>
        <v>1.1040497069999999</v>
      </c>
      <c r="BN336" t="str">
        <f>""</f>
        <v/>
      </c>
      <c r="BO336" t="str">
        <f>""</f>
        <v/>
      </c>
      <c r="BP336">
        <f>0.963196264</f>
        <v>0.96319626400000002</v>
      </c>
      <c r="BQ336">
        <f>0.953560674</f>
        <v>0.953560674</v>
      </c>
      <c r="BR336">
        <f>0.99375224</f>
        <v>0.99375223999999995</v>
      </c>
      <c r="BS336">
        <f>0.965403148</f>
        <v>0.96540314800000004</v>
      </c>
      <c r="BT336">
        <f>0.985314281</f>
        <v>0.98531428099999996</v>
      </c>
      <c r="BU336">
        <f>0.973680499</f>
        <v>0.97368049899999998</v>
      </c>
      <c r="BV336">
        <f>1.011430059</f>
        <v>1.011430059</v>
      </c>
      <c r="BW336">
        <f>1.035358655</f>
        <v>1.035358655</v>
      </c>
      <c r="BX336">
        <f>0.958783783</f>
        <v>0.958783783</v>
      </c>
      <c r="BY336">
        <f>0.923471644</f>
        <v>0.92347164400000004</v>
      </c>
      <c r="BZ336">
        <f>1.024260617</f>
        <v>1.0242606169999999</v>
      </c>
      <c r="CA336">
        <f>1.110700657</f>
        <v>1.110700657</v>
      </c>
      <c r="CB336">
        <f>1.046160711</f>
        <v>1.046160711</v>
      </c>
      <c r="CC336">
        <f>1.232819554</f>
        <v>1.232819554</v>
      </c>
      <c r="CD336">
        <f>1.425451937</f>
        <v>1.4254519370000001</v>
      </c>
      <c r="CE336">
        <f>1.190800274</f>
        <v>1.1908002740000001</v>
      </c>
      <c r="CF336">
        <f>1.15561968</f>
        <v>1.15561968</v>
      </c>
      <c r="CG336">
        <f>1.196210469</f>
        <v>1.1962104689999999</v>
      </c>
      <c r="CH336">
        <f>1.151492787</f>
        <v>1.151492787</v>
      </c>
      <c r="CI336">
        <f>1.111124912</f>
        <v>1.111124912</v>
      </c>
      <c r="CJ336">
        <f>1.040396368</f>
        <v>1.0403963679999999</v>
      </c>
      <c r="CK336">
        <f>0.932568781</f>
        <v>0.93256878099999996</v>
      </c>
      <c r="CL336">
        <f>0.951348358</f>
        <v>0.95134835799999995</v>
      </c>
      <c r="CM336">
        <f>0.97698454</f>
        <v>0.97698454000000001</v>
      </c>
      <c r="CN336">
        <f>0.863884761</f>
        <v>0.863884761</v>
      </c>
      <c r="CO336">
        <f>0.921994042</f>
        <v>0.92199404200000001</v>
      </c>
      <c r="CP336">
        <f>1.008015847</f>
        <v>1.008015847</v>
      </c>
      <c r="CQ336">
        <f>0.921682707</f>
        <v>0.92168270699999999</v>
      </c>
      <c r="CR336">
        <f>0.909136646</f>
        <v>0.90913664599999999</v>
      </c>
      <c r="CS336">
        <f>1.035322286</f>
        <v>1.035322286</v>
      </c>
      <c r="CT336">
        <f>0.993498296</f>
        <v>0.99349829599999995</v>
      </c>
      <c r="CU336">
        <f>1.093508013</f>
        <v>1.0935080129999999</v>
      </c>
      <c r="CV336">
        <f>1.023931936</f>
        <v>1.0239319360000001</v>
      </c>
      <c r="CW336">
        <f>1.026139949</f>
        <v>1.0261399490000001</v>
      </c>
      <c r="CX336">
        <f>0.975506299</f>
        <v>0.97550629899999997</v>
      </c>
      <c r="CY336">
        <f>0.984920385</f>
        <v>0.98492038500000001</v>
      </c>
      <c r="CZ336">
        <f>1.006253433</f>
        <v>1.0062534329999999</v>
      </c>
      <c r="DA336">
        <f>0.881525108</f>
        <v>0.88152510799999995</v>
      </c>
      <c r="DB336">
        <f>0.817639593</f>
        <v>0.817639593</v>
      </c>
      <c r="DC336">
        <f>1.160658583</f>
        <v>1.160658583</v>
      </c>
      <c r="DD336">
        <f>1.15124239</f>
        <v>1.1512423899999999</v>
      </c>
      <c r="DE336">
        <f>1.044349856</f>
        <v>1.044349856</v>
      </c>
      <c r="DF336">
        <f>1.047262758</f>
        <v>1.047262758</v>
      </c>
      <c r="DG336">
        <f>1.175765911</f>
        <v>1.1757659110000001</v>
      </c>
      <c r="DH336">
        <f>1.250543485</f>
        <v>1.2505434849999999</v>
      </c>
      <c r="DI336">
        <f>1.324956639</f>
        <v>1.324956639</v>
      </c>
      <c r="DJ336">
        <f>1.259930345</f>
        <v>1.2599303449999999</v>
      </c>
      <c r="DK336">
        <f>1.254272839</f>
        <v>1.254272839</v>
      </c>
      <c r="DL336">
        <f>1.193202134</f>
        <v>1.1932021340000001</v>
      </c>
      <c r="DM336">
        <f>1.105264245</f>
        <v>1.1052642450000001</v>
      </c>
      <c r="DN336">
        <f>1.219003694</f>
        <v>1.219003694</v>
      </c>
      <c r="DO336">
        <f>1.181796564</f>
        <v>1.1817965640000001</v>
      </c>
      <c r="DP336">
        <f>1.19949215</f>
        <v>1.19949215</v>
      </c>
      <c r="DQ336">
        <f>1.204493027</f>
        <v>1.204493027</v>
      </c>
      <c r="DR336">
        <f>1.156485678</f>
        <v>1.1564856779999999</v>
      </c>
      <c r="DS336">
        <f>1.042932927</f>
        <v>1.0429329270000001</v>
      </c>
      <c r="DT336">
        <f>1.050410087</f>
        <v>1.0504100869999999</v>
      </c>
      <c r="DU336">
        <f>1.104049707</f>
        <v>1.1040497069999999</v>
      </c>
    </row>
    <row r="337" spans="1:125" x14ac:dyDescent="0.25">
      <c r="A337" t="str">
        <f>"    Brilliance China Automotive Holdings Ltd"</f>
        <v xml:space="preserve">    Brilliance China Automotive Holdings Ltd</v>
      </c>
      <c r="B337" t="str">
        <f>"1114 HK Equity"</f>
        <v>1114 HK Equity</v>
      </c>
      <c r="C337" t="str">
        <f t="shared" si="24"/>
        <v>RR473</v>
      </c>
      <c r="D337" t="str">
        <f t="shared" si="25"/>
        <v>EV_TO_T12M_SALES</v>
      </c>
      <c r="E337" t="str">
        <f t="shared" si="26"/>
        <v>Dynamic</v>
      </c>
      <c r="F337" t="str">
        <f ca="1">IF(AND(ISNUMBER($F$1002),$B$677=1),$F$1002,HLOOKUP(INDIRECT(ADDRESS(2,COLUMN())),OFFSET($BN$2,0,0,ROW()-1,60),ROW()-1,FALSE))</f>
        <v/>
      </c>
      <c r="G337" t="str">
        <f ca="1">IF(AND(ISNUMBER($G$1002),$B$677=1),$G$1002,HLOOKUP(INDIRECT(ADDRESS(2,COLUMN())),OFFSET($BN$2,0,0,ROW()-1,60),ROW()-1,FALSE))</f>
        <v/>
      </c>
      <c r="H337" t="str">
        <f ca="1">IF(AND(ISNUMBER($H$1002),$B$677=1),$H$1002,HLOOKUP(INDIRECT(ADDRESS(2,COLUMN())),OFFSET($BN$2,0,0,ROW()-1,60),ROW()-1,FALSE))</f>
        <v/>
      </c>
      <c r="I337" t="str">
        <f ca="1">IF(AND(ISNUMBER($I$1002),$B$677=1),$I$1002,HLOOKUP(INDIRECT(ADDRESS(2,COLUMN())),OFFSET($BN$2,0,0,ROW()-1,60),ROW()-1,FALSE))</f>
        <v/>
      </c>
      <c r="J337" t="str">
        <f ca="1">IF(AND(ISNUMBER($J$1002),$B$677=1),$J$1002,HLOOKUP(INDIRECT(ADDRESS(2,COLUMN())),OFFSET($BN$2,0,0,ROW()-1,60),ROW()-1,FALSE))</f>
        <v/>
      </c>
      <c r="K337" t="str">
        <f ca="1">IF(AND(ISNUMBER($K$1002),$B$677=1),$K$1002,HLOOKUP(INDIRECT(ADDRESS(2,COLUMN())),OFFSET($BN$2,0,0,ROW()-1,60),ROW()-1,FALSE))</f>
        <v/>
      </c>
      <c r="L337" t="str">
        <f ca="1">IF(AND(ISNUMBER($L$1002),$B$677=1),$L$1002,HLOOKUP(INDIRECT(ADDRESS(2,COLUMN())),OFFSET($BN$2,0,0,ROW()-1,60),ROW()-1,FALSE))</f>
        <v/>
      </c>
      <c r="M337" t="str">
        <f ca="1">IF(AND(ISNUMBER($M$1002),$B$677=1),$M$1002,HLOOKUP(INDIRECT(ADDRESS(2,COLUMN())),OFFSET($BN$2,0,0,ROW()-1,60),ROW()-1,FALSE))</f>
        <v/>
      </c>
      <c r="N337" t="str">
        <f ca="1">IF(AND(ISNUMBER($N$1002),$B$677=1),$N$1002,HLOOKUP(INDIRECT(ADDRESS(2,COLUMN())),OFFSET($BN$2,0,0,ROW()-1,60),ROW()-1,FALSE))</f>
        <v/>
      </c>
      <c r="O337" t="str">
        <f ca="1">IF(AND(ISNUMBER($O$1002),$B$677=1),$O$1002,HLOOKUP(INDIRECT(ADDRESS(2,COLUMN())),OFFSET($BN$2,0,0,ROW()-1,60),ROW()-1,FALSE))</f>
        <v/>
      </c>
      <c r="P337" t="str">
        <f ca="1">IF(AND(ISNUMBER($P$1002),$B$677=1),$P$1002,HLOOKUP(INDIRECT(ADDRESS(2,COLUMN())),OFFSET($BN$2,0,0,ROW()-1,60),ROW()-1,FALSE))</f>
        <v/>
      </c>
      <c r="Q337" t="str">
        <f ca="1">IF(AND(ISNUMBER($Q$1002),$B$677=1),$Q$1002,HLOOKUP(INDIRECT(ADDRESS(2,COLUMN())),OFFSET($BN$2,0,0,ROW()-1,60),ROW()-1,FALSE))</f>
        <v/>
      </c>
      <c r="R337" t="str">
        <f ca="1">IF(AND(ISNUMBER($R$1002),$B$677=1),$R$1002,HLOOKUP(INDIRECT(ADDRESS(2,COLUMN())),OFFSET($BN$2,0,0,ROW()-1,60),ROW()-1,FALSE))</f>
        <v/>
      </c>
      <c r="S337" t="str">
        <f ca="1">IF(AND(ISNUMBER($S$1002),$B$677=1),$S$1002,HLOOKUP(INDIRECT(ADDRESS(2,COLUMN())),OFFSET($BN$2,0,0,ROW()-1,60),ROW()-1,FALSE))</f>
        <v/>
      </c>
      <c r="T337" t="str">
        <f ca="1">IF(AND(ISNUMBER($T$1002),$B$677=1),$T$1002,HLOOKUP(INDIRECT(ADDRESS(2,COLUMN())),OFFSET($BN$2,0,0,ROW()-1,60),ROW()-1,FALSE))</f>
        <v/>
      </c>
      <c r="U337" t="str">
        <f ca="1">IF(AND(ISNUMBER($U$1002),$B$677=1),$U$1002,HLOOKUP(INDIRECT(ADDRESS(2,COLUMN())),OFFSET($BN$2,0,0,ROW()-1,60),ROW()-1,FALSE))</f>
        <v/>
      </c>
      <c r="V337" t="str">
        <f ca="1">IF(AND(ISNUMBER($V$1002),$B$677=1),$V$1002,HLOOKUP(INDIRECT(ADDRESS(2,COLUMN())),OFFSET($BN$2,0,0,ROW()-1,60),ROW()-1,FALSE))</f>
        <v/>
      </c>
      <c r="W337" t="str">
        <f ca="1">IF(AND(ISNUMBER($W$1002),$B$677=1),$W$1002,HLOOKUP(INDIRECT(ADDRESS(2,COLUMN())),OFFSET($BN$2,0,0,ROW()-1,60),ROW()-1,FALSE))</f>
        <v/>
      </c>
      <c r="X337" t="str">
        <f ca="1">IF(AND(ISNUMBER($X$1002),$B$677=1),$X$1002,HLOOKUP(INDIRECT(ADDRESS(2,COLUMN())),OFFSET($BN$2,0,0,ROW()-1,60),ROW()-1,FALSE))</f>
        <v/>
      </c>
      <c r="Y337" t="str">
        <f ca="1">IF(AND(ISNUMBER($Y$1002),$B$677=1),$Y$1002,HLOOKUP(INDIRECT(ADDRESS(2,COLUMN())),OFFSET($BN$2,0,0,ROW()-1,60),ROW()-1,FALSE))</f>
        <v/>
      </c>
      <c r="Z337" t="str">
        <f ca="1">IF(AND(ISNUMBER($Z$1002),$B$677=1),$Z$1002,HLOOKUP(INDIRECT(ADDRESS(2,COLUMN())),OFFSET($BN$2,0,0,ROW()-1,60),ROW()-1,FALSE))</f>
        <v/>
      </c>
      <c r="AA337" t="str">
        <f ca="1">IF(AND(ISNUMBER($AA$1002),$B$677=1),$AA$1002,HLOOKUP(INDIRECT(ADDRESS(2,COLUMN())),OFFSET($BN$2,0,0,ROW()-1,60),ROW()-1,FALSE))</f>
        <v/>
      </c>
      <c r="AB337" t="str">
        <f ca="1">IF(AND(ISNUMBER($AB$1002),$B$677=1),$AB$1002,HLOOKUP(INDIRECT(ADDRESS(2,COLUMN())),OFFSET($BN$2,0,0,ROW()-1,60),ROW()-1,FALSE))</f>
        <v/>
      </c>
      <c r="AC337" t="str">
        <f ca="1">IF(AND(ISNUMBER($AC$1002),$B$677=1),$AC$1002,HLOOKUP(INDIRECT(ADDRESS(2,COLUMN())),OFFSET($BN$2,0,0,ROW()-1,60),ROW()-1,FALSE))</f>
        <v/>
      </c>
      <c r="AD337" t="str">
        <f ca="1">IF(AND(ISNUMBER($AD$1002),$B$677=1),$AD$1002,HLOOKUP(INDIRECT(ADDRESS(2,COLUMN())),OFFSET($BN$2,0,0,ROW()-1,60),ROW()-1,FALSE))</f>
        <v/>
      </c>
      <c r="AE337" t="str">
        <f ca="1">IF(AND(ISNUMBER($AE$1002),$B$677=1),$AE$1002,HLOOKUP(INDIRECT(ADDRESS(2,COLUMN())),OFFSET($BN$2,0,0,ROW()-1,60),ROW()-1,FALSE))</f>
        <v/>
      </c>
      <c r="AF337" t="str">
        <f ca="1">IF(AND(ISNUMBER($AF$1002),$B$677=1),$AF$1002,HLOOKUP(INDIRECT(ADDRESS(2,COLUMN())),OFFSET($BN$2,0,0,ROW()-1,60),ROW()-1,FALSE))</f>
        <v/>
      </c>
      <c r="AG337" t="str">
        <f ca="1">IF(AND(ISNUMBER($AG$1002),$B$677=1),$AG$1002,HLOOKUP(INDIRECT(ADDRESS(2,COLUMN())),OFFSET($BN$2,0,0,ROW()-1,60),ROW()-1,FALSE))</f>
        <v/>
      </c>
      <c r="AH337" t="str">
        <f ca="1">IF(AND(ISNUMBER($AH$1002),$B$677=1),$AH$1002,HLOOKUP(INDIRECT(ADDRESS(2,COLUMN())),OFFSET($BN$2,0,0,ROW()-1,60),ROW()-1,FALSE))</f>
        <v/>
      </c>
      <c r="AI337" t="str">
        <f ca="1">IF(AND(ISNUMBER($AI$1002),$B$677=1),$AI$1002,HLOOKUP(INDIRECT(ADDRESS(2,COLUMN())),OFFSET($BN$2,0,0,ROW()-1,60),ROW()-1,FALSE))</f>
        <v/>
      </c>
      <c r="AJ337" t="str">
        <f ca="1">IF(AND(ISNUMBER($AJ$1002),$B$677=1),$AJ$1002,HLOOKUP(INDIRECT(ADDRESS(2,COLUMN())),OFFSET($BN$2,0,0,ROW()-1,60),ROW()-1,FALSE))</f>
        <v/>
      </c>
      <c r="AK337" t="str">
        <f ca="1">IF(AND(ISNUMBER($AK$1002),$B$677=1),$AK$1002,HLOOKUP(INDIRECT(ADDRESS(2,COLUMN())),OFFSET($BN$2,0,0,ROW()-1,60),ROW()-1,FALSE))</f>
        <v/>
      </c>
      <c r="AL337" t="str">
        <f ca="1">IF(AND(ISNUMBER($AL$1002),$B$677=1),$AL$1002,HLOOKUP(INDIRECT(ADDRESS(2,COLUMN())),OFFSET($BN$2,0,0,ROW()-1,60),ROW()-1,FALSE))</f>
        <v/>
      </c>
      <c r="AM337" t="str">
        <f ca="1">IF(AND(ISNUMBER($AM$1002),$B$677=1),$AM$1002,HLOOKUP(INDIRECT(ADDRESS(2,COLUMN())),OFFSET($BN$2,0,0,ROW()-1,60),ROW()-1,FALSE))</f>
        <v/>
      </c>
      <c r="AN337" t="str">
        <f ca="1">IF(AND(ISNUMBER($AN$1002),$B$677=1),$AN$1002,HLOOKUP(INDIRECT(ADDRESS(2,COLUMN())),OFFSET($BN$2,0,0,ROW()-1,60),ROW()-1,FALSE))</f>
        <v/>
      </c>
      <c r="AO337" t="str">
        <f ca="1">IF(AND(ISNUMBER($AO$1002),$B$677=1),$AO$1002,HLOOKUP(INDIRECT(ADDRESS(2,COLUMN())),OFFSET($BN$2,0,0,ROW()-1,60),ROW()-1,FALSE))</f>
        <v/>
      </c>
      <c r="AP337" t="str">
        <f ca="1">IF(AND(ISNUMBER($AP$1002),$B$677=1),$AP$1002,HLOOKUP(INDIRECT(ADDRESS(2,COLUMN())),OFFSET($BN$2,0,0,ROW()-1,60),ROW()-1,FALSE))</f>
        <v/>
      </c>
      <c r="AQ337" t="str">
        <f ca="1">IF(AND(ISNUMBER($AQ$1002),$B$677=1),$AQ$1002,HLOOKUP(INDIRECT(ADDRESS(2,COLUMN())),OFFSET($BN$2,0,0,ROW()-1,60),ROW()-1,FALSE))</f>
        <v/>
      </c>
      <c r="AR337" t="str">
        <f ca="1">IF(AND(ISNUMBER($AR$1002),$B$677=1),$AR$1002,HLOOKUP(INDIRECT(ADDRESS(2,COLUMN())),OFFSET($BN$2,0,0,ROW()-1,60),ROW()-1,FALSE))</f>
        <v/>
      </c>
      <c r="AS337" t="str">
        <f ca="1">IF(AND(ISNUMBER($AS$1002),$B$677=1),$AS$1002,HLOOKUP(INDIRECT(ADDRESS(2,COLUMN())),OFFSET($BN$2,0,0,ROW()-1,60),ROW()-1,FALSE))</f>
        <v/>
      </c>
      <c r="AT337" t="str">
        <f ca="1">IF(AND(ISNUMBER($AT$1002),$B$677=1),$AT$1002,HLOOKUP(INDIRECT(ADDRESS(2,COLUMN())),OFFSET($BN$2,0,0,ROW()-1,60),ROW()-1,FALSE))</f>
        <v/>
      </c>
      <c r="AU337" t="str">
        <f ca="1">IF(AND(ISNUMBER($AU$1002),$B$677=1),$AU$1002,HLOOKUP(INDIRECT(ADDRESS(2,COLUMN())),OFFSET($BN$2,0,0,ROW()-1,60),ROW()-1,FALSE))</f>
        <v/>
      </c>
      <c r="AV337" t="str">
        <f ca="1">IF(AND(ISNUMBER($AV$1002),$B$677=1),$AV$1002,HLOOKUP(INDIRECT(ADDRESS(2,COLUMN())),OFFSET($BN$2,0,0,ROW()-1,60),ROW()-1,FALSE))</f>
        <v/>
      </c>
      <c r="AW337" t="str">
        <f ca="1">IF(AND(ISNUMBER($AW$1002),$B$677=1),$AW$1002,HLOOKUP(INDIRECT(ADDRESS(2,COLUMN())),OFFSET($BN$2,0,0,ROW()-1,60),ROW()-1,FALSE))</f>
        <v/>
      </c>
      <c r="AX337" t="str">
        <f ca="1">IF(AND(ISNUMBER($AX$1002),$B$677=1),$AX$1002,HLOOKUP(INDIRECT(ADDRESS(2,COLUMN())),OFFSET($BN$2,0,0,ROW()-1,60),ROW()-1,FALSE))</f>
        <v/>
      </c>
      <c r="AY337" t="str">
        <f ca="1">IF(AND(ISNUMBER($AY$1002),$B$677=1),$AY$1002,HLOOKUP(INDIRECT(ADDRESS(2,COLUMN())),OFFSET($BN$2,0,0,ROW()-1,60),ROW()-1,FALSE))</f>
        <v/>
      </c>
      <c r="AZ337" t="str">
        <f ca="1">IF(AND(ISNUMBER($AZ$1002),$B$677=1),$AZ$1002,HLOOKUP(INDIRECT(ADDRESS(2,COLUMN())),OFFSET($BN$2,0,0,ROW()-1,60),ROW()-1,FALSE))</f>
        <v/>
      </c>
      <c r="BA337" t="str">
        <f ca="1">IF(AND(ISNUMBER($BA$1002),$B$677=1),$BA$1002,HLOOKUP(INDIRECT(ADDRESS(2,COLUMN())),OFFSET($BN$2,0,0,ROW()-1,60),ROW()-1,FALSE))</f>
        <v/>
      </c>
      <c r="BB337" t="str">
        <f ca="1">IF(AND(ISNUMBER($BB$1002),$B$677=1),$BB$1002,HLOOKUP(INDIRECT(ADDRESS(2,COLUMN())),OFFSET($BN$2,0,0,ROW()-1,60),ROW()-1,FALSE))</f>
        <v/>
      </c>
      <c r="BC337" t="str">
        <f ca="1">IF(AND(ISNUMBER($BC$1002),$B$677=1),$BC$1002,HLOOKUP(INDIRECT(ADDRESS(2,COLUMN())),OFFSET($BN$2,0,0,ROW()-1,60),ROW()-1,FALSE))</f>
        <v/>
      </c>
      <c r="BD337" t="str">
        <f ca="1">IF(AND(ISNUMBER($BD$1002),$B$677=1),$BD$1002,HLOOKUP(INDIRECT(ADDRESS(2,COLUMN())),OFFSET($BN$2,0,0,ROW()-1,60),ROW()-1,FALSE))</f>
        <v/>
      </c>
      <c r="BE337" t="str">
        <f ca="1">IF(AND(ISNUMBER($BE$1002),$B$677=1),$BE$1002,HLOOKUP(INDIRECT(ADDRESS(2,COLUMN())),OFFSET($BN$2,0,0,ROW()-1,60),ROW()-1,FALSE))</f>
        <v/>
      </c>
      <c r="BF337" t="str">
        <f ca="1">IF(AND(ISNUMBER($BF$1002),$B$677=1),$BF$1002,HLOOKUP(INDIRECT(ADDRESS(2,COLUMN())),OFFSET($BN$2,0,0,ROW()-1,60),ROW()-1,FALSE))</f>
        <v/>
      </c>
      <c r="BG337" t="str">
        <f ca="1">IF(AND(ISNUMBER($BG$1002),$B$677=1),$BG$1002,HLOOKUP(INDIRECT(ADDRESS(2,COLUMN())),OFFSET($BN$2,0,0,ROW()-1,60),ROW()-1,FALSE))</f>
        <v/>
      </c>
      <c r="BH337" t="str">
        <f ca="1">IF(AND(ISNUMBER($BH$1002),$B$677=1),$BH$1002,HLOOKUP(INDIRECT(ADDRESS(2,COLUMN())),OFFSET($BN$2,0,0,ROW()-1,60),ROW()-1,FALSE))</f>
        <v/>
      </c>
      <c r="BI337" t="str">
        <f ca="1">IF(AND(ISNUMBER($BI$1002),$B$677=1),$BI$1002,HLOOKUP(INDIRECT(ADDRESS(2,COLUMN())),OFFSET($BN$2,0,0,ROW()-1,60),ROW()-1,FALSE))</f>
        <v/>
      </c>
      <c r="BJ337" t="str">
        <f ca="1">IF(AND(ISNUMBER($BJ$1002),$B$677=1),$BJ$1002,HLOOKUP(INDIRECT(ADDRESS(2,COLUMN())),OFFSET($BN$2,0,0,ROW()-1,60),ROW()-1,FALSE))</f>
        <v/>
      </c>
      <c r="BK337" t="str">
        <f ca="1">IF(AND(ISNUMBER($BK$1002),$B$677=1),$BK$1002,HLOOKUP(INDIRECT(ADDRESS(2,COLUMN())),OFFSET($BN$2,0,0,ROW()-1,60),ROW()-1,FALSE))</f>
        <v/>
      </c>
      <c r="BL337" t="str">
        <f ca="1">IF(AND(ISNUMBER($BL$1002),$B$677=1),$BL$1002,HLOOKUP(INDIRECT(ADDRESS(2,COLUMN())),OFFSET($BN$2,0,0,ROW()-1,60),ROW()-1,FALSE))</f>
        <v/>
      </c>
      <c r="BM337" t="str">
        <f ca="1">IF(AND(ISNUMBER($BM$1002),$B$677=1),$BM$1002,HLOOKUP(INDIRECT(ADDRESS(2,COLUMN())),OFFSET($BN$2,0,0,ROW()-1,60),ROW()-1,FALSE))</f>
        <v/>
      </c>
      <c r="BN337" t="str">
        <f>""</f>
        <v/>
      </c>
      <c r="BO337" t="str">
        <f>""</f>
        <v/>
      </c>
      <c r="BP337" t="str">
        <f>""</f>
        <v/>
      </c>
      <c r="BQ337" t="str">
        <f>""</f>
        <v/>
      </c>
      <c r="BR337" t="str">
        <f>""</f>
        <v/>
      </c>
      <c r="BS337" t="str">
        <f>""</f>
        <v/>
      </c>
      <c r="BT337" t="str">
        <f>""</f>
        <v/>
      </c>
      <c r="BU337" t="str">
        <f>""</f>
        <v/>
      </c>
      <c r="BV337" t="str">
        <f>""</f>
        <v/>
      </c>
      <c r="BW337" t="str">
        <f>""</f>
        <v/>
      </c>
      <c r="BX337" t="str">
        <f>""</f>
        <v/>
      </c>
      <c r="BY337" t="str">
        <f>""</f>
        <v/>
      </c>
      <c r="BZ337" t="str">
        <f>""</f>
        <v/>
      </c>
      <c r="CA337" t="str">
        <f>""</f>
        <v/>
      </c>
      <c r="CB337" t="str">
        <f>""</f>
        <v/>
      </c>
      <c r="CC337" t="str">
        <f>""</f>
        <v/>
      </c>
      <c r="CD337" t="str">
        <f>""</f>
        <v/>
      </c>
      <c r="CE337" t="str">
        <f>""</f>
        <v/>
      </c>
      <c r="CF337" t="str">
        <f>""</f>
        <v/>
      </c>
      <c r="CG337" t="str">
        <f>""</f>
        <v/>
      </c>
      <c r="CH337" t="str">
        <f>""</f>
        <v/>
      </c>
      <c r="CI337" t="str">
        <f>""</f>
        <v/>
      </c>
      <c r="CJ337" t="str">
        <f>""</f>
        <v/>
      </c>
      <c r="CK337" t="str">
        <f>""</f>
        <v/>
      </c>
      <c r="CL337" t="str">
        <f>""</f>
        <v/>
      </c>
      <c r="CM337" t="str">
        <f>""</f>
        <v/>
      </c>
      <c r="CN337" t="str">
        <f>""</f>
        <v/>
      </c>
      <c r="CO337" t="str">
        <f>""</f>
        <v/>
      </c>
      <c r="CP337" t="str">
        <f>""</f>
        <v/>
      </c>
      <c r="CQ337" t="str">
        <f>""</f>
        <v/>
      </c>
      <c r="CR337" t="str">
        <f>""</f>
        <v/>
      </c>
      <c r="CS337" t="str">
        <f>""</f>
        <v/>
      </c>
      <c r="CT337" t="str">
        <f>""</f>
        <v/>
      </c>
      <c r="CU337" t="str">
        <f>""</f>
        <v/>
      </c>
      <c r="CV337" t="str">
        <f>""</f>
        <v/>
      </c>
      <c r="CW337" t="str">
        <f>""</f>
        <v/>
      </c>
      <c r="CX337" t="str">
        <f>""</f>
        <v/>
      </c>
      <c r="CY337" t="str">
        <f>""</f>
        <v/>
      </c>
      <c r="CZ337" t="str">
        <f>""</f>
        <v/>
      </c>
      <c r="DA337" t="str">
        <f>""</f>
        <v/>
      </c>
      <c r="DB337" t="str">
        <f>""</f>
        <v/>
      </c>
      <c r="DC337" t="str">
        <f>""</f>
        <v/>
      </c>
      <c r="DD337" t="str">
        <f>""</f>
        <v/>
      </c>
      <c r="DE337" t="str">
        <f>""</f>
        <v/>
      </c>
      <c r="DF337" t="str">
        <f>""</f>
        <v/>
      </c>
      <c r="DG337" t="str">
        <f>""</f>
        <v/>
      </c>
      <c r="DH337" t="str">
        <f>""</f>
        <v/>
      </c>
      <c r="DI337" t="str">
        <f>""</f>
        <v/>
      </c>
      <c r="DJ337" t="str">
        <f>""</f>
        <v/>
      </c>
      <c r="DK337" t="str">
        <f>""</f>
        <v/>
      </c>
      <c r="DL337" t="str">
        <f>""</f>
        <v/>
      </c>
      <c r="DM337" t="str">
        <f>""</f>
        <v/>
      </c>
      <c r="DN337" t="str">
        <f>""</f>
        <v/>
      </c>
      <c r="DO337" t="str">
        <f>""</f>
        <v/>
      </c>
      <c r="DP337" t="str">
        <f>""</f>
        <v/>
      </c>
      <c r="DQ337" t="str">
        <f>""</f>
        <v/>
      </c>
      <c r="DR337" t="str">
        <f>""</f>
        <v/>
      </c>
      <c r="DS337" t="str">
        <f>""</f>
        <v/>
      </c>
      <c r="DT337" t="str">
        <f>""</f>
        <v/>
      </c>
      <c r="DU337" t="str">
        <f>""</f>
        <v/>
      </c>
    </row>
    <row r="338" spans="1:125" x14ac:dyDescent="0.25">
      <c r="A338" t="str">
        <f>"    BYD Co Ltd"</f>
        <v xml:space="preserve">    BYD Co Ltd</v>
      </c>
      <c r="B338" t="str">
        <f>"1211 HK Equity"</f>
        <v>1211 HK Equity</v>
      </c>
      <c r="C338" t="str">
        <f t="shared" si="24"/>
        <v>RR473</v>
      </c>
      <c r="D338" t="str">
        <f t="shared" si="25"/>
        <v>EV_TO_T12M_SALES</v>
      </c>
      <c r="E338" t="str">
        <f t="shared" si="26"/>
        <v>Dynamic</v>
      </c>
      <c r="F338" t="str">
        <f ca="1">IF(AND(ISNUMBER($F$1003),$B$677=1),$F$1003,HLOOKUP(INDIRECT(ADDRESS(2,COLUMN())),OFFSET($BN$2,0,0,ROW()-1,60),ROW()-1,FALSE))</f>
        <v/>
      </c>
      <c r="G338" t="str">
        <f ca="1">IF(AND(ISNUMBER($G$1003),$B$677=1),$G$1003,HLOOKUP(INDIRECT(ADDRESS(2,COLUMN())),OFFSET($BN$2,0,0,ROW()-1,60),ROW()-1,FALSE))</f>
        <v/>
      </c>
      <c r="H338">
        <f ca="1">IF(AND(ISNUMBER($H$1003),$B$677=1),$H$1003,HLOOKUP(INDIRECT(ADDRESS(2,COLUMN())),OFFSET($BN$2,0,0,ROW()-1,60),ROW()-1,FALSE))</f>
        <v>1.605165554</v>
      </c>
      <c r="I338">
        <f ca="1">IF(AND(ISNUMBER($I$1003),$B$677=1),$I$1003,HLOOKUP(INDIRECT(ADDRESS(2,COLUMN())),OFFSET($BN$2,0,0,ROW()-1,60),ROW()-1,FALSE))</f>
        <v>1.653630554</v>
      </c>
      <c r="J338">
        <f ca="1">IF(AND(ISNUMBER($J$1003),$B$677=1),$J$1003,HLOOKUP(INDIRECT(ADDRESS(2,COLUMN())),OFFSET($BN$2,0,0,ROW()-1,60),ROW()-1,FALSE))</f>
        <v>2.0778840519999999</v>
      </c>
      <c r="K338">
        <f ca="1">IF(AND(ISNUMBER($K$1003),$B$677=1),$K$1003,HLOOKUP(INDIRECT(ADDRESS(2,COLUMN())),OFFSET($BN$2,0,0,ROW()-1,60),ROW()-1,FALSE))</f>
        <v>2.325559691</v>
      </c>
      <c r="L338">
        <f ca="1">IF(AND(ISNUMBER($L$1003),$B$677=1),$L$1003,HLOOKUP(INDIRECT(ADDRESS(2,COLUMN())),OFFSET($BN$2,0,0,ROW()-1,60),ROW()-1,FALSE))</f>
        <v>2.4341935320000001</v>
      </c>
      <c r="M338">
        <f ca="1">IF(AND(ISNUMBER($M$1003),$B$677=1),$M$1003,HLOOKUP(INDIRECT(ADDRESS(2,COLUMN())),OFFSET($BN$2,0,0,ROW()-1,60),ROW()-1,FALSE))</f>
        <v>1.9286809220000001</v>
      </c>
      <c r="N338">
        <f ca="1">IF(AND(ISNUMBER($N$1003),$B$677=1),$N$1003,HLOOKUP(INDIRECT(ADDRESS(2,COLUMN())),OFFSET($BN$2,0,0,ROW()-1,60),ROW()-1,FALSE))</f>
        <v>1.812009006</v>
      </c>
      <c r="O338">
        <f ca="1">IF(AND(ISNUMBER($O$1003),$B$677=1),$O$1003,HLOOKUP(INDIRECT(ADDRESS(2,COLUMN())),OFFSET($BN$2,0,0,ROW()-1,60),ROW()-1,FALSE))</f>
        <v>1.7863049559999999</v>
      </c>
      <c r="P338">
        <f ca="1">IF(AND(ISNUMBER($P$1003),$B$677=1),$P$1003,HLOOKUP(INDIRECT(ADDRESS(2,COLUMN())),OFFSET($BN$2,0,0,ROW()-1,60),ROW()-1,FALSE))</f>
        <v>1.865825748</v>
      </c>
      <c r="Q338">
        <f ca="1">IF(AND(ISNUMBER($Q$1003),$B$677=1),$Q$1003,HLOOKUP(INDIRECT(ADDRESS(2,COLUMN())),OFFSET($BN$2,0,0,ROW()-1,60),ROW()-1,FALSE))</f>
        <v>2.0875923699999999</v>
      </c>
      <c r="R338">
        <f ca="1">IF(AND(ISNUMBER($R$1003),$B$677=1),$R$1003,HLOOKUP(INDIRECT(ADDRESS(2,COLUMN())),OFFSET($BN$2,0,0,ROW()-1,60),ROW()-1,FALSE))</f>
        <v>2.1739941869999999</v>
      </c>
      <c r="S338">
        <f ca="1">IF(AND(ISNUMBER($S$1003),$B$677=1),$S$1003,HLOOKUP(INDIRECT(ADDRESS(2,COLUMN())),OFFSET($BN$2,0,0,ROW()-1,60),ROW()-1,FALSE))</f>
        <v>2.2985374630000002</v>
      </c>
      <c r="T338">
        <f ca="1">IF(AND(ISNUMBER($T$1003),$B$677=1),$T$1003,HLOOKUP(INDIRECT(ADDRESS(2,COLUMN())),OFFSET($BN$2,0,0,ROW()-1,60),ROW()-1,FALSE))</f>
        <v>2.7103422190000002</v>
      </c>
      <c r="U338">
        <f ca="1">IF(AND(ISNUMBER($U$1003),$B$677=1),$U$1003,HLOOKUP(INDIRECT(ADDRESS(2,COLUMN())),OFFSET($BN$2,0,0,ROW()-1,60),ROW()-1,FALSE))</f>
        <v>2.692889563</v>
      </c>
      <c r="V338">
        <f ca="1">IF(AND(ISNUMBER($V$1003),$B$677=1),$V$1003,HLOOKUP(INDIRECT(ADDRESS(2,COLUMN())),OFFSET($BN$2,0,0,ROW()-1,60),ROW()-1,FALSE))</f>
        <v>2.5183534390000002</v>
      </c>
      <c r="W338">
        <f ca="1">IF(AND(ISNUMBER($W$1003),$B$677=1),$W$1003,HLOOKUP(INDIRECT(ADDRESS(2,COLUMN())),OFFSET($BN$2,0,0,ROW()-1,60),ROW()-1,FALSE))</f>
        <v>2.201109244</v>
      </c>
      <c r="X338">
        <f ca="1">IF(AND(ISNUMBER($X$1003),$B$677=1),$X$1003,HLOOKUP(INDIRECT(ADDRESS(2,COLUMN())),OFFSET($BN$2,0,0,ROW()-1,60),ROW()-1,FALSE))</f>
        <v>2.8902505860000001</v>
      </c>
      <c r="Y338">
        <f ca="1">IF(AND(ISNUMBER($Y$1003),$B$677=1),$Y$1003,HLOOKUP(INDIRECT(ADDRESS(2,COLUMN())),OFFSET($BN$2,0,0,ROW()-1,60),ROW()-1,FALSE))</f>
        <v>2.3904059719999999</v>
      </c>
      <c r="Z338">
        <f ca="1">IF(AND(ISNUMBER($Z$1003),$B$677=1),$Z$1003,HLOOKUP(INDIRECT(ADDRESS(2,COLUMN())),OFFSET($BN$2,0,0,ROW()-1,60),ROW()-1,FALSE))</f>
        <v>2.4784886529999999</v>
      </c>
      <c r="AA338">
        <f ca="1">IF(AND(ISNUMBER($AA$1003),$B$677=1),$AA$1003,HLOOKUP(INDIRECT(ADDRESS(2,COLUMN())),OFFSET($BN$2,0,0,ROW()-1,60),ROW()-1,FALSE))</f>
        <v>2.054228449</v>
      </c>
      <c r="AB338">
        <f ca="1">IF(AND(ISNUMBER($AB$1003),$B$677=1),$AB$1003,HLOOKUP(INDIRECT(ADDRESS(2,COLUMN())),OFFSET($BN$2,0,0,ROW()-1,60),ROW()-1,FALSE))</f>
        <v>1.928675089</v>
      </c>
      <c r="AC338">
        <f ca="1">IF(AND(ISNUMBER($AC$1003),$B$677=1),$AC$1003,HLOOKUP(INDIRECT(ADDRESS(2,COLUMN())),OFFSET($BN$2,0,0,ROW()-1,60),ROW()-1,FALSE))</f>
        <v>1.937978472</v>
      </c>
      <c r="AD338">
        <f ca="1">IF(AND(ISNUMBER($AD$1003),$B$677=1),$AD$1003,HLOOKUP(INDIRECT(ADDRESS(2,COLUMN())),OFFSET($BN$2,0,0,ROW()-1,60),ROW()-1,FALSE))</f>
        <v>1.6381825219999999</v>
      </c>
      <c r="AE338">
        <f ca="1">IF(AND(ISNUMBER($AE$1003),$B$677=1),$AE$1003,HLOOKUP(INDIRECT(ADDRESS(2,COLUMN())),OFFSET($BN$2,0,0,ROW()-1,60),ROW()-1,FALSE))</f>
        <v>1.636149369</v>
      </c>
      <c r="AF338">
        <f ca="1">IF(AND(ISNUMBER($AF$1003),$B$677=1),$AF$1003,HLOOKUP(INDIRECT(ADDRESS(2,COLUMN())),OFFSET($BN$2,0,0,ROW()-1,60),ROW()-1,FALSE))</f>
        <v>1.198125785</v>
      </c>
      <c r="AG338">
        <f ca="1">IF(AND(ISNUMBER($AG$1003),$B$677=1),$AG$1003,HLOOKUP(INDIRECT(ADDRESS(2,COLUMN())),OFFSET($BN$2,0,0,ROW()-1,60),ROW()-1,FALSE))</f>
        <v>1.450669671</v>
      </c>
      <c r="AH338" t="str">
        <f ca="1">IF(AND(ISNUMBER($AH$1003),$B$677=1),$AH$1003,HLOOKUP(INDIRECT(ADDRESS(2,COLUMN())),OFFSET($BN$2,0,0,ROW()-1,60),ROW()-1,FALSE))</f>
        <v/>
      </c>
      <c r="AI338" t="str">
        <f ca="1">IF(AND(ISNUMBER($AI$1003),$B$677=1),$AI$1003,HLOOKUP(INDIRECT(ADDRESS(2,COLUMN())),OFFSET($BN$2,0,0,ROW()-1,60),ROW()-1,FALSE))</f>
        <v/>
      </c>
      <c r="AJ338" t="str">
        <f ca="1">IF(AND(ISNUMBER($AJ$1003),$B$677=1),$AJ$1003,HLOOKUP(INDIRECT(ADDRESS(2,COLUMN())),OFFSET($BN$2,0,0,ROW()-1,60),ROW()-1,FALSE))</f>
        <v/>
      </c>
      <c r="AK338" t="str">
        <f ca="1">IF(AND(ISNUMBER($AK$1003),$B$677=1),$AK$1003,HLOOKUP(INDIRECT(ADDRESS(2,COLUMN())),OFFSET($BN$2,0,0,ROW()-1,60),ROW()-1,FALSE))</f>
        <v/>
      </c>
      <c r="AL338" t="str">
        <f ca="1">IF(AND(ISNUMBER($AL$1003),$B$677=1),$AL$1003,HLOOKUP(INDIRECT(ADDRESS(2,COLUMN())),OFFSET($BN$2,0,0,ROW()-1,60),ROW()-1,FALSE))</f>
        <v/>
      </c>
      <c r="AM338">
        <f ca="1">IF(AND(ISNUMBER($AM$1003),$B$677=1),$AM$1003,HLOOKUP(INDIRECT(ADDRESS(2,COLUMN())),OFFSET($BN$2,0,0,ROW()-1,60),ROW()-1,FALSE))</f>
        <v>2.0039745870000001</v>
      </c>
      <c r="AN338">
        <f ca="1">IF(AND(ISNUMBER($AN$1003),$B$677=1),$AN$1003,HLOOKUP(INDIRECT(ADDRESS(2,COLUMN())),OFFSET($BN$2,0,0,ROW()-1,60),ROW()-1,FALSE))</f>
        <v>2.7593615489999999</v>
      </c>
      <c r="AO338">
        <f ca="1">IF(AND(ISNUMBER($AO$1003),$B$677=1),$AO$1003,HLOOKUP(INDIRECT(ADDRESS(2,COLUMN())),OFFSET($BN$2,0,0,ROW()-1,60),ROW()-1,FALSE))</f>
        <v>2.5770534820000002</v>
      </c>
      <c r="AP338" t="str">
        <f ca="1">IF(AND(ISNUMBER($AP$1003),$B$677=1),$AP$1003,HLOOKUP(INDIRECT(ADDRESS(2,COLUMN())),OFFSET($BN$2,0,0,ROW()-1,60),ROW()-1,FALSE))</f>
        <v/>
      </c>
      <c r="AQ338" t="str">
        <f ca="1">IF(AND(ISNUMBER($AQ$1003),$B$677=1),$AQ$1003,HLOOKUP(INDIRECT(ADDRESS(2,COLUMN())),OFFSET($BN$2,0,0,ROW()-1,60),ROW()-1,FALSE))</f>
        <v/>
      </c>
      <c r="AR338" t="str">
        <f ca="1">IF(AND(ISNUMBER($AR$1003),$B$677=1),$AR$1003,HLOOKUP(INDIRECT(ADDRESS(2,COLUMN())),OFFSET($BN$2,0,0,ROW()-1,60),ROW()-1,FALSE))</f>
        <v/>
      </c>
      <c r="AS338" t="str">
        <f ca="1">IF(AND(ISNUMBER($AS$1003),$B$677=1),$AS$1003,HLOOKUP(INDIRECT(ADDRESS(2,COLUMN())),OFFSET($BN$2,0,0,ROW()-1,60),ROW()-1,FALSE))</f>
        <v/>
      </c>
      <c r="AT338" t="str">
        <f ca="1">IF(AND(ISNUMBER($AT$1003),$B$677=1),$AT$1003,HLOOKUP(INDIRECT(ADDRESS(2,COLUMN())),OFFSET($BN$2,0,0,ROW()-1,60),ROW()-1,FALSE))</f>
        <v/>
      </c>
      <c r="AU338" t="str">
        <f ca="1">IF(AND(ISNUMBER($AU$1003),$B$677=1),$AU$1003,HLOOKUP(INDIRECT(ADDRESS(2,COLUMN())),OFFSET($BN$2,0,0,ROW()-1,60),ROW()-1,FALSE))</f>
        <v/>
      </c>
      <c r="AV338" t="str">
        <f ca="1">IF(AND(ISNUMBER($AV$1003),$B$677=1),$AV$1003,HLOOKUP(INDIRECT(ADDRESS(2,COLUMN())),OFFSET($BN$2,0,0,ROW()-1,60),ROW()-1,FALSE))</f>
        <v/>
      </c>
      <c r="AW338" t="str">
        <f ca="1">IF(AND(ISNUMBER($AW$1003),$B$677=1),$AW$1003,HLOOKUP(INDIRECT(ADDRESS(2,COLUMN())),OFFSET($BN$2,0,0,ROW()-1,60),ROW()-1,FALSE))</f>
        <v/>
      </c>
      <c r="AX338" t="str">
        <f ca="1">IF(AND(ISNUMBER($AX$1003),$B$677=1),$AX$1003,HLOOKUP(INDIRECT(ADDRESS(2,COLUMN())),OFFSET($BN$2,0,0,ROW()-1,60),ROW()-1,FALSE))</f>
        <v/>
      </c>
      <c r="AY338" t="str">
        <f ca="1">IF(AND(ISNUMBER($AY$1003),$B$677=1),$AY$1003,HLOOKUP(INDIRECT(ADDRESS(2,COLUMN())),OFFSET($BN$2,0,0,ROW()-1,60),ROW()-1,FALSE))</f>
        <v/>
      </c>
      <c r="AZ338" t="str">
        <f ca="1">IF(AND(ISNUMBER($AZ$1003),$B$677=1),$AZ$1003,HLOOKUP(INDIRECT(ADDRESS(2,COLUMN())),OFFSET($BN$2,0,0,ROW()-1,60),ROW()-1,FALSE))</f>
        <v/>
      </c>
      <c r="BA338" t="str">
        <f ca="1">IF(AND(ISNUMBER($BA$1003),$B$677=1),$BA$1003,HLOOKUP(INDIRECT(ADDRESS(2,COLUMN())),OFFSET($BN$2,0,0,ROW()-1,60),ROW()-1,FALSE))</f>
        <v/>
      </c>
      <c r="BB338" t="str">
        <f ca="1">IF(AND(ISNUMBER($BB$1003),$B$677=1),$BB$1003,HLOOKUP(INDIRECT(ADDRESS(2,COLUMN())),OFFSET($BN$2,0,0,ROW()-1,60),ROW()-1,FALSE))</f>
        <v/>
      </c>
      <c r="BC338" t="str">
        <f ca="1">IF(AND(ISNUMBER($BC$1003),$B$677=1),$BC$1003,HLOOKUP(INDIRECT(ADDRESS(2,COLUMN())),OFFSET($BN$2,0,0,ROW()-1,60),ROW()-1,FALSE))</f>
        <v/>
      </c>
      <c r="BD338" t="str">
        <f ca="1">IF(AND(ISNUMBER($BD$1003),$B$677=1),$BD$1003,HLOOKUP(INDIRECT(ADDRESS(2,COLUMN())),OFFSET($BN$2,0,0,ROW()-1,60),ROW()-1,FALSE))</f>
        <v/>
      </c>
      <c r="BE338" t="str">
        <f ca="1">IF(AND(ISNUMBER($BE$1003),$B$677=1),$BE$1003,HLOOKUP(INDIRECT(ADDRESS(2,COLUMN())),OFFSET($BN$2,0,0,ROW()-1,60),ROW()-1,FALSE))</f>
        <v/>
      </c>
      <c r="BF338" t="str">
        <f ca="1">IF(AND(ISNUMBER($BF$1003),$B$677=1),$BF$1003,HLOOKUP(INDIRECT(ADDRESS(2,COLUMN())),OFFSET($BN$2,0,0,ROW()-1,60),ROW()-1,FALSE))</f>
        <v/>
      </c>
      <c r="BG338" t="str">
        <f ca="1">IF(AND(ISNUMBER($BG$1003),$B$677=1),$BG$1003,HLOOKUP(INDIRECT(ADDRESS(2,COLUMN())),OFFSET($BN$2,0,0,ROW()-1,60),ROW()-1,FALSE))</f>
        <v/>
      </c>
      <c r="BH338" t="str">
        <f ca="1">IF(AND(ISNUMBER($BH$1003),$B$677=1),$BH$1003,HLOOKUP(INDIRECT(ADDRESS(2,COLUMN())),OFFSET($BN$2,0,0,ROW()-1,60),ROW()-1,FALSE))</f>
        <v/>
      </c>
      <c r="BI338" t="str">
        <f ca="1">IF(AND(ISNUMBER($BI$1003),$B$677=1),$BI$1003,HLOOKUP(INDIRECT(ADDRESS(2,COLUMN())),OFFSET($BN$2,0,0,ROW()-1,60),ROW()-1,FALSE))</f>
        <v/>
      </c>
      <c r="BJ338" t="str">
        <f ca="1">IF(AND(ISNUMBER($BJ$1003),$B$677=1),$BJ$1003,HLOOKUP(INDIRECT(ADDRESS(2,COLUMN())),OFFSET($BN$2,0,0,ROW()-1,60),ROW()-1,FALSE))</f>
        <v/>
      </c>
      <c r="BK338" t="str">
        <f ca="1">IF(AND(ISNUMBER($BK$1003),$B$677=1),$BK$1003,HLOOKUP(INDIRECT(ADDRESS(2,COLUMN())),OFFSET($BN$2,0,0,ROW()-1,60),ROW()-1,FALSE))</f>
        <v/>
      </c>
      <c r="BL338" t="str">
        <f ca="1">IF(AND(ISNUMBER($BL$1003),$B$677=1),$BL$1003,HLOOKUP(INDIRECT(ADDRESS(2,COLUMN())),OFFSET($BN$2,0,0,ROW()-1,60),ROW()-1,FALSE))</f>
        <v/>
      </c>
      <c r="BM338" t="str">
        <f ca="1">IF(AND(ISNUMBER($BM$1003),$B$677=1),$BM$1003,HLOOKUP(INDIRECT(ADDRESS(2,COLUMN())),OFFSET($BN$2,0,0,ROW()-1,60),ROW()-1,FALSE))</f>
        <v/>
      </c>
      <c r="BN338" t="str">
        <f>""</f>
        <v/>
      </c>
      <c r="BO338" t="str">
        <f>""</f>
        <v/>
      </c>
      <c r="BP338">
        <f>1.605165554</f>
        <v>1.605165554</v>
      </c>
      <c r="BQ338">
        <f>1.653630554</f>
        <v>1.653630554</v>
      </c>
      <c r="BR338">
        <f>2.077884052</f>
        <v>2.0778840519999999</v>
      </c>
      <c r="BS338">
        <f>2.325559691</f>
        <v>2.325559691</v>
      </c>
      <c r="BT338">
        <f>2.434193532</f>
        <v>2.4341935320000001</v>
      </c>
      <c r="BU338">
        <f>1.928680922</f>
        <v>1.9286809220000001</v>
      </c>
      <c r="BV338">
        <f>1.812009006</f>
        <v>1.812009006</v>
      </c>
      <c r="BW338">
        <f>1.786304956</f>
        <v>1.7863049559999999</v>
      </c>
      <c r="BX338">
        <f>1.865825748</f>
        <v>1.865825748</v>
      </c>
      <c r="BY338">
        <f>2.08759237</f>
        <v>2.0875923699999999</v>
      </c>
      <c r="BZ338">
        <f>2.173994187</f>
        <v>2.1739941869999999</v>
      </c>
      <c r="CA338">
        <f>2.298537463</f>
        <v>2.2985374630000002</v>
      </c>
      <c r="CB338">
        <f>2.710342219</f>
        <v>2.7103422190000002</v>
      </c>
      <c r="CC338">
        <f>2.692889563</f>
        <v>2.692889563</v>
      </c>
      <c r="CD338">
        <f>2.518353439</f>
        <v>2.5183534390000002</v>
      </c>
      <c r="CE338">
        <f>2.201109244</f>
        <v>2.201109244</v>
      </c>
      <c r="CF338">
        <f>2.890250586</f>
        <v>2.8902505860000001</v>
      </c>
      <c r="CG338">
        <f>2.390405972</f>
        <v>2.3904059719999999</v>
      </c>
      <c r="CH338">
        <f>2.478488653</f>
        <v>2.4784886529999999</v>
      </c>
      <c r="CI338">
        <f>2.054228449</f>
        <v>2.054228449</v>
      </c>
      <c r="CJ338">
        <f>1.928675089</f>
        <v>1.928675089</v>
      </c>
      <c r="CK338">
        <f>1.937978472</f>
        <v>1.937978472</v>
      </c>
      <c r="CL338">
        <f>1.638182522</f>
        <v>1.6381825219999999</v>
      </c>
      <c r="CM338">
        <f>1.636149369</f>
        <v>1.636149369</v>
      </c>
      <c r="CN338">
        <f>1.198125785</f>
        <v>1.198125785</v>
      </c>
      <c r="CO338">
        <f>1.450669671</f>
        <v>1.450669671</v>
      </c>
      <c r="CP338" t="str">
        <f>""</f>
        <v/>
      </c>
      <c r="CQ338" t="str">
        <f>""</f>
        <v/>
      </c>
      <c r="CR338" t="str">
        <f>""</f>
        <v/>
      </c>
      <c r="CS338" t="str">
        <f>""</f>
        <v/>
      </c>
      <c r="CT338" t="str">
        <f>""</f>
        <v/>
      </c>
      <c r="CU338">
        <f>2.003974587</f>
        <v>2.0039745870000001</v>
      </c>
      <c r="CV338">
        <f>2.759361549</f>
        <v>2.7593615489999999</v>
      </c>
      <c r="CW338">
        <f>2.577053482</f>
        <v>2.5770534820000002</v>
      </c>
      <c r="CX338" t="str">
        <f>""</f>
        <v/>
      </c>
      <c r="CY338" t="str">
        <f>""</f>
        <v/>
      </c>
      <c r="CZ338" t="str">
        <f>""</f>
        <v/>
      </c>
      <c r="DA338" t="str">
        <f>""</f>
        <v/>
      </c>
      <c r="DB338" t="str">
        <f>""</f>
        <v/>
      </c>
      <c r="DC338" t="str">
        <f>""</f>
        <v/>
      </c>
      <c r="DD338" t="str">
        <f>""</f>
        <v/>
      </c>
      <c r="DE338" t="str">
        <f>""</f>
        <v/>
      </c>
      <c r="DF338" t="str">
        <f>""</f>
        <v/>
      </c>
      <c r="DG338" t="str">
        <f>""</f>
        <v/>
      </c>
      <c r="DH338" t="str">
        <f>""</f>
        <v/>
      </c>
      <c r="DI338" t="str">
        <f>""</f>
        <v/>
      </c>
      <c r="DJ338" t="str">
        <f>""</f>
        <v/>
      </c>
      <c r="DK338" t="str">
        <f>""</f>
        <v/>
      </c>
      <c r="DL338" t="str">
        <f>""</f>
        <v/>
      </c>
      <c r="DM338" t="str">
        <f>""</f>
        <v/>
      </c>
      <c r="DN338" t="str">
        <f>""</f>
        <v/>
      </c>
      <c r="DO338" t="str">
        <f>""</f>
        <v/>
      </c>
      <c r="DP338" t="str">
        <f>""</f>
        <v/>
      </c>
      <c r="DQ338" t="str">
        <f>""</f>
        <v/>
      </c>
      <c r="DR338" t="str">
        <f>""</f>
        <v/>
      </c>
      <c r="DS338" t="str">
        <f>""</f>
        <v/>
      </c>
      <c r="DT338" t="str">
        <f>""</f>
        <v/>
      </c>
      <c r="DU338" t="str">
        <f>""</f>
        <v/>
      </c>
    </row>
    <row r="339" spans="1:125" x14ac:dyDescent="0.25">
      <c r="A339" t="str">
        <f>"    Chongqing Changan Automobile Co Ltd"</f>
        <v xml:space="preserve">    Chongqing Changan Automobile Co Ltd</v>
      </c>
      <c r="B339" t="str">
        <f>"200625 CH Equity"</f>
        <v>200625 CH Equity</v>
      </c>
      <c r="C339" t="str">
        <f t="shared" si="24"/>
        <v>RR473</v>
      </c>
      <c r="D339" t="str">
        <f t="shared" si="25"/>
        <v>EV_TO_T12M_SALES</v>
      </c>
      <c r="E339" t="str">
        <f t="shared" si="26"/>
        <v>Dynamic</v>
      </c>
      <c r="F339" t="str">
        <f ca="1">IF(AND(ISNUMBER($F$1004),$B$677=1),$F$1004,HLOOKUP(INDIRECT(ADDRESS(2,COLUMN())),OFFSET($BN$2,0,0,ROW()-1,60),ROW()-1,FALSE))</f>
        <v/>
      </c>
      <c r="G339" t="str">
        <f ca="1">IF(AND(ISNUMBER($G$1004),$B$677=1),$G$1004,HLOOKUP(INDIRECT(ADDRESS(2,COLUMN())),OFFSET($BN$2,0,0,ROW()-1,60),ROW()-1,FALSE))</f>
        <v/>
      </c>
      <c r="H339">
        <f ca="1">IF(AND(ISNUMBER($H$1004),$B$677=1),$H$1004,HLOOKUP(INDIRECT(ADDRESS(2,COLUMN())),OFFSET($BN$2,0,0,ROW()-1,60),ROW()-1,FALSE))</f>
        <v>0.14632594800000001</v>
      </c>
      <c r="I339">
        <f ca="1">IF(AND(ISNUMBER($I$1004),$B$677=1),$I$1004,HLOOKUP(INDIRECT(ADDRESS(2,COLUMN())),OFFSET($BN$2,0,0,ROW()-1,60),ROW()-1,FALSE))</f>
        <v>0.36218411299999997</v>
      </c>
      <c r="J339">
        <f ca="1">IF(AND(ISNUMBER($J$1004),$B$677=1),$J$1004,HLOOKUP(INDIRECT(ADDRESS(2,COLUMN())),OFFSET($BN$2,0,0,ROW()-1,60),ROW()-1,FALSE))</f>
        <v>0.34323268099999998</v>
      </c>
      <c r="K339">
        <f ca="1">IF(AND(ISNUMBER($K$1004),$B$677=1),$K$1004,HLOOKUP(INDIRECT(ADDRESS(2,COLUMN())),OFFSET($BN$2,0,0,ROW()-1,60),ROW()-1,FALSE))</f>
        <v>0.40319449600000001</v>
      </c>
      <c r="L339">
        <f ca="1">IF(AND(ISNUMBER($L$1004),$B$677=1),$L$1004,HLOOKUP(INDIRECT(ADDRESS(2,COLUMN())),OFFSET($BN$2,0,0,ROW()-1,60),ROW()-1,FALSE))</f>
        <v>0.51969142199999996</v>
      </c>
      <c r="M339">
        <f ca="1">IF(AND(ISNUMBER($M$1004),$B$677=1),$M$1004,HLOOKUP(INDIRECT(ADDRESS(2,COLUMN())),OFFSET($BN$2,0,0,ROW()-1,60),ROW()-1,FALSE))</f>
        <v>0.53287412000000001</v>
      </c>
      <c r="N339">
        <f ca="1">IF(AND(ISNUMBER($N$1004),$B$677=1),$N$1004,HLOOKUP(INDIRECT(ADDRESS(2,COLUMN())),OFFSET($BN$2,0,0,ROW()-1,60),ROW()-1,FALSE))</f>
        <v>0.57696127500000005</v>
      </c>
      <c r="O339">
        <f ca="1">IF(AND(ISNUMBER($O$1004),$B$677=1),$O$1004,HLOOKUP(INDIRECT(ADDRESS(2,COLUMN())),OFFSET($BN$2,0,0,ROW()-1,60),ROW()-1,FALSE))</f>
        <v>0.63532502999999996</v>
      </c>
      <c r="P339">
        <f ca="1">IF(AND(ISNUMBER($P$1004),$B$677=1),$P$1004,HLOOKUP(INDIRECT(ADDRESS(2,COLUMN())),OFFSET($BN$2,0,0,ROW()-1,60),ROW()-1,FALSE))</f>
        <v>0.70331706100000002</v>
      </c>
      <c r="Q339">
        <f ca="1">IF(AND(ISNUMBER($Q$1004),$B$677=1),$Q$1004,HLOOKUP(INDIRECT(ADDRESS(2,COLUMN())),OFFSET($BN$2,0,0,ROW()-1,60),ROW()-1,FALSE))</f>
        <v>0.69363237300000002</v>
      </c>
      <c r="R339">
        <f ca="1">IF(AND(ISNUMBER($R$1004),$B$677=1),$R$1004,HLOOKUP(INDIRECT(ADDRESS(2,COLUMN())),OFFSET($BN$2,0,0,ROW()-1,60),ROW()-1,FALSE))</f>
        <v>0.91904603399999996</v>
      </c>
      <c r="S339">
        <f ca="1">IF(AND(ISNUMBER($S$1004),$B$677=1),$S$1004,HLOOKUP(INDIRECT(ADDRESS(2,COLUMN())),OFFSET($BN$2,0,0,ROW()-1,60),ROW()-1,FALSE))</f>
        <v>1.0887647949999999</v>
      </c>
      <c r="T339">
        <f ca="1">IF(AND(ISNUMBER($T$1004),$B$677=1),$T$1004,HLOOKUP(INDIRECT(ADDRESS(2,COLUMN())),OFFSET($BN$2,0,0,ROW()-1,60),ROW()-1,FALSE))</f>
        <v>0.84569261299999998</v>
      </c>
      <c r="U339">
        <f ca="1">IF(AND(ISNUMBER($U$1004),$B$677=1),$U$1004,HLOOKUP(INDIRECT(ADDRESS(2,COLUMN())),OFFSET($BN$2,0,0,ROW()-1,60),ROW()-1,FALSE))</f>
        <v>1.3499400770000001</v>
      </c>
      <c r="V339">
        <f ca="1">IF(AND(ISNUMBER($V$1004),$B$677=1),$V$1004,HLOOKUP(INDIRECT(ADDRESS(2,COLUMN())),OFFSET($BN$2,0,0,ROW()-1,60),ROW()-1,FALSE))</f>
        <v>1.4975789070000001</v>
      </c>
      <c r="W339">
        <f ca="1">IF(AND(ISNUMBER($W$1004),$B$677=1),$W$1004,HLOOKUP(INDIRECT(ADDRESS(2,COLUMN())),OFFSET($BN$2,0,0,ROW()-1,60),ROW()-1,FALSE))</f>
        <v>1.3996870100000001</v>
      </c>
      <c r="X339">
        <f ca="1">IF(AND(ISNUMBER($X$1004),$B$677=1),$X$1004,HLOOKUP(INDIRECT(ADDRESS(2,COLUMN())),OFFSET($BN$2,0,0,ROW()-1,60),ROW()-1,FALSE))</f>
        <v>1.5104642660000001</v>
      </c>
      <c r="Y339">
        <f ca="1">IF(AND(ISNUMBER($Y$1004),$B$677=1),$Y$1004,HLOOKUP(INDIRECT(ADDRESS(2,COLUMN())),OFFSET($BN$2,0,0,ROW()-1,60),ROW()-1,FALSE))</f>
        <v>1.5338692119999999</v>
      </c>
      <c r="Z339">
        <f ca="1">IF(AND(ISNUMBER($Z$1004),$B$677=1),$Z$1004,HLOOKUP(INDIRECT(ADDRESS(2,COLUMN())),OFFSET($BN$2,0,0,ROW()-1,60),ROW()-1,FALSE))</f>
        <v>1.4781704389999999</v>
      </c>
      <c r="AA339">
        <f ca="1">IF(AND(ISNUMBER($AA$1004),$B$677=1),$AA$1004,HLOOKUP(INDIRECT(ADDRESS(2,COLUMN())),OFFSET($BN$2,0,0,ROW()-1,60),ROW()-1,FALSE))</f>
        <v>1.7057002619999999</v>
      </c>
      <c r="AB339">
        <f ca="1">IF(AND(ISNUMBER($AB$1004),$B$677=1),$AB$1004,HLOOKUP(INDIRECT(ADDRESS(2,COLUMN())),OFFSET($BN$2,0,0,ROW()-1,60),ROW()-1,FALSE))</f>
        <v>1.4969551489999999</v>
      </c>
      <c r="AC339">
        <f ca="1">IF(AND(ISNUMBER($AC$1004),$B$677=1),$AC$1004,HLOOKUP(INDIRECT(ADDRESS(2,COLUMN())),OFFSET($BN$2,0,0,ROW()-1,60),ROW()-1,FALSE))</f>
        <v>1.415949479</v>
      </c>
      <c r="AD339">
        <f ca="1">IF(AND(ISNUMBER($AD$1004),$B$677=1),$AD$1004,HLOOKUP(INDIRECT(ADDRESS(2,COLUMN())),OFFSET($BN$2,0,0,ROW()-1,60),ROW()-1,FALSE))</f>
        <v>1.5790604070000001</v>
      </c>
      <c r="AE339">
        <f ca="1">IF(AND(ISNUMBER($AE$1004),$B$677=1),$AE$1004,HLOOKUP(INDIRECT(ADDRESS(2,COLUMN())),OFFSET($BN$2,0,0,ROW()-1,60),ROW()-1,FALSE))</f>
        <v>1.2713357510000001</v>
      </c>
      <c r="AF339">
        <f ca="1">IF(AND(ISNUMBER($AF$1004),$B$677=1),$AF$1004,HLOOKUP(INDIRECT(ADDRESS(2,COLUMN())),OFFSET($BN$2,0,0,ROW()-1,60),ROW()-1,FALSE))</f>
        <v>1.1038499349999999</v>
      </c>
      <c r="AG339">
        <f ca="1">IF(AND(ISNUMBER($AG$1004),$B$677=1),$AG$1004,HLOOKUP(INDIRECT(ADDRESS(2,COLUMN())),OFFSET($BN$2,0,0,ROW()-1,60),ROW()-1,FALSE))</f>
        <v>1.0443005409999999</v>
      </c>
      <c r="AH339">
        <f ca="1">IF(AND(ISNUMBER($AH$1004),$B$677=1),$AH$1004,HLOOKUP(INDIRECT(ADDRESS(2,COLUMN())),OFFSET($BN$2,0,0,ROW()-1,60),ROW()-1,FALSE))</f>
        <v>0.66002917299999997</v>
      </c>
      <c r="AI339">
        <f ca="1">IF(AND(ISNUMBER($AI$1004),$B$677=1),$AI$1004,HLOOKUP(INDIRECT(ADDRESS(2,COLUMN())),OFFSET($BN$2,0,0,ROW()-1,60),ROW()-1,FALSE))</f>
        <v>0.546581294</v>
      </c>
      <c r="AJ339">
        <f ca="1">IF(AND(ISNUMBER($AJ$1004),$B$677=1),$AJ$1004,HLOOKUP(INDIRECT(ADDRESS(2,COLUMN())),OFFSET($BN$2,0,0,ROW()-1,60),ROW()-1,FALSE))</f>
        <v>0.33772879</v>
      </c>
      <c r="AK339">
        <f ca="1">IF(AND(ISNUMBER($AK$1004),$B$677=1),$AK$1004,HLOOKUP(INDIRECT(ADDRESS(2,COLUMN())),OFFSET($BN$2,0,0,ROW()-1,60),ROW()-1,FALSE))</f>
        <v>0.37705904299999998</v>
      </c>
      <c r="AL339">
        <f ca="1">IF(AND(ISNUMBER($AL$1004),$B$677=1),$AL$1004,HLOOKUP(INDIRECT(ADDRESS(2,COLUMN())),OFFSET($BN$2,0,0,ROW()-1,60),ROW()-1,FALSE))</f>
        <v>0.63378995400000004</v>
      </c>
      <c r="AM339">
        <f ca="1">IF(AND(ISNUMBER($AM$1004),$B$677=1),$AM$1004,HLOOKUP(INDIRECT(ADDRESS(2,COLUMN())),OFFSET($BN$2,0,0,ROW()-1,60),ROW()-1,FALSE))</f>
        <v>0.630265984</v>
      </c>
      <c r="AN339">
        <f ca="1">IF(AND(ISNUMBER($AN$1004),$B$677=1),$AN$1004,HLOOKUP(INDIRECT(ADDRESS(2,COLUMN())),OFFSET($BN$2,0,0,ROW()-1,60),ROW()-1,FALSE))</f>
        <v>0.73325375199999998</v>
      </c>
      <c r="AO339">
        <f ca="1">IF(AND(ISNUMBER($AO$1004),$B$677=1),$AO$1004,HLOOKUP(INDIRECT(ADDRESS(2,COLUMN())),OFFSET($BN$2,0,0,ROW()-1,60),ROW()-1,FALSE))</f>
        <v>0.58027941299999997</v>
      </c>
      <c r="AP339">
        <f ca="1">IF(AND(ISNUMBER($AP$1004),$B$677=1),$AP$1004,HLOOKUP(INDIRECT(ADDRESS(2,COLUMN())),OFFSET($BN$2,0,0,ROW()-1,60),ROW()-1,FALSE))</f>
        <v>0.85185676799999999</v>
      </c>
      <c r="AQ339">
        <f ca="1">IF(AND(ISNUMBER($AQ$1004),$B$677=1),$AQ$1004,HLOOKUP(INDIRECT(ADDRESS(2,COLUMN())),OFFSET($BN$2,0,0,ROW()-1,60),ROW()-1,FALSE))</f>
        <v>1.139387902</v>
      </c>
      <c r="AR339">
        <f ca="1">IF(AND(ISNUMBER($AR$1004),$B$677=1),$AR$1004,HLOOKUP(INDIRECT(ADDRESS(2,COLUMN())),OFFSET($BN$2,0,0,ROW()-1,60),ROW()-1,FALSE))</f>
        <v>0.52026466900000001</v>
      </c>
      <c r="AS339">
        <f ca="1">IF(AND(ISNUMBER($AS$1004),$B$677=1),$AS$1004,HLOOKUP(INDIRECT(ADDRESS(2,COLUMN())),OFFSET($BN$2,0,0,ROW()-1,60),ROW()-1,FALSE))</f>
        <v>1.025674628</v>
      </c>
      <c r="AT339">
        <f ca="1">IF(AND(ISNUMBER($AT$1004),$B$677=1),$AT$1004,HLOOKUP(INDIRECT(ADDRESS(2,COLUMN())),OFFSET($BN$2,0,0,ROW()-1,60),ROW()-1,FALSE))</f>
        <v>1.1434032839999999</v>
      </c>
      <c r="AU339" t="str">
        <f ca="1">IF(AND(ISNUMBER($AU$1004),$B$677=1),$AU$1004,HLOOKUP(INDIRECT(ADDRESS(2,COLUMN())),OFFSET($BN$2,0,0,ROW()-1,60),ROW()-1,FALSE))</f>
        <v/>
      </c>
      <c r="AV339">
        <f ca="1">IF(AND(ISNUMBER($AV$1004),$B$677=1),$AV$1004,HLOOKUP(INDIRECT(ADDRESS(2,COLUMN())),OFFSET($BN$2,0,0,ROW()-1,60),ROW()-1,FALSE))</f>
        <v>0.69762516299999999</v>
      </c>
      <c r="AW339">
        <f ca="1">IF(AND(ISNUMBER($AW$1004),$B$677=1),$AW$1004,HLOOKUP(INDIRECT(ADDRESS(2,COLUMN())),OFFSET($BN$2,0,0,ROW()-1,60),ROW()-1,FALSE))</f>
        <v>0.80413170899999997</v>
      </c>
      <c r="AX339">
        <f ca="1">IF(AND(ISNUMBER($AX$1004),$B$677=1),$AX$1004,HLOOKUP(INDIRECT(ADDRESS(2,COLUMN())),OFFSET($BN$2,0,0,ROW()-1,60),ROW()-1,FALSE))</f>
        <v>1.325710269</v>
      </c>
      <c r="AY339">
        <f ca="1">IF(AND(ISNUMBER($AY$1004),$B$677=1),$AY$1004,HLOOKUP(INDIRECT(ADDRESS(2,COLUMN())),OFFSET($BN$2,0,0,ROW()-1,60),ROW()-1,FALSE))</f>
        <v>2.3573429109999999</v>
      </c>
      <c r="AZ339">
        <f ca="1">IF(AND(ISNUMBER($AZ$1004),$B$677=1),$AZ$1004,HLOOKUP(INDIRECT(ADDRESS(2,COLUMN())),OFFSET($BN$2,0,0,ROW()-1,60),ROW()-1,FALSE))</f>
        <v>2.317833818</v>
      </c>
      <c r="BA339">
        <f ca="1">IF(AND(ISNUMBER($BA$1004),$B$677=1),$BA$1004,HLOOKUP(INDIRECT(ADDRESS(2,COLUMN())),OFFSET($BN$2,0,0,ROW()-1,60),ROW()-1,FALSE))</f>
        <v>1.252002866</v>
      </c>
      <c r="BB339">
        <f ca="1">IF(AND(ISNUMBER($BB$1004),$B$677=1),$BB$1004,HLOOKUP(INDIRECT(ADDRESS(2,COLUMN())),OFFSET($BN$2,0,0,ROW()-1,60),ROW()-1,FALSE))</f>
        <v>1.0849198010000001</v>
      </c>
      <c r="BC339">
        <f ca="1">IF(AND(ISNUMBER($BC$1004),$B$677=1),$BC$1004,HLOOKUP(INDIRECT(ADDRESS(2,COLUMN())),OFFSET($BN$2,0,0,ROW()-1,60),ROW()-1,FALSE))</f>
        <v>0.62907249399999998</v>
      </c>
      <c r="BD339">
        <f ca="1">IF(AND(ISNUMBER($BD$1004),$B$677=1),$BD$1004,HLOOKUP(INDIRECT(ADDRESS(2,COLUMN())),OFFSET($BN$2,0,0,ROW()-1,60),ROW()-1,FALSE))</f>
        <v>0.46388232200000001</v>
      </c>
      <c r="BE339">
        <f ca="1">IF(AND(ISNUMBER($BE$1004),$B$677=1),$BE$1004,HLOOKUP(INDIRECT(ADDRESS(2,COLUMN())),OFFSET($BN$2,0,0,ROW()-1,60),ROW()-1,FALSE))</f>
        <v>0.48691573799999999</v>
      </c>
      <c r="BF339">
        <f ca="1">IF(AND(ISNUMBER($BF$1004),$B$677=1),$BF$1004,HLOOKUP(INDIRECT(ADDRESS(2,COLUMN())),OFFSET($BN$2,0,0,ROW()-1,60),ROW()-1,FALSE))</f>
        <v>0.46839680299999997</v>
      </c>
      <c r="BG339">
        <f ca="1">IF(AND(ISNUMBER($BG$1004),$B$677=1),$BG$1004,HLOOKUP(INDIRECT(ADDRESS(2,COLUMN())),OFFSET($BN$2,0,0,ROW()-1,60),ROW()-1,FALSE))</f>
        <v>0.50362285799999995</v>
      </c>
      <c r="BH339">
        <f ca="1">IF(AND(ISNUMBER($BH$1004),$B$677=1),$BH$1004,HLOOKUP(INDIRECT(ADDRESS(2,COLUMN())),OFFSET($BN$2,0,0,ROW()-1,60),ROW()-1,FALSE))</f>
        <v>0.44137605499999999</v>
      </c>
      <c r="BI339" t="str">
        <f ca="1">IF(AND(ISNUMBER($BI$1004),$B$677=1),$BI$1004,HLOOKUP(INDIRECT(ADDRESS(2,COLUMN())),OFFSET($BN$2,0,0,ROW()-1,60),ROW()-1,FALSE))</f>
        <v/>
      </c>
      <c r="BJ339" t="str">
        <f ca="1">IF(AND(ISNUMBER($BJ$1004),$B$677=1),$BJ$1004,HLOOKUP(INDIRECT(ADDRESS(2,COLUMN())),OFFSET($BN$2,0,0,ROW()-1,60),ROW()-1,FALSE))</f>
        <v/>
      </c>
      <c r="BK339" t="str">
        <f ca="1">IF(AND(ISNUMBER($BK$1004),$B$677=1),$BK$1004,HLOOKUP(INDIRECT(ADDRESS(2,COLUMN())),OFFSET($BN$2,0,0,ROW()-1,60),ROW()-1,FALSE))</f>
        <v/>
      </c>
      <c r="BL339" t="str">
        <f ca="1">IF(AND(ISNUMBER($BL$1004),$B$677=1),$BL$1004,HLOOKUP(INDIRECT(ADDRESS(2,COLUMN())),OFFSET($BN$2,0,0,ROW()-1,60),ROW()-1,FALSE))</f>
        <v/>
      </c>
      <c r="BM339" t="str">
        <f ca="1">IF(AND(ISNUMBER($BM$1004),$B$677=1),$BM$1004,HLOOKUP(INDIRECT(ADDRESS(2,COLUMN())),OFFSET($BN$2,0,0,ROW()-1,60),ROW()-1,FALSE))</f>
        <v/>
      </c>
      <c r="BN339" t="str">
        <f>""</f>
        <v/>
      </c>
      <c r="BO339" t="str">
        <f>""</f>
        <v/>
      </c>
      <c r="BP339">
        <f>0.146325948</f>
        <v>0.14632594800000001</v>
      </c>
      <c r="BQ339">
        <f>0.362184113</f>
        <v>0.36218411299999997</v>
      </c>
      <c r="BR339">
        <f>0.343232681</f>
        <v>0.34323268099999998</v>
      </c>
      <c r="BS339">
        <f>0.403194496</f>
        <v>0.40319449600000001</v>
      </c>
      <c r="BT339">
        <f>0.519691422</f>
        <v>0.51969142199999996</v>
      </c>
      <c r="BU339">
        <f>0.53287412</f>
        <v>0.53287412000000001</v>
      </c>
      <c r="BV339">
        <f>0.576961275</f>
        <v>0.57696127500000005</v>
      </c>
      <c r="BW339">
        <f>0.63532503</f>
        <v>0.63532502999999996</v>
      </c>
      <c r="BX339">
        <f>0.703317061</f>
        <v>0.70331706100000002</v>
      </c>
      <c r="BY339">
        <f>0.693632373</f>
        <v>0.69363237300000002</v>
      </c>
      <c r="BZ339">
        <f>0.919046034</f>
        <v>0.91904603399999996</v>
      </c>
      <c r="CA339">
        <f>1.088764795</f>
        <v>1.0887647949999999</v>
      </c>
      <c r="CB339">
        <f>0.845692613</f>
        <v>0.84569261299999998</v>
      </c>
      <c r="CC339">
        <f>1.349940077</f>
        <v>1.3499400770000001</v>
      </c>
      <c r="CD339">
        <f>1.497578907</f>
        <v>1.4975789070000001</v>
      </c>
      <c r="CE339">
        <f>1.39968701</f>
        <v>1.3996870100000001</v>
      </c>
      <c r="CF339">
        <f>1.510464266</f>
        <v>1.5104642660000001</v>
      </c>
      <c r="CG339">
        <f>1.533869212</f>
        <v>1.5338692119999999</v>
      </c>
      <c r="CH339">
        <f>1.478170439</f>
        <v>1.4781704389999999</v>
      </c>
      <c r="CI339">
        <f>1.705700262</f>
        <v>1.7057002619999999</v>
      </c>
      <c r="CJ339">
        <f>1.496955149</f>
        <v>1.4969551489999999</v>
      </c>
      <c r="CK339">
        <f>1.415949479</f>
        <v>1.415949479</v>
      </c>
      <c r="CL339">
        <f>1.579060407</f>
        <v>1.5790604070000001</v>
      </c>
      <c r="CM339">
        <f>1.271335751</f>
        <v>1.2713357510000001</v>
      </c>
      <c r="CN339">
        <f>1.103849935</f>
        <v>1.1038499349999999</v>
      </c>
      <c r="CO339">
        <f>1.044300541</f>
        <v>1.0443005409999999</v>
      </c>
      <c r="CP339">
        <f>0.660029173</f>
        <v>0.66002917299999997</v>
      </c>
      <c r="CQ339">
        <f>0.546581294</f>
        <v>0.546581294</v>
      </c>
      <c r="CR339">
        <f>0.33772879</f>
        <v>0.33772879</v>
      </c>
      <c r="CS339">
        <f>0.377059043</f>
        <v>0.37705904299999998</v>
      </c>
      <c r="CT339">
        <f>0.633789954</f>
        <v>0.63378995400000004</v>
      </c>
      <c r="CU339">
        <f>0.630265984</f>
        <v>0.630265984</v>
      </c>
      <c r="CV339">
        <f>0.733253752</f>
        <v>0.73325375199999998</v>
      </c>
      <c r="CW339">
        <f>0.580279413</f>
        <v>0.58027941299999997</v>
      </c>
      <c r="CX339">
        <f>0.851856768</f>
        <v>0.85185676799999999</v>
      </c>
      <c r="CY339">
        <f>1.139387902</f>
        <v>1.139387902</v>
      </c>
      <c r="CZ339">
        <f>0.520264669</f>
        <v>0.52026466900000001</v>
      </c>
      <c r="DA339">
        <f>1.025674628</f>
        <v>1.025674628</v>
      </c>
      <c r="DB339">
        <f>1.143403284</f>
        <v>1.1434032839999999</v>
      </c>
      <c r="DC339" t="str">
        <f>""</f>
        <v/>
      </c>
      <c r="DD339">
        <f>0.697625163</f>
        <v>0.69762516299999999</v>
      </c>
      <c r="DE339">
        <f>0.804131709</f>
        <v>0.80413170899999997</v>
      </c>
      <c r="DF339">
        <f>1.325710269</f>
        <v>1.325710269</v>
      </c>
      <c r="DG339">
        <f>2.357342911</f>
        <v>2.3573429109999999</v>
      </c>
      <c r="DH339">
        <f>2.317833818</f>
        <v>2.317833818</v>
      </c>
      <c r="DI339">
        <f>1.252002866</f>
        <v>1.252002866</v>
      </c>
      <c r="DJ339">
        <f>1.084919801</f>
        <v>1.0849198010000001</v>
      </c>
      <c r="DK339">
        <f>0.629072494</f>
        <v>0.62907249399999998</v>
      </c>
      <c r="DL339">
        <f>0.463882322</f>
        <v>0.46388232200000001</v>
      </c>
      <c r="DM339">
        <f>0.486915738</f>
        <v>0.48691573799999999</v>
      </c>
      <c r="DN339">
        <f>0.468396803</f>
        <v>0.46839680299999997</v>
      </c>
      <c r="DO339">
        <f>0.503622858</f>
        <v>0.50362285799999995</v>
      </c>
      <c r="DP339">
        <f>0.441376055</f>
        <v>0.44137605499999999</v>
      </c>
      <c r="DQ339" t="str">
        <f>""</f>
        <v/>
      </c>
      <c r="DR339" t="str">
        <f>""</f>
        <v/>
      </c>
      <c r="DS339" t="str">
        <f>""</f>
        <v/>
      </c>
      <c r="DT339" t="str">
        <f>""</f>
        <v/>
      </c>
      <c r="DU339" t="str">
        <f>""</f>
        <v/>
      </c>
    </row>
    <row r="340" spans="1:125" x14ac:dyDescent="0.25">
      <c r="A340" t="str">
        <f>"    Daihatsu Motor Co Ltd"</f>
        <v xml:space="preserve">    Daihatsu Motor Co Ltd</v>
      </c>
      <c r="B340" t="str">
        <f>"7262 JP Equity"</f>
        <v>7262 JP Equity</v>
      </c>
      <c r="C340" t="str">
        <f t="shared" si="24"/>
        <v>RR473</v>
      </c>
      <c r="D340" t="str">
        <f t="shared" si="25"/>
        <v>EV_TO_T12M_SALES</v>
      </c>
      <c r="E340" t="str">
        <f t="shared" si="26"/>
        <v>Dynamic</v>
      </c>
      <c r="F340" t="str">
        <f ca="1">IF(AND(ISNUMBER($F$1005),$B$677=1),$F$1005,HLOOKUP(INDIRECT(ADDRESS(2,COLUMN())),OFFSET($BN$2,0,0,ROW()-1,60),ROW()-1,FALSE))</f>
        <v/>
      </c>
      <c r="G340" t="str">
        <f ca="1">IF(AND(ISNUMBER($G$1005),$B$677=1),$G$1005,HLOOKUP(INDIRECT(ADDRESS(2,COLUMN())),OFFSET($BN$2,0,0,ROW()-1,60),ROW()-1,FALSE))</f>
        <v/>
      </c>
      <c r="H340" t="str">
        <f ca="1">IF(AND(ISNUMBER($H$1005),$B$677=1),$H$1005,HLOOKUP(INDIRECT(ADDRESS(2,COLUMN())),OFFSET($BN$2,0,0,ROW()-1,60),ROW()-1,FALSE))</f>
        <v/>
      </c>
      <c r="I340" t="str">
        <f ca="1">IF(AND(ISNUMBER($I$1005),$B$677=1),$I$1005,HLOOKUP(INDIRECT(ADDRESS(2,COLUMN())),OFFSET($BN$2,0,0,ROW()-1,60),ROW()-1,FALSE))</f>
        <v/>
      </c>
      <c r="J340" t="str">
        <f ca="1">IF(AND(ISNUMBER($J$1005),$B$677=1),$J$1005,HLOOKUP(INDIRECT(ADDRESS(2,COLUMN())),OFFSET($BN$2,0,0,ROW()-1,60),ROW()-1,FALSE))</f>
        <v/>
      </c>
      <c r="K340" t="str">
        <f ca="1">IF(AND(ISNUMBER($K$1005),$B$677=1),$K$1005,HLOOKUP(INDIRECT(ADDRESS(2,COLUMN())),OFFSET($BN$2,0,0,ROW()-1,60),ROW()-1,FALSE))</f>
        <v/>
      </c>
      <c r="L340" t="str">
        <f ca="1">IF(AND(ISNUMBER($L$1005),$B$677=1),$L$1005,HLOOKUP(INDIRECT(ADDRESS(2,COLUMN())),OFFSET($BN$2,0,0,ROW()-1,60),ROW()-1,FALSE))</f>
        <v/>
      </c>
      <c r="M340" t="str">
        <f ca="1">IF(AND(ISNUMBER($M$1005),$B$677=1),$M$1005,HLOOKUP(INDIRECT(ADDRESS(2,COLUMN())),OFFSET($BN$2,0,0,ROW()-1,60),ROW()-1,FALSE))</f>
        <v/>
      </c>
      <c r="N340" t="str">
        <f ca="1">IF(AND(ISNUMBER($N$1005),$B$677=1),$N$1005,HLOOKUP(INDIRECT(ADDRESS(2,COLUMN())),OFFSET($BN$2,0,0,ROW()-1,60),ROW()-1,FALSE))</f>
        <v/>
      </c>
      <c r="O340" t="str">
        <f ca="1">IF(AND(ISNUMBER($O$1005),$B$677=1),$O$1005,HLOOKUP(INDIRECT(ADDRESS(2,COLUMN())),OFFSET($BN$2,0,0,ROW()-1,60),ROW()-1,FALSE))</f>
        <v/>
      </c>
      <c r="P340" t="str">
        <f ca="1">IF(AND(ISNUMBER($P$1005),$B$677=1),$P$1005,HLOOKUP(INDIRECT(ADDRESS(2,COLUMN())),OFFSET($BN$2,0,0,ROW()-1,60),ROW()-1,FALSE))</f>
        <v/>
      </c>
      <c r="Q340" t="str">
        <f ca="1">IF(AND(ISNUMBER($Q$1005),$B$677=1),$Q$1005,HLOOKUP(INDIRECT(ADDRESS(2,COLUMN())),OFFSET($BN$2,0,0,ROW()-1,60),ROW()-1,FALSE))</f>
        <v/>
      </c>
      <c r="R340">
        <f ca="1">IF(AND(ISNUMBER($R$1005),$B$677=1),$R$1005,HLOOKUP(INDIRECT(ADDRESS(2,COLUMN())),OFFSET($BN$2,0,0,ROW()-1,60),ROW()-1,FALSE))</f>
        <v>0.51983141899999996</v>
      </c>
      <c r="S340">
        <f ca="1">IF(AND(ISNUMBER($S$1005),$B$677=1),$S$1005,HLOOKUP(INDIRECT(ADDRESS(2,COLUMN())),OFFSET($BN$2,0,0,ROW()-1,60),ROW()-1,FALSE))</f>
        <v>0.50585650900000001</v>
      </c>
      <c r="T340">
        <f ca="1">IF(AND(ISNUMBER($T$1005),$B$677=1),$T$1005,HLOOKUP(INDIRECT(ADDRESS(2,COLUMN())),OFFSET($BN$2,0,0,ROW()-1,60),ROW()-1,FALSE))</f>
        <v>0.44884207599999998</v>
      </c>
      <c r="U340">
        <f ca="1">IF(AND(ISNUMBER($U$1005),$B$677=1),$U$1005,HLOOKUP(INDIRECT(ADDRESS(2,COLUMN())),OFFSET($BN$2,0,0,ROW()-1,60),ROW()-1,FALSE))</f>
        <v>0.53502245699999995</v>
      </c>
      <c r="V340">
        <f ca="1">IF(AND(ISNUMBER($V$1005),$B$677=1),$V$1005,HLOOKUP(INDIRECT(ADDRESS(2,COLUMN())),OFFSET($BN$2,0,0,ROW()-1,60),ROW()-1,FALSE))</f>
        <v>0.53487344199999998</v>
      </c>
      <c r="W340">
        <f ca="1">IF(AND(ISNUMBER($W$1005),$B$677=1),$W$1005,HLOOKUP(INDIRECT(ADDRESS(2,COLUMN())),OFFSET($BN$2,0,0,ROW()-1,60),ROW()-1,FALSE))</f>
        <v>0.46184681900000002</v>
      </c>
      <c r="X340">
        <f ca="1">IF(AND(ISNUMBER($X$1005),$B$677=1),$X$1005,HLOOKUP(INDIRECT(ADDRESS(2,COLUMN())),OFFSET($BN$2,0,0,ROW()-1,60),ROW()-1,FALSE))</f>
        <v>0.49429596199999998</v>
      </c>
      <c r="Y340">
        <f ca="1">IF(AND(ISNUMBER($Y$1005),$B$677=1),$Y$1005,HLOOKUP(INDIRECT(ADDRESS(2,COLUMN())),OFFSET($BN$2,0,0,ROW()-1,60),ROW()-1,FALSE))</f>
        <v>0.49705413100000001</v>
      </c>
      <c r="Z340">
        <f ca="1">IF(AND(ISNUMBER($Z$1005),$B$677=1),$Z$1005,HLOOKUP(INDIRECT(ADDRESS(2,COLUMN())),OFFSET($BN$2,0,0,ROW()-1,60),ROW()-1,FALSE))</f>
        <v>0.47862476999999998</v>
      </c>
      <c r="AA340">
        <f ca="1">IF(AND(ISNUMBER($AA$1005),$B$677=1),$AA$1005,HLOOKUP(INDIRECT(ADDRESS(2,COLUMN())),OFFSET($BN$2,0,0,ROW()-1,60),ROW()-1,FALSE))</f>
        <v>0.48035861899999999</v>
      </c>
      <c r="AB340">
        <f ca="1">IF(AND(ISNUMBER($AB$1005),$B$677=1),$AB$1005,HLOOKUP(INDIRECT(ADDRESS(2,COLUMN())),OFFSET($BN$2,0,0,ROW()-1,60),ROW()-1,FALSE))</f>
        <v>0.530063171</v>
      </c>
      <c r="AC340">
        <f ca="1">IF(AND(ISNUMBER($AC$1005),$B$677=1),$AC$1005,HLOOKUP(INDIRECT(ADDRESS(2,COLUMN())),OFFSET($BN$2,0,0,ROW()-1,60),ROW()-1,FALSE))</f>
        <v>0.537258758</v>
      </c>
      <c r="AD340">
        <f ca="1">IF(AND(ISNUMBER($AD$1005),$B$677=1),$AD$1005,HLOOKUP(INDIRECT(ADDRESS(2,COLUMN())),OFFSET($BN$2,0,0,ROW()-1,60),ROW()-1,FALSE))</f>
        <v>0.55037133699999996</v>
      </c>
      <c r="AE340">
        <f ca="1">IF(AND(ISNUMBER($AE$1005),$B$677=1),$AE$1005,HLOOKUP(INDIRECT(ADDRESS(2,COLUMN())),OFFSET($BN$2,0,0,ROW()-1,60),ROW()-1,FALSE))</f>
        <v>0.49617426100000001</v>
      </c>
      <c r="AF340">
        <f ca="1">IF(AND(ISNUMBER($AF$1005),$B$677=1),$AF$1005,HLOOKUP(INDIRECT(ADDRESS(2,COLUMN())),OFFSET($BN$2,0,0,ROW()-1,60),ROW()-1,FALSE))</f>
        <v>0.395651694</v>
      </c>
      <c r="AG340">
        <f ca="1">IF(AND(ISNUMBER($AG$1005),$B$677=1),$AG$1005,HLOOKUP(INDIRECT(ADDRESS(2,COLUMN())),OFFSET($BN$2,0,0,ROW()-1,60),ROW()-1,FALSE))</f>
        <v>0.42084100499999999</v>
      </c>
      <c r="AH340">
        <f ca="1">IF(AND(ISNUMBER($AH$1005),$B$677=1),$AH$1005,HLOOKUP(INDIRECT(ADDRESS(2,COLUMN())),OFFSET($BN$2,0,0,ROW()-1,60),ROW()-1,FALSE))</f>
        <v>0.484184479</v>
      </c>
      <c r="AI340">
        <f ca="1">IF(AND(ISNUMBER($AI$1005),$B$677=1),$AI$1005,HLOOKUP(INDIRECT(ADDRESS(2,COLUMN())),OFFSET($BN$2,0,0,ROW()-1,60),ROW()-1,FALSE))</f>
        <v>0.475545204</v>
      </c>
      <c r="AJ340">
        <f ca="1">IF(AND(ISNUMBER($AJ$1005),$B$677=1),$AJ$1005,HLOOKUP(INDIRECT(ADDRESS(2,COLUMN())),OFFSET($BN$2,0,0,ROW()-1,60),ROW()-1,FALSE))</f>
        <v>0.51298916100000003</v>
      </c>
      <c r="AK340">
        <f ca="1">IF(AND(ISNUMBER($AK$1005),$B$677=1),$AK$1005,HLOOKUP(INDIRECT(ADDRESS(2,COLUMN())),OFFSET($BN$2,0,0,ROW()-1,60),ROW()-1,FALSE))</f>
        <v>0.489750562</v>
      </c>
      <c r="AL340">
        <f ca="1">IF(AND(ISNUMBER($AL$1005),$B$677=1),$AL$1005,HLOOKUP(INDIRECT(ADDRESS(2,COLUMN())),OFFSET($BN$2,0,0,ROW()-1,60),ROW()-1,FALSE))</f>
        <v>0.43255309400000003</v>
      </c>
      <c r="AM340">
        <f ca="1">IF(AND(ISNUMBER($AM$1005),$B$677=1),$AM$1005,HLOOKUP(INDIRECT(ADDRESS(2,COLUMN())),OFFSET($BN$2,0,0,ROW()-1,60),ROW()-1,FALSE))</f>
        <v>0.41989975699999998</v>
      </c>
      <c r="AN340">
        <f ca="1">IF(AND(ISNUMBER($AN$1005),$B$677=1),$AN$1005,HLOOKUP(INDIRECT(ADDRESS(2,COLUMN())),OFFSET($BN$2,0,0,ROW()-1,60),ROW()-1,FALSE))</f>
        <v>0.38276870499999999</v>
      </c>
      <c r="AO340">
        <f ca="1">IF(AND(ISNUMBER($AO$1005),$B$677=1),$AO$1005,HLOOKUP(INDIRECT(ADDRESS(2,COLUMN())),OFFSET($BN$2,0,0,ROW()-1,60),ROW()-1,FALSE))</f>
        <v>0.32147200500000001</v>
      </c>
      <c r="AP340">
        <f ca="1">IF(AND(ISNUMBER($AP$1005),$B$677=1),$AP$1005,HLOOKUP(INDIRECT(ADDRESS(2,COLUMN())),OFFSET($BN$2,0,0,ROW()-1,60),ROW()-1,FALSE))</f>
        <v>0.37303940299999999</v>
      </c>
      <c r="AQ340">
        <f ca="1">IF(AND(ISNUMBER($AQ$1005),$B$677=1),$AQ$1005,HLOOKUP(INDIRECT(ADDRESS(2,COLUMN())),OFFSET($BN$2,0,0,ROW()-1,60),ROW()-1,FALSE))</f>
        <v>0.38822218200000003</v>
      </c>
      <c r="AR340">
        <f ca="1">IF(AND(ISNUMBER($AR$1005),$B$677=1),$AR$1005,HLOOKUP(INDIRECT(ADDRESS(2,COLUMN())),OFFSET($BN$2,0,0,ROW()-1,60),ROW()-1,FALSE))</f>
        <v>0.40918500800000002</v>
      </c>
      <c r="AS340">
        <f ca="1">IF(AND(ISNUMBER($AS$1005),$B$677=1),$AS$1005,HLOOKUP(INDIRECT(ADDRESS(2,COLUMN())),OFFSET($BN$2,0,0,ROW()-1,60),ROW()-1,FALSE))</f>
        <v>0.38546657699999998</v>
      </c>
      <c r="AT340">
        <f ca="1">IF(AND(ISNUMBER($AT$1005),$B$677=1),$AT$1005,HLOOKUP(INDIRECT(ADDRESS(2,COLUMN())),OFFSET($BN$2,0,0,ROW()-1,60),ROW()-1,FALSE))</f>
        <v>0.34030063900000002</v>
      </c>
      <c r="AU340">
        <f ca="1">IF(AND(ISNUMBER($AU$1005),$B$677=1),$AU$1005,HLOOKUP(INDIRECT(ADDRESS(2,COLUMN())),OFFSET($BN$2,0,0,ROW()-1,60),ROW()-1,FALSE))</f>
        <v>0.29572153099999998</v>
      </c>
      <c r="AV340">
        <f ca="1">IF(AND(ISNUMBER($AV$1005),$B$677=1),$AV$1005,HLOOKUP(INDIRECT(ADDRESS(2,COLUMN())),OFFSET($BN$2,0,0,ROW()-1,60),ROW()-1,FALSE))</f>
        <v>0.38648638000000002</v>
      </c>
      <c r="AW340">
        <f ca="1">IF(AND(ISNUMBER($AW$1005),$B$677=1),$AW$1005,HLOOKUP(INDIRECT(ADDRESS(2,COLUMN())),OFFSET($BN$2,0,0,ROW()-1,60),ROW()-1,FALSE))</f>
        <v>0.40737993300000003</v>
      </c>
      <c r="AX340">
        <f ca="1">IF(AND(ISNUMBER($AX$1005),$B$677=1),$AX$1005,HLOOKUP(INDIRECT(ADDRESS(2,COLUMN())),OFFSET($BN$2,0,0,ROW()-1,60),ROW()-1,FALSE))</f>
        <v>0.41861490400000001</v>
      </c>
      <c r="AY340">
        <f ca="1">IF(AND(ISNUMBER($AY$1005),$B$677=1),$AY$1005,HLOOKUP(INDIRECT(ADDRESS(2,COLUMN())),OFFSET($BN$2,0,0,ROW()-1,60),ROW()-1,FALSE))</f>
        <v>0.38037833799999998</v>
      </c>
      <c r="AZ340">
        <f ca="1">IF(AND(ISNUMBER($AZ$1005),$B$677=1),$AZ$1005,HLOOKUP(INDIRECT(ADDRESS(2,COLUMN())),OFFSET($BN$2,0,0,ROW()-1,60),ROW()-1,FALSE))</f>
        <v>0.41821391000000002</v>
      </c>
      <c r="BA340">
        <f ca="1">IF(AND(ISNUMBER($BA$1005),$B$677=1),$BA$1005,HLOOKUP(INDIRECT(ADDRESS(2,COLUMN())),OFFSET($BN$2,0,0,ROW()-1,60),ROW()-1,FALSE))</f>
        <v>0.40456457200000001</v>
      </c>
      <c r="BB340">
        <f ca="1">IF(AND(ISNUMBER($BB$1005),$B$677=1),$BB$1005,HLOOKUP(INDIRECT(ADDRESS(2,COLUMN())),OFFSET($BN$2,0,0,ROW()-1,60),ROW()-1,FALSE))</f>
        <v>0.40076220299999998</v>
      </c>
      <c r="BC340">
        <f ca="1">IF(AND(ISNUMBER($BC$1005),$B$677=1),$BC$1005,HLOOKUP(INDIRECT(ADDRESS(2,COLUMN())),OFFSET($BN$2,0,0,ROW()-1,60),ROW()-1,FALSE))</f>
        <v>0.43261416800000002</v>
      </c>
      <c r="BD340">
        <f ca="1">IF(AND(ISNUMBER($BD$1005),$B$677=1),$BD$1005,HLOOKUP(INDIRECT(ADDRESS(2,COLUMN())),OFFSET($BN$2,0,0,ROW()-1,60),ROW()-1,FALSE))</f>
        <v>0.42582805800000001</v>
      </c>
      <c r="BE340">
        <f ca="1">IF(AND(ISNUMBER($BE$1005),$B$677=1),$BE$1005,HLOOKUP(INDIRECT(ADDRESS(2,COLUMN())),OFFSET($BN$2,0,0,ROW()-1,60),ROW()-1,FALSE))</f>
        <v>0.38809526999999999</v>
      </c>
      <c r="BF340">
        <f ca="1">IF(AND(ISNUMBER($BF$1005),$B$677=1),$BF$1005,HLOOKUP(INDIRECT(ADDRESS(2,COLUMN())),OFFSET($BN$2,0,0,ROW()-1,60),ROW()-1,FALSE))</f>
        <v>0.51162682900000001</v>
      </c>
      <c r="BG340">
        <f ca="1">IF(AND(ISNUMBER($BG$1005),$B$677=1),$BG$1005,HLOOKUP(INDIRECT(ADDRESS(2,COLUMN())),OFFSET($BN$2,0,0,ROW()-1,60),ROW()-1,FALSE))</f>
        <v>0.55336169800000001</v>
      </c>
      <c r="BH340">
        <f ca="1">IF(AND(ISNUMBER($BH$1005),$B$677=1),$BH$1005,HLOOKUP(INDIRECT(ADDRESS(2,COLUMN())),OFFSET($BN$2,0,0,ROW()-1,60),ROW()-1,FALSE))</f>
        <v>0.52480755499999998</v>
      </c>
      <c r="BI340" t="str">
        <f ca="1">IF(AND(ISNUMBER($BI$1005),$B$677=1),$BI$1005,HLOOKUP(INDIRECT(ADDRESS(2,COLUMN())),OFFSET($BN$2,0,0,ROW()-1,60),ROW()-1,FALSE))</f>
        <v/>
      </c>
      <c r="BJ340">
        <f ca="1">IF(AND(ISNUMBER($BJ$1005),$B$677=1),$BJ$1005,HLOOKUP(INDIRECT(ADDRESS(2,COLUMN())),OFFSET($BN$2,0,0,ROW()-1,60),ROW()-1,FALSE))</f>
        <v>0.43470687000000002</v>
      </c>
      <c r="BK340" t="str">
        <f ca="1">IF(AND(ISNUMBER($BK$1005),$B$677=1),$BK$1005,HLOOKUP(INDIRECT(ADDRESS(2,COLUMN())),OFFSET($BN$2,0,0,ROW()-1,60),ROW()-1,FALSE))</f>
        <v/>
      </c>
      <c r="BL340" t="str">
        <f ca="1">IF(AND(ISNUMBER($BL$1005),$B$677=1),$BL$1005,HLOOKUP(INDIRECT(ADDRESS(2,COLUMN())),OFFSET($BN$2,0,0,ROW()-1,60),ROW()-1,FALSE))</f>
        <v/>
      </c>
      <c r="BM340" t="str">
        <f ca="1">IF(AND(ISNUMBER($BM$1005),$B$677=1),$BM$1005,HLOOKUP(INDIRECT(ADDRESS(2,COLUMN())),OFFSET($BN$2,0,0,ROW()-1,60),ROW()-1,FALSE))</f>
        <v/>
      </c>
      <c r="BN340" t="str">
        <f>""</f>
        <v/>
      </c>
      <c r="BO340" t="str">
        <f>""</f>
        <v/>
      </c>
      <c r="BP340" t="str">
        <f>""</f>
        <v/>
      </c>
      <c r="BQ340" t="str">
        <f>""</f>
        <v/>
      </c>
      <c r="BR340" t="str">
        <f>""</f>
        <v/>
      </c>
      <c r="BS340" t="str">
        <f>""</f>
        <v/>
      </c>
      <c r="BT340" t="str">
        <f>""</f>
        <v/>
      </c>
      <c r="BU340" t="str">
        <f>""</f>
        <v/>
      </c>
      <c r="BV340" t="str">
        <f>""</f>
        <v/>
      </c>
      <c r="BW340" t="str">
        <f>""</f>
        <v/>
      </c>
      <c r="BX340" t="str">
        <f>""</f>
        <v/>
      </c>
      <c r="BY340" t="str">
        <f>""</f>
        <v/>
      </c>
      <c r="BZ340">
        <f>0.519831419</f>
        <v>0.51983141899999996</v>
      </c>
      <c r="CA340">
        <f>0.505856509</f>
        <v>0.50585650900000001</v>
      </c>
      <c r="CB340">
        <f>0.448842076</f>
        <v>0.44884207599999998</v>
      </c>
      <c r="CC340">
        <f>0.535022457</f>
        <v>0.53502245699999995</v>
      </c>
      <c r="CD340">
        <f>0.534873442</f>
        <v>0.53487344199999998</v>
      </c>
      <c r="CE340">
        <f>0.461846819</f>
        <v>0.46184681900000002</v>
      </c>
      <c r="CF340">
        <f>0.494295962</f>
        <v>0.49429596199999998</v>
      </c>
      <c r="CG340">
        <f>0.497054131</f>
        <v>0.49705413100000001</v>
      </c>
      <c r="CH340">
        <f>0.47862477</f>
        <v>0.47862476999999998</v>
      </c>
      <c r="CI340">
        <f>0.480358619</f>
        <v>0.48035861899999999</v>
      </c>
      <c r="CJ340">
        <f>0.530063171</f>
        <v>0.530063171</v>
      </c>
      <c r="CK340">
        <f>0.537258758</f>
        <v>0.537258758</v>
      </c>
      <c r="CL340">
        <f>0.550371337</f>
        <v>0.55037133699999996</v>
      </c>
      <c r="CM340">
        <f>0.496174261</f>
        <v>0.49617426100000001</v>
      </c>
      <c r="CN340">
        <f>0.395651694</f>
        <v>0.395651694</v>
      </c>
      <c r="CO340">
        <f>0.420841005</f>
        <v>0.42084100499999999</v>
      </c>
      <c r="CP340">
        <f>0.484184479</f>
        <v>0.484184479</v>
      </c>
      <c r="CQ340">
        <f>0.475545204</f>
        <v>0.475545204</v>
      </c>
      <c r="CR340">
        <f>0.512989161</f>
        <v>0.51298916100000003</v>
      </c>
      <c r="CS340">
        <f>0.489750562</f>
        <v>0.489750562</v>
      </c>
      <c r="CT340">
        <f>0.432553094</f>
        <v>0.43255309400000003</v>
      </c>
      <c r="CU340">
        <f>0.419899757</f>
        <v>0.41989975699999998</v>
      </c>
      <c r="CV340">
        <f>0.382768705</f>
        <v>0.38276870499999999</v>
      </c>
      <c r="CW340">
        <f>0.321472005</f>
        <v>0.32147200500000001</v>
      </c>
      <c r="CX340">
        <f>0.373039403</f>
        <v>0.37303940299999999</v>
      </c>
      <c r="CY340">
        <f>0.388222182</f>
        <v>0.38822218200000003</v>
      </c>
      <c r="CZ340">
        <f>0.409185008</f>
        <v>0.40918500800000002</v>
      </c>
      <c r="DA340">
        <f>0.385466577</f>
        <v>0.38546657699999998</v>
      </c>
      <c r="DB340">
        <f>0.340300639</f>
        <v>0.34030063900000002</v>
      </c>
      <c r="DC340">
        <f>0.295721531</f>
        <v>0.29572153099999998</v>
      </c>
      <c r="DD340">
        <f>0.38648638</f>
        <v>0.38648638000000002</v>
      </c>
      <c r="DE340">
        <f>0.407379933</f>
        <v>0.40737993300000003</v>
      </c>
      <c r="DF340">
        <f>0.418614904</f>
        <v>0.41861490400000001</v>
      </c>
      <c r="DG340">
        <f>0.380378338</f>
        <v>0.38037833799999998</v>
      </c>
      <c r="DH340">
        <f>0.41821391</f>
        <v>0.41821391000000002</v>
      </c>
      <c r="DI340">
        <f>0.404564572</f>
        <v>0.40456457200000001</v>
      </c>
      <c r="DJ340">
        <f>0.400762203</f>
        <v>0.40076220299999998</v>
      </c>
      <c r="DK340">
        <f>0.432614168</f>
        <v>0.43261416800000002</v>
      </c>
      <c r="DL340">
        <f>0.425828058</f>
        <v>0.42582805800000001</v>
      </c>
      <c r="DM340">
        <f>0.38809527</f>
        <v>0.38809526999999999</v>
      </c>
      <c r="DN340">
        <f>0.511626829</f>
        <v>0.51162682900000001</v>
      </c>
      <c r="DO340">
        <f>0.553361698</f>
        <v>0.55336169800000001</v>
      </c>
      <c r="DP340">
        <f>0.524807555</f>
        <v>0.52480755499999998</v>
      </c>
      <c r="DQ340" t="str">
        <f>""</f>
        <v/>
      </c>
      <c r="DR340">
        <f>0.43470687</f>
        <v>0.43470687000000002</v>
      </c>
      <c r="DS340" t="str">
        <f>""</f>
        <v/>
      </c>
      <c r="DT340" t="str">
        <f>""</f>
        <v/>
      </c>
      <c r="DU340" t="str">
        <f>""</f>
        <v/>
      </c>
    </row>
    <row r="341" spans="1:125" x14ac:dyDescent="0.25">
      <c r="A341" t="str">
        <f>"    Daimler AG"</f>
        <v xml:space="preserve">    Daimler AG</v>
      </c>
      <c r="B341" t="str">
        <f>"DAI GR Equity"</f>
        <v>DAI GR Equity</v>
      </c>
      <c r="C341" t="str">
        <f t="shared" si="24"/>
        <v>RR473</v>
      </c>
      <c r="D341" t="str">
        <f t="shared" si="25"/>
        <v>EV_TO_T12M_SALES</v>
      </c>
      <c r="E341" t="str">
        <f t="shared" si="26"/>
        <v>Dynamic</v>
      </c>
      <c r="F341" t="str">
        <f ca="1">IF(AND(ISNUMBER($F$1006),$B$677=1),$F$1006,HLOOKUP(INDIRECT(ADDRESS(2,COLUMN())),OFFSET($BN$2,0,0,ROW()-1,60),ROW()-1,FALSE))</f>
        <v/>
      </c>
      <c r="G341">
        <f ca="1">IF(AND(ISNUMBER($G$1006),$B$677=1),$G$1006,HLOOKUP(INDIRECT(ADDRESS(2,COLUMN())),OFFSET($BN$2,0,0,ROW()-1,60),ROW()-1,FALSE))</f>
        <v>0.18978441900000001</v>
      </c>
      <c r="H341">
        <f ca="1">IF(AND(ISNUMBER($H$1006),$B$677=1),$H$1006,HLOOKUP(INDIRECT(ADDRESS(2,COLUMN())),OFFSET($BN$2,0,0,ROW()-1,60),ROW()-1,FALSE))</f>
        <v>0.25513412200000002</v>
      </c>
      <c r="I341">
        <f ca="1">IF(AND(ISNUMBER($I$1006),$B$677=1),$I$1006,HLOOKUP(INDIRECT(ADDRESS(2,COLUMN())),OFFSET($BN$2,0,0,ROW()-1,60),ROW()-1,FALSE))</f>
        <v>0.25001409400000002</v>
      </c>
      <c r="J341">
        <f ca="1">IF(AND(ISNUMBER($J$1006),$B$677=1),$J$1006,HLOOKUP(INDIRECT(ADDRESS(2,COLUMN())),OFFSET($BN$2,0,0,ROW()-1,60),ROW()-1,FALSE))</f>
        <v>0.319098557</v>
      </c>
      <c r="K341">
        <f ca="1">IF(AND(ISNUMBER($K$1006),$B$677=1),$K$1006,HLOOKUP(INDIRECT(ADDRESS(2,COLUMN())),OFFSET($BN$2,0,0,ROW()-1,60),ROW()-1,FALSE))</f>
        <v>0.34683894399999998</v>
      </c>
      <c r="L341">
        <f ca="1">IF(AND(ISNUMBER($L$1006),$B$677=1),$L$1006,HLOOKUP(INDIRECT(ADDRESS(2,COLUMN())),OFFSET($BN$2,0,0,ROW()-1,60),ROW()-1,FALSE))</f>
        <v>0.29323229899999997</v>
      </c>
      <c r="M341">
        <f ca="1">IF(AND(ISNUMBER($M$1006),$B$677=1),$M$1006,HLOOKUP(INDIRECT(ADDRESS(2,COLUMN())),OFFSET($BN$2,0,0,ROW()-1,60),ROW()-1,FALSE))</f>
        <v>0.286047781</v>
      </c>
      <c r="N341">
        <f ca="1">IF(AND(ISNUMBER($N$1006),$B$677=1),$N$1006,HLOOKUP(INDIRECT(ADDRESS(2,COLUMN())),OFFSET($BN$2,0,0,ROW()-1,60),ROW()-1,FALSE))</f>
        <v>0.31337203800000002</v>
      </c>
      <c r="O341">
        <f ca="1">IF(AND(ISNUMBER($O$1006),$B$677=1),$O$1006,HLOOKUP(INDIRECT(ADDRESS(2,COLUMN())),OFFSET($BN$2,0,0,ROW()-1,60),ROW()-1,FALSE))</f>
        <v>0.35202302000000002</v>
      </c>
      <c r="P341">
        <f ca="1">IF(AND(ISNUMBER($P$1006),$B$677=1),$P$1006,HLOOKUP(INDIRECT(ADDRESS(2,COLUMN())),OFFSET($BN$2,0,0,ROW()-1,60),ROW()-1,FALSE))</f>
        <v>0.306112255</v>
      </c>
      <c r="Q341">
        <f ca="1">IF(AND(ISNUMBER($Q$1006),$B$677=1),$Q$1006,HLOOKUP(INDIRECT(ADDRESS(2,COLUMN())),OFFSET($BN$2,0,0,ROW()-1,60),ROW()-1,FALSE))</f>
        <v>0.25185892700000001</v>
      </c>
      <c r="R341">
        <f ca="1">IF(AND(ISNUMBER($R$1006),$B$677=1),$R$1006,HLOOKUP(INDIRECT(ADDRESS(2,COLUMN())),OFFSET($BN$2,0,0,ROW()-1,60),ROW()-1,FALSE))</f>
        <v>0.34364674499999998</v>
      </c>
      <c r="S341">
        <f ca="1">IF(AND(ISNUMBER($S$1006),$B$677=1),$S$1006,HLOOKUP(INDIRECT(ADDRESS(2,COLUMN())),OFFSET($BN$2,0,0,ROW()-1,60),ROW()-1,FALSE))</f>
        <v>0.42124080899999999</v>
      </c>
      <c r="T341">
        <f ca="1">IF(AND(ISNUMBER($T$1006),$B$677=1),$T$1006,HLOOKUP(INDIRECT(ADDRESS(2,COLUMN())),OFFSET($BN$2,0,0,ROW()-1,60),ROW()-1,FALSE))</f>
        <v>0.32855912599999998</v>
      </c>
      <c r="U341">
        <f ca="1">IF(AND(ISNUMBER($U$1006),$B$677=1),$U$1006,HLOOKUP(INDIRECT(ADDRESS(2,COLUMN())),OFFSET($BN$2,0,0,ROW()-1,60),ROW()-1,FALSE))</f>
        <v>0.477995165</v>
      </c>
      <c r="V341">
        <f ca="1">IF(AND(ISNUMBER($V$1006),$B$677=1),$V$1006,HLOOKUP(INDIRECT(ADDRESS(2,COLUMN())),OFFSET($BN$2,0,0,ROW()-1,60),ROW()-1,FALSE))</f>
        <v>0.54517642899999996</v>
      </c>
      <c r="W341">
        <f ca="1">IF(AND(ISNUMBER($W$1006),$B$677=1),$W$1006,HLOOKUP(INDIRECT(ADDRESS(2,COLUMN())),OFFSET($BN$2,0,0,ROW()-1,60),ROW()-1,FALSE))</f>
        <v>0.42289253999999998</v>
      </c>
      <c r="X341">
        <f ca="1">IF(AND(ISNUMBER($X$1006),$B$677=1),$X$1006,HLOOKUP(INDIRECT(ADDRESS(2,COLUMN())),OFFSET($BN$2,0,0,ROW()-1,60),ROW()-1,FALSE))</f>
        <v>0.350365227</v>
      </c>
      <c r="Y341">
        <f ca="1">IF(AND(ISNUMBER($Y$1006),$B$677=1),$Y$1006,HLOOKUP(INDIRECT(ADDRESS(2,COLUMN())),OFFSET($BN$2,0,0,ROW()-1,60),ROW()-1,FALSE))</f>
        <v>0.46592419800000001</v>
      </c>
      <c r="Z341">
        <f ca="1">IF(AND(ISNUMBER($Z$1006),$B$677=1),$Z$1006,HLOOKUP(INDIRECT(ADDRESS(2,COLUMN())),OFFSET($BN$2,0,0,ROW()-1,60),ROW()-1,FALSE))</f>
        <v>0.45943890199999998</v>
      </c>
      <c r="AA341">
        <f ca="1">IF(AND(ISNUMBER($AA$1006),$B$677=1),$AA$1006,HLOOKUP(INDIRECT(ADDRESS(2,COLUMN())),OFFSET($BN$2,0,0,ROW()-1,60),ROW()-1,FALSE))</f>
        <v>0.43117594199999998</v>
      </c>
      <c r="AB341">
        <f ca="1">IF(AND(ISNUMBER($AB$1006),$B$677=1),$AB$1006,HLOOKUP(INDIRECT(ADDRESS(2,COLUMN())),OFFSET($BN$2,0,0,ROW()-1,60),ROW()-1,FALSE))</f>
        <v>0.39534253400000002</v>
      </c>
      <c r="AC341">
        <f ca="1">IF(AND(ISNUMBER($AC$1006),$B$677=1),$AC$1006,HLOOKUP(INDIRECT(ADDRESS(2,COLUMN())),OFFSET($BN$2,0,0,ROW()-1,60),ROW()-1,FALSE))</f>
        <v>0.30555886399999999</v>
      </c>
      <c r="AD341">
        <f ca="1">IF(AND(ISNUMBER($AD$1006),$B$677=1),$AD$1006,HLOOKUP(INDIRECT(ADDRESS(2,COLUMN())),OFFSET($BN$2,0,0,ROW()-1,60),ROW()-1,FALSE))</f>
        <v>0.29424039600000002</v>
      </c>
      <c r="AE341">
        <f ca="1">IF(AND(ISNUMBER($AE$1006),$B$677=1),$AE$1006,HLOOKUP(INDIRECT(ADDRESS(2,COLUMN())),OFFSET($BN$2,0,0,ROW()-1,60),ROW()-1,FALSE))</f>
        <v>0.27561731299999997</v>
      </c>
      <c r="AF341">
        <f ca="1">IF(AND(ISNUMBER($AF$1006),$B$677=1),$AF$1006,HLOOKUP(INDIRECT(ADDRESS(2,COLUMN())),OFFSET($BN$2,0,0,ROW()-1,60),ROW()-1,FALSE))</f>
        <v>0.27102808900000003</v>
      </c>
      <c r="AG341">
        <f ca="1">IF(AND(ISNUMBER($AG$1006),$B$677=1),$AG$1006,HLOOKUP(INDIRECT(ADDRESS(2,COLUMN())),OFFSET($BN$2,0,0,ROW()-1,60),ROW()-1,FALSE))</f>
        <v>0.24793874799999999</v>
      </c>
      <c r="AH341">
        <f ca="1">IF(AND(ISNUMBER($AH$1006),$B$677=1),$AH$1006,HLOOKUP(INDIRECT(ADDRESS(2,COLUMN())),OFFSET($BN$2,0,0,ROW()-1,60),ROW()-1,FALSE))</f>
        <v>0.33855176300000001</v>
      </c>
      <c r="AI341">
        <f ca="1">IF(AND(ISNUMBER($AI$1006),$B$677=1),$AI$1006,HLOOKUP(INDIRECT(ADDRESS(2,COLUMN())),OFFSET($BN$2,0,0,ROW()-1,60),ROW()-1,FALSE))</f>
        <v>0.214087629</v>
      </c>
      <c r="AJ341">
        <f ca="1">IF(AND(ISNUMBER($AJ$1006),$B$677=1),$AJ$1006,HLOOKUP(INDIRECT(ADDRESS(2,COLUMN())),OFFSET($BN$2,0,0,ROW()-1,60),ROW()-1,FALSE))</f>
        <v>0.23143076000000001</v>
      </c>
      <c r="AK341">
        <f ca="1">IF(AND(ISNUMBER($AK$1006),$B$677=1),$AK$1006,HLOOKUP(INDIRECT(ADDRESS(2,COLUMN())),OFFSET($BN$2,0,0,ROW()-1,60),ROW()-1,FALSE))</f>
        <v>0.41040833300000001</v>
      </c>
      <c r="AL341">
        <f ca="1">IF(AND(ISNUMBER($AL$1006),$B$677=1),$AL$1006,HLOOKUP(INDIRECT(ADDRESS(2,COLUMN())),OFFSET($BN$2,0,0,ROW()-1,60),ROW()-1,FALSE))</f>
        <v>0.38833005900000001</v>
      </c>
      <c r="AM341">
        <f ca="1">IF(AND(ISNUMBER($AM$1006),$B$677=1),$AM$1006,HLOOKUP(INDIRECT(ADDRESS(2,COLUMN())),OFFSET($BN$2,0,0,ROW()-1,60),ROW()-1,FALSE))</f>
        <v>0.42336659799999998</v>
      </c>
      <c r="AN341">
        <f ca="1">IF(AND(ISNUMBER($AN$1006),$B$677=1),$AN$1006,HLOOKUP(INDIRECT(ADDRESS(2,COLUMN())),OFFSET($BN$2,0,0,ROW()-1,60),ROW()-1,FALSE))</f>
        <v>0.38987829600000001</v>
      </c>
      <c r="AO341">
        <f ca="1">IF(AND(ISNUMBER($AO$1006),$B$677=1),$AO$1006,HLOOKUP(INDIRECT(ADDRESS(2,COLUMN())),OFFSET($BN$2,0,0,ROW()-1,60),ROW()-1,FALSE))</f>
        <v>0.38923282199999998</v>
      </c>
      <c r="AP341">
        <f ca="1">IF(AND(ISNUMBER($AP$1006),$B$677=1),$AP$1006,HLOOKUP(INDIRECT(ADDRESS(2,COLUMN())),OFFSET($BN$2,0,0,ROW()-1,60),ROW()-1,FALSE))</f>
        <v>0.34051425699999999</v>
      </c>
      <c r="AQ341">
        <f ca="1">IF(AND(ISNUMBER($AQ$1006),$B$677=1),$AQ$1006,HLOOKUP(INDIRECT(ADDRESS(2,COLUMN())),OFFSET($BN$2,0,0,ROW()-1,60),ROW()-1,FALSE))</f>
        <v>0.40535506300000002</v>
      </c>
      <c r="AR341">
        <f ca="1">IF(AND(ISNUMBER($AR$1006),$B$677=1),$AR$1006,HLOOKUP(INDIRECT(ADDRESS(2,COLUMN())),OFFSET($BN$2,0,0,ROW()-1,60),ROW()-1,FALSE))</f>
        <v>0.34902361399999998</v>
      </c>
      <c r="AS341">
        <f ca="1">IF(AND(ISNUMBER($AS$1006),$B$677=1),$AS$1006,HLOOKUP(INDIRECT(ADDRESS(2,COLUMN())),OFFSET($BN$2,0,0,ROW()-1,60),ROW()-1,FALSE))</f>
        <v>0.244824452</v>
      </c>
      <c r="AT341">
        <f ca="1">IF(AND(ISNUMBER($AT$1006),$B$677=1),$AT$1006,HLOOKUP(INDIRECT(ADDRESS(2,COLUMN())),OFFSET($BN$2,0,0,ROW()-1,60),ROW()-1,FALSE))</f>
        <v>0.17143218800000001</v>
      </c>
      <c r="AU341">
        <f ca="1">IF(AND(ISNUMBER($AU$1006),$B$677=1),$AU$1006,HLOOKUP(INDIRECT(ADDRESS(2,COLUMN())),OFFSET($BN$2,0,0,ROW()-1,60),ROW()-1,FALSE))</f>
        <v>0.86972609599999995</v>
      </c>
      <c r="AV341">
        <f ca="1">IF(AND(ISNUMBER($AV$1006),$B$677=1),$AV$1006,HLOOKUP(INDIRECT(ADDRESS(2,COLUMN())),OFFSET($BN$2,0,0,ROW()-1,60),ROW()-1,FALSE))</f>
        <v>1.0229526010000001</v>
      </c>
      <c r="AW341">
        <f ca="1">IF(AND(ISNUMBER($AW$1006),$B$677=1),$AW$1006,HLOOKUP(INDIRECT(ADDRESS(2,COLUMN())),OFFSET($BN$2,0,0,ROW()-1,60),ROW()-1,FALSE))</f>
        <v>0.97744902600000005</v>
      </c>
      <c r="AX341">
        <f ca="1">IF(AND(ISNUMBER($AX$1006),$B$677=1),$AX$1006,HLOOKUP(INDIRECT(ADDRESS(2,COLUMN())),OFFSET($BN$2,0,0,ROW()-1,60),ROW()-1,FALSE))</f>
        <v>1.133774445</v>
      </c>
      <c r="AY341">
        <f ca="1">IF(AND(ISNUMBER($AY$1006),$B$677=1),$AY$1006,HLOOKUP(INDIRECT(ADDRESS(2,COLUMN())),OFFSET($BN$2,0,0,ROW()-1,60),ROW()-1,FALSE))</f>
        <v>1.275965952</v>
      </c>
      <c r="AZ341">
        <f ca="1">IF(AND(ISNUMBER($AZ$1006),$B$677=1),$AZ$1006,HLOOKUP(INDIRECT(ADDRESS(2,COLUMN())),OFFSET($BN$2,0,0,ROW()-1,60),ROW()-1,FALSE))</f>
        <v>1.3636689150000001</v>
      </c>
      <c r="BA341">
        <f ca="1">IF(AND(ISNUMBER($BA$1006),$B$677=1),$BA$1006,HLOOKUP(INDIRECT(ADDRESS(2,COLUMN())),OFFSET($BN$2,0,0,ROW()-1,60),ROW()-1,FALSE))</f>
        <v>1.6212343279999999</v>
      </c>
      <c r="BB341">
        <f ca="1">IF(AND(ISNUMBER($BB$1006),$B$677=1),$BB$1006,HLOOKUP(INDIRECT(ADDRESS(2,COLUMN())),OFFSET($BN$2,0,0,ROW()-1,60),ROW()-1,FALSE))</f>
        <v>1.7768382579999999</v>
      </c>
      <c r="BC341">
        <f ca="1">IF(AND(ISNUMBER($BC$1006),$B$677=1),$BC$1006,HLOOKUP(INDIRECT(ADDRESS(2,COLUMN())),OFFSET($BN$2,0,0,ROW()-1,60),ROW()-1,FALSE))</f>
        <v>1.440426518</v>
      </c>
      <c r="BD341">
        <f ca="1">IF(AND(ISNUMBER($BD$1006),$B$677=1),$BD$1006,HLOOKUP(INDIRECT(ADDRESS(2,COLUMN())),OFFSET($BN$2,0,0,ROW()-1,60),ROW()-1,FALSE))</f>
        <v>0.873650806</v>
      </c>
      <c r="BE341">
        <f ca="1">IF(AND(ISNUMBER($BE$1006),$B$677=1),$BE$1006,HLOOKUP(INDIRECT(ADDRESS(2,COLUMN())),OFFSET($BN$2,0,0,ROW()-1,60),ROW()-1,FALSE))</f>
        <v>0.77284873799999998</v>
      </c>
      <c r="BF341">
        <f ca="1">IF(AND(ISNUMBER($BF$1006),$B$677=1),$BF$1006,HLOOKUP(INDIRECT(ADDRESS(2,COLUMN())),OFFSET($BN$2,0,0,ROW()-1,60),ROW()-1,FALSE))</f>
        <v>0.75642982800000003</v>
      </c>
      <c r="BG341">
        <f ca="1">IF(AND(ISNUMBER($BG$1006),$B$677=1),$BG$1006,HLOOKUP(INDIRECT(ADDRESS(2,COLUMN())),OFFSET($BN$2,0,0,ROW()-1,60),ROW()-1,FALSE))</f>
        <v>0.75353841799999999</v>
      </c>
      <c r="BH341">
        <f ca="1">IF(AND(ISNUMBER($BH$1006),$B$677=1),$BH$1006,HLOOKUP(INDIRECT(ADDRESS(2,COLUMN())),OFFSET($BN$2,0,0,ROW()-1,60),ROW()-1,FALSE))</f>
        <v>0.76852472999999999</v>
      </c>
      <c r="BI341">
        <f ca="1">IF(AND(ISNUMBER($BI$1006),$B$677=1),$BI$1006,HLOOKUP(INDIRECT(ADDRESS(2,COLUMN())),OFFSET($BN$2,0,0,ROW()-1,60),ROW()-1,FALSE))</f>
        <v>0.70821457799999998</v>
      </c>
      <c r="BJ341">
        <f ca="1">IF(AND(ISNUMBER($BJ$1006),$B$677=1),$BJ$1006,HLOOKUP(INDIRECT(ADDRESS(2,COLUMN())),OFFSET($BN$2,0,0,ROW()-1,60),ROW()-1,FALSE))</f>
        <v>0.70766845899999997</v>
      </c>
      <c r="BK341">
        <f ca="1">IF(AND(ISNUMBER($BK$1006),$B$677=1),$BK$1006,HLOOKUP(INDIRECT(ADDRESS(2,COLUMN())),OFFSET($BN$2,0,0,ROW()-1,60),ROW()-1,FALSE))</f>
        <v>0.71509852200000001</v>
      </c>
      <c r="BL341">
        <f ca="1">IF(AND(ISNUMBER($BL$1006),$B$677=1),$BL$1006,HLOOKUP(INDIRECT(ADDRESS(2,COLUMN())),OFFSET($BN$2,0,0,ROW()-1,60),ROW()-1,FALSE))</f>
        <v>0.71598887</v>
      </c>
      <c r="BM341">
        <f ca="1">IF(AND(ISNUMBER($BM$1006),$B$677=1),$BM$1006,HLOOKUP(INDIRECT(ADDRESS(2,COLUMN())),OFFSET($BN$2,0,0,ROW()-1,60),ROW()-1,FALSE))</f>
        <v>0.76242314899999997</v>
      </c>
      <c r="BN341" t="str">
        <f>""</f>
        <v/>
      </c>
      <c r="BO341">
        <f>0.189784419</f>
        <v>0.18978441900000001</v>
      </c>
      <c r="BP341">
        <f>0.255134122</f>
        <v>0.25513412200000002</v>
      </c>
      <c r="BQ341">
        <f>0.250014094</f>
        <v>0.25001409400000002</v>
      </c>
      <c r="BR341">
        <f>0.319098557</f>
        <v>0.319098557</v>
      </c>
      <c r="BS341">
        <f>0.346838944</f>
        <v>0.34683894399999998</v>
      </c>
      <c r="BT341">
        <f>0.293232299</f>
        <v>0.29323229899999997</v>
      </c>
      <c r="BU341">
        <f>0.286047781</f>
        <v>0.286047781</v>
      </c>
      <c r="BV341">
        <f>0.313372038</f>
        <v>0.31337203800000002</v>
      </c>
      <c r="BW341">
        <f>0.35202302</f>
        <v>0.35202302000000002</v>
      </c>
      <c r="BX341">
        <f>0.306112255</f>
        <v>0.306112255</v>
      </c>
      <c r="BY341">
        <f>0.251858927</f>
        <v>0.25185892700000001</v>
      </c>
      <c r="BZ341">
        <f>0.343646745</f>
        <v>0.34364674499999998</v>
      </c>
      <c r="CA341">
        <f>0.421240809</f>
        <v>0.42124080899999999</v>
      </c>
      <c r="CB341">
        <f>0.328559126</f>
        <v>0.32855912599999998</v>
      </c>
      <c r="CC341">
        <f>0.477995165</f>
        <v>0.477995165</v>
      </c>
      <c r="CD341">
        <f>0.545176429</f>
        <v>0.54517642899999996</v>
      </c>
      <c r="CE341">
        <f>0.42289254</f>
        <v>0.42289253999999998</v>
      </c>
      <c r="CF341">
        <f>0.350365227</f>
        <v>0.350365227</v>
      </c>
      <c r="CG341">
        <f>0.465924198</f>
        <v>0.46592419800000001</v>
      </c>
      <c r="CH341">
        <f>0.459438902</f>
        <v>0.45943890199999998</v>
      </c>
      <c r="CI341">
        <f>0.431175942</f>
        <v>0.43117594199999998</v>
      </c>
      <c r="CJ341">
        <f>0.395342534</f>
        <v>0.39534253400000002</v>
      </c>
      <c r="CK341">
        <f>0.305558864</f>
        <v>0.30555886399999999</v>
      </c>
      <c r="CL341">
        <f>0.294240396</f>
        <v>0.29424039600000002</v>
      </c>
      <c r="CM341">
        <f>0.275617313</f>
        <v>0.27561731299999997</v>
      </c>
      <c r="CN341">
        <f>0.271028089</f>
        <v>0.27102808900000003</v>
      </c>
      <c r="CO341">
        <f>0.247938748</f>
        <v>0.24793874799999999</v>
      </c>
      <c r="CP341">
        <f>0.338551763</f>
        <v>0.33855176300000001</v>
      </c>
      <c r="CQ341">
        <f>0.214087629</f>
        <v>0.214087629</v>
      </c>
      <c r="CR341">
        <f>0.23143076</f>
        <v>0.23143076000000001</v>
      </c>
      <c r="CS341">
        <f>0.410408333</f>
        <v>0.41040833300000001</v>
      </c>
      <c r="CT341">
        <f>0.388330059</f>
        <v>0.38833005900000001</v>
      </c>
      <c r="CU341">
        <f>0.423366598</f>
        <v>0.42336659799999998</v>
      </c>
      <c r="CV341">
        <f>0.389878296</f>
        <v>0.38987829600000001</v>
      </c>
      <c r="CW341">
        <f>0.389232822</f>
        <v>0.38923282199999998</v>
      </c>
      <c r="CX341">
        <f>0.340514257</f>
        <v>0.34051425699999999</v>
      </c>
      <c r="CY341">
        <f>0.405355063</f>
        <v>0.40535506300000002</v>
      </c>
      <c r="CZ341">
        <f>0.349023614</f>
        <v>0.34902361399999998</v>
      </c>
      <c r="DA341">
        <f>0.244824452</f>
        <v>0.244824452</v>
      </c>
      <c r="DB341">
        <f>0.171432188</f>
        <v>0.17143218800000001</v>
      </c>
      <c r="DC341">
        <f>0.869726096</f>
        <v>0.86972609599999995</v>
      </c>
      <c r="DD341">
        <f>1.022952601</f>
        <v>1.0229526010000001</v>
      </c>
      <c r="DE341">
        <f>0.977449026</f>
        <v>0.97744902600000005</v>
      </c>
      <c r="DF341">
        <f>1.133774445</f>
        <v>1.133774445</v>
      </c>
      <c r="DG341">
        <f>1.275965952</f>
        <v>1.275965952</v>
      </c>
      <c r="DH341">
        <f>1.363668915</f>
        <v>1.3636689150000001</v>
      </c>
      <c r="DI341">
        <f>1.621234328</f>
        <v>1.6212343279999999</v>
      </c>
      <c r="DJ341">
        <f>1.776838258</f>
        <v>1.7768382579999999</v>
      </c>
      <c r="DK341">
        <f>1.440426518</f>
        <v>1.440426518</v>
      </c>
      <c r="DL341">
        <f>0.873650806</f>
        <v>0.873650806</v>
      </c>
      <c r="DM341">
        <f>0.772848738</f>
        <v>0.77284873799999998</v>
      </c>
      <c r="DN341">
        <f>0.756429828</f>
        <v>0.75642982800000003</v>
      </c>
      <c r="DO341">
        <f>0.753538418</f>
        <v>0.75353841799999999</v>
      </c>
      <c r="DP341">
        <f>0.76852473</f>
        <v>0.76852472999999999</v>
      </c>
      <c r="DQ341">
        <f>0.708214578</f>
        <v>0.70821457799999998</v>
      </c>
      <c r="DR341">
        <f>0.707668459</f>
        <v>0.70766845899999997</v>
      </c>
      <c r="DS341">
        <f>0.715098522</f>
        <v>0.71509852200000001</v>
      </c>
      <c r="DT341">
        <f>0.71598887</f>
        <v>0.71598887</v>
      </c>
      <c r="DU341">
        <f>0.762423149</f>
        <v>0.76242314899999997</v>
      </c>
    </row>
    <row r="342" spans="1:125" x14ac:dyDescent="0.25">
      <c r="A342" t="str">
        <f>"    Dongfeng Motor Group Co Ltd"</f>
        <v xml:space="preserve">    Dongfeng Motor Group Co Ltd</v>
      </c>
      <c r="B342" t="str">
        <f>"489 HK Equity"</f>
        <v>489 HK Equity</v>
      </c>
      <c r="C342" t="str">
        <f t="shared" si="24"/>
        <v>RR473</v>
      </c>
      <c r="D342" t="str">
        <f t="shared" si="25"/>
        <v>EV_TO_T12M_SALES</v>
      </c>
      <c r="E342" t="str">
        <f t="shared" si="26"/>
        <v>Dynamic</v>
      </c>
      <c r="F342" t="str">
        <f ca="1">IF(AND(ISNUMBER($F$1007),$B$677=1),$F$1007,HLOOKUP(INDIRECT(ADDRESS(2,COLUMN())),OFFSET($BN$2,0,0,ROW()-1,60),ROW()-1,FALSE))</f>
        <v/>
      </c>
      <c r="G342" t="str">
        <f ca="1">IF(AND(ISNUMBER($G$1007),$B$677=1),$G$1007,HLOOKUP(INDIRECT(ADDRESS(2,COLUMN())),OFFSET($BN$2,0,0,ROW()-1,60),ROW()-1,FALSE))</f>
        <v/>
      </c>
      <c r="H342" t="str">
        <f ca="1">IF(AND(ISNUMBER($H$1007),$B$677=1),$H$1007,HLOOKUP(INDIRECT(ADDRESS(2,COLUMN())),OFFSET($BN$2,0,0,ROW()-1,60),ROW()-1,FALSE))</f>
        <v/>
      </c>
      <c r="I342" t="str">
        <f ca="1">IF(AND(ISNUMBER($I$1007),$B$677=1),$I$1007,HLOOKUP(INDIRECT(ADDRESS(2,COLUMN())),OFFSET($BN$2,0,0,ROW()-1,60),ROW()-1,FALSE))</f>
        <v/>
      </c>
      <c r="J342" t="str">
        <f ca="1">IF(AND(ISNUMBER($J$1007),$B$677=1),$J$1007,HLOOKUP(INDIRECT(ADDRESS(2,COLUMN())),OFFSET($BN$2,0,0,ROW()-1,60),ROW()-1,FALSE))</f>
        <v/>
      </c>
      <c r="K342" t="str">
        <f ca="1">IF(AND(ISNUMBER($K$1007),$B$677=1),$K$1007,HLOOKUP(INDIRECT(ADDRESS(2,COLUMN())),OFFSET($BN$2,0,0,ROW()-1,60),ROW()-1,FALSE))</f>
        <v/>
      </c>
      <c r="L342" t="str">
        <f ca="1">IF(AND(ISNUMBER($L$1007),$B$677=1),$L$1007,HLOOKUP(INDIRECT(ADDRESS(2,COLUMN())),OFFSET($BN$2,0,0,ROW()-1,60),ROW()-1,FALSE))</f>
        <v/>
      </c>
      <c r="M342" t="str">
        <f ca="1">IF(AND(ISNUMBER($M$1007),$B$677=1),$M$1007,HLOOKUP(INDIRECT(ADDRESS(2,COLUMN())),OFFSET($BN$2,0,0,ROW()-1,60),ROW()-1,FALSE))</f>
        <v/>
      </c>
      <c r="N342" t="str">
        <f ca="1">IF(AND(ISNUMBER($N$1007),$B$677=1),$N$1007,HLOOKUP(INDIRECT(ADDRESS(2,COLUMN())),OFFSET($BN$2,0,0,ROW()-1,60),ROW()-1,FALSE))</f>
        <v/>
      </c>
      <c r="O342" t="str">
        <f ca="1">IF(AND(ISNUMBER($O$1007),$B$677=1),$O$1007,HLOOKUP(INDIRECT(ADDRESS(2,COLUMN())),OFFSET($BN$2,0,0,ROW()-1,60),ROW()-1,FALSE))</f>
        <v/>
      </c>
      <c r="P342" t="str">
        <f ca="1">IF(AND(ISNUMBER($P$1007),$B$677=1),$P$1007,HLOOKUP(INDIRECT(ADDRESS(2,COLUMN())),OFFSET($BN$2,0,0,ROW()-1,60),ROW()-1,FALSE))</f>
        <v/>
      </c>
      <c r="Q342" t="str">
        <f ca="1">IF(AND(ISNUMBER($Q$1007),$B$677=1),$Q$1007,HLOOKUP(INDIRECT(ADDRESS(2,COLUMN())),OFFSET($BN$2,0,0,ROW()-1,60),ROW()-1,FALSE))</f>
        <v/>
      </c>
      <c r="R342" t="str">
        <f ca="1">IF(AND(ISNUMBER($R$1007),$B$677=1),$R$1007,HLOOKUP(INDIRECT(ADDRESS(2,COLUMN())),OFFSET($BN$2,0,0,ROW()-1,60),ROW()-1,FALSE))</f>
        <v/>
      </c>
      <c r="S342" t="str">
        <f ca="1">IF(AND(ISNUMBER($S$1007),$B$677=1),$S$1007,HLOOKUP(INDIRECT(ADDRESS(2,COLUMN())),OFFSET($BN$2,0,0,ROW()-1,60),ROW()-1,FALSE))</f>
        <v/>
      </c>
      <c r="T342" t="str">
        <f ca="1">IF(AND(ISNUMBER($T$1007),$B$677=1),$T$1007,HLOOKUP(INDIRECT(ADDRESS(2,COLUMN())),OFFSET($BN$2,0,0,ROW()-1,60),ROW()-1,FALSE))</f>
        <v/>
      </c>
      <c r="U342" t="str">
        <f ca="1">IF(AND(ISNUMBER($U$1007),$B$677=1),$U$1007,HLOOKUP(INDIRECT(ADDRESS(2,COLUMN())),OFFSET($BN$2,0,0,ROW()-1,60),ROW()-1,FALSE))</f>
        <v/>
      </c>
      <c r="V342" t="str">
        <f ca="1">IF(AND(ISNUMBER($V$1007),$B$677=1),$V$1007,HLOOKUP(INDIRECT(ADDRESS(2,COLUMN())),OFFSET($BN$2,0,0,ROW()-1,60),ROW()-1,FALSE))</f>
        <v/>
      </c>
      <c r="W342" t="str">
        <f ca="1">IF(AND(ISNUMBER($W$1007),$B$677=1),$W$1007,HLOOKUP(INDIRECT(ADDRESS(2,COLUMN())),OFFSET($BN$2,0,0,ROW()-1,60),ROW()-1,FALSE))</f>
        <v/>
      </c>
      <c r="X342" t="str">
        <f ca="1">IF(AND(ISNUMBER($X$1007),$B$677=1),$X$1007,HLOOKUP(INDIRECT(ADDRESS(2,COLUMN())),OFFSET($BN$2,0,0,ROW()-1,60),ROW()-1,FALSE))</f>
        <v/>
      </c>
      <c r="Y342" t="str">
        <f ca="1">IF(AND(ISNUMBER($Y$1007),$B$677=1),$Y$1007,HLOOKUP(INDIRECT(ADDRESS(2,COLUMN())),OFFSET($BN$2,0,0,ROW()-1,60),ROW()-1,FALSE))</f>
        <v/>
      </c>
      <c r="Z342" t="str">
        <f ca="1">IF(AND(ISNUMBER($Z$1007),$B$677=1),$Z$1007,HLOOKUP(INDIRECT(ADDRESS(2,COLUMN())),OFFSET($BN$2,0,0,ROW()-1,60),ROW()-1,FALSE))</f>
        <v/>
      </c>
      <c r="AA342" t="str">
        <f ca="1">IF(AND(ISNUMBER($AA$1007),$B$677=1),$AA$1007,HLOOKUP(INDIRECT(ADDRESS(2,COLUMN())),OFFSET($BN$2,0,0,ROW()-1,60),ROW()-1,FALSE))</f>
        <v/>
      </c>
      <c r="AB342" t="str">
        <f ca="1">IF(AND(ISNUMBER($AB$1007),$B$677=1),$AB$1007,HLOOKUP(INDIRECT(ADDRESS(2,COLUMN())),OFFSET($BN$2,0,0,ROW()-1,60),ROW()-1,FALSE))</f>
        <v/>
      </c>
      <c r="AC342" t="str">
        <f ca="1">IF(AND(ISNUMBER($AC$1007),$B$677=1),$AC$1007,HLOOKUP(INDIRECT(ADDRESS(2,COLUMN())),OFFSET($BN$2,0,0,ROW()-1,60),ROW()-1,FALSE))</f>
        <v/>
      </c>
      <c r="AD342" t="str">
        <f ca="1">IF(AND(ISNUMBER($AD$1007),$B$677=1),$AD$1007,HLOOKUP(INDIRECT(ADDRESS(2,COLUMN())),OFFSET($BN$2,0,0,ROW()-1,60),ROW()-1,FALSE))</f>
        <v/>
      </c>
      <c r="AE342" t="str">
        <f ca="1">IF(AND(ISNUMBER($AE$1007),$B$677=1),$AE$1007,HLOOKUP(INDIRECT(ADDRESS(2,COLUMN())),OFFSET($BN$2,0,0,ROW()-1,60),ROW()-1,FALSE))</f>
        <v/>
      </c>
      <c r="AF342" t="str">
        <f ca="1">IF(AND(ISNUMBER($AF$1007),$B$677=1),$AF$1007,HLOOKUP(INDIRECT(ADDRESS(2,COLUMN())),OFFSET($BN$2,0,0,ROW()-1,60),ROW()-1,FALSE))</f>
        <v/>
      </c>
      <c r="AG342" t="str">
        <f ca="1">IF(AND(ISNUMBER($AG$1007),$B$677=1),$AG$1007,HLOOKUP(INDIRECT(ADDRESS(2,COLUMN())),OFFSET($BN$2,0,0,ROW()-1,60),ROW()-1,FALSE))</f>
        <v/>
      </c>
      <c r="AH342" t="str">
        <f ca="1">IF(AND(ISNUMBER($AH$1007),$B$677=1),$AH$1007,HLOOKUP(INDIRECT(ADDRESS(2,COLUMN())),OFFSET($BN$2,0,0,ROW()-1,60),ROW()-1,FALSE))</f>
        <v/>
      </c>
      <c r="AI342" t="str">
        <f ca="1">IF(AND(ISNUMBER($AI$1007),$B$677=1),$AI$1007,HLOOKUP(INDIRECT(ADDRESS(2,COLUMN())),OFFSET($BN$2,0,0,ROW()-1,60),ROW()-1,FALSE))</f>
        <v/>
      </c>
      <c r="AJ342" t="str">
        <f ca="1">IF(AND(ISNUMBER($AJ$1007),$B$677=1),$AJ$1007,HLOOKUP(INDIRECT(ADDRESS(2,COLUMN())),OFFSET($BN$2,0,0,ROW()-1,60),ROW()-1,FALSE))</f>
        <v/>
      </c>
      <c r="AK342" t="str">
        <f ca="1">IF(AND(ISNUMBER($AK$1007),$B$677=1),$AK$1007,HLOOKUP(INDIRECT(ADDRESS(2,COLUMN())),OFFSET($BN$2,0,0,ROW()-1,60),ROW()-1,FALSE))</f>
        <v/>
      </c>
      <c r="AL342" t="str">
        <f ca="1">IF(AND(ISNUMBER($AL$1007),$B$677=1),$AL$1007,HLOOKUP(INDIRECT(ADDRESS(2,COLUMN())),OFFSET($BN$2,0,0,ROW()-1,60),ROW()-1,FALSE))</f>
        <v/>
      </c>
      <c r="AM342" t="str">
        <f ca="1">IF(AND(ISNUMBER($AM$1007),$B$677=1),$AM$1007,HLOOKUP(INDIRECT(ADDRESS(2,COLUMN())),OFFSET($BN$2,0,0,ROW()-1,60),ROW()-1,FALSE))</f>
        <v/>
      </c>
      <c r="AN342" t="str">
        <f ca="1">IF(AND(ISNUMBER($AN$1007),$B$677=1),$AN$1007,HLOOKUP(INDIRECT(ADDRESS(2,COLUMN())),OFFSET($BN$2,0,0,ROW()-1,60),ROW()-1,FALSE))</f>
        <v/>
      </c>
      <c r="AO342" t="str">
        <f ca="1">IF(AND(ISNUMBER($AO$1007),$B$677=1),$AO$1007,HLOOKUP(INDIRECT(ADDRESS(2,COLUMN())),OFFSET($BN$2,0,0,ROW()-1,60),ROW()-1,FALSE))</f>
        <v/>
      </c>
      <c r="AP342" t="str">
        <f ca="1">IF(AND(ISNUMBER($AP$1007),$B$677=1),$AP$1007,HLOOKUP(INDIRECT(ADDRESS(2,COLUMN())),OFFSET($BN$2,0,0,ROW()-1,60),ROW()-1,FALSE))</f>
        <v/>
      </c>
      <c r="AQ342" t="str">
        <f ca="1">IF(AND(ISNUMBER($AQ$1007),$B$677=1),$AQ$1007,HLOOKUP(INDIRECT(ADDRESS(2,COLUMN())),OFFSET($BN$2,0,0,ROW()-1,60),ROW()-1,FALSE))</f>
        <v/>
      </c>
      <c r="AR342" t="str">
        <f ca="1">IF(AND(ISNUMBER($AR$1007),$B$677=1),$AR$1007,HLOOKUP(INDIRECT(ADDRESS(2,COLUMN())),OFFSET($BN$2,0,0,ROW()-1,60),ROW()-1,FALSE))</f>
        <v/>
      </c>
      <c r="AS342" t="str">
        <f ca="1">IF(AND(ISNUMBER($AS$1007),$B$677=1),$AS$1007,HLOOKUP(INDIRECT(ADDRESS(2,COLUMN())),OFFSET($BN$2,0,0,ROW()-1,60),ROW()-1,FALSE))</f>
        <v/>
      </c>
      <c r="AT342" t="str">
        <f ca="1">IF(AND(ISNUMBER($AT$1007),$B$677=1),$AT$1007,HLOOKUP(INDIRECT(ADDRESS(2,COLUMN())),OFFSET($BN$2,0,0,ROW()-1,60),ROW()-1,FALSE))</f>
        <v/>
      </c>
      <c r="AU342" t="str">
        <f ca="1">IF(AND(ISNUMBER($AU$1007),$B$677=1),$AU$1007,HLOOKUP(INDIRECT(ADDRESS(2,COLUMN())),OFFSET($BN$2,0,0,ROW()-1,60),ROW()-1,FALSE))</f>
        <v/>
      </c>
      <c r="AV342" t="str">
        <f ca="1">IF(AND(ISNUMBER($AV$1007),$B$677=1),$AV$1007,HLOOKUP(INDIRECT(ADDRESS(2,COLUMN())),OFFSET($BN$2,0,0,ROW()-1,60),ROW()-1,FALSE))</f>
        <v/>
      </c>
      <c r="AW342" t="str">
        <f ca="1">IF(AND(ISNUMBER($AW$1007),$B$677=1),$AW$1007,HLOOKUP(INDIRECT(ADDRESS(2,COLUMN())),OFFSET($BN$2,0,0,ROW()-1,60),ROW()-1,FALSE))</f>
        <v/>
      </c>
      <c r="AX342" t="str">
        <f ca="1">IF(AND(ISNUMBER($AX$1007),$B$677=1),$AX$1007,HLOOKUP(INDIRECT(ADDRESS(2,COLUMN())),OFFSET($BN$2,0,0,ROW()-1,60),ROW()-1,FALSE))</f>
        <v/>
      </c>
      <c r="AY342" t="str">
        <f ca="1">IF(AND(ISNUMBER($AY$1007),$B$677=1),$AY$1007,HLOOKUP(INDIRECT(ADDRESS(2,COLUMN())),OFFSET($BN$2,0,0,ROW()-1,60),ROW()-1,FALSE))</f>
        <v/>
      </c>
      <c r="AZ342" t="str">
        <f ca="1">IF(AND(ISNUMBER($AZ$1007),$B$677=1),$AZ$1007,HLOOKUP(INDIRECT(ADDRESS(2,COLUMN())),OFFSET($BN$2,0,0,ROW()-1,60),ROW()-1,FALSE))</f>
        <v/>
      </c>
      <c r="BA342" t="str">
        <f ca="1">IF(AND(ISNUMBER($BA$1007),$B$677=1),$BA$1007,HLOOKUP(INDIRECT(ADDRESS(2,COLUMN())),OFFSET($BN$2,0,0,ROW()-1,60),ROW()-1,FALSE))</f>
        <v/>
      </c>
      <c r="BB342" t="str">
        <f ca="1">IF(AND(ISNUMBER($BB$1007),$B$677=1),$BB$1007,HLOOKUP(INDIRECT(ADDRESS(2,COLUMN())),OFFSET($BN$2,0,0,ROW()-1,60),ROW()-1,FALSE))</f>
        <v/>
      </c>
      <c r="BC342" t="str">
        <f ca="1">IF(AND(ISNUMBER($BC$1007),$B$677=1),$BC$1007,HLOOKUP(INDIRECT(ADDRESS(2,COLUMN())),OFFSET($BN$2,0,0,ROW()-1,60),ROW()-1,FALSE))</f>
        <v/>
      </c>
      <c r="BD342" t="str">
        <f ca="1">IF(AND(ISNUMBER($BD$1007),$B$677=1),$BD$1007,HLOOKUP(INDIRECT(ADDRESS(2,COLUMN())),OFFSET($BN$2,0,0,ROW()-1,60),ROW()-1,FALSE))</f>
        <v/>
      </c>
      <c r="BE342" t="str">
        <f ca="1">IF(AND(ISNUMBER($BE$1007),$B$677=1),$BE$1007,HLOOKUP(INDIRECT(ADDRESS(2,COLUMN())),OFFSET($BN$2,0,0,ROW()-1,60),ROW()-1,FALSE))</f>
        <v/>
      </c>
      <c r="BF342" t="str">
        <f ca="1">IF(AND(ISNUMBER($BF$1007),$B$677=1),$BF$1007,HLOOKUP(INDIRECT(ADDRESS(2,COLUMN())),OFFSET($BN$2,0,0,ROW()-1,60),ROW()-1,FALSE))</f>
        <v/>
      </c>
      <c r="BG342" t="str">
        <f ca="1">IF(AND(ISNUMBER($BG$1007),$B$677=1),$BG$1007,HLOOKUP(INDIRECT(ADDRESS(2,COLUMN())),OFFSET($BN$2,0,0,ROW()-1,60),ROW()-1,FALSE))</f>
        <v/>
      </c>
      <c r="BH342" t="str">
        <f ca="1">IF(AND(ISNUMBER($BH$1007),$B$677=1),$BH$1007,HLOOKUP(INDIRECT(ADDRESS(2,COLUMN())),OFFSET($BN$2,0,0,ROW()-1,60),ROW()-1,FALSE))</f>
        <v/>
      </c>
      <c r="BI342" t="str">
        <f ca="1">IF(AND(ISNUMBER($BI$1007),$B$677=1),$BI$1007,HLOOKUP(INDIRECT(ADDRESS(2,COLUMN())),OFFSET($BN$2,0,0,ROW()-1,60),ROW()-1,FALSE))</f>
        <v/>
      </c>
      <c r="BJ342" t="str">
        <f ca="1">IF(AND(ISNUMBER($BJ$1007),$B$677=1),$BJ$1007,HLOOKUP(INDIRECT(ADDRESS(2,COLUMN())),OFFSET($BN$2,0,0,ROW()-1,60),ROW()-1,FALSE))</f>
        <v/>
      </c>
      <c r="BK342" t="str">
        <f ca="1">IF(AND(ISNUMBER($BK$1007),$B$677=1),$BK$1007,HLOOKUP(INDIRECT(ADDRESS(2,COLUMN())),OFFSET($BN$2,0,0,ROW()-1,60),ROW()-1,FALSE))</f>
        <v/>
      </c>
      <c r="BL342" t="str">
        <f ca="1">IF(AND(ISNUMBER($BL$1007),$B$677=1),$BL$1007,HLOOKUP(INDIRECT(ADDRESS(2,COLUMN())),OFFSET($BN$2,0,0,ROW()-1,60),ROW()-1,FALSE))</f>
        <v/>
      </c>
      <c r="BM342" t="str">
        <f ca="1">IF(AND(ISNUMBER($BM$1007),$B$677=1),$BM$1007,HLOOKUP(INDIRECT(ADDRESS(2,COLUMN())),OFFSET($BN$2,0,0,ROW()-1,60),ROW()-1,FALSE))</f>
        <v/>
      </c>
      <c r="BN342" t="str">
        <f>""</f>
        <v/>
      </c>
      <c r="BO342" t="str">
        <f>""</f>
        <v/>
      </c>
      <c r="BP342" t="str">
        <f>""</f>
        <v/>
      </c>
      <c r="BQ342" t="str">
        <f>""</f>
        <v/>
      </c>
      <c r="BR342" t="str">
        <f>""</f>
        <v/>
      </c>
      <c r="BS342" t="str">
        <f>""</f>
        <v/>
      </c>
      <c r="BT342" t="str">
        <f>""</f>
        <v/>
      </c>
      <c r="BU342" t="str">
        <f>""</f>
        <v/>
      </c>
      <c r="BV342" t="str">
        <f>""</f>
        <v/>
      </c>
      <c r="BW342" t="str">
        <f>""</f>
        <v/>
      </c>
      <c r="BX342" t="str">
        <f>""</f>
        <v/>
      </c>
      <c r="BY342" t="str">
        <f>""</f>
        <v/>
      </c>
      <c r="BZ342" t="str">
        <f>""</f>
        <v/>
      </c>
      <c r="CA342" t="str">
        <f>""</f>
        <v/>
      </c>
      <c r="CB342" t="str">
        <f>""</f>
        <v/>
      </c>
      <c r="CC342" t="str">
        <f>""</f>
        <v/>
      </c>
      <c r="CD342" t="str">
        <f>""</f>
        <v/>
      </c>
      <c r="CE342" t="str">
        <f>""</f>
        <v/>
      </c>
      <c r="CF342" t="str">
        <f>""</f>
        <v/>
      </c>
      <c r="CG342" t="str">
        <f>""</f>
        <v/>
      </c>
      <c r="CH342" t="str">
        <f>""</f>
        <v/>
      </c>
      <c r="CI342" t="str">
        <f>""</f>
        <v/>
      </c>
      <c r="CJ342" t="str">
        <f>""</f>
        <v/>
      </c>
      <c r="CK342" t="str">
        <f>""</f>
        <v/>
      </c>
      <c r="CL342" t="str">
        <f>""</f>
        <v/>
      </c>
      <c r="CM342" t="str">
        <f>""</f>
        <v/>
      </c>
      <c r="CN342" t="str">
        <f>""</f>
        <v/>
      </c>
      <c r="CO342" t="str">
        <f>""</f>
        <v/>
      </c>
      <c r="CP342" t="str">
        <f>""</f>
        <v/>
      </c>
      <c r="CQ342" t="str">
        <f>""</f>
        <v/>
      </c>
      <c r="CR342" t="str">
        <f>""</f>
        <v/>
      </c>
      <c r="CS342" t="str">
        <f>""</f>
        <v/>
      </c>
      <c r="CT342" t="str">
        <f>""</f>
        <v/>
      </c>
      <c r="CU342" t="str">
        <f>""</f>
        <v/>
      </c>
      <c r="CV342" t="str">
        <f>""</f>
        <v/>
      </c>
      <c r="CW342" t="str">
        <f>""</f>
        <v/>
      </c>
      <c r="CX342" t="str">
        <f>""</f>
        <v/>
      </c>
      <c r="CY342" t="str">
        <f>""</f>
        <v/>
      </c>
      <c r="CZ342" t="str">
        <f>""</f>
        <v/>
      </c>
      <c r="DA342" t="str">
        <f>""</f>
        <v/>
      </c>
      <c r="DB342" t="str">
        <f>""</f>
        <v/>
      </c>
      <c r="DC342" t="str">
        <f>""</f>
        <v/>
      </c>
      <c r="DD342" t="str">
        <f>""</f>
        <v/>
      </c>
      <c r="DE342" t="str">
        <f>""</f>
        <v/>
      </c>
      <c r="DF342" t="str">
        <f>""</f>
        <v/>
      </c>
      <c r="DG342" t="str">
        <f>""</f>
        <v/>
      </c>
      <c r="DH342" t="str">
        <f>""</f>
        <v/>
      </c>
      <c r="DI342" t="str">
        <f>""</f>
        <v/>
      </c>
      <c r="DJ342" t="str">
        <f>""</f>
        <v/>
      </c>
      <c r="DK342" t="str">
        <f>""</f>
        <v/>
      </c>
      <c r="DL342" t="str">
        <f>""</f>
        <v/>
      </c>
      <c r="DM342" t="str">
        <f>""</f>
        <v/>
      </c>
      <c r="DN342" t="str">
        <f>""</f>
        <v/>
      </c>
      <c r="DO342" t="str">
        <f>""</f>
        <v/>
      </c>
      <c r="DP342" t="str">
        <f>""</f>
        <v/>
      </c>
      <c r="DQ342" t="str">
        <f>""</f>
        <v/>
      </c>
      <c r="DR342" t="str">
        <f>""</f>
        <v/>
      </c>
      <c r="DS342" t="str">
        <f>""</f>
        <v/>
      </c>
      <c r="DT342" t="str">
        <f>""</f>
        <v/>
      </c>
      <c r="DU342" t="str">
        <f>""</f>
        <v/>
      </c>
    </row>
    <row r="343" spans="1:125" x14ac:dyDescent="0.25">
      <c r="A343" t="str">
        <f>"    DRB-Hicom Bhd"</f>
        <v xml:space="preserve">    DRB-Hicom Bhd</v>
      </c>
      <c r="B343" t="str">
        <f>"DRB MK Equity"</f>
        <v>DRB MK Equity</v>
      </c>
      <c r="C343" t="str">
        <f t="shared" si="24"/>
        <v>RR473</v>
      </c>
      <c r="D343" t="str">
        <f t="shared" si="25"/>
        <v>EV_TO_T12M_SALES</v>
      </c>
      <c r="E343" t="str">
        <f t="shared" si="26"/>
        <v>Dynamic</v>
      </c>
      <c r="F343" t="str">
        <f ca="1">IF(AND(ISNUMBER($F$1008),$B$677=1),$F$1008,HLOOKUP(INDIRECT(ADDRESS(2,COLUMN())),OFFSET($BN$2,0,0,ROW()-1,60),ROW()-1,FALSE))</f>
        <v/>
      </c>
      <c r="G343" t="str">
        <f ca="1">IF(AND(ISNUMBER($G$1008),$B$677=1),$G$1008,HLOOKUP(INDIRECT(ADDRESS(2,COLUMN())),OFFSET($BN$2,0,0,ROW()-1,60),ROW()-1,FALSE))</f>
        <v/>
      </c>
      <c r="H343">
        <f ca="1">IF(AND(ISNUMBER($H$1008),$B$677=1),$H$1008,HLOOKUP(INDIRECT(ADDRESS(2,COLUMN())),OFFSET($BN$2,0,0,ROW()-1,60),ROW()-1,FALSE))</f>
        <v>0.72404123099999995</v>
      </c>
      <c r="I343">
        <f ca="1">IF(AND(ISNUMBER($I$1008),$B$677=1),$I$1008,HLOOKUP(INDIRECT(ADDRESS(2,COLUMN())),OFFSET($BN$2,0,0,ROW()-1,60),ROW()-1,FALSE))</f>
        <v>0.78928559700000001</v>
      </c>
      <c r="J343">
        <f ca="1">IF(AND(ISNUMBER($J$1008),$B$677=1),$J$1008,HLOOKUP(INDIRECT(ADDRESS(2,COLUMN())),OFFSET($BN$2,0,0,ROW()-1,60),ROW()-1,FALSE))</f>
        <v>0.72412256500000005</v>
      </c>
      <c r="K343">
        <f ca="1">IF(AND(ISNUMBER($K$1008),$B$677=1),$K$1008,HLOOKUP(INDIRECT(ADDRESS(2,COLUMN())),OFFSET($BN$2,0,0,ROW()-1,60),ROW()-1,FALSE))</f>
        <v>0.63834687599999995</v>
      </c>
      <c r="L343">
        <f ca="1">IF(AND(ISNUMBER($L$1008),$B$677=1),$L$1008,HLOOKUP(INDIRECT(ADDRESS(2,COLUMN())),OFFSET($BN$2,0,0,ROW()-1,60),ROW()-1,FALSE))</f>
        <v>0.73304154099999996</v>
      </c>
      <c r="M343">
        <f ca="1">IF(AND(ISNUMBER($M$1008),$B$677=1),$M$1008,HLOOKUP(INDIRECT(ADDRESS(2,COLUMN())),OFFSET($BN$2,0,0,ROW()-1,60),ROW()-1,FALSE))</f>
        <v>0.77587519100000002</v>
      </c>
      <c r="N343">
        <f ca="1">IF(AND(ISNUMBER($N$1008),$B$677=1),$N$1008,HLOOKUP(INDIRECT(ADDRESS(2,COLUMN())),OFFSET($BN$2,0,0,ROW()-1,60),ROW()-1,FALSE))</f>
        <v>0.74446111699999995</v>
      </c>
      <c r="O343">
        <f ca="1">IF(AND(ISNUMBER($O$1008),$B$677=1),$O$1008,HLOOKUP(INDIRECT(ADDRESS(2,COLUMN())),OFFSET($BN$2,0,0,ROW()-1,60),ROW()-1,FALSE))</f>
        <v>0.73686919399999995</v>
      </c>
      <c r="P343">
        <f ca="1">IF(AND(ISNUMBER($P$1008),$B$677=1),$P$1008,HLOOKUP(INDIRECT(ADDRESS(2,COLUMN())),OFFSET($BN$2,0,0,ROW()-1,60),ROW()-1,FALSE))</f>
        <v>0.75731685400000004</v>
      </c>
      <c r="Q343">
        <f ca="1">IF(AND(ISNUMBER($Q$1008),$B$677=1),$Q$1008,HLOOKUP(INDIRECT(ADDRESS(2,COLUMN())),OFFSET($BN$2,0,0,ROW()-1,60),ROW()-1,FALSE))</f>
        <v>0.59763829999999996</v>
      </c>
      <c r="R343">
        <f ca="1">IF(AND(ISNUMBER($R$1008),$B$677=1),$R$1008,HLOOKUP(INDIRECT(ADDRESS(2,COLUMN())),OFFSET($BN$2,0,0,ROW()-1,60),ROW()-1,FALSE))</f>
        <v>0.62372739200000005</v>
      </c>
      <c r="S343">
        <f ca="1">IF(AND(ISNUMBER($S$1008),$B$677=1),$S$1008,HLOOKUP(INDIRECT(ADDRESS(2,COLUMN())),OFFSET($BN$2,0,0,ROW()-1,60),ROW()-1,FALSE))</f>
        <v>0.53094675300000005</v>
      </c>
      <c r="T343">
        <f ca="1">IF(AND(ISNUMBER($T$1008),$B$677=1),$T$1008,HLOOKUP(INDIRECT(ADDRESS(2,COLUMN())),OFFSET($BN$2,0,0,ROW()-1,60),ROW()-1,FALSE))</f>
        <v>0.75749791</v>
      </c>
      <c r="U343">
        <f ca="1">IF(AND(ISNUMBER($U$1008),$B$677=1),$U$1008,HLOOKUP(INDIRECT(ADDRESS(2,COLUMN())),OFFSET($BN$2,0,0,ROW()-1,60),ROW()-1,FALSE))</f>
        <v>0.78104823099999998</v>
      </c>
      <c r="V343">
        <f ca="1">IF(AND(ISNUMBER($V$1008),$B$677=1),$V$1008,HLOOKUP(INDIRECT(ADDRESS(2,COLUMN())),OFFSET($BN$2,0,0,ROW()-1,60),ROW()-1,FALSE))</f>
        <v>0.57459631799999999</v>
      </c>
      <c r="W343">
        <f ca="1">IF(AND(ISNUMBER($W$1008),$B$677=1),$W$1008,HLOOKUP(INDIRECT(ADDRESS(2,COLUMN())),OFFSET($BN$2,0,0,ROW()-1,60),ROW()-1,FALSE))</f>
        <v>0.632282346</v>
      </c>
      <c r="X343">
        <f ca="1">IF(AND(ISNUMBER($X$1008),$B$677=1),$X$1008,HLOOKUP(INDIRECT(ADDRESS(2,COLUMN())),OFFSET($BN$2,0,0,ROW()-1,60),ROW()-1,FALSE))</f>
        <v>0.67481630100000001</v>
      </c>
      <c r="Y343">
        <f ca="1">IF(AND(ISNUMBER($Y$1008),$B$677=1),$Y$1008,HLOOKUP(INDIRECT(ADDRESS(2,COLUMN())),OFFSET($BN$2,0,0,ROW()-1,60),ROW()-1,FALSE))</f>
        <v>0.63948277399999998</v>
      </c>
      <c r="Z343">
        <f ca="1">IF(AND(ISNUMBER($Z$1008),$B$677=1),$Z$1008,HLOOKUP(INDIRECT(ADDRESS(2,COLUMN())),OFFSET($BN$2,0,0,ROW()-1,60),ROW()-1,FALSE))</f>
        <v>0.60460611099999995</v>
      </c>
      <c r="AA343">
        <f ca="1">IF(AND(ISNUMBER($AA$1008),$B$677=1),$AA$1008,HLOOKUP(INDIRECT(ADDRESS(2,COLUMN())),OFFSET($BN$2,0,0,ROW()-1,60),ROW()-1,FALSE))</f>
        <v>0.566030645</v>
      </c>
      <c r="AB343">
        <f ca="1">IF(AND(ISNUMBER($AB$1008),$B$677=1),$AB$1008,HLOOKUP(INDIRECT(ADDRESS(2,COLUMN())),OFFSET($BN$2,0,0,ROW()-1,60),ROW()-1,FALSE))</f>
        <v>0.58917682699999996</v>
      </c>
      <c r="AC343">
        <f ca="1">IF(AND(ISNUMBER($AC$1008),$B$677=1),$AC$1008,HLOOKUP(INDIRECT(ADDRESS(2,COLUMN())),OFFSET($BN$2,0,0,ROW()-1,60),ROW()-1,FALSE))</f>
        <v>0.61085901399999998</v>
      </c>
      <c r="AD343">
        <f ca="1">IF(AND(ISNUMBER($AD$1008),$B$677=1),$AD$1008,HLOOKUP(INDIRECT(ADDRESS(2,COLUMN())),OFFSET($BN$2,0,0,ROW()-1,60),ROW()-1,FALSE))</f>
        <v>0.33062983400000001</v>
      </c>
      <c r="AE343">
        <f ca="1">IF(AND(ISNUMBER($AE$1008),$B$677=1),$AE$1008,HLOOKUP(INDIRECT(ADDRESS(2,COLUMN())),OFFSET($BN$2,0,0,ROW()-1,60),ROW()-1,FALSE))</f>
        <v>0.61090946999999995</v>
      </c>
      <c r="AF343">
        <f ca="1">IF(AND(ISNUMBER($AF$1008),$B$677=1),$AF$1008,HLOOKUP(INDIRECT(ADDRESS(2,COLUMN())),OFFSET($BN$2,0,0,ROW()-1,60),ROW()-1,FALSE))</f>
        <v>0.60086521299999995</v>
      </c>
      <c r="AG343">
        <f ca="1">IF(AND(ISNUMBER($AG$1008),$B$677=1),$AG$1008,HLOOKUP(INDIRECT(ADDRESS(2,COLUMN())),OFFSET($BN$2,0,0,ROW()-1,60),ROW()-1,FALSE))</f>
        <v>0.77157284999999998</v>
      </c>
      <c r="AH343">
        <f ca="1">IF(AND(ISNUMBER($AH$1008),$B$677=1),$AH$1008,HLOOKUP(INDIRECT(ADDRESS(2,COLUMN())),OFFSET($BN$2,0,0,ROW()-1,60),ROW()-1,FALSE))</f>
        <v>0.377897757</v>
      </c>
      <c r="AI343">
        <f ca="1">IF(AND(ISNUMBER($AI$1008),$B$677=1),$AI$1008,HLOOKUP(INDIRECT(ADDRESS(2,COLUMN())),OFFSET($BN$2,0,0,ROW()-1,60),ROW()-1,FALSE))</f>
        <v>0.27032593300000002</v>
      </c>
      <c r="AJ343">
        <f ca="1">IF(AND(ISNUMBER($AJ$1008),$B$677=1),$AJ$1008,HLOOKUP(INDIRECT(ADDRESS(2,COLUMN())),OFFSET($BN$2,0,0,ROW()-1,60),ROW()-1,FALSE))</f>
        <v>0.205396255</v>
      </c>
      <c r="AK343" t="str">
        <f ca="1">IF(AND(ISNUMBER($AK$1008),$B$677=1),$AK$1008,HLOOKUP(INDIRECT(ADDRESS(2,COLUMN())),OFFSET($BN$2,0,0,ROW()-1,60),ROW()-1,FALSE))</f>
        <v/>
      </c>
      <c r="AL343" t="str">
        <f ca="1">IF(AND(ISNUMBER($AL$1008),$B$677=1),$AL$1008,HLOOKUP(INDIRECT(ADDRESS(2,COLUMN())),OFFSET($BN$2,0,0,ROW()-1,60),ROW()-1,FALSE))</f>
        <v/>
      </c>
      <c r="AM343">
        <f ca="1">IF(AND(ISNUMBER($AM$1008),$B$677=1),$AM$1008,HLOOKUP(INDIRECT(ADDRESS(2,COLUMN())),OFFSET($BN$2,0,0,ROW()-1,60),ROW()-1,FALSE))</f>
        <v>1.598826592</v>
      </c>
      <c r="AN343">
        <f ca="1">IF(AND(ISNUMBER($AN$1008),$B$677=1),$AN$1008,HLOOKUP(INDIRECT(ADDRESS(2,COLUMN())),OFFSET($BN$2,0,0,ROW()-1,60),ROW()-1,FALSE))</f>
        <v>1.7057864170000001</v>
      </c>
      <c r="AO343">
        <f ca="1">IF(AND(ISNUMBER($AO$1008),$B$677=1),$AO$1008,HLOOKUP(INDIRECT(ADDRESS(2,COLUMN())),OFFSET($BN$2,0,0,ROW()-1,60),ROW()-1,FALSE))</f>
        <v>1.7234572509999999</v>
      </c>
      <c r="AP343" t="str">
        <f ca="1">IF(AND(ISNUMBER($AP$1008),$B$677=1),$AP$1008,HLOOKUP(INDIRECT(ADDRESS(2,COLUMN())),OFFSET($BN$2,0,0,ROW()-1,60),ROW()-1,FALSE))</f>
        <v/>
      </c>
      <c r="AQ343" t="str">
        <f ca="1">IF(AND(ISNUMBER($AQ$1008),$B$677=1),$AQ$1008,HLOOKUP(INDIRECT(ADDRESS(2,COLUMN())),OFFSET($BN$2,0,0,ROW()-1,60),ROW()-1,FALSE))</f>
        <v/>
      </c>
      <c r="AR343" t="str">
        <f ca="1">IF(AND(ISNUMBER($AR$1008),$B$677=1),$AR$1008,HLOOKUP(INDIRECT(ADDRESS(2,COLUMN())),OFFSET($BN$2,0,0,ROW()-1,60),ROW()-1,FALSE))</f>
        <v/>
      </c>
      <c r="AS343">
        <f ca="1">IF(AND(ISNUMBER($AS$1008),$B$677=1),$AS$1008,HLOOKUP(INDIRECT(ADDRESS(2,COLUMN())),OFFSET($BN$2,0,0,ROW()-1,60),ROW()-1,FALSE))</f>
        <v>1.731033295</v>
      </c>
      <c r="AT343" t="str">
        <f ca="1">IF(AND(ISNUMBER($AT$1008),$B$677=1),$AT$1008,HLOOKUP(INDIRECT(ADDRESS(2,COLUMN())),OFFSET($BN$2,0,0,ROW()-1,60),ROW()-1,FALSE))</f>
        <v/>
      </c>
      <c r="AU343" t="str">
        <f ca="1">IF(AND(ISNUMBER($AU$1008),$B$677=1),$AU$1008,HLOOKUP(INDIRECT(ADDRESS(2,COLUMN())),OFFSET($BN$2,0,0,ROW()-1,60),ROW()-1,FALSE))</f>
        <v/>
      </c>
      <c r="AV343">
        <f ca="1">IF(AND(ISNUMBER($AV$1008),$B$677=1),$AV$1008,HLOOKUP(INDIRECT(ADDRESS(2,COLUMN())),OFFSET($BN$2,0,0,ROW()-1,60),ROW()-1,FALSE))</f>
        <v>0.17507721000000001</v>
      </c>
      <c r="AW343">
        <f ca="1">IF(AND(ISNUMBER($AW$1008),$B$677=1),$AW$1008,HLOOKUP(INDIRECT(ADDRESS(2,COLUMN())),OFFSET($BN$2,0,0,ROW()-1,60),ROW()-1,FALSE))</f>
        <v>0.19533426200000001</v>
      </c>
      <c r="AX343">
        <f ca="1">IF(AND(ISNUMBER($AX$1008),$B$677=1),$AX$1008,HLOOKUP(INDIRECT(ADDRESS(2,COLUMN())),OFFSET($BN$2,0,0,ROW()-1,60),ROW()-1,FALSE))</f>
        <v>0.63163571799999996</v>
      </c>
      <c r="AY343">
        <f ca="1">IF(AND(ISNUMBER($AY$1008),$B$677=1),$AY$1008,HLOOKUP(INDIRECT(ADDRESS(2,COLUMN())),OFFSET($BN$2,0,0,ROW()-1,60),ROW()-1,FALSE))</f>
        <v>0.85017699700000005</v>
      </c>
      <c r="AZ343">
        <f ca="1">IF(AND(ISNUMBER($AZ$1008),$B$677=1),$AZ$1008,HLOOKUP(INDIRECT(ADDRESS(2,COLUMN())),OFFSET($BN$2,0,0,ROW()-1,60),ROW()-1,FALSE))</f>
        <v>1.014316558</v>
      </c>
      <c r="BA343">
        <f ca="1">IF(AND(ISNUMBER($BA$1008),$B$677=1),$BA$1008,HLOOKUP(INDIRECT(ADDRESS(2,COLUMN())),OFFSET($BN$2,0,0,ROW()-1,60),ROW()-1,FALSE))</f>
        <v>0.914451872</v>
      </c>
      <c r="BB343">
        <f ca="1">IF(AND(ISNUMBER($BB$1008),$B$677=1),$BB$1008,HLOOKUP(INDIRECT(ADDRESS(2,COLUMN())),OFFSET($BN$2,0,0,ROW()-1,60),ROW()-1,FALSE))</f>
        <v>1.1805145109999999</v>
      </c>
      <c r="BC343">
        <f ca="1">IF(AND(ISNUMBER($BC$1008),$B$677=1),$BC$1008,HLOOKUP(INDIRECT(ADDRESS(2,COLUMN())),OFFSET($BN$2,0,0,ROW()-1,60),ROW()-1,FALSE))</f>
        <v>1.1538694730000001</v>
      </c>
      <c r="BD343">
        <f ca="1">IF(AND(ISNUMBER($BD$1008),$B$677=1),$BD$1008,HLOOKUP(INDIRECT(ADDRESS(2,COLUMN())),OFFSET($BN$2,0,0,ROW()-1,60),ROW()-1,FALSE))</f>
        <v>1.0506784069999999</v>
      </c>
      <c r="BE343">
        <f ca="1">IF(AND(ISNUMBER($BE$1008),$B$677=1),$BE$1008,HLOOKUP(INDIRECT(ADDRESS(2,COLUMN())),OFFSET($BN$2,0,0,ROW()-1,60),ROW()-1,FALSE))</f>
        <v>1.077492538</v>
      </c>
      <c r="BF343">
        <f ca="1">IF(AND(ISNUMBER($BF$1008),$B$677=1),$BF$1008,HLOOKUP(INDIRECT(ADDRESS(2,COLUMN())),OFFSET($BN$2,0,0,ROW()-1,60),ROW()-1,FALSE))</f>
        <v>0.97006663100000001</v>
      </c>
      <c r="BG343">
        <f ca="1">IF(AND(ISNUMBER($BG$1008),$B$677=1),$BG$1008,HLOOKUP(INDIRECT(ADDRESS(2,COLUMN())),OFFSET($BN$2,0,0,ROW()-1,60),ROW()-1,FALSE))</f>
        <v>0.85355262300000001</v>
      </c>
      <c r="BH343">
        <f ca="1">IF(AND(ISNUMBER($BH$1008),$B$677=1),$BH$1008,HLOOKUP(INDIRECT(ADDRESS(2,COLUMN())),OFFSET($BN$2,0,0,ROW()-1,60),ROW()-1,FALSE))</f>
        <v>0.888626044</v>
      </c>
      <c r="BI343">
        <f ca="1">IF(AND(ISNUMBER($BI$1008),$B$677=1),$BI$1008,HLOOKUP(INDIRECT(ADDRESS(2,COLUMN())),OFFSET($BN$2,0,0,ROW()-1,60),ROW()-1,FALSE))</f>
        <v>0.79139157100000002</v>
      </c>
      <c r="BJ343">
        <f ca="1">IF(AND(ISNUMBER($BJ$1008),$B$677=1),$BJ$1008,HLOOKUP(INDIRECT(ADDRESS(2,COLUMN())),OFFSET($BN$2,0,0,ROW()-1,60),ROW()-1,FALSE))</f>
        <v>0.85488137799999997</v>
      </c>
      <c r="BK343">
        <f ca="1">IF(AND(ISNUMBER($BK$1008),$B$677=1),$BK$1008,HLOOKUP(INDIRECT(ADDRESS(2,COLUMN())),OFFSET($BN$2,0,0,ROW()-1,60),ROW()-1,FALSE))</f>
        <v>0.90938945999999998</v>
      </c>
      <c r="BL343">
        <f ca="1">IF(AND(ISNUMBER($BL$1008),$B$677=1),$BL$1008,HLOOKUP(INDIRECT(ADDRESS(2,COLUMN())),OFFSET($BN$2,0,0,ROW()-1,60),ROW()-1,FALSE))</f>
        <v>0.93638957099999998</v>
      </c>
      <c r="BM343">
        <f ca="1">IF(AND(ISNUMBER($BM$1008),$B$677=1),$BM$1008,HLOOKUP(INDIRECT(ADDRESS(2,COLUMN())),OFFSET($BN$2,0,0,ROW()-1,60),ROW()-1,FALSE))</f>
        <v>0.80442731700000003</v>
      </c>
      <c r="BN343" t="str">
        <f>""</f>
        <v/>
      </c>
      <c r="BO343" t="str">
        <f>""</f>
        <v/>
      </c>
      <c r="BP343">
        <f>0.724041231</f>
        <v>0.72404123099999995</v>
      </c>
      <c r="BQ343">
        <f>0.789285597</f>
        <v>0.78928559700000001</v>
      </c>
      <c r="BR343">
        <f>0.724122565</f>
        <v>0.72412256500000005</v>
      </c>
      <c r="BS343">
        <f>0.638346876</f>
        <v>0.63834687599999995</v>
      </c>
      <c r="BT343">
        <f>0.733041541</f>
        <v>0.73304154099999996</v>
      </c>
      <c r="BU343">
        <f>0.775875191</f>
        <v>0.77587519100000002</v>
      </c>
      <c r="BV343">
        <f>0.744461117</f>
        <v>0.74446111699999995</v>
      </c>
      <c r="BW343">
        <f>0.736869194</f>
        <v>0.73686919399999995</v>
      </c>
      <c r="BX343">
        <f>0.757316854</f>
        <v>0.75731685400000004</v>
      </c>
      <c r="BY343">
        <f>0.5976383</f>
        <v>0.59763829999999996</v>
      </c>
      <c r="BZ343">
        <f>0.623727392</f>
        <v>0.62372739200000005</v>
      </c>
      <c r="CA343">
        <f>0.530946753</f>
        <v>0.53094675300000005</v>
      </c>
      <c r="CB343">
        <f>0.75749791</f>
        <v>0.75749791</v>
      </c>
      <c r="CC343">
        <f>0.781048231</f>
        <v>0.78104823099999998</v>
      </c>
      <c r="CD343">
        <f>0.574596318</f>
        <v>0.57459631799999999</v>
      </c>
      <c r="CE343">
        <f>0.632282346</f>
        <v>0.632282346</v>
      </c>
      <c r="CF343">
        <f>0.674816301</f>
        <v>0.67481630100000001</v>
      </c>
      <c r="CG343">
        <f>0.639482774</f>
        <v>0.63948277399999998</v>
      </c>
      <c r="CH343">
        <f>0.604606111</f>
        <v>0.60460611099999995</v>
      </c>
      <c r="CI343">
        <f>0.566030645</f>
        <v>0.566030645</v>
      </c>
      <c r="CJ343">
        <f>0.589176827</f>
        <v>0.58917682699999996</v>
      </c>
      <c r="CK343">
        <f>0.610859014</f>
        <v>0.61085901399999998</v>
      </c>
      <c r="CL343">
        <f>0.330629834</f>
        <v>0.33062983400000001</v>
      </c>
      <c r="CM343">
        <f>0.61090947</f>
        <v>0.61090946999999995</v>
      </c>
      <c r="CN343">
        <f>0.600865213</f>
        <v>0.60086521299999995</v>
      </c>
      <c r="CO343">
        <f>0.77157285</f>
        <v>0.77157284999999998</v>
      </c>
      <c r="CP343">
        <f>0.377897757</f>
        <v>0.377897757</v>
      </c>
      <c r="CQ343">
        <f>0.270325933</f>
        <v>0.27032593300000002</v>
      </c>
      <c r="CR343">
        <f>0.205396255</f>
        <v>0.205396255</v>
      </c>
      <c r="CS343" t="str">
        <f>""</f>
        <v/>
      </c>
      <c r="CT343" t="str">
        <f>""</f>
        <v/>
      </c>
      <c r="CU343">
        <f>1.598826592</f>
        <v>1.598826592</v>
      </c>
      <c r="CV343">
        <f>1.705786417</f>
        <v>1.7057864170000001</v>
      </c>
      <c r="CW343">
        <f>1.723457251</f>
        <v>1.7234572509999999</v>
      </c>
      <c r="CX343" t="str">
        <f>""</f>
        <v/>
      </c>
      <c r="CY343" t="str">
        <f>""</f>
        <v/>
      </c>
      <c r="CZ343" t="str">
        <f>""</f>
        <v/>
      </c>
      <c r="DA343">
        <f>1.731033295</f>
        <v>1.731033295</v>
      </c>
      <c r="DB343" t="str">
        <f>""</f>
        <v/>
      </c>
      <c r="DC343" t="str">
        <f>""</f>
        <v/>
      </c>
      <c r="DD343">
        <f>0.17507721</f>
        <v>0.17507721000000001</v>
      </c>
      <c r="DE343">
        <f>0.195334262</f>
        <v>0.19533426200000001</v>
      </c>
      <c r="DF343">
        <f>0.631635718</f>
        <v>0.63163571799999996</v>
      </c>
      <c r="DG343">
        <f>0.850176997</f>
        <v>0.85017699700000005</v>
      </c>
      <c r="DH343">
        <f>1.014316558</f>
        <v>1.014316558</v>
      </c>
      <c r="DI343">
        <f>0.914451872</f>
        <v>0.914451872</v>
      </c>
      <c r="DJ343">
        <f>1.180514511</f>
        <v>1.1805145109999999</v>
      </c>
      <c r="DK343">
        <f>1.153869473</f>
        <v>1.1538694730000001</v>
      </c>
      <c r="DL343">
        <f>1.050678407</f>
        <v>1.0506784069999999</v>
      </c>
      <c r="DM343">
        <f>1.077492538</f>
        <v>1.077492538</v>
      </c>
      <c r="DN343">
        <f>0.970066631</f>
        <v>0.97006663100000001</v>
      </c>
      <c r="DO343">
        <f>0.853552623</f>
        <v>0.85355262300000001</v>
      </c>
      <c r="DP343">
        <f>0.888626044</f>
        <v>0.888626044</v>
      </c>
      <c r="DQ343">
        <f>0.791391571</f>
        <v>0.79139157100000002</v>
      </c>
      <c r="DR343">
        <f>0.854881378</f>
        <v>0.85488137799999997</v>
      </c>
      <c r="DS343">
        <f>0.90938946</f>
        <v>0.90938945999999998</v>
      </c>
      <c r="DT343">
        <f>0.936389571</f>
        <v>0.93638957099999998</v>
      </c>
      <c r="DU343">
        <f>0.804427317</f>
        <v>0.80442731700000003</v>
      </c>
    </row>
    <row r="344" spans="1:125" x14ac:dyDescent="0.25">
      <c r="A344" t="str">
        <f>"    FAW CAR Co Ltd"</f>
        <v xml:space="preserve">    FAW CAR Co Ltd</v>
      </c>
      <c r="B344" t="str">
        <f>"000800 CH Equity"</f>
        <v>000800 CH Equity</v>
      </c>
      <c r="C344" t="str">
        <f t="shared" si="24"/>
        <v>RR473</v>
      </c>
      <c r="D344" t="str">
        <f t="shared" si="25"/>
        <v>EV_TO_T12M_SALES</v>
      </c>
      <c r="E344" t="str">
        <f t="shared" si="26"/>
        <v>Dynamic</v>
      </c>
      <c r="F344" t="str">
        <f ca="1">IF(AND(ISNUMBER($F$1009),$B$677=1),$F$1009,HLOOKUP(INDIRECT(ADDRESS(2,COLUMN())),OFFSET($BN$2,0,0,ROW()-1,60),ROW()-1,FALSE))</f>
        <v/>
      </c>
      <c r="G344" t="str">
        <f ca="1">IF(AND(ISNUMBER($G$1009),$B$677=1),$G$1009,HLOOKUP(INDIRECT(ADDRESS(2,COLUMN())),OFFSET($BN$2,0,0,ROW()-1,60),ROW()-1,FALSE))</f>
        <v/>
      </c>
      <c r="H344">
        <f ca="1">IF(AND(ISNUMBER($H$1009),$B$677=1),$H$1009,HLOOKUP(INDIRECT(ADDRESS(2,COLUMN())),OFFSET($BN$2,0,0,ROW()-1,60),ROW()-1,FALSE))</f>
        <v>0.39534571699999999</v>
      </c>
      <c r="I344">
        <f ca="1">IF(AND(ISNUMBER($I$1009),$B$677=1),$I$1009,HLOOKUP(INDIRECT(ADDRESS(2,COLUMN())),OFFSET($BN$2,0,0,ROW()-1,60),ROW()-1,FALSE))</f>
        <v>0.44221296300000001</v>
      </c>
      <c r="J344">
        <f ca="1">IF(AND(ISNUMBER($J$1009),$B$677=1),$J$1009,HLOOKUP(INDIRECT(ADDRESS(2,COLUMN())),OFFSET($BN$2,0,0,ROW()-1,60),ROW()-1,FALSE))</f>
        <v>0.57145044499999997</v>
      </c>
      <c r="K344">
        <f ca="1">IF(AND(ISNUMBER($K$1009),$B$677=1),$K$1009,HLOOKUP(INDIRECT(ADDRESS(2,COLUMN())),OFFSET($BN$2,0,0,ROW()-1,60),ROW()-1,FALSE))</f>
        <v>0.62838741099999995</v>
      </c>
      <c r="L344">
        <f ca="1">IF(AND(ISNUMBER($L$1009),$B$677=1),$L$1009,HLOOKUP(INDIRECT(ADDRESS(2,COLUMN())),OFFSET($BN$2,0,0,ROW()-1,60),ROW()-1,FALSE))</f>
        <v>0.87046905299999999</v>
      </c>
      <c r="M344">
        <f ca="1">IF(AND(ISNUMBER($M$1009),$B$677=1),$M$1009,HLOOKUP(INDIRECT(ADDRESS(2,COLUMN())),OFFSET($BN$2,0,0,ROW()-1,60),ROW()-1,FALSE))</f>
        <v>0.68003283400000003</v>
      </c>
      <c r="N344">
        <f ca="1">IF(AND(ISNUMBER($N$1009),$B$677=1),$N$1009,HLOOKUP(INDIRECT(ADDRESS(2,COLUMN())),OFFSET($BN$2,0,0,ROW()-1,60),ROW()-1,FALSE))</f>
        <v>0.83786127200000005</v>
      </c>
      <c r="O344">
        <f ca="1">IF(AND(ISNUMBER($O$1009),$B$677=1),$O$1009,HLOOKUP(INDIRECT(ADDRESS(2,COLUMN())),OFFSET($BN$2,0,0,ROW()-1,60),ROW()-1,FALSE))</f>
        <v>0.90078717600000002</v>
      </c>
      <c r="P344">
        <f ca="1">IF(AND(ISNUMBER($P$1009),$B$677=1),$P$1009,HLOOKUP(INDIRECT(ADDRESS(2,COLUMN())),OFFSET($BN$2,0,0,ROW()-1,60),ROW()-1,FALSE))</f>
        <v>0.93498400299999995</v>
      </c>
      <c r="Q344">
        <f ca="1">IF(AND(ISNUMBER($Q$1009),$B$677=1),$Q$1009,HLOOKUP(INDIRECT(ADDRESS(2,COLUMN())),OFFSET($BN$2,0,0,ROW()-1,60),ROW()-1,FALSE))</f>
        <v>1.0094366480000001</v>
      </c>
      <c r="R344">
        <f ca="1">IF(AND(ISNUMBER($R$1009),$B$677=1),$R$1009,HLOOKUP(INDIRECT(ADDRESS(2,COLUMN())),OFFSET($BN$2,0,0,ROW()-1,60),ROW()-1,FALSE))</f>
        <v>1.133360782</v>
      </c>
      <c r="S344">
        <f ca="1">IF(AND(ISNUMBER($S$1009),$B$677=1),$S$1009,HLOOKUP(INDIRECT(ADDRESS(2,COLUMN())),OFFSET($BN$2,0,0,ROW()-1,60),ROW()-1,FALSE))</f>
        <v>1.1203177790000001</v>
      </c>
      <c r="T344">
        <f ca="1">IF(AND(ISNUMBER($T$1009),$B$677=1),$T$1009,HLOOKUP(INDIRECT(ADDRESS(2,COLUMN())),OFFSET($BN$2,0,0,ROW()-1,60),ROW()-1,FALSE))</f>
        <v>0.94711927900000004</v>
      </c>
      <c r="U344">
        <f ca="1">IF(AND(ISNUMBER($U$1009),$B$677=1),$U$1009,HLOOKUP(INDIRECT(ADDRESS(2,COLUMN())),OFFSET($BN$2,0,0,ROW()-1,60),ROW()-1,FALSE))</f>
        <v>1.4118564</v>
      </c>
      <c r="V344">
        <f ca="1">IF(AND(ISNUMBER($V$1009),$B$677=1),$V$1009,HLOOKUP(INDIRECT(ADDRESS(2,COLUMN())),OFFSET($BN$2,0,0,ROW()-1,60),ROW()-1,FALSE))</f>
        <v>1.058967736</v>
      </c>
      <c r="W344">
        <f ca="1">IF(AND(ISNUMBER($W$1009),$B$677=1),$W$1009,HLOOKUP(INDIRECT(ADDRESS(2,COLUMN())),OFFSET($BN$2,0,0,ROW()-1,60),ROW()-1,FALSE))</f>
        <v>0.80862521499999995</v>
      </c>
      <c r="X344">
        <f ca="1">IF(AND(ISNUMBER($X$1009),$B$677=1),$X$1009,HLOOKUP(INDIRECT(ADDRESS(2,COLUMN())),OFFSET($BN$2,0,0,ROW()-1,60),ROW()-1,FALSE))</f>
        <v>0.60210074999999996</v>
      </c>
      <c r="Y344">
        <f ca="1">IF(AND(ISNUMBER($Y$1009),$B$677=1),$Y$1009,HLOOKUP(INDIRECT(ADDRESS(2,COLUMN())),OFFSET($BN$2,0,0,ROW()-1,60),ROW()-1,FALSE))</f>
        <v>0.54270514800000003</v>
      </c>
      <c r="Z344">
        <f ca="1">IF(AND(ISNUMBER($Z$1009),$B$677=1),$Z$1009,HLOOKUP(INDIRECT(ADDRESS(2,COLUMN())),OFFSET($BN$2,0,0,ROW()-1,60),ROW()-1,FALSE))</f>
        <v>0.58772436100000003</v>
      </c>
      <c r="AA344">
        <f ca="1">IF(AND(ISNUMBER($AA$1009),$B$677=1),$AA$1009,HLOOKUP(INDIRECT(ADDRESS(2,COLUMN())),OFFSET($BN$2,0,0,ROW()-1,60),ROW()-1,FALSE))</f>
        <v>0.728042042</v>
      </c>
      <c r="AB344">
        <f ca="1">IF(AND(ISNUMBER($AB$1009),$B$677=1),$AB$1009,HLOOKUP(INDIRECT(ADDRESS(2,COLUMN())),OFFSET($BN$2,0,0,ROW()-1,60),ROW()-1,FALSE))</f>
        <v>0.89131846699999995</v>
      </c>
      <c r="AC344">
        <f ca="1">IF(AND(ISNUMBER($AC$1009),$B$677=1),$AC$1009,HLOOKUP(INDIRECT(ADDRESS(2,COLUMN())),OFFSET($BN$2,0,0,ROW()-1,60),ROW()-1,FALSE))</f>
        <v>0.90329828300000004</v>
      </c>
      <c r="AD344">
        <f ca="1">IF(AND(ISNUMBER($AD$1009),$B$677=1),$AD$1009,HLOOKUP(INDIRECT(ADDRESS(2,COLUMN())),OFFSET($BN$2,0,0,ROW()-1,60),ROW()-1,FALSE))</f>
        <v>0.62678670299999995</v>
      </c>
      <c r="AE344">
        <f ca="1">IF(AND(ISNUMBER($AE$1009),$B$677=1),$AE$1009,HLOOKUP(INDIRECT(ADDRESS(2,COLUMN())),OFFSET($BN$2,0,0,ROW()-1,60),ROW()-1,FALSE))</f>
        <v>0.63772768999999996</v>
      </c>
      <c r="AF344">
        <f ca="1">IF(AND(ISNUMBER($AF$1009),$B$677=1),$AF$1009,HLOOKUP(INDIRECT(ADDRESS(2,COLUMN())),OFFSET($BN$2,0,0,ROW()-1,60),ROW()-1,FALSE))</f>
        <v>0.47544682100000002</v>
      </c>
      <c r="AG344">
        <f ca="1">IF(AND(ISNUMBER($AG$1009),$B$677=1),$AG$1009,HLOOKUP(INDIRECT(ADDRESS(2,COLUMN())),OFFSET($BN$2,0,0,ROW()-1,60),ROW()-1,FALSE))</f>
        <v>0.67622124900000002</v>
      </c>
      <c r="AH344">
        <f ca="1">IF(AND(ISNUMBER($AH$1009),$B$677=1),$AH$1009,HLOOKUP(INDIRECT(ADDRESS(2,COLUMN())),OFFSET($BN$2,0,0,ROW()-1,60),ROW()-1,FALSE))</f>
        <v>0.60358076699999996</v>
      </c>
      <c r="AI344">
        <f ca="1">IF(AND(ISNUMBER($AI$1009),$B$677=1),$AI$1009,HLOOKUP(INDIRECT(ADDRESS(2,COLUMN())),OFFSET($BN$2,0,0,ROW()-1,60),ROW()-1,FALSE))</f>
        <v>0.45610873699999999</v>
      </c>
      <c r="AJ344">
        <f ca="1">IF(AND(ISNUMBER($AJ$1009),$B$677=1),$AJ$1009,HLOOKUP(INDIRECT(ADDRESS(2,COLUMN())),OFFSET($BN$2,0,0,ROW()-1,60),ROW()-1,FALSE))</f>
        <v>0.53723655199999998</v>
      </c>
      <c r="AK344">
        <f ca="1">IF(AND(ISNUMBER($AK$1009),$B$677=1),$AK$1009,HLOOKUP(INDIRECT(ADDRESS(2,COLUMN())),OFFSET($BN$2,0,0,ROW()-1,60),ROW()-1,FALSE))</f>
        <v>0.59006146199999998</v>
      </c>
      <c r="AL344">
        <f ca="1">IF(AND(ISNUMBER($AL$1009),$B$677=1),$AL$1009,HLOOKUP(INDIRECT(ADDRESS(2,COLUMN())),OFFSET($BN$2,0,0,ROW()-1,60),ROW()-1,FALSE))</f>
        <v>0.68957333499999995</v>
      </c>
      <c r="AM344">
        <f ca="1">IF(AND(ISNUMBER($AM$1009),$B$677=1),$AM$1009,HLOOKUP(INDIRECT(ADDRESS(2,COLUMN())),OFFSET($BN$2,0,0,ROW()-1,60),ROW()-1,FALSE))</f>
        <v>0.63684865599999996</v>
      </c>
      <c r="AN344">
        <f ca="1">IF(AND(ISNUMBER($AN$1009),$B$677=1),$AN$1009,HLOOKUP(INDIRECT(ADDRESS(2,COLUMN())),OFFSET($BN$2,0,0,ROW()-1,60),ROW()-1,FALSE))</f>
        <v>0.75129422099999998</v>
      </c>
      <c r="AO344">
        <f ca="1">IF(AND(ISNUMBER($AO$1009),$B$677=1),$AO$1009,HLOOKUP(INDIRECT(ADDRESS(2,COLUMN())),OFFSET($BN$2,0,0,ROW()-1,60),ROW()-1,FALSE))</f>
        <v>0.65825848399999998</v>
      </c>
      <c r="AP344">
        <f ca="1">IF(AND(ISNUMBER($AP$1009),$B$677=1),$AP$1009,HLOOKUP(INDIRECT(ADDRESS(2,COLUMN())),OFFSET($BN$2,0,0,ROW()-1,60),ROW()-1,FALSE))</f>
        <v>1.0811159690000001</v>
      </c>
      <c r="AQ344">
        <f ca="1">IF(AND(ISNUMBER($AQ$1009),$B$677=1),$AQ$1009,HLOOKUP(INDIRECT(ADDRESS(2,COLUMN())),OFFSET($BN$2,0,0,ROW()-1,60),ROW()-1,FALSE))</f>
        <v>1.5096249909999999</v>
      </c>
      <c r="AR344">
        <f ca="1">IF(AND(ISNUMBER($AR$1009),$B$677=1),$AR$1009,HLOOKUP(INDIRECT(ADDRESS(2,COLUMN())),OFFSET($BN$2,0,0,ROW()-1,60),ROW()-1,FALSE))</f>
        <v>1.084810619</v>
      </c>
      <c r="AS344">
        <f ca="1">IF(AND(ISNUMBER($AS$1009),$B$677=1),$AS$1009,HLOOKUP(INDIRECT(ADDRESS(2,COLUMN())),OFFSET($BN$2,0,0,ROW()-1,60),ROW()-1,FALSE))</f>
        <v>1.077455582</v>
      </c>
      <c r="AT344">
        <f ca="1">IF(AND(ISNUMBER($AT$1009),$B$677=1),$AT$1009,HLOOKUP(INDIRECT(ADDRESS(2,COLUMN())),OFFSET($BN$2,0,0,ROW()-1,60),ROW()-1,FALSE))</f>
        <v>0.86701062600000001</v>
      </c>
      <c r="AU344">
        <f ca="1">IF(AND(ISNUMBER($AU$1009),$B$677=1),$AU$1009,HLOOKUP(INDIRECT(ADDRESS(2,COLUMN())),OFFSET($BN$2,0,0,ROW()-1,60),ROW()-1,FALSE))</f>
        <v>0.50940874000000003</v>
      </c>
      <c r="AV344">
        <f ca="1">IF(AND(ISNUMBER($AV$1009),$B$677=1),$AV$1009,HLOOKUP(INDIRECT(ADDRESS(2,COLUMN())),OFFSET($BN$2,0,0,ROW()-1,60),ROW()-1,FALSE))</f>
        <v>0.48000261599999999</v>
      </c>
      <c r="AW344">
        <f ca="1">IF(AND(ISNUMBER($AW$1009),$B$677=1),$AW$1009,HLOOKUP(INDIRECT(ADDRESS(2,COLUMN())),OFFSET($BN$2,0,0,ROW()-1,60),ROW()-1,FALSE))</f>
        <v>0.62440757099999999</v>
      </c>
      <c r="AX344">
        <f ca="1">IF(AND(ISNUMBER($AX$1009),$B$677=1),$AX$1009,HLOOKUP(INDIRECT(ADDRESS(2,COLUMN())),OFFSET($BN$2,0,0,ROW()-1,60),ROW()-1,FALSE))</f>
        <v>1.264543899</v>
      </c>
      <c r="AY344">
        <f ca="1">IF(AND(ISNUMBER($AY$1009),$B$677=1),$AY$1009,HLOOKUP(INDIRECT(ADDRESS(2,COLUMN())),OFFSET($BN$2,0,0,ROW()-1,60),ROW()-1,FALSE))</f>
        <v>2.2509330620000001</v>
      </c>
      <c r="AZ344">
        <f ca="1">IF(AND(ISNUMBER($AZ$1009),$B$677=1),$AZ$1009,HLOOKUP(INDIRECT(ADDRESS(2,COLUMN())),OFFSET($BN$2,0,0,ROW()-1,60),ROW()-1,FALSE))</f>
        <v>2.6726337870000001</v>
      </c>
      <c r="BA344">
        <f ca="1">IF(AND(ISNUMBER($BA$1009),$B$677=1),$BA$1009,HLOOKUP(INDIRECT(ADDRESS(2,COLUMN())),OFFSET($BN$2,0,0,ROW()-1,60),ROW()-1,FALSE))</f>
        <v>1.4044769399999999</v>
      </c>
      <c r="BB344">
        <f ca="1">IF(AND(ISNUMBER($BB$1009),$B$677=1),$BB$1009,HLOOKUP(INDIRECT(ADDRESS(2,COLUMN())),OFFSET($BN$2,0,0,ROW()-1,60),ROW()-1,FALSE))</f>
        <v>1.098333606</v>
      </c>
      <c r="BC344">
        <f ca="1">IF(AND(ISNUMBER($BC$1009),$B$677=1),$BC$1009,HLOOKUP(INDIRECT(ADDRESS(2,COLUMN())),OFFSET($BN$2,0,0,ROW()-1,60),ROW()-1,FALSE))</f>
        <v>0.36646768899999999</v>
      </c>
      <c r="BD344">
        <f ca="1">IF(AND(ISNUMBER($BD$1009),$B$677=1),$BD$1009,HLOOKUP(INDIRECT(ADDRESS(2,COLUMN())),OFFSET($BN$2,0,0,ROW()-1,60),ROW()-1,FALSE))</f>
        <v>0.69862633500000004</v>
      </c>
      <c r="BE344">
        <f ca="1">IF(AND(ISNUMBER($BE$1009),$B$677=1),$BE$1009,HLOOKUP(INDIRECT(ADDRESS(2,COLUMN())),OFFSET($BN$2,0,0,ROW()-1,60),ROW()-1,FALSE))</f>
        <v>0.30978210699999997</v>
      </c>
      <c r="BF344">
        <f ca="1">IF(AND(ISNUMBER($BF$1009),$B$677=1),$BF$1009,HLOOKUP(INDIRECT(ADDRESS(2,COLUMN())),OFFSET($BN$2,0,0,ROW()-1,60),ROW()-1,FALSE))</f>
        <v>0.23957450699999999</v>
      </c>
      <c r="BG344">
        <f ca="1">IF(AND(ISNUMBER($BG$1009),$B$677=1),$BG$1009,HLOOKUP(INDIRECT(ADDRESS(2,COLUMN())),OFFSET($BN$2,0,0,ROW()-1,60),ROW()-1,FALSE))</f>
        <v>0.225236732</v>
      </c>
      <c r="BH344">
        <f ca="1">IF(AND(ISNUMBER($BH$1009),$B$677=1),$BH$1009,HLOOKUP(INDIRECT(ADDRESS(2,COLUMN())),OFFSET($BN$2,0,0,ROW()-1,60),ROW()-1,FALSE))</f>
        <v>0.20941881400000001</v>
      </c>
      <c r="BI344">
        <f ca="1">IF(AND(ISNUMBER($BI$1009),$B$677=1),$BI$1009,HLOOKUP(INDIRECT(ADDRESS(2,COLUMN())),OFFSET($BN$2,0,0,ROW()-1,60),ROW()-1,FALSE))</f>
        <v>0.16746180699999999</v>
      </c>
      <c r="BJ344">
        <f ca="1">IF(AND(ISNUMBER($BJ$1009),$B$677=1),$BJ$1009,HLOOKUP(INDIRECT(ADDRESS(2,COLUMN())),OFFSET($BN$2,0,0,ROW()-1,60),ROW()-1,FALSE))</f>
        <v>0.47950935500000003</v>
      </c>
      <c r="BK344">
        <f ca="1">IF(AND(ISNUMBER($BK$1009),$B$677=1),$BK$1009,HLOOKUP(INDIRECT(ADDRESS(2,COLUMN())),OFFSET($BN$2,0,0,ROW()-1,60),ROW()-1,FALSE))</f>
        <v>0.58498104299999998</v>
      </c>
      <c r="BL344">
        <f ca="1">IF(AND(ISNUMBER($BL$1009),$B$677=1),$BL$1009,HLOOKUP(INDIRECT(ADDRESS(2,COLUMN())),OFFSET($BN$2,0,0,ROW()-1,60),ROW()-1,FALSE))</f>
        <v>0.81241769600000002</v>
      </c>
      <c r="BM344">
        <f ca="1">IF(AND(ISNUMBER($BM$1009),$B$677=1),$BM$1009,HLOOKUP(INDIRECT(ADDRESS(2,COLUMN())),OFFSET($BN$2,0,0,ROW()-1,60),ROW()-1,FALSE))</f>
        <v>0.67961505700000002</v>
      </c>
      <c r="BN344" t="str">
        <f>""</f>
        <v/>
      </c>
      <c r="BO344" t="str">
        <f>""</f>
        <v/>
      </c>
      <c r="BP344">
        <f>0.395345717</f>
        <v>0.39534571699999999</v>
      </c>
      <c r="BQ344">
        <f>0.442212963</f>
        <v>0.44221296300000001</v>
      </c>
      <c r="BR344">
        <f>0.571450445</f>
        <v>0.57145044499999997</v>
      </c>
      <c r="BS344">
        <f>0.628387411</f>
        <v>0.62838741099999995</v>
      </c>
      <c r="BT344">
        <f>0.870469053</f>
        <v>0.87046905299999999</v>
      </c>
      <c r="BU344">
        <f>0.680032834</f>
        <v>0.68003283400000003</v>
      </c>
      <c r="BV344">
        <f>0.837861272</f>
        <v>0.83786127200000005</v>
      </c>
      <c r="BW344">
        <f>0.900787176</f>
        <v>0.90078717600000002</v>
      </c>
      <c r="BX344">
        <f>0.934984003</f>
        <v>0.93498400299999995</v>
      </c>
      <c r="BY344">
        <f>1.009436648</f>
        <v>1.0094366480000001</v>
      </c>
      <c r="BZ344">
        <f>1.133360782</f>
        <v>1.133360782</v>
      </c>
      <c r="CA344">
        <f>1.120317779</f>
        <v>1.1203177790000001</v>
      </c>
      <c r="CB344">
        <f>0.947119279</f>
        <v>0.94711927900000004</v>
      </c>
      <c r="CC344">
        <f>1.4118564</f>
        <v>1.4118564</v>
      </c>
      <c r="CD344">
        <f>1.058967736</f>
        <v>1.058967736</v>
      </c>
      <c r="CE344">
        <f>0.808625215</f>
        <v>0.80862521499999995</v>
      </c>
      <c r="CF344">
        <f>0.60210075</f>
        <v>0.60210074999999996</v>
      </c>
      <c r="CG344">
        <f>0.542705148</f>
        <v>0.54270514800000003</v>
      </c>
      <c r="CH344">
        <f>0.587724361</f>
        <v>0.58772436100000003</v>
      </c>
      <c r="CI344">
        <f>0.728042042</f>
        <v>0.728042042</v>
      </c>
      <c r="CJ344">
        <f>0.891318467</f>
        <v>0.89131846699999995</v>
      </c>
      <c r="CK344">
        <f>0.903298283</f>
        <v>0.90329828300000004</v>
      </c>
      <c r="CL344">
        <f>0.626786703</f>
        <v>0.62678670299999995</v>
      </c>
      <c r="CM344">
        <f>0.63772769</f>
        <v>0.63772768999999996</v>
      </c>
      <c r="CN344">
        <f>0.475446821</f>
        <v>0.47544682100000002</v>
      </c>
      <c r="CO344">
        <f>0.676221249</f>
        <v>0.67622124900000002</v>
      </c>
      <c r="CP344">
        <f>0.603580767</f>
        <v>0.60358076699999996</v>
      </c>
      <c r="CQ344">
        <f>0.456108737</f>
        <v>0.45610873699999999</v>
      </c>
      <c r="CR344">
        <f>0.537236552</f>
        <v>0.53723655199999998</v>
      </c>
      <c r="CS344">
        <f>0.590061462</f>
        <v>0.59006146199999998</v>
      </c>
      <c r="CT344">
        <f>0.689573335</f>
        <v>0.68957333499999995</v>
      </c>
      <c r="CU344">
        <f>0.636848656</f>
        <v>0.63684865599999996</v>
      </c>
      <c r="CV344">
        <f>0.751294221</f>
        <v>0.75129422099999998</v>
      </c>
      <c r="CW344">
        <f>0.658258484</f>
        <v>0.65825848399999998</v>
      </c>
      <c r="CX344">
        <f>1.081115969</f>
        <v>1.0811159690000001</v>
      </c>
      <c r="CY344">
        <f>1.509624991</f>
        <v>1.5096249909999999</v>
      </c>
      <c r="CZ344">
        <f>1.084810619</f>
        <v>1.084810619</v>
      </c>
      <c r="DA344">
        <f>1.077455582</f>
        <v>1.077455582</v>
      </c>
      <c r="DB344">
        <f>0.867010626</f>
        <v>0.86701062600000001</v>
      </c>
      <c r="DC344">
        <f>0.50940874</f>
        <v>0.50940874000000003</v>
      </c>
      <c r="DD344">
        <f>0.480002616</f>
        <v>0.48000261599999999</v>
      </c>
      <c r="DE344">
        <f>0.624407571</f>
        <v>0.62440757099999999</v>
      </c>
      <c r="DF344">
        <f>1.264543899</f>
        <v>1.264543899</v>
      </c>
      <c r="DG344">
        <f>2.250933062</f>
        <v>2.2509330620000001</v>
      </c>
      <c r="DH344">
        <f>2.672633787</f>
        <v>2.6726337870000001</v>
      </c>
      <c r="DI344">
        <f>1.40447694</f>
        <v>1.4044769399999999</v>
      </c>
      <c r="DJ344">
        <f>1.098333606</f>
        <v>1.098333606</v>
      </c>
      <c r="DK344">
        <f>0.366467689</f>
        <v>0.36646768899999999</v>
      </c>
      <c r="DL344">
        <f>0.698626335</f>
        <v>0.69862633500000004</v>
      </c>
      <c r="DM344">
        <f>0.309782107</f>
        <v>0.30978210699999997</v>
      </c>
      <c r="DN344">
        <f>0.239574507</f>
        <v>0.23957450699999999</v>
      </c>
      <c r="DO344">
        <f>0.225236732</f>
        <v>0.225236732</v>
      </c>
      <c r="DP344">
        <f>0.209418814</f>
        <v>0.20941881400000001</v>
      </c>
      <c r="DQ344">
        <f>0.167461807</f>
        <v>0.16746180699999999</v>
      </c>
      <c r="DR344">
        <f>0.479509355</f>
        <v>0.47950935500000003</v>
      </c>
      <c r="DS344">
        <f>0.584981043</f>
        <v>0.58498104299999998</v>
      </c>
      <c r="DT344">
        <f>0.812417696</f>
        <v>0.81241769600000002</v>
      </c>
      <c r="DU344">
        <f>0.679615057</f>
        <v>0.67961505700000002</v>
      </c>
    </row>
    <row r="345" spans="1:125" x14ac:dyDescent="0.25">
      <c r="A345" t="str">
        <f>"    Fiat Chrysler Automobiles NV"</f>
        <v xml:space="preserve">    Fiat Chrysler Automobiles NV</v>
      </c>
      <c r="B345" t="str">
        <f>"FCAU US Equity"</f>
        <v>FCAU US Equity</v>
      </c>
      <c r="C345" t="str">
        <f t="shared" si="24"/>
        <v>RR473</v>
      </c>
      <c r="D345" t="str">
        <f t="shared" si="25"/>
        <v>EV_TO_T12M_SALES</v>
      </c>
      <c r="E345" t="str">
        <f t="shared" si="26"/>
        <v>Dynamic</v>
      </c>
      <c r="F345" t="str">
        <f ca="1">IF(AND(ISNUMBER($F$1010),$B$677=1),$F$1010,HLOOKUP(INDIRECT(ADDRESS(2,COLUMN())),OFFSET($BN$2,0,0,ROW()-1,60),ROW()-1,FALSE))</f>
        <v/>
      </c>
      <c r="G345">
        <f ca="1">IF(AND(ISNUMBER($G$1010),$B$677=1),$G$1010,HLOOKUP(INDIRECT(ADDRESS(2,COLUMN())),OFFSET($BN$2,0,0,ROW()-1,60),ROW()-1,FALSE))</f>
        <v>0.24172744800000001</v>
      </c>
      <c r="H345">
        <f ca="1">IF(AND(ISNUMBER($H$1010),$B$677=1),$H$1010,HLOOKUP(INDIRECT(ADDRESS(2,COLUMN())),OFFSET($BN$2,0,0,ROW()-1,60),ROW()-1,FALSE))</f>
        <v>0.29769542100000002</v>
      </c>
      <c r="I345">
        <f ca="1">IF(AND(ISNUMBER($I$1010),$B$677=1),$I$1010,HLOOKUP(INDIRECT(ADDRESS(2,COLUMN())),OFFSET($BN$2,0,0,ROW()-1,60),ROW()-1,FALSE))</f>
        <v>0.31958151099999998</v>
      </c>
      <c r="J345">
        <f ca="1">IF(AND(ISNUMBER($J$1010),$B$677=1),$J$1010,HLOOKUP(INDIRECT(ADDRESS(2,COLUMN())),OFFSET($BN$2,0,0,ROW()-1,60),ROW()-1,FALSE))</f>
        <v>0.350070457</v>
      </c>
      <c r="K345">
        <f ca="1">IF(AND(ISNUMBER($K$1010),$B$677=1),$K$1010,HLOOKUP(INDIRECT(ADDRESS(2,COLUMN())),OFFSET($BN$2,0,0,ROW()-1,60),ROW()-1,FALSE))</f>
        <v>0.32726273900000002</v>
      </c>
      <c r="L345">
        <f ca="1">IF(AND(ISNUMBER($L$1010),$B$677=1),$L$1010,HLOOKUP(INDIRECT(ADDRESS(2,COLUMN())),OFFSET($BN$2,0,0,ROW()-1,60),ROW()-1,FALSE))</f>
        <v>0.32168964300000003</v>
      </c>
      <c r="M345">
        <f ca="1">IF(AND(ISNUMBER($M$1010),$B$677=1),$M$1010,HLOOKUP(INDIRECT(ADDRESS(2,COLUMN())),OFFSET($BN$2,0,0,ROW()-1,60),ROW()-1,FALSE))</f>
        <v>0.214771299</v>
      </c>
      <c r="N345">
        <f ca="1">IF(AND(ISNUMBER($N$1010),$B$677=1),$N$1010,HLOOKUP(INDIRECT(ADDRESS(2,COLUMN())),OFFSET($BN$2,0,0,ROW()-1,60),ROW()-1,FALSE))</f>
        <v>0.235202891</v>
      </c>
      <c r="O345">
        <f ca="1">IF(AND(ISNUMBER($O$1010),$B$677=1),$O$1010,HLOOKUP(INDIRECT(ADDRESS(2,COLUMN())),OFFSET($BN$2,0,0,ROW()-1,60),ROW()-1,FALSE))</f>
        <v>0.19953031500000001</v>
      </c>
      <c r="P345">
        <f ca="1">IF(AND(ISNUMBER($P$1010),$B$677=1),$P$1010,HLOOKUP(INDIRECT(ADDRESS(2,COLUMN())),OFFSET($BN$2,0,0,ROW()-1,60),ROW()-1,FALSE))</f>
        <v>0.15796485800000001</v>
      </c>
      <c r="Q345">
        <f ca="1">IF(AND(ISNUMBER($Q$1010),$B$677=1),$Q$1010,HLOOKUP(INDIRECT(ADDRESS(2,COLUMN())),OFFSET($BN$2,0,0,ROW()-1,60),ROW()-1,FALSE))</f>
        <v>0.14361543399999999</v>
      </c>
      <c r="R345">
        <f ca="1">IF(AND(ISNUMBER($R$1010),$B$677=1),$R$1010,HLOOKUP(INDIRECT(ADDRESS(2,COLUMN())),OFFSET($BN$2,0,0,ROW()-1,60),ROW()-1,FALSE))</f>
        <v>0.17895604500000001</v>
      </c>
      <c r="S345">
        <f ca="1">IF(AND(ISNUMBER($S$1010),$B$677=1),$S$1010,HLOOKUP(INDIRECT(ADDRESS(2,COLUMN())),OFFSET($BN$2,0,0,ROW()-1,60),ROW()-1,FALSE))</f>
        <v>0.25158884100000001</v>
      </c>
      <c r="T345">
        <f ca="1">IF(AND(ISNUMBER($T$1010),$B$677=1),$T$1010,HLOOKUP(INDIRECT(ADDRESS(2,COLUMN())),OFFSET($BN$2,0,0,ROW()-1,60),ROW()-1,FALSE))</f>
        <v>0.28844786100000003</v>
      </c>
      <c r="U345">
        <f ca="1">IF(AND(ISNUMBER($U$1010),$B$677=1),$U$1010,HLOOKUP(INDIRECT(ADDRESS(2,COLUMN())),OFFSET($BN$2,0,0,ROW()-1,60),ROW()-1,FALSE))</f>
        <v>0.31386840399999999</v>
      </c>
      <c r="V345">
        <f ca="1">IF(AND(ISNUMBER($V$1010),$B$677=1),$V$1010,HLOOKUP(INDIRECT(ADDRESS(2,COLUMN())),OFFSET($BN$2,0,0,ROW()-1,60),ROW()-1,FALSE))</f>
        <v>0.372799045</v>
      </c>
      <c r="W345">
        <f ca="1">IF(AND(ISNUMBER($W$1010),$B$677=1),$W$1010,HLOOKUP(INDIRECT(ADDRESS(2,COLUMN())),OFFSET($BN$2,0,0,ROW()-1,60),ROW()-1,FALSE))</f>
        <v>0.27564793300000001</v>
      </c>
      <c r="X345" t="str">
        <f ca="1">IF(AND(ISNUMBER($X$1010),$B$677=1),$X$1010,HLOOKUP(INDIRECT(ADDRESS(2,COLUMN())),OFFSET($BN$2,0,0,ROW()-1,60),ROW()-1,FALSE))</f>
        <v/>
      </c>
      <c r="Y345" t="str">
        <f ca="1">IF(AND(ISNUMBER($Y$1010),$B$677=1),$Y$1010,HLOOKUP(INDIRECT(ADDRESS(2,COLUMN())),OFFSET($BN$2,0,0,ROW()-1,60),ROW()-1,FALSE))</f>
        <v/>
      </c>
      <c r="Z345" t="str">
        <f ca="1">IF(AND(ISNUMBER($Z$1010),$B$677=1),$Z$1010,HLOOKUP(INDIRECT(ADDRESS(2,COLUMN())),OFFSET($BN$2,0,0,ROW()-1,60),ROW()-1,FALSE))</f>
        <v/>
      </c>
      <c r="AA345" t="str">
        <f ca="1">IF(AND(ISNUMBER($AA$1010),$B$677=1),$AA$1010,HLOOKUP(INDIRECT(ADDRESS(2,COLUMN())),OFFSET($BN$2,0,0,ROW()-1,60),ROW()-1,FALSE))</f>
        <v/>
      </c>
      <c r="AB345" t="str">
        <f ca="1">IF(AND(ISNUMBER($AB$1010),$B$677=1),$AB$1010,HLOOKUP(INDIRECT(ADDRESS(2,COLUMN())),OFFSET($BN$2,0,0,ROW()-1,60),ROW()-1,FALSE))</f>
        <v/>
      </c>
      <c r="AC345" t="str">
        <f ca="1">IF(AND(ISNUMBER($AC$1010),$B$677=1),$AC$1010,HLOOKUP(INDIRECT(ADDRESS(2,COLUMN())),OFFSET($BN$2,0,0,ROW()-1,60),ROW()-1,FALSE))</f>
        <v/>
      </c>
      <c r="AD345" t="str">
        <f ca="1">IF(AND(ISNUMBER($AD$1010),$B$677=1),$AD$1010,HLOOKUP(INDIRECT(ADDRESS(2,COLUMN())),OFFSET($BN$2,0,0,ROW()-1,60),ROW()-1,FALSE))</f>
        <v/>
      </c>
      <c r="AE345" t="str">
        <f ca="1">IF(AND(ISNUMBER($AE$1010),$B$677=1),$AE$1010,HLOOKUP(INDIRECT(ADDRESS(2,COLUMN())),OFFSET($BN$2,0,0,ROW()-1,60),ROW()-1,FALSE))</f>
        <v/>
      </c>
      <c r="AF345" t="str">
        <f ca="1">IF(AND(ISNUMBER($AF$1010),$B$677=1),$AF$1010,HLOOKUP(INDIRECT(ADDRESS(2,COLUMN())),OFFSET($BN$2,0,0,ROW()-1,60),ROW()-1,FALSE))</f>
        <v/>
      </c>
      <c r="AG345" t="str">
        <f ca="1">IF(AND(ISNUMBER($AG$1010),$B$677=1),$AG$1010,HLOOKUP(INDIRECT(ADDRESS(2,COLUMN())),OFFSET($BN$2,0,0,ROW()-1,60),ROW()-1,FALSE))</f>
        <v/>
      </c>
      <c r="AH345" t="str">
        <f ca="1">IF(AND(ISNUMBER($AH$1010),$B$677=1),$AH$1010,HLOOKUP(INDIRECT(ADDRESS(2,COLUMN())),OFFSET($BN$2,0,0,ROW()-1,60),ROW()-1,FALSE))</f>
        <v/>
      </c>
      <c r="AI345" t="str">
        <f ca="1">IF(AND(ISNUMBER($AI$1010),$B$677=1),$AI$1010,HLOOKUP(INDIRECT(ADDRESS(2,COLUMN())),OFFSET($BN$2,0,0,ROW()-1,60),ROW()-1,FALSE))</f>
        <v/>
      </c>
      <c r="AJ345" t="str">
        <f ca="1">IF(AND(ISNUMBER($AJ$1010),$B$677=1),$AJ$1010,HLOOKUP(INDIRECT(ADDRESS(2,COLUMN())),OFFSET($BN$2,0,0,ROW()-1,60),ROW()-1,FALSE))</f>
        <v/>
      </c>
      <c r="AK345" t="str">
        <f ca="1">IF(AND(ISNUMBER($AK$1010),$B$677=1),$AK$1010,HLOOKUP(INDIRECT(ADDRESS(2,COLUMN())),OFFSET($BN$2,0,0,ROW()-1,60),ROW()-1,FALSE))</f>
        <v/>
      </c>
      <c r="AL345" t="str">
        <f ca="1">IF(AND(ISNUMBER($AL$1010),$B$677=1),$AL$1010,HLOOKUP(INDIRECT(ADDRESS(2,COLUMN())),OFFSET($BN$2,0,0,ROW()-1,60),ROW()-1,FALSE))</f>
        <v/>
      </c>
      <c r="AM345" t="str">
        <f ca="1">IF(AND(ISNUMBER($AM$1010),$B$677=1),$AM$1010,HLOOKUP(INDIRECT(ADDRESS(2,COLUMN())),OFFSET($BN$2,0,0,ROW()-1,60),ROW()-1,FALSE))</f>
        <v/>
      </c>
      <c r="AN345" t="str">
        <f ca="1">IF(AND(ISNUMBER($AN$1010),$B$677=1),$AN$1010,HLOOKUP(INDIRECT(ADDRESS(2,COLUMN())),OFFSET($BN$2,0,0,ROW()-1,60),ROW()-1,FALSE))</f>
        <v/>
      </c>
      <c r="AO345" t="str">
        <f ca="1">IF(AND(ISNUMBER($AO$1010),$B$677=1),$AO$1010,HLOOKUP(INDIRECT(ADDRESS(2,COLUMN())),OFFSET($BN$2,0,0,ROW()-1,60),ROW()-1,FALSE))</f>
        <v/>
      </c>
      <c r="AP345" t="str">
        <f ca="1">IF(AND(ISNUMBER($AP$1010),$B$677=1),$AP$1010,HLOOKUP(INDIRECT(ADDRESS(2,COLUMN())),OFFSET($BN$2,0,0,ROW()-1,60),ROW()-1,FALSE))</f>
        <v/>
      </c>
      <c r="AQ345" t="str">
        <f ca="1">IF(AND(ISNUMBER($AQ$1010),$B$677=1),$AQ$1010,HLOOKUP(INDIRECT(ADDRESS(2,COLUMN())),OFFSET($BN$2,0,0,ROW()-1,60),ROW()-1,FALSE))</f>
        <v/>
      </c>
      <c r="AR345" t="str">
        <f ca="1">IF(AND(ISNUMBER($AR$1010),$B$677=1),$AR$1010,HLOOKUP(INDIRECT(ADDRESS(2,COLUMN())),OFFSET($BN$2,0,0,ROW()-1,60),ROW()-1,FALSE))</f>
        <v/>
      </c>
      <c r="AS345" t="str">
        <f ca="1">IF(AND(ISNUMBER($AS$1010),$B$677=1),$AS$1010,HLOOKUP(INDIRECT(ADDRESS(2,COLUMN())),OFFSET($BN$2,0,0,ROW()-1,60),ROW()-1,FALSE))</f>
        <v/>
      </c>
      <c r="AT345" t="str">
        <f ca="1">IF(AND(ISNUMBER($AT$1010),$B$677=1),$AT$1010,HLOOKUP(INDIRECT(ADDRESS(2,COLUMN())),OFFSET($BN$2,0,0,ROW()-1,60),ROW()-1,FALSE))</f>
        <v/>
      </c>
      <c r="AU345" t="str">
        <f ca="1">IF(AND(ISNUMBER($AU$1010),$B$677=1),$AU$1010,HLOOKUP(INDIRECT(ADDRESS(2,COLUMN())),OFFSET($BN$2,0,0,ROW()-1,60),ROW()-1,FALSE))</f>
        <v/>
      </c>
      <c r="AV345" t="str">
        <f ca="1">IF(AND(ISNUMBER($AV$1010),$B$677=1),$AV$1010,HLOOKUP(INDIRECT(ADDRESS(2,COLUMN())),OFFSET($BN$2,0,0,ROW()-1,60),ROW()-1,FALSE))</f>
        <v/>
      </c>
      <c r="AW345" t="str">
        <f ca="1">IF(AND(ISNUMBER($AW$1010),$B$677=1),$AW$1010,HLOOKUP(INDIRECT(ADDRESS(2,COLUMN())),OFFSET($BN$2,0,0,ROW()-1,60),ROW()-1,FALSE))</f>
        <v/>
      </c>
      <c r="AX345" t="str">
        <f ca="1">IF(AND(ISNUMBER($AX$1010),$B$677=1),$AX$1010,HLOOKUP(INDIRECT(ADDRESS(2,COLUMN())),OFFSET($BN$2,0,0,ROW()-1,60),ROW()-1,FALSE))</f>
        <v/>
      </c>
      <c r="AY345" t="str">
        <f ca="1">IF(AND(ISNUMBER($AY$1010),$B$677=1),$AY$1010,HLOOKUP(INDIRECT(ADDRESS(2,COLUMN())),OFFSET($BN$2,0,0,ROW()-1,60),ROW()-1,FALSE))</f>
        <v/>
      </c>
      <c r="AZ345" t="str">
        <f ca="1">IF(AND(ISNUMBER($AZ$1010),$B$677=1),$AZ$1010,HLOOKUP(INDIRECT(ADDRESS(2,COLUMN())),OFFSET($BN$2,0,0,ROW()-1,60),ROW()-1,FALSE))</f>
        <v/>
      </c>
      <c r="BA345" t="str">
        <f ca="1">IF(AND(ISNUMBER($BA$1010),$B$677=1),$BA$1010,HLOOKUP(INDIRECT(ADDRESS(2,COLUMN())),OFFSET($BN$2,0,0,ROW()-1,60),ROW()-1,FALSE))</f>
        <v/>
      </c>
      <c r="BB345" t="str">
        <f ca="1">IF(AND(ISNUMBER($BB$1010),$B$677=1),$BB$1010,HLOOKUP(INDIRECT(ADDRESS(2,COLUMN())),OFFSET($BN$2,0,0,ROW()-1,60),ROW()-1,FALSE))</f>
        <v/>
      </c>
      <c r="BC345" t="str">
        <f ca="1">IF(AND(ISNUMBER($BC$1010),$B$677=1),$BC$1010,HLOOKUP(INDIRECT(ADDRESS(2,COLUMN())),OFFSET($BN$2,0,0,ROW()-1,60),ROW()-1,FALSE))</f>
        <v/>
      </c>
      <c r="BD345" t="str">
        <f ca="1">IF(AND(ISNUMBER($BD$1010),$B$677=1),$BD$1010,HLOOKUP(INDIRECT(ADDRESS(2,COLUMN())),OFFSET($BN$2,0,0,ROW()-1,60),ROW()-1,FALSE))</f>
        <v/>
      </c>
      <c r="BE345" t="str">
        <f ca="1">IF(AND(ISNUMBER($BE$1010),$B$677=1),$BE$1010,HLOOKUP(INDIRECT(ADDRESS(2,COLUMN())),OFFSET($BN$2,0,0,ROW()-1,60),ROW()-1,FALSE))</f>
        <v/>
      </c>
      <c r="BF345" t="str">
        <f ca="1">IF(AND(ISNUMBER($BF$1010),$B$677=1),$BF$1010,HLOOKUP(INDIRECT(ADDRESS(2,COLUMN())),OFFSET($BN$2,0,0,ROW()-1,60),ROW()-1,FALSE))</f>
        <v/>
      </c>
      <c r="BG345" t="str">
        <f ca="1">IF(AND(ISNUMBER($BG$1010),$B$677=1),$BG$1010,HLOOKUP(INDIRECT(ADDRESS(2,COLUMN())),OFFSET($BN$2,0,0,ROW()-1,60),ROW()-1,FALSE))</f>
        <v/>
      </c>
      <c r="BH345" t="str">
        <f ca="1">IF(AND(ISNUMBER($BH$1010),$B$677=1),$BH$1010,HLOOKUP(INDIRECT(ADDRESS(2,COLUMN())),OFFSET($BN$2,0,0,ROW()-1,60),ROW()-1,FALSE))</f>
        <v/>
      </c>
      <c r="BI345" t="str">
        <f ca="1">IF(AND(ISNUMBER($BI$1010),$B$677=1),$BI$1010,HLOOKUP(INDIRECT(ADDRESS(2,COLUMN())),OFFSET($BN$2,0,0,ROW()-1,60),ROW()-1,FALSE))</f>
        <v/>
      </c>
      <c r="BJ345" t="str">
        <f ca="1">IF(AND(ISNUMBER($BJ$1010),$B$677=1),$BJ$1010,HLOOKUP(INDIRECT(ADDRESS(2,COLUMN())),OFFSET($BN$2,0,0,ROW()-1,60),ROW()-1,FALSE))</f>
        <v/>
      </c>
      <c r="BK345" t="str">
        <f ca="1">IF(AND(ISNUMBER($BK$1010),$B$677=1),$BK$1010,HLOOKUP(INDIRECT(ADDRESS(2,COLUMN())),OFFSET($BN$2,0,0,ROW()-1,60),ROW()-1,FALSE))</f>
        <v/>
      </c>
      <c r="BL345" t="str">
        <f ca="1">IF(AND(ISNUMBER($BL$1010),$B$677=1),$BL$1010,HLOOKUP(INDIRECT(ADDRESS(2,COLUMN())),OFFSET($BN$2,0,0,ROW()-1,60),ROW()-1,FALSE))</f>
        <v/>
      </c>
      <c r="BM345" t="str">
        <f ca="1">IF(AND(ISNUMBER($BM$1010),$B$677=1),$BM$1010,HLOOKUP(INDIRECT(ADDRESS(2,COLUMN())),OFFSET($BN$2,0,0,ROW()-1,60),ROW()-1,FALSE))</f>
        <v/>
      </c>
      <c r="BN345" t="str">
        <f>""</f>
        <v/>
      </c>
      <c r="BO345">
        <f>0.241727448</f>
        <v>0.24172744800000001</v>
      </c>
      <c r="BP345">
        <f>0.297695421</f>
        <v>0.29769542100000002</v>
      </c>
      <c r="BQ345">
        <f>0.319581511</f>
        <v>0.31958151099999998</v>
      </c>
      <c r="BR345">
        <f>0.350070457</f>
        <v>0.350070457</v>
      </c>
      <c r="BS345">
        <f>0.327262739</f>
        <v>0.32726273900000002</v>
      </c>
      <c r="BT345">
        <f>0.321689643</f>
        <v>0.32168964300000003</v>
      </c>
      <c r="BU345">
        <f>0.214771299</f>
        <v>0.214771299</v>
      </c>
      <c r="BV345">
        <f>0.235202891</f>
        <v>0.235202891</v>
      </c>
      <c r="BW345">
        <f>0.199530315</f>
        <v>0.19953031500000001</v>
      </c>
      <c r="BX345">
        <f>0.157964858</f>
        <v>0.15796485800000001</v>
      </c>
      <c r="BY345">
        <f>0.143615434</f>
        <v>0.14361543399999999</v>
      </c>
      <c r="BZ345">
        <f>0.178956045</f>
        <v>0.17895604500000001</v>
      </c>
      <c r="CA345">
        <f>0.251588841</f>
        <v>0.25158884100000001</v>
      </c>
      <c r="CB345">
        <f>0.288447861</f>
        <v>0.28844786100000003</v>
      </c>
      <c r="CC345">
        <f>0.313868404</f>
        <v>0.31386840399999999</v>
      </c>
      <c r="CD345">
        <f>0.372799045</f>
        <v>0.372799045</v>
      </c>
      <c r="CE345">
        <f>0.275647933</f>
        <v>0.27564793300000001</v>
      </c>
      <c r="CF345" t="str">
        <f>""</f>
        <v/>
      </c>
      <c r="CG345" t="str">
        <f>""</f>
        <v/>
      </c>
      <c r="CH345" t="str">
        <f>""</f>
        <v/>
      </c>
      <c r="CI345" t="str">
        <f>""</f>
        <v/>
      </c>
      <c r="CJ345" t="str">
        <f>""</f>
        <v/>
      </c>
      <c r="CK345" t="str">
        <f>""</f>
        <v/>
      </c>
      <c r="CL345" t="str">
        <f>""</f>
        <v/>
      </c>
      <c r="CM345" t="str">
        <f>""</f>
        <v/>
      </c>
      <c r="CN345" t="str">
        <f>""</f>
        <v/>
      </c>
      <c r="CO345" t="str">
        <f>""</f>
        <v/>
      </c>
      <c r="CP345" t="str">
        <f>""</f>
        <v/>
      </c>
      <c r="CQ345" t="str">
        <f>""</f>
        <v/>
      </c>
      <c r="CR345" t="str">
        <f>""</f>
        <v/>
      </c>
      <c r="CS345" t="str">
        <f>""</f>
        <v/>
      </c>
      <c r="CT345" t="str">
        <f>""</f>
        <v/>
      </c>
      <c r="CU345" t="str">
        <f>""</f>
        <v/>
      </c>
      <c r="CV345" t="str">
        <f>""</f>
        <v/>
      </c>
      <c r="CW345" t="str">
        <f>""</f>
        <v/>
      </c>
      <c r="CX345" t="str">
        <f>""</f>
        <v/>
      </c>
      <c r="CY345" t="str">
        <f>""</f>
        <v/>
      </c>
      <c r="CZ345" t="str">
        <f>""</f>
        <v/>
      </c>
      <c r="DA345" t="str">
        <f>""</f>
        <v/>
      </c>
      <c r="DB345" t="str">
        <f>""</f>
        <v/>
      </c>
      <c r="DC345" t="str">
        <f>""</f>
        <v/>
      </c>
      <c r="DD345" t="str">
        <f>""</f>
        <v/>
      </c>
      <c r="DE345" t="str">
        <f>""</f>
        <v/>
      </c>
      <c r="DF345" t="str">
        <f>""</f>
        <v/>
      </c>
      <c r="DG345" t="str">
        <f>""</f>
        <v/>
      </c>
      <c r="DH345" t="str">
        <f>""</f>
        <v/>
      </c>
      <c r="DI345" t="str">
        <f>""</f>
        <v/>
      </c>
      <c r="DJ345" t="str">
        <f>""</f>
        <v/>
      </c>
      <c r="DK345" t="str">
        <f>""</f>
        <v/>
      </c>
      <c r="DL345" t="str">
        <f>""</f>
        <v/>
      </c>
      <c r="DM345" t="str">
        <f>""</f>
        <v/>
      </c>
      <c r="DN345" t="str">
        <f>""</f>
        <v/>
      </c>
      <c r="DO345" t="str">
        <f>""</f>
        <v/>
      </c>
      <c r="DP345" t="str">
        <f>""</f>
        <v/>
      </c>
      <c r="DQ345" t="str">
        <f>""</f>
        <v/>
      </c>
      <c r="DR345" t="str">
        <f>""</f>
        <v/>
      </c>
      <c r="DS345" t="str">
        <f>""</f>
        <v/>
      </c>
      <c r="DT345" t="str">
        <f>""</f>
        <v/>
      </c>
      <c r="DU345" t="str">
        <f>""</f>
        <v/>
      </c>
    </row>
    <row r="346" spans="1:125" x14ac:dyDescent="0.25">
      <c r="A346" t="str">
        <f>"    Ford Motor Co"</f>
        <v xml:space="preserve">    Ford Motor Co</v>
      </c>
      <c r="B346" t="str">
        <f>"F US Equity"</f>
        <v>F US Equity</v>
      </c>
      <c r="C346" t="str">
        <f t="shared" si="24"/>
        <v>RR473</v>
      </c>
      <c r="D346" t="str">
        <f t="shared" si="25"/>
        <v>EV_TO_T12M_SALES</v>
      </c>
      <c r="E346" t="str">
        <f t="shared" si="26"/>
        <v>Dynamic</v>
      </c>
      <c r="F346" t="str">
        <f ca="1">IF(AND(ISNUMBER($F$1011),$B$677=1),$F$1011,HLOOKUP(INDIRECT(ADDRESS(2,COLUMN())),OFFSET($BN$2,0,0,ROW()-1,60),ROW()-1,FALSE))</f>
        <v/>
      </c>
      <c r="G346">
        <f ca="1">IF(AND(ISNUMBER($G$1011),$B$677=1),$G$1011,HLOOKUP(INDIRECT(ADDRESS(2,COLUMN())),OFFSET($BN$2,0,0,ROW()-1,60),ROW()-1,FALSE))</f>
        <v>0.13147800800000001</v>
      </c>
      <c r="H346">
        <f ca="1">IF(AND(ISNUMBER($H$1011),$B$677=1),$H$1011,HLOOKUP(INDIRECT(ADDRESS(2,COLUMN())),OFFSET($BN$2,0,0,ROW()-1,60),ROW()-1,FALSE))</f>
        <v>0.175032409</v>
      </c>
      <c r="I346">
        <f ca="1">IF(AND(ISNUMBER($I$1011),$B$677=1),$I$1011,HLOOKUP(INDIRECT(ADDRESS(2,COLUMN())),OFFSET($BN$2,0,0,ROW()-1,60),ROW()-1,FALSE))</f>
        <v>0.21901467799999999</v>
      </c>
      <c r="J346">
        <f ca="1">IF(AND(ISNUMBER($J$1011),$B$677=1),$J$1011,HLOOKUP(INDIRECT(ADDRESS(2,COLUMN())),OFFSET($BN$2,0,0,ROW()-1,60),ROW()-1,FALSE))</f>
        <v>0.20372510999999999</v>
      </c>
      <c r="K346">
        <f ca="1">IF(AND(ISNUMBER($K$1011),$B$677=1),$K$1011,HLOOKUP(INDIRECT(ADDRESS(2,COLUMN())),OFFSET($BN$2,0,0,ROW()-1,60),ROW()-1,FALSE))</f>
        <v>0.25001379200000001</v>
      </c>
      <c r="L346">
        <f ca="1">IF(AND(ISNUMBER($L$1011),$B$677=1),$L$1011,HLOOKUP(INDIRECT(ADDRESS(2,COLUMN())),OFFSET($BN$2,0,0,ROW()-1,60),ROW()-1,FALSE))</f>
        <v>0.24470135300000001</v>
      </c>
      <c r="M346">
        <f ca="1">IF(AND(ISNUMBER($M$1011),$B$677=1),$M$1011,HLOOKUP(INDIRECT(ADDRESS(2,COLUMN())),OFFSET($BN$2,0,0,ROW()-1,60),ROW()-1,FALSE))</f>
        <v>0.210389203</v>
      </c>
      <c r="N346">
        <f ca="1">IF(AND(ISNUMBER($N$1011),$B$677=1),$N$1011,HLOOKUP(INDIRECT(ADDRESS(2,COLUMN())),OFFSET($BN$2,0,0,ROW()-1,60),ROW()-1,FALSE))</f>
        <v>0.22610306599999999</v>
      </c>
      <c r="O346">
        <f ca="1">IF(AND(ISNUMBER($O$1011),$B$677=1),$O$1011,HLOOKUP(INDIRECT(ADDRESS(2,COLUMN())),OFFSET($BN$2,0,0,ROW()-1,60),ROW()-1,FALSE))</f>
        <v>0.24214904300000001</v>
      </c>
      <c r="P346">
        <f ca="1">IF(AND(ISNUMBER($P$1011),$B$677=1),$P$1011,HLOOKUP(INDIRECT(ADDRESS(2,COLUMN())),OFFSET($BN$2,0,0,ROW()-1,60),ROW()-1,FALSE))</f>
        <v>0.240622278</v>
      </c>
      <c r="Q346">
        <f ca="1">IF(AND(ISNUMBER($Q$1011),$B$677=1),$Q$1011,HLOOKUP(INDIRECT(ADDRESS(2,COLUMN())),OFFSET($BN$2,0,0,ROW()-1,60),ROW()-1,FALSE))</f>
        <v>0.23080397999999999</v>
      </c>
      <c r="R346">
        <f ca="1">IF(AND(ISNUMBER($R$1011),$B$677=1),$R$1011,HLOOKUP(INDIRECT(ADDRESS(2,COLUMN())),OFFSET($BN$2,0,0,ROW()-1,60),ROW()-1,FALSE))</f>
        <v>0.26190065400000001</v>
      </c>
      <c r="S346">
        <f ca="1">IF(AND(ISNUMBER($S$1011),$B$677=1),$S$1011,HLOOKUP(INDIRECT(ADDRESS(2,COLUMN())),OFFSET($BN$2,0,0,ROW()-1,60),ROW()-1,FALSE))</f>
        <v>0.302969027</v>
      </c>
      <c r="T346">
        <f ca="1">IF(AND(ISNUMBER($T$1011),$B$677=1),$T$1011,HLOOKUP(INDIRECT(ADDRESS(2,COLUMN())),OFFSET($BN$2,0,0,ROW()-1,60),ROW()-1,FALSE))</f>
        <v>0.29061980500000001</v>
      </c>
      <c r="U346">
        <f ca="1">IF(AND(ISNUMBER($U$1011),$B$677=1),$U$1011,HLOOKUP(INDIRECT(ADDRESS(2,COLUMN())),OFFSET($BN$2,0,0,ROW()-1,60),ROW()-1,FALSE))</f>
        <v>0.35145610300000002</v>
      </c>
      <c r="V346">
        <f ca="1">IF(AND(ISNUMBER($V$1011),$B$677=1),$V$1011,HLOOKUP(INDIRECT(ADDRESS(2,COLUMN())),OFFSET($BN$2,0,0,ROW()-1,60),ROW()-1,FALSE))</f>
        <v>0.395516215</v>
      </c>
      <c r="W346">
        <f ca="1">IF(AND(ISNUMBER($W$1011),$B$677=1),$W$1011,HLOOKUP(INDIRECT(ADDRESS(2,COLUMN())),OFFSET($BN$2,0,0,ROW()-1,60),ROW()-1,FALSE))</f>
        <v>0.36167534200000001</v>
      </c>
      <c r="X346">
        <f ca="1">IF(AND(ISNUMBER($X$1011),$B$677=1),$X$1011,HLOOKUP(INDIRECT(ADDRESS(2,COLUMN())),OFFSET($BN$2,0,0,ROW()-1,60),ROW()-1,FALSE))</f>
        <v>0.32514790999999998</v>
      </c>
      <c r="Y346">
        <f ca="1">IF(AND(ISNUMBER($Y$1011),$B$677=1),$Y$1011,HLOOKUP(INDIRECT(ADDRESS(2,COLUMN())),OFFSET($BN$2,0,0,ROW()-1,60),ROW()-1,FALSE))</f>
        <v>0.37350386800000002</v>
      </c>
      <c r="Z346">
        <f ca="1">IF(AND(ISNUMBER($Z$1011),$B$677=1),$Z$1011,HLOOKUP(INDIRECT(ADDRESS(2,COLUMN())),OFFSET($BN$2,0,0,ROW()-1,60),ROW()-1,FALSE))</f>
        <v>0.35013612700000002</v>
      </c>
      <c r="AA346">
        <f ca="1">IF(AND(ISNUMBER($AA$1011),$B$677=1),$AA$1011,HLOOKUP(INDIRECT(ADDRESS(2,COLUMN())),OFFSET($BN$2,0,0,ROW()-1,60),ROW()-1,FALSE))</f>
        <v>0.35160791000000002</v>
      </c>
      <c r="AB346">
        <f ca="1">IF(AND(ISNUMBER($AB$1011),$B$677=1),$AB$1011,HLOOKUP(INDIRECT(ADDRESS(2,COLUMN())),OFFSET($BN$2,0,0,ROW()-1,60),ROW()-1,FALSE))</f>
        <v>0.37728426500000001</v>
      </c>
      <c r="AC346">
        <f ca="1">IF(AND(ISNUMBER($AC$1011),$B$677=1),$AC$1011,HLOOKUP(INDIRECT(ADDRESS(2,COLUMN())),OFFSET($BN$2,0,0,ROW()-1,60),ROW()-1,FALSE))</f>
        <v>0.34947278199999998</v>
      </c>
      <c r="AD346">
        <f ca="1">IF(AND(ISNUMBER($AD$1011),$B$677=1),$AD$1011,HLOOKUP(INDIRECT(ADDRESS(2,COLUMN())),OFFSET($BN$2,0,0,ROW()-1,60),ROW()-1,FALSE))</f>
        <v>0.31333298999999998</v>
      </c>
      <c r="AE346">
        <f ca="1">IF(AND(ISNUMBER($AE$1011),$B$677=1),$AE$1011,HLOOKUP(INDIRECT(ADDRESS(2,COLUMN())),OFFSET($BN$2,0,0,ROW()-1,60),ROW()-1,FALSE))</f>
        <v>0.29629682200000002</v>
      </c>
      <c r="AF346">
        <f ca="1">IF(AND(ISNUMBER($AF$1011),$B$677=1),$AF$1011,HLOOKUP(INDIRECT(ADDRESS(2,COLUMN())),OFFSET($BN$2,0,0,ROW()-1,60),ROW()-1,FALSE))</f>
        <v>0.19805177600000001</v>
      </c>
      <c r="AG346">
        <f ca="1">IF(AND(ISNUMBER($AG$1011),$B$677=1),$AG$1011,HLOOKUP(INDIRECT(ADDRESS(2,COLUMN())),OFFSET($BN$2,0,0,ROW()-1,60),ROW()-1,FALSE))</f>
        <v>0.18858283000000001</v>
      </c>
      <c r="AH346">
        <f ca="1">IF(AND(ISNUMBER($AH$1011),$B$677=1),$AH$1011,HLOOKUP(INDIRECT(ADDRESS(2,COLUMN())),OFFSET($BN$2,0,0,ROW()-1,60),ROW()-1,FALSE))</f>
        <v>0.273779893</v>
      </c>
      <c r="AI346">
        <f ca="1">IF(AND(ISNUMBER($AI$1011),$B$677=1),$AI$1011,HLOOKUP(INDIRECT(ADDRESS(2,COLUMN())),OFFSET($BN$2,0,0,ROW()-1,60),ROW()-1,FALSE))</f>
        <v>0.223708723</v>
      </c>
      <c r="AJ346">
        <f ca="1">IF(AND(ISNUMBER($AJ$1011),$B$677=1),$AJ$1011,HLOOKUP(INDIRECT(ADDRESS(2,COLUMN())),OFFSET($BN$2,0,0,ROW()-1,60),ROW()-1,FALSE))</f>
        <v>0.20267506499999999</v>
      </c>
      <c r="AK346">
        <f ca="1">IF(AND(ISNUMBER($AK$1011),$B$677=1),$AK$1011,HLOOKUP(INDIRECT(ADDRESS(2,COLUMN())),OFFSET($BN$2,0,0,ROW()-1,60),ROW()-1,FALSE))</f>
        <v>0.32764189799999999</v>
      </c>
      <c r="AL346">
        <f ca="1">IF(AND(ISNUMBER($AL$1011),$B$677=1),$AL$1011,HLOOKUP(INDIRECT(ADDRESS(2,COLUMN())),OFFSET($BN$2,0,0,ROW()-1,60),ROW()-1,FALSE))</f>
        <v>0.39123491999999999</v>
      </c>
      <c r="AM346">
        <f ca="1">IF(AND(ISNUMBER($AM$1011),$B$677=1),$AM$1011,HLOOKUP(INDIRECT(ADDRESS(2,COLUMN())),OFFSET($BN$2,0,0,ROW()-1,60),ROW()-1,FALSE))</f>
        <v>0.47171639999999998</v>
      </c>
      <c r="AN346">
        <f ca="1">IF(AND(ISNUMBER($AN$1011),$B$677=1),$AN$1011,HLOOKUP(INDIRECT(ADDRESS(2,COLUMN())),OFFSET($BN$2,0,0,ROW()-1,60),ROW()-1,FALSE))</f>
        <v>0.33019852599999999</v>
      </c>
      <c r="AO346">
        <f ca="1">IF(AND(ISNUMBER($AO$1011),$B$677=1),$AO$1011,HLOOKUP(INDIRECT(ADDRESS(2,COLUMN())),OFFSET($BN$2,0,0,ROW()-1,60),ROW()-1,FALSE))</f>
        <v>0.28752109399999998</v>
      </c>
      <c r="AP346">
        <f ca="1">IF(AND(ISNUMBER($AP$1011),$B$677=1),$AP$1011,HLOOKUP(INDIRECT(ADDRESS(2,COLUMN())),OFFSET($BN$2,0,0,ROW()-1,60),ROW()-1,FALSE))</f>
        <v>0.42448489099999998</v>
      </c>
      <c r="AQ346">
        <f ca="1">IF(AND(ISNUMBER($AQ$1011),$B$677=1),$AQ$1011,HLOOKUP(INDIRECT(ADDRESS(2,COLUMN())),OFFSET($BN$2,0,0,ROW()-1,60),ROW()-1,FALSE))</f>
        <v>0.349809017</v>
      </c>
      <c r="AR346">
        <f ca="1">IF(AND(ISNUMBER($AR$1011),$B$677=1),$AR$1011,HLOOKUP(INDIRECT(ADDRESS(2,COLUMN())),OFFSET($BN$2,0,0,ROW()-1,60),ROW()-1,FALSE))</f>
        <v>0.24799628200000001</v>
      </c>
      <c r="AS346">
        <f ca="1">IF(AND(ISNUMBER($AS$1011),$B$677=1),$AS$1011,HLOOKUP(INDIRECT(ADDRESS(2,COLUMN())),OFFSET($BN$2,0,0,ROW()-1,60),ROW()-1,FALSE))</f>
        <v>0.22710175799999999</v>
      </c>
      <c r="AT346">
        <f ca="1">IF(AND(ISNUMBER($AT$1011),$B$677=1),$AT$1011,HLOOKUP(INDIRECT(ADDRESS(2,COLUMN())),OFFSET($BN$2,0,0,ROW()-1,60),ROW()-1,FALSE))</f>
        <v>0.15215389000000001</v>
      </c>
      <c r="AU346">
        <f ca="1">IF(AND(ISNUMBER($AU$1011),$B$677=1),$AU$1011,HLOOKUP(INDIRECT(ADDRESS(2,COLUMN())),OFFSET($BN$2,0,0,ROW()-1,60),ROW()-1,FALSE))</f>
        <v>0.104997276</v>
      </c>
      <c r="AV346">
        <f ca="1">IF(AND(ISNUMBER($AV$1011),$B$677=1),$AV$1011,HLOOKUP(INDIRECT(ADDRESS(2,COLUMN())),OFFSET($BN$2,0,0,ROW()-1,60),ROW()-1,FALSE))</f>
        <v>0.111908751</v>
      </c>
      <c r="AW346">
        <f ca="1">IF(AND(ISNUMBER($AW$1011),$B$677=1),$AW$1011,HLOOKUP(INDIRECT(ADDRESS(2,COLUMN())),OFFSET($BN$2,0,0,ROW()-1,60),ROW()-1,FALSE))</f>
        <v>6.3200784999999995E-2</v>
      </c>
      <c r="AX346">
        <f ca="1">IF(AND(ISNUMBER($AX$1011),$B$677=1),$AX$1011,HLOOKUP(INDIRECT(ADDRESS(2,COLUMN())),OFFSET($BN$2,0,0,ROW()-1,60),ROW()-1,FALSE))</f>
        <v>5.4028531999999997E-2</v>
      </c>
      <c r="AY346">
        <f ca="1">IF(AND(ISNUMBER($AY$1011),$B$677=1),$AY$1011,HLOOKUP(INDIRECT(ADDRESS(2,COLUMN())),OFFSET($BN$2,0,0,ROW()-1,60),ROW()-1,FALSE))</f>
        <v>5.7140413000000001E-2</v>
      </c>
      <c r="AZ346">
        <f ca="1">IF(AND(ISNUMBER($AZ$1011),$B$677=1),$AZ$1011,HLOOKUP(INDIRECT(ADDRESS(2,COLUMN())),OFFSET($BN$2,0,0,ROW()-1,60),ROW()-1,FALSE))</f>
        <v>7.8441814999999998E-2</v>
      </c>
      <c r="BA346">
        <f ca="1">IF(AND(ISNUMBER($BA$1011),$B$677=1),$BA$1011,HLOOKUP(INDIRECT(ADDRESS(2,COLUMN())),OFFSET($BN$2,0,0,ROW()-1,60),ROW()-1,FALSE))</f>
        <v>8.4285826999999994E-2</v>
      </c>
      <c r="BB346">
        <f ca="1">IF(AND(ISNUMBER($BB$1011),$B$677=1),$BB$1011,HLOOKUP(INDIRECT(ADDRESS(2,COLUMN())),OFFSET($BN$2,0,0,ROW()-1,60),ROW()-1,FALSE))</f>
        <v>7.9812330000000001E-2</v>
      </c>
      <c r="BC346">
        <f ca="1">IF(AND(ISNUMBER($BC$1011),$B$677=1),$BC$1011,HLOOKUP(INDIRECT(ADDRESS(2,COLUMN())),OFFSET($BN$2,0,0,ROW()-1,60),ROW()-1,FALSE))</f>
        <v>7.9326205999999996E-2</v>
      </c>
      <c r="BD346">
        <f ca="1">IF(AND(ISNUMBER($BD$1011),$B$677=1),$BD$1011,HLOOKUP(INDIRECT(ADDRESS(2,COLUMN())),OFFSET($BN$2,0,0,ROW()-1,60),ROW()-1,FALSE))</f>
        <v>7.3668224000000004E-2</v>
      </c>
      <c r="BE346">
        <f ca="1">IF(AND(ISNUMBER($BE$1011),$B$677=1),$BE$1011,HLOOKUP(INDIRECT(ADDRESS(2,COLUMN())),OFFSET($BN$2,0,0,ROW()-1,60),ROW()-1,FALSE))</f>
        <v>4.9343340999999999E-2</v>
      </c>
      <c r="BF346">
        <f ca="1">IF(AND(ISNUMBER($BF$1011),$B$677=1),$BF$1011,HLOOKUP(INDIRECT(ADDRESS(2,COLUMN())),OFFSET($BN$2,0,0,ROW()-1,60),ROW()-1,FALSE))</f>
        <v>6.8301239E-2</v>
      </c>
      <c r="BG346">
        <f ca="1">IF(AND(ISNUMBER($BG$1011),$B$677=1),$BG$1011,HLOOKUP(INDIRECT(ADDRESS(2,COLUMN())),OFFSET($BN$2,0,0,ROW()-1,60),ROW()-1,FALSE))</f>
        <v>0.72125046100000001</v>
      </c>
      <c r="BH346">
        <f ca="1">IF(AND(ISNUMBER($BH$1011),$B$677=1),$BH$1011,HLOOKUP(INDIRECT(ADDRESS(2,COLUMN())),OFFSET($BN$2,0,0,ROW()-1,60),ROW()-1,FALSE))</f>
        <v>0.70743898199999999</v>
      </c>
      <c r="BI346">
        <f ca="1">IF(AND(ISNUMBER($BI$1011),$B$677=1),$BI$1011,HLOOKUP(INDIRECT(ADDRESS(2,COLUMN())),OFFSET($BN$2,0,0,ROW()-1,60),ROW()-1,FALSE))</f>
        <v>0.79968893100000005</v>
      </c>
      <c r="BJ346">
        <f ca="1">IF(AND(ISNUMBER($BJ$1011),$B$677=1),$BJ$1011,HLOOKUP(INDIRECT(ADDRESS(2,COLUMN())),OFFSET($BN$2,0,0,ROW()-1,60),ROW()-1,FALSE))</f>
        <v>0.86543190400000003</v>
      </c>
      <c r="BK346">
        <f ca="1">IF(AND(ISNUMBER($BK$1011),$B$677=1),$BK$1011,HLOOKUP(INDIRECT(ADDRESS(2,COLUMN())),OFFSET($BN$2,0,0,ROW()-1,60),ROW()-1,FALSE))</f>
        <v>0.92777184499999998</v>
      </c>
      <c r="BL346">
        <f ca="1">IF(AND(ISNUMBER($BL$1011),$B$677=1),$BL$1011,HLOOKUP(INDIRECT(ADDRESS(2,COLUMN())),OFFSET($BN$2,0,0,ROW()-1,60),ROW()-1,FALSE))</f>
        <v>0.93838892399999996</v>
      </c>
      <c r="BM346">
        <f ca="1">IF(AND(ISNUMBER($BM$1011),$B$677=1),$BM$1011,HLOOKUP(INDIRECT(ADDRESS(2,COLUMN())),OFFSET($BN$2,0,0,ROW()-1,60),ROW()-1,FALSE))</f>
        <v>0.96127188100000005</v>
      </c>
      <c r="BN346" t="str">
        <f>""</f>
        <v/>
      </c>
      <c r="BO346">
        <f>0.131478008</f>
        <v>0.13147800800000001</v>
      </c>
      <c r="BP346">
        <f>0.175032409</f>
        <v>0.175032409</v>
      </c>
      <c r="BQ346">
        <f>0.219014678</f>
        <v>0.21901467799999999</v>
      </c>
      <c r="BR346">
        <f>0.20372511</f>
        <v>0.20372510999999999</v>
      </c>
      <c r="BS346">
        <f>0.250013792</f>
        <v>0.25001379200000001</v>
      </c>
      <c r="BT346">
        <f>0.244701353</f>
        <v>0.24470135300000001</v>
      </c>
      <c r="BU346">
        <f>0.210389203</f>
        <v>0.210389203</v>
      </c>
      <c r="BV346">
        <f>0.226103066</f>
        <v>0.22610306599999999</v>
      </c>
      <c r="BW346">
        <f>0.242149043</f>
        <v>0.24214904300000001</v>
      </c>
      <c r="BX346">
        <f>0.240622278</f>
        <v>0.240622278</v>
      </c>
      <c r="BY346">
        <f>0.23080398</f>
        <v>0.23080397999999999</v>
      </c>
      <c r="BZ346">
        <f>0.261900654</f>
        <v>0.26190065400000001</v>
      </c>
      <c r="CA346">
        <f>0.302969027</f>
        <v>0.302969027</v>
      </c>
      <c r="CB346">
        <f>0.290619805</f>
        <v>0.29061980500000001</v>
      </c>
      <c r="CC346">
        <f>0.351456103</f>
        <v>0.35145610300000002</v>
      </c>
      <c r="CD346">
        <f>0.395516215</f>
        <v>0.395516215</v>
      </c>
      <c r="CE346">
        <f>0.361675342</f>
        <v>0.36167534200000001</v>
      </c>
      <c r="CF346">
        <f>0.32514791</f>
        <v>0.32514790999999998</v>
      </c>
      <c r="CG346">
        <f>0.373503868</f>
        <v>0.37350386800000002</v>
      </c>
      <c r="CH346">
        <f>0.350136127</f>
        <v>0.35013612700000002</v>
      </c>
      <c r="CI346">
        <f>0.35160791</f>
        <v>0.35160791000000002</v>
      </c>
      <c r="CJ346">
        <f>0.377284265</f>
        <v>0.37728426500000001</v>
      </c>
      <c r="CK346">
        <f>0.349472782</f>
        <v>0.34947278199999998</v>
      </c>
      <c r="CL346">
        <f>0.31333299</f>
        <v>0.31333298999999998</v>
      </c>
      <c r="CM346">
        <f>0.296296822</f>
        <v>0.29629682200000002</v>
      </c>
      <c r="CN346">
        <f>0.198051776</f>
        <v>0.19805177600000001</v>
      </c>
      <c r="CO346">
        <f>0.18858283</f>
        <v>0.18858283000000001</v>
      </c>
      <c r="CP346">
        <f>0.273779893</f>
        <v>0.273779893</v>
      </c>
      <c r="CQ346">
        <f>0.223708723</f>
        <v>0.223708723</v>
      </c>
      <c r="CR346">
        <f>0.202675065</f>
        <v>0.20267506499999999</v>
      </c>
      <c r="CS346">
        <f>0.327641898</f>
        <v>0.32764189799999999</v>
      </c>
      <c r="CT346">
        <f>0.39123492</f>
        <v>0.39123491999999999</v>
      </c>
      <c r="CU346">
        <f>0.4717164</f>
        <v>0.47171639999999998</v>
      </c>
      <c r="CV346">
        <f>0.330198526</f>
        <v>0.33019852599999999</v>
      </c>
      <c r="CW346">
        <f>0.287521094</f>
        <v>0.28752109399999998</v>
      </c>
      <c r="CX346">
        <f>0.424484891</f>
        <v>0.42448489099999998</v>
      </c>
      <c r="CY346">
        <f>0.349809017</f>
        <v>0.349809017</v>
      </c>
      <c r="CZ346">
        <f>0.247996282</f>
        <v>0.24799628200000001</v>
      </c>
      <c r="DA346">
        <f>0.227101758</f>
        <v>0.22710175799999999</v>
      </c>
      <c r="DB346">
        <f>0.15215389</f>
        <v>0.15215389000000001</v>
      </c>
      <c r="DC346">
        <f>0.104997276</f>
        <v>0.104997276</v>
      </c>
      <c r="DD346">
        <f>0.111908751</f>
        <v>0.111908751</v>
      </c>
      <c r="DE346">
        <f>0.063200785</f>
        <v>6.3200784999999995E-2</v>
      </c>
      <c r="DF346">
        <f>0.054028532</f>
        <v>5.4028531999999997E-2</v>
      </c>
      <c r="DG346">
        <f>0.057140413</f>
        <v>5.7140413000000001E-2</v>
      </c>
      <c r="DH346">
        <f>0.078441815</f>
        <v>7.8441814999999998E-2</v>
      </c>
      <c r="DI346">
        <f>0.084285827</f>
        <v>8.4285826999999994E-2</v>
      </c>
      <c r="DJ346">
        <f>0.07981233</f>
        <v>7.9812330000000001E-2</v>
      </c>
      <c r="DK346">
        <f>0.079326206</f>
        <v>7.9326205999999996E-2</v>
      </c>
      <c r="DL346">
        <f>0.073668224</f>
        <v>7.3668224000000004E-2</v>
      </c>
      <c r="DM346">
        <f>0.049343341</f>
        <v>4.9343340999999999E-2</v>
      </c>
      <c r="DN346">
        <f>0.068301239</f>
        <v>6.8301239E-2</v>
      </c>
      <c r="DO346">
        <f>0.721250461</f>
        <v>0.72125046100000001</v>
      </c>
      <c r="DP346">
        <f>0.707438982</f>
        <v>0.70743898199999999</v>
      </c>
      <c r="DQ346">
        <f>0.799688931</f>
        <v>0.79968893100000005</v>
      </c>
      <c r="DR346">
        <f>0.865431904</f>
        <v>0.86543190400000003</v>
      </c>
      <c r="DS346">
        <f>0.927771845</f>
        <v>0.92777184499999998</v>
      </c>
      <c r="DT346">
        <f>0.938388924</f>
        <v>0.93838892399999996</v>
      </c>
      <c r="DU346">
        <f>0.961271881</f>
        <v>0.96127188100000005</v>
      </c>
    </row>
    <row r="347" spans="1:125" x14ac:dyDescent="0.25">
      <c r="A347" t="str">
        <f>"    Ford Otomotiv Sanayi AS"</f>
        <v xml:space="preserve">    Ford Otomotiv Sanayi AS</v>
      </c>
      <c r="B347" t="str">
        <f>"FROTOTRY EO Equity"</f>
        <v>FROTOTRY EO Equity</v>
      </c>
      <c r="C347" t="str">
        <f t="shared" si="24"/>
        <v>RR473</v>
      </c>
      <c r="D347" t="str">
        <f t="shared" si="25"/>
        <v>EV_TO_T12M_SALES</v>
      </c>
      <c r="E347" t="str">
        <f t="shared" si="26"/>
        <v>Dynamic</v>
      </c>
      <c r="F347" t="str">
        <f ca="1">IF(AND(ISNUMBER($F$1012),$B$677=1),$F$1012,HLOOKUP(INDIRECT(ADDRESS(2,COLUMN())),OFFSET($BN$2,0,0,ROW()-1,60),ROW()-1,FALSE))</f>
        <v/>
      </c>
      <c r="G347">
        <f ca="1">IF(AND(ISNUMBER($G$1012),$B$677=1),$G$1012,HLOOKUP(INDIRECT(ADDRESS(2,COLUMN())),OFFSET($BN$2,0,0,ROW()-1,60),ROW()-1,FALSE))</f>
        <v>0.61983438999999996</v>
      </c>
      <c r="H347">
        <f ca="1">IF(AND(ISNUMBER($H$1012),$B$677=1),$H$1012,HLOOKUP(INDIRECT(ADDRESS(2,COLUMN())),OFFSET($BN$2,0,0,ROW()-1,60),ROW()-1,FALSE))</f>
        <v>0.86043093699999995</v>
      </c>
      <c r="I347">
        <f ca="1">IF(AND(ISNUMBER($I$1012),$B$677=1),$I$1012,HLOOKUP(INDIRECT(ADDRESS(2,COLUMN())),OFFSET($BN$2,0,0,ROW()-1,60),ROW()-1,FALSE))</f>
        <v>0.83204966300000005</v>
      </c>
      <c r="J347">
        <f ca="1">IF(AND(ISNUMBER($J$1012),$B$677=1),$J$1012,HLOOKUP(INDIRECT(ADDRESS(2,COLUMN())),OFFSET($BN$2,0,0,ROW()-1,60),ROW()-1,FALSE))</f>
        <v>0.87728407100000005</v>
      </c>
      <c r="K347">
        <f ca="1">IF(AND(ISNUMBER($K$1012),$B$677=1),$K$1012,HLOOKUP(INDIRECT(ADDRESS(2,COLUMN())),OFFSET($BN$2,0,0,ROW()-1,60),ROW()-1,FALSE))</f>
        <v>0.90525895499999998</v>
      </c>
      <c r="L347">
        <f ca="1">IF(AND(ISNUMBER($L$1012),$B$677=1),$L$1012,HLOOKUP(INDIRECT(ADDRESS(2,COLUMN())),OFFSET($BN$2,0,0,ROW()-1,60),ROW()-1,FALSE))</f>
        <v>0.79137033899999998</v>
      </c>
      <c r="M347">
        <f ca="1">IF(AND(ISNUMBER($M$1012),$B$677=1),$M$1012,HLOOKUP(INDIRECT(ADDRESS(2,COLUMN())),OFFSET($BN$2,0,0,ROW()-1,60),ROW()-1,FALSE))</f>
        <v>0.80002658199999999</v>
      </c>
      <c r="N347">
        <f ca="1">IF(AND(ISNUMBER($N$1012),$B$677=1),$N$1012,HLOOKUP(INDIRECT(ADDRESS(2,COLUMN())),OFFSET($BN$2,0,0,ROW()-1,60),ROW()-1,FALSE))</f>
        <v>0.72819906199999995</v>
      </c>
      <c r="O347">
        <f ca="1">IF(AND(ISNUMBER($O$1012),$B$677=1),$O$1012,HLOOKUP(INDIRECT(ADDRESS(2,COLUMN())),OFFSET($BN$2,0,0,ROW()-1,60),ROW()-1,FALSE))</f>
        <v>0.67766700599999996</v>
      </c>
      <c r="P347">
        <f ca="1">IF(AND(ISNUMBER($P$1012),$B$677=1),$P$1012,HLOOKUP(INDIRECT(ADDRESS(2,COLUMN())),OFFSET($BN$2,0,0,ROW()-1,60),ROW()-1,FALSE))</f>
        <v>0.74629992199999995</v>
      </c>
      <c r="Q347">
        <f ca="1">IF(AND(ISNUMBER($Q$1012),$B$677=1),$Q$1012,HLOOKUP(INDIRECT(ADDRESS(2,COLUMN())),OFFSET($BN$2,0,0,ROW()-1,60),ROW()-1,FALSE))</f>
        <v>0.71133814200000001</v>
      </c>
      <c r="R347">
        <f ca="1">IF(AND(ISNUMBER($R$1012),$B$677=1),$R$1012,HLOOKUP(INDIRECT(ADDRESS(2,COLUMN())),OFFSET($BN$2,0,0,ROW()-1,60),ROW()-1,FALSE))</f>
        <v>0.85674445600000004</v>
      </c>
      <c r="S347">
        <f ca="1">IF(AND(ISNUMBER($S$1012),$B$677=1),$S$1012,HLOOKUP(INDIRECT(ADDRESS(2,COLUMN())),OFFSET($BN$2,0,0,ROW()-1,60),ROW()-1,FALSE))</f>
        <v>0.728870778</v>
      </c>
      <c r="T347">
        <f ca="1">IF(AND(ISNUMBER($T$1012),$B$677=1),$T$1012,HLOOKUP(INDIRECT(ADDRESS(2,COLUMN())),OFFSET($BN$2,0,0,ROW()-1,60),ROW()-1,FALSE))</f>
        <v>0.870512972</v>
      </c>
      <c r="U347">
        <f ca="1">IF(AND(ISNUMBER($U$1012),$B$677=1),$U$1012,HLOOKUP(INDIRECT(ADDRESS(2,COLUMN())),OFFSET($BN$2,0,0,ROW()-1,60),ROW()-1,FALSE))</f>
        <v>1.0550179749999999</v>
      </c>
      <c r="V347">
        <f ca="1">IF(AND(ISNUMBER($V$1012),$B$677=1),$V$1012,HLOOKUP(INDIRECT(ADDRESS(2,COLUMN())),OFFSET($BN$2,0,0,ROW()-1,60),ROW()-1,FALSE))</f>
        <v>1.0273952289999999</v>
      </c>
      <c r="W347">
        <f ca="1">IF(AND(ISNUMBER($W$1012),$B$677=1),$W$1012,HLOOKUP(INDIRECT(ADDRESS(2,COLUMN())),OFFSET($BN$2,0,0,ROW()-1,60),ROW()-1,FALSE))</f>
        <v>1.106484757</v>
      </c>
      <c r="X347">
        <f ca="1">IF(AND(ISNUMBER($X$1012),$B$677=1),$X$1012,HLOOKUP(INDIRECT(ADDRESS(2,COLUMN())),OFFSET($BN$2,0,0,ROW()-1,60),ROW()-1,FALSE))</f>
        <v>0.99018255700000002</v>
      </c>
      <c r="Y347">
        <f ca="1">IF(AND(ISNUMBER($Y$1012),$B$677=1),$Y$1012,HLOOKUP(INDIRECT(ADDRESS(2,COLUMN())),OFFSET($BN$2,0,0,ROW()-1,60),ROW()-1,FALSE))</f>
        <v>1.0048950210000001</v>
      </c>
      <c r="Z347">
        <f ca="1">IF(AND(ISNUMBER($Z$1012),$B$677=1),$Z$1012,HLOOKUP(INDIRECT(ADDRESS(2,COLUMN())),OFFSET($BN$2,0,0,ROW()-1,60),ROW()-1,FALSE))</f>
        <v>0.89830140000000003</v>
      </c>
      <c r="AA347">
        <f ca="1">IF(AND(ISNUMBER($AA$1012),$B$677=1),$AA$1012,HLOOKUP(INDIRECT(ADDRESS(2,COLUMN())),OFFSET($BN$2,0,0,ROW()-1,60),ROW()-1,FALSE))</f>
        <v>0.87778063399999995</v>
      </c>
      <c r="AB347">
        <f ca="1">IF(AND(ISNUMBER($AB$1012),$B$677=1),$AB$1012,HLOOKUP(INDIRECT(ADDRESS(2,COLUMN())),OFFSET($BN$2,0,0,ROW()-1,60),ROW()-1,FALSE))</f>
        <v>1.0375673750000001</v>
      </c>
      <c r="AC347">
        <f ca="1">IF(AND(ISNUMBER($AC$1012),$B$677=1),$AC$1012,HLOOKUP(INDIRECT(ADDRESS(2,COLUMN())),OFFSET($BN$2,0,0,ROW()-1,60),ROW()-1,FALSE))</f>
        <v>1.028109318</v>
      </c>
      <c r="AD347">
        <f ca="1">IF(AND(ISNUMBER($AD$1012),$B$677=1),$AD$1012,HLOOKUP(INDIRECT(ADDRESS(2,COLUMN())),OFFSET($BN$2,0,0,ROW()-1,60),ROW()-1,FALSE))</f>
        <v>1.010765175</v>
      </c>
      <c r="AE347">
        <f ca="1">IF(AND(ISNUMBER($AE$1012),$B$677=1),$AE$1012,HLOOKUP(INDIRECT(ADDRESS(2,COLUMN())),OFFSET($BN$2,0,0,ROW()-1,60),ROW()-1,FALSE))</f>
        <v>0.866867685</v>
      </c>
      <c r="AF347">
        <f ca="1">IF(AND(ISNUMBER($AF$1012),$B$677=1),$AF$1012,HLOOKUP(INDIRECT(ADDRESS(2,COLUMN())),OFFSET($BN$2,0,0,ROW()-1,60),ROW()-1,FALSE))</f>
        <v>0.71464709500000001</v>
      </c>
      <c r="AG347">
        <f ca="1">IF(AND(ISNUMBER($AG$1012),$B$677=1),$AG$1012,HLOOKUP(INDIRECT(ADDRESS(2,COLUMN())),OFFSET($BN$2,0,0,ROW()-1,60),ROW()-1,FALSE))</f>
        <v>0.58450956600000004</v>
      </c>
      <c r="AH347">
        <f ca="1">IF(AND(ISNUMBER($AH$1012),$B$677=1),$AH$1012,HLOOKUP(INDIRECT(ADDRESS(2,COLUMN())),OFFSET($BN$2,0,0,ROW()-1,60),ROW()-1,FALSE))</f>
        <v>0.557083263</v>
      </c>
      <c r="AI347">
        <f ca="1">IF(AND(ISNUMBER($AI$1012),$B$677=1),$AI$1012,HLOOKUP(INDIRECT(ADDRESS(2,COLUMN())),OFFSET($BN$2,0,0,ROW()-1,60),ROW()-1,FALSE))</f>
        <v>0.52053154300000004</v>
      </c>
      <c r="AJ347">
        <f ca="1">IF(AND(ISNUMBER($AJ$1012),$B$677=1),$AJ$1012,HLOOKUP(INDIRECT(ADDRESS(2,COLUMN())),OFFSET($BN$2,0,0,ROW()-1,60),ROW()-1,FALSE))</f>
        <v>0.44828111199999998</v>
      </c>
      <c r="AK347">
        <f ca="1">IF(AND(ISNUMBER($AK$1012),$B$677=1),$AK$1012,HLOOKUP(INDIRECT(ADDRESS(2,COLUMN())),OFFSET($BN$2,0,0,ROW()-1,60),ROW()-1,FALSE))</f>
        <v>0.51126245400000003</v>
      </c>
      <c r="AL347">
        <f ca="1">IF(AND(ISNUMBER($AL$1012),$B$677=1),$AL$1012,HLOOKUP(INDIRECT(ADDRESS(2,COLUMN())),OFFSET($BN$2,0,0,ROW()-1,60),ROW()-1,FALSE))</f>
        <v>0.57441713599999999</v>
      </c>
      <c r="AM347">
        <f ca="1">IF(AND(ISNUMBER($AM$1012),$B$677=1),$AM$1012,HLOOKUP(INDIRECT(ADDRESS(2,COLUMN())),OFFSET($BN$2,0,0,ROW()-1,60),ROW()-1,FALSE))</f>
        <v>0.599636905</v>
      </c>
      <c r="AN347">
        <f ca="1">IF(AND(ISNUMBER($AN$1012),$B$677=1),$AN$1012,HLOOKUP(INDIRECT(ADDRESS(2,COLUMN())),OFFSET($BN$2,0,0,ROW()-1,60),ROW()-1,FALSE))</f>
        <v>0.61346990999999995</v>
      </c>
      <c r="AO347">
        <f ca="1">IF(AND(ISNUMBER($AO$1012),$B$677=1),$AO$1012,HLOOKUP(INDIRECT(ADDRESS(2,COLUMN())),OFFSET($BN$2,0,0,ROW()-1,60),ROW()-1,FALSE))</f>
        <v>0.54446262000000001</v>
      </c>
      <c r="AP347">
        <f ca="1">IF(AND(ISNUMBER($AP$1012),$B$677=1),$AP$1012,HLOOKUP(INDIRECT(ADDRESS(2,COLUMN())),OFFSET($BN$2,0,0,ROW()-1,60),ROW()-1,FALSE))</f>
        <v>0.60964139799999995</v>
      </c>
      <c r="AQ347">
        <f ca="1">IF(AND(ISNUMBER($AQ$1012),$B$677=1),$AQ$1012,HLOOKUP(INDIRECT(ADDRESS(2,COLUMN())),OFFSET($BN$2,0,0,ROW()-1,60),ROW()-1,FALSE))</f>
        <v>0.57254266200000004</v>
      </c>
      <c r="AR347">
        <f ca="1">IF(AND(ISNUMBER($AR$1012),$B$677=1),$AR$1012,HLOOKUP(INDIRECT(ADDRESS(2,COLUMN())),OFFSET($BN$2,0,0,ROW()-1,60),ROW()-1,FALSE))</f>
        <v>0.63560673000000001</v>
      </c>
      <c r="AS347">
        <f ca="1">IF(AND(ISNUMBER($AS$1012),$B$677=1),$AS$1012,HLOOKUP(INDIRECT(ADDRESS(2,COLUMN())),OFFSET($BN$2,0,0,ROW()-1,60),ROW()-1,FALSE))</f>
        <v>0.38421818600000002</v>
      </c>
      <c r="AT347">
        <f ca="1">IF(AND(ISNUMBER($AT$1012),$B$677=1),$AT$1012,HLOOKUP(INDIRECT(ADDRESS(2,COLUMN())),OFFSET($BN$2,0,0,ROW()-1,60),ROW()-1,FALSE))</f>
        <v>0.24696342800000001</v>
      </c>
      <c r="AU347">
        <f ca="1">IF(AND(ISNUMBER($AU$1012),$B$677=1),$AU$1012,HLOOKUP(INDIRECT(ADDRESS(2,COLUMN())),OFFSET($BN$2,0,0,ROW()-1,60),ROW()-1,FALSE))</f>
        <v>0.235137454</v>
      </c>
      <c r="AV347">
        <f ca="1">IF(AND(ISNUMBER($AV$1012),$B$677=1),$AV$1012,HLOOKUP(INDIRECT(ADDRESS(2,COLUMN())),OFFSET($BN$2,0,0,ROW()-1,60),ROW()-1,FALSE))</f>
        <v>0.27712790399999998</v>
      </c>
      <c r="AW347">
        <f ca="1">IF(AND(ISNUMBER($AW$1012),$B$677=1),$AW$1012,HLOOKUP(INDIRECT(ADDRESS(2,COLUMN())),OFFSET($BN$2,0,0,ROW()-1,60),ROW()-1,FALSE))</f>
        <v>0.41005722900000002</v>
      </c>
      <c r="AX347">
        <f ca="1">IF(AND(ISNUMBER($AX$1012),$B$677=1),$AX$1012,HLOOKUP(INDIRECT(ADDRESS(2,COLUMN())),OFFSET($BN$2,0,0,ROW()-1,60),ROW()-1,FALSE))</f>
        <v>0.46812263199999998</v>
      </c>
      <c r="AY347">
        <f ca="1">IF(AND(ISNUMBER($AY$1012),$B$677=1),$AY$1012,HLOOKUP(INDIRECT(ADDRESS(2,COLUMN())),OFFSET($BN$2,0,0,ROW()-1,60),ROW()-1,FALSE))</f>
        <v>0.59495524099999997</v>
      </c>
      <c r="AZ347">
        <f ca="1">IF(AND(ISNUMBER($AZ$1012),$B$677=1),$AZ$1012,HLOOKUP(INDIRECT(ADDRESS(2,COLUMN())),OFFSET($BN$2,0,0,ROW()-1,60),ROW()-1,FALSE))</f>
        <v>0.65848563199999999</v>
      </c>
      <c r="BA347">
        <f ca="1">IF(AND(ISNUMBER($BA$1012),$B$677=1),$BA$1012,HLOOKUP(INDIRECT(ADDRESS(2,COLUMN())),OFFSET($BN$2,0,0,ROW()-1,60),ROW()-1,FALSE))</f>
        <v>0.68376409800000004</v>
      </c>
      <c r="BB347">
        <f ca="1">IF(AND(ISNUMBER($BB$1012),$B$677=1),$BB$1012,HLOOKUP(INDIRECT(ADDRESS(2,COLUMN())),OFFSET($BN$2,0,0,ROW()-1,60),ROW()-1,FALSE))</f>
        <v>0.67136475399999995</v>
      </c>
      <c r="BC347">
        <f ca="1">IF(AND(ISNUMBER($BC$1012),$B$677=1),$BC$1012,HLOOKUP(INDIRECT(ADDRESS(2,COLUMN())),OFFSET($BN$2,0,0,ROW()-1,60),ROW()-1,FALSE))</f>
        <v>0.65021753299999996</v>
      </c>
      <c r="BD347">
        <f ca="1">IF(AND(ISNUMBER($BD$1012),$B$677=1),$BD$1012,HLOOKUP(INDIRECT(ADDRESS(2,COLUMN())),OFFSET($BN$2,0,0,ROW()-1,60),ROW()-1,FALSE))</f>
        <v>0.60116070700000002</v>
      </c>
      <c r="BE347">
        <f ca="1">IF(AND(ISNUMBER($BE$1012),$B$677=1),$BE$1012,HLOOKUP(INDIRECT(ADDRESS(2,COLUMN())),OFFSET($BN$2,0,0,ROW()-1,60),ROW()-1,FALSE))</f>
        <v>0.60600065299999994</v>
      </c>
      <c r="BF347">
        <f ca="1">IF(AND(ISNUMBER($BF$1012),$B$677=1),$BF$1012,HLOOKUP(INDIRECT(ADDRESS(2,COLUMN())),OFFSET($BN$2,0,0,ROW()-1,60),ROW()-1,FALSE))</f>
        <v>0.69565954200000002</v>
      </c>
      <c r="BG347">
        <f ca="1">IF(AND(ISNUMBER($BG$1012),$B$677=1),$BG$1012,HLOOKUP(INDIRECT(ADDRESS(2,COLUMN())),OFFSET($BN$2,0,0,ROW()-1,60),ROW()-1,FALSE))</f>
        <v>0.69956578800000002</v>
      </c>
      <c r="BH347">
        <f ca="1">IF(AND(ISNUMBER($BH$1012),$B$677=1),$BH$1012,HLOOKUP(INDIRECT(ADDRESS(2,COLUMN())),OFFSET($BN$2,0,0,ROW()-1,60),ROW()-1,FALSE))</f>
        <v>0.55609650099999997</v>
      </c>
      <c r="BI347">
        <f ca="1">IF(AND(ISNUMBER($BI$1012),$B$677=1),$BI$1012,HLOOKUP(INDIRECT(ADDRESS(2,COLUMN())),OFFSET($BN$2,0,0,ROW()-1,60),ROW()-1,FALSE))</f>
        <v>0.52723146899999995</v>
      </c>
      <c r="BJ347">
        <f ca="1">IF(AND(ISNUMBER($BJ$1012),$B$677=1),$BJ$1012,HLOOKUP(INDIRECT(ADDRESS(2,COLUMN())),OFFSET($BN$2,0,0,ROW()-1,60),ROW()-1,FALSE))</f>
        <v>0.55171070499999997</v>
      </c>
      <c r="BK347">
        <f ca="1">IF(AND(ISNUMBER($BK$1012),$B$677=1),$BK$1012,HLOOKUP(INDIRECT(ADDRESS(2,COLUMN())),OFFSET($BN$2,0,0,ROW()-1,60),ROW()-1,FALSE))</f>
        <v>0.57099867199999998</v>
      </c>
      <c r="BL347">
        <f ca="1">IF(AND(ISNUMBER($BL$1012),$B$677=1),$BL$1012,HLOOKUP(INDIRECT(ADDRESS(2,COLUMN())),OFFSET($BN$2,0,0,ROW()-1,60),ROW()-1,FALSE))</f>
        <v>0.71079827500000003</v>
      </c>
      <c r="BM347">
        <f ca="1">IF(AND(ISNUMBER($BM$1012),$B$677=1),$BM$1012,HLOOKUP(INDIRECT(ADDRESS(2,COLUMN())),OFFSET($BN$2,0,0,ROW()-1,60),ROW()-1,FALSE))</f>
        <v>0.76523252799999997</v>
      </c>
      <c r="BN347" t="str">
        <f>""</f>
        <v/>
      </c>
      <c r="BO347">
        <f>0.61983439</f>
        <v>0.61983438999999996</v>
      </c>
      <c r="BP347">
        <f>0.860430937</f>
        <v>0.86043093699999995</v>
      </c>
      <c r="BQ347">
        <f>0.832049663</f>
        <v>0.83204966300000005</v>
      </c>
      <c r="BR347">
        <f>0.877284071</f>
        <v>0.87728407100000005</v>
      </c>
      <c r="BS347">
        <f>0.905258955</f>
        <v>0.90525895499999998</v>
      </c>
      <c r="BT347">
        <f>0.791370339</f>
        <v>0.79137033899999998</v>
      </c>
      <c r="BU347">
        <f>0.800026582</f>
        <v>0.80002658199999999</v>
      </c>
      <c r="BV347">
        <f>0.728199062</f>
        <v>0.72819906199999995</v>
      </c>
      <c r="BW347">
        <f>0.677667006</f>
        <v>0.67766700599999996</v>
      </c>
      <c r="BX347">
        <f>0.746299922</f>
        <v>0.74629992199999995</v>
      </c>
      <c r="BY347">
        <f>0.711338142</f>
        <v>0.71133814200000001</v>
      </c>
      <c r="BZ347">
        <f>0.856744456</f>
        <v>0.85674445600000004</v>
      </c>
      <c r="CA347">
        <f>0.728870778</f>
        <v>0.728870778</v>
      </c>
      <c r="CB347">
        <f>0.870512972</f>
        <v>0.870512972</v>
      </c>
      <c r="CC347">
        <f>1.055017975</f>
        <v>1.0550179749999999</v>
      </c>
      <c r="CD347">
        <f>1.027395229</f>
        <v>1.0273952289999999</v>
      </c>
      <c r="CE347">
        <f>1.106484757</f>
        <v>1.106484757</v>
      </c>
      <c r="CF347">
        <f>0.990182557</f>
        <v>0.99018255700000002</v>
      </c>
      <c r="CG347">
        <f>1.004895021</f>
        <v>1.0048950210000001</v>
      </c>
      <c r="CH347">
        <f>0.8983014</f>
        <v>0.89830140000000003</v>
      </c>
      <c r="CI347">
        <f>0.877780634</f>
        <v>0.87778063399999995</v>
      </c>
      <c r="CJ347">
        <f>1.037567375</f>
        <v>1.0375673750000001</v>
      </c>
      <c r="CK347">
        <f>1.028109318</f>
        <v>1.028109318</v>
      </c>
      <c r="CL347">
        <f>1.010765175</f>
        <v>1.010765175</v>
      </c>
      <c r="CM347">
        <f>0.866867685</f>
        <v>0.866867685</v>
      </c>
      <c r="CN347">
        <f>0.714647095</f>
        <v>0.71464709500000001</v>
      </c>
      <c r="CO347">
        <f>0.584509566</f>
        <v>0.58450956600000004</v>
      </c>
      <c r="CP347">
        <f>0.557083263</f>
        <v>0.557083263</v>
      </c>
      <c r="CQ347">
        <f>0.520531543</f>
        <v>0.52053154300000004</v>
      </c>
      <c r="CR347">
        <f>0.448281112</f>
        <v>0.44828111199999998</v>
      </c>
      <c r="CS347">
        <f>0.511262454</f>
        <v>0.51126245400000003</v>
      </c>
      <c r="CT347">
        <f>0.574417136</f>
        <v>0.57441713599999999</v>
      </c>
      <c r="CU347">
        <f>0.599636905</f>
        <v>0.599636905</v>
      </c>
      <c r="CV347">
        <f>0.61346991</f>
        <v>0.61346990999999995</v>
      </c>
      <c r="CW347">
        <f>0.54446262</f>
        <v>0.54446262000000001</v>
      </c>
      <c r="CX347">
        <f>0.609641398</f>
        <v>0.60964139799999995</v>
      </c>
      <c r="CY347">
        <f>0.572542662</f>
        <v>0.57254266200000004</v>
      </c>
      <c r="CZ347">
        <f>0.63560673</f>
        <v>0.63560673000000001</v>
      </c>
      <c r="DA347">
        <f>0.384218186</f>
        <v>0.38421818600000002</v>
      </c>
      <c r="DB347">
        <f>0.246963428</f>
        <v>0.24696342800000001</v>
      </c>
      <c r="DC347">
        <f>0.235137454</f>
        <v>0.235137454</v>
      </c>
      <c r="DD347">
        <f>0.277127904</f>
        <v>0.27712790399999998</v>
      </c>
      <c r="DE347">
        <f>0.410057229</f>
        <v>0.41005722900000002</v>
      </c>
      <c r="DF347">
        <f>0.468122632</f>
        <v>0.46812263199999998</v>
      </c>
      <c r="DG347">
        <f>0.594955241</f>
        <v>0.59495524099999997</v>
      </c>
      <c r="DH347">
        <f>0.658485632</f>
        <v>0.65848563199999999</v>
      </c>
      <c r="DI347">
        <f>0.683764098</f>
        <v>0.68376409800000004</v>
      </c>
      <c r="DJ347">
        <f>0.671364754</f>
        <v>0.67136475399999995</v>
      </c>
      <c r="DK347">
        <f>0.650217533</f>
        <v>0.65021753299999996</v>
      </c>
      <c r="DL347">
        <f>0.601160707</f>
        <v>0.60116070700000002</v>
      </c>
      <c r="DM347">
        <f>0.606000653</f>
        <v>0.60600065299999994</v>
      </c>
      <c r="DN347">
        <f>0.695659542</f>
        <v>0.69565954200000002</v>
      </c>
      <c r="DO347">
        <f>0.699565788</f>
        <v>0.69956578800000002</v>
      </c>
      <c r="DP347">
        <f>0.556096501</f>
        <v>0.55609650099999997</v>
      </c>
      <c r="DQ347">
        <f>0.527231469</f>
        <v>0.52723146899999995</v>
      </c>
      <c r="DR347">
        <f>0.551710705</f>
        <v>0.55171070499999997</v>
      </c>
      <c r="DS347">
        <f>0.570998672</f>
        <v>0.57099867199999998</v>
      </c>
      <c r="DT347">
        <f>0.710798275</f>
        <v>0.71079827500000003</v>
      </c>
      <c r="DU347">
        <f>0.765232528</f>
        <v>0.76523252799999997</v>
      </c>
    </row>
    <row r="348" spans="1:125" x14ac:dyDescent="0.25">
      <c r="A348" t="str">
        <f>"    GAZ PJSC"</f>
        <v xml:space="preserve">    GAZ PJSC</v>
      </c>
      <c r="B348" t="str">
        <f>"GAZA RM Equity"</f>
        <v>GAZA RM Equity</v>
      </c>
      <c r="C348" t="str">
        <f t="shared" si="24"/>
        <v>RR473</v>
      </c>
      <c r="D348" t="str">
        <f t="shared" si="25"/>
        <v>EV_TO_T12M_SALES</v>
      </c>
      <c r="E348" t="str">
        <f t="shared" si="26"/>
        <v>Dynamic</v>
      </c>
      <c r="F348" t="str">
        <f ca="1">IF(AND(ISNUMBER($F$1013),$B$677=1),$F$1013,HLOOKUP(INDIRECT(ADDRESS(2,COLUMN())),OFFSET($BN$2,0,0,ROW()-1,60),ROW()-1,FALSE))</f>
        <v/>
      </c>
      <c r="G348" t="str">
        <f ca="1">IF(AND(ISNUMBER($G$1013),$B$677=1),$G$1013,HLOOKUP(INDIRECT(ADDRESS(2,COLUMN())),OFFSET($BN$2,0,0,ROW()-1,60),ROW()-1,FALSE))</f>
        <v/>
      </c>
      <c r="H348" t="str">
        <f ca="1">IF(AND(ISNUMBER($H$1013),$B$677=1),$H$1013,HLOOKUP(INDIRECT(ADDRESS(2,COLUMN())),OFFSET($BN$2,0,0,ROW()-1,60),ROW()-1,FALSE))</f>
        <v/>
      </c>
      <c r="I348" t="str">
        <f ca="1">IF(AND(ISNUMBER($I$1013),$B$677=1),$I$1013,HLOOKUP(INDIRECT(ADDRESS(2,COLUMN())),OFFSET($BN$2,0,0,ROW()-1,60),ROW()-1,FALSE))</f>
        <v/>
      </c>
      <c r="J348" t="str">
        <f ca="1">IF(AND(ISNUMBER($J$1013),$B$677=1),$J$1013,HLOOKUP(INDIRECT(ADDRESS(2,COLUMN())),OFFSET($BN$2,0,0,ROW()-1,60),ROW()-1,FALSE))</f>
        <v/>
      </c>
      <c r="K348" t="str">
        <f ca="1">IF(AND(ISNUMBER($K$1013),$B$677=1),$K$1013,HLOOKUP(INDIRECT(ADDRESS(2,COLUMN())),OFFSET($BN$2,0,0,ROW()-1,60),ROW()-1,FALSE))</f>
        <v/>
      </c>
      <c r="L348" t="str">
        <f ca="1">IF(AND(ISNUMBER($L$1013),$B$677=1),$L$1013,HLOOKUP(INDIRECT(ADDRESS(2,COLUMN())),OFFSET($BN$2,0,0,ROW()-1,60),ROW()-1,FALSE))</f>
        <v/>
      </c>
      <c r="M348" t="str">
        <f ca="1">IF(AND(ISNUMBER($M$1013),$B$677=1),$M$1013,HLOOKUP(INDIRECT(ADDRESS(2,COLUMN())),OFFSET($BN$2,0,0,ROW()-1,60),ROW()-1,FALSE))</f>
        <v/>
      </c>
      <c r="N348" t="str">
        <f ca="1">IF(AND(ISNUMBER($N$1013),$B$677=1),$N$1013,HLOOKUP(INDIRECT(ADDRESS(2,COLUMN())),OFFSET($BN$2,0,0,ROW()-1,60),ROW()-1,FALSE))</f>
        <v/>
      </c>
      <c r="O348" t="str">
        <f ca="1">IF(AND(ISNUMBER($O$1013),$B$677=1),$O$1013,HLOOKUP(INDIRECT(ADDRESS(2,COLUMN())),OFFSET($BN$2,0,0,ROW()-1,60),ROW()-1,FALSE))</f>
        <v/>
      </c>
      <c r="P348" t="str">
        <f ca="1">IF(AND(ISNUMBER($P$1013),$B$677=1),$P$1013,HLOOKUP(INDIRECT(ADDRESS(2,COLUMN())),OFFSET($BN$2,0,0,ROW()-1,60),ROW()-1,FALSE))</f>
        <v/>
      </c>
      <c r="Q348" t="str">
        <f ca="1">IF(AND(ISNUMBER($Q$1013),$B$677=1),$Q$1013,HLOOKUP(INDIRECT(ADDRESS(2,COLUMN())),OFFSET($BN$2,0,0,ROW()-1,60),ROW()-1,FALSE))</f>
        <v/>
      </c>
      <c r="R348" t="str">
        <f ca="1">IF(AND(ISNUMBER($R$1013),$B$677=1),$R$1013,HLOOKUP(INDIRECT(ADDRESS(2,COLUMN())),OFFSET($BN$2,0,0,ROW()-1,60),ROW()-1,FALSE))</f>
        <v/>
      </c>
      <c r="S348" t="str">
        <f ca="1">IF(AND(ISNUMBER($S$1013),$B$677=1),$S$1013,HLOOKUP(INDIRECT(ADDRESS(2,COLUMN())),OFFSET($BN$2,0,0,ROW()-1,60),ROW()-1,FALSE))</f>
        <v/>
      </c>
      <c r="T348" t="str">
        <f ca="1">IF(AND(ISNUMBER($T$1013),$B$677=1),$T$1013,HLOOKUP(INDIRECT(ADDRESS(2,COLUMN())),OFFSET($BN$2,0,0,ROW()-1,60),ROW()-1,FALSE))</f>
        <v/>
      </c>
      <c r="U348" t="str">
        <f ca="1">IF(AND(ISNUMBER($U$1013),$B$677=1),$U$1013,HLOOKUP(INDIRECT(ADDRESS(2,COLUMN())),OFFSET($BN$2,0,0,ROW()-1,60),ROW()-1,FALSE))</f>
        <v/>
      </c>
      <c r="V348" t="str">
        <f ca="1">IF(AND(ISNUMBER($V$1013),$B$677=1),$V$1013,HLOOKUP(INDIRECT(ADDRESS(2,COLUMN())),OFFSET($BN$2,0,0,ROW()-1,60),ROW()-1,FALSE))</f>
        <v/>
      </c>
      <c r="W348" t="str">
        <f ca="1">IF(AND(ISNUMBER($W$1013),$B$677=1),$W$1013,HLOOKUP(INDIRECT(ADDRESS(2,COLUMN())),OFFSET($BN$2,0,0,ROW()-1,60),ROW()-1,FALSE))</f>
        <v/>
      </c>
      <c r="X348" t="str">
        <f ca="1">IF(AND(ISNUMBER($X$1013),$B$677=1),$X$1013,HLOOKUP(INDIRECT(ADDRESS(2,COLUMN())),OFFSET($BN$2,0,0,ROW()-1,60),ROW()-1,FALSE))</f>
        <v/>
      </c>
      <c r="Y348" t="str">
        <f ca="1">IF(AND(ISNUMBER($Y$1013),$B$677=1),$Y$1013,HLOOKUP(INDIRECT(ADDRESS(2,COLUMN())),OFFSET($BN$2,0,0,ROW()-1,60),ROW()-1,FALSE))</f>
        <v/>
      </c>
      <c r="Z348" t="str">
        <f ca="1">IF(AND(ISNUMBER($Z$1013),$B$677=1),$Z$1013,HLOOKUP(INDIRECT(ADDRESS(2,COLUMN())),OFFSET($BN$2,0,0,ROW()-1,60),ROW()-1,FALSE))</f>
        <v/>
      </c>
      <c r="AA348" t="str">
        <f ca="1">IF(AND(ISNUMBER($AA$1013),$B$677=1),$AA$1013,HLOOKUP(INDIRECT(ADDRESS(2,COLUMN())),OFFSET($BN$2,0,0,ROW()-1,60),ROW()-1,FALSE))</f>
        <v/>
      </c>
      <c r="AB348" t="str">
        <f ca="1">IF(AND(ISNUMBER($AB$1013),$B$677=1),$AB$1013,HLOOKUP(INDIRECT(ADDRESS(2,COLUMN())),OFFSET($BN$2,0,0,ROW()-1,60),ROW()-1,FALSE))</f>
        <v/>
      </c>
      <c r="AC348" t="str">
        <f ca="1">IF(AND(ISNUMBER($AC$1013),$B$677=1),$AC$1013,HLOOKUP(INDIRECT(ADDRESS(2,COLUMN())),OFFSET($BN$2,0,0,ROW()-1,60),ROW()-1,FALSE))</f>
        <v/>
      </c>
      <c r="AD348" t="str">
        <f ca="1">IF(AND(ISNUMBER($AD$1013),$B$677=1),$AD$1013,HLOOKUP(INDIRECT(ADDRESS(2,COLUMN())),OFFSET($BN$2,0,0,ROW()-1,60),ROW()-1,FALSE))</f>
        <v/>
      </c>
      <c r="AE348" t="str">
        <f ca="1">IF(AND(ISNUMBER($AE$1013),$B$677=1),$AE$1013,HLOOKUP(INDIRECT(ADDRESS(2,COLUMN())),OFFSET($BN$2,0,0,ROW()-1,60),ROW()-1,FALSE))</f>
        <v/>
      </c>
      <c r="AF348" t="str">
        <f ca="1">IF(AND(ISNUMBER($AF$1013),$B$677=1),$AF$1013,HLOOKUP(INDIRECT(ADDRESS(2,COLUMN())),OFFSET($BN$2,0,0,ROW()-1,60),ROW()-1,FALSE))</f>
        <v/>
      </c>
      <c r="AG348" t="str">
        <f ca="1">IF(AND(ISNUMBER($AG$1013),$B$677=1),$AG$1013,HLOOKUP(INDIRECT(ADDRESS(2,COLUMN())),OFFSET($BN$2,0,0,ROW()-1,60),ROW()-1,FALSE))</f>
        <v/>
      </c>
      <c r="AH348" t="str">
        <f ca="1">IF(AND(ISNUMBER($AH$1013),$B$677=1),$AH$1013,HLOOKUP(INDIRECT(ADDRESS(2,COLUMN())),OFFSET($BN$2,0,0,ROW()-1,60),ROW()-1,FALSE))</f>
        <v/>
      </c>
      <c r="AI348" t="str">
        <f ca="1">IF(AND(ISNUMBER($AI$1013),$B$677=1),$AI$1013,HLOOKUP(INDIRECT(ADDRESS(2,COLUMN())),OFFSET($BN$2,0,0,ROW()-1,60),ROW()-1,FALSE))</f>
        <v/>
      </c>
      <c r="AJ348" t="str">
        <f ca="1">IF(AND(ISNUMBER($AJ$1013),$B$677=1),$AJ$1013,HLOOKUP(INDIRECT(ADDRESS(2,COLUMN())),OFFSET($BN$2,0,0,ROW()-1,60),ROW()-1,FALSE))</f>
        <v/>
      </c>
      <c r="AK348" t="str">
        <f ca="1">IF(AND(ISNUMBER($AK$1013),$B$677=1),$AK$1013,HLOOKUP(INDIRECT(ADDRESS(2,COLUMN())),OFFSET($BN$2,0,0,ROW()-1,60),ROW()-1,FALSE))</f>
        <v/>
      </c>
      <c r="AL348" t="str">
        <f ca="1">IF(AND(ISNUMBER($AL$1013),$B$677=1),$AL$1013,HLOOKUP(INDIRECT(ADDRESS(2,COLUMN())),OFFSET($BN$2,0,0,ROW()-1,60),ROW()-1,FALSE))</f>
        <v/>
      </c>
      <c r="AM348" t="str">
        <f ca="1">IF(AND(ISNUMBER($AM$1013),$B$677=1),$AM$1013,HLOOKUP(INDIRECT(ADDRESS(2,COLUMN())),OFFSET($BN$2,0,0,ROW()-1,60),ROW()-1,FALSE))</f>
        <v/>
      </c>
      <c r="AN348" t="str">
        <f ca="1">IF(AND(ISNUMBER($AN$1013),$B$677=1),$AN$1013,HLOOKUP(INDIRECT(ADDRESS(2,COLUMN())),OFFSET($BN$2,0,0,ROW()-1,60),ROW()-1,FALSE))</f>
        <v/>
      </c>
      <c r="AO348" t="str">
        <f ca="1">IF(AND(ISNUMBER($AO$1013),$B$677=1),$AO$1013,HLOOKUP(INDIRECT(ADDRESS(2,COLUMN())),OFFSET($BN$2,0,0,ROW()-1,60),ROW()-1,FALSE))</f>
        <v/>
      </c>
      <c r="AP348" t="str">
        <f ca="1">IF(AND(ISNUMBER($AP$1013),$B$677=1),$AP$1013,HLOOKUP(INDIRECT(ADDRESS(2,COLUMN())),OFFSET($BN$2,0,0,ROW()-1,60),ROW()-1,FALSE))</f>
        <v/>
      </c>
      <c r="AQ348" t="str">
        <f ca="1">IF(AND(ISNUMBER($AQ$1013),$B$677=1),$AQ$1013,HLOOKUP(INDIRECT(ADDRESS(2,COLUMN())),OFFSET($BN$2,0,0,ROW()-1,60),ROW()-1,FALSE))</f>
        <v/>
      </c>
      <c r="AR348" t="str">
        <f ca="1">IF(AND(ISNUMBER($AR$1013),$B$677=1),$AR$1013,HLOOKUP(INDIRECT(ADDRESS(2,COLUMN())),OFFSET($BN$2,0,0,ROW()-1,60),ROW()-1,FALSE))</f>
        <v/>
      </c>
      <c r="AS348" t="str">
        <f ca="1">IF(AND(ISNUMBER($AS$1013),$B$677=1),$AS$1013,HLOOKUP(INDIRECT(ADDRESS(2,COLUMN())),OFFSET($BN$2,0,0,ROW()-1,60),ROW()-1,FALSE))</f>
        <v/>
      </c>
      <c r="AT348" t="str">
        <f ca="1">IF(AND(ISNUMBER($AT$1013),$B$677=1),$AT$1013,HLOOKUP(INDIRECT(ADDRESS(2,COLUMN())),OFFSET($BN$2,0,0,ROW()-1,60),ROW()-1,FALSE))</f>
        <v/>
      </c>
      <c r="AU348" t="str">
        <f ca="1">IF(AND(ISNUMBER($AU$1013),$B$677=1),$AU$1013,HLOOKUP(INDIRECT(ADDRESS(2,COLUMN())),OFFSET($BN$2,0,0,ROW()-1,60),ROW()-1,FALSE))</f>
        <v/>
      </c>
      <c r="AV348" t="str">
        <f ca="1">IF(AND(ISNUMBER($AV$1013),$B$677=1),$AV$1013,HLOOKUP(INDIRECT(ADDRESS(2,COLUMN())),OFFSET($BN$2,0,0,ROW()-1,60),ROW()-1,FALSE))</f>
        <v/>
      </c>
      <c r="AW348" t="str">
        <f ca="1">IF(AND(ISNUMBER($AW$1013),$B$677=1),$AW$1013,HLOOKUP(INDIRECT(ADDRESS(2,COLUMN())),OFFSET($BN$2,0,0,ROW()-1,60),ROW()-1,FALSE))</f>
        <v/>
      </c>
      <c r="AX348" t="str">
        <f ca="1">IF(AND(ISNUMBER($AX$1013),$B$677=1),$AX$1013,HLOOKUP(INDIRECT(ADDRESS(2,COLUMN())),OFFSET($BN$2,0,0,ROW()-1,60),ROW()-1,FALSE))</f>
        <v/>
      </c>
      <c r="AY348" t="str">
        <f ca="1">IF(AND(ISNUMBER($AY$1013),$B$677=1),$AY$1013,HLOOKUP(INDIRECT(ADDRESS(2,COLUMN())),OFFSET($BN$2,0,0,ROW()-1,60),ROW()-1,FALSE))</f>
        <v/>
      </c>
      <c r="AZ348" t="str">
        <f ca="1">IF(AND(ISNUMBER($AZ$1013),$B$677=1),$AZ$1013,HLOOKUP(INDIRECT(ADDRESS(2,COLUMN())),OFFSET($BN$2,0,0,ROW()-1,60),ROW()-1,FALSE))</f>
        <v/>
      </c>
      <c r="BA348" t="str">
        <f ca="1">IF(AND(ISNUMBER($BA$1013),$B$677=1),$BA$1013,HLOOKUP(INDIRECT(ADDRESS(2,COLUMN())),OFFSET($BN$2,0,0,ROW()-1,60),ROW()-1,FALSE))</f>
        <v/>
      </c>
      <c r="BB348" t="str">
        <f ca="1">IF(AND(ISNUMBER($BB$1013),$B$677=1),$BB$1013,HLOOKUP(INDIRECT(ADDRESS(2,COLUMN())),OFFSET($BN$2,0,0,ROW()-1,60),ROW()-1,FALSE))</f>
        <v/>
      </c>
      <c r="BC348" t="str">
        <f ca="1">IF(AND(ISNUMBER($BC$1013),$B$677=1),$BC$1013,HLOOKUP(INDIRECT(ADDRESS(2,COLUMN())),OFFSET($BN$2,0,0,ROW()-1,60),ROW()-1,FALSE))</f>
        <v/>
      </c>
      <c r="BD348" t="str">
        <f ca="1">IF(AND(ISNUMBER($BD$1013),$B$677=1),$BD$1013,HLOOKUP(INDIRECT(ADDRESS(2,COLUMN())),OFFSET($BN$2,0,0,ROW()-1,60),ROW()-1,FALSE))</f>
        <v/>
      </c>
      <c r="BE348" t="str">
        <f ca="1">IF(AND(ISNUMBER($BE$1013),$B$677=1),$BE$1013,HLOOKUP(INDIRECT(ADDRESS(2,COLUMN())),OFFSET($BN$2,0,0,ROW()-1,60),ROW()-1,FALSE))</f>
        <v/>
      </c>
      <c r="BF348" t="str">
        <f ca="1">IF(AND(ISNUMBER($BF$1013),$B$677=1),$BF$1013,HLOOKUP(INDIRECT(ADDRESS(2,COLUMN())),OFFSET($BN$2,0,0,ROW()-1,60),ROW()-1,FALSE))</f>
        <v/>
      </c>
      <c r="BG348" t="str">
        <f ca="1">IF(AND(ISNUMBER($BG$1013),$B$677=1),$BG$1013,HLOOKUP(INDIRECT(ADDRESS(2,COLUMN())),OFFSET($BN$2,0,0,ROW()-1,60),ROW()-1,FALSE))</f>
        <v/>
      </c>
      <c r="BH348" t="str">
        <f ca="1">IF(AND(ISNUMBER($BH$1013),$B$677=1),$BH$1013,HLOOKUP(INDIRECT(ADDRESS(2,COLUMN())),OFFSET($BN$2,0,0,ROW()-1,60),ROW()-1,FALSE))</f>
        <v/>
      </c>
      <c r="BI348" t="str">
        <f ca="1">IF(AND(ISNUMBER($BI$1013),$B$677=1),$BI$1013,HLOOKUP(INDIRECT(ADDRESS(2,COLUMN())),OFFSET($BN$2,0,0,ROW()-1,60),ROW()-1,FALSE))</f>
        <v/>
      </c>
      <c r="BJ348" t="str">
        <f ca="1">IF(AND(ISNUMBER($BJ$1013),$B$677=1),$BJ$1013,HLOOKUP(INDIRECT(ADDRESS(2,COLUMN())),OFFSET($BN$2,0,0,ROW()-1,60),ROW()-1,FALSE))</f>
        <v/>
      </c>
      <c r="BK348" t="str">
        <f ca="1">IF(AND(ISNUMBER($BK$1013),$B$677=1),$BK$1013,HLOOKUP(INDIRECT(ADDRESS(2,COLUMN())),OFFSET($BN$2,0,0,ROW()-1,60),ROW()-1,FALSE))</f>
        <v/>
      </c>
      <c r="BL348" t="str">
        <f ca="1">IF(AND(ISNUMBER($BL$1013),$B$677=1),$BL$1013,HLOOKUP(INDIRECT(ADDRESS(2,COLUMN())),OFFSET($BN$2,0,0,ROW()-1,60),ROW()-1,FALSE))</f>
        <v/>
      </c>
      <c r="BM348" t="str">
        <f ca="1">IF(AND(ISNUMBER($BM$1013),$B$677=1),$BM$1013,HLOOKUP(INDIRECT(ADDRESS(2,COLUMN())),OFFSET($BN$2,0,0,ROW()-1,60),ROW()-1,FALSE))</f>
        <v/>
      </c>
      <c r="BN348" t="str">
        <f>""</f>
        <v/>
      </c>
      <c r="BO348" t="str">
        <f>""</f>
        <v/>
      </c>
      <c r="BP348" t="str">
        <f>""</f>
        <v/>
      </c>
      <c r="BQ348" t="str">
        <f>""</f>
        <v/>
      </c>
      <c r="BR348" t="str">
        <f>""</f>
        <v/>
      </c>
      <c r="BS348" t="str">
        <f>""</f>
        <v/>
      </c>
      <c r="BT348" t="str">
        <f>""</f>
        <v/>
      </c>
      <c r="BU348" t="str">
        <f>""</f>
        <v/>
      </c>
      <c r="BV348" t="str">
        <f>""</f>
        <v/>
      </c>
      <c r="BW348" t="str">
        <f>""</f>
        <v/>
      </c>
      <c r="BX348" t="str">
        <f>""</f>
        <v/>
      </c>
      <c r="BY348" t="str">
        <f>""</f>
        <v/>
      </c>
      <c r="BZ348" t="str">
        <f>""</f>
        <v/>
      </c>
      <c r="CA348" t="str">
        <f>""</f>
        <v/>
      </c>
      <c r="CB348" t="str">
        <f>""</f>
        <v/>
      </c>
      <c r="CC348" t="str">
        <f>""</f>
        <v/>
      </c>
      <c r="CD348" t="str">
        <f>""</f>
        <v/>
      </c>
      <c r="CE348" t="str">
        <f>""</f>
        <v/>
      </c>
      <c r="CF348" t="str">
        <f>""</f>
        <v/>
      </c>
      <c r="CG348" t="str">
        <f>""</f>
        <v/>
      </c>
      <c r="CH348" t="str">
        <f>""</f>
        <v/>
      </c>
      <c r="CI348" t="str">
        <f>""</f>
        <v/>
      </c>
      <c r="CJ348" t="str">
        <f>""</f>
        <v/>
      </c>
      <c r="CK348" t="str">
        <f>""</f>
        <v/>
      </c>
      <c r="CL348" t="str">
        <f>""</f>
        <v/>
      </c>
      <c r="CM348" t="str">
        <f>""</f>
        <v/>
      </c>
      <c r="CN348" t="str">
        <f>""</f>
        <v/>
      </c>
      <c r="CO348" t="str">
        <f>""</f>
        <v/>
      </c>
      <c r="CP348" t="str">
        <f>""</f>
        <v/>
      </c>
      <c r="CQ348" t="str">
        <f>""</f>
        <v/>
      </c>
      <c r="CR348" t="str">
        <f>""</f>
        <v/>
      </c>
      <c r="CS348" t="str">
        <f>""</f>
        <v/>
      </c>
      <c r="CT348" t="str">
        <f>""</f>
        <v/>
      </c>
      <c r="CU348" t="str">
        <f>""</f>
        <v/>
      </c>
      <c r="CV348" t="str">
        <f>""</f>
        <v/>
      </c>
      <c r="CW348" t="str">
        <f>""</f>
        <v/>
      </c>
      <c r="CX348" t="str">
        <f>""</f>
        <v/>
      </c>
      <c r="CY348" t="str">
        <f>""</f>
        <v/>
      </c>
      <c r="CZ348" t="str">
        <f>""</f>
        <v/>
      </c>
      <c r="DA348" t="str">
        <f>""</f>
        <v/>
      </c>
      <c r="DB348" t="str">
        <f>""</f>
        <v/>
      </c>
      <c r="DC348" t="str">
        <f>""</f>
        <v/>
      </c>
      <c r="DD348" t="str">
        <f>""</f>
        <v/>
      </c>
      <c r="DE348" t="str">
        <f>""</f>
        <v/>
      </c>
      <c r="DF348" t="str">
        <f>""</f>
        <v/>
      </c>
      <c r="DG348" t="str">
        <f>""</f>
        <v/>
      </c>
      <c r="DH348" t="str">
        <f>""</f>
        <v/>
      </c>
      <c r="DI348" t="str">
        <f>""</f>
        <v/>
      </c>
      <c r="DJ348" t="str">
        <f>""</f>
        <v/>
      </c>
      <c r="DK348" t="str">
        <f>""</f>
        <v/>
      </c>
      <c r="DL348" t="str">
        <f>""</f>
        <v/>
      </c>
      <c r="DM348" t="str">
        <f>""</f>
        <v/>
      </c>
      <c r="DN348" t="str">
        <f>""</f>
        <v/>
      </c>
      <c r="DO348" t="str">
        <f>""</f>
        <v/>
      </c>
      <c r="DP348" t="str">
        <f>""</f>
        <v/>
      </c>
      <c r="DQ348" t="str">
        <f>""</f>
        <v/>
      </c>
      <c r="DR348" t="str">
        <f>""</f>
        <v/>
      </c>
      <c r="DS348" t="str">
        <f>""</f>
        <v/>
      </c>
      <c r="DT348" t="str">
        <f>""</f>
        <v/>
      </c>
      <c r="DU348" t="str">
        <f>""</f>
        <v/>
      </c>
    </row>
    <row r="349" spans="1:125" x14ac:dyDescent="0.25">
      <c r="A349" t="str">
        <f>"    Geely Automobile Holdings Ltd"</f>
        <v xml:space="preserve">    Geely Automobile Holdings Ltd</v>
      </c>
      <c r="B349" t="str">
        <f>"175 HK Equity"</f>
        <v>175 HK Equity</v>
      </c>
      <c r="C349" t="str">
        <f t="shared" si="24"/>
        <v>RR473</v>
      </c>
      <c r="D349" t="str">
        <f t="shared" si="25"/>
        <v>EV_TO_T12M_SALES</v>
      </c>
      <c r="E349" t="str">
        <f t="shared" si="26"/>
        <v>Dynamic</v>
      </c>
      <c r="F349" t="str">
        <f ca="1">IF(AND(ISNUMBER($F$1014),$B$677=1),$F$1014,HLOOKUP(INDIRECT(ADDRESS(2,COLUMN())),OFFSET($BN$2,0,0,ROW()-1,60),ROW()-1,FALSE))</f>
        <v/>
      </c>
      <c r="G349" t="str">
        <f ca="1">IF(AND(ISNUMBER($G$1014),$B$677=1),$G$1014,HLOOKUP(INDIRECT(ADDRESS(2,COLUMN())),OFFSET($BN$2,0,0,ROW()-1,60),ROW()-1,FALSE))</f>
        <v/>
      </c>
      <c r="H349" t="str">
        <f ca="1">IF(AND(ISNUMBER($H$1014),$B$677=1),$H$1014,HLOOKUP(INDIRECT(ADDRESS(2,COLUMN())),OFFSET($BN$2,0,0,ROW()-1,60),ROW()-1,FALSE))</f>
        <v/>
      </c>
      <c r="I349" t="str">
        <f ca="1">IF(AND(ISNUMBER($I$1014),$B$677=1),$I$1014,HLOOKUP(INDIRECT(ADDRESS(2,COLUMN())),OFFSET($BN$2,0,0,ROW()-1,60),ROW()-1,FALSE))</f>
        <v/>
      </c>
      <c r="J349" t="str">
        <f ca="1">IF(AND(ISNUMBER($J$1014),$B$677=1),$J$1014,HLOOKUP(INDIRECT(ADDRESS(2,COLUMN())),OFFSET($BN$2,0,0,ROW()-1,60),ROW()-1,FALSE))</f>
        <v/>
      </c>
      <c r="K349" t="str">
        <f ca="1">IF(AND(ISNUMBER($K$1014),$B$677=1),$K$1014,HLOOKUP(INDIRECT(ADDRESS(2,COLUMN())),OFFSET($BN$2,0,0,ROW()-1,60),ROW()-1,FALSE))</f>
        <v/>
      </c>
      <c r="L349" t="str">
        <f ca="1">IF(AND(ISNUMBER($L$1014),$B$677=1),$L$1014,HLOOKUP(INDIRECT(ADDRESS(2,COLUMN())),OFFSET($BN$2,0,0,ROW()-1,60),ROW()-1,FALSE))</f>
        <v/>
      </c>
      <c r="M349" t="str">
        <f ca="1">IF(AND(ISNUMBER($M$1014),$B$677=1),$M$1014,HLOOKUP(INDIRECT(ADDRESS(2,COLUMN())),OFFSET($BN$2,0,0,ROW()-1,60),ROW()-1,FALSE))</f>
        <v/>
      </c>
      <c r="N349" t="str">
        <f ca="1">IF(AND(ISNUMBER($N$1014),$B$677=1),$N$1014,HLOOKUP(INDIRECT(ADDRESS(2,COLUMN())),OFFSET($BN$2,0,0,ROW()-1,60),ROW()-1,FALSE))</f>
        <v/>
      </c>
      <c r="O349" t="str">
        <f ca="1">IF(AND(ISNUMBER($O$1014),$B$677=1),$O$1014,HLOOKUP(INDIRECT(ADDRESS(2,COLUMN())),OFFSET($BN$2,0,0,ROW()-1,60),ROW()-1,FALSE))</f>
        <v/>
      </c>
      <c r="P349" t="str">
        <f ca="1">IF(AND(ISNUMBER($P$1014),$B$677=1),$P$1014,HLOOKUP(INDIRECT(ADDRESS(2,COLUMN())),OFFSET($BN$2,0,0,ROW()-1,60),ROW()-1,FALSE))</f>
        <v/>
      </c>
      <c r="Q349" t="str">
        <f ca="1">IF(AND(ISNUMBER($Q$1014),$B$677=1),$Q$1014,HLOOKUP(INDIRECT(ADDRESS(2,COLUMN())),OFFSET($BN$2,0,0,ROW()-1,60),ROW()-1,FALSE))</f>
        <v/>
      </c>
      <c r="R349" t="str">
        <f ca="1">IF(AND(ISNUMBER($R$1014),$B$677=1),$R$1014,HLOOKUP(INDIRECT(ADDRESS(2,COLUMN())),OFFSET($BN$2,0,0,ROW()-1,60),ROW()-1,FALSE))</f>
        <v/>
      </c>
      <c r="S349" t="str">
        <f ca="1">IF(AND(ISNUMBER($S$1014),$B$677=1),$S$1014,HLOOKUP(INDIRECT(ADDRESS(2,COLUMN())),OFFSET($BN$2,0,0,ROW()-1,60),ROW()-1,FALSE))</f>
        <v/>
      </c>
      <c r="T349" t="str">
        <f ca="1">IF(AND(ISNUMBER($T$1014),$B$677=1),$T$1014,HLOOKUP(INDIRECT(ADDRESS(2,COLUMN())),OFFSET($BN$2,0,0,ROW()-1,60),ROW()-1,FALSE))</f>
        <v/>
      </c>
      <c r="U349" t="str">
        <f ca="1">IF(AND(ISNUMBER($U$1014),$B$677=1),$U$1014,HLOOKUP(INDIRECT(ADDRESS(2,COLUMN())),OFFSET($BN$2,0,0,ROW()-1,60),ROW()-1,FALSE))</f>
        <v/>
      </c>
      <c r="V349" t="str">
        <f ca="1">IF(AND(ISNUMBER($V$1014),$B$677=1),$V$1014,HLOOKUP(INDIRECT(ADDRESS(2,COLUMN())),OFFSET($BN$2,0,0,ROW()-1,60),ROW()-1,FALSE))</f>
        <v/>
      </c>
      <c r="W349" t="str">
        <f ca="1">IF(AND(ISNUMBER($W$1014),$B$677=1),$W$1014,HLOOKUP(INDIRECT(ADDRESS(2,COLUMN())),OFFSET($BN$2,0,0,ROW()-1,60),ROW()-1,FALSE))</f>
        <v/>
      </c>
      <c r="X349" t="str">
        <f ca="1">IF(AND(ISNUMBER($X$1014),$B$677=1),$X$1014,HLOOKUP(INDIRECT(ADDRESS(2,COLUMN())),OFFSET($BN$2,0,0,ROW()-1,60),ROW()-1,FALSE))</f>
        <v/>
      </c>
      <c r="Y349" t="str">
        <f ca="1">IF(AND(ISNUMBER($Y$1014),$B$677=1),$Y$1014,HLOOKUP(INDIRECT(ADDRESS(2,COLUMN())),OFFSET($BN$2,0,0,ROW()-1,60),ROW()-1,FALSE))</f>
        <v/>
      </c>
      <c r="Z349" t="str">
        <f ca="1">IF(AND(ISNUMBER($Z$1014),$B$677=1),$Z$1014,HLOOKUP(INDIRECT(ADDRESS(2,COLUMN())),OFFSET($BN$2,0,0,ROW()-1,60),ROW()-1,FALSE))</f>
        <v/>
      </c>
      <c r="AA349" t="str">
        <f ca="1">IF(AND(ISNUMBER($AA$1014),$B$677=1),$AA$1014,HLOOKUP(INDIRECT(ADDRESS(2,COLUMN())),OFFSET($BN$2,0,0,ROW()-1,60),ROW()-1,FALSE))</f>
        <v/>
      </c>
      <c r="AB349" t="str">
        <f ca="1">IF(AND(ISNUMBER($AB$1014),$B$677=1),$AB$1014,HLOOKUP(INDIRECT(ADDRESS(2,COLUMN())),OFFSET($BN$2,0,0,ROW()-1,60),ROW()-1,FALSE))</f>
        <v/>
      </c>
      <c r="AC349" t="str">
        <f ca="1">IF(AND(ISNUMBER($AC$1014),$B$677=1),$AC$1014,HLOOKUP(INDIRECT(ADDRESS(2,COLUMN())),OFFSET($BN$2,0,0,ROW()-1,60),ROW()-1,FALSE))</f>
        <v/>
      </c>
      <c r="AD349" t="str">
        <f ca="1">IF(AND(ISNUMBER($AD$1014),$B$677=1),$AD$1014,HLOOKUP(INDIRECT(ADDRESS(2,COLUMN())),OFFSET($BN$2,0,0,ROW()-1,60),ROW()-1,FALSE))</f>
        <v/>
      </c>
      <c r="AE349" t="str">
        <f ca="1">IF(AND(ISNUMBER($AE$1014),$B$677=1),$AE$1014,HLOOKUP(INDIRECT(ADDRESS(2,COLUMN())),OFFSET($BN$2,0,0,ROW()-1,60),ROW()-1,FALSE))</f>
        <v/>
      </c>
      <c r="AF349" t="str">
        <f ca="1">IF(AND(ISNUMBER($AF$1014),$B$677=1),$AF$1014,HLOOKUP(INDIRECT(ADDRESS(2,COLUMN())),OFFSET($BN$2,0,0,ROW()-1,60),ROW()-1,FALSE))</f>
        <v/>
      </c>
      <c r="AG349" t="str">
        <f ca="1">IF(AND(ISNUMBER($AG$1014),$B$677=1),$AG$1014,HLOOKUP(INDIRECT(ADDRESS(2,COLUMN())),OFFSET($BN$2,0,0,ROW()-1,60),ROW()-1,FALSE))</f>
        <v/>
      </c>
      <c r="AH349" t="str">
        <f ca="1">IF(AND(ISNUMBER($AH$1014),$B$677=1),$AH$1014,HLOOKUP(INDIRECT(ADDRESS(2,COLUMN())),OFFSET($BN$2,0,0,ROW()-1,60),ROW()-1,FALSE))</f>
        <v/>
      </c>
      <c r="AI349" t="str">
        <f ca="1">IF(AND(ISNUMBER($AI$1014),$B$677=1),$AI$1014,HLOOKUP(INDIRECT(ADDRESS(2,COLUMN())),OFFSET($BN$2,0,0,ROW()-1,60),ROW()-1,FALSE))</f>
        <v/>
      </c>
      <c r="AJ349" t="str">
        <f ca="1">IF(AND(ISNUMBER($AJ$1014),$B$677=1),$AJ$1014,HLOOKUP(INDIRECT(ADDRESS(2,COLUMN())),OFFSET($BN$2,0,0,ROW()-1,60),ROW()-1,FALSE))</f>
        <v/>
      </c>
      <c r="AK349" t="str">
        <f ca="1">IF(AND(ISNUMBER($AK$1014),$B$677=1),$AK$1014,HLOOKUP(INDIRECT(ADDRESS(2,COLUMN())),OFFSET($BN$2,0,0,ROW()-1,60),ROW()-1,FALSE))</f>
        <v/>
      </c>
      <c r="AL349" t="str">
        <f ca="1">IF(AND(ISNUMBER($AL$1014),$B$677=1),$AL$1014,HLOOKUP(INDIRECT(ADDRESS(2,COLUMN())),OFFSET($BN$2,0,0,ROW()-1,60),ROW()-1,FALSE))</f>
        <v/>
      </c>
      <c r="AM349" t="str">
        <f ca="1">IF(AND(ISNUMBER($AM$1014),$B$677=1),$AM$1014,HLOOKUP(INDIRECT(ADDRESS(2,COLUMN())),OFFSET($BN$2,0,0,ROW()-1,60),ROW()-1,FALSE))</f>
        <v/>
      </c>
      <c r="AN349" t="str">
        <f ca="1">IF(AND(ISNUMBER($AN$1014),$B$677=1),$AN$1014,HLOOKUP(INDIRECT(ADDRESS(2,COLUMN())),OFFSET($BN$2,0,0,ROW()-1,60),ROW()-1,FALSE))</f>
        <v/>
      </c>
      <c r="AO349" t="str">
        <f ca="1">IF(AND(ISNUMBER($AO$1014),$B$677=1),$AO$1014,HLOOKUP(INDIRECT(ADDRESS(2,COLUMN())),OFFSET($BN$2,0,0,ROW()-1,60),ROW()-1,FALSE))</f>
        <v/>
      </c>
      <c r="AP349" t="str">
        <f ca="1">IF(AND(ISNUMBER($AP$1014),$B$677=1),$AP$1014,HLOOKUP(INDIRECT(ADDRESS(2,COLUMN())),OFFSET($BN$2,0,0,ROW()-1,60),ROW()-1,FALSE))</f>
        <v/>
      </c>
      <c r="AQ349" t="str">
        <f ca="1">IF(AND(ISNUMBER($AQ$1014),$B$677=1),$AQ$1014,HLOOKUP(INDIRECT(ADDRESS(2,COLUMN())),OFFSET($BN$2,0,0,ROW()-1,60),ROW()-1,FALSE))</f>
        <v/>
      </c>
      <c r="AR349" t="str">
        <f ca="1">IF(AND(ISNUMBER($AR$1014),$B$677=1),$AR$1014,HLOOKUP(INDIRECT(ADDRESS(2,COLUMN())),OFFSET($BN$2,0,0,ROW()-1,60),ROW()-1,FALSE))</f>
        <v/>
      </c>
      <c r="AS349" t="str">
        <f ca="1">IF(AND(ISNUMBER($AS$1014),$B$677=1),$AS$1014,HLOOKUP(INDIRECT(ADDRESS(2,COLUMN())),OFFSET($BN$2,0,0,ROW()-1,60),ROW()-1,FALSE))</f>
        <v/>
      </c>
      <c r="AT349" t="str">
        <f ca="1">IF(AND(ISNUMBER($AT$1014),$B$677=1),$AT$1014,HLOOKUP(INDIRECT(ADDRESS(2,COLUMN())),OFFSET($BN$2,0,0,ROW()-1,60),ROW()-1,FALSE))</f>
        <v/>
      </c>
      <c r="AU349" t="str">
        <f ca="1">IF(AND(ISNUMBER($AU$1014),$B$677=1),$AU$1014,HLOOKUP(INDIRECT(ADDRESS(2,COLUMN())),OFFSET($BN$2,0,0,ROW()-1,60),ROW()-1,FALSE))</f>
        <v/>
      </c>
      <c r="AV349" t="str">
        <f ca="1">IF(AND(ISNUMBER($AV$1014),$B$677=1),$AV$1014,HLOOKUP(INDIRECT(ADDRESS(2,COLUMN())),OFFSET($BN$2,0,0,ROW()-1,60),ROW()-1,FALSE))</f>
        <v/>
      </c>
      <c r="AW349" t="str">
        <f ca="1">IF(AND(ISNUMBER($AW$1014),$B$677=1),$AW$1014,HLOOKUP(INDIRECT(ADDRESS(2,COLUMN())),OFFSET($BN$2,0,0,ROW()-1,60),ROW()-1,FALSE))</f>
        <v/>
      </c>
      <c r="AX349" t="str">
        <f ca="1">IF(AND(ISNUMBER($AX$1014),$B$677=1),$AX$1014,HLOOKUP(INDIRECT(ADDRESS(2,COLUMN())),OFFSET($BN$2,0,0,ROW()-1,60),ROW()-1,FALSE))</f>
        <v/>
      </c>
      <c r="AY349" t="str">
        <f ca="1">IF(AND(ISNUMBER($AY$1014),$B$677=1),$AY$1014,HLOOKUP(INDIRECT(ADDRESS(2,COLUMN())),OFFSET($BN$2,0,0,ROW()-1,60),ROW()-1,FALSE))</f>
        <v/>
      </c>
      <c r="AZ349" t="str">
        <f ca="1">IF(AND(ISNUMBER($AZ$1014),$B$677=1),$AZ$1014,HLOOKUP(INDIRECT(ADDRESS(2,COLUMN())),OFFSET($BN$2,0,0,ROW()-1,60),ROW()-1,FALSE))</f>
        <v/>
      </c>
      <c r="BA349" t="str">
        <f ca="1">IF(AND(ISNUMBER($BA$1014),$B$677=1),$BA$1014,HLOOKUP(INDIRECT(ADDRESS(2,COLUMN())),OFFSET($BN$2,0,0,ROW()-1,60),ROW()-1,FALSE))</f>
        <v/>
      </c>
      <c r="BB349" t="str">
        <f ca="1">IF(AND(ISNUMBER($BB$1014),$B$677=1),$BB$1014,HLOOKUP(INDIRECT(ADDRESS(2,COLUMN())),OFFSET($BN$2,0,0,ROW()-1,60),ROW()-1,FALSE))</f>
        <v/>
      </c>
      <c r="BC349" t="str">
        <f ca="1">IF(AND(ISNUMBER($BC$1014),$B$677=1),$BC$1014,HLOOKUP(INDIRECT(ADDRESS(2,COLUMN())),OFFSET($BN$2,0,0,ROW()-1,60),ROW()-1,FALSE))</f>
        <v/>
      </c>
      <c r="BD349" t="str">
        <f ca="1">IF(AND(ISNUMBER($BD$1014),$B$677=1),$BD$1014,HLOOKUP(INDIRECT(ADDRESS(2,COLUMN())),OFFSET($BN$2,0,0,ROW()-1,60),ROW()-1,FALSE))</f>
        <v/>
      </c>
      <c r="BE349" t="str">
        <f ca="1">IF(AND(ISNUMBER($BE$1014),$B$677=1),$BE$1014,HLOOKUP(INDIRECT(ADDRESS(2,COLUMN())),OFFSET($BN$2,0,0,ROW()-1,60),ROW()-1,FALSE))</f>
        <v/>
      </c>
      <c r="BF349" t="str">
        <f ca="1">IF(AND(ISNUMBER($BF$1014),$B$677=1),$BF$1014,HLOOKUP(INDIRECT(ADDRESS(2,COLUMN())),OFFSET($BN$2,0,0,ROW()-1,60),ROW()-1,FALSE))</f>
        <v/>
      </c>
      <c r="BG349" t="str">
        <f ca="1">IF(AND(ISNUMBER($BG$1014),$B$677=1),$BG$1014,HLOOKUP(INDIRECT(ADDRESS(2,COLUMN())),OFFSET($BN$2,0,0,ROW()-1,60),ROW()-1,FALSE))</f>
        <v/>
      </c>
      <c r="BH349" t="str">
        <f ca="1">IF(AND(ISNUMBER($BH$1014),$B$677=1),$BH$1014,HLOOKUP(INDIRECT(ADDRESS(2,COLUMN())),OFFSET($BN$2,0,0,ROW()-1,60),ROW()-1,FALSE))</f>
        <v/>
      </c>
      <c r="BI349" t="str">
        <f ca="1">IF(AND(ISNUMBER($BI$1014),$B$677=1),$BI$1014,HLOOKUP(INDIRECT(ADDRESS(2,COLUMN())),OFFSET($BN$2,0,0,ROW()-1,60),ROW()-1,FALSE))</f>
        <v/>
      </c>
      <c r="BJ349" t="str">
        <f ca="1">IF(AND(ISNUMBER($BJ$1014),$B$677=1),$BJ$1014,HLOOKUP(INDIRECT(ADDRESS(2,COLUMN())),OFFSET($BN$2,0,0,ROW()-1,60),ROW()-1,FALSE))</f>
        <v/>
      </c>
      <c r="BK349" t="str">
        <f ca="1">IF(AND(ISNUMBER($BK$1014),$B$677=1),$BK$1014,HLOOKUP(INDIRECT(ADDRESS(2,COLUMN())),OFFSET($BN$2,0,0,ROW()-1,60),ROW()-1,FALSE))</f>
        <v/>
      </c>
      <c r="BL349" t="str">
        <f ca="1">IF(AND(ISNUMBER($BL$1014),$B$677=1),$BL$1014,HLOOKUP(INDIRECT(ADDRESS(2,COLUMN())),OFFSET($BN$2,0,0,ROW()-1,60),ROW()-1,FALSE))</f>
        <v/>
      </c>
      <c r="BM349" t="str">
        <f ca="1">IF(AND(ISNUMBER($BM$1014),$B$677=1),$BM$1014,HLOOKUP(INDIRECT(ADDRESS(2,COLUMN())),OFFSET($BN$2,0,0,ROW()-1,60),ROW()-1,FALSE))</f>
        <v/>
      </c>
      <c r="BN349" t="str">
        <f>""</f>
        <v/>
      </c>
      <c r="BO349" t="str">
        <f>""</f>
        <v/>
      </c>
      <c r="BP349" t="str">
        <f>""</f>
        <v/>
      </c>
      <c r="BQ349" t="str">
        <f>""</f>
        <v/>
      </c>
      <c r="BR349" t="str">
        <f>""</f>
        <v/>
      </c>
      <c r="BS349" t="str">
        <f>""</f>
        <v/>
      </c>
      <c r="BT349" t="str">
        <f>""</f>
        <v/>
      </c>
      <c r="BU349" t="str">
        <f>""</f>
        <v/>
      </c>
      <c r="BV349" t="str">
        <f>""</f>
        <v/>
      </c>
      <c r="BW349" t="str">
        <f>""</f>
        <v/>
      </c>
      <c r="BX349" t="str">
        <f>""</f>
        <v/>
      </c>
      <c r="BY349" t="str">
        <f>""</f>
        <v/>
      </c>
      <c r="BZ349" t="str">
        <f>""</f>
        <v/>
      </c>
      <c r="CA349" t="str">
        <f>""</f>
        <v/>
      </c>
      <c r="CB349" t="str">
        <f>""</f>
        <v/>
      </c>
      <c r="CC349" t="str">
        <f>""</f>
        <v/>
      </c>
      <c r="CD349" t="str">
        <f>""</f>
        <v/>
      </c>
      <c r="CE349" t="str">
        <f>""</f>
        <v/>
      </c>
      <c r="CF349" t="str">
        <f>""</f>
        <v/>
      </c>
      <c r="CG349" t="str">
        <f>""</f>
        <v/>
      </c>
      <c r="CH349" t="str">
        <f>""</f>
        <v/>
      </c>
      <c r="CI349" t="str">
        <f>""</f>
        <v/>
      </c>
      <c r="CJ349" t="str">
        <f>""</f>
        <v/>
      </c>
      <c r="CK349" t="str">
        <f>""</f>
        <v/>
      </c>
      <c r="CL349" t="str">
        <f>""</f>
        <v/>
      </c>
      <c r="CM349" t="str">
        <f>""</f>
        <v/>
      </c>
      <c r="CN349" t="str">
        <f>""</f>
        <v/>
      </c>
      <c r="CO349" t="str">
        <f>""</f>
        <v/>
      </c>
      <c r="CP349" t="str">
        <f>""</f>
        <v/>
      </c>
      <c r="CQ349" t="str">
        <f>""</f>
        <v/>
      </c>
      <c r="CR349" t="str">
        <f>""</f>
        <v/>
      </c>
      <c r="CS349" t="str">
        <f>""</f>
        <v/>
      </c>
      <c r="CT349" t="str">
        <f>""</f>
        <v/>
      </c>
      <c r="CU349" t="str">
        <f>""</f>
        <v/>
      </c>
      <c r="CV349" t="str">
        <f>""</f>
        <v/>
      </c>
      <c r="CW349" t="str">
        <f>""</f>
        <v/>
      </c>
      <c r="CX349" t="str">
        <f>""</f>
        <v/>
      </c>
      <c r="CY349" t="str">
        <f>""</f>
        <v/>
      </c>
      <c r="CZ349" t="str">
        <f>""</f>
        <v/>
      </c>
      <c r="DA349" t="str">
        <f>""</f>
        <v/>
      </c>
      <c r="DB349" t="str">
        <f>""</f>
        <v/>
      </c>
      <c r="DC349" t="str">
        <f>""</f>
        <v/>
      </c>
      <c r="DD349" t="str">
        <f>""</f>
        <v/>
      </c>
      <c r="DE349" t="str">
        <f>""</f>
        <v/>
      </c>
      <c r="DF349" t="str">
        <f>""</f>
        <v/>
      </c>
      <c r="DG349" t="str">
        <f>""</f>
        <v/>
      </c>
      <c r="DH349" t="str">
        <f>""</f>
        <v/>
      </c>
      <c r="DI349" t="str">
        <f>""</f>
        <v/>
      </c>
      <c r="DJ349" t="str">
        <f>""</f>
        <v/>
      </c>
      <c r="DK349" t="str">
        <f>""</f>
        <v/>
      </c>
      <c r="DL349" t="str">
        <f>""</f>
        <v/>
      </c>
      <c r="DM349" t="str">
        <f>""</f>
        <v/>
      </c>
      <c r="DN349" t="str">
        <f>""</f>
        <v/>
      </c>
      <c r="DO349" t="str">
        <f>""</f>
        <v/>
      </c>
      <c r="DP349" t="str">
        <f>""</f>
        <v/>
      </c>
      <c r="DQ349" t="str">
        <f>""</f>
        <v/>
      </c>
      <c r="DR349" t="str">
        <f>""</f>
        <v/>
      </c>
      <c r="DS349" t="str">
        <f>""</f>
        <v/>
      </c>
      <c r="DT349" t="str">
        <f>""</f>
        <v/>
      </c>
      <c r="DU349" t="str">
        <f>""</f>
        <v/>
      </c>
    </row>
    <row r="350" spans="1:125" x14ac:dyDescent="0.25">
      <c r="A350" t="str">
        <f>"    General Motors Co"</f>
        <v xml:space="preserve">    General Motors Co</v>
      </c>
      <c r="B350" t="str">
        <f>"GM US Equity"</f>
        <v>GM US Equity</v>
      </c>
      <c r="C350" t="str">
        <f t="shared" si="24"/>
        <v>RR473</v>
      </c>
      <c r="D350" t="str">
        <f t="shared" si="25"/>
        <v>EV_TO_T12M_SALES</v>
      </c>
      <c r="E350" t="str">
        <f t="shared" si="26"/>
        <v>Dynamic</v>
      </c>
      <c r="F350" t="str">
        <f ca="1">IF(AND(ISNUMBER($F$1015),$B$677=1),$F$1015,HLOOKUP(INDIRECT(ADDRESS(2,COLUMN())),OFFSET($BN$2,0,0,ROW()-1,60),ROW()-1,FALSE))</f>
        <v/>
      </c>
      <c r="G350">
        <f ca="1">IF(AND(ISNUMBER($G$1015),$B$677=1),$G$1015,HLOOKUP(INDIRECT(ADDRESS(2,COLUMN())),OFFSET($BN$2,0,0,ROW()-1,60),ROW()-1,FALSE))</f>
        <v>0.307149318</v>
      </c>
      <c r="H350">
        <f ca="1">IF(AND(ISNUMBER($H$1015),$B$677=1),$H$1015,HLOOKUP(INDIRECT(ADDRESS(2,COLUMN())),OFFSET($BN$2,0,0,ROW()-1,60),ROW()-1,FALSE))</f>
        <v>0.319099511</v>
      </c>
      <c r="I350">
        <f ca="1">IF(AND(ISNUMBER($I$1015),$B$677=1),$I$1015,HLOOKUP(INDIRECT(ADDRESS(2,COLUMN())),OFFSET($BN$2,0,0,ROW()-1,60),ROW()-1,FALSE))</f>
        <v>0.37362774500000001</v>
      </c>
      <c r="J350">
        <f ca="1">IF(AND(ISNUMBER($J$1015),$B$677=1),$J$1015,HLOOKUP(INDIRECT(ADDRESS(2,COLUMN())),OFFSET($BN$2,0,0,ROW()-1,60),ROW()-1,FALSE))</f>
        <v>0.34722097200000002</v>
      </c>
      <c r="K350">
        <f ca="1">IF(AND(ISNUMBER($K$1015),$B$677=1),$K$1015,HLOOKUP(INDIRECT(ADDRESS(2,COLUMN())),OFFSET($BN$2,0,0,ROW()-1,60),ROW()-1,FALSE))</f>
        <v>0.36095007800000001</v>
      </c>
      <c r="L350">
        <f ca="1">IF(AND(ISNUMBER($L$1015),$B$677=1),$L$1015,HLOOKUP(INDIRECT(ADDRESS(2,COLUMN())),OFFSET($BN$2,0,0,ROW()-1,60),ROW()-1,FALSE))</f>
        <v>0.369326449</v>
      </c>
      <c r="M350">
        <f ca="1">IF(AND(ISNUMBER($M$1015),$B$677=1),$M$1015,HLOOKUP(INDIRECT(ADDRESS(2,COLUMN())),OFFSET($BN$2,0,0,ROW()-1,60),ROW()-1,FALSE))</f>
        <v>0.28176560899999997</v>
      </c>
      <c r="N350">
        <f ca="1">IF(AND(ISNUMBER($N$1015),$B$677=1),$N$1015,HLOOKUP(INDIRECT(ADDRESS(2,COLUMN())),OFFSET($BN$2,0,0,ROW()-1,60),ROW()-1,FALSE))</f>
        <v>0.28549082999999997</v>
      </c>
      <c r="O350">
        <f ca="1">IF(AND(ISNUMBER($O$1015),$B$677=1),$O$1015,HLOOKUP(INDIRECT(ADDRESS(2,COLUMN())),OFFSET($BN$2,0,0,ROW()-1,60),ROW()-1,FALSE))</f>
        <v>0.27020914699999998</v>
      </c>
      <c r="P350">
        <f ca="1">IF(AND(ISNUMBER($P$1015),$B$677=1),$P$1015,HLOOKUP(INDIRECT(ADDRESS(2,COLUMN())),OFFSET($BN$2,0,0,ROW()-1,60),ROW()-1,FALSE))</f>
        <v>0.24788127300000001</v>
      </c>
      <c r="Q350">
        <f ca="1">IF(AND(ISNUMBER($Q$1015),$B$677=1),$Q$1015,HLOOKUP(INDIRECT(ADDRESS(2,COLUMN())),OFFSET($BN$2,0,0,ROW()-1,60),ROW()-1,FALSE))</f>
        <v>0.24373007999999999</v>
      </c>
      <c r="R350">
        <f ca="1">IF(AND(ISNUMBER($R$1015),$B$677=1),$R$1015,HLOOKUP(INDIRECT(ADDRESS(2,COLUMN())),OFFSET($BN$2,0,0,ROW()-1,60),ROW()-1,FALSE))</f>
        <v>0.264344515</v>
      </c>
      <c r="S350">
        <f ca="1">IF(AND(ISNUMBER($S$1015),$B$677=1),$S$1015,HLOOKUP(INDIRECT(ADDRESS(2,COLUMN())),OFFSET($BN$2,0,0,ROW()-1,60),ROW()-1,FALSE))</f>
        <v>0.26183412499999997</v>
      </c>
      <c r="T350">
        <f ca="1">IF(AND(ISNUMBER($T$1015),$B$677=1),$T$1015,HLOOKUP(INDIRECT(ADDRESS(2,COLUMN())),OFFSET($BN$2,0,0,ROW()-1,60),ROW()-1,FALSE))</f>
        <v>0.23735822300000001</v>
      </c>
      <c r="U350">
        <f ca="1">IF(AND(ISNUMBER($U$1015),$B$677=1),$U$1015,HLOOKUP(INDIRECT(ADDRESS(2,COLUMN())),OFFSET($BN$2,0,0,ROW()-1,60),ROW()-1,FALSE))</f>
        <v>0.26592652700000002</v>
      </c>
      <c r="V350">
        <f ca="1">IF(AND(ISNUMBER($V$1015),$B$677=1),$V$1015,HLOOKUP(INDIRECT(ADDRESS(2,COLUMN())),OFFSET($BN$2,0,0,ROW()-1,60),ROW()-1,FALSE))</f>
        <v>0.29809444200000002</v>
      </c>
      <c r="W350">
        <f ca="1">IF(AND(ISNUMBER($W$1015),$B$677=1),$W$1015,HLOOKUP(INDIRECT(ADDRESS(2,COLUMN())),OFFSET($BN$2,0,0,ROW()-1,60),ROW()-1,FALSE))</f>
        <v>0.26018893199999998</v>
      </c>
      <c r="X350">
        <f ca="1">IF(AND(ISNUMBER($X$1015),$B$677=1),$X$1015,HLOOKUP(INDIRECT(ADDRESS(2,COLUMN())),OFFSET($BN$2,0,0,ROW()-1,60),ROW()-1,FALSE))</f>
        <v>0.229545208</v>
      </c>
      <c r="Y350">
        <f ca="1">IF(AND(ISNUMBER($Y$1015),$B$677=1),$Y$1015,HLOOKUP(INDIRECT(ADDRESS(2,COLUMN())),OFFSET($BN$2,0,0,ROW()-1,60),ROW()-1,FALSE))</f>
        <v>0.26317201699999998</v>
      </c>
      <c r="Z350">
        <f ca="1">IF(AND(ISNUMBER($Z$1015),$B$677=1),$Z$1015,HLOOKUP(INDIRECT(ADDRESS(2,COLUMN())),OFFSET($BN$2,0,0,ROW()-1,60),ROW()-1,FALSE))</f>
        <v>0.26116536600000001</v>
      </c>
      <c r="AA350">
        <f ca="1">IF(AND(ISNUMBER($AA$1015),$B$677=1),$AA$1015,HLOOKUP(INDIRECT(ADDRESS(2,COLUMN())),OFFSET($BN$2,0,0,ROW()-1,60),ROW()-1,FALSE))</f>
        <v>0.25807613899999998</v>
      </c>
      <c r="AB350">
        <f ca="1">IF(AND(ISNUMBER($AB$1015),$B$677=1),$AB$1015,HLOOKUP(INDIRECT(ADDRESS(2,COLUMN())),OFFSET($BN$2,0,0,ROW()-1,60),ROW()-1,FALSE))</f>
        <v>0.26281531800000002</v>
      </c>
      <c r="AC350">
        <f ca="1">IF(AND(ISNUMBER($AC$1015),$B$677=1),$AC$1015,HLOOKUP(INDIRECT(ADDRESS(2,COLUMN())),OFFSET($BN$2,0,0,ROW()-1,60),ROW()-1,FALSE))</f>
        <v>0.24482145</v>
      </c>
      <c r="AD350">
        <f ca="1">IF(AND(ISNUMBER($AD$1015),$B$677=1),$AD$1015,HLOOKUP(INDIRECT(ADDRESS(2,COLUMN())),OFFSET($BN$2,0,0,ROW()-1,60),ROW()-1,FALSE))</f>
        <v>0.20449065599999999</v>
      </c>
      <c r="AE350">
        <f ca="1">IF(AND(ISNUMBER($AE$1015),$B$677=1),$AE$1015,HLOOKUP(INDIRECT(ADDRESS(2,COLUMN())),OFFSET($BN$2,0,0,ROW()-1,60),ROW()-1,FALSE))</f>
        <v>0.19434734100000001</v>
      </c>
      <c r="AF350">
        <f ca="1">IF(AND(ISNUMBER($AF$1015),$B$677=1),$AF$1015,HLOOKUP(INDIRECT(ADDRESS(2,COLUMN())),OFFSET($BN$2,0,0,ROW()-1,60),ROW()-1,FALSE))</f>
        <v>0.13683039299999999</v>
      </c>
      <c r="AG350">
        <f ca="1">IF(AND(ISNUMBER($AG$1015),$B$677=1),$AG$1015,HLOOKUP(INDIRECT(ADDRESS(2,COLUMN())),OFFSET($BN$2,0,0,ROW()-1,60),ROW()-1,FALSE))</f>
        <v>0.16232031499999999</v>
      </c>
      <c r="AH350">
        <f ca="1">IF(AND(ISNUMBER($AH$1015),$B$677=1),$AH$1015,HLOOKUP(INDIRECT(ADDRESS(2,COLUMN())),OFFSET($BN$2,0,0,ROW()-1,60),ROW()-1,FALSE))</f>
        <v>0.22528741699999999</v>
      </c>
      <c r="AI350">
        <f ca="1">IF(AND(ISNUMBER($AI$1015),$B$677=1),$AI$1015,HLOOKUP(INDIRECT(ADDRESS(2,COLUMN())),OFFSET($BN$2,0,0,ROW()-1,60),ROW()-1,FALSE))</f>
        <v>0.11064323099999999</v>
      </c>
      <c r="AJ350">
        <f ca="1">IF(AND(ISNUMBER($AJ$1015),$B$677=1),$AJ$1015,HLOOKUP(INDIRECT(ADDRESS(2,COLUMN())),OFFSET($BN$2,0,0,ROW()-1,60),ROW()-1,FALSE))</f>
        <v>0.15302826</v>
      </c>
      <c r="AK350">
        <f ca="1">IF(AND(ISNUMBER($AK$1015),$B$677=1),$AK$1015,HLOOKUP(INDIRECT(ADDRESS(2,COLUMN())),OFFSET($BN$2,0,0,ROW()-1,60),ROW()-1,FALSE))</f>
        <v>0.247873071</v>
      </c>
      <c r="AL350">
        <f ca="1">IF(AND(ISNUMBER($AL$1015),$B$677=1),$AL$1015,HLOOKUP(INDIRECT(ADDRESS(2,COLUMN())),OFFSET($BN$2,0,0,ROW()-1,60),ROW()-1,FALSE))</f>
        <v>0.30598858499999998</v>
      </c>
      <c r="AM350">
        <f ca="1">IF(AND(ISNUMBER($AM$1015),$B$677=1),$AM$1015,HLOOKUP(INDIRECT(ADDRESS(2,COLUMN())),OFFSET($BN$2,0,0,ROW()-1,60),ROW()-1,FALSE))</f>
        <v>0.38084141999999999</v>
      </c>
      <c r="AN350" t="str">
        <f ca="1">IF(AND(ISNUMBER($AN$1015),$B$677=1),$AN$1015,HLOOKUP(INDIRECT(ADDRESS(2,COLUMN())),OFFSET($BN$2,0,0,ROW()-1,60),ROW()-1,FALSE))</f>
        <v/>
      </c>
      <c r="AO350" t="str">
        <f ca="1">IF(AND(ISNUMBER($AO$1015),$B$677=1),$AO$1015,HLOOKUP(INDIRECT(ADDRESS(2,COLUMN())),OFFSET($BN$2,0,0,ROW()-1,60),ROW()-1,FALSE))</f>
        <v/>
      </c>
      <c r="AP350" t="str">
        <f ca="1">IF(AND(ISNUMBER($AP$1015),$B$677=1),$AP$1015,HLOOKUP(INDIRECT(ADDRESS(2,COLUMN())),OFFSET($BN$2,0,0,ROW()-1,60),ROW()-1,FALSE))</f>
        <v/>
      </c>
      <c r="AQ350" t="str">
        <f ca="1">IF(AND(ISNUMBER($AQ$1015),$B$677=1),$AQ$1015,HLOOKUP(INDIRECT(ADDRESS(2,COLUMN())),OFFSET($BN$2,0,0,ROW()-1,60),ROW()-1,FALSE))</f>
        <v/>
      </c>
      <c r="AR350" t="str">
        <f ca="1">IF(AND(ISNUMBER($AR$1015),$B$677=1),$AR$1015,HLOOKUP(INDIRECT(ADDRESS(2,COLUMN())),OFFSET($BN$2,0,0,ROW()-1,60),ROW()-1,FALSE))</f>
        <v/>
      </c>
      <c r="AS350" t="str">
        <f ca="1">IF(AND(ISNUMBER($AS$1015),$B$677=1),$AS$1015,HLOOKUP(INDIRECT(ADDRESS(2,COLUMN())),OFFSET($BN$2,0,0,ROW()-1,60),ROW()-1,FALSE))</f>
        <v/>
      </c>
      <c r="AT350" t="str">
        <f ca="1">IF(AND(ISNUMBER($AT$1015),$B$677=1),$AT$1015,HLOOKUP(INDIRECT(ADDRESS(2,COLUMN())),OFFSET($BN$2,0,0,ROW()-1,60),ROW()-1,FALSE))</f>
        <v/>
      </c>
      <c r="AU350" t="str">
        <f ca="1">IF(AND(ISNUMBER($AU$1015),$B$677=1),$AU$1015,HLOOKUP(INDIRECT(ADDRESS(2,COLUMN())),OFFSET($BN$2,0,0,ROW()-1,60),ROW()-1,FALSE))</f>
        <v/>
      </c>
      <c r="AV350" t="str">
        <f ca="1">IF(AND(ISNUMBER($AV$1015),$B$677=1),$AV$1015,HLOOKUP(INDIRECT(ADDRESS(2,COLUMN())),OFFSET($BN$2,0,0,ROW()-1,60),ROW()-1,FALSE))</f>
        <v/>
      </c>
      <c r="AW350" t="str">
        <f ca="1">IF(AND(ISNUMBER($AW$1015),$B$677=1),$AW$1015,HLOOKUP(INDIRECT(ADDRESS(2,COLUMN())),OFFSET($BN$2,0,0,ROW()-1,60),ROW()-1,FALSE))</f>
        <v/>
      </c>
      <c r="AX350" t="str">
        <f ca="1">IF(AND(ISNUMBER($AX$1015),$B$677=1),$AX$1015,HLOOKUP(INDIRECT(ADDRESS(2,COLUMN())),OFFSET($BN$2,0,0,ROW()-1,60),ROW()-1,FALSE))</f>
        <v/>
      </c>
      <c r="AY350" t="str">
        <f ca="1">IF(AND(ISNUMBER($AY$1015),$B$677=1),$AY$1015,HLOOKUP(INDIRECT(ADDRESS(2,COLUMN())),OFFSET($BN$2,0,0,ROW()-1,60),ROW()-1,FALSE))</f>
        <v/>
      </c>
      <c r="AZ350" t="str">
        <f ca="1">IF(AND(ISNUMBER($AZ$1015),$B$677=1),$AZ$1015,HLOOKUP(INDIRECT(ADDRESS(2,COLUMN())),OFFSET($BN$2,0,0,ROW()-1,60),ROW()-1,FALSE))</f>
        <v/>
      </c>
      <c r="BA350" t="str">
        <f ca="1">IF(AND(ISNUMBER($BA$1015),$B$677=1),$BA$1015,HLOOKUP(INDIRECT(ADDRESS(2,COLUMN())),OFFSET($BN$2,0,0,ROW()-1,60),ROW()-1,FALSE))</f>
        <v/>
      </c>
      <c r="BB350" t="str">
        <f ca="1">IF(AND(ISNUMBER($BB$1015),$B$677=1),$BB$1015,HLOOKUP(INDIRECT(ADDRESS(2,COLUMN())),OFFSET($BN$2,0,0,ROW()-1,60),ROW()-1,FALSE))</f>
        <v/>
      </c>
      <c r="BC350" t="str">
        <f ca="1">IF(AND(ISNUMBER($BC$1015),$B$677=1),$BC$1015,HLOOKUP(INDIRECT(ADDRESS(2,COLUMN())),OFFSET($BN$2,0,0,ROW()-1,60),ROW()-1,FALSE))</f>
        <v/>
      </c>
      <c r="BD350" t="str">
        <f ca="1">IF(AND(ISNUMBER($BD$1015),$B$677=1),$BD$1015,HLOOKUP(INDIRECT(ADDRESS(2,COLUMN())),OFFSET($BN$2,0,0,ROW()-1,60),ROW()-1,FALSE))</f>
        <v/>
      </c>
      <c r="BE350" t="str">
        <f ca="1">IF(AND(ISNUMBER($BE$1015),$B$677=1),$BE$1015,HLOOKUP(INDIRECT(ADDRESS(2,COLUMN())),OFFSET($BN$2,0,0,ROW()-1,60),ROW()-1,FALSE))</f>
        <v/>
      </c>
      <c r="BF350" t="str">
        <f ca="1">IF(AND(ISNUMBER($BF$1015),$B$677=1),$BF$1015,HLOOKUP(INDIRECT(ADDRESS(2,COLUMN())),OFFSET($BN$2,0,0,ROW()-1,60),ROW()-1,FALSE))</f>
        <v/>
      </c>
      <c r="BG350" t="str">
        <f ca="1">IF(AND(ISNUMBER($BG$1015),$B$677=1),$BG$1015,HLOOKUP(INDIRECT(ADDRESS(2,COLUMN())),OFFSET($BN$2,0,0,ROW()-1,60),ROW()-1,FALSE))</f>
        <v/>
      </c>
      <c r="BH350" t="str">
        <f ca="1">IF(AND(ISNUMBER($BH$1015),$B$677=1),$BH$1015,HLOOKUP(INDIRECT(ADDRESS(2,COLUMN())),OFFSET($BN$2,0,0,ROW()-1,60),ROW()-1,FALSE))</f>
        <v/>
      </c>
      <c r="BI350" t="str">
        <f ca="1">IF(AND(ISNUMBER($BI$1015),$B$677=1),$BI$1015,HLOOKUP(INDIRECT(ADDRESS(2,COLUMN())),OFFSET($BN$2,0,0,ROW()-1,60),ROW()-1,FALSE))</f>
        <v/>
      </c>
      <c r="BJ350" t="str">
        <f ca="1">IF(AND(ISNUMBER($BJ$1015),$B$677=1),$BJ$1015,HLOOKUP(INDIRECT(ADDRESS(2,COLUMN())),OFFSET($BN$2,0,0,ROW()-1,60),ROW()-1,FALSE))</f>
        <v/>
      </c>
      <c r="BK350" t="str">
        <f ca="1">IF(AND(ISNUMBER($BK$1015),$B$677=1),$BK$1015,HLOOKUP(INDIRECT(ADDRESS(2,COLUMN())),OFFSET($BN$2,0,0,ROW()-1,60),ROW()-1,FALSE))</f>
        <v/>
      </c>
      <c r="BL350" t="str">
        <f ca="1">IF(AND(ISNUMBER($BL$1015),$B$677=1),$BL$1015,HLOOKUP(INDIRECT(ADDRESS(2,COLUMN())),OFFSET($BN$2,0,0,ROW()-1,60),ROW()-1,FALSE))</f>
        <v/>
      </c>
      <c r="BM350" t="str">
        <f ca="1">IF(AND(ISNUMBER($BM$1015),$B$677=1),$BM$1015,HLOOKUP(INDIRECT(ADDRESS(2,COLUMN())),OFFSET($BN$2,0,0,ROW()-1,60),ROW()-1,FALSE))</f>
        <v/>
      </c>
      <c r="BN350" t="str">
        <f>""</f>
        <v/>
      </c>
      <c r="BO350">
        <f>0.307149318</f>
        <v>0.307149318</v>
      </c>
      <c r="BP350">
        <f>0.319099511</f>
        <v>0.319099511</v>
      </c>
      <c r="BQ350">
        <f>0.373627745</f>
        <v>0.37362774500000001</v>
      </c>
      <c r="BR350">
        <f>0.347220972</f>
        <v>0.34722097200000002</v>
      </c>
      <c r="BS350">
        <f>0.360950078</f>
        <v>0.36095007800000001</v>
      </c>
      <c r="BT350">
        <f>0.369326449</f>
        <v>0.369326449</v>
      </c>
      <c r="BU350">
        <f>0.281765609</f>
        <v>0.28176560899999997</v>
      </c>
      <c r="BV350">
        <f>0.28549083</f>
        <v>0.28549082999999997</v>
      </c>
      <c r="BW350">
        <f>0.270209147</f>
        <v>0.27020914699999998</v>
      </c>
      <c r="BX350">
        <f>0.247881273</f>
        <v>0.24788127300000001</v>
      </c>
      <c r="BY350">
        <f>0.24373008</f>
        <v>0.24373007999999999</v>
      </c>
      <c r="BZ350">
        <f>0.264344515</f>
        <v>0.264344515</v>
      </c>
      <c r="CA350">
        <f>0.261834125</f>
        <v>0.26183412499999997</v>
      </c>
      <c r="CB350">
        <f>0.237358223</f>
        <v>0.23735822300000001</v>
      </c>
      <c r="CC350">
        <f>0.265926527</f>
        <v>0.26592652700000002</v>
      </c>
      <c r="CD350">
        <f>0.298094442</f>
        <v>0.29809444200000002</v>
      </c>
      <c r="CE350">
        <f>0.260188932</f>
        <v>0.26018893199999998</v>
      </c>
      <c r="CF350">
        <f>0.229545208</f>
        <v>0.229545208</v>
      </c>
      <c r="CG350">
        <f>0.263172017</f>
        <v>0.26317201699999998</v>
      </c>
      <c r="CH350">
        <f>0.261165366</f>
        <v>0.26116536600000001</v>
      </c>
      <c r="CI350">
        <f>0.258076139</f>
        <v>0.25807613899999998</v>
      </c>
      <c r="CJ350">
        <f>0.262815318</f>
        <v>0.26281531800000002</v>
      </c>
      <c r="CK350">
        <f>0.24482145</f>
        <v>0.24482145</v>
      </c>
      <c r="CL350">
        <f>0.204490656</f>
        <v>0.20449065599999999</v>
      </c>
      <c r="CM350">
        <f>0.194347341</f>
        <v>0.19434734100000001</v>
      </c>
      <c r="CN350">
        <f>0.136830393</f>
        <v>0.13683039299999999</v>
      </c>
      <c r="CO350">
        <f>0.162320315</f>
        <v>0.16232031499999999</v>
      </c>
      <c r="CP350">
        <f>0.225287417</f>
        <v>0.22528741699999999</v>
      </c>
      <c r="CQ350">
        <f>0.110643231</f>
        <v>0.11064323099999999</v>
      </c>
      <c r="CR350">
        <f>0.15302826</f>
        <v>0.15302826</v>
      </c>
      <c r="CS350">
        <f>0.247873071</f>
        <v>0.247873071</v>
      </c>
      <c r="CT350">
        <f>0.305988585</f>
        <v>0.30598858499999998</v>
      </c>
      <c r="CU350">
        <f>0.38084142</f>
        <v>0.38084141999999999</v>
      </c>
      <c r="CV350" t="str">
        <f>""</f>
        <v/>
      </c>
      <c r="CW350" t="str">
        <f>""</f>
        <v/>
      </c>
      <c r="CX350" t="str">
        <f>""</f>
        <v/>
      </c>
      <c r="CY350" t="str">
        <f>""</f>
        <v/>
      </c>
      <c r="CZ350" t="str">
        <f>""</f>
        <v/>
      </c>
      <c r="DA350" t="str">
        <f>""</f>
        <v/>
      </c>
      <c r="DB350" t="str">
        <f>""</f>
        <v/>
      </c>
      <c r="DC350" t="str">
        <f>""</f>
        <v/>
      </c>
      <c r="DD350" t="str">
        <f>""</f>
        <v/>
      </c>
      <c r="DE350" t="str">
        <f>""</f>
        <v/>
      </c>
      <c r="DF350" t="str">
        <f>""</f>
        <v/>
      </c>
      <c r="DG350" t="str">
        <f>""</f>
        <v/>
      </c>
      <c r="DH350" t="str">
        <f>""</f>
        <v/>
      </c>
      <c r="DI350" t="str">
        <f>""</f>
        <v/>
      </c>
      <c r="DJ350" t="str">
        <f>""</f>
        <v/>
      </c>
      <c r="DK350" t="str">
        <f>""</f>
        <v/>
      </c>
      <c r="DL350" t="str">
        <f>""</f>
        <v/>
      </c>
      <c r="DM350" t="str">
        <f>""</f>
        <v/>
      </c>
      <c r="DN350" t="str">
        <f>""</f>
        <v/>
      </c>
      <c r="DO350" t="str">
        <f>""</f>
        <v/>
      </c>
      <c r="DP350" t="str">
        <f>""</f>
        <v/>
      </c>
      <c r="DQ350" t="str">
        <f>""</f>
        <v/>
      </c>
      <c r="DR350" t="str">
        <f>""</f>
        <v/>
      </c>
      <c r="DS350" t="str">
        <f>""</f>
        <v/>
      </c>
      <c r="DT350" t="str">
        <f>""</f>
        <v/>
      </c>
      <c r="DU350" t="str">
        <f>""</f>
        <v/>
      </c>
    </row>
    <row r="351" spans="1:125" x14ac:dyDescent="0.25">
      <c r="A351" t="str">
        <f>"    Great Wall Motor Co Ltd"</f>
        <v xml:space="preserve">    Great Wall Motor Co Ltd</v>
      </c>
      <c r="B351" t="str">
        <f>"2333 HK Equity"</f>
        <v>2333 HK Equity</v>
      </c>
      <c r="C351" t="str">
        <f t="shared" si="24"/>
        <v>RR473</v>
      </c>
      <c r="D351" t="str">
        <f t="shared" si="25"/>
        <v>EV_TO_T12M_SALES</v>
      </c>
      <c r="E351" t="str">
        <f t="shared" si="26"/>
        <v>Dynamic</v>
      </c>
      <c r="F351" t="str">
        <f ca="1">IF(AND(ISNUMBER($F$1016),$B$677=1),$F$1016,HLOOKUP(INDIRECT(ADDRESS(2,COLUMN())),OFFSET($BN$2,0,0,ROW()-1,60),ROW()-1,FALSE))</f>
        <v/>
      </c>
      <c r="G351" t="str">
        <f ca="1">IF(AND(ISNUMBER($G$1016),$B$677=1),$G$1016,HLOOKUP(INDIRECT(ADDRESS(2,COLUMN())),OFFSET($BN$2,0,0,ROW()-1,60),ROW()-1,FALSE))</f>
        <v/>
      </c>
      <c r="H351">
        <f ca="1">IF(AND(ISNUMBER($H$1016),$B$677=1),$H$1016,HLOOKUP(INDIRECT(ADDRESS(2,COLUMN())),OFFSET($BN$2,0,0,ROW()-1,60),ROW()-1,FALSE))</f>
        <v>0.41342480599999998</v>
      </c>
      <c r="I351">
        <f ca="1">IF(AND(ISNUMBER($I$1016),$B$677=1),$I$1016,HLOOKUP(INDIRECT(ADDRESS(2,COLUMN())),OFFSET($BN$2,0,0,ROW()-1,60),ROW()-1,FALSE))</f>
        <v>0.50257435900000003</v>
      </c>
      <c r="J351">
        <f ca="1">IF(AND(ISNUMBER($J$1016),$B$677=1),$J$1016,HLOOKUP(INDIRECT(ADDRESS(2,COLUMN())),OFFSET($BN$2,0,0,ROW()-1,60),ROW()-1,FALSE))</f>
        <v>1.0700494709999999</v>
      </c>
      <c r="K351">
        <f ca="1">IF(AND(ISNUMBER($K$1016),$B$677=1),$K$1016,HLOOKUP(INDIRECT(ADDRESS(2,COLUMN())),OFFSET($BN$2,0,0,ROW()-1,60),ROW()-1,FALSE))</f>
        <v>1.086403453</v>
      </c>
      <c r="L351">
        <f ca="1">IF(AND(ISNUMBER($L$1016),$B$677=1),$L$1016,HLOOKUP(INDIRECT(ADDRESS(2,COLUMN())),OFFSET($BN$2,0,0,ROW()-1,60),ROW()-1,FALSE))</f>
        <v>1.1167088119999999</v>
      </c>
      <c r="M351">
        <f ca="1">IF(AND(ISNUMBER($M$1016),$B$677=1),$M$1016,HLOOKUP(INDIRECT(ADDRESS(2,COLUMN())),OFFSET($BN$2,0,0,ROW()-1,60),ROW()-1,FALSE))</f>
        <v>1.127098948</v>
      </c>
      <c r="N351">
        <f ca="1">IF(AND(ISNUMBER($N$1016),$B$677=1),$N$1016,HLOOKUP(INDIRECT(ADDRESS(2,COLUMN())),OFFSET($BN$2,0,0,ROW()-1,60),ROW()-1,FALSE))</f>
        <v>1.1184448819999999</v>
      </c>
      <c r="O351">
        <f ca="1">IF(AND(ISNUMBER($O$1016),$B$677=1),$O$1016,HLOOKUP(INDIRECT(ADDRESS(2,COLUMN())),OFFSET($BN$2,0,0,ROW()-1,60),ROW()-1,FALSE))</f>
        <v>0.92931055500000004</v>
      </c>
      <c r="P351">
        <f ca="1">IF(AND(ISNUMBER($P$1016),$B$677=1),$P$1016,HLOOKUP(INDIRECT(ADDRESS(2,COLUMN())),OFFSET($BN$2,0,0,ROW()-1,60),ROW()-1,FALSE))</f>
        <v>1.023181414</v>
      </c>
      <c r="Q351">
        <f ca="1">IF(AND(ISNUMBER($Q$1016),$B$677=1),$Q$1016,HLOOKUP(INDIRECT(ADDRESS(2,COLUMN())),OFFSET($BN$2,0,0,ROW()-1,60),ROW()-1,FALSE))</f>
        <v>0.89914126299999997</v>
      </c>
      <c r="R351">
        <f ca="1">IF(AND(ISNUMBER($R$1016),$B$677=1),$R$1016,HLOOKUP(INDIRECT(ADDRESS(2,COLUMN())),OFFSET($BN$2,0,0,ROW()-1,60),ROW()-1,FALSE))</f>
        <v>0.98425965999999998</v>
      </c>
      <c r="S351">
        <f ca="1">IF(AND(ISNUMBER($S$1016),$B$677=1),$S$1016,HLOOKUP(INDIRECT(ADDRESS(2,COLUMN())),OFFSET($BN$2,0,0,ROW()-1,60),ROW()-1,FALSE))</f>
        <v>1.346119861</v>
      </c>
      <c r="T351">
        <f ca="1">IF(AND(ISNUMBER($T$1016),$B$677=1),$T$1016,HLOOKUP(INDIRECT(ADDRESS(2,COLUMN())),OFFSET($BN$2,0,0,ROW()-1,60),ROW()-1,FALSE))</f>
        <v>0.91995708899999995</v>
      </c>
      <c r="U351">
        <f ca="1">IF(AND(ISNUMBER($U$1016),$B$677=1),$U$1016,HLOOKUP(INDIRECT(ADDRESS(2,COLUMN())),OFFSET($BN$2,0,0,ROW()-1,60),ROW()-1,FALSE))</f>
        <v>1.7181950699999999</v>
      </c>
      <c r="V351">
        <f ca="1">IF(AND(ISNUMBER($V$1016),$B$677=1),$V$1016,HLOOKUP(INDIRECT(ADDRESS(2,COLUMN())),OFFSET($BN$2,0,0,ROW()-1,60),ROW()-1,FALSE))</f>
        <v>3.73865113</v>
      </c>
      <c r="W351">
        <f ca="1">IF(AND(ISNUMBER($W$1016),$B$677=1),$W$1016,HLOOKUP(INDIRECT(ADDRESS(2,COLUMN())),OFFSET($BN$2,0,0,ROW()-1,60),ROW()-1,FALSE))</f>
        <v>2.0086818160000002</v>
      </c>
      <c r="X351">
        <f ca="1">IF(AND(ISNUMBER($X$1016),$B$677=1),$X$1016,HLOOKUP(INDIRECT(ADDRESS(2,COLUMN())),OFFSET($BN$2,0,0,ROW()-1,60),ROW()-1,FALSE))</f>
        <v>1.2658120610000001</v>
      </c>
      <c r="Y351">
        <f ca="1">IF(AND(ISNUMBER($Y$1016),$B$677=1),$Y$1016,HLOOKUP(INDIRECT(ADDRESS(2,COLUMN())),OFFSET($BN$2,0,0,ROW()-1,60),ROW()-1,FALSE))</f>
        <v>1.2400414829999999</v>
      </c>
      <c r="Z351">
        <f ca="1">IF(AND(ISNUMBER($Z$1016),$B$677=1),$Z$1016,HLOOKUP(INDIRECT(ADDRESS(2,COLUMN())),OFFSET($BN$2,0,0,ROW()-1,60),ROW()-1,FALSE))</f>
        <v>1.6400108680000001</v>
      </c>
      <c r="AA351">
        <f ca="1">IF(AND(ISNUMBER($AA$1016),$B$677=1),$AA$1016,HLOOKUP(INDIRECT(ADDRESS(2,COLUMN())),OFFSET($BN$2,0,0,ROW()-1,60),ROW()-1,FALSE))</f>
        <v>1.844111316</v>
      </c>
      <c r="AB351">
        <f ca="1">IF(AND(ISNUMBER($AB$1016),$B$677=1),$AB$1016,HLOOKUP(INDIRECT(ADDRESS(2,COLUMN())),OFFSET($BN$2,0,0,ROW()-1,60),ROW()-1,FALSE))</f>
        <v>1.8509525170000001</v>
      </c>
      <c r="AC351">
        <f ca="1">IF(AND(ISNUMBER($AC$1016),$B$677=1),$AC$1016,HLOOKUP(INDIRECT(ADDRESS(2,COLUMN())),OFFSET($BN$2,0,0,ROW()-1,60),ROW()-1,FALSE))</f>
        <v>1.5830762110000001</v>
      </c>
      <c r="AD351">
        <f ca="1">IF(AND(ISNUMBER($AD$1016),$B$677=1),$AD$1016,HLOOKUP(INDIRECT(ADDRESS(2,COLUMN())),OFFSET($BN$2,0,0,ROW()-1,60),ROW()-1,FALSE))</f>
        <v>1.358157708</v>
      </c>
      <c r="AE351">
        <f ca="1">IF(AND(ISNUMBER($AE$1016),$B$677=1),$AE$1016,HLOOKUP(INDIRECT(ADDRESS(2,COLUMN())),OFFSET($BN$2,0,0,ROW()-1,60),ROW()-1,FALSE))</f>
        <v>1.608719531</v>
      </c>
      <c r="AF351">
        <f ca="1">IF(AND(ISNUMBER($AF$1016),$B$677=1),$AF$1016,HLOOKUP(INDIRECT(ADDRESS(2,COLUMN())),OFFSET($BN$2,0,0,ROW()-1,60),ROW()-1,FALSE))</f>
        <v>1.3266953210000001</v>
      </c>
      <c r="AG351">
        <f ca="1">IF(AND(ISNUMBER($AG$1016),$B$677=1),$AG$1016,HLOOKUP(INDIRECT(ADDRESS(2,COLUMN())),OFFSET($BN$2,0,0,ROW()-1,60),ROW()-1,FALSE))</f>
        <v>1.46826425</v>
      </c>
      <c r="AH351" t="str">
        <f ca="1">IF(AND(ISNUMBER($AH$1016),$B$677=1),$AH$1016,HLOOKUP(INDIRECT(ADDRESS(2,COLUMN())),OFFSET($BN$2,0,0,ROW()-1,60),ROW()-1,FALSE))</f>
        <v/>
      </c>
      <c r="AI351" t="str">
        <f ca="1">IF(AND(ISNUMBER($AI$1016),$B$677=1),$AI$1016,HLOOKUP(INDIRECT(ADDRESS(2,COLUMN())),OFFSET($BN$2,0,0,ROW()-1,60),ROW()-1,FALSE))</f>
        <v/>
      </c>
      <c r="AJ351" t="str">
        <f ca="1">IF(AND(ISNUMBER($AJ$1016),$B$677=1),$AJ$1016,HLOOKUP(INDIRECT(ADDRESS(2,COLUMN())),OFFSET($BN$2,0,0,ROW()-1,60),ROW()-1,FALSE))</f>
        <v/>
      </c>
      <c r="AK351" t="str">
        <f ca="1">IF(AND(ISNUMBER($AK$1016),$B$677=1),$AK$1016,HLOOKUP(INDIRECT(ADDRESS(2,COLUMN())),OFFSET($BN$2,0,0,ROW()-1,60),ROW()-1,FALSE))</f>
        <v/>
      </c>
      <c r="AL351" t="str">
        <f ca="1">IF(AND(ISNUMBER($AL$1016),$B$677=1),$AL$1016,HLOOKUP(INDIRECT(ADDRESS(2,COLUMN())),OFFSET($BN$2,0,0,ROW()-1,60),ROW()-1,FALSE))</f>
        <v/>
      </c>
      <c r="AM351" t="str">
        <f ca="1">IF(AND(ISNUMBER($AM$1016),$B$677=1),$AM$1016,HLOOKUP(INDIRECT(ADDRESS(2,COLUMN())),OFFSET($BN$2,0,0,ROW()-1,60),ROW()-1,FALSE))</f>
        <v/>
      </c>
      <c r="AN351" t="str">
        <f ca="1">IF(AND(ISNUMBER($AN$1016),$B$677=1),$AN$1016,HLOOKUP(INDIRECT(ADDRESS(2,COLUMN())),OFFSET($BN$2,0,0,ROW()-1,60),ROW()-1,FALSE))</f>
        <v/>
      </c>
      <c r="AO351" t="str">
        <f ca="1">IF(AND(ISNUMBER($AO$1016),$B$677=1),$AO$1016,HLOOKUP(INDIRECT(ADDRESS(2,COLUMN())),OFFSET($BN$2,0,0,ROW()-1,60),ROW()-1,FALSE))</f>
        <v/>
      </c>
      <c r="AP351" t="str">
        <f ca="1">IF(AND(ISNUMBER($AP$1016),$B$677=1),$AP$1016,HLOOKUP(INDIRECT(ADDRESS(2,COLUMN())),OFFSET($BN$2,0,0,ROW()-1,60),ROW()-1,FALSE))</f>
        <v/>
      </c>
      <c r="AQ351" t="str">
        <f ca="1">IF(AND(ISNUMBER($AQ$1016),$B$677=1),$AQ$1016,HLOOKUP(INDIRECT(ADDRESS(2,COLUMN())),OFFSET($BN$2,0,0,ROW()-1,60),ROW()-1,FALSE))</f>
        <v/>
      </c>
      <c r="AR351" t="str">
        <f ca="1">IF(AND(ISNUMBER($AR$1016),$B$677=1),$AR$1016,HLOOKUP(INDIRECT(ADDRESS(2,COLUMN())),OFFSET($BN$2,0,0,ROW()-1,60),ROW()-1,FALSE))</f>
        <v/>
      </c>
      <c r="AS351" t="str">
        <f ca="1">IF(AND(ISNUMBER($AS$1016),$B$677=1),$AS$1016,HLOOKUP(INDIRECT(ADDRESS(2,COLUMN())),OFFSET($BN$2,0,0,ROW()-1,60),ROW()-1,FALSE))</f>
        <v/>
      </c>
      <c r="AT351" t="str">
        <f ca="1">IF(AND(ISNUMBER($AT$1016),$B$677=1),$AT$1016,HLOOKUP(INDIRECT(ADDRESS(2,COLUMN())),OFFSET($BN$2,0,0,ROW()-1,60),ROW()-1,FALSE))</f>
        <v/>
      </c>
      <c r="AU351" t="str">
        <f ca="1">IF(AND(ISNUMBER($AU$1016),$B$677=1),$AU$1016,HLOOKUP(INDIRECT(ADDRESS(2,COLUMN())),OFFSET($BN$2,0,0,ROW()-1,60),ROW()-1,FALSE))</f>
        <v/>
      </c>
      <c r="AV351" t="str">
        <f ca="1">IF(AND(ISNUMBER($AV$1016),$B$677=1),$AV$1016,HLOOKUP(INDIRECT(ADDRESS(2,COLUMN())),OFFSET($BN$2,0,0,ROW()-1,60),ROW()-1,FALSE))</f>
        <v/>
      </c>
      <c r="AW351" t="str">
        <f ca="1">IF(AND(ISNUMBER($AW$1016),$B$677=1),$AW$1016,HLOOKUP(INDIRECT(ADDRESS(2,COLUMN())),OFFSET($BN$2,0,0,ROW()-1,60),ROW()-1,FALSE))</f>
        <v/>
      </c>
      <c r="AX351" t="str">
        <f ca="1">IF(AND(ISNUMBER($AX$1016),$B$677=1),$AX$1016,HLOOKUP(INDIRECT(ADDRESS(2,COLUMN())),OFFSET($BN$2,0,0,ROW()-1,60),ROW()-1,FALSE))</f>
        <v/>
      </c>
      <c r="AY351" t="str">
        <f ca="1">IF(AND(ISNUMBER($AY$1016),$B$677=1),$AY$1016,HLOOKUP(INDIRECT(ADDRESS(2,COLUMN())),OFFSET($BN$2,0,0,ROW()-1,60),ROW()-1,FALSE))</f>
        <v/>
      </c>
      <c r="AZ351" t="str">
        <f ca="1">IF(AND(ISNUMBER($AZ$1016),$B$677=1),$AZ$1016,HLOOKUP(INDIRECT(ADDRESS(2,COLUMN())),OFFSET($BN$2,0,0,ROW()-1,60),ROW()-1,FALSE))</f>
        <v/>
      </c>
      <c r="BA351" t="str">
        <f ca="1">IF(AND(ISNUMBER($BA$1016),$B$677=1),$BA$1016,HLOOKUP(INDIRECT(ADDRESS(2,COLUMN())),OFFSET($BN$2,0,0,ROW()-1,60),ROW()-1,FALSE))</f>
        <v/>
      </c>
      <c r="BB351" t="str">
        <f ca="1">IF(AND(ISNUMBER($BB$1016),$B$677=1),$BB$1016,HLOOKUP(INDIRECT(ADDRESS(2,COLUMN())),OFFSET($BN$2,0,0,ROW()-1,60),ROW()-1,FALSE))</f>
        <v/>
      </c>
      <c r="BC351" t="str">
        <f ca="1">IF(AND(ISNUMBER($BC$1016),$B$677=1),$BC$1016,HLOOKUP(INDIRECT(ADDRESS(2,COLUMN())),OFFSET($BN$2,0,0,ROW()-1,60),ROW()-1,FALSE))</f>
        <v/>
      </c>
      <c r="BD351" t="str">
        <f ca="1">IF(AND(ISNUMBER($BD$1016),$B$677=1),$BD$1016,HLOOKUP(INDIRECT(ADDRESS(2,COLUMN())),OFFSET($BN$2,0,0,ROW()-1,60),ROW()-1,FALSE))</f>
        <v/>
      </c>
      <c r="BE351" t="str">
        <f ca="1">IF(AND(ISNUMBER($BE$1016),$B$677=1),$BE$1016,HLOOKUP(INDIRECT(ADDRESS(2,COLUMN())),OFFSET($BN$2,0,0,ROW()-1,60),ROW()-1,FALSE))</f>
        <v/>
      </c>
      <c r="BF351" t="str">
        <f ca="1">IF(AND(ISNUMBER($BF$1016),$B$677=1),$BF$1016,HLOOKUP(INDIRECT(ADDRESS(2,COLUMN())),OFFSET($BN$2,0,0,ROW()-1,60),ROW()-1,FALSE))</f>
        <v/>
      </c>
      <c r="BG351" t="str">
        <f ca="1">IF(AND(ISNUMBER($BG$1016),$B$677=1),$BG$1016,HLOOKUP(INDIRECT(ADDRESS(2,COLUMN())),OFFSET($BN$2,0,0,ROW()-1,60),ROW()-1,FALSE))</f>
        <v/>
      </c>
      <c r="BH351" t="str">
        <f ca="1">IF(AND(ISNUMBER($BH$1016),$B$677=1),$BH$1016,HLOOKUP(INDIRECT(ADDRESS(2,COLUMN())),OFFSET($BN$2,0,0,ROW()-1,60),ROW()-1,FALSE))</f>
        <v/>
      </c>
      <c r="BI351" t="str">
        <f ca="1">IF(AND(ISNUMBER($BI$1016),$B$677=1),$BI$1016,HLOOKUP(INDIRECT(ADDRESS(2,COLUMN())),OFFSET($BN$2,0,0,ROW()-1,60),ROW()-1,FALSE))</f>
        <v/>
      </c>
      <c r="BJ351" t="str">
        <f ca="1">IF(AND(ISNUMBER($BJ$1016),$B$677=1),$BJ$1016,HLOOKUP(INDIRECT(ADDRESS(2,COLUMN())),OFFSET($BN$2,0,0,ROW()-1,60),ROW()-1,FALSE))</f>
        <v/>
      </c>
      <c r="BK351" t="str">
        <f ca="1">IF(AND(ISNUMBER($BK$1016),$B$677=1),$BK$1016,HLOOKUP(INDIRECT(ADDRESS(2,COLUMN())),OFFSET($BN$2,0,0,ROW()-1,60),ROW()-1,FALSE))</f>
        <v/>
      </c>
      <c r="BL351" t="str">
        <f ca="1">IF(AND(ISNUMBER($BL$1016),$B$677=1),$BL$1016,HLOOKUP(INDIRECT(ADDRESS(2,COLUMN())),OFFSET($BN$2,0,0,ROW()-1,60),ROW()-1,FALSE))</f>
        <v/>
      </c>
      <c r="BM351" t="str">
        <f ca="1">IF(AND(ISNUMBER($BM$1016),$B$677=1),$BM$1016,HLOOKUP(INDIRECT(ADDRESS(2,COLUMN())),OFFSET($BN$2,0,0,ROW()-1,60),ROW()-1,FALSE))</f>
        <v/>
      </c>
      <c r="BN351" t="str">
        <f>""</f>
        <v/>
      </c>
      <c r="BO351" t="str">
        <f>""</f>
        <v/>
      </c>
      <c r="BP351">
        <f>0.413424806</f>
        <v>0.41342480599999998</v>
      </c>
      <c r="BQ351">
        <f>0.502574359</f>
        <v>0.50257435900000003</v>
      </c>
      <c r="BR351">
        <f>1.070049471</f>
        <v>1.0700494709999999</v>
      </c>
      <c r="BS351">
        <f>1.086403453</f>
        <v>1.086403453</v>
      </c>
      <c r="BT351">
        <f>1.116708812</f>
        <v>1.1167088119999999</v>
      </c>
      <c r="BU351">
        <f>1.127098948</f>
        <v>1.127098948</v>
      </c>
      <c r="BV351">
        <f>1.118444882</f>
        <v>1.1184448819999999</v>
      </c>
      <c r="BW351">
        <f>0.929310555</f>
        <v>0.92931055500000004</v>
      </c>
      <c r="BX351">
        <f>1.023181414</f>
        <v>1.023181414</v>
      </c>
      <c r="BY351">
        <f>0.899141263</f>
        <v>0.89914126299999997</v>
      </c>
      <c r="BZ351">
        <f>0.98425966</f>
        <v>0.98425965999999998</v>
      </c>
      <c r="CA351">
        <f>1.346119861</f>
        <v>1.346119861</v>
      </c>
      <c r="CB351">
        <f>0.919957089</f>
        <v>0.91995708899999995</v>
      </c>
      <c r="CC351">
        <f>1.71819507</f>
        <v>1.7181950699999999</v>
      </c>
      <c r="CD351">
        <f>3.73865113</f>
        <v>3.73865113</v>
      </c>
      <c r="CE351">
        <f>2.008681816</f>
        <v>2.0086818160000002</v>
      </c>
      <c r="CF351">
        <f>1.265812061</f>
        <v>1.2658120610000001</v>
      </c>
      <c r="CG351">
        <f>1.240041483</f>
        <v>1.2400414829999999</v>
      </c>
      <c r="CH351">
        <f>1.640010868</f>
        <v>1.6400108680000001</v>
      </c>
      <c r="CI351">
        <f>1.844111316</f>
        <v>1.844111316</v>
      </c>
      <c r="CJ351">
        <f>1.850952517</f>
        <v>1.8509525170000001</v>
      </c>
      <c r="CK351">
        <f>1.583076211</f>
        <v>1.5830762110000001</v>
      </c>
      <c r="CL351">
        <f>1.358157708</f>
        <v>1.358157708</v>
      </c>
      <c r="CM351">
        <f>1.608719531</f>
        <v>1.608719531</v>
      </c>
      <c r="CN351">
        <f>1.326695321</f>
        <v>1.3266953210000001</v>
      </c>
      <c r="CO351">
        <f>1.46826425</f>
        <v>1.46826425</v>
      </c>
      <c r="CP351" t="str">
        <f>""</f>
        <v/>
      </c>
      <c r="CQ351" t="str">
        <f>""</f>
        <v/>
      </c>
      <c r="CR351" t="str">
        <f>""</f>
        <v/>
      </c>
      <c r="CS351" t="str">
        <f>""</f>
        <v/>
      </c>
      <c r="CT351" t="str">
        <f>""</f>
        <v/>
      </c>
      <c r="CU351" t="str">
        <f>""</f>
        <v/>
      </c>
      <c r="CV351" t="str">
        <f>""</f>
        <v/>
      </c>
      <c r="CW351" t="str">
        <f>""</f>
        <v/>
      </c>
      <c r="CX351" t="str">
        <f>""</f>
        <v/>
      </c>
      <c r="CY351" t="str">
        <f>""</f>
        <v/>
      </c>
      <c r="CZ351" t="str">
        <f>""</f>
        <v/>
      </c>
      <c r="DA351" t="str">
        <f>""</f>
        <v/>
      </c>
      <c r="DB351" t="str">
        <f>""</f>
        <v/>
      </c>
      <c r="DC351" t="str">
        <f>""</f>
        <v/>
      </c>
      <c r="DD351" t="str">
        <f>""</f>
        <v/>
      </c>
      <c r="DE351" t="str">
        <f>""</f>
        <v/>
      </c>
      <c r="DF351" t="str">
        <f>""</f>
        <v/>
      </c>
      <c r="DG351" t="str">
        <f>""</f>
        <v/>
      </c>
      <c r="DH351" t="str">
        <f>""</f>
        <v/>
      </c>
      <c r="DI351" t="str">
        <f>""</f>
        <v/>
      </c>
      <c r="DJ351" t="str">
        <f>""</f>
        <v/>
      </c>
      <c r="DK351" t="str">
        <f>""</f>
        <v/>
      </c>
      <c r="DL351" t="str">
        <f>""</f>
        <v/>
      </c>
      <c r="DM351" t="str">
        <f>""</f>
        <v/>
      </c>
      <c r="DN351" t="str">
        <f>""</f>
        <v/>
      </c>
      <c r="DO351" t="str">
        <f>""</f>
        <v/>
      </c>
      <c r="DP351" t="str">
        <f>""</f>
        <v/>
      </c>
      <c r="DQ351" t="str">
        <f>""</f>
        <v/>
      </c>
      <c r="DR351" t="str">
        <f>""</f>
        <v/>
      </c>
      <c r="DS351" t="str">
        <f>""</f>
        <v/>
      </c>
      <c r="DT351" t="str">
        <f>""</f>
        <v/>
      </c>
      <c r="DU351" t="str">
        <f>""</f>
        <v/>
      </c>
    </row>
    <row r="352" spans="1:125" x14ac:dyDescent="0.25">
      <c r="A352" t="str">
        <f>"    Guangzhou Automobile Group Co Ltd"</f>
        <v xml:space="preserve">    Guangzhou Automobile Group Co Ltd</v>
      </c>
      <c r="B352" t="str">
        <f>"2238 HK Equity"</f>
        <v>2238 HK Equity</v>
      </c>
      <c r="C352" t="str">
        <f t="shared" si="24"/>
        <v>RR473</v>
      </c>
      <c r="D352" t="str">
        <f t="shared" si="25"/>
        <v>EV_TO_T12M_SALES</v>
      </c>
      <c r="E352" t="str">
        <f t="shared" si="26"/>
        <v>Dynamic</v>
      </c>
      <c r="F352" t="str">
        <f ca="1">IF(AND(ISNUMBER($F$1017),$B$677=1),$F$1017,HLOOKUP(INDIRECT(ADDRESS(2,COLUMN())),OFFSET($BN$2,0,0,ROW()-1,60),ROW()-1,FALSE))</f>
        <v/>
      </c>
      <c r="G352" t="str">
        <f ca="1">IF(AND(ISNUMBER($G$1017),$B$677=1),$G$1017,HLOOKUP(INDIRECT(ADDRESS(2,COLUMN())),OFFSET($BN$2,0,0,ROW()-1,60),ROW()-1,FALSE))</f>
        <v/>
      </c>
      <c r="H352">
        <f ca="1">IF(AND(ISNUMBER($H$1017),$B$677=1),$H$1017,HLOOKUP(INDIRECT(ADDRESS(2,COLUMN())),OFFSET($BN$2,0,0,ROW()-1,60),ROW()-1,FALSE))</f>
        <v>0.77579951000000003</v>
      </c>
      <c r="I352">
        <f ca="1">IF(AND(ISNUMBER($I$1017),$B$677=1),$I$1017,HLOOKUP(INDIRECT(ADDRESS(2,COLUMN())),OFFSET($BN$2,0,0,ROW()-1,60),ROW()-1,FALSE))</f>
        <v>0.61614435899999997</v>
      </c>
      <c r="J352">
        <f ca="1">IF(AND(ISNUMBER($J$1017),$B$677=1),$J$1017,HLOOKUP(INDIRECT(ADDRESS(2,COLUMN())),OFFSET($BN$2,0,0,ROW()-1,60),ROW()-1,FALSE))</f>
        <v>2.318995814</v>
      </c>
      <c r="K352">
        <f ca="1">IF(AND(ISNUMBER($K$1017),$B$677=1),$K$1017,HLOOKUP(INDIRECT(ADDRESS(2,COLUMN())),OFFSET($BN$2,0,0,ROW()-1,60),ROW()-1,FALSE))</f>
        <v>2.8257658069999998</v>
      </c>
      <c r="L352">
        <f ca="1">IF(AND(ISNUMBER($L$1017),$B$677=1),$L$1017,HLOOKUP(INDIRECT(ADDRESS(2,COLUMN())),OFFSET($BN$2,0,0,ROW()-1,60),ROW()-1,FALSE))</f>
        <v>3.0662278729999999</v>
      </c>
      <c r="M352">
        <f ca="1">IF(AND(ISNUMBER($M$1017),$B$677=1),$M$1017,HLOOKUP(INDIRECT(ADDRESS(2,COLUMN())),OFFSET($BN$2,0,0,ROW()-1,60),ROW()-1,FALSE))</f>
        <v>2.1097565060000001</v>
      </c>
      <c r="N352">
        <f ca="1">IF(AND(ISNUMBER($N$1017),$B$677=1),$N$1017,HLOOKUP(INDIRECT(ADDRESS(2,COLUMN())),OFFSET($BN$2,0,0,ROW()-1,60),ROW()-1,FALSE))</f>
        <v>2.4125792650000002</v>
      </c>
      <c r="O352">
        <f ca="1">IF(AND(ISNUMBER($O$1017),$B$677=1),$O$1017,HLOOKUP(INDIRECT(ADDRESS(2,COLUMN())),OFFSET($BN$2,0,0,ROW()-1,60),ROW()-1,FALSE))</f>
        <v>2.308500531</v>
      </c>
      <c r="P352">
        <f ca="1">IF(AND(ISNUMBER($P$1017),$B$677=1),$P$1017,HLOOKUP(INDIRECT(ADDRESS(2,COLUMN())),OFFSET($BN$2,0,0,ROW()-1,60),ROW()-1,FALSE))</f>
        <v>2.6013231060000002</v>
      </c>
      <c r="Q352">
        <f ca="1">IF(AND(ISNUMBER($Q$1017),$B$677=1),$Q$1017,HLOOKUP(INDIRECT(ADDRESS(2,COLUMN())),OFFSET($BN$2,0,0,ROW()-1,60),ROW()-1,FALSE))</f>
        <v>2.893597733</v>
      </c>
      <c r="R352">
        <f ca="1">IF(AND(ISNUMBER($R$1017),$B$677=1),$R$1017,HLOOKUP(INDIRECT(ADDRESS(2,COLUMN())),OFFSET($BN$2,0,0,ROW()-1,60),ROW()-1,FALSE))</f>
        <v>2.975985922</v>
      </c>
      <c r="S352">
        <f ca="1">IF(AND(ISNUMBER($S$1017),$B$677=1),$S$1017,HLOOKUP(INDIRECT(ADDRESS(2,COLUMN())),OFFSET($BN$2,0,0,ROW()-1,60),ROW()-1,FALSE))</f>
        <v>3.6920153070000001</v>
      </c>
      <c r="T352">
        <f ca="1">IF(AND(ISNUMBER($T$1017),$B$677=1),$T$1017,HLOOKUP(INDIRECT(ADDRESS(2,COLUMN())),OFFSET($BN$2,0,0,ROW()-1,60),ROW()-1,FALSE))</f>
        <v>4.7936966380000001</v>
      </c>
      <c r="U352">
        <f ca="1">IF(AND(ISNUMBER($U$1017),$B$677=1),$U$1017,HLOOKUP(INDIRECT(ADDRESS(2,COLUMN())),OFFSET($BN$2,0,0,ROW()-1,60),ROW()-1,FALSE))</f>
        <v>3.3569881829999999</v>
      </c>
      <c r="V352">
        <f ca="1">IF(AND(ISNUMBER($V$1017),$B$677=1),$V$1017,HLOOKUP(INDIRECT(ADDRESS(2,COLUMN())),OFFSET($BN$2,0,0,ROW()-1,60),ROW()-1,FALSE))</f>
        <v>1.4871892499999999</v>
      </c>
      <c r="W352">
        <f ca="1">IF(AND(ISNUMBER($W$1017),$B$677=1),$W$1017,HLOOKUP(INDIRECT(ADDRESS(2,COLUMN())),OFFSET($BN$2,0,0,ROW()-1,60),ROW()-1,FALSE))</f>
        <v>2.1819843630000002</v>
      </c>
      <c r="X352">
        <f ca="1">IF(AND(ISNUMBER($X$1017),$B$677=1),$X$1017,HLOOKUP(INDIRECT(ADDRESS(2,COLUMN())),OFFSET($BN$2,0,0,ROW()-1,60),ROW()-1,FALSE))</f>
        <v>1.683160542</v>
      </c>
      <c r="Y352">
        <f ca="1">IF(AND(ISNUMBER($Y$1017),$B$677=1),$Y$1017,HLOOKUP(INDIRECT(ADDRESS(2,COLUMN())),OFFSET($BN$2,0,0,ROW()-1,60),ROW()-1,FALSE))</f>
        <v>2.053668874</v>
      </c>
      <c r="Z352">
        <f ca="1">IF(AND(ISNUMBER($Z$1017),$B$677=1),$Z$1017,HLOOKUP(INDIRECT(ADDRESS(2,COLUMN())),OFFSET($BN$2,0,0,ROW()-1,60),ROW()-1,FALSE))</f>
        <v>2.0360005029999999</v>
      </c>
      <c r="AA352">
        <f ca="1">IF(AND(ISNUMBER($AA$1017),$B$677=1),$AA$1017,HLOOKUP(INDIRECT(ADDRESS(2,COLUMN())),OFFSET($BN$2,0,0,ROW()-1,60),ROW()-1,FALSE))</f>
        <v>2.1731466400000001</v>
      </c>
      <c r="AB352">
        <f ca="1">IF(AND(ISNUMBER($AB$1017),$B$677=1),$AB$1017,HLOOKUP(INDIRECT(ADDRESS(2,COLUMN())),OFFSET($BN$2,0,0,ROW()-1,60),ROW()-1,FALSE))</f>
        <v>2.3998284540000001</v>
      </c>
      <c r="AC352">
        <f ca="1">IF(AND(ISNUMBER($AC$1017),$B$677=1),$AC$1017,HLOOKUP(INDIRECT(ADDRESS(2,COLUMN())),OFFSET($BN$2,0,0,ROW()-1,60),ROW()-1,FALSE))</f>
        <v>2.580660301</v>
      </c>
      <c r="AD352">
        <f ca="1">IF(AND(ISNUMBER($AD$1017),$B$677=1),$AD$1017,HLOOKUP(INDIRECT(ADDRESS(2,COLUMN())),OFFSET($BN$2,0,0,ROW()-1,60),ROW()-1,FALSE))</f>
        <v>2.201692929</v>
      </c>
      <c r="AE352">
        <f ca="1">IF(AND(ISNUMBER($AE$1017),$B$677=1),$AE$1017,HLOOKUP(INDIRECT(ADDRESS(2,COLUMN())),OFFSET($BN$2,0,0,ROW()-1,60),ROW()-1,FALSE))</f>
        <v>2.8123514890000001</v>
      </c>
      <c r="AF352">
        <f ca="1">IF(AND(ISNUMBER($AF$1017),$B$677=1),$AF$1017,HLOOKUP(INDIRECT(ADDRESS(2,COLUMN())),OFFSET($BN$2,0,0,ROW()-1,60),ROW()-1,FALSE))</f>
        <v>1.9973393020000001</v>
      </c>
      <c r="AG352">
        <f ca="1">IF(AND(ISNUMBER($AG$1017),$B$677=1),$AG$1017,HLOOKUP(INDIRECT(ADDRESS(2,COLUMN())),OFFSET($BN$2,0,0,ROW()-1,60),ROW()-1,FALSE))</f>
        <v>3.6202902969999999</v>
      </c>
      <c r="AH352">
        <f ca="1">IF(AND(ISNUMBER($AH$1017),$B$677=1),$AH$1017,HLOOKUP(INDIRECT(ADDRESS(2,COLUMN())),OFFSET($BN$2,0,0,ROW()-1,60),ROW()-1,FALSE))</f>
        <v>3.6591253959999999</v>
      </c>
      <c r="AI352">
        <f ca="1">IF(AND(ISNUMBER($AI$1017),$B$677=1),$AI$1017,HLOOKUP(INDIRECT(ADDRESS(2,COLUMN())),OFFSET($BN$2,0,0,ROW()-1,60),ROW()-1,FALSE))</f>
        <v>2.6325324569999999</v>
      </c>
      <c r="AJ352">
        <f ca="1">IF(AND(ISNUMBER($AJ$1017),$B$677=1),$AJ$1017,HLOOKUP(INDIRECT(ADDRESS(2,COLUMN())),OFFSET($BN$2,0,0,ROW()-1,60),ROW()-1,FALSE))</f>
        <v>3.3356763819999999</v>
      </c>
      <c r="AK352">
        <f ca="1">IF(AND(ISNUMBER($AK$1017),$B$677=1),$AK$1017,HLOOKUP(INDIRECT(ADDRESS(2,COLUMN())),OFFSET($BN$2,0,0,ROW()-1,60),ROW()-1,FALSE))</f>
        <v>4.4372411219999996</v>
      </c>
      <c r="AL352">
        <f ca="1">IF(AND(ISNUMBER($AL$1017),$B$677=1),$AL$1017,HLOOKUP(INDIRECT(ADDRESS(2,COLUMN())),OFFSET($BN$2,0,0,ROW()-1,60),ROW()-1,FALSE))</f>
        <v>4.7487032850000004</v>
      </c>
      <c r="AM352">
        <f ca="1">IF(AND(ISNUMBER($AM$1017),$B$677=1),$AM$1017,HLOOKUP(INDIRECT(ADDRESS(2,COLUMN())),OFFSET($BN$2,0,0,ROW()-1,60),ROW()-1,FALSE))</f>
        <v>5.801690743</v>
      </c>
      <c r="AN352">
        <f ca="1">IF(AND(ISNUMBER($AN$1017),$B$677=1),$AN$1017,HLOOKUP(INDIRECT(ADDRESS(2,COLUMN())),OFFSET($BN$2,0,0,ROW()-1,60),ROW()-1,FALSE))</f>
        <v>7.5405255499999999</v>
      </c>
      <c r="AO352" t="str">
        <f ca="1">IF(AND(ISNUMBER($AO$1017),$B$677=1),$AO$1017,HLOOKUP(INDIRECT(ADDRESS(2,COLUMN())),OFFSET($BN$2,0,0,ROW()-1,60),ROW()-1,FALSE))</f>
        <v/>
      </c>
      <c r="AP352" t="str">
        <f ca="1">IF(AND(ISNUMBER($AP$1017),$B$677=1),$AP$1017,HLOOKUP(INDIRECT(ADDRESS(2,COLUMN())),OFFSET($BN$2,0,0,ROW()-1,60),ROW()-1,FALSE))</f>
        <v/>
      </c>
      <c r="AQ352" t="str">
        <f ca="1">IF(AND(ISNUMBER($AQ$1017),$B$677=1),$AQ$1017,HLOOKUP(INDIRECT(ADDRESS(2,COLUMN())),OFFSET($BN$2,0,0,ROW()-1,60),ROW()-1,FALSE))</f>
        <v/>
      </c>
      <c r="AR352" t="str">
        <f ca="1">IF(AND(ISNUMBER($AR$1017),$B$677=1),$AR$1017,HLOOKUP(INDIRECT(ADDRESS(2,COLUMN())),OFFSET($BN$2,0,0,ROW()-1,60),ROW()-1,FALSE))</f>
        <v/>
      </c>
      <c r="AS352" t="str">
        <f ca="1">IF(AND(ISNUMBER($AS$1017),$B$677=1),$AS$1017,HLOOKUP(INDIRECT(ADDRESS(2,COLUMN())),OFFSET($BN$2,0,0,ROW()-1,60),ROW()-1,FALSE))</f>
        <v/>
      </c>
      <c r="AT352" t="str">
        <f ca="1">IF(AND(ISNUMBER($AT$1017),$B$677=1),$AT$1017,HLOOKUP(INDIRECT(ADDRESS(2,COLUMN())),OFFSET($BN$2,0,0,ROW()-1,60),ROW()-1,FALSE))</f>
        <v/>
      </c>
      <c r="AU352" t="str">
        <f ca="1">IF(AND(ISNUMBER($AU$1017),$B$677=1),$AU$1017,HLOOKUP(INDIRECT(ADDRESS(2,COLUMN())),OFFSET($BN$2,0,0,ROW()-1,60),ROW()-1,FALSE))</f>
        <v/>
      </c>
      <c r="AV352" t="str">
        <f ca="1">IF(AND(ISNUMBER($AV$1017),$B$677=1),$AV$1017,HLOOKUP(INDIRECT(ADDRESS(2,COLUMN())),OFFSET($BN$2,0,0,ROW()-1,60),ROW()-1,FALSE))</f>
        <v/>
      </c>
      <c r="AW352" t="str">
        <f ca="1">IF(AND(ISNUMBER($AW$1017),$B$677=1),$AW$1017,HLOOKUP(INDIRECT(ADDRESS(2,COLUMN())),OFFSET($BN$2,0,0,ROW()-1,60),ROW()-1,FALSE))</f>
        <v/>
      </c>
      <c r="AX352" t="str">
        <f ca="1">IF(AND(ISNUMBER($AX$1017),$B$677=1),$AX$1017,HLOOKUP(INDIRECT(ADDRESS(2,COLUMN())),OFFSET($BN$2,0,0,ROW()-1,60),ROW()-1,FALSE))</f>
        <v/>
      </c>
      <c r="AY352" t="str">
        <f ca="1">IF(AND(ISNUMBER($AY$1017),$B$677=1),$AY$1017,HLOOKUP(INDIRECT(ADDRESS(2,COLUMN())),OFFSET($BN$2,0,0,ROW()-1,60),ROW()-1,FALSE))</f>
        <v/>
      </c>
      <c r="AZ352" t="str">
        <f ca="1">IF(AND(ISNUMBER($AZ$1017),$B$677=1),$AZ$1017,HLOOKUP(INDIRECT(ADDRESS(2,COLUMN())),OFFSET($BN$2,0,0,ROW()-1,60),ROW()-1,FALSE))</f>
        <v/>
      </c>
      <c r="BA352" t="str">
        <f ca="1">IF(AND(ISNUMBER($BA$1017),$B$677=1),$BA$1017,HLOOKUP(INDIRECT(ADDRESS(2,COLUMN())),OFFSET($BN$2,0,0,ROW()-1,60),ROW()-1,FALSE))</f>
        <v/>
      </c>
      <c r="BB352" t="str">
        <f ca="1">IF(AND(ISNUMBER($BB$1017),$B$677=1),$BB$1017,HLOOKUP(INDIRECT(ADDRESS(2,COLUMN())),OFFSET($BN$2,0,0,ROW()-1,60),ROW()-1,FALSE))</f>
        <v/>
      </c>
      <c r="BC352" t="str">
        <f ca="1">IF(AND(ISNUMBER($BC$1017),$B$677=1),$BC$1017,HLOOKUP(INDIRECT(ADDRESS(2,COLUMN())),OFFSET($BN$2,0,0,ROW()-1,60),ROW()-1,FALSE))</f>
        <v/>
      </c>
      <c r="BD352" t="str">
        <f ca="1">IF(AND(ISNUMBER($BD$1017),$B$677=1),$BD$1017,HLOOKUP(INDIRECT(ADDRESS(2,COLUMN())),OFFSET($BN$2,0,0,ROW()-1,60),ROW()-1,FALSE))</f>
        <v/>
      </c>
      <c r="BE352" t="str">
        <f ca="1">IF(AND(ISNUMBER($BE$1017),$B$677=1),$BE$1017,HLOOKUP(INDIRECT(ADDRESS(2,COLUMN())),OFFSET($BN$2,0,0,ROW()-1,60),ROW()-1,FALSE))</f>
        <v/>
      </c>
      <c r="BF352" t="str">
        <f ca="1">IF(AND(ISNUMBER($BF$1017),$B$677=1),$BF$1017,HLOOKUP(INDIRECT(ADDRESS(2,COLUMN())),OFFSET($BN$2,0,0,ROW()-1,60),ROW()-1,FALSE))</f>
        <v/>
      </c>
      <c r="BG352" t="str">
        <f ca="1">IF(AND(ISNUMBER($BG$1017),$B$677=1),$BG$1017,HLOOKUP(INDIRECT(ADDRESS(2,COLUMN())),OFFSET($BN$2,0,0,ROW()-1,60),ROW()-1,FALSE))</f>
        <v/>
      </c>
      <c r="BH352" t="str">
        <f ca="1">IF(AND(ISNUMBER($BH$1017),$B$677=1),$BH$1017,HLOOKUP(INDIRECT(ADDRESS(2,COLUMN())),OFFSET($BN$2,0,0,ROW()-1,60),ROW()-1,FALSE))</f>
        <v/>
      </c>
      <c r="BI352" t="str">
        <f ca="1">IF(AND(ISNUMBER($BI$1017),$B$677=1),$BI$1017,HLOOKUP(INDIRECT(ADDRESS(2,COLUMN())),OFFSET($BN$2,0,0,ROW()-1,60),ROW()-1,FALSE))</f>
        <v/>
      </c>
      <c r="BJ352" t="str">
        <f ca="1">IF(AND(ISNUMBER($BJ$1017),$B$677=1),$BJ$1017,HLOOKUP(INDIRECT(ADDRESS(2,COLUMN())),OFFSET($BN$2,0,0,ROW()-1,60),ROW()-1,FALSE))</f>
        <v/>
      </c>
      <c r="BK352" t="str">
        <f ca="1">IF(AND(ISNUMBER($BK$1017),$B$677=1),$BK$1017,HLOOKUP(INDIRECT(ADDRESS(2,COLUMN())),OFFSET($BN$2,0,0,ROW()-1,60),ROW()-1,FALSE))</f>
        <v/>
      </c>
      <c r="BL352" t="str">
        <f ca="1">IF(AND(ISNUMBER($BL$1017),$B$677=1),$BL$1017,HLOOKUP(INDIRECT(ADDRESS(2,COLUMN())),OFFSET($BN$2,0,0,ROW()-1,60),ROW()-1,FALSE))</f>
        <v/>
      </c>
      <c r="BM352" t="str">
        <f ca="1">IF(AND(ISNUMBER($BM$1017),$B$677=1),$BM$1017,HLOOKUP(INDIRECT(ADDRESS(2,COLUMN())),OFFSET($BN$2,0,0,ROW()-1,60),ROW()-1,FALSE))</f>
        <v/>
      </c>
      <c r="BN352" t="str">
        <f>""</f>
        <v/>
      </c>
      <c r="BO352" t="str">
        <f>""</f>
        <v/>
      </c>
      <c r="BP352">
        <f>0.77579951</f>
        <v>0.77579951000000003</v>
      </c>
      <c r="BQ352">
        <f>0.616144359</f>
        <v>0.61614435899999997</v>
      </c>
      <c r="BR352">
        <f>2.318995814</f>
        <v>2.318995814</v>
      </c>
      <c r="BS352">
        <f>2.825765807</f>
        <v>2.8257658069999998</v>
      </c>
      <c r="BT352">
        <f>3.066227873</f>
        <v>3.0662278729999999</v>
      </c>
      <c r="BU352">
        <f>2.109756506</f>
        <v>2.1097565060000001</v>
      </c>
      <c r="BV352">
        <f>2.412579265</f>
        <v>2.4125792650000002</v>
      </c>
      <c r="BW352">
        <f>2.308500531</f>
        <v>2.308500531</v>
      </c>
      <c r="BX352">
        <f>2.601323106</f>
        <v>2.6013231060000002</v>
      </c>
      <c r="BY352">
        <f>2.893597733</f>
        <v>2.893597733</v>
      </c>
      <c r="BZ352">
        <f>2.975985922</f>
        <v>2.975985922</v>
      </c>
      <c r="CA352">
        <f>3.692015307</f>
        <v>3.6920153070000001</v>
      </c>
      <c r="CB352">
        <f>4.793696638</f>
        <v>4.7936966380000001</v>
      </c>
      <c r="CC352">
        <f>3.356988183</f>
        <v>3.3569881829999999</v>
      </c>
      <c r="CD352">
        <f>1.48718925</f>
        <v>1.4871892499999999</v>
      </c>
      <c r="CE352">
        <f>2.181984363</f>
        <v>2.1819843630000002</v>
      </c>
      <c r="CF352">
        <f>1.683160542</f>
        <v>1.683160542</v>
      </c>
      <c r="CG352">
        <f>2.053668874</f>
        <v>2.053668874</v>
      </c>
      <c r="CH352">
        <f>2.036000503</f>
        <v>2.0360005029999999</v>
      </c>
      <c r="CI352">
        <f>2.17314664</f>
        <v>2.1731466400000001</v>
      </c>
      <c r="CJ352">
        <f>2.399828454</f>
        <v>2.3998284540000001</v>
      </c>
      <c r="CK352">
        <f>2.580660301</f>
        <v>2.580660301</v>
      </c>
      <c r="CL352">
        <f>2.201692929</f>
        <v>2.201692929</v>
      </c>
      <c r="CM352">
        <f>2.812351489</f>
        <v>2.8123514890000001</v>
      </c>
      <c r="CN352">
        <f>1.997339302</f>
        <v>1.9973393020000001</v>
      </c>
      <c r="CO352">
        <f>3.620290297</f>
        <v>3.6202902969999999</v>
      </c>
      <c r="CP352">
        <f>3.659125396</f>
        <v>3.6591253959999999</v>
      </c>
      <c r="CQ352">
        <f>2.632532457</f>
        <v>2.6325324569999999</v>
      </c>
      <c r="CR352">
        <f>3.335676382</f>
        <v>3.3356763819999999</v>
      </c>
      <c r="CS352">
        <f>4.437241122</f>
        <v>4.4372411219999996</v>
      </c>
      <c r="CT352">
        <f>4.748703285</f>
        <v>4.7487032850000004</v>
      </c>
      <c r="CU352">
        <f>5.801690743</f>
        <v>5.801690743</v>
      </c>
      <c r="CV352">
        <f>7.54052555</f>
        <v>7.5405255499999999</v>
      </c>
      <c r="CW352" t="str">
        <f>""</f>
        <v/>
      </c>
      <c r="CX352" t="str">
        <f>""</f>
        <v/>
      </c>
      <c r="CY352" t="str">
        <f>""</f>
        <v/>
      </c>
      <c r="CZ352" t="str">
        <f>""</f>
        <v/>
      </c>
      <c r="DA352" t="str">
        <f>""</f>
        <v/>
      </c>
      <c r="DB352" t="str">
        <f>""</f>
        <v/>
      </c>
      <c r="DC352" t="str">
        <f>""</f>
        <v/>
      </c>
      <c r="DD352" t="str">
        <f>""</f>
        <v/>
      </c>
      <c r="DE352" t="str">
        <f>""</f>
        <v/>
      </c>
      <c r="DF352" t="str">
        <f>""</f>
        <v/>
      </c>
      <c r="DG352" t="str">
        <f>""</f>
        <v/>
      </c>
      <c r="DH352" t="str">
        <f>""</f>
        <v/>
      </c>
      <c r="DI352" t="str">
        <f>""</f>
        <v/>
      </c>
      <c r="DJ352" t="str">
        <f>""</f>
        <v/>
      </c>
      <c r="DK352" t="str">
        <f>""</f>
        <v/>
      </c>
      <c r="DL352" t="str">
        <f>""</f>
        <v/>
      </c>
      <c r="DM352" t="str">
        <f>""</f>
        <v/>
      </c>
      <c r="DN352" t="str">
        <f>""</f>
        <v/>
      </c>
      <c r="DO352" t="str">
        <f>""</f>
        <v/>
      </c>
      <c r="DP352" t="str">
        <f>""</f>
        <v/>
      </c>
      <c r="DQ352" t="str">
        <f>""</f>
        <v/>
      </c>
      <c r="DR352" t="str">
        <f>""</f>
        <v/>
      </c>
      <c r="DS352" t="str">
        <f>""</f>
        <v/>
      </c>
      <c r="DT352" t="str">
        <f>""</f>
        <v/>
      </c>
      <c r="DU352" t="str">
        <f>""</f>
        <v/>
      </c>
    </row>
    <row r="353" spans="1:125" x14ac:dyDescent="0.25">
      <c r="A353" t="str">
        <f>"    Honda Motor Co Ltd"</f>
        <v xml:space="preserve">    Honda Motor Co Ltd</v>
      </c>
      <c r="B353" t="str">
        <f>"7267 JP Equity"</f>
        <v>7267 JP Equity</v>
      </c>
      <c r="C353" t="str">
        <f t="shared" si="24"/>
        <v>RR473</v>
      </c>
      <c r="D353" t="str">
        <f t="shared" si="25"/>
        <v>EV_TO_T12M_SALES</v>
      </c>
      <c r="E353" t="str">
        <f t="shared" si="26"/>
        <v>Dynamic</v>
      </c>
      <c r="F353" t="str">
        <f ca="1">IF(AND(ISNUMBER($F$1018),$B$677=1),$F$1018,HLOOKUP(INDIRECT(ADDRESS(2,COLUMN())),OFFSET($BN$2,0,0,ROW()-1,60),ROW()-1,FALSE))</f>
        <v/>
      </c>
      <c r="G353">
        <f ca="1">IF(AND(ISNUMBER($G$1018),$B$677=1),$G$1018,HLOOKUP(INDIRECT(ADDRESS(2,COLUMN())),OFFSET($BN$2,0,0,ROW()-1,60),ROW()-1,FALSE))</f>
        <v>0.65510868600000005</v>
      </c>
      <c r="H353">
        <f ca="1">IF(AND(ISNUMBER($H$1018),$B$677=1),$H$1018,HLOOKUP(INDIRECT(ADDRESS(2,COLUMN())),OFFSET($BN$2,0,0,ROW()-1,60),ROW()-1,FALSE))</f>
        <v>0.72254756099999995</v>
      </c>
      <c r="I353">
        <f ca="1">IF(AND(ISNUMBER($I$1018),$B$677=1),$I$1018,HLOOKUP(INDIRECT(ADDRESS(2,COLUMN())),OFFSET($BN$2,0,0,ROW()-1,60),ROW()-1,FALSE))</f>
        <v>0.693031124</v>
      </c>
      <c r="J353">
        <f ca="1">IF(AND(ISNUMBER($J$1018),$B$677=1),$J$1018,HLOOKUP(INDIRECT(ADDRESS(2,COLUMN())),OFFSET($BN$2,0,0,ROW()-1,60),ROW()-1,FALSE))</f>
        <v>0.74370745500000002</v>
      </c>
      <c r="K353">
        <f ca="1">IF(AND(ISNUMBER($K$1018),$B$677=1),$K$1018,HLOOKUP(INDIRECT(ADDRESS(2,COLUMN())),OFFSET($BN$2,0,0,ROW()-1,60),ROW()-1,FALSE))</f>
        <v>0.79487732700000002</v>
      </c>
      <c r="L353">
        <f ca="1">IF(AND(ISNUMBER($L$1018),$B$677=1),$L$1018,HLOOKUP(INDIRECT(ADDRESS(2,COLUMN())),OFFSET($BN$2,0,0,ROW()-1,60),ROW()-1,FALSE))</f>
        <v>0.74961808500000005</v>
      </c>
      <c r="M353">
        <f ca="1">IF(AND(ISNUMBER($M$1018),$B$677=1),$M$1018,HLOOKUP(INDIRECT(ADDRESS(2,COLUMN())),OFFSET($BN$2,0,0,ROW()-1,60),ROW()-1,FALSE))</f>
        <v>0.74512263300000003</v>
      </c>
      <c r="N353">
        <f ca="1">IF(AND(ISNUMBER($N$1018),$B$677=1),$N$1018,HLOOKUP(INDIRECT(ADDRESS(2,COLUMN())),OFFSET($BN$2,0,0,ROW()-1,60),ROW()-1,FALSE))</f>
        <v>0.79192222400000001</v>
      </c>
      <c r="O353">
        <f ca="1">IF(AND(ISNUMBER($O$1018),$B$677=1),$O$1018,HLOOKUP(INDIRECT(ADDRESS(2,COLUMN())),OFFSET($BN$2,0,0,ROW()-1,60),ROW()-1,FALSE))</f>
        <v>0.83191043899999995</v>
      </c>
      <c r="P353">
        <f ca="1">IF(AND(ISNUMBER($P$1018),$B$677=1),$P$1018,HLOOKUP(INDIRECT(ADDRESS(2,COLUMN())),OFFSET($BN$2,0,0,ROW()-1,60),ROW()-1,FALSE))</f>
        <v>0.70178318900000003</v>
      </c>
      <c r="Q353">
        <f ca="1">IF(AND(ISNUMBER($Q$1018),$B$677=1),$Q$1018,HLOOKUP(INDIRECT(ADDRESS(2,COLUMN())),OFFSET($BN$2,0,0,ROW()-1,60),ROW()-1,FALSE))</f>
        <v>0.64923942599999995</v>
      </c>
      <c r="R353">
        <f ca="1">IF(AND(ISNUMBER($R$1018),$B$677=1),$R$1018,HLOOKUP(INDIRECT(ADDRESS(2,COLUMN())),OFFSET($BN$2,0,0,ROW()-1,60),ROW()-1,FALSE))</f>
        <v>0.73077800100000001</v>
      </c>
      <c r="S353">
        <f ca="1">IF(AND(ISNUMBER($S$1018),$B$677=1),$S$1018,HLOOKUP(INDIRECT(ADDRESS(2,COLUMN())),OFFSET($BN$2,0,0,ROW()-1,60),ROW()-1,FALSE))</f>
        <v>0.87630606200000005</v>
      </c>
      <c r="T353">
        <f ca="1">IF(AND(ISNUMBER($T$1018),$B$677=1),$T$1018,HLOOKUP(INDIRECT(ADDRESS(2,COLUMN())),OFFSET($BN$2,0,0,ROW()-1,60),ROW()-1,FALSE))</f>
        <v>0.83167169299999999</v>
      </c>
      <c r="U353">
        <f ca="1">IF(AND(ISNUMBER($U$1018),$B$677=1),$U$1018,HLOOKUP(INDIRECT(ADDRESS(2,COLUMN())),OFFSET($BN$2,0,0,ROW()-1,60),ROW()-1,FALSE))</f>
        <v>0.92804734499999997</v>
      </c>
      <c r="V353">
        <f ca="1">IF(AND(ISNUMBER($V$1018),$B$677=1),$V$1018,HLOOKUP(INDIRECT(ADDRESS(2,COLUMN())),OFFSET($BN$2,0,0,ROW()-1,60),ROW()-1,FALSE))</f>
        <v>0.95497694600000005</v>
      </c>
      <c r="W353">
        <f ca="1">IF(AND(ISNUMBER($W$1018),$B$677=1),$W$1018,HLOOKUP(INDIRECT(ADDRESS(2,COLUMN())),OFFSET($BN$2,0,0,ROW()-1,60),ROW()-1,FALSE))</f>
        <v>0.94104496900000001</v>
      </c>
      <c r="X353">
        <f ca="1">IF(AND(ISNUMBER($X$1018),$B$677=1),$X$1018,HLOOKUP(INDIRECT(ADDRESS(2,COLUMN())),OFFSET($BN$2,0,0,ROW()-1,60),ROW()-1,FALSE))</f>
        <v>0.97734027099999998</v>
      </c>
      <c r="Y353">
        <f ca="1">IF(AND(ISNUMBER($Y$1018),$B$677=1),$Y$1018,HLOOKUP(INDIRECT(ADDRESS(2,COLUMN())),OFFSET($BN$2,0,0,ROW()-1,60),ROW()-1,FALSE))</f>
        <v>0.92512920700000001</v>
      </c>
      <c r="Z353">
        <f ca="1">IF(AND(ISNUMBER($Z$1018),$B$677=1),$Z$1018,HLOOKUP(INDIRECT(ADDRESS(2,COLUMN())),OFFSET($BN$2,0,0,ROW()-1,60),ROW()-1,FALSE))</f>
        <v>0.96533270100000002</v>
      </c>
      <c r="AA353">
        <f ca="1">IF(AND(ISNUMBER($AA$1018),$B$677=1),$AA$1018,HLOOKUP(INDIRECT(ADDRESS(2,COLUMN())),OFFSET($BN$2,0,0,ROW()-1,60),ROW()-1,FALSE))</f>
        <v>1.111025242</v>
      </c>
      <c r="AB353">
        <f ca="1">IF(AND(ISNUMBER($AB$1018),$B$677=1),$AB$1018,HLOOKUP(INDIRECT(ADDRESS(2,COLUMN())),OFFSET($BN$2,0,0,ROW()-1,60),ROW()-1,FALSE))</f>
        <v>1.0250508250000001</v>
      </c>
      <c r="AC353">
        <f ca="1">IF(AND(ISNUMBER($AC$1018),$B$677=1),$AC$1018,HLOOKUP(INDIRECT(ADDRESS(2,COLUMN())),OFFSET($BN$2,0,0,ROW()-1,60),ROW()-1,FALSE))</f>
        <v>1.060024235</v>
      </c>
      <c r="AD353">
        <f ca="1">IF(AND(ISNUMBER($AD$1018),$B$677=1),$AD$1018,HLOOKUP(INDIRECT(ADDRESS(2,COLUMN())),OFFSET($BN$2,0,0,ROW()-1,60),ROW()-1,FALSE))</f>
        <v>1.0382209849999999</v>
      </c>
      <c r="AE353">
        <f ca="1">IF(AND(ISNUMBER($AE$1018),$B$677=1),$AE$1018,HLOOKUP(INDIRECT(ADDRESS(2,COLUMN())),OFFSET($BN$2,0,0,ROW()-1,60),ROW()-1,FALSE))</f>
        <v>0.967595871</v>
      </c>
      <c r="AF353">
        <f ca="1">IF(AND(ISNUMBER($AF$1018),$B$677=1),$AF$1018,HLOOKUP(INDIRECT(ADDRESS(2,COLUMN())),OFFSET($BN$2,0,0,ROW()-1,60),ROW()-1,FALSE))</f>
        <v>0.82637097100000001</v>
      </c>
      <c r="AG353">
        <f ca="1">IF(AND(ISNUMBER($AG$1018),$B$677=1),$AG$1018,HLOOKUP(INDIRECT(ADDRESS(2,COLUMN())),OFFSET($BN$2,0,0,ROW()-1,60),ROW()-1,FALSE))</f>
        <v>0.91558525599999996</v>
      </c>
      <c r="AH353">
        <f ca="1">IF(AND(ISNUMBER($AH$1018),$B$677=1),$AH$1018,HLOOKUP(INDIRECT(ADDRESS(2,COLUMN())),OFFSET($BN$2,0,0,ROW()-1,60),ROW()-1,FALSE))</f>
        <v>1.0893225499999999</v>
      </c>
      <c r="AI353">
        <f ca="1">IF(AND(ISNUMBER($AI$1018),$B$677=1),$AI$1018,HLOOKUP(INDIRECT(ADDRESS(2,COLUMN())),OFFSET($BN$2,0,0,ROW()-1,60),ROW()-1,FALSE))</f>
        <v>0.90750815200000001</v>
      </c>
      <c r="AJ353">
        <f ca="1">IF(AND(ISNUMBER($AJ$1018),$B$677=1),$AJ$1018,HLOOKUP(INDIRECT(ADDRESS(2,COLUMN())),OFFSET($BN$2,0,0,ROW()-1,60),ROW()-1,FALSE))</f>
        <v>0.84536477300000001</v>
      </c>
      <c r="AK353">
        <f ca="1">IF(AND(ISNUMBER($AK$1018),$B$677=1),$AK$1018,HLOOKUP(INDIRECT(ADDRESS(2,COLUMN())),OFFSET($BN$2,0,0,ROW()-1,60),ROW()-1,FALSE))</f>
        <v>1.0196863759999999</v>
      </c>
      <c r="AL353">
        <f ca="1">IF(AND(ISNUMBER($AL$1018),$B$677=1),$AL$1018,HLOOKUP(INDIRECT(ADDRESS(2,COLUMN())),OFFSET($BN$2,0,0,ROW()-1,60),ROW()-1,FALSE))</f>
        <v>0.96079989300000002</v>
      </c>
      <c r="AM353">
        <f ca="1">IF(AND(ISNUMBER($AM$1018),$B$677=1),$AM$1018,HLOOKUP(INDIRECT(ADDRESS(2,COLUMN())),OFFSET($BN$2,0,0,ROW()-1,60),ROW()-1,FALSE))</f>
        <v>0.97922219300000002</v>
      </c>
      <c r="AN353">
        <f ca="1">IF(AND(ISNUMBER($AN$1018),$B$677=1),$AN$1018,HLOOKUP(INDIRECT(ADDRESS(2,COLUMN())),OFFSET($BN$2,0,0,ROW()-1,60),ROW()-1,FALSE))</f>
        <v>0.90496096999999998</v>
      </c>
      <c r="AO353">
        <f ca="1">IF(AND(ISNUMBER($AO$1018),$B$677=1),$AO$1018,HLOOKUP(INDIRECT(ADDRESS(2,COLUMN())),OFFSET($BN$2,0,0,ROW()-1,60),ROW()-1,FALSE))</f>
        <v>0.87004792799999997</v>
      </c>
      <c r="AP353">
        <f ca="1">IF(AND(ISNUMBER($AP$1018),$B$677=1),$AP$1018,HLOOKUP(INDIRECT(ADDRESS(2,COLUMN())),OFFSET($BN$2,0,0,ROW()-1,60),ROW()-1,FALSE))</f>
        <v>1.060170598</v>
      </c>
      <c r="AQ353">
        <f ca="1">IF(AND(ISNUMBER($AQ$1018),$B$677=1),$AQ$1018,HLOOKUP(INDIRECT(ADDRESS(2,COLUMN())),OFFSET($BN$2,0,0,ROW()-1,60),ROW()-1,FALSE))</f>
        <v>1.1071424160000001</v>
      </c>
      <c r="AR353">
        <f ca="1">IF(AND(ISNUMBER($AR$1018),$B$677=1),$AR$1018,HLOOKUP(INDIRECT(ADDRESS(2,COLUMN())),OFFSET($BN$2,0,0,ROW()-1,60),ROW()-1,FALSE))</f>
        <v>0.99974379800000002</v>
      </c>
      <c r="AS353">
        <f ca="1">IF(AND(ISNUMBER($AS$1018),$B$677=1),$AS$1018,HLOOKUP(INDIRECT(ADDRESS(2,COLUMN())),OFFSET($BN$2,0,0,ROW()-1,60),ROW()-1,FALSE))</f>
        <v>0.95392085400000004</v>
      </c>
      <c r="AT353">
        <f ca="1">IF(AND(ISNUMBER($AT$1018),$B$677=1),$AT$1018,HLOOKUP(INDIRECT(ADDRESS(2,COLUMN())),OFFSET($BN$2,0,0,ROW()-1,60),ROW()-1,FALSE))</f>
        <v>0.82412218800000003</v>
      </c>
      <c r="AU353">
        <f ca="1">IF(AND(ISNUMBER($AU$1018),$B$677=1),$AU$1018,HLOOKUP(INDIRECT(ADDRESS(2,COLUMN())),OFFSET($BN$2,0,0,ROW()-1,60),ROW()-1,FALSE))</f>
        <v>0.65469993400000004</v>
      </c>
      <c r="AV353">
        <f ca="1">IF(AND(ISNUMBER($AV$1018),$B$677=1),$AV$1018,HLOOKUP(INDIRECT(ADDRESS(2,COLUMN())),OFFSET($BN$2,0,0,ROW()-1,60),ROW()-1,FALSE))</f>
        <v>0.82605303399999996</v>
      </c>
      <c r="AW353">
        <f ca="1">IF(AND(ISNUMBER($AW$1018),$B$677=1),$AW$1018,HLOOKUP(INDIRECT(ADDRESS(2,COLUMN())),OFFSET($BN$2,0,0,ROW()-1,60),ROW()-1,FALSE))</f>
        <v>0.87825873300000001</v>
      </c>
      <c r="AX353">
        <f ca="1">IF(AND(ISNUMBER($AX$1018),$B$677=1),$AX$1018,HLOOKUP(INDIRECT(ADDRESS(2,COLUMN())),OFFSET($BN$2,0,0,ROW()-1,60),ROW()-1,FALSE))</f>
        <v>0.720290502</v>
      </c>
      <c r="AY353">
        <f ca="1">IF(AND(ISNUMBER($AY$1018),$B$677=1),$AY$1018,HLOOKUP(INDIRECT(ADDRESS(2,COLUMN())),OFFSET($BN$2,0,0,ROW()-1,60),ROW()-1,FALSE))</f>
        <v>0.88020541100000005</v>
      </c>
      <c r="AZ353">
        <f ca="1">IF(AND(ISNUMBER($AZ$1018),$B$677=1),$AZ$1018,HLOOKUP(INDIRECT(ADDRESS(2,COLUMN())),OFFSET($BN$2,0,0,ROW()-1,60),ROW()-1,FALSE))</f>
        <v>0.89818769099999995</v>
      </c>
      <c r="BA353">
        <f ca="1">IF(AND(ISNUMBER($BA$1018),$B$677=1),$BA$1018,HLOOKUP(INDIRECT(ADDRESS(2,COLUMN())),OFFSET($BN$2,0,0,ROW()-1,60),ROW()-1,FALSE))</f>
        <v>1.0292281889999999</v>
      </c>
      <c r="BB353">
        <f ca="1">IF(AND(ISNUMBER($BB$1018),$B$677=1),$BB$1018,HLOOKUP(INDIRECT(ADDRESS(2,COLUMN())),OFFSET($BN$2,0,0,ROW()-1,60),ROW()-1,FALSE))</f>
        <v>0.95313749599999997</v>
      </c>
      <c r="BC353">
        <f ca="1">IF(AND(ISNUMBER($BC$1018),$B$677=1),$BC$1018,HLOOKUP(INDIRECT(ADDRESS(2,COLUMN())),OFFSET($BN$2,0,0,ROW()-1,60),ROW()-1,FALSE))</f>
        <v>1.0659421579999999</v>
      </c>
      <c r="BD353">
        <f ca="1">IF(AND(ISNUMBER($BD$1018),$B$677=1),$BD$1018,HLOOKUP(INDIRECT(ADDRESS(2,COLUMN())),OFFSET($BN$2,0,0,ROW()-1,60),ROW()-1,FALSE))</f>
        <v>0.94958606599999995</v>
      </c>
      <c r="BE353">
        <f ca="1">IF(AND(ISNUMBER($BE$1018),$B$677=1),$BE$1018,HLOOKUP(INDIRECT(ADDRESS(2,COLUMN())),OFFSET($BN$2,0,0,ROW()-1,60),ROW()-1,FALSE))</f>
        <v>0.90253685299999997</v>
      </c>
      <c r="BF353">
        <f ca="1">IF(AND(ISNUMBER($BF$1018),$B$677=1),$BF$1018,HLOOKUP(INDIRECT(ADDRESS(2,COLUMN())),OFFSET($BN$2,0,0,ROW()-1,60),ROW()-1,FALSE))</f>
        <v>0.91467326000000004</v>
      </c>
      <c r="BG353">
        <f ca="1">IF(AND(ISNUMBER($BG$1018),$B$677=1),$BG$1018,HLOOKUP(INDIRECT(ADDRESS(2,COLUMN())),OFFSET($BN$2,0,0,ROW()-1,60),ROW()-1,FALSE))</f>
        <v>0.92780584099999996</v>
      </c>
      <c r="BH353">
        <f ca="1">IF(AND(ISNUMBER($BH$1018),$B$677=1),$BH$1018,HLOOKUP(INDIRECT(ADDRESS(2,COLUMN())),OFFSET($BN$2,0,0,ROW()-1,60),ROW()-1,FALSE))</f>
        <v>0.90699598599999998</v>
      </c>
      <c r="BI353" t="str">
        <f ca="1">IF(AND(ISNUMBER($BI$1018),$B$677=1),$BI$1018,HLOOKUP(INDIRECT(ADDRESS(2,COLUMN())),OFFSET($BN$2,0,0,ROW()-1,60),ROW()-1,FALSE))</f>
        <v/>
      </c>
      <c r="BJ353">
        <f ca="1">IF(AND(ISNUMBER($BJ$1018),$B$677=1),$BJ$1018,HLOOKUP(INDIRECT(ADDRESS(2,COLUMN())),OFFSET($BN$2,0,0,ROW()-1,60),ROW()-1,FALSE))</f>
        <v>0.81458269800000005</v>
      </c>
      <c r="BK353" t="str">
        <f ca="1">IF(AND(ISNUMBER($BK$1018),$B$677=1),$BK$1018,HLOOKUP(INDIRECT(ADDRESS(2,COLUMN())),OFFSET($BN$2,0,0,ROW()-1,60),ROW()-1,FALSE))</f>
        <v/>
      </c>
      <c r="BL353">
        <f ca="1">IF(AND(ISNUMBER($BL$1018),$B$677=1),$BL$1018,HLOOKUP(INDIRECT(ADDRESS(2,COLUMN())),OFFSET($BN$2,0,0,ROW()-1,60),ROW()-1,FALSE))</f>
        <v>0.86145653899999997</v>
      </c>
      <c r="BM353" t="str">
        <f ca="1">IF(AND(ISNUMBER($BM$1018),$B$677=1),$BM$1018,HLOOKUP(INDIRECT(ADDRESS(2,COLUMN())),OFFSET($BN$2,0,0,ROW()-1,60),ROW()-1,FALSE))</f>
        <v/>
      </c>
      <c r="BN353" t="str">
        <f>""</f>
        <v/>
      </c>
      <c r="BO353">
        <f>0.655108686</f>
        <v>0.65510868600000005</v>
      </c>
      <c r="BP353">
        <f>0.722547561</f>
        <v>0.72254756099999995</v>
      </c>
      <c r="BQ353">
        <f>0.693031124</f>
        <v>0.693031124</v>
      </c>
      <c r="BR353">
        <f>0.743707455</f>
        <v>0.74370745500000002</v>
      </c>
      <c r="BS353">
        <f>0.794877327</f>
        <v>0.79487732700000002</v>
      </c>
      <c r="BT353">
        <f>0.749618085</f>
        <v>0.74961808500000005</v>
      </c>
      <c r="BU353">
        <f>0.745122633</f>
        <v>0.74512263300000003</v>
      </c>
      <c r="BV353">
        <f>0.791922224</f>
        <v>0.79192222400000001</v>
      </c>
      <c r="BW353">
        <f>0.831910439</f>
        <v>0.83191043899999995</v>
      </c>
      <c r="BX353">
        <f>0.701783189</f>
        <v>0.70178318900000003</v>
      </c>
      <c r="BY353">
        <f>0.649239426</f>
        <v>0.64923942599999995</v>
      </c>
      <c r="BZ353">
        <f>0.730778001</f>
        <v>0.73077800100000001</v>
      </c>
      <c r="CA353">
        <f>0.876306062</f>
        <v>0.87630606200000005</v>
      </c>
      <c r="CB353">
        <f>0.831671693</f>
        <v>0.83167169299999999</v>
      </c>
      <c r="CC353">
        <f>0.928047345</f>
        <v>0.92804734499999997</v>
      </c>
      <c r="CD353">
        <f>0.954976946</f>
        <v>0.95497694600000005</v>
      </c>
      <c r="CE353">
        <f>0.941044969</f>
        <v>0.94104496900000001</v>
      </c>
      <c r="CF353">
        <f>0.977340271</f>
        <v>0.97734027099999998</v>
      </c>
      <c r="CG353">
        <f>0.925129207</f>
        <v>0.92512920700000001</v>
      </c>
      <c r="CH353">
        <f>0.965332701</f>
        <v>0.96533270100000002</v>
      </c>
      <c r="CI353">
        <f>1.111025242</f>
        <v>1.111025242</v>
      </c>
      <c r="CJ353">
        <f>1.025050825</f>
        <v>1.0250508250000001</v>
      </c>
      <c r="CK353">
        <f>1.060024235</f>
        <v>1.060024235</v>
      </c>
      <c r="CL353">
        <f>1.038220985</f>
        <v>1.0382209849999999</v>
      </c>
      <c r="CM353">
        <f>0.967595871</f>
        <v>0.967595871</v>
      </c>
      <c r="CN353">
        <f>0.826370971</f>
        <v>0.82637097100000001</v>
      </c>
      <c r="CO353">
        <f>0.915585256</f>
        <v>0.91558525599999996</v>
      </c>
      <c r="CP353">
        <f>1.08932255</f>
        <v>1.0893225499999999</v>
      </c>
      <c r="CQ353">
        <f>0.907508152</f>
        <v>0.90750815200000001</v>
      </c>
      <c r="CR353">
        <f>0.845364773</f>
        <v>0.84536477300000001</v>
      </c>
      <c r="CS353">
        <f>1.019686376</f>
        <v>1.0196863759999999</v>
      </c>
      <c r="CT353">
        <f>0.960799893</f>
        <v>0.96079989300000002</v>
      </c>
      <c r="CU353">
        <f>0.979222193</f>
        <v>0.97922219300000002</v>
      </c>
      <c r="CV353">
        <f>0.90496097</f>
        <v>0.90496096999999998</v>
      </c>
      <c r="CW353">
        <f>0.870047928</f>
        <v>0.87004792799999997</v>
      </c>
      <c r="CX353">
        <f>1.060170598</f>
        <v>1.060170598</v>
      </c>
      <c r="CY353">
        <f>1.107142416</f>
        <v>1.1071424160000001</v>
      </c>
      <c r="CZ353">
        <f>0.999743798</f>
        <v>0.99974379800000002</v>
      </c>
      <c r="DA353">
        <f>0.953920854</f>
        <v>0.95392085400000004</v>
      </c>
      <c r="DB353">
        <f>0.824122188</f>
        <v>0.82412218800000003</v>
      </c>
      <c r="DC353">
        <f>0.654699934</f>
        <v>0.65469993400000004</v>
      </c>
      <c r="DD353">
        <f>0.826053034</f>
        <v>0.82605303399999996</v>
      </c>
      <c r="DE353">
        <f>0.878258733</f>
        <v>0.87825873300000001</v>
      </c>
      <c r="DF353">
        <f>0.720290502</f>
        <v>0.720290502</v>
      </c>
      <c r="DG353">
        <f>0.880205411</f>
        <v>0.88020541100000005</v>
      </c>
      <c r="DH353">
        <f>0.898187691</f>
        <v>0.89818769099999995</v>
      </c>
      <c r="DI353">
        <f>1.029228189</f>
        <v>1.0292281889999999</v>
      </c>
      <c r="DJ353">
        <f>0.953137496</f>
        <v>0.95313749599999997</v>
      </c>
      <c r="DK353">
        <f>1.065942158</f>
        <v>1.0659421579999999</v>
      </c>
      <c r="DL353">
        <f>0.949586066</f>
        <v>0.94958606599999995</v>
      </c>
      <c r="DM353">
        <f>0.902536853</f>
        <v>0.90253685299999997</v>
      </c>
      <c r="DN353">
        <f>0.91467326</f>
        <v>0.91467326000000004</v>
      </c>
      <c r="DO353">
        <f>0.927805841</f>
        <v>0.92780584099999996</v>
      </c>
      <c r="DP353">
        <f>0.906995986</f>
        <v>0.90699598599999998</v>
      </c>
      <c r="DQ353" t="str">
        <f>""</f>
        <v/>
      </c>
      <c r="DR353">
        <f>0.814582698</f>
        <v>0.81458269800000005</v>
      </c>
      <c r="DS353" t="str">
        <f>""</f>
        <v/>
      </c>
      <c r="DT353">
        <f>0.861456539</f>
        <v>0.86145653899999997</v>
      </c>
      <c r="DU353" t="str">
        <f>""</f>
        <v/>
      </c>
    </row>
    <row r="354" spans="1:125" x14ac:dyDescent="0.25">
      <c r="A354" t="str">
        <f>"    Hyundai Motor Co"</f>
        <v xml:space="preserve">    Hyundai Motor Co</v>
      </c>
      <c r="B354" t="str">
        <f>"005380 KS Equity"</f>
        <v>005380 KS Equity</v>
      </c>
      <c r="C354" t="str">
        <f t="shared" si="24"/>
        <v>RR473</v>
      </c>
      <c r="D354" t="str">
        <f t="shared" si="25"/>
        <v>EV_TO_T12M_SALES</v>
      </c>
      <c r="E354" t="str">
        <f t="shared" si="26"/>
        <v>Dynamic</v>
      </c>
      <c r="F354" t="str">
        <f ca="1">IF(AND(ISNUMBER($F$1019),$B$677=1),$F$1019,HLOOKUP(INDIRECT(ADDRESS(2,COLUMN())),OFFSET($BN$2,0,0,ROW()-1,60),ROW()-1,FALSE))</f>
        <v/>
      </c>
      <c r="G354" t="str">
        <f ca="1">IF(AND(ISNUMBER($G$1019),$B$677=1),$G$1019,HLOOKUP(INDIRECT(ADDRESS(2,COLUMN())),OFFSET($BN$2,0,0,ROW()-1,60),ROW()-1,FALSE))</f>
        <v/>
      </c>
      <c r="H354">
        <f ca="1">IF(AND(ISNUMBER($H$1019),$B$677=1),$H$1019,HLOOKUP(INDIRECT(ADDRESS(2,COLUMN())),OFFSET($BN$2,0,0,ROW()-1,60),ROW()-1,FALSE))</f>
        <v>0.80841880099999996</v>
      </c>
      <c r="I354">
        <f ca="1">IF(AND(ISNUMBER($I$1019),$B$677=1),$I$1019,HLOOKUP(INDIRECT(ADDRESS(2,COLUMN())),OFFSET($BN$2,0,0,ROW()-1,60),ROW()-1,FALSE))</f>
        <v>0.80494660200000001</v>
      </c>
      <c r="J354">
        <f ca="1">IF(AND(ISNUMBER($J$1019),$B$677=1),$J$1019,HLOOKUP(INDIRECT(ADDRESS(2,COLUMN())),OFFSET($BN$2,0,0,ROW()-1,60),ROW()-1,FALSE))</f>
        <v>0.82897855799999998</v>
      </c>
      <c r="K354">
        <f ca="1">IF(AND(ISNUMBER($K$1019),$B$677=1),$K$1019,HLOOKUP(INDIRECT(ADDRESS(2,COLUMN())),OFFSET($BN$2,0,0,ROW()-1,60),ROW()-1,FALSE))</f>
        <v>0.81394761400000004</v>
      </c>
      <c r="L354">
        <f ca="1">IF(AND(ISNUMBER($L$1019),$B$677=1),$L$1019,HLOOKUP(INDIRECT(ADDRESS(2,COLUMN())),OFFSET($BN$2,0,0,ROW()-1,60),ROW()-1,FALSE))</f>
        <v>0.83260918699999997</v>
      </c>
      <c r="M354">
        <f ca="1">IF(AND(ISNUMBER($M$1019),$B$677=1),$M$1019,HLOOKUP(INDIRECT(ADDRESS(2,COLUMN())),OFFSET($BN$2,0,0,ROW()-1,60),ROW()-1,FALSE))</f>
        <v>0.85268993000000004</v>
      </c>
      <c r="N354">
        <f ca="1">IF(AND(ISNUMBER($N$1019),$B$677=1),$N$1019,HLOOKUP(INDIRECT(ADDRESS(2,COLUMN())),OFFSET($BN$2,0,0,ROW()-1,60),ROW()-1,FALSE))</f>
        <v>0.826903159</v>
      </c>
      <c r="O354">
        <f ca="1">IF(AND(ISNUMBER($O$1019),$B$677=1),$O$1019,HLOOKUP(INDIRECT(ADDRESS(2,COLUMN())),OFFSET($BN$2,0,0,ROW()-1,60),ROW()-1,FALSE))</f>
        <v>0.84396228100000004</v>
      </c>
      <c r="P354">
        <f ca="1">IF(AND(ISNUMBER($P$1019),$B$677=1),$P$1019,HLOOKUP(INDIRECT(ADDRESS(2,COLUMN())),OFFSET($BN$2,0,0,ROW()-1,60),ROW()-1,FALSE))</f>
        <v>0.771132119</v>
      </c>
      <c r="Q354">
        <f ca="1">IF(AND(ISNUMBER($Q$1019),$B$677=1),$Q$1019,HLOOKUP(INDIRECT(ADDRESS(2,COLUMN())),OFFSET($BN$2,0,0,ROW()-1,60),ROW()-1,FALSE))</f>
        <v>0.77305044999999994</v>
      </c>
      <c r="R354">
        <f ca="1">IF(AND(ISNUMBER($R$1019),$B$677=1),$R$1019,HLOOKUP(INDIRECT(ADDRESS(2,COLUMN())),OFFSET($BN$2,0,0,ROW()-1,60),ROW()-1,FALSE))</f>
        <v>0.817355006</v>
      </c>
      <c r="S354">
        <f ca="1">IF(AND(ISNUMBER($S$1019),$B$677=1),$S$1019,HLOOKUP(INDIRECT(ADDRESS(2,COLUMN())),OFFSET($BN$2,0,0,ROW()-1,60),ROW()-1,FALSE))</f>
        <v>0.80467685799999999</v>
      </c>
      <c r="T354">
        <f ca="1">IF(AND(ISNUMBER($T$1019),$B$677=1),$T$1019,HLOOKUP(INDIRECT(ADDRESS(2,COLUMN())),OFFSET($BN$2,0,0,ROW()-1,60),ROW()-1,FALSE))</f>
        <v>0.831614568</v>
      </c>
      <c r="U354">
        <f ca="1">IF(AND(ISNUMBER($U$1019),$B$677=1),$U$1019,HLOOKUP(INDIRECT(ADDRESS(2,COLUMN())),OFFSET($BN$2,0,0,ROW()-1,60),ROW()-1,FALSE))</f>
        <v>0.72927786400000005</v>
      </c>
      <c r="V354">
        <f ca="1">IF(AND(ISNUMBER($V$1019),$B$677=1),$V$1019,HLOOKUP(INDIRECT(ADDRESS(2,COLUMN())),OFFSET($BN$2,0,0,ROW()-1,60),ROW()-1,FALSE))</f>
        <v>0.77445590099999995</v>
      </c>
      <c r="W354">
        <f ca="1">IF(AND(ISNUMBER($W$1019),$B$677=1),$W$1019,HLOOKUP(INDIRECT(ADDRESS(2,COLUMN())),OFFSET($BN$2,0,0,ROW()-1,60),ROW()-1,FALSE))</f>
        <v>0.74619045299999998</v>
      </c>
      <c r="X354">
        <f ca="1">IF(AND(ISNUMBER($X$1019),$B$677=1),$X$1019,HLOOKUP(INDIRECT(ADDRESS(2,COLUMN())),OFFSET($BN$2,0,0,ROW()-1,60),ROW()-1,FALSE))</f>
        <v>0.76858531200000002</v>
      </c>
      <c r="Y354">
        <f ca="1">IF(AND(ISNUMBER($Y$1019),$B$677=1),$Y$1019,HLOOKUP(INDIRECT(ADDRESS(2,COLUMN())),OFFSET($BN$2,0,0,ROW()-1,60),ROW()-1,FALSE))</f>
        <v>0.84853435499999996</v>
      </c>
      <c r="Z354">
        <f ca="1">IF(AND(ISNUMBER($Z$1019),$B$677=1),$Z$1019,HLOOKUP(INDIRECT(ADDRESS(2,COLUMN())),OFFSET($BN$2,0,0,ROW()-1,60),ROW()-1,FALSE))</f>
        <v>0.91337514500000005</v>
      </c>
      <c r="AA354">
        <f ca="1">IF(AND(ISNUMBER($AA$1019),$B$677=1),$AA$1019,HLOOKUP(INDIRECT(ADDRESS(2,COLUMN())),OFFSET($BN$2,0,0,ROW()-1,60),ROW()-1,FALSE))</f>
        <v>0.89092114899999997</v>
      </c>
      <c r="AB354">
        <f ca="1">IF(AND(ISNUMBER($AB$1019),$B$677=1),$AB$1019,HLOOKUP(INDIRECT(ADDRESS(2,COLUMN())),OFFSET($BN$2,0,0,ROW()-1,60),ROW()-1,FALSE))</f>
        <v>0.90789323200000005</v>
      </c>
      <c r="AC354">
        <f ca="1">IF(AND(ISNUMBER($AC$1019),$B$677=1),$AC$1019,HLOOKUP(INDIRECT(ADDRESS(2,COLUMN())),OFFSET($BN$2,0,0,ROW()-1,60),ROW()-1,FALSE))</f>
        <v>0.85940215099999995</v>
      </c>
      <c r="AD354">
        <f ca="1">IF(AND(ISNUMBER($AD$1019),$B$677=1),$AD$1019,HLOOKUP(INDIRECT(ADDRESS(2,COLUMN())),OFFSET($BN$2,0,0,ROW()-1,60),ROW()-1,FALSE))</f>
        <v>0.88498990499999997</v>
      </c>
      <c r="AE354">
        <f ca="1">IF(AND(ISNUMBER($AE$1019),$B$677=1),$AE$1019,HLOOKUP(INDIRECT(ADDRESS(2,COLUMN())),OFFSET($BN$2,0,0,ROW()-1,60),ROW()-1,FALSE))</f>
        <v>0.88059803699999994</v>
      </c>
      <c r="AF354">
        <f ca="1">IF(AND(ISNUMBER($AF$1019),$B$677=1),$AF$1019,HLOOKUP(INDIRECT(ADDRESS(2,COLUMN())),OFFSET($BN$2,0,0,ROW()-1,60),ROW()-1,FALSE))</f>
        <v>0.98333939800000003</v>
      </c>
      <c r="AG354">
        <f ca="1">IF(AND(ISNUMBER($AG$1019),$B$677=1),$AG$1019,HLOOKUP(INDIRECT(ADDRESS(2,COLUMN())),OFFSET($BN$2,0,0,ROW()-1,60),ROW()-1,FALSE))</f>
        <v>0.94613395099999997</v>
      </c>
      <c r="AH354">
        <f ca="1">IF(AND(ISNUMBER($AH$1019),$B$677=1),$AH$1019,HLOOKUP(INDIRECT(ADDRESS(2,COLUMN())),OFFSET($BN$2,0,0,ROW()-1,60),ROW()-1,FALSE))</f>
        <v>0.97685045199999998</v>
      </c>
      <c r="AI354">
        <f ca="1">IF(AND(ISNUMBER($AI$1019),$B$677=1),$AI$1019,HLOOKUP(INDIRECT(ADDRESS(2,COLUMN())),OFFSET($BN$2,0,0,ROW()-1,60),ROW()-1,FALSE))</f>
        <v>0.95539242800000002</v>
      </c>
      <c r="AJ354">
        <f ca="1">IF(AND(ISNUMBER($AJ$1019),$B$677=1),$AJ$1019,HLOOKUP(INDIRECT(ADDRESS(2,COLUMN())),OFFSET($BN$2,0,0,ROW()-1,60),ROW()-1,FALSE))</f>
        <v>0.97263171599999998</v>
      </c>
      <c r="AK354">
        <f ca="1">IF(AND(ISNUMBER($AK$1019),$B$677=1),$AK$1019,HLOOKUP(INDIRECT(ADDRESS(2,COLUMN())),OFFSET($BN$2,0,0,ROW()-1,60),ROW()-1,FALSE))</f>
        <v>1.0420167309999999</v>
      </c>
      <c r="AL354">
        <f ca="1">IF(AND(ISNUMBER($AL$1019),$B$677=1),$AL$1019,HLOOKUP(INDIRECT(ADDRESS(2,COLUMN())),OFFSET($BN$2,0,0,ROW()-1,60),ROW()-1,FALSE))</f>
        <v>0.95750330900000002</v>
      </c>
      <c r="AM354">
        <f ca="1">IF(AND(ISNUMBER($AM$1019),$B$677=1),$AM$1019,HLOOKUP(INDIRECT(ADDRESS(2,COLUMN())),OFFSET($BN$2,0,0,ROW()-1,60),ROW()-1,FALSE))</f>
        <v>0.936014134</v>
      </c>
      <c r="AN354" t="str">
        <f ca="1">IF(AND(ISNUMBER($AN$1019),$B$677=1),$AN$1019,HLOOKUP(INDIRECT(ADDRESS(2,COLUMN())),OFFSET($BN$2,0,0,ROW()-1,60),ROW()-1,FALSE))</f>
        <v/>
      </c>
      <c r="AO354" t="str">
        <f ca="1">IF(AND(ISNUMBER($AO$1019),$B$677=1),$AO$1019,HLOOKUP(INDIRECT(ADDRESS(2,COLUMN())),OFFSET($BN$2,0,0,ROW()-1,60),ROW()-1,FALSE))</f>
        <v/>
      </c>
      <c r="AP354" t="str">
        <f ca="1">IF(AND(ISNUMBER($AP$1019),$B$677=1),$AP$1019,HLOOKUP(INDIRECT(ADDRESS(2,COLUMN())),OFFSET($BN$2,0,0,ROW()-1,60),ROW()-1,FALSE))</f>
        <v/>
      </c>
      <c r="AQ354" t="str">
        <f ca="1">IF(AND(ISNUMBER($AQ$1019),$B$677=1),$AQ$1019,HLOOKUP(INDIRECT(ADDRESS(2,COLUMN())),OFFSET($BN$2,0,0,ROW()-1,60),ROW()-1,FALSE))</f>
        <v/>
      </c>
      <c r="AR354" t="str">
        <f ca="1">IF(AND(ISNUMBER($AR$1019),$B$677=1),$AR$1019,HLOOKUP(INDIRECT(ADDRESS(2,COLUMN())),OFFSET($BN$2,0,0,ROW()-1,60),ROW()-1,FALSE))</f>
        <v/>
      </c>
      <c r="AS354" t="str">
        <f ca="1">IF(AND(ISNUMBER($AS$1019),$B$677=1),$AS$1019,HLOOKUP(INDIRECT(ADDRESS(2,COLUMN())),OFFSET($BN$2,0,0,ROW()-1,60),ROW()-1,FALSE))</f>
        <v/>
      </c>
      <c r="AT354" t="str">
        <f ca="1">IF(AND(ISNUMBER($AT$1019),$B$677=1),$AT$1019,HLOOKUP(INDIRECT(ADDRESS(2,COLUMN())),OFFSET($BN$2,0,0,ROW()-1,60),ROW()-1,FALSE))</f>
        <v/>
      </c>
      <c r="AU354" t="str">
        <f ca="1">IF(AND(ISNUMBER($AU$1019),$B$677=1),$AU$1019,HLOOKUP(INDIRECT(ADDRESS(2,COLUMN())),OFFSET($BN$2,0,0,ROW()-1,60),ROW()-1,FALSE))</f>
        <v/>
      </c>
      <c r="AV354" t="str">
        <f ca="1">IF(AND(ISNUMBER($AV$1019),$B$677=1),$AV$1019,HLOOKUP(INDIRECT(ADDRESS(2,COLUMN())),OFFSET($BN$2,0,0,ROW()-1,60),ROW()-1,FALSE))</f>
        <v/>
      </c>
      <c r="AW354" t="str">
        <f ca="1">IF(AND(ISNUMBER($AW$1019),$B$677=1),$AW$1019,HLOOKUP(INDIRECT(ADDRESS(2,COLUMN())),OFFSET($BN$2,0,0,ROW()-1,60),ROW()-1,FALSE))</f>
        <v/>
      </c>
      <c r="AX354" t="str">
        <f ca="1">IF(AND(ISNUMBER($AX$1019),$B$677=1),$AX$1019,HLOOKUP(INDIRECT(ADDRESS(2,COLUMN())),OFFSET($BN$2,0,0,ROW()-1,60),ROW()-1,FALSE))</f>
        <v/>
      </c>
      <c r="AY354" t="str">
        <f ca="1">IF(AND(ISNUMBER($AY$1019),$B$677=1),$AY$1019,HLOOKUP(INDIRECT(ADDRESS(2,COLUMN())),OFFSET($BN$2,0,0,ROW()-1,60),ROW()-1,FALSE))</f>
        <v/>
      </c>
      <c r="AZ354" t="str">
        <f ca="1">IF(AND(ISNUMBER($AZ$1019),$B$677=1),$AZ$1019,HLOOKUP(INDIRECT(ADDRESS(2,COLUMN())),OFFSET($BN$2,0,0,ROW()-1,60),ROW()-1,FALSE))</f>
        <v/>
      </c>
      <c r="BA354" t="str">
        <f ca="1">IF(AND(ISNUMBER($BA$1019),$B$677=1),$BA$1019,HLOOKUP(INDIRECT(ADDRESS(2,COLUMN())),OFFSET($BN$2,0,0,ROW()-1,60),ROW()-1,FALSE))</f>
        <v/>
      </c>
      <c r="BB354" t="str">
        <f ca="1">IF(AND(ISNUMBER($BB$1019),$B$677=1),$BB$1019,HLOOKUP(INDIRECT(ADDRESS(2,COLUMN())),OFFSET($BN$2,0,0,ROW()-1,60),ROW()-1,FALSE))</f>
        <v/>
      </c>
      <c r="BC354" t="str">
        <f ca="1">IF(AND(ISNUMBER($BC$1019),$B$677=1),$BC$1019,HLOOKUP(INDIRECT(ADDRESS(2,COLUMN())),OFFSET($BN$2,0,0,ROW()-1,60),ROW()-1,FALSE))</f>
        <v/>
      </c>
      <c r="BD354" t="str">
        <f ca="1">IF(AND(ISNUMBER($BD$1019),$B$677=1),$BD$1019,HLOOKUP(INDIRECT(ADDRESS(2,COLUMN())),OFFSET($BN$2,0,0,ROW()-1,60),ROW()-1,FALSE))</f>
        <v/>
      </c>
      <c r="BE354" t="str">
        <f ca="1">IF(AND(ISNUMBER($BE$1019),$B$677=1),$BE$1019,HLOOKUP(INDIRECT(ADDRESS(2,COLUMN())),OFFSET($BN$2,0,0,ROW()-1,60),ROW()-1,FALSE))</f>
        <v/>
      </c>
      <c r="BF354" t="str">
        <f ca="1">IF(AND(ISNUMBER($BF$1019),$B$677=1),$BF$1019,HLOOKUP(INDIRECT(ADDRESS(2,COLUMN())),OFFSET($BN$2,0,0,ROW()-1,60),ROW()-1,FALSE))</f>
        <v/>
      </c>
      <c r="BG354" t="str">
        <f ca="1">IF(AND(ISNUMBER($BG$1019),$B$677=1),$BG$1019,HLOOKUP(INDIRECT(ADDRESS(2,COLUMN())),OFFSET($BN$2,0,0,ROW()-1,60),ROW()-1,FALSE))</f>
        <v/>
      </c>
      <c r="BH354" t="str">
        <f ca="1">IF(AND(ISNUMBER($BH$1019),$B$677=1),$BH$1019,HLOOKUP(INDIRECT(ADDRESS(2,COLUMN())),OFFSET($BN$2,0,0,ROW()-1,60),ROW()-1,FALSE))</f>
        <v/>
      </c>
      <c r="BI354" t="str">
        <f ca="1">IF(AND(ISNUMBER($BI$1019),$B$677=1),$BI$1019,HLOOKUP(INDIRECT(ADDRESS(2,COLUMN())),OFFSET($BN$2,0,0,ROW()-1,60),ROW()-1,FALSE))</f>
        <v/>
      </c>
      <c r="BJ354" t="str">
        <f ca="1">IF(AND(ISNUMBER($BJ$1019),$B$677=1),$BJ$1019,HLOOKUP(INDIRECT(ADDRESS(2,COLUMN())),OFFSET($BN$2,0,0,ROW()-1,60),ROW()-1,FALSE))</f>
        <v/>
      </c>
      <c r="BK354" t="str">
        <f ca="1">IF(AND(ISNUMBER($BK$1019),$B$677=1),$BK$1019,HLOOKUP(INDIRECT(ADDRESS(2,COLUMN())),OFFSET($BN$2,0,0,ROW()-1,60),ROW()-1,FALSE))</f>
        <v/>
      </c>
      <c r="BL354" t="str">
        <f ca="1">IF(AND(ISNUMBER($BL$1019),$B$677=1),$BL$1019,HLOOKUP(INDIRECT(ADDRESS(2,COLUMN())),OFFSET($BN$2,0,0,ROW()-1,60),ROW()-1,FALSE))</f>
        <v/>
      </c>
      <c r="BM354" t="str">
        <f ca="1">IF(AND(ISNUMBER($BM$1019),$B$677=1),$BM$1019,HLOOKUP(INDIRECT(ADDRESS(2,COLUMN())),OFFSET($BN$2,0,0,ROW()-1,60),ROW()-1,FALSE))</f>
        <v/>
      </c>
      <c r="BN354" t="str">
        <f>""</f>
        <v/>
      </c>
      <c r="BO354" t="str">
        <f>""</f>
        <v/>
      </c>
      <c r="BP354">
        <f>0.808418801</f>
        <v>0.80841880099999996</v>
      </c>
      <c r="BQ354">
        <f>0.804946602</f>
        <v>0.80494660200000001</v>
      </c>
      <c r="BR354">
        <f>0.828978558</f>
        <v>0.82897855799999998</v>
      </c>
      <c r="BS354">
        <f>0.813947614</f>
        <v>0.81394761400000004</v>
      </c>
      <c r="BT354">
        <f>0.832609187</f>
        <v>0.83260918699999997</v>
      </c>
      <c r="BU354">
        <f>0.85268993</f>
        <v>0.85268993000000004</v>
      </c>
      <c r="BV354">
        <f>0.826903159</f>
        <v>0.826903159</v>
      </c>
      <c r="BW354">
        <f>0.843962281</f>
        <v>0.84396228100000004</v>
      </c>
      <c r="BX354">
        <f>0.771132119</f>
        <v>0.771132119</v>
      </c>
      <c r="BY354">
        <f>0.77305045</f>
        <v>0.77305044999999994</v>
      </c>
      <c r="BZ354">
        <f>0.817355006</f>
        <v>0.817355006</v>
      </c>
      <c r="CA354">
        <f>0.804676858</f>
        <v>0.80467685799999999</v>
      </c>
      <c r="CB354">
        <f>0.831614568</f>
        <v>0.831614568</v>
      </c>
      <c r="CC354">
        <f>0.729277864</f>
        <v>0.72927786400000005</v>
      </c>
      <c r="CD354">
        <f>0.774455901</f>
        <v>0.77445590099999995</v>
      </c>
      <c r="CE354">
        <f>0.746190453</f>
        <v>0.74619045299999998</v>
      </c>
      <c r="CF354">
        <f>0.768585312</f>
        <v>0.76858531200000002</v>
      </c>
      <c r="CG354">
        <f>0.848534355</f>
        <v>0.84853435499999996</v>
      </c>
      <c r="CH354">
        <f>0.913375145</f>
        <v>0.91337514500000005</v>
      </c>
      <c r="CI354">
        <f>0.890921149</f>
        <v>0.89092114899999997</v>
      </c>
      <c r="CJ354">
        <f>0.907893232</f>
        <v>0.90789323200000005</v>
      </c>
      <c r="CK354">
        <f>0.859402151</f>
        <v>0.85940215099999995</v>
      </c>
      <c r="CL354">
        <f>0.884989905</f>
        <v>0.88498990499999997</v>
      </c>
      <c r="CM354">
        <f>0.880598037</f>
        <v>0.88059803699999994</v>
      </c>
      <c r="CN354">
        <f>0.983339398</f>
        <v>0.98333939800000003</v>
      </c>
      <c r="CO354">
        <f>0.946133951</f>
        <v>0.94613395099999997</v>
      </c>
      <c r="CP354">
        <f>0.976850452</f>
        <v>0.97685045199999998</v>
      </c>
      <c r="CQ354">
        <f>0.955392428</f>
        <v>0.95539242800000002</v>
      </c>
      <c r="CR354">
        <f>0.972631716</f>
        <v>0.97263171599999998</v>
      </c>
      <c r="CS354">
        <f>1.042016731</f>
        <v>1.0420167309999999</v>
      </c>
      <c r="CT354">
        <f>0.957503309</f>
        <v>0.95750330900000002</v>
      </c>
      <c r="CU354">
        <f>0.936014134</f>
        <v>0.936014134</v>
      </c>
      <c r="CV354" t="str">
        <f>""</f>
        <v/>
      </c>
      <c r="CW354" t="str">
        <f>""</f>
        <v/>
      </c>
      <c r="CX354" t="str">
        <f>""</f>
        <v/>
      </c>
      <c r="CY354" t="str">
        <f>""</f>
        <v/>
      </c>
      <c r="CZ354" t="str">
        <f>""</f>
        <v/>
      </c>
      <c r="DA354" t="str">
        <f>""</f>
        <v/>
      </c>
      <c r="DB354" t="str">
        <f>""</f>
        <v/>
      </c>
      <c r="DC354" t="str">
        <f>""</f>
        <v/>
      </c>
      <c r="DD354" t="str">
        <f>""</f>
        <v/>
      </c>
      <c r="DE354" t="str">
        <f>""</f>
        <v/>
      </c>
      <c r="DF354" t="str">
        <f>""</f>
        <v/>
      </c>
      <c r="DG354" t="str">
        <f>""</f>
        <v/>
      </c>
      <c r="DH354" t="str">
        <f>""</f>
        <v/>
      </c>
      <c r="DI354" t="str">
        <f>""</f>
        <v/>
      </c>
      <c r="DJ354" t="str">
        <f>""</f>
        <v/>
      </c>
      <c r="DK354" t="str">
        <f>""</f>
        <v/>
      </c>
      <c r="DL354" t="str">
        <f>""</f>
        <v/>
      </c>
      <c r="DM354" t="str">
        <f>""</f>
        <v/>
      </c>
      <c r="DN354" t="str">
        <f>""</f>
        <v/>
      </c>
      <c r="DO354" t="str">
        <f>""</f>
        <v/>
      </c>
      <c r="DP354" t="str">
        <f>""</f>
        <v/>
      </c>
      <c r="DQ354" t="str">
        <f>""</f>
        <v/>
      </c>
      <c r="DR354" t="str">
        <f>""</f>
        <v/>
      </c>
      <c r="DS354" t="str">
        <f>""</f>
        <v/>
      </c>
      <c r="DT354" t="str">
        <f>""</f>
        <v/>
      </c>
      <c r="DU354" t="str">
        <f>""</f>
        <v/>
      </c>
    </row>
    <row r="355" spans="1:125" x14ac:dyDescent="0.25">
      <c r="A355" t="str">
        <f>"    Kia Motors Corp"</f>
        <v xml:space="preserve">    Kia Motors Corp</v>
      </c>
      <c r="B355" t="str">
        <f>"000270 KS Equity"</f>
        <v>000270 KS Equity</v>
      </c>
      <c r="C355" t="str">
        <f t="shared" si="24"/>
        <v>RR473</v>
      </c>
      <c r="D355" t="str">
        <f t="shared" si="25"/>
        <v>EV_TO_T12M_SALES</v>
      </c>
      <c r="E355" t="str">
        <f t="shared" si="26"/>
        <v>Dynamic</v>
      </c>
      <c r="F355" t="str">
        <f ca="1">IF(AND(ISNUMBER($F$1020),$B$677=1),$F$1020,HLOOKUP(INDIRECT(ADDRESS(2,COLUMN())),OFFSET($BN$2,0,0,ROW()-1,60),ROW()-1,FALSE))</f>
        <v/>
      </c>
      <c r="G355" t="str">
        <f ca="1">IF(AND(ISNUMBER($G$1020),$B$677=1),$G$1020,HLOOKUP(INDIRECT(ADDRESS(2,COLUMN())),OFFSET($BN$2,0,0,ROW()-1,60),ROW()-1,FALSE))</f>
        <v/>
      </c>
      <c r="H355">
        <f ca="1">IF(AND(ISNUMBER($H$1020),$B$677=1),$H$1020,HLOOKUP(INDIRECT(ADDRESS(2,COLUMN())),OFFSET($BN$2,0,0,ROW()-1,60),ROW()-1,FALSE))</f>
        <v>0.19686595700000001</v>
      </c>
      <c r="I355">
        <f ca="1">IF(AND(ISNUMBER($I$1020),$B$677=1),$I$1020,HLOOKUP(INDIRECT(ADDRESS(2,COLUMN())),OFFSET($BN$2,0,0,ROW()-1,60),ROW()-1,FALSE))</f>
        <v>0.1780871</v>
      </c>
      <c r="J355">
        <f ca="1">IF(AND(ISNUMBER($J$1020),$B$677=1),$J$1020,HLOOKUP(INDIRECT(ADDRESS(2,COLUMN())),OFFSET($BN$2,0,0,ROW()-1,60),ROW()-1,FALSE))</f>
        <v>0.20247341399999999</v>
      </c>
      <c r="K355">
        <f ca="1">IF(AND(ISNUMBER($K$1020),$B$677=1),$K$1020,HLOOKUP(INDIRECT(ADDRESS(2,COLUMN())),OFFSET($BN$2,0,0,ROW()-1,60),ROW()-1,FALSE))</f>
        <v>0.22796796999999999</v>
      </c>
      <c r="L355">
        <f ca="1">IF(AND(ISNUMBER($L$1020),$B$677=1),$L$1020,HLOOKUP(INDIRECT(ADDRESS(2,COLUMN())),OFFSET($BN$2,0,0,ROW()-1,60),ROW()-1,FALSE))</f>
        <v>0.19176380400000001</v>
      </c>
      <c r="M355">
        <f ca="1">IF(AND(ISNUMBER($M$1020),$B$677=1),$M$1020,HLOOKUP(INDIRECT(ADDRESS(2,COLUMN())),OFFSET($BN$2,0,0,ROW()-1,60),ROW()-1,FALSE))</f>
        <v>0.26744826300000002</v>
      </c>
      <c r="N355">
        <f ca="1">IF(AND(ISNUMBER($N$1020),$B$677=1),$N$1020,HLOOKUP(INDIRECT(ADDRESS(2,COLUMN())),OFFSET($BN$2,0,0,ROW()-1,60),ROW()-1,FALSE))</f>
        <v>0.2594243</v>
      </c>
      <c r="O355">
        <f ca="1">IF(AND(ISNUMBER($O$1020),$B$677=1),$O$1020,HLOOKUP(INDIRECT(ADDRESS(2,COLUMN())),OFFSET($BN$2,0,0,ROW()-1,60),ROW()-1,FALSE))</f>
        <v>0.28221941299999997</v>
      </c>
      <c r="P355">
        <f ca="1">IF(AND(ISNUMBER($P$1020),$B$677=1),$P$1020,HLOOKUP(INDIRECT(ADDRESS(2,COLUMN())),OFFSET($BN$2,0,0,ROW()-1,60),ROW()-1,FALSE))</f>
        <v>0.26817854000000002</v>
      </c>
      <c r="Q355">
        <f ca="1">IF(AND(ISNUMBER($Q$1020),$B$677=1),$Q$1020,HLOOKUP(INDIRECT(ADDRESS(2,COLUMN())),OFFSET($BN$2,0,0,ROW()-1,60),ROW()-1,FALSE))</f>
        <v>0.28710597199999999</v>
      </c>
      <c r="R355">
        <f ca="1">IF(AND(ISNUMBER($R$1020),$B$677=1),$R$1020,HLOOKUP(INDIRECT(ADDRESS(2,COLUMN())),OFFSET($BN$2,0,0,ROW()-1,60),ROW()-1,FALSE))</f>
        <v>0.38104536</v>
      </c>
      <c r="S355">
        <f ca="1">IF(AND(ISNUMBER($S$1020),$B$677=1),$S$1020,HLOOKUP(INDIRECT(ADDRESS(2,COLUMN())),OFFSET($BN$2,0,0,ROW()-1,60),ROW()-1,FALSE))</f>
        <v>0.39637535299999999</v>
      </c>
      <c r="T355">
        <f ca="1">IF(AND(ISNUMBER($T$1020),$B$677=1),$T$1020,HLOOKUP(INDIRECT(ADDRESS(2,COLUMN())),OFFSET($BN$2,0,0,ROW()-1,60),ROW()-1,FALSE))</f>
        <v>0.38428912399999998</v>
      </c>
      <c r="U355">
        <f ca="1">IF(AND(ISNUMBER($U$1020),$B$677=1),$U$1020,HLOOKUP(INDIRECT(ADDRESS(2,COLUMN())),OFFSET($BN$2,0,0,ROW()-1,60),ROW()-1,FALSE))</f>
        <v>0.33401458699999997</v>
      </c>
      <c r="V355">
        <f ca="1">IF(AND(ISNUMBER($V$1020),$B$677=1),$V$1020,HLOOKUP(INDIRECT(ADDRESS(2,COLUMN())),OFFSET($BN$2,0,0,ROW()-1,60),ROW()-1,FALSE))</f>
        <v>0.33583160099999998</v>
      </c>
      <c r="W355">
        <f ca="1">IF(AND(ISNUMBER($W$1020),$B$677=1),$W$1020,HLOOKUP(INDIRECT(ADDRESS(2,COLUMN())),OFFSET($BN$2,0,0,ROW()-1,60),ROW()-1,FALSE))</f>
        <v>0.36780881100000001</v>
      </c>
      <c r="X355">
        <f ca="1">IF(AND(ISNUMBER($X$1020),$B$677=1),$X$1020,HLOOKUP(INDIRECT(ADDRESS(2,COLUMN())),OFFSET($BN$2,0,0,ROW()-1,60),ROW()-1,FALSE))</f>
        <v>0.36859292700000001</v>
      </c>
      <c r="Y355">
        <f ca="1">IF(AND(ISNUMBER($Y$1020),$B$677=1),$Y$1020,HLOOKUP(INDIRECT(ADDRESS(2,COLUMN())),OFFSET($BN$2,0,0,ROW()-1,60),ROW()-1,FALSE))</f>
        <v>0.40445843799999998</v>
      </c>
      <c r="Z355">
        <f ca="1">IF(AND(ISNUMBER($Z$1020),$B$677=1),$Z$1020,HLOOKUP(INDIRECT(ADDRESS(2,COLUMN())),OFFSET($BN$2,0,0,ROW()-1,60),ROW()-1,FALSE))</f>
        <v>0.40876912500000001</v>
      </c>
      <c r="AA355">
        <f ca="1">IF(AND(ISNUMBER($AA$1020),$B$677=1),$AA$1020,HLOOKUP(INDIRECT(ADDRESS(2,COLUMN())),OFFSET($BN$2,0,0,ROW()-1,60),ROW()-1,FALSE))</f>
        <v>0.38798086900000001</v>
      </c>
      <c r="AB355">
        <f ca="1">IF(AND(ISNUMBER($AB$1020),$B$677=1),$AB$1020,HLOOKUP(INDIRECT(ADDRESS(2,COLUMN())),OFFSET($BN$2,0,0,ROW()-1,60),ROW()-1,FALSE))</f>
        <v>0.46653519799999998</v>
      </c>
      <c r="AC355">
        <f ca="1">IF(AND(ISNUMBER($AC$1020),$B$677=1),$AC$1020,HLOOKUP(INDIRECT(ADDRESS(2,COLUMN())),OFFSET($BN$2,0,0,ROW()-1,60),ROW()-1,FALSE))</f>
        <v>0.45694801899999998</v>
      </c>
      <c r="AD355">
        <f ca="1">IF(AND(ISNUMBER($AD$1020),$B$677=1),$AD$1020,HLOOKUP(INDIRECT(ADDRESS(2,COLUMN())),OFFSET($BN$2,0,0,ROW()-1,60),ROW()-1,FALSE))</f>
        <v>0.43836644600000002</v>
      </c>
      <c r="AE355">
        <f ca="1">IF(AND(ISNUMBER($AE$1020),$B$677=1),$AE$1020,HLOOKUP(INDIRECT(ADDRESS(2,COLUMN())),OFFSET($BN$2,0,0,ROW()-1,60),ROW()-1,FALSE))</f>
        <v>0.44159181600000003</v>
      </c>
      <c r="AF355">
        <f ca="1">IF(AND(ISNUMBER($AF$1020),$B$677=1),$AF$1020,HLOOKUP(INDIRECT(ADDRESS(2,COLUMN())),OFFSET($BN$2,0,0,ROW()-1,60),ROW()-1,FALSE))</f>
        <v>0.53859910499999997</v>
      </c>
      <c r="AG355">
        <f ca="1">IF(AND(ISNUMBER($AG$1020),$B$677=1),$AG$1020,HLOOKUP(INDIRECT(ADDRESS(2,COLUMN())),OFFSET($BN$2,0,0,ROW()-1,60),ROW()-1,FALSE))</f>
        <v>0.62789196300000005</v>
      </c>
      <c r="AH355">
        <f ca="1">IF(AND(ISNUMBER($AH$1020),$B$677=1),$AH$1020,HLOOKUP(INDIRECT(ADDRESS(2,COLUMN())),OFFSET($BN$2,0,0,ROW()-1,60),ROW()-1,FALSE))</f>
        <v>0.66414097999999999</v>
      </c>
      <c r="AI355">
        <f ca="1">IF(AND(ISNUMBER($AI$1020),$B$677=1),$AI$1020,HLOOKUP(INDIRECT(ADDRESS(2,COLUMN())),OFFSET($BN$2,0,0,ROW()-1,60),ROW()-1,FALSE))</f>
        <v>0.63316540899999996</v>
      </c>
      <c r="AJ355">
        <f ca="1">IF(AND(ISNUMBER($AJ$1020),$B$677=1),$AJ$1020,HLOOKUP(INDIRECT(ADDRESS(2,COLUMN())),OFFSET($BN$2,0,0,ROW()-1,60),ROW()-1,FALSE))</f>
        <v>0.68920637699999998</v>
      </c>
      <c r="AK355">
        <f ca="1">IF(AND(ISNUMBER($AK$1020),$B$677=1),$AK$1020,HLOOKUP(INDIRECT(ADDRESS(2,COLUMN())),OFFSET($BN$2,0,0,ROW()-1,60),ROW()-1,FALSE))</f>
        <v>0.72799176600000004</v>
      </c>
      <c r="AL355">
        <f ca="1">IF(AND(ISNUMBER($AL$1020),$B$677=1),$AL$1020,HLOOKUP(INDIRECT(ADDRESS(2,COLUMN())),OFFSET($BN$2,0,0,ROW()-1,60),ROW()-1,FALSE))</f>
        <v>0.75171143200000001</v>
      </c>
      <c r="AM355" t="str">
        <f ca="1">IF(AND(ISNUMBER($AM$1020),$B$677=1),$AM$1020,HLOOKUP(INDIRECT(ADDRESS(2,COLUMN())),OFFSET($BN$2,0,0,ROW()-1,60),ROW()-1,FALSE))</f>
        <v/>
      </c>
      <c r="AN355" t="str">
        <f ca="1">IF(AND(ISNUMBER($AN$1020),$B$677=1),$AN$1020,HLOOKUP(INDIRECT(ADDRESS(2,COLUMN())),OFFSET($BN$2,0,0,ROW()-1,60),ROW()-1,FALSE))</f>
        <v/>
      </c>
      <c r="AO355" t="str">
        <f ca="1">IF(AND(ISNUMBER($AO$1020),$B$677=1),$AO$1020,HLOOKUP(INDIRECT(ADDRESS(2,COLUMN())),OFFSET($BN$2,0,0,ROW()-1,60),ROW()-1,FALSE))</f>
        <v/>
      </c>
      <c r="AP355" t="str">
        <f ca="1">IF(AND(ISNUMBER($AP$1020),$B$677=1),$AP$1020,HLOOKUP(INDIRECT(ADDRESS(2,COLUMN())),OFFSET($BN$2,0,0,ROW()-1,60),ROW()-1,FALSE))</f>
        <v/>
      </c>
      <c r="AQ355" t="str">
        <f ca="1">IF(AND(ISNUMBER($AQ$1020),$B$677=1),$AQ$1020,HLOOKUP(INDIRECT(ADDRESS(2,COLUMN())),OFFSET($BN$2,0,0,ROW()-1,60),ROW()-1,FALSE))</f>
        <v/>
      </c>
      <c r="AR355" t="str">
        <f ca="1">IF(AND(ISNUMBER($AR$1020),$B$677=1),$AR$1020,HLOOKUP(INDIRECT(ADDRESS(2,COLUMN())),OFFSET($BN$2,0,0,ROW()-1,60),ROW()-1,FALSE))</f>
        <v/>
      </c>
      <c r="AS355" t="str">
        <f ca="1">IF(AND(ISNUMBER($AS$1020),$B$677=1),$AS$1020,HLOOKUP(INDIRECT(ADDRESS(2,COLUMN())),OFFSET($BN$2,0,0,ROW()-1,60),ROW()-1,FALSE))</f>
        <v/>
      </c>
      <c r="AT355" t="str">
        <f ca="1">IF(AND(ISNUMBER($AT$1020),$B$677=1),$AT$1020,HLOOKUP(INDIRECT(ADDRESS(2,COLUMN())),OFFSET($BN$2,0,0,ROW()-1,60),ROW()-1,FALSE))</f>
        <v/>
      </c>
      <c r="AU355" t="str">
        <f ca="1">IF(AND(ISNUMBER($AU$1020),$B$677=1),$AU$1020,HLOOKUP(INDIRECT(ADDRESS(2,COLUMN())),OFFSET($BN$2,0,0,ROW()-1,60),ROW()-1,FALSE))</f>
        <v/>
      </c>
      <c r="AV355" t="str">
        <f ca="1">IF(AND(ISNUMBER($AV$1020),$B$677=1),$AV$1020,HLOOKUP(INDIRECT(ADDRESS(2,COLUMN())),OFFSET($BN$2,0,0,ROW()-1,60),ROW()-1,FALSE))</f>
        <v/>
      </c>
      <c r="AW355" t="str">
        <f ca="1">IF(AND(ISNUMBER($AW$1020),$B$677=1),$AW$1020,HLOOKUP(INDIRECT(ADDRESS(2,COLUMN())),OFFSET($BN$2,0,0,ROW()-1,60),ROW()-1,FALSE))</f>
        <v/>
      </c>
      <c r="AX355" t="str">
        <f ca="1">IF(AND(ISNUMBER($AX$1020),$B$677=1),$AX$1020,HLOOKUP(INDIRECT(ADDRESS(2,COLUMN())),OFFSET($BN$2,0,0,ROW()-1,60),ROW()-1,FALSE))</f>
        <v/>
      </c>
      <c r="AY355" t="str">
        <f ca="1">IF(AND(ISNUMBER($AY$1020),$B$677=1),$AY$1020,HLOOKUP(INDIRECT(ADDRESS(2,COLUMN())),OFFSET($BN$2,0,0,ROW()-1,60),ROW()-1,FALSE))</f>
        <v/>
      </c>
      <c r="AZ355" t="str">
        <f ca="1">IF(AND(ISNUMBER($AZ$1020),$B$677=1),$AZ$1020,HLOOKUP(INDIRECT(ADDRESS(2,COLUMN())),OFFSET($BN$2,0,0,ROW()-1,60),ROW()-1,FALSE))</f>
        <v/>
      </c>
      <c r="BA355" t="str">
        <f ca="1">IF(AND(ISNUMBER($BA$1020),$B$677=1),$BA$1020,HLOOKUP(INDIRECT(ADDRESS(2,COLUMN())),OFFSET($BN$2,0,0,ROW()-1,60),ROW()-1,FALSE))</f>
        <v/>
      </c>
      <c r="BB355" t="str">
        <f ca="1">IF(AND(ISNUMBER($BB$1020),$B$677=1),$BB$1020,HLOOKUP(INDIRECT(ADDRESS(2,COLUMN())),OFFSET($BN$2,0,0,ROW()-1,60),ROW()-1,FALSE))</f>
        <v/>
      </c>
      <c r="BC355" t="str">
        <f ca="1">IF(AND(ISNUMBER($BC$1020),$B$677=1),$BC$1020,HLOOKUP(INDIRECT(ADDRESS(2,COLUMN())),OFFSET($BN$2,0,0,ROW()-1,60),ROW()-1,FALSE))</f>
        <v/>
      </c>
      <c r="BD355" t="str">
        <f ca="1">IF(AND(ISNUMBER($BD$1020),$B$677=1),$BD$1020,HLOOKUP(INDIRECT(ADDRESS(2,COLUMN())),OFFSET($BN$2,0,0,ROW()-1,60),ROW()-1,FALSE))</f>
        <v/>
      </c>
      <c r="BE355" t="str">
        <f ca="1">IF(AND(ISNUMBER($BE$1020),$B$677=1),$BE$1020,HLOOKUP(INDIRECT(ADDRESS(2,COLUMN())),OFFSET($BN$2,0,0,ROW()-1,60),ROW()-1,FALSE))</f>
        <v/>
      </c>
      <c r="BF355" t="str">
        <f ca="1">IF(AND(ISNUMBER($BF$1020),$B$677=1),$BF$1020,HLOOKUP(INDIRECT(ADDRESS(2,COLUMN())),OFFSET($BN$2,0,0,ROW()-1,60),ROW()-1,FALSE))</f>
        <v/>
      </c>
      <c r="BG355" t="str">
        <f ca="1">IF(AND(ISNUMBER($BG$1020),$B$677=1),$BG$1020,HLOOKUP(INDIRECT(ADDRESS(2,COLUMN())),OFFSET($BN$2,0,0,ROW()-1,60),ROW()-1,FALSE))</f>
        <v/>
      </c>
      <c r="BH355" t="str">
        <f ca="1">IF(AND(ISNUMBER($BH$1020),$B$677=1),$BH$1020,HLOOKUP(INDIRECT(ADDRESS(2,COLUMN())),OFFSET($BN$2,0,0,ROW()-1,60),ROW()-1,FALSE))</f>
        <v/>
      </c>
      <c r="BI355" t="str">
        <f ca="1">IF(AND(ISNUMBER($BI$1020),$B$677=1),$BI$1020,HLOOKUP(INDIRECT(ADDRESS(2,COLUMN())),OFFSET($BN$2,0,0,ROW()-1,60),ROW()-1,FALSE))</f>
        <v/>
      </c>
      <c r="BJ355" t="str">
        <f ca="1">IF(AND(ISNUMBER($BJ$1020),$B$677=1),$BJ$1020,HLOOKUP(INDIRECT(ADDRESS(2,COLUMN())),OFFSET($BN$2,0,0,ROW()-1,60),ROW()-1,FALSE))</f>
        <v/>
      </c>
      <c r="BK355" t="str">
        <f ca="1">IF(AND(ISNUMBER($BK$1020),$B$677=1),$BK$1020,HLOOKUP(INDIRECT(ADDRESS(2,COLUMN())),OFFSET($BN$2,0,0,ROW()-1,60),ROW()-1,FALSE))</f>
        <v/>
      </c>
      <c r="BL355" t="str">
        <f ca="1">IF(AND(ISNUMBER($BL$1020),$B$677=1),$BL$1020,HLOOKUP(INDIRECT(ADDRESS(2,COLUMN())),OFFSET($BN$2,0,0,ROW()-1,60),ROW()-1,FALSE))</f>
        <v/>
      </c>
      <c r="BM355" t="str">
        <f ca="1">IF(AND(ISNUMBER($BM$1020),$B$677=1),$BM$1020,HLOOKUP(INDIRECT(ADDRESS(2,COLUMN())),OFFSET($BN$2,0,0,ROW()-1,60),ROW()-1,FALSE))</f>
        <v/>
      </c>
      <c r="BN355" t="str">
        <f>""</f>
        <v/>
      </c>
      <c r="BO355" t="str">
        <f>""</f>
        <v/>
      </c>
      <c r="BP355">
        <f>0.196865957</f>
        <v>0.19686595700000001</v>
      </c>
      <c r="BQ355">
        <f>0.1780871</f>
        <v>0.1780871</v>
      </c>
      <c r="BR355">
        <f>0.202473414</f>
        <v>0.20247341399999999</v>
      </c>
      <c r="BS355">
        <f>0.22796797</f>
        <v>0.22796796999999999</v>
      </c>
      <c r="BT355">
        <f>0.191763804</f>
        <v>0.19176380400000001</v>
      </c>
      <c r="BU355">
        <f>0.267448263</f>
        <v>0.26744826300000002</v>
      </c>
      <c r="BV355">
        <f>0.2594243</f>
        <v>0.2594243</v>
      </c>
      <c r="BW355">
        <f>0.282219413</f>
        <v>0.28221941299999997</v>
      </c>
      <c r="BX355">
        <f>0.26817854</f>
        <v>0.26817854000000002</v>
      </c>
      <c r="BY355">
        <f>0.287105972</f>
        <v>0.28710597199999999</v>
      </c>
      <c r="BZ355">
        <f>0.38104536</f>
        <v>0.38104536</v>
      </c>
      <c r="CA355">
        <f>0.396375353</f>
        <v>0.39637535299999999</v>
      </c>
      <c r="CB355">
        <f>0.384289124</f>
        <v>0.38428912399999998</v>
      </c>
      <c r="CC355">
        <f>0.334014587</f>
        <v>0.33401458699999997</v>
      </c>
      <c r="CD355">
        <f>0.335831601</f>
        <v>0.33583160099999998</v>
      </c>
      <c r="CE355">
        <f>0.367808811</f>
        <v>0.36780881100000001</v>
      </c>
      <c r="CF355">
        <f>0.368592927</f>
        <v>0.36859292700000001</v>
      </c>
      <c r="CG355">
        <f>0.404458438</f>
        <v>0.40445843799999998</v>
      </c>
      <c r="CH355">
        <f>0.408769125</f>
        <v>0.40876912500000001</v>
      </c>
      <c r="CI355">
        <f>0.387980869</f>
        <v>0.38798086900000001</v>
      </c>
      <c r="CJ355">
        <f>0.466535198</f>
        <v>0.46653519799999998</v>
      </c>
      <c r="CK355">
        <f>0.456948019</f>
        <v>0.45694801899999998</v>
      </c>
      <c r="CL355">
        <f>0.438366446</f>
        <v>0.43836644600000002</v>
      </c>
      <c r="CM355">
        <f>0.441591816</f>
        <v>0.44159181600000003</v>
      </c>
      <c r="CN355">
        <f>0.538599105</f>
        <v>0.53859910499999997</v>
      </c>
      <c r="CO355">
        <f>0.627891963</f>
        <v>0.62789196300000005</v>
      </c>
      <c r="CP355">
        <f>0.66414098</f>
        <v>0.66414097999999999</v>
      </c>
      <c r="CQ355">
        <f>0.633165409</f>
        <v>0.63316540899999996</v>
      </c>
      <c r="CR355">
        <f>0.689206377</f>
        <v>0.68920637699999998</v>
      </c>
      <c r="CS355">
        <f>0.727991766</f>
        <v>0.72799176600000004</v>
      </c>
      <c r="CT355">
        <f>0.751711432</f>
        <v>0.75171143200000001</v>
      </c>
      <c r="CU355" t="str">
        <f>""</f>
        <v/>
      </c>
      <c r="CV355" t="str">
        <f>""</f>
        <v/>
      </c>
      <c r="CW355" t="str">
        <f>""</f>
        <v/>
      </c>
      <c r="CX355" t="str">
        <f>""</f>
        <v/>
      </c>
      <c r="CY355" t="str">
        <f>""</f>
        <v/>
      </c>
      <c r="CZ355" t="str">
        <f>""</f>
        <v/>
      </c>
      <c r="DA355" t="str">
        <f>""</f>
        <v/>
      </c>
      <c r="DB355" t="str">
        <f>""</f>
        <v/>
      </c>
      <c r="DC355" t="str">
        <f>""</f>
        <v/>
      </c>
      <c r="DD355" t="str">
        <f>""</f>
        <v/>
      </c>
      <c r="DE355" t="str">
        <f>""</f>
        <v/>
      </c>
      <c r="DF355" t="str">
        <f>""</f>
        <v/>
      </c>
      <c r="DG355" t="str">
        <f>""</f>
        <v/>
      </c>
      <c r="DH355" t="str">
        <f>""</f>
        <v/>
      </c>
      <c r="DI355" t="str">
        <f>""</f>
        <v/>
      </c>
      <c r="DJ355" t="str">
        <f>""</f>
        <v/>
      </c>
      <c r="DK355" t="str">
        <f>""</f>
        <v/>
      </c>
      <c r="DL355" t="str">
        <f>""</f>
        <v/>
      </c>
      <c r="DM355" t="str">
        <f>""</f>
        <v/>
      </c>
      <c r="DN355" t="str">
        <f>""</f>
        <v/>
      </c>
      <c r="DO355" t="str">
        <f>""</f>
        <v/>
      </c>
      <c r="DP355" t="str">
        <f>""</f>
        <v/>
      </c>
      <c r="DQ355" t="str">
        <f>""</f>
        <v/>
      </c>
      <c r="DR355" t="str">
        <f>""</f>
        <v/>
      </c>
      <c r="DS355" t="str">
        <f>""</f>
        <v/>
      </c>
      <c r="DT355" t="str">
        <f>""</f>
        <v/>
      </c>
      <c r="DU355" t="str">
        <f>""</f>
        <v/>
      </c>
    </row>
    <row r="356" spans="1:125" x14ac:dyDescent="0.25">
      <c r="A356" t="str">
        <f>"    Mazda Motor Corp"</f>
        <v xml:space="preserve">    Mazda Motor Corp</v>
      </c>
      <c r="B356" t="str">
        <f>"7261 JP Equity"</f>
        <v>7261 JP Equity</v>
      </c>
      <c r="C356" t="str">
        <f t="shared" si="24"/>
        <v>RR473</v>
      </c>
      <c r="D356" t="str">
        <f t="shared" si="25"/>
        <v>EV_TO_T12M_SALES</v>
      </c>
      <c r="E356" t="str">
        <f t="shared" si="26"/>
        <v>Dynamic</v>
      </c>
      <c r="F356" t="str">
        <f ca="1">IF(AND(ISNUMBER($F$1021),$B$677=1),$F$1021,HLOOKUP(INDIRECT(ADDRESS(2,COLUMN())),OFFSET($BN$2,0,0,ROW()-1,60),ROW()-1,FALSE))</f>
        <v/>
      </c>
      <c r="G356">
        <f ca="1">IF(AND(ISNUMBER($G$1021),$B$677=1),$G$1021,HLOOKUP(INDIRECT(ADDRESS(2,COLUMN())),OFFSET($BN$2,0,0,ROW()-1,60),ROW()-1,FALSE))</f>
        <v>0.18822911000000001</v>
      </c>
      <c r="H356">
        <f ca="1">IF(AND(ISNUMBER($H$1021),$B$677=1),$H$1021,HLOOKUP(INDIRECT(ADDRESS(2,COLUMN())),OFFSET($BN$2,0,0,ROW()-1,60),ROW()-1,FALSE))</f>
        <v>0.217558688</v>
      </c>
      <c r="I356">
        <f ca="1">IF(AND(ISNUMBER($I$1021),$B$677=1),$I$1021,HLOOKUP(INDIRECT(ADDRESS(2,COLUMN())),OFFSET($BN$2,0,0,ROW()-1,60),ROW()-1,FALSE))</f>
        <v>0.22465908800000001</v>
      </c>
      <c r="J356">
        <f ca="1">IF(AND(ISNUMBER($J$1021),$B$677=1),$J$1021,HLOOKUP(INDIRECT(ADDRESS(2,COLUMN())),OFFSET($BN$2,0,0,ROW()-1,60),ROW()-1,FALSE))</f>
        <v>0.22879224500000001</v>
      </c>
      <c r="K356">
        <f ca="1">IF(AND(ISNUMBER($K$1021),$B$677=1),$K$1021,HLOOKUP(INDIRECT(ADDRESS(2,COLUMN())),OFFSET($BN$2,0,0,ROW()-1,60),ROW()-1,FALSE))</f>
        <v>0.270184853</v>
      </c>
      <c r="L356">
        <f ca="1">IF(AND(ISNUMBER($L$1021),$B$677=1),$L$1021,HLOOKUP(INDIRECT(ADDRESS(2,COLUMN())),OFFSET($BN$2,0,0,ROW()-1,60),ROW()-1,FALSE))</f>
        <v>0.30019574300000001</v>
      </c>
      <c r="M356">
        <f ca="1">IF(AND(ISNUMBER($M$1021),$B$677=1),$M$1021,HLOOKUP(INDIRECT(ADDRESS(2,COLUMN())),OFFSET($BN$2,0,0,ROW()-1,60),ROW()-1,FALSE))</f>
        <v>0.29065904999999997</v>
      </c>
      <c r="N356">
        <f ca="1">IF(AND(ISNUMBER($N$1021),$B$677=1),$N$1021,HLOOKUP(INDIRECT(ADDRESS(2,COLUMN())),OFFSET($BN$2,0,0,ROW()-1,60),ROW()-1,FALSE))</f>
        <v>0.29469541799999999</v>
      </c>
      <c r="O356">
        <f ca="1">IF(AND(ISNUMBER($O$1021),$B$677=1),$O$1021,HLOOKUP(INDIRECT(ADDRESS(2,COLUMN())),OFFSET($BN$2,0,0,ROW()-1,60),ROW()-1,FALSE))</f>
        <v>0.368894365</v>
      </c>
      <c r="P356">
        <f ca="1">IF(AND(ISNUMBER($P$1021),$B$677=1),$P$1021,HLOOKUP(INDIRECT(ADDRESS(2,COLUMN())),OFFSET($BN$2,0,0,ROW()-1,60),ROW()-1,FALSE))</f>
        <v>0.28321691900000001</v>
      </c>
      <c r="Q356">
        <f ca="1">IF(AND(ISNUMBER($Q$1021),$B$677=1),$Q$1021,HLOOKUP(INDIRECT(ADDRESS(2,COLUMN())),OFFSET($BN$2,0,0,ROW()-1,60),ROW()-1,FALSE))</f>
        <v>0.25224108299999998</v>
      </c>
      <c r="R356">
        <f ca="1">IF(AND(ISNUMBER($R$1021),$B$677=1),$R$1021,HLOOKUP(INDIRECT(ADDRESS(2,COLUMN())),OFFSET($BN$2,0,0,ROW()-1,60),ROW()-1,FALSE))</f>
        <v>0.31852005999999999</v>
      </c>
      <c r="S356">
        <f ca="1">IF(AND(ISNUMBER($S$1021),$B$677=1),$S$1021,HLOOKUP(INDIRECT(ADDRESS(2,COLUMN())),OFFSET($BN$2,0,0,ROW()-1,60),ROW()-1,FALSE))</f>
        <v>0.47885000500000002</v>
      </c>
      <c r="T356">
        <f ca="1">IF(AND(ISNUMBER($T$1021),$B$677=1),$T$1021,HLOOKUP(INDIRECT(ADDRESS(2,COLUMN())),OFFSET($BN$2,0,0,ROW()-1,60),ROW()-1,FALSE))</f>
        <v>0.37984774500000001</v>
      </c>
      <c r="U356">
        <f ca="1">IF(AND(ISNUMBER($U$1021),$B$677=1),$U$1021,HLOOKUP(INDIRECT(ADDRESS(2,COLUMN())),OFFSET($BN$2,0,0,ROW()-1,60),ROW()-1,FALSE))</f>
        <v>0.51168813199999996</v>
      </c>
      <c r="V356">
        <f ca="1">IF(AND(ISNUMBER($V$1021),$B$677=1),$V$1021,HLOOKUP(INDIRECT(ADDRESS(2,COLUMN())),OFFSET($BN$2,0,0,ROW()-1,60),ROW()-1,FALSE))</f>
        <v>0.53103151400000004</v>
      </c>
      <c r="W356">
        <f ca="1">IF(AND(ISNUMBER($W$1021),$B$677=1),$W$1021,HLOOKUP(INDIRECT(ADDRESS(2,COLUMN())),OFFSET($BN$2,0,0,ROW()-1,60),ROW()-1,FALSE))</f>
        <v>0.693256867</v>
      </c>
      <c r="X356">
        <f ca="1">IF(AND(ISNUMBER($X$1021),$B$677=1),$X$1021,HLOOKUP(INDIRECT(ADDRESS(2,COLUMN())),OFFSET($BN$2,0,0,ROW()-1,60),ROW()-1,FALSE))</f>
        <v>0.66058416900000005</v>
      </c>
      <c r="Y356">
        <f ca="1">IF(AND(ISNUMBER($Y$1021),$B$677=1),$Y$1021,HLOOKUP(INDIRECT(ADDRESS(2,COLUMN())),OFFSET($BN$2,0,0,ROW()-1,60),ROW()-1,FALSE))</f>
        <v>0.61027978500000002</v>
      </c>
      <c r="Z356">
        <f ca="1">IF(AND(ISNUMBER($Z$1021),$B$677=1),$Z$1021,HLOOKUP(INDIRECT(ADDRESS(2,COLUMN())),OFFSET($BN$2,0,0,ROW()-1,60),ROW()-1,FALSE))</f>
        <v>0.59669029600000001</v>
      </c>
      <c r="AA356">
        <f ca="1">IF(AND(ISNUMBER($AA$1021),$B$677=1),$AA$1021,HLOOKUP(INDIRECT(ADDRESS(2,COLUMN())),OFFSET($BN$2,0,0,ROW()-1,60),ROW()-1,FALSE))</f>
        <v>0.74593787199999995</v>
      </c>
      <c r="AB356">
        <f ca="1">IF(AND(ISNUMBER($AB$1021),$B$677=1),$AB$1021,HLOOKUP(INDIRECT(ADDRESS(2,COLUMN())),OFFSET($BN$2,0,0,ROW()-1,60),ROW()-1,FALSE))</f>
        <v>0.67251114199999995</v>
      </c>
      <c r="AC356">
        <f ca="1">IF(AND(ISNUMBER($AC$1021),$B$677=1),$AC$1021,HLOOKUP(INDIRECT(ADDRESS(2,COLUMN())),OFFSET($BN$2,0,0,ROW()-1,60),ROW()-1,FALSE))</f>
        <v>0.64376039699999998</v>
      </c>
      <c r="AD356">
        <f ca="1">IF(AND(ISNUMBER($AD$1021),$B$677=1),$AD$1021,HLOOKUP(INDIRECT(ADDRESS(2,COLUMN())),OFFSET($BN$2,0,0,ROW()-1,60),ROW()-1,FALSE))</f>
        <v>0.51233742999999998</v>
      </c>
      <c r="AE356">
        <f ca="1">IF(AND(ISNUMBER($AE$1021),$B$677=1),$AE$1021,HLOOKUP(INDIRECT(ADDRESS(2,COLUMN())),OFFSET($BN$2,0,0,ROW()-1,60),ROW()-1,FALSE))</f>
        <v>0.406874193</v>
      </c>
      <c r="AF356">
        <f ca="1">IF(AND(ISNUMBER($AF$1021),$B$677=1),$AF$1021,HLOOKUP(INDIRECT(ADDRESS(2,COLUMN())),OFFSET($BN$2,0,0,ROW()-1,60),ROW()-1,FALSE))</f>
        <v>0.28635020100000003</v>
      </c>
      <c r="AG356">
        <f ca="1">IF(AND(ISNUMBER($AG$1021),$B$677=1),$AG$1021,HLOOKUP(INDIRECT(ADDRESS(2,COLUMN())),OFFSET($BN$2,0,0,ROW()-1,60),ROW()-1,FALSE))</f>
        <v>0.30645126</v>
      </c>
      <c r="AH356">
        <f ca="1">IF(AND(ISNUMBER($AH$1021),$B$677=1),$AH$1021,HLOOKUP(INDIRECT(ADDRESS(2,COLUMN())),OFFSET($BN$2,0,0,ROW()-1,60),ROW()-1,FALSE))</f>
        <v>0.36325347099999999</v>
      </c>
      <c r="AI356">
        <f ca="1">IF(AND(ISNUMBER($AI$1021),$B$677=1),$AI$1021,HLOOKUP(INDIRECT(ADDRESS(2,COLUMN())),OFFSET($BN$2,0,0,ROW()-1,60),ROW()-1,FALSE))</f>
        <v>0.36844053399999999</v>
      </c>
      <c r="AJ356">
        <f ca="1">IF(AND(ISNUMBER($AJ$1021),$B$677=1),$AJ$1021,HLOOKUP(INDIRECT(ADDRESS(2,COLUMN())),OFFSET($BN$2,0,0,ROW()-1,60),ROW()-1,FALSE))</f>
        <v>0.33241083199999999</v>
      </c>
      <c r="AK356">
        <f ca="1">IF(AND(ISNUMBER($AK$1021),$B$677=1),$AK$1021,HLOOKUP(INDIRECT(ADDRESS(2,COLUMN())),OFFSET($BN$2,0,0,ROW()-1,60),ROW()-1,FALSE))</f>
        <v>0.36575862399999998</v>
      </c>
      <c r="AL356">
        <f ca="1">IF(AND(ISNUMBER($AL$1021),$B$677=1),$AL$1021,HLOOKUP(INDIRECT(ADDRESS(2,COLUMN())),OFFSET($BN$2,0,0,ROW()-1,60),ROW()-1,FALSE))</f>
        <v>0.29898765700000002</v>
      </c>
      <c r="AM356">
        <f ca="1">IF(AND(ISNUMBER($AM$1021),$B$677=1),$AM$1021,HLOOKUP(INDIRECT(ADDRESS(2,COLUMN())),OFFSET($BN$2,0,0,ROW()-1,60),ROW()-1,FALSE))</f>
        <v>0.35962179100000002</v>
      </c>
      <c r="AN356">
        <f ca="1">IF(AND(ISNUMBER($AN$1021),$B$677=1),$AN$1021,HLOOKUP(INDIRECT(ADDRESS(2,COLUMN())),OFFSET($BN$2,0,0,ROW()-1,60),ROW()-1,FALSE))</f>
        <v>0.30761034100000001</v>
      </c>
      <c r="AO356">
        <f ca="1">IF(AND(ISNUMBER($AO$1021),$B$677=1),$AO$1021,HLOOKUP(INDIRECT(ADDRESS(2,COLUMN())),OFFSET($BN$2,0,0,ROW()-1,60),ROW()-1,FALSE))</f>
        <v>0.31605201900000002</v>
      </c>
      <c r="AP356">
        <f ca="1">IF(AND(ISNUMBER($AP$1021),$B$677=1),$AP$1021,HLOOKUP(INDIRECT(ADDRESS(2,COLUMN())),OFFSET($BN$2,0,0,ROW()-1,60),ROW()-1,FALSE))</f>
        <v>0.38050700599999998</v>
      </c>
      <c r="AQ356">
        <f ca="1">IF(AND(ISNUMBER($AQ$1021),$B$677=1),$AQ$1021,HLOOKUP(INDIRECT(ADDRESS(2,COLUMN())),OFFSET($BN$2,0,0,ROW()-1,60),ROW()-1,FALSE))</f>
        <v>0.39829130000000001</v>
      </c>
      <c r="AR356">
        <f ca="1">IF(AND(ISNUMBER($AR$1021),$B$677=1),$AR$1021,HLOOKUP(INDIRECT(ADDRESS(2,COLUMN())),OFFSET($BN$2,0,0,ROW()-1,60),ROW()-1,FALSE))</f>
        <v>0.40311394499999997</v>
      </c>
      <c r="AS356">
        <f ca="1">IF(AND(ISNUMBER($AS$1021),$B$677=1),$AS$1021,HLOOKUP(INDIRECT(ADDRESS(2,COLUMN())),OFFSET($BN$2,0,0,ROW()-1,60),ROW()-1,FALSE))</f>
        <v>0.397514439</v>
      </c>
      <c r="AT356">
        <f ca="1">IF(AND(ISNUMBER($AT$1021),$B$677=1),$AT$1021,HLOOKUP(INDIRECT(ADDRESS(2,COLUMN())),OFFSET($BN$2,0,0,ROW()-1,60),ROW()-1,FALSE))</f>
        <v>0.29534896100000002</v>
      </c>
      <c r="AU356">
        <f ca="1">IF(AND(ISNUMBER($AU$1021),$B$677=1),$AU$1021,HLOOKUP(INDIRECT(ADDRESS(2,COLUMN())),OFFSET($BN$2,0,0,ROW()-1,60),ROW()-1,FALSE))</f>
        <v>0.25076351899999999</v>
      </c>
      <c r="AV356">
        <f ca="1">IF(AND(ISNUMBER($AV$1021),$B$677=1),$AV$1021,HLOOKUP(INDIRECT(ADDRESS(2,COLUMN())),OFFSET($BN$2,0,0,ROW()-1,60),ROW()-1,FALSE))</f>
        <v>0.28432044000000001</v>
      </c>
      <c r="AW356">
        <f ca="1">IF(AND(ISNUMBER($AW$1021),$B$677=1),$AW$1021,HLOOKUP(INDIRECT(ADDRESS(2,COLUMN())),OFFSET($BN$2,0,0,ROW()-1,60),ROW()-1,FALSE))</f>
        <v>0.33286199799999999</v>
      </c>
      <c r="AX356">
        <f ca="1">IF(AND(ISNUMBER($AX$1021),$B$677=1),$AX$1021,HLOOKUP(INDIRECT(ADDRESS(2,COLUMN())),OFFSET($BN$2,0,0,ROW()-1,60),ROW()-1,FALSE))</f>
        <v>0.224482615</v>
      </c>
      <c r="AY356">
        <f ca="1">IF(AND(ISNUMBER($AY$1021),$B$677=1),$AY$1021,HLOOKUP(INDIRECT(ADDRESS(2,COLUMN())),OFFSET($BN$2,0,0,ROW()-1,60),ROW()-1,FALSE))</f>
        <v>0.32743624799999999</v>
      </c>
      <c r="AZ356">
        <f ca="1">IF(AND(ISNUMBER($AZ$1021),$B$677=1),$AZ$1021,HLOOKUP(INDIRECT(ADDRESS(2,COLUMN())),OFFSET($BN$2,0,0,ROW()-1,60),ROW()-1,FALSE))</f>
        <v>0.32752899000000002</v>
      </c>
      <c r="BA356">
        <f ca="1">IF(AND(ISNUMBER($BA$1021),$B$677=1),$BA$1021,HLOOKUP(INDIRECT(ADDRESS(2,COLUMN())),OFFSET($BN$2,0,0,ROW()-1,60),ROW()-1,FALSE))</f>
        <v>0.39559520100000001</v>
      </c>
      <c r="BB356">
        <f ca="1">IF(AND(ISNUMBER($BB$1021),$B$677=1),$BB$1021,HLOOKUP(INDIRECT(ADDRESS(2,COLUMN())),OFFSET($BN$2,0,0,ROW()-1,60),ROW()-1,FALSE))</f>
        <v>0.35597731399999999</v>
      </c>
      <c r="BC356">
        <f ca="1">IF(AND(ISNUMBER($BC$1021),$B$677=1),$BC$1021,HLOOKUP(INDIRECT(ADDRESS(2,COLUMN())),OFFSET($BN$2,0,0,ROW()-1,60),ROW()-1,FALSE))</f>
        <v>0.47102800700000003</v>
      </c>
      <c r="BD356">
        <f ca="1">IF(AND(ISNUMBER($BD$1021),$B$677=1),$BD$1021,HLOOKUP(INDIRECT(ADDRESS(2,COLUMN())),OFFSET($BN$2,0,0,ROW()-1,60),ROW()-1,FALSE))</f>
        <v>0.41311537999999998</v>
      </c>
      <c r="BE356">
        <f ca="1">IF(AND(ISNUMBER($BE$1021),$B$677=1),$BE$1021,HLOOKUP(INDIRECT(ADDRESS(2,COLUMN())),OFFSET($BN$2,0,0,ROW()-1,60),ROW()-1,FALSE))</f>
        <v>0.43587633799999997</v>
      </c>
      <c r="BF356">
        <f ca="1">IF(AND(ISNUMBER($BF$1021),$B$677=1),$BF$1021,HLOOKUP(INDIRECT(ADDRESS(2,COLUMN())),OFFSET($BN$2,0,0,ROW()-1,60),ROW()-1,FALSE))</f>
        <v>0.43046965700000001</v>
      </c>
      <c r="BG356">
        <f ca="1">IF(AND(ISNUMBER($BG$1021),$B$677=1),$BG$1021,HLOOKUP(INDIRECT(ADDRESS(2,COLUMN())),OFFSET($BN$2,0,0,ROW()-1,60),ROW()-1,FALSE))</f>
        <v>0.37819176799999998</v>
      </c>
      <c r="BH356">
        <f ca="1">IF(AND(ISNUMBER($BH$1021),$B$677=1),$BH$1021,HLOOKUP(INDIRECT(ADDRESS(2,COLUMN())),OFFSET($BN$2,0,0,ROW()-1,60),ROW()-1,FALSE))</f>
        <v>0.35202407499999999</v>
      </c>
      <c r="BI356">
        <f ca="1">IF(AND(ISNUMBER($BI$1021),$B$677=1),$BI$1021,HLOOKUP(INDIRECT(ADDRESS(2,COLUMN())),OFFSET($BN$2,0,0,ROW()-1,60),ROW()-1,FALSE))</f>
        <v>0.31729084800000001</v>
      </c>
      <c r="BJ356">
        <f ca="1">IF(AND(ISNUMBER($BJ$1021),$B$677=1),$BJ$1021,HLOOKUP(INDIRECT(ADDRESS(2,COLUMN())),OFFSET($BN$2,0,0,ROW()-1,60),ROW()-1,FALSE))</f>
        <v>0.28280387299999998</v>
      </c>
      <c r="BK356">
        <f ca="1">IF(AND(ISNUMBER($BK$1021),$B$677=1),$BK$1021,HLOOKUP(INDIRECT(ADDRESS(2,COLUMN())),OFFSET($BN$2,0,0,ROW()-1,60),ROW()-1,FALSE))</f>
        <v>0.25706918200000001</v>
      </c>
      <c r="BL356">
        <f ca="1">IF(AND(ISNUMBER($BL$1021),$B$677=1),$BL$1021,HLOOKUP(INDIRECT(ADDRESS(2,COLUMN())),OFFSET($BN$2,0,0,ROW()-1,60),ROW()-1,FALSE))</f>
        <v>0.25938847199999998</v>
      </c>
      <c r="BM356">
        <f ca="1">IF(AND(ISNUMBER($BM$1021),$B$677=1),$BM$1021,HLOOKUP(INDIRECT(ADDRESS(2,COLUMN())),OFFSET($BN$2,0,0,ROW()-1,60),ROW()-1,FALSE))</f>
        <v>0.28098784799999998</v>
      </c>
      <c r="BN356" t="str">
        <f>""</f>
        <v/>
      </c>
      <c r="BO356">
        <f>0.18822911</f>
        <v>0.18822911000000001</v>
      </c>
      <c r="BP356">
        <f>0.217558688</f>
        <v>0.217558688</v>
      </c>
      <c r="BQ356">
        <f>0.224659088</f>
        <v>0.22465908800000001</v>
      </c>
      <c r="BR356">
        <f>0.228792245</f>
        <v>0.22879224500000001</v>
      </c>
      <c r="BS356">
        <f>0.270184853</f>
        <v>0.270184853</v>
      </c>
      <c r="BT356">
        <f>0.300195743</f>
        <v>0.30019574300000001</v>
      </c>
      <c r="BU356">
        <f>0.29065905</f>
        <v>0.29065904999999997</v>
      </c>
      <c r="BV356">
        <f>0.294695418</f>
        <v>0.29469541799999999</v>
      </c>
      <c r="BW356">
        <f>0.368894365</f>
        <v>0.368894365</v>
      </c>
      <c r="BX356">
        <f>0.283216919</f>
        <v>0.28321691900000001</v>
      </c>
      <c r="BY356">
        <f>0.252241083</f>
        <v>0.25224108299999998</v>
      </c>
      <c r="BZ356">
        <f>0.31852006</f>
        <v>0.31852005999999999</v>
      </c>
      <c r="CA356">
        <f>0.478850005</f>
        <v>0.47885000500000002</v>
      </c>
      <c r="CB356">
        <f>0.379847745</f>
        <v>0.37984774500000001</v>
      </c>
      <c r="CC356">
        <f>0.511688132</f>
        <v>0.51168813199999996</v>
      </c>
      <c r="CD356">
        <f>0.531031514</f>
        <v>0.53103151400000004</v>
      </c>
      <c r="CE356">
        <f>0.693256867</f>
        <v>0.693256867</v>
      </c>
      <c r="CF356">
        <f>0.660584169</f>
        <v>0.66058416900000005</v>
      </c>
      <c r="CG356">
        <f>0.610279785</f>
        <v>0.61027978500000002</v>
      </c>
      <c r="CH356">
        <f>0.596690296</f>
        <v>0.59669029600000001</v>
      </c>
      <c r="CI356">
        <f>0.745937872</f>
        <v>0.74593787199999995</v>
      </c>
      <c r="CJ356">
        <f>0.672511142</f>
        <v>0.67251114199999995</v>
      </c>
      <c r="CK356">
        <f>0.643760397</f>
        <v>0.64376039699999998</v>
      </c>
      <c r="CL356">
        <f>0.51233743</f>
        <v>0.51233742999999998</v>
      </c>
      <c r="CM356">
        <f>0.406874193</f>
        <v>0.406874193</v>
      </c>
      <c r="CN356">
        <f>0.286350201</f>
        <v>0.28635020100000003</v>
      </c>
      <c r="CO356">
        <f>0.30645126</f>
        <v>0.30645126</v>
      </c>
      <c r="CP356">
        <f>0.363253471</f>
        <v>0.36325347099999999</v>
      </c>
      <c r="CQ356">
        <f>0.368440534</f>
        <v>0.36844053399999999</v>
      </c>
      <c r="CR356">
        <f>0.332410832</f>
        <v>0.33241083199999999</v>
      </c>
      <c r="CS356">
        <f>0.365758624</f>
        <v>0.36575862399999998</v>
      </c>
      <c r="CT356">
        <f>0.298987657</f>
        <v>0.29898765700000002</v>
      </c>
      <c r="CU356">
        <f>0.359621791</f>
        <v>0.35962179100000002</v>
      </c>
      <c r="CV356">
        <f>0.307610341</f>
        <v>0.30761034100000001</v>
      </c>
      <c r="CW356">
        <f>0.316052019</f>
        <v>0.31605201900000002</v>
      </c>
      <c r="CX356">
        <f>0.380507006</f>
        <v>0.38050700599999998</v>
      </c>
      <c r="CY356">
        <f>0.3982913</f>
        <v>0.39829130000000001</v>
      </c>
      <c r="CZ356">
        <f>0.403113945</f>
        <v>0.40311394499999997</v>
      </c>
      <c r="DA356">
        <f>0.397514439</f>
        <v>0.397514439</v>
      </c>
      <c r="DB356">
        <f>0.295348961</f>
        <v>0.29534896100000002</v>
      </c>
      <c r="DC356">
        <f>0.250763519</f>
        <v>0.25076351899999999</v>
      </c>
      <c r="DD356">
        <f>0.28432044</f>
        <v>0.28432044000000001</v>
      </c>
      <c r="DE356">
        <f>0.332861998</f>
        <v>0.33286199799999999</v>
      </c>
      <c r="DF356">
        <f>0.224482615</f>
        <v>0.224482615</v>
      </c>
      <c r="DG356">
        <f>0.327436248</f>
        <v>0.32743624799999999</v>
      </c>
      <c r="DH356">
        <f>0.32752899</f>
        <v>0.32752899000000002</v>
      </c>
      <c r="DI356">
        <f>0.395595201</f>
        <v>0.39559520100000001</v>
      </c>
      <c r="DJ356">
        <f>0.355977314</f>
        <v>0.35597731399999999</v>
      </c>
      <c r="DK356">
        <f>0.471028007</f>
        <v>0.47102800700000003</v>
      </c>
      <c r="DL356">
        <f>0.41311538</f>
        <v>0.41311537999999998</v>
      </c>
      <c r="DM356">
        <f>0.435876338</f>
        <v>0.43587633799999997</v>
      </c>
      <c r="DN356">
        <f>0.430469657</f>
        <v>0.43046965700000001</v>
      </c>
      <c r="DO356">
        <f>0.378191768</f>
        <v>0.37819176799999998</v>
      </c>
      <c r="DP356">
        <f>0.352024075</f>
        <v>0.35202407499999999</v>
      </c>
      <c r="DQ356">
        <f>0.317290848</f>
        <v>0.31729084800000001</v>
      </c>
      <c r="DR356">
        <f>0.282803873</f>
        <v>0.28280387299999998</v>
      </c>
      <c r="DS356">
        <f>0.257069182</f>
        <v>0.25706918200000001</v>
      </c>
      <c r="DT356">
        <f>0.259388472</f>
        <v>0.25938847199999998</v>
      </c>
      <c r="DU356">
        <f>0.280987848</f>
        <v>0.28098784799999998</v>
      </c>
    </row>
    <row r="357" spans="1:125" x14ac:dyDescent="0.25">
      <c r="A357" t="str">
        <f>"    Mitsubishi Motors Corp"</f>
        <v xml:space="preserve">    Mitsubishi Motors Corp</v>
      </c>
      <c r="B357" t="str">
        <f>"7211 JP Equity"</f>
        <v>7211 JP Equity</v>
      </c>
      <c r="C357" t="str">
        <f t="shared" si="24"/>
        <v>RR473</v>
      </c>
      <c r="D357" t="str">
        <f t="shared" si="25"/>
        <v>EV_TO_T12M_SALES</v>
      </c>
      <c r="E357" t="str">
        <f t="shared" si="26"/>
        <v>Dynamic</v>
      </c>
      <c r="F357" t="str">
        <f ca="1">IF(AND(ISNUMBER($F$1022),$B$677=1),$F$1022,HLOOKUP(INDIRECT(ADDRESS(2,COLUMN())),OFFSET($BN$2,0,0,ROW()-1,60),ROW()-1,FALSE))</f>
        <v/>
      </c>
      <c r="G357">
        <f ca="1">IF(AND(ISNUMBER($G$1022),$B$677=1),$G$1022,HLOOKUP(INDIRECT(ADDRESS(2,COLUMN())),OFFSET($BN$2,0,0,ROW()-1,60),ROW()-1,FALSE))</f>
        <v>0.283658835</v>
      </c>
      <c r="H357">
        <f ca="1">IF(AND(ISNUMBER($H$1022),$B$677=1),$H$1022,HLOOKUP(INDIRECT(ADDRESS(2,COLUMN())),OFFSET($BN$2,0,0,ROW()-1,60),ROW()-1,FALSE))</f>
        <v>0.39602015600000001</v>
      </c>
      <c r="I357">
        <f ca="1">IF(AND(ISNUMBER($I$1022),$B$677=1),$I$1022,HLOOKUP(INDIRECT(ADDRESS(2,COLUMN())),OFFSET($BN$2,0,0,ROW()-1,60),ROW()-1,FALSE))</f>
        <v>0.474300361</v>
      </c>
      <c r="J357">
        <f ca="1">IF(AND(ISNUMBER($J$1022),$B$677=1),$J$1022,HLOOKUP(INDIRECT(ADDRESS(2,COLUMN())),OFFSET($BN$2,0,0,ROW()-1,60),ROW()-1,FALSE))</f>
        <v>0.27990683199999999</v>
      </c>
      <c r="K357">
        <f ca="1">IF(AND(ISNUMBER($K$1022),$B$677=1),$K$1022,HLOOKUP(INDIRECT(ADDRESS(2,COLUMN())),OFFSET($BN$2,0,0,ROW()-1,60),ROW()-1,FALSE))</f>
        <v>0.34996907900000002</v>
      </c>
      <c r="L357">
        <f ca="1">IF(AND(ISNUMBER($L$1022),$B$677=1),$L$1022,HLOOKUP(INDIRECT(ADDRESS(2,COLUMN())),OFFSET($BN$2,0,0,ROW()-1,60),ROW()-1,FALSE))</f>
        <v>0.427194876</v>
      </c>
      <c r="M357">
        <f ca="1">IF(AND(ISNUMBER($M$1022),$B$677=1),$M$1022,HLOOKUP(INDIRECT(ADDRESS(2,COLUMN())),OFFSET($BN$2,0,0,ROW()-1,60),ROW()-1,FALSE))</f>
        <v>0.32928028300000001</v>
      </c>
      <c r="N357">
        <f ca="1">IF(AND(ISNUMBER($N$1022),$B$677=1),$N$1022,HLOOKUP(INDIRECT(ADDRESS(2,COLUMN())),OFFSET($BN$2,0,0,ROW()-1,60),ROW()-1,FALSE))</f>
        <v>0.25140726699999999</v>
      </c>
      <c r="O357">
        <f ca="1">IF(AND(ISNUMBER($O$1022),$B$677=1),$O$1022,HLOOKUP(INDIRECT(ADDRESS(2,COLUMN())),OFFSET($BN$2,0,0,ROW()-1,60),ROW()-1,FALSE))</f>
        <v>0.238371888</v>
      </c>
      <c r="P357">
        <f ca="1">IF(AND(ISNUMBER($P$1022),$B$677=1),$P$1022,HLOOKUP(INDIRECT(ADDRESS(2,COLUMN())),OFFSET($BN$2,0,0,ROW()-1,60),ROW()-1,FALSE))</f>
        <v>7.8939686999999994E-2</v>
      </c>
      <c r="Q357">
        <f ca="1">IF(AND(ISNUMBER($Q$1022),$B$677=1),$Q$1022,HLOOKUP(INDIRECT(ADDRESS(2,COLUMN())),OFFSET($BN$2,0,0,ROW()-1,60),ROW()-1,FALSE))</f>
        <v>4.3757608000000003E-2</v>
      </c>
      <c r="R357">
        <f ca="1">IF(AND(ISNUMBER($R$1022),$B$677=1),$R$1022,HLOOKUP(INDIRECT(ADDRESS(2,COLUMN())),OFFSET($BN$2,0,0,ROW()-1,60),ROW()-1,FALSE))</f>
        <v>0.189561968</v>
      </c>
      <c r="S357">
        <f ca="1">IF(AND(ISNUMBER($S$1022),$B$677=1),$S$1022,HLOOKUP(INDIRECT(ADDRESS(2,COLUMN())),OFFSET($BN$2,0,0,ROW()-1,60),ROW()-1,FALSE))</f>
        <v>0.25537706300000002</v>
      </c>
      <c r="T357">
        <f ca="1">IF(AND(ISNUMBER($T$1022),$B$677=1),$T$1022,HLOOKUP(INDIRECT(ADDRESS(2,COLUMN())),OFFSET($BN$2,0,0,ROW()-1,60),ROW()-1,FALSE))</f>
        <v>0.23768761699999999</v>
      </c>
      <c r="U357">
        <f ca="1">IF(AND(ISNUMBER($U$1022),$B$677=1),$U$1022,HLOOKUP(INDIRECT(ADDRESS(2,COLUMN())),OFFSET($BN$2,0,0,ROW()-1,60),ROW()-1,FALSE))</f>
        <v>0.353455238</v>
      </c>
      <c r="V357">
        <f ca="1">IF(AND(ISNUMBER($V$1022),$B$677=1),$V$1022,HLOOKUP(INDIRECT(ADDRESS(2,COLUMN())),OFFSET($BN$2,0,0,ROW()-1,60),ROW()-1,FALSE))</f>
        <v>0.36608481199999998</v>
      </c>
      <c r="W357">
        <f ca="1">IF(AND(ISNUMBER($W$1022),$B$677=1),$W$1022,HLOOKUP(INDIRECT(ADDRESS(2,COLUMN())),OFFSET($BN$2,0,0,ROW()-1,60),ROW()-1,FALSE))</f>
        <v>0.36987966700000002</v>
      </c>
      <c r="X357">
        <f ca="1">IF(AND(ISNUMBER($X$1022),$B$677=1),$X$1022,HLOOKUP(INDIRECT(ADDRESS(2,COLUMN())),OFFSET($BN$2,0,0,ROW()-1,60),ROW()-1,FALSE))</f>
        <v>0.48707794100000001</v>
      </c>
      <c r="Y357">
        <f ca="1">IF(AND(ISNUMBER($Y$1022),$B$677=1),$Y$1022,HLOOKUP(INDIRECT(ADDRESS(2,COLUMN())),OFFSET($BN$2,0,0,ROW()-1,60),ROW()-1,FALSE))</f>
        <v>0.40132614900000002</v>
      </c>
      <c r="Z357">
        <f ca="1">IF(AND(ISNUMBER($Z$1022),$B$677=1),$Z$1022,HLOOKUP(INDIRECT(ADDRESS(2,COLUMN())),OFFSET($BN$2,0,0,ROW()-1,60),ROW()-1,FALSE))</f>
        <v>0.41764068999999998</v>
      </c>
      <c r="AA357">
        <f ca="1">IF(AND(ISNUMBER($AA$1022),$B$677=1),$AA$1022,HLOOKUP(INDIRECT(ADDRESS(2,COLUMN())),OFFSET($BN$2,0,0,ROW()-1,60),ROW()-1,FALSE))</f>
        <v>0.45566532900000001</v>
      </c>
      <c r="AB357">
        <f ca="1">IF(AND(ISNUMBER($AB$1022),$B$677=1),$AB$1022,HLOOKUP(INDIRECT(ADDRESS(2,COLUMN())),OFFSET($BN$2,0,0,ROW()-1,60),ROW()-1,FALSE))</f>
        <v>0.54017272900000002</v>
      </c>
      <c r="AC357">
        <f ca="1">IF(AND(ISNUMBER($AC$1022),$B$677=1),$AC$1022,HLOOKUP(INDIRECT(ADDRESS(2,COLUMN())),OFFSET($BN$2,0,0,ROW()-1,60),ROW()-1,FALSE))</f>
        <v>0.66595124400000005</v>
      </c>
      <c r="AD357">
        <f ca="1">IF(AND(ISNUMBER($AD$1022),$B$677=1),$AD$1022,HLOOKUP(INDIRECT(ADDRESS(2,COLUMN())),OFFSET($BN$2,0,0,ROW()-1,60),ROW()-1,FALSE))</f>
        <v>0.54506749200000004</v>
      </c>
      <c r="AE357">
        <f ca="1">IF(AND(ISNUMBER($AE$1022),$B$677=1),$AE$1022,HLOOKUP(INDIRECT(ADDRESS(2,COLUMN())),OFFSET($BN$2,0,0,ROW()-1,60),ROW()-1,FALSE))</f>
        <v>0.53526379999999996</v>
      </c>
      <c r="AF357">
        <f ca="1">IF(AND(ISNUMBER($AF$1022),$B$677=1),$AF$1022,HLOOKUP(INDIRECT(ADDRESS(2,COLUMN())),OFFSET($BN$2,0,0,ROW()-1,60),ROW()-1,FALSE))</f>
        <v>0.48066137199999998</v>
      </c>
      <c r="AG357">
        <f ca="1">IF(AND(ISNUMBER($AG$1022),$B$677=1),$AG$1022,HLOOKUP(INDIRECT(ADDRESS(2,COLUMN())),OFFSET($BN$2,0,0,ROW()-1,60),ROW()-1,FALSE))</f>
        <v>0.495686028</v>
      </c>
      <c r="AH357">
        <f ca="1">IF(AND(ISNUMBER($AH$1022),$B$677=1),$AH$1022,HLOOKUP(INDIRECT(ADDRESS(2,COLUMN())),OFFSET($BN$2,0,0,ROW()-1,60),ROW()-1,FALSE))</f>
        <v>0.57360762499999995</v>
      </c>
      <c r="AI357">
        <f ca="1">IF(AND(ISNUMBER($AI$1022),$B$677=1),$AI$1022,HLOOKUP(INDIRECT(ADDRESS(2,COLUMN())),OFFSET($BN$2,0,0,ROW()-1,60),ROW()-1,FALSE))</f>
        <v>0.57124556699999995</v>
      </c>
      <c r="AJ357">
        <f ca="1">IF(AND(ISNUMBER($AJ$1022),$B$677=1),$AJ$1022,HLOOKUP(INDIRECT(ADDRESS(2,COLUMN())),OFFSET($BN$2,0,0,ROW()-1,60),ROW()-1,FALSE))</f>
        <v>0.58018869399999995</v>
      </c>
      <c r="AK357">
        <f ca="1">IF(AND(ISNUMBER($AK$1022),$B$677=1),$AK$1022,HLOOKUP(INDIRECT(ADDRESS(2,COLUMN())),OFFSET($BN$2,0,0,ROW()-1,60),ROW()-1,FALSE))</f>
        <v>0.57578544300000001</v>
      </c>
      <c r="AL357">
        <f ca="1">IF(AND(ISNUMBER($AL$1022),$B$677=1),$AL$1022,HLOOKUP(INDIRECT(ADDRESS(2,COLUMN())),OFFSET($BN$2,0,0,ROW()-1,60),ROW()-1,FALSE))</f>
        <v>0.61658118500000003</v>
      </c>
      <c r="AM357">
        <f ca="1">IF(AND(ISNUMBER($AM$1022),$B$677=1),$AM$1022,HLOOKUP(INDIRECT(ADDRESS(2,COLUMN())),OFFSET($BN$2,0,0,ROW()-1,60),ROW()-1,FALSE))</f>
        <v>0.65285523899999998</v>
      </c>
      <c r="AN357">
        <f ca="1">IF(AND(ISNUMBER($AN$1022),$B$677=1),$AN$1022,HLOOKUP(INDIRECT(ADDRESS(2,COLUMN())),OFFSET($BN$2,0,0,ROW()-1,60),ROW()-1,FALSE))</f>
        <v>0.65571070099999995</v>
      </c>
      <c r="AO357">
        <f ca="1">IF(AND(ISNUMBER($AO$1022),$B$677=1),$AO$1022,HLOOKUP(INDIRECT(ADDRESS(2,COLUMN())),OFFSET($BN$2,0,0,ROW()-1,60),ROW()-1,FALSE))</f>
        <v>0.74537390400000003</v>
      </c>
      <c r="AP357">
        <f ca="1">IF(AND(ISNUMBER($AP$1022),$B$677=1),$AP$1022,HLOOKUP(INDIRECT(ADDRESS(2,COLUMN())),OFFSET($BN$2,0,0,ROW()-1,60),ROW()-1,FALSE))</f>
        <v>0.90240787700000002</v>
      </c>
      <c r="AQ357">
        <f ca="1">IF(AND(ISNUMBER($AQ$1022),$B$677=1),$AQ$1022,HLOOKUP(INDIRECT(ADDRESS(2,COLUMN())),OFFSET($BN$2,0,0,ROW()-1,60),ROW()-1,FALSE))</f>
        <v>1.0486693739999999</v>
      </c>
      <c r="AR357">
        <f ca="1">IF(AND(ISNUMBER($AR$1022),$B$677=1),$AR$1022,HLOOKUP(INDIRECT(ADDRESS(2,COLUMN())),OFFSET($BN$2,0,0,ROW()-1,60),ROW()-1,FALSE))</f>
        <v>1.104875804</v>
      </c>
      <c r="AS357">
        <f ca="1">IF(AND(ISNUMBER($AS$1022),$B$677=1),$AS$1022,HLOOKUP(INDIRECT(ADDRESS(2,COLUMN())),OFFSET($BN$2,0,0,ROW()-1,60),ROW()-1,FALSE))</f>
        <v>1.019744473</v>
      </c>
      <c r="AT357">
        <f ca="1">IF(AND(ISNUMBER($AT$1022),$B$677=1),$AT$1022,HLOOKUP(INDIRECT(ADDRESS(2,COLUMN())),OFFSET($BN$2,0,0,ROW()-1,60),ROW()-1,FALSE))</f>
        <v>0.69058482499999996</v>
      </c>
      <c r="AU357">
        <f ca="1">IF(AND(ISNUMBER($AU$1022),$B$677=1),$AU$1022,HLOOKUP(INDIRECT(ADDRESS(2,COLUMN())),OFFSET($BN$2,0,0,ROW()-1,60),ROW()-1,FALSE))</f>
        <v>0.50715869099999999</v>
      </c>
      <c r="AV357">
        <f ca="1">IF(AND(ISNUMBER($AV$1022),$B$677=1),$AV$1022,HLOOKUP(INDIRECT(ADDRESS(2,COLUMN())),OFFSET($BN$2,0,0,ROW()-1,60),ROW()-1,FALSE))</f>
        <v>0.55312490199999997</v>
      </c>
      <c r="AW357">
        <f ca="1">IF(AND(ISNUMBER($AW$1022),$B$677=1),$AW$1022,HLOOKUP(INDIRECT(ADDRESS(2,COLUMN())),OFFSET($BN$2,0,0,ROW()-1,60),ROW()-1,FALSE))</f>
        <v>0.55801750000000006</v>
      </c>
      <c r="AX357">
        <f ca="1">IF(AND(ISNUMBER($AX$1022),$B$677=1),$AX$1022,HLOOKUP(INDIRECT(ADDRESS(2,COLUMN())),OFFSET($BN$2,0,0,ROW()-1,60),ROW()-1,FALSE))</f>
        <v>0.50481956299999997</v>
      </c>
      <c r="AY357">
        <f ca="1">IF(AND(ISNUMBER($AY$1022),$B$677=1),$AY$1022,HLOOKUP(INDIRECT(ADDRESS(2,COLUMN())),OFFSET($BN$2,0,0,ROW()-1,60),ROW()-1,FALSE))</f>
        <v>0.59860761299999998</v>
      </c>
      <c r="AZ357">
        <f ca="1">IF(AND(ISNUMBER($AZ$1022),$B$677=1),$AZ$1022,HLOOKUP(INDIRECT(ADDRESS(2,COLUMN())),OFFSET($BN$2,0,0,ROW()-1,60),ROW()-1,FALSE))</f>
        <v>0.57410696999999999</v>
      </c>
      <c r="BA357">
        <f ca="1">IF(AND(ISNUMBER($BA$1022),$B$677=1),$BA$1022,HLOOKUP(INDIRECT(ADDRESS(2,COLUMN())),OFFSET($BN$2,0,0,ROW()-1,60),ROW()-1,FALSE))</f>
        <v>0.65826718500000003</v>
      </c>
      <c r="BB357">
        <f ca="1">IF(AND(ISNUMBER($BB$1022),$B$677=1),$BB$1022,HLOOKUP(INDIRECT(ADDRESS(2,COLUMN())),OFFSET($BN$2,0,0,ROW()-1,60),ROW()-1,FALSE))</f>
        <v>0.72565091699999995</v>
      </c>
      <c r="BC357">
        <f ca="1">IF(AND(ISNUMBER($BC$1022),$B$677=1),$BC$1022,HLOOKUP(INDIRECT(ADDRESS(2,COLUMN())),OFFSET($BN$2,0,0,ROW()-1,60),ROW()-1,FALSE))</f>
        <v>0.81540183499999996</v>
      </c>
      <c r="BD357">
        <f ca="1">IF(AND(ISNUMBER($BD$1022),$B$677=1),$BD$1022,HLOOKUP(INDIRECT(ADDRESS(2,COLUMN())),OFFSET($BN$2,0,0,ROW()-1,60),ROW()-1,FALSE))</f>
        <v>0.822287451</v>
      </c>
      <c r="BE357">
        <f ca="1">IF(AND(ISNUMBER($BE$1022),$B$677=1),$BE$1022,HLOOKUP(INDIRECT(ADDRESS(2,COLUMN())),OFFSET($BN$2,0,0,ROW()-1,60),ROW()-1,FALSE))</f>
        <v>0.84902542400000003</v>
      </c>
      <c r="BF357">
        <f ca="1">IF(AND(ISNUMBER($BF$1022),$B$677=1),$BF$1022,HLOOKUP(INDIRECT(ADDRESS(2,COLUMN())),OFFSET($BN$2,0,0,ROW()-1,60),ROW()-1,FALSE))</f>
        <v>0.94613349599999996</v>
      </c>
      <c r="BG357" t="str">
        <f ca="1">IF(AND(ISNUMBER($BG$1022),$B$677=1),$BG$1022,HLOOKUP(INDIRECT(ADDRESS(2,COLUMN())),OFFSET($BN$2,0,0,ROW()-1,60),ROW()-1,FALSE))</f>
        <v/>
      </c>
      <c r="BH357">
        <f ca="1">IF(AND(ISNUMBER($BH$1022),$B$677=1),$BH$1022,HLOOKUP(INDIRECT(ADDRESS(2,COLUMN())),OFFSET($BN$2,0,0,ROW()-1,60),ROW()-1,FALSE))</f>
        <v>0.65798529299999997</v>
      </c>
      <c r="BI357" t="str">
        <f ca="1">IF(AND(ISNUMBER($BI$1022),$B$677=1),$BI$1022,HLOOKUP(INDIRECT(ADDRESS(2,COLUMN())),OFFSET($BN$2,0,0,ROW()-1,60),ROW()-1,FALSE))</f>
        <v/>
      </c>
      <c r="BJ357">
        <f ca="1">IF(AND(ISNUMBER($BJ$1022),$B$677=1),$BJ$1022,HLOOKUP(INDIRECT(ADDRESS(2,COLUMN())),OFFSET($BN$2,0,0,ROW()-1,60),ROW()-1,FALSE))</f>
        <v>0.61268205799999997</v>
      </c>
      <c r="BK357" t="str">
        <f ca="1">IF(AND(ISNUMBER($BK$1022),$B$677=1),$BK$1022,HLOOKUP(INDIRECT(ADDRESS(2,COLUMN())),OFFSET($BN$2,0,0,ROW()-1,60),ROW()-1,FALSE))</f>
        <v/>
      </c>
      <c r="BL357">
        <f ca="1">IF(AND(ISNUMBER($BL$1022),$B$677=1),$BL$1022,HLOOKUP(INDIRECT(ADDRESS(2,COLUMN())),OFFSET($BN$2,0,0,ROW()-1,60),ROW()-1,FALSE))</f>
        <v>0.53376093199999997</v>
      </c>
      <c r="BM357" t="str">
        <f ca="1">IF(AND(ISNUMBER($BM$1022),$B$677=1),$BM$1022,HLOOKUP(INDIRECT(ADDRESS(2,COLUMN())),OFFSET($BN$2,0,0,ROW()-1,60),ROW()-1,FALSE))</f>
        <v/>
      </c>
      <c r="BN357" t="str">
        <f>""</f>
        <v/>
      </c>
      <c r="BO357">
        <f>0.283658835</f>
        <v>0.283658835</v>
      </c>
      <c r="BP357">
        <f>0.396020156</f>
        <v>0.39602015600000001</v>
      </c>
      <c r="BQ357">
        <f>0.474300361</f>
        <v>0.474300361</v>
      </c>
      <c r="BR357">
        <f>0.279906832</f>
        <v>0.27990683199999999</v>
      </c>
      <c r="BS357">
        <f>0.349969079</f>
        <v>0.34996907900000002</v>
      </c>
      <c r="BT357">
        <f>0.427194876</f>
        <v>0.427194876</v>
      </c>
      <c r="BU357">
        <f>0.329280283</f>
        <v>0.32928028300000001</v>
      </c>
      <c r="BV357">
        <f>0.251407267</f>
        <v>0.25140726699999999</v>
      </c>
      <c r="BW357">
        <f>0.238371888</f>
        <v>0.238371888</v>
      </c>
      <c r="BX357">
        <f>0.078939687</f>
        <v>7.8939686999999994E-2</v>
      </c>
      <c r="BY357">
        <f>0.043757608</f>
        <v>4.3757608000000003E-2</v>
      </c>
      <c r="BZ357">
        <f>0.189561968</f>
        <v>0.189561968</v>
      </c>
      <c r="CA357">
        <f>0.255377063</f>
        <v>0.25537706300000002</v>
      </c>
      <c r="CB357">
        <f>0.237687617</f>
        <v>0.23768761699999999</v>
      </c>
      <c r="CC357">
        <f>0.353455238</f>
        <v>0.353455238</v>
      </c>
      <c r="CD357">
        <f>0.366084812</f>
        <v>0.36608481199999998</v>
      </c>
      <c r="CE357">
        <f>0.369879667</f>
        <v>0.36987966700000002</v>
      </c>
      <c r="CF357">
        <f>0.487077941</f>
        <v>0.48707794100000001</v>
      </c>
      <c r="CG357">
        <f>0.401326149</f>
        <v>0.40132614900000002</v>
      </c>
      <c r="CH357">
        <f>0.41764069</f>
        <v>0.41764068999999998</v>
      </c>
      <c r="CI357">
        <f>0.455665329</f>
        <v>0.45566532900000001</v>
      </c>
      <c r="CJ357">
        <f>0.540172729</f>
        <v>0.54017272900000002</v>
      </c>
      <c r="CK357">
        <f>0.665951244</f>
        <v>0.66595124400000005</v>
      </c>
      <c r="CL357">
        <f>0.545067492</f>
        <v>0.54506749200000004</v>
      </c>
      <c r="CM357">
        <f>0.5352638</f>
        <v>0.53526379999999996</v>
      </c>
      <c r="CN357">
        <f>0.480661372</f>
        <v>0.48066137199999998</v>
      </c>
      <c r="CO357">
        <f>0.495686028</f>
        <v>0.495686028</v>
      </c>
      <c r="CP357">
        <f>0.573607625</f>
        <v>0.57360762499999995</v>
      </c>
      <c r="CQ357">
        <f>0.571245567</f>
        <v>0.57124556699999995</v>
      </c>
      <c r="CR357">
        <f>0.580188694</f>
        <v>0.58018869399999995</v>
      </c>
      <c r="CS357">
        <f>0.575785443</f>
        <v>0.57578544300000001</v>
      </c>
      <c r="CT357">
        <f>0.616581185</f>
        <v>0.61658118500000003</v>
      </c>
      <c r="CU357">
        <f>0.652855239</f>
        <v>0.65285523899999998</v>
      </c>
      <c r="CV357">
        <f>0.655710701</f>
        <v>0.65571070099999995</v>
      </c>
      <c r="CW357">
        <f>0.745373904</f>
        <v>0.74537390400000003</v>
      </c>
      <c r="CX357">
        <f>0.902407877</f>
        <v>0.90240787700000002</v>
      </c>
      <c r="CY357">
        <f>1.048669374</f>
        <v>1.0486693739999999</v>
      </c>
      <c r="CZ357">
        <f>1.104875804</f>
        <v>1.104875804</v>
      </c>
      <c r="DA357">
        <f>1.019744473</f>
        <v>1.019744473</v>
      </c>
      <c r="DB357">
        <f>0.690584825</f>
        <v>0.69058482499999996</v>
      </c>
      <c r="DC357">
        <f>0.507158691</f>
        <v>0.50715869099999999</v>
      </c>
      <c r="DD357">
        <f>0.553124902</f>
        <v>0.55312490199999997</v>
      </c>
      <c r="DE357">
        <f>0.5580175</f>
        <v>0.55801750000000006</v>
      </c>
      <c r="DF357">
        <f>0.504819563</f>
        <v>0.50481956299999997</v>
      </c>
      <c r="DG357">
        <f>0.598607613</f>
        <v>0.59860761299999998</v>
      </c>
      <c r="DH357">
        <f>0.57410697</f>
        <v>0.57410696999999999</v>
      </c>
      <c r="DI357">
        <f>0.658267185</f>
        <v>0.65826718500000003</v>
      </c>
      <c r="DJ357">
        <f>0.725650917</f>
        <v>0.72565091699999995</v>
      </c>
      <c r="DK357">
        <f>0.815401835</f>
        <v>0.81540183499999996</v>
      </c>
      <c r="DL357">
        <f>0.822287451</f>
        <v>0.822287451</v>
      </c>
      <c r="DM357">
        <f>0.849025424</f>
        <v>0.84902542400000003</v>
      </c>
      <c r="DN357">
        <f>0.946133496</f>
        <v>0.94613349599999996</v>
      </c>
      <c r="DO357" t="str">
        <f>""</f>
        <v/>
      </c>
      <c r="DP357">
        <f>0.657985293</f>
        <v>0.65798529299999997</v>
      </c>
      <c r="DQ357" t="str">
        <f>""</f>
        <v/>
      </c>
      <c r="DR357">
        <f>0.612682058</f>
        <v>0.61268205799999997</v>
      </c>
      <c r="DS357" t="str">
        <f>""</f>
        <v/>
      </c>
      <c r="DT357">
        <f>0.533760932</f>
        <v>0.53376093199999997</v>
      </c>
      <c r="DU357" t="str">
        <f>""</f>
        <v/>
      </c>
    </row>
    <row r="358" spans="1:125" x14ac:dyDescent="0.25">
      <c r="A358" t="str">
        <f>"    Nissan Motor Co Ltd"</f>
        <v xml:space="preserve">    Nissan Motor Co Ltd</v>
      </c>
      <c r="B358" t="str">
        <f>"7201 JP Equity"</f>
        <v>7201 JP Equity</v>
      </c>
      <c r="C358" t="str">
        <f t="shared" si="24"/>
        <v>RR473</v>
      </c>
      <c r="D358" t="str">
        <f t="shared" si="25"/>
        <v>EV_TO_T12M_SALES</v>
      </c>
      <c r="E358" t="str">
        <f t="shared" si="26"/>
        <v>Dynamic</v>
      </c>
      <c r="F358" t="str">
        <f ca="1">IF(AND(ISNUMBER($F$1023),$B$677=1),$F$1023,HLOOKUP(INDIRECT(ADDRESS(2,COLUMN())),OFFSET($BN$2,0,0,ROW()-1,60),ROW()-1,FALSE))</f>
        <v/>
      </c>
      <c r="G358">
        <f ca="1">IF(AND(ISNUMBER($G$1023),$B$677=1),$G$1023,HLOOKUP(INDIRECT(ADDRESS(2,COLUMN())),OFFSET($BN$2,0,0,ROW()-1,60),ROW()-1,FALSE))</f>
        <v>0.200960371</v>
      </c>
      <c r="H358">
        <f ca="1">IF(AND(ISNUMBER($H$1023),$B$677=1),$H$1023,HLOOKUP(INDIRECT(ADDRESS(2,COLUMN())),OFFSET($BN$2,0,0,ROW()-1,60),ROW()-1,FALSE))</f>
        <v>0.24472265700000001</v>
      </c>
      <c r="I358">
        <f ca="1">IF(AND(ISNUMBER($I$1023),$B$677=1),$I$1023,HLOOKUP(INDIRECT(ADDRESS(2,COLUMN())),OFFSET($BN$2,0,0,ROW()-1,60),ROW()-1,FALSE))</f>
        <v>0.24819686199999999</v>
      </c>
      <c r="J358">
        <f ca="1">IF(AND(ISNUMBER($J$1023),$B$677=1),$J$1023,HLOOKUP(INDIRECT(ADDRESS(2,COLUMN())),OFFSET($BN$2,0,0,ROW()-1,60),ROW()-1,FALSE))</f>
        <v>0.238620007</v>
      </c>
      <c r="K358">
        <f ca="1">IF(AND(ISNUMBER($K$1023),$B$677=1),$K$1023,HLOOKUP(INDIRECT(ADDRESS(2,COLUMN())),OFFSET($BN$2,0,0,ROW()-1,60),ROW()-1,FALSE))</f>
        <v>0.28134488200000002</v>
      </c>
      <c r="L358">
        <f ca="1">IF(AND(ISNUMBER($L$1023),$B$677=1),$L$1023,HLOOKUP(INDIRECT(ADDRESS(2,COLUMN())),OFFSET($BN$2,0,0,ROW()-1,60),ROW()-1,FALSE))</f>
        <v>0.23938688499999999</v>
      </c>
      <c r="M358">
        <f ca="1">IF(AND(ISNUMBER($M$1023),$B$677=1),$M$1023,HLOOKUP(INDIRECT(ADDRESS(2,COLUMN())),OFFSET($BN$2,0,0,ROW()-1,60),ROW()-1,FALSE))</f>
        <v>0.25533906000000001</v>
      </c>
      <c r="N358">
        <f ca="1">IF(AND(ISNUMBER($N$1023),$B$677=1),$N$1023,HLOOKUP(INDIRECT(ADDRESS(2,COLUMN())),OFFSET($BN$2,0,0,ROW()-1,60),ROW()-1,FALSE))</f>
        <v>0.24455871900000001</v>
      </c>
      <c r="O358">
        <f ca="1">IF(AND(ISNUMBER($O$1023),$B$677=1),$O$1023,HLOOKUP(INDIRECT(ADDRESS(2,COLUMN())),OFFSET($BN$2,0,0,ROW()-1,60),ROW()-1,FALSE))</f>
        <v>0.34322304599999998</v>
      </c>
      <c r="P358">
        <f ca="1">IF(AND(ISNUMBER($P$1023),$B$677=1),$P$1023,HLOOKUP(INDIRECT(ADDRESS(2,COLUMN())),OFFSET($BN$2,0,0,ROW()-1,60),ROW()-1,FALSE))</f>
        <v>0.25924013299999998</v>
      </c>
      <c r="Q358">
        <f ca="1">IF(AND(ISNUMBER($Q$1023),$B$677=1),$Q$1023,HLOOKUP(INDIRECT(ADDRESS(2,COLUMN())),OFFSET($BN$2,0,0,ROW()-1,60),ROW()-1,FALSE))</f>
        <v>0.23222489399999999</v>
      </c>
      <c r="R358">
        <f ca="1">IF(AND(ISNUMBER($R$1023),$B$677=1),$R$1023,HLOOKUP(INDIRECT(ADDRESS(2,COLUMN())),OFFSET($BN$2,0,0,ROW()-1,60),ROW()-1,FALSE))</f>
        <v>0.26723528499999999</v>
      </c>
      <c r="S358">
        <f ca="1">IF(AND(ISNUMBER($S$1023),$B$677=1),$S$1023,HLOOKUP(INDIRECT(ADDRESS(2,COLUMN())),OFFSET($BN$2,0,0,ROW()-1,60),ROW()-1,FALSE))</f>
        <v>0.35750812500000001</v>
      </c>
      <c r="T358">
        <f ca="1">IF(AND(ISNUMBER($T$1023),$B$677=1),$T$1023,HLOOKUP(INDIRECT(ADDRESS(2,COLUMN())),OFFSET($BN$2,0,0,ROW()-1,60),ROW()-1,FALSE))</f>
        <v>0.28338352700000002</v>
      </c>
      <c r="U358">
        <f ca="1">IF(AND(ISNUMBER($U$1023),$B$677=1),$U$1023,HLOOKUP(INDIRECT(ADDRESS(2,COLUMN())),OFFSET($BN$2,0,0,ROW()-1,60),ROW()-1,FALSE))</f>
        <v>0.40200291100000002</v>
      </c>
      <c r="V358">
        <f ca="1">IF(AND(ISNUMBER($V$1023),$B$677=1),$V$1023,HLOOKUP(INDIRECT(ADDRESS(2,COLUMN())),OFFSET($BN$2,0,0,ROW()-1,60),ROW()-1,FALSE))</f>
        <v>0.36510643300000001</v>
      </c>
      <c r="W358">
        <f ca="1">IF(AND(ISNUMBER($W$1023),$B$677=1),$W$1023,HLOOKUP(INDIRECT(ADDRESS(2,COLUMN())),OFFSET($BN$2,0,0,ROW()-1,60),ROW()-1,FALSE))</f>
        <v>0.32300679700000001</v>
      </c>
      <c r="X358">
        <f ca="1">IF(AND(ISNUMBER($X$1023),$B$677=1),$X$1023,HLOOKUP(INDIRECT(ADDRESS(2,COLUMN())),OFFSET($BN$2,0,0,ROW()-1,60),ROW()-1,FALSE))</f>
        <v>0.34232591600000001</v>
      </c>
      <c r="Y358">
        <f ca="1">IF(AND(ISNUMBER($Y$1023),$B$677=1),$Y$1023,HLOOKUP(INDIRECT(ADDRESS(2,COLUMN())),OFFSET($BN$2,0,0,ROW()-1,60),ROW()-1,FALSE))</f>
        <v>0.32240311100000002</v>
      </c>
      <c r="Z358">
        <f ca="1">IF(AND(ISNUMBER($Z$1023),$B$677=1),$Z$1023,HLOOKUP(INDIRECT(ADDRESS(2,COLUMN())),OFFSET($BN$2,0,0,ROW()-1,60),ROW()-1,FALSE))</f>
        <v>0.30210236099999999</v>
      </c>
      <c r="AA358">
        <f ca="1">IF(AND(ISNUMBER($AA$1023),$B$677=1),$AA$1023,HLOOKUP(INDIRECT(ADDRESS(2,COLUMN())),OFFSET($BN$2,0,0,ROW()-1,60),ROW()-1,FALSE))</f>
        <v>0.339816795</v>
      </c>
      <c r="AB358">
        <f ca="1">IF(AND(ISNUMBER($AB$1023),$B$677=1),$AB$1023,HLOOKUP(INDIRECT(ADDRESS(2,COLUMN())),OFFSET($BN$2,0,0,ROW()-1,60),ROW()-1,FALSE))</f>
        <v>0.39269040900000002</v>
      </c>
      <c r="AC358">
        <f ca="1">IF(AND(ISNUMBER($AC$1023),$B$677=1),$AC$1023,HLOOKUP(INDIRECT(ADDRESS(2,COLUMN())),OFFSET($BN$2,0,0,ROW()-1,60),ROW()-1,FALSE))</f>
        <v>0.429234687</v>
      </c>
      <c r="AD358">
        <f ca="1">IF(AND(ISNUMBER($AD$1023),$B$677=1),$AD$1023,HLOOKUP(INDIRECT(ADDRESS(2,COLUMN())),OFFSET($BN$2,0,0,ROW()-1,60),ROW()-1,FALSE))</f>
        <v>0.372937095</v>
      </c>
      <c r="AE358">
        <f ca="1">IF(AND(ISNUMBER($AE$1023),$B$677=1),$AE$1023,HLOOKUP(INDIRECT(ADDRESS(2,COLUMN())),OFFSET($BN$2,0,0,ROW()-1,60),ROW()-1,FALSE))</f>
        <v>0.38521903299999999</v>
      </c>
      <c r="AF358">
        <f ca="1">IF(AND(ISNUMBER($AF$1023),$B$677=1),$AF$1023,HLOOKUP(INDIRECT(ADDRESS(2,COLUMN())),OFFSET($BN$2,0,0,ROW()-1,60),ROW()-1,FALSE))</f>
        <v>0.29246328500000002</v>
      </c>
      <c r="AG358">
        <f ca="1">IF(AND(ISNUMBER($AG$1023),$B$677=1),$AG$1023,HLOOKUP(INDIRECT(ADDRESS(2,COLUMN())),OFFSET($BN$2,0,0,ROW()-1,60),ROW()-1,FALSE))</f>
        <v>0.31717952900000002</v>
      </c>
      <c r="AH358">
        <f ca="1">IF(AND(ISNUMBER($AH$1023),$B$677=1),$AH$1023,HLOOKUP(INDIRECT(ADDRESS(2,COLUMN())),OFFSET($BN$2,0,0,ROW()-1,60),ROW()-1,FALSE))</f>
        <v>0.35825194599999999</v>
      </c>
      <c r="AI358">
        <f ca="1">IF(AND(ISNUMBER($AI$1023),$B$677=1),$AI$1023,HLOOKUP(INDIRECT(ADDRESS(2,COLUMN())),OFFSET($BN$2,0,0,ROW()-1,60),ROW()-1,FALSE))</f>
        <v>0.315505496</v>
      </c>
      <c r="AJ358">
        <f ca="1">IF(AND(ISNUMBER($AJ$1023),$B$677=1),$AJ$1023,HLOOKUP(INDIRECT(ADDRESS(2,COLUMN())),OFFSET($BN$2,0,0,ROW()-1,60),ROW()-1,FALSE))</f>
        <v>0.32970502499999998</v>
      </c>
      <c r="AK358">
        <f ca="1">IF(AND(ISNUMBER($AK$1023),$B$677=1),$AK$1023,HLOOKUP(INDIRECT(ADDRESS(2,COLUMN())),OFFSET($BN$2,0,0,ROW()-1,60),ROW()-1,FALSE))</f>
        <v>0.40219223900000001</v>
      </c>
      <c r="AL358">
        <f ca="1">IF(AND(ISNUMBER($AL$1023),$B$677=1),$AL$1023,HLOOKUP(INDIRECT(ADDRESS(2,COLUMN())),OFFSET($BN$2,0,0,ROW()-1,60),ROW()-1,FALSE))</f>
        <v>0.35571542</v>
      </c>
      <c r="AM358">
        <f ca="1">IF(AND(ISNUMBER($AM$1023),$B$677=1),$AM$1023,HLOOKUP(INDIRECT(ADDRESS(2,COLUMN())),OFFSET($BN$2,0,0,ROW()-1,60),ROW()-1,FALSE))</f>
        <v>0.410063599</v>
      </c>
      <c r="AN358">
        <f ca="1">IF(AND(ISNUMBER($AN$1023),$B$677=1),$AN$1023,HLOOKUP(INDIRECT(ADDRESS(2,COLUMN())),OFFSET($BN$2,0,0,ROW()-1,60),ROW()-1,FALSE))</f>
        <v>0.38264653500000001</v>
      </c>
      <c r="AO358">
        <f ca="1">IF(AND(ISNUMBER($AO$1023),$B$677=1),$AO$1023,HLOOKUP(INDIRECT(ADDRESS(2,COLUMN())),OFFSET($BN$2,0,0,ROW()-1,60),ROW()-1,FALSE))</f>
        <v>0.35446241000000001</v>
      </c>
      <c r="AP358">
        <f ca="1">IF(AND(ISNUMBER($AP$1023),$B$677=1),$AP$1023,HLOOKUP(INDIRECT(ADDRESS(2,COLUMN())),OFFSET($BN$2,0,0,ROW()-1,60),ROW()-1,FALSE))</f>
        <v>0.46584711400000001</v>
      </c>
      <c r="AQ358">
        <f ca="1">IF(AND(ISNUMBER($AQ$1023),$B$677=1),$AQ$1023,HLOOKUP(INDIRECT(ADDRESS(2,COLUMN())),OFFSET($BN$2,0,0,ROW()-1,60),ROW()-1,FALSE))</f>
        <v>0.52978903700000002</v>
      </c>
      <c r="AR358">
        <f ca="1">IF(AND(ISNUMBER($AR$1023),$B$677=1),$AR$1023,HLOOKUP(INDIRECT(ADDRESS(2,COLUMN())),OFFSET($BN$2,0,0,ROW()-1,60),ROW()-1,FALSE))</f>
        <v>0.43037142499999997</v>
      </c>
      <c r="AS358">
        <f ca="1">IF(AND(ISNUMBER($AS$1023),$B$677=1),$AS$1023,HLOOKUP(INDIRECT(ADDRESS(2,COLUMN())),OFFSET($BN$2,0,0,ROW()-1,60),ROW()-1,FALSE))</f>
        <v>0.403672639</v>
      </c>
      <c r="AT358">
        <f ca="1">IF(AND(ISNUMBER($AT$1023),$B$677=1),$AT$1023,HLOOKUP(INDIRECT(ADDRESS(2,COLUMN())),OFFSET($BN$2,0,0,ROW()-1,60),ROW()-1,FALSE))</f>
        <v>0.678949672</v>
      </c>
      <c r="AU358">
        <f ca="1">IF(AND(ISNUMBER($AU$1023),$B$677=1),$AU$1023,HLOOKUP(INDIRECT(ADDRESS(2,COLUMN())),OFFSET($BN$2,0,0,ROW()-1,60),ROW()-1,FALSE))</f>
        <v>0.61429789599999995</v>
      </c>
      <c r="AV358">
        <f ca="1">IF(AND(ISNUMBER($AV$1023),$B$677=1),$AV$1023,HLOOKUP(INDIRECT(ADDRESS(2,COLUMN())),OFFSET($BN$2,0,0,ROW()-1,60),ROW()-1,FALSE))</f>
        <v>0.72472567600000004</v>
      </c>
      <c r="AW358">
        <f ca="1">IF(AND(ISNUMBER($AW$1023),$B$677=1),$AW$1023,HLOOKUP(INDIRECT(ADDRESS(2,COLUMN())),OFFSET($BN$2,0,0,ROW()-1,60),ROW()-1,FALSE))</f>
        <v>0.79667090200000001</v>
      </c>
      <c r="AX358">
        <f ca="1">IF(AND(ISNUMBER($AX$1023),$B$677=1),$AX$1023,HLOOKUP(INDIRECT(ADDRESS(2,COLUMN())),OFFSET($BN$2,0,0,ROW()-1,60),ROW()-1,FALSE))</f>
        <v>0.72495179200000004</v>
      </c>
      <c r="AY358">
        <f ca="1">IF(AND(ISNUMBER($AY$1023),$B$677=1),$AY$1023,HLOOKUP(INDIRECT(ADDRESS(2,COLUMN())),OFFSET($BN$2,0,0,ROW()-1,60),ROW()-1,FALSE))</f>
        <v>0.88922434400000006</v>
      </c>
      <c r="AZ358">
        <f ca="1">IF(AND(ISNUMBER($AZ$1023),$B$677=1),$AZ$1023,HLOOKUP(INDIRECT(ADDRESS(2,COLUMN())),OFFSET($BN$2,0,0,ROW()-1,60),ROW()-1,FALSE))</f>
        <v>0.88205092799999996</v>
      </c>
      <c r="BA358">
        <f ca="1">IF(AND(ISNUMBER($BA$1023),$B$677=1),$BA$1023,HLOOKUP(INDIRECT(ADDRESS(2,COLUMN())),OFFSET($BN$2,0,0,ROW()-1,60),ROW()-1,FALSE))</f>
        <v>0.99231637800000005</v>
      </c>
      <c r="BB358">
        <f ca="1">IF(AND(ISNUMBER($BB$1023),$B$677=1),$BB$1023,HLOOKUP(INDIRECT(ADDRESS(2,COLUMN())),OFFSET($BN$2,0,0,ROW()-1,60),ROW()-1,FALSE))</f>
        <v>0.96862014600000002</v>
      </c>
      <c r="BC358">
        <f ca="1">IF(AND(ISNUMBER($BC$1023),$B$677=1),$BC$1023,HLOOKUP(INDIRECT(ADDRESS(2,COLUMN())),OFFSET($BN$2,0,0,ROW()-1,60),ROW()-1,FALSE))</f>
        <v>1.153840325</v>
      </c>
      <c r="BD358">
        <f ca="1">IF(AND(ISNUMBER($BD$1023),$B$677=1),$BD$1023,HLOOKUP(INDIRECT(ADDRESS(2,COLUMN())),OFFSET($BN$2,0,0,ROW()-1,60),ROW()-1,FALSE))</f>
        <v>1.0853931960000001</v>
      </c>
      <c r="BE358">
        <f ca="1">IF(AND(ISNUMBER($BE$1023),$B$677=1),$BE$1023,HLOOKUP(INDIRECT(ADDRESS(2,COLUMN())),OFFSET($BN$2,0,0,ROW()-1,60),ROW()-1,FALSE))</f>
        <v>1.0574750639999999</v>
      </c>
      <c r="BF358">
        <f ca="1">IF(AND(ISNUMBER($BF$1023),$B$677=1),$BF$1023,HLOOKUP(INDIRECT(ADDRESS(2,COLUMN())),OFFSET($BN$2,0,0,ROW()-1,60),ROW()-1,FALSE))</f>
        <v>1.103737821</v>
      </c>
      <c r="BG358" t="str">
        <f ca="1">IF(AND(ISNUMBER($BG$1023),$B$677=1),$BG$1023,HLOOKUP(INDIRECT(ADDRESS(2,COLUMN())),OFFSET($BN$2,0,0,ROW()-1,60),ROW()-1,FALSE))</f>
        <v/>
      </c>
      <c r="BH358">
        <f ca="1">IF(AND(ISNUMBER($BH$1023),$B$677=1),$BH$1023,HLOOKUP(INDIRECT(ADDRESS(2,COLUMN())),OFFSET($BN$2,0,0,ROW()-1,60),ROW()-1,FALSE))</f>
        <v>1.0677037869999999</v>
      </c>
      <c r="BI358" t="str">
        <f ca="1">IF(AND(ISNUMBER($BI$1023),$B$677=1),$BI$1023,HLOOKUP(INDIRECT(ADDRESS(2,COLUMN())),OFFSET($BN$2,0,0,ROW()-1,60),ROW()-1,FALSE))</f>
        <v/>
      </c>
      <c r="BJ358">
        <f ca="1">IF(AND(ISNUMBER($BJ$1023),$B$677=1),$BJ$1023,HLOOKUP(INDIRECT(ADDRESS(2,COLUMN())),OFFSET($BN$2,0,0,ROW()-1,60),ROW()-1,FALSE))</f>
        <v>0.95817228200000004</v>
      </c>
      <c r="BK358" t="str">
        <f ca="1">IF(AND(ISNUMBER($BK$1023),$B$677=1),$BK$1023,HLOOKUP(INDIRECT(ADDRESS(2,COLUMN())),OFFSET($BN$2,0,0,ROW()-1,60),ROW()-1,FALSE))</f>
        <v/>
      </c>
      <c r="BL358">
        <f ca="1">IF(AND(ISNUMBER($BL$1023),$B$677=1),$BL$1023,HLOOKUP(INDIRECT(ADDRESS(2,COLUMN())),OFFSET($BN$2,0,0,ROW()-1,60),ROW()-1,FALSE))</f>
        <v>1.064814079</v>
      </c>
      <c r="BM358" t="str">
        <f ca="1">IF(AND(ISNUMBER($BM$1023),$B$677=1),$BM$1023,HLOOKUP(INDIRECT(ADDRESS(2,COLUMN())),OFFSET($BN$2,0,0,ROW()-1,60),ROW()-1,FALSE))</f>
        <v/>
      </c>
      <c r="BN358" t="str">
        <f>""</f>
        <v/>
      </c>
      <c r="BO358">
        <f>0.200960371</f>
        <v>0.200960371</v>
      </c>
      <c r="BP358">
        <f>0.244722657</f>
        <v>0.24472265700000001</v>
      </c>
      <c r="BQ358">
        <f>0.248196862</f>
        <v>0.24819686199999999</v>
      </c>
      <c r="BR358">
        <f>0.238620007</f>
        <v>0.238620007</v>
      </c>
      <c r="BS358">
        <f>0.281344882</f>
        <v>0.28134488200000002</v>
      </c>
      <c r="BT358">
        <f>0.239386885</f>
        <v>0.23938688499999999</v>
      </c>
      <c r="BU358">
        <f>0.25533906</f>
        <v>0.25533906000000001</v>
      </c>
      <c r="BV358">
        <f>0.244558719</f>
        <v>0.24455871900000001</v>
      </c>
      <c r="BW358">
        <f>0.343223046</f>
        <v>0.34322304599999998</v>
      </c>
      <c r="BX358">
        <f>0.259240133</f>
        <v>0.25924013299999998</v>
      </c>
      <c r="BY358">
        <f>0.232224894</f>
        <v>0.23222489399999999</v>
      </c>
      <c r="BZ358">
        <f>0.267235285</f>
        <v>0.26723528499999999</v>
      </c>
      <c r="CA358">
        <f>0.357508125</f>
        <v>0.35750812500000001</v>
      </c>
      <c r="CB358">
        <f>0.283383527</f>
        <v>0.28338352700000002</v>
      </c>
      <c r="CC358">
        <f>0.402002911</f>
        <v>0.40200291100000002</v>
      </c>
      <c r="CD358">
        <f>0.365106433</f>
        <v>0.36510643300000001</v>
      </c>
      <c r="CE358">
        <f>0.323006797</f>
        <v>0.32300679700000001</v>
      </c>
      <c r="CF358">
        <f>0.342325916</f>
        <v>0.34232591600000001</v>
      </c>
      <c r="CG358">
        <f>0.322403111</f>
        <v>0.32240311100000002</v>
      </c>
      <c r="CH358">
        <f>0.302102361</f>
        <v>0.30210236099999999</v>
      </c>
      <c r="CI358">
        <f>0.339816795</f>
        <v>0.339816795</v>
      </c>
      <c r="CJ358">
        <f>0.392690409</f>
        <v>0.39269040900000002</v>
      </c>
      <c r="CK358">
        <f>0.429234687</f>
        <v>0.429234687</v>
      </c>
      <c r="CL358">
        <f>0.372937095</f>
        <v>0.372937095</v>
      </c>
      <c r="CM358">
        <f>0.385219033</f>
        <v>0.38521903299999999</v>
      </c>
      <c r="CN358">
        <f>0.292463285</f>
        <v>0.29246328500000002</v>
      </c>
      <c r="CO358">
        <f>0.317179529</f>
        <v>0.31717952900000002</v>
      </c>
      <c r="CP358">
        <f>0.358251946</f>
        <v>0.35825194599999999</v>
      </c>
      <c r="CQ358">
        <f>0.315505496</f>
        <v>0.315505496</v>
      </c>
      <c r="CR358">
        <f>0.329705025</f>
        <v>0.32970502499999998</v>
      </c>
      <c r="CS358">
        <f>0.402192239</f>
        <v>0.40219223900000001</v>
      </c>
      <c r="CT358">
        <f>0.35571542</f>
        <v>0.35571542</v>
      </c>
      <c r="CU358">
        <f>0.410063599</f>
        <v>0.410063599</v>
      </c>
      <c r="CV358">
        <f>0.382646535</f>
        <v>0.38264653500000001</v>
      </c>
      <c r="CW358">
        <f>0.35446241</f>
        <v>0.35446241000000001</v>
      </c>
      <c r="CX358">
        <f>0.465847114</f>
        <v>0.46584711400000001</v>
      </c>
      <c r="CY358">
        <f>0.529789037</f>
        <v>0.52978903700000002</v>
      </c>
      <c r="CZ358">
        <f>0.430371425</f>
        <v>0.43037142499999997</v>
      </c>
      <c r="DA358">
        <f>0.403672639</f>
        <v>0.403672639</v>
      </c>
      <c r="DB358">
        <f>0.678949672</f>
        <v>0.678949672</v>
      </c>
      <c r="DC358">
        <f>0.614297896</f>
        <v>0.61429789599999995</v>
      </c>
      <c r="DD358">
        <f>0.724725676</f>
        <v>0.72472567600000004</v>
      </c>
      <c r="DE358">
        <f>0.796670902</f>
        <v>0.79667090200000001</v>
      </c>
      <c r="DF358">
        <f>0.724951792</f>
        <v>0.72495179200000004</v>
      </c>
      <c r="DG358">
        <f>0.889224344</f>
        <v>0.88922434400000006</v>
      </c>
      <c r="DH358">
        <f>0.882050928</f>
        <v>0.88205092799999996</v>
      </c>
      <c r="DI358">
        <f>0.992316378</f>
        <v>0.99231637800000005</v>
      </c>
      <c r="DJ358">
        <f>0.968620146</f>
        <v>0.96862014600000002</v>
      </c>
      <c r="DK358">
        <f>1.153840325</f>
        <v>1.153840325</v>
      </c>
      <c r="DL358">
        <f>1.085393196</f>
        <v>1.0853931960000001</v>
      </c>
      <c r="DM358">
        <f>1.057475064</f>
        <v>1.0574750639999999</v>
      </c>
      <c r="DN358">
        <f>1.103737821</f>
        <v>1.103737821</v>
      </c>
      <c r="DO358" t="str">
        <f>""</f>
        <v/>
      </c>
      <c r="DP358">
        <f>1.067703787</f>
        <v>1.0677037869999999</v>
      </c>
      <c r="DQ358" t="str">
        <f>""</f>
        <v/>
      </c>
      <c r="DR358">
        <f>0.958172282</f>
        <v>0.95817228200000004</v>
      </c>
      <c r="DS358" t="str">
        <f>""</f>
        <v/>
      </c>
      <c r="DT358">
        <f>1.064814079</f>
        <v>1.064814079</v>
      </c>
      <c r="DU358" t="str">
        <f>""</f>
        <v/>
      </c>
    </row>
    <row r="359" spans="1:125" x14ac:dyDescent="0.25">
      <c r="A359" t="str">
        <f>"    Peugeot SA"</f>
        <v xml:space="preserve">    Peugeot SA</v>
      </c>
      <c r="B359" t="str">
        <f>"UG FP Equity"</f>
        <v>UG FP Equity</v>
      </c>
      <c r="C359" t="str">
        <f t="shared" si="24"/>
        <v>RR473</v>
      </c>
      <c r="D359" t="str">
        <f t="shared" si="25"/>
        <v>EV_TO_T12M_SALES</v>
      </c>
      <c r="E359" t="str">
        <f t="shared" si="26"/>
        <v>Dynamic</v>
      </c>
      <c r="F359" t="str">
        <f ca="1">IF(AND(ISNUMBER($F$1024),$B$677=1),$F$1024,HLOOKUP(INDIRECT(ADDRESS(2,COLUMN())),OFFSET($BN$2,0,0,ROW()-1,60),ROW()-1,FALSE))</f>
        <v/>
      </c>
      <c r="G359" t="str">
        <f ca="1">IF(AND(ISNUMBER($G$1024),$B$677=1),$G$1024,HLOOKUP(INDIRECT(ADDRESS(2,COLUMN())),OFFSET($BN$2,0,0,ROW()-1,60),ROW()-1,FALSE))</f>
        <v/>
      </c>
      <c r="H359" t="str">
        <f ca="1">IF(AND(ISNUMBER($H$1024),$B$677=1),$H$1024,HLOOKUP(INDIRECT(ADDRESS(2,COLUMN())),OFFSET($BN$2,0,0,ROW()-1,60),ROW()-1,FALSE))</f>
        <v/>
      </c>
      <c r="I359" t="str">
        <f ca="1">IF(AND(ISNUMBER($I$1024),$B$677=1),$I$1024,HLOOKUP(INDIRECT(ADDRESS(2,COLUMN())),OFFSET($BN$2,0,0,ROW()-1,60),ROW()-1,FALSE))</f>
        <v/>
      </c>
      <c r="J359" t="str">
        <f ca="1">IF(AND(ISNUMBER($J$1024),$B$677=1),$J$1024,HLOOKUP(INDIRECT(ADDRESS(2,COLUMN())),OFFSET($BN$2,0,0,ROW()-1,60),ROW()-1,FALSE))</f>
        <v/>
      </c>
      <c r="K359" t="str">
        <f ca="1">IF(AND(ISNUMBER($K$1024),$B$677=1),$K$1024,HLOOKUP(INDIRECT(ADDRESS(2,COLUMN())),OFFSET($BN$2,0,0,ROW()-1,60),ROW()-1,FALSE))</f>
        <v/>
      </c>
      <c r="L359" t="str">
        <f ca="1">IF(AND(ISNUMBER($L$1024),$B$677=1),$L$1024,HLOOKUP(INDIRECT(ADDRESS(2,COLUMN())),OFFSET($BN$2,0,0,ROW()-1,60),ROW()-1,FALSE))</f>
        <v/>
      </c>
      <c r="M359" t="str">
        <f ca="1">IF(AND(ISNUMBER($M$1024),$B$677=1),$M$1024,HLOOKUP(INDIRECT(ADDRESS(2,COLUMN())),OFFSET($BN$2,0,0,ROW()-1,60),ROW()-1,FALSE))</f>
        <v/>
      </c>
      <c r="N359" t="str">
        <f ca="1">IF(AND(ISNUMBER($N$1024),$B$677=1),$N$1024,HLOOKUP(INDIRECT(ADDRESS(2,COLUMN())),OFFSET($BN$2,0,0,ROW()-1,60),ROW()-1,FALSE))</f>
        <v/>
      </c>
      <c r="O359" t="str">
        <f ca="1">IF(AND(ISNUMBER($O$1024),$B$677=1),$O$1024,HLOOKUP(INDIRECT(ADDRESS(2,COLUMN())),OFFSET($BN$2,0,0,ROW()-1,60),ROW()-1,FALSE))</f>
        <v/>
      </c>
      <c r="P359" t="str">
        <f ca="1">IF(AND(ISNUMBER($P$1024),$B$677=1),$P$1024,HLOOKUP(INDIRECT(ADDRESS(2,COLUMN())),OFFSET($BN$2,0,0,ROW()-1,60),ROW()-1,FALSE))</f>
        <v/>
      </c>
      <c r="Q359" t="str">
        <f ca="1">IF(AND(ISNUMBER($Q$1024),$B$677=1),$Q$1024,HLOOKUP(INDIRECT(ADDRESS(2,COLUMN())),OFFSET($BN$2,0,0,ROW()-1,60),ROW()-1,FALSE))</f>
        <v/>
      </c>
      <c r="R359" t="str">
        <f ca="1">IF(AND(ISNUMBER($R$1024),$B$677=1),$R$1024,HLOOKUP(INDIRECT(ADDRESS(2,COLUMN())),OFFSET($BN$2,0,0,ROW()-1,60),ROW()-1,FALSE))</f>
        <v/>
      </c>
      <c r="S359" t="str">
        <f ca="1">IF(AND(ISNUMBER($S$1024),$B$677=1),$S$1024,HLOOKUP(INDIRECT(ADDRESS(2,COLUMN())),OFFSET($BN$2,0,0,ROW()-1,60),ROW()-1,FALSE))</f>
        <v/>
      </c>
      <c r="T359" t="str">
        <f ca="1">IF(AND(ISNUMBER($T$1024),$B$677=1),$T$1024,HLOOKUP(INDIRECT(ADDRESS(2,COLUMN())),OFFSET($BN$2,0,0,ROW()-1,60),ROW()-1,FALSE))</f>
        <v/>
      </c>
      <c r="U359" t="str">
        <f ca="1">IF(AND(ISNUMBER($U$1024),$B$677=1),$U$1024,HLOOKUP(INDIRECT(ADDRESS(2,COLUMN())),OFFSET($BN$2,0,0,ROW()-1,60),ROW()-1,FALSE))</f>
        <v/>
      </c>
      <c r="V359" t="str">
        <f ca="1">IF(AND(ISNUMBER($V$1024),$B$677=1),$V$1024,HLOOKUP(INDIRECT(ADDRESS(2,COLUMN())),OFFSET($BN$2,0,0,ROW()-1,60),ROW()-1,FALSE))</f>
        <v/>
      </c>
      <c r="W359" t="str">
        <f ca="1">IF(AND(ISNUMBER($W$1024),$B$677=1),$W$1024,HLOOKUP(INDIRECT(ADDRESS(2,COLUMN())),OFFSET($BN$2,0,0,ROW()-1,60),ROW()-1,FALSE))</f>
        <v/>
      </c>
      <c r="X359" t="str">
        <f ca="1">IF(AND(ISNUMBER($X$1024),$B$677=1),$X$1024,HLOOKUP(INDIRECT(ADDRESS(2,COLUMN())),OFFSET($BN$2,0,0,ROW()-1,60),ROW()-1,FALSE))</f>
        <v/>
      </c>
      <c r="Y359" t="str">
        <f ca="1">IF(AND(ISNUMBER($Y$1024),$B$677=1),$Y$1024,HLOOKUP(INDIRECT(ADDRESS(2,COLUMN())),OFFSET($BN$2,0,0,ROW()-1,60),ROW()-1,FALSE))</f>
        <v/>
      </c>
      <c r="Z359" t="str">
        <f ca="1">IF(AND(ISNUMBER($Z$1024),$B$677=1),$Z$1024,HLOOKUP(INDIRECT(ADDRESS(2,COLUMN())),OFFSET($BN$2,0,0,ROW()-1,60),ROW()-1,FALSE))</f>
        <v/>
      </c>
      <c r="AA359" t="str">
        <f ca="1">IF(AND(ISNUMBER($AA$1024),$B$677=1),$AA$1024,HLOOKUP(INDIRECT(ADDRESS(2,COLUMN())),OFFSET($BN$2,0,0,ROW()-1,60),ROW()-1,FALSE))</f>
        <v/>
      </c>
      <c r="AB359" t="str">
        <f ca="1">IF(AND(ISNUMBER($AB$1024),$B$677=1),$AB$1024,HLOOKUP(INDIRECT(ADDRESS(2,COLUMN())),OFFSET($BN$2,0,0,ROW()-1,60),ROW()-1,FALSE))</f>
        <v/>
      </c>
      <c r="AC359" t="str">
        <f ca="1">IF(AND(ISNUMBER($AC$1024),$B$677=1),$AC$1024,HLOOKUP(INDIRECT(ADDRESS(2,COLUMN())),OFFSET($BN$2,0,0,ROW()-1,60),ROW()-1,FALSE))</f>
        <v/>
      </c>
      <c r="AD359" t="str">
        <f ca="1">IF(AND(ISNUMBER($AD$1024),$B$677=1),$AD$1024,HLOOKUP(INDIRECT(ADDRESS(2,COLUMN())),OFFSET($BN$2,0,0,ROW()-1,60),ROW()-1,FALSE))</f>
        <v/>
      </c>
      <c r="AE359" t="str">
        <f ca="1">IF(AND(ISNUMBER($AE$1024),$B$677=1),$AE$1024,HLOOKUP(INDIRECT(ADDRESS(2,COLUMN())),OFFSET($BN$2,0,0,ROW()-1,60),ROW()-1,FALSE))</f>
        <v/>
      </c>
      <c r="AF359" t="str">
        <f ca="1">IF(AND(ISNUMBER($AF$1024),$B$677=1),$AF$1024,HLOOKUP(INDIRECT(ADDRESS(2,COLUMN())),OFFSET($BN$2,0,0,ROW()-1,60),ROW()-1,FALSE))</f>
        <v/>
      </c>
      <c r="AG359" t="str">
        <f ca="1">IF(AND(ISNUMBER($AG$1024),$B$677=1),$AG$1024,HLOOKUP(INDIRECT(ADDRESS(2,COLUMN())),OFFSET($BN$2,0,0,ROW()-1,60),ROW()-1,FALSE))</f>
        <v/>
      </c>
      <c r="AH359" t="str">
        <f ca="1">IF(AND(ISNUMBER($AH$1024),$B$677=1),$AH$1024,HLOOKUP(INDIRECT(ADDRESS(2,COLUMN())),OFFSET($BN$2,0,0,ROW()-1,60),ROW()-1,FALSE))</f>
        <v/>
      </c>
      <c r="AI359" t="str">
        <f ca="1">IF(AND(ISNUMBER($AI$1024),$B$677=1),$AI$1024,HLOOKUP(INDIRECT(ADDRESS(2,COLUMN())),OFFSET($BN$2,0,0,ROW()-1,60),ROW()-1,FALSE))</f>
        <v/>
      </c>
      <c r="AJ359" t="str">
        <f ca="1">IF(AND(ISNUMBER($AJ$1024),$B$677=1),$AJ$1024,HLOOKUP(INDIRECT(ADDRESS(2,COLUMN())),OFFSET($BN$2,0,0,ROW()-1,60),ROW()-1,FALSE))</f>
        <v/>
      </c>
      <c r="AK359" t="str">
        <f ca="1">IF(AND(ISNUMBER($AK$1024),$B$677=1),$AK$1024,HLOOKUP(INDIRECT(ADDRESS(2,COLUMN())),OFFSET($BN$2,0,0,ROW()-1,60),ROW()-1,FALSE))</f>
        <v/>
      </c>
      <c r="AL359" t="str">
        <f ca="1">IF(AND(ISNUMBER($AL$1024),$B$677=1),$AL$1024,HLOOKUP(INDIRECT(ADDRESS(2,COLUMN())),OFFSET($BN$2,0,0,ROW()-1,60),ROW()-1,FALSE))</f>
        <v/>
      </c>
      <c r="AM359" t="str">
        <f ca="1">IF(AND(ISNUMBER($AM$1024),$B$677=1),$AM$1024,HLOOKUP(INDIRECT(ADDRESS(2,COLUMN())),OFFSET($BN$2,0,0,ROW()-1,60),ROW()-1,FALSE))</f>
        <v/>
      </c>
      <c r="AN359" t="str">
        <f ca="1">IF(AND(ISNUMBER($AN$1024),$B$677=1),$AN$1024,HLOOKUP(INDIRECT(ADDRESS(2,COLUMN())),OFFSET($BN$2,0,0,ROW()-1,60),ROW()-1,FALSE))</f>
        <v/>
      </c>
      <c r="AO359" t="str">
        <f ca="1">IF(AND(ISNUMBER($AO$1024),$B$677=1),$AO$1024,HLOOKUP(INDIRECT(ADDRESS(2,COLUMN())),OFFSET($BN$2,0,0,ROW()-1,60),ROW()-1,FALSE))</f>
        <v/>
      </c>
      <c r="AP359" t="str">
        <f ca="1">IF(AND(ISNUMBER($AP$1024),$B$677=1),$AP$1024,HLOOKUP(INDIRECT(ADDRESS(2,COLUMN())),OFFSET($BN$2,0,0,ROW()-1,60),ROW()-1,FALSE))</f>
        <v/>
      </c>
      <c r="AQ359" t="str">
        <f ca="1">IF(AND(ISNUMBER($AQ$1024),$B$677=1),$AQ$1024,HLOOKUP(INDIRECT(ADDRESS(2,COLUMN())),OFFSET($BN$2,0,0,ROW()-1,60),ROW()-1,FALSE))</f>
        <v/>
      </c>
      <c r="AR359" t="str">
        <f ca="1">IF(AND(ISNUMBER($AR$1024),$B$677=1),$AR$1024,HLOOKUP(INDIRECT(ADDRESS(2,COLUMN())),OFFSET($BN$2,0,0,ROW()-1,60),ROW()-1,FALSE))</f>
        <v/>
      </c>
      <c r="AS359" t="str">
        <f ca="1">IF(AND(ISNUMBER($AS$1024),$B$677=1),$AS$1024,HLOOKUP(INDIRECT(ADDRESS(2,COLUMN())),OFFSET($BN$2,0,0,ROW()-1,60),ROW()-1,FALSE))</f>
        <v/>
      </c>
      <c r="AT359" t="str">
        <f ca="1">IF(AND(ISNUMBER($AT$1024),$B$677=1),$AT$1024,HLOOKUP(INDIRECT(ADDRESS(2,COLUMN())),OFFSET($BN$2,0,0,ROW()-1,60),ROW()-1,FALSE))</f>
        <v/>
      </c>
      <c r="AU359" t="str">
        <f ca="1">IF(AND(ISNUMBER($AU$1024),$B$677=1),$AU$1024,HLOOKUP(INDIRECT(ADDRESS(2,COLUMN())),OFFSET($BN$2,0,0,ROW()-1,60),ROW()-1,FALSE))</f>
        <v/>
      </c>
      <c r="AV359" t="str">
        <f ca="1">IF(AND(ISNUMBER($AV$1024),$B$677=1),$AV$1024,HLOOKUP(INDIRECT(ADDRESS(2,COLUMN())),OFFSET($BN$2,0,0,ROW()-1,60),ROW()-1,FALSE))</f>
        <v/>
      </c>
      <c r="AW359" t="str">
        <f ca="1">IF(AND(ISNUMBER($AW$1024),$B$677=1),$AW$1024,HLOOKUP(INDIRECT(ADDRESS(2,COLUMN())),OFFSET($BN$2,0,0,ROW()-1,60),ROW()-1,FALSE))</f>
        <v/>
      </c>
      <c r="AX359" t="str">
        <f ca="1">IF(AND(ISNUMBER($AX$1024),$B$677=1),$AX$1024,HLOOKUP(INDIRECT(ADDRESS(2,COLUMN())),OFFSET($BN$2,0,0,ROW()-1,60),ROW()-1,FALSE))</f>
        <v/>
      </c>
      <c r="AY359" t="str">
        <f ca="1">IF(AND(ISNUMBER($AY$1024),$B$677=1),$AY$1024,HLOOKUP(INDIRECT(ADDRESS(2,COLUMN())),OFFSET($BN$2,0,0,ROW()-1,60),ROW()-1,FALSE))</f>
        <v/>
      </c>
      <c r="AZ359" t="str">
        <f ca="1">IF(AND(ISNUMBER($AZ$1024),$B$677=1),$AZ$1024,HLOOKUP(INDIRECT(ADDRESS(2,COLUMN())),OFFSET($BN$2,0,0,ROW()-1,60),ROW()-1,FALSE))</f>
        <v/>
      </c>
      <c r="BA359" t="str">
        <f ca="1">IF(AND(ISNUMBER($BA$1024),$B$677=1),$BA$1024,HLOOKUP(INDIRECT(ADDRESS(2,COLUMN())),OFFSET($BN$2,0,0,ROW()-1,60),ROW()-1,FALSE))</f>
        <v/>
      </c>
      <c r="BB359" t="str">
        <f ca="1">IF(AND(ISNUMBER($BB$1024),$B$677=1),$BB$1024,HLOOKUP(INDIRECT(ADDRESS(2,COLUMN())),OFFSET($BN$2,0,0,ROW()-1,60),ROW()-1,FALSE))</f>
        <v/>
      </c>
      <c r="BC359" t="str">
        <f ca="1">IF(AND(ISNUMBER($BC$1024),$B$677=1),$BC$1024,HLOOKUP(INDIRECT(ADDRESS(2,COLUMN())),OFFSET($BN$2,0,0,ROW()-1,60),ROW()-1,FALSE))</f>
        <v/>
      </c>
      <c r="BD359" t="str">
        <f ca="1">IF(AND(ISNUMBER($BD$1024),$B$677=1),$BD$1024,HLOOKUP(INDIRECT(ADDRESS(2,COLUMN())),OFFSET($BN$2,0,0,ROW()-1,60),ROW()-1,FALSE))</f>
        <v/>
      </c>
      <c r="BE359" t="str">
        <f ca="1">IF(AND(ISNUMBER($BE$1024),$B$677=1),$BE$1024,HLOOKUP(INDIRECT(ADDRESS(2,COLUMN())),OFFSET($BN$2,0,0,ROW()-1,60),ROW()-1,FALSE))</f>
        <v/>
      </c>
      <c r="BF359" t="str">
        <f ca="1">IF(AND(ISNUMBER($BF$1024),$B$677=1),$BF$1024,HLOOKUP(INDIRECT(ADDRESS(2,COLUMN())),OFFSET($BN$2,0,0,ROW()-1,60),ROW()-1,FALSE))</f>
        <v/>
      </c>
      <c r="BG359" t="str">
        <f ca="1">IF(AND(ISNUMBER($BG$1024),$B$677=1),$BG$1024,HLOOKUP(INDIRECT(ADDRESS(2,COLUMN())),OFFSET($BN$2,0,0,ROW()-1,60),ROW()-1,FALSE))</f>
        <v/>
      </c>
      <c r="BH359" t="str">
        <f ca="1">IF(AND(ISNUMBER($BH$1024),$B$677=1),$BH$1024,HLOOKUP(INDIRECT(ADDRESS(2,COLUMN())),OFFSET($BN$2,0,0,ROW()-1,60),ROW()-1,FALSE))</f>
        <v/>
      </c>
      <c r="BI359" t="str">
        <f ca="1">IF(AND(ISNUMBER($BI$1024),$B$677=1),$BI$1024,HLOOKUP(INDIRECT(ADDRESS(2,COLUMN())),OFFSET($BN$2,0,0,ROW()-1,60),ROW()-1,FALSE))</f>
        <v/>
      </c>
      <c r="BJ359" t="str">
        <f ca="1">IF(AND(ISNUMBER($BJ$1024),$B$677=1),$BJ$1024,HLOOKUP(INDIRECT(ADDRESS(2,COLUMN())),OFFSET($BN$2,0,0,ROW()-1,60),ROW()-1,FALSE))</f>
        <v/>
      </c>
      <c r="BK359" t="str">
        <f ca="1">IF(AND(ISNUMBER($BK$1024),$B$677=1),$BK$1024,HLOOKUP(INDIRECT(ADDRESS(2,COLUMN())),OFFSET($BN$2,0,0,ROW()-1,60),ROW()-1,FALSE))</f>
        <v/>
      </c>
      <c r="BL359" t="str">
        <f ca="1">IF(AND(ISNUMBER($BL$1024),$B$677=1),$BL$1024,HLOOKUP(INDIRECT(ADDRESS(2,COLUMN())),OFFSET($BN$2,0,0,ROW()-1,60),ROW()-1,FALSE))</f>
        <v/>
      </c>
      <c r="BM359" t="str">
        <f ca="1">IF(AND(ISNUMBER($BM$1024),$B$677=1),$BM$1024,HLOOKUP(INDIRECT(ADDRESS(2,COLUMN())),OFFSET($BN$2,0,0,ROW()-1,60),ROW()-1,FALSE))</f>
        <v/>
      </c>
      <c r="BN359" t="str">
        <f>""</f>
        <v/>
      </c>
      <c r="BO359" t="str">
        <f>""</f>
        <v/>
      </c>
      <c r="BP359" t="str">
        <f>""</f>
        <v/>
      </c>
      <c r="BQ359" t="str">
        <f>""</f>
        <v/>
      </c>
      <c r="BR359" t="str">
        <f>""</f>
        <v/>
      </c>
      <c r="BS359" t="str">
        <f>""</f>
        <v/>
      </c>
      <c r="BT359" t="str">
        <f>""</f>
        <v/>
      </c>
      <c r="BU359" t="str">
        <f>""</f>
        <v/>
      </c>
      <c r="BV359" t="str">
        <f>""</f>
        <v/>
      </c>
      <c r="BW359" t="str">
        <f>""</f>
        <v/>
      </c>
      <c r="BX359" t="str">
        <f>""</f>
        <v/>
      </c>
      <c r="BY359" t="str">
        <f>""</f>
        <v/>
      </c>
      <c r="BZ359" t="str">
        <f>""</f>
        <v/>
      </c>
      <c r="CA359" t="str">
        <f>""</f>
        <v/>
      </c>
      <c r="CB359" t="str">
        <f>""</f>
        <v/>
      </c>
      <c r="CC359" t="str">
        <f>""</f>
        <v/>
      </c>
      <c r="CD359" t="str">
        <f>""</f>
        <v/>
      </c>
      <c r="CE359" t="str">
        <f>""</f>
        <v/>
      </c>
      <c r="CF359" t="str">
        <f>""</f>
        <v/>
      </c>
      <c r="CG359" t="str">
        <f>""</f>
        <v/>
      </c>
      <c r="CH359" t="str">
        <f>""</f>
        <v/>
      </c>
      <c r="CI359" t="str">
        <f>""</f>
        <v/>
      </c>
      <c r="CJ359" t="str">
        <f>""</f>
        <v/>
      </c>
      <c r="CK359" t="str">
        <f>""</f>
        <v/>
      </c>
      <c r="CL359" t="str">
        <f>""</f>
        <v/>
      </c>
      <c r="CM359" t="str">
        <f>""</f>
        <v/>
      </c>
      <c r="CN359" t="str">
        <f>""</f>
        <v/>
      </c>
      <c r="CO359" t="str">
        <f>""</f>
        <v/>
      </c>
      <c r="CP359" t="str">
        <f>""</f>
        <v/>
      </c>
      <c r="CQ359" t="str">
        <f>""</f>
        <v/>
      </c>
      <c r="CR359" t="str">
        <f>""</f>
        <v/>
      </c>
      <c r="CS359" t="str">
        <f>""</f>
        <v/>
      </c>
      <c r="CT359" t="str">
        <f>""</f>
        <v/>
      </c>
      <c r="CU359" t="str">
        <f>""</f>
        <v/>
      </c>
      <c r="CV359" t="str">
        <f>""</f>
        <v/>
      </c>
      <c r="CW359" t="str">
        <f>""</f>
        <v/>
      </c>
      <c r="CX359" t="str">
        <f>""</f>
        <v/>
      </c>
      <c r="CY359" t="str">
        <f>""</f>
        <v/>
      </c>
      <c r="CZ359" t="str">
        <f>""</f>
        <v/>
      </c>
      <c r="DA359" t="str">
        <f>""</f>
        <v/>
      </c>
      <c r="DB359" t="str">
        <f>""</f>
        <v/>
      </c>
      <c r="DC359" t="str">
        <f>""</f>
        <v/>
      </c>
      <c r="DD359" t="str">
        <f>""</f>
        <v/>
      </c>
      <c r="DE359" t="str">
        <f>""</f>
        <v/>
      </c>
      <c r="DF359" t="str">
        <f>""</f>
        <v/>
      </c>
      <c r="DG359" t="str">
        <f>""</f>
        <v/>
      </c>
      <c r="DH359" t="str">
        <f>""</f>
        <v/>
      </c>
      <c r="DI359" t="str">
        <f>""</f>
        <v/>
      </c>
      <c r="DJ359" t="str">
        <f>""</f>
        <v/>
      </c>
      <c r="DK359" t="str">
        <f>""</f>
        <v/>
      </c>
      <c r="DL359" t="str">
        <f>""</f>
        <v/>
      </c>
      <c r="DM359" t="str">
        <f>""</f>
        <v/>
      </c>
      <c r="DN359" t="str">
        <f>""</f>
        <v/>
      </c>
      <c r="DO359" t="str">
        <f>""</f>
        <v/>
      </c>
      <c r="DP359" t="str">
        <f>""</f>
        <v/>
      </c>
      <c r="DQ359" t="str">
        <f>""</f>
        <v/>
      </c>
      <c r="DR359" t="str">
        <f>""</f>
        <v/>
      </c>
      <c r="DS359" t="str">
        <f>""</f>
        <v/>
      </c>
      <c r="DT359" t="str">
        <f>""</f>
        <v/>
      </c>
      <c r="DU359" t="str">
        <f>""</f>
        <v/>
      </c>
    </row>
    <row r="360" spans="1:125" x14ac:dyDescent="0.25">
      <c r="A360" t="str">
        <f>"    Renault SA"</f>
        <v xml:space="preserve">    Renault SA</v>
      </c>
      <c r="B360" t="str">
        <f>"RNO FP Equity"</f>
        <v>RNO FP Equity</v>
      </c>
      <c r="C360" t="str">
        <f t="shared" si="24"/>
        <v>RR473</v>
      </c>
      <c r="D360" t="str">
        <f t="shared" si="25"/>
        <v>EV_TO_T12M_SALES</v>
      </c>
      <c r="E360" t="str">
        <f t="shared" si="26"/>
        <v>Dynamic</v>
      </c>
      <c r="F360" t="str">
        <f ca="1">IF(AND(ISNUMBER($F$1025),$B$677=1),$F$1025,HLOOKUP(INDIRECT(ADDRESS(2,COLUMN())),OFFSET($BN$2,0,0,ROW()-1,60),ROW()-1,FALSE))</f>
        <v/>
      </c>
      <c r="G360" t="str">
        <f ca="1">IF(AND(ISNUMBER($G$1025),$B$677=1),$G$1025,HLOOKUP(INDIRECT(ADDRESS(2,COLUMN())),OFFSET($BN$2,0,0,ROW()-1,60),ROW()-1,FALSE))</f>
        <v/>
      </c>
      <c r="H360" t="str">
        <f ca="1">IF(AND(ISNUMBER($H$1025),$B$677=1),$H$1025,HLOOKUP(INDIRECT(ADDRESS(2,COLUMN())),OFFSET($BN$2,0,0,ROW()-1,60),ROW()-1,FALSE))</f>
        <v/>
      </c>
      <c r="I360" t="str">
        <f ca="1">IF(AND(ISNUMBER($I$1025),$B$677=1),$I$1025,HLOOKUP(INDIRECT(ADDRESS(2,COLUMN())),OFFSET($BN$2,0,0,ROW()-1,60),ROW()-1,FALSE))</f>
        <v/>
      </c>
      <c r="J360" t="str">
        <f ca="1">IF(AND(ISNUMBER($J$1025),$B$677=1),$J$1025,HLOOKUP(INDIRECT(ADDRESS(2,COLUMN())),OFFSET($BN$2,0,0,ROW()-1,60),ROW()-1,FALSE))</f>
        <v/>
      </c>
      <c r="K360" t="str">
        <f ca="1">IF(AND(ISNUMBER($K$1025),$B$677=1),$K$1025,HLOOKUP(INDIRECT(ADDRESS(2,COLUMN())),OFFSET($BN$2,0,0,ROW()-1,60),ROW()-1,FALSE))</f>
        <v/>
      </c>
      <c r="L360" t="str">
        <f ca="1">IF(AND(ISNUMBER($L$1025),$B$677=1),$L$1025,HLOOKUP(INDIRECT(ADDRESS(2,COLUMN())),OFFSET($BN$2,0,0,ROW()-1,60),ROW()-1,FALSE))</f>
        <v/>
      </c>
      <c r="M360" t="str">
        <f ca="1">IF(AND(ISNUMBER($M$1025),$B$677=1),$M$1025,HLOOKUP(INDIRECT(ADDRESS(2,COLUMN())),OFFSET($BN$2,0,0,ROW()-1,60),ROW()-1,FALSE))</f>
        <v/>
      </c>
      <c r="N360" t="str">
        <f ca="1">IF(AND(ISNUMBER($N$1025),$B$677=1),$N$1025,HLOOKUP(INDIRECT(ADDRESS(2,COLUMN())),OFFSET($BN$2,0,0,ROW()-1,60),ROW()-1,FALSE))</f>
        <v/>
      </c>
      <c r="O360" t="str">
        <f ca="1">IF(AND(ISNUMBER($O$1025),$B$677=1),$O$1025,HLOOKUP(INDIRECT(ADDRESS(2,COLUMN())),OFFSET($BN$2,0,0,ROW()-1,60),ROW()-1,FALSE))</f>
        <v/>
      </c>
      <c r="P360" t="str">
        <f ca="1">IF(AND(ISNUMBER($P$1025),$B$677=1),$P$1025,HLOOKUP(INDIRECT(ADDRESS(2,COLUMN())),OFFSET($BN$2,0,0,ROW()-1,60),ROW()-1,FALSE))</f>
        <v/>
      </c>
      <c r="Q360" t="str">
        <f ca="1">IF(AND(ISNUMBER($Q$1025),$B$677=1),$Q$1025,HLOOKUP(INDIRECT(ADDRESS(2,COLUMN())),OFFSET($BN$2,0,0,ROW()-1,60),ROW()-1,FALSE))</f>
        <v/>
      </c>
      <c r="R360" t="str">
        <f ca="1">IF(AND(ISNUMBER($R$1025),$B$677=1),$R$1025,HLOOKUP(INDIRECT(ADDRESS(2,COLUMN())),OFFSET($BN$2,0,0,ROW()-1,60),ROW()-1,FALSE))</f>
        <v/>
      </c>
      <c r="S360" t="str">
        <f ca="1">IF(AND(ISNUMBER($S$1025),$B$677=1),$S$1025,HLOOKUP(INDIRECT(ADDRESS(2,COLUMN())),OFFSET($BN$2,0,0,ROW()-1,60),ROW()-1,FALSE))</f>
        <v/>
      </c>
      <c r="T360" t="str">
        <f ca="1">IF(AND(ISNUMBER($T$1025),$B$677=1),$T$1025,HLOOKUP(INDIRECT(ADDRESS(2,COLUMN())),OFFSET($BN$2,0,0,ROW()-1,60),ROW()-1,FALSE))</f>
        <v/>
      </c>
      <c r="U360" t="str">
        <f ca="1">IF(AND(ISNUMBER($U$1025),$B$677=1),$U$1025,HLOOKUP(INDIRECT(ADDRESS(2,COLUMN())),OFFSET($BN$2,0,0,ROW()-1,60),ROW()-1,FALSE))</f>
        <v/>
      </c>
      <c r="V360" t="str">
        <f ca="1">IF(AND(ISNUMBER($V$1025),$B$677=1),$V$1025,HLOOKUP(INDIRECT(ADDRESS(2,COLUMN())),OFFSET($BN$2,0,0,ROW()-1,60),ROW()-1,FALSE))</f>
        <v/>
      </c>
      <c r="W360" t="str">
        <f ca="1">IF(AND(ISNUMBER($W$1025),$B$677=1),$W$1025,HLOOKUP(INDIRECT(ADDRESS(2,COLUMN())),OFFSET($BN$2,0,0,ROW()-1,60),ROW()-1,FALSE))</f>
        <v/>
      </c>
      <c r="X360" t="str">
        <f ca="1">IF(AND(ISNUMBER($X$1025),$B$677=1),$X$1025,HLOOKUP(INDIRECT(ADDRESS(2,COLUMN())),OFFSET($BN$2,0,0,ROW()-1,60),ROW()-1,FALSE))</f>
        <v/>
      </c>
      <c r="Y360" t="str">
        <f ca="1">IF(AND(ISNUMBER($Y$1025),$B$677=1),$Y$1025,HLOOKUP(INDIRECT(ADDRESS(2,COLUMN())),OFFSET($BN$2,0,0,ROW()-1,60),ROW()-1,FALSE))</f>
        <v/>
      </c>
      <c r="Z360" t="str">
        <f ca="1">IF(AND(ISNUMBER($Z$1025),$B$677=1),$Z$1025,HLOOKUP(INDIRECT(ADDRESS(2,COLUMN())),OFFSET($BN$2,0,0,ROW()-1,60),ROW()-1,FALSE))</f>
        <v/>
      </c>
      <c r="AA360" t="str">
        <f ca="1">IF(AND(ISNUMBER($AA$1025),$B$677=1),$AA$1025,HLOOKUP(INDIRECT(ADDRESS(2,COLUMN())),OFFSET($BN$2,0,0,ROW()-1,60),ROW()-1,FALSE))</f>
        <v/>
      </c>
      <c r="AB360" t="str">
        <f ca="1">IF(AND(ISNUMBER($AB$1025),$B$677=1),$AB$1025,HLOOKUP(INDIRECT(ADDRESS(2,COLUMN())),OFFSET($BN$2,0,0,ROW()-1,60),ROW()-1,FALSE))</f>
        <v/>
      </c>
      <c r="AC360" t="str">
        <f ca="1">IF(AND(ISNUMBER($AC$1025),$B$677=1),$AC$1025,HLOOKUP(INDIRECT(ADDRESS(2,COLUMN())),OFFSET($BN$2,0,0,ROW()-1,60),ROW()-1,FALSE))</f>
        <v/>
      </c>
      <c r="AD360" t="str">
        <f ca="1">IF(AND(ISNUMBER($AD$1025),$B$677=1),$AD$1025,HLOOKUP(INDIRECT(ADDRESS(2,COLUMN())),OFFSET($BN$2,0,0,ROW()-1,60),ROW()-1,FALSE))</f>
        <v/>
      </c>
      <c r="AE360" t="str">
        <f ca="1">IF(AND(ISNUMBER($AE$1025),$B$677=1),$AE$1025,HLOOKUP(INDIRECT(ADDRESS(2,COLUMN())),OFFSET($BN$2,0,0,ROW()-1,60),ROW()-1,FALSE))</f>
        <v/>
      </c>
      <c r="AF360" t="str">
        <f ca="1">IF(AND(ISNUMBER($AF$1025),$B$677=1),$AF$1025,HLOOKUP(INDIRECT(ADDRESS(2,COLUMN())),OFFSET($BN$2,0,0,ROW()-1,60),ROW()-1,FALSE))</f>
        <v/>
      </c>
      <c r="AG360" t="str">
        <f ca="1">IF(AND(ISNUMBER($AG$1025),$B$677=1),$AG$1025,HLOOKUP(INDIRECT(ADDRESS(2,COLUMN())),OFFSET($BN$2,0,0,ROW()-1,60),ROW()-1,FALSE))</f>
        <v/>
      </c>
      <c r="AH360" t="str">
        <f ca="1">IF(AND(ISNUMBER($AH$1025),$B$677=1),$AH$1025,HLOOKUP(INDIRECT(ADDRESS(2,COLUMN())),OFFSET($BN$2,0,0,ROW()-1,60),ROW()-1,FALSE))</f>
        <v/>
      </c>
      <c r="AI360" t="str">
        <f ca="1">IF(AND(ISNUMBER($AI$1025),$B$677=1),$AI$1025,HLOOKUP(INDIRECT(ADDRESS(2,COLUMN())),OFFSET($BN$2,0,0,ROW()-1,60),ROW()-1,FALSE))</f>
        <v/>
      </c>
      <c r="AJ360" t="str">
        <f ca="1">IF(AND(ISNUMBER($AJ$1025),$B$677=1),$AJ$1025,HLOOKUP(INDIRECT(ADDRESS(2,COLUMN())),OFFSET($BN$2,0,0,ROW()-1,60),ROW()-1,FALSE))</f>
        <v/>
      </c>
      <c r="AK360" t="str">
        <f ca="1">IF(AND(ISNUMBER($AK$1025),$B$677=1),$AK$1025,HLOOKUP(INDIRECT(ADDRESS(2,COLUMN())),OFFSET($BN$2,0,0,ROW()-1,60),ROW()-1,FALSE))</f>
        <v/>
      </c>
      <c r="AL360" t="str">
        <f ca="1">IF(AND(ISNUMBER($AL$1025),$B$677=1),$AL$1025,HLOOKUP(INDIRECT(ADDRESS(2,COLUMN())),OFFSET($BN$2,0,0,ROW()-1,60),ROW()-1,FALSE))</f>
        <v/>
      </c>
      <c r="AM360" t="str">
        <f ca="1">IF(AND(ISNUMBER($AM$1025),$B$677=1),$AM$1025,HLOOKUP(INDIRECT(ADDRESS(2,COLUMN())),OFFSET($BN$2,0,0,ROW()-1,60),ROW()-1,FALSE))</f>
        <v/>
      </c>
      <c r="AN360" t="str">
        <f ca="1">IF(AND(ISNUMBER($AN$1025),$B$677=1),$AN$1025,HLOOKUP(INDIRECT(ADDRESS(2,COLUMN())),OFFSET($BN$2,0,0,ROW()-1,60),ROW()-1,FALSE))</f>
        <v/>
      </c>
      <c r="AO360" t="str">
        <f ca="1">IF(AND(ISNUMBER($AO$1025),$B$677=1),$AO$1025,HLOOKUP(INDIRECT(ADDRESS(2,COLUMN())),OFFSET($BN$2,0,0,ROW()-1,60),ROW()-1,FALSE))</f>
        <v/>
      </c>
      <c r="AP360" t="str">
        <f ca="1">IF(AND(ISNUMBER($AP$1025),$B$677=1),$AP$1025,HLOOKUP(INDIRECT(ADDRESS(2,COLUMN())),OFFSET($BN$2,0,0,ROW()-1,60),ROW()-1,FALSE))</f>
        <v/>
      </c>
      <c r="AQ360" t="str">
        <f ca="1">IF(AND(ISNUMBER($AQ$1025),$B$677=1),$AQ$1025,HLOOKUP(INDIRECT(ADDRESS(2,COLUMN())),OFFSET($BN$2,0,0,ROW()-1,60),ROW()-1,FALSE))</f>
        <v/>
      </c>
      <c r="AR360" t="str">
        <f ca="1">IF(AND(ISNUMBER($AR$1025),$B$677=1),$AR$1025,HLOOKUP(INDIRECT(ADDRESS(2,COLUMN())),OFFSET($BN$2,0,0,ROW()-1,60),ROW()-1,FALSE))</f>
        <v/>
      </c>
      <c r="AS360" t="str">
        <f ca="1">IF(AND(ISNUMBER($AS$1025),$B$677=1),$AS$1025,HLOOKUP(INDIRECT(ADDRESS(2,COLUMN())),OFFSET($BN$2,0,0,ROW()-1,60),ROW()-1,FALSE))</f>
        <v/>
      </c>
      <c r="AT360" t="str">
        <f ca="1">IF(AND(ISNUMBER($AT$1025),$B$677=1),$AT$1025,HLOOKUP(INDIRECT(ADDRESS(2,COLUMN())),OFFSET($BN$2,0,0,ROW()-1,60),ROW()-1,FALSE))</f>
        <v/>
      </c>
      <c r="AU360" t="str">
        <f ca="1">IF(AND(ISNUMBER($AU$1025),$B$677=1),$AU$1025,HLOOKUP(INDIRECT(ADDRESS(2,COLUMN())),OFFSET($BN$2,0,0,ROW()-1,60),ROW()-1,FALSE))</f>
        <v/>
      </c>
      <c r="AV360" t="str">
        <f ca="1">IF(AND(ISNUMBER($AV$1025),$B$677=1),$AV$1025,HLOOKUP(INDIRECT(ADDRESS(2,COLUMN())),OFFSET($BN$2,0,0,ROW()-1,60),ROW()-1,FALSE))</f>
        <v/>
      </c>
      <c r="AW360" t="str">
        <f ca="1">IF(AND(ISNUMBER($AW$1025),$B$677=1),$AW$1025,HLOOKUP(INDIRECT(ADDRESS(2,COLUMN())),OFFSET($BN$2,0,0,ROW()-1,60),ROW()-1,FALSE))</f>
        <v/>
      </c>
      <c r="AX360" t="str">
        <f ca="1">IF(AND(ISNUMBER($AX$1025),$B$677=1),$AX$1025,HLOOKUP(INDIRECT(ADDRESS(2,COLUMN())),OFFSET($BN$2,0,0,ROW()-1,60),ROW()-1,FALSE))</f>
        <v/>
      </c>
      <c r="AY360" t="str">
        <f ca="1">IF(AND(ISNUMBER($AY$1025),$B$677=1),$AY$1025,HLOOKUP(INDIRECT(ADDRESS(2,COLUMN())),OFFSET($BN$2,0,0,ROW()-1,60),ROW()-1,FALSE))</f>
        <v/>
      </c>
      <c r="AZ360" t="str">
        <f ca="1">IF(AND(ISNUMBER($AZ$1025),$B$677=1),$AZ$1025,HLOOKUP(INDIRECT(ADDRESS(2,COLUMN())),OFFSET($BN$2,0,0,ROW()-1,60),ROW()-1,FALSE))</f>
        <v/>
      </c>
      <c r="BA360" t="str">
        <f ca="1">IF(AND(ISNUMBER($BA$1025),$B$677=1),$BA$1025,HLOOKUP(INDIRECT(ADDRESS(2,COLUMN())),OFFSET($BN$2,0,0,ROW()-1,60),ROW()-1,FALSE))</f>
        <v/>
      </c>
      <c r="BB360" t="str">
        <f ca="1">IF(AND(ISNUMBER($BB$1025),$B$677=1),$BB$1025,HLOOKUP(INDIRECT(ADDRESS(2,COLUMN())),OFFSET($BN$2,0,0,ROW()-1,60),ROW()-1,FALSE))</f>
        <v/>
      </c>
      <c r="BC360" t="str">
        <f ca="1">IF(AND(ISNUMBER($BC$1025),$B$677=1),$BC$1025,HLOOKUP(INDIRECT(ADDRESS(2,COLUMN())),OFFSET($BN$2,0,0,ROW()-1,60),ROW()-1,FALSE))</f>
        <v/>
      </c>
      <c r="BD360" t="str">
        <f ca="1">IF(AND(ISNUMBER($BD$1025),$B$677=1),$BD$1025,HLOOKUP(INDIRECT(ADDRESS(2,COLUMN())),OFFSET($BN$2,0,0,ROW()-1,60),ROW()-1,FALSE))</f>
        <v/>
      </c>
      <c r="BE360" t="str">
        <f ca="1">IF(AND(ISNUMBER($BE$1025),$B$677=1),$BE$1025,HLOOKUP(INDIRECT(ADDRESS(2,COLUMN())),OFFSET($BN$2,0,0,ROW()-1,60),ROW()-1,FALSE))</f>
        <v/>
      </c>
      <c r="BF360" t="str">
        <f ca="1">IF(AND(ISNUMBER($BF$1025),$B$677=1),$BF$1025,HLOOKUP(INDIRECT(ADDRESS(2,COLUMN())),OFFSET($BN$2,0,0,ROW()-1,60),ROW()-1,FALSE))</f>
        <v/>
      </c>
      <c r="BG360" t="str">
        <f ca="1">IF(AND(ISNUMBER($BG$1025),$B$677=1),$BG$1025,HLOOKUP(INDIRECT(ADDRESS(2,COLUMN())),OFFSET($BN$2,0,0,ROW()-1,60),ROW()-1,FALSE))</f>
        <v/>
      </c>
      <c r="BH360" t="str">
        <f ca="1">IF(AND(ISNUMBER($BH$1025),$B$677=1),$BH$1025,HLOOKUP(INDIRECT(ADDRESS(2,COLUMN())),OFFSET($BN$2,0,0,ROW()-1,60),ROW()-1,FALSE))</f>
        <v/>
      </c>
      <c r="BI360" t="str">
        <f ca="1">IF(AND(ISNUMBER($BI$1025),$B$677=1),$BI$1025,HLOOKUP(INDIRECT(ADDRESS(2,COLUMN())),OFFSET($BN$2,0,0,ROW()-1,60),ROW()-1,FALSE))</f>
        <v/>
      </c>
      <c r="BJ360" t="str">
        <f ca="1">IF(AND(ISNUMBER($BJ$1025),$B$677=1),$BJ$1025,HLOOKUP(INDIRECT(ADDRESS(2,COLUMN())),OFFSET($BN$2,0,0,ROW()-1,60),ROW()-1,FALSE))</f>
        <v/>
      </c>
      <c r="BK360" t="str">
        <f ca="1">IF(AND(ISNUMBER($BK$1025),$B$677=1),$BK$1025,HLOOKUP(INDIRECT(ADDRESS(2,COLUMN())),OFFSET($BN$2,0,0,ROW()-1,60),ROW()-1,FALSE))</f>
        <v/>
      </c>
      <c r="BL360" t="str">
        <f ca="1">IF(AND(ISNUMBER($BL$1025),$B$677=1),$BL$1025,HLOOKUP(INDIRECT(ADDRESS(2,COLUMN())),OFFSET($BN$2,0,0,ROW()-1,60),ROW()-1,FALSE))</f>
        <v/>
      </c>
      <c r="BM360" t="str">
        <f ca="1">IF(AND(ISNUMBER($BM$1025),$B$677=1),$BM$1025,HLOOKUP(INDIRECT(ADDRESS(2,COLUMN())),OFFSET($BN$2,0,0,ROW()-1,60),ROW()-1,FALSE))</f>
        <v/>
      </c>
      <c r="BN360" t="str">
        <f>""</f>
        <v/>
      </c>
      <c r="BO360" t="str">
        <f>""</f>
        <v/>
      </c>
      <c r="BP360" t="str">
        <f>""</f>
        <v/>
      </c>
      <c r="BQ360" t="str">
        <f>""</f>
        <v/>
      </c>
      <c r="BR360" t="str">
        <f>""</f>
        <v/>
      </c>
      <c r="BS360" t="str">
        <f>""</f>
        <v/>
      </c>
      <c r="BT360" t="str">
        <f>""</f>
        <v/>
      </c>
      <c r="BU360" t="str">
        <f>""</f>
        <v/>
      </c>
      <c r="BV360" t="str">
        <f>""</f>
        <v/>
      </c>
      <c r="BW360" t="str">
        <f>""</f>
        <v/>
      </c>
      <c r="BX360" t="str">
        <f>""</f>
        <v/>
      </c>
      <c r="BY360" t="str">
        <f>""</f>
        <v/>
      </c>
      <c r="BZ360" t="str">
        <f>""</f>
        <v/>
      </c>
      <c r="CA360" t="str">
        <f>""</f>
        <v/>
      </c>
      <c r="CB360" t="str">
        <f>""</f>
        <v/>
      </c>
      <c r="CC360" t="str">
        <f>""</f>
        <v/>
      </c>
      <c r="CD360" t="str">
        <f>""</f>
        <v/>
      </c>
      <c r="CE360" t="str">
        <f>""</f>
        <v/>
      </c>
      <c r="CF360" t="str">
        <f>""</f>
        <v/>
      </c>
      <c r="CG360" t="str">
        <f>""</f>
        <v/>
      </c>
      <c r="CH360" t="str">
        <f>""</f>
        <v/>
      </c>
      <c r="CI360" t="str">
        <f>""</f>
        <v/>
      </c>
      <c r="CJ360" t="str">
        <f>""</f>
        <v/>
      </c>
      <c r="CK360" t="str">
        <f>""</f>
        <v/>
      </c>
      <c r="CL360" t="str">
        <f>""</f>
        <v/>
      </c>
      <c r="CM360" t="str">
        <f>""</f>
        <v/>
      </c>
      <c r="CN360" t="str">
        <f>""</f>
        <v/>
      </c>
      <c r="CO360" t="str">
        <f>""</f>
        <v/>
      </c>
      <c r="CP360" t="str">
        <f>""</f>
        <v/>
      </c>
      <c r="CQ360" t="str">
        <f>""</f>
        <v/>
      </c>
      <c r="CR360" t="str">
        <f>""</f>
        <v/>
      </c>
      <c r="CS360" t="str">
        <f>""</f>
        <v/>
      </c>
      <c r="CT360" t="str">
        <f>""</f>
        <v/>
      </c>
      <c r="CU360" t="str">
        <f>""</f>
        <v/>
      </c>
      <c r="CV360" t="str">
        <f>""</f>
        <v/>
      </c>
      <c r="CW360" t="str">
        <f>""</f>
        <v/>
      </c>
      <c r="CX360" t="str">
        <f>""</f>
        <v/>
      </c>
      <c r="CY360" t="str">
        <f>""</f>
        <v/>
      </c>
      <c r="CZ360" t="str">
        <f>""</f>
        <v/>
      </c>
      <c r="DA360" t="str">
        <f>""</f>
        <v/>
      </c>
      <c r="DB360" t="str">
        <f>""</f>
        <v/>
      </c>
      <c r="DC360" t="str">
        <f>""</f>
        <v/>
      </c>
      <c r="DD360" t="str">
        <f>""</f>
        <v/>
      </c>
      <c r="DE360" t="str">
        <f>""</f>
        <v/>
      </c>
      <c r="DF360" t="str">
        <f>""</f>
        <v/>
      </c>
      <c r="DG360" t="str">
        <f>""</f>
        <v/>
      </c>
      <c r="DH360" t="str">
        <f>""</f>
        <v/>
      </c>
      <c r="DI360" t="str">
        <f>""</f>
        <v/>
      </c>
      <c r="DJ360" t="str">
        <f>""</f>
        <v/>
      </c>
      <c r="DK360" t="str">
        <f>""</f>
        <v/>
      </c>
      <c r="DL360" t="str">
        <f>""</f>
        <v/>
      </c>
      <c r="DM360" t="str">
        <f>""</f>
        <v/>
      </c>
      <c r="DN360" t="str">
        <f>""</f>
        <v/>
      </c>
      <c r="DO360" t="str">
        <f>""</f>
        <v/>
      </c>
      <c r="DP360" t="str">
        <f>""</f>
        <v/>
      </c>
      <c r="DQ360" t="str">
        <f>""</f>
        <v/>
      </c>
      <c r="DR360" t="str">
        <f>""</f>
        <v/>
      </c>
      <c r="DS360" t="str">
        <f>""</f>
        <v/>
      </c>
      <c r="DT360" t="str">
        <f>""</f>
        <v/>
      </c>
      <c r="DU360" t="str">
        <f>""</f>
        <v/>
      </c>
    </row>
    <row r="361" spans="1:125" x14ac:dyDescent="0.25">
      <c r="A361" t="str">
        <f>"    SAIC Motor Corp Ltd"</f>
        <v xml:space="preserve">    SAIC Motor Corp Ltd</v>
      </c>
      <c r="B361" t="str">
        <f>"600104 CH Equity"</f>
        <v>600104 CH Equity</v>
      </c>
      <c r="C361" t="str">
        <f t="shared" si="24"/>
        <v>RR473</v>
      </c>
      <c r="D361" t="str">
        <f t="shared" si="25"/>
        <v>EV_TO_T12M_SALES</v>
      </c>
      <c r="E361" t="str">
        <f t="shared" si="26"/>
        <v>Dynamic</v>
      </c>
      <c r="F361" t="str">
        <f ca="1">IF(AND(ISNUMBER($F$1026),$B$677=1),$F$1026,HLOOKUP(INDIRECT(ADDRESS(2,COLUMN())),OFFSET($BN$2,0,0,ROW()-1,60),ROW()-1,FALSE))</f>
        <v/>
      </c>
      <c r="G361" t="str">
        <f ca="1">IF(AND(ISNUMBER($G$1026),$B$677=1),$G$1026,HLOOKUP(INDIRECT(ADDRESS(2,COLUMN())),OFFSET($BN$2,0,0,ROW()-1,60),ROW()-1,FALSE))</f>
        <v/>
      </c>
      <c r="H361">
        <f ca="1">IF(AND(ISNUMBER($H$1026),$B$677=1),$H$1026,HLOOKUP(INDIRECT(ADDRESS(2,COLUMN())),OFFSET($BN$2,0,0,ROW()-1,60),ROW()-1,FALSE))</f>
        <v>0.511895294</v>
      </c>
      <c r="I361">
        <f ca="1">IF(AND(ISNUMBER($I$1026),$B$677=1),$I$1026,HLOOKUP(INDIRECT(ADDRESS(2,COLUMN())),OFFSET($BN$2,0,0,ROW()-1,60),ROW()-1,FALSE))</f>
        <v>0.47948343999999998</v>
      </c>
      <c r="J361">
        <f ca="1">IF(AND(ISNUMBER($J$1026),$B$677=1),$J$1026,HLOOKUP(INDIRECT(ADDRESS(2,COLUMN())),OFFSET($BN$2,0,0,ROW()-1,60),ROW()-1,FALSE))</f>
        <v>0.55056191499999996</v>
      </c>
      <c r="K361">
        <f ca="1">IF(AND(ISNUMBER($K$1026),$B$677=1),$K$1026,HLOOKUP(INDIRECT(ADDRESS(2,COLUMN())),OFFSET($BN$2,0,0,ROW()-1,60),ROW()-1,FALSE))</f>
        <v>0.555273236</v>
      </c>
      <c r="L361">
        <f ca="1">IF(AND(ISNUMBER($L$1026),$B$677=1),$L$1026,HLOOKUP(INDIRECT(ADDRESS(2,COLUMN())),OFFSET($BN$2,0,0,ROW()-1,60),ROW()-1,FALSE))</f>
        <v>0.51045172800000005</v>
      </c>
      <c r="M361">
        <f ca="1">IF(AND(ISNUMBER($M$1026),$B$677=1),$M$1026,HLOOKUP(INDIRECT(ADDRESS(2,COLUMN())),OFFSET($BN$2,0,0,ROW()-1,60),ROW()-1,FALSE))</f>
        <v>0.43673318500000002</v>
      </c>
      <c r="N361">
        <f ca="1">IF(AND(ISNUMBER($N$1026),$B$677=1),$N$1026,HLOOKUP(INDIRECT(ADDRESS(2,COLUMN())),OFFSET($BN$2,0,0,ROW()-1,60),ROW()-1,FALSE))</f>
        <v>0.47974874299999998</v>
      </c>
      <c r="O361">
        <f ca="1">IF(AND(ISNUMBER($O$1026),$B$677=1),$O$1026,HLOOKUP(INDIRECT(ADDRESS(2,COLUMN())),OFFSET($BN$2,0,0,ROW()-1,60),ROW()-1,FALSE))</f>
        <v>0.43242800100000001</v>
      </c>
      <c r="P361">
        <f ca="1">IF(AND(ISNUMBER($P$1026),$B$677=1),$P$1026,HLOOKUP(INDIRECT(ADDRESS(2,COLUMN())),OFFSET($BN$2,0,0,ROW()-1,60),ROW()-1,FALSE))</f>
        <v>0.41814050800000002</v>
      </c>
      <c r="Q361">
        <f ca="1">IF(AND(ISNUMBER($Q$1026),$B$677=1),$Q$1026,HLOOKUP(INDIRECT(ADDRESS(2,COLUMN())),OFFSET($BN$2,0,0,ROW()-1,60),ROW()-1,FALSE))</f>
        <v>0.41365299900000002</v>
      </c>
      <c r="R361">
        <f ca="1">IF(AND(ISNUMBER($R$1026),$B$677=1),$R$1026,HLOOKUP(INDIRECT(ADDRESS(2,COLUMN())),OFFSET($BN$2,0,0,ROW()-1,60),ROW()-1,FALSE))</f>
        <v>0.399102866</v>
      </c>
      <c r="S361">
        <f ca="1">IF(AND(ISNUMBER($S$1026),$B$677=1),$S$1026,HLOOKUP(INDIRECT(ADDRESS(2,COLUMN())),OFFSET($BN$2,0,0,ROW()-1,60),ROW()-1,FALSE))</f>
        <v>0.45274725700000001</v>
      </c>
      <c r="T361">
        <f ca="1">IF(AND(ISNUMBER($T$1026),$B$677=1),$T$1026,HLOOKUP(INDIRECT(ADDRESS(2,COLUMN())),OFFSET($BN$2,0,0,ROW()-1,60),ROW()-1,FALSE))</f>
        <v>0.38530245699999999</v>
      </c>
      <c r="U361">
        <f ca="1">IF(AND(ISNUMBER($U$1026),$B$677=1),$U$1026,HLOOKUP(INDIRECT(ADDRESS(2,COLUMN())),OFFSET($BN$2,0,0,ROW()-1,60),ROW()-1,FALSE))</f>
        <v>0.47966172600000001</v>
      </c>
      <c r="V361">
        <f ca="1">IF(AND(ISNUMBER($V$1026),$B$677=1),$V$1026,HLOOKUP(INDIRECT(ADDRESS(2,COLUMN())),OFFSET($BN$2,0,0,ROW()-1,60),ROW()-1,FALSE))</f>
        <v>0.54272221899999995</v>
      </c>
      <c r="W361">
        <f ca="1">IF(AND(ISNUMBER($W$1026),$B$677=1),$W$1026,HLOOKUP(INDIRECT(ADDRESS(2,COLUMN())),OFFSET($BN$2,0,0,ROW()-1,60),ROW()-1,FALSE))</f>
        <v>0.38754881899999999</v>
      </c>
      <c r="X361">
        <f ca="1">IF(AND(ISNUMBER($X$1026),$B$677=1),$X$1026,HLOOKUP(INDIRECT(ADDRESS(2,COLUMN())),OFFSET($BN$2,0,0,ROW()-1,60),ROW()-1,FALSE))</f>
        <v>0.32151887000000001</v>
      </c>
      <c r="Y361">
        <f ca="1">IF(AND(ISNUMBER($Y$1026),$B$677=1),$Y$1026,HLOOKUP(INDIRECT(ADDRESS(2,COLUMN())),OFFSET($BN$2,0,0,ROW()-1,60),ROW()-1,FALSE))</f>
        <v>0.25500973599999999</v>
      </c>
      <c r="Z361">
        <f ca="1">IF(AND(ISNUMBER($Z$1026),$B$677=1),$Z$1026,HLOOKUP(INDIRECT(ADDRESS(2,COLUMN())),OFFSET($BN$2,0,0,ROW()-1,60),ROW()-1,FALSE))</f>
        <v>0.28529545099999998</v>
      </c>
      <c r="AA361">
        <f ca="1">IF(AND(ISNUMBER($AA$1026),$B$677=1),$AA$1026,HLOOKUP(INDIRECT(ADDRESS(2,COLUMN())),OFFSET($BN$2,0,0,ROW()-1,60),ROW()-1,FALSE))</f>
        <v>0.27855868099999997</v>
      </c>
      <c r="AB361">
        <f ca="1">IF(AND(ISNUMBER($AB$1026),$B$677=1),$AB$1026,HLOOKUP(INDIRECT(ADDRESS(2,COLUMN())),OFFSET($BN$2,0,0,ROW()-1,60),ROW()-1,FALSE))</f>
        <v>0.29289262300000002</v>
      </c>
      <c r="AC361">
        <f ca="1">IF(AND(ISNUMBER($AC$1026),$B$677=1),$AC$1026,HLOOKUP(INDIRECT(ADDRESS(2,COLUMN())),OFFSET($BN$2,0,0,ROW()-1,60),ROW()-1,FALSE))</f>
        <v>0.240451785</v>
      </c>
      <c r="AD361">
        <f ca="1">IF(AND(ISNUMBER($AD$1026),$B$677=1),$AD$1026,HLOOKUP(INDIRECT(ADDRESS(2,COLUMN())),OFFSET($BN$2,0,0,ROW()-1,60),ROW()-1,FALSE))</f>
        <v>0.37806051099999999</v>
      </c>
      <c r="AE361">
        <f ca="1">IF(AND(ISNUMBER($AE$1026),$B$677=1),$AE$1026,HLOOKUP(INDIRECT(ADDRESS(2,COLUMN())),OFFSET($BN$2,0,0,ROW()-1,60),ROW()-1,FALSE))</f>
        <v>0.42190720900000001</v>
      </c>
      <c r="AF361">
        <f ca="1">IF(AND(ISNUMBER($AF$1026),$B$677=1),$AF$1026,HLOOKUP(INDIRECT(ADDRESS(2,COLUMN())),OFFSET($BN$2,0,0,ROW()-1,60),ROW()-1,FALSE))</f>
        <v>0.28821035299999997</v>
      </c>
      <c r="AG361">
        <f ca="1">IF(AND(ISNUMBER($AG$1026),$B$677=1),$AG$1026,HLOOKUP(INDIRECT(ADDRESS(2,COLUMN())),OFFSET($BN$2,0,0,ROW()-1,60),ROW()-1,FALSE))</f>
        <v>0.29594400500000001</v>
      </c>
      <c r="AH361">
        <f ca="1">IF(AND(ISNUMBER($AH$1026),$B$677=1),$AH$1026,HLOOKUP(INDIRECT(ADDRESS(2,COLUMN())),OFFSET($BN$2,0,0,ROW()-1,60),ROW()-1,FALSE))</f>
        <v>0.32716492400000002</v>
      </c>
      <c r="AI361">
        <f ca="1">IF(AND(ISNUMBER($AI$1026),$B$677=1),$AI$1026,HLOOKUP(INDIRECT(ADDRESS(2,COLUMN())),OFFSET($BN$2,0,0,ROW()-1,60),ROW()-1,FALSE))</f>
        <v>0.345407819</v>
      </c>
      <c r="AJ361">
        <f ca="1">IF(AND(ISNUMBER($AJ$1026),$B$677=1),$AJ$1026,HLOOKUP(INDIRECT(ADDRESS(2,COLUMN())),OFFSET($BN$2,0,0,ROW()-1,60),ROW()-1,FALSE))</f>
        <v>0.33053114900000002</v>
      </c>
      <c r="AK361">
        <f ca="1">IF(AND(ISNUMBER($AK$1026),$B$677=1),$AK$1026,HLOOKUP(INDIRECT(ADDRESS(2,COLUMN())),OFFSET($BN$2,0,0,ROW()-1,60),ROW()-1,FALSE))</f>
        <v>0.40362784899999998</v>
      </c>
      <c r="AL361" t="str">
        <f ca="1">IF(AND(ISNUMBER($AL$1026),$B$677=1),$AL$1026,HLOOKUP(INDIRECT(ADDRESS(2,COLUMN())),OFFSET($BN$2,0,0,ROW()-1,60),ROW()-1,FALSE))</f>
        <v/>
      </c>
      <c r="AM361">
        <f ca="1">IF(AND(ISNUMBER($AM$1026),$B$677=1),$AM$1026,HLOOKUP(INDIRECT(ADDRESS(2,COLUMN())),OFFSET($BN$2,0,0,ROW()-1,60),ROW()-1,FALSE))</f>
        <v>0.364686872</v>
      </c>
      <c r="AN361">
        <f ca="1">IF(AND(ISNUMBER($AN$1026),$B$677=1),$AN$1026,HLOOKUP(INDIRECT(ADDRESS(2,COLUMN())),OFFSET($BN$2,0,0,ROW()-1,60),ROW()-1,FALSE))</f>
        <v>0.59094153599999999</v>
      </c>
      <c r="AO361">
        <f ca="1">IF(AND(ISNUMBER($AO$1026),$B$677=1),$AO$1026,HLOOKUP(INDIRECT(ADDRESS(2,COLUMN())),OFFSET($BN$2,0,0,ROW()-1,60),ROW()-1,FALSE))</f>
        <v>0.53673349699999995</v>
      </c>
      <c r="AP361">
        <f ca="1">IF(AND(ISNUMBER($AP$1026),$B$677=1),$AP$1026,HLOOKUP(INDIRECT(ADDRESS(2,COLUMN())),OFFSET($BN$2,0,0,ROW()-1,60),ROW()-1,FALSE))</f>
        <v>0.79439979900000002</v>
      </c>
      <c r="AQ361">
        <f ca="1">IF(AND(ISNUMBER($AQ$1026),$B$677=1),$AQ$1026,HLOOKUP(INDIRECT(ADDRESS(2,COLUMN())),OFFSET($BN$2,0,0,ROW()-1,60),ROW()-1,FALSE))</f>
        <v>1.392688779</v>
      </c>
      <c r="AR361">
        <f ca="1">IF(AND(ISNUMBER($AR$1026),$B$677=1),$AR$1026,HLOOKUP(INDIRECT(ADDRESS(2,COLUMN())),OFFSET($BN$2,0,0,ROW()-1,60),ROW()-1,FALSE))</f>
        <v>1.143600232</v>
      </c>
      <c r="AS361">
        <f ca="1">IF(AND(ISNUMBER($AS$1026),$B$677=1),$AS$1026,HLOOKUP(INDIRECT(ADDRESS(2,COLUMN())),OFFSET($BN$2,0,0,ROW()-1,60),ROW()-1,FALSE))</f>
        <v>1.051362414</v>
      </c>
      <c r="AT361">
        <f ca="1">IF(AND(ISNUMBER($AT$1026),$B$677=1),$AT$1026,HLOOKUP(INDIRECT(ADDRESS(2,COLUMN())),OFFSET($BN$2,0,0,ROW()-1,60),ROW()-1,FALSE))</f>
        <v>0.69624473899999995</v>
      </c>
      <c r="AU361">
        <f ca="1">IF(AND(ISNUMBER($AU$1026),$B$677=1),$AU$1026,HLOOKUP(INDIRECT(ADDRESS(2,COLUMN())),OFFSET($BN$2,0,0,ROW()-1,60),ROW()-1,FALSE))</f>
        <v>0.29437591699999999</v>
      </c>
      <c r="AV361">
        <f ca="1">IF(AND(ISNUMBER($AV$1026),$B$677=1),$AV$1026,HLOOKUP(INDIRECT(ADDRESS(2,COLUMN())),OFFSET($BN$2,0,0,ROW()-1,60),ROW()-1,FALSE))</f>
        <v>0.45267213000000001</v>
      </c>
      <c r="AW361">
        <f ca="1">IF(AND(ISNUMBER($AW$1026),$B$677=1),$AW$1026,HLOOKUP(INDIRECT(ADDRESS(2,COLUMN())),OFFSET($BN$2,0,0,ROW()-1,60),ROW()-1,FALSE))</f>
        <v>0.49228531399999997</v>
      </c>
      <c r="AX361">
        <f ca="1">IF(AND(ISNUMBER($AX$1026),$B$677=1),$AX$1026,HLOOKUP(INDIRECT(ADDRESS(2,COLUMN())),OFFSET($BN$2,0,0,ROW()-1,60),ROW()-1,FALSE))</f>
        <v>0.74234929199999999</v>
      </c>
      <c r="AY361">
        <f ca="1">IF(AND(ISNUMBER($AY$1026),$B$677=1),$AY$1026,HLOOKUP(INDIRECT(ADDRESS(2,COLUMN())),OFFSET($BN$2,0,0,ROW()-1,60),ROW()-1,FALSE))</f>
        <v>1.6987447229999999</v>
      </c>
      <c r="AZ361">
        <f ca="1">IF(AND(ISNUMBER($AZ$1026),$B$677=1),$AZ$1026,HLOOKUP(INDIRECT(ADDRESS(2,COLUMN())),OFFSET($BN$2,0,0,ROW()-1,60),ROW()-1,FALSE))</f>
        <v>2.0324725680000002</v>
      </c>
      <c r="BA361">
        <f ca="1">IF(AND(ISNUMBER($BA$1026),$B$677=1),$BA$1026,HLOOKUP(INDIRECT(ADDRESS(2,COLUMN())),OFFSET($BN$2,0,0,ROW()-1,60),ROW()-1,FALSE))</f>
        <v>1.6050790779999999</v>
      </c>
      <c r="BB361">
        <f ca="1">IF(AND(ISNUMBER($BB$1026),$B$677=1),$BB$1026,HLOOKUP(INDIRECT(ADDRESS(2,COLUMN())),OFFSET($BN$2,0,0,ROW()-1,60),ROW()-1,FALSE))</f>
        <v>1.840051613</v>
      </c>
      <c r="BC361">
        <f ca="1">IF(AND(ISNUMBER($BC$1026),$B$677=1),$BC$1026,HLOOKUP(INDIRECT(ADDRESS(2,COLUMN())),OFFSET($BN$2,0,0,ROW()-1,60),ROW()-1,FALSE))</f>
        <v>2.693346279</v>
      </c>
      <c r="BD361">
        <f ca="1">IF(AND(ISNUMBER($BD$1026),$B$677=1),$BD$1026,HLOOKUP(INDIRECT(ADDRESS(2,COLUMN())),OFFSET($BN$2,0,0,ROW()-1,60),ROW()-1,FALSE))</f>
        <v>3.1356431640000002</v>
      </c>
      <c r="BE361">
        <f ca="1">IF(AND(ISNUMBER($BE$1026),$B$677=1),$BE$1026,HLOOKUP(INDIRECT(ADDRESS(2,COLUMN())),OFFSET($BN$2,0,0,ROW()-1,60),ROW()-1,FALSE))</f>
        <v>3.0230113520000002</v>
      </c>
      <c r="BF361">
        <f ca="1">IF(AND(ISNUMBER($BF$1026),$B$677=1),$BF$1026,HLOOKUP(INDIRECT(ADDRESS(2,COLUMN())),OFFSET($BN$2,0,0,ROW()-1,60),ROW()-1,FALSE))</f>
        <v>1.5988240890000001</v>
      </c>
      <c r="BG361">
        <f ca="1">IF(AND(ISNUMBER($BG$1026),$B$677=1),$BG$1026,HLOOKUP(INDIRECT(ADDRESS(2,COLUMN())),OFFSET($BN$2,0,0,ROW()-1,60),ROW()-1,FALSE))</f>
        <v>1.44059622</v>
      </c>
      <c r="BH361">
        <f ca="1">IF(AND(ISNUMBER($BH$1026),$B$677=1),$BH$1026,HLOOKUP(INDIRECT(ADDRESS(2,COLUMN())),OFFSET($BN$2,0,0,ROW()-1,60),ROW()-1,FALSE))</f>
        <v>2.3261634230000001</v>
      </c>
      <c r="BI361">
        <f ca="1">IF(AND(ISNUMBER($BI$1026),$B$677=1),$BI$1026,HLOOKUP(INDIRECT(ADDRESS(2,COLUMN())),OFFSET($BN$2,0,0,ROW()-1,60),ROW()-1,FALSE))</f>
        <v>2.0887858989999999</v>
      </c>
      <c r="BJ361">
        <f ca="1">IF(AND(ISNUMBER($BJ$1026),$B$677=1),$BJ$1026,HLOOKUP(INDIRECT(ADDRESS(2,COLUMN())),OFFSET($BN$2,0,0,ROW()-1,60),ROW()-1,FALSE))</f>
        <v>1.797149721</v>
      </c>
      <c r="BK361">
        <f ca="1">IF(AND(ISNUMBER($BK$1026),$B$677=1),$BK$1026,HLOOKUP(INDIRECT(ADDRESS(2,COLUMN())),OFFSET($BN$2,0,0,ROW()-1,60),ROW()-1,FALSE))</f>
        <v>1.869931121</v>
      </c>
      <c r="BL361">
        <f ca="1">IF(AND(ISNUMBER($BL$1026),$B$677=1),$BL$1026,HLOOKUP(INDIRECT(ADDRESS(2,COLUMN())),OFFSET($BN$2,0,0,ROW()-1,60),ROW()-1,FALSE))</f>
        <v>3.3463912379999998</v>
      </c>
      <c r="BM361">
        <f ca="1">IF(AND(ISNUMBER($BM$1026),$B$677=1),$BM$1026,HLOOKUP(INDIRECT(ADDRESS(2,COLUMN())),OFFSET($BN$2,0,0,ROW()-1,60),ROW()-1,FALSE))</f>
        <v>3.4647885650000001</v>
      </c>
      <c r="BN361" t="str">
        <f>""</f>
        <v/>
      </c>
      <c r="BO361" t="str">
        <f>""</f>
        <v/>
      </c>
      <c r="BP361">
        <f>0.511895294</f>
        <v>0.511895294</v>
      </c>
      <c r="BQ361">
        <f>0.47948344</f>
        <v>0.47948343999999998</v>
      </c>
      <c r="BR361">
        <f>0.550561915</f>
        <v>0.55056191499999996</v>
      </c>
      <c r="BS361">
        <f>0.555273236</f>
        <v>0.555273236</v>
      </c>
      <c r="BT361">
        <f>0.510451728</f>
        <v>0.51045172800000005</v>
      </c>
      <c r="BU361">
        <f>0.436733185</f>
        <v>0.43673318500000002</v>
      </c>
      <c r="BV361">
        <f>0.479748743</f>
        <v>0.47974874299999998</v>
      </c>
      <c r="BW361">
        <f>0.432428001</f>
        <v>0.43242800100000001</v>
      </c>
      <c r="BX361">
        <f>0.418140508</f>
        <v>0.41814050800000002</v>
      </c>
      <c r="BY361">
        <f>0.413652999</f>
        <v>0.41365299900000002</v>
      </c>
      <c r="BZ361">
        <f>0.399102866</f>
        <v>0.399102866</v>
      </c>
      <c r="CA361">
        <f>0.452747257</f>
        <v>0.45274725700000001</v>
      </c>
      <c r="CB361">
        <f>0.385302457</f>
        <v>0.38530245699999999</v>
      </c>
      <c r="CC361">
        <f>0.479661726</f>
        <v>0.47966172600000001</v>
      </c>
      <c r="CD361">
        <f>0.542722219</f>
        <v>0.54272221899999995</v>
      </c>
      <c r="CE361">
        <f>0.387548819</f>
        <v>0.38754881899999999</v>
      </c>
      <c r="CF361">
        <f>0.32151887</f>
        <v>0.32151887000000001</v>
      </c>
      <c r="CG361">
        <f>0.255009736</f>
        <v>0.25500973599999999</v>
      </c>
      <c r="CH361">
        <f>0.285295451</f>
        <v>0.28529545099999998</v>
      </c>
      <c r="CI361">
        <f>0.278558681</f>
        <v>0.27855868099999997</v>
      </c>
      <c r="CJ361">
        <f>0.292892623</f>
        <v>0.29289262300000002</v>
      </c>
      <c r="CK361">
        <f>0.240451785</f>
        <v>0.240451785</v>
      </c>
      <c r="CL361">
        <f>0.378060511</f>
        <v>0.37806051099999999</v>
      </c>
      <c r="CM361">
        <f>0.421907209</f>
        <v>0.42190720900000001</v>
      </c>
      <c r="CN361">
        <f>0.288210353</f>
        <v>0.28821035299999997</v>
      </c>
      <c r="CO361">
        <f>0.295944005</f>
        <v>0.29594400500000001</v>
      </c>
      <c r="CP361">
        <f>0.327164924</f>
        <v>0.32716492400000002</v>
      </c>
      <c r="CQ361">
        <f>0.345407819</f>
        <v>0.345407819</v>
      </c>
      <c r="CR361">
        <f>0.330531149</f>
        <v>0.33053114900000002</v>
      </c>
      <c r="CS361">
        <f>0.403627849</f>
        <v>0.40362784899999998</v>
      </c>
      <c r="CT361" t="str">
        <f>""</f>
        <v/>
      </c>
      <c r="CU361">
        <f>0.364686872</f>
        <v>0.364686872</v>
      </c>
      <c r="CV361">
        <f>0.590941536</f>
        <v>0.59094153599999999</v>
      </c>
      <c r="CW361">
        <f>0.536733497</f>
        <v>0.53673349699999995</v>
      </c>
      <c r="CX361">
        <f>0.794399799</f>
        <v>0.79439979900000002</v>
      </c>
      <c r="CY361">
        <f>1.392688779</f>
        <v>1.392688779</v>
      </c>
      <c r="CZ361">
        <f>1.143600232</f>
        <v>1.143600232</v>
      </c>
      <c r="DA361">
        <f>1.051362414</f>
        <v>1.051362414</v>
      </c>
      <c r="DB361">
        <f>0.696244739</f>
        <v>0.69624473899999995</v>
      </c>
      <c r="DC361">
        <f>0.294375917</f>
        <v>0.29437591699999999</v>
      </c>
      <c r="DD361">
        <f>0.45267213</f>
        <v>0.45267213000000001</v>
      </c>
      <c r="DE361">
        <f>0.492285314</f>
        <v>0.49228531399999997</v>
      </c>
      <c r="DF361">
        <f>0.742349292</f>
        <v>0.74234929199999999</v>
      </c>
      <c r="DG361">
        <f>1.698744723</f>
        <v>1.6987447229999999</v>
      </c>
      <c r="DH361">
        <f>2.032472568</f>
        <v>2.0324725680000002</v>
      </c>
      <c r="DI361">
        <f>1.605079078</f>
        <v>1.6050790779999999</v>
      </c>
      <c r="DJ361">
        <f>1.840051613</f>
        <v>1.840051613</v>
      </c>
      <c r="DK361">
        <f>2.693346279</f>
        <v>2.693346279</v>
      </c>
      <c r="DL361">
        <f>3.135643164</f>
        <v>3.1356431640000002</v>
      </c>
      <c r="DM361">
        <f>3.023011352</f>
        <v>3.0230113520000002</v>
      </c>
      <c r="DN361">
        <f>1.598824089</f>
        <v>1.5988240890000001</v>
      </c>
      <c r="DO361">
        <f>1.44059622</f>
        <v>1.44059622</v>
      </c>
      <c r="DP361">
        <f>2.326163423</f>
        <v>2.3261634230000001</v>
      </c>
      <c r="DQ361">
        <f>2.088785899</f>
        <v>2.0887858989999999</v>
      </c>
      <c r="DR361">
        <f>1.797149721</f>
        <v>1.797149721</v>
      </c>
      <c r="DS361">
        <f>1.869931121</f>
        <v>1.869931121</v>
      </c>
      <c r="DT361">
        <f>3.346391238</f>
        <v>3.3463912379999998</v>
      </c>
      <c r="DU361">
        <f>3.464788565</f>
        <v>3.4647885650000001</v>
      </c>
    </row>
    <row r="362" spans="1:125" x14ac:dyDescent="0.25">
      <c r="A362" t="str">
        <f>"    Sanyang Motor Co Ltd"</f>
        <v xml:space="preserve">    Sanyang Motor Co Ltd</v>
      </c>
      <c r="B362" t="str">
        <f>"2206 TT Equity"</f>
        <v>2206 TT Equity</v>
      </c>
      <c r="C362" t="str">
        <f t="shared" si="24"/>
        <v>RR473</v>
      </c>
      <c r="D362" t="str">
        <f t="shared" si="25"/>
        <v>EV_TO_T12M_SALES</v>
      </c>
      <c r="E362" t="str">
        <f t="shared" si="26"/>
        <v>Dynamic</v>
      </c>
      <c r="F362" t="str">
        <f ca="1">IF(AND(ISNUMBER($F$1027),$B$677=1),$F$1027,HLOOKUP(INDIRECT(ADDRESS(2,COLUMN())),OFFSET($BN$2,0,0,ROW()-1,60),ROW()-1,FALSE))</f>
        <v/>
      </c>
      <c r="G362" t="str">
        <f ca="1">IF(AND(ISNUMBER($G$1027),$B$677=1),$G$1027,HLOOKUP(INDIRECT(ADDRESS(2,COLUMN())),OFFSET($BN$2,0,0,ROW()-1,60),ROW()-1,FALSE))</f>
        <v/>
      </c>
      <c r="H362">
        <f ca="1">IF(AND(ISNUMBER($H$1027),$B$677=1),$H$1027,HLOOKUP(INDIRECT(ADDRESS(2,COLUMN())),OFFSET($BN$2,0,0,ROW()-1,60),ROW()-1,FALSE))</f>
        <v>0.87863205700000002</v>
      </c>
      <c r="I362">
        <f ca="1">IF(AND(ISNUMBER($I$1027),$B$677=1),$I$1027,HLOOKUP(INDIRECT(ADDRESS(2,COLUMN())),OFFSET($BN$2,0,0,ROW()-1,60),ROW()-1,FALSE))</f>
        <v>0.96206247300000003</v>
      </c>
      <c r="J362">
        <f ca="1">IF(AND(ISNUMBER($J$1027),$B$677=1),$J$1027,HLOOKUP(INDIRECT(ADDRESS(2,COLUMN())),OFFSET($BN$2,0,0,ROW()-1,60),ROW()-1,FALSE))</f>
        <v>0.96744665100000005</v>
      </c>
      <c r="K362">
        <f ca="1">IF(AND(ISNUMBER($K$1027),$B$677=1),$K$1027,HLOOKUP(INDIRECT(ADDRESS(2,COLUMN())),OFFSET($BN$2,0,0,ROW()-1,60),ROW()-1,FALSE))</f>
        <v>0.76935440799999999</v>
      </c>
      <c r="L362">
        <f ca="1">IF(AND(ISNUMBER($L$1027),$B$677=1),$L$1027,HLOOKUP(INDIRECT(ADDRESS(2,COLUMN())),OFFSET($BN$2,0,0,ROW()-1,60),ROW()-1,FALSE))</f>
        <v>0.835271235</v>
      </c>
      <c r="M362">
        <f ca="1">IF(AND(ISNUMBER($M$1027),$B$677=1),$M$1027,HLOOKUP(INDIRECT(ADDRESS(2,COLUMN())),OFFSET($BN$2,0,0,ROW()-1,60),ROW()-1,FALSE))</f>
        <v>0.86548872799999998</v>
      </c>
      <c r="N362">
        <f ca="1">IF(AND(ISNUMBER($N$1027),$B$677=1),$N$1027,HLOOKUP(INDIRECT(ADDRESS(2,COLUMN())),OFFSET($BN$2,0,0,ROW()-1,60),ROW()-1,FALSE))</f>
        <v>0.81783562200000004</v>
      </c>
      <c r="O362">
        <f ca="1">IF(AND(ISNUMBER($O$1027),$B$677=1),$O$1027,HLOOKUP(INDIRECT(ADDRESS(2,COLUMN())),OFFSET($BN$2,0,0,ROW()-1,60),ROW()-1,FALSE))</f>
        <v>0.68962676300000003</v>
      </c>
      <c r="P362">
        <f ca="1">IF(AND(ISNUMBER($P$1027),$B$677=1),$P$1027,HLOOKUP(INDIRECT(ADDRESS(2,COLUMN())),OFFSET($BN$2,0,0,ROW()-1,60),ROW()-1,FALSE))</f>
        <v>0.99855576499999998</v>
      </c>
      <c r="Q362">
        <f ca="1">IF(AND(ISNUMBER($Q$1027),$B$677=1),$Q$1027,HLOOKUP(INDIRECT(ADDRESS(2,COLUMN())),OFFSET($BN$2,0,0,ROW()-1,60),ROW()-1,FALSE))</f>
        <v>0.92602310700000001</v>
      </c>
      <c r="R362">
        <f ca="1">IF(AND(ISNUMBER($R$1027),$B$677=1),$R$1027,HLOOKUP(INDIRECT(ADDRESS(2,COLUMN())),OFFSET($BN$2,0,0,ROW()-1,60),ROW()-1,FALSE))</f>
        <v>1.014289843</v>
      </c>
      <c r="S362">
        <f ca="1">IF(AND(ISNUMBER($S$1027),$B$677=1),$S$1027,HLOOKUP(INDIRECT(ADDRESS(2,COLUMN())),OFFSET($BN$2,0,0,ROW()-1,60),ROW()-1,FALSE))</f>
        <v>0.97838749300000005</v>
      </c>
      <c r="T362">
        <f ca="1">IF(AND(ISNUMBER($T$1027),$B$677=1),$T$1027,HLOOKUP(INDIRECT(ADDRESS(2,COLUMN())),OFFSET($BN$2,0,0,ROW()-1,60),ROW()-1,FALSE))</f>
        <v>1.0093112639999999</v>
      </c>
      <c r="U362">
        <f ca="1">IF(AND(ISNUMBER($U$1027),$B$677=1),$U$1027,HLOOKUP(INDIRECT(ADDRESS(2,COLUMN())),OFFSET($BN$2,0,0,ROW()-1,60),ROW()-1,FALSE))</f>
        <v>0.89663514700000002</v>
      </c>
      <c r="V362">
        <f ca="1">IF(AND(ISNUMBER($V$1027),$B$677=1),$V$1027,HLOOKUP(INDIRECT(ADDRESS(2,COLUMN())),OFFSET($BN$2,0,0,ROW()-1,60),ROW()-1,FALSE))</f>
        <v>0.99377807100000004</v>
      </c>
      <c r="W362">
        <f ca="1">IF(AND(ISNUMBER($W$1027),$B$677=1),$W$1027,HLOOKUP(INDIRECT(ADDRESS(2,COLUMN())),OFFSET($BN$2,0,0,ROW()-1,60),ROW()-1,FALSE))</f>
        <v>1.022051335</v>
      </c>
      <c r="X362">
        <f ca="1">IF(AND(ISNUMBER($X$1027),$B$677=1),$X$1027,HLOOKUP(INDIRECT(ADDRESS(2,COLUMN())),OFFSET($BN$2,0,0,ROW()-1,60),ROW()-1,FALSE))</f>
        <v>0.94122599299999998</v>
      </c>
      <c r="Y362">
        <f ca="1">IF(AND(ISNUMBER($Y$1027),$B$677=1),$Y$1027,HLOOKUP(INDIRECT(ADDRESS(2,COLUMN())),OFFSET($BN$2,0,0,ROW()-1,60),ROW()-1,FALSE))</f>
        <v>1.0693360519999999</v>
      </c>
      <c r="Z362">
        <f ca="1">IF(AND(ISNUMBER($Z$1027),$B$677=1),$Z$1027,HLOOKUP(INDIRECT(ADDRESS(2,COLUMN())),OFFSET($BN$2,0,0,ROW()-1,60),ROW()-1,FALSE))</f>
        <v>1.5903954680000001</v>
      </c>
      <c r="AA362">
        <f ca="1">IF(AND(ISNUMBER($AA$1027),$B$677=1),$AA$1027,HLOOKUP(INDIRECT(ADDRESS(2,COLUMN())),OFFSET($BN$2,0,0,ROW()-1,60),ROW()-1,FALSE))</f>
        <v>1.612613831</v>
      </c>
      <c r="AB362">
        <f ca="1">IF(AND(ISNUMBER($AB$1027),$B$677=1),$AB$1027,HLOOKUP(INDIRECT(ADDRESS(2,COLUMN())),OFFSET($BN$2,0,0,ROW()-1,60),ROW()-1,FALSE))</f>
        <v>1.3173941570000001</v>
      </c>
      <c r="AC362">
        <f ca="1">IF(AND(ISNUMBER($AC$1027),$B$677=1),$AC$1027,HLOOKUP(INDIRECT(ADDRESS(2,COLUMN())),OFFSET($BN$2,0,0,ROW()-1,60),ROW()-1,FALSE))</f>
        <v>0.86582334900000002</v>
      </c>
      <c r="AD362">
        <f ca="1">IF(AND(ISNUMBER($AD$1027),$B$677=1),$AD$1027,HLOOKUP(INDIRECT(ADDRESS(2,COLUMN())),OFFSET($BN$2,0,0,ROW()-1,60),ROW()-1,FALSE))</f>
        <v>0.80829791799999995</v>
      </c>
      <c r="AE362">
        <f ca="1">IF(AND(ISNUMBER($AE$1027),$B$677=1),$AE$1027,HLOOKUP(INDIRECT(ADDRESS(2,COLUMN())),OFFSET($BN$2,0,0,ROW()-1,60),ROW()-1,FALSE))</f>
        <v>0.64193654499999997</v>
      </c>
      <c r="AF362">
        <f ca="1">IF(AND(ISNUMBER($AF$1027),$B$677=1),$AF$1027,HLOOKUP(INDIRECT(ADDRESS(2,COLUMN())),OFFSET($BN$2,0,0,ROW()-1,60),ROW()-1,FALSE))</f>
        <v>0.71219679199999997</v>
      </c>
      <c r="AG362">
        <f ca="1">IF(AND(ISNUMBER($AG$1027),$B$677=1),$AG$1027,HLOOKUP(INDIRECT(ADDRESS(2,COLUMN())),OFFSET($BN$2,0,0,ROW()-1,60),ROW()-1,FALSE))</f>
        <v>0.70116820800000002</v>
      </c>
      <c r="AH362">
        <f ca="1">IF(AND(ISNUMBER($AH$1027),$B$677=1),$AH$1027,HLOOKUP(INDIRECT(ADDRESS(2,COLUMN())),OFFSET($BN$2,0,0,ROW()-1,60),ROW()-1,FALSE))</f>
        <v>0.66513944000000003</v>
      </c>
      <c r="AI362">
        <f ca="1">IF(AND(ISNUMBER($AI$1027),$B$677=1),$AI$1027,HLOOKUP(INDIRECT(ADDRESS(2,COLUMN())),OFFSET($BN$2,0,0,ROW()-1,60),ROW()-1,FALSE))</f>
        <v>0.55901092600000002</v>
      </c>
      <c r="AJ362">
        <f ca="1">IF(AND(ISNUMBER($AJ$1027),$B$677=1),$AJ$1027,HLOOKUP(INDIRECT(ADDRESS(2,COLUMN())),OFFSET($BN$2,0,0,ROW()-1,60),ROW()-1,FALSE))</f>
        <v>0.56981178300000002</v>
      </c>
      <c r="AK362">
        <f ca="1">IF(AND(ISNUMBER($AK$1027),$B$677=1),$AK$1027,HLOOKUP(INDIRECT(ADDRESS(2,COLUMN())),OFFSET($BN$2,0,0,ROW()-1,60),ROW()-1,FALSE))</f>
        <v>0.57071391699999996</v>
      </c>
      <c r="AL362">
        <f ca="1">IF(AND(ISNUMBER($AL$1027),$B$677=1),$AL$1027,HLOOKUP(INDIRECT(ADDRESS(2,COLUMN())),OFFSET($BN$2,0,0,ROW()-1,60),ROW()-1,FALSE))</f>
        <v>0.58673001599999997</v>
      </c>
      <c r="AM362">
        <f ca="1">IF(AND(ISNUMBER($AM$1027),$B$677=1),$AM$1027,HLOOKUP(INDIRECT(ADDRESS(2,COLUMN())),OFFSET($BN$2,0,0,ROW()-1,60),ROW()-1,FALSE))</f>
        <v>0.65782521900000002</v>
      </c>
      <c r="AN362">
        <f ca="1">IF(AND(ISNUMBER($AN$1027),$B$677=1),$AN$1027,HLOOKUP(INDIRECT(ADDRESS(2,COLUMN())),OFFSET($BN$2,0,0,ROW()-1,60),ROW()-1,FALSE))</f>
        <v>0.60412865400000004</v>
      </c>
      <c r="AO362">
        <f ca="1">IF(AND(ISNUMBER($AO$1027),$B$677=1),$AO$1027,HLOOKUP(INDIRECT(ADDRESS(2,COLUMN())),OFFSET($BN$2,0,0,ROW()-1,60),ROW()-1,FALSE))</f>
        <v>0.56931455900000005</v>
      </c>
      <c r="AP362">
        <f ca="1">IF(AND(ISNUMBER($AP$1027),$B$677=1),$AP$1027,HLOOKUP(INDIRECT(ADDRESS(2,COLUMN())),OFFSET($BN$2,0,0,ROW()-1,60),ROW()-1,FALSE))</f>
        <v>0.49797139800000001</v>
      </c>
      <c r="AQ362">
        <f ca="1">IF(AND(ISNUMBER($AQ$1027),$B$677=1),$AQ$1027,HLOOKUP(INDIRECT(ADDRESS(2,COLUMN())),OFFSET($BN$2,0,0,ROW()-1,60),ROW()-1,FALSE))</f>
        <v>0.58141570300000001</v>
      </c>
      <c r="AR362">
        <f ca="1">IF(AND(ISNUMBER($AR$1027),$B$677=1),$AR$1027,HLOOKUP(INDIRECT(ADDRESS(2,COLUMN())),OFFSET($BN$2,0,0,ROW()-1,60),ROW()-1,FALSE))</f>
        <v>0.62093451899999996</v>
      </c>
      <c r="AS362">
        <f ca="1">IF(AND(ISNUMBER($AS$1027),$B$677=1),$AS$1027,HLOOKUP(INDIRECT(ADDRESS(2,COLUMN())),OFFSET($BN$2,0,0,ROW()-1,60),ROW()-1,FALSE))</f>
        <v>0.675852546</v>
      </c>
      <c r="AT362">
        <f ca="1">IF(AND(ISNUMBER($AT$1027),$B$677=1),$AT$1027,HLOOKUP(INDIRECT(ADDRESS(2,COLUMN())),OFFSET($BN$2,0,0,ROW()-1,60),ROW()-1,FALSE))</f>
        <v>0.401604607</v>
      </c>
      <c r="AU362">
        <f ca="1">IF(AND(ISNUMBER($AU$1027),$B$677=1),$AU$1027,HLOOKUP(INDIRECT(ADDRESS(2,COLUMN())),OFFSET($BN$2,0,0,ROW()-1,60),ROW()-1,FALSE))</f>
        <v>0.39772608700000001</v>
      </c>
      <c r="AV362" t="str">
        <f ca="1">IF(AND(ISNUMBER($AV$1027),$B$677=1),$AV$1027,HLOOKUP(INDIRECT(ADDRESS(2,COLUMN())),OFFSET($BN$2,0,0,ROW()-1,60),ROW()-1,FALSE))</f>
        <v/>
      </c>
      <c r="AW362" t="str">
        <f ca="1">IF(AND(ISNUMBER($AW$1027),$B$677=1),$AW$1027,HLOOKUP(INDIRECT(ADDRESS(2,COLUMN())),OFFSET($BN$2,0,0,ROW()-1,60),ROW()-1,FALSE))</f>
        <v/>
      </c>
      <c r="AX362" t="str">
        <f ca="1">IF(AND(ISNUMBER($AX$1027),$B$677=1),$AX$1027,HLOOKUP(INDIRECT(ADDRESS(2,COLUMN())),OFFSET($BN$2,0,0,ROW()-1,60),ROW()-1,FALSE))</f>
        <v/>
      </c>
      <c r="AY362" t="str">
        <f ca="1">IF(AND(ISNUMBER($AY$1027),$B$677=1),$AY$1027,HLOOKUP(INDIRECT(ADDRESS(2,COLUMN())),OFFSET($BN$2,0,0,ROW()-1,60),ROW()-1,FALSE))</f>
        <v/>
      </c>
      <c r="AZ362" t="str">
        <f ca="1">IF(AND(ISNUMBER($AZ$1027),$B$677=1),$AZ$1027,HLOOKUP(INDIRECT(ADDRESS(2,COLUMN())),OFFSET($BN$2,0,0,ROW()-1,60),ROW()-1,FALSE))</f>
        <v/>
      </c>
      <c r="BA362" t="str">
        <f ca="1">IF(AND(ISNUMBER($BA$1027),$B$677=1),$BA$1027,HLOOKUP(INDIRECT(ADDRESS(2,COLUMN())),OFFSET($BN$2,0,0,ROW()-1,60),ROW()-1,FALSE))</f>
        <v/>
      </c>
      <c r="BB362" t="str">
        <f ca="1">IF(AND(ISNUMBER($BB$1027),$B$677=1),$BB$1027,HLOOKUP(INDIRECT(ADDRESS(2,COLUMN())),OFFSET($BN$2,0,0,ROW()-1,60),ROW()-1,FALSE))</f>
        <v/>
      </c>
      <c r="BC362" t="str">
        <f ca="1">IF(AND(ISNUMBER($BC$1027),$B$677=1),$BC$1027,HLOOKUP(INDIRECT(ADDRESS(2,COLUMN())),OFFSET($BN$2,0,0,ROW()-1,60),ROW()-1,FALSE))</f>
        <v/>
      </c>
      <c r="BD362" t="str">
        <f ca="1">IF(AND(ISNUMBER($BD$1027),$B$677=1),$BD$1027,HLOOKUP(INDIRECT(ADDRESS(2,COLUMN())),OFFSET($BN$2,0,0,ROW()-1,60),ROW()-1,FALSE))</f>
        <v/>
      </c>
      <c r="BE362" t="str">
        <f ca="1">IF(AND(ISNUMBER($BE$1027),$B$677=1),$BE$1027,HLOOKUP(INDIRECT(ADDRESS(2,COLUMN())),OFFSET($BN$2,0,0,ROW()-1,60),ROW()-1,FALSE))</f>
        <v/>
      </c>
      <c r="BF362" t="str">
        <f ca="1">IF(AND(ISNUMBER($BF$1027),$B$677=1),$BF$1027,HLOOKUP(INDIRECT(ADDRESS(2,COLUMN())),OFFSET($BN$2,0,0,ROW()-1,60),ROW()-1,FALSE))</f>
        <v/>
      </c>
      <c r="BG362" t="str">
        <f ca="1">IF(AND(ISNUMBER($BG$1027),$B$677=1),$BG$1027,HLOOKUP(INDIRECT(ADDRESS(2,COLUMN())),OFFSET($BN$2,0,0,ROW()-1,60),ROW()-1,FALSE))</f>
        <v/>
      </c>
      <c r="BH362" t="str">
        <f ca="1">IF(AND(ISNUMBER($BH$1027),$B$677=1),$BH$1027,HLOOKUP(INDIRECT(ADDRESS(2,COLUMN())),OFFSET($BN$2,0,0,ROW()-1,60),ROW()-1,FALSE))</f>
        <v/>
      </c>
      <c r="BI362" t="str">
        <f ca="1">IF(AND(ISNUMBER($BI$1027),$B$677=1),$BI$1027,HLOOKUP(INDIRECT(ADDRESS(2,COLUMN())),OFFSET($BN$2,0,0,ROW()-1,60),ROW()-1,FALSE))</f>
        <v/>
      </c>
      <c r="BJ362" t="str">
        <f ca="1">IF(AND(ISNUMBER($BJ$1027),$B$677=1),$BJ$1027,HLOOKUP(INDIRECT(ADDRESS(2,COLUMN())),OFFSET($BN$2,0,0,ROW()-1,60),ROW()-1,FALSE))</f>
        <v/>
      </c>
      <c r="BK362" t="str">
        <f ca="1">IF(AND(ISNUMBER($BK$1027),$B$677=1),$BK$1027,HLOOKUP(INDIRECT(ADDRESS(2,COLUMN())),OFFSET($BN$2,0,0,ROW()-1,60),ROW()-1,FALSE))</f>
        <v/>
      </c>
      <c r="BL362" t="str">
        <f ca="1">IF(AND(ISNUMBER($BL$1027),$B$677=1),$BL$1027,HLOOKUP(INDIRECT(ADDRESS(2,COLUMN())),OFFSET($BN$2,0,0,ROW()-1,60),ROW()-1,FALSE))</f>
        <v/>
      </c>
      <c r="BM362" t="str">
        <f ca="1">IF(AND(ISNUMBER($BM$1027),$B$677=1),$BM$1027,HLOOKUP(INDIRECT(ADDRESS(2,COLUMN())),OFFSET($BN$2,0,0,ROW()-1,60),ROW()-1,FALSE))</f>
        <v/>
      </c>
      <c r="BN362" t="str">
        <f>""</f>
        <v/>
      </c>
      <c r="BO362" t="str">
        <f>""</f>
        <v/>
      </c>
      <c r="BP362">
        <f>0.878632057</f>
        <v>0.87863205700000002</v>
      </c>
      <c r="BQ362">
        <f>0.962062473</f>
        <v>0.96206247300000003</v>
      </c>
      <c r="BR362">
        <f>0.967446651</f>
        <v>0.96744665100000005</v>
      </c>
      <c r="BS362">
        <f>0.769354408</f>
        <v>0.76935440799999999</v>
      </c>
      <c r="BT362">
        <f>0.835271235</f>
        <v>0.835271235</v>
      </c>
      <c r="BU362">
        <f>0.865488728</f>
        <v>0.86548872799999998</v>
      </c>
      <c r="BV362">
        <f>0.817835622</f>
        <v>0.81783562200000004</v>
      </c>
      <c r="BW362">
        <f>0.689626763</f>
        <v>0.68962676300000003</v>
      </c>
      <c r="BX362">
        <f>0.998555765</f>
        <v>0.99855576499999998</v>
      </c>
      <c r="BY362">
        <f>0.926023107</f>
        <v>0.92602310700000001</v>
      </c>
      <c r="BZ362">
        <f>1.014289843</f>
        <v>1.014289843</v>
      </c>
      <c r="CA362">
        <f>0.978387493</f>
        <v>0.97838749300000005</v>
      </c>
      <c r="CB362">
        <f>1.009311264</f>
        <v>1.0093112639999999</v>
      </c>
      <c r="CC362">
        <f>0.896635147</f>
        <v>0.89663514700000002</v>
      </c>
      <c r="CD362">
        <f>0.993778071</f>
        <v>0.99377807100000004</v>
      </c>
      <c r="CE362">
        <f>1.022051335</f>
        <v>1.022051335</v>
      </c>
      <c r="CF362">
        <f>0.941225993</f>
        <v>0.94122599299999998</v>
      </c>
      <c r="CG362">
        <f>1.069336052</f>
        <v>1.0693360519999999</v>
      </c>
      <c r="CH362">
        <f>1.590395468</f>
        <v>1.5903954680000001</v>
      </c>
      <c r="CI362">
        <f>1.612613831</f>
        <v>1.612613831</v>
      </c>
      <c r="CJ362">
        <f>1.317394157</f>
        <v>1.3173941570000001</v>
      </c>
      <c r="CK362">
        <f>0.865823349</f>
        <v>0.86582334900000002</v>
      </c>
      <c r="CL362">
        <f>0.808297918</f>
        <v>0.80829791799999995</v>
      </c>
      <c r="CM362">
        <f>0.641936545</f>
        <v>0.64193654499999997</v>
      </c>
      <c r="CN362">
        <f>0.712196792</f>
        <v>0.71219679199999997</v>
      </c>
      <c r="CO362">
        <f>0.701168208</f>
        <v>0.70116820800000002</v>
      </c>
      <c r="CP362">
        <f>0.66513944</f>
        <v>0.66513944000000003</v>
      </c>
      <c r="CQ362">
        <f>0.559010926</f>
        <v>0.55901092600000002</v>
      </c>
      <c r="CR362">
        <f>0.569811783</f>
        <v>0.56981178300000002</v>
      </c>
      <c r="CS362">
        <f>0.570713917</f>
        <v>0.57071391699999996</v>
      </c>
      <c r="CT362">
        <f>0.586730016</f>
        <v>0.58673001599999997</v>
      </c>
      <c r="CU362">
        <f>0.657825219</f>
        <v>0.65782521900000002</v>
      </c>
      <c r="CV362">
        <f>0.604128654</f>
        <v>0.60412865400000004</v>
      </c>
      <c r="CW362">
        <f>0.569314559</f>
        <v>0.56931455900000005</v>
      </c>
      <c r="CX362">
        <f>0.497971398</f>
        <v>0.49797139800000001</v>
      </c>
      <c r="CY362">
        <f>0.581415703</f>
        <v>0.58141570300000001</v>
      </c>
      <c r="CZ362">
        <f>0.620934519</f>
        <v>0.62093451899999996</v>
      </c>
      <c r="DA362">
        <f>0.675852546</f>
        <v>0.675852546</v>
      </c>
      <c r="DB362">
        <f>0.401604607</f>
        <v>0.401604607</v>
      </c>
      <c r="DC362">
        <f>0.397726087</f>
        <v>0.39772608700000001</v>
      </c>
      <c r="DD362" t="str">
        <f>""</f>
        <v/>
      </c>
      <c r="DE362" t="str">
        <f>""</f>
        <v/>
      </c>
      <c r="DF362" t="str">
        <f>""</f>
        <v/>
      </c>
      <c r="DG362" t="str">
        <f>""</f>
        <v/>
      </c>
      <c r="DH362" t="str">
        <f>""</f>
        <v/>
      </c>
      <c r="DI362" t="str">
        <f>""</f>
        <v/>
      </c>
      <c r="DJ362" t="str">
        <f>""</f>
        <v/>
      </c>
      <c r="DK362" t="str">
        <f>""</f>
        <v/>
      </c>
      <c r="DL362" t="str">
        <f>""</f>
        <v/>
      </c>
      <c r="DM362" t="str">
        <f>""</f>
        <v/>
      </c>
      <c r="DN362" t="str">
        <f>""</f>
        <v/>
      </c>
      <c r="DO362" t="str">
        <f>""</f>
        <v/>
      </c>
      <c r="DP362" t="str">
        <f>""</f>
        <v/>
      </c>
      <c r="DQ362" t="str">
        <f>""</f>
        <v/>
      </c>
      <c r="DR362" t="str">
        <f>""</f>
        <v/>
      </c>
      <c r="DS362" t="str">
        <f>""</f>
        <v/>
      </c>
      <c r="DT362" t="str">
        <f>""</f>
        <v/>
      </c>
      <c r="DU362" t="str">
        <f>""</f>
        <v/>
      </c>
    </row>
    <row r="363" spans="1:125" x14ac:dyDescent="0.25">
      <c r="A363" t="str">
        <f>"    Sollers PJSC"</f>
        <v xml:space="preserve">    Sollers PJSC</v>
      </c>
      <c r="B363" t="str">
        <f>"SVAV RM Equity"</f>
        <v>SVAV RM Equity</v>
      </c>
      <c r="C363" t="str">
        <f t="shared" si="24"/>
        <v>RR473</v>
      </c>
      <c r="D363" t="str">
        <f t="shared" si="25"/>
        <v>EV_TO_T12M_SALES</v>
      </c>
      <c r="E363" t="str">
        <f t="shared" si="26"/>
        <v>Dynamic</v>
      </c>
      <c r="F363" t="str">
        <f ca="1">IF(AND(ISNUMBER($F$1028),$B$677=1),$F$1028,HLOOKUP(INDIRECT(ADDRESS(2,COLUMN())),OFFSET($BN$2,0,0,ROW()-1,60),ROW()-1,FALSE))</f>
        <v/>
      </c>
      <c r="G363" t="str">
        <f ca="1">IF(AND(ISNUMBER($G$1028),$B$677=1),$G$1028,HLOOKUP(INDIRECT(ADDRESS(2,COLUMN())),OFFSET($BN$2,0,0,ROW()-1,60),ROW()-1,FALSE))</f>
        <v/>
      </c>
      <c r="H363" t="str">
        <f ca="1">IF(AND(ISNUMBER($H$1028),$B$677=1),$H$1028,HLOOKUP(INDIRECT(ADDRESS(2,COLUMN())),OFFSET($BN$2,0,0,ROW()-1,60),ROW()-1,FALSE))</f>
        <v/>
      </c>
      <c r="I363" t="str">
        <f ca="1">IF(AND(ISNUMBER($I$1028),$B$677=1),$I$1028,HLOOKUP(INDIRECT(ADDRESS(2,COLUMN())),OFFSET($BN$2,0,0,ROW()-1,60),ROW()-1,FALSE))</f>
        <v/>
      </c>
      <c r="J363" t="str">
        <f ca="1">IF(AND(ISNUMBER($J$1028),$B$677=1),$J$1028,HLOOKUP(INDIRECT(ADDRESS(2,COLUMN())),OFFSET($BN$2,0,0,ROW()-1,60),ROW()-1,FALSE))</f>
        <v/>
      </c>
      <c r="K363" t="str">
        <f ca="1">IF(AND(ISNUMBER($K$1028),$B$677=1),$K$1028,HLOOKUP(INDIRECT(ADDRESS(2,COLUMN())),OFFSET($BN$2,0,0,ROW()-1,60),ROW()-1,FALSE))</f>
        <v/>
      </c>
      <c r="L363" t="str">
        <f ca="1">IF(AND(ISNUMBER($L$1028),$B$677=1),$L$1028,HLOOKUP(INDIRECT(ADDRESS(2,COLUMN())),OFFSET($BN$2,0,0,ROW()-1,60),ROW()-1,FALSE))</f>
        <v/>
      </c>
      <c r="M363" t="str">
        <f ca="1">IF(AND(ISNUMBER($M$1028),$B$677=1),$M$1028,HLOOKUP(INDIRECT(ADDRESS(2,COLUMN())),OFFSET($BN$2,0,0,ROW()-1,60),ROW()-1,FALSE))</f>
        <v/>
      </c>
      <c r="N363" t="str">
        <f ca="1">IF(AND(ISNUMBER($N$1028),$B$677=1),$N$1028,HLOOKUP(INDIRECT(ADDRESS(2,COLUMN())),OFFSET($BN$2,0,0,ROW()-1,60),ROW()-1,FALSE))</f>
        <v/>
      </c>
      <c r="O363" t="str">
        <f ca="1">IF(AND(ISNUMBER($O$1028),$B$677=1),$O$1028,HLOOKUP(INDIRECT(ADDRESS(2,COLUMN())),OFFSET($BN$2,0,0,ROW()-1,60),ROW()-1,FALSE))</f>
        <v/>
      </c>
      <c r="P363" t="str">
        <f ca="1">IF(AND(ISNUMBER($P$1028),$B$677=1),$P$1028,HLOOKUP(INDIRECT(ADDRESS(2,COLUMN())),OFFSET($BN$2,0,0,ROW()-1,60),ROW()-1,FALSE))</f>
        <v/>
      </c>
      <c r="Q363" t="str">
        <f ca="1">IF(AND(ISNUMBER($Q$1028),$B$677=1),$Q$1028,HLOOKUP(INDIRECT(ADDRESS(2,COLUMN())),OFFSET($BN$2,0,0,ROW()-1,60),ROW()-1,FALSE))</f>
        <v/>
      </c>
      <c r="R363" t="str">
        <f ca="1">IF(AND(ISNUMBER($R$1028),$B$677=1),$R$1028,HLOOKUP(INDIRECT(ADDRESS(2,COLUMN())),OFFSET($BN$2,0,0,ROW()-1,60),ROW()-1,FALSE))</f>
        <v/>
      </c>
      <c r="S363" t="str">
        <f ca="1">IF(AND(ISNUMBER($S$1028),$B$677=1),$S$1028,HLOOKUP(INDIRECT(ADDRESS(2,COLUMN())),OFFSET($BN$2,0,0,ROW()-1,60),ROW()-1,FALSE))</f>
        <v/>
      </c>
      <c r="T363" t="str">
        <f ca="1">IF(AND(ISNUMBER($T$1028),$B$677=1),$T$1028,HLOOKUP(INDIRECT(ADDRESS(2,COLUMN())),OFFSET($BN$2,0,0,ROW()-1,60),ROW()-1,FALSE))</f>
        <v/>
      </c>
      <c r="U363" t="str">
        <f ca="1">IF(AND(ISNUMBER($U$1028),$B$677=1),$U$1028,HLOOKUP(INDIRECT(ADDRESS(2,COLUMN())),OFFSET($BN$2,0,0,ROW()-1,60),ROW()-1,FALSE))</f>
        <v/>
      </c>
      <c r="V363" t="str">
        <f ca="1">IF(AND(ISNUMBER($V$1028),$B$677=1),$V$1028,HLOOKUP(INDIRECT(ADDRESS(2,COLUMN())),OFFSET($BN$2,0,0,ROW()-1,60),ROW()-1,FALSE))</f>
        <v/>
      </c>
      <c r="W363" t="str">
        <f ca="1">IF(AND(ISNUMBER($W$1028),$B$677=1),$W$1028,HLOOKUP(INDIRECT(ADDRESS(2,COLUMN())),OFFSET($BN$2,0,0,ROW()-1,60),ROW()-1,FALSE))</f>
        <v/>
      </c>
      <c r="X363" t="str">
        <f ca="1">IF(AND(ISNUMBER($X$1028),$B$677=1),$X$1028,HLOOKUP(INDIRECT(ADDRESS(2,COLUMN())),OFFSET($BN$2,0,0,ROW()-1,60),ROW()-1,FALSE))</f>
        <v/>
      </c>
      <c r="Y363" t="str">
        <f ca="1">IF(AND(ISNUMBER($Y$1028),$B$677=1),$Y$1028,HLOOKUP(INDIRECT(ADDRESS(2,COLUMN())),OFFSET($BN$2,0,0,ROW()-1,60),ROW()-1,FALSE))</f>
        <v/>
      </c>
      <c r="Z363" t="str">
        <f ca="1">IF(AND(ISNUMBER($Z$1028),$B$677=1),$Z$1028,HLOOKUP(INDIRECT(ADDRESS(2,COLUMN())),OFFSET($BN$2,0,0,ROW()-1,60),ROW()-1,FALSE))</f>
        <v/>
      </c>
      <c r="AA363" t="str">
        <f ca="1">IF(AND(ISNUMBER($AA$1028),$B$677=1),$AA$1028,HLOOKUP(INDIRECT(ADDRESS(2,COLUMN())),OFFSET($BN$2,0,0,ROW()-1,60),ROW()-1,FALSE))</f>
        <v/>
      </c>
      <c r="AB363" t="str">
        <f ca="1">IF(AND(ISNUMBER($AB$1028),$B$677=1),$AB$1028,HLOOKUP(INDIRECT(ADDRESS(2,COLUMN())),OFFSET($BN$2,0,0,ROW()-1,60),ROW()-1,FALSE))</f>
        <v/>
      </c>
      <c r="AC363" t="str">
        <f ca="1">IF(AND(ISNUMBER($AC$1028),$B$677=1),$AC$1028,HLOOKUP(INDIRECT(ADDRESS(2,COLUMN())),OFFSET($BN$2,0,0,ROW()-1,60),ROW()-1,FALSE))</f>
        <v/>
      </c>
      <c r="AD363" t="str">
        <f ca="1">IF(AND(ISNUMBER($AD$1028),$B$677=1),$AD$1028,HLOOKUP(INDIRECT(ADDRESS(2,COLUMN())),OFFSET($BN$2,0,0,ROW()-1,60),ROW()-1,FALSE))</f>
        <v/>
      </c>
      <c r="AE363" t="str">
        <f ca="1">IF(AND(ISNUMBER($AE$1028),$B$677=1),$AE$1028,HLOOKUP(INDIRECT(ADDRESS(2,COLUMN())),OFFSET($BN$2,0,0,ROW()-1,60),ROW()-1,FALSE))</f>
        <v/>
      </c>
      <c r="AF363" t="str">
        <f ca="1">IF(AND(ISNUMBER($AF$1028),$B$677=1),$AF$1028,HLOOKUP(INDIRECT(ADDRESS(2,COLUMN())),OFFSET($BN$2,0,0,ROW()-1,60),ROW()-1,FALSE))</f>
        <v/>
      </c>
      <c r="AG363" t="str">
        <f ca="1">IF(AND(ISNUMBER($AG$1028),$B$677=1),$AG$1028,HLOOKUP(INDIRECT(ADDRESS(2,COLUMN())),OFFSET($BN$2,0,0,ROW()-1,60),ROW()-1,FALSE))</f>
        <v/>
      </c>
      <c r="AH363" t="str">
        <f ca="1">IF(AND(ISNUMBER($AH$1028),$B$677=1),$AH$1028,HLOOKUP(INDIRECT(ADDRESS(2,COLUMN())),OFFSET($BN$2,0,0,ROW()-1,60),ROW()-1,FALSE))</f>
        <v/>
      </c>
      <c r="AI363" t="str">
        <f ca="1">IF(AND(ISNUMBER($AI$1028),$B$677=1),$AI$1028,HLOOKUP(INDIRECT(ADDRESS(2,COLUMN())),OFFSET($BN$2,0,0,ROW()-1,60),ROW()-1,FALSE))</f>
        <v/>
      </c>
      <c r="AJ363" t="str">
        <f ca="1">IF(AND(ISNUMBER($AJ$1028),$B$677=1),$AJ$1028,HLOOKUP(INDIRECT(ADDRESS(2,COLUMN())),OFFSET($BN$2,0,0,ROW()-1,60),ROW()-1,FALSE))</f>
        <v/>
      </c>
      <c r="AK363" t="str">
        <f ca="1">IF(AND(ISNUMBER($AK$1028),$B$677=1),$AK$1028,HLOOKUP(INDIRECT(ADDRESS(2,COLUMN())),OFFSET($BN$2,0,0,ROW()-1,60),ROW()-1,FALSE))</f>
        <v/>
      </c>
      <c r="AL363" t="str">
        <f ca="1">IF(AND(ISNUMBER($AL$1028),$B$677=1),$AL$1028,HLOOKUP(INDIRECT(ADDRESS(2,COLUMN())),OFFSET($BN$2,0,0,ROW()-1,60),ROW()-1,FALSE))</f>
        <v/>
      </c>
      <c r="AM363" t="str">
        <f ca="1">IF(AND(ISNUMBER($AM$1028),$B$677=1),$AM$1028,HLOOKUP(INDIRECT(ADDRESS(2,COLUMN())),OFFSET($BN$2,0,0,ROW()-1,60),ROW()-1,FALSE))</f>
        <v/>
      </c>
      <c r="AN363" t="str">
        <f ca="1">IF(AND(ISNUMBER($AN$1028),$B$677=1),$AN$1028,HLOOKUP(INDIRECT(ADDRESS(2,COLUMN())),OFFSET($BN$2,0,0,ROW()-1,60),ROW()-1,FALSE))</f>
        <v/>
      </c>
      <c r="AO363" t="str">
        <f ca="1">IF(AND(ISNUMBER($AO$1028),$B$677=1),$AO$1028,HLOOKUP(INDIRECT(ADDRESS(2,COLUMN())),OFFSET($BN$2,0,0,ROW()-1,60),ROW()-1,FALSE))</f>
        <v/>
      </c>
      <c r="AP363" t="str">
        <f ca="1">IF(AND(ISNUMBER($AP$1028),$B$677=1),$AP$1028,HLOOKUP(INDIRECT(ADDRESS(2,COLUMN())),OFFSET($BN$2,0,0,ROW()-1,60),ROW()-1,FALSE))</f>
        <v/>
      </c>
      <c r="AQ363" t="str">
        <f ca="1">IF(AND(ISNUMBER($AQ$1028),$B$677=1),$AQ$1028,HLOOKUP(INDIRECT(ADDRESS(2,COLUMN())),OFFSET($BN$2,0,0,ROW()-1,60),ROW()-1,FALSE))</f>
        <v/>
      </c>
      <c r="AR363" t="str">
        <f ca="1">IF(AND(ISNUMBER($AR$1028),$B$677=1),$AR$1028,HLOOKUP(INDIRECT(ADDRESS(2,COLUMN())),OFFSET($BN$2,0,0,ROW()-1,60),ROW()-1,FALSE))</f>
        <v/>
      </c>
      <c r="AS363" t="str">
        <f ca="1">IF(AND(ISNUMBER($AS$1028),$B$677=1),$AS$1028,HLOOKUP(INDIRECT(ADDRESS(2,COLUMN())),OFFSET($BN$2,0,0,ROW()-1,60),ROW()-1,FALSE))</f>
        <v/>
      </c>
      <c r="AT363" t="str">
        <f ca="1">IF(AND(ISNUMBER($AT$1028),$B$677=1),$AT$1028,HLOOKUP(INDIRECT(ADDRESS(2,COLUMN())),OFFSET($BN$2,0,0,ROW()-1,60),ROW()-1,FALSE))</f>
        <v/>
      </c>
      <c r="AU363" t="str">
        <f ca="1">IF(AND(ISNUMBER($AU$1028),$B$677=1),$AU$1028,HLOOKUP(INDIRECT(ADDRESS(2,COLUMN())),OFFSET($BN$2,0,0,ROW()-1,60),ROW()-1,FALSE))</f>
        <v/>
      </c>
      <c r="AV363" t="str">
        <f ca="1">IF(AND(ISNUMBER($AV$1028),$B$677=1),$AV$1028,HLOOKUP(INDIRECT(ADDRESS(2,COLUMN())),OFFSET($BN$2,0,0,ROW()-1,60),ROW()-1,FALSE))</f>
        <v/>
      </c>
      <c r="AW363" t="str">
        <f ca="1">IF(AND(ISNUMBER($AW$1028),$B$677=1),$AW$1028,HLOOKUP(INDIRECT(ADDRESS(2,COLUMN())),OFFSET($BN$2,0,0,ROW()-1,60),ROW()-1,FALSE))</f>
        <v/>
      </c>
      <c r="AX363" t="str">
        <f ca="1">IF(AND(ISNUMBER($AX$1028),$B$677=1),$AX$1028,HLOOKUP(INDIRECT(ADDRESS(2,COLUMN())),OFFSET($BN$2,0,0,ROW()-1,60),ROW()-1,FALSE))</f>
        <v/>
      </c>
      <c r="AY363" t="str">
        <f ca="1">IF(AND(ISNUMBER($AY$1028),$B$677=1),$AY$1028,HLOOKUP(INDIRECT(ADDRESS(2,COLUMN())),OFFSET($BN$2,0,0,ROW()-1,60),ROW()-1,FALSE))</f>
        <v/>
      </c>
      <c r="AZ363" t="str">
        <f ca="1">IF(AND(ISNUMBER($AZ$1028),$B$677=1),$AZ$1028,HLOOKUP(INDIRECT(ADDRESS(2,COLUMN())),OFFSET($BN$2,0,0,ROW()-1,60),ROW()-1,FALSE))</f>
        <v/>
      </c>
      <c r="BA363" t="str">
        <f ca="1">IF(AND(ISNUMBER($BA$1028),$B$677=1),$BA$1028,HLOOKUP(INDIRECT(ADDRESS(2,COLUMN())),OFFSET($BN$2,0,0,ROW()-1,60),ROW()-1,FALSE))</f>
        <v/>
      </c>
      <c r="BB363" t="str">
        <f ca="1">IF(AND(ISNUMBER($BB$1028),$B$677=1),$BB$1028,HLOOKUP(INDIRECT(ADDRESS(2,COLUMN())),OFFSET($BN$2,0,0,ROW()-1,60),ROW()-1,FALSE))</f>
        <v/>
      </c>
      <c r="BC363" t="str">
        <f ca="1">IF(AND(ISNUMBER($BC$1028),$B$677=1),$BC$1028,HLOOKUP(INDIRECT(ADDRESS(2,COLUMN())),OFFSET($BN$2,0,0,ROW()-1,60),ROW()-1,FALSE))</f>
        <v/>
      </c>
      <c r="BD363" t="str">
        <f ca="1">IF(AND(ISNUMBER($BD$1028),$B$677=1),$BD$1028,HLOOKUP(INDIRECT(ADDRESS(2,COLUMN())),OFFSET($BN$2,0,0,ROW()-1,60),ROW()-1,FALSE))</f>
        <v/>
      </c>
      <c r="BE363" t="str">
        <f ca="1">IF(AND(ISNUMBER($BE$1028),$B$677=1),$BE$1028,HLOOKUP(INDIRECT(ADDRESS(2,COLUMN())),OFFSET($BN$2,0,0,ROW()-1,60),ROW()-1,FALSE))</f>
        <v/>
      </c>
      <c r="BF363" t="str">
        <f ca="1">IF(AND(ISNUMBER($BF$1028),$B$677=1),$BF$1028,HLOOKUP(INDIRECT(ADDRESS(2,COLUMN())),OFFSET($BN$2,0,0,ROW()-1,60),ROW()-1,FALSE))</f>
        <v/>
      </c>
      <c r="BG363" t="str">
        <f ca="1">IF(AND(ISNUMBER($BG$1028),$B$677=1),$BG$1028,HLOOKUP(INDIRECT(ADDRESS(2,COLUMN())),OFFSET($BN$2,0,0,ROW()-1,60),ROW()-1,FALSE))</f>
        <v/>
      </c>
      <c r="BH363" t="str">
        <f ca="1">IF(AND(ISNUMBER($BH$1028),$B$677=1),$BH$1028,HLOOKUP(INDIRECT(ADDRESS(2,COLUMN())),OFFSET($BN$2,0,0,ROW()-1,60),ROW()-1,FALSE))</f>
        <v/>
      </c>
      <c r="BI363" t="str">
        <f ca="1">IF(AND(ISNUMBER($BI$1028),$B$677=1),$BI$1028,HLOOKUP(INDIRECT(ADDRESS(2,COLUMN())),OFFSET($BN$2,0,0,ROW()-1,60),ROW()-1,FALSE))</f>
        <v/>
      </c>
      <c r="BJ363" t="str">
        <f ca="1">IF(AND(ISNUMBER($BJ$1028),$B$677=1),$BJ$1028,HLOOKUP(INDIRECT(ADDRESS(2,COLUMN())),OFFSET($BN$2,0,0,ROW()-1,60),ROW()-1,FALSE))</f>
        <v/>
      </c>
      <c r="BK363" t="str">
        <f ca="1">IF(AND(ISNUMBER($BK$1028),$B$677=1),$BK$1028,HLOOKUP(INDIRECT(ADDRESS(2,COLUMN())),OFFSET($BN$2,0,0,ROW()-1,60),ROW()-1,FALSE))</f>
        <v/>
      </c>
      <c r="BL363" t="str">
        <f ca="1">IF(AND(ISNUMBER($BL$1028),$B$677=1),$BL$1028,HLOOKUP(INDIRECT(ADDRESS(2,COLUMN())),OFFSET($BN$2,0,0,ROW()-1,60),ROW()-1,FALSE))</f>
        <v/>
      </c>
      <c r="BM363" t="str">
        <f ca="1">IF(AND(ISNUMBER($BM$1028),$B$677=1),$BM$1028,HLOOKUP(INDIRECT(ADDRESS(2,COLUMN())),OFFSET($BN$2,0,0,ROW()-1,60),ROW()-1,FALSE))</f>
        <v/>
      </c>
      <c r="BN363" t="str">
        <f>""</f>
        <v/>
      </c>
      <c r="BO363" t="str">
        <f>""</f>
        <v/>
      </c>
      <c r="BP363" t="str">
        <f>""</f>
        <v/>
      </c>
      <c r="BQ363" t="str">
        <f>""</f>
        <v/>
      </c>
      <c r="BR363" t="str">
        <f>""</f>
        <v/>
      </c>
      <c r="BS363" t="str">
        <f>""</f>
        <v/>
      </c>
      <c r="BT363" t="str">
        <f>""</f>
        <v/>
      </c>
      <c r="BU363" t="str">
        <f>""</f>
        <v/>
      </c>
      <c r="BV363" t="str">
        <f>""</f>
        <v/>
      </c>
      <c r="BW363" t="str">
        <f>""</f>
        <v/>
      </c>
      <c r="BX363" t="str">
        <f>""</f>
        <v/>
      </c>
      <c r="BY363" t="str">
        <f>""</f>
        <v/>
      </c>
      <c r="BZ363" t="str">
        <f>""</f>
        <v/>
      </c>
      <c r="CA363" t="str">
        <f>""</f>
        <v/>
      </c>
      <c r="CB363" t="str">
        <f>""</f>
        <v/>
      </c>
      <c r="CC363" t="str">
        <f>""</f>
        <v/>
      </c>
      <c r="CD363" t="str">
        <f>""</f>
        <v/>
      </c>
      <c r="CE363" t="str">
        <f>""</f>
        <v/>
      </c>
      <c r="CF363" t="str">
        <f>""</f>
        <v/>
      </c>
      <c r="CG363" t="str">
        <f>""</f>
        <v/>
      </c>
      <c r="CH363" t="str">
        <f>""</f>
        <v/>
      </c>
      <c r="CI363" t="str">
        <f>""</f>
        <v/>
      </c>
      <c r="CJ363" t="str">
        <f>""</f>
        <v/>
      </c>
      <c r="CK363" t="str">
        <f>""</f>
        <v/>
      </c>
      <c r="CL363" t="str">
        <f>""</f>
        <v/>
      </c>
      <c r="CM363" t="str">
        <f>""</f>
        <v/>
      </c>
      <c r="CN363" t="str">
        <f>""</f>
        <v/>
      </c>
      <c r="CO363" t="str">
        <f>""</f>
        <v/>
      </c>
      <c r="CP363" t="str">
        <f>""</f>
        <v/>
      </c>
      <c r="CQ363" t="str">
        <f>""</f>
        <v/>
      </c>
      <c r="CR363" t="str">
        <f>""</f>
        <v/>
      </c>
      <c r="CS363" t="str">
        <f>""</f>
        <v/>
      </c>
      <c r="CT363" t="str">
        <f>""</f>
        <v/>
      </c>
      <c r="CU363" t="str">
        <f>""</f>
        <v/>
      </c>
      <c r="CV363" t="str">
        <f>""</f>
        <v/>
      </c>
      <c r="CW363" t="str">
        <f>""</f>
        <v/>
      </c>
      <c r="CX363" t="str">
        <f>""</f>
        <v/>
      </c>
      <c r="CY363" t="str">
        <f>""</f>
        <v/>
      </c>
      <c r="CZ363" t="str">
        <f>""</f>
        <v/>
      </c>
      <c r="DA363" t="str">
        <f>""</f>
        <v/>
      </c>
      <c r="DB363" t="str">
        <f>""</f>
        <v/>
      </c>
      <c r="DC363" t="str">
        <f>""</f>
        <v/>
      </c>
      <c r="DD363" t="str">
        <f>""</f>
        <v/>
      </c>
      <c r="DE363" t="str">
        <f>""</f>
        <v/>
      </c>
      <c r="DF363" t="str">
        <f>""</f>
        <v/>
      </c>
      <c r="DG363" t="str">
        <f>""</f>
        <v/>
      </c>
      <c r="DH363" t="str">
        <f>""</f>
        <v/>
      </c>
      <c r="DI363" t="str">
        <f>""</f>
        <v/>
      </c>
      <c r="DJ363" t="str">
        <f>""</f>
        <v/>
      </c>
      <c r="DK363" t="str">
        <f>""</f>
        <v/>
      </c>
      <c r="DL363" t="str">
        <f>""</f>
        <v/>
      </c>
      <c r="DM363" t="str">
        <f>""</f>
        <v/>
      </c>
      <c r="DN363" t="str">
        <f>""</f>
        <v/>
      </c>
      <c r="DO363" t="str">
        <f>""</f>
        <v/>
      </c>
      <c r="DP363" t="str">
        <f>""</f>
        <v/>
      </c>
      <c r="DQ363" t="str">
        <f>""</f>
        <v/>
      </c>
      <c r="DR363" t="str">
        <f>""</f>
        <v/>
      </c>
      <c r="DS363" t="str">
        <f>""</f>
        <v/>
      </c>
      <c r="DT363" t="str">
        <f>""</f>
        <v/>
      </c>
      <c r="DU363" t="str">
        <f>""</f>
        <v/>
      </c>
    </row>
    <row r="364" spans="1:125" x14ac:dyDescent="0.25">
      <c r="A364" t="str">
        <f>"    Ssangyong Motor Co"</f>
        <v xml:space="preserve">    Ssangyong Motor Co</v>
      </c>
      <c r="B364" t="str">
        <f>"003620 KS Equity"</f>
        <v>003620 KS Equity</v>
      </c>
      <c r="C364" t="str">
        <f t="shared" si="24"/>
        <v>RR473</v>
      </c>
      <c r="D364" t="str">
        <f t="shared" si="25"/>
        <v>EV_TO_T12M_SALES</v>
      </c>
      <c r="E364" t="str">
        <f t="shared" si="26"/>
        <v>Dynamic</v>
      </c>
      <c r="F364" t="str">
        <f ca="1">IF(AND(ISNUMBER($F$1029),$B$677=1),$F$1029,HLOOKUP(INDIRECT(ADDRESS(2,COLUMN())),OFFSET($BN$2,0,0,ROW()-1,60),ROW()-1,FALSE))</f>
        <v/>
      </c>
      <c r="G364" t="str">
        <f ca="1">IF(AND(ISNUMBER($G$1029),$B$677=1),$G$1029,HLOOKUP(INDIRECT(ADDRESS(2,COLUMN())),OFFSET($BN$2,0,0,ROW()-1,60),ROW()-1,FALSE))</f>
        <v/>
      </c>
      <c r="H364">
        <f ca="1">IF(AND(ISNUMBER($H$1029),$B$677=1),$H$1029,HLOOKUP(INDIRECT(ADDRESS(2,COLUMN())),OFFSET($BN$2,0,0,ROW()-1,60),ROW()-1,FALSE))</f>
        <v>0.19317769000000001</v>
      </c>
      <c r="I364">
        <f ca="1">IF(AND(ISNUMBER($I$1029),$B$677=1),$I$1029,HLOOKUP(INDIRECT(ADDRESS(2,COLUMN())),OFFSET($BN$2,0,0,ROW()-1,60),ROW()-1,FALSE))</f>
        <v>0.211375219</v>
      </c>
      <c r="J364">
        <f ca="1">IF(AND(ISNUMBER($J$1029),$B$677=1),$J$1029,HLOOKUP(INDIRECT(ADDRESS(2,COLUMN())),OFFSET($BN$2,0,0,ROW()-1,60),ROW()-1,FALSE))</f>
        <v>0.20424931599999999</v>
      </c>
      <c r="K364">
        <f ca="1">IF(AND(ISNUMBER($K$1029),$B$677=1),$K$1029,HLOOKUP(INDIRECT(ADDRESS(2,COLUMN())),OFFSET($BN$2,0,0,ROW()-1,60),ROW()-1,FALSE))</f>
        <v>0.20771498399999999</v>
      </c>
      <c r="L364">
        <f ca="1">IF(AND(ISNUMBER($L$1029),$B$677=1),$L$1029,HLOOKUP(INDIRECT(ADDRESS(2,COLUMN())),OFFSET($BN$2,0,0,ROW()-1,60),ROW()-1,FALSE))</f>
        <v>0.23439109399999999</v>
      </c>
      <c r="M364">
        <f ca="1">IF(AND(ISNUMBER($M$1029),$B$677=1),$M$1029,HLOOKUP(INDIRECT(ADDRESS(2,COLUMN())),OFFSET($BN$2,0,0,ROW()-1,60),ROW()-1,FALSE))</f>
        <v>0.26939122100000001</v>
      </c>
      <c r="N364">
        <f ca="1">IF(AND(ISNUMBER($N$1029),$B$677=1),$N$1029,HLOOKUP(INDIRECT(ADDRESS(2,COLUMN())),OFFSET($BN$2,0,0,ROW()-1,60),ROW()-1,FALSE))</f>
        <v>0.30833547700000002</v>
      </c>
      <c r="O364">
        <f ca="1">IF(AND(ISNUMBER($O$1029),$B$677=1),$O$1029,HLOOKUP(INDIRECT(ADDRESS(2,COLUMN())),OFFSET($BN$2,0,0,ROW()-1,60),ROW()-1,FALSE))</f>
        <v>0.28626763399999999</v>
      </c>
      <c r="P364">
        <f ca="1">IF(AND(ISNUMBER($P$1029),$B$677=1),$P$1029,HLOOKUP(INDIRECT(ADDRESS(2,COLUMN())),OFFSET($BN$2,0,0,ROW()-1,60),ROW()-1,FALSE))</f>
        <v>0.329743811</v>
      </c>
      <c r="Q364">
        <f ca="1">IF(AND(ISNUMBER($Q$1029),$B$677=1),$Q$1029,HLOOKUP(INDIRECT(ADDRESS(2,COLUMN())),OFFSET($BN$2,0,0,ROW()-1,60),ROW()-1,FALSE))</f>
        <v>0.27793961</v>
      </c>
      <c r="R364">
        <f ca="1">IF(AND(ISNUMBER($R$1029),$B$677=1),$R$1029,HLOOKUP(INDIRECT(ADDRESS(2,COLUMN())),OFFSET($BN$2,0,0,ROW()-1,60),ROW()-1,FALSE))</f>
        <v>0.36745050699999998</v>
      </c>
      <c r="S364">
        <f ca="1">IF(AND(ISNUMBER($S$1029),$B$677=1),$S$1029,HLOOKUP(INDIRECT(ADDRESS(2,COLUMN())),OFFSET($BN$2,0,0,ROW()-1,60),ROW()-1,FALSE))</f>
        <v>0.31158645200000001</v>
      </c>
      <c r="T364">
        <f ca="1">IF(AND(ISNUMBER($T$1029),$B$677=1),$T$1029,HLOOKUP(INDIRECT(ADDRESS(2,COLUMN())),OFFSET($BN$2,0,0,ROW()-1,60),ROW()-1,FALSE))</f>
        <v>0.40613348199999999</v>
      </c>
      <c r="U364">
        <f ca="1">IF(AND(ISNUMBER($U$1029),$B$677=1),$U$1029,HLOOKUP(INDIRECT(ADDRESS(2,COLUMN())),OFFSET($BN$2,0,0,ROW()-1,60),ROW()-1,FALSE))</f>
        <v>0.39727641699999999</v>
      </c>
      <c r="V364">
        <f ca="1">IF(AND(ISNUMBER($V$1029),$B$677=1),$V$1029,HLOOKUP(INDIRECT(ADDRESS(2,COLUMN())),OFFSET($BN$2,0,0,ROW()-1,60),ROW()-1,FALSE))</f>
        <v>0.37769963499999998</v>
      </c>
      <c r="W364">
        <f ca="1">IF(AND(ISNUMBER($W$1029),$B$677=1),$W$1029,HLOOKUP(INDIRECT(ADDRESS(2,COLUMN())),OFFSET($BN$2,0,0,ROW()-1,60),ROW()-1,FALSE))</f>
        <v>0.37228303099999999</v>
      </c>
      <c r="X364">
        <f ca="1">IF(AND(ISNUMBER($X$1029),$B$677=1),$X$1029,HLOOKUP(INDIRECT(ADDRESS(2,COLUMN())),OFFSET($BN$2,0,0,ROW()-1,60),ROW()-1,FALSE))</f>
        <v>0.26017075499999998</v>
      </c>
      <c r="Y364">
        <f ca="1">IF(AND(ISNUMBER($Y$1029),$B$677=1),$Y$1029,HLOOKUP(INDIRECT(ADDRESS(2,COLUMN())),OFFSET($BN$2,0,0,ROW()-1,60),ROW()-1,FALSE))</f>
        <v>0.30833711899999999</v>
      </c>
      <c r="Z364">
        <f ca="1">IF(AND(ISNUMBER($Z$1029),$B$677=1),$Z$1029,HLOOKUP(INDIRECT(ADDRESS(2,COLUMN())),OFFSET($BN$2,0,0,ROW()-1,60),ROW()-1,FALSE))</f>
        <v>0.27967054099999999</v>
      </c>
      <c r="AA364">
        <f ca="1">IF(AND(ISNUMBER($AA$1029),$B$677=1),$AA$1029,HLOOKUP(INDIRECT(ADDRESS(2,COLUMN())),OFFSET($BN$2,0,0,ROW()-1,60),ROW()-1,FALSE))</f>
        <v>0.23422209899999999</v>
      </c>
      <c r="AB364">
        <f ca="1">IF(AND(ISNUMBER($AB$1029),$B$677=1),$AB$1029,HLOOKUP(INDIRECT(ADDRESS(2,COLUMN())),OFFSET($BN$2,0,0,ROW()-1,60),ROW()-1,FALSE))</f>
        <v>0.32103275799999997</v>
      </c>
      <c r="AC364">
        <f ca="1">IF(AND(ISNUMBER($AC$1029),$B$677=1),$AC$1029,HLOOKUP(INDIRECT(ADDRESS(2,COLUMN())),OFFSET($BN$2,0,0,ROW()-1,60),ROW()-1,FALSE))</f>
        <v>0.2839701</v>
      </c>
      <c r="AD364">
        <f ca="1">IF(AND(ISNUMBER($AD$1029),$B$677=1),$AD$1029,HLOOKUP(INDIRECT(ADDRESS(2,COLUMN())),OFFSET($BN$2,0,0,ROW()-1,60),ROW()-1,FALSE))</f>
        <v>0.19344009400000001</v>
      </c>
      <c r="AE364">
        <f ca="1">IF(AND(ISNUMBER($AE$1029),$B$677=1),$AE$1029,HLOOKUP(INDIRECT(ADDRESS(2,COLUMN())),OFFSET($BN$2,0,0,ROW()-1,60),ROW()-1,FALSE))</f>
        <v>0.19941250499999999</v>
      </c>
      <c r="AF364" t="str">
        <f ca="1">IF(AND(ISNUMBER($AF$1029),$B$677=1),$AF$1029,HLOOKUP(INDIRECT(ADDRESS(2,COLUMN())),OFFSET($BN$2,0,0,ROW()-1,60),ROW()-1,FALSE))</f>
        <v/>
      </c>
      <c r="AG364" t="str">
        <f ca="1">IF(AND(ISNUMBER($AG$1029),$B$677=1),$AG$1029,HLOOKUP(INDIRECT(ADDRESS(2,COLUMN())),OFFSET($BN$2,0,0,ROW()-1,60),ROW()-1,FALSE))</f>
        <v/>
      </c>
      <c r="AH364" t="str">
        <f ca="1">IF(AND(ISNUMBER($AH$1029),$B$677=1),$AH$1029,HLOOKUP(INDIRECT(ADDRESS(2,COLUMN())),OFFSET($BN$2,0,0,ROW()-1,60),ROW()-1,FALSE))</f>
        <v/>
      </c>
      <c r="AI364" t="str">
        <f ca="1">IF(AND(ISNUMBER($AI$1029),$B$677=1),$AI$1029,HLOOKUP(INDIRECT(ADDRESS(2,COLUMN())),OFFSET($BN$2,0,0,ROW()-1,60),ROW()-1,FALSE))</f>
        <v/>
      </c>
      <c r="AJ364" t="str">
        <f ca="1">IF(AND(ISNUMBER($AJ$1029),$B$677=1),$AJ$1029,HLOOKUP(INDIRECT(ADDRESS(2,COLUMN())),OFFSET($BN$2,0,0,ROW()-1,60),ROW()-1,FALSE))</f>
        <v/>
      </c>
      <c r="AK364" t="str">
        <f ca="1">IF(AND(ISNUMBER($AK$1029),$B$677=1),$AK$1029,HLOOKUP(INDIRECT(ADDRESS(2,COLUMN())),OFFSET($BN$2,0,0,ROW()-1,60),ROW()-1,FALSE))</f>
        <v/>
      </c>
      <c r="AL364" t="str">
        <f ca="1">IF(AND(ISNUMBER($AL$1029),$B$677=1),$AL$1029,HLOOKUP(INDIRECT(ADDRESS(2,COLUMN())),OFFSET($BN$2,0,0,ROW()-1,60),ROW()-1,FALSE))</f>
        <v/>
      </c>
      <c r="AM364" t="str">
        <f ca="1">IF(AND(ISNUMBER($AM$1029),$B$677=1),$AM$1029,HLOOKUP(INDIRECT(ADDRESS(2,COLUMN())),OFFSET($BN$2,0,0,ROW()-1,60),ROW()-1,FALSE))</f>
        <v/>
      </c>
      <c r="AN364" t="str">
        <f ca="1">IF(AND(ISNUMBER($AN$1029),$B$677=1),$AN$1029,HLOOKUP(INDIRECT(ADDRESS(2,COLUMN())),OFFSET($BN$2,0,0,ROW()-1,60),ROW()-1,FALSE))</f>
        <v/>
      </c>
      <c r="AO364" t="str">
        <f ca="1">IF(AND(ISNUMBER($AO$1029),$B$677=1),$AO$1029,HLOOKUP(INDIRECT(ADDRESS(2,COLUMN())),OFFSET($BN$2,0,0,ROW()-1,60),ROW()-1,FALSE))</f>
        <v/>
      </c>
      <c r="AP364" t="str">
        <f ca="1">IF(AND(ISNUMBER($AP$1029),$B$677=1),$AP$1029,HLOOKUP(INDIRECT(ADDRESS(2,COLUMN())),OFFSET($BN$2,0,0,ROW()-1,60),ROW()-1,FALSE))</f>
        <v/>
      </c>
      <c r="AQ364" t="str">
        <f ca="1">IF(AND(ISNUMBER($AQ$1029),$B$677=1),$AQ$1029,HLOOKUP(INDIRECT(ADDRESS(2,COLUMN())),OFFSET($BN$2,0,0,ROW()-1,60),ROW()-1,FALSE))</f>
        <v/>
      </c>
      <c r="AR364" t="str">
        <f ca="1">IF(AND(ISNUMBER($AR$1029),$B$677=1),$AR$1029,HLOOKUP(INDIRECT(ADDRESS(2,COLUMN())),OFFSET($BN$2,0,0,ROW()-1,60),ROW()-1,FALSE))</f>
        <v/>
      </c>
      <c r="AS364" t="str">
        <f ca="1">IF(AND(ISNUMBER($AS$1029),$B$677=1),$AS$1029,HLOOKUP(INDIRECT(ADDRESS(2,COLUMN())),OFFSET($BN$2,0,0,ROW()-1,60),ROW()-1,FALSE))</f>
        <v/>
      </c>
      <c r="AT364" t="str">
        <f ca="1">IF(AND(ISNUMBER($AT$1029),$B$677=1),$AT$1029,HLOOKUP(INDIRECT(ADDRESS(2,COLUMN())),OFFSET($BN$2,0,0,ROW()-1,60),ROW()-1,FALSE))</f>
        <v/>
      </c>
      <c r="AU364" t="str">
        <f ca="1">IF(AND(ISNUMBER($AU$1029),$B$677=1),$AU$1029,HLOOKUP(INDIRECT(ADDRESS(2,COLUMN())),OFFSET($BN$2,0,0,ROW()-1,60),ROW()-1,FALSE))</f>
        <v/>
      </c>
      <c r="AV364" t="str">
        <f ca="1">IF(AND(ISNUMBER($AV$1029),$B$677=1),$AV$1029,HLOOKUP(INDIRECT(ADDRESS(2,COLUMN())),OFFSET($BN$2,0,0,ROW()-1,60),ROW()-1,FALSE))</f>
        <v/>
      </c>
      <c r="AW364" t="str">
        <f ca="1">IF(AND(ISNUMBER($AW$1029),$B$677=1),$AW$1029,HLOOKUP(INDIRECT(ADDRESS(2,COLUMN())),OFFSET($BN$2,0,0,ROW()-1,60),ROW()-1,FALSE))</f>
        <v/>
      </c>
      <c r="AX364" t="str">
        <f ca="1">IF(AND(ISNUMBER($AX$1029),$B$677=1),$AX$1029,HLOOKUP(INDIRECT(ADDRESS(2,COLUMN())),OFFSET($BN$2,0,0,ROW()-1,60),ROW()-1,FALSE))</f>
        <v/>
      </c>
      <c r="AY364" t="str">
        <f ca="1">IF(AND(ISNUMBER($AY$1029),$B$677=1),$AY$1029,HLOOKUP(INDIRECT(ADDRESS(2,COLUMN())),OFFSET($BN$2,0,0,ROW()-1,60),ROW()-1,FALSE))</f>
        <v/>
      </c>
      <c r="AZ364" t="str">
        <f ca="1">IF(AND(ISNUMBER($AZ$1029),$B$677=1),$AZ$1029,HLOOKUP(INDIRECT(ADDRESS(2,COLUMN())),OFFSET($BN$2,0,0,ROW()-1,60),ROW()-1,FALSE))</f>
        <v/>
      </c>
      <c r="BA364" t="str">
        <f ca="1">IF(AND(ISNUMBER($BA$1029),$B$677=1),$BA$1029,HLOOKUP(INDIRECT(ADDRESS(2,COLUMN())),OFFSET($BN$2,0,0,ROW()-1,60),ROW()-1,FALSE))</f>
        <v/>
      </c>
      <c r="BB364" t="str">
        <f ca="1">IF(AND(ISNUMBER($BB$1029),$B$677=1),$BB$1029,HLOOKUP(INDIRECT(ADDRESS(2,COLUMN())),OFFSET($BN$2,0,0,ROW()-1,60),ROW()-1,FALSE))</f>
        <v/>
      </c>
      <c r="BC364" t="str">
        <f ca="1">IF(AND(ISNUMBER($BC$1029),$B$677=1),$BC$1029,HLOOKUP(INDIRECT(ADDRESS(2,COLUMN())),OFFSET($BN$2,0,0,ROW()-1,60),ROW()-1,FALSE))</f>
        <v/>
      </c>
      <c r="BD364" t="str">
        <f ca="1">IF(AND(ISNUMBER($BD$1029),$B$677=1),$BD$1029,HLOOKUP(INDIRECT(ADDRESS(2,COLUMN())),OFFSET($BN$2,0,0,ROW()-1,60),ROW()-1,FALSE))</f>
        <v/>
      </c>
      <c r="BE364" t="str">
        <f ca="1">IF(AND(ISNUMBER($BE$1029),$B$677=1),$BE$1029,HLOOKUP(INDIRECT(ADDRESS(2,COLUMN())),OFFSET($BN$2,0,0,ROW()-1,60),ROW()-1,FALSE))</f>
        <v/>
      </c>
      <c r="BF364" t="str">
        <f ca="1">IF(AND(ISNUMBER($BF$1029),$B$677=1),$BF$1029,HLOOKUP(INDIRECT(ADDRESS(2,COLUMN())),OFFSET($BN$2,0,0,ROW()-1,60),ROW()-1,FALSE))</f>
        <v/>
      </c>
      <c r="BG364" t="str">
        <f ca="1">IF(AND(ISNUMBER($BG$1029),$B$677=1),$BG$1029,HLOOKUP(INDIRECT(ADDRESS(2,COLUMN())),OFFSET($BN$2,0,0,ROW()-1,60),ROW()-1,FALSE))</f>
        <v/>
      </c>
      <c r="BH364" t="str">
        <f ca="1">IF(AND(ISNUMBER($BH$1029),$B$677=1),$BH$1029,HLOOKUP(INDIRECT(ADDRESS(2,COLUMN())),OFFSET($BN$2,0,0,ROW()-1,60),ROW()-1,FALSE))</f>
        <v/>
      </c>
      <c r="BI364" t="str">
        <f ca="1">IF(AND(ISNUMBER($BI$1029),$B$677=1),$BI$1029,HLOOKUP(INDIRECT(ADDRESS(2,COLUMN())),OFFSET($BN$2,0,0,ROW()-1,60),ROW()-1,FALSE))</f>
        <v/>
      </c>
      <c r="BJ364" t="str">
        <f ca="1">IF(AND(ISNUMBER($BJ$1029),$B$677=1),$BJ$1029,HLOOKUP(INDIRECT(ADDRESS(2,COLUMN())),OFFSET($BN$2,0,0,ROW()-1,60),ROW()-1,FALSE))</f>
        <v/>
      </c>
      <c r="BK364" t="str">
        <f ca="1">IF(AND(ISNUMBER($BK$1029),$B$677=1),$BK$1029,HLOOKUP(INDIRECT(ADDRESS(2,COLUMN())),OFFSET($BN$2,0,0,ROW()-1,60),ROW()-1,FALSE))</f>
        <v/>
      </c>
      <c r="BL364" t="str">
        <f ca="1">IF(AND(ISNUMBER($BL$1029),$B$677=1),$BL$1029,HLOOKUP(INDIRECT(ADDRESS(2,COLUMN())),OFFSET($BN$2,0,0,ROW()-1,60),ROW()-1,FALSE))</f>
        <v/>
      </c>
      <c r="BM364" t="str">
        <f ca="1">IF(AND(ISNUMBER($BM$1029),$B$677=1),$BM$1029,HLOOKUP(INDIRECT(ADDRESS(2,COLUMN())),OFFSET($BN$2,0,0,ROW()-1,60),ROW()-1,FALSE))</f>
        <v/>
      </c>
      <c r="BN364" t="str">
        <f>""</f>
        <v/>
      </c>
      <c r="BO364" t="str">
        <f>""</f>
        <v/>
      </c>
      <c r="BP364">
        <f>0.19317769</f>
        <v>0.19317769000000001</v>
      </c>
      <c r="BQ364">
        <f>0.211375219</f>
        <v>0.211375219</v>
      </c>
      <c r="BR364">
        <f>0.204249316</f>
        <v>0.20424931599999999</v>
      </c>
      <c r="BS364">
        <f>0.207714984</f>
        <v>0.20771498399999999</v>
      </c>
      <c r="BT364">
        <f>0.234391094</f>
        <v>0.23439109399999999</v>
      </c>
      <c r="BU364">
        <f>0.269391221</f>
        <v>0.26939122100000001</v>
      </c>
      <c r="BV364">
        <f>0.308335477</f>
        <v>0.30833547700000002</v>
      </c>
      <c r="BW364">
        <f>0.286267634</f>
        <v>0.28626763399999999</v>
      </c>
      <c r="BX364">
        <f>0.329743811</f>
        <v>0.329743811</v>
      </c>
      <c r="BY364">
        <f>0.27793961</f>
        <v>0.27793961</v>
      </c>
      <c r="BZ364">
        <f>0.367450507</f>
        <v>0.36745050699999998</v>
      </c>
      <c r="CA364">
        <f>0.311586452</f>
        <v>0.31158645200000001</v>
      </c>
      <c r="CB364">
        <f>0.406133482</f>
        <v>0.40613348199999999</v>
      </c>
      <c r="CC364">
        <f>0.397276417</f>
        <v>0.39727641699999999</v>
      </c>
      <c r="CD364">
        <f>0.377699635</f>
        <v>0.37769963499999998</v>
      </c>
      <c r="CE364">
        <f>0.372283031</f>
        <v>0.37228303099999999</v>
      </c>
      <c r="CF364">
        <f>0.260170755</f>
        <v>0.26017075499999998</v>
      </c>
      <c r="CG364">
        <f>0.308337119</f>
        <v>0.30833711899999999</v>
      </c>
      <c r="CH364">
        <f>0.279670541</f>
        <v>0.27967054099999999</v>
      </c>
      <c r="CI364">
        <f>0.234222099</f>
        <v>0.23422209899999999</v>
      </c>
      <c r="CJ364">
        <f>0.321032758</f>
        <v>0.32103275799999997</v>
      </c>
      <c r="CK364">
        <f>0.2839701</f>
        <v>0.2839701</v>
      </c>
      <c r="CL364">
        <f>0.193440094</f>
        <v>0.19344009400000001</v>
      </c>
      <c r="CM364">
        <f>0.199412505</f>
        <v>0.19941250499999999</v>
      </c>
      <c r="CN364" t="str">
        <f>""</f>
        <v/>
      </c>
      <c r="CO364" t="str">
        <f>""</f>
        <v/>
      </c>
      <c r="CP364" t="str">
        <f>""</f>
        <v/>
      </c>
      <c r="CQ364" t="str">
        <f>""</f>
        <v/>
      </c>
      <c r="CR364" t="str">
        <f>""</f>
        <v/>
      </c>
      <c r="CS364" t="str">
        <f>""</f>
        <v/>
      </c>
      <c r="CT364" t="str">
        <f>""</f>
        <v/>
      </c>
      <c r="CU364" t="str">
        <f>""</f>
        <v/>
      </c>
      <c r="CV364" t="str">
        <f>""</f>
        <v/>
      </c>
      <c r="CW364" t="str">
        <f>""</f>
        <v/>
      </c>
      <c r="CX364" t="str">
        <f>""</f>
        <v/>
      </c>
      <c r="CY364" t="str">
        <f>""</f>
        <v/>
      </c>
      <c r="CZ364" t="str">
        <f>""</f>
        <v/>
      </c>
      <c r="DA364" t="str">
        <f>""</f>
        <v/>
      </c>
      <c r="DB364" t="str">
        <f>""</f>
        <v/>
      </c>
      <c r="DC364" t="str">
        <f>""</f>
        <v/>
      </c>
      <c r="DD364" t="str">
        <f>""</f>
        <v/>
      </c>
      <c r="DE364" t="str">
        <f>""</f>
        <v/>
      </c>
      <c r="DF364" t="str">
        <f>""</f>
        <v/>
      </c>
      <c r="DG364" t="str">
        <f>""</f>
        <v/>
      </c>
      <c r="DH364" t="str">
        <f>""</f>
        <v/>
      </c>
      <c r="DI364" t="str">
        <f>""</f>
        <v/>
      </c>
      <c r="DJ364" t="str">
        <f>""</f>
        <v/>
      </c>
      <c r="DK364" t="str">
        <f>""</f>
        <v/>
      </c>
      <c r="DL364" t="str">
        <f>""</f>
        <v/>
      </c>
      <c r="DM364" t="str">
        <f>""</f>
        <v/>
      </c>
      <c r="DN364" t="str">
        <f>""</f>
        <v/>
      </c>
      <c r="DO364" t="str">
        <f>""</f>
        <v/>
      </c>
      <c r="DP364" t="str">
        <f>""</f>
        <v/>
      </c>
      <c r="DQ364" t="str">
        <f>""</f>
        <v/>
      </c>
      <c r="DR364" t="str">
        <f>""</f>
        <v/>
      </c>
      <c r="DS364" t="str">
        <f>""</f>
        <v/>
      </c>
      <c r="DT364" t="str">
        <f>""</f>
        <v/>
      </c>
      <c r="DU364" t="str">
        <f>""</f>
        <v/>
      </c>
    </row>
    <row r="365" spans="1:125" x14ac:dyDescent="0.25">
      <c r="A365" t="str">
        <f>"    Subaru Corp"</f>
        <v xml:space="preserve">    Subaru Corp</v>
      </c>
      <c r="B365" t="str">
        <f>"7270 JP Equity"</f>
        <v>7270 JP Equity</v>
      </c>
      <c r="C365" t="str">
        <f t="shared" si="24"/>
        <v>RR473</v>
      </c>
      <c r="D365" t="str">
        <f t="shared" si="25"/>
        <v>EV_TO_T12M_SALES</v>
      </c>
      <c r="E365" t="str">
        <f t="shared" si="26"/>
        <v>Dynamic</v>
      </c>
      <c r="F365" t="str">
        <f ca="1">IF(AND(ISNUMBER($F$1030),$B$677=1),$F$1030,HLOOKUP(INDIRECT(ADDRESS(2,COLUMN())),OFFSET($BN$2,0,0,ROW()-1,60),ROW()-1,FALSE))</f>
        <v/>
      </c>
      <c r="G365">
        <f ca="1">IF(AND(ISNUMBER($G$1030),$B$677=1),$G$1030,HLOOKUP(INDIRECT(ADDRESS(2,COLUMN())),OFFSET($BN$2,0,0,ROW()-1,60),ROW()-1,FALSE))</f>
        <v>0.30947307099999999</v>
      </c>
      <c r="H365">
        <f ca="1">IF(AND(ISNUMBER($H$1030),$B$677=1),$H$1030,HLOOKUP(INDIRECT(ADDRESS(2,COLUMN())),OFFSET($BN$2,0,0,ROW()-1,60),ROW()-1,FALSE))</f>
        <v>0.55966955399999996</v>
      </c>
      <c r="I365">
        <f ca="1">IF(AND(ISNUMBER($I$1030),$B$677=1),$I$1030,HLOOKUP(INDIRECT(ADDRESS(2,COLUMN())),OFFSET($BN$2,0,0,ROW()-1,60),ROW()-1,FALSE))</f>
        <v>0.489299494</v>
      </c>
      <c r="J365">
        <f ca="1">IF(AND(ISNUMBER($J$1030),$B$677=1),$J$1030,HLOOKUP(INDIRECT(ADDRESS(2,COLUMN())),OFFSET($BN$2,0,0,ROW()-1,60),ROW()-1,FALSE))</f>
        <v>0.51843951600000004</v>
      </c>
      <c r="K365">
        <f ca="1">IF(AND(ISNUMBER($K$1030),$B$677=1),$K$1030,HLOOKUP(INDIRECT(ADDRESS(2,COLUMN())),OFFSET($BN$2,0,0,ROW()-1,60),ROW()-1,FALSE))</f>
        <v>0.54383025100000004</v>
      </c>
      <c r="L365">
        <f ca="1">IF(AND(ISNUMBER($L$1030),$B$677=1),$L$1030,HLOOKUP(INDIRECT(ADDRESS(2,COLUMN())),OFFSET($BN$2,0,0,ROW()-1,60),ROW()-1,FALSE))</f>
        <v>0.64408752499999999</v>
      </c>
      <c r="M365">
        <f ca="1">IF(AND(ISNUMBER($M$1030),$B$677=1),$M$1030,HLOOKUP(INDIRECT(ADDRESS(2,COLUMN())),OFFSET($BN$2,0,0,ROW()-1,60),ROW()-1,FALSE))</f>
        <v>0.59281153900000005</v>
      </c>
      <c r="N365">
        <f ca="1">IF(AND(ISNUMBER($N$1030),$B$677=1),$N$1030,HLOOKUP(INDIRECT(ADDRESS(2,COLUMN())),OFFSET($BN$2,0,0,ROW()-1,60),ROW()-1,FALSE))</f>
        <v>0.69497609699999996</v>
      </c>
      <c r="O365">
        <f ca="1">IF(AND(ISNUMBER($O$1030),$B$677=1),$O$1030,HLOOKUP(INDIRECT(ADDRESS(2,COLUMN())),OFFSET($BN$2,0,0,ROW()-1,60),ROW()-1,FALSE))</f>
        <v>0.89626797499999999</v>
      </c>
      <c r="P365">
        <f ca="1">IF(AND(ISNUMBER($P$1030),$B$677=1),$P$1030,HLOOKUP(INDIRECT(ADDRESS(2,COLUMN())),OFFSET($BN$2,0,0,ROW()-1,60),ROW()-1,FALSE))</f>
        <v>0.64176009700000003</v>
      </c>
      <c r="Q365">
        <f ca="1">IF(AND(ISNUMBER($Q$1030),$B$677=1),$Q$1030,HLOOKUP(INDIRECT(ADDRESS(2,COLUMN())),OFFSET($BN$2,0,0,ROW()-1,60),ROW()-1,FALSE))</f>
        <v>0.59970550700000003</v>
      </c>
      <c r="R365">
        <f ca="1">IF(AND(ISNUMBER($R$1030),$B$677=1),$R$1030,HLOOKUP(INDIRECT(ADDRESS(2,COLUMN())),OFFSET($BN$2,0,0,ROW()-1,60),ROW()-1,FALSE))</f>
        <v>0.70378866699999998</v>
      </c>
      <c r="S365">
        <f ca="1">IF(AND(ISNUMBER($S$1030),$B$677=1),$S$1030,HLOOKUP(INDIRECT(ADDRESS(2,COLUMN())),OFFSET($BN$2,0,0,ROW()-1,60),ROW()-1,FALSE))</f>
        <v>0.99563641599999997</v>
      </c>
      <c r="T365">
        <f ca="1">IF(AND(ISNUMBER($T$1030),$B$677=1),$T$1030,HLOOKUP(INDIRECT(ADDRESS(2,COLUMN())),OFFSET($BN$2,0,0,ROW()-1,60),ROW()-1,FALSE))</f>
        <v>0.85061777400000005</v>
      </c>
      <c r="U365">
        <f ca="1">IF(AND(ISNUMBER($U$1030),$B$677=1),$U$1030,HLOOKUP(INDIRECT(ADDRESS(2,COLUMN())),OFFSET($BN$2,0,0,ROW()-1,60),ROW()-1,FALSE))</f>
        <v>0.98180136399999995</v>
      </c>
      <c r="V365">
        <f ca="1">IF(AND(ISNUMBER($V$1030),$B$677=1),$V$1030,HLOOKUP(INDIRECT(ADDRESS(2,COLUMN())),OFFSET($BN$2,0,0,ROW()-1,60),ROW()-1,FALSE))</f>
        <v>0.92767104600000005</v>
      </c>
      <c r="W365">
        <f ca="1">IF(AND(ISNUMBER($W$1030),$B$677=1),$W$1030,HLOOKUP(INDIRECT(ADDRESS(2,COLUMN())),OFFSET($BN$2,0,0,ROW()-1,60),ROW()-1,FALSE))</f>
        <v>1.0811225659999999</v>
      </c>
      <c r="X365">
        <f ca="1">IF(AND(ISNUMBER($X$1030),$B$677=1),$X$1030,HLOOKUP(INDIRECT(ADDRESS(2,COLUMN())),OFFSET($BN$2,0,0,ROW()-1,60),ROW()-1,FALSE))</f>
        <v>0.94891485499999995</v>
      </c>
      <c r="Y365">
        <f ca="1">IF(AND(ISNUMBER($Y$1030),$B$677=1),$Y$1030,HLOOKUP(INDIRECT(ADDRESS(2,COLUMN())),OFFSET($BN$2,0,0,ROW()-1,60),ROW()-1,FALSE))</f>
        <v>0.78316849300000002</v>
      </c>
      <c r="Z365">
        <f ca="1">IF(AND(ISNUMBER($Z$1030),$B$677=1),$Z$1030,HLOOKUP(INDIRECT(ADDRESS(2,COLUMN())),OFFSET($BN$2,0,0,ROW()-1,60),ROW()-1,FALSE))</f>
        <v>0.77787788599999996</v>
      </c>
      <c r="AA365">
        <f ca="1">IF(AND(ISNUMBER($AA$1030),$B$677=1),$AA$1030,HLOOKUP(INDIRECT(ADDRESS(2,COLUMN())),OFFSET($BN$2,0,0,ROW()-1,60),ROW()-1,FALSE))</f>
        <v>0.93677095300000002</v>
      </c>
      <c r="AB365">
        <f ca="1">IF(AND(ISNUMBER($AB$1030),$B$677=1),$AB$1030,HLOOKUP(INDIRECT(ADDRESS(2,COLUMN())),OFFSET($BN$2,0,0,ROW()-1,60),ROW()-1,FALSE))</f>
        <v>0.91501622400000004</v>
      </c>
      <c r="AC365">
        <f ca="1">IF(AND(ISNUMBER($AC$1030),$B$677=1),$AC$1030,HLOOKUP(INDIRECT(ADDRESS(2,COLUMN())),OFFSET($BN$2,0,0,ROW()-1,60),ROW()-1,FALSE))</f>
        <v>0.89443750600000005</v>
      </c>
      <c r="AD365">
        <f ca="1">IF(AND(ISNUMBER($AD$1030),$B$677=1),$AD$1030,HLOOKUP(INDIRECT(ADDRESS(2,COLUMN())),OFFSET($BN$2,0,0,ROW()-1,60),ROW()-1,FALSE))</f>
        <v>0.57623506000000002</v>
      </c>
      <c r="AE365">
        <f ca="1">IF(AND(ISNUMBER($AE$1030),$B$677=1),$AE$1030,HLOOKUP(INDIRECT(ADDRESS(2,COLUMN())),OFFSET($BN$2,0,0,ROW()-1,60),ROW()-1,FALSE))</f>
        <v>0.452825437</v>
      </c>
      <c r="AF365">
        <f ca="1">IF(AND(ISNUMBER($AF$1030),$B$677=1),$AF$1030,HLOOKUP(INDIRECT(ADDRESS(2,COLUMN())),OFFSET($BN$2,0,0,ROW()-1,60),ROW()-1,FALSE))</f>
        <v>0.28433668899999998</v>
      </c>
      <c r="AG365">
        <f ca="1">IF(AND(ISNUMBER($AG$1030),$B$677=1),$AG$1030,HLOOKUP(INDIRECT(ADDRESS(2,COLUMN())),OFFSET($BN$2,0,0,ROW()-1,60),ROW()-1,FALSE))</f>
        <v>0.32962022699999999</v>
      </c>
      <c r="AH365">
        <f ca="1">IF(AND(ISNUMBER($AH$1030),$B$677=1),$AH$1030,HLOOKUP(INDIRECT(ADDRESS(2,COLUMN())),OFFSET($BN$2,0,0,ROW()-1,60),ROW()-1,FALSE))</f>
        <v>0.39390828900000002</v>
      </c>
      <c r="AI365">
        <f ca="1">IF(AND(ISNUMBER($AI$1030),$B$677=1),$AI$1030,HLOOKUP(INDIRECT(ADDRESS(2,COLUMN())),OFFSET($BN$2,0,0,ROW()-1,60),ROW()-1,FALSE))</f>
        <v>0.33306608900000001</v>
      </c>
      <c r="AJ365">
        <f ca="1">IF(AND(ISNUMBER($AJ$1030),$B$677=1),$AJ$1030,HLOOKUP(INDIRECT(ADDRESS(2,COLUMN())),OFFSET($BN$2,0,0,ROW()-1,60),ROW()-1,FALSE))</f>
        <v>0.32648697199999999</v>
      </c>
      <c r="AK365">
        <f ca="1">IF(AND(ISNUMBER($AK$1030),$B$677=1),$AK$1030,HLOOKUP(INDIRECT(ADDRESS(2,COLUMN())),OFFSET($BN$2,0,0,ROW()-1,60),ROW()-1,FALSE))</f>
        <v>0.38519768900000001</v>
      </c>
      <c r="AL365">
        <f ca="1">IF(AND(ISNUMBER($AL$1030),$B$677=1),$AL$1030,HLOOKUP(INDIRECT(ADDRESS(2,COLUMN())),OFFSET($BN$2,0,0,ROW()-1,60),ROW()-1,FALSE))</f>
        <v>0.33037018800000001</v>
      </c>
      <c r="AM365">
        <f ca="1">IF(AND(ISNUMBER($AM$1030),$B$677=1),$AM$1030,HLOOKUP(INDIRECT(ADDRESS(2,COLUMN())),OFFSET($BN$2,0,0,ROW()-1,60),ROW()-1,FALSE))</f>
        <v>0.41058756600000001</v>
      </c>
      <c r="AN365">
        <f ca="1">IF(AND(ISNUMBER($AN$1030),$B$677=1),$AN$1030,HLOOKUP(INDIRECT(ADDRESS(2,COLUMN())),OFFSET($BN$2,0,0,ROW()-1,60),ROW()-1,FALSE))</f>
        <v>0.34314742500000001</v>
      </c>
      <c r="AO365">
        <f ca="1">IF(AND(ISNUMBER($AO$1030),$B$677=1),$AO$1030,HLOOKUP(INDIRECT(ADDRESS(2,COLUMN())),OFFSET($BN$2,0,0,ROW()-1,60),ROW()-1,FALSE))</f>
        <v>0.354353325</v>
      </c>
      <c r="AP365">
        <f ca="1">IF(AND(ISNUMBER($AP$1030),$B$677=1),$AP$1030,HLOOKUP(INDIRECT(ADDRESS(2,COLUMN())),OFFSET($BN$2,0,0,ROW()-1,60),ROW()-1,FALSE))</f>
        <v>0.39938969299999999</v>
      </c>
      <c r="AQ365">
        <f ca="1">IF(AND(ISNUMBER($AQ$1030),$B$677=1),$AQ$1030,HLOOKUP(INDIRECT(ADDRESS(2,COLUMN())),OFFSET($BN$2,0,0,ROW()-1,60),ROW()-1,FALSE))</f>
        <v>0.43353341000000001</v>
      </c>
      <c r="AR365">
        <f ca="1">IF(AND(ISNUMBER($AR$1030),$B$677=1),$AR$1030,HLOOKUP(INDIRECT(ADDRESS(2,COLUMN())),OFFSET($BN$2,0,0,ROW()-1,60),ROW()-1,FALSE))</f>
        <v>0.37324096899999998</v>
      </c>
      <c r="AS365">
        <f ca="1">IF(AND(ISNUMBER($AS$1030),$B$677=1),$AS$1030,HLOOKUP(INDIRECT(ADDRESS(2,COLUMN())),OFFSET($BN$2,0,0,ROW()-1,60),ROW()-1,FALSE))</f>
        <v>0.42154050700000001</v>
      </c>
      <c r="AT365">
        <f ca="1">IF(AND(ISNUMBER($AT$1030),$B$677=1),$AT$1030,HLOOKUP(INDIRECT(ADDRESS(2,COLUMN())),OFFSET($BN$2,0,0,ROW()-1,60),ROW()-1,FALSE))</f>
        <v>0.37951725200000003</v>
      </c>
      <c r="AU365">
        <f ca="1">IF(AND(ISNUMBER($AU$1030),$B$677=1),$AU$1030,HLOOKUP(INDIRECT(ADDRESS(2,COLUMN())),OFFSET($BN$2,0,0,ROW()-1,60),ROW()-1,FALSE))</f>
        <v>0.25827156400000001</v>
      </c>
      <c r="AV365">
        <f ca="1">IF(AND(ISNUMBER($AV$1030),$B$677=1),$AV$1030,HLOOKUP(INDIRECT(ADDRESS(2,COLUMN())),OFFSET($BN$2,0,0,ROW()-1,60),ROW()-1,FALSE))</f>
        <v>0.37105763600000002</v>
      </c>
      <c r="AW365">
        <f ca="1">IF(AND(ISNUMBER($AW$1030),$B$677=1),$AW$1030,HLOOKUP(INDIRECT(ADDRESS(2,COLUMN())),OFFSET($BN$2,0,0,ROW()-1,60),ROW()-1,FALSE))</f>
        <v>0.37896576300000001</v>
      </c>
      <c r="AX365">
        <f ca="1">IF(AND(ISNUMBER($AX$1030),$B$677=1),$AX$1030,HLOOKUP(INDIRECT(ADDRESS(2,COLUMN())),OFFSET($BN$2,0,0,ROW()-1,60),ROW()-1,FALSE))</f>
        <v>0.32131657899999999</v>
      </c>
      <c r="AY365">
        <f ca="1">IF(AND(ISNUMBER($AY$1030),$B$677=1),$AY$1030,HLOOKUP(INDIRECT(ADDRESS(2,COLUMN())),OFFSET($BN$2,0,0,ROW()-1,60),ROW()-1,FALSE))</f>
        <v>0.41604244099999999</v>
      </c>
      <c r="AZ365">
        <f ca="1">IF(AND(ISNUMBER($AZ$1030),$B$677=1),$AZ$1030,HLOOKUP(INDIRECT(ADDRESS(2,COLUMN())),OFFSET($BN$2,0,0,ROW()-1,60),ROW()-1,FALSE))</f>
        <v>0.403431013</v>
      </c>
      <c r="BA365">
        <f ca="1">IF(AND(ISNUMBER($BA$1030),$B$677=1),$BA$1030,HLOOKUP(INDIRECT(ADDRESS(2,COLUMN())),OFFSET($BN$2,0,0,ROW()-1,60),ROW()-1,FALSE))</f>
        <v>0.479581217</v>
      </c>
      <c r="BB365">
        <f ca="1">IF(AND(ISNUMBER($BB$1030),$B$677=1),$BB$1030,HLOOKUP(INDIRECT(ADDRESS(2,COLUMN())),OFFSET($BN$2,0,0,ROW()-1,60),ROW()-1,FALSE))</f>
        <v>0.46874285599999999</v>
      </c>
      <c r="BC365">
        <f ca="1">IF(AND(ISNUMBER($BC$1030),$B$677=1),$BC$1030,HLOOKUP(INDIRECT(ADDRESS(2,COLUMN())),OFFSET($BN$2,0,0,ROW()-1,60),ROW()-1,FALSE))</f>
        <v>0.49844718900000001</v>
      </c>
      <c r="BD365">
        <f ca="1">IF(AND(ISNUMBER($BD$1030),$B$677=1),$BD$1030,HLOOKUP(INDIRECT(ADDRESS(2,COLUMN())),OFFSET($BN$2,0,0,ROW()-1,60),ROW()-1,FALSE))</f>
        <v>0.51135257000000001</v>
      </c>
      <c r="BE365">
        <f ca="1">IF(AND(ISNUMBER($BE$1030),$B$677=1),$BE$1030,HLOOKUP(INDIRECT(ADDRESS(2,COLUMN())),OFFSET($BN$2,0,0,ROW()-1,60),ROW()-1,FALSE))</f>
        <v>0.51422938299999998</v>
      </c>
      <c r="BF365">
        <f ca="1">IF(AND(ISNUMBER($BF$1030),$B$677=1),$BF$1030,HLOOKUP(INDIRECT(ADDRESS(2,COLUMN())),OFFSET($BN$2,0,0,ROW()-1,60),ROW()-1,FALSE))</f>
        <v>0.52108464700000001</v>
      </c>
      <c r="BG365">
        <f ca="1">IF(AND(ISNUMBER($BG$1030),$B$677=1),$BG$1030,HLOOKUP(INDIRECT(ADDRESS(2,COLUMN())),OFFSET($BN$2,0,0,ROW()-1,60),ROW()-1,FALSE))</f>
        <v>0.535372026</v>
      </c>
      <c r="BH365">
        <f ca="1">IF(AND(ISNUMBER($BH$1030),$B$677=1),$BH$1030,HLOOKUP(INDIRECT(ADDRESS(2,COLUMN())),OFFSET($BN$2,0,0,ROW()-1,60),ROW()-1,FALSE))</f>
        <v>0.46846063900000001</v>
      </c>
      <c r="BI365">
        <f ca="1">IF(AND(ISNUMBER($BI$1030),$B$677=1),$BI$1030,HLOOKUP(INDIRECT(ADDRESS(2,COLUMN())),OFFSET($BN$2,0,0,ROW()-1,60),ROW()-1,FALSE))</f>
        <v>0.42256610300000003</v>
      </c>
      <c r="BJ365">
        <f ca="1">IF(AND(ISNUMBER($BJ$1030),$B$677=1),$BJ$1030,HLOOKUP(INDIRECT(ADDRESS(2,COLUMN())),OFFSET($BN$2,0,0,ROW()-1,60),ROW()-1,FALSE))</f>
        <v>0.48131443400000001</v>
      </c>
      <c r="BK365" t="str">
        <f ca="1">IF(AND(ISNUMBER($BK$1030),$B$677=1),$BK$1030,HLOOKUP(INDIRECT(ADDRESS(2,COLUMN())),OFFSET($BN$2,0,0,ROW()-1,60),ROW()-1,FALSE))</f>
        <v/>
      </c>
      <c r="BL365">
        <f ca="1">IF(AND(ISNUMBER($BL$1030),$B$677=1),$BL$1030,HLOOKUP(INDIRECT(ADDRESS(2,COLUMN())),OFFSET($BN$2,0,0,ROW()-1,60),ROW()-1,FALSE))</f>
        <v>0.46459826100000001</v>
      </c>
      <c r="BM365" t="str">
        <f ca="1">IF(AND(ISNUMBER($BM$1030),$B$677=1),$BM$1030,HLOOKUP(INDIRECT(ADDRESS(2,COLUMN())),OFFSET($BN$2,0,0,ROW()-1,60),ROW()-1,FALSE))</f>
        <v/>
      </c>
      <c r="BN365" t="str">
        <f>""</f>
        <v/>
      </c>
      <c r="BO365">
        <f>0.309473071</f>
        <v>0.30947307099999999</v>
      </c>
      <c r="BP365">
        <f>0.559669554</f>
        <v>0.55966955399999996</v>
      </c>
      <c r="BQ365">
        <f>0.489299494</f>
        <v>0.489299494</v>
      </c>
      <c r="BR365">
        <f>0.518439516</f>
        <v>0.51843951600000004</v>
      </c>
      <c r="BS365">
        <f>0.543830251</f>
        <v>0.54383025100000004</v>
      </c>
      <c r="BT365">
        <f>0.644087525</f>
        <v>0.64408752499999999</v>
      </c>
      <c r="BU365">
        <f>0.592811539</f>
        <v>0.59281153900000005</v>
      </c>
      <c r="BV365">
        <f>0.694976097</f>
        <v>0.69497609699999996</v>
      </c>
      <c r="BW365">
        <f>0.896267975</f>
        <v>0.89626797499999999</v>
      </c>
      <c r="BX365">
        <f>0.641760097</f>
        <v>0.64176009700000003</v>
      </c>
      <c r="BY365">
        <f>0.599705507</f>
        <v>0.59970550700000003</v>
      </c>
      <c r="BZ365">
        <f>0.703788667</f>
        <v>0.70378866699999998</v>
      </c>
      <c r="CA365">
        <f>0.995636416</f>
        <v>0.99563641599999997</v>
      </c>
      <c r="CB365">
        <f>0.850617774</f>
        <v>0.85061777400000005</v>
      </c>
      <c r="CC365">
        <f>0.981801364</f>
        <v>0.98180136399999995</v>
      </c>
      <c r="CD365">
        <f>0.927671046</f>
        <v>0.92767104600000005</v>
      </c>
      <c r="CE365">
        <f>1.081122566</f>
        <v>1.0811225659999999</v>
      </c>
      <c r="CF365">
        <f>0.948914855</f>
        <v>0.94891485499999995</v>
      </c>
      <c r="CG365">
        <f>0.783168493</f>
        <v>0.78316849300000002</v>
      </c>
      <c r="CH365">
        <f>0.777877886</f>
        <v>0.77787788599999996</v>
      </c>
      <c r="CI365">
        <f>0.936770953</f>
        <v>0.93677095300000002</v>
      </c>
      <c r="CJ365">
        <f>0.915016224</f>
        <v>0.91501622400000004</v>
      </c>
      <c r="CK365">
        <f>0.894437506</f>
        <v>0.89443750600000005</v>
      </c>
      <c r="CL365">
        <f>0.57623506</f>
        <v>0.57623506000000002</v>
      </c>
      <c r="CM365">
        <f>0.452825437</f>
        <v>0.452825437</v>
      </c>
      <c r="CN365">
        <f>0.284336689</f>
        <v>0.28433668899999998</v>
      </c>
      <c r="CO365">
        <f>0.329620227</f>
        <v>0.32962022699999999</v>
      </c>
      <c r="CP365">
        <f>0.393908289</f>
        <v>0.39390828900000002</v>
      </c>
      <c r="CQ365">
        <f>0.333066089</f>
        <v>0.33306608900000001</v>
      </c>
      <c r="CR365">
        <f>0.326486972</f>
        <v>0.32648697199999999</v>
      </c>
      <c r="CS365">
        <f>0.385197689</f>
        <v>0.38519768900000001</v>
      </c>
      <c r="CT365">
        <f>0.330370188</f>
        <v>0.33037018800000001</v>
      </c>
      <c r="CU365">
        <f>0.410587566</f>
        <v>0.41058756600000001</v>
      </c>
      <c r="CV365">
        <f>0.343147425</f>
        <v>0.34314742500000001</v>
      </c>
      <c r="CW365">
        <f>0.354353325</f>
        <v>0.354353325</v>
      </c>
      <c r="CX365">
        <f>0.399389693</f>
        <v>0.39938969299999999</v>
      </c>
      <c r="CY365">
        <f>0.43353341</f>
        <v>0.43353341000000001</v>
      </c>
      <c r="CZ365">
        <f>0.373240969</f>
        <v>0.37324096899999998</v>
      </c>
      <c r="DA365">
        <f>0.421540507</f>
        <v>0.42154050700000001</v>
      </c>
      <c r="DB365">
        <f>0.379517252</f>
        <v>0.37951725200000003</v>
      </c>
      <c r="DC365">
        <f>0.258271564</f>
        <v>0.25827156400000001</v>
      </c>
      <c r="DD365">
        <f>0.371057636</f>
        <v>0.37105763600000002</v>
      </c>
      <c r="DE365">
        <f>0.378965763</f>
        <v>0.37896576300000001</v>
      </c>
      <c r="DF365">
        <f>0.321316579</f>
        <v>0.32131657899999999</v>
      </c>
      <c r="DG365">
        <f>0.416042441</f>
        <v>0.41604244099999999</v>
      </c>
      <c r="DH365">
        <f>0.403431013</f>
        <v>0.403431013</v>
      </c>
      <c r="DI365">
        <f>0.479581217</f>
        <v>0.479581217</v>
      </c>
      <c r="DJ365">
        <f>0.468742856</f>
        <v>0.46874285599999999</v>
      </c>
      <c r="DK365">
        <f>0.498447189</f>
        <v>0.49844718900000001</v>
      </c>
      <c r="DL365">
        <f>0.51135257</f>
        <v>0.51135257000000001</v>
      </c>
      <c r="DM365">
        <f>0.514229383</f>
        <v>0.51422938299999998</v>
      </c>
      <c r="DN365">
        <f>0.521084647</f>
        <v>0.52108464700000001</v>
      </c>
      <c r="DO365">
        <f>0.535372026</f>
        <v>0.535372026</v>
      </c>
      <c r="DP365">
        <f>0.468460639</f>
        <v>0.46846063900000001</v>
      </c>
      <c r="DQ365">
        <f>0.422566103</f>
        <v>0.42256610300000003</v>
      </c>
      <c r="DR365">
        <f>0.481314434</f>
        <v>0.48131443400000001</v>
      </c>
      <c r="DS365" t="str">
        <f>""</f>
        <v/>
      </c>
      <c r="DT365">
        <f>0.464598261</f>
        <v>0.46459826100000001</v>
      </c>
      <c r="DU365" t="str">
        <f>""</f>
        <v/>
      </c>
    </row>
    <row r="366" spans="1:125" x14ac:dyDescent="0.25">
      <c r="A366" t="str">
        <f>"    Suzuki Motor Corp"</f>
        <v xml:space="preserve">    Suzuki Motor Corp</v>
      </c>
      <c r="B366" t="str">
        <f>"7269 JP Equity"</f>
        <v>7269 JP Equity</v>
      </c>
      <c r="C366" t="str">
        <f t="shared" si="24"/>
        <v>RR473</v>
      </c>
      <c r="D366" t="str">
        <f t="shared" si="25"/>
        <v>EV_TO_T12M_SALES</v>
      </c>
      <c r="E366" t="str">
        <f t="shared" si="26"/>
        <v>Dynamic</v>
      </c>
      <c r="F366" t="str">
        <f ca="1">IF(AND(ISNUMBER($F$1031),$B$677=1),$F$1031,HLOOKUP(INDIRECT(ADDRESS(2,COLUMN())),OFFSET($BN$2,0,0,ROW()-1,60),ROW()-1,FALSE))</f>
        <v/>
      </c>
      <c r="G366">
        <f ca="1">IF(AND(ISNUMBER($G$1031),$B$677=1),$G$1031,HLOOKUP(INDIRECT(ADDRESS(2,COLUMN())),OFFSET($BN$2,0,0,ROW()-1,60),ROW()-1,FALSE))</f>
        <v>0.67797431699999999</v>
      </c>
      <c r="H366">
        <f ca="1">IF(AND(ISNUMBER($H$1031),$B$677=1),$H$1031,HLOOKUP(INDIRECT(ADDRESS(2,COLUMN())),OFFSET($BN$2,0,0,ROW()-1,60),ROW()-1,FALSE))</f>
        <v>0.76078848200000004</v>
      </c>
      <c r="I366">
        <f ca="1">IF(AND(ISNUMBER($I$1031),$B$677=1),$I$1031,HLOOKUP(INDIRECT(ADDRESS(2,COLUMN())),OFFSET($BN$2,0,0,ROW()-1,60),ROW()-1,FALSE))</f>
        <v>0.68999811499999997</v>
      </c>
      <c r="J366">
        <f ca="1">IF(AND(ISNUMBER($J$1031),$B$677=1),$J$1031,HLOOKUP(INDIRECT(ADDRESS(2,COLUMN())),OFFSET($BN$2,0,0,ROW()-1,60),ROW()-1,FALSE))</f>
        <v>0.65813476500000001</v>
      </c>
      <c r="K366">
        <f ca="1">IF(AND(ISNUMBER($K$1031),$B$677=1),$K$1031,HLOOKUP(INDIRECT(ADDRESS(2,COLUMN())),OFFSET($BN$2,0,0,ROW()-1,60),ROW()-1,FALSE))</f>
        <v>0.772414147</v>
      </c>
      <c r="L366">
        <f ca="1">IF(AND(ISNUMBER($L$1031),$B$677=1),$L$1031,HLOOKUP(INDIRECT(ADDRESS(2,COLUMN())),OFFSET($BN$2,0,0,ROW()-1,60),ROW()-1,FALSE))</f>
        <v>0.70348679199999997</v>
      </c>
      <c r="M366">
        <f ca="1">IF(AND(ISNUMBER($M$1031),$B$677=1),$M$1031,HLOOKUP(INDIRECT(ADDRESS(2,COLUMN())),OFFSET($BN$2,0,0,ROW()-1,60),ROW()-1,FALSE))</f>
        <v>0.68736210499999995</v>
      </c>
      <c r="N366">
        <f ca="1">IF(AND(ISNUMBER($N$1031),$B$677=1),$N$1031,HLOOKUP(INDIRECT(ADDRESS(2,COLUMN())),OFFSET($BN$2,0,0,ROW()-1,60),ROW()-1,FALSE))</f>
        <v>0.607684047</v>
      </c>
      <c r="O366">
        <f ca="1">IF(AND(ISNUMBER($O$1031),$B$677=1),$O$1031,HLOOKUP(INDIRECT(ADDRESS(2,COLUMN())),OFFSET($BN$2,0,0,ROW()-1,60),ROW()-1,FALSE))</f>
        <v>0.56712847300000002</v>
      </c>
      <c r="P366">
        <f ca="1">IF(AND(ISNUMBER($P$1031),$B$677=1),$P$1031,HLOOKUP(INDIRECT(ADDRESS(2,COLUMN())),OFFSET($BN$2,0,0,ROW()-1,60),ROW()-1,FALSE))</f>
        <v>0.426097748</v>
      </c>
      <c r="Q366">
        <f ca="1">IF(AND(ISNUMBER($Q$1031),$B$677=1),$Q$1031,HLOOKUP(INDIRECT(ADDRESS(2,COLUMN())),OFFSET($BN$2,0,0,ROW()-1,60),ROW()-1,FALSE))</f>
        <v>0.36050639600000001</v>
      </c>
      <c r="R366">
        <f ca="1">IF(AND(ISNUMBER($R$1031),$B$677=1),$R$1031,HLOOKUP(INDIRECT(ADDRESS(2,COLUMN())),OFFSET($BN$2,0,0,ROW()-1,60),ROW()-1,FALSE))</f>
        <v>0.41586211299999998</v>
      </c>
      <c r="S366">
        <f ca="1">IF(AND(ISNUMBER($S$1031),$B$677=1),$S$1031,HLOOKUP(INDIRECT(ADDRESS(2,COLUMN())),OFFSET($BN$2,0,0,ROW()-1,60),ROW()-1,FALSE))</f>
        <v>0.51339016199999998</v>
      </c>
      <c r="T366">
        <f ca="1">IF(AND(ISNUMBER($T$1031),$B$677=1),$T$1031,HLOOKUP(INDIRECT(ADDRESS(2,COLUMN())),OFFSET($BN$2,0,0,ROW()-1,60),ROW()-1,FALSE))</f>
        <v>0.54797556400000003</v>
      </c>
      <c r="U366">
        <f ca="1">IF(AND(ISNUMBER($U$1031),$B$677=1),$U$1031,HLOOKUP(INDIRECT(ADDRESS(2,COLUMN())),OFFSET($BN$2,0,0,ROW()-1,60),ROW()-1,FALSE))</f>
        <v>0.63599036799999997</v>
      </c>
      <c r="V366">
        <f ca="1">IF(AND(ISNUMBER($V$1031),$B$677=1),$V$1031,HLOOKUP(INDIRECT(ADDRESS(2,COLUMN())),OFFSET($BN$2,0,0,ROW()-1,60),ROW()-1,FALSE))</f>
        <v>0.55411168200000005</v>
      </c>
      <c r="W366">
        <f ca="1">IF(AND(ISNUMBER($W$1031),$B$677=1),$W$1031,HLOOKUP(INDIRECT(ADDRESS(2,COLUMN())),OFFSET($BN$2,0,0,ROW()-1,60),ROW()-1,FALSE))</f>
        <v>0.57781275899999995</v>
      </c>
      <c r="X366">
        <f ca="1">IF(AND(ISNUMBER($X$1031),$B$677=1),$X$1031,HLOOKUP(INDIRECT(ADDRESS(2,COLUMN())),OFFSET($BN$2,0,0,ROW()-1,60),ROW()-1,FALSE))</f>
        <v>0.56425001100000005</v>
      </c>
      <c r="Y366">
        <f ca="1">IF(AND(ISNUMBER($Y$1031),$B$677=1),$Y$1031,HLOOKUP(INDIRECT(ADDRESS(2,COLUMN())),OFFSET($BN$2,0,0,ROW()-1,60),ROW()-1,FALSE))</f>
        <v>0.48499840999999999</v>
      </c>
      <c r="Z366">
        <f ca="1">IF(AND(ISNUMBER($Z$1031),$B$677=1),$Z$1031,HLOOKUP(INDIRECT(ADDRESS(2,COLUMN())),OFFSET($BN$2,0,0,ROW()-1,60),ROW()-1,FALSE))</f>
        <v>0.39699415900000001</v>
      </c>
      <c r="AA366">
        <f ca="1">IF(AND(ISNUMBER($AA$1031),$B$677=1),$AA$1031,HLOOKUP(INDIRECT(ADDRESS(2,COLUMN())),OFFSET($BN$2,0,0,ROW()-1,60),ROW()-1,FALSE))</f>
        <v>0.45655259799999998</v>
      </c>
      <c r="AB366">
        <f ca="1">IF(AND(ISNUMBER($AB$1031),$B$677=1),$AB$1031,HLOOKUP(INDIRECT(ADDRESS(2,COLUMN())),OFFSET($BN$2,0,0,ROW()-1,60),ROW()-1,FALSE))</f>
        <v>0.36660683900000002</v>
      </c>
      <c r="AC366">
        <f ca="1">IF(AND(ISNUMBER($AC$1031),$B$677=1),$AC$1031,HLOOKUP(INDIRECT(ADDRESS(2,COLUMN())),OFFSET($BN$2,0,0,ROW()-1,60),ROW()-1,FALSE))</f>
        <v>0.38299436399999998</v>
      </c>
      <c r="AD366">
        <f ca="1">IF(AND(ISNUMBER($AD$1031),$B$677=1),$AD$1031,HLOOKUP(INDIRECT(ADDRESS(2,COLUMN())),OFFSET($BN$2,0,0,ROW()-1,60),ROW()-1,FALSE))</f>
        <v>0.36354308000000002</v>
      </c>
      <c r="AE366">
        <f ca="1">IF(AND(ISNUMBER($AE$1031),$B$677=1),$AE$1031,HLOOKUP(INDIRECT(ADDRESS(2,COLUMN())),OFFSET($BN$2,0,0,ROW()-1,60),ROW()-1,FALSE))</f>
        <v>0.40857326900000002</v>
      </c>
      <c r="AF366">
        <f ca="1">IF(AND(ISNUMBER($AF$1031),$B$677=1),$AF$1031,HLOOKUP(INDIRECT(ADDRESS(2,COLUMN())),OFFSET($BN$2,0,0,ROW()-1,60),ROW()-1,FALSE))</f>
        <v>0.225036872</v>
      </c>
      <c r="AG366">
        <f ca="1">IF(AND(ISNUMBER($AG$1031),$B$677=1),$AG$1031,HLOOKUP(INDIRECT(ADDRESS(2,COLUMN())),OFFSET($BN$2,0,0,ROW()-1,60),ROW()-1,FALSE))</f>
        <v>0.238509468</v>
      </c>
      <c r="AH366">
        <f ca="1">IF(AND(ISNUMBER($AH$1031),$B$677=1),$AH$1031,HLOOKUP(INDIRECT(ADDRESS(2,COLUMN())),OFFSET($BN$2,0,0,ROW()-1,60),ROW()-1,FALSE))</f>
        <v>0.33838294200000002</v>
      </c>
      <c r="AI366">
        <f ca="1">IF(AND(ISNUMBER($AI$1031),$B$677=1),$AI$1031,HLOOKUP(INDIRECT(ADDRESS(2,COLUMN())),OFFSET($BN$2,0,0,ROW()-1,60),ROW()-1,FALSE))</f>
        <v>0.26292336799999999</v>
      </c>
      <c r="AJ366">
        <f ca="1">IF(AND(ISNUMBER($AJ$1031),$B$677=1),$AJ$1031,HLOOKUP(INDIRECT(ADDRESS(2,COLUMN())),OFFSET($BN$2,0,0,ROW()-1,60),ROW()-1,FALSE))</f>
        <v>0.285384321</v>
      </c>
      <c r="AK366">
        <f ca="1">IF(AND(ISNUMBER($AK$1031),$B$677=1),$AK$1031,HLOOKUP(INDIRECT(ADDRESS(2,COLUMN())),OFFSET($BN$2,0,0,ROW()-1,60),ROW()-1,FALSE))</f>
        <v>0.33436954200000002</v>
      </c>
      <c r="AL366">
        <f ca="1">IF(AND(ISNUMBER($AL$1031),$B$677=1),$AL$1031,HLOOKUP(INDIRECT(ADDRESS(2,COLUMN())),OFFSET($BN$2,0,0,ROW()-1,60),ROW()-1,FALSE))</f>
        <v>0.35646341300000001</v>
      </c>
      <c r="AM366">
        <f ca="1">IF(AND(ISNUMBER($AM$1031),$B$677=1),$AM$1031,HLOOKUP(INDIRECT(ADDRESS(2,COLUMN())),OFFSET($BN$2,0,0,ROW()-1,60),ROW()-1,FALSE))</f>
        <v>0.39765319500000001</v>
      </c>
      <c r="AN366">
        <f ca="1">IF(AND(ISNUMBER($AN$1031),$B$677=1),$AN$1031,HLOOKUP(INDIRECT(ADDRESS(2,COLUMN())),OFFSET($BN$2,0,0,ROW()-1,60),ROW()-1,FALSE))</f>
        <v>0.31554146300000002</v>
      </c>
      <c r="AO366">
        <f ca="1">IF(AND(ISNUMBER($AO$1031),$B$677=1),$AO$1031,HLOOKUP(INDIRECT(ADDRESS(2,COLUMN())),OFFSET($BN$2,0,0,ROW()-1,60),ROW()-1,FALSE))</f>
        <v>0.33044694299999999</v>
      </c>
      <c r="AP366">
        <f ca="1">IF(AND(ISNUMBER($AP$1031),$B$677=1),$AP$1031,HLOOKUP(INDIRECT(ADDRESS(2,COLUMN())),OFFSET($BN$2,0,0,ROW()-1,60),ROW()-1,FALSE))</f>
        <v>0.443430251</v>
      </c>
      <c r="AQ366">
        <f ca="1">IF(AND(ISNUMBER($AQ$1031),$B$677=1),$AQ$1031,HLOOKUP(INDIRECT(ADDRESS(2,COLUMN())),OFFSET($BN$2,0,0,ROW()-1,60),ROW()-1,FALSE))</f>
        <v>0.49258285099999999</v>
      </c>
      <c r="AR366">
        <f ca="1">IF(AND(ISNUMBER($AR$1031),$B$677=1),$AR$1031,HLOOKUP(INDIRECT(ADDRESS(2,COLUMN())),OFFSET($BN$2,0,0,ROW()-1,60),ROW()-1,FALSE))</f>
        <v>0.463293022</v>
      </c>
      <c r="AS366">
        <f ca="1">IF(AND(ISNUMBER($AS$1031),$B$677=1),$AS$1031,HLOOKUP(INDIRECT(ADDRESS(2,COLUMN())),OFFSET($BN$2,0,0,ROW()-1,60),ROW()-1,FALSE))</f>
        <v>0.46421994500000002</v>
      </c>
      <c r="AT366">
        <f ca="1">IF(AND(ISNUMBER($AT$1031),$B$677=1),$AT$1031,HLOOKUP(INDIRECT(ADDRESS(2,COLUMN())),OFFSET($BN$2,0,0,ROW()-1,60),ROW()-1,FALSE))</f>
        <v>0.35004969800000002</v>
      </c>
      <c r="AU366">
        <f ca="1">IF(AND(ISNUMBER($AU$1031),$B$677=1),$AU$1031,HLOOKUP(INDIRECT(ADDRESS(2,COLUMN())),OFFSET($BN$2,0,0,ROW()-1,60),ROW()-1,FALSE))</f>
        <v>0.243763807</v>
      </c>
      <c r="AV366">
        <f ca="1">IF(AND(ISNUMBER($AV$1031),$B$677=1),$AV$1031,HLOOKUP(INDIRECT(ADDRESS(2,COLUMN())),OFFSET($BN$2,0,0,ROW()-1,60),ROW()-1,FALSE))</f>
        <v>0.27776769899999998</v>
      </c>
      <c r="AW366">
        <f ca="1">IF(AND(ISNUMBER($AW$1031),$B$677=1),$AW$1031,HLOOKUP(INDIRECT(ADDRESS(2,COLUMN())),OFFSET($BN$2,0,0,ROW()-1,60),ROW()-1,FALSE))</f>
        <v>0.34880069699999999</v>
      </c>
      <c r="AX366">
        <f ca="1">IF(AND(ISNUMBER($AX$1031),$B$677=1),$AX$1031,HLOOKUP(INDIRECT(ADDRESS(2,COLUMN())),OFFSET($BN$2,0,0,ROW()-1,60),ROW()-1,FALSE))</f>
        <v>0.35230085700000002</v>
      </c>
      <c r="AY366">
        <f ca="1">IF(AND(ISNUMBER($AY$1031),$B$677=1),$AY$1031,HLOOKUP(INDIRECT(ADDRESS(2,COLUMN())),OFFSET($BN$2,0,0,ROW()-1,60),ROW()-1,FALSE))</f>
        <v>0.446076378</v>
      </c>
      <c r="AZ366">
        <f ca="1">IF(AND(ISNUMBER($AZ$1031),$B$677=1),$AZ$1031,HLOOKUP(INDIRECT(ADDRESS(2,COLUMN())),OFFSET($BN$2,0,0,ROW()-1,60),ROW()-1,FALSE))</f>
        <v>0.45154373599999997</v>
      </c>
      <c r="BA366">
        <f ca="1">IF(AND(ISNUMBER($BA$1031),$B$677=1),$BA$1031,HLOOKUP(INDIRECT(ADDRESS(2,COLUMN())),OFFSET($BN$2,0,0,ROW()-1,60),ROW()-1,FALSE))</f>
        <v>0.48215928200000002</v>
      </c>
      <c r="BB366">
        <f ca="1">IF(AND(ISNUMBER($BB$1031),$B$677=1),$BB$1031,HLOOKUP(INDIRECT(ADDRESS(2,COLUMN())),OFFSET($BN$2,0,0,ROW()-1,60),ROW()-1,FALSE))</f>
        <v>0.451673559</v>
      </c>
      <c r="BC366">
        <f ca="1">IF(AND(ISNUMBER($BC$1031),$B$677=1),$BC$1031,HLOOKUP(INDIRECT(ADDRESS(2,COLUMN())),OFFSET($BN$2,0,0,ROW()-1,60),ROW()-1,FALSE))</f>
        <v>0.50910830600000001</v>
      </c>
      <c r="BD366">
        <f ca="1">IF(AND(ISNUMBER($BD$1031),$B$677=1),$BD$1031,HLOOKUP(INDIRECT(ADDRESS(2,COLUMN())),OFFSET($BN$2,0,0,ROW()-1,60),ROW()-1,FALSE))</f>
        <v>0.44903122400000001</v>
      </c>
      <c r="BE366">
        <f ca="1">IF(AND(ISNUMBER($BE$1031),$B$677=1),$BE$1031,HLOOKUP(INDIRECT(ADDRESS(2,COLUMN())),OFFSET($BN$2,0,0,ROW()-1,60),ROW()-1,FALSE))</f>
        <v>0.37357258300000001</v>
      </c>
      <c r="BF366">
        <f ca="1">IF(AND(ISNUMBER($BF$1031),$B$677=1),$BF$1031,HLOOKUP(INDIRECT(ADDRESS(2,COLUMN())),OFFSET($BN$2,0,0,ROW()-1,60),ROW()-1,FALSE))</f>
        <v>0.447449441</v>
      </c>
      <c r="BG366">
        <f ca="1">IF(AND(ISNUMBER($BG$1031),$B$677=1),$BG$1031,HLOOKUP(INDIRECT(ADDRESS(2,COLUMN())),OFFSET($BN$2,0,0,ROW()-1,60),ROW()-1,FALSE))</f>
        <v>0.38269531400000001</v>
      </c>
      <c r="BH366">
        <f ca="1">IF(AND(ISNUMBER($BH$1031),$B$677=1),$BH$1031,HLOOKUP(INDIRECT(ADDRESS(2,COLUMN())),OFFSET($BN$2,0,0,ROW()-1,60),ROW()-1,FALSE))</f>
        <v>0.37209790399999998</v>
      </c>
      <c r="BI366" t="str">
        <f ca="1">IF(AND(ISNUMBER($BI$1031),$B$677=1),$BI$1031,HLOOKUP(INDIRECT(ADDRESS(2,COLUMN())),OFFSET($BN$2,0,0,ROW()-1,60),ROW()-1,FALSE))</f>
        <v/>
      </c>
      <c r="BJ366">
        <f ca="1">IF(AND(ISNUMBER($BJ$1031),$B$677=1),$BJ$1031,HLOOKUP(INDIRECT(ADDRESS(2,COLUMN())),OFFSET($BN$2,0,0,ROW()-1,60),ROW()-1,FALSE))</f>
        <v>0.37896595199999999</v>
      </c>
      <c r="BK366" t="str">
        <f ca="1">IF(AND(ISNUMBER($BK$1031),$B$677=1),$BK$1031,HLOOKUP(INDIRECT(ADDRESS(2,COLUMN())),OFFSET($BN$2,0,0,ROW()-1,60),ROW()-1,FALSE))</f>
        <v/>
      </c>
      <c r="BL366">
        <f ca="1">IF(AND(ISNUMBER($BL$1031),$B$677=1),$BL$1031,HLOOKUP(INDIRECT(ADDRESS(2,COLUMN())),OFFSET($BN$2,0,0,ROW()-1,60),ROW()-1,FALSE))</f>
        <v>0.36455697799999998</v>
      </c>
      <c r="BM366" t="str">
        <f ca="1">IF(AND(ISNUMBER($BM$1031),$B$677=1),$BM$1031,HLOOKUP(INDIRECT(ADDRESS(2,COLUMN())),OFFSET($BN$2,0,0,ROW()-1,60),ROW()-1,FALSE))</f>
        <v/>
      </c>
      <c r="BN366" t="str">
        <f>""</f>
        <v/>
      </c>
      <c r="BO366">
        <f>0.677974317</f>
        <v>0.67797431699999999</v>
      </c>
      <c r="BP366">
        <f>0.760788482</f>
        <v>0.76078848200000004</v>
      </c>
      <c r="BQ366">
        <f>0.689998115</f>
        <v>0.68999811499999997</v>
      </c>
      <c r="BR366">
        <f>0.658134765</f>
        <v>0.65813476500000001</v>
      </c>
      <c r="BS366">
        <f>0.772414147</f>
        <v>0.772414147</v>
      </c>
      <c r="BT366">
        <f>0.703486792</f>
        <v>0.70348679199999997</v>
      </c>
      <c r="BU366">
        <f>0.687362105</f>
        <v>0.68736210499999995</v>
      </c>
      <c r="BV366">
        <f>0.607684047</f>
        <v>0.607684047</v>
      </c>
      <c r="BW366">
        <f>0.567128473</f>
        <v>0.56712847300000002</v>
      </c>
      <c r="BX366">
        <f>0.426097748</f>
        <v>0.426097748</v>
      </c>
      <c r="BY366">
        <f>0.360506396</f>
        <v>0.36050639600000001</v>
      </c>
      <c r="BZ366">
        <f>0.415862113</f>
        <v>0.41586211299999998</v>
      </c>
      <c r="CA366">
        <f>0.513390162</f>
        <v>0.51339016199999998</v>
      </c>
      <c r="CB366">
        <f>0.547975564</f>
        <v>0.54797556400000003</v>
      </c>
      <c r="CC366">
        <f>0.635990368</f>
        <v>0.63599036799999997</v>
      </c>
      <c r="CD366">
        <f>0.554111682</f>
        <v>0.55411168200000005</v>
      </c>
      <c r="CE366">
        <f>0.577812759</f>
        <v>0.57781275899999995</v>
      </c>
      <c r="CF366">
        <f>0.564250011</f>
        <v>0.56425001100000005</v>
      </c>
      <c r="CG366">
        <f>0.48499841</f>
        <v>0.48499840999999999</v>
      </c>
      <c r="CH366">
        <f>0.396994159</f>
        <v>0.39699415900000001</v>
      </c>
      <c r="CI366">
        <f>0.456552598</f>
        <v>0.45655259799999998</v>
      </c>
      <c r="CJ366">
        <f>0.366606839</f>
        <v>0.36660683900000002</v>
      </c>
      <c r="CK366">
        <f>0.382994364</f>
        <v>0.38299436399999998</v>
      </c>
      <c r="CL366">
        <f>0.36354308</f>
        <v>0.36354308000000002</v>
      </c>
      <c r="CM366">
        <f>0.408573269</f>
        <v>0.40857326900000002</v>
      </c>
      <c r="CN366">
        <f>0.225036872</f>
        <v>0.225036872</v>
      </c>
      <c r="CO366">
        <f>0.238509468</f>
        <v>0.238509468</v>
      </c>
      <c r="CP366">
        <f>0.338382942</f>
        <v>0.33838294200000002</v>
      </c>
      <c r="CQ366">
        <f>0.262923368</f>
        <v>0.26292336799999999</v>
      </c>
      <c r="CR366">
        <f>0.285384321</f>
        <v>0.285384321</v>
      </c>
      <c r="CS366">
        <f>0.334369542</f>
        <v>0.33436954200000002</v>
      </c>
      <c r="CT366">
        <f>0.356463413</f>
        <v>0.35646341300000001</v>
      </c>
      <c r="CU366">
        <f>0.397653195</f>
        <v>0.39765319500000001</v>
      </c>
      <c r="CV366">
        <f>0.315541463</f>
        <v>0.31554146300000002</v>
      </c>
      <c r="CW366">
        <f>0.330446943</f>
        <v>0.33044694299999999</v>
      </c>
      <c r="CX366">
        <f>0.443430251</f>
        <v>0.443430251</v>
      </c>
      <c r="CY366">
        <f>0.492582851</f>
        <v>0.49258285099999999</v>
      </c>
      <c r="CZ366">
        <f>0.463293022</f>
        <v>0.463293022</v>
      </c>
      <c r="DA366">
        <f>0.464219945</f>
        <v>0.46421994500000002</v>
      </c>
      <c r="DB366">
        <f>0.350049698</f>
        <v>0.35004969800000002</v>
      </c>
      <c r="DC366">
        <f>0.243763807</f>
        <v>0.243763807</v>
      </c>
      <c r="DD366">
        <f>0.277767699</f>
        <v>0.27776769899999998</v>
      </c>
      <c r="DE366">
        <f>0.348800697</f>
        <v>0.34880069699999999</v>
      </c>
      <c r="DF366">
        <f>0.352300857</f>
        <v>0.35230085700000002</v>
      </c>
      <c r="DG366">
        <f>0.446076378</f>
        <v>0.446076378</v>
      </c>
      <c r="DH366">
        <f>0.451543736</f>
        <v>0.45154373599999997</v>
      </c>
      <c r="DI366">
        <f>0.482159282</f>
        <v>0.48215928200000002</v>
      </c>
      <c r="DJ366">
        <f>0.451673559</f>
        <v>0.451673559</v>
      </c>
      <c r="DK366">
        <f>0.509108306</f>
        <v>0.50910830600000001</v>
      </c>
      <c r="DL366">
        <f>0.449031224</f>
        <v>0.44903122400000001</v>
      </c>
      <c r="DM366">
        <f>0.373572583</f>
        <v>0.37357258300000001</v>
      </c>
      <c r="DN366">
        <f>0.447449441</f>
        <v>0.447449441</v>
      </c>
      <c r="DO366">
        <f>0.382695314</f>
        <v>0.38269531400000001</v>
      </c>
      <c r="DP366">
        <f>0.372097904</f>
        <v>0.37209790399999998</v>
      </c>
      <c r="DQ366" t="str">
        <f>""</f>
        <v/>
      </c>
      <c r="DR366">
        <f>0.378965952</f>
        <v>0.37896595199999999</v>
      </c>
      <c r="DS366" t="str">
        <f>""</f>
        <v/>
      </c>
      <c r="DT366">
        <f>0.364556978</f>
        <v>0.36455697799999998</v>
      </c>
      <c r="DU366" t="str">
        <f>""</f>
        <v/>
      </c>
    </row>
    <row r="367" spans="1:125" x14ac:dyDescent="0.25">
      <c r="A367" t="str">
        <f>"    Tata Motors Ltd"</f>
        <v xml:space="preserve">    Tata Motors Ltd</v>
      </c>
      <c r="B367" t="str">
        <f>"TTMT IN Equity"</f>
        <v>TTMT IN Equity</v>
      </c>
      <c r="C367" t="str">
        <f t="shared" si="24"/>
        <v>RR473</v>
      </c>
      <c r="D367" t="str">
        <f t="shared" si="25"/>
        <v>EV_TO_T12M_SALES</v>
      </c>
      <c r="E367" t="str">
        <f t="shared" si="26"/>
        <v>Dynamic</v>
      </c>
      <c r="F367" t="str">
        <f ca="1">IF(AND(ISNUMBER($F$1032),$B$677=1),$F$1032,HLOOKUP(INDIRECT(ADDRESS(2,COLUMN())),OFFSET($BN$2,0,0,ROW()-1,60),ROW()-1,FALSE))</f>
        <v/>
      </c>
      <c r="G367" t="str">
        <f ca="1">IF(AND(ISNUMBER($G$1032),$B$677=1),$G$1032,HLOOKUP(INDIRECT(ADDRESS(2,COLUMN())),OFFSET($BN$2,0,0,ROW()-1,60),ROW()-1,FALSE))</f>
        <v/>
      </c>
      <c r="H367">
        <f ca="1">IF(AND(ISNUMBER($H$1032),$B$677=1),$H$1032,HLOOKUP(INDIRECT(ADDRESS(2,COLUMN())),OFFSET($BN$2,0,0,ROW()-1,60),ROW()-1,FALSE))</f>
        <v>0.45123797799999998</v>
      </c>
      <c r="I367" t="str">
        <f ca="1">IF(AND(ISNUMBER($I$1032),$B$677=1),$I$1032,HLOOKUP(INDIRECT(ADDRESS(2,COLUMN())),OFFSET($BN$2,0,0,ROW()-1,60),ROW()-1,FALSE))</f>
        <v/>
      </c>
      <c r="J367">
        <f ca="1">IF(AND(ISNUMBER($J$1032),$B$677=1),$J$1032,HLOOKUP(INDIRECT(ADDRESS(2,COLUMN())),OFFSET($BN$2,0,0,ROW()-1,60),ROW()-1,FALSE))</f>
        <v>0.51266307799999999</v>
      </c>
      <c r="K367" t="str">
        <f ca="1">IF(AND(ISNUMBER($K$1032),$B$677=1),$K$1032,HLOOKUP(INDIRECT(ADDRESS(2,COLUMN())),OFFSET($BN$2,0,0,ROW()-1,60),ROW()-1,FALSE))</f>
        <v/>
      </c>
      <c r="L367">
        <f ca="1">IF(AND(ISNUMBER($L$1032),$B$677=1),$L$1032,HLOOKUP(INDIRECT(ADDRESS(2,COLUMN())),OFFSET($BN$2,0,0,ROW()-1,60),ROW()-1,FALSE))</f>
        <v>0.64195961800000001</v>
      </c>
      <c r="M367" t="str">
        <f ca="1">IF(AND(ISNUMBER($M$1032),$B$677=1),$M$1032,HLOOKUP(INDIRECT(ADDRESS(2,COLUMN())),OFFSET($BN$2,0,0,ROW()-1,60),ROW()-1,FALSE))</f>
        <v/>
      </c>
      <c r="N367">
        <f ca="1">IF(AND(ISNUMBER($N$1032),$B$677=1),$N$1032,HLOOKUP(INDIRECT(ADDRESS(2,COLUMN())),OFFSET($BN$2,0,0,ROW()-1,60),ROW()-1,FALSE))</f>
        <v>0.68629870199999998</v>
      </c>
      <c r="O367" t="str">
        <f ca="1">IF(AND(ISNUMBER($O$1032),$B$677=1),$O$1032,HLOOKUP(INDIRECT(ADDRESS(2,COLUMN())),OFFSET($BN$2,0,0,ROW()-1,60),ROW()-1,FALSE))</f>
        <v/>
      </c>
      <c r="P367">
        <f ca="1">IF(AND(ISNUMBER($P$1032),$B$677=1),$P$1032,HLOOKUP(INDIRECT(ADDRESS(2,COLUMN())),OFFSET($BN$2,0,0,ROW()-1,60),ROW()-1,FALSE))</f>
        <v>0.75761417600000003</v>
      </c>
      <c r="Q367" t="str">
        <f ca="1">IF(AND(ISNUMBER($Q$1032),$B$677=1),$Q$1032,HLOOKUP(INDIRECT(ADDRESS(2,COLUMN())),OFFSET($BN$2,0,0,ROW()-1,60),ROW()-1,FALSE))</f>
        <v/>
      </c>
      <c r="R367">
        <f ca="1">IF(AND(ISNUMBER($R$1032),$B$677=1),$R$1032,HLOOKUP(INDIRECT(ADDRESS(2,COLUMN())),OFFSET($BN$2,0,0,ROW()-1,60),ROW()-1,FALSE))</f>
        <v>0.56738451099999998</v>
      </c>
      <c r="S367" t="str">
        <f ca="1">IF(AND(ISNUMBER($S$1032),$B$677=1),$S$1032,HLOOKUP(INDIRECT(ADDRESS(2,COLUMN())),OFFSET($BN$2,0,0,ROW()-1,60),ROW()-1,FALSE))</f>
        <v/>
      </c>
      <c r="T367">
        <f ca="1">IF(AND(ISNUMBER($T$1032),$B$677=1),$T$1032,HLOOKUP(INDIRECT(ADDRESS(2,COLUMN())),OFFSET($BN$2,0,0,ROW()-1,60),ROW()-1,FALSE))</f>
        <v>0.51542052599999999</v>
      </c>
      <c r="U367" t="str">
        <f ca="1">IF(AND(ISNUMBER($U$1032),$B$677=1),$U$1032,HLOOKUP(INDIRECT(ADDRESS(2,COLUMN())),OFFSET($BN$2,0,0,ROW()-1,60),ROW()-1,FALSE))</f>
        <v/>
      </c>
      <c r="V367">
        <f ca="1">IF(AND(ISNUMBER($V$1032),$B$677=1),$V$1032,HLOOKUP(INDIRECT(ADDRESS(2,COLUMN())),OFFSET($BN$2,0,0,ROW()-1,60),ROW()-1,FALSE))</f>
        <v>0.80158319499999997</v>
      </c>
      <c r="W367" t="str">
        <f ca="1">IF(AND(ISNUMBER($W$1032),$B$677=1),$W$1032,HLOOKUP(INDIRECT(ADDRESS(2,COLUMN())),OFFSET($BN$2,0,0,ROW()-1,60),ROW()-1,FALSE))</f>
        <v/>
      </c>
      <c r="X367">
        <f ca="1">IF(AND(ISNUMBER($X$1032),$B$677=1),$X$1032,HLOOKUP(INDIRECT(ADDRESS(2,COLUMN())),OFFSET($BN$2,0,0,ROW()-1,60),ROW()-1,FALSE))</f>
        <v>0.71317980599999997</v>
      </c>
      <c r="Y367" t="str">
        <f ca="1">IF(AND(ISNUMBER($Y$1032),$B$677=1),$Y$1032,HLOOKUP(INDIRECT(ADDRESS(2,COLUMN())),OFFSET($BN$2,0,0,ROW()-1,60),ROW()-1,FALSE))</f>
        <v/>
      </c>
      <c r="Z367">
        <f ca="1">IF(AND(ISNUMBER($Z$1032),$B$677=1),$Z$1032,HLOOKUP(INDIRECT(ADDRESS(2,COLUMN())),OFFSET($BN$2,0,0,ROW()-1,60),ROW()-1,FALSE))</f>
        <v>0.67412860200000002</v>
      </c>
      <c r="AA367" t="str">
        <f ca="1">IF(AND(ISNUMBER($AA$1032),$B$677=1),$AA$1032,HLOOKUP(INDIRECT(ADDRESS(2,COLUMN())),OFFSET($BN$2,0,0,ROW()-1,60),ROW()-1,FALSE))</f>
        <v/>
      </c>
      <c r="AB367">
        <f ca="1">IF(AND(ISNUMBER($AB$1032),$B$677=1),$AB$1032,HLOOKUP(INDIRECT(ADDRESS(2,COLUMN())),OFFSET($BN$2,0,0,ROW()-1,60),ROW()-1,FALSE))</f>
        <v>0.641511473</v>
      </c>
      <c r="AC367" t="str">
        <f ca="1">IF(AND(ISNUMBER($AC$1032),$B$677=1),$AC$1032,HLOOKUP(INDIRECT(ADDRESS(2,COLUMN())),OFFSET($BN$2,0,0,ROW()-1,60),ROW()-1,FALSE))</f>
        <v/>
      </c>
      <c r="AD367">
        <f ca="1">IF(AND(ISNUMBER($AD$1032),$B$677=1),$AD$1032,HLOOKUP(INDIRECT(ADDRESS(2,COLUMN())),OFFSET($BN$2,0,0,ROW()-1,60),ROW()-1,FALSE))</f>
        <v>0.62342755500000002</v>
      </c>
      <c r="AE367" t="str">
        <f ca="1">IF(AND(ISNUMBER($AE$1032),$B$677=1),$AE$1032,HLOOKUP(INDIRECT(ADDRESS(2,COLUMN())),OFFSET($BN$2,0,0,ROW()-1,60),ROW()-1,FALSE))</f>
        <v/>
      </c>
      <c r="AF367">
        <f ca="1">IF(AND(ISNUMBER($AF$1032),$B$677=1),$AF$1032,HLOOKUP(INDIRECT(ADDRESS(2,COLUMN())),OFFSET($BN$2,0,0,ROW()-1,60),ROW()-1,FALSE))</f>
        <v>0.57049514999999995</v>
      </c>
      <c r="AG367" t="str">
        <f ca="1">IF(AND(ISNUMBER($AG$1032),$B$677=1),$AG$1032,HLOOKUP(INDIRECT(ADDRESS(2,COLUMN())),OFFSET($BN$2,0,0,ROW()-1,60),ROW()-1,FALSE))</f>
        <v/>
      </c>
      <c r="AH367">
        <f ca="1">IF(AND(ISNUMBER($AH$1032),$B$677=1),$AH$1032,HLOOKUP(INDIRECT(ADDRESS(2,COLUMN())),OFFSET($BN$2,0,0,ROW()-1,60),ROW()-1,FALSE))</f>
        <v>0.695484408</v>
      </c>
      <c r="AI367" t="str">
        <f ca="1">IF(AND(ISNUMBER($AI$1032),$B$677=1),$AI$1032,HLOOKUP(INDIRECT(ADDRESS(2,COLUMN())),OFFSET($BN$2,0,0,ROW()-1,60),ROW()-1,FALSE))</f>
        <v/>
      </c>
      <c r="AJ367">
        <f ca="1">IF(AND(ISNUMBER($AJ$1032),$B$677=1),$AJ$1032,HLOOKUP(INDIRECT(ADDRESS(2,COLUMN())),OFFSET($BN$2,0,0,ROW()-1,60),ROW()-1,FALSE))</f>
        <v>0.58649681899999995</v>
      </c>
      <c r="AK367" t="str">
        <f ca="1">IF(AND(ISNUMBER($AK$1032),$B$677=1),$AK$1032,HLOOKUP(INDIRECT(ADDRESS(2,COLUMN())),OFFSET($BN$2,0,0,ROW()-1,60),ROW()-1,FALSE))</f>
        <v/>
      </c>
      <c r="AL367">
        <f ca="1">IF(AND(ISNUMBER($AL$1032),$B$677=1),$AL$1032,HLOOKUP(INDIRECT(ADDRESS(2,COLUMN())),OFFSET($BN$2,0,0,ROW()-1,60),ROW()-1,FALSE))</f>
        <v>0.87961957499999999</v>
      </c>
      <c r="AM367" t="str">
        <f ca="1">IF(AND(ISNUMBER($AM$1032),$B$677=1),$AM$1032,HLOOKUP(INDIRECT(ADDRESS(2,COLUMN())),OFFSET($BN$2,0,0,ROW()-1,60),ROW()-1,FALSE))</f>
        <v/>
      </c>
      <c r="AN367">
        <f ca="1">IF(AND(ISNUMBER($AN$1032),$B$677=1),$AN$1032,HLOOKUP(INDIRECT(ADDRESS(2,COLUMN())),OFFSET($BN$2,0,0,ROW()-1,60),ROW()-1,FALSE))</f>
        <v>0.83293072700000004</v>
      </c>
      <c r="AO367" t="str">
        <f ca="1">IF(AND(ISNUMBER($AO$1032),$B$677=1),$AO$1032,HLOOKUP(INDIRECT(ADDRESS(2,COLUMN())),OFFSET($BN$2,0,0,ROW()-1,60),ROW()-1,FALSE))</f>
        <v/>
      </c>
      <c r="AP367">
        <f ca="1">IF(AND(ISNUMBER($AP$1032),$B$677=1),$AP$1032,HLOOKUP(INDIRECT(ADDRESS(2,COLUMN())),OFFSET($BN$2,0,0,ROW()-1,60),ROW()-1,FALSE))</f>
        <v>0.81786801399999998</v>
      </c>
      <c r="AQ367" t="str">
        <f ca="1">IF(AND(ISNUMBER($AQ$1032),$B$677=1),$AQ$1032,HLOOKUP(INDIRECT(ADDRESS(2,COLUMN())),OFFSET($BN$2,0,0,ROW()-1,60),ROW()-1,FALSE))</f>
        <v/>
      </c>
      <c r="AR367" t="str">
        <f ca="1">IF(AND(ISNUMBER($AR$1032),$B$677=1),$AR$1032,HLOOKUP(INDIRECT(ADDRESS(2,COLUMN())),OFFSET($BN$2,0,0,ROW()-1,60),ROW()-1,FALSE))</f>
        <v/>
      </c>
      <c r="AS367" t="str">
        <f ca="1">IF(AND(ISNUMBER($AS$1032),$B$677=1),$AS$1032,HLOOKUP(INDIRECT(ADDRESS(2,COLUMN())),OFFSET($BN$2,0,0,ROW()-1,60),ROW()-1,FALSE))</f>
        <v/>
      </c>
      <c r="AT367">
        <f ca="1">IF(AND(ISNUMBER($AT$1032),$B$677=1),$AT$1032,HLOOKUP(INDIRECT(ADDRESS(2,COLUMN())),OFFSET($BN$2,0,0,ROW()-1,60),ROW()-1,FALSE))</f>
        <v>0.63922590300000004</v>
      </c>
      <c r="AU367" t="str">
        <f ca="1">IF(AND(ISNUMBER($AU$1032),$B$677=1),$AU$1032,HLOOKUP(INDIRECT(ADDRESS(2,COLUMN())),OFFSET($BN$2,0,0,ROW()-1,60),ROW()-1,FALSE))</f>
        <v/>
      </c>
      <c r="AV367" t="str">
        <f ca="1">IF(AND(ISNUMBER($AV$1032),$B$677=1),$AV$1032,HLOOKUP(INDIRECT(ADDRESS(2,COLUMN())),OFFSET($BN$2,0,0,ROW()-1,60),ROW()-1,FALSE))</f>
        <v/>
      </c>
      <c r="AW367" t="str">
        <f ca="1">IF(AND(ISNUMBER($AW$1032),$B$677=1),$AW$1032,HLOOKUP(INDIRECT(ADDRESS(2,COLUMN())),OFFSET($BN$2,0,0,ROW()-1,60),ROW()-1,FALSE))</f>
        <v/>
      </c>
      <c r="AX367" t="str">
        <f ca="1">IF(AND(ISNUMBER($AX$1032),$B$677=1),$AX$1032,HLOOKUP(INDIRECT(ADDRESS(2,COLUMN())),OFFSET($BN$2,0,0,ROW()-1,60),ROW()-1,FALSE))</f>
        <v/>
      </c>
      <c r="AY367" t="str">
        <f ca="1">IF(AND(ISNUMBER($AY$1032),$B$677=1),$AY$1032,HLOOKUP(INDIRECT(ADDRESS(2,COLUMN())),OFFSET($BN$2,0,0,ROW()-1,60),ROW()-1,FALSE))</f>
        <v/>
      </c>
      <c r="AZ367" t="str">
        <f ca="1">IF(AND(ISNUMBER($AZ$1032),$B$677=1),$AZ$1032,HLOOKUP(INDIRECT(ADDRESS(2,COLUMN())),OFFSET($BN$2,0,0,ROW()-1,60),ROW()-1,FALSE))</f>
        <v/>
      </c>
      <c r="BA367" t="str">
        <f ca="1">IF(AND(ISNUMBER($BA$1032),$B$677=1),$BA$1032,HLOOKUP(INDIRECT(ADDRESS(2,COLUMN())),OFFSET($BN$2,0,0,ROW()-1,60),ROW()-1,FALSE))</f>
        <v/>
      </c>
      <c r="BB367" t="str">
        <f ca="1">IF(AND(ISNUMBER($BB$1032),$B$677=1),$BB$1032,HLOOKUP(INDIRECT(ADDRESS(2,COLUMN())),OFFSET($BN$2,0,0,ROW()-1,60),ROW()-1,FALSE))</f>
        <v/>
      </c>
      <c r="BC367" t="str">
        <f ca="1">IF(AND(ISNUMBER($BC$1032),$B$677=1),$BC$1032,HLOOKUP(INDIRECT(ADDRESS(2,COLUMN())),OFFSET($BN$2,0,0,ROW()-1,60),ROW()-1,FALSE))</f>
        <v/>
      </c>
      <c r="BD367" t="str">
        <f ca="1">IF(AND(ISNUMBER($BD$1032),$B$677=1),$BD$1032,HLOOKUP(INDIRECT(ADDRESS(2,COLUMN())),OFFSET($BN$2,0,0,ROW()-1,60),ROW()-1,FALSE))</f>
        <v/>
      </c>
      <c r="BE367" t="str">
        <f ca="1">IF(AND(ISNUMBER($BE$1032),$B$677=1),$BE$1032,HLOOKUP(INDIRECT(ADDRESS(2,COLUMN())),OFFSET($BN$2,0,0,ROW()-1,60),ROW()-1,FALSE))</f>
        <v/>
      </c>
      <c r="BF367" t="str">
        <f ca="1">IF(AND(ISNUMBER($BF$1032),$B$677=1),$BF$1032,HLOOKUP(INDIRECT(ADDRESS(2,COLUMN())),OFFSET($BN$2,0,0,ROW()-1,60),ROW()-1,FALSE))</f>
        <v/>
      </c>
      <c r="BG367" t="str">
        <f ca="1">IF(AND(ISNUMBER($BG$1032),$B$677=1),$BG$1032,HLOOKUP(INDIRECT(ADDRESS(2,COLUMN())),OFFSET($BN$2,0,0,ROW()-1,60),ROW()-1,FALSE))</f>
        <v/>
      </c>
      <c r="BH367" t="str">
        <f ca="1">IF(AND(ISNUMBER($BH$1032),$B$677=1),$BH$1032,HLOOKUP(INDIRECT(ADDRESS(2,COLUMN())),OFFSET($BN$2,0,0,ROW()-1,60),ROW()-1,FALSE))</f>
        <v/>
      </c>
      <c r="BI367" t="str">
        <f ca="1">IF(AND(ISNUMBER($BI$1032),$B$677=1),$BI$1032,HLOOKUP(INDIRECT(ADDRESS(2,COLUMN())),OFFSET($BN$2,0,0,ROW()-1,60),ROW()-1,FALSE))</f>
        <v/>
      </c>
      <c r="BJ367" t="str">
        <f ca="1">IF(AND(ISNUMBER($BJ$1032),$B$677=1),$BJ$1032,HLOOKUP(INDIRECT(ADDRESS(2,COLUMN())),OFFSET($BN$2,0,0,ROW()-1,60),ROW()-1,FALSE))</f>
        <v/>
      </c>
      <c r="BK367" t="str">
        <f ca="1">IF(AND(ISNUMBER($BK$1032),$B$677=1),$BK$1032,HLOOKUP(INDIRECT(ADDRESS(2,COLUMN())),OFFSET($BN$2,0,0,ROW()-1,60),ROW()-1,FALSE))</f>
        <v/>
      </c>
      <c r="BL367" t="str">
        <f ca="1">IF(AND(ISNUMBER($BL$1032),$B$677=1),$BL$1032,HLOOKUP(INDIRECT(ADDRESS(2,COLUMN())),OFFSET($BN$2,0,0,ROW()-1,60),ROW()-1,FALSE))</f>
        <v/>
      </c>
      <c r="BM367" t="str">
        <f ca="1">IF(AND(ISNUMBER($BM$1032),$B$677=1),$BM$1032,HLOOKUP(INDIRECT(ADDRESS(2,COLUMN())),OFFSET($BN$2,0,0,ROW()-1,60),ROW()-1,FALSE))</f>
        <v/>
      </c>
      <c r="BN367" t="str">
        <f>""</f>
        <v/>
      </c>
      <c r="BO367" t="str">
        <f>""</f>
        <v/>
      </c>
      <c r="BP367">
        <f>0.451237978</f>
        <v>0.45123797799999998</v>
      </c>
      <c r="BQ367" t="str">
        <f>""</f>
        <v/>
      </c>
      <c r="BR367">
        <f>0.512663078</f>
        <v>0.51266307799999999</v>
      </c>
      <c r="BS367" t="str">
        <f>""</f>
        <v/>
      </c>
      <c r="BT367">
        <f>0.641959618</f>
        <v>0.64195961800000001</v>
      </c>
      <c r="BU367" t="str">
        <f>""</f>
        <v/>
      </c>
      <c r="BV367">
        <f>0.686298702</f>
        <v>0.68629870199999998</v>
      </c>
      <c r="BW367" t="str">
        <f>""</f>
        <v/>
      </c>
      <c r="BX367">
        <f>0.757614176</f>
        <v>0.75761417600000003</v>
      </c>
      <c r="BY367" t="str">
        <f>""</f>
        <v/>
      </c>
      <c r="BZ367">
        <f>0.567384511</f>
        <v>0.56738451099999998</v>
      </c>
      <c r="CA367" t="str">
        <f>""</f>
        <v/>
      </c>
      <c r="CB367">
        <f>0.515420526</f>
        <v>0.51542052599999999</v>
      </c>
      <c r="CC367" t="str">
        <f>""</f>
        <v/>
      </c>
      <c r="CD367">
        <f>0.801583195</f>
        <v>0.80158319499999997</v>
      </c>
      <c r="CE367" t="str">
        <f>""</f>
        <v/>
      </c>
      <c r="CF367">
        <f>0.713179806</f>
        <v>0.71317980599999997</v>
      </c>
      <c r="CG367" t="str">
        <f>""</f>
        <v/>
      </c>
      <c r="CH367">
        <f>0.674128602</f>
        <v>0.67412860200000002</v>
      </c>
      <c r="CI367" t="str">
        <f>""</f>
        <v/>
      </c>
      <c r="CJ367">
        <f>0.641511473</f>
        <v>0.641511473</v>
      </c>
      <c r="CK367" t="str">
        <f>""</f>
        <v/>
      </c>
      <c r="CL367">
        <f>0.623427555</f>
        <v>0.62342755500000002</v>
      </c>
      <c r="CM367" t="str">
        <f>""</f>
        <v/>
      </c>
      <c r="CN367">
        <f>0.57049515</f>
        <v>0.57049514999999995</v>
      </c>
      <c r="CO367" t="str">
        <f>""</f>
        <v/>
      </c>
      <c r="CP367">
        <f>0.695484408</f>
        <v>0.695484408</v>
      </c>
      <c r="CQ367" t="str">
        <f>""</f>
        <v/>
      </c>
      <c r="CR367">
        <f>0.586496819</f>
        <v>0.58649681899999995</v>
      </c>
      <c r="CS367" t="str">
        <f>""</f>
        <v/>
      </c>
      <c r="CT367">
        <f>0.879619575</f>
        <v>0.87961957499999999</v>
      </c>
      <c r="CU367" t="str">
        <f>""</f>
        <v/>
      </c>
      <c r="CV367">
        <f>0.832930727</f>
        <v>0.83293072700000004</v>
      </c>
      <c r="CW367" t="str">
        <f>""</f>
        <v/>
      </c>
      <c r="CX367">
        <f>0.817868014</f>
        <v>0.81786801399999998</v>
      </c>
      <c r="CY367" t="str">
        <f>""</f>
        <v/>
      </c>
      <c r="CZ367" t="str">
        <f>""</f>
        <v/>
      </c>
      <c r="DA367" t="str">
        <f>""</f>
        <v/>
      </c>
      <c r="DB367">
        <f>0.639225903</f>
        <v>0.63922590300000004</v>
      </c>
      <c r="DC367" t="str">
        <f>""</f>
        <v/>
      </c>
      <c r="DD367" t="str">
        <f>""</f>
        <v/>
      </c>
      <c r="DE367" t="str">
        <f>""</f>
        <v/>
      </c>
      <c r="DF367" t="str">
        <f>""</f>
        <v/>
      </c>
      <c r="DG367" t="str">
        <f>""</f>
        <v/>
      </c>
      <c r="DH367" t="str">
        <f>""</f>
        <v/>
      </c>
      <c r="DI367" t="str">
        <f>""</f>
        <v/>
      </c>
      <c r="DJ367" t="str">
        <f>""</f>
        <v/>
      </c>
      <c r="DK367" t="str">
        <f>""</f>
        <v/>
      </c>
      <c r="DL367" t="str">
        <f>""</f>
        <v/>
      </c>
      <c r="DM367" t="str">
        <f>""</f>
        <v/>
      </c>
      <c r="DN367" t="str">
        <f>""</f>
        <v/>
      </c>
      <c r="DO367" t="str">
        <f>""</f>
        <v/>
      </c>
      <c r="DP367" t="str">
        <f>""</f>
        <v/>
      </c>
      <c r="DQ367" t="str">
        <f>""</f>
        <v/>
      </c>
      <c r="DR367" t="str">
        <f>""</f>
        <v/>
      </c>
      <c r="DS367" t="str">
        <f>""</f>
        <v/>
      </c>
      <c r="DT367" t="str">
        <f>""</f>
        <v/>
      </c>
      <c r="DU367" t="str">
        <f>""</f>
        <v/>
      </c>
    </row>
    <row r="368" spans="1:125" x14ac:dyDescent="0.25">
      <c r="A368" t="str">
        <f>"    Tesla Inc"</f>
        <v xml:space="preserve">    Tesla Inc</v>
      </c>
      <c r="B368" t="str">
        <f>"TSLA US Equity"</f>
        <v>TSLA US Equity</v>
      </c>
      <c r="C368" t="str">
        <f t="shared" si="24"/>
        <v>RR473</v>
      </c>
      <c r="D368" t="str">
        <f t="shared" si="25"/>
        <v>EV_TO_T12M_SALES</v>
      </c>
      <c r="E368" t="str">
        <f t="shared" si="26"/>
        <v>Dynamic</v>
      </c>
      <c r="F368" t="str">
        <f ca="1">IF(AND(ISNUMBER($F$1033),$B$677=1),$F$1033,HLOOKUP(INDIRECT(ADDRESS(2,COLUMN())),OFFSET($BN$2,0,0,ROW()-1,60),ROW()-1,FALSE))</f>
        <v/>
      </c>
      <c r="G368">
        <f ca="1">IF(AND(ISNUMBER($G$1033),$B$677=1),$G$1033,HLOOKUP(INDIRECT(ADDRESS(2,COLUMN())),OFFSET($BN$2,0,0,ROW()-1,60),ROW()-1,FALSE))</f>
        <v>3.1274197030000002</v>
      </c>
      <c r="H368">
        <f ca="1">IF(AND(ISNUMBER($H$1033),$B$677=1),$H$1033,HLOOKUP(INDIRECT(ADDRESS(2,COLUMN())),OFFSET($BN$2,0,0,ROW()-1,60),ROW()-1,FALSE))</f>
        <v>3.1719992179999998</v>
      </c>
      <c r="I368">
        <f ca="1">IF(AND(ISNUMBER($I$1033),$B$677=1),$I$1033,HLOOKUP(INDIRECT(ADDRESS(2,COLUMN())),OFFSET($BN$2,0,0,ROW()-1,60),ROW()-1,FALSE))</f>
        <v>5.012449749</v>
      </c>
      <c r="J368">
        <f ca="1">IF(AND(ISNUMBER($J$1033),$B$677=1),$J$1033,HLOOKUP(INDIRECT(ADDRESS(2,COLUMN())),OFFSET($BN$2,0,0,ROW()-1,60),ROW()-1,FALSE))</f>
        <v>4.3667507350000001</v>
      </c>
      <c r="K368">
        <f ca="1">IF(AND(ISNUMBER($K$1033),$B$677=1),$K$1033,HLOOKUP(INDIRECT(ADDRESS(2,COLUMN())),OFFSET($BN$2,0,0,ROW()-1,60),ROW()-1,FALSE))</f>
        <v>5.1703518470000001</v>
      </c>
      <c r="L368">
        <f ca="1">IF(AND(ISNUMBER($L$1033),$B$677=1),$L$1033,HLOOKUP(INDIRECT(ADDRESS(2,COLUMN())),OFFSET($BN$2,0,0,ROW()-1,60),ROW()-1,FALSE))</f>
        <v>6.0580440710000003</v>
      </c>
      <c r="M368">
        <f ca="1">IF(AND(ISNUMBER($M$1033),$B$677=1),$M$1033,HLOOKUP(INDIRECT(ADDRESS(2,COLUMN())),OFFSET($BN$2,0,0,ROW()-1,60),ROW()-1,FALSE))</f>
        <v>6.5692213490000002</v>
      </c>
      <c r="N368">
        <f ca="1">IF(AND(ISNUMBER($N$1033),$B$677=1),$N$1033,HLOOKUP(INDIRECT(ADDRESS(2,COLUMN())),OFFSET($BN$2,0,0,ROW()-1,60),ROW()-1,FALSE))</f>
        <v>5.9468300410000001</v>
      </c>
      <c r="O368">
        <f ca="1">IF(AND(ISNUMBER($O$1033),$B$677=1),$O$1033,HLOOKUP(INDIRECT(ADDRESS(2,COLUMN())),OFFSET($BN$2,0,0,ROW()-1,60),ROW()-1,FALSE))</f>
        <v>5.5909681549999997</v>
      </c>
      <c r="P368">
        <f ca="1">IF(AND(ISNUMBER($P$1033),$B$677=1),$P$1033,HLOOKUP(INDIRECT(ADDRESS(2,COLUMN())),OFFSET($BN$2,0,0,ROW()-1,60),ROW()-1,FALSE))</f>
        <v>5.0909510390000001</v>
      </c>
      <c r="Q368">
        <f ca="1">IF(AND(ISNUMBER($Q$1033),$B$677=1),$Q$1033,HLOOKUP(INDIRECT(ADDRESS(2,COLUMN())),OFFSET($BN$2,0,0,ROW()-1,60),ROW()-1,FALSE))</f>
        <v>6.8781848910000001</v>
      </c>
      <c r="R368">
        <f ca="1">IF(AND(ISNUMBER($R$1033),$B$677=1),$R$1033,HLOOKUP(INDIRECT(ADDRESS(2,COLUMN())),OFFSET($BN$2,0,0,ROW()-1,60),ROW()-1,FALSE))</f>
        <v>7.6359129000000001</v>
      </c>
      <c r="S368">
        <f ca="1">IF(AND(ISNUMBER($S$1033),$B$677=1),$S$1033,HLOOKUP(INDIRECT(ADDRESS(2,COLUMN())),OFFSET($BN$2,0,0,ROW()-1,60),ROW()-1,FALSE))</f>
        <v>8.155024847</v>
      </c>
      <c r="T368">
        <f ca="1">IF(AND(ISNUMBER($T$1033),$B$677=1),$T$1033,HLOOKUP(INDIRECT(ADDRESS(2,COLUMN())),OFFSET($BN$2,0,0,ROW()-1,60),ROW()-1,FALSE))</f>
        <v>8.9018615180000005</v>
      </c>
      <c r="U368">
        <f ca="1">IF(AND(ISNUMBER($U$1033),$B$677=1),$U$1033,HLOOKUP(INDIRECT(ADDRESS(2,COLUMN())),OFFSET($BN$2,0,0,ROW()-1,60),ROW()-1,FALSE))</f>
        <v>9.6219901120000007</v>
      </c>
      <c r="V368">
        <f ca="1">IF(AND(ISNUMBER($V$1033),$B$677=1),$V$1033,HLOOKUP(INDIRECT(ADDRESS(2,COLUMN())),OFFSET($BN$2,0,0,ROW()-1,60),ROW()-1,FALSE))</f>
        <v>7.0709973460000004</v>
      </c>
      <c r="W368">
        <f ca="1">IF(AND(ISNUMBER($W$1033),$B$677=1),$W$1033,HLOOKUP(INDIRECT(ADDRESS(2,COLUMN())),OFFSET($BN$2,0,0,ROW()-1,60),ROW()-1,FALSE))</f>
        <v>8.9222549559999997</v>
      </c>
      <c r="X368">
        <f ca="1">IF(AND(ISNUMBER($X$1033),$B$677=1),$X$1033,HLOOKUP(INDIRECT(ADDRESS(2,COLUMN())),OFFSET($BN$2,0,0,ROW()-1,60),ROW()-1,FALSE))</f>
        <v>10.66177924</v>
      </c>
      <c r="Y368">
        <f ca="1">IF(AND(ISNUMBER($Y$1033),$B$677=1),$Y$1033,HLOOKUP(INDIRECT(ADDRESS(2,COLUMN())),OFFSET($BN$2,0,0,ROW()-1,60),ROW()-1,FALSE))</f>
        <v>12.18341493</v>
      </c>
      <c r="Z368">
        <f ca="1">IF(AND(ISNUMBER($Z$1033),$B$677=1),$Z$1033,HLOOKUP(INDIRECT(ADDRESS(2,COLUMN())),OFFSET($BN$2,0,0,ROW()-1,60),ROW()-1,FALSE))</f>
        <v>12.25920455</v>
      </c>
      <c r="AA368">
        <f ca="1">IF(AND(ISNUMBER($AA$1033),$B$677=1),$AA$1033,HLOOKUP(INDIRECT(ADDRESS(2,COLUMN())),OFFSET($BN$2,0,0,ROW()-1,60),ROW()-1,FALSE))</f>
        <v>9.0774670200000003</v>
      </c>
      <c r="AB368">
        <f ca="1">IF(AND(ISNUMBER($AB$1033),$B$677=1),$AB$1033,HLOOKUP(INDIRECT(ADDRESS(2,COLUMN())),OFFSET($BN$2,0,0,ROW()-1,60),ROW()-1,FALSE))</f>
        <v>13.78902398</v>
      </c>
      <c r="AC368">
        <f ca="1">IF(AND(ISNUMBER($AC$1033),$B$677=1),$AC$1033,HLOOKUP(INDIRECT(ADDRESS(2,COLUMN())),OFFSET($BN$2,0,0,ROW()-1,60),ROW()-1,FALSE))</f>
        <v>9.7360111249999992</v>
      </c>
      <c r="AD368">
        <f ca="1">IF(AND(ISNUMBER($AD$1033),$B$677=1),$AD$1033,HLOOKUP(INDIRECT(ADDRESS(2,COLUMN())),OFFSET($BN$2,0,0,ROW()-1,60),ROW()-1,FALSE))</f>
        <v>4.8731774750000003</v>
      </c>
      <c r="AE368">
        <f ca="1">IF(AND(ISNUMBER($AE$1033),$B$677=1),$AE$1033,HLOOKUP(INDIRECT(ADDRESS(2,COLUMN())),OFFSET($BN$2,0,0,ROW()-1,60),ROW()-1,FALSE))</f>
        <v>10.001581249999999</v>
      </c>
      <c r="AF368">
        <f ca="1">IF(AND(ISNUMBER($AF$1033),$B$677=1),$AF$1033,HLOOKUP(INDIRECT(ADDRESS(2,COLUMN())),OFFSET($BN$2,0,0,ROW()-1,60),ROW()-1,FALSE))</f>
        <v>23.826805239999999</v>
      </c>
      <c r="AG368">
        <f ca="1">IF(AND(ISNUMBER($AG$1033),$B$677=1),$AG$1033,HLOOKUP(INDIRECT(ADDRESS(2,COLUMN())),OFFSET($BN$2,0,0,ROW()-1,60),ROW()-1,FALSE))</f>
        <v>22.90370304</v>
      </c>
      <c r="AH368">
        <f ca="1">IF(AND(ISNUMBER($AH$1033),$B$677=1),$AH$1033,HLOOKUP(INDIRECT(ADDRESS(2,COLUMN())),OFFSET($BN$2,0,0,ROW()-1,60),ROW()-1,FALSE))</f>
        <v>21.785989969999999</v>
      </c>
      <c r="AI368">
        <f ca="1">IF(AND(ISNUMBER($AI$1033),$B$677=1),$AI$1033,HLOOKUP(INDIRECT(ADDRESS(2,COLUMN())),OFFSET($BN$2,0,0,ROW()-1,60),ROW()-1,FALSE))</f>
        <v>14.61602663</v>
      </c>
      <c r="AJ368">
        <f ca="1">IF(AND(ISNUMBER($AJ$1033),$B$677=1),$AJ$1033,HLOOKUP(INDIRECT(ADDRESS(2,COLUMN())),OFFSET($BN$2,0,0,ROW()-1,60),ROW()-1,FALSE))</f>
        <v>12.372803729999999</v>
      </c>
      <c r="AK368">
        <f ca="1">IF(AND(ISNUMBER($AK$1033),$B$677=1),$AK$1033,HLOOKUP(INDIRECT(ADDRESS(2,COLUMN())),OFFSET($BN$2,0,0,ROW()-1,60),ROW()-1,FALSE))</f>
        <v>16.279069239999998</v>
      </c>
      <c r="AL368">
        <f ca="1">IF(AND(ISNUMBER($AL$1033),$B$677=1),$AL$1033,HLOOKUP(INDIRECT(ADDRESS(2,COLUMN())),OFFSET($BN$2,0,0,ROW()-1,60),ROW()-1,FALSE))</f>
        <v>18.30943151</v>
      </c>
      <c r="AM368">
        <f ca="1">IF(AND(ISNUMBER($AM$1033),$B$677=1),$AM$1033,HLOOKUP(INDIRECT(ADDRESS(2,COLUMN())),OFFSET($BN$2,0,0,ROW()-1,60),ROW()-1,FALSE))</f>
        <v>21.418273259999999</v>
      </c>
      <c r="AN368">
        <f ca="1">IF(AND(ISNUMBER($AN$1033),$B$677=1),$AN$1033,HLOOKUP(INDIRECT(ADDRESS(2,COLUMN())),OFFSET($BN$2,0,0,ROW()-1,60),ROW()-1,FALSE))</f>
        <v>18.816944020000001</v>
      </c>
      <c r="AO368" t="str">
        <f ca="1">IF(AND(ISNUMBER($AO$1033),$B$677=1),$AO$1033,HLOOKUP(INDIRECT(ADDRESS(2,COLUMN())),OFFSET($BN$2,0,0,ROW()-1,60),ROW()-1,FALSE))</f>
        <v/>
      </c>
      <c r="AP368" t="str">
        <f ca="1">IF(AND(ISNUMBER($AP$1033),$B$677=1),$AP$1033,HLOOKUP(INDIRECT(ADDRESS(2,COLUMN())),OFFSET($BN$2,0,0,ROW()-1,60),ROW()-1,FALSE))</f>
        <v/>
      </c>
      <c r="AQ368" t="str">
        <f ca="1">IF(AND(ISNUMBER($AQ$1033),$B$677=1),$AQ$1033,HLOOKUP(INDIRECT(ADDRESS(2,COLUMN())),OFFSET($BN$2,0,0,ROW()-1,60),ROW()-1,FALSE))</f>
        <v/>
      </c>
      <c r="AR368" t="str">
        <f ca="1">IF(AND(ISNUMBER($AR$1033),$B$677=1),$AR$1033,HLOOKUP(INDIRECT(ADDRESS(2,COLUMN())),OFFSET($BN$2,0,0,ROW()-1,60),ROW()-1,FALSE))</f>
        <v/>
      </c>
      <c r="AS368" t="str">
        <f ca="1">IF(AND(ISNUMBER($AS$1033),$B$677=1),$AS$1033,HLOOKUP(INDIRECT(ADDRESS(2,COLUMN())),OFFSET($BN$2,0,0,ROW()-1,60),ROW()-1,FALSE))</f>
        <v/>
      </c>
      <c r="AT368" t="str">
        <f ca="1">IF(AND(ISNUMBER($AT$1033),$B$677=1),$AT$1033,HLOOKUP(INDIRECT(ADDRESS(2,COLUMN())),OFFSET($BN$2,0,0,ROW()-1,60),ROW()-1,FALSE))</f>
        <v/>
      </c>
      <c r="AU368" t="str">
        <f ca="1">IF(AND(ISNUMBER($AU$1033),$B$677=1),$AU$1033,HLOOKUP(INDIRECT(ADDRESS(2,COLUMN())),OFFSET($BN$2,0,0,ROW()-1,60),ROW()-1,FALSE))</f>
        <v/>
      </c>
      <c r="AV368" t="str">
        <f ca="1">IF(AND(ISNUMBER($AV$1033),$B$677=1),$AV$1033,HLOOKUP(INDIRECT(ADDRESS(2,COLUMN())),OFFSET($BN$2,0,0,ROW()-1,60),ROW()-1,FALSE))</f>
        <v/>
      </c>
      <c r="AW368" t="str">
        <f ca="1">IF(AND(ISNUMBER($AW$1033),$B$677=1),$AW$1033,HLOOKUP(INDIRECT(ADDRESS(2,COLUMN())),OFFSET($BN$2,0,0,ROW()-1,60),ROW()-1,FALSE))</f>
        <v/>
      </c>
      <c r="AX368" t="str">
        <f ca="1">IF(AND(ISNUMBER($AX$1033),$B$677=1),$AX$1033,HLOOKUP(INDIRECT(ADDRESS(2,COLUMN())),OFFSET($BN$2,0,0,ROW()-1,60),ROW()-1,FALSE))</f>
        <v/>
      </c>
      <c r="AY368" t="str">
        <f ca="1">IF(AND(ISNUMBER($AY$1033),$B$677=1),$AY$1033,HLOOKUP(INDIRECT(ADDRESS(2,COLUMN())),OFFSET($BN$2,0,0,ROW()-1,60),ROW()-1,FALSE))</f>
        <v/>
      </c>
      <c r="AZ368" t="str">
        <f ca="1">IF(AND(ISNUMBER($AZ$1033),$B$677=1),$AZ$1033,HLOOKUP(INDIRECT(ADDRESS(2,COLUMN())),OFFSET($BN$2,0,0,ROW()-1,60),ROW()-1,FALSE))</f>
        <v/>
      </c>
      <c r="BA368" t="str">
        <f ca="1">IF(AND(ISNUMBER($BA$1033),$B$677=1),$BA$1033,HLOOKUP(INDIRECT(ADDRESS(2,COLUMN())),OFFSET($BN$2,0,0,ROW()-1,60),ROW()-1,FALSE))</f>
        <v/>
      </c>
      <c r="BB368" t="str">
        <f ca="1">IF(AND(ISNUMBER($BB$1033),$B$677=1),$BB$1033,HLOOKUP(INDIRECT(ADDRESS(2,COLUMN())),OFFSET($BN$2,0,0,ROW()-1,60),ROW()-1,FALSE))</f>
        <v/>
      </c>
      <c r="BC368" t="str">
        <f ca="1">IF(AND(ISNUMBER($BC$1033),$B$677=1),$BC$1033,HLOOKUP(INDIRECT(ADDRESS(2,COLUMN())),OFFSET($BN$2,0,0,ROW()-1,60),ROW()-1,FALSE))</f>
        <v/>
      </c>
      <c r="BD368" t="str">
        <f ca="1">IF(AND(ISNUMBER($BD$1033),$B$677=1),$BD$1033,HLOOKUP(INDIRECT(ADDRESS(2,COLUMN())),OFFSET($BN$2,0,0,ROW()-1,60),ROW()-1,FALSE))</f>
        <v/>
      </c>
      <c r="BE368" t="str">
        <f ca="1">IF(AND(ISNUMBER($BE$1033),$B$677=1),$BE$1033,HLOOKUP(INDIRECT(ADDRESS(2,COLUMN())),OFFSET($BN$2,0,0,ROW()-1,60),ROW()-1,FALSE))</f>
        <v/>
      </c>
      <c r="BF368" t="str">
        <f ca="1">IF(AND(ISNUMBER($BF$1033),$B$677=1),$BF$1033,HLOOKUP(INDIRECT(ADDRESS(2,COLUMN())),OFFSET($BN$2,0,0,ROW()-1,60),ROW()-1,FALSE))</f>
        <v/>
      </c>
      <c r="BG368" t="str">
        <f ca="1">IF(AND(ISNUMBER($BG$1033),$B$677=1),$BG$1033,HLOOKUP(INDIRECT(ADDRESS(2,COLUMN())),OFFSET($BN$2,0,0,ROW()-1,60),ROW()-1,FALSE))</f>
        <v/>
      </c>
      <c r="BH368" t="str">
        <f ca="1">IF(AND(ISNUMBER($BH$1033),$B$677=1),$BH$1033,HLOOKUP(INDIRECT(ADDRESS(2,COLUMN())),OFFSET($BN$2,0,0,ROW()-1,60),ROW()-1,FALSE))</f>
        <v/>
      </c>
      <c r="BI368" t="str">
        <f ca="1">IF(AND(ISNUMBER($BI$1033),$B$677=1),$BI$1033,HLOOKUP(INDIRECT(ADDRESS(2,COLUMN())),OFFSET($BN$2,0,0,ROW()-1,60),ROW()-1,FALSE))</f>
        <v/>
      </c>
      <c r="BJ368" t="str">
        <f ca="1">IF(AND(ISNUMBER($BJ$1033),$B$677=1),$BJ$1033,HLOOKUP(INDIRECT(ADDRESS(2,COLUMN())),OFFSET($BN$2,0,0,ROW()-1,60),ROW()-1,FALSE))</f>
        <v/>
      </c>
      <c r="BK368" t="str">
        <f ca="1">IF(AND(ISNUMBER($BK$1033),$B$677=1),$BK$1033,HLOOKUP(INDIRECT(ADDRESS(2,COLUMN())),OFFSET($BN$2,0,0,ROW()-1,60),ROW()-1,FALSE))</f>
        <v/>
      </c>
      <c r="BL368" t="str">
        <f ca="1">IF(AND(ISNUMBER($BL$1033),$B$677=1),$BL$1033,HLOOKUP(INDIRECT(ADDRESS(2,COLUMN())),OFFSET($BN$2,0,0,ROW()-1,60),ROW()-1,FALSE))</f>
        <v/>
      </c>
      <c r="BM368" t="str">
        <f ca="1">IF(AND(ISNUMBER($BM$1033),$B$677=1),$BM$1033,HLOOKUP(INDIRECT(ADDRESS(2,COLUMN())),OFFSET($BN$2,0,0,ROW()-1,60),ROW()-1,FALSE))</f>
        <v/>
      </c>
      <c r="BN368" t="str">
        <f>""</f>
        <v/>
      </c>
      <c r="BO368">
        <f>3.127419703</f>
        <v>3.1274197030000002</v>
      </c>
      <c r="BP368">
        <f>3.171999218</f>
        <v>3.1719992179999998</v>
      </c>
      <c r="BQ368">
        <f>5.012449749</f>
        <v>5.012449749</v>
      </c>
      <c r="BR368">
        <f>4.366750735</f>
        <v>4.3667507350000001</v>
      </c>
      <c r="BS368">
        <f>5.170351847</f>
        <v>5.1703518470000001</v>
      </c>
      <c r="BT368">
        <f>6.058044071</f>
        <v>6.0580440710000003</v>
      </c>
      <c r="BU368">
        <f>6.569221349</f>
        <v>6.5692213490000002</v>
      </c>
      <c r="BV368">
        <f>5.946830041</f>
        <v>5.9468300410000001</v>
      </c>
      <c r="BW368">
        <f>5.590968155</f>
        <v>5.5909681549999997</v>
      </c>
      <c r="BX368">
        <f>5.090951039</f>
        <v>5.0909510390000001</v>
      </c>
      <c r="BY368">
        <f>6.878184891</f>
        <v>6.8781848910000001</v>
      </c>
      <c r="BZ368">
        <f>7.6359129</f>
        <v>7.6359129000000001</v>
      </c>
      <c r="CA368">
        <f>8.155024847</f>
        <v>8.155024847</v>
      </c>
      <c r="CB368">
        <f>8.901861518</f>
        <v>8.9018615180000005</v>
      </c>
      <c r="CC368">
        <f>9.621990112</f>
        <v>9.6219901120000007</v>
      </c>
      <c r="CD368">
        <f>7.070997346</f>
        <v>7.0709973460000004</v>
      </c>
      <c r="CE368">
        <f>8.922254956</f>
        <v>8.9222549559999997</v>
      </c>
      <c r="CF368">
        <f>10.66177924</f>
        <v>10.66177924</v>
      </c>
      <c r="CG368">
        <f>12.18341493</f>
        <v>12.18341493</v>
      </c>
      <c r="CH368">
        <f>12.25920455</f>
        <v>12.25920455</v>
      </c>
      <c r="CI368">
        <f>9.07746702</f>
        <v>9.0774670200000003</v>
      </c>
      <c r="CJ368">
        <f>13.78902398</f>
        <v>13.78902398</v>
      </c>
      <c r="CK368">
        <f>9.736011125</f>
        <v>9.7360111249999992</v>
      </c>
      <c r="CL368">
        <f>4.873177475</f>
        <v>4.8731774750000003</v>
      </c>
      <c r="CM368">
        <f>10.00158125</f>
        <v>10.001581249999999</v>
      </c>
      <c r="CN368">
        <f>23.82680524</f>
        <v>23.826805239999999</v>
      </c>
      <c r="CO368">
        <f>22.90370304</f>
        <v>22.90370304</v>
      </c>
      <c r="CP368">
        <f>21.78598997</f>
        <v>21.785989969999999</v>
      </c>
      <c r="CQ368">
        <f>14.61602663</f>
        <v>14.61602663</v>
      </c>
      <c r="CR368">
        <f>12.37280373</f>
        <v>12.372803729999999</v>
      </c>
      <c r="CS368">
        <f>16.27906924</f>
        <v>16.279069239999998</v>
      </c>
      <c r="CT368">
        <f>18.30943151</f>
        <v>18.30943151</v>
      </c>
      <c r="CU368">
        <f>21.41827326</f>
        <v>21.418273259999999</v>
      </c>
      <c r="CV368">
        <f>18.81694402</f>
        <v>18.816944020000001</v>
      </c>
      <c r="CW368" t="str">
        <f>""</f>
        <v/>
      </c>
      <c r="CX368" t="str">
        <f>""</f>
        <v/>
      </c>
      <c r="CY368" t="str">
        <f>""</f>
        <v/>
      </c>
      <c r="CZ368" t="str">
        <f>""</f>
        <v/>
      </c>
      <c r="DA368" t="str">
        <f>""</f>
        <v/>
      </c>
      <c r="DB368" t="str">
        <f>""</f>
        <v/>
      </c>
      <c r="DC368" t="str">
        <f>""</f>
        <v/>
      </c>
      <c r="DD368" t="str">
        <f>""</f>
        <v/>
      </c>
      <c r="DE368" t="str">
        <f>""</f>
        <v/>
      </c>
      <c r="DF368" t="str">
        <f>""</f>
        <v/>
      </c>
      <c r="DG368" t="str">
        <f>""</f>
        <v/>
      </c>
      <c r="DH368" t="str">
        <f>""</f>
        <v/>
      </c>
      <c r="DI368" t="str">
        <f>""</f>
        <v/>
      </c>
      <c r="DJ368" t="str">
        <f>""</f>
        <v/>
      </c>
      <c r="DK368" t="str">
        <f>""</f>
        <v/>
      </c>
      <c r="DL368" t="str">
        <f>""</f>
        <v/>
      </c>
      <c r="DM368" t="str">
        <f>""</f>
        <v/>
      </c>
      <c r="DN368" t="str">
        <f>""</f>
        <v/>
      </c>
      <c r="DO368" t="str">
        <f>""</f>
        <v/>
      </c>
      <c r="DP368" t="str">
        <f>""</f>
        <v/>
      </c>
      <c r="DQ368" t="str">
        <f>""</f>
        <v/>
      </c>
      <c r="DR368" t="str">
        <f>""</f>
        <v/>
      </c>
      <c r="DS368" t="str">
        <f>""</f>
        <v/>
      </c>
      <c r="DT368" t="str">
        <f>""</f>
        <v/>
      </c>
      <c r="DU368" t="str">
        <f>""</f>
        <v/>
      </c>
    </row>
    <row r="369" spans="1:125" x14ac:dyDescent="0.25">
      <c r="A369" t="str">
        <f>"    Tianjin Faw Xiali Automobile Co Ltd"</f>
        <v xml:space="preserve">    Tianjin Faw Xiali Automobile Co Ltd</v>
      </c>
      <c r="B369" t="str">
        <f>"000927 CH Equity"</f>
        <v>000927 CH Equity</v>
      </c>
      <c r="C369" t="str">
        <f t="shared" si="24"/>
        <v>RR473</v>
      </c>
      <c r="D369" t="str">
        <f t="shared" si="25"/>
        <v>EV_TO_T12M_SALES</v>
      </c>
      <c r="E369" t="str">
        <f t="shared" si="26"/>
        <v>Dynamic</v>
      </c>
      <c r="F369" t="str">
        <f ca="1">IF(AND(ISNUMBER($F$1034),$B$677=1),$F$1034,HLOOKUP(INDIRECT(ADDRESS(2,COLUMN())),OFFSET($BN$2,0,0,ROW()-1,60),ROW()-1,FALSE))</f>
        <v/>
      </c>
      <c r="G369" t="str">
        <f ca="1">IF(AND(ISNUMBER($G$1034),$B$677=1),$G$1034,HLOOKUP(INDIRECT(ADDRESS(2,COLUMN())),OFFSET($BN$2,0,0,ROW()-1,60),ROW()-1,FALSE))</f>
        <v/>
      </c>
      <c r="H369">
        <f ca="1">IF(AND(ISNUMBER($H$1034),$B$677=1),$H$1034,HLOOKUP(INDIRECT(ADDRESS(2,COLUMN())),OFFSET($BN$2,0,0,ROW()-1,60),ROW()-1,FALSE))</f>
        <v>5.6276410620000004</v>
      </c>
      <c r="I369">
        <f ca="1">IF(AND(ISNUMBER($I$1034),$B$677=1),$I$1034,HLOOKUP(INDIRECT(ADDRESS(2,COLUMN())),OFFSET($BN$2,0,0,ROW()-1,60),ROW()-1,FALSE))</f>
        <v>5.8170630460000003</v>
      </c>
      <c r="J369">
        <f ca="1">IF(AND(ISNUMBER($J$1034),$B$677=1),$J$1034,HLOOKUP(INDIRECT(ADDRESS(2,COLUMN())),OFFSET($BN$2,0,0,ROW()-1,60),ROW()-1,FALSE))</f>
        <v>5.9388832469999997</v>
      </c>
      <c r="K369">
        <f ca="1">IF(AND(ISNUMBER($K$1034),$B$677=1),$K$1034,HLOOKUP(INDIRECT(ADDRESS(2,COLUMN())),OFFSET($BN$2,0,0,ROW()-1,60),ROW()-1,FALSE))</f>
        <v>6.8745417980000001</v>
      </c>
      <c r="L369">
        <f ca="1">IF(AND(ISNUMBER($L$1034),$B$677=1),$L$1034,HLOOKUP(INDIRECT(ADDRESS(2,COLUMN())),OFFSET($BN$2,0,0,ROW()-1,60),ROW()-1,FALSE))</f>
        <v>6.8584523610000003</v>
      </c>
      <c r="M369">
        <f ca="1">IF(AND(ISNUMBER($M$1034),$B$677=1),$M$1034,HLOOKUP(INDIRECT(ADDRESS(2,COLUMN())),OFFSET($BN$2,0,0,ROW()-1,60),ROW()-1,FALSE))</f>
        <v>5.8433238010000004</v>
      </c>
      <c r="N369">
        <f ca="1">IF(AND(ISNUMBER($N$1034),$B$677=1),$N$1034,HLOOKUP(INDIRECT(ADDRESS(2,COLUMN())),OFFSET($BN$2,0,0,ROW()-1,60),ROW()-1,FALSE))</f>
        <v>7.0850147239999997</v>
      </c>
      <c r="O369">
        <f ca="1">IF(AND(ISNUMBER($O$1034),$B$677=1),$O$1034,HLOOKUP(INDIRECT(ADDRESS(2,COLUMN())),OFFSET($BN$2,0,0,ROW()-1,60),ROW()-1,FALSE))</f>
        <v>5.0214274730000001</v>
      </c>
      <c r="P369">
        <f ca="1">IF(AND(ISNUMBER($P$1034),$B$677=1),$P$1034,HLOOKUP(INDIRECT(ADDRESS(2,COLUMN())),OFFSET($BN$2,0,0,ROW()-1,60),ROW()-1,FALSE))</f>
        <v>3.1824397250000001</v>
      </c>
      <c r="Q369">
        <f ca="1">IF(AND(ISNUMBER($Q$1034),$B$677=1),$Q$1034,HLOOKUP(INDIRECT(ADDRESS(2,COLUMN())),OFFSET($BN$2,0,0,ROW()-1,60),ROW()-1,FALSE))</f>
        <v>4.3966207879999999</v>
      </c>
      <c r="R369">
        <f ca="1">IF(AND(ISNUMBER($R$1034),$B$677=1),$R$1034,HLOOKUP(INDIRECT(ADDRESS(2,COLUMN())),OFFSET($BN$2,0,0,ROW()-1,60),ROW()-1,FALSE))</f>
        <v>4.3648648010000004</v>
      </c>
      <c r="S369">
        <f ca="1">IF(AND(ISNUMBER($S$1034),$B$677=1),$S$1034,HLOOKUP(INDIRECT(ADDRESS(2,COLUMN())),OFFSET($BN$2,0,0,ROW()-1,60),ROW()-1,FALSE))</f>
        <v>3.8374867469999998</v>
      </c>
      <c r="T369">
        <f ca="1">IF(AND(ISNUMBER($T$1034),$B$677=1),$T$1034,HLOOKUP(INDIRECT(ADDRESS(2,COLUMN())),OFFSET($BN$2,0,0,ROW()-1,60),ROW()-1,FALSE))</f>
        <v>3.8722756170000001</v>
      </c>
      <c r="U369">
        <f ca="1">IF(AND(ISNUMBER($U$1034),$B$677=1),$U$1034,HLOOKUP(INDIRECT(ADDRESS(2,COLUMN())),OFFSET($BN$2,0,0,ROW()-1,60),ROW()-1,FALSE))</f>
        <v>5.0548996060000002</v>
      </c>
      <c r="V369">
        <f ca="1">IF(AND(ISNUMBER($V$1034),$B$677=1),$V$1034,HLOOKUP(INDIRECT(ADDRESS(2,COLUMN())),OFFSET($BN$2,0,0,ROW()-1,60),ROW()-1,FALSE))</f>
        <v>4.6592382289999996</v>
      </c>
      <c r="W369">
        <f ca="1">IF(AND(ISNUMBER($W$1034),$B$677=1),$W$1034,HLOOKUP(INDIRECT(ADDRESS(2,COLUMN())),OFFSET($BN$2,0,0,ROW()-1,60),ROW()-1,FALSE))</f>
        <v>4.1462310320000002</v>
      </c>
      <c r="X369">
        <f ca="1">IF(AND(ISNUMBER($X$1034),$B$677=1),$X$1034,HLOOKUP(INDIRECT(ADDRESS(2,COLUMN())),OFFSET($BN$2,0,0,ROW()-1,60),ROW()-1,FALSE))</f>
        <v>2.7503606490000001</v>
      </c>
      <c r="Y369">
        <f ca="1">IF(AND(ISNUMBER($Y$1034),$B$677=1),$Y$1034,HLOOKUP(INDIRECT(ADDRESS(2,COLUMN())),OFFSET($BN$2,0,0,ROW()-1,60),ROW()-1,FALSE))</f>
        <v>1.8702780530000001</v>
      </c>
      <c r="Z369">
        <f ca="1">IF(AND(ISNUMBER($Z$1034),$B$677=1),$Z$1034,HLOOKUP(INDIRECT(ADDRESS(2,COLUMN())),OFFSET($BN$2,0,0,ROW()-1,60),ROW()-1,FALSE))</f>
        <v>1.776770985</v>
      </c>
      <c r="AA369">
        <f ca="1">IF(AND(ISNUMBER($AA$1034),$B$677=1),$AA$1034,HLOOKUP(INDIRECT(ADDRESS(2,COLUMN())),OFFSET($BN$2,0,0,ROW()-1,60),ROW()-1,FALSE))</f>
        <v>1.397383166</v>
      </c>
      <c r="AB369">
        <f ca="1">IF(AND(ISNUMBER($AB$1034),$B$677=1),$AB$1034,HLOOKUP(INDIRECT(ADDRESS(2,COLUMN())),OFFSET($BN$2,0,0,ROW()-1,60),ROW()-1,FALSE))</f>
        <v>1.267570273</v>
      </c>
      <c r="AC369">
        <f ca="1">IF(AND(ISNUMBER($AC$1034),$B$677=1),$AC$1034,HLOOKUP(INDIRECT(ADDRESS(2,COLUMN())),OFFSET($BN$2,0,0,ROW()-1,60),ROW()-1,FALSE))</f>
        <v>1.030551107</v>
      </c>
      <c r="AD369">
        <f ca="1">IF(AND(ISNUMBER($AD$1034),$B$677=1),$AD$1034,HLOOKUP(INDIRECT(ADDRESS(2,COLUMN())),OFFSET($BN$2,0,0,ROW()-1,60),ROW()-1,FALSE))</f>
        <v>1.2253092969999999</v>
      </c>
      <c r="AE369">
        <f ca="1">IF(AND(ISNUMBER($AE$1034),$B$677=1),$AE$1034,HLOOKUP(INDIRECT(ADDRESS(2,COLUMN())),OFFSET($BN$2,0,0,ROW()-1,60),ROW()-1,FALSE))</f>
        <v>1.271631596</v>
      </c>
      <c r="AF369">
        <f ca="1">IF(AND(ISNUMBER($AF$1034),$B$677=1),$AF$1034,HLOOKUP(INDIRECT(ADDRESS(2,COLUMN())),OFFSET($BN$2,0,0,ROW()-1,60),ROW()-1,FALSE))</f>
        <v>1.153974359</v>
      </c>
      <c r="AG369">
        <f ca="1">IF(AND(ISNUMBER($AG$1034),$B$677=1),$AG$1034,HLOOKUP(INDIRECT(ADDRESS(2,COLUMN())),OFFSET($BN$2,0,0,ROW()-1,60),ROW()-1,FALSE))</f>
        <v>1.47218654</v>
      </c>
      <c r="AH369">
        <f ca="1">IF(AND(ISNUMBER($AH$1034),$B$677=1),$AH$1034,HLOOKUP(INDIRECT(ADDRESS(2,COLUMN())),OFFSET($BN$2,0,0,ROW()-1,60),ROW()-1,FALSE))</f>
        <v>1.3613793780000001</v>
      </c>
      <c r="AI369">
        <f ca="1">IF(AND(ISNUMBER($AI$1034),$B$677=1),$AI$1034,HLOOKUP(INDIRECT(ADDRESS(2,COLUMN())),OFFSET($BN$2,0,0,ROW()-1,60),ROW()-1,FALSE))</f>
        <v>1.0810588759999999</v>
      </c>
      <c r="AJ369">
        <f ca="1">IF(AND(ISNUMBER($AJ$1034),$B$677=1),$AJ$1034,HLOOKUP(INDIRECT(ADDRESS(2,COLUMN())),OFFSET($BN$2,0,0,ROW()-1,60),ROW()-1,FALSE))</f>
        <v>1.1574389700000001</v>
      </c>
      <c r="AK369">
        <f ca="1">IF(AND(ISNUMBER($AK$1034),$B$677=1),$AK$1034,HLOOKUP(INDIRECT(ADDRESS(2,COLUMN())),OFFSET($BN$2,0,0,ROW()-1,60),ROW()-1,FALSE))</f>
        <v>1.027867879</v>
      </c>
      <c r="AL369">
        <f ca="1">IF(AND(ISNUMBER($AL$1034),$B$677=1),$AL$1034,HLOOKUP(INDIRECT(ADDRESS(2,COLUMN())),OFFSET($BN$2,0,0,ROW()-1,60),ROW()-1,FALSE))</f>
        <v>1.2784820619999999</v>
      </c>
      <c r="AM369">
        <f ca="1">IF(AND(ISNUMBER($AM$1034),$B$677=1),$AM$1034,HLOOKUP(INDIRECT(ADDRESS(2,COLUMN())),OFFSET($BN$2,0,0,ROW()-1,60),ROW()-1,FALSE))</f>
        <v>1.349325433</v>
      </c>
      <c r="AN369">
        <f ca="1">IF(AND(ISNUMBER($AN$1034),$B$677=1),$AN$1034,HLOOKUP(INDIRECT(ADDRESS(2,COLUMN())),OFFSET($BN$2,0,0,ROW()-1,60),ROW()-1,FALSE))</f>
        <v>1.473644207</v>
      </c>
      <c r="AO369">
        <f ca="1">IF(AND(ISNUMBER($AO$1034),$B$677=1),$AO$1034,HLOOKUP(INDIRECT(ADDRESS(2,COLUMN())),OFFSET($BN$2,0,0,ROW()-1,60),ROW()-1,FALSE))</f>
        <v>1.3881014739999999</v>
      </c>
      <c r="AP369">
        <f ca="1">IF(AND(ISNUMBER($AP$1034),$B$677=1),$AP$1034,HLOOKUP(INDIRECT(ADDRESS(2,COLUMN())),OFFSET($BN$2,0,0,ROW()-1,60),ROW()-1,FALSE))</f>
        <v>1.7741863149999999</v>
      </c>
      <c r="AQ369">
        <f ca="1">IF(AND(ISNUMBER($AQ$1034),$B$677=1),$AQ$1034,HLOOKUP(INDIRECT(ADDRESS(2,COLUMN())),OFFSET($BN$2,0,0,ROW()-1,60),ROW()-1,FALSE))</f>
        <v>2.2865149790000001</v>
      </c>
      <c r="AR369">
        <f ca="1">IF(AND(ISNUMBER($AR$1034),$B$677=1),$AR$1034,HLOOKUP(INDIRECT(ADDRESS(2,COLUMN())),OFFSET($BN$2,0,0,ROW()-1,60),ROW()-1,FALSE))</f>
        <v>1.444186403</v>
      </c>
      <c r="AS369">
        <f ca="1">IF(AND(ISNUMBER($AS$1034),$B$677=1),$AS$1034,HLOOKUP(INDIRECT(ADDRESS(2,COLUMN())),OFFSET($BN$2,0,0,ROW()-1,60),ROW()-1,FALSE))</f>
        <v>1.5525032599999999</v>
      </c>
      <c r="AT369">
        <f ca="1">IF(AND(ISNUMBER($AT$1034),$B$677=1),$AT$1034,HLOOKUP(INDIRECT(ADDRESS(2,COLUMN())),OFFSET($BN$2,0,0,ROW()-1,60),ROW()-1,FALSE))</f>
        <v>1.2505283599999999</v>
      </c>
      <c r="AU369">
        <f ca="1">IF(AND(ISNUMBER($AU$1034),$B$677=1),$AU$1034,HLOOKUP(INDIRECT(ADDRESS(2,COLUMN())),OFFSET($BN$2,0,0,ROW()-1,60),ROW()-1,FALSE))</f>
        <v>0.97096822599999999</v>
      </c>
      <c r="AV369">
        <f ca="1">IF(AND(ISNUMBER($AV$1034),$B$677=1),$AV$1034,HLOOKUP(INDIRECT(ADDRESS(2,COLUMN())),OFFSET($BN$2,0,0,ROW()-1,60),ROW()-1,FALSE))</f>
        <v>0.88726601999999999</v>
      </c>
      <c r="AW369">
        <f ca="1">IF(AND(ISNUMBER($AW$1034),$B$677=1),$AW$1034,HLOOKUP(INDIRECT(ADDRESS(2,COLUMN())),OFFSET($BN$2,0,0,ROW()-1,60),ROW()-1,FALSE))</f>
        <v>0.860999933</v>
      </c>
      <c r="AX369">
        <f ca="1">IF(AND(ISNUMBER($AX$1034),$B$677=1),$AX$1034,HLOOKUP(INDIRECT(ADDRESS(2,COLUMN())),OFFSET($BN$2,0,0,ROW()-1,60),ROW()-1,FALSE))</f>
        <v>1.6593657989999999</v>
      </c>
      <c r="AY369">
        <f ca="1">IF(AND(ISNUMBER($AY$1034),$B$677=1),$AY$1034,HLOOKUP(INDIRECT(ADDRESS(2,COLUMN())),OFFSET($BN$2,0,0,ROW()-1,60),ROW()-1,FALSE))</f>
        <v>3.0428635540000002</v>
      </c>
      <c r="AZ369">
        <f ca="1">IF(AND(ISNUMBER($AZ$1034),$B$677=1),$AZ$1034,HLOOKUP(INDIRECT(ADDRESS(2,COLUMN())),OFFSET($BN$2,0,0,ROW()-1,60),ROW()-1,FALSE))</f>
        <v>3.2683995559999999</v>
      </c>
      <c r="BA369">
        <f ca="1">IF(AND(ISNUMBER($BA$1034),$B$677=1),$BA$1034,HLOOKUP(INDIRECT(ADDRESS(2,COLUMN())),OFFSET($BN$2,0,0,ROW()-1,60),ROW()-1,FALSE))</f>
        <v>1.6482949140000001</v>
      </c>
      <c r="BB369">
        <f ca="1">IF(AND(ISNUMBER($BB$1034),$B$677=1),$BB$1034,HLOOKUP(INDIRECT(ADDRESS(2,COLUMN())),OFFSET($BN$2,0,0,ROW()-1,60),ROW()-1,FALSE))</f>
        <v>1.8920726269999999</v>
      </c>
      <c r="BC369">
        <f ca="1">IF(AND(ISNUMBER($BC$1034),$B$677=1),$BC$1034,HLOOKUP(INDIRECT(ADDRESS(2,COLUMN())),OFFSET($BN$2,0,0,ROW()-1,60),ROW()-1,FALSE))</f>
        <v>1.06285279</v>
      </c>
      <c r="BD369">
        <f ca="1">IF(AND(ISNUMBER($BD$1034),$B$677=1),$BD$1034,HLOOKUP(INDIRECT(ADDRESS(2,COLUMN())),OFFSET($BN$2,0,0,ROW()-1,60),ROW()-1,FALSE))</f>
        <v>0.84738864999999997</v>
      </c>
      <c r="BE369">
        <f ca="1">IF(AND(ISNUMBER($BE$1034),$B$677=1),$BE$1034,HLOOKUP(INDIRECT(ADDRESS(2,COLUMN())),OFFSET($BN$2,0,0,ROW()-1,60),ROW()-1,FALSE))</f>
        <v>1.486995906</v>
      </c>
      <c r="BF369">
        <f ca="1">IF(AND(ISNUMBER($BF$1034),$B$677=1),$BF$1034,HLOOKUP(INDIRECT(ADDRESS(2,COLUMN())),OFFSET($BN$2,0,0,ROW()-1,60),ROW()-1,FALSE))</f>
        <v>1.1880445719999999</v>
      </c>
      <c r="BG369">
        <f ca="1">IF(AND(ISNUMBER($BG$1034),$B$677=1),$BG$1034,HLOOKUP(INDIRECT(ADDRESS(2,COLUMN())),OFFSET($BN$2,0,0,ROW()-1,60),ROW()-1,FALSE))</f>
        <v>1.225047647</v>
      </c>
      <c r="BH369">
        <f ca="1">IF(AND(ISNUMBER($BH$1034),$B$677=1),$BH$1034,HLOOKUP(INDIRECT(ADDRESS(2,COLUMN())),OFFSET($BN$2,0,0,ROW()-1,60),ROW()-1,FALSE))</f>
        <v>1.361126276</v>
      </c>
      <c r="BI369">
        <f ca="1">IF(AND(ISNUMBER($BI$1034),$B$677=1),$BI$1034,HLOOKUP(INDIRECT(ADDRESS(2,COLUMN())),OFFSET($BN$2,0,0,ROW()-1,60),ROW()-1,FALSE))</f>
        <v>1.1595549030000001</v>
      </c>
      <c r="BJ369">
        <f ca="1">IF(AND(ISNUMBER($BJ$1034),$B$677=1),$BJ$1034,HLOOKUP(INDIRECT(ADDRESS(2,COLUMN())),OFFSET($BN$2,0,0,ROW()-1,60),ROW()-1,FALSE))</f>
        <v>1.2078055480000001</v>
      </c>
      <c r="BK369">
        <f ca="1">IF(AND(ISNUMBER($BK$1034),$B$677=1),$BK$1034,HLOOKUP(INDIRECT(ADDRESS(2,COLUMN())),OFFSET($BN$2,0,0,ROW()-1,60),ROW()-1,FALSE))</f>
        <v>1.3437975049999999</v>
      </c>
      <c r="BL369">
        <f ca="1">IF(AND(ISNUMBER($BL$1034),$B$677=1),$BL$1034,HLOOKUP(INDIRECT(ADDRESS(2,COLUMN())),OFFSET($BN$2,0,0,ROW()-1,60),ROW()-1,FALSE))</f>
        <v>1.7654483009999999</v>
      </c>
      <c r="BM369">
        <f ca="1">IF(AND(ISNUMBER($BM$1034),$B$677=1),$BM$1034,HLOOKUP(INDIRECT(ADDRESS(2,COLUMN())),OFFSET($BN$2,0,0,ROW()-1,60),ROW()-1,FALSE))</f>
        <v>2.0018462920000002</v>
      </c>
      <c r="BN369" t="str">
        <f>""</f>
        <v/>
      </c>
      <c r="BO369" t="str">
        <f>""</f>
        <v/>
      </c>
      <c r="BP369">
        <f>5.627641062</f>
        <v>5.6276410620000004</v>
      </c>
      <c r="BQ369">
        <f>5.817063046</f>
        <v>5.8170630460000003</v>
      </c>
      <c r="BR369">
        <f>5.938883247</f>
        <v>5.9388832469999997</v>
      </c>
      <c r="BS369">
        <f>6.874541798</f>
        <v>6.8745417980000001</v>
      </c>
      <c r="BT369">
        <f>6.858452361</f>
        <v>6.8584523610000003</v>
      </c>
      <c r="BU369">
        <f>5.843323801</f>
        <v>5.8433238010000004</v>
      </c>
      <c r="BV369">
        <f>7.085014724</f>
        <v>7.0850147239999997</v>
      </c>
      <c r="BW369">
        <f>5.021427473</f>
        <v>5.0214274730000001</v>
      </c>
      <c r="BX369">
        <f>3.182439725</f>
        <v>3.1824397250000001</v>
      </c>
      <c r="BY369">
        <f>4.396620788</f>
        <v>4.3966207879999999</v>
      </c>
      <c r="BZ369">
        <f>4.364864801</f>
        <v>4.3648648010000004</v>
      </c>
      <c r="CA369">
        <f>3.837486747</f>
        <v>3.8374867469999998</v>
      </c>
      <c r="CB369">
        <f>3.872275617</f>
        <v>3.8722756170000001</v>
      </c>
      <c r="CC369">
        <f>5.054899606</f>
        <v>5.0548996060000002</v>
      </c>
      <c r="CD369">
        <f>4.659238229</f>
        <v>4.6592382289999996</v>
      </c>
      <c r="CE369">
        <f>4.146231032</f>
        <v>4.1462310320000002</v>
      </c>
      <c r="CF369">
        <f>2.750360649</f>
        <v>2.7503606490000001</v>
      </c>
      <c r="CG369">
        <f>1.870278053</f>
        <v>1.8702780530000001</v>
      </c>
      <c r="CH369">
        <f>1.776770985</f>
        <v>1.776770985</v>
      </c>
      <c r="CI369">
        <f>1.397383166</f>
        <v>1.397383166</v>
      </c>
      <c r="CJ369">
        <f>1.267570273</f>
        <v>1.267570273</v>
      </c>
      <c r="CK369">
        <f>1.030551107</f>
        <v>1.030551107</v>
      </c>
      <c r="CL369">
        <f>1.225309297</f>
        <v>1.2253092969999999</v>
      </c>
      <c r="CM369">
        <f>1.271631596</f>
        <v>1.271631596</v>
      </c>
      <c r="CN369">
        <f>1.153974359</f>
        <v>1.153974359</v>
      </c>
      <c r="CO369">
        <f>1.47218654</f>
        <v>1.47218654</v>
      </c>
      <c r="CP369">
        <f>1.361379378</f>
        <v>1.3613793780000001</v>
      </c>
      <c r="CQ369">
        <f>1.081058876</f>
        <v>1.0810588759999999</v>
      </c>
      <c r="CR369">
        <f>1.15743897</f>
        <v>1.1574389700000001</v>
      </c>
      <c r="CS369">
        <f>1.027867879</f>
        <v>1.027867879</v>
      </c>
      <c r="CT369">
        <f>1.278482062</f>
        <v>1.2784820619999999</v>
      </c>
      <c r="CU369">
        <f>1.349325433</f>
        <v>1.349325433</v>
      </c>
      <c r="CV369">
        <f>1.473644207</f>
        <v>1.473644207</v>
      </c>
      <c r="CW369">
        <f>1.388101474</f>
        <v>1.3881014739999999</v>
      </c>
      <c r="CX369">
        <f>1.774186315</f>
        <v>1.7741863149999999</v>
      </c>
      <c r="CY369">
        <f>2.286514979</f>
        <v>2.2865149790000001</v>
      </c>
      <c r="CZ369">
        <f>1.444186403</f>
        <v>1.444186403</v>
      </c>
      <c r="DA369">
        <f>1.55250326</f>
        <v>1.5525032599999999</v>
      </c>
      <c r="DB369">
        <f>1.25052836</f>
        <v>1.2505283599999999</v>
      </c>
      <c r="DC369">
        <f>0.970968226</f>
        <v>0.97096822599999999</v>
      </c>
      <c r="DD369">
        <f>0.88726602</f>
        <v>0.88726601999999999</v>
      </c>
      <c r="DE369">
        <f>0.860999933</f>
        <v>0.860999933</v>
      </c>
      <c r="DF369">
        <f>1.659365799</f>
        <v>1.6593657989999999</v>
      </c>
      <c r="DG369">
        <f>3.042863554</f>
        <v>3.0428635540000002</v>
      </c>
      <c r="DH369">
        <f>3.268399556</f>
        <v>3.2683995559999999</v>
      </c>
      <c r="DI369">
        <f>1.648294914</f>
        <v>1.6482949140000001</v>
      </c>
      <c r="DJ369">
        <f>1.892072627</f>
        <v>1.8920726269999999</v>
      </c>
      <c r="DK369">
        <f>1.06285279</f>
        <v>1.06285279</v>
      </c>
      <c r="DL369">
        <f>0.84738865</f>
        <v>0.84738864999999997</v>
      </c>
      <c r="DM369">
        <f>1.486995906</f>
        <v>1.486995906</v>
      </c>
      <c r="DN369">
        <f>1.188044572</f>
        <v>1.1880445719999999</v>
      </c>
      <c r="DO369">
        <f>1.225047647</f>
        <v>1.225047647</v>
      </c>
      <c r="DP369">
        <f>1.361126276</f>
        <v>1.361126276</v>
      </c>
      <c r="DQ369">
        <f>1.159554903</f>
        <v>1.1595549030000001</v>
      </c>
      <c r="DR369">
        <f>1.207805548</f>
        <v>1.2078055480000001</v>
      </c>
      <c r="DS369">
        <f>1.343797505</f>
        <v>1.3437975049999999</v>
      </c>
      <c r="DT369">
        <f>1.765448301</f>
        <v>1.7654483009999999</v>
      </c>
      <c r="DU369">
        <f>2.001846292</f>
        <v>2.0018462920000002</v>
      </c>
    </row>
    <row r="370" spans="1:125" x14ac:dyDescent="0.25">
      <c r="A370" t="str">
        <f>"    Tofas Turk Otomobil Fabrikasi AS"</f>
        <v xml:space="preserve">    Tofas Turk Otomobil Fabrikasi AS</v>
      </c>
      <c r="B370" t="str">
        <f>"TOASOTRY EO Equity"</f>
        <v>TOASOTRY EO Equity</v>
      </c>
      <c r="C370" t="str">
        <f t="shared" si="24"/>
        <v>RR473</v>
      </c>
      <c r="D370" t="str">
        <f t="shared" si="25"/>
        <v>EV_TO_T12M_SALES</v>
      </c>
      <c r="E370" t="str">
        <f t="shared" si="26"/>
        <v>Dynamic</v>
      </c>
      <c r="F370" t="str">
        <f ca="1">IF(AND(ISNUMBER($F$1035),$B$677=1),$F$1035,HLOOKUP(INDIRECT(ADDRESS(2,COLUMN())),OFFSET($BN$2,0,0,ROW()-1,60),ROW()-1,FALSE))</f>
        <v/>
      </c>
      <c r="G370">
        <f ca="1">IF(AND(ISNUMBER($G$1035),$B$677=1),$G$1035,HLOOKUP(INDIRECT(ADDRESS(2,COLUMN())),OFFSET($BN$2,0,0,ROW()-1,60),ROW()-1,FALSE))</f>
        <v>0.60196435800000003</v>
      </c>
      <c r="H370">
        <f ca="1">IF(AND(ISNUMBER($H$1035),$B$677=1),$H$1035,HLOOKUP(INDIRECT(ADDRESS(2,COLUMN())),OFFSET($BN$2,0,0,ROW()-1,60),ROW()-1,FALSE))</f>
        <v>0.76459224299999995</v>
      </c>
      <c r="I370">
        <f ca="1">IF(AND(ISNUMBER($I$1035),$B$677=1),$I$1035,HLOOKUP(INDIRECT(ADDRESS(2,COLUMN())),OFFSET($BN$2,0,0,ROW()-1,60),ROW()-1,FALSE))</f>
        <v>0.78994787799999999</v>
      </c>
      <c r="J370">
        <f ca="1">IF(AND(ISNUMBER($J$1035),$B$677=1),$J$1035,HLOOKUP(INDIRECT(ADDRESS(2,COLUMN())),OFFSET($BN$2,0,0,ROW()-1,60),ROW()-1,FALSE))</f>
        <v>0.89441673700000002</v>
      </c>
      <c r="K370">
        <f ca="1">IF(AND(ISNUMBER($K$1035),$B$677=1),$K$1035,HLOOKUP(INDIRECT(ADDRESS(2,COLUMN())),OFFSET($BN$2,0,0,ROW()-1,60),ROW()-1,FALSE))</f>
        <v>1.0678715270000001</v>
      </c>
      <c r="L370">
        <f ca="1">IF(AND(ISNUMBER($L$1035),$B$677=1),$L$1035,HLOOKUP(INDIRECT(ADDRESS(2,COLUMN())),OFFSET($BN$2,0,0,ROW()-1,60),ROW()-1,FALSE))</f>
        <v>1.031842269</v>
      </c>
      <c r="M370">
        <f ca="1">IF(AND(ISNUMBER($M$1035),$B$677=1),$M$1035,HLOOKUP(INDIRECT(ADDRESS(2,COLUMN())),OFFSET($BN$2,0,0,ROW()-1,60),ROW()-1,FALSE))</f>
        <v>1.016039275</v>
      </c>
      <c r="N370">
        <f ca="1">IF(AND(ISNUMBER($N$1035),$B$677=1),$N$1035,HLOOKUP(INDIRECT(ADDRESS(2,COLUMN())),OFFSET($BN$2,0,0,ROW()-1,60),ROW()-1,FALSE))</f>
        <v>0.98640808499999999</v>
      </c>
      <c r="O370">
        <f ca="1">IF(AND(ISNUMBER($O$1035),$B$677=1),$O$1035,HLOOKUP(INDIRECT(ADDRESS(2,COLUMN())),OFFSET($BN$2,0,0,ROW()-1,60),ROW()-1,FALSE))</f>
        <v>1.0237948180000001</v>
      </c>
      <c r="P370">
        <f ca="1">IF(AND(ISNUMBER($P$1035),$B$677=1),$P$1035,HLOOKUP(INDIRECT(ADDRESS(2,COLUMN())),OFFSET($BN$2,0,0,ROW()-1,60),ROW()-1,FALSE))</f>
        <v>1.1067163959999999</v>
      </c>
      <c r="Q370">
        <f ca="1">IF(AND(ISNUMBER($Q$1035),$B$677=1),$Q$1035,HLOOKUP(INDIRECT(ADDRESS(2,COLUMN())),OFFSET($BN$2,0,0,ROW()-1,60),ROW()-1,FALSE))</f>
        <v>1.260535312</v>
      </c>
      <c r="R370">
        <f ca="1">IF(AND(ISNUMBER($R$1035),$B$677=1),$R$1035,HLOOKUP(INDIRECT(ADDRESS(2,COLUMN())),OFFSET($BN$2,0,0,ROW()-1,60),ROW()-1,FALSE))</f>
        <v>1.2916875109999999</v>
      </c>
      <c r="S370">
        <f ca="1">IF(AND(ISNUMBER($S$1035),$B$677=1),$S$1035,HLOOKUP(INDIRECT(ADDRESS(2,COLUMN())),OFFSET($BN$2,0,0,ROW()-1,60),ROW()-1,FALSE))</f>
        <v>1.1205938</v>
      </c>
      <c r="T370">
        <f ca="1">IF(AND(ISNUMBER($T$1035),$B$677=1),$T$1035,HLOOKUP(INDIRECT(ADDRESS(2,COLUMN())),OFFSET($BN$2,0,0,ROW()-1,60),ROW()-1,FALSE))</f>
        <v>1.1374541419999999</v>
      </c>
      <c r="U370">
        <f ca="1">IF(AND(ISNUMBER($U$1035),$B$677=1),$U$1035,HLOOKUP(INDIRECT(ADDRESS(2,COLUMN())),OFFSET($BN$2,0,0,ROW()-1,60),ROW()-1,FALSE))</f>
        <v>1.214570763</v>
      </c>
      <c r="V370">
        <f ca="1">IF(AND(ISNUMBER($V$1035),$B$677=1),$V$1035,HLOOKUP(INDIRECT(ADDRESS(2,COLUMN())),OFFSET($BN$2,0,0,ROW()-1,60),ROW()-1,FALSE))</f>
        <v>1.133073059</v>
      </c>
      <c r="W370">
        <f ca="1">IF(AND(ISNUMBER($W$1035),$B$677=1),$W$1035,HLOOKUP(INDIRECT(ADDRESS(2,COLUMN())),OFFSET($BN$2,0,0,ROW()-1,60),ROW()-1,FALSE))</f>
        <v>1.1622531920000001</v>
      </c>
      <c r="X370">
        <f ca="1">IF(AND(ISNUMBER($X$1035),$B$677=1),$X$1035,HLOOKUP(INDIRECT(ADDRESS(2,COLUMN())),OFFSET($BN$2,0,0,ROW()-1,60),ROW()-1,FALSE))</f>
        <v>0.95337066599999998</v>
      </c>
      <c r="Y370">
        <f ca="1">IF(AND(ISNUMBER($Y$1035),$B$677=1),$Y$1035,HLOOKUP(INDIRECT(ADDRESS(2,COLUMN())),OFFSET($BN$2,0,0,ROW()-1,60),ROW()-1,FALSE))</f>
        <v>0.98811022199999998</v>
      </c>
      <c r="Z370">
        <f ca="1">IF(AND(ISNUMBER($Z$1035),$B$677=1),$Z$1035,HLOOKUP(INDIRECT(ADDRESS(2,COLUMN())),OFFSET($BN$2,0,0,ROW()-1,60),ROW()-1,FALSE))</f>
        <v>0.94295955300000001</v>
      </c>
      <c r="AA370">
        <f ca="1">IF(AND(ISNUMBER($AA$1035),$B$677=1),$AA$1035,HLOOKUP(INDIRECT(ADDRESS(2,COLUMN())),OFFSET($BN$2,0,0,ROW()-1,60),ROW()-1,FALSE))</f>
        <v>1.002979394</v>
      </c>
      <c r="AB370">
        <f ca="1">IF(AND(ISNUMBER($AB$1035),$B$677=1),$AB$1035,HLOOKUP(INDIRECT(ADDRESS(2,COLUMN())),OFFSET($BN$2,0,0,ROW()-1,60),ROW()-1,FALSE))</f>
        <v>0.92371684799999998</v>
      </c>
      <c r="AC370">
        <f ca="1">IF(AND(ISNUMBER($AC$1035),$B$677=1),$AC$1035,HLOOKUP(INDIRECT(ADDRESS(2,COLUMN())),OFFSET($BN$2,0,0,ROW()-1,60),ROW()-1,FALSE))</f>
        <v>0.90944554399999999</v>
      </c>
      <c r="AD370">
        <f ca="1">IF(AND(ISNUMBER($AD$1035),$B$677=1),$AD$1035,HLOOKUP(INDIRECT(ADDRESS(2,COLUMN())),OFFSET($BN$2,0,0,ROW()-1,60),ROW()-1,FALSE))</f>
        <v>0.98885906499999998</v>
      </c>
      <c r="AE370">
        <f ca="1">IF(AND(ISNUMBER($AE$1035),$B$677=1),$AE$1035,HLOOKUP(INDIRECT(ADDRESS(2,COLUMN())),OFFSET($BN$2,0,0,ROW()-1,60),ROW()-1,FALSE))</f>
        <v>0.85197830799999996</v>
      </c>
      <c r="AF370">
        <f ca="1">IF(AND(ISNUMBER($AF$1035),$B$677=1),$AF$1035,HLOOKUP(INDIRECT(ADDRESS(2,COLUMN())),OFFSET($BN$2,0,0,ROW()-1,60),ROW()-1,FALSE))</f>
        <v>0.77657801599999998</v>
      </c>
      <c r="AG370">
        <f ca="1">IF(AND(ISNUMBER($AG$1035),$B$677=1),$AG$1035,HLOOKUP(INDIRECT(ADDRESS(2,COLUMN())),OFFSET($BN$2,0,0,ROW()-1,60),ROW()-1,FALSE))</f>
        <v>0.66146197200000001</v>
      </c>
      <c r="AH370">
        <f ca="1">IF(AND(ISNUMBER($AH$1035),$B$677=1),$AH$1035,HLOOKUP(INDIRECT(ADDRESS(2,COLUMN())),OFFSET($BN$2,0,0,ROW()-1,60),ROW()-1,FALSE))</f>
        <v>0.67960722299999998</v>
      </c>
      <c r="AI370">
        <f ca="1">IF(AND(ISNUMBER($AI$1035),$B$677=1),$AI$1035,HLOOKUP(INDIRECT(ADDRESS(2,COLUMN())),OFFSET($BN$2,0,0,ROW()-1,60),ROW()-1,FALSE))</f>
        <v>0.54968553099999995</v>
      </c>
      <c r="AJ370">
        <f ca="1">IF(AND(ISNUMBER($AJ$1035),$B$677=1),$AJ$1035,HLOOKUP(INDIRECT(ADDRESS(2,COLUMN())),OFFSET($BN$2,0,0,ROW()-1,60),ROW()-1,FALSE))</f>
        <v>0.58612114400000004</v>
      </c>
      <c r="AK370">
        <f ca="1">IF(AND(ISNUMBER($AK$1035),$B$677=1),$AK$1035,HLOOKUP(INDIRECT(ADDRESS(2,COLUMN())),OFFSET($BN$2,0,0,ROW()-1,60),ROW()-1,FALSE))</f>
        <v>0.62784940700000003</v>
      </c>
      <c r="AL370">
        <f ca="1">IF(AND(ISNUMBER($AL$1035),$B$677=1),$AL$1035,HLOOKUP(INDIRECT(ADDRESS(2,COLUMN())),OFFSET($BN$2,0,0,ROW()-1,60),ROW()-1,FALSE))</f>
        <v>0.72793951700000004</v>
      </c>
      <c r="AM370">
        <f ca="1">IF(AND(ISNUMBER($AM$1035),$B$677=1),$AM$1035,HLOOKUP(INDIRECT(ADDRESS(2,COLUMN())),OFFSET($BN$2,0,0,ROW()-1,60),ROW()-1,FALSE))</f>
        <v>0.71391058799999996</v>
      </c>
      <c r="AN370">
        <f ca="1">IF(AND(ISNUMBER($AN$1035),$B$677=1),$AN$1035,HLOOKUP(INDIRECT(ADDRESS(2,COLUMN())),OFFSET($BN$2,0,0,ROW()-1,60),ROW()-1,FALSE))</f>
        <v>0.741731264</v>
      </c>
      <c r="AO370">
        <f ca="1">IF(AND(ISNUMBER($AO$1035),$B$677=1),$AO$1035,HLOOKUP(INDIRECT(ADDRESS(2,COLUMN())),OFFSET($BN$2,0,0,ROW()-1,60),ROW()-1,FALSE))</f>
        <v>0.55742435499999998</v>
      </c>
      <c r="AP370">
        <f ca="1">IF(AND(ISNUMBER($AP$1035),$B$677=1),$AP$1035,HLOOKUP(INDIRECT(ADDRESS(2,COLUMN())),OFFSET($BN$2,0,0,ROW()-1,60),ROW()-1,FALSE))</f>
        <v>0.58726867000000005</v>
      </c>
      <c r="AQ370">
        <f ca="1">IF(AND(ISNUMBER($AQ$1035),$B$677=1),$AQ$1035,HLOOKUP(INDIRECT(ADDRESS(2,COLUMN())),OFFSET($BN$2,0,0,ROW()-1,60),ROW()-1,FALSE))</f>
        <v>0.60704501200000005</v>
      </c>
      <c r="AR370">
        <f ca="1">IF(AND(ISNUMBER($AR$1035),$B$677=1),$AR$1035,HLOOKUP(INDIRECT(ADDRESS(2,COLUMN())),OFFSET($BN$2,0,0,ROW()-1,60),ROW()-1,FALSE))</f>
        <v>0.66601948600000005</v>
      </c>
      <c r="AS370">
        <f ca="1">IF(AND(ISNUMBER($AS$1035),$B$677=1),$AS$1035,HLOOKUP(INDIRECT(ADDRESS(2,COLUMN())),OFFSET($BN$2,0,0,ROW()-1,60),ROW()-1,FALSE))</f>
        <v>0.50671689399999997</v>
      </c>
      <c r="AT370">
        <f ca="1">IF(AND(ISNUMBER($AT$1035),$B$677=1),$AT$1035,HLOOKUP(INDIRECT(ADDRESS(2,COLUMN())),OFFSET($BN$2,0,0,ROW()-1,60),ROW()-1,FALSE))</f>
        <v>0.44100904600000002</v>
      </c>
      <c r="AU370">
        <f ca="1">IF(AND(ISNUMBER($AU$1035),$B$677=1),$AU$1035,HLOOKUP(INDIRECT(ADDRESS(2,COLUMN())),OFFSET($BN$2,0,0,ROW()-1,60),ROW()-1,FALSE))</f>
        <v>0.37467157400000001</v>
      </c>
      <c r="AV370">
        <f ca="1">IF(AND(ISNUMBER($AV$1035),$B$677=1),$AV$1035,HLOOKUP(INDIRECT(ADDRESS(2,COLUMN())),OFFSET($BN$2,0,0,ROW()-1,60),ROW()-1,FALSE))</f>
        <v>0.43256663899999998</v>
      </c>
      <c r="AW370">
        <f ca="1">IF(AND(ISNUMBER($AW$1035),$B$677=1),$AW$1035,HLOOKUP(INDIRECT(ADDRESS(2,COLUMN())),OFFSET($BN$2,0,0,ROW()-1,60),ROW()-1,FALSE))</f>
        <v>0.50417672899999999</v>
      </c>
      <c r="AX370">
        <f ca="1">IF(AND(ISNUMBER($AX$1035),$B$677=1),$AX$1035,HLOOKUP(INDIRECT(ADDRESS(2,COLUMN())),OFFSET($BN$2,0,0,ROW()-1,60),ROW()-1,FALSE))</f>
        <v>0.65626159399999995</v>
      </c>
      <c r="AY370">
        <f ca="1">IF(AND(ISNUMBER($AY$1035),$B$677=1),$AY$1035,HLOOKUP(INDIRECT(ADDRESS(2,COLUMN())),OFFSET($BN$2,0,0,ROW()-1,60),ROW()-1,FALSE))</f>
        <v>0.97363033899999996</v>
      </c>
      <c r="AZ370">
        <f ca="1">IF(AND(ISNUMBER($AZ$1035),$B$677=1),$AZ$1035,HLOOKUP(INDIRECT(ADDRESS(2,COLUMN())),OFFSET($BN$2,0,0,ROW()-1,60),ROW()-1,FALSE))</f>
        <v>1.014079881</v>
      </c>
      <c r="BA370">
        <f ca="1">IF(AND(ISNUMBER($BA$1035),$B$677=1),$BA$1035,HLOOKUP(INDIRECT(ADDRESS(2,COLUMN())),OFFSET($BN$2,0,0,ROW()-1,60),ROW()-1,FALSE))</f>
        <v>1.0558757540000001</v>
      </c>
      <c r="BB370">
        <f ca="1">IF(AND(ISNUMBER($BB$1035),$B$677=1),$BB$1035,HLOOKUP(INDIRECT(ADDRESS(2,COLUMN())),OFFSET($BN$2,0,0,ROW()-1,60),ROW()-1,FALSE))</f>
        <v>0.85294513599999999</v>
      </c>
      <c r="BC370">
        <f ca="1">IF(AND(ISNUMBER($BC$1035),$B$677=1),$BC$1035,HLOOKUP(INDIRECT(ADDRESS(2,COLUMN())),OFFSET($BN$2,0,0,ROW()-1,60),ROW()-1,FALSE))</f>
        <v>0.77893561600000005</v>
      </c>
      <c r="BD370">
        <f ca="1">IF(AND(ISNUMBER($BD$1035),$B$677=1),$BD$1035,HLOOKUP(INDIRECT(ADDRESS(2,COLUMN())),OFFSET($BN$2,0,0,ROW()-1,60),ROW()-1,FALSE))</f>
        <v>0.64138922700000001</v>
      </c>
      <c r="BE370">
        <f ca="1">IF(AND(ISNUMBER($BE$1035),$B$677=1),$BE$1035,HLOOKUP(INDIRECT(ADDRESS(2,COLUMN())),OFFSET($BN$2,0,0,ROW()-1,60),ROW()-1,FALSE))</f>
        <v>0.65182954100000001</v>
      </c>
      <c r="BF370">
        <f ca="1">IF(AND(ISNUMBER($BF$1035),$B$677=1),$BF$1035,HLOOKUP(INDIRECT(ADDRESS(2,COLUMN())),OFFSET($BN$2,0,0,ROW()-1,60),ROW()-1,FALSE))</f>
        <v>0.69654125099999997</v>
      </c>
      <c r="BG370">
        <f ca="1">IF(AND(ISNUMBER($BG$1035),$B$677=1),$BG$1035,HLOOKUP(INDIRECT(ADDRESS(2,COLUMN())),OFFSET($BN$2,0,0,ROW()-1,60),ROW()-1,FALSE))</f>
        <v>0.46885531899999999</v>
      </c>
      <c r="BH370">
        <f ca="1">IF(AND(ISNUMBER($BH$1035),$B$677=1),$BH$1035,HLOOKUP(INDIRECT(ADDRESS(2,COLUMN())),OFFSET($BN$2,0,0,ROW()-1,60),ROW()-1,FALSE))</f>
        <v>0.346568353</v>
      </c>
      <c r="BI370">
        <f ca="1">IF(AND(ISNUMBER($BI$1035),$B$677=1),$BI$1035,HLOOKUP(INDIRECT(ADDRESS(2,COLUMN())),OFFSET($BN$2,0,0,ROW()-1,60),ROW()-1,FALSE))</f>
        <v>0.32358119499999999</v>
      </c>
      <c r="BJ370">
        <f ca="1">IF(AND(ISNUMBER($BJ$1035),$B$677=1),$BJ$1035,HLOOKUP(INDIRECT(ADDRESS(2,COLUMN())),OFFSET($BN$2,0,0,ROW()-1,60),ROW()-1,FALSE))</f>
        <v>0.417717852</v>
      </c>
      <c r="BK370">
        <f ca="1">IF(AND(ISNUMBER($BK$1035),$B$677=1),$BK$1035,HLOOKUP(INDIRECT(ADDRESS(2,COLUMN())),OFFSET($BN$2,0,0,ROW()-1,60),ROW()-1,FALSE))</f>
        <v>0.38889117200000001</v>
      </c>
      <c r="BL370">
        <f ca="1">IF(AND(ISNUMBER($BL$1035),$B$677=1),$BL$1035,HLOOKUP(INDIRECT(ADDRESS(2,COLUMN())),OFFSET($BN$2,0,0,ROW()-1,60),ROW()-1,FALSE))</f>
        <v>0.58597899799999997</v>
      </c>
      <c r="BM370">
        <f ca="1">IF(AND(ISNUMBER($BM$1035),$B$677=1),$BM$1035,HLOOKUP(INDIRECT(ADDRESS(2,COLUMN())),OFFSET($BN$2,0,0,ROW()-1,60),ROW()-1,FALSE))</f>
        <v>0.424988229</v>
      </c>
      <c r="BN370" t="str">
        <f>""</f>
        <v/>
      </c>
      <c r="BO370">
        <f>0.601964358</f>
        <v>0.60196435800000003</v>
      </c>
      <c r="BP370">
        <f>0.764592243</f>
        <v>0.76459224299999995</v>
      </c>
      <c r="BQ370">
        <f>0.789947878</f>
        <v>0.78994787799999999</v>
      </c>
      <c r="BR370">
        <f>0.894416737</f>
        <v>0.89441673700000002</v>
      </c>
      <c r="BS370">
        <f>1.067871527</f>
        <v>1.0678715270000001</v>
      </c>
      <c r="BT370">
        <f>1.031842269</f>
        <v>1.031842269</v>
      </c>
      <c r="BU370">
        <f>1.016039275</f>
        <v>1.016039275</v>
      </c>
      <c r="BV370">
        <f>0.986408085</f>
        <v>0.98640808499999999</v>
      </c>
      <c r="BW370">
        <f>1.023794818</f>
        <v>1.0237948180000001</v>
      </c>
      <c r="BX370">
        <f>1.106716396</f>
        <v>1.1067163959999999</v>
      </c>
      <c r="BY370">
        <f>1.260535312</f>
        <v>1.260535312</v>
      </c>
      <c r="BZ370">
        <f>1.291687511</f>
        <v>1.2916875109999999</v>
      </c>
      <c r="CA370">
        <f>1.1205938</f>
        <v>1.1205938</v>
      </c>
      <c r="CB370">
        <f>1.137454142</f>
        <v>1.1374541419999999</v>
      </c>
      <c r="CC370">
        <f>1.214570763</f>
        <v>1.214570763</v>
      </c>
      <c r="CD370">
        <f>1.133073059</f>
        <v>1.133073059</v>
      </c>
      <c r="CE370">
        <f>1.162253192</f>
        <v>1.1622531920000001</v>
      </c>
      <c r="CF370">
        <f>0.953370666</f>
        <v>0.95337066599999998</v>
      </c>
      <c r="CG370">
        <f>0.988110222</f>
        <v>0.98811022199999998</v>
      </c>
      <c r="CH370">
        <f>0.942959553</f>
        <v>0.94295955300000001</v>
      </c>
      <c r="CI370">
        <f>1.002979394</f>
        <v>1.002979394</v>
      </c>
      <c r="CJ370">
        <f>0.923716848</f>
        <v>0.92371684799999998</v>
      </c>
      <c r="CK370">
        <f>0.909445544</f>
        <v>0.90944554399999999</v>
      </c>
      <c r="CL370">
        <f>0.988859065</f>
        <v>0.98885906499999998</v>
      </c>
      <c r="CM370">
        <f>0.851978308</f>
        <v>0.85197830799999996</v>
      </c>
      <c r="CN370">
        <f>0.776578016</f>
        <v>0.77657801599999998</v>
      </c>
      <c r="CO370">
        <f>0.661461972</f>
        <v>0.66146197200000001</v>
      </c>
      <c r="CP370">
        <f>0.679607223</f>
        <v>0.67960722299999998</v>
      </c>
      <c r="CQ370">
        <f>0.549685531</f>
        <v>0.54968553099999995</v>
      </c>
      <c r="CR370">
        <f>0.586121144</f>
        <v>0.58612114400000004</v>
      </c>
      <c r="CS370">
        <f>0.627849407</f>
        <v>0.62784940700000003</v>
      </c>
      <c r="CT370">
        <f>0.727939517</f>
        <v>0.72793951700000004</v>
      </c>
      <c r="CU370">
        <f>0.713910588</f>
        <v>0.71391058799999996</v>
      </c>
      <c r="CV370">
        <f>0.741731264</f>
        <v>0.741731264</v>
      </c>
      <c r="CW370">
        <f>0.557424355</f>
        <v>0.55742435499999998</v>
      </c>
      <c r="CX370">
        <f>0.58726867</f>
        <v>0.58726867000000005</v>
      </c>
      <c r="CY370">
        <f>0.607045012</f>
        <v>0.60704501200000005</v>
      </c>
      <c r="CZ370">
        <f>0.666019486</f>
        <v>0.66601948600000005</v>
      </c>
      <c r="DA370">
        <f>0.506716894</f>
        <v>0.50671689399999997</v>
      </c>
      <c r="DB370">
        <f>0.441009046</f>
        <v>0.44100904600000002</v>
      </c>
      <c r="DC370">
        <f>0.374671574</f>
        <v>0.37467157400000001</v>
      </c>
      <c r="DD370">
        <f>0.432566639</f>
        <v>0.43256663899999998</v>
      </c>
      <c r="DE370">
        <f>0.504176729</f>
        <v>0.50417672899999999</v>
      </c>
      <c r="DF370">
        <f>0.656261594</f>
        <v>0.65626159399999995</v>
      </c>
      <c r="DG370">
        <f>0.973630339</f>
        <v>0.97363033899999996</v>
      </c>
      <c r="DH370">
        <f>1.014079881</f>
        <v>1.014079881</v>
      </c>
      <c r="DI370">
        <f>1.055875754</f>
        <v>1.0558757540000001</v>
      </c>
      <c r="DJ370">
        <f>0.852945136</f>
        <v>0.85294513599999999</v>
      </c>
      <c r="DK370">
        <f>0.778935616</f>
        <v>0.77893561600000005</v>
      </c>
      <c r="DL370">
        <f>0.641389227</f>
        <v>0.64138922700000001</v>
      </c>
      <c r="DM370">
        <f>0.651829541</f>
        <v>0.65182954100000001</v>
      </c>
      <c r="DN370">
        <f>0.696541251</f>
        <v>0.69654125099999997</v>
      </c>
      <c r="DO370">
        <f>0.468855319</f>
        <v>0.46885531899999999</v>
      </c>
      <c r="DP370">
        <f>0.346568353</f>
        <v>0.346568353</v>
      </c>
      <c r="DQ370">
        <f>0.323581195</f>
        <v>0.32358119499999999</v>
      </c>
      <c r="DR370">
        <f>0.417717852</f>
        <v>0.417717852</v>
      </c>
      <c r="DS370">
        <f>0.388891172</f>
        <v>0.38889117200000001</v>
      </c>
      <c r="DT370">
        <f>0.585978998</f>
        <v>0.58597899799999997</v>
      </c>
      <c r="DU370">
        <f>0.424988229</f>
        <v>0.424988229</v>
      </c>
    </row>
    <row r="371" spans="1:125" x14ac:dyDescent="0.25">
      <c r="A371" t="str">
        <f>"    Toyota Motor Corp"</f>
        <v xml:space="preserve">    Toyota Motor Corp</v>
      </c>
      <c r="B371" t="str">
        <f>"7203 JP Equity"</f>
        <v>7203 JP Equity</v>
      </c>
      <c r="C371" t="str">
        <f t="shared" si="24"/>
        <v>RR473</v>
      </c>
      <c r="D371" t="str">
        <f t="shared" si="25"/>
        <v>EV_TO_T12M_SALES</v>
      </c>
      <c r="E371" t="str">
        <f t="shared" si="26"/>
        <v>Dynamic</v>
      </c>
      <c r="F371" t="str">
        <f ca="1">IF(AND(ISNUMBER($F$1036),$B$677=1),$F$1036,HLOOKUP(INDIRECT(ADDRESS(2,COLUMN())),OFFSET($BN$2,0,0,ROW()-1,60),ROW()-1,FALSE))</f>
        <v/>
      </c>
      <c r="G371">
        <f ca="1">IF(AND(ISNUMBER($G$1036),$B$677=1),$G$1036,HLOOKUP(INDIRECT(ADDRESS(2,COLUMN())),OFFSET($BN$2,0,0,ROW()-1,60),ROW()-1,FALSE))</f>
        <v>1.144038559</v>
      </c>
      <c r="H371">
        <f ca="1">IF(AND(ISNUMBER($H$1036),$B$677=1),$H$1036,HLOOKUP(INDIRECT(ADDRESS(2,COLUMN())),OFFSET($BN$2,0,0,ROW()-1,60),ROW()-1,FALSE))</f>
        <v>1.22464565</v>
      </c>
      <c r="I371">
        <f ca="1">IF(AND(ISNUMBER($I$1036),$B$677=1),$I$1036,HLOOKUP(INDIRECT(ADDRESS(2,COLUMN())),OFFSET($BN$2,0,0,ROW()-1,60),ROW()-1,FALSE))</f>
        <v>1.23292603</v>
      </c>
      <c r="J371">
        <f ca="1">IF(AND(ISNUMBER($J$1036),$B$677=1),$J$1036,HLOOKUP(INDIRECT(ADDRESS(2,COLUMN())),OFFSET($BN$2,0,0,ROW()-1,60),ROW()-1,FALSE))</f>
        <v>1.1803400500000001</v>
      </c>
      <c r="K371">
        <f ca="1">IF(AND(ISNUMBER($K$1036),$B$677=1),$K$1036,HLOOKUP(INDIRECT(ADDRESS(2,COLUMN())),OFFSET($BN$2,0,0,ROW()-1,60),ROW()-1,FALSE))</f>
        <v>1.263414686</v>
      </c>
      <c r="L371">
        <f ca="1">IF(AND(ISNUMBER($L$1036),$B$677=1),$L$1036,HLOOKUP(INDIRECT(ADDRESS(2,COLUMN())),OFFSET($BN$2,0,0,ROW()-1,60),ROW()-1,FALSE))</f>
        <v>1.2136898979999999</v>
      </c>
      <c r="M371">
        <f ca="1">IF(AND(ISNUMBER($M$1036),$B$677=1),$M$1036,HLOOKUP(INDIRECT(ADDRESS(2,COLUMN())),OFFSET($BN$2,0,0,ROW()-1,60),ROW()-1,FALSE))</f>
        <v>1.152370111</v>
      </c>
      <c r="N371">
        <f ca="1">IF(AND(ISNUMBER($N$1036),$B$677=1),$N$1036,HLOOKUP(INDIRECT(ADDRESS(2,COLUMN())),OFFSET($BN$2,0,0,ROW()-1,60),ROW()-1,FALSE))</f>
        <v>1.1742522639999999</v>
      </c>
      <c r="O371">
        <f ca="1">IF(AND(ISNUMBER($O$1036),$B$677=1),$O$1036,HLOOKUP(INDIRECT(ADDRESS(2,COLUMN())),OFFSET($BN$2,0,0,ROW()-1,60),ROW()-1,FALSE))</f>
        <v>1.3216556800000001</v>
      </c>
      <c r="P371">
        <f ca="1">IF(AND(ISNUMBER($P$1036),$B$677=1),$P$1036,HLOOKUP(INDIRECT(ADDRESS(2,COLUMN())),OFFSET($BN$2,0,0,ROW()-1,60),ROW()-1,FALSE))</f>
        <v>1.09595325</v>
      </c>
      <c r="Q371">
        <f ca="1">IF(AND(ISNUMBER($Q$1036),$B$677=1),$Q$1036,HLOOKUP(INDIRECT(ADDRESS(2,COLUMN())),OFFSET($BN$2,0,0,ROW()-1,60),ROW()-1,FALSE))</f>
        <v>0.98766152299999999</v>
      </c>
      <c r="R371">
        <f ca="1">IF(AND(ISNUMBER($R$1036),$B$677=1),$R$1036,HLOOKUP(INDIRECT(ADDRESS(2,COLUMN())),OFFSET($BN$2,0,0,ROW()-1,60),ROW()-1,FALSE))</f>
        <v>1.1347979669999999</v>
      </c>
      <c r="S371">
        <f ca="1">IF(AND(ISNUMBER($S$1036),$B$677=1),$S$1036,HLOOKUP(INDIRECT(ADDRESS(2,COLUMN())),OFFSET($BN$2,0,0,ROW()-1,60),ROW()-1,FALSE))</f>
        <v>1.3564947089999999</v>
      </c>
      <c r="T371">
        <f ca="1">IF(AND(ISNUMBER($T$1036),$B$677=1),$T$1036,HLOOKUP(INDIRECT(ADDRESS(2,COLUMN())),OFFSET($BN$2,0,0,ROW()-1,60),ROW()-1,FALSE))</f>
        <v>1.301654402</v>
      </c>
      <c r="U371">
        <f ca="1">IF(AND(ISNUMBER($U$1036),$B$677=1),$U$1036,HLOOKUP(INDIRECT(ADDRESS(2,COLUMN())),OFFSET($BN$2,0,0,ROW()-1,60),ROW()-1,FALSE))</f>
        <v>1.4892011009999999</v>
      </c>
      <c r="V371">
        <f ca="1">IF(AND(ISNUMBER($V$1036),$B$677=1),$V$1036,HLOOKUP(INDIRECT(ADDRESS(2,COLUMN())),OFFSET($BN$2,0,0,ROW()-1,60),ROW()-1,FALSE))</f>
        <v>1.505473504</v>
      </c>
      <c r="W371">
        <f ca="1">IF(AND(ISNUMBER($W$1036),$B$677=1),$W$1036,HLOOKUP(INDIRECT(ADDRESS(2,COLUMN())),OFFSET($BN$2,0,0,ROW()-1,60),ROW()-1,FALSE))</f>
        <v>1.4725860019999999</v>
      </c>
      <c r="X371">
        <f ca="1">IF(AND(ISNUMBER($X$1036),$B$677=1),$X$1036,HLOOKUP(INDIRECT(ADDRESS(2,COLUMN())),OFFSET($BN$2,0,0,ROW()-1,60),ROW()-1,FALSE))</f>
        <v>1.315139973</v>
      </c>
      <c r="Y371">
        <f ca="1">IF(AND(ISNUMBER($Y$1036),$B$677=1),$Y$1036,HLOOKUP(INDIRECT(ADDRESS(2,COLUMN())),OFFSET($BN$2,0,0,ROW()-1,60),ROW()-1,FALSE))</f>
        <v>1.244819806</v>
      </c>
      <c r="Z371">
        <f ca="1">IF(AND(ISNUMBER($Z$1036),$B$677=1),$Z$1036,HLOOKUP(INDIRECT(ADDRESS(2,COLUMN())),OFFSET($BN$2,0,0,ROW()-1,60),ROW()-1,FALSE))</f>
        <v>1.2173494890000001</v>
      </c>
      <c r="AA371">
        <f ca="1">IF(AND(ISNUMBER($AA$1036),$B$677=1),$AA$1036,HLOOKUP(INDIRECT(ADDRESS(2,COLUMN())),OFFSET($BN$2,0,0,ROW()-1,60),ROW()-1,FALSE))</f>
        <v>1.3550038579999999</v>
      </c>
      <c r="AB371">
        <f ca="1">IF(AND(ISNUMBER($AB$1036),$B$677=1),$AB$1036,HLOOKUP(INDIRECT(ADDRESS(2,COLUMN())),OFFSET($BN$2,0,0,ROW()-1,60),ROW()-1,FALSE))</f>
        <v>1.3437735289999999</v>
      </c>
      <c r="AC371">
        <f ca="1">IF(AND(ISNUMBER($AC$1036),$B$677=1),$AC$1036,HLOOKUP(INDIRECT(ADDRESS(2,COLUMN())),OFFSET($BN$2,0,0,ROW()-1,60),ROW()-1,FALSE))</f>
        <v>1.34608975</v>
      </c>
      <c r="AD371">
        <f ca="1">IF(AND(ISNUMBER($AD$1036),$B$677=1),$AD$1036,HLOOKUP(INDIRECT(ADDRESS(2,COLUMN())),OFFSET($BN$2,0,0,ROW()-1,60),ROW()-1,FALSE))</f>
        <v>1.2182474640000001</v>
      </c>
      <c r="AE371">
        <f ca="1">IF(AND(ISNUMBER($AE$1036),$B$677=1),$AE$1036,HLOOKUP(INDIRECT(ADDRESS(2,COLUMN())),OFFSET($BN$2,0,0,ROW()-1,60),ROW()-1,FALSE))</f>
        <v>1.0654401360000001</v>
      </c>
      <c r="AF371">
        <f ca="1">IF(AND(ISNUMBER($AF$1036),$B$677=1),$AF$1036,HLOOKUP(INDIRECT(ADDRESS(2,COLUMN())),OFFSET($BN$2,0,0,ROW()-1,60),ROW()-1,FALSE))</f>
        <v>0.87604521199999996</v>
      </c>
      <c r="AG371">
        <f ca="1">IF(AND(ISNUMBER($AG$1036),$B$677=1),$AG$1036,HLOOKUP(INDIRECT(ADDRESS(2,COLUMN())),OFFSET($BN$2,0,0,ROW()-1,60),ROW()-1,FALSE))</f>
        <v>0.934286595</v>
      </c>
      <c r="AH371">
        <f ca="1">IF(AND(ISNUMBER($AH$1036),$B$677=1),$AH$1036,HLOOKUP(INDIRECT(ADDRESS(2,COLUMN())),OFFSET($BN$2,0,0,ROW()-1,60),ROW()-1,FALSE))</f>
        <v>1.123928848</v>
      </c>
      <c r="AI371">
        <f ca="1">IF(AND(ISNUMBER($AI$1036),$B$677=1),$AI$1036,HLOOKUP(INDIRECT(ADDRESS(2,COLUMN())),OFFSET($BN$2,0,0,ROW()-1,60),ROW()-1,FALSE))</f>
        <v>0.99231561499999998</v>
      </c>
      <c r="AJ371">
        <f ca="1">IF(AND(ISNUMBER($AJ$1036),$B$677=1),$AJ$1036,HLOOKUP(INDIRECT(ADDRESS(2,COLUMN())),OFFSET($BN$2,0,0,ROW()-1,60),ROW()-1,FALSE))</f>
        <v>0.99995838699999995</v>
      </c>
      <c r="AK371">
        <f ca="1">IF(AND(ISNUMBER($AK$1036),$B$677=1),$AK$1036,HLOOKUP(INDIRECT(ADDRESS(2,COLUMN())),OFFSET($BN$2,0,0,ROW()-1,60),ROW()-1,FALSE))</f>
        <v>1.101022503</v>
      </c>
      <c r="AL371">
        <f ca="1">IF(AND(ISNUMBER($AL$1036),$B$677=1),$AL$1036,HLOOKUP(INDIRECT(ADDRESS(2,COLUMN())),OFFSET($BN$2,0,0,ROW()-1,60),ROW()-1,FALSE))</f>
        <v>1.0521012380000001</v>
      </c>
      <c r="AM371">
        <f ca="1">IF(AND(ISNUMBER($AM$1036),$B$677=1),$AM$1036,HLOOKUP(INDIRECT(ADDRESS(2,COLUMN())),OFFSET($BN$2,0,0,ROW()-1,60),ROW()-1,FALSE))</f>
        <v>0.97766729799999996</v>
      </c>
      <c r="AN371">
        <f ca="1">IF(AND(ISNUMBER($AN$1036),$B$677=1),$AN$1036,HLOOKUP(INDIRECT(ADDRESS(2,COLUMN())),OFFSET($BN$2,0,0,ROW()-1,60),ROW()-1,FALSE))</f>
        <v>0.89447003999999997</v>
      </c>
      <c r="AO371">
        <f ca="1">IF(AND(ISNUMBER($AO$1036),$B$677=1),$AO$1036,HLOOKUP(INDIRECT(ADDRESS(2,COLUMN())),OFFSET($BN$2,0,0,ROW()-1,60),ROW()-1,FALSE))</f>
        <v>0.92319975899999995</v>
      </c>
      <c r="AP371">
        <f ca="1">IF(AND(ISNUMBER($AP$1036),$B$677=1),$AP$1036,HLOOKUP(INDIRECT(ADDRESS(2,COLUMN())),OFFSET($BN$2,0,0,ROW()-1,60),ROW()-1,FALSE))</f>
        <v>1.096344355</v>
      </c>
      <c r="AQ371">
        <f ca="1">IF(AND(ISNUMBER($AQ$1036),$B$677=1),$AQ$1036,HLOOKUP(INDIRECT(ADDRESS(2,COLUMN())),OFFSET($BN$2,0,0,ROW()-1,60),ROW()-1,FALSE))</f>
        <v>1.243826358</v>
      </c>
      <c r="AR371">
        <f ca="1">IF(AND(ISNUMBER($AR$1036),$B$677=1),$AR$1036,HLOOKUP(INDIRECT(ADDRESS(2,COLUMN())),OFFSET($BN$2,0,0,ROW()-1,60),ROW()-1,FALSE))</f>
        <v>1.2057651190000001</v>
      </c>
      <c r="AS371">
        <f ca="1">IF(AND(ISNUMBER($AS$1036),$B$677=1),$AS$1036,HLOOKUP(INDIRECT(ADDRESS(2,COLUMN())),OFFSET($BN$2,0,0,ROW()-1,60),ROW()-1,FALSE))</f>
        <v>1.188430004</v>
      </c>
      <c r="AT371">
        <f ca="1">IF(AND(ISNUMBER($AT$1036),$B$677=1),$AT$1036,HLOOKUP(INDIRECT(ADDRESS(2,COLUMN())),OFFSET($BN$2,0,0,ROW()-1,60),ROW()-1,FALSE))</f>
        <v>0.97212707499999995</v>
      </c>
      <c r="AU371">
        <f ca="1">IF(AND(ISNUMBER($AU$1036),$B$677=1),$AU$1036,HLOOKUP(INDIRECT(ADDRESS(2,COLUMN())),OFFSET($BN$2,0,0,ROW()-1,60),ROW()-1,FALSE))</f>
        <v>0.81117659600000003</v>
      </c>
      <c r="AV371">
        <f ca="1">IF(AND(ISNUMBER($AV$1036),$B$677=1),$AV$1036,HLOOKUP(INDIRECT(ADDRESS(2,COLUMN())),OFFSET($BN$2,0,0,ROW()-1,60),ROW()-1,FALSE))</f>
        <v>0.96590732899999998</v>
      </c>
      <c r="AW371">
        <f ca="1">IF(AND(ISNUMBER($AW$1036),$B$677=1),$AW$1036,HLOOKUP(INDIRECT(ADDRESS(2,COLUMN())),OFFSET($BN$2,0,0,ROW()-1,60),ROW()-1,FALSE))</f>
        <v>1.0509730829999999</v>
      </c>
      <c r="AX371">
        <f ca="1">IF(AND(ISNUMBER($AX$1036),$B$677=1),$AX$1036,HLOOKUP(INDIRECT(ADDRESS(2,COLUMN())),OFFSET($BN$2,0,0,ROW()-1,60),ROW()-1,FALSE))</f>
        <v>0.99710531300000005</v>
      </c>
      <c r="AY371">
        <f ca="1">IF(AND(ISNUMBER($AY$1036),$B$677=1),$AY$1036,HLOOKUP(INDIRECT(ADDRESS(2,COLUMN())),OFFSET($BN$2,0,0,ROW()-1,60),ROW()-1,FALSE))</f>
        <v>1.18494962</v>
      </c>
      <c r="AZ371">
        <f ca="1">IF(AND(ISNUMBER($AZ$1036),$B$677=1),$AZ$1036,HLOOKUP(INDIRECT(ADDRESS(2,COLUMN())),OFFSET($BN$2,0,0,ROW()-1,60),ROW()-1,FALSE))</f>
        <v>1.2778559110000001</v>
      </c>
      <c r="BA371">
        <f ca="1">IF(AND(ISNUMBER($BA$1036),$B$677=1),$BA$1036,HLOOKUP(INDIRECT(ADDRESS(2,COLUMN())),OFFSET($BN$2,0,0,ROW()-1,60),ROW()-1,FALSE))</f>
        <v>1.44984413</v>
      </c>
      <c r="BB371">
        <f ca="1">IF(AND(ISNUMBER($BB$1036),$B$677=1),$BB$1036,HLOOKUP(INDIRECT(ADDRESS(2,COLUMN())),OFFSET($BN$2,0,0,ROW()-1,60),ROW()-1,FALSE))</f>
        <v>1.282329979</v>
      </c>
      <c r="BC371">
        <f ca="1">IF(AND(ISNUMBER($BC$1036),$B$677=1),$BC$1036,HLOOKUP(INDIRECT(ADDRESS(2,COLUMN())),OFFSET($BN$2,0,0,ROW()-1,60),ROW()-1,FALSE))</f>
        <v>1.5408631770000001</v>
      </c>
      <c r="BD371">
        <f ca="1">IF(AND(ISNUMBER($BD$1036),$B$677=1),$BD$1036,HLOOKUP(INDIRECT(ADDRESS(2,COLUMN())),OFFSET($BN$2,0,0,ROW()-1,60),ROW()-1,FALSE))</f>
        <v>1.3389941320000001</v>
      </c>
      <c r="BE371">
        <f ca="1">IF(AND(ISNUMBER($BE$1036),$B$677=1),$BE$1036,HLOOKUP(INDIRECT(ADDRESS(2,COLUMN())),OFFSET($BN$2,0,0,ROW()-1,60),ROW()-1,FALSE))</f>
        <v>1.314157295</v>
      </c>
      <c r="BF371">
        <f ca="1">IF(AND(ISNUMBER($BF$1036),$B$677=1),$BF$1036,HLOOKUP(INDIRECT(ADDRESS(2,COLUMN())),OFFSET($BN$2,0,0,ROW()-1,60),ROW()-1,FALSE))</f>
        <v>1.5060240789999999</v>
      </c>
      <c r="BG371">
        <f ca="1">IF(AND(ISNUMBER($BG$1036),$B$677=1),$BG$1036,HLOOKUP(INDIRECT(ADDRESS(2,COLUMN())),OFFSET($BN$2,0,0,ROW()-1,60),ROW()-1,FALSE))</f>
        <v>1.4176300180000001</v>
      </c>
      <c r="BH371">
        <f ca="1">IF(AND(ISNUMBER($BH$1036),$B$677=1),$BH$1036,HLOOKUP(INDIRECT(ADDRESS(2,COLUMN())),OFFSET($BN$2,0,0,ROW()-1,60),ROW()-1,FALSE))</f>
        <v>1.27260368</v>
      </c>
      <c r="BI371">
        <f ca="1">IF(AND(ISNUMBER($BI$1036),$B$677=1),$BI$1036,HLOOKUP(INDIRECT(ADDRESS(2,COLUMN())),OFFSET($BN$2,0,0,ROW()-1,60),ROW()-1,FALSE))</f>
        <v>1.0739983879999999</v>
      </c>
      <c r="BJ371">
        <f ca="1">IF(AND(ISNUMBER($BJ$1036),$B$677=1),$BJ$1036,HLOOKUP(INDIRECT(ADDRESS(2,COLUMN())),OFFSET($BN$2,0,0,ROW()-1,60),ROW()-1,FALSE))</f>
        <v>1.0781727590000001</v>
      </c>
      <c r="BK371">
        <f ca="1">IF(AND(ISNUMBER($BK$1036),$B$677=1),$BK$1036,HLOOKUP(INDIRECT(ADDRESS(2,COLUMN())),OFFSET($BN$2,0,0,ROW()-1,60),ROW()-1,FALSE))</f>
        <v>1.1160367849999999</v>
      </c>
      <c r="BL371">
        <f ca="1">IF(AND(ISNUMBER($BL$1036),$B$677=1),$BL$1036,HLOOKUP(INDIRECT(ADDRESS(2,COLUMN())),OFFSET($BN$2,0,0,ROW()-1,60),ROW()-1,FALSE))</f>
        <v>1.1257260920000001</v>
      </c>
      <c r="BM371">
        <f ca="1">IF(AND(ISNUMBER($BM$1036),$B$677=1),$BM$1036,HLOOKUP(INDIRECT(ADDRESS(2,COLUMN())),OFFSET($BN$2,0,0,ROW()-1,60),ROW()-1,FALSE))</f>
        <v>1.16137019</v>
      </c>
      <c r="BN371" t="str">
        <f>""</f>
        <v/>
      </c>
      <c r="BO371">
        <f>1.144038559</f>
        <v>1.144038559</v>
      </c>
      <c r="BP371">
        <f>1.22464565</f>
        <v>1.22464565</v>
      </c>
      <c r="BQ371">
        <f>1.23292603</f>
        <v>1.23292603</v>
      </c>
      <c r="BR371">
        <f>1.18034005</f>
        <v>1.1803400500000001</v>
      </c>
      <c r="BS371">
        <f>1.263414686</f>
        <v>1.263414686</v>
      </c>
      <c r="BT371">
        <f>1.213689898</f>
        <v>1.2136898979999999</v>
      </c>
      <c r="BU371">
        <f>1.152370111</f>
        <v>1.152370111</v>
      </c>
      <c r="BV371">
        <f>1.174252264</f>
        <v>1.1742522639999999</v>
      </c>
      <c r="BW371">
        <f>1.32165568</f>
        <v>1.3216556800000001</v>
      </c>
      <c r="BX371">
        <f>1.09595325</f>
        <v>1.09595325</v>
      </c>
      <c r="BY371">
        <f>0.987661523</f>
        <v>0.98766152299999999</v>
      </c>
      <c r="BZ371">
        <f>1.134797967</f>
        <v>1.1347979669999999</v>
      </c>
      <c r="CA371">
        <f>1.356494709</f>
        <v>1.3564947089999999</v>
      </c>
      <c r="CB371">
        <f>1.301654402</f>
        <v>1.301654402</v>
      </c>
      <c r="CC371">
        <f>1.489201101</f>
        <v>1.4892011009999999</v>
      </c>
      <c r="CD371">
        <f>1.505473504</f>
        <v>1.505473504</v>
      </c>
      <c r="CE371">
        <f>1.472586002</f>
        <v>1.4725860019999999</v>
      </c>
      <c r="CF371">
        <f>1.315139973</f>
        <v>1.315139973</v>
      </c>
      <c r="CG371">
        <f>1.244819806</f>
        <v>1.244819806</v>
      </c>
      <c r="CH371">
        <f>1.217349489</f>
        <v>1.2173494890000001</v>
      </c>
      <c r="CI371">
        <f>1.355003858</f>
        <v>1.3550038579999999</v>
      </c>
      <c r="CJ371">
        <f>1.343773529</f>
        <v>1.3437735289999999</v>
      </c>
      <c r="CK371">
        <f>1.34608975</f>
        <v>1.34608975</v>
      </c>
      <c r="CL371">
        <f>1.218247464</f>
        <v>1.2182474640000001</v>
      </c>
      <c r="CM371">
        <f>1.065440136</f>
        <v>1.0654401360000001</v>
      </c>
      <c r="CN371">
        <f>0.876045212</f>
        <v>0.87604521199999996</v>
      </c>
      <c r="CO371">
        <f>0.934286595</f>
        <v>0.934286595</v>
      </c>
      <c r="CP371">
        <f>1.123928848</f>
        <v>1.123928848</v>
      </c>
      <c r="CQ371">
        <f>0.992315615</f>
        <v>0.99231561499999998</v>
      </c>
      <c r="CR371">
        <f>0.999958387</f>
        <v>0.99995838699999995</v>
      </c>
      <c r="CS371">
        <f>1.101022503</f>
        <v>1.101022503</v>
      </c>
      <c r="CT371">
        <f>1.052101238</f>
        <v>1.0521012380000001</v>
      </c>
      <c r="CU371">
        <f>0.977667298</f>
        <v>0.97766729799999996</v>
      </c>
      <c r="CV371">
        <f>0.89447004</f>
        <v>0.89447003999999997</v>
      </c>
      <c r="CW371">
        <f>0.923199759</f>
        <v>0.92319975899999995</v>
      </c>
      <c r="CX371">
        <f>1.096344355</f>
        <v>1.096344355</v>
      </c>
      <c r="CY371">
        <f>1.243826358</f>
        <v>1.243826358</v>
      </c>
      <c r="CZ371">
        <f>1.205765119</f>
        <v>1.2057651190000001</v>
      </c>
      <c r="DA371">
        <f>1.188430004</f>
        <v>1.188430004</v>
      </c>
      <c r="DB371">
        <f>0.972127075</f>
        <v>0.97212707499999995</v>
      </c>
      <c r="DC371">
        <f>0.811176596</f>
        <v>0.81117659600000003</v>
      </c>
      <c r="DD371">
        <f>0.965907329</f>
        <v>0.96590732899999998</v>
      </c>
      <c r="DE371">
        <f>1.050973083</f>
        <v>1.0509730829999999</v>
      </c>
      <c r="DF371">
        <f>0.997105313</f>
        <v>0.99710531300000005</v>
      </c>
      <c r="DG371">
        <f>1.18494962</f>
        <v>1.18494962</v>
      </c>
      <c r="DH371">
        <f>1.277855911</f>
        <v>1.2778559110000001</v>
      </c>
      <c r="DI371">
        <f>1.44984413</f>
        <v>1.44984413</v>
      </c>
      <c r="DJ371">
        <f>1.282329979</f>
        <v>1.282329979</v>
      </c>
      <c r="DK371">
        <f>1.540863177</f>
        <v>1.5408631770000001</v>
      </c>
      <c r="DL371">
        <f>1.338994132</f>
        <v>1.3389941320000001</v>
      </c>
      <c r="DM371">
        <f>1.314157295</f>
        <v>1.314157295</v>
      </c>
      <c r="DN371">
        <f>1.506024079</f>
        <v>1.5060240789999999</v>
      </c>
      <c r="DO371">
        <f>1.417630018</f>
        <v>1.4176300180000001</v>
      </c>
      <c r="DP371">
        <f>1.27260368</f>
        <v>1.27260368</v>
      </c>
      <c r="DQ371">
        <f>1.073998388</f>
        <v>1.0739983879999999</v>
      </c>
      <c r="DR371">
        <f>1.078172759</f>
        <v>1.0781727590000001</v>
      </c>
      <c r="DS371">
        <f>1.116036785</f>
        <v>1.1160367849999999</v>
      </c>
      <c r="DT371">
        <f>1.125726092</f>
        <v>1.1257260920000001</v>
      </c>
      <c r="DU371">
        <f>1.16137019</f>
        <v>1.16137019</v>
      </c>
    </row>
    <row r="372" spans="1:125" x14ac:dyDescent="0.25">
      <c r="A372" t="str">
        <f>"    Volkswagen AG"</f>
        <v xml:space="preserve">    Volkswagen AG</v>
      </c>
      <c r="B372" t="str">
        <f>"VOW GR Equity"</f>
        <v>VOW GR Equity</v>
      </c>
      <c r="C372" t="str">
        <f t="shared" si="24"/>
        <v>RR473</v>
      </c>
      <c r="D372" t="str">
        <f t="shared" si="25"/>
        <v>EV_TO_T12M_SALES</v>
      </c>
      <c r="E372" t="str">
        <f t="shared" si="26"/>
        <v>Dynamic</v>
      </c>
      <c r="F372" t="str">
        <f ca="1">IF(AND(ISNUMBER($F$1037),$B$677=1),$F$1037,HLOOKUP(INDIRECT(ADDRESS(2,COLUMN())),OFFSET($BN$2,0,0,ROW()-1,60),ROW()-1,FALSE))</f>
        <v/>
      </c>
      <c r="G372" t="str">
        <f ca="1">IF(AND(ISNUMBER($G$1037),$B$677=1),$G$1037,HLOOKUP(INDIRECT(ADDRESS(2,COLUMN())),OFFSET($BN$2,0,0,ROW()-1,60),ROW()-1,FALSE))</f>
        <v/>
      </c>
      <c r="H372">
        <f ca="1">IF(AND(ISNUMBER($H$1037),$B$677=1),$H$1037,HLOOKUP(INDIRECT(ADDRESS(2,COLUMN())),OFFSET($BN$2,0,0,ROW()-1,60),ROW()-1,FALSE))</f>
        <v>0.27003610500000003</v>
      </c>
      <c r="I372">
        <f ca="1">IF(AND(ISNUMBER($I$1037),$B$677=1),$I$1037,HLOOKUP(INDIRECT(ADDRESS(2,COLUMN())),OFFSET($BN$2,0,0,ROW()-1,60),ROW()-1,FALSE))</f>
        <v>0.30456444999999999</v>
      </c>
      <c r="J372">
        <f ca="1">IF(AND(ISNUMBER($J$1037),$B$677=1),$J$1037,HLOOKUP(INDIRECT(ADDRESS(2,COLUMN())),OFFSET($BN$2,0,0,ROW()-1,60),ROW()-1,FALSE))</f>
        <v>0.30073517599999999</v>
      </c>
      <c r="K372">
        <f ca="1">IF(AND(ISNUMBER($K$1037),$B$677=1),$K$1037,HLOOKUP(INDIRECT(ADDRESS(2,COLUMN())),OFFSET($BN$2,0,0,ROW()-1,60),ROW()-1,FALSE))</f>
        <v>0.28555182800000001</v>
      </c>
      <c r="L372">
        <f ca="1">IF(AND(ISNUMBER($L$1037),$B$677=1),$L$1037,HLOOKUP(INDIRECT(ADDRESS(2,COLUMN())),OFFSET($BN$2,0,0,ROW()-1,60),ROW()-1,FALSE))</f>
        <v>0.26266120399999998</v>
      </c>
      <c r="M372">
        <f ca="1">IF(AND(ISNUMBER($M$1037),$B$677=1),$M$1037,HLOOKUP(INDIRECT(ADDRESS(2,COLUMN())),OFFSET($BN$2,0,0,ROW()-1,60),ROW()-1,FALSE))</f>
        <v>0.26799490399999998</v>
      </c>
      <c r="N372">
        <f ca="1">IF(AND(ISNUMBER($N$1037),$B$677=1),$N$1037,HLOOKUP(INDIRECT(ADDRESS(2,COLUMN())),OFFSET($BN$2,0,0,ROW()-1,60),ROW()-1,FALSE))</f>
        <v>0.32169829500000002</v>
      </c>
      <c r="O372">
        <f ca="1">IF(AND(ISNUMBER($O$1037),$B$677=1),$O$1037,HLOOKUP(INDIRECT(ADDRESS(2,COLUMN())),OFFSET($BN$2,0,0,ROW()-1,60),ROW()-1,FALSE))</f>
        <v>0.19510137899999999</v>
      </c>
      <c r="P372">
        <f ca="1">IF(AND(ISNUMBER($P$1037),$B$677=1),$P$1037,HLOOKUP(INDIRECT(ADDRESS(2,COLUMN())),OFFSET($BN$2,0,0,ROW()-1,60),ROW()-1,FALSE))</f>
        <v>0.20817170400000001</v>
      </c>
      <c r="Q372">
        <f ca="1">IF(AND(ISNUMBER($Q$1037),$B$677=1),$Q$1037,HLOOKUP(INDIRECT(ADDRESS(2,COLUMN())),OFFSET($BN$2,0,0,ROW()-1,60),ROW()-1,FALSE))</f>
        <v>0.200253766</v>
      </c>
      <c r="R372">
        <f ca="1">IF(AND(ISNUMBER($R$1037),$B$677=1),$R$1037,HLOOKUP(INDIRECT(ADDRESS(2,COLUMN())),OFFSET($BN$2,0,0,ROW()-1,60),ROW()-1,FALSE))</f>
        <v>0.225656404</v>
      </c>
      <c r="S372">
        <f ca="1">IF(AND(ISNUMBER($S$1037),$B$677=1),$S$1037,HLOOKUP(INDIRECT(ADDRESS(2,COLUMN())),OFFSET($BN$2,0,0,ROW()-1,60),ROW()-1,FALSE))</f>
        <v>0.259509398</v>
      </c>
      <c r="T372">
        <f ca="1">IF(AND(ISNUMBER($T$1037),$B$677=1),$T$1037,HLOOKUP(INDIRECT(ADDRESS(2,COLUMN())),OFFSET($BN$2,0,0,ROW()-1,60),ROW()-1,FALSE))</f>
        <v>0.153267393</v>
      </c>
      <c r="U372">
        <f ca="1">IF(AND(ISNUMBER($U$1037),$B$677=1),$U$1037,HLOOKUP(INDIRECT(ADDRESS(2,COLUMN())),OFFSET($BN$2,0,0,ROW()-1,60),ROW()-1,FALSE))</f>
        <v>0.40912939399999998</v>
      </c>
      <c r="V372">
        <f ca="1">IF(AND(ISNUMBER($V$1037),$B$677=1),$V$1037,HLOOKUP(INDIRECT(ADDRESS(2,COLUMN())),OFFSET($BN$2,0,0,ROW()-1,60),ROW()-1,FALSE))</f>
        <v>0.49468559200000001</v>
      </c>
      <c r="W372">
        <f ca="1">IF(AND(ISNUMBER($W$1037),$B$677=1),$W$1037,HLOOKUP(INDIRECT(ADDRESS(2,COLUMN())),OFFSET($BN$2,0,0,ROW()-1,60),ROW()-1,FALSE))</f>
        <v>0.37459497800000002</v>
      </c>
      <c r="X372">
        <f ca="1">IF(AND(ISNUMBER($X$1037),$B$677=1),$X$1037,HLOOKUP(INDIRECT(ADDRESS(2,COLUMN())),OFFSET($BN$2,0,0,ROW()-1,60),ROW()-1,FALSE))</f>
        <v>0.34018684500000002</v>
      </c>
      <c r="Y372">
        <f ca="1">IF(AND(ISNUMBER($Y$1037),$B$677=1),$Y$1037,HLOOKUP(INDIRECT(ADDRESS(2,COLUMN())),OFFSET($BN$2,0,0,ROW()-1,60),ROW()-1,FALSE))</f>
        <v>0.41703621000000002</v>
      </c>
      <c r="Z372">
        <f ca="1">IF(AND(ISNUMBER($Z$1037),$B$677=1),$Z$1037,HLOOKUP(INDIRECT(ADDRESS(2,COLUMN())),OFFSET($BN$2,0,0,ROW()-1,60),ROW()-1,FALSE))</f>
        <v>0.387273592</v>
      </c>
      <c r="AA372">
        <f ca="1">IF(AND(ISNUMBER($AA$1037),$B$677=1),$AA$1037,HLOOKUP(INDIRECT(ADDRESS(2,COLUMN())),OFFSET($BN$2,0,0,ROW()-1,60),ROW()-1,FALSE))</f>
        <v>0.42686663600000002</v>
      </c>
      <c r="AB372">
        <f ca="1">IF(AND(ISNUMBER($AB$1037),$B$677=1),$AB$1037,HLOOKUP(INDIRECT(ADDRESS(2,COLUMN())),OFFSET($BN$2,0,0,ROW()-1,60),ROW()-1,FALSE))</f>
        <v>0.346766134</v>
      </c>
      <c r="AC372">
        <f ca="1">IF(AND(ISNUMBER($AC$1037),$B$677=1),$AC$1037,HLOOKUP(INDIRECT(ADDRESS(2,COLUMN())),OFFSET($BN$2,0,0,ROW()-1,60),ROW()-1,FALSE))</f>
        <v>0.317523571</v>
      </c>
      <c r="AD372">
        <f ca="1">IF(AND(ISNUMBER($AD$1037),$B$677=1),$AD$1037,HLOOKUP(INDIRECT(ADDRESS(2,COLUMN())),OFFSET($BN$2,0,0,ROW()-1,60),ROW()-1,FALSE))</f>
        <v>0.33168584000000001</v>
      </c>
      <c r="AE372">
        <f ca="1">IF(AND(ISNUMBER($AE$1037),$B$677=1),$AE$1037,HLOOKUP(INDIRECT(ADDRESS(2,COLUMN())),OFFSET($BN$2,0,0,ROW()-1,60),ROW()-1,FALSE))</f>
        <v>0.37884814999999999</v>
      </c>
      <c r="AF372">
        <f ca="1">IF(AND(ISNUMBER($AF$1037),$B$677=1),$AF$1037,HLOOKUP(INDIRECT(ADDRESS(2,COLUMN())),OFFSET($BN$2,0,0,ROW()-1,60),ROW()-1,FALSE))</f>
        <v>0.30981444000000002</v>
      </c>
      <c r="AG372">
        <f ca="1">IF(AND(ISNUMBER($AG$1037),$B$677=1),$AG$1037,HLOOKUP(INDIRECT(ADDRESS(2,COLUMN())),OFFSET($BN$2,0,0,ROW()-1,60),ROW()-1,FALSE))</f>
        <v>0.25944915499999999</v>
      </c>
      <c r="AH372">
        <f ca="1">IF(AND(ISNUMBER($AH$1037),$B$677=1),$AH$1037,HLOOKUP(INDIRECT(ADDRESS(2,COLUMN())),OFFSET($BN$2,0,0,ROW()-1,60),ROW()-1,FALSE))</f>
        <v>0.27985249200000001</v>
      </c>
      <c r="AI372">
        <f ca="1">IF(AND(ISNUMBER($AI$1037),$B$677=1),$AI$1037,HLOOKUP(INDIRECT(ADDRESS(2,COLUMN())),OFFSET($BN$2,0,0,ROW()-1,60),ROW()-1,FALSE))</f>
        <v>0.24488599899999999</v>
      </c>
      <c r="AJ372">
        <f ca="1">IF(AND(ISNUMBER($AJ$1037),$B$677=1),$AJ$1037,HLOOKUP(INDIRECT(ADDRESS(2,COLUMN())),OFFSET($BN$2,0,0,ROW()-1,60),ROW()-1,FALSE))</f>
        <v>0.17959893299999999</v>
      </c>
      <c r="AK372">
        <f ca="1">IF(AND(ISNUMBER($AK$1037),$B$677=1),$AK$1037,HLOOKUP(INDIRECT(ADDRESS(2,COLUMN())),OFFSET($BN$2,0,0,ROW()-1,60),ROW()-1,FALSE))</f>
        <v>0.30912761500000002</v>
      </c>
      <c r="AL372">
        <f ca="1">IF(AND(ISNUMBER($AL$1037),$B$677=1),$AL$1037,HLOOKUP(INDIRECT(ADDRESS(2,COLUMN())),OFFSET($BN$2,0,0,ROW()-1,60),ROW()-1,FALSE))</f>
        <v>0.26011153999999997</v>
      </c>
      <c r="AM372">
        <f ca="1">IF(AND(ISNUMBER($AM$1037),$B$677=1),$AM$1037,HLOOKUP(INDIRECT(ADDRESS(2,COLUMN())),OFFSET($BN$2,0,0,ROW()-1,60),ROW()-1,FALSE))</f>
        <v>0.27624961199999998</v>
      </c>
      <c r="AN372">
        <f ca="1">IF(AND(ISNUMBER($AN$1037),$B$677=1),$AN$1037,HLOOKUP(INDIRECT(ADDRESS(2,COLUMN())),OFFSET($BN$2,0,0,ROW()-1,60),ROW()-1,FALSE))</f>
        <v>0.186631517</v>
      </c>
      <c r="AO372">
        <f ca="1">IF(AND(ISNUMBER($AO$1037),$B$677=1),$AO$1037,HLOOKUP(INDIRECT(ADDRESS(2,COLUMN())),OFFSET($BN$2,0,0,ROW()-1,60),ROW()-1,FALSE))</f>
        <v>0.16374430800000001</v>
      </c>
      <c r="AP372">
        <f ca="1">IF(AND(ISNUMBER($AP$1037),$B$677=1),$AP$1037,HLOOKUP(INDIRECT(ADDRESS(2,COLUMN())),OFFSET($BN$2,0,0,ROW()-1,60),ROW()-1,FALSE))</f>
        <v>0.20321607899999999</v>
      </c>
      <c r="AQ372">
        <f ca="1">IF(AND(ISNUMBER($AQ$1037),$B$677=1),$AQ$1037,HLOOKUP(INDIRECT(ADDRESS(2,COLUMN())),OFFSET($BN$2,0,0,ROW()-1,60),ROW()-1,FALSE))</f>
        <v>0.81302120700000002</v>
      </c>
      <c r="AR372">
        <f ca="1">IF(AND(ISNUMBER($AR$1037),$B$677=1),$AR$1037,HLOOKUP(INDIRECT(ADDRESS(2,COLUMN())),OFFSET($BN$2,0,0,ROW()-1,60),ROW()-1,FALSE))</f>
        <v>0.91999590899999995</v>
      </c>
      <c r="AS372">
        <f ca="1">IF(AND(ISNUMBER($AS$1037),$B$677=1),$AS$1037,HLOOKUP(INDIRECT(ADDRESS(2,COLUMN())),OFFSET($BN$2,0,0,ROW()-1,60),ROW()-1,FALSE))</f>
        <v>1.3820571669999999</v>
      </c>
      <c r="AT372">
        <f ca="1">IF(AND(ISNUMBER($AT$1037),$B$677=1),$AT$1037,HLOOKUP(INDIRECT(ADDRESS(2,COLUMN())),OFFSET($BN$2,0,0,ROW()-1,60),ROW()-1,FALSE))</f>
        <v>1.33284091</v>
      </c>
      <c r="AU372">
        <f ca="1">IF(AND(ISNUMBER($AU$1037),$B$677=1),$AU$1037,HLOOKUP(INDIRECT(ADDRESS(2,COLUMN())),OFFSET($BN$2,0,0,ROW()-1,60),ROW()-1,FALSE))</f>
        <v>1.2190123879999999</v>
      </c>
      <c r="AV372">
        <f ca="1">IF(AND(ISNUMBER($AV$1037),$B$677=1),$AV$1037,HLOOKUP(INDIRECT(ADDRESS(2,COLUMN())),OFFSET($BN$2,0,0,ROW()-1,60),ROW()-1,FALSE))</f>
        <v>1.465122474</v>
      </c>
      <c r="AW372">
        <f ca="1">IF(AND(ISNUMBER($AW$1037),$B$677=1),$AW$1037,HLOOKUP(INDIRECT(ADDRESS(2,COLUMN())),OFFSET($BN$2,0,0,ROW()-1,60),ROW()-1,FALSE))</f>
        <v>0.95953405999999997</v>
      </c>
      <c r="AX372">
        <f ca="1">IF(AND(ISNUMBER($AX$1037),$B$677=1),$AX$1037,HLOOKUP(INDIRECT(ADDRESS(2,COLUMN())),OFFSET($BN$2,0,0,ROW()-1,60),ROW()-1,FALSE))</f>
        <v>0.96950241100000001</v>
      </c>
      <c r="AY372">
        <f ca="1">IF(AND(ISNUMBER($AY$1037),$B$677=1),$AY$1037,HLOOKUP(INDIRECT(ADDRESS(2,COLUMN())),OFFSET($BN$2,0,0,ROW()-1,60),ROW()-1,FALSE))</f>
        <v>0.89363003699999999</v>
      </c>
      <c r="AZ372">
        <f ca="1">IF(AND(ISNUMBER($AZ$1037),$B$677=1),$AZ$1037,HLOOKUP(INDIRECT(ADDRESS(2,COLUMN())),OFFSET($BN$2,0,0,ROW()-1,60),ROW()-1,FALSE))</f>
        <v>0.88788752599999998</v>
      </c>
      <c r="BA372">
        <f ca="1">IF(AND(ISNUMBER($BA$1037),$B$677=1),$BA$1037,HLOOKUP(INDIRECT(ADDRESS(2,COLUMN())),OFFSET($BN$2,0,0,ROW()-1,60),ROW()-1,FALSE))</f>
        <v>0.78326831600000002</v>
      </c>
      <c r="BB372">
        <f ca="1">IF(AND(ISNUMBER($BB$1037),$B$677=1),$BB$1037,HLOOKUP(INDIRECT(ADDRESS(2,COLUMN())),OFFSET($BN$2,0,0,ROW()-1,60),ROW()-1,FALSE))</f>
        <v>0.79317694800000005</v>
      </c>
      <c r="BC372">
        <f ca="1">IF(AND(ISNUMBER($BC$1037),$B$677=1),$BC$1037,HLOOKUP(INDIRECT(ADDRESS(2,COLUMN())),OFFSET($BN$2,0,0,ROW()-1,60),ROW()-1,FALSE))</f>
        <v>0.71521053899999998</v>
      </c>
      <c r="BD372">
        <f ca="1">IF(AND(ISNUMBER($BD$1037),$B$677=1),$BD$1037,HLOOKUP(INDIRECT(ADDRESS(2,COLUMN())),OFFSET($BN$2,0,0,ROW()-1,60),ROW()-1,FALSE))</f>
        <v>0.65274848399999996</v>
      </c>
      <c r="BE372">
        <f ca="1">IF(AND(ISNUMBER($BE$1037),$B$677=1),$BE$1037,HLOOKUP(INDIRECT(ADDRESS(2,COLUMN())),OFFSET($BN$2,0,0,ROW()-1,60),ROW()-1,FALSE))</f>
        <v>0.62890305000000002</v>
      </c>
      <c r="BF372">
        <f ca="1">IF(AND(ISNUMBER($BF$1037),$B$677=1),$BF$1037,HLOOKUP(INDIRECT(ADDRESS(2,COLUMN())),OFFSET($BN$2,0,0,ROW()-1,60),ROW()-1,FALSE))</f>
        <v>0.70059427299999999</v>
      </c>
      <c r="BG372">
        <f ca="1">IF(AND(ISNUMBER($BG$1037),$B$677=1),$BG$1037,HLOOKUP(INDIRECT(ADDRESS(2,COLUMN())),OFFSET($BN$2,0,0,ROW()-1,60),ROW()-1,FALSE))</f>
        <v>0.72103078600000003</v>
      </c>
      <c r="BH372">
        <f ca="1">IF(AND(ISNUMBER($BH$1037),$B$677=1),$BH$1037,HLOOKUP(INDIRECT(ADDRESS(2,COLUMN())),OFFSET($BN$2,0,0,ROW()-1,60),ROW()-1,FALSE))</f>
        <v>0.76112274099999999</v>
      </c>
      <c r="BI372">
        <f ca="1">IF(AND(ISNUMBER($BI$1037),$B$677=1),$BI$1037,HLOOKUP(INDIRECT(ADDRESS(2,COLUMN())),OFFSET($BN$2,0,0,ROW()-1,60),ROW()-1,FALSE))</f>
        <v>0.73594674800000004</v>
      </c>
      <c r="BJ372">
        <f ca="1">IF(AND(ISNUMBER($BJ$1037),$B$677=1),$BJ$1037,HLOOKUP(INDIRECT(ADDRESS(2,COLUMN())),OFFSET($BN$2,0,0,ROW()-1,60),ROW()-1,FALSE))</f>
        <v>0.72012516199999999</v>
      </c>
      <c r="BK372">
        <f ca="1">IF(AND(ISNUMBER($BK$1037),$B$677=1),$BK$1037,HLOOKUP(INDIRECT(ADDRESS(2,COLUMN())),OFFSET($BN$2,0,0,ROW()-1,60),ROW()-1,FALSE))</f>
        <v>0.69031256399999996</v>
      </c>
      <c r="BL372" t="str">
        <f ca="1">IF(AND(ISNUMBER($BL$1037),$B$677=1),$BL$1037,HLOOKUP(INDIRECT(ADDRESS(2,COLUMN())),OFFSET($BN$2,0,0,ROW()-1,60),ROW()-1,FALSE))</f>
        <v/>
      </c>
      <c r="BM372" t="str">
        <f ca="1">IF(AND(ISNUMBER($BM$1037),$B$677=1),$BM$1037,HLOOKUP(INDIRECT(ADDRESS(2,COLUMN())),OFFSET($BN$2,0,0,ROW()-1,60),ROW()-1,FALSE))</f>
        <v/>
      </c>
      <c r="BN372" t="str">
        <f>""</f>
        <v/>
      </c>
      <c r="BO372" t="str">
        <f>""</f>
        <v/>
      </c>
      <c r="BP372">
        <f>0.270036105</f>
        <v>0.27003610500000003</v>
      </c>
      <c r="BQ372">
        <f>0.30456445</f>
        <v>0.30456444999999999</v>
      </c>
      <c r="BR372">
        <f>0.300735176</f>
        <v>0.30073517599999999</v>
      </c>
      <c r="BS372">
        <f>0.285551828</f>
        <v>0.28555182800000001</v>
      </c>
      <c r="BT372">
        <f>0.262661204</f>
        <v>0.26266120399999998</v>
      </c>
      <c r="BU372">
        <f>0.267994904</f>
        <v>0.26799490399999998</v>
      </c>
      <c r="BV372">
        <f>0.321698295</f>
        <v>0.32169829500000002</v>
      </c>
      <c r="BW372">
        <f>0.195101379</f>
        <v>0.19510137899999999</v>
      </c>
      <c r="BX372">
        <f>0.208171704</f>
        <v>0.20817170400000001</v>
      </c>
      <c r="BY372">
        <f>0.200253766</f>
        <v>0.200253766</v>
      </c>
      <c r="BZ372">
        <f>0.225656404</f>
        <v>0.225656404</v>
      </c>
      <c r="CA372">
        <f>0.259509398</f>
        <v>0.259509398</v>
      </c>
      <c r="CB372">
        <f>0.153267393</f>
        <v>0.153267393</v>
      </c>
      <c r="CC372">
        <f>0.409129394</f>
        <v>0.40912939399999998</v>
      </c>
      <c r="CD372">
        <f>0.494685592</f>
        <v>0.49468559200000001</v>
      </c>
      <c r="CE372">
        <f>0.374594978</f>
        <v>0.37459497800000002</v>
      </c>
      <c r="CF372">
        <f>0.340186845</f>
        <v>0.34018684500000002</v>
      </c>
      <c r="CG372">
        <f>0.41703621</f>
        <v>0.41703621000000002</v>
      </c>
      <c r="CH372">
        <f>0.387273592</f>
        <v>0.387273592</v>
      </c>
      <c r="CI372">
        <f>0.426866636</f>
        <v>0.42686663600000002</v>
      </c>
      <c r="CJ372">
        <f>0.346766134</f>
        <v>0.346766134</v>
      </c>
      <c r="CK372">
        <f>0.317523571</f>
        <v>0.317523571</v>
      </c>
      <c r="CL372">
        <f>0.33168584</f>
        <v>0.33168584000000001</v>
      </c>
      <c r="CM372">
        <f>0.37884815</f>
        <v>0.37884814999999999</v>
      </c>
      <c r="CN372">
        <f>0.30981444</f>
        <v>0.30981444000000002</v>
      </c>
      <c r="CO372">
        <f>0.259449155</f>
        <v>0.25944915499999999</v>
      </c>
      <c r="CP372">
        <f>0.279852492</f>
        <v>0.27985249200000001</v>
      </c>
      <c r="CQ372">
        <f>0.244885999</f>
        <v>0.24488599899999999</v>
      </c>
      <c r="CR372">
        <f>0.179598933</f>
        <v>0.17959893299999999</v>
      </c>
      <c r="CS372">
        <f>0.309127615</f>
        <v>0.30912761500000002</v>
      </c>
      <c r="CT372">
        <f>0.26011154</f>
        <v>0.26011153999999997</v>
      </c>
      <c r="CU372">
        <f>0.276249612</f>
        <v>0.27624961199999998</v>
      </c>
      <c r="CV372">
        <f>0.186631517</f>
        <v>0.186631517</v>
      </c>
      <c r="CW372">
        <f>0.163744308</f>
        <v>0.16374430800000001</v>
      </c>
      <c r="CX372">
        <f>0.203216079</f>
        <v>0.20321607899999999</v>
      </c>
      <c r="CY372">
        <f>0.813021207</f>
        <v>0.81302120700000002</v>
      </c>
      <c r="CZ372">
        <f>0.919995909</f>
        <v>0.91999590899999995</v>
      </c>
      <c r="DA372">
        <f>1.382057167</f>
        <v>1.3820571669999999</v>
      </c>
      <c r="DB372">
        <f>1.33284091</f>
        <v>1.33284091</v>
      </c>
      <c r="DC372">
        <f>1.219012388</f>
        <v>1.2190123879999999</v>
      </c>
      <c r="DD372">
        <f>1.465122474</f>
        <v>1.465122474</v>
      </c>
      <c r="DE372">
        <f>0.95953406</f>
        <v>0.95953405999999997</v>
      </c>
      <c r="DF372">
        <f>0.969502411</f>
        <v>0.96950241100000001</v>
      </c>
      <c r="DG372">
        <f>0.893630037</f>
        <v>0.89363003699999999</v>
      </c>
      <c r="DH372">
        <f>0.887887526</f>
        <v>0.88788752599999998</v>
      </c>
      <c r="DI372">
        <f>0.783268316</f>
        <v>0.78326831600000002</v>
      </c>
      <c r="DJ372">
        <f>0.793176948</f>
        <v>0.79317694800000005</v>
      </c>
      <c r="DK372">
        <f>0.715210539</f>
        <v>0.71521053899999998</v>
      </c>
      <c r="DL372">
        <f>0.652748484</f>
        <v>0.65274848399999996</v>
      </c>
      <c r="DM372">
        <f>0.62890305</f>
        <v>0.62890305000000002</v>
      </c>
      <c r="DN372">
        <f>0.700594273</f>
        <v>0.70059427299999999</v>
      </c>
      <c r="DO372">
        <f>0.721030786</f>
        <v>0.72103078600000003</v>
      </c>
      <c r="DP372">
        <f>0.761122741</f>
        <v>0.76112274099999999</v>
      </c>
      <c r="DQ372">
        <f>0.735946748</f>
        <v>0.73594674800000004</v>
      </c>
      <c r="DR372">
        <f>0.720125162</f>
        <v>0.72012516199999999</v>
      </c>
      <c r="DS372">
        <f>0.690312564</f>
        <v>0.69031256399999996</v>
      </c>
      <c r="DT372" t="str">
        <f>""</f>
        <v/>
      </c>
      <c r="DU372" t="str">
        <f>""</f>
        <v/>
      </c>
    </row>
    <row r="373" spans="1:125" x14ac:dyDescent="0.25">
      <c r="A373" t="str">
        <f>"    Yulon Motor Co Ltd"</f>
        <v xml:space="preserve">    Yulon Motor Co Ltd</v>
      </c>
      <c r="B373" t="str">
        <f>"2201 TT Equity"</f>
        <v>2201 TT Equity</v>
      </c>
      <c r="C373" t="str">
        <f t="shared" si="24"/>
        <v>RR473</v>
      </c>
      <c r="D373" t="str">
        <f t="shared" si="25"/>
        <v>EV_TO_T12M_SALES</v>
      </c>
      <c r="E373" t="str">
        <f t="shared" si="26"/>
        <v>Dynamic</v>
      </c>
      <c r="F373" t="str">
        <f ca="1">IF(AND(ISNUMBER($F$1038),$B$677=1),$F$1038,HLOOKUP(INDIRECT(ADDRESS(2,COLUMN())),OFFSET($BN$2,0,0,ROW()-1,60),ROW()-1,FALSE))</f>
        <v/>
      </c>
      <c r="G373" t="str">
        <f ca="1">IF(AND(ISNUMBER($G$1038),$B$677=1),$G$1038,HLOOKUP(INDIRECT(ADDRESS(2,COLUMN())),OFFSET($BN$2,0,0,ROW()-1,60),ROW()-1,FALSE))</f>
        <v/>
      </c>
      <c r="H373">
        <f ca="1">IF(AND(ISNUMBER($H$1038),$B$677=1),$H$1038,HLOOKUP(INDIRECT(ADDRESS(2,COLUMN())),OFFSET($BN$2,0,0,ROW()-1,60),ROW()-1,FALSE))</f>
        <v>1.898066249</v>
      </c>
      <c r="I373">
        <f ca="1">IF(AND(ISNUMBER($I$1038),$B$677=1),$I$1038,HLOOKUP(INDIRECT(ADDRESS(2,COLUMN())),OFFSET($BN$2,0,0,ROW()-1,60),ROW()-1,FALSE))</f>
        <v>1.7339096089999999</v>
      </c>
      <c r="J373">
        <f ca="1">IF(AND(ISNUMBER($J$1038),$B$677=1),$J$1038,HLOOKUP(INDIRECT(ADDRESS(2,COLUMN())),OFFSET($BN$2,0,0,ROW()-1,60),ROW()-1,FALSE))</f>
        <v>1.622422016</v>
      </c>
      <c r="K373">
        <f ca="1">IF(AND(ISNUMBER($K$1038),$B$677=1),$K$1038,HLOOKUP(INDIRECT(ADDRESS(2,COLUMN())),OFFSET($BN$2,0,0,ROW()-1,60),ROW()-1,FALSE))</f>
        <v>1.552892623</v>
      </c>
      <c r="L373">
        <f ca="1">IF(AND(ISNUMBER($L$1038),$B$677=1),$L$1038,HLOOKUP(INDIRECT(ADDRESS(2,COLUMN())),OFFSET($BN$2,0,0,ROW()-1,60),ROW()-1,FALSE))</f>
        <v>1.418788457</v>
      </c>
      <c r="M373">
        <f ca="1">IF(AND(ISNUMBER($M$1038),$B$677=1),$M$1038,HLOOKUP(INDIRECT(ADDRESS(2,COLUMN())),OFFSET($BN$2,0,0,ROW()-1,60),ROW()-1,FALSE))</f>
        <v>1.3098513839999999</v>
      </c>
      <c r="N373">
        <f ca="1">IF(AND(ISNUMBER($N$1038),$B$677=1),$N$1038,HLOOKUP(INDIRECT(ADDRESS(2,COLUMN())),OFFSET($BN$2,0,0,ROW()-1,60),ROW()-1,FALSE))</f>
        <v>1.2126669189999999</v>
      </c>
      <c r="O373">
        <f ca="1">IF(AND(ISNUMBER($O$1038),$B$677=1),$O$1038,HLOOKUP(INDIRECT(ADDRESS(2,COLUMN())),OFFSET($BN$2,0,0,ROW()-1,60),ROW()-1,FALSE))</f>
        <v>1.122045755</v>
      </c>
      <c r="P373">
        <f ca="1">IF(AND(ISNUMBER($P$1038),$B$677=1),$P$1038,HLOOKUP(INDIRECT(ADDRESS(2,COLUMN())),OFFSET($BN$2,0,0,ROW()-1,60),ROW()-1,FALSE))</f>
        <v>1.0434653810000001</v>
      </c>
      <c r="Q373">
        <f ca="1">IF(AND(ISNUMBER($Q$1038),$B$677=1),$Q$1038,HLOOKUP(INDIRECT(ADDRESS(2,COLUMN())),OFFSET($BN$2,0,0,ROW()-1,60),ROW()-1,FALSE))</f>
        <v>0.97052002299999995</v>
      </c>
      <c r="R373">
        <f ca="1">IF(AND(ISNUMBER($R$1038),$B$677=1),$R$1038,HLOOKUP(INDIRECT(ADDRESS(2,COLUMN())),OFFSET($BN$2,0,0,ROW()-1,60),ROW()-1,FALSE))</f>
        <v>0.979703883</v>
      </c>
      <c r="S373">
        <f ca="1">IF(AND(ISNUMBER($S$1038),$B$677=1),$S$1038,HLOOKUP(INDIRECT(ADDRESS(2,COLUMN())),OFFSET($BN$2,0,0,ROW()-1,60),ROW()-1,FALSE))</f>
        <v>0.96349141999999999</v>
      </c>
      <c r="T373">
        <f ca="1">IF(AND(ISNUMBER($T$1038),$B$677=1),$T$1038,HLOOKUP(INDIRECT(ADDRESS(2,COLUMN())),OFFSET($BN$2,0,0,ROW()-1,60),ROW()-1,FALSE))</f>
        <v>0.93149703800000005</v>
      </c>
      <c r="U373">
        <f ca="1">IF(AND(ISNUMBER($U$1038),$B$677=1),$U$1038,HLOOKUP(INDIRECT(ADDRESS(2,COLUMN())),OFFSET($BN$2,0,0,ROW()-1,60),ROW()-1,FALSE))</f>
        <v>1.0013371600000001</v>
      </c>
      <c r="V373">
        <f ca="1">IF(AND(ISNUMBER($V$1038),$B$677=1),$V$1038,HLOOKUP(INDIRECT(ADDRESS(2,COLUMN())),OFFSET($BN$2,0,0,ROW()-1,60),ROW()-1,FALSE))</f>
        <v>1.054562615</v>
      </c>
      <c r="W373">
        <f ca="1">IF(AND(ISNUMBER($W$1038),$B$677=1),$W$1038,HLOOKUP(INDIRECT(ADDRESS(2,COLUMN())),OFFSET($BN$2,0,0,ROW()-1,60),ROW()-1,FALSE))</f>
        <v>1.1463714570000001</v>
      </c>
      <c r="X373">
        <f ca="1">IF(AND(ISNUMBER($X$1038),$B$677=1),$X$1038,HLOOKUP(INDIRECT(ADDRESS(2,COLUMN())),OFFSET($BN$2,0,0,ROW()-1,60),ROW()-1,FALSE))</f>
        <v>1.140299994</v>
      </c>
      <c r="Y373">
        <f ca="1">IF(AND(ISNUMBER($Y$1038),$B$677=1),$Y$1038,HLOOKUP(INDIRECT(ADDRESS(2,COLUMN())),OFFSET($BN$2,0,0,ROW()-1,60),ROW()-1,FALSE))</f>
        <v>1.2680699989999999</v>
      </c>
      <c r="Z373">
        <f ca="1">IF(AND(ISNUMBER($Z$1038),$B$677=1),$Z$1038,HLOOKUP(INDIRECT(ADDRESS(2,COLUMN())),OFFSET($BN$2,0,0,ROW()-1,60),ROW()-1,FALSE))</f>
        <v>1.3633799200000001</v>
      </c>
      <c r="AA373">
        <f ca="1">IF(AND(ISNUMBER($AA$1038),$B$677=1),$AA$1038,HLOOKUP(INDIRECT(ADDRESS(2,COLUMN())),OFFSET($BN$2,0,0,ROW()-1,60),ROW()-1,FALSE))</f>
        <v>1.492260948</v>
      </c>
      <c r="AB373">
        <f ca="1">IF(AND(ISNUMBER($AB$1038),$B$677=1),$AB$1038,HLOOKUP(INDIRECT(ADDRESS(2,COLUMN())),OFFSET($BN$2,0,0,ROW()-1,60),ROW()-1,FALSE))</f>
        <v>1.5630033919999999</v>
      </c>
      <c r="AC373">
        <f ca="1">IF(AND(ISNUMBER($AC$1038),$B$677=1),$AC$1038,HLOOKUP(INDIRECT(ADDRESS(2,COLUMN())),OFFSET($BN$2,0,0,ROW()-1,60),ROW()-1,FALSE))</f>
        <v>1.5806469949999999</v>
      </c>
      <c r="AD373">
        <f ca="1">IF(AND(ISNUMBER($AD$1038),$B$677=1),$AD$1038,HLOOKUP(INDIRECT(ADDRESS(2,COLUMN())),OFFSET($BN$2,0,0,ROW()-1,60),ROW()-1,FALSE))</f>
        <v>1.724749176</v>
      </c>
      <c r="AE373">
        <f ca="1">IF(AND(ISNUMBER($AE$1038),$B$677=1),$AE$1038,HLOOKUP(INDIRECT(ADDRESS(2,COLUMN())),OFFSET($BN$2,0,0,ROW()-1,60),ROW()-1,FALSE))</f>
        <v>1.690197569</v>
      </c>
      <c r="AF373">
        <f ca="1">IF(AND(ISNUMBER($AF$1038),$B$677=1),$AF$1038,HLOOKUP(INDIRECT(ADDRESS(2,COLUMN())),OFFSET($BN$2,0,0,ROW()-1,60),ROW()-1,FALSE))</f>
        <v>1.6689606509999999</v>
      </c>
      <c r="AG373">
        <f ca="1">IF(AND(ISNUMBER($AG$1038),$B$677=1),$AG$1038,HLOOKUP(INDIRECT(ADDRESS(2,COLUMN())),OFFSET($BN$2,0,0,ROW()-1,60),ROW()-1,FALSE))</f>
        <v>1.585416231</v>
      </c>
      <c r="AH373">
        <f ca="1">IF(AND(ISNUMBER($AH$1038),$B$677=1),$AH$1038,HLOOKUP(INDIRECT(ADDRESS(2,COLUMN())),OFFSET($BN$2,0,0,ROW()-1,60),ROW()-1,FALSE))</f>
        <v>1.647260712</v>
      </c>
      <c r="AI373">
        <f ca="1">IF(AND(ISNUMBER($AI$1038),$B$677=1),$AI$1038,HLOOKUP(INDIRECT(ADDRESS(2,COLUMN())),OFFSET($BN$2,0,0,ROW()-1,60),ROW()-1,FALSE))</f>
        <v>1.5687133630000001</v>
      </c>
      <c r="AJ373">
        <f ca="1">IF(AND(ISNUMBER($AJ$1038),$B$677=1),$AJ$1038,HLOOKUP(INDIRECT(ADDRESS(2,COLUMN())),OFFSET($BN$2,0,0,ROW()-1,60),ROW()-1,FALSE))</f>
        <v>1.792599778</v>
      </c>
      <c r="AK373">
        <f ca="1">IF(AND(ISNUMBER($AK$1038),$B$677=1),$AK$1038,HLOOKUP(INDIRECT(ADDRESS(2,COLUMN())),OFFSET($BN$2,0,0,ROW()-1,60),ROW()-1,FALSE))</f>
        <v>1.9675560519999999</v>
      </c>
      <c r="AL373">
        <f ca="1">IF(AND(ISNUMBER($AL$1038),$B$677=1),$AL$1038,HLOOKUP(INDIRECT(ADDRESS(2,COLUMN())),OFFSET($BN$2,0,0,ROW()-1,60),ROW()-1,FALSE))</f>
        <v>1.6285623170000001</v>
      </c>
      <c r="AM373">
        <f ca="1">IF(AND(ISNUMBER($AM$1038),$B$677=1),$AM$1038,HLOOKUP(INDIRECT(ADDRESS(2,COLUMN())),OFFSET($BN$2,0,0,ROW()-1,60),ROW()-1,FALSE))</f>
        <v>1.9163567370000001</v>
      </c>
      <c r="AN373">
        <f ca="1">IF(AND(ISNUMBER($AN$1038),$B$677=1),$AN$1038,HLOOKUP(INDIRECT(ADDRESS(2,COLUMN())),OFFSET($BN$2,0,0,ROW()-1,60),ROW()-1,FALSE))</f>
        <v>1.748532762</v>
      </c>
      <c r="AO373">
        <f ca="1">IF(AND(ISNUMBER($AO$1038),$B$677=1),$AO$1038,HLOOKUP(INDIRECT(ADDRESS(2,COLUMN())),OFFSET($BN$2,0,0,ROW()-1,60),ROW()-1,FALSE))</f>
        <v>1.2516977659999999</v>
      </c>
      <c r="AP373">
        <f ca="1">IF(AND(ISNUMBER($AP$1038),$B$677=1),$AP$1038,HLOOKUP(INDIRECT(ADDRESS(2,COLUMN())),OFFSET($BN$2,0,0,ROW()-1,60),ROW()-1,FALSE))</f>
        <v>1.401131946</v>
      </c>
      <c r="AQ373">
        <f ca="1">IF(AND(ISNUMBER($AQ$1038),$B$677=1),$AQ$1038,HLOOKUP(INDIRECT(ADDRESS(2,COLUMN())),OFFSET($BN$2,0,0,ROW()-1,60),ROW()-1,FALSE))</f>
        <v>1.591002104</v>
      </c>
      <c r="AR373">
        <f ca="1">IF(AND(ISNUMBER($AR$1038),$B$677=1),$AR$1038,HLOOKUP(INDIRECT(ADDRESS(2,COLUMN())),OFFSET($BN$2,0,0,ROW()-1,60),ROW()-1,FALSE))</f>
        <v>1.8854572700000001</v>
      </c>
      <c r="AS373">
        <f ca="1">IF(AND(ISNUMBER($AS$1038),$B$677=1),$AS$1038,HLOOKUP(INDIRECT(ADDRESS(2,COLUMN())),OFFSET($BN$2,0,0,ROW()-1,60),ROW()-1,FALSE))</f>
        <v>1.795072921</v>
      </c>
      <c r="AT373">
        <f ca="1">IF(AND(ISNUMBER($AT$1038),$B$677=1),$AT$1038,HLOOKUP(INDIRECT(ADDRESS(2,COLUMN())),OFFSET($BN$2,0,0,ROW()-1,60),ROW()-1,FALSE))</f>
        <v>1.343247847</v>
      </c>
      <c r="AU373">
        <f ca="1">IF(AND(ISNUMBER($AU$1038),$B$677=1),$AU$1038,HLOOKUP(INDIRECT(ADDRESS(2,COLUMN())),OFFSET($BN$2,0,0,ROW()-1,60),ROW()-1,FALSE))</f>
        <v>1.0601169420000001</v>
      </c>
      <c r="AV373" t="str">
        <f ca="1">IF(AND(ISNUMBER($AV$1038),$B$677=1),$AV$1038,HLOOKUP(INDIRECT(ADDRESS(2,COLUMN())),OFFSET($BN$2,0,0,ROW()-1,60),ROW()-1,FALSE))</f>
        <v/>
      </c>
      <c r="AW373" t="str">
        <f ca="1">IF(AND(ISNUMBER($AW$1038),$B$677=1),$AW$1038,HLOOKUP(INDIRECT(ADDRESS(2,COLUMN())),OFFSET($BN$2,0,0,ROW()-1,60),ROW()-1,FALSE))</f>
        <v/>
      </c>
      <c r="AX373" t="str">
        <f ca="1">IF(AND(ISNUMBER($AX$1038),$B$677=1),$AX$1038,HLOOKUP(INDIRECT(ADDRESS(2,COLUMN())),OFFSET($BN$2,0,0,ROW()-1,60),ROW()-1,FALSE))</f>
        <v/>
      </c>
      <c r="AY373" t="str">
        <f ca="1">IF(AND(ISNUMBER($AY$1038),$B$677=1),$AY$1038,HLOOKUP(INDIRECT(ADDRESS(2,COLUMN())),OFFSET($BN$2,0,0,ROW()-1,60),ROW()-1,FALSE))</f>
        <v/>
      </c>
      <c r="AZ373" t="str">
        <f ca="1">IF(AND(ISNUMBER($AZ$1038),$B$677=1),$AZ$1038,HLOOKUP(INDIRECT(ADDRESS(2,COLUMN())),OFFSET($BN$2,0,0,ROW()-1,60),ROW()-1,FALSE))</f>
        <v/>
      </c>
      <c r="BA373" t="str">
        <f ca="1">IF(AND(ISNUMBER($BA$1038),$B$677=1),$BA$1038,HLOOKUP(INDIRECT(ADDRESS(2,COLUMN())),OFFSET($BN$2,0,0,ROW()-1,60),ROW()-1,FALSE))</f>
        <v/>
      </c>
      <c r="BB373" t="str">
        <f ca="1">IF(AND(ISNUMBER($BB$1038),$B$677=1),$BB$1038,HLOOKUP(INDIRECT(ADDRESS(2,COLUMN())),OFFSET($BN$2,0,0,ROW()-1,60),ROW()-1,FALSE))</f>
        <v/>
      </c>
      <c r="BC373" t="str">
        <f ca="1">IF(AND(ISNUMBER($BC$1038),$B$677=1),$BC$1038,HLOOKUP(INDIRECT(ADDRESS(2,COLUMN())),OFFSET($BN$2,0,0,ROW()-1,60),ROW()-1,FALSE))</f>
        <v/>
      </c>
      <c r="BD373" t="str">
        <f ca="1">IF(AND(ISNUMBER($BD$1038),$B$677=1),$BD$1038,HLOOKUP(INDIRECT(ADDRESS(2,COLUMN())),OFFSET($BN$2,0,0,ROW()-1,60),ROW()-1,FALSE))</f>
        <v/>
      </c>
      <c r="BE373" t="str">
        <f ca="1">IF(AND(ISNUMBER($BE$1038),$B$677=1),$BE$1038,HLOOKUP(INDIRECT(ADDRESS(2,COLUMN())),OFFSET($BN$2,0,0,ROW()-1,60),ROW()-1,FALSE))</f>
        <v/>
      </c>
      <c r="BF373" t="str">
        <f ca="1">IF(AND(ISNUMBER($BF$1038),$B$677=1),$BF$1038,HLOOKUP(INDIRECT(ADDRESS(2,COLUMN())),OFFSET($BN$2,0,0,ROW()-1,60),ROW()-1,FALSE))</f>
        <v/>
      </c>
      <c r="BG373" t="str">
        <f ca="1">IF(AND(ISNUMBER($BG$1038),$B$677=1),$BG$1038,HLOOKUP(INDIRECT(ADDRESS(2,COLUMN())),OFFSET($BN$2,0,0,ROW()-1,60),ROW()-1,FALSE))</f>
        <v/>
      </c>
      <c r="BH373" t="str">
        <f ca="1">IF(AND(ISNUMBER($BH$1038),$B$677=1),$BH$1038,HLOOKUP(INDIRECT(ADDRESS(2,COLUMN())),OFFSET($BN$2,0,0,ROW()-1,60),ROW()-1,FALSE))</f>
        <v/>
      </c>
      <c r="BI373" t="str">
        <f ca="1">IF(AND(ISNUMBER($BI$1038),$B$677=1),$BI$1038,HLOOKUP(INDIRECT(ADDRESS(2,COLUMN())),OFFSET($BN$2,0,0,ROW()-1,60),ROW()-1,FALSE))</f>
        <v/>
      </c>
      <c r="BJ373" t="str">
        <f ca="1">IF(AND(ISNUMBER($BJ$1038),$B$677=1),$BJ$1038,HLOOKUP(INDIRECT(ADDRESS(2,COLUMN())),OFFSET($BN$2,0,0,ROW()-1,60),ROW()-1,FALSE))</f>
        <v/>
      </c>
      <c r="BK373" t="str">
        <f ca="1">IF(AND(ISNUMBER($BK$1038),$B$677=1),$BK$1038,HLOOKUP(INDIRECT(ADDRESS(2,COLUMN())),OFFSET($BN$2,0,0,ROW()-1,60),ROW()-1,FALSE))</f>
        <v/>
      </c>
      <c r="BL373" t="str">
        <f ca="1">IF(AND(ISNUMBER($BL$1038),$B$677=1),$BL$1038,HLOOKUP(INDIRECT(ADDRESS(2,COLUMN())),OFFSET($BN$2,0,0,ROW()-1,60),ROW()-1,FALSE))</f>
        <v/>
      </c>
      <c r="BM373" t="str">
        <f ca="1">IF(AND(ISNUMBER($BM$1038),$B$677=1),$BM$1038,HLOOKUP(INDIRECT(ADDRESS(2,COLUMN())),OFFSET($BN$2,0,0,ROW()-1,60),ROW()-1,FALSE))</f>
        <v/>
      </c>
      <c r="BN373" t="str">
        <f>""</f>
        <v/>
      </c>
      <c r="BO373" t="str">
        <f>""</f>
        <v/>
      </c>
      <c r="BP373">
        <f>1.898066249</f>
        <v>1.898066249</v>
      </c>
      <c r="BQ373">
        <f>1.733909609</f>
        <v>1.7339096089999999</v>
      </c>
      <c r="BR373">
        <f>1.622422016</f>
        <v>1.622422016</v>
      </c>
      <c r="BS373">
        <f>1.552892623</f>
        <v>1.552892623</v>
      </c>
      <c r="BT373">
        <f>1.418788457</f>
        <v>1.418788457</v>
      </c>
      <c r="BU373">
        <f>1.309851384</f>
        <v>1.3098513839999999</v>
      </c>
      <c r="BV373">
        <f>1.212666919</f>
        <v>1.2126669189999999</v>
      </c>
      <c r="BW373">
        <f>1.122045755</f>
        <v>1.122045755</v>
      </c>
      <c r="BX373">
        <f>1.043465381</f>
        <v>1.0434653810000001</v>
      </c>
      <c r="BY373">
        <f>0.970520023</f>
        <v>0.97052002299999995</v>
      </c>
      <c r="BZ373">
        <f>0.979703883</f>
        <v>0.979703883</v>
      </c>
      <c r="CA373">
        <f>0.96349142</f>
        <v>0.96349141999999999</v>
      </c>
      <c r="CB373">
        <f>0.931497038</f>
        <v>0.93149703800000005</v>
      </c>
      <c r="CC373">
        <f>1.00133716</f>
        <v>1.0013371600000001</v>
      </c>
      <c r="CD373">
        <f>1.054562615</f>
        <v>1.054562615</v>
      </c>
      <c r="CE373">
        <f>1.146371457</f>
        <v>1.1463714570000001</v>
      </c>
      <c r="CF373">
        <f>1.140299994</f>
        <v>1.140299994</v>
      </c>
      <c r="CG373">
        <f>1.268069999</f>
        <v>1.2680699989999999</v>
      </c>
      <c r="CH373">
        <f>1.36337992</f>
        <v>1.3633799200000001</v>
      </c>
      <c r="CI373">
        <f>1.492260948</f>
        <v>1.492260948</v>
      </c>
      <c r="CJ373">
        <f>1.563003392</f>
        <v>1.5630033919999999</v>
      </c>
      <c r="CK373">
        <f>1.580646995</f>
        <v>1.5806469949999999</v>
      </c>
      <c r="CL373">
        <f>1.724749176</f>
        <v>1.724749176</v>
      </c>
      <c r="CM373">
        <f>1.690197569</f>
        <v>1.690197569</v>
      </c>
      <c r="CN373">
        <f>1.668960651</f>
        <v>1.6689606509999999</v>
      </c>
      <c r="CO373">
        <f>1.585416231</f>
        <v>1.585416231</v>
      </c>
      <c r="CP373">
        <f>1.647260712</f>
        <v>1.647260712</v>
      </c>
      <c r="CQ373">
        <f>1.568713363</f>
        <v>1.5687133630000001</v>
      </c>
      <c r="CR373">
        <f>1.792599778</f>
        <v>1.792599778</v>
      </c>
      <c r="CS373">
        <f>1.967556052</f>
        <v>1.9675560519999999</v>
      </c>
      <c r="CT373">
        <f>1.628562317</f>
        <v>1.6285623170000001</v>
      </c>
      <c r="CU373">
        <f>1.916356737</f>
        <v>1.9163567370000001</v>
      </c>
      <c r="CV373">
        <f>1.748532762</f>
        <v>1.748532762</v>
      </c>
      <c r="CW373">
        <f>1.251697766</f>
        <v>1.2516977659999999</v>
      </c>
      <c r="CX373">
        <f>1.401131946</f>
        <v>1.401131946</v>
      </c>
      <c r="CY373">
        <f>1.591002104</f>
        <v>1.591002104</v>
      </c>
      <c r="CZ373">
        <f>1.88545727</f>
        <v>1.8854572700000001</v>
      </c>
      <c r="DA373">
        <f>1.795072921</f>
        <v>1.795072921</v>
      </c>
      <c r="DB373">
        <f>1.343247847</f>
        <v>1.343247847</v>
      </c>
      <c r="DC373">
        <f>1.060116942</f>
        <v>1.0601169420000001</v>
      </c>
      <c r="DD373" t="str">
        <f>""</f>
        <v/>
      </c>
      <c r="DE373" t="str">
        <f>""</f>
        <v/>
      </c>
      <c r="DF373" t="str">
        <f>""</f>
        <v/>
      </c>
      <c r="DG373" t="str">
        <f>""</f>
        <v/>
      </c>
      <c r="DH373" t="str">
        <f>""</f>
        <v/>
      </c>
      <c r="DI373" t="str">
        <f>""</f>
        <v/>
      </c>
      <c r="DJ373" t="str">
        <f>""</f>
        <v/>
      </c>
      <c r="DK373" t="str">
        <f>""</f>
        <v/>
      </c>
      <c r="DL373" t="str">
        <f>""</f>
        <v/>
      </c>
      <c r="DM373" t="str">
        <f>""</f>
        <v/>
      </c>
      <c r="DN373" t="str">
        <f>""</f>
        <v/>
      </c>
      <c r="DO373" t="str">
        <f>""</f>
        <v/>
      </c>
      <c r="DP373" t="str">
        <f>""</f>
        <v/>
      </c>
      <c r="DQ373" t="str">
        <f>""</f>
        <v/>
      </c>
      <c r="DR373" t="str">
        <f>""</f>
        <v/>
      </c>
      <c r="DS373" t="str">
        <f>""</f>
        <v/>
      </c>
      <c r="DT373" t="str">
        <f>""</f>
        <v/>
      </c>
      <c r="DU373" t="str">
        <f>""</f>
        <v/>
      </c>
    </row>
    <row r="374" spans="1:125" x14ac:dyDescent="0.25">
      <c r="A374" t="str">
        <f>"EV / Market Cap"</f>
        <v>EV / Market Cap</v>
      </c>
      <c r="B374" t="str">
        <f>""</f>
        <v/>
      </c>
      <c r="E374" t="str">
        <f>"Average"</f>
        <v>Average</v>
      </c>
      <c r="F374" t="str">
        <f ca="1">IF(ISERROR(IF(AVERAGE($F$375:$F$414) = 0, "", AVERAGE($F$375:$F$414))), "", (IF(AVERAGE($F$375:$F$414) = 0, "", AVERAGE($F$375:$F$414))))</f>
        <v/>
      </c>
      <c r="G374">
        <f ca="1">IF(ISERROR(IF(AVERAGE($G$375:$G$414) = 0, "", AVERAGE($G$375:$G$414))), "", (IF(AVERAGE($G$375:$G$414) = 0, "", AVERAGE($G$375:$G$414))))</f>
        <v>1.0705808947857145</v>
      </c>
      <c r="H374">
        <f ca="1">IF(ISERROR(IF(AVERAGE($H$375:$H$414) = 0, "", AVERAGE($H$375:$H$414))), "", (IF(AVERAGE($H$375:$H$414) = 0, "", AVERAGE($H$375:$H$414))))</f>
        <v>1.3729261479354837</v>
      </c>
      <c r="I374">
        <f ca="1">IF(ISERROR(IF(AVERAGE($I$375:$I$414) = 0, "", AVERAGE($I$375:$I$414))), "", (IF(AVERAGE($I$375:$I$414) = 0, "", AVERAGE($I$375:$I$414))))</f>
        <v>1.3683483927</v>
      </c>
      <c r="J374">
        <f ca="1">IF(ISERROR(IF(AVERAGE($J$375:$J$414) = 0, "", AVERAGE($J$375:$J$414))), "", (IF(AVERAGE($J$375:$J$414) = 0, "", AVERAGE($J$375:$J$414))))</f>
        <v>1.3155621234516128</v>
      </c>
      <c r="K374">
        <f ca="1">IF(ISERROR(IF(AVERAGE($K$375:$K$414) = 0, "", AVERAGE($K$375:$K$414))), "", (IF(AVERAGE($K$375:$K$414) = 0, "", AVERAGE($K$375:$K$414))))</f>
        <v>1.3258950401</v>
      </c>
      <c r="L374">
        <f ca="1">IF(ISERROR(IF(AVERAGE($L$375:$L$414) = 0, "", AVERAGE($L$375:$L$414))), "", (IF(AVERAGE($L$375:$L$414) = 0, "", AVERAGE($L$375:$L$414))))</f>
        <v>1.3407181642903225</v>
      </c>
      <c r="M374">
        <f ca="1">IF(ISERROR(IF(AVERAGE($M$375:$M$414) = 0, "", AVERAGE($M$375:$M$414))), "", (IF(AVERAGE($M$375:$M$414) = 0, "", AVERAGE($M$375:$M$414))))</f>
        <v>1.3323209938666665</v>
      </c>
      <c r="N374">
        <f ca="1">IF(ISERROR(IF(AVERAGE($N$375:$N$414) = 0, "", AVERAGE($N$375:$N$414))), "", (IF(AVERAGE($N$375:$N$414) = 0, "", AVERAGE($N$375:$N$414))))</f>
        <v>1.3402008846774194</v>
      </c>
      <c r="O374">
        <f ca="1">IF(ISERROR(IF(AVERAGE($O$375:$O$414) = 0, "", AVERAGE($O$375:$O$414))), "", (IF(AVERAGE($O$375:$O$414) = 0, "", AVERAGE($O$375:$O$414))))</f>
        <v>1.3539203180000001</v>
      </c>
      <c r="P374">
        <f ca="1">IF(ISERROR(IF(AVERAGE($P$375:$P$414) = 0, "", AVERAGE($P$375:$P$414))), "", (IF(AVERAGE($P$375:$P$414) = 0, "", AVERAGE($P$375:$P$414))))</f>
        <v>1.4371147819999999</v>
      </c>
      <c r="Q374">
        <f ca="1">IF(ISERROR(IF(AVERAGE($Q$375:$Q$414) = 0, "", AVERAGE($Q$375:$Q$414))), "", (IF(AVERAGE($Q$375:$Q$414) = 0, "", AVERAGE($Q$375:$Q$414))))</f>
        <v>1.5858870705000003</v>
      </c>
      <c r="R374">
        <f ca="1">IF(ISERROR(IF(AVERAGE($R$375:$R$414) = 0, "", AVERAGE($R$375:$R$414))), "", (IF(AVERAGE($R$375:$R$414) = 0, "", AVERAGE($R$375:$R$414))))</f>
        <v>1.5054493684374999</v>
      </c>
      <c r="S374">
        <f ca="1">IF(ISERROR(IF(AVERAGE($S$375:$S$414) = 0, "", AVERAGE($S$375:$S$414))), "", (IF(AVERAGE($S$375:$S$414) = 0, "", AVERAGE($S$375:$S$414))))</f>
        <v>1.4282537407741935</v>
      </c>
      <c r="T374">
        <f ca="1">IF(ISERROR(IF(AVERAGE($T$375:$T$414) = 0, "", AVERAGE($T$375:$T$414))), "", (IF(AVERAGE($T$375:$T$414) = 0, "", AVERAGE($T$375:$T$414))))</f>
        <v>1.4494235862187501</v>
      </c>
      <c r="U374">
        <f ca="1">IF(ISERROR(IF(AVERAGE($U$375:$U$414) = 0, "", AVERAGE($U$375:$U$414))), "", (IF(AVERAGE($U$375:$U$414) = 0, "", AVERAGE($U$375:$U$414))))</f>
        <v>1.2655975065999998</v>
      </c>
      <c r="V374">
        <f ca="1">IF(ISERROR(IF(AVERAGE($V$375:$V$414) = 0, "", AVERAGE($V$375:$V$414))), "", (IF(AVERAGE($V$375:$V$414) = 0, "", AVERAGE($V$375:$V$414))))</f>
        <v>1.1933703618064513</v>
      </c>
      <c r="W374">
        <f ca="1">IF(ISERROR(IF(AVERAGE($W$375:$W$414) = 0, "", AVERAGE($W$375:$W$414))), "", (IF(AVERAGE($W$375:$W$414) = 0, "", AVERAGE($W$375:$W$414))))</f>
        <v>1.2229144980333333</v>
      </c>
      <c r="X374">
        <f ca="1">IF(ISERROR(IF(AVERAGE($X$375:$X$414) = 0, "", AVERAGE($X$375:$X$414))), "", (IF(AVERAGE($X$375:$X$414) = 0, "", AVERAGE($X$375:$X$414))))</f>
        <v>1.1651603677666669</v>
      </c>
      <c r="Y374">
        <f ca="1">IF(ISERROR(IF(AVERAGE($Y$375:$Y$414) = 0, "", AVERAGE($Y$375:$Y$414))), "", (IF(AVERAGE($Y$375:$Y$414) = 0, "", AVERAGE($Y$375:$Y$414))))</f>
        <v>1.1588506583448275</v>
      </c>
      <c r="Z374">
        <f ca="1">IF(ISERROR(IF(AVERAGE($Z$375:$Z$414) = 0, "", AVERAGE($Z$375:$Z$414))), "", (IF(AVERAGE($Z$375:$Z$414) = 0, "", AVERAGE($Z$375:$Z$414))))</f>
        <v>1.1443537394333334</v>
      </c>
      <c r="AA374">
        <f ca="1">IF(ISERROR(IF(AVERAGE($AA$375:$AA$414) = 0, "", AVERAGE($AA$375:$AA$414))), "", (IF(AVERAGE($AA$375:$AA$414) = 0, "", AVERAGE($AA$375:$AA$414))))</f>
        <v>1.1449279888965518</v>
      </c>
      <c r="AB374">
        <f ca="1">IF(ISERROR(IF(AVERAGE($AB$375:$AB$414) = 0, "", AVERAGE($AB$375:$AB$414))), "", (IF(AVERAGE($AB$375:$AB$414) = 0, "", AVERAGE($AB$375:$AB$414))))</f>
        <v>1.1521059083000003</v>
      </c>
      <c r="AC374">
        <f ca="1">IF(ISERROR(IF(AVERAGE($AC$375:$AC$414) = 0, "", AVERAGE($AC$375:$AC$414))), "", (IF(AVERAGE($AC$375:$AC$414) = 0, "", AVERAGE($AC$375:$AC$414))))</f>
        <v>1.1395065147586205</v>
      </c>
      <c r="AD374">
        <f ca="1">IF(ISERROR(IF(AVERAGE($AD$375:$AD$414) = 0, "", AVERAGE($AD$375:$AD$414))), "", (IF(AVERAGE($AD$375:$AD$414) = 0, "", AVERAGE($AD$375:$AD$414))))</f>
        <v>1.1656165001000001</v>
      </c>
      <c r="AE374">
        <f ca="1">IF(ISERROR(IF(AVERAGE($AE$375:$AE$414) = 0, "", AVERAGE($AE$375:$AE$414))), "", (IF(AVERAGE($AE$375:$AE$414) = 0, "", AVERAGE($AE$375:$AE$414))))</f>
        <v>1.203805574275862</v>
      </c>
      <c r="AF374">
        <f ca="1">IF(ISERROR(IF(AVERAGE($AF$375:$AF$414) = 0, "", AVERAGE($AF$375:$AF$414))), "", (IF(AVERAGE($AF$375:$AF$414) = 0, "", AVERAGE($AF$375:$AF$414))))</f>
        <v>1.2590745383103448</v>
      </c>
      <c r="AG374">
        <f ca="1">IF(ISERROR(IF(AVERAGE($AG$375:$AG$414) = 0, "", AVERAGE($AG$375:$AG$414))), "", (IF(AVERAGE($AG$375:$AG$414) = 0, "", AVERAGE($AG$375:$AG$414))))</f>
        <v>1.229137629928571</v>
      </c>
      <c r="AH374">
        <f ca="1">IF(ISERROR(IF(AVERAGE($AH$375:$AH$414) = 0, "", AVERAGE($AH$375:$AH$414))), "", (IF(AVERAGE($AH$375:$AH$414) = 0, "", AVERAGE($AH$375:$AH$414))))</f>
        <v>1.1923470623103447</v>
      </c>
      <c r="AI374">
        <f ca="1">IF(ISERROR(IF(AVERAGE($AI$375:$AI$414) = 0, "", AVERAGE($AI$375:$AI$414))), "", (IF(AVERAGE($AI$375:$AI$414) = 0, "", AVERAGE($AI$375:$AI$414))))</f>
        <v>1.2619247374444442</v>
      </c>
      <c r="AJ374">
        <f ca="1">IF(ISERROR(IF(AVERAGE($AJ$375:$AJ$414) = 0, "", AVERAGE($AJ$375:$AJ$414))), "", (IF(AVERAGE($AJ$375:$AJ$414) = 0, "", AVERAGE($AJ$375:$AJ$414))))</f>
        <v>1.237643803103448</v>
      </c>
      <c r="AK374">
        <f ca="1">IF(ISERROR(IF(AVERAGE($AK$375:$AK$414) = 0, "", AVERAGE($AK$375:$AK$414))), "", (IF(AVERAGE($AK$375:$AK$414) = 0, "", AVERAGE($AK$375:$AK$414))))</f>
        <v>1.1841240820000001</v>
      </c>
      <c r="AL374">
        <f ca="1">IF(ISERROR(IF(AVERAGE($AL$375:$AL$414) = 0, "", AVERAGE($AL$375:$AL$414))), "", (IF(AVERAGE($AL$375:$AL$414) = 0, "", AVERAGE($AL$375:$AL$414))))</f>
        <v>1.2129238471923076</v>
      </c>
      <c r="AM374">
        <f ca="1">IF(ISERROR(IF(AVERAGE($AM$375:$AM$414) = 0, "", AVERAGE($AM$375:$AM$414))), "", (IF(AVERAGE($AM$375:$AM$414) = 0, "", AVERAGE($AM$375:$AM$414))))</f>
        <v>1.2774207275</v>
      </c>
      <c r="AN374">
        <f ca="1">IF(ISERROR(IF(AVERAGE($AN$375:$AN$414) = 0, "", AVERAGE($AN$375:$AN$414))), "", (IF(AVERAGE($AN$375:$AN$414) = 0, "", AVERAGE($AN$375:$AN$414))))</f>
        <v>1.3476153382800005</v>
      </c>
      <c r="AO374">
        <f ca="1">IF(ISERROR(IF(AVERAGE($AO$375:$AO$414) = 0, "", AVERAGE($AO$375:$AO$414))), "", (IF(AVERAGE($AO$375:$AO$414) = 0, "", AVERAGE($AO$375:$AO$414))))</f>
        <v>1.5359634664782607</v>
      </c>
      <c r="AP374">
        <f ca="1">IF(ISERROR(IF(AVERAGE($AP$375:$AP$414) = 0, "", AVERAGE($AP$375:$AP$414))), "", (IF(AVERAGE($AP$375:$AP$414) = 0, "", AVERAGE($AP$375:$AP$414))))</f>
        <v>1.3056517716363638</v>
      </c>
      <c r="AQ374">
        <f ca="1">IF(ISERROR(IF(AVERAGE($AQ$375:$AQ$414) = 0, "", AVERAGE($AQ$375:$AQ$414))), "", (IF(AVERAGE($AQ$375:$AQ$414) = 0, "", AVERAGE($AQ$375:$AQ$414))))</f>
        <v>1.4548086843809522</v>
      </c>
      <c r="AR374">
        <f ca="1">IF(ISERROR(IF(AVERAGE($AR$375:$AR$414) = 0, "", AVERAGE($AR$375:$AR$414))), "", (IF(AVERAGE($AR$375:$AR$414) = 0, "", AVERAGE($AR$375:$AR$414))))</f>
        <v>1.4647362430000004</v>
      </c>
      <c r="AS374">
        <f ca="1">IF(ISERROR(IF(AVERAGE($AS$375:$AS$414) = 0, "", AVERAGE($AS$375:$AS$414))), "", (IF(AVERAGE($AS$375:$AS$414) = 0, "", AVERAGE($AS$375:$AS$414))))</f>
        <v>1.6790340105238097</v>
      </c>
      <c r="AT374">
        <f ca="1">IF(ISERROR(IF(AVERAGE($AT$375:$AT$414) = 0, "", AVERAGE($AT$375:$AT$414))), "", (IF(AVERAGE($AT$375:$AT$414) = 0, "", AVERAGE($AT$375:$AT$414))))</f>
        <v>2.0439278173333335</v>
      </c>
      <c r="AU374">
        <f ca="1">IF(ISERROR(IF(AVERAGE($AU$375:$AU$414) = 0, "", AVERAGE($AU$375:$AU$414))), "", (IF(AVERAGE($AU$375:$AU$414) = 0, "", AVERAGE($AU$375:$AU$414))))</f>
        <v>2.2903433080526314</v>
      </c>
      <c r="AV374">
        <f ca="1">IF(ISERROR(IF(AVERAGE($AV$375:$AV$414) = 0, "", AVERAGE($AV$375:$AV$414))), "", (IF(AVERAGE($AV$375:$AV$414) = 0, "", AVERAGE($AV$375:$AV$414))))</f>
        <v>1.6511392628095243</v>
      </c>
      <c r="AW374">
        <f ca="1">IF(ISERROR(IF(AVERAGE($AW$375:$AW$414) = 0, "", AVERAGE($AW$375:$AW$414))), "", (IF(AVERAGE($AW$375:$AW$414) = 0, "", AVERAGE($AW$375:$AW$414))))</f>
        <v>1.4959438437619046</v>
      </c>
      <c r="AX374">
        <f ca="1">IF(ISERROR(IF(AVERAGE($AX$375:$AX$414) = 0, "", AVERAGE($AX$375:$AX$414))), "", (IF(AVERAGE($AX$375:$AX$414) = 0, "", AVERAGE($AX$375:$AX$414))))</f>
        <v>1.4438728041363638</v>
      </c>
      <c r="AY374">
        <f ca="1">IF(ISERROR(IF(AVERAGE($AY$375:$AY$414) = 0, "", AVERAGE($AY$375:$AY$414))), "", (IF(AVERAGE($AY$375:$AY$414) = 0, "", AVERAGE($AY$375:$AY$414))))</f>
        <v>1.3969862364210528</v>
      </c>
      <c r="AZ374">
        <f ca="1">IF(ISERROR(IF(AVERAGE($AZ$375:$AZ$414) = 0, "", AVERAGE($AZ$375:$AZ$414))), "", (IF(AVERAGE($AZ$375:$AZ$414) = 0, "", AVERAGE($AZ$375:$AZ$414))))</f>
        <v>1.3626905419473685</v>
      </c>
      <c r="BA374">
        <f ca="1">IF(ISERROR(IF(AVERAGE($BA$375:$BA$414) = 0, "", AVERAGE($BA$375:$BA$414))), "", (IF(AVERAGE($BA$375:$BA$414) = 0, "", AVERAGE($BA$375:$BA$414))))</f>
        <v>1.3728691948421052</v>
      </c>
      <c r="BB374">
        <f ca="1">IF(ISERROR(IF(AVERAGE($BB$375:$BB$414) = 0, "", AVERAGE($BB$375:$BB$414))), "", (IF(AVERAGE($BB$375:$BB$414) = 0, "", AVERAGE($BB$375:$BB$414))))</f>
        <v>1.4067175593157895</v>
      </c>
      <c r="BC374">
        <f ca="1">IF(ISERROR(IF(AVERAGE($BC$375:$BC$414) = 0, "", AVERAGE($BC$375:$BC$414))), "", (IF(AVERAGE($BC$375:$BC$414) = 0, "", AVERAGE($BC$375:$BC$414))))</f>
        <v>1.4620066352105265</v>
      </c>
      <c r="BD374">
        <f ca="1">IF(ISERROR(IF(AVERAGE($BD$375:$BD$414) = 0, "", AVERAGE($BD$375:$BD$414))), "", (IF(AVERAGE($BD$375:$BD$414) = 0, "", AVERAGE($BD$375:$BD$414))))</f>
        <v>1.5003552943684213</v>
      </c>
      <c r="BE374">
        <f ca="1">IF(ISERROR(IF(AVERAGE($BE$375:$BE$414) = 0, "", AVERAGE($BE$375:$BE$414))), "", (IF(AVERAGE($BE$375:$BE$414) = 0, "", AVERAGE($BE$375:$BE$414))))</f>
        <v>1.4996380559473681</v>
      </c>
      <c r="BF374">
        <f ca="1">IF(ISERROR(IF(AVERAGE($BF$375:$BF$414) = 0, "", AVERAGE($BF$375:$BF$414))), "", (IF(AVERAGE($BF$375:$BF$414) = 0, "", AVERAGE($BF$375:$BF$414))))</f>
        <v>1.4530520465263159</v>
      </c>
      <c r="BG374">
        <f ca="1">IF(ISERROR(IF(AVERAGE($BG$375:$BG$414) = 0, "", AVERAGE($BG$375:$BG$414))), "", (IF(AVERAGE($BG$375:$BG$414) = 0, "", AVERAGE($BG$375:$BG$414))))</f>
        <v>2.0007458929999999</v>
      </c>
      <c r="BH374">
        <f ca="1">IF(ISERROR(IF(AVERAGE($BH$375:$BH$414) = 0, "", AVERAGE($BH$375:$BH$414))), "", (IF(AVERAGE($BH$375:$BH$414) = 0, "", AVERAGE($BH$375:$BH$414))))</f>
        <v>1.8298933913157891</v>
      </c>
      <c r="BI374">
        <f ca="1">IF(ISERROR(IF(AVERAGE($BI$375:$BI$414) = 0, "", AVERAGE($BI$375:$BI$414))), "", (IF(AVERAGE($BI$375:$BI$414) = 0, "", AVERAGE($BI$375:$BI$414))))</f>
        <v>2.1181796835000002</v>
      </c>
      <c r="BJ374">
        <f ca="1">IF(ISERROR(IF(AVERAGE($BJ$375:$BJ$414) = 0, "", AVERAGE($BJ$375:$BJ$414))), "", (IF(AVERAGE($BJ$375:$BJ$414) = 0, "", AVERAGE($BJ$375:$BJ$414))))</f>
        <v>1.964511476631579</v>
      </c>
      <c r="BK374">
        <f ca="1">IF(ISERROR(IF(AVERAGE($BK$375:$BK$414) = 0, "", AVERAGE($BK$375:$BK$414))), "", (IF(AVERAGE($BK$375:$BK$414) = 0, "", AVERAGE($BK$375:$BK$414))))</f>
        <v>2.0835368891538457</v>
      </c>
      <c r="BL374">
        <f ca="1">IF(ISERROR(IF(AVERAGE($BL$375:$BL$414) = 0, "", AVERAGE($BL$375:$BL$414))), "", (IF(AVERAGE($BL$375:$BL$414) = 0, "", AVERAGE($BL$375:$BL$414))))</f>
        <v>1.9548082785882352</v>
      </c>
      <c r="BM374">
        <f ca="1">IF(ISERROR(IF(AVERAGE($BM$375:$BM$414) = 0, "", AVERAGE($BM$375:$BM$414))), "", (IF(AVERAGE($BM$375:$BM$414) = 0, "", AVERAGE($BM$375:$BM$414))))</f>
        <v>1.9159136162727277</v>
      </c>
      <c r="BN374" t="str">
        <f>""</f>
        <v/>
      </c>
      <c r="BO374">
        <f>1.070580895</f>
        <v>1.070580895</v>
      </c>
      <c r="BP374">
        <f>1.372926148</f>
        <v>1.3729261479999999</v>
      </c>
      <c r="BQ374">
        <f>1.368348393</f>
        <v>1.368348393</v>
      </c>
      <c r="BR374">
        <f>1.315562123</f>
        <v>1.3155621230000001</v>
      </c>
      <c r="BS374">
        <f>1.32589504</f>
        <v>1.32589504</v>
      </c>
      <c r="BT374">
        <f>1.340718164</f>
        <v>1.3407181640000001</v>
      </c>
      <c r="BU374">
        <f>1.332320994</f>
        <v>1.332320994</v>
      </c>
      <c r="BV374">
        <f>1.340200885</f>
        <v>1.340200885</v>
      </c>
      <c r="BW374">
        <f>1.353920318</f>
        <v>1.3539203179999999</v>
      </c>
      <c r="BX374">
        <f>1.437114782</f>
        <v>1.4371147820000001</v>
      </c>
      <c r="BY374">
        <f>1.58588707</f>
        <v>1.5858870700000001</v>
      </c>
      <c r="BZ374">
        <f>1.505449368</f>
        <v>1.5054493680000001</v>
      </c>
      <c r="CA374">
        <f>1.428253741</f>
        <v>1.428253741</v>
      </c>
      <c r="CB374">
        <f>1.449423586</f>
        <v>1.449423586</v>
      </c>
      <c r="CC374">
        <f>1.265597507</f>
        <v>1.2655975070000001</v>
      </c>
      <c r="CD374">
        <f>1.193370362</f>
        <v>1.193370362</v>
      </c>
      <c r="CE374">
        <f>1.222914498</f>
        <v>1.222914498</v>
      </c>
      <c r="CF374">
        <f>1.165160368</f>
        <v>1.165160368</v>
      </c>
      <c r="CG374">
        <f>1.158850658</f>
        <v>1.158850658</v>
      </c>
      <c r="CH374">
        <f>1.144353739</f>
        <v>1.144353739</v>
      </c>
      <c r="CI374">
        <f>1.144927989</f>
        <v>1.1449279889999999</v>
      </c>
      <c r="CJ374">
        <f>1.152105908</f>
        <v>1.152105908</v>
      </c>
      <c r="CK374">
        <f>1.139506515</f>
        <v>1.1395065150000001</v>
      </c>
      <c r="CL374">
        <f>1.1656165</f>
        <v>1.1656165000000001</v>
      </c>
      <c r="CM374">
        <f>1.203805574</f>
        <v>1.203805574</v>
      </c>
      <c r="CN374">
        <f>1.259074538</f>
        <v>1.2590745379999999</v>
      </c>
      <c r="CO374">
        <f>1.22913763</f>
        <v>1.2291376300000001</v>
      </c>
      <c r="CP374">
        <f>1.192347062</f>
        <v>1.1923470620000001</v>
      </c>
      <c r="CQ374">
        <f>1.261924737</f>
        <v>1.261924737</v>
      </c>
      <c r="CR374">
        <f>1.237643803</f>
        <v>1.2376438030000001</v>
      </c>
      <c r="CS374">
        <f>1.184124082</f>
        <v>1.1841240820000001</v>
      </c>
      <c r="CT374">
        <f>1.212923847</f>
        <v>1.2129238470000001</v>
      </c>
      <c r="CU374">
        <f>1.277420727</f>
        <v>1.277420727</v>
      </c>
      <c r="CV374">
        <f>1.347615338</f>
        <v>1.347615338</v>
      </c>
      <c r="CW374">
        <f>1.535963467</f>
        <v>1.535963467</v>
      </c>
      <c r="CX374">
        <f>1.305651772</f>
        <v>1.305651772</v>
      </c>
      <c r="CY374">
        <f>1.454808684</f>
        <v>1.4548086840000001</v>
      </c>
      <c r="CZ374">
        <f>1.464736243</f>
        <v>1.4647362429999999</v>
      </c>
      <c r="DA374">
        <f>1.67903401</f>
        <v>1.6790340100000001</v>
      </c>
      <c r="DB374">
        <f>2.043927817</f>
        <v>2.0439278170000001</v>
      </c>
      <c r="DC374">
        <f>2.290343308</f>
        <v>2.2903433080000002</v>
      </c>
      <c r="DD374">
        <f>1.651139263</f>
        <v>1.6511392629999999</v>
      </c>
      <c r="DE374">
        <f>1.495943844</f>
        <v>1.4959438439999999</v>
      </c>
      <c r="DF374">
        <f>1.443872804</f>
        <v>1.443872804</v>
      </c>
      <c r="DG374">
        <f>1.396986236</f>
        <v>1.396986236</v>
      </c>
      <c r="DH374">
        <f>1.362690542</f>
        <v>1.3626905419999999</v>
      </c>
      <c r="DI374">
        <f>1.372869195</f>
        <v>1.372869195</v>
      </c>
      <c r="DJ374">
        <f>1.406717559</f>
        <v>1.4067175590000001</v>
      </c>
      <c r="DK374">
        <f>1.462006635</f>
        <v>1.4620066350000001</v>
      </c>
      <c r="DL374">
        <f>1.500355294</f>
        <v>1.500355294</v>
      </c>
      <c r="DM374">
        <f>1.499638056</f>
        <v>1.499638056</v>
      </c>
      <c r="DN374">
        <f>1.453052046</f>
        <v>1.453052046</v>
      </c>
      <c r="DO374">
        <f>2.000745893</f>
        <v>2.0007458929999999</v>
      </c>
      <c r="DP374">
        <f>1.829893391</f>
        <v>1.8298933909999999</v>
      </c>
      <c r="DQ374">
        <f>2.118179684</f>
        <v>2.1181796839999998</v>
      </c>
      <c r="DR374">
        <f>1.964511477</f>
        <v>1.9645114770000001</v>
      </c>
      <c r="DS374">
        <f>2.083536889</f>
        <v>2.0835368889999999</v>
      </c>
      <c r="DT374">
        <f>1.954808279</f>
        <v>1.9548082790000001</v>
      </c>
      <c r="DU374">
        <f>1.915913616</f>
        <v>1.9159136160000001</v>
      </c>
    </row>
    <row r="375" spans="1:125" x14ac:dyDescent="0.25">
      <c r="A375" t="str">
        <f>"    AUDI AG"</f>
        <v xml:space="preserve">    AUDI AG</v>
      </c>
      <c r="B375" t="str">
        <f>"NSU GR Equity"</f>
        <v>NSU GR Equity</v>
      </c>
      <c r="C375" t="str">
        <f t="shared" ref="C375:C414" si="27">"RR480"</f>
        <v>RR480</v>
      </c>
      <c r="D375" t="str">
        <f t="shared" ref="D375:D414" si="28">"EV_TO_MKT_CAP"</f>
        <v>EV_TO_MKT_CAP</v>
      </c>
      <c r="E375" t="str">
        <f t="shared" ref="E375:E414" si="29">"Dynamic"</f>
        <v>Dynamic</v>
      </c>
      <c r="F375" t="str">
        <f ca="1">IF(AND(ISNUMBER($F$1039),$B$677=1),$F$1039,HLOOKUP(INDIRECT(ADDRESS(2,COLUMN())),OFFSET($BN$2,0,0,ROW()-1,60),ROW()-1,FALSE))</f>
        <v/>
      </c>
      <c r="G375" t="str">
        <f ca="1">IF(AND(ISNUMBER($G$1039),$B$677=1),$G$1039,HLOOKUP(INDIRECT(ADDRESS(2,COLUMN())),OFFSET($BN$2,0,0,ROW()-1,60),ROW()-1,FALSE))</f>
        <v/>
      </c>
      <c r="H375" t="str">
        <f ca="1">IF(AND(ISNUMBER($H$1039),$B$677=1),$H$1039,HLOOKUP(INDIRECT(ADDRESS(2,COLUMN())),OFFSET($BN$2,0,0,ROW()-1,60),ROW()-1,FALSE))</f>
        <v/>
      </c>
      <c r="I375" t="str">
        <f ca="1">IF(AND(ISNUMBER($I$1039),$B$677=1),$I$1039,HLOOKUP(INDIRECT(ADDRESS(2,COLUMN())),OFFSET($BN$2,0,0,ROW()-1,60),ROW()-1,FALSE))</f>
        <v/>
      </c>
      <c r="J375" t="str">
        <f ca="1">IF(AND(ISNUMBER($J$1039),$B$677=1),$J$1039,HLOOKUP(INDIRECT(ADDRESS(2,COLUMN())),OFFSET($BN$2,0,0,ROW()-1,60),ROW()-1,FALSE))</f>
        <v/>
      </c>
      <c r="K375" t="str">
        <f ca="1">IF(AND(ISNUMBER($K$1039),$B$677=1),$K$1039,HLOOKUP(INDIRECT(ADDRESS(2,COLUMN())),OFFSET($BN$2,0,0,ROW()-1,60),ROW()-1,FALSE))</f>
        <v/>
      </c>
      <c r="L375" t="str">
        <f ca="1">IF(AND(ISNUMBER($L$1039),$B$677=1),$L$1039,HLOOKUP(INDIRECT(ADDRESS(2,COLUMN())),OFFSET($BN$2,0,0,ROW()-1,60),ROW()-1,FALSE))</f>
        <v/>
      </c>
      <c r="M375" t="str">
        <f ca="1">IF(AND(ISNUMBER($M$1039),$B$677=1),$M$1039,HLOOKUP(INDIRECT(ADDRESS(2,COLUMN())),OFFSET($BN$2,0,0,ROW()-1,60),ROW()-1,FALSE))</f>
        <v/>
      </c>
      <c r="N375" t="str">
        <f ca="1">IF(AND(ISNUMBER($N$1039),$B$677=1),$N$1039,HLOOKUP(INDIRECT(ADDRESS(2,COLUMN())),OFFSET($BN$2,0,0,ROW()-1,60),ROW()-1,FALSE))</f>
        <v/>
      </c>
      <c r="O375" t="str">
        <f ca="1">IF(AND(ISNUMBER($O$1039),$B$677=1),$O$1039,HLOOKUP(INDIRECT(ADDRESS(2,COLUMN())),OFFSET($BN$2,0,0,ROW()-1,60),ROW()-1,FALSE))</f>
        <v/>
      </c>
      <c r="P375" t="str">
        <f ca="1">IF(AND(ISNUMBER($P$1039),$B$677=1),$P$1039,HLOOKUP(INDIRECT(ADDRESS(2,COLUMN())),OFFSET($BN$2,0,0,ROW()-1,60),ROW()-1,FALSE))</f>
        <v/>
      </c>
      <c r="Q375" t="str">
        <f ca="1">IF(AND(ISNUMBER($Q$1039),$B$677=1),$Q$1039,HLOOKUP(INDIRECT(ADDRESS(2,COLUMN())),OFFSET($BN$2,0,0,ROW()-1,60),ROW()-1,FALSE))</f>
        <v/>
      </c>
      <c r="R375" t="str">
        <f ca="1">IF(AND(ISNUMBER($R$1039),$B$677=1),$R$1039,HLOOKUP(INDIRECT(ADDRESS(2,COLUMN())),OFFSET($BN$2,0,0,ROW()-1,60),ROW()-1,FALSE))</f>
        <v/>
      </c>
      <c r="S375" t="str">
        <f ca="1">IF(AND(ISNUMBER($S$1039),$B$677=1),$S$1039,HLOOKUP(INDIRECT(ADDRESS(2,COLUMN())),OFFSET($BN$2,0,0,ROW()-1,60),ROW()-1,FALSE))</f>
        <v/>
      </c>
      <c r="T375" t="str">
        <f ca="1">IF(AND(ISNUMBER($T$1039),$B$677=1),$T$1039,HLOOKUP(INDIRECT(ADDRESS(2,COLUMN())),OFFSET($BN$2,0,0,ROW()-1,60),ROW()-1,FALSE))</f>
        <v/>
      </c>
      <c r="U375" t="str">
        <f ca="1">IF(AND(ISNUMBER($U$1039),$B$677=1),$U$1039,HLOOKUP(INDIRECT(ADDRESS(2,COLUMN())),OFFSET($BN$2,0,0,ROW()-1,60),ROW()-1,FALSE))</f>
        <v/>
      </c>
      <c r="V375" t="str">
        <f ca="1">IF(AND(ISNUMBER($V$1039),$B$677=1),$V$1039,HLOOKUP(INDIRECT(ADDRESS(2,COLUMN())),OFFSET($BN$2,0,0,ROW()-1,60),ROW()-1,FALSE))</f>
        <v/>
      </c>
      <c r="W375" t="str">
        <f ca="1">IF(AND(ISNUMBER($W$1039),$B$677=1),$W$1039,HLOOKUP(INDIRECT(ADDRESS(2,COLUMN())),OFFSET($BN$2,0,0,ROW()-1,60),ROW()-1,FALSE))</f>
        <v/>
      </c>
      <c r="X375" t="str">
        <f ca="1">IF(AND(ISNUMBER($X$1039),$B$677=1),$X$1039,HLOOKUP(INDIRECT(ADDRESS(2,COLUMN())),OFFSET($BN$2,0,0,ROW()-1,60),ROW()-1,FALSE))</f>
        <v/>
      </c>
      <c r="Y375" t="str">
        <f ca="1">IF(AND(ISNUMBER($Y$1039),$B$677=1),$Y$1039,HLOOKUP(INDIRECT(ADDRESS(2,COLUMN())),OFFSET($BN$2,0,0,ROW()-1,60),ROW()-1,FALSE))</f>
        <v/>
      </c>
      <c r="Z375" t="str">
        <f ca="1">IF(AND(ISNUMBER($Z$1039),$B$677=1),$Z$1039,HLOOKUP(INDIRECT(ADDRESS(2,COLUMN())),OFFSET($BN$2,0,0,ROW()-1,60),ROW()-1,FALSE))</f>
        <v/>
      </c>
      <c r="AA375" t="str">
        <f ca="1">IF(AND(ISNUMBER($AA$1039),$B$677=1),$AA$1039,HLOOKUP(INDIRECT(ADDRESS(2,COLUMN())),OFFSET($BN$2,0,0,ROW()-1,60),ROW()-1,FALSE))</f>
        <v/>
      </c>
      <c r="AB375" t="str">
        <f ca="1">IF(AND(ISNUMBER($AB$1039),$B$677=1),$AB$1039,HLOOKUP(INDIRECT(ADDRESS(2,COLUMN())),OFFSET($BN$2,0,0,ROW()-1,60),ROW()-1,FALSE))</f>
        <v/>
      </c>
      <c r="AC375" t="str">
        <f ca="1">IF(AND(ISNUMBER($AC$1039),$B$677=1),$AC$1039,HLOOKUP(INDIRECT(ADDRESS(2,COLUMN())),OFFSET($BN$2,0,0,ROW()-1,60),ROW()-1,FALSE))</f>
        <v/>
      </c>
      <c r="AD375" t="str">
        <f ca="1">IF(AND(ISNUMBER($AD$1039),$B$677=1),$AD$1039,HLOOKUP(INDIRECT(ADDRESS(2,COLUMN())),OFFSET($BN$2,0,0,ROW()-1,60),ROW()-1,FALSE))</f>
        <v/>
      </c>
      <c r="AE375" t="str">
        <f ca="1">IF(AND(ISNUMBER($AE$1039),$B$677=1),$AE$1039,HLOOKUP(INDIRECT(ADDRESS(2,COLUMN())),OFFSET($BN$2,0,0,ROW()-1,60),ROW()-1,FALSE))</f>
        <v/>
      </c>
      <c r="AF375" t="str">
        <f ca="1">IF(AND(ISNUMBER($AF$1039),$B$677=1),$AF$1039,HLOOKUP(INDIRECT(ADDRESS(2,COLUMN())),OFFSET($BN$2,0,0,ROW()-1,60),ROW()-1,FALSE))</f>
        <v/>
      </c>
      <c r="AG375" t="str">
        <f ca="1">IF(AND(ISNUMBER($AG$1039),$B$677=1),$AG$1039,HLOOKUP(INDIRECT(ADDRESS(2,COLUMN())),OFFSET($BN$2,0,0,ROW()-1,60),ROW()-1,FALSE))</f>
        <v/>
      </c>
      <c r="AH375" t="str">
        <f ca="1">IF(AND(ISNUMBER($AH$1039),$B$677=1),$AH$1039,HLOOKUP(INDIRECT(ADDRESS(2,COLUMN())),OFFSET($BN$2,0,0,ROW()-1,60),ROW()-1,FALSE))</f>
        <v/>
      </c>
      <c r="AI375" t="str">
        <f ca="1">IF(AND(ISNUMBER($AI$1039),$B$677=1),$AI$1039,HLOOKUP(INDIRECT(ADDRESS(2,COLUMN())),OFFSET($BN$2,0,0,ROW()-1,60),ROW()-1,FALSE))</f>
        <v/>
      </c>
      <c r="AJ375" t="str">
        <f ca="1">IF(AND(ISNUMBER($AJ$1039),$B$677=1),$AJ$1039,HLOOKUP(INDIRECT(ADDRESS(2,COLUMN())),OFFSET($BN$2,0,0,ROW()-1,60),ROW()-1,FALSE))</f>
        <v/>
      </c>
      <c r="AK375" t="str">
        <f ca="1">IF(AND(ISNUMBER($AK$1039),$B$677=1),$AK$1039,HLOOKUP(INDIRECT(ADDRESS(2,COLUMN())),OFFSET($BN$2,0,0,ROW()-1,60),ROW()-1,FALSE))</f>
        <v/>
      </c>
      <c r="AL375" t="str">
        <f ca="1">IF(AND(ISNUMBER($AL$1039),$B$677=1),$AL$1039,HLOOKUP(INDIRECT(ADDRESS(2,COLUMN())),OFFSET($BN$2,0,0,ROW()-1,60),ROW()-1,FALSE))</f>
        <v/>
      </c>
      <c r="AM375" t="str">
        <f ca="1">IF(AND(ISNUMBER($AM$1039),$B$677=1),$AM$1039,HLOOKUP(INDIRECT(ADDRESS(2,COLUMN())),OFFSET($BN$2,0,0,ROW()-1,60),ROW()-1,FALSE))</f>
        <v/>
      </c>
      <c r="AN375" t="str">
        <f ca="1">IF(AND(ISNUMBER($AN$1039),$B$677=1),$AN$1039,HLOOKUP(INDIRECT(ADDRESS(2,COLUMN())),OFFSET($BN$2,0,0,ROW()-1,60),ROW()-1,FALSE))</f>
        <v/>
      </c>
      <c r="AO375" t="str">
        <f ca="1">IF(AND(ISNUMBER($AO$1039),$B$677=1),$AO$1039,HLOOKUP(INDIRECT(ADDRESS(2,COLUMN())),OFFSET($BN$2,0,0,ROW()-1,60),ROW()-1,FALSE))</f>
        <v/>
      </c>
      <c r="AP375" t="str">
        <f ca="1">IF(AND(ISNUMBER($AP$1039),$B$677=1),$AP$1039,HLOOKUP(INDIRECT(ADDRESS(2,COLUMN())),OFFSET($BN$2,0,0,ROW()-1,60),ROW()-1,FALSE))</f>
        <v/>
      </c>
      <c r="AQ375" t="str">
        <f ca="1">IF(AND(ISNUMBER($AQ$1039),$B$677=1),$AQ$1039,HLOOKUP(INDIRECT(ADDRESS(2,COLUMN())),OFFSET($BN$2,0,0,ROW()-1,60),ROW()-1,FALSE))</f>
        <v/>
      </c>
      <c r="AR375" t="str">
        <f ca="1">IF(AND(ISNUMBER($AR$1039),$B$677=1),$AR$1039,HLOOKUP(INDIRECT(ADDRESS(2,COLUMN())),OFFSET($BN$2,0,0,ROW()-1,60),ROW()-1,FALSE))</f>
        <v/>
      </c>
      <c r="AS375" t="str">
        <f ca="1">IF(AND(ISNUMBER($AS$1039),$B$677=1),$AS$1039,HLOOKUP(INDIRECT(ADDRESS(2,COLUMN())),OFFSET($BN$2,0,0,ROW()-1,60),ROW()-1,FALSE))</f>
        <v/>
      </c>
      <c r="AT375" t="str">
        <f ca="1">IF(AND(ISNUMBER($AT$1039),$B$677=1),$AT$1039,HLOOKUP(INDIRECT(ADDRESS(2,COLUMN())),OFFSET($BN$2,0,0,ROW()-1,60),ROW()-1,FALSE))</f>
        <v/>
      </c>
      <c r="AU375" t="str">
        <f ca="1">IF(AND(ISNUMBER($AU$1039),$B$677=1),$AU$1039,HLOOKUP(INDIRECT(ADDRESS(2,COLUMN())),OFFSET($BN$2,0,0,ROW()-1,60),ROW()-1,FALSE))</f>
        <v/>
      </c>
      <c r="AV375" t="str">
        <f ca="1">IF(AND(ISNUMBER($AV$1039),$B$677=1),$AV$1039,HLOOKUP(INDIRECT(ADDRESS(2,COLUMN())),OFFSET($BN$2,0,0,ROW()-1,60),ROW()-1,FALSE))</f>
        <v/>
      </c>
      <c r="AW375" t="str">
        <f ca="1">IF(AND(ISNUMBER($AW$1039),$B$677=1),$AW$1039,HLOOKUP(INDIRECT(ADDRESS(2,COLUMN())),OFFSET($BN$2,0,0,ROW()-1,60),ROW()-1,FALSE))</f>
        <v/>
      </c>
      <c r="AX375" t="str">
        <f ca="1">IF(AND(ISNUMBER($AX$1039),$B$677=1),$AX$1039,HLOOKUP(INDIRECT(ADDRESS(2,COLUMN())),OFFSET($BN$2,0,0,ROW()-1,60),ROW()-1,FALSE))</f>
        <v/>
      </c>
      <c r="AY375" t="str">
        <f ca="1">IF(AND(ISNUMBER($AY$1039),$B$677=1),$AY$1039,HLOOKUP(INDIRECT(ADDRESS(2,COLUMN())),OFFSET($BN$2,0,0,ROW()-1,60),ROW()-1,FALSE))</f>
        <v/>
      </c>
      <c r="AZ375" t="str">
        <f ca="1">IF(AND(ISNUMBER($AZ$1039),$B$677=1),$AZ$1039,HLOOKUP(INDIRECT(ADDRESS(2,COLUMN())),OFFSET($BN$2,0,0,ROW()-1,60),ROW()-1,FALSE))</f>
        <v/>
      </c>
      <c r="BA375" t="str">
        <f ca="1">IF(AND(ISNUMBER($BA$1039),$B$677=1),$BA$1039,HLOOKUP(INDIRECT(ADDRESS(2,COLUMN())),OFFSET($BN$2,0,0,ROW()-1,60),ROW()-1,FALSE))</f>
        <v/>
      </c>
      <c r="BB375" t="str">
        <f ca="1">IF(AND(ISNUMBER($BB$1039),$B$677=1),$BB$1039,HLOOKUP(INDIRECT(ADDRESS(2,COLUMN())),OFFSET($BN$2,0,0,ROW()-1,60),ROW()-1,FALSE))</f>
        <v/>
      </c>
      <c r="BC375" t="str">
        <f ca="1">IF(AND(ISNUMBER($BC$1039),$B$677=1),$BC$1039,HLOOKUP(INDIRECT(ADDRESS(2,COLUMN())),OFFSET($BN$2,0,0,ROW()-1,60),ROW()-1,FALSE))</f>
        <v/>
      </c>
      <c r="BD375" t="str">
        <f ca="1">IF(AND(ISNUMBER($BD$1039),$B$677=1),$BD$1039,HLOOKUP(INDIRECT(ADDRESS(2,COLUMN())),OFFSET($BN$2,0,0,ROW()-1,60),ROW()-1,FALSE))</f>
        <v/>
      </c>
      <c r="BE375" t="str">
        <f ca="1">IF(AND(ISNUMBER($BE$1039),$B$677=1),$BE$1039,HLOOKUP(INDIRECT(ADDRESS(2,COLUMN())),OFFSET($BN$2,0,0,ROW()-1,60),ROW()-1,FALSE))</f>
        <v/>
      </c>
      <c r="BF375" t="str">
        <f ca="1">IF(AND(ISNUMBER($BF$1039),$B$677=1),$BF$1039,HLOOKUP(INDIRECT(ADDRESS(2,COLUMN())),OFFSET($BN$2,0,0,ROW()-1,60),ROW()-1,FALSE))</f>
        <v/>
      </c>
      <c r="BG375" t="str">
        <f ca="1">IF(AND(ISNUMBER($BG$1039),$B$677=1),$BG$1039,HLOOKUP(INDIRECT(ADDRESS(2,COLUMN())),OFFSET($BN$2,0,0,ROW()-1,60),ROW()-1,FALSE))</f>
        <v/>
      </c>
      <c r="BH375" t="str">
        <f ca="1">IF(AND(ISNUMBER($BH$1039),$B$677=1),$BH$1039,HLOOKUP(INDIRECT(ADDRESS(2,COLUMN())),OFFSET($BN$2,0,0,ROW()-1,60),ROW()-1,FALSE))</f>
        <v/>
      </c>
      <c r="BI375" t="str">
        <f ca="1">IF(AND(ISNUMBER($BI$1039),$B$677=1),$BI$1039,HLOOKUP(INDIRECT(ADDRESS(2,COLUMN())),OFFSET($BN$2,0,0,ROW()-1,60),ROW()-1,FALSE))</f>
        <v/>
      </c>
      <c r="BJ375" t="str">
        <f ca="1">IF(AND(ISNUMBER($BJ$1039),$B$677=1),$BJ$1039,HLOOKUP(INDIRECT(ADDRESS(2,COLUMN())),OFFSET($BN$2,0,0,ROW()-1,60),ROW()-1,FALSE))</f>
        <v/>
      </c>
      <c r="BK375" t="str">
        <f ca="1">IF(AND(ISNUMBER($BK$1039),$B$677=1),$BK$1039,HLOOKUP(INDIRECT(ADDRESS(2,COLUMN())),OFFSET($BN$2,0,0,ROW()-1,60),ROW()-1,FALSE))</f>
        <v/>
      </c>
      <c r="BL375" t="str">
        <f ca="1">IF(AND(ISNUMBER($BL$1039),$B$677=1),$BL$1039,HLOOKUP(INDIRECT(ADDRESS(2,COLUMN())),OFFSET($BN$2,0,0,ROW()-1,60),ROW()-1,FALSE))</f>
        <v/>
      </c>
      <c r="BM375" t="str">
        <f ca="1">IF(AND(ISNUMBER($BM$1039),$B$677=1),$BM$1039,HLOOKUP(INDIRECT(ADDRESS(2,COLUMN())),OFFSET($BN$2,0,0,ROW()-1,60),ROW()-1,FALSE))</f>
        <v/>
      </c>
      <c r="BN375" t="str">
        <f>""</f>
        <v/>
      </c>
      <c r="BO375" t="str">
        <f>""</f>
        <v/>
      </c>
      <c r="BP375" t="str">
        <f>""</f>
        <v/>
      </c>
      <c r="BQ375" t="str">
        <f>""</f>
        <v/>
      </c>
      <c r="BR375" t="str">
        <f>""</f>
        <v/>
      </c>
      <c r="BS375" t="str">
        <f>""</f>
        <v/>
      </c>
      <c r="BT375" t="str">
        <f>""</f>
        <v/>
      </c>
      <c r="BU375" t="str">
        <f>""</f>
        <v/>
      </c>
      <c r="BV375" t="str">
        <f>""</f>
        <v/>
      </c>
      <c r="BW375" t="str">
        <f>""</f>
        <v/>
      </c>
      <c r="BX375" t="str">
        <f>""</f>
        <v/>
      </c>
      <c r="BY375" t="str">
        <f>""</f>
        <v/>
      </c>
      <c r="BZ375" t="str">
        <f>""</f>
        <v/>
      </c>
      <c r="CA375" t="str">
        <f>""</f>
        <v/>
      </c>
      <c r="CB375" t="str">
        <f>""</f>
        <v/>
      </c>
      <c r="CC375" t="str">
        <f>""</f>
        <v/>
      </c>
      <c r="CD375" t="str">
        <f>""</f>
        <v/>
      </c>
      <c r="CE375" t="str">
        <f>""</f>
        <v/>
      </c>
      <c r="CF375" t="str">
        <f>""</f>
        <v/>
      </c>
      <c r="CG375" t="str">
        <f>""</f>
        <v/>
      </c>
      <c r="CH375" t="str">
        <f>""</f>
        <v/>
      </c>
      <c r="CI375" t="str">
        <f>""</f>
        <v/>
      </c>
      <c r="CJ375" t="str">
        <f>""</f>
        <v/>
      </c>
      <c r="CK375" t="str">
        <f>""</f>
        <v/>
      </c>
      <c r="CL375" t="str">
        <f>""</f>
        <v/>
      </c>
      <c r="CM375" t="str">
        <f>""</f>
        <v/>
      </c>
      <c r="CN375" t="str">
        <f>""</f>
        <v/>
      </c>
      <c r="CO375" t="str">
        <f>""</f>
        <v/>
      </c>
      <c r="CP375" t="str">
        <f>""</f>
        <v/>
      </c>
      <c r="CQ375" t="str">
        <f>""</f>
        <v/>
      </c>
      <c r="CR375" t="str">
        <f>""</f>
        <v/>
      </c>
      <c r="CS375" t="str">
        <f>""</f>
        <v/>
      </c>
      <c r="CT375" t="str">
        <f>""</f>
        <v/>
      </c>
      <c r="CU375" t="str">
        <f>""</f>
        <v/>
      </c>
      <c r="CV375" t="str">
        <f>""</f>
        <v/>
      </c>
      <c r="CW375" t="str">
        <f>""</f>
        <v/>
      </c>
      <c r="CX375" t="str">
        <f>""</f>
        <v/>
      </c>
      <c r="CY375" t="str">
        <f>""</f>
        <v/>
      </c>
      <c r="CZ375" t="str">
        <f>""</f>
        <v/>
      </c>
      <c r="DA375" t="str">
        <f>""</f>
        <v/>
      </c>
      <c r="DB375" t="str">
        <f>""</f>
        <v/>
      </c>
      <c r="DC375" t="str">
        <f>""</f>
        <v/>
      </c>
      <c r="DD375" t="str">
        <f>""</f>
        <v/>
      </c>
      <c r="DE375" t="str">
        <f>""</f>
        <v/>
      </c>
      <c r="DF375" t="str">
        <f>""</f>
        <v/>
      </c>
      <c r="DG375" t="str">
        <f>""</f>
        <v/>
      </c>
      <c r="DH375" t="str">
        <f>""</f>
        <v/>
      </c>
      <c r="DI375" t="str">
        <f>""</f>
        <v/>
      </c>
      <c r="DJ375" t="str">
        <f>""</f>
        <v/>
      </c>
      <c r="DK375" t="str">
        <f>""</f>
        <v/>
      </c>
      <c r="DL375" t="str">
        <f>""</f>
        <v/>
      </c>
      <c r="DM375" t="str">
        <f>""</f>
        <v/>
      </c>
      <c r="DN375" t="str">
        <f>""</f>
        <v/>
      </c>
      <c r="DO375" t="str">
        <f>""</f>
        <v/>
      </c>
      <c r="DP375" t="str">
        <f>""</f>
        <v/>
      </c>
      <c r="DQ375" t="str">
        <f>""</f>
        <v/>
      </c>
      <c r="DR375" t="str">
        <f>""</f>
        <v/>
      </c>
      <c r="DS375" t="str">
        <f>""</f>
        <v/>
      </c>
      <c r="DT375" t="str">
        <f>""</f>
        <v/>
      </c>
      <c r="DU375" t="str">
        <f>""</f>
        <v/>
      </c>
    </row>
    <row r="376" spans="1:125" x14ac:dyDescent="0.25">
      <c r="A376" t="str">
        <f>"    Avtovaz PJSC"</f>
        <v xml:space="preserve">    Avtovaz PJSC</v>
      </c>
      <c r="B376" t="str">
        <f>"AVAZ RM Equity"</f>
        <v>AVAZ RM Equity</v>
      </c>
      <c r="C376" t="str">
        <f t="shared" si="27"/>
        <v>RR480</v>
      </c>
      <c r="D376" t="str">
        <f t="shared" si="28"/>
        <v>EV_TO_MKT_CAP</v>
      </c>
      <c r="E376" t="str">
        <f t="shared" si="29"/>
        <v>Dynamic</v>
      </c>
      <c r="F376" t="str">
        <f ca="1">IF(AND(ISNUMBER($F$1040),$B$677=1),$F$1040,HLOOKUP(INDIRECT(ADDRESS(2,COLUMN())),OFFSET($BN$2,0,0,ROW()-1,60),ROW()-1,FALSE))</f>
        <v/>
      </c>
      <c r="G376" t="str">
        <f ca="1">IF(AND(ISNUMBER($G$1040),$B$677=1),$G$1040,HLOOKUP(INDIRECT(ADDRESS(2,COLUMN())),OFFSET($BN$2,0,0,ROW()-1,60),ROW()-1,FALSE))</f>
        <v/>
      </c>
      <c r="H376">
        <f ca="1">IF(AND(ISNUMBER($H$1040),$B$677=1),$H$1040,HLOOKUP(INDIRECT(ADDRESS(2,COLUMN())),OFFSET($BN$2,0,0,ROW()-1,60),ROW()-1,FALSE))</f>
        <v>2.3194188590000002</v>
      </c>
      <c r="I376">
        <f ca="1">IF(AND(ISNUMBER($I$1040),$B$677=1),$I$1040,HLOOKUP(INDIRECT(ADDRESS(2,COLUMN())),OFFSET($BN$2,0,0,ROW()-1,60),ROW()-1,FALSE))</f>
        <v>1.6137796600000001</v>
      </c>
      <c r="J376">
        <f ca="1">IF(AND(ISNUMBER($J$1040),$B$677=1),$J$1040,HLOOKUP(INDIRECT(ADDRESS(2,COLUMN())),OFFSET($BN$2,0,0,ROW()-1,60),ROW()-1,FALSE))</f>
        <v>2.2199073930000002</v>
      </c>
      <c r="K376">
        <f ca="1">IF(AND(ISNUMBER($K$1040),$B$677=1),$K$1040,HLOOKUP(INDIRECT(ADDRESS(2,COLUMN())),OFFSET($BN$2,0,0,ROW()-1,60),ROW()-1,FALSE))</f>
        <v>2.9997720870000002</v>
      </c>
      <c r="L376">
        <f ca="1">IF(AND(ISNUMBER($L$1040),$B$677=1),$L$1040,HLOOKUP(INDIRECT(ADDRESS(2,COLUMN())),OFFSET($BN$2,0,0,ROW()-1,60),ROW()-1,FALSE))</f>
        <v>2.7333999370000002</v>
      </c>
      <c r="M376">
        <f ca="1">IF(AND(ISNUMBER($M$1040),$B$677=1),$M$1040,HLOOKUP(INDIRECT(ADDRESS(2,COLUMN())),OFFSET($BN$2,0,0,ROW()-1,60),ROW()-1,FALSE))</f>
        <v>3.156176002</v>
      </c>
      <c r="N376">
        <f ca="1">IF(AND(ISNUMBER($N$1040),$B$677=1),$N$1040,HLOOKUP(INDIRECT(ADDRESS(2,COLUMN())),OFFSET($BN$2,0,0,ROW()-1,60),ROW()-1,FALSE))</f>
        <v>3.1949597710000002</v>
      </c>
      <c r="O376">
        <f ca="1">IF(AND(ISNUMBER($O$1040),$B$677=1),$O$1040,HLOOKUP(INDIRECT(ADDRESS(2,COLUMN())),OFFSET($BN$2,0,0,ROW()-1,60),ROW()-1,FALSE))</f>
        <v>3.1100205999999999</v>
      </c>
      <c r="P376">
        <f ca="1">IF(AND(ISNUMBER($P$1040),$B$677=1),$P$1040,HLOOKUP(INDIRECT(ADDRESS(2,COLUMN())),OFFSET($BN$2,0,0,ROW()-1,60),ROW()-1,FALSE))</f>
        <v>6.3573612510000004</v>
      </c>
      <c r="Q376">
        <f ca="1">IF(AND(ISNUMBER($Q$1040),$B$677=1),$Q$1040,HLOOKUP(INDIRECT(ADDRESS(2,COLUMN())),OFFSET($BN$2,0,0,ROW()-1,60),ROW()-1,FALSE))</f>
        <v>9.0442858469999994</v>
      </c>
      <c r="R376">
        <f ca="1">IF(AND(ISNUMBER($R$1040),$B$677=1),$R$1040,HLOOKUP(INDIRECT(ADDRESS(2,COLUMN())),OFFSET($BN$2,0,0,ROW()-1,60),ROW()-1,FALSE))</f>
        <v>7.5582796200000004</v>
      </c>
      <c r="S376">
        <f ca="1">IF(AND(ISNUMBER($S$1040),$B$677=1),$S$1040,HLOOKUP(INDIRECT(ADDRESS(2,COLUMN())),OFFSET($BN$2,0,0,ROW()-1,60),ROW()-1,FALSE))</f>
        <v>6.7006726969999999</v>
      </c>
      <c r="T376">
        <f ca="1">IF(AND(ISNUMBER($T$1040),$B$677=1),$T$1040,HLOOKUP(INDIRECT(ADDRESS(2,COLUMN())),OFFSET($BN$2,0,0,ROW()-1,60),ROW()-1,FALSE))</f>
        <v>5.8751664080000001</v>
      </c>
      <c r="U376" t="str">
        <f ca="1">IF(AND(ISNUMBER($U$1040),$B$677=1),$U$1040,HLOOKUP(INDIRECT(ADDRESS(2,COLUMN())),OFFSET($BN$2,0,0,ROW()-1,60),ROW()-1,FALSE))</f>
        <v/>
      </c>
      <c r="V376" t="str">
        <f ca="1">IF(AND(ISNUMBER($V$1040),$B$677=1),$V$1040,HLOOKUP(INDIRECT(ADDRESS(2,COLUMN())),OFFSET($BN$2,0,0,ROW()-1,60),ROW()-1,FALSE))</f>
        <v/>
      </c>
      <c r="W376" t="str">
        <f ca="1">IF(AND(ISNUMBER($W$1040),$B$677=1),$W$1040,HLOOKUP(INDIRECT(ADDRESS(2,COLUMN())),OFFSET($BN$2,0,0,ROW()-1,60),ROW()-1,FALSE))</f>
        <v/>
      </c>
      <c r="X376" t="str">
        <f ca="1">IF(AND(ISNUMBER($X$1040),$B$677=1),$X$1040,HLOOKUP(INDIRECT(ADDRESS(2,COLUMN())),OFFSET($BN$2,0,0,ROW()-1,60),ROW()-1,FALSE))</f>
        <v/>
      </c>
      <c r="Y376" t="str">
        <f ca="1">IF(AND(ISNUMBER($Y$1040),$B$677=1),$Y$1040,HLOOKUP(INDIRECT(ADDRESS(2,COLUMN())),OFFSET($BN$2,0,0,ROW()-1,60),ROW()-1,FALSE))</f>
        <v/>
      </c>
      <c r="Z376" t="str">
        <f ca="1">IF(AND(ISNUMBER($Z$1040),$B$677=1),$Z$1040,HLOOKUP(INDIRECT(ADDRESS(2,COLUMN())),OFFSET($BN$2,0,0,ROW()-1,60),ROW()-1,FALSE))</f>
        <v/>
      </c>
      <c r="AA376" t="str">
        <f ca="1">IF(AND(ISNUMBER($AA$1040),$B$677=1),$AA$1040,HLOOKUP(INDIRECT(ADDRESS(2,COLUMN())),OFFSET($BN$2,0,0,ROW()-1,60),ROW()-1,FALSE))</f>
        <v/>
      </c>
      <c r="AB376" t="str">
        <f ca="1">IF(AND(ISNUMBER($AB$1040),$B$677=1),$AB$1040,HLOOKUP(INDIRECT(ADDRESS(2,COLUMN())),OFFSET($BN$2,0,0,ROW()-1,60),ROW()-1,FALSE))</f>
        <v/>
      </c>
      <c r="AC376" t="str">
        <f ca="1">IF(AND(ISNUMBER($AC$1040),$B$677=1),$AC$1040,HLOOKUP(INDIRECT(ADDRESS(2,COLUMN())),OFFSET($BN$2,0,0,ROW()-1,60),ROW()-1,FALSE))</f>
        <v/>
      </c>
      <c r="AD376" t="str">
        <f ca="1">IF(AND(ISNUMBER($AD$1040),$B$677=1),$AD$1040,HLOOKUP(INDIRECT(ADDRESS(2,COLUMN())),OFFSET($BN$2,0,0,ROW()-1,60),ROW()-1,FALSE))</f>
        <v/>
      </c>
      <c r="AE376" t="str">
        <f ca="1">IF(AND(ISNUMBER($AE$1040),$B$677=1),$AE$1040,HLOOKUP(INDIRECT(ADDRESS(2,COLUMN())),OFFSET($BN$2,0,0,ROW()-1,60),ROW()-1,FALSE))</f>
        <v/>
      </c>
      <c r="AF376" t="str">
        <f ca="1">IF(AND(ISNUMBER($AF$1040),$B$677=1),$AF$1040,HLOOKUP(INDIRECT(ADDRESS(2,COLUMN())),OFFSET($BN$2,0,0,ROW()-1,60),ROW()-1,FALSE))</f>
        <v/>
      </c>
      <c r="AG376" t="str">
        <f ca="1">IF(AND(ISNUMBER($AG$1040),$B$677=1),$AG$1040,HLOOKUP(INDIRECT(ADDRESS(2,COLUMN())),OFFSET($BN$2,0,0,ROW()-1,60),ROW()-1,FALSE))</f>
        <v/>
      </c>
      <c r="AH376" t="str">
        <f ca="1">IF(AND(ISNUMBER($AH$1040),$B$677=1),$AH$1040,HLOOKUP(INDIRECT(ADDRESS(2,COLUMN())),OFFSET($BN$2,0,0,ROW()-1,60),ROW()-1,FALSE))</f>
        <v/>
      </c>
      <c r="AI376" t="str">
        <f ca="1">IF(AND(ISNUMBER($AI$1040),$B$677=1),$AI$1040,HLOOKUP(INDIRECT(ADDRESS(2,COLUMN())),OFFSET($BN$2,0,0,ROW()-1,60),ROW()-1,FALSE))</f>
        <v/>
      </c>
      <c r="AJ376" t="str">
        <f ca="1">IF(AND(ISNUMBER($AJ$1040),$B$677=1),$AJ$1040,HLOOKUP(INDIRECT(ADDRESS(2,COLUMN())),OFFSET($BN$2,0,0,ROW()-1,60),ROW()-1,FALSE))</f>
        <v/>
      </c>
      <c r="AK376" t="str">
        <f ca="1">IF(AND(ISNUMBER($AK$1040),$B$677=1),$AK$1040,HLOOKUP(INDIRECT(ADDRESS(2,COLUMN())),OFFSET($BN$2,0,0,ROW()-1,60),ROW()-1,FALSE))</f>
        <v/>
      </c>
      <c r="AL376" t="str">
        <f ca="1">IF(AND(ISNUMBER($AL$1040),$B$677=1),$AL$1040,HLOOKUP(INDIRECT(ADDRESS(2,COLUMN())),OFFSET($BN$2,0,0,ROW()-1,60),ROW()-1,FALSE))</f>
        <v/>
      </c>
      <c r="AM376" t="str">
        <f ca="1">IF(AND(ISNUMBER($AM$1040),$B$677=1),$AM$1040,HLOOKUP(INDIRECT(ADDRESS(2,COLUMN())),OFFSET($BN$2,0,0,ROW()-1,60),ROW()-1,FALSE))</f>
        <v/>
      </c>
      <c r="AN376" t="str">
        <f ca="1">IF(AND(ISNUMBER($AN$1040),$B$677=1),$AN$1040,HLOOKUP(INDIRECT(ADDRESS(2,COLUMN())),OFFSET($BN$2,0,0,ROW()-1,60),ROW()-1,FALSE))</f>
        <v/>
      </c>
      <c r="AO376" t="str">
        <f ca="1">IF(AND(ISNUMBER($AO$1040),$B$677=1),$AO$1040,HLOOKUP(INDIRECT(ADDRESS(2,COLUMN())),OFFSET($BN$2,0,0,ROW()-1,60),ROW()-1,FALSE))</f>
        <v/>
      </c>
      <c r="AP376" t="str">
        <f ca="1">IF(AND(ISNUMBER($AP$1040),$B$677=1),$AP$1040,HLOOKUP(INDIRECT(ADDRESS(2,COLUMN())),OFFSET($BN$2,0,0,ROW()-1,60),ROW()-1,FALSE))</f>
        <v/>
      </c>
      <c r="AQ376" t="str">
        <f ca="1">IF(AND(ISNUMBER($AQ$1040),$B$677=1),$AQ$1040,HLOOKUP(INDIRECT(ADDRESS(2,COLUMN())),OFFSET($BN$2,0,0,ROW()-1,60),ROW()-1,FALSE))</f>
        <v/>
      </c>
      <c r="AR376" t="str">
        <f ca="1">IF(AND(ISNUMBER($AR$1040),$B$677=1),$AR$1040,HLOOKUP(INDIRECT(ADDRESS(2,COLUMN())),OFFSET($BN$2,0,0,ROW()-1,60),ROW()-1,FALSE))</f>
        <v/>
      </c>
      <c r="AS376" t="str">
        <f ca="1">IF(AND(ISNUMBER($AS$1040),$B$677=1),$AS$1040,HLOOKUP(INDIRECT(ADDRESS(2,COLUMN())),OFFSET($BN$2,0,0,ROW()-1,60),ROW()-1,FALSE))</f>
        <v/>
      </c>
      <c r="AT376" t="str">
        <f ca="1">IF(AND(ISNUMBER($AT$1040),$B$677=1),$AT$1040,HLOOKUP(INDIRECT(ADDRESS(2,COLUMN())),OFFSET($BN$2,0,0,ROW()-1,60),ROW()-1,FALSE))</f>
        <v/>
      </c>
      <c r="AU376" t="str">
        <f ca="1">IF(AND(ISNUMBER($AU$1040),$B$677=1),$AU$1040,HLOOKUP(INDIRECT(ADDRESS(2,COLUMN())),OFFSET($BN$2,0,0,ROW()-1,60),ROW()-1,FALSE))</f>
        <v/>
      </c>
      <c r="AV376" t="str">
        <f ca="1">IF(AND(ISNUMBER($AV$1040),$B$677=1),$AV$1040,HLOOKUP(INDIRECT(ADDRESS(2,COLUMN())),OFFSET($BN$2,0,0,ROW()-1,60),ROW()-1,FALSE))</f>
        <v/>
      </c>
      <c r="AW376" t="str">
        <f ca="1">IF(AND(ISNUMBER($AW$1040),$B$677=1),$AW$1040,HLOOKUP(INDIRECT(ADDRESS(2,COLUMN())),OFFSET($BN$2,0,0,ROW()-1,60),ROW()-1,FALSE))</f>
        <v/>
      </c>
      <c r="AX376" t="str">
        <f ca="1">IF(AND(ISNUMBER($AX$1040),$B$677=1),$AX$1040,HLOOKUP(INDIRECT(ADDRESS(2,COLUMN())),OFFSET($BN$2,0,0,ROW()-1,60),ROW()-1,FALSE))</f>
        <v/>
      </c>
      <c r="AY376" t="str">
        <f ca="1">IF(AND(ISNUMBER($AY$1040),$B$677=1),$AY$1040,HLOOKUP(INDIRECT(ADDRESS(2,COLUMN())),OFFSET($BN$2,0,0,ROW()-1,60),ROW()-1,FALSE))</f>
        <v/>
      </c>
      <c r="AZ376" t="str">
        <f ca="1">IF(AND(ISNUMBER($AZ$1040),$B$677=1),$AZ$1040,HLOOKUP(INDIRECT(ADDRESS(2,COLUMN())),OFFSET($BN$2,0,0,ROW()-1,60),ROW()-1,FALSE))</f>
        <v/>
      </c>
      <c r="BA376" t="str">
        <f ca="1">IF(AND(ISNUMBER($BA$1040),$B$677=1),$BA$1040,HLOOKUP(INDIRECT(ADDRESS(2,COLUMN())),OFFSET($BN$2,0,0,ROW()-1,60),ROW()-1,FALSE))</f>
        <v/>
      </c>
      <c r="BB376" t="str">
        <f ca="1">IF(AND(ISNUMBER($BB$1040),$B$677=1),$BB$1040,HLOOKUP(INDIRECT(ADDRESS(2,COLUMN())),OFFSET($BN$2,0,0,ROW()-1,60),ROW()-1,FALSE))</f>
        <v/>
      </c>
      <c r="BC376" t="str">
        <f ca="1">IF(AND(ISNUMBER($BC$1040),$B$677=1),$BC$1040,HLOOKUP(INDIRECT(ADDRESS(2,COLUMN())),OFFSET($BN$2,0,0,ROW()-1,60),ROW()-1,FALSE))</f>
        <v/>
      </c>
      <c r="BD376" t="str">
        <f ca="1">IF(AND(ISNUMBER($BD$1040),$B$677=1),$BD$1040,HLOOKUP(INDIRECT(ADDRESS(2,COLUMN())),OFFSET($BN$2,0,0,ROW()-1,60),ROW()-1,FALSE))</f>
        <v/>
      </c>
      <c r="BE376" t="str">
        <f ca="1">IF(AND(ISNUMBER($BE$1040),$B$677=1),$BE$1040,HLOOKUP(INDIRECT(ADDRESS(2,COLUMN())),OFFSET($BN$2,0,0,ROW()-1,60),ROW()-1,FALSE))</f>
        <v/>
      </c>
      <c r="BF376" t="str">
        <f ca="1">IF(AND(ISNUMBER($BF$1040),$B$677=1),$BF$1040,HLOOKUP(INDIRECT(ADDRESS(2,COLUMN())),OFFSET($BN$2,0,0,ROW()-1,60),ROW()-1,FALSE))</f>
        <v/>
      </c>
      <c r="BG376" t="str">
        <f ca="1">IF(AND(ISNUMBER($BG$1040),$B$677=1),$BG$1040,HLOOKUP(INDIRECT(ADDRESS(2,COLUMN())),OFFSET($BN$2,0,0,ROW()-1,60),ROW()-1,FALSE))</f>
        <v/>
      </c>
      <c r="BH376" t="str">
        <f ca="1">IF(AND(ISNUMBER($BH$1040),$B$677=1),$BH$1040,HLOOKUP(INDIRECT(ADDRESS(2,COLUMN())),OFFSET($BN$2,0,0,ROW()-1,60),ROW()-1,FALSE))</f>
        <v/>
      </c>
      <c r="BI376" t="str">
        <f ca="1">IF(AND(ISNUMBER($BI$1040),$B$677=1),$BI$1040,HLOOKUP(INDIRECT(ADDRESS(2,COLUMN())),OFFSET($BN$2,0,0,ROW()-1,60),ROW()-1,FALSE))</f>
        <v/>
      </c>
      <c r="BJ376" t="str">
        <f ca="1">IF(AND(ISNUMBER($BJ$1040),$B$677=1),$BJ$1040,HLOOKUP(INDIRECT(ADDRESS(2,COLUMN())),OFFSET($BN$2,0,0,ROW()-1,60),ROW()-1,FALSE))</f>
        <v/>
      </c>
      <c r="BK376" t="str">
        <f ca="1">IF(AND(ISNUMBER($BK$1040),$B$677=1),$BK$1040,HLOOKUP(INDIRECT(ADDRESS(2,COLUMN())),OFFSET($BN$2,0,0,ROW()-1,60),ROW()-1,FALSE))</f>
        <v/>
      </c>
      <c r="BL376" t="str">
        <f ca="1">IF(AND(ISNUMBER($BL$1040),$B$677=1),$BL$1040,HLOOKUP(INDIRECT(ADDRESS(2,COLUMN())),OFFSET($BN$2,0,0,ROW()-1,60),ROW()-1,FALSE))</f>
        <v/>
      </c>
      <c r="BM376" t="str">
        <f ca="1">IF(AND(ISNUMBER($BM$1040),$B$677=1),$BM$1040,HLOOKUP(INDIRECT(ADDRESS(2,COLUMN())),OFFSET($BN$2,0,0,ROW()-1,60),ROW()-1,FALSE))</f>
        <v/>
      </c>
      <c r="BN376" t="str">
        <f>""</f>
        <v/>
      </c>
      <c r="BO376" t="str">
        <f>""</f>
        <v/>
      </c>
      <c r="BP376">
        <f>2.319418859</f>
        <v>2.3194188590000002</v>
      </c>
      <c r="BQ376">
        <f>1.61377966</f>
        <v>1.6137796600000001</v>
      </c>
      <c r="BR376">
        <f>2.219907393</f>
        <v>2.2199073930000002</v>
      </c>
      <c r="BS376">
        <f>2.999772087</f>
        <v>2.9997720870000002</v>
      </c>
      <c r="BT376">
        <f>2.733399937</f>
        <v>2.7333999370000002</v>
      </c>
      <c r="BU376">
        <f>3.156176002</f>
        <v>3.156176002</v>
      </c>
      <c r="BV376">
        <f>3.194959771</f>
        <v>3.1949597710000002</v>
      </c>
      <c r="BW376">
        <f>3.1100206</f>
        <v>3.1100205999999999</v>
      </c>
      <c r="BX376">
        <f>6.357361251</f>
        <v>6.3573612510000004</v>
      </c>
      <c r="BY376">
        <f>9.044285847</f>
        <v>9.0442858469999994</v>
      </c>
      <c r="BZ376">
        <f>7.55827962</f>
        <v>7.5582796200000004</v>
      </c>
      <c r="CA376">
        <f>6.700672697</f>
        <v>6.7006726969999999</v>
      </c>
      <c r="CB376">
        <f>5.875166408</f>
        <v>5.8751664080000001</v>
      </c>
      <c r="CC376" t="str">
        <f>""</f>
        <v/>
      </c>
      <c r="CD376" t="str">
        <f>""</f>
        <v/>
      </c>
      <c r="CE376" t="str">
        <f>""</f>
        <v/>
      </c>
      <c r="CF376" t="str">
        <f>""</f>
        <v/>
      </c>
      <c r="CG376" t="str">
        <f>""</f>
        <v/>
      </c>
      <c r="CH376" t="str">
        <f>""</f>
        <v/>
      </c>
      <c r="CI376" t="str">
        <f>""</f>
        <v/>
      </c>
      <c r="CJ376" t="str">
        <f>""</f>
        <v/>
      </c>
      <c r="CK376" t="str">
        <f>""</f>
        <v/>
      </c>
      <c r="CL376" t="str">
        <f>""</f>
        <v/>
      </c>
      <c r="CM376" t="str">
        <f>""</f>
        <v/>
      </c>
      <c r="CN376" t="str">
        <f>""</f>
        <v/>
      </c>
      <c r="CO376" t="str">
        <f>""</f>
        <v/>
      </c>
      <c r="CP376" t="str">
        <f>""</f>
        <v/>
      </c>
      <c r="CQ376" t="str">
        <f>""</f>
        <v/>
      </c>
      <c r="CR376" t="str">
        <f>""</f>
        <v/>
      </c>
      <c r="CS376" t="str">
        <f>""</f>
        <v/>
      </c>
      <c r="CT376" t="str">
        <f>""</f>
        <v/>
      </c>
      <c r="CU376" t="str">
        <f>""</f>
        <v/>
      </c>
      <c r="CV376" t="str">
        <f>""</f>
        <v/>
      </c>
      <c r="CW376" t="str">
        <f>""</f>
        <v/>
      </c>
      <c r="CX376" t="str">
        <f>""</f>
        <v/>
      </c>
      <c r="CY376" t="str">
        <f>""</f>
        <v/>
      </c>
      <c r="CZ376" t="str">
        <f>""</f>
        <v/>
      </c>
      <c r="DA376" t="str">
        <f>""</f>
        <v/>
      </c>
      <c r="DB376" t="str">
        <f>""</f>
        <v/>
      </c>
      <c r="DC376" t="str">
        <f>""</f>
        <v/>
      </c>
      <c r="DD376" t="str">
        <f>""</f>
        <v/>
      </c>
      <c r="DE376" t="str">
        <f>""</f>
        <v/>
      </c>
      <c r="DF376" t="str">
        <f>""</f>
        <v/>
      </c>
      <c r="DG376" t="str">
        <f>""</f>
        <v/>
      </c>
      <c r="DH376" t="str">
        <f>""</f>
        <v/>
      </c>
      <c r="DI376" t="str">
        <f>""</f>
        <v/>
      </c>
      <c r="DJ376" t="str">
        <f>""</f>
        <v/>
      </c>
      <c r="DK376" t="str">
        <f>""</f>
        <v/>
      </c>
      <c r="DL376" t="str">
        <f>""</f>
        <v/>
      </c>
      <c r="DM376" t="str">
        <f>""</f>
        <v/>
      </c>
      <c r="DN376" t="str">
        <f>""</f>
        <v/>
      </c>
      <c r="DO376" t="str">
        <f>""</f>
        <v/>
      </c>
      <c r="DP376" t="str">
        <f>""</f>
        <v/>
      </c>
      <c r="DQ376" t="str">
        <f>""</f>
        <v/>
      </c>
      <c r="DR376" t="str">
        <f>""</f>
        <v/>
      </c>
      <c r="DS376" t="str">
        <f>""</f>
        <v/>
      </c>
      <c r="DT376" t="str">
        <f>""</f>
        <v/>
      </c>
      <c r="DU376" t="str">
        <f>""</f>
        <v/>
      </c>
    </row>
    <row r="377" spans="1:125" x14ac:dyDescent="0.25">
      <c r="A377" t="str">
        <f>"    Bayerische Motoren Werke AG"</f>
        <v xml:space="preserve">    Bayerische Motoren Werke AG</v>
      </c>
      <c r="B377" t="str">
        <f>"BMW GR Equity"</f>
        <v>BMW GR Equity</v>
      </c>
      <c r="C377" t="str">
        <f t="shared" si="27"/>
        <v>RR480</v>
      </c>
      <c r="D377" t="str">
        <f t="shared" si="28"/>
        <v>EV_TO_MKT_CAP</v>
      </c>
      <c r="E377" t="str">
        <f t="shared" si="29"/>
        <v>Dynamic</v>
      </c>
      <c r="F377" t="str">
        <f ca="1">IF(AND(ISNUMBER($F$1041),$B$677=1),$F$1041,HLOOKUP(INDIRECT(ADDRESS(2,COLUMN())),OFFSET($BN$2,0,0,ROW()-1,60),ROW()-1,FALSE))</f>
        <v/>
      </c>
      <c r="G377" t="str">
        <f ca="1">IF(AND(ISNUMBER($G$1041),$B$677=1),$G$1041,HLOOKUP(INDIRECT(ADDRESS(2,COLUMN())),OFFSET($BN$2,0,0,ROW()-1,60),ROW()-1,FALSE))</f>
        <v/>
      </c>
      <c r="H377">
        <f ca="1">IF(AND(ISNUMBER($H$1041),$B$677=1),$H$1041,HLOOKUP(INDIRECT(ADDRESS(2,COLUMN())),OFFSET($BN$2,0,0,ROW()-1,60),ROW()-1,FALSE))</f>
        <v>1.8609795140000001</v>
      </c>
      <c r="I377">
        <f ca="1">IF(AND(ISNUMBER($I$1041),$B$677=1),$I$1041,HLOOKUP(INDIRECT(ADDRESS(2,COLUMN())),OFFSET($BN$2,0,0,ROW()-1,60),ROW()-1,FALSE))</f>
        <v>1.819246688</v>
      </c>
      <c r="J377">
        <f ca="1">IF(AND(ISNUMBER($J$1041),$B$677=1),$J$1041,HLOOKUP(INDIRECT(ADDRESS(2,COLUMN())),OFFSET($BN$2,0,0,ROW()-1,60),ROW()-1,FALSE))</f>
        <v>1.680212536</v>
      </c>
      <c r="K377">
        <f ca="1">IF(AND(ISNUMBER($K$1041),$B$677=1),$K$1041,HLOOKUP(INDIRECT(ADDRESS(2,COLUMN())),OFFSET($BN$2,0,0,ROW()-1,60),ROW()-1,FALSE))</f>
        <v>1.6794284909999999</v>
      </c>
      <c r="L377">
        <f ca="1">IF(AND(ISNUMBER($L$1041),$B$677=1),$L$1041,HLOOKUP(INDIRECT(ADDRESS(2,COLUMN())),OFFSET($BN$2,0,0,ROW()-1,60),ROW()-1,FALSE))</f>
        <v>1.7214002399999999</v>
      </c>
      <c r="M377">
        <f ca="1">IF(AND(ISNUMBER($M$1041),$B$677=1),$M$1041,HLOOKUP(INDIRECT(ADDRESS(2,COLUMN())),OFFSET($BN$2,0,0,ROW()-1,60),ROW()-1,FALSE))</f>
        <v>1.78059751</v>
      </c>
      <c r="N377">
        <f ca="1">IF(AND(ISNUMBER($N$1041),$B$677=1),$N$1041,HLOOKUP(INDIRECT(ADDRESS(2,COLUMN())),OFFSET($BN$2,0,0,ROW()-1,60),ROW()-1,FALSE))</f>
        <v>1.7502213879999999</v>
      </c>
      <c r="O377">
        <f ca="1">IF(AND(ISNUMBER($O$1041),$B$677=1),$O$1041,HLOOKUP(INDIRECT(ADDRESS(2,COLUMN())),OFFSET($BN$2,0,0,ROW()-1,60),ROW()-1,FALSE))</f>
        <v>1.671725361</v>
      </c>
      <c r="P377">
        <f ca="1">IF(AND(ISNUMBER($P$1041),$B$677=1),$P$1041,HLOOKUP(INDIRECT(ADDRESS(2,COLUMN())),OFFSET($BN$2,0,0,ROW()-1,60),ROW()-1,FALSE))</f>
        <v>1.8397400850000001</v>
      </c>
      <c r="Q377">
        <f ca="1">IF(AND(ISNUMBER($Q$1041),$B$677=1),$Q$1041,HLOOKUP(INDIRECT(ADDRESS(2,COLUMN())),OFFSET($BN$2,0,0,ROW()-1,60),ROW()-1,FALSE))</f>
        <v>1.981845643</v>
      </c>
      <c r="R377">
        <f ca="1">IF(AND(ISNUMBER($R$1041),$B$677=1),$R$1041,HLOOKUP(INDIRECT(ADDRESS(2,COLUMN())),OFFSET($BN$2,0,0,ROW()-1,60),ROW()-1,FALSE))</f>
        <v>1.779681541</v>
      </c>
      <c r="S377">
        <f ca="1">IF(AND(ISNUMBER($S$1041),$B$677=1),$S$1041,HLOOKUP(INDIRECT(ADDRESS(2,COLUMN())),OFFSET($BN$2,0,0,ROW()-1,60),ROW()-1,FALSE))</f>
        <v>1.5965800569999999</v>
      </c>
      <c r="T377">
        <f ca="1">IF(AND(ISNUMBER($T$1041),$B$677=1),$T$1041,HLOOKUP(INDIRECT(ADDRESS(2,COLUMN())),OFFSET($BN$2,0,0,ROW()-1,60),ROW()-1,FALSE))</f>
        <v>1.8114319729999999</v>
      </c>
      <c r="U377">
        <f ca="1">IF(AND(ISNUMBER($U$1041),$B$677=1),$U$1041,HLOOKUP(INDIRECT(ADDRESS(2,COLUMN())),OFFSET($BN$2,0,0,ROW()-1,60),ROW()-1,FALSE))</f>
        <v>1.660588773</v>
      </c>
      <c r="V377">
        <f ca="1">IF(AND(ISNUMBER($V$1041),$B$677=1),$V$1041,HLOOKUP(INDIRECT(ADDRESS(2,COLUMN())),OFFSET($BN$2,0,0,ROW()-1,60),ROW()-1,FALSE))</f>
        <v>1.5588166999999999</v>
      </c>
      <c r="W377">
        <f ca="1">IF(AND(ISNUMBER($W$1041),$B$677=1),$W$1041,HLOOKUP(INDIRECT(ADDRESS(2,COLUMN())),OFFSET($BN$2,0,0,ROW()-1,60),ROW()-1,FALSE))</f>
        <v>1.6245680220000001</v>
      </c>
      <c r="X377">
        <f ca="1">IF(AND(ISNUMBER($X$1041),$B$677=1),$X$1041,HLOOKUP(INDIRECT(ADDRESS(2,COLUMN())),OFFSET($BN$2,0,0,ROW()-1,60),ROW()-1,FALSE))</f>
        <v>1.594245806</v>
      </c>
      <c r="Y377">
        <f ca="1">IF(AND(ISNUMBER($Y$1041),$B$677=1),$Y$1041,HLOOKUP(INDIRECT(ADDRESS(2,COLUMN())),OFFSET($BN$2,0,0,ROW()-1,60),ROW()-1,FALSE))</f>
        <v>1.519498292</v>
      </c>
      <c r="Z377">
        <f ca="1">IF(AND(ISNUMBER($Z$1041),$B$677=1),$Z$1041,HLOOKUP(INDIRECT(ADDRESS(2,COLUMN())),OFFSET($BN$2,0,0,ROW()-1,60),ROW()-1,FALSE))</f>
        <v>1.4719126810000001</v>
      </c>
      <c r="AA377">
        <f ca="1">IF(AND(ISNUMBER($AA$1041),$B$677=1),$AA$1041,HLOOKUP(INDIRECT(ADDRESS(2,COLUMN())),OFFSET($BN$2,0,0,ROW()-1,60),ROW()-1,FALSE))</f>
        <v>1.5111213859999999</v>
      </c>
      <c r="AB377">
        <f ca="1">IF(AND(ISNUMBER($AB$1041),$B$677=1),$AB$1041,HLOOKUP(INDIRECT(ADDRESS(2,COLUMN())),OFFSET($BN$2,0,0,ROW()-1,60),ROW()-1,FALSE))</f>
        <v>1.5206009680000001</v>
      </c>
      <c r="AC377">
        <f ca="1">IF(AND(ISNUMBER($AC$1041),$B$677=1),$AC$1041,HLOOKUP(INDIRECT(ADDRESS(2,COLUMN())),OFFSET($BN$2,0,0,ROW()-1,60),ROW()-1,FALSE))</f>
        <v>1.61581256</v>
      </c>
      <c r="AD377">
        <f ca="1">IF(AND(ISNUMBER($AD$1041),$B$677=1),$AD$1041,HLOOKUP(INDIRECT(ADDRESS(2,COLUMN())),OFFSET($BN$2,0,0,ROW()-1,60),ROW()-1,FALSE))</f>
        <v>1.625890421</v>
      </c>
      <c r="AE377">
        <f ca="1">IF(AND(ISNUMBER($AE$1041),$B$677=1),$AE$1041,HLOOKUP(INDIRECT(ADDRESS(2,COLUMN())),OFFSET($BN$2,0,0,ROW()-1,60),ROW()-1,FALSE))</f>
        <v>1.5693406219999999</v>
      </c>
      <c r="AF377">
        <f ca="1">IF(AND(ISNUMBER($AF$1041),$B$677=1),$AF$1041,HLOOKUP(INDIRECT(ADDRESS(2,COLUMN())),OFFSET($BN$2,0,0,ROW()-1,60),ROW()-1,FALSE))</f>
        <v>1.765461833</v>
      </c>
      <c r="AG377">
        <f ca="1">IF(AND(ISNUMBER($AG$1041),$B$677=1),$AG$1041,HLOOKUP(INDIRECT(ADDRESS(2,COLUMN())),OFFSET($BN$2,0,0,ROW()-1,60),ROW()-1,FALSE))</f>
        <v>1.7902458050000001</v>
      </c>
      <c r="AH377">
        <f ca="1">IF(AND(ISNUMBER($AH$1041),$B$677=1),$AH$1041,HLOOKUP(INDIRECT(ADDRESS(2,COLUMN())),OFFSET($BN$2,0,0,ROW()-1,60),ROW()-1,FALSE))</f>
        <v>1.6212699150000001</v>
      </c>
      <c r="AI377">
        <f ca="1">IF(AND(ISNUMBER($AI$1041),$B$677=1),$AI$1041,HLOOKUP(INDIRECT(ADDRESS(2,COLUMN())),OFFSET($BN$2,0,0,ROW()-1,60),ROW()-1,FALSE))</f>
        <v>1.8693531430000001</v>
      </c>
      <c r="AJ377">
        <f ca="1">IF(AND(ISNUMBER($AJ$1041),$B$677=1),$AJ$1041,HLOOKUP(INDIRECT(ADDRESS(2,COLUMN())),OFFSET($BN$2,0,0,ROW()-1,60),ROW()-1,FALSE))</f>
        <v>1.8733812649999999</v>
      </c>
      <c r="AK377">
        <f ca="1">IF(AND(ISNUMBER($AK$1041),$B$677=1),$AK$1041,HLOOKUP(INDIRECT(ADDRESS(2,COLUMN())),OFFSET($BN$2,0,0,ROW()-1,60),ROW()-1,FALSE))</f>
        <v>1.545482829</v>
      </c>
      <c r="AL377">
        <f ca="1">IF(AND(ISNUMBER($AL$1041),$B$677=1),$AL$1041,HLOOKUP(INDIRECT(ADDRESS(2,COLUMN())),OFFSET($BN$2,0,0,ROW()-1,60),ROW()-1,FALSE))</f>
        <v>1.651798842</v>
      </c>
      <c r="AM377">
        <f ca="1">IF(AND(ISNUMBER($AM$1041),$B$677=1),$AM$1041,HLOOKUP(INDIRECT(ADDRESS(2,COLUMN())),OFFSET($BN$2,0,0,ROW()-1,60),ROW()-1,FALSE))</f>
        <v>1.715217861</v>
      </c>
      <c r="AN377">
        <f ca="1">IF(AND(ISNUMBER($AN$1041),$B$677=1),$AN$1041,HLOOKUP(INDIRECT(ADDRESS(2,COLUMN())),OFFSET($BN$2,0,0,ROW()-1,60),ROW()-1,FALSE))</f>
        <v>1.769130415</v>
      </c>
      <c r="AO377">
        <f ca="1">IF(AND(ISNUMBER($AO$1041),$B$677=1),$AO$1041,HLOOKUP(INDIRECT(ADDRESS(2,COLUMN())),OFFSET($BN$2,0,0,ROW()-1,60),ROW()-1,FALSE))</f>
        <v>2.1080862319999998</v>
      </c>
      <c r="AP377">
        <f ca="1">IF(AND(ISNUMBER($AP$1041),$B$677=1),$AP$1041,HLOOKUP(INDIRECT(ADDRESS(2,COLUMN())),OFFSET($BN$2,0,0,ROW()-1,60),ROW()-1,FALSE))</f>
        <v>2.2472240619999999</v>
      </c>
      <c r="AQ377">
        <f ca="1">IF(AND(ISNUMBER($AQ$1041),$B$677=1),$AQ$1041,HLOOKUP(INDIRECT(ADDRESS(2,COLUMN())),OFFSET($BN$2,0,0,ROW()-1,60),ROW()-1,FALSE))</f>
        <v>2.4523391330000002</v>
      </c>
      <c r="AR377">
        <f ca="1">IF(AND(ISNUMBER($AR$1041),$B$677=1),$AR$1041,HLOOKUP(INDIRECT(ADDRESS(2,COLUMN())),OFFSET($BN$2,0,0,ROW()-1,60),ROW()-1,FALSE))</f>
        <v>2.2919724330000002</v>
      </c>
      <c r="AS377">
        <f ca="1">IF(AND(ISNUMBER($AS$1041),$B$677=1),$AS$1041,HLOOKUP(INDIRECT(ADDRESS(2,COLUMN())),OFFSET($BN$2,0,0,ROW()-1,60),ROW()-1,FALSE))</f>
        <v>2.504542356</v>
      </c>
      <c r="AT377">
        <f ca="1">IF(AND(ISNUMBER($AT$1041),$B$677=1),$AT$1041,HLOOKUP(INDIRECT(ADDRESS(2,COLUMN())),OFFSET($BN$2,0,0,ROW()-1,60),ROW()-1,FALSE))</f>
        <v>3.059548699</v>
      </c>
      <c r="AU377">
        <f ca="1">IF(AND(ISNUMBER($AU$1041),$B$677=1),$AU$1041,HLOOKUP(INDIRECT(ADDRESS(2,COLUMN())),OFFSET($BN$2,0,0,ROW()-1,60),ROW()-1,FALSE))</f>
        <v>4.4961448409999996</v>
      </c>
      <c r="AV377">
        <f ca="1">IF(AND(ISNUMBER($AV$1041),$B$677=1),$AV$1041,HLOOKUP(INDIRECT(ADDRESS(2,COLUMN())),OFFSET($BN$2,0,0,ROW()-1,60),ROW()-1,FALSE))</f>
        <v>3.5855654079999999</v>
      </c>
      <c r="AW377">
        <f ca="1">IF(AND(ISNUMBER($AW$1041),$B$677=1),$AW$1041,HLOOKUP(INDIRECT(ADDRESS(2,COLUMN())),OFFSET($BN$2,0,0,ROW()-1,60),ROW()-1,FALSE))</f>
        <v>2.9935136039999999</v>
      </c>
      <c r="AX377">
        <f ca="1">IF(AND(ISNUMBER($AX$1041),$B$677=1),$AX$1041,HLOOKUP(INDIRECT(ADDRESS(2,COLUMN())),OFFSET($BN$2,0,0,ROW()-1,60),ROW()-1,FALSE))</f>
        <v>2.624699686</v>
      </c>
      <c r="AY377">
        <f ca="1">IF(AND(ISNUMBER($AY$1041),$B$677=1),$AY$1041,HLOOKUP(INDIRECT(ADDRESS(2,COLUMN())),OFFSET($BN$2,0,0,ROW()-1,60),ROW()-1,FALSE))</f>
        <v>2.356744038</v>
      </c>
      <c r="AZ377">
        <f ca="1">IF(AND(ISNUMBER($AZ$1041),$B$677=1),$AZ$1041,HLOOKUP(INDIRECT(ADDRESS(2,COLUMN())),OFFSET($BN$2,0,0,ROW()-1,60),ROW()-1,FALSE))</f>
        <v>2.2358609079999998</v>
      </c>
      <c r="BA377">
        <f ca="1">IF(AND(ISNUMBER($BA$1041),$B$677=1),$BA$1041,HLOOKUP(INDIRECT(ADDRESS(2,COLUMN())),OFFSET($BN$2,0,0,ROW()-1,60),ROW()-1,FALSE))</f>
        <v>2.1630922730000002</v>
      </c>
      <c r="BB377">
        <f ca="1">IF(AND(ISNUMBER($BB$1041),$B$677=1),$BB$1041,HLOOKUP(INDIRECT(ADDRESS(2,COLUMN())),OFFSET($BN$2,0,0,ROW()-1,60),ROW()-1,FALSE))</f>
        <v>2.14809516</v>
      </c>
      <c r="BC377">
        <f ca="1">IF(AND(ISNUMBER($BC$1041),$B$677=1),$BC$1041,HLOOKUP(INDIRECT(ADDRESS(2,COLUMN())),OFFSET($BN$2,0,0,ROW()-1,60),ROW()-1,FALSE))</f>
        <v>2.085580132</v>
      </c>
      <c r="BD377">
        <f ca="1">IF(AND(ISNUMBER($BD$1041),$B$677=1),$BD$1041,HLOOKUP(INDIRECT(ADDRESS(2,COLUMN())),OFFSET($BN$2,0,0,ROW()-1,60),ROW()-1,FALSE))</f>
        <v>2.1041449160000001</v>
      </c>
      <c r="BE377">
        <f ca="1">IF(AND(ISNUMBER($BE$1041),$B$677=1),$BE$1041,HLOOKUP(INDIRECT(ADDRESS(2,COLUMN())),OFFSET($BN$2,0,0,ROW()-1,60),ROW()-1,FALSE))</f>
        <v>2.1204042649999999</v>
      </c>
      <c r="BF377">
        <f ca="1">IF(AND(ISNUMBER($BF$1041),$B$677=1),$BF$1041,HLOOKUP(INDIRECT(ADDRESS(2,COLUMN())),OFFSET($BN$2,0,0,ROW()-1,60),ROW()-1,FALSE))</f>
        <v>1.962933091</v>
      </c>
      <c r="BG377">
        <f ca="1">IF(AND(ISNUMBER($BG$1041),$B$677=1),$BG$1041,HLOOKUP(INDIRECT(ADDRESS(2,COLUMN())),OFFSET($BN$2,0,0,ROW()-1,60),ROW()-1,FALSE))</f>
        <v>2.2282530710000001</v>
      </c>
      <c r="BH377">
        <f ca="1">IF(AND(ISNUMBER($BH$1041),$B$677=1),$BH$1041,HLOOKUP(INDIRECT(ADDRESS(2,COLUMN())),OFFSET($BN$2,0,0,ROW()-1,60),ROW()-1,FALSE))</f>
        <v>2.0885802779999998</v>
      </c>
      <c r="BI377">
        <f ca="1">IF(AND(ISNUMBER($BI$1041),$B$677=1),$BI$1041,HLOOKUP(INDIRECT(ADDRESS(2,COLUMN())),OFFSET($BN$2,0,0,ROW()-1,60),ROW()-1,FALSE))</f>
        <v>2.1133990059999999</v>
      </c>
      <c r="BJ377">
        <f ca="1">IF(AND(ISNUMBER($BJ$1041),$B$677=1),$BJ$1041,HLOOKUP(INDIRECT(ADDRESS(2,COLUMN())),OFFSET($BN$2,0,0,ROW()-1,60),ROW()-1,FALSE))</f>
        <v>2.1834023259999999</v>
      </c>
      <c r="BK377">
        <f ca="1">IF(AND(ISNUMBER($BK$1041),$B$677=1),$BK$1041,HLOOKUP(INDIRECT(ADDRESS(2,COLUMN())),OFFSET($BN$2,0,0,ROW()-1,60),ROW()-1,FALSE))</f>
        <v>2.1063011500000002</v>
      </c>
      <c r="BL377">
        <f ca="1">IF(AND(ISNUMBER($BL$1041),$B$677=1),$BL$1041,HLOOKUP(INDIRECT(ADDRESS(2,COLUMN())),OFFSET($BN$2,0,0,ROW()-1,60),ROW()-1,FALSE))</f>
        <v>2.1340517339999998</v>
      </c>
      <c r="BM377">
        <f ca="1">IF(AND(ISNUMBER($BM$1041),$B$677=1),$BM$1041,HLOOKUP(INDIRECT(ADDRESS(2,COLUMN())),OFFSET($BN$2,0,0,ROW()-1,60),ROW()-1,FALSE))</f>
        <v>2.0174782570000001</v>
      </c>
      <c r="BN377" t="str">
        <f>""</f>
        <v/>
      </c>
      <c r="BO377" t="str">
        <f>""</f>
        <v/>
      </c>
      <c r="BP377">
        <f>1.860979514</f>
        <v>1.8609795140000001</v>
      </c>
      <c r="BQ377">
        <f>1.819246688</f>
        <v>1.819246688</v>
      </c>
      <c r="BR377">
        <f>1.680212536</f>
        <v>1.680212536</v>
      </c>
      <c r="BS377">
        <f>1.679428491</f>
        <v>1.6794284909999999</v>
      </c>
      <c r="BT377">
        <f>1.72140024</f>
        <v>1.7214002399999999</v>
      </c>
      <c r="BU377">
        <f>1.78059751</f>
        <v>1.78059751</v>
      </c>
      <c r="BV377">
        <f>1.750221388</f>
        <v>1.7502213879999999</v>
      </c>
      <c r="BW377">
        <f>1.671725361</f>
        <v>1.671725361</v>
      </c>
      <c r="BX377">
        <f>1.839740085</f>
        <v>1.8397400850000001</v>
      </c>
      <c r="BY377">
        <f>1.981845643</f>
        <v>1.981845643</v>
      </c>
      <c r="BZ377">
        <f>1.779681541</f>
        <v>1.779681541</v>
      </c>
      <c r="CA377">
        <f>1.596580057</f>
        <v>1.5965800569999999</v>
      </c>
      <c r="CB377">
        <f>1.811431973</f>
        <v>1.8114319729999999</v>
      </c>
      <c r="CC377">
        <f>1.660588773</f>
        <v>1.660588773</v>
      </c>
      <c r="CD377">
        <f>1.5588167</f>
        <v>1.5588166999999999</v>
      </c>
      <c r="CE377">
        <f>1.624568022</f>
        <v>1.6245680220000001</v>
      </c>
      <c r="CF377">
        <f>1.594245806</f>
        <v>1.594245806</v>
      </c>
      <c r="CG377">
        <f>1.519498292</f>
        <v>1.519498292</v>
      </c>
      <c r="CH377">
        <f>1.471912681</f>
        <v>1.4719126810000001</v>
      </c>
      <c r="CI377">
        <f>1.511121386</f>
        <v>1.5111213859999999</v>
      </c>
      <c r="CJ377">
        <f>1.520600968</f>
        <v>1.5206009680000001</v>
      </c>
      <c r="CK377">
        <f>1.61581256</f>
        <v>1.61581256</v>
      </c>
      <c r="CL377">
        <f>1.625890421</f>
        <v>1.625890421</v>
      </c>
      <c r="CM377">
        <f>1.569340622</f>
        <v>1.5693406219999999</v>
      </c>
      <c r="CN377">
        <f>1.765461833</f>
        <v>1.765461833</v>
      </c>
      <c r="CO377">
        <f>1.790245805</f>
        <v>1.7902458050000001</v>
      </c>
      <c r="CP377">
        <f>1.621269915</f>
        <v>1.6212699150000001</v>
      </c>
      <c r="CQ377">
        <f>1.869353143</f>
        <v>1.8693531430000001</v>
      </c>
      <c r="CR377">
        <f>1.873381265</f>
        <v>1.8733812649999999</v>
      </c>
      <c r="CS377">
        <f>1.545482829</f>
        <v>1.545482829</v>
      </c>
      <c r="CT377">
        <f>1.651798842</f>
        <v>1.651798842</v>
      </c>
      <c r="CU377">
        <f>1.715217861</f>
        <v>1.715217861</v>
      </c>
      <c r="CV377">
        <f>1.769130415</f>
        <v>1.769130415</v>
      </c>
      <c r="CW377">
        <f>2.108086232</f>
        <v>2.1080862319999998</v>
      </c>
      <c r="CX377">
        <f>2.247224062</f>
        <v>2.2472240619999999</v>
      </c>
      <c r="CY377">
        <f>2.452339133</f>
        <v>2.4523391330000002</v>
      </c>
      <c r="CZ377">
        <f>2.291972433</f>
        <v>2.2919724330000002</v>
      </c>
      <c r="DA377">
        <f>2.504542356</f>
        <v>2.504542356</v>
      </c>
      <c r="DB377">
        <f>3.059548699</f>
        <v>3.059548699</v>
      </c>
      <c r="DC377">
        <f>4.496144841</f>
        <v>4.4961448409999996</v>
      </c>
      <c r="DD377">
        <f>3.585565408</f>
        <v>3.5855654079999999</v>
      </c>
      <c r="DE377">
        <f>2.993513604</f>
        <v>2.9935136039999999</v>
      </c>
      <c r="DF377">
        <f>2.624699686</f>
        <v>2.624699686</v>
      </c>
      <c r="DG377">
        <f>2.356744038</f>
        <v>2.356744038</v>
      </c>
      <c r="DH377">
        <f>2.235860908</f>
        <v>2.2358609079999998</v>
      </c>
      <c r="DI377">
        <f>2.163092273</f>
        <v>2.1630922730000002</v>
      </c>
      <c r="DJ377">
        <f>2.14809516</f>
        <v>2.14809516</v>
      </c>
      <c r="DK377">
        <f>2.085580132</f>
        <v>2.085580132</v>
      </c>
      <c r="DL377">
        <f>2.104144916</f>
        <v>2.1041449160000001</v>
      </c>
      <c r="DM377">
        <f>2.120404265</f>
        <v>2.1204042649999999</v>
      </c>
      <c r="DN377">
        <f>1.962933091</f>
        <v>1.962933091</v>
      </c>
      <c r="DO377">
        <f>2.228253071</f>
        <v>2.2282530710000001</v>
      </c>
      <c r="DP377">
        <f>2.088580278</f>
        <v>2.0885802779999998</v>
      </c>
      <c r="DQ377">
        <f>2.113399006</f>
        <v>2.1133990059999999</v>
      </c>
      <c r="DR377">
        <f>2.183402326</f>
        <v>2.1834023259999999</v>
      </c>
      <c r="DS377">
        <f>2.10630115</f>
        <v>2.1063011500000002</v>
      </c>
      <c r="DT377">
        <f>2.134051734</f>
        <v>2.1340517339999998</v>
      </c>
      <c r="DU377">
        <f>2.017478257</f>
        <v>2.0174782570000001</v>
      </c>
    </row>
    <row r="378" spans="1:125" x14ac:dyDescent="0.25">
      <c r="A378" t="str">
        <f>"    Brilliance China Automotive Holdings Ltd"</f>
        <v xml:space="preserve">    Brilliance China Automotive Holdings Ltd</v>
      </c>
      <c r="B378" t="str">
        <f>"1114 HK Equity"</f>
        <v>1114 HK Equity</v>
      </c>
      <c r="C378" t="str">
        <f t="shared" si="27"/>
        <v>RR480</v>
      </c>
      <c r="D378" t="str">
        <f t="shared" si="28"/>
        <v>EV_TO_MKT_CAP</v>
      </c>
      <c r="E378" t="str">
        <f t="shared" si="29"/>
        <v>Dynamic</v>
      </c>
      <c r="F378" t="str">
        <f ca="1">IF(AND(ISNUMBER($F$1042),$B$677=1),$F$1042,HLOOKUP(INDIRECT(ADDRESS(2,COLUMN())),OFFSET($BN$2,0,0,ROW()-1,60),ROW()-1,FALSE))</f>
        <v/>
      </c>
      <c r="G378" t="str">
        <f ca="1">IF(AND(ISNUMBER($G$1042),$B$677=1),$G$1042,HLOOKUP(INDIRECT(ADDRESS(2,COLUMN())),OFFSET($BN$2,0,0,ROW()-1,60),ROW()-1,FALSE))</f>
        <v/>
      </c>
      <c r="H378" t="str">
        <f ca="1">IF(AND(ISNUMBER($H$1042),$B$677=1),$H$1042,HLOOKUP(INDIRECT(ADDRESS(2,COLUMN())),OFFSET($BN$2,0,0,ROW()-1,60),ROW()-1,FALSE))</f>
        <v/>
      </c>
      <c r="I378" t="str">
        <f ca="1">IF(AND(ISNUMBER($I$1042),$B$677=1),$I$1042,HLOOKUP(INDIRECT(ADDRESS(2,COLUMN())),OFFSET($BN$2,0,0,ROW()-1,60),ROW()-1,FALSE))</f>
        <v/>
      </c>
      <c r="J378" t="str">
        <f ca="1">IF(AND(ISNUMBER($J$1042),$B$677=1),$J$1042,HLOOKUP(INDIRECT(ADDRESS(2,COLUMN())),OFFSET($BN$2,0,0,ROW()-1,60),ROW()-1,FALSE))</f>
        <v/>
      </c>
      <c r="K378" t="str">
        <f ca="1">IF(AND(ISNUMBER($K$1042),$B$677=1),$K$1042,HLOOKUP(INDIRECT(ADDRESS(2,COLUMN())),OFFSET($BN$2,0,0,ROW()-1,60),ROW()-1,FALSE))</f>
        <v/>
      </c>
      <c r="L378" t="str">
        <f ca="1">IF(AND(ISNUMBER($L$1042),$B$677=1),$L$1042,HLOOKUP(INDIRECT(ADDRESS(2,COLUMN())),OFFSET($BN$2,0,0,ROW()-1,60),ROW()-1,FALSE))</f>
        <v/>
      </c>
      <c r="M378" t="str">
        <f ca="1">IF(AND(ISNUMBER($M$1042),$B$677=1),$M$1042,HLOOKUP(INDIRECT(ADDRESS(2,COLUMN())),OFFSET($BN$2,0,0,ROW()-1,60),ROW()-1,FALSE))</f>
        <v/>
      </c>
      <c r="N378" t="str">
        <f ca="1">IF(AND(ISNUMBER($N$1042),$B$677=1),$N$1042,HLOOKUP(INDIRECT(ADDRESS(2,COLUMN())),OFFSET($BN$2,0,0,ROW()-1,60),ROW()-1,FALSE))</f>
        <v/>
      </c>
      <c r="O378" t="str">
        <f ca="1">IF(AND(ISNUMBER($O$1042),$B$677=1),$O$1042,HLOOKUP(INDIRECT(ADDRESS(2,COLUMN())),OFFSET($BN$2,0,0,ROW()-1,60),ROW()-1,FALSE))</f>
        <v/>
      </c>
      <c r="P378" t="str">
        <f ca="1">IF(AND(ISNUMBER($P$1042),$B$677=1),$P$1042,HLOOKUP(INDIRECT(ADDRESS(2,COLUMN())),OFFSET($BN$2,0,0,ROW()-1,60),ROW()-1,FALSE))</f>
        <v/>
      </c>
      <c r="Q378" t="str">
        <f ca="1">IF(AND(ISNUMBER($Q$1042),$B$677=1),$Q$1042,HLOOKUP(INDIRECT(ADDRESS(2,COLUMN())),OFFSET($BN$2,0,0,ROW()-1,60),ROW()-1,FALSE))</f>
        <v/>
      </c>
      <c r="R378" t="str">
        <f ca="1">IF(AND(ISNUMBER($R$1042),$B$677=1),$R$1042,HLOOKUP(INDIRECT(ADDRESS(2,COLUMN())),OFFSET($BN$2,0,0,ROW()-1,60),ROW()-1,FALSE))</f>
        <v/>
      </c>
      <c r="S378" t="str">
        <f ca="1">IF(AND(ISNUMBER($S$1042),$B$677=1),$S$1042,HLOOKUP(INDIRECT(ADDRESS(2,COLUMN())),OFFSET($BN$2,0,0,ROW()-1,60),ROW()-1,FALSE))</f>
        <v/>
      </c>
      <c r="T378" t="str">
        <f ca="1">IF(AND(ISNUMBER($T$1042),$B$677=1),$T$1042,HLOOKUP(INDIRECT(ADDRESS(2,COLUMN())),OFFSET($BN$2,0,0,ROW()-1,60),ROW()-1,FALSE))</f>
        <v/>
      </c>
      <c r="U378" t="str">
        <f ca="1">IF(AND(ISNUMBER($U$1042),$B$677=1),$U$1042,HLOOKUP(INDIRECT(ADDRESS(2,COLUMN())),OFFSET($BN$2,0,0,ROW()-1,60),ROW()-1,FALSE))</f>
        <v/>
      </c>
      <c r="V378" t="str">
        <f ca="1">IF(AND(ISNUMBER($V$1042),$B$677=1),$V$1042,HLOOKUP(INDIRECT(ADDRESS(2,COLUMN())),OFFSET($BN$2,0,0,ROW()-1,60),ROW()-1,FALSE))</f>
        <v/>
      </c>
      <c r="W378" t="str">
        <f ca="1">IF(AND(ISNUMBER($W$1042),$B$677=1),$W$1042,HLOOKUP(INDIRECT(ADDRESS(2,COLUMN())),OFFSET($BN$2,0,0,ROW()-1,60),ROW()-1,FALSE))</f>
        <v/>
      </c>
      <c r="X378" t="str">
        <f ca="1">IF(AND(ISNUMBER($X$1042),$B$677=1),$X$1042,HLOOKUP(INDIRECT(ADDRESS(2,COLUMN())),OFFSET($BN$2,0,0,ROW()-1,60),ROW()-1,FALSE))</f>
        <v/>
      </c>
      <c r="Y378" t="str">
        <f ca="1">IF(AND(ISNUMBER($Y$1042),$B$677=1),$Y$1042,HLOOKUP(INDIRECT(ADDRESS(2,COLUMN())),OFFSET($BN$2,0,0,ROW()-1,60),ROW()-1,FALSE))</f>
        <v/>
      </c>
      <c r="Z378" t="str">
        <f ca="1">IF(AND(ISNUMBER($Z$1042),$B$677=1),$Z$1042,HLOOKUP(INDIRECT(ADDRESS(2,COLUMN())),OFFSET($BN$2,0,0,ROW()-1,60),ROW()-1,FALSE))</f>
        <v/>
      </c>
      <c r="AA378" t="str">
        <f ca="1">IF(AND(ISNUMBER($AA$1042),$B$677=1),$AA$1042,HLOOKUP(INDIRECT(ADDRESS(2,COLUMN())),OFFSET($BN$2,0,0,ROW()-1,60),ROW()-1,FALSE))</f>
        <v/>
      </c>
      <c r="AB378" t="str">
        <f ca="1">IF(AND(ISNUMBER($AB$1042),$B$677=1),$AB$1042,HLOOKUP(INDIRECT(ADDRESS(2,COLUMN())),OFFSET($BN$2,0,0,ROW()-1,60),ROW()-1,FALSE))</f>
        <v/>
      </c>
      <c r="AC378" t="str">
        <f ca="1">IF(AND(ISNUMBER($AC$1042),$B$677=1),$AC$1042,HLOOKUP(INDIRECT(ADDRESS(2,COLUMN())),OFFSET($BN$2,0,0,ROW()-1,60),ROW()-1,FALSE))</f>
        <v/>
      </c>
      <c r="AD378" t="str">
        <f ca="1">IF(AND(ISNUMBER($AD$1042),$B$677=1),$AD$1042,HLOOKUP(INDIRECT(ADDRESS(2,COLUMN())),OFFSET($BN$2,0,0,ROW()-1,60),ROW()-1,FALSE))</f>
        <v/>
      </c>
      <c r="AE378" t="str">
        <f ca="1">IF(AND(ISNUMBER($AE$1042),$B$677=1),$AE$1042,HLOOKUP(INDIRECT(ADDRESS(2,COLUMN())),OFFSET($BN$2,0,0,ROW()-1,60),ROW()-1,FALSE))</f>
        <v/>
      </c>
      <c r="AF378" t="str">
        <f ca="1">IF(AND(ISNUMBER($AF$1042),$B$677=1),$AF$1042,HLOOKUP(INDIRECT(ADDRESS(2,COLUMN())),OFFSET($BN$2,0,0,ROW()-1,60),ROW()-1,FALSE))</f>
        <v/>
      </c>
      <c r="AG378" t="str">
        <f ca="1">IF(AND(ISNUMBER($AG$1042),$B$677=1),$AG$1042,HLOOKUP(INDIRECT(ADDRESS(2,COLUMN())),OFFSET($BN$2,0,0,ROW()-1,60),ROW()-1,FALSE))</f>
        <v/>
      </c>
      <c r="AH378" t="str">
        <f ca="1">IF(AND(ISNUMBER($AH$1042),$B$677=1),$AH$1042,HLOOKUP(INDIRECT(ADDRESS(2,COLUMN())),OFFSET($BN$2,0,0,ROW()-1,60),ROW()-1,FALSE))</f>
        <v/>
      </c>
      <c r="AI378" t="str">
        <f ca="1">IF(AND(ISNUMBER($AI$1042),$B$677=1),$AI$1042,HLOOKUP(INDIRECT(ADDRESS(2,COLUMN())),OFFSET($BN$2,0,0,ROW()-1,60),ROW()-1,FALSE))</f>
        <v/>
      </c>
      <c r="AJ378" t="str">
        <f ca="1">IF(AND(ISNUMBER($AJ$1042),$B$677=1),$AJ$1042,HLOOKUP(INDIRECT(ADDRESS(2,COLUMN())),OFFSET($BN$2,0,0,ROW()-1,60),ROW()-1,FALSE))</f>
        <v/>
      </c>
      <c r="AK378" t="str">
        <f ca="1">IF(AND(ISNUMBER($AK$1042),$B$677=1),$AK$1042,HLOOKUP(INDIRECT(ADDRESS(2,COLUMN())),OFFSET($BN$2,0,0,ROW()-1,60),ROW()-1,FALSE))</f>
        <v/>
      </c>
      <c r="AL378" t="str">
        <f ca="1">IF(AND(ISNUMBER($AL$1042),$B$677=1),$AL$1042,HLOOKUP(INDIRECT(ADDRESS(2,COLUMN())),OFFSET($BN$2,0,0,ROW()-1,60),ROW()-1,FALSE))</f>
        <v/>
      </c>
      <c r="AM378" t="str">
        <f ca="1">IF(AND(ISNUMBER($AM$1042),$B$677=1),$AM$1042,HLOOKUP(INDIRECT(ADDRESS(2,COLUMN())),OFFSET($BN$2,0,0,ROW()-1,60),ROW()-1,FALSE))</f>
        <v/>
      </c>
      <c r="AN378" t="str">
        <f ca="1">IF(AND(ISNUMBER($AN$1042),$B$677=1),$AN$1042,HLOOKUP(INDIRECT(ADDRESS(2,COLUMN())),OFFSET($BN$2,0,0,ROW()-1,60),ROW()-1,FALSE))</f>
        <v/>
      </c>
      <c r="AO378" t="str">
        <f ca="1">IF(AND(ISNUMBER($AO$1042),$B$677=1),$AO$1042,HLOOKUP(INDIRECT(ADDRESS(2,COLUMN())),OFFSET($BN$2,0,0,ROW()-1,60),ROW()-1,FALSE))</f>
        <v/>
      </c>
      <c r="AP378" t="str">
        <f ca="1">IF(AND(ISNUMBER($AP$1042),$B$677=1),$AP$1042,HLOOKUP(INDIRECT(ADDRESS(2,COLUMN())),OFFSET($BN$2,0,0,ROW()-1,60),ROW()-1,FALSE))</f>
        <v/>
      </c>
      <c r="AQ378" t="str">
        <f ca="1">IF(AND(ISNUMBER($AQ$1042),$B$677=1),$AQ$1042,HLOOKUP(INDIRECT(ADDRESS(2,COLUMN())),OFFSET($BN$2,0,0,ROW()-1,60),ROW()-1,FALSE))</f>
        <v/>
      </c>
      <c r="AR378" t="str">
        <f ca="1">IF(AND(ISNUMBER($AR$1042),$B$677=1),$AR$1042,HLOOKUP(INDIRECT(ADDRESS(2,COLUMN())),OFFSET($BN$2,0,0,ROW()-1,60),ROW()-1,FALSE))</f>
        <v/>
      </c>
      <c r="AS378" t="str">
        <f ca="1">IF(AND(ISNUMBER($AS$1042),$B$677=1),$AS$1042,HLOOKUP(INDIRECT(ADDRESS(2,COLUMN())),OFFSET($BN$2,0,0,ROW()-1,60),ROW()-1,FALSE))</f>
        <v/>
      </c>
      <c r="AT378" t="str">
        <f ca="1">IF(AND(ISNUMBER($AT$1042),$B$677=1),$AT$1042,HLOOKUP(INDIRECT(ADDRESS(2,COLUMN())),OFFSET($BN$2,0,0,ROW()-1,60),ROW()-1,FALSE))</f>
        <v/>
      </c>
      <c r="AU378" t="str">
        <f ca="1">IF(AND(ISNUMBER($AU$1042),$B$677=1),$AU$1042,HLOOKUP(INDIRECT(ADDRESS(2,COLUMN())),OFFSET($BN$2,0,0,ROW()-1,60),ROW()-1,FALSE))</f>
        <v/>
      </c>
      <c r="AV378" t="str">
        <f ca="1">IF(AND(ISNUMBER($AV$1042),$B$677=1),$AV$1042,HLOOKUP(INDIRECT(ADDRESS(2,COLUMN())),OFFSET($BN$2,0,0,ROW()-1,60),ROW()-1,FALSE))</f>
        <v/>
      </c>
      <c r="AW378" t="str">
        <f ca="1">IF(AND(ISNUMBER($AW$1042),$B$677=1),$AW$1042,HLOOKUP(INDIRECT(ADDRESS(2,COLUMN())),OFFSET($BN$2,0,0,ROW()-1,60),ROW()-1,FALSE))</f>
        <v/>
      </c>
      <c r="AX378" t="str">
        <f ca="1">IF(AND(ISNUMBER($AX$1042),$B$677=1),$AX$1042,HLOOKUP(INDIRECT(ADDRESS(2,COLUMN())),OFFSET($BN$2,0,0,ROW()-1,60),ROW()-1,FALSE))</f>
        <v/>
      </c>
      <c r="AY378" t="str">
        <f ca="1">IF(AND(ISNUMBER($AY$1042),$B$677=1),$AY$1042,HLOOKUP(INDIRECT(ADDRESS(2,COLUMN())),OFFSET($BN$2,0,0,ROW()-1,60),ROW()-1,FALSE))</f>
        <v/>
      </c>
      <c r="AZ378" t="str">
        <f ca="1">IF(AND(ISNUMBER($AZ$1042),$B$677=1),$AZ$1042,HLOOKUP(INDIRECT(ADDRESS(2,COLUMN())),OFFSET($BN$2,0,0,ROW()-1,60),ROW()-1,FALSE))</f>
        <v/>
      </c>
      <c r="BA378" t="str">
        <f ca="1">IF(AND(ISNUMBER($BA$1042),$B$677=1),$BA$1042,HLOOKUP(INDIRECT(ADDRESS(2,COLUMN())),OFFSET($BN$2,0,0,ROW()-1,60),ROW()-1,FALSE))</f>
        <v/>
      </c>
      <c r="BB378" t="str">
        <f ca="1">IF(AND(ISNUMBER($BB$1042),$B$677=1),$BB$1042,HLOOKUP(INDIRECT(ADDRESS(2,COLUMN())),OFFSET($BN$2,0,0,ROW()-1,60),ROW()-1,FALSE))</f>
        <v/>
      </c>
      <c r="BC378" t="str">
        <f ca="1">IF(AND(ISNUMBER($BC$1042),$B$677=1),$BC$1042,HLOOKUP(INDIRECT(ADDRESS(2,COLUMN())),OFFSET($BN$2,0,0,ROW()-1,60),ROW()-1,FALSE))</f>
        <v/>
      </c>
      <c r="BD378" t="str">
        <f ca="1">IF(AND(ISNUMBER($BD$1042),$B$677=1),$BD$1042,HLOOKUP(INDIRECT(ADDRESS(2,COLUMN())),OFFSET($BN$2,0,0,ROW()-1,60),ROW()-1,FALSE))</f>
        <v/>
      </c>
      <c r="BE378" t="str">
        <f ca="1">IF(AND(ISNUMBER($BE$1042),$B$677=1),$BE$1042,HLOOKUP(INDIRECT(ADDRESS(2,COLUMN())),OFFSET($BN$2,0,0,ROW()-1,60),ROW()-1,FALSE))</f>
        <v/>
      </c>
      <c r="BF378" t="str">
        <f ca="1">IF(AND(ISNUMBER($BF$1042),$B$677=1),$BF$1042,HLOOKUP(INDIRECT(ADDRESS(2,COLUMN())),OFFSET($BN$2,0,0,ROW()-1,60),ROW()-1,FALSE))</f>
        <v/>
      </c>
      <c r="BG378" t="str">
        <f ca="1">IF(AND(ISNUMBER($BG$1042),$B$677=1),$BG$1042,HLOOKUP(INDIRECT(ADDRESS(2,COLUMN())),OFFSET($BN$2,0,0,ROW()-1,60),ROW()-1,FALSE))</f>
        <v/>
      </c>
      <c r="BH378" t="str">
        <f ca="1">IF(AND(ISNUMBER($BH$1042),$B$677=1),$BH$1042,HLOOKUP(INDIRECT(ADDRESS(2,COLUMN())),OFFSET($BN$2,0,0,ROW()-1,60),ROW()-1,FALSE))</f>
        <v/>
      </c>
      <c r="BI378" t="str">
        <f ca="1">IF(AND(ISNUMBER($BI$1042),$B$677=1),$BI$1042,HLOOKUP(INDIRECT(ADDRESS(2,COLUMN())),OFFSET($BN$2,0,0,ROW()-1,60),ROW()-1,FALSE))</f>
        <v/>
      </c>
      <c r="BJ378" t="str">
        <f ca="1">IF(AND(ISNUMBER($BJ$1042),$B$677=1),$BJ$1042,HLOOKUP(INDIRECT(ADDRESS(2,COLUMN())),OFFSET($BN$2,0,0,ROW()-1,60),ROW()-1,FALSE))</f>
        <v/>
      </c>
      <c r="BK378" t="str">
        <f ca="1">IF(AND(ISNUMBER($BK$1042),$B$677=1),$BK$1042,HLOOKUP(INDIRECT(ADDRESS(2,COLUMN())),OFFSET($BN$2,0,0,ROW()-1,60),ROW()-1,FALSE))</f>
        <v/>
      </c>
      <c r="BL378" t="str">
        <f ca="1">IF(AND(ISNUMBER($BL$1042),$B$677=1),$BL$1042,HLOOKUP(INDIRECT(ADDRESS(2,COLUMN())),OFFSET($BN$2,0,0,ROW()-1,60),ROW()-1,FALSE))</f>
        <v/>
      </c>
      <c r="BM378" t="str">
        <f ca="1">IF(AND(ISNUMBER($BM$1042),$B$677=1),$BM$1042,HLOOKUP(INDIRECT(ADDRESS(2,COLUMN())),OFFSET($BN$2,0,0,ROW()-1,60),ROW()-1,FALSE))</f>
        <v/>
      </c>
      <c r="BN378" t="str">
        <f>""</f>
        <v/>
      </c>
      <c r="BO378" t="str">
        <f>""</f>
        <v/>
      </c>
      <c r="BP378" t="str">
        <f>""</f>
        <v/>
      </c>
      <c r="BQ378" t="str">
        <f>""</f>
        <v/>
      </c>
      <c r="BR378" t="str">
        <f>""</f>
        <v/>
      </c>
      <c r="BS378" t="str">
        <f>""</f>
        <v/>
      </c>
      <c r="BT378" t="str">
        <f>""</f>
        <v/>
      </c>
      <c r="BU378" t="str">
        <f>""</f>
        <v/>
      </c>
      <c r="BV378" t="str">
        <f>""</f>
        <v/>
      </c>
      <c r="BW378" t="str">
        <f>""</f>
        <v/>
      </c>
      <c r="BX378" t="str">
        <f>""</f>
        <v/>
      </c>
      <c r="BY378" t="str">
        <f>""</f>
        <v/>
      </c>
      <c r="BZ378" t="str">
        <f>""</f>
        <v/>
      </c>
      <c r="CA378" t="str">
        <f>""</f>
        <v/>
      </c>
      <c r="CB378" t="str">
        <f>""</f>
        <v/>
      </c>
      <c r="CC378" t="str">
        <f>""</f>
        <v/>
      </c>
      <c r="CD378" t="str">
        <f>""</f>
        <v/>
      </c>
      <c r="CE378" t="str">
        <f>""</f>
        <v/>
      </c>
      <c r="CF378" t="str">
        <f>""</f>
        <v/>
      </c>
      <c r="CG378" t="str">
        <f>""</f>
        <v/>
      </c>
      <c r="CH378" t="str">
        <f>""</f>
        <v/>
      </c>
      <c r="CI378" t="str">
        <f>""</f>
        <v/>
      </c>
      <c r="CJ378" t="str">
        <f>""</f>
        <v/>
      </c>
      <c r="CK378" t="str">
        <f>""</f>
        <v/>
      </c>
      <c r="CL378" t="str">
        <f>""</f>
        <v/>
      </c>
      <c r="CM378" t="str">
        <f>""</f>
        <v/>
      </c>
      <c r="CN378" t="str">
        <f>""</f>
        <v/>
      </c>
      <c r="CO378" t="str">
        <f>""</f>
        <v/>
      </c>
      <c r="CP378" t="str">
        <f>""</f>
        <v/>
      </c>
      <c r="CQ378" t="str">
        <f>""</f>
        <v/>
      </c>
      <c r="CR378" t="str">
        <f>""</f>
        <v/>
      </c>
      <c r="CS378" t="str">
        <f>""</f>
        <v/>
      </c>
      <c r="CT378" t="str">
        <f>""</f>
        <v/>
      </c>
      <c r="CU378" t="str">
        <f>""</f>
        <v/>
      </c>
      <c r="CV378" t="str">
        <f>""</f>
        <v/>
      </c>
      <c r="CW378" t="str">
        <f>""</f>
        <v/>
      </c>
      <c r="CX378" t="str">
        <f>""</f>
        <v/>
      </c>
      <c r="CY378" t="str">
        <f>""</f>
        <v/>
      </c>
      <c r="CZ378" t="str">
        <f>""</f>
        <v/>
      </c>
      <c r="DA378" t="str">
        <f>""</f>
        <v/>
      </c>
      <c r="DB378" t="str">
        <f>""</f>
        <v/>
      </c>
      <c r="DC378" t="str">
        <f>""</f>
        <v/>
      </c>
      <c r="DD378" t="str">
        <f>""</f>
        <v/>
      </c>
      <c r="DE378" t="str">
        <f>""</f>
        <v/>
      </c>
      <c r="DF378" t="str">
        <f>""</f>
        <v/>
      </c>
      <c r="DG378" t="str">
        <f>""</f>
        <v/>
      </c>
      <c r="DH378" t="str">
        <f>""</f>
        <v/>
      </c>
      <c r="DI378" t="str">
        <f>""</f>
        <v/>
      </c>
      <c r="DJ378" t="str">
        <f>""</f>
        <v/>
      </c>
      <c r="DK378" t="str">
        <f>""</f>
        <v/>
      </c>
      <c r="DL378" t="str">
        <f>""</f>
        <v/>
      </c>
      <c r="DM378" t="str">
        <f>""</f>
        <v/>
      </c>
      <c r="DN378" t="str">
        <f>""</f>
        <v/>
      </c>
      <c r="DO378" t="str">
        <f>""</f>
        <v/>
      </c>
      <c r="DP378" t="str">
        <f>""</f>
        <v/>
      </c>
      <c r="DQ378" t="str">
        <f>""</f>
        <v/>
      </c>
      <c r="DR378" t="str">
        <f>""</f>
        <v/>
      </c>
      <c r="DS378" t="str">
        <f>""</f>
        <v/>
      </c>
      <c r="DT378" t="str">
        <f>""</f>
        <v/>
      </c>
      <c r="DU378" t="str">
        <f>""</f>
        <v/>
      </c>
    </row>
    <row r="379" spans="1:125" x14ac:dyDescent="0.25">
      <c r="A379" t="str">
        <f>"    BYD Co Ltd"</f>
        <v xml:space="preserve">    BYD Co Ltd</v>
      </c>
      <c r="B379" t="str">
        <f>"1211 HK Equity"</f>
        <v>1211 HK Equity</v>
      </c>
      <c r="C379" t="str">
        <f t="shared" si="27"/>
        <v>RR480</v>
      </c>
      <c r="D379" t="str">
        <f t="shared" si="28"/>
        <v>EV_TO_MKT_CAP</v>
      </c>
      <c r="E379" t="str">
        <f t="shared" si="29"/>
        <v>Dynamic</v>
      </c>
      <c r="F379" t="str">
        <f ca="1">IF(AND(ISNUMBER($F$1043),$B$677=1),$F$1043,HLOOKUP(INDIRECT(ADDRESS(2,COLUMN())),OFFSET($BN$2,0,0,ROW()-1,60),ROW()-1,FALSE))</f>
        <v/>
      </c>
      <c r="G379" t="str">
        <f ca="1">IF(AND(ISNUMBER($G$1043),$B$677=1),$G$1043,HLOOKUP(INDIRECT(ADDRESS(2,COLUMN())),OFFSET($BN$2,0,0,ROW()-1,60),ROW()-1,FALSE))</f>
        <v/>
      </c>
      <c r="H379">
        <f ca="1">IF(AND(ISNUMBER($H$1043),$B$677=1),$H$1043,HLOOKUP(INDIRECT(ADDRESS(2,COLUMN())),OFFSET($BN$2,0,0,ROW()-1,60),ROW()-1,FALSE))</f>
        <v>1.419487196</v>
      </c>
      <c r="I379">
        <f ca="1">IF(AND(ISNUMBER($I$1043),$B$677=1),$I$1043,HLOOKUP(INDIRECT(ADDRESS(2,COLUMN())),OFFSET($BN$2,0,0,ROW()-1,60),ROW()-1,FALSE))</f>
        <v>1.7124859990000001</v>
      </c>
      <c r="J379">
        <f ca="1">IF(AND(ISNUMBER($J$1043),$B$677=1),$J$1043,HLOOKUP(INDIRECT(ADDRESS(2,COLUMN())),OFFSET($BN$2,0,0,ROW()-1,60),ROW()-1,FALSE))</f>
        <v>1.528061348</v>
      </c>
      <c r="K379">
        <f ca="1">IF(AND(ISNUMBER($K$1043),$B$677=1),$K$1043,HLOOKUP(INDIRECT(ADDRESS(2,COLUMN())),OFFSET($BN$2,0,0,ROW()-1,60),ROW()-1,FALSE))</f>
        <v>1.432024575</v>
      </c>
      <c r="L379">
        <f ca="1">IF(AND(ISNUMBER($L$1043),$B$677=1),$L$1043,HLOOKUP(INDIRECT(ADDRESS(2,COLUMN())),OFFSET($BN$2,0,0,ROW()-1,60),ROW()-1,FALSE))</f>
        <v>1.394088752</v>
      </c>
      <c r="M379">
        <f ca="1">IF(AND(ISNUMBER($M$1043),$B$677=1),$M$1043,HLOOKUP(INDIRECT(ADDRESS(2,COLUMN())),OFFSET($BN$2,0,0,ROW()-1,60),ROW()-1,FALSE))</f>
        <v>1.531880704</v>
      </c>
      <c r="N379">
        <f ca="1">IF(AND(ISNUMBER($N$1043),$B$677=1),$N$1043,HLOOKUP(INDIRECT(ADDRESS(2,COLUMN())),OFFSET($BN$2,0,0,ROW()-1,60),ROW()-1,FALSE))</f>
        <v>1.5258636370000001</v>
      </c>
      <c r="O379">
        <f ca="1">IF(AND(ISNUMBER($O$1043),$B$677=1),$O$1043,HLOOKUP(INDIRECT(ADDRESS(2,COLUMN())),OFFSET($BN$2,0,0,ROW()-1,60),ROW()-1,FALSE))</f>
        <v>1.474369273</v>
      </c>
      <c r="P379">
        <f ca="1">IF(AND(ISNUMBER($P$1043),$B$677=1),$P$1043,HLOOKUP(INDIRECT(ADDRESS(2,COLUMN())),OFFSET($BN$2,0,0,ROW()-1,60),ROW()-1,FALSE))</f>
        <v>1.3646890899999999</v>
      </c>
      <c r="Q379">
        <f ca="1">IF(AND(ISNUMBER($Q$1043),$B$677=1),$Q$1043,HLOOKUP(INDIRECT(ADDRESS(2,COLUMN())),OFFSET($BN$2,0,0,ROW()-1,60),ROW()-1,FALSE))</f>
        <v>1.460874746</v>
      </c>
      <c r="R379">
        <f ca="1">IF(AND(ISNUMBER($R$1043),$B$677=1),$R$1043,HLOOKUP(INDIRECT(ADDRESS(2,COLUMN())),OFFSET($BN$2,0,0,ROW()-1,60),ROW()-1,FALSE))</f>
        <v>1.4490957879999999</v>
      </c>
      <c r="S379">
        <f ca="1">IF(AND(ISNUMBER($S$1043),$B$677=1),$S$1043,HLOOKUP(INDIRECT(ADDRESS(2,COLUMN())),OFFSET($BN$2,0,0,ROW()-1,60),ROW()-1,FALSE))</f>
        <v>1.3588345959999999</v>
      </c>
      <c r="T379">
        <f ca="1">IF(AND(ISNUMBER($T$1043),$B$677=1),$T$1043,HLOOKUP(INDIRECT(ADDRESS(2,COLUMN())),OFFSET($BN$2,0,0,ROW()-1,60),ROW()-1,FALSE))</f>
        <v>1.418984252</v>
      </c>
      <c r="U379">
        <f ca="1">IF(AND(ISNUMBER($U$1043),$B$677=1),$U$1043,HLOOKUP(INDIRECT(ADDRESS(2,COLUMN())),OFFSET($BN$2,0,0,ROW()-1,60),ROW()-1,FALSE))</f>
        <v>1.386130093</v>
      </c>
      <c r="V379">
        <f ca="1">IF(AND(ISNUMBER($V$1043),$B$677=1),$V$1043,HLOOKUP(INDIRECT(ADDRESS(2,COLUMN())),OFFSET($BN$2,0,0,ROW()-1,60),ROW()-1,FALSE))</f>
        <v>1.376731632</v>
      </c>
      <c r="W379">
        <f ca="1">IF(AND(ISNUMBER($W$1043),$B$677=1),$W$1043,HLOOKUP(INDIRECT(ADDRESS(2,COLUMN())),OFFSET($BN$2,0,0,ROW()-1,60),ROW()-1,FALSE))</f>
        <v>1.5405037720000001</v>
      </c>
      <c r="X379">
        <f ca="1">IF(AND(ISNUMBER($X$1043),$B$677=1),$X$1043,HLOOKUP(INDIRECT(ADDRESS(2,COLUMN())),OFFSET($BN$2,0,0,ROW()-1,60),ROW()-1,FALSE))</f>
        <v>1.3640351900000001</v>
      </c>
      <c r="Y379">
        <f ca="1">IF(AND(ISNUMBER($Y$1043),$B$677=1),$Y$1043,HLOOKUP(INDIRECT(ADDRESS(2,COLUMN())),OFFSET($BN$2,0,0,ROW()-1,60),ROW()-1,FALSE))</f>
        <v>1.42134742</v>
      </c>
      <c r="Z379">
        <f ca="1">IF(AND(ISNUMBER($Z$1043),$B$677=1),$Z$1043,HLOOKUP(INDIRECT(ADDRESS(2,COLUMN())),OFFSET($BN$2,0,0,ROW()-1,60),ROW()-1,FALSE))</f>
        <v>1.3869341559999999</v>
      </c>
      <c r="AA379">
        <f ca="1">IF(AND(ISNUMBER($AA$1043),$B$677=1),$AA$1043,HLOOKUP(INDIRECT(ADDRESS(2,COLUMN())),OFFSET($BN$2,0,0,ROW()-1,60),ROW()-1,FALSE))</f>
        <v>1.5197757430000001</v>
      </c>
      <c r="AB379">
        <f ca="1">IF(AND(ISNUMBER($AB$1043),$B$677=1),$AB$1043,HLOOKUP(INDIRECT(ADDRESS(2,COLUMN())),OFFSET($BN$2,0,0,ROW()-1,60),ROW()-1,FALSE))</f>
        <v>1.5397473450000001</v>
      </c>
      <c r="AC379">
        <f ca="1">IF(AND(ISNUMBER($AC$1043),$B$677=1),$AC$1043,HLOOKUP(INDIRECT(ADDRESS(2,COLUMN())),OFFSET($BN$2,0,0,ROW()-1,60),ROW()-1,FALSE))</f>
        <v>1.517985938</v>
      </c>
      <c r="AD379">
        <f ca="1">IF(AND(ISNUMBER($AD$1043),$B$677=1),$AD$1043,HLOOKUP(INDIRECT(ADDRESS(2,COLUMN())),OFFSET($BN$2,0,0,ROW()-1,60),ROW()-1,FALSE))</f>
        <v>1.648366894</v>
      </c>
      <c r="AE379">
        <f ca="1">IF(AND(ISNUMBER($AE$1043),$B$677=1),$AE$1043,HLOOKUP(INDIRECT(ADDRESS(2,COLUMN())),OFFSET($BN$2,0,0,ROW()-1,60),ROW()-1,FALSE))</f>
        <v>1.607903498</v>
      </c>
      <c r="AF379">
        <f ca="1">IF(AND(ISNUMBER($AF$1043),$B$677=1),$AF$1043,HLOOKUP(INDIRECT(ADDRESS(2,COLUMN())),OFFSET($BN$2,0,0,ROW()-1,60),ROW()-1,FALSE))</f>
        <v>2.1550388570000001</v>
      </c>
      <c r="AG379">
        <f ca="1">IF(AND(ISNUMBER($AG$1043),$B$677=1),$AG$1043,HLOOKUP(INDIRECT(ADDRESS(2,COLUMN())),OFFSET($BN$2,0,0,ROW()-1,60),ROW()-1,FALSE))</f>
        <v>1.7072294450000001</v>
      </c>
      <c r="AH379">
        <f ca="1">IF(AND(ISNUMBER($AH$1043),$B$677=1),$AH$1043,HLOOKUP(INDIRECT(ADDRESS(2,COLUMN())),OFFSET($BN$2,0,0,ROW()-1,60),ROW()-1,FALSE))</f>
        <v>1.6386648370000001</v>
      </c>
      <c r="AI379">
        <f ca="1">IF(AND(ISNUMBER($AI$1043),$B$677=1),$AI$1043,HLOOKUP(INDIRECT(ADDRESS(2,COLUMN())),OFFSET($BN$2,0,0,ROW()-1,60),ROW()-1,FALSE))</f>
        <v>1.5588231180000001</v>
      </c>
      <c r="AJ379">
        <f ca="1">IF(AND(ISNUMBER($AJ$1043),$B$677=1),$AJ$1043,HLOOKUP(INDIRECT(ADDRESS(2,COLUMN())),OFFSET($BN$2,0,0,ROW()-1,60),ROW()-1,FALSE))</f>
        <v>2.022273599</v>
      </c>
      <c r="AK379" t="str">
        <f ca="1">IF(AND(ISNUMBER($AK$1043),$B$677=1),$AK$1043,HLOOKUP(INDIRECT(ADDRESS(2,COLUMN())),OFFSET($BN$2,0,0,ROW()-1,60),ROW()-1,FALSE))</f>
        <v/>
      </c>
      <c r="AL379" t="str">
        <f ca="1">IF(AND(ISNUMBER($AL$1043),$B$677=1),$AL$1043,HLOOKUP(INDIRECT(ADDRESS(2,COLUMN())),OFFSET($BN$2,0,0,ROW()-1,60),ROW()-1,FALSE))</f>
        <v/>
      </c>
      <c r="AM379">
        <f ca="1">IF(AND(ISNUMBER($AM$1043),$B$677=1),$AM$1043,HLOOKUP(INDIRECT(ADDRESS(2,COLUMN())),OFFSET($BN$2,0,0,ROW()-1,60),ROW()-1,FALSE))</f>
        <v>1.187386544</v>
      </c>
      <c r="AN379">
        <f ca="1">IF(AND(ISNUMBER($AN$1043),$B$677=1),$AN$1043,HLOOKUP(INDIRECT(ADDRESS(2,COLUMN())),OFFSET($BN$2,0,0,ROW()-1,60),ROW()-1,FALSE))</f>
        <v>1.074242814</v>
      </c>
      <c r="AO379">
        <f ca="1">IF(AND(ISNUMBER($AO$1043),$B$677=1),$AO$1043,HLOOKUP(INDIRECT(ADDRESS(2,COLUMN())),OFFSET($BN$2,0,0,ROW()-1,60),ROW()-1,FALSE))</f>
        <v>1.061502714</v>
      </c>
      <c r="AP379">
        <f ca="1">IF(AND(ISNUMBER($AP$1043),$B$677=1),$AP$1043,HLOOKUP(INDIRECT(ADDRESS(2,COLUMN())),OFFSET($BN$2,0,0,ROW()-1,60),ROW()-1,FALSE))</f>
        <v>1.025164076</v>
      </c>
      <c r="AQ379">
        <f ca="1">IF(AND(ISNUMBER($AQ$1043),$B$677=1),$AQ$1043,HLOOKUP(INDIRECT(ADDRESS(2,COLUMN())),OFFSET($BN$2,0,0,ROW()-1,60),ROW()-1,FALSE))</f>
        <v>1.0268483159999999</v>
      </c>
      <c r="AR379">
        <f ca="1">IF(AND(ISNUMBER($AR$1043),$B$677=1),$AR$1043,HLOOKUP(INDIRECT(ADDRESS(2,COLUMN())),OFFSET($BN$2,0,0,ROW()-1,60),ROW()-1,FALSE))</f>
        <v>1.033252974</v>
      </c>
      <c r="AS379" t="str">
        <f ca="1">IF(AND(ISNUMBER($AS$1043),$B$677=1),$AS$1043,HLOOKUP(INDIRECT(ADDRESS(2,COLUMN())),OFFSET($BN$2,0,0,ROW()-1,60),ROW()-1,FALSE))</f>
        <v/>
      </c>
      <c r="AT379" t="str">
        <f ca="1">IF(AND(ISNUMBER($AT$1043),$B$677=1),$AT$1043,HLOOKUP(INDIRECT(ADDRESS(2,COLUMN())),OFFSET($BN$2,0,0,ROW()-1,60),ROW()-1,FALSE))</f>
        <v/>
      </c>
      <c r="AU379" t="str">
        <f ca="1">IF(AND(ISNUMBER($AU$1043),$B$677=1),$AU$1043,HLOOKUP(INDIRECT(ADDRESS(2,COLUMN())),OFFSET($BN$2,0,0,ROW()-1,60),ROW()-1,FALSE))</f>
        <v/>
      </c>
      <c r="AV379" t="str">
        <f ca="1">IF(AND(ISNUMBER($AV$1043),$B$677=1),$AV$1043,HLOOKUP(INDIRECT(ADDRESS(2,COLUMN())),OFFSET($BN$2,0,0,ROW()-1,60),ROW()-1,FALSE))</f>
        <v/>
      </c>
      <c r="AW379" t="str">
        <f ca="1">IF(AND(ISNUMBER($AW$1043),$B$677=1),$AW$1043,HLOOKUP(INDIRECT(ADDRESS(2,COLUMN())),OFFSET($BN$2,0,0,ROW()-1,60),ROW()-1,FALSE))</f>
        <v/>
      </c>
      <c r="AX379" t="str">
        <f ca="1">IF(AND(ISNUMBER($AX$1043),$B$677=1),$AX$1043,HLOOKUP(INDIRECT(ADDRESS(2,COLUMN())),OFFSET($BN$2,0,0,ROW()-1,60),ROW()-1,FALSE))</f>
        <v/>
      </c>
      <c r="AY379" t="str">
        <f ca="1">IF(AND(ISNUMBER($AY$1043),$B$677=1),$AY$1043,HLOOKUP(INDIRECT(ADDRESS(2,COLUMN())),OFFSET($BN$2,0,0,ROW()-1,60),ROW()-1,FALSE))</f>
        <v/>
      </c>
      <c r="AZ379" t="str">
        <f ca="1">IF(AND(ISNUMBER($AZ$1043),$B$677=1),$AZ$1043,HLOOKUP(INDIRECT(ADDRESS(2,COLUMN())),OFFSET($BN$2,0,0,ROW()-1,60),ROW()-1,FALSE))</f>
        <v/>
      </c>
      <c r="BA379" t="str">
        <f ca="1">IF(AND(ISNUMBER($BA$1043),$B$677=1),$BA$1043,HLOOKUP(INDIRECT(ADDRESS(2,COLUMN())),OFFSET($BN$2,0,0,ROW()-1,60),ROW()-1,FALSE))</f>
        <v/>
      </c>
      <c r="BB379" t="str">
        <f ca="1">IF(AND(ISNUMBER($BB$1043),$B$677=1),$BB$1043,HLOOKUP(INDIRECT(ADDRESS(2,COLUMN())),OFFSET($BN$2,0,0,ROW()-1,60),ROW()-1,FALSE))</f>
        <v/>
      </c>
      <c r="BC379" t="str">
        <f ca="1">IF(AND(ISNUMBER($BC$1043),$B$677=1),$BC$1043,HLOOKUP(INDIRECT(ADDRESS(2,COLUMN())),OFFSET($BN$2,0,0,ROW()-1,60),ROW()-1,FALSE))</f>
        <v/>
      </c>
      <c r="BD379" t="str">
        <f ca="1">IF(AND(ISNUMBER($BD$1043),$B$677=1),$BD$1043,HLOOKUP(INDIRECT(ADDRESS(2,COLUMN())),OFFSET($BN$2,0,0,ROW()-1,60),ROW()-1,FALSE))</f>
        <v/>
      </c>
      <c r="BE379" t="str">
        <f ca="1">IF(AND(ISNUMBER($BE$1043),$B$677=1),$BE$1043,HLOOKUP(INDIRECT(ADDRESS(2,COLUMN())),OFFSET($BN$2,0,0,ROW()-1,60),ROW()-1,FALSE))</f>
        <v/>
      </c>
      <c r="BF379" t="str">
        <f ca="1">IF(AND(ISNUMBER($BF$1043),$B$677=1),$BF$1043,HLOOKUP(INDIRECT(ADDRESS(2,COLUMN())),OFFSET($BN$2,0,0,ROW()-1,60),ROW()-1,FALSE))</f>
        <v/>
      </c>
      <c r="BG379" t="str">
        <f ca="1">IF(AND(ISNUMBER($BG$1043),$B$677=1),$BG$1043,HLOOKUP(INDIRECT(ADDRESS(2,COLUMN())),OFFSET($BN$2,0,0,ROW()-1,60),ROW()-1,FALSE))</f>
        <v/>
      </c>
      <c r="BH379" t="str">
        <f ca="1">IF(AND(ISNUMBER($BH$1043),$B$677=1),$BH$1043,HLOOKUP(INDIRECT(ADDRESS(2,COLUMN())),OFFSET($BN$2,0,0,ROW()-1,60),ROW()-1,FALSE))</f>
        <v/>
      </c>
      <c r="BI379" t="str">
        <f ca="1">IF(AND(ISNUMBER($BI$1043),$B$677=1),$BI$1043,HLOOKUP(INDIRECT(ADDRESS(2,COLUMN())),OFFSET($BN$2,0,0,ROW()-1,60),ROW()-1,FALSE))</f>
        <v/>
      </c>
      <c r="BJ379" t="str">
        <f ca="1">IF(AND(ISNUMBER($BJ$1043),$B$677=1),$BJ$1043,HLOOKUP(INDIRECT(ADDRESS(2,COLUMN())),OFFSET($BN$2,0,0,ROW()-1,60),ROW()-1,FALSE))</f>
        <v/>
      </c>
      <c r="BK379" t="str">
        <f ca="1">IF(AND(ISNUMBER($BK$1043),$B$677=1),$BK$1043,HLOOKUP(INDIRECT(ADDRESS(2,COLUMN())),OFFSET($BN$2,0,0,ROW()-1,60),ROW()-1,FALSE))</f>
        <v/>
      </c>
      <c r="BL379" t="str">
        <f ca="1">IF(AND(ISNUMBER($BL$1043),$B$677=1),$BL$1043,HLOOKUP(INDIRECT(ADDRESS(2,COLUMN())),OFFSET($BN$2,0,0,ROW()-1,60),ROW()-1,FALSE))</f>
        <v/>
      </c>
      <c r="BM379" t="str">
        <f ca="1">IF(AND(ISNUMBER($BM$1043),$B$677=1),$BM$1043,HLOOKUP(INDIRECT(ADDRESS(2,COLUMN())),OFFSET($BN$2,0,0,ROW()-1,60),ROW()-1,FALSE))</f>
        <v/>
      </c>
      <c r="BN379" t="str">
        <f>""</f>
        <v/>
      </c>
      <c r="BO379" t="str">
        <f>""</f>
        <v/>
      </c>
      <c r="BP379">
        <f>1.419487196</f>
        <v>1.419487196</v>
      </c>
      <c r="BQ379">
        <f>1.712485999</f>
        <v>1.7124859990000001</v>
      </c>
      <c r="BR379">
        <f>1.528061348</f>
        <v>1.528061348</v>
      </c>
      <c r="BS379">
        <f>1.432024575</f>
        <v>1.432024575</v>
      </c>
      <c r="BT379">
        <f>1.394088752</f>
        <v>1.394088752</v>
      </c>
      <c r="BU379">
        <f>1.531880704</f>
        <v>1.531880704</v>
      </c>
      <c r="BV379">
        <f>1.525863637</f>
        <v>1.5258636370000001</v>
      </c>
      <c r="BW379">
        <f>1.474369273</f>
        <v>1.474369273</v>
      </c>
      <c r="BX379">
        <f>1.36468909</f>
        <v>1.3646890899999999</v>
      </c>
      <c r="BY379">
        <f>1.460874746</f>
        <v>1.460874746</v>
      </c>
      <c r="BZ379">
        <f>1.449095788</f>
        <v>1.4490957879999999</v>
      </c>
      <c r="CA379">
        <f>1.358834596</f>
        <v>1.3588345959999999</v>
      </c>
      <c r="CB379">
        <f>1.418984252</f>
        <v>1.418984252</v>
      </c>
      <c r="CC379">
        <f>1.386130093</f>
        <v>1.386130093</v>
      </c>
      <c r="CD379">
        <f>1.376731632</f>
        <v>1.376731632</v>
      </c>
      <c r="CE379">
        <f>1.540503772</f>
        <v>1.5405037720000001</v>
      </c>
      <c r="CF379">
        <f>1.36403519</f>
        <v>1.3640351900000001</v>
      </c>
      <c r="CG379">
        <f>1.42134742</f>
        <v>1.42134742</v>
      </c>
      <c r="CH379">
        <f>1.386934156</f>
        <v>1.3869341559999999</v>
      </c>
      <c r="CI379">
        <f>1.519775743</f>
        <v>1.5197757430000001</v>
      </c>
      <c r="CJ379">
        <f>1.539747345</f>
        <v>1.5397473450000001</v>
      </c>
      <c r="CK379">
        <f>1.517985938</f>
        <v>1.517985938</v>
      </c>
      <c r="CL379">
        <f>1.648366894</f>
        <v>1.648366894</v>
      </c>
      <c r="CM379">
        <f>1.607903498</f>
        <v>1.607903498</v>
      </c>
      <c r="CN379">
        <f>2.155038857</f>
        <v>2.1550388570000001</v>
      </c>
      <c r="CO379">
        <f>1.707229445</f>
        <v>1.7072294450000001</v>
      </c>
      <c r="CP379">
        <f>1.638664837</f>
        <v>1.6386648370000001</v>
      </c>
      <c r="CQ379">
        <f>1.558823118</f>
        <v>1.5588231180000001</v>
      </c>
      <c r="CR379">
        <f>2.022273599</f>
        <v>2.022273599</v>
      </c>
      <c r="CS379" t="str">
        <f>""</f>
        <v/>
      </c>
      <c r="CT379" t="str">
        <f>""</f>
        <v/>
      </c>
      <c r="CU379">
        <f>1.187386544</f>
        <v>1.187386544</v>
      </c>
      <c r="CV379">
        <f>1.074242814</f>
        <v>1.074242814</v>
      </c>
      <c r="CW379">
        <f>1.061502714</f>
        <v>1.061502714</v>
      </c>
      <c r="CX379">
        <f>1.025164076</f>
        <v>1.025164076</v>
      </c>
      <c r="CY379">
        <f>1.026848316</f>
        <v>1.0268483159999999</v>
      </c>
      <c r="CZ379">
        <f>1.033252974</f>
        <v>1.033252974</v>
      </c>
      <c r="DA379" t="str">
        <f>""</f>
        <v/>
      </c>
      <c r="DB379" t="str">
        <f>""</f>
        <v/>
      </c>
      <c r="DC379" t="str">
        <f>""</f>
        <v/>
      </c>
      <c r="DD379" t="str">
        <f>""</f>
        <v/>
      </c>
      <c r="DE379" t="str">
        <f>""</f>
        <v/>
      </c>
      <c r="DF379" t="str">
        <f>""</f>
        <v/>
      </c>
      <c r="DG379" t="str">
        <f>""</f>
        <v/>
      </c>
      <c r="DH379" t="str">
        <f>""</f>
        <v/>
      </c>
      <c r="DI379" t="str">
        <f>""</f>
        <v/>
      </c>
      <c r="DJ379" t="str">
        <f>""</f>
        <v/>
      </c>
      <c r="DK379" t="str">
        <f>""</f>
        <v/>
      </c>
      <c r="DL379" t="str">
        <f>""</f>
        <v/>
      </c>
      <c r="DM379" t="str">
        <f>""</f>
        <v/>
      </c>
      <c r="DN379" t="str">
        <f>""</f>
        <v/>
      </c>
      <c r="DO379" t="str">
        <f>""</f>
        <v/>
      </c>
      <c r="DP379" t="str">
        <f>""</f>
        <v/>
      </c>
      <c r="DQ379" t="str">
        <f>""</f>
        <v/>
      </c>
      <c r="DR379" t="str">
        <f>""</f>
        <v/>
      </c>
      <c r="DS379" t="str">
        <f>""</f>
        <v/>
      </c>
      <c r="DT379" t="str">
        <f>""</f>
        <v/>
      </c>
      <c r="DU379" t="str">
        <f>""</f>
        <v/>
      </c>
    </row>
    <row r="380" spans="1:125" x14ac:dyDescent="0.25">
      <c r="A380" t="str">
        <f>"    Chongqing Changan Automobile Co Ltd"</f>
        <v xml:space="preserve">    Chongqing Changan Automobile Co Ltd</v>
      </c>
      <c r="B380" t="str">
        <f>"200625 CH Equity"</f>
        <v>200625 CH Equity</v>
      </c>
      <c r="C380" t="str">
        <f t="shared" si="27"/>
        <v>RR480</v>
      </c>
      <c r="D380" t="str">
        <f t="shared" si="28"/>
        <v>EV_TO_MKT_CAP</v>
      </c>
      <c r="E380" t="str">
        <f t="shared" si="29"/>
        <v>Dynamic</v>
      </c>
      <c r="F380" t="str">
        <f ca="1">IF(AND(ISNUMBER($F$1044),$B$677=1),$F$1044,HLOOKUP(INDIRECT(ADDRESS(2,COLUMN())),OFFSET($BN$2,0,0,ROW()-1,60),ROW()-1,FALSE))</f>
        <v/>
      </c>
      <c r="G380" t="str">
        <f ca="1">IF(AND(ISNUMBER($G$1044),$B$677=1),$G$1044,HLOOKUP(INDIRECT(ADDRESS(2,COLUMN())),OFFSET($BN$2,0,0,ROW()-1,60),ROW()-1,FALSE))</f>
        <v/>
      </c>
      <c r="H380">
        <f ca="1">IF(AND(ISNUMBER($H$1044),$B$677=1),$H$1044,HLOOKUP(INDIRECT(ADDRESS(2,COLUMN())),OFFSET($BN$2,0,0,ROW()-1,60),ROW()-1,FALSE))</f>
        <v>0.41540238400000001</v>
      </c>
      <c r="I380">
        <f ca="1">IF(AND(ISNUMBER($I$1044),$B$677=1),$I$1044,HLOOKUP(INDIRECT(ADDRESS(2,COLUMN())),OFFSET($BN$2,0,0,ROW()-1,60),ROW()-1,FALSE))</f>
        <v>0.89197194899999999</v>
      </c>
      <c r="J380">
        <f ca="1">IF(AND(ISNUMBER($J$1044),$B$677=1),$J$1044,HLOOKUP(INDIRECT(ADDRESS(2,COLUMN())),OFFSET($BN$2,0,0,ROW()-1,60),ROW()-1,FALSE))</f>
        <v>0.87088735100000003</v>
      </c>
      <c r="K380">
        <f ca="1">IF(AND(ISNUMBER($K$1044),$B$677=1),$K$1044,HLOOKUP(INDIRECT(ADDRESS(2,COLUMN())),OFFSET($BN$2,0,0,ROW()-1,60),ROW()-1,FALSE))</f>
        <v>0.90176914900000005</v>
      </c>
      <c r="L380">
        <f ca="1">IF(AND(ISNUMBER($L$1044),$B$677=1),$L$1044,HLOOKUP(INDIRECT(ADDRESS(2,COLUMN())),OFFSET($BN$2,0,0,ROW()-1,60),ROW()-1,FALSE))</f>
        <v>0.901019075</v>
      </c>
      <c r="M380">
        <f ca="1">IF(AND(ISNUMBER($M$1044),$B$677=1),$M$1044,HLOOKUP(INDIRECT(ADDRESS(2,COLUMN())),OFFSET($BN$2,0,0,ROW()-1,60),ROW()-1,FALSE))</f>
        <v>0.90491279800000002</v>
      </c>
      <c r="N380">
        <f ca="1">IF(AND(ISNUMBER($N$1044),$B$677=1),$N$1044,HLOOKUP(INDIRECT(ADDRESS(2,COLUMN())),OFFSET($BN$2,0,0,ROW()-1,60),ROW()-1,FALSE))</f>
        <v>0.92131896199999996</v>
      </c>
      <c r="O380">
        <f ca="1">IF(AND(ISNUMBER($O$1044),$B$677=1),$O$1044,HLOOKUP(INDIRECT(ADDRESS(2,COLUMN())),OFFSET($BN$2,0,0,ROW()-1,60),ROW()-1,FALSE))</f>
        <v>0.99843381200000003</v>
      </c>
      <c r="P380">
        <f ca="1">IF(AND(ISNUMBER($P$1044),$B$677=1),$P$1044,HLOOKUP(INDIRECT(ADDRESS(2,COLUMN())),OFFSET($BN$2,0,0,ROW()-1,60),ROW()-1,FALSE))</f>
        <v>0.95935629600000005</v>
      </c>
      <c r="Q380">
        <f ca="1">IF(AND(ISNUMBER($Q$1044),$B$677=1),$Q$1044,HLOOKUP(INDIRECT(ADDRESS(2,COLUMN())),OFFSET($BN$2,0,0,ROW()-1,60),ROW()-1,FALSE))</f>
        <v>1.068806666</v>
      </c>
      <c r="R380">
        <f ca="1">IF(AND(ISNUMBER($R$1044),$B$677=1),$R$1044,HLOOKUP(INDIRECT(ADDRESS(2,COLUMN())),OFFSET($BN$2,0,0,ROW()-1,60),ROW()-1,FALSE))</f>
        <v>1.059068876</v>
      </c>
      <c r="S380">
        <f ca="1">IF(AND(ISNUMBER($S$1044),$B$677=1),$S$1044,HLOOKUP(INDIRECT(ADDRESS(2,COLUMN())),OFFSET($BN$2,0,0,ROW()-1,60),ROW()-1,FALSE))</f>
        <v>1.041209099</v>
      </c>
      <c r="T380">
        <f ca="1">IF(AND(ISNUMBER($T$1044),$B$677=1),$T$1044,HLOOKUP(INDIRECT(ADDRESS(2,COLUMN())),OFFSET($BN$2,0,0,ROW()-1,60),ROW()-1,FALSE))</f>
        <v>1.038528903</v>
      </c>
      <c r="U380">
        <f ca="1">IF(AND(ISNUMBER($U$1044),$B$677=1),$U$1044,HLOOKUP(INDIRECT(ADDRESS(2,COLUMN())),OFFSET($BN$2,0,0,ROW()-1,60),ROW()-1,FALSE))</f>
        <v>1.078612653</v>
      </c>
      <c r="V380">
        <f ca="1">IF(AND(ISNUMBER($V$1044),$B$677=1),$V$1044,HLOOKUP(INDIRECT(ADDRESS(2,COLUMN())),OFFSET($BN$2,0,0,ROW()-1,60),ROW()-1,FALSE))</f>
        <v>1.0614753290000001</v>
      </c>
      <c r="W380">
        <f ca="1">IF(AND(ISNUMBER($W$1044),$B$677=1),$W$1044,HLOOKUP(INDIRECT(ADDRESS(2,COLUMN())),OFFSET($BN$2,0,0,ROW()-1,60),ROW()-1,FALSE))</f>
        <v>1.08581416</v>
      </c>
      <c r="X380">
        <f ca="1">IF(AND(ISNUMBER($X$1044),$B$677=1),$X$1044,HLOOKUP(INDIRECT(ADDRESS(2,COLUMN())),OFFSET($BN$2,0,0,ROW()-1,60),ROW()-1,FALSE))</f>
        <v>1.117215689</v>
      </c>
      <c r="Y380">
        <f ca="1">IF(AND(ISNUMBER($Y$1044),$B$677=1),$Y$1044,HLOOKUP(INDIRECT(ADDRESS(2,COLUMN())),OFFSET($BN$2,0,0,ROW()-1,60),ROW()-1,FALSE))</f>
        <v>1.116994016</v>
      </c>
      <c r="Z380">
        <f ca="1">IF(AND(ISNUMBER($Z$1044),$B$677=1),$Z$1044,HLOOKUP(INDIRECT(ADDRESS(2,COLUMN())),OFFSET($BN$2,0,0,ROW()-1,60),ROW()-1,FALSE))</f>
        <v>1.2210253630000001</v>
      </c>
      <c r="AA380">
        <f ca="1">IF(AND(ISNUMBER($AA$1044),$B$677=1),$AA$1044,HLOOKUP(INDIRECT(ADDRESS(2,COLUMN())),OFFSET($BN$2,0,0,ROW()-1,60),ROW()-1,FALSE))</f>
        <v>1.1996537270000001</v>
      </c>
      <c r="AB380">
        <f ca="1">IF(AND(ISNUMBER($AB$1044),$B$677=1),$AB$1044,HLOOKUP(INDIRECT(ADDRESS(2,COLUMN())),OFFSET($BN$2,0,0,ROW()-1,60),ROW()-1,FALSE))</f>
        <v>1.1648233889999999</v>
      </c>
      <c r="AC380">
        <f ca="1">IF(AND(ISNUMBER($AC$1044),$B$677=1),$AC$1044,HLOOKUP(INDIRECT(ADDRESS(2,COLUMN())),OFFSET($BN$2,0,0,ROW()-1,60),ROW()-1,FALSE))</f>
        <v>1.17918542</v>
      </c>
      <c r="AD380">
        <f ca="1">IF(AND(ISNUMBER($AD$1044),$B$677=1),$AD$1044,HLOOKUP(INDIRECT(ADDRESS(2,COLUMN())),OFFSET($BN$2,0,0,ROW()-1,60),ROW()-1,FALSE))</f>
        <v>1.215865193</v>
      </c>
      <c r="AE380">
        <f ca="1">IF(AND(ISNUMBER($AE$1044),$B$677=1),$AE$1044,HLOOKUP(INDIRECT(ADDRESS(2,COLUMN())),OFFSET($BN$2,0,0,ROW()-1,60),ROW()-1,FALSE))</f>
        <v>1.295560982</v>
      </c>
      <c r="AF380">
        <f ca="1">IF(AND(ISNUMBER($AF$1044),$B$677=1),$AF$1044,HLOOKUP(INDIRECT(ADDRESS(2,COLUMN())),OFFSET($BN$2,0,0,ROW()-1,60),ROW()-1,FALSE))</f>
        <v>1.328545892</v>
      </c>
      <c r="AG380">
        <f ca="1">IF(AND(ISNUMBER($AG$1044),$B$677=1),$AG$1044,HLOOKUP(INDIRECT(ADDRESS(2,COLUMN())),OFFSET($BN$2,0,0,ROW()-1,60),ROW()-1,FALSE))</f>
        <v>1.288357719</v>
      </c>
      <c r="AH380">
        <f ca="1">IF(AND(ISNUMBER($AH$1044),$B$677=1),$AH$1044,HLOOKUP(INDIRECT(ADDRESS(2,COLUMN())),OFFSET($BN$2,0,0,ROW()-1,60),ROW()-1,FALSE))</f>
        <v>1.377254516</v>
      </c>
      <c r="AI380">
        <f ca="1">IF(AND(ISNUMBER($AI$1044),$B$677=1),$AI$1044,HLOOKUP(INDIRECT(ADDRESS(2,COLUMN())),OFFSET($BN$2,0,0,ROW()-1,60),ROW()-1,FALSE))</f>
        <v>1.3043079639999999</v>
      </c>
      <c r="AJ380">
        <f ca="1">IF(AND(ISNUMBER($AJ$1044),$B$677=1),$AJ$1044,HLOOKUP(INDIRECT(ADDRESS(2,COLUMN())),OFFSET($BN$2,0,0,ROW()-1,60),ROW()-1,FALSE))</f>
        <v>1.1985933870000001</v>
      </c>
      <c r="AK380">
        <f ca="1">IF(AND(ISNUMBER($AK$1044),$B$677=1),$AK$1044,HLOOKUP(INDIRECT(ADDRESS(2,COLUMN())),OFFSET($BN$2,0,0,ROW()-1,60),ROW()-1,FALSE))</f>
        <v>0.93549578499999997</v>
      </c>
      <c r="AL380">
        <f ca="1">IF(AND(ISNUMBER($AL$1044),$B$677=1),$AL$1044,HLOOKUP(INDIRECT(ADDRESS(2,COLUMN())),OFFSET($BN$2,0,0,ROW()-1,60),ROW()-1,FALSE))</f>
        <v>0.88820997499999998</v>
      </c>
      <c r="AM380">
        <f ca="1">IF(AND(ISNUMBER($AM$1044),$B$677=1),$AM$1044,HLOOKUP(INDIRECT(ADDRESS(2,COLUMN())),OFFSET($BN$2,0,0,ROW()-1,60),ROW()-1,FALSE))</f>
        <v>1.0468239560000001</v>
      </c>
      <c r="AN380">
        <f ca="1">IF(AND(ISNUMBER($AN$1044),$B$677=1),$AN$1044,HLOOKUP(INDIRECT(ADDRESS(2,COLUMN())),OFFSET($BN$2,0,0,ROW()-1,60),ROW()-1,FALSE))</f>
        <v>0.976551277</v>
      </c>
      <c r="AO380">
        <f ca="1">IF(AND(ISNUMBER($AO$1044),$B$677=1),$AO$1044,HLOOKUP(INDIRECT(ADDRESS(2,COLUMN())),OFFSET($BN$2,0,0,ROW()-1,60),ROW()-1,FALSE))</f>
        <v>1.0054188529999999</v>
      </c>
      <c r="AP380">
        <f ca="1">IF(AND(ISNUMBER($AP$1044),$B$677=1),$AP$1044,HLOOKUP(INDIRECT(ADDRESS(2,COLUMN())),OFFSET($BN$2,0,0,ROW()-1,60),ROW()-1,FALSE))</f>
        <v>1.0061885269999999</v>
      </c>
      <c r="AQ380">
        <f ca="1">IF(AND(ISNUMBER($AQ$1044),$B$677=1),$AQ$1044,HLOOKUP(INDIRECT(ADDRESS(2,COLUMN())),OFFSET($BN$2,0,0,ROW()-1,60),ROW()-1,FALSE))</f>
        <v>1.004810403</v>
      </c>
      <c r="AR380">
        <f ca="1">IF(AND(ISNUMBER($AR$1044),$B$677=1),$AR$1044,HLOOKUP(INDIRECT(ADDRESS(2,COLUMN())),OFFSET($BN$2,0,0,ROW()-1,60),ROW()-1,FALSE))</f>
        <v>1.118431247</v>
      </c>
      <c r="AS380">
        <f ca="1">IF(AND(ISNUMBER($AS$1044),$B$677=1),$AS$1044,HLOOKUP(INDIRECT(ADDRESS(2,COLUMN())),OFFSET($BN$2,0,0,ROW()-1,60),ROW()-1,FALSE))</f>
        <v>1.0674381129999999</v>
      </c>
      <c r="AT380">
        <f ca="1">IF(AND(ISNUMBER($AT$1044),$B$677=1),$AT$1044,HLOOKUP(INDIRECT(ADDRESS(2,COLUMN())),OFFSET($BN$2,0,0,ROW()-1,60),ROW()-1,FALSE))</f>
        <v>1.1157682769999999</v>
      </c>
      <c r="AU380" t="str">
        <f ca="1">IF(AND(ISNUMBER($AU$1044),$B$677=1),$AU$1044,HLOOKUP(INDIRECT(ADDRESS(2,COLUMN())),OFFSET($BN$2,0,0,ROW()-1,60),ROW()-1,FALSE))</f>
        <v/>
      </c>
      <c r="AV380">
        <f ca="1">IF(AND(ISNUMBER($AV$1044),$B$677=1),$AV$1044,HLOOKUP(INDIRECT(ADDRESS(2,COLUMN())),OFFSET($BN$2,0,0,ROW()-1,60),ROW()-1,FALSE))</f>
        <v>1.1894001780000001</v>
      </c>
      <c r="AW380">
        <f ca="1">IF(AND(ISNUMBER($AW$1044),$B$677=1),$AW$1044,HLOOKUP(INDIRECT(ADDRESS(2,COLUMN())),OFFSET($BN$2,0,0,ROW()-1,60),ROW()-1,FALSE))</f>
        <v>1.0935470549999999</v>
      </c>
      <c r="AX380">
        <f ca="1">IF(AND(ISNUMBER($AX$1044),$B$677=1),$AX$1044,HLOOKUP(INDIRECT(ADDRESS(2,COLUMN())),OFFSET($BN$2,0,0,ROW()-1,60),ROW()-1,FALSE))</f>
        <v>1.1119196689999999</v>
      </c>
      <c r="AY380">
        <f ca="1">IF(AND(ISNUMBER($AY$1044),$B$677=1),$AY$1044,HLOOKUP(INDIRECT(ADDRESS(2,COLUMN())),OFFSET($BN$2,0,0,ROW()-1,60),ROW()-1,FALSE))</f>
        <v>1.019702434</v>
      </c>
      <c r="AZ380">
        <f ca="1">IF(AND(ISNUMBER($AZ$1044),$B$677=1),$AZ$1044,HLOOKUP(INDIRECT(ADDRESS(2,COLUMN())),OFFSET($BN$2,0,0,ROW()-1,60),ROW()-1,FALSE))</f>
        <v>1.050170093</v>
      </c>
      <c r="BA380">
        <f ca="1">IF(AND(ISNUMBER($BA$1044),$B$677=1),$BA$1044,HLOOKUP(INDIRECT(ADDRESS(2,COLUMN())),OFFSET($BN$2,0,0,ROW()-1,60),ROW()-1,FALSE))</f>
        <v>1.069756299</v>
      </c>
      <c r="BB380">
        <f ca="1">IF(AND(ISNUMBER($BB$1044),$B$677=1),$BB$1044,HLOOKUP(INDIRECT(ADDRESS(2,COLUMN())),OFFSET($BN$2,0,0,ROW()-1,60),ROW()-1,FALSE))</f>
        <v>1.157317997</v>
      </c>
      <c r="BC380">
        <f ca="1">IF(AND(ISNUMBER($BC$1044),$B$677=1),$BC$1044,HLOOKUP(INDIRECT(ADDRESS(2,COLUMN())),OFFSET($BN$2,0,0,ROW()-1,60),ROW()-1,FALSE))</f>
        <v>1.153833213</v>
      </c>
      <c r="BD380">
        <f ca="1">IF(AND(ISNUMBER($BD$1044),$B$677=1),$BD$1044,HLOOKUP(INDIRECT(ADDRESS(2,COLUMN())),OFFSET($BN$2,0,0,ROW()-1,60),ROW()-1,FALSE))</f>
        <v>1.3985623789999999</v>
      </c>
      <c r="BE380">
        <f ca="1">IF(AND(ISNUMBER($BE$1044),$B$677=1),$BE$1044,HLOOKUP(INDIRECT(ADDRESS(2,COLUMN())),OFFSET($BN$2,0,0,ROW()-1,60),ROW()-1,FALSE))</f>
        <v>1.265375022</v>
      </c>
      <c r="BF380">
        <f ca="1">IF(AND(ISNUMBER($BF$1044),$B$677=1),$BF$1044,HLOOKUP(INDIRECT(ADDRESS(2,COLUMN())),OFFSET($BN$2,0,0,ROW()-1,60),ROW()-1,FALSE))</f>
        <v>1.2309990559999999</v>
      </c>
      <c r="BG380">
        <f ca="1">IF(AND(ISNUMBER($BG$1044),$B$677=1),$BG$1044,HLOOKUP(INDIRECT(ADDRESS(2,COLUMN())),OFFSET($BN$2,0,0,ROW()-1,60),ROW()-1,FALSE))</f>
        <v>1.212572443</v>
      </c>
      <c r="BH380">
        <f ca="1">IF(AND(ISNUMBER($BH$1044),$B$677=1),$BH$1044,HLOOKUP(INDIRECT(ADDRESS(2,COLUMN())),OFFSET($BN$2,0,0,ROW()-1,60),ROW()-1,FALSE))</f>
        <v>1.1390030090000001</v>
      </c>
      <c r="BI380">
        <f ca="1">IF(AND(ISNUMBER($BI$1044),$B$677=1),$BI$1044,HLOOKUP(INDIRECT(ADDRESS(2,COLUMN())),OFFSET($BN$2,0,0,ROW()-1,60),ROW()-1,FALSE))</f>
        <v>0.98053367800000002</v>
      </c>
      <c r="BJ380">
        <f ca="1">IF(AND(ISNUMBER($BJ$1044),$B$677=1),$BJ$1044,HLOOKUP(INDIRECT(ADDRESS(2,COLUMN())),OFFSET($BN$2,0,0,ROW()-1,60),ROW()-1,FALSE))</f>
        <v>0.77362665600000002</v>
      </c>
      <c r="BK380">
        <f ca="1">IF(AND(ISNUMBER($BK$1044),$B$677=1),$BK$1044,HLOOKUP(INDIRECT(ADDRESS(2,COLUMN())),OFFSET($BN$2,0,0,ROW()-1,60),ROW()-1,FALSE))</f>
        <v>0.78778230000000005</v>
      </c>
      <c r="BL380" t="str">
        <f ca="1">IF(AND(ISNUMBER($BL$1044),$B$677=1),$BL$1044,HLOOKUP(INDIRECT(ADDRESS(2,COLUMN())),OFFSET($BN$2,0,0,ROW()-1,60),ROW()-1,FALSE))</f>
        <v/>
      </c>
      <c r="BM380" t="str">
        <f ca="1">IF(AND(ISNUMBER($BM$1044),$B$677=1),$BM$1044,HLOOKUP(INDIRECT(ADDRESS(2,COLUMN())),OFFSET($BN$2,0,0,ROW()-1,60),ROW()-1,FALSE))</f>
        <v/>
      </c>
      <c r="BN380" t="str">
        <f>""</f>
        <v/>
      </c>
      <c r="BO380" t="str">
        <f>""</f>
        <v/>
      </c>
      <c r="BP380">
        <f>0.415402384</f>
        <v>0.41540238400000001</v>
      </c>
      <c r="BQ380">
        <f>0.891971949</f>
        <v>0.89197194899999999</v>
      </c>
      <c r="BR380">
        <f>0.870887351</f>
        <v>0.87088735100000003</v>
      </c>
      <c r="BS380">
        <f>0.901769149</f>
        <v>0.90176914900000005</v>
      </c>
      <c r="BT380">
        <f>0.901019075</f>
        <v>0.901019075</v>
      </c>
      <c r="BU380">
        <f>0.904912798</f>
        <v>0.90491279800000002</v>
      </c>
      <c r="BV380">
        <f>0.921318962</f>
        <v>0.92131896199999996</v>
      </c>
      <c r="BW380">
        <f>0.998433812</f>
        <v>0.99843381200000003</v>
      </c>
      <c r="BX380">
        <f>0.959356296</f>
        <v>0.95935629600000005</v>
      </c>
      <c r="BY380">
        <f>1.068806666</f>
        <v>1.068806666</v>
      </c>
      <c r="BZ380">
        <f>1.059068876</f>
        <v>1.059068876</v>
      </c>
      <c r="CA380">
        <f>1.041209099</f>
        <v>1.041209099</v>
      </c>
      <c r="CB380">
        <f>1.038528903</f>
        <v>1.038528903</v>
      </c>
      <c r="CC380">
        <f>1.078612653</f>
        <v>1.078612653</v>
      </c>
      <c r="CD380">
        <f>1.061475329</f>
        <v>1.0614753290000001</v>
      </c>
      <c r="CE380">
        <f>1.08581416</f>
        <v>1.08581416</v>
      </c>
      <c r="CF380">
        <f>1.117215689</f>
        <v>1.117215689</v>
      </c>
      <c r="CG380">
        <f>1.116994016</f>
        <v>1.116994016</v>
      </c>
      <c r="CH380">
        <f>1.221025363</f>
        <v>1.2210253630000001</v>
      </c>
      <c r="CI380">
        <f>1.199653727</f>
        <v>1.1996537270000001</v>
      </c>
      <c r="CJ380">
        <f>1.164823389</f>
        <v>1.1648233889999999</v>
      </c>
      <c r="CK380">
        <f>1.17918542</f>
        <v>1.17918542</v>
      </c>
      <c r="CL380">
        <f>1.215865193</f>
        <v>1.215865193</v>
      </c>
      <c r="CM380">
        <f>1.295560982</f>
        <v>1.295560982</v>
      </c>
      <c r="CN380">
        <f>1.328545892</f>
        <v>1.328545892</v>
      </c>
      <c r="CO380">
        <f>1.288357719</f>
        <v>1.288357719</v>
      </c>
      <c r="CP380">
        <f>1.377254516</f>
        <v>1.377254516</v>
      </c>
      <c r="CQ380">
        <f>1.304307964</f>
        <v>1.3043079639999999</v>
      </c>
      <c r="CR380">
        <f>1.198593387</f>
        <v>1.1985933870000001</v>
      </c>
      <c r="CS380">
        <f>0.935495785</f>
        <v>0.93549578499999997</v>
      </c>
      <c r="CT380">
        <f>0.888209975</f>
        <v>0.88820997499999998</v>
      </c>
      <c r="CU380">
        <f>1.046823956</f>
        <v>1.0468239560000001</v>
      </c>
      <c r="CV380">
        <f>0.976551277</f>
        <v>0.976551277</v>
      </c>
      <c r="CW380">
        <f>1.005418853</f>
        <v>1.0054188529999999</v>
      </c>
      <c r="CX380">
        <f>1.006188527</f>
        <v>1.0061885269999999</v>
      </c>
      <c r="CY380">
        <f>1.004810403</f>
        <v>1.004810403</v>
      </c>
      <c r="CZ380">
        <f>1.118431247</f>
        <v>1.118431247</v>
      </c>
      <c r="DA380">
        <f>1.067438113</f>
        <v>1.0674381129999999</v>
      </c>
      <c r="DB380">
        <f>1.115768277</f>
        <v>1.1157682769999999</v>
      </c>
      <c r="DC380" t="str">
        <f>""</f>
        <v/>
      </c>
      <c r="DD380">
        <f>1.189400178</f>
        <v>1.1894001780000001</v>
      </c>
      <c r="DE380">
        <f>1.093547055</f>
        <v>1.0935470549999999</v>
      </c>
      <c r="DF380">
        <f>1.111919669</f>
        <v>1.1119196689999999</v>
      </c>
      <c r="DG380">
        <f>1.019702434</f>
        <v>1.019702434</v>
      </c>
      <c r="DH380">
        <f>1.050170093</f>
        <v>1.050170093</v>
      </c>
      <c r="DI380">
        <f>1.069756299</f>
        <v>1.069756299</v>
      </c>
      <c r="DJ380">
        <f>1.157317997</f>
        <v>1.157317997</v>
      </c>
      <c r="DK380">
        <f>1.153833213</f>
        <v>1.153833213</v>
      </c>
      <c r="DL380">
        <f>1.398562379</f>
        <v>1.3985623789999999</v>
      </c>
      <c r="DM380">
        <f>1.265375022</f>
        <v>1.265375022</v>
      </c>
      <c r="DN380">
        <f>1.230999056</f>
        <v>1.2309990559999999</v>
      </c>
      <c r="DO380">
        <f>1.212572443</f>
        <v>1.212572443</v>
      </c>
      <c r="DP380">
        <f>1.139003009</f>
        <v>1.1390030090000001</v>
      </c>
      <c r="DQ380">
        <f>0.980533678</f>
        <v>0.98053367800000002</v>
      </c>
      <c r="DR380">
        <f>0.773626656</f>
        <v>0.77362665600000002</v>
      </c>
      <c r="DS380">
        <f>0.7877823</f>
        <v>0.78778230000000005</v>
      </c>
      <c r="DT380" t="str">
        <f>""</f>
        <v/>
      </c>
      <c r="DU380" t="str">
        <f>""</f>
        <v/>
      </c>
    </row>
    <row r="381" spans="1:125" x14ac:dyDescent="0.25">
      <c r="A381" t="str">
        <f>"    Daihatsu Motor Co Ltd"</f>
        <v xml:space="preserve">    Daihatsu Motor Co Ltd</v>
      </c>
      <c r="B381" t="str">
        <f>"7262 JP Equity"</f>
        <v>7262 JP Equity</v>
      </c>
      <c r="C381" t="str">
        <f t="shared" si="27"/>
        <v>RR480</v>
      </c>
      <c r="D381" t="str">
        <f t="shared" si="28"/>
        <v>EV_TO_MKT_CAP</v>
      </c>
      <c r="E381" t="str">
        <f t="shared" si="29"/>
        <v>Dynamic</v>
      </c>
      <c r="F381" t="str">
        <f ca="1">IF(AND(ISNUMBER($F$1045),$B$677=1),$F$1045,HLOOKUP(INDIRECT(ADDRESS(2,COLUMN())),OFFSET($BN$2,0,0,ROW()-1,60),ROW()-1,FALSE))</f>
        <v/>
      </c>
      <c r="G381" t="str">
        <f ca="1">IF(AND(ISNUMBER($G$1045),$B$677=1),$G$1045,HLOOKUP(INDIRECT(ADDRESS(2,COLUMN())),OFFSET($BN$2,0,0,ROW()-1,60),ROW()-1,FALSE))</f>
        <v/>
      </c>
      <c r="H381" t="str">
        <f ca="1">IF(AND(ISNUMBER($H$1045),$B$677=1),$H$1045,HLOOKUP(INDIRECT(ADDRESS(2,COLUMN())),OFFSET($BN$2,0,0,ROW()-1,60),ROW()-1,FALSE))</f>
        <v/>
      </c>
      <c r="I381" t="str">
        <f ca="1">IF(AND(ISNUMBER($I$1045),$B$677=1),$I$1045,HLOOKUP(INDIRECT(ADDRESS(2,COLUMN())),OFFSET($BN$2,0,0,ROW()-1,60),ROW()-1,FALSE))</f>
        <v/>
      </c>
      <c r="J381" t="str">
        <f ca="1">IF(AND(ISNUMBER($J$1045),$B$677=1),$J$1045,HLOOKUP(INDIRECT(ADDRESS(2,COLUMN())),OFFSET($BN$2,0,0,ROW()-1,60),ROW()-1,FALSE))</f>
        <v/>
      </c>
      <c r="K381" t="str">
        <f ca="1">IF(AND(ISNUMBER($K$1045),$B$677=1),$K$1045,HLOOKUP(INDIRECT(ADDRESS(2,COLUMN())),OFFSET($BN$2,0,0,ROW()-1,60),ROW()-1,FALSE))</f>
        <v/>
      </c>
      <c r="L381" t="str">
        <f ca="1">IF(AND(ISNUMBER($L$1045),$B$677=1),$L$1045,HLOOKUP(INDIRECT(ADDRESS(2,COLUMN())),OFFSET($BN$2,0,0,ROW()-1,60),ROW()-1,FALSE))</f>
        <v/>
      </c>
      <c r="M381" t="str">
        <f ca="1">IF(AND(ISNUMBER($M$1045),$B$677=1),$M$1045,HLOOKUP(INDIRECT(ADDRESS(2,COLUMN())),OFFSET($BN$2,0,0,ROW()-1,60),ROW()-1,FALSE))</f>
        <v/>
      </c>
      <c r="N381" t="str">
        <f ca="1">IF(AND(ISNUMBER($N$1045),$B$677=1),$N$1045,HLOOKUP(INDIRECT(ADDRESS(2,COLUMN())),OFFSET($BN$2,0,0,ROW()-1,60),ROW()-1,FALSE))</f>
        <v/>
      </c>
      <c r="O381" t="str">
        <f ca="1">IF(AND(ISNUMBER($O$1045),$B$677=1),$O$1045,HLOOKUP(INDIRECT(ADDRESS(2,COLUMN())),OFFSET($BN$2,0,0,ROW()-1,60),ROW()-1,FALSE))</f>
        <v/>
      </c>
      <c r="P381" t="str">
        <f ca="1">IF(AND(ISNUMBER($P$1045),$B$677=1),$P$1045,HLOOKUP(INDIRECT(ADDRESS(2,COLUMN())),OFFSET($BN$2,0,0,ROW()-1,60),ROW()-1,FALSE))</f>
        <v/>
      </c>
      <c r="Q381" t="str">
        <f ca="1">IF(AND(ISNUMBER($Q$1045),$B$677=1),$Q$1045,HLOOKUP(INDIRECT(ADDRESS(2,COLUMN())),OFFSET($BN$2,0,0,ROW()-1,60),ROW()-1,FALSE))</f>
        <v/>
      </c>
      <c r="R381">
        <f ca="1">IF(AND(ISNUMBER($R$1045),$B$677=1),$R$1045,HLOOKUP(INDIRECT(ADDRESS(2,COLUMN())),OFFSET($BN$2,0,0,ROW()-1,60),ROW()-1,FALSE))</f>
        <v>1.299993843</v>
      </c>
      <c r="S381">
        <f ca="1">IF(AND(ISNUMBER($S$1045),$B$677=1),$S$1045,HLOOKUP(INDIRECT(ADDRESS(2,COLUMN())),OFFSET($BN$2,0,0,ROW()-1,60),ROW()-1,FALSE))</f>
        <v>1.2836284339999999</v>
      </c>
      <c r="T381">
        <f ca="1">IF(AND(ISNUMBER($T$1045),$B$677=1),$T$1045,HLOOKUP(INDIRECT(ADDRESS(2,COLUMN())),OFFSET($BN$2,0,0,ROW()-1,60),ROW()-1,FALSE))</f>
        <v>1.365157255</v>
      </c>
      <c r="U381">
        <f ca="1">IF(AND(ISNUMBER($U$1045),$B$677=1),$U$1045,HLOOKUP(INDIRECT(ADDRESS(2,COLUMN())),OFFSET($BN$2,0,0,ROW()-1,60),ROW()-1,FALSE))</f>
        <v>1.2953275019999999</v>
      </c>
      <c r="V381">
        <f ca="1">IF(AND(ISNUMBER($V$1045),$B$677=1),$V$1045,HLOOKUP(INDIRECT(ADDRESS(2,COLUMN())),OFFSET($BN$2,0,0,ROW()-1,60),ROW()-1,FALSE))</f>
        <v>1.240795358</v>
      </c>
      <c r="W381">
        <f ca="1">IF(AND(ISNUMBER($W$1045),$B$677=1),$W$1045,HLOOKUP(INDIRECT(ADDRESS(2,COLUMN())),OFFSET($BN$2,0,0,ROW()-1,60),ROW()-1,FALSE))</f>
        <v>1.254421684</v>
      </c>
      <c r="X381">
        <f ca="1">IF(AND(ISNUMBER($X$1045),$B$677=1),$X$1045,HLOOKUP(INDIRECT(ADDRESS(2,COLUMN())),OFFSET($BN$2,0,0,ROW()-1,60),ROW()-1,FALSE))</f>
        <v>1.2403200839999999</v>
      </c>
      <c r="Y381">
        <f ca="1">IF(AND(ISNUMBER($Y$1045),$B$677=1),$Y$1045,HLOOKUP(INDIRECT(ADDRESS(2,COLUMN())),OFFSET($BN$2,0,0,ROW()-1,60),ROW()-1,FALSE))</f>
        <v>1.224663077</v>
      </c>
      <c r="Z381">
        <f ca="1">IF(AND(ISNUMBER($Z$1045),$B$677=1),$Z$1045,HLOOKUP(INDIRECT(ADDRESS(2,COLUMN())),OFFSET($BN$2,0,0,ROW()-1,60),ROW()-1,FALSE))</f>
        <v>1.1787087999999999</v>
      </c>
      <c r="AA381">
        <f ca="1">IF(AND(ISNUMBER($AA$1045),$B$677=1),$AA$1045,HLOOKUP(INDIRECT(ADDRESS(2,COLUMN())),OFFSET($BN$2,0,0,ROW()-1,60),ROW()-1,FALSE))</f>
        <v>1.178922786</v>
      </c>
      <c r="AB381">
        <f ca="1">IF(AND(ISNUMBER($AB$1045),$B$677=1),$AB$1045,HLOOKUP(INDIRECT(ADDRESS(2,COLUMN())),OFFSET($BN$2,0,0,ROW()-1,60),ROW()-1,FALSE))</f>
        <v>1.179936026</v>
      </c>
      <c r="AC381">
        <f ca="1">IF(AND(ISNUMBER($AC$1045),$B$677=1),$AC$1045,HLOOKUP(INDIRECT(ADDRESS(2,COLUMN())),OFFSET($BN$2,0,0,ROW()-1,60),ROW()-1,FALSE))</f>
        <v>1.185838682</v>
      </c>
      <c r="AD381">
        <f ca="1">IF(AND(ISNUMBER($AD$1045),$B$677=1),$AD$1045,HLOOKUP(INDIRECT(ADDRESS(2,COLUMN())),OFFSET($BN$2,0,0,ROW()-1,60),ROW()-1,FALSE))</f>
        <v>1.1678935619999999</v>
      </c>
      <c r="AE381">
        <f ca="1">IF(AND(ISNUMBER($AE$1045),$B$677=1),$AE$1045,HLOOKUP(INDIRECT(ADDRESS(2,COLUMN())),OFFSET($BN$2,0,0,ROW()-1,60),ROW()-1,FALSE))</f>
        <v>1.2045978470000001</v>
      </c>
      <c r="AF381">
        <f ca="1">IF(AND(ISNUMBER($AF$1045),$B$677=1),$AF$1045,HLOOKUP(INDIRECT(ADDRESS(2,COLUMN())),OFFSET($BN$2,0,0,ROW()-1,60),ROW()-1,FALSE))</f>
        <v>1.2713988949999999</v>
      </c>
      <c r="AG381">
        <f ca="1">IF(AND(ISNUMBER($AG$1045),$B$677=1),$AG$1045,HLOOKUP(INDIRECT(ADDRESS(2,COLUMN())),OFFSET($BN$2,0,0,ROW()-1,60),ROW()-1,FALSE))</f>
        <v>1.246262558</v>
      </c>
      <c r="AH381">
        <f ca="1">IF(AND(ISNUMBER($AH$1045),$B$677=1),$AH$1045,HLOOKUP(INDIRECT(ADDRESS(2,COLUMN())),OFFSET($BN$2,0,0,ROW()-1,60),ROW()-1,FALSE))</f>
        <v>1.2227143789999999</v>
      </c>
      <c r="AI381">
        <f ca="1">IF(AND(ISNUMBER($AI$1045),$B$677=1),$AI$1045,HLOOKUP(INDIRECT(ADDRESS(2,COLUMN())),OFFSET($BN$2,0,0,ROW()-1,60),ROW()-1,FALSE))</f>
        <v>1.2273800989999999</v>
      </c>
      <c r="AJ381">
        <f ca="1">IF(AND(ISNUMBER($AJ$1045),$B$677=1),$AJ$1045,HLOOKUP(INDIRECT(ADDRESS(2,COLUMN())),OFFSET($BN$2,0,0,ROW()-1,60),ROW()-1,FALSE))</f>
        <v>1.24535087</v>
      </c>
      <c r="AK381">
        <f ca="1">IF(AND(ISNUMBER($AK$1045),$B$677=1),$AK$1045,HLOOKUP(INDIRECT(ADDRESS(2,COLUMN())),OFFSET($BN$2,0,0,ROW()-1,60),ROW()-1,FALSE))</f>
        <v>1.245194379</v>
      </c>
      <c r="AL381">
        <f ca="1">IF(AND(ISNUMBER($AL$1045),$B$677=1),$AL$1045,HLOOKUP(INDIRECT(ADDRESS(2,COLUMN())),OFFSET($BN$2,0,0,ROW()-1,60),ROW()-1,FALSE))</f>
        <v>1.3060908040000001</v>
      </c>
      <c r="AM381">
        <f ca="1">IF(AND(ISNUMBER($AM$1045),$B$677=1),$AM$1045,HLOOKUP(INDIRECT(ADDRESS(2,COLUMN())),OFFSET($BN$2,0,0,ROW()-1,60),ROW()-1,FALSE))</f>
        <v>1.28837563</v>
      </c>
      <c r="AN381">
        <f ca="1">IF(AND(ISNUMBER($AN$1045),$B$677=1),$AN$1045,HLOOKUP(INDIRECT(ADDRESS(2,COLUMN())),OFFSET($BN$2,0,0,ROW()-1,60),ROW()-1,FALSE))</f>
        <v>1.342143404</v>
      </c>
      <c r="AO381">
        <f ca="1">IF(AND(ISNUMBER($AO$1045),$B$677=1),$AO$1045,HLOOKUP(INDIRECT(ADDRESS(2,COLUMN())),OFFSET($BN$2,0,0,ROW()-1,60),ROW()-1,FALSE))</f>
        <v>1.48226061</v>
      </c>
      <c r="AP381">
        <f ca="1">IF(AND(ISNUMBER($AP$1045),$B$677=1),$AP$1045,HLOOKUP(INDIRECT(ADDRESS(2,COLUMN())),OFFSET($BN$2,0,0,ROW()-1,60),ROW()-1,FALSE))</f>
        <v>1.544073606</v>
      </c>
      <c r="AQ381">
        <f ca="1">IF(AND(ISNUMBER($AQ$1045),$B$677=1),$AQ$1045,HLOOKUP(INDIRECT(ADDRESS(2,COLUMN())),OFFSET($BN$2,0,0,ROW()-1,60),ROW()-1,FALSE))</f>
        <v>1.4718981259999999</v>
      </c>
      <c r="AR381">
        <f ca="1">IF(AND(ISNUMBER($AR$1045),$B$677=1),$AR$1045,HLOOKUP(INDIRECT(ADDRESS(2,COLUMN())),OFFSET($BN$2,0,0,ROW()-1,60),ROW()-1,FALSE))</f>
        <v>1.538955171</v>
      </c>
      <c r="AS381">
        <f ca="1">IF(AND(ISNUMBER($AS$1045),$B$677=1),$AS$1045,HLOOKUP(INDIRECT(ADDRESS(2,COLUMN())),OFFSET($BN$2,0,0,ROW()-1,60),ROW()-1,FALSE))</f>
        <v>1.5526605309999999</v>
      </c>
      <c r="AT381">
        <f ca="1">IF(AND(ISNUMBER($AT$1045),$B$677=1),$AT$1045,HLOOKUP(INDIRECT(ADDRESS(2,COLUMN())),OFFSET($BN$2,0,0,ROW()-1,60),ROW()-1,FALSE))</f>
        <v>1.694333766</v>
      </c>
      <c r="AU381">
        <f ca="1">IF(AND(ISNUMBER($AU$1045),$B$677=1),$AU$1045,HLOOKUP(INDIRECT(ADDRESS(2,COLUMN())),OFFSET($BN$2,0,0,ROW()-1,60),ROW()-1,FALSE))</f>
        <v>1.532299055</v>
      </c>
      <c r="AV381">
        <f ca="1">IF(AND(ISNUMBER($AV$1045),$B$677=1),$AV$1045,HLOOKUP(INDIRECT(ADDRESS(2,COLUMN())),OFFSET($BN$2,0,0,ROW()-1,60),ROW()-1,FALSE))</f>
        <v>1.4038268810000001</v>
      </c>
      <c r="AW381">
        <f ca="1">IF(AND(ISNUMBER($AW$1045),$B$677=1),$AW$1045,HLOOKUP(INDIRECT(ADDRESS(2,COLUMN())),OFFSET($BN$2,0,0,ROW()-1,60),ROW()-1,FALSE))</f>
        <v>1.371845558</v>
      </c>
      <c r="AX381">
        <f ca="1">IF(AND(ISNUMBER($AX$1045),$B$677=1),$AX$1045,HLOOKUP(INDIRECT(ADDRESS(2,COLUMN())),OFFSET($BN$2,0,0,ROW()-1,60),ROW()-1,FALSE))</f>
        <v>1.397128441</v>
      </c>
      <c r="AY381">
        <f ca="1">IF(AND(ISNUMBER($AY$1045),$B$677=1),$AY$1045,HLOOKUP(INDIRECT(ADDRESS(2,COLUMN())),OFFSET($BN$2,0,0,ROW()-1,60),ROW()-1,FALSE))</f>
        <v>1.4384591769999999</v>
      </c>
      <c r="AZ381">
        <f ca="1">IF(AND(ISNUMBER($AZ$1045),$B$677=1),$AZ$1045,HLOOKUP(INDIRECT(ADDRESS(2,COLUMN())),OFFSET($BN$2,0,0,ROW()-1,60),ROW()-1,FALSE))</f>
        <v>1.3937807250000001</v>
      </c>
      <c r="BA381">
        <f ca="1">IF(AND(ISNUMBER($BA$1045),$B$677=1),$BA$1045,HLOOKUP(INDIRECT(ADDRESS(2,COLUMN())),OFFSET($BN$2,0,0,ROW()-1,60),ROW()-1,FALSE))</f>
        <v>1.4024671</v>
      </c>
      <c r="BB381">
        <f ca="1">IF(AND(ISNUMBER($BB$1045),$B$677=1),$BB$1045,HLOOKUP(INDIRECT(ADDRESS(2,COLUMN())),OFFSET($BN$2,0,0,ROW()-1,60),ROW()-1,FALSE))</f>
        <v>1.3698151270000001</v>
      </c>
      <c r="BC381">
        <f ca="1">IF(AND(ISNUMBER($BC$1045),$B$677=1),$BC$1045,HLOOKUP(INDIRECT(ADDRESS(2,COLUMN())),OFFSET($BN$2,0,0,ROW()-1,60),ROW()-1,FALSE))</f>
        <v>1.3283452790000001</v>
      </c>
      <c r="BD381">
        <f ca="1">IF(AND(ISNUMBER($BD$1045),$B$677=1),$BD$1045,HLOOKUP(INDIRECT(ADDRESS(2,COLUMN())),OFFSET($BN$2,0,0,ROW()-1,60),ROW()-1,FALSE))</f>
        <v>1.37761098</v>
      </c>
      <c r="BE381">
        <f ca="1">IF(AND(ISNUMBER($BE$1045),$B$677=1),$BE$1045,HLOOKUP(INDIRECT(ADDRESS(2,COLUMN())),OFFSET($BN$2,0,0,ROW()-1,60),ROW()-1,FALSE))</f>
        <v>1.2624262509999999</v>
      </c>
      <c r="BF381">
        <f ca="1">IF(AND(ISNUMBER($BF$1045),$B$677=1),$BF$1045,HLOOKUP(INDIRECT(ADDRESS(2,COLUMN())),OFFSET($BN$2,0,0,ROW()-1,60),ROW()-1,FALSE))</f>
        <v>1.335031023</v>
      </c>
      <c r="BG381">
        <f ca="1">IF(AND(ISNUMBER($BG$1045),$B$677=1),$BG$1045,HLOOKUP(INDIRECT(ADDRESS(2,COLUMN())),OFFSET($BN$2,0,0,ROW()-1,60),ROW()-1,FALSE))</f>
        <v>1.2933207529999999</v>
      </c>
      <c r="BH381">
        <f ca="1">IF(AND(ISNUMBER($BH$1045),$B$677=1),$BH$1045,HLOOKUP(INDIRECT(ADDRESS(2,COLUMN())),OFFSET($BN$2,0,0,ROW()-1,60),ROW()-1,FALSE))</f>
        <v>1.321595546</v>
      </c>
      <c r="BI381" t="str">
        <f ca="1">IF(AND(ISNUMBER($BI$1045),$B$677=1),$BI$1045,HLOOKUP(INDIRECT(ADDRESS(2,COLUMN())),OFFSET($BN$2,0,0,ROW()-1,60),ROW()-1,FALSE))</f>
        <v/>
      </c>
      <c r="BJ381">
        <f ca="1">IF(AND(ISNUMBER($BJ$1045),$B$677=1),$BJ$1045,HLOOKUP(INDIRECT(ADDRESS(2,COLUMN())),OFFSET($BN$2,0,0,ROW()-1,60),ROW()-1,FALSE))</f>
        <v>1.4416393780000001</v>
      </c>
      <c r="BK381" t="str">
        <f ca="1">IF(AND(ISNUMBER($BK$1045),$B$677=1),$BK$1045,HLOOKUP(INDIRECT(ADDRESS(2,COLUMN())),OFFSET($BN$2,0,0,ROW()-1,60),ROW()-1,FALSE))</f>
        <v/>
      </c>
      <c r="BL381">
        <f ca="1">IF(AND(ISNUMBER($BL$1045),$B$677=1),$BL$1045,HLOOKUP(INDIRECT(ADDRESS(2,COLUMN())),OFFSET($BN$2,0,0,ROW()-1,60),ROW()-1,FALSE))</f>
        <v>1.4074323660000001</v>
      </c>
      <c r="BM381" t="str">
        <f ca="1">IF(AND(ISNUMBER($BM$1045),$B$677=1),$BM$1045,HLOOKUP(INDIRECT(ADDRESS(2,COLUMN())),OFFSET($BN$2,0,0,ROW()-1,60),ROW()-1,FALSE))</f>
        <v/>
      </c>
      <c r="BN381" t="str">
        <f>""</f>
        <v/>
      </c>
      <c r="BO381" t="str">
        <f>""</f>
        <v/>
      </c>
      <c r="BP381" t="str">
        <f>""</f>
        <v/>
      </c>
      <c r="BQ381" t="str">
        <f>""</f>
        <v/>
      </c>
      <c r="BR381" t="str">
        <f>""</f>
        <v/>
      </c>
      <c r="BS381" t="str">
        <f>""</f>
        <v/>
      </c>
      <c r="BT381" t="str">
        <f>""</f>
        <v/>
      </c>
      <c r="BU381" t="str">
        <f>""</f>
        <v/>
      </c>
      <c r="BV381" t="str">
        <f>""</f>
        <v/>
      </c>
      <c r="BW381" t="str">
        <f>""</f>
        <v/>
      </c>
      <c r="BX381" t="str">
        <f>""</f>
        <v/>
      </c>
      <c r="BY381" t="str">
        <f>""</f>
        <v/>
      </c>
      <c r="BZ381">
        <f>1.299993843</f>
        <v>1.299993843</v>
      </c>
      <c r="CA381">
        <f>1.283628434</f>
        <v>1.2836284339999999</v>
      </c>
      <c r="CB381">
        <f>1.365157255</f>
        <v>1.365157255</v>
      </c>
      <c r="CC381">
        <f>1.295327502</f>
        <v>1.2953275019999999</v>
      </c>
      <c r="CD381">
        <f>1.240795358</f>
        <v>1.240795358</v>
      </c>
      <c r="CE381">
        <f>1.254421684</f>
        <v>1.254421684</v>
      </c>
      <c r="CF381">
        <f>1.240320084</f>
        <v>1.2403200839999999</v>
      </c>
      <c r="CG381">
        <f>1.224663077</f>
        <v>1.224663077</v>
      </c>
      <c r="CH381">
        <f>1.1787088</f>
        <v>1.1787087999999999</v>
      </c>
      <c r="CI381">
        <f>1.178922786</f>
        <v>1.178922786</v>
      </c>
      <c r="CJ381">
        <f>1.179936026</f>
        <v>1.179936026</v>
      </c>
      <c r="CK381">
        <f>1.185838682</f>
        <v>1.185838682</v>
      </c>
      <c r="CL381">
        <f>1.167893562</f>
        <v>1.1678935619999999</v>
      </c>
      <c r="CM381">
        <f>1.204597847</f>
        <v>1.2045978470000001</v>
      </c>
      <c r="CN381">
        <f>1.271398895</f>
        <v>1.2713988949999999</v>
      </c>
      <c r="CO381">
        <f>1.246262558</f>
        <v>1.246262558</v>
      </c>
      <c r="CP381">
        <f>1.222714379</f>
        <v>1.2227143789999999</v>
      </c>
      <c r="CQ381">
        <f>1.227380099</f>
        <v>1.2273800989999999</v>
      </c>
      <c r="CR381">
        <f>1.24535087</f>
        <v>1.24535087</v>
      </c>
      <c r="CS381">
        <f>1.245194379</f>
        <v>1.245194379</v>
      </c>
      <c r="CT381">
        <f>1.306090804</f>
        <v>1.3060908040000001</v>
      </c>
      <c r="CU381">
        <f>1.28837563</f>
        <v>1.28837563</v>
      </c>
      <c r="CV381">
        <f>1.342143404</f>
        <v>1.342143404</v>
      </c>
      <c r="CW381">
        <f>1.48226061</f>
        <v>1.48226061</v>
      </c>
      <c r="CX381">
        <f>1.544073606</f>
        <v>1.544073606</v>
      </c>
      <c r="CY381">
        <f>1.471898126</f>
        <v>1.4718981259999999</v>
      </c>
      <c r="CZ381">
        <f>1.538955171</f>
        <v>1.538955171</v>
      </c>
      <c r="DA381">
        <f>1.552660531</f>
        <v>1.5526605309999999</v>
      </c>
      <c r="DB381">
        <f>1.694333766</f>
        <v>1.694333766</v>
      </c>
      <c r="DC381">
        <f>1.532299055</f>
        <v>1.532299055</v>
      </c>
      <c r="DD381">
        <f>1.403826881</f>
        <v>1.4038268810000001</v>
      </c>
      <c r="DE381">
        <f>1.371845558</f>
        <v>1.371845558</v>
      </c>
      <c r="DF381">
        <f>1.397128441</f>
        <v>1.397128441</v>
      </c>
      <c r="DG381">
        <f>1.438459177</f>
        <v>1.4384591769999999</v>
      </c>
      <c r="DH381">
        <f>1.393780725</f>
        <v>1.3937807250000001</v>
      </c>
      <c r="DI381">
        <f>1.4024671</f>
        <v>1.4024671</v>
      </c>
      <c r="DJ381">
        <f>1.369815127</f>
        <v>1.3698151270000001</v>
      </c>
      <c r="DK381">
        <f>1.328345279</f>
        <v>1.3283452790000001</v>
      </c>
      <c r="DL381">
        <f>1.37761098</f>
        <v>1.37761098</v>
      </c>
      <c r="DM381">
        <f>1.262426251</f>
        <v>1.2624262509999999</v>
      </c>
      <c r="DN381">
        <f>1.335031023</f>
        <v>1.335031023</v>
      </c>
      <c r="DO381">
        <f>1.293320753</f>
        <v>1.2933207529999999</v>
      </c>
      <c r="DP381">
        <f>1.321595546</f>
        <v>1.321595546</v>
      </c>
      <c r="DQ381" t="str">
        <f>""</f>
        <v/>
      </c>
      <c r="DR381">
        <f>1.441639378</f>
        <v>1.4416393780000001</v>
      </c>
      <c r="DS381" t="str">
        <f>""</f>
        <v/>
      </c>
      <c r="DT381">
        <f>1.407432366</f>
        <v>1.4074323660000001</v>
      </c>
      <c r="DU381" t="str">
        <f>""</f>
        <v/>
      </c>
    </row>
    <row r="382" spans="1:125" x14ac:dyDescent="0.25">
      <c r="A382" t="str">
        <f>"    Daimler AG"</f>
        <v xml:space="preserve">    Daimler AG</v>
      </c>
      <c r="B382" t="str">
        <f>"DAI GR Equity"</f>
        <v>DAI GR Equity</v>
      </c>
      <c r="C382" t="str">
        <f t="shared" si="27"/>
        <v>RR480</v>
      </c>
      <c r="D382" t="str">
        <f t="shared" si="28"/>
        <v>EV_TO_MKT_CAP</v>
      </c>
      <c r="E382" t="str">
        <f t="shared" si="29"/>
        <v>Dynamic</v>
      </c>
      <c r="F382" t="str">
        <f ca="1">IF(AND(ISNUMBER($F$1046),$B$677=1),$F$1046,HLOOKUP(INDIRECT(ADDRESS(2,COLUMN())),OFFSET($BN$2,0,0,ROW()-1,60),ROW()-1,FALSE))</f>
        <v/>
      </c>
      <c r="G382">
        <f ca="1">IF(AND(ISNUMBER($G$1046),$B$677=1),$G$1046,HLOOKUP(INDIRECT(ADDRESS(2,COLUMN())),OFFSET($BN$2,0,0,ROW()-1,60),ROW()-1,FALSE))</f>
        <v>0.64658606699999999</v>
      </c>
      <c r="H382">
        <f ca="1">IF(AND(ISNUMBER($H$1046),$B$677=1),$H$1046,HLOOKUP(INDIRECT(ADDRESS(2,COLUMN())),OFFSET($BN$2,0,0,ROW()-1,60),ROW()-1,FALSE))</f>
        <v>0.72057036500000005</v>
      </c>
      <c r="I382">
        <f ca="1">IF(AND(ISNUMBER($I$1046),$B$677=1),$I$1046,HLOOKUP(INDIRECT(ADDRESS(2,COLUMN())),OFFSET($BN$2,0,0,ROW()-1,60),ROW()-1,FALSE))</f>
        <v>0.69902374199999995</v>
      </c>
      <c r="J382">
        <f ca="1">IF(AND(ISNUMBER($J$1046),$B$677=1),$J$1046,HLOOKUP(INDIRECT(ADDRESS(2,COLUMN())),OFFSET($BN$2,0,0,ROW()-1,60),ROW()-1,FALSE))</f>
        <v>0.71378395800000005</v>
      </c>
      <c r="K382">
        <f ca="1">IF(AND(ISNUMBER($K$1046),$B$677=1),$K$1046,HLOOKUP(INDIRECT(ADDRESS(2,COLUMN())),OFFSET($BN$2,0,0,ROW()-1,60),ROW()-1,FALSE))</f>
        <v>0.75155763200000003</v>
      </c>
      <c r="L382">
        <f ca="1">IF(AND(ISNUMBER($L$1046),$B$677=1),$L$1046,HLOOKUP(INDIRECT(ADDRESS(2,COLUMN())),OFFSET($BN$2,0,0,ROW()-1,60),ROW()-1,FALSE))</f>
        <v>0.65753905700000004</v>
      </c>
      <c r="M382">
        <f ca="1">IF(AND(ISNUMBER($M$1046),$B$677=1),$M$1046,HLOOKUP(INDIRECT(ADDRESS(2,COLUMN())),OFFSET($BN$2,0,0,ROW()-1,60),ROW()-1,FALSE))</f>
        <v>0.67117262300000002</v>
      </c>
      <c r="N382">
        <f ca="1">IF(AND(ISNUMBER($N$1046),$B$677=1),$N$1046,HLOOKUP(INDIRECT(ADDRESS(2,COLUMN())),OFFSET($BN$2,0,0,ROW()-1,60),ROW()-1,FALSE))</f>
        <v>0.66477921799999995</v>
      </c>
      <c r="O382">
        <f ca="1">IF(AND(ISNUMBER($O$1046),$B$677=1),$O$1046,HLOOKUP(INDIRECT(ADDRESS(2,COLUMN())),OFFSET($BN$2,0,0,ROW()-1,60),ROW()-1,FALSE))</f>
        <v>0.71297891899999999</v>
      </c>
      <c r="P382">
        <f ca="1">IF(AND(ISNUMBER($P$1046),$B$677=1),$P$1046,HLOOKUP(INDIRECT(ADDRESS(2,COLUMN())),OFFSET($BN$2,0,0,ROW()-1,60),ROW()-1,FALSE))</f>
        <v>0.697256608</v>
      </c>
      <c r="Q382">
        <f ca="1">IF(AND(ISNUMBER($Q$1046),$B$677=1),$Q$1046,HLOOKUP(INDIRECT(ADDRESS(2,COLUMN())),OFFSET($BN$2,0,0,ROW()-1,60),ROW()-1,FALSE))</f>
        <v>0.65993360099999998</v>
      </c>
      <c r="R382">
        <f ca="1">IF(AND(ISNUMBER($R$1046),$B$677=1),$R$1046,HLOOKUP(INDIRECT(ADDRESS(2,COLUMN())),OFFSET($BN$2,0,0,ROW()-1,60),ROW()-1,FALSE))</f>
        <v>0.715453585</v>
      </c>
      <c r="S382">
        <f ca="1">IF(AND(ISNUMBER($S$1046),$B$677=1),$S$1046,HLOOKUP(INDIRECT(ADDRESS(2,COLUMN())),OFFSET($BN$2,0,0,ROW()-1,60),ROW()-1,FALSE))</f>
        <v>0.75847662800000004</v>
      </c>
      <c r="T382">
        <f ca="1">IF(AND(ISNUMBER($T$1046),$B$677=1),$T$1046,HLOOKUP(INDIRECT(ADDRESS(2,COLUMN())),OFFSET($BN$2,0,0,ROW()-1,60),ROW()-1,FALSE))</f>
        <v>0.68405349699999995</v>
      </c>
      <c r="U382">
        <f ca="1">IF(AND(ISNUMBER($U$1046),$B$677=1),$U$1046,HLOOKUP(INDIRECT(ADDRESS(2,COLUMN())),OFFSET($BN$2,0,0,ROW()-1,60),ROW()-1,FALSE))</f>
        <v>0.76499137900000003</v>
      </c>
      <c r="V382">
        <f ca="1">IF(AND(ISNUMBER($V$1046),$B$677=1),$V$1046,HLOOKUP(INDIRECT(ADDRESS(2,COLUMN())),OFFSET($BN$2,0,0,ROW()-1,60),ROW()-1,FALSE))</f>
        <v>0.76419040199999999</v>
      </c>
      <c r="W382">
        <f ca="1">IF(AND(ISNUMBER($W$1046),$B$677=1),$W$1046,HLOOKUP(INDIRECT(ADDRESS(2,COLUMN())),OFFSET($BN$2,0,0,ROW()-1,60),ROW()-1,FALSE))</f>
        <v>0.74422036400000002</v>
      </c>
      <c r="X382">
        <f ca="1">IF(AND(ISNUMBER($X$1046),$B$677=1),$X$1046,HLOOKUP(INDIRECT(ADDRESS(2,COLUMN())),OFFSET($BN$2,0,0,ROW()-1,60),ROW()-1,FALSE))</f>
        <v>0.68299910200000002</v>
      </c>
      <c r="Y382">
        <f ca="1">IF(AND(ISNUMBER($Y$1046),$B$677=1),$Y$1046,HLOOKUP(INDIRECT(ADDRESS(2,COLUMN())),OFFSET($BN$2,0,0,ROW()-1,60),ROW()-1,FALSE))</f>
        <v>0.78530207500000004</v>
      </c>
      <c r="Z382">
        <f ca="1">IF(AND(ISNUMBER($Z$1046),$B$677=1),$Z$1046,HLOOKUP(INDIRECT(ADDRESS(2,COLUMN())),OFFSET($BN$2,0,0,ROW()-1,60),ROW()-1,FALSE))</f>
        <v>0.757298099</v>
      </c>
      <c r="AA382">
        <f ca="1">IF(AND(ISNUMBER($AA$1046),$B$677=1),$AA$1046,HLOOKUP(INDIRECT(ADDRESS(2,COLUMN())),OFFSET($BN$2,0,0,ROW()-1,60),ROW()-1,FALSE))</f>
        <v>0.75585040800000003</v>
      </c>
      <c r="AB382">
        <f ca="1">IF(AND(ISNUMBER($AB$1046),$B$677=1),$AB$1046,HLOOKUP(INDIRECT(ADDRESS(2,COLUMN())),OFFSET($BN$2,0,0,ROW()-1,60),ROW()-1,FALSE))</f>
        <v>0.74143194099999998</v>
      </c>
      <c r="AC382">
        <f ca="1">IF(AND(ISNUMBER($AC$1046),$B$677=1),$AC$1046,HLOOKUP(INDIRECT(ADDRESS(2,COLUMN())),OFFSET($BN$2,0,0,ROW()-1,60),ROW()-1,FALSE))</f>
        <v>0.703477307</v>
      </c>
      <c r="AD382">
        <f ca="1">IF(AND(ISNUMBER($AD$1046),$B$677=1),$AD$1046,HLOOKUP(INDIRECT(ADDRESS(2,COLUMN())),OFFSET($BN$2,0,0,ROW()-1,60),ROW()-1,FALSE))</f>
        <v>0.73166272399999999</v>
      </c>
      <c r="AE382">
        <f ca="1">IF(AND(ISNUMBER($AE$1046),$B$677=1),$AE$1046,HLOOKUP(INDIRECT(ADDRESS(2,COLUMN())),OFFSET($BN$2,0,0,ROW()-1,60),ROW()-1,FALSE))</f>
        <v>0.71412205799999995</v>
      </c>
      <c r="AF382">
        <f ca="1">IF(AND(ISNUMBER($AF$1046),$B$677=1),$AF$1046,HLOOKUP(INDIRECT(ADDRESS(2,COLUMN())),OFFSET($BN$2,0,0,ROW()-1,60),ROW()-1,FALSE))</f>
        <v>0.76190141300000003</v>
      </c>
      <c r="AG382">
        <f ca="1">IF(AND(ISNUMBER($AG$1046),$B$677=1),$AG$1046,HLOOKUP(INDIRECT(ADDRESS(2,COLUMN())),OFFSET($BN$2,0,0,ROW()-1,60),ROW()-1,FALSE))</f>
        <v>0.73251408299999998</v>
      </c>
      <c r="AH382">
        <f ca="1">IF(AND(ISNUMBER($AH$1046),$B$677=1),$AH$1046,HLOOKUP(INDIRECT(ADDRESS(2,COLUMN())),OFFSET($BN$2,0,0,ROW()-1,60),ROW()-1,FALSE))</f>
        <v>0.76012980100000005</v>
      </c>
      <c r="AI382">
        <f ca="1">IF(AND(ISNUMBER($AI$1046),$B$677=1),$AI$1046,HLOOKUP(INDIRECT(ADDRESS(2,COLUMN())),OFFSET($BN$2,0,0,ROW()-1,60),ROW()-1,FALSE))</f>
        <v>0.63062184700000001</v>
      </c>
      <c r="AJ382">
        <f ca="1">IF(AND(ISNUMBER($AJ$1046),$B$677=1),$AJ$1046,HLOOKUP(INDIRECT(ADDRESS(2,COLUMN())),OFFSET($BN$2,0,0,ROW()-1,60),ROW()-1,FALSE))</f>
        <v>0.67275568299999999</v>
      </c>
      <c r="AK382">
        <f ca="1">IF(AND(ISNUMBER($AK$1046),$B$677=1),$AK$1046,HLOOKUP(INDIRECT(ADDRESS(2,COLUMN())),OFFSET($BN$2,0,0,ROW()-1,60),ROW()-1,FALSE))</f>
        <v>0.762805976</v>
      </c>
      <c r="AL382">
        <f ca="1">IF(AND(ISNUMBER($AL$1046),$B$677=1),$AL$1046,HLOOKUP(INDIRECT(ADDRESS(2,COLUMN())),OFFSET($BN$2,0,0,ROW()-1,60),ROW()-1,FALSE))</f>
        <v>0.73827531199999996</v>
      </c>
      <c r="AM382">
        <f ca="1">IF(AND(ISNUMBER($AM$1046),$B$677=1),$AM$1046,HLOOKUP(INDIRECT(ADDRESS(2,COLUMN())),OFFSET($BN$2,0,0,ROW()-1,60),ROW()-1,FALSE))</f>
        <v>0.76578115000000002</v>
      </c>
      <c r="AN382">
        <f ca="1">IF(AND(ISNUMBER($AN$1046),$B$677=1),$AN$1046,HLOOKUP(INDIRECT(ADDRESS(2,COLUMN())),OFFSET($BN$2,0,0,ROW()-1,60),ROW()-1,FALSE))</f>
        <v>0.73300224199999997</v>
      </c>
      <c r="AO382">
        <f ca="1">IF(AND(ISNUMBER($AO$1046),$B$677=1),$AO$1046,HLOOKUP(INDIRECT(ADDRESS(2,COLUMN())),OFFSET($BN$2,0,0,ROW()-1,60),ROW()-1,FALSE))</f>
        <v>0.76052421999999997</v>
      </c>
      <c r="AP382">
        <f ca="1">IF(AND(ISNUMBER($AP$1046),$B$677=1),$AP$1046,HLOOKUP(INDIRECT(ADDRESS(2,COLUMN())),OFFSET($BN$2,0,0,ROW()-1,60),ROW()-1,FALSE))</f>
        <v>0.77455154199999998</v>
      </c>
      <c r="AQ382">
        <f ca="1">IF(AND(ISNUMBER($AQ$1046),$B$677=1),$AQ$1046,HLOOKUP(INDIRECT(ADDRESS(2,COLUMN())),OFFSET($BN$2,0,0,ROW()-1,60),ROW()-1,FALSE))</f>
        <v>0.83909143399999997</v>
      </c>
      <c r="AR382">
        <f ca="1">IF(AND(ISNUMBER($AR$1046),$B$677=1),$AR$1046,HLOOKUP(INDIRECT(ADDRESS(2,COLUMN())),OFFSET($BN$2,0,0,ROW()-1,60),ROW()-1,FALSE))</f>
        <v>0.79597949800000001</v>
      </c>
      <c r="AS382">
        <f ca="1">IF(AND(ISNUMBER($AS$1046),$B$677=1),$AS$1046,HLOOKUP(INDIRECT(ADDRESS(2,COLUMN())),OFFSET($BN$2,0,0,ROW()-1,60),ROW()-1,FALSE))</f>
        <v>0.79333237499999998</v>
      </c>
      <c r="AT382">
        <f ca="1">IF(AND(ISNUMBER($AT$1046),$B$677=1),$AT$1046,HLOOKUP(INDIRECT(ADDRESS(2,COLUMN())),OFFSET($BN$2,0,0,ROW()-1,60),ROW()-1,FALSE))</f>
        <v>0.78587917699999998</v>
      </c>
      <c r="AU382">
        <f ca="1">IF(AND(ISNUMBER($AU$1046),$B$677=1),$AU$1046,HLOOKUP(INDIRECT(ADDRESS(2,COLUMN())),OFFSET($BN$2,0,0,ROW()-1,60),ROW()-1,FALSE))</f>
        <v>3.3670815790000002</v>
      </c>
      <c r="AV382">
        <f ca="1">IF(AND(ISNUMBER($AV$1046),$B$677=1),$AV$1046,HLOOKUP(INDIRECT(ADDRESS(2,COLUMN())),OFFSET($BN$2,0,0,ROW()-1,60),ROW()-1,FALSE))</f>
        <v>2.5654344390000001</v>
      </c>
      <c r="AW382">
        <f ca="1">IF(AND(ISNUMBER($AW$1046),$B$677=1),$AW$1046,HLOOKUP(INDIRECT(ADDRESS(2,COLUMN())),OFFSET($BN$2,0,0,ROW()-1,60),ROW()-1,FALSE))</f>
        <v>2.3016450850000001</v>
      </c>
      <c r="AX382">
        <f ca="1">IF(AND(ISNUMBER($AX$1046),$B$677=1),$AX$1046,HLOOKUP(INDIRECT(ADDRESS(2,COLUMN())),OFFSET($BN$2,0,0,ROW()-1,60),ROW()-1,FALSE))</f>
        <v>1.801906483</v>
      </c>
      <c r="AY382">
        <f ca="1">IF(AND(ISNUMBER($AY$1046),$B$677=1),$AY$1046,HLOOKUP(INDIRECT(ADDRESS(2,COLUMN())),OFFSET($BN$2,0,0,ROW()-1,60),ROW()-1,FALSE))</f>
        <v>1.6609371550000001</v>
      </c>
      <c r="AZ382">
        <f ca="1">IF(AND(ISNUMBER($AZ$1046),$B$677=1),$AZ$1046,HLOOKUP(INDIRECT(ADDRESS(2,COLUMN())),OFFSET($BN$2,0,0,ROW()-1,60),ROW()-1,FALSE))</f>
        <v>1.5656731939999999</v>
      </c>
      <c r="BA382">
        <f ca="1">IF(AND(ISNUMBER($BA$1046),$B$677=1),$BA$1046,HLOOKUP(INDIRECT(ADDRESS(2,COLUMN())),OFFSET($BN$2,0,0,ROW()-1,60),ROW()-1,FALSE))</f>
        <v>1.9025215419999999</v>
      </c>
      <c r="BB382">
        <f ca="1">IF(AND(ISNUMBER($BB$1046),$B$677=1),$BB$1046,HLOOKUP(INDIRECT(ADDRESS(2,COLUMN())),OFFSET($BN$2,0,0,ROW()-1,60),ROW()-1,FALSE))</f>
        <v>2.3817526290000002</v>
      </c>
      <c r="BC382">
        <f ca="1">IF(AND(ISNUMBER($BC$1046),$B$677=1),$BC$1046,HLOOKUP(INDIRECT(ADDRESS(2,COLUMN())),OFFSET($BN$2,0,0,ROW()-1,60),ROW()-1,FALSE))</f>
        <v>2.9580677209999999</v>
      </c>
      <c r="BD382">
        <f ca="1">IF(AND(ISNUMBER($BD$1046),$B$677=1),$BD$1046,HLOOKUP(INDIRECT(ADDRESS(2,COLUMN())),OFFSET($BN$2,0,0,ROW()-1,60),ROW()-1,FALSE))</f>
        <v>2.7600018519999998</v>
      </c>
      <c r="BE382">
        <f ca="1">IF(AND(ISNUMBER($BE$1046),$B$677=1),$BE$1046,HLOOKUP(INDIRECT(ADDRESS(2,COLUMN())),OFFSET($BN$2,0,0,ROW()-1,60),ROW()-1,FALSE))</f>
        <v>2.7772247349999999</v>
      </c>
      <c r="BF382">
        <f ca="1">IF(AND(ISNUMBER($BF$1046),$B$677=1),$BF$1046,HLOOKUP(INDIRECT(ADDRESS(2,COLUMN())),OFFSET($BN$2,0,0,ROW()-1,60),ROW()-1,FALSE))</f>
        <v>2.4338283409999999</v>
      </c>
      <c r="BG382">
        <f ca="1">IF(AND(ISNUMBER($BG$1046),$B$677=1),$BG$1046,HLOOKUP(INDIRECT(ADDRESS(2,COLUMN())),OFFSET($BN$2,0,0,ROW()-1,60),ROW()-1,FALSE))</f>
        <v>2.5694847219999999</v>
      </c>
      <c r="BH382">
        <f ca="1">IF(AND(ISNUMBER($BH$1046),$B$677=1),$BH$1046,HLOOKUP(INDIRECT(ADDRESS(2,COLUMN())),OFFSET($BN$2,0,0,ROW()-1,60),ROW()-1,FALSE))</f>
        <v>2.4984052760000002</v>
      </c>
      <c r="BI382">
        <f ca="1">IF(AND(ISNUMBER($BI$1046),$B$677=1),$BI$1046,HLOOKUP(INDIRECT(ADDRESS(2,COLUMN())),OFFSET($BN$2,0,0,ROW()-1,60),ROW()-1,FALSE))</f>
        <v>2.9724509690000001</v>
      </c>
      <c r="BJ382">
        <f ca="1">IF(AND(ISNUMBER($BJ$1046),$B$677=1),$BJ$1046,HLOOKUP(INDIRECT(ADDRESS(2,COLUMN())),OFFSET($BN$2,0,0,ROW()-1,60),ROW()-1,FALSE))</f>
        <v>2.8559423499999999</v>
      </c>
      <c r="BK382">
        <f ca="1">IF(AND(ISNUMBER($BK$1046),$B$677=1),$BK$1046,HLOOKUP(INDIRECT(ADDRESS(2,COLUMN())),OFFSET($BN$2,0,0,ROW()-1,60),ROW()-1,FALSE))</f>
        <v>2.8445807059999999</v>
      </c>
      <c r="BL382">
        <f ca="1">IF(AND(ISNUMBER($BL$1046),$B$677=1),$BL$1046,HLOOKUP(INDIRECT(ADDRESS(2,COLUMN())),OFFSET($BN$2,0,0,ROW()-1,60),ROW()-1,FALSE))</f>
        <v>2.9467012129999999</v>
      </c>
      <c r="BM382">
        <f ca="1">IF(AND(ISNUMBER($BM$1046),$B$677=1),$BM$1046,HLOOKUP(INDIRECT(ADDRESS(2,COLUMN())),OFFSET($BN$2,0,0,ROW()-1,60),ROW()-1,FALSE))</f>
        <v>2.695713295</v>
      </c>
      <c r="BN382" t="str">
        <f>""</f>
        <v/>
      </c>
      <c r="BO382">
        <f>0.646586067</f>
        <v>0.64658606699999999</v>
      </c>
      <c r="BP382">
        <f>0.720570365</f>
        <v>0.72057036500000005</v>
      </c>
      <c r="BQ382">
        <f>0.699023742</f>
        <v>0.69902374199999995</v>
      </c>
      <c r="BR382">
        <f>0.713783958</f>
        <v>0.71378395800000005</v>
      </c>
      <c r="BS382">
        <f>0.751557632</f>
        <v>0.75155763200000003</v>
      </c>
      <c r="BT382">
        <f>0.657539057</f>
        <v>0.65753905700000004</v>
      </c>
      <c r="BU382">
        <f>0.671172623</f>
        <v>0.67117262300000002</v>
      </c>
      <c r="BV382">
        <f>0.664779218</f>
        <v>0.66477921799999995</v>
      </c>
      <c r="BW382">
        <f>0.712978919</f>
        <v>0.71297891899999999</v>
      </c>
      <c r="BX382">
        <f>0.697256608</f>
        <v>0.697256608</v>
      </c>
      <c r="BY382">
        <f>0.659933601</f>
        <v>0.65993360099999998</v>
      </c>
      <c r="BZ382">
        <f>0.715453585</f>
        <v>0.715453585</v>
      </c>
      <c r="CA382">
        <f>0.758476628</f>
        <v>0.75847662800000004</v>
      </c>
      <c r="CB382">
        <f>0.684053497</f>
        <v>0.68405349699999995</v>
      </c>
      <c r="CC382">
        <f>0.764991379</f>
        <v>0.76499137900000003</v>
      </c>
      <c r="CD382">
        <f>0.764190402</f>
        <v>0.76419040199999999</v>
      </c>
      <c r="CE382">
        <f>0.744220364</f>
        <v>0.74422036400000002</v>
      </c>
      <c r="CF382">
        <f>0.682999102</f>
        <v>0.68299910200000002</v>
      </c>
      <c r="CG382">
        <f>0.785302075</f>
        <v>0.78530207500000004</v>
      </c>
      <c r="CH382">
        <f>0.757298099</f>
        <v>0.757298099</v>
      </c>
      <c r="CI382">
        <f>0.755850408</f>
        <v>0.75585040800000003</v>
      </c>
      <c r="CJ382">
        <f>0.741431941</f>
        <v>0.74143194099999998</v>
      </c>
      <c r="CK382">
        <f>0.703477307</f>
        <v>0.703477307</v>
      </c>
      <c r="CL382">
        <f>0.731662724</f>
        <v>0.73166272399999999</v>
      </c>
      <c r="CM382">
        <f>0.714122058</f>
        <v>0.71412205799999995</v>
      </c>
      <c r="CN382">
        <f>0.761901413</f>
        <v>0.76190141300000003</v>
      </c>
      <c r="CO382">
        <f>0.732514083</f>
        <v>0.73251408299999998</v>
      </c>
      <c r="CP382">
        <f>0.760129801</f>
        <v>0.76012980100000005</v>
      </c>
      <c r="CQ382">
        <f>0.630621847</f>
        <v>0.63062184700000001</v>
      </c>
      <c r="CR382">
        <f>0.672755683</f>
        <v>0.67275568299999999</v>
      </c>
      <c r="CS382">
        <f>0.762805976</f>
        <v>0.762805976</v>
      </c>
      <c r="CT382">
        <f>0.738275312</f>
        <v>0.73827531199999996</v>
      </c>
      <c r="CU382">
        <f>0.76578115</f>
        <v>0.76578115000000002</v>
      </c>
      <c r="CV382">
        <f>0.733002242</f>
        <v>0.73300224199999997</v>
      </c>
      <c r="CW382">
        <f>0.76052422</f>
        <v>0.76052421999999997</v>
      </c>
      <c r="CX382">
        <f>0.774551542</f>
        <v>0.77455154199999998</v>
      </c>
      <c r="CY382">
        <f>0.839091434</f>
        <v>0.83909143399999997</v>
      </c>
      <c r="CZ382">
        <f>0.795979498</f>
        <v>0.79597949800000001</v>
      </c>
      <c r="DA382">
        <f>0.793332375</f>
        <v>0.79333237499999998</v>
      </c>
      <c r="DB382">
        <f>0.785879177</f>
        <v>0.78587917699999998</v>
      </c>
      <c r="DC382">
        <f>3.367081579</f>
        <v>3.3670815790000002</v>
      </c>
      <c r="DD382">
        <f>2.565434439</f>
        <v>2.5654344390000001</v>
      </c>
      <c r="DE382">
        <f>2.301645085</f>
        <v>2.3016450850000001</v>
      </c>
      <c r="DF382">
        <f>1.801906483</f>
        <v>1.801906483</v>
      </c>
      <c r="DG382">
        <f>1.660937155</f>
        <v>1.6609371550000001</v>
      </c>
      <c r="DH382">
        <f>1.565673194</f>
        <v>1.5656731939999999</v>
      </c>
      <c r="DI382">
        <f>1.902521542</f>
        <v>1.9025215419999999</v>
      </c>
      <c r="DJ382">
        <f>2.381752629</f>
        <v>2.3817526290000002</v>
      </c>
      <c r="DK382">
        <f>2.958067721</f>
        <v>2.9580677209999999</v>
      </c>
      <c r="DL382">
        <f>2.760001852</f>
        <v>2.7600018519999998</v>
      </c>
      <c r="DM382">
        <f>2.777224735</f>
        <v>2.7772247349999999</v>
      </c>
      <c r="DN382">
        <f>2.433828341</f>
        <v>2.4338283409999999</v>
      </c>
      <c r="DO382">
        <f>2.569484722</f>
        <v>2.5694847219999999</v>
      </c>
      <c r="DP382">
        <f>2.498405276</f>
        <v>2.4984052760000002</v>
      </c>
      <c r="DQ382">
        <f>2.972450969</f>
        <v>2.9724509690000001</v>
      </c>
      <c r="DR382">
        <f>2.85594235</f>
        <v>2.8559423499999999</v>
      </c>
      <c r="DS382">
        <f>2.844580706</f>
        <v>2.8445807059999999</v>
      </c>
      <c r="DT382">
        <f>2.946701213</f>
        <v>2.9467012129999999</v>
      </c>
      <c r="DU382">
        <f>2.695713295</f>
        <v>2.695713295</v>
      </c>
    </row>
    <row r="383" spans="1:125" x14ac:dyDescent="0.25">
      <c r="A383" t="str">
        <f>"    Dongfeng Motor Group Co Ltd"</f>
        <v xml:space="preserve">    Dongfeng Motor Group Co Ltd</v>
      </c>
      <c r="B383" t="str">
        <f>"489 HK Equity"</f>
        <v>489 HK Equity</v>
      </c>
      <c r="C383" t="str">
        <f t="shared" si="27"/>
        <v>RR480</v>
      </c>
      <c r="D383" t="str">
        <f t="shared" si="28"/>
        <v>EV_TO_MKT_CAP</v>
      </c>
      <c r="E383" t="str">
        <f t="shared" si="29"/>
        <v>Dynamic</v>
      </c>
      <c r="F383" t="str">
        <f ca="1">IF(AND(ISNUMBER($F$1047),$B$677=1),$F$1047,HLOOKUP(INDIRECT(ADDRESS(2,COLUMN())),OFFSET($BN$2,0,0,ROW()-1,60),ROW()-1,FALSE))</f>
        <v/>
      </c>
      <c r="G383" t="str">
        <f ca="1">IF(AND(ISNUMBER($G$1047),$B$677=1),$G$1047,HLOOKUP(INDIRECT(ADDRESS(2,COLUMN())),OFFSET($BN$2,0,0,ROW()-1,60),ROW()-1,FALSE))</f>
        <v/>
      </c>
      <c r="H383" t="str">
        <f ca="1">IF(AND(ISNUMBER($H$1047),$B$677=1),$H$1047,HLOOKUP(INDIRECT(ADDRESS(2,COLUMN())),OFFSET($BN$2,0,0,ROW()-1,60),ROW()-1,FALSE))</f>
        <v/>
      </c>
      <c r="I383" t="str">
        <f ca="1">IF(AND(ISNUMBER($I$1047),$B$677=1),$I$1047,HLOOKUP(INDIRECT(ADDRESS(2,COLUMN())),OFFSET($BN$2,0,0,ROW()-1,60),ROW()-1,FALSE))</f>
        <v/>
      </c>
      <c r="J383" t="str">
        <f ca="1">IF(AND(ISNUMBER($J$1047),$B$677=1),$J$1047,HLOOKUP(INDIRECT(ADDRESS(2,COLUMN())),OFFSET($BN$2,0,0,ROW()-1,60),ROW()-1,FALSE))</f>
        <v/>
      </c>
      <c r="K383" t="str">
        <f ca="1">IF(AND(ISNUMBER($K$1047),$B$677=1),$K$1047,HLOOKUP(INDIRECT(ADDRESS(2,COLUMN())),OFFSET($BN$2,0,0,ROW()-1,60),ROW()-1,FALSE))</f>
        <v/>
      </c>
      <c r="L383" t="str">
        <f ca="1">IF(AND(ISNUMBER($L$1047),$B$677=1),$L$1047,HLOOKUP(INDIRECT(ADDRESS(2,COLUMN())),OFFSET($BN$2,0,0,ROW()-1,60),ROW()-1,FALSE))</f>
        <v/>
      </c>
      <c r="M383" t="str">
        <f ca="1">IF(AND(ISNUMBER($M$1047),$B$677=1),$M$1047,HLOOKUP(INDIRECT(ADDRESS(2,COLUMN())),OFFSET($BN$2,0,0,ROW()-1,60),ROW()-1,FALSE))</f>
        <v/>
      </c>
      <c r="N383" t="str">
        <f ca="1">IF(AND(ISNUMBER($N$1047),$B$677=1),$N$1047,HLOOKUP(INDIRECT(ADDRESS(2,COLUMN())),OFFSET($BN$2,0,0,ROW()-1,60),ROW()-1,FALSE))</f>
        <v/>
      </c>
      <c r="O383" t="str">
        <f ca="1">IF(AND(ISNUMBER($O$1047),$B$677=1),$O$1047,HLOOKUP(INDIRECT(ADDRESS(2,COLUMN())),OFFSET($BN$2,0,0,ROW()-1,60),ROW()-1,FALSE))</f>
        <v/>
      </c>
      <c r="P383" t="str">
        <f ca="1">IF(AND(ISNUMBER($P$1047),$B$677=1),$P$1047,HLOOKUP(INDIRECT(ADDRESS(2,COLUMN())),OFFSET($BN$2,0,0,ROW()-1,60),ROW()-1,FALSE))</f>
        <v/>
      </c>
      <c r="Q383" t="str">
        <f ca="1">IF(AND(ISNUMBER($Q$1047),$B$677=1),$Q$1047,HLOOKUP(INDIRECT(ADDRESS(2,COLUMN())),OFFSET($BN$2,0,0,ROW()-1,60),ROW()-1,FALSE))</f>
        <v/>
      </c>
      <c r="R383" t="str">
        <f ca="1">IF(AND(ISNUMBER($R$1047),$B$677=1),$R$1047,HLOOKUP(INDIRECT(ADDRESS(2,COLUMN())),OFFSET($BN$2,0,0,ROW()-1,60),ROW()-1,FALSE))</f>
        <v/>
      </c>
      <c r="S383" t="str">
        <f ca="1">IF(AND(ISNUMBER($S$1047),$B$677=1),$S$1047,HLOOKUP(INDIRECT(ADDRESS(2,COLUMN())),OFFSET($BN$2,0,0,ROW()-1,60),ROW()-1,FALSE))</f>
        <v/>
      </c>
      <c r="T383" t="str">
        <f ca="1">IF(AND(ISNUMBER($T$1047),$B$677=1),$T$1047,HLOOKUP(INDIRECT(ADDRESS(2,COLUMN())),OFFSET($BN$2,0,0,ROW()-1,60),ROW()-1,FALSE))</f>
        <v/>
      </c>
      <c r="U383" t="str">
        <f ca="1">IF(AND(ISNUMBER($U$1047),$B$677=1),$U$1047,HLOOKUP(INDIRECT(ADDRESS(2,COLUMN())),OFFSET($BN$2,0,0,ROW()-1,60),ROW()-1,FALSE))</f>
        <v/>
      </c>
      <c r="V383" t="str">
        <f ca="1">IF(AND(ISNUMBER($V$1047),$B$677=1),$V$1047,HLOOKUP(INDIRECT(ADDRESS(2,COLUMN())),OFFSET($BN$2,0,0,ROW()-1,60),ROW()-1,FALSE))</f>
        <v/>
      </c>
      <c r="W383" t="str">
        <f ca="1">IF(AND(ISNUMBER($W$1047),$B$677=1),$W$1047,HLOOKUP(INDIRECT(ADDRESS(2,COLUMN())),OFFSET($BN$2,0,0,ROW()-1,60),ROW()-1,FALSE))</f>
        <v/>
      </c>
      <c r="X383" t="str">
        <f ca="1">IF(AND(ISNUMBER($X$1047),$B$677=1),$X$1047,HLOOKUP(INDIRECT(ADDRESS(2,COLUMN())),OFFSET($BN$2,0,0,ROW()-1,60),ROW()-1,FALSE))</f>
        <v/>
      </c>
      <c r="Y383" t="str">
        <f ca="1">IF(AND(ISNUMBER($Y$1047),$B$677=1),$Y$1047,HLOOKUP(INDIRECT(ADDRESS(2,COLUMN())),OFFSET($BN$2,0,0,ROW()-1,60),ROW()-1,FALSE))</f>
        <v/>
      </c>
      <c r="Z383" t="str">
        <f ca="1">IF(AND(ISNUMBER($Z$1047),$B$677=1),$Z$1047,HLOOKUP(INDIRECT(ADDRESS(2,COLUMN())),OFFSET($BN$2,0,0,ROW()-1,60),ROW()-1,FALSE))</f>
        <v/>
      </c>
      <c r="AA383" t="str">
        <f ca="1">IF(AND(ISNUMBER($AA$1047),$B$677=1),$AA$1047,HLOOKUP(INDIRECT(ADDRESS(2,COLUMN())),OFFSET($BN$2,0,0,ROW()-1,60),ROW()-1,FALSE))</f>
        <v/>
      </c>
      <c r="AB383" t="str">
        <f ca="1">IF(AND(ISNUMBER($AB$1047),$B$677=1),$AB$1047,HLOOKUP(INDIRECT(ADDRESS(2,COLUMN())),OFFSET($BN$2,0,0,ROW()-1,60),ROW()-1,FALSE))</f>
        <v/>
      </c>
      <c r="AC383" t="str">
        <f ca="1">IF(AND(ISNUMBER($AC$1047),$B$677=1),$AC$1047,HLOOKUP(INDIRECT(ADDRESS(2,COLUMN())),OFFSET($BN$2,0,0,ROW()-1,60),ROW()-1,FALSE))</f>
        <v/>
      </c>
      <c r="AD383" t="str">
        <f ca="1">IF(AND(ISNUMBER($AD$1047),$B$677=1),$AD$1047,HLOOKUP(INDIRECT(ADDRESS(2,COLUMN())),OFFSET($BN$2,0,0,ROW()-1,60),ROW()-1,FALSE))</f>
        <v/>
      </c>
      <c r="AE383" t="str">
        <f ca="1">IF(AND(ISNUMBER($AE$1047),$B$677=1),$AE$1047,HLOOKUP(INDIRECT(ADDRESS(2,COLUMN())),OFFSET($BN$2,0,0,ROW()-1,60),ROW()-1,FALSE))</f>
        <v/>
      </c>
      <c r="AF383" t="str">
        <f ca="1">IF(AND(ISNUMBER($AF$1047),$B$677=1),$AF$1047,HLOOKUP(INDIRECT(ADDRESS(2,COLUMN())),OFFSET($BN$2,0,0,ROW()-1,60),ROW()-1,FALSE))</f>
        <v/>
      </c>
      <c r="AG383" t="str">
        <f ca="1">IF(AND(ISNUMBER($AG$1047),$B$677=1),$AG$1047,HLOOKUP(INDIRECT(ADDRESS(2,COLUMN())),OFFSET($BN$2,0,0,ROW()-1,60),ROW()-1,FALSE))</f>
        <v/>
      </c>
      <c r="AH383" t="str">
        <f ca="1">IF(AND(ISNUMBER($AH$1047),$B$677=1),$AH$1047,HLOOKUP(INDIRECT(ADDRESS(2,COLUMN())),OFFSET($BN$2,0,0,ROW()-1,60),ROW()-1,FALSE))</f>
        <v/>
      </c>
      <c r="AI383" t="str">
        <f ca="1">IF(AND(ISNUMBER($AI$1047),$B$677=1),$AI$1047,HLOOKUP(INDIRECT(ADDRESS(2,COLUMN())),OFFSET($BN$2,0,0,ROW()-1,60),ROW()-1,FALSE))</f>
        <v/>
      </c>
      <c r="AJ383" t="str">
        <f ca="1">IF(AND(ISNUMBER($AJ$1047),$B$677=1),$AJ$1047,HLOOKUP(INDIRECT(ADDRESS(2,COLUMN())),OFFSET($BN$2,0,0,ROW()-1,60),ROW()-1,FALSE))</f>
        <v/>
      </c>
      <c r="AK383" t="str">
        <f ca="1">IF(AND(ISNUMBER($AK$1047),$B$677=1),$AK$1047,HLOOKUP(INDIRECT(ADDRESS(2,COLUMN())),OFFSET($BN$2,0,0,ROW()-1,60),ROW()-1,FALSE))</f>
        <v/>
      </c>
      <c r="AL383" t="str">
        <f ca="1">IF(AND(ISNUMBER($AL$1047),$B$677=1),$AL$1047,HLOOKUP(INDIRECT(ADDRESS(2,COLUMN())),OFFSET($BN$2,0,0,ROW()-1,60),ROW()-1,FALSE))</f>
        <v/>
      </c>
      <c r="AM383" t="str">
        <f ca="1">IF(AND(ISNUMBER($AM$1047),$B$677=1),$AM$1047,HLOOKUP(INDIRECT(ADDRESS(2,COLUMN())),OFFSET($BN$2,0,0,ROW()-1,60),ROW()-1,FALSE))</f>
        <v/>
      </c>
      <c r="AN383" t="str">
        <f ca="1">IF(AND(ISNUMBER($AN$1047),$B$677=1),$AN$1047,HLOOKUP(INDIRECT(ADDRESS(2,COLUMN())),OFFSET($BN$2,0,0,ROW()-1,60),ROW()-1,FALSE))</f>
        <v/>
      </c>
      <c r="AO383" t="str">
        <f ca="1">IF(AND(ISNUMBER($AO$1047),$B$677=1),$AO$1047,HLOOKUP(INDIRECT(ADDRESS(2,COLUMN())),OFFSET($BN$2,0,0,ROW()-1,60),ROW()-1,FALSE))</f>
        <v/>
      </c>
      <c r="AP383" t="str">
        <f ca="1">IF(AND(ISNUMBER($AP$1047),$B$677=1),$AP$1047,HLOOKUP(INDIRECT(ADDRESS(2,COLUMN())),OFFSET($BN$2,0,0,ROW()-1,60),ROW()-1,FALSE))</f>
        <v/>
      </c>
      <c r="AQ383" t="str">
        <f ca="1">IF(AND(ISNUMBER($AQ$1047),$B$677=1),$AQ$1047,HLOOKUP(INDIRECT(ADDRESS(2,COLUMN())),OFFSET($BN$2,0,0,ROW()-1,60),ROW()-1,FALSE))</f>
        <v/>
      </c>
      <c r="AR383" t="str">
        <f ca="1">IF(AND(ISNUMBER($AR$1047),$B$677=1),$AR$1047,HLOOKUP(INDIRECT(ADDRESS(2,COLUMN())),OFFSET($BN$2,0,0,ROW()-1,60),ROW()-1,FALSE))</f>
        <v/>
      </c>
      <c r="AS383" t="str">
        <f ca="1">IF(AND(ISNUMBER($AS$1047),$B$677=1),$AS$1047,HLOOKUP(INDIRECT(ADDRESS(2,COLUMN())),OFFSET($BN$2,0,0,ROW()-1,60),ROW()-1,FALSE))</f>
        <v/>
      </c>
      <c r="AT383" t="str">
        <f ca="1">IF(AND(ISNUMBER($AT$1047),$B$677=1),$AT$1047,HLOOKUP(INDIRECT(ADDRESS(2,COLUMN())),OFFSET($BN$2,0,0,ROW()-1,60),ROW()-1,FALSE))</f>
        <v/>
      </c>
      <c r="AU383" t="str">
        <f ca="1">IF(AND(ISNUMBER($AU$1047),$B$677=1),$AU$1047,HLOOKUP(INDIRECT(ADDRESS(2,COLUMN())),OFFSET($BN$2,0,0,ROW()-1,60),ROW()-1,FALSE))</f>
        <v/>
      </c>
      <c r="AV383" t="str">
        <f ca="1">IF(AND(ISNUMBER($AV$1047),$B$677=1),$AV$1047,HLOOKUP(INDIRECT(ADDRESS(2,COLUMN())),OFFSET($BN$2,0,0,ROW()-1,60),ROW()-1,FALSE))</f>
        <v/>
      </c>
      <c r="AW383" t="str">
        <f ca="1">IF(AND(ISNUMBER($AW$1047),$B$677=1),$AW$1047,HLOOKUP(INDIRECT(ADDRESS(2,COLUMN())),OFFSET($BN$2,0,0,ROW()-1,60),ROW()-1,FALSE))</f>
        <v/>
      </c>
      <c r="AX383" t="str">
        <f ca="1">IF(AND(ISNUMBER($AX$1047),$B$677=1),$AX$1047,HLOOKUP(INDIRECT(ADDRESS(2,COLUMN())),OFFSET($BN$2,0,0,ROW()-1,60),ROW()-1,FALSE))</f>
        <v/>
      </c>
      <c r="AY383" t="str">
        <f ca="1">IF(AND(ISNUMBER($AY$1047),$B$677=1),$AY$1047,HLOOKUP(INDIRECT(ADDRESS(2,COLUMN())),OFFSET($BN$2,0,0,ROW()-1,60),ROW()-1,FALSE))</f>
        <v/>
      </c>
      <c r="AZ383" t="str">
        <f ca="1">IF(AND(ISNUMBER($AZ$1047),$B$677=1),$AZ$1047,HLOOKUP(INDIRECT(ADDRESS(2,COLUMN())),OFFSET($BN$2,0,0,ROW()-1,60),ROW()-1,FALSE))</f>
        <v/>
      </c>
      <c r="BA383" t="str">
        <f ca="1">IF(AND(ISNUMBER($BA$1047),$B$677=1),$BA$1047,HLOOKUP(INDIRECT(ADDRESS(2,COLUMN())),OFFSET($BN$2,0,0,ROW()-1,60),ROW()-1,FALSE))</f>
        <v/>
      </c>
      <c r="BB383" t="str">
        <f ca="1">IF(AND(ISNUMBER($BB$1047),$B$677=1),$BB$1047,HLOOKUP(INDIRECT(ADDRESS(2,COLUMN())),OFFSET($BN$2,0,0,ROW()-1,60),ROW()-1,FALSE))</f>
        <v/>
      </c>
      <c r="BC383" t="str">
        <f ca="1">IF(AND(ISNUMBER($BC$1047),$B$677=1),$BC$1047,HLOOKUP(INDIRECT(ADDRESS(2,COLUMN())),OFFSET($BN$2,0,0,ROW()-1,60),ROW()-1,FALSE))</f>
        <v/>
      </c>
      <c r="BD383" t="str">
        <f ca="1">IF(AND(ISNUMBER($BD$1047),$B$677=1),$BD$1047,HLOOKUP(INDIRECT(ADDRESS(2,COLUMN())),OFFSET($BN$2,0,0,ROW()-1,60),ROW()-1,FALSE))</f>
        <v/>
      </c>
      <c r="BE383" t="str">
        <f ca="1">IF(AND(ISNUMBER($BE$1047),$B$677=1),$BE$1047,HLOOKUP(INDIRECT(ADDRESS(2,COLUMN())),OFFSET($BN$2,0,0,ROW()-1,60),ROW()-1,FALSE))</f>
        <v/>
      </c>
      <c r="BF383" t="str">
        <f ca="1">IF(AND(ISNUMBER($BF$1047),$B$677=1),$BF$1047,HLOOKUP(INDIRECT(ADDRESS(2,COLUMN())),OFFSET($BN$2,0,0,ROW()-1,60),ROW()-1,FALSE))</f>
        <v/>
      </c>
      <c r="BG383" t="str">
        <f ca="1">IF(AND(ISNUMBER($BG$1047),$B$677=1),$BG$1047,HLOOKUP(INDIRECT(ADDRESS(2,COLUMN())),OFFSET($BN$2,0,0,ROW()-1,60),ROW()-1,FALSE))</f>
        <v/>
      </c>
      <c r="BH383" t="str">
        <f ca="1">IF(AND(ISNUMBER($BH$1047),$B$677=1),$BH$1047,HLOOKUP(INDIRECT(ADDRESS(2,COLUMN())),OFFSET($BN$2,0,0,ROW()-1,60),ROW()-1,FALSE))</f>
        <v/>
      </c>
      <c r="BI383" t="str">
        <f ca="1">IF(AND(ISNUMBER($BI$1047),$B$677=1),$BI$1047,HLOOKUP(INDIRECT(ADDRESS(2,COLUMN())),OFFSET($BN$2,0,0,ROW()-1,60),ROW()-1,FALSE))</f>
        <v/>
      </c>
      <c r="BJ383" t="str">
        <f ca="1">IF(AND(ISNUMBER($BJ$1047),$B$677=1),$BJ$1047,HLOOKUP(INDIRECT(ADDRESS(2,COLUMN())),OFFSET($BN$2,0,0,ROW()-1,60),ROW()-1,FALSE))</f>
        <v/>
      </c>
      <c r="BK383" t="str">
        <f ca="1">IF(AND(ISNUMBER($BK$1047),$B$677=1),$BK$1047,HLOOKUP(INDIRECT(ADDRESS(2,COLUMN())),OFFSET($BN$2,0,0,ROW()-1,60),ROW()-1,FALSE))</f>
        <v/>
      </c>
      <c r="BL383" t="str">
        <f ca="1">IF(AND(ISNUMBER($BL$1047),$B$677=1),$BL$1047,HLOOKUP(INDIRECT(ADDRESS(2,COLUMN())),OFFSET($BN$2,0,0,ROW()-1,60),ROW()-1,FALSE))</f>
        <v/>
      </c>
      <c r="BM383" t="str">
        <f ca="1">IF(AND(ISNUMBER($BM$1047),$B$677=1),$BM$1047,HLOOKUP(INDIRECT(ADDRESS(2,COLUMN())),OFFSET($BN$2,0,0,ROW()-1,60),ROW()-1,FALSE))</f>
        <v/>
      </c>
      <c r="BN383" t="str">
        <f>""</f>
        <v/>
      </c>
      <c r="BO383" t="str">
        <f>""</f>
        <v/>
      </c>
      <c r="BP383" t="str">
        <f>""</f>
        <v/>
      </c>
      <c r="BQ383" t="str">
        <f>""</f>
        <v/>
      </c>
      <c r="BR383" t="str">
        <f>""</f>
        <v/>
      </c>
      <c r="BS383" t="str">
        <f>""</f>
        <v/>
      </c>
      <c r="BT383" t="str">
        <f>""</f>
        <v/>
      </c>
      <c r="BU383" t="str">
        <f>""</f>
        <v/>
      </c>
      <c r="BV383" t="str">
        <f>""</f>
        <v/>
      </c>
      <c r="BW383" t="str">
        <f>""</f>
        <v/>
      </c>
      <c r="BX383" t="str">
        <f>""</f>
        <v/>
      </c>
      <c r="BY383" t="str">
        <f>""</f>
        <v/>
      </c>
      <c r="BZ383" t="str">
        <f>""</f>
        <v/>
      </c>
      <c r="CA383" t="str">
        <f>""</f>
        <v/>
      </c>
      <c r="CB383" t="str">
        <f>""</f>
        <v/>
      </c>
      <c r="CC383" t="str">
        <f>""</f>
        <v/>
      </c>
      <c r="CD383" t="str">
        <f>""</f>
        <v/>
      </c>
      <c r="CE383" t="str">
        <f>""</f>
        <v/>
      </c>
      <c r="CF383" t="str">
        <f>""</f>
        <v/>
      </c>
      <c r="CG383" t="str">
        <f>""</f>
        <v/>
      </c>
      <c r="CH383" t="str">
        <f>""</f>
        <v/>
      </c>
      <c r="CI383" t="str">
        <f>""</f>
        <v/>
      </c>
      <c r="CJ383" t="str">
        <f>""</f>
        <v/>
      </c>
      <c r="CK383" t="str">
        <f>""</f>
        <v/>
      </c>
      <c r="CL383" t="str">
        <f>""</f>
        <v/>
      </c>
      <c r="CM383" t="str">
        <f>""</f>
        <v/>
      </c>
      <c r="CN383" t="str">
        <f>""</f>
        <v/>
      </c>
      <c r="CO383" t="str">
        <f>""</f>
        <v/>
      </c>
      <c r="CP383" t="str">
        <f>""</f>
        <v/>
      </c>
      <c r="CQ383" t="str">
        <f>""</f>
        <v/>
      </c>
      <c r="CR383" t="str">
        <f>""</f>
        <v/>
      </c>
      <c r="CS383" t="str">
        <f>""</f>
        <v/>
      </c>
      <c r="CT383" t="str">
        <f>""</f>
        <v/>
      </c>
      <c r="CU383" t="str">
        <f>""</f>
        <v/>
      </c>
      <c r="CV383" t="str">
        <f>""</f>
        <v/>
      </c>
      <c r="CW383" t="str">
        <f>""</f>
        <v/>
      </c>
      <c r="CX383" t="str">
        <f>""</f>
        <v/>
      </c>
      <c r="CY383" t="str">
        <f>""</f>
        <v/>
      </c>
      <c r="CZ383" t="str">
        <f>""</f>
        <v/>
      </c>
      <c r="DA383" t="str">
        <f>""</f>
        <v/>
      </c>
      <c r="DB383" t="str">
        <f>""</f>
        <v/>
      </c>
      <c r="DC383" t="str">
        <f>""</f>
        <v/>
      </c>
      <c r="DD383" t="str">
        <f>""</f>
        <v/>
      </c>
      <c r="DE383" t="str">
        <f>""</f>
        <v/>
      </c>
      <c r="DF383" t="str">
        <f>""</f>
        <v/>
      </c>
      <c r="DG383" t="str">
        <f>""</f>
        <v/>
      </c>
      <c r="DH383" t="str">
        <f>""</f>
        <v/>
      </c>
      <c r="DI383" t="str">
        <f>""</f>
        <v/>
      </c>
      <c r="DJ383" t="str">
        <f>""</f>
        <v/>
      </c>
      <c r="DK383" t="str">
        <f>""</f>
        <v/>
      </c>
      <c r="DL383" t="str">
        <f>""</f>
        <v/>
      </c>
      <c r="DM383" t="str">
        <f>""</f>
        <v/>
      </c>
      <c r="DN383" t="str">
        <f>""</f>
        <v/>
      </c>
      <c r="DO383" t="str">
        <f>""</f>
        <v/>
      </c>
      <c r="DP383" t="str">
        <f>""</f>
        <v/>
      </c>
      <c r="DQ383" t="str">
        <f>""</f>
        <v/>
      </c>
      <c r="DR383" t="str">
        <f>""</f>
        <v/>
      </c>
      <c r="DS383" t="str">
        <f>""</f>
        <v/>
      </c>
      <c r="DT383" t="str">
        <f>""</f>
        <v/>
      </c>
      <c r="DU383" t="str">
        <f>""</f>
        <v/>
      </c>
    </row>
    <row r="384" spans="1:125" x14ac:dyDescent="0.25">
      <c r="A384" t="str">
        <f>"    DRB-Hicom Bhd"</f>
        <v xml:space="preserve">    DRB-Hicom Bhd</v>
      </c>
      <c r="B384" t="str">
        <f>"DRB MK Equity"</f>
        <v>DRB MK Equity</v>
      </c>
      <c r="C384" t="str">
        <f t="shared" si="27"/>
        <v>RR480</v>
      </c>
      <c r="D384" t="str">
        <f t="shared" si="28"/>
        <v>EV_TO_MKT_CAP</v>
      </c>
      <c r="E384" t="str">
        <f t="shared" si="29"/>
        <v>Dynamic</v>
      </c>
      <c r="F384" t="str">
        <f ca="1">IF(AND(ISNUMBER($F$1048),$B$677=1),$F$1048,HLOOKUP(INDIRECT(ADDRESS(2,COLUMN())),OFFSET($BN$2,0,0,ROW()-1,60),ROW()-1,FALSE))</f>
        <v/>
      </c>
      <c r="G384" t="str">
        <f ca="1">IF(AND(ISNUMBER($G$1048),$B$677=1),$G$1048,HLOOKUP(INDIRECT(ADDRESS(2,COLUMN())),OFFSET($BN$2,0,0,ROW()-1,60),ROW()-1,FALSE))</f>
        <v/>
      </c>
      <c r="H384">
        <f ca="1">IF(AND(ISNUMBER($H$1048),$B$677=1),$H$1048,HLOOKUP(INDIRECT(ADDRESS(2,COLUMN())),OFFSET($BN$2,0,0,ROW()-1,60),ROW()-1,FALSE))</f>
        <v>2.0621659079999999</v>
      </c>
      <c r="I384">
        <f ca="1">IF(AND(ISNUMBER($I$1048),$B$677=1),$I$1048,HLOOKUP(INDIRECT(ADDRESS(2,COLUMN())),OFFSET($BN$2,0,0,ROW()-1,60),ROW()-1,FALSE))</f>
        <v>2.5006215699999998</v>
      </c>
      <c r="J384">
        <f ca="1">IF(AND(ISNUMBER($J$1048),$B$677=1),$J$1048,HLOOKUP(INDIRECT(ADDRESS(2,COLUMN())),OFFSET($BN$2,0,0,ROW()-1,60),ROW()-1,FALSE))</f>
        <v>1.915716982</v>
      </c>
      <c r="K384">
        <f ca="1">IF(AND(ISNUMBER($K$1048),$B$677=1),$K$1048,HLOOKUP(INDIRECT(ADDRESS(2,COLUMN())),OFFSET($BN$2,0,0,ROW()-1,60),ROW()-1,FALSE))</f>
        <v>2.3274296250000002</v>
      </c>
      <c r="L384">
        <f ca="1">IF(AND(ISNUMBER($L$1048),$B$677=1),$L$1048,HLOOKUP(INDIRECT(ADDRESS(2,COLUMN())),OFFSET($BN$2,0,0,ROW()-1,60),ROW()-1,FALSE))</f>
        <v>3.0900706119999999</v>
      </c>
      <c r="M384">
        <f ca="1">IF(AND(ISNUMBER($M$1048),$B$677=1),$M$1048,HLOOKUP(INDIRECT(ADDRESS(2,COLUMN())),OFFSET($BN$2,0,0,ROW()-1,60),ROW()-1,FALSE))</f>
        <v>2.8604751130000001</v>
      </c>
      <c r="N384">
        <f ca="1">IF(AND(ISNUMBER($N$1048),$B$677=1),$N$1048,HLOOKUP(INDIRECT(ADDRESS(2,COLUMN())),OFFSET($BN$2,0,0,ROW()-1,60),ROW()-1,FALSE))</f>
        <v>3.3167764000000002</v>
      </c>
      <c r="O384">
        <f ca="1">IF(AND(ISNUMBER($O$1048),$B$677=1),$O$1048,HLOOKUP(INDIRECT(ADDRESS(2,COLUMN())),OFFSET($BN$2,0,0,ROW()-1,60),ROW()-1,FALSE))</f>
        <v>3.7153030629999999</v>
      </c>
      <c r="P384">
        <f ca="1">IF(AND(ISNUMBER($P$1048),$B$677=1),$P$1048,HLOOKUP(INDIRECT(ADDRESS(2,COLUMN())),OFFSET($BN$2,0,0,ROW()-1,60),ROW()-1,FALSE))</f>
        <v>3.0024674359999999</v>
      </c>
      <c r="Q384">
        <f ca="1">IF(AND(ISNUMBER($Q$1048),$B$677=1),$Q$1048,HLOOKUP(INDIRECT(ADDRESS(2,COLUMN())),OFFSET($BN$2,0,0,ROW()-1,60),ROW()-1,FALSE))</f>
        <v>4.026803117</v>
      </c>
      <c r="R384">
        <f ca="1">IF(AND(ISNUMBER($R$1048),$B$677=1),$R$1048,HLOOKUP(INDIRECT(ADDRESS(2,COLUMN())),OFFSET($BN$2,0,0,ROW()-1,60),ROW()-1,FALSE))</f>
        <v>3.8503930419999999</v>
      </c>
      <c r="S384">
        <f ca="1">IF(AND(ISNUMBER($S$1048),$B$677=1),$S$1048,HLOOKUP(INDIRECT(ADDRESS(2,COLUMN())),OFFSET($BN$2,0,0,ROW()-1,60),ROW()-1,FALSE))</f>
        <v>2.823934876</v>
      </c>
      <c r="T384">
        <f ca="1">IF(AND(ISNUMBER($T$1048),$B$677=1),$T$1048,HLOOKUP(INDIRECT(ADDRESS(2,COLUMN())),OFFSET($BN$2,0,0,ROW()-1,60),ROW()-1,FALSE))</f>
        <v>3.8129855099999999</v>
      </c>
      <c r="U384">
        <f ca="1">IF(AND(ISNUMBER($U$1048),$B$677=1),$U$1048,HLOOKUP(INDIRECT(ADDRESS(2,COLUMN())),OFFSET($BN$2,0,0,ROW()-1,60),ROW()-1,FALSE))</f>
        <v>3.2812050789999998</v>
      </c>
      <c r="V384">
        <f ca="1">IF(AND(ISNUMBER($V$1048),$B$677=1),$V$1048,HLOOKUP(INDIRECT(ADDRESS(2,COLUMN())),OFFSET($BN$2,0,0,ROW()-1,60),ROW()-1,FALSE))</f>
        <v>2.0651252759999998</v>
      </c>
      <c r="W384">
        <f ca="1">IF(AND(ISNUMBER($W$1048),$B$677=1),$W$1048,HLOOKUP(INDIRECT(ADDRESS(2,COLUMN())),OFFSET($BN$2,0,0,ROW()-1,60),ROW()-1,FALSE))</f>
        <v>2.737116409</v>
      </c>
      <c r="X384">
        <f ca="1">IF(AND(ISNUMBER($X$1048),$B$677=1),$X$1048,HLOOKUP(INDIRECT(ADDRESS(2,COLUMN())),OFFSET($BN$2,0,0,ROW()-1,60),ROW()-1,FALSE))</f>
        <v>2.2116790229999999</v>
      </c>
      <c r="Y384">
        <f ca="1">IF(AND(ISNUMBER($Y$1048),$B$677=1),$Y$1048,HLOOKUP(INDIRECT(ADDRESS(2,COLUMN())),OFFSET($BN$2,0,0,ROW()-1,60),ROW()-1,FALSE))</f>
        <v>2.2258185300000002</v>
      </c>
      <c r="Z384">
        <f ca="1">IF(AND(ISNUMBER($Z$1048),$B$677=1),$Z$1048,HLOOKUP(INDIRECT(ADDRESS(2,COLUMN())),OFFSET($BN$2,0,0,ROW()-1,60),ROW()-1,FALSE))</f>
        <v>1.798048979</v>
      </c>
      <c r="AA384">
        <f ca="1">IF(AND(ISNUMBER($AA$1048),$B$677=1),$AA$1048,HLOOKUP(INDIRECT(ADDRESS(2,COLUMN())),OFFSET($BN$2,0,0,ROW()-1,60),ROW()-1,FALSE))</f>
        <v>1.390668402</v>
      </c>
      <c r="AB384">
        <f ca="1">IF(AND(ISNUMBER($AB$1048),$B$677=1),$AB$1048,HLOOKUP(INDIRECT(ADDRESS(2,COLUMN())),OFFSET($BN$2,0,0,ROW()-1,60),ROW()-1,FALSE))</f>
        <v>1.471123229</v>
      </c>
      <c r="AC384">
        <f ca="1">IF(AND(ISNUMBER($AC$1048),$B$677=1),$AC$1048,HLOOKUP(INDIRECT(ADDRESS(2,COLUMN())),OFFSET($BN$2,0,0,ROW()-1,60),ROW()-1,FALSE))</f>
        <v>1.494870063</v>
      </c>
      <c r="AD384">
        <f ca="1">IF(AND(ISNUMBER($AD$1048),$B$677=1),$AD$1048,HLOOKUP(INDIRECT(ADDRESS(2,COLUMN())),OFFSET($BN$2,0,0,ROW()-1,60),ROW()-1,FALSE))</f>
        <v>0.887886536</v>
      </c>
      <c r="AE384">
        <f ca="1">IF(AND(ISNUMBER($AE$1048),$B$677=1),$AE$1048,HLOOKUP(INDIRECT(ADDRESS(2,COLUMN())),OFFSET($BN$2,0,0,ROW()-1,60),ROW()-1,FALSE))</f>
        <v>1.3772057980000001</v>
      </c>
      <c r="AF384">
        <f ca="1">IF(AND(ISNUMBER($AF$1048),$B$677=1),$AF$1048,HLOOKUP(INDIRECT(ADDRESS(2,COLUMN())),OFFSET($BN$2,0,0,ROW()-1,60),ROW()-1,FALSE))</f>
        <v>1.4429534020000001</v>
      </c>
      <c r="AG384">
        <f ca="1">IF(AND(ISNUMBER($AG$1048),$B$677=1),$AG$1048,HLOOKUP(INDIRECT(ADDRESS(2,COLUMN())),OFFSET($BN$2,0,0,ROW()-1,60),ROW()-1,FALSE))</f>
        <v>1.387176722</v>
      </c>
      <c r="AH384">
        <f ca="1">IF(AND(ISNUMBER($AH$1048),$B$677=1),$AH$1048,HLOOKUP(INDIRECT(ADDRESS(2,COLUMN())),OFFSET($BN$2,0,0,ROW()-1,60),ROW()-1,FALSE))</f>
        <v>0.53353607599999997</v>
      </c>
      <c r="AI384">
        <f ca="1">IF(AND(ISNUMBER($AI$1048),$B$677=1),$AI$1048,HLOOKUP(INDIRECT(ADDRESS(2,COLUMN())),OFFSET($BN$2,0,0,ROW()-1,60),ROW()-1,FALSE))</f>
        <v>0.46280563699999999</v>
      </c>
      <c r="AJ384">
        <f ca="1">IF(AND(ISNUMBER($AJ$1048),$B$677=1),$AJ$1048,HLOOKUP(INDIRECT(ADDRESS(2,COLUMN())),OFFSET($BN$2,0,0,ROW()-1,60),ROW()-1,FALSE))</f>
        <v>0.40679802799999998</v>
      </c>
      <c r="AK384" t="str">
        <f ca="1">IF(AND(ISNUMBER($AK$1048),$B$677=1),$AK$1048,HLOOKUP(INDIRECT(ADDRESS(2,COLUMN())),OFFSET($BN$2,0,0,ROW()-1,60),ROW()-1,FALSE))</f>
        <v/>
      </c>
      <c r="AL384" t="str">
        <f ca="1">IF(AND(ISNUMBER($AL$1048),$B$677=1),$AL$1048,HLOOKUP(INDIRECT(ADDRESS(2,COLUMN())),OFFSET($BN$2,0,0,ROW()-1,60),ROW()-1,FALSE))</f>
        <v/>
      </c>
      <c r="AM384">
        <f ca="1">IF(AND(ISNUMBER($AM$1048),$B$677=1),$AM$1048,HLOOKUP(INDIRECT(ADDRESS(2,COLUMN())),OFFSET($BN$2,0,0,ROW()-1,60),ROW()-1,FALSE))</f>
        <v>2.726719348</v>
      </c>
      <c r="AN384">
        <f ca="1">IF(AND(ISNUMBER($AN$1048),$B$677=1),$AN$1048,HLOOKUP(INDIRECT(ADDRESS(2,COLUMN())),OFFSET($BN$2,0,0,ROW()-1,60),ROW()-1,FALSE))</f>
        <v>4.4924980229999996</v>
      </c>
      <c r="AO384">
        <f ca="1">IF(AND(ISNUMBER($AO$1048),$B$677=1),$AO$1048,HLOOKUP(INDIRECT(ADDRESS(2,COLUMN())),OFFSET($BN$2,0,0,ROW()-1,60),ROW()-1,FALSE))</f>
        <v>5.3561857249999996</v>
      </c>
      <c r="AP384" t="str">
        <f ca="1">IF(AND(ISNUMBER($AP$1048),$B$677=1),$AP$1048,HLOOKUP(INDIRECT(ADDRESS(2,COLUMN())),OFFSET($BN$2,0,0,ROW()-1,60),ROW()-1,FALSE))</f>
        <v/>
      </c>
      <c r="AQ384" t="str">
        <f ca="1">IF(AND(ISNUMBER($AQ$1048),$B$677=1),$AQ$1048,HLOOKUP(INDIRECT(ADDRESS(2,COLUMN())),OFFSET($BN$2,0,0,ROW()-1,60),ROW()-1,FALSE))</f>
        <v/>
      </c>
      <c r="AR384" t="str">
        <f ca="1">IF(AND(ISNUMBER($AR$1048),$B$677=1),$AR$1048,HLOOKUP(INDIRECT(ADDRESS(2,COLUMN())),OFFSET($BN$2,0,0,ROW()-1,60),ROW()-1,FALSE))</f>
        <v/>
      </c>
      <c r="AS384">
        <f ca="1">IF(AND(ISNUMBER($AS$1048),$B$677=1),$AS$1048,HLOOKUP(INDIRECT(ADDRESS(2,COLUMN())),OFFSET($BN$2,0,0,ROW()-1,60),ROW()-1,FALSE))</f>
        <v>5.3194895999999998</v>
      </c>
      <c r="AT384" t="str">
        <f ca="1">IF(AND(ISNUMBER($AT$1048),$B$677=1),$AT$1048,HLOOKUP(INDIRECT(ADDRESS(2,COLUMN())),OFFSET($BN$2,0,0,ROW()-1,60),ROW()-1,FALSE))</f>
        <v/>
      </c>
      <c r="AU384" t="str">
        <f ca="1">IF(AND(ISNUMBER($AU$1048),$B$677=1),$AU$1048,HLOOKUP(INDIRECT(ADDRESS(2,COLUMN())),OFFSET($BN$2,0,0,ROW()-1,60),ROW()-1,FALSE))</f>
        <v/>
      </c>
      <c r="AV384">
        <f ca="1">IF(AND(ISNUMBER($AV$1048),$B$677=1),$AV$1048,HLOOKUP(INDIRECT(ADDRESS(2,COLUMN())),OFFSET($BN$2,0,0,ROW()-1,60),ROW()-1,FALSE))</f>
        <v>1.084964971</v>
      </c>
      <c r="AW384">
        <f ca="1">IF(AND(ISNUMBER($AW$1048),$B$677=1),$AW$1048,HLOOKUP(INDIRECT(ADDRESS(2,COLUMN())),OFFSET($BN$2,0,0,ROW()-1,60),ROW()-1,FALSE))</f>
        <v>0.96172966400000004</v>
      </c>
      <c r="AX384">
        <f ca="1">IF(AND(ISNUMBER($AX$1048),$B$677=1),$AX$1048,HLOOKUP(INDIRECT(ADDRESS(2,COLUMN())),OFFSET($BN$2,0,0,ROW()-1,60),ROW()-1,FALSE))</f>
        <v>1.980494918</v>
      </c>
      <c r="AY384">
        <f ca="1">IF(AND(ISNUMBER($AY$1048),$B$677=1),$AY$1048,HLOOKUP(INDIRECT(ADDRESS(2,COLUMN())),OFFSET($BN$2,0,0,ROW()-1,60),ROW()-1,FALSE))</f>
        <v>1.7660056989999999</v>
      </c>
      <c r="AZ384">
        <f ca="1">IF(AND(ISNUMBER($AZ$1048),$B$677=1),$AZ$1048,HLOOKUP(INDIRECT(ADDRESS(2,COLUMN())),OFFSET($BN$2,0,0,ROW()-1,60),ROW()-1,FALSE))</f>
        <v>1.551691822</v>
      </c>
      <c r="BA384">
        <f ca="1">IF(AND(ISNUMBER($BA$1048),$B$677=1),$BA$1048,HLOOKUP(INDIRECT(ADDRESS(2,COLUMN())),OFFSET($BN$2,0,0,ROW()-1,60),ROW()-1,FALSE))</f>
        <v>1.448200376</v>
      </c>
      <c r="BB384">
        <f ca="1">IF(AND(ISNUMBER($BB$1048),$B$677=1),$BB$1048,HLOOKUP(INDIRECT(ADDRESS(2,COLUMN())),OFFSET($BN$2,0,0,ROW()-1,60),ROW()-1,FALSE))</f>
        <v>1.745639714</v>
      </c>
      <c r="BC384">
        <f ca="1">IF(AND(ISNUMBER($BC$1048),$B$677=1),$BC$1048,HLOOKUP(INDIRECT(ADDRESS(2,COLUMN())),OFFSET($BN$2,0,0,ROW()-1,60),ROW()-1,FALSE))</f>
        <v>1.9986910520000001</v>
      </c>
      <c r="BD384">
        <f ca="1">IF(AND(ISNUMBER($BD$1048),$B$677=1),$BD$1048,HLOOKUP(INDIRECT(ADDRESS(2,COLUMN())),OFFSET($BN$2,0,0,ROW()-1,60),ROW()-1,FALSE))</f>
        <v>2.3053222510000002</v>
      </c>
      <c r="BE384">
        <f ca="1">IF(AND(ISNUMBER($BE$1048),$B$677=1),$BE$1048,HLOOKUP(INDIRECT(ADDRESS(2,COLUMN())),OFFSET($BN$2,0,0,ROW()-1,60),ROW()-1,FALSE))</f>
        <v>2.4767200699999998</v>
      </c>
      <c r="BF384">
        <f ca="1">IF(AND(ISNUMBER($BF$1048),$B$677=1),$BF$1048,HLOOKUP(INDIRECT(ADDRESS(2,COLUMN())),OFFSET($BN$2,0,0,ROW()-1,60),ROW()-1,FALSE))</f>
        <v>2.3737250150000002</v>
      </c>
      <c r="BG384">
        <f ca="1">IF(AND(ISNUMBER($BG$1048),$B$677=1),$BG$1048,HLOOKUP(INDIRECT(ADDRESS(2,COLUMN())),OFFSET($BN$2,0,0,ROW()-1,60),ROW()-1,FALSE))</f>
        <v>2.7789529380000002</v>
      </c>
      <c r="BH384">
        <f ca="1">IF(AND(ISNUMBER($BH$1048),$B$677=1),$BH$1048,HLOOKUP(INDIRECT(ADDRESS(2,COLUMN())),OFFSET($BN$2,0,0,ROW()-1,60),ROW()-1,FALSE))</f>
        <v>2.366937869</v>
      </c>
      <c r="BI384">
        <f ca="1">IF(AND(ISNUMBER($BI$1048),$B$677=1),$BI$1048,HLOOKUP(INDIRECT(ADDRESS(2,COLUMN())),OFFSET($BN$2,0,0,ROW()-1,60),ROW()-1,FALSE))</f>
        <v>2.3453703720000001</v>
      </c>
      <c r="BJ384">
        <f ca="1">IF(AND(ISNUMBER($BJ$1048),$B$677=1),$BJ$1048,HLOOKUP(INDIRECT(ADDRESS(2,COLUMN())),OFFSET($BN$2,0,0,ROW()-1,60),ROW()-1,FALSE))</f>
        <v>2.1014057159999999</v>
      </c>
      <c r="BK384">
        <f ca="1">IF(AND(ISNUMBER($BK$1048),$B$677=1),$BK$1048,HLOOKUP(INDIRECT(ADDRESS(2,COLUMN())),OFFSET($BN$2,0,0,ROW()-1,60),ROW()-1,FALSE))</f>
        <v>1.981216036</v>
      </c>
      <c r="BL384">
        <f ca="1">IF(AND(ISNUMBER($BL$1048),$B$677=1),$BL$1048,HLOOKUP(INDIRECT(ADDRESS(2,COLUMN())),OFFSET($BN$2,0,0,ROW()-1,60),ROW()-1,FALSE))</f>
        <v>2.0647357959999999</v>
      </c>
      <c r="BM384">
        <f ca="1">IF(AND(ISNUMBER($BM$1048),$B$677=1),$BM$1048,HLOOKUP(INDIRECT(ADDRESS(2,COLUMN())),OFFSET($BN$2,0,0,ROW()-1,60),ROW()-1,FALSE))</f>
        <v>2.408905018</v>
      </c>
      <c r="BN384" t="str">
        <f>""</f>
        <v/>
      </c>
      <c r="BO384" t="str">
        <f>""</f>
        <v/>
      </c>
      <c r="BP384">
        <f>2.062165908</f>
        <v>2.0621659079999999</v>
      </c>
      <c r="BQ384">
        <f>2.50062157</f>
        <v>2.5006215699999998</v>
      </c>
      <c r="BR384">
        <f>1.915716982</f>
        <v>1.915716982</v>
      </c>
      <c r="BS384">
        <f>2.327429625</f>
        <v>2.3274296250000002</v>
      </c>
      <c r="BT384">
        <f>3.090070612</f>
        <v>3.0900706119999999</v>
      </c>
      <c r="BU384">
        <f>2.860475113</f>
        <v>2.8604751130000001</v>
      </c>
      <c r="BV384">
        <f>3.3167764</f>
        <v>3.3167764000000002</v>
      </c>
      <c r="BW384">
        <f>3.715303063</f>
        <v>3.7153030629999999</v>
      </c>
      <c r="BX384">
        <f>3.002467436</f>
        <v>3.0024674359999999</v>
      </c>
      <c r="BY384">
        <f>4.026803117</f>
        <v>4.026803117</v>
      </c>
      <c r="BZ384">
        <f>3.850393042</f>
        <v>3.8503930419999999</v>
      </c>
      <c r="CA384">
        <f>2.823934876</f>
        <v>2.823934876</v>
      </c>
      <c r="CB384">
        <f>3.81298551</f>
        <v>3.8129855099999999</v>
      </c>
      <c r="CC384">
        <f>3.281205079</f>
        <v>3.2812050789999998</v>
      </c>
      <c r="CD384">
        <f>2.065125276</f>
        <v>2.0651252759999998</v>
      </c>
      <c r="CE384">
        <f>2.737116409</f>
        <v>2.737116409</v>
      </c>
      <c r="CF384">
        <f>2.211679023</f>
        <v>2.2116790229999999</v>
      </c>
      <c r="CG384">
        <f>2.22581853</f>
        <v>2.2258185300000002</v>
      </c>
      <c r="CH384">
        <f>1.798048979</f>
        <v>1.798048979</v>
      </c>
      <c r="CI384">
        <f>1.390668402</f>
        <v>1.390668402</v>
      </c>
      <c r="CJ384">
        <f>1.471123229</f>
        <v>1.471123229</v>
      </c>
      <c r="CK384">
        <f>1.494870063</f>
        <v>1.494870063</v>
      </c>
      <c r="CL384">
        <f>0.887886536</f>
        <v>0.887886536</v>
      </c>
      <c r="CM384">
        <f>1.377205798</f>
        <v>1.3772057980000001</v>
      </c>
      <c r="CN384">
        <f>1.442953402</f>
        <v>1.4429534020000001</v>
      </c>
      <c r="CO384">
        <f>1.387176722</f>
        <v>1.387176722</v>
      </c>
      <c r="CP384">
        <f>0.533536076</f>
        <v>0.53353607599999997</v>
      </c>
      <c r="CQ384">
        <f>0.462805637</f>
        <v>0.46280563699999999</v>
      </c>
      <c r="CR384">
        <f>0.406798028</f>
        <v>0.40679802799999998</v>
      </c>
      <c r="CS384" t="str">
        <f>""</f>
        <v/>
      </c>
      <c r="CT384" t="str">
        <f>""</f>
        <v/>
      </c>
      <c r="CU384">
        <f>2.726719348</f>
        <v>2.726719348</v>
      </c>
      <c r="CV384">
        <f>4.492498023</f>
        <v>4.4924980229999996</v>
      </c>
      <c r="CW384">
        <f>5.356185725</f>
        <v>5.3561857249999996</v>
      </c>
      <c r="CX384" t="str">
        <f>""</f>
        <v/>
      </c>
      <c r="CY384" t="str">
        <f>""</f>
        <v/>
      </c>
      <c r="CZ384" t="str">
        <f>""</f>
        <v/>
      </c>
      <c r="DA384">
        <f>5.3194896</f>
        <v>5.3194895999999998</v>
      </c>
      <c r="DB384" t="str">
        <f>""</f>
        <v/>
      </c>
      <c r="DC384" t="str">
        <f>""</f>
        <v/>
      </c>
      <c r="DD384">
        <f>1.084964971</f>
        <v>1.084964971</v>
      </c>
      <c r="DE384">
        <f>0.961729664</f>
        <v>0.96172966400000004</v>
      </c>
      <c r="DF384">
        <f>1.980494918</f>
        <v>1.980494918</v>
      </c>
      <c r="DG384">
        <f>1.766005699</f>
        <v>1.7660056989999999</v>
      </c>
      <c r="DH384">
        <f>1.551691822</f>
        <v>1.551691822</v>
      </c>
      <c r="DI384">
        <f>1.448200376</f>
        <v>1.448200376</v>
      </c>
      <c r="DJ384">
        <f>1.745639714</f>
        <v>1.745639714</v>
      </c>
      <c r="DK384">
        <f>1.998691052</f>
        <v>1.9986910520000001</v>
      </c>
      <c r="DL384">
        <f>2.305322251</f>
        <v>2.3053222510000002</v>
      </c>
      <c r="DM384">
        <f>2.47672007</f>
        <v>2.4767200699999998</v>
      </c>
      <c r="DN384">
        <f>2.373725015</f>
        <v>2.3737250150000002</v>
      </c>
      <c r="DO384">
        <f>2.778952938</f>
        <v>2.7789529380000002</v>
      </c>
      <c r="DP384">
        <f>2.366937869</f>
        <v>2.366937869</v>
      </c>
      <c r="DQ384">
        <f>2.345370372</f>
        <v>2.3453703720000001</v>
      </c>
      <c r="DR384">
        <f>2.101405716</f>
        <v>2.1014057159999999</v>
      </c>
      <c r="DS384">
        <f>1.981216036</f>
        <v>1.981216036</v>
      </c>
      <c r="DT384">
        <f>2.064735796</f>
        <v>2.0647357959999999</v>
      </c>
      <c r="DU384">
        <f>2.408905018</f>
        <v>2.408905018</v>
      </c>
    </row>
    <row r="385" spans="1:125" x14ac:dyDescent="0.25">
      <c r="A385" t="str">
        <f>"    FAW CAR Co Ltd"</f>
        <v xml:space="preserve">    FAW CAR Co Ltd</v>
      </c>
      <c r="B385" t="str">
        <f>"000800 CH Equity"</f>
        <v>000800 CH Equity</v>
      </c>
      <c r="C385" t="str">
        <f t="shared" si="27"/>
        <v>RR480</v>
      </c>
      <c r="D385" t="str">
        <f t="shared" si="28"/>
        <v>EV_TO_MKT_CAP</v>
      </c>
      <c r="E385" t="str">
        <f t="shared" si="29"/>
        <v>Dynamic</v>
      </c>
      <c r="F385" t="str">
        <f ca="1">IF(AND(ISNUMBER($F$1049),$B$677=1),$F$1049,HLOOKUP(INDIRECT(ADDRESS(2,COLUMN())),OFFSET($BN$2,0,0,ROW()-1,60),ROW()-1,FALSE))</f>
        <v/>
      </c>
      <c r="G385" t="str">
        <f ca="1">IF(AND(ISNUMBER($G$1049),$B$677=1),$G$1049,HLOOKUP(INDIRECT(ADDRESS(2,COLUMN())),OFFSET($BN$2,0,0,ROW()-1,60),ROW()-1,FALSE))</f>
        <v/>
      </c>
      <c r="H385">
        <f ca="1">IF(AND(ISNUMBER($H$1049),$B$677=1),$H$1049,HLOOKUP(INDIRECT(ADDRESS(2,COLUMN())),OFFSET($BN$2,0,0,ROW()-1,60),ROW()-1,FALSE))</f>
        <v>0.94341223500000004</v>
      </c>
      <c r="I385">
        <f ca="1">IF(AND(ISNUMBER($I$1049),$B$677=1),$I$1049,HLOOKUP(INDIRECT(ADDRESS(2,COLUMN())),OFFSET($BN$2,0,0,ROW()-1,60),ROW()-1,FALSE))</f>
        <v>0.95770720099999995</v>
      </c>
      <c r="J385">
        <f ca="1">IF(AND(ISNUMBER($J$1049),$B$677=1),$J$1049,HLOOKUP(INDIRECT(ADDRESS(2,COLUMN())),OFFSET($BN$2,0,0,ROW()-1,60),ROW()-1,FALSE))</f>
        <v>0.90627319799999995</v>
      </c>
      <c r="K385">
        <f ca="1">IF(AND(ISNUMBER($K$1049),$B$677=1),$K$1049,HLOOKUP(INDIRECT(ADDRESS(2,COLUMN())),OFFSET($BN$2,0,0,ROW()-1,60),ROW()-1,FALSE))</f>
        <v>0.94075877299999999</v>
      </c>
      <c r="L385">
        <f ca="1">IF(AND(ISNUMBER($L$1049),$B$677=1),$L$1049,HLOOKUP(INDIRECT(ADDRESS(2,COLUMN())),OFFSET($BN$2,0,0,ROW()-1,60),ROW()-1,FALSE))</f>
        <v>1.005353615</v>
      </c>
      <c r="M385">
        <f ca="1">IF(AND(ISNUMBER($M$1049),$B$677=1),$M$1049,HLOOKUP(INDIRECT(ADDRESS(2,COLUMN())),OFFSET($BN$2,0,0,ROW()-1,60),ROW()-1,FALSE))</f>
        <v>1.0662654410000001</v>
      </c>
      <c r="N385">
        <f ca="1">IF(AND(ISNUMBER($N$1049),$B$677=1),$N$1049,HLOOKUP(INDIRECT(ADDRESS(2,COLUMN())),OFFSET($BN$2,0,0,ROW()-1,60),ROW()-1,FALSE))</f>
        <v>1.0488895730000001</v>
      </c>
      <c r="O385">
        <f ca="1">IF(AND(ISNUMBER($O$1049),$B$677=1),$O$1049,HLOOKUP(INDIRECT(ADDRESS(2,COLUMN())),OFFSET($BN$2,0,0,ROW()-1,60),ROW()-1,FALSE))</f>
        <v>1.088552041</v>
      </c>
      <c r="P385">
        <f ca="1">IF(AND(ISNUMBER($P$1049),$B$677=1),$P$1049,HLOOKUP(INDIRECT(ADDRESS(2,COLUMN())),OFFSET($BN$2,0,0,ROW()-1,60),ROW()-1,FALSE))</f>
        <v>1.165554499</v>
      </c>
      <c r="Q385">
        <f ca="1">IF(AND(ISNUMBER($Q$1049),$B$677=1),$Q$1049,HLOOKUP(INDIRECT(ADDRESS(2,COLUMN())),OFFSET($BN$2,0,0,ROW()-1,60),ROW()-1,FALSE))</f>
        <v>1.15232621</v>
      </c>
      <c r="R385">
        <f ca="1">IF(AND(ISNUMBER($R$1049),$B$677=1),$R$1049,HLOOKUP(INDIRECT(ADDRESS(2,COLUMN())),OFFSET($BN$2,0,0,ROW()-1,60),ROW()-1,FALSE))</f>
        <v>1.1103385459999999</v>
      </c>
      <c r="S385">
        <f ca="1">IF(AND(ISNUMBER($S$1049),$B$677=1),$S$1049,HLOOKUP(INDIRECT(ADDRESS(2,COLUMN())),OFFSET($BN$2,0,0,ROW()-1,60),ROW()-1,FALSE))</f>
        <v>1.0619693459999999</v>
      </c>
      <c r="T385">
        <f ca="1">IF(AND(ISNUMBER($T$1049),$B$677=1),$T$1049,HLOOKUP(INDIRECT(ADDRESS(2,COLUMN())),OFFSET($BN$2,0,0,ROW()-1,60),ROW()-1,FALSE))</f>
        <v>1.0906426410000001</v>
      </c>
      <c r="U385">
        <f ca="1">IF(AND(ISNUMBER($U$1049),$B$677=1),$U$1049,HLOOKUP(INDIRECT(ADDRESS(2,COLUMN())),OFFSET($BN$2,0,0,ROW()-1,60),ROW()-1,FALSE))</f>
        <v>1.0516295579999999</v>
      </c>
      <c r="V385">
        <f ca="1">IF(AND(ISNUMBER($V$1049),$B$677=1),$V$1049,HLOOKUP(INDIRECT(ADDRESS(2,COLUMN())),OFFSET($BN$2,0,0,ROW()-1,60),ROW()-1,FALSE))</f>
        <v>1.043403021</v>
      </c>
      <c r="W385">
        <f ca="1">IF(AND(ISNUMBER($W$1049),$B$677=1),$W$1049,HLOOKUP(INDIRECT(ADDRESS(2,COLUMN())),OFFSET($BN$2,0,0,ROW()-1,60),ROW()-1,FALSE))</f>
        <v>1.0563327689999999</v>
      </c>
      <c r="X385">
        <f ca="1">IF(AND(ISNUMBER($X$1049),$B$677=1),$X$1049,HLOOKUP(INDIRECT(ADDRESS(2,COLUMN())),OFFSET($BN$2,0,0,ROW()-1,60),ROW()-1,FALSE))</f>
        <v>1.0445589239999999</v>
      </c>
      <c r="Y385">
        <f ca="1">IF(AND(ISNUMBER($Y$1049),$B$677=1),$Y$1049,HLOOKUP(INDIRECT(ADDRESS(2,COLUMN())),OFFSET($BN$2,0,0,ROW()-1,60),ROW()-1,FALSE))</f>
        <v>1.0601752959999999</v>
      </c>
      <c r="Z385">
        <f ca="1">IF(AND(ISNUMBER($Z$1049),$B$677=1),$Z$1049,HLOOKUP(INDIRECT(ADDRESS(2,COLUMN())),OFFSET($BN$2,0,0,ROW()-1,60),ROW()-1,FALSE))</f>
        <v>1.0610415209999999</v>
      </c>
      <c r="AA385">
        <f ca="1">IF(AND(ISNUMBER($AA$1049),$B$677=1),$AA$1049,HLOOKUP(INDIRECT(ADDRESS(2,COLUMN())),OFFSET($BN$2,0,0,ROW()-1,60),ROW()-1,FALSE))</f>
        <v>1.0616814779999999</v>
      </c>
      <c r="AB385">
        <f ca="1">IF(AND(ISNUMBER($AB$1049),$B$677=1),$AB$1049,HLOOKUP(INDIRECT(ADDRESS(2,COLUMN())),OFFSET($BN$2,0,0,ROW()-1,60),ROW()-1,FALSE))</f>
        <v>1.0325539239999999</v>
      </c>
      <c r="AC385">
        <f ca="1">IF(AND(ISNUMBER($AC$1049),$B$677=1),$AC$1049,HLOOKUP(INDIRECT(ADDRESS(2,COLUMN())),OFFSET($BN$2,0,0,ROW()-1,60),ROW()-1,FALSE))</f>
        <v>1.051366271</v>
      </c>
      <c r="AD385">
        <f ca="1">IF(AND(ISNUMBER($AD$1049),$B$677=1),$AD$1049,HLOOKUP(INDIRECT(ADDRESS(2,COLUMN())),OFFSET($BN$2,0,0,ROW()-1,60),ROW()-1,FALSE))</f>
        <v>1.103947663</v>
      </c>
      <c r="AE385">
        <f ca="1">IF(AND(ISNUMBER($AE$1049),$B$677=1),$AE$1049,HLOOKUP(INDIRECT(ADDRESS(2,COLUMN())),OFFSET($BN$2,0,0,ROW()-1,60),ROW()-1,FALSE))</f>
        <v>1.0523859980000001</v>
      </c>
      <c r="AF385">
        <f ca="1">IF(AND(ISNUMBER($AF$1049),$B$677=1),$AF$1049,HLOOKUP(INDIRECT(ADDRESS(2,COLUMN())),OFFSET($BN$2,0,0,ROW()-1,60),ROW()-1,FALSE))</f>
        <v>1.023437951</v>
      </c>
      <c r="AG385">
        <f ca="1">IF(AND(ISNUMBER($AG$1049),$B$677=1),$AG$1049,HLOOKUP(INDIRECT(ADDRESS(2,COLUMN())),OFFSET($BN$2,0,0,ROW()-1,60),ROW()-1,FALSE))</f>
        <v>0.94859678999999997</v>
      </c>
      <c r="AH385">
        <f ca="1">IF(AND(ISNUMBER($AH$1049),$B$677=1),$AH$1049,HLOOKUP(INDIRECT(ADDRESS(2,COLUMN())),OFFSET($BN$2,0,0,ROW()-1,60),ROW()-1,FALSE))</f>
        <v>0.98652802399999995</v>
      </c>
      <c r="AI385">
        <f ca="1">IF(AND(ISNUMBER($AI$1049),$B$677=1),$AI$1049,HLOOKUP(INDIRECT(ADDRESS(2,COLUMN())),OFFSET($BN$2,0,0,ROW()-1,60),ROW()-1,FALSE))</f>
        <v>0.98455965999999995</v>
      </c>
      <c r="AJ385">
        <f ca="1">IF(AND(ISNUMBER($AJ$1049),$B$677=1),$AJ$1049,HLOOKUP(INDIRECT(ADDRESS(2,COLUMN())),OFFSET($BN$2,0,0,ROW()-1,60),ROW()-1,FALSE))</f>
        <v>0.99555364800000001</v>
      </c>
      <c r="AK385">
        <f ca="1">IF(AND(ISNUMBER($AK$1049),$B$677=1),$AK$1049,HLOOKUP(INDIRECT(ADDRESS(2,COLUMN())),OFFSET($BN$2,0,0,ROW()-1,60),ROW()-1,FALSE))</f>
        <v>0.93778010300000003</v>
      </c>
      <c r="AL385">
        <f ca="1">IF(AND(ISNUMBER($AL$1049),$B$677=1),$AL$1049,HLOOKUP(INDIRECT(ADDRESS(2,COLUMN())),OFFSET($BN$2,0,0,ROW()-1,60),ROW()-1,FALSE))</f>
        <v>0.926839093</v>
      </c>
      <c r="AM385">
        <f ca="1">IF(AND(ISNUMBER($AM$1049),$B$677=1),$AM$1049,HLOOKUP(INDIRECT(ADDRESS(2,COLUMN())),OFFSET($BN$2,0,0,ROW()-1,60),ROW()-1,FALSE))</f>
        <v>0.86583544300000004</v>
      </c>
      <c r="AN385">
        <f ca="1">IF(AND(ISNUMBER($AN$1049),$B$677=1),$AN$1049,HLOOKUP(INDIRECT(ADDRESS(2,COLUMN())),OFFSET($BN$2,0,0,ROW()-1,60),ROW()-1,FALSE))</f>
        <v>0.83789042000000002</v>
      </c>
      <c r="AO385">
        <f ca="1">IF(AND(ISNUMBER($AO$1049),$B$677=1),$AO$1049,HLOOKUP(INDIRECT(ADDRESS(2,COLUMN())),OFFSET($BN$2,0,0,ROW()-1,60),ROW()-1,FALSE))</f>
        <v>0.86048744399999999</v>
      </c>
      <c r="AP385">
        <f ca="1">IF(AND(ISNUMBER($AP$1049),$B$677=1),$AP$1049,HLOOKUP(INDIRECT(ADDRESS(2,COLUMN())),OFFSET($BN$2,0,0,ROW()-1,60),ROW()-1,FALSE))</f>
        <v>0.88997371999999997</v>
      </c>
      <c r="AQ385">
        <f ca="1">IF(AND(ISNUMBER($AQ$1049),$B$677=1),$AQ$1049,HLOOKUP(INDIRECT(ADDRESS(2,COLUMN())),OFFSET($BN$2,0,0,ROW()-1,60),ROW()-1,FALSE))</f>
        <v>0.94004749300000001</v>
      </c>
      <c r="AR385">
        <f ca="1">IF(AND(ISNUMBER($AR$1049),$B$677=1),$AR$1049,HLOOKUP(INDIRECT(ADDRESS(2,COLUMN())),OFFSET($BN$2,0,0,ROW()-1,60),ROW()-1,FALSE))</f>
        <v>0.87813344299999996</v>
      </c>
      <c r="AS385">
        <f ca="1">IF(AND(ISNUMBER($AS$1049),$B$677=1),$AS$1049,HLOOKUP(INDIRECT(ADDRESS(2,COLUMN())),OFFSET($BN$2,0,0,ROW()-1,60),ROW()-1,FALSE))</f>
        <v>0.87584021300000003</v>
      </c>
      <c r="AT385">
        <f ca="1">IF(AND(ISNUMBER($AT$1049),$B$677=1),$AT$1049,HLOOKUP(INDIRECT(ADDRESS(2,COLUMN())),OFFSET($BN$2,0,0,ROW()-1,60),ROW()-1,FALSE))</f>
        <v>0.84266117200000001</v>
      </c>
      <c r="AU385">
        <f ca="1">IF(AND(ISNUMBER($AU$1049),$B$677=1),$AU$1049,HLOOKUP(INDIRECT(ADDRESS(2,COLUMN())),OFFSET($BN$2,0,0,ROW()-1,60),ROW()-1,FALSE))</f>
        <v>0.839572977</v>
      </c>
      <c r="AV385">
        <f ca="1">IF(AND(ISNUMBER($AV$1049),$B$677=1),$AV$1049,HLOOKUP(INDIRECT(ADDRESS(2,COLUMN())),OFFSET($BN$2,0,0,ROW()-1,60),ROW()-1,FALSE))</f>
        <v>0.81258268199999995</v>
      </c>
      <c r="AW385">
        <f ca="1">IF(AND(ISNUMBER($AW$1049),$B$677=1),$AW$1049,HLOOKUP(INDIRECT(ADDRESS(2,COLUMN())),OFFSET($BN$2,0,0,ROW()-1,60),ROW()-1,FALSE))</f>
        <v>0.82830577100000002</v>
      </c>
      <c r="AX385">
        <f ca="1">IF(AND(ISNUMBER($AX$1049),$B$677=1),$AX$1049,HLOOKUP(INDIRECT(ADDRESS(2,COLUMN())),OFFSET($BN$2,0,0,ROW()-1,60),ROW()-1,FALSE))</f>
        <v>0.86555032300000001</v>
      </c>
      <c r="AY385">
        <f ca="1">IF(AND(ISNUMBER($AY$1049),$B$677=1),$AY$1049,HLOOKUP(INDIRECT(ADDRESS(2,COLUMN())),OFFSET($BN$2,0,0,ROW()-1,60),ROW()-1,FALSE))</f>
        <v>0.92776623400000002</v>
      </c>
      <c r="AZ385">
        <f ca="1">IF(AND(ISNUMBER($AZ$1049),$B$677=1),$AZ$1049,HLOOKUP(INDIRECT(ADDRESS(2,COLUMN())),OFFSET($BN$2,0,0,ROW()-1,60),ROW()-1,FALSE))</f>
        <v>0.92385964399999998</v>
      </c>
      <c r="BA385">
        <f ca="1">IF(AND(ISNUMBER($BA$1049),$B$677=1),$BA$1049,HLOOKUP(INDIRECT(ADDRESS(2,COLUMN())),OFFSET($BN$2,0,0,ROW()-1,60),ROW()-1,FALSE))</f>
        <v>0.84718320499999999</v>
      </c>
      <c r="BB385">
        <f ca="1">IF(AND(ISNUMBER($BB$1049),$B$677=1),$BB$1049,HLOOKUP(INDIRECT(ADDRESS(2,COLUMN())),OFFSET($BN$2,0,0,ROW()-1,60),ROW()-1,FALSE))</f>
        <v>0.80033449800000001</v>
      </c>
      <c r="BC385">
        <f ca="1">IF(AND(ISNUMBER($BC$1049),$B$677=1),$BC$1049,HLOOKUP(INDIRECT(ADDRESS(2,COLUMN())),OFFSET($BN$2,0,0,ROW()-1,60),ROW()-1,FALSE))</f>
        <v>0.58984053700000005</v>
      </c>
      <c r="BD385">
        <f ca="1">IF(AND(ISNUMBER($BD$1049),$B$677=1),$BD$1049,HLOOKUP(INDIRECT(ADDRESS(2,COLUMN())),OFFSET($BN$2,0,0,ROW()-1,60),ROW()-1,FALSE))</f>
        <v>0.739210178</v>
      </c>
      <c r="BE385">
        <f ca="1">IF(AND(ISNUMBER($BE$1049),$B$677=1),$BE$1049,HLOOKUP(INDIRECT(ADDRESS(2,COLUMN())),OFFSET($BN$2,0,0,ROW()-1,60),ROW()-1,FALSE))</f>
        <v>0.55891504599999997</v>
      </c>
      <c r="BF385">
        <f ca="1">IF(AND(ISNUMBER($BF$1049),$B$677=1),$BF$1049,HLOOKUP(INDIRECT(ADDRESS(2,COLUMN())),OFFSET($BN$2,0,0,ROW()-1,60),ROW()-1,FALSE))</f>
        <v>0.46032989000000002</v>
      </c>
      <c r="BG385">
        <f ca="1">IF(AND(ISNUMBER($BG$1049),$B$677=1),$BG$1049,HLOOKUP(INDIRECT(ADDRESS(2,COLUMN())),OFFSET($BN$2,0,0,ROW()-1,60),ROW()-1,FALSE))</f>
        <v>0.429185973</v>
      </c>
      <c r="BH385">
        <f ca="1">IF(AND(ISNUMBER($BH$1049),$B$677=1),$BH$1049,HLOOKUP(INDIRECT(ADDRESS(2,COLUMN())),OFFSET($BN$2,0,0,ROW()-1,60),ROW()-1,FALSE))</f>
        <v>0.38520241199999999</v>
      </c>
      <c r="BI385">
        <f ca="1">IF(AND(ISNUMBER($BI$1049),$B$677=1),$BI$1049,HLOOKUP(INDIRECT(ADDRESS(2,COLUMN())),OFFSET($BN$2,0,0,ROW()-1,60),ROW()-1,FALSE))</f>
        <v>0.32083862099999999</v>
      </c>
      <c r="BJ385">
        <f ca="1">IF(AND(ISNUMBER($BJ$1049),$B$677=1),$BJ$1049,HLOOKUP(INDIRECT(ADDRESS(2,COLUMN())),OFFSET($BN$2,0,0,ROW()-1,60),ROW()-1,FALSE))</f>
        <v>0.69131907599999998</v>
      </c>
      <c r="BK385">
        <f ca="1">IF(AND(ISNUMBER($BK$1049),$B$677=1),$BK$1049,HLOOKUP(INDIRECT(ADDRESS(2,COLUMN())),OFFSET($BN$2,0,0,ROW()-1,60),ROW()-1,FALSE))</f>
        <v>0.89530711200000002</v>
      </c>
      <c r="BL385">
        <f ca="1">IF(AND(ISNUMBER($BL$1049),$B$677=1),$BL$1049,HLOOKUP(INDIRECT(ADDRESS(2,COLUMN())),OFFSET($BN$2,0,0,ROW()-1,60),ROW()-1,FALSE))</f>
        <v>0.86280946800000002</v>
      </c>
      <c r="BM385">
        <f ca="1">IF(AND(ISNUMBER($BM$1049),$B$677=1),$BM$1049,HLOOKUP(INDIRECT(ADDRESS(2,COLUMN())),OFFSET($BN$2,0,0,ROW()-1,60),ROW()-1,FALSE))</f>
        <v>0.75620119699999999</v>
      </c>
      <c r="BN385" t="str">
        <f>""</f>
        <v/>
      </c>
      <c r="BO385" t="str">
        <f>""</f>
        <v/>
      </c>
      <c r="BP385">
        <f>0.943412235</f>
        <v>0.94341223500000004</v>
      </c>
      <c r="BQ385">
        <f>0.957707201</f>
        <v>0.95770720099999995</v>
      </c>
      <c r="BR385">
        <f>0.906273198</f>
        <v>0.90627319799999995</v>
      </c>
      <c r="BS385">
        <f>0.940758773</f>
        <v>0.94075877299999999</v>
      </c>
      <c r="BT385">
        <f>1.005353615</f>
        <v>1.005353615</v>
      </c>
      <c r="BU385">
        <f>1.066265441</f>
        <v>1.0662654410000001</v>
      </c>
      <c r="BV385">
        <f>1.048889573</f>
        <v>1.0488895730000001</v>
      </c>
      <c r="BW385">
        <f>1.088552041</f>
        <v>1.088552041</v>
      </c>
      <c r="BX385">
        <f>1.165554499</f>
        <v>1.165554499</v>
      </c>
      <c r="BY385">
        <f>1.15232621</f>
        <v>1.15232621</v>
      </c>
      <c r="BZ385">
        <f>1.110338546</f>
        <v>1.1103385459999999</v>
      </c>
      <c r="CA385">
        <f>1.061969346</f>
        <v>1.0619693459999999</v>
      </c>
      <c r="CB385">
        <f>1.090642641</f>
        <v>1.0906426410000001</v>
      </c>
      <c r="CC385">
        <f>1.051629558</f>
        <v>1.0516295579999999</v>
      </c>
      <c r="CD385">
        <f>1.043403021</f>
        <v>1.043403021</v>
      </c>
      <c r="CE385">
        <f>1.056332769</f>
        <v>1.0563327689999999</v>
      </c>
      <c r="CF385">
        <f>1.044558924</f>
        <v>1.0445589239999999</v>
      </c>
      <c r="CG385">
        <f>1.060175296</f>
        <v>1.0601752959999999</v>
      </c>
      <c r="CH385">
        <f>1.061041521</f>
        <v>1.0610415209999999</v>
      </c>
      <c r="CI385">
        <f>1.061681478</f>
        <v>1.0616814779999999</v>
      </c>
      <c r="CJ385">
        <f>1.032553924</f>
        <v>1.0325539239999999</v>
      </c>
      <c r="CK385">
        <f>1.051366271</f>
        <v>1.051366271</v>
      </c>
      <c r="CL385">
        <f>1.103947663</f>
        <v>1.103947663</v>
      </c>
      <c r="CM385">
        <f>1.052385998</f>
        <v>1.0523859980000001</v>
      </c>
      <c r="CN385">
        <f>1.023437951</f>
        <v>1.023437951</v>
      </c>
      <c r="CO385">
        <f>0.94859679</f>
        <v>0.94859678999999997</v>
      </c>
      <c r="CP385">
        <f>0.986528024</f>
        <v>0.98652802399999995</v>
      </c>
      <c r="CQ385">
        <f>0.98455966</f>
        <v>0.98455965999999995</v>
      </c>
      <c r="CR385">
        <f>0.995553648</f>
        <v>0.99555364800000001</v>
      </c>
      <c r="CS385">
        <f>0.937780103</f>
        <v>0.93778010300000003</v>
      </c>
      <c r="CT385">
        <f>0.926839093</f>
        <v>0.926839093</v>
      </c>
      <c r="CU385">
        <f>0.865835443</f>
        <v>0.86583544300000004</v>
      </c>
      <c r="CV385">
        <f>0.83789042</f>
        <v>0.83789042000000002</v>
      </c>
      <c r="CW385">
        <f>0.860487444</f>
        <v>0.86048744399999999</v>
      </c>
      <c r="CX385">
        <f>0.88997372</f>
        <v>0.88997371999999997</v>
      </c>
      <c r="CY385">
        <f>0.940047493</f>
        <v>0.94004749300000001</v>
      </c>
      <c r="CZ385">
        <f>0.878133443</f>
        <v>0.87813344299999996</v>
      </c>
      <c r="DA385">
        <f>0.875840213</f>
        <v>0.87584021300000003</v>
      </c>
      <c r="DB385">
        <f>0.842661172</f>
        <v>0.84266117200000001</v>
      </c>
      <c r="DC385">
        <f>0.839572977</f>
        <v>0.839572977</v>
      </c>
      <c r="DD385">
        <f>0.812582682</f>
        <v>0.81258268199999995</v>
      </c>
      <c r="DE385">
        <f>0.828305771</f>
        <v>0.82830577100000002</v>
      </c>
      <c r="DF385">
        <f>0.865550323</f>
        <v>0.86555032300000001</v>
      </c>
      <c r="DG385">
        <f>0.927766234</f>
        <v>0.92776623400000002</v>
      </c>
      <c r="DH385">
        <f>0.923859644</f>
        <v>0.92385964399999998</v>
      </c>
      <c r="DI385">
        <f>0.847183205</f>
        <v>0.84718320499999999</v>
      </c>
      <c r="DJ385">
        <f>0.800334498</f>
        <v>0.80033449800000001</v>
      </c>
      <c r="DK385">
        <f>0.589840537</f>
        <v>0.58984053700000005</v>
      </c>
      <c r="DL385">
        <f>0.739210178</f>
        <v>0.739210178</v>
      </c>
      <c r="DM385">
        <f>0.558915046</f>
        <v>0.55891504599999997</v>
      </c>
      <c r="DN385">
        <f>0.46032989</f>
        <v>0.46032989000000002</v>
      </c>
      <c r="DO385">
        <f>0.429185973</f>
        <v>0.429185973</v>
      </c>
      <c r="DP385">
        <f>0.385202412</f>
        <v>0.38520241199999999</v>
      </c>
      <c r="DQ385">
        <f>0.320838621</f>
        <v>0.32083862099999999</v>
      </c>
      <c r="DR385">
        <f>0.691319076</f>
        <v>0.69131907599999998</v>
      </c>
      <c r="DS385">
        <f>0.895307112</f>
        <v>0.89530711200000002</v>
      </c>
      <c r="DT385">
        <f>0.862809468</f>
        <v>0.86280946800000002</v>
      </c>
      <c r="DU385">
        <f>0.756201197</f>
        <v>0.75620119699999999</v>
      </c>
    </row>
    <row r="386" spans="1:125" x14ac:dyDescent="0.25">
      <c r="A386" t="str">
        <f>"    Fiat Chrysler Automobiles NV"</f>
        <v xml:space="preserve">    Fiat Chrysler Automobiles NV</v>
      </c>
      <c r="B386" t="str">
        <f>"FCAU US Equity"</f>
        <v>FCAU US Equity</v>
      </c>
      <c r="C386" t="str">
        <f t="shared" si="27"/>
        <v>RR480</v>
      </c>
      <c r="D386" t="str">
        <f t="shared" si="28"/>
        <v>EV_TO_MKT_CAP</v>
      </c>
      <c r="E386" t="str">
        <f t="shared" si="29"/>
        <v>Dynamic</v>
      </c>
      <c r="F386" t="str">
        <f ca="1">IF(AND(ISNUMBER($F$1050),$B$677=1),$F$1050,HLOOKUP(INDIRECT(ADDRESS(2,COLUMN())),OFFSET($BN$2,0,0,ROW()-1,60),ROW()-1,FALSE))</f>
        <v/>
      </c>
      <c r="G386">
        <f ca="1">IF(AND(ISNUMBER($G$1050),$B$677=1),$G$1050,HLOOKUP(INDIRECT(ADDRESS(2,COLUMN())),OFFSET($BN$2,0,0,ROW()-1,60),ROW()-1,FALSE))</f>
        <v>1.078690159</v>
      </c>
      <c r="H386">
        <f ca="1">IF(AND(ISNUMBER($H$1050),$B$677=1),$H$1050,HLOOKUP(INDIRECT(ADDRESS(2,COLUMN())),OFFSET($BN$2,0,0,ROW()-1,60),ROW()-1,FALSE))</f>
        <v>1.081066761</v>
      </c>
      <c r="I386">
        <f ca="1">IF(AND(ISNUMBER($I$1050),$B$677=1),$I$1050,HLOOKUP(INDIRECT(ADDRESS(2,COLUMN())),OFFSET($BN$2,0,0,ROW()-1,60),ROW()-1,FALSE))</f>
        <v>1.0573817270000001</v>
      </c>
      <c r="J386">
        <f ca="1">IF(AND(ISNUMBER($J$1050),$B$677=1),$J$1050,HLOOKUP(INDIRECT(ADDRESS(2,COLUMN())),OFFSET($BN$2,0,0,ROW()-1,60),ROW()-1,FALSE))</f>
        <v>1.1114410079999999</v>
      </c>
      <c r="K386">
        <f ca="1">IF(AND(ISNUMBER($K$1050),$B$677=1),$K$1050,HLOOKUP(INDIRECT(ADDRESS(2,COLUMN())),OFFSET($BN$2,0,0,ROW()-1,60),ROW()-1,FALSE))</f>
        <v>1.1825217889999999</v>
      </c>
      <c r="L386">
        <f ca="1">IF(AND(ISNUMBER($L$1050),$B$677=1),$L$1050,HLOOKUP(INDIRECT(ADDRESS(2,COLUMN())),OFFSET($BN$2,0,0,ROW()-1,60),ROW()-1,FALSE))</f>
        <v>1.2042502580000001</v>
      </c>
      <c r="M386">
        <f ca="1">IF(AND(ISNUMBER($M$1050),$B$677=1),$M$1050,HLOOKUP(INDIRECT(ADDRESS(2,COLUMN())),OFFSET($BN$2,0,0,ROW()-1,60),ROW()-1,FALSE))</f>
        <v>1.3293406990000001</v>
      </c>
      <c r="N386">
        <f ca="1">IF(AND(ISNUMBER($N$1050),$B$677=1),$N$1050,HLOOKUP(INDIRECT(ADDRESS(2,COLUMN())),OFFSET($BN$2,0,0,ROW()-1,60),ROW()-1,FALSE))</f>
        <v>1.3266619289999999</v>
      </c>
      <c r="O386">
        <f ca="1">IF(AND(ISNUMBER($O$1050),$B$677=1),$O$1050,HLOOKUP(INDIRECT(ADDRESS(2,COLUMN())),OFFSET($BN$2,0,0,ROW()-1,60),ROW()-1,FALSE))</f>
        <v>1.322596892</v>
      </c>
      <c r="P386">
        <f ca="1">IF(AND(ISNUMBER($P$1050),$B$677=1),$P$1050,HLOOKUP(INDIRECT(ADDRESS(2,COLUMN())),OFFSET($BN$2,0,0,ROW()-1,60),ROW()-1,FALSE))</f>
        <v>1.806921274</v>
      </c>
      <c r="Q386">
        <f ca="1">IF(AND(ISNUMBER($Q$1050),$B$677=1),$Q$1050,HLOOKUP(INDIRECT(ADDRESS(2,COLUMN())),OFFSET($BN$2,0,0,ROW()-1,60),ROW()-1,FALSE))</f>
        <v>1.6936868430000001</v>
      </c>
      <c r="R386">
        <f ca="1">IF(AND(ISNUMBER($R$1050),$B$677=1),$R$1050,HLOOKUP(INDIRECT(ADDRESS(2,COLUMN())),OFFSET($BN$2,0,0,ROW()-1,60),ROW()-1,FALSE))</f>
        <v>1.656729114</v>
      </c>
      <c r="S386">
        <f ca="1">IF(AND(ISNUMBER($S$1050),$B$677=1),$S$1050,HLOOKUP(INDIRECT(ADDRESS(2,COLUMN())),OFFSET($BN$2,0,0,ROW()-1,60),ROW()-1,FALSE))</f>
        <v>1.272821242</v>
      </c>
      <c r="T386">
        <f ca="1">IF(AND(ISNUMBER($T$1050),$B$677=1),$T$1050,HLOOKUP(INDIRECT(ADDRESS(2,COLUMN())),OFFSET($BN$2,0,0,ROW()-1,60),ROW()-1,FALSE))</f>
        <v>1.5216842349999999</v>
      </c>
      <c r="U386">
        <f ca="1">IF(AND(ISNUMBER($U$1050),$B$677=1),$U$1050,HLOOKUP(INDIRECT(ADDRESS(2,COLUMN())),OFFSET($BN$2,0,0,ROW()-1,60),ROW()-1,FALSE))</f>
        <v>1.4554356159999999</v>
      </c>
      <c r="V386">
        <f ca="1">IF(AND(ISNUMBER($V$1050),$B$677=1),$V$1050,HLOOKUP(INDIRECT(ADDRESS(2,COLUMN())),OFFSET($BN$2,0,0,ROW()-1,60),ROW()-1,FALSE))</f>
        <v>1.407438051</v>
      </c>
      <c r="W386">
        <f ca="1">IF(AND(ISNUMBER($W$1050),$B$677=1),$W$1050,HLOOKUP(INDIRECT(ADDRESS(2,COLUMN())),OFFSET($BN$2,0,0,ROW()-1,60),ROW()-1,FALSE))</f>
        <v>1.592264141</v>
      </c>
      <c r="X386" t="str">
        <f ca="1">IF(AND(ISNUMBER($X$1050),$B$677=1),$X$1050,HLOOKUP(INDIRECT(ADDRESS(2,COLUMN())),OFFSET($BN$2,0,0,ROW()-1,60),ROW()-1,FALSE))</f>
        <v/>
      </c>
      <c r="Y386" t="str">
        <f ca="1">IF(AND(ISNUMBER($Y$1050),$B$677=1),$Y$1050,HLOOKUP(INDIRECT(ADDRESS(2,COLUMN())),OFFSET($BN$2,0,0,ROW()-1,60),ROW()-1,FALSE))</f>
        <v/>
      </c>
      <c r="Z386" t="str">
        <f ca="1">IF(AND(ISNUMBER($Z$1050),$B$677=1),$Z$1050,HLOOKUP(INDIRECT(ADDRESS(2,COLUMN())),OFFSET($BN$2,0,0,ROW()-1,60),ROW()-1,FALSE))</f>
        <v/>
      </c>
      <c r="AA386" t="str">
        <f ca="1">IF(AND(ISNUMBER($AA$1050),$B$677=1),$AA$1050,HLOOKUP(INDIRECT(ADDRESS(2,COLUMN())),OFFSET($BN$2,0,0,ROW()-1,60),ROW()-1,FALSE))</f>
        <v/>
      </c>
      <c r="AB386" t="str">
        <f ca="1">IF(AND(ISNUMBER($AB$1050),$B$677=1),$AB$1050,HLOOKUP(INDIRECT(ADDRESS(2,COLUMN())),OFFSET($BN$2,0,0,ROW()-1,60),ROW()-1,FALSE))</f>
        <v/>
      </c>
      <c r="AC386" t="str">
        <f ca="1">IF(AND(ISNUMBER($AC$1050),$B$677=1),$AC$1050,HLOOKUP(INDIRECT(ADDRESS(2,COLUMN())),OFFSET($BN$2,0,0,ROW()-1,60),ROW()-1,FALSE))</f>
        <v/>
      </c>
      <c r="AD386" t="str">
        <f ca="1">IF(AND(ISNUMBER($AD$1050),$B$677=1),$AD$1050,HLOOKUP(INDIRECT(ADDRESS(2,COLUMN())),OFFSET($BN$2,0,0,ROW()-1,60),ROW()-1,FALSE))</f>
        <v/>
      </c>
      <c r="AE386" t="str">
        <f ca="1">IF(AND(ISNUMBER($AE$1050),$B$677=1),$AE$1050,HLOOKUP(INDIRECT(ADDRESS(2,COLUMN())),OFFSET($BN$2,0,0,ROW()-1,60),ROW()-1,FALSE))</f>
        <v/>
      </c>
      <c r="AF386" t="str">
        <f ca="1">IF(AND(ISNUMBER($AF$1050),$B$677=1),$AF$1050,HLOOKUP(INDIRECT(ADDRESS(2,COLUMN())),OFFSET($BN$2,0,0,ROW()-1,60),ROW()-1,FALSE))</f>
        <v/>
      </c>
      <c r="AG386" t="str">
        <f ca="1">IF(AND(ISNUMBER($AG$1050),$B$677=1),$AG$1050,HLOOKUP(INDIRECT(ADDRESS(2,COLUMN())),OFFSET($BN$2,0,0,ROW()-1,60),ROW()-1,FALSE))</f>
        <v/>
      </c>
      <c r="AH386" t="str">
        <f ca="1">IF(AND(ISNUMBER($AH$1050),$B$677=1),$AH$1050,HLOOKUP(INDIRECT(ADDRESS(2,COLUMN())),OFFSET($BN$2,0,0,ROW()-1,60),ROW()-1,FALSE))</f>
        <v/>
      </c>
      <c r="AI386" t="str">
        <f ca="1">IF(AND(ISNUMBER($AI$1050),$B$677=1),$AI$1050,HLOOKUP(INDIRECT(ADDRESS(2,COLUMN())),OFFSET($BN$2,0,0,ROW()-1,60),ROW()-1,FALSE))</f>
        <v/>
      </c>
      <c r="AJ386" t="str">
        <f ca="1">IF(AND(ISNUMBER($AJ$1050),$B$677=1),$AJ$1050,HLOOKUP(INDIRECT(ADDRESS(2,COLUMN())),OFFSET($BN$2,0,0,ROW()-1,60),ROW()-1,FALSE))</f>
        <v/>
      </c>
      <c r="AK386" t="str">
        <f ca="1">IF(AND(ISNUMBER($AK$1050),$B$677=1),$AK$1050,HLOOKUP(INDIRECT(ADDRESS(2,COLUMN())),OFFSET($BN$2,0,0,ROW()-1,60),ROW()-1,FALSE))</f>
        <v/>
      </c>
      <c r="AL386" t="str">
        <f ca="1">IF(AND(ISNUMBER($AL$1050),$B$677=1),$AL$1050,HLOOKUP(INDIRECT(ADDRESS(2,COLUMN())),OFFSET($BN$2,0,0,ROW()-1,60),ROW()-1,FALSE))</f>
        <v/>
      </c>
      <c r="AM386" t="str">
        <f ca="1">IF(AND(ISNUMBER($AM$1050),$B$677=1),$AM$1050,HLOOKUP(INDIRECT(ADDRESS(2,COLUMN())),OFFSET($BN$2,0,0,ROW()-1,60),ROW()-1,FALSE))</f>
        <v/>
      </c>
      <c r="AN386" t="str">
        <f ca="1">IF(AND(ISNUMBER($AN$1050),$B$677=1),$AN$1050,HLOOKUP(INDIRECT(ADDRESS(2,COLUMN())),OFFSET($BN$2,0,0,ROW()-1,60),ROW()-1,FALSE))</f>
        <v/>
      </c>
      <c r="AO386" t="str">
        <f ca="1">IF(AND(ISNUMBER($AO$1050),$B$677=1),$AO$1050,HLOOKUP(INDIRECT(ADDRESS(2,COLUMN())),OFFSET($BN$2,0,0,ROW()-1,60),ROW()-1,FALSE))</f>
        <v/>
      </c>
      <c r="AP386" t="str">
        <f ca="1">IF(AND(ISNUMBER($AP$1050),$B$677=1),$AP$1050,HLOOKUP(INDIRECT(ADDRESS(2,COLUMN())),OFFSET($BN$2,0,0,ROW()-1,60),ROW()-1,FALSE))</f>
        <v/>
      </c>
      <c r="AQ386" t="str">
        <f ca="1">IF(AND(ISNUMBER($AQ$1050),$B$677=1),$AQ$1050,HLOOKUP(INDIRECT(ADDRESS(2,COLUMN())),OFFSET($BN$2,0,0,ROW()-1,60),ROW()-1,FALSE))</f>
        <v/>
      </c>
      <c r="AR386" t="str">
        <f ca="1">IF(AND(ISNUMBER($AR$1050),$B$677=1),$AR$1050,HLOOKUP(INDIRECT(ADDRESS(2,COLUMN())),OFFSET($BN$2,0,0,ROW()-1,60),ROW()-1,FALSE))</f>
        <v/>
      </c>
      <c r="AS386" t="str">
        <f ca="1">IF(AND(ISNUMBER($AS$1050),$B$677=1),$AS$1050,HLOOKUP(INDIRECT(ADDRESS(2,COLUMN())),OFFSET($BN$2,0,0,ROW()-1,60),ROW()-1,FALSE))</f>
        <v/>
      </c>
      <c r="AT386" t="str">
        <f ca="1">IF(AND(ISNUMBER($AT$1050),$B$677=1),$AT$1050,HLOOKUP(INDIRECT(ADDRESS(2,COLUMN())),OFFSET($BN$2,0,0,ROW()-1,60),ROW()-1,FALSE))</f>
        <v/>
      </c>
      <c r="AU386" t="str">
        <f ca="1">IF(AND(ISNUMBER($AU$1050),$B$677=1),$AU$1050,HLOOKUP(INDIRECT(ADDRESS(2,COLUMN())),OFFSET($BN$2,0,0,ROW()-1,60),ROW()-1,FALSE))</f>
        <v/>
      </c>
      <c r="AV386" t="str">
        <f ca="1">IF(AND(ISNUMBER($AV$1050),$B$677=1),$AV$1050,HLOOKUP(INDIRECT(ADDRESS(2,COLUMN())),OFFSET($BN$2,0,0,ROW()-1,60),ROW()-1,FALSE))</f>
        <v/>
      </c>
      <c r="AW386" t="str">
        <f ca="1">IF(AND(ISNUMBER($AW$1050),$B$677=1),$AW$1050,HLOOKUP(INDIRECT(ADDRESS(2,COLUMN())),OFFSET($BN$2,0,0,ROW()-1,60),ROW()-1,FALSE))</f>
        <v/>
      </c>
      <c r="AX386" t="str">
        <f ca="1">IF(AND(ISNUMBER($AX$1050),$B$677=1),$AX$1050,HLOOKUP(INDIRECT(ADDRESS(2,COLUMN())),OFFSET($BN$2,0,0,ROW()-1,60),ROW()-1,FALSE))</f>
        <v/>
      </c>
      <c r="AY386" t="str">
        <f ca="1">IF(AND(ISNUMBER($AY$1050),$B$677=1),$AY$1050,HLOOKUP(INDIRECT(ADDRESS(2,COLUMN())),OFFSET($BN$2,0,0,ROW()-1,60),ROW()-1,FALSE))</f>
        <v/>
      </c>
      <c r="AZ386" t="str">
        <f ca="1">IF(AND(ISNUMBER($AZ$1050),$B$677=1),$AZ$1050,HLOOKUP(INDIRECT(ADDRESS(2,COLUMN())),OFFSET($BN$2,0,0,ROW()-1,60),ROW()-1,FALSE))</f>
        <v/>
      </c>
      <c r="BA386" t="str">
        <f ca="1">IF(AND(ISNUMBER($BA$1050),$B$677=1),$BA$1050,HLOOKUP(INDIRECT(ADDRESS(2,COLUMN())),OFFSET($BN$2,0,0,ROW()-1,60),ROW()-1,FALSE))</f>
        <v/>
      </c>
      <c r="BB386" t="str">
        <f ca="1">IF(AND(ISNUMBER($BB$1050),$B$677=1),$BB$1050,HLOOKUP(INDIRECT(ADDRESS(2,COLUMN())),OFFSET($BN$2,0,0,ROW()-1,60),ROW()-1,FALSE))</f>
        <v/>
      </c>
      <c r="BC386" t="str">
        <f ca="1">IF(AND(ISNUMBER($BC$1050),$B$677=1),$BC$1050,HLOOKUP(INDIRECT(ADDRESS(2,COLUMN())),OFFSET($BN$2,0,0,ROW()-1,60),ROW()-1,FALSE))</f>
        <v/>
      </c>
      <c r="BD386" t="str">
        <f ca="1">IF(AND(ISNUMBER($BD$1050),$B$677=1),$BD$1050,HLOOKUP(INDIRECT(ADDRESS(2,COLUMN())),OFFSET($BN$2,0,0,ROW()-1,60),ROW()-1,FALSE))</f>
        <v/>
      </c>
      <c r="BE386" t="str">
        <f ca="1">IF(AND(ISNUMBER($BE$1050),$B$677=1),$BE$1050,HLOOKUP(INDIRECT(ADDRESS(2,COLUMN())),OFFSET($BN$2,0,0,ROW()-1,60),ROW()-1,FALSE))</f>
        <v/>
      </c>
      <c r="BF386" t="str">
        <f ca="1">IF(AND(ISNUMBER($BF$1050),$B$677=1),$BF$1050,HLOOKUP(INDIRECT(ADDRESS(2,COLUMN())),OFFSET($BN$2,0,0,ROW()-1,60),ROW()-1,FALSE))</f>
        <v/>
      </c>
      <c r="BG386" t="str">
        <f ca="1">IF(AND(ISNUMBER($BG$1050),$B$677=1),$BG$1050,HLOOKUP(INDIRECT(ADDRESS(2,COLUMN())),OFFSET($BN$2,0,0,ROW()-1,60),ROW()-1,FALSE))</f>
        <v/>
      </c>
      <c r="BH386" t="str">
        <f ca="1">IF(AND(ISNUMBER($BH$1050),$B$677=1),$BH$1050,HLOOKUP(INDIRECT(ADDRESS(2,COLUMN())),OFFSET($BN$2,0,0,ROW()-1,60),ROW()-1,FALSE))</f>
        <v/>
      </c>
      <c r="BI386" t="str">
        <f ca="1">IF(AND(ISNUMBER($BI$1050),$B$677=1),$BI$1050,HLOOKUP(INDIRECT(ADDRESS(2,COLUMN())),OFFSET($BN$2,0,0,ROW()-1,60),ROW()-1,FALSE))</f>
        <v/>
      </c>
      <c r="BJ386" t="str">
        <f ca="1">IF(AND(ISNUMBER($BJ$1050),$B$677=1),$BJ$1050,HLOOKUP(INDIRECT(ADDRESS(2,COLUMN())),OFFSET($BN$2,0,0,ROW()-1,60),ROW()-1,FALSE))</f>
        <v/>
      </c>
      <c r="BK386" t="str">
        <f ca="1">IF(AND(ISNUMBER($BK$1050),$B$677=1),$BK$1050,HLOOKUP(INDIRECT(ADDRESS(2,COLUMN())),OFFSET($BN$2,0,0,ROW()-1,60),ROW()-1,FALSE))</f>
        <v/>
      </c>
      <c r="BL386" t="str">
        <f ca="1">IF(AND(ISNUMBER($BL$1050),$B$677=1),$BL$1050,HLOOKUP(INDIRECT(ADDRESS(2,COLUMN())),OFFSET($BN$2,0,0,ROW()-1,60),ROW()-1,FALSE))</f>
        <v/>
      </c>
      <c r="BM386" t="str">
        <f ca="1">IF(AND(ISNUMBER($BM$1050),$B$677=1),$BM$1050,HLOOKUP(INDIRECT(ADDRESS(2,COLUMN())),OFFSET($BN$2,0,0,ROW()-1,60),ROW()-1,FALSE))</f>
        <v/>
      </c>
      <c r="BN386" t="str">
        <f>""</f>
        <v/>
      </c>
      <c r="BO386">
        <f>1.078690159</f>
        <v>1.078690159</v>
      </c>
      <c r="BP386">
        <f>1.081066761</f>
        <v>1.081066761</v>
      </c>
      <c r="BQ386">
        <f>1.057381727</f>
        <v>1.0573817270000001</v>
      </c>
      <c r="BR386">
        <f>1.111441008</f>
        <v>1.1114410079999999</v>
      </c>
      <c r="BS386">
        <f>1.182521789</f>
        <v>1.1825217889999999</v>
      </c>
      <c r="BT386">
        <f>1.204250258</f>
        <v>1.2042502580000001</v>
      </c>
      <c r="BU386">
        <f>1.329340699</f>
        <v>1.3293406990000001</v>
      </c>
      <c r="BV386">
        <f>1.326661929</f>
        <v>1.3266619289999999</v>
      </c>
      <c r="BW386">
        <f>1.322596892</f>
        <v>1.322596892</v>
      </c>
      <c r="BX386">
        <f>1.806921274</f>
        <v>1.806921274</v>
      </c>
      <c r="BY386">
        <f>1.693686843</f>
        <v>1.6936868430000001</v>
      </c>
      <c r="BZ386">
        <f>1.656729114</f>
        <v>1.656729114</v>
      </c>
      <c r="CA386">
        <f>1.272821242</f>
        <v>1.272821242</v>
      </c>
      <c r="CB386">
        <f>1.521684235</f>
        <v>1.5216842349999999</v>
      </c>
      <c r="CC386">
        <f>1.455435616</f>
        <v>1.4554356159999999</v>
      </c>
      <c r="CD386">
        <f>1.407438051</f>
        <v>1.407438051</v>
      </c>
      <c r="CE386">
        <f>1.592264141</f>
        <v>1.592264141</v>
      </c>
      <c r="CF386" t="str">
        <f>""</f>
        <v/>
      </c>
      <c r="CG386" t="str">
        <f>""</f>
        <v/>
      </c>
      <c r="CH386" t="str">
        <f>""</f>
        <v/>
      </c>
      <c r="CI386" t="str">
        <f>""</f>
        <v/>
      </c>
      <c r="CJ386" t="str">
        <f>""</f>
        <v/>
      </c>
      <c r="CK386" t="str">
        <f>""</f>
        <v/>
      </c>
      <c r="CL386" t="str">
        <f>""</f>
        <v/>
      </c>
      <c r="CM386" t="str">
        <f>""</f>
        <v/>
      </c>
      <c r="CN386" t="str">
        <f>""</f>
        <v/>
      </c>
      <c r="CO386" t="str">
        <f>""</f>
        <v/>
      </c>
      <c r="CP386" t="str">
        <f>""</f>
        <v/>
      </c>
      <c r="CQ386" t="str">
        <f>""</f>
        <v/>
      </c>
      <c r="CR386" t="str">
        <f>""</f>
        <v/>
      </c>
      <c r="CS386" t="str">
        <f>""</f>
        <v/>
      </c>
      <c r="CT386" t="str">
        <f>""</f>
        <v/>
      </c>
      <c r="CU386" t="str">
        <f>""</f>
        <v/>
      </c>
      <c r="CV386" t="str">
        <f>""</f>
        <v/>
      </c>
      <c r="CW386" t="str">
        <f>""</f>
        <v/>
      </c>
      <c r="CX386" t="str">
        <f>""</f>
        <v/>
      </c>
      <c r="CY386" t="str">
        <f>""</f>
        <v/>
      </c>
      <c r="CZ386" t="str">
        <f>""</f>
        <v/>
      </c>
      <c r="DA386" t="str">
        <f>""</f>
        <v/>
      </c>
      <c r="DB386" t="str">
        <f>""</f>
        <v/>
      </c>
      <c r="DC386" t="str">
        <f>""</f>
        <v/>
      </c>
      <c r="DD386" t="str">
        <f>""</f>
        <v/>
      </c>
      <c r="DE386" t="str">
        <f>""</f>
        <v/>
      </c>
      <c r="DF386" t="str">
        <f>""</f>
        <v/>
      </c>
      <c r="DG386" t="str">
        <f>""</f>
        <v/>
      </c>
      <c r="DH386" t="str">
        <f>""</f>
        <v/>
      </c>
      <c r="DI386" t="str">
        <f>""</f>
        <v/>
      </c>
      <c r="DJ386" t="str">
        <f>""</f>
        <v/>
      </c>
      <c r="DK386" t="str">
        <f>""</f>
        <v/>
      </c>
      <c r="DL386" t="str">
        <f>""</f>
        <v/>
      </c>
      <c r="DM386" t="str">
        <f>""</f>
        <v/>
      </c>
      <c r="DN386" t="str">
        <f>""</f>
        <v/>
      </c>
      <c r="DO386" t="str">
        <f>""</f>
        <v/>
      </c>
      <c r="DP386" t="str">
        <f>""</f>
        <v/>
      </c>
      <c r="DQ386" t="str">
        <f>""</f>
        <v/>
      </c>
      <c r="DR386" t="str">
        <f>""</f>
        <v/>
      </c>
      <c r="DS386" t="str">
        <f>""</f>
        <v/>
      </c>
      <c r="DT386" t="str">
        <f>""</f>
        <v/>
      </c>
      <c r="DU386" t="str">
        <f>""</f>
        <v/>
      </c>
    </row>
    <row r="387" spans="1:125" x14ac:dyDescent="0.25">
      <c r="A387" t="str">
        <f>"    Ford Motor Co"</f>
        <v xml:space="preserve">    Ford Motor Co</v>
      </c>
      <c r="B387" t="str">
        <f>"F US Equity"</f>
        <v>F US Equity</v>
      </c>
      <c r="C387" t="str">
        <f t="shared" si="27"/>
        <v>RR480</v>
      </c>
      <c r="D387" t="str">
        <f t="shared" si="28"/>
        <v>EV_TO_MKT_CAP</v>
      </c>
      <c r="E387" t="str">
        <f t="shared" si="29"/>
        <v>Dynamic</v>
      </c>
      <c r="F387" t="str">
        <f ca="1">IF(AND(ISNUMBER($F$1051),$B$677=1),$F$1051,HLOOKUP(INDIRECT(ADDRESS(2,COLUMN())),OFFSET($BN$2,0,0,ROW()-1,60),ROW()-1,FALSE))</f>
        <v/>
      </c>
      <c r="G387">
        <f ca="1">IF(AND(ISNUMBER($G$1051),$B$677=1),$G$1051,HLOOKUP(INDIRECT(ADDRESS(2,COLUMN())),OFFSET($BN$2,0,0,ROW()-1,60),ROW()-1,FALSE))</f>
        <v>0.69263292300000001</v>
      </c>
      <c r="H387">
        <f ca="1">IF(AND(ISNUMBER($H$1051),$B$677=1),$H$1051,HLOOKUP(INDIRECT(ADDRESS(2,COLUMN())),OFFSET($BN$2,0,0,ROW()-1,60),ROW()-1,FALSE))</f>
        <v>0.76048770799999998</v>
      </c>
      <c r="I387">
        <f ca="1">IF(AND(ISNUMBER($I$1051),$B$677=1),$I$1051,HLOOKUP(INDIRECT(ADDRESS(2,COLUMN())),OFFSET($BN$2,0,0,ROW()-1,60),ROW()-1,FALSE))</f>
        <v>0.78754359399999996</v>
      </c>
      <c r="J387">
        <f ca="1">IF(AND(ISNUMBER($J$1051),$B$677=1),$J$1051,HLOOKUP(INDIRECT(ADDRESS(2,COLUMN())),OFFSET($BN$2,0,0,ROW()-1,60),ROW()-1,FALSE))</f>
        <v>0.73635031699999998</v>
      </c>
      <c r="K387">
        <f ca="1">IF(AND(ISNUMBER($K$1051),$B$677=1),$K$1051,HLOOKUP(INDIRECT(ADDRESS(2,COLUMN())),OFFSET($BN$2,0,0,ROW()-1,60),ROW()-1,FALSE))</f>
        <v>0.78981268400000004</v>
      </c>
      <c r="L387">
        <f ca="1">IF(AND(ISNUMBER($L$1051),$B$677=1),$L$1051,HLOOKUP(INDIRECT(ADDRESS(2,COLUMN())),OFFSET($BN$2,0,0,ROW()-1,60),ROW()-1,FALSE))</f>
        <v>0.79307425399999998</v>
      </c>
      <c r="M387">
        <f ca="1">IF(AND(ISNUMBER($M$1051),$B$677=1),$M$1051,HLOOKUP(INDIRECT(ADDRESS(2,COLUMN())),OFFSET($BN$2,0,0,ROW()-1,60),ROW()-1,FALSE))</f>
        <v>0.72709440299999994</v>
      </c>
      <c r="N387">
        <f ca="1">IF(AND(ISNUMBER($N$1051),$B$677=1),$N$1051,HLOOKUP(INDIRECT(ADDRESS(2,COLUMN())),OFFSET($BN$2,0,0,ROW()-1,60),ROW()-1,FALSE))</f>
        <v>0.74746668800000005</v>
      </c>
      <c r="O387">
        <f ca="1">IF(AND(ISNUMBER($O$1051),$B$677=1),$O$1051,HLOOKUP(INDIRECT(ADDRESS(2,COLUMN())),OFFSET($BN$2,0,0,ROW()-1,60),ROW()-1,FALSE))</f>
        <v>0.76248866100000001</v>
      </c>
      <c r="P387">
        <f ca="1">IF(AND(ISNUMBER($P$1051),$B$677=1),$P$1051,HLOOKUP(INDIRECT(ADDRESS(2,COLUMN())),OFFSET($BN$2,0,0,ROW()-1,60),ROW()-1,FALSE))</f>
        <v>0.76957110799999995</v>
      </c>
      <c r="Q387">
        <f ca="1">IF(AND(ISNUMBER($Q$1051),$B$677=1),$Q$1051,HLOOKUP(INDIRECT(ADDRESS(2,COLUMN())),OFFSET($BN$2,0,0,ROW()-1,60),ROW()-1,FALSE))</f>
        <v>0.71906331499999998</v>
      </c>
      <c r="R387">
        <f ca="1">IF(AND(ISNUMBER($R$1051),$B$677=1),$R$1051,HLOOKUP(INDIRECT(ADDRESS(2,COLUMN())),OFFSET($BN$2,0,0,ROW()-1,60),ROW()-1,FALSE))</f>
        <v>0.74896181399999995</v>
      </c>
      <c r="S387">
        <f ca="1">IF(AND(ISNUMBER($S$1051),$B$677=1),$S$1051,HLOOKUP(INDIRECT(ADDRESS(2,COLUMN())),OFFSET($BN$2,0,0,ROW()-1,60),ROW()-1,FALSE))</f>
        <v>0.81013917199999996</v>
      </c>
      <c r="T387">
        <f ca="1">IF(AND(ISNUMBER($T$1051),$B$677=1),$T$1051,HLOOKUP(INDIRECT(ADDRESS(2,COLUMN())),OFFSET($BN$2,0,0,ROW()-1,60),ROW()-1,FALSE))</f>
        <v>0.78343423800000001</v>
      </c>
      <c r="U387">
        <f ca="1">IF(AND(ISNUMBER($U$1051),$B$677=1),$U$1051,HLOOKUP(INDIRECT(ADDRESS(2,COLUMN())),OFFSET($BN$2,0,0,ROW()-1,60),ROW()-1,FALSE))</f>
        <v>0.83768558299999996</v>
      </c>
      <c r="V387">
        <f ca="1">IF(AND(ISNUMBER($V$1051),$B$677=1),$V$1051,HLOOKUP(INDIRECT(ADDRESS(2,COLUMN())),OFFSET($BN$2,0,0,ROW()-1,60),ROW()-1,FALSE))</f>
        <v>0.87595509800000004</v>
      </c>
      <c r="W387">
        <f ca="1">IF(AND(ISNUMBER($W$1051),$B$677=1),$W$1051,HLOOKUP(INDIRECT(ADDRESS(2,COLUMN())),OFFSET($BN$2,0,0,ROW()-1,60),ROW()-1,FALSE))</f>
        <v>0.84982981499999999</v>
      </c>
      <c r="X387">
        <f ca="1">IF(AND(ISNUMBER($X$1051),$B$677=1),$X$1051,HLOOKUP(INDIRECT(ADDRESS(2,COLUMN())),OFFSET($BN$2,0,0,ROW()-1,60),ROW()-1,FALSE))</f>
        <v>0.83270114399999995</v>
      </c>
      <c r="Y387">
        <f ca="1">IF(AND(ISNUMBER($Y$1051),$B$677=1),$Y$1051,HLOOKUP(INDIRECT(ADDRESS(2,COLUMN())),OFFSET($BN$2,0,0,ROW()-1,60),ROW()-1,FALSE))</f>
        <v>0.81908219699999996</v>
      </c>
      <c r="Z387">
        <f ca="1">IF(AND(ISNUMBER($Z$1051),$B$677=1),$Z$1051,HLOOKUP(INDIRECT(ADDRESS(2,COLUMN())),OFFSET($BN$2,0,0,ROW()-1,60),ROW()-1,FALSE))</f>
        <v>0.83519876299999996</v>
      </c>
      <c r="AA387">
        <f ca="1">IF(AND(ISNUMBER($AA$1051),$B$677=1),$AA$1051,HLOOKUP(INDIRECT(ADDRESS(2,COLUMN())),OFFSET($BN$2,0,0,ROW()-1,60),ROW()-1,FALSE))</f>
        <v>0.84888217700000002</v>
      </c>
      <c r="AB387">
        <f ca="1">IF(AND(ISNUMBER($AB$1051),$B$677=1),$AB$1051,HLOOKUP(INDIRECT(ADDRESS(2,COLUMN())),OFFSET($BN$2,0,0,ROW()-1,60),ROW()-1,FALSE))</f>
        <v>0.82256491700000001</v>
      </c>
      <c r="AC387">
        <f ca="1">IF(AND(ISNUMBER($AC$1051),$B$677=1),$AC$1051,HLOOKUP(INDIRECT(ADDRESS(2,COLUMN())),OFFSET($BN$2,0,0,ROW()-1,60),ROW()-1,FALSE))</f>
        <v>0.81122838100000005</v>
      </c>
      <c r="AD387">
        <f ca="1">IF(AND(ISNUMBER($AD$1051),$B$677=1),$AD$1051,HLOOKUP(INDIRECT(ADDRESS(2,COLUMN())),OFFSET($BN$2,0,0,ROW()-1,60),ROW()-1,FALSE))</f>
        <v>0.82894015899999995</v>
      </c>
      <c r="AE387">
        <f ca="1">IF(AND(ISNUMBER($AE$1051),$B$677=1),$AE$1051,HLOOKUP(INDIRECT(ADDRESS(2,COLUMN())),OFFSET($BN$2,0,0,ROW()-1,60),ROW()-1,FALSE))</f>
        <v>0.77910388600000002</v>
      </c>
      <c r="AF387">
        <f ca="1">IF(AND(ISNUMBER($AF$1051),$B$677=1),$AF$1051,HLOOKUP(INDIRECT(ADDRESS(2,COLUMN())),OFFSET($BN$2,0,0,ROW()-1,60),ROW()-1,FALSE))</f>
        <v>0.69754884699999997</v>
      </c>
      <c r="AG387">
        <f ca="1">IF(AND(ISNUMBER($AG$1051),$B$677=1),$AG$1051,HLOOKUP(INDIRECT(ADDRESS(2,COLUMN())),OFFSET($BN$2,0,0,ROW()-1,60),ROW()-1,FALSE))</f>
        <v>0.68717303699999999</v>
      </c>
      <c r="AH387">
        <f ca="1">IF(AND(ISNUMBER($AH$1051),$B$677=1),$AH$1051,HLOOKUP(INDIRECT(ADDRESS(2,COLUMN())),OFFSET($BN$2,0,0,ROW()-1,60),ROW()-1,FALSE))</f>
        <v>0.77974838000000002</v>
      </c>
      <c r="AI387">
        <f ca="1">IF(AND(ISNUMBER($AI$1051),$B$677=1),$AI$1051,HLOOKUP(INDIRECT(ADDRESS(2,COLUMN())),OFFSET($BN$2,0,0,ROW()-1,60),ROW()-1,FALSE))</f>
        <v>0.73187004899999997</v>
      </c>
      <c r="AJ387">
        <f ca="1">IF(AND(ISNUMBER($AJ$1051),$B$677=1),$AJ$1051,HLOOKUP(INDIRECT(ADDRESS(2,COLUMN())),OFFSET($BN$2,0,0,ROW()-1,60),ROW()-1,FALSE))</f>
        <v>0.739706423</v>
      </c>
      <c r="AK387">
        <f ca="1">IF(AND(ISNUMBER($AK$1051),$B$677=1),$AK$1051,HLOOKUP(INDIRECT(ADDRESS(2,COLUMN())),OFFSET($BN$2,0,0,ROW()-1,60),ROW()-1,FALSE))</f>
        <v>0.81887279499999999</v>
      </c>
      <c r="AL387">
        <f ca="1">IF(AND(ISNUMBER($AL$1051),$B$677=1),$AL$1051,HLOOKUP(INDIRECT(ADDRESS(2,COLUMN())),OFFSET($BN$2,0,0,ROW()-1,60),ROW()-1,FALSE))</f>
        <v>0.901573238</v>
      </c>
      <c r="AM387">
        <f ca="1">IF(AND(ISNUMBER($AM$1051),$B$677=1),$AM$1051,HLOOKUP(INDIRECT(ADDRESS(2,COLUMN())),OFFSET($BN$2,0,0,ROW()-1,60),ROW()-1,FALSE))</f>
        <v>0.95777157099999999</v>
      </c>
      <c r="AN387">
        <f ca="1">IF(AND(ISNUMBER($AN$1051),$B$677=1),$AN$1051,HLOOKUP(INDIRECT(ADDRESS(2,COLUMN())),OFFSET($BN$2,0,0,ROW()-1,60),ROW()-1,FALSE))</f>
        <v>1.0095046969999999</v>
      </c>
      <c r="AO387">
        <f ca="1">IF(AND(ISNUMBER($AO$1051),$B$677=1),$AO$1051,HLOOKUP(INDIRECT(ADDRESS(2,COLUMN())),OFFSET($BN$2,0,0,ROW()-1,60),ROW()-1,FALSE))</f>
        <v>1.080880719</v>
      </c>
      <c r="AP387">
        <f ca="1">IF(AND(ISNUMBER($AP$1051),$B$677=1),$AP$1051,HLOOKUP(INDIRECT(ADDRESS(2,COLUMN())),OFFSET($BN$2,0,0,ROW()-1,60),ROW()-1,FALSE))</f>
        <v>1.2101085659999999</v>
      </c>
      <c r="AQ387">
        <f ca="1">IF(AND(ISNUMBER($AQ$1051),$B$677=1),$AQ$1051,HLOOKUP(INDIRECT(ADDRESS(2,COLUMN())),OFFSET($BN$2,0,0,ROW()-1,60),ROW()-1,FALSE))</f>
        <v>1.193244851</v>
      </c>
      <c r="AR387">
        <f ca="1">IF(AND(ISNUMBER($AR$1051),$B$677=1),$AR$1051,HLOOKUP(INDIRECT(ADDRESS(2,COLUMN())),OFFSET($BN$2,0,0,ROW()-1,60),ROW()-1,FALSE))</f>
        <v>1.148715428</v>
      </c>
      <c r="AS387">
        <f ca="1">IF(AND(ISNUMBER($AS$1051),$B$677=1),$AS$1051,HLOOKUP(INDIRECT(ADDRESS(2,COLUMN())),OFFSET($BN$2,0,0,ROW()-1,60),ROW()-1,FALSE))</f>
        <v>1.2998993190000001</v>
      </c>
      <c r="AT387">
        <f ca="1">IF(AND(ISNUMBER($AT$1051),$B$677=1),$AT$1051,HLOOKUP(INDIRECT(ADDRESS(2,COLUMN())),OFFSET($BN$2,0,0,ROW()-1,60),ROW()-1,FALSE))</f>
        <v>2.5412921009999998</v>
      </c>
      <c r="AU387">
        <f ca="1">IF(AND(ISNUMBER($AU$1051),$B$677=1),$AU$1051,HLOOKUP(INDIRECT(ADDRESS(2,COLUMN())),OFFSET($BN$2,0,0,ROW()-1,60),ROW()-1,FALSE))</f>
        <v>2.776558954</v>
      </c>
      <c r="AV387">
        <f ca="1">IF(AND(ISNUMBER($AV$1051),$B$677=1),$AV$1051,HLOOKUP(INDIRECT(ADDRESS(2,COLUMN())),OFFSET($BN$2,0,0,ROW()-1,60),ROW()-1,FALSE))</f>
        <v>1.443727126</v>
      </c>
      <c r="AW387">
        <f ca="1">IF(AND(ISNUMBER($AW$1051),$B$677=1),$AW$1051,HLOOKUP(INDIRECT(ADDRESS(2,COLUMN())),OFFSET($BN$2,0,0,ROW()-1,60),ROW()-1,FALSE))</f>
        <v>0.98538212599999997</v>
      </c>
      <c r="AX387">
        <f ca="1">IF(AND(ISNUMBER($AX$1051),$B$677=1),$AX$1051,HLOOKUP(INDIRECT(ADDRESS(2,COLUMN())),OFFSET($BN$2,0,0,ROW()-1,60),ROW()-1,FALSE))</f>
        <v>0.72770316999999995</v>
      </c>
      <c r="AY387">
        <f ca="1">IF(AND(ISNUMBER($AY$1051),$B$677=1),$AY$1051,HLOOKUP(INDIRECT(ADDRESS(2,COLUMN())),OFFSET($BN$2,0,0,ROW()-1,60),ROW()-1,FALSE))</f>
        <v>0.66701303499999998</v>
      </c>
      <c r="AZ387">
        <f ca="1">IF(AND(ISNUMBER($AZ$1051),$B$677=1),$AZ$1051,HLOOKUP(INDIRECT(ADDRESS(2,COLUMN())),OFFSET($BN$2,0,0,ROW()-1,60),ROW()-1,FALSE))</f>
        <v>0.73444088500000004</v>
      </c>
      <c r="BA387">
        <f ca="1">IF(AND(ISNUMBER($BA$1051),$B$677=1),$BA$1051,HLOOKUP(INDIRECT(ADDRESS(2,COLUMN())),OFFSET($BN$2,0,0,ROW()-1,60),ROW()-1,FALSE))</f>
        <v>0.76954921499999995</v>
      </c>
      <c r="BB387">
        <f ca="1">IF(AND(ISNUMBER($BB$1051),$B$677=1),$BB$1051,HLOOKUP(INDIRECT(ADDRESS(2,COLUMN())),OFFSET($BN$2,0,0,ROW()-1,60),ROW()-1,FALSE))</f>
        <v>0.85886525800000002</v>
      </c>
      <c r="BC387">
        <f ca="1">IF(AND(ISNUMBER($BC$1051),$B$677=1),$BC$1051,HLOOKUP(INDIRECT(ADDRESS(2,COLUMN())),OFFSET($BN$2,0,0,ROW()-1,60),ROW()-1,FALSE))</f>
        <v>0.88603594900000004</v>
      </c>
      <c r="BD387">
        <f ca="1">IF(AND(ISNUMBER($BD$1051),$B$677=1),$BD$1051,HLOOKUP(INDIRECT(ADDRESS(2,COLUMN())),OFFSET($BN$2,0,0,ROW()-1,60),ROW()-1,FALSE))</f>
        <v>0.793789988</v>
      </c>
      <c r="BE387">
        <f ca="1">IF(AND(ISNUMBER($BE$1051),$B$677=1),$BE$1051,HLOOKUP(INDIRECT(ADDRESS(2,COLUMN())),OFFSET($BN$2,0,0,ROW()-1,60),ROW()-1,FALSE))</f>
        <v>0.63342620599999999</v>
      </c>
      <c r="BF387">
        <f ca="1">IF(AND(ISNUMBER($BF$1051),$B$677=1),$BF$1051,HLOOKUP(INDIRECT(ADDRESS(2,COLUMN())),OFFSET($BN$2,0,0,ROW()-1,60),ROW()-1,FALSE))</f>
        <v>0.77534422599999997</v>
      </c>
      <c r="BG387">
        <f ca="1">IF(AND(ISNUMBER($BG$1051),$B$677=1),$BG$1051,HLOOKUP(INDIRECT(ADDRESS(2,COLUMN())),OFFSET($BN$2,0,0,ROW()-1,60),ROW()-1,FALSE))</f>
        <v>8.8458642370000007</v>
      </c>
      <c r="BH387">
        <f ca="1">IF(AND(ISNUMBER($BH$1051),$B$677=1),$BH$1051,HLOOKUP(INDIRECT(ADDRESS(2,COLUMN())),OFFSET($BN$2,0,0,ROW()-1,60),ROW()-1,FALSE))</f>
        <v>6.7546791859999997</v>
      </c>
      <c r="BI387">
        <f ca="1">IF(AND(ISNUMBER($BI$1051),$B$677=1),$BI$1051,HLOOKUP(INDIRECT(ADDRESS(2,COLUMN())),OFFSET($BN$2,0,0,ROW()-1,60),ROW()-1,FALSE))</f>
        <v>7.3117016570000004</v>
      </c>
      <c r="BJ387">
        <f ca="1">IF(AND(ISNUMBER($BJ$1051),$B$677=1),$BJ$1051,HLOOKUP(INDIRECT(ADDRESS(2,COLUMN())),OFFSET($BN$2,0,0,ROW()-1,60),ROW()-1,FALSE))</f>
        <v>7.1284246519999996</v>
      </c>
      <c r="BK387">
        <f ca="1">IF(AND(ISNUMBER($BK$1051),$B$677=1),$BK$1051,HLOOKUP(INDIRECT(ADDRESS(2,COLUMN())),OFFSET($BN$2,0,0,ROW()-1,60),ROW()-1,FALSE))</f>
        <v>5.9387074000000002</v>
      </c>
      <c r="BL387">
        <f ca="1">IF(AND(ISNUMBER($BL$1051),$B$677=1),$BL$1051,HLOOKUP(INDIRECT(ADDRESS(2,COLUMN())),OFFSET($BN$2,0,0,ROW()-1,60),ROW()-1,FALSE))</f>
        <v>6.3094442629999996</v>
      </c>
      <c r="BM387">
        <f ca="1">IF(AND(ISNUMBER($BM$1051),$B$677=1),$BM$1051,HLOOKUP(INDIRECT(ADDRESS(2,COLUMN())),OFFSET($BN$2,0,0,ROW()-1,60),ROW()-1,FALSE))</f>
        <v>5.7222791480000001</v>
      </c>
      <c r="BN387" t="str">
        <f>""</f>
        <v/>
      </c>
      <c r="BO387">
        <f>0.692632923</f>
        <v>0.69263292300000001</v>
      </c>
      <c r="BP387">
        <f>0.760487708</f>
        <v>0.76048770799999998</v>
      </c>
      <c r="BQ387">
        <f>0.787543594</f>
        <v>0.78754359399999996</v>
      </c>
      <c r="BR387">
        <f>0.736350317</f>
        <v>0.73635031699999998</v>
      </c>
      <c r="BS387">
        <f>0.789812684</f>
        <v>0.78981268400000004</v>
      </c>
      <c r="BT387">
        <f>0.793074254</f>
        <v>0.79307425399999998</v>
      </c>
      <c r="BU387">
        <f>0.727094403</f>
        <v>0.72709440299999994</v>
      </c>
      <c r="BV387">
        <f>0.747466688</f>
        <v>0.74746668800000005</v>
      </c>
      <c r="BW387">
        <f>0.762488661</f>
        <v>0.76248866100000001</v>
      </c>
      <c r="BX387">
        <f>0.769571108</f>
        <v>0.76957110799999995</v>
      </c>
      <c r="BY387">
        <f>0.719063315</f>
        <v>0.71906331499999998</v>
      </c>
      <c r="BZ387">
        <f>0.748961814</f>
        <v>0.74896181399999995</v>
      </c>
      <c r="CA387">
        <f>0.810139172</f>
        <v>0.81013917199999996</v>
      </c>
      <c r="CB387">
        <f>0.783434238</f>
        <v>0.78343423800000001</v>
      </c>
      <c r="CC387">
        <f>0.837685583</f>
        <v>0.83768558299999996</v>
      </c>
      <c r="CD387">
        <f>0.875955098</f>
        <v>0.87595509800000004</v>
      </c>
      <c r="CE387">
        <f>0.849829815</f>
        <v>0.84982981499999999</v>
      </c>
      <c r="CF387">
        <f>0.832701144</f>
        <v>0.83270114399999995</v>
      </c>
      <c r="CG387">
        <f>0.819082197</f>
        <v>0.81908219699999996</v>
      </c>
      <c r="CH387">
        <f>0.835198763</f>
        <v>0.83519876299999996</v>
      </c>
      <c r="CI387">
        <f>0.848882177</f>
        <v>0.84888217700000002</v>
      </c>
      <c r="CJ387">
        <f>0.822564917</f>
        <v>0.82256491700000001</v>
      </c>
      <c r="CK387">
        <f>0.811228381</f>
        <v>0.81122838100000005</v>
      </c>
      <c r="CL387">
        <f>0.828940159</f>
        <v>0.82894015899999995</v>
      </c>
      <c r="CM387">
        <f>0.779103886</f>
        <v>0.77910388600000002</v>
      </c>
      <c r="CN387">
        <f>0.697548847</f>
        <v>0.69754884699999997</v>
      </c>
      <c r="CO387">
        <f>0.687173037</f>
        <v>0.68717303699999999</v>
      </c>
      <c r="CP387">
        <f>0.77974838</f>
        <v>0.77974838000000002</v>
      </c>
      <c r="CQ387">
        <f>0.731870049</f>
        <v>0.73187004899999997</v>
      </c>
      <c r="CR387">
        <f>0.739706423</f>
        <v>0.739706423</v>
      </c>
      <c r="CS387">
        <f>0.818872795</f>
        <v>0.81887279499999999</v>
      </c>
      <c r="CT387">
        <f>0.901573238</f>
        <v>0.901573238</v>
      </c>
      <c r="CU387">
        <f>0.957771571</f>
        <v>0.95777157099999999</v>
      </c>
      <c r="CV387">
        <f>1.009504697</f>
        <v>1.0095046969999999</v>
      </c>
      <c r="CW387">
        <f>1.080880719</f>
        <v>1.080880719</v>
      </c>
      <c r="CX387">
        <f>1.210108566</f>
        <v>1.2101085659999999</v>
      </c>
      <c r="CY387">
        <f>1.193244851</f>
        <v>1.193244851</v>
      </c>
      <c r="CZ387">
        <f>1.148715428</f>
        <v>1.148715428</v>
      </c>
      <c r="DA387">
        <f>1.299899319</f>
        <v>1.2998993190000001</v>
      </c>
      <c r="DB387">
        <f>2.541292101</f>
        <v>2.5412921009999998</v>
      </c>
      <c r="DC387">
        <f>2.776558954</f>
        <v>2.776558954</v>
      </c>
      <c r="DD387">
        <f>1.443727126</f>
        <v>1.443727126</v>
      </c>
      <c r="DE387">
        <f>0.985382126</f>
        <v>0.98538212599999997</v>
      </c>
      <c r="DF387">
        <f>0.72770317</f>
        <v>0.72770316999999995</v>
      </c>
      <c r="DG387">
        <f>0.667013035</f>
        <v>0.66701303499999998</v>
      </c>
      <c r="DH387">
        <f>0.734440885</f>
        <v>0.73444088500000004</v>
      </c>
      <c r="DI387">
        <f>0.769549215</f>
        <v>0.76954921499999995</v>
      </c>
      <c r="DJ387">
        <f>0.858865258</f>
        <v>0.85886525800000002</v>
      </c>
      <c r="DK387">
        <f>0.886035949</f>
        <v>0.88603594900000004</v>
      </c>
      <c r="DL387">
        <f>0.793789988</f>
        <v>0.793789988</v>
      </c>
      <c r="DM387">
        <f>0.633426206</f>
        <v>0.63342620599999999</v>
      </c>
      <c r="DN387">
        <f>0.775344226</f>
        <v>0.77534422599999997</v>
      </c>
      <c r="DO387">
        <f>8.845864237</f>
        <v>8.8458642370000007</v>
      </c>
      <c r="DP387">
        <f>6.754679186</f>
        <v>6.7546791859999997</v>
      </c>
      <c r="DQ387">
        <f>7.311701657</f>
        <v>7.3117016570000004</v>
      </c>
      <c r="DR387">
        <f>7.128424652</f>
        <v>7.1284246519999996</v>
      </c>
      <c r="DS387">
        <f>5.9387074</f>
        <v>5.9387074000000002</v>
      </c>
      <c r="DT387">
        <f>6.309444263</f>
        <v>6.3094442629999996</v>
      </c>
      <c r="DU387">
        <f>5.722279148</f>
        <v>5.7222791480000001</v>
      </c>
    </row>
    <row r="388" spans="1:125" x14ac:dyDescent="0.25">
      <c r="A388" t="str">
        <f>"    Ford Otomotiv Sanayi AS"</f>
        <v xml:space="preserve">    Ford Otomotiv Sanayi AS</v>
      </c>
      <c r="B388" t="str">
        <f>"FROTOTRY EO Equity"</f>
        <v>FROTOTRY EO Equity</v>
      </c>
      <c r="C388" t="str">
        <f t="shared" si="27"/>
        <v>RR480</v>
      </c>
      <c r="D388" t="str">
        <f t="shared" si="28"/>
        <v>EV_TO_MKT_CAP</v>
      </c>
      <c r="E388" t="str">
        <f t="shared" si="29"/>
        <v>Dynamic</v>
      </c>
      <c r="F388" t="str">
        <f ca="1">IF(AND(ISNUMBER($F$1052),$B$677=1),$F$1052,HLOOKUP(INDIRECT(ADDRESS(2,COLUMN())),OFFSET($BN$2,0,0,ROW()-1,60),ROW()-1,FALSE))</f>
        <v/>
      </c>
      <c r="G388">
        <f ca="1">IF(AND(ISNUMBER($G$1052),$B$677=1),$G$1052,HLOOKUP(INDIRECT(ADDRESS(2,COLUMN())),OFFSET($BN$2,0,0,ROW()-1,60),ROW()-1,FALSE))</f>
        <v>1.1761160980000001</v>
      </c>
      <c r="H388">
        <f ca="1">IF(AND(ISNUMBER($H$1052),$B$677=1),$H$1052,HLOOKUP(INDIRECT(ADDRESS(2,COLUMN())),OFFSET($BN$2,0,0,ROW()-1,60),ROW()-1,FALSE))</f>
        <v>1.1718703749999999</v>
      </c>
      <c r="I388">
        <f ca="1">IF(AND(ISNUMBER($I$1052),$B$677=1),$I$1052,HLOOKUP(INDIRECT(ADDRESS(2,COLUMN())),OFFSET($BN$2,0,0,ROW()-1,60),ROW()-1,FALSE))</f>
        <v>1.127966053</v>
      </c>
      <c r="J388">
        <f ca="1">IF(AND(ISNUMBER($J$1052),$B$677=1),$J$1052,HLOOKUP(INDIRECT(ADDRESS(2,COLUMN())),OFFSET($BN$2,0,0,ROW()-1,60),ROW()-1,FALSE))</f>
        <v>1.0926446089999999</v>
      </c>
      <c r="K388">
        <f ca="1">IF(AND(ISNUMBER($K$1052),$B$677=1),$K$1052,HLOOKUP(INDIRECT(ADDRESS(2,COLUMN())),OFFSET($BN$2,0,0,ROW()-1,60),ROW()-1,FALSE))</f>
        <v>1.085047495</v>
      </c>
      <c r="L388">
        <f ca="1">IF(AND(ISNUMBER($L$1052),$B$677=1),$L$1052,HLOOKUP(INDIRECT(ADDRESS(2,COLUMN())),OFFSET($BN$2,0,0,ROW()-1,60),ROW()-1,FALSE))</f>
        <v>1.1269828770000001</v>
      </c>
      <c r="M388">
        <f ca="1">IF(AND(ISNUMBER($M$1052),$B$677=1),$M$1052,HLOOKUP(INDIRECT(ADDRESS(2,COLUMN())),OFFSET($BN$2,0,0,ROW()-1,60),ROW()-1,FALSE))</f>
        <v>1.1219873869999999</v>
      </c>
      <c r="N388">
        <f ca="1">IF(AND(ISNUMBER($N$1052),$B$677=1),$N$1052,HLOOKUP(INDIRECT(ADDRESS(2,COLUMN())),OFFSET($BN$2,0,0,ROW()-1,60),ROW()-1,FALSE))</f>
        <v>1.1365985709999999</v>
      </c>
      <c r="O388">
        <f ca="1">IF(AND(ISNUMBER($O$1052),$B$677=1),$O$1052,HLOOKUP(INDIRECT(ADDRESS(2,COLUMN())),OFFSET($BN$2,0,0,ROW()-1,60),ROW()-1,FALSE))</f>
        <v>1.1549830999999999</v>
      </c>
      <c r="P388">
        <f ca="1">IF(AND(ISNUMBER($P$1052),$B$677=1),$P$1052,HLOOKUP(INDIRECT(ADDRESS(2,COLUMN())),OFFSET($BN$2,0,0,ROW()-1,60),ROW()-1,FALSE))</f>
        <v>1.1860103790000001</v>
      </c>
      <c r="Q388">
        <f ca="1">IF(AND(ISNUMBER($Q$1052),$B$677=1),$Q$1052,HLOOKUP(INDIRECT(ADDRESS(2,COLUMN())),OFFSET($BN$2,0,0,ROW()-1,60),ROW()-1,FALSE))</f>
        <v>1.1937913739999999</v>
      </c>
      <c r="R388">
        <f ca="1">IF(AND(ISNUMBER($R$1052),$B$677=1),$R$1052,HLOOKUP(INDIRECT(ADDRESS(2,COLUMN())),OFFSET($BN$2,0,0,ROW()-1,60),ROW()-1,FALSE))</f>
        <v>1.1417617410000001</v>
      </c>
      <c r="S388">
        <f ca="1">IF(AND(ISNUMBER($S$1052),$B$677=1),$S$1052,HLOOKUP(INDIRECT(ADDRESS(2,COLUMN())),OFFSET($BN$2,0,0,ROW()-1,60),ROW()-1,FALSE))</f>
        <v>1.148736202</v>
      </c>
      <c r="T388">
        <f ca="1">IF(AND(ISNUMBER($T$1052),$B$677=1),$T$1052,HLOOKUP(INDIRECT(ADDRESS(2,COLUMN())),OFFSET($BN$2,0,0,ROW()-1,60),ROW()-1,FALSE))</f>
        <v>1.1944604430000001</v>
      </c>
      <c r="U388">
        <f ca="1">IF(AND(ISNUMBER($U$1052),$B$677=1),$U$1052,HLOOKUP(INDIRECT(ADDRESS(2,COLUMN())),OFFSET($BN$2,0,0,ROW()-1,60),ROW()-1,FALSE))</f>
        <v>1.1939254459999999</v>
      </c>
      <c r="V388">
        <f ca="1">IF(AND(ISNUMBER($V$1052),$B$677=1),$V$1052,HLOOKUP(INDIRECT(ADDRESS(2,COLUMN())),OFFSET($BN$2,0,0,ROW()-1,60),ROW()-1,FALSE))</f>
        <v>1.17308816</v>
      </c>
      <c r="W388">
        <f ca="1">IF(AND(ISNUMBER($W$1052),$B$677=1),$W$1052,HLOOKUP(INDIRECT(ADDRESS(2,COLUMN())),OFFSET($BN$2,0,0,ROW()-1,60),ROW()-1,FALSE))</f>
        <v>1.1551839049999999</v>
      </c>
      <c r="X388">
        <f ca="1">IF(AND(ISNUMBER($X$1052),$B$677=1),$X$1052,HLOOKUP(INDIRECT(ADDRESS(2,COLUMN())),OFFSET($BN$2,0,0,ROW()-1,60),ROW()-1,FALSE))</f>
        <v>1.233432724</v>
      </c>
      <c r="Y388">
        <f ca="1">IF(AND(ISNUMBER($Y$1052),$B$677=1),$Y$1052,HLOOKUP(INDIRECT(ADDRESS(2,COLUMN())),OFFSET($BN$2,0,0,ROW()-1,60),ROW()-1,FALSE))</f>
        <v>1.2080045580000001</v>
      </c>
      <c r="Z388">
        <f ca="1">IF(AND(ISNUMBER($Z$1052),$B$677=1),$Z$1052,HLOOKUP(INDIRECT(ADDRESS(2,COLUMN())),OFFSET($BN$2,0,0,ROW()-1,60),ROW()-1,FALSE))</f>
        <v>1.2746892460000001</v>
      </c>
      <c r="AA388">
        <f ca="1">IF(AND(ISNUMBER($AA$1052),$B$677=1),$AA$1052,HLOOKUP(INDIRECT(ADDRESS(2,COLUMN())),OFFSET($BN$2,0,0,ROW()-1,60),ROW()-1,FALSE))</f>
        <v>1.2567716259999999</v>
      </c>
      <c r="AB388">
        <f ca="1">IF(AND(ISNUMBER($AB$1052),$B$677=1),$AB$1052,HLOOKUP(INDIRECT(ADDRESS(2,COLUMN())),OFFSET($BN$2,0,0,ROW()-1,60),ROW()-1,FALSE))</f>
        <v>1.158995011</v>
      </c>
      <c r="AC388">
        <f ca="1">IF(AND(ISNUMBER($AC$1052),$B$677=1),$AC$1052,HLOOKUP(INDIRECT(ADDRESS(2,COLUMN())),OFFSET($BN$2,0,0,ROW()-1,60),ROW()-1,FALSE))</f>
        <v>1.1328582119999999</v>
      </c>
      <c r="AD388">
        <f ca="1">IF(AND(ISNUMBER($AD$1052),$B$677=1),$AD$1052,HLOOKUP(INDIRECT(ADDRESS(2,COLUMN())),OFFSET($BN$2,0,0,ROW()-1,60),ROW()-1,FALSE))</f>
        <v>1.0874570960000001</v>
      </c>
      <c r="AE388">
        <f ca="1">IF(AND(ISNUMBER($AE$1052),$B$677=1),$AE$1052,HLOOKUP(INDIRECT(ADDRESS(2,COLUMN())),OFFSET($BN$2,0,0,ROW()-1,60),ROW()-1,FALSE))</f>
        <v>1.127576873</v>
      </c>
      <c r="AF388">
        <f ca="1">IF(AND(ISNUMBER($AF$1052),$B$677=1),$AF$1052,HLOOKUP(INDIRECT(ADDRESS(2,COLUMN())),OFFSET($BN$2,0,0,ROW()-1,60),ROW()-1,FALSE))</f>
        <v>1.096931538</v>
      </c>
      <c r="AG388">
        <f ca="1">IF(AND(ISNUMBER($AG$1052),$B$677=1),$AG$1052,HLOOKUP(INDIRECT(ADDRESS(2,COLUMN())),OFFSET($BN$2,0,0,ROW()-1,60),ROW()-1,FALSE))</f>
        <v>1.0578307659999999</v>
      </c>
      <c r="AH388">
        <f ca="1">IF(AND(ISNUMBER($AH$1052),$B$677=1),$AH$1052,HLOOKUP(INDIRECT(ADDRESS(2,COLUMN())),OFFSET($BN$2,0,0,ROW()-1,60),ROW()-1,FALSE))</f>
        <v>1.003993533</v>
      </c>
      <c r="AI388">
        <f ca="1">IF(AND(ISNUMBER($AI$1052),$B$677=1),$AI$1052,HLOOKUP(INDIRECT(ADDRESS(2,COLUMN())),OFFSET($BN$2,0,0,ROW()-1,60),ROW()-1,FALSE))</f>
        <v>1.0126730930000001</v>
      </c>
      <c r="AJ388">
        <f ca="1">IF(AND(ISNUMBER($AJ$1052),$B$677=1),$AJ$1052,HLOOKUP(INDIRECT(ADDRESS(2,COLUMN())),OFFSET($BN$2,0,0,ROW()-1,60),ROW()-1,FALSE))</f>
        <v>0.97990761599999998</v>
      </c>
      <c r="AK388">
        <f ca="1">IF(AND(ISNUMBER($AK$1052),$B$677=1),$AK$1052,HLOOKUP(INDIRECT(ADDRESS(2,COLUMN())),OFFSET($BN$2,0,0,ROW()-1,60),ROW()-1,FALSE))</f>
        <v>0.97816711599999995</v>
      </c>
      <c r="AL388">
        <f ca="1">IF(AND(ISNUMBER($AL$1052),$B$677=1),$AL$1052,HLOOKUP(INDIRECT(ADDRESS(2,COLUMN())),OFFSET($BN$2,0,0,ROW()-1,60),ROW()-1,FALSE))</f>
        <v>0.94161659900000005</v>
      </c>
      <c r="AM388">
        <f ca="1">IF(AND(ISNUMBER($AM$1052),$B$677=1),$AM$1052,HLOOKUP(INDIRECT(ADDRESS(2,COLUMN())),OFFSET($BN$2,0,0,ROW()-1,60),ROW()-1,FALSE))</f>
        <v>1.0016364760000001</v>
      </c>
      <c r="AN388">
        <f ca="1">IF(AND(ISNUMBER($AN$1052),$B$677=1),$AN$1052,HLOOKUP(INDIRECT(ADDRESS(2,COLUMN())),OFFSET($BN$2,0,0,ROW()-1,60),ROW()-1,FALSE))</f>
        <v>0.95807203900000004</v>
      </c>
      <c r="AO388">
        <f ca="1">IF(AND(ISNUMBER($AO$1052),$B$677=1),$AO$1052,HLOOKUP(INDIRECT(ADDRESS(2,COLUMN())),OFFSET($BN$2,0,0,ROW()-1,60),ROW()-1,FALSE))</f>
        <v>0.994364005</v>
      </c>
      <c r="AP388">
        <f ca="1">IF(AND(ISNUMBER($AP$1052),$B$677=1),$AP$1052,HLOOKUP(INDIRECT(ADDRESS(2,COLUMN())),OFFSET($BN$2,0,0,ROW()-1,60),ROW()-1,FALSE))</f>
        <v>0.96817578299999996</v>
      </c>
      <c r="AQ388">
        <f ca="1">IF(AND(ISNUMBER($AQ$1052),$B$677=1),$AQ$1052,HLOOKUP(INDIRECT(ADDRESS(2,COLUMN())),OFFSET($BN$2,0,0,ROW()-1,60),ROW()-1,FALSE))</f>
        <v>1.0049818720000001</v>
      </c>
      <c r="AR388">
        <f ca="1">IF(AND(ISNUMBER($AR$1052),$B$677=1),$AR$1052,HLOOKUP(INDIRECT(ADDRESS(2,COLUMN())),OFFSET($BN$2,0,0,ROW()-1,60),ROW()-1,FALSE))</f>
        <v>0.95840103700000001</v>
      </c>
      <c r="AS388">
        <f ca="1">IF(AND(ISNUMBER($AS$1052),$B$677=1),$AS$1052,HLOOKUP(INDIRECT(ADDRESS(2,COLUMN())),OFFSET($BN$2,0,0,ROW()-1,60),ROW()-1,FALSE))</f>
        <v>0.92899935600000005</v>
      </c>
      <c r="AT388">
        <f ca="1">IF(AND(ISNUMBER($AT$1052),$B$677=1),$AT$1052,HLOOKUP(INDIRECT(ADDRESS(2,COLUMN())),OFFSET($BN$2,0,0,ROW()-1,60),ROW()-1,FALSE))</f>
        <v>0.90230144899999998</v>
      </c>
      <c r="AU388">
        <f ca="1">IF(AND(ISNUMBER($AU$1052),$B$677=1),$AU$1052,HLOOKUP(INDIRECT(ADDRESS(2,COLUMN())),OFFSET($BN$2,0,0,ROW()-1,60),ROW()-1,FALSE))</f>
        <v>1.0768705059999999</v>
      </c>
      <c r="AV388">
        <f ca="1">IF(AND(ISNUMBER($AV$1052),$B$677=1),$AV$1052,HLOOKUP(INDIRECT(ADDRESS(2,COLUMN())),OFFSET($BN$2,0,0,ROW()-1,60),ROW()-1,FALSE))</f>
        <v>0.91950533099999998</v>
      </c>
      <c r="AW388">
        <f ca="1">IF(AND(ISNUMBER($AW$1052),$B$677=1),$AW$1052,HLOOKUP(INDIRECT(ADDRESS(2,COLUMN())),OFFSET($BN$2,0,0,ROW()-1,60),ROW()-1,FALSE))</f>
        <v>1.077013655</v>
      </c>
      <c r="AX388">
        <f ca="1">IF(AND(ISNUMBER($AX$1052),$B$677=1),$AX$1052,HLOOKUP(INDIRECT(ADDRESS(2,COLUMN())),OFFSET($BN$2,0,0,ROW()-1,60),ROW()-1,FALSE))</f>
        <v>0.98417128799999998</v>
      </c>
      <c r="AY388">
        <f ca="1">IF(AND(ISNUMBER($AY$1052),$B$677=1),$AY$1052,HLOOKUP(INDIRECT(ADDRESS(2,COLUMN())),OFFSET($BN$2,0,0,ROW()-1,60),ROW()-1,FALSE))</f>
        <v>1.013163005</v>
      </c>
      <c r="AZ388">
        <f ca="1">IF(AND(ISNUMBER($AZ$1052),$B$677=1),$AZ$1052,HLOOKUP(INDIRECT(ADDRESS(2,COLUMN())),OFFSET($BN$2,0,0,ROW()-1,60),ROW()-1,FALSE))</f>
        <v>1.018194153</v>
      </c>
      <c r="BA388">
        <f ca="1">IF(AND(ISNUMBER($BA$1052),$B$677=1),$BA$1052,HLOOKUP(INDIRECT(ADDRESS(2,COLUMN())),OFFSET($BN$2,0,0,ROW()-1,60),ROW()-1,FALSE))</f>
        <v>1.0671451510000001</v>
      </c>
      <c r="BB388">
        <f ca="1">IF(AND(ISNUMBER($BB$1052),$B$677=1),$BB$1052,HLOOKUP(INDIRECT(ADDRESS(2,COLUMN())),OFFSET($BN$2,0,0,ROW()-1,60),ROW()-1,FALSE))</f>
        <v>1.0513260719999999</v>
      </c>
      <c r="BC388">
        <f ca="1">IF(AND(ISNUMBER($BC$1052),$B$677=1),$BC$1052,HLOOKUP(INDIRECT(ADDRESS(2,COLUMN())),OFFSET($BN$2,0,0,ROW()-1,60),ROW()-1,FALSE))</f>
        <v>1.059966674</v>
      </c>
      <c r="BD388">
        <f ca="1">IF(AND(ISNUMBER($BD$1052),$B$677=1),$BD$1052,HLOOKUP(INDIRECT(ADDRESS(2,COLUMN())),OFFSET($BN$2,0,0,ROW()-1,60),ROW()-1,FALSE))</f>
        <v>1.0936866890000001</v>
      </c>
      <c r="BE388">
        <f ca="1">IF(AND(ISNUMBER($BE$1052),$B$677=1),$BE$1052,HLOOKUP(INDIRECT(ADDRESS(2,COLUMN())),OFFSET($BN$2,0,0,ROW()-1,60),ROW()-1,FALSE))</f>
        <v>1.0173043319999999</v>
      </c>
      <c r="BF388">
        <f ca="1">IF(AND(ISNUMBER($BF$1052),$B$677=1),$BF$1052,HLOOKUP(INDIRECT(ADDRESS(2,COLUMN())),OFFSET($BN$2,0,0,ROW()-1,60),ROW()-1,FALSE))</f>
        <v>1.012191874</v>
      </c>
      <c r="BG388">
        <f ca="1">IF(AND(ISNUMBER($BG$1052),$B$677=1),$BG$1052,HLOOKUP(INDIRECT(ADDRESS(2,COLUMN())),OFFSET($BN$2,0,0,ROW()-1,60),ROW()-1,FALSE))</f>
        <v>1.023676904</v>
      </c>
      <c r="BH388">
        <f ca="1">IF(AND(ISNUMBER($BH$1052),$B$677=1),$BH$1052,HLOOKUP(INDIRECT(ADDRESS(2,COLUMN())),OFFSET($BN$2,0,0,ROW()-1,60),ROW()-1,FALSE))</f>
        <v>1.005004612</v>
      </c>
      <c r="BI388">
        <f ca="1">IF(AND(ISNUMBER($BI$1052),$B$677=1),$BI$1052,HLOOKUP(INDIRECT(ADDRESS(2,COLUMN())),OFFSET($BN$2,0,0,ROW()-1,60),ROW()-1,FALSE))</f>
        <v>0.99474159399999995</v>
      </c>
      <c r="BJ388">
        <f ca="1">IF(AND(ISNUMBER($BJ$1052),$B$677=1),$BJ$1052,HLOOKUP(INDIRECT(ADDRESS(2,COLUMN())),OFFSET($BN$2,0,0,ROW()-1,60),ROW()-1,FALSE))</f>
        <v>1.0630924390000001</v>
      </c>
      <c r="BK388">
        <f ca="1">IF(AND(ISNUMBER($BK$1052),$B$677=1),$BK$1052,HLOOKUP(INDIRECT(ADDRESS(2,COLUMN())),OFFSET($BN$2,0,0,ROW()-1,60),ROW()-1,FALSE))</f>
        <v>1.0144984909999999</v>
      </c>
      <c r="BL388">
        <f ca="1">IF(AND(ISNUMBER($BL$1052),$B$677=1),$BL$1052,HLOOKUP(INDIRECT(ADDRESS(2,COLUMN())),OFFSET($BN$2,0,0,ROW()-1,60),ROW()-1,FALSE))</f>
        <v>1.047648028</v>
      </c>
      <c r="BM388">
        <f ca="1">IF(AND(ISNUMBER($BM$1052),$B$677=1),$BM$1052,HLOOKUP(INDIRECT(ADDRESS(2,COLUMN())),OFFSET($BN$2,0,0,ROW()-1,60),ROW()-1,FALSE))</f>
        <v>1.0779500360000001</v>
      </c>
      <c r="BN388" t="str">
        <f>""</f>
        <v/>
      </c>
      <c r="BO388">
        <f>1.176116098</f>
        <v>1.1761160980000001</v>
      </c>
      <c r="BP388">
        <f>1.171870375</f>
        <v>1.1718703749999999</v>
      </c>
      <c r="BQ388">
        <f>1.127966053</f>
        <v>1.127966053</v>
      </c>
      <c r="BR388">
        <f>1.092644609</f>
        <v>1.0926446089999999</v>
      </c>
      <c r="BS388">
        <f>1.085047495</f>
        <v>1.085047495</v>
      </c>
      <c r="BT388">
        <f>1.126982877</f>
        <v>1.1269828770000001</v>
      </c>
      <c r="BU388">
        <f>1.121987387</f>
        <v>1.1219873869999999</v>
      </c>
      <c r="BV388">
        <f>1.136598571</f>
        <v>1.1365985709999999</v>
      </c>
      <c r="BW388">
        <f>1.1549831</f>
        <v>1.1549830999999999</v>
      </c>
      <c r="BX388">
        <f>1.186010379</f>
        <v>1.1860103790000001</v>
      </c>
      <c r="BY388">
        <f>1.193791374</f>
        <v>1.1937913739999999</v>
      </c>
      <c r="BZ388">
        <f>1.141761741</f>
        <v>1.1417617410000001</v>
      </c>
      <c r="CA388">
        <f>1.148736202</f>
        <v>1.148736202</v>
      </c>
      <c r="CB388">
        <f>1.194460443</f>
        <v>1.1944604430000001</v>
      </c>
      <c r="CC388">
        <f>1.193925446</f>
        <v>1.1939254459999999</v>
      </c>
      <c r="CD388">
        <f>1.17308816</f>
        <v>1.17308816</v>
      </c>
      <c r="CE388">
        <f>1.155183905</f>
        <v>1.1551839049999999</v>
      </c>
      <c r="CF388">
        <f>1.233432724</f>
        <v>1.233432724</v>
      </c>
      <c r="CG388">
        <f>1.208004558</f>
        <v>1.2080045580000001</v>
      </c>
      <c r="CH388">
        <f>1.274689246</f>
        <v>1.2746892460000001</v>
      </c>
      <c r="CI388">
        <f>1.256771626</f>
        <v>1.2567716259999999</v>
      </c>
      <c r="CJ388">
        <f>1.158995011</f>
        <v>1.158995011</v>
      </c>
      <c r="CK388">
        <f>1.132858212</f>
        <v>1.1328582119999999</v>
      </c>
      <c r="CL388">
        <f>1.087457096</f>
        <v>1.0874570960000001</v>
      </c>
      <c r="CM388">
        <f>1.127576873</f>
        <v>1.127576873</v>
      </c>
      <c r="CN388">
        <f>1.096931538</f>
        <v>1.096931538</v>
      </c>
      <c r="CO388">
        <f>1.057830766</f>
        <v>1.0578307659999999</v>
      </c>
      <c r="CP388">
        <f>1.003993533</f>
        <v>1.003993533</v>
      </c>
      <c r="CQ388">
        <f>1.012673093</f>
        <v>1.0126730930000001</v>
      </c>
      <c r="CR388">
        <f>0.979907616</f>
        <v>0.97990761599999998</v>
      </c>
      <c r="CS388">
        <f>0.978167116</f>
        <v>0.97816711599999995</v>
      </c>
      <c r="CT388">
        <f>0.941616599</f>
        <v>0.94161659900000005</v>
      </c>
      <c r="CU388">
        <f>1.001636476</f>
        <v>1.0016364760000001</v>
      </c>
      <c r="CV388">
        <f>0.958072039</f>
        <v>0.95807203900000004</v>
      </c>
      <c r="CW388">
        <f>0.994364005</f>
        <v>0.994364005</v>
      </c>
      <c r="CX388">
        <f>0.968175783</f>
        <v>0.96817578299999996</v>
      </c>
      <c r="CY388">
        <f>1.004981872</f>
        <v>1.0049818720000001</v>
      </c>
      <c r="CZ388">
        <f>0.958401037</f>
        <v>0.95840103700000001</v>
      </c>
      <c r="DA388">
        <f>0.928999356</f>
        <v>0.92899935600000005</v>
      </c>
      <c r="DB388">
        <f>0.902301449</f>
        <v>0.90230144899999998</v>
      </c>
      <c r="DC388">
        <f>1.076870506</f>
        <v>1.0768705059999999</v>
      </c>
      <c r="DD388">
        <f>0.919505331</f>
        <v>0.91950533099999998</v>
      </c>
      <c r="DE388">
        <f>1.077013655</f>
        <v>1.077013655</v>
      </c>
      <c r="DF388">
        <f>0.984171288</f>
        <v>0.98417128799999998</v>
      </c>
      <c r="DG388">
        <f>1.013163005</f>
        <v>1.013163005</v>
      </c>
      <c r="DH388">
        <f>1.018194153</f>
        <v>1.018194153</v>
      </c>
      <c r="DI388">
        <f>1.067145151</f>
        <v>1.0671451510000001</v>
      </c>
      <c r="DJ388">
        <f>1.051326072</f>
        <v>1.0513260719999999</v>
      </c>
      <c r="DK388">
        <f>1.059966674</f>
        <v>1.059966674</v>
      </c>
      <c r="DL388">
        <f>1.093686689</f>
        <v>1.0936866890000001</v>
      </c>
      <c r="DM388">
        <f>1.017304332</f>
        <v>1.0173043319999999</v>
      </c>
      <c r="DN388">
        <f>1.012191874</f>
        <v>1.012191874</v>
      </c>
      <c r="DO388">
        <f>1.023676904</f>
        <v>1.023676904</v>
      </c>
      <c r="DP388">
        <f>1.005004612</f>
        <v>1.005004612</v>
      </c>
      <c r="DQ388">
        <f>0.994741594</f>
        <v>0.99474159399999995</v>
      </c>
      <c r="DR388">
        <f>1.063092439</f>
        <v>1.0630924390000001</v>
      </c>
      <c r="DS388">
        <f>1.014498491</f>
        <v>1.0144984909999999</v>
      </c>
      <c r="DT388">
        <f>1.047648028</f>
        <v>1.047648028</v>
      </c>
      <c r="DU388">
        <f>1.077950036</f>
        <v>1.0779500360000001</v>
      </c>
    </row>
    <row r="389" spans="1:125" x14ac:dyDescent="0.25">
      <c r="A389" t="str">
        <f>"    GAZ PJSC"</f>
        <v xml:space="preserve">    GAZ PJSC</v>
      </c>
      <c r="B389" t="str">
        <f>"GAZA RM Equity"</f>
        <v>GAZA RM Equity</v>
      </c>
      <c r="C389" t="str">
        <f t="shared" si="27"/>
        <v>RR480</v>
      </c>
      <c r="D389" t="str">
        <f t="shared" si="28"/>
        <v>EV_TO_MKT_CAP</v>
      </c>
      <c r="E389" t="str">
        <f t="shared" si="29"/>
        <v>Dynamic</v>
      </c>
      <c r="F389" t="str">
        <f ca="1">IF(AND(ISNUMBER($F$1053),$B$677=1),$F$1053,HLOOKUP(INDIRECT(ADDRESS(2,COLUMN())),OFFSET($BN$2,0,0,ROW()-1,60),ROW()-1,FALSE))</f>
        <v/>
      </c>
      <c r="G389" t="str">
        <f ca="1">IF(AND(ISNUMBER($G$1053),$B$677=1),$G$1053,HLOOKUP(INDIRECT(ADDRESS(2,COLUMN())),OFFSET($BN$2,0,0,ROW()-1,60),ROW()-1,FALSE))</f>
        <v/>
      </c>
      <c r="H389" t="str">
        <f ca="1">IF(AND(ISNUMBER($H$1053),$B$677=1),$H$1053,HLOOKUP(INDIRECT(ADDRESS(2,COLUMN())),OFFSET($BN$2,0,0,ROW()-1,60),ROW()-1,FALSE))</f>
        <v/>
      </c>
      <c r="I389" t="str">
        <f ca="1">IF(AND(ISNUMBER($I$1053),$B$677=1),$I$1053,HLOOKUP(INDIRECT(ADDRESS(2,COLUMN())),OFFSET($BN$2,0,0,ROW()-1,60),ROW()-1,FALSE))</f>
        <v/>
      </c>
      <c r="J389" t="str">
        <f ca="1">IF(AND(ISNUMBER($J$1053),$B$677=1),$J$1053,HLOOKUP(INDIRECT(ADDRESS(2,COLUMN())),OFFSET($BN$2,0,0,ROW()-1,60),ROW()-1,FALSE))</f>
        <v/>
      </c>
      <c r="K389" t="str">
        <f ca="1">IF(AND(ISNUMBER($K$1053),$B$677=1),$K$1053,HLOOKUP(INDIRECT(ADDRESS(2,COLUMN())),OFFSET($BN$2,0,0,ROW()-1,60),ROW()-1,FALSE))</f>
        <v/>
      </c>
      <c r="L389" t="str">
        <f ca="1">IF(AND(ISNUMBER($L$1053),$B$677=1),$L$1053,HLOOKUP(INDIRECT(ADDRESS(2,COLUMN())),OFFSET($BN$2,0,0,ROW()-1,60),ROW()-1,FALSE))</f>
        <v/>
      </c>
      <c r="M389" t="str">
        <f ca="1">IF(AND(ISNUMBER($M$1053),$B$677=1),$M$1053,HLOOKUP(INDIRECT(ADDRESS(2,COLUMN())),OFFSET($BN$2,0,0,ROW()-1,60),ROW()-1,FALSE))</f>
        <v/>
      </c>
      <c r="N389" t="str">
        <f ca="1">IF(AND(ISNUMBER($N$1053),$B$677=1),$N$1053,HLOOKUP(INDIRECT(ADDRESS(2,COLUMN())),OFFSET($BN$2,0,0,ROW()-1,60),ROW()-1,FALSE))</f>
        <v/>
      </c>
      <c r="O389" t="str">
        <f ca="1">IF(AND(ISNUMBER($O$1053),$B$677=1),$O$1053,HLOOKUP(INDIRECT(ADDRESS(2,COLUMN())),OFFSET($BN$2,0,0,ROW()-1,60),ROW()-1,FALSE))</f>
        <v/>
      </c>
      <c r="P389" t="str">
        <f ca="1">IF(AND(ISNUMBER($P$1053),$B$677=1),$P$1053,HLOOKUP(INDIRECT(ADDRESS(2,COLUMN())),OFFSET($BN$2,0,0,ROW()-1,60),ROW()-1,FALSE))</f>
        <v/>
      </c>
      <c r="Q389" t="str">
        <f ca="1">IF(AND(ISNUMBER($Q$1053),$B$677=1),$Q$1053,HLOOKUP(INDIRECT(ADDRESS(2,COLUMN())),OFFSET($BN$2,0,0,ROW()-1,60),ROW()-1,FALSE))</f>
        <v/>
      </c>
      <c r="R389" t="str">
        <f ca="1">IF(AND(ISNUMBER($R$1053),$B$677=1),$R$1053,HLOOKUP(INDIRECT(ADDRESS(2,COLUMN())),OFFSET($BN$2,0,0,ROW()-1,60),ROW()-1,FALSE))</f>
        <v/>
      </c>
      <c r="S389" t="str">
        <f ca="1">IF(AND(ISNUMBER($S$1053),$B$677=1),$S$1053,HLOOKUP(INDIRECT(ADDRESS(2,COLUMN())),OFFSET($BN$2,0,0,ROW()-1,60),ROW()-1,FALSE))</f>
        <v/>
      </c>
      <c r="T389" t="str">
        <f ca="1">IF(AND(ISNUMBER($T$1053),$B$677=1),$T$1053,HLOOKUP(INDIRECT(ADDRESS(2,COLUMN())),OFFSET($BN$2,0,0,ROW()-1,60),ROW()-1,FALSE))</f>
        <v/>
      </c>
      <c r="U389" t="str">
        <f ca="1">IF(AND(ISNUMBER($U$1053),$B$677=1),$U$1053,HLOOKUP(INDIRECT(ADDRESS(2,COLUMN())),OFFSET($BN$2,0,0,ROW()-1,60),ROW()-1,FALSE))</f>
        <v/>
      </c>
      <c r="V389" t="str">
        <f ca="1">IF(AND(ISNUMBER($V$1053),$B$677=1),$V$1053,HLOOKUP(INDIRECT(ADDRESS(2,COLUMN())),OFFSET($BN$2,0,0,ROW()-1,60),ROW()-1,FALSE))</f>
        <v/>
      </c>
      <c r="W389" t="str">
        <f ca="1">IF(AND(ISNUMBER($W$1053),$B$677=1),$W$1053,HLOOKUP(INDIRECT(ADDRESS(2,COLUMN())),OFFSET($BN$2,0,0,ROW()-1,60),ROW()-1,FALSE))</f>
        <v/>
      </c>
      <c r="X389" t="str">
        <f ca="1">IF(AND(ISNUMBER($X$1053),$B$677=1),$X$1053,HLOOKUP(INDIRECT(ADDRESS(2,COLUMN())),OFFSET($BN$2,0,0,ROW()-1,60),ROW()-1,FALSE))</f>
        <v/>
      </c>
      <c r="Y389" t="str">
        <f ca="1">IF(AND(ISNUMBER($Y$1053),$B$677=1),$Y$1053,HLOOKUP(INDIRECT(ADDRESS(2,COLUMN())),OFFSET($BN$2,0,0,ROW()-1,60),ROW()-1,FALSE))</f>
        <v/>
      </c>
      <c r="Z389" t="str">
        <f ca="1">IF(AND(ISNUMBER($Z$1053),$B$677=1),$Z$1053,HLOOKUP(INDIRECT(ADDRESS(2,COLUMN())),OFFSET($BN$2,0,0,ROW()-1,60),ROW()-1,FALSE))</f>
        <v/>
      </c>
      <c r="AA389" t="str">
        <f ca="1">IF(AND(ISNUMBER($AA$1053),$B$677=1),$AA$1053,HLOOKUP(INDIRECT(ADDRESS(2,COLUMN())),OFFSET($BN$2,0,0,ROW()-1,60),ROW()-1,FALSE))</f>
        <v/>
      </c>
      <c r="AB389" t="str">
        <f ca="1">IF(AND(ISNUMBER($AB$1053),$B$677=1),$AB$1053,HLOOKUP(INDIRECT(ADDRESS(2,COLUMN())),OFFSET($BN$2,0,0,ROW()-1,60),ROW()-1,FALSE))</f>
        <v/>
      </c>
      <c r="AC389" t="str">
        <f ca="1">IF(AND(ISNUMBER($AC$1053),$B$677=1),$AC$1053,HLOOKUP(INDIRECT(ADDRESS(2,COLUMN())),OFFSET($BN$2,0,0,ROW()-1,60),ROW()-1,FALSE))</f>
        <v/>
      </c>
      <c r="AD389" t="str">
        <f ca="1">IF(AND(ISNUMBER($AD$1053),$B$677=1),$AD$1053,HLOOKUP(INDIRECT(ADDRESS(2,COLUMN())),OFFSET($BN$2,0,0,ROW()-1,60),ROW()-1,FALSE))</f>
        <v/>
      </c>
      <c r="AE389" t="str">
        <f ca="1">IF(AND(ISNUMBER($AE$1053),$B$677=1),$AE$1053,HLOOKUP(INDIRECT(ADDRESS(2,COLUMN())),OFFSET($BN$2,0,0,ROW()-1,60),ROW()-1,FALSE))</f>
        <v/>
      </c>
      <c r="AF389" t="str">
        <f ca="1">IF(AND(ISNUMBER($AF$1053),$B$677=1),$AF$1053,HLOOKUP(INDIRECT(ADDRESS(2,COLUMN())),OFFSET($BN$2,0,0,ROW()-1,60),ROW()-1,FALSE))</f>
        <v/>
      </c>
      <c r="AG389" t="str">
        <f ca="1">IF(AND(ISNUMBER($AG$1053),$B$677=1),$AG$1053,HLOOKUP(INDIRECT(ADDRESS(2,COLUMN())),OFFSET($BN$2,0,0,ROW()-1,60),ROW()-1,FALSE))</f>
        <v/>
      </c>
      <c r="AH389" t="str">
        <f ca="1">IF(AND(ISNUMBER($AH$1053),$B$677=1),$AH$1053,HLOOKUP(INDIRECT(ADDRESS(2,COLUMN())),OFFSET($BN$2,0,0,ROW()-1,60),ROW()-1,FALSE))</f>
        <v/>
      </c>
      <c r="AI389" t="str">
        <f ca="1">IF(AND(ISNUMBER($AI$1053),$B$677=1),$AI$1053,HLOOKUP(INDIRECT(ADDRESS(2,COLUMN())),OFFSET($BN$2,0,0,ROW()-1,60),ROW()-1,FALSE))</f>
        <v/>
      </c>
      <c r="AJ389" t="str">
        <f ca="1">IF(AND(ISNUMBER($AJ$1053),$B$677=1),$AJ$1053,HLOOKUP(INDIRECT(ADDRESS(2,COLUMN())),OFFSET($BN$2,0,0,ROW()-1,60),ROW()-1,FALSE))</f>
        <v/>
      </c>
      <c r="AK389" t="str">
        <f ca="1">IF(AND(ISNUMBER($AK$1053),$B$677=1),$AK$1053,HLOOKUP(INDIRECT(ADDRESS(2,COLUMN())),OFFSET($BN$2,0,0,ROW()-1,60),ROW()-1,FALSE))</f>
        <v/>
      </c>
      <c r="AL389" t="str">
        <f ca="1">IF(AND(ISNUMBER($AL$1053),$B$677=1),$AL$1053,HLOOKUP(INDIRECT(ADDRESS(2,COLUMN())),OFFSET($BN$2,0,0,ROW()-1,60),ROW()-1,FALSE))</f>
        <v/>
      </c>
      <c r="AM389" t="str">
        <f ca="1">IF(AND(ISNUMBER($AM$1053),$B$677=1),$AM$1053,HLOOKUP(INDIRECT(ADDRESS(2,COLUMN())),OFFSET($BN$2,0,0,ROW()-1,60),ROW()-1,FALSE))</f>
        <v/>
      </c>
      <c r="AN389" t="str">
        <f ca="1">IF(AND(ISNUMBER($AN$1053),$B$677=1),$AN$1053,HLOOKUP(INDIRECT(ADDRESS(2,COLUMN())),OFFSET($BN$2,0,0,ROW()-1,60),ROW()-1,FALSE))</f>
        <v/>
      </c>
      <c r="AO389" t="str">
        <f ca="1">IF(AND(ISNUMBER($AO$1053),$B$677=1),$AO$1053,HLOOKUP(INDIRECT(ADDRESS(2,COLUMN())),OFFSET($BN$2,0,0,ROW()-1,60),ROW()-1,FALSE))</f>
        <v/>
      </c>
      <c r="AP389" t="str">
        <f ca="1">IF(AND(ISNUMBER($AP$1053),$B$677=1),$AP$1053,HLOOKUP(INDIRECT(ADDRESS(2,COLUMN())),OFFSET($BN$2,0,0,ROW()-1,60),ROW()-1,FALSE))</f>
        <v/>
      </c>
      <c r="AQ389" t="str">
        <f ca="1">IF(AND(ISNUMBER($AQ$1053),$B$677=1),$AQ$1053,HLOOKUP(INDIRECT(ADDRESS(2,COLUMN())),OFFSET($BN$2,0,0,ROW()-1,60),ROW()-1,FALSE))</f>
        <v/>
      </c>
      <c r="AR389" t="str">
        <f ca="1">IF(AND(ISNUMBER($AR$1053),$B$677=1),$AR$1053,HLOOKUP(INDIRECT(ADDRESS(2,COLUMN())),OFFSET($BN$2,0,0,ROW()-1,60),ROW()-1,FALSE))</f>
        <v/>
      </c>
      <c r="AS389" t="str">
        <f ca="1">IF(AND(ISNUMBER($AS$1053),$B$677=1),$AS$1053,HLOOKUP(INDIRECT(ADDRESS(2,COLUMN())),OFFSET($BN$2,0,0,ROW()-1,60),ROW()-1,FALSE))</f>
        <v/>
      </c>
      <c r="AT389" t="str">
        <f ca="1">IF(AND(ISNUMBER($AT$1053),$B$677=1),$AT$1053,HLOOKUP(INDIRECT(ADDRESS(2,COLUMN())),OFFSET($BN$2,0,0,ROW()-1,60),ROW()-1,FALSE))</f>
        <v/>
      </c>
      <c r="AU389" t="str">
        <f ca="1">IF(AND(ISNUMBER($AU$1053),$B$677=1),$AU$1053,HLOOKUP(INDIRECT(ADDRESS(2,COLUMN())),OFFSET($BN$2,0,0,ROW()-1,60),ROW()-1,FALSE))</f>
        <v/>
      </c>
      <c r="AV389" t="str">
        <f ca="1">IF(AND(ISNUMBER($AV$1053),$B$677=1),$AV$1053,HLOOKUP(INDIRECT(ADDRESS(2,COLUMN())),OFFSET($BN$2,0,0,ROW()-1,60),ROW()-1,FALSE))</f>
        <v/>
      </c>
      <c r="AW389" t="str">
        <f ca="1">IF(AND(ISNUMBER($AW$1053),$B$677=1),$AW$1053,HLOOKUP(INDIRECT(ADDRESS(2,COLUMN())),OFFSET($BN$2,0,0,ROW()-1,60),ROW()-1,FALSE))</f>
        <v/>
      </c>
      <c r="AX389" t="str">
        <f ca="1">IF(AND(ISNUMBER($AX$1053),$B$677=1),$AX$1053,HLOOKUP(INDIRECT(ADDRESS(2,COLUMN())),OFFSET($BN$2,0,0,ROW()-1,60),ROW()-1,FALSE))</f>
        <v/>
      </c>
      <c r="AY389" t="str">
        <f ca="1">IF(AND(ISNUMBER($AY$1053),$B$677=1),$AY$1053,HLOOKUP(INDIRECT(ADDRESS(2,COLUMN())),OFFSET($BN$2,0,0,ROW()-1,60),ROW()-1,FALSE))</f>
        <v/>
      </c>
      <c r="AZ389" t="str">
        <f ca="1">IF(AND(ISNUMBER($AZ$1053),$B$677=1),$AZ$1053,HLOOKUP(INDIRECT(ADDRESS(2,COLUMN())),OFFSET($BN$2,0,0,ROW()-1,60),ROW()-1,FALSE))</f>
        <v/>
      </c>
      <c r="BA389" t="str">
        <f ca="1">IF(AND(ISNUMBER($BA$1053),$B$677=1),$BA$1053,HLOOKUP(INDIRECT(ADDRESS(2,COLUMN())),OFFSET($BN$2,0,0,ROW()-1,60),ROW()-1,FALSE))</f>
        <v/>
      </c>
      <c r="BB389" t="str">
        <f ca="1">IF(AND(ISNUMBER($BB$1053),$B$677=1),$BB$1053,HLOOKUP(INDIRECT(ADDRESS(2,COLUMN())),OFFSET($BN$2,0,0,ROW()-1,60),ROW()-1,FALSE))</f>
        <v/>
      </c>
      <c r="BC389" t="str">
        <f ca="1">IF(AND(ISNUMBER($BC$1053),$B$677=1),$BC$1053,HLOOKUP(INDIRECT(ADDRESS(2,COLUMN())),OFFSET($BN$2,0,0,ROW()-1,60),ROW()-1,FALSE))</f>
        <v/>
      </c>
      <c r="BD389" t="str">
        <f ca="1">IF(AND(ISNUMBER($BD$1053),$B$677=1),$BD$1053,HLOOKUP(INDIRECT(ADDRESS(2,COLUMN())),OFFSET($BN$2,0,0,ROW()-1,60),ROW()-1,FALSE))</f>
        <v/>
      </c>
      <c r="BE389" t="str">
        <f ca="1">IF(AND(ISNUMBER($BE$1053),$B$677=1),$BE$1053,HLOOKUP(INDIRECT(ADDRESS(2,COLUMN())),OFFSET($BN$2,0,0,ROW()-1,60),ROW()-1,FALSE))</f>
        <v/>
      </c>
      <c r="BF389" t="str">
        <f ca="1">IF(AND(ISNUMBER($BF$1053),$B$677=1),$BF$1053,HLOOKUP(INDIRECT(ADDRESS(2,COLUMN())),OFFSET($BN$2,0,0,ROW()-1,60),ROW()-1,FALSE))</f>
        <v/>
      </c>
      <c r="BG389" t="str">
        <f ca="1">IF(AND(ISNUMBER($BG$1053),$B$677=1),$BG$1053,HLOOKUP(INDIRECT(ADDRESS(2,COLUMN())),OFFSET($BN$2,0,0,ROW()-1,60),ROW()-1,FALSE))</f>
        <v/>
      </c>
      <c r="BH389" t="str">
        <f ca="1">IF(AND(ISNUMBER($BH$1053),$B$677=1),$BH$1053,HLOOKUP(INDIRECT(ADDRESS(2,COLUMN())),OFFSET($BN$2,0,0,ROW()-1,60),ROW()-1,FALSE))</f>
        <v/>
      </c>
      <c r="BI389" t="str">
        <f ca="1">IF(AND(ISNUMBER($BI$1053),$B$677=1),$BI$1053,HLOOKUP(INDIRECT(ADDRESS(2,COLUMN())),OFFSET($BN$2,0,0,ROW()-1,60),ROW()-1,FALSE))</f>
        <v/>
      </c>
      <c r="BJ389" t="str">
        <f ca="1">IF(AND(ISNUMBER($BJ$1053),$B$677=1),$BJ$1053,HLOOKUP(INDIRECT(ADDRESS(2,COLUMN())),OFFSET($BN$2,0,0,ROW()-1,60),ROW()-1,FALSE))</f>
        <v/>
      </c>
      <c r="BK389" t="str">
        <f ca="1">IF(AND(ISNUMBER($BK$1053),$B$677=1),$BK$1053,HLOOKUP(INDIRECT(ADDRESS(2,COLUMN())),OFFSET($BN$2,0,0,ROW()-1,60),ROW()-1,FALSE))</f>
        <v/>
      </c>
      <c r="BL389" t="str">
        <f ca="1">IF(AND(ISNUMBER($BL$1053),$B$677=1),$BL$1053,HLOOKUP(INDIRECT(ADDRESS(2,COLUMN())),OFFSET($BN$2,0,0,ROW()-1,60),ROW()-1,FALSE))</f>
        <v/>
      </c>
      <c r="BM389" t="str">
        <f ca="1">IF(AND(ISNUMBER($BM$1053),$B$677=1),$BM$1053,HLOOKUP(INDIRECT(ADDRESS(2,COLUMN())),OFFSET($BN$2,0,0,ROW()-1,60),ROW()-1,FALSE))</f>
        <v/>
      </c>
      <c r="BN389" t="str">
        <f>""</f>
        <v/>
      </c>
      <c r="BO389" t="str">
        <f>""</f>
        <v/>
      </c>
      <c r="BP389" t="str">
        <f>""</f>
        <v/>
      </c>
      <c r="BQ389" t="str">
        <f>""</f>
        <v/>
      </c>
      <c r="BR389" t="str">
        <f>""</f>
        <v/>
      </c>
      <c r="BS389" t="str">
        <f>""</f>
        <v/>
      </c>
      <c r="BT389" t="str">
        <f>""</f>
        <v/>
      </c>
      <c r="BU389" t="str">
        <f>""</f>
        <v/>
      </c>
      <c r="BV389" t="str">
        <f>""</f>
        <v/>
      </c>
      <c r="BW389" t="str">
        <f>""</f>
        <v/>
      </c>
      <c r="BX389" t="str">
        <f>""</f>
        <v/>
      </c>
      <c r="BY389" t="str">
        <f>""</f>
        <v/>
      </c>
      <c r="BZ389" t="str">
        <f>""</f>
        <v/>
      </c>
      <c r="CA389" t="str">
        <f>""</f>
        <v/>
      </c>
      <c r="CB389" t="str">
        <f>""</f>
        <v/>
      </c>
      <c r="CC389" t="str">
        <f>""</f>
        <v/>
      </c>
      <c r="CD389" t="str">
        <f>""</f>
        <v/>
      </c>
      <c r="CE389" t="str">
        <f>""</f>
        <v/>
      </c>
      <c r="CF389" t="str">
        <f>""</f>
        <v/>
      </c>
      <c r="CG389" t="str">
        <f>""</f>
        <v/>
      </c>
      <c r="CH389" t="str">
        <f>""</f>
        <v/>
      </c>
      <c r="CI389" t="str">
        <f>""</f>
        <v/>
      </c>
      <c r="CJ389" t="str">
        <f>""</f>
        <v/>
      </c>
      <c r="CK389" t="str">
        <f>""</f>
        <v/>
      </c>
      <c r="CL389" t="str">
        <f>""</f>
        <v/>
      </c>
      <c r="CM389" t="str">
        <f>""</f>
        <v/>
      </c>
      <c r="CN389" t="str">
        <f>""</f>
        <v/>
      </c>
      <c r="CO389" t="str">
        <f>""</f>
        <v/>
      </c>
      <c r="CP389" t="str">
        <f>""</f>
        <v/>
      </c>
      <c r="CQ389" t="str">
        <f>""</f>
        <v/>
      </c>
      <c r="CR389" t="str">
        <f>""</f>
        <v/>
      </c>
      <c r="CS389" t="str">
        <f>""</f>
        <v/>
      </c>
      <c r="CT389" t="str">
        <f>""</f>
        <v/>
      </c>
      <c r="CU389" t="str">
        <f>""</f>
        <v/>
      </c>
      <c r="CV389" t="str">
        <f>""</f>
        <v/>
      </c>
      <c r="CW389" t="str">
        <f>""</f>
        <v/>
      </c>
      <c r="CX389" t="str">
        <f>""</f>
        <v/>
      </c>
      <c r="CY389" t="str">
        <f>""</f>
        <v/>
      </c>
      <c r="CZ389" t="str">
        <f>""</f>
        <v/>
      </c>
      <c r="DA389" t="str">
        <f>""</f>
        <v/>
      </c>
      <c r="DB389" t="str">
        <f>""</f>
        <v/>
      </c>
      <c r="DC389" t="str">
        <f>""</f>
        <v/>
      </c>
      <c r="DD389" t="str">
        <f>""</f>
        <v/>
      </c>
      <c r="DE389" t="str">
        <f>""</f>
        <v/>
      </c>
      <c r="DF389" t="str">
        <f>""</f>
        <v/>
      </c>
      <c r="DG389" t="str">
        <f>""</f>
        <v/>
      </c>
      <c r="DH389" t="str">
        <f>""</f>
        <v/>
      </c>
      <c r="DI389" t="str">
        <f>""</f>
        <v/>
      </c>
      <c r="DJ389" t="str">
        <f>""</f>
        <v/>
      </c>
      <c r="DK389" t="str">
        <f>""</f>
        <v/>
      </c>
      <c r="DL389" t="str">
        <f>""</f>
        <v/>
      </c>
      <c r="DM389" t="str">
        <f>""</f>
        <v/>
      </c>
      <c r="DN389" t="str">
        <f>""</f>
        <v/>
      </c>
      <c r="DO389" t="str">
        <f>""</f>
        <v/>
      </c>
      <c r="DP389" t="str">
        <f>""</f>
        <v/>
      </c>
      <c r="DQ389" t="str">
        <f>""</f>
        <v/>
      </c>
      <c r="DR389" t="str">
        <f>""</f>
        <v/>
      </c>
      <c r="DS389" t="str">
        <f>""</f>
        <v/>
      </c>
      <c r="DT389" t="str">
        <f>""</f>
        <v/>
      </c>
      <c r="DU389" t="str">
        <f>""</f>
        <v/>
      </c>
    </row>
    <row r="390" spans="1:125" x14ac:dyDescent="0.25">
      <c r="A390" t="str">
        <f>"    Geely Automobile Holdings Ltd"</f>
        <v xml:space="preserve">    Geely Automobile Holdings Ltd</v>
      </c>
      <c r="B390" t="str">
        <f>"175 HK Equity"</f>
        <v>175 HK Equity</v>
      </c>
      <c r="C390" t="str">
        <f t="shared" si="27"/>
        <v>RR480</v>
      </c>
      <c r="D390" t="str">
        <f t="shared" si="28"/>
        <v>EV_TO_MKT_CAP</v>
      </c>
      <c r="E390" t="str">
        <f t="shared" si="29"/>
        <v>Dynamic</v>
      </c>
      <c r="F390" t="str">
        <f ca="1">IF(AND(ISNUMBER($F$1054),$B$677=1),$F$1054,HLOOKUP(INDIRECT(ADDRESS(2,COLUMN())),OFFSET($BN$2,0,0,ROW()-1,60),ROW()-1,FALSE))</f>
        <v/>
      </c>
      <c r="G390" t="str">
        <f ca="1">IF(AND(ISNUMBER($G$1054),$B$677=1),$G$1054,HLOOKUP(INDIRECT(ADDRESS(2,COLUMN())),OFFSET($BN$2,0,0,ROW()-1,60),ROW()-1,FALSE))</f>
        <v/>
      </c>
      <c r="H390" t="str">
        <f ca="1">IF(AND(ISNUMBER($H$1054),$B$677=1),$H$1054,HLOOKUP(INDIRECT(ADDRESS(2,COLUMN())),OFFSET($BN$2,0,0,ROW()-1,60),ROW()-1,FALSE))</f>
        <v/>
      </c>
      <c r="I390" t="str">
        <f ca="1">IF(AND(ISNUMBER($I$1054),$B$677=1),$I$1054,HLOOKUP(INDIRECT(ADDRESS(2,COLUMN())),OFFSET($BN$2,0,0,ROW()-1,60),ROW()-1,FALSE))</f>
        <v/>
      </c>
      <c r="J390" t="str">
        <f ca="1">IF(AND(ISNUMBER($J$1054),$B$677=1),$J$1054,HLOOKUP(INDIRECT(ADDRESS(2,COLUMN())),OFFSET($BN$2,0,0,ROW()-1,60),ROW()-1,FALSE))</f>
        <v/>
      </c>
      <c r="K390" t="str">
        <f ca="1">IF(AND(ISNUMBER($K$1054),$B$677=1),$K$1054,HLOOKUP(INDIRECT(ADDRESS(2,COLUMN())),OFFSET($BN$2,0,0,ROW()-1,60),ROW()-1,FALSE))</f>
        <v/>
      </c>
      <c r="L390" t="str">
        <f ca="1">IF(AND(ISNUMBER($L$1054),$B$677=1),$L$1054,HLOOKUP(INDIRECT(ADDRESS(2,COLUMN())),OFFSET($BN$2,0,0,ROW()-1,60),ROW()-1,FALSE))</f>
        <v/>
      </c>
      <c r="M390" t="str">
        <f ca="1">IF(AND(ISNUMBER($M$1054),$B$677=1),$M$1054,HLOOKUP(INDIRECT(ADDRESS(2,COLUMN())),OFFSET($BN$2,0,0,ROW()-1,60),ROW()-1,FALSE))</f>
        <v/>
      </c>
      <c r="N390" t="str">
        <f ca="1">IF(AND(ISNUMBER($N$1054),$B$677=1),$N$1054,HLOOKUP(INDIRECT(ADDRESS(2,COLUMN())),OFFSET($BN$2,0,0,ROW()-1,60),ROW()-1,FALSE))</f>
        <v/>
      </c>
      <c r="O390" t="str">
        <f ca="1">IF(AND(ISNUMBER($O$1054),$B$677=1),$O$1054,HLOOKUP(INDIRECT(ADDRESS(2,COLUMN())),OFFSET($BN$2,0,0,ROW()-1,60),ROW()-1,FALSE))</f>
        <v/>
      </c>
      <c r="P390" t="str">
        <f ca="1">IF(AND(ISNUMBER($P$1054),$B$677=1),$P$1054,HLOOKUP(INDIRECT(ADDRESS(2,COLUMN())),OFFSET($BN$2,0,0,ROW()-1,60),ROW()-1,FALSE))</f>
        <v/>
      </c>
      <c r="Q390" t="str">
        <f ca="1">IF(AND(ISNUMBER($Q$1054),$B$677=1),$Q$1054,HLOOKUP(INDIRECT(ADDRESS(2,COLUMN())),OFFSET($BN$2,0,0,ROW()-1,60),ROW()-1,FALSE))</f>
        <v/>
      </c>
      <c r="R390" t="str">
        <f ca="1">IF(AND(ISNUMBER($R$1054),$B$677=1),$R$1054,HLOOKUP(INDIRECT(ADDRESS(2,COLUMN())),OFFSET($BN$2,0,0,ROW()-1,60),ROW()-1,FALSE))</f>
        <v/>
      </c>
      <c r="S390" t="str">
        <f ca="1">IF(AND(ISNUMBER($S$1054),$B$677=1),$S$1054,HLOOKUP(INDIRECT(ADDRESS(2,COLUMN())),OFFSET($BN$2,0,0,ROW()-1,60),ROW()-1,FALSE))</f>
        <v/>
      </c>
      <c r="T390" t="str">
        <f ca="1">IF(AND(ISNUMBER($T$1054),$B$677=1),$T$1054,HLOOKUP(INDIRECT(ADDRESS(2,COLUMN())),OFFSET($BN$2,0,0,ROW()-1,60),ROW()-1,FALSE))</f>
        <v/>
      </c>
      <c r="U390" t="str">
        <f ca="1">IF(AND(ISNUMBER($U$1054),$B$677=1),$U$1054,HLOOKUP(INDIRECT(ADDRESS(2,COLUMN())),OFFSET($BN$2,0,0,ROW()-1,60),ROW()-1,FALSE))</f>
        <v/>
      </c>
      <c r="V390" t="str">
        <f ca="1">IF(AND(ISNUMBER($V$1054),$B$677=1),$V$1054,HLOOKUP(INDIRECT(ADDRESS(2,COLUMN())),OFFSET($BN$2,0,0,ROW()-1,60),ROW()-1,FALSE))</f>
        <v/>
      </c>
      <c r="W390" t="str">
        <f ca="1">IF(AND(ISNUMBER($W$1054),$B$677=1),$W$1054,HLOOKUP(INDIRECT(ADDRESS(2,COLUMN())),OFFSET($BN$2,0,0,ROW()-1,60),ROW()-1,FALSE))</f>
        <v/>
      </c>
      <c r="X390" t="str">
        <f ca="1">IF(AND(ISNUMBER($X$1054),$B$677=1),$X$1054,HLOOKUP(INDIRECT(ADDRESS(2,COLUMN())),OFFSET($BN$2,0,0,ROW()-1,60),ROW()-1,FALSE))</f>
        <v/>
      </c>
      <c r="Y390" t="str">
        <f ca="1">IF(AND(ISNUMBER($Y$1054),$B$677=1),$Y$1054,HLOOKUP(INDIRECT(ADDRESS(2,COLUMN())),OFFSET($BN$2,0,0,ROW()-1,60),ROW()-1,FALSE))</f>
        <v/>
      </c>
      <c r="Z390" t="str">
        <f ca="1">IF(AND(ISNUMBER($Z$1054),$B$677=1),$Z$1054,HLOOKUP(INDIRECT(ADDRESS(2,COLUMN())),OFFSET($BN$2,0,0,ROW()-1,60),ROW()-1,FALSE))</f>
        <v/>
      </c>
      <c r="AA390" t="str">
        <f ca="1">IF(AND(ISNUMBER($AA$1054),$B$677=1),$AA$1054,HLOOKUP(INDIRECT(ADDRESS(2,COLUMN())),OFFSET($BN$2,0,0,ROW()-1,60),ROW()-1,FALSE))</f>
        <v/>
      </c>
      <c r="AB390" t="str">
        <f ca="1">IF(AND(ISNUMBER($AB$1054),$B$677=1),$AB$1054,HLOOKUP(INDIRECT(ADDRESS(2,COLUMN())),OFFSET($BN$2,0,0,ROW()-1,60),ROW()-1,FALSE))</f>
        <v/>
      </c>
      <c r="AC390" t="str">
        <f ca="1">IF(AND(ISNUMBER($AC$1054),$B$677=1),$AC$1054,HLOOKUP(INDIRECT(ADDRESS(2,COLUMN())),OFFSET($BN$2,0,0,ROW()-1,60),ROW()-1,FALSE))</f>
        <v/>
      </c>
      <c r="AD390" t="str">
        <f ca="1">IF(AND(ISNUMBER($AD$1054),$B$677=1),$AD$1054,HLOOKUP(INDIRECT(ADDRESS(2,COLUMN())),OFFSET($BN$2,0,0,ROW()-1,60),ROW()-1,FALSE))</f>
        <v/>
      </c>
      <c r="AE390" t="str">
        <f ca="1">IF(AND(ISNUMBER($AE$1054),$B$677=1),$AE$1054,HLOOKUP(INDIRECT(ADDRESS(2,COLUMN())),OFFSET($BN$2,0,0,ROW()-1,60),ROW()-1,FALSE))</f>
        <v/>
      </c>
      <c r="AF390" t="str">
        <f ca="1">IF(AND(ISNUMBER($AF$1054),$B$677=1),$AF$1054,HLOOKUP(INDIRECT(ADDRESS(2,COLUMN())),OFFSET($BN$2,0,0,ROW()-1,60),ROW()-1,FALSE))</f>
        <v/>
      </c>
      <c r="AG390" t="str">
        <f ca="1">IF(AND(ISNUMBER($AG$1054),$B$677=1),$AG$1054,HLOOKUP(INDIRECT(ADDRESS(2,COLUMN())),OFFSET($BN$2,0,0,ROW()-1,60),ROW()-1,FALSE))</f>
        <v/>
      </c>
      <c r="AH390" t="str">
        <f ca="1">IF(AND(ISNUMBER($AH$1054),$B$677=1),$AH$1054,HLOOKUP(INDIRECT(ADDRESS(2,COLUMN())),OFFSET($BN$2,0,0,ROW()-1,60),ROW()-1,FALSE))</f>
        <v/>
      </c>
      <c r="AI390" t="str">
        <f ca="1">IF(AND(ISNUMBER($AI$1054),$B$677=1),$AI$1054,HLOOKUP(INDIRECT(ADDRESS(2,COLUMN())),OFFSET($BN$2,0,0,ROW()-1,60),ROW()-1,FALSE))</f>
        <v/>
      </c>
      <c r="AJ390" t="str">
        <f ca="1">IF(AND(ISNUMBER($AJ$1054),$B$677=1),$AJ$1054,HLOOKUP(INDIRECT(ADDRESS(2,COLUMN())),OFFSET($BN$2,0,0,ROW()-1,60),ROW()-1,FALSE))</f>
        <v/>
      </c>
      <c r="AK390" t="str">
        <f ca="1">IF(AND(ISNUMBER($AK$1054),$B$677=1),$AK$1054,HLOOKUP(INDIRECT(ADDRESS(2,COLUMN())),OFFSET($BN$2,0,0,ROW()-1,60),ROW()-1,FALSE))</f>
        <v/>
      </c>
      <c r="AL390" t="str">
        <f ca="1">IF(AND(ISNUMBER($AL$1054),$B$677=1),$AL$1054,HLOOKUP(INDIRECT(ADDRESS(2,COLUMN())),OFFSET($BN$2,0,0,ROW()-1,60),ROW()-1,FALSE))</f>
        <v/>
      </c>
      <c r="AM390" t="str">
        <f ca="1">IF(AND(ISNUMBER($AM$1054),$B$677=1),$AM$1054,HLOOKUP(INDIRECT(ADDRESS(2,COLUMN())),OFFSET($BN$2,0,0,ROW()-1,60),ROW()-1,FALSE))</f>
        <v/>
      </c>
      <c r="AN390" t="str">
        <f ca="1">IF(AND(ISNUMBER($AN$1054),$B$677=1),$AN$1054,HLOOKUP(INDIRECT(ADDRESS(2,COLUMN())),OFFSET($BN$2,0,0,ROW()-1,60),ROW()-1,FALSE))</f>
        <v/>
      </c>
      <c r="AO390" t="str">
        <f ca="1">IF(AND(ISNUMBER($AO$1054),$B$677=1),$AO$1054,HLOOKUP(INDIRECT(ADDRESS(2,COLUMN())),OFFSET($BN$2,0,0,ROW()-1,60),ROW()-1,FALSE))</f>
        <v/>
      </c>
      <c r="AP390" t="str">
        <f ca="1">IF(AND(ISNUMBER($AP$1054),$B$677=1),$AP$1054,HLOOKUP(INDIRECT(ADDRESS(2,COLUMN())),OFFSET($BN$2,0,0,ROW()-1,60),ROW()-1,FALSE))</f>
        <v/>
      </c>
      <c r="AQ390" t="str">
        <f ca="1">IF(AND(ISNUMBER($AQ$1054),$B$677=1),$AQ$1054,HLOOKUP(INDIRECT(ADDRESS(2,COLUMN())),OFFSET($BN$2,0,0,ROW()-1,60),ROW()-1,FALSE))</f>
        <v/>
      </c>
      <c r="AR390" t="str">
        <f ca="1">IF(AND(ISNUMBER($AR$1054),$B$677=1),$AR$1054,HLOOKUP(INDIRECT(ADDRESS(2,COLUMN())),OFFSET($BN$2,0,0,ROW()-1,60),ROW()-1,FALSE))</f>
        <v/>
      </c>
      <c r="AS390" t="str">
        <f ca="1">IF(AND(ISNUMBER($AS$1054),$B$677=1),$AS$1054,HLOOKUP(INDIRECT(ADDRESS(2,COLUMN())),OFFSET($BN$2,0,0,ROW()-1,60),ROW()-1,FALSE))</f>
        <v/>
      </c>
      <c r="AT390" t="str">
        <f ca="1">IF(AND(ISNUMBER($AT$1054),$B$677=1),$AT$1054,HLOOKUP(INDIRECT(ADDRESS(2,COLUMN())),OFFSET($BN$2,0,0,ROW()-1,60),ROW()-1,FALSE))</f>
        <v/>
      </c>
      <c r="AU390" t="str">
        <f ca="1">IF(AND(ISNUMBER($AU$1054),$B$677=1),$AU$1054,HLOOKUP(INDIRECT(ADDRESS(2,COLUMN())),OFFSET($BN$2,0,0,ROW()-1,60),ROW()-1,FALSE))</f>
        <v/>
      </c>
      <c r="AV390" t="str">
        <f ca="1">IF(AND(ISNUMBER($AV$1054),$B$677=1),$AV$1054,HLOOKUP(INDIRECT(ADDRESS(2,COLUMN())),OFFSET($BN$2,0,0,ROW()-1,60),ROW()-1,FALSE))</f>
        <v/>
      </c>
      <c r="AW390" t="str">
        <f ca="1">IF(AND(ISNUMBER($AW$1054),$B$677=1),$AW$1054,HLOOKUP(INDIRECT(ADDRESS(2,COLUMN())),OFFSET($BN$2,0,0,ROW()-1,60),ROW()-1,FALSE))</f>
        <v/>
      </c>
      <c r="AX390" t="str">
        <f ca="1">IF(AND(ISNUMBER($AX$1054),$B$677=1),$AX$1054,HLOOKUP(INDIRECT(ADDRESS(2,COLUMN())),OFFSET($BN$2,0,0,ROW()-1,60),ROW()-1,FALSE))</f>
        <v/>
      </c>
      <c r="AY390" t="str">
        <f ca="1">IF(AND(ISNUMBER($AY$1054),$B$677=1),$AY$1054,HLOOKUP(INDIRECT(ADDRESS(2,COLUMN())),OFFSET($BN$2,0,0,ROW()-1,60),ROW()-1,FALSE))</f>
        <v/>
      </c>
      <c r="AZ390" t="str">
        <f ca="1">IF(AND(ISNUMBER($AZ$1054),$B$677=1),$AZ$1054,HLOOKUP(INDIRECT(ADDRESS(2,COLUMN())),OFFSET($BN$2,0,0,ROW()-1,60),ROW()-1,FALSE))</f>
        <v/>
      </c>
      <c r="BA390" t="str">
        <f ca="1">IF(AND(ISNUMBER($BA$1054),$B$677=1),$BA$1054,HLOOKUP(INDIRECT(ADDRESS(2,COLUMN())),OFFSET($BN$2,0,0,ROW()-1,60),ROW()-1,FALSE))</f>
        <v/>
      </c>
      <c r="BB390" t="str">
        <f ca="1">IF(AND(ISNUMBER($BB$1054),$B$677=1),$BB$1054,HLOOKUP(INDIRECT(ADDRESS(2,COLUMN())),OFFSET($BN$2,0,0,ROW()-1,60),ROW()-1,FALSE))</f>
        <v/>
      </c>
      <c r="BC390" t="str">
        <f ca="1">IF(AND(ISNUMBER($BC$1054),$B$677=1),$BC$1054,HLOOKUP(INDIRECT(ADDRESS(2,COLUMN())),OFFSET($BN$2,0,0,ROW()-1,60),ROW()-1,FALSE))</f>
        <v/>
      </c>
      <c r="BD390" t="str">
        <f ca="1">IF(AND(ISNUMBER($BD$1054),$B$677=1),$BD$1054,HLOOKUP(INDIRECT(ADDRESS(2,COLUMN())),OFFSET($BN$2,0,0,ROW()-1,60),ROW()-1,FALSE))</f>
        <v/>
      </c>
      <c r="BE390" t="str">
        <f ca="1">IF(AND(ISNUMBER($BE$1054),$B$677=1),$BE$1054,HLOOKUP(INDIRECT(ADDRESS(2,COLUMN())),OFFSET($BN$2,0,0,ROW()-1,60),ROW()-1,FALSE))</f>
        <v/>
      </c>
      <c r="BF390" t="str">
        <f ca="1">IF(AND(ISNUMBER($BF$1054),$B$677=1),$BF$1054,HLOOKUP(INDIRECT(ADDRESS(2,COLUMN())),OFFSET($BN$2,0,0,ROW()-1,60),ROW()-1,FALSE))</f>
        <v/>
      </c>
      <c r="BG390" t="str">
        <f ca="1">IF(AND(ISNUMBER($BG$1054),$B$677=1),$BG$1054,HLOOKUP(INDIRECT(ADDRESS(2,COLUMN())),OFFSET($BN$2,0,0,ROW()-1,60),ROW()-1,FALSE))</f>
        <v/>
      </c>
      <c r="BH390" t="str">
        <f ca="1">IF(AND(ISNUMBER($BH$1054),$B$677=1),$BH$1054,HLOOKUP(INDIRECT(ADDRESS(2,COLUMN())),OFFSET($BN$2,0,0,ROW()-1,60),ROW()-1,FALSE))</f>
        <v/>
      </c>
      <c r="BI390" t="str">
        <f ca="1">IF(AND(ISNUMBER($BI$1054),$B$677=1),$BI$1054,HLOOKUP(INDIRECT(ADDRESS(2,COLUMN())),OFFSET($BN$2,0,0,ROW()-1,60),ROW()-1,FALSE))</f>
        <v/>
      </c>
      <c r="BJ390" t="str">
        <f ca="1">IF(AND(ISNUMBER($BJ$1054),$B$677=1),$BJ$1054,HLOOKUP(INDIRECT(ADDRESS(2,COLUMN())),OFFSET($BN$2,0,0,ROW()-1,60),ROW()-1,FALSE))</f>
        <v/>
      </c>
      <c r="BK390" t="str">
        <f ca="1">IF(AND(ISNUMBER($BK$1054),$B$677=1),$BK$1054,HLOOKUP(INDIRECT(ADDRESS(2,COLUMN())),OFFSET($BN$2,0,0,ROW()-1,60),ROW()-1,FALSE))</f>
        <v/>
      </c>
      <c r="BL390" t="str">
        <f ca="1">IF(AND(ISNUMBER($BL$1054),$B$677=1),$BL$1054,HLOOKUP(INDIRECT(ADDRESS(2,COLUMN())),OFFSET($BN$2,0,0,ROW()-1,60),ROW()-1,FALSE))</f>
        <v/>
      </c>
      <c r="BM390" t="str">
        <f ca="1">IF(AND(ISNUMBER($BM$1054),$B$677=1),$BM$1054,HLOOKUP(INDIRECT(ADDRESS(2,COLUMN())),OFFSET($BN$2,0,0,ROW()-1,60),ROW()-1,FALSE))</f>
        <v/>
      </c>
      <c r="BN390" t="str">
        <f>""</f>
        <v/>
      </c>
      <c r="BO390" t="str">
        <f>""</f>
        <v/>
      </c>
      <c r="BP390" t="str">
        <f>""</f>
        <v/>
      </c>
      <c r="BQ390" t="str">
        <f>""</f>
        <v/>
      </c>
      <c r="BR390" t="str">
        <f>""</f>
        <v/>
      </c>
      <c r="BS390" t="str">
        <f>""</f>
        <v/>
      </c>
      <c r="BT390" t="str">
        <f>""</f>
        <v/>
      </c>
      <c r="BU390" t="str">
        <f>""</f>
        <v/>
      </c>
      <c r="BV390" t="str">
        <f>""</f>
        <v/>
      </c>
      <c r="BW390" t="str">
        <f>""</f>
        <v/>
      </c>
      <c r="BX390" t="str">
        <f>""</f>
        <v/>
      </c>
      <c r="BY390" t="str">
        <f>""</f>
        <v/>
      </c>
      <c r="BZ390" t="str">
        <f>""</f>
        <v/>
      </c>
      <c r="CA390" t="str">
        <f>""</f>
        <v/>
      </c>
      <c r="CB390" t="str">
        <f>""</f>
        <v/>
      </c>
      <c r="CC390" t="str">
        <f>""</f>
        <v/>
      </c>
      <c r="CD390" t="str">
        <f>""</f>
        <v/>
      </c>
      <c r="CE390" t="str">
        <f>""</f>
        <v/>
      </c>
      <c r="CF390" t="str">
        <f>""</f>
        <v/>
      </c>
      <c r="CG390" t="str">
        <f>""</f>
        <v/>
      </c>
      <c r="CH390" t="str">
        <f>""</f>
        <v/>
      </c>
      <c r="CI390" t="str">
        <f>""</f>
        <v/>
      </c>
      <c r="CJ390" t="str">
        <f>""</f>
        <v/>
      </c>
      <c r="CK390" t="str">
        <f>""</f>
        <v/>
      </c>
      <c r="CL390" t="str">
        <f>""</f>
        <v/>
      </c>
      <c r="CM390" t="str">
        <f>""</f>
        <v/>
      </c>
      <c r="CN390" t="str">
        <f>""</f>
        <v/>
      </c>
      <c r="CO390" t="str">
        <f>""</f>
        <v/>
      </c>
      <c r="CP390" t="str">
        <f>""</f>
        <v/>
      </c>
      <c r="CQ390" t="str">
        <f>""</f>
        <v/>
      </c>
      <c r="CR390" t="str">
        <f>""</f>
        <v/>
      </c>
      <c r="CS390" t="str">
        <f>""</f>
        <v/>
      </c>
      <c r="CT390" t="str">
        <f>""</f>
        <v/>
      </c>
      <c r="CU390" t="str">
        <f>""</f>
        <v/>
      </c>
      <c r="CV390" t="str">
        <f>""</f>
        <v/>
      </c>
      <c r="CW390" t="str">
        <f>""</f>
        <v/>
      </c>
      <c r="CX390" t="str">
        <f>""</f>
        <v/>
      </c>
      <c r="CY390" t="str">
        <f>""</f>
        <v/>
      </c>
      <c r="CZ390" t="str">
        <f>""</f>
        <v/>
      </c>
      <c r="DA390" t="str">
        <f>""</f>
        <v/>
      </c>
      <c r="DB390" t="str">
        <f>""</f>
        <v/>
      </c>
      <c r="DC390" t="str">
        <f>""</f>
        <v/>
      </c>
      <c r="DD390" t="str">
        <f>""</f>
        <v/>
      </c>
      <c r="DE390" t="str">
        <f>""</f>
        <v/>
      </c>
      <c r="DF390" t="str">
        <f>""</f>
        <v/>
      </c>
      <c r="DG390" t="str">
        <f>""</f>
        <v/>
      </c>
      <c r="DH390" t="str">
        <f>""</f>
        <v/>
      </c>
      <c r="DI390" t="str">
        <f>""</f>
        <v/>
      </c>
      <c r="DJ390" t="str">
        <f>""</f>
        <v/>
      </c>
      <c r="DK390" t="str">
        <f>""</f>
        <v/>
      </c>
      <c r="DL390" t="str">
        <f>""</f>
        <v/>
      </c>
      <c r="DM390" t="str">
        <f>""</f>
        <v/>
      </c>
      <c r="DN390" t="str">
        <f>""</f>
        <v/>
      </c>
      <c r="DO390" t="str">
        <f>""</f>
        <v/>
      </c>
      <c r="DP390" t="str">
        <f>""</f>
        <v/>
      </c>
      <c r="DQ390" t="str">
        <f>""</f>
        <v/>
      </c>
      <c r="DR390" t="str">
        <f>""</f>
        <v/>
      </c>
      <c r="DS390" t="str">
        <f>""</f>
        <v/>
      </c>
      <c r="DT390" t="str">
        <f>""</f>
        <v/>
      </c>
      <c r="DU390" t="str">
        <f>""</f>
        <v/>
      </c>
    </row>
    <row r="391" spans="1:125" x14ac:dyDescent="0.25">
      <c r="A391" t="str">
        <f>"    General Motors Co"</f>
        <v xml:space="preserve">    General Motors Co</v>
      </c>
      <c r="B391" t="str">
        <f>"GM US Equity"</f>
        <v>GM US Equity</v>
      </c>
      <c r="C391" t="str">
        <f t="shared" si="27"/>
        <v>RR480</v>
      </c>
      <c r="D391" t="str">
        <f t="shared" si="28"/>
        <v>EV_TO_MKT_CAP</v>
      </c>
      <c r="E391" t="str">
        <f t="shared" si="29"/>
        <v>Dynamic</v>
      </c>
      <c r="F391" t="str">
        <f ca="1">IF(AND(ISNUMBER($F$1055),$B$677=1),$F$1055,HLOOKUP(INDIRECT(ADDRESS(2,COLUMN())),OFFSET($BN$2,0,0,ROW()-1,60),ROW()-1,FALSE))</f>
        <v/>
      </c>
      <c r="G391">
        <f ca="1">IF(AND(ISNUMBER($G$1055),$B$677=1),$G$1055,HLOOKUP(INDIRECT(ADDRESS(2,COLUMN())),OFFSET($BN$2,0,0,ROW()-1,60),ROW()-1,FALSE))</f>
        <v>0.96446722200000001</v>
      </c>
      <c r="H391">
        <f ca="1">IF(AND(ISNUMBER($H$1055),$B$677=1),$H$1055,HLOOKUP(INDIRECT(ADDRESS(2,COLUMN())),OFFSET($BN$2,0,0,ROW()-1,60),ROW()-1,FALSE))</f>
        <v>0.99081420499999995</v>
      </c>
      <c r="I391">
        <f ca="1">IF(AND(ISNUMBER($I$1055),$B$677=1),$I$1055,HLOOKUP(INDIRECT(ADDRESS(2,COLUMN())),OFFSET($BN$2,0,0,ROW()-1,60),ROW()-1,FALSE))</f>
        <v>0.97672226299999998</v>
      </c>
      <c r="J391">
        <f ca="1">IF(AND(ISNUMBER($J$1055),$B$677=1),$J$1055,HLOOKUP(INDIRECT(ADDRESS(2,COLUMN())),OFFSET($BN$2,0,0,ROW()-1,60),ROW()-1,FALSE))</f>
        <v>0.98565138799999996</v>
      </c>
      <c r="K391">
        <f ca="1">IF(AND(ISNUMBER($K$1055),$B$677=1),$K$1055,HLOOKUP(INDIRECT(ADDRESS(2,COLUMN())),OFFSET($BN$2,0,0,ROW()-1,60),ROW()-1,FALSE))</f>
        <v>0.91572857500000004</v>
      </c>
      <c r="L391">
        <f ca="1">IF(AND(ISNUMBER($L$1055),$B$677=1),$L$1055,HLOOKUP(INDIRECT(ADDRESS(2,COLUMN())),OFFSET($BN$2,0,0,ROW()-1,60),ROW()-1,FALSE))</f>
        <v>0.96538243800000001</v>
      </c>
      <c r="M391">
        <f ca="1">IF(AND(ISNUMBER($M$1055),$B$677=1),$M$1055,HLOOKUP(INDIRECT(ADDRESS(2,COLUMN())),OFFSET($BN$2,0,0,ROW()-1,60),ROW()-1,FALSE))</f>
        <v>0.82297929199999997</v>
      </c>
      <c r="N391">
        <f ca="1">IF(AND(ISNUMBER($N$1055),$B$677=1),$N$1055,HLOOKUP(INDIRECT(ADDRESS(2,COLUMN())),OFFSET($BN$2,0,0,ROW()-1,60),ROW()-1,FALSE))</f>
        <v>0.82586727000000004</v>
      </c>
      <c r="O391">
        <f ca="1">IF(AND(ISNUMBER($O$1055),$B$677=1),$O$1055,HLOOKUP(INDIRECT(ADDRESS(2,COLUMN())),OFFSET($BN$2,0,0,ROW()-1,60),ROW()-1,FALSE))</f>
        <v>0.79332185200000005</v>
      </c>
      <c r="P391">
        <f ca="1">IF(AND(ISNUMBER($P$1055),$B$677=1),$P$1055,HLOOKUP(INDIRECT(ADDRESS(2,COLUMN())),OFFSET($BN$2,0,0,ROW()-1,60),ROW()-1,FALSE))</f>
        <v>0.79666351899999999</v>
      </c>
      <c r="Q391">
        <f ca="1">IF(AND(ISNUMBER($Q$1055),$B$677=1),$Q$1055,HLOOKUP(INDIRECT(ADDRESS(2,COLUMN())),OFFSET($BN$2,0,0,ROW()-1,60),ROW()-1,FALSE))</f>
        <v>0.82416077700000001</v>
      </c>
      <c r="R391">
        <f ca="1">IF(AND(ISNUMBER($R$1055),$B$677=1),$R$1055,HLOOKUP(INDIRECT(ADDRESS(2,COLUMN())),OFFSET($BN$2,0,0,ROW()-1,60),ROW()-1,FALSE))</f>
        <v>0.86297592499999998</v>
      </c>
      <c r="S391">
        <f ca="1">IF(AND(ISNUMBER($S$1055),$B$677=1),$S$1055,HLOOKUP(INDIRECT(ADDRESS(2,COLUMN())),OFFSET($BN$2,0,0,ROW()-1,60),ROW()-1,FALSE))</f>
        <v>0.781966088</v>
      </c>
      <c r="T391">
        <f ca="1">IF(AND(ISNUMBER($T$1055),$B$677=1),$T$1055,HLOOKUP(INDIRECT(ADDRESS(2,COLUMN())),OFFSET($BN$2,0,0,ROW()-1,60),ROW()-1,FALSE))</f>
        <v>0.75287308500000005</v>
      </c>
      <c r="U391">
        <f ca="1">IF(AND(ISNUMBER($U$1055),$B$677=1),$U$1055,HLOOKUP(INDIRECT(ADDRESS(2,COLUMN())),OFFSET($BN$2,0,0,ROW()-1,60),ROW()-1,FALSE))</f>
        <v>0.76177617799999997</v>
      </c>
      <c r="V391">
        <f ca="1">IF(AND(ISNUMBER($V$1055),$B$677=1),$V$1055,HLOOKUP(INDIRECT(ADDRESS(2,COLUMN())),OFFSET($BN$2,0,0,ROW()-1,60),ROW()-1,FALSE))</f>
        <v>0.76626666700000001</v>
      </c>
      <c r="W391">
        <f ca="1">IF(AND(ISNUMBER($W$1055),$B$677=1),$W$1055,HLOOKUP(INDIRECT(ADDRESS(2,COLUMN())),OFFSET($BN$2,0,0,ROW()-1,60),ROW()-1,FALSE))</f>
        <v>0.72634989999999999</v>
      </c>
      <c r="X391">
        <f ca="1">IF(AND(ISNUMBER($X$1055),$B$677=1),$X$1055,HLOOKUP(INDIRECT(ADDRESS(2,COLUMN())),OFFSET($BN$2,0,0,ROW()-1,60),ROW()-1,FALSE))</f>
        <v>0.70428929200000001</v>
      </c>
      <c r="Y391">
        <f ca="1">IF(AND(ISNUMBER($Y$1055),$B$677=1),$Y$1055,HLOOKUP(INDIRECT(ADDRESS(2,COLUMN())),OFFSET($BN$2,0,0,ROW()-1,60),ROW()-1,FALSE))</f>
        <v>0.709245868</v>
      </c>
      <c r="Z391">
        <f ca="1">IF(AND(ISNUMBER($Z$1055),$B$677=1),$Z$1055,HLOOKUP(INDIRECT(ADDRESS(2,COLUMN())),OFFSET($BN$2,0,0,ROW()-1,60),ROW()-1,FALSE))</f>
        <v>0.73955912300000004</v>
      </c>
      <c r="AA391">
        <f ca="1">IF(AND(ISNUMBER($AA$1055),$B$677=1),$AA$1055,HLOOKUP(INDIRECT(ADDRESS(2,COLUMN())),OFFSET($BN$2,0,0,ROW()-1,60),ROW()-1,FALSE))</f>
        <v>0.70103813500000001</v>
      </c>
      <c r="AB391">
        <f ca="1">IF(AND(ISNUMBER($AB$1055),$B$677=1),$AB$1055,HLOOKUP(INDIRECT(ADDRESS(2,COLUMN())),OFFSET($BN$2,0,0,ROW()-1,60),ROW()-1,FALSE))</f>
        <v>0.80501608499999999</v>
      </c>
      <c r="AC391">
        <f ca="1">IF(AND(ISNUMBER($AC$1055),$B$677=1),$AC$1055,HLOOKUP(INDIRECT(ADDRESS(2,COLUMN())),OFFSET($BN$2,0,0,ROW()-1,60),ROW()-1,FALSE))</f>
        <v>0.80239739300000001</v>
      </c>
      <c r="AD391">
        <f ca="1">IF(AND(ISNUMBER($AD$1055),$B$677=1),$AD$1055,HLOOKUP(INDIRECT(ADDRESS(2,COLUMN())),OFFSET($BN$2,0,0,ROW()-1,60),ROW()-1,FALSE))</f>
        <v>0.79480332799999998</v>
      </c>
      <c r="AE391">
        <f ca="1">IF(AND(ISNUMBER($AE$1055),$B$677=1),$AE$1055,HLOOKUP(INDIRECT(ADDRESS(2,COLUMN())),OFFSET($BN$2,0,0,ROW()-1,60),ROW()-1,FALSE))</f>
        <v>0.75117121600000003</v>
      </c>
      <c r="AF391">
        <f ca="1">IF(AND(ISNUMBER($AF$1055),$B$677=1),$AF$1055,HLOOKUP(INDIRECT(ADDRESS(2,COLUMN())),OFFSET($BN$2,0,0,ROW()-1,60),ROW()-1,FALSE))</f>
        <v>0.57971756299999999</v>
      </c>
      <c r="AG391">
        <f ca="1">IF(AND(ISNUMBER($AG$1055),$B$677=1),$AG$1055,HLOOKUP(INDIRECT(ADDRESS(2,COLUMN())),OFFSET($BN$2,0,0,ROW()-1,60),ROW()-1,FALSE))</f>
        <v>0.78889493099999997</v>
      </c>
      <c r="AH391">
        <f ca="1">IF(AND(ISNUMBER($AH$1055),$B$677=1),$AH$1055,HLOOKUP(INDIRECT(ADDRESS(2,COLUMN())),OFFSET($BN$2,0,0,ROW()-1,60),ROW()-1,FALSE))</f>
        <v>0.85170750500000003</v>
      </c>
      <c r="AI391">
        <f ca="1">IF(AND(ISNUMBER($AI$1055),$B$677=1),$AI$1055,HLOOKUP(INDIRECT(ADDRESS(2,COLUMN())),OFFSET($BN$2,0,0,ROW()-1,60),ROW()-1,FALSE))</f>
        <v>0.52423024100000004</v>
      </c>
      <c r="AJ391">
        <f ca="1">IF(AND(ISNUMBER($AJ$1055),$B$677=1),$AJ$1055,HLOOKUP(INDIRECT(ADDRESS(2,COLUMN())),OFFSET($BN$2,0,0,ROW()-1,60),ROW()-1,FALSE))</f>
        <v>0.72308206500000005</v>
      </c>
      <c r="AK391">
        <f ca="1">IF(AND(ISNUMBER($AK$1055),$B$677=1),$AK$1055,HLOOKUP(INDIRECT(ADDRESS(2,COLUMN())),OFFSET($BN$2,0,0,ROW()-1,60),ROW()-1,FALSE))</f>
        <v>0.79699613899999999</v>
      </c>
      <c r="AL391">
        <f ca="1">IF(AND(ISNUMBER($AL$1055),$B$677=1),$AL$1055,HLOOKUP(INDIRECT(ADDRESS(2,COLUMN())),OFFSET($BN$2,0,0,ROW()-1,60),ROW()-1,FALSE))</f>
        <v>0.88649657900000001</v>
      </c>
      <c r="AM391">
        <f ca="1">IF(AND(ISNUMBER($AM$1055),$B$677=1),$AM$1055,HLOOKUP(INDIRECT(ADDRESS(2,COLUMN())),OFFSET($BN$2,0,0,ROW()-1,60),ROW()-1,FALSE))</f>
        <v>0.93388196599999995</v>
      </c>
      <c r="AN391" t="str">
        <f ca="1">IF(AND(ISNUMBER($AN$1055),$B$677=1),$AN$1055,HLOOKUP(INDIRECT(ADDRESS(2,COLUMN())),OFFSET($BN$2,0,0,ROW()-1,60),ROW()-1,FALSE))</f>
        <v/>
      </c>
      <c r="AO391" t="str">
        <f ca="1">IF(AND(ISNUMBER($AO$1055),$B$677=1),$AO$1055,HLOOKUP(INDIRECT(ADDRESS(2,COLUMN())),OFFSET($BN$2,0,0,ROW()-1,60),ROW()-1,FALSE))</f>
        <v/>
      </c>
      <c r="AP391" t="str">
        <f ca="1">IF(AND(ISNUMBER($AP$1055),$B$677=1),$AP$1055,HLOOKUP(INDIRECT(ADDRESS(2,COLUMN())),OFFSET($BN$2,0,0,ROW()-1,60),ROW()-1,FALSE))</f>
        <v/>
      </c>
      <c r="AQ391" t="str">
        <f ca="1">IF(AND(ISNUMBER($AQ$1055),$B$677=1),$AQ$1055,HLOOKUP(INDIRECT(ADDRESS(2,COLUMN())),OFFSET($BN$2,0,0,ROW()-1,60),ROW()-1,FALSE))</f>
        <v/>
      </c>
      <c r="AR391" t="str">
        <f ca="1">IF(AND(ISNUMBER($AR$1055),$B$677=1),$AR$1055,HLOOKUP(INDIRECT(ADDRESS(2,COLUMN())),OFFSET($BN$2,0,0,ROW()-1,60),ROW()-1,FALSE))</f>
        <v/>
      </c>
      <c r="AS391" t="str">
        <f ca="1">IF(AND(ISNUMBER($AS$1055),$B$677=1),$AS$1055,HLOOKUP(INDIRECT(ADDRESS(2,COLUMN())),OFFSET($BN$2,0,0,ROW()-1,60),ROW()-1,FALSE))</f>
        <v/>
      </c>
      <c r="AT391" t="str">
        <f ca="1">IF(AND(ISNUMBER($AT$1055),$B$677=1),$AT$1055,HLOOKUP(INDIRECT(ADDRESS(2,COLUMN())),OFFSET($BN$2,0,0,ROW()-1,60),ROW()-1,FALSE))</f>
        <v/>
      </c>
      <c r="AU391" t="str">
        <f ca="1">IF(AND(ISNUMBER($AU$1055),$B$677=1),$AU$1055,HLOOKUP(INDIRECT(ADDRESS(2,COLUMN())),OFFSET($BN$2,0,0,ROW()-1,60),ROW()-1,FALSE))</f>
        <v/>
      </c>
      <c r="AV391" t="str">
        <f ca="1">IF(AND(ISNUMBER($AV$1055),$B$677=1),$AV$1055,HLOOKUP(INDIRECT(ADDRESS(2,COLUMN())),OFFSET($BN$2,0,0,ROW()-1,60),ROW()-1,FALSE))</f>
        <v/>
      </c>
      <c r="AW391" t="str">
        <f ca="1">IF(AND(ISNUMBER($AW$1055),$B$677=1),$AW$1055,HLOOKUP(INDIRECT(ADDRESS(2,COLUMN())),OFFSET($BN$2,0,0,ROW()-1,60),ROW()-1,FALSE))</f>
        <v/>
      </c>
      <c r="AX391" t="str">
        <f ca="1">IF(AND(ISNUMBER($AX$1055),$B$677=1),$AX$1055,HLOOKUP(INDIRECT(ADDRESS(2,COLUMN())),OFFSET($BN$2,0,0,ROW()-1,60),ROW()-1,FALSE))</f>
        <v/>
      </c>
      <c r="AY391" t="str">
        <f ca="1">IF(AND(ISNUMBER($AY$1055),$B$677=1),$AY$1055,HLOOKUP(INDIRECT(ADDRESS(2,COLUMN())),OFFSET($BN$2,0,0,ROW()-1,60),ROW()-1,FALSE))</f>
        <v/>
      </c>
      <c r="AZ391" t="str">
        <f ca="1">IF(AND(ISNUMBER($AZ$1055),$B$677=1),$AZ$1055,HLOOKUP(INDIRECT(ADDRESS(2,COLUMN())),OFFSET($BN$2,0,0,ROW()-1,60),ROW()-1,FALSE))</f>
        <v/>
      </c>
      <c r="BA391" t="str">
        <f ca="1">IF(AND(ISNUMBER($BA$1055),$B$677=1),$BA$1055,HLOOKUP(INDIRECT(ADDRESS(2,COLUMN())),OFFSET($BN$2,0,0,ROW()-1,60),ROW()-1,FALSE))</f>
        <v/>
      </c>
      <c r="BB391" t="str">
        <f ca="1">IF(AND(ISNUMBER($BB$1055),$B$677=1),$BB$1055,HLOOKUP(INDIRECT(ADDRESS(2,COLUMN())),OFFSET($BN$2,0,0,ROW()-1,60),ROW()-1,FALSE))</f>
        <v/>
      </c>
      <c r="BC391" t="str">
        <f ca="1">IF(AND(ISNUMBER($BC$1055),$B$677=1),$BC$1055,HLOOKUP(INDIRECT(ADDRESS(2,COLUMN())),OFFSET($BN$2,0,0,ROW()-1,60),ROW()-1,FALSE))</f>
        <v/>
      </c>
      <c r="BD391" t="str">
        <f ca="1">IF(AND(ISNUMBER($BD$1055),$B$677=1),$BD$1055,HLOOKUP(INDIRECT(ADDRESS(2,COLUMN())),OFFSET($BN$2,0,0,ROW()-1,60),ROW()-1,FALSE))</f>
        <v/>
      </c>
      <c r="BE391" t="str">
        <f ca="1">IF(AND(ISNUMBER($BE$1055),$B$677=1),$BE$1055,HLOOKUP(INDIRECT(ADDRESS(2,COLUMN())),OFFSET($BN$2,0,0,ROW()-1,60),ROW()-1,FALSE))</f>
        <v/>
      </c>
      <c r="BF391" t="str">
        <f ca="1">IF(AND(ISNUMBER($BF$1055),$B$677=1),$BF$1055,HLOOKUP(INDIRECT(ADDRESS(2,COLUMN())),OFFSET($BN$2,0,0,ROW()-1,60),ROW()-1,FALSE))</f>
        <v/>
      </c>
      <c r="BG391" t="str">
        <f ca="1">IF(AND(ISNUMBER($BG$1055),$B$677=1),$BG$1055,HLOOKUP(INDIRECT(ADDRESS(2,COLUMN())),OFFSET($BN$2,0,0,ROW()-1,60),ROW()-1,FALSE))</f>
        <v/>
      </c>
      <c r="BH391" t="str">
        <f ca="1">IF(AND(ISNUMBER($BH$1055),$B$677=1),$BH$1055,HLOOKUP(INDIRECT(ADDRESS(2,COLUMN())),OFFSET($BN$2,0,0,ROW()-1,60),ROW()-1,FALSE))</f>
        <v/>
      </c>
      <c r="BI391" t="str">
        <f ca="1">IF(AND(ISNUMBER($BI$1055),$B$677=1),$BI$1055,HLOOKUP(INDIRECT(ADDRESS(2,COLUMN())),OFFSET($BN$2,0,0,ROW()-1,60),ROW()-1,FALSE))</f>
        <v/>
      </c>
      <c r="BJ391" t="str">
        <f ca="1">IF(AND(ISNUMBER($BJ$1055),$B$677=1),$BJ$1055,HLOOKUP(INDIRECT(ADDRESS(2,COLUMN())),OFFSET($BN$2,0,0,ROW()-1,60),ROW()-1,FALSE))</f>
        <v/>
      </c>
      <c r="BK391" t="str">
        <f ca="1">IF(AND(ISNUMBER($BK$1055),$B$677=1),$BK$1055,HLOOKUP(INDIRECT(ADDRESS(2,COLUMN())),OFFSET($BN$2,0,0,ROW()-1,60),ROW()-1,FALSE))</f>
        <v/>
      </c>
      <c r="BL391" t="str">
        <f ca="1">IF(AND(ISNUMBER($BL$1055),$B$677=1),$BL$1055,HLOOKUP(INDIRECT(ADDRESS(2,COLUMN())),OFFSET($BN$2,0,0,ROW()-1,60),ROW()-1,FALSE))</f>
        <v/>
      </c>
      <c r="BM391" t="str">
        <f ca="1">IF(AND(ISNUMBER($BM$1055),$B$677=1),$BM$1055,HLOOKUP(INDIRECT(ADDRESS(2,COLUMN())),OFFSET($BN$2,0,0,ROW()-1,60),ROW()-1,FALSE))</f>
        <v/>
      </c>
      <c r="BN391" t="str">
        <f>""</f>
        <v/>
      </c>
      <c r="BO391">
        <f>0.964467222</f>
        <v>0.96446722200000001</v>
      </c>
      <c r="BP391">
        <f>0.990814205</f>
        <v>0.99081420499999995</v>
      </c>
      <c r="BQ391">
        <f>0.976722263</f>
        <v>0.97672226299999998</v>
      </c>
      <c r="BR391">
        <f>0.985651388</f>
        <v>0.98565138799999996</v>
      </c>
      <c r="BS391">
        <f>0.915728575</f>
        <v>0.91572857500000004</v>
      </c>
      <c r="BT391">
        <f>0.965382438</f>
        <v>0.96538243800000001</v>
      </c>
      <c r="BU391">
        <f>0.822979292</f>
        <v>0.82297929199999997</v>
      </c>
      <c r="BV391">
        <f>0.82586727</f>
        <v>0.82586727000000004</v>
      </c>
      <c r="BW391">
        <f>0.793321852</f>
        <v>0.79332185200000005</v>
      </c>
      <c r="BX391">
        <f>0.796663519</f>
        <v>0.79666351899999999</v>
      </c>
      <c r="BY391">
        <f>0.824160777</f>
        <v>0.82416077700000001</v>
      </c>
      <c r="BZ391">
        <f>0.862975925</f>
        <v>0.86297592499999998</v>
      </c>
      <c r="CA391">
        <f>0.781966088</f>
        <v>0.781966088</v>
      </c>
      <c r="CB391">
        <f>0.752873085</f>
        <v>0.75287308500000005</v>
      </c>
      <c r="CC391">
        <f>0.761776178</f>
        <v>0.76177617799999997</v>
      </c>
      <c r="CD391">
        <f>0.766266667</f>
        <v>0.76626666700000001</v>
      </c>
      <c r="CE391">
        <f>0.7263499</f>
        <v>0.72634989999999999</v>
      </c>
      <c r="CF391">
        <f>0.704289292</f>
        <v>0.70428929200000001</v>
      </c>
      <c r="CG391">
        <f>0.709245868</f>
        <v>0.709245868</v>
      </c>
      <c r="CH391">
        <f>0.739559123</f>
        <v>0.73955912300000004</v>
      </c>
      <c r="CI391">
        <f>0.701038135</f>
        <v>0.70103813500000001</v>
      </c>
      <c r="CJ391">
        <f>0.805016085</f>
        <v>0.80501608499999999</v>
      </c>
      <c r="CK391">
        <f>0.802397393</f>
        <v>0.80239739300000001</v>
      </c>
      <c r="CL391">
        <f>0.794803328</f>
        <v>0.79480332799999998</v>
      </c>
      <c r="CM391">
        <f>0.751171216</f>
        <v>0.75117121600000003</v>
      </c>
      <c r="CN391">
        <f>0.579717563</f>
        <v>0.57971756299999999</v>
      </c>
      <c r="CO391">
        <f>0.788894931</f>
        <v>0.78889493099999997</v>
      </c>
      <c r="CP391">
        <f>0.851707505</f>
        <v>0.85170750500000003</v>
      </c>
      <c r="CQ391">
        <f>0.524230241</f>
        <v>0.52423024100000004</v>
      </c>
      <c r="CR391">
        <f>0.723082065</f>
        <v>0.72308206500000005</v>
      </c>
      <c r="CS391">
        <f>0.796996139</f>
        <v>0.79699613899999999</v>
      </c>
      <c r="CT391">
        <f>0.886496579</f>
        <v>0.88649657900000001</v>
      </c>
      <c r="CU391">
        <f>0.933881966</f>
        <v>0.93388196599999995</v>
      </c>
      <c r="CV391" t="str">
        <f>""</f>
        <v/>
      </c>
      <c r="CW391" t="str">
        <f>""</f>
        <v/>
      </c>
      <c r="CX391" t="str">
        <f>""</f>
        <v/>
      </c>
      <c r="CY391" t="str">
        <f>""</f>
        <v/>
      </c>
      <c r="CZ391" t="str">
        <f>""</f>
        <v/>
      </c>
      <c r="DA391" t="str">
        <f>""</f>
        <v/>
      </c>
      <c r="DB391" t="str">
        <f>""</f>
        <v/>
      </c>
      <c r="DC391" t="str">
        <f>""</f>
        <v/>
      </c>
      <c r="DD391" t="str">
        <f>""</f>
        <v/>
      </c>
      <c r="DE391" t="str">
        <f>""</f>
        <v/>
      </c>
      <c r="DF391" t="str">
        <f>""</f>
        <v/>
      </c>
      <c r="DG391" t="str">
        <f>""</f>
        <v/>
      </c>
      <c r="DH391" t="str">
        <f>""</f>
        <v/>
      </c>
      <c r="DI391" t="str">
        <f>""</f>
        <v/>
      </c>
      <c r="DJ391" t="str">
        <f>""</f>
        <v/>
      </c>
      <c r="DK391" t="str">
        <f>""</f>
        <v/>
      </c>
      <c r="DL391" t="str">
        <f>""</f>
        <v/>
      </c>
      <c r="DM391" t="str">
        <f>""</f>
        <v/>
      </c>
      <c r="DN391" t="str">
        <f>""</f>
        <v/>
      </c>
      <c r="DO391" t="str">
        <f>""</f>
        <v/>
      </c>
      <c r="DP391" t="str">
        <f>""</f>
        <v/>
      </c>
      <c r="DQ391" t="str">
        <f>""</f>
        <v/>
      </c>
      <c r="DR391" t="str">
        <f>""</f>
        <v/>
      </c>
      <c r="DS391" t="str">
        <f>""</f>
        <v/>
      </c>
      <c r="DT391" t="str">
        <f>""</f>
        <v/>
      </c>
      <c r="DU391" t="str">
        <f>""</f>
        <v/>
      </c>
    </row>
    <row r="392" spans="1:125" x14ac:dyDescent="0.25">
      <c r="A392" t="str">
        <f>"    Great Wall Motor Co Ltd"</f>
        <v xml:space="preserve">    Great Wall Motor Co Ltd</v>
      </c>
      <c r="B392" t="str">
        <f>"2333 HK Equity"</f>
        <v>2333 HK Equity</v>
      </c>
      <c r="C392" t="str">
        <f t="shared" si="27"/>
        <v>RR480</v>
      </c>
      <c r="D392" t="str">
        <f t="shared" si="28"/>
        <v>EV_TO_MKT_CAP</v>
      </c>
      <c r="E392" t="str">
        <f t="shared" si="29"/>
        <v>Dynamic</v>
      </c>
      <c r="F392" t="str">
        <f ca="1">IF(AND(ISNUMBER($F$1056),$B$677=1),$F$1056,HLOOKUP(INDIRECT(ADDRESS(2,COLUMN())),OFFSET($BN$2,0,0,ROW()-1,60),ROW()-1,FALSE))</f>
        <v/>
      </c>
      <c r="G392" t="str">
        <f ca="1">IF(AND(ISNUMBER($G$1056),$B$677=1),$G$1056,HLOOKUP(INDIRECT(ADDRESS(2,COLUMN())),OFFSET($BN$2,0,0,ROW()-1,60),ROW()-1,FALSE))</f>
        <v/>
      </c>
      <c r="H392">
        <f ca="1">IF(AND(ISNUMBER($H$1056),$B$677=1),$H$1056,HLOOKUP(INDIRECT(ADDRESS(2,COLUMN())),OFFSET($BN$2,0,0,ROW()-1,60),ROW()-1,FALSE))</f>
        <v>1.0371007809999999</v>
      </c>
      <c r="I392">
        <f ca="1">IF(AND(ISNUMBER($I$1056),$B$677=1),$I$1056,HLOOKUP(INDIRECT(ADDRESS(2,COLUMN())),OFFSET($BN$2,0,0,ROW()-1,60),ROW()-1,FALSE))</f>
        <v>1.1339312669999999</v>
      </c>
      <c r="J392">
        <f ca="1">IF(AND(ISNUMBER($J$1056),$B$677=1),$J$1056,HLOOKUP(INDIRECT(ADDRESS(2,COLUMN())),OFFSET($BN$2,0,0,ROW()-1,60),ROW()-1,FALSE))</f>
        <v>1.216855743</v>
      </c>
      <c r="K392">
        <f ca="1">IF(AND(ISNUMBER($K$1056),$B$677=1),$K$1056,HLOOKUP(INDIRECT(ADDRESS(2,COLUMN())),OFFSET($BN$2,0,0,ROW()-1,60),ROW()-1,FALSE))</f>
        <v>1.1440432730000001</v>
      </c>
      <c r="L392">
        <f ca="1">IF(AND(ISNUMBER($L$1056),$B$677=1),$L$1056,HLOOKUP(INDIRECT(ADDRESS(2,COLUMN())),OFFSET($BN$2,0,0,ROW()-1,60),ROW()-1,FALSE))</f>
        <v>1.0666658010000001</v>
      </c>
      <c r="M392">
        <f ca="1">IF(AND(ISNUMBER($M$1056),$B$677=1),$M$1056,HLOOKUP(INDIRECT(ADDRESS(2,COLUMN())),OFFSET($BN$2,0,0,ROW()-1,60),ROW()-1,FALSE))</f>
        <v>1.004735691</v>
      </c>
      <c r="N392">
        <f ca="1">IF(AND(ISNUMBER($N$1056),$B$677=1),$N$1056,HLOOKUP(INDIRECT(ADDRESS(2,COLUMN())),OFFSET($BN$2,0,0,ROW()-1,60),ROW()-1,FALSE))</f>
        <v>1.0862353819999999</v>
      </c>
      <c r="O392">
        <f ca="1">IF(AND(ISNUMBER($O$1056),$B$677=1),$O$1056,HLOOKUP(INDIRECT(ADDRESS(2,COLUMN())),OFFSET($BN$2,0,0,ROW()-1,60),ROW()-1,FALSE))</f>
        <v>1.0153517729999999</v>
      </c>
      <c r="P392">
        <f ca="1">IF(AND(ISNUMBER($P$1056),$B$677=1),$P$1056,HLOOKUP(INDIRECT(ADDRESS(2,COLUMN())),OFFSET($BN$2,0,0,ROW()-1,60),ROW()-1,FALSE))</f>
        <v>1.011524573</v>
      </c>
      <c r="Q392">
        <f ca="1">IF(AND(ISNUMBER($Q$1056),$B$677=1),$Q$1056,HLOOKUP(INDIRECT(ADDRESS(2,COLUMN())),OFFSET($BN$2,0,0,ROW()-1,60),ROW()-1,FALSE))</f>
        <v>1.0251238600000001</v>
      </c>
      <c r="R392">
        <f ca="1">IF(AND(ISNUMBER($R$1056),$B$677=1),$R$1056,HLOOKUP(INDIRECT(ADDRESS(2,COLUMN())),OFFSET($BN$2,0,0,ROW()-1,60),ROW()-1,FALSE))</f>
        <v>1.0311533369999999</v>
      </c>
      <c r="S392">
        <f ca="1">IF(AND(ISNUMBER($S$1056),$B$677=1),$S$1056,HLOOKUP(INDIRECT(ADDRESS(2,COLUMN())),OFFSET($BN$2,0,0,ROW()-1,60),ROW()-1,FALSE))</f>
        <v>1.0256399430000001</v>
      </c>
      <c r="T392">
        <f ca="1">IF(AND(ISNUMBER($T$1056),$B$677=1),$T$1056,HLOOKUP(INDIRECT(ADDRESS(2,COLUMN())),OFFSET($BN$2,0,0,ROW()-1,60),ROW()-1,FALSE))</f>
        <v>1.0034129510000001</v>
      </c>
      <c r="U392">
        <f ca="1">IF(AND(ISNUMBER($U$1056),$B$677=1),$U$1056,HLOOKUP(INDIRECT(ADDRESS(2,COLUMN())),OFFSET($BN$2,0,0,ROW()-1,60),ROW()-1,FALSE))</f>
        <v>1.0047337810000001</v>
      </c>
      <c r="V392">
        <f ca="1">IF(AND(ISNUMBER($V$1056),$B$677=1),$V$1056,HLOOKUP(INDIRECT(ADDRESS(2,COLUMN())),OFFSET($BN$2,0,0,ROW()-1,60),ROW()-1,FALSE))</f>
        <v>1.0069628669999999</v>
      </c>
      <c r="W392">
        <f ca="1">IF(AND(ISNUMBER($W$1056),$B$677=1),$W$1056,HLOOKUP(INDIRECT(ADDRESS(2,COLUMN())),OFFSET($BN$2,0,0,ROW()-1,60),ROW()-1,FALSE))</f>
        <v>1.009993927</v>
      </c>
      <c r="X392">
        <f ca="1">IF(AND(ISNUMBER($X$1056),$B$677=1),$X$1056,HLOOKUP(INDIRECT(ADDRESS(2,COLUMN())),OFFSET($BN$2,0,0,ROW()-1,60),ROW()-1,FALSE))</f>
        <v>0.98638478699999999</v>
      </c>
      <c r="Y392">
        <f ca="1">IF(AND(ISNUMBER($Y$1056),$B$677=1),$Y$1056,HLOOKUP(INDIRECT(ADDRESS(2,COLUMN())),OFFSET($BN$2,0,0,ROW()-1,60),ROW()-1,FALSE))</f>
        <v>1.004320696</v>
      </c>
      <c r="Z392">
        <f ca="1">IF(AND(ISNUMBER($Z$1056),$B$677=1),$Z$1056,HLOOKUP(INDIRECT(ADDRESS(2,COLUMN())),OFFSET($BN$2,0,0,ROW()-1,60),ROW()-1,FALSE))</f>
        <v>0.97946695500000003</v>
      </c>
      <c r="AA392">
        <f ca="1">IF(AND(ISNUMBER($AA$1056),$B$677=1),$AA$1056,HLOOKUP(INDIRECT(ADDRESS(2,COLUMN())),OFFSET($BN$2,0,0,ROW()-1,60),ROW()-1,FALSE))</f>
        <v>0.99292072499999995</v>
      </c>
      <c r="AB392">
        <f ca="1">IF(AND(ISNUMBER($AB$1056),$B$677=1),$AB$1056,HLOOKUP(INDIRECT(ADDRESS(2,COLUMN())),OFFSET($BN$2,0,0,ROW()-1,60),ROW()-1,FALSE))</f>
        <v>0.96213271899999997</v>
      </c>
      <c r="AC392">
        <f ca="1">IF(AND(ISNUMBER($AC$1056),$B$677=1),$AC$1056,HLOOKUP(INDIRECT(ADDRESS(2,COLUMN())),OFFSET($BN$2,0,0,ROW()-1,60),ROW()-1,FALSE))</f>
        <v>0.971139855</v>
      </c>
      <c r="AD392">
        <f ca="1">IF(AND(ISNUMBER($AD$1056),$B$677=1),$AD$1056,HLOOKUP(INDIRECT(ADDRESS(2,COLUMN())),OFFSET($BN$2,0,0,ROW()-1,60),ROW()-1,FALSE))</f>
        <v>0.962887296</v>
      </c>
      <c r="AE392">
        <f ca="1">IF(AND(ISNUMBER($AE$1056),$B$677=1),$AE$1056,HLOOKUP(INDIRECT(ADDRESS(2,COLUMN())),OFFSET($BN$2,0,0,ROW()-1,60),ROW()-1,FALSE))</f>
        <v>0.98420611199999997</v>
      </c>
      <c r="AF392">
        <f ca="1">IF(AND(ISNUMBER($AF$1056),$B$677=1),$AF$1056,HLOOKUP(INDIRECT(ADDRESS(2,COLUMN())),OFFSET($BN$2,0,0,ROW()-1,60),ROW()-1,FALSE))</f>
        <v>0.96710596000000004</v>
      </c>
      <c r="AG392">
        <f ca="1">IF(AND(ISNUMBER($AG$1056),$B$677=1),$AG$1056,HLOOKUP(INDIRECT(ADDRESS(2,COLUMN())),OFFSET($BN$2,0,0,ROW()-1,60),ROW()-1,FALSE))</f>
        <v>0.993014018</v>
      </c>
      <c r="AH392">
        <f ca="1">IF(AND(ISNUMBER($AH$1056),$B$677=1),$AH$1056,HLOOKUP(INDIRECT(ADDRESS(2,COLUMN())),OFFSET($BN$2,0,0,ROW()-1,60),ROW()-1,FALSE))</f>
        <v>0.95016073199999995</v>
      </c>
      <c r="AI392" t="str">
        <f ca="1">IF(AND(ISNUMBER($AI$1056),$B$677=1),$AI$1056,HLOOKUP(INDIRECT(ADDRESS(2,COLUMN())),OFFSET($BN$2,0,0,ROW()-1,60),ROW()-1,FALSE))</f>
        <v/>
      </c>
      <c r="AJ392">
        <f ca="1">IF(AND(ISNUMBER($AJ$1056),$B$677=1),$AJ$1056,HLOOKUP(INDIRECT(ADDRESS(2,COLUMN())),OFFSET($BN$2,0,0,ROW()-1,60),ROW()-1,FALSE))</f>
        <v>0.88275795400000001</v>
      </c>
      <c r="AK392" t="str">
        <f ca="1">IF(AND(ISNUMBER($AK$1056),$B$677=1),$AK$1056,HLOOKUP(INDIRECT(ADDRESS(2,COLUMN())),OFFSET($BN$2,0,0,ROW()-1,60),ROW()-1,FALSE))</f>
        <v/>
      </c>
      <c r="AL392">
        <f ca="1">IF(AND(ISNUMBER($AL$1056),$B$677=1),$AL$1056,HLOOKUP(INDIRECT(ADDRESS(2,COLUMN())),OFFSET($BN$2,0,0,ROW()-1,60),ROW()-1,FALSE))</f>
        <v>1.0756744600000001</v>
      </c>
      <c r="AM392" t="str">
        <f ca="1">IF(AND(ISNUMBER($AM$1056),$B$677=1),$AM$1056,HLOOKUP(INDIRECT(ADDRESS(2,COLUMN())),OFFSET($BN$2,0,0,ROW()-1,60),ROW()-1,FALSE))</f>
        <v/>
      </c>
      <c r="AN392" t="str">
        <f ca="1">IF(AND(ISNUMBER($AN$1056),$B$677=1),$AN$1056,HLOOKUP(INDIRECT(ADDRESS(2,COLUMN())),OFFSET($BN$2,0,0,ROW()-1,60),ROW()-1,FALSE))</f>
        <v/>
      </c>
      <c r="AO392" t="str">
        <f ca="1">IF(AND(ISNUMBER($AO$1056),$B$677=1),$AO$1056,HLOOKUP(INDIRECT(ADDRESS(2,COLUMN())),OFFSET($BN$2,0,0,ROW()-1,60),ROW()-1,FALSE))</f>
        <v/>
      </c>
      <c r="AP392" t="str">
        <f ca="1">IF(AND(ISNUMBER($AP$1056),$B$677=1),$AP$1056,HLOOKUP(INDIRECT(ADDRESS(2,COLUMN())),OFFSET($BN$2,0,0,ROW()-1,60),ROW()-1,FALSE))</f>
        <v/>
      </c>
      <c r="AQ392" t="str">
        <f ca="1">IF(AND(ISNUMBER($AQ$1056),$B$677=1),$AQ$1056,HLOOKUP(INDIRECT(ADDRESS(2,COLUMN())),OFFSET($BN$2,0,0,ROW()-1,60),ROW()-1,FALSE))</f>
        <v/>
      </c>
      <c r="AR392" t="str">
        <f ca="1">IF(AND(ISNUMBER($AR$1056),$B$677=1),$AR$1056,HLOOKUP(INDIRECT(ADDRESS(2,COLUMN())),OFFSET($BN$2,0,0,ROW()-1,60),ROW()-1,FALSE))</f>
        <v/>
      </c>
      <c r="AS392" t="str">
        <f ca="1">IF(AND(ISNUMBER($AS$1056),$B$677=1),$AS$1056,HLOOKUP(INDIRECT(ADDRESS(2,COLUMN())),OFFSET($BN$2,0,0,ROW()-1,60),ROW()-1,FALSE))</f>
        <v/>
      </c>
      <c r="AT392" t="str">
        <f ca="1">IF(AND(ISNUMBER($AT$1056),$B$677=1),$AT$1056,HLOOKUP(INDIRECT(ADDRESS(2,COLUMN())),OFFSET($BN$2,0,0,ROW()-1,60),ROW()-1,FALSE))</f>
        <v/>
      </c>
      <c r="AU392" t="str">
        <f ca="1">IF(AND(ISNUMBER($AU$1056),$B$677=1),$AU$1056,HLOOKUP(INDIRECT(ADDRESS(2,COLUMN())),OFFSET($BN$2,0,0,ROW()-1,60),ROW()-1,FALSE))</f>
        <v/>
      </c>
      <c r="AV392" t="str">
        <f ca="1">IF(AND(ISNUMBER($AV$1056),$B$677=1),$AV$1056,HLOOKUP(INDIRECT(ADDRESS(2,COLUMN())),OFFSET($BN$2,0,0,ROW()-1,60),ROW()-1,FALSE))</f>
        <v/>
      </c>
      <c r="AW392" t="str">
        <f ca="1">IF(AND(ISNUMBER($AW$1056),$B$677=1),$AW$1056,HLOOKUP(INDIRECT(ADDRESS(2,COLUMN())),OFFSET($BN$2,0,0,ROW()-1,60),ROW()-1,FALSE))</f>
        <v/>
      </c>
      <c r="AX392" t="str">
        <f ca="1">IF(AND(ISNUMBER($AX$1056),$B$677=1),$AX$1056,HLOOKUP(INDIRECT(ADDRESS(2,COLUMN())),OFFSET($BN$2,0,0,ROW()-1,60),ROW()-1,FALSE))</f>
        <v/>
      </c>
      <c r="AY392" t="str">
        <f ca="1">IF(AND(ISNUMBER($AY$1056),$B$677=1),$AY$1056,HLOOKUP(INDIRECT(ADDRESS(2,COLUMN())),OFFSET($BN$2,0,0,ROW()-1,60),ROW()-1,FALSE))</f>
        <v/>
      </c>
      <c r="AZ392" t="str">
        <f ca="1">IF(AND(ISNUMBER($AZ$1056),$B$677=1),$AZ$1056,HLOOKUP(INDIRECT(ADDRESS(2,COLUMN())),OFFSET($BN$2,0,0,ROW()-1,60),ROW()-1,FALSE))</f>
        <v/>
      </c>
      <c r="BA392" t="str">
        <f ca="1">IF(AND(ISNUMBER($BA$1056),$B$677=1),$BA$1056,HLOOKUP(INDIRECT(ADDRESS(2,COLUMN())),OFFSET($BN$2,0,0,ROW()-1,60),ROW()-1,FALSE))</f>
        <v/>
      </c>
      <c r="BB392" t="str">
        <f ca="1">IF(AND(ISNUMBER($BB$1056),$B$677=1),$BB$1056,HLOOKUP(INDIRECT(ADDRESS(2,COLUMN())),OFFSET($BN$2,0,0,ROW()-1,60),ROW()-1,FALSE))</f>
        <v/>
      </c>
      <c r="BC392" t="str">
        <f ca="1">IF(AND(ISNUMBER($BC$1056),$B$677=1),$BC$1056,HLOOKUP(INDIRECT(ADDRESS(2,COLUMN())),OFFSET($BN$2,0,0,ROW()-1,60),ROW()-1,FALSE))</f>
        <v/>
      </c>
      <c r="BD392" t="str">
        <f ca="1">IF(AND(ISNUMBER($BD$1056),$B$677=1),$BD$1056,HLOOKUP(INDIRECT(ADDRESS(2,COLUMN())),OFFSET($BN$2,0,0,ROW()-1,60),ROW()-1,FALSE))</f>
        <v/>
      </c>
      <c r="BE392" t="str">
        <f ca="1">IF(AND(ISNUMBER($BE$1056),$B$677=1),$BE$1056,HLOOKUP(INDIRECT(ADDRESS(2,COLUMN())),OFFSET($BN$2,0,0,ROW()-1,60),ROW()-1,FALSE))</f>
        <v/>
      </c>
      <c r="BF392" t="str">
        <f ca="1">IF(AND(ISNUMBER($BF$1056),$B$677=1),$BF$1056,HLOOKUP(INDIRECT(ADDRESS(2,COLUMN())),OFFSET($BN$2,0,0,ROW()-1,60),ROW()-1,FALSE))</f>
        <v/>
      </c>
      <c r="BG392" t="str">
        <f ca="1">IF(AND(ISNUMBER($BG$1056),$B$677=1),$BG$1056,HLOOKUP(INDIRECT(ADDRESS(2,COLUMN())),OFFSET($BN$2,0,0,ROW()-1,60),ROW()-1,FALSE))</f>
        <v/>
      </c>
      <c r="BH392" t="str">
        <f ca="1">IF(AND(ISNUMBER($BH$1056),$B$677=1),$BH$1056,HLOOKUP(INDIRECT(ADDRESS(2,COLUMN())),OFFSET($BN$2,0,0,ROW()-1,60),ROW()-1,FALSE))</f>
        <v/>
      </c>
      <c r="BI392" t="str">
        <f ca="1">IF(AND(ISNUMBER($BI$1056),$B$677=1),$BI$1056,HLOOKUP(INDIRECT(ADDRESS(2,COLUMN())),OFFSET($BN$2,0,0,ROW()-1,60),ROW()-1,FALSE))</f>
        <v/>
      </c>
      <c r="BJ392" t="str">
        <f ca="1">IF(AND(ISNUMBER($BJ$1056),$B$677=1),$BJ$1056,HLOOKUP(INDIRECT(ADDRESS(2,COLUMN())),OFFSET($BN$2,0,0,ROW()-1,60),ROW()-1,FALSE))</f>
        <v/>
      </c>
      <c r="BK392" t="str">
        <f ca="1">IF(AND(ISNUMBER($BK$1056),$B$677=1),$BK$1056,HLOOKUP(INDIRECT(ADDRESS(2,COLUMN())),OFFSET($BN$2,0,0,ROW()-1,60),ROW()-1,FALSE))</f>
        <v/>
      </c>
      <c r="BL392" t="str">
        <f ca="1">IF(AND(ISNUMBER($BL$1056),$B$677=1),$BL$1056,HLOOKUP(INDIRECT(ADDRESS(2,COLUMN())),OFFSET($BN$2,0,0,ROW()-1,60),ROW()-1,FALSE))</f>
        <v/>
      </c>
      <c r="BM392" t="str">
        <f ca="1">IF(AND(ISNUMBER($BM$1056),$B$677=1),$BM$1056,HLOOKUP(INDIRECT(ADDRESS(2,COLUMN())),OFFSET($BN$2,0,0,ROW()-1,60),ROW()-1,FALSE))</f>
        <v/>
      </c>
      <c r="BN392" t="str">
        <f>""</f>
        <v/>
      </c>
      <c r="BO392" t="str">
        <f>""</f>
        <v/>
      </c>
      <c r="BP392">
        <f>1.037100781</f>
        <v>1.0371007809999999</v>
      </c>
      <c r="BQ392">
        <f>1.133931267</f>
        <v>1.1339312669999999</v>
      </c>
      <c r="BR392">
        <f>1.216855743</f>
        <v>1.216855743</v>
      </c>
      <c r="BS392">
        <f>1.144043273</f>
        <v>1.1440432730000001</v>
      </c>
      <c r="BT392">
        <f>1.066665801</f>
        <v>1.0666658010000001</v>
      </c>
      <c r="BU392">
        <f>1.004735691</f>
        <v>1.004735691</v>
      </c>
      <c r="BV392">
        <f>1.086235382</f>
        <v>1.0862353819999999</v>
      </c>
      <c r="BW392">
        <f>1.015351773</f>
        <v>1.0153517729999999</v>
      </c>
      <c r="BX392">
        <f>1.011524573</f>
        <v>1.011524573</v>
      </c>
      <c r="BY392">
        <f>1.02512386</f>
        <v>1.0251238600000001</v>
      </c>
      <c r="BZ392">
        <f>1.031153337</f>
        <v>1.0311533369999999</v>
      </c>
      <c r="CA392">
        <f>1.025639943</f>
        <v>1.0256399430000001</v>
      </c>
      <c r="CB392">
        <f>1.003412951</f>
        <v>1.0034129510000001</v>
      </c>
      <c r="CC392">
        <f>1.004733781</f>
        <v>1.0047337810000001</v>
      </c>
      <c r="CD392">
        <f>1.006962867</f>
        <v>1.0069628669999999</v>
      </c>
      <c r="CE392">
        <f>1.009993927</f>
        <v>1.009993927</v>
      </c>
      <c r="CF392">
        <f>0.986384787</f>
        <v>0.98638478699999999</v>
      </c>
      <c r="CG392">
        <f>1.004320696</f>
        <v>1.004320696</v>
      </c>
      <c r="CH392">
        <f>0.979466955</f>
        <v>0.97946695500000003</v>
      </c>
      <c r="CI392">
        <f>0.992920725</f>
        <v>0.99292072499999995</v>
      </c>
      <c r="CJ392">
        <f>0.962132719</f>
        <v>0.96213271899999997</v>
      </c>
      <c r="CK392">
        <f>0.971139855</f>
        <v>0.971139855</v>
      </c>
      <c r="CL392">
        <f>0.962887296</f>
        <v>0.962887296</v>
      </c>
      <c r="CM392">
        <f>0.984206112</f>
        <v>0.98420611199999997</v>
      </c>
      <c r="CN392">
        <f>0.96710596</f>
        <v>0.96710596000000004</v>
      </c>
      <c r="CO392">
        <f>0.993014018</f>
        <v>0.993014018</v>
      </c>
      <c r="CP392">
        <f>0.950160732</f>
        <v>0.95016073199999995</v>
      </c>
      <c r="CQ392" t="str">
        <f>""</f>
        <v/>
      </c>
      <c r="CR392">
        <f>0.882757954</f>
        <v>0.88275795400000001</v>
      </c>
      <c r="CS392" t="str">
        <f>""</f>
        <v/>
      </c>
      <c r="CT392">
        <f>1.07567446</f>
        <v>1.0756744600000001</v>
      </c>
      <c r="CU392" t="str">
        <f>""</f>
        <v/>
      </c>
      <c r="CV392" t="str">
        <f>""</f>
        <v/>
      </c>
      <c r="CW392" t="str">
        <f>""</f>
        <v/>
      </c>
      <c r="CX392" t="str">
        <f>""</f>
        <v/>
      </c>
      <c r="CY392" t="str">
        <f>""</f>
        <v/>
      </c>
      <c r="CZ392" t="str">
        <f>""</f>
        <v/>
      </c>
      <c r="DA392" t="str">
        <f>""</f>
        <v/>
      </c>
      <c r="DB392" t="str">
        <f>""</f>
        <v/>
      </c>
      <c r="DC392" t="str">
        <f>""</f>
        <v/>
      </c>
      <c r="DD392" t="str">
        <f>""</f>
        <v/>
      </c>
      <c r="DE392" t="str">
        <f>""</f>
        <v/>
      </c>
      <c r="DF392" t="str">
        <f>""</f>
        <v/>
      </c>
      <c r="DG392" t="str">
        <f>""</f>
        <v/>
      </c>
      <c r="DH392" t="str">
        <f>""</f>
        <v/>
      </c>
      <c r="DI392" t="str">
        <f>""</f>
        <v/>
      </c>
      <c r="DJ392" t="str">
        <f>""</f>
        <v/>
      </c>
      <c r="DK392" t="str">
        <f>""</f>
        <v/>
      </c>
      <c r="DL392" t="str">
        <f>""</f>
        <v/>
      </c>
      <c r="DM392" t="str">
        <f>""</f>
        <v/>
      </c>
      <c r="DN392" t="str">
        <f>""</f>
        <v/>
      </c>
      <c r="DO392" t="str">
        <f>""</f>
        <v/>
      </c>
      <c r="DP392" t="str">
        <f>""</f>
        <v/>
      </c>
      <c r="DQ392" t="str">
        <f>""</f>
        <v/>
      </c>
      <c r="DR392" t="str">
        <f>""</f>
        <v/>
      </c>
      <c r="DS392" t="str">
        <f>""</f>
        <v/>
      </c>
      <c r="DT392" t="str">
        <f>""</f>
        <v/>
      </c>
      <c r="DU392" t="str">
        <f>""</f>
        <v/>
      </c>
    </row>
    <row r="393" spans="1:125" x14ac:dyDescent="0.25">
      <c r="A393" t="str">
        <f>"    Guangzhou Automobile Group Co Ltd"</f>
        <v xml:space="preserve">    Guangzhou Automobile Group Co Ltd</v>
      </c>
      <c r="B393" t="str">
        <f>"2238 HK Equity"</f>
        <v>2238 HK Equity</v>
      </c>
      <c r="C393" t="str">
        <f t="shared" si="27"/>
        <v>RR480</v>
      </c>
      <c r="D393" t="str">
        <f t="shared" si="28"/>
        <v>EV_TO_MKT_CAP</v>
      </c>
      <c r="E393" t="str">
        <f t="shared" si="29"/>
        <v>Dynamic</v>
      </c>
      <c r="F393" t="str">
        <f ca="1">IF(AND(ISNUMBER($F$1057),$B$677=1),$F$1057,HLOOKUP(INDIRECT(ADDRESS(2,COLUMN())),OFFSET($BN$2,0,0,ROW()-1,60),ROW()-1,FALSE))</f>
        <v/>
      </c>
      <c r="G393" t="str">
        <f ca="1">IF(AND(ISNUMBER($G$1057),$B$677=1),$G$1057,HLOOKUP(INDIRECT(ADDRESS(2,COLUMN())),OFFSET($BN$2,0,0,ROW()-1,60),ROW()-1,FALSE))</f>
        <v/>
      </c>
      <c r="H393">
        <f ca="1">IF(AND(ISNUMBER($H$1057),$B$677=1),$H$1057,HLOOKUP(INDIRECT(ADDRESS(2,COLUMN())),OFFSET($BN$2,0,0,ROW()-1,60),ROW()-1,FALSE))</f>
        <v>0.70782977499999999</v>
      </c>
      <c r="I393">
        <f ca="1">IF(AND(ISNUMBER($I$1057),$B$677=1),$I$1057,HLOOKUP(INDIRECT(ADDRESS(2,COLUMN())),OFFSET($BN$2,0,0,ROW()-1,60),ROW()-1,FALSE))</f>
        <v>0.66576871400000004</v>
      </c>
      <c r="J393">
        <f ca="1">IF(AND(ISNUMBER($J$1057),$B$677=1),$J$1057,HLOOKUP(INDIRECT(ADDRESS(2,COLUMN())),OFFSET($BN$2,0,0,ROW()-1,60),ROW()-1,FALSE))</f>
        <v>0.85508055599999999</v>
      </c>
      <c r="K393">
        <f ca="1">IF(AND(ISNUMBER($K$1057),$B$677=1),$K$1057,HLOOKUP(INDIRECT(ADDRESS(2,COLUMN())),OFFSET($BN$2,0,0,ROW()-1,60),ROW()-1,FALSE))</f>
        <v>0.87544532100000005</v>
      </c>
      <c r="L393">
        <f ca="1">IF(AND(ISNUMBER($L$1057),$B$677=1),$L$1057,HLOOKUP(INDIRECT(ADDRESS(2,COLUMN())),OFFSET($BN$2,0,0,ROW()-1,60),ROW()-1,FALSE))</f>
        <v>0.94448472999999999</v>
      </c>
      <c r="M393">
        <f ca="1">IF(AND(ISNUMBER($M$1057),$B$677=1),$M$1057,HLOOKUP(INDIRECT(ADDRESS(2,COLUMN())),OFFSET($BN$2,0,0,ROW()-1,60),ROW()-1,FALSE))</f>
        <v>0.92653219499999995</v>
      </c>
      <c r="N393">
        <f ca="1">IF(AND(ISNUMBER($N$1057),$B$677=1),$N$1057,HLOOKUP(INDIRECT(ADDRESS(2,COLUMN())),OFFSET($BN$2,0,0,ROW()-1,60),ROW()-1,FALSE))</f>
        <v>0.96292874100000003</v>
      </c>
      <c r="O393">
        <f ca="1">IF(AND(ISNUMBER($O$1057),$B$677=1),$O$1057,HLOOKUP(INDIRECT(ADDRESS(2,COLUMN())),OFFSET($BN$2,0,0,ROW()-1,60),ROW()-1,FALSE))</f>
        <v>0.94651332600000004</v>
      </c>
      <c r="P393">
        <f ca="1">IF(AND(ISNUMBER($P$1057),$B$677=1),$P$1057,HLOOKUP(INDIRECT(ADDRESS(2,COLUMN())),OFFSET($BN$2,0,0,ROW()-1,60),ROW()-1,FALSE))</f>
        <v>0.99721526500000002</v>
      </c>
      <c r="Q393">
        <f ca="1">IF(AND(ISNUMBER($Q$1057),$B$677=1),$Q$1057,HLOOKUP(INDIRECT(ADDRESS(2,COLUMN())),OFFSET($BN$2,0,0,ROW()-1,60),ROW()-1,FALSE))</f>
        <v>0.94671001600000004</v>
      </c>
      <c r="R393">
        <f ca="1">IF(AND(ISNUMBER($R$1057),$B$677=1),$R$1057,HLOOKUP(INDIRECT(ADDRESS(2,COLUMN())),OFFSET($BN$2,0,0,ROW()-1,60),ROW()-1,FALSE))</f>
        <v>0.97647269599999997</v>
      </c>
      <c r="S393">
        <f ca="1">IF(AND(ISNUMBER($S$1057),$B$677=1),$S$1057,HLOOKUP(INDIRECT(ADDRESS(2,COLUMN())),OFFSET($BN$2,0,0,ROW()-1,60),ROW()-1,FALSE))</f>
        <v>0.97330840699999999</v>
      </c>
      <c r="T393">
        <f ca="1">IF(AND(ISNUMBER($T$1057),$B$677=1),$T$1057,HLOOKUP(INDIRECT(ADDRESS(2,COLUMN())),OFFSET($BN$2,0,0,ROW()-1,60),ROW()-1,FALSE))</f>
        <v>0.96471324199999997</v>
      </c>
      <c r="U393">
        <f ca="1">IF(AND(ISNUMBER($U$1057),$B$677=1),$U$1057,HLOOKUP(INDIRECT(ADDRESS(2,COLUMN())),OFFSET($BN$2,0,0,ROW()-1,60),ROW()-1,FALSE))</f>
        <v>0.96745157599999998</v>
      </c>
      <c r="V393">
        <f ca="1">IF(AND(ISNUMBER($V$1057),$B$677=1),$V$1057,HLOOKUP(INDIRECT(ADDRESS(2,COLUMN())),OFFSET($BN$2,0,0,ROW()-1,60),ROW()-1,FALSE))</f>
        <v>0.88948281600000001</v>
      </c>
      <c r="W393">
        <f ca="1">IF(AND(ISNUMBER($W$1057),$B$677=1),$W$1057,HLOOKUP(INDIRECT(ADDRESS(2,COLUMN())),OFFSET($BN$2,0,0,ROW()-1,60),ROW()-1,FALSE))</f>
        <v>0.95873608099999996</v>
      </c>
      <c r="X393">
        <f ca="1">IF(AND(ISNUMBER($X$1057),$B$677=1),$X$1057,HLOOKUP(INDIRECT(ADDRESS(2,COLUMN())),OFFSET($BN$2,0,0,ROW()-1,60),ROW()-1,FALSE))</f>
        <v>0.93691860599999999</v>
      </c>
      <c r="Y393">
        <f ca="1">IF(AND(ISNUMBER($Y$1057),$B$677=1),$Y$1057,HLOOKUP(INDIRECT(ADDRESS(2,COLUMN())),OFFSET($BN$2,0,0,ROW()-1,60),ROW()-1,FALSE))</f>
        <v>0.914992425</v>
      </c>
      <c r="Z393">
        <f ca="1">IF(AND(ISNUMBER($Z$1057),$B$677=1),$Z$1057,HLOOKUP(INDIRECT(ADDRESS(2,COLUMN())),OFFSET($BN$2,0,0,ROW()-1,60),ROW()-1,FALSE))</f>
        <v>0.91622289499999998</v>
      </c>
      <c r="AA393">
        <f ca="1">IF(AND(ISNUMBER($AA$1057),$B$677=1),$AA$1057,HLOOKUP(INDIRECT(ADDRESS(2,COLUMN())),OFFSET($BN$2,0,0,ROW()-1,60),ROW()-1,FALSE))</f>
        <v>0.926250821</v>
      </c>
      <c r="AB393">
        <f ca="1">IF(AND(ISNUMBER($AB$1057),$B$677=1),$AB$1057,HLOOKUP(INDIRECT(ADDRESS(2,COLUMN())),OFFSET($BN$2,0,0,ROW()-1,60),ROW()-1,FALSE))</f>
        <v>0.90774207100000004</v>
      </c>
      <c r="AC393">
        <f ca="1">IF(AND(ISNUMBER($AC$1057),$B$677=1),$AC$1057,HLOOKUP(INDIRECT(ADDRESS(2,COLUMN())),OFFSET($BN$2,0,0,ROW()-1,60),ROW()-1,FALSE))</f>
        <v>0.89193289499999995</v>
      </c>
      <c r="AD393">
        <f ca="1">IF(AND(ISNUMBER($AD$1057),$B$677=1),$AD$1057,HLOOKUP(INDIRECT(ADDRESS(2,COLUMN())),OFFSET($BN$2,0,0,ROW()-1,60),ROW()-1,FALSE))</f>
        <v>0.91202912000000003</v>
      </c>
      <c r="AE393">
        <f ca="1">IF(AND(ISNUMBER($AE$1057),$B$677=1),$AE$1057,HLOOKUP(INDIRECT(ADDRESS(2,COLUMN())),OFFSET($BN$2,0,0,ROW()-1,60),ROW()-1,FALSE))</f>
        <v>0.932040337</v>
      </c>
      <c r="AF393">
        <f ca="1">IF(AND(ISNUMBER($AF$1057),$B$677=1),$AF$1057,HLOOKUP(INDIRECT(ADDRESS(2,COLUMN())),OFFSET($BN$2,0,0,ROW()-1,60),ROW()-1,FALSE))</f>
        <v>0.87819951500000004</v>
      </c>
      <c r="AG393">
        <f ca="1">IF(AND(ISNUMBER($AG$1057),$B$677=1),$AG$1057,HLOOKUP(INDIRECT(ADDRESS(2,COLUMN())),OFFSET($BN$2,0,0,ROW()-1,60),ROW()-1,FALSE))</f>
        <v>0.90860083599999997</v>
      </c>
      <c r="AH393">
        <f ca="1">IF(AND(ISNUMBER($AH$1057),$B$677=1),$AH$1057,HLOOKUP(INDIRECT(ADDRESS(2,COLUMN())),OFFSET($BN$2,0,0,ROW()-1,60),ROW()-1,FALSE))</f>
        <v>0.958887936</v>
      </c>
      <c r="AI393">
        <f ca="1">IF(AND(ISNUMBER($AI$1057),$B$677=1),$AI$1057,HLOOKUP(INDIRECT(ADDRESS(2,COLUMN())),OFFSET($BN$2,0,0,ROW()-1,60),ROW()-1,FALSE))</f>
        <v>0.84170511400000003</v>
      </c>
      <c r="AJ393">
        <f ca="1">IF(AND(ISNUMBER($AJ$1057),$B$677=1),$AJ$1057,HLOOKUP(INDIRECT(ADDRESS(2,COLUMN())),OFFSET($BN$2,0,0,ROW()-1,60),ROW()-1,FALSE))</f>
        <v>0.87285449999999998</v>
      </c>
      <c r="AK393">
        <f ca="1">IF(AND(ISNUMBER($AK$1057),$B$677=1),$AK$1057,HLOOKUP(INDIRECT(ADDRESS(2,COLUMN())),OFFSET($BN$2,0,0,ROW()-1,60),ROW()-1,FALSE))</f>
        <v>0.88624937000000004</v>
      </c>
      <c r="AL393">
        <f ca="1">IF(AND(ISNUMBER($AL$1057),$B$677=1),$AL$1057,HLOOKUP(INDIRECT(ADDRESS(2,COLUMN())),OFFSET($BN$2,0,0,ROW()-1,60),ROW()-1,FALSE))</f>
        <v>0.90552869199999997</v>
      </c>
      <c r="AM393">
        <f ca="1">IF(AND(ISNUMBER($AM$1057),$B$677=1),$AM$1057,HLOOKUP(INDIRECT(ADDRESS(2,COLUMN())),OFFSET($BN$2,0,0,ROW()-1,60),ROW()-1,FALSE))</f>
        <v>0.90304250399999997</v>
      </c>
      <c r="AN393">
        <f ca="1">IF(AND(ISNUMBER($AN$1057),$B$677=1),$AN$1057,HLOOKUP(INDIRECT(ADDRESS(2,COLUMN())),OFFSET($BN$2,0,0,ROW()-1,60),ROW()-1,FALSE))</f>
        <v>0.91885698900000001</v>
      </c>
      <c r="AO393" t="str">
        <f ca="1">IF(AND(ISNUMBER($AO$1057),$B$677=1),$AO$1057,HLOOKUP(INDIRECT(ADDRESS(2,COLUMN())),OFFSET($BN$2,0,0,ROW()-1,60),ROW()-1,FALSE))</f>
        <v/>
      </c>
      <c r="AP393" t="str">
        <f ca="1">IF(AND(ISNUMBER($AP$1057),$B$677=1),$AP$1057,HLOOKUP(INDIRECT(ADDRESS(2,COLUMN())),OFFSET($BN$2,0,0,ROW()-1,60),ROW()-1,FALSE))</f>
        <v/>
      </c>
      <c r="AQ393" t="str">
        <f ca="1">IF(AND(ISNUMBER($AQ$1057),$B$677=1),$AQ$1057,HLOOKUP(INDIRECT(ADDRESS(2,COLUMN())),OFFSET($BN$2,0,0,ROW()-1,60),ROW()-1,FALSE))</f>
        <v/>
      </c>
      <c r="AR393" t="str">
        <f ca="1">IF(AND(ISNUMBER($AR$1057),$B$677=1),$AR$1057,HLOOKUP(INDIRECT(ADDRESS(2,COLUMN())),OFFSET($BN$2,0,0,ROW()-1,60),ROW()-1,FALSE))</f>
        <v/>
      </c>
      <c r="AS393" t="str">
        <f ca="1">IF(AND(ISNUMBER($AS$1057),$B$677=1),$AS$1057,HLOOKUP(INDIRECT(ADDRESS(2,COLUMN())),OFFSET($BN$2,0,0,ROW()-1,60),ROW()-1,FALSE))</f>
        <v/>
      </c>
      <c r="AT393" t="str">
        <f ca="1">IF(AND(ISNUMBER($AT$1057),$B$677=1),$AT$1057,HLOOKUP(INDIRECT(ADDRESS(2,COLUMN())),OFFSET($BN$2,0,0,ROW()-1,60),ROW()-1,FALSE))</f>
        <v/>
      </c>
      <c r="AU393" t="str">
        <f ca="1">IF(AND(ISNUMBER($AU$1057),$B$677=1),$AU$1057,HLOOKUP(INDIRECT(ADDRESS(2,COLUMN())),OFFSET($BN$2,0,0,ROW()-1,60),ROW()-1,FALSE))</f>
        <v/>
      </c>
      <c r="AV393" t="str">
        <f ca="1">IF(AND(ISNUMBER($AV$1057),$B$677=1),$AV$1057,HLOOKUP(INDIRECT(ADDRESS(2,COLUMN())),OFFSET($BN$2,0,0,ROW()-1,60),ROW()-1,FALSE))</f>
        <v/>
      </c>
      <c r="AW393" t="str">
        <f ca="1">IF(AND(ISNUMBER($AW$1057),$B$677=1),$AW$1057,HLOOKUP(INDIRECT(ADDRESS(2,COLUMN())),OFFSET($BN$2,0,0,ROW()-1,60),ROW()-1,FALSE))</f>
        <v/>
      </c>
      <c r="AX393" t="str">
        <f ca="1">IF(AND(ISNUMBER($AX$1057),$B$677=1),$AX$1057,HLOOKUP(INDIRECT(ADDRESS(2,COLUMN())),OFFSET($BN$2,0,0,ROW()-1,60),ROW()-1,FALSE))</f>
        <v/>
      </c>
      <c r="AY393" t="str">
        <f ca="1">IF(AND(ISNUMBER($AY$1057),$B$677=1),$AY$1057,HLOOKUP(INDIRECT(ADDRESS(2,COLUMN())),OFFSET($BN$2,0,0,ROW()-1,60),ROW()-1,FALSE))</f>
        <v/>
      </c>
      <c r="AZ393" t="str">
        <f ca="1">IF(AND(ISNUMBER($AZ$1057),$B$677=1),$AZ$1057,HLOOKUP(INDIRECT(ADDRESS(2,COLUMN())),OFFSET($BN$2,0,0,ROW()-1,60),ROW()-1,FALSE))</f>
        <v/>
      </c>
      <c r="BA393" t="str">
        <f ca="1">IF(AND(ISNUMBER($BA$1057),$B$677=1),$BA$1057,HLOOKUP(INDIRECT(ADDRESS(2,COLUMN())),OFFSET($BN$2,0,0,ROW()-1,60),ROW()-1,FALSE))</f>
        <v/>
      </c>
      <c r="BB393" t="str">
        <f ca="1">IF(AND(ISNUMBER($BB$1057),$B$677=1),$BB$1057,HLOOKUP(INDIRECT(ADDRESS(2,COLUMN())),OFFSET($BN$2,0,0,ROW()-1,60),ROW()-1,FALSE))</f>
        <v/>
      </c>
      <c r="BC393" t="str">
        <f ca="1">IF(AND(ISNUMBER($BC$1057),$B$677=1),$BC$1057,HLOOKUP(INDIRECT(ADDRESS(2,COLUMN())),OFFSET($BN$2,0,0,ROW()-1,60),ROW()-1,FALSE))</f>
        <v/>
      </c>
      <c r="BD393" t="str">
        <f ca="1">IF(AND(ISNUMBER($BD$1057),$B$677=1),$BD$1057,HLOOKUP(INDIRECT(ADDRESS(2,COLUMN())),OFFSET($BN$2,0,0,ROW()-1,60),ROW()-1,FALSE))</f>
        <v/>
      </c>
      <c r="BE393" t="str">
        <f ca="1">IF(AND(ISNUMBER($BE$1057),$B$677=1),$BE$1057,HLOOKUP(INDIRECT(ADDRESS(2,COLUMN())),OFFSET($BN$2,0,0,ROW()-1,60),ROW()-1,FALSE))</f>
        <v/>
      </c>
      <c r="BF393" t="str">
        <f ca="1">IF(AND(ISNUMBER($BF$1057),$B$677=1),$BF$1057,HLOOKUP(INDIRECT(ADDRESS(2,COLUMN())),OFFSET($BN$2,0,0,ROW()-1,60),ROW()-1,FALSE))</f>
        <v/>
      </c>
      <c r="BG393" t="str">
        <f ca="1">IF(AND(ISNUMBER($BG$1057),$B$677=1),$BG$1057,HLOOKUP(INDIRECT(ADDRESS(2,COLUMN())),OFFSET($BN$2,0,0,ROW()-1,60),ROW()-1,FALSE))</f>
        <v/>
      </c>
      <c r="BH393" t="str">
        <f ca="1">IF(AND(ISNUMBER($BH$1057),$B$677=1),$BH$1057,HLOOKUP(INDIRECT(ADDRESS(2,COLUMN())),OFFSET($BN$2,0,0,ROW()-1,60),ROW()-1,FALSE))</f>
        <v/>
      </c>
      <c r="BI393" t="str">
        <f ca="1">IF(AND(ISNUMBER($BI$1057),$B$677=1),$BI$1057,HLOOKUP(INDIRECT(ADDRESS(2,COLUMN())),OFFSET($BN$2,0,0,ROW()-1,60),ROW()-1,FALSE))</f>
        <v/>
      </c>
      <c r="BJ393" t="str">
        <f ca="1">IF(AND(ISNUMBER($BJ$1057),$B$677=1),$BJ$1057,HLOOKUP(INDIRECT(ADDRESS(2,COLUMN())),OFFSET($BN$2,0,0,ROW()-1,60),ROW()-1,FALSE))</f>
        <v/>
      </c>
      <c r="BK393" t="str">
        <f ca="1">IF(AND(ISNUMBER($BK$1057),$B$677=1),$BK$1057,HLOOKUP(INDIRECT(ADDRESS(2,COLUMN())),OFFSET($BN$2,0,0,ROW()-1,60),ROW()-1,FALSE))</f>
        <v/>
      </c>
      <c r="BL393" t="str">
        <f ca="1">IF(AND(ISNUMBER($BL$1057),$B$677=1),$BL$1057,HLOOKUP(INDIRECT(ADDRESS(2,COLUMN())),OFFSET($BN$2,0,0,ROW()-1,60),ROW()-1,FALSE))</f>
        <v/>
      </c>
      <c r="BM393" t="str">
        <f ca="1">IF(AND(ISNUMBER($BM$1057),$B$677=1),$BM$1057,HLOOKUP(INDIRECT(ADDRESS(2,COLUMN())),OFFSET($BN$2,0,0,ROW()-1,60),ROW()-1,FALSE))</f>
        <v/>
      </c>
      <c r="BN393" t="str">
        <f>""</f>
        <v/>
      </c>
      <c r="BO393" t="str">
        <f>""</f>
        <v/>
      </c>
      <c r="BP393">
        <f>0.707829775</f>
        <v>0.70782977499999999</v>
      </c>
      <c r="BQ393">
        <f>0.665768714</f>
        <v>0.66576871400000004</v>
      </c>
      <c r="BR393">
        <f>0.855080556</f>
        <v>0.85508055599999999</v>
      </c>
      <c r="BS393">
        <f>0.875445321</f>
        <v>0.87544532100000005</v>
      </c>
      <c r="BT393">
        <f>0.94448473</f>
        <v>0.94448472999999999</v>
      </c>
      <c r="BU393">
        <f>0.926532195</f>
        <v>0.92653219499999995</v>
      </c>
      <c r="BV393">
        <f>0.962928741</f>
        <v>0.96292874100000003</v>
      </c>
      <c r="BW393">
        <f>0.946513326</f>
        <v>0.94651332600000004</v>
      </c>
      <c r="BX393">
        <f>0.997215265</f>
        <v>0.99721526500000002</v>
      </c>
      <c r="BY393">
        <f>0.946710016</f>
        <v>0.94671001600000004</v>
      </c>
      <c r="BZ393">
        <f>0.976472696</f>
        <v>0.97647269599999997</v>
      </c>
      <c r="CA393">
        <f>0.973308407</f>
        <v>0.97330840699999999</v>
      </c>
      <c r="CB393">
        <f>0.964713242</f>
        <v>0.96471324199999997</v>
      </c>
      <c r="CC393">
        <f>0.967451576</f>
        <v>0.96745157599999998</v>
      </c>
      <c r="CD393">
        <f>0.889482816</f>
        <v>0.88948281600000001</v>
      </c>
      <c r="CE393">
        <f>0.958736081</f>
        <v>0.95873608099999996</v>
      </c>
      <c r="CF393">
        <f>0.936918606</f>
        <v>0.93691860599999999</v>
      </c>
      <c r="CG393">
        <f>0.914992425</f>
        <v>0.914992425</v>
      </c>
      <c r="CH393">
        <f>0.916222895</f>
        <v>0.91622289499999998</v>
      </c>
      <c r="CI393">
        <f>0.926250821</f>
        <v>0.926250821</v>
      </c>
      <c r="CJ393">
        <f>0.907742071</f>
        <v>0.90774207100000004</v>
      </c>
      <c r="CK393">
        <f>0.891932895</f>
        <v>0.89193289499999995</v>
      </c>
      <c r="CL393">
        <f>0.91202912</f>
        <v>0.91202912000000003</v>
      </c>
      <c r="CM393">
        <f>0.932040337</f>
        <v>0.932040337</v>
      </c>
      <c r="CN393">
        <f>0.878199515</f>
        <v>0.87819951500000004</v>
      </c>
      <c r="CO393">
        <f>0.908600836</f>
        <v>0.90860083599999997</v>
      </c>
      <c r="CP393">
        <f>0.958887936</f>
        <v>0.958887936</v>
      </c>
      <c r="CQ393">
        <f>0.841705114</f>
        <v>0.84170511400000003</v>
      </c>
      <c r="CR393">
        <f>0.8728545</f>
        <v>0.87285449999999998</v>
      </c>
      <c r="CS393">
        <f>0.88624937</f>
        <v>0.88624937000000004</v>
      </c>
      <c r="CT393">
        <f>0.905528692</f>
        <v>0.90552869199999997</v>
      </c>
      <c r="CU393">
        <f>0.903042504</f>
        <v>0.90304250399999997</v>
      </c>
      <c r="CV393">
        <f>0.918856989</f>
        <v>0.91885698900000001</v>
      </c>
      <c r="CW393" t="str">
        <f>""</f>
        <v/>
      </c>
      <c r="CX393" t="str">
        <f>""</f>
        <v/>
      </c>
      <c r="CY393" t="str">
        <f>""</f>
        <v/>
      </c>
      <c r="CZ393" t="str">
        <f>""</f>
        <v/>
      </c>
      <c r="DA393" t="str">
        <f>""</f>
        <v/>
      </c>
      <c r="DB393" t="str">
        <f>""</f>
        <v/>
      </c>
      <c r="DC393" t="str">
        <f>""</f>
        <v/>
      </c>
      <c r="DD393" t="str">
        <f>""</f>
        <v/>
      </c>
      <c r="DE393" t="str">
        <f>""</f>
        <v/>
      </c>
      <c r="DF393" t="str">
        <f>""</f>
        <v/>
      </c>
      <c r="DG393" t="str">
        <f>""</f>
        <v/>
      </c>
      <c r="DH393" t="str">
        <f>""</f>
        <v/>
      </c>
      <c r="DI393" t="str">
        <f>""</f>
        <v/>
      </c>
      <c r="DJ393" t="str">
        <f>""</f>
        <v/>
      </c>
      <c r="DK393" t="str">
        <f>""</f>
        <v/>
      </c>
      <c r="DL393" t="str">
        <f>""</f>
        <v/>
      </c>
      <c r="DM393" t="str">
        <f>""</f>
        <v/>
      </c>
      <c r="DN393" t="str">
        <f>""</f>
        <v/>
      </c>
      <c r="DO393" t="str">
        <f>""</f>
        <v/>
      </c>
      <c r="DP393" t="str">
        <f>""</f>
        <v/>
      </c>
      <c r="DQ393" t="str">
        <f>""</f>
        <v/>
      </c>
      <c r="DR393" t="str">
        <f>""</f>
        <v/>
      </c>
      <c r="DS393" t="str">
        <f>""</f>
        <v/>
      </c>
      <c r="DT393" t="str">
        <f>""</f>
        <v/>
      </c>
      <c r="DU393" t="str">
        <f>""</f>
        <v/>
      </c>
    </row>
    <row r="394" spans="1:125" x14ac:dyDescent="0.25">
      <c r="A394" t="str">
        <f>"    Honda Motor Co Ltd"</f>
        <v xml:space="preserve">    Honda Motor Co Ltd</v>
      </c>
      <c r="B394" t="str">
        <f>"7267 JP Equity"</f>
        <v>7267 JP Equity</v>
      </c>
      <c r="C394" t="str">
        <f t="shared" si="27"/>
        <v>RR480</v>
      </c>
      <c r="D394" t="str">
        <f t="shared" si="28"/>
        <v>EV_TO_MKT_CAP</v>
      </c>
      <c r="E394" t="str">
        <f t="shared" si="29"/>
        <v>Dynamic</v>
      </c>
      <c r="F394" t="str">
        <f ca="1">IF(AND(ISNUMBER($F$1058),$B$677=1),$F$1058,HLOOKUP(INDIRECT(ADDRESS(2,COLUMN())),OFFSET($BN$2,0,0,ROW()-1,60),ROW()-1,FALSE))</f>
        <v/>
      </c>
      <c r="G394">
        <f ca="1">IF(AND(ISNUMBER($G$1058),$B$677=1),$G$1058,HLOOKUP(INDIRECT(ADDRESS(2,COLUMN())),OFFSET($BN$2,0,0,ROW()-1,60),ROW()-1,FALSE))</f>
        <v>2.0264337389999998</v>
      </c>
      <c r="H394">
        <f ca="1">IF(AND(ISNUMBER($H$1058),$B$677=1),$H$1058,HLOOKUP(INDIRECT(ADDRESS(2,COLUMN())),OFFSET($BN$2,0,0,ROW()-1,60),ROW()-1,FALSE))</f>
        <v>1.879189666</v>
      </c>
      <c r="I394">
        <f ca="1">IF(AND(ISNUMBER($I$1058),$B$677=1),$I$1058,HLOOKUP(INDIRECT(ADDRESS(2,COLUMN())),OFFSET($BN$2,0,0,ROW()-1,60),ROW()-1,FALSE))</f>
        <v>1.8906107969999999</v>
      </c>
      <c r="J394">
        <f ca="1">IF(AND(ISNUMBER($J$1058),$B$677=1),$J$1058,HLOOKUP(INDIRECT(ADDRESS(2,COLUMN())),OFFSET($BN$2,0,0,ROW()-1,60),ROW()-1,FALSE))</f>
        <v>1.7552745510000001</v>
      </c>
      <c r="K394">
        <f ca="1">IF(AND(ISNUMBER($K$1058),$B$677=1),$K$1058,HLOOKUP(INDIRECT(ADDRESS(2,COLUMN())),OFFSET($BN$2,0,0,ROW()-1,60),ROW()-1,FALSE))</f>
        <v>1.760407125</v>
      </c>
      <c r="L394">
        <f ca="1">IF(AND(ISNUMBER($L$1058),$B$677=1),$L$1058,HLOOKUP(INDIRECT(ADDRESS(2,COLUMN())),OFFSET($BN$2,0,0,ROW()-1,60),ROW()-1,FALSE))</f>
        <v>1.8416912009999999</v>
      </c>
      <c r="M394">
        <f ca="1">IF(AND(ISNUMBER($M$1058),$B$677=1),$M$1058,HLOOKUP(INDIRECT(ADDRESS(2,COLUMN())),OFFSET($BN$2,0,0,ROW()-1,60),ROW()-1,FALSE))</f>
        <v>1.921516553</v>
      </c>
      <c r="N394">
        <f ca="1">IF(AND(ISNUMBER($N$1058),$B$677=1),$N$1058,HLOOKUP(INDIRECT(ADDRESS(2,COLUMN())),OFFSET($BN$2,0,0,ROW()-1,60),ROW()-1,FALSE))</f>
        <v>1.8356461289999999</v>
      </c>
      <c r="O394">
        <f ca="1">IF(AND(ISNUMBER($O$1058),$B$677=1),$O$1058,HLOOKUP(INDIRECT(ADDRESS(2,COLUMN())),OFFSET($BN$2,0,0,ROW()-1,60),ROW()-1,FALSE))</f>
        <v>1.877931732</v>
      </c>
      <c r="P394">
        <f ca="1">IF(AND(ISNUMBER($P$1058),$B$677=1),$P$1058,HLOOKUP(INDIRECT(ADDRESS(2,COLUMN())),OFFSET($BN$2,0,0,ROW()-1,60),ROW()-1,FALSE))</f>
        <v>1.8892541979999999</v>
      </c>
      <c r="Q394">
        <f ca="1">IF(AND(ISNUMBER($Q$1058),$B$677=1),$Q$1058,HLOOKUP(INDIRECT(ADDRESS(2,COLUMN())),OFFSET($BN$2,0,0,ROW()-1,60),ROW()-1,FALSE))</f>
        <v>2.01199314</v>
      </c>
      <c r="R394">
        <f ca="1">IF(AND(ISNUMBER($R$1058),$B$677=1),$R$1058,HLOOKUP(INDIRECT(ADDRESS(2,COLUMN())),OFFSET($BN$2,0,0,ROW()-1,60),ROW()-1,FALSE))</f>
        <v>1.9184634270000001</v>
      </c>
      <c r="S394">
        <f ca="1">IF(AND(ISNUMBER($S$1058),$B$677=1),$S$1058,HLOOKUP(INDIRECT(ADDRESS(2,COLUMN())),OFFSET($BN$2,0,0,ROW()-1,60),ROW()-1,FALSE))</f>
        <v>1.7778716720000001</v>
      </c>
      <c r="T394">
        <f ca="1">IF(AND(ISNUMBER($T$1058),$B$677=1),$T$1058,HLOOKUP(INDIRECT(ADDRESS(2,COLUMN())),OFFSET($BN$2,0,0,ROW()-1,60),ROW()-1,FALSE))</f>
        <v>1.8486419220000001</v>
      </c>
      <c r="U394">
        <f ca="1">IF(AND(ISNUMBER($U$1058),$B$677=1),$U$1058,HLOOKUP(INDIRECT(ADDRESS(2,COLUMN())),OFFSET($BN$2,0,0,ROW()-1,60),ROW()-1,FALSE))</f>
        <v>1.779251363</v>
      </c>
      <c r="V394">
        <f ca="1">IF(AND(ISNUMBER($V$1058),$B$677=1),$V$1058,HLOOKUP(INDIRECT(ADDRESS(2,COLUMN())),OFFSET($BN$2,0,0,ROW()-1,60),ROW()-1,FALSE))</f>
        <v>1.79071088</v>
      </c>
      <c r="W394">
        <f ca="1">IF(AND(ISNUMBER($W$1058),$B$677=1),$W$1058,HLOOKUP(INDIRECT(ADDRESS(2,COLUMN())),OFFSET($BN$2,0,0,ROW()-1,60),ROW()-1,FALSE))</f>
        <v>1.915274149</v>
      </c>
      <c r="X394">
        <f ca="1">IF(AND(ISNUMBER($X$1058),$B$677=1),$X$1058,HLOOKUP(INDIRECT(ADDRESS(2,COLUMN())),OFFSET($BN$2,0,0,ROW()-1,60),ROW()-1,FALSE))</f>
        <v>1.7776434619999999</v>
      </c>
      <c r="Y394">
        <f ca="1">IF(AND(ISNUMBER($Y$1058),$B$677=1),$Y$1058,HLOOKUP(INDIRECT(ADDRESS(2,COLUMN())),OFFSET($BN$2,0,0,ROW()-1,60),ROW()-1,FALSE))</f>
        <v>1.7727173940000001</v>
      </c>
      <c r="Z394">
        <f ca="1">IF(AND(ISNUMBER($Z$1058),$B$677=1),$Z$1058,HLOOKUP(INDIRECT(ADDRESS(2,COLUMN())),OFFSET($BN$2,0,0,ROW()-1,60),ROW()-1,FALSE))</f>
        <v>1.745455296</v>
      </c>
      <c r="AA394">
        <f ca="1">IF(AND(ISNUMBER($AA$1058),$B$677=1),$AA$1058,HLOOKUP(INDIRECT(ADDRESS(2,COLUMN())),OFFSET($BN$2,0,0,ROW()-1,60),ROW()-1,FALSE))</f>
        <v>1.6358259180000001</v>
      </c>
      <c r="AB394">
        <f ca="1">IF(AND(ISNUMBER($AB$1058),$B$677=1),$AB$1058,HLOOKUP(INDIRECT(ADDRESS(2,COLUMN())),OFFSET($BN$2,0,0,ROW()-1,60),ROW()-1,FALSE))</f>
        <v>1.6590477480000001</v>
      </c>
      <c r="AC394">
        <f ca="1">IF(AND(ISNUMBER($AC$1058),$B$677=1),$AC$1058,HLOOKUP(INDIRECT(ADDRESS(2,COLUMN())),OFFSET($BN$2,0,0,ROW()-1,60),ROW()-1,FALSE))</f>
        <v>1.6401438820000001</v>
      </c>
      <c r="AD394">
        <f ca="1">IF(AND(ISNUMBER($AD$1058),$B$677=1),$AD$1058,HLOOKUP(INDIRECT(ADDRESS(2,COLUMN())),OFFSET($BN$2,0,0,ROW()-1,60),ROW()-1,FALSE))</f>
        <v>1.6006281840000001</v>
      </c>
      <c r="AE394">
        <f ca="1">IF(AND(ISNUMBER($AE$1058),$B$677=1),$AE$1058,HLOOKUP(INDIRECT(ADDRESS(2,COLUMN())),OFFSET($BN$2,0,0,ROW()-1,60),ROW()-1,FALSE))</f>
        <v>1.628194116</v>
      </c>
      <c r="AF394">
        <f ca="1">IF(AND(ISNUMBER($AF$1058),$B$677=1),$AF$1058,HLOOKUP(INDIRECT(ADDRESS(2,COLUMN())),OFFSET($BN$2,0,0,ROW()-1,60),ROW()-1,FALSE))</f>
        <v>1.732044929</v>
      </c>
      <c r="AG394">
        <f ca="1">IF(AND(ISNUMBER($AG$1058),$B$677=1),$AG$1058,HLOOKUP(INDIRECT(ADDRESS(2,COLUMN())),OFFSET($BN$2,0,0,ROW()-1,60),ROW()-1,FALSE))</f>
        <v>1.602088661</v>
      </c>
      <c r="AH394">
        <f ca="1">IF(AND(ISNUMBER($AH$1058),$B$677=1),$AH$1058,HLOOKUP(INDIRECT(ADDRESS(2,COLUMN())),OFFSET($BN$2,0,0,ROW()-1,60),ROW()-1,FALSE))</f>
        <v>1.5274672840000001</v>
      </c>
      <c r="AI394">
        <f ca="1">IF(AND(ISNUMBER($AI$1058),$B$677=1),$AI$1058,HLOOKUP(INDIRECT(ADDRESS(2,COLUMN())),OFFSET($BN$2,0,0,ROW()-1,60),ROW()-1,FALSE))</f>
        <v>1.6632953880000001</v>
      </c>
      <c r="AJ394">
        <f ca="1">IF(AND(ISNUMBER($AJ$1058),$B$677=1),$AJ$1058,HLOOKUP(INDIRECT(ADDRESS(2,COLUMN())),OFFSET($BN$2,0,0,ROW()-1,60),ROW()-1,FALSE))</f>
        <v>1.6166698530000001</v>
      </c>
      <c r="AK394">
        <f ca="1">IF(AND(ISNUMBER($AK$1058),$B$677=1),$AK$1058,HLOOKUP(INDIRECT(ADDRESS(2,COLUMN())),OFFSET($BN$2,0,0,ROW()-1,60),ROW()-1,FALSE))</f>
        <v>1.520332636</v>
      </c>
      <c r="AL394">
        <f ca="1">IF(AND(ISNUMBER($AL$1058),$B$677=1),$AL$1058,HLOOKUP(INDIRECT(ADDRESS(2,COLUMN())),OFFSET($BN$2,0,0,ROW()-1,60),ROW()-1,FALSE))</f>
        <v>1.524546669</v>
      </c>
      <c r="AM394">
        <f ca="1">IF(AND(ISNUMBER($AM$1058),$B$677=1),$AM$1058,HLOOKUP(INDIRECT(ADDRESS(2,COLUMN())),OFFSET($BN$2,0,0,ROW()-1,60),ROW()-1,FALSE))</f>
        <v>1.521517137</v>
      </c>
      <c r="AN394">
        <f ca="1">IF(AND(ISNUMBER($AN$1058),$B$677=1),$AN$1058,HLOOKUP(INDIRECT(ADDRESS(2,COLUMN())),OFFSET($BN$2,0,0,ROW()-1,60),ROW()-1,FALSE))</f>
        <v>1.547802624</v>
      </c>
      <c r="AO394">
        <f ca="1">IF(AND(ISNUMBER($AO$1058),$B$677=1),$AO$1058,HLOOKUP(INDIRECT(ADDRESS(2,COLUMN())),OFFSET($BN$2,0,0,ROW()-1,60),ROW()-1,FALSE))</f>
        <v>1.653443252</v>
      </c>
      <c r="AP394">
        <f ca="1">IF(AND(ISNUMBER($AP$1058),$B$677=1),$AP$1058,HLOOKUP(INDIRECT(ADDRESS(2,COLUMN())),OFFSET($BN$2,0,0,ROW()-1,60),ROW()-1,FALSE))</f>
        <v>1.5188879280000001</v>
      </c>
      <c r="AQ394">
        <f ca="1">IF(AND(ISNUMBER($AQ$1058),$B$677=1),$AQ$1058,HLOOKUP(INDIRECT(ADDRESS(2,COLUMN())),OFFSET($BN$2,0,0,ROW()-1,60),ROW()-1,FALSE))</f>
        <v>1.585845258</v>
      </c>
      <c r="AR394">
        <f ca="1">IF(AND(ISNUMBER($AR$1058),$B$677=1),$AR$1058,HLOOKUP(INDIRECT(ADDRESS(2,COLUMN())),OFFSET($BN$2,0,0,ROW()-1,60),ROW()-1,FALSE))</f>
        <v>1.668972178</v>
      </c>
      <c r="AS394">
        <f ca="1">IF(AND(ISNUMBER($AS$1058),$B$677=1),$AS$1058,HLOOKUP(INDIRECT(ADDRESS(2,COLUMN())),OFFSET($BN$2,0,0,ROW()-1,60),ROW()-1,FALSE))</f>
        <v>1.807550145</v>
      </c>
      <c r="AT394">
        <f ca="1">IF(AND(ISNUMBER($AT$1058),$B$677=1),$AT$1058,HLOOKUP(INDIRECT(ADDRESS(2,COLUMN())),OFFSET($BN$2,0,0,ROW()-1,60),ROW()-1,FALSE))</f>
        <v>1.964018015</v>
      </c>
      <c r="AU394">
        <f ca="1">IF(AND(ISNUMBER($AU$1058),$B$677=1),$AU$1058,HLOOKUP(INDIRECT(ADDRESS(2,COLUMN())),OFFSET($BN$2,0,0,ROW()-1,60),ROW()-1,FALSE))</f>
        <v>2.1357796599999999</v>
      </c>
      <c r="AV394">
        <f ca="1">IF(AND(ISNUMBER($AV$1058),$B$677=1),$AV$1058,HLOOKUP(INDIRECT(ADDRESS(2,COLUMN())),OFFSET($BN$2,0,0,ROW()-1,60),ROW()-1,FALSE))</f>
        <v>1.7376469059999999</v>
      </c>
      <c r="AW394">
        <f ca="1">IF(AND(ISNUMBER($AW$1058),$B$677=1),$AW$1058,HLOOKUP(INDIRECT(ADDRESS(2,COLUMN())),OFFSET($BN$2,0,0,ROW()-1,60),ROW()-1,FALSE))</f>
        <v>1.600716958</v>
      </c>
      <c r="AX394">
        <f ca="1">IF(AND(ISNUMBER($AX$1058),$B$677=1),$AX$1058,HLOOKUP(INDIRECT(ADDRESS(2,COLUMN())),OFFSET($BN$2,0,0,ROW()-1,60),ROW()-1,FALSE))</f>
        <v>1.674723728</v>
      </c>
      <c r="AY394">
        <f ca="1">IF(AND(ISNUMBER($AY$1058),$B$677=1),$AY$1058,HLOOKUP(INDIRECT(ADDRESS(2,COLUMN())),OFFSET($BN$2,0,0,ROW()-1,60),ROW()-1,FALSE))</f>
        <v>1.5567680740000001</v>
      </c>
      <c r="AZ394">
        <f ca="1">IF(AND(ISNUMBER($AZ$1058),$B$677=1),$AZ$1058,HLOOKUP(INDIRECT(ADDRESS(2,COLUMN())),OFFSET($BN$2,0,0,ROW()-1,60),ROW()-1,FALSE))</f>
        <v>1.5085693899999999</v>
      </c>
      <c r="BA394">
        <f ca="1">IF(AND(ISNUMBER($BA$1058),$B$677=1),$BA$1058,HLOOKUP(INDIRECT(ADDRESS(2,COLUMN())),OFFSET($BN$2,0,0,ROW()-1,60),ROW()-1,FALSE))</f>
        <v>1.4398710109999999</v>
      </c>
      <c r="BB394">
        <f ca="1">IF(AND(ISNUMBER($BB$1058),$B$677=1),$BB$1058,HLOOKUP(INDIRECT(ADDRESS(2,COLUMN())),OFFSET($BN$2,0,0,ROW()-1,60),ROW()-1,FALSE))</f>
        <v>1.411193548</v>
      </c>
      <c r="BC394">
        <f ca="1">IF(AND(ISNUMBER($BC$1058),$B$677=1),$BC$1058,HLOOKUP(INDIRECT(ADDRESS(2,COLUMN())),OFFSET($BN$2,0,0,ROW()-1,60),ROW()-1,FALSE))</f>
        <v>1.3655068850000001</v>
      </c>
      <c r="BD394">
        <f ca="1">IF(AND(ISNUMBER($BD$1058),$B$677=1),$BD$1058,HLOOKUP(INDIRECT(ADDRESS(2,COLUMN())),OFFSET($BN$2,0,0,ROW()-1,60),ROW()-1,FALSE))</f>
        <v>1.4000284000000001</v>
      </c>
      <c r="BE394">
        <f ca="1">IF(AND(ISNUMBER($BE$1058),$B$677=1),$BE$1058,HLOOKUP(INDIRECT(ADDRESS(2,COLUMN())),OFFSET($BN$2,0,0,ROW()-1,60),ROW()-1,FALSE))</f>
        <v>1.4124425759999999</v>
      </c>
      <c r="BF394">
        <f ca="1">IF(AND(ISNUMBER($BF$1058),$B$677=1),$BF$1058,HLOOKUP(INDIRECT(ADDRESS(2,COLUMN())),OFFSET($BN$2,0,0,ROW()-1,60),ROW()-1,FALSE))</f>
        <v>1.380466395</v>
      </c>
      <c r="BG394">
        <f ca="1">IF(AND(ISNUMBER($BG$1058),$B$677=1),$BG$1058,HLOOKUP(INDIRECT(ADDRESS(2,COLUMN())),OFFSET($BN$2,0,0,ROW()-1,60),ROW()-1,FALSE))</f>
        <v>1.4162455089999999</v>
      </c>
      <c r="BH394">
        <f ca="1">IF(AND(ISNUMBER($BH$1058),$B$677=1),$BH$1058,HLOOKUP(INDIRECT(ADDRESS(2,COLUMN())),OFFSET($BN$2,0,0,ROW()-1,60),ROW()-1,FALSE))</f>
        <v>1.3936603000000001</v>
      </c>
      <c r="BI394" t="str">
        <f ca="1">IF(AND(ISNUMBER($BI$1058),$B$677=1),$BI$1058,HLOOKUP(INDIRECT(ADDRESS(2,COLUMN())),OFFSET($BN$2,0,0,ROW()-1,60),ROW()-1,FALSE))</f>
        <v/>
      </c>
      <c r="BJ394">
        <f ca="1">IF(AND(ISNUMBER($BJ$1058),$B$677=1),$BJ$1058,HLOOKUP(INDIRECT(ADDRESS(2,COLUMN())),OFFSET($BN$2,0,0,ROW()-1,60),ROW()-1,FALSE))</f>
        <v>1.418735987</v>
      </c>
      <c r="BK394" t="str">
        <f ca="1">IF(AND(ISNUMBER($BK$1058),$B$677=1),$BK$1058,HLOOKUP(INDIRECT(ADDRESS(2,COLUMN())),OFFSET($BN$2,0,0,ROW()-1,60),ROW()-1,FALSE))</f>
        <v/>
      </c>
      <c r="BL394">
        <f ca="1">IF(AND(ISNUMBER($BL$1058),$B$677=1),$BL$1058,HLOOKUP(INDIRECT(ADDRESS(2,COLUMN())),OFFSET($BN$2,0,0,ROW()-1,60),ROW()-1,FALSE))</f>
        <v>1.434050933</v>
      </c>
      <c r="BM394" t="str">
        <f ca="1">IF(AND(ISNUMBER($BM$1058),$B$677=1),$BM$1058,HLOOKUP(INDIRECT(ADDRESS(2,COLUMN())),OFFSET($BN$2,0,0,ROW()-1,60),ROW()-1,FALSE))</f>
        <v/>
      </c>
      <c r="BN394" t="str">
        <f>""</f>
        <v/>
      </c>
      <c r="BO394">
        <f>2.026433739</f>
        <v>2.0264337389999998</v>
      </c>
      <c r="BP394">
        <f>1.879189666</f>
        <v>1.879189666</v>
      </c>
      <c r="BQ394">
        <f>1.890610797</f>
        <v>1.8906107969999999</v>
      </c>
      <c r="BR394">
        <f>1.755274551</f>
        <v>1.7552745510000001</v>
      </c>
      <c r="BS394">
        <f>1.760407125</f>
        <v>1.760407125</v>
      </c>
      <c r="BT394">
        <f>1.841691201</f>
        <v>1.8416912009999999</v>
      </c>
      <c r="BU394">
        <f>1.921516553</f>
        <v>1.921516553</v>
      </c>
      <c r="BV394">
        <f>1.835646129</f>
        <v>1.8356461289999999</v>
      </c>
      <c r="BW394">
        <f>1.877931732</f>
        <v>1.877931732</v>
      </c>
      <c r="BX394">
        <f>1.889254198</f>
        <v>1.8892541979999999</v>
      </c>
      <c r="BY394">
        <f>2.01199314</f>
        <v>2.01199314</v>
      </c>
      <c r="BZ394">
        <f>1.918463427</f>
        <v>1.9184634270000001</v>
      </c>
      <c r="CA394">
        <f>1.777871672</f>
        <v>1.7778716720000001</v>
      </c>
      <c r="CB394">
        <f>1.848641922</f>
        <v>1.8486419220000001</v>
      </c>
      <c r="CC394">
        <f>1.779251363</f>
        <v>1.779251363</v>
      </c>
      <c r="CD394">
        <f>1.79071088</f>
        <v>1.79071088</v>
      </c>
      <c r="CE394">
        <f>1.915274149</f>
        <v>1.915274149</v>
      </c>
      <c r="CF394">
        <f>1.777643462</f>
        <v>1.7776434619999999</v>
      </c>
      <c r="CG394">
        <f>1.772717394</f>
        <v>1.7727173940000001</v>
      </c>
      <c r="CH394">
        <f>1.745455296</f>
        <v>1.745455296</v>
      </c>
      <c r="CI394">
        <f>1.635825918</f>
        <v>1.6358259180000001</v>
      </c>
      <c r="CJ394">
        <f>1.659047748</f>
        <v>1.6590477480000001</v>
      </c>
      <c r="CK394">
        <f>1.640143882</f>
        <v>1.6401438820000001</v>
      </c>
      <c r="CL394">
        <f>1.600628184</f>
        <v>1.6006281840000001</v>
      </c>
      <c r="CM394">
        <f>1.628194116</f>
        <v>1.628194116</v>
      </c>
      <c r="CN394">
        <f>1.732044929</f>
        <v>1.732044929</v>
      </c>
      <c r="CO394">
        <f>1.602088661</f>
        <v>1.602088661</v>
      </c>
      <c r="CP394">
        <f>1.527467284</f>
        <v>1.5274672840000001</v>
      </c>
      <c r="CQ394">
        <f>1.663295388</f>
        <v>1.6632953880000001</v>
      </c>
      <c r="CR394">
        <f>1.616669853</f>
        <v>1.6166698530000001</v>
      </c>
      <c r="CS394">
        <f>1.520332636</f>
        <v>1.520332636</v>
      </c>
      <c r="CT394">
        <f>1.524546669</f>
        <v>1.524546669</v>
      </c>
      <c r="CU394">
        <f>1.521517137</f>
        <v>1.521517137</v>
      </c>
      <c r="CV394">
        <f>1.547802624</f>
        <v>1.547802624</v>
      </c>
      <c r="CW394">
        <f>1.653443252</f>
        <v>1.653443252</v>
      </c>
      <c r="CX394">
        <f>1.518887928</f>
        <v>1.5188879280000001</v>
      </c>
      <c r="CY394">
        <f>1.585845258</f>
        <v>1.585845258</v>
      </c>
      <c r="CZ394">
        <f>1.668972178</f>
        <v>1.668972178</v>
      </c>
      <c r="DA394">
        <f>1.807550145</f>
        <v>1.807550145</v>
      </c>
      <c r="DB394">
        <f>1.964018015</f>
        <v>1.964018015</v>
      </c>
      <c r="DC394">
        <f>2.13577966</f>
        <v>2.1357796599999999</v>
      </c>
      <c r="DD394">
        <f>1.737646906</f>
        <v>1.7376469059999999</v>
      </c>
      <c r="DE394">
        <f>1.600716958</f>
        <v>1.600716958</v>
      </c>
      <c r="DF394">
        <f>1.674723728</f>
        <v>1.674723728</v>
      </c>
      <c r="DG394">
        <f>1.556768074</f>
        <v>1.5567680740000001</v>
      </c>
      <c r="DH394">
        <f>1.50856939</f>
        <v>1.5085693899999999</v>
      </c>
      <c r="DI394">
        <f>1.439871011</f>
        <v>1.4398710109999999</v>
      </c>
      <c r="DJ394">
        <f>1.411193548</f>
        <v>1.411193548</v>
      </c>
      <c r="DK394">
        <f>1.365506885</f>
        <v>1.3655068850000001</v>
      </c>
      <c r="DL394">
        <f>1.4000284</f>
        <v>1.4000284000000001</v>
      </c>
      <c r="DM394">
        <f>1.412442576</f>
        <v>1.4124425759999999</v>
      </c>
      <c r="DN394">
        <f>1.380466395</f>
        <v>1.380466395</v>
      </c>
      <c r="DO394">
        <f>1.416245509</f>
        <v>1.4162455089999999</v>
      </c>
      <c r="DP394">
        <f>1.3936603</f>
        <v>1.3936603000000001</v>
      </c>
      <c r="DQ394" t="str">
        <f>""</f>
        <v/>
      </c>
      <c r="DR394">
        <f>1.418735987</f>
        <v>1.418735987</v>
      </c>
      <c r="DS394" t="str">
        <f>""</f>
        <v/>
      </c>
      <c r="DT394">
        <f>1.434050933</f>
        <v>1.434050933</v>
      </c>
      <c r="DU394" t="str">
        <f>""</f>
        <v/>
      </c>
    </row>
    <row r="395" spans="1:125" x14ac:dyDescent="0.25">
      <c r="A395" t="str">
        <f>"    Hyundai Motor Co"</f>
        <v xml:space="preserve">    Hyundai Motor Co</v>
      </c>
      <c r="B395" t="str">
        <f>"005380 KS Equity"</f>
        <v>005380 KS Equity</v>
      </c>
      <c r="C395" t="str">
        <f t="shared" si="27"/>
        <v>RR480</v>
      </c>
      <c r="D395" t="str">
        <f t="shared" si="28"/>
        <v>EV_TO_MKT_CAP</v>
      </c>
      <c r="E395" t="str">
        <f t="shared" si="29"/>
        <v>Dynamic</v>
      </c>
      <c r="F395" t="str">
        <f ca="1">IF(AND(ISNUMBER($F$1059),$B$677=1),$F$1059,HLOOKUP(INDIRECT(ADDRESS(2,COLUMN())),OFFSET($BN$2,0,0,ROW()-1,60),ROW()-1,FALSE))</f>
        <v/>
      </c>
      <c r="G395" t="str">
        <f ca="1">IF(AND(ISNUMBER($G$1059),$B$677=1),$G$1059,HLOOKUP(INDIRECT(ADDRESS(2,COLUMN())),OFFSET($BN$2,0,0,ROW()-1,60),ROW()-1,FALSE))</f>
        <v/>
      </c>
      <c r="H395">
        <f ca="1">IF(AND(ISNUMBER($H$1059),$B$677=1),$H$1059,HLOOKUP(INDIRECT(ADDRESS(2,COLUMN())),OFFSET($BN$2,0,0,ROW()-1,60),ROW()-1,FALSE))</f>
        <v>2.9280225620000002</v>
      </c>
      <c r="I395">
        <f ca="1">IF(AND(ISNUMBER($I$1059),$B$677=1),$I$1059,HLOOKUP(INDIRECT(ADDRESS(2,COLUMN())),OFFSET($BN$2,0,0,ROW()-1,60),ROW()-1,FALSE))</f>
        <v>3.000132056</v>
      </c>
      <c r="J395">
        <f ca="1">IF(AND(ISNUMBER($J$1059),$B$677=1),$J$1059,HLOOKUP(INDIRECT(ADDRESS(2,COLUMN())),OFFSET($BN$2,0,0,ROW()-1,60),ROW()-1,FALSE))</f>
        <v>2.6629847290000002</v>
      </c>
      <c r="K395">
        <f ca="1">IF(AND(ISNUMBER($K$1059),$B$677=1),$K$1059,HLOOKUP(INDIRECT(ADDRESS(2,COLUMN())),OFFSET($BN$2,0,0,ROW()-1,60),ROW()-1,FALSE))</f>
        <v>2.4286087639999998</v>
      </c>
      <c r="L395">
        <f ca="1">IF(AND(ISNUMBER($L$1059),$B$677=1),$L$1059,HLOOKUP(INDIRECT(ADDRESS(2,COLUMN())),OFFSET($BN$2,0,0,ROW()-1,60),ROW()-1,FALSE))</f>
        <v>2.5760709249999998</v>
      </c>
      <c r="M395">
        <f ca="1">IF(AND(ISNUMBER($M$1059),$B$677=1),$M$1059,HLOOKUP(INDIRECT(ADDRESS(2,COLUMN())),OFFSET($BN$2,0,0,ROW()-1,60),ROW()-1,FALSE))</f>
        <v>2.4346609199999998</v>
      </c>
      <c r="N395">
        <f ca="1">IF(AND(ISNUMBER($N$1059),$B$677=1),$N$1059,HLOOKUP(INDIRECT(ADDRESS(2,COLUMN())),OFFSET($BN$2,0,0,ROW()-1,60),ROW()-1,FALSE))</f>
        <v>2.4003636419999999</v>
      </c>
      <c r="O395">
        <f ca="1">IF(AND(ISNUMBER($O$1059),$B$677=1),$O$1059,HLOOKUP(INDIRECT(ADDRESS(2,COLUMN())),OFFSET($BN$2,0,0,ROW()-1,60),ROW()-1,FALSE))</f>
        <v>2.6145074610000001</v>
      </c>
      <c r="P395">
        <f ca="1">IF(AND(ISNUMBER($P$1059),$B$677=1),$P$1059,HLOOKUP(INDIRECT(ADDRESS(2,COLUMN())),OFFSET($BN$2,0,0,ROW()-1,60),ROW()-1,FALSE))</f>
        <v>2.5802342760000001</v>
      </c>
      <c r="Q395">
        <f ca="1">IF(AND(ISNUMBER($Q$1059),$B$677=1),$Q$1059,HLOOKUP(INDIRECT(ADDRESS(2,COLUMN())),OFFSET($BN$2,0,0,ROW()-1,60),ROW()-1,FALSE))</f>
        <v>2.6237383030000001</v>
      </c>
      <c r="R395">
        <f ca="1">IF(AND(ISNUMBER($R$1059),$B$677=1),$R$1059,HLOOKUP(INDIRECT(ADDRESS(2,COLUMN())),OFFSET($BN$2,0,0,ROW()-1,60),ROW()-1,FALSE))</f>
        <v>2.416843198</v>
      </c>
      <c r="S395">
        <f ca="1">IF(AND(ISNUMBER($S$1059),$B$677=1),$S$1059,HLOOKUP(INDIRECT(ADDRESS(2,COLUMN())),OFFSET($BN$2,0,0,ROW()-1,60),ROW()-1,FALSE))</f>
        <v>2.3983763570000001</v>
      </c>
      <c r="T395">
        <f ca="1">IF(AND(ISNUMBER($T$1059),$B$677=1),$T$1059,HLOOKUP(INDIRECT(ADDRESS(2,COLUMN())),OFFSET($BN$2,0,0,ROW()-1,60),ROW()-1,FALSE))</f>
        <v>2.2228031060000002</v>
      </c>
      <c r="U395">
        <f ca="1">IF(AND(ISNUMBER($U$1059),$B$677=1),$U$1059,HLOOKUP(INDIRECT(ADDRESS(2,COLUMN())),OFFSET($BN$2,0,0,ROW()-1,60),ROW()-1,FALSE))</f>
        <v>2.2949346639999999</v>
      </c>
      <c r="V395">
        <f ca="1">IF(AND(ISNUMBER($V$1059),$B$677=1),$V$1059,HLOOKUP(INDIRECT(ADDRESS(2,COLUMN())),OFFSET($BN$2,0,0,ROW()-1,60),ROW()-1,FALSE))</f>
        <v>1.965507106</v>
      </c>
      <c r="W395">
        <f ca="1">IF(AND(ISNUMBER($W$1059),$B$677=1),$W$1059,HLOOKUP(INDIRECT(ADDRESS(2,COLUMN())),OFFSET($BN$2,0,0,ROW()-1,60),ROW()-1,FALSE))</f>
        <v>1.8888420189999999</v>
      </c>
      <c r="X395">
        <f ca="1">IF(AND(ISNUMBER($X$1059),$B$677=1),$X$1059,HLOOKUP(INDIRECT(ADDRESS(2,COLUMN())),OFFSET($BN$2,0,0,ROW()-1,60),ROW()-1,FALSE))</f>
        <v>1.6892458020000001</v>
      </c>
      <c r="Y395">
        <f ca="1">IF(AND(ISNUMBER($Y$1059),$B$677=1),$Y$1059,HLOOKUP(INDIRECT(ADDRESS(2,COLUMN())),OFFSET($BN$2,0,0,ROW()-1,60),ROW()-1,FALSE))</f>
        <v>1.5398960079999999</v>
      </c>
      <c r="Z395">
        <f ca="1">IF(AND(ISNUMBER($Z$1059),$B$677=1),$Z$1059,HLOOKUP(INDIRECT(ADDRESS(2,COLUMN())),OFFSET($BN$2,0,0,ROW()-1,60),ROW()-1,FALSE))</f>
        <v>1.523076106</v>
      </c>
      <c r="AA395">
        <f ca="1">IF(AND(ISNUMBER($AA$1059),$B$677=1),$AA$1059,HLOOKUP(INDIRECT(ADDRESS(2,COLUMN())),OFFSET($BN$2,0,0,ROW()-1,60),ROW()-1,FALSE))</f>
        <v>1.571642837</v>
      </c>
      <c r="AB395">
        <f ca="1">IF(AND(ISNUMBER($AB$1059),$B$677=1),$AB$1059,HLOOKUP(INDIRECT(ADDRESS(2,COLUMN())),OFFSET($BN$2,0,0,ROW()-1,60),ROW()-1,FALSE))</f>
        <v>1.5225648810000001</v>
      </c>
      <c r="AC395">
        <f ca="1">IF(AND(ISNUMBER($AC$1059),$B$677=1),$AC$1059,HLOOKUP(INDIRECT(ADDRESS(2,COLUMN())),OFFSET($BN$2,0,0,ROW()-1,60),ROW()-1,FALSE))</f>
        <v>1.582846132</v>
      </c>
      <c r="AD395">
        <f ca="1">IF(AND(ISNUMBER($AD$1059),$B$677=1),$AD$1059,HLOOKUP(INDIRECT(ADDRESS(2,COLUMN())),OFFSET($BN$2,0,0,ROW()-1,60),ROW()-1,FALSE))</f>
        <v>1.617416985</v>
      </c>
      <c r="AE395">
        <f ca="1">IF(AND(ISNUMBER($AE$1059),$B$677=1),$AE$1059,HLOOKUP(INDIRECT(ADDRESS(2,COLUMN())),OFFSET($BN$2,0,0,ROW()-1,60),ROW()-1,FALSE))</f>
        <v>1.6267500800000001</v>
      </c>
      <c r="AF395">
        <f ca="1">IF(AND(ISNUMBER($AF$1059),$B$677=1),$AF$1059,HLOOKUP(INDIRECT(ADDRESS(2,COLUMN())),OFFSET($BN$2,0,0,ROW()-1,60),ROW()-1,FALSE))</f>
        <v>1.5340392279999999</v>
      </c>
      <c r="AG395">
        <f ca="1">IF(AND(ISNUMBER($AG$1059),$B$677=1),$AG$1059,HLOOKUP(INDIRECT(ADDRESS(2,COLUMN())),OFFSET($BN$2,0,0,ROW()-1,60),ROW()-1,FALSE))</f>
        <v>1.586340957</v>
      </c>
      <c r="AH395">
        <f ca="1">IF(AND(ISNUMBER($AH$1059),$B$677=1),$AH$1059,HLOOKUP(INDIRECT(ADDRESS(2,COLUMN())),OFFSET($BN$2,0,0,ROW()-1,60),ROW()-1,FALSE))</f>
        <v>1.5972925120000001</v>
      </c>
      <c r="AI395">
        <f ca="1">IF(AND(ISNUMBER($AI$1059),$B$677=1),$AI$1059,HLOOKUP(INDIRECT(ADDRESS(2,COLUMN())),OFFSET($BN$2,0,0,ROW()-1,60),ROW()-1,FALSE))</f>
        <v>1.6674911699999999</v>
      </c>
      <c r="AJ395">
        <f ca="1">IF(AND(ISNUMBER($AJ$1059),$B$677=1),$AJ$1059,HLOOKUP(INDIRECT(ADDRESS(2,COLUMN())),OFFSET($BN$2,0,0,ROW()-1,60),ROW()-1,FALSE))</f>
        <v>1.67710618</v>
      </c>
      <c r="AK395">
        <f ca="1">IF(AND(ISNUMBER($AK$1059),$B$677=1),$AK$1059,HLOOKUP(INDIRECT(ADDRESS(2,COLUMN())),OFFSET($BN$2,0,0,ROW()-1,60),ROW()-1,FALSE))</f>
        <v>1.542478802</v>
      </c>
      <c r="AL395">
        <f ca="1">IF(AND(ISNUMBER($AL$1059),$B$677=1),$AL$1059,HLOOKUP(INDIRECT(ADDRESS(2,COLUMN())),OFFSET($BN$2,0,0,ROW()-1,60),ROW()-1,FALSE))</f>
        <v>1.5821733760000001</v>
      </c>
      <c r="AM395">
        <f ca="1">IF(AND(ISNUMBER($AM$1059),$B$677=1),$AM$1059,HLOOKUP(INDIRECT(ADDRESS(2,COLUMN())),OFFSET($BN$2,0,0,ROW()-1,60),ROW()-1,FALSE))</f>
        <v>1.7268406549999999</v>
      </c>
      <c r="AN395" t="str">
        <f ca="1">IF(AND(ISNUMBER($AN$1059),$B$677=1),$AN$1059,HLOOKUP(INDIRECT(ADDRESS(2,COLUMN())),OFFSET($BN$2,0,0,ROW()-1,60),ROW()-1,FALSE))</f>
        <v/>
      </c>
      <c r="AO395" t="str">
        <f ca="1">IF(AND(ISNUMBER($AO$1059),$B$677=1),$AO$1059,HLOOKUP(INDIRECT(ADDRESS(2,COLUMN())),OFFSET($BN$2,0,0,ROW()-1,60),ROW()-1,FALSE))</f>
        <v/>
      </c>
      <c r="AP395" t="str">
        <f ca="1">IF(AND(ISNUMBER($AP$1059),$B$677=1),$AP$1059,HLOOKUP(INDIRECT(ADDRESS(2,COLUMN())),OFFSET($BN$2,0,0,ROW()-1,60),ROW()-1,FALSE))</f>
        <v/>
      </c>
      <c r="AQ395" t="str">
        <f ca="1">IF(AND(ISNUMBER($AQ$1059),$B$677=1),$AQ$1059,HLOOKUP(INDIRECT(ADDRESS(2,COLUMN())),OFFSET($BN$2,0,0,ROW()-1,60),ROW()-1,FALSE))</f>
        <v/>
      </c>
      <c r="AR395" t="str">
        <f ca="1">IF(AND(ISNUMBER($AR$1059),$B$677=1),$AR$1059,HLOOKUP(INDIRECT(ADDRESS(2,COLUMN())),OFFSET($BN$2,0,0,ROW()-1,60),ROW()-1,FALSE))</f>
        <v/>
      </c>
      <c r="AS395" t="str">
        <f ca="1">IF(AND(ISNUMBER($AS$1059),$B$677=1),$AS$1059,HLOOKUP(INDIRECT(ADDRESS(2,COLUMN())),OFFSET($BN$2,0,0,ROW()-1,60),ROW()-1,FALSE))</f>
        <v/>
      </c>
      <c r="AT395" t="str">
        <f ca="1">IF(AND(ISNUMBER($AT$1059),$B$677=1),$AT$1059,HLOOKUP(INDIRECT(ADDRESS(2,COLUMN())),OFFSET($BN$2,0,0,ROW()-1,60),ROW()-1,FALSE))</f>
        <v/>
      </c>
      <c r="AU395" t="str">
        <f ca="1">IF(AND(ISNUMBER($AU$1059),$B$677=1),$AU$1059,HLOOKUP(INDIRECT(ADDRESS(2,COLUMN())),OFFSET($BN$2,0,0,ROW()-1,60),ROW()-1,FALSE))</f>
        <v/>
      </c>
      <c r="AV395" t="str">
        <f ca="1">IF(AND(ISNUMBER($AV$1059),$B$677=1),$AV$1059,HLOOKUP(INDIRECT(ADDRESS(2,COLUMN())),OFFSET($BN$2,0,0,ROW()-1,60),ROW()-1,FALSE))</f>
        <v/>
      </c>
      <c r="AW395" t="str">
        <f ca="1">IF(AND(ISNUMBER($AW$1059),$B$677=1),$AW$1059,HLOOKUP(INDIRECT(ADDRESS(2,COLUMN())),OFFSET($BN$2,0,0,ROW()-1,60),ROW()-1,FALSE))</f>
        <v/>
      </c>
      <c r="AX395" t="str">
        <f ca="1">IF(AND(ISNUMBER($AX$1059),$B$677=1),$AX$1059,HLOOKUP(INDIRECT(ADDRESS(2,COLUMN())),OFFSET($BN$2,0,0,ROW()-1,60),ROW()-1,FALSE))</f>
        <v/>
      </c>
      <c r="AY395" t="str">
        <f ca="1">IF(AND(ISNUMBER($AY$1059),$B$677=1),$AY$1059,HLOOKUP(INDIRECT(ADDRESS(2,COLUMN())),OFFSET($BN$2,0,0,ROW()-1,60),ROW()-1,FALSE))</f>
        <v/>
      </c>
      <c r="AZ395" t="str">
        <f ca="1">IF(AND(ISNUMBER($AZ$1059),$B$677=1),$AZ$1059,HLOOKUP(INDIRECT(ADDRESS(2,COLUMN())),OFFSET($BN$2,0,0,ROW()-1,60),ROW()-1,FALSE))</f>
        <v/>
      </c>
      <c r="BA395" t="str">
        <f ca="1">IF(AND(ISNUMBER($BA$1059),$B$677=1),$BA$1059,HLOOKUP(INDIRECT(ADDRESS(2,COLUMN())),OFFSET($BN$2,0,0,ROW()-1,60),ROW()-1,FALSE))</f>
        <v/>
      </c>
      <c r="BB395" t="str">
        <f ca="1">IF(AND(ISNUMBER($BB$1059),$B$677=1),$BB$1059,HLOOKUP(INDIRECT(ADDRESS(2,COLUMN())),OFFSET($BN$2,0,0,ROW()-1,60),ROW()-1,FALSE))</f>
        <v/>
      </c>
      <c r="BC395" t="str">
        <f ca="1">IF(AND(ISNUMBER($BC$1059),$B$677=1),$BC$1059,HLOOKUP(INDIRECT(ADDRESS(2,COLUMN())),OFFSET($BN$2,0,0,ROW()-1,60),ROW()-1,FALSE))</f>
        <v/>
      </c>
      <c r="BD395" t="str">
        <f ca="1">IF(AND(ISNUMBER($BD$1059),$B$677=1),$BD$1059,HLOOKUP(INDIRECT(ADDRESS(2,COLUMN())),OFFSET($BN$2,0,0,ROW()-1,60),ROW()-1,FALSE))</f>
        <v/>
      </c>
      <c r="BE395" t="str">
        <f ca="1">IF(AND(ISNUMBER($BE$1059),$B$677=1),$BE$1059,HLOOKUP(INDIRECT(ADDRESS(2,COLUMN())),OFFSET($BN$2,0,0,ROW()-1,60),ROW()-1,FALSE))</f>
        <v/>
      </c>
      <c r="BF395" t="str">
        <f ca="1">IF(AND(ISNUMBER($BF$1059),$B$677=1),$BF$1059,HLOOKUP(INDIRECT(ADDRESS(2,COLUMN())),OFFSET($BN$2,0,0,ROW()-1,60),ROW()-1,FALSE))</f>
        <v/>
      </c>
      <c r="BG395" t="str">
        <f ca="1">IF(AND(ISNUMBER($BG$1059),$B$677=1),$BG$1059,HLOOKUP(INDIRECT(ADDRESS(2,COLUMN())),OFFSET($BN$2,0,0,ROW()-1,60),ROW()-1,FALSE))</f>
        <v/>
      </c>
      <c r="BH395" t="str">
        <f ca="1">IF(AND(ISNUMBER($BH$1059),$B$677=1),$BH$1059,HLOOKUP(INDIRECT(ADDRESS(2,COLUMN())),OFFSET($BN$2,0,0,ROW()-1,60),ROW()-1,FALSE))</f>
        <v/>
      </c>
      <c r="BI395" t="str">
        <f ca="1">IF(AND(ISNUMBER($BI$1059),$B$677=1),$BI$1059,HLOOKUP(INDIRECT(ADDRESS(2,COLUMN())),OFFSET($BN$2,0,0,ROW()-1,60),ROW()-1,FALSE))</f>
        <v/>
      </c>
      <c r="BJ395" t="str">
        <f ca="1">IF(AND(ISNUMBER($BJ$1059),$B$677=1),$BJ$1059,HLOOKUP(INDIRECT(ADDRESS(2,COLUMN())),OFFSET($BN$2,0,0,ROW()-1,60),ROW()-1,FALSE))</f>
        <v/>
      </c>
      <c r="BK395" t="str">
        <f ca="1">IF(AND(ISNUMBER($BK$1059),$B$677=1),$BK$1059,HLOOKUP(INDIRECT(ADDRESS(2,COLUMN())),OFFSET($BN$2,0,0,ROW()-1,60),ROW()-1,FALSE))</f>
        <v/>
      </c>
      <c r="BL395" t="str">
        <f ca="1">IF(AND(ISNUMBER($BL$1059),$B$677=1),$BL$1059,HLOOKUP(INDIRECT(ADDRESS(2,COLUMN())),OFFSET($BN$2,0,0,ROW()-1,60),ROW()-1,FALSE))</f>
        <v/>
      </c>
      <c r="BM395" t="str">
        <f ca="1">IF(AND(ISNUMBER($BM$1059),$B$677=1),$BM$1059,HLOOKUP(INDIRECT(ADDRESS(2,COLUMN())),OFFSET($BN$2,0,0,ROW()-1,60),ROW()-1,FALSE))</f>
        <v/>
      </c>
      <c r="BN395" t="str">
        <f>""</f>
        <v/>
      </c>
      <c r="BO395" t="str">
        <f>""</f>
        <v/>
      </c>
      <c r="BP395">
        <f>2.928022562</f>
        <v>2.9280225620000002</v>
      </c>
      <c r="BQ395">
        <f>3.000132056</f>
        <v>3.000132056</v>
      </c>
      <c r="BR395">
        <f>2.662984729</f>
        <v>2.6629847290000002</v>
      </c>
      <c r="BS395">
        <f>2.428608764</f>
        <v>2.4286087639999998</v>
      </c>
      <c r="BT395">
        <f>2.576070925</f>
        <v>2.5760709249999998</v>
      </c>
      <c r="BU395">
        <f>2.43466092</f>
        <v>2.4346609199999998</v>
      </c>
      <c r="BV395">
        <f>2.400363642</f>
        <v>2.4003636419999999</v>
      </c>
      <c r="BW395">
        <f>2.614507461</f>
        <v>2.6145074610000001</v>
      </c>
      <c r="BX395">
        <f>2.580234276</f>
        <v>2.5802342760000001</v>
      </c>
      <c r="BY395">
        <f>2.623738303</f>
        <v>2.6237383030000001</v>
      </c>
      <c r="BZ395">
        <f>2.416843198</f>
        <v>2.416843198</v>
      </c>
      <c r="CA395">
        <f>2.398376357</f>
        <v>2.3983763570000001</v>
      </c>
      <c r="CB395">
        <f>2.222803106</f>
        <v>2.2228031060000002</v>
      </c>
      <c r="CC395">
        <f>2.294934664</f>
        <v>2.2949346639999999</v>
      </c>
      <c r="CD395">
        <f>1.965507106</f>
        <v>1.965507106</v>
      </c>
      <c r="CE395">
        <f>1.888842019</f>
        <v>1.8888420189999999</v>
      </c>
      <c r="CF395">
        <f>1.689245802</f>
        <v>1.6892458020000001</v>
      </c>
      <c r="CG395">
        <f>1.539896008</f>
        <v>1.5398960079999999</v>
      </c>
      <c r="CH395">
        <f>1.523076106</f>
        <v>1.523076106</v>
      </c>
      <c r="CI395">
        <f>1.571642837</f>
        <v>1.571642837</v>
      </c>
      <c r="CJ395">
        <f>1.522564881</f>
        <v>1.5225648810000001</v>
      </c>
      <c r="CK395">
        <f>1.582846132</f>
        <v>1.582846132</v>
      </c>
      <c r="CL395">
        <f>1.617416985</f>
        <v>1.617416985</v>
      </c>
      <c r="CM395">
        <f>1.62675008</f>
        <v>1.6267500800000001</v>
      </c>
      <c r="CN395">
        <f>1.534039228</f>
        <v>1.5340392279999999</v>
      </c>
      <c r="CO395">
        <f>1.586340957</f>
        <v>1.586340957</v>
      </c>
      <c r="CP395">
        <f>1.597292512</f>
        <v>1.5972925120000001</v>
      </c>
      <c r="CQ395">
        <f>1.66749117</f>
        <v>1.6674911699999999</v>
      </c>
      <c r="CR395">
        <f>1.67710618</f>
        <v>1.67710618</v>
      </c>
      <c r="CS395">
        <f>1.542478802</f>
        <v>1.542478802</v>
      </c>
      <c r="CT395">
        <f>1.582173376</f>
        <v>1.5821733760000001</v>
      </c>
      <c r="CU395">
        <f>1.726840655</f>
        <v>1.7268406549999999</v>
      </c>
      <c r="CV395" t="str">
        <f>""</f>
        <v/>
      </c>
      <c r="CW395" t="str">
        <f>""</f>
        <v/>
      </c>
      <c r="CX395" t="str">
        <f>""</f>
        <v/>
      </c>
      <c r="CY395" t="str">
        <f>""</f>
        <v/>
      </c>
      <c r="CZ395" t="str">
        <f>""</f>
        <v/>
      </c>
      <c r="DA395" t="str">
        <f>""</f>
        <v/>
      </c>
      <c r="DB395" t="str">
        <f>""</f>
        <v/>
      </c>
      <c r="DC395" t="str">
        <f>""</f>
        <v/>
      </c>
      <c r="DD395" t="str">
        <f>""</f>
        <v/>
      </c>
      <c r="DE395" t="str">
        <f>""</f>
        <v/>
      </c>
      <c r="DF395" t="str">
        <f>""</f>
        <v/>
      </c>
      <c r="DG395" t="str">
        <f>""</f>
        <v/>
      </c>
      <c r="DH395" t="str">
        <f>""</f>
        <v/>
      </c>
      <c r="DI395" t="str">
        <f>""</f>
        <v/>
      </c>
      <c r="DJ395" t="str">
        <f>""</f>
        <v/>
      </c>
      <c r="DK395" t="str">
        <f>""</f>
        <v/>
      </c>
      <c r="DL395" t="str">
        <f>""</f>
        <v/>
      </c>
      <c r="DM395" t="str">
        <f>""</f>
        <v/>
      </c>
      <c r="DN395" t="str">
        <f>""</f>
        <v/>
      </c>
      <c r="DO395" t="str">
        <f>""</f>
        <v/>
      </c>
      <c r="DP395" t="str">
        <f>""</f>
        <v/>
      </c>
      <c r="DQ395" t="str">
        <f>""</f>
        <v/>
      </c>
      <c r="DR395" t="str">
        <f>""</f>
        <v/>
      </c>
      <c r="DS395" t="str">
        <f>""</f>
        <v/>
      </c>
      <c r="DT395" t="str">
        <f>""</f>
        <v/>
      </c>
      <c r="DU395" t="str">
        <f>""</f>
        <v/>
      </c>
    </row>
    <row r="396" spans="1:125" x14ac:dyDescent="0.25">
      <c r="A396" t="str">
        <f>"    Kia Motors Corp"</f>
        <v xml:space="preserve">    Kia Motors Corp</v>
      </c>
      <c r="B396" t="str">
        <f>"000270 KS Equity"</f>
        <v>000270 KS Equity</v>
      </c>
      <c r="C396" t="str">
        <f t="shared" si="27"/>
        <v>RR480</v>
      </c>
      <c r="D396" t="str">
        <f t="shared" si="28"/>
        <v>EV_TO_MKT_CAP</v>
      </c>
      <c r="E396" t="str">
        <f t="shared" si="29"/>
        <v>Dynamic</v>
      </c>
      <c r="F396" t="str">
        <f ca="1">IF(AND(ISNUMBER($F$1060),$B$677=1),$F$1060,HLOOKUP(INDIRECT(ADDRESS(2,COLUMN())),OFFSET($BN$2,0,0,ROW()-1,60),ROW()-1,FALSE))</f>
        <v/>
      </c>
      <c r="G396" t="str">
        <f ca="1">IF(AND(ISNUMBER($G$1060),$B$677=1),$G$1060,HLOOKUP(INDIRECT(ADDRESS(2,COLUMN())),OFFSET($BN$2,0,0,ROW()-1,60),ROW()-1,FALSE))</f>
        <v/>
      </c>
      <c r="H396">
        <f ca="1">IF(AND(ISNUMBER($H$1060),$B$677=1),$H$1060,HLOOKUP(INDIRECT(ADDRESS(2,COLUMN())),OFFSET($BN$2,0,0,ROW()-1,60),ROW()-1,FALSE))</f>
        <v>0.75125319599999996</v>
      </c>
      <c r="I396">
        <f ca="1">IF(AND(ISNUMBER($I$1060),$B$677=1),$I$1060,HLOOKUP(INDIRECT(ADDRESS(2,COLUMN())),OFFSET($BN$2,0,0,ROW()-1,60),ROW()-1,FALSE))</f>
        <v>0.77369542999999996</v>
      </c>
      <c r="J396">
        <f ca="1">IF(AND(ISNUMBER($J$1060),$B$677=1),$J$1060,HLOOKUP(INDIRECT(ADDRESS(2,COLUMN())),OFFSET($BN$2,0,0,ROW()-1,60),ROW()-1,FALSE))</f>
        <v>0.86753798900000001</v>
      </c>
      <c r="K396">
        <f ca="1">IF(AND(ISNUMBER($K$1060),$B$677=1),$K$1060,HLOOKUP(INDIRECT(ADDRESS(2,COLUMN())),OFFSET($BN$2,0,0,ROW()-1,60),ROW()-1,FALSE))</f>
        <v>0.90866212700000004</v>
      </c>
      <c r="L396">
        <f ca="1">IF(AND(ISNUMBER($L$1060),$B$677=1),$L$1060,HLOOKUP(INDIRECT(ADDRESS(2,COLUMN())),OFFSET($BN$2,0,0,ROW()-1,60),ROW()-1,FALSE))</f>
        <v>0.80765878000000002</v>
      </c>
      <c r="M396">
        <f ca="1">IF(AND(ISNUMBER($M$1060),$B$677=1),$M$1060,HLOOKUP(INDIRECT(ADDRESS(2,COLUMN())),OFFSET($BN$2,0,0,ROW()-1,60),ROW()-1,FALSE))</f>
        <v>0.90867701199999995</v>
      </c>
      <c r="N396">
        <f ca="1">IF(AND(ISNUMBER($N$1060),$B$677=1),$N$1060,HLOOKUP(INDIRECT(ADDRESS(2,COLUMN())),OFFSET($BN$2,0,0,ROW()-1,60),ROW()-1,FALSE))</f>
        <v>0.92399416000000001</v>
      </c>
      <c r="O396">
        <f ca="1">IF(AND(ISNUMBER($O$1060),$B$677=1),$O$1060,HLOOKUP(INDIRECT(ADDRESS(2,COLUMN())),OFFSET($BN$2,0,0,ROW()-1,60),ROW()-1,FALSE))</f>
        <v>0.93501742499999996</v>
      </c>
      <c r="P396">
        <f ca="1">IF(AND(ISNUMBER($P$1060),$B$677=1),$P$1060,HLOOKUP(INDIRECT(ADDRESS(2,COLUMN())),OFFSET($BN$2,0,0,ROW()-1,60),ROW()-1,FALSE))</f>
        <v>0.83456328800000001</v>
      </c>
      <c r="Q396">
        <f ca="1">IF(AND(ISNUMBER($Q$1060),$B$677=1),$Q$1060,HLOOKUP(INDIRECT(ADDRESS(2,COLUMN())),OFFSET($BN$2,0,0,ROW()-1,60),ROW()-1,FALSE))</f>
        <v>0.87857892000000004</v>
      </c>
      <c r="R396">
        <f ca="1">IF(AND(ISNUMBER($R$1060),$B$677=1),$R$1060,HLOOKUP(INDIRECT(ADDRESS(2,COLUMN())),OFFSET($BN$2,0,0,ROW()-1,60),ROW()-1,FALSE))</f>
        <v>0.99242312600000004</v>
      </c>
      <c r="S396">
        <f ca="1">IF(AND(ISNUMBER($S$1060),$B$677=1),$S$1060,HLOOKUP(INDIRECT(ADDRESS(2,COLUMN())),OFFSET($BN$2,0,0,ROW()-1,60),ROW()-1,FALSE))</f>
        <v>0.930773348</v>
      </c>
      <c r="T396">
        <f ca="1">IF(AND(ISNUMBER($T$1060),$B$677=1),$T$1060,HLOOKUP(INDIRECT(ADDRESS(2,COLUMN())),OFFSET($BN$2,0,0,ROW()-1,60),ROW()-1,FALSE))</f>
        <v>0.86606775800000002</v>
      </c>
      <c r="U396">
        <f ca="1">IF(AND(ISNUMBER($U$1060),$B$677=1),$U$1060,HLOOKUP(INDIRECT(ADDRESS(2,COLUMN())),OFFSET($BN$2,0,0,ROW()-1,60),ROW()-1,FALSE))</f>
        <v>0.85949621700000001</v>
      </c>
      <c r="V396">
        <f ca="1">IF(AND(ISNUMBER($V$1060),$B$677=1),$V$1060,HLOOKUP(INDIRECT(ADDRESS(2,COLUMN())),OFFSET($BN$2,0,0,ROW()-1,60),ROW()-1,FALSE))</f>
        <v>0.84952863700000003</v>
      </c>
      <c r="W396">
        <f ca="1">IF(AND(ISNUMBER($W$1060),$B$677=1),$W$1060,HLOOKUP(INDIRECT(ADDRESS(2,COLUMN())),OFFSET($BN$2,0,0,ROW()-1,60),ROW()-1,FALSE))</f>
        <v>0.81785243299999999</v>
      </c>
      <c r="X396">
        <f ca="1">IF(AND(ISNUMBER($X$1060),$B$677=1),$X$1060,HLOOKUP(INDIRECT(ADDRESS(2,COLUMN())),OFFSET($BN$2,0,0,ROW()-1,60),ROW()-1,FALSE))</f>
        <v>0.79932463600000003</v>
      </c>
      <c r="Y396">
        <f ca="1">IF(AND(ISNUMBER($Y$1060),$B$677=1),$Y$1060,HLOOKUP(INDIRECT(ADDRESS(2,COLUMN())),OFFSET($BN$2,0,0,ROW()-1,60),ROW()-1,FALSE))</f>
        <v>0.83602739299999995</v>
      </c>
      <c r="Z396">
        <f ca="1">IF(AND(ISNUMBER($Z$1060),$B$677=1),$Z$1060,HLOOKUP(INDIRECT(ADDRESS(2,COLUMN())),OFFSET($BN$2,0,0,ROW()-1,60),ROW()-1,FALSE))</f>
        <v>0.82447689199999996</v>
      </c>
      <c r="AA396">
        <f ca="1">IF(AND(ISNUMBER($AA$1060),$B$677=1),$AA$1060,HLOOKUP(INDIRECT(ADDRESS(2,COLUMN())),OFFSET($BN$2,0,0,ROW()-1,60),ROW()-1,FALSE))</f>
        <v>0.81282308599999997</v>
      </c>
      <c r="AB396">
        <f ca="1">IF(AND(ISNUMBER($AB$1060),$B$677=1),$AB$1060,HLOOKUP(INDIRECT(ADDRESS(2,COLUMN())),OFFSET($BN$2,0,0,ROW()-1,60),ROW()-1,FALSE))</f>
        <v>0.83105496199999995</v>
      </c>
      <c r="AC396">
        <f ca="1">IF(AND(ISNUMBER($AC$1060),$B$677=1),$AC$1060,HLOOKUP(INDIRECT(ADDRESS(2,COLUMN())),OFFSET($BN$2,0,0,ROW()-1,60),ROW()-1,FALSE))</f>
        <v>0.85575975500000001</v>
      </c>
      <c r="AD396">
        <f ca="1">IF(AND(ISNUMBER($AD$1060),$B$677=1),$AD$1060,HLOOKUP(INDIRECT(ADDRESS(2,COLUMN())),OFFSET($BN$2,0,0,ROW()-1,60),ROW()-1,FALSE))</f>
        <v>0.90600034699999998</v>
      </c>
      <c r="AE396">
        <f ca="1">IF(AND(ISNUMBER($AE$1060),$B$677=1),$AE$1060,HLOOKUP(INDIRECT(ADDRESS(2,COLUMN())),OFFSET($BN$2,0,0,ROW()-1,60),ROW()-1,FALSE))</f>
        <v>0.91173837400000002</v>
      </c>
      <c r="AF396">
        <f ca="1">IF(AND(ISNUMBER($AF$1060),$B$677=1),$AF$1060,HLOOKUP(INDIRECT(ADDRESS(2,COLUMN())),OFFSET($BN$2,0,0,ROW()-1,60),ROW()-1,FALSE))</f>
        <v>0.899298245</v>
      </c>
      <c r="AG396">
        <f ca="1">IF(AND(ISNUMBER($AG$1060),$B$677=1),$AG$1060,HLOOKUP(INDIRECT(ADDRESS(2,COLUMN())),OFFSET($BN$2,0,0,ROW()-1,60),ROW()-1,FALSE))</f>
        <v>0.94007188900000005</v>
      </c>
      <c r="AH396">
        <f ca="1">IF(AND(ISNUMBER($AH$1060),$B$677=1),$AH$1060,HLOOKUP(INDIRECT(ADDRESS(2,COLUMN())),OFFSET($BN$2,0,0,ROW()-1,60),ROW()-1,FALSE))</f>
        <v>0.98091991499999998</v>
      </c>
      <c r="AI396">
        <f ca="1">IF(AND(ISNUMBER($AI$1060),$B$677=1),$AI$1060,HLOOKUP(INDIRECT(ADDRESS(2,COLUMN())),OFFSET($BN$2,0,0,ROW()-1,60),ROW()-1,FALSE))</f>
        <v>1.015826637</v>
      </c>
      <c r="AJ396">
        <f ca="1">IF(AND(ISNUMBER($AJ$1060),$B$677=1),$AJ$1060,HLOOKUP(INDIRECT(ADDRESS(2,COLUMN())),OFFSET($BN$2,0,0,ROW()-1,60),ROW()-1,FALSE))</f>
        <v>1.0219546239999999</v>
      </c>
      <c r="AK396">
        <f ca="1">IF(AND(ISNUMBER($AK$1060),$B$677=1),$AK$1060,HLOOKUP(INDIRECT(ADDRESS(2,COLUMN())),OFFSET($BN$2,0,0,ROW()-1,60),ROW()-1,FALSE))</f>
        <v>1.0359353229999999</v>
      </c>
      <c r="AL396">
        <f ca="1">IF(AND(ISNUMBER($AL$1060),$B$677=1),$AL$1060,HLOOKUP(INDIRECT(ADDRESS(2,COLUMN())),OFFSET($BN$2,0,0,ROW()-1,60),ROW()-1,FALSE))</f>
        <v>1.058809267</v>
      </c>
      <c r="AM396" t="str">
        <f ca="1">IF(AND(ISNUMBER($AM$1060),$B$677=1),$AM$1060,HLOOKUP(INDIRECT(ADDRESS(2,COLUMN())),OFFSET($BN$2,0,0,ROW()-1,60),ROW()-1,FALSE))</f>
        <v/>
      </c>
      <c r="AN396" t="str">
        <f ca="1">IF(AND(ISNUMBER($AN$1060),$B$677=1),$AN$1060,HLOOKUP(INDIRECT(ADDRESS(2,COLUMN())),OFFSET($BN$2,0,0,ROW()-1,60),ROW()-1,FALSE))</f>
        <v/>
      </c>
      <c r="AO396" t="str">
        <f ca="1">IF(AND(ISNUMBER($AO$1060),$B$677=1),$AO$1060,HLOOKUP(INDIRECT(ADDRESS(2,COLUMN())),OFFSET($BN$2,0,0,ROW()-1,60),ROW()-1,FALSE))</f>
        <v/>
      </c>
      <c r="AP396" t="str">
        <f ca="1">IF(AND(ISNUMBER($AP$1060),$B$677=1),$AP$1060,HLOOKUP(INDIRECT(ADDRESS(2,COLUMN())),OFFSET($BN$2,0,0,ROW()-1,60),ROW()-1,FALSE))</f>
        <v/>
      </c>
      <c r="AQ396" t="str">
        <f ca="1">IF(AND(ISNUMBER($AQ$1060),$B$677=1),$AQ$1060,HLOOKUP(INDIRECT(ADDRESS(2,COLUMN())),OFFSET($BN$2,0,0,ROW()-1,60),ROW()-1,FALSE))</f>
        <v/>
      </c>
      <c r="AR396" t="str">
        <f ca="1">IF(AND(ISNUMBER($AR$1060),$B$677=1),$AR$1060,HLOOKUP(INDIRECT(ADDRESS(2,COLUMN())),OFFSET($BN$2,0,0,ROW()-1,60),ROW()-1,FALSE))</f>
        <v/>
      </c>
      <c r="AS396" t="str">
        <f ca="1">IF(AND(ISNUMBER($AS$1060),$B$677=1),$AS$1060,HLOOKUP(INDIRECT(ADDRESS(2,COLUMN())),OFFSET($BN$2,0,0,ROW()-1,60),ROW()-1,FALSE))</f>
        <v/>
      </c>
      <c r="AT396" t="str">
        <f ca="1">IF(AND(ISNUMBER($AT$1060),$B$677=1),$AT$1060,HLOOKUP(INDIRECT(ADDRESS(2,COLUMN())),OFFSET($BN$2,0,0,ROW()-1,60),ROW()-1,FALSE))</f>
        <v/>
      </c>
      <c r="AU396" t="str">
        <f ca="1">IF(AND(ISNUMBER($AU$1060),$B$677=1),$AU$1060,HLOOKUP(INDIRECT(ADDRESS(2,COLUMN())),OFFSET($BN$2,0,0,ROW()-1,60),ROW()-1,FALSE))</f>
        <v/>
      </c>
      <c r="AV396" t="str">
        <f ca="1">IF(AND(ISNUMBER($AV$1060),$B$677=1),$AV$1060,HLOOKUP(INDIRECT(ADDRESS(2,COLUMN())),OFFSET($BN$2,0,0,ROW()-1,60),ROW()-1,FALSE))</f>
        <v/>
      </c>
      <c r="AW396" t="str">
        <f ca="1">IF(AND(ISNUMBER($AW$1060),$B$677=1),$AW$1060,HLOOKUP(INDIRECT(ADDRESS(2,COLUMN())),OFFSET($BN$2,0,0,ROW()-1,60),ROW()-1,FALSE))</f>
        <v/>
      </c>
      <c r="AX396" t="str">
        <f ca="1">IF(AND(ISNUMBER($AX$1060),$B$677=1),$AX$1060,HLOOKUP(INDIRECT(ADDRESS(2,COLUMN())),OFFSET($BN$2,0,0,ROW()-1,60),ROW()-1,FALSE))</f>
        <v/>
      </c>
      <c r="AY396" t="str">
        <f ca="1">IF(AND(ISNUMBER($AY$1060),$B$677=1),$AY$1060,HLOOKUP(INDIRECT(ADDRESS(2,COLUMN())),OFFSET($BN$2,0,0,ROW()-1,60),ROW()-1,FALSE))</f>
        <v/>
      </c>
      <c r="AZ396" t="str">
        <f ca="1">IF(AND(ISNUMBER($AZ$1060),$B$677=1),$AZ$1060,HLOOKUP(INDIRECT(ADDRESS(2,COLUMN())),OFFSET($BN$2,0,0,ROW()-1,60),ROW()-1,FALSE))</f>
        <v/>
      </c>
      <c r="BA396" t="str">
        <f ca="1">IF(AND(ISNUMBER($BA$1060),$B$677=1),$BA$1060,HLOOKUP(INDIRECT(ADDRESS(2,COLUMN())),OFFSET($BN$2,0,0,ROW()-1,60),ROW()-1,FALSE))</f>
        <v/>
      </c>
      <c r="BB396" t="str">
        <f ca="1">IF(AND(ISNUMBER($BB$1060),$B$677=1),$BB$1060,HLOOKUP(INDIRECT(ADDRESS(2,COLUMN())),OFFSET($BN$2,0,0,ROW()-1,60),ROW()-1,FALSE))</f>
        <v/>
      </c>
      <c r="BC396" t="str">
        <f ca="1">IF(AND(ISNUMBER($BC$1060),$B$677=1),$BC$1060,HLOOKUP(INDIRECT(ADDRESS(2,COLUMN())),OFFSET($BN$2,0,0,ROW()-1,60),ROW()-1,FALSE))</f>
        <v/>
      </c>
      <c r="BD396" t="str">
        <f ca="1">IF(AND(ISNUMBER($BD$1060),$B$677=1),$BD$1060,HLOOKUP(INDIRECT(ADDRESS(2,COLUMN())),OFFSET($BN$2,0,0,ROW()-1,60),ROW()-1,FALSE))</f>
        <v/>
      </c>
      <c r="BE396" t="str">
        <f ca="1">IF(AND(ISNUMBER($BE$1060),$B$677=1),$BE$1060,HLOOKUP(INDIRECT(ADDRESS(2,COLUMN())),OFFSET($BN$2,0,0,ROW()-1,60),ROW()-1,FALSE))</f>
        <v/>
      </c>
      <c r="BF396" t="str">
        <f ca="1">IF(AND(ISNUMBER($BF$1060),$B$677=1),$BF$1060,HLOOKUP(INDIRECT(ADDRESS(2,COLUMN())),OFFSET($BN$2,0,0,ROW()-1,60),ROW()-1,FALSE))</f>
        <v/>
      </c>
      <c r="BG396" t="str">
        <f ca="1">IF(AND(ISNUMBER($BG$1060),$B$677=1),$BG$1060,HLOOKUP(INDIRECT(ADDRESS(2,COLUMN())),OFFSET($BN$2,0,0,ROW()-1,60),ROW()-1,FALSE))</f>
        <v/>
      </c>
      <c r="BH396" t="str">
        <f ca="1">IF(AND(ISNUMBER($BH$1060),$B$677=1),$BH$1060,HLOOKUP(INDIRECT(ADDRESS(2,COLUMN())),OFFSET($BN$2,0,0,ROW()-1,60),ROW()-1,FALSE))</f>
        <v/>
      </c>
      <c r="BI396" t="str">
        <f ca="1">IF(AND(ISNUMBER($BI$1060),$B$677=1),$BI$1060,HLOOKUP(INDIRECT(ADDRESS(2,COLUMN())),OFFSET($BN$2,0,0,ROW()-1,60),ROW()-1,FALSE))</f>
        <v/>
      </c>
      <c r="BJ396" t="str">
        <f ca="1">IF(AND(ISNUMBER($BJ$1060),$B$677=1),$BJ$1060,HLOOKUP(INDIRECT(ADDRESS(2,COLUMN())),OFFSET($BN$2,0,0,ROW()-1,60),ROW()-1,FALSE))</f>
        <v/>
      </c>
      <c r="BK396" t="str">
        <f ca="1">IF(AND(ISNUMBER($BK$1060),$B$677=1),$BK$1060,HLOOKUP(INDIRECT(ADDRESS(2,COLUMN())),OFFSET($BN$2,0,0,ROW()-1,60),ROW()-1,FALSE))</f>
        <v/>
      </c>
      <c r="BL396" t="str">
        <f ca="1">IF(AND(ISNUMBER($BL$1060),$B$677=1),$BL$1060,HLOOKUP(INDIRECT(ADDRESS(2,COLUMN())),OFFSET($BN$2,0,0,ROW()-1,60),ROW()-1,FALSE))</f>
        <v/>
      </c>
      <c r="BM396" t="str">
        <f ca="1">IF(AND(ISNUMBER($BM$1060),$B$677=1),$BM$1060,HLOOKUP(INDIRECT(ADDRESS(2,COLUMN())),OFFSET($BN$2,0,0,ROW()-1,60),ROW()-1,FALSE))</f>
        <v/>
      </c>
      <c r="BN396" t="str">
        <f>""</f>
        <v/>
      </c>
      <c r="BO396" t="str">
        <f>""</f>
        <v/>
      </c>
      <c r="BP396">
        <f>0.751253196</f>
        <v>0.75125319599999996</v>
      </c>
      <c r="BQ396">
        <f>0.77369543</f>
        <v>0.77369542999999996</v>
      </c>
      <c r="BR396">
        <f>0.867537989</f>
        <v>0.86753798900000001</v>
      </c>
      <c r="BS396">
        <f>0.908662127</f>
        <v>0.90866212700000004</v>
      </c>
      <c r="BT396">
        <f>0.80765878</f>
        <v>0.80765878000000002</v>
      </c>
      <c r="BU396">
        <f>0.908677012</f>
        <v>0.90867701199999995</v>
      </c>
      <c r="BV396">
        <f>0.92399416</f>
        <v>0.92399416000000001</v>
      </c>
      <c r="BW396">
        <f>0.935017425</f>
        <v>0.93501742499999996</v>
      </c>
      <c r="BX396">
        <f>0.834563288</f>
        <v>0.83456328800000001</v>
      </c>
      <c r="BY396">
        <f>0.87857892</f>
        <v>0.87857892000000004</v>
      </c>
      <c r="BZ396">
        <f>0.992423126</f>
        <v>0.99242312600000004</v>
      </c>
      <c r="CA396">
        <f>0.930773348</f>
        <v>0.930773348</v>
      </c>
      <c r="CB396">
        <f>0.866067758</f>
        <v>0.86606775800000002</v>
      </c>
      <c r="CC396">
        <f>0.859496217</f>
        <v>0.85949621700000001</v>
      </c>
      <c r="CD396">
        <f>0.849528637</f>
        <v>0.84952863700000003</v>
      </c>
      <c r="CE396">
        <f>0.817852433</f>
        <v>0.81785243299999999</v>
      </c>
      <c r="CF396">
        <f>0.799324636</f>
        <v>0.79932463600000003</v>
      </c>
      <c r="CG396">
        <f>0.836027393</f>
        <v>0.83602739299999995</v>
      </c>
      <c r="CH396">
        <f>0.824476892</f>
        <v>0.82447689199999996</v>
      </c>
      <c r="CI396">
        <f>0.812823086</f>
        <v>0.81282308599999997</v>
      </c>
      <c r="CJ396">
        <f>0.831054962</f>
        <v>0.83105496199999995</v>
      </c>
      <c r="CK396">
        <f>0.855759755</f>
        <v>0.85575975500000001</v>
      </c>
      <c r="CL396">
        <f>0.906000347</f>
        <v>0.90600034699999998</v>
      </c>
      <c r="CM396">
        <f>0.911738374</f>
        <v>0.91173837400000002</v>
      </c>
      <c r="CN396">
        <f>0.899298245</f>
        <v>0.899298245</v>
      </c>
      <c r="CO396">
        <f>0.940071889</f>
        <v>0.94007188900000005</v>
      </c>
      <c r="CP396">
        <f>0.980919915</f>
        <v>0.98091991499999998</v>
      </c>
      <c r="CQ396">
        <f>1.015826637</f>
        <v>1.015826637</v>
      </c>
      <c r="CR396">
        <f>1.021954624</f>
        <v>1.0219546239999999</v>
      </c>
      <c r="CS396">
        <f>1.035935323</f>
        <v>1.0359353229999999</v>
      </c>
      <c r="CT396">
        <f>1.058809267</f>
        <v>1.058809267</v>
      </c>
      <c r="CU396" t="str">
        <f>""</f>
        <v/>
      </c>
      <c r="CV396" t="str">
        <f>""</f>
        <v/>
      </c>
      <c r="CW396" t="str">
        <f>""</f>
        <v/>
      </c>
      <c r="CX396" t="str">
        <f>""</f>
        <v/>
      </c>
      <c r="CY396" t="str">
        <f>""</f>
        <v/>
      </c>
      <c r="CZ396" t="str">
        <f>""</f>
        <v/>
      </c>
      <c r="DA396" t="str">
        <f>""</f>
        <v/>
      </c>
      <c r="DB396" t="str">
        <f>""</f>
        <v/>
      </c>
      <c r="DC396" t="str">
        <f>""</f>
        <v/>
      </c>
      <c r="DD396" t="str">
        <f>""</f>
        <v/>
      </c>
      <c r="DE396" t="str">
        <f>""</f>
        <v/>
      </c>
      <c r="DF396" t="str">
        <f>""</f>
        <v/>
      </c>
      <c r="DG396" t="str">
        <f>""</f>
        <v/>
      </c>
      <c r="DH396" t="str">
        <f>""</f>
        <v/>
      </c>
      <c r="DI396" t="str">
        <f>""</f>
        <v/>
      </c>
      <c r="DJ396" t="str">
        <f>""</f>
        <v/>
      </c>
      <c r="DK396" t="str">
        <f>""</f>
        <v/>
      </c>
      <c r="DL396" t="str">
        <f>""</f>
        <v/>
      </c>
      <c r="DM396" t="str">
        <f>""</f>
        <v/>
      </c>
      <c r="DN396" t="str">
        <f>""</f>
        <v/>
      </c>
      <c r="DO396" t="str">
        <f>""</f>
        <v/>
      </c>
      <c r="DP396" t="str">
        <f>""</f>
        <v/>
      </c>
      <c r="DQ396" t="str">
        <f>""</f>
        <v/>
      </c>
      <c r="DR396" t="str">
        <f>""</f>
        <v/>
      </c>
      <c r="DS396" t="str">
        <f>""</f>
        <v/>
      </c>
      <c r="DT396" t="str">
        <f>""</f>
        <v/>
      </c>
      <c r="DU396" t="str">
        <f>""</f>
        <v/>
      </c>
    </row>
    <row r="397" spans="1:125" x14ac:dyDescent="0.25">
      <c r="A397" t="str">
        <f>"    Mazda Motor Corp"</f>
        <v xml:space="preserve">    Mazda Motor Corp</v>
      </c>
      <c r="B397" t="str">
        <f>"7261 JP Equity"</f>
        <v>7261 JP Equity</v>
      </c>
      <c r="C397" t="str">
        <f t="shared" si="27"/>
        <v>RR480</v>
      </c>
      <c r="D397" t="str">
        <f t="shared" si="28"/>
        <v>EV_TO_MKT_CAP</v>
      </c>
      <c r="E397" t="str">
        <f t="shared" si="29"/>
        <v>Dynamic</v>
      </c>
      <c r="F397" t="str">
        <f ca="1">IF(AND(ISNUMBER($F$1061),$B$677=1),$F$1061,HLOOKUP(INDIRECT(ADDRESS(2,COLUMN())),OFFSET($BN$2,0,0,ROW()-1,60),ROW()-1,FALSE))</f>
        <v/>
      </c>
      <c r="G397">
        <f ca="1">IF(AND(ISNUMBER($G$1061),$B$677=1),$G$1061,HLOOKUP(INDIRECT(ADDRESS(2,COLUMN())),OFFSET($BN$2,0,0,ROW()-1,60),ROW()-1,FALSE))</f>
        <v>0.934499941</v>
      </c>
      <c r="H397">
        <f ca="1">IF(AND(ISNUMBER($H$1061),$B$677=1),$H$1061,HLOOKUP(INDIRECT(ADDRESS(2,COLUMN())),OFFSET($BN$2,0,0,ROW()-1,60),ROW()-1,FALSE))</f>
        <v>0.89822392399999995</v>
      </c>
      <c r="I397">
        <f ca="1">IF(AND(ISNUMBER($I$1061),$B$677=1),$I$1061,HLOOKUP(INDIRECT(ADDRESS(2,COLUMN())),OFFSET($BN$2,0,0,ROW()-1,60),ROW()-1,FALSE))</f>
        <v>0.92989287099999995</v>
      </c>
      <c r="J397">
        <f ca="1">IF(AND(ISNUMBER($J$1061),$B$677=1),$J$1061,HLOOKUP(INDIRECT(ADDRESS(2,COLUMN())),OFFSET($BN$2,0,0,ROW()-1,60),ROW()-1,FALSE))</f>
        <v>0.89736465399999998</v>
      </c>
      <c r="K397">
        <f ca="1">IF(AND(ISNUMBER($K$1061),$B$677=1),$K$1061,HLOOKUP(INDIRECT(ADDRESS(2,COLUMN())),OFFSET($BN$2,0,0,ROW()-1,60),ROW()-1,FALSE))</f>
        <v>0.96897134500000004</v>
      </c>
      <c r="L397">
        <f ca="1">IF(AND(ISNUMBER($L$1061),$B$677=1),$L$1061,HLOOKUP(INDIRECT(ADDRESS(2,COLUMN())),OFFSET($BN$2,0,0,ROW()-1,60),ROW()-1,FALSE))</f>
        <v>0.96781438500000005</v>
      </c>
      <c r="M397">
        <f ca="1">IF(AND(ISNUMBER($M$1061),$B$677=1),$M$1061,HLOOKUP(INDIRECT(ADDRESS(2,COLUMN())),OFFSET($BN$2,0,0,ROW()-1,60),ROW()-1,FALSE))</f>
        <v>1.004712067</v>
      </c>
      <c r="N397">
        <f ca="1">IF(AND(ISNUMBER($N$1061),$B$677=1),$N$1061,HLOOKUP(INDIRECT(ADDRESS(2,COLUMN())),OFFSET($BN$2,0,0,ROW()-1,60),ROW()-1,FALSE))</f>
        <v>0.98847854400000001</v>
      </c>
      <c r="O397">
        <f ca="1">IF(AND(ISNUMBER($O$1061),$B$677=1),$O$1061,HLOOKUP(INDIRECT(ADDRESS(2,COLUMN())),OFFSET($BN$2,0,0,ROW()-1,60),ROW()-1,FALSE))</f>
        <v>1.0351427129999999</v>
      </c>
      <c r="P397">
        <f ca="1">IF(AND(ISNUMBER($P$1061),$B$677=1),$P$1061,HLOOKUP(INDIRECT(ADDRESS(2,COLUMN())),OFFSET($BN$2,0,0,ROW()-1,60),ROW()-1,FALSE))</f>
        <v>1.0060957479999999</v>
      </c>
      <c r="Q397">
        <f ca="1">IF(AND(ISNUMBER($Q$1061),$B$677=1),$Q$1061,HLOOKUP(INDIRECT(ADDRESS(2,COLUMN())),OFFSET($BN$2,0,0,ROW()-1,60),ROW()-1,FALSE))</f>
        <v>1.048415028</v>
      </c>
      <c r="R397">
        <f ca="1">IF(AND(ISNUMBER($R$1061),$B$677=1),$R$1061,HLOOKUP(INDIRECT(ADDRESS(2,COLUMN())),OFFSET($BN$2,0,0,ROW()-1,60),ROW()-1,FALSE))</f>
        <v>1.039253419</v>
      </c>
      <c r="S397">
        <f ca="1">IF(AND(ISNUMBER($S$1061),$B$677=1),$S$1061,HLOOKUP(INDIRECT(ADDRESS(2,COLUMN())),OFFSET($BN$2,0,0,ROW()-1,60),ROW()-1,FALSE))</f>
        <v>1.0752339500000001</v>
      </c>
      <c r="T397">
        <f ca="1">IF(AND(ISNUMBER($T$1061),$B$677=1),$T$1061,HLOOKUP(INDIRECT(ADDRESS(2,COLUMN())),OFFSET($BN$2,0,0,ROW()-1,60),ROW()-1,FALSE))</f>
        <v>1.1087427729999999</v>
      </c>
      <c r="U397">
        <f ca="1">IF(AND(ISNUMBER($U$1061),$B$677=1),$U$1061,HLOOKUP(INDIRECT(ADDRESS(2,COLUMN())),OFFSET($BN$2,0,0,ROW()-1,60),ROW()-1,FALSE))</f>
        <v>1.118720911</v>
      </c>
      <c r="V397">
        <f ca="1">IF(AND(ISNUMBER($V$1061),$B$677=1),$V$1061,HLOOKUP(INDIRECT(ADDRESS(2,COLUMN())),OFFSET($BN$2,0,0,ROW()-1,60),ROW()-1,FALSE))</f>
        <v>1.104941215</v>
      </c>
      <c r="W397">
        <f ca="1">IF(AND(ISNUMBER($W$1061),$B$677=1),$W$1061,HLOOKUP(INDIRECT(ADDRESS(2,COLUMN())),OFFSET($BN$2,0,0,ROW()-1,60),ROW()-1,FALSE))</f>
        <v>1.166786828</v>
      </c>
      <c r="X397">
        <f ca="1">IF(AND(ISNUMBER($X$1061),$B$677=1),$X$1061,HLOOKUP(INDIRECT(ADDRESS(2,COLUMN())),OFFSET($BN$2,0,0,ROW()-1,60),ROW()-1,FALSE))</f>
        <v>1.1623792399999999</v>
      </c>
      <c r="Y397">
        <f ca="1">IF(AND(ISNUMBER($Y$1061),$B$677=1),$Y$1061,HLOOKUP(INDIRECT(ADDRESS(2,COLUMN())),OFFSET($BN$2,0,0,ROW()-1,60),ROW()-1,FALSE))</f>
        <v>1.195780893</v>
      </c>
      <c r="Z397">
        <f ca="1">IF(AND(ISNUMBER($Z$1061),$B$677=1),$Z$1061,HLOOKUP(INDIRECT(ADDRESS(2,COLUMN())),OFFSET($BN$2,0,0,ROW()-1,60),ROW()-1,FALSE))</f>
        <v>1.1734140159999999</v>
      </c>
      <c r="AA397">
        <f ca="1">IF(AND(ISNUMBER($AA$1061),$B$677=1),$AA$1061,HLOOKUP(INDIRECT(ADDRESS(2,COLUMN())),OFFSET($BN$2,0,0,ROW()-1,60),ROW()-1,FALSE))</f>
        <v>1.1974364</v>
      </c>
      <c r="AB397">
        <f ca="1">IF(AND(ISNUMBER($AB$1061),$B$677=1),$AB$1061,HLOOKUP(INDIRECT(ADDRESS(2,COLUMN())),OFFSET($BN$2,0,0,ROW()-1,60),ROW()-1,FALSE))</f>
        <v>1.2541877939999999</v>
      </c>
      <c r="AC397">
        <f ca="1">IF(AND(ISNUMBER($AC$1061),$B$677=1),$AC$1061,HLOOKUP(INDIRECT(ADDRESS(2,COLUMN())),OFFSET($BN$2,0,0,ROW()-1,60),ROW()-1,FALSE))</f>
        <v>1.2748442090000001</v>
      </c>
      <c r="AD397">
        <f ca="1">IF(AND(ISNUMBER($AD$1061),$B$677=1),$AD$1061,HLOOKUP(INDIRECT(ADDRESS(2,COLUMN())),OFFSET($BN$2,0,0,ROW()-1,60),ROW()-1,FALSE))</f>
        <v>1.34512191</v>
      </c>
      <c r="AE397">
        <f ca="1">IF(AND(ISNUMBER($AE$1061),$B$677=1),$AE$1061,HLOOKUP(INDIRECT(ADDRESS(2,COLUMN())),OFFSET($BN$2,0,0,ROW()-1,60),ROW()-1,FALSE))</f>
        <v>1.681852339</v>
      </c>
      <c r="AF397">
        <f ca="1">IF(AND(ISNUMBER($AF$1061),$B$677=1),$AF$1061,HLOOKUP(INDIRECT(ADDRESS(2,COLUMN())),OFFSET($BN$2,0,0,ROW()-1,60),ROW()-1,FALSE))</f>
        <v>2.2079350529999999</v>
      </c>
      <c r="AG397">
        <f ca="1">IF(AND(ISNUMBER($AG$1061),$B$677=1),$AG$1061,HLOOKUP(INDIRECT(ADDRESS(2,COLUMN())),OFFSET($BN$2,0,0,ROW()-1,60),ROW()-1,FALSE))</f>
        <v>2.0423040069999998</v>
      </c>
      <c r="AH397">
        <f ca="1">IF(AND(ISNUMBER($AH$1061),$B$677=1),$AH$1061,HLOOKUP(INDIRECT(ADDRESS(2,COLUMN())),OFFSET($BN$2,0,0,ROW()-1,60),ROW()-1,FALSE))</f>
        <v>1.7038846780000001</v>
      </c>
      <c r="AI397">
        <f ca="1">IF(AND(ISNUMBER($AI$1061),$B$677=1),$AI$1061,HLOOKUP(INDIRECT(ADDRESS(2,COLUMN())),OFFSET($BN$2,0,0,ROW()-1,60),ROW()-1,FALSE))</f>
        <v>3.1007239009999998</v>
      </c>
      <c r="AJ397">
        <f ca="1">IF(AND(ISNUMBER($AJ$1061),$B$677=1),$AJ$1061,HLOOKUP(INDIRECT(ADDRESS(2,COLUMN())),OFFSET($BN$2,0,0,ROW()-1,60),ROW()-1,FALSE))</f>
        <v>2.528127526</v>
      </c>
      <c r="AK397">
        <f ca="1">IF(AND(ISNUMBER($AK$1061),$B$677=1),$AK$1061,HLOOKUP(INDIRECT(ADDRESS(2,COLUMN())),OFFSET($BN$2,0,0,ROW()-1,60),ROW()-1,FALSE))</f>
        <v>2.111053434</v>
      </c>
      <c r="AL397">
        <f ca="1">IF(AND(ISNUMBER($AL$1061),$B$677=1),$AL$1061,HLOOKUP(INDIRECT(ADDRESS(2,COLUMN())),OFFSET($BN$2,0,0,ROW()-1,60),ROW()-1,FALSE))</f>
        <v>2.1465246950000001</v>
      </c>
      <c r="AM397">
        <f ca="1">IF(AND(ISNUMBER($AM$1061),$B$677=1),$AM$1061,HLOOKUP(INDIRECT(ADDRESS(2,COLUMN())),OFFSET($BN$2,0,0,ROW()-1,60),ROW()-1,FALSE))</f>
        <v>2.0350382960000002</v>
      </c>
      <c r="AN397">
        <f ca="1">IF(AND(ISNUMBER($AN$1061),$B$677=1),$AN$1061,HLOOKUP(INDIRECT(ADDRESS(2,COLUMN())),OFFSET($BN$2,0,0,ROW()-1,60),ROW()-1,FALSE))</f>
        <v>2.0155009380000002</v>
      </c>
      <c r="AO397">
        <f ca="1">IF(AND(ISNUMBER($AO$1061),$B$677=1),$AO$1061,HLOOKUP(INDIRECT(ADDRESS(2,COLUMN())),OFFSET($BN$2,0,0,ROW()-1,60),ROW()-1,FALSE))</f>
        <v>1.9671265630000001</v>
      </c>
      <c r="AP397">
        <f ca="1">IF(AND(ISNUMBER($AP$1061),$B$677=1),$AP$1061,HLOOKUP(INDIRECT(ADDRESS(2,COLUMN())),OFFSET($BN$2,0,0,ROW()-1,60),ROW()-1,FALSE))</f>
        <v>1.768596048</v>
      </c>
      <c r="AQ397">
        <f ca="1">IF(AND(ISNUMBER($AQ$1061),$B$677=1),$AQ$1061,HLOOKUP(INDIRECT(ADDRESS(2,COLUMN())),OFFSET($BN$2,0,0,ROW()-1,60),ROW()-1,FALSE))</f>
        <v>2.118259761</v>
      </c>
      <c r="AR397">
        <f ca="1">IF(AND(ISNUMBER($AR$1061),$B$677=1),$AR$1061,HLOOKUP(INDIRECT(ADDRESS(2,COLUMN())),OFFSET($BN$2,0,0,ROW()-1,60),ROW()-1,FALSE))</f>
        <v>2.9828834070000001</v>
      </c>
      <c r="AS397">
        <f ca="1">IF(AND(ISNUMBER($AS$1061),$B$677=1),$AS$1061,HLOOKUP(INDIRECT(ADDRESS(2,COLUMN())),OFFSET($BN$2,0,0,ROW()-1,60),ROW()-1,FALSE))</f>
        <v>2.6901181219999999</v>
      </c>
      <c r="AT397">
        <f ca="1">IF(AND(ISNUMBER($AT$1061),$B$677=1),$AT$1061,HLOOKUP(INDIRECT(ADDRESS(2,COLUMN())),OFFSET($BN$2,0,0,ROW()-1,60),ROW()-1,FALSE))</f>
        <v>3.4820704820000001</v>
      </c>
      <c r="AU397">
        <f ca="1">IF(AND(ISNUMBER($AU$1061),$B$677=1),$AU$1061,HLOOKUP(INDIRECT(ADDRESS(2,COLUMN())),OFFSET($BN$2,0,0,ROW()-1,60),ROW()-1,FALSE))</f>
        <v>3.9232357919999998</v>
      </c>
      <c r="AV397">
        <f ca="1">IF(AND(ISNUMBER($AV$1061),$B$677=1),$AV$1061,HLOOKUP(INDIRECT(ADDRESS(2,COLUMN())),OFFSET($BN$2,0,0,ROW()-1,60),ROW()-1,FALSE))</f>
        <v>1.639724811</v>
      </c>
      <c r="AW397">
        <f ca="1">IF(AND(ISNUMBER($AW$1061),$B$677=1),$AW$1061,HLOOKUP(INDIRECT(ADDRESS(2,COLUMN())),OFFSET($BN$2,0,0,ROW()-1,60),ROW()-1,FALSE))</f>
        <v>1.471309449</v>
      </c>
      <c r="AX397">
        <f ca="1">IF(AND(ISNUMBER($AX$1061),$B$677=1),$AX$1061,HLOOKUP(INDIRECT(ADDRESS(2,COLUMN())),OFFSET($BN$2,0,0,ROW()-1,60),ROW()-1,FALSE))</f>
        <v>1.5683999580000001</v>
      </c>
      <c r="AY397">
        <f ca="1">IF(AND(ISNUMBER($AY$1061),$B$677=1),$AY$1061,HLOOKUP(INDIRECT(ADDRESS(2,COLUMN())),OFFSET($BN$2,0,0,ROW()-1,60),ROW()-1,FALSE))</f>
        <v>1.4420394240000001</v>
      </c>
      <c r="AZ397">
        <f ca="1">IF(AND(ISNUMBER($AZ$1061),$B$677=1),$AZ$1061,HLOOKUP(INDIRECT(ADDRESS(2,COLUMN())),OFFSET($BN$2,0,0,ROW()-1,60),ROW()-1,FALSE))</f>
        <v>1.353142278</v>
      </c>
      <c r="BA397">
        <f ca="1">IF(AND(ISNUMBER($BA$1061),$B$677=1),$BA$1061,HLOOKUP(INDIRECT(ADDRESS(2,COLUMN())),OFFSET($BN$2,0,0,ROW()-1,60),ROW()-1,FALSE))</f>
        <v>1.329576868</v>
      </c>
      <c r="BB397">
        <f ca="1">IF(AND(ISNUMBER($BB$1061),$B$677=1),$BB$1061,HLOOKUP(INDIRECT(ADDRESS(2,COLUMN())),OFFSET($BN$2,0,0,ROW()-1,60),ROW()-1,FALSE))</f>
        <v>1.2531487809999999</v>
      </c>
      <c r="BC397">
        <f ca="1">IF(AND(ISNUMBER($BC$1061),$B$677=1),$BC$1061,HLOOKUP(INDIRECT(ADDRESS(2,COLUMN())),OFFSET($BN$2,0,0,ROW()-1,60),ROW()-1,FALSE))</f>
        <v>1.2873206660000001</v>
      </c>
      <c r="BD397">
        <f ca="1">IF(AND(ISNUMBER($BD$1061),$B$677=1),$BD$1061,HLOOKUP(INDIRECT(ADDRESS(2,COLUMN())),OFFSET($BN$2,0,0,ROW()-1,60),ROW()-1,FALSE))</f>
        <v>1.2723536310000001</v>
      </c>
      <c r="BE397">
        <f ca="1">IF(AND(ISNUMBER($BE$1061),$B$677=1),$BE$1061,HLOOKUP(INDIRECT(ADDRESS(2,COLUMN())),OFFSET($BN$2,0,0,ROW()-1,60),ROW()-1,FALSE))</f>
        <v>1.2941921999999999</v>
      </c>
      <c r="BF397">
        <f ca="1">IF(AND(ISNUMBER($BF$1061),$B$677=1),$BF$1061,HLOOKUP(INDIRECT(ADDRESS(2,COLUMN())),OFFSET($BN$2,0,0,ROW()-1,60),ROW()-1,FALSE))</f>
        <v>1.2555552699999999</v>
      </c>
      <c r="BG397">
        <f ca="1">IF(AND(ISNUMBER($BG$1061),$B$677=1),$BG$1061,HLOOKUP(INDIRECT(ADDRESS(2,COLUMN())),OFFSET($BN$2,0,0,ROW()-1,60),ROW()-1,FALSE))</f>
        <v>1.4410071550000001</v>
      </c>
      <c r="BH397">
        <f ca="1">IF(AND(ISNUMBER($BH$1061),$B$677=1),$BH$1061,HLOOKUP(INDIRECT(ADDRESS(2,COLUMN())),OFFSET($BN$2,0,0,ROW()-1,60),ROW()-1,FALSE))</f>
        <v>1.460086145</v>
      </c>
      <c r="BI397">
        <f ca="1">IF(AND(ISNUMBER($BI$1061),$B$677=1),$BI$1061,HLOOKUP(INDIRECT(ADDRESS(2,COLUMN())),OFFSET($BN$2,0,0,ROW()-1,60),ROW()-1,FALSE))</f>
        <v>1.6925115989999999</v>
      </c>
      <c r="BJ397">
        <f ca="1">IF(AND(ISNUMBER($BJ$1061),$B$677=1),$BJ$1061,HLOOKUP(INDIRECT(ADDRESS(2,COLUMN())),OFFSET($BN$2,0,0,ROW()-1,60),ROW()-1,FALSE))</f>
        <v>1.712669496</v>
      </c>
      <c r="BK397">
        <f ca="1">IF(AND(ISNUMBER($BK$1061),$B$677=1),$BK$1061,HLOOKUP(INDIRECT(ADDRESS(2,COLUMN())),OFFSET($BN$2,0,0,ROW()-1,60),ROW()-1,FALSE))</f>
        <v>2.0161109310000001</v>
      </c>
      <c r="BL397">
        <f ca="1">IF(AND(ISNUMBER($BL$1061),$B$677=1),$BL$1061,HLOOKUP(INDIRECT(ADDRESS(2,COLUMN())),OFFSET($BN$2,0,0,ROW()-1,60),ROW()-1,FALSE))</f>
        <v>1.8920991659999999</v>
      </c>
      <c r="BM397">
        <f ca="1">IF(AND(ISNUMBER($BM$1061),$B$677=1),$BM$1061,HLOOKUP(INDIRECT(ADDRESS(2,COLUMN())),OFFSET($BN$2,0,0,ROW()-1,60),ROW()-1,FALSE))</f>
        <v>1.795657056</v>
      </c>
      <c r="BN397" t="str">
        <f>""</f>
        <v/>
      </c>
      <c r="BO397">
        <f>0.934499941</f>
        <v>0.934499941</v>
      </c>
      <c r="BP397">
        <f>0.898223924</f>
        <v>0.89822392399999995</v>
      </c>
      <c r="BQ397">
        <f>0.929892871</f>
        <v>0.92989287099999995</v>
      </c>
      <c r="BR397">
        <f>0.897364654</f>
        <v>0.89736465399999998</v>
      </c>
      <c r="BS397">
        <f>0.968971345</f>
        <v>0.96897134500000004</v>
      </c>
      <c r="BT397">
        <f>0.967814385</f>
        <v>0.96781438500000005</v>
      </c>
      <c r="BU397">
        <f>1.004712067</f>
        <v>1.004712067</v>
      </c>
      <c r="BV397">
        <f>0.988478544</f>
        <v>0.98847854400000001</v>
      </c>
      <c r="BW397">
        <f>1.035142713</f>
        <v>1.0351427129999999</v>
      </c>
      <c r="BX397">
        <f>1.006095748</f>
        <v>1.0060957479999999</v>
      </c>
      <c r="BY397">
        <f>1.048415028</f>
        <v>1.048415028</v>
      </c>
      <c r="BZ397">
        <f>1.039253419</f>
        <v>1.039253419</v>
      </c>
      <c r="CA397">
        <f>1.07523395</f>
        <v>1.0752339500000001</v>
      </c>
      <c r="CB397">
        <f>1.108742773</f>
        <v>1.1087427729999999</v>
      </c>
      <c r="CC397">
        <f>1.118720911</f>
        <v>1.118720911</v>
      </c>
      <c r="CD397">
        <f>1.104941215</f>
        <v>1.104941215</v>
      </c>
      <c r="CE397">
        <f>1.166786828</f>
        <v>1.166786828</v>
      </c>
      <c r="CF397">
        <f>1.16237924</f>
        <v>1.1623792399999999</v>
      </c>
      <c r="CG397">
        <f>1.195780893</f>
        <v>1.195780893</v>
      </c>
      <c r="CH397">
        <f>1.173414016</f>
        <v>1.1734140159999999</v>
      </c>
      <c r="CI397">
        <f>1.1974364</f>
        <v>1.1974364</v>
      </c>
      <c r="CJ397">
        <f>1.254187794</f>
        <v>1.2541877939999999</v>
      </c>
      <c r="CK397">
        <f>1.274844209</f>
        <v>1.2748442090000001</v>
      </c>
      <c r="CL397">
        <f>1.34512191</f>
        <v>1.34512191</v>
      </c>
      <c r="CM397">
        <f>1.681852339</f>
        <v>1.681852339</v>
      </c>
      <c r="CN397">
        <f>2.207935053</f>
        <v>2.2079350529999999</v>
      </c>
      <c r="CO397">
        <f>2.042304007</f>
        <v>2.0423040069999998</v>
      </c>
      <c r="CP397">
        <f>1.703884678</f>
        <v>1.7038846780000001</v>
      </c>
      <c r="CQ397">
        <f>3.100723901</f>
        <v>3.1007239009999998</v>
      </c>
      <c r="CR397">
        <f>2.528127526</f>
        <v>2.528127526</v>
      </c>
      <c r="CS397">
        <f>2.111053434</f>
        <v>2.111053434</v>
      </c>
      <c r="CT397">
        <f>2.146524695</f>
        <v>2.1465246950000001</v>
      </c>
      <c r="CU397">
        <f>2.035038296</f>
        <v>2.0350382960000002</v>
      </c>
      <c r="CV397">
        <f>2.015500938</f>
        <v>2.0155009380000002</v>
      </c>
      <c r="CW397">
        <f>1.967126563</f>
        <v>1.9671265630000001</v>
      </c>
      <c r="CX397">
        <f>1.768596048</f>
        <v>1.768596048</v>
      </c>
      <c r="CY397">
        <f>2.118259761</f>
        <v>2.118259761</v>
      </c>
      <c r="CZ397">
        <f>2.982883407</f>
        <v>2.9828834070000001</v>
      </c>
      <c r="DA397">
        <f>2.690118122</f>
        <v>2.6901181219999999</v>
      </c>
      <c r="DB397">
        <f>3.482070482</f>
        <v>3.4820704820000001</v>
      </c>
      <c r="DC397">
        <f>3.923235792</f>
        <v>3.9232357919999998</v>
      </c>
      <c r="DD397">
        <f>1.639724811</f>
        <v>1.639724811</v>
      </c>
      <c r="DE397">
        <f>1.471309449</f>
        <v>1.471309449</v>
      </c>
      <c r="DF397">
        <f>1.568399958</f>
        <v>1.5683999580000001</v>
      </c>
      <c r="DG397">
        <f>1.442039424</f>
        <v>1.4420394240000001</v>
      </c>
      <c r="DH397">
        <f>1.353142278</f>
        <v>1.353142278</v>
      </c>
      <c r="DI397">
        <f>1.329576868</f>
        <v>1.329576868</v>
      </c>
      <c r="DJ397">
        <f>1.253148781</f>
        <v>1.2531487809999999</v>
      </c>
      <c r="DK397">
        <f>1.287320666</f>
        <v>1.2873206660000001</v>
      </c>
      <c r="DL397">
        <f>1.272353631</f>
        <v>1.2723536310000001</v>
      </c>
      <c r="DM397">
        <f>1.2941922</f>
        <v>1.2941921999999999</v>
      </c>
      <c r="DN397">
        <f>1.25555527</f>
        <v>1.2555552699999999</v>
      </c>
      <c r="DO397">
        <f>1.441007155</f>
        <v>1.4410071550000001</v>
      </c>
      <c r="DP397">
        <f>1.460086145</f>
        <v>1.460086145</v>
      </c>
      <c r="DQ397">
        <f>1.692511599</f>
        <v>1.6925115989999999</v>
      </c>
      <c r="DR397">
        <f>1.712669496</f>
        <v>1.712669496</v>
      </c>
      <c r="DS397">
        <f>2.016110931</f>
        <v>2.0161109310000001</v>
      </c>
      <c r="DT397">
        <f>1.892099166</f>
        <v>1.8920991659999999</v>
      </c>
      <c r="DU397">
        <f>1.795657056</f>
        <v>1.795657056</v>
      </c>
    </row>
    <row r="398" spans="1:125" x14ac:dyDescent="0.25">
      <c r="A398" t="str">
        <f>"    Mitsubishi Motors Corp"</f>
        <v xml:space="preserve">    Mitsubishi Motors Corp</v>
      </c>
      <c r="B398" t="str">
        <f>"7211 JP Equity"</f>
        <v>7211 JP Equity</v>
      </c>
      <c r="C398" t="str">
        <f t="shared" si="27"/>
        <v>RR480</v>
      </c>
      <c r="D398" t="str">
        <f t="shared" si="28"/>
        <v>EV_TO_MKT_CAP</v>
      </c>
      <c r="E398" t="str">
        <f t="shared" si="29"/>
        <v>Dynamic</v>
      </c>
      <c r="F398" t="str">
        <f ca="1">IF(AND(ISNUMBER($F$1062),$B$677=1),$F$1062,HLOOKUP(INDIRECT(ADDRESS(2,COLUMN())),OFFSET($BN$2,0,0,ROW()-1,60),ROW()-1,FALSE))</f>
        <v/>
      </c>
      <c r="G398">
        <f ca="1">IF(AND(ISNUMBER($G$1062),$B$677=1),$G$1062,HLOOKUP(INDIRECT(ADDRESS(2,COLUMN())),OFFSET($BN$2,0,0,ROW()-1,60),ROW()-1,FALSE))</f>
        <v>0.78148014799999999</v>
      </c>
      <c r="H398">
        <f ca="1">IF(AND(ISNUMBER($H$1062),$B$677=1),$H$1062,HLOOKUP(INDIRECT(ADDRESS(2,COLUMN())),OFFSET($BN$2,0,0,ROW()-1,60),ROW()-1,FALSE))</f>
        <v>0.80092693999999998</v>
      </c>
      <c r="I398">
        <f ca="1">IF(AND(ISNUMBER($I$1062),$B$677=1),$I$1062,HLOOKUP(INDIRECT(ADDRESS(2,COLUMN())),OFFSET($BN$2,0,0,ROW()-1,60),ROW()-1,FALSE))</f>
        <v>0.83425411800000004</v>
      </c>
      <c r="J398">
        <f ca="1">IF(AND(ISNUMBER($J$1062),$B$677=1),$J$1062,HLOOKUP(INDIRECT(ADDRESS(2,COLUMN())),OFFSET($BN$2,0,0,ROW()-1,60),ROW()-1,FALSE))</f>
        <v>0.54118119899999995</v>
      </c>
      <c r="K398">
        <f ca="1">IF(AND(ISNUMBER($K$1062),$B$677=1),$K$1062,HLOOKUP(INDIRECT(ADDRESS(2,COLUMN())),OFFSET($BN$2,0,0,ROW()-1,60),ROW()-1,FALSE))</f>
        <v>0.60100801999999998</v>
      </c>
      <c r="L398">
        <f ca="1">IF(AND(ISNUMBER($L$1062),$B$677=1),$L$1062,HLOOKUP(INDIRECT(ADDRESS(2,COLUMN())),OFFSET($BN$2,0,0,ROW()-1,60),ROW()-1,FALSE))</f>
        <v>0.64085913100000003</v>
      </c>
      <c r="M398">
        <f ca="1">IF(AND(ISNUMBER($M$1062),$B$677=1),$M$1062,HLOOKUP(INDIRECT(ADDRESS(2,COLUMN())),OFFSET($BN$2,0,0,ROW()-1,60),ROW()-1,FALSE))</f>
        <v>0.57300750199999995</v>
      </c>
      <c r="N398">
        <f ca="1">IF(AND(ISNUMBER($N$1062),$B$677=1),$N$1062,HLOOKUP(INDIRECT(ADDRESS(2,COLUMN())),OFFSET($BN$2,0,0,ROW()-1,60),ROW()-1,FALSE))</f>
        <v>0.48085576800000002</v>
      </c>
      <c r="O398">
        <f ca="1">IF(AND(ISNUMBER($O$1062),$B$677=1),$O$1062,HLOOKUP(INDIRECT(ADDRESS(2,COLUMN())),OFFSET($BN$2,0,0,ROW()-1,60),ROW()-1,FALSE))</f>
        <v>0.46783097800000001</v>
      </c>
      <c r="P398">
        <f ca="1">IF(AND(ISNUMBER($P$1062),$B$677=1),$P$1062,HLOOKUP(INDIRECT(ADDRESS(2,COLUMN())),OFFSET($BN$2,0,0,ROW()-1,60),ROW()-1,FALSE))</f>
        <v>0.353067034</v>
      </c>
      <c r="Q398">
        <f ca="1">IF(AND(ISNUMBER($Q$1062),$B$677=1),$Q$1062,HLOOKUP(INDIRECT(ADDRESS(2,COLUMN())),OFFSET($BN$2,0,0,ROW()-1,60),ROW()-1,FALSE))</f>
        <v>0.20834212599999999</v>
      </c>
      <c r="R398">
        <f ca="1">IF(AND(ISNUMBER($R$1062),$B$677=1),$R$1062,HLOOKUP(INDIRECT(ADDRESS(2,COLUMN())),OFFSET($BN$2,0,0,ROW()-1,60),ROW()-1,FALSE))</f>
        <v>0.518549119</v>
      </c>
      <c r="S398">
        <f ca="1">IF(AND(ISNUMBER($S$1062),$B$677=1),$S$1062,HLOOKUP(INDIRECT(ADDRESS(2,COLUMN())),OFFSET($BN$2,0,0,ROW()-1,60),ROW()-1,FALSE))</f>
        <v>0.56829956000000004</v>
      </c>
      <c r="T398">
        <f ca="1">IF(AND(ISNUMBER($T$1062),$B$677=1),$T$1062,HLOOKUP(INDIRECT(ADDRESS(2,COLUMN())),OFFSET($BN$2,0,0,ROW()-1,60),ROW()-1,FALSE))</f>
        <v>0.58711434399999995</v>
      </c>
      <c r="U398">
        <f ca="1">IF(AND(ISNUMBER($U$1062),$B$677=1),$U$1062,HLOOKUP(INDIRECT(ADDRESS(2,COLUMN())),OFFSET($BN$2,0,0,ROW()-1,60),ROW()-1,FALSE))</f>
        <v>0.74760146100000002</v>
      </c>
      <c r="V398">
        <f ca="1">IF(AND(ISNUMBER($V$1062),$B$677=1),$V$1062,HLOOKUP(INDIRECT(ADDRESS(2,COLUMN())),OFFSET($BN$2,0,0,ROW()-1,60),ROW()-1,FALSE))</f>
        <v>0.74817915599999996</v>
      </c>
      <c r="W398">
        <f ca="1">IF(AND(ISNUMBER($W$1062),$B$677=1),$W$1062,HLOOKUP(INDIRECT(ADDRESS(2,COLUMN())),OFFSET($BN$2,0,0,ROW()-1,60),ROW()-1,FALSE))</f>
        <v>0.73298731699999997</v>
      </c>
      <c r="X398">
        <f ca="1">IF(AND(ISNUMBER($X$1062),$B$677=1),$X$1062,HLOOKUP(INDIRECT(ADDRESS(2,COLUMN())),OFFSET($BN$2,0,0,ROW()-1,60),ROW()-1,FALSE))</f>
        <v>0.81845801699999998</v>
      </c>
      <c r="Y398">
        <f ca="1">IF(AND(ISNUMBER($Y$1062),$B$677=1),$Y$1062,HLOOKUP(INDIRECT(ADDRESS(2,COLUMN())),OFFSET($BN$2,0,0,ROW()-1,60),ROW()-1,FALSE))</f>
        <v>0.802214011</v>
      </c>
      <c r="Z398">
        <f ca="1">IF(AND(ISNUMBER($Z$1062),$B$677=1),$Z$1062,HLOOKUP(INDIRECT(ADDRESS(2,COLUMN())),OFFSET($BN$2,0,0,ROW()-1,60),ROW()-1,FALSE))</f>
        <v>0.82316146300000004</v>
      </c>
      <c r="AA398">
        <f ca="1">IF(AND(ISNUMBER($AA$1062),$B$677=1),$AA$1062,HLOOKUP(INDIRECT(ADDRESS(2,COLUMN())),OFFSET($BN$2,0,0,ROW()-1,60),ROW()-1,FALSE))</f>
        <v>1.329534668</v>
      </c>
      <c r="AB398">
        <f ca="1">IF(AND(ISNUMBER($AB$1062),$B$677=1),$AB$1062,HLOOKUP(INDIRECT(ADDRESS(2,COLUMN())),OFFSET($BN$2,0,0,ROW()-1,60),ROW()-1,FALSE))</f>
        <v>1.5078586140000001</v>
      </c>
      <c r="AC398">
        <f ca="1">IF(AND(ISNUMBER($AC$1062),$B$677=1),$AC$1062,HLOOKUP(INDIRECT(ADDRESS(2,COLUMN())),OFFSET($BN$2,0,0,ROW()-1,60),ROW()-1,FALSE))</f>
        <v>1.4311309299999999</v>
      </c>
      <c r="AD398">
        <f ca="1">IF(AND(ISNUMBER($AD$1062),$B$677=1),$AD$1062,HLOOKUP(INDIRECT(ADDRESS(2,COLUMN())),OFFSET($BN$2,0,0,ROW()-1,60),ROW()-1,FALSE))</f>
        <v>1.6607979690000001</v>
      </c>
      <c r="AE398">
        <f ca="1">IF(AND(ISNUMBER($AE$1062),$B$677=1),$AE$1062,HLOOKUP(INDIRECT(ADDRESS(2,COLUMN())),OFFSET($BN$2,0,0,ROW()-1,60),ROW()-1,FALSE))</f>
        <v>1.799393298</v>
      </c>
      <c r="AF398">
        <f ca="1">IF(AND(ISNUMBER($AF$1062),$B$677=1),$AF$1062,HLOOKUP(INDIRECT(ADDRESS(2,COLUMN())),OFFSET($BN$2,0,0,ROW()-1,60),ROW()-1,FALSE))</f>
        <v>2.0573635970000002</v>
      </c>
      <c r="AG398">
        <f ca="1">IF(AND(ISNUMBER($AG$1062),$B$677=1),$AG$1062,HLOOKUP(INDIRECT(ADDRESS(2,COLUMN())),OFFSET($BN$2,0,0,ROW()-1,60),ROW()-1,FALSE))</f>
        <v>2.0087070800000002</v>
      </c>
      <c r="AH398">
        <f ca="1">IF(AND(ISNUMBER($AH$1062),$B$677=1),$AH$1062,HLOOKUP(INDIRECT(ADDRESS(2,COLUMN())),OFFSET($BN$2,0,0,ROW()-1,60),ROW()-1,FALSE))</f>
        <v>1.9914687019999999</v>
      </c>
      <c r="AI398">
        <f ca="1">IF(AND(ISNUMBER($AI$1062),$B$677=1),$AI$1062,HLOOKUP(INDIRECT(ADDRESS(2,COLUMN())),OFFSET($BN$2,0,0,ROW()-1,60),ROW()-1,FALSE))</f>
        <v>2.0525781460000001</v>
      </c>
      <c r="AJ398">
        <f ca="1">IF(AND(ISNUMBER($AJ$1062),$B$677=1),$AJ$1062,HLOOKUP(INDIRECT(ADDRESS(2,COLUMN())),OFFSET($BN$2,0,0,ROW()-1,60),ROW()-1,FALSE))</f>
        <v>1.9033939849999999</v>
      </c>
      <c r="AK398">
        <f ca="1">IF(AND(ISNUMBER($AK$1062),$B$677=1),$AK$1062,HLOOKUP(INDIRECT(ADDRESS(2,COLUMN())),OFFSET($BN$2,0,0,ROW()-1,60),ROW()-1,FALSE))</f>
        <v>1.96986656</v>
      </c>
      <c r="AL398">
        <f ca="1">IF(AND(ISNUMBER($AL$1062),$B$677=1),$AL$1062,HLOOKUP(INDIRECT(ADDRESS(2,COLUMN())),OFFSET($BN$2,0,0,ROW()-1,60),ROW()-1,FALSE))</f>
        <v>1.995913641</v>
      </c>
      <c r="AM398">
        <f ca="1">IF(AND(ISNUMBER($AM$1062),$B$677=1),$AM$1062,HLOOKUP(INDIRECT(ADDRESS(2,COLUMN())),OFFSET($BN$2,0,0,ROW()-1,60),ROW()-1,FALSE))</f>
        <v>1.802646594</v>
      </c>
      <c r="AN398">
        <f ca="1">IF(AND(ISNUMBER($AN$1062),$B$677=1),$AN$1062,HLOOKUP(INDIRECT(ADDRESS(2,COLUMN())),OFFSET($BN$2,0,0,ROW()-1,60),ROW()-1,FALSE))</f>
        <v>1.8871612310000001</v>
      </c>
      <c r="AO398">
        <f ca="1">IF(AND(ISNUMBER($AO$1062),$B$677=1),$AO$1062,HLOOKUP(INDIRECT(ADDRESS(2,COLUMN())),OFFSET($BN$2,0,0,ROW()-1,60),ROW()-1,FALSE))</f>
        <v>1.8941476779999999</v>
      </c>
      <c r="AP398">
        <f ca="1">IF(AND(ISNUMBER($AP$1062),$B$677=1),$AP$1062,HLOOKUP(INDIRECT(ADDRESS(2,COLUMN())),OFFSET($BN$2,0,0,ROW()-1,60),ROW()-1,FALSE))</f>
        <v>1.8548514089999999</v>
      </c>
      <c r="AQ398">
        <f ca="1">IF(AND(ISNUMBER($AQ$1062),$B$677=1),$AQ$1062,HLOOKUP(INDIRECT(ADDRESS(2,COLUMN())),OFFSET($BN$2,0,0,ROW()-1,60),ROW()-1,FALSE))</f>
        <v>1.875236093</v>
      </c>
      <c r="AR398">
        <f ca="1">IF(AND(ISNUMBER($AR$1062),$B$677=1),$AR$1062,HLOOKUP(INDIRECT(ADDRESS(2,COLUMN())),OFFSET($BN$2,0,0,ROW()-1,60),ROW()-1,FALSE))</f>
        <v>1.796458951</v>
      </c>
      <c r="AS398">
        <f ca="1">IF(AND(ISNUMBER($AS$1062),$B$677=1),$AS$1062,HLOOKUP(INDIRECT(ADDRESS(2,COLUMN())),OFFSET($BN$2,0,0,ROW()-1,60),ROW()-1,FALSE))</f>
        <v>1.6507384039999999</v>
      </c>
      <c r="AT398">
        <f ca="1">IF(AND(ISNUMBER($AT$1062),$B$677=1),$AT$1062,HLOOKUP(INDIRECT(ADDRESS(2,COLUMN())),OFFSET($BN$2,0,0,ROW()-1,60),ROW()-1,FALSE))</f>
        <v>1.9688904380000001</v>
      </c>
      <c r="AU398">
        <f ca="1">IF(AND(ISNUMBER($AU$1062),$B$677=1),$AU$1062,HLOOKUP(INDIRECT(ADDRESS(2,COLUMN())),OFFSET($BN$2,0,0,ROW()-1,60),ROW()-1,FALSE))</f>
        <v>1.796265851</v>
      </c>
      <c r="AV398">
        <f ca="1">IF(AND(ISNUMBER($AV$1062),$B$677=1),$AV$1062,HLOOKUP(INDIRECT(ADDRESS(2,COLUMN())),OFFSET($BN$2,0,0,ROW()-1,60),ROW()-1,FALSE))</f>
        <v>1.4825318160000001</v>
      </c>
      <c r="AW398">
        <f ca="1">IF(AND(ISNUMBER($AW$1062),$B$677=1),$AW$1062,HLOOKUP(INDIRECT(ADDRESS(2,COLUMN())),OFFSET($BN$2,0,0,ROW()-1,60),ROW()-1,FALSE))</f>
        <v>1.389514889</v>
      </c>
      <c r="AX398">
        <f ca="1">IF(AND(ISNUMBER($AX$1062),$B$677=1),$AX$1062,HLOOKUP(INDIRECT(ADDRESS(2,COLUMN())),OFFSET($BN$2,0,0,ROW()-1,60),ROW()-1,FALSE))</f>
        <v>1.4908335020000001</v>
      </c>
      <c r="AY398">
        <f ca="1">IF(AND(ISNUMBER($AY$1062),$B$677=1),$AY$1062,HLOOKUP(INDIRECT(ADDRESS(2,COLUMN())),OFFSET($BN$2,0,0,ROW()-1,60),ROW()-1,FALSE))</f>
        <v>1.4310080860000001</v>
      </c>
      <c r="AZ398">
        <f ca="1">IF(AND(ISNUMBER($AZ$1062),$B$677=1),$AZ$1062,HLOOKUP(INDIRECT(ADDRESS(2,COLUMN())),OFFSET($BN$2,0,0,ROW()-1,60),ROW()-1,FALSE))</f>
        <v>1.5000244220000001</v>
      </c>
      <c r="BA398">
        <f ca="1">IF(AND(ISNUMBER($BA$1062),$B$677=1),$BA$1062,HLOOKUP(INDIRECT(ADDRESS(2,COLUMN())),OFFSET($BN$2,0,0,ROW()-1,60),ROW()-1,FALSE))</f>
        <v>1.510309342</v>
      </c>
      <c r="BB398">
        <f ca="1">IF(AND(ISNUMBER($BB$1062),$B$677=1),$BB$1062,HLOOKUP(INDIRECT(ADDRESS(2,COLUMN())),OFFSET($BN$2,0,0,ROW()-1,60),ROW()-1,FALSE))</f>
        <v>1.5820214909999999</v>
      </c>
      <c r="BC398">
        <f ca="1">IF(AND(ISNUMBER($BC$1062),$B$677=1),$BC$1062,HLOOKUP(INDIRECT(ADDRESS(2,COLUMN())),OFFSET($BN$2,0,0,ROW()-1,60),ROW()-1,FALSE))</f>
        <v>1.614472538</v>
      </c>
      <c r="BD398">
        <f ca="1">IF(AND(ISNUMBER($BD$1062),$B$677=1),$BD$1062,HLOOKUP(INDIRECT(ADDRESS(2,COLUMN())),OFFSET($BN$2,0,0,ROW()-1,60),ROW()-1,FALSE))</f>
        <v>1.6304691870000001</v>
      </c>
      <c r="BE398">
        <f ca="1">IF(AND(ISNUMBER($BE$1062),$B$677=1),$BE$1062,HLOOKUP(INDIRECT(ADDRESS(2,COLUMN())),OFFSET($BN$2,0,0,ROW()-1,60),ROW()-1,FALSE))</f>
        <v>1.5447666790000001</v>
      </c>
      <c r="BF398">
        <f ca="1">IF(AND(ISNUMBER($BF$1062),$B$677=1),$BF$1062,HLOOKUP(INDIRECT(ADDRESS(2,COLUMN())),OFFSET($BN$2,0,0,ROW()-1,60),ROW()-1,FALSE))</f>
        <v>1.466970737</v>
      </c>
      <c r="BG398" t="str">
        <f ca="1">IF(AND(ISNUMBER($BG$1062),$B$677=1),$BG$1062,HLOOKUP(INDIRECT(ADDRESS(2,COLUMN())),OFFSET($BN$2,0,0,ROW()-1,60),ROW()-1,FALSE))</f>
        <v/>
      </c>
      <c r="BH398">
        <f ca="1">IF(AND(ISNUMBER($BH$1062),$B$677=1),$BH$1062,HLOOKUP(INDIRECT(ADDRESS(2,COLUMN())),OFFSET($BN$2,0,0,ROW()-1,60),ROW()-1,FALSE))</f>
        <v>2.1792216600000001</v>
      </c>
      <c r="BI398" t="str">
        <f ca="1">IF(AND(ISNUMBER($BI$1062),$B$677=1),$BI$1062,HLOOKUP(INDIRECT(ADDRESS(2,COLUMN())),OFFSET($BN$2,0,0,ROW()-1,60),ROW()-1,FALSE))</f>
        <v/>
      </c>
      <c r="BJ398">
        <f ca="1">IF(AND(ISNUMBER($BJ$1062),$B$677=1),$BJ$1062,HLOOKUP(INDIRECT(ADDRESS(2,COLUMN())),OFFSET($BN$2,0,0,ROW()-1,60),ROW()-1,FALSE))</f>
        <v>2.1682100320000002</v>
      </c>
      <c r="BK398" t="str">
        <f ca="1">IF(AND(ISNUMBER($BK$1062),$B$677=1),$BK$1062,HLOOKUP(INDIRECT(ADDRESS(2,COLUMN())),OFFSET($BN$2,0,0,ROW()-1,60),ROW()-1,FALSE))</f>
        <v/>
      </c>
      <c r="BL398">
        <f ca="1">IF(AND(ISNUMBER($BL$1062),$B$677=1),$BL$1062,HLOOKUP(INDIRECT(ADDRESS(2,COLUMN())),OFFSET($BN$2,0,0,ROW()-1,60),ROW()-1,FALSE))</f>
        <v>4.1783390850000002</v>
      </c>
      <c r="BM398" t="str">
        <f ca="1">IF(AND(ISNUMBER($BM$1062),$B$677=1),$BM$1062,HLOOKUP(INDIRECT(ADDRESS(2,COLUMN())),OFFSET($BN$2,0,0,ROW()-1,60),ROW()-1,FALSE))</f>
        <v/>
      </c>
      <c r="BN398" t="str">
        <f>""</f>
        <v/>
      </c>
      <c r="BO398">
        <f>0.781480148</f>
        <v>0.78148014799999999</v>
      </c>
      <c r="BP398">
        <f>0.80092694</f>
        <v>0.80092693999999998</v>
      </c>
      <c r="BQ398">
        <f>0.834254118</f>
        <v>0.83425411800000004</v>
      </c>
      <c r="BR398">
        <f>0.541181199</f>
        <v>0.54118119899999995</v>
      </c>
      <c r="BS398">
        <f>0.60100802</f>
        <v>0.60100801999999998</v>
      </c>
      <c r="BT398">
        <f>0.640859131</f>
        <v>0.64085913100000003</v>
      </c>
      <c r="BU398">
        <f>0.573007502</f>
        <v>0.57300750199999995</v>
      </c>
      <c r="BV398">
        <f>0.480855768</f>
        <v>0.48085576800000002</v>
      </c>
      <c r="BW398">
        <f>0.467830978</f>
        <v>0.46783097800000001</v>
      </c>
      <c r="BX398">
        <f>0.353067034</f>
        <v>0.353067034</v>
      </c>
      <c r="BY398">
        <f>0.208342126</f>
        <v>0.20834212599999999</v>
      </c>
      <c r="BZ398">
        <f>0.518549119</f>
        <v>0.518549119</v>
      </c>
      <c r="CA398">
        <f>0.56829956</f>
        <v>0.56829956000000004</v>
      </c>
      <c r="CB398">
        <f>0.587114344</f>
        <v>0.58711434399999995</v>
      </c>
      <c r="CC398">
        <f>0.747601461</f>
        <v>0.74760146100000002</v>
      </c>
      <c r="CD398">
        <f>0.748179156</f>
        <v>0.74817915599999996</v>
      </c>
      <c r="CE398">
        <f>0.732987317</f>
        <v>0.73298731699999997</v>
      </c>
      <c r="CF398">
        <f>0.818458017</f>
        <v>0.81845801699999998</v>
      </c>
      <c r="CG398">
        <f>0.802214011</f>
        <v>0.802214011</v>
      </c>
      <c r="CH398">
        <f>0.823161463</f>
        <v>0.82316146300000004</v>
      </c>
      <c r="CI398">
        <f>1.329534668</f>
        <v>1.329534668</v>
      </c>
      <c r="CJ398">
        <f>1.507858614</f>
        <v>1.5078586140000001</v>
      </c>
      <c r="CK398">
        <f>1.43113093</f>
        <v>1.4311309299999999</v>
      </c>
      <c r="CL398">
        <f>1.660797969</f>
        <v>1.6607979690000001</v>
      </c>
      <c r="CM398">
        <f>1.799393298</f>
        <v>1.799393298</v>
      </c>
      <c r="CN398">
        <f>2.057363597</f>
        <v>2.0573635970000002</v>
      </c>
      <c r="CO398">
        <f>2.00870708</f>
        <v>2.0087070800000002</v>
      </c>
      <c r="CP398">
        <f>1.991468702</f>
        <v>1.9914687019999999</v>
      </c>
      <c r="CQ398">
        <f>2.052578146</f>
        <v>2.0525781460000001</v>
      </c>
      <c r="CR398">
        <f>1.903393985</f>
        <v>1.9033939849999999</v>
      </c>
      <c r="CS398">
        <f>1.96986656</f>
        <v>1.96986656</v>
      </c>
      <c r="CT398">
        <f>1.995913641</f>
        <v>1.995913641</v>
      </c>
      <c r="CU398">
        <f>1.802646594</f>
        <v>1.802646594</v>
      </c>
      <c r="CV398">
        <f>1.887161231</f>
        <v>1.8871612310000001</v>
      </c>
      <c r="CW398">
        <f>1.894147678</f>
        <v>1.8941476779999999</v>
      </c>
      <c r="CX398">
        <f>1.854851409</f>
        <v>1.8548514089999999</v>
      </c>
      <c r="CY398">
        <f>1.875236093</f>
        <v>1.875236093</v>
      </c>
      <c r="CZ398">
        <f>1.796458951</f>
        <v>1.796458951</v>
      </c>
      <c r="DA398">
        <f>1.650738404</f>
        <v>1.6507384039999999</v>
      </c>
      <c r="DB398">
        <f>1.968890438</f>
        <v>1.9688904380000001</v>
      </c>
      <c r="DC398">
        <f>1.796265851</f>
        <v>1.796265851</v>
      </c>
      <c r="DD398">
        <f>1.482531816</f>
        <v>1.4825318160000001</v>
      </c>
      <c r="DE398">
        <f>1.389514889</f>
        <v>1.389514889</v>
      </c>
      <c r="DF398">
        <f>1.490833502</f>
        <v>1.4908335020000001</v>
      </c>
      <c r="DG398">
        <f>1.431008086</f>
        <v>1.4310080860000001</v>
      </c>
      <c r="DH398">
        <f>1.500024422</f>
        <v>1.5000244220000001</v>
      </c>
      <c r="DI398">
        <f>1.510309342</f>
        <v>1.510309342</v>
      </c>
      <c r="DJ398">
        <f>1.582021491</f>
        <v>1.5820214909999999</v>
      </c>
      <c r="DK398">
        <f>1.614472538</f>
        <v>1.614472538</v>
      </c>
      <c r="DL398">
        <f>1.630469187</f>
        <v>1.6304691870000001</v>
      </c>
      <c r="DM398">
        <f>1.544766679</f>
        <v>1.5447666790000001</v>
      </c>
      <c r="DN398">
        <f>1.466970737</f>
        <v>1.466970737</v>
      </c>
      <c r="DO398" t="str">
        <f>""</f>
        <v/>
      </c>
      <c r="DP398">
        <f>2.17922166</f>
        <v>2.1792216600000001</v>
      </c>
      <c r="DQ398" t="str">
        <f>""</f>
        <v/>
      </c>
      <c r="DR398">
        <f>2.168210032</f>
        <v>2.1682100320000002</v>
      </c>
      <c r="DS398" t="str">
        <f>""</f>
        <v/>
      </c>
      <c r="DT398">
        <f>4.178339085</f>
        <v>4.1783390850000002</v>
      </c>
      <c r="DU398" t="str">
        <f>""</f>
        <v/>
      </c>
    </row>
    <row r="399" spans="1:125" x14ac:dyDescent="0.25">
      <c r="A399" t="str">
        <f>"    Nissan Motor Co Ltd"</f>
        <v xml:space="preserve">    Nissan Motor Co Ltd</v>
      </c>
      <c r="B399" t="str">
        <f>"7201 JP Equity"</f>
        <v>7201 JP Equity</v>
      </c>
      <c r="C399" t="str">
        <f t="shared" si="27"/>
        <v>RR480</v>
      </c>
      <c r="D399" t="str">
        <f t="shared" si="28"/>
        <v>EV_TO_MKT_CAP</v>
      </c>
      <c r="E399" t="str">
        <f t="shared" si="29"/>
        <v>Dynamic</v>
      </c>
      <c r="F399" t="str">
        <f ca="1">IF(AND(ISNUMBER($F$1063),$B$677=1),$F$1063,HLOOKUP(INDIRECT(ADDRESS(2,COLUMN())),OFFSET($BN$2,0,0,ROW()-1,60),ROW()-1,FALSE))</f>
        <v/>
      </c>
      <c r="G399">
        <f ca="1">IF(AND(ISNUMBER($G$1063),$B$677=1),$G$1063,HLOOKUP(INDIRECT(ADDRESS(2,COLUMN())),OFFSET($BN$2,0,0,ROW()-1,60),ROW()-1,FALSE))</f>
        <v>0.70024378799999998</v>
      </c>
      <c r="H399">
        <f ca="1">IF(AND(ISNUMBER($H$1063),$B$677=1),$H$1063,HLOOKUP(INDIRECT(ADDRESS(2,COLUMN())),OFFSET($BN$2,0,0,ROW()-1,60),ROW()-1,FALSE))</f>
        <v>0.69606987899999995</v>
      </c>
      <c r="I399">
        <f ca="1">IF(AND(ISNUMBER($I$1063),$B$677=1),$I$1063,HLOOKUP(INDIRECT(ADDRESS(2,COLUMN())),OFFSET($BN$2,0,0,ROW()-1,60),ROW()-1,FALSE))</f>
        <v>0.700926084</v>
      </c>
      <c r="J399">
        <f ca="1">IF(AND(ISNUMBER($J$1063),$B$677=1),$J$1063,HLOOKUP(INDIRECT(ADDRESS(2,COLUMN())),OFFSET($BN$2,0,0,ROW()-1,60),ROW()-1,FALSE))</f>
        <v>0.66058981000000006</v>
      </c>
      <c r="K399">
        <f ca="1">IF(AND(ISNUMBER($K$1063),$B$677=1),$K$1063,HLOOKUP(INDIRECT(ADDRESS(2,COLUMN())),OFFSET($BN$2,0,0,ROW()-1,60),ROW()-1,FALSE))</f>
        <v>0.76740982700000004</v>
      </c>
      <c r="L399">
        <f ca="1">IF(AND(ISNUMBER($L$1063),$B$677=1),$L$1063,HLOOKUP(INDIRECT(ADDRESS(2,COLUMN())),OFFSET($BN$2,0,0,ROW()-1,60),ROW()-1,FALSE))</f>
        <v>0.66177887599999996</v>
      </c>
      <c r="M399">
        <f ca="1">IF(AND(ISNUMBER($M$1063),$B$677=1),$M$1063,HLOOKUP(INDIRECT(ADDRESS(2,COLUMN())),OFFSET($BN$2,0,0,ROW()-1,60),ROW()-1,FALSE))</f>
        <v>0.69055926099999998</v>
      </c>
      <c r="N399">
        <f ca="1">IF(AND(ISNUMBER($N$1063),$B$677=1),$N$1063,HLOOKUP(INDIRECT(ADDRESS(2,COLUMN())),OFFSET($BN$2,0,0,ROW()-1,60),ROW()-1,FALSE))</f>
        <v>0.68256781099999997</v>
      </c>
      <c r="O399">
        <f ca="1">IF(AND(ISNUMBER($O$1063),$B$677=1),$O$1063,HLOOKUP(INDIRECT(ADDRESS(2,COLUMN())),OFFSET($BN$2,0,0,ROW()-1,60),ROW()-1,FALSE))</f>
        <v>0.859256464</v>
      </c>
      <c r="P399">
        <f ca="1">IF(AND(ISNUMBER($P$1063),$B$677=1),$P$1063,HLOOKUP(INDIRECT(ADDRESS(2,COLUMN())),OFFSET($BN$2,0,0,ROW()-1,60),ROW()-1,FALSE))</f>
        <v>0.76945553099999997</v>
      </c>
      <c r="Q399">
        <f ca="1">IF(AND(ISNUMBER($Q$1063),$B$677=1),$Q$1063,HLOOKUP(INDIRECT(ADDRESS(2,COLUMN())),OFFSET($BN$2,0,0,ROW()-1,60),ROW()-1,FALSE))</f>
        <v>0.74223686300000002</v>
      </c>
      <c r="R399">
        <f ca="1">IF(AND(ISNUMBER($R$1063),$B$677=1),$R$1063,HLOOKUP(INDIRECT(ADDRESS(2,COLUMN())),OFFSET($BN$2,0,0,ROW()-1,60),ROW()-1,FALSE))</f>
        <v>0.75031167799999998</v>
      </c>
      <c r="S399">
        <f ca="1">IF(AND(ISNUMBER($S$1063),$B$677=1),$S$1063,HLOOKUP(INDIRECT(ADDRESS(2,COLUMN())),OFFSET($BN$2,0,0,ROW()-1,60),ROW()-1,FALSE))</f>
        <v>0.81502425499999998</v>
      </c>
      <c r="T399">
        <f ca="1">IF(AND(ISNUMBER($T$1063),$B$677=1),$T$1063,HLOOKUP(INDIRECT(ADDRESS(2,COLUMN())),OFFSET($BN$2,0,0,ROW()-1,60),ROW()-1,FALSE))</f>
        <v>0.75155157400000006</v>
      </c>
      <c r="U399">
        <f ca="1">IF(AND(ISNUMBER($U$1063),$B$677=1),$U$1063,HLOOKUP(INDIRECT(ADDRESS(2,COLUMN())),OFFSET($BN$2,0,0,ROW()-1,60),ROW()-1,FALSE))</f>
        <v>0.88815079200000002</v>
      </c>
      <c r="V399">
        <f ca="1">IF(AND(ISNUMBER($V$1063),$B$677=1),$V$1063,HLOOKUP(INDIRECT(ADDRESS(2,COLUMN())),OFFSET($BN$2,0,0,ROW()-1,60),ROW()-1,FALSE))</f>
        <v>0.80913085200000001</v>
      </c>
      <c r="W399">
        <f ca="1">IF(AND(ISNUMBER($W$1063),$B$677=1),$W$1063,HLOOKUP(INDIRECT(ADDRESS(2,COLUMN())),OFFSET($BN$2,0,0,ROW()-1,60),ROW()-1,FALSE))</f>
        <v>0.82307701</v>
      </c>
      <c r="X399">
        <f ca="1">IF(AND(ISNUMBER($X$1063),$B$677=1),$X$1063,HLOOKUP(INDIRECT(ADDRESS(2,COLUMN())),OFFSET($BN$2,0,0,ROW()-1,60),ROW()-1,FALSE))</f>
        <v>0.83035605899999998</v>
      </c>
      <c r="Y399">
        <f ca="1">IF(AND(ISNUMBER($Y$1063),$B$677=1),$Y$1063,HLOOKUP(INDIRECT(ADDRESS(2,COLUMN())),OFFSET($BN$2,0,0,ROW()-1,60),ROW()-1,FALSE))</f>
        <v>0.85768292899999998</v>
      </c>
      <c r="Z399">
        <f ca="1">IF(AND(ISNUMBER($Z$1063),$B$677=1),$Z$1063,HLOOKUP(INDIRECT(ADDRESS(2,COLUMN())),OFFSET($BN$2,0,0,ROW()-1,60),ROW()-1,FALSE))</f>
        <v>0.82118904299999995</v>
      </c>
      <c r="AA399">
        <f ca="1">IF(AND(ISNUMBER($AA$1063),$B$677=1),$AA$1063,HLOOKUP(INDIRECT(ADDRESS(2,COLUMN())),OFFSET($BN$2,0,0,ROW()-1,60),ROW()-1,FALSE))</f>
        <v>0.91124411900000002</v>
      </c>
      <c r="AB399">
        <f ca="1">IF(AND(ISNUMBER($AB$1063),$B$677=1),$AB$1063,HLOOKUP(INDIRECT(ADDRESS(2,COLUMN())),OFFSET($BN$2,0,0,ROW()-1,60),ROW()-1,FALSE))</f>
        <v>0.89784212799999996</v>
      </c>
      <c r="AC399">
        <f ca="1">IF(AND(ISNUMBER($AC$1063),$B$677=1),$AC$1063,HLOOKUP(INDIRECT(ADDRESS(2,COLUMN())),OFFSET($BN$2,0,0,ROW()-1,60),ROW()-1,FALSE))</f>
        <v>0.92472497799999998</v>
      </c>
      <c r="AD399">
        <f ca="1">IF(AND(ISNUMBER($AD$1063),$B$677=1),$AD$1063,HLOOKUP(INDIRECT(ADDRESS(2,COLUMN())),OFFSET($BN$2,0,0,ROW()-1,60),ROW()-1,FALSE))</f>
        <v>0.85904881899999996</v>
      </c>
      <c r="AE399">
        <f ca="1">IF(AND(ISNUMBER($AE$1063),$B$677=1),$AE$1063,HLOOKUP(INDIRECT(ADDRESS(2,COLUMN())),OFFSET($BN$2,0,0,ROW()-1,60),ROW()-1,FALSE))</f>
        <v>0.99624286900000003</v>
      </c>
      <c r="AF399">
        <f ca="1">IF(AND(ISNUMBER($AF$1063),$B$677=1),$AF$1063,HLOOKUP(INDIRECT(ADDRESS(2,COLUMN())),OFFSET($BN$2,0,0,ROW()-1,60),ROW()-1,FALSE))</f>
        <v>0.955417772</v>
      </c>
      <c r="AG399">
        <f ca="1">IF(AND(ISNUMBER($AG$1063),$B$677=1),$AG$1063,HLOOKUP(INDIRECT(ADDRESS(2,COLUMN())),OFFSET($BN$2,0,0,ROW()-1,60),ROW()-1,FALSE))</f>
        <v>0.93303635200000001</v>
      </c>
      <c r="AH399">
        <f ca="1">IF(AND(ISNUMBER($AH$1063),$B$677=1),$AH$1063,HLOOKUP(INDIRECT(ADDRESS(2,COLUMN())),OFFSET($BN$2,0,0,ROW()-1,60),ROW()-1,FALSE))</f>
        <v>0.91286662100000004</v>
      </c>
      <c r="AI399">
        <f ca="1">IF(AND(ISNUMBER($AI$1063),$B$677=1),$AI$1063,HLOOKUP(INDIRECT(ADDRESS(2,COLUMN())),OFFSET($BN$2,0,0,ROW()-1,60),ROW()-1,FALSE))</f>
        <v>0.98942832700000005</v>
      </c>
      <c r="AJ399">
        <f ca="1">IF(AND(ISNUMBER($AJ$1063),$B$677=1),$AJ$1063,HLOOKUP(INDIRECT(ADDRESS(2,COLUMN())),OFFSET($BN$2,0,0,ROW()-1,60),ROW()-1,FALSE))</f>
        <v>1.0033008940000001</v>
      </c>
      <c r="AK399">
        <f ca="1">IF(AND(ISNUMBER($AK$1063),$B$677=1),$AK$1063,HLOOKUP(INDIRECT(ADDRESS(2,COLUMN())),OFFSET($BN$2,0,0,ROW()-1,60),ROW()-1,FALSE))</f>
        <v>1.0054133789999999</v>
      </c>
      <c r="AL399">
        <f ca="1">IF(AND(ISNUMBER($AL$1063),$B$677=1),$AL$1063,HLOOKUP(INDIRECT(ADDRESS(2,COLUMN())),OFFSET($BN$2,0,0,ROW()-1,60),ROW()-1,FALSE))</f>
        <v>1.0108737649999999</v>
      </c>
      <c r="AM399">
        <f ca="1">IF(AND(ISNUMBER($AM$1063),$B$677=1),$AM$1063,HLOOKUP(INDIRECT(ADDRESS(2,COLUMN())),OFFSET($BN$2,0,0,ROW()-1,60),ROW()-1,FALSE))</f>
        <v>1.085163283</v>
      </c>
      <c r="AN399">
        <f ca="1">IF(AND(ISNUMBER($AN$1063),$B$677=1),$AN$1063,HLOOKUP(INDIRECT(ADDRESS(2,COLUMN())),OFFSET($BN$2,0,0,ROW()-1,60),ROW()-1,FALSE))</f>
        <v>1.0603582330000001</v>
      </c>
      <c r="AO399">
        <f ca="1">IF(AND(ISNUMBER($AO$1063),$B$677=1),$AO$1063,HLOOKUP(INDIRECT(ADDRESS(2,COLUMN())),OFFSET($BN$2,0,0,ROW()-1,60),ROW()-1,FALSE))</f>
        <v>1.0896899419999999</v>
      </c>
      <c r="AP399">
        <f ca="1">IF(AND(ISNUMBER($AP$1063),$B$677=1),$AP$1063,HLOOKUP(INDIRECT(ADDRESS(2,COLUMN())),OFFSET($BN$2,0,0,ROW()-1,60),ROW()-1,FALSE))</f>
        <v>1.0720901439999999</v>
      </c>
      <c r="AQ399">
        <f ca="1">IF(AND(ISNUMBER($AQ$1063),$B$677=1),$AQ$1063,HLOOKUP(INDIRECT(ADDRESS(2,COLUMN())),OFFSET($BN$2,0,0,ROW()-1,60),ROW()-1,FALSE))</f>
        <v>1.143692887</v>
      </c>
      <c r="AR399">
        <f ca="1">IF(AND(ISNUMBER($AR$1063),$B$677=1),$AR$1063,HLOOKUP(INDIRECT(ADDRESS(2,COLUMN())),OFFSET($BN$2,0,0,ROW()-1,60),ROW()-1,FALSE))</f>
        <v>1.209917055</v>
      </c>
      <c r="AS399">
        <f ca="1">IF(AND(ISNUMBER($AS$1063),$B$677=1),$AS$1063,HLOOKUP(INDIRECT(ADDRESS(2,COLUMN())),OFFSET($BN$2,0,0,ROW()-1,60),ROW()-1,FALSE))</f>
        <v>1.286049309</v>
      </c>
      <c r="AT399">
        <f ca="1">IF(AND(ISNUMBER($AT$1063),$B$677=1),$AT$1063,HLOOKUP(INDIRECT(ADDRESS(2,COLUMN())),OFFSET($BN$2,0,0,ROW()-1,60),ROW()-1,FALSE))</f>
        <v>4.0179958200000003</v>
      </c>
      <c r="AU399">
        <f ca="1">IF(AND(ISNUMBER($AU$1063),$B$677=1),$AU$1063,HLOOKUP(INDIRECT(ADDRESS(2,COLUMN())),OFFSET($BN$2,0,0,ROW()-1,60),ROW()-1,FALSE))</f>
        <v>4.5599894949999999</v>
      </c>
      <c r="AV399">
        <f ca="1">IF(AND(ISNUMBER($AV$1063),$B$677=1),$AV$1063,HLOOKUP(INDIRECT(ADDRESS(2,COLUMN())),OFFSET($BN$2,0,0,ROW()-1,60),ROW()-1,FALSE))</f>
        <v>2.7133136549999999</v>
      </c>
      <c r="AW399">
        <f ca="1">IF(AND(ISNUMBER($AW$1063),$B$677=1),$AW$1063,HLOOKUP(INDIRECT(ADDRESS(2,COLUMN())),OFFSET($BN$2,0,0,ROW()-1,60),ROW()-1,FALSE))</f>
        <v>2.3920248079999999</v>
      </c>
      <c r="AX399">
        <f ca="1">IF(AND(ISNUMBER($AX$1063),$B$677=1),$AX$1063,HLOOKUP(INDIRECT(ADDRESS(2,COLUMN())),OFFSET($BN$2,0,0,ROW()-1,60),ROW()-1,FALSE))</f>
        <v>2.337122189</v>
      </c>
      <c r="AY399">
        <f ca="1">IF(AND(ISNUMBER($AY$1063),$B$677=1),$AY$1063,HLOOKUP(INDIRECT(ADDRESS(2,COLUMN())),OFFSET($BN$2,0,0,ROW()-1,60),ROW()-1,FALSE))</f>
        <v>2.0179603730000002</v>
      </c>
      <c r="AZ399">
        <f ca="1">IF(AND(ISNUMBER($AZ$1063),$B$677=1),$AZ$1063,HLOOKUP(INDIRECT(ADDRESS(2,COLUMN())),OFFSET($BN$2,0,0,ROW()-1,60),ROW()-1,FALSE))</f>
        <v>2.0607130210000002</v>
      </c>
      <c r="BA399">
        <f ca="1">IF(AND(ISNUMBER($BA$1063),$B$677=1),$BA$1063,HLOOKUP(INDIRECT(ADDRESS(2,COLUMN())),OFFSET($BN$2,0,0,ROW()-1,60),ROW()-1,FALSE))</f>
        <v>1.9574488189999999</v>
      </c>
      <c r="BB399">
        <f ca="1">IF(AND(ISNUMBER($BB$1063),$B$677=1),$BB$1063,HLOOKUP(INDIRECT(ADDRESS(2,COLUMN())),OFFSET($BN$2,0,0,ROW()-1,60),ROW()-1,FALSE))</f>
        <v>1.952748785</v>
      </c>
      <c r="BC399">
        <f ca="1">IF(AND(ISNUMBER($BC$1063),$B$677=1),$BC$1063,HLOOKUP(INDIRECT(ADDRESS(2,COLUMN())),OFFSET($BN$2,0,0,ROW()-1,60),ROW()-1,FALSE))</f>
        <v>1.8602720079999999</v>
      </c>
      <c r="BD399">
        <f ca="1">IF(AND(ISNUMBER($BD$1063),$B$677=1),$BD$1063,HLOOKUP(INDIRECT(ADDRESS(2,COLUMN())),OFFSET($BN$2,0,0,ROW()-1,60),ROW()-1,FALSE))</f>
        <v>1.889770868</v>
      </c>
      <c r="BE399">
        <f ca="1">IF(AND(ISNUMBER($BE$1063),$B$677=1),$BE$1063,HLOOKUP(INDIRECT(ADDRESS(2,COLUMN())),OFFSET($BN$2,0,0,ROW()-1,60),ROW()-1,FALSE))</f>
        <v>1.954756164</v>
      </c>
      <c r="BF399">
        <f ca="1">IF(AND(ISNUMBER($BF$1063),$B$677=1),$BF$1063,HLOOKUP(INDIRECT(ADDRESS(2,COLUMN())),OFFSET($BN$2,0,0,ROW()-1,60),ROW()-1,FALSE))</f>
        <v>1.816455618</v>
      </c>
      <c r="BG399" t="str">
        <f ca="1">IF(AND(ISNUMBER($BG$1063),$B$677=1),$BG$1063,HLOOKUP(INDIRECT(ADDRESS(2,COLUMN())),OFFSET($BN$2,0,0,ROW()-1,60),ROW()-1,FALSE))</f>
        <v/>
      </c>
      <c r="BH399">
        <f ca="1">IF(AND(ISNUMBER($BH$1063),$B$677=1),$BH$1063,HLOOKUP(INDIRECT(ADDRESS(2,COLUMN())),OFFSET($BN$2,0,0,ROW()-1,60),ROW()-1,FALSE))</f>
        <v>1.8336421430000001</v>
      </c>
      <c r="BI399" t="str">
        <f ca="1">IF(AND(ISNUMBER($BI$1063),$B$677=1),$BI$1063,HLOOKUP(INDIRECT(ADDRESS(2,COLUMN())),OFFSET($BN$2,0,0,ROW()-1,60),ROW()-1,FALSE))</f>
        <v/>
      </c>
      <c r="BJ399">
        <f ca="1">IF(AND(ISNUMBER($BJ$1063),$B$677=1),$BJ$1063,HLOOKUP(INDIRECT(ADDRESS(2,COLUMN())),OFFSET($BN$2,0,0,ROW()-1,60),ROW()-1,FALSE))</f>
        <v>1.8333982010000001</v>
      </c>
      <c r="BK399" t="str">
        <f ca="1">IF(AND(ISNUMBER($BK$1063),$B$677=1),$BK$1063,HLOOKUP(INDIRECT(ADDRESS(2,COLUMN())),OFFSET($BN$2,0,0,ROW()-1,60),ROW()-1,FALSE))</f>
        <v/>
      </c>
      <c r="BL399">
        <f ca="1">IF(AND(ISNUMBER($BL$1063),$B$677=1),$BL$1063,HLOOKUP(INDIRECT(ADDRESS(2,COLUMN())),OFFSET($BN$2,0,0,ROW()-1,60),ROW()-1,FALSE))</f>
        <v>1.7072340800000001</v>
      </c>
      <c r="BM399" t="str">
        <f ca="1">IF(AND(ISNUMBER($BM$1063),$B$677=1),$BM$1063,HLOOKUP(INDIRECT(ADDRESS(2,COLUMN())),OFFSET($BN$2,0,0,ROW()-1,60),ROW()-1,FALSE))</f>
        <v/>
      </c>
      <c r="BN399" t="str">
        <f>""</f>
        <v/>
      </c>
      <c r="BO399">
        <f>0.700243788</f>
        <v>0.70024378799999998</v>
      </c>
      <c r="BP399">
        <f>0.696069879</f>
        <v>0.69606987899999995</v>
      </c>
      <c r="BQ399">
        <f>0.700926084</f>
        <v>0.700926084</v>
      </c>
      <c r="BR399">
        <f>0.66058981</f>
        <v>0.66058981000000006</v>
      </c>
      <c r="BS399">
        <f>0.767409827</f>
        <v>0.76740982700000004</v>
      </c>
      <c r="BT399">
        <f>0.661778876</f>
        <v>0.66177887599999996</v>
      </c>
      <c r="BU399">
        <f>0.690559261</f>
        <v>0.69055926099999998</v>
      </c>
      <c r="BV399">
        <f>0.682567811</f>
        <v>0.68256781099999997</v>
      </c>
      <c r="BW399">
        <f>0.859256464</f>
        <v>0.859256464</v>
      </c>
      <c r="BX399">
        <f>0.769455531</f>
        <v>0.76945553099999997</v>
      </c>
      <c r="BY399">
        <f>0.742236863</f>
        <v>0.74223686300000002</v>
      </c>
      <c r="BZ399">
        <f>0.750311678</f>
        <v>0.75031167799999998</v>
      </c>
      <c r="CA399">
        <f>0.815024255</f>
        <v>0.81502425499999998</v>
      </c>
      <c r="CB399">
        <f>0.751551574</f>
        <v>0.75155157400000006</v>
      </c>
      <c r="CC399">
        <f>0.888150792</f>
        <v>0.88815079200000002</v>
      </c>
      <c r="CD399">
        <f>0.809130852</f>
        <v>0.80913085200000001</v>
      </c>
      <c r="CE399">
        <f>0.82307701</f>
        <v>0.82307701</v>
      </c>
      <c r="CF399">
        <f>0.830356059</f>
        <v>0.83035605899999998</v>
      </c>
      <c r="CG399">
        <f>0.857682929</f>
        <v>0.85768292899999998</v>
      </c>
      <c r="CH399">
        <f>0.821189043</f>
        <v>0.82118904299999995</v>
      </c>
      <c r="CI399">
        <f>0.911244119</f>
        <v>0.91124411900000002</v>
      </c>
      <c r="CJ399">
        <f>0.897842128</f>
        <v>0.89784212799999996</v>
      </c>
      <c r="CK399">
        <f>0.924724978</f>
        <v>0.92472497799999998</v>
      </c>
      <c r="CL399">
        <f>0.859048819</f>
        <v>0.85904881899999996</v>
      </c>
      <c r="CM399">
        <f>0.996242869</f>
        <v>0.99624286900000003</v>
      </c>
      <c r="CN399">
        <f>0.955417772</f>
        <v>0.955417772</v>
      </c>
      <c r="CO399">
        <f>0.933036352</f>
        <v>0.93303635200000001</v>
      </c>
      <c r="CP399">
        <f>0.912866621</f>
        <v>0.91286662100000004</v>
      </c>
      <c r="CQ399">
        <f>0.989428327</f>
        <v>0.98942832700000005</v>
      </c>
      <c r="CR399">
        <f>1.003300894</f>
        <v>1.0033008940000001</v>
      </c>
      <c r="CS399">
        <f>1.005413379</f>
        <v>1.0054133789999999</v>
      </c>
      <c r="CT399">
        <f>1.010873765</f>
        <v>1.0108737649999999</v>
      </c>
      <c r="CU399">
        <f>1.085163283</f>
        <v>1.085163283</v>
      </c>
      <c r="CV399">
        <f>1.060358233</f>
        <v>1.0603582330000001</v>
      </c>
      <c r="CW399">
        <f>1.089689942</f>
        <v>1.0896899419999999</v>
      </c>
      <c r="CX399">
        <f>1.072090144</f>
        <v>1.0720901439999999</v>
      </c>
      <c r="CY399">
        <f>1.143692887</f>
        <v>1.143692887</v>
      </c>
      <c r="CZ399">
        <f>1.209917055</f>
        <v>1.209917055</v>
      </c>
      <c r="DA399">
        <f>1.286049309</f>
        <v>1.286049309</v>
      </c>
      <c r="DB399">
        <f>4.01799582</f>
        <v>4.0179958200000003</v>
      </c>
      <c r="DC399">
        <f>4.559989495</f>
        <v>4.5599894949999999</v>
      </c>
      <c r="DD399">
        <f>2.713313655</f>
        <v>2.7133136549999999</v>
      </c>
      <c r="DE399">
        <f>2.392024808</f>
        <v>2.3920248079999999</v>
      </c>
      <c r="DF399">
        <f>2.337122189</f>
        <v>2.337122189</v>
      </c>
      <c r="DG399">
        <f>2.017960373</f>
        <v>2.0179603730000002</v>
      </c>
      <c r="DH399">
        <f>2.060713021</f>
        <v>2.0607130210000002</v>
      </c>
      <c r="DI399">
        <f>1.957448819</f>
        <v>1.9574488189999999</v>
      </c>
      <c r="DJ399">
        <f>1.952748785</f>
        <v>1.952748785</v>
      </c>
      <c r="DK399">
        <f>1.860272008</f>
        <v>1.8602720079999999</v>
      </c>
      <c r="DL399">
        <f>1.889770868</f>
        <v>1.889770868</v>
      </c>
      <c r="DM399">
        <f>1.954756164</f>
        <v>1.954756164</v>
      </c>
      <c r="DN399">
        <f>1.816455618</f>
        <v>1.816455618</v>
      </c>
      <c r="DO399" t="str">
        <f>""</f>
        <v/>
      </c>
      <c r="DP399">
        <f>1.833642143</f>
        <v>1.8336421430000001</v>
      </c>
      <c r="DQ399" t="str">
        <f>""</f>
        <v/>
      </c>
      <c r="DR399">
        <f>1.833398201</f>
        <v>1.8333982010000001</v>
      </c>
      <c r="DS399" t="str">
        <f>""</f>
        <v/>
      </c>
      <c r="DT399">
        <f>1.70723408</f>
        <v>1.7072340800000001</v>
      </c>
      <c r="DU399" t="str">
        <f>""</f>
        <v/>
      </c>
    </row>
    <row r="400" spans="1:125" x14ac:dyDescent="0.25">
      <c r="A400" t="str">
        <f>"    Peugeot SA"</f>
        <v xml:space="preserve">    Peugeot SA</v>
      </c>
      <c r="B400" t="str">
        <f>"UG FP Equity"</f>
        <v>UG FP Equity</v>
      </c>
      <c r="C400" t="str">
        <f t="shared" si="27"/>
        <v>RR480</v>
      </c>
      <c r="D400" t="str">
        <f t="shared" si="28"/>
        <v>EV_TO_MKT_CAP</v>
      </c>
      <c r="E400" t="str">
        <f t="shared" si="29"/>
        <v>Dynamic</v>
      </c>
      <c r="F400" t="str">
        <f ca="1">IF(AND(ISNUMBER($F$1064),$B$677=1),$F$1064,HLOOKUP(INDIRECT(ADDRESS(2,COLUMN())),OFFSET($BN$2,0,0,ROW()-1,60),ROW()-1,FALSE))</f>
        <v/>
      </c>
      <c r="G400" t="str">
        <f ca="1">IF(AND(ISNUMBER($G$1064),$B$677=1),$G$1064,HLOOKUP(INDIRECT(ADDRESS(2,COLUMN())),OFFSET($BN$2,0,0,ROW()-1,60),ROW()-1,FALSE))</f>
        <v/>
      </c>
      <c r="H400" t="str">
        <f ca="1">IF(AND(ISNUMBER($H$1064),$B$677=1),$H$1064,HLOOKUP(INDIRECT(ADDRESS(2,COLUMN())),OFFSET($BN$2,0,0,ROW()-1,60),ROW()-1,FALSE))</f>
        <v/>
      </c>
      <c r="I400" t="str">
        <f ca="1">IF(AND(ISNUMBER($I$1064),$B$677=1),$I$1064,HLOOKUP(INDIRECT(ADDRESS(2,COLUMN())),OFFSET($BN$2,0,0,ROW()-1,60),ROW()-1,FALSE))</f>
        <v/>
      </c>
      <c r="J400" t="str">
        <f ca="1">IF(AND(ISNUMBER($J$1064),$B$677=1),$J$1064,HLOOKUP(INDIRECT(ADDRESS(2,COLUMN())),OFFSET($BN$2,0,0,ROW()-1,60),ROW()-1,FALSE))</f>
        <v/>
      </c>
      <c r="K400" t="str">
        <f ca="1">IF(AND(ISNUMBER($K$1064),$B$677=1),$K$1064,HLOOKUP(INDIRECT(ADDRESS(2,COLUMN())),OFFSET($BN$2,0,0,ROW()-1,60),ROW()-1,FALSE))</f>
        <v/>
      </c>
      <c r="L400" t="str">
        <f ca="1">IF(AND(ISNUMBER($L$1064),$B$677=1),$L$1064,HLOOKUP(INDIRECT(ADDRESS(2,COLUMN())),OFFSET($BN$2,0,0,ROW()-1,60),ROW()-1,FALSE))</f>
        <v/>
      </c>
      <c r="M400" t="str">
        <f ca="1">IF(AND(ISNUMBER($M$1064),$B$677=1),$M$1064,HLOOKUP(INDIRECT(ADDRESS(2,COLUMN())),OFFSET($BN$2,0,0,ROW()-1,60),ROW()-1,FALSE))</f>
        <v/>
      </c>
      <c r="N400" t="str">
        <f ca="1">IF(AND(ISNUMBER($N$1064),$B$677=1),$N$1064,HLOOKUP(INDIRECT(ADDRESS(2,COLUMN())),OFFSET($BN$2,0,0,ROW()-1,60),ROW()-1,FALSE))</f>
        <v/>
      </c>
      <c r="O400" t="str">
        <f ca="1">IF(AND(ISNUMBER($O$1064),$B$677=1),$O$1064,HLOOKUP(INDIRECT(ADDRESS(2,COLUMN())),OFFSET($BN$2,0,0,ROW()-1,60),ROW()-1,FALSE))</f>
        <v/>
      </c>
      <c r="P400" t="str">
        <f ca="1">IF(AND(ISNUMBER($P$1064),$B$677=1),$P$1064,HLOOKUP(INDIRECT(ADDRESS(2,COLUMN())),OFFSET($BN$2,0,0,ROW()-1,60),ROW()-1,FALSE))</f>
        <v/>
      </c>
      <c r="Q400" t="str">
        <f ca="1">IF(AND(ISNUMBER($Q$1064),$B$677=1),$Q$1064,HLOOKUP(INDIRECT(ADDRESS(2,COLUMN())),OFFSET($BN$2,0,0,ROW()-1,60),ROW()-1,FALSE))</f>
        <v/>
      </c>
      <c r="R400" t="str">
        <f ca="1">IF(AND(ISNUMBER($R$1064),$B$677=1),$R$1064,HLOOKUP(INDIRECT(ADDRESS(2,COLUMN())),OFFSET($BN$2,0,0,ROW()-1,60),ROW()-1,FALSE))</f>
        <v/>
      </c>
      <c r="S400" t="str">
        <f ca="1">IF(AND(ISNUMBER($S$1064),$B$677=1),$S$1064,HLOOKUP(INDIRECT(ADDRESS(2,COLUMN())),OFFSET($BN$2,0,0,ROW()-1,60),ROW()-1,FALSE))</f>
        <v/>
      </c>
      <c r="T400" t="str">
        <f ca="1">IF(AND(ISNUMBER($T$1064),$B$677=1),$T$1064,HLOOKUP(INDIRECT(ADDRESS(2,COLUMN())),OFFSET($BN$2,0,0,ROW()-1,60),ROW()-1,FALSE))</f>
        <v/>
      </c>
      <c r="U400" t="str">
        <f ca="1">IF(AND(ISNUMBER($U$1064),$B$677=1),$U$1064,HLOOKUP(INDIRECT(ADDRESS(2,COLUMN())),OFFSET($BN$2,0,0,ROW()-1,60),ROW()-1,FALSE))</f>
        <v/>
      </c>
      <c r="V400" t="str">
        <f ca="1">IF(AND(ISNUMBER($V$1064),$B$677=1),$V$1064,HLOOKUP(INDIRECT(ADDRESS(2,COLUMN())),OFFSET($BN$2,0,0,ROW()-1,60),ROW()-1,FALSE))</f>
        <v/>
      </c>
      <c r="W400" t="str">
        <f ca="1">IF(AND(ISNUMBER($W$1064),$B$677=1),$W$1064,HLOOKUP(INDIRECT(ADDRESS(2,COLUMN())),OFFSET($BN$2,0,0,ROW()-1,60),ROW()-1,FALSE))</f>
        <v/>
      </c>
      <c r="X400" t="str">
        <f ca="1">IF(AND(ISNUMBER($X$1064),$B$677=1),$X$1064,HLOOKUP(INDIRECT(ADDRESS(2,COLUMN())),OFFSET($BN$2,0,0,ROW()-1,60),ROW()-1,FALSE))</f>
        <v/>
      </c>
      <c r="Y400" t="str">
        <f ca="1">IF(AND(ISNUMBER($Y$1064),$B$677=1),$Y$1064,HLOOKUP(INDIRECT(ADDRESS(2,COLUMN())),OFFSET($BN$2,0,0,ROW()-1,60),ROW()-1,FALSE))</f>
        <v/>
      </c>
      <c r="Z400" t="str">
        <f ca="1">IF(AND(ISNUMBER($Z$1064),$B$677=1),$Z$1064,HLOOKUP(INDIRECT(ADDRESS(2,COLUMN())),OFFSET($BN$2,0,0,ROW()-1,60),ROW()-1,FALSE))</f>
        <v/>
      </c>
      <c r="AA400" t="str">
        <f ca="1">IF(AND(ISNUMBER($AA$1064),$B$677=1),$AA$1064,HLOOKUP(INDIRECT(ADDRESS(2,COLUMN())),OFFSET($BN$2,0,0,ROW()-1,60),ROW()-1,FALSE))</f>
        <v/>
      </c>
      <c r="AB400" t="str">
        <f ca="1">IF(AND(ISNUMBER($AB$1064),$B$677=1),$AB$1064,HLOOKUP(INDIRECT(ADDRESS(2,COLUMN())),OFFSET($BN$2,0,0,ROW()-1,60),ROW()-1,FALSE))</f>
        <v/>
      </c>
      <c r="AC400" t="str">
        <f ca="1">IF(AND(ISNUMBER($AC$1064),$B$677=1),$AC$1064,HLOOKUP(INDIRECT(ADDRESS(2,COLUMN())),OFFSET($BN$2,0,0,ROW()-1,60),ROW()-1,FALSE))</f>
        <v/>
      </c>
      <c r="AD400" t="str">
        <f ca="1">IF(AND(ISNUMBER($AD$1064),$B$677=1),$AD$1064,HLOOKUP(INDIRECT(ADDRESS(2,COLUMN())),OFFSET($BN$2,0,0,ROW()-1,60),ROW()-1,FALSE))</f>
        <v/>
      </c>
      <c r="AE400" t="str">
        <f ca="1">IF(AND(ISNUMBER($AE$1064),$B$677=1),$AE$1064,HLOOKUP(INDIRECT(ADDRESS(2,COLUMN())),OFFSET($BN$2,0,0,ROW()-1,60),ROW()-1,FALSE))</f>
        <v/>
      </c>
      <c r="AF400" t="str">
        <f ca="1">IF(AND(ISNUMBER($AF$1064),$B$677=1),$AF$1064,HLOOKUP(INDIRECT(ADDRESS(2,COLUMN())),OFFSET($BN$2,0,0,ROW()-1,60),ROW()-1,FALSE))</f>
        <v/>
      </c>
      <c r="AG400" t="str">
        <f ca="1">IF(AND(ISNUMBER($AG$1064),$B$677=1),$AG$1064,HLOOKUP(INDIRECT(ADDRESS(2,COLUMN())),OFFSET($BN$2,0,0,ROW()-1,60),ROW()-1,FALSE))</f>
        <v/>
      </c>
      <c r="AH400" t="str">
        <f ca="1">IF(AND(ISNUMBER($AH$1064),$B$677=1),$AH$1064,HLOOKUP(INDIRECT(ADDRESS(2,COLUMN())),OFFSET($BN$2,0,0,ROW()-1,60),ROW()-1,FALSE))</f>
        <v/>
      </c>
      <c r="AI400" t="str">
        <f ca="1">IF(AND(ISNUMBER($AI$1064),$B$677=1),$AI$1064,HLOOKUP(INDIRECT(ADDRESS(2,COLUMN())),OFFSET($BN$2,0,0,ROW()-1,60),ROW()-1,FALSE))</f>
        <v/>
      </c>
      <c r="AJ400" t="str">
        <f ca="1">IF(AND(ISNUMBER($AJ$1064),$B$677=1),$AJ$1064,HLOOKUP(INDIRECT(ADDRESS(2,COLUMN())),OFFSET($BN$2,0,0,ROW()-1,60),ROW()-1,FALSE))</f>
        <v/>
      </c>
      <c r="AK400" t="str">
        <f ca="1">IF(AND(ISNUMBER($AK$1064),$B$677=1),$AK$1064,HLOOKUP(INDIRECT(ADDRESS(2,COLUMN())),OFFSET($BN$2,0,0,ROW()-1,60),ROW()-1,FALSE))</f>
        <v/>
      </c>
      <c r="AL400" t="str">
        <f ca="1">IF(AND(ISNUMBER($AL$1064),$B$677=1),$AL$1064,HLOOKUP(INDIRECT(ADDRESS(2,COLUMN())),OFFSET($BN$2,0,0,ROW()-1,60),ROW()-1,FALSE))</f>
        <v/>
      </c>
      <c r="AM400" t="str">
        <f ca="1">IF(AND(ISNUMBER($AM$1064),$B$677=1),$AM$1064,HLOOKUP(INDIRECT(ADDRESS(2,COLUMN())),OFFSET($BN$2,0,0,ROW()-1,60),ROW()-1,FALSE))</f>
        <v/>
      </c>
      <c r="AN400" t="str">
        <f ca="1">IF(AND(ISNUMBER($AN$1064),$B$677=1),$AN$1064,HLOOKUP(INDIRECT(ADDRESS(2,COLUMN())),OFFSET($BN$2,0,0,ROW()-1,60),ROW()-1,FALSE))</f>
        <v/>
      </c>
      <c r="AO400" t="str">
        <f ca="1">IF(AND(ISNUMBER($AO$1064),$B$677=1),$AO$1064,HLOOKUP(INDIRECT(ADDRESS(2,COLUMN())),OFFSET($BN$2,0,0,ROW()-1,60),ROW()-1,FALSE))</f>
        <v/>
      </c>
      <c r="AP400" t="str">
        <f ca="1">IF(AND(ISNUMBER($AP$1064),$B$677=1),$AP$1064,HLOOKUP(INDIRECT(ADDRESS(2,COLUMN())),OFFSET($BN$2,0,0,ROW()-1,60),ROW()-1,FALSE))</f>
        <v/>
      </c>
      <c r="AQ400" t="str">
        <f ca="1">IF(AND(ISNUMBER($AQ$1064),$B$677=1),$AQ$1064,HLOOKUP(INDIRECT(ADDRESS(2,COLUMN())),OFFSET($BN$2,0,0,ROW()-1,60),ROW()-1,FALSE))</f>
        <v/>
      </c>
      <c r="AR400" t="str">
        <f ca="1">IF(AND(ISNUMBER($AR$1064),$B$677=1),$AR$1064,HLOOKUP(INDIRECT(ADDRESS(2,COLUMN())),OFFSET($BN$2,0,0,ROW()-1,60),ROW()-1,FALSE))</f>
        <v/>
      </c>
      <c r="AS400" t="str">
        <f ca="1">IF(AND(ISNUMBER($AS$1064),$B$677=1),$AS$1064,HLOOKUP(INDIRECT(ADDRESS(2,COLUMN())),OFFSET($BN$2,0,0,ROW()-1,60),ROW()-1,FALSE))</f>
        <v/>
      </c>
      <c r="AT400" t="str">
        <f ca="1">IF(AND(ISNUMBER($AT$1064),$B$677=1),$AT$1064,HLOOKUP(INDIRECT(ADDRESS(2,COLUMN())),OFFSET($BN$2,0,0,ROW()-1,60),ROW()-1,FALSE))</f>
        <v/>
      </c>
      <c r="AU400" t="str">
        <f ca="1">IF(AND(ISNUMBER($AU$1064),$B$677=1),$AU$1064,HLOOKUP(INDIRECT(ADDRESS(2,COLUMN())),OFFSET($BN$2,0,0,ROW()-1,60),ROW()-1,FALSE))</f>
        <v/>
      </c>
      <c r="AV400" t="str">
        <f ca="1">IF(AND(ISNUMBER($AV$1064),$B$677=1),$AV$1064,HLOOKUP(INDIRECT(ADDRESS(2,COLUMN())),OFFSET($BN$2,0,0,ROW()-1,60),ROW()-1,FALSE))</f>
        <v/>
      </c>
      <c r="AW400" t="str">
        <f ca="1">IF(AND(ISNUMBER($AW$1064),$B$677=1),$AW$1064,HLOOKUP(INDIRECT(ADDRESS(2,COLUMN())),OFFSET($BN$2,0,0,ROW()-1,60),ROW()-1,FALSE))</f>
        <v/>
      </c>
      <c r="AX400" t="str">
        <f ca="1">IF(AND(ISNUMBER($AX$1064),$B$677=1),$AX$1064,HLOOKUP(INDIRECT(ADDRESS(2,COLUMN())),OFFSET($BN$2,0,0,ROW()-1,60),ROW()-1,FALSE))</f>
        <v/>
      </c>
      <c r="AY400" t="str">
        <f ca="1">IF(AND(ISNUMBER($AY$1064),$B$677=1),$AY$1064,HLOOKUP(INDIRECT(ADDRESS(2,COLUMN())),OFFSET($BN$2,0,0,ROW()-1,60),ROW()-1,FALSE))</f>
        <v/>
      </c>
      <c r="AZ400" t="str">
        <f ca="1">IF(AND(ISNUMBER($AZ$1064),$B$677=1),$AZ$1064,HLOOKUP(INDIRECT(ADDRESS(2,COLUMN())),OFFSET($BN$2,0,0,ROW()-1,60),ROW()-1,FALSE))</f>
        <v/>
      </c>
      <c r="BA400" t="str">
        <f ca="1">IF(AND(ISNUMBER($BA$1064),$B$677=1),$BA$1064,HLOOKUP(INDIRECT(ADDRESS(2,COLUMN())),OFFSET($BN$2,0,0,ROW()-1,60),ROW()-1,FALSE))</f>
        <v/>
      </c>
      <c r="BB400" t="str">
        <f ca="1">IF(AND(ISNUMBER($BB$1064),$B$677=1),$BB$1064,HLOOKUP(INDIRECT(ADDRESS(2,COLUMN())),OFFSET($BN$2,0,0,ROW()-1,60),ROW()-1,FALSE))</f>
        <v/>
      </c>
      <c r="BC400" t="str">
        <f ca="1">IF(AND(ISNUMBER($BC$1064),$B$677=1),$BC$1064,HLOOKUP(INDIRECT(ADDRESS(2,COLUMN())),OFFSET($BN$2,0,0,ROW()-1,60),ROW()-1,FALSE))</f>
        <v/>
      </c>
      <c r="BD400" t="str">
        <f ca="1">IF(AND(ISNUMBER($BD$1064),$B$677=1),$BD$1064,HLOOKUP(INDIRECT(ADDRESS(2,COLUMN())),OFFSET($BN$2,0,0,ROW()-1,60),ROW()-1,FALSE))</f>
        <v/>
      </c>
      <c r="BE400" t="str">
        <f ca="1">IF(AND(ISNUMBER($BE$1064),$B$677=1),$BE$1064,HLOOKUP(INDIRECT(ADDRESS(2,COLUMN())),OFFSET($BN$2,0,0,ROW()-1,60),ROW()-1,FALSE))</f>
        <v/>
      </c>
      <c r="BF400" t="str">
        <f ca="1">IF(AND(ISNUMBER($BF$1064),$B$677=1),$BF$1064,HLOOKUP(INDIRECT(ADDRESS(2,COLUMN())),OFFSET($BN$2,0,0,ROW()-1,60),ROW()-1,FALSE))</f>
        <v/>
      </c>
      <c r="BG400" t="str">
        <f ca="1">IF(AND(ISNUMBER($BG$1064),$B$677=1),$BG$1064,HLOOKUP(INDIRECT(ADDRESS(2,COLUMN())),OFFSET($BN$2,0,0,ROW()-1,60),ROW()-1,FALSE))</f>
        <v/>
      </c>
      <c r="BH400" t="str">
        <f ca="1">IF(AND(ISNUMBER($BH$1064),$B$677=1),$BH$1064,HLOOKUP(INDIRECT(ADDRESS(2,COLUMN())),OFFSET($BN$2,0,0,ROW()-1,60),ROW()-1,FALSE))</f>
        <v/>
      </c>
      <c r="BI400" t="str">
        <f ca="1">IF(AND(ISNUMBER($BI$1064),$B$677=1),$BI$1064,HLOOKUP(INDIRECT(ADDRESS(2,COLUMN())),OFFSET($BN$2,0,0,ROW()-1,60),ROW()-1,FALSE))</f>
        <v/>
      </c>
      <c r="BJ400" t="str">
        <f ca="1">IF(AND(ISNUMBER($BJ$1064),$B$677=1),$BJ$1064,HLOOKUP(INDIRECT(ADDRESS(2,COLUMN())),OFFSET($BN$2,0,0,ROW()-1,60),ROW()-1,FALSE))</f>
        <v/>
      </c>
      <c r="BK400" t="str">
        <f ca="1">IF(AND(ISNUMBER($BK$1064),$B$677=1),$BK$1064,HLOOKUP(INDIRECT(ADDRESS(2,COLUMN())),OFFSET($BN$2,0,0,ROW()-1,60),ROW()-1,FALSE))</f>
        <v/>
      </c>
      <c r="BL400" t="str">
        <f ca="1">IF(AND(ISNUMBER($BL$1064),$B$677=1),$BL$1064,HLOOKUP(INDIRECT(ADDRESS(2,COLUMN())),OFFSET($BN$2,0,0,ROW()-1,60),ROW()-1,FALSE))</f>
        <v/>
      </c>
      <c r="BM400" t="str">
        <f ca="1">IF(AND(ISNUMBER($BM$1064),$B$677=1),$BM$1064,HLOOKUP(INDIRECT(ADDRESS(2,COLUMN())),OFFSET($BN$2,0,0,ROW()-1,60),ROW()-1,FALSE))</f>
        <v/>
      </c>
      <c r="BN400" t="str">
        <f>""</f>
        <v/>
      </c>
      <c r="BO400" t="str">
        <f>""</f>
        <v/>
      </c>
      <c r="BP400" t="str">
        <f>""</f>
        <v/>
      </c>
      <c r="BQ400" t="str">
        <f>""</f>
        <v/>
      </c>
      <c r="BR400" t="str">
        <f>""</f>
        <v/>
      </c>
      <c r="BS400" t="str">
        <f>""</f>
        <v/>
      </c>
      <c r="BT400" t="str">
        <f>""</f>
        <v/>
      </c>
      <c r="BU400" t="str">
        <f>""</f>
        <v/>
      </c>
      <c r="BV400" t="str">
        <f>""</f>
        <v/>
      </c>
      <c r="BW400" t="str">
        <f>""</f>
        <v/>
      </c>
      <c r="BX400" t="str">
        <f>""</f>
        <v/>
      </c>
      <c r="BY400" t="str">
        <f>""</f>
        <v/>
      </c>
      <c r="BZ400" t="str">
        <f>""</f>
        <v/>
      </c>
      <c r="CA400" t="str">
        <f>""</f>
        <v/>
      </c>
      <c r="CB400" t="str">
        <f>""</f>
        <v/>
      </c>
      <c r="CC400" t="str">
        <f>""</f>
        <v/>
      </c>
      <c r="CD400" t="str">
        <f>""</f>
        <v/>
      </c>
      <c r="CE400" t="str">
        <f>""</f>
        <v/>
      </c>
      <c r="CF400" t="str">
        <f>""</f>
        <v/>
      </c>
      <c r="CG400" t="str">
        <f>""</f>
        <v/>
      </c>
      <c r="CH400" t="str">
        <f>""</f>
        <v/>
      </c>
      <c r="CI400" t="str">
        <f>""</f>
        <v/>
      </c>
      <c r="CJ400" t="str">
        <f>""</f>
        <v/>
      </c>
      <c r="CK400" t="str">
        <f>""</f>
        <v/>
      </c>
      <c r="CL400" t="str">
        <f>""</f>
        <v/>
      </c>
      <c r="CM400" t="str">
        <f>""</f>
        <v/>
      </c>
      <c r="CN400" t="str">
        <f>""</f>
        <v/>
      </c>
      <c r="CO400" t="str">
        <f>""</f>
        <v/>
      </c>
      <c r="CP400" t="str">
        <f>""</f>
        <v/>
      </c>
      <c r="CQ400" t="str">
        <f>""</f>
        <v/>
      </c>
      <c r="CR400" t="str">
        <f>""</f>
        <v/>
      </c>
      <c r="CS400" t="str">
        <f>""</f>
        <v/>
      </c>
      <c r="CT400" t="str">
        <f>""</f>
        <v/>
      </c>
      <c r="CU400" t="str">
        <f>""</f>
        <v/>
      </c>
      <c r="CV400" t="str">
        <f>""</f>
        <v/>
      </c>
      <c r="CW400" t="str">
        <f>""</f>
        <v/>
      </c>
      <c r="CX400" t="str">
        <f>""</f>
        <v/>
      </c>
      <c r="CY400" t="str">
        <f>""</f>
        <v/>
      </c>
      <c r="CZ400" t="str">
        <f>""</f>
        <v/>
      </c>
      <c r="DA400" t="str">
        <f>""</f>
        <v/>
      </c>
      <c r="DB400" t="str">
        <f>""</f>
        <v/>
      </c>
      <c r="DC400" t="str">
        <f>""</f>
        <v/>
      </c>
      <c r="DD400" t="str">
        <f>""</f>
        <v/>
      </c>
      <c r="DE400" t="str">
        <f>""</f>
        <v/>
      </c>
      <c r="DF400" t="str">
        <f>""</f>
        <v/>
      </c>
      <c r="DG400" t="str">
        <f>""</f>
        <v/>
      </c>
      <c r="DH400" t="str">
        <f>""</f>
        <v/>
      </c>
      <c r="DI400" t="str">
        <f>""</f>
        <v/>
      </c>
      <c r="DJ400" t="str">
        <f>""</f>
        <v/>
      </c>
      <c r="DK400" t="str">
        <f>""</f>
        <v/>
      </c>
      <c r="DL400" t="str">
        <f>""</f>
        <v/>
      </c>
      <c r="DM400" t="str">
        <f>""</f>
        <v/>
      </c>
      <c r="DN400" t="str">
        <f>""</f>
        <v/>
      </c>
      <c r="DO400" t="str">
        <f>""</f>
        <v/>
      </c>
      <c r="DP400" t="str">
        <f>""</f>
        <v/>
      </c>
      <c r="DQ400" t="str">
        <f>""</f>
        <v/>
      </c>
      <c r="DR400" t="str">
        <f>""</f>
        <v/>
      </c>
      <c r="DS400" t="str">
        <f>""</f>
        <v/>
      </c>
      <c r="DT400" t="str">
        <f>""</f>
        <v/>
      </c>
      <c r="DU400" t="str">
        <f>""</f>
        <v/>
      </c>
    </row>
    <row r="401" spans="1:125" x14ac:dyDescent="0.25">
      <c r="A401" t="str">
        <f>"    Renault SA"</f>
        <v xml:space="preserve">    Renault SA</v>
      </c>
      <c r="B401" t="str">
        <f>"RNO FP Equity"</f>
        <v>RNO FP Equity</v>
      </c>
      <c r="C401" t="str">
        <f t="shared" si="27"/>
        <v>RR480</v>
      </c>
      <c r="D401" t="str">
        <f t="shared" si="28"/>
        <v>EV_TO_MKT_CAP</v>
      </c>
      <c r="E401" t="str">
        <f t="shared" si="29"/>
        <v>Dynamic</v>
      </c>
      <c r="F401" t="str">
        <f ca="1">IF(AND(ISNUMBER($F$1065),$B$677=1),$F$1065,HLOOKUP(INDIRECT(ADDRESS(2,COLUMN())),OFFSET($BN$2,0,0,ROW()-1,60),ROW()-1,FALSE))</f>
        <v/>
      </c>
      <c r="G401" t="str">
        <f ca="1">IF(AND(ISNUMBER($G$1065),$B$677=1),$G$1065,HLOOKUP(INDIRECT(ADDRESS(2,COLUMN())),OFFSET($BN$2,0,0,ROW()-1,60),ROW()-1,FALSE))</f>
        <v/>
      </c>
      <c r="H401" t="str">
        <f ca="1">IF(AND(ISNUMBER($H$1065),$B$677=1),$H$1065,HLOOKUP(INDIRECT(ADDRESS(2,COLUMN())),OFFSET($BN$2,0,0,ROW()-1,60),ROW()-1,FALSE))</f>
        <v/>
      </c>
      <c r="I401" t="str">
        <f ca="1">IF(AND(ISNUMBER($I$1065),$B$677=1),$I$1065,HLOOKUP(INDIRECT(ADDRESS(2,COLUMN())),OFFSET($BN$2,0,0,ROW()-1,60),ROW()-1,FALSE))</f>
        <v/>
      </c>
      <c r="J401" t="str">
        <f ca="1">IF(AND(ISNUMBER($J$1065),$B$677=1),$J$1065,HLOOKUP(INDIRECT(ADDRESS(2,COLUMN())),OFFSET($BN$2,0,0,ROW()-1,60),ROW()-1,FALSE))</f>
        <v/>
      </c>
      <c r="K401" t="str">
        <f ca="1">IF(AND(ISNUMBER($K$1065),$B$677=1),$K$1065,HLOOKUP(INDIRECT(ADDRESS(2,COLUMN())),OFFSET($BN$2,0,0,ROW()-1,60),ROW()-1,FALSE))</f>
        <v/>
      </c>
      <c r="L401" t="str">
        <f ca="1">IF(AND(ISNUMBER($L$1065),$B$677=1),$L$1065,HLOOKUP(INDIRECT(ADDRESS(2,COLUMN())),OFFSET($BN$2,0,0,ROW()-1,60),ROW()-1,FALSE))</f>
        <v/>
      </c>
      <c r="M401" t="str">
        <f ca="1">IF(AND(ISNUMBER($M$1065),$B$677=1),$M$1065,HLOOKUP(INDIRECT(ADDRESS(2,COLUMN())),OFFSET($BN$2,0,0,ROW()-1,60),ROW()-1,FALSE))</f>
        <v/>
      </c>
      <c r="N401" t="str">
        <f ca="1">IF(AND(ISNUMBER($N$1065),$B$677=1),$N$1065,HLOOKUP(INDIRECT(ADDRESS(2,COLUMN())),OFFSET($BN$2,0,0,ROW()-1,60),ROW()-1,FALSE))</f>
        <v/>
      </c>
      <c r="O401" t="str">
        <f ca="1">IF(AND(ISNUMBER($O$1065),$B$677=1),$O$1065,HLOOKUP(INDIRECT(ADDRESS(2,COLUMN())),OFFSET($BN$2,0,0,ROW()-1,60),ROW()-1,FALSE))</f>
        <v/>
      </c>
      <c r="P401" t="str">
        <f ca="1">IF(AND(ISNUMBER($P$1065),$B$677=1),$P$1065,HLOOKUP(INDIRECT(ADDRESS(2,COLUMN())),OFFSET($BN$2,0,0,ROW()-1,60),ROW()-1,FALSE))</f>
        <v/>
      </c>
      <c r="Q401" t="str">
        <f ca="1">IF(AND(ISNUMBER($Q$1065),$B$677=1),$Q$1065,HLOOKUP(INDIRECT(ADDRESS(2,COLUMN())),OFFSET($BN$2,0,0,ROW()-1,60),ROW()-1,FALSE))</f>
        <v/>
      </c>
      <c r="R401" t="str">
        <f ca="1">IF(AND(ISNUMBER($R$1065),$B$677=1),$R$1065,HLOOKUP(INDIRECT(ADDRESS(2,COLUMN())),OFFSET($BN$2,0,0,ROW()-1,60),ROW()-1,FALSE))</f>
        <v/>
      </c>
      <c r="S401" t="str">
        <f ca="1">IF(AND(ISNUMBER($S$1065),$B$677=1),$S$1065,HLOOKUP(INDIRECT(ADDRESS(2,COLUMN())),OFFSET($BN$2,0,0,ROW()-1,60),ROW()-1,FALSE))</f>
        <v/>
      </c>
      <c r="T401" t="str">
        <f ca="1">IF(AND(ISNUMBER($T$1065),$B$677=1),$T$1065,HLOOKUP(INDIRECT(ADDRESS(2,COLUMN())),OFFSET($BN$2,0,0,ROW()-1,60),ROW()-1,FALSE))</f>
        <v/>
      </c>
      <c r="U401" t="str">
        <f ca="1">IF(AND(ISNUMBER($U$1065),$B$677=1),$U$1065,HLOOKUP(INDIRECT(ADDRESS(2,COLUMN())),OFFSET($BN$2,0,0,ROW()-1,60),ROW()-1,FALSE))</f>
        <v/>
      </c>
      <c r="V401" t="str">
        <f ca="1">IF(AND(ISNUMBER($V$1065),$B$677=1),$V$1065,HLOOKUP(INDIRECT(ADDRESS(2,COLUMN())),OFFSET($BN$2,0,0,ROW()-1,60),ROW()-1,FALSE))</f>
        <v/>
      </c>
      <c r="W401" t="str">
        <f ca="1">IF(AND(ISNUMBER($W$1065),$B$677=1),$W$1065,HLOOKUP(INDIRECT(ADDRESS(2,COLUMN())),OFFSET($BN$2,0,0,ROW()-1,60),ROW()-1,FALSE))</f>
        <v/>
      </c>
      <c r="X401" t="str">
        <f ca="1">IF(AND(ISNUMBER($X$1065),$B$677=1),$X$1065,HLOOKUP(INDIRECT(ADDRESS(2,COLUMN())),OFFSET($BN$2,0,0,ROW()-1,60),ROW()-1,FALSE))</f>
        <v/>
      </c>
      <c r="Y401" t="str">
        <f ca="1">IF(AND(ISNUMBER($Y$1065),$B$677=1),$Y$1065,HLOOKUP(INDIRECT(ADDRESS(2,COLUMN())),OFFSET($BN$2,0,0,ROW()-1,60),ROW()-1,FALSE))</f>
        <v/>
      </c>
      <c r="Z401" t="str">
        <f ca="1">IF(AND(ISNUMBER($Z$1065),$B$677=1),$Z$1065,HLOOKUP(INDIRECT(ADDRESS(2,COLUMN())),OFFSET($BN$2,0,0,ROW()-1,60),ROW()-1,FALSE))</f>
        <v/>
      </c>
      <c r="AA401" t="str">
        <f ca="1">IF(AND(ISNUMBER($AA$1065),$B$677=1),$AA$1065,HLOOKUP(INDIRECT(ADDRESS(2,COLUMN())),OFFSET($BN$2,0,0,ROW()-1,60),ROW()-1,FALSE))</f>
        <v/>
      </c>
      <c r="AB401" t="str">
        <f ca="1">IF(AND(ISNUMBER($AB$1065),$B$677=1),$AB$1065,HLOOKUP(INDIRECT(ADDRESS(2,COLUMN())),OFFSET($BN$2,0,0,ROW()-1,60),ROW()-1,FALSE))</f>
        <v/>
      </c>
      <c r="AC401" t="str">
        <f ca="1">IF(AND(ISNUMBER($AC$1065),$B$677=1),$AC$1065,HLOOKUP(INDIRECT(ADDRESS(2,COLUMN())),OFFSET($BN$2,0,0,ROW()-1,60),ROW()-1,FALSE))</f>
        <v/>
      </c>
      <c r="AD401" t="str">
        <f ca="1">IF(AND(ISNUMBER($AD$1065),$B$677=1),$AD$1065,HLOOKUP(INDIRECT(ADDRESS(2,COLUMN())),OFFSET($BN$2,0,0,ROW()-1,60),ROW()-1,FALSE))</f>
        <v/>
      </c>
      <c r="AE401" t="str">
        <f ca="1">IF(AND(ISNUMBER($AE$1065),$B$677=1),$AE$1065,HLOOKUP(INDIRECT(ADDRESS(2,COLUMN())),OFFSET($BN$2,0,0,ROW()-1,60),ROW()-1,FALSE))</f>
        <v/>
      </c>
      <c r="AF401" t="str">
        <f ca="1">IF(AND(ISNUMBER($AF$1065),$B$677=1),$AF$1065,HLOOKUP(INDIRECT(ADDRESS(2,COLUMN())),OFFSET($BN$2,0,0,ROW()-1,60),ROW()-1,FALSE))</f>
        <v/>
      </c>
      <c r="AG401" t="str">
        <f ca="1">IF(AND(ISNUMBER($AG$1065),$B$677=1),$AG$1065,HLOOKUP(INDIRECT(ADDRESS(2,COLUMN())),OFFSET($BN$2,0,0,ROW()-1,60),ROW()-1,FALSE))</f>
        <v/>
      </c>
      <c r="AH401" t="str">
        <f ca="1">IF(AND(ISNUMBER($AH$1065),$B$677=1),$AH$1065,HLOOKUP(INDIRECT(ADDRESS(2,COLUMN())),OFFSET($BN$2,0,0,ROW()-1,60),ROW()-1,FALSE))</f>
        <v/>
      </c>
      <c r="AI401" t="str">
        <f ca="1">IF(AND(ISNUMBER($AI$1065),$B$677=1),$AI$1065,HLOOKUP(INDIRECT(ADDRESS(2,COLUMN())),OFFSET($BN$2,0,0,ROW()-1,60),ROW()-1,FALSE))</f>
        <v/>
      </c>
      <c r="AJ401" t="str">
        <f ca="1">IF(AND(ISNUMBER($AJ$1065),$B$677=1),$AJ$1065,HLOOKUP(INDIRECT(ADDRESS(2,COLUMN())),OFFSET($BN$2,0,0,ROW()-1,60),ROW()-1,FALSE))</f>
        <v/>
      </c>
      <c r="AK401" t="str">
        <f ca="1">IF(AND(ISNUMBER($AK$1065),$B$677=1),$AK$1065,HLOOKUP(INDIRECT(ADDRESS(2,COLUMN())),OFFSET($BN$2,0,0,ROW()-1,60),ROW()-1,FALSE))</f>
        <v/>
      </c>
      <c r="AL401" t="str">
        <f ca="1">IF(AND(ISNUMBER($AL$1065),$B$677=1),$AL$1065,HLOOKUP(INDIRECT(ADDRESS(2,COLUMN())),OFFSET($BN$2,0,0,ROW()-1,60),ROW()-1,FALSE))</f>
        <v/>
      </c>
      <c r="AM401" t="str">
        <f ca="1">IF(AND(ISNUMBER($AM$1065),$B$677=1),$AM$1065,HLOOKUP(INDIRECT(ADDRESS(2,COLUMN())),OFFSET($BN$2,0,0,ROW()-1,60),ROW()-1,FALSE))</f>
        <v/>
      </c>
      <c r="AN401" t="str">
        <f ca="1">IF(AND(ISNUMBER($AN$1065),$B$677=1),$AN$1065,HLOOKUP(INDIRECT(ADDRESS(2,COLUMN())),OFFSET($BN$2,0,0,ROW()-1,60),ROW()-1,FALSE))</f>
        <v/>
      </c>
      <c r="AO401" t="str">
        <f ca="1">IF(AND(ISNUMBER($AO$1065),$B$677=1),$AO$1065,HLOOKUP(INDIRECT(ADDRESS(2,COLUMN())),OFFSET($BN$2,0,0,ROW()-1,60),ROW()-1,FALSE))</f>
        <v/>
      </c>
      <c r="AP401" t="str">
        <f ca="1">IF(AND(ISNUMBER($AP$1065),$B$677=1),$AP$1065,HLOOKUP(INDIRECT(ADDRESS(2,COLUMN())),OFFSET($BN$2,0,0,ROW()-1,60),ROW()-1,FALSE))</f>
        <v/>
      </c>
      <c r="AQ401" t="str">
        <f ca="1">IF(AND(ISNUMBER($AQ$1065),$B$677=1),$AQ$1065,HLOOKUP(INDIRECT(ADDRESS(2,COLUMN())),OFFSET($BN$2,0,0,ROW()-1,60),ROW()-1,FALSE))</f>
        <v/>
      </c>
      <c r="AR401" t="str">
        <f ca="1">IF(AND(ISNUMBER($AR$1065),$B$677=1),$AR$1065,HLOOKUP(INDIRECT(ADDRESS(2,COLUMN())),OFFSET($BN$2,0,0,ROW()-1,60),ROW()-1,FALSE))</f>
        <v/>
      </c>
      <c r="AS401" t="str">
        <f ca="1">IF(AND(ISNUMBER($AS$1065),$B$677=1),$AS$1065,HLOOKUP(INDIRECT(ADDRESS(2,COLUMN())),OFFSET($BN$2,0,0,ROW()-1,60),ROW()-1,FALSE))</f>
        <v/>
      </c>
      <c r="AT401" t="str">
        <f ca="1">IF(AND(ISNUMBER($AT$1065),$B$677=1),$AT$1065,HLOOKUP(INDIRECT(ADDRESS(2,COLUMN())),OFFSET($BN$2,0,0,ROW()-1,60),ROW()-1,FALSE))</f>
        <v/>
      </c>
      <c r="AU401" t="str">
        <f ca="1">IF(AND(ISNUMBER($AU$1065),$B$677=1),$AU$1065,HLOOKUP(INDIRECT(ADDRESS(2,COLUMN())),OFFSET($BN$2,0,0,ROW()-1,60),ROW()-1,FALSE))</f>
        <v/>
      </c>
      <c r="AV401" t="str">
        <f ca="1">IF(AND(ISNUMBER($AV$1065),$B$677=1),$AV$1065,HLOOKUP(INDIRECT(ADDRESS(2,COLUMN())),OFFSET($BN$2,0,0,ROW()-1,60),ROW()-1,FALSE))</f>
        <v/>
      </c>
      <c r="AW401" t="str">
        <f ca="1">IF(AND(ISNUMBER($AW$1065),$B$677=1),$AW$1065,HLOOKUP(INDIRECT(ADDRESS(2,COLUMN())),OFFSET($BN$2,0,0,ROW()-1,60),ROW()-1,FALSE))</f>
        <v/>
      </c>
      <c r="AX401" t="str">
        <f ca="1">IF(AND(ISNUMBER($AX$1065),$B$677=1),$AX$1065,HLOOKUP(INDIRECT(ADDRESS(2,COLUMN())),OFFSET($BN$2,0,0,ROW()-1,60),ROW()-1,FALSE))</f>
        <v/>
      </c>
      <c r="AY401" t="str">
        <f ca="1">IF(AND(ISNUMBER($AY$1065),$B$677=1),$AY$1065,HLOOKUP(INDIRECT(ADDRESS(2,COLUMN())),OFFSET($BN$2,0,0,ROW()-1,60),ROW()-1,FALSE))</f>
        <v/>
      </c>
      <c r="AZ401" t="str">
        <f ca="1">IF(AND(ISNUMBER($AZ$1065),$B$677=1),$AZ$1065,HLOOKUP(INDIRECT(ADDRESS(2,COLUMN())),OFFSET($BN$2,0,0,ROW()-1,60),ROW()-1,FALSE))</f>
        <v/>
      </c>
      <c r="BA401" t="str">
        <f ca="1">IF(AND(ISNUMBER($BA$1065),$B$677=1),$BA$1065,HLOOKUP(INDIRECT(ADDRESS(2,COLUMN())),OFFSET($BN$2,0,0,ROW()-1,60),ROW()-1,FALSE))</f>
        <v/>
      </c>
      <c r="BB401" t="str">
        <f ca="1">IF(AND(ISNUMBER($BB$1065),$B$677=1),$BB$1065,HLOOKUP(INDIRECT(ADDRESS(2,COLUMN())),OFFSET($BN$2,0,0,ROW()-1,60),ROW()-1,FALSE))</f>
        <v/>
      </c>
      <c r="BC401" t="str">
        <f ca="1">IF(AND(ISNUMBER($BC$1065),$B$677=1),$BC$1065,HLOOKUP(INDIRECT(ADDRESS(2,COLUMN())),OFFSET($BN$2,0,0,ROW()-1,60),ROW()-1,FALSE))</f>
        <v/>
      </c>
      <c r="BD401" t="str">
        <f ca="1">IF(AND(ISNUMBER($BD$1065),$B$677=1),$BD$1065,HLOOKUP(INDIRECT(ADDRESS(2,COLUMN())),OFFSET($BN$2,0,0,ROW()-1,60),ROW()-1,FALSE))</f>
        <v/>
      </c>
      <c r="BE401" t="str">
        <f ca="1">IF(AND(ISNUMBER($BE$1065),$B$677=1),$BE$1065,HLOOKUP(INDIRECT(ADDRESS(2,COLUMN())),OFFSET($BN$2,0,0,ROW()-1,60),ROW()-1,FALSE))</f>
        <v/>
      </c>
      <c r="BF401" t="str">
        <f ca="1">IF(AND(ISNUMBER($BF$1065),$B$677=1),$BF$1065,HLOOKUP(INDIRECT(ADDRESS(2,COLUMN())),OFFSET($BN$2,0,0,ROW()-1,60),ROW()-1,FALSE))</f>
        <v/>
      </c>
      <c r="BG401" t="str">
        <f ca="1">IF(AND(ISNUMBER($BG$1065),$B$677=1),$BG$1065,HLOOKUP(INDIRECT(ADDRESS(2,COLUMN())),OFFSET($BN$2,0,0,ROW()-1,60),ROW()-1,FALSE))</f>
        <v/>
      </c>
      <c r="BH401" t="str">
        <f ca="1">IF(AND(ISNUMBER($BH$1065),$B$677=1),$BH$1065,HLOOKUP(INDIRECT(ADDRESS(2,COLUMN())),OFFSET($BN$2,0,0,ROW()-1,60),ROW()-1,FALSE))</f>
        <v/>
      </c>
      <c r="BI401" t="str">
        <f ca="1">IF(AND(ISNUMBER($BI$1065),$B$677=1),$BI$1065,HLOOKUP(INDIRECT(ADDRESS(2,COLUMN())),OFFSET($BN$2,0,0,ROW()-1,60),ROW()-1,FALSE))</f>
        <v/>
      </c>
      <c r="BJ401" t="str">
        <f ca="1">IF(AND(ISNUMBER($BJ$1065),$B$677=1),$BJ$1065,HLOOKUP(INDIRECT(ADDRESS(2,COLUMN())),OFFSET($BN$2,0,0,ROW()-1,60),ROW()-1,FALSE))</f>
        <v/>
      </c>
      <c r="BK401" t="str">
        <f ca="1">IF(AND(ISNUMBER($BK$1065),$B$677=1),$BK$1065,HLOOKUP(INDIRECT(ADDRESS(2,COLUMN())),OFFSET($BN$2,0,0,ROW()-1,60),ROW()-1,FALSE))</f>
        <v/>
      </c>
      <c r="BL401" t="str">
        <f ca="1">IF(AND(ISNUMBER($BL$1065),$B$677=1),$BL$1065,HLOOKUP(INDIRECT(ADDRESS(2,COLUMN())),OFFSET($BN$2,0,0,ROW()-1,60),ROW()-1,FALSE))</f>
        <v/>
      </c>
      <c r="BM401" t="str">
        <f ca="1">IF(AND(ISNUMBER($BM$1065),$B$677=1),$BM$1065,HLOOKUP(INDIRECT(ADDRESS(2,COLUMN())),OFFSET($BN$2,0,0,ROW()-1,60),ROW()-1,FALSE))</f>
        <v/>
      </c>
      <c r="BN401" t="str">
        <f>""</f>
        <v/>
      </c>
      <c r="BO401" t="str">
        <f>""</f>
        <v/>
      </c>
      <c r="BP401" t="str">
        <f>""</f>
        <v/>
      </c>
      <c r="BQ401" t="str">
        <f>""</f>
        <v/>
      </c>
      <c r="BR401" t="str">
        <f>""</f>
        <v/>
      </c>
      <c r="BS401" t="str">
        <f>""</f>
        <v/>
      </c>
      <c r="BT401" t="str">
        <f>""</f>
        <v/>
      </c>
      <c r="BU401" t="str">
        <f>""</f>
        <v/>
      </c>
      <c r="BV401" t="str">
        <f>""</f>
        <v/>
      </c>
      <c r="BW401" t="str">
        <f>""</f>
        <v/>
      </c>
      <c r="BX401" t="str">
        <f>""</f>
        <v/>
      </c>
      <c r="BY401" t="str">
        <f>""</f>
        <v/>
      </c>
      <c r="BZ401" t="str">
        <f>""</f>
        <v/>
      </c>
      <c r="CA401" t="str">
        <f>""</f>
        <v/>
      </c>
      <c r="CB401" t="str">
        <f>""</f>
        <v/>
      </c>
      <c r="CC401" t="str">
        <f>""</f>
        <v/>
      </c>
      <c r="CD401" t="str">
        <f>""</f>
        <v/>
      </c>
      <c r="CE401" t="str">
        <f>""</f>
        <v/>
      </c>
      <c r="CF401" t="str">
        <f>""</f>
        <v/>
      </c>
      <c r="CG401" t="str">
        <f>""</f>
        <v/>
      </c>
      <c r="CH401" t="str">
        <f>""</f>
        <v/>
      </c>
      <c r="CI401" t="str">
        <f>""</f>
        <v/>
      </c>
      <c r="CJ401" t="str">
        <f>""</f>
        <v/>
      </c>
      <c r="CK401" t="str">
        <f>""</f>
        <v/>
      </c>
      <c r="CL401" t="str">
        <f>""</f>
        <v/>
      </c>
      <c r="CM401" t="str">
        <f>""</f>
        <v/>
      </c>
      <c r="CN401" t="str">
        <f>""</f>
        <v/>
      </c>
      <c r="CO401" t="str">
        <f>""</f>
        <v/>
      </c>
      <c r="CP401" t="str">
        <f>""</f>
        <v/>
      </c>
      <c r="CQ401" t="str">
        <f>""</f>
        <v/>
      </c>
      <c r="CR401" t="str">
        <f>""</f>
        <v/>
      </c>
      <c r="CS401" t="str">
        <f>""</f>
        <v/>
      </c>
      <c r="CT401" t="str">
        <f>""</f>
        <v/>
      </c>
      <c r="CU401" t="str">
        <f>""</f>
        <v/>
      </c>
      <c r="CV401" t="str">
        <f>""</f>
        <v/>
      </c>
      <c r="CW401" t="str">
        <f>""</f>
        <v/>
      </c>
      <c r="CX401" t="str">
        <f>""</f>
        <v/>
      </c>
      <c r="CY401" t="str">
        <f>""</f>
        <v/>
      </c>
      <c r="CZ401" t="str">
        <f>""</f>
        <v/>
      </c>
      <c r="DA401" t="str">
        <f>""</f>
        <v/>
      </c>
      <c r="DB401" t="str">
        <f>""</f>
        <v/>
      </c>
      <c r="DC401" t="str">
        <f>""</f>
        <v/>
      </c>
      <c r="DD401" t="str">
        <f>""</f>
        <v/>
      </c>
      <c r="DE401" t="str">
        <f>""</f>
        <v/>
      </c>
      <c r="DF401" t="str">
        <f>""</f>
        <v/>
      </c>
      <c r="DG401" t="str">
        <f>""</f>
        <v/>
      </c>
      <c r="DH401" t="str">
        <f>""</f>
        <v/>
      </c>
      <c r="DI401" t="str">
        <f>""</f>
        <v/>
      </c>
      <c r="DJ401" t="str">
        <f>""</f>
        <v/>
      </c>
      <c r="DK401" t="str">
        <f>""</f>
        <v/>
      </c>
      <c r="DL401" t="str">
        <f>""</f>
        <v/>
      </c>
      <c r="DM401" t="str">
        <f>""</f>
        <v/>
      </c>
      <c r="DN401" t="str">
        <f>""</f>
        <v/>
      </c>
      <c r="DO401" t="str">
        <f>""</f>
        <v/>
      </c>
      <c r="DP401" t="str">
        <f>""</f>
        <v/>
      </c>
      <c r="DQ401" t="str">
        <f>""</f>
        <v/>
      </c>
      <c r="DR401" t="str">
        <f>""</f>
        <v/>
      </c>
      <c r="DS401" t="str">
        <f>""</f>
        <v/>
      </c>
      <c r="DT401" t="str">
        <f>""</f>
        <v/>
      </c>
      <c r="DU401" t="str">
        <f>""</f>
        <v/>
      </c>
    </row>
    <row r="402" spans="1:125" x14ac:dyDescent="0.25">
      <c r="A402" t="str">
        <f>"    SAIC Motor Corp Ltd"</f>
        <v xml:space="preserve">    SAIC Motor Corp Ltd</v>
      </c>
      <c r="B402" t="str">
        <f>"600104 CH Equity"</f>
        <v>600104 CH Equity</v>
      </c>
      <c r="C402" t="str">
        <f t="shared" si="27"/>
        <v>RR480</v>
      </c>
      <c r="D402" t="str">
        <f t="shared" si="28"/>
        <v>EV_TO_MKT_CAP</v>
      </c>
      <c r="E402" t="str">
        <f t="shared" si="29"/>
        <v>Dynamic</v>
      </c>
      <c r="F402" t="str">
        <f ca="1">IF(AND(ISNUMBER($F$1066),$B$677=1),$F$1066,HLOOKUP(INDIRECT(ADDRESS(2,COLUMN())),OFFSET($BN$2,0,0,ROW()-1,60),ROW()-1,FALSE))</f>
        <v/>
      </c>
      <c r="G402" t="str">
        <f ca="1">IF(AND(ISNUMBER($G$1066),$B$677=1),$G$1066,HLOOKUP(INDIRECT(ADDRESS(2,COLUMN())),OFFSET($BN$2,0,0,ROW()-1,60),ROW()-1,FALSE))</f>
        <v/>
      </c>
      <c r="H402">
        <f ca="1">IF(AND(ISNUMBER($H$1066),$B$677=1),$H$1066,HLOOKUP(INDIRECT(ADDRESS(2,COLUMN())),OFFSET($BN$2,0,0,ROW()-1,60),ROW()-1,FALSE))</f>
        <v>1.223042191</v>
      </c>
      <c r="I402">
        <f ca="1">IF(AND(ISNUMBER($I$1066),$B$677=1),$I$1066,HLOOKUP(INDIRECT(ADDRESS(2,COLUMN())),OFFSET($BN$2,0,0,ROW()-1,60),ROW()-1,FALSE))</f>
        <v>1.0915301959999999</v>
      </c>
      <c r="J402">
        <f ca="1">IF(AND(ISNUMBER($J$1066),$B$677=1),$J$1066,HLOOKUP(INDIRECT(ADDRESS(2,COLUMN())),OFFSET($BN$2,0,0,ROW()-1,60),ROW()-1,FALSE))</f>
        <v>1.254062845</v>
      </c>
      <c r="K402">
        <f ca="1">IF(AND(ISNUMBER($K$1066),$B$677=1),$K$1066,HLOOKUP(INDIRECT(ADDRESS(2,COLUMN())),OFFSET($BN$2,0,0,ROW()-1,60),ROW()-1,FALSE))</f>
        <v>1.2797689720000001</v>
      </c>
      <c r="L402">
        <f ca="1">IF(AND(ISNUMBER($L$1066),$B$677=1),$L$1066,HLOOKUP(INDIRECT(ADDRESS(2,COLUMN())),OFFSET($BN$2,0,0,ROW()-1,60),ROW()-1,FALSE))</f>
        <v>1.1931840119999999</v>
      </c>
      <c r="M402">
        <f ca="1">IF(AND(ISNUMBER($M$1066),$B$677=1),$M$1066,HLOOKUP(INDIRECT(ADDRESS(2,COLUMN())),OFFSET($BN$2,0,0,ROW()-1,60),ROW()-1,FALSE))</f>
        <v>0.95594543899999995</v>
      </c>
      <c r="N402">
        <f ca="1">IF(AND(ISNUMBER($N$1066),$B$677=1),$N$1066,HLOOKUP(INDIRECT(ADDRESS(2,COLUMN())),OFFSET($BN$2,0,0,ROW()-1,60),ROW()-1,FALSE))</f>
        <v>1.2295085569999999</v>
      </c>
      <c r="O402">
        <f ca="1">IF(AND(ISNUMBER($O$1066),$B$677=1),$O$1066,HLOOKUP(INDIRECT(ADDRESS(2,COLUMN())),OFFSET($BN$2,0,0,ROW()-1,60),ROW()-1,FALSE))</f>
        <v>1.252535411</v>
      </c>
      <c r="P402">
        <f ca="1">IF(AND(ISNUMBER($P$1066),$B$677=1),$P$1066,HLOOKUP(INDIRECT(ADDRESS(2,COLUMN())),OFFSET($BN$2,0,0,ROW()-1,60),ROW()-1,FALSE))</f>
        <v>1.249247287</v>
      </c>
      <c r="Q402">
        <f ca="1">IF(AND(ISNUMBER($Q$1066),$B$677=1),$Q$1066,HLOOKUP(INDIRECT(ADDRESS(2,COLUMN())),OFFSET($BN$2,0,0,ROW()-1,60),ROW()-1,FALSE))</f>
        <v>1.27842104</v>
      </c>
      <c r="R402">
        <f ca="1">IF(AND(ISNUMBER($R$1066),$B$677=1),$R$1066,HLOOKUP(INDIRECT(ADDRESS(2,COLUMN())),OFFSET($BN$2,0,0,ROW()-1,60),ROW()-1,FALSE))</f>
        <v>1.2450223279999999</v>
      </c>
      <c r="S402">
        <f ca="1">IF(AND(ISNUMBER($S$1066),$B$677=1),$S$1066,HLOOKUP(INDIRECT(ADDRESS(2,COLUMN())),OFFSET($BN$2,0,0,ROW()-1,60),ROW()-1,FALSE))</f>
        <v>1.28656901</v>
      </c>
      <c r="T402">
        <f ca="1">IF(AND(ISNUMBER($T$1066),$B$677=1),$T$1066,HLOOKUP(INDIRECT(ADDRESS(2,COLUMN())),OFFSET($BN$2,0,0,ROW()-1,60),ROW()-1,FALSE))</f>
        <v>1.3105484540000001</v>
      </c>
      <c r="U402">
        <f ca="1">IF(AND(ISNUMBER($U$1066),$B$677=1),$U$1066,HLOOKUP(INDIRECT(ADDRESS(2,COLUMN())),OFFSET($BN$2,0,0,ROW()-1,60),ROW()-1,FALSE))</f>
        <v>1.2115459550000001</v>
      </c>
      <c r="V402">
        <f ca="1">IF(AND(ISNUMBER($V$1066),$B$677=1),$V$1066,HLOOKUP(INDIRECT(ADDRESS(2,COLUMN())),OFFSET($BN$2,0,0,ROW()-1,60),ROW()-1,FALSE))</f>
        <v>1.242195264</v>
      </c>
      <c r="W402">
        <f ca="1">IF(AND(ISNUMBER($W$1066),$B$677=1),$W$1066,HLOOKUP(INDIRECT(ADDRESS(2,COLUMN())),OFFSET($BN$2,0,0,ROW()-1,60),ROW()-1,FALSE))</f>
        <v>1.0252670509999999</v>
      </c>
      <c r="X402">
        <f ca="1">IF(AND(ISNUMBER($X$1066),$B$677=1),$X$1066,HLOOKUP(INDIRECT(ADDRESS(2,COLUMN())),OFFSET($BN$2,0,0,ROW()-1,60),ROW()-1,FALSE))</f>
        <v>0.98674378500000004</v>
      </c>
      <c r="Y402">
        <f ca="1">IF(AND(ISNUMBER($Y$1066),$B$677=1),$Y$1066,HLOOKUP(INDIRECT(ADDRESS(2,COLUMN())),OFFSET($BN$2,0,0,ROW()-1,60),ROW()-1,FALSE))</f>
        <v>0.90892468900000001</v>
      </c>
      <c r="Z402">
        <f ca="1">IF(AND(ISNUMBER($Z$1066),$B$677=1),$Z$1066,HLOOKUP(INDIRECT(ADDRESS(2,COLUMN())),OFFSET($BN$2,0,0,ROW()-1,60),ROW()-1,FALSE))</f>
        <v>1.0937350509999999</v>
      </c>
      <c r="AA402">
        <f ca="1">IF(AND(ISNUMBER($AA$1066),$B$677=1),$AA$1066,HLOOKUP(INDIRECT(ADDRESS(2,COLUMN())),OFFSET($BN$2,0,0,ROW()-1,60),ROW()-1,FALSE))</f>
        <v>1.004816189</v>
      </c>
      <c r="AB402">
        <f ca="1">IF(AND(ISNUMBER($AB$1066),$B$677=1),$AB$1066,HLOOKUP(INDIRECT(ADDRESS(2,COLUMN())),OFFSET($BN$2,0,0,ROW()-1,60),ROW()-1,FALSE))</f>
        <v>1.072397743</v>
      </c>
      <c r="AC402">
        <f ca="1">IF(AND(ISNUMBER($AC$1066),$B$677=1),$AC$1066,HLOOKUP(INDIRECT(ADDRESS(2,COLUMN())),OFFSET($BN$2,0,0,ROW()-1,60),ROW()-1,FALSE))</f>
        <v>0.86167511699999999</v>
      </c>
      <c r="AD402">
        <f ca="1">IF(AND(ISNUMBER($AD$1066),$B$677=1),$AD$1066,HLOOKUP(INDIRECT(ADDRESS(2,COLUMN())),OFFSET($BN$2,0,0,ROW()-1,60),ROW()-1,FALSE))</f>
        <v>1.1495491600000001</v>
      </c>
      <c r="AE402">
        <f ca="1">IF(AND(ISNUMBER($AE$1066),$B$677=1),$AE$1066,HLOOKUP(INDIRECT(ADDRESS(2,COLUMN())),OFFSET($BN$2,0,0,ROW()-1,60),ROW()-1,FALSE))</f>
        <v>1.026083077</v>
      </c>
      <c r="AF402">
        <f ca="1">IF(AND(ISNUMBER($AF$1066),$B$677=1),$AF$1066,HLOOKUP(INDIRECT(ADDRESS(2,COLUMN())),OFFSET($BN$2,0,0,ROW()-1,60),ROW()-1,FALSE))</f>
        <v>0.95894821699999999</v>
      </c>
      <c r="AG402">
        <f ca="1">IF(AND(ISNUMBER($AG$1066),$B$677=1),$AG$1066,HLOOKUP(INDIRECT(ADDRESS(2,COLUMN())),OFFSET($BN$2,0,0,ROW()-1,60),ROW()-1,FALSE))</f>
        <v>0.920982364</v>
      </c>
      <c r="AH402">
        <f ca="1">IF(AND(ISNUMBER($AH$1066),$B$677=1),$AH$1066,HLOOKUP(INDIRECT(ADDRESS(2,COLUMN())),OFFSET($BN$2,0,0,ROW()-1,60),ROW()-1,FALSE))</f>
        <v>0.96731751200000005</v>
      </c>
      <c r="AI402">
        <f ca="1">IF(AND(ISNUMBER($AI$1066),$B$677=1),$AI$1066,HLOOKUP(INDIRECT(ADDRESS(2,COLUMN())),OFFSET($BN$2,0,0,ROW()-1,60),ROW()-1,FALSE))</f>
        <v>1.0374030219999999</v>
      </c>
      <c r="AJ402">
        <f ca="1">IF(AND(ISNUMBER($AJ$1066),$B$677=1),$AJ$1066,HLOOKUP(INDIRECT(ADDRESS(2,COLUMN())),OFFSET($BN$2,0,0,ROW()-1,60),ROW()-1,FALSE))</f>
        <v>1.010499665</v>
      </c>
      <c r="AK402">
        <f ca="1">IF(AND(ISNUMBER($AK$1066),$B$677=1),$AK$1066,HLOOKUP(INDIRECT(ADDRESS(2,COLUMN())),OFFSET($BN$2,0,0,ROW()-1,60),ROW()-1,FALSE))</f>
        <v>0.98266898899999999</v>
      </c>
      <c r="AL402" t="str">
        <f ca="1">IF(AND(ISNUMBER($AL$1066),$B$677=1),$AL$1066,HLOOKUP(INDIRECT(ADDRESS(2,COLUMN())),OFFSET($BN$2,0,0,ROW()-1,60),ROW()-1,FALSE))</f>
        <v/>
      </c>
      <c r="AM402">
        <f ca="1">IF(AND(ISNUMBER($AM$1066),$B$677=1),$AM$1066,HLOOKUP(INDIRECT(ADDRESS(2,COLUMN())),OFFSET($BN$2,0,0,ROW()-1,60),ROW()-1,FALSE))</f>
        <v>0.96035071599999999</v>
      </c>
      <c r="AN402">
        <f ca="1">IF(AND(ISNUMBER($AN$1066),$B$677=1),$AN$1066,HLOOKUP(INDIRECT(ADDRESS(2,COLUMN())),OFFSET($BN$2,0,0,ROW()-1,60),ROW()-1,FALSE))</f>
        <v>1.0838544939999999</v>
      </c>
      <c r="AO402">
        <f ca="1">IF(AND(ISNUMBER($AO$1066),$B$677=1),$AO$1066,HLOOKUP(INDIRECT(ADDRESS(2,COLUMN())),OFFSET($BN$2,0,0,ROW()-1,60),ROW()-1,FALSE))</f>
        <v>1.1368077459999999</v>
      </c>
      <c r="AP402">
        <f ca="1">IF(AND(ISNUMBER($AP$1066),$B$677=1),$AP$1066,HLOOKUP(INDIRECT(ADDRESS(2,COLUMN())),OFFSET($BN$2,0,0,ROW()-1,60),ROW()-1,FALSE))</f>
        <v>1.023467755</v>
      </c>
      <c r="AQ402">
        <f ca="1">IF(AND(ISNUMBER($AQ$1066),$B$677=1),$AQ$1066,HLOOKUP(INDIRECT(ADDRESS(2,COLUMN())),OFFSET($BN$2,0,0,ROW()-1,60),ROW()-1,FALSE))</f>
        <v>1.126690763</v>
      </c>
      <c r="AR402">
        <f ca="1">IF(AND(ISNUMBER($AR$1066),$B$677=1),$AR$1066,HLOOKUP(INDIRECT(ADDRESS(2,COLUMN())),OFFSET($BN$2,0,0,ROW()-1,60),ROW()-1,FALSE))</f>
        <v>1.0779515980000001</v>
      </c>
      <c r="AS402">
        <f ca="1">IF(AND(ISNUMBER($AS$1066),$B$677=1),$AS$1066,HLOOKUP(INDIRECT(ADDRESS(2,COLUMN())),OFFSET($BN$2,0,0,ROW()-1,60),ROW()-1,FALSE))</f>
        <v>1.164356028</v>
      </c>
      <c r="AT402">
        <f ca="1">IF(AND(ISNUMBER($AT$1066),$B$677=1),$AT$1066,HLOOKUP(INDIRECT(ADDRESS(2,COLUMN())),OFFSET($BN$2,0,0,ROW()-1,60),ROW()-1,FALSE))</f>
        <v>1.113275357</v>
      </c>
      <c r="AU402">
        <f ca="1">IF(AND(ISNUMBER($AU$1066),$B$677=1),$AU$1066,HLOOKUP(INDIRECT(ADDRESS(2,COLUMN())),OFFSET($BN$2,0,0,ROW()-1,60),ROW()-1,FALSE))</f>
        <v>0.87827216900000005</v>
      </c>
      <c r="AV402">
        <f ca="1">IF(AND(ISNUMBER($AV$1066),$B$677=1),$AV$1066,HLOOKUP(INDIRECT(ADDRESS(2,COLUMN())),OFFSET($BN$2,0,0,ROW()-1,60),ROW()-1,FALSE))</f>
        <v>1.101043993</v>
      </c>
      <c r="AW402">
        <f ca="1">IF(AND(ISNUMBER($AW$1066),$B$677=1),$AW$1066,HLOOKUP(INDIRECT(ADDRESS(2,COLUMN())),OFFSET($BN$2,0,0,ROW()-1,60),ROW()-1,FALSE))</f>
        <v>1.055121832</v>
      </c>
      <c r="AX402">
        <f ca="1">IF(AND(ISNUMBER($AX$1066),$B$677=1),$AX$1066,HLOOKUP(INDIRECT(ADDRESS(2,COLUMN())),OFFSET($BN$2,0,0,ROW()-1,60),ROW()-1,FALSE))</f>
        <v>0.88290477199999995</v>
      </c>
      <c r="AY402">
        <f ca="1">IF(AND(ISNUMBER($AY$1066),$B$677=1),$AY$1066,HLOOKUP(INDIRECT(ADDRESS(2,COLUMN())),OFFSET($BN$2,0,0,ROW()-1,60),ROW()-1,FALSE))</f>
        <v>1.0226437930000001</v>
      </c>
      <c r="AZ402">
        <f ca="1">IF(AND(ISNUMBER($AZ$1066),$B$677=1),$AZ$1066,HLOOKUP(INDIRECT(ADDRESS(2,COLUMN())),OFFSET($BN$2,0,0,ROW()-1,60),ROW()-1,FALSE))</f>
        <v>0.97141289099999995</v>
      </c>
      <c r="BA402">
        <f ca="1">IF(AND(ISNUMBER($BA$1066),$B$677=1),$BA$1066,HLOOKUP(INDIRECT(ADDRESS(2,COLUMN())),OFFSET($BN$2,0,0,ROW()-1,60),ROW()-1,FALSE))</f>
        <v>0.96392694499999998</v>
      </c>
      <c r="BB402">
        <f ca="1">IF(AND(ISNUMBER($BB$1066),$B$677=1),$BB$1066,HLOOKUP(INDIRECT(ADDRESS(2,COLUMN())),OFFSET($BN$2,0,0,ROW()-1,60),ROW()-1,FALSE))</f>
        <v>0.99180670900000001</v>
      </c>
      <c r="BC402">
        <f ca="1">IF(AND(ISNUMBER($BC$1066),$B$677=1),$BC$1066,HLOOKUP(INDIRECT(ADDRESS(2,COLUMN())),OFFSET($BN$2,0,0,ROW()-1,60),ROW()-1,FALSE))</f>
        <v>0.98047149600000005</v>
      </c>
      <c r="BD402">
        <f ca="1">IF(AND(ISNUMBER($BD$1066),$B$677=1),$BD$1066,HLOOKUP(INDIRECT(ADDRESS(2,COLUMN())),OFFSET($BN$2,0,0,ROW()-1,60),ROW()-1,FALSE))</f>
        <v>0.90624898399999998</v>
      </c>
      <c r="BE402">
        <f ca="1">IF(AND(ISNUMBER($BE$1066),$B$677=1),$BE$1066,HLOOKUP(INDIRECT(ADDRESS(2,COLUMN())),OFFSET($BN$2,0,0,ROW()-1,60),ROW()-1,FALSE))</f>
        <v>0.89768682799999999</v>
      </c>
      <c r="BF402">
        <f ca="1">IF(AND(ISNUMBER($BF$1066),$B$677=1),$BF$1066,HLOOKUP(INDIRECT(ADDRESS(2,COLUMN())),OFFSET($BN$2,0,0,ROW()-1,60),ROW()-1,FALSE))</f>
        <v>0.83257690600000001</v>
      </c>
      <c r="BG402">
        <f ca="1">IF(AND(ISNUMBER($BG$1066),$B$677=1),$BG$1066,HLOOKUP(INDIRECT(ADDRESS(2,COLUMN())),OFFSET($BN$2,0,0,ROW()-1,60),ROW()-1,FALSE))</f>
        <v>0.84632775299999996</v>
      </c>
      <c r="BH402">
        <f ca="1">IF(AND(ISNUMBER($BH$1066),$B$677=1),$BH$1066,HLOOKUP(INDIRECT(ADDRESS(2,COLUMN())),OFFSET($BN$2,0,0,ROW()-1,60),ROW()-1,FALSE))</f>
        <v>0.90292444999999999</v>
      </c>
      <c r="BI402">
        <f ca="1">IF(AND(ISNUMBER($BI$1066),$B$677=1),$BI$1066,HLOOKUP(INDIRECT(ADDRESS(2,COLUMN())),OFFSET($BN$2,0,0,ROW()-1,60),ROW()-1,FALSE))</f>
        <v>0.91612285900000001</v>
      </c>
      <c r="BJ402">
        <f ca="1">IF(AND(ISNUMBER($BJ$1066),$B$677=1),$BJ$1066,HLOOKUP(INDIRECT(ADDRESS(2,COLUMN())),OFFSET($BN$2,0,0,ROW()-1,60),ROW()-1,FALSE))</f>
        <v>0.87920754899999998</v>
      </c>
      <c r="BK402">
        <f ca="1">IF(AND(ISNUMBER($BK$1066),$B$677=1),$BK$1066,HLOOKUP(INDIRECT(ADDRESS(2,COLUMN())),OFFSET($BN$2,0,0,ROW()-1,60),ROW()-1,FALSE))</f>
        <v>0.89729535400000004</v>
      </c>
      <c r="BL402">
        <f ca="1">IF(AND(ISNUMBER($BL$1066),$B$677=1),$BL$1066,HLOOKUP(INDIRECT(ADDRESS(2,COLUMN())),OFFSET($BN$2,0,0,ROW()-1,60),ROW()-1,FALSE))</f>
        <v>0.94482345199999995</v>
      </c>
      <c r="BM402">
        <f ca="1">IF(AND(ISNUMBER($BM$1066),$B$677=1),$BM$1066,HLOOKUP(INDIRECT(ADDRESS(2,COLUMN())),OFFSET($BN$2,0,0,ROW()-1,60),ROW()-1,FALSE))</f>
        <v>0.93181329700000004</v>
      </c>
      <c r="BN402" t="str">
        <f>""</f>
        <v/>
      </c>
      <c r="BO402" t="str">
        <f>""</f>
        <v/>
      </c>
      <c r="BP402">
        <f>1.223042191</f>
        <v>1.223042191</v>
      </c>
      <c r="BQ402">
        <f>1.091530196</f>
        <v>1.0915301959999999</v>
      </c>
      <c r="BR402">
        <f>1.254062845</f>
        <v>1.254062845</v>
      </c>
      <c r="BS402">
        <f>1.279768972</f>
        <v>1.2797689720000001</v>
      </c>
      <c r="BT402">
        <f>1.193184012</f>
        <v>1.1931840119999999</v>
      </c>
      <c r="BU402">
        <f>0.955945439</f>
        <v>0.95594543899999995</v>
      </c>
      <c r="BV402">
        <f>1.229508557</f>
        <v>1.2295085569999999</v>
      </c>
      <c r="BW402">
        <f>1.252535411</f>
        <v>1.252535411</v>
      </c>
      <c r="BX402">
        <f>1.249247287</f>
        <v>1.249247287</v>
      </c>
      <c r="BY402">
        <f>1.27842104</f>
        <v>1.27842104</v>
      </c>
      <c r="BZ402">
        <f>1.245022328</f>
        <v>1.2450223279999999</v>
      </c>
      <c r="CA402">
        <f>1.28656901</f>
        <v>1.28656901</v>
      </c>
      <c r="CB402">
        <f>1.310548454</f>
        <v>1.3105484540000001</v>
      </c>
      <c r="CC402">
        <f>1.211545955</f>
        <v>1.2115459550000001</v>
      </c>
      <c r="CD402">
        <f>1.242195264</f>
        <v>1.242195264</v>
      </c>
      <c r="CE402">
        <f>1.025267051</f>
        <v>1.0252670509999999</v>
      </c>
      <c r="CF402">
        <f>0.986743785</f>
        <v>0.98674378500000004</v>
      </c>
      <c r="CG402">
        <f>0.908924689</f>
        <v>0.90892468900000001</v>
      </c>
      <c r="CH402">
        <f>1.093735051</f>
        <v>1.0937350509999999</v>
      </c>
      <c r="CI402">
        <f>1.004816189</f>
        <v>1.004816189</v>
      </c>
      <c r="CJ402">
        <f>1.072397743</f>
        <v>1.072397743</v>
      </c>
      <c r="CK402">
        <f>0.861675117</f>
        <v>0.86167511699999999</v>
      </c>
      <c r="CL402">
        <f>1.14954916</f>
        <v>1.1495491600000001</v>
      </c>
      <c r="CM402">
        <f>1.026083077</f>
        <v>1.026083077</v>
      </c>
      <c r="CN402">
        <f>0.958948217</f>
        <v>0.95894821699999999</v>
      </c>
      <c r="CO402">
        <f>0.920982364</f>
        <v>0.920982364</v>
      </c>
      <c r="CP402">
        <f>0.967317512</f>
        <v>0.96731751200000005</v>
      </c>
      <c r="CQ402">
        <f>1.037403022</f>
        <v>1.0374030219999999</v>
      </c>
      <c r="CR402">
        <f>1.010499665</f>
        <v>1.010499665</v>
      </c>
      <c r="CS402">
        <f>0.982668989</f>
        <v>0.98266898899999999</v>
      </c>
      <c r="CT402" t="str">
        <f>""</f>
        <v/>
      </c>
      <c r="CU402">
        <f>0.960350716</f>
        <v>0.96035071599999999</v>
      </c>
      <c r="CV402">
        <f>1.083854494</f>
        <v>1.0838544939999999</v>
      </c>
      <c r="CW402">
        <f>1.136807746</f>
        <v>1.1368077459999999</v>
      </c>
      <c r="CX402">
        <f>1.023467755</f>
        <v>1.023467755</v>
      </c>
      <c r="CY402">
        <f>1.126690763</f>
        <v>1.126690763</v>
      </c>
      <c r="CZ402">
        <f>1.077951598</f>
        <v>1.0779515980000001</v>
      </c>
      <c r="DA402">
        <f>1.164356028</f>
        <v>1.164356028</v>
      </c>
      <c r="DB402">
        <f>1.113275357</f>
        <v>1.113275357</v>
      </c>
      <c r="DC402">
        <f>0.878272169</f>
        <v>0.87827216900000005</v>
      </c>
      <c r="DD402">
        <f>1.101043993</f>
        <v>1.101043993</v>
      </c>
      <c r="DE402">
        <f>1.055121832</f>
        <v>1.055121832</v>
      </c>
      <c r="DF402">
        <f>0.882904772</f>
        <v>0.88290477199999995</v>
      </c>
      <c r="DG402">
        <f>1.022643793</f>
        <v>1.0226437930000001</v>
      </c>
      <c r="DH402">
        <f>0.971412891</f>
        <v>0.97141289099999995</v>
      </c>
      <c r="DI402">
        <f>0.963926945</f>
        <v>0.96392694499999998</v>
      </c>
      <c r="DJ402">
        <f>0.991806709</f>
        <v>0.99180670900000001</v>
      </c>
      <c r="DK402">
        <f>0.980471496</f>
        <v>0.98047149600000005</v>
      </c>
      <c r="DL402">
        <f>0.906248984</f>
        <v>0.90624898399999998</v>
      </c>
      <c r="DM402">
        <f>0.897686828</f>
        <v>0.89768682799999999</v>
      </c>
      <c r="DN402">
        <f>0.832576906</f>
        <v>0.83257690600000001</v>
      </c>
      <c r="DO402">
        <f>0.846327753</f>
        <v>0.84632775299999996</v>
      </c>
      <c r="DP402">
        <f>0.90292445</f>
        <v>0.90292444999999999</v>
      </c>
      <c r="DQ402">
        <f>0.916122859</f>
        <v>0.91612285900000001</v>
      </c>
      <c r="DR402">
        <f>0.879207549</f>
        <v>0.87920754899999998</v>
      </c>
      <c r="DS402">
        <f>0.897295354</f>
        <v>0.89729535400000004</v>
      </c>
      <c r="DT402">
        <f>0.944823452</f>
        <v>0.94482345199999995</v>
      </c>
      <c r="DU402">
        <f>0.931813297</f>
        <v>0.93181329700000004</v>
      </c>
    </row>
    <row r="403" spans="1:125" x14ac:dyDescent="0.25">
      <c r="A403" t="str">
        <f>"    Sanyang Motor Co Ltd"</f>
        <v xml:space="preserve">    Sanyang Motor Co Ltd</v>
      </c>
      <c r="B403" t="str">
        <f>"2206 TT Equity"</f>
        <v>2206 TT Equity</v>
      </c>
      <c r="C403" t="str">
        <f t="shared" si="27"/>
        <v>RR480</v>
      </c>
      <c r="D403" t="str">
        <f t="shared" si="28"/>
        <v>EV_TO_MKT_CAP</v>
      </c>
      <c r="E403" t="str">
        <f t="shared" si="29"/>
        <v>Dynamic</v>
      </c>
      <c r="F403" t="str">
        <f ca="1">IF(AND(ISNUMBER($F$1067),$B$677=1),$F$1067,HLOOKUP(INDIRECT(ADDRESS(2,COLUMN())),OFFSET($BN$2,0,0,ROW()-1,60),ROW()-1,FALSE))</f>
        <v/>
      </c>
      <c r="G403" t="str">
        <f ca="1">IF(AND(ISNUMBER($G$1067),$B$677=1),$G$1067,HLOOKUP(INDIRECT(ADDRESS(2,COLUMN())),OFFSET($BN$2,0,0,ROW()-1,60),ROW()-1,FALSE))</f>
        <v/>
      </c>
      <c r="H403">
        <f ca="1">IF(AND(ISNUMBER($H$1067),$B$677=1),$H$1067,HLOOKUP(INDIRECT(ADDRESS(2,COLUMN())),OFFSET($BN$2,0,0,ROW()-1,60),ROW()-1,FALSE))</f>
        <v>1.6030614489999999</v>
      </c>
      <c r="I403">
        <f ca="1">IF(AND(ISNUMBER($I$1067),$B$677=1),$I$1067,HLOOKUP(INDIRECT(ADDRESS(2,COLUMN())),OFFSET($BN$2,0,0,ROW()-1,60),ROW()-1,FALSE))</f>
        <v>1.6488160249999999</v>
      </c>
      <c r="J403">
        <f ca="1">IF(AND(ISNUMBER($J$1067),$B$677=1),$J$1067,HLOOKUP(INDIRECT(ADDRESS(2,COLUMN())),OFFSET($BN$2,0,0,ROW()-1,60),ROW()-1,FALSE))</f>
        <v>1.6765222319999999</v>
      </c>
      <c r="K403">
        <f ca="1">IF(AND(ISNUMBER($K$1067),$B$677=1),$K$1067,HLOOKUP(INDIRECT(ADDRESS(2,COLUMN())),OFFSET($BN$2,0,0,ROW()-1,60),ROW()-1,FALSE))</f>
        <v>1.3192698940000001</v>
      </c>
      <c r="L403">
        <f ca="1">IF(AND(ISNUMBER($L$1067),$B$677=1),$L$1067,HLOOKUP(INDIRECT(ADDRESS(2,COLUMN())),OFFSET($BN$2,0,0,ROW()-1,60),ROW()-1,FALSE))</f>
        <v>1.6638279119999999</v>
      </c>
      <c r="M403">
        <f ca="1">IF(AND(ISNUMBER($M$1067),$B$677=1),$M$1067,HLOOKUP(INDIRECT(ADDRESS(2,COLUMN())),OFFSET($BN$2,0,0,ROW()-1,60),ROW()-1,FALSE))</f>
        <v>1.6145355770000001</v>
      </c>
      <c r="N403">
        <f ca="1">IF(AND(ISNUMBER($N$1067),$B$677=1),$N$1067,HLOOKUP(INDIRECT(ADDRESS(2,COLUMN())),OFFSET($BN$2,0,0,ROW()-1,60),ROW()-1,FALSE))</f>
        <v>1.565916431</v>
      </c>
      <c r="O403">
        <f ca="1">IF(AND(ISNUMBER($O$1067),$B$677=1),$O$1067,HLOOKUP(INDIRECT(ADDRESS(2,COLUMN())),OFFSET($BN$2,0,0,ROW()-1,60),ROW()-1,FALSE))</f>
        <v>1.3502105069999999</v>
      </c>
      <c r="P403">
        <f ca="1">IF(AND(ISNUMBER($P$1067),$B$677=1),$P$1067,HLOOKUP(INDIRECT(ADDRESS(2,COLUMN())),OFFSET($BN$2,0,0,ROW()-1,60),ROW()-1,FALSE))</f>
        <v>1.6744194530000001</v>
      </c>
      <c r="Q403">
        <f ca="1">IF(AND(ISNUMBER($Q$1067),$B$677=1),$Q$1067,HLOOKUP(INDIRECT(ADDRESS(2,COLUMN())),OFFSET($BN$2,0,0,ROW()-1,60),ROW()-1,FALSE))</f>
        <v>1.6065650849999999</v>
      </c>
      <c r="R403">
        <f ca="1">IF(AND(ISNUMBER($R$1067),$B$677=1),$R$1067,HLOOKUP(INDIRECT(ADDRESS(2,COLUMN())),OFFSET($BN$2,0,0,ROW()-1,60),ROW()-1,FALSE))</f>
        <v>1.6897182580000001</v>
      </c>
      <c r="S403">
        <f ca="1">IF(AND(ISNUMBER($S$1067),$B$677=1),$S$1067,HLOOKUP(INDIRECT(ADDRESS(2,COLUMN())),OFFSET($BN$2,0,0,ROW()-1,60),ROW()-1,FALSE))</f>
        <v>1.6719074389999999</v>
      </c>
      <c r="T403">
        <f ca="1">IF(AND(ISNUMBER($T$1067),$B$677=1),$T$1067,HLOOKUP(INDIRECT(ADDRESS(2,COLUMN())),OFFSET($BN$2,0,0,ROW()-1,60),ROW()-1,FALSE))</f>
        <v>1.690742255</v>
      </c>
      <c r="U403">
        <f ca="1">IF(AND(ISNUMBER($U$1067),$B$677=1),$U$1067,HLOOKUP(INDIRECT(ADDRESS(2,COLUMN())),OFFSET($BN$2,0,0,ROW()-1,60),ROW()-1,FALSE))</f>
        <v>1.4281507490000001</v>
      </c>
      <c r="V403">
        <f ca="1">IF(AND(ISNUMBER($V$1067),$B$677=1),$V$1067,HLOOKUP(INDIRECT(ADDRESS(2,COLUMN())),OFFSET($BN$2,0,0,ROW()-1,60),ROW()-1,FALSE))</f>
        <v>1.574243294</v>
      </c>
      <c r="W403">
        <f ca="1">IF(AND(ISNUMBER($W$1067),$B$677=1),$W$1067,HLOOKUP(INDIRECT(ADDRESS(2,COLUMN())),OFFSET($BN$2,0,0,ROW()-1,60),ROW()-1,FALSE))</f>
        <v>1.461263277</v>
      </c>
      <c r="X403">
        <f ca="1">IF(AND(ISNUMBER($X$1067),$B$677=1),$X$1067,HLOOKUP(INDIRECT(ADDRESS(2,COLUMN())),OFFSET($BN$2,0,0,ROW()-1,60),ROW()-1,FALSE))</f>
        <v>1.3541474179999999</v>
      </c>
      <c r="Y403">
        <f ca="1">IF(AND(ISNUMBER($Y$1067),$B$677=1),$Y$1067,HLOOKUP(INDIRECT(ADDRESS(2,COLUMN())),OFFSET($BN$2,0,0,ROW()-1,60),ROW()-1,FALSE))</f>
        <v>1.317937814</v>
      </c>
      <c r="Z403">
        <f ca="1">IF(AND(ISNUMBER($Z$1067),$B$677=1),$Z$1067,HLOOKUP(INDIRECT(ADDRESS(2,COLUMN())),OFFSET($BN$2,0,0,ROW()-1,60),ROW()-1,FALSE))</f>
        <v>1.225393352</v>
      </c>
      <c r="AA403">
        <f ca="1">IF(AND(ISNUMBER($AA$1067),$B$677=1),$AA$1067,HLOOKUP(INDIRECT(ADDRESS(2,COLUMN())),OFFSET($BN$2,0,0,ROW()-1,60),ROW()-1,FALSE))</f>
        <v>1.291864243</v>
      </c>
      <c r="AB403">
        <f ca="1">IF(AND(ISNUMBER($AB$1067),$B$677=1),$AB$1067,HLOOKUP(INDIRECT(ADDRESS(2,COLUMN())),OFFSET($BN$2,0,0,ROW()-1,60),ROW()-1,FALSE))</f>
        <v>1.212520896</v>
      </c>
      <c r="AC403">
        <f ca="1">IF(AND(ISNUMBER($AC$1067),$B$677=1),$AC$1067,HLOOKUP(INDIRECT(ADDRESS(2,COLUMN())),OFFSET($BN$2,0,0,ROW()-1,60),ROW()-1,FALSE))</f>
        <v>1.2738110359999999</v>
      </c>
      <c r="AD403">
        <f ca="1">IF(AND(ISNUMBER($AD$1067),$B$677=1),$AD$1067,HLOOKUP(INDIRECT(ADDRESS(2,COLUMN())),OFFSET($BN$2,0,0,ROW()-1,60),ROW()-1,FALSE))</f>
        <v>1.3411973230000001</v>
      </c>
      <c r="AE403">
        <f ca="1">IF(AND(ISNUMBER($AE$1067),$B$677=1),$AE$1067,HLOOKUP(INDIRECT(ADDRESS(2,COLUMN())),OFFSET($BN$2,0,0,ROW()-1,60),ROW()-1,FALSE))</f>
        <v>1.4011582300000001</v>
      </c>
      <c r="AF403">
        <f ca="1">IF(AND(ISNUMBER($AF$1067),$B$677=1),$AF$1067,HLOOKUP(INDIRECT(ADDRESS(2,COLUMN())),OFFSET($BN$2,0,0,ROW()-1,60),ROW()-1,FALSE))</f>
        <v>1.400625944</v>
      </c>
      <c r="AG403">
        <f ca="1">IF(AND(ISNUMBER($AG$1067),$B$677=1),$AG$1067,HLOOKUP(INDIRECT(ADDRESS(2,COLUMN())),OFFSET($BN$2,0,0,ROW()-1,60),ROW()-1,FALSE))</f>
        <v>1.433560462</v>
      </c>
      <c r="AH403">
        <f ca="1">IF(AND(ISNUMBER($AH$1067),$B$677=1),$AH$1067,HLOOKUP(INDIRECT(ADDRESS(2,COLUMN())),OFFSET($BN$2,0,0,ROW()-1,60),ROW()-1,FALSE))</f>
        <v>1.360746714</v>
      </c>
      <c r="AI403">
        <f ca="1">IF(AND(ISNUMBER($AI$1067),$B$677=1),$AI$1067,HLOOKUP(INDIRECT(ADDRESS(2,COLUMN())),OFFSET($BN$2,0,0,ROW()-1,60),ROW()-1,FALSE))</f>
        <v>1.4334037930000001</v>
      </c>
      <c r="AJ403">
        <f ca="1">IF(AND(ISNUMBER($AJ$1067),$B$677=1),$AJ$1067,HLOOKUP(INDIRECT(ADDRESS(2,COLUMN())),OFFSET($BN$2,0,0,ROW()-1,60),ROW()-1,FALSE))</f>
        <v>1.415758388</v>
      </c>
      <c r="AK403">
        <f ca="1">IF(AND(ISNUMBER($AK$1067),$B$677=1),$AK$1067,HLOOKUP(INDIRECT(ADDRESS(2,COLUMN())),OFFSET($BN$2,0,0,ROW()-1,60),ROW()-1,FALSE))</f>
        <v>1.4381520249999999</v>
      </c>
      <c r="AL403">
        <f ca="1">IF(AND(ISNUMBER($AL$1067),$B$677=1),$AL$1067,HLOOKUP(INDIRECT(ADDRESS(2,COLUMN())),OFFSET($BN$2,0,0,ROW()-1,60),ROW()-1,FALSE))</f>
        <v>1.4085103370000001</v>
      </c>
      <c r="AM403">
        <f ca="1">IF(AND(ISNUMBER($AM$1067),$B$677=1),$AM$1067,HLOOKUP(INDIRECT(ADDRESS(2,COLUMN())),OFFSET($BN$2,0,0,ROW()-1,60),ROW()-1,FALSE))</f>
        <v>1.3746566330000001</v>
      </c>
      <c r="AN403">
        <f ca="1">IF(AND(ISNUMBER($AN$1067),$B$677=1),$AN$1067,HLOOKUP(INDIRECT(ADDRESS(2,COLUMN())),OFFSET($BN$2,0,0,ROW()-1,60),ROW()-1,FALSE))</f>
        <v>1.3955145920000001</v>
      </c>
      <c r="AO403">
        <f ca="1">IF(AND(ISNUMBER($AO$1067),$B$677=1),$AO$1067,HLOOKUP(INDIRECT(ADDRESS(2,COLUMN())),OFFSET($BN$2,0,0,ROW()-1,60),ROW()-1,FALSE))</f>
        <v>1.6307027780000001</v>
      </c>
      <c r="AP403">
        <f ca="1">IF(AND(ISNUMBER($AP$1067),$B$677=1),$AP$1067,HLOOKUP(INDIRECT(ADDRESS(2,COLUMN())),OFFSET($BN$2,0,0,ROW()-1,60),ROW()-1,FALSE))</f>
        <v>1.474277391</v>
      </c>
      <c r="AQ403">
        <f ca="1">IF(AND(ISNUMBER($AQ$1067),$B$677=1),$AQ$1067,HLOOKUP(INDIRECT(ADDRESS(2,COLUMN())),OFFSET($BN$2,0,0,ROW()-1,60),ROW()-1,FALSE))</f>
        <v>1.563554476</v>
      </c>
      <c r="AR403">
        <f ca="1">IF(AND(ISNUMBER($AR$1067),$B$677=1),$AR$1067,HLOOKUP(INDIRECT(ADDRESS(2,COLUMN())),OFFSET($BN$2,0,0,ROW()-1,60),ROW()-1,FALSE))</f>
        <v>1.4054920150000001</v>
      </c>
      <c r="AS403">
        <f ca="1">IF(AND(ISNUMBER($AS$1067),$B$677=1),$AS$1067,HLOOKUP(INDIRECT(ADDRESS(2,COLUMN())),OFFSET($BN$2,0,0,ROW()-1,60),ROW()-1,FALSE))</f>
        <v>1.6450580319999999</v>
      </c>
      <c r="AT403">
        <f ca="1">IF(AND(ISNUMBER($AT$1067),$B$677=1),$AT$1067,HLOOKUP(INDIRECT(ADDRESS(2,COLUMN())),OFFSET($BN$2,0,0,ROW()-1,60),ROW()-1,FALSE))</f>
        <v>1.9506355950000001</v>
      </c>
      <c r="AU403">
        <f ca="1">IF(AND(ISNUMBER($AU$1067),$B$677=1),$AU$1067,HLOOKUP(INDIRECT(ADDRESS(2,COLUMN())),OFFSET($BN$2,0,0,ROW()-1,60),ROW()-1,FALSE))</f>
        <v>2.6108208300000002</v>
      </c>
      <c r="AV403">
        <f ca="1">IF(AND(ISNUMBER($AV$1067),$B$677=1),$AV$1067,HLOOKUP(INDIRECT(ADDRESS(2,COLUMN())),OFFSET($BN$2,0,0,ROW()-1,60),ROW()-1,FALSE))</f>
        <v>2.5870245340000002</v>
      </c>
      <c r="AW403">
        <f ca="1">IF(AND(ISNUMBER($AW$1067),$B$677=1),$AW$1067,HLOOKUP(INDIRECT(ADDRESS(2,COLUMN())),OFFSET($BN$2,0,0,ROW()-1,60),ROW()-1,FALSE))</f>
        <v>2.0270640950000001</v>
      </c>
      <c r="AX403">
        <f ca="1">IF(AND(ISNUMBER($AX$1067),$B$677=1),$AX$1067,HLOOKUP(INDIRECT(ADDRESS(2,COLUMN())),OFFSET($BN$2,0,0,ROW()-1,60),ROW()-1,FALSE))</f>
        <v>1.385668253</v>
      </c>
      <c r="AY403" t="str">
        <f ca="1">IF(AND(ISNUMBER($AY$1067),$B$677=1),$AY$1067,HLOOKUP(INDIRECT(ADDRESS(2,COLUMN())),OFFSET($BN$2,0,0,ROW()-1,60),ROW()-1,FALSE))</f>
        <v/>
      </c>
      <c r="AZ403" t="str">
        <f ca="1">IF(AND(ISNUMBER($AZ$1067),$B$677=1),$AZ$1067,HLOOKUP(INDIRECT(ADDRESS(2,COLUMN())),OFFSET($BN$2,0,0,ROW()-1,60),ROW()-1,FALSE))</f>
        <v/>
      </c>
      <c r="BA403" t="str">
        <f ca="1">IF(AND(ISNUMBER($BA$1067),$B$677=1),$BA$1067,HLOOKUP(INDIRECT(ADDRESS(2,COLUMN())),OFFSET($BN$2,0,0,ROW()-1,60),ROW()-1,FALSE))</f>
        <v/>
      </c>
      <c r="BB403" t="str">
        <f ca="1">IF(AND(ISNUMBER($BB$1067),$B$677=1),$BB$1067,HLOOKUP(INDIRECT(ADDRESS(2,COLUMN())),OFFSET($BN$2,0,0,ROW()-1,60),ROW()-1,FALSE))</f>
        <v/>
      </c>
      <c r="BC403" t="str">
        <f ca="1">IF(AND(ISNUMBER($BC$1067),$B$677=1),$BC$1067,HLOOKUP(INDIRECT(ADDRESS(2,COLUMN())),OFFSET($BN$2,0,0,ROW()-1,60),ROW()-1,FALSE))</f>
        <v/>
      </c>
      <c r="BD403" t="str">
        <f ca="1">IF(AND(ISNUMBER($BD$1067),$B$677=1),$BD$1067,HLOOKUP(INDIRECT(ADDRESS(2,COLUMN())),OFFSET($BN$2,0,0,ROW()-1,60),ROW()-1,FALSE))</f>
        <v/>
      </c>
      <c r="BE403" t="str">
        <f ca="1">IF(AND(ISNUMBER($BE$1067),$B$677=1),$BE$1067,HLOOKUP(INDIRECT(ADDRESS(2,COLUMN())),OFFSET($BN$2,0,0,ROW()-1,60),ROW()-1,FALSE))</f>
        <v/>
      </c>
      <c r="BF403" t="str">
        <f ca="1">IF(AND(ISNUMBER($BF$1067),$B$677=1),$BF$1067,HLOOKUP(INDIRECT(ADDRESS(2,COLUMN())),OFFSET($BN$2,0,0,ROW()-1,60),ROW()-1,FALSE))</f>
        <v/>
      </c>
      <c r="BG403" t="str">
        <f ca="1">IF(AND(ISNUMBER($BG$1067),$B$677=1),$BG$1067,HLOOKUP(INDIRECT(ADDRESS(2,COLUMN())),OFFSET($BN$2,0,0,ROW()-1,60),ROW()-1,FALSE))</f>
        <v/>
      </c>
      <c r="BH403" t="str">
        <f ca="1">IF(AND(ISNUMBER($BH$1067),$B$677=1),$BH$1067,HLOOKUP(INDIRECT(ADDRESS(2,COLUMN())),OFFSET($BN$2,0,0,ROW()-1,60),ROW()-1,FALSE))</f>
        <v/>
      </c>
      <c r="BI403" t="str">
        <f ca="1">IF(AND(ISNUMBER($BI$1067),$B$677=1),$BI$1067,HLOOKUP(INDIRECT(ADDRESS(2,COLUMN())),OFFSET($BN$2,0,0,ROW()-1,60),ROW()-1,FALSE))</f>
        <v/>
      </c>
      <c r="BJ403" t="str">
        <f ca="1">IF(AND(ISNUMBER($BJ$1067),$B$677=1),$BJ$1067,HLOOKUP(INDIRECT(ADDRESS(2,COLUMN())),OFFSET($BN$2,0,0,ROW()-1,60),ROW()-1,FALSE))</f>
        <v/>
      </c>
      <c r="BK403" t="str">
        <f ca="1">IF(AND(ISNUMBER($BK$1067),$B$677=1),$BK$1067,HLOOKUP(INDIRECT(ADDRESS(2,COLUMN())),OFFSET($BN$2,0,0,ROW()-1,60),ROW()-1,FALSE))</f>
        <v/>
      </c>
      <c r="BL403" t="str">
        <f ca="1">IF(AND(ISNUMBER($BL$1067),$B$677=1),$BL$1067,HLOOKUP(INDIRECT(ADDRESS(2,COLUMN())),OFFSET($BN$2,0,0,ROW()-1,60),ROW()-1,FALSE))</f>
        <v/>
      </c>
      <c r="BM403" t="str">
        <f ca="1">IF(AND(ISNUMBER($BM$1067),$B$677=1),$BM$1067,HLOOKUP(INDIRECT(ADDRESS(2,COLUMN())),OFFSET($BN$2,0,0,ROW()-1,60),ROW()-1,FALSE))</f>
        <v/>
      </c>
      <c r="BN403" t="str">
        <f>""</f>
        <v/>
      </c>
      <c r="BO403" t="str">
        <f>""</f>
        <v/>
      </c>
      <c r="BP403">
        <f>1.603061449</f>
        <v>1.6030614489999999</v>
      </c>
      <c r="BQ403">
        <f>1.648816025</f>
        <v>1.6488160249999999</v>
      </c>
      <c r="BR403">
        <f>1.676522232</f>
        <v>1.6765222319999999</v>
      </c>
      <c r="BS403">
        <f>1.319269894</f>
        <v>1.3192698940000001</v>
      </c>
      <c r="BT403">
        <f>1.663827912</f>
        <v>1.6638279119999999</v>
      </c>
      <c r="BU403">
        <f>1.614535577</f>
        <v>1.6145355770000001</v>
      </c>
      <c r="BV403">
        <f>1.565916431</f>
        <v>1.565916431</v>
      </c>
      <c r="BW403">
        <f>1.350210507</f>
        <v>1.3502105069999999</v>
      </c>
      <c r="BX403">
        <f>1.674419453</f>
        <v>1.6744194530000001</v>
      </c>
      <c r="BY403">
        <f>1.606565085</f>
        <v>1.6065650849999999</v>
      </c>
      <c r="BZ403">
        <f>1.689718258</f>
        <v>1.6897182580000001</v>
      </c>
      <c r="CA403">
        <f>1.671907439</f>
        <v>1.6719074389999999</v>
      </c>
      <c r="CB403">
        <f>1.690742255</f>
        <v>1.690742255</v>
      </c>
      <c r="CC403">
        <f>1.428150749</f>
        <v>1.4281507490000001</v>
      </c>
      <c r="CD403">
        <f>1.574243294</f>
        <v>1.574243294</v>
      </c>
      <c r="CE403">
        <f>1.461263277</f>
        <v>1.461263277</v>
      </c>
      <c r="CF403">
        <f>1.354147418</f>
        <v>1.3541474179999999</v>
      </c>
      <c r="CG403">
        <f>1.317937814</f>
        <v>1.317937814</v>
      </c>
      <c r="CH403">
        <f>1.225393352</f>
        <v>1.225393352</v>
      </c>
      <c r="CI403">
        <f>1.291864243</f>
        <v>1.291864243</v>
      </c>
      <c r="CJ403">
        <f>1.212520896</f>
        <v>1.212520896</v>
      </c>
      <c r="CK403">
        <f>1.273811036</f>
        <v>1.2738110359999999</v>
      </c>
      <c r="CL403">
        <f>1.341197323</f>
        <v>1.3411973230000001</v>
      </c>
      <c r="CM403">
        <f>1.40115823</f>
        <v>1.4011582300000001</v>
      </c>
      <c r="CN403">
        <f>1.400625944</f>
        <v>1.400625944</v>
      </c>
      <c r="CO403">
        <f>1.433560462</f>
        <v>1.433560462</v>
      </c>
      <c r="CP403">
        <f>1.360746714</f>
        <v>1.360746714</v>
      </c>
      <c r="CQ403">
        <f>1.433403793</f>
        <v>1.4334037930000001</v>
      </c>
      <c r="CR403">
        <f>1.415758388</f>
        <v>1.415758388</v>
      </c>
      <c r="CS403">
        <f>1.438152025</f>
        <v>1.4381520249999999</v>
      </c>
      <c r="CT403">
        <f>1.408510337</f>
        <v>1.4085103370000001</v>
      </c>
      <c r="CU403">
        <f>1.374656633</f>
        <v>1.3746566330000001</v>
      </c>
      <c r="CV403">
        <f>1.395514592</f>
        <v>1.3955145920000001</v>
      </c>
      <c r="CW403">
        <f>1.630702778</f>
        <v>1.6307027780000001</v>
      </c>
      <c r="CX403">
        <f>1.474277391</f>
        <v>1.474277391</v>
      </c>
      <c r="CY403">
        <f>1.563554476</f>
        <v>1.563554476</v>
      </c>
      <c r="CZ403">
        <f>1.405492015</f>
        <v>1.4054920150000001</v>
      </c>
      <c r="DA403">
        <f>1.645058032</f>
        <v>1.6450580319999999</v>
      </c>
      <c r="DB403">
        <f>1.950635595</f>
        <v>1.9506355950000001</v>
      </c>
      <c r="DC403">
        <f>2.61082083</f>
        <v>2.6108208300000002</v>
      </c>
      <c r="DD403">
        <f>2.587024534</f>
        <v>2.5870245340000002</v>
      </c>
      <c r="DE403">
        <f>2.027064095</f>
        <v>2.0270640950000001</v>
      </c>
      <c r="DF403">
        <f>1.385668253</f>
        <v>1.385668253</v>
      </c>
      <c r="DG403" t="str">
        <f>""</f>
        <v/>
      </c>
      <c r="DH403" t="str">
        <f>""</f>
        <v/>
      </c>
      <c r="DI403" t="str">
        <f>""</f>
        <v/>
      </c>
      <c r="DJ403" t="str">
        <f>""</f>
        <v/>
      </c>
      <c r="DK403" t="str">
        <f>""</f>
        <v/>
      </c>
      <c r="DL403" t="str">
        <f>""</f>
        <v/>
      </c>
      <c r="DM403" t="str">
        <f>""</f>
        <v/>
      </c>
      <c r="DN403" t="str">
        <f>""</f>
        <v/>
      </c>
      <c r="DO403" t="str">
        <f>""</f>
        <v/>
      </c>
      <c r="DP403" t="str">
        <f>""</f>
        <v/>
      </c>
      <c r="DQ403" t="str">
        <f>""</f>
        <v/>
      </c>
      <c r="DR403" t="str">
        <f>""</f>
        <v/>
      </c>
      <c r="DS403" t="str">
        <f>""</f>
        <v/>
      </c>
      <c r="DT403" t="str">
        <f>""</f>
        <v/>
      </c>
      <c r="DU403" t="str">
        <f>""</f>
        <v/>
      </c>
    </row>
    <row r="404" spans="1:125" x14ac:dyDescent="0.25">
      <c r="A404" t="str">
        <f>"    Sollers PJSC"</f>
        <v xml:space="preserve">    Sollers PJSC</v>
      </c>
      <c r="B404" t="str">
        <f>"SVAV RM Equity"</f>
        <v>SVAV RM Equity</v>
      </c>
      <c r="C404" t="str">
        <f t="shared" si="27"/>
        <v>RR480</v>
      </c>
      <c r="D404" t="str">
        <f t="shared" si="28"/>
        <v>EV_TO_MKT_CAP</v>
      </c>
      <c r="E404" t="str">
        <f t="shared" si="29"/>
        <v>Dynamic</v>
      </c>
      <c r="F404" t="str">
        <f ca="1">IF(AND(ISNUMBER($F$1068),$B$677=1),$F$1068,HLOOKUP(INDIRECT(ADDRESS(2,COLUMN())),OFFSET($BN$2,0,0,ROW()-1,60),ROW()-1,FALSE))</f>
        <v/>
      </c>
      <c r="G404" t="str">
        <f ca="1">IF(AND(ISNUMBER($G$1068),$B$677=1),$G$1068,HLOOKUP(INDIRECT(ADDRESS(2,COLUMN())),OFFSET($BN$2,0,0,ROW()-1,60),ROW()-1,FALSE))</f>
        <v/>
      </c>
      <c r="H404" t="str">
        <f ca="1">IF(AND(ISNUMBER($H$1068),$B$677=1),$H$1068,HLOOKUP(INDIRECT(ADDRESS(2,COLUMN())),OFFSET($BN$2,0,0,ROW()-1,60),ROW()-1,FALSE))</f>
        <v/>
      </c>
      <c r="I404" t="str">
        <f ca="1">IF(AND(ISNUMBER($I$1068),$B$677=1),$I$1068,HLOOKUP(INDIRECT(ADDRESS(2,COLUMN())),OFFSET($BN$2,0,0,ROW()-1,60),ROW()-1,FALSE))</f>
        <v/>
      </c>
      <c r="J404" t="str">
        <f ca="1">IF(AND(ISNUMBER($J$1068),$B$677=1),$J$1068,HLOOKUP(INDIRECT(ADDRESS(2,COLUMN())),OFFSET($BN$2,0,0,ROW()-1,60),ROW()-1,FALSE))</f>
        <v/>
      </c>
      <c r="K404" t="str">
        <f ca="1">IF(AND(ISNUMBER($K$1068),$B$677=1),$K$1068,HLOOKUP(INDIRECT(ADDRESS(2,COLUMN())),OFFSET($BN$2,0,0,ROW()-1,60),ROW()-1,FALSE))</f>
        <v/>
      </c>
      <c r="L404" t="str">
        <f ca="1">IF(AND(ISNUMBER($L$1068),$B$677=1),$L$1068,HLOOKUP(INDIRECT(ADDRESS(2,COLUMN())),OFFSET($BN$2,0,0,ROW()-1,60),ROW()-1,FALSE))</f>
        <v/>
      </c>
      <c r="M404" t="str">
        <f ca="1">IF(AND(ISNUMBER($M$1068),$B$677=1),$M$1068,HLOOKUP(INDIRECT(ADDRESS(2,COLUMN())),OFFSET($BN$2,0,0,ROW()-1,60),ROW()-1,FALSE))</f>
        <v/>
      </c>
      <c r="N404" t="str">
        <f ca="1">IF(AND(ISNUMBER($N$1068),$B$677=1),$N$1068,HLOOKUP(INDIRECT(ADDRESS(2,COLUMN())),OFFSET($BN$2,0,0,ROW()-1,60),ROW()-1,FALSE))</f>
        <v/>
      </c>
      <c r="O404" t="str">
        <f ca="1">IF(AND(ISNUMBER($O$1068),$B$677=1),$O$1068,HLOOKUP(INDIRECT(ADDRESS(2,COLUMN())),OFFSET($BN$2,0,0,ROW()-1,60),ROW()-1,FALSE))</f>
        <v/>
      </c>
      <c r="P404" t="str">
        <f ca="1">IF(AND(ISNUMBER($P$1068),$B$677=1),$P$1068,HLOOKUP(INDIRECT(ADDRESS(2,COLUMN())),OFFSET($BN$2,0,0,ROW()-1,60),ROW()-1,FALSE))</f>
        <v/>
      </c>
      <c r="Q404" t="str">
        <f ca="1">IF(AND(ISNUMBER($Q$1068),$B$677=1),$Q$1068,HLOOKUP(INDIRECT(ADDRESS(2,COLUMN())),OFFSET($BN$2,0,0,ROW()-1,60),ROW()-1,FALSE))</f>
        <v/>
      </c>
      <c r="R404" t="str">
        <f ca="1">IF(AND(ISNUMBER($R$1068),$B$677=1),$R$1068,HLOOKUP(INDIRECT(ADDRESS(2,COLUMN())),OFFSET($BN$2,0,0,ROW()-1,60),ROW()-1,FALSE))</f>
        <v/>
      </c>
      <c r="S404" t="str">
        <f ca="1">IF(AND(ISNUMBER($S$1068),$B$677=1),$S$1068,HLOOKUP(INDIRECT(ADDRESS(2,COLUMN())),OFFSET($BN$2,0,0,ROW()-1,60),ROW()-1,FALSE))</f>
        <v/>
      </c>
      <c r="T404" t="str">
        <f ca="1">IF(AND(ISNUMBER($T$1068),$B$677=1),$T$1068,HLOOKUP(INDIRECT(ADDRESS(2,COLUMN())),OFFSET($BN$2,0,0,ROW()-1,60),ROW()-1,FALSE))</f>
        <v/>
      </c>
      <c r="U404" t="str">
        <f ca="1">IF(AND(ISNUMBER($U$1068),$B$677=1),$U$1068,HLOOKUP(INDIRECT(ADDRESS(2,COLUMN())),OFFSET($BN$2,0,0,ROW()-1,60),ROW()-1,FALSE))</f>
        <v/>
      </c>
      <c r="V404" t="str">
        <f ca="1">IF(AND(ISNUMBER($V$1068),$B$677=1),$V$1068,HLOOKUP(INDIRECT(ADDRESS(2,COLUMN())),OFFSET($BN$2,0,0,ROW()-1,60),ROW()-1,FALSE))</f>
        <v/>
      </c>
      <c r="W404" t="str">
        <f ca="1">IF(AND(ISNUMBER($W$1068),$B$677=1),$W$1068,HLOOKUP(INDIRECT(ADDRESS(2,COLUMN())),OFFSET($BN$2,0,0,ROW()-1,60),ROW()-1,FALSE))</f>
        <v/>
      </c>
      <c r="X404" t="str">
        <f ca="1">IF(AND(ISNUMBER($X$1068),$B$677=1),$X$1068,HLOOKUP(INDIRECT(ADDRESS(2,COLUMN())),OFFSET($BN$2,0,0,ROW()-1,60),ROW()-1,FALSE))</f>
        <v/>
      </c>
      <c r="Y404" t="str">
        <f ca="1">IF(AND(ISNUMBER($Y$1068),$B$677=1),$Y$1068,HLOOKUP(INDIRECT(ADDRESS(2,COLUMN())),OFFSET($BN$2,0,0,ROW()-1,60),ROW()-1,FALSE))</f>
        <v/>
      </c>
      <c r="Z404" t="str">
        <f ca="1">IF(AND(ISNUMBER($Z$1068),$B$677=1),$Z$1068,HLOOKUP(INDIRECT(ADDRESS(2,COLUMN())),OFFSET($BN$2,0,0,ROW()-1,60),ROW()-1,FALSE))</f>
        <v/>
      </c>
      <c r="AA404" t="str">
        <f ca="1">IF(AND(ISNUMBER($AA$1068),$B$677=1),$AA$1068,HLOOKUP(INDIRECT(ADDRESS(2,COLUMN())),OFFSET($BN$2,0,0,ROW()-1,60),ROW()-1,FALSE))</f>
        <v/>
      </c>
      <c r="AB404" t="str">
        <f ca="1">IF(AND(ISNUMBER($AB$1068),$B$677=1),$AB$1068,HLOOKUP(INDIRECT(ADDRESS(2,COLUMN())),OFFSET($BN$2,0,0,ROW()-1,60),ROW()-1,FALSE))</f>
        <v/>
      </c>
      <c r="AC404" t="str">
        <f ca="1">IF(AND(ISNUMBER($AC$1068),$B$677=1),$AC$1068,HLOOKUP(INDIRECT(ADDRESS(2,COLUMN())),OFFSET($BN$2,0,0,ROW()-1,60),ROW()-1,FALSE))</f>
        <v/>
      </c>
      <c r="AD404" t="str">
        <f ca="1">IF(AND(ISNUMBER($AD$1068),$B$677=1),$AD$1068,HLOOKUP(INDIRECT(ADDRESS(2,COLUMN())),OFFSET($BN$2,0,0,ROW()-1,60),ROW()-1,FALSE))</f>
        <v/>
      </c>
      <c r="AE404" t="str">
        <f ca="1">IF(AND(ISNUMBER($AE$1068),$B$677=1),$AE$1068,HLOOKUP(INDIRECT(ADDRESS(2,COLUMN())),OFFSET($BN$2,0,0,ROW()-1,60),ROW()-1,FALSE))</f>
        <v/>
      </c>
      <c r="AF404" t="str">
        <f ca="1">IF(AND(ISNUMBER($AF$1068),$B$677=1),$AF$1068,HLOOKUP(INDIRECT(ADDRESS(2,COLUMN())),OFFSET($BN$2,0,0,ROW()-1,60),ROW()-1,FALSE))</f>
        <v/>
      </c>
      <c r="AG404" t="str">
        <f ca="1">IF(AND(ISNUMBER($AG$1068),$B$677=1),$AG$1068,HLOOKUP(INDIRECT(ADDRESS(2,COLUMN())),OFFSET($BN$2,0,0,ROW()-1,60),ROW()-1,FALSE))</f>
        <v/>
      </c>
      <c r="AH404" t="str">
        <f ca="1">IF(AND(ISNUMBER($AH$1068),$B$677=1),$AH$1068,HLOOKUP(INDIRECT(ADDRESS(2,COLUMN())),OFFSET($BN$2,0,0,ROW()-1,60),ROW()-1,FALSE))</f>
        <v/>
      </c>
      <c r="AI404" t="str">
        <f ca="1">IF(AND(ISNUMBER($AI$1068),$B$677=1),$AI$1068,HLOOKUP(INDIRECT(ADDRESS(2,COLUMN())),OFFSET($BN$2,0,0,ROW()-1,60),ROW()-1,FALSE))</f>
        <v/>
      </c>
      <c r="AJ404" t="str">
        <f ca="1">IF(AND(ISNUMBER($AJ$1068),$B$677=1),$AJ$1068,HLOOKUP(INDIRECT(ADDRESS(2,COLUMN())),OFFSET($BN$2,0,0,ROW()-1,60),ROW()-1,FALSE))</f>
        <v/>
      </c>
      <c r="AK404" t="str">
        <f ca="1">IF(AND(ISNUMBER($AK$1068),$B$677=1),$AK$1068,HLOOKUP(INDIRECT(ADDRESS(2,COLUMN())),OFFSET($BN$2,0,0,ROW()-1,60),ROW()-1,FALSE))</f>
        <v/>
      </c>
      <c r="AL404" t="str">
        <f ca="1">IF(AND(ISNUMBER($AL$1068),$B$677=1),$AL$1068,HLOOKUP(INDIRECT(ADDRESS(2,COLUMN())),OFFSET($BN$2,0,0,ROW()-1,60),ROW()-1,FALSE))</f>
        <v/>
      </c>
      <c r="AM404" t="str">
        <f ca="1">IF(AND(ISNUMBER($AM$1068),$B$677=1),$AM$1068,HLOOKUP(INDIRECT(ADDRESS(2,COLUMN())),OFFSET($BN$2,0,0,ROW()-1,60),ROW()-1,FALSE))</f>
        <v/>
      </c>
      <c r="AN404" t="str">
        <f ca="1">IF(AND(ISNUMBER($AN$1068),$B$677=1),$AN$1068,HLOOKUP(INDIRECT(ADDRESS(2,COLUMN())),OFFSET($BN$2,0,0,ROW()-1,60),ROW()-1,FALSE))</f>
        <v/>
      </c>
      <c r="AO404" t="str">
        <f ca="1">IF(AND(ISNUMBER($AO$1068),$B$677=1),$AO$1068,HLOOKUP(INDIRECT(ADDRESS(2,COLUMN())),OFFSET($BN$2,0,0,ROW()-1,60),ROW()-1,FALSE))</f>
        <v/>
      </c>
      <c r="AP404" t="str">
        <f ca="1">IF(AND(ISNUMBER($AP$1068),$B$677=1),$AP$1068,HLOOKUP(INDIRECT(ADDRESS(2,COLUMN())),OFFSET($BN$2,0,0,ROW()-1,60),ROW()-1,FALSE))</f>
        <v/>
      </c>
      <c r="AQ404" t="str">
        <f ca="1">IF(AND(ISNUMBER($AQ$1068),$B$677=1),$AQ$1068,HLOOKUP(INDIRECT(ADDRESS(2,COLUMN())),OFFSET($BN$2,0,0,ROW()-1,60),ROW()-1,FALSE))</f>
        <v/>
      </c>
      <c r="AR404" t="str">
        <f ca="1">IF(AND(ISNUMBER($AR$1068),$B$677=1),$AR$1068,HLOOKUP(INDIRECT(ADDRESS(2,COLUMN())),OFFSET($BN$2,0,0,ROW()-1,60),ROW()-1,FALSE))</f>
        <v/>
      </c>
      <c r="AS404" t="str">
        <f ca="1">IF(AND(ISNUMBER($AS$1068),$B$677=1),$AS$1068,HLOOKUP(INDIRECT(ADDRESS(2,COLUMN())),OFFSET($BN$2,0,0,ROW()-1,60),ROW()-1,FALSE))</f>
        <v/>
      </c>
      <c r="AT404" t="str">
        <f ca="1">IF(AND(ISNUMBER($AT$1068),$B$677=1),$AT$1068,HLOOKUP(INDIRECT(ADDRESS(2,COLUMN())),OFFSET($BN$2,0,0,ROW()-1,60),ROW()-1,FALSE))</f>
        <v/>
      </c>
      <c r="AU404" t="str">
        <f ca="1">IF(AND(ISNUMBER($AU$1068),$B$677=1),$AU$1068,HLOOKUP(INDIRECT(ADDRESS(2,COLUMN())),OFFSET($BN$2,0,0,ROW()-1,60),ROW()-1,FALSE))</f>
        <v/>
      </c>
      <c r="AV404" t="str">
        <f ca="1">IF(AND(ISNUMBER($AV$1068),$B$677=1),$AV$1068,HLOOKUP(INDIRECT(ADDRESS(2,COLUMN())),OFFSET($BN$2,0,0,ROW()-1,60),ROW()-1,FALSE))</f>
        <v/>
      </c>
      <c r="AW404" t="str">
        <f ca="1">IF(AND(ISNUMBER($AW$1068),$B$677=1),$AW$1068,HLOOKUP(INDIRECT(ADDRESS(2,COLUMN())),OFFSET($BN$2,0,0,ROW()-1,60),ROW()-1,FALSE))</f>
        <v/>
      </c>
      <c r="AX404" t="str">
        <f ca="1">IF(AND(ISNUMBER($AX$1068),$B$677=1),$AX$1068,HLOOKUP(INDIRECT(ADDRESS(2,COLUMN())),OFFSET($BN$2,0,0,ROW()-1,60),ROW()-1,FALSE))</f>
        <v/>
      </c>
      <c r="AY404" t="str">
        <f ca="1">IF(AND(ISNUMBER($AY$1068),$B$677=1),$AY$1068,HLOOKUP(INDIRECT(ADDRESS(2,COLUMN())),OFFSET($BN$2,0,0,ROW()-1,60),ROW()-1,FALSE))</f>
        <v/>
      </c>
      <c r="AZ404" t="str">
        <f ca="1">IF(AND(ISNUMBER($AZ$1068),$B$677=1),$AZ$1068,HLOOKUP(INDIRECT(ADDRESS(2,COLUMN())),OFFSET($BN$2,0,0,ROW()-1,60),ROW()-1,FALSE))</f>
        <v/>
      </c>
      <c r="BA404" t="str">
        <f ca="1">IF(AND(ISNUMBER($BA$1068),$B$677=1),$BA$1068,HLOOKUP(INDIRECT(ADDRESS(2,COLUMN())),OFFSET($BN$2,0,0,ROW()-1,60),ROW()-1,FALSE))</f>
        <v/>
      </c>
      <c r="BB404" t="str">
        <f ca="1">IF(AND(ISNUMBER($BB$1068),$B$677=1),$BB$1068,HLOOKUP(INDIRECT(ADDRESS(2,COLUMN())),OFFSET($BN$2,0,0,ROW()-1,60),ROW()-1,FALSE))</f>
        <v/>
      </c>
      <c r="BC404" t="str">
        <f ca="1">IF(AND(ISNUMBER($BC$1068),$B$677=1),$BC$1068,HLOOKUP(INDIRECT(ADDRESS(2,COLUMN())),OFFSET($BN$2,0,0,ROW()-1,60),ROW()-1,FALSE))</f>
        <v/>
      </c>
      <c r="BD404" t="str">
        <f ca="1">IF(AND(ISNUMBER($BD$1068),$B$677=1),$BD$1068,HLOOKUP(INDIRECT(ADDRESS(2,COLUMN())),OFFSET($BN$2,0,0,ROW()-1,60),ROW()-1,FALSE))</f>
        <v/>
      </c>
      <c r="BE404" t="str">
        <f ca="1">IF(AND(ISNUMBER($BE$1068),$B$677=1),$BE$1068,HLOOKUP(INDIRECT(ADDRESS(2,COLUMN())),OFFSET($BN$2,0,0,ROW()-1,60),ROW()-1,FALSE))</f>
        <v/>
      </c>
      <c r="BF404" t="str">
        <f ca="1">IF(AND(ISNUMBER($BF$1068),$B$677=1),$BF$1068,HLOOKUP(INDIRECT(ADDRESS(2,COLUMN())),OFFSET($BN$2,0,0,ROW()-1,60),ROW()-1,FALSE))</f>
        <v/>
      </c>
      <c r="BG404" t="str">
        <f ca="1">IF(AND(ISNUMBER($BG$1068),$B$677=1),$BG$1068,HLOOKUP(INDIRECT(ADDRESS(2,COLUMN())),OFFSET($BN$2,0,0,ROW()-1,60),ROW()-1,FALSE))</f>
        <v/>
      </c>
      <c r="BH404" t="str">
        <f ca="1">IF(AND(ISNUMBER($BH$1068),$B$677=1),$BH$1068,HLOOKUP(INDIRECT(ADDRESS(2,COLUMN())),OFFSET($BN$2,0,0,ROW()-1,60),ROW()-1,FALSE))</f>
        <v/>
      </c>
      <c r="BI404" t="str">
        <f ca="1">IF(AND(ISNUMBER($BI$1068),$B$677=1),$BI$1068,HLOOKUP(INDIRECT(ADDRESS(2,COLUMN())),OFFSET($BN$2,0,0,ROW()-1,60),ROW()-1,FALSE))</f>
        <v/>
      </c>
      <c r="BJ404" t="str">
        <f ca="1">IF(AND(ISNUMBER($BJ$1068),$B$677=1),$BJ$1068,HLOOKUP(INDIRECT(ADDRESS(2,COLUMN())),OFFSET($BN$2,0,0,ROW()-1,60),ROW()-1,FALSE))</f>
        <v/>
      </c>
      <c r="BK404" t="str">
        <f ca="1">IF(AND(ISNUMBER($BK$1068),$B$677=1),$BK$1068,HLOOKUP(INDIRECT(ADDRESS(2,COLUMN())),OFFSET($BN$2,0,0,ROW()-1,60),ROW()-1,FALSE))</f>
        <v/>
      </c>
      <c r="BL404" t="str">
        <f ca="1">IF(AND(ISNUMBER($BL$1068),$B$677=1),$BL$1068,HLOOKUP(INDIRECT(ADDRESS(2,COLUMN())),OFFSET($BN$2,0,0,ROW()-1,60),ROW()-1,FALSE))</f>
        <v/>
      </c>
      <c r="BM404" t="str">
        <f ca="1">IF(AND(ISNUMBER($BM$1068),$B$677=1),$BM$1068,HLOOKUP(INDIRECT(ADDRESS(2,COLUMN())),OFFSET($BN$2,0,0,ROW()-1,60),ROW()-1,FALSE))</f>
        <v/>
      </c>
      <c r="BN404" t="str">
        <f>""</f>
        <v/>
      </c>
      <c r="BO404" t="str">
        <f>""</f>
        <v/>
      </c>
      <c r="BP404" t="str">
        <f>""</f>
        <v/>
      </c>
      <c r="BQ404" t="str">
        <f>""</f>
        <v/>
      </c>
      <c r="BR404" t="str">
        <f>""</f>
        <v/>
      </c>
      <c r="BS404" t="str">
        <f>""</f>
        <v/>
      </c>
      <c r="BT404" t="str">
        <f>""</f>
        <v/>
      </c>
      <c r="BU404" t="str">
        <f>""</f>
        <v/>
      </c>
      <c r="BV404" t="str">
        <f>""</f>
        <v/>
      </c>
      <c r="BW404" t="str">
        <f>""</f>
        <v/>
      </c>
      <c r="BX404" t="str">
        <f>""</f>
        <v/>
      </c>
      <c r="BY404" t="str">
        <f>""</f>
        <v/>
      </c>
      <c r="BZ404" t="str">
        <f>""</f>
        <v/>
      </c>
      <c r="CA404" t="str">
        <f>""</f>
        <v/>
      </c>
      <c r="CB404" t="str">
        <f>""</f>
        <v/>
      </c>
      <c r="CC404" t="str">
        <f>""</f>
        <v/>
      </c>
      <c r="CD404" t="str">
        <f>""</f>
        <v/>
      </c>
      <c r="CE404" t="str">
        <f>""</f>
        <v/>
      </c>
      <c r="CF404" t="str">
        <f>""</f>
        <v/>
      </c>
      <c r="CG404" t="str">
        <f>""</f>
        <v/>
      </c>
      <c r="CH404" t="str">
        <f>""</f>
        <v/>
      </c>
      <c r="CI404" t="str">
        <f>""</f>
        <v/>
      </c>
      <c r="CJ404" t="str">
        <f>""</f>
        <v/>
      </c>
      <c r="CK404" t="str">
        <f>""</f>
        <v/>
      </c>
      <c r="CL404" t="str">
        <f>""</f>
        <v/>
      </c>
      <c r="CM404" t="str">
        <f>""</f>
        <v/>
      </c>
      <c r="CN404" t="str">
        <f>""</f>
        <v/>
      </c>
      <c r="CO404" t="str">
        <f>""</f>
        <v/>
      </c>
      <c r="CP404" t="str">
        <f>""</f>
        <v/>
      </c>
      <c r="CQ404" t="str">
        <f>""</f>
        <v/>
      </c>
      <c r="CR404" t="str">
        <f>""</f>
        <v/>
      </c>
      <c r="CS404" t="str">
        <f>""</f>
        <v/>
      </c>
      <c r="CT404" t="str">
        <f>""</f>
        <v/>
      </c>
      <c r="CU404" t="str">
        <f>""</f>
        <v/>
      </c>
      <c r="CV404" t="str">
        <f>""</f>
        <v/>
      </c>
      <c r="CW404" t="str">
        <f>""</f>
        <v/>
      </c>
      <c r="CX404" t="str">
        <f>""</f>
        <v/>
      </c>
      <c r="CY404" t="str">
        <f>""</f>
        <v/>
      </c>
      <c r="CZ404" t="str">
        <f>""</f>
        <v/>
      </c>
      <c r="DA404" t="str">
        <f>""</f>
        <v/>
      </c>
      <c r="DB404" t="str">
        <f>""</f>
        <v/>
      </c>
      <c r="DC404" t="str">
        <f>""</f>
        <v/>
      </c>
      <c r="DD404" t="str">
        <f>""</f>
        <v/>
      </c>
      <c r="DE404" t="str">
        <f>""</f>
        <v/>
      </c>
      <c r="DF404" t="str">
        <f>""</f>
        <v/>
      </c>
      <c r="DG404" t="str">
        <f>""</f>
        <v/>
      </c>
      <c r="DH404" t="str">
        <f>""</f>
        <v/>
      </c>
      <c r="DI404" t="str">
        <f>""</f>
        <v/>
      </c>
      <c r="DJ404" t="str">
        <f>""</f>
        <v/>
      </c>
      <c r="DK404" t="str">
        <f>""</f>
        <v/>
      </c>
      <c r="DL404" t="str">
        <f>""</f>
        <v/>
      </c>
      <c r="DM404" t="str">
        <f>""</f>
        <v/>
      </c>
      <c r="DN404" t="str">
        <f>""</f>
        <v/>
      </c>
      <c r="DO404" t="str">
        <f>""</f>
        <v/>
      </c>
      <c r="DP404" t="str">
        <f>""</f>
        <v/>
      </c>
      <c r="DQ404" t="str">
        <f>""</f>
        <v/>
      </c>
      <c r="DR404" t="str">
        <f>""</f>
        <v/>
      </c>
      <c r="DS404" t="str">
        <f>""</f>
        <v/>
      </c>
      <c r="DT404" t="str">
        <f>""</f>
        <v/>
      </c>
      <c r="DU404" t="str">
        <f>""</f>
        <v/>
      </c>
    </row>
    <row r="405" spans="1:125" x14ac:dyDescent="0.25">
      <c r="A405" t="str">
        <f>"    Ssangyong Motor Co"</f>
        <v xml:space="preserve">    Ssangyong Motor Co</v>
      </c>
      <c r="B405" t="str">
        <f>"003620 KS Equity"</f>
        <v>003620 KS Equity</v>
      </c>
      <c r="C405" t="str">
        <f t="shared" si="27"/>
        <v>RR480</v>
      </c>
      <c r="D405" t="str">
        <f t="shared" si="28"/>
        <v>EV_TO_MKT_CAP</v>
      </c>
      <c r="E405" t="str">
        <f t="shared" si="29"/>
        <v>Dynamic</v>
      </c>
      <c r="F405" t="str">
        <f ca="1">IF(AND(ISNUMBER($F$1069),$B$677=1),$F$1069,HLOOKUP(INDIRECT(ADDRESS(2,COLUMN())),OFFSET($BN$2,0,0,ROW()-1,60),ROW()-1,FALSE))</f>
        <v/>
      </c>
      <c r="G405" t="str">
        <f ca="1">IF(AND(ISNUMBER($G$1069),$B$677=1),$G$1069,HLOOKUP(INDIRECT(ADDRESS(2,COLUMN())),OFFSET($BN$2,0,0,ROW()-1,60),ROW()-1,FALSE))</f>
        <v/>
      </c>
      <c r="H405">
        <f ca="1">IF(AND(ISNUMBER($H$1069),$B$677=1),$H$1069,HLOOKUP(INDIRECT(ADDRESS(2,COLUMN())),OFFSET($BN$2,0,0,ROW()-1,60),ROW()-1,FALSE))</f>
        <v>1.0903022120000001</v>
      </c>
      <c r="I405">
        <f ca="1">IF(AND(ISNUMBER($I$1069),$B$677=1),$I$1069,HLOOKUP(INDIRECT(ADDRESS(2,COLUMN())),OFFSET($BN$2,0,0,ROW()-1,60),ROW()-1,FALSE))</f>
        <v>1.191426541</v>
      </c>
      <c r="J405">
        <f ca="1">IF(AND(ISNUMBER($J$1069),$B$677=1),$J$1069,HLOOKUP(INDIRECT(ADDRESS(2,COLUMN())),OFFSET($BN$2,0,0,ROW()-1,60),ROW()-1,FALSE))</f>
        <v>1.048113302</v>
      </c>
      <c r="K405">
        <f ca="1">IF(AND(ISNUMBER($K$1069),$B$677=1),$K$1069,HLOOKUP(INDIRECT(ADDRESS(2,COLUMN())),OFFSET($BN$2,0,0,ROW()-1,60),ROW()-1,FALSE))</f>
        <v>1.027732791</v>
      </c>
      <c r="L405">
        <f ca="1">IF(AND(ISNUMBER($L$1069),$B$677=1),$L$1069,HLOOKUP(INDIRECT(ADDRESS(2,COLUMN())),OFFSET($BN$2,0,0,ROW()-1,60),ROW()-1,FALSE))</f>
        <v>1.1785763060000001</v>
      </c>
      <c r="M405">
        <f ca="1">IF(AND(ISNUMBER($M$1069),$B$677=1),$M$1069,HLOOKUP(INDIRECT(ADDRESS(2,COLUMN())),OFFSET($BN$2,0,0,ROW()-1,60),ROW()-1,FALSE))</f>
        <v>1.011580208</v>
      </c>
      <c r="N405">
        <f ca="1">IF(AND(ISNUMBER($N$1069),$B$677=1),$N$1069,HLOOKUP(INDIRECT(ADDRESS(2,COLUMN())),OFFSET($BN$2,0,0,ROW()-1,60),ROW()-1,FALSE))</f>
        <v>1.013288784</v>
      </c>
      <c r="O405">
        <f ca="1">IF(AND(ISNUMBER($O$1069),$B$677=1),$O$1069,HLOOKUP(INDIRECT(ADDRESS(2,COLUMN())),OFFSET($BN$2,0,0,ROW()-1,60),ROW()-1,FALSE))</f>
        <v>0.959420575</v>
      </c>
      <c r="P405">
        <f ca="1">IF(AND(ISNUMBER($P$1069),$B$677=1),$P$1069,HLOOKUP(INDIRECT(ADDRESS(2,COLUMN())),OFFSET($BN$2,0,0,ROW()-1,60),ROW()-1,FALSE))</f>
        <v>1.0986464949999999</v>
      </c>
      <c r="Q405">
        <f ca="1">IF(AND(ISNUMBER($Q$1069),$B$677=1),$Q$1069,HLOOKUP(INDIRECT(ADDRESS(2,COLUMN())),OFFSET($BN$2,0,0,ROW()-1,60),ROW()-1,FALSE))</f>
        <v>1.0333991810000001</v>
      </c>
      <c r="R405">
        <f ca="1">IF(AND(ISNUMBER($R$1069),$B$677=1),$R$1069,HLOOKUP(INDIRECT(ADDRESS(2,COLUMN())),OFFSET($BN$2,0,0,ROW()-1,60),ROW()-1,FALSE))</f>
        <v>1.1161398840000001</v>
      </c>
      <c r="S405">
        <f ca="1">IF(AND(ISNUMBER($S$1069),$B$677=1),$S$1069,HLOOKUP(INDIRECT(ADDRESS(2,COLUMN())),OFFSET($BN$2,0,0,ROW()-1,60),ROW()-1,FALSE))</f>
        <v>0.993269717</v>
      </c>
      <c r="T405">
        <f ca="1">IF(AND(ISNUMBER($T$1069),$B$677=1),$T$1069,HLOOKUP(INDIRECT(ADDRESS(2,COLUMN())),OFFSET($BN$2,0,0,ROW()-1,60),ROW()-1,FALSE))</f>
        <v>1.0991665669999999</v>
      </c>
      <c r="U405">
        <f ca="1">IF(AND(ISNUMBER($U$1069),$B$677=1),$U$1069,HLOOKUP(INDIRECT(ADDRESS(2,COLUMN())),OFFSET($BN$2,0,0,ROW()-1,60),ROW()-1,FALSE))</f>
        <v>1.0629390679999999</v>
      </c>
      <c r="V405">
        <f ca="1">IF(AND(ISNUMBER($V$1069),$B$677=1),$V$1069,HLOOKUP(INDIRECT(ADDRESS(2,COLUMN())),OFFSET($BN$2,0,0,ROW()-1,60),ROW()-1,FALSE))</f>
        <v>0.978522691</v>
      </c>
      <c r="W405">
        <f ca="1">IF(AND(ISNUMBER($W$1069),$B$677=1),$W$1069,HLOOKUP(INDIRECT(ADDRESS(2,COLUMN())),OFFSET($BN$2,0,0,ROW()-1,60),ROW()-1,FALSE))</f>
        <v>0.97463889400000003</v>
      </c>
      <c r="X405">
        <f ca="1">IF(AND(ISNUMBER($X$1069),$B$677=1),$X$1069,HLOOKUP(INDIRECT(ADDRESS(2,COLUMN())),OFFSET($BN$2,0,0,ROW()-1,60),ROW()-1,FALSE))</f>
        <v>1.002234321</v>
      </c>
      <c r="Y405">
        <f ca="1">IF(AND(ISNUMBER($Y$1069),$B$677=1),$Y$1069,HLOOKUP(INDIRECT(ADDRESS(2,COLUMN())),OFFSET($BN$2,0,0,ROW()-1,60),ROW()-1,FALSE))</f>
        <v>0.91247418199999997</v>
      </c>
      <c r="Z405">
        <f ca="1">IF(AND(ISNUMBER($Z$1069),$B$677=1),$Z$1069,HLOOKUP(INDIRECT(ADDRESS(2,COLUMN())),OFFSET($BN$2,0,0,ROW()-1,60),ROW()-1,FALSE))</f>
        <v>0.83819627900000004</v>
      </c>
      <c r="AA405">
        <f ca="1">IF(AND(ISNUMBER($AA$1069),$B$677=1),$AA$1069,HLOOKUP(INDIRECT(ADDRESS(2,COLUMN())),OFFSET($BN$2,0,0,ROW()-1,60),ROW()-1,FALSE))</f>
        <v>0.78786144400000002</v>
      </c>
      <c r="AB405">
        <f ca="1">IF(AND(ISNUMBER($AB$1069),$B$677=1),$AB$1069,HLOOKUP(INDIRECT(ADDRESS(2,COLUMN())),OFFSET($BN$2,0,0,ROW()-1,60),ROW()-1,FALSE))</f>
        <v>0.90763880500000005</v>
      </c>
      <c r="AC405">
        <f ca="1">IF(AND(ISNUMBER($AC$1069),$B$677=1),$AC$1069,HLOOKUP(INDIRECT(ADDRESS(2,COLUMN())),OFFSET($BN$2,0,0,ROW()-1,60),ROW()-1,FALSE))</f>
        <v>0.73560375099999997</v>
      </c>
      <c r="AD405">
        <f ca="1">IF(AND(ISNUMBER($AD$1069),$B$677=1),$AD$1069,HLOOKUP(INDIRECT(ADDRESS(2,COLUMN())),OFFSET($BN$2,0,0,ROW()-1,60),ROW()-1,FALSE))</f>
        <v>0.771915766</v>
      </c>
      <c r="AE405">
        <f ca="1">IF(AND(ISNUMBER($AE$1069),$B$677=1),$AE$1069,HLOOKUP(INDIRECT(ADDRESS(2,COLUMN())),OFFSET($BN$2,0,0,ROW()-1,60),ROW()-1,FALSE))</f>
        <v>0.87985647</v>
      </c>
      <c r="AF405" t="str">
        <f ca="1">IF(AND(ISNUMBER($AF$1069),$B$677=1),$AF$1069,HLOOKUP(INDIRECT(ADDRESS(2,COLUMN())),OFFSET($BN$2,0,0,ROW()-1,60),ROW()-1,FALSE))</f>
        <v/>
      </c>
      <c r="AG405" t="str">
        <f ca="1">IF(AND(ISNUMBER($AG$1069),$B$677=1),$AG$1069,HLOOKUP(INDIRECT(ADDRESS(2,COLUMN())),OFFSET($BN$2,0,0,ROW()-1,60),ROW()-1,FALSE))</f>
        <v/>
      </c>
      <c r="AH405" t="str">
        <f ca="1">IF(AND(ISNUMBER($AH$1069),$B$677=1),$AH$1069,HLOOKUP(INDIRECT(ADDRESS(2,COLUMN())),OFFSET($BN$2,0,0,ROW()-1,60),ROW()-1,FALSE))</f>
        <v/>
      </c>
      <c r="AI405" t="str">
        <f ca="1">IF(AND(ISNUMBER($AI$1069),$B$677=1),$AI$1069,HLOOKUP(INDIRECT(ADDRESS(2,COLUMN())),OFFSET($BN$2,0,0,ROW()-1,60),ROW()-1,FALSE))</f>
        <v/>
      </c>
      <c r="AJ405" t="str">
        <f ca="1">IF(AND(ISNUMBER($AJ$1069),$B$677=1),$AJ$1069,HLOOKUP(INDIRECT(ADDRESS(2,COLUMN())),OFFSET($BN$2,0,0,ROW()-1,60),ROW()-1,FALSE))</f>
        <v/>
      </c>
      <c r="AK405" t="str">
        <f ca="1">IF(AND(ISNUMBER($AK$1069),$B$677=1),$AK$1069,HLOOKUP(INDIRECT(ADDRESS(2,COLUMN())),OFFSET($BN$2,0,0,ROW()-1,60),ROW()-1,FALSE))</f>
        <v/>
      </c>
      <c r="AL405" t="str">
        <f ca="1">IF(AND(ISNUMBER($AL$1069),$B$677=1),$AL$1069,HLOOKUP(INDIRECT(ADDRESS(2,COLUMN())),OFFSET($BN$2,0,0,ROW()-1,60),ROW()-1,FALSE))</f>
        <v/>
      </c>
      <c r="AM405" t="str">
        <f ca="1">IF(AND(ISNUMBER($AM$1069),$B$677=1),$AM$1069,HLOOKUP(INDIRECT(ADDRESS(2,COLUMN())),OFFSET($BN$2,0,0,ROW()-1,60),ROW()-1,FALSE))</f>
        <v/>
      </c>
      <c r="AN405" t="str">
        <f ca="1">IF(AND(ISNUMBER($AN$1069),$B$677=1),$AN$1069,HLOOKUP(INDIRECT(ADDRESS(2,COLUMN())),OFFSET($BN$2,0,0,ROW()-1,60),ROW()-1,FALSE))</f>
        <v/>
      </c>
      <c r="AO405" t="str">
        <f ca="1">IF(AND(ISNUMBER($AO$1069),$B$677=1),$AO$1069,HLOOKUP(INDIRECT(ADDRESS(2,COLUMN())),OFFSET($BN$2,0,0,ROW()-1,60),ROW()-1,FALSE))</f>
        <v/>
      </c>
      <c r="AP405" t="str">
        <f ca="1">IF(AND(ISNUMBER($AP$1069),$B$677=1),$AP$1069,HLOOKUP(INDIRECT(ADDRESS(2,COLUMN())),OFFSET($BN$2,0,0,ROW()-1,60),ROW()-1,FALSE))</f>
        <v/>
      </c>
      <c r="AQ405" t="str">
        <f ca="1">IF(AND(ISNUMBER($AQ$1069),$B$677=1),$AQ$1069,HLOOKUP(INDIRECT(ADDRESS(2,COLUMN())),OFFSET($BN$2,0,0,ROW()-1,60),ROW()-1,FALSE))</f>
        <v/>
      </c>
      <c r="AR405" t="str">
        <f ca="1">IF(AND(ISNUMBER($AR$1069),$B$677=1),$AR$1069,HLOOKUP(INDIRECT(ADDRESS(2,COLUMN())),OFFSET($BN$2,0,0,ROW()-1,60),ROW()-1,FALSE))</f>
        <v/>
      </c>
      <c r="AS405" t="str">
        <f ca="1">IF(AND(ISNUMBER($AS$1069),$B$677=1),$AS$1069,HLOOKUP(INDIRECT(ADDRESS(2,COLUMN())),OFFSET($BN$2,0,0,ROW()-1,60),ROW()-1,FALSE))</f>
        <v/>
      </c>
      <c r="AT405" t="str">
        <f ca="1">IF(AND(ISNUMBER($AT$1069),$B$677=1),$AT$1069,HLOOKUP(INDIRECT(ADDRESS(2,COLUMN())),OFFSET($BN$2,0,0,ROW()-1,60),ROW()-1,FALSE))</f>
        <v/>
      </c>
      <c r="AU405" t="str">
        <f ca="1">IF(AND(ISNUMBER($AU$1069),$B$677=1),$AU$1069,HLOOKUP(INDIRECT(ADDRESS(2,COLUMN())),OFFSET($BN$2,0,0,ROW()-1,60),ROW()-1,FALSE))</f>
        <v/>
      </c>
      <c r="AV405" t="str">
        <f ca="1">IF(AND(ISNUMBER($AV$1069),$B$677=1),$AV$1069,HLOOKUP(INDIRECT(ADDRESS(2,COLUMN())),OFFSET($BN$2,0,0,ROW()-1,60),ROW()-1,FALSE))</f>
        <v/>
      </c>
      <c r="AW405" t="str">
        <f ca="1">IF(AND(ISNUMBER($AW$1069),$B$677=1),$AW$1069,HLOOKUP(INDIRECT(ADDRESS(2,COLUMN())),OFFSET($BN$2,0,0,ROW()-1,60),ROW()-1,FALSE))</f>
        <v/>
      </c>
      <c r="AX405" t="str">
        <f ca="1">IF(AND(ISNUMBER($AX$1069),$B$677=1),$AX$1069,HLOOKUP(INDIRECT(ADDRESS(2,COLUMN())),OFFSET($BN$2,0,0,ROW()-1,60),ROW()-1,FALSE))</f>
        <v/>
      </c>
      <c r="AY405" t="str">
        <f ca="1">IF(AND(ISNUMBER($AY$1069),$B$677=1),$AY$1069,HLOOKUP(INDIRECT(ADDRESS(2,COLUMN())),OFFSET($BN$2,0,0,ROW()-1,60),ROW()-1,FALSE))</f>
        <v/>
      </c>
      <c r="AZ405" t="str">
        <f ca="1">IF(AND(ISNUMBER($AZ$1069),$B$677=1),$AZ$1069,HLOOKUP(INDIRECT(ADDRESS(2,COLUMN())),OFFSET($BN$2,0,0,ROW()-1,60),ROW()-1,FALSE))</f>
        <v/>
      </c>
      <c r="BA405" t="str">
        <f ca="1">IF(AND(ISNUMBER($BA$1069),$B$677=1),$BA$1069,HLOOKUP(INDIRECT(ADDRESS(2,COLUMN())),OFFSET($BN$2,0,0,ROW()-1,60),ROW()-1,FALSE))</f>
        <v/>
      </c>
      <c r="BB405" t="str">
        <f ca="1">IF(AND(ISNUMBER($BB$1069),$B$677=1),$BB$1069,HLOOKUP(INDIRECT(ADDRESS(2,COLUMN())),OFFSET($BN$2,0,0,ROW()-1,60),ROW()-1,FALSE))</f>
        <v/>
      </c>
      <c r="BC405" t="str">
        <f ca="1">IF(AND(ISNUMBER($BC$1069),$B$677=1),$BC$1069,HLOOKUP(INDIRECT(ADDRESS(2,COLUMN())),OFFSET($BN$2,0,0,ROW()-1,60),ROW()-1,FALSE))</f>
        <v/>
      </c>
      <c r="BD405" t="str">
        <f ca="1">IF(AND(ISNUMBER($BD$1069),$B$677=1),$BD$1069,HLOOKUP(INDIRECT(ADDRESS(2,COLUMN())),OFFSET($BN$2,0,0,ROW()-1,60),ROW()-1,FALSE))</f>
        <v/>
      </c>
      <c r="BE405" t="str">
        <f ca="1">IF(AND(ISNUMBER($BE$1069),$B$677=1),$BE$1069,HLOOKUP(INDIRECT(ADDRESS(2,COLUMN())),OFFSET($BN$2,0,0,ROW()-1,60),ROW()-1,FALSE))</f>
        <v/>
      </c>
      <c r="BF405" t="str">
        <f ca="1">IF(AND(ISNUMBER($BF$1069),$B$677=1),$BF$1069,HLOOKUP(INDIRECT(ADDRESS(2,COLUMN())),OFFSET($BN$2,0,0,ROW()-1,60),ROW()-1,FALSE))</f>
        <v/>
      </c>
      <c r="BG405" t="str">
        <f ca="1">IF(AND(ISNUMBER($BG$1069),$B$677=1),$BG$1069,HLOOKUP(INDIRECT(ADDRESS(2,COLUMN())),OFFSET($BN$2,0,0,ROW()-1,60),ROW()-1,FALSE))</f>
        <v/>
      </c>
      <c r="BH405" t="str">
        <f ca="1">IF(AND(ISNUMBER($BH$1069),$B$677=1),$BH$1069,HLOOKUP(INDIRECT(ADDRESS(2,COLUMN())),OFFSET($BN$2,0,0,ROW()-1,60),ROW()-1,FALSE))</f>
        <v/>
      </c>
      <c r="BI405" t="str">
        <f ca="1">IF(AND(ISNUMBER($BI$1069),$B$677=1),$BI$1069,HLOOKUP(INDIRECT(ADDRESS(2,COLUMN())),OFFSET($BN$2,0,0,ROW()-1,60),ROW()-1,FALSE))</f>
        <v/>
      </c>
      <c r="BJ405" t="str">
        <f ca="1">IF(AND(ISNUMBER($BJ$1069),$B$677=1),$BJ$1069,HLOOKUP(INDIRECT(ADDRESS(2,COLUMN())),OFFSET($BN$2,0,0,ROW()-1,60),ROW()-1,FALSE))</f>
        <v/>
      </c>
      <c r="BK405" t="str">
        <f ca="1">IF(AND(ISNUMBER($BK$1069),$B$677=1),$BK$1069,HLOOKUP(INDIRECT(ADDRESS(2,COLUMN())),OFFSET($BN$2,0,0,ROW()-1,60),ROW()-1,FALSE))</f>
        <v/>
      </c>
      <c r="BL405" t="str">
        <f ca="1">IF(AND(ISNUMBER($BL$1069),$B$677=1),$BL$1069,HLOOKUP(INDIRECT(ADDRESS(2,COLUMN())),OFFSET($BN$2,0,0,ROW()-1,60),ROW()-1,FALSE))</f>
        <v/>
      </c>
      <c r="BM405" t="str">
        <f ca="1">IF(AND(ISNUMBER($BM$1069),$B$677=1),$BM$1069,HLOOKUP(INDIRECT(ADDRESS(2,COLUMN())),OFFSET($BN$2,0,0,ROW()-1,60),ROW()-1,FALSE))</f>
        <v/>
      </c>
      <c r="BN405" t="str">
        <f>""</f>
        <v/>
      </c>
      <c r="BO405" t="str">
        <f>""</f>
        <v/>
      </c>
      <c r="BP405">
        <f>1.090302212</f>
        <v>1.0903022120000001</v>
      </c>
      <c r="BQ405">
        <f>1.191426541</f>
        <v>1.191426541</v>
      </c>
      <c r="BR405">
        <f>1.048113302</f>
        <v>1.048113302</v>
      </c>
      <c r="BS405">
        <f>1.027732791</f>
        <v>1.027732791</v>
      </c>
      <c r="BT405">
        <f>1.178576306</f>
        <v>1.1785763060000001</v>
      </c>
      <c r="BU405">
        <f>1.011580208</f>
        <v>1.011580208</v>
      </c>
      <c r="BV405">
        <f>1.013288784</f>
        <v>1.013288784</v>
      </c>
      <c r="BW405">
        <f>0.959420575</f>
        <v>0.959420575</v>
      </c>
      <c r="BX405">
        <f>1.098646495</f>
        <v>1.0986464949999999</v>
      </c>
      <c r="BY405">
        <f>1.033399181</f>
        <v>1.0333991810000001</v>
      </c>
      <c r="BZ405">
        <f>1.116139884</f>
        <v>1.1161398840000001</v>
      </c>
      <c r="CA405">
        <f>0.993269717</f>
        <v>0.993269717</v>
      </c>
      <c r="CB405">
        <f>1.099166567</f>
        <v>1.0991665669999999</v>
      </c>
      <c r="CC405">
        <f>1.062939068</f>
        <v>1.0629390679999999</v>
      </c>
      <c r="CD405">
        <f>0.978522691</f>
        <v>0.978522691</v>
      </c>
      <c r="CE405">
        <f>0.974638894</f>
        <v>0.97463889400000003</v>
      </c>
      <c r="CF405">
        <f>1.002234321</f>
        <v>1.002234321</v>
      </c>
      <c r="CG405">
        <f>0.912474182</f>
        <v>0.91247418199999997</v>
      </c>
      <c r="CH405">
        <f>0.838196279</f>
        <v>0.83819627900000004</v>
      </c>
      <c r="CI405">
        <f>0.787861444</f>
        <v>0.78786144400000002</v>
      </c>
      <c r="CJ405">
        <f>0.907638805</f>
        <v>0.90763880500000005</v>
      </c>
      <c r="CK405">
        <f>0.735603751</f>
        <v>0.73560375099999997</v>
      </c>
      <c r="CL405">
        <f>0.771915766</f>
        <v>0.771915766</v>
      </c>
      <c r="CM405">
        <f>0.87985647</f>
        <v>0.87985647</v>
      </c>
      <c r="CN405" t="str">
        <f>""</f>
        <v/>
      </c>
      <c r="CO405" t="str">
        <f>""</f>
        <v/>
      </c>
      <c r="CP405" t="str">
        <f>""</f>
        <v/>
      </c>
      <c r="CQ405" t="str">
        <f>""</f>
        <v/>
      </c>
      <c r="CR405" t="str">
        <f>""</f>
        <v/>
      </c>
      <c r="CS405" t="str">
        <f>""</f>
        <v/>
      </c>
      <c r="CT405" t="str">
        <f>""</f>
        <v/>
      </c>
      <c r="CU405" t="str">
        <f>""</f>
        <v/>
      </c>
      <c r="CV405" t="str">
        <f>""</f>
        <v/>
      </c>
      <c r="CW405" t="str">
        <f>""</f>
        <v/>
      </c>
      <c r="CX405" t="str">
        <f>""</f>
        <v/>
      </c>
      <c r="CY405" t="str">
        <f>""</f>
        <v/>
      </c>
      <c r="CZ405" t="str">
        <f>""</f>
        <v/>
      </c>
      <c r="DA405" t="str">
        <f>""</f>
        <v/>
      </c>
      <c r="DB405" t="str">
        <f>""</f>
        <v/>
      </c>
      <c r="DC405" t="str">
        <f>""</f>
        <v/>
      </c>
      <c r="DD405" t="str">
        <f>""</f>
        <v/>
      </c>
      <c r="DE405" t="str">
        <f>""</f>
        <v/>
      </c>
      <c r="DF405" t="str">
        <f>""</f>
        <v/>
      </c>
      <c r="DG405" t="str">
        <f>""</f>
        <v/>
      </c>
      <c r="DH405" t="str">
        <f>""</f>
        <v/>
      </c>
      <c r="DI405" t="str">
        <f>""</f>
        <v/>
      </c>
      <c r="DJ405" t="str">
        <f>""</f>
        <v/>
      </c>
      <c r="DK405" t="str">
        <f>""</f>
        <v/>
      </c>
      <c r="DL405" t="str">
        <f>""</f>
        <v/>
      </c>
      <c r="DM405" t="str">
        <f>""</f>
        <v/>
      </c>
      <c r="DN405" t="str">
        <f>""</f>
        <v/>
      </c>
      <c r="DO405" t="str">
        <f>""</f>
        <v/>
      </c>
      <c r="DP405" t="str">
        <f>""</f>
        <v/>
      </c>
      <c r="DQ405" t="str">
        <f>""</f>
        <v/>
      </c>
      <c r="DR405" t="str">
        <f>""</f>
        <v/>
      </c>
      <c r="DS405" t="str">
        <f>""</f>
        <v/>
      </c>
      <c r="DT405" t="str">
        <f>""</f>
        <v/>
      </c>
      <c r="DU405" t="str">
        <f>""</f>
        <v/>
      </c>
    </row>
    <row r="406" spans="1:125" x14ac:dyDescent="0.25">
      <c r="A406" t="str">
        <f>"    Subaru Corp"</f>
        <v xml:space="preserve">    Subaru Corp</v>
      </c>
      <c r="B406" t="str">
        <f>"7270 JP Equity"</f>
        <v>7270 JP Equity</v>
      </c>
      <c r="C406" t="str">
        <f t="shared" si="27"/>
        <v>RR480</v>
      </c>
      <c r="D406" t="str">
        <f t="shared" si="28"/>
        <v>EV_TO_MKT_CAP</v>
      </c>
      <c r="E406" t="str">
        <f t="shared" si="29"/>
        <v>Dynamic</v>
      </c>
      <c r="F406" t="str">
        <f ca="1">IF(AND(ISNUMBER($F$1070),$B$677=1),$F$1070,HLOOKUP(INDIRECT(ADDRESS(2,COLUMN())),OFFSET($BN$2,0,0,ROW()-1,60),ROW()-1,FALSE))</f>
        <v/>
      </c>
      <c r="G406">
        <f ca="1">IF(AND(ISNUMBER($G$1070),$B$677=1),$G$1070,HLOOKUP(INDIRECT(ADDRESS(2,COLUMN())),OFFSET($BN$2,0,0,ROW()-1,60),ROW()-1,FALSE))</f>
        <v>0.55034678400000003</v>
      </c>
      <c r="H406">
        <f ca="1">IF(AND(ISNUMBER($H$1070),$B$677=1),$H$1070,HLOOKUP(INDIRECT(ADDRESS(2,COLUMN())),OFFSET($BN$2,0,0,ROW()-1,60),ROW()-1,FALSE))</f>
        <v>0.67238472299999996</v>
      </c>
      <c r="I406">
        <f ca="1">IF(AND(ISNUMBER($I$1070),$B$677=1),$I$1070,HLOOKUP(INDIRECT(ADDRESS(2,COLUMN())),OFFSET($BN$2,0,0,ROW()-1,60),ROW()-1,FALSE))</f>
        <v>0.645035095</v>
      </c>
      <c r="J406">
        <f ca="1">IF(AND(ISNUMBER($J$1070),$B$677=1),$J$1070,HLOOKUP(INDIRECT(ADDRESS(2,COLUMN())),OFFSET($BN$2,0,0,ROW()-1,60),ROW()-1,FALSE))</f>
        <v>0.66031945599999997</v>
      </c>
      <c r="K406">
        <f ca="1">IF(AND(ISNUMBER($K$1070),$B$677=1),$K$1070,HLOOKUP(INDIRECT(ADDRESS(2,COLUMN())),OFFSET($BN$2,0,0,ROW()-1,60),ROW()-1,FALSE))</f>
        <v>0.68548573199999996</v>
      </c>
      <c r="L406">
        <f ca="1">IF(AND(ISNUMBER($L$1070),$B$677=1),$L$1070,HLOOKUP(INDIRECT(ADDRESS(2,COLUMN())),OFFSET($BN$2,0,0,ROW()-1,60),ROW()-1,FALSE))</f>
        <v>0.71066180800000001</v>
      </c>
      <c r="M406">
        <f ca="1">IF(AND(ISNUMBER($M$1070),$B$677=1),$M$1070,HLOOKUP(INDIRECT(ADDRESS(2,COLUMN())),OFFSET($BN$2,0,0,ROW()-1,60),ROW()-1,FALSE))</f>
        <v>0.69670587500000003</v>
      </c>
      <c r="N406">
        <f ca="1">IF(AND(ISNUMBER($N$1070),$B$677=1),$N$1070,HLOOKUP(INDIRECT(ADDRESS(2,COLUMN())),OFFSET($BN$2,0,0,ROW()-1,60),ROW()-1,FALSE))</f>
        <v>0.73840419400000001</v>
      </c>
      <c r="O406">
        <f ca="1">IF(AND(ISNUMBER($O$1070),$B$677=1),$O$1070,HLOOKUP(INDIRECT(ADDRESS(2,COLUMN())),OFFSET($BN$2,0,0,ROW()-1,60),ROW()-1,FALSE))</f>
        <v>0.79408749000000001</v>
      </c>
      <c r="P406">
        <f ca="1">IF(AND(ISNUMBER($P$1070),$B$677=1),$P$1070,HLOOKUP(INDIRECT(ADDRESS(2,COLUMN())),OFFSET($BN$2,0,0,ROW()-1,60),ROW()-1,FALSE))</f>
        <v>0.71521717399999996</v>
      </c>
      <c r="Q406">
        <f ca="1">IF(AND(ISNUMBER($Q$1070),$B$677=1),$Q$1070,HLOOKUP(INDIRECT(ADDRESS(2,COLUMN())),OFFSET($BN$2,0,0,ROW()-1,60),ROW()-1,FALSE))</f>
        <v>0.715091692</v>
      </c>
      <c r="R406">
        <f ca="1">IF(AND(ISNUMBER($R$1070),$B$677=1),$R$1070,HLOOKUP(INDIRECT(ADDRESS(2,COLUMN())),OFFSET($BN$2,0,0,ROW()-1,60),ROW()-1,FALSE))</f>
        <v>0.73334128899999995</v>
      </c>
      <c r="S406">
        <f ca="1">IF(AND(ISNUMBER($S$1070),$B$677=1),$S$1070,HLOOKUP(INDIRECT(ADDRESS(2,COLUMN())),OFFSET($BN$2,0,0,ROW()-1,60),ROW()-1,FALSE))</f>
        <v>0.82124104200000003</v>
      </c>
      <c r="T406">
        <f ca="1">IF(AND(ISNUMBER($T$1070),$B$677=1),$T$1070,HLOOKUP(INDIRECT(ADDRESS(2,COLUMN())),OFFSET($BN$2,0,0,ROW()-1,60),ROW()-1,FALSE))</f>
        <v>0.80653506900000005</v>
      </c>
      <c r="U406">
        <f ca="1">IF(AND(ISNUMBER($U$1070),$B$677=1),$U$1070,HLOOKUP(INDIRECT(ADDRESS(2,COLUMN())),OFFSET($BN$2,0,0,ROW()-1,60),ROW()-1,FALSE))</f>
        <v>0.85114380099999998</v>
      </c>
      <c r="V406">
        <f ca="1">IF(AND(ISNUMBER($V$1070),$B$677=1),$V$1070,HLOOKUP(INDIRECT(ADDRESS(2,COLUMN())),OFFSET($BN$2,0,0,ROW()-1,60),ROW()-1,FALSE))</f>
        <v>0.85720104399999997</v>
      </c>
      <c r="W406">
        <f ca="1">IF(AND(ISNUMBER($W$1070),$B$677=1),$W$1070,HLOOKUP(INDIRECT(ADDRESS(2,COLUMN())),OFFSET($BN$2,0,0,ROW()-1,60),ROW()-1,FALSE))</f>
        <v>0.88932278799999998</v>
      </c>
      <c r="X406">
        <f ca="1">IF(AND(ISNUMBER($X$1070),$B$677=1),$X$1070,HLOOKUP(INDIRECT(ADDRESS(2,COLUMN())),OFFSET($BN$2,0,0,ROW()-1,60),ROW()-1,FALSE))</f>
        <v>0.86945445799999999</v>
      </c>
      <c r="Y406">
        <f ca="1">IF(AND(ISNUMBER($Y$1070),$B$677=1),$Y$1070,HLOOKUP(INDIRECT(ADDRESS(2,COLUMN())),OFFSET($BN$2,0,0,ROW()-1,60),ROW()-1,FALSE))</f>
        <v>0.878193008</v>
      </c>
      <c r="Z406">
        <f ca="1">IF(AND(ISNUMBER($Z$1070),$B$677=1),$Z$1070,HLOOKUP(INDIRECT(ADDRESS(2,COLUMN())),OFFSET($BN$2,0,0,ROW()-1,60),ROW()-1,FALSE))</f>
        <v>0.85973612700000002</v>
      </c>
      <c r="AA406">
        <f ca="1">IF(AND(ISNUMBER($AA$1070),$B$677=1),$AA$1070,HLOOKUP(INDIRECT(ADDRESS(2,COLUMN())),OFFSET($BN$2,0,0,ROW()-1,60),ROW()-1,FALSE))</f>
        <v>0.89611612900000004</v>
      </c>
      <c r="AB406">
        <f ca="1">IF(AND(ISNUMBER($AB$1070),$B$677=1),$AB$1070,HLOOKUP(INDIRECT(ADDRESS(2,COLUMN())),OFFSET($BN$2,0,0,ROW()-1,60),ROW()-1,FALSE))</f>
        <v>0.92614337800000002</v>
      </c>
      <c r="AC406">
        <f ca="1">IF(AND(ISNUMBER($AC$1070),$B$677=1),$AC$1070,HLOOKUP(INDIRECT(ADDRESS(2,COLUMN())),OFFSET($BN$2,0,0,ROW()-1,60),ROW()-1,FALSE))</f>
        <v>0.95204372199999998</v>
      </c>
      <c r="AD406">
        <f ca="1">IF(AND(ISNUMBER($AD$1070),$B$677=1),$AD$1070,HLOOKUP(INDIRECT(ADDRESS(2,COLUMN())),OFFSET($BN$2,0,0,ROW()-1,60),ROW()-1,FALSE))</f>
        <v>0.96677010500000005</v>
      </c>
      <c r="AE406">
        <f ca="1">IF(AND(ISNUMBER($AE$1070),$B$677=1),$AE$1070,HLOOKUP(INDIRECT(ADDRESS(2,COLUMN())),OFFSET($BN$2,0,0,ROW()-1,60),ROW()-1,FALSE))</f>
        <v>1.00211965</v>
      </c>
      <c r="AF406">
        <f ca="1">IF(AND(ISNUMBER($AF$1070),$B$677=1),$AF$1070,HLOOKUP(INDIRECT(ADDRESS(2,COLUMN())),OFFSET($BN$2,0,0,ROW()-1,60),ROW()-1,FALSE))</f>
        <v>0.98957162600000004</v>
      </c>
      <c r="AG406">
        <f ca="1">IF(AND(ISNUMBER($AG$1070),$B$677=1),$AG$1070,HLOOKUP(INDIRECT(ADDRESS(2,COLUMN())),OFFSET($BN$2,0,0,ROW()-1,60),ROW()-1,FALSE))</f>
        <v>1.0910624449999999</v>
      </c>
      <c r="AH406">
        <f ca="1">IF(AND(ISNUMBER($AH$1070),$B$677=1),$AH$1070,HLOOKUP(INDIRECT(ADDRESS(2,COLUMN())),OFFSET($BN$2,0,0,ROW()-1,60),ROW()-1,FALSE))</f>
        <v>1.1514339250000001</v>
      </c>
      <c r="AI406">
        <f ca="1">IF(AND(ISNUMBER($AI$1070),$B$677=1),$AI$1070,HLOOKUP(INDIRECT(ADDRESS(2,COLUMN())),OFFSET($BN$2,0,0,ROW()-1,60),ROW()-1,FALSE))</f>
        <v>1.317289395</v>
      </c>
      <c r="AJ406">
        <f ca="1">IF(AND(ISNUMBER($AJ$1070),$B$677=1),$AJ$1070,HLOOKUP(INDIRECT(ADDRESS(2,COLUMN())),OFFSET($BN$2,0,0,ROW()-1,60),ROW()-1,FALSE))</f>
        <v>1.3075805009999999</v>
      </c>
      <c r="AK406">
        <f ca="1">IF(AND(ISNUMBER($AK$1070),$B$677=1),$AK$1070,HLOOKUP(INDIRECT(ADDRESS(2,COLUMN())),OFFSET($BN$2,0,0,ROW()-1,60),ROW()-1,FALSE))</f>
        <v>1.199002487</v>
      </c>
      <c r="AL406">
        <f ca="1">IF(AND(ISNUMBER($AL$1070),$B$677=1),$AL$1070,HLOOKUP(INDIRECT(ADDRESS(2,COLUMN())),OFFSET($BN$2,0,0,ROW()-1,60),ROW()-1,FALSE))</f>
        <v>1.2485558459999999</v>
      </c>
      <c r="AM406">
        <f ca="1">IF(AND(ISNUMBER($AM$1070),$B$677=1),$AM$1070,HLOOKUP(INDIRECT(ADDRESS(2,COLUMN())),OFFSET($BN$2,0,0,ROW()-1,60),ROW()-1,FALSE))</f>
        <v>1.33006997</v>
      </c>
      <c r="AN406">
        <f ca="1">IF(AND(ISNUMBER($AN$1070),$B$677=1),$AN$1070,HLOOKUP(INDIRECT(ADDRESS(2,COLUMN())),OFFSET($BN$2,0,0,ROW()-1,60),ROW()-1,FALSE))</f>
        <v>1.3212691299999999</v>
      </c>
      <c r="AO406">
        <f ca="1">IF(AND(ISNUMBER($AO$1070),$B$677=1),$AO$1070,HLOOKUP(INDIRECT(ADDRESS(2,COLUMN())),OFFSET($BN$2,0,0,ROW()-1,60),ROW()-1,FALSE))</f>
        <v>1.447798693</v>
      </c>
      <c r="AP406">
        <f ca="1">IF(AND(ISNUMBER($AP$1070),$B$677=1),$AP$1070,HLOOKUP(INDIRECT(ADDRESS(2,COLUMN())),OFFSET($BN$2,0,0,ROW()-1,60),ROW()-1,FALSE))</f>
        <v>1.5134621049999999</v>
      </c>
      <c r="AQ406">
        <f ca="1">IF(AND(ISNUMBER($AQ$1070),$B$677=1),$AQ$1070,HLOOKUP(INDIRECT(ADDRESS(2,COLUMN())),OFFSET($BN$2,0,0,ROW()-1,60),ROW()-1,FALSE))</f>
        <v>1.6706018380000001</v>
      </c>
      <c r="AR406">
        <f ca="1">IF(AND(ISNUMBER($AR$1070),$B$677=1),$AR$1070,HLOOKUP(INDIRECT(ADDRESS(2,COLUMN())),OFFSET($BN$2,0,0,ROW()-1,60),ROW()-1,FALSE))</f>
        <v>1.8353067080000001</v>
      </c>
      <c r="AS406">
        <f ca="1">IF(AND(ISNUMBER($AS$1070),$B$677=1),$AS$1070,HLOOKUP(INDIRECT(ADDRESS(2,COLUMN())),OFFSET($BN$2,0,0,ROW()-1,60),ROW()-1,FALSE))</f>
        <v>1.9039198820000001</v>
      </c>
      <c r="AT406">
        <f ca="1">IF(AND(ISNUMBER($AT$1070),$B$677=1),$AT$1070,HLOOKUP(INDIRECT(ADDRESS(2,COLUMN())),OFFSET($BN$2,0,0,ROW()-1,60),ROW()-1,FALSE))</f>
        <v>2.18696001</v>
      </c>
      <c r="AU406">
        <f ca="1">IF(AND(ISNUMBER($AU$1070),$B$677=1),$AU$1070,HLOOKUP(INDIRECT(ADDRESS(2,COLUMN())),OFFSET($BN$2,0,0,ROW()-1,60),ROW()-1,FALSE))</f>
        <v>2.1825741349999999</v>
      </c>
      <c r="AV406">
        <f ca="1">IF(AND(ISNUMBER($AV$1070),$B$677=1),$AV$1070,HLOOKUP(INDIRECT(ADDRESS(2,COLUMN())),OFFSET($BN$2,0,0,ROW()-1,60),ROW()-1,FALSE))</f>
        <v>1.469500195</v>
      </c>
      <c r="AW406">
        <f ca="1">IF(AND(ISNUMBER($AW$1070),$B$677=1),$AW$1070,HLOOKUP(INDIRECT(ADDRESS(2,COLUMN())),OFFSET($BN$2,0,0,ROW()-1,60),ROW()-1,FALSE))</f>
        <v>1.6188006159999999</v>
      </c>
      <c r="AX406">
        <f ca="1">IF(AND(ISNUMBER($AX$1070),$B$677=1),$AX$1070,HLOOKUP(INDIRECT(ADDRESS(2,COLUMN())),OFFSET($BN$2,0,0,ROW()-1,60),ROW()-1,FALSE))</f>
        <v>1.687017027</v>
      </c>
      <c r="AY406">
        <f ca="1">IF(AND(ISNUMBER($AY$1070),$B$677=1),$AY$1070,HLOOKUP(INDIRECT(ADDRESS(2,COLUMN())),OFFSET($BN$2,0,0,ROW()-1,60),ROW()-1,FALSE))</f>
        <v>1.710563345</v>
      </c>
      <c r="AZ406">
        <f ca="1">IF(AND(ISNUMBER($AZ$1070),$B$677=1),$AZ$1070,HLOOKUP(INDIRECT(ADDRESS(2,COLUMN())),OFFSET($BN$2,0,0,ROW()-1,60),ROW()-1,FALSE))</f>
        <v>1.6739790560000001</v>
      </c>
      <c r="BA406">
        <f ca="1">IF(AND(ISNUMBER($BA$1070),$B$677=1),$BA$1070,HLOOKUP(INDIRECT(ADDRESS(2,COLUMN())),OFFSET($BN$2,0,0,ROW()-1,60),ROW()-1,FALSE))</f>
        <v>1.678940265</v>
      </c>
      <c r="BB406">
        <f ca="1">IF(AND(ISNUMBER($BB$1070),$B$677=1),$BB$1070,HLOOKUP(INDIRECT(ADDRESS(2,COLUMN())),OFFSET($BN$2,0,0,ROW()-1,60),ROW()-1,FALSE))</f>
        <v>1.5940783860000001</v>
      </c>
      <c r="BC406">
        <f ca="1">IF(AND(ISNUMBER($BC$1070),$B$677=1),$BC$1070,HLOOKUP(INDIRECT(ADDRESS(2,COLUMN())),OFFSET($BN$2,0,0,ROW()-1,60),ROW()-1,FALSE))</f>
        <v>1.698750191</v>
      </c>
      <c r="BD406">
        <f ca="1">IF(AND(ISNUMBER($BD$1070),$B$677=1),$BD$1070,HLOOKUP(INDIRECT(ADDRESS(2,COLUMN())),OFFSET($BN$2,0,0,ROW()-1,60),ROW()-1,FALSE))</f>
        <v>1.6008744399999999</v>
      </c>
      <c r="BE406">
        <f ca="1">IF(AND(ISNUMBER($BE$1070),$B$677=1),$BE$1070,HLOOKUP(INDIRECT(ADDRESS(2,COLUMN())),OFFSET($BN$2,0,0,ROW()-1,60),ROW()-1,FALSE))</f>
        <v>1.615132835</v>
      </c>
      <c r="BF406">
        <f ca="1">IF(AND(ISNUMBER($BF$1070),$B$677=1),$BF$1070,HLOOKUP(INDIRECT(ADDRESS(2,COLUMN())),OFFSET($BN$2,0,0,ROW()-1,60),ROW()-1,FALSE))</f>
        <v>1.5512285130000001</v>
      </c>
      <c r="BG406">
        <f ca="1">IF(AND(ISNUMBER($BG$1070),$B$677=1),$BG$1070,HLOOKUP(INDIRECT(ADDRESS(2,COLUMN())),OFFSET($BN$2,0,0,ROW()-1,60),ROW()-1,FALSE))</f>
        <v>1.6756791010000001</v>
      </c>
      <c r="BH406">
        <f ca="1">IF(AND(ISNUMBER($BH$1070),$B$677=1),$BH$1070,HLOOKUP(INDIRECT(ADDRESS(2,COLUMN())),OFFSET($BN$2,0,0,ROW()-1,60),ROW()-1,FALSE))</f>
        <v>1.6675060420000001</v>
      </c>
      <c r="BI406">
        <f ca="1">IF(AND(ISNUMBER($BI$1070),$B$677=1),$BI$1070,HLOOKUP(INDIRECT(ADDRESS(2,COLUMN())),OFFSET($BN$2,0,0,ROW()-1,60),ROW()-1,FALSE))</f>
        <v>1.844922532</v>
      </c>
      <c r="BJ406">
        <f ca="1">IF(AND(ISNUMBER($BJ$1070),$B$677=1),$BJ$1070,HLOOKUP(INDIRECT(ADDRESS(2,COLUMN())),OFFSET($BN$2,0,0,ROW()-1,60),ROW()-1,FALSE))</f>
        <v>1.7051395469999999</v>
      </c>
      <c r="BK406" t="str">
        <f ca="1">IF(AND(ISNUMBER($BK$1070),$B$677=1),$BK$1070,HLOOKUP(INDIRECT(ADDRESS(2,COLUMN())),OFFSET($BN$2,0,0,ROW()-1,60),ROW()-1,FALSE))</f>
        <v/>
      </c>
      <c r="BL406">
        <f ca="1">IF(AND(ISNUMBER($BL$1070),$B$677=1),$BL$1070,HLOOKUP(INDIRECT(ADDRESS(2,COLUMN())),OFFSET($BN$2,0,0,ROW()-1,60),ROW()-1,FALSE))</f>
        <v>1.5679445750000001</v>
      </c>
      <c r="BM406" t="str">
        <f ca="1">IF(AND(ISNUMBER($BM$1070),$B$677=1),$BM$1070,HLOOKUP(INDIRECT(ADDRESS(2,COLUMN())),OFFSET($BN$2,0,0,ROW()-1,60),ROW()-1,FALSE))</f>
        <v/>
      </c>
      <c r="BN406" t="str">
        <f>""</f>
        <v/>
      </c>
      <c r="BO406">
        <f>0.550346784</f>
        <v>0.55034678400000003</v>
      </c>
      <c r="BP406">
        <f>0.672384723</f>
        <v>0.67238472299999996</v>
      </c>
      <c r="BQ406">
        <f>0.645035095</f>
        <v>0.645035095</v>
      </c>
      <c r="BR406">
        <f>0.660319456</f>
        <v>0.66031945599999997</v>
      </c>
      <c r="BS406">
        <f>0.685485732</f>
        <v>0.68548573199999996</v>
      </c>
      <c r="BT406">
        <f>0.710661808</f>
        <v>0.71066180800000001</v>
      </c>
      <c r="BU406">
        <f>0.696705875</f>
        <v>0.69670587500000003</v>
      </c>
      <c r="BV406">
        <f>0.738404194</f>
        <v>0.73840419400000001</v>
      </c>
      <c r="BW406">
        <f>0.79408749</f>
        <v>0.79408749000000001</v>
      </c>
      <c r="BX406">
        <f>0.715217174</f>
        <v>0.71521717399999996</v>
      </c>
      <c r="BY406">
        <f>0.715091692</f>
        <v>0.715091692</v>
      </c>
      <c r="BZ406">
        <f>0.733341289</f>
        <v>0.73334128899999995</v>
      </c>
      <c r="CA406">
        <f>0.821241042</f>
        <v>0.82124104200000003</v>
      </c>
      <c r="CB406">
        <f>0.806535069</f>
        <v>0.80653506900000005</v>
      </c>
      <c r="CC406">
        <f>0.851143801</f>
        <v>0.85114380099999998</v>
      </c>
      <c r="CD406">
        <f>0.857201044</f>
        <v>0.85720104399999997</v>
      </c>
      <c r="CE406">
        <f>0.889322788</f>
        <v>0.88932278799999998</v>
      </c>
      <c r="CF406">
        <f>0.869454458</f>
        <v>0.86945445799999999</v>
      </c>
      <c r="CG406">
        <f>0.878193008</f>
        <v>0.878193008</v>
      </c>
      <c r="CH406">
        <f>0.859736127</f>
        <v>0.85973612700000002</v>
      </c>
      <c r="CI406">
        <f>0.896116129</f>
        <v>0.89611612900000004</v>
      </c>
      <c r="CJ406">
        <f>0.926143378</f>
        <v>0.92614337800000002</v>
      </c>
      <c r="CK406">
        <f>0.952043722</f>
        <v>0.95204372199999998</v>
      </c>
      <c r="CL406">
        <f>0.966770105</f>
        <v>0.96677010500000005</v>
      </c>
      <c r="CM406">
        <f>1.00211965</f>
        <v>1.00211965</v>
      </c>
      <c r="CN406">
        <f>0.989571626</f>
        <v>0.98957162600000004</v>
      </c>
      <c r="CO406">
        <f>1.091062445</f>
        <v>1.0910624449999999</v>
      </c>
      <c r="CP406">
        <f>1.151433925</f>
        <v>1.1514339250000001</v>
      </c>
      <c r="CQ406">
        <f>1.317289395</f>
        <v>1.317289395</v>
      </c>
      <c r="CR406">
        <f>1.307580501</f>
        <v>1.3075805009999999</v>
      </c>
      <c r="CS406">
        <f>1.199002487</f>
        <v>1.199002487</v>
      </c>
      <c r="CT406">
        <f>1.248555846</f>
        <v>1.2485558459999999</v>
      </c>
      <c r="CU406">
        <f>1.33006997</f>
        <v>1.33006997</v>
      </c>
      <c r="CV406">
        <f>1.32126913</f>
        <v>1.3212691299999999</v>
      </c>
      <c r="CW406">
        <f>1.447798693</f>
        <v>1.447798693</v>
      </c>
      <c r="CX406">
        <f>1.513462105</f>
        <v>1.5134621049999999</v>
      </c>
      <c r="CY406">
        <f>1.670601838</f>
        <v>1.6706018380000001</v>
      </c>
      <c r="CZ406">
        <f>1.835306708</f>
        <v>1.8353067080000001</v>
      </c>
      <c r="DA406">
        <f>1.903919882</f>
        <v>1.9039198820000001</v>
      </c>
      <c r="DB406">
        <f>2.18696001</f>
        <v>2.18696001</v>
      </c>
      <c r="DC406">
        <f>2.182574135</f>
        <v>2.1825741349999999</v>
      </c>
      <c r="DD406">
        <f>1.469500195</f>
        <v>1.469500195</v>
      </c>
      <c r="DE406">
        <f>1.618800616</f>
        <v>1.6188006159999999</v>
      </c>
      <c r="DF406">
        <f>1.687017027</f>
        <v>1.687017027</v>
      </c>
      <c r="DG406">
        <f>1.710563345</f>
        <v>1.710563345</v>
      </c>
      <c r="DH406">
        <f>1.673979056</f>
        <v>1.6739790560000001</v>
      </c>
      <c r="DI406">
        <f>1.678940265</f>
        <v>1.678940265</v>
      </c>
      <c r="DJ406">
        <f>1.594078386</f>
        <v>1.5940783860000001</v>
      </c>
      <c r="DK406">
        <f>1.698750191</f>
        <v>1.698750191</v>
      </c>
      <c r="DL406">
        <f>1.60087444</f>
        <v>1.6008744399999999</v>
      </c>
      <c r="DM406">
        <f>1.615132835</f>
        <v>1.615132835</v>
      </c>
      <c r="DN406">
        <f>1.551228513</f>
        <v>1.5512285130000001</v>
      </c>
      <c r="DO406">
        <f>1.675679101</f>
        <v>1.6756791010000001</v>
      </c>
      <c r="DP406">
        <f>1.667506042</f>
        <v>1.6675060420000001</v>
      </c>
      <c r="DQ406">
        <f>1.844922532</f>
        <v>1.844922532</v>
      </c>
      <c r="DR406">
        <f>1.705139547</f>
        <v>1.7051395469999999</v>
      </c>
      <c r="DS406" t="str">
        <f>""</f>
        <v/>
      </c>
      <c r="DT406">
        <f>1.567944575</f>
        <v>1.5679445750000001</v>
      </c>
      <c r="DU406" t="str">
        <f>""</f>
        <v/>
      </c>
    </row>
    <row r="407" spans="1:125" x14ac:dyDescent="0.25">
      <c r="A407" t="str">
        <f>"    Suzuki Motor Corp"</f>
        <v xml:space="preserve">    Suzuki Motor Corp</v>
      </c>
      <c r="B407" t="str">
        <f>"7269 JP Equity"</f>
        <v>7269 JP Equity</v>
      </c>
      <c r="C407" t="str">
        <f t="shared" si="27"/>
        <v>RR480</v>
      </c>
      <c r="D407" t="str">
        <f t="shared" si="28"/>
        <v>EV_TO_MKT_CAP</v>
      </c>
      <c r="E407" t="str">
        <f t="shared" si="29"/>
        <v>Dynamic</v>
      </c>
      <c r="F407" t="str">
        <f ca="1">IF(AND(ISNUMBER($F$1071),$B$677=1),$F$1071,HLOOKUP(INDIRECT(ADDRESS(2,COLUMN())),OFFSET($BN$2,0,0,ROW()-1,60),ROW()-1,FALSE))</f>
        <v/>
      </c>
      <c r="G407">
        <f ca="1">IF(AND(ISNUMBER($G$1071),$B$677=1),$G$1071,HLOOKUP(INDIRECT(ADDRESS(2,COLUMN())),OFFSET($BN$2,0,0,ROW()-1,60),ROW()-1,FALSE))</f>
        <v>1.0221455850000001</v>
      </c>
      <c r="H407">
        <f ca="1">IF(AND(ISNUMBER($H$1071),$B$677=1),$H$1071,HLOOKUP(INDIRECT(ADDRESS(2,COLUMN())),OFFSET($BN$2,0,0,ROW()-1,60),ROW()-1,FALSE))</f>
        <v>0.97865371300000004</v>
      </c>
      <c r="I407">
        <f ca="1">IF(AND(ISNUMBER($I$1071),$B$677=1),$I$1071,HLOOKUP(INDIRECT(ADDRESS(2,COLUMN())),OFFSET($BN$2,0,0,ROW()-1,60),ROW()-1,FALSE))</f>
        <v>0.98941833599999995</v>
      </c>
      <c r="J407">
        <f ca="1">IF(AND(ISNUMBER($J$1071),$B$677=1),$J$1071,HLOOKUP(INDIRECT(ADDRESS(2,COLUMN())),OFFSET($BN$2,0,0,ROW()-1,60),ROW()-1,FALSE))</f>
        <v>0.97692792799999995</v>
      </c>
      <c r="K407">
        <f ca="1">IF(AND(ISNUMBER($K$1071),$B$677=1),$K$1071,HLOOKUP(INDIRECT(ADDRESS(2,COLUMN())),OFFSET($BN$2,0,0,ROW()-1,60),ROW()-1,FALSE))</f>
        <v>0.97587681599999998</v>
      </c>
      <c r="L407">
        <f ca="1">IF(AND(ISNUMBER($L$1071),$B$677=1),$L$1071,HLOOKUP(INDIRECT(ADDRESS(2,COLUMN())),OFFSET($BN$2,0,0,ROW()-1,60),ROW()-1,FALSE))</f>
        <v>0.94593868599999997</v>
      </c>
      <c r="M407">
        <f ca="1">IF(AND(ISNUMBER($M$1071),$B$677=1),$M$1071,HLOOKUP(INDIRECT(ADDRESS(2,COLUMN())),OFFSET($BN$2,0,0,ROW()-1,60),ROW()-1,FALSE))</f>
        <v>0.96010231899999998</v>
      </c>
      <c r="N407">
        <f ca="1">IF(AND(ISNUMBER($N$1071),$B$677=1),$N$1071,HLOOKUP(INDIRECT(ADDRESS(2,COLUMN())),OFFSET($BN$2,0,0,ROW()-1,60),ROW()-1,FALSE))</f>
        <v>0.94447678400000001</v>
      </c>
      <c r="O407">
        <f ca="1">IF(AND(ISNUMBER($O$1071),$B$677=1),$O$1071,HLOOKUP(INDIRECT(ADDRESS(2,COLUMN())),OFFSET($BN$2,0,0,ROW()-1,60),ROW()-1,FALSE))</f>
        <v>0.96138216300000001</v>
      </c>
      <c r="P407">
        <f ca="1">IF(AND(ISNUMBER($P$1071),$B$677=1),$P$1071,HLOOKUP(INDIRECT(ADDRESS(2,COLUMN())),OFFSET($BN$2,0,0,ROW()-1,60),ROW()-1,FALSE))</f>
        <v>0.89792538700000002</v>
      </c>
      <c r="Q407">
        <f ca="1">IF(AND(ISNUMBER($Q$1071),$B$677=1),$Q$1071,HLOOKUP(INDIRECT(ADDRESS(2,COLUMN())),OFFSET($BN$2,0,0,ROW()-1,60),ROW()-1,FALSE))</f>
        <v>0.93830632400000002</v>
      </c>
      <c r="R407">
        <f ca="1">IF(AND(ISNUMBER($R$1071),$B$677=1),$R$1071,HLOOKUP(INDIRECT(ADDRESS(2,COLUMN())),OFFSET($BN$2,0,0,ROW()-1,60),ROW()-1,FALSE))</f>
        <v>0.99570992400000002</v>
      </c>
      <c r="S407">
        <f ca="1">IF(AND(ISNUMBER($S$1071),$B$677=1),$S$1071,HLOOKUP(INDIRECT(ADDRESS(2,COLUMN())),OFFSET($BN$2,0,0,ROW()-1,60),ROW()-1,FALSE))</f>
        <v>1.0144064100000001</v>
      </c>
      <c r="T407">
        <f ca="1">IF(AND(ISNUMBER($T$1071),$B$677=1),$T$1071,HLOOKUP(INDIRECT(ADDRESS(2,COLUMN())),OFFSET($BN$2,0,0,ROW()-1,60),ROW()-1,FALSE))</f>
        <v>1.0650978099999999</v>
      </c>
      <c r="U407">
        <f ca="1">IF(AND(ISNUMBER($U$1071),$B$677=1),$U$1071,HLOOKUP(INDIRECT(ADDRESS(2,COLUMN())),OFFSET($BN$2,0,0,ROW()-1,60),ROW()-1,FALSE))</f>
        <v>0.84389336800000003</v>
      </c>
      <c r="V407">
        <f ca="1">IF(AND(ISNUMBER($V$1071),$B$677=1),$V$1071,HLOOKUP(INDIRECT(ADDRESS(2,COLUMN())),OFFSET($BN$2,0,0,ROW()-1,60),ROW()-1,FALSE))</f>
        <v>0.82451627999999999</v>
      </c>
      <c r="W407">
        <f ca="1">IF(AND(ISNUMBER($W$1071),$B$677=1),$W$1071,HLOOKUP(INDIRECT(ADDRESS(2,COLUMN())),OFFSET($BN$2,0,0,ROW()-1,60),ROW()-1,FALSE))</f>
        <v>0.85048524700000006</v>
      </c>
      <c r="X407">
        <f ca="1">IF(AND(ISNUMBER($X$1071),$B$677=1),$X$1071,HLOOKUP(INDIRECT(ADDRESS(2,COLUMN())),OFFSET($BN$2,0,0,ROW()-1,60),ROW()-1,FALSE))</f>
        <v>0.82968328000000002</v>
      </c>
      <c r="Y407">
        <f ca="1">IF(AND(ISNUMBER($Y$1071),$B$677=1),$Y$1071,HLOOKUP(INDIRECT(ADDRESS(2,COLUMN())),OFFSET($BN$2,0,0,ROW()-1,60),ROW()-1,FALSE))</f>
        <v>0.81004275999999997</v>
      </c>
      <c r="Z407">
        <f ca="1">IF(AND(ISNUMBER($Z$1071),$B$677=1),$Z$1071,HLOOKUP(INDIRECT(ADDRESS(2,COLUMN())),OFFSET($BN$2,0,0,ROW()-1,60),ROW()-1,FALSE))</f>
        <v>0.77186332300000005</v>
      </c>
      <c r="AA407">
        <f ca="1">IF(AND(ISNUMBER($AA$1071),$B$677=1),$AA$1071,HLOOKUP(INDIRECT(ADDRESS(2,COLUMN())),OFFSET($BN$2,0,0,ROW()-1,60),ROW()-1,FALSE))</f>
        <v>0.81480508200000001</v>
      </c>
      <c r="AB407">
        <f ca="1">IF(AND(ISNUMBER($AB$1071),$B$677=1),$AB$1071,HLOOKUP(INDIRECT(ADDRESS(2,COLUMN())),OFFSET($BN$2,0,0,ROW()-1,60),ROW()-1,FALSE))</f>
        <v>0.75624697699999999</v>
      </c>
      <c r="AC407">
        <f ca="1">IF(AND(ISNUMBER($AC$1071),$B$677=1),$AC$1071,HLOOKUP(INDIRECT(ADDRESS(2,COLUMN())),OFFSET($BN$2,0,0,ROW()-1,60),ROW()-1,FALSE))</f>
        <v>0.77897176400000001</v>
      </c>
      <c r="AD407">
        <f ca="1">IF(AND(ISNUMBER($AD$1071),$B$677=1),$AD$1071,HLOOKUP(INDIRECT(ADDRESS(2,COLUMN())),OFFSET($BN$2,0,0,ROW()-1,60),ROW()-1,FALSE))</f>
        <v>0.79153670799999998</v>
      </c>
      <c r="AE407">
        <f ca="1">IF(AND(ISNUMBER($AE$1071),$B$677=1),$AE$1071,HLOOKUP(INDIRECT(ADDRESS(2,COLUMN())),OFFSET($BN$2,0,0,ROW()-1,60),ROW()-1,FALSE))</f>
        <v>0.82416391499999997</v>
      </c>
      <c r="AF407">
        <f ca="1">IF(AND(ISNUMBER($AF$1071),$B$677=1),$AF$1071,HLOOKUP(INDIRECT(ADDRESS(2,COLUMN())),OFFSET($BN$2,0,0,ROW()-1,60),ROW()-1,FALSE))</f>
        <v>0.66538257499999998</v>
      </c>
      <c r="AG407">
        <f ca="1">IF(AND(ISNUMBER($AG$1071),$B$677=1),$AG$1071,HLOOKUP(INDIRECT(ADDRESS(2,COLUMN())),OFFSET($BN$2,0,0,ROW()-1,60),ROW()-1,FALSE))</f>
        <v>0.66874790699999997</v>
      </c>
      <c r="AH407">
        <f ca="1">IF(AND(ISNUMBER($AH$1071),$B$677=1),$AH$1071,HLOOKUP(INDIRECT(ADDRESS(2,COLUMN())),OFFSET($BN$2,0,0,ROW()-1,60),ROW()-1,FALSE))</f>
        <v>0.766511312</v>
      </c>
      <c r="AI407">
        <f ca="1">IF(AND(ISNUMBER($AI$1071),$B$677=1),$AI$1071,HLOOKUP(INDIRECT(ADDRESS(2,COLUMN())),OFFSET($BN$2,0,0,ROW()-1,60),ROW()-1,FALSE))</f>
        <v>0.72969093699999998</v>
      </c>
      <c r="AJ407">
        <f ca="1">IF(AND(ISNUMBER($AJ$1071),$B$677=1),$AJ$1071,HLOOKUP(INDIRECT(ADDRESS(2,COLUMN())),OFFSET($BN$2,0,0,ROW()-1,60),ROW()-1,FALSE))</f>
        <v>0.74320308199999996</v>
      </c>
      <c r="AK407">
        <f ca="1">IF(AND(ISNUMBER($AK$1071),$B$677=1),$AK$1071,HLOOKUP(INDIRECT(ADDRESS(2,COLUMN())),OFFSET($BN$2,0,0,ROW()-1,60),ROW()-1,FALSE))</f>
        <v>0.845141331</v>
      </c>
      <c r="AL407">
        <f ca="1">IF(AND(ISNUMBER($AL$1071),$B$677=1),$AL$1071,HLOOKUP(INDIRECT(ADDRESS(2,COLUMN())),OFFSET($BN$2,0,0,ROW()-1,60),ROW()-1,FALSE))</f>
        <v>0.89154553199999997</v>
      </c>
      <c r="AM407">
        <f ca="1">IF(AND(ISNUMBER($AM$1071),$B$677=1),$AM$1071,HLOOKUP(INDIRECT(ADDRESS(2,COLUMN())),OFFSET($BN$2,0,0,ROW()-1,60),ROW()-1,FALSE))</f>
        <v>0.92789147999999999</v>
      </c>
      <c r="AN407">
        <f ca="1">IF(AND(ISNUMBER($AN$1071),$B$677=1),$AN$1071,HLOOKUP(INDIRECT(ADDRESS(2,COLUMN())),OFFSET($BN$2,0,0,ROW()-1,60),ROW()-1,FALSE))</f>
        <v>0.83484913900000002</v>
      </c>
      <c r="AO407">
        <f ca="1">IF(AND(ISNUMBER($AO$1071),$B$677=1),$AO$1071,HLOOKUP(INDIRECT(ADDRESS(2,COLUMN())),OFFSET($BN$2,0,0,ROW()-1,60),ROW()-1,FALSE))</f>
        <v>0.85432255099999999</v>
      </c>
      <c r="AP407">
        <f ca="1">IF(AND(ISNUMBER($AP$1071),$B$677=1),$AP$1071,HLOOKUP(INDIRECT(ADDRESS(2,COLUMN())),OFFSET($BN$2,0,0,ROW()-1,60),ROW()-1,FALSE))</f>
        <v>0.95226567900000003</v>
      </c>
      <c r="AQ407">
        <f ca="1">IF(AND(ISNUMBER($AQ$1071),$B$677=1),$AQ$1071,HLOOKUP(INDIRECT(ADDRESS(2,COLUMN())),OFFSET($BN$2,0,0,ROW()-1,60),ROW()-1,FALSE))</f>
        <v>1.217325422</v>
      </c>
      <c r="AR407">
        <f ca="1">IF(AND(ISNUMBER($AR$1071),$B$677=1),$AR$1071,HLOOKUP(INDIRECT(ADDRESS(2,COLUMN())),OFFSET($BN$2,0,0,ROW()-1,60),ROW()-1,FALSE))</f>
        <v>1.255002325</v>
      </c>
      <c r="AS407">
        <f ca="1">IF(AND(ISNUMBER($AS$1071),$B$677=1),$AS$1071,HLOOKUP(INDIRECT(ADDRESS(2,COLUMN())),OFFSET($BN$2,0,0,ROW()-1,60),ROW()-1,FALSE))</f>
        <v>1.3149730829999999</v>
      </c>
      <c r="AT407">
        <f ca="1">IF(AND(ISNUMBER($AT$1071),$B$677=1),$AT$1071,HLOOKUP(INDIRECT(ADDRESS(2,COLUMN())),OFFSET($BN$2,0,0,ROW()-1,60),ROW()-1,FALSE))</f>
        <v>1.485638244</v>
      </c>
      <c r="AU407">
        <f ca="1">IF(AND(ISNUMBER($AU$1071),$B$677=1),$AU$1071,HLOOKUP(INDIRECT(ADDRESS(2,COLUMN())),OFFSET($BN$2,0,0,ROW()-1,60),ROW()-1,FALSE))</f>
        <v>1.4881766649999999</v>
      </c>
      <c r="AV407">
        <f ca="1">IF(AND(ISNUMBER($AV$1071),$B$677=1),$AV$1071,HLOOKUP(INDIRECT(ADDRESS(2,COLUMN())),OFFSET($BN$2,0,0,ROW()-1,60),ROW()-1,FALSE))</f>
        <v>1.121674152</v>
      </c>
      <c r="AW407">
        <f ca="1">IF(AND(ISNUMBER($AW$1071),$B$677=1),$AW$1071,HLOOKUP(INDIRECT(ADDRESS(2,COLUMN())),OFFSET($BN$2,0,0,ROW()-1,60),ROW()-1,FALSE))</f>
        <v>1.0838167940000001</v>
      </c>
      <c r="AX407">
        <f ca="1">IF(AND(ISNUMBER($AX$1071),$B$677=1),$AX$1071,HLOOKUP(INDIRECT(ADDRESS(2,COLUMN())),OFFSET($BN$2,0,0,ROW()-1,60),ROW()-1,FALSE))</f>
        <v>1.0877197919999999</v>
      </c>
      <c r="AY407">
        <f ca="1">IF(AND(ISNUMBER($AY$1071),$B$677=1),$AY$1071,HLOOKUP(INDIRECT(ADDRESS(2,COLUMN())),OFFSET($BN$2,0,0,ROW()-1,60),ROW()-1,FALSE))</f>
        <v>1.028328073</v>
      </c>
      <c r="AZ407">
        <f ca="1">IF(AND(ISNUMBER($AZ$1071),$B$677=1),$AZ$1071,HLOOKUP(INDIRECT(ADDRESS(2,COLUMN())),OFFSET($BN$2,0,0,ROW()-1,60),ROW()-1,FALSE))</f>
        <v>1.004306675</v>
      </c>
      <c r="BA407">
        <f ca="1">IF(AND(ISNUMBER($BA$1071),$B$677=1),$BA$1071,HLOOKUP(INDIRECT(ADDRESS(2,COLUMN())),OFFSET($BN$2,0,0,ROW()-1,60),ROW()-1,FALSE))</f>
        <v>1.006410749</v>
      </c>
      <c r="BB407">
        <f ca="1">IF(AND(ISNUMBER($BB$1071),$B$677=1),$BB$1071,HLOOKUP(INDIRECT(ADDRESS(2,COLUMN())),OFFSET($BN$2,0,0,ROW()-1,60),ROW()-1,FALSE))</f>
        <v>1.035664752</v>
      </c>
      <c r="BC407">
        <f ca="1">IF(AND(ISNUMBER($BC$1071),$B$677=1),$BC$1071,HLOOKUP(INDIRECT(ADDRESS(2,COLUMN())),OFFSET($BN$2,0,0,ROW()-1,60),ROW()-1,FALSE))</f>
        <v>1.040971018</v>
      </c>
      <c r="BD407">
        <f ca="1">IF(AND(ISNUMBER($BD$1071),$B$677=1),$BD$1071,HLOOKUP(INDIRECT(ADDRESS(2,COLUMN())),OFFSET($BN$2,0,0,ROW()-1,60),ROW()-1,FALSE))</f>
        <v>1.0024708710000001</v>
      </c>
      <c r="BE407">
        <f ca="1">IF(AND(ISNUMBER($BE$1071),$B$677=1),$BE$1071,HLOOKUP(INDIRECT(ADDRESS(2,COLUMN())),OFFSET($BN$2,0,0,ROW()-1,60),ROW()-1,FALSE))</f>
        <v>0.98252621500000004</v>
      </c>
      <c r="BF407">
        <f ca="1">IF(AND(ISNUMBER($BF$1071),$B$677=1),$BF$1071,HLOOKUP(INDIRECT(ADDRESS(2,COLUMN())),OFFSET($BN$2,0,0,ROW()-1,60),ROW()-1,FALSE))</f>
        <v>1.029531298</v>
      </c>
      <c r="BG407">
        <f ca="1">IF(AND(ISNUMBER($BG$1071),$B$677=1),$BG$1071,HLOOKUP(INDIRECT(ADDRESS(2,COLUMN())),OFFSET($BN$2,0,0,ROW()-1,60),ROW()-1,FALSE))</f>
        <v>0.84944333400000005</v>
      </c>
      <c r="BH407">
        <f ca="1">IF(AND(ISNUMBER($BH$1071),$B$677=1),$BH$1071,HLOOKUP(INDIRECT(ADDRESS(2,COLUMN())),OFFSET($BN$2,0,0,ROW()-1,60),ROW()-1,FALSE))</f>
        <v>0.83199156399999996</v>
      </c>
      <c r="BI407" t="str">
        <f ca="1">IF(AND(ISNUMBER($BI$1071),$B$677=1),$BI$1071,HLOOKUP(INDIRECT(ADDRESS(2,COLUMN())),OFFSET($BN$2,0,0,ROW()-1,60),ROW()-1,FALSE))</f>
        <v/>
      </c>
      <c r="BJ407">
        <f ca="1">IF(AND(ISNUMBER($BJ$1071),$B$677=1),$BJ$1071,HLOOKUP(INDIRECT(ADDRESS(2,COLUMN())),OFFSET($BN$2,0,0,ROW()-1,60),ROW()-1,FALSE))</f>
        <v>0.87778212499999997</v>
      </c>
      <c r="BK407" t="str">
        <f ca="1">IF(AND(ISNUMBER($BK$1071),$B$677=1),$BK$1071,HLOOKUP(INDIRECT(ADDRESS(2,COLUMN())),OFFSET($BN$2,0,0,ROW()-1,60),ROW()-1,FALSE))</f>
        <v/>
      </c>
      <c r="BL407">
        <f ca="1">IF(AND(ISNUMBER($BL$1071),$B$677=1),$BL$1071,HLOOKUP(INDIRECT(ADDRESS(2,COLUMN())),OFFSET($BN$2,0,0,ROW()-1,60),ROW()-1,FALSE))</f>
        <v>0.86353472099999995</v>
      </c>
      <c r="BM407" t="str">
        <f ca="1">IF(AND(ISNUMBER($BM$1071),$B$677=1),$BM$1071,HLOOKUP(INDIRECT(ADDRESS(2,COLUMN())),OFFSET($BN$2,0,0,ROW()-1,60),ROW()-1,FALSE))</f>
        <v/>
      </c>
      <c r="BN407" t="str">
        <f>""</f>
        <v/>
      </c>
      <c r="BO407">
        <f>1.022145585</f>
        <v>1.0221455850000001</v>
      </c>
      <c r="BP407">
        <f>0.978653713</f>
        <v>0.97865371300000004</v>
      </c>
      <c r="BQ407">
        <f>0.989418336</f>
        <v>0.98941833599999995</v>
      </c>
      <c r="BR407">
        <f>0.976927928</f>
        <v>0.97692792799999995</v>
      </c>
      <c r="BS407">
        <f>0.975876816</f>
        <v>0.97587681599999998</v>
      </c>
      <c r="BT407">
        <f>0.945938686</f>
        <v>0.94593868599999997</v>
      </c>
      <c r="BU407">
        <f>0.960102319</f>
        <v>0.96010231899999998</v>
      </c>
      <c r="BV407">
        <f>0.944476784</f>
        <v>0.94447678400000001</v>
      </c>
      <c r="BW407">
        <f>0.961382163</f>
        <v>0.96138216300000001</v>
      </c>
      <c r="BX407">
        <f>0.897925387</f>
        <v>0.89792538700000002</v>
      </c>
      <c r="BY407">
        <f>0.938306324</f>
        <v>0.93830632400000002</v>
      </c>
      <c r="BZ407">
        <f>0.995709924</f>
        <v>0.99570992400000002</v>
      </c>
      <c r="CA407">
        <f>1.01440641</f>
        <v>1.0144064100000001</v>
      </c>
      <c r="CB407">
        <f>1.06509781</f>
        <v>1.0650978099999999</v>
      </c>
      <c r="CC407">
        <f>0.843893368</f>
        <v>0.84389336800000003</v>
      </c>
      <c r="CD407">
        <f>0.82451628</f>
        <v>0.82451627999999999</v>
      </c>
      <c r="CE407">
        <f>0.850485247</f>
        <v>0.85048524700000006</v>
      </c>
      <c r="CF407">
        <f>0.82968328</f>
        <v>0.82968328000000002</v>
      </c>
      <c r="CG407">
        <f>0.81004276</f>
        <v>0.81004275999999997</v>
      </c>
      <c r="CH407">
        <f>0.771863323</f>
        <v>0.77186332300000005</v>
      </c>
      <c r="CI407">
        <f>0.814805082</f>
        <v>0.81480508200000001</v>
      </c>
      <c r="CJ407">
        <f>0.756246977</f>
        <v>0.75624697699999999</v>
      </c>
      <c r="CK407">
        <f>0.778971764</f>
        <v>0.77897176400000001</v>
      </c>
      <c r="CL407">
        <f>0.791536708</f>
        <v>0.79153670799999998</v>
      </c>
      <c r="CM407">
        <f>0.824163915</f>
        <v>0.82416391499999997</v>
      </c>
      <c r="CN407">
        <f>0.665382575</f>
        <v>0.66538257499999998</v>
      </c>
      <c r="CO407">
        <f>0.668747907</f>
        <v>0.66874790699999997</v>
      </c>
      <c r="CP407">
        <f>0.766511312</f>
        <v>0.766511312</v>
      </c>
      <c r="CQ407">
        <f>0.729690937</f>
        <v>0.72969093699999998</v>
      </c>
      <c r="CR407">
        <f>0.743203082</f>
        <v>0.74320308199999996</v>
      </c>
      <c r="CS407">
        <f>0.845141331</f>
        <v>0.845141331</v>
      </c>
      <c r="CT407">
        <f>0.891545532</f>
        <v>0.89154553199999997</v>
      </c>
      <c r="CU407">
        <f>0.92789148</f>
        <v>0.92789147999999999</v>
      </c>
      <c r="CV407">
        <f>0.834849139</f>
        <v>0.83484913900000002</v>
      </c>
      <c r="CW407">
        <f>0.854322551</f>
        <v>0.85432255099999999</v>
      </c>
      <c r="CX407">
        <f>0.952265679</f>
        <v>0.95226567900000003</v>
      </c>
      <c r="CY407">
        <f>1.217325422</f>
        <v>1.217325422</v>
      </c>
      <c r="CZ407">
        <f>1.255002325</f>
        <v>1.255002325</v>
      </c>
      <c r="DA407">
        <f>1.314973083</f>
        <v>1.3149730829999999</v>
      </c>
      <c r="DB407">
        <f>1.485638244</f>
        <v>1.485638244</v>
      </c>
      <c r="DC407">
        <f>1.488176665</f>
        <v>1.4881766649999999</v>
      </c>
      <c r="DD407">
        <f>1.121674152</f>
        <v>1.121674152</v>
      </c>
      <c r="DE407">
        <f>1.083816794</f>
        <v>1.0838167940000001</v>
      </c>
      <c r="DF407">
        <f>1.087719792</f>
        <v>1.0877197919999999</v>
      </c>
      <c r="DG407">
        <f>1.028328073</f>
        <v>1.028328073</v>
      </c>
      <c r="DH407">
        <f>1.004306675</f>
        <v>1.004306675</v>
      </c>
      <c r="DI407">
        <f>1.006410749</f>
        <v>1.006410749</v>
      </c>
      <c r="DJ407">
        <f>1.035664752</f>
        <v>1.035664752</v>
      </c>
      <c r="DK407">
        <f>1.040971018</f>
        <v>1.040971018</v>
      </c>
      <c r="DL407">
        <f>1.002470871</f>
        <v>1.0024708710000001</v>
      </c>
      <c r="DM407">
        <f>0.982526215</f>
        <v>0.98252621500000004</v>
      </c>
      <c r="DN407">
        <f>1.029531298</f>
        <v>1.029531298</v>
      </c>
      <c r="DO407">
        <f>0.849443334</f>
        <v>0.84944333400000005</v>
      </c>
      <c r="DP407">
        <f>0.831991564</f>
        <v>0.83199156399999996</v>
      </c>
      <c r="DQ407" t="str">
        <f>""</f>
        <v/>
      </c>
      <c r="DR407">
        <f>0.877782125</f>
        <v>0.87778212499999997</v>
      </c>
      <c r="DS407" t="str">
        <f>""</f>
        <v/>
      </c>
      <c r="DT407">
        <f>0.863534721</f>
        <v>0.86353472099999995</v>
      </c>
      <c r="DU407" t="str">
        <f>""</f>
        <v/>
      </c>
    </row>
    <row r="408" spans="1:125" x14ac:dyDescent="0.25">
      <c r="A408" t="str">
        <f>"    Tata Motors Ltd"</f>
        <v xml:space="preserve">    Tata Motors Ltd</v>
      </c>
      <c r="B408" t="str">
        <f>"TTMT IN Equity"</f>
        <v>TTMT IN Equity</v>
      </c>
      <c r="C408" t="str">
        <f t="shared" si="27"/>
        <v>RR480</v>
      </c>
      <c r="D408" t="str">
        <f t="shared" si="28"/>
        <v>EV_TO_MKT_CAP</v>
      </c>
      <c r="E408" t="str">
        <f t="shared" si="29"/>
        <v>Dynamic</v>
      </c>
      <c r="F408" t="str">
        <f ca="1">IF(AND(ISNUMBER($F$1072),$B$677=1),$F$1072,HLOOKUP(INDIRECT(ADDRESS(2,COLUMN())),OFFSET($BN$2,0,0,ROW()-1,60),ROW()-1,FALSE))</f>
        <v/>
      </c>
      <c r="G408" t="str">
        <f ca="1">IF(AND(ISNUMBER($G$1072),$B$677=1),$G$1072,HLOOKUP(INDIRECT(ADDRESS(2,COLUMN())),OFFSET($BN$2,0,0,ROW()-1,60),ROW()-1,FALSE))</f>
        <v/>
      </c>
      <c r="H408">
        <f ca="1">IF(AND(ISNUMBER($H$1072),$B$677=1),$H$1072,HLOOKUP(INDIRECT(ADDRESS(2,COLUMN())),OFFSET($BN$2,0,0,ROW()-1,60),ROW()-1,FALSE))</f>
        <v>1.8045136369999999</v>
      </c>
      <c r="I408" t="str">
        <f ca="1">IF(AND(ISNUMBER($I$1072),$B$677=1),$I$1072,HLOOKUP(INDIRECT(ADDRESS(2,COLUMN())),OFFSET($BN$2,0,0,ROW()-1,60),ROW()-1,FALSE))</f>
        <v/>
      </c>
      <c r="J408">
        <f ca="1">IF(AND(ISNUMBER($J$1072),$B$677=1),$J$1072,HLOOKUP(INDIRECT(ADDRESS(2,COLUMN())),OFFSET($BN$2,0,0,ROW()-1,60),ROW()-1,FALSE))</f>
        <v>1.357807202</v>
      </c>
      <c r="K408" t="str">
        <f ca="1">IF(AND(ISNUMBER($K$1072),$B$677=1),$K$1072,HLOOKUP(INDIRECT(ADDRESS(2,COLUMN())),OFFSET($BN$2,0,0,ROW()-1,60),ROW()-1,FALSE))</f>
        <v/>
      </c>
      <c r="L408">
        <f ca="1">IF(AND(ISNUMBER($L$1072),$B$677=1),$L$1072,HLOOKUP(INDIRECT(ADDRESS(2,COLUMN())),OFFSET($BN$2,0,0,ROW()-1,60),ROW()-1,FALSE))</f>
        <v>1.269989791</v>
      </c>
      <c r="M408" t="str">
        <f ca="1">IF(AND(ISNUMBER($M$1072),$B$677=1),$M$1072,HLOOKUP(INDIRECT(ADDRESS(2,COLUMN())),OFFSET($BN$2,0,0,ROW()-1,60),ROW()-1,FALSE))</f>
        <v/>
      </c>
      <c r="N408">
        <f ca="1">IF(AND(ISNUMBER($N$1072),$B$677=1),$N$1072,HLOOKUP(INDIRECT(ADDRESS(2,COLUMN())),OFFSET($BN$2,0,0,ROW()-1,60),ROW()-1,FALSE))</f>
        <v>1.176706716</v>
      </c>
      <c r="O408" t="str">
        <f ca="1">IF(AND(ISNUMBER($O$1072),$B$677=1),$O$1072,HLOOKUP(INDIRECT(ADDRESS(2,COLUMN())),OFFSET($BN$2,0,0,ROW()-1,60),ROW()-1,FALSE))</f>
        <v/>
      </c>
      <c r="P408">
        <f ca="1">IF(AND(ISNUMBER($P$1072),$B$677=1),$P$1072,HLOOKUP(INDIRECT(ADDRESS(2,COLUMN())),OFFSET($BN$2,0,0,ROW()-1,60),ROW()-1,FALSE))</f>
        <v>1.1597148930000001</v>
      </c>
      <c r="Q408" t="str">
        <f ca="1">IF(AND(ISNUMBER($Q$1072),$B$677=1),$Q$1072,HLOOKUP(INDIRECT(ADDRESS(2,COLUMN())),OFFSET($BN$2,0,0,ROW()-1,60),ROW()-1,FALSE))</f>
        <v/>
      </c>
      <c r="R408">
        <f ca="1">IF(AND(ISNUMBER($R$1072),$B$677=1),$R$1072,HLOOKUP(INDIRECT(ADDRESS(2,COLUMN())),OFFSET($BN$2,0,0,ROW()-1,60),ROW()-1,FALSE))</f>
        <v>1.157544165</v>
      </c>
      <c r="S408" t="str">
        <f ca="1">IF(AND(ISNUMBER($S$1072),$B$677=1),$S$1072,HLOOKUP(INDIRECT(ADDRESS(2,COLUMN())),OFFSET($BN$2,0,0,ROW()-1,60),ROW()-1,FALSE))</f>
        <v/>
      </c>
      <c r="T408">
        <f ca="1">IF(AND(ISNUMBER($T$1072),$B$677=1),$T$1072,HLOOKUP(INDIRECT(ADDRESS(2,COLUMN())),OFFSET($BN$2,0,0,ROW()-1,60),ROW()-1,FALSE))</f>
        <v>1.303427243</v>
      </c>
      <c r="U408" t="str">
        <f ca="1">IF(AND(ISNUMBER($U$1072),$B$677=1),$U$1072,HLOOKUP(INDIRECT(ADDRESS(2,COLUMN())),OFFSET($BN$2,0,0,ROW()-1,60),ROW()-1,FALSE))</f>
        <v/>
      </c>
      <c r="V408">
        <f ca="1">IF(AND(ISNUMBER($V$1072),$B$677=1),$V$1072,HLOOKUP(INDIRECT(ADDRESS(2,COLUMN())),OFFSET($BN$2,0,0,ROW()-1,60),ROW()-1,FALSE))</f>
        <v>1.180180472</v>
      </c>
      <c r="W408" t="str">
        <f ca="1">IF(AND(ISNUMBER($W$1072),$B$677=1),$W$1072,HLOOKUP(INDIRECT(ADDRESS(2,COLUMN())),OFFSET($BN$2,0,0,ROW()-1,60),ROW()-1,FALSE))</f>
        <v/>
      </c>
      <c r="X408">
        <f ca="1">IF(AND(ISNUMBER($X$1072),$B$677=1),$X$1072,HLOOKUP(INDIRECT(ADDRESS(2,COLUMN())),OFFSET($BN$2,0,0,ROW()-1,60),ROW()-1,FALSE))</f>
        <v>1.1142778739999999</v>
      </c>
      <c r="Y408" t="str">
        <f ca="1">IF(AND(ISNUMBER($Y$1072),$B$677=1),$Y$1072,HLOOKUP(INDIRECT(ADDRESS(2,COLUMN())),OFFSET($BN$2,0,0,ROW()-1,60),ROW()-1,FALSE))</f>
        <v/>
      </c>
      <c r="Z408">
        <f ca="1">IF(AND(ISNUMBER($Z$1072),$B$677=1),$Z$1072,HLOOKUP(INDIRECT(ADDRESS(2,COLUMN())),OFFSET($BN$2,0,0,ROW()-1,60),ROW()-1,FALSE))</f>
        <v>1.211930339</v>
      </c>
      <c r="AA408" t="str">
        <f ca="1">IF(AND(ISNUMBER($AA$1072),$B$677=1),$AA$1072,HLOOKUP(INDIRECT(ADDRESS(2,COLUMN())),OFFSET($BN$2,0,0,ROW()-1,60),ROW()-1,FALSE))</f>
        <v/>
      </c>
      <c r="AB408">
        <f ca="1">IF(AND(ISNUMBER($AB$1072),$B$677=1),$AB$1072,HLOOKUP(INDIRECT(ADDRESS(2,COLUMN())),OFFSET($BN$2,0,0,ROW()-1,60),ROW()-1,FALSE))</f>
        <v>1.2234138269999999</v>
      </c>
      <c r="AC408" t="str">
        <f ca="1">IF(AND(ISNUMBER($AC$1072),$B$677=1),$AC$1072,HLOOKUP(INDIRECT(ADDRESS(2,COLUMN())),OFFSET($BN$2,0,0,ROW()-1,60),ROW()-1,FALSE))</f>
        <v/>
      </c>
      <c r="AD408">
        <f ca="1">IF(AND(ISNUMBER($AD$1072),$B$677=1),$AD$1072,HLOOKUP(INDIRECT(ADDRESS(2,COLUMN())),OFFSET($BN$2,0,0,ROW()-1,60),ROW()-1,FALSE))</f>
        <v>1.3625133629999999</v>
      </c>
      <c r="AE408" t="str">
        <f ca="1">IF(AND(ISNUMBER($AE$1072),$B$677=1),$AE$1072,HLOOKUP(INDIRECT(ADDRESS(2,COLUMN())),OFFSET($BN$2,0,0,ROW()-1,60),ROW()-1,FALSE))</f>
        <v/>
      </c>
      <c r="AF408">
        <f ca="1">IF(AND(ISNUMBER($AF$1072),$B$677=1),$AF$1072,HLOOKUP(INDIRECT(ADDRESS(2,COLUMN())),OFFSET($BN$2,0,0,ROW()-1,60),ROW()-1,FALSE))</f>
        <v>1.215231277</v>
      </c>
      <c r="AG408" t="str">
        <f ca="1">IF(AND(ISNUMBER($AG$1072),$B$677=1),$AG$1072,HLOOKUP(INDIRECT(ADDRESS(2,COLUMN())),OFFSET($BN$2,0,0,ROW()-1,60),ROW()-1,FALSE))</f>
        <v/>
      </c>
      <c r="AH408">
        <f ca="1">IF(AND(ISNUMBER($AH$1072),$B$677=1),$AH$1072,HLOOKUP(INDIRECT(ADDRESS(2,COLUMN())),OFFSET($BN$2,0,0,ROW()-1,60),ROW()-1,FALSE))</f>
        <v>1.3148090610000001</v>
      </c>
      <c r="AI408" t="str">
        <f ca="1">IF(AND(ISNUMBER($AI$1072),$B$677=1),$AI$1072,HLOOKUP(INDIRECT(ADDRESS(2,COLUMN())),OFFSET($BN$2,0,0,ROW()-1,60),ROW()-1,FALSE))</f>
        <v/>
      </c>
      <c r="AJ408">
        <f ca="1">IF(AND(ISNUMBER($AJ$1072),$B$677=1),$AJ$1072,HLOOKUP(INDIRECT(ADDRESS(2,COLUMN())),OFFSET($BN$2,0,0,ROW()-1,60),ROW()-1,FALSE))</f>
        <v>1.5848777270000001</v>
      </c>
      <c r="AK408" t="str">
        <f ca="1">IF(AND(ISNUMBER($AK$1072),$B$677=1),$AK$1072,HLOOKUP(INDIRECT(ADDRESS(2,COLUMN())),OFFSET($BN$2,0,0,ROW()-1,60),ROW()-1,FALSE))</f>
        <v/>
      </c>
      <c r="AL408">
        <f ca="1">IF(AND(ISNUMBER($AL$1072),$B$677=1),$AL$1072,HLOOKUP(INDIRECT(ADDRESS(2,COLUMN())),OFFSET($BN$2,0,0,ROW()-1,60),ROW()-1,FALSE))</f>
        <v>1.33185968</v>
      </c>
      <c r="AM408" t="str">
        <f ca="1">IF(AND(ISNUMBER($AM$1072),$B$677=1),$AM$1072,HLOOKUP(INDIRECT(ADDRESS(2,COLUMN())),OFFSET($BN$2,0,0,ROW()-1,60),ROW()-1,FALSE))</f>
        <v/>
      </c>
      <c r="AN408">
        <f ca="1">IF(AND(ISNUMBER($AN$1072),$B$677=1),$AN$1072,HLOOKUP(INDIRECT(ADDRESS(2,COLUMN())),OFFSET($BN$2,0,0,ROW()-1,60),ROW()-1,FALSE))</f>
        <v>1.4453425639999999</v>
      </c>
      <c r="AO408" t="str">
        <f ca="1">IF(AND(ISNUMBER($AO$1072),$B$677=1),$AO$1072,HLOOKUP(INDIRECT(ADDRESS(2,COLUMN())),OFFSET($BN$2,0,0,ROW()-1,60),ROW()-1,FALSE))</f>
        <v/>
      </c>
      <c r="AP408">
        <f ca="1">IF(AND(ISNUMBER($AP$1072),$B$677=1),$AP$1072,HLOOKUP(INDIRECT(ADDRESS(2,COLUMN())),OFFSET($BN$2,0,0,ROW()-1,60),ROW()-1,FALSE))</f>
        <v>1.791629132</v>
      </c>
      <c r="AQ408" t="str">
        <f ca="1">IF(AND(ISNUMBER($AQ$1072),$B$677=1),$AQ$1072,HLOOKUP(INDIRECT(ADDRESS(2,COLUMN())),OFFSET($BN$2,0,0,ROW()-1,60),ROW()-1,FALSE))</f>
        <v/>
      </c>
      <c r="AR408" t="str">
        <f ca="1">IF(AND(ISNUMBER($AR$1072),$B$677=1),$AR$1072,HLOOKUP(INDIRECT(ADDRESS(2,COLUMN())),OFFSET($BN$2,0,0,ROW()-1,60),ROW()-1,FALSE))</f>
        <v/>
      </c>
      <c r="AS408" t="str">
        <f ca="1">IF(AND(ISNUMBER($AS$1072),$B$677=1),$AS$1072,HLOOKUP(INDIRECT(ADDRESS(2,COLUMN())),OFFSET($BN$2,0,0,ROW()-1,60),ROW()-1,FALSE))</f>
        <v/>
      </c>
      <c r="AT408">
        <f ca="1">IF(AND(ISNUMBER($AT$1072),$B$677=1),$AT$1072,HLOOKUP(INDIRECT(ADDRESS(2,COLUMN())),OFFSET($BN$2,0,0,ROW()-1,60),ROW()-1,FALSE))</f>
        <v>4.8213437150000003</v>
      </c>
      <c r="AU408" t="str">
        <f ca="1">IF(AND(ISNUMBER($AU$1072),$B$677=1),$AU$1072,HLOOKUP(INDIRECT(ADDRESS(2,COLUMN())),OFFSET($BN$2,0,0,ROW()-1,60),ROW()-1,FALSE))</f>
        <v/>
      </c>
      <c r="AV408" t="str">
        <f ca="1">IF(AND(ISNUMBER($AV$1072),$B$677=1),$AV$1072,HLOOKUP(INDIRECT(ADDRESS(2,COLUMN())),OFFSET($BN$2,0,0,ROW()-1,60),ROW()-1,FALSE))</f>
        <v/>
      </c>
      <c r="AW408" t="str">
        <f ca="1">IF(AND(ISNUMBER($AW$1072),$B$677=1),$AW$1072,HLOOKUP(INDIRECT(ADDRESS(2,COLUMN())),OFFSET($BN$2,0,0,ROW()-1,60),ROW()-1,FALSE))</f>
        <v/>
      </c>
      <c r="AX408">
        <f ca="1">IF(AND(ISNUMBER($AX$1072),$B$677=1),$AX$1072,HLOOKUP(INDIRECT(ADDRESS(2,COLUMN())),OFFSET($BN$2,0,0,ROW()-1,60),ROW()-1,FALSE))</f>
        <v>1.290061401</v>
      </c>
      <c r="AY408" t="str">
        <f ca="1">IF(AND(ISNUMBER($AY$1072),$B$677=1),$AY$1072,HLOOKUP(INDIRECT(ADDRESS(2,COLUMN())),OFFSET($BN$2,0,0,ROW()-1,60),ROW()-1,FALSE))</f>
        <v/>
      </c>
      <c r="AZ408" t="str">
        <f ca="1">IF(AND(ISNUMBER($AZ$1072),$B$677=1),$AZ$1072,HLOOKUP(INDIRECT(ADDRESS(2,COLUMN())),OFFSET($BN$2,0,0,ROW()-1,60),ROW()-1,FALSE))</f>
        <v/>
      </c>
      <c r="BA408" t="str">
        <f ca="1">IF(AND(ISNUMBER($BA$1072),$B$677=1),$BA$1072,HLOOKUP(INDIRECT(ADDRESS(2,COLUMN())),OFFSET($BN$2,0,0,ROW()-1,60),ROW()-1,FALSE))</f>
        <v/>
      </c>
      <c r="BB408" t="str">
        <f ca="1">IF(AND(ISNUMBER($BB$1072),$B$677=1),$BB$1072,HLOOKUP(INDIRECT(ADDRESS(2,COLUMN())),OFFSET($BN$2,0,0,ROW()-1,60),ROW()-1,FALSE))</f>
        <v/>
      </c>
      <c r="BC408" t="str">
        <f ca="1">IF(AND(ISNUMBER($BC$1072),$B$677=1),$BC$1072,HLOOKUP(INDIRECT(ADDRESS(2,COLUMN())),OFFSET($BN$2,0,0,ROW()-1,60),ROW()-1,FALSE))</f>
        <v/>
      </c>
      <c r="BD408" t="str">
        <f ca="1">IF(AND(ISNUMBER($BD$1072),$B$677=1),$BD$1072,HLOOKUP(INDIRECT(ADDRESS(2,COLUMN())),OFFSET($BN$2,0,0,ROW()-1,60),ROW()-1,FALSE))</f>
        <v/>
      </c>
      <c r="BE408" t="str">
        <f ca="1">IF(AND(ISNUMBER($BE$1072),$B$677=1),$BE$1072,HLOOKUP(INDIRECT(ADDRESS(2,COLUMN())),OFFSET($BN$2,0,0,ROW()-1,60),ROW()-1,FALSE))</f>
        <v/>
      </c>
      <c r="BF408" t="str">
        <f ca="1">IF(AND(ISNUMBER($BF$1072),$B$677=1),$BF$1072,HLOOKUP(INDIRECT(ADDRESS(2,COLUMN())),OFFSET($BN$2,0,0,ROW()-1,60),ROW()-1,FALSE))</f>
        <v/>
      </c>
      <c r="BG408" t="str">
        <f ca="1">IF(AND(ISNUMBER($BG$1072),$B$677=1),$BG$1072,HLOOKUP(INDIRECT(ADDRESS(2,COLUMN())),OFFSET($BN$2,0,0,ROW()-1,60),ROW()-1,FALSE))</f>
        <v/>
      </c>
      <c r="BH408" t="str">
        <f ca="1">IF(AND(ISNUMBER($BH$1072),$B$677=1),$BH$1072,HLOOKUP(INDIRECT(ADDRESS(2,COLUMN())),OFFSET($BN$2,0,0,ROW()-1,60),ROW()-1,FALSE))</f>
        <v/>
      </c>
      <c r="BI408" t="str">
        <f ca="1">IF(AND(ISNUMBER($BI$1072),$B$677=1),$BI$1072,HLOOKUP(INDIRECT(ADDRESS(2,COLUMN())),OFFSET($BN$2,0,0,ROW()-1,60),ROW()-1,FALSE))</f>
        <v/>
      </c>
      <c r="BJ408" t="str">
        <f ca="1">IF(AND(ISNUMBER($BJ$1072),$B$677=1),$BJ$1072,HLOOKUP(INDIRECT(ADDRESS(2,COLUMN())),OFFSET($BN$2,0,0,ROW()-1,60),ROW()-1,FALSE))</f>
        <v/>
      </c>
      <c r="BK408" t="str">
        <f ca="1">IF(AND(ISNUMBER($BK$1072),$B$677=1),$BK$1072,HLOOKUP(INDIRECT(ADDRESS(2,COLUMN())),OFFSET($BN$2,0,0,ROW()-1,60),ROW()-1,FALSE))</f>
        <v/>
      </c>
      <c r="BL408" t="str">
        <f ca="1">IF(AND(ISNUMBER($BL$1072),$B$677=1),$BL$1072,HLOOKUP(INDIRECT(ADDRESS(2,COLUMN())),OFFSET($BN$2,0,0,ROW()-1,60),ROW()-1,FALSE))</f>
        <v/>
      </c>
      <c r="BM408" t="str">
        <f ca="1">IF(AND(ISNUMBER($BM$1072),$B$677=1),$BM$1072,HLOOKUP(INDIRECT(ADDRESS(2,COLUMN())),OFFSET($BN$2,0,0,ROW()-1,60),ROW()-1,FALSE))</f>
        <v/>
      </c>
      <c r="BN408" t="str">
        <f>""</f>
        <v/>
      </c>
      <c r="BO408" t="str">
        <f>""</f>
        <v/>
      </c>
      <c r="BP408">
        <f>1.804513637</f>
        <v>1.8045136369999999</v>
      </c>
      <c r="BQ408" t="str">
        <f>""</f>
        <v/>
      </c>
      <c r="BR408">
        <f>1.357807202</f>
        <v>1.357807202</v>
      </c>
      <c r="BS408" t="str">
        <f>""</f>
        <v/>
      </c>
      <c r="BT408">
        <f>1.269989791</f>
        <v>1.269989791</v>
      </c>
      <c r="BU408" t="str">
        <f>""</f>
        <v/>
      </c>
      <c r="BV408">
        <f>1.176706716</f>
        <v>1.176706716</v>
      </c>
      <c r="BW408" t="str">
        <f>""</f>
        <v/>
      </c>
      <c r="BX408">
        <f>1.159714893</f>
        <v>1.1597148930000001</v>
      </c>
      <c r="BY408" t="str">
        <f>""</f>
        <v/>
      </c>
      <c r="BZ408">
        <f>1.157544165</f>
        <v>1.157544165</v>
      </c>
      <c r="CA408" t="str">
        <f>""</f>
        <v/>
      </c>
      <c r="CB408">
        <f>1.303427243</f>
        <v>1.303427243</v>
      </c>
      <c r="CC408" t="str">
        <f>""</f>
        <v/>
      </c>
      <c r="CD408">
        <f>1.180180472</f>
        <v>1.180180472</v>
      </c>
      <c r="CE408" t="str">
        <f>""</f>
        <v/>
      </c>
      <c r="CF408">
        <f>1.114277874</f>
        <v>1.1142778739999999</v>
      </c>
      <c r="CG408" t="str">
        <f>""</f>
        <v/>
      </c>
      <c r="CH408">
        <f>1.211930339</f>
        <v>1.211930339</v>
      </c>
      <c r="CI408" t="str">
        <f>""</f>
        <v/>
      </c>
      <c r="CJ408">
        <f>1.223413827</f>
        <v>1.2234138269999999</v>
      </c>
      <c r="CK408" t="str">
        <f>""</f>
        <v/>
      </c>
      <c r="CL408">
        <f>1.362513363</f>
        <v>1.3625133629999999</v>
      </c>
      <c r="CM408" t="str">
        <f>""</f>
        <v/>
      </c>
      <c r="CN408">
        <f>1.215231277</f>
        <v>1.215231277</v>
      </c>
      <c r="CO408" t="str">
        <f>""</f>
        <v/>
      </c>
      <c r="CP408">
        <f>1.314809061</f>
        <v>1.3148090610000001</v>
      </c>
      <c r="CQ408" t="str">
        <f>""</f>
        <v/>
      </c>
      <c r="CR408">
        <f>1.584877727</f>
        <v>1.5848777270000001</v>
      </c>
      <c r="CS408" t="str">
        <f>""</f>
        <v/>
      </c>
      <c r="CT408">
        <f>1.33185968</f>
        <v>1.33185968</v>
      </c>
      <c r="CU408" t="str">
        <f>""</f>
        <v/>
      </c>
      <c r="CV408">
        <f>1.445342564</f>
        <v>1.4453425639999999</v>
      </c>
      <c r="CW408" t="str">
        <f>""</f>
        <v/>
      </c>
      <c r="CX408">
        <f>1.791629132</f>
        <v>1.791629132</v>
      </c>
      <c r="CY408" t="str">
        <f>""</f>
        <v/>
      </c>
      <c r="CZ408" t="str">
        <f>""</f>
        <v/>
      </c>
      <c r="DA408" t="str">
        <f>""</f>
        <v/>
      </c>
      <c r="DB408">
        <f>4.821343715</f>
        <v>4.8213437150000003</v>
      </c>
      <c r="DC408" t="str">
        <f>""</f>
        <v/>
      </c>
      <c r="DD408" t="str">
        <f>""</f>
        <v/>
      </c>
      <c r="DE408" t="str">
        <f>""</f>
        <v/>
      </c>
      <c r="DF408">
        <f>1.290061401</f>
        <v>1.290061401</v>
      </c>
      <c r="DG408" t="str">
        <f>""</f>
        <v/>
      </c>
      <c r="DH408" t="str">
        <f>""</f>
        <v/>
      </c>
      <c r="DI408" t="str">
        <f>""</f>
        <v/>
      </c>
      <c r="DJ408" t="str">
        <f>""</f>
        <v/>
      </c>
      <c r="DK408" t="str">
        <f>""</f>
        <v/>
      </c>
      <c r="DL408" t="str">
        <f>""</f>
        <v/>
      </c>
      <c r="DM408" t="str">
        <f>""</f>
        <v/>
      </c>
      <c r="DN408" t="str">
        <f>""</f>
        <v/>
      </c>
      <c r="DO408" t="str">
        <f>""</f>
        <v/>
      </c>
      <c r="DP408" t="str">
        <f>""</f>
        <v/>
      </c>
      <c r="DQ408" t="str">
        <f>""</f>
        <v/>
      </c>
      <c r="DR408" t="str">
        <f>""</f>
        <v/>
      </c>
      <c r="DS408" t="str">
        <f>""</f>
        <v/>
      </c>
      <c r="DT408" t="str">
        <f>""</f>
        <v/>
      </c>
      <c r="DU408" t="str">
        <f>""</f>
        <v/>
      </c>
    </row>
    <row r="409" spans="1:125" x14ac:dyDescent="0.25">
      <c r="A409" t="str">
        <f>"    Tesla Inc"</f>
        <v xml:space="preserve">    Tesla Inc</v>
      </c>
      <c r="B409" t="str">
        <f>"TSLA US Equity"</f>
        <v>TSLA US Equity</v>
      </c>
      <c r="C409" t="str">
        <f t="shared" si="27"/>
        <v>RR480</v>
      </c>
      <c r="D409" t="str">
        <f t="shared" si="28"/>
        <v>EV_TO_MKT_CAP</v>
      </c>
      <c r="E409" t="str">
        <f t="shared" si="29"/>
        <v>Dynamic</v>
      </c>
      <c r="F409" t="str">
        <f ca="1">IF(AND(ISNUMBER($F$1073),$B$677=1),$F$1073,HLOOKUP(INDIRECT(ADDRESS(2,COLUMN())),OFFSET($BN$2,0,0,ROW()-1,60),ROW()-1,FALSE))</f>
        <v/>
      </c>
      <c r="G409">
        <f ca="1">IF(AND(ISNUMBER($G$1073),$B$677=1),$G$1073,HLOOKUP(INDIRECT(ADDRESS(2,COLUMN())),OFFSET($BN$2,0,0,ROW()-1,60),ROW()-1,FALSE))</f>
        <v>1.1684493419999999</v>
      </c>
      <c r="H409">
        <f ca="1">IF(AND(ISNUMBER($H$1073),$B$677=1),$H$1073,HLOOKUP(INDIRECT(ADDRESS(2,COLUMN())),OFFSET($BN$2,0,0,ROW()-1,60),ROW()-1,FALSE))</f>
        <v>1.2235651999999999</v>
      </c>
      <c r="I409">
        <f ca="1">IF(AND(ISNUMBER($I$1073),$B$677=1),$I$1073,HLOOKUP(INDIRECT(ADDRESS(2,COLUMN())),OFFSET($BN$2,0,0,ROW()-1,60),ROW()-1,FALSE))</f>
        <v>1.1729086</v>
      </c>
      <c r="J409">
        <f ca="1">IF(AND(ISNUMBER($J$1073),$B$677=1),$J$1073,HLOOKUP(INDIRECT(ADDRESS(2,COLUMN())),OFFSET($BN$2,0,0,ROW()-1,60),ROW()-1,FALSE))</f>
        <v>1.2054914750000001</v>
      </c>
      <c r="K409">
        <f ca="1">IF(AND(ISNUMBER($K$1073),$B$677=1),$K$1073,HLOOKUP(INDIRECT(ADDRESS(2,COLUMN())),OFFSET($BN$2,0,0,ROW()-1,60),ROW()-1,FALSE))</f>
        <v>1.1568250879999999</v>
      </c>
      <c r="L409">
        <f ca="1">IF(AND(ISNUMBER($L$1073),$B$677=1),$L$1073,HLOOKUP(INDIRECT(ADDRESS(2,COLUMN())),OFFSET($BN$2,0,0,ROW()-1,60),ROW()-1,FALSE))</f>
        <v>1.136876445</v>
      </c>
      <c r="M409">
        <f ca="1">IF(AND(ISNUMBER($M$1073),$B$677=1),$M$1073,HLOOKUP(INDIRECT(ADDRESS(2,COLUMN())),OFFSET($BN$2,0,0,ROW()-1,60),ROW()-1,FALSE))</f>
        <v>1.0962135980000001</v>
      </c>
      <c r="N409">
        <f ca="1">IF(AND(ISNUMBER($N$1073),$B$677=1),$N$1073,HLOOKUP(INDIRECT(ADDRESS(2,COLUMN())),OFFSET($BN$2,0,0,ROW()-1,60),ROW()-1,FALSE))</f>
        <v>1.112827104</v>
      </c>
      <c r="O409">
        <f ca="1">IF(AND(ISNUMBER($O$1073),$B$677=1),$O$1073,HLOOKUP(INDIRECT(ADDRESS(2,COLUMN())),OFFSET($BN$2,0,0,ROW()-1,60),ROW()-1,FALSE))</f>
        <v>1.1336330960000001</v>
      </c>
      <c r="P409">
        <f ca="1">IF(AND(ISNUMBER($P$1073),$B$677=1),$P$1073,HLOOKUP(INDIRECT(ADDRESS(2,COLUMN())),OFFSET($BN$2,0,0,ROW()-1,60),ROW()-1,FALSE))</f>
        <v>0.98756686299999996</v>
      </c>
      <c r="Q409">
        <f ca="1">IF(AND(ISNUMBER($Q$1073),$B$677=1),$Q$1073,HLOOKUP(INDIRECT(ADDRESS(2,COLUMN())),OFFSET($BN$2,0,0,ROW()-1,60),ROW()-1,FALSE))</f>
        <v>1.0000167719999999</v>
      </c>
      <c r="R409">
        <f ca="1">IF(AND(ISNUMBER($R$1073),$B$677=1),$R$1073,HLOOKUP(INDIRECT(ADDRESS(2,COLUMN())),OFFSET($BN$2,0,0,ROW()-1,60),ROW()-1,FALSE))</f>
        <v>1.0559377059999999</v>
      </c>
      <c r="S409">
        <f ca="1">IF(AND(ISNUMBER($S$1073),$B$677=1),$S$1073,HLOOKUP(INDIRECT(ADDRESS(2,COLUMN())),OFFSET($BN$2,0,0,ROW()-1,60),ROW()-1,FALSE))</f>
        <v>1.0460354919999999</v>
      </c>
      <c r="T409">
        <f ca="1">IF(AND(ISNUMBER($T$1073),$B$677=1),$T$1073,HLOOKUP(INDIRECT(ADDRESS(2,COLUMN())),OFFSET($BN$2,0,0,ROW()-1,60),ROW()-1,FALSE))</f>
        <v>1.0371255420000001</v>
      </c>
      <c r="U409">
        <f ca="1">IF(AND(ISNUMBER($U$1073),$B$677=1),$U$1073,HLOOKUP(INDIRECT(ADDRESS(2,COLUMN())),OFFSET($BN$2,0,0,ROW()-1,60),ROW()-1,FALSE))</f>
        <v>1.045084863</v>
      </c>
      <c r="V409">
        <f ca="1">IF(AND(ISNUMBER($V$1073),$B$677=1),$V$1073,HLOOKUP(INDIRECT(ADDRESS(2,COLUMN())),OFFSET($BN$2,0,0,ROW()-1,60),ROW()-1,FALSE))</f>
        <v>1.0427692690000001</v>
      </c>
      <c r="W409">
        <f ca="1">IF(AND(ISNUMBER($W$1073),$B$677=1),$W$1073,HLOOKUP(INDIRECT(ADDRESS(2,COLUMN())),OFFSET($BN$2,0,0,ROW()-1,60),ROW()-1,FALSE))</f>
        <v>1.020832913</v>
      </c>
      <c r="X409">
        <f ca="1">IF(AND(ISNUMBER($X$1073),$B$677=1),$X$1073,HLOOKUP(INDIRECT(ADDRESS(2,COLUMN())),OFFSET($BN$2,0,0,ROW()-1,60),ROW()-1,FALSE))</f>
        <v>1.001180784</v>
      </c>
      <c r="Y409">
        <f ca="1">IF(AND(ISNUMBER($Y$1073),$B$677=1),$Y$1073,HLOOKUP(INDIRECT(ADDRESS(2,COLUMN())),OFFSET($BN$2,0,0,ROW()-1,60),ROW()-1,FALSE))</f>
        <v>0.99250076399999998</v>
      </c>
      <c r="Z409">
        <f ca="1">IF(AND(ISNUMBER($Z$1073),$B$677=1),$Z$1073,HLOOKUP(INDIRECT(ADDRESS(2,COLUMN())),OFFSET($BN$2,0,0,ROW()-1,60),ROW()-1,FALSE))</f>
        <v>0.98251071999999995</v>
      </c>
      <c r="AA409">
        <f ca="1">IF(AND(ISNUMBER($AA$1073),$B$677=1),$AA$1073,HLOOKUP(INDIRECT(ADDRESS(2,COLUMN())),OFFSET($BN$2,0,0,ROW()-1,60),ROW()-1,FALSE))</f>
        <v>0.98709196700000001</v>
      </c>
      <c r="AB409">
        <f ca="1">IF(AND(ISNUMBER($AB$1073),$B$677=1),$AB$1073,HLOOKUP(INDIRECT(ADDRESS(2,COLUMN())),OFFSET($BN$2,0,0,ROW()-1,60),ROW()-1,FALSE))</f>
        <v>0.99174232100000004</v>
      </c>
      <c r="AC409">
        <f ca="1">IF(AND(ISNUMBER($AC$1073),$B$677=1),$AC$1073,HLOOKUP(INDIRECT(ADDRESS(2,COLUMN())),OFFSET($BN$2,0,0,ROW()-1,60),ROW()-1,FALSE))</f>
        <v>0.98831198600000003</v>
      </c>
      <c r="AD409">
        <f ca="1">IF(AND(ISNUMBER($AD$1073),$B$677=1),$AD$1073,HLOOKUP(INDIRECT(ADDRESS(2,COLUMN())),OFFSET($BN$2,0,0,ROW()-1,60),ROW()-1,FALSE))</f>
        <v>1.0552592329999999</v>
      </c>
      <c r="AE409">
        <f ca="1">IF(AND(ISNUMBER($AE$1073),$B$677=1),$AE$1073,HLOOKUP(INDIRECT(ADDRESS(2,COLUMN())),OFFSET($BN$2,0,0,ROW()-1,60),ROW()-1,FALSE))</f>
        <v>1.068445206</v>
      </c>
      <c r="AF409">
        <f ca="1">IF(AND(ISNUMBER($AF$1073),$B$677=1),$AF$1073,HLOOKUP(INDIRECT(ADDRESS(2,COLUMN())),OFFSET($BN$2,0,0,ROW()-1,60),ROW()-1,FALSE))</f>
        <v>1.1255469469999999</v>
      </c>
      <c r="AG409">
        <f ca="1">IF(AND(ISNUMBER($AG$1073),$B$677=1),$AG$1073,HLOOKUP(INDIRECT(ADDRESS(2,COLUMN())),OFFSET($BN$2,0,0,ROW()-1,60),ROW()-1,FALSE))</f>
        <v>1.0693109730000001</v>
      </c>
      <c r="AH409">
        <f ca="1">IF(AND(ISNUMBER($AH$1073),$B$677=1),$AH$1073,HLOOKUP(INDIRECT(ADDRESS(2,COLUMN())),OFFSET($BN$2,0,0,ROW()-1,60),ROW()-1,FALSE))</f>
        <v>1.031235573</v>
      </c>
      <c r="AI409">
        <f ca="1">IF(AND(ISNUMBER($AI$1073),$B$677=1),$AI$1073,HLOOKUP(INDIRECT(ADDRESS(2,COLUMN())),OFFSET($BN$2,0,0,ROW()-1,60),ROW()-1,FALSE))</f>
        <v>0.999940041</v>
      </c>
      <c r="AJ409">
        <f ca="1">IF(AND(ISNUMBER($AJ$1073),$B$677=1),$AJ$1073,HLOOKUP(INDIRECT(ADDRESS(2,COLUMN())),OFFSET($BN$2,0,0,ROW()-1,60),ROW()-1,FALSE))</f>
        <v>0.97940354600000001</v>
      </c>
      <c r="AK409">
        <f ca="1">IF(AND(ISNUMBER($AK$1073),$B$677=1),$AK$1073,HLOOKUP(INDIRECT(ADDRESS(2,COLUMN())),OFFSET($BN$2,0,0,ROW()-1,60),ROW()-1,FALSE))</f>
        <v>0.93906931000000005</v>
      </c>
      <c r="AL409">
        <f ca="1">IF(AND(ISNUMBER($AL$1073),$B$677=1),$AL$1073,HLOOKUP(INDIRECT(ADDRESS(2,COLUMN())),OFFSET($BN$2,0,0,ROW()-1,60),ROW()-1,FALSE))</f>
        <v>1.000952238</v>
      </c>
      <c r="AM409">
        <f ca="1">IF(AND(ISNUMBER($AM$1073),$B$677=1),$AM$1073,HLOOKUP(INDIRECT(ADDRESS(2,COLUMN())),OFFSET($BN$2,0,0,ROW()-1,60),ROW()-1,FALSE))</f>
        <v>0.98933493100000003</v>
      </c>
      <c r="AN409">
        <f ca="1">IF(AND(ISNUMBER($AN$1073),$B$677=1),$AN$1073,HLOOKUP(INDIRECT(ADDRESS(2,COLUMN())),OFFSET($BN$2,0,0,ROW()-1,60),ROW()-1,FALSE))</f>
        <v>0.97942596800000004</v>
      </c>
      <c r="AO409">
        <f ca="1">IF(AND(ISNUMBER($AO$1073),$B$677=1),$AO$1073,HLOOKUP(INDIRECT(ADDRESS(2,COLUMN())),OFFSET($BN$2,0,0,ROW()-1,60),ROW()-1,FALSE))</f>
        <v>2.7340749529999999</v>
      </c>
      <c r="AP409" t="str">
        <f ca="1">IF(AND(ISNUMBER($AP$1073),$B$677=1),$AP$1073,HLOOKUP(INDIRECT(ADDRESS(2,COLUMN())),OFFSET($BN$2,0,0,ROW()-1,60),ROW()-1,FALSE))</f>
        <v/>
      </c>
      <c r="AQ409" t="str">
        <f ca="1">IF(AND(ISNUMBER($AQ$1073),$B$677=1),$AQ$1073,HLOOKUP(INDIRECT(ADDRESS(2,COLUMN())),OFFSET($BN$2,0,0,ROW()-1,60),ROW()-1,FALSE))</f>
        <v/>
      </c>
      <c r="AR409" t="str">
        <f ca="1">IF(AND(ISNUMBER($AR$1073),$B$677=1),$AR$1073,HLOOKUP(INDIRECT(ADDRESS(2,COLUMN())),OFFSET($BN$2,0,0,ROW()-1,60),ROW()-1,FALSE))</f>
        <v/>
      </c>
      <c r="AS409" t="str">
        <f ca="1">IF(AND(ISNUMBER($AS$1073),$B$677=1),$AS$1073,HLOOKUP(INDIRECT(ADDRESS(2,COLUMN())),OFFSET($BN$2,0,0,ROW()-1,60),ROW()-1,FALSE))</f>
        <v/>
      </c>
      <c r="AT409" t="str">
        <f ca="1">IF(AND(ISNUMBER($AT$1073),$B$677=1),$AT$1073,HLOOKUP(INDIRECT(ADDRESS(2,COLUMN())),OFFSET($BN$2,0,0,ROW()-1,60),ROW()-1,FALSE))</f>
        <v/>
      </c>
      <c r="AU409" t="str">
        <f ca="1">IF(AND(ISNUMBER($AU$1073),$B$677=1),$AU$1073,HLOOKUP(INDIRECT(ADDRESS(2,COLUMN())),OFFSET($BN$2,0,0,ROW()-1,60),ROW()-1,FALSE))</f>
        <v/>
      </c>
      <c r="AV409" t="str">
        <f ca="1">IF(AND(ISNUMBER($AV$1073),$B$677=1),$AV$1073,HLOOKUP(INDIRECT(ADDRESS(2,COLUMN())),OFFSET($BN$2,0,0,ROW()-1,60),ROW()-1,FALSE))</f>
        <v/>
      </c>
      <c r="AW409" t="str">
        <f ca="1">IF(AND(ISNUMBER($AW$1073),$B$677=1),$AW$1073,HLOOKUP(INDIRECT(ADDRESS(2,COLUMN())),OFFSET($BN$2,0,0,ROW()-1,60),ROW()-1,FALSE))</f>
        <v/>
      </c>
      <c r="AX409" t="str">
        <f ca="1">IF(AND(ISNUMBER($AX$1073),$B$677=1),$AX$1073,HLOOKUP(INDIRECT(ADDRESS(2,COLUMN())),OFFSET($BN$2,0,0,ROW()-1,60),ROW()-1,FALSE))</f>
        <v/>
      </c>
      <c r="AY409" t="str">
        <f ca="1">IF(AND(ISNUMBER($AY$1073),$B$677=1),$AY$1073,HLOOKUP(INDIRECT(ADDRESS(2,COLUMN())),OFFSET($BN$2,0,0,ROW()-1,60),ROW()-1,FALSE))</f>
        <v/>
      </c>
      <c r="AZ409" t="str">
        <f ca="1">IF(AND(ISNUMBER($AZ$1073),$B$677=1),$AZ$1073,HLOOKUP(INDIRECT(ADDRESS(2,COLUMN())),OFFSET($BN$2,0,0,ROW()-1,60),ROW()-1,FALSE))</f>
        <v/>
      </c>
      <c r="BA409" t="str">
        <f ca="1">IF(AND(ISNUMBER($BA$1073),$B$677=1),$BA$1073,HLOOKUP(INDIRECT(ADDRESS(2,COLUMN())),OFFSET($BN$2,0,0,ROW()-1,60),ROW()-1,FALSE))</f>
        <v/>
      </c>
      <c r="BB409" t="str">
        <f ca="1">IF(AND(ISNUMBER($BB$1073),$B$677=1),$BB$1073,HLOOKUP(INDIRECT(ADDRESS(2,COLUMN())),OFFSET($BN$2,0,0,ROW()-1,60),ROW()-1,FALSE))</f>
        <v/>
      </c>
      <c r="BC409" t="str">
        <f ca="1">IF(AND(ISNUMBER($BC$1073),$B$677=1),$BC$1073,HLOOKUP(INDIRECT(ADDRESS(2,COLUMN())),OFFSET($BN$2,0,0,ROW()-1,60),ROW()-1,FALSE))</f>
        <v/>
      </c>
      <c r="BD409" t="str">
        <f ca="1">IF(AND(ISNUMBER($BD$1073),$B$677=1),$BD$1073,HLOOKUP(INDIRECT(ADDRESS(2,COLUMN())),OFFSET($BN$2,0,0,ROW()-1,60),ROW()-1,FALSE))</f>
        <v/>
      </c>
      <c r="BE409" t="str">
        <f ca="1">IF(AND(ISNUMBER($BE$1073),$B$677=1),$BE$1073,HLOOKUP(INDIRECT(ADDRESS(2,COLUMN())),OFFSET($BN$2,0,0,ROW()-1,60),ROW()-1,FALSE))</f>
        <v/>
      </c>
      <c r="BF409" t="str">
        <f ca="1">IF(AND(ISNUMBER($BF$1073),$B$677=1),$BF$1073,HLOOKUP(INDIRECT(ADDRESS(2,COLUMN())),OFFSET($BN$2,0,0,ROW()-1,60),ROW()-1,FALSE))</f>
        <v/>
      </c>
      <c r="BG409" t="str">
        <f ca="1">IF(AND(ISNUMBER($BG$1073),$B$677=1),$BG$1073,HLOOKUP(INDIRECT(ADDRESS(2,COLUMN())),OFFSET($BN$2,0,0,ROW()-1,60),ROW()-1,FALSE))</f>
        <v/>
      </c>
      <c r="BH409" t="str">
        <f ca="1">IF(AND(ISNUMBER($BH$1073),$B$677=1),$BH$1073,HLOOKUP(INDIRECT(ADDRESS(2,COLUMN())),OFFSET($BN$2,0,0,ROW()-1,60),ROW()-1,FALSE))</f>
        <v/>
      </c>
      <c r="BI409" t="str">
        <f ca="1">IF(AND(ISNUMBER($BI$1073),$B$677=1),$BI$1073,HLOOKUP(INDIRECT(ADDRESS(2,COLUMN())),OFFSET($BN$2,0,0,ROW()-1,60),ROW()-1,FALSE))</f>
        <v/>
      </c>
      <c r="BJ409" t="str">
        <f ca="1">IF(AND(ISNUMBER($BJ$1073),$B$677=1),$BJ$1073,HLOOKUP(INDIRECT(ADDRESS(2,COLUMN())),OFFSET($BN$2,0,0,ROW()-1,60),ROW()-1,FALSE))</f>
        <v/>
      </c>
      <c r="BK409" t="str">
        <f ca="1">IF(AND(ISNUMBER($BK$1073),$B$677=1),$BK$1073,HLOOKUP(INDIRECT(ADDRESS(2,COLUMN())),OFFSET($BN$2,0,0,ROW()-1,60),ROW()-1,FALSE))</f>
        <v/>
      </c>
      <c r="BL409" t="str">
        <f ca="1">IF(AND(ISNUMBER($BL$1073),$B$677=1),$BL$1073,HLOOKUP(INDIRECT(ADDRESS(2,COLUMN())),OFFSET($BN$2,0,0,ROW()-1,60),ROW()-1,FALSE))</f>
        <v/>
      </c>
      <c r="BM409" t="str">
        <f ca="1">IF(AND(ISNUMBER($BM$1073),$B$677=1),$BM$1073,HLOOKUP(INDIRECT(ADDRESS(2,COLUMN())),OFFSET($BN$2,0,0,ROW()-1,60),ROW()-1,FALSE))</f>
        <v/>
      </c>
      <c r="BN409" t="str">
        <f>""</f>
        <v/>
      </c>
      <c r="BO409">
        <f>1.168449342</f>
        <v>1.1684493419999999</v>
      </c>
      <c r="BP409">
        <f>1.2235652</f>
        <v>1.2235651999999999</v>
      </c>
      <c r="BQ409">
        <f>1.1729086</f>
        <v>1.1729086</v>
      </c>
      <c r="BR409">
        <f>1.205491475</f>
        <v>1.2054914750000001</v>
      </c>
      <c r="BS409">
        <f>1.156825088</f>
        <v>1.1568250879999999</v>
      </c>
      <c r="BT409">
        <f>1.136876445</f>
        <v>1.136876445</v>
      </c>
      <c r="BU409">
        <f>1.096213598</f>
        <v>1.0962135980000001</v>
      </c>
      <c r="BV409">
        <f>1.112827104</f>
        <v>1.112827104</v>
      </c>
      <c r="BW409">
        <f>1.133633096</f>
        <v>1.1336330960000001</v>
      </c>
      <c r="BX409">
        <f>0.987566863</f>
        <v>0.98756686299999996</v>
      </c>
      <c r="BY409">
        <f>1.000016772</f>
        <v>1.0000167719999999</v>
      </c>
      <c r="BZ409">
        <f>1.055937706</f>
        <v>1.0559377059999999</v>
      </c>
      <c r="CA409">
        <f>1.046035492</f>
        <v>1.0460354919999999</v>
      </c>
      <c r="CB409">
        <f>1.037125542</f>
        <v>1.0371255420000001</v>
      </c>
      <c r="CC409">
        <f>1.045084863</f>
        <v>1.045084863</v>
      </c>
      <c r="CD409">
        <f>1.042769269</f>
        <v>1.0427692690000001</v>
      </c>
      <c r="CE409">
        <f>1.020832913</f>
        <v>1.020832913</v>
      </c>
      <c r="CF409">
        <f>1.001180784</f>
        <v>1.001180784</v>
      </c>
      <c r="CG409">
        <f>0.992500764</f>
        <v>0.99250076399999998</v>
      </c>
      <c r="CH409">
        <f>0.98251072</f>
        <v>0.98251071999999995</v>
      </c>
      <c r="CI409">
        <f>0.987091967</f>
        <v>0.98709196700000001</v>
      </c>
      <c r="CJ409">
        <f>0.991742321</f>
        <v>0.99174232100000004</v>
      </c>
      <c r="CK409">
        <f>0.988311986</f>
        <v>0.98831198600000003</v>
      </c>
      <c r="CL409">
        <f>1.055259233</f>
        <v>1.0552592329999999</v>
      </c>
      <c r="CM409">
        <f>1.068445206</f>
        <v>1.068445206</v>
      </c>
      <c r="CN409">
        <f>1.125546947</f>
        <v>1.1255469469999999</v>
      </c>
      <c r="CO409">
        <f>1.069310973</f>
        <v>1.0693109730000001</v>
      </c>
      <c r="CP409">
        <f>1.031235573</f>
        <v>1.031235573</v>
      </c>
      <c r="CQ409">
        <f>0.999940041</f>
        <v>0.999940041</v>
      </c>
      <c r="CR409">
        <f>0.979403546</f>
        <v>0.97940354600000001</v>
      </c>
      <c r="CS409">
        <f>0.93906931</f>
        <v>0.93906931000000005</v>
      </c>
      <c r="CT409">
        <f>1.000952238</f>
        <v>1.000952238</v>
      </c>
      <c r="CU409">
        <f>0.989334931</f>
        <v>0.98933493100000003</v>
      </c>
      <c r="CV409">
        <f>0.979425968</f>
        <v>0.97942596800000004</v>
      </c>
      <c r="CW409">
        <f>2.734074953</f>
        <v>2.7340749529999999</v>
      </c>
      <c r="CX409" t="str">
        <f>""</f>
        <v/>
      </c>
      <c r="CY409" t="str">
        <f>""</f>
        <v/>
      </c>
      <c r="CZ409" t="str">
        <f>""</f>
        <v/>
      </c>
      <c r="DA409" t="str">
        <f>""</f>
        <v/>
      </c>
      <c r="DB409" t="str">
        <f>""</f>
        <v/>
      </c>
      <c r="DC409" t="str">
        <f>""</f>
        <v/>
      </c>
      <c r="DD409" t="str">
        <f>""</f>
        <v/>
      </c>
      <c r="DE409" t="str">
        <f>""</f>
        <v/>
      </c>
      <c r="DF409" t="str">
        <f>""</f>
        <v/>
      </c>
      <c r="DG409" t="str">
        <f>""</f>
        <v/>
      </c>
      <c r="DH409" t="str">
        <f>""</f>
        <v/>
      </c>
      <c r="DI409" t="str">
        <f>""</f>
        <v/>
      </c>
      <c r="DJ409" t="str">
        <f>""</f>
        <v/>
      </c>
      <c r="DK409" t="str">
        <f>""</f>
        <v/>
      </c>
      <c r="DL409" t="str">
        <f>""</f>
        <v/>
      </c>
      <c r="DM409" t="str">
        <f>""</f>
        <v/>
      </c>
      <c r="DN409" t="str">
        <f>""</f>
        <v/>
      </c>
      <c r="DO409" t="str">
        <f>""</f>
        <v/>
      </c>
      <c r="DP409" t="str">
        <f>""</f>
        <v/>
      </c>
      <c r="DQ409" t="str">
        <f>""</f>
        <v/>
      </c>
      <c r="DR409" t="str">
        <f>""</f>
        <v/>
      </c>
      <c r="DS409" t="str">
        <f>""</f>
        <v/>
      </c>
      <c r="DT409" t="str">
        <f>""</f>
        <v/>
      </c>
      <c r="DU409" t="str">
        <f>""</f>
        <v/>
      </c>
    </row>
    <row r="410" spans="1:125" x14ac:dyDescent="0.25">
      <c r="A410" t="str">
        <f>"    Tianjin Faw Xiali Automobile Co Ltd"</f>
        <v xml:space="preserve">    Tianjin Faw Xiali Automobile Co Ltd</v>
      </c>
      <c r="B410" t="str">
        <f>"000927 CH Equity"</f>
        <v>000927 CH Equity</v>
      </c>
      <c r="C410" t="str">
        <f t="shared" si="27"/>
        <v>RR480</v>
      </c>
      <c r="D410" t="str">
        <f t="shared" si="28"/>
        <v>EV_TO_MKT_CAP</v>
      </c>
      <c r="E410" t="str">
        <f t="shared" si="29"/>
        <v>Dynamic</v>
      </c>
      <c r="F410" t="str">
        <f ca="1">IF(AND(ISNUMBER($F$1074),$B$677=1),$F$1074,HLOOKUP(INDIRECT(ADDRESS(2,COLUMN())),OFFSET($BN$2,0,0,ROW()-1,60),ROW()-1,FALSE))</f>
        <v/>
      </c>
      <c r="G410" t="str">
        <f ca="1">IF(AND(ISNUMBER($G$1074),$B$677=1),$G$1074,HLOOKUP(INDIRECT(ADDRESS(2,COLUMN())),OFFSET($BN$2,0,0,ROW()-1,60),ROW()-1,FALSE))</f>
        <v/>
      </c>
      <c r="H410">
        <f ca="1">IF(AND(ISNUMBER($H$1074),$B$677=1),$H$1074,HLOOKUP(INDIRECT(ADDRESS(2,COLUMN())),OFFSET($BN$2,0,0,ROW()-1,60),ROW()-1,FALSE))</f>
        <v>1.423758455</v>
      </c>
      <c r="I410">
        <f ca="1">IF(AND(ISNUMBER($I$1074),$B$677=1),$I$1074,HLOOKUP(INDIRECT(ADDRESS(2,COLUMN())),OFFSET($BN$2,0,0,ROW()-1,60),ROW()-1,FALSE))</f>
        <v>1.4089266009999999</v>
      </c>
      <c r="J410">
        <f ca="1">IF(AND(ISNUMBER($J$1074),$B$677=1),$J$1074,HLOOKUP(INDIRECT(ADDRESS(2,COLUMN())),OFFSET($BN$2,0,0,ROW()-1,60),ROW()-1,FALSE))</f>
        <v>1.3045753849999999</v>
      </c>
      <c r="K410">
        <f ca="1">IF(AND(ISNUMBER($K$1074),$B$677=1),$K$1074,HLOOKUP(INDIRECT(ADDRESS(2,COLUMN())),OFFSET($BN$2,0,0,ROW()-1,60),ROW()-1,FALSE))</f>
        <v>1.3200011650000001</v>
      </c>
      <c r="L410">
        <f ca="1">IF(AND(ISNUMBER($L$1074),$B$677=1),$L$1074,HLOOKUP(INDIRECT(ADDRESS(2,COLUMN())),OFFSET($BN$2,0,0,ROW()-1,60),ROW()-1,FALSE))</f>
        <v>1.110604146</v>
      </c>
      <c r="M410">
        <f ca="1">IF(AND(ISNUMBER($M$1074),$B$677=1),$M$1074,HLOOKUP(INDIRECT(ADDRESS(2,COLUMN())),OFFSET($BN$2,0,0,ROW()-1,60),ROW()-1,FALSE))</f>
        <v>1.1035555180000001</v>
      </c>
      <c r="N410">
        <f ca="1">IF(AND(ISNUMBER($N$1074),$B$677=1),$N$1074,HLOOKUP(INDIRECT(ADDRESS(2,COLUMN())),OFFSET($BN$2,0,0,ROW()-1,60),ROW()-1,FALSE))</f>
        <v>1.003658224</v>
      </c>
      <c r="O410">
        <f ca="1">IF(AND(ISNUMBER($O$1074),$B$677=1),$O$1074,HLOOKUP(INDIRECT(ADDRESS(2,COLUMN())),OFFSET($BN$2,0,0,ROW()-1,60),ROW()-1,FALSE))</f>
        <v>1.0253925100000001</v>
      </c>
      <c r="P410">
        <f ca="1">IF(AND(ISNUMBER($P$1074),$B$677=1),$P$1074,HLOOKUP(INDIRECT(ADDRESS(2,COLUMN())),OFFSET($BN$2,0,0,ROW()-1,60),ROW()-1,FALSE))</f>
        <v>0.87673707499999998</v>
      </c>
      <c r="Q410">
        <f ca="1">IF(AND(ISNUMBER($Q$1074),$B$677=1),$Q$1074,HLOOKUP(INDIRECT(ADDRESS(2,COLUMN())),OFFSET($BN$2,0,0,ROW()-1,60),ROW()-1,FALSE))</f>
        <v>1.2008657890000001</v>
      </c>
      <c r="R410">
        <f ca="1">IF(AND(ISNUMBER($R$1074),$B$677=1),$R$1074,HLOOKUP(INDIRECT(ADDRESS(2,COLUMN())),OFFSET($BN$2,0,0,ROW()-1,60),ROW()-1,FALSE))</f>
        <v>1.1397890390000001</v>
      </c>
      <c r="S410">
        <f ca="1">IF(AND(ISNUMBER($S$1074),$B$677=1),$S$1074,HLOOKUP(INDIRECT(ADDRESS(2,COLUMN())),OFFSET($BN$2,0,0,ROW()-1,60),ROW()-1,FALSE))</f>
        <v>1.0739367609999999</v>
      </c>
      <c r="T410">
        <f ca="1">IF(AND(ISNUMBER($T$1074),$B$677=1),$T$1074,HLOOKUP(INDIRECT(ADDRESS(2,COLUMN())),OFFSET($BN$2,0,0,ROW()-1,60),ROW()-1,FALSE))</f>
        <v>1.3334220569999999</v>
      </c>
      <c r="U410">
        <f ca="1">IF(AND(ISNUMBER($U$1074),$B$677=1),$U$1074,HLOOKUP(INDIRECT(ADDRESS(2,COLUMN())),OFFSET($BN$2,0,0,ROW()-1,60),ROW()-1,FALSE))</f>
        <v>1.179371918</v>
      </c>
      <c r="V410">
        <f ca="1">IF(AND(ISNUMBER($V$1074),$B$677=1),$V$1074,HLOOKUP(INDIRECT(ADDRESS(2,COLUMN())),OFFSET($BN$2,0,0,ROW()-1,60),ROW()-1,FALSE))</f>
        <v>1.184210253</v>
      </c>
      <c r="W410">
        <f ca="1">IF(AND(ISNUMBER($W$1074),$B$677=1),$W$1074,HLOOKUP(INDIRECT(ADDRESS(2,COLUMN())),OFFSET($BN$2,0,0,ROW()-1,60),ROW()-1,FALSE))</f>
        <v>1.2404121910000001</v>
      </c>
      <c r="X410">
        <f ca="1">IF(AND(ISNUMBER($X$1074),$B$677=1),$X$1074,HLOOKUP(INDIRECT(ADDRESS(2,COLUMN())),OFFSET($BN$2,0,0,ROW()-1,60),ROW()-1,FALSE))</f>
        <v>1.2960709340000001</v>
      </c>
      <c r="Y410">
        <f ca="1">IF(AND(ISNUMBER($Y$1074),$B$677=1),$Y$1074,HLOOKUP(INDIRECT(ADDRESS(2,COLUMN())),OFFSET($BN$2,0,0,ROW()-1,60),ROW()-1,FALSE))</f>
        <v>1.330010761</v>
      </c>
      <c r="Z410">
        <f ca="1">IF(AND(ISNUMBER($Z$1074),$B$677=1),$Z$1074,HLOOKUP(INDIRECT(ADDRESS(2,COLUMN())),OFFSET($BN$2,0,0,ROW()-1,60),ROW()-1,FALSE))</f>
        <v>1.396097932</v>
      </c>
      <c r="AA410">
        <f ca="1">IF(AND(ISNUMBER($AA$1074),$B$677=1),$AA$1074,HLOOKUP(INDIRECT(ADDRESS(2,COLUMN())),OFFSET($BN$2,0,0,ROW()-1,60),ROW()-1,FALSE))</f>
        <v>1.3470868069999999</v>
      </c>
      <c r="AB410">
        <f ca="1">IF(AND(ISNUMBER($AB$1074),$B$677=1),$AB$1074,HLOOKUP(INDIRECT(ADDRESS(2,COLUMN())),OFFSET($BN$2,0,0,ROW()-1,60),ROW()-1,FALSE))</f>
        <v>1.2843879600000001</v>
      </c>
      <c r="AC410">
        <f ca="1">IF(AND(ISNUMBER($AC$1074),$B$677=1),$AC$1074,HLOOKUP(INDIRECT(ADDRESS(2,COLUMN())),OFFSET($BN$2,0,0,ROW()-1,60),ROW()-1,FALSE))</f>
        <v>1.1464333200000001</v>
      </c>
      <c r="AD410">
        <f ca="1">IF(AND(ISNUMBER($AD$1074),$B$677=1),$AD$1074,HLOOKUP(INDIRECT(ADDRESS(2,COLUMN())),OFFSET($BN$2,0,0,ROW()-1,60),ROW()-1,FALSE))</f>
        <v>1.2273282679999999</v>
      </c>
      <c r="AE410">
        <f ca="1">IF(AND(ISNUMBER($AE$1074),$B$677=1),$AE$1074,HLOOKUP(INDIRECT(ADDRESS(2,COLUMN())),OFFSET($BN$2,0,0,ROW()-1,60),ROW()-1,FALSE))</f>
        <v>1.177398443</v>
      </c>
      <c r="AF410">
        <f ca="1">IF(AND(ISNUMBER($AF$1074),$B$677=1),$AF$1074,HLOOKUP(INDIRECT(ADDRESS(2,COLUMN())),OFFSET($BN$2,0,0,ROW()-1,60),ROW()-1,FALSE))</f>
        <v>1.182573396</v>
      </c>
      <c r="AG410">
        <f ca="1">IF(AND(ISNUMBER($AG$1074),$B$677=1),$AG$1074,HLOOKUP(INDIRECT(ADDRESS(2,COLUMN())),OFFSET($BN$2,0,0,ROW()-1,60),ROW()-1,FALSE))</f>
        <v>1.053790078</v>
      </c>
      <c r="AH410">
        <f ca="1">IF(AND(ISNUMBER($AH$1074),$B$677=1),$AH$1074,HLOOKUP(INDIRECT(ADDRESS(2,COLUMN())),OFFSET($BN$2,0,0,ROW()-1,60),ROW()-1,FALSE))</f>
        <v>1.135690834</v>
      </c>
      <c r="AI410">
        <f ca="1">IF(AND(ISNUMBER($AI$1074),$B$677=1),$AI$1074,HLOOKUP(INDIRECT(ADDRESS(2,COLUMN())),OFFSET($BN$2,0,0,ROW()-1,60),ROW()-1,FALSE))</f>
        <v>1.081684673</v>
      </c>
      <c r="AJ410">
        <f ca="1">IF(AND(ISNUMBER($AJ$1074),$B$677=1),$AJ$1074,HLOOKUP(INDIRECT(ADDRESS(2,COLUMN())),OFFSET($BN$2,0,0,ROW()-1,60),ROW()-1,FALSE))</f>
        <v>1.036284725</v>
      </c>
      <c r="AK410">
        <f ca="1">IF(AND(ISNUMBER($AK$1074),$B$677=1),$AK$1074,HLOOKUP(INDIRECT(ADDRESS(2,COLUMN())),OFFSET($BN$2,0,0,ROW()-1,60),ROW()-1,FALSE))</f>
        <v>0.936461353</v>
      </c>
      <c r="AL410">
        <f ca="1">IF(AND(ISNUMBER($AL$1074),$B$677=1),$AL$1074,HLOOKUP(INDIRECT(ADDRESS(2,COLUMN())),OFFSET($BN$2,0,0,ROW()-1,60),ROW()-1,FALSE))</f>
        <v>1.0218845400000001</v>
      </c>
      <c r="AM410">
        <f ca="1">IF(AND(ISNUMBER($AM$1074),$B$677=1),$AM$1074,HLOOKUP(INDIRECT(ADDRESS(2,COLUMN())),OFFSET($BN$2,0,0,ROW()-1,60),ROW()-1,FALSE))</f>
        <v>1.0063760850000001</v>
      </c>
      <c r="AN410">
        <f ca="1">IF(AND(ISNUMBER($AN$1074),$B$677=1),$AN$1074,HLOOKUP(INDIRECT(ADDRESS(2,COLUMN())),OFFSET($BN$2,0,0,ROW()-1,60),ROW()-1,FALSE))</f>
        <v>1.0058261580000001</v>
      </c>
      <c r="AO410">
        <f ca="1">IF(AND(ISNUMBER($AO$1074),$B$677=1),$AO$1074,HLOOKUP(INDIRECT(ADDRESS(2,COLUMN())),OFFSET($BN$2,0,0,ROW()-1,60),ROW()-1,FALSE))</f>
        <v>0.999234438</v>
      </c>
      <c r="AP410">
        <f ca="1">IF(AND(ISNUMBER($AP$1074),$B$677=1),$AP$1074,HLOOKUP(INDIRECT(ADDRESS(2,COLUMN())),OFFSET($BN$2,0,0,ROW()-1,60),ROW()-1,FALSE))</f>
        <v>1.024374833</v>
      </c>
      <c r="AQ410">
        <f ca="1">IF(AND(ISNUMBER($AQ$1074),$B$677=1),$AQ$1074,HLOOKUP(INDIRECT(ADDRESS(2,COLUMN())),OFFSET($BN$2,0,0,ROW()-1,60),ROW()-1,FALSE))</f>
        <v>1.0130891200000001</v>
      </c>
      <c r="AR410">
        <f ca="1">IF(AND(ISNUMBER($AR$1074),$B$677=1),$AR$1074,HLOOKUP(INDIRECT(ADDRESS(2,COLUMN())),OFFSET($BN$2,0,0,ROW()-1,60),ROW()-1,FALSE))</f>
        <v>1.0502730979999999</v>
      </c>
      <c r="AS410">
        <f ca="1">IF(AND(ISNUMBER($AS$1074),$B$677=1),$AS$1074,HLOOKUP(INDIRECT(ADDRESS(2,COLUMN())),OFFSET($BN$2,0,0,ROW()-1,60),ROW()-1,FALSE))</f>
        <v>1.03416281</v>
      </c>
      <c r="AT410">
        <f ca="1">IF(AND(ISNUMBER($AT$1074),$B$677=1),$AT$1074,HLOOKUP(INDIRECT(ADDRESS(2,COLUMN())),OFFSET($BN$2,0,0,ROW()-1,60),ROW()-1,FALSE))</f>
        <v>1.0987174070000001</v>
      </c>
      <c r="AU410">
        <f ca="1">IF(AND(ISNUMBER($AU$1074),$B$677=1),$AU$1074,HLOOKUP(INDIRECT(ADDRESS(2,COLUMN())),OFFSET($BN$2,0,0,ROW()-1,60),ROW()-1,FALSE))</f>
        <v>1.1331758240000001</v>
      </c>
      <c r="AV410">
        <f ca="1">IF(AND(ISNUMBER($AV$1074),$B$677=1),$AV$1074,HLOOKUP(INDIRECT(ADDRESS(2,COLUMN())),OFFSET($BN$2,0,0,ROW()-1,60),ROW()-1,FALSE))</f>
        <v>1.149508373</v>
      </c>
      <c r="AW410">
        <f ca="1">IF(AND(ISNUMBER($AW$1074),$B$677=1),$AW$1074,HLOOKUP(INDIRECT(ADDRESS(2,COLUMN())),OFFSET($BN$2,0,0,ROW()-1,60),ROW()-1,FALSE))</f>
        <v>0.99223820699999998</v>
      </c>
      <c r="AX410">
        <f ca="1">IF(AND(ISNUMBER($AX$1074),$B$677=1),$AX$1074,HLOOKUP(INDIRECT(ADDRESS(2,COLUMN())),OFFSET($BN$2,0,0,ROW()-1,60),ROW()-1,FALSE))</f>
        <v>1.0114184930000001</v>
      </c>
      <c r="AY410">
        <f ca="1">IF(AND(ISNUMBER($AY$1074),$B$677=1),$AY$1074,HLOOKUP(INDIRECT(ADDRESS(2,COLUMN())),OFFSET($BN$2,0,0,ROW()-1,60),ROW()-1,FALSE))</f>
        <v>1.0023765979999999</v>
      </c>
      <c r="AZ410">
        <f ca="1">IF(AND(ISNUMBER($AZ$1074),$B$677=1),$AZ$1074,HLOOKUP(INDIRECT(ADDRESS(2,COLUMN())),OFFSET($BN$2,0,0,ROW()-1,60),ROW()-1,FALSE))</f>
        <v>1.022222663</v>
      </c>
      <c r="BA410">
        <f ca="1">IF(AND(ISNUMBER($BA$1074),$B$677=1),$BA$1074,HLOOKUP(INDIRECT(ADDRESS(2,COLUMN())),OFFSET($BN$2,0,0,ROW()-1,60),ROW()-1,FALSE))</f>
        <v>1.014584259</v>
      </c>
      <c r="BB410">
        <f ca="1">IF(AND(ISNUMBER($BB$1074),$B$677=1),$BB$1074,HLOOKUP(INDIRECT(ADDRESS(2,COLUMN())),OFFSET($BN$2,0,0,ROW()-1,60),ROW()-1,FALSE))</f>
        <v>1.0190606529999999</v>
      </c>
      <c r="BC410">
        <f ca="1">IF(AND(ISNUMBER($BC$1074),$B$677=1),$BC$1074,HLOOKUP(INDIRECT(ADDRESS(2,COLUMN())),OFFSET($BN$2,0,0,ROW()-1,60),ROW()-1,FALSE))</f>
        <v>1.0373125270000001</v>
      </c>
      <c r="BD410">
        <f ca="1">IF(AND(ISNUMBER($BD$1074),$B$677=1),$BD$1074,HLOOKUP(INDIRECT(ADDRESS(2,COLUMN())),OFFSET($BN$2,0,0,ROW()-1,60),ROW()-1,FALSE))</f>
        <v>1.0793510319999999</v>
      </c>
      <c r="BE410">
        <f ca="1">IF(AND(ISNUMBER($BE$1074),$B$677=1),$BE$1074,HLOOKUP(INDIRECT(ADDRESS(2,COLUMN())),OFFSET($BN$2,0,0,ROW()-1,60),ROW()-1,FALSE))</f>
        <v>1.082864319</v>
      </c>
      <c r="BF410">
        <f ca="1">IF(AND(ISNUMBER($BF$1074),$B$677=1),$BF$1074,HLOOKUP(INDIRECT(ADDRESS(2,COLUMN())),OFFSET($BN$2,0,0,ROW()-1,60),ROW()-1,FALSE))</f>
        <v>1.192540701</v>
      </c>
      <c r="BG410">
        <f ca="1">IF(AND(ISNUMBER($BG$1074),$B$677=1),$BG$1074,HLOOKUP(INDIRECT(ADDRESS(2,COLUMN())),OFFSET($BN$2,0,0,ROW()-1,60),ROW()-1,FALSE))</f>
        <v>1.298011002</v>
      </c>
      <c r="BH410">
        <f ca="1">IF(AND(ISNUMBER($BH$1074),$B$677=1),$BH$1074,HLOOKUP(INDIRECT(ADDRESS(2,COLUMN())),OFFSET($BN$2,0,0,ROW()-1,60),ROW()-1,FALSE))</f>
        <v>1.316471159</v>
      </c>
      <c r="BI410">
        <f ca="1">IF(AND(ISNUMBER($BI$1074),$B$677=1),$BI$1074,HLOOKUP(INDIRECT(ADDRESS(2,COLUMN())),OFFSET($BN$2,0,0,ROW()-1,60),ROW()-1,FALSE))</f>
        <v>1.4762665939999999</v>
      </c>
      <c r="BJ410">
        <f ca="1">IF(AND(ISNUMBER($BJ$1074),$B$677=1),$BJ$1074,HLOOKUP(INDIRECT(ADDRESS(2,COLUMN())),OFFSET($BN$2,0,0,ROW()-1,60),ROW()-1,FALSE))</f>
        <v>1.6886844320000001</v>
      </c>
      <c r="BK410">
        <f ca="1">IF(AND(ISNUMBER($BK$1074),$B$677=1),$BK$1074,HLOOKUP(INDIRECT(ADDRESS(2,COLUMN())),OFFSET($BN$2,0,0,ROW()-1,60),ROW()-1,FALSE))</f>
        <v>1.643125993</v>
      </c>
      <c r="BL410">
        <f ca="1">IF(AND(ISNUMBER($BL$1074),$B$677=1),$BL$1074,HLOOKUP(INDIRECT(ADDRESS(2,COLUMN())),OFFSET($BN$2,0,0,ROW()-1,60),ROW()-1,FALSE))</f>
        <v>1.407083868</v>
      </c>
      <c r="BM410">
        <f ca="1">IF(AND(ISNUMBER($BM$1074),$B$677=1),$BM$1074,HLOOKUP(INDIRECT(ADDRESS(2,COLUMN())),OFFSET($BN$2,0,0,ROW()-1,60),ROW()-1,FALSE))</f>
        <v>1.2754706790000001</v>
      </c>
      <c r="BN410" t="str">
        <f>""</f>
        <v/>
      </c>
      <c r="BO410" t="str">
        <f>""</f>
        <v/>
      </c>
      <c r="BP410">
        <f>1.423758455</f>
        <v>1.423758455</v>
      </c>
      <c r="BQ410">
        <f>1.408926601</f>
        <v>1.4089266009999999</v>
      </c>
      <c r="BR410">
        <f>1.304575385</f>
        <v>1.3045753849999999</v>
      </c>
      <c r="BS410">
        <f>1.320001165</f>
        <v>1.3200011650000001</v>
      </c>
      <c r="BT410">
        <f>1.110604146</f>
        <v>1.110604146</v>
      </c>
      <c r="BU410">
        <f>1.103555518</f>
        <v>1.1035555180000001</v>
      </c>
      <c r="BV410">
        <f>1.003658224</f>
        <v>1.003658224</v>
      </c>
      <c r="BW410">
        <f>1.02539251</f>
        <v>1.0253925100000001</v>
      </c>
      <c r="BX410">
        <f>0.876737075</f>
        <v>0.87673707499999998</v>
      </c>
      <c r="BY410">
        <f>1.200865789</f>
        <v>1.2008657890000001</v>
      </c>
      <c r="BZ410">
        <f>1.139789039</f>
        <v>1.1397890390000001</v>
      </c>
      <c r="CA410">
        <f>1.073936761</f>
        <v>1.0739367609999999</v>
      </c>
      <c r="CB410">
        <f>1.333422057</f>
        <v>1.3334220569999999</v>
      </c>
      <c r="CC410">
        <f>1.179371918</f>
        <v>1.179371918</v>
      </c>
      <c r="CD410">
        <f>1.184210253</f>
        <v>1.184210253</v>
      </c>
      <c r="CE410">
        <f>1.240412191</f>
        <v>1.2404121910000001</v>
      </c>
      <c r="CF410">
        <f>1.296070934</f>
        <v>1.2960709340000001</v>
      </c>
      <c r="CG410">
        <f>1.330010761</f>
        <v>1.330010761</v>
      </c>
      <c r="CH410">
        <f>1.396097932</f>
        <v>1.396097932</v>
      </c>
      <c r="CI410">
        <f>1.347086807</f>
        <v>1.3470868069999999</v>
      </c>
      <c r="CJ410">
        <f>1.28438796</f>
        <v>1.2843879600000001</v>
      </c>
      <c r="CK410">
        <f>1.14643332</f>
        <v>1.1464333200000001</v>
      </c>
      <c r="CL410">
        <f>1.227328268</f>
        <v>1.2273282679999999</v>
      </c>
      <c r="CM410">
        <f>1.177398443</f>
        <v>1.177398443</v>
      </c>
      <c r="CN410">
        <f>1.182573396</f>
        <v>1.182573396</v>
      </c>
      <c r="CO410">
        <f>1.053790078</f>
        <v>1.053790078</v>
      </c>
      <c r="CP410">
        <f>1.135690834</f>
        <v>1.135690834</v>
      </c>
      <c r="CQ410">
        <f>1.081684673</f>
        <v>1.081684673</v>
      </c>
      <c r="CR410">
        <f>1.036284725</f>
        <v>1.036284725</v>
      </c>
      <c r="CS410">
        <f>0.936461353</f>
        <v>0.936461353</v>
      </c>
      <c r="CT410">
        <f>1.02188454</f>
        <v>1.0218845400000001</v>
      </c>
      <c r="CU410">
        <f>1.006376085</f>
        <v>1.0063760850000001</v>
      </c>
      <c r="CV410">
        <f>1.005826158</f>
        <v>1.0058261580000001</v>
      </c>
      <c r="CW410">
        <f>0.999234438</f>
        <v>0.999234438</v>
      </c>
      <c r="CX410">
        <f>1.024374833</f>
        <v>1.024374833</v>
      </c>
      <c r="CY410">
        <f>1.01308912</f>
        <v>1.0130891200000001</v>
      </c>
      <c r="CZ410">
        <f>1.050273098</f>
        <v>1.0502730979999999</v>
      </c>
      <c r="DA410">
        <f>1.03416281</f>
        <v>1.03416281</v>
      </c>
      <c r="DB410">
        <f>1.098717407</f>
        <v>1.0987174070000001</v>
      </c>
      <c r="DC410">
        <f>1.133175824</f>
        <v>1.1331758240000001</v>
      </c>
      <c r="DD410">
        <f>1.149508373</f>
        <v>1.149508373</v>
      </c>
      <c r="DE410">
        <f>0.992238207</f>
        <v>0.99223820699999998</v>
      </c>
      <c r="DF410">
        <f>1.011418493</f>
        <v>1.0114184930000001</v>
      </c>
      <c r="DG410">
        <f>1.002376598</f>
        <v>1.0023765979999999</v>
      </c>
      <c r="DH410">
        <f>1.022222663</f>
        <v>1.022222663</v>
      </c>
      <c r="DI410">
        <f>1.014584259</f>
        <v>1.014584259</v>
      </c>
      <c r="DJ410">
        <f>1.019060653</f>
        <v>1.0190606529999999</v>
      </c>
      <c r="DK410">
        <f>1.037312527</f>
        <v>1.0373125270000001</v>
      </c>
      <c r="DL410">
        <f>1.079351032</f>
        <v>1.0793510319999999</v>
      </c>
      <c r="DM410">
        <f>1.082864319</f>
        <v>1.082864319</v>
      </c>
      <c r="DN410">
        <f>1.192540701</f>
        <v>1.192540701</v>
      </c>
      <c r="DO410">
        <f>1.298011002</f>
        <v>1.298011002</v>
      </c>
      <c r="DP410">
        <f>1.316471159</f>
        <v>1.316471159</v>
      </c>
      <c r="DQ410">
        <f>1.476266594</f>
        <v>1.4762665939999999</v>
      </c>
      <c r="DR410">
        <f>1.688684432</f>
        <v>1.6886844320000001</v>
      </c>
      <c r="DS410">
        <f>1.643125993</f>
        <v>1.643125993</v>
      </c>
      <c r="DT410">
        <f>1.407083868</f>
        <v>1.407083868</v>
      </c>
      <c r="DU410">
        <f>1.275470679</f>
        <v>1.2754706790000001</v>
      </c>
    </row>
    <row r="411" spans="1:125" x14ac:dyDescent="0.25">
      <c r="A411" t="str">
        <f>"    Tofas Turk Otomobil Fabrikasi AS"</f>
        <v xml:space="preserve">    Tofas Turk Otomobil Fabrikasi AS</v>
      </c>
      <c r="B411" t="str">
        <f>"TOASOTRY EO Equity"</f>
        <v>TOASOTRY EO Equity</v>
      </c>
      <c r="C411" t="str">
        <f t="shared" si="27"/>
        <v>RR480</v>
      </c>
      <c r="D411" t="str">
        <f t="shared" si="28"/>
        <v>EV_TO_MKT_CAP</v>
      </c>
      <c r="E411" t="str">
        <f t="shared" si="29"/>
        <v>Dynamic</v>
      </c>
      <c r="F411" t="str">
        <f ca="1">IF(AND(ISNUMBER($F$1075),$B$677=1),$F$1075,HLOOKUP(INDIRECT(ADDRESS(2,COLUMN())),OFFSET($BN$2,0,0,ROW()-1,60),ROW()-1,FALSE))</f>
        <v/>
      </c>
      <c r="G411">
        <f ca="1">IF(AND(ISNUMBER($G$1075),$B$677=1),$G$1075,HLOOKUP(INDIRECT(ADDRESS(2,COLUMN())),OFFSET($BN$2,0,0,ROW()-1,60),ROW()-1,FALSE))</f>
        <v>1.3605763310000001</v>
      </c>
      <c r="H411">
        <f ca="1">IF(AND(ISNUMBER($H$1075),$B$677=1),$H$1075,HLOOKUP(INDIRECT(ADDRESS(2,COLUMN())),OFFSET($BN$2,0,0,ROW()-1,60),ROW()-1,FALSE))</f>
        <v>1.3850529469999999</v>
      </c>
      <c r="I411">
        <f ca="1">IF(AND(ISNUMBER($I$1075),$B$677=1),$I$1075,HLOOKUP(INDIRECT(ADDRESS(2,COLUMN())),OFFSET($BN$2,0,0,ROW()-1,60),ROW()-1,FALSE))</f>
        <v>1.2350728179999999</v>
      </c>
      <c r="J411">
        <f ca="1">IF(AND(ISNUMBER($J$1075),$B$677=1),$J$1075,HLOOKUP(INDIRECT(ADDRESS(2,COLUMN())),OFFSET($BN$2,0,0,ROW()-1,60),ROW()-1,FALSE))</f>
        <v>1.2061644970000001</v>
      </c>
      <c r="K411">
        <f ca="1">IF(AND(ISNUMBER($K$1075),$B$677=1),$K$1075,HLOOKUP(INDIRECT(ADDRESS(2,COLUMN())),OFFSET($BN$2,0,0,ROW()-1,60),ROW()-1,FALSE))</f>
        <v>1.1557491820000001</v>
      </c>
      <c r="L411">
        <f ca="1">IF(AND(ISNUMBER($L$1075),$B$677=1),$L$1075,HLOOKUP(INDIRECT(ADDRESS(2,COLUMN())),OFFSET($BN$2,0,0,ROW()-1,60),ROW()-1,FALSE))</f>
        <v>1.1725652200000001</v>
      </c>
      <c r="M411">
        <f ca="1">IF(AND(ISNUMBER($M$1075),$B$677=1),$M$1075,HLOOKUP(INDIRECT(ADDRESS(2,COLUMN())),OFFSET($BN$2,0,0,ROW()-1,60),ROW()-1,FALSE))</f>
        <v>1.1846856750000001</v>
      </c>
      <c r="N411">
        <f ca="1">IF(AND(ISNUMBER($N$1075),$B$677=1),$N$1075,HLOOKUP(INDIRECT(ADDRESS(2,COLUMN())),OFFSET($BN$2,0,0,ROW()-1,60),ROW()-1,FALSE))</f>
        <v>1.1594849380000001</v>
      </c>
      <c r="O411">
        <f ca="1">IF(AND(ISNUMBER($O$1075),$B$677=1),$O$1075,HLOOKUP(INDIRECT(ADDRESS(2,COLUMN())),OFFSET($BN$2,0,0,ROW()-1,60),ROW()-1,FALSE))</f>
        <v>1.213702192</v>
      </c>
      <c r="P411">
        <f ca="1">IF(AND(ISNUMBER($P$1075),$B$677=1),$P$1075,HLOOKUP(INDIRECT(ADDRESS(2,COLUMN())),OFFSET($BN$2,0,0,ROW()-1,60),ROW()-1,FALSE))</f>
        <v>1.292794247</v>
      </c>
      <c r="Q411">
        <f ca="1">IF(AND(ISNUMBER($Q$1075),$B$677=1),$Q$1075,HLOOKUP(INDIRECT(ADDRESS(2,COLUMN())),OFFSET($BN$2,0,0,ROW()-1,60),ROW()-1,FALSE))</f>
        <v>1.2711362939999999</v>
      </c>
      <c r="R411">
        <f ca="1">IF(AND(ISNUMBER($R$1075),$B$677=1),$R$1075,HLOOKUP(INDIRECT(ADDRESS(2,COLUMN())),OFFSET($BN$2,0,0,ROW()-1,60),ROW()-1,FALSE))</f>
        <v>1.2187315839999999</v>
      </c>
      <c r="S411">
        <f ca="1">IF(AND(ISNUMBER($S$1075),$B$677=1),$S$1075,HLOOKUP(INDIRECT(ADDRESS(2,COLUMN())),OFFSET($BN$2,0,0,ROW()-1,60),ROW()-1,FALSE))</f>
        <v>1.2026179420000001</v>
      </c>
      <c r="T411">
        <f ca="1">IF(AND(ISNUMBER($T$1075),$B$677=1),$T$1075,HLOOKUP(INDIRECT(ADDRESS(2,COLUMN())),OFFSET($BN$2,0,0,ROW()-1,60),ROW()-1,FALSE))</f>
        <v>1.1961224509999999</v>
      </c>
      <c r="U411">
        <f ca="1">IF(AND(ISNUMBER($U$1075),$B$677=1),$U$1075,HLOOKUP(INDIRECT(ADDRESS(2,COLUMN())),OFFSET($BN$2,0,0,ROW()-1,60),ROW()-1,FALSE))</f>
        <v>1.1724256829999999</v>
      </c>
      <c r="V411">
        <f ca="1">IF(AND(ISNUMBER($V$1075),$B$677=1),$V$1075,HLOOKUP(INDIRECT(ADDRESS(2,COLUMN())),OFFSET($BN$2,0,0,ROW()-1,60),ROW()-1,FALSE))</f>
        <v>1.1636497779999999</v>
      </c>
      <c r="W411">
        <f ca="1">IF(AND(ISNUMBER($W$1075),$B$677=1),$W$1075,HLOOKUP(INDIRECT(ADDRESS(2,COLUMN())),OFFSET($BN$2,0,0,ROW()-1,60),ROW()-1,FALSE))</f>
        <v>1.1107021939999999</v>
      </c>
      <c r="X411">
        <f ca="1">IF(AND(ISNUMBER($X$1075),$B$677=1),$X$1075,HLOOKUP(INDIRECT(ADDRESS(2,COLUMN())),OFFSET($BN$2,0,0,ROW()-1,60),ROW()-1,FALSE))</f>
        <v>1.079141562</v>
      </c>
      <c r="Y411">
        <f ca="1">IF(AND(ISNUMBER($Y$1075),$B$677=1),$Y$1075,HLOOKUP(INDIRECT(ADDRESS(2,COLUMN())),OFFSET($BN$2,0,0,ROW()-1,60),ROW()-1,FALSE))</f>
        <v>1.084761825</v>
      </c>
      <c r="Z411">
        <f ca="1">IF(AND(ISNUMBER($Z$1075),$B$677=1),$Z$1075,HLOOKUP(INDIRECT(ADDRESS(2,COLUMN())),OFFSET($BN$2,0,0,ROW()-1,60),ROW()-1,FALSE))</f>
        <v>1.1140541559999999</v>
      </c>
      <c r="AA411">
        <f ca="1">IF(AND(ISNUMBER($AA$1075),$B$677=1),$AA$1075,HLOOKUP(INDIRECT(ADDRESS(2,COLUMN())),OFFSET($BN$2,0,0,ROW()-1,60),ROW()-1,FALSE))</f>
        <v>1.0802143280000001</v>
      </c>
      <c r="AB411">
        <f ca="1">IF(AND(ISNUMBER($AB$1075),$B$677=1),$AB$1075,HLOOKUP(INDIRECT(ADDRESS(2,COLUMN())),OFFSET($BN$2,0,0,ROW()-1,60),ROW()-1,FALSE))</f>
        <v>1.066825366</v>
      </c>
      <c r="AC411">
        <f ca="1">IF(AND(ISNUMBER($AC$1075),$B$677=1),$AC$1075,HLOOKUP(INDIRECT(ADDRESS(2,COLUMN())),OFFSET($BN$2,0,0,ROW()-1,60),ROW()-1,FALSE))</f>
        <v>1.0544082990000001</v>
      </c>
      <c r="AD411">
        <f ca="1">IF(AND(ISNUMBER($AD$1075),$B$677=1),$AD$1075,HLOOKUP(INDIRECT(ADDRESS(2,COLUMN())),OFFSET($BN$2,0,0,ROW()-1,60),ROW()-1,FALSE))</f>
        <v>1.0729439080000001</v>
      </c>
      <c r="AE411">
        <f ca="1">IF(AND(ISNUMBER($AE$1075),$B$677=1),$AE$1075,HLOOKUP(INDIRECT(ADDRESS(2,COLUMN())),OFFSET($BN$2,0,0,ROW()-1,60),ROW()-1,FALSE))</f>
        <v>1.1240599040000001</v>
      </c>
      <c r="AF411">
        <f ca="1">IF(AND(ISNUMBER($AF$1075),$B$677=1),$AF$1075,HLOOKUP(INDIRECT(ADDRESS(2,COLUMN())),OFFSET($BN$2,0,0,ROW()-1,60),ROW()-1,FALSE))</f>
        <v>1.1769982379999999</v>
      </c>
      <c r="AG411">
        <f ca="1">IF(AND(ISNUMBER($AG$1075),$B$677=1),$AG$1075,HLOOKUP(INDIRECT(ADDRESS(2,COLUMN())),OFFSET($BN$2,0,0,ROW()-1,60),ROW()-1,FALSE))</f>
        <v>1.1961211890000001</v>
      </c>
      <c r="AH411">
        <f ca="1">IF(AND(ISNUMBER($AH$1075),$B$677=1),$AH$1075,HLOOKUP(INDIRECT(ADDRESS(2,COLUMN())),OFFSET($BN$2,0,0,ROW()-1,60),ROW()-1,FALSE))</f>
        <v>1.2782314960000001</v>
      </c>
      <c r="AI411">
        <f ca="1">IF(AND(ISNUMBER($AI$1075),$B$677=1),$AI$1075,HLOOKUP(INDIRECT(ADDRESS(2,COLUMN())),OFFSET($BN$2,0,0,ROW()-1,60),ROW()-1,FALSE))</f>
        <v>1.383798986</v>
      </c>
      <c r="AJ411">
        <f ca="1">IF(AND(ISNUMBER($AJ$1075),$B$677=1),$AJ$1075,HLOOKUP(INDIRECT(ADDRESS(2,COLUMN())),OFFSET($BN$2,0,0,ROW()-1,60),ROW()-1,FALSE))</f>
        <v>1.344371084</v>
      </c>
      <c r="AK411">
        <f ca="1">IF(AND(ISNUMBER($AK$1075),$B$677=1),$AK$1075,HLOOKUP(INDIRECT(ADDRESS(2,COLUMN())),OFFSET($BN$2,0,0,ROW()-1,60),ROW()-1,FALSE))</f>
        <v>1.2351194590000001</v>
      </c>
      <c r="AL411">
        <f ca="1">IF(AND(ISNUMBER($AL$1075),$B$677=1),$AL$1075,HLOOKUP(INDIRECT(ADDRESS(2,COLUMN())),OFFSET($BN$2,0,0,ROW()-1,60),ROW()-1,FALSE))</f>
        <v>1.1327096329999999</v>
      </c>
      <c r="AM411">
        <f ca="1">IF(AND(ISNUMBER($AM$1075),$B$677=1),$AM$1075,HLOOKUP(INDIRECT(ADDRESS(2,COLUMN())),OFFSET($BN$2,0,0,ROW()-1,60),ROW()-1,FALSE))</f>
        <v>1.1647567839999999</v>
      </c>
      <c r="AN411">
        <f ca="1">IF(AND(ISNUMBER($AN$1075),$B$677=1),$AN$1075,HLOOKUP(INDIRECT(ADDRESS(2,COLUMN())),OFFSET($BN$2,0,0,ROW()-1,60),ROW()-1,FALSE))</f>
        <v>1.191549333</v>
      </c>
      <c r="AO411">
        <f ca="1">IF(AND(ISNUMBER($AO$1075),$B$677=1),$AO$1075,HLOOKUP(INDIRECT(ADDRESS(2,COLUMN())),OFFSET($BN$2,0,0,ROW()-1,60),ROW()-1,FALSE))</f>
        <v>1.2336781480000001</v>
      </c>
      <c r="AP411">
        <f ca="1">IF(AND(ISNUMBER($AP$1075),$B$677=1),$AP$1075,HLOOKUP(INDIRECT(ADDRESS(2,COLUMN())),OFFSET($BN$2,0,0,ROW()-1,60),ROW()-1,FALSE))</f>
        <v>1.213433684</v>
      </c>
      <c r="AQ411">
        <f ca="1">IF(AND(ISNUMBER($AQ$1075),$B$677=1),$AQ$1075,HLOOKUP(INDIRECT(ADDRESS(2,COLUMN())),OFFSET($BN$2,0,0,ROW()-1,60),ROW()-1,FALSE))</f>
        <v>1.339905508</v>
      </c>
      <c r="AR411">
        <f ca="1">IF(AND(ISNUMBER($AR$1075),$B$677=1),$AR$1075,HLOOKUP(INDIRECT(ADDRESS(2,COLUMN())),OFFSET($BN$2,0,0,ROW()-1,60),ROW()-1,FALSE))</f>
        <v>1.4712889950000001</v>
      </c>
      <c r="AS411">
        <f ca="1">IF(AND(ISNUMBER($AS$1075),$B$677=1),$AS$1075,HLOOKUP(INDIRECT(ADDRESS(2,COLUMN())),OFFSET($BN$2,0,0,ROW()-1,60),ROW()-1,FALSE))</f>
        <v>1.6521444439999999</v>
      </c>
      <c r="AT411">
        <f ca="1">IF(AND(ISNUMBER($AT$1075),$B$677=1),$AT$1075,HLOOKUP(INDIRECT(ADDRESS(2,COLUMN())),OFFSET($BN$2,0,0,ROW()-1,60),ROW()-1,FALSE))</f>
        <v>2.6434342470000001</v>
      </c>
      <c r="AU411">
        <f ca="1">IF(AND(ISNUMBER($AU$1075),$B$677=1),$AU$1075,HLOOKUP(INDIRECT(ADDRESS(2,COLUMN())),OFFSET($BN$2,0,0,ROW()-1,60),ROW()-1,FALSE))</f>
        <v>3.1264069569999999</v>
      </c>
      <c r="AV411">
        <f ca="1">IF(AND(ISNUMBER($AV$1075),$B$677=1),$AV$1075,HLOOKUP(INDIRECT(ADDRESS(2,COLUMN())),OFFSET($BN$2,0,0,ROW()-1,60),ROW()-1,FALSE))</f>
        <v>1.6242186759999999</v>
      </c>
      <c r="AW411">
        <f ca="1">IF(AND(ISNUMBER($AW$1075),$B$677=1),$AW$1075,HLOOKUP(INDIRECT(ADDRESS(2,COLUMN())),OFFSET($BN$2,0,0,ROW()-1,60),ROW()-1,FALSE))</f>
        <v>1.343687638</v>
      </c>
      <c r="AX411">
        <f ca="1">IF(AND(ISNUMBER($AX$1075),$B$677=1),$AX$1075,HLOOKUP(INDIRECT(ADDRESS(2,COLUMN())),OFFSET($BN$2,0,0,ROW()-1,60),ROW()-1,FALSE))</f>
        <v>1.270998606</v>
      </c>
      <c r="AY411">
        <f ca="1">IF(AND(ISNUMBER($AY$1075),$B$677=1),$AY$1075,HLOOKUP(INDIRECT(ADDRESS(2,COLUMN())),OFFSET($BN$2,0,0,ROW()-1,60),ROW()-1,FALSE))</f>
        <v>1.1307239120000001</v>
      </c>
      <c r="AZ411">
        <f ca="1">IF(AND(ISNUMBER($AZ$1075),$B$677=1),$AZ$1075,HLOOKUP(INDIRECT(ADDRESS(2,COLUMN())),OFFSET($BN$2,0,0,ROW()-1,60),ROW()-1,FALSE))</f>
        <v>1.0986128930000001</v>
      </c>
      <c r="BA411">
        <f ca="1">IF(AND(ISNUMBER($BA$1075),$B$677=1),$BA$1075,HLOOKUP(INDIRECT(ADDRESS(2,COLUMN())),OFFSET($BN$2,0,0,ROW()-1,60),ROW()-1,FALSE))</f>
        <v>1.0547896059999999</v>
      </c>
      <c r="BB411">
        <f ca="1">IF(AND(ISNUMBER($BB$1075),$B$677=1),$BB$1075,HLOOKUP(INDIRECT(ADDRESS(2,COLUMN())),OFFSET($BN$2,0,0,ROW()-1,60),ROW()-1,FALSE))</f>
        <v>1.0190811319999999</v>
      </c>
      <c r="BC411">
        <f ca="1">IF(AND(ISNUMBER($BC$1075),$B$677=1),$BC$1075,HLOOKUP(INDIRECT(ADDRESS(2,COLUMN())),OFFSET($BN$2,0,0,ROW()-1,60),ROW()-1,FALSE))</f>
        <v>0.97101795899999999</v>
      </c>
      <c r="BD411">
        <f ca="1">IF(AND(ISNUMBER($BD$1075),$B$677=1),$BD$1075,HLOOKUP(INDIRECT(ADDRESS(2,COLUMN())),OFFSET($BN$2,0,0,ROW()-1,60),ROW()-1,FALSE))</f>
        <v>0.92258817699999995</v>
      </c>
      <c r="BE411">
        <f ca="1">IF(AND(ISNUMBER($BE$1075),$B$677=1),$BE$1075,HLOOKUP(INDIRECT(ADDRESS(2,COLUMN())),OFFSET($BN$2,0,0,ROW()-1,60),ROW()-1,FALSE))</f>
        <v>0.87580290299999997</v>
      </c>
      <c r="BF411">
        <f ca="1">IF(AND(ISNUMBER($BF$1075),$B$677=1),$BF$1075,HLOOKUP(INDIRECT(ADDRESS(2,COLUMN())),OFFSET($BN$2,0,0,ROW()-1,60),ROW()-1,FALSE))</f>
        <v>0.85513193099999996</v>
      </c>
      <c r="BG411">
        <f ca="1">IF(AND(ISNUMBER($BG$1075),$B$677=1),$BG$1075,HLOOKUP(INDIRECT(ADDRESS(2,COLUMN())),OFFSET($BN$2,0,0,ROW()-1,60),ROW()-1,FALSE))</f>
        <v>0.83974364700000004</v>
      </c>
      <c r="BH411">
        <f ca="1">IF(AND(ISNUMBER($BH$1075),$B$677=1),$BH$1075,HLOOKUP(INDIRECT(ADDRESS(2,COLUMN())),OFFSET($BN$2,0,0,ROW()-1,60),ROW()-1,FALSE))</f>
        <v>0.74835822100000005</v>
      </c>
      <c r="BI411">
        <f ca="1">IF(AND(ISNUMBER($BI$1075),$B$677=1),$BI$1075,HLOOKUP(INDIRECT(ADDRESS(2,COLUMN())),OFFSET($BN$2,0,0,ROW()-1,60),ROW()-1,FALSE))</f>
        <v>0.76133136999999995</v>
      </c>
      <c r="BJ411">
        <f ca="1">IF(AND(ISNUMBER($BJ$1075),$B$677=1),$BJ$1075,HLOOKUP(INDIRECT(ADDRESS(2,COLUMN())),OFFSET($BN$2,0,0,ROW()-1,60),ROW()-1,FALSE))</f>
        <v>0.94230769800000003</v>
      </c>
      <c r="BK411">
        <f ca="1">IF(AND(ISNUMBER($BK$1075),$B$677=1),$BK$1075,HLOOKUP(INDIRECT(ADDRESS(2,COLUMN())),OFFSET($BN$2,0,0,ROW()-1,60),ROW()-1,FALSE))</f>
        <v>0.83237510000000003</v>
      </c>
      <c r="BL411">
        <f ca="1">IF(AND(ISNUMBER($BL$1075),$B$677=1),$BL$1075,HLOOKUP(INDIRECT(ADDRESS(2,COLUMN())),OFFSET($BN$2,0,0,ROW()-1,60),ROW()-1,FALSE))</f>
        <v>0.99294568900000002</v>
      </c>
      <c r="BM411">
        <f ca="1">IF(AND(ISNUMBER($BM$1075),$B$677=1),$BM$1075,HLOOKUP(INDIRECT(ADDRESS(2,COLUMN())),OFFSET($BN$2,0,0,ROW()-1,60),ROW()-1,FALSE))</f>
        <v>0.98791547499999999</v>
      </c>
      <c r="BN411" t="str">
        <f>""</f>
        <v/>
      </c>
      <c r="BO411">
        <f>1.360576331</f>
        <v>1.3605763310000001</v>
      </c>
      <c r="BP411">
        <f>1.385052947</f>
        <v>1.3850529469999999</v>
      </c>
      <c r="BQ411">
        <f>1.235072818</f>
        <v>1.2350728179999999</v>
      </c>
      <c r="BR411">
        <f>1.206164497</f>
        <v>1.2061644970000001</v>
      </c>
      <c r="BS411">
        <f>1.155749182</f>
        <v>1.1557491820000001</v>
      </c>
      <c r="BT411">
        <f>1.17256522</f>
        <v>1.1725652200000001</v>
      </c>
      <c r="BU411">
        <f>1.184685675</f>
        <v>1.1846856750000001</v>
      </c>
      <c r="BV411">
        <f>1.159484938</f>
        <v>1.1594849380000001</v>
      </c>
      <c r="BW411">
        <f>1.213702192</f>
        <v>1.213702192</v>
      </c>
      <c r="BX411">
        <f>1.292794247</f>
        <v>1.292794247</v>
      </c>
      <c r="BY411">
        <f>1.271136294</f>
        <v>1.2711362939999999</v>
      </c>
      <c r="BZ411">
        <f>1.218731584</f>
        <v>1.2187315839999999</v>
      </c>
      <c r="CA411">
        <f>1.202617942</f>
        <v>1.2026179420000001</v>
      </c>
      <c r="CB411">
        <f>1.196122451</f>
        <v>1.1961224509999999</v>
      </c>
      <c r="CC411">
        <f>1.172425683</f>
        <v>1.1724256829999999</v>
      </c>
      <c r="CD411">
        <f>1.163649778</f>
        <v>1.1636497779999999</v>
      </c>
      <c r="CE411">
        <f>1.110702194</f>
        <v>1.1107021939999999</v>
      </c>
      <c r="CF411">
        <f>1.079141562</f>
        <v>1.079141562</v>
      </c>
      <c r="CG411">
        <f>1.084761825</f>
        <v>1.084761825</v>
      </c>
      <c r="CH411">
        <f>1.114054156</f>
        <v>1.1140541559999999</v>
      </c>
      <c r="CI411">
        <f>1.080214328</f>
        <v>1.0802143280000001</v>
      </c>
      <c r="CJ411">
        <f>1.066825366</f>
        <v>1.066825366</v>
      </c>
      <c r="CK411">
        <f>1.054408299</f>
        <v>1.0544082990000001</v>
      </c>
      <c r="CL411">
        <f>1.072943908</f>
        <v>1.0729439080000001</v>
      </c>
      <c r="CM411">
        <f>1.124059904</f>
        <v>1.1240599040000001</v>
      </c>
      <c r="CN411">
        <f>1.176998238</f>
        <v>1.1769982379999999</v>
      </c>
      <c r="CO411">
        <f>1.196121189</f>
        <v>1.1961211890000001</v>
      </c>
      <c r="CP411">
        <f>1.278231496</f>
        <v>1.2782314960000001</v>
      </c>
      <c r="CQ411">
        <f>1.383798986</f>
        <v>1.383798986</v>
      </c>
      <c r="CR411">
        <f>1.344371084</f>
        <v>1.344371084</v>
      </c>
      <c r="CS411">
        <f>1.235119459</f>
        <v>1.2351194590000001</v>
      </c>
      <c r="CT411">
        <f>1.132709633</f>
        <v>1.1327096329999999</v>
      </c>
      <c r="CU411">
        <f>1.164756784</f>
        <v>1.1647567839999999</v>
      </c>
      <c r="CV411">
        <f>1.191549333</f>
        <v>1.191549333</v>
      </c>
      <c r="CW411">
        <f>1.233678148</f>
        <v>1.2336781480000001</v>
      </c>
      <c r="CX411">
        <f>1.213433684</f>
        <v>1.213433684</v>
      </c>
      <c r="CY411">
        <f>1.339905508</f>
        <v>1.339905508</v>
      </c>
      <c r="CZ411">
        <f>1.471288995</f>
        <v>1.4712889950000001</v>
      </c>
      <c r="DA411">
        <f>1.652144444</f>
        <v>1.6521444439999999</v>
      </c>
      <c r="DB411">
        <f>2.643434247</f>
        <v>2.6434342470000001</v>
      </c>
      <c r="DC411">
        <f>3.126406957</f>
        <v>3.1264069569999999</v>
      </c>
      <c r="DD411">
        <f>1.624218676</f>
        <v>1.6242186759999999</v>
      </c>
      <c r="DE411">
        <f>1.343687638</f>
        <v>1.343687638</v>
      </c>
      <c r="DF411">
        <f>1.270998606</f>
        <v>1.270998606</v>
      </c>
      <c r="DG411">
        <f>1.130723912</f>
        <v>1.1307239120000001</v>
      </c>
      <c r="DH411">
        <f>1.098612893</f>
        <v>1.0986128930000001</v>
      </c>
      <c r="DI411">
        <f>1.054789606</f>
        <v>1.0547896059999999</v>
      </c>
      <c r="DJ411">
        <f>1.019081132</f>
        <v>1.0190811319999999</v>
      </c>
      <c r="DK411">
        <f>0.971017959</f>
        <v>0.97101795899999999</v>
      </c>
      <c r="DL411">
        <f>0.922588177</f>
        <v>0.92258817699999995</v>
      </c>
      <c r="DM411">
        <f>0.875802903</f>
        <v>0.87580290299999997</v>
      </c>
      <c r="DN411">
        <f>0.855131931</f>
        <v>0.85513193099999996</v>
      </c>
      <c r="DO411">
        <f>0.839743647</f>
        <v>0.83974364700000004</v>
      </c>
      <c r="DP411">
        <f>0.748358221</f>
        <v>0.74835822100000005</v>
      </c>
      <c r="DQ411">
        <f>0.76133137</f>
        <v>0.76133136999999995</v>
      </c>
      <c r="DR411">
        <f>0.942307698</f>
        <v>0.94230769800000003</v>
      </c>
      <c r="DS411">
        <f>0.8323751</f>
        <v>0.83237510000000003</v>
      </c>
      <c r="DT411">
        <f>0.992945689</f>
        <v>0.99294568900000002</v>
      </c>
      <c r="DU411">
        <f>0.987915475</f>
        <v>0.98791547499999999</v>
      </c>
    </row>
    <row r="412" spans="1:125" x14ac:dyDescent="0.25">
      <c r="A412" t="str">
        <f>"    Toyota Motor Corp"</f>
        <v xml:space="preserve">    Toyota Motor Corp</v>
      </c>
      <c r="B412" t="str">
        <f>"7203 JP Equity"</f>
        <v>7203 JP Equity</v>
      </c>
      <c r="C412" t="str">
        <f t="shared" si="27"/>
        <v>RR480</v>
      </c>
      <c r="D412" t="str">
        <f t="shared" si="28"/>
        <v>EV_TO_MKT_CAP</v>
      </c>
      <c r="E412" t="str">
        <f t="shared" si="29"/>
        <v>Dynamic</v>
      </c>
      <c r="F412" t="str">
        <f ca="1">IF(AND(ISNUMBER($F$1076),$B$677=1),$F$1076,HLOOKUP(INDIRECT(ADDRESS(2,COLUMN())),OFFSET($BN$2,0,0,ROW()-1,60),ROW()-1,FALSE))</f>
        <v/>
      </c>
      <c r="G412">
        <f ca="1">IF(AND(ISNUMBER($G$1076),$B$677=1),$G$1076,HLOOKUP(INDIRECT(ADDRESS(2,COLUMN())),OFFSET($BN$2,0,0,ROW()-1,60),ROW()-1,FALSE))</f>
        <v>1.8854644</v>
      </c>
      <c r="H412">
        <f ca="1">IF(AND(ISNUMBER($H$1076),$B$677=1),$H$1076,HLOOKUP(INDIRECT(ADDRESS(2,COLUMN())),OFFSET($BN$2,0,0,ROW()-1,60),ROW()-1,FALSE))</f>
        <v>1.7964348859999999</v>
      </c>
      <c r="I412">
        <f ca="1">IF(AND(ISNUMBER($I$1076),$B$677=1),$I$1076,HLOOKUP(INDIRECT(ADDRESS(2,COLUMN())),OFFSET($BN$2,0,0,ROW()-1,60),ROW()-1,FALSE))</f>
        <v>1.7652547190000001</v>
      </c>
      <c r="J412">
        <f ca="1">IF(AND(ISNUMBER($J$1076),$B$677=1),$J$1076,HLOOKUP(INDIRECT(ADDRESS(2,COLUMN())),OFFSET($BN$2,0,0,ROW()-1,60),ROW()-1,FALSE))</f>
        <v>1.7460930729999999</v>
      </c>
      <c r="K412">
        <f ca="1">IF(AND(ISNUMBER($K$1076),$B$677=1),$K$1076,HLOOKUP(INDIRECT(ADDRESS(2,COLUMN())),OFFSET($BN$2,0,0,ROW()-1,60),ROW()-1,FALSE))</f>
        <v>1.7430216670000001</v>
      </c>
      <c r="L412">
        <f ca="1">IF(AND(ISNUMBER($L$1076),$B$677=1),$L$1076,HLOOKUP(INDIRECT(ADDRESS(2,COLUMN())),OFFSET($BN$2,0,0,ROW()-1,60),ROW()-1,FALSE))</f>
        <v>1.769950556</v>
      </c>
      <c r="M412">
        <f ca="1">IF(AND(ISNUMBER($M$1076),$B$677=1),$M$1076,HLOOKUP(INDIRECT(ADDRESS(2,COLUMN())),OFFSET($BN$2,0,0,ROW()-1,60),ROW()-1,FALSE))</f>
        <v>1.844293014</v>
      </c>
      <c r="N412">
        <f ca="1">IF(AND(ISNUMBER($N$1076),$B$677=1),$N$1076,HLOOKUP(INDIRECT(ADDRESS(2,COLUMN())),OFFSET($BN$2,0,0,ROW()-1,60),ROW()-1,FALSE))</f>
        <v>1.8030138579999999</v>
      </c>
      <c r="O412">
        <f ca="1">IF(AND(ISNUMBER($O$1076),$B$677=1),$O$1076,HLOOKUP(INDIRECT(ADDRESS(2,COLUMN())),OFFSET($BN$2,0,0,ROW()-1,60),ROW()-1,FALSE))</f>
        <v>1.744319486</v>
      </c>
      <c r="P412">
        <f ca="1">IF(AND(ISNUMBER($P$1076),$B$677=1),$P$1076,HLOOKUP(INDIRECT(ADDRESS(2,COLUMN())),OFFSET($BN$2,0,0,ROW()-1,60),ROW()-1,FALSE))</f>
        <v>1.7290455</v>
      </c>
      <c r="Q412">
        <f ca="1">IF(AND(ISNUMBER($Q$1076),$B$677=1),$Q$1076,HLOOKUP(INDIRECT(ADDRESS(2,COLUMN())),OFFSET($BN$2,0,0,ROW()-1,60),ROW()-1,FALSE))</f>
        <v>1.8181032859999999</v>
      </c>
      <c r="R412">
        <f ca="1">IF(AND(ISNUMBER($R$1076),$B$677=1),$R$1076,HLOOKUP(INDIRECT(ADDRESS(2,COLUMN())),OFFSET($BN$2,0,0,ROW()-1,60),ROW()-1,FALSE))</f>
        <v>1.782707923</v>
      </c>
      <c r="S412">
        <f ca="1">IF(AND(ISNUMBER($S$1076),$B$677=1),$S$1076,HLOOKUP(INDIRECT(ADDRESS(2,COLUMN())),OFFSET($BN$2,0,0,ROW()-1,60),ROW()-1,FALSE))</f>
        <v>1.6823934519999999</v>
      </c>
      <c r="T412">
        <f ca="1">IF(AND(ISNUMBER($T$1076),$B$677=1),$T$1076,HLOOKUP(INDIRECT(ADDRESS(2,COLUMN())),OFFSET($BN$2,0,0,ROW()-1,60),ROW()-1,FALSE))</f>
        <v>1.70190018</v>
      </c>
      <c r="U412">
        <f ca="1">IF(AND(ISNUMBER($U$1076),$B$677=1),$U$1076,HLOOKUP(INDIRECT(ADDRESS(2,COLUMN())),OFFSET($BN$2,0,0,ROW()-1,60),ROW()-1,FALSE))</f>
        <v>1.6054499</v>
      </c>
      <c r="V412">
        <f ca="1">IF(AND(ISNUMBER($V$1076),$B$677=1),$V$1076,HLOOKUP(INDIRECT(ADDRESS(2,COLUMN())),OFFSET($BN$2,0,0,ROW()-1,60),ROW()-1,FALSE))</f>
        <v>1.5542551600000001</v>
      </c>
      <c r="W412">
        <f ca="1">IF(AND(ISNUMBER($W$1076),$B$677=1),$W$1076,HLOOKUP(INDIRECT(ADDRESS(2,COLUMN())),OFFSET($BN$2,0,0,ROW()-1,60),ROW()-1,FALSE))</f>
        <v>1.6528769969999999</v>
      </c>
      <c r="X412">
        <f ca="1">IF(AND(ISNUMBER($X$1076),$B$677=1),$X$1076,HLOOKUP(INDIRECT(ADDRESS(2,COLUMN())),OFFSET($BN$2,0,0,ROW()-1,60),ROW()-1,FALSE))</f>
        <v>1.673950534</v>
      </c>
      <c r="Y412">
        <f ca="1">IF(AND(ISNUMBER($Y$1076),$B$677=1),$Y$1076,HLOOKUP(INDIRECT(ADDRESS(2,COLUMN())),OFFSET($BN$2,0,0,ROW()-1,60),ROW()-1,FALSE))</f>
        <v>1.667082537</v>
      </c>
      <c r="Z412">
        <f ca="1">IF(AND(ISNUMBER($Z$1076),$B$677=1),$Z$1076,HLOOKUP(INDIRECT(ADDRESS(2,COLUMN())),OFFSET($BN$2,0,0,ROW()-1,60),ROW()-1,FALSE))</f>
        <v>1.6936123169999999</v>
      </c>
      <c r="AA412">
        <f ca="1">IF(AND(ISNUMBER($AA$1076),$B$677=1),$AA$1076,HLOOKUP(INDIRECT(ADDRESS(2,COLUMN())),OFFSET($BN$2,0,0,ROW()-1,60),ROW()-1,FALSE))</f>
        <v>1.6621711180000001</v>
      </c>
      <c r="AB412">
        <f ca="1">IF(AND(ISNUMBER($AB$1076),$B$677=1),$AB$1076,HLOOKUP(INDIRECT(ADDRESS(2,COLUMN())),OFFSET($BN$2,0,0,ROW()-1,60),ROW()-1,FALSE))</f>
        <v>1.602376738</v>
      </c>
      <c r="AC412">
        <f ca="1">IF(AND(ISNUMBER($AC$1076),$B$677=1),$AC$1076,HLOOKUP(INDIRECT(ADDRESS(2,COLUMN())),OFFSET($BN$2,0,0,ROW()-1,60),ROW()-1,FALSE))</f>
        <v>1.6182976549999999</v>
      </c>
      <c r="AD412">
        <f ca="1">IF(AND(ISNUMBER($AD$1076),$B$677=1),$AD$1076,HLOOKUP(INDIRECT(ADDRESS(2,COLUMN())),OFFSET($BN$2,0,0,ROW()-1,60),ROW()-1,FALSE))</f>
        <v>1.746145327</v>
      </c>
      <c r="AE412">
        <f ca="1">IF(AND(ISNUMBER($AE$1076),$B$677=1),$AE$1076,HLOOKUP(INDIRECT(ADDRESS(2,COLUMN())),OFFSET($BN$2,0,0,ROW()-1,60),ROW()-1,FALSE))</f>
        <v>1.8421651990000001</v>
      </c>
      <c r="AF412">
        <f ca="1">IF(AND(ISNUMBER($AF$1076),$B$677=1),$AF$1076,HLOOKUP(INDIRECT(ADDRESS(2,COLUMN())),OFFSET($BN$2,0,0,ROW()-1,60),ROW()-1,FALSE))</f>
        <v>1.954279485</v>
      </c>
      <c r="AG412">
        <f ca="1">IF(AND(ISNUMBER($AG$1076),$B$677=1),$AG$1076,HLOOKUP(INDIRECT(ADDRESS(2,COLUMN())),OFFSET($BN$2,0,0,ROW()-1,60),ROW()-1,FALSE))</f>
        <v>1.9092616650000001</v>
      </c>
      <c r="AH412">
        <f ca="1">IF(AND(ISNUMBER($AH$1076),$B$677=1),$AH$1076,HLOOKUP(INDIRECT(ADDRESS(2,COLUMN())),OFFSET($BN$2,0,0,ROW()-1,60),ROW()-1,FALSE))</f>
        <v>1.8474797300000001</v>
      </c>
      <c r="AI412">
        <f ca="1">IF(AND(ISNUMBER($AI$1076),$B$677=1),$AI$1076,HLOOKUP(INDIRECT(ADDRESS(2,COLUMN())),OFFSET($BN$2,0,0,ROW()-1,60),ROW()-1,FALSE))</f>
        <v>2.161942732</v>
      </c>
      <c r="AJ412">
        <f ca="1">IF(AND(ISNUMBER($AJ$1076),$B$677=1),$AJ$1076,HLOOKUP(INDIRECT(ADDRESS(2,COLUMN())),OFFSET($BN$2,0,0,ROW()-1,60),ROW()-1,FALSE))</f>
        <v>2.0561118469999999</v>
      </c>
      <c r="AK412">
        <f ca="1">IF(AND(ISNUMBER($AK$1076),$B$677=1),$AK$1076,HLOOKUP(INDIRECT(ADDRESS(2,COLUMN())),OFFSET($BN$2,0,0,ROW()-1,60),ROW()-1,FALSE))</f>
        <v>1.8974747729999999</v>
      </c>
      <c r="AL412">
        <f ca="1">IF(AND(ISNUMBER($AL$1076),$B$677=1),$AL$1076,HLOOKUP(INDIRECT(ADDRESS(2,COLUMN())),OFFSET($BN$2,0,0,ROW()-1,60),ROW()-1,FALSE))</f>
        <v>1.902337884</v>
      </c>
      <c r="AM412">
        <f ca="1">IF(AND(ISNUMBER($AM$1076),$B$677=1),$AM$1076,HLOOKUP(INDIRECT(ADDRESS(2,COLUMN())),OFFSET($BN$2,0,0,ROW()-1,60),ROW()-1,FALSE))</f>
        <v>1.9009129760000001</v>
      </c>
      <c r="AN412">
        <f ca="1">IF(AND(ISNUMBER($AN$1076),$B$677=1),$AN$1076,HLOOKUP(INDIRECT(ADDRESS(2,COLUMN())),OFFSET($BN$2,0,0,ROW()-1,60),ROW()-1,FALSE))</f>
        <v>1.9267464700000001</v>
      </c>
      <c r="AO412">
        <f ca="1">IF(AND(ISNUMBER($AO$1076),$B$677=1),$AO$1076,HLOOKUP(INDIRECT(ADDRESS(2,COLUMN())),OFFSET($BN$2,0,0,ROW()-1,60),ROW()-1,FALSE))</f>
        <v>1.910344821</v>
      </c>
      <c r="AP412">
        <f ca="1">IF(AND(ISNUMBER($AP$1076),$B$677=1),$AP$1076,HLOOKUP(INDIRECT(ADDRESS(2,COLUMN())),OFFSET($BN$2,0,0,ROW()-1,60),ROW()-1,FALSE))</f>
        <v>1.769095648</v>
      </c>
      <c r="AQ412">
        <f ca="1">IF(AND(ISNUMBER($AQ$1076),$B$677=1),$AQ$1076,HLOOKUP(INDIRECT(ADDRESS(2,COLUMN())),OFFSET($BN$2,0,0,ROW()-1,60),ROW()-1,FALSE))</f>
        <v>1.758946195</v>
      </c>
      <c r="AR412">
        <f ca="1">IF(AND(ISNUMBER($AR$1076),$B$677=1),$AR$1076,HLOOKUP(INDIRECT(ADDRESS(2,COLUMN())),OFFSET($BN$2,0,0,ROW()-1,60),ROW()-1,FALSE))</f>
        <v>1.8004035540000001</v>
      </c>
      <c r="AS412">
        <f ca="1">IF(AND(ISNUMBER($AS$1076),$B$677=1),$AS$1076,HLOOKUP(INDIRECT(ADDRESS(2,COLUMN())),OFFSET($BN$2,0,0,ROW()-1,60),ROW()-1,FALSE))</f>
        <v>1.8742571189999999</v>
      </c>
      <c r="AT412">
        <f ca="1">IF(AND(ISNUMBER($AT$1076),$B$677=1),$AT$1076,HLOOKUP(INDIRECT(ADDRESS(2,COLUMN())),OFFSET($BN$2,0,0,ROW()-1,60),ROW()-1,FALSE))</f>
        <v>2.0398046889999999</v>
      </c>
      <c r="AU412">
        <f ca="1">IF(AND(ISNUMBER($AU$1076),$B$677=1),$AU$1076,HLOOKUP(INDIRECT(ADDRESS(2,COLUMN())),OFFSET($BN$2,0,0,ROW()-1,60),ROW()-1,FALSE))</f>
        <v>2.1343562230000002</v>
      </c>
      <c r="AV412">
        <f ca="1">IF(AND(ISNUMBER($AV$1076),$B$677=1),$AV$1076,HLOOKUP(INDIRECT(ADDRESS(2,COLUMN())),OFFSET($BN$2,0,0,ROW()-1,60),ROW()-1,FALSE))</f>
        <v>1.7912873359999999</v>
      </c>
      <c r="AW412">
        <f ca="1">IF(AND(ISNUMBER($AW$1076),$B$677=1),$AW$1076,HLOOKUP(INDIRECT(ADDRESS(2,COLUMN())),OFFSET($BN$2,0,0,ROW()-1,60),ROW()-1,FALSE))</f>
        <v>1.7306426340000001</v>
      </c>
      <c r="AX412">
        <f ca="1">IF(AND(ISNUMBER($AX$1076),$B$677=1),$AX$1076,HLOOKUP(INDIRECT(ADDRESS(2,COLUMN())),OFFSET($BN$2,0,0,ROW()-1,60),ROW()-1,FALSE))</f>
        <v>1.6747555199999999</v>
      </c>
      <c r="AY412">
        <f ca="1">IF(AND(ISNUMBER($AY$1076),$B$677=1),$AY$1076,HLOOKUP(INDIRECT(ADDRESS(2,COLUMN())),OFFSET($BN$2,0,0,ROW()-1,60),ROW()-1,FALSE))</f>
        <v>1.612346614</v>
      </c>
      <c r="AZ412">
        <f ca="1">IF(AND(ISNUMBER($AZ$1076),$B$677=1),$AZ$1076,HLOOKUP(INDIRECT(ADDRESS(2,COLUMN())),OFFSET($BN$2,0,0,ROW()-1,60),ROW()-1,FALSE))</f>
        <v>1.5084444770000001</v>
      </c>
      <c r="BA412">
        <f ca="1">IF(AND(ISNUMBER($BA$1076),$B$677=1),$BA$1076,HLOOKUP(INDIRECT(ADDRESS(2,COLUMN())),OFFSET($BN$2,0,0,ROW()-1,60),ROW()-1,FALSE))</f>
        <v>1.447256737</v>
      </c>
      <c r="BB412">
        <f ca="1">IF(AND(ISNUMBER($BB$1076),$B$677=1),$BB$1076,HLOOKUP(INDIRECT(ADDRESS(2,COLUMN())),OFFSET($BN$2,0,0,ROW()-1,60),ROW()-1,FALSE))</f>
        <v>1.271902678</v>
      </c>
      <c r="BC412">
        <f ca="1">IF(AND(ISNUMBER($BC$1076),$B$677=1),$BC$1076,HLOOKUP(INDIRECT(ADDRESS(2,COLUMN())),OFFSET($BN$2,0,0,ROW()-1,60),ROW()-1,FALSE))</f>
        <v>1.414732581</v>
      </c>
      <c r="BD412">
        <f ca="1">IF(AND(ISNUMBER($BD$1076),$B$677=1),$BD$1076,HLOOKUP(INDIRECT(ADDRESS(2,COLUMN())),OFFSET($BN$2,0,0,ROW()-1,60),ROW()-1,FALSE))</f>
        <v>1.46275792</v>
      </c>
      <c r="BE412">
        <f ca="1">IF(AND(ISNUMBER($BE$1076),$B$677=1),$BE$1076,HLOOKUP(INDIRECT(ADDRESS(2,COLUMN())),OFFSET($BN$2,0,0,ROW()-1,60),ROW()-1,FALSE))</f>
        <v>1.4799756420000001</v>
      </c>
      <c r="BF412">
        <f ca="1">IF(AND(ISNUMBER($BF$1076),$B$677=1),$BF$1076,HLOOKUP(INDIRECT(ADDRESS(2,COLUMN())),OFFSET($BN$2,0,0,ROW()-1,60),ROW()-1,FALSE))</f>
        <v>1.519925894</v>
      </c>
      <c r="BG412">
        <f ca="1">IF(AND(ISNUMBER($BG$1076),$B$677=1),$BG$1076,HLOOKUP(INDIRECT(ADDRESS(2,COLUMN())),OFFSET($BN$2,0,0,ROW()-1,60),ROW()-1,FALSE))</f>
        <v>1.4360899730000001</v>
      </c>
      <c r="BH412">
        <f ca="1">IF(AND(ISNUMBER($BH$1076),$B$677=1),$BH$1076,HLOOKUP(INDIRECT(ADDRESS(2,COLUMN())),OFFSET($BN$2,0,0,ROW()-1,60),ROW()-1,FALSE))</f>
        <v>1.4655919829999999</v>
      </c>
      <c r="BI412">
        <f ca="1">IF(AND(ISNUMBER($BI$1076),$B$677=1),$BI$1076,HLOOKUP(INDIRECT(ADDRESS(2,COLUMN())),OFFSET($BN$2,0,0,ROW()-1,60),ROW()-1,FALSE))</f>
        <v>1.582438405</v>
      </c>
      <c r="BJ412">
        <f ca="1">IF(AND(ISNUMBER($BJ$1076),$B$677=1),$BJ$1076,HLOOKUP(INDIRECT(ADDRESS(2,COLUMN())),OFFSET($BN$2,0,0,ROW()-1,60),ROW()-1,FALSE))</f>
        <v>1.5339194709999999</v>
      </c>
      <c r="BK412">
        <f ca="1">IF(AND(ISNUMBER($BK$1076),$B$677=1),$BK$1076,HLOOKUP(INDIRECT(ADDRESS(2,COLUMN())),OFFSET($BN$2,0,0,ROW()-1,60),ROW()-1,FALSE))</f>
        <v>1.496683569</v>
      </c>
      <c r="BL412">
        <f ca="1">IF(AND(ISNUMBER($BL$1076),$B$677=1),$BL$1076,HLOOKUP(INDIRECT(ADDRESS(2,COLUMN())),OFFSET($BN$2,0,0,ROW()-1,60),ROW()-1,FALSE))</f>
        <v>1.470862299</v>
      </c>
      <c r="BM412">
        <f ca="1">IF(AND(ISNUMBER($BM$1076),$B$677=1),$BM$1076,HLOOKUP(INDIRECT(ADDRESS(2,COLUMN())),OFFSET($BN$2,0,0,ROW()-1,60),ROW()-1,FALSE))</f>
        <v>1.405666321</v>
      </c>
      <c r="BN412" t="str">
        <f>""</f>
        <v/>
      </c>
      <c r="BO412">
        <f>1.8854644</f>
        <v>1.8854644</v>
      </c>
      <c r="BP412">
        <f>1.796434886</f>
        <v>1.7964348859999999</v>
      </c>
      <c r="BQ412">
        <f>1.765254719</f>
        <v>1.7652547190000001</v>
      </c>
      <c r="BR412">
        <f>1.746093073</f>
        <v>1.7460930729999999</v>
      </c>
      <c r="BS412">
        <f>1.743021667</f>
        <v>1.7430216670000001</v>
      </c>
      <c r="BT412">
        <f>1.769950556</f>
        <v>1.769950556</v>
      </c>
      <c r="BU412">
        <f>1.844293014</f>
        <v>1.844293014</v>
      </c>
      <c r="BV412">
        <f>1.803013858</f>
        <v>1.8030138579999999</v>
      </c>
      <c r="BW412">
        <f>1.744319486</f>
        <v>1.744319486</v>
      </c>
      <c r="BX412">
        <f>1.7290455</f>
        <v>1.7290455</v>
      </c>
      <c r="BY412">
        <f>1.818103286</f>
        <v>1.8181032859999999</v>
      </c>
      <c r="BZ412">
        <f>1.782707923</f>
        <v>1.782707923</v>
      </c>
      <c r="CA412">
        <f>1.682393452</f>
        <v>1.6823934519999999</v>
      </c>
      <c r="CB412">
        <f>1.70190018</f>
        <v>1.70190018</v>
      </c>
      <c r="CC412">
        <f>1.6054499</f>
        <v>1.6054499</v>
      </c>
      <c r="CD412">
        <f>1.55425516</f>
        <v>1.5542551600000001</v>
      </c>
      <c r="CE412">
        <f>1.652876997</f>
        <v>1.6528769969999999</v>
      </c>
      <c r="CF412">
        <f>1.673950534</f>
        <v>1.673950534</v>
      </c>
      <c r="CG412">
        <f>1.667082537</f>
        <v>1.667082537</v>
      </c>
      <c r="CH412">
        <f>1.693612317</f>
        <v>1.6936123169999999</v>
      </c>
      <c r="CI412">
        <f>1.662171118</f>
        <v>1.6621711180000001</v>
      </c>
      <c r="CJ412">
        <f>1.602376738</f>
        <v>1.602376738</v>
      </c>
      <c r="CK412">
        <f>1.618297655</f>
        <v>1.6182976549999999</v>
      </c>
      <c r="CL412">
        <f>1.746145327</f>
        <v>1.746145327</v>
      </c>
      <c r="CM412">
        <f>1.842165199</f>
        <v>1.8421651990000001</v>
      </c>
      <c r="CN412">
        <f>1.954279485</f>
        <v>1.954279485</v>
      </c>
      <c r="CO412">
        <f>1.909261665</f>
        <v>1.9092616650000001</v>
      </c>
      <c r="CP412">
        <f>1.84747973</f>
        <v>1.8474797300000001</v>
      </c>
      <c r="CQ412">
        <f>2.161942732</f>
        <v>2.161942732</v>
      </c>
      <c r="CR412">
        <f>2.056111847</f>
        <v>2.0561118469999999</v>
      </c>
      <c r="CS412">
        <f>1.897474773</f>
        <v>1.8974747729999999</v>
      </c>
      <c r="CT412">
        <f>1.902337884</f>
        <v>1.902337884</v>
      </c>
      <c r="CU412">
        <f>1.900912976</f>
        <v>1.9009129760000001</v>
      </c>
      <c r="CV412">
        <f>1.92674647</f>
        <v>1.9267464700000001</v>
      </c>
      <c r="CW412">
        <f>1.910344821</f>
        <v>1.910344821</v>
      </c>
      <c r="CX412">
        <f>1.769095648</f>
        <v>1.769095648</v>
      </c>
      <c r="CY412">
        <f>1.758946195</f>
        <v>1.758946195</v>
      </c>
      <c r="CZ412">
        <f>1.800403554</f>
        <v>1.8004035540000001</v>
      </c>
      <c r="DA412">
        <f>1.874257119</f>
        <v>1.8742571189999999</v>
      </c>
      <c r="DB412">
        <f>2.039804689</f>
        <v>2.0398046889999999</v>
      </c>
      <c r="DC412">
        <f>2.134356223</f>
        <v>2.1343562230000002</v>
      </c>
      <c r="DD412">
        <f>1.791287336</f>
        <v>1.7912873359999999</v>
      </c>
      <c r="DE412">
        <f>1.730642634</f>
        <v>1.7306426340000001</v>
      </c>
      <c r="DF412">
        <f>1.67475552</f>
        <v>1.6747555199999999</v>
      </c>
      <c r="DG412">
        <f>1.612346614</f>
        <v>1.612346614</v>
      </c>
      <c r="DH412">
        <f>1.508444477</f>
        <v>1.5084444770000001</v>
      </c>
      <c r="DI412">
        <f>1.447256737</f>
        <v>1.447256737</v>
      </c>
      <c r="DJ412">
        <f>1.271902678</f>
        <v>1.271902678</v>
      </c>
      <c r="DK412">
        <f>1.414732581</f>
        <v>1.414732581</v>
      </c>
      <c r="DL412">
        <f>1.46275792</f>
        <v>1.46275792</v>
      </c>
      <c r="DM412">
        <f>1.479975642</f>
        <v>1.4799756420000001</v>
      </c>
      <c r="DN412">
        <f>1.519925894</f>
        <v>1.519925894</v>
      </c>
      <c r="DO412">
        <f>1.436089973</f>
        <v>1.4360899730000001</v>
      </c>
      <c r="DP412">
        <f>1.465591983</f>
        <v>1.4655919829999999</v>
      </c>
      <c r="DQ412">
        <f>1.582438405</f>
        <v>1.582438405</v>
      </c>
      <c r="DR412">
        <f>1.533919471</f>
        <v>1.5339194709999999</v>
      </c>
      <c r="DS412">
        <f>1.496683569</f>
        <v>1.496683569</v>
      </c>
      <c r="DT412">
        <f>1.470862299</f>
        <v>1.470862299</v>
      </c>
      <c r="DU412">
        <f>1.405666321</f>
        <v>1.405666321</v>
      </c>
    </row>
    <row r="413" spans="1:125" x14ac:dyDescent="0.25">
      <c r="A413" t="str">
        <f>"    Volkswagen AG"</f>
        <v xml:space="preserve">    Volkswagen AG</v>
      </c>
      <c r="B413" t="str">
        <f>"VOW GR Equity"</f>
        <v>VOW GR Equity</v>
      </c>
      <c r="C413" t="str">
        <f t="shared" si="27"/>
        <v>RR480</v>
      </c>
      <c r="D413" t="str">
        <f t="shared" si="28"/>
        <v>EV_TO_MKT_CAP</v>
      </c>
      <c r="E413" t="str">
        <f t="shared" si="29"/>
        <v>Dynamic</v>
      </c>
      <c r="F413" t="str">
        <f ca="1">IF(AND(ISNUMBER($F$1077),$B$677=1),$F$1077,HLOOKUP(INDIRECT(ADDRESS(2,COLUMN())),OFFSET($BN$2,0,0,ROW()-1,60),ROW()-1,FALSE))</f>
        <v/>
      </c>
      <c r="G413" t="str">
        <f ca="1">IF(AND(ISNUMBER($G$1077),$B$677=1),$G$1077,HLOOKUP(INDIRECT(ADDRESS(2,COLUMN())),OFFSET($BN$2,0,0,ROW()-1,60),ROW()-1,FALSE))</f>
        <v/>
      </c>
      <c r="H413">
        <f ca="1">IF(AND(ISNUMBER($H$1077),$B$677=1),$H$1077,HLOOKUP(INDIRECT(ADDRESS(2,COLUMN())),OFFSET($BN$2,0,0,ROW()-1,60),ROW()-1,FALSE))</f>
        <v>0.84570446200000005</v>
      </c>
      <c r="I413">
        <f ca="1">IF(AND(ISNUMBER($I$1077),$B$677=1),$I$1077,HLOOKUP(INDIRECT(ADDRESS(2,COLUMN())),OFFSET($BN$2,0,0,ROW()-1,60),ROW()-1,FALSE))</f>
        <v>1.004342109</v>
      </c>
      <c r="J413">
        <f ca="1">IF(AND(ISNUMBER($J$1077),$B$677=1),$J$1077,HLOOKUP(INDIRECT(ADDRESS(2,COLUMN())),OFFSET($BN$2,0,0,ROW()-1,60),ROW()-1,FALSE))</f>
        <v>0.85407966800000001</v>
      </c>
      <c r="K413">
        <f ca="1">IF(AND(ISNUMBER($K$1077),$B$677=1),$K$1077,HLOOKUP(INDIRECT(ADDRESS(2,COLUMN())),OFFSET($BN$2,0,0,ROW()-1,60),ROW()-1,FALSE))</f>
        <v>0.77621694200000002</v>
      </c>
      <c r="L413">
        <f ca="1">IF(AND(ISNUMBER($L$1077),$B$677=1),$L$1077,HLOOKUP(INDIRECT(ADDRESS(2,COLUMN())),OFFSET($BN$2,0,0,ROW()-1,60),ROW()-1,FALSE))</f>
        <v>0.83350580900000004</v>
      </c>
      <c r="M413">
        <f ca="1">IF(AND(ISNUMBER($M$1077),$B$677=1),$M$1077,HLOOKUP(INDIRECT(ADDRESS(2,COLUMN())),OFFSET($BN$2,0,0,ROW()-1,60),ROW()-1,FALSE))</f>
        <v>0.88216483199999995</v>
      </c>
      <c r="N413">
        <f ca="1">IF(AND(ISNUMBER($N$1077),$B$677=1),$N$1077,HLOOKUP(INDIRECT(ADDRESS(2,COLUMN())),OFFSET($BN$2,0,0,ROW()-1,60),ROW()-1,FALSE))</f>
        <v>1.022528291</v>
      </c>
      <c r="O413">
        <f ca="1">IF(AND(ISNUMBER($O$1077),$B$677=1),$O$1077,HLOOKUP(INDIRECT(ADDRESS(2,COLUMN())),OFFSET($BN$2,0,0,ROW()-1,60),ROW()-1,FALSE))</f>
        <v>0.61834862300000004</v>
      </c>
      <c r="P413">
        <f ca="1">IF(AND(ISNUMBER($P$1077),$B$677=1),$P$1077,HLOOKUP(INDIRECT(ADDRESS(2,COLUMN())),OFFSET($BN$2,0,0,ROW()-1,60),ROW()-1,FALSE))</f>
        <v>0.68816289200000003</v>
      </c>
      <c r="Q413">
        <f ca="1">IF(AND(ISNUMBER($Q$1077),$B$677=1),$Q$1077,HLOOKUP(INDIRECT(ADDRESS(2,COLUMN())),OFFSET($BN$2,0,0,ROW()-1,60),ROW()-1,FALSE))</f>
        <v>0.69524348199999997</v>
      </c>
      <c r="R413">
        <f ca="1">IF(AND(ISNUMBER($R$1077),$B$677=1),$R$1077,HLOOKUP(INDIRECT(ADDRESS(2,COLUMN())),OFFSET($BN$2,0,0,ROW()-1,60),ROW()-1,FALSE))</f>
        <v>0.74713966200000004</v>
      </c>
      <c r="S413">
        <f ca="1">IF(AND(ISNUMBER($S$1077),$B$677=1),$S$1077,HLOOKUP(INDIRECT(ADDRESS(2,COLUMN())),OFFSET($BN$2,0,0,ROW()-1,60),ROW()-1,FALSE))</f>
        <v>0.77594222099999999</v>
      </c>
      <c r="T413">
        <f ca="1">IF(AND(ISNUMBER($T$1077),$B$677=1),$T$1077,HLOOKUP(INDIRECT(ADDRESS(2,COLUMN())),OFFSET($BN$2,0,0,ROW()-1,60),ROW()-1,FALSE))</f>
        <v>0.64827239000000003</v>
      </c>
      <c r="U413">
        <f ca="1">IF(AND(ISNUMBER($U$1077),$B$677=1),$U$1077,HLOOKUP(INDIRECT(ADDRESS(2,COLUMN())),OFFSET($BN$2,0,0,ROW()-1,60),ROW()-1,FALSE))</f>
        <v>0.87978019600000001</v>
      </c>
      <c r="V413">
        <f ca="1">IF(AND(ISNUMBER($V$1077),$B$677=1),$V$1077,HLOOKUP(INDIRECT(ADDRESS(2,COLUMN())),OFFSET($BN$2,0,0,ROW()-1,60),ROW()-1,FALSE))</f>
        <v>0.90158817999999996</v>
      </c>
      <c r="W413">
        <f ca="1">IF(AND(ISNUMBER($W$1077),$B$677=1),$W$1077,HLOOKUP(INDIRECT(ADDRESS(2,COLUMN())),OFFSET($BN$2,0,0,ROW()-1,60),ROW()-1,FALSE))</f>
        <v>0.87675304700000001</v>
      </c>
      <c r="X413">
        <f ca="1">IF(AND(ISNUMBER($X$1077),$B$677=1),$X$1077,HLOOKUP(INDIRECT(ADDRESS(2,COLUMN())),OFFSET($BN$2,0,0,ROW()-1,60),ROW()-1,FALSE))</f>
        <v>0.87068702600000003</v>
      </c>
      <c r="Y413">
        <f ca="1">IF(AND(ISNUMBER($Y$1077),$B$677=1),$Y$1077,HLOOKUP(INDIRECT(ADDRESS(2,COLUMN())),OFFSET($BN$2,0,0,ROW()-1,60),ROW()-1,FALSE))</f>
        <v>0.91787055699999998</v>
      </c>
      <c r="Z413">
        <f ca="1">IF(AND(ISNUMBER($Z$1077),$B$677=1),$Z$1077,HLOOKUP(INDIRECT(ADDRESS(2,COLUMN())),OFFSET($BN$2,0,0,ROW()-1,60),ROW()-1,FALSE))</f>
        <v>0.89689590900000005</v>
      </c>
      <c r="AA413">
        <f ca="1">IF(AND(ISNUMBER($AA$1077),$B$677=1),$AA$1077,HLOOKUP(INDIRECT(ADDRESS(2,COLUMN())),OFFSET($BN$2,0,0,ROW()-1,60),ROW()-1,FALSE))</f>
        <v>0.88539830399999997</v>
      </c>
      <c r="AB413">
        <f ca="1">IF(AND(ISNUMBER($AB$1077),$B$677=1),$AB$1077,HLOOKUP(INDIRECT(ADDRESS(2,COLUMN())),OFFSET($BN$2,0,0,ROW()-1,60),ROW()-1,FALSE))</f>
        <v>0.86232787799999999</v>
      </c>
      <c r="AC413">
        <f ca="1">IF(AND(ISNUMBER($AC$1077),$B$677=1),$AC$1077,HLOOKUP(INDIRECT(ADDRESS(2,COLUMN())),OFFSET($BN$2,0,0,ROW()-1,60),ROW()-1,FALSE))</f>
        <v>0.89232737500000003</v>
      </c>
      <c r="AD413">
        <f ca="1">IF(AND(ISNUMBER($AD$1077),$B$677=1),$AD$1077,HLOOKUP(INDIRECT(ADDRESS(2,COLUMN())),OFFSET($BN$2,0,0,ROW()-1,60),ROW()-1,FALSE))</f>
        <v>0.93330383400000005</v>
      </c>
      <c r="AE413">
        <f ca="1">IF(AND(ISNUMBER($AE$1077),$B$677=1),$AE$1077,HLOOKUP(INDIRECT(ADDRESS(2,COLUMN())),OFFSET($BN$2,0,0,ROW()-1,60),ROW()-1,FALSE))</f>
        <v>0.94411243499999997</v>
      </c>
      <c r="AF413">
        <f ca="1">IF(AND(ISNUMBER($AF$1077),$B$677=1),$AF$1077,HLOOKUP(INDIRECT(ADDRESS(2,COLUMN())),OFFSET($BN$2,0,0,ROW()-1,60),ROW()-1,FALSE))</f>
        <v>0.95621312800000002</v>
      </c>
      <c r="AG413">
        <f ca="1">IF(AND(ISNUMBER($AG$1077),$B$677=1),$AG$1077,HLOOKUP(INDIRECT(ADDRESS(2,COLUMN())),OFFSET($BN$2,0,0,ROW()-1,60),ROW()-1,FALSE))</f>
        <v>0.83740403600000002</v>
      </c>
      <c r="AH413">
        <f ca="1">IF(AND(ISNUMBER($AH$1077),$B$677=1),$AH$1077,HLOOKUP(INDIRECT(ADDRESS(2,COLUMN())),OFFSET($BN$2,0,0,ROW()-1,60),ROW()-1,FALSE))</f>
        <v>0.84056555700000002</v>
      </c>
      <c r="AI413">
        <f ca="1">IF(AND(ISNUMBER($AI$1077),$B$677=1),$AI$1077,HLOOKUP(INDIRECT(ADDRESS(2,COLUMN())),OFFSET($BN$2,0,0,ROW()-1,60),ROW()-1,FALSE))</f>
        <v>0.80917186299999999</v>
      </c>
      <c r="AJ413">
        <f ca="1">IF(AND(ISNUMBER($AJ$1077),$B$677=1),$AJ$1077,HLOOKUP(INDIRECT(ADDRESS(2,COLUMN())),OFFSET($BN$2,0,0,ROW()-1,60),ROW()-1,FALSE))</f>
        <v>0.61931069000000005</v>
      </c>
      <c r="AK413">
        <f ca="1">IF(AND(ISNUMBER($AK$1077),$B$677=1),$AK$1077,HLOOKUP(INDIRECT(ADDRESS(2,COLUMN())),OFFSET($BN$2,0,0,ROW()-1,60),ROW()-1,FALSE))</f>
        <v>0.74618463099999999</v>
      </c>
      <c r="AL413">
        <f ca="1">IF(AND(ISNUMBER($AL$1077),$B$677=1),$AL$1077,HLOOKUP(INDIRECT(ADDRESS(2,COLUMN())),OFFSET($BN$2,0,0,ROW()-1,60),ROW()-1,FALSE))</f>
        <v>0.70054351299999995</v>
      </c>
      <c r="AM413">
        <f ca="1">IF(AND(ISNUMBER($AM$1077),$B$677=1),$AM$1077,HLOOKUP(INDIRECT(ADDRESS(2,COLUMN())),OFFSET($BN$2,0,0,ROW()-1,60),ROW()-1,FALSE))</f>
        <v>0.71146963500000004</v>
      </c>
      <c r="AN413">
        <f ca="1">IF(AND(ISNUMBER($AN$1077),$B$677=1),$AN$1077,HLOOKUP(INDIRECT(ADDRESS(2,COLUMN())),OFFSET($BN$2,0,0,ROW()-1,60),ROW()-1,FALSE))</f>
        <v>0.59840747599999999</v>
      </c>
      <c r="AO413">
        <f ca="1">IF(AND(ISNUMBER($AO$1077),$B$677=1),$AO$1077,HLOOKUP(INDIRECT(ADDRESS(2,COLUMN())),OFFSET($BN$2,0,0,ROW()-1,60),ROW()-1,FALSE))</f>
        <v>0.585319429</v>
      </c>
      <c r="AP413">
        <f ca="1">IF(AND(ISNUMBER($AP$1077),$B$677=1),$AP$1077,HLOOKUP(INDIRECT(ADDRESS(2,COLUMN())),OFFSET($BN$2,0,0,ROW()-1,60),ROW()-1,FALSE))</f>
        <v>0.68298884500000001</v>
      </c>
      <c r="AQ413">
        <f ca="1">IF(AND(ISNUMBER($AQ$1077),$B$677=1),$AQ$1077,HLOOKUP(INDIRECT(ADDRESS(2,COLUMN())),OFFSET($BN$2,0,0,ROW()-1,60),ROW()-1,FALSE))</f>
        <v>2.8852397669999998</v>
      </c>
      <c r="AR413">
        <f ca="1">IF(AND(ISNUMBER($AR$1077),$B$677=1),$AR$1077,HLOOKUP(INDIRECT(ADDRESS(2,COLUMN())),OFFSET($BN$2,0,0,ROW()-1,60),ROW()-1,FALSE))</f>
        <v>2.150556505</v>
      </c>
      <c r="AS413">
        <f ca="1">IF(AND(ISNUMBER($AS$1077),$B$677=1),$AS$1077,HLOOKUP(INDIRECT(ADDRESS(2,COLUMN())),OFFSET($BN$2,0,0,ROW()-1,60),ROW()-1,FALSE))</f>
        <v>1.5539010170000001</v>
      </c>
      <c r="AT413">
        <f ca="1">IF(AND(ISNUMBER($AT$1077),$B$677=1),$AT$1077,HLOOKUP(INDIRECT(ADDRESS(2,COLUMN())),OFFSET($BN$2,0,0,ROW()-1,60),ROW()-1,FALSE))</f>
        <v>1.6065529709999999</v>
      </c>
      <c r="AU413">
        <f ca="1">IF(AND(ISNUMBER($AU$1077),$B$677=1),$AU$1077,HLOOKUP(INDIRECT(ADDRESS(2,COLUMN())),OFFSET($BN$2,0,0,ROW()-1,60),ROW()-1,FALSE))</f>
        <v>1.729403341</v>
      </c>
      <c r="AV413">
        <f ca="1">IF(AND(ISNUMBER($AV$1077),$B$677=1),$AV$1077,HLOOKUP(INDIRECT(ADDRESS(2,COLUMN())),OFFSET($BN$2,0,0,ROW()-1,60),ROW()-1,FALSE))</f>
        <v>1.494245305</v>
      </c>
      <c r="AW413">
        <f ca="1">IF(AND(ISNUMBER($AW$1077),$B$677=1),$AW$1077,HLOOKUP(INDIRECT(ADDRESS(2,COLUMN())),OFFSET($BN$2,0,0,ROW()-1,60),ROW()-1,FALSE))</f>
        <v>1.6852105959999999</v>
      </c>
      <c r="AX413">
        <f ca="1">IF(AND(ISNUMBER($AX$1077),$B$677=1),$AX$1077,HLOOKUP(INDIRECT(ADDRESS(2,COLUMN())),OFFSET($BN$2,0,0,ROW()-1,60),ROW()-1,FALSE))</f>
        <v>1.6395057200000001</v>
      </c>
      <c r="AY413">
        <f ca="1">IF(AND(ISNUMBER($AY$1077),$B$677=1),$AY$1077,HLOOKUP(INDIRECT(ADDRESS(2,COLUMN())),OFFSET($BN$2,0,0,ROW()-1,60),ROW()-1,FALSE))</f>
        <v>1.7381894229999999</v>
      </c>
      <c r="AZ413">
        <f ca="1">IF(AND(ISNUMBER($AZ$1077),$B$677=1),$AZ$1077,HLOOKUP(INDIRECT(ADDRESS(2,COLUMN())),OFFSET($BN$2,0,0,ROW()-1,60),ROW()-1,FALSE))</f>
        <v>1.716021107</v>
      </c>
      <c r="BA413">
        <f ca="1">IF(AND(ISNUMBER($BA$1077),$B$677=1),$BA$1077,HLOOKUP(INDIRECT(ADDRESS(2,COLUMN())),OFFSET($BN$2,0,0,ROW()-1,60),ROW()-1,FALSE))</f>
        <v>2.0114849399999999</v>
      </c>
      <c r="BB413">
        <f ca="1">IF(AND(ISNUMBER($BB$1077),$B$677=1),$BB$1077,HLOOKUP(INDIRECT(ADDRESS(2,COLUMN())),OFFSET($BN$2,0,0,ROW()-1,60),ROW()-1,FALSE))</f>
        <v>2.0837802569999999</v>
      </c>
      <c r="BC413">
        <f ca="1">IF(AND(ISNUMBER($BC$1077),$B$677=1),$BC$1077,HLOOKUP(INDIRECT(ADDRESS(2,COLUMN())),OFFSET($BN$2,0,0,ROW()-1,60),ROW()-1,FALSE))</f>
        <v>2.4469376430000001</v>
      </c>
      <c r="BD413">
        <f ca="1">IF(AND(ISNUMBER($BD$1077),$B$677=1),$BD$1077,HLOOKUP(INDIRECT(ADDRESS(2,COLUMN())),OFFSET($BN$2,0,0,ROW()-1,60),ROW()-1,FALSE))</f>
        <v>2.7675078499999999</v>
      </c>
      <c r="BE413">
        <f ca="1">IF(AND(ISNUMBER($BE$1077),$B$677=1),$BE$1077,HLOOKUP(INDIRECT(ADDRESS(2,COLUMN())),OFFSET($BN$2,0,0,ROW()-1,60),ROW()-1,FALSE))</f>
        <v>3.2411807750000001</v>
      </c>
      <c r="BF413">
        <f ca="1">IF(AND(ISNUMBER($BF$1077),$B$677=1),$BF$1077,HLOOKUP(INDIRECT(ADDRESS(2,COLUMN())),OFFSET($BN$2,0,0,ROW()-1,60),ROW()-1,FALSE))</f>
        <v>3.1232231050000001</v>
      </c>
      <c r="BG413">
        <f ca="1">IF(AND(ISNUMBER($BG$1077),$B$677=1),$BG$1077,HLOOKUP(INDIRECT(ADDRESS(2,COLUMN())),OFFSET($BN$2,0,0,ROW()-1,60),ROW()-1,FALSE))</f>
        <v>3.8288216660000001</v>
      </c>
      <c r="BH413">
        <f ca="1">IF(AND(ISNUMBER($BH$1077),$B$677=1),$BH$1077,HLOOKUP(INDIRECT(ADDRESS(2,COLUMN())),OFFSET($BN$2,0,0,ROW()-1,60),ROW()-1,FALSE))</f>
        <v>3.4091125799999999</v>
      </c>
      <c r="BI413">
        <f ca="1">IF(AND(ISNUMBER($BI$1077),$B$677=1),$BI$1077,HLOOKUP(INDIRECT(ADDRESS(2,COLUMN())),OFFSET($BN$2,0,0,ROW()-1,60),ROW()-1,FALSE))</f>
        <v>4.3418863129999998</v>
      </c>
      <c r="BJ413">
        <f ca="1">IF(AND(ISNUMBER($BJ$1077),$B$677=1),$BJ$1077,HLOOKUP(INDIRECT(ADDRESS(2,COLUMN())),OFFSET($BN$2,0,0,ROW()-1,60),ROW()-1,FALSE))</f>
        <v>4.3268109250000002</v>
      </c>
      <c r="BK413">
        <f ca="1">IF(AND(ISNUMBER($BK$1077),$B$677=1),$BK$1077,HLOOKUP(INDIRECT(ADDRESS(2,COLUMN())),OFFSET($BN$2,0,0,ROW()-1,60),ROW()-1,FALSE))</f>
        <v>4.6319954169999997</v>
      </c>
      <c r="BL413" t="str">
        <f ca="1">IF(AND(ISNUMBER($BL$1077),$B$677=1),$BL$1077,HLOOKUP(INDIRECT(ADDRESS(2,COLUMN())),OFFSET($BN$2,0,0,ROW()-1,60),ROW()-1,FALSE))</f>
        <v/>
      </c>
      <c r="BM413" t="str">
        <f ca="1">IF(AND(ISNUMBER($BM$1077),$B$677=1),$BM$1077,HLOOKUP(INDIRECT(ADDRESS(2,COLUMN())),OFFSET($BN$2,0,0,ROW()-1,60),ROW()-1,FALSE))</f>
        <v/>
      </c>
      <c r="BN413" t="str">
        <f>""</f>
        <v/>
      </c>
      <c r="BO413" t="str">
        <f>""</f>
        <v/>
      </c>
      <c r="BP413">
        <f>0.845704462</f>
        <v>0.84570446200000005</v>
      </c>
      <c r="BQ413">
        <f>1.004342109</f>
        <v>1.004342109</v>
      </c>
      <c r="BR413">
        <f>0.854079668</f>
        <v>0.85407966800000001</v>
      </c>
      <c r="BS413">
        <f>0.776216942</f>
        <v>0.77621694200000002</v>
      </c>
      <c r="BT413">
        <f>0.833505809</f>
        <v>0.83350580900000004</v>
      </c>
      <c r="BU413">
        <f>0.882164832</f>
        <v>0.88216483199999995</v>
      </c>
      <c r="BV413">
        <f>1.022528291</f>
        <v>1.022528291</v>
      </c>
      <c r="BW413">
        <f>0.618348623</f>
        <v>0.61834862300000004</v>
      </c>
      <c r="BX413">
        <f>0.688162892</f>
        <v>0.68816289200000003</v>
      </c>
      <c r="BY413">
        <f>0.695243482</f>
        <v>0.69524348199999997</v>
      </c>
      <c r="BZ413">
        <f>0.747139662</f>
        <v>0.74713966200000004</v>
      </c>
      <c r="CA413">
        <f>0.775942221</f>
        <v>0.77594222099999999</v>
      </c>
      <c r="CB413">
        <f>0.64827239</f>
        <v>0.64827239000000003</v>
      </c>
      <c r="CC413">
        <f>0.879780196</f>
        <v>0.87978019600000001</v>
      </c>
      <c r="CD413">
        <f>0.90158818</f>
        <v>0.90158817999999996</v>
      </c>
      <c r="CE413">
        <f>0.876753047</f>
        <v>0.87675304700000001</v>
      </c>
      <c r="CF413">
        <f>0.870687026</f>
        <v>0.87068702600000003</v>
      </c>
      <c r="CG413">
        <f>0.917870557</f>
        <v>0.91787055699999998</v>
      </c>
      <c r="CH413">
        <f>0.896895909</f>
        <v>0.89689590900000005</v>
      </c>
      <c r="CI413">
        <f>0.885398304</f>
        <v>0.88539830399999997</v>
      </c>
      <c r="CJ413">
        <f>0.862327878</f>
        <v>0.86232787799999999</v>
      </c>
      <c r="CK413">
        <f>0.892327375</f>
        <v>0.89232737500000003</v>
      </c>
      <c r="CL413">
        <f>0.933303834</f>
        <v>0.93330383400000005</v>
      </c>
      <c r="CM413">
        <f>0.944112435</f>
        <v>0.94411243499999997</v>
      </c>
      <c r="CN413">
        <f>0.956213128</f>
        <v>0.95621312800000002</v>
      </c>
      <c r="CO413">
        <f>0.837404036</f>
        <v>0.83740403600000002</v>
      </c>
      <c r="CP413">
        <f>0.840565557</f>
        <v>0.84056555700000002</v>
      </c>
      <c r="CQ413">
        <f>0.809171863</f>
        <v>0.80917186299999999</v>
      </c>
      <c r="CR413">
        <f>0.61931069</f>
        <v>0.61931069000000005</v>
      </c>
      <c r="CS413">
        <f>0.746184631</f>
        <v>0.74618463099999999</v>
      </c>
      <c r="CT413">
        <f>0.700543513</f>
        <v>0.70054351299999995</v>
      </c>
      <c r="CU413">
        <f>0.711469635</f>
        <v>0.71146963500000004</v>
      </c>
      <c r="CV413">
        <f>0.598407476</f>
        <v>0.59840747599999999</v>
      </c>
      <c r="CW413">
        <f>0.585319429</f>
        <v>0.585319429</v>
      </c>
      <c r="CX413">
        <f>0.682988845</f>
        <v>0.68298884500000001</v>
      </c>
      <c r="CY413">
        <f>2.885239767</f>
        <v>2.8852397669999998</v>
      </c>
      <c r="CZ413">
        <f>2.150556505</f>
        <v>2.150556505</v>
      </c>
      <c r="DA413">
        <f>1.553901017</f>
        <v>1.5539010170000001</v>
      </c>
      <c r="DB413">
        <f>1.606552971</f>
        <v>1.6065529709999999</v>
      </c>
      <c r="DC413">
        <f>1.729403341</f>
        <v>1.729403341</v>
      </c>
      <c r="DD413">
        <f>1.494245305</f>
        <v>1.494245305</v>
      </c>
      <c r="DE413">
        <f>1.685210596</f>
        <v>1.6852105959999999</v>
      </c>
      <c r="DF413">
        <f>1.63950572</f>
        <v>1.6395057200000001</v>
      </c>
      <c r="DG413">
        <f>1.738189423</f>
        <v>1.7381894229999999</v>
      </c>
      <c r="DH413">
        <f>1.716021107</f>
        <v>1.716021107</v>
      </c>
      <c r="DI413">
        <f>2.01148494</f>
        <v>2.0114849399999999</v>
      </c>
      <c r="DJ413">
        <f>2.083780257</f>
        <v>2.0837802569999999</v>
      </c>
      <c r="DK413">
        <f>2.446937643</f>
        <v>2.4469376430000001</v>
      </c>
      <c r="DL413">
        <f>2.76750785</f>
        <v>2.7675078499999999</v>
      </c>
      <c r="DM413">
        <f>3.241180775</f>
        <v>3.2411807750000001</v>
      </c>
      <c r="DN413">
        <f>3.123223105</f>
        <v>3.1232231050000001</v>
      </c>
      <c r="DO413">
        <f>3.828821666</f>
        <v>3.8288216660000001</v>
      </c>
      <c r="DP413">
        <f>3.40911258</f>
        <v>3.4091125799999999</v>
      </c>
      <c r="DQ413">
        <f>4.341886313</f>
        <v>4.3418863129999998</v>
      </c>
      <c r="DR413">
        <f>4.326810925</f>
        <v>4.3268109250000002</v>
      </c>
      <c r="DS413">
        <f>4.631995417</f>
        <v>4.6319954169999997</v>
      </c>
      <c r="DT413" t="str">
        <f>""</f>
        <v/>
      </c>
      <c r="DU413" t="str">
        <f>""</f>
        <v/>
      </c>
    </row>
    <row r="414" spans="1:125" x14ac:dyDescent="0.25">
      <c r="A414" t="str">
        <f>"    Yulon Motor Co Ltd"</f>
        <v xml:space="preserve">    Yulon Motor Co Ltd</v>
      </c>
      <c r="B414" t="str">
        <f>"2201 TT Equity"</f>
        <v>2201 TT Equity</v>
      </c>
      <c r="C414" t="str">
        <f t="shared" si="27"/>
        <v>RR480</v>
      </c>
      <c r="D414" t="str">
        <f t="shared" si="28"/>
        <v>EV_TO_MKT_CAP</v>
      </c>
      <c r="E414" t="str">
        <f t="shared" si="29"/>
        <v>Dynamic</v>
      </c>
      <c r="F414" t="str">
        <f ca="1">IF(AND(ISNUMBER($F$1078),$B$677=1),$F$1078,HLOOKUP(INDIRECT(ADDRESS(2,COLUMN())),OFFSET($BN$2,0,0,ROW()-1,60),ROW()-1,FALSE))</f>
        <v/>
      </c>
      <c r="G414" t="str">
        <f ca="1">IF(AND(ISNUMBER($G$1078),$B$677=1),$G$1078,HLOOKUP(INDIRECT(ADDRESS(2,COLUMN())),OFFSET($BN$2,0,0,ROW()-1,60),ROW()-1,FALSE))</f>
        <v/>
      </c>
      <c r="H414">
        <f ca="1">IF(AND(ISNUMBER($H$1078),$B$677=1),$H$1078,HLOOKUP(INDIRECT(ADDRESS(2,COLUMN())),OFFSET($BN$2,0,0,ROW()-1,60),ROW()-1,FALSE))</f>
        <v>5.069944478</v>
      </c>
      <c r="I414">
        <f ca="1">IF(AND(ISNUMBER($I$1078),$B$677=1),$I$1078,HLOOKUP(INDIRECT(ADDRESS(2,COLUMN())),OFFSET($BN$2,0,0,ROW()-1,60),ROW()-1,FALSE))</f>
        <v>4.8240589580000002</v>
      </c>
      <c r="J414">
        <f ca="1">IF(AND(ISNUMBER($J$1078),$B$677=1),$J$1078,HLOOKUP(INDIRECT(ADDRESS(2,COLUMN())),OFFSET($BN$2,0,0,ROW()-1,60),ROW()-1,FALSE))</f>
        <v>4.2744694450000003</v>
      </c>
      <c r="K414">
        <f ca="1">IF(AND(ISNUMBER($K$1078),$B$677=1),$K$1078,HLOOKUP(INDIRECT(ADDRESS(2,COLUMN())),OFFSET($BN$2,0,0,ROW()-1,60),ROW()-1,FALSE))</f>
        <v>3.8764962770000002</v>
      </c>
      <c r="L414">
        <f ca="1">IF(AND(ISNUMBER($L$1078),$B$677=1),$L$1078,HLOOKUP(INDIRECT(ADDRESS(2,COLUMN())),OFFSET($BN$2,0,0,ROW()-1,60),ROW()-1,FALSE))</f>
        <v>3.476997458</v>
      </c>
      <c r="M414">
        <f ca="1">IF(AND(ISNUMBER($M$1078),$B$677=1),$M$1078,HLOOKUP(INDIRECT(ADDRESS(2,COLUMN())),OFFSET($BN$2,0,0,ROW()-1,60),ROW()-1,FALSE))</f>
        <v>3.182564588</v>
      </c>
      <c r="N414">
        <f ca="1">IF(AND(ISNUMBER($N$1078),$B$677=1),$N$1078,HLOOKUP(INDIRECT(ADDRESS(2,COLUMN())),OFFSET($BN$2,0,0,ROW()-1,60),ROW()-1,FALSE))</f>
        <v>2.9559399599999998</v>
      </c>
      <c r="O414">
        <f ca="1">IF(AND(ISNUMBER($O$1078),$B$677=1),$O$1078,HLOOKUP(INDIRECT(ADDRESS(2,COLUMN())),OFFSET($BN$2,0,0,ROW()-1,60),ROW()-1,FALSE))</f>
        <v>3.008252041</v>
      </c>
      <c r="P414">
        <f ca="1">IF(AND(ISNUMBER($P$1078),$B$677=1),$P$1078,HLOOKUP(INDIRECT(ADDRESS(2,COLUMN())),OFFSET($BN$2,0,0,ROW()-1,60),ROW()-1,FALSE))</f>
        <v>2.7940795180000002</v>
      </c>
      <c r="Q414">
        <f ca="1">IF(AND(ISNUMBER($Q$1078),$B$677=1),$Q$1078,HLOOKUP(INDIRECT(ADDRESS(2,COLUMN())),OFFSET($BN$2,0,0,ROW()-1,60),ROW()-1,FALSE))</f>
        <v>2.7087467749999998</v>
      </c>
      <c r="R414">
        <f ca="1">IF(AND(ISNUMBER($R$1078),$B$677=1),$R$1078,HLOOKUP(INDIRECT(ADDRESS(2,COLUMN())),OFFSET($BN$2,0,0,ROW()-1,60),ROW()-1,FALSE))</f>
        <v>2.4163945930000001</v>
      </c>
      <c r="S414">
        <f ca="1">IF(AND(ISNUMBER($S$1078),$B$677=1),$S$1078,HLOOKUP(INDIRECT(ADDRESS(2,COLUMN())),OFFSET($BN$2,0,0,ROW()-1,60),ROW()-1,FALSE))</f>
        <v>2.504050549</v>
      </c>
      <c r="T414">
        <f ca="1">IF(AND(ISNUMBER($T$1078),$B$677=1),$T$1078,HLOOKUP(INDIRECT(ADDRESS(2,COLUMN())),OFFSET($BN$2,0,0,ROW()-1,60),ROW()-1,FALSE))</f>
        <v>2.4867446310000001</v>
      </c>
      <c r="U414">
        <f ca="1">IF(AND(ISNUMBER($U$1078),$B$677=1),$U$1078,HLOOKUP(INDIRECT(ADDRESS(2,COLUMN())),OFFSET($BN$2,0,0,ROW()-1,60),ROW()-1,FALSE))</f>
        <v>2.2604910720000002</v>
      </c>
      <c r="V414">
        <f ca="1">IF(AND(ISNUMBER($V$1078),$B$677=1),$V$1078,HLOOKUP(INDIRECT(ADDRESS(2,COLUMN())),OFFSET($BN$2,0,0,ROW()-1,60),ROW()-1,FALSE))</f>
        <v>1.9934203079999999</v>
      </c>
      <c r="W414">
        <f ca="1">IF(AND(ISNUMBER($W$1078),$B$677=1),$W$1078,HLOOKUP(INDIRECT(ADDRESS(2,COLUMN())),OFFSET($BN$2,0,0,ROW()-1,60),ROW()-1,FALSE))</f>
        <v>1.9047256370000001</v>
      </c>
      <c r="X414">
        <f ca="1">IF(AND(ISNUMBER($X$1078),$B$677=1),$X$1078,HLOOKUP(INDIRECT(ADDRESS(2,COLUMN())),OFFSET($BN$2,0,0,ROW()-1,60),ROW()-1,FALSE))</f>
        <v>1.85105147</v>
      </c>
      <c r="Y414">
        <f ca="1">IF(AND(ISNUMBER($Y$1078),$B$677=1),$Y$1078,HLOOKUP(INDIRECT(ADDRESS(2,COLUMN())),OFFSET($BN$2,0,0,ROW()-1,60),ROW()-1,FALSE))</f>
        <v>1.7731071169999999</v>
      </c>
      <c r="Z414">
        <f ca="1">IF(AND(ISNUMBER($Z$1078),$B$677=1),$Z$1078,HLOOKUP(INDIRECT(ADDRESS(2,COLUMN())),OFFSET($BN$2,0,0,ROW()-1,60),ROW()-1,FALSE))</f>
        <v>1.715707281</v>
      </c>
      <c r="AA414">
        <f ca="1">IF(AND(ISNUMBER($AA$1078),$B$677=1),$AA$1078,HLOOKUP(INDIRECT(ADDRESS(2,COLUMN())),OFFSET($BN$2,0,0,ROW()-1,60),ROW()-1,FALSE))</f>
        <v>1.6434416249999999</v>
      </c>
      <c r="AB414">
        <f ca="1">IF(AND(ISNUMBER($AB$1078),$B$677=1),$AB$1078,HLOOKUP(INDIRECT(ADDRESS(2,COLUMN())),OFFSET($BN$2,0,0,ROW()-1,60),ROW()-1,FALSE))</f>
        <v>1.677931608</v>
      </c>
      <c r="AC414">
        <f ca="1">IF(AND(ISNUMBER($AC$1078),$B$677=1),$AC$1078,HLOOKUP(INDIRECT(ADDRESS(2,COLUMN())),OFFSET($BN$2,0,0,ROW()-1,60),ROW()-1,FALSE))</f>
        <v>1.6762620399999999</v>
      </c>
      <c r="AD414">
        <f ca="1">IF(AND(ISNUMBER($AD$1078),$B$677=1),$AD$1078,HLOOKUP(INDIRECT(ADDRESS(2,COLUMN())),OFFSET($BN$2,0,0,ROW()-1,60),ROW()-1,FALSE))</f>
        <v>1.5933878020000001</v>
      </c>
      <c r="AE414">
        <f ca="1">IF(AND(ISNUMBER($AE$1078),$B$677=1),$AE$1078,HLOOKUP(INDIRECT(ADDRESS(2,COLUMN())),OFFSET($BN$2,0,0,ROW()-1,60),ROW()-1,FALSE))</f>
        <v>1.5814128220000001</v>
      </c>
      <c r="AF414">
        <f ca="1">IF(AND(ISNUMBER($AF$1078),$B$677=1),$AF$1078,HLOOKUP(INDIRECT(ADDRESS(2,COLUMN())),OFFSET($BN$2,0,0,ROW()-1,60),ROW()-1,FALSE))</f>
        <v>1.5334502880000001</v>
      </c>
      <c r="AG414">
        <f ca="1">IF(AND(ISNUMBER($AG$1078),$B$677=1),$AG$1078,HLOOKUP(INDIRECT(ADDRESS(2,COLUMN())),OFFSET($BN$2,0,0,ROW()-1,60),ROW()-1,FALSE))</f>
        <v>1.587166863</v>
      </c>
      <c r="AH414">
        <f ca="1">IF(AND(ISNUMBER($AH$1078),$B$677=1),$AH$1078,HLOOKUP(INDIRECT(ADDRESS(2,COLUMN())),OFFSET($BN$2,0,0,ROW()-1,60),ROW()-1,FALSE))</f>
        <v>1.485547747</v>
      </c>
      <c r="AI414">
        <f ca="1">IF(AND(ISNUMBER($AI$1078),$B$677=1),$AI$1078,HLOOKUP(INDIRECT(ADDRESS(2,COLUMN())),OFFSET($BN$2,0,0,ROW()-1,60),ROW()-1,FALSE))</f>
        <v>1.479968935</v>
      </c>
      <c r="AJ414">
        <f ca="1">IF(AND(ISNUMBER($AJ$1078),$B$677=1),$AJ$1078,HLOOKUP(INDIRECT(ADDRESS(2,COLUMN())),OFFSET($BN$2,0,0,ROW()-1,60),ROW()-1,FALSE))</f>
        <v>1.430700935</v>
      </c>
      <c r="AK414">
        <f ca="1">IF(AND(ISNUMBER($AK$1078),$B$677=1),$AK$1078,HLOOKUP(INDIRECT(ADDRESS(2,COLUMN())),OFFSET($BN$2,0,0,ROW()-1,60),ROW()-1,FALSE))</f>
        <v>1.291703066</v>
      </c>
      <c r="AL414">
        <f ca="1">IF(AND(ISNUMBER($AL$1078),$B$677=1),$AL$1078,HLOOKUP(INDIRECT(ADDRESS(2,COLUMN())),OFFSET($BN$2,0,0,ROW()-1,60),ROW()-1,FALSE))</f>
        <v>1.356175817</v>
      </c>
      <c r="AM414">
        <f ca="1">IF(AND(ISNUMBER($AM$1078),$B$677=1),$AM$1078,HLOOKUP(INDIRECT(ADDRESS(2,COLUMN())),OFFSET($BN$2,0,0,ROW()-1,60),ROW()-1,FALSE))</f>
        <v>1.2834412909999999</v>
      </c>
      <c r="AN414">
        <f ca="1">IF(AND(ISNUMBER($AN$1078),$B$677=1),$AN$1078,HLOOKUP(INDIRECT(ADDRESS(2,COLUMN())),OFFSET($BN$2,0,0,ROW()-1,60),ROW()-1,FALSE))</f>
        <v>1.2848827869999999</v>
      </c>
      <c r="AO414">
        <f ca="1">IF(AND(ISNUMBER($AO$1078),$B$677=1),$AO$1078,HLOOKUP(INDIRECT(ADDRESS(2,COLUMN())),OFFSET($BN$2,0,0,ROW()-1,60),ROW()-1,FALSE))</f>
        <v>1.480758215</v>
      </c>
      <c r="AP414">
        <f ca="1">IF(AND(ISNUMBER($AP$1078),$B$677=1),$AP$1078,HLOOKUP(INDIRECT(ADDRESS(2,COLUMN())),OFFSET($BN$2,0,0,ROW()-1,60),ROW()-1,FALSE))</f>
        <v>1.399458493</v>
      </c>
      <c r="AQ414">
        <f ca="1">IF(AND(ISNUMBER($AQ$1078),$B$677=1),$AQ$1078,HLOOKUP(INDIRECT(ADDRESS(2,COLUMN())),OFFSET($BN$2,0,0,ROW()-1,60),ROW()-1,FALSE))</f>
        <v>1.319333656</v>
      </c>
      <c r="AR414">
        <f ca="1">IF(AND(ISNUMBER($AR$1078),$B$677=1),$AR$1078,HLOOKUP(INDIRECT(ADDRESS(2,COLUMN())),OFFSET($BN$2,0,0,ROW()-1,60),ROW()-1,FALSE))</f>
        <v>1.291113483</v>
      </c>
      <c r="AS414">
        <f ca="1">IF(AND(ISNUMBER($AS$1078),$B$677=1),$AS$1078,HLOOKUP(INDIRECT(ADDRESS(2,COLUMN())),OFFSET($BN$2,0,0,ROW()-1,60),ROW()-1,FALSE))</f>
        <v>1.3402839630000001</v>
      </c>
      <c r="AT414">
        <f ca="1">IF(AND(ISNUMBER($AT$1078),$B$677=1),$AT$1078,HLOOKUP(INDIRECT(ADDRESS(2,COLUMN())),OFFSET($BN$2,0,0,ROW()-1,60),ROW()-1,FALSE))</f>
        <v>1.6013625330000001</v>
      </c>
      <c r="AU414">
        <f ca="1">IF(AND(ISNUMBER($AU$1078),$B$677=1),$AU$1078,HLOOKUP(INDIRECT(ADDRESS(2,COLUMN())),OFFSET($BN$2,0,0,ROW()-1,60),ROW()-1,FALSE))</f>
        <v>1.7295379989999999</v>
      </c>
      <c r="AV414">
        <f ca="1">IF(AND(ISNUMBER($AV$1078),$B$677=1),$AV$1078,HLOOKUP(INDIRECT(ADDRESS(2,COLUMN())),OFFSET($BN$2,0,0,ROW()-1,60),ROW()-1,FALSE))</f>
        <v>1.7571977510000001</v>
      </c>
      <c r="AW414">
        <f ca="1">IF(AND(ISNUMBER($AW$1078),$B$677=1),$AW$1078,HLOOKUP(INDIRECT(ADDRESS(2,COLUMN())),OFFSET($BN$2,0,0,ROW()-1,60),ROW()-1,FALSE))</f>
        <v>1.411689685</v>
      </c>
      <c r="AX414">
        <f ca="1">IF(AND(ISNUMBER($AX$1078),$B$677=1),$AX$1078,HLOOKUP(INDIRECT(ADDRESS(2,COLUMN())),OFFSET($BN$2,0,0,ROW()-1,60),ROW()-1,FALSE))</f>
        <v>1.270498752</v>
      </c>
      <c r="AY414" t="str">
        <f ca="1">IF(AND(ISNUMBER($AY$1078),$B$677=1),$AY$1078,HLOOKUP(INDIRECT(ADDRESS(2,COLUMN())),OFFSET($BN$2,0,0,ROW()-1,60),ROW()-1,FALSE))</f>
        <v/>
      </c>
      <c r="AZ414" t="str">
        <f ca="1">IF(AND(ISNUMBER($AZ$1078),$B$677=1),$AZ$1078,HLOOKUP(INDIRECT(ADDRESS(2,COLUMN())),OFFSET($BN$2,0,0,ROW()-1,60),ROW()-1,FALSE))</f>
        <v/>
      </c>
      <c r="BA414" t="str">
        <f ca="1">IF(AND(ISNUMBER($BA$1078),$B$677=1),$BA$1078,HLOOKUP(INDIRECT(ADDRESS(2,COLUMN())),OFFSET($BN$2,0,0,ROW()-1,60),ROW()-1,FALSE))</f>
        <v/>
      </c>
      <c r="BB414" t="str">
        <f ca="1">IF(AND(ISNUMBER($BB$1078),$B$677=1),$BB$1078,HLOOKUP(INDIRECT(ADDRESS(2,COLUMN())),OFFSET($BN$2,0,0,ROW()-1,60),ROW()-1,FALSE))</f>
        <v/>
      </c>
      <c r="BC414" t="str">
        <f ca="1">IF(AND(ISNUMBER($BC$1078),$B$677=1),$BC$1078,HLOOKUP(INDIRECT(ADDRESS(2,COLUMN())),OFFSET($BN$2,0,0,ROW()-1,60),ROW()-1,FALSE))</f>
        <v/>
      </c>
      <c r="BD414" t="str">
        <f ca="1">IF(AND(ISNUMBER($BD$1078),$B$677=1),$BD$1078,HLOOKUP(INDIRECT(ADDRESS(2,COLUMN())),OFFSET($BN$2,0,0,ROW()-1,60),ROW()-1,FALSE))</f>
        <v/>
      </c>
      <c r="BE414" t="str">
        <f ca="1">IF(AND(ISNUMBER($BE$1078),$B$677=1),$BE$1078,HLOOKUP(INDIRECT(ADDRESS(2,COLUMN())),OFFSET($BN$2,0,0,ROW()-1,60),ROW()-1,FALSE))</f>
        <v/>
      </c>
      <c r="BF414" t="str">
        <f ca="1">IF(AND(ISNUMBER($BF$1078),$B$677=1),$BF$1078,HLOOKUP(INDIRECT(ADDRESS(2,COLUMN())),OFFSET($BN$2,0,0,ROW()-1,60),ROW()-1,FALSE))</f>
        <v/>
      </c>
      <c r="BG414" t="str">
        <f ca="1">IF(AND(ISNUMBER($BG$1078),$B$677=1),$BG$1078,HLOOKUP(INDIRECT(ADDRESS(2,COLUMN())),OFFSET($BN$2,0,0,ROW()-1,60),ROW()-1,FALSE))</f>
        <v/>
      </c>
      <c r="BH414" t="str">
        <f ca="1">IF(AND(ISNUMBER($BH$1078),$B$677=1),$BH$1078,HLOOKUP(INDIRECT(ADDRESS(2,COLUMN())),OFFSET($BN$2,0,0,ROW()-1,60),ROW()-1,FALSE))</f>
        <v/>
      </c>
      <c r="BI414" t="str">
        <f ca="1">IF(AND(ISNUMBER($BI$1078),$B$677=1),$BI$1078,HLOOKUP(INDIRECT(ADDRESS(2,COLUMN())),OFFSET($BN$2,0,0,ROW()-1,60),ROW()-1,FALSE))</f>
        <v/>
      </c>
      <c r="BJ414" t="str">
        <f ca="1">IF(AND(ISNUMBER($BJ$1078),$B$677=1),$BJ$1078,HLOOKUP(INDIRECT(ADDRESS(2,COLUMN())),OFFSET($BN$2,0,0,ROW()-1,60),ROW()-1,FALSE))</f>
        <v/>
      </c>
      <c r="BK414" t="str">
        <f ca="1">IF(AND(ISNUMBER($BK$1078),$B$677=1),$BK$1078,HLOOKUP(INDIRECT(ADDRESS(2,COLUMN())),OFFSET($BN$2,0,0,ROW()-1,60),ROW()-1,FALSE))</f>
        <v/>
      </c>
      <c r="BL414" t="str">
        <f ca="1">IF(AND(ISNUMBER($BL$1078),$B$677=1),$BL$1078,HLOOKUP(INDIRECT(ADDRESS(2,COLUMN())),OFFSET($BN$2,0,0,ROW()-1,60),ROW()-1,FALSE))</f>
        <v/>
      </c>
      <c r="BM414" t="str">
        <f ca="1">IF(AND(ISNUMBER($BM$1078),$B$677=1),$BM$1078,HLOOKUP(INDIRECT(ADDRESS(2,COLUMN())),OFFSET($BN$2,0,0,ROW()-1,60),ROW()-1,FALSE))</f>
        <v/>
      </c>
      <c r="BN414" t="str">
        <f>""</f>
        <v/>
      </c>
      <c r="BO414" t="str">
        <f>""</f>
        <v/>
      </c>
      <c r="BP414">
        <f>5.069944478</f>
        <v>5.069944478</v>
      </c>
      <c r="BQ414">
        <f>4.824058958</f>
        <v>4.8240589580000002</v>
      </c>
      <c r="BR414">
        <f>4.274469445</f>
        <v>4.2744694450000003</v>
      </c>
      <c r="BS414">
        <f>3.876496277</f>
        <v>3.8764962770000002</v>
      </c>
      <c r="BT414">
        <f>3.476997458</f>
        <v>3.476997458</v>
      </c>
      <c r="BU414">
        <f>3.182564588</f>
        <v>3.182564588</v>
      </c>
      <c r="BV414">
        <f>2.95593996</f>
        <v>2.9559399599999998</v>
      </c>
      <c r="BW414">
        <f>3.008252041</f>
        <v>3.008252041</v>
      </c>
      <c r="BX414">
        <f>2.794079518</f>
        <v>2.7940795180000002</v>
      </c>
      <c r="BY414">
        <f>2.708746775</f>
        <v>2.7087467749999998</v>
      </c>
      <c r="BZ414">
        <f>2.416394593</f>
        <v>2.4163945930000001</v>
      </c>
      <c r="CA414">
        <f>2.504050549</f>
        <v>2.504050549</v>
      </c>
      <c r="CB414">
        <f>2.486744631</f>
        <v>2.4867446310000001</v>
      </c>
      <c r="CC414">
        <f>2.260491072</f>
        <v>2.2604910720000002</v>
      </c>
      <c r="CD414">
        <f>1.993420308</f>
        <v>1.9934203079999999</v>
      </c>
      <c r="CE414">
        <f>1.904725637</f>
        <v>1.9047256370000001</v>
      </c>
      <c r="CF414">
        <f>1.85105147</f>
        <v>1.85105147</v>
      </c>
      <c r="CG414">
        <f>1.773107117</f>
        <v>1.7731071169999999</v>
      </c>
      <c r="CH414">
        <f>1.715707281</f>
        <v>1.715707281</v>
      </c>
      <c r="CI414">
        <f>1.643441625</f>
        <v>1.6434416249999999</v>
      </c>
      <c r="CJ414">
        <f>1.677931608</f>
        <v>1.677931608</v>
      </c>
      <c r="CK414">
        <f>1.67626204</f>
        <v>1.6762620399999999</v>
      </c>
      <c r="CL414">
        <f>1.593387802</f>
        <v>1.5933878020000001</v>
      </c>
      <c r="CM414">
        <f>1.581412822</f>
        <v>1.5814128220000001</v>
      </c>
      <c r="CN414">
        <f>1.533450288</f>
        <v>1.5334502880000001</v>
      </c>
      <c r="CO414">
        <f>1.587166863</f>
        <v>1.587166863</v>
      </c>
      <c r="CP414">
        <f>1.485547747</f>
        <v>1.485547747</v>
      </c>
      <c r="CQ414">
        <f>1.479968935</f>
        <v>1.479968935</v>
      </c>
      <c r="CR414">
        <f>1.430700935</f>
        <v>1.430700935</v>
      </c>
      <c r="CS414">
        <f>1.291703066</f>
        <v>1.291703066</v>
      </c>
      <c r="CT414">
        <f>1.356175817</f>
        <v>1.356175817</v>
      </c>
      <c r="CU414">
        <f>1.283441291</f>
        <v>1.2834412909999999</v>
      </c>
      <c r="CV414">
        <f>1.284882787</f>
        <v>1.2848827869999999</v>
      </c>
      <c r="CW414">
        <f>1.480758215</f>
        <v>1.480758215</v>
      </c>
      <c r="CX414">
        <f>1.399458493</f>
        <v>1.399458493</v>
      </c>
      <c r="CY414">
        <f>1.319333656</f>
        <v>1.319333656</v>
      </c>
      <c r="CZ414">
        <f>1.291113483</f>
        <v>1.291113483</v>
      </c>
      <c r="DA414">
        <f>1.340283963</f>
        <v>1.3402839630000001</v>
      </c>
      <c r="DB414">
        <f>1.601362533</f>
        <v>1.6013625330000001</v>
      </c>
      <c r="DC414">
        <f>1.729537999</f>
        <v>1.7295379989999999</v>
      </c>
      <c r="DD414">
        <f>1.757197751</f>
        <v>1.7571977510000001</v>
      </c>
      <c r="DE414">
        <f>1.411689685</f>
        <v>1.411689685</v>
      </c>
      <c r="DF414">
        <f>1.270498752</f>
        <v>1.270498752</v>
      </c>
      <c r="DG414" t="str">
        <f>""</f>
        <v/>
      </c>
      <c r="DH414" t="str">
        <f>""</f>
        <v/>
      </c>
      <c r="DI414" t="str">
        <f>""</f>
        <v/>
      </c>
      <c r="DJ414" t="str">
        <f>""</f>
        <v/>
      </c>
      <c r="DK414" t="str">
        <f>""</f>
        <v/>
      </c>
      <c r="DL414" t="str">
        <f>""</f>
        <v/>
      </c>
      <c r="DM414" t="str">
        <f>""</f>
        <v/>
      </c>
      <c r="DN414" t="str">
        <f>""</f>
        <v/>
      </c>
      <c r="DO414" t="str">
        <f>""</f>
        <v/>
      </c>
      <c r="DP414" t="str">
        <f>""</f>
        <v/>
      </c>
      <c r="DQ414" t="str">
        <f>""</f>
        <v/>
      </c>
      <c r="DR414" t="str">
        <f>""</f>
        <v/>
      </c>
      <c r="DS414" t="str">
        <f>""</f>
        <v/>
      </c>
      <c r="DT414" t="str">
        <f>""</f>
        <v/>
      </c>
      <c r="DU414" t="str">
        <f>""</f>
        <v/>
      </c>
    </row>
    <row r="415" spans="1:125" x14ac:dyDescent="0.25">
      <c r="A415" t="str">
        <f>"EV / T12M Cash Flow"</f>
        <v>EV / T12M Cash Flow</v>
      </c>
      <c r="B415" t="str">
        <f>""</f>
        <v/>
      </c>
      <c r="E415" t="str">
        <f>"Average"</f>
        <v>Average</v>
      </c>
      <c r="F415" t="str">
        <f ca="1">IF(ISERROR(IF(AVERAGE($F$416:$F$455) = 0, "", AVERAGE($F$416:$F$455))), "", (IF(AVERAGE($F$416:$F$455) = 0, "", AVERAGE($F$416:$F$455))))</f>
        <v/>
      </c>
      <c r="G415">
        <f ca="1">IF(ISERROR(IF(AVERAGE($G$416:$G$455) = 0, "", AVERAGE($G$416:$G$455))), "", (IF(AVERAGE($G$416:$G$455) = 0, "", AVERAGE($G$416:$G$455))))</f>
        <v>14.28824987346154</v>
      </c>
      <c r="H415">
        <f ca="1">IF(ISERROR(IF(AVERAGE($H$416:$H$455) = 0, "", AVERAGE($H$416:$H$455))), "", (IF(AVERAGE($H$416:$H$455) = 0, "", AVERAGE($H$416:$H$455))))</f>
        <v>14.944604007041669</v>
      </c>
      <c r="I415">
        <f ca="1">IF(ISERROR(IF(AVERAGE($I$416:$I$455) = 0, "", AVERAGE($I$416:$I$455))), "", (IF(AVERAGE($I$416:$I$455) = 0, "", AVERAGE($I$416:$I$455))))</f>
        <v>12.228509532833334</v>
      </c>
      <c r="J415">
        <f ca="1">IF(ISERROR(IF(AVERAGE($J$416:$J$455) = 0, "", AVERAGE($J$416:$J$455))), "", (IF(AVERAGE($J$416:$J$455) = 0, "", AVERAGE($J$416:$J$455))))</f>
        <v>14.750319974291671</v>
      </c>
      <c r="K415">
        <f ca="1">IF(ISERROR(IF(AVERAGE($K$416:$K$455) = 0, "", AVERAGE($K$416:$K$455))), "", (IF(AVERAGE($K$416:$K$455) = 0, "", AVERAGE($K$416:$K$455))))</f>
        <v>10.813277322999998</v>
      </c>
      <c r="L415">
        <f ca="1">IF(ISERROR(IF(AVERAGE($L$416:$L$455) = 0, "", AVERAGE($L$416:$L$455))), "", (IF(AVERAGE($L$416:$L$455) = 0, "", AVERAGE($L$416:$L$455))))</f>
        <v>9.3158207702727278</v>
      </c>
      <c r="M415">
        <f ca="1">IF(ISERROR(IF(AVERAGE($M$416:$M$455) = 0, "", AVERAGE($M$416:$M$455))), "", (IF(AVERAGE($M$416:$M$455) = 0, "", AVERAGE($M$416:$M$455))))</f>
        <v>10.356850179739132</v>
      </c>
      <c r="N415">
        <f ca="1">IF(ISERROR(IF(AVERAGE($N$416:$N$455) = 0, "", AVERAGE($N$416:$N$455))), "", (IF(AVERAGE($N$416:$N$455) = 0, "", AVERAGE($N$416:$N$455))))</f>
        <v>47.671021838999998</v>
      </c>
      <c r="O415">
        <f ca="1">IF(ISERROR(IF(AVERAGE($O$416:$O$455) = 0, "", AVERAGE($O$416:$O$455))), "", (IF(AVERAGE($O$416:$O$455) = 0, "", AVERAGE($O$416:$O$455))))</f>
        <v>12.283624021130436</v>
      </c>
      <c r="P415">
        <f ca="1">IF(ISERROR(IF(AVERAGE($P$416:$P$455) = 0, "", AVERAGE($P$416:$P$455))), "", (IF(AVERAGE($P$416:$P$455) = 0, "", AVERAGE($P$416:$P$455))))</f>
        <v>33.06609198428</v>
      </c>
      <c r="Q415">
        <f ca="1">IF(ISERROR(IF(AVERAGE($Q$416:$Q$455) = 0, "", AVERAGE($Q$416:$Q$455))), "", (IF(AVERAGE($Q$416:$Q$455) = 0, "", AVERAGE($Q$416:$Q$455))))</f>
        <v>11.947911415869566</v>
      </c>
      <c r="R415">
        <f ca="1">IF(ISERROR(IF(AVERAGE($R$416:$R$455) = 0, "", AVERAGE($R$416:$R$455))), "", (IF(AVERAGE($R$416:$R$455) = 0, "", AVERAGE($R$416:$R$455))))</f>
        <v>11.039017739400002</v>
      </c>
      <c r="S415">
        <f ca="1">IF(ISERROR(IF(AVERAGE($S$416:$S$455) = 0, "", AVERAGE($S$416:$S$455))), "", (IF(AVERAGE($S$416:$S$455) = 0, "", AVERAGE($S$416:$S$455))))</f>
        <v>31.658037876478271</v>
      </c>
      <c r="T415">
        <f ca="1">IF(ISERROR(IF(AVERAGE($T$416:$T$455) = 0, "", AVERAGE($T$416:$T$455))), "", (IF(AVERAGE($T$416:$T$455) = 0, "", AVERAGE($T$416:$T$455))))</f>
        <v>44.636191093500003</v>
      </c>
      <c r="U415">
        <f ca="1">IF(ISERROR(IF(AVERAGE($U$416:$U$455) = 0, "", AVERAGE($U$416:$U$455))), "", (IF(AVERAGE($U$416:$U$455) = 0, "", AVERAGE($U$416:$U$455))))</f>
        <v>73.789423716863624</v>
      </c>
      <c r="V415">
        <f ca="1">IF(ISERROR(IF(AVERAGE($V$416:$V$455) = 0, "", AVERAGE($V$416:$V$455))), "", (IF(AVERAGE($V$416:$V$455) = 0, "", AVERAGE($V$416:$V$455))))</f>
        <v>21.508546798913045</v>
      </c>
      <c r="W415">
        <f ca="1">IF(ISERROR(IF(AVERAGE($W$416:$W$455) = 0, "", AVERAGE($W$416:$W$455))), "", (IF(AVERAGE($W$416:$W$455) = 0, "", AVERAGE($W$416:$W$455))))</f>
        <v>15.717389455363632</v>
      </c>
      <c r="X415">
        <f ca="1">IF(ISERROR(IF(AVERAGE($X$416:$X$455) = 0, "", AVERAGE($X$416:$X$455))), "", (IF(AVERAGE($X$416:$X$455) = 0, "", AVERAGE($X$416:$X$455))))</f>
        <v>20.07010332659091</v>
      </c>
      <c r="Y415">
        <f ca="1">IF(ISERROR(IF(AVERAGE($Y$416:$Y$455) = 0, "", AVERAGE($Y$416:$Y$455))), "", (IF(AVERAGE($Y$416:$Y$455) = 0, "", AVERAGE($Y$416:$Y$455))))</f>
        <v>31.342298211681818</v>
      </c>
      <c r="Z415">
        <f ca="1">IF(ISERROR(IF(AVERAGE($Z$416:$Z$455) = 0, "", AVERAGE($Z$416:$Z$455))), "", (IF(AVERAGE($Z$416:$Z$455) = 0, "", AVERAGE($Z$416:$Z$455))))</f>
        <v>17.021185042347827</v>
      </c>
      <c r="AA415">
        <f ca="1">IF(ISERROR(IF(AVERAGE($AA$416:$AA$455) = 0, "", AVERAGE($AA$416:$AA$455))), "", (IF(AVERAGE($AA$416:$AA$455) = 0, "", AVERAGE($AA$416:$AA$455))))</f>
        <v>17.519569883079999</v>
      </c>
      <c r="AB415">
        <f ca="1">IF(ISERROR(IF(AVERAGE($AB$416:$AB$455) = 0, "", AVERAGE($AB$416:$AB$455))), "", (IF(AVERAGE($AB$416:$AB$455) = 0, "", AVERAGE($AB$416:$AB$455))))</f>
        <v>17.375261509560001</v>
      </c>
      <c r="AC415">
        <f ca="1">IF(ISERROR(IF(AVERAGE($AC$416:$AC$455) = 0, "", AVERAGE($AC$416:$AC$455))), "", (IF(AVERAGE($AC$416:$AC$455) = 0, "", AVERAGE($AC$416:$AC$455))))</f>
        <v>16.144310025423074</v>
      </c>
      <c r="AD415">
        <f ca="1">IF(ISERROR(IF(AVERAGE($AD$416:$AD$455) = 0, "", AVERAGE($AD$416:$AD$455))), "", (IF(AVERAGE($AD$416:$AD$455) = 0, "", AVERAGE($AD$416:$AD$455))))</f>
        <v>12.807447089399998</v>
      </c>
      <c r="AE415">
        <f ca="1">IF(ISERROR(IF(AVERAGE($AE$416:$AE$455) = 0, "", AVERAGE($AE$416:$AE$455))), "", (IF(AVERAGE($AE$416:$AE$455) = 0, "", AVERAGE($AE$416:$AE$455))))</f>
        <v>13.809196909500001</v>
      </c>
      <c r="AF415">
        <f ca="1">IF(ISERROR(IF(AVERAGE($AF$416:$AF$455) = 0, "", AVERAGE($AF$416:$AF$455))), "", (IF(AVERAGE($AF$416:$AF$455) = 0, "", AVERAGE($AF$416:$AF$455))))</f>
        <v>164.05902468868183</v>
      </c>
      <c r="AG415">
        <f ca="1">IF(ISERROR(IF(AVERAGE($AG$416:$AG$455) = 0, "", AVERAGE($AG$416:$AG$455))), "", (IF(AVERAGE($AG$416:$AG$455) = 0, "", AVERAGE($AG$416:$AG$455))))</f>
        <v>26.356897741421047</v>
      </c>
      <c r="AH415">
        <f ca="1">IF(ISERROR(IF(AVERAGE($AH$416:$AH$455) = 0, "", AVERAGE($AH$416:$AH$455))), "", (IF(AVERAGE($AH$416:$AH$455) = 0, "", AVERAGE($AH$416:$AH$455))))</f>
        <v>18.984096257650002</v>
      </c>
      <c r="AI415">
        <f ca="1">IF(ISERROR(IF(AVERAGE($AI$416:$AI$455) = 0, "", AVERAGE($AI$416:$AI$455))), "", (IF(AVERAGE($AI$416:$AI$455) = 0, "", AVERAGE($AI$416:$AI$455))))</f>
        <v>14.662907828578948</v>
      </c>
      <c r="AJ415">
        <f ca="1">IF(ISERROR(IF(AVERAGE($AJ$416:$AJ$455) = 0, "", AVERAGE($AJ$416:$AJ$455))), "", (IF(AVERAGE($AJ$416:$AJ$455) = 0, "", AVERAGE($AJ$416:$AJ$455))))</f>
        <v>11.742975799055554</v>
      </c>
      <c r="AK415">
        <f ca="1">IF(ISERROR(IF(AVERAGE($AK$416:$AK$455) = 0, "", AVERAGE($AK$416:$AK$455))), "", (IF(AVERAGE($AK$416:$AK$455) = 0, "", AVERAGE($AK$416:$AK$455))))</f>
        <v>87.282970560050003</v>
      </c>
      <c r="AL415">
        <f ca="1">IF(ISERROR(IF(AVERAGE($AL$416:$AL$455) = 0, "", AVERAGE($AL$416:$AL$455))), "", (IF(AVERAGE($AL$416:$AL$455) = 0, "", AVERAGE($AL$416:$AL$455))))</f>
        <v>12.424159553952382</v>
      </c>
      <c r="AM415">
        <f ca="1">IF(ISERROR(IF(AVERAGE($AM$416:$AM$455) = 0, "", AVERAGE($AM$416:$AM$455))), "", (IF(AVERAGE($AM$416:$AM$455) = 0, "", AVERAGE($AM$416:$AM$455))))</f>
        <v>152.15520782815997</v>
      </c>
      <c r="AN415">
        <f ca="1">IF(ISERROR(IF(AVERAGE($AN$416:$AN$455) = 0, "", AVERAGE($AN$416:$AN$455))), "", (IF(AVERAGE($AN$416:$AN$455) = 0, "", AVERAGE($AN$416:$AN$455))))</f>
        <v>7.6404540022727279</v>
      </c>
      <c r="AO415">
        <f ca="1">IF(ISERROR(IF(AVERAGE($AO$416:$AO$455) = 0, "", AVERAGE($AO$416:$AO$455))), "", (IF(AVERAGE($AO$416:$AO$455) = 0, "", AVERAGE($AO$416:$AO$455))))</f>
        <v>6.9905305395000008</v>
      </c>
      <c r="AP415">
        <f ca="1">IF(ISERROR(IF(AVERAGE($AP$416:$AP$455) = 0, "", AVERAGE($AP$416:$AP$455))), "", (IF(AVERAGE($AP$416:$AP$455) = 0, "", AVERAGE($AP$416:$AP$455))))</f>
        <v>7.5597604311499991</v>
      </c>
      <c r="AQ415">
        <f ca="1">IF(ISERROR(IF(AVERAGE($AQ$416:$AQ$455) = 0, "", AVERAGE($AQ$416:$AQ$455))), "", (IF(AVERAGE($AQ$416:$AQ$455) = 0, "", AVERAGE($AQ$416:$AQ$455))))</f>
        <v>9.1531382485789461</v>
      </c>
      <c r="AR415">
        <f ca="1">IF(ISERROR(IF(AVERAGE($AR$416:$AR$455) = 0, "", AVERAGE($AR$416:$AR$455))), "", (IF(AVERAGE($AR$416:$AR$455) = 0, "", AVERAGE($AR$416:$AR$455))))</f>
        <v>9.0832053081250006</v>
      </c>
      <c r="AS415">
        <f ca="1">IF(ISERROR(IF(AVERAGE($AS$416:$AS$455) = 0, "", AVERAGE($AS$416:$AS$455))), "", (IF(AVERAGE($AS$416:$AS$455) = 0, "", AVERAGE($AS$416:$AS$455))))</f>
        <v>28.442791964466668</v>
      </c>
      <c r="AT415">
        <f ca="1">IF(ISERROR(IF(AVERAGE($AT$416:$AT$455) = 0, "", AVERAGE($AT$416:$AT$455))), "", (IF(AVERAGE($AT$416:$AT$455) = 0, "", AVERAGE($AT$416:$AT$455))))</f>
        <v>12.492835956642859</v>
      </c>
      <c r="AU415">
        <f ca="1">IF(ISERROR(IF(AVERAGE($AU$416:$AU$455) = 0, "", AVERAGE($AU$416:$AU$455))), "", (IF(AVERAGE($AU$416:$AU$455) = 0, "", AVERAGE($AU$416:$AU$455))))</f>
        <v>16.237390426000001</v>
      </c>
      <c r="AV415">
        <f ca="1">IF(ISERROR(IF(AVERAGE($AV$416:$AV$455) = 0, "", AVERAGE($AV$416:$AV$455))), "", (IF(AVERAGE($AV$416:$AV$455) = 0, "", AVERAGE($AV$416:$AV$455))))</f>
        <v>7.9104876759230782</v>
      </c>
      <c r="AW415">
        <f ca="1">IF(ISERROR(IF(AVERAGE($AW$416:$AW$455) = 0, "", AVERAGE($AW$416:$AW$455))), "", (IF(AVERAGE($AW$416:$AW$455) = 0, "", AVERAGE($AW$416:$AW$455))))</f>
        <v>14.943183505285715</v>
      </c>
      <c r="AX415">
        <f ca="1">IF(ISERROR(IF(AVERAGE($AX$416:$AX$455) = 0, "", AVERAGE($AX$416:$AX$455))), "", (IF(AVERAGE($AX$416:$AX$455) = 0, "", AVERAGE($AX$416:$AX$455))))</f>
        <v>13.887765148142858</v>
      </c>
      <c r="AY415">
        <f ca="1">IF(ISERROR(IF(AVERAGE($AY$416:$AY$455) = 0, "", AVERAGE($AY$416:$AY$455))), "", (IF(AVERAGE($AY$416:$AY$455) = 0, "", AVERAGE($AY$416:$AY$455))))</f>
        <v>38.244032276214284</v>
      </c>
      <c r="AZ415">
        <f ca="1">IF(ISERROR(IF(AVERAGE($AZ$416:$AZ$455) = 0, "", AVERAGE($AZ$416:$AZ$455))), "", (IF(AVERAGE($AZ$416:$AZ$455) = 0, "", AVERAGE($AZ$416:$AZ$455))))</f>
        <v>44.160807001714282</v>
      </c>
      <c r="BA415">
        <f ca="1">IF(ISERROR(IF(AVERAGE($BA$416:$BA$455) = 0, "", AVERAGE($BA$416:$BA$455))), "", (IF(AVERAGE($BA$416:$BA$455) = 0, "", AVERAGE($BA$416:$BA$455))))</f>
        <v>14.243960120142857</v>
      </c>
      <c r="BB415">
        <f ca="1">IF(ISERROR(IF(AVERAGE($BB$416:$BB$455) = 0, "", AVERAGE($BB$416:$BB$455))), "", (IF(AVERAGE($BB$416:$BB$455) = 0, "", AVERAGE($BB$416:$BB$455))))</f>
        <v>9.5218731892857136</v>
      </c>
      <c r="BC415">
        <f ca="1">IF(ISERROR(IF(AVERAGE($BC$416:$BC$455) = 0, "", AVERAGE($BC$416:$BC$455))), "", (IF(AVERAGE($BC$416:$BC$455) = 0, "", AVERAGE($BC$416:$BC$455))))</f>
        <v>7.3881736550714274</v>
      </c>
      <c r="BD415">
        <f ca="1">IF(ISERROR(IF(AVERAGE($BD$416:$BD$455) = 0, "", AVERAGE($BD$416:$BD$455))), "", (IF(AVERAGE($BD$416:$BD$455) = 0, "", AVERAGE($BD$416:$BD$455))))</f>
        <v>9.9393593115000005</v>
      </c>
      <c r="BE415">
        <f ca="1">IF(ISERROR(IF(AVERAGE($BE$416:$BE$455) = 0, "", AVERAGE($BE$416:$BE$455))), "", (IF(AVERAGE($BE$416:$BE$455) = 0, "", AVERAGE($BE$416:$BE$455))))</f>
        <v>7.9121345715384628</v>
      </c>
      <c r="BF415">
        <f ca="1">IF(ISERROR(IF(AVERAGE($BF$416:$BF$455) = 0, "", AVERAGE($BF$416:$BF$455))), "", (IF(AVERAGE($BF$416:$BF$455) = 0, "", AVERAGE($BF$416:$BF$455))))</f>
        <v>10.441537041285716</v>
      </c>
      <c r="BG415">
        <f ca="1">IF(ISERROR(IF(AVERAGE($BG$416:$BG$455) = 0, "", AVERAGE($BG$416:$BG$455))), "", (IF(AVERAGE($BG$416:$BG$455) = 0, "", AVERAGE($BG$416:$BG$455))))</f>
        <v>7.5141499989285725</v>
      </c>
      <c r="BH415">
        <f ca="1">IF(ISERROR(IF(AVERAGE($BH$416:$BH$455) = 0, "", AVERAGE($BH$416:$BH$455))), "", (IF(AVERAGE($BH$416:$BH$455) = 0, "", AVERAGE($BH$416:$BH$455))))</f>
        <v>7.0120623560000004</v>
      </c>
      <c r="BI415">
        <f ca="1">IF(ISERROR(IF(AVERAGE($BI$416:$BI$455) = 0, "", AVERAGE($BI$416:$BI$455))), "", (IF(AVERAGE($BI$416:$BI$455) = 0, "", AVERAGE($BI$416:$BI$455))))</f>
        <v>8.570617211750001</v>
      </c>
      <c r="BJ415">
        <f ca="1">IF(ISERROR(IF(AVERAGE($BJ$416:$BJ$455) = 0, "", AVERAGE($BJ$416:$BJ$455))), "", (IF(AVERAGE($BJ$416:$BJ$455) = 0, "", AVERAGE($BJ$416:$BJ$455))))</f>
        <v>7.7820685382000008</v>
      </c>
      <c r="BK415">
        <f ca="1">IF(ISERROR(IF(AVERAGE($BK$416:$BK$455) = 0, "", AVERAGE($BK$416:$BK$455))), "", (IF(AVERAGE($BK$416:$BK$455) = 0, "", AVERAGE($BK$416:$BK$455))))</f>
        <v>22.719984307000001</v>
      </c>
      <c r="BL415">
        <f ca="1">IF(ISERROR(IF(AVERAGE($BL$416:$BL$455) = 0, "", AVERAGE($BL$416:$BL$455))), "", (IF(AVERAGE($BL$416:$BL$455) = 0, "", AVERAGE($BL$416:$BL$455))))</f>
        <v>8.2173922838333322</v>
      </c>
      <c r="BM415">
        <f ca="1">IF(ISERROR(IF(AVERAGE($BM$416:$BM$455) = 0, "", AVERAGE($BM$416:$BM$455))), "", (IF(AVERAGE($BM$416:$BM$455) = 0, "", AVERAGE($BM$416:$BM$455))))</f>
        <v>34.329920968428574</v>
      </c>
      <c r="BN415" t="str">
        <f>""</f>
        <v/>
      </c>
      <c r="BO415">
        <f>14.28824987</f>
        <v>14.28824987</v>
      </c>
      <c r="BP415">
        <f>14.94460401</f>
        <v>14.944604010000001</v>
      </c>
      <c r="BQ415">
        <f>12.22850953</f>
        <v>12.22850953</v>
      </c>
      <c r="BR415">
        <f>14.75031998</f>
        <v>14.75031998</v>
      </c>
      <c r="BS415">
        <f>10.81327732</f>
        <v>10.813277319999999</v>
      </c>
      <c r="BT415">
        <f>9.31582077</f>
        <v>9.3158207700000002</v>
      </c>
      <c r="BU415">
        <f>10.35685018</f>
        <v>10.35685018</v>
      </c>
      <c r="BV415">
        <f>47.67102184</f>
        <v>47.671021840000002</v>
      </c>
      <c r="BW415">
        <f>12.28362402</f>
        <v>12.28362402</v>
      </c>
      <c r="BX415">
        <f>33.06609198</f>
        <v>33.066091980000003</v>
      </c>
      <c r="BY415">
        <f>11.94791142</f>
        <v>11.947911420000001</v>
      </c>
      <c r="BZ415">
        <f>11.03901774</f>
        <v>11.03901774</v>
      </c>
      <c r="CA415">
        <f>31.65803788</f>
        <v>31.658037879999998</v>
      </c>
      <c r="CB415">
        <f>44.6361911</f>
        <v>44.636191099999998</v>
      </c>
      <c r="CC415">
        <f>73.78942372</f>
        <v>73.789423720000002</v>
      </c>
      <c r="CD415">
        <f>21.5085468</f>
        <v>21.508546800000001</v>
      </c>
      <c r="CE415">
        <f>15.71738946</f>
        <v>15.71738946</v>
      </c>
      <c r="CF415">
        <f>20.07010332</f>
        <v>20.070103320000001</v>
      </c>
      <c r="CG415">
        <f>31.34229821</f>
        <v>31.342298209999999</v>
      </c>
      <c r="CH415">
        <f>17.02118504</f>
        <v>17.021185039999999</v>
      </c>
      <c r="CI415">
        <f>17.51956988</f>
        <v>17.519569879999999</v>
      </c>
      <c r="CJ415">
        <f>17.37526151</f>
        <v>17.375261510000001</v>
      </c>
      <c r="CK415">
        <f>16.14431002</f>
        <v>16.144310019999999</v>
      </c>
      <c r="CL415">
        <f>12.80744709</f>
        <v>12.80744709</v>
      </c>
      <c r="CM415">
        <f>13.80919691</f>
        <v>13.809196910000001</v>
      </c>
      <c r="CN415">
        <f>164.0590247</f>
        <v>164.05902470000001</v>
      </c>
      <c r="CO415">
        <f>26.35689774</f>
        <v>26.356897740000001</v>
      </c>
      <c r="CP415">
        <f>18.98409626</f>
        <v>18.984096260000001</v>
      </c>
      <c r="CQ415">
        <f>14.66290783</f>
        <v>14.66290783</v>
      </c>
      <c r="CR415">
        <f>11.7429758</f>
        <v>11.7429758</v>
      </c>
      <c r="CS415">
        <f>87.28297055</f>
        <v>87.282970550000002</v>
      </c>
      <c r="CT415">
        <f>12.42415955</f>
        <v>12.424159550000001</v>
      </c>
      <c r="CU415">
        <f>152.1552078</f>
        <v>152.1552078</v>
      </c>
      <c r="CV415">
        <f>7.640454002</f>
        <v>7.6404540020000002</v>
      </c>
      <c r="CW415">
        <f>6.99053054</f>
        <v>6.99053054</v>
      </c>
      <c r="CX415">
        <f>7.559760431</f>
        <v>7.5597604309999999</v>
      </c>
      <c r="CY415">
        <f>9.153138249</f>
        <v>9.1531382489999995</v>
      </c>
      <c r="CZ415">
        <f>9.083205308</f>
        <v>9.0832053080000001</v>
      </c>
      <c r="DA415">
        <f>28.44279196</f>
        <v>28.442791960000001</v>
      </c>
      <c r="DB415">
        <f>12.49283596</f>
        <v>12.492835960000001</v>
      </c>
      <c r="DC415">
        <f>16.23739043</f>
        <v>16.237390430000001</v>
      </c>
      <c r="DD415">
        <f>7.910487676</f>
        <v>7.9104876759999998</v>
      </c>
      <c r="DE415">
        <f>14.94318351</f>
        <v>14.943183510000001</v>
      </c>
      <c r="DF415">
        <f>13.88776515</f>
        <v>13.88776515</v>
      </c>
      <c r="DG415">
        <f>38.24403228</f>
        <v>38.244032279999999</v>
      </c>
      <c r="DH415">
        <f>44.160807</f>
        <v>44.160806999999998</v>
      </c>
      <c r="DI415">
        <f>14.24396012</f>
        <v>14.243960120000001</v>
      </c>
      <c r="DJ415">
        <f>9.52187319</f>
        <v>9.5218731900000009</v>
      </c>
      <c r="DK415">
        <f>7.388173655</f>
        <v>7.3881736550000001</v>
      </c>
      <c r="DL415">
        <f>9.939359311</f>
        <v>9.9393593110000005</v>
      </c>
      <c r="DM415">
        <f>7.912134572</f>
        <v>7.9121345720000003</v>
      </c>
      <c r="DN415">
        <f>10.44153704</f>
        <v>10.44153704</v>
      </c>
      <c r="DO415">
        <f>7.514149999</f>
        <v>7.5141499989999998</v>
      </c>
      <c r="DP415">
        <f>7.012062356</f>
        <v>7.0120623560000004</v>
      </c>
      <c r="DQ415">
        <f>8.570617212</f>
        <v>8.5706172120000002</v>
      </c>
      <c r="DR415">
        <f>7.782068538</f>
        <v>7.7820685379999999</v>
      </c>
      <c r="DS415">
        <f>22.71998431</f>
        <v>22.719984310000001</v>
      </c>
      <c r="DT415">
        <f>8.217392284</f>
        <v>8.2173922840000007</v>
      </c>
      <c r="DU415">
        <f>34.32992097</f>
        <v>34.329920970000003</v>
      </c>
    </row>
    <row r="416" spans="1:125" x14ac:dyDescent="0.25">
      <c r="A416" t="str">
        <f>"    AUDI AG"</f>
        <v xml:space="preserve">    AUDI AG</v>
      </c>
      <c r="B416" t="str">
        <f>"NSU GR Equity"</f>
        <v>NSU GR Equity</v>
      </c>
      <c r="C416" t="str">
        <f t="shared" ref="C416:C455" si="30">"RR477"</f>
        <v>RR477</v>
      </c>
      <c r="D416" t="str">
        <f t="shared" ref="D416:D455" si="31">"EV_TO_T12M_CASH_FLOW"</f>
        <v>EV_TO_T12M_CASH_FLOW</v>
      </c>
      <c r="E416" t="str">
        <f t="shared" ref="E416:E455" si="32">"Dynamic"</f>
        <v>Dynamic</v>
      </c>
      <c r="F416" t="str">
        <f ca="1">IF(AND(ISNUMBER($F$1079),$B$677=1),$F$1079,HLOOKUP(INDIRECT(ADDRESS(2,COLUMN())),OFFSET($BN$2,0,0,ROW()-1,60),ROW()-1,FALSE))</f>
        <v/>
      </c>
      <c r="G416" t="str">
        <f ca="1">IF(AND(ISNUMBER($G$1079),$B$677=1),$G$1079,HLOOKUP(INDIRECT(ADDRESS(2,COLUMN())),OFFSET($BN$2,0,0,ROW()-1,60),ROW()-1,FALSE))</f>
        <v/>
      </c>
      <c r="H416" t="str">
        <f ca="1">IF(AND(ISNUMBER($H$1079),$B$677=1),$H$1079,HLOOKUP(INDIRECT(ADDRESS(2,COLUMN())),OFFSET($BN$2,0,0,ROW()-1,60),ROW()-1,FALSE))</f>
        <v/>
      </c>
      <c r="I416" t="str">
        <f ca="1">IF(AND(ISNUMBER($I$1079),$B$677=1),$I$1079,HLOOKUP(INDIRECT(ADDRESS(2,COLUMN())),OFFSET($BN$2,0,0,ROW()-1,60),ROW()-1,FALSE))</f>
        <v/>
      </c>
      <c r="J416" t="str">
        <f ca="1">IF(AND(ISNUMBER($J$1079),$B$677=1),$J$1079,HLOOKUP(INDIRECT(ADDRESS(2,COLUMN())),OFFSET($BN$2,0,0,ROW()-1,60),ROW()-1,FALSE))</f>
        <v/>
      </c>
      <c r="K416" t="str">
        <f ca="1">IF(AND(ISNUMBER($K$1079),$B$677=1),$K$1079,HLOOKUP(INDIRECT(ADDRESS(2,COLUMN())),OFFSET($BN$2,0,0,ROW()-1,60),ROW()-1,FALSE))</f>
        <v/>
      </c>
      <c r="L416" t="str">
        <f ca="1">IF(AND(ISNUMBER($L$1079),$B$677=1),$L$1079,HLOOKUP(INDIRECT(ADDRESS(2,COLUMN())),OFFSET($BN$2,0,0,ROW()-1,60),ROW()-1,FALSE))</f>
        <v/>
      </c>
      <c r="M416" t="str">
        <f ca="1">IF(AND(ISNUMBER($M$1079),$B$677=1),$M$1079,HLOOKUP(INDIRECT(ADDRESS(2,COLUMN())),OFFSET($BN$2,0,0,ROW()-1,60),ROW()-1,FALSE))</f>
        <v/>
      </c>
      <c r="N416" t="str">
        <f ca="1">IF(AND(ISNUMBER($N$1079),$B$677=1),$N$1079,HLOOKUP(INDIRECT(ADDRESS(2,COLUMN())),OFFSET($BN$2,0,0,ROW()-1,60),ROW()-1,FALSE))</f>
        <v/>
      </c>
      <c r="O416" t="str">
        <f ca="1">IF(AND(ISNUMBER($O$1079),$B$677=1),$O$1079,HLOOKUP(INDIRECT(ADDRESS(2,COLUMN())),OFFSET($BN$2,0,0,ROW()-1,60),ROW()-1,FALSE))</f>
        <v/>
      </c>
      <c r="P416" t="str">
        <f ca="1">IF(AND(ISNUMBER($P$1079),$B$677=1),$P$1079,HLOOKUP(INDIRECT(ADDRESS(2,COLUMN())),OFFSET($BN$2,0,0,ROW()-1,60),ROW()-1,FALSE))</f>
        <v/>
      </c>
      <c r="Q416" t="str">
        <f ca="1">IF(AND(ISNUMBER($Q$1079),$B$677=1),$Q$1079,HLOOKUP(INDIRECT(ADDRESS(2,COLUMN())),OFFSET($BN$2,0,0,ROW()-1,60),ROW()-1,FALSE))</f>
        <v/>
      </c>
      <c r="R416" t="str">
        <f ca="1">IF(AND(ISNUMBER($R$1079),$B$677=1),$R$1079,HLOOKUP(INDIRECT(ADDRESS(2,COLUMN())),OFFSET($BN$2,0,0,ROW()-1,60),ROW()-1,FALSE))</f>
        <v/>
      </c>
      <c r="S416" t="str">
        <f ca="1">IF(AND(ISNUMBER($S$1079),$B$677=1),$S$1079,HLOOKUP(INDIRECT(ADDRESS(2,COLUMN())),OFFSET($BN$2,0,0,ROW()-1,60),ROW()-1,FALSE))</f>
        <v/>
      </c>
      <c r="T416" t="str">
        <f ca="1">IF(AND(ISNUMBER($T$1079),$B$677=1),$T$1079,HLOOKUP(INDIRECT(ADDRESS(2,COLUMN())),OFFSET($BN$2,0,0,ROW()-1,60),ROW()-1,FALSE))</f>
        <v/>
      </c>
      <c r="U416" t="str">
        <f ca="1">IF(AND(ISNUMBER($U$1079),$B$677=1),$U$1079,HLOOKUP(INDIRECT(ADDRESS(2,COLUMN())),OFFSET($BN$2,0,0,ROW()-1,60),ROW()-1,FALSE))</f>
        <v/>
      </c>
      <c r="V416" t="str">
        <f ca="1">IF(AND(ISNUMBER($V$1079),$B$677=1),$V$1079,HLOOKUP(INDIRECT(ADDRESS(2,COLUMN())),OFFSET($BN$2,0,0,ROW()-1,60),ROW()-1,FALSE))</f>
        <v/>
      </c>
      <c r="W416" t="str">
        <f ca="1">IF(AND(ISNUMBER($W$1079),$B$677=1),$W$1079,HLOOKUP(INDIRECT(ADDRESS(2,COLUMN())),OFFSET($BN$2,0,0,ROW()-1,60),ROW()-1,FALSE))</f>
        <v/>
      </c>
      <c r="X416" t="str">
        <f ca="1">IF(AND(ISNUMBER($X$1079),$B$677=1),$X$1079,HLOOKUP(INDIRECT(ADDRESS(2,COLUMN())),OFFSET($BN$2,0,0,ROW()-1,60),ROW()-1,FALSE))</f>
        <v/>
      </c>
      <c r="Y416" t="str">
        <f ca="1">IF(AND(ISNUMBER($Y$1079),$B$677=1),$Y$1079,HLOOKUP(INDIRECT(ADDRESS(2,COLUMN())),OFFSET($BN$2,0,0,ROW()-1,60),ROW()-1,FALSE))</f>
        <v/>
      </c>
      <c r="Z416" t="str">
        <f ca="1">IF(AND(ISNUMBER($Z$1079),$B$677=1),$Z$1079,HLOOKUP(INDIRECT(ADDRESS(2,COLUMN())),OFFSET($BN$2,0,0,ROW()-1,60),ROW()-1,FALSE))</f>
        <v/>
      </c>
      <c r="AA416" t="str">
        <f ca="1">IF(AND(ISNUMBER($AA$1079),$B$677=1),$AA$1079,HLOOKUP(INDIRECT(ADDRESS(2,COLUMN())),OFFSET($BN$2,0,0,ROW()-1,60),ROW()-1,FALSE))</f>
        <v/>
      </c>
      <c r="AB416" t="str">
        <f ca="1">IF(AND(ISNUMBER($AB$1079),$B$677=1),$AB$1079,HLOOKUP(INDIRECT(ADDRESS(2,COLUMN())),OFFSET($BN$2,0,0,ROW()-1,60),ROW()-1,FALSE))</f>
        <v/>
      </c>
      <c r="AC416" t="str">
        <f ca="1">IF(AND(ISNUMBER($AC$1079),$B$677=1),$AC$1079,HLOOKUP(INDIRECT(ADDRESS(2,COLUMN())),OFFSET($BN$2,0,0,ROW()-1,60),ROW()-1,FALSE))</f>
        <v/>
      </c>
      <c r="AD416" t="str">
        <f ca="1">IF(AND(ISNUMBER($AD$1079),$B$677=1),$AD$1079,HLOOKUP(INDIRECT(ADDRESS(2,COLUMN())),OFFSET($BN$2,0,0,ROW()-1,60),ROW()-1,FALSE))</f>
        <v/>
      </c>
      <c r="AE416" t="str">
        <f ca="1">IF(AND(ISNUMBER($AE$1079),$B$677=1),$AE$1079,HLOOKUP(INDIRECT(ADDRESS(2,COLUMN())),OFFSET($BN$2,0,0,ROW()-1,60),ROW()-1,FALSE))</f>
        <v/>
      </c>
      <c r="AF416" t="str">
        <f ca="1">IF(AND(ISNUMBER($AF$1079),$B$677=1),$AF$1079,HLOOKUP(INDIRECT(ADDRESS(2,COLUMN())),OFFSET($BN$2,0,0,ROW()-1,60),ROW()-1,FALSE))</f>
        <v/>
      </c>
      <c r="AG416" t="str">
        <f ca="1">IF(AND(ISNUMBER($AG$1079),$B$677=1),$AG$1079,HLOOKUP(INDIRECT(ADDRESS(2,COLUMN())),OFFSET($BN$2,0,0,ROW()-1,60),ROW()-1,FALSE))</f>
        <v/>
      </c>
      <c r="AH416" t="str">
        <f ca="1">IF(AND(ISNUMBER($AH$1079),$B$677=1),$AH$1079,HLOOKUP(INDIRECT(ADDRESS(2,COLUMN())),OFFSET($BN$2,0,0,ROW()-1,60),ROW()-1,FALSE))</f>
        <v/>
      </c>
      <c r="AI416" t="str">
        <f ca="1">IF(AND(ISNUMBER($AI$1079),$B$677=1),$AI$1079,HLOOKUP(INDIRECT(ADDRESS(2,COLUMN())),OFFSET($BN$2,0,0,ROW()-1,60),ROW()-1,FALSE))</f>
        <v/>
      </c>
      <c r="AJ416" t="str">
        <f ca="1">IF(AND(ISNUMBER($AJ$1079),$B$677=1),$AJ$1079,HLOOKUP(INDIRECT(ADDRESS(2,COLUMN())),OFFSET($BN$2,0,0,ROW()-1,60),ROW()-1,FALSE))</f>
        <v/>
      </c>
      <c r="AK416" t="str">
        <f ca="1">IF(AND(ISNUMBER($AK$1079),$B$677=1),$AK$1079,HLOOKUP(INDIRECT(ADDRESS(2,COLUMN())),OFFSET($BN$2,0,0,ROW()-1,60),ROW()-1,FALSE))</f>
        <v/>
      </c>
      <c r="AL416" t="str">
        <f ca="1">IF(AND(ISNUMBER($AL$1079),$B$677=1),$AL$1079,HLOOKUP(INDIRECT(ADDRESS(2,COLUMN())),OFFSET($BN$2,0,0,ROW()-1,60),ROW()-1,FALSE))</f>
        <v/>
      </c>
      <c r="AM416" t="str">
        <f ca="1">IF(AND(ISNUMBER($AM$1079),$B$677=1),$AM$1079,HLOOKUP(INDIRECT(ADDRESS(2,COLUMN())),OFFSET($BN$2,0,0,ROW()-1,60),ROW()-1,FALSE))</f>
        <v/>
      </c>
      <c r="AN416" t="str">
        <f ca="1">IF(AND(ISNUMBER($AN$1079),$B$677=1),$AN$1079,HLOOKUP(INDIRECT(ADDRESS(2,COLUMN())),OFFSET($BN$2,0,0,ROW()-1,60),ROW()-1,FALSE))</f>
        <v/>
      </c>
      <c r="AO416" t="str">
        <f ca="1">IF(AND(ISNUMBER($AO$1079),$B$677=1),$AO$1079,HLOOKUP(INDIRECT(ADDRESS(2,COLUMN())),OFFSET($BN$2,0,0,ROW()-1,60),ROW()-1,FALSE))</f>
        <v/>
      </c>
      <c r="AP416" t="str">
        <f ca="1">IF(AND(ISNUMBER($AP$1079),$B$677=1),$AP$1079,HLOOKUP(INDIRECT(ADDRESS(2,COLUMN())),OFFSET($BN$2,0,0,ROW()-1,60),ROW()-1,FALSE))</f>
        <v/>
      </c>
      <c r="AQ416" t="str">
        <f ca="1">IF(AND(ISNUMBER($AQ$1079),$B$677=1),$AQ$1079,HLOOKUP(INDIRECT(ADDRESS(2,COLUMN())),OFFSET($BN$2,0,0,ROW()-1,60),ROW()-1,FALSE))</f>
        <v/>
      </c>
      <c r="AR416" t="str">
        <f ca="1">IF(AND(ISNUMBER($AR$1079),$B$677=1),$AR$1079,HLOOKUP(INDIRECT(ADDRESS(2,COLUMN())),OFFSET($BN$2,0,0,ROW()-1,60),ROW()-1,FALSE))</f>
        <v/>
      </c>
      <c r="AS416" t="str">
        <f ca="1">IF(AND(ISNUMBER($AS$1079),$B$677=1),$AS$1079,HLOOKUP(INDIRECT(ADDRESS(2,COLUMN())),OFFSET($BN$2,0,0,ROW()-1,60),ROW()-1,FALSE))</f>
        <v/>
      </c>
      <c r="AT416" t="str">
        <f ca="1">IF(AND(ISNUMBER($AT$1079),$B$677=1),$AT$1079,HLOOKUP(INDIRECT(ADDRESS(2,COLUMN())),OFFSET($BN$2,0,0,ROW()-1,60),ROW()-1,FALSE))</f>
        <v/>
      </c>
      <c r="AU416" t="str">
        <f ca="1">IF(AND(ISNUMBER($AU$1079),$B$677=1),$AU$1079,HLOOKUP(INDIRECT(ADDRESS(2,COLUMN())),OFFSET($BN$2,0,0,ROW()-1,60),ROW()-1,FALSE))</f>
        <v/>
      </c>
      <c r="AV416" t="str">
        <f ca="1">IF(AND(ISNUMBER($AV$1079),$B$677=1),$AV$1079,HLOOKUP(INDIRECT(ADDRESS(2,COLUMN())),OFFSET($BN$2,0,0,ROW()-1,60),ROW()-1,FALSE))</f>
        <v/>
      </c>
      <c r="AW416" t="str">
        <f ca="1">IF(AND(ISNUMBER($AW$1079),$B$677=1),$AW$1079,HLOOKUP(INDIRECT(ADDRESS(2,COLUMN())),OFFSET($BN$2,0,0,ROW()-1,60),ROW()-1,FALSE))</f>
        <v/>
      </c>
      <c r="AX416" t="str">
        <f ca="1">IF(AND(ISNUMBER($AX$1079),$B$677=1),$AX$1079,HLOOKUP(INDIRECT(ADDRESS(2,COLUMN())),OFFSET($BN$2,0,0,ROW()-1,60),ROW()-1,FALSE))</f>
        <v/>
      </c>
      <c r="AY416" t="str">
        <f ca="1">IF(AND(ISNUMBER($AY$1079),$B$677=1),$AY$1079,HLOOKUP(INDIRECT(ADDRESS(2,COLUMN())),OFFSET($BN$2,0,0,ROW()-1,60),ROW()-1,FALSE))</f>
        <v/>
      </c>
      <c r="AZ416" t="str">
        <f ca="1">IF(AND(ISNUMBER($AZ$1079),$B$677=1),$AZ$1079,HLOOKUP(INDIRECT(ADDRESS(2,COLUMN())),OFFSET($BN$2,0,0,ROW()-1,60),ROW()-1,FALSE))</f>
        <v/>
      </c>
      <c r="BA416" t="str">
        <f ca="1">IF(AND(ISNUMBER($BA$1079),$B$677=1),$BA$1079,HLOOKUP(INDIRECT(ADDRESS(2,COLUMN())),OFFSET($BN$2,0,0,ROW()-1,60),ROW()-1,FALSE))</f>
        <v/>
      </c>
      <c r="BB416" t="str">
        <f ca="1">IF(AND(ISNUMBER($BB$1079),$B$677=1),$BB$1079,HLOOKUP(INDIRECT(ADDRESS(2,COLUMN())),OFFSET($BN$2,0,0,ROW()-1,60),ROW()-1,FALSE))</f>
        <v/>
      </c>
      <c r="BC416" t="str">
        <f ca="1">IF(AND(ISNUMBER($BC$1079),$B$677=1),$BC$1079,HLOOKUP(INDIRECT(ADDRESS(2,COLUMN())),OFFSET($BN$2,0,0,ROW()-1,60),ROW()-1,FALSE))</f>
        <v/>
      </c>
      <c r="BD416" t="str">
        <f ca="1">IF(AND(ISNUMBER($BD$1079),$B$677=1),$BD$1079,HLOOKUP(INDIRECT(ADDRESS(2,COLUMN())),OFFSET($BN$2,0,0,ROW()-1,60),ROW()-1,FALSE))</f>
        <v/>
      </c>
      <c r="BE416" t="str">
        <f ca="1">IF(AND(ISNUMBER($BE$1079),$B$677=1),$BE$1079,HLOOKUP(INDIRECT(ADDRESS(2,COLUMN())),OFFSET($BN$2,0,0,ROW()-1,60),ROW()-1,FALSE))</f>
        <v/>
      </c>
      <c r="BF416" t="str">
        <f ca="1">IF(AND(ISNUMBER($BF$1079),$B$677=1),$BF$1079,HLOOKUP(INDIRECT(ADDRESS(2,COLUMN())),OFFSET($BN$2,0,0,ROW()-1,60),ROW()-1,FALSE))</f>
        <v/>
      </c>
      <c r="BG416" t="str">
        <f ca="1">IF(AND(ISNUMBER($BG$1079),$B$677=1),$BG$1079,HLOOKUP(INDIRECT(ADDRESS(2,COLUMN())),OFFSET($BN$2,0,0,ROW()-1,60),ROW()-1,FALSE))</f>
        <v/>
      </c>
      <c r="BH416" t="str">
        <f ca="1">IF(AND(ISNUMBER($BH$1079),$B$677=1),$BH$1079,HLOOKUP(INDIRECT(ADDRESS(2,COLUMN())),OFFSET($BN$2,0,0,ROW()-1,60),ROW()-1,FALSE))</f>
        <v/>
      </c>
      <c r="BI416" t="str">
        <f ca="1">IF(AND(ISNUMBER($BI$1079),$B$677=1),$BI$1079,HLOOKUP(INDIRECT(ADDRESS(2,COLUMN())),OFFSET($BN$2,0,0,ROW()-1,60),ROW()-1,FALSE))</f>
        <v/>
      </c>
      <c r="BJ416" t="str">
        <f ca="1">IF(AND(ISNUMBER($BJ$1079),$B$677=1),$BJ$1079,HLOOKUP(INDIRECT(ADDRESS(2,COLUMN())),OFFSET($BN$2,0,0,ROW()-1,60),ROW()-1,FALSE))</f>
        <v/>
      </c>
      <c r="BK416" t="str">
        <f ca="1">IF(AND(ISNUMBER($BK$1079),$B$677=1),$BK$1079,HLOOKUP(INDIRECT(ADDRESS(2,COLUMN())),OFFSET($BN$2,0,0,ROW()-1,60),ROW()-1,FALSE))</f>
        <v/>
      </c>
      <c r="BL416" t="str">
        <f ca="1">IF(AND(ISNUMBER($BL$1079),$B$677=1),$BL$1079,HLOOKUP(INDIRECT(ADDRESS(2,COLUMN())),OFFSET($BN$2,0,0,ROW()-1,60),ROW()-1,FALSE))</f>
        <v/>
      </c>
      <c r="BM416" t="str">
        <f ca="1">IF(AND(ISNUMBER($BM$1079),$B$677=1),$BM$1079,HLOOKUP(INDIRECT(ADDRESS(2,COLUMN())),OFFSET($BN$2,0,0,ROW()-1,60),ROW()-1,FALSE))</f>
        <v/>
      </c>
      <c r="BN416" t="str">
        <f>""</f>
        <v/>
      </c>
      <c r="BO416" t="str">
        <f>""</f>
        <v/>
      </c>
      <c r="BP416" t="str">
        <f>""</f>
        <v/>
      </c>
      <c r="BQ416" t="str">
        <f>""</f>
        <v/>
      </c>
      <c r="BR416" t="str">
        <f>""</f>
        <v/>
      </c>
      <c r="BS416" t="str">
        <f>""</f>
        <v/>
      </c>
      <c r="BT416" t="str">
        <f>""</f>
        <v/>
      </c>
      <c r="BU416" t="str">
        <f>""</f>
        <v/>
      </c>
      <c r="BV416" t="str">
        <f>""</f>
        <v/>
      </c>
      <c r="BW416" t="str">
        <f>""</f>
        <v/>
      </c>
      <c r="BX416" t="str">
        <f>""</f>
        <v/>
      </c>
      <c r="BY416" t="str">
        <f>""</f>
        <v/>
      </c>
      <c r="BZ416" t="str">
        <f>""</f>
        <v/>
      </c>
      <c r="CA416" t="str">
        <f>""</f>
        <v/>
      </c>
      <c r="CB416" t="str">
        <f>""</f>
        <v/>
      </c>
      <c r="CC416" t="str">
        <f>""</f>
        <v/>
      </c>
      <c r="CD416" t="str">
        <f>""</f>
        <v/>
      </c>
      <c r="CE416" t="str">
        <f>""</f>
        <v/>
      </c>
      <c r="CF416" t="str">
        <f>""</f>
        <v/>
      </c>
      <c r="CG416" t="str">
        <f>""</f>
        <v/>
      </c>
      <c r="CH416" t="str">
        <f>""</f>
        <v/>
      </c>
      <c r="CI416" t="str">
        <f>""</f>
        <v/>
      </c>
      <c r="CJ416" t="str">
        <f>""</f>
        <v/>
      </c>
      <c r="CK416" t="str">
        <f>""</f>
        <v/>
      </c>
      <c r="CL416" t="str">
        <f>""</f>
        <v/>
      </c>
      <c r="CM416" t="str">
        <f>""</f>
        <v/>
      </c>
      <c r="CN416" t="str">
        <f>""</f>
        <v/>
      </c>
      <c r="CO416" t="str">
        <f>""</f>
        <v/>
      </c>
      <c r="CP416" t="str">
        <f>""</f>
        <v/>
      </c>
      <c r="CQ416" t="str">
        <f>""</f>
        <v/>
      </c>
      <c r="CR416" t="str">
        <f>""</f>
        <v/>
      </c>
      <c r="CS416" t="str">
        <f>""</f>
        <v/>
      </c>
      <c r="CT416" t="str">
        <f>""</f>
        <v/>
      </c>
      <c r="CU416" t="str">
        <f>""</f>
        <v/>
      </c>
      <c r="CV416" t="str">
        <f>""</f>
        <v/>
      </c>
      <c r="CW416" t="str">
        <f>""</f>
        <v/>
      </c>
      <c r="CX416" t="str">
        <f>""</f>
        <v/>
      </c>
      <c r="CY416" t="str">
        <f>""</f>
        <v/>
      </c>
      <c r="CZ416" t="str">
        <f>""</f>
        <v/>
      </c>
      <c r="DA416" t="str">
        <f>""</f>
        <v/>
      </c>
      <c r="DB416" t="str">
        <f>""</f>
        <v/>
      </c>
      <c r="DC416" t="str">
        <f>""</f>
        <v/>
      </c>
      <c r="DD416" t="str">
        <f>""</f>
        <v/>
      </c>
      <c r="DE416" t="str">
        <f>""</f>
        <v/>
      </c>
      <c r="DF416" t="str">
        <f>""</f>
        <v/>
      </c>
      <c r="DG416" t="str">
        <f>""</f>
        <v/>
      </c>
      <c r="DH416" t="str">
        <f>""</f>
        <v/>
      </c>
      <c r="DI416" t="str">
        <f>""</f>
        <v/>
      </c>
      <c r="DJ416" t="str">
        <f>""</f>
        <v/>
      </c>
      <c r="DK416" t="str">
        <f>""</f>
        <v/>
      </c>
      <c r="DL416" t="str">
        <f>""</f>
        <v/>
      </c>
      <c r="DM416" t="str">
        <f>""</f>
        <v/>
      </c>
      <c r="DN416" t="str">
        <f>""</f>
        <v/>
      </c>
      <c r="DO416" t="str">
        <f>""</f>
        <v/>
      </c>
      <c r="DP416" t="str">
        <f>""</f>
        <v/>
      </c>
      <c r="DQ416" t="str">
        <f>""</f>
        <v/>
      </c>
      <c r="DR416" t="str">
        <f>""</f>
        <v/>
      </c>
      <c r="DS416" t="str">
        <f>""</f>
        <v/>
      </c>
      <c r="DT416" t="str">
        <f>""</f>
        <v/>
      </c>
      <c r="DU416" t="str">
        <f>""</f>
        <v/>
      </c>
    </row>
    <row r="417" spans="1:125" x14ac:dyDescent="0.25">
      <c r="A417" t="str">
        <f>"    Avtovaz PJSC"</f>
        <v xml:space="preserve">    Avtovaz PJSC</v>
      </c>
      <c r="B417" t="str">
        <f>"AVAZ RM Equity"</f>
        <v>AVAZ RM Equity</v>
      </c>
      <c r="C417" t="str">
        <f t="shared" si="30"/>
        <v>RR477</v>
      </c>
      <c r="D417" t="str">
        <f t="shared" si="31"/>
        <v>EV_TO_T12M_CASH_FLOW</v>
      </c>
      <c r="E417" t="str">
        <f t="shared" si="32"/>
        <v>Dynamic</v>
      </c>
      <c r="F417" t="str">
        <f ca="1">IF(AND(ISNUMBER($F$1080),$B$677=1),$F$1080,HLOOKUP(INDIRECT(ADDRESS(2,COLUMN())),OFFSET($BN$2,0,0,ROW()-1,60),ROW()-1,FALSE))</f>
        <v/>
      </c>
      <c r="G417" t="str">
        <f ca="1">IF(AND(ISNUMBER($G$1080),$B$677=1),$G$1080,HLOOKUP(INDIRECT(ADDRESS(2,COLUMN())),OFFSET($BN$2,0,0,ROW()-1,60),ROW()-1,FALSE))</f>
        <v/>
      </c>
      <c r="H417" t="str">
        <f ca="1">IF(AND(ISNUMBER($H$1080),$B$677=1),$H$1080,HLOOKUP(INDIRECT(ADDRESS(2,COLUMN())),OFFSET($BN$2,0,0,ROW()-1,60),ROW()-1,FALSE))</f>
        <v/>
      </c>
      <c r="I417" t="str">
        <f ca="1">IF(AND(ISNUMBER($I$1080),$B$677=1),$I$1080,HLOOKUP(INDIRECT(ADDRESS(2,COLUMN())),OFFSET($BN$2,0,0,ROW()-1,60),ROW()-1,FALSE))</f>
        <v/>
      </c>
      <c r="J417" t="str">
        <f ca="1">IF(AND(ISNUMBER($J$1080),$B$677=1),$J$1080,HLOOKUP(INDIRECT(ADDRESS(2,COLUMN())),OFFSET($BN$2,0,0,ROW()-1,60),ROW()-1,FALSE))</f>
        <v/>
      </c>
      <c r="K417" t="str">
        <f ca="1">IF(AND(ISNUMBER($K$1080),$B$677=1),$K$1080,HLOOKUP(INDIRECT(ADDRESS(2,COLUMN())),OFFSET($BN$2,0,0,ROW()-1,60),ROW()-1,FALSE))</f>
        <v/>
      </c>
      <c r="L417" t="str">
        <f ca="1">IF(AND(ISNUMBER($L$1080),$B$677=1),$L$1080,HLOOKUP(INDIRECT(ADDRESS(2,COLUMN())),OFFSET($BN$2,0,0,ROW()-1,60),ROW()-1,FALSE))</f>
        <v/>
      </c>
      <c r="M417" t="str">
        <f ca="1">IF(AND(ISNUMBER($M$1080),$B$677=1),$M$1080,HLOOKUP(INDIRECT(ADDRESS(2,COLUMN())),OFFSET($BN$2,0,0,ROW()-1,60),ROW()-1,FALSE))</f>
        <v/>
      </c>
      <c r="N417" t="str">
        <f ca="1">IF(AND(ISNUMBER($N$1080),$B$677=1),$N$1080,HLOOKUP(INDIRECT(ADDRESS(2,COLUMN())),OFFSET($BN$2,0,0,ROW()-1,60),ROW()-1,FALSE))</f>
        <v/>
      </c>
      <c r="O417" t="str">
        <f ca="1">IF(AND(ISNUMBER($O$1080),$B$677=1),$O$1080,HLOOKUP(INDIRECT(ADDRESS(2,COLUMN())),OFFSET($BN$2,0,0,ROW()-1,60),ROW()-1,FALSE))</f>
        <v/>
      </c>
      <c r="P417" t="str">
        <f ca="1">IF(AND(ISNUMBER($P$1080),$B$677=1),$P$1080,HLOOKUP(INDIRECT(ADDRESS(2,COLUMN())),OFFSET($BN$2,0,0,ROW()-1,60),ROW()-1,FALSE))</f>
        <v/>
      </c>
      <c r="Q417" t="str">
        <f ca="1">IF(AND(ISNUMBER($Q$1080),$B$677=1),$Q$1080,HLOOKUP(INDIRECT(ADDRESS(2,COLUMN())),OFFSET($BN$2,0,0,ROW()-1,60),ROW()-1,FALSE))</f>
        <v/>
      </c>
      <c r="R417" t="str">
        <f ca="1">IF(AND(ISNUMBER($R$1080),$B$677=1),$R$1080,HLOOKUP(INDIRECT(ADDRESS(2,COLUMN())),OFFSET($BN$2,0,0,ROW()-1,60),ROW()-1,FALSE))</f>
        <v/>
      </c>
      <c r="S417" t="str">
        <f ca="1">IF(AND(ISNUMBER($S$1080),$B$677=1),$S$1080,HLOOKUP(INDIRECT(ADDRESS(2,COLUMN())),OFFSET($BN$2,0,0,ROW()-1,60),ROW()-1,FALSE))</f>
        <v/>
      </c>
      <c r="T417" t="str">
        <f ca="1">IF(AND(ISNUMBER($T$1080),$B$677=1),$T$1080,HLOOKUP(INDIRECT(ADDRESS(2,COLUMN())),OFFSET($BN$2,0,0,ROW()-1,60),ROW()-1,FALSE))</f>
        <v/>
      </c>
      <c r="U417" t="str">
        <f ca="1">IF(AND(ISNUMBER($U$1080),$B$677=1),$U$1080,HLOOKUP(INDIRECT(ADDRESS(2,COLUMN())),OFFSET($BN$2,0,0,ROW()-1,60),ROW()-1,FALSE))</f>
        <v/>
      </c>
      <c r="V417" t="str">
        <f ca="1">IF(AND(ISNUMBER($V$1080),$B$677=1),$V$1080,HLOOKUP(INDIRECT(ADDRESS(2,COLUMN())),OFFSET($BN$2,0,0,ROW()-1,60),ROW()-1,FALSE))</f>
        <v/>
      </c>
      <c r="W417" t="str">
        <f ca="1">IF(AND(ISNUMBER($W$1080),$B$677=1),$W$1080,HLOOKUP(INDIRECT(ADDRESS(2,COLUMN())),OFFSET($BN$2,0,0,ROW()-1,60),ROW()-1,FALSE))</f>
        <v/>
      </c>
      <c r="X417" t="str">
        <f ca="1">IF(AND(ISNUMBER($X$1080),$B$677=1),$X$1080,HLOOKUP(INDIRECT(ADDRESS(2,COLUMN())),OFFSET($BN$2,0,0,ROW()-1,60),ROW()-1,FALSE))</f>
        <v/>
      </c>
      <c r="Y417" t="str">
        <f ca="1">IF(AND(ISNUMBER($Y$1080),$B$677=1),$Y$1080,HLOOKUP(INDIRECT(ADDRESS(2,COLUMN())),OFFSET($BN$2,0,0,ROW()-1,60),ROW()-1,FALSE))</f>
        <v/>
      </c>
      <c r="Z417" t="str">
        <f ca="1">IF(AND(ISNUMBER($Z$1080),$B$677=1),$Z$1080,HLOOKUP(INDIRECT(ADDRESS(2,COLUMN())),OFFSET($BN$2,0,0,ROW()-1,60),ROW()-1,FALSE))</f>
        <v/>
      </c>
      <c r="AA417" t="str">
        <f ca="1">IF(AND(ISNUMBER($AA$1080),$B$677=1),$AA$1080,HLOOKUP(INDIRECT(ADDRESS(2,COLUMN())),OFFSET($BN$2,0,0,ROW()-1,60),ROW()-1,FALSE))</f>
        <v/>
      </c>
      <c r="AB417" t="str">
        <f ca="1">IF(AND(ISNUMBER($AB$1080),$B$677=1),$AB$1080,HLOOKUP(INDIRECT(ADDRESS(2,COLUMN())),OFFSET($BN$2,0,0,ROW()-1,60),ROW()-1,FALSE))</f>
        <v/>
      </c>
      <c r="AC417" t="str">
        <f ca="1">IF(AND(ISNUMBER($AC$1080),$B$677=1),$AC$1080,HLOOKUP(INDIRECT(ADDRESS(2,COLUMN())),OFFSET($BN$2,0,0,ROW()-1,60),ROW()-1,FALSE))</f>
        <v/>
      </c>
      <c r="AD417" t="str">
        <f ca="1">IF(AND(ISNUMBER($AD$1080),$B$677=1),$AD$1080,HLOOKUP(INDIRECT(ADDRESS(2,COLUMN())),OFFSET($BN$2,0,0,ROW()-1,60),ROW()-1,FALSE))</f>
        <v/>
      </c>
      <c r="AE417" t="str">
        <f ca="1">IF(AND(ISNUMBER($AE$1080),$B$677=1),$AE$1080,HLOOKUP(INDIRECT(ADDRESS(2,COLUMN())),OFFSET($BN$2,0,0,ROW()-1,60),ROW()-1,FALSE))</f>
        <v/>
      </c>
      <c r="AF417" t="str">
        <f ca="1">IF(AND(ISNUMBER($AF$1080),$B$677=1),$AF$1080,HLOOKUP(INDIRECT(ADDRESS(2,COLUMN())),OFFSET($BN$2,0,0,ROW()-1,60),ROW()-1,FALSE))</f>
        <v/>
      </c>
      <c r="AG417" t="str">
        <f ca="1">IF(AND(ISNUMBER($AG$1080),$B$677=1),$AG$1080,HLOOKUP(INDIRECT(ADDRESS(2,COLUMN())),OFFSET($BN$2,0,0,ROW()-1,60),ROW()-1,FALSE))</f>
        <v/>
      </c>
      <c r="AH417" t="str">
        <f ca="1">IF(AND(ISNUMBER($AH$1080),$B$677=1),$AH$1080,HLOOKUP(INDIRECT(ADDRESS(2,COLUMN())),OFFSET($BN$2,0,0,ROW()-1,60),ROW()-1,FALSE))</f>
        <v/>
      </c>
      <c r="AI417" t="str">
        <f ca="1">IF(AND(ISNUMBER($AI$1080),$B$677=1),$AI$1080,HLOOKUP(INDIRECT(ADDRESS(2,COLUMN())),OFFSET($BN$2,0,0,ROW()-1,60),ROW()-1,FALSE))</f>
        <v/>
      </c>
      <c r="AJ417" t="str">
        <f ca="1">IF(AND(ISNUMBER($AJ$1080),$B$677=1),$AJ$1080,HLOOKUP(INDIRECT(ADDRESS(2,COLUMN())),OFFSET($BN$2,0,0,ROW()-1,60),ROW()-1,FALSE))</f>
        <v/>
      </c>
      <c r="AK417" t="str">
        <f ca="1">IF(AND(ISNUMBER($AK$1080),$B$677=1),$AK$1080,HLOOKUP(INDIRECT(ADDRESS(2,COLUMN())),OFFSET($BN$2,0,0,ROW()-1,60),ROW()-1,FALSE))</f>
        <v/>
      </c>
      <c r="AL417" t="str">
        <f ca="1">IF(AND(ISNUMBER($AL$1080),$B$677=1),$AL$1080,HLOOKUP(INDIRECT(ADDRESS(2,COLUMN())),OFFSET($BN$2,0,0,ROW()-1,60),ROW()-1,FALSE))</f>
        <v/>
      </c>
      <c r="AM417" t="str">
        <f ca="1">IF(AND(ISNUMBER($AM$1080),$B$677=1),$AM$1080,HLOOKUP(INDIRECT(ADDRESS(2,COLUMN())),OFFSET($BN$2,0,0,ROW()-1,60),ROW()-1,FALSE))</f>
        <v/>
      </c>
      <c r="AN417" t="str">
        <f ca="1">IF(AND(ISNUMBER($AN$1080),$B$677=1),$AN$1080,HLOOKUP(INDIRECT(ADDRESS(2,COLUMN())),OFFSET($BN$2,0,0,ROW()-1,60),ROW()-1,FALSE))</f>
        <v/>
      </c>
      <c r="AO417" t="str">
        <f ca="1">IF(AND(ISNUMBER($AO$1080),$B$677=1),$AO$1080,HLOOKUP(INDIRECT(ADDRESS(2,COLUMN())),OFFSET($BN$2,0,0,ROW()-1,60),ROW()-1,FALSE))</f>
        <v/>
      </c>
      <c r="AP417" t="str">
        <f ca="1">IF(AND(ISNUMBER($AP$1080),$B$677=1),$AP$1080,HLOOKUP(INDIRECT(ADDRESS(2,COLUMN())),OFFSET($BN$2,0,0,ROW()-1,60),ROW()-1,FALSE))</f>
        <v/>
      </c>
      <c r="AQ417" t="str">
        <f ca="1">IF(AND(ISNUMBER($AQ$1080),$B$677=1),$AQ$1080,HLOOKUP(INDIRECT(ADDRESS(2,COLUMN())),OFFSET($BN$2,0,0,ROW()-1,60),ROW()-1,FALSE))</f>
        <v/>
      </c>
      <c r="AR417" t="str">
        <f ca="1">IF(AND(ISNUMBER($AR$1080),$B$677=1),$AR$1080,HLOOKUP(INDIRECT(ADDRESS(2,COLUMN())),OFFSET($BN$2,0,0,ROW()-1,60),ROW()-1,FALSE))</f>
        <v/>
      </c>
      <c r="AS417" t="str">
        <f ca="1">IF(AND(ISNUMBER($AS$1080),$B$677=1),$AS$1080,HLOOKUP(INDIRECT(ADDRESS(2,COLUMN())),OFFSET($BN$2,0,0,ROW()-1,60),ROW()-1,FALSE))</f>
        <v/>
      </c>
      <c r="AT417" t="str">
        <f ca="1">IF(AND(ISNUMBER($AT$1080),$B$677=1),$AT$1080,HLOOKUP(INDIRECT(ADDRESS(2,COLUMN())),OFFSET($BN$2,0,0,ROW()-1,60),ROW()-1,FALSE))</f>
        <v/>
      </c>
      <c r="AU417" t="str">
        <f ca="1">IF(AND(ISNUMBER($AU$1080),$B$677=1),$AU$1080,HLOOKUP(INDIRECT(ADDRESS(2,COLUMN())),OFFSET($BN$2,0,0,ROW()-1,60),ROW()-1,FALSE))</f>
        <v/>
      </c>
      <c r="AV417" t="str">
        <f ca="1">IF(AND(ISNUMBER($AV$1080),$B$677=1),$AV$1080,HLOOKUP(INDIRECT(ADDRESS(2,COLUMN())),OFFSET($BN$2,0,0,ROW()-1,60),ROW()-1,FALSE))</f>
        <v/>
      </c>
      <c r="AW417" t="str">
        <f ca="1">IF(AND(ISNUMBER($AW$1080),$B$677=1),$AW$1080,HLOOKUP(INDIRECT(ADDRESS(2,COLUMN())),OFFSET($BN$2,0,0,ROW()-1,60),ROW()-1,FALSE))</f>
        <v/>
      </c>
      <c r="AX417" t="str">
        <f ca="1">IF(AND(ISNUMBER($AX$1080),$B$677=1),$AX$1080,HLOOKUP(INDIRECT(ADDRESS(2,COLUMN())),OFFSET($BN$2,0,0,ROW()-1,60),ROW()-1,FALSE))</f>
        <v/>
      </c>
      <c r="AY417" t="str">
        <f ca="1">IF(AND(ISNUMBER($AY$1080),$B$677=1),$AY$1080,HLOOKUP(INDIRECT(ADDRESS(2,COLUMN())),OFFSET($BN$2,0,0,ROW()-1,60),ROW()-1,FALSE))</f>
        <v/>
      </c>
      <c r="AZ417" t="str">
        <f ca="1">IF(AND(ISNUMBER($AZ$1080),$B$677=1),$AZ$1080,HLOOKUP(INDIRECT(ADDRESS(2,COLUMN())),OFFSET($BN$2,0,0,ROW()-1,60),ROW()-1,FALSE))</f>
        <v/>
      </c>
      <c r="BA417" t="str">
        <f ca="1">IF(AND(ISNUMBER($BA$1080),$B$677=1),$BA$1080,HLOOKUP(INDIRECT(ADDRESS(2,COLUMN())),OFFSET($BN$2,0,0,ROW()-1,60),ROW()-1,FALSE))</f>
        <v/>
      </c>
      <c r="BB417" t="str">
        <f ca="1">IF(AND(ISNUMBER($BB$1080),$B$677=1),$BB$1080,HLOOKUP(INDIRECT(ADDRESS(2,COLUMN())),OFFSET($BN$2,0,0,ROW()-1,60),ROW()-1,FALSE))</f>
        <v/>
      </c>
      <c r="BC417" t="str">
        <f ca="1">IF(AND(ISNUMBER($BC$1080),$B$677=1),$BC$1080,HLOOKUP(INDIRECT(ADDRESS(2,COLUMN())),OFFSET($BN$2,0,0,ROW()-1,60),ROW()-1,FALSE))</f>
        <v/>
      </c>
      <c r="BD417" t="str">
        <f ca="1">IF(AND(ISNUMBER($BD$1080),$B$677=1),$BD$1080,HLOOKUP(INDIRECT(ADDRESS(2,COLUMN())),OFFSET($BN$2,0,0,ROW()-1,60),ROW()-1,FALSE))</f>
        <v/>
      </c>
      <c r="BE417" t="str">
        <f ca="1">IF(AND(ISNUMBER($BE$1080),$B$677=1),$BE$1080,HLOOKUP(INDIRECT(ADDRESS(2,COLUMN())),OFFSET($BN$2,0,0,ROW()-1,60),ROW()-1,FALSE))</f>
        <v/>
      </c>
      <c r="BF417" t="str">
        <f ca="1">IF(AND(ISNUMBER($BF$1080),$B$677=1),$BF$1080,HLOOKUP(INDIRECT(ADDRESS(2,COLUMN())),OFFSET($BN$2,0,0,ROW()-1,60),ROW()-1,FALSE))</f>
        <v/>
      </c>
      <c r="BG417" t="str">
        <f ca="1">IF(AND(ISNUMBER($BG$1080),$B$677=1),$BG$1080,HLOOKUP(INDIRECT(ADDRESS(2,COLUMN())),OFFSET($BN$2,0,0,ROW()-1,60),ROW()-1,FALSE))</f>
        <v/>
      </c>
      <c r="BH417" t="str">
        <f ca="1">IF(AND(ISNUMBER($BH$1080),$B$677=1),$BH$1080,HLOOKUP(INDIRECT(ADDRESS(2,COLUMN())),OFFSET($BN$2,0,0,ROW()-1,60),ROW()-1,FALSE))</f>
        <v/>
      </c>
      <c r="BI417" t="str">
        <f ca="1">IF(AND(ISNUMBER($BI$1080),$B$677=1),$BI$1080,HLOOKUP(INDIRECT(ADDRESS(2,COLUMN())),OFFSET($BN$2,0,0,ROW()-1,60),ROW()-1,FALSE))</f>
        <v/>
      </c>
      <c r="BJ417" t="str">
        <f ca="1">IF(AND(ISNUMBER($BJ$1080),$B$677=1),$BJ$1080,HLOOKUP(INDIRECT(ADDRESS(2,COLUMN())),OFFSET($BN$2,0,0,ROW()-1,60),ROW()-1,FALSE))</f>
        <v/>
      </c>
      <c r="BK417" t="str">
        <f ca="1">IF(AND(ISNUMBER($BK$1080),$B$677=1),$BK$1080,HLOOKUP(INDIRECT(ADDRESS(2,COLUMN())),OFFSET($BN$2,0,0,ROW()-1,60),ROW()-1,FALSE))</f>
        <v/>
      </c>
      <c r="BL417" t="str">
        <f ca="1">IF(AND(ISNUMBER($BL$1080),$B$677=1),$BL$1080,HLOOKUP(INDIRECT(ADDRESS(2,COLUMN())),OFFSET($BN$2,0,0,ROW()-1,60),ROW()-1,FALSE))</f>
        <v/>
      </c>
      <c r="BM417" t="str">
        <f ca="1">IF(AND(ISNUMBER($BM$1080),$B$677=1),$BM$1080,HLOOKUP(INDIRECT(ADDRESS(2,COLUMN())),OFFSET($BN$2,0,0,ROW()-1,60),ROW()-1,FALSE))</f>
        <v/>
      </c>
      <c r="BN417" t="str">
        <f>""</f>
        <v/>
      </c>
      <c r="BO417" t="str">
        <f>""</f>
        <v/>
      </c>
      <c r="BP417" t="str">
        <f>""</f>
        <v/>
      </c>
      <c r="BQ417" t="str">
        <f>""</f>
        <v/>
      </c>
      <c r="BR417" t="str">
        <f>""</f>
        <v/>
      </c>
      <c r="BS417" t="str">
        <f>""</f>
        <v/>
      </c>
      <c r="BT417" t="str">
        <f>""</f>
        <v/>
      </c>
      <c r="BU417" t="str">
        <f>""</f>
        <v/>
      </c>
      <c r="BV417" t="str">
        <f>""</f>
        <v/>
      </c>
      <c r="BW417" t="str">
        <f>""</f>
        <v/>
      </c>
      <c r="BX417" t="str">
        <f>""</f>
        <v/>
      </c>
      <c r="BY417" t="str">
        <f>""</f>
        <v/>
      </c>
      <c r="BZ417" t="str">
        <f>""</f>
        <v/>
      </c>
      <c r="CA417" t="str">
        <f>""</f>
        <v/>
      </c>
      <c r="CB417" t="str">
        <f>""</f>
        <v/>
      </c>
      <c r="CC417" t="str">
        <f>""</f>
        <v/>
      </c>
      <c r="CD417" t="str">
        <f>""</f>
        <v/>
      </c>
      <c r="CE417" t="str">
        <f>""</f>
        <v/>
      </c>
      <c r="CF417" t="str">
        <f>""</f>
        <v/>
      </c>
      <c r="CG417" t="str">
        <f>""</f>
        <v/>
      </c>
      <c r="CH417" t="str">
        <f>""</f>
        <v/>
      </c>
      <c r="CI417" t="str">
        <f>""</f>
        <v/>
      </c>
      <c r="CJ417" t="str">
        <f>""</f>
        <v/>
      </c>
      <c r="CK417" t="str">
        <f>""</f>
        <v/>
      </c>
      <c r="CL417" t="str">
        <f>""</f>
        <v/>
      </c>
      <c r="CM417" t="str">
        <f>""</f>
        <v/>
      </c>
      <c r="CN417" t="str">
        <f>""</f>
        <v/>
      </c>
      <c r="CO417" t="str">
        <f>""</f>
        <v/>
      </c>
      <c r="CP417" t="str">
        <f>""</f>
        <v/>
      </c>
      <c r="CQ417" t="str">
        <f>""</f>
        <v/>
      </c>
      <c r="CR417" t="str">
        <f>""</f>
        <v/>
      </c>
      <c r="CS417" t="str">
        <f>""</f>
        <v/>
      </c>
      <c r="CT417" t="str">
        <f>""</f>
        <v/>
      </c>
      <c r="CU417" t="str">
        <f>""</f>
        <v/>
      </c>
      <c r="CV417" t="str">
        <f>""</f>
        <v/>
      </c>
      <c r="CW417" t="str">
        <f>""</f>
        <v/>
      </c>
      <c r="CX417" t="str">
        <f>""</f>
        <v/>
      </c>
      <c r="CY417" t="str">
        <f>""</f>
        <v/>
      </c>
      <c r="CZ417" t="str">
        <f>""</f>
        <v/>
      </c>
      <c r="DA417" t="str">
        <f>""</f>
        <v/>
      </c>
      <c r="DB417" t="str">
        <f>""</f>
        <v/>
      </c>
      <c r="DC417" t="str">
        <f>""</f>
        <v/>
      </c>
      <c r="DD417" t="str">
        <f>""</f>
        <v/>
      </c>
      <c r="DE417" t="str">
        <f>""</f>
        <v/>
      </c>
      <c r="DF417" t="str">
        <f>""</f>
        <v/>
      </c>
      <c r="DG417" t="str">
        <f>""</f>
        <v/>
      </c>
      <c r="DH417" t="str">
        <f>""</f>
        <v/>
      </c>
      <c r="DI417" t="str">
        <f>""</f>
        <v/>
      </c>
      <c r="DJ417" t="str">
        <f>""</f>
        <v/>
      </c>
      <c r="DK417" t="str">
        <f>""</f>
        <v/>
      </c>
      <c r="DL417" t="str">
        <f>""</f>
        <v/>
      </c>
      <c r="DM417" t="str">
        <f>""</f>
        <v/>
      </c>
      <c r="DN417" t="str">
        <f>""</f>
        <v/>
      </c>
      <c r="DO417" t="str">
        <f>""</f>
        <v/>
      </c>
      <c r="DP417" t="str">
        <f>""</f>
        <v/>
      </c>
      <c r="DQ417" t="str">
        <f>""</f>
        <v/>
      </c>
      <c r="DR417" t="str">
        <f>""</f>
        <v/>
      </c>
      <c r="DS417" t="str">
        <f>""</f>
        <v/>
      </c>
      <c r="DT417" t="str">
        <f>""</f>
        <v/>
      </c>
      <c r="DU417" t="str">
        <f>""</f>
        <v/>
      </c>
    </row>
    <row r="418" spans="1:125" x14ac:dyDescent="0.25">
      <c r="A418" t="str">
        <f>"    Bayerische Motoren Werke AG"</f>
        <v xml:space="preserve">    Bayerische Motoren Werke AG</v>
      </c>
      <c r="B418" t="str">
        <f>"BMW GR Equity"</f>
        <v>BMW GR Equity</v>
      </c>
      <c r="C418" t="str">
        <f t="shared" si="30"/>
        <v>RR477</v>
      </c>
      <c r="D418" t="str">
        <f t="shared" si="31"/>
        <v>EV_TO_T12M_CASH_FLOW</v>
      </c>
      <c r="E418" t="str">
        <f t="shared" si="32"/>
        <v>Dynamic</v>
      </c>
      <c r="F418" t="str">
        <f ca="1">IF(AND(ISNUMBER($F$1081),$B$677=1),$F$1081,HLOOKUP(INDIRECT(ADDRESS(2,COLUMN())),OFFSET($BN$2,0,0,ROW()-1,60),ROW()-1,FALSE))</f>
        <v/>
      </c>
      <c r="G418" t="str">
        <f ca="1">IF(AND(ISNUMBER($G$1081),$B$677=1),$G$1081,HLOOKUP(INDIRECT(ADDRESS(2,COLUMN())),OFFSET($BN$2,0,0,ROW()-1,60),ROW()-1,FALSE))</f>
        <v/>
      </c>
      <c r="H418">
        <f ca="1">IF(AND(ISNUMBER($H$1081),$B$677=1),$H$1081,HLOOKUP(INDIRECT(ADDRESS(2,COLUMN())),OFFSET($BN$2,0,0,ROW()-1,60),ROW()-1,FALSE))</f>
        <v>24.145378440000002</v>
      </c>
      <c r="I418">
        <f ca="1">IF(AND(ISNUMBER($I$1081),$B$677=1),$I$1081,HLOOKUP(INDIRECT(ADDRESS(2,COLUMN())),OFFSET($BN$2,0,0,ROW()-1,60),ROW()-1,FALSE))</f>
        <v>19.352888589999999</v>
      </c>
      <c r="J418">
        <f ca="1">IF(AND(ISNUMBER($J$1081),$B$677=1),$J$1081,HLOOKUP(INDIRECT(ADDRESS(2,COLUMN())),OFFSET($BN$2,0,0,ROW()-1,60),ROW()-1,FALSE))</f>
        <v>23.18889175</v>
      </c>
      <c r="K418">
        <f ca="1">IF(AND(ISNUMBER($K$1081),$B$677=1),$K$1081,HLOOKUP(INDIRECT(ADDRESS(2,COLUMN())),OFFSET($BN$2,0,0,ROW()-1,60),ROW()-1,FALSE))</f>
        <v>23.71863965</v>
      </c>
      <c r="L418">
        <f ca="1">IF(AND(ISNUMBER($L$1081),$B$677=1),$L$1081,HLOOKUP(INDIRECT(ADDRESS(2,COLUMN())),OFFSET($BN$2,0,0,ROW()-1,60),ROW()-1,FALSE))</f>
        <v>16.35941377</v>
      </c>
      <c r="M418">
        <f ca="1">IF(AND(ISNUMBER($M$1081),$B$677=1),$M$1081,HLOOKUP(INDIRECT(ADDRESS(2,COLUMN())),OFFSET($BN$2,0,0,ROW()-1,60),ROW()-1,FALSE))</f>
        <v>25.36772959</v>
      </c>
      <c r="N418">
        <f ca="1">IF(AND(ISNUMBER($N$1081),$B$677=1),$N$1081,HLOOKUP(INDIRECT(ADDRESS(2,COLUMN())),OFFSET($BN$2,0,0,ROW()-1,60),ROW()-1,FALSE))</f>
        <v>28.350364150000001</v>
      </c>
      <c r="O418">
        <f ca="1">IF(AND(ISNUMBER($O$1081),$B$677=1),$O$1081,HLOOKUP(INDIRECT(ADDRESS(2,COLUMN())),OFFSET($BN$2,0,0,ROW()-1,60),ROW()-1,FALSE))</f>
        <v>31.912431099999999</v>
      </c>
      <c r="P418">
        <f ca="1">IF(AND(ISNUMBER($P$1081),$B$677=1),$P$1081,HLOOKUP(INDIRECT(ADDRESS(2,COLUMN())),OFFSET($BN$2,0,0,ROW()-1,60),ROW()-1,FALSE))</f>
        <v>76.610809029999999</v>
      </c>
      <c r="Q418">
        <f ca="1">IF(AND(ISNUMBER($Q$1081),$B$677=1),$Q$1081,HLOOKUP(INDIRECT(ADDRESS(2,COLUMN())),OFFSET($BN$2,0,0,ROW()-1,60),ROW()-1,FALSE))</f>
        <v>76.632522280000003</v>
      </c>
      <c r="R418" t="str">
        <f ca="1">IF(AND(ISNUMBER($R$1081),$B$677=1),$R$1081,HLOOKUP(INDIRECT(ADDRESS(2,COLUMN())),OFFSET($BN$2,0,0,ROW()-1,60),ROW()-1,FALSE))</f>
        <v/>
      </c>
      <c r="S418">
        <f ca="1">IF(AND(ISNUMBER($S$1081),$B$677=1),$S$1081,HLOOKUP(INDIRECT(ADDRESS(2,COLUMN())),OFFSET($BN$2,0,0,ROW()-1,60),ROW()-1,FALSE))</f>
        <v>147.09602459999999</v>
      </c>
      <c r="T418">
        <f ca="1">IF(AND(ISNUMBER($T$1081),$B$677=1),$T$1081,HLOOKUP(INDIRECT(ADDRESS(2,COLUMN())),OFFSET($BN$2,0,0,ROW()-1,60),ROW()-1,FALSE))</f>
        <v>76.489755250000002</v>
      </c>
      <c r="U418">
        <f ca="1">IF(AND(ISNUMBER($U$1081),$B$677=1),$U$1081,HLOOKUP(INDIRECT(ADDRESS(2,COLUMN())),OFFSET($BN$2,0,0,ROW()-1,60),ROW()-1,FALSE))</f>
        <v>63.247708969999998</v>
      </c>
      <c r="V418">
        <f ca="1">IF(AND(ISNUMBER($V$1081),$B$677=1),$V$1081,HLOOKUP(INDIRECT(ADDRESS(2,COLUMN())),OFFSET($BN$2,0,0,ROW()-1,60),ROW()-1,FALSE))</f>
        <v>50.034145870000003</v>
      </c>
      <c r="W418">
        <f ca="1">IF(AND(ISNUMBER($W$1081),$B$677=1),$W$1081,HLOOKUP(INDIRECT(ADDRESS(2,COLUMN())),OFFSET($BN$2,0,0,ROW()-1,60),ROW()-1,FALSE))</f>
        <v>34.451793019999997</v>
      </c>
      <c r="X418">
        <f ca="1">IF(AND(ISNUMBER($X$1081),$B$677=1),$X$1081,HLOOKUP(INDIRECT(ADDRESS(2,COLUMN())),OFFSET($BN$2,0,0,ROW()-1,60),ROW()-1,FALSE))</f>
        <v>25.70792067</v>
      </c>
      <c r="Y418">
        <f ca="1">IF(AND(ISNUMBER($Y$1081),$B$677=1),$Y$1081,HLOOKUP(INDIRECT(ADDRESS(2,COLUMN())),OFFSET($BN$2,0,0,ROW()-1,60),ROW()-1,FALSE))</f>
        <v>25.491714590000001</v>
      </c>
      <c r="Z418">
        <f ca="1">IF(AND(ISNUMBER($Z$1081),$B$677=1),$Z$1081,HLOOKUP(INDIRECT(ADDRESS(2,COLUMN())),OFFSET($BN$2,0,0,ROW()-1,60),ROW()-1,FALSE))</f>
        <v>18.719501879999999</v>
      </c>
      <c r="AA418">
        <f ca="1">IF(AND(ISNUMBER($AA$1081),$B$677=1),$AA$1081,HLOOKUP(INDIRECT(ADDRESS(2,COLUMN())),OFFSET($BN$2,0,0,ROW()-1,60),ROW()-1,FALSE))</f>
        <v>21.10138568</v>
      </c>
      <c r="AB418">
        <f ca="1">IF(AND(ISNUMBER($AB$1081),$B$677=1),$AB$1081,HLOOKUP(INDIRECT(ADDRESS(2,COLUMN())),OFFSET($BN$2,0,0,ROW()-1,60),ROW()-1,FALSE))</f>
        <v>16.535721290000001</v>
      </c>
      <c r="AC418">
        <f ca="1">IF(AND(ISNUMBER($AC$1081),$B$677=1),$AC$1081,HLOOKUP(INDIRECT(ADDRESS(2,COLUMN())),OFFSET($BN$2,0,0,ROW()-1,60),ROW()-1,FALSE))</f>
        <v>19.613704510000002</v>
      </c>
      <c r="AD418">
        <f ca="1">IF(AND(ISNUMBER($AD$1081),$B$677=1),$AD$1081,HLOOKUP(INDIRECT(ADDRESS(2,COLUMN())),OFFSET($BN$2,0,0,ROW()-1,60),ROW()-1,FALSE))</f>
        <v>21.496009900000001</v>
      </c>
      <c r="AE418">
        <f ca="1">IF(AND(ISNUMBER($AE$1081),$B$677=1),$AE$1081,HLOOKUP(INDIRECT(ADDRESS(2,COLUMN())),OFFSET($BN$2,0,0,ROW()-1,60),ROW()-1,FALSE))</f>
        <v>15.09435221</v>
      </c>
      <c r="AF418">
        <f ca="1">IF(AND(ISNUMBER($AF$1081),$B$677=1),$AF$1081,HLOOKUP(INDIRECT(ADDRESS(2,COLUMN())),OFFSET($BN$2,0,0,ROW()-1,60),ROW()-1,FALSE))</f>
        <v>25.40311153</v>
      </c>
      <c r="AG418">
        <f ca="1">IF(AND(ISNUMBER($AG$1081),$B$677=1),$AG$1081,HLOOKUP(INDIRECT(ADDRESS(2,COLUMN())),OFFSET($BN$2,0,0,ROW()-1,60),ROW()-1,FALSE))</f>
        <v>13.744660359999999</v>
      </c>
      <c r="AH418">
        <f ca="1">IF(AND(ISNUMBER($AH$1081),$B$677=1),$AH$1081,HLOOKUP(INDIRECT(ADDRESS(2,COLUMN())),OFFSET($BN$2,0,0,ROW()-1,60),ROW()-1,FALSE))</f>
        <v>12.355016790000001</v>
      </c>
      <c r="AI418">
        <f ca="1">IF(AND(ISNUMBER($AI$1081),$B$677=1),$AI$1081,HLOOKUP(INDIRECT(ADDRESS(2,COLUMN())),OFFSET($BN$2,0,0,ROW()-1,60),ROW()-1,FALSE))</f>
        <v>11.26462894</v>
      </c>
      <c r="AJ418">
        <f ca="1">IF(AND(ISNUMBER($AJ$1081),$B$677=1),$AJ$1081,HLOOKUP(INDIRECT(ADDRESS(2,COLUMN())),OFFSET($BN$2,0,0,ROW()-1,60),ROW()-1,FALSE))</f>
        <v>27.208524969999999</v>
      </c>
      <c r="AK418">
        <f ca="1">IF(AND(ISNUMBER($AK$1081),$B$677=1),$AK$1081,HLOOKUP(INDIRECT(ADDRESS(2,COLUMN())),OFFSET($BN$2,0,0,ROW()-1,60),ROW()-1,FALSE))</f>
        <v>24.071152810000001</v>
      </c>
      <c r="AL418">
        <f ca="1">IF(AND(ISNUMBER($AL$1081),$B$677=1),$AL$1081,HLOOKUP(INDIRECT(ADDRESS(2,COLUMN())),OFFSET($BN$2,0,0,ROW()-1,60),ROW()-1,FALSE))</f>
        <v>14.7348216</v>
      </c>
      <c r="AM418">
        <f ca="1">IF(AND(ISNUMBER($AM$1081),$B$677=1),$AM$1081,HLOOKUP(INDIRECT(ADDRESS(2,COLUMN())),OFFSET($BN$2,0,0,ROW()-1,60),ROW()-1,FALSE))</f>
        <v>16.145528339999998</v>
      </c>
      <c r="AN418">
        <f ca="1">IF(AND(ISNUMBER($AN$1081),$B$677=1),$AN$1081,HLOOKUP(INDIRECT(ADDRESS(2,COLUMN())),OFFSET($BN$2,0,0,ROW()-1,60),ROW()-1,FALSE))</f>
        <v>5.2735894200000004</v>
      </c>
      <c r="AO418">
        <f ca="1">IF(AND(ISNUMBER($AO$1081),$B$677=1),$AO$1081,HLOOKUP(INDIRECT(ADDRESS(2,COLUMN())),OFFSET($BN$2,0,0,ROW()-1,60),ROW()-1,FALSE))</f>
        <v>5.2385919159999998</v>
      </c>
      <c r="AP418">
        <f ca="1">IF(AND(ISNUMBER($AP$1081),$B$677=1),$AP$1081,HLOOKUP(INDIRECT(ADDRESS(2,COLUMN())),OFFSET($BN$2,0,0,ROW()-1,60),ROW()-1,FALSE))</f>
        <v>5.2889451259999998</v>
      </c>
      <c r="AQ418">
        <f ca="1">IF(AND(ISNUMBER($AQ$1081),$B$677=1),$AQ$1081,HLOOKUP(INDIRECT(ADDRESS(2,COLUMN())),OFFSET($BN$2,0,0,ROW()-1,60),ROW()-1,FALSE))</f>
        <v>4.9683238799999998</v>
      </c>
      <c r="AR418">
        <f ca="1">IF(AND(ISNUMBER($AR$1081),$B$677=1),$AR$1081,HLOOKUP(INDIRECT(ADDRESS(2,COLUMN())),OFFSET($BN$2,0,0,ROW()-1,60),ROW()-1,FALSE))</f>
        <v>5.381655061</v>
      </c>
      <c r="AS418">
        <f ca="1">IF(AND(ISNUMBER($AS$1081),$B$677=1),$AS$1081,HLOOKUP(INDIRECT(ADDRESS(2,COLUMN())),OFFSET($BN$2,0,0,ROW()-1,60),ROW()-1,FALSE))</f>
        <v>2.8111338770000001</v>
      </c>
      <c r="AT418">
        <f ca="1">IF(AND(ISNUMBER($AT$1081),$B$677=1),$AT$1081,HLOOKUP(INDIRECT(ADDRESS(2,COLUMN())),OFFSET($BN$2,0,0,ROW()-1,60),ROW()-1,FALSE))</f>
        <v>2.4705515039999999</v>
      </c>
      <c r="AU418">
        <f ca="1">IF(AND(ISNUMBER($AU$1081),$B$677=1),$AU$1081,HLOOKUP(INDIRECT(ADDRESS(2,COLUMN())),OFFSET($BN$2,0,0,ROW()-1,60),ROW()-1,FALSE))</f>
        <v>3.750215903</v>
      </c>
      <c r="AV418">
        <f ca="1">IF(AND(ISNUMBER($AV$1081),$B$677=1),$AV$1081,HLOOKUP(INDIRECT(ADDRESS(2,COLUMN())),OFFSET($BN$2,0,0,ROW()-1,60),ROW()-1,FALSE))</f>
        <v>3.4967887649999998</v>
      </c>
      <c r="AW418">
        <f ca="1">IF(AND(ISNUMBER($AW$1081),$B$677=1),$AW$1081,HLOOKUP(INDIRECT(ADDRESS(2,COLUMN())),OFFSET($BN$2,0,0,ROW()-1,60),ROW()-1,FALSE))</f>
        <v>4.9220610440000003</v>
      </c>
      <c r="AX418">
        <f ca="1">IF(AND(ISNUMBER($AX$1081),$B$677=1),$AX$1081,HLOOKUP(INDIRECT(ADDRESS(2,COLUMN())),OFFSET($BN$2,0,0,ROW()-1,60),ROW()-1,FALSE))</f>
        <v>5.3627333659999996</v>
      </c>
      <c r="AY418">
        <f ca="1">IF(AND(ISNUMBER($AY$1081),$B$677=1),$AY$1081,HLOOKUP(INDIRECT(ADDRESS(2,COLUMN())),OFFSET($BN$2,0,0,ROW()-1,60),ROW()-1,FALSE))</f>
        <v>5.584539157</v>
      </c>
      <c r="AZ418">
        <f ca="1">IF(AND(ISNUMBER($AZ$1081),$B$677=1),$AZ$1081,HLOOKUP(INDIRECT(ADDRESS(2,COLUMN())),OFFSET($BN$2,0,0,ROW()-1,60),ROW()-1,FALSE))</f>
        <v>7.0664299650000002</v>
      </c>
      <c r="BA418">
        <f ca="1">IF(AND(ISNUMBER($BA$1081),$B$677=1),$BA$1081,HLOOKUP(INDIRECT(ADDRESS(2,COLUMN())),OFFSET($BN$2,0,0,ROW()-1,60),ROW()-1,FALSE))</f>
        <v>7.1180704329999998</v>
      </c>
      <c r="BB418">
        <f ca="1">IF(AND(ISNUMBER($BB$1081),$B$677=1),$BB$1081,HLOOKUP(INDIRECT(ADDRESS(2,COLUMN())),OFFSET($BN$2,0,0,ROW()-1,60),ROW()-1,FALSE))</f>
        <v>6.2323156290000004</v>
      </c>
      <c r="BC418">
        <f ca="1">IF(AND(ISNUMBER($BC$1081),$B$677=1),$BC$1081,HLOOKUP(INDIRECT(ADDRESS(2,COLUMN())),OFFSET($BN$2,0,0,ROW()-1,60),ROW()-1,FALSE))</f>
        <v>6.1581277390000002</v>
      </c>
      <c r="BD418">
        <f ca="1">IF(AND(ISNUMBER($BD$1081),$B$677=1),$BD$1081,HLOOKUP(INDIRECT(ADDRESS(2,COLUMN())),OFFSET($BN$2,0,0,ROW()-1,60),ROW()-1,FALSE))</f>
        <v>5.8148788859999998</v>
      </c>
      <c r="BE418">
        <f ca="1">IF(AND(ISNUMBER($BE$1081),$B$677=1),$BE$1081,HLOOKUP(INDIRECT(ADDRESS(2,COLUMN())),OFFSET($BN$2,0,0,ROW()-1,60),ROW()-1,FALSE))</f>
        <v>4.7951599800000002</v>
      </c>
      <c r="BF418">
        <f ca="1">IF(AND(ISNUMBER($BF$1081),$B$677=1),$BF$1081,HLOOKUP(INDIRECT(ADDRESS(2,COLUMN())),OFFSET($BN$2,0,0,ROW()-1,60),ROW()-1,FALSE))</f>
        <v>5.3934441370000004</v>
      </c>
      <c r="BG418">
        <f ca="1">IF(AND(ISNUMBER($BG$1081),$B$677=1),$BG$1081,HLOOKUP(INDIRECT(ADDRESS(2,COLUMN())),OFFSET($BN$2,0,0,ROW()-1,60),ROW()-1,FALSE))</f>
        <v>5.1574128210000003</v>
      </c>
      <c r="BH418">
        <f ca="1">IF(AND(ISNUMBER($BH$1081),$B$677=1),$BH$1081,HLOOKUP(INDIRECT(ADDRESS(2,COLUMN())),OFFSET($BN$2,0,0,ROW()-1,60),ROW()-1,FALSE))</f>
        <v>5.0490484550000003</v>
      </c>
      <c r="BI418">
        <f ca="1">IF(AND(ISNUMBER($BI$1081),$B$677=1),$BI$1081,HLOOKUP(INDIRECT(ADDRESS(2,COLUMN())),OFFSET($BN$2,0,0,ROW()-1,60),ROW()-1,FALSE))</f>
        <v>5.7249089189999998</v>
      </c>
      <c r="BJ418">
        <f ca="1">IF(AND(ISNUMBER($BJ$1081),$B$677=1),$BJ$1081,HLOOKUP(INDIRECT(ADDRESS(2,COLUMN())),OFFSET($BN$2,0,0,ROW()-1,60),ROW()-1,FALSE))</f>
        <v>5.6057750100000003</v>
      </c>
      <c r="BK418">
        <f ca="1">IF(AND(ISNUMBER($BK$1081),$B$677=1),$BK$1081,HLOOKUP(INDIRECT(ADDRESS(2,COLUMN())),OFFSET($BN$2,0,0,ROW()-1,60),ROW()-1,FALSE))</f>
        <v>4.9660005690000002</v>
      </c>
      <c r="BL418">
        <f ca="1">IF(AND(ISNUMBER($BL$1081),$B$677=1),$BL$1081,HLOOKUP(INDIRECT(ADDRESS(2,COLUMN())),OFFSET($BN$2,0,0,ROW()-1,60),ROW()-1,FALSE))</f>
        <v>4.8427515830000001</v>
      </c>
      <c r="BM418">
        <f ca="1">IF(AND(ISNUMBER($BM$1081),$B$677=1),$BM$1081,HLOOKUP(INDIRECT(ADDRESS(2,COLUMN())),OFFSET($BN$2,0,0,ROW()-1,60),ROW()-1,FALSE))</f>
        <v>5.1290258279999996</v>
      </c>
      <c r="BN418" t="str">
        <f>""</f>
        <v/>
      </c>
      <c r="BO418" t="str">
        <f>""</f>
        <v/>
      </c>
      <c r="BP418">
        <f>24.14537844</f>
        <v>24.145378440000002</v>
      </c>
      <c r="BQ418">
        <f>19.35288859</f>
        <v>19.352888589999999</v>
      </c>
      <c r="BR418">
        <f>23.18889175</f>
        <v>23.18889175</v>
      </c>
      <c r="BS418">
        <f>23.71863965</f>
        <v>23.71863965</v>
      </c>
      <c r="BT418">
        <f>16.35941377</f>
        <v>16.35941377</v>
      </c>
      <c r="BU418">
        <f>25.36772959</f>
        <v>25.36772959</v>
      </c>
      <c r="BV418">
        <f>28.35036415</f>
        <v>28.350364150000001</v>
      </c>
      <c r="BW418">
        <f>31.9124311</f>
        <v>31.912431099999999</v>
      </c>
      <c r="BX418">
        <f>76.61080903</f>
        <v>76.610809029999999</v>
      </c>
      <c r="BY418">
        <f>76.63252228</f>
        <v>76.632522280000003</v>
      </c>
      <c r="BZ418" t="str">
        <f>""</f>
        <v/>
      </c>
      <c r="CA418">
        <f>147.0960246</f>
        <v>147.09602459999999</v>
      </c>
      <c r="CB418">
        <f>76.48975525</f>
        <v>76.489755250000002</v>
      </c>
      <c r="CC418">
        <f>63.24770897</f>
        <v>63.247708969999998</v>
      </c>
      <c r="CD418">
        <f>50.03414587</f>
        <v>50.034145870000003</v>
      </c>
      <c r="CE418">
        <f>34.45179302</f>
        <v>34.451793019999997</v>
      </c>
      <c r="CF418">
        <f>25.70792067</f>
        <v>25.70792067</v>
      </c>
      <c r="CG418">
        <f>25.49171459</f>
        <v>25.491714590000001</v>
      </c>
      <c r="CH418">
        <f>18.71950188</f>
        <v>18.719501879999999</v>
      </c>
      <c r="CI418">
        <f>21.10138568</f>
        <v>21.10138568</v>
      </c>
      <c r="CJ418">
        <f>16.53572129</f>
        <v>16.535721290000001</v>
      </c>
      <c r="CK418">
        <f>19.61370451</f>
        <v>19.613704510000002</v>
      </c>
      <c r="CL418">
        <f>21.4960099</f>
        <v>21.496009900000001</v>
      </c>
      <c r="CM418">
        <f>15.09435221</f>
        <v>15.09435221</v>
      </c>
      <c r="CN418">
        <f>25.40311153</f>
        <v>25.40311153</v>
      </c>
      <c r="CO418">
        <f>13.74466036</f>
        <v>13.744660359999999</v>
      </c>
      <c r="CP418">
        <f>12.35501679</f>
        <v>12.355016790000001</v>
      </c>
      <c r="CQ418">
        <f>11.26462894</f>
        <v>11.26462894</v>
      </c>
      <c r="CR418">
        <f>27.20852497</f>
        <v>27.208524969999999</v>
      </c>
      <c r="CS418">
        <f>24.07115281</f>
        <v>24.071152810000001</v>
      </c>
      <c r="CT418">
        <f>14.7348216</f>
        <v>14.7348216</v>
      </c>
      <c r="CU418">
        <f>16.14552834</f>
        <v>16.145528339999998</v>
      </c>
      <c r="CV418">
        <f>5.27358942</f>
        <v>5.2735894200000004</v>
      </c>
      <c r="CW418">
        <f>5.238591916</f>
        <v>5.2385919159999998</v>
      </c>
      <c r="CX418">
        <f>5.288945126</f>
        <v>5.2889451259999998</v>
      </c>
      <c r="CY418">
        <f>4.96832388</f>
        <v>4.9683238799999998</v>
      </c>
      <c r="CZ418">
        <f>5.381655061</f>
        <v>5.381655061</v>
      </c>
      <c r="DA418">
        <f>2.811133877</f>
        <v>2.8111338770000001</v>
      </c>
      <c r="DB418">
        <f>2.470551504</f>
        <v>2.4705515039999999</v>
      </c>
      <c r="DC418">
        <f>3.750215903</f>
        <v>3.750215903</v>
      </c>
      <c r="DD418">
        <f>3.496788765</f>
        <v>3.4967887649999998</v>
      </c>
      <c r="DE418">
        <f>4.922061044</f>
        <v>4.9220610440000003</v>
      </c>
      <c r="DF418">
        <f>5.362733366</f>
        <v>5.3627333659999996</v>
      </c>
      <c r="DG418">
        <f>5.584539157</f>
        <v>5.584539157</v>
      </c>
      <c r="DH418">
        <f>7.066429965</f>
        <v>7.0664299650000002</v>
      </c>
      <c r="DI418">
        <f>7.118070433</f>
        <v>7.1180704329999998</v>
      </c>
      <c r="DJ418">
        <f>6.232315629</f>
        <v>6.2323156290000004</v>
      </c>
      <c r="DK418">
        <f>6.158127739</f>
        <v>6.1581277390000002</v>
      </c>
      <c r="DL418">
        <f>5.814878886</f>
        <v>5.8148788859999998</v>
      </c>
      <c r="DM418">
        <f>4.79515998</f>
        <v>4.7951599800000002</v>
      </c>
      <c r="DN418">
        <f>5.393444137</f>
        <v>5.3934441370000004</v>
      </c>
      <c r="DO418">
        <f>5.157412821</f>
        <v>5.1574128210000003</v>
      </c>
      <c r="DP418">
        <f>5.049048455</f>
        <v>5.0490484550000003</v>
      </c>
      <c r="DQ418">
        <f>5.724908919</f>
        <v>5.7249089189999998</v>
      </c>
      <c r="DR418">
        <f>5.60577501</f>
        <v>5.6057750100000003</v>
      </c>
      <c r="DS418">
        <f>4.966000569</f>
        <v>4.9660005690000002</v>
      </c>
      <c r="DT418">
        <f>4.842751583</f>
        <v>4.8427515830000001</v>
      </c>
      <c r="DU418">
        <f>5.129025828</f>
        <v>5.1290258279999996</v>
      </c>
    </row>
    <row r="419" spans="1:125" x14ac:dyDescent="0.25">
      <c r="A419" t="str">
        <f>"    Brilliance China Automotive Holdings Ltd"</f>
        <v xml:space="preserve">    Brilliance China Automotive Holdings Ltd</v>
      </c>
      <c r="B419" t="str">
        <f>"1114 HK Equity"</f>
        <v>1114 HK Equity</v>
      </c>
      <c r="C419" t="str">
        <f t="shared" si="30"/>
        <v>RR477</v>
      </c>
      <c r="D419" t="str">
        <f t="shared" si="31"/>
        <v>EV_TO_T12M_CASH_FLOW</v>
      </c>
      <c r="E419" t="str">
        <f t="shared" si="32"/>
        <v>Dynamic</v>
      </c>
      <c r="F419" t="str">
        <f ca="1">IF(AND(ISNUMBER($F$1082),$B$677=1),$F$1082,HLOOKUP(INDIRECT(ADDRESS(2,COLUMN())),OFFSET($BN$2,0,0,ROW()-1,60),ROW()-1,FALSE))</f>
        <v/>
      </c>
      <c r="G419" t="str">
        <f ca="1">IF(AND(ISNUMBER($G$1082),$B$677=1),$G$1082,HLOOKUP(INDIRECT(ADDRESS(2,COLUMN())),OFFSET($BN$2,0,0,ROW()-1,60),ROW()-1,FALSE))</f>
        <v/>
      </c>
      <c r="H419" t="str">
        <f ca="1">IF(AND(ISNUMBER($H$1082),$B$677=1),$H$1082,HLOOKUP(INDIRECT(ADDRESS(2,COLUMN())),OFFSET($BN$2,0,0,ROW()-1,60),ROW()-1,FALSE))</f>
        <v/>
      </c>
      <c r="I419" t="str">
        <f ca="1">IF(AND(ISNUMBER($I$1082),$B$677=1),$I$1082,HLOOKUP(INDIRECT(ADDRESS(2,COLUMN())),OFFSET($BN$2,0,0,ROW()-1,60),ROW()-1,FALSE))</f>
        <v/>
      </c>
      <c r="J419" t="str">
        <f ca="1">IF(AND(ISNUMBER($J$1082),$B$677=1),$J$1082,HLOOKUP(INDIRECT(ADDRESS(2,COLUMN())),OFFSET($BN$2,0,0,ROW()-1,60),ROW()-1,FALSE))</f>
        <v/>
      </c>
      <c r="K419" t="str">
        <f ca="1">IF(AND(ISNUMBER($K$1082),$B$677=1),$K$1082,HLOOKUP(INDIRECT(ADDRESS(2,COLUMN())),OFFSET($BN$2,0,0,ROW()-1,60),ROW()-1,FALSE))</f>
        <v/>
      </c>
      <c r="L419" t="str">
        <f ca="1">IF(AND(ISNUMBER($L$1082),$B$677=1),$L$1082,HLOOKUP(INDIRECT(ADDRESS(2,COLUMN())),OFFSET($BN$2,0,0,ROW()-1,60),ROW()-1,FALSE))</f>
        <v/>
      </c>
      <c r="M419" t="str">
        <f ca="1">IF(AND(ISNUMBER($M$1082),$B$677=1),$M$1082,HLOOKUP(INDIRECT(ADDRESS(2,COLUMN())),OFFSET($BN$2,0,0,ROW()-1,60),ROW()-1,FALSE))</f>
        <v/>
      </c>
      <c r="N419" t="str">
        <f ca="1">IF(AND(ISNUMBER($N$1082),$B$677=1),$N$1082,HLOOKUP(INDIRECT(ADDRESS(2,COLUMN())),OFFSET($BN$2,0,0,ROW()-1,60),ROW()-1,FALSE))</f>
        <v/>
      </c>
      <c r="O419" t="str">
        <f ca="1">IF(AND(ISNUMBER($O$1082),$B$677=1),$O$1082,HLOOKUP(INDIRECT(ADDRESS(2,COLUMN())),OFFSET($BN$2,0,0,ROW()-1,60),ROW()-1,FALSE))</f>
        <v/>
      </c>
      <c r="P419" t="str">
        <f ca="1">IF(AND(ISNUMBER($P$1082),$B$677=1),$P$1082,HLOOKUP(INDIRECT(ADDRESS(2,COLUMN())),OFFSET($BN$2,0,0,ROW()-1,60),ROW()-1,FALSE))</f>
        <v/>
      </c>
      <c r="Q419" t="str">
        <f ca="1">IF(AND(ISNUMBER($Q$1082),$B$677=1),$Q$1082,HLOOKUP(INDIRECT(ADDRESS(2,COLUMN())),OFFSET($BN$2,0,0,ROW()-1,60),ROW()-1,FALSE))</f>
        <v/>
      </c>
      <c r="R419" t="str">
        <f ca="1">IF(AND(ISNUMBER($R$1082),$B$677=1),$R$1082,HLOOKUP(INDIRECT(ADDRESS(2,COLUMN())),OFFSET($BN$2,0,0,ROW()-1,60),ROW()-1,FALSE))</f>
        <v/>
      </c>
      <c r="S419" t="str">
        <f ca="1">IF(AND(ISNUMBER($S$1082),$B$677=1),$S$1082,HLOOKUP(INDIRECT(ADDRESS(2,COLUMN())),OFFSET($BN$2,0,0,ROW()-1,60),ROW()-1,FALSE))</f>
        <v/>
      </c>
      <c r="T419" t="str">
        <f ca="1">IF(AND(ISNUMBER($T$1082),$B$677=1),$T$1082,HLOOKUP(INDIRECT(ADDRESS(2,COLUMN())),OFFSET($BN$2,0,0,ROW()-1,60),ROW()-1,FALSE))</f>
        <v/>
      </c>
      <c r="U419" t="str">
        <f ca="1">IF(AND(ISNUMBER($U$1082),$B$677=1),$U$1082,HLOOKUP(INDIRECT(ADDRESS(2,COLUMN())),OFFSET($BN$2,0,0,ROW()-1,60),ROW()-1,FALSE))</f>
        <v/>
      </c>
      <c r="V419" t="str">
        <f ca="1">IF(AND(ISNUMBER($V$1082),$B$677=1),$V$1082,HLOOKUP(INDIRECT(ADDRESS(2,COLUMN())),OFFSET($BN$2,0,0,ROW()-1,60),ROW()-1,FALSE))</f>
        <v/>
      </c>
      <c r="W419" t="str">
        <f ca="1">IF(AND(ISNUMBER($W$1082),$B$677=1),$W$1082,HLOOKUP(INDIRECT(ADDRESS(2,COLUMN())),OFFSET($BN$2,0,0,ROW()-1,60),ROW()-1,FALSE))</f>
        <v/>
      </c>
      <c r="X419" t="str">
        <f ca="1">IF(AND(ISNUMBER($X$1082),$B$677=1),$X$1082,HLOOKUP(INDIRECT(ADDRESS(2,COLUMN())),OFFSET($BN$2,0,0,ROW()-1,60),ROW()-1,FALSE))</f>
        <v/>
      </c>
      <c r="Y419" t="str">
        <f ca="1">IF(AND(ISNUMBER($Y$1082),$B$677=1),$Y$1082,HLOOKUP(INDIRECT(ADDRESS(2,COLUMN())),OFFSET($BN$2,0,0,ROW()-1,60),ROW()-1,FALSE))</f>
        <v/>
      </c>
      <c r="Z419" t="str">
        <f ca="1">IF(AND(ISNUMBER($Z$1082),$B$677=1),$Z$1082,HLOOKUP(INDIRECT(ADDRESS(2,COLUMN())),OFFSET($BN$2,0,0,ROW()-1,60),ROW()-1,FALSE))</f>
        <v/>
      </c>
      <c r="AA419" t="str">
        <f ca="1">IF(AND(ISNUMBER($AA$1082),$B$677=1),$AA$1082,HLOOKUP(INDIRECT(ADDRESS(2,COLUMN())),OFFSET($BN$2,0,0,ROW()-1,60),ROW()-1,FALSE))</f>
        <v/>
      </c>
      <c r="AB419" t="str">
        <f ca="1">IF(AND(ISNUMBER($AB$1082),$B$677=1),$AB$1082,HLOOKUP(INDIRECT(ADDRESS(2,COLUMN())),OFFSET($BN$2,0,0,ROW()-1,60),ROW()-1,FALSE))</f>
        <v/>
      </c>
      <c r="AC419" t="str">
        <f ca="1">IF(AND(ISNUMBER($AC$1082),$B$677=1),$AC$1082,HLOOKUP(INDIRECT(ADDRESS(2,COLUMN())),OFFSET($BN$2,0,0,ROW()-1,60),ROW()-1,FALSE))</f>
        <v/>
      </c>
      <c r="AD419" t="str">
        <f ca="1">IF(AND(ISNUMBER($AD$1082),$B$677=1),$AD$1082,HLOOKUP(INDIRECT(ADDRESS(2,COLUMN())),OFFSET($BN$2,0,0,ROW()-1,60),ROW()-1,FALSE))</f>
        <v/>
      </c>
      <c r="AE419" t="str">
        <f ca="1">IF(AND(ISNUMBER($AE$1082),$B$677=1),$AE$1082,HLOOKUP(INDIRECT(ADDRESS(2,COLUMN())),OFFSET($BN$2,0,0,ROW()-1,60),ROW()-1,FALSE))</f>
        <v/>
      </c>
      <c r="AF419" t="str">
        <f ca="1">IF(AND(ISNUMBER($AF$1082),$B$677=1),$AF$1082,HLOOKUP(INDIRECT(ADDRESS(2,COLUMN())),OFFSET($BN$2,0,0,ROW()-1,60),ROW()-1,FALSE))</f>
        <v/>
      </c>
      <c r="AG419" t="str">
        <f ca="1">IF(AND(ISNUMBER($AG$1082),$B$677=1),$AG$1082,HLOOKUP(INDIRECT(ADDRESS(2,COLUMN())),OFFSET($BN$2,0,0,ROW()-1,60),ROW()-1,FALSE))</f>
        <v/>
      </c>
      <c r="AH419" t="str">
        <f ca="1">IF(AND(ISNUMBER($AH$1082),$B$677=1),$AH$1082,HLOOKUP(INDIRECT(ADDRESS(2,COLUMN())),OFFSET($BN$2,0,0,ROW()-1,60),ROW()-1,FALSE))</f>
        <v/>
      </c>
      <c r="AI419" t="str">
        <f ca="1">IF(AND(ISNUMBER($AI$1082),$B$677=1),$AI$1082,HLOOKUP(INDIRECT(ADDRESS(2,COLUMN())),OFFSET($BN$2,0,0,ROW()-1,60),ROW()-1,FALSE))</f>
        <v/>
      </c>
      <c r="AJ419" t="str">
        <f ca="1">IF(AND(ISNUMBER($AJ$1082),$B$677=1),$AJ$1082,HLOOKUP(INDIRECT(ADDRESS(2,COLUMN())),OFFSET($BN$2,0,0,ROW()-1,60),ROW()-1,FALSE))</f>
        <v/>
      </c>
      <c r="AK419" t="str">
        <f ca="1">IF(AND(ISNUMBER($AK$1082),$B$677=1),$AK$1082,HLOOKUP(INDIRECT(ADDRESS(2,COLUMN())),OFFSET($BN$2,0,0,ROW()-1,60),ROW()-1,FALSE))</f>
        <v/>
      </c>
      <c r="AL419" t="str">
        <f ca="1">IF(AND(ISNUMBER($AL$1082),$B$677=1),$AL$1082,HLOOKUP(INDIRECT(ADDRESS(2,COLUMN())),OFFSET($BN$2,0,0,ROW()-1,60),ROW()-1,FALSE))</f>
        <v/>
      </c>
      <c r="AM419" t="str">
        <f ca="1">IF(AND(ISNUMBER($AM$1082),$B$677=1),$AM$1082,HLOOKUP(INDIRECT(ADDRESS(2,COLUMN())),OFFSET($BN$2,0,0,ROW()-1,60),ROW()-1,FALSE))</f>
        <v/>
      </c>
      <c r="AN419" t="str">
        <f ca="1">IF(AND(ISNUMBER($AN$1082),$B$677=1),$AN$1082,HLOOKUP(INDIRECT(ADDRESS(2,COLUMN())),OFFSET($BN$2,0,0,ROW()-1,60),ROW()-1,FALSE))</f>
        <v/>
      </c>
      <c r="AO419" t="str">
        <f ca="1">IF(AND(ISNUMBER($AO$1082),$B$677=1),$AO$1082,HLOOKUP(INDIRECT(ADDRESS(2,COLUMN())),OFFSET($BN$2,0,0,ROW()-1,60),ROW()-1,FALSE))</f>
        <v/>
      </c>
      <c r="AP419" t="str">
        <f ca="1">IF(AND(ISNUMBER($AP$1082),$B$677=1),$AP$1082,HLOOKUP(INDIRECT(ADDRESS(2,COLUMN())),OFFSET($BN$2,0,0,ROW()-1,60),ROW()-1,FALSE))</f>
        <v/>
      </c>
      <c r="AQ419" t="str">
        <f ca="1">IF(AND(ISNUMBER($AQ$1082),$B$677=1),$AQ$1082,HLOOKUP(INDIRECT(ADDRESS(2,COLUMN())),OFFSET($BN$2,0,0,ROW()-1,60),ROW()-1,FALSE))</f>
        <v/>
      </c>
      <c r="AR419" t="str">
        <f ca="1">IF(AND(ISNUMBER($AR$1082),$B$677=1),$AR$1082,HLOOKUP(INDIRECT(ADDRESS(2,COLUMN())),OFFSET($BN$2,0,0,ROW()-1,60),ROW()-1,FALSE))</f>
        <v/>
      </c>
      <c r="AS419" t="str">
        <f ca="1">IF(AND(ISNUMBER($AS$1082),$B$677=1),$AS$1082,HLOOKUP(INDIRECT(ADDRESS(2,COLUMN())),OFFSET($BN$2,0,0,ROW()-1,60),ROW()-1,FALSE))</f>
        <v/>
      </c>
      <c r="AT419" t="str">
        <f ca="1">IF(AND(ISNUMBER($AT$1082),$B$677=1),$AT$1082,HLOOKUP(INDIRECT(ADDRESS(2,COLUMN())),OFFSET($BN$2,0,0,ROW()-1,60),ROW()-1,FALSE))</f>
        <v/>
      </c>
      <c r="AU419" t="str">
        <f ca="1">IF(AND(ISNUMBER($AU$1082),$B$677=1),$AU$1082,HLOOKUP(INDIRECT(ADDRESS(2,COLUMN())),OFFSET($BN$2,0,0,ROW()-1,60),ROW()-1,FALSE))</f>
        <v/>
      </c>
      <c r="AV419" t="str">
        <f ca="1">IF(AND(ISNUMBER($AV$1082),$B$677=1),$AV$1082,HLOOKUP(INDIRECT(ADDRESS(2,COLUMN())),OFFSET($BN$2,0,0,ROW()-1,60),ROW()-1,FALSE))</f>
        <v/>
      </c>
      <c r="AW419" t="str">
        <f ca="1">IF(AND(ISNUMBER($AW$1082),$B$677=1),$AW$1082,HLOOKUP(INDIRECT(ADDRESS(2,COLUMN())),OFFSET($BN$2,0,0,ROW()-1,60),ROW()-1,FALSE))</f>
        <v/>
      </c>
      <c r="AX419" t="str">
        <f ca="1">IF(AND(ISNUMBER($AX$1082),$B$677=1),$AX$1082,HLOOKUP(INDIRECT(ADDRESS(2,COLUMN())),OFFSET($BN$2,0,0,ROW()-1,60),ROW()-1,FALSE))</f>
        <v/>
      </c>
      <c r="AY419" t="str">
        <f ca="1">IF(AND(ISNUMBER($AY$1082),$B$677=1),$AY$1082,HLOOKUP(INDIRECT(ADDRESS(2,COLUMN())),OFFSET($BN$2,0,0,ROW()-1,60),ROW()-1,FALSE))</f>
        <v/>
      </c>
      <c r="AZ419" t="str">
        <f ca="1">IF(AND(ISNUMBER($AZ$1082),$B$677=1),$AZ$1082,HLOOKUP(INDIRECT(ADDRESS(2,COLUMN())),OFFSET($BN$2,0,0,ROW()-1,60),ROW()-1,FALSE))</f>
        <v/>
      </c>
      <c r="BA419" t="str">
        <f ca="1">IF(AND(ISNUMBER($BA$1082),$B$677=1),$BA$1082,HLOOKUP(INDIRECT(ADDRESS(2,COLUMN())),OFFSET($BN$2,0,0,ROW()-1,60),ROW()-1,FALSE))</f>
        <v/>
      </c>
      <c r="BB419" t="str">
        <f ca="1">IF(AND(ISNUMBER($BB$1082),$B$677=1),$BB$1082,HLOOKUP(INDIRECT(ADDRESS(2,COLUMN())),OFFSET($BN$2,0,0,ROW()-1,60),ROW()-1,FALSE))</f>
        <v/>
      </c>
      <c r="BC419" t="str">
        <f ca="1">IF(AND(ISNUMBER($BC$1082),$B$677=1),$BC$1082,HLOOKUP(INDIRECT(ADDRESS(2,COLUMN())),OFFSET($BN$2,0,0,ROW()-1,60),ROW()-1,FALSE))</f>
        <v/>
      </c>
      <c r="BD419" t="str">
        <f ca="1">IF(AND(ISNUMBER($BD$1082),$B$677=1),$BD$1082,HLOOKUP(INDIRECT(ADDRESS(2,COLUMN())),OFFSET($BN$2,0,0,ROW()-1,60),ROW()-1,FALSE))</f>
        <v/>
      </c>
      <c r="BE419" t="str">
        <f ca="1">IF(AND(ISNUMBER($BE$1082),$B$677=1),$BE$1082,HLOOKUP(INDIRECT(ADDRESS(2,COLUMN())),OFFSET($BN$2,0,0,ROW()-1,60),ROW()-1,FALSE))</f>
        <v/>
      </c>
      <c r="BF419" t="str">
        <f ca="1">IF(AND(ISNUMBER($BF$1082),$B$677=1),$BF$1082,HLOOKUP(INDIRECT(ADDRESS(2,COLUMN())),OFFSET($BN$2,0,0,ROW()-1,60),ROW()-1,FALSE))</f>
        <v/>
      </c>
      <c r="BG419" t="str">
        <f ca="1">IF(AND(ISNUMBER($BG$1082),$B$677=1),$BG$1082,HLOOKUP(INDIRECT(ADDRESS(2,COLUMN())),OFFSET($BN$2,0,0,ROW()-1,60),ROW()-1,FALSE))</f>
        <v/>
      </c>
      <c r="BH419" t="str">
        <f ca="1">IF(AND(ISNUMBER($BH$1082),$B$677=1),$BH$1082,HLOOKUP(INDIRECT(ADDRESS(2,COLUMN())),OFFSET($BN$2,0,0,ROW()-1,60),ROW()-1,FALSE))</f>
        <v/>
      </c>
      <c r="BI419" t="str">
        <f ca="1">IF(AND(ISNUMBER($BI$1082),$B$677=1),$BI$1082,HLOOKUP(INDIRECT(ADDRESS(2,COLUMN())),OFFSET($BN$2,0,0,ROW()-1,60),ROW()-1,FALSE))</f>
        <v/>
      </c>
      <c r="BJ419" t="str">
        <f ca="1">IF(AND(ISNUMBER($BJ$1082),$B$677=1),$BJ$1082,HLOOKUP(INDIRECT(ADDRESS(2,COLUMN())),OFFSET($BN$2,0,0,ROW()-1,60),ROW()-1,FALSE))</f>
        <v/>
      </c>
      <c r="BK419" t="str">
        <f ca="1">IF(AND(ISNUMBER($BK$1082),$B$677=1),$BK$1082,HLOOKUP(INDIRECT(ADDRESS(2,COLUMN())),OFFSET($BN$2,0,0,ROW()-1,60),ROW()-1,FALSE))</f>
        <v/>
      </c>
      <c r="BL419" t="str">
        <f ca="1">IF(AND(ISNUMBER($BL$1082),$B$677=1),$BL$1082,HLOOKUP(INDIRECT(ADDRESS(2,COLUMN())),OFFSET($BN$2,0,0,ROW()-1,60),ROW()-1,FALSE))</f>
        <v/>
      </c>
      <c r="BM419" t="str">
        <f ca="1">IF(AND(ISNUMBER($BM$1082),$B$677=1),$BM$1082,HLOOKUP(INDIRECT(ADDRESS(2,COLUMN())),OFFSET($BN$2,0,0,ROW()-1,60),ROW()-1,FALSE))</f>
        <v/>
      </c>
      <c r="BN419" t="str">
        <f>""</f>
        <v/>
      </c>
      <c r="BO419" t="str">
        <f>""</f>
        <v/>
      </c>
      <c r="BP419" t="str">
        <f>""</f>
        <v/>
      </c>
      <c r="BQ419" t="str">
        <f>""</f>
        <v/>
      </c>
      <c r="BR419" t="str">
        <f>""</f>
        <v/>
      </c>
      <c r="BS419" t="str">
        <f>""</f>
        <v/>
      </c>
      <c r="BT419" t="str">
        <f>""</f>
        <v/>
      </c>
      <c r="BU419" t="str">
        <f>""</f>
        <v/>
      </c>
      <c r="BV419" t="str">
        <f>""</f>
        <v/>
      </c>
      <c r="BW419" t="str">
        <f>""</f>
        <v/>
      </c>
      <c r="BX419" t="str">
        <f>""</f>
        <v/>
      </c>
      <c r="BY419" t="str">
        <f>""</f>
        <v/>
      </c>
      <c r="BZ419" t="str">
        <f>""</f>
        <v/>
      </c>
      <c r="CA419" t="str">
        <f>""</f>
        <v/>
      </c>
      <c r="CB419" t="str">
        <f>""</f>
        <v/>
      </c>
      <c r="CC419" t="str">
        <f>""</f>
        <v/>
      </c>
      <c r="CD419" t="str">
        <f>""</f>
        <v/>
      </c>
      <c r="CE419" t="str">
        <f>""</f>
        <v/>
      </c>
      <c r="CF419" t="str">
        <f>""</f>
        <v/>
      </c>
      <c r="CG419" t="str">
        <f>""</f>
        <v/>
      </c>
      <c r="CH419" t="str">
        <f>""</f>
        <v/>
      </c>
      <c r="CI419" t="str">
        <f>""</f>
        <v/>
      </c>
      <c r="CJ419" t="str">
        <f>""</f>
        <v/>
      </c>
      <c r="CK419" t="str">
        <f>""</f>
        <v/>
      </c>
      <c r="CL419" t="str">
        <f>""</f>
        <v/>
      </c>
      <c r="CM419" t="str">
        <f>""</f>
        <v/>
      </c>
      <c r="CN419" t="str">
        <f>""</f>
        <v/>
      </c>
      <c r="CO419" t="str">
        <f>""</f>
        <v/>
      </c>
      <c r="CP419" t="str">
        <f>""</f>
        <v/>
      </c>
      <c r="CQ419" t="str">
        <f>""</f>
        <v/>
      </c>
      <c r="CR419" t="str">
        <f>""</f>
        <v/>
      </c>
      <c r="CS419" t="str">
        <f>""</f>
        <v/>
      </c>
      <c r="CT419" t="str">
        <f>""</f>
        <v/>
      </c>
      <c r="CU419" t="str">
        <f>""</f>
        <v/>
      </c>
      <c r="CV419" t="str">
        <f>""</f>
        <v/>
      </c>
      <c r="CW419" t="str">
        <f>""</f>
        <v/>
      </c>
      <c r="CX419" t="str">
        <f>""</f>
        <v/>
      </c>
      <c r="CY419" t="str">
        <f>""</f>
        <v/>
      </c>
      <c r="CZ419" t="str">
        <f>""</f>
        <v/>
      </c>
      <c r="DA419" t="str">
        <f>""</f>
        <v/>
      </c>
      <c r="DB419" t="str">
        <f>""</f>
        <v/>
      </c>
      <c r="DC419" t="str">
        <f>""</f>
        <v/>
      </c>
      <c r="DD419" t="str">
        <f>""</f>
        <v/>
      </c>
      <c r="DE419" t="str">
        <f>""</f>
        <v/>
      </c>
      <c r="DF419" t="str">
        <f>""</f>
        <v/>
      </c>
      <c r="DG419" t="str">
        <f>""</f>
        <v/>
      </c>
      <c r="DH419" t="str">
        <f>""</f>
        <v/>
      </c>
      <c r="DI419" t="str">
        <f>""</f>
        <v/>
      </c>
      <c r="DJ419" t="str">
        <f>""</f>
        <v/>
      </c>
      <c r="DK419" t="str">
        <f>""</f>
        <v/>
      </c>
      <c r="DL419" t="str">
        <f>""</f>
        <v/>
      </c>
      <c r="DM419" t="str">
        <f>""</f>
        <v/>
      </c>
      <c r="DN419" t="str">
        <f>""</f>
        <v/>
      </c>
      <c r="DO419" t="str">
        <f>""</f>
        <v/>
      </c>
      <c r="DP419" t="str">
        <f>""</f>
        <v/>
      </c>
      <c r="DQ419" t="str">
        <f>""</f>
        <v/>
      </c>
      <c r="DR419" t="str">
        <f>""</f>
        <v/>
      </c>
      <c r="DS419" t="str">
        <f>""</f>
        <v/>
      </c>
      <c r="DT419" t="str">
        <f>""</f>
        <v/>
      </c>
      <c r="DU419" t="str">
        <f>""</f>
        <v/>
      </c>
    </row>
    <row r="420" spans="1:125" x14ac:dyDescent="0.25">
      <c r="A420" t="str">
        <f>"    BYD Co Ltd"</f>
        <v xml:space="preserve">    BYD Co Ltd</v>
      </c>
      <c r="B420" t="str">
        <f>"1211 HK Equity"</f>
        <v>1211 HK Equity</v>
      </c>
      <c r="C420" t="str">
        <f t="shared" si="30"/>
        <v>RR477</v>
      </c>
      <c r="D420" t="str">
        <f t="shared" si="31"/>
        <v>EV_TO_T12M_CASH_FLOW</v>
      </c>
      <c r="E420" t="str">
        <f t="shared" si="32"/>
        <v>Dynamic</v>
      </c>
      <c r="F420" t="str">
        <f ca="1">IF(AND(ISNUMBER($F$1083),$B$677=1),$F$1083,HLOOKUP(INDIRECT(ADDRESS(2,COLUMN())),OFFSET($BN$2,0,0,ROW()-1,60),ROW()-1,FALSE))</f>
        <v/>
      </c>
      <c r="G420" t="str">
        <f ca="1">IF(AND(ISNUMBER($G$1083),$B$677=1),$G$1083,HLOOKUP(INDIRECT(ADDRESS(2,COLUMN())),OFFSET($BN$2,0,0,ROW()-1,60),ROW()-1,FALSE))</f>
        <v/>
      </c>
      <c r="H420">
        <f ca="1">IF(AND(ISNUMBER($H$1083),$B$677=1),$H$1083,HLOOKUP(INDIRECT(ADDRESS(2,COLUMN())),OFFSET($BN$2,0,0,ROW()-1,60),ROW()-1,FALSE))</f>
        <v>21.512232999999998</v>
      </c>
      <c r="I420">
        <f ca="1">IF(AND(ISNUMBER($I$1083),$B$677=1),$I$1083,HLOOKUP(INDIRECT(ADDRESS(2,COLUMN())),OFFSET($BN$2,0,0,ROW()-1,60),ROW()-1,FALSE))</f>
        <v>34.05668661</v>
      </c>
      <c r="J420">
        <f ca="1">IF(AND(ISNUMBER($J$1083),$B$677=1),$J$1083,HLOOKUP(INDIRECT(ADDRESS(2,COLUMN())),OFFSET($BN$2,0,0,ROW()-1,60),ROW()-1,FALSE))</f>
        <v>37.526756659999997</v>
      </c>
      <c r="K420">
        <f ca="1">IF(AND(ISNUMBER($K$1083),$B$677=1),$K$1083,HLOOKUP(INDIRECT(ADDRESS(2,COLUMN())),OFFSET($BN$2,0,0,ROW()-1,60),ROW()-1,FALSE))</f>
        <v>60.967655729999997</v>
      </c>
      <c r="L420" t="str">
        <f ca="1">IF(AND(ISNUMBER($L$1083),$B$677=1),$L$1083,HLOOKUP(INDIRECT(ADDRESS(2,COLUMN())),OFFSET($BN$2,0,0,ROW()-1,60),ROW()-1,FALSE))</f>
        <v/>
      </c>
      <c r="M420" t="str">
        <f ca="1">IF(AND(ISNUMBER($M$1083),$B$677=1),$M$1083,HLOOKUP(INDIRECT(ADDRESS(2,COLUMN())),OFFSET($BN$2,0,0,ROW()-1,60),ROW()-1,FALSE))</f>
        <v/>
      </c>
      <c r="N420" t="str">
        <f ca="1">IF(AND(ISNUMBER($N$1083),$B$677=1),$N$1083,HLOOKUP(INDIRECT(ADDRESS(2,COLUMN())),OFFSET($BN$2,0,0,ROW()-1,60),ROW()-1,FALSE))</f>
        <v/>
      </c>
      <c r="O420" t="str">
        <f ca="1">IF(AND(ISNUMBER($O$1083),$B$677=1),$O$1083,HLOOKUP(INDIRECT(ADDRESS(2,COLUMN())),OFFSET($BN$2,0,0,ROW()-1,60),ROW()-1,FALSE))</f>
        <v/>
      </c>
      <c r="P420">
        <f ca="1">IF(AND(ISNUMBER($P$1083),$B$677=1),$P$1083,HLOOKUP(INDIRECT(ADDRESS(2,COLUMN())),OFFSET($BN$2,0,0,ROW()-1,60),ROW()-1,FALSE))</f>
        <v>367.34761909999997</v>
      </c>
      <c r="Q420" t="str">
        <f ca="1">IF(AND(ISNUMBER($Q$1083),$B$677=1),$Q$1083,HLOOKUP(INDIRECT(ADDRESS(2,COLUMN())),OFFSET($BN$2,0,0,ROW()-1,60),ROW()-1,FALSE))</f>
        <v/>
      </c>
      <c r="R420" t="str">
        <f ca="1">IF(AND(ISNUMBER($R$1083),$B$677=1),$R$1083,HLOOKUP(INDIRECT(ADDRESS(2,COLUMN())),OFFSET($BN$2,0,0,ROW()-1,60),ROW()-1,FALSE))</f>
        <v/>
      </c>
      <c r="S420">
        <f ca="1">IF(AND(ISNUMBER($S$1083),$B$677=1),$S$1083,HLOOKUP(INDIRECT(ADDRESS(2,COLUMN())),OFFSET($BN$2,0,0,ROW()-1,60),ROW()-1,FALSE))</f>
        <v>86.436879450000006</v>
      </c>
      <c r="T420" t="str">
        <f ca="1">IF(AND(ISNUMBER($T$1083),$B$677=1),$T$1083,HLOOKUP(INDIRECT(ADDRESS(2,COLUMN())),OFFSET($BN$2,0,0,ROW()-1,60),ROW()-1,FALSE))</f>
        <v/>
      </c>
      <c r="U420">
        <f ca="1">IF(AND(ISNUMBER($U$1083),$B$677=1),$U$1083,HLOOKUP(INDIRECT(ADDRESS(2,COLUMN())),OFFSET($BN$2,0,0,ROW()-1,60),ROW()-1,FALSE))</f>
        <v>87.535142930000006</v>
      </c>
      <c r="V420">
        <f ca="1">IF(AND(ISNUMBER($V$1083),$B$677=1),$V$1083,HLOOKUP(INDIRECT(ADDRESS(2,COLUMN())),OFFSET($BN$2,0,0,ROW()-1,60),ROW()-1,FALSE))</f>
        <v>45.220940710000001</v>
      </c>
      <c r="W420" t="str">
        <f ca="1">IF(AND(ISNUMBER($W$1083),$B$677=1),$W$1083,HLOOKUP(INDIRECT(ADDRESS(2,COLUMN())),OFFSET($BN$2,0,0,ROW()-1,60),ROW()-1,FALSE))</f>
        <v/>
      </c>
      <c r="X420" t="str">
        <f ca="1">IF(AND(ISNUMBER($X$1083),$B$677=1),$X$1083,HLOOKUP(INDIRECT(ADDRESS(2,COLUMN())),OFFSET($BN$2,0,0,ROW()-1,60),ROW()-1,FALSE))</f>
        <v/>
      </c>
      <c r="Y420" t="str">
        <f ca="1">IF(AND(ISNUMBER($Y$1083),$B$677=1),$Y$1083,HLOOKUP(INDIRECT(ADDRESS(2,COLUMN())),OFFSET($BN$2,0,0,ROW()-1,60),ROW()-1,FALSE))</f>
        <v/>
      </c>
      <c r="Z420" t="str">
        <f ca="1">IF(AND(ISNUMBER($Z$1083),$B$677=1),$Z$1083,HLOOKUP(INDIRECT(ADDRESS(2,COLUMN())),OFFSET($BN$2,0,0,ROW()-1,60),ROW()-1,FALSE))</f>
        <v/>
      </c>
      <c r="AA420">
        <f ca="1">IF(AND(ISNUMBER($AA$1083),$B$677=1),$AA$1083,HLOOKUP(INDIRECT(ADDRESS(2,COLUMN())),OFFSET($BN$2,0,0,ROW()-1,60),ROW()-1,FALSE))</f>
        <v>88.867409460000005</v>
      </c>
      <c r="AB420">
        <f ca="1">IF(AND(ISNUMBER($AB$1083),$B$677=1),$AB$1083,HLOOKUP(INDIRECT(ADDRESS(2,COLUMN())),OFFSET($BN$2,0,0,ROW()-1,60),ROW()-1,FALSE))</f>
        <v>33.151256150000002</v>
      </c>
      <c r="AC420">
        <f ca="1">IF(AND(ISNUMBER($AC$1083),$B$677=1),$AC$1083,HLOOKUP(INDIRECT(ADDRESS(2,COLUMN())),OFFSET($BN$2,0,0,ROW()-1,60),ROW()-1,FALSE))</f>
        <v>43.331458390000002</v>
      </c>
      <c r="AD420">
        <f ca="1">IF(AND(ISNUMBER($AD$1083),$B$677=1),$AD$1083,HLOOKUP(INDIRECT(ADDRESS(2,COLUMN())),OFFSET($BN$2,0,0,ROW()-1,60),ROW()-1,FALSE))</f>
        <v>37.316838410000003</v>
      </c>
      <c r="AE420">
        <f ca="1">IF(AND(ISNUMBER($AE$1083),$B$677=1),$AE$1083,HLOOKUP(INDIRECT(ADDRESS(2,COLUMN())),OFFSET($BN$2,0,0,ROW()-1,60),ROW()-1,FALSE))</f>
        <v>17.065492880000001</v>
      </c>
      <c r="AF420">
        <f ca="1">IF(AND(ISNUMBER($AF$1083),$B$677=1),$AF$1083,HLOOKUP(INDIRECT(ADDRESS(2,COLUMN())),OFFSET($BN$2,0,0,ROW()-1,60),ROW()-1,FALSE))</f>
        <v>15.63435136</v>
      </c>
      <c r="AG420">
        <f ca="1">IF(AND(ISNUMBER($AG$1083),$B$677=1),$AG$1083,HLOOKUP(INDIRECT(ADDRESS(2,COLUMN())),OFFSET($BN$2,0,0,ROW()-1,60),ROW()-1,FALSE))</f>
        <v>15.33899252</v>
      </c>
      <c r="AH420" t="str">
        <f ca="1">IF(AND(ISNUMBER($AH$1083),$B$677=1),$AH$1083,HLOOKUP(INDIRECT(ADDRESS(2,COLUMN())),OFFSET($BN$2,0,0,ROW()-1,60),ROW()-1,FALSE))</f>
        <v/>
      </c>
      <c r="AI420" t="str">
        <f ca="1">IF(AND(ISNUMBER($AI$1083),$B$677=1),$AI$1083,HLOOKUP(INDIRECT(ADDRESS(2,COLUMN())),OFFSET($BN$2,0,0,ROW()-1,60),ROW()-1,FALSE))</f>
        <v/>
      </c>
      <c r="AJ420" t="str">
        <f ca="1">IF(AND(ISNUMBER($AJ$1083),$B$677=1),$AJ$1083,HLOOKUP(INDIRECT(ADDRESS(2,COLUMN())),OFFSET($BN$2,0,0,ROW()-1,60),ROW()-1,FALSE))</f>
        <v/>
      </c>
      <c r="AK420" t="str">
        <f ca="1">IF(AND(ISNUMBER($AK$1083),$B$677=1),$AK$1083,HLOOKUP(INDIRECT(ADDRESS(2,COLUMN())),OFFSET($BN$2,0,0,ROW()-1,60),ROW()-1,FALSE))</f>
        <v/>
      </c>
      <c r="AL420" t="str">
        <f ca="1">IF(AND(ISNUMBER($AL$1083),$B$677=1),$AL$1083,HLOOKUP(INDIRECT(ADDRESS(2,COLUMN())),OFFSET($BN$2,0,0,ROW()-1,60),ROW()-1,FALSE))</f>
        <v/>
      </c>
      <c r="AM420">
        <f ca="1">IF(AND(ISNUMBER($AM$1083),$B$677=1),$AM$1083,HLOOKUP(INDIRECT(ADDRESS(2,COLUMN())),OFFSET($BN$2,0,0,ROW()-1,60),ROW()-1,FALSE))</f>
        <v>34.226486629999997</v>
      </c>
      <c r="AN420">
        <f ca="1">IF(AND(ISNUMBER($AN$1083),$B$677=1),$AN$1083,HLOOKUP(INDIRECT(ADDRESS(2,COLUMN())),OFFSET($BN$2,0,0,ROW()-1,60),ROW()-1,FALSE))</f>
        <v>15.395956630000001</v>
      </c>
      <c r="AO420">
        <f ca="1">IF(AND(ISNUMBER($AO$1083),$B$677=1),$AO$1083,HLOOKUP(INDIRECT(ADDRESS(2,COLUMN())),OFFSET($BN$2,0,0,ROW()-1,60),ROW()-1,FALSE))</f>
        <v>12.38004039</v>
      </c>
      <c r="AP420" t="str">
        <f ca="1">IF(AND(ISNUMBER($AP$1083),$B$677=1),$AP$1083,HLOOKUP(INDIRECT(ADDRESS(2,COLUMN())),OFFSET($BN$2,0,0,ROW()-1,60),ROW()-1,FALSE))</f>
        <v/>
      </c>
      <c r="AQ420" t="str">
        <f ca="1">IF(AND(ISNUMBER($AQ$1083),$B$677=1),$AQ$1083,HLOOKUP(INDIRECT(ADDRESS(2,COLUMN())),OFFSET($BN$2,0,0,ROW()-1,60),ROW()-1,FALSE))</f>
        <v/>
      </c>
      <c r="AR420" t="str">
        <f ca="1">IF(AND(ISNUMBER($AR$1083),$B$677=1),$AR$1083,HLOOKUP(INDIRECT(ADDRESS(2,COLUMN())),OFFSET($BN$2,0,0,ROW()-1,60),ROW()-1,FALSE))</f>
        <v/>
      </c>
      <c r="AS420" t="str">
        <f ca="1">IF(AND(ISNUMBER($AS$1083),$B$677=1),$AS$1083,HLOOKUP(INDIRECT(ADDRESS(2,COLUMN())),OFFSET($BN$2,0,0,ROW()-1,60),ROW()-1,FALSE))</f>
        <v/>
      </c>
      <c r="AT420" t="str">
        <f ca="1">IF(AND(ISNUMBER($AT$1083),$B$677=1),$AT$1083,HLOOKUP(INDIRECT(ADDRESS(2,COLUMN())),OFFSET($BN$2,0,0,ROW()-1,60),ROW()-1,FALSE))</f>
        <v/>
      </c>
      <c r="AU420" t="str">
        <f ca="1">IF(AND(ISNUMBER($AU$1083),$B$677=1),$AU$1083,HLOOKUP(INDIRECT(ADDRESS(2,COLUMN())),OFFSET($BN$2,0,0,ROW()-1,60),ROW()-1,FALSE))</f>
        <v/>
      </c>
      <c r="AV420" t="str">
        <f ca="1">IF(AND(ISNUMBER($AV$1083),$B$677=1),$AV$1083,HLOOKUP(INDIRECT(ADDRESS(2,COLUMN())),OFFSET($BN$2,0,0,ROW()-1,60),ROW()-1,FALSE))</f>
        <v/>
      </c>
      <c r="AW420" t="str">
        <f ca="1">IF(AND(ISNUMBER($AW$1083),$B$677=1),$AW$1083,HLOOKUP(INDIRECT(ADDRESS(2,COLUMN())),OFFSET($BN$2,0,0,ROW()-1,60),ROW()-1,FALSE))</f>
        <v/>
      </c>
      <c r="AX420" t="str">
        <f ca="1">IF(AND(ISNUMBER($AX$1083),$B$677=1),$AX$1083,HLOOKUP(INDIRECT(ADDRESS(2,COLUMN())),OFFSET($BN$2,0,0,ROW()-1,60),ROW()-1,FALSE))</f>
        <v/>
      </c>
      <c r="AY420" t="str">
        <f ca="1">IF(AND(ISNUMBER($AY$1083),$B$677=1),$AY$1083,HLOOKUP(INDIRECT(ADDRESS(2,COLUMN())),OFFSET($BN$2,0,0,ROW()-1,60),ROW()-1,FALSE))</f>
        <v/>
      </c>
      <c r="AZ420" t="str">
        <f ca="1">IF(AND(ISNUMBER($AZ$1083),$B$677=1),$AZ$1083,HLOOKUP(INDIRECT(ADDRESS(2,COLUMN())),OFFSET($BN$2,0,0,ROW()-1,60),ROW()-1,FALSE))</f>
        <v/>
      </c>
      <c r="BA420" t="str">
        <f ca="1">IF(AND(ISNUMBER($BA$1083),$B$677=1),$BA$1083,HLOOKUP(INDIRECT(ADDRESS(2,COLUMN())),OFFSET($BN$2,0,0,ROW()-1,60),ROW()-1,FALSE))</f>
        <v/>
      </c>
      <c r="BB420" t="str">
        <f ca="1">IF(AND(ISNUMBER($BB$1083),$B$677=1),$BB$1083,HLOOKUP(INDIRECT(ADDRESS(2,COLUMN())),OFFSET($BN$2,0,0,ROW()-1,60),ROW()-1,FALSE))</f>
        <v/>
      </c>
      <c r="BC420" t="str">
        <f ca="1">IF(AND(ISNUMBER($BC$1083),$B$677=1),$BC$1083,HLOOKUP(INDIRECT(ADDRESS(2,COLUMN())),OFFSET($BN$2,0,0,ROW()-1,60),ROW()-1,FALSE))</f>
        <v/>
      </c>
      <c r="BD420" t="str">
        <f ca="1">IF(AND(ISNUMBER($BD$1083),$B$677=1),$BD$1083,HLOOKUP(INDIRECT(ADDRESS(2,COLUMN())),OFFSET($BN$2,0,0,ROW()-1,60),ROW()-1,FALSE))</f>
        <v/>
      </c>
      <c r="BE420" t="str">
        <f ca="1">IF(AND(ISNUMBER($BE$1083),$B$677=1),$BE$1083,HLOOKUP(INDIRECT(ADDRESS(2,COLUMN())),OFFSET($BN$2,0,0,ROW()-1,60),ROW()-1,FALSE))</f>
        <v/>
      </c>
      <c r="BF420" t="str">
        <f ca="1">IF(AND(ISNUMBER($BF$1083),$B$677=1),$BF$1083,HLOOKUP(INDIRECT(ADDRESS(2,COLUMN())),OFFSET($BN$2,0,0,ROW()-1,60),ROW()-1,FALSE))</f>
        <v/>
      </c>
      <c r="BG420" t="str">
        <f ca="1">IF(AND(ISNUMBER($BG$1083),$B$677=1),$BG$1083,HLOOKUP(INDIRECT(ADDRESS(2,COLUMN())),OFFSET($BN$2,0,0,ROW()-1,60),ROW()-1,FALSE))</f>
        <v/>
      </c>
      <c r="BH420" t="str">
        <f ca="1">IF(AND(ISNUMBER($BH$1083),$B$677=1),$BH$1083,HLOOKUP(INDIRECT(ADDRESS(2,COLUMN())),OFFSET($BN$2,0,0,ROW()-1,60),ROW()-1,FALSE))</f>
        <v/>
      </c>
      <c r="BI420" t="str">
        <f ca="1">IF(AND(ISNUMBER($BI$1083),$B$677=1),$BI$1083,HLOOKUP(INDIRECT(ADDRESS(2,COLUMN())),OFFSET($BN$2,0,0,ROW()-1,60),ROW()-1,FALSE))</f>
        <v/>
      </c>
      <c r="BJ420" t="str">
        <f ca="1">IF(AND(ISNUMBER($BJ$1083),$B$677=1),$BJ$1083,HLOOKUP(INDIRECT(ADDRESS(2,COLUMN())),OFFSET($BN$2,0,0,ROW()-1,60),ROW()-1,FALSE))</f>
        <v/>
      </c>
      <c r="BK420" t="str">
        <f ca="1">IF(AND(ISNUMBER($BK$1083),$B$677=1),$BK$1083,HLOOKUP(INDIRECT(ADDRESS(2,COLUMN())),OFFSET($BN$2,0,0,ROW()-1,60),ROW()-1,FALSE))</f>
        <v/>
      </c>
      <c r="BL420" t="str">
        <f ca="1">IF(AND(ISNUMBER($BL$1083),$B$677=1),$BL$1083,HLOOKUP(INDIRECT(ADDRESS(2,COLUMN())),OFFSET($BN$2,0,0,ROW()-1,60),ROW()-1,FALSE))</f>
        <v/>
      </c>
      <c r="BM420" t="str">
        <f ca="1">IF(AND(ISNUMBER($BM$1083),$B$677=1),$BM$1083,HLOOKUP(INDIRECT(ADDRESS(2,COLUMN())),OFFSET($BN$2,0,0,ROW()-1,60),ROW()-1,FALSE))</f>
        <v/>
      </c>
      <c r="BN420" t="str">
        <f>""</f>
        <v/>
      </c>
      <c r="BO420" t="str">
        <f>""</f>
        <v/>
      </c>
      <c r="BP420">
        <f>21.512233</f>
        <v>21.512232999999998</v>
      </c>
      <c r="BQ420">
        <f>34.05668661</f>
        <v>34.05668661</v>
      </c>
      <c r="BR420">
        <f>37.52675666</f>
        <v>37.526756659999997</v>
      </c>
      <c r="BS420">
        <f>60.96765573</f>
        <v>60.967655729999997</v>
      </c>
      <c r="BT420" t="str">
        <f>""</f>
        <v/>
      </c>
      <c r="BU420" t="str">
        <f>""</f>
        <v/>
      </c>
      <c r="BV420" t="str">
        <f>""</f>
        <v/>
      </c>
      <c r="BW420" t="str">
        <f>""</f>
        <v/>
      </c>
      <c r="BX420">
        <f>367.3476191</f>
        <v>367.34761909999997</v>
      </c>
      <c r="BY420" t="str">
        <f>""</f>
        <v/>
      </c>
      <c r="BZ420" t="str">
        <f>""</f>
        <v/>
      </c>
      <c r="CA420">
        <f>86.43687945</f>
        <v>86.436879450000006</v>
      </c>
      <c r="CB420" t="str">
        <f>""</f>
        <v/>
      </c>
      <c r="CC420">
        <f>87.53514293</f>
        <v>87.535142930000006</v>
      </c>
      <c r="CD420">
        <f>45.22094071</f>
        <v>45.220940710000001</v>
      </c>
      <c r="CE420" t="str">
        <f>""</f>
        <v/>
      </c>
      <c r="CF420" t="str">
        <f>""</f>
        <v/>
      </c>
      <c r="CG420" t="str">
        <f>""</f>
        <v/>
      </c>
      <c r="CH420" t="str">
        <f>""</f>
        <v/>
      </c>
      <c r="CI420">
        <f>88.86740946</f>
        <v>88.867409460000005</v>
      </c>
      <c r="CJ420">
        <f>33.15125615</f>
        <v>33.151256150000002</v>
      </c>
      <c r="CK420">
        <f>43.33145839</f>
        <v>43.331458390000002</v>
      </c>
      <c r="CL420">
        <f>37.31683841</f>
        <v>37.316838410000003</v>
      </c>
      <c r="CM420">
        <f>17.06549288</f>
        <v>17.065492880000001</v>
      </c>
      <c r="CN420">
        <f>15.63435136</f>
        <v>15.63435136</v>
      </c>
      <c r="CO420">
        <f>15.33899252</f>
        <v>15.33899252</v>
      </c>
      <c r="CP420" t="str">
        <f>""</f>
        <v/>
      </c>
      <c r="CQ420" t="str">
        <f>""</f>
        <v/>
      </c>
      <c r="CR420" t="str">
        <f>""</f>
        <v/>
      </c>
      <c r="CS420" t="str">
        <f>""</f>
        <v/>
      </c>
      <c r="CT420" t="str">
        <f>""</f>
        <v/>
      </c>
      <c r="CU420">
        <f>34.22648663</f>
        <v>34.226486629999997</v>
      </c>
      <c r="CV420">
        <f>15.39595663</f>
        <v>15.395956630000001</v>
      </c>
      <c r="CW420">
        <f>12.38004039</f>
        <v>12.38004039</v>
      </c>
      <c r="CX420" t="str">
        <f>""</f>
        <v/>
      </c>
      <c r="CY420" t="str">
        <f>""</f>
        <v/>
      </c>
      <c r="CZ420" t="str">
        <f>""</f>
        <v/>
      </c>
      <c r="DA420" t="str">
        <f>""</f>
        <v/>
      </c>
      <c r="DB420" t="str">
        <f>""</f>
        <v/>
      </c>
      <c r="DC420" t="str">
        <f>""</f>
        <v/>
      </c>
      <c r="DD420" t="str">
        <f>""</f>
        <v/>
      </c>
      <c r="DE420" t="str">
        <f>""</f>
        <v/>
      </c>
      <c r="DF420" t="str">
        <f>""</f>
        <v/>
      </c>
      <c r="DG420" t="str">
        <f>""</f>
        <v/>
      </c>
      <c r="DH420" t="str">
        <f>""</f>
        <v/>
      </c>
      <c r="DI420" t="str">
        <f>""</f>
        <v/>
      </c>
      <c r="DJ420" t="str">
        <f>""</f>
        <v/>
      </c>
      <c r="DK420" t="str">
        <f>""</f>
        <v/>
      </c>
      <c r="DL420" t="str">
        <f>""</f>
        <v/>
      </c>
      <c r="DM420" t="str">
        <f>""</f>
        <v/>
      </c>
      <c r="DN420" t="str">
        <f>""</f>
        <v/>
      </c>
      <c r="DO420" t="str">
        <f>""</f>
        <v/>
      </c>
      <c r="DP420" t="str">
        <f>""</f>
        <v/>
      </c>
      <c r="DQ420" t="str">
        <f>""</f>
        <v/>
      </c>
      <c r="DR420" t="str">
        <f>""</f>
        <v/>
      </c>
      <c r="DS420" t="str">
        <f>""</f>
        <v/>
      </c>
      <c r="DT420" t="str">
        <f>""</f>
        <v/>
      </c>
      <c r="DU420" t="str">
        <f>""</f>
        <v/>
      </c>
    </row>
    <row r="421" spans="1:125" x14ac:dyDescent="0.25">
      <c r="A421" t="str">
        <f>"    Chongqing Changan Automobile Co Ltd"</f>
        <v xml:space="preserve">    Chongqing Changan Automobile Co Ltd</v>
      </c>
      <c r="B421" t="str">
        <f>"200625 CH Equity"</f>
        <v>200625 CH Equity</v>
      </c>
      <c r="C421" t="str">
        <f t="shared" si="30"/>
        <v>RR477</v>
      </c>
      <c r="D421" t="str">
        <f t="shared" si="31"/>
        <v>EV_TO_T12M_CASH_FLOW</v>
      </c>
      <c r="E421" t="str">
        <f t="shared" si="32"/>
        <v>Dynamic</v>
      </c>
      <c r="F421" t="str">
        <f ca="1">IF(AND(ISNUMBER($F$1084),$B$677=1),$F$1084,HLOOKUP(INDIRECT(ADDRESS(2,COLUMN())),OFFSET($BN$2,0,0,ROW()-1,60),ROW()-1,FALSE))</f>
        <v/>
      </c>
      <c r="G421" t="str">
        <f ca="1">IF(AND(ISNUMBER($G$1084),$B$677=1),$G$1084,HLOOKUP(INDIRECT(ADDRESS(2,COLUMN())),OFFSET($BN$2,0,0,ROW()-1,60),ROW()-1,FALSE))</f>
        <v/>
      </c>
      <c r="H421">
        <f ca="1">IF(AND(ISNUMBER($H$1084),$B$677=1),$H$1084,HLOOKUP(INDIRECT(ADDRESS(2,COLUMN())),OFFSET($BN$2,0,0,ROW()-1,60),ROW()-1,FALSE))</f>
        <v>9.6819110310000003</v>
      </c>
      <c r="I421">
        <f ca="1">IF(AND(ISNUMBER($I$1084),$B$677=1),$I$1084,HLOOKUP(INDIRECT(ADDRESS(2,COLUMN())),OFFSET($BN$2,0,0,ROW()-1,60),ROW()-1,FALSE))</f>
        <v>11.858389730000001</v>
      </c>
      <c r="J421">
        <f ca="1">IF(AND(ISNUMBER($J$1084),$B$677=1),$J$1084,HLOOKUP(INDIRECT(ADDRESS(2,COLUMN())),OFFSET($BN$2,0,0,ROW()-1,60),ROW()-1,FALSE))</f>
        <v>4.9109523429999999</v>
      </c>
      <c r="K421">
        <f ca="1">IF(AND(ISNUMBER($K$1084),$B$677=1),$K$1084,HLOOKUP(INDIRECT(ADDRESS(2,COLUMN())),OFFSET($BN$2,0,0,ROW()-1,60),ROW()-1,FALSE))</f>
        <v>4.2862860209999996</v>
      </c>
      <c r="L421">
        <f ca="1">IF(AND(ISNUMBER($L$1084),$B$677=1),$L$1084,HLOOKUP(INDIRECT(ADDRESS(2,COLUMN())),OFFSET($BN$2,0,0,ROW()-1,60),ROW()-1,FALSE))</f>
        <v>5.8012477010000003</v>
      </c>
      <c r="M421">
        <f ca="1">IF(AND(ISNUMBER($M$1084),$B$677=1),$M$1084,HLOOKUP(INDIRECT(ADDRESS(2,COLUMN())),OFFSET($BN$2,0,0,ROW()-1,60),ROW()-1,FALSE))</f>
        <v>3.1182852310000002</v>
      </c>
      <c r="N421">
        <f ca="1">IF(AND(ISNUMBER($N$1084),$B$677=1),$N$1084,HLOOKUP(INDIRECT(ADDRESS(2,COLUMN())),OFFSET($BN$2,0,0,ROW()-1,60),ROW()-1,FALSE))</f>
        <v>2.8823013280000001</v>
      </c>
      <c r="O421">
        <f ca="1">IF(AND(ISNUMBER($O$1084),$B$677=1),$O$1084,HLOOKUP(INDIRECT(ADDRESS(2,COLUMN())),OFFSET($BN$2,0,0,ROW()-1,60),ROW()-1,FALSE))</f>
        <v>3.9785009570000001</v>
      </c>
      <c r="P421">
        <f ca="1">IF(AND(ISNUMBER($P$1084),$B$677=1),$P$1084,HLOOKUP(INDIRECT(ADDRESS(2,COLUMN())),OFFSET($BN$2,0,0,ROW()-1,60),ROW()-1,FALSE))</f>
        <v>3.645194493</v>
      </c>
      <c r="Q421">
        <f ca="1">IF(AND(ISNUMBER($Q$1084),$B$677=1),$Q$1084,HLOOKUP(INDIRECT(ADDRESS(2,COLUMN())),OFFSET($BN$2,0,0,ROW()-1,60),ROW()-1,FALSE))</f>
        <v>2.8635008919999998</v>
      </c>
      <c r="R421">
        <f ca="1">IF(AND(ISNUMBER($R$1084),$B$677=1),$R$1084,HLOOKUP(INDIRECT(ADDRESS(2,COLUMN())),OFFSET($BN$2,0,0,ROW()-1,60),ROW()-1,FALSE))</f>
        <v>4.7761412500000002</v>
      </c>
      <c r="S421">
        <f ca="1">IF(AND(ISNUMBER($S$1084),$B$677=1),$S$1084,HLOOKUP(INDIRECT(ADDRESS(2,COLUMN())),OFFSET($BN$2,0,0,ROW()-1,60),ROW()-1,FALSE))</f>
        <v>5.0881017929999999</v>
      </c>
      <c r="T421">
        <f ca="1">IF(AND(ISNUMBER($T$1084),$B$677=1),$T$1084,HLOOKUP(INDIRECT(ADDRESS(2,COLUMN())),OFFSET($BN$2,0,0,ROW()-1,60),ROW()-1,FALSE))</f>
        <v>3.5804581980000001</v>
      </c>
      <c r="U421">
        <f ca="1">IF(AND(ISNUMBER($U$1084),$B$677=1),$U$1084,HLOOKUP(INDIRECT(ADDRESS(2,COLUMN())),OFFSET($BN$2,0,0,ROW()-1,60),ROW()-1,FALSE))</f>
        <v>7.805403053</v>
      </c>
      <c r="V421">
        <f ca="1">IF(AND(ISNUMBER($V$1084),$B$677=1),$V$1084,HLOOKUP(INDIRECT(ADDRESS(2,COLUMN())),OFFSET($BN$2,0,0,ROW()-1,60),ROW()-1,FALSE))</f>
        <v>6.1740806780000002</v>
      </c>
      <c r="W421">
        <f ca="1">IF(AND(ISNUMBER($W$1084),$B$677=1),$W$1084,HLOOKUP(INDIRECT(ADDRESS(2,COLUMN())),OFFSET($BN$2,0,0,ROW()-1,60),ROW()-1,FALSE))</f>
        <v>6.3173216319999996</v>
      </c>
      <c r="X421">
        <f ca="1">IF(AND(ISNUMBER($X$1084),$B$677=1),$X$1084,HLOOKUP(INDIRECT(ADDRESS(2,COLUMN())),OFFSET($BN$2,0,0,ROW()-1,60),ROW()-1,FALSE))</f>
        <v>8.7606265899999993</v>
      </c>
      <c r="Y421">
        <f ca="1">IF(AND(ISNUMBER($Y$1084),$B$677=1),$Y$1084,HLOOKUP(INDIRECT(ADDRESS(2,COLUMN())),OFFSET($BN$2,0,0,ROW()-1,60),ROW()-1,FALSE))</f>
        <v>11.437868480000001</v>
      </c>
      <c r="Z421">
        <f ca="1">IF(AND(ISNUMBER($Z$1084),$B$677=1),$Z$1084,HLOOKUP(INDIRECT(ADDRESS(2,COLUMN())),OFFSET($BN$2,0,0,ROW()-1,60),ROW()-1,FALSE))</f>
        <v>32.111829829999998</v>
      </c>
      <c r="AA421">
        <f ca="1">IF(AND(ISNUMBER($AA$1084),$B$677=1),$AA$1084,HLOOKUP(INDIRECT(ADDRESS(2,COLUMN())),OFFSET($BN$2,0,0,ROW()-1,60),ROW()-1,FALSE))</f>
        <v>21.819084010000001</v>
      </c>
      <c r="AB421">
        <f ca="1">IF(AND(ISNUMBER($AB$1084),$B$677=1),$AB$1084,HLOOKUP(INDIRECT(ADDRESS(2,COLUMN())),OFFSET($BN$2,0,0,ROW()-1,60),ROW()-1,FALSE))</f>
        <v>10.370040270000001</v>
      </c>
      <c r="AC421">
        <f ca="1">IF(AND(ISNUMBER($AC$1084),$B$677=1),$AC$1084,HLOOKUP(INDIRECT(ADDRESS(2,COLUMN())),OFFSET($BN$2,0,0,ROW()-1,60),ROW()-1,FALSE))</f>
        <v>7.6076668390000002</v>
      </c>
      <c r="AD421">
        <f ca="1">IF(AND(ISNUMBER($AD$1084),$B$677=1),$AD$1084,HLOOKUP(INDIRECT(ADDRESS(2,COLUMN())),OFFSET($BN$2,0,0,ROW()-1,60),ROW()-1,FALSE))</f>
        <v>12.32918357</v>
      </c>
      <c r="AE421">
        <f ca="1">IF(AND(ISNUMBER($AE$1084),$B$677=1),$AE$1084,HLOOKUP(INDIRECT(ADDRESS(2,COLUMN())),OFFSET($BN$2,0,0,ROW()-1,60),ROW()-1,FALSE))</f>
        <v>16.17315717</v>
      </c>
      <c r="AF421" t="str">
        <f ca="1">IF(AND(ISNUMBER($AF$1084),$B$677=1),$AF$1084,HLOOKUP(INDIRECT(ADDRESS(2,COLUMN())),OFFSET($BN$2,0,0,ROW()-1,60),ROW()-1,FALSE))</f>
        <v/>
      </c>
      <c r="AG421" t="str">
        <f ca="1">IF(AND(ISNUMBER($AG$1084),$B$677=1),$AG$1084,HLOOKUP(INDIRECT(ADDRESS(2,COLUMN())),OFFSET($BN$2,0,0,ROW()-1,60),ROW()-1,FALSE))</f>
        <v/>
      </c>
      <c r="AH421" t="str">
        <f ca="1">IF(AND(ISNUMBER($AH$1084),$B$677=1),$AH$1084,HLOOKUP(INDIRECT(ADDRESS(2,COLUMN())),OFFSET($BN$2,0,0,ROW()-1,60),ROW()-1,FALSE))</f>
        <v/>
      </c>
      <c r="AI421">
        <f ca="1">IF(AND(ISNUMBER($AI$1084),$B$677=1),$AI$1084,HLOOKUP(INDIRECT(ADDRESS(2,COLUMN())),OFFSET($BN$2,0,0,ROW()-1,60),ROW()-1,FALSE))</f>
        <v>63.194505319999998</v>
      </c>
      <c r="AJ421">
        <f ca="1">IF(AND(ISNUMBER($AJ$1084),$B$677=1),$AJ$1084,HLOOKUP(INDIRECT(ADDRESS(2,COLUMN())),OFFSET($BN$2,0,0,ROW()-1,60),ROW()-1,FALSE))</f>
        <v>8.9028463470000005</v>
      </c>
      <c r="AK421">
        <f ca="1">IF(AND(ISNUMBER($AK$1084),$B$677=1),$AK$1084,HLOOKUP(INDIRECT(ADDRESS(2,COLUMN())),OFFSET($BN$2,0,0,ROW()-1,60),ROW()-1,FALSE))</f>
        <v>4.6432296019999999</v>
      </c>
      <c r="AL421">
        <f ca="1">IF(AND(ISNUMBER($AL$1084),$B$677=1),$AL$1084,HLOOKUP(INDIRECT(ADDRESS(2,COLUMN())),OFFSET($BN$2,0,0,ROW()-1,60),ROW()-1,FALSE))</f>
        <v>4.1672002030000002</v>
      </c>
      <c r="AM421">
        <f ca="1">IF(AND(ISNUMBER($AM$1084),$B$677=1),$AM$1084,HLOOKUP(INDIRECT(ADDRESS(2,COLUMN())),OFFSET($BN$2,0,0,ROW()-1,60),ROW()-1,FALSE))</f>
        <v>5.7265630249999999</v>
      </c>
      <c r="AN421">
        <f ca="1">IF(AND(ISNUMBER($AN$1084),$B$677=1),$AN$1084,HLOOKUP(INDIRECT(ADDRESS(2,COLUMN())),OFFSET($BN$2,0,0,ROW()-1,60),ROW()-1,FALSE))</f>
        <v>4.3938621260000001</v>
      </c>
      <c r="AO421">
        <f ca="1">IF(AND(ISNUMBER($AO$1084),$B$677=1),$AO$1084,HLOOKUP(INDIRECT(ADDRESS(2,COLUMN())),OFFSET($BN$2,0,0,ROW()-1,60),ROW()-1,FALSE))</f>
        <v>3.3594000999999998</v>
      </c>
      <c r="AP421">
        <f ca="1">IF(AND(ISNUMBER($AP$1084),$B$677=1),$AP$1084,HLOOKUP(INDIRECT(ADDRESS(2,COLUMN())),OFFSET($BN$2,0,0,ROW()-1,60),ROW()-1,FALSE))</f>
        <v>6.7782033110000004</v>
      </c>
      <c r="AQ421">
        <f ca="1">IF(AND(ISNUMBER($AQ$1084),$B$677=1),$AQ$1084,HLOOKUP(INDIRECT(ADDRESS(2,COLUMN())),OFFSET($BN$2,0,0,ROW()-1,60),ROW()-1,FALSE))</f>
        <v>7.643857627</v>
      </c>
      <c r="AR421">
        <f ca="1">IF(AND(ISNUMBER($AR$1084),$B$677=1),$AR$1084,HLOOKUP(INDIRECT(ADDRESS(2,COLUMN())),OFFSET($BN$2,0,0,ROW()-1,60),ROW()-1,FALSE))</f>
        <v>2.9577132900000001</v>
      </c>
      <c r="AS421">
        <f ca="1">IF(AND(ISNUMBER($AS$1084),$B$677=1),$AS$1084,HLOOKUP(INDIRECT(ADDRESS(2,COLUMN())),OFFSET($BN$2,0,0,ROW()-1,60),ROW()-1,FALSE))</f>
        <v>6.5616117889999996</v>
      </c>
      <c r="AT421">
        <f ca="1">IF(AND(ISNUMBER($AT$1084),$B$677=1),$AT$1084,HLOOKUP(INDIRECT(ADDRESS(2,COLUMN())),OFFSET($BN$2,0,0,ROW()-1,60),ROW()-1,FALSE))</f>
        <v>6.9464782229999997</v>
      </c>
      <c r="AU421" t="str">
        <f ca="1">IF(AND(ISNUMBER($AU$1084),$B$677=1),$AU$1084,HLOOKUP(INDIRECT(ADDRESS(2,COLUMN())),OFFSET($BN$2,0,0,ROW()-1,60),ROW()-1,FALSE))</f>
        <v/>
      </c>
      <c r="AV421">
        <f ca="1">IF(AND(ISNUMBER($AV$1084),$B$677=1),$AV$1084,HLOOKUP(INDIRECT(ADDRESS(2,COLUMN())),OFFSET($BN$2,0,0,ROW()-1,60),ROW()-1,FALSE))</f>
        <v>10.125588499999999</v>
      </c>
      <c r="AW421">
        <f ca="1">IF(AND(ISNUMBER($AW$1084),$B$677=1),$AW$1084,HLOOKUP(INDIRECT(ADDRESS(2,COLUMN())),OFFSET($BN$2,0,0,ROW()-1,60),ROW()-1,FALSE))</f>
        <v>54.054732260000002</v>
      </c>
      <c r="AX421">
        <f ca="1">IF(AND(ISNUMBER($AX$1084),$B$677=1),$AX$1084,HLOOKUP(INDIRECT(ADDRESS(2,COLUMN())),OFFSET($BN$2,0,0,ROW()-1,60),ROW()-1,FALSE))</f>
        <v>46.938885990000003</v>
      </c>
      <c r="AY421">
        <f ca="1">IF(AND(ISNUMBER($AY$1084),$B$677=1),$AY$1084,HLOOKUP(INDIRECT(ADDRESS(2,COLUMN())),OFFSET($BN$2,0,0,ROW()-1,60),ROW()-1,FALSE))</f>
        <v>26.849811540000001</v>
      </c>
      <c r="AZ421">
        <f ca="1">IF(AND(ISNUMBER($AZ$1084),$B$677=1),$AZ$1084,HLOOKUP(INDIRECT(ADDRESS(2,COLUMN())),OFFSET($BN$2,0,0,ROW()-1,60),ROW()-1,FALSE))</f>
        <v>13.567292419999999</v>
      </c>
      <c r="BA421">
        <f ca="1">IF(AND(ISNUMBER($BA$1084),$B$677=1),$BA$1084,HLOOKUP(INDIRECT(ADDRESS(2,COLUMN())),OFFSET($BN$2,0,0,ROW()-1,60),ROW()-1,FALSE))</f>
        <v>6.6578549269999998</v>
      </c>
      <c r="BB421">
        <f ca="1">IF(AND(ISNUMBER($BB$1084),$B$677=1),$BB$1084,HLOOKUP(INDIRECT(ADDRESS(2,COLUMN())),OFFSET($BN$2,0,0,ROW()-1,60),ROW()-1,FALSE))</f>
        <v>9.0764669470000001</v>
      </c>
      <c r="BC421">
        <f ca="1">IF(AND(ISNUMBER($BC$1084),$B$677=1),$BC$1084,HLOOKUP(INDIRECT(ADDRESS(2,COLUMN())),OFFSET($BN$2,0,0,ROW()-1,60),ROW()-1,FALSE))</f>
        <v>7.237943434</v>
      </c>
      <c r="BD421">
        <f ca="1">IF(AND(ISNUMBER($BD$1084),$B$677=1),$BD$1084,HLOOKUP(INDIRECT(ADDRESS(2,COLUMN())),OFFSET($BN$2,0,0,ROW()-1,60),ROW()-1,FALSE))</f>
        <v>6.7344013680000003</v>
      </c>
      <c r="BE421">
        <f ca="1">IF(AND(ISNUMBER($BE$1084),$B$677=1),$BE$1084,HLOOKUP(INDIRECT(ADDRESS(2,COLUMN())),OFFSET($BN$2,0,0,ROW()-1,60),ROW()-1,FALSE))</f>
        <v>14.50173985</v>
      </c>
      <c r="BF421">
        <f ca="1">IF(AND(ISNUMBER($BF$1084),$B$677=1),$BF$1084,HLOOKUP(INDIRECT(ADDRESS(2,COLUMN())),OFFSET($BN$2,0,0,ROW()-1,60),ROW()-1,FALSE))</f>
        <v>55.81870456</v>
      </c>
      <c r="BG421">
        <f ca="1">IF(AND(ISNUMBER($BG$1084),$B$677=1),$BG$1084,HLOOKUP(INDIRECT(ADDRESS(2,COLUMN())),OFFSET($BN$2,0,0,ROW()-1,60),ROW()-1,FALSE))</f>
        <v>7.200793343</v>
      </c>
      <c r="BH421">
        <f ca="1">IF(AND(ISNUMBER($BH$1084),$B$677=1),$BH$1084,HLOOKUP(INDIRECT(ADDRESS(2,COLUMN())),OFFSET($BN$2,0,0,ROW()-1,60),ROW()-1,FALSE))</f>
        <v>6.9673640710000004</v>
      </c>
      <c r="BI421" t="str">
        <f ca="1">IF(AND(ISNUMBER($BI$1084),$B$677=1),$BI$1084,HLOOKUP(INDIRECT(ADDRESS(2,COLUMN())),OFFSET($BN$2,0,0,ROW()-1,60),ROW()-1,FALSE))</f>
        <v/>
      </c>
      <c r="BJ421" t="str">
        <f ca="1">IF(AND(ISNUMBER($BJ$1084),$B$677=1),$BJ$1084,HLOOKUP(INDIRECT(ADDRESS(2,COLUMN())),OFFSET($BN$2,0,0,ROW()-1,60),ROW()-1,FALSE))</f>
        <v/>
      </c>
      <c r="BK421" t="str">
        <f ca="1">IF(AND(ISNUMBER($BK$1084),$B$677=1),$BK$1084,HLOOKUP(INDIRECT(ADDRESS(2,COLUMN())),OFFSET($BN$2,0,0,ROW()-1,60),ROW()-1,FALSE))</f>
        <v/>
      </c>
      <c r="BL421" t="str">
        <f ca="1">IF(AND(ISNUMBER($BL$1084),$B$677=1),$BL$1084,HLOOKUP(INDIRECT(ADDRESS(2,COLUMN())),OFFSET($BN$2,0,0,ROW()-1,60),ROW()-1,FALSE))</f>
        <v/>
      </c>
      <c r="BM421" t="str">
        <f ca="1">IF(AND(ISNUMBER($BM$1084),$B$677=1),$BM$1084,HLOOKUP(INDIRECT(ADDRESS(2,COLUMN())),OFFSET($BN$2,0,0,ROW()-1,60),ROW()-1,FALSE))</f>
        <v/>
      </c>
      <c r="BN421" t="str">
        <f>""</f>
        <v/>
      </c>
      <c r="BO421" t="str">
        <f>""</f>
        <v/>
      </c>
      <c r="BP421">
        <f>9.681911031</f>
        <v>9.6819110310000003</v>
      </c>
      <c r="BQ421">
        <f>11.85838973</f>
        <v>11.858389730000001</v>
      </c>
      <c r="BR421">
        <f>4.910952343</f>
        <v>4.9109523429999999</v>
      </c>
      <c r="BS421">
        <f>4.286286021</f>
        <v>4.2862860209999996</v>
      </c>
      <c r="BT421">
        <f>5.801247701</f>
        <v>5.8012477010000003</v>
      </c>
      <c r="BU421">
        <f>3.118285231</f>
        <v>3.1182852310000002</v>
      </c>
      <c r="BV421">
        <f>2.882301328</f>
        <v>2.8823013280000001</v>
      </c>
      <c r="BW421">
        <f>3.978500957</f>
        <v>3.9785009570000001</v>
      </c>
      <c r="BX421">
        <f>3.645194493</f>
        <v>3.645194493</v>
      </c>
      <c r="BY421">
        <f>2.863500892</f>
        <v>2.8635008919999998</v>
      </c>
      <c r="BZ421">
        <f>4.77614125</f>
        <v>4.7761412500000002</v>
      </c>
      <c r="CA421">
        <f>5.088101793</f>
        <v>5.0881017929999999</v>
      </c>
      <c r="CB421">
        <f>3.580458198</f>
        <v>3.5804581980000001</v>
      </c>
      <c r="CC421">
        <f>7.805403053</f>
        <v>7.805403053</v>
      </c>
      <c r="CD421">
        <f>6.174080678</f>
        <v>6.1740806780000002</v>
      </c>
      <c r="CE421">
        <f>6.317321632</f>
        <v>6.3173216319999996</v>
      </c>
      <c r="CF421">
        <f>8.76062659</f>
        <v>8.7606265899999993</v>
      </c>
      <c r="CG421">
        <f>11.43786848</f>
        <v>11.437868480000001</v>
      </c>
      <c r="CH421">
        <f>32.11182983</f>
        <v>32.111829829999998</v>
      </c>
      <c r="CI421">
        <f>21.81908401</f>
        <v>21.819084010000001</v>
      </c>
      <c r="CJ421">
        <f>10.37004027</f>
        <v>10.370040270000001</v>
      </c>
      <c r="CK421">
        <f>7.607666839</f>
        <v>7.6076668390000002</v>
      </c>
      <c r="CL421">
        <f>12.32918357</f>
        <v>12.32918357</v>
      </c>
      <c r="CM421">
        <f>16.17315717</f>
        <v>16.17315717</v>
      </c>
      <c r="CN421" t="str">
        <f>""</f>
        <v/>
      </c>
      <c r="CO421" t="str">
        <f>""</f>
        <v/>
      </c>
      <c r="CP421" t="str">
        <f>""</f>
        <v/>
      </c>
      <c r="CQ421">
        <f>63.19450532</f>
        <v>63.194505319999998</v>
      </c>
      <c r="CR421">
        <f>8.902846347</f>
        <v>8.9028463470000005</v>
      </c>
      <c r="CS421">
        <f>4.643229602</f>
        <v>4.6432296019999999</v>
      </c>
      <c r="CT421">
        <f>4.167200203</f>
        <v>4.1672002030000002</v>
      </c>
      <c r="CU421">
        <f>5.726563025</f>
        <v>5.7265630249999999</v>
      </c>
      <c r="CV421">
        <f>4.393862126</f>
        <v>4.3938621260000001</v>
      </c>
      <c r="CW421">
        <f>3.3594001</f>
        <v>3.3594000999999998</v>
      </c>
      <c r="CX421">
        <f>6.778203311</f>
        <v>6.7782033110000004</v>
      </c>
      <c r="CY421">
        <f>7.643857627</f>
        <v>7.643857627</v>
      </c>
      <c r="CZ421">
        <f>2.95771329</f>
        <v>2.9577132900000001</v>
      </c>
      <c r="DA421">
        <f>6.561611789</f>
        <v>6.5616117889999996</v>
      </c>
      <c r="DB421">
        <f>6.946478223</f>
        <v>6.9464782229999997</v>
      </c>
      <c r="DC421" t="str">
        <f>""</f>
        <v/>
      </c>
      <c r="DD421">
        <f>10.1255885</f>
        <v>10.125588499999999</v>
      </c>
      <c r="DE421">
        <f>54.05473226</f>
        <v>54.054732260000002</v>
      </c>
      <c r="DF421">
        <f>46.93888599</f>
        <v>46.938885990000003</v>
      </c>
      <c r="DG421">
        <f>26.84981154</f>
        <v>26.849811540000001</v>
      </c>
      <c r="DH421">
        <f>13.56729242</f>
        <v>13.567292419999999</v>
      </c>
      <c r="DI421">
        <f>6.657854927</f>
        <v>6.6578549269999998</v>
      </c>
      <c r="DJ421">
        <f>9.076466947</f>
        <v>9.0764669470000001</v>
      </c>
      <c r="DK421">
        <f>7.237943434</f>
        <v>7.237943434</v>
      </c>
      <c r="DL421">
        <f>6.734401368</f>
        <v>6.7344013680000003</v>
      </c>
      <c r="DM421">
        <f>14.50173985</f>
        <v>14.50173985</v>
      </c>
      <c r="DN421">
        <f>55.81870456</f>
        <v>55.81870456</v>
      </c>
      <c r="DO421">
        <f>7.200793343</f>
        <v>7.200793343</v>
      </c>
      <c r="DP421">
        <f>6.967364071</f>
        <v>6.9673640710000004</v>
      </c>
      <c r="DQ421" t="str">
        <f>""</f>
        <v/>
      </c>
      <c r="DR421" t="str">
        <f>""</f>
        <v/>
      </c>
      <c r="DS421" t="str">
        <f>""</f>
        <v/>
      </c>
      <c r="DT421" t="str">
        <f>""</f>
        <v/>
      </c>
      <c r="DU421" t="str">
        <f>""</f>
        <v/>
      </c>
    </row>
    <row r="422" spans="1:125" x14ac:dyDescent="0.25">
      <c r="A422" t="str">
        <f>"    Daihatsu Motor Co Ltd"</f>
        <v xml:space="preserve">    Daihatsu Motor Co Ltd</v>
      </c>
      <c r="B422" t="str">
        <f>"7262 JP Equity"</f>
        <v>7262 JP Equity</v>
      </c>
      <c r="C422" t="str">
        <f t="shared" si="30"/>
        <v>RR477</v>
      </c>
      <c r="D422" t="str">
        <f t="shared" si="31"/>
        <v>EV_TO_T12M_CASH_FLOW</v>
      </c>
      <c r="E422" t="str">
        <f t="shared" si="32"/>
        <v>Dynamic</v>
      </c>
      <c r="F422" t="str">
        <f ca="1">IF(AND(ISNUMBER($F$1085),$B$677=1),$F$1085,HLOOKUP(INDIRECT(ADDRESS(2,COLUMN())),OFFSET($BN$2,0,0,ROW()-1,60),ROW()-1,FALSE))</f>
        <v/>
      </c>
      <c r="G422" t="str">
        <f ca="1">IF(AND(ISNUMBER($G$1085),$B$677=1),$G$1085,HLOOKUP(INDIRECT(ADDRESS(2,COLUMN())),OFFSET($BN$2,0,0,ROW()-1,60),ROW()-1,FALSE))</f>
        <v/>
      </c>
      <c r="H422" t="str">
        <f ca="1">IF(AND(ISNUMBER($H$1085),$B$677=1),$H$1085,HLOOKUP(INDIRECT(ADDRESS(2,COLUMN())),OFFSET($BN$2,0,0,ROW()-1,60),ROW()-1,FALSE))</f>
        <v/>
      </c>
      <c r="I422" t="str">
        <f ca="1">IF(AND(ISNUMBER($I$1085),$B$677=1),$I$1085,HLOOKUP(INDIRECT(ADDRESS(2,COLUMN())),OFFSET($BN$2,0,0,ROW()-1,60),ROW()-1,FALSE))</f>
        <v/>
      </c>
      <c r="J422" t="str">
        <f ca="1">IF(AND(ISNUMBER($J$1085),$B$677=1),$J$1085,HLOOKUP(INDIRECT(ADDRESS(2,COLUMN())),OFFSET($BN$2,0,0,ROW()-1,60),ROW()-1,FALSE))</f>
        <v/>
      </c>
      <c r="K422" t="str">
        <f ca="1">IF(AND(ISNUMBER($K$1085),$B$677=1),$K$1085,HLOOKUP(INDIRECT(ADDRESS(2,COLUMN())),OFFSET($BN$2,0,0,ROW()-1,60),ROW()-1,FALSE))</f>
        <v/>
      </c>
      <c r="L422" t="str">
        <f ca="1">IF(AND(ISNUMBER($L$1085),$B$677=1),$L$1085,HLOOKUP(INDIRECT(ADDRESS(2,COLUMN())),OFFSET($BN$2,0,0,ROW()-1,60),ROW()-1,FALSE))</f>
        <v/>
      </c>
      <c r="M422" t="str">
        <f ca="1">IF(AND(ISNUMBER($M$1085),$B$677=1),$M$1085,HLOOKUP(INDIRECT(ADDRESS(2,COLUMN())),OFFSET($BN$2,0,0,ROW()-1,60),ROW()-1,FALSE))</f>
        <v/>
      </c>
      <c r="N422" t="str">
        <f ca="1">IF(AND(ISNUMBER($N$1085),$B$677=1),$N$1085,HLOOKUP(INDIRECT(ADDRESS(2,COLUMN())),OFFSET($BN$2,0,0,ROW()-1,60),ROW()-1,FALSE))</f>
        <v/>
      </c>
      <c r="O422" t="str">
        <f ca="1">IF(AND(ISNUMBER($O$1085),$B$677=1),$O$1085,HLOOKUP(INDIRECT(ADDRESS(2,COLUMN())),OFFSET($BN$2,0,0,ROW()-1,60),ROW()-1,FALSE))</f>
        <v/>
      </c>
      <c r="P422" t="str">
        <f ca="1">IF(AND(ISNUMBER($P$1085),$B$677=1),$P$1085,HLOOKUP(INDIRECT(ADDRESS(2,COLUMN())),OFFSET($BN$2,0,0,ROW()-1,60),ROW()-1,FALSE))</f>
        <v/>
      </c>
      <c r="Q422" t="str">
        <f ca="1">IF(AND(ISNUMBER($Q$1085),$B$677=1),$Q$1085,HLOOKUP(INDIRECT(ADDRESS(2,COLUMN())),OFFSET($BN$2,0,0,ROW()-1,60),ROW()-1,FALSE))</f>
        <v/>
      </c>
      <c r="R422" t="str">
        <f ca="1">IF(AND(ISNUMBER($R$1085),$B$677=1),$R$1085,HLOOKUP(INDIRECT(ADDRESS(2,COLUMN())),OFFSET($BN$2,0,0,ROW()-1,60),ROW()-1,FALSE))</f>
        <v/>
      </c>
      <c r="S422" t="str">
        <f ca="1">IF(AND(ISNUMBER($S$1085),$B$677=1),$S$1085,HLOOKUP(INDIRECT(ADDRESS(2,COLUMN())),OFFSET($BN$2,0,0,ROW()-1,60),ROW()-1,FALSE))</f>
        <v/>
      </c>
      <c r="T422" t="str">
        <f ca="1">IF(AND(ISNUMBER($T$1085),$B$677=1),$T$1085,HLOOKUP(INDIRECT(ADDRESS(2,COLUMN())),OFFSET($BN$2,0,0,ROW()-1,60),ROW()-1,FALSE))</f>
        <v/>
      </c>
      <c r="U422" t="str">
        <f ca="1">IF(AND(ISNUMBER($U$1085),$B$677=1),$U$1085,HLOOKUP(INDIRECT(ADDRESS(2,COLUMN())),OFFSET($BN$2,0,0,ROW()-1,60),ROW()-1,FALSE))</f>
        <v/>
      </c>
      <c r="V422" t="str">
        <f ca="1">IF(AND(ISNUMBER($V$1085),$B$677=1),$V$1085,HLOOKUP(INDIRECT(ADDRESS(2,COLUMN())),OFFSET($BN$2,0,0,ROW()-1,60),ROW()-1,FALSE))</f>
        <v/>
      </c>
      <c r="W422" t="str">
        <f ca="1">IF(AND(ISNUMBER($W$1085),$B$677=1),$W$1085,HLOOKUP(INDIRECT(ADDRESS(2,COLUMN())),OFFSET($BN$2,0,0,ROW()-1,60),ROW()-1,FALSE))</f>
        <v/>
      </c>
      <c r="X422" t="str">
        <f ca="1">IF(AND(ISNUMBER($X$1085),$B$677=1),$X$1085,HLOOKUP(INDIRECT(ADDRESS(2,COLUMN())),OFFSET($BN$2,0,0,ROW()-1,60),ROW()-1,FALSE))</f>
        <v/>
      </c>
      <c r="Y422" t="str">
        <f ca="1">IF(AND(ISNUMBER($Y$1085),$B$677=1),$Y$1085,HLOOKUP(INDIRECT(ADDRESS(2,COLUMN())),OFFSET($BN$2,0,0,ROW()-1,60),ROW()-1,FALSE))</f>
        <v/>
      </c>
      <c r="Z422" t="str">
        <f ca="1">IF(AND(ISNUMBER($Z$1085),$B$677=1),$Z$1085,HLOOKUP(INDIRECT(ADDRESS(2,COLUMN())),OFFSET($BN$2,0,0,ROW()-1,60),ROW()-1,FALSE))</f>
        <v/>
      </c>
      <c r="AA422" t="str">
        <f ca="1">IF(AND(ISNUMBER($AA$1085),$B$677=1),$AA$1085,HLOOKUP(INDIRECT(ADDRESS(2,COLUMN())),OFFSET($BN$2,0,0,ROW()-1,60),ROW()-1,FALSE))</f>
        <v/>
      </c>
      <c r="AB422" t="str">
        <f ca="1">IF(AND(ISNUMBER($AB$1085),$B$677=1),$AB$1085,HLOOKUP(INDIRECT(ADDRESS(2,COLUMN())),OFFSET($BN$2,0,0,ROW()-1,60),ROW()-1,FALSE))</f>
        <v/>
      </c>
      <c r="AC422" t="str">
        <f ca="1">IF(AND(ISNUMBER($AC$1085),$B$677=1),$AC$1085,HLOOKUP(INDIRECT(ADDRESS(2,COLUMN())),OFFSET($BN$2,0,0,ROW()-1,60),ROW()-1,FALSE))</f>
        <v/>
      </c>
      <c r="AD422" t="str">
        <f ca="1">IF(AND(ISNUMBER($AD$1085),$B$677=1),$AD$1085,HLOOKUP(INDIRECT(ADDRESS(2,COLUMN())),OFFSET($BN$2,0,0,ROW()-1,60),ROW()-1,FALSE))</f>
        <v/>
      </c>
      <c r="AE422" t="str">
        <f ca="1">IF(AND(ISNUMBER($AE$1085),$B$677=1),$AE$1085,HLOOKUP(INDIRECT(ADDRESS(2,COLUMN())),OFFSET($BN$2,0,0,ROW()-1,60),ROW()-1,FALSE))</f>
        <v/>
      </c>
      <c r="AF422" t="str">
        <f ca="1">IF(AND(ISNUMBER($AF$1085),$B$677=1),$AF$1085,HLOOKUP(INDIRECT(ADDRESS(2,COLUMN())),OFFSET($BN$2,0,0,ROW()-1,60),ROW()-1,FALSE))</f>
        <v/>
      </c>
      <c r="AG422" t="str">
        <f ca="1">IF(AND(ISNUMBER($AG$1085),$B$677=1),$AG$1085,HLOOKUP(INDIRECT(ADDRESS(2,COLUMN())),OFFSET($BN$2,0,0,ROW()-1,60),ROW()-1,FALSE))</f>
        <v/>
      </c>
      <c r="AH422" t="str">
        <f ca="1">IF(AND(ISNUMBER($AH$1085),$B$677=1),$AH$1085,HLOOKUP(INDIRECT(ADDRESS(2,COLUMN())),OFFSET($BN$2,0,0,ROW()-1,60),ROW()-1,FALSE))</f>
        <v/>
      </c>
      <c r="AI422" t="str">
        <f ca="1">IF(AND(ISNUMBER($AI$1085),$B$677=1),$AI$1085,HLOOKUP(INDIRECT(ADDRESS(2,COLUMN())),OFFSET($BN$2,0,0,ROW()-1,60),ROW()-1,FALSE))</f>
        <v/>
      </c>
      <c r="AJ422" t="str">
        <f ca="1">IF(AND(ISNUMBER($AJ$1085),$B$677=1),$AJ$1085,HLOOKUP(INDIRECT(ADDRESS(2,COLUMN())),OFFSET($BN$2,0,0,ROW()-1,60),ROW()-1,FALSE))</f>
        <v/>
      </c>
      <c r="AK422" t="str">
        <f ca="1">IF(AND(ISNUMBER($AK$1085),$B$677=1),$AK$1085,HLOOKUP(INDIRECT(ADDRESS(2,COLUMN())),OFFSET($BN$2,0,0,ROW()-1,60),ROW()-1,FALSE))</f>
        <v/>
      </c>
      <c r="AL422">
        <f ca="1">IF(AND(ISNUMBER($AL$1085),$B$677=1),$AL$1085,HLOOKUP(INDIRECT(ADDRESS(2,COLUMN())),OFFSET($BN$2,0,0,ROW()-1,60),ROW()-1,FALSE))</f>
        <v>4.6807445369999998</v>
      </c>
      <c r="AM422">
        <f ca="1">IF(AND(ISNUMBER($AM$1085),$B$677=1),$AM$1085,HLOOKUP(INDIRECT(ADDRESS(2,COLUMN())),OFFSET($BN$2,0,0,ROW()-1,60),ROW()-1,FALSE))</f>
        <v>4.0763087980000003</v>
      </c>
      <c r="AN422">
        <f ca="1">IF(AND(ISNUMBER($AN$1085),$B$677=1),$AN$1085,HLOOKUP(INDIRECT(ADDRESS(2,COLUMN())),OFFSET($BN$2,0,0,ROW()-1,60),ROW()-1,FALSE))</f>
        <v>3.3186113320000001</v>
      </c>
      <c r="AO422">
        <f ca="1">IF(AND(ISNUMBER($AO$1085),$B$677=1),$AO$1085,HLOOKUP(INDIRECT(ADDRESS(2,COLUMN())),OFFSET($BN$2,0,0,ROW()-1,60),ROW()-1,FALSE))</f>
        <v>2.948491352</v>
      </c>
      <c r="AP422">
        <f ca="1">IF(AND(ISNUMBER($AP$1085),$B$677=1),$AP$1085,HLOOKUP(INDIRECT(ADDRESS(2,COLUMN())),OFFSET($BN$2,0,0,ROW()-1,60),ROW()-1,FALSE))</f>
        <v>4.4498931690000001</v>
      </c>
      <c r="AQ422">
        <f ca="1">IF(AND(ISNUMBER($AQ$1085),$B$677=1),$AQ$1085,HLOOKUP(INDIRECT(ADDRESS(2,COLUMN())),OFFSET($BN$2,0,0,ROW()-1,60),ROW()-1,FALSE))</f>
        <v>6.7194486920000003</v>
      </c>
      <c r="AR422">
        <f ca="1">IF(AND(ISNUMBER($AR$1085),$B$677=1),$AR$1085,HLOOKUP(INDIRECT(ADDRESS(2,COLUMN())),OFFSET($BN$2,0,0,ROW()-1,60),ROW()-1,FALSE))</f>
        <v>12.83802674</v>
      </c>
      <c r="AS422">
        <f ca="1">IF(AND(ISNUMBER($AS$1085),$B$677=1),$AS$1085,HLOOKUP(INDIRECT(ADDRESS(2,COLUMN())),OFFSET($BN$2,0,0,ROW()-1,60),ROW()-1,FALSE))</f>
        <v>12.07851702</v>
      </c>
      <c r="AT422">
        <f ca="1">IF(AND(ISNUMBER($AT$1085),$B$677=1),$AT$1085,HLOOKUP(INDIRECT(ADDRESS(2,COLUMN())),OFFSET($BN$2,0,0,ROW()-1,60),ROW()-1,FALSE))</f>
        <v>7.2964425080000002</v>
      </c>
      <c r="AU422">
        <f ca="1">IF(AND(ISNUMBER($AU$1085),$B$677=1),$AU$1085,HLOOKUP(INDIRECT(ADDRESS(2,COLUMN())),OFFSET($BN$2,0,0,ROW()-1,60),ROW()-1,FALSE))</f>
        <v>4.9637658609999997</v>
      </c>
      <c r="AV422">
        <f ca="1">IF(AND(ISNUMBER($AV$1085),$B$677=1),$AV$1085,HLOOKUP(INDIRECT(ADDRESS(2,COLUMN())),OFFSET($BN$2,0,0,ROW()-1,60),ROW()-1,FALSE))</f>
        <v>8.7453181430000004</v>
      </c>
      <c r="AW422">
        <f ca="1">IF(AND(ISNUMBER($AW$1085),$B$677=1),$AW$1085,HLOOKUP(INDIRECT(ADDRESS(2,COLUMN())),OFFSET($BN$2,0,0,ROW()-1,60),ROW()-1,FALSE))</f>
        <v>8.1722110010000009</v>
      </c>
      <c r="AX422">
        <f ca="1">IF(AND(ISNUMBER($AX$1085),$B$677=1),$AX$1085,HLOOKUP(INDIRECT(ADDRESS(2,COLUMN())),OFFSET($BN$2,0,0,ROW()-1,60),ROW()-1,FALSE))</f>
        <v>9.6218242800000002</v>
      </c>
      <c r="AY422">
        <f ca="1">IF(AND(ISNUMBER($AY$1085),$B$677=1),$AY$1085,HLOOKUP(INDIRECT(ADDRESS(2,COLUMN())),OFFSET($BN$2,0,0,ROW()-1,60),ROW()-1,FALSE))</f>
        <v>8.692131324</v>
      </c>
      <c r="AZ422">
        <f ca="1">IF(AND(ISNUMBER($AZ$1085),$B$677=1),$AZ$1085,HLOOKUP(INDIRECT(ADDRESS(2,COLUMN())),OFFSET($BN$2,0,0,ROW()-1,60),ROW()-1,FALSE))</f>
        <v>8.2601004689999993</v>
      </c>
      <c r="BA422">
        <f ca="1">IF(AND(ISNUMBER($BA$1085),$B$677=1),$BA$1085,HLOOKUP(INDIRECT(ADDRESS(2,COLUMN())),OFFSET($BN$2,0,0,ROW()-1,60),ROW()-1,FALSE))</f>
        <v>6.6450733919999996</v>
      </c>
      <c r="BB422">
        <f ca="1">IF(AND(ISNUMBER($BB$1085),$B$677=1),$BB$1085,HLOOKUP(INDIRECT(ADDRESS(2,COLUMN())),OFFSET($BN$2,0,0,ROW()-1,60),ROW()-1,FALSE))</f>
        <v>6.107441176</v>
      </c>
      <c r="BC422">
        <f ca="1">IF(AND(ISNUMBER($BC$1085),$B$677=1),$BC$1085,HLOOKUP(INDIRECT(ADDRESS(2,COLUMN())),OFFSET($BN$2,0,0,ROW()-1,60),ROW()-1,FALSE))</f>
        <v>6.6396107110000004</v>
      </c>
      <c r="BD422">
        <f ca="1">IF(AND(ISNUMBER($BD$1085),$B$677=1),$BD$1085,HLOOKUP(INDIRECT(ADDRESS(2,COLUMN())),OFFSET($BN$2,0,0,ROW()-1,60),ROW()-1,FALSE))</f>
        <v>5.8589238090000002</v>
      </c>
      <c r="BE422">
        <f ca="1">IF(AND(ISNUMBER($BE$1085),$B$677=1),$BE$1085,HLOOKUP(INDIRECT(ADDRESS(2,COLUMN())),OFFSET($BN$2,0,0,ROW()-1,60),ROW()-1,FALSE))</f>
        <v>7.7995587879999997</v>
      </c>
      <c r="BF422">
        <f ca="1">IF(AND(ISNUMBER($BF$1085),$B$677=1),$BF$1085,HLOOKUP(INDIRECT(ADDRESS(2,COLUMN())),OFFSET($BN$2,0,0,ROW()-1,60),ROW()-1,FALSE))</f>
        <v>10.72516534</v>
      </c>
      <c r="BG422">
        <f ca="1">IF(AND(ISNUMBER($BG$1085),$B$677=1),$BG$1085,HLOOKUP(INDIRECT(ADDRESS(2,COLUMN())),OFFSET($BN$2,0,0,ROW()-1,60),ROW()-1,FALSE))</f>
        <v>11.302763929999999</v>
      </c>
      <c r="BH422">
        <f ca="1">IF(AND(ISNUMBER($BH$1085),$B$677=1),$BH$1085,HLOOKUP(INDIRECT(ADDRESS(2,COLUMN())),OFFSET($BN$2,0,0,ROW()-1,60),ROW()-1,FALSE))</f>
        <v>8.2525041530000003</v>
      </c>
      <c r="BI422" t="str">
        <f ca="1">IF(AND(ISNUMBER($BI$1085),$B$677=1),$BI$1085,HLOOKUP(INDIRECT(ADDRESS(2,COLUMN())),OFFSET($BN$2,0,0,ROW()-1,60),ROW()-1,FALSE))</f>
        <v/>
      </c>
      <c r="BJ422">
        <f ca="1">IF(AND(ISNUMBER($BJ$1085),$B$677=1),$BJ$1085,HLOOKUP(INDIRECT(ADDRESS(2,COLUMN())),OFFSET($BN$2,0,0,ROW()-1,60),ROW()-1,FALSE))</f>
        <v>5.7659849789999997</v>
      </c>
      <c r="BK422" t="str">
        <f ca="1">IF(AND(ISNUMBER($BK$1085),$B$677=1),$BK$1085,HLOOKUP(INDIRECT(ADDRESS(2,COLUMN())),OFFSET($BN$2,0,0,ROW()-1,60),ROW()-1,FALSE))</f>
        <v/>
      </c>
      <c r="BL422" t="str">
        <f ca="1">IF(AND(ISNUMBER($BL$1085),$B$677=1),$BL$1085,HLOOKUP(INDIRECT(ADDRESS(2,COLUMN())),OFFSET($BN$2,0,0,ROW()-1,60),ROW()-1,FALSE))</f>
        <v/>
      </c>
      <c r="BM422" t="str">
        <f ca="1">IF(AND(ISNUMBER($BM$1085),$B$677=1),$BM$1085,HLOOKUP(INDIRECT(ADDRESS(2,COLUMN())),OFFSET($BN$2,0,0,ROW()-1,60),ROW()-1,FALSE))</f>
        <v/>
      </c>
      <c r="BN422" t="str">
        <f>""</f>
        <v/>
      </c>
      <c r="BO422" t="str">
        <f>""</f>
        <v/>
      </c>
      <c r="BP422" t="str">
        <f>""</f>
        <v/>
      </c>
      <c r="BQ422" t="str">
        <f>""</f>
        <v/>
      </c>
      <c r="BR422" t="str">
        <f>""</f>
        <v/>
      </c>
      <c r="BS422" t="str">
        <f>""</f>
        <v/>
      </c>
      <c r="BT422" t="str">
        <f>""</f>
        <v/>
      </c>
      <c r="BU422" t="str">
        <f>""</f>
        <v/>
      </c>
      <c r="BV422" t="str">
        <f>""</f>
        <v/>
      </c>
      <c r="BW422" t="str">
        <f>""</f>
        <v/>
      </c>
      <c r="BX422" t="str">
        <f>""</f>
        <v/>
      </c>
      <c r="BY422" t="str">
        <f>""</f>
        <v/>
      </c>
      <c r="BZ422" t="str">
        <f>""</f>
        <v/>
      </c>
      <c r="CA422" t="str">
        <f>""</f>
        <v/>
      </c>
      <c r="CB422" t="str">
        <f>""</f>
        <v/>
      </c>
      <c r="CC422" t="str">
        <f>""</f>
        <v/>
      </c>
      <c r="CD422" t="str">
        <f>""</f>
        <v/>
      </c>
      <c r="CE422" t="str">
        <f>""</f>
        <v/>
      </c>
      <c r="CF422" t="str">
        <f>""</f>
        <v/>
      </c>
      <c r="CG422" t="str">
        <f>""</f>
        <v/>
      </c>
      <c r="CH422" t="str">
        <f>""</f>
        <v/>
      </c>
      <c r="CI422" t="str">
        <f>""</f>
        <v/>
      </c>
      <c r="CJ422" t="str">
        <f>""</f>
        <v/>
      </c>
      <c r="CK422" t="str">
        <f>""</f>
        <v/>
      </c>
      <c r="CL422" t="str">
        <f>""</f>
        <v/>
      </c>
      <c r="CM422" t="str">
        <f>""</f>
        <v/>
      </c>
      <c r="CN422" t="str">
        <f>""</f>
        <v/>
      </c>
      <c r="CO422" t="str">
        <f>""</f>
        <v/>
      </c>
      <c r="CP422" t="str">
        <f>""</f>
        <v/>
      </c>
      <c r="CQ422" t="str">
        <f>""</f>
        <v/>
      </c>
      <c r="CR422" t="str">
        <f>""</f>
        <v/>
      </c>
      <c r="CS422" t="str">
        <f>""</f>
        <v/>
      </c>
      <c r="CT422">
        <f>4.680744537</f>
        <v>4.6807445369999998</v>
      </c>
      <c r="CU422">
        <f>4.076308798</f>
        <v>4.0763087980000003</v>
      </c>
      <c r="CV422">
        <f>3.318611332</f>
        <v>3.3186113320000001</v>
      </c>
      <c r="CW422">
        <f>2.948491352</f>
        <v>2.948491352</v>
      </c>
      <c r="CX422">
        <f>4.449893169</f>
        <v>4.4498931690000001</v>
      </c>
      <c r="CY422">
        <f>6.719448692</f>
        <v>6.7194486920000003</v>
      </c>
      <c r="CZ422">
        <f>12.83802674</f>
        <v>12.83802674</v>
      </c>
      <c r="DA422">
        <f>12.07851702</f>
        <v>12.07851702</v>
      </c>
      <c r="DB422">
        <f>7.296442508</f>
        <v>7.2964425080000002</v>
      </c>
      <c r="DC422">
        <f>4.963765861</f>
        <v>4.9637658609999997</v>
      </c>
      <c r="DD422">
        <f>8.745318143</f>
        <v>8.7453181430000004</v>
      </c>
      <c r="DE422">
        <f>8.172211001</f>
        <v>8.1722110010000009</v>
      </c>
      <c r="DF422">
        <f>9.62182428</f>
        <v>9.6218242800000002</v>
      </c>
      <c r="DG422">
        <f>8.692131324</f>
        <v>8.692131324</v>
      </c>
      <c r="DH422">
        <f>8.260100469</f>
        <v>8.2601004689999993</v>
      </c>
      <c r="DI422">
        <f>6.645073392</f>
        <v>6.6450733919999996</v>
      </c>
      <c r="DJ422">
        <f>6.107441176</f>
        <v>6.107441176</v>
      </c>
      <c r="DK422">
        <f>6.639610711</f>
        <v>6.6396107110000004</v>
      </c>
      <c r="DL422">
        <f>5.858923809</f>
        <v>5.8589238090000002</v>
      </c>
      <c r="DM422">
        <f>7.799558788</f>
        <v>7.7995587879999997</v>
      </c>
      <c r="DN422">
        <f>10.72516534</f>
        <v>10.72516534</v>
      </c>
      <c r="DO422">
        <f>11.30276393</f>
        <v>11.302763929999999</v>
      </c>
      <c r="DP422">
        <f>8.252504153</f>
        <v>8.2525041530000003</v>
      </c>
      <c r="DQ422" t="str">
        <f>""</f>
        <v/>
      </c>
      <c r="DR422">
        <f>5.765984979</f>
        <v>5.7659849789999997</v>
      </c>
      <c r="DS422" t="str">
        <f>""</f>
        <v/>
      </c>
      <c r="DT422" t="str">
        <f>""</f>
        <v/>
      </c>
      <c r="DU422" t="str">
        <f>""</f>
        <v/>
      </c>
    </row>
    <row r="423" spans="1:125" x14ac:dyDescent="0.25">
      <c r="A423" t="str">
        <f>"    Daimler AG"</f>
        <v xml:space="preserve">    Daimler AG</v>
      </c>
      <c r="B423" t="str">
        <f>"DAI GR Equity"</f>
        <v>DAI GR Equity</v>
      </c>
      <c r="C423" t="str">
        <f t="shared" si="30"/>
        <v>RR477</v>
      </c>
      <c r="D423" t="str">
        <f t="shared" si="31"/>
        <v>EV_TO_T12M_CASH_FLOW</v>
      </c>
      <c r="E423" t="str">
        <f t="shared" si="32"/>
        <v>Dynamic</v>
      </c>
      <c r="F423" t="str">
        <f ca="1">IF(AND(ISNUMBER($F$1086),$B$677=1),$F$1086,HLOOKUP(INDIRECT(ADDRESS(2,COLUMN())),OFFSET($BN$2,0,0,ROW()-1,60),ROW()-1,FALSE))</f>
        <v/>
      </c>
      <c r="G423">
        <f ca="1">IF(AND(ISNUMBER($G$1086),$B$677=1),$G$1086,HLOOKUP(INDIRECT(ADDRESS(2,COLUMN())),OFFSET($BN$2,0,0,ROW()-1,60),ROW()-1,FALSE))</f>
        <v>92.602623910000005</v>
      </c>
      <c r="H423" t="str">
        <f ca="1">IF(AND(ISNUMBER($H$1086),$B$677=1),$H$1086,HLOOKUP(INDIRECT(ADDRESS(2,COLUMN())),OFFSET($BN$2,0,0,ROW()-1,60),ROW()-1,FALSE))</f>
        <v/>
      </c>
      <c r="I423" t="str">
        <f ca="1">IF(AND(ISNUMBER($I$1086),$B$677=1),$I$1086,HLOOKUP(INDIRECT(ADDRESS(2,COLUMN())),OFFSET($BN$2,0,0,ROW()-1,60),ROW()-1,FALSE))</f>
        <v/>
      </c>
      <c r="J423" t="str">
        <f ca="1">IF(AND(ISNUMBER($J$1086),$B$677=1),$J$1086,HLOOKUP(INDIRECT(ADDRESS(2,COLUMN())),OFFSET($BN$2,0,0,ROW()-1,60),ROW()-1,FALSE))</f>
        <v/>
      </c>
      <c r="K423" t="str">
        <f ca="1">IF(AND(ISNUMBER($K$1086),$B$677=1),$K$1086,HLOOKUP(INDIRECT(ADDRESS(2,COLUMN())),OFFSET($BN$2,0,0,ROW()-1,60),ROW()-1,FALSE))</f>
        <v/>
      </c>
      <c r="L423">
        <f ca="1">IF(AND(ISNUMBER($L$1086),$B$677=1),$L$1086,HLOOKUP(INDIRECT(ADDRESS(2,COLUMN())),OFFSET($BN$2,0,0,ROW()-1,60),ROW()-1,FALSE))</f>
        <v>11.55913421</v>
      </c>
      <c r="M423">
        <f ca="1">IF(AND(ISNUMBER($M$1086),$B$677=1),$M$1086,HLOOKUP(INDIRECT(ADDRESS(2,COLUMN())),OFFSET($BN$2,0,0,ROW()-1,60),ROW()-1,FALSE))</f>
        <v>12.64400998</v>
      </c>
      <c r="N423">
        <f ca="1">IF(AND(ISNUMBER($N$1086),$B$677=1),$N$1086,HLOOKUP(INDIRECT(ADDRESS(2,COLUMN())),OFFSET($BN$2,0,0,ROW()-1,60),ROW()-1,FALSE))</f>
        <v>10.84907971</v>
      </c>
      <c r="O423">
        <f ca="1">IF(AND(ISNUMBER($O$1086),$B$677=1),$O$1086,HLOOKUP(INDIRECT(ADDRESS(2,COLUMN())),OFFSET($BN$2,0,0,ROW()-1,60),ROW()-1,FALSE))</f>
        <v>14.538237669999999</v>
      </c>
      <c r="P423">
        <f ca="1">IF(AND(ISNUMBER($P$1086),$B$677=1),$P$1086,HLOOKUP(INDIRECT(ADDRESS(2,COLUMN())),OFFSET($BN$2,0,0,ROW()-1,60),ROW()-1,FALSE))</f>
        <v>21.489502529999999</v>
      </c>
      <c r="Q423">
        <f ca="1">IF(AND(ISNUMBER($Q$1086),$B$677=1),$Q$1086,HLOOKUP(INDIRECT(ADDRESS(2,COLUMN())),OFFSET($BN$2,0,0,ROW()-1,60),ROW()-1,FALSE))</f>
        <v>20.696596199999998</v>
      </c>
      <c r="R423" t="str">
        <f ca="1">IF(AND(ISNUMBER($R$1086),$B$677=1),$R$1086,HLOOKUP(INDIRECT(ADDRESS(2,COLUMN())),OFFSET($BN$2,0,0,ROW()-1,60),ROW()-1,FALSE))</f>
        <v/>
      </c>
      <c r="S423">
        <f ca="1">IF(AND(ISNUMBER($S$1086),$B$677=1),$S$1086,HLOOKUP(INDIRECT(ADDRESS(2,COLUMN())),OFFSET($BN$2,0,0,ROW()-1,60),ROW()-1,FALSE))</f>
        <v>283.61081080000002</v>
      </c>
      <c r="T423" t="str">
        <f ca="1">IF(AND(ISNUMBER($T$1086),$B$677=1),$T$1086,HLOOKUP(INDIRECT(ADDRESS(2,COLUMN())),OFFSET($BN$2,0,0,ROW()-1,60),ROW()-1,FALSE))</f>
        <v/>
      </c>
      <c r="U423" t="str">
        <f ca="1">IF(AND(ISNUMBER($U$1086),$B$677=1),$U$1086,HLOOKUP(INDIRECT(ADDRESS(2,COLUMN())),OFFSET($BN$2,0,0,ROW()-1,60),ROW()-1,FALSE))</f>
        <v/>
      </c>
      <c r="V423" t="str">
        <f ca="1">IF(AND(ISNUMBER($V$1086),$B$677=1),$V$1086,HLOOKUP(INDIRECT(ADDRESS(2,COLUMN())),OFFSET($BN$2,0,0,ROW()-1,60),ROW()-1,FALSE))</f>
        <v/>
      </c>
      <c r="W423" t="str">
        <f ca="1">IF(AND(ISNUMBER($W$1086),$B$677=1),$W$1086,HLOOKUP(INDIRECT(ADDRESS(2,COLUMN())),OFFSET($BN$2,0,0,ROW()-1,60),ROW()-1,FALSE))</f>
        <v/>
      </c>
      <c r="X423">
        <f ca="1">IF(AND(ISNUMBER($X$1086),$B$677=1),$X$1086,HLOOKUP(INDIRECT(ADDRESS(2,COLUMN())),OFFSET($BN$2,0,0,ROW()-1,60),ROW()-1,FALSE))</f>
        <v>13.025124010000001</v>
      </c>
      <c r="Y423">
        <f ca="1">IF(AND(ISNUMBER($Y$1086),$B$677=1),$Y$1086,HLOOKUP(INDIRECT(ADDRESS(2,COLUMN())),OFFSET($BN$2,0,0,ROW()-1,60),ROW()-1,FALSE))</f>
        <v>17.102722289999999</v>
      </c>
      <c r="Z423">
        <f ca="1">IF(AND(ISNUMBER($Z$1086),$B$677=1),$Z$1086,HLOOKUP(INDIRECT(ADDRESS(2,COLUMN())),OFFSET($BN$2,0,0,ROW()-1,60),ROW()-1,FALSE))</f>
        <v>12.268252199999999</v>
      </c>
      <c r="AA423">
        <f ca="1">IF(AND(ISNUMBER($AA$1086),$B$677=1),$AA$1086,HLOOKUP(INDIRECT(ADDRESS(2,COLUMN())),OFFSET($BN$2,0,0,ROW()-1,60),ROW()-1,FALSE))</f>
        <v>15.48584475</v>
      </c>
      <c r="AB423">
        <f ca="1">IF(AND(ISNUMBER($AB$1086),$B$677=1),$AB$1086,HLOOKUP(INDIRECT(ADDRESS(2,COLUMN())),OFFSET($BN$2,0,0,ROW()-1,60),ROW()-1,FALSE))</f>
        <v>18.48493899</v>
      </c>
      <c r="AC423">
        <f ca="1">IF(AND(ISNUMBER($AC$1086),$B$677=1),$AC$1086,HLOOKUP(INDIRECT(ADDRESS(2,COLUMN())),OFFSET($BN$2,0,0,ROW()-1,60),ROW()-1,FALSE))</f>
        <v>80.959628769999995</v>
      </c>
      <c r="AD423" t="str">
        <f ca="1">IF(AND(ISNUMBER($AD$1086),$B$677=1),$AD$1086,HLOOKUP(INDIRECT(ADDRESS(2,COLUMN())),OFFSET($BN$2,0,0,ROW()-1,60),ROW()-1,FALSE))</f>
        <v/>
      </c>
      <c r="AE423" t="str">
        <f ca="1">IF(AND(ISNUMBER($AE$1086),$B$677=1),$AE$1086,HLOOKUP(INDIRECT(ADDRESS(2,COLUMN())),OFFSET($BN$2,0,0,ROW()-1,60),ROW()-1,FALSE))</f>
        <v/>
      </c>
      <c r="AF423" t="str">
        <f ca="1">IF(AND(ISNUMBER($AF$1086),$B$677=1),$AF$1086,HLOOKUP(INDIRECT(ADDRESS(2,COLUMN())),OFFSET($BN$2,0,0,ROW()-1,60),ROW()-1,FALSE))</f>
        <v/>
      </c>
      <c r="AG423" t="str">
        <f ca="1">IF(AND(ISNUMBER($AG$1086),$B$677=1),$AG$1086,HLOOKUP(INDIRECT(ADDRESS(2,COLUMN())),OFFSET($BN$2,0,0,ROW()-1,60),ROW()-1,FALSE))</f>
        <v/>
      </c>
      <c r="AH423" t="str">
        <f ca="1">IF(AND(ISNUMBER($AH$1086),$B$677=1),$AH$1086,HLOOKUP(INDIRECT(ADDRESS(2,COLUMN())),OFFSET($BN$2,0,0,ROW()-1,60),ROW()-1,FALSE))</f>
        <v/>
      </c>
      <c r="AI423" t="str">
        <f ca="1">IF(AND(ISNUMBER($AI$1086),$B$677=1),$AI$1086,HLOOKUP(INDIRECT(ADDRESS(2,COLUMN())),OFFSET($BN$2,0,0,ROW()-1,60),ROW()-1,FALSE))</f>
        <v/>
      </c>
      <c r="AJ423">
        <f ca="1">IF(AND(ISNUMBER($AJ$1086),$B$677=1),$AJ$1086,HLOOKUP(INDIRECT(ADDRESS(2,COLUMN())),OFFSET($BN$2,0,0,ROW()-1,60),ROW()-1,FALSE))</f>
        <v>36.869191720000003</v>
      </c>
      <c r="AK423">
        <f ca="1">IF(AND(ISNUMBER($AK$1086),$B$677=1),$AK$1086,HLOOKUP(INDIRECT(ADDRESS(2,COLUMN())),OFFSET($BN$2,0,0,ROW()-1,60),ROW()-1,FALSE))</f>
        <v>9.8296678350000004</v>
      </c>
      <c r="AL423">
        <f ca="1">IF(AND(ISNUMBER($AL$1086),$B$677=1),$AL$1086,HLOOKUP(INDIRECT(ADDRESS(2,COLUMN())),OFFSET($BN$2,0,0,ROW()-1,60),ROW()-1,FALSE))</f>
        <v>6.484094281</v>
      </c>
      <c r="AM423">
        <f ca="1">IF(AND(ISNUMBER($AM$1086),$B$677=1),$AM$1086,HLOOKUP(INDIRECT(ADDRESS(2,COLUMN())),OFFSET($BN$2,0,0,ROW()-1,60),ROW()-1,FALSE))</f>
        <v>4.844187968</v>
      </c>
      <c r="AN423">
        <f ca="1">IF(AND(ISNUMBER($AN$1086),$B$677=1),$AN$1086,HLOOKUP(INDIRECT(ADDRESS(2,COLUMN())),OFFSET($BN$2,0,0,ROW()-1,60),ROW()-1,FALSE))</f>
        <v>3.7923223319999999</v>
      </c>
      <c r="AO423">
        <f ca="1">IF(AND(ISNUMBER($AO$1086),$B$677=1),$AO$1086,HLOOKUP(INDIRECT(ADDRESS(2,COLUMN())),OFFSET($BN$2,0,0,ROW()-1,60),ROW()-1,FALSE))</f>
        <v>3.7042743050000002</v>
      </c>
      <c r="AP423">
        <f ca="1">IF(AND(ISNUMBER($AP$1086),$B$677=1),$AP$1086,HLOOKUP(INDIRECT(ADDRESS(2,COLUMN())),OFFSET($BN$2,0,0,ROW()-1,60),ROW()-1,FALSE))</f>
        <v>2.6682791570000002</v>
      </c>
      <c r="AQ423">
        <f ca="1">IF(AND(ISNUMBER($AQ$1086),$B$677=1),$AQ$1086,HLOOKUP(INDIRECT(ADDRESS(2,COLUMN())),OFFSET($BN$2,0,0,ROW()-1,60),ROW()-1,FALSE))</f>
        <v>2.918733966</v>
      </c>
      <c r="AR423">
        <f ca="1">IF(AND(ISNUMBER($AR$1086),$B$677=1),$AR$1086,HLOOKUP(INDIRECT(ADDRESS(2,COLUMN())),OFFSET($BN$2,0,0,ROW()-1,60),ROW()-1,FALSE))</f>
        <v>3.3782828070000002</v>
      </c>
      <c r="AS423">
        <f ca="1">IF(AND(ISNUMBER($AS$1086),$B$677=1),$AS$1086,HLOOKUP(INDIRECT(ADDRESS(2,COLUMN())),OFFSET($BN$2,0,0,ROW()-1,60),ROW()-1,FALSE))</f>
        <v>3.4072966889999998</v>
      </c>
      <c r="AT423">
        <f ca="1">IF(AND(ISNUMBER($AT$1086),$B$677=1),$AT$1086,HLOOKUP(INDIRECT(ADDRESS(2,COLUMN())),OFFSET($BN$2,0,0,ROW()-1,60),ROW()-1,FALSE))</f>
        <v>4.1424291780000004</v>
      </c>
      <c r="AU423">
        <f ca="1">IF(AND(ISNUMBER($AU$1086),$B$677=1),$AU$1086,HLOOKUP(INDIRECT(ADDRESS(2,COLUMN())),OFFSET($BN$2,0,0,ROW()-1,60),ROW()-1,FALSE))</f>
        <v>26.016614659999998</v>
      </c>
      <c r="AV423">
        <f ca="1">IF(AND(ISNUMBER($AV$1086),$B$677=1),$AV$1086,HLOOKUP(INDIRECT(ADDRESS(2,COLUMN())),OFFSET($BN$2,0,0,ROW()-1,60),ROW()-1,FALSE))</f>
        <v>13.73350508</v>
      </c>
      <c r="AW423">
        <f ca="1">IF(AND(ISNUMBER($AW$1086),$B$677=1),$AW$1086,HLOOKUP(INDIRECT(ADDRESS(2,COLUMN())),OFFSET($BN$2,0,0,ROW()-1,60),ROW()-1,FALSE))</f>
        <v>9.6561594910000004</v>
      </c>
      <c r="AX423">
        <f ca="1">IF(AND(ISNUMBER($AX$1086),$B$677=1),$AX$1086,HLOOKUP(INDIRECT(ADDRESS(2,COLUMN())),OFFSET($BN$2,0,0,ROW()-1,60),ROW()-1,FALSE))</f>
        <v>8.8820791549999996</v>
      </c>
      <c r="AY423">
        <f ca="1">IF(AND(ISNUMBER($AY$1086),$B$677=1),$AY$1086,HLOOKUP(INDIRECT(ADDRESS(2,COLUMN())),OFFSET($BN$2,0,0,ROW()-1,60),ROW()-1,FALSE))</f>
        <v>8.5213233499999994</v>
      </c>
      <c r="AZ423">
        <f ca="1">IF(AND(ISNUMBER($AZ$1086),$B$677=1),$AZ$1086,HLOOKUP(INDIRECT(ADDRESS(2,COLUMN())),OFFSET($BN$2,0,0,ROW()-1,60),ROW()-1,FALSE))</f>
        <v>7.8993959159999996</v>
      </c>
      <c r="BA423">
        <f ca="1">IF(AND(ISNUMBER($BA$1086),$B$677=1),$BA$1086,HLOOKUP(INDIRECT(ADDRESS(2,COLUMN())),OFFSET($BN$2,0,0,ROW()-1,60),ROW()-1,FALSE))</f>
        <v>9.5249209780000008</v>
      </c>
      <c r="BB423">
        <f ca="1">IF(AND(ISNUMBER($BB$1086),$B$677=1),$BB$1086,HLOOKUP(INDIRECT(ADDRESS(2,COLUMN())),OFFSET($BN$2,0,0,ROW()-1,60),ROW()-1,FALSE))</f>
        <v>10.955410860000001</v>
      </c>
      <c r="BC423">
        <f ca="1">IF(AND(ISNUMBER($BC$1086),$B$677=1),$BC$1086,HLOOKUP(INDIRECT(ADDRESS(2,COLUMN())),OFFSET($BN$2,0,0,ROW()-1,60),ROW()-1,FALSE))</f>
        <v>9.9687521799999992</v>
      </c>
      <c r="BD423">
        <f ca="1">IF(AND(ISNUMBER($BD$1086),$B$677=1),$BD$1086,HLOOKUP(INDIRECT(ADDRESS(2,COLUMN())),OFFSET($BN$2,0,0,ROW()-1,60),ROW()-1,FALSE))</f>
        <v>9.2556118440000006</v>
      </c>
      <c r="BE423">
        <f ca="1">IF(AND(ISNUMBER($BE$1086),$B$677=1),$BE$1086,HLOOKUP(INDIRECT(ADDRESS(2,COLUMN())),OFFSET($BN$2,0,0,ROW()-1,60),ROW()-1,FALSE))</f>
        <v>8.4846848020000003</v>
      </c>
      <c r="BF423">
        <f ca="1">IF(AND(ISNUMBER($BF$1086),$B$677=1),$BF$1086,HLOOKUP(INDIRECT(ADDRESS(2,COLUMN())),OFFSET($BN$2,0,0,ROW()-1,60),ROW()-1,FALSE))</f>
        <v>8.8485955910000005</v>
      </c>
      <c r="BG423">
        <f ca="1">IF(AND(ISNUMBER($BG$1086),$B$677=1),$BG$1086,HLOOKUP(INDIRECT(ADDRESS(2,COLUMN())),OFFSET($BN$2,0,0,ROW()-1,60),ROW()-1,FALSE))</f>
        <v>9.1586440079999996</v>
      </c>
      <c r="BH423">
        <f ca="1">IF(AND(ISNUMBER($BH$1086),$B$677=1),$BH$1086,HLOOKUP(INDIRECT(ADDRESS(2,COLUMN())),OFFSET($BN$2,0,0,ROW()-1,60),ROW()-1,FALSE))</f>
        <v>9.8065957719999997</v>
      </c>
      <c r="BI423">
        <f ca="1">IF(AND(ISNUMBER($BI$1086),$B$677=1),$BI$1086,HLOOKUP(INDIRECT(ADDRESS(2,COLUMN())),OFFSET($BN$2,0,0,ROW()-1,60),ROW()-1,FALSE))</f>
        <v>5.7164349080000001</v>
      </c>
      <c r="BJ423">
        <f ca="1">IF(AND(ISNUMBER($BJ$1086),$B$677=1),$BJ$1086,HLOOKUP(INDIRECT(ADDRESS(2,COLUMN())),OFFSET($BN$2,0,0,ROW()-1,60),ROW()-1,FALSE))</f>
        <v>5.6113638029999997</v>
      </c>
      <c r="BK423">
        <f ca="1">IF(AND(ISNUMBER($BK$1086),$B$677=1),$BK$1086,HLOOKUP(INDIRECT(ADDRESS(2,COLUMN())),OFFSET($BN$2,0,0,ROW()-1,60),ROW()-1,FALSE))</f>
        <v>5.5306065430000002</v>
      </c>
      <c r="BL423">
        <f ca="1">IF(AND(ISNUMBER($BL$1086),$B$677=1),$BL$1086,HLOOKUP(INDIRECT(ADDRESS(2,COLUMN())),OFFSET($BN$2,0,0,ROW()-1,60),ROW()-1,FALSE))</f>
        <v>4.8811126949999997</v>
      </c>
      <c r="BM423">
        <f ca="1">IF(AND(ISNUMBER($BM$1086),$B$677=1),$BM$1086,HLOOKUP(INDIRECT(ADDRESS(2,COLUMN())),OFFSET($BN$2,0,0,ROW()-1,60),ROW()-1,FALSE))</f>
        <v>4.3560039289999999</v>
      </c>
      <c r="BN423" t="str">
        <f>""</f>
        <v/>
      </c>
      <c r="BO423">
        <f>92.60262391</f>
        <v>92.602623910000005</v>
      </c>
      <c r="BP423" t="str">
        <f>""</f>
        <v/>
      </c>
      <c r="BQ423" t="str">
        <f>""</f>
        <v/>
      </c>
      <c r="BR423" t="str">
        <f>""</f>
        <v/>
      </c>
      <c r="BS423" t="str">
        <f>""</f>
        <v/>
      </c>
      <c r="BT423">
        <f>11.55913421</f>
        <v>11.55913421</v>
      </c>
      <c r="BU423">
        <f>12.64400998</f>
        <v>12.64400998</v>
      </c>
      <c r="BV423">
        <f>10.84907971</f>
        <v>10.84907971</v>
      </c>
      <c r="BW423">
        <f>14.53823767</f>
        <v>14.538237669999999</v>
      </c>
      <c r="BX423">
        <f>21.48950253</f>
        <v>21.489502529999999</v>
      </c>
      <c r="BY423">
        <f>20.6965962</f>
        <v>20.696596199999998</v>
      </c>
      <c r="BZ423" t="str">
        <f>""</f>
        <v/>
      </c>
      <c r="CA423">
        <f>283.6108108</f>
        <v>283.61081080000002</v>
      </c>
      <c r="CB423" t="str">
        <f>""</f>
        <v/>
      </c>
      <c r="CC423" t="str">
        <f>""</f>
        <v/>
      </c>
      <c r="CD423" t="str">
        <f>""</f>
        <v/>
      </c>
      <c r="CE423" t="str">
        <f>""</f>
        <v/>
      </c>
      <c r="CF423">
        <f>13.02512401</f>
        <v>13.025124010000001</v>
      </c>
      <c r="CG423">
        <f>17.10272229</f>
        <v>17.102722289999999</v>
      </c>
      <c r="CH423">
        <f>12.2682522</f>
        <v>12.268252199999999</v>
      </c>
      <c r="CI423">
        <f>15.48584475</f>
        <v>15.48584475</v>
      </c>
      <c r="CJ423">
        <f>18.48493899</f>
        <v>18.48493899</v>
      </c>
      <c r="CK423">
        <f>80.95962877</f>
        <v>80.959628769999995</v>
      </c>
      <c r="CL423" t="str">
        <f>""</f>
        <v/>
      </c>
      <c r="CM423" t="str">
        <f>""</f>
        <v/>
      </c>
      <c r="CN423" t="str">
        <f>""</f>
        <v/>
      </c>
      <c r="CO423" t="str">
        <f>""</f>
        <v/>
      </c>
      <c r="CP423" t="str">
        <f>""</f>
        <v/>
      </c>
      <c r="CQ423" t="str">
        <f>""</f>
        <v/>
      </c>
      <c r="CR423">
        <f>36.86919172</f>
        <v>36.869191720000003</v>
      </c>
      <c r="CS423">
        <f>9.829667835</f>
        <v>9.8296678350000004</v>
      </c>
      <c r="CT423">
        <f>6.484094281</f>
        <v>6.484094281</v>
      </c>
      <c r="CU423">
        <f>4.844187968</f>
        <v>4.844187968</v>
      </c>
      <c r="CV423">
        <f>3.792322332</f>
        <v>3.7923223319999999</v>
      </c>
      <c r="CW423">
        <f>3.704274305</f>
        <v>3.7042743050000002</v>
      </c>
      <c r="CX423">
        <f>2.668279157</f>
        <v>2.6682791570000002</v>
      </c>
      <c r="CY423">
        <f>2.918733966</f>
        <v>2.918733966</v>
      </c>
      <c r="CZ423">
        <f>3.378282807</f>
        <v>3.3782828070000002</v>
      </c>
      <c r="DA423">
        <f>3.407296689</f>
        <v>3.4072966889999998</v>
      </c>
      <c r="DB423">
        <f>4.142429178</f>
        <v>4.1424291780000004</v>
      </c>
      <c r="DC423">
        <f>26.01661466</f>
        <v>26.016614659999998</v>
      </c>
      <c r="DD423">
        <f>13.73350508</f>
        <v>13.73350508</v>
      </c>
      <c r="DE423">
        <f>9.656159491</f>
        <v>9.6561594910000004</v>
      </c>
      <c r="DF423">
        <f>8.882079155</f>
        <v>8.8820791549999996</v>
      </c>
      <c r="DG423">
        <f>8.52132335</f>
        <v>8.5213233499999994</v>
      </c>
      <c r="DH423">
        <f>7.899395916</f>
        <v>7.8993959159999996</v>
      </c>
      <c r="DI423">
        <f>9.524920978</f>
        <v>9.5249209780000008</v>
      </c>
      <c r="DJ423">
        <f>10.95541086</f>
        <v>10.955410860000001</v>
      </c>
      <c r="DK423">
        <f>9.96875218</f>
        <v>9.9687521799999992</v>
      </c>
      <c r="DL423">
        <f>9.255611844</f>
        <v>9.2556118440000006</v>
      </c>
      <c r="DM423">
        <f>8.484684802</f>
        <v>8.4846848020000003</v>
      </c>
      <c r="DN423">
        <f>8.848595591</f>
        <v>8.8485955910000005</v>
      </c>
      <c r="DO423">
        <f>9.158644008</f>
        <v>9.1586440079999996</v>
      </c>
      <c r="DP423">
        <f>9.806595772</f>
        <v>9.8065957719999997</v>
      </c>
      <c r="DQ423">
        <f>5.716434908</f>
        <v>5.7164349080000001</v>
      </c>
      <c r="DR423">
        <f>5.611363803</f>
        <v>5.6113638029999997</v>
      </c>
      <c r="DS423">
        <f>5.530606543</f>
        <v>5.5306065430000002</v>
      </c>
      <c r="DT423">
        <f>4.881112695</f>
        <v>4.8811126949999997</v>
      </c>
      <c r="DU423">
        <f>4.356003929</f>
        <v>4.3560039289999999</v>
      </c>
    </row>
    <row r="424" spans="1:125" x14ac:dyDescent="0.25">
      <c r="A424" t="str">
        <f>"    Dongfeng Motor Group Co Ltd"</f>
        <v xml:space="preserve">    Dongfeng Motor Group Co Ltd</v>
      </c>
      <c r="B424" t="str">
        <f>"489 HK Equity"</f>
        <v>489 HK Equity</v>
      </c>
      <c r="C424" t="str">
        <f t="shared" si="30"/>
        <v>RR477</v>
      </c>
      <c r="D424" t="str">
        <f t="shared" si="31"/>
        <v>EV_TO_T12M_CASH_FLOW</v>
      </c>
      <c r="E424" t="str">
        <f t="shared" si="32"/>
        <v>Dynamic</v>
      </c>
      <c r="F424" t="str">
        <f ca="1">IF(AND(ISNUMBER($F$1087),$B$677=1),$F$1087,HLOOKUP(INDIRECT(ADDRESS(2,COLUMN())),OFFSET($BN$2,0,0,ROW()-1,60),ROW()-1,FALSE))</f>
        <v/>
      </c>
      <c r="G424" t="str">
        <f ca="1">IF(AND(ISNUMBER($G$1087),$B$677=1),$G$1087,HLOOKUP(INDIRECT(ADDRESS(2,COLUMN())),OFFSET($BN$2,0,0,ROW()-1,60),ROW()-1,FALSE))</f>
        <v/>
      </c>
      <c r="H424" t="str">
        <f ca="1">IF(AND(ISNUMBER($H$1087),$B$677=1),$H$1087,HLOOKUP(INDIRECT(ADDRESS(2,COLUMN())),OFFSET($BN$2,0,0,ROW()-1,60),ROW()-1,FALSE))</f>
        <v/>
      </c>
      <c r="I424" t="str">
        <f ca="1">IF(AND(ISNUMBER($I$1087),$B$677=1),$I$1087,HLOOKUP(INDIRECT(ADDRESS(2,COLUMN())),OFFSET($BN$2,0,0,ROW()-1,60),ROW()-1,FALSE))</f>
        <v/>
      </c>
      <c r="J424" t="str">
        <f ca="1">IF(AND(ISNUMBER($J$1087),$B$677=1),$J$1087,HLOOKUP(INDIRECT(ADDRESS(2,COLUMN())),OFFSET($BN$2,0,0,ROW()-1,60),ROW()-1,FALSE))</f>
        <v/>
      </c>
      <c r="K424" t="str">
        <f ca="1">IF(AND(ISNUMBER($K$1087),$B$677=1),$K$1087,HLOOKUP(INDIRECT(ADDRESS(2,COLUMN())),OFFSET($BN$2,0,0,ROW()-1,60),ROW()-1,FALSE))</f>
        <v/>
      </c>
      <c r="L424" t="str">
        <f ca="1">IF(AND(ISNUMBER($L$1087),$B$677=1),$L$1087,HLOOKUP(INDIRECT(ADDRESS(2,COLUMN())),OFFSET($BN$2,0,0,ROW()-1,60),ROW()-1,FALSE))</f>
        <v/>
      </c>
      <c r="M424" t="str">
        <f ca="1">IF(AND(ISNUMBER($M$1087),$B$677=1),$M$1087,HLOOKUP(INDIRECT(ADDRESS(2,COLUMN())),OFFSET($BN$2,0,0,ROW()-1,60),ROW()-1,FALSE))</f>
        <v/>
      </c>
      <c r="N424" t="str">
        <f ca="1">IF(AND(ISNUMBER($N$1087),$B$677=1),$N$1087,HLOOKUP(INDIRECT(ADDRESS(2,COLUMN())),OFFSET($BN$2,0,0,ROW()-1,60),ROW()-1,FALSE))</f>
        <v/>
      </c>
      <c r="O424" t="str">
        <f ca="1">IF(AND(ISNUMBER($O$1087),$B$677=1),$O$1087,HLOOKUP(INDIRECT(ADDRESS(2,COLUMN())),OFFSET($BN$2,0,0,ROW()-1,60),ROW()-1,FALSE))</f>
        <v/>
      </c>
      <c r="P424" t="str">
        <f ca="1">IF(AND(ISNUMBER($P$1087),$B$677=1),$P$1087,HLOOKUP(INDIRECT(ADDRESS(2,COLUMN())),OFFSET($BN$2,0,0,ROW()-1,60),ROW()-1,FALSE))</f>
        <v/>
      </c>
      <c r="Q424" t="str">
        <f ca="1">IF(AND(ISNUMBER($Q$1087),$B$677=1),$Q$1087,HLOOKUP(INDIRECT(ADDRESS(2,COLUMN())),OFFSET($BN$2,0,0,ROW()-1,60),ROW()-1,FALSE))</f>
        <v/>
      </c>
      <c r="R424" t="str">
        <f ca="1">IF(AND(ISNUMBER($R$1087),$B$677=1),$R$1087,HLOOKUP(INDIRECT(ADDRESS(2,COLUMN())),OFFSET($BN$2,0,0,ROW()-1,60),ROW()-1,FALSE))</f>
        <v/>
      </c>
      <c r="S424" t="str">
        <f ca="1">IF(AND(ISNUMBER($S$1087),$B$677=1),$S$1087,HLOOKUP(INDIRECT(ADDRESS(2,COLUMN())),OFFSET($BN$2,0,0,ROW()-1,60),ROW()-1,FALSE))</f>
        <v/>
      </c>
      <c r="T424" t="str">
        <f ca="1">IF(AND(ISNUMBER($T$1087),$B$677=1),$T$1087,HLOOKUP(INDIRECT(ADDRESS(2,COLUMN())),OFFSET($BN$2,0,0,ROW()-1,60),ROW()-1,FALSE))</f>
        <v/>
      </c>
      <c r="U424" t="str">
        <f ca="1">IF(AND(ISNUMBER($U$1087),$B$677=1),$U$1087,HLOOKUP(INDIRECT(ADDRESS(2,COLUMN())),OFFSET($BN$2,0,0,ROW()-1,60),ROW()-1,FALSE))</f>
        <v/>
      </c>
      <c r="V424" t="str">
        <f ca="1">IF(AND(ISNUMBER($V$1087),$B$677=1),$V$1087,HLOOKUP(INDIRECT(ADDRESS(2,COLUMN())),OFFSET($BN$2,0,0,ROW()-1,60),ROW()-1,FALSE))</f>
        <v/>
      </c>
      <c r="W424" t="str">
        <f ca="1">IF(AND(ISNUMBER($W$1087),$B$677=1),$W$1087,HLOOKUP(INDIRECT(ADDRESS(2,COLUMN())),OFFSET($BN$2,0,0,ROW()-1,60),ROW()-1,FALSE))</f>
        <v/>
      </c>
      <c r="X424" t="str">
        <f ca="1">IF(AND(ISNUMBER($X$1087),$B$677=1),$X$1087,HLOOKUP(INDIRECT(ADDRESS(2,COLUMN())),OFFSET($BN$2,0,0,ROW()-1,60),ROW()-1,FALSE))</f>
        <v/>
      </c>
      <c r="Y424" t="str">
        <f ca="1">IF(AND(ISNUMBER($Y$1087),$B$677=1),$Y$1087,HLOOKUP(INDIRECT(ADDRESS(2,COLUMN())),OFFSET($BN$2,0,0,ROW()-1,60),ROW()-1,FALSE))</f>
        <v/>
      </c>
      <c r="Z424" t="str">
        <f ca="1">IF(AND(ISNUMBER($Z$1087),$B$677=1),$Z$1087,HLOOKUP(INDIRECT(ADDRESS(2,COLUMN())),OFFSET($BN$2,0,0,ROW()-1,60),ROW()-1,FALSE))</f>
        <v/>
      </c>
      <c r="AA424" t="str">
        <f ca="1">IF(AND(ISNUMBER($AA$1087),$B$677=1),$AA$1087,HLOOKUP(INDIRECT(ADDRESS(2,COLUMN())),OFFSET($BN$2,0,0,ROW()-1,60),ROW()-1,FALSE))</f>
        <v/>
      </c>
      <c r="AB424" t="str">
        <f ca="1">IF(AND(ISNUMBER($AB$1087),$B$677=1),$AB$1087,HLOOKUP(INDIRECT(ADDRESS(2,COLUMN())),OFFSET($BN$2,0,0,ROW()-1,60),ROW()-1,FALSE))</f>
        <v/>
      </c>
      <c r="AC424" t="str">
        <f ca="1">IF(AND(ISNUMBER($AC$1087),$B$677=1),$AC$1087,HLOOKUP(INDIRECT(ADDRESS(2,COLUMN())),OFFSET($BN$2,0,0,ROW()-1,60),ROW()-1,FALSE))</f>
        <v/>
      </c>
      <c r="AD424" t="str">
        <f ca="1">IF(AND(ISNUMBER($AD$1087),$B$677=1),$AD$1087,HLOOKUP(INDIRECT(ADDRESS(2,COLUMN())),OFFSET($BN$2,0,0,ROW()-1,60),ROW()-1,FALSE))</f>
        <v/>
      </c>
      <c r="AE424" t="str">
        <f ca="1">IF(AND(ISNUMBER($AE$1087),$B$677=1),$AE$1087,HLOOKUP(INDIRECT(ADDRESS(2,COLUMN())),OFFSET($BN$2,0,0,ROW()-1,60),ROW()-1,FALSE))</f>
        <v/>
      </c>
      <c r="AF424" t="str">
        <f ca="1">IF(AND(ISNUMBER($AF$1087),$B$677=1),$AF$1087,HLOOKUP(INDIRECT(ADDRESS(2,COLUMN())),OFFSET($BN$2,0,0,ROW()-1,60),ROW()-1,FALSE))</f>
        <v/>
      </c>
      <c r="AG424" t="str">
        <f ca="1">IF(AND(ISNUMBER($AG$1087),$B$677=1),$AG$1087,HLOOKUP(INDIRECT(ADDRESS(2,COLUMN())),OFFSET($BN$2,0,0,ROW()-1,60),ROW()-1,FALSE))</f>
        <v/>
      </c>
      <c r="AH424" t="str">
        <f ca="1">IF(AND(ISNUMBER($AH$1087),$B$677=1),$AH$1087,HLOOKUP(INDIRECT(ADDRESS(2,COLUMN())),OFFSET($BN$2,0,0,ROW()-1,60),ROW()-1,FALSE))</f>
        <v/>
      </c>
      <c r="AI424" t="str">
        <f ca="1">IF(AND(ISNUMBER($AI$1087),$B$677=1),$AI$1087,HLOOKUP(INDIRECT(ADDRESS(2,COLUMN())),OFFSET($BN$2,0,0,ROW()-1,60),ROW()-1,FALSE))</f>
        <v/>
      </c>
      <c r="AJ424" t="str">
        <f ca="1">IF(AND(ISNUMBER($AJ$1087),$B$677=1),$AJ$1087,HLOOKUP(INDIRECT(ADDRESS(2,COLUMN())),OFFSET($BN$2,0,0,ROW()-1,60),ROW()-1,FALSE))</f>
        <v/>
      </c>
      <c r="AK424" t="str">
        <f ca="1">IF(AND(ISNUMBER($AK$1087),$B$677=1),$AK$1087,HLOOKUP(INDIRECT(ADDRESS(2,COLUMN())),OFFSET($BN$2,0,0,ROW()-1,60),ROW()-1,FALSE))</f>
        <v/>
      </c>
      <c r="AL424" t="str">
        <f ca="1">IF(AND(ISNUMBER($AL$1087),$B$677=1),$AL$1087,HLOOKUP(INDIRECT(ADDRESS(2,COLUMN())),OFFSET($BN$2,0,0,ROW()-1,60),ROW()-1,FALSE))</f>
        <v/>
      </c>
      <c r="AM424" t="str">
        <f ca="1">IF(AND(ISNUMBER($AM$1087),$B$677=1),$AM$1087,HLOOKUP(INDIRECT(ADDRESS(2,COLUMN())),OFFSET($BN$2,0,0,ROW()-1,60),ROW()-1,FALSE))</f>
        <v/>
      </c>
      <c r="AN424" t="str">
        <f ca="1">IF(AND(ISNUMBER($AN$1087),$B$677=1),$AN$1087,HLOOKUP(INDIRECT(ADDRESS(2,COLUMN())),OFFSET($BN$2,0,0,ROW()-1,60),ROW()-1,FALSE))</f>
        <v/>
      </c>
      <c r="AO424" t="str">
        <f ca="1">IF(AND(ISNUMBER($AO$1087),$B$677=1),$AO$1087,HLOOKUP(INDIRECT(ADDRESS(2,COLUMN())),OFFSET($BN$2,0,0,ROW()-1,60),ROW()-1,FALSE))</f>
        <v/>
      </c>
      <c r="AP424" t="str">
        <f ca="1">IF(AND(ISNUMBER($AP$1087),$B$677=1),$AP$1087,HLOOKUP(INDIRECT(ADDRESS(2,COLUMN())),OFFSET($BN$2,0,0,ROW()-1,60),ROW()-1,FALSE))</f>
        <v/>
      </c>
      <c r="AQ424" t="str">
        <f ca="1">IF(AND(ISNUMBER($AQ$1087),$B$677=1),$AQ$1087,HLOOKUP(INDIRECT(ADDRESS(2,COLUMN())),OFFSET($BN$2,0,0,ROW()-1,60),ROW()-1,FALSE))</f>
        <v/>
      </c>
      <c r="AR424" t="str">
        <f ca="1">IF(AND(ISNUMBER($AR$1087),$B$677=1),$AR$1087,HLOOKUP(INDIRECT(ADDRESS(2,COLUMN())),OFFSET($BN$2,0,0,ROW()-1,60),ROW()-1,FALSE))</f>
        <v/>
      </c>
      <c r="AS424" t="str">
        <f ca="1">IF(AND(ISNUMBER($AS$1087),$B$677=1),$AS$1087,HLOOKUP(INDIRECT(ADDRESS(2,COLUMN())),OFFSET($BN$2,0,0,ROW()-1,60),ROW()-1,FALSE))</f>
        <v/>
      </c>
      <c r="AT424" t="str">
        <f ca="1">IF(AND(ISNUMBER($AT$1087),$B$677=1),$AT$1087,HLOOKUP(INDIRECT(ADDRESS(2,COLUMN())),OFFSET($BN$2,0,0,ROW()-1,60),ROW()-1,FALSE))</f>
        <v/>
      </c>
      <c r="AU424" t="str">
        <f ca="1">IF(AND(ISNUMBER($AU$1087),$B$677=1),$AU$1087,HLOOKUP(INDIRECT(ADDRESS(2,COLUMN())),OFFSET($BN$2,0,0,ROW()-1,60),ROW()-1,FALSE))</f>
        <v/>
      </c>
      <c r="AV424" t="str">
        <f ca="1">IF(AND(ISNUMBER($AV$1087),$B$677=1),$AV$1087,HLOOKUP(INDIRECT(ADDRESS(2,COLUMN())),OFFSET($BN$2,0,0,ROW()-1,60),ROW()-1,FALSE))</f>
        <v/>
      </c>
      <c r="AW424" t="str">
        <f ca="1">IF(AND(ISNUMBER($AW$1087),$B$677=1),$AW$1087,HLOOKUP(INDIRECT(ADDRESS(2,COLUMN())),OFFSET($BN$2,0,0,ROW()-1,60),ROW()-1,FALSE))</f>
        <v/>
      </c>
      <c r="AX424" t="str">
        <f ca="1">IF(AND(ISNUMBER($AX$1087),$B$677=1),$AX$1087,HLOOKUP(INDIRECT(ADDRESS(2,COLUMN())),OFFSET($BN$2,0,0,ROW()-1,60),ROW()-1,FALSE))</f>
        <v/>
      </c>
      <c r="AY424" t="str">
        <f ca="1">IF(AND(ISNUMBER($AY$1087),$B$677=1),$AY$1087,HLOOKUP(INDIRECT(ADDRESS(2,COLUMN())),OFFSET($BN$2,0,0,ROW()-1,60),ROW()-1,FALSE))</f>
        <v/>
      </c>
      <c r="AZ424" t="str">
        <f ca="1">IF(AND(ISNUMBER($AZ$1087),$B$677=1),$AZ$1087,HLOOKUP(INDIRECT(ADDRESS(2,COLUMN())),OFFSET($BN$2,0,0,ROW()-1,60),ROW()-1,FALSE))</f>
        <v/>
      </c>
      <c r="BA424" t="str">
        <f ca="1">IF(AND(ISNUMBER($BA$1087),$B$677=1),$BA$1087,HLOOKUP(INDIRECT(ADDRESS(2,COLUMN())),OFFSET($BN$2,0,0,ROW()-1,60),ROW()-1,FALSE))</f>
        <v/>
      </c>
      <c r="BB424" t="str">
        <f ca="1">IF(AND(ISNUMBER($BB$1087),$B$677=1),$BB$1087,HLOOKUP(INDIRECT(ADDRESS(2,COLUMN())),OFFSET($BN$2,0,0,ROW()-1,60),ROW()-1,FALSE))</f>
        <v/>
      </c>
      <c r="BC424" t="str">
        <f ca="1">IF(AND(ISNUMBER($BC$1087),$B$677=1),$BC$1087,HLOOKUP(INDIRECT(ADDRESS(2,COLUMN())),OFFSET($BN$2,0,0,ROW()-1,60),ROW()-1,FALSE))</f>
        <v/>
      </c>
      <c r="BD424" t="str">
        <f ca="1">IF(AND(ISNUMBER($BD$1087),$B$677=1),$BD$1087,HLOOKUP(INDIRECT(ADDRESS(2,COLUMN())),OFFSET($BN$2,0,0,ROW()-1,60),ROW()-1,FALSE))</f>
        <v/>
      </c>
      <c r="BE424" t="str">
        <f ca="1">IF(AND(ISNUMBER($BE$1087),$B$677=1),$BE$1087,HLOOKUP(INDIRECT(ADDRESS(2,COLUMN())),OFFSET($BN$2,0,0,ROW()-1,60),ROW()-1,FALSE))</f>
        <v/>
      </c>
      <c r="BF424" t="str">
        <f ca="1">IF(AND(ISNUMBER($BF$1087),$B$677=1),$BF$1087,HLOOKUP(INDIRECT(ADDRESS(2,COLUMN())),OFFSET($BN$2,0,0,ROW()-1,60),ROW()-1,FALSE))</f>
        <v/>
      </c>
      <c r="BG424" t="str">
        <f ca="1">IF(AND(ISNUMBER($BG$1087),$B$677=1),$BG$1087,HLOOKUP(INDIRECT(ADDRESS(2,COLUMN())),OFFSET($BN$2,0,0,ROW()-1,60),ROW()-1,FALSE))</f>
        <v/>
      </c>
      <c r="BH424" t="str">
        <f ca="1">IF(AND(ISNUMBER($BH$1087),$B$677=1),$BH$1087,HLOOKUP(INDIRECT(ADDRESS(2,COLUMN())),OFFSET($BN$2,0,0,ROW()-1,60),ROW()-1,FALSE))</f>
        <v/>
      </c>
      <c r="BI424" t="str">
        <f ca="1">IF(AND(ISNUMBER($BI$1087),$B$677=1),$BI$1087,HLOOKUP(INDIRECT(ADDRESS(2,COLUMN())),OFFSET($BN$2,0,0,ROW()-1,60),ROW()-1,FALSE))</f>
        <v/>
      </c>
      <c r="BJ424" t="str">
        <f ca="1">IF(AND(ISNUMBER($BJ$1087),$B$677=1),$BJ$1087,HLOOKUP(INDIRECT(ADDRESS(2,COLUMN())),OFFSET($BN$2,0,0,ROW()-1,60),ROW()-1,FALSE))</f>
        <v/>
      </c>
      <c r="BK424" t="str">
        <f ca="1">IF(AND(ISNUMBER($BK$1087),$B$677=1),$BK$1087,HLOOKUP(INDIRECT(ADDRESS(2,COLUMN())),OFFSET($BN$2,0,0,ROW()-1,60),ROW()-1,FALSE))</f>
        <v/>
      </c>
      <c r="BL424" t="str">
        <f ca="1">IF(AND(ISNUMBER($BL$1087),$B$677=1),$BL$1087,HLOOKUP(INDIRECT(ADDRESS(2,COLUMN())),OFFSET($BN$2,0,0,ROW()-1,60),ROW()-1,FALSE))</f>
        <v/>
      </c>
      <c r="BM424" t="str">
        <f ca="1">IF(AND(ISNUMBER($BM$1087),$B$677=1),$BM$1087,HLOOKUP(INDIRECT(ADDRESS(2,COLUMN())),OFFSET($BN$2,0,0,ROW()-1,60),ROW()-1,FALSE))</f>
        <v/>
      </c>
      <c r="BN424" t="str">
        <f>""</f>
        <v/>
      </c>
      <c r="BO424" t="str">
        <f>""</f>
        <v/>
      </c>
      <c r="BP424" t="str">
        <f>""</f>
        <v/>
      </c>
      <c r="BQ424" t="str">
        <f>""</f>
        <v/>
      </c>
      <c r="BR424" t="str">
        <f>""</f>
        <v/>
      </c>
      <c r="BS424" t="str">
        <f>""</f>
        <v/>
      </c>
      <c r="BT424" t="str">
        <f>""</f>
        <v/>
      </c>
      <c r="BU424" t="str">
        <f>""</f>
        <v/>
      </c>
      <c r="BV424" t="str">
        <f>""</f>
        <v/>
      </c>
      <c r="BW424" t="str">
        <f>""</f>
        <v/>
      </c>
      <c r="BX424" t="str">
        <f>""</f>
        <v/>
      </c>
      <c r="BY424" t="str">
        <f>""</f>
        <v/>
      </c>
      <c r="BZ424" t="str">
        <f>""</f>
        <v/>
      </c>
      <c r="CA424" t="str">
        <f>""</f>
        <v/>
      </c>
      <c r="CB424" t="str">
        <f>""</f>
        <v/>
      </c>
      <c r="CC424" t="str">
        <f>""</f>
        <v/>
      </c>
      <c r="CD424" t="str">
        <f>""</f>
        <v/>
      </c>
      <c r="CE424" t="str">
        <f>""</f>
        <v/>
      </c>
      <c r="CF424" t="str">
        <f>""</f>
        <v/>
      </c>
      <c r="CG424" t="str">
        <f>""</f>
        <v/>
      </c>
      <c r="CH424" t="str">
        <f>""</f>
        <v/>
      </c>
      <c r="CI424" t="str">
        <f>""</f>
        <v/>
      </c>
      <c r="CJ424" t="str">
        <f>""</f>
        <v/>
      </c>
      <c r="CK424" t="str">
        <f>""</f>
        <v/>
      </c>
      <c r="CL424" t="str">
        <f>""</f>
        <v/>
      </c>
      <c r="CM424" t="str">
        <f>""</f>
        <v/>
      </c>
      <c r="CN424" t="str">
        <f>""</f>
        <v/>
      </c>
      <c r="CO424" t="str">
        <f>""</f>
        <v/>
      </c>
      <c r="CP424" t="str">
        <f>""</f>
        <v/>
      </c>
      <c r="CQ424" t="str">
        <f>""</f>
        <v/>
      </c>
      <c r="CR424" t="str">
        <f>""</f>
        <v/>
      </c>
      <c r="CS424" t="str">
        <f>""</f>
        <v/>
      </c>
      <c r="CT424" t="str">
        <f>""</f>
        <v/>
      </c>
      <c r="CU424" t="str">
        <f>""</f>
        <v/>
      </c>
      <c r="CV424" t="str">
        <f>""</f>
        <v/>
      </c>
      <c r="CW424" t="str">
        <f>""</f>
        <v/>
      </c>
      <c r="CX424" t="str">
        <f>""</f>
        <v/>
      </c>
      <c r="CY424" t="str">
        <f>""</f>
        <v/>
      </c>
      <c r="CZ424" t="str">
        <f>""</f>
        <v/>
      </c>
      <c r="DA424" t="str">
        <f>""</f>
        <v/>
      </c>
      <c r="DB424" t="str">
        <f>""</f>
        <v/>
      </c>
      <c r="DC424" t="str">
        <f>""</f>
        <v/>
      </c>
      <c r="DD424" t="str">
        <f>""</f>
        <v/>
      </c>
      <c r="DE424" t="str">
        <f>""</f>
        <v/>
      </c>
      <c r="DF424" t="str">
        <f>""</f>
        <v/>
      </c>
      <c r="DG424" t="str">
        <f>""</f>
        <v/>
      </c>
      <c r="DH424" t="str">
        <f>""</f>
        <v/>
      </c>
      <c r="DI424" t="str">
        <f>""</f>
        <v/>
      </c>
      <c r="DJ424" t="str">
        <f>""</f>
        <v/>
      </c>
      <c r="DK424" t="str">
        <f>""</f>
        <v/>
      </c>
      <c r="DL424" t="str">
        <f>""</f>
        <v/>
      </c>
      <c r="DM424" t="str">
        <f>""</f>
        <v/>
      </c>
      <c r="DN424" t="str">
        <f>""</f>
        <v/>
      </c>
      <c r="DO424" t="str">
        <f>""</f>
        <v/>
      </c>
      <c r="DP424" t="str">
        <f>""</f>
        <v/>
      </c>
      <c r="DQ424" t="str">
        <f>""</f>
        <v/>
      </c>
      <c r="DR424" t="str">
        <f>""</f>
        <v/>
      </c>
      <c r="DS424" t="str">
        <f>""</f>
        <v/>
      </c>
      <c r="DT424" t="str">
        <f>""</f>
        <v/>
      </c>
      <c r="DU424" t="str">
        <f>""</f>
        <v/>
      </c>
    </row>
    <row r="425" spans="1:125" x14ac:dyDescent="0.25">
      <c r="A425" t="str">
        <f>"    DRB-Hicom Bhd"</f>
        <v xml:space="preserve">    DRB-Hicom Bhd</v>
      </c>
      <c r="B425" t="str">
        <f>"DRB MK Equity"</f>
        <v>DRB MK Equity</v>
      </c>
      <c r="C425" t="str">
        <f t="shared" si="30"/>
        <v>RR477</v>
      </c>
      <c r="D425" t="str">
        <f t="shared" si="31"/>
        <v>EV_TO_T12M_CASH_FLOW</v>
      </c>
      <c r="E425" t="str">
        <f t="shared" si="32"/>
        <v>Dynamic</v>
      </c>
      <c r="F425" t="str">
        <f ca="1">IF(AND(ISNUMBER($F$1088),$B$677=1),$F$1088,HLOOKUP(INDIRECT(ADDRESS(2,COLUMN())),OFFSET($BN$2,0,0,ROW()-1,60),ROW()-1,FALSE))</f>
        <v/>
      </c>
      <c r="G425" t="str">
        <f ca="1">IF(AND(ISNUMBER($G$1088),$B$677=1),$G$1088,HLOOKUP(INDIRECT(ADDRESS(2,COLUMN())),OFFSET($BN$2,0,0,ROW()-1,60),ROW()-1,FALSE))</f>
        <v/>
      </c>
      <c r="H425">
        <f ca="1">IF(AND(ISNUMBER($H$1088),$B$677=1),$H$1088,HLOOKUP(INDIRECT(ADDRESS(2,COLUMN())),OFFSET($BN$2,0,0,ROW()-1,60),ROW()-1,FALSE))</f>
        <v>3.3476402709999999</v>
      </c>
      <c r="I425">
        <f ca="1">IF(AND(ISNUMBER($I$1088),$B$677=1),$I$1088,HLOOKUP(INDIRECT(ADDRESS(2,COLUMN())),OFFSET($BN$2,0,0,ROW()-1,60),ROW()-1,FALSE))</f>
        <v>7.0370534320000004</v>
      </c>
      <c r="J425">
        <f ca="1">IF(AND(ISNUMBER($J$1088),$B$677=1),$J$1088,HLOOKUP(INDIRECT(ADDRESS(2,COLUMN())),OFFSET($BN$2,0,0,ROW()-1,60),ROW()-1,FALSE))</f>
        <v>8.1681027470000007</v>
      </c>
      <c r="K425">
        <f ca="1">IF(AND(ISNUMBER($K$1088),$B$677=1),$K$1088,HLOOKUP(INDIRECT(ADDRESS(2,COLUMN())),OFFSET($BN$2,0,0,ROW()-1,60),ROW()-1,FALSE))</f>
        <v>6.9095508219999999</v>
      </c>
      <c r="L425" t="str">
        <f ca="1">IF(AND(ISNUMBER($L$1088),$B$677=1),$L$1088,HLOOKUP(INDIRECT(ADDRESS(2,COLUMN())),OFFSET($BN$2,0,0,ROW()-1,60),ROW()-1,FALSE))</f>
        <v/>
      </c>
      <c r="M425" t="str">
        <f ca="1">IF(AND(ISNUMBER($M$1088),$B$677=1),$M$1088,HLOOKUP(INDIRECT(ADDRESS(2,COLUMN())),OFFSET($BN$2,0,0,ROW()-1,60),ROW()-1,FALSE))</f>
        <v/>
      </c>
      <c r="N425">
        <f ca="1">IF(AND(ISNUMBER($N$1088),$B$677=1),$N$1088,HLOOKUP(INDIRECT(ADDRESS(2,COLUMN())),OFFSET($BN$2,0,0,ROW()-1,60),ROW()-1,FALSE))</f>
        <v>38.699801690000001</v>
      </c>
      <c r="O425" t="str">
        <f ca="1">IF(AND(ISNUMBER($O$1088),$B$677=1),$O$1088,HLOOKUP(INDIRECT(ADDRESS(2,COLUMN())),OFFSET($BN$2,0,0,ROW()-1,60),ROW()-1,FALSE))</f>
        <v/>
      </c>
      <c r="P425">
        <f ca="1">IF(AND(ISNUMBER($P$1088),$B$677=1),$P$1088,HLOOKUP(INDIRECT(ADDRESS(2,COLUMN())),OFFSET($BN$2,0,0,ROW()-1,60),ROW()-1,FALSE))</f>
        <v>49.605394330000003</v>
      </c>
      <c r="Q425">
        <f ca="1">IF(AND(ISNUMBER($Q$1088),$B$677=1),$Q$1088,HLOOKUP(INDIRECT(ADDRESS(2,COLUMN())),OFFSET($BN$2,0,0,ROW()-1,60),ROW()-1,FALSE))</f>
        <v>6.239908926</v>
      </c>
      <c r="R425" t="str">
        <f ca="1">IF(AND(ISNUMBER($R$1088),$B$677=1),$R$1088,HLOOKUP(INDIRECT(ADDRESS(2,COLUMN())),OFFSET($BN$2,0,0,ROW()-1,60),ROW()-1,FALSE))</f>
        <v/>
      </c>
      <c r="S425" t="str">
        <f ca="1">IF(AND(ISNUMBER($S$1088),$B$677=1),$S$1088,HLOOKUP(INDIRECT(ADDRESS(2,COLUMN())),OFFSET($BN$2,0,0,ROW()-1,60),ROW()-1,FALSE))</f>
        <v/>
      </c>
      <c r="T425" t="str">
        <f ca="1">IF(AND(ISNUMBER($T$1088),$B$677=1),$T$1088,HLOOKUP(INDIRECT(ADDRESS(2,COLUMN())),OFFSET($BN$2,0,0,ROW()-1,60),ROW()-1,FALSE))</f>
        <v/>
      </c>
      <c r="U425" t="str">
        <f ca="1">IF(AND(ISNUMBER($U$1088),$B$677=1),$U$1088,HLOOKUP(INDIRECT(ADDRESS(2,COLUMN())),OFFSET($BN$2,0,0,ROW()-1,60),ROW()-1,FALSE))</f>
        <v/>
      </c>
      <c r="V425">
        <f ca="1">IF(AND(ISNUMBER($V$1088),$B$677=1),$V$1088,HLOOKUP(INDIRECT(ADDRESS(2,COLUMN())),OFFSET($BN$2,0,0,ROW()-1,60),ROW()-1,FALSE))</f>
        <v>8.9056518350000005</v>
      </c>
      <c r="W425">
        <f ca="1">IF(AND(ISNUMBER($W$1088),$B$677=1),$W$1088,HLOOKUP(INDIRECT(ADDRESS(2,COLUMN())),OFFSET($BN$2,0,0,ROW()-1,60),ROW()-1,FALSE))</f>
        <v>7.8234621090000003</v>
      </c>
      <c r="X425" t="str">
        <f ca="1">IF(AND(ISNUMBER($X$1088),$B$677=1),$X$1088,HLOOKUP(INDIRECT(ADDRESS(2,COLUMN())),OFFSET($BN$2,0,0,ROW()-1,60),ROW()-1,FALSE))</f>
        <v/>
      </c>
      <c r="Y425" t="str">
        <f ca="1">IF(AND(ISNUMBER($Y$1088),$B$677=1),$Y$1088,HLOOKUP(INDIRECT(ADDRESS(2,COLUMN())),OFFSET($BN$2,0,0,ROW()-1,60),ROW()-1,FALSE))</f>
        <v/>
      </c>
      <c r="Z425" t="str">
        <f ca="1">IF(AND(ISNUMBER($Z$1088),$B$677=1),$Z$1088,HLOOKUP(INDIRECT(ADDRESS(2,COLUMN())),OFFSET($BN$2,0,0,ROW()-1,60),ROW()-1,FALSE))</f>
        <v/>
      </c>
      <c r="AA425">
        <f ca="1">IF(AND(ISNUMBER($AA$1088),$B$677=1),$AA$1088,HLOOKUP(INDIRECT(ADDRESS(2,COLUMN())),OFFSET($BN$2,0,0,ROW()-1,60),ROW()-1,FALSE))</f>
        <v>3.9267160809999999</v>
      </c>
      <c r="AB425">
        <f ca="1">IF(AND(ISNUMBER($AB$1088),$B$677=1),$AB$1088,HLOOKUP(INDIRECT(ADDRESS(2,COLUMN())),OFFSET($BN$2,0,0,ROW()-1,60),ROW()-1,FALSE))</f>
        <v>2.102211558</v>
      </c>
      <c r="AC425">
        <f ca="1">IF(AND(ISNUMBER($AC$1088),$B$677=1),$AC$1088,HLOOKUP(INDIRECT(ADDRESS(2,COLUMN())),OFFSET($BN$2,0,0,ROW()-1,60),ROW()-1,FALSE))</f>
        <v>2.698851409</v>
      </c>
      <c r="AD425">
        <f ca="1">IF(AND(ISNUMBER($AD$1088),$B$677=1),$AD$1088,HLOOKUP(INDIRECT(ADDRESS(2,COLUMN())),OFFSET($BN$2,0,0,ROW()-1,60),ROW()-1,FALSE))</f>
        <v>8.9694376150000004</v>
      </c>
      <c r="AE425" t="str">
        <f ca="1">IF(AND(ISNUMBER($AE$1088),$B$677=1),$AE$1088,HLOOKUP(INDIRECT(ADDRESS(2,COLUMN())),OFFSET($BN$2,0,0,ROW()-1,60),ROW()-1,FALSE))</f>
        <v/>
      </c>
      <c r="AF425">
        <f ca="1">IF(AND(ISNUMBER($AF$1088),$B$677=1),$AF$1088,HLOOKUP(INDIRECT(ADDRESS(2,COLUMN())),OFFSET($BN$2,0,0,ROW()-1,60),ROW()-1,FALSE))</f>
        <v>23.449891439999998</v>
      </c>
      <c r="AG425" t="str">
        <f ca="1">IF(AND(ISNUMBER($AG$1088),$B$677=1),$AG$1088,HLOOKUP(INDIRECT(ADDRESS(2,COLUMN())),OFFSET($BN$2,0,0,ROW()-1,60),ROW()-1,FALSE))</f>
        <v/>
      </c>
      <c r="AH425">
        <f ca="1">IF(AND(ISNUMBER($AH$1088),$B$677=1),$AH$1088,HLOOKUP(INDIRECT(ADDRESS(2,COLUMN())),OFFSET($BN$2,0,0,ROW()-1,60),ROW()-1,FALSE))</f>
        <v>19.723475659999998</v>
      </c>
      <c r="AI425">
        <f ca="1">IF(AND(ISNUMBER($AI$1088),$B$677=1),$AI$1088,HLOOKUP(INDIRECT(ADDRESS(2,COLUMN())),OFFSET($BN$2,0,0,ROW()-1,60),ROW()-1,FALSE))</f>
        <v>2.41821047</v>
      </c>
      <c r="AJ425" t="str">
        <f ca="1">IF(AND(ISNUMBER($AJ$1088),$B$677=1),$AJ$1088,HLOOKUP(INDIRECT(ADDRESS(2,COLUMN())),OFFSET($BN$2,0,0,ROW()-1,60),ROW()-1,FALSE))</f>
        <v/>
      </c>
      <c r="AK425" t="str">
        <f ca="1">IF(AND(ISNUMBER($AK$1088),$B$677=1),$AK$1088,HLOOKUP(INDIRECT(ADDRESS(2,COLUMN())),OFFSET($BN$2,0,0,ROW()-1,60),ROW()-1,FALSE))</f>
        <v/>
      </c>
      <c r="AL425" t="str">
        <f ca="1">IF(AND(ISNUMBER($AL$1088),$B$677=1),$AL$1088,HLOOKUP(INDIRECT(ADDRESS(2,COLUMN())),OFFSET($BN$2,0,0,ROW()-1,60),ROW()-1,FALSE))</f>
        <v/>
      </c>
      <c r="AM425">
        <f ca="1">IF(AND(ISNUMBER($AM$1088),$B$677=1),$AM$1088,HLOOKUP(INDIRECT(ADDRESS(2,COLUMN())),OFFSET($BN$2,0,0,ROW()-1,60),ROW()-1,FALSE))</f>
        <v>35.334115740000001</v>
      </c>
      <c r="AN425">
        <f ca="1">IF(AND(ISNUMBER($AN$1088),$B$677=1),$AN$1088,HLOOKUP(INDIRECT(ADDRESS(2,COLUMN())),OFFSET($BN$2,0,0,ROW()-1,60),ROW()-1,FALSE))</f>
        <v>10.32259926</v>
      </c>
      <c r="AO425">
        <f ca="1">IF(AND(ISNUMBER($AO$1088),$B$677=1),$AO$1088,HLOOKUP(INDIRECT(ADDRESS(2,COLUMN())),OFFSET($BN$2,0,0,ROW()-1,60),ROW()-1,FALSE))</f>
        <v>4.4884668190000001</v>
      </c>
      <c r="AP425" t="str">
        <f ca="1">IF(AND(ISNUMBER($AP$1088),$B$677=1),$AP$1088,HLOOKUP(INDIRECT(ADDRESS(2,COLUMN())),OFFSET($BN$2,0,0,ROW()-1,60),ROW()-1,FALSE))</f>
        <v/>
      </c>
      <c r="AQ425" t="str">
        <f ca="1">IF(AND(ISNUMBER($AQ$1088),$B$677=1),$AQ$1088,HLOOKUP(INDIRECT(ADDRESS(2,COLUMN())),OFFSET($BN$2,0,0,ROW()-1,60),ROW()-1,FALSE))</f>
        <v/>
      </c>
      <c r="AR425" t="str">
        <f ca="1">IF(AND(ISNUMBER($AR$1088),$B$677=1),$AR$1088,HLOOKUP(INDIRECT(ADDRESS(2,COLUMN())),OFFSET($BN$2,0,0,ROW()-1,60),ROW()-1,FALSE))</f>
        <v/>
      </c>
      <c r="AS425" t="str">
        <f ca="1">IF(AND(ISNUMBER($AS$1088),$B$677=1),$AS$1088,HLOOKUP(INDIRECT(ADDRESS(2,COLUMN())),OFFSET($BN$2,0,0,ROW()-1,60),ROW()-1,FALSE))</f>
        <v/>
      </c>
      <c r="AT425" t="str">
        <f ca="1">IF(AND(ISNUMBER($AT$1088),$B$677=1),$AT$1088,HLOOKUP(INDIRECT(ADDRESS(2,COLUMN())),OFFSET($BN$2,0,0,ROW()-1,60),ROW()-1,FALSE))</f>
        <v/>
      </c>
      <c r="AU425" t="str">
        <f ca="1">IF(AND(ISNUMBER($AU$1088),$B$677=1),$AU$1088,HLOOKUP(INDIRECT(ADDRESS(2,COLUMN())),OFFSET($BN$2,0,0,ROW()-1,60),ROW()-1,FALSE))</f>
        <v/>
      </c>
      <c r="AV425">
        <f ca="1">IF(AND(ISNUMBER($AV$1088),$B$677=1),$AV$1088,HLOOKUP(INDIRECT(ADDRESS(2,COLUMN())),OFFSET($BN$2,0,0,ROW()-1,60),ROW()-1,FALSE))</f>
        <v>2.22043306</v>
      </c>
      <c r="AW425">
        <f ca="1">IF(AND(ISNUMBER($AW$1088),$B$677=1),$AW$1088,HLOOKUP(INDIRECT(ADDRESS(2,COLUMN())),OFFSET($BN$2,0,0,ROW()-1,60),ROW()-1,FALSE))</f>
        <v>2.8534997469999999</v>
      </c>
      <c r="AX425">
        <f ca="1">IF(AND(ISNUMBER($AX$1088),$B$677=1),$AX$1088,HLOOKUP(INDIRECT(ADDRESS(2,COLUMN())),OFFSET($BN$2,0,0,ROW()-1,60),ROW()-1,FALSE))</f>
        <v>3.6319524470000002</v>
      </c>
      <c r="AY425">
        <f ca="1">IF(AND(ISNUMBER($AY$1088),$B$677=1),$AY$1088,HLOOKUP(INDIRECT(ADDRESS(2,COLUMN())),OFFSET($BN$2,0,0,ROW()-1,60),ROW()-1,FALSE))</f>
        <v>3.5768491390000001</v>
      </c>
      <c r="AZ425">
        <f ca="1">IF(AND(ISNUMBER($AZ$1088),$B$677=1),$AZ$1088,HLOOKUP(INDIRECT(ADDRESS(2,COLUMN())),OFFSET($BN$2,0,0,ROW()-1,60),ROW()-1,FALSE))</f>
        <v>2.9827680349999999</v>
      </c>
      <c r="BA425">
        <f ca="1">IF(AND(ISNUMBER($BA$1088),$B$677=1),$BA$1088,HLOOKUP(INDIRECT(ADDRESS(2,COLUMN())),OFFSET($BN$2,0,0,ROW()-1,60),ROW()-1,FALSE))</f>
        <v>3.0568435389999999</v>
      </c>
      <c r="BB425">
        <f ca="1">IF(AND(ISNUMBER($BB$1088),$B$677=1),$BB$1088,HLOOKUP(INDIRECT(ADDRESS(2,COLUMN())),OFFSET($BN$2,0,0,ROW()-1,60),ROW()-1,FALSE))</f>
        <v>5.2329285949999997</v>
      </c>
      <c r="BC425">
        <f ca="1">IF(AND(ISNUMBER($BC$1088),$B$677=1),$BC$1088,HLOOKUP(INDIRECT(ADDRESS(2,COLUMN())),OFFSET($BN$2,0,0,ROW()-1,60),ROW()-1,FALSE))</f>
        <v>5.1201730059999999</v>
      </c>
      <c r="BD425">
        <f ca="1">IF(AND(ISNUMBER($BD$1088),$B$677=1),$BD$1088,HLOOKUP(INDIRECT(ADDRESS(2,COLUMN())),OFFSET($BN$2,0,0,ROW()-1,60),ROW()-1,FALSE))</f>
        <v>8.7436653520000007</v>
      </c>
      <c r="BE425">
        <f ca="1">IF(AND(ISNUMBER($BE$1088),$B$677=1),$BE$1088,HLOOKUP(INDIRECT(ADDRESS(2,COLUMN())),OFFSET($BN$2,0,0,ROW()-1,60),ROW()-1,FALSE))</f>
        <v>15.45453715</v>
      </c>
      <c r="BF425">
        <f ca="1">IF(AND(ISNUMBER($BF$1088),$B$677=1),$BF$1088,HLOOKUP(INDIRECT(ADDRESS(2,COLUMN())),OFFSET($BN$2,0,0,ROW()-1,60),ROW()-1,FALSE))</f>
        <v>11.12857374</v>
      </c>
      <c r="BG425">
        <f ca="1">IF(AND(ISNUMBER($BG$1088),$B$677=1),$BG$1088,HLOOKUP(INDIRECT(ADDRESS(2,COLUMN())),OFFSET($BN$2,0,0,ROW()-1,60),ROW()-1,FALSE))</f>
        <v>9.9058860430000006</v>
      </c>
      <c r="BH425">
        <f ca="1">IF(AND(ISNUMBER($BH$1088),$B$677=1),$BH$1088,HLOOKUP(INDIRECT(ADDRESS(2,COLUMN())),OFFSET($BN$2,0,0,ROW()-1,60),ROW()-1,FALSE))</f>
        <v>6.1715572930000002</v>
      </c>
      <c r="BI425">
        <f ca="1">IF(AND(ISNUMBER($BI$1088),$B$677=1),$BI$1088,HLOOKUP(INDIRECT(ADDRESS(2,COLUMN())),OFFSET($BN$2,0,0,ROW()-1,60),ROW()-1,FALSE))</f>
        <v>4.5347967269999998</v>
      </c>
      <c r="BJ425">
        <f ca="1">IF(AND(ISNUMBER($BJ$1088),$B$677=1),$BJ$1088,HLOOKUP(INDIRECT(ADDRESS(2,COLUMN())),OFFSET($BN$2,0,0,ROW()-1,60),ROW()-1,FALSE))</f>
        <v>4.9596085619999997</v>
      </c>
      <c r="BK425">
        <f ca="1">IF(AND(ISNUMBER($BK$1088),$B$677=1),$BK$1088,HLOOKUP(INDIRECT(ADDRESS(2,COLUMN())),OFFSET($BN$2,0,0,ROW()-1,60),ROW()-1,FALSE))</f>
        <v>6.4140546069999997</v>
      </c>
      <c r="BL425">
        <f ca="1">IF(AND(ISNUMBER($BL$1088),$B$677=1),$BL$1088,HLOOKUP(INDIRECT(ADDRESS(2,COLUMN())),OFFSET($BN$2,0,0,ROW()-1,60),ROW()-1,FALSE))</f>
        <v>8.2944619419999999</v>
      </c>
      <c r="BM425">
        <f ca="1">IF(AND(ISNUMBER($BM$1088),$B$677=1),$BM$1088,HLOOKUP(INDIRECT(ADDRESS(2,COLUMN())),OFFSET($BN$2,0,0,ROW()-1,60),ROW()-1,FALSE))</f>
        <v>9.8352933189999998</v>
      </c>
      <c r="BN425" t="str">
        <f>""</f>
        <v/>
      </c>
      <c r="BO425" t="str">
        <f>""</f>
        <v/>
      </c>
      <c r="BP425">
        <f>3.347640271</f>
        <v>3.3476402709999999</v>
      </c>
      <c r="BQ425">
        <f>7.037053432</f>
        <v>7.0370534320000004</v>
      </c>
      <c r="BR425">
        <f>8.168102747</f>
        <v>8.1681027470000007</v>
      </c>
      <c r="BS425">
        <f>6.909550822</f>
        <v>6.9095508219999999</v>
      </c>
      <c r="BT425" t="str">
        <f>""</f>
        <v/>
      </c>
      <c r="BU425" t="str">
        <f>""</f>
        <v/>
      </c>
      <c r="BV425">
        <f>38.69980169</f>
        <v>38.699801690000001</v>
      </c>
      <c r="BW425" t="str">
        <f>""</f>
        <v/>
      </c>
      <c r="BX425">
        <f>49.60539433</f>
        <v>49.605394330000003</v>
      </c>
      <c r="BY425">
        <f>6.239908926</f>
        <v>6.239908926</v>
      </c>
      <c r="BZ425" t="str">
        <f>""</f>
        <v/>
      </c>
      <c r="CA425" t="str">
        <f>""</f>
        <v/>
      </c>
      <c r="CB425" t="str">
        <f>""</f>
        <v/>
      </c>
      <c r="CC425" t="str">
        <f>""</f>
        <v/>
      </c>
      <c r="CD425">
        <f>8.905651835</f>
        <v>8.9056518350000005</v>
      </c>
      <c r="CE425">
        <f>7.823462109</f>
        <v>7.8234621090000003</v>
      </c>
      <c r="CF425" t="str">
        <f>""</f>
        <v/>
      </c>
      <c r="CG425" t="str">
        <f>""</f>
        <v/>
      </c>
      <c r="CH425" t="str">
        <f>""</f>
        <v/>
      </c>
      <c r="CI425">
        <f>3.926716081</f>
        <v>3.9267160809999999</v>
      </c>
      <c r="CJ425">
        <f>2.102211558</f>
        <v>2.102211558</v>
      </c>
      <c r="CK425">
        <f>2.698851409</f>
        <v>2.698851409</v>
      </c>
      <c r="CL425">
        <f>8.969437615</f>
        <v>8.9694376150000004</v>
      </c>
      <c r="CM425" t="str">
        <f>""</f>
        <v/>
      </c>
      <c r="CN425">
        <f>23.44989144</f>
        <v>23.449891439999998</v>
      </c>
      <c r="CO425" t="str">
        <f>""</f>
        <v/>
      </c>
      <c r="CP425">
        <f>19.72347566</f>
        <v>19.723475659999998</v>
      </c>
      <c r="CQ425">
        <f>2.41821047</f>
        <v>2.41821047</v>
      </c>
      <c r="CR425" t="str">
        <f>""</f>
        <v/>
      </c>
      <c r="CS425" t="str">
        <f>""</f>
        <v/>
      </c>
      <c r="CT425" t="str">
        <f>""</f>
        <v/>
      </c>
      <c r="CU425">
        <f>35.33411574</f>
        <v>35.334115740000001</v>
      </c>
      <c r="CV425">
        <f>10.32259926</f>
        <v>10.32259926</v>
      </c>
      <c r="CW425">
        <f>4.488466819</f>
        <v>4.4884668190000001</v>
      </c>
      <c r="CX425" t="str">
        <f>""</f>
        <v/>
      </c>
      <c r="CY425" t="str">
        <f>""</f>
        <v/>
      </c>
      <c r="CZ425" t="str">
        <f>""</f>
        <v/>
      </c>
      <c r="DA425" t="str">
        <f>""</f>
        <v/>
      </c>
      <c r="DB425" t="str">
        <f>""</f>
        <v/>
      </c>
      <c r="DC425" t="str">
        <f>""</f>
        <v/>
      </c>
      <c r="DD425">
        <f>2.22043306</f>
        <v>2.22043306</v>
      </c>
      <c r="DE425">
        <f>2.853499747</f>
        <v>2.8534997469999999</v>
      </c>
      <c r="DF425">
        <f>3.631952447</f>
        <v>3.6319524470000002</v>
      </c>
      <c r="DG425">
        <f>3.576849139</f>
        <v>3.5768491390000001</v>
      </c>
      <c r="DH425">
        <f>2.982768035</f>
        <v>2.9827680349999999</v>
      </c>
      <c r="DI425">
        <f>3.056843539</f>
        <v>3.0568435389999999</v>
      </c>
      <c r="DJ425">
        <f>5.232928595</f>
        <v>5.2329285949999997</v>
      </c>
      <c r="DK425">
        <f>5.120173006</f>
        <v>5.1201730059999999</v>
      </c>
      <c r="DL425">
        <f>8.743665352</f>
        <v>8.7436653520000007</v>
      </c>
      <c r="DM425">
        <f>15.45453715</f>
        <v>15.45453715</v>
      </c>
      <c r="DN425">
        <f>11.12857374</f>
        <v>11.12857374</v>
      </c>
      <c r="DO425">
        <f>9.905886043</f>
        <v>9.9058860430000006</v>
      </c>
      <c r="DP425">
        <f>6.171557293</f>
        <v>6.1715572930000002</v>
      </c>
      <c r="DQ425">
        <f>4.534796727</f>
        <v>4.5347967269999998</v>
      </c>
      <c r="DR425">
        <f>4.959608562</f>
        <v>4.9596085619999997</v>
      </c>
      <c r="DS425">
        <f>6.414054607</f>
        <v>6.4140546069999997</v>
      </c>
      <c r="DT425">
        <f>8.294461942</f>
        <v>8.2944619419999999</v>
      </c>
      <c r="DU425">
        <f>9.835293319</f>
        <v>9.8352933189999998</v>
      </c>
    </row>
    <row r="426" spans="1:125" x14ac:dyDescent="0.25">
      <c r="A426" t="str">
        <f>"    FAW CAR Co Ltd"</f>
        <v xml:space="preserve">    FAW CAR Co Ltd</v>
      </c>
      <c r="B426" t="str">
        <f>"000800 CH Equity"</f>
        <v>000800 CH Equity</v>
      </c>
      <c r="C426" t="str">
        <f t="shared" si="30"/>
        <v>RR477</v>
      </c>
      <c r="D426" t="str">
        <f t="shared" si="31"/>
        <v>EV_TO_T12M_CASH_FLOW</v>
      </c>
      <c r="E426" t="str">
        <f t="shared" si="32"/>
        <v>Dynamic</v>
      </c>
      <c r="F426" t="str">
        <f ca="1">IF(AND(ISNUMBER($F$1089),$B$677=1),$F$1089,HLOOKUP(INDIRECT(ADDRESS(2,COLUMN())),OFFSET($BN$2,0,0,ROW()-1,60),ROW()-1,FALSE))</f>
        <v/>
      </c>
      <c r="G426" t="str">
        <f ca="1">IF(AND(ISNUMBER($G$1089),$B$677=1),$G$1089,HLOOKUP(INDIRECT(ADDRESS(2,COLUMN())),OFFSET($BN$2,0,0,ROW()-1,60),ROW()-1,FALSE))</f>
        <v/>
      </c>
      <c r="H426">
        <f ca="1">IF(AND(ISNUMBER($H$1089),$B$677=1),$H$1089,HLOOKUP(INDIRECT(ADDRESS(2,COLUMN())),OFFSET($BN$2,0,0,ROW()-1,60),ROW()-1,FALSE))</f>
        <v>6.1958011170000002</v>
      </c>
      <c r="I426">
        <f ca="1">IF(AND(ISNUMBER($I$1089),$B$677=1),$I$1089,HLOOKUP(INDIRECT(ADDRESS(2,COLUMN())),OFFSET($BN$2,0,0,ROW()-1,60),ROW()-1,FALSE))</f>
        <v>4.3177351169999998</v>
      </c>
      <c r="J426">
        <f ca="1">IF(AND(ISNUMBER($J$1089),$B$677=1),$J$1089,HLOOKUP(INDIRECT(ADDRESS(2,COLUMN())),OFFSET($BN$2,0,0,ROW()-1,60),ROW()-1,FALSE))</f>
        <v>5.9878053480000002</v>
      </c>
      <c r="K426">
        <f ca="1">IF(AND(ISNUMBER($K$1089),$B$677=1),$K$1089,HLOOKUP(INDIRECT(ADDRESS(2,COLUMN())),OFFSET($BN$2,0,0,ROW()-1,60),ROW()-1,FALSE))</f>
        <v>6.9134022020000003</v>
      </c>
      <c r="L426">
        <f ca="1">IF(AND(ISNUMBER($L$1089),$B$677=1),$L$1089,HLOOKUP(INDIRECT(ADDRESS(2,COLUMN())),OFFSET($BN$2,0,0,ROW()-1,60),ROW()-1,FALSE))</f>
        <v>9.6336071299999997</v>
      </c>
      <c r="M426">
        <f ca="1">IF(AND(ISNUMBER($M$1089),$B$677=1),$M$1089,HLOOKUP(INDIRECT(ADDRESS(2,COLUMN())),OFFSET($BN$2,0,0,ROW()-1,60),ROW()-1,FALSE))</f>
        <v>15.418660490000001</v>
      </c>
      <c r="N426">
        <f ca="1">IF(AND(ISNUMBER($N$1089),$B$677=1),$N$1089,HLOOKUP(INDIRECT(ADDRESS(2,COLUMN())),OFFSET($BN$2,0,0,ROW()-1,60),ROW()-1,FALSE))</f>
        <v>13.31867961</v>
      </c>
      <c r="O426">
        <f ca="1">IF(AND(ISNUMBER($O$1089),$B$677=1),$O$1089,HLOOKUP(INDIRECT(ADDRESS(2,COLUMN())),OFFSET($BN$2,0,0,ROW()-1,60),ROW()-1,FALSE))</f>
        <v>30.766367129999999</v>
      </c>
      <c r="P426">
        <f ca="1">IF(AND(ISNUMBER($P$1089),$B$677=1),$P$1089,HLOOKUP(INDIRECT(ADDRESS(2,COLUMN())),OFFSET($BN$2,0,0,ROW()-1,60),ROW()-1,FALSE))</f>
        <v>92.778790860000001</v>
      </c>
      <c r="Q426">
        <f ca="1">IF(AND(ISNUMBER($Q$1089),$B$677=1),$Q$1089,HLOOKUP(INDIRECT(ADDRESS(2,COLUMN())),OFFSET($BN$2,0,0,ROW()-1,60),ROW()-1,FALSE))</f>
        <v>31.40886763</v>
      </c>
      <c r="R426">
        <f ca="1">IF(AND(ISNUMBER($R$1089),$B$677=1),$R$1089,HLOOKUP(INDIRECT(ADDRESS(2,COLUMN())),OFFSET($BN$2,0,0,ROW()-1,60),ROW()-1,FALSE))</f>
        <v>69.717886669999999</v>
      </c>
      <c r="S426">
        <f ca="1">IF(AND(ISNUMBER($S$1089),$B$677=1),$S$1089,HLOOKUP(INDIRECT(ADDRESS(2,COLUMN())),OFFSET($BN$2,0,0,ROW()-1,60),ROW()-1,FALSE))</f>
        <v>30.334227129999999</v>
      </c>
      <c r="T426">
        <f ca="1">IF(AND(ISNUMBER($T$1089),$B$677=1),$T$1089,HLOOKUP(INDIRECT(ADDRESS(2,COLUMN())),OFFSET($BN$2,0,0,ROW()-1,60),ROW()-1,FALSE))</f>
        <v>681.78529189999995</v>
      </c>
      <c r="U426">
        <f ca="1">IF(AND(ISNUMBER($U$1089),$B$677=1),$U$1089,HLOOKUP(INDIRECT(ADDRESS(2,COLUMN())),OFFSET($BN$2,0,0,ROW()-1,60),ROW()-1,FALSE))</f>
        <v>1188.0809589999999</v>
      </c>
      <c r="V426">
        <f ca="1">IF(AND(ISNUMBER($V$1089),$B$677=1),$V$1089,HLOOKUP(INDIRECT(ADDRESS(2,COLUMN())),OFFSET($BN$2,0,0,ROW()-1,60),ROW()-1,FALSE))</f>
        <v>101.9186098</v>
      </c>
      <c r="W426">
        <f ca="1">IF(AND(ISNUMBER($W$1089),$B$677=1),$W$1089,HLOOKUP(INDIRECT(ADDRESS(2,COLUMN())),OFFSET($BN$2,0,0,ROW()-1,60),ROW()-1,FALSE))</f>
        <v>90.62373667</v>
      </c>
      <c r="X426">
        <f ca="1">IF(AND(ISNUMBER($X$1089),$B$677=1),$X$1089,HLOOKUP(INDIRECT(ADDRESS(2,COLUMN())),OFFSET($BN$2,0,0,ROW()-1,60),ROW()-1,FALSE))</f>
        <v>23.76832259</v>
      </c>
      <c r="Y426">
        <f ca="1">IF(AND(ISNUMBER($Y$1089),$B$677=1),$Y$1089,HLOOKUP(INDIRECT(ADDRESS(2,COLUMN())),OFFSET($BN$2,0,0,ROW()-1,60),ROW()-1,FALSE))</f>
        <v>13.79411387</v>
      </c>
      <c r="Z426">
        <f ca="1">IF(AND(ISNUMBER($Z$1089),$B$677=1),$Z$1089,HLOOKUP(INDIRECT(ADDRESS(2,COLUMN())),OFFSET($BN$2,0,0,ROW()-1,60),ROW()-1,FALSE))</f>
        <v>10.304301600000001</v>
      </c>
      <c r="AA426">
        <f ca="1">IF(AND(ISNUMBER($AA$1089),$B$677=1),$AA$1089,HLOOKUP(INDIRECT(ADDRESS(2,COLUMN())),OFFSET($BN$2,0,0,ROW()-1,60),ROW()-1,FALSE))</f>
        <v>14.71675258</v>
      </c>
      <c r="AB426">
        <f ca="1">IF(AND(ISNUMBER($AB$1089),$B$677=1),$AB$1089,HLOOKUP(INDIRECT(ADDRESS(2,COLUMN())),OFFSET($BN$2,0,0,ROW()-1,60),ROW()-1,FALSE))</f>
        <v>15.09397976</v>
      </c>
      <c r="AC426">
        <f ca="1">IF(AND(ISNUMBER($AC$1089),$B$677=1),$AC$1089,HLOOKUP(INDIRECT(ADDRESS(2,COLUMN())),OFFSET($BN$2,0,0,ROW()-1,60),ROW()-1,FALSE))</f>
        <v>56.739041829999998</v>
      </c>
      <c r="AD426">
        <f ca="1">IF(AND(ISNUMBER($AD$1089),$B$677=1),$AD$1089,HLOOKUP(INDIRECT(ADDRESS(2,COLUMN())),OFFSET($BN$2,0,0,ROW()-1,60),ROW()-1,FALSE))</f>
        <v>16.959255129999999</v>
      </c>
      <c r="AE426">
        <f ca="1">IF(AND(ISNUMBER($AE$1089),$B$677=1),$AE$1089,HLOOKUP(INDIRECT(ADDRESS(2,COLUMN())),OFFSET($BN$2,0,0,ROW()-1,60),ROW()-1,FALSE))</f>
        <v>9.1930614469999998</v>
      </c>
      <c r="AF426">
        <f ca="1">IF(AND(ISNUMBER($AF$1089),$B$677=1),$AF$1089,HLOOKUP(INDIRECT(ADDRESS(2,COLUMN())),OFFSET($BN$2,0,0,ROW()-1,60),ROW()-1,FALSE))</f>
        <v>4.0450469140000003</v>
      </c>
      <c r="AG426">
        <f ca="1">IF(AND(ISNUMBER($AG$1089),$B$677=1),$AG$1089,HLOOKUP(INDIRECT(ADDRESS(2,COLUMN())),OFFSET($BN$2,0,0,ROW()-1,60),ROW()-1,FALSE))</f>
        <v>6.6980991139999997</v>
      </c>
      <c r="AH426">
        <f ca="1">IF(AND(ISNUMBER($AH$1089),$B$677=1),$AH$1089,HLOOKUP(INDIRECT(ADDRESS(2,COLUMN())),OFFSET($BN$2,0,0,ROW()-1,60),ROW()-1,FALSE))</f>
        <v>12.24358926</v>
      </c>
      <c r="AI426" t="str">
        <f ca="1">IF(AND(ISNUMBER($AI$1089),$B$677=1),$AI$1089,HLOOKUP(INDIRECT(ADDRESS(2,COLUMN())),OFFSET($BN$2,0,0,ROW()-1,60),ROW()-1,FALSE))</f>
        <v/>
      </c>
      <c r="AJ426" t="str">
        <f ca="1">IF(AND(ISNUMBER($AJ$1089),$B$677=1),$AJ$1089,HLOOKUP(INDIRECT(ADDRESS(2,COLUMN())),OFFSET($BN$2,0,0,ROW()-1,60),ROW()-1,FALSE))</f>
        <v/>
      </c>
      <c r="AK426" t="str">
        <f ca="1">IF(AND(ISNUMBER($AK$1089),$B$677=1),$AK$1089,HLOOKUP(INDIRECT(ADDRESS(2,COLUMN())),OFFSET($BN$2,0,0,ROW()-1,60),ROW()-1,FALSE))</f>
        <v/>
      </c>
      <c r="AL426" t="str">
        <f ca="1">IF(AND(ISNUMBER($AL$1089),$B$677=1),$AL$1089,HLOOKUP(INDIRECT(ADDRESS(2,COLUMN())),OFFSET($BN$2,0,0,ROW()-1,60),ROW()-1,FALSE))</f>
        <v/>
      </c>
      <c r="AM426">
        <f ca="1">IF(AND(ISNUMBER($AM$1089),$B$677=1),$AM$1089,HLOOKUP(INDIRECT(ADDRESS(2,COLUMN())),OFFSET($BN$2,0,0,ROW()-1,60),ROW()-1,FALSE))</f>
        <v>9.4898585660000006</v>
      </c>
      <c r="AN426">
        <f ca="1">IF(AND(ISNUMBER($AN$1089),$B$677=1),$AN$1089,HLOOKUP(INDIRECT(ADDRESS(2,COLUMN())),OFFSET($BN$2,0,0,ROW()-1,60),ROW()-1,FALSE))</f>
        <v>7.668194884</v>
      </c>
      <c r="AO426">
        <f ca="1">IF(AND(ISNUMBER($AO$1089),$B$677=1),$AO$1089,HLOOKUP(INDIRECT(ADDRESS(2,COLUMN())),OFFSET($BN$2,0,0,ROW()-1,60),ROW()-1,FALSE))</f>
        <v>10.64413087</v>
      </c>
      <c r="AP426">
        <f ca="1">IF(AND(ISNUMBER($AP$1089),$B$677=1),$AP$1089,HLOOKUP(INDIRECT(ADDRESS(2,COLUMN())),OFFSET($BN$2,0,0,ROW()-1,60),ROW()-1,FALSE))</f>
        <v>14.348614789999999</v>
      </c>
      <c r="AQ426">
        <f ca="1">IF(AND(ISNUMBER($AQ$1089),$B$677=1),$AQ$1089,HLOOKUP(INDIRECT(ADDRESS(2,COLUMN())),OFFSET($BN$2,0,0,ROW()-1,60),ROW()-1,FALSE))</f>
        <v>17.99443681</v>
      </c>
      <c r="AR426">
        <f ca="1">IF(AND(ISNUMBER($AR$1089),$B$677=1),$AR$1089,HLOOKUP(INDIRECT(ADDRESS(2,COLUMN())),OFFSET($BN$2,0,0,ROW()-1,60),ROW()-1,FALSE))</f>
        <v>7.5623460370000002</v>
      </c>
      <c r="AS426">
        <f ca="1">IF(AND(ISNUMBER($AS$1089),$B$677=1),$AS$1089,HLOOKUP(INDIRECT(ADDRESS(2,COLUMN())),OFFSET($BN$2,0,0,ROW()-1,60),ROW()-1,FALSE))</f>
        <v>8.5432082789999999</v>
      </c>
      <c r="AT426">
        <f ca="1">IF(AND(ISNUMBER($AT$1089),$B$677=1),$AT$1089,HLOOKUP(INDIRECT(ADDRESS(2,COLUMN())),OFFSET($BN$2,0,0,ROW()-1,60),ROW()-1,FALSE))</f>
        <v>7.8995290420000002</v>
      </c>
      <c r="AU426">
        <f ca="1">IF(AND(ISNUMBER($AU$1089),$B$677=1),$AU$1089,HLOOKUP(INDIRECT(ADDRESS(2,COLUMN())),OFFSET($BN$2,0,0,ROW()-1,60),ROW()-1,FALSE))</f>
        <v>6.2133593490000001</v>
      </c>
      <c r="AV426">
        <f ca="1">IF(AND(ISNUMBER($AV$1089),$B$677=1),$AV$1089,HLOOKUP(INDIRECT(ADDRESS(2,COLUMN())),OFFSET($BN$2,0,0,ROW()-1,60),ROW()-1,FALSE))</f>
        <v>11.22423028</v>
      </c>
      <c r="AW426">
        <f ca="1">IF(AND(ISNUMBER($AW$1089),$B$677=1),$AW$1089,HLOOKUP(INDIRECT(ADDRESS(2,COLUMN())),OFFSET($BN$2,0,0,ROW()-1,60),ROW()-1,FALSE))</f>
        <v>13.281808460000001</v>
      </c>
      <c r="AX426">
        <f ca="1">IF(AND(ISNUMBER($AX$1089),$B$677=1),$AX$1089,HLOOKUP(INDIRECT(ADDRESS(2,COLUMN())),OFFSET($BN$2,0,0,ROW()-1,60),ROW()-1,FALSE))</f>
        <v>25.79665756</v>
      </c>
      <c r="AY426">
        <f ca="1">IF(AND(ISNUMBER($AY$1089),$B$677=1),$AY$1089,HLOOKUP(INDIRECT(ADDRESS(2,COLUMN())),OFFSET($BN$2,0,0,ROW()-1,60),ROW()-1,FALSE))</f>
        <v>237.3535947</v>
      </c>
      <c r="AZ426">
        <f ca="1">IF(AND(ISNUMBER($AZ$1089),$B$677=1),$AZ$1089,HLOOKUP(INDIRECT(ADDRESS(2,COLUMN())),OFFSET($BN$2,0,0,ROW()-1,60),ROW()-1,FALSE))</f>
        <v>49.667430209999999</v>
      </c>
      <c r="BA426">
        <f ca="1">IF(AND(ISNUMBER($BA$1089),$B$677=1),$BA$1089,HLOOKUP(INDIRECT(ADDRESS(2,COLUMN())),OFFSET($BN$2,0,0,ROW()-1,60),ROW()-1,FALSE))</f>
        <v>18.960296490000001</v>
      </c>
      <c r="BB426">
        <f ca="1">IF(AND(ISNUMBER($BB$1089),$B$677=1),$BB$1089,HLOOKUP(INDIRECT(ADDRESS(2,COLUMN())),OFFSET($BN$2,0,0,ROW()-1,60),ROW()-1,FALSE))</f>
        <v>24.28197157</v>
      </c>
      <c r="BC426">
        <f ca="1">IF(AND(ISNUMBER($BC$1089),$B$677=1),$BC$1089,HLOOKUP(INDIRECT(ADDRESS(2,COLUMN())),OFFSET($BN$2,0,0,ROW()-1,60),ROW()-1,FALSE))</f>
        <v>11.41203722</v>
      </c>
      <c r="BD426">
        <f ca="1">IF(AND(ISNUMBER($BD$1089),$B$677=1),$BD$1089,HLOOKUP(INDIRECT(ADDRESS(2,COLUMN())),OFFSET($BN$2,0,0,ROW()-1,60),ROW()-1,FALSE))</f>
        <v>49.717428089999999</v>
      </c>
      <c r="BE426" t="str">
        <f ca="1">IF(AND(ISNUMBER($BE$1089),$B$677=1),$BE$1089,HLOOKUP(INDIRECT(ADDRESS(2,COLUMN())),OFFSET($BN$2,0,0,ROW()-1,60),ROW()-1,FALSE))</f>
        <v/>
      </c>
      <c r="BF426">
        <f ca="1">IF(AND(ISNUMBER($BF$1089),$B$677=1),$BF$1089,HLOOKUP(INDIRECT(ADDRESS(2,COLUMN())),OFFSET($BN$2,0,0,ROW()-1,60),ROW()-1,FALSE))</f>
        <v>1.400088129</v>
      </c>
      <c r="BG426">
        <f ca="1">IF(AND(ISNUMBER($BG$1089),$B$677=1),$BG$1089,HLOOKUP(INDIRECT(ADDRESS(2,COLUMN())),OFFSET($BN$2,0,0,ROW()-1,60),ROW()-1,FALSE))</f>
        <v>0.76436718999999997</v>
      </c>
      <c r="BH426">
        <f ca="1">IF(AND(ISNUMBER($BH$1089),$B$677=1),$BH$1089,HLOOKUP(INDIRECT(ADDRESS(2,COLUMN())),OFFSET($BN$2,0,0,ROW()-1,60),ROW()-1,FALSE))</f>
        <v>0.73965710699999998</v>
      </c>
      <c r="BI426">
        <f ca="1">IF(AND(ISNUMBER($BI$1089),$B$677=1),$BI$1089,HLOOKUP(INDIRECT(ADDRESS(2,COLUMN())),OFFSET($BN$2,0,0,ROW()-1,60),ROW()-1,FALSE))</f>
        <v>0.81516880000000003</v>
      </c>
      <c r="BJ426" t="str">
        <f ca="1">IF(AND(ISNUMBER($BJ$1089),$B$677=1),$BJ$1089,HLOOKUP(INDIRECT(ADDRESS(2,COLUMN())),OFFSET($BN$2,0,0,ROW()-1,60),ROW()-1,FALSE))</f>
        <v/>
      </c>
      <c r="BK426" t="str">
        <f ca="1">IF(AND(ISNUMBER($BK$1089),$B$677=1),$BK$1089,HLOOKUP(INDIRECT(ADDRESS(2,COLUMN())),OFFSET($BN$2,0,0,ROW()-1,60),ROW()-1,FALSE))</f>
        <v/>
      </c>
      <c r="BL426" t="str">
        <f ca="1">IF(AND(ISNUMBER($BL$1089),$B$677=1),$BL$1089,HLOOKUP(INDIRECT(ADDRESS(2,COLUMN())),OFFSET($BN$2,0,0,ROW()-1,60),ROW()-1,FALSE))</f>
        <v/>
      </c>
      <c r="BM426">
        <f ca="1">IF(AND(ISNUMBER($BM$1089),$B$677=1),$BM$1089,HLOOKUP(INDIRECT(ADDRESS(2,COLUMN())),OFFSET($BN$2,0,0,ROW()-1,60),ROW()-1,FALSE))</f>
        <v>9.5917962130000003</v>
      </c>
      <c r="BN426" t="str">
        <f>""</f>
        <v/>
      </c>
      <c r="BO426" t="str">
        <f>""</f>
        <v/>
      </c>
      <c r="BP426">
        <f>6.195801117</f>
        <v>6.1958011170000002</v>
      </c>
      <c r="BQ426">
        <f>4.317735117</f>
        <v>4.3177351169999998</v>
      </c>
      <c r="BR426">
        <f>5.987805348</f>
        <v>5.9878053480000002</v>
      </c>
      <c r="BS426">
        <f>6.913402202</f>
        <v>6.9134022020000003</v>
      </c>
      <c r="BT426">
        <f>9.63360713</f>
        <v>9.6336071299999997</v>
      </c>
      <c r="BU426">
        <f>15.41866049</f>
        <v>15.418660490000001</v>
      </c>
      <c r="BV426">
        <f>13.31867961</f>
        <v>13.31867961</v>
      </c>
      <c r="BW426">
        <f>30.76636713</f>
        <v>30.766367129999999</v>
      </c>
      <c r="BX426">
        <f>92.77879086</f>
        <v>92.778790860000001</v>
      </c>
      <c r="BY426">
        <f>31.40886763</f>
        <v>31.40886763</v>
      </c>
      <c r="BZ426">
        <f>69.71788667</f>
        <v>69.717886669999999</v>
      </c>
      <c r="CA426">
        <f>30.33422713</f>
        <v>30.334227129999999</v>
      </c>
      <c r="CB426">
        <f>681.7852919</f>
        <v>681.78529189999995</v>
      </c>
      <c r="CC426">
        <f>1188.080959</f>
        <v>1188.0809589999999</v>
      </c>
      <c r="CD426">
        <f>101.9186098</f>
        <v>101.9186098</v>
      </c>
      <c r="CE426">
        <f>90.62373667</f>
        <v>90.62373667</v>
      </c>
      <c r="CF426">
        <f>23.76832259</f>
        <v>23.76832259</v>
      </c>
      <c r="CG426">
        <f>13.79411387</f>
        <v>13.79411387</v>
      </c>
      <c r="CH426">
        <f>10.3043016</f>
        <v>10.304301600000001</v>
      </c>
      <c r="CI426">
        <f>14.71675258</f>
        <v>14.71675258</v>
      </c>
      <c r="CJ426">
        <f>15.09397976</f>
        <v>15.09397976</v>
      </c>
      <c r="CK426">
        <f>56.73904183</f>
        <v>56.739041829999998</v>
      </c>
      <c r="CL426">
        <f>16.95925513</f>
        <v>16.959255129999999</v>
      </c>
      <c r="CM426">
        <f>9.193061447</f>
        <v>9.1930614469999998</v>
      </c>
      <c r="CN426">
        <f>4.045046914</f>
        <v>4.0450469140000003</v>
      </c>
      <c r="CO426">
        <f>6.698099114</f>
        <v>6.6980991139999997</v>
      </c>
      <c r="CP426">
        <f>12.24358926</f>
        <v>12.24358926</v>
      </c>
      <c r="CQ426" t="str">
        <f>""</f>
        <v/>
      </c>
      <c r="CR426" t="str">
        <f>""</f>
        <v/>
      </c>
      <c r="CS426" t="str">
        <f>""</f>
        <v/>
      </c>
      <c r="CT426" t="str">
        <f>""</f>
        <v/>
      </c>
      <c r="CU426">
        <f>9.489858566</f>
        <v>9.4898585660000006</v>
      </c>
      <c r="CV426">
        <f>7.668194884</f>
        <v>7.668194884</v>
      </c>
      <c r="CW426">
        <f>10.64413087</f>
        <v>10.64413087</v>
      </c>
      <c r="CX426">
        <f>14.34861479</f>
        <v>14.348614789999999</v>
      </c>
      <c r="CY426">
        <f>17.99443681</f>
        <v>17.99443681</v>
      </c>
      <c r="CZ426">
        <f>7.562346037</f>
        <v>7.5623460370000002</v>
      </c>
      <c r="DA426">
        <f>8.543208279</f>
        <v>8.5432082789999999</v>
      </c>
      <c r="DB426">
        <f>7.899529042</f>
        <v>7.8995290420000002</v>
      </c>
      <c r="DC426">
        <f>6.213359349</f>
        <v>6.2133593490000001</v>
      </c>
      <c r="DD426">
        <f>11.22423028</f>
        <v>11.22423028</v>
      </c>
      <c r="DE426">
        <f>13.28180846</f>
        <v>13.281808460000001</v>
      </c>
      <c r="DF426">
        <f>25.79665756</f>
        <v>25.79665756</v>
      </c>
      <c r="DG426">
        <f>237.3535947</f>
        <v>237.3535947</v>
      </c>
      <c r="DH426">
        <f>49.66743021</f>
        <v>49.667430209999999</v>
      </c>
      <c r="DI426">
        <f>18.96029649</f>
        <v>18.960296490000001</v>
      </c>
      <c r="DJ426">
        <f>24.28197157</f>
        <v>24.28197157</v>
      </c>
      <c r="DK426">
        <f>11.41203722</f>
        <v>11.41203722</v>
      </c>
      <c r="DL426">
        <f>49.71742809</f>
        <v>49.717428089999999</v>
      </c>
      <c r="DM426" t="str">
        <f>""</f>
        <v/>
      </c>
      <c r="DN426">
        <f>1.400088129</f>
        <v>1.400088129</v>
      </c>
      <c r="DO426">
        <f>0.76436719</f>
        <v>0.76436718999999997</v>
      </c>
      <c r="DP426">
        <f>0.739657107</f>
        <v>0.73965710699999998</v>
      </c>
      <c r="DQ426">
        <f>0.8151688</f>
        <v>0.81516880000000003</v>
      </c>
      <c r="DR426" t="str">
        <f>""</f>
        <v/>
      </c>
      <c r="DS426" t="str">
        <f>""</f>
        <v/>
      </c>
      <c r="DT426" t="str">
        <f>""</f>
        <v/>
      </c>
      <c r="DU426">
        <f>9.591796213</f>
        <v>9.5917962130000003</v>
      </c>
    </row>
    <row r="427" spans="1:125" x14ac:dyDescent="0.25">
      <c r="A427" t="str">
        <f>"    Fiat Chrysler Automobiles NV"</f>
        <v xml:space="preserve">    Fiat Chrysler Automobiles NV</v>
      </c>
      <c r="B427" t="str">
        <f>"FCAU US Equity"</f>
        <v>FCAU US Equity</v>
      </c>
      <c r="C427" t="str">
        <f t="shared" si="30"/>
        <v>RR477</v>
      </c>
      <c r="D427" t="str">
        <f t="shared" si="31"/>
        <v>EV_TO_T12M_CASH_FLOW</v>
      </c>
      <c r="E427" t="str">
        <f t="shared" si="32"/>
        <v>Dynamic</v>
      </c>
      <c r="F427" t="str">
        <f ca="1">IF(AND(ISNUMBER($F$1090),$B$677=1),$F$1090,HLOOKUP(INDIRECT(ADDRESS(2,COLUMN())),OFFSET($BN$2,0,0,ROW()-1,60),ROW()-1,FALSE))</f>
        <v/>
      </c>
      <c r="G427">
        <f ca="1">IF(AND(ISNUMBER($G$1090),$B$677=1),$G$1090,HLOOKUP(INDIRECT(ADDRESS(2,COLUMN())),OFFSET($BN$2,0,0,ROW()-1,60),ROW()-1,FALSE))</f>
        <v>2.6829122459999999</v>
      </c>
      <c r="H427">
        <f ca="1">IF(AND(ISNUMBER($H$1090),$B$677=1),$H$1090,HLOOKUP(INDIRECT(ADDRESS(2,COLUMN())),OFFSET($BN$2,0,0,ROW()-1,60),ROW()-1,FALSE))</f>
        <v>3.2660344600000002</v>
      </c>
      <c r="I427">
        <f ca="1">IF(AND(ISNUMBER($I$1090),$B$677=1),$I$1090,HLOOKUP(INDIRECT(ADDRESS(2,COLUMN())),OFFSET($BN$2,0,0,ROW()-1,60),ROW()-1,FALSE))</f>
        <v>3.0331180199999999</v>
      </c>
      <c r="J427">
        <f ca="1">IF(AND(ISNUMBER($J$1090),$B$677=1),$J$1090,HLOOKUP(INDIRECT(ADDRESS(2,COLUMN())),OFFSET($BN$2,0,0,ROW()-1,60),ROW()-1,FALSE))</f>
        <v>3.2577012029999999</v>
      </c>
      <c r="K427">
        <f ca="1">IF(AND(ISNUMBER($K$1090),$B$677=1),$K$1090,HLOOKUP(INDIRECT(ADDRESS(2,COLUMN())),OFFSET($BN$2,0,0,ROW()-1,60),ROW()-1,FALSE))</f>
        <v>3.2933629610000001</v>
      </c>
      <c r="L427">
        <f ca="1">IF(AND(ISNUMBER($L$1090),$B$677=1),$L$1090,HLOOKUP(INDIRECT(ADDRESS(2,COLUMN())),OFFSET($BN$2,0,0,ROW()-1,60),ROW()-1,FALSE))</f>
        <v>3.05509823</v>
      </c>
      <c r="M427">
        <f ca="1">IF(AND(ISNUMBER($M$1090),$B$677=1),$M$1090,HLOOKUP(INDIRECT(ADDRESS(2,COLUMN())),OFFSET($BN$2,0,0,ROW()-1,60),ROW()-1,FALSE))</f>
        <v>2.3039606969999999</v>
      </c>
      <c r="N427">
        <f ca="1">IF(AND(ISNUMBER($N$1090),$B$677=1),$N$1090,HLOOKUP(INDIRECT(ADDRESS(2,COLUMN())),OFFSET($BN$2,0,0,ROW()-1,60),ROW()-1,FALSE))</f>
        <v>2.3140077790000002</v>
      </c>
      <c r="O427">
        <f ca="1">IF(AND(ISNUMBER($O$1090),$B$677=1),$O$1090,HLOOKUP(INDIRECT(ADDRESS(2,COLUMN())),OFFSET($BN$2,0,0,ROW()-1,60),ROW()-1,FALSE))</f>
        <v>2.0909435969999999</v>
      </c>
      <c r="P427">
        <f ca="1">IF(AND(ISNUMBER($P$1090),$B$677=1),$P$1090,HLOOKUP(INDIRECT(ADDRESS(2,COLUMN())),OFFSET($BN$2,0,0,ROW()-1,60),ROW()-1,FALSE))</f>
        <v>1.7845676829999999</v>
      </c>
      <c r="Q427">
        <f ca="1">IF(AND(ISNUMBER($Q$1090),$B$677=1),$Q$1090,HLOOKUP(INDIRECT(ADDRESS(2,COLUMN())),OFFSET($BN$2,0,0,ROW()-1,60),ROW()-1,FALSE))</f>
        <v>1.537942731</v>
      </c>
      <c r="R427">
        <f ca="1">IF(AND(ISNUMBER($R$1090),$B$677=1),$R$1090,HLOOKUP(INDIRECT(ADDRESS(2,COLUMN())),OFFSET($BN$2,0,0,ROW()-1,60),ROW()-1,FALSE))</f>
        <v>2.083210791</v>
      </c>
      <c r="S427">
        <f ca="1">IF(AND(ISNUMBER($S$1090),$B$677=1),$S$1090,HLOOKUP(INDIRECT(ADDRESS(2,COLUMN())),OFFSET($BN$2,0,0,ROW()-1,60),ROW()-1,FALSE))</f>
        <v>2.8534989080000002</v>
      </c>
      <c r="T427">
        <f ca="1">IF(AND(ISNUMBER($T$1090),$B$677=1),$T$1090,HLOOKUP(INDIRECT(ADDRESS(2,COLUMN())),OFFSET($BN$2,0,0,ROW()-1,60),ROW()-1,FALSE))</f>
        <v>3.249798813</v>
      </c>
      <c r="U427">
        <f ca="1">IF(AND(ISNUMBER($U$1090),$B$677=1),$U$1090,HLOOKUP(INDIRECT(ADDRESS(2,COLUMN())),OFFSET($BN$2,0,0,ROW()-1,60),ROW()-1,FALSE))</f>
        <v>3.805376147</v>
      </c>
      <c r="V427">
        <f ca="1">IF(AND(ISNUMBER($V$1090),$B$677=1),$V$1090,HLOOKUP(INDIRECT(ADDRESS(2,COLUMN())),OFFSET($BN$2,0,0,ROW()-1,60),ROW()-1,FALSE))</f>
        <v>4.6947315209999996</v>
      </c>
      <c r="W427">
        <f ca="1">IF(AND(ISNUMBER($W$1090),$B$677=1),$W$1090,HLOOKUP(INDIRECT(ADDRESS(2,COLUMN())),OFFSET($BN$2,0,0,ROW()-1,60),ROW()-1,FALSE))</f>
        <v>3.1597101790000002</v>
      </c>
      <c r="X427" t="str">
        <f ca="1">IF(AND(ISNUMBER($X$1090),$B$677=1),$X$1090,HLOOKUP(INDIRECT(ADDRESS(2,COLUMN())),OFFSET($BN$2,0,0,ROW()-1,60),ROW()-1,FALSE))</f>
        <v/>
      </c>
      <c r="Y427" t="str">
        <f ca="1">IF(AND(ISNUMBER($Y$1090),$B$677=1),$Y$1090,HLOOKUP(INDIRECT(ADDRESS(2,COLUMN())),OFFSET($BN$2,0,0,ROW()-1,60),ROW()-1,FALSE))</f>
        <v/>
      </c>
      <c r="Z427" t="str">
        <f ca="1">IF(AND(ISNUMBER($Z$1090),$B$677=1),$Z$1090,HLOOKUP(INDIRECT(ADDRESS(2,COLUMN())),OFFSET($BN$2,0,0,ROW()-1,60),ROW()-1,FALSE))</f>
        <v/>
      </c>
      <c r="AA427" t="str">
        <f ca="1">IF(AND(ISNUMBER($AA$1090),$B$677=1),$AA$1090,HLOOKUP(INDIRECT(ADDRESS(2,COLUMN())),OFFSET($BN$2,0,0,ROW()-1,60),ROW()-1,FALSE))</f>
        <v/>
      </c>
      <c r="AB427" t="str">
        <f ca="1">IF(AND(ISNUMBER($AB$1090),$B$677=1),$AB$1090,HLOOKUP(INDIRECT(ADDRESS(2,COLUMN())),OFFSET($BN$2,0,0,ROW()-1,60),ROW()-1,FALSE))</f>
        <v/>
      </c>
      <c r="AC427" t="str">
        <f ca="1">IF(AND(ISNUMBER($AC$1090),$B$677=1),$AC$1090,HLOOKUP(INDIRECT(ADDRESS(2,COLUMN())),OFFSET($BN$2,0,0,ROW()-1,60),ROW()-1,FALSE))</f>
        <v/>
      </c>
      <c r="AD427" t="str">
        <f ca="1">IF(AND(ISNUMBER($AD$1090),$B$677=1),$AD$1090,HLOOKUP(INDIRECT(ADDRESS(2,COLUMN())),OFFSET($BN$2,0,0,ROW()-1,60),ROW()-1,FALSE))</f>
        <v/>
      </c>
      <c r="AE427" t="str">
        <f ca="1">IF(AND(ISNUMBER($AE$1090),$B$677=1),$AE$1090,HLOOKUP(INDIRECT(ADDRESS(2,COLUMN())),OFFSET($BN$2,0,0,ROW()-1,60),ROW()-1,FALSE))</f>
        <v/>
      </c>
      <c r="AF427" t="str">
        <f ca="1">IF(AND(ISNUMBER($AF$1090),$B$677=1),$AF$1090,HLOOKUP(INDIRECT(ADDRESS(2,COLUMN())),OFFSET($BN$2,0,0,ROW()-1,60),ROW()-1,FALSE))</f>
        <v/>
      </c>
      <c r="AG427" t="str">
        <f ca="1">IF(AND(ISNUMBER($AG$1090),$B$677=1),$AG$1090,HLOOKUP(INDIRECT(ADDRESS(2,COLUMN())),OFFSET($BN$2,0,0,ROW()-1,60),ROW()-1,FALSE))</f>
        <v/>
      </c>
      <c r="AH427" t="str">
        <f ca="1">IF(AND(ISNUMBER($AH$1090),$B$677=1),$AH$1090,HLOOKUP(INDIRECT(ADDRESS(2,COLUMN())),OFFSET($BN$2,0,0,ROW()-1,60),ROW()-1,FALSE))</f>
        <v/>
      </c>
      <c r="AI427" t="str">
        <f ca="1">IF(AND(ISNUMBER($AI$1090),$B$677=1),$AI$1090,HLOOKUP(INDIRECT(ADDRESS(2,COLUMN())),OFFSET($BN$2,0,0,ROW()-1,60),ROW()-1,FALSE))</f>
        <v/>
      </c>
      <c r="AJ427" t="str">
        <f ca="1">IF(AND(ISNUMBER($AJ$1090),$B$677=1),$AJ$1090,HLOOKUP(INDIRECT(ADDRESS(2,COLUMN())),OFFSET($BN$2,0,0,ROW()-1,60),ROW()-1,FALSE))</f>
        <v/>
      </c>
      <c r="AK427" t="str">
        <f ca="1">IF(AND(ISNUMBER($AK$1090),$B$677=1),$AK$1090,HLOOKUP(INDIRECT(ADDRESS(2,COLUMN())),OFFSET($BN$2,0,0,ROW()-1,60),ROW()-1,FALSE))</f>
        <v/>
      </c>
      <c r="AL427" t="str">
        <f ca="1">IF(AND(ISNUMBER($AL$1090),$B$677=1),$AL$1090,HLOOKUP(INDIRECT(ADDRESS(2,COLUMN())),OFFSET($BN$2,0,0,ROW()-1,60),ROW()-1,FALSE))</f>
        <v/>
      </c>
      <c r="AM427" t="str">
        <f ca="1">IF(AND(ISNUMBER($AM$1090),$B$677=1),$AM$1090,HLOOKUP(INDIRECT(ADDRESS(2,COLUMN())),OFFSET($BN$2,0,0,ROW()-1,60),ROW()-1,FALSE))</f>
        <v/>
      </c>
      <c r="AN427" t="str">
        <f ca="1">IF(AND(ISNUMBER($AN$1090),$B$677=1),$AN$1090,HLOOKUP(INDIRECT(ADDRESS(2,COLUMN())),OFFSET($BN$2,0,0,ROW()-1,60),ROW()-1,FALSE))</f>
        <v/>
      </c>
      <c r="AO427" t="str">
        <f ca="1">IF(AND(ISNUMBER($AO$1090),$B$677=1),$AO$1090,HLOOKUP(INDIRECT(ADDRESS(2,COLUMN())),OFFSET($BN$2,0,0,ROW()-1,60),ROW()-1,FALSE))</f>
        <v/>
      </c>
      <c r="AP427" t="str">
        <f ca="1">IF(AND(ISNUMBER($AP$1090),$B$677=1),$AP$1090,HLOOKUP(INDIRECT(ADDRESS(2,COLUMN())),OFFSET($BN$2,0,0,ROW()-1,60),ROW()-1,FALSE))</f>
        <v/>
      </c>
      <c r="AQ427" t="str">
        <f ca="1">IF(AND(ISNUMBER($AQ$1090),$B$677=1),$AQ$1090,HLOOKUP(INDIRECT(ADDRESS(2,COLUMN())),OFFSET($BN$2,0,0,ROW()-1,60),ROW()-1,FALSE))</f>
        <v/>
      </c>
      <c r="AR427" t="str">
        <f ca="1">IF(AND(ISNUMBER($AR$1090),$B$677=1),$AR$1090,HLOOKUP(INDIRECT(ADDRESS(2,COLUMN())),OFFSET($BN$2,0,0,ROW()-1,60),ROW()-1,FALSE))</f>
        <v/>
      </c>
      <c r="AS427" t="str">
        <f ca="1">IF(AND(ISNUMBER($AS$1090),$B$677=1),$AS$1090,HLOOKUP(INDIRECT(ADDRESS(2,COLUMN())),OFFSET($BN$2,0,0,ROW()-1,60),ROW()-1,FALSE))</f>
        <v/>
      </c>
      <c r="AT427" t="str">
        <f ca="1">IF(AND(ISNUMBER($AT$1090),$B$677=1),$AT$1090,HLOOKUP(INDIRECT(ADDRESS(2,COLUMN())),OFFSET($BN$2,0,0,ROW()-1,60),ROW()-1,FALSE))</f>
        <v/>
      </c>
      <c r="AU427" t="str">
        <f ca="1">IF(AND(ISNUMBER($AU$1090),$B$677=1),$AU$1090,HLOOKUP(INDIRECT(ADDRESS(2,COLUMN())),OFFSET($BN$2,0,0,ROW()-1,60),ROW()-1,FALSE))</f>
        <v/>
      </c>
      <c r="AV427" t="str">
        <f ca="1">IF(AND(ISNUMBER($AV$1090),$B$677=1),$AV$1090,HLOOKUP(INDIRECT(ADDRESS(2,COLUMN())),OFFSET($BN$2,0,0,ROW()-1,60),ROW()-1,FALSE))</f>
        <v/>
      </c>
      <c r="AW427" t="str">
        <f ca="1">IF(AND(ISNUMBER($AW$1090),$B$677=1),$AW$1090,HLOOKUP(INDIRECT(ADDRESS(2,COLUMN())),OFFSET($BN$2,0,0,ROW()-1,60),ROW()-1,FALSE))</f>
        <v/>
      </c>
      <c r="AX427" t="str">
        <f ca="1">IF(AND(ISNUMBER($AX$1090),$B$677=1),$AX$1090,HLOOKUP(INDIRECT(ADDRESS(2,COLUMN())),OFFSET($BN$2,0,0,ROW()-1,60),ROW()-1,FALSE))</f>
        <v/>
      </c>
      <c r="AY427" t="str">
        <f ca="1">IF(AND(ISNUMBER($AY$1090),$B$677=1),$AY$1090,HLOOKUP(INDIRECT(ADDRESS(2,COLUMN())),OFFSET($BN$2,0,0,ROW()-1,60),ROW()-1,FALSE))</f>
        <v/>
      </c>
      <c r="AZ427" t="str">
        <f ca="1">IF(AND(ISNUMBER($AZ$1090),$B$677=1),$AZ$1090,HLOOKUP(INDIRECT(ADDRESS(2,COLUMN())),OFFSET($BN$2,0,0,ROW()-1,60),ROW()-1,FALSE))</f>
        <v/>
      </c>
      <c r="BA427" t="str">
        <f ca="1">IF(AND(ISNUMBER($BA$1090),$B$677=1),$BA$1090,HLOOKUP(INDIRECT(ADDRESS(2,COLUMN())),OFFSET($BN$2,0,0,ROW()-1,60),ROW()-1,FALSE))</f>
        <v/>
      </c>
      <c r="BB427" t="str">
        <f ca="1">IF(AND(ISNUMBER($BB$1090),$B$677=1),$BB$1090,HLOOKUP(INDIRECT(ADDRESS(2,COLUMN())),OFFSET($BN$2,0,0,ROW()-1,60),ROW()-1,FALSE))</f>
        <v/>
      </c>
      <c r="BC427" t="str">
        <f ca="1">IF(AND(ISNUMBER($BC$1090),$B$677=1),$BC$1090,HLOOKUP(INDIRECT(ADDRESS(2,COLUMN())),OFFSET($BN$2,0,0,ROW()-1,60),ROW()-1,FALSE))</f>
        <v/>
      </c>
      <c r="BD427" t="str">
        <f ca="1">IF(AND(ISNUMBER($BD$1090),$B$677=1),$BD$1090,HLOOKUP(INDIRECT(ADDRESS(2,COLUMN())),OFFSET($BN$2,0,0,ROW()-1,60),ROW()-1,FALSE))</f>
        <v/>
      </c>
      <c r="BE427" t="str">
        <f ca="1">IF(AND(ISNUMBER($BE$1090),$B$677=1),$BE$1090,HLOOKUP(INDIRECT(ADDRESS(2,COLUMN())),OFFSET($BN$2,0,0,ROW()-1,60),ROW()-1,FALSE))</f>
        <v/>
      </c>
      <c r="BF427" t="str">
        <f ca="1">IF(AND(ISNUMBER($BF$1090),$B$677=1),$BF$1090,HLOOKUP(INDIRECT(ADDRESS(2,COLUMN())),OFFSET($BN$2,0,0,ROW()-1,60),ROW()-1,FALSE))</f>
        <v/>
      </c>
      <c r="BG427" t="str">
        <f ca="1">IF(AND(ISNUMBER($BG$1090),$B$677=1),$BG$1090,HLOOKUP(INDIRECT(ADDRESS(2,COLUMN())),OFFSET($BN$2,0,0,ROW()-1,60),ROW()-1,FALSE))</f>
        <v/>
      </c>
      <c r="BH427" t="str">
        <f ca="1">IF(AND(ISNUMBER($BH$1090),$B$677=1),$BH$1090,HLOOKUP(INDIRECT(ADDRESS(2,COLUMN())),OFFSET($BN$2,0,0,ROW()-1,60),ROW()-1,FALSE))</f>
        <v/>
      </c>
      <c r="BI427" t="str">
        <f ca="1">IF(AND(ISNUMBER($BI$1090),$B$677=1),$BI$1090,HLOOKUP(INDIRECT(ADDRESS(2,COLUMN())),OFFSET($BN$2,0,0,ROW()-1,60),ROW()-1,FALSE))</f>
        <v/>
      </c>
      <c r="BJ427" t="str">
        <f ca="1">IF(AND(ISNUMBER($BJ$1090),$B$677=1),$BJ$1090,HLOOKUP(INDIRECT(ADDRESS(2,COLUMN())),OFFSET($BN$2,0,0,ROW()-1,60),ROW()-1,FALSE))</f>
        <v/>
      </c>
      <c r="BK427" t="str">
        <f ca="1">IF(AND(ISNUMBER($BK$1090),$B$677=1),$BK$1090,HLOOKUP(INDIRECT(ADDRESS(2,COLUMN())),OFFSET($BN$2,0,0,ROW()-1,60),ROW()-1,FALSE))</f>
        <v/>
      </c>
      <c r="BL427" t="str">
        <f ca="1">IF(AND(ISNUMBER($BL$1090),$B$677=1),$BL$1090,HLOOKUP(INDIRECT(ADDRESS(2,COLUMN())),OFFSET($BN$2,0,0,ROW()-1,60),ROW()-1,FALSE))</f>
        <v/>
      </c>
      <c r="BM427" t="str">
        <f ca="1">IF(AND(ISNUMBER($BM$1090),$B$677=1),$BM$1090,HLOOKUP(INDIRECT(ADDRESS(2,COLUMN())),OFFSET($BN$2,0,0,ROW()-1,60),ROW()-1,FALSE))</f>
        <v/>
      </c>
      <c r="BN427" t="str">
        <f>""</f>
        <v/>
      </c>
      <c r="BO427">
        <f>2.682912246</f>
        <v>2.6829122459999999</v>
      </c>
      <c r="BP427">
        <f>3.26603446</f>
        <v>3.2660344600000002</v>
      </c>
      <c r="BQ427">
        <f>3.03311802</f>
        <v>3.0331180199999999</v>
      </c>
      <c r="BR427">
        <f>3.257701203</f>
        <v>3.2577012029999999</v>
      </c>
      <c r="BS427">
        <f>3.293362961</f>
        <v>3.2933629610000001</v>
      </c>
      <c r="BT427">
        <f>3.05509823</f>
        <v>3.05509823</v>
      </c>
      <c r="BU427">
        <f>2.303960697</f>
        <v>2.3039606969999999</v>
      </c>
      <c r="BV427">
        <f>2.314007779</f>
        <v>2.3140077790000002</v>
      </c>
      <c r="BW427">
        <f>2.090943597</f>
        <v>2.0909435969999999</v>
      </c>
      <c r="BX427">
        <f>1.784567683</f>
        <v>1.7845676829999999</v>
      </c>
      <c r="BY427">
        <f>1.537942731</f>
        <v>1.537942731</v>
      </c>
      <c r="BZ427">
        <f>2.083210791</f>
        <v>2.083210791</v>
      </c>
      <c r="CA427">
        <f>2.853498908</f>
        <v>2.8534989080000002</v>
      </c>
      <c r="CB427">
        <f>3.249798813</f>
        <v>3.249798813</v>
      </c>
      <c r="CC427">
        <f>3.805376147</f>
        <v>3.805376147</v>
      </c>
      <c r="CD427">
        <f>4.694731521</f>
        <v>4.6947315209999996</v>
      </c>
      <c r="CE427">
        <f>3.159710179</f>
        <v>3.1597101790000002</v>
      </c>
      <c r="CF427" t="str">
        <f>""</f>
        <v/>
      </c>
      <c r="CG427" t="str">
        <f>""</f>
        <v/>
      </c>
      <c r="CH427" t="str">
        <f>""</f>
        <v/>
      </c>
      <c r="CI427" t="str">
        <f>""</f>
        <v/>
      </c>
      <c r="CJ427" t="str">
        <f>""</f>
        <v/>
      </c>
      <c r="CK427" t="str">
        <f>""</f>
        <v/>
      </c>
      <c r="CL427" t="str">
        <f>""</f>
        <v/>
      </c>
      <c r="CM427" t="str">
        <f>""</f>
        <v/>
      </c>
      <c r="CN427" t="str">
        <f>""</f>
        <v/>
      </c>
      <c r="CO427" t="str">
        <f>""</f>
        <v/>
      </c>
      <c r="CP427" t="str">
        <f>""</f>
        <v/>
      </c>
      <c r="CQ427" t="str">
        <f>""</f>
        <v/>
      </c>
      <c r="CR427" t="str">
        <f>""</f>
        <v/>
      </c>
      <c r="CS427" t="str">
        <f>""</f>
        <v/>
      </c>
      <c r="CT427" t="str">
        <f>""</f>
        <v/>
      </c>
      <c r="CU427" t="str">
        <f>""</f>
        <v/>
      </c>
      <c r="CV427" t="str">
        <f>""</f>
        <v/>
      </c>
      <c r="CW427" t="str">
        <f>""</f>
        <v/>
      </c>
      <c r="CX427" t="str">
        <f>""</f>
        <v/>
      </c>
      <c r="CY427" t="str">
        <f>""</f>
        <v/>
      </c>
      <c r="CZ427" t="str">
        <f>""</f>
        <v/>
      </c>
      <c r="DA427" t="str">
        <f>""</f>
        <v/>
      </c>
      <c r="DB427" t="str">
        <f>""</f>
        <v/>
      </c>
      <c r="DC427" t="str">
        <f>""</f>
        <v/>
      </c>
      <c r="DD427" t="str">
        <f>""</f>
        <v/>
      </c>
      <c r="DE427" t="str">
        <f>""</f>
        <v/>
      </c>
      <c r="DF427" t="str">
        <f>""</f>
        <v/>
      </c>
      <c r="DG427" t="str">
        <f>""</f>
        <v/>
      </c>
      <c r="DH427" t="str">
        <f>""</f>
        <v/>
      </c>
      <c r="DI427" t="str">
        <f>""</f>
        <v/>
      </c>
      <c r="DJ427" t="str">
        <f>""</f>
        <v/>
      </c>
      <c r="DK427" t="str">
        <f>""</f>
        <v/>
      </c>
      <c r="DL427" t="str">
        <f>""</f>
        <v/>
      </c>
      <c r="DM427" t="str">
        <f>""</f>
        <v/>
      </c>
      <c r="DN427" t="str">
        <f>""</f>
        <v/>
      </c>
      <c r="DO427" t="str">
        <f>""</f>
        <v/>
      </c>
      <c r="DP427" t="str">
        <f>""</f>
        <v/>
      </c>
      <c r="DQ427" t="str">
        <f>""</f>
        <v/>
      </c>
      <c r="DR427" t="str">
        <f>""</f>
        <v/>
      </c>
      <c r="DS427" t="str">
        <f>""</f>
        <v/>
      </c>
      <c r="DT427" t="str">
        <f>""</f>
        <v/>
      </c>
      <c r="DU427" t="str">
        <f>""</f>
        <v/>
      </c>
    </row>
    <row r="428" spans="1:125" x14ac:dyDescent="0.25">
      <c r="A428" t="str">
        <f>"    Ford Motor Co"</f>
        <v xml:space="preserve">    Ford Motor Co</v>
      </c>
      <c r="B428" t="str">
        <f>"F US Equity"</f>
        <v>F US Equity</v>
      </c>
      <c r="C428" t="str">
        <f t="shared" si="30"/>
        <v>RR477</v>
      </c>
      <c r="D428" t="str">
        <f t="shared" si="31"/>
        <v>EV_TO_T12M_CASH_FLOW</v>
      </c>
      <c r="E428" t="str">
        <f t="shared" si="32"/>
        <v>Dynamic</v>
      </c>
      <c r="F428" t="str">
        <f ca="1">IF(AND(ISNUMBER($F$1091),$B$677=1),$F$1091,HLOOKUP(INDIRECT(ADDRESS(2,COLUMN())),OFFSET($BN$2,0,0,ROW()-1,60),ROW()-1,FALSE))</f>
        <v/>
      </c>
      <c r="G428">
        <f ca="1">IF(AND(ISNUMBER($G$1091),$B$677=1),$G$1091,HLOOKUP(INDIRECT(ADDRESS(2,COLUMN())),OFFSET($BN$2,0,0,ROW()-1,60),ROW()-1,FALSE))</f>
        <v>1.403336492</v>
      </c>
      <c r="H428">
        <f ca="1">IF(AND(ISNUMBER($H$1091),$B$677=1),$H$1091,HLOOKUP(INDIRECT(ADDRESS(2,COLUMN())),OFFSET($BN$2,0,0,ROW()-1,60),ROW()-1,FALSE))</f>
        <v>1.6644424410000001</v>
      </c>
      <c r="I428">
        <f ca="1">IF(AND(ISNUMBER($I$1091),$B$677=1),$I$1091,HLOOKUP(INDIRECT(ADDRESS(2,COLUMN())),OFFSET($BN$2,0,0,ROW()-1,60),ROW()-1,FALSE))</f>
        <v>2.0893507769999999</v>
      </c>
      <c r="J428">
        <f ca="1">IF(AND(ISNUMBER($J$1091),$B$677=1),$J$1091,HLOOKUP(INDIRECT(ADDRESS(2,COLUMN())),OFFSET($BN$2,0,0,ROW()-1,60),ROW()-1,FALSE))</f>
        <v>1.882151592</v>
      </c>
      <c r="K428">
        <f ca="1">IF(AND(ISNUMBER($K$1091),$B$677=1),$K$1091,HLOOKUP(INDIRECT(ADDRESS(2,COLUMN())),OFFSET($BN$2,0,0,ROW()-1,60),ROW()-1,FALSE))</f>
        <v>2.1660124989999998</v>
      </c>
      <c r="L428">
        <f ca="1">IF(AND(ISNUMBER($L$1091),$B$677=1),$L$1091,HLOOKUP(INDIRECT(ADDRESS(2,COLUMN())),OFFSET($BN$2,0,0,ROW()-1,60),ROW()-1,FALSE))</f>
        <v>2.1248355910000001</v>
      </c>
      <c r="M428">
        <f ca="1">IF(AND(ISNUMBER($M$1091),$B$677=1),$M$1091,HLOOKUP(INDIRECT(ADDRESS(2,COLUMN())),OFFSET($BN$2,0,0,ROW()-1,60),ROW()-1,FALSE))</f>
        <v>1.804295926</v>
      </c>
      <c r="N428">
        <f ca="1">IF(AND(ISNUMBER($N$1091),$B$677=1),$N$1091,HLOOKUP(INDIRECT(ADDRESS(2,COLUMN())),OFFSET($BN$2,0,0,ROW()-1,60),ROW()-1,FALSE))</f>
        <v>1.729067256</v>
      </c>
      <c r="O428">
        <f ca="1">IF(AND(ISNUMBER($O$1091),$B$677=1),$O$1091,HLOOKUP(INDIRECT(ADDRESS(2,COLUMN())),OFFSET($BN$2,0,0,ROW()-1,60),ROW()-1,FALSE))</f>
        <v>1.8517997310000001</v>
      </c>
      <c r="P428">
        <f ca="1">IF(AND(ISNUMBER($P$1091),$B$677=1),$P$1091,HLOOKUP(INDIRECT(ADDRESS(2,COLUMN())),OFFSET($BN$2,0,0,ROW()-1,60),ROW()-1,FALSE))</f>
        <v>1.9224341410000001</v>
      </c>
      <c r="Q428">
        <f ca="1">IF(AND(ISNUMBER($Q$1091),$B$677=1),$Q$1091,HLOOKUP(INDIRECT(ADDRESS(2,COLUMN())),OFFSET($BN$2,0,0,ROW()-1,60),ROW()-1,FALSE))</f>
        <v>1.752348869</v>
      </c>
      <c r="R428">
        <f ca="1">IF(AND(ISNUMBER($R$1091),$B$677=1),$R$1091,HLOOKUP(INDIRECT(ADDRESS(2,COLUMN())),OFFSET($BN$2,0,0,ROW()-1,60),ROW()-1,FALSE))</f>
        <v>2.2765244899999999</v>
      </c>
      <c r="S428">
        <f ca="1">IF(AND(ISNUMBER($S$1091),$B$677=1),$S$1091,HLOOKUP(INDIRECT(ADDRESS(2,COLUMN())),OFFSET($BN$2,0,0,ROW()-1,60),ROW()-1,FALSE))</f>
        <v>2.792520755</v>
      </c>
      <c r="T428">
        <f ca="1">IF(AND(ISNUMBER($T$1091),$B$677=1),$T$1091,HLOOKUP(INDIRECT(ADDRESS(2,COLUMN())),OFFSET($BN$2,0,0,ROW()-1,60),ROW()-1,FALSE))</f>
        <v>2.5970276659999998</v>
      </c>
      <c r="U428">
        <f ca="1">IF(AND(ISNUMBER($U$1091),$B$677=1),$U$1091,HLOOKUP(INDIRECT(ADDRESS(2,COLUMN())),OFFSET($BN$2,0,0,ROW()-1,60),ROW()-1,FALSE))</f>
        <v>3.7040796029999998</v>
      </c>
      <c r="V428">
        <f ca="1">IF(AND(ISNUMBER($V$1091),$B$677=1),$V$1091,HLOOKUP(INDIRECT(ADDRESS(2,COLUMN())),OFFSET($BN$2,0,0,ROW()-1,60),ROW()-1,FALSE))</f>
        <v>4.159198526</v>
      </c>
      <c r="W428">
        <f ca="1">IF(AND(ISNUMBER($W$1091),$B$677=1),$W$1091,HLOOKUP(INDIRECT(ADDRESS(2,COLUMN())),OFFSET($BN$2,0,0,ROW()-1,60),ROW()-1,FALSE))</f>
        <v>3.591996849</v>
      </c>
      <c r="X428">
        <f ca="1">IF(AND(ISNUMBER($X$1091),$B$677=1),$X$1091,HLOOKUP(INDIRECT(ADDRESS(2,COLUMN())),OFFSET($BN$2,0,0,ROW()-1,60),ROW()-1,FALSE))</f>
        <v>3.745778955</v>
      </c>
      <c r="Y428">
        <f ca="1">IF(AND(ISNUMBER($Y$1091),$B$677=1),$Y$1091,HLOOKUP(INDIRECT(ADDRESS(2,COLUMN())),OFFSET($BN$2,0,0,ROW()-1,60),ROW()-1,FALSE))</f>
        <v>4.4142515659999999</v>
      </c>
      <c r="Z428">
        <f ca="1">IF(AND(ISNUMBER($Z$1091),$B$677=1),$Z$1091,HLOOKUP(INDIRECT(ADDRESS(2,COLUMN())),OFFSET($BN$2,0,0,ROW()-1,60),ROW()-1,FALSE))</f>
        <v>4.1575557009999997</v>
      </c>
      <c r="AA428">
        <f ca="1">IF(AND(ISNUMBER($AA$1091),$B$677=1),$AA$1091,HLOOKUP(INDIRECT(ADDRESS(2,COLUMN())),OFFSET($BN$2,0,0,ROW()-1,60),ROW()-1,FALSE))</f>
        <v>4.9201999499999998</v>
      </c>
      <c r="AB428">
        <f ca="1">IF(AND(ISNUMBER($AB$1091),$B$677=1),$AB$1091,HLOOKUP(INDIRECT(ADDRESS(2,COLUMN())),OFFSET($BN$2,0,0,ROW()-1,60),ROW()-1,FALSE))</f>
        <v>4.7629347910000002</v>
      </c>
      <c r="AC428">
        <f ca="1">IF(AND(ISNUMBER($AC$1091),$B$677=1),$AC$1091,HLOOKUP(INDIRECT(ADDRESS(2,COLUMN())),OFFSET($BN$2,0,0,ROW()-1,60),ROW()-1,FALSE))</f>
        <v>4.7011183660000002</v>
      </c>
      <c r="AD428">
        <f ca="1">IF(AND(ISNUMBER($AD$1091),$B$677=1),$AD$1091,HLOOKUP(INDIRECT(ADDRESS(2,COLUMN())),OFFSET($BN$2,0,0,ROW()-1,60),ROW()-1,FALSE))</f>
        <v>4.9075079840000004</v>
      </c>
      <c r="AE428">
        <f ca="1">IF(AND(ISNUMBER($AE$1091),$B$677=1),$AE$1091,HLOOKUP(INDIRECT(ADDRESS(2,COLUMN())),OFFSET($BN$2,0,0,ROW()-1,60),ROW()-1,FALSE))</f>
        <v>4.3751362399999998</v>
      </c>
      <c r="AF428">
        <f ca="1">IF(AND(ISNUMBER($AF$1091),$B$677=1),$AF$1091,HLOOKUP(INDIRECT(ADDRESS(2,COLUMN())),OFFSET($BN$2,0,0,ROW()-1,60),ROW()-1,FALSE))</f>
        <v>2.7507444959999998</v>
      </c>
      <c r="AG428">
        <f ca="1">IF(AND(ISNUMBER($AG$1091),$B$677=1),$AG$1091,HLOOKUP(INDIRECT(ADDRESS(2,COLUMN())),OFFSET($BN$2,0,0,ROW()-1,60),ROW()-1,FALSE))</f>
        <v>2.7388178089999999</v>
      </c>
      <c r="AH428">
        <f ca="1">IF(AND(ISNUMBER($AH$1091),$B$677=1),$AH$1091,HLOOKUP(INDIRECT(ADDRESS(2,COLUMN())),OFFSET($BN$2,0,0,ROW()-1,60),ROW()-1,FALSE))</f>
        <v>3.7426337869999999</v>
      </c>
      <c r="AI428">
        <f ca="1">IF(AND(ISNUMBER($AI$1091),$B$677=1),$AI$1091,HLOOKUP(INDIRECT(ADDRESS(2,COLUMN())),OFFSET($BN$2,0,0,ROW()-1,60),ROW()-1,FALSE))</f>
        <v>2.5892674219999998</v>
      </c>
      <c r="AJ428">
        <f ca="1">IF(AND(ISNUMBER($AJ$1091),$B$677=1),$AJ$1091,HLOOKUP(INDIRECT(ADDRESS(2,COLUMN())),OFFSET($BN$2,0,0,ROW()-1,60),ROW()-1,FALSE))</f>
        <v>2.26271281</v>
      </c>
      <c r="AK428">
        <f ca="1">IF(AND(ISNUMBER($AK$1091),$B$677=1),$AK$1091,HLOOKUP(INDIRECT(ADDRESS(2,COLUMN())),OFFSET($BN$2,0,0,ROW()-1,60),ROW()-1,FALSE))</f>
        <v>3.3321921429999999</v>
      </c>
      <c r="AL428">
        <f ca="1">IF(AND(ISNUMBER($AL$1091),$B$677=1),$AL$1091,HLOOKUP(INDIRECT(ADDRESS(2,COLUMN())),OFFSET($BN$2,0,0,ROW()-1,60),ROW()-1,FALSE))</f>
        <v>4.2307705970000002</v>
      </c>
      <c r="AM428">
        <f ca="1">IF(AND(ISNUMBER($AM$1091),$B$677=1),$AM$1091,HLOOKUP(INDIRECT(ADDRESS(2,COLUMN())),OFFSET($BN$2,0,0,ROW()-1,60),ROW()-1,FALSE))</f>
        <v>5.9865876</v>
      </c>
      <c r="AN428">
        <f ca="1">IF(AND(ISNUMBER($AN$1091),$B$677=1),$AN$1091,HLOOKUP(INDIRECT(ADDRESS(2,COLUMN())),OFFSET($BN$2,0,0,ROW()-1,60),ROW()-1,FALSE))</f>
        <v>2.740582388</v>
      </c>
      <c r="AO428">
        <f ca="1">IF(AND(ISNUMBER($AO$1091),$B$677=1),$AO$1091,HLOOKUP(INDIRECT(ADDRESS(2,COLUMN())),OFFSET($BN$2,0,0,ROW()-1,60),ROW()-1,FALSE))</f>
        <v>2.181033507</v>
      </c>
      <c r="AP428">
        <f ca="1">IF(AND(ISNUMBER($AP$1091),$B$677=1),$AP$1091,HLOOKUP(INDIRECT(ADDRESS(2,COLUMN())),OFFSET($BN$2,0,0,ROW()-1,60),ROW()-1,FALSE))</f>
        <v>3.4364161809999998</v>
      </c>
      <c r="AQ428">
        <f ca="1">IF(AND(ISNUMBER($AQ$1091),$B$677=1),$AQ$1091,HLOOKUP(INDIRECT(ADDRESS(2,COLUMN())),OFFSET($BN$2,0,0,ROW()-1,60),ROW()-1,FALSE))</f>
        <v>3.2181645300000001</v>
      </c>
      <c r="AR428" t="str">
        <f ca="1">IF(AND(ISNUMBER($AR$1091),$B$677=1),$AR$1091,HLOOKUP(INDIRECT(ADDRESS(2,COLUMN())),OFFSET($BN$2,0,0,ROW()-1,60),ROW()-1,FALSE))</f>
        <v/>
      </c>
      <c r="AS428" t="str">
        <f ca="1">IF(AND(ISNUMBER($AS$1091),$B$677=1),$AS$1091,HLOOKUP(INDIRECT(ADDRESS(2,COLUMN())),OFFSET($BN$2,0,0,ROW()-1,60),ROW()-1,FALSE))</f>
        <v/>
      </c>
      <c r="AT428" t="str">
        <f ca="1">IF(AND(ISNUMBER($AT$1091),$B$677=1),$AT$1091,HLOOKUP(INDIRECT(ADDRESS(2,COLUMN())),OFFSET($BN$2,0,0,ROW()-1,60),ROW()-1,FALSE))</f>
        <v/>
      </c>
      <c r="AU428" t="str">
        <f ca="1">IF(AND(ISNUMBER($AU$1091),$B$677=1),$AU$1091,HLOOKUP(INDIRECT(ADDRESS(2,COLUMN())),OFFSET($BN$2,0,0,ROW()-1,60),ROW()-1,FALSE))</f>
        <v/>
      </c>
      <c r="AV428">
        <f ca="1">IF(AND(ISNUMBER($AV$1091),$B$677=1),$AV$1091,HLOOKUP(INDIRECT(ADDRESS(2,COLUMN())),OFFSET($BN$2,0,0,ROW()-1,60),ROW()-1,FALSE))</f>
        <v>1.5708197230000001</v>
      </c>
      <c r="AW428">
        <f ca="1">IF(AND(ISNUMBER($AW$1091),$B$677=1),$AW$1091,HLOOKUP(INDIRECT(ADDRESS(2,COLUMN())),OFFSET($BN$2,0,0,ROW()-1,60),ROW()-1,FALSE))</f>
        <v>0.85457620000000001</v>
      </c>
      <c r="AX428">
        <f ca="1">IF(AND(ISNUMBER($AX$1091),$B$677=1),$AX$1091,HLOOKUP(INDIRECT(ADDRESS(2,COLUMN())),OFFSET($BN$2,0,0,ROW()-1,60),ROW()-1,FALSE))</f>
        <v>0.57499940599999999</v>
      </c>
      <c r="AY428">
        <f ca="1">IF(AND(ISNUMBER($AY$1091),$B$677=1),$AY$1091,HLOOKUP(INDIRECT(ADDRESS(2,COLUMN())),OFFSET($BN$2,0,0,ROW()-1,60),ROW()-1,FALSE))</f>
        <v>0.64948586100000005</v>
      </c>
      <c r="AZ428">
        <f ca="1">IF(AND(ISNUMBER($AZ$1091),$B$677=1),$AZ$1091,HLOOKUP(INDIRECT(ADDRESS(2,COLUMN())),OFFSET($BN$2,0,0,ROW()-1,60),ROW()-1,FALSE))</f>
        <v>3.4485762709999999</v>
      </c>
      <c r="BA428">
        <f ca="1">IF(AND(ISNUMBER($BA$1091),$B$677=1),$BA$1091,HLOOKUP(INDIRECT(ADDRESS(2,COLUMN())),OFFSET($BN$2,0,0,ROW()-1,60),ROW()-1,FALSE))</f>
        <v>36.417007869999999</v>
      </c>
      <c r="BB428">
        <f ca="1">IF(AND(ISNUMBER($BB$1091),$B$677=1),$BB$1091,HLOOKUP(INDIRECT(ADDRESS(2,COLUMN())),OFFSET($BN$2,0,0,ROW()-1,60),ROW()-1,FALSE))</f>
        <v>2.762916578</v>
      </c>
      <c r="BC428">
        <f ca="1">IF(AND(ISNUMBER($BC$1091),$B$677=1),$BC$1091,HLOOKUP(INDIRECT(ADDRESS(2,COLUMN())),OFFSET($BN$2,0,0,ROW()-1,60),ROW()-1,FALSE))</f>
        <v>4.0523715290000002</v>
      </c>
      <c r="BD428">
        <f ca="1">IF(AND(ISNUMBER($BD$1091),$B$677=1),$BD$1091,HLOOKUP(INDIRECT(ADDRESS(2,COLUMN())),OFFSET($BN$2,0,0,ROW()-1,60),ROW()-1,FALSE))</f>
        <v>1.0109504949999999</v>
      </c>
      <c r="BE428">
        <f ca="1">IF(AND(ISNUMBER($BE$1091),$B$677=1),$BE$1091,HLOOKUP(INDIRECT(ADDRESS(2,COLUMN())),OFFSET($BN$2,0,0,ROW()-1,60),ROW()-1,FALSE))</f>
        <v>0.70305044900000002</v>
      </c>
      <c r="BF428">
        <f ca="1">IF(AND(ISNUMBER($BF$1091),$B$677=1),$BF$1091,HLOOKUP(INDIRECT(ADDRESS(2,COLUMN())),OFFSET($BN$2,0,0,ROW()-1,60),ROW()-1,FALSE))</f>
        <v>1.3538376640000001</v>
      </c>
      <c r="BG428">
        <f ca="1">IF(AND(ISNUMBER($BG$1091),$B$677=1),$BG$1091,HLOOKUP(INDIRECT(ADDRESS(2,COLUMN())),OFFSET($BN$2,0,0,ROW()-1,60),ROW()-1,FALSE))</f>
        <v>10.53041185</v>
      </c>
      <c r="BH428">
        <f ca="1">IF(AND(ISNUMBER($BH$1091),$B$677=1),$BH$1091,HLOOKUP(INDIRECT(ADDRESS(2,COLUMN())),OFFSET($BN$2,0,0,ROW()-1,60),ROW()-1,FALSE))</f>
        <v>7.2711755179999997</v>
      </c>
      <c r="BI428">
        <f ca="1">IF(AND(ISNUMBER($BI$1091),$B$677=1),$BI$1091,HLOOKUP(INDIRECT(ADDRESS(2,COLUMN())),OFFSET($BN$2,0,0,ROW()-1,60),ROW()-1,FALSE))</f>
        <v>6.0204483179999997</v>
      </c>
      <c r="BJ428">
        <f ca="1">IF(AND(ISNUMBER($BJ$1091),$B$677=1),$BJ$1091,HLOOKUP(INDIRECT(ADDRESS(2,COLUMN())),OFFSET($BN$2,0,0,ROW()-1,60),ROW()-1,FALSE))</f>
        <v>6.0586230250000002</v>
      </c>
      <c r="BK428">
        <f ca="1">IF(AND(ISNUMBER($BK$1091),$B$677=1),$BK$1091,HLOOKUP(INDIRECT(ADDRESS(2,COLUMN())),OFFSET($BN$2,0,0,ROW()-1,60),ROW()-1,FALSE))</f>
        <v>6.0210069620000004</v>
      </c>
      <c r="BL428">
        <f ca="1">IF(AND(ISNUMBER($BL$1091),$B$677=1),$BL$1091,HLOOKUP(INDIRECT(ADDRESS(2,COLUMN())),OFFSET($BN$2,0,0,ROW()-1,60),ROW()-1,FALSE))</f>
        <v>8.1661380309999991</v>
      </c>
      <c r="BM428">
        <f ca="1">IF(AND(ISNUMBER($BM$1091),$B$677=1),$BM$1091,HLOOKUP(INDIRECT(ADDRESS(2,COLUMN())),OFFSET($BN$2,0,0,ROW()-1,60),ROW()-1,FALSE))</f>
        <v>9.01739888</v>
      </c>
      <c r="BN428" t="str">
        <f>""</f>
        <v/>
      </c>
      <c r="BO428">
        <f>1.403336492</f>
        <v>1.403336492</v>
      </c>
      <c r="BP428">
        <f>1.664442441</f>
        <v>1.6644424410000001</v>
      </c>
      <c r="BQ428">
        <f>2.089350777</f>
        <v>2.0893507769999999</v>
      </c>
      <c r="BR428">
        <f>1.882151592</f>
        <v>1.882151592</v>
      </c>
      <c r="BS428">
        <f>2.166012499</f>
        <v>2.1660124989999998</v>
      </c>
      <c r="BT428">
        <f>2.124835591</f>
        <v>2.1248355910000001</v>
      </c>
      <c r="BU428">
        <f>1.804295926</f>
        <v>1.804295926</v>
      </c>
      <c r="BV428">
        <f>1.729067256</f>
        <v>1.729067256</v>
      </c>
      <c r="BW428">
        <f>1.851799731</f>
        <v>1.8517997310000001</v>
      </c>
      <c r="BX428">
        <f>1.922434141</f>
        <v>1.9224341410000001</v>
      </c>
      <c r="BY428">
        <f>1.752348869</f>
        <v>1.752348869</v>
      </c>
      <c r="BZ428">
        <f>2.27652449</f>
        <v>2.2765244899999999</v>
      </c>
      <c r="CA428">
        <f>2.792520755</f>
        <v>2.792520755</v>
      </c>
      <c r="CB428">
        <f>2.597027666</f>
        <v>2.5970276659999998</v>
      </c>
      <c r="CC428">
        <f>3.704079603</f>
        <v>3.7040796029999998</v>
      </c>
      <c r="CD428">
        <f>4.159198526</f>
        <v>4.159198526</v>
      </c>
      <c r="CE428">
        <f>3.591996849</f>
        <v>3.591996849</v>
      </c>
      <c r="CF428">
        <f>3.745778955</f>
        <v>3.745778955</v>
      </c>
      <c r="CG428">
        <f>4.414251566</f>
        <v>4.4142515659999999</v>
      </c>
      <c r="CH428">
        <f>4.157555701</f>
        <v>4.1575557009999997</v>
      </c>
      <c r="CI428">
        <f>4.92019995</f>
        <v>4.9201999499999998</v>
      </c>
      <c r="CJ428">
        <f>4.762934791</f>
        <v>4.7629347910000002</v>
      </c>
      <c r="CK428">
        <f>4.701118366</f>
        <v>4.7011183660000002</v>
      </c>
      <c r="CL428">
        <f>4.907507984</f>
        <v>4.9075079840000004</v>
      </c>
      <c r="CM428">
        <f>4.37513624</f>
        <v>4.3751362399999998</v>
      </c>
      <c r="CN428">
        <f>2.750744496</f>
        <v>2.7507444959999998</v>
      </c>
      <c r="CO428">
        <f>2.738817809</f>
        <v>2.7388178089999999</v>
      </c>
      <c r="CP428">
        <f>3.742633787</f>
        <v>3.7426337869999999</v>
      </c>
      <c r="CQ428">
        <f>2.589267422</f>
        <v>2.5892674219999998</v>
      </c>
      <c r="CR428">
        <f>2.26271281</f>
        <v>2.26271281</v>
      </c>
      <c r="CS428">
        <f>3.332192143</f>
        <v>3.3321921429999999</v>
      </c>
      <c r="CT428">
        <f>4.230770597</f>
        <v>4.2307705970000002</v>
      </c>
      <c r="CU428">
        <f>5.9865876</f>
        <v>5.9865876</v>
      </c>
      <c r="CV428">
        <f>2.740582388</f>
        <v>2.740582388</v>
      </c>
      <c r="CW428">
        <f>2.181033507</f>
        <v>2.181033507</v>
      </c>
      <c r="CX428">
        <f>3.436416181</f>
        <v>3.4364161809999998</v>
      </c>
      <c r="CY428">
        <f>3.21816453</f>
        <v>3.2181645300000001</v>
      </c>
      <c r="CZ428" t="str">
        <f>""</f>
        <v/>
      </c>
      <c r="DA428" t="str">
        <f>""</f>
        <v/>
      </c>
      <c r="DB428" t="str">
        <f>""</f>
        <v/>
      </c>
      <c r="DC428" t="str">
        <f>""</f>
        <v/>
      </c>
      <c r="DD428">
        <f>1.570819723</f>
        <v>1.5708197230000001</v>
      </c>
      <c r="DE428">
        <f>0.8545762</f>
        <v>0.85457620000000001</v>
      </c>
      <c r="DF428">
        <f>0.574999406</f>
        <v>0.57499940599999999</v>
      </c>
      <c r="DG428">
        <f>0.649485861</f>
        <v>0.64948586100000005</v>
      </c>
      <c r="DH428">
        <f>3.448576271</f>
        <v>3.4485762709999999</v>
      </c>
      <c r="DI428">
        <f>36.41700787</f>
        <v>36.417007869999999</v>
      </c>
      <c r="DJ428">
        <f>2.762916578</f>
        <v>2.762916578</v>
      </c>
      <c r="DK428">
        <f>4.052371529</f>
        <v>4.0523715290000002</v>
      </c>
      <c r="DL428">
        <f>1.010950495</f>
        <v>1.0109504949999999</v>
      </c>
      <c r="DM428">
        <f>0.703050449</f>
        <v>0.70305044900000002</v>
      </c>
      <c r="DN428">
        <f>1.353837664</f>
        <v>1.3538376640000001</v>
      </c>
      <c r="DO428">
        <f>10.53041185</f>
        <v>10.53041185</v>
      </c>
      <c r="DP428">
        <f>7.271175518</f>
        <v>7.2711755179999997</v>
      </c>
      <c r="DQ428">
        <f>6.020448318</f>
        <v>6.0204483179999997</v>
      </c>
      <c r="DR428">
        <f>6.058623025</f>
        <v>6.0586230250000002</v>
      </c>
      <c r="DS428">
        <f>6.021006962</f>
        <v>6.0210069620000004</v>
      </c>
      <c r="DT428">
        <f>8.166138031</f>
        <v>8.1661380309999991</v>
      </c>
      <c r="DU428">
        <f>9.01739888</f>
        <v>9.01739888</v>
      </c>
    </row>
    <row r="429" spans="1:125" x14ac:dyDescent="0.25">
      <c r="A429" t="str">
        <f>"    Ford Otomotiv Sanayi AS"</f>
        <v xml:space="preserve">    Ford Otomotiv Sanayi AS</v>
      </c>
      <c r="B429" t="str">
        <f>"FROTOTRY EO Equity"</f>
        <v>FROTOTRY EO Equity</v>
      </c>
      <c r="C429" t="str">
        <f t="shared" si="30"/>
        <v>RR477</v>
      </c>
      <c r="D429" t="str">
        <f t="shared" si="31"/>
        <v>EV_TO_T12M_CASH_FLOW</v>
      </c>
      <c r="E429" t="str">
        <f t="shared" si="32"/>
        <v>Dynamic</v>
      </c>
      <c r="F429" t="str">
        <f ca="1">IF(AND(ISNUMBER($F$1092),$B$677=1),$F$1092,HLOOKUP(INDIRECT(ADDRESS(2,COLUMN())),OFFSET($BN$2,0,0,ROW()-1,60),ROW()-1,FALSE))</f>
        <v/>
      </c>
      <c r="G429">
        <f ca="1">IF(AND(ISNUMBER($G$1092),$B$677=1),$G$1092,HLOOKUP(INDIRECT(ADDRESS(2,COLUMN())),OFFSET($BN$2,0,0,ROW()-1,60),ROW()-1,FALSE))</f>
        <v>9.2576386480000004</v>
      </c>
      <c r="H429">
        <f ca="1">IF(AND(ISNUMBER($H$1092),$B$677=1),$H$1092,HLOOKUP(INDIRECT(ADDRESS(2,COLUMN())),OFFSET($BN$2,0,0,ROW()-1,60),ROW()-1,FALSE))</f>
        <v>10.666863380000001</v>
      </c>
      <c r="I429">
        <f ca="1">IF(AND(ISNUMBER($I$1092),$B$677=1),$I$1092,HLOOKUP(INDIRECT(ADDRESS(2,COLUMN())),OFFSET($BN$2,0,0,ROW()-1,60),ROW()-1,FALSE))</f>
        <v>10.81723929</v>
      </c>
      <c r="J429">
        <f ca="1">IF(AND(ISNUMBER($J$1092),$B$677=1),$J$1092,HLOOKUP(INDIRECT(ADDRESS(2,COLUMN())),OFFSET($BN$2,0,0,ROW()-1,60),ROW()-1,FALSE))</f>
        <v>11.021578119999999</v>
      </c>
      <c r="K429">
        <f ca="1">IF(AND(ISNUMBER($K$1092),$B$677=1),$K$1092,HLOOKUP(INDIRECT(ADDRESS(2,COLUMN())),OFFSET($BN$2,0,0,ROW()-1,60),ROW()-1,FALSE))</f>
        <v>10.527817300000001</v>
      </c>
      <c r="L429">
        <f ca="1">IF(AND(ISNUMBER($L$1092),$B$677=1),$L$1092,HLOOKUP(INDIRECT(ADDRESS(2,COLUMN())),OFFSET($BN$2,0,0,ROW()-1,60),ROW()-1,FALSE))</f>
        <v>8.5724912920000005</v>
      </c>
      <c r="M429">
        <f ca="1">IF(AND(ISNUMBER($M$1092),$B$677=1),$M$1092,HLOOKUP(INDIRECT(ADDRESS(2,COLUMN())),OFFSET($BN$2,0,0,ROW()-1,60),ROW()-1,FALSE))</f>
        <v>7.5240820279999996</v>
      </c>
      <c r="N429">
        <f ca="1">IF(AND(ISNUMBER($N$1092),$B$677=1),$N$1092,HLOOKUP(INDIRECT(ADDRESS(2,COLUMN())),OFFSET($BN$2,0,0,ROW()-1,60),ROW()-1,FALSE))</f>
        <v>7.1209628360000004</v>
      </c>
      <c r="O429">
        <f ca="1">IF(AND(ISNUMBER($O$1092),$B$677=1),$O$1092,HLOOKUP(INDIRECT(ADDRESS(2,COLUMN())),OFFSET($BN$2,0,0,ROW()-1,60),ROW()-1,FALSE))</f>
        <v>7.791607602</v>
      </c>
      <c r="P429">
        <f ca="1">IF(AND(ISNUMBER($P$1092),$B$677=1),$P$1092,HLOOKUP(INDIRECT(ADDRESS(2,COLUMN())),OFFSET($BN$2,0,0,ROW()-1,60),ROW()-1,FALSE))</f>
        <v>10.94595642</v>
      </c>
      <c r="Q429">
        <f ca="1">IF(AND(ISNUMBER($Q$1092),$B$677=1),$Q$1092,HLOOKUP(INDIRECT(ADDRESS(2,COLUMN())),OFFSET($BN$2,0,0,ROW()-1,60),ROW()-1,FALSE))</f>
        <v>7.9362812529999998</v>
      </c>
      <c r="R429">
        <f ca="1">IF(AND(ISNUMBER($R$1092),$B$677=1),$R$1092,HLOOKUP(INDIRECT(ADDRESS(2,COLUMN())),OFFSET($BN$2,0,0,ROW()-1,60),ROW()-1,FALSE))</f>
        <v>12.65476314</v>
      </c>
      <c r="S429">
        <f ca="1">IF(AND(ISNUMBER($S$1092),$B$677=1),$S$1092,HLOOKUP(INDIRECT(ADDRESS(2,COLUMN())),OFFSET($BN$2,0,0,ROW()-1,60),ROW()-1,FALSE))</f>
        <v>8.9845501399999996</v>
      </c>
      <c r="T429">
        <f ca="1">IF(AND(ISNUMBER($T$1092),$B$677=1),$T$1092,HLOOKUP(INDIRECT(ADDRESS(2,COLUMN())),OFFSET($BN$2,0,0,ROW()-1,60),ROW()-1,FALSE))</f>
        <v>10.45992665</v>
      </c>
      <c r="U429">
        <f ca="1">IF(AND(ISNUMBER($U$1092),$B$677=1),$U$1092,HLOOKUP(INDIRECT(ADDRESS(2,COLUMN())),OFFSET($BN$2,0,0,ROW()-1,60),ROW()-1,FALSE))</f>
        <v>28.669946209999999</v>
      </c>
      <c r="V429">
        <f ca="1">IF(AND(ISNUMBER($V$1092),$B$677=1),$V$1092,HLOOKUP(INDIRECT(ADDRESS(2,COLUMN())),OFFSET($BN$2,0,0,ROW()-1,60),ROW()-1,FALSE))</f>
        <v>13.27504982</v>
      </c>
      <c r="W429">
        <f ca="1">IF(AND(ISNUMBER($W$1092),$B$677=1),$W$1092,HLOOKUP(INDIRECT(ADDRESS(2,COLUMN())),OFFSET($BN$2,0,0,ROW()-1,60),ROW()-1,FALSE))</f>
        <v>10.664891430000001</v>
      </c>
      <c r="X429">
        <f ca="1">IF(AND(ISNUMBER($X$1092),$B$677=1),$X$1092,HLOOKUP(INDIRECT(ADDRESS(2,COLUMN())),OFFSET($BN$2,0,0,ROW()-1,60),ROW()-1,FALSE))</f>
        <v>21.779432320000002</v>
      </c>
      <c r="Y429">
        <f ca="1">IF(AND(ISNUMBER($Y$1092),$B$677=1),$Y$1092,HLOOKUP(INDIRECT(ADDRESS(2,COLUMN())),OFFSET($BN$2,0,0,ROW()-1,60),ROW()-1,FALSE))</f>
        <v>15.99063039</v>
      </c>
      <c r="Z429">
        <f ca="1">IF(AND(ISNUMBER($Z$1092),$B$677=1),$Z$1092,HLOOKUP(INDIRECT(ADDRESS(2,COLUMN())),OFFSET($BN$2,0,0,ROW()-1,60),ROW()-1,FALSE))</f>
        <v>25.163484480000001</v>
      </c>
      <c r="AA429">
        <f ca="1">IF(AND(ISNUMBER($AA$1092),$B$677=1),$AA$1092,HLOOKUP(INDIRECT(ADDRESS(2,COLUMN())),OFFSET($BN$2,0,0,ROW()-1,60),ROW()-1,FALSE))</f>
        <v>11.71324495</v>
      </c>
      <c r="AB429">
        <f ca="1">IF(AND(ISNUMBER($AB$1092),$B$677=1),$AB$1092,HLOOKUP(INDIRECT(ADDRESS(2,COLUMN())),OFFSET($BN$2,0,0,ROW()-1,60),ROW()-1,FALSE))</f>
        <v>10.08538581</v>
      </c>
      <c r="AC429">
        <f ca="1">IF(AND(ISNUMBER($AC$1092),$B$677=1),$AC$1092,HLOOKUP(INDIRECT(ADDRESS(2,COLUMN())),OFFSET($BN$2,0,0,ROW()-1,60),ROW()-1,FALSE))</f>
        <v>10.90360132</v>
      </c>
      <c r="AD429">
        <f ca="1">IF(AND(ISNUMBER($AD$1092),$B$677=1),$AD$1092,HLOOKUP(INDIRECT(ADDRESS(2,COLUMN())),OFFSET($BN$2,0,0,ROW()-1,60),ROW()-1,FALSE))</f>
        <v>11.61905076</v>
      </c>
      <c r="AE429">
        <f ca="1">IF(AND(ISNUMBER($AE$1092),$B$677=1),$AE$1092,HLOOKUP(INDIRECT(ADDRESS(2,COLUMN())),OFFSET($BN$2,0,0,ROW()-1,60),ROW()-1,FALSE))</f>
        <v>13.93283194</v>
      </c>
      <c r="AF429">
        <f ca="1">IF(AND(ISNUMBER($AF$1092),$B$677=1),$AF$1092,HLOOKUP(INDIRECT(ADDRESS(2,COLUMN())),OFFSET($BN$2,0,0,ROW()-1,60),ROW()-1,FALSE))</f>
        <v>14.21447296</v>
      </c>
      <c r="AG429">
        <f ca="1">IF(AND(ISNUMBER($AG$1092),$B$677=1),$AG$1092,HLOOKUP(INDIRECT(ADDRESS(2,COLUMN())),OFFSET($BN$2,0,0,ROW()-1,60),ROW()-1,FALSE))</f>
        <v>10.543016079999999</v>
      </c>
      <c r="AH429">
        <f ca="1">IF(AND(ISNUMBER($AH$1092),$B$677=1),$AH$1092,HLOOKUP(INDIRECT(ADDRESS(2,COLUMN())),OFFSET($BN$2,0,0,ROW()-1,60),ROW()-1,FALSE))</f>
        <v>11.07159111</v>
      </c>
      <c r="AI429">
        <f ca="1">IF(AND(ISNUMBER($AI$1092),$B$677=1),$AI$1092,HLOOKUP(INDIRECT(ADDRESS(2,COLUMN())),OFFSET($BN$2,0,0,ROW()-1,60),ROW()-1,FALSE))</f>
        <v>7.2546700709999996</v>
      </c>
      <c r="AJ429">
        <f ca="1">IF(AND(ISNUMBER($AJ$1092),$B$677=1),$AJ$1092,HLOOKUP(INDIRECT(ADDRESS(2,COLUMN())),OFFSET($BN$2,0,0,ROW()-1,60),ROW()-1,FALSE))</f>
        <v>7.1434540200000001</v>
      </c>
      <c r="AK429">
        <f ca="1">IF(AND(ISNUMBER($AK$1092),$B$677=1),$AK$1092,HLOOKUP(INDIRECT(ADDRESS(2,COLUMN())),OFFSET($BN$2,0,0,ROW()-1,60),ROW()-1,FALSE))</f>
        <v>6.5024953290000003</v>
      </c>
      <c r="AL429">
        <f ca="1">IF(AND(ISNUMBER($AL$1092),$B$677=1),$AL$1092,HLOOKUP(INDIRECT(ADDRESS(2,COLUMN())),OFFSET($BN$2,0,0,ROW()-1,60),ROW()-1,FALSE))</f>
        <v>6.5397473310000001</v>
      </c>
      <c r="AM429">
        <f ca="1">IF(AND(ISNUMBER($AM$1092),$B$677=1),$AM$1092,HLOOKUP(INDIRECT(ADDRESS(2,COLUMN())),OFFSET($BN$2,0,0,ROW()-1,60),ROW()-1,FALSE))</f>
        <v>9.6729105420000003</v>
      </c>
      <c r="AN429">
        <f ca="1">IF(AND(ISNUMBER($AN$1092),$B$677=1),$AN$1092,HLOOKUP(INDIRECT(ADDRESS(2,COLUMN())),OFFSET($BN$2,0,0,ROW()-1,60),ROW()-1,FALSE))</f>
        <v>6.3377301020000001</v>
      </c>
      <c r="AO429">
        <f ca="1">IF(AND(ISNUMBER($AO$1092),$B$677=1),$AO$1092,HLOOKUP(INDIRECT(ADDRESS(2,COLUMN())),OFFSET($BN$2,0,0,ROW()-1,60),ROW()-1,FALSE))</f>
        <v>8.0419263589999996</v>
      </c>
      <c r="AP429">
        <f ca="1">IF(AND(ISNUMBER($AP$1092),$B$677=1),$AP$1092,HLOOKUP(INDIRECT(ADDRESS(2,COLUMN())),OFFSET($BN$2,0,0,ROW()-1,60),ROW()-1,FALSE))</f>
        <v>6.5019637599999998</v>
      </c>
      <c r="AQ429">
        <f ca="1">IF(AND(ISNUMBER($AQ$1092),$B$677=1),$AQ$1092,HLOOKUP(INDIRECT(ADDRESS(2,COLUMN())),OFFSET($BN$2,0,0,ROW()-1,60),ROW()-1,FALSE))</f>
        <v>5.533477467</v>
      </c>
      <c r="AR429">
        <f ca="1">IF(AND(ISNUMBER($AR$1092),$B$677=1),$AR$1092,HLOOKUP(INDIRECT(ADDRESS(2,COLUMN())),OFFSET($BN$2,0,0,ROW()-1,60),ROW()-1,FALSE))</f>
        <v>9.0247609989999997</v>
      </c>
      <c r="AS429">
        <f ca="1">IF(AND(ISNUMBER($AS$1092),$B$677=1),$AS$1092,HLOOKUP(INDIRECT(ADDRESS(2,COLUMN())),OFFSET($BN$2,0,0,ROW()-1,60),ROW()-1,FALSE))</f>
        <v>2.4646028250000001</v>
      </c>
      <c r="AT429">
        <f ca="1">IF(AND(ISNUMBER($AT$1092),$B$677=1),$AT$1092,HLOOKUP(INDIRECT(ADDRESS(2,COLUMN())),OFFSET($BN$2,0,0,ROW()-1,60),ROW()-1,FALSE))</f>
        <v>1.9802740400000001</v>
      </c>
      <c r="AU429">
        <f ca="1">IF(AND(ISNUMBER($AU$1092),$B$677=1),$AU$1092,HLOOKUP(INDIRECT(ADDRESS(2,COLUMN())),OFFSET($BN$2,0,0,ROW()-1,60),ROW()-1,FALSE))</f>
        <v>3.1551604069999999</v>
      </c>
      <c r="AV429">
        <f ca="1">IF(AND(ISNUMBER($AV$1092),$B$677=1),$AV$1092,HLOOKUP(INDIRECT(ADDRESS(2,COLUMN())),OFFSET($BN$2,0,0,ROW()-1,60),ROW()-1,FALSE))</f>
        <v>2.6221120510000002</v>
      </c>
      <c r="AW429">
        <f ca="1">IF(AND(ISNUMBER($AW$1092),$B$677=1),$AW$1092,HLOOKUP(INDIRECT(ADDRESS(2,COLUMN())),OFFSET($BN$2,0,0,ROW()-1,60),ROW()-1,FALSE))</f>
        <v>4.9993459920000003</v>
      </c>
      <c r="AX429">
        <f ca="1">IF(AND(ISNUMBER($AX$1092),$B$677=1),$AX$1092,HLOOKUP(INDIRECT(ADDRESS(2,COLUMN())),OFFSET($BN$2,0,0,ROW()-1,60),ROW()-1,FALSE))</f>
        <v>4.2558331970000003</v>
      </c>
      <c r="AY429">
        <f ca="1">IF(AND(ISNUMBER($AY$1092),$B$677=1),$AY$1092,HLOOKUP(INDIRECT(ADDRESS(2,COLUMN())),OFFSET($BN$2,0,0,ROW()-1,60),ROW()-1,FALSE))</f>
        <v>5.9959886789999999</v>
      </c>
      <c r="AZ429">
        <f ca="1">IF(AND(ISNUMBER($AZ$1092),$B$677=1),$AZ$1092,HLOOKUP(INDIRECT(ADDRESS(2,COLUMN())),OFFSET($BN$2,0,0,ROW()-1,60),ROW()-1,FALSE))</f>
        <v>7.6971332559999999</v>
      </c>
      <c r="BA429">
        <f ca="1">IF(AND(ISNUMBER($BA$1092),$B$677=1),$BA$1092,HLOOKUP(INDIRECT(ADDRESS(2,COLUMN())),OFFSET($BN$2,0,0,ROW()-1,60),ROW()-1,FALSE))</f>
        <v>9.8976926390000006</v>
      </c>
      <c r="BB429">
        <f ca="1">IF(AND(ISNUMBER($BB$1092),$B$677=1),$BB$1092,HLOOKUP(INDIRECT(ADDRESS(2,COLUMN())),OFFSET($BN$2,0,0,ROW()-1,60),ROW()-1,FALSE))</f>
        <v>11.738697910000001</v>
      </c>
      <c r="BC429">
        <f ca="1">IF(AND(ISNUMBER($BC$1092),$B$677=1),$BC$1092,HLOOKUP(INDIRECT(ADDRESS(2,COLUMN())),OFFSET($BN$2,0,0,ROW()-1,60),ROW()-1,FALSE))</f>
        <v>7.7836399610000004</v>
      </c>
      <c r="BD429">
        <f ca="1">IF(AND(ISNUMBER($BD$1092),$B$677=1),$BD$1092,HLOOKUP(INDIRECT(ADDRESS(2,COLUMN())),OFFSET($BN$2,0,0,ROW()-1,60),ROW()-1,FALSE))</f>
        <v>7.7650798060000001</v>
      </c>
      <c r="BE429">
        <f ca="1">IF(AND(ISNUMBER($BE$1092),$B$677=1),$BE$1092,HLOOKUP(INDIRECT(ADDRESS(2,COLUMN())),OFFSET($BN$2,0,0,ROW()-1,60),ROW()-1,FALSE))</f>
        <v>6.4655520800000001</v>
      </c>
      <c r="BF429">
        <f ca="1">IF(AND(ISNUMBER($BF$1092),$B$677=1),$BF$1092,HLOOKUP(INDIRECT(ADDRESS(2,COLUMN())),OFFSET($BN$2,0,0,ROW()-1,60),ROW()-1,FALSE))</f>
        <v>5.4235735969999999</v>
      </c>
      <c r="BG429">
        <f ca="1">IF(AND(ISNUMBER($BG$1092),$B$677=1),$BG$1092,HLOOKUP(INDIRECT(ADDRESS(2,COLUMN())),OFFSET($BN$2,0,0,ROW()-1,60),ROW()-1,FALSE))</f>
        <v>6.7813286829999999</v>
      </c>
      <c r="BH429" t="str">
        <f ca="1">IF(AND(ISNUMBER($BH$1092),$B$677=1),$BH$1092,HLOOKUP(INDIRECT(ADDRESS(2,COLUMN())),OFFSET($BN$2,0,0,ROW()-1,60),ROW()-1,FALSE))</f>
        <v/>
      </c>
      <c r="BI429" t="str">
        <f ca="1">IF(AND(ISNUMBER($BI$1092),$B$677=1),$BI$1092,HLOOKUP(INDIRECT(ADDRESS(2,COLUMN())),OFFSET($BN$2,0,0,ROW()-1,60),ROW()-1,FALSE))</f>
        <v/>
      </c>
      <c r="BJ429" t="str">
        <f ca="1">IF(AND(ISNUMBER($BJ$1092),$B$677=1),$BJ$1092,HLOOKUP(INDIRECT(ADDRESS(2,COLUMN())),OFFSET($BN$2,0,0,ROW()-1,60),ROW()-1,FALSE))</f>
        <v/>
      </c>
      <c r="BK429" t="str">
        <f ca="1">IF(AND(ISNUMBER($BK$1092),$B$677=1),$BK$1092,HLOOKUP(INDIRECT(ADDRESS(2,COLUMN())),OFFSET($BN$2,0,0,ROW()-1,60),ROW()-1,FALSE))</f>
        <v/>
      </c>
      <c r="BL429" t="str">
        <f ca="1">IF(AND(ISNUMBER($BL$1092),$B$677=1),$BL$1092,HLOOKUP(INDIRECT(ADDRESS(2,COLUMN())),OFFSET($BN$2,0,0,ROW()-1,60),ROW()-1,FALSE))</f>
        <v/>
      </c>
      <c r="BM429" t="str">
        <f ca="1">IF(AND(ISNUMBER($BM$1092),$B$677=1),$BM$1092,HLOOKUP(INDIRECT(ADDRESS(2,COLUMN())),OFFSET($BN$2,0,0,ROW()-1,60),ROW()-1,FALSE))</f>
        <v/>
      </c>
      <c r="BN429" t="str">
        <f>""</f>
        <v/>
      </c>
      <c r="BO429">
        <f>9.257638648</f>
        <v>9.2576386480000004</v>
      </c>
      <c r="BP429">
        <f>10.66686338</f>
        <v>10.666863380000001</v>
      </c>
      <c r="BQ429">
        <f>10.81723929</f>
        <v>10.81723929</v>
      </c>
      <c r="BR429">
        <f>11.02157812</f>
        <v>11.021578119999999</v>
      </c>
      <c r="BS429">
        <f>10.5278173</f>
        <v>10.527817300000001</v>
      </c>
      <c r="BT429">
        <f>8.572491292</f>
        <v>8.5724912920000005</v>
      </c>
      <c r="BU429">
        <f>7.524082028</f>
        <v>7.5240820279999996</v>
      </c>
      <c r="BV429">
        <f>7.120962836</f>
        <v>7.1209628360000004</v>
      </c>
      <c r="BW429">
        <f>7.791607602</f>
        <v>7.791607602</v>
      </c>
      <c r="BX429">
        <f>10.94595642</f>
        <v>10.94595642</v>
      </c>
      <c r="BY429">
        <f>7.936281253</f>
        <v>7.9362812529999998</v>
      </c>
      <c r="BZ429">
        <f>12.65476314</f>
        <v>12.65476314</v>
      </c>
      <c r="CA429">
        <f>8.98455014</f>
        <v>8.9845501399999996</v>
      </c>
      <c r="CB429">
        <f>10.45992665</f>
        <v>10.45992665</v>
      </c>
      <c r="CC429">
        <f>28.66994621</f>
        <v>28.669946209999999</v>
      </c>
      <c r="CD429">
        <f>13.27504982</f>
        <v>13.27504982</v>
      </c>
      <c r="CE429">
        <f>10.66489143</f>
        <v>10.664891430000001</v>
      </c>
      <c r="CF429">
        <f>21.77943232</f>
        <v>21.779432320000002</v>
      </c>
      <c r="CG429">
        <f>15.99063039</f>
        <v>15.99063039</v>
      </c>
      <c r="CH429">
        <f>25.16348448</f>
        <v>25.163484480000001</v>
      </c>
      <c r="CI429">
        <f>11.71324495</f>
        <v>11.71324495</v>
      </c>
      <c r="CJ429">
        <f>10.08538581</f>
        <v>10.08538581</v>
      </c>
      <c r="CK429">
        <f>10.90360132</f>
        <v>10.90360132</v>
      </c>
      <c r="CL429">
        <f>11.61905076</f>
        <v>11.61905076</v>
      </c>
      <c r="CM429">
        <f>13.93283194</f>
        <v>13.93283194</v>
      </c>
      <c r="CN429">
        <f>14.21447296</f>
        <v>14.21447296</v>
      </c>
      <c r="CO429">
        <f>10.54301608</f>
        <v>10.543016079999999</v>
      </c>
      <c r="CP429">
        <f>11.07159111</f>
        <v>11.07159111</v>
      </c>
      <c r="CQ429">
        <f>7.254670071</f>
        <v>7.2546700709999996</v>
      </c>
      <c r="CR429">
        <f>7.14345402</f>
        <v>7.1434540200000001</v>
      </c>
      <c r="CS429">
        <f>6.502495329</f>
        <v>6.5024953290000003</v>
      </c>
      <c r="CT429">
        <f>6.539747331</f>
        <v>6.5397473310000001</v>
      </c>
      <c r="CU429">
        <f>9.672910542</f>
        <v>9.6729105420000003</v>
      </c>
      <c r="CV429">
        <f>6.337730102</f>
        <v>6.3377301020000001</v>
      </c>
      <c r="CW429">
        <f>8.041926359</f>
        <v>8.0419263589999996</v>
      </c>
      <c r="CX429">
        <f>6.50196376</f>
        <v>6.5019637599999998</v>
      </c>
      <c r="CY429">
        <f>5.533477467</f>
        <v>5.533477467</v>
      </c>
      <c r="CZ429">
        <f>9.024760999</f>
        <v>9.0247609989999997</v>
      </c>
      <c r="DA429">
        <f>2.464602825</f>
        <v>2.4646028250000001</v>
      </c>
      <c r="DB429">
        <f>1.98027404</f>
        <v>1.9802740400000001</v>
      </c>
      <c r="DC429">
        <f>3.155160407</f>
        <v>3.1551604069999999</v>
      </c>
      <c r="DD429">
        <f>2.622112051</f>
        <v>2.6221120510000002</v>
      </c>
      <c r="DE429">
        <f>4.999345992</f>
        <v>4.9993459920000003</v>
      </c>
      <c r="DF429">
        <f>4.255833197</f>
        <v>4.2558331970000003</v>
      </c>
      <c r="DG429">
        <f>5.995988679</f>
        <v>5.9959886789999999</v>
      </c>
      <c r="DH429">
        <f>7.697133256</f>
        <v>7.6971332559999999</v>
      </c>
      <c r="DI429">
        <f>9.897692639</f>
        <v>9.8976926390000006</v>
      </c>
      <c r="DJ429">
        <f>11.73869791</f>
        <v>11.738697910000001</v>
      </c>
      <c r="DK429">
        <f>7.783639961</f>
        <v>7.7836399610000004</v>
      </c>
      <c r="DL429">
        <f>7.765079806</f>
        <v>7.7650798060000001</v>
      </c>
      <c r="DM429">
        <f>6.46555208</f>
        <v>6.4655520800000001</v>
      </c>
      <c r="DN429">
        <f>5.423573597</f>
        <v>5.4235735969999999</v>
      </c>
      <c r="DO429">
        <f>6.781328683</f>
        <v>6.7813286829999999</v>
      </c>
      <c r="DP429" t="str">
        <f>""</f>
        <v/>
      </c>
      <c r="DQ429" t="str">
        <f>""</f>
        <v/>
      </c>
      <c r="DR429" t="str">
        <f>""</f>
        <v/>
      </c>
      <c r="DS429" t="str">
        <f>""</f>
        <v/>
      </c>
      <c r="DT429" t="str">
        <f>""</f>
        <v/>
      </c>
      <c r="DU429" t="str">
        <f>""</f>
        <v/>
      </c>
    </row>
    <row r="430" spans="1:125" x14ac:dyDescent="0.25">
      <c r="A430" t="str">
        <f>"    GAZ PJSC"</f>
        <v xml:space="preserve">    GAZ PJSC</v>
      </c>
      <c r="B430" t="str">
        <f>"GAZA RM Equity"</f>
        <v>GAZA RM Equity</v>
      </c>
      <c r="C430" t="str">
        <f t="shared" si="30"/>
        <v>RR477</v>
      </c>
      <c r="D430" t="str">
        <f t="shared" si="31"/>
        <v>EV_TO_T12M_CASH_FLOW</v>
      </c>
      <c r="E430" t="str">
        <f t="shared" si="32"/>
        <v>Dynamic</v>
      </c>
      <c r="F430" t="str">
        <f ca="1">IF(AND(ISNUMBER($F$1093),$B$677=1),$F$1093,HLOOKUP(INDIRECT(ADDRESS(2,COLUMN())),OFFSET($BN$2,0,0,ROW()-1,60),ROW()-1,FALSE))</f>
        <v/>
      </c>
      <c r="G430" t="str">
        <f ca="1">IF(AND(ISNUMBER($G$1093),$B$677=1),$G$1093,HLOOKUP(INDIRECT(ADDRESS(2,COLUMN())),OFFSET($BN$2,0,0,ROW()-1,60),ROW()-1,FALSE))</f>
        <v/>
      </c>
      <c r="H430" t="str">
        <f ca="1">IF(AND(ISNUMBER($H$1093),$B$677=1),$H$1093,HLOOKUP(INDIRECT(ADDRESS(2,COLUMN())),OFFSET($BN$2,0,0,ROW()-1,60),ROW()-1,FALSE))</f>
        <v/>
      </c>
      <c r="I430" t="str">
        <f ca="1">IF(AND(ISNUMBER($I$1093),$B$677=1),$I$1093,HLOOKUP(INDIRECT(ADDRESS(2,COLUMN())),OFFSET($BN$2,0,0,ROW()-1,60),ROW()-1,FALSE))</f>
        <v/>
      </c>
      <c r="J430" t="str">
        <f ca="1">IF(AND(ISNUMBER($J$1093),$B$677=1),$J$1093,HLOOKUP(INDIRECT(ADDRESS(2,COLUMN())),OFFSET($BN$2,0,0,ROW()-1,60),ROW()-1,FALSE))</f>
        <v/>
      </c>
      <c r="K430" t="str">
        <f ca="1">IF(AND(ISNUMBER($K$1093),$B$677=1),$K$1093,HLOOKUP(INDIRECT(ADDRESS(2,COLUMN())),OFFSET($BN$2,0,0,ROW()-1,60),ROW()-1,FALSE))</f>
        <v/>
      </c>
      <c r="L430" t="str">
        <f ca="1">IF(AND(ISNUMBER($L$1093),$B$677=1),$L$1093,HLOOKUP(INDIRECT(ADDRESS(2,COLUMN())),OFFSET($BN$2,0,0,ROW()-1,60),ROW()-1,FALSE))</f>
        <v/>
      </c>
      <c r="M430" t="str">
        <f ca="1">IF(AND(ISNUMBER($M$1093),$B$677=1),$M$1093,HLOOKUP(INDIRECT(ADDRESS(2,COLUMN())),OFFSET($BN$2,0,0,ROW()-1,60),ROW()-1,FALSE))</f>
        <v/>
      </c>
      <c r="N430" t="str">
        <f ca="1">IF(AND(ISNUMBER($N$1093),$B$677=1),$N$1093,HLOOKUP(INDIRECT(ADDRESS(2,COLUMN())),OFFSET($BN$2,0,0,ROW()-1,60),ROW()-1,FALSE))</f>
        <v/>
      </c>
      <c r="O430" t="str">
        <f ca="1">IF(AND(ISNUMBER($O$1093),$B$677=1),$O$1093,HLOOKUP(INDIRECT(ADDRESS(2,COLUMN())),OFFSET($BN$2,0,0,ROW()-1,60),ROW()-1,FALSE))</f>
        <v/>
      </c>
      <c r="P430" t="str">
        <f ca="1">IF(AND(ISNUMBER($P$1093),$B$677=1),$P$1093,HLOOKUP(INDIRECT(ADDRESS(2,COLUMN())),OFFSET($BN$2,0,0,ROW()-1,60),ROW()-1,FALSE))</f>
        <v/>
      </c>
      <c r="Q430" t="str">
        <f ca="1">IF(AND(ISNUMBER($Q$1093),$B$677=1),$Q$1093,HLOOKUP(INDIRECT(ADDRESS(2,COLUMN())),OFFSET($BN$2,0,0,ROW()-1,60),ROW()-1,FALSE))</f>
        <v/>
      </c>
      <c r="R430" t="str">
        <f ca="1">IF(AND(ISNUMBER($R$1093),$B$677=1),$R$1093,HLOOKUP(INDIRECT(ADDRESS(2,COLUMN())),OFFSET($BN$2,0,0,ROW()-1,60),ROW()-1,FALSE))</f>
        <v/>
      </c>
      <c r="S430" t="str">
        <f ca="1">IF(AND(ISNUMBER($S$1093),$B$677=1),$S$1093,HLOOKUP(INDIRECT(ADDRESS(2,COLUMN())),OFFSET($BN$2,0,0,ROW()-1,60),ROW()-1,FALSE))</f>
        <v/>
      </c>
      <c r="T430" t="str">
        <f ca="1">IF(AND(ISNUMBER($T$1093),$B$677=1),$T$1093,HLOOKUP(INDIRECT(ADDRESS(2,COLUMN())),OFFSET($BN$2,0,0,ROW()-1,60),ROW()-1,FALSE))</f>
        <v/>
      </c>
      <c r="U430" t="str">
        <f ca="1">IF(AND(ISNUMBER($U$1093),$B$677=1),$U$1093,HLOOKUP(INDIRECT(ADDRESS(2,COLUMN())),OFFSET($BN$2,0,0,ROW()-1,60),ROW()-1,FALSE))</f>
        <v/>
      </c>
      <c r="V430" t="str">
        <f ca="1">IF(AND(ISNUMBER($V$1093),$B$677=1),$V$1093,HLOOKUP(INDIRECT(ADDRESS(2,COLUMN())),OFFSET($BN$2,0,0,ROW()-1,60),ROW()-1,FALSE))</f>
        <v/>
      </c>
      <c r="W430" t="str">
        <f ca="1">IF(AND(ISNUMBER($W$1093),$B$677=1),$W$1093,HLOOKUP(INDIRECT(ADDRESS(2,COLUMN())),OFFSET($BN$2,0,0,ROW()-1,60),ROW()-1,FALSE))</f>
        <v/>
      </c>
      <c r="X430" t="str">
        <f ca="1">IF(AND(ISNUMBER($X$1093),$B$677=1),$X$1093,HLOOKUP(INDIRECT(ADDRESS(2,COLUMN())),OFFSET($BN$2,0,0,ROW()-1,60),ROW()-1,FALSE))</f>
        <v/>
      </c>
      <c r="Y430" t="str">
        <f ca="1">IF(AND(ISNUMBER($Y$1093),$B$677=1),$Y$1093,HLOOKUP(INDIRECT(ADDRESS(2,COLUMN())),OFFSET($BN$2,0,0,ROW()-1,60),ROW()-1,FALSE))</f>
        <v/>
      </c>
      <c r="Z430" t="str">
        <f ca="1">IF(AND(ISNUMBER($Z$1093),$B$677=1),$Z$1093,HLOOKUP(INDIRECT(ADDRESS(2,COLUMN())),OFFSET($BN$2,0,0,ROW()-1,60),ROW()-1,FALSE))</f>
        <v/>
      </c>
      <c r="AA430" t="str">
        <f ca="1">IF(AND(ISNUMBER($AA$1093),$B$677=1),$AA$1093,HLOOKUP(INDIRECT(ADDRESS(2,COLUMN())),OFFSET($BN$2,0,0,ROW()-1,60),ROW()-1,FALSE))</f>
        <v/>
      </c>
      <c r="AB430" t="str">
        <f ca="1">IF(AND(ISNUMBER($AB$1093),$B$677=1),$AB$1093,HLOOKUP(INDIRECT(ADDRESS(2,COLUMN())),OFFSET($BN$2,0,0,ROW()-1,60),ROW()-1,FALSE))</f>
        <v/>
      </c>
      <c r="AC430" t="str">
        <f ca="1">IF(AND(ISNUMBER($AC$1093),$B$677=1),$AC$1093,HLOOKUP(INDIRECT(ADDRESS(2,COLUMN())),OFFSET($BN$2,0,0,ROW()-1,60),ROW()-1,FALSE))</f>
        <v/>
      </c>
      <c r="AD430" t="str">
        <f ca="1">IF(AND(ISNUMBER($AD$1093),$B$677=1),$AD$1093,HLOOKUP(INDIRECT(ADDRESS(2,COLUMN())),OFFSET($BN$2,0,0,ROW()-1,60),ROW()-1,FALSE))</f>
        <v/>
      </c>
      <c r="AE430" t="str">
        <f ca="1">IF(AND(ISNUMBER($AE$1093),$B$677=1),$AE$1093,HLOOKUP(INDIRECT(ADDRESS(2,COLUMN())),OFFSET($BN$2,0,0,ROW()-1,60),ROW()-1,FALSE))</f>
        <v/>
      </c>
      <c r="AF430" t="str">
        <f ca="1">IF(AND(ISNUMBER($AF$1093),$B$677=1),$AF$1093,HLOOKUP(INDIRECT(ADDRESS(2,COLUMN())),OFFSET($BN$2,0,0,ROW()-1,60),ROW()-1,FALSE))</f>
        <v/>
      </c>
      <c r="AG430" t="str">
        <f ca="1">IF(AND(ISNUMBER($AG$1093),$B$677=1),$AG$1093,HLOOKUP(INDIRECT(ADDRESS(2,COLUMN())),OFFSET($BN$2,0,0,ROW()-1,60),ROW()-1,FALSE))</f>
        <v/>
      </c>
      <c r="AH430" t="str">
        <f ca="1">IF(AND(ISNUMBER($AH$1093),$B$677=1),$AH$1093,HLOOKUP(INDIRECT(ADDRESS(2,COLUMN())),OFFSET($BN$2,0,0,ROW()-1,60),ROW()-1,FALSE))</f>
        <v/>
      </c>
      <c r="AI430" t="str">
        <f ca="1">IF(AND(ISNUMBER($AI$1093),$B$677=1),$AI$1093,HLOOKUP(INDIRECT(ADDRESS(2,COLUMN())),OFFSET($BN$2,0,0,ROW()-1,60),ROW()-1,FALSE))</f>
        <v/>
      </c>
      <c r="AJ430" t="str">
        <f ca="1">IF(AND(ISNUMBER($AJ$1093),$B$677=1),$AJ$1093,HLOOKUP(INDIRECT(ADDRESS(2,COLUMN())),OFFSET($BN$2,0,0,ROW()-1,60),ROW()-1,FALSE))</f>
        <v/>
      </c>
      <c r="AK430" t="str">
        <f ca="1">IF(AND(ISNUMBER($AK$1093),$B$677=1),$AK$1093,HLOOKUP(INDIRECT(ADDRESS(2,COLUMN())),OFFSET($BN$2,0,0,ROW()-1,60),ROW()-1,FALSE))</f>
        <v/>
      </c>
      <c r="AL430" t="str">
        <f ca="1">IF(AND(ISNUMBER($AL$1093),$B$677=1),$AL$1093,HLOOKUP(INDIRECT(ADDRESS(2,COLUMN())),OFFSET($BN$2,0,0,ROW()-1,60),ROW()-1,FALSE))</f>
        <v/>
      </c>
      <c r="AM430" t="str">
        <f ca="1">IF(AND(ISNUMBER($AM$1093),$B$677=1),$AM$1093,HLOOKUP(INDIRECT(ADDRESS(2,COLUMN())),OFFSET($BN$2,0,0,ROW()-1,60),ROW()-1,FALSE))</f>
        <v/>
      </c>
      <c r="AN430" t="str">
        <f ca="1">IF(AND(ISNUMBER($AN$1093),$B$677=1),$AN$1093,HLOOKUP(INDIRECT(ADDRESS(2,COLUMN())),OFFSET($BN$2,0,0,ROW()-1,60),ROW()-1,FALSE))</f>
        <v/>
      </c>
      <c r="AO430" t="str">
        <f ca="1">IF(AND(ISNUMBER($AO$1093),$B$677=1),$AO$1093,HLOOKUP(INDIRECT(ADDRESS(2,COLUMN())),OFFSET($BN$2,0,0,ROW()-1,60),ROW()-1,FALSE))</f>
        <v/>
      </c>
      <c r="AP430" t="str">
        <f ca="1">IF(AND(ISNUMBER($AP$1093),$B$677=1),$AP$1093,HLOOKUP(INDIRECT(ADDRESS(2,COLUMN())),OFFSET($BN$2,0,0,ROW()-1,60),ROW()-1,FALSE))</f>
        <v/>
      </c>
      <c r="AQ430" t="str">
        <f ca="1">IF(AND(ISNUMBER($AQ$1093),$B$677=1),$AQ$1093,HLOOKUP(INDIRECT(ADDRESS(2,COLUMN())),OFFSET($BN$2,0,0,ROW()-1,60),ROW()-1,FALSE))</f>
        <v/>
      </c>
      <c r="AR430" t="str">
        <f ca="1">IF(AND(ISNUMBER($AR$1093),$B$677=1),$AR$1093,HLOOKUP(INDIRECT(ADDRESS(2,COLUMN())),OFFSET($BN$2,0,0,ROW()-1,60),ROW()-1,FALSE))</f>
        <v/>
      </c>
      <c r="AS430" t="str">
        <f ca="1">IF(AND(ISNUMBER($AS$1093),$B$677=1),$AS$1093,HLOOKUP(INDIRECT(ADDRESS(2,COLUMN())),OFFSET($BN$2,0,0,ROW()-1,60),ROW()-1,FALSE))</f>
        <v/>
      </c>
      <c r="AT430" t="str">
        <f ca="1">IF(AND(ISNUMBER($AT$1093),$B$677=1),$AT$1093,HLOOKUP(INDIRECT(ADDRESS(2,COLUMN())),OFFSET($BN$2,0,0,ROW()-1,60),ROW()-1,FALSE))</f>
        <v/>
      </c>
      <c r="AU430" t="str">
        <f ca="1">IF(AND(ISNUMBER($AU$1093),$B$677=1),$AU$1093,HLOOKUP(INDIRECT(ADDRESS(2,COLUMN())),OFFSET($BN$2,0,0,ROW()-1,60),ROW()-1,FALSE))</f>
        <v/>
      </c>
      <c r="AV430" t="str">
        <f ca="1">IF(AND(ISNUMBER($AV$1093),$B$677=1),$AV$1093,HLOOKUP(INDIRECT(ADDRESS(2,COLUMN())),OFFSET($BN$2,0,0,ROW()-1,60),ROW()-1,FALSE))</f>
        <v/>
      </c>
      <c r="AW430" t="str">
        <f ca="1">IF(AND(ISNUMBER($AW$1093),$B$677=1),$AW$1093,HLOOKUP(INDIRECT(ADDRESS(2,COLUMN())),OFFSET($BN$2,0,0,ROW()-1,60),ROW()-1,FALSE))</f>
        <v/>
      </c>
      <c r="AX430" t="str">
        <f ca="1">IF(AND(ISNUMBER($AX$1093),$B$677=1),$AX$1093,HLOOKUP(INDIRECT(ADDRESS(2,COLUMN())),OFFSET($BN$2,0,0,ROW()-1,60),ROW()-1,FALSE))</f>
        <v/>
      </c>
      <c r="AY430" t="str">
        <f ca="1">IF(AND(ISNUMBER($AY$1093),$B$677=1),$AY$1093,HLOOKUP(INDIRECT(ADDRESS(2,COLUMN())),OFFSET($BN$2,0,0,ROW()-1,60),ROW()-1,FALSE))</f>
        <v/>
      </c>
      <c r="AZ430" t="str">
        <f ca="1">IF(AND(ISNUMBER($AZ$1093),$B$677=1),$AZ$1093,HLOOKUP(INDIRECT(ADDRESS(2,COLUMN())),OFFSET($BN$2,0,0,ROW()-1,60),ROW()-1,FALSE))</f>
        <v/>
      </c>
      <c r="BA430" t="str">
        <f ca="1">IF(AND(ISNUMBER($BA$1093),$B$677=1),$BA$1093,HLOOKUP(INDIRECT(ADDRESS(2,COLUMN())),OFFSET($BN$2,0,0,ROW()-1,60),ROW()-1,FALSE))</f>
        <v/>
      </c>
      <c r="BB430" t="str">
        <f ca="1">IF(AND(ISNUMBER($BB$1093),$B$677=1),$BB$1093,HLOOKUP(INDIRECT(ADDRESS(2,COLUMN())),OFFSET($BN$2,0,0,ROW()-1,60),ROW()-1,FALSE))</f>
        <v/>
      </c>
      <c r="BC430" t="str">
        <f ca="1">IF(AND(ISNUMBER($BC$1093),$B$677=1),$BC$1093,HLOOKUP(INDIRECT(ADDRESS(2,COLUMN())),OFFSET($BN$2,0,0,ROW()-1,60),ROW()-1,FALSE))</f>
        <v/>
      </c>
      <c r="BD430" t="str">
        <f ca="1">IF(AND(ISNUMBER($BD$1093),$B$677=1),$BD$1093,HLOOKUP(INDIRECT(ADDRESS(2,COLUMN())),OFFSET($BN$2,0,0,ROW()-1,60),ROW()-1,FALSE))</f>
        <v/>
      </c>
      <c r="BE430" t="str">
        <f ca="1">IF(AND(ISNUMBER($BE$1093),$B$677=1),$BE$1093,HLOOKUP(INDIRECT(ADDRESS(2,COLUMN())),OFFSET($BN$2,0,0,ROW()-1,60),ROW()-1,FALSE))</f>
        <v/>
      </c>
      <c r="BF430" t="str">
        <f ca="1">IF(AND(ISNUMBER($BF$1093),$B$677=1),$BF$1093,HLOOKUP(INDIRECT(ADDRESS(2,COLUMN())),OFFSET($BN$2,0,0,ROW()-1,60),ROW()-1,FALSE))</f>
        <v/>
      </c>
      <c r="BG430" t="str">
        <f ca="1">IF(AND(ISNUMBER($BG$1093),$B$677=1),$BG$1093,HLOOKUP(INDIRECT(ADDRESS(2,COLUMN())),OFFSET($BN$2,0,0,ROW()-1,60),ROW()-1,FALSE))</f>
        <v/>
      </c>
      <c r="BH430" t="str">
        <f ca="1">IF(AND(ISNUMBER($BH$1093),$B$677=1),$BH$1093,HLOOKUP(INDIRECT(ADDRESS(2,COLUMN())),OFFSET($BN$2,0,0,ROW()-1,60),ROW()-1,FALSE))</f>
        <v/>
      </c>
      <c r="BI430" t="str">
        <f ca="1">IF(AND(ISNUMBER($BI$1093),$B$677=1),$BI$1093,HLOOKUP(INDIRECT(ADDRESS(2,COLUMN())),OFFSET($BN$2,0,0,ROW()-1,60),ROW()-1,FALSE))</f>
        <v/>
      </c>
      <c r="BJ430" t="str">
        <f ca="1">IF(AND(ISNUMBER($BJ$1093),$B$677=1),$BJ$1093,HLOOKUP(INDIRECT(ADDRESS(2,COLUMN())),OFFSET($BN$2,0,0,ROW()-1,60),ROW()-1,FALSE))</f>
        <v/>
      </c>
      <c r="BK430" t="str">
        <f ca="1">IF(AND(ISNUMBER($BK$1093),$B$677=1),$BK$1093,HLOOKUP(INDIRECT(ADDRESS(2,COLUMN())),OFFSET($BN$2,0,0,ROW()-1,60),ROW()-1,FALSE))</f>
        <v/>
      </c>
      <c r="BL430" t="str">
        <f ca="1">IF(AND(ISNUMBER($BL$1093),$B$677=1),$BL$1093,HLOOKUP(INDIRECT(ADDRESS(2,COLUMN())),OFFSET($BN$2,0,0,ROW()-1,60),ROW()-1,FALSE))</f>
        <v/>
      </c>
      <c r="BM430" t="str">
        <f ca="1">IF(AND(ISNUMBER($BM$1093),$B$677=1),$BM$1093,HLOOKUP(INDIRECT(ADDRESS(2,COLUMN())),OFFSET($BN$2,0,0,ROW()-1,60),ROW()-1,FALSE))</f>
        <v/>
      </c>
      <c r="BN430" t="str">
        <f>""</f>
        <v/>
      </c>
      <c r="BO430" t="str">
        <f>""</f>
        <v/>
      </c>
      <c r="BP430" t="str">
        <f>""</f>
        <v/>
      </c>
      <c r="BQ430" t="str">
        <f>""</f>
        <v/>
      </c>
      <c r="BR430" t="str">
        <f>""</f>
        <v/>
      </c>
      <c r="BS430" t="str">
        <f>""</f>
        <v/>
      </c>
      <c r="BT430" t="str">
        <f>""</f>
        <v/>
      </c>
      <c r="BU430" t="str">
        <f>""</f>
        <v/>
      </c>
      <c r="BV430" t="str">
        <f>""</f>
        <v/>
      </c>
      <c r="BW430" t="str">
        <f>""</f>
        <v/>
      </c>
      <c r="BX430" t="str">
        <f>""</f>
        <v/>
      </c>
      <c r="BY430" t="str">
        <f>""</f>
        <v/>
      </c>
      <c r="BZ430" t="str">
        <f>""</f>
        <v/>
      </c>
      <c r="CA430" t="str">
        <f>""</f>
        <v/>
      </c>
      <c r="CB430" t="str">
        <f>""</f>
        <v/>
      </c>
      <c r="CC430" t="str">
        <f>""</f>
        <v/>
      </c>
      <c r="CD430" t="str">
        <f>""</f>
        <v/>
      </c>
      <c r="CE430" t="str">
        <f>""</f>
        <v/>
      </c>
      <c r="CF430" t="str">
        <f>""</f>
        <v/>
      </c>
      <c r="CG430" t="str">
        <f>""</f>
        <v/>
      </c>
      <c r="CH430" t="str">
        <f>""</f>
        <v/>
      </c>
      <c r="CI430" t="str">
        <f>""</f>
        <v/>
      </c>
      <c r="CJ430" t="str">
        <f>""</f>
        <v/>
      </c>
      <c r="CK430" t="str">
        <f>""</f>
        <v/>
      </c>
      <c r="CL430" t="str">
        <f>""</f>
        <v/>
      </c>
      <c r="CM430" t="str">
        <f>""</f>
        <v/>
      </c>
      <c r="CN430" t="str">
        <f>""</f>
        <v/>
      </c>
      <c r="CO430" t="str">
        <f>""</f>
        <v/>
      </c>
      <c r="CP430" t="str">
        <f>""</f>
        <v/>
      </c>
      <c r="CQ430" t="str">
        <f>""</f>
        <v/>
      </c>
      <c r="CR430" t="str">
        <f>""</f>
        <v/>
      </c>
      <c r="CS430" t="str">
        <f>""</f>
        <v/>
      </c>
      <c r="CT430" t="str">
        <f>""</f>
        <v/>
      </c>
      <c r="CU430" t="str">
        <f>""</f>
        <v/>
      </c>
      <c r="CV430" t="str">
        <f>""</f>
        <v/>
      </c>
      <c r="CW430" t="str">
        <f>""</f>
        <v/>
      </c>
      <c r="CX430" t="str">
        <f>""</f>
        <v/>
      </c>
      <c r="CY430" t="str">
        <f>""</f>
        <v/>
      </c>
      <c r="CZ430" t="str">
        <f>""</f>
        <v/>
      </c>
      <c r="DA430" t="str">
        <f>""</f>
        <v/>
      </c>
      <c r="DB430" t="str">
        <f>""</f>
        <v/>
      </c>
      <c r="DC430" t="str">
        <f>""</f>
        <v/>
      </c>
      <c r="DD430" t="str">
        <f>""</f>
        <v/>
      </c>
      <c r="DE430" t="str">
        <f>""</f>
        <v/>
      </c>
      <c r="DF430" t="str">
        <f>""</f>
        <v/>
      </c>
      <c r="DG430" t="str">
        <f>""</f>
        <v/>
      </c>
      <c r="DH430" t="str">
        <f>""</f>
        <v/>
      </c>
      <c r="DI430" t="str">
        <f>""</f>
        <v/>
      </c>
      <c r="DJ430" t="str">
        <f>""</f>
        <v/>
      </c>
      <c r="DK430" t="str">
        <f>""</f>
        <v/>
      </c>
      <c r="DL430" t="str">
        <f>""</f>
        <v/>
      </c>
      <c r="DM430" t="str">
        <f>""</f>
        <v/>
      </c>
      <c r="DN430" t="str">
        <f>""</f>
        <v/>
      </c>
      <c r="DO430" t="str">
        <f>""</f>
        <v/>
      </c>
      <c r="DP430" t="str">
        <f>""</f>
        <v/>
      </c>
      <c r="DQ430" t="str">
        <f>""</f>
        <v/>
      </c>
      <c r="DR430" t="str">
        <f>""</f>
        <v/>
      </c>
      <c r="DS430" t="str">
        <f>""</f>
        <v/>
      </c>
      <c r="DT430" t="str">
        <f>""</f>
        <v/>
      </c>
      <c r="DU430" t="str">
        <f>""</f>
        <v/>
      </c>
    </row>
    <row r="431" spans="1:125" x14ac:dyDescent="0.25">
      <c r="A431" t="str">
        <f>"    Geely Automobile Holdings Ltd"</f>
        <v xml:space="preserve">    Geely Automobile Holdings Ltd</v>
      </c>
      <c r="B431" t="str">
        <f>"175 HK Equity"</f>
        <v>175 HK Equity</v>
      </c>
      <c r="C431" t="str">
        <f t="shared" si="30"/>
        <v>RR477</v>
      </c>
      <c r="D431" t="str">
        <f t="shared" si="31"/>
        <v>EV_TO_T12M_CASH_FLOW</v>
      </c>
      <c r="E431" t="str">
        <f t="shared" si="32"/>
        <v>Dynamic</v>
      </c>
      <c r="F431" t="str">
        <f ca="1">IF(AND(ISNUMBER($F$1094),$B$677=1),$F$1094,HLOOKUP(INDIRECT(ADDRESS(2,COLUMN())),OFFSET($BN$2,0,0,ROW()-1,60),ROW()-1,FALSE))</f>
        <v/>
      </c>
      <c r="G431" t="str">
        <f ca="1">IF(AND(ISNUMBER($G$1094),$B$677=1),$G$1094,HLOOKUP(INDIRECT(ADDRESS(2,COLUMN())),OFFSET($BN$2,0,0,ROW()-1,60),ROW()-1,FALSE))</f>
        <v/>
      </c>
      <c r="H431" t="str">
        <f ca="1">IF(AND(ISNUMBER($H$1094),$B$677=1),$H$1094,HLOOKUP(INDIRECT(ADDRESS(2,COLUMN())),OFFSET($BN$2,0,0,ROW()-1,60),ROW()-1,FALSE))</f>
        <v/>
      </c>
      <c r="I431" t="str">
        <f ca="1">IF(AND(ISNUMBER($I$1094),$B$677=1),$I$1094,HLOOKUP(INDIRECT(ADDRESS(2,COLUMN())),OFFSET($BN$2,0,0,ROW()-1,60),ROW()-1,FALSE))</f>
        <v/>
      </c>
      <c r="J431" t="str">
        <f ca="1">IF(AND(ISNUMBER($J$1094),$B$677=1),$J$1094,HLOOKUP(INDIRECT(ADDRESS(2,COLUMN())),OFFSET($BN$2,0,0,ROW()-1,60),ROW()-1,FALSE))</f>
        <v/>
      </c>
      <c r="K431" t="str">
        <f ca="1">IF(AND(ISNUMBER($K$1094),$B$677=1),$K$1094,HLOOKUP(INDIRECT(ADDRESS(2,COLUMN())),OFFSET($BN$2,0,0,ROW()-1,60),ROW()-1,FALSE))</f>
        <v/>
      </c>
      <c r="L431" t="str">
        <f ca="1">IF(AND(ISNUMBER($L$1094),$B$677=1),$L$1094,HLOOKUP(INDIRECT(ADDRESS(2,COLUMN())),OFFSET($BN$2,0,0,ROW()-1,60),ROW()-1,FALSE))</f>
        <v/>
      </c>
      <c r="M431" t="str">
        <f ca="1">IF(AND(ISNUMBER($M$1094),$B$677=1),$M$1094,HLOOKUP(INDIRECT(ADDRESS(2,COLUMN())),OFFSET($BN$2,0,0,ROW()-1,60),ROW()-1,FALSE))</f>
        <v/>
      </c>
      <c r="N431" t="str">
        <f ca="1">IF(AND(ISNUMBER($N$1094),$B$677=1),$N$1094,HLOOKUP(INDIRECT(ADDRESS(2,COLUMN())),OFFSET($BN$2,0,0,ROW()-1,60),ROW()-1,FALSE))</f>
        <v/>
      </c>
      <c r="O431" t="str">
        <f ca="1">IF(AND(ISNUMBER($O$1094),$B$677=1),$O$1094,HLOOKUP(INDIRECT(ADDRESS(2,COLUMN())),OFFSET($BN$2,0,0,ROW()-1,60),ROW()-1,FALSE))</f>
        <v/>
      </c>
      <c r="P431" t="str">
        <f ca="1">IF(AND(ISNUMBER($P$1094),$B$677=1),$P$1094,HLOOKUP(INDIRECT(ADDRESS(2,COLUMN())),OFFSET($BN$2,0,0,ROW()-1,60),ROW()-1,FALSE))</f>
        <v/>
      </c>
      <c r="Q431" t="str">
        <f ca="1">IF(AND(ISNUMBER($Q$1094),$B$677=1),$Q$1094,HLOOKUP(INDIRECT(ADDRESS(2,COLUMN())),OFFSET($BN$2,0,0,ROW()-1,60),ROW()-1,FALSE))</f>
        <v/>
      </c>
      <c r="R431" t="str">
        <f ca="1">IF(AND(ISNUMBER($R$1094),$B$677=1),$R$1094,HLOOKUP(INDIRECT(ADDRESS(2,COLUMN())),OFFSET($BN$2,0,0,ROW()-1,60),ROW()-1,FALSE))</f>
        <v/>
      </c>
      <c r="S431" t="str">
        <f ca="1">IF(AND(ISNUMBER($S$1094),$B$677=1),$S$1094,HLOOKUP(INDIRECT(ADDRESS(2,COLUMN())),OFFSET($BN$2,0,0,ROW()-1,60),ROW()-1,FALSE))</f>
        <v/>
      </c>
      <c r="T431" t="str">
        <f ca="1">IF(AND(ISNUMBER($T$1094),$B$677=1),$T$1094,HLOOKUP(INDIRECT(ADDRESS(2,COLUMN())),OFFSET($BN$2,0,0,ROW()-1,60),ROW()-1,FALSE))</f>
        <v/>
      </c>
      <c r="U431" t="str">
        <f ca="1">IF(AND(ISNUMBER($U$1094),$B$677=1),$U$1094,HLOOKUP(INDIRECT(ADDRESS(2,COLUMN())),OFFSET($BN$2,0,0,ROW()-1,60),ROW()-1,FALSE))</f>
        <v/>
      </c>
      <c r="V431" t="str">
        <f ca="1">IF(AND(ISNUMBER($V$1094),$B$677=1),$V$1094,HLOOKUP(INDIRECT(ADDRESS(2,COLUMN())),OFFSET($BN$2,0,0,ROW()-1,60),ROW()-1,FALSE))</f>
        <v/>
      </c>
      <c r="W431" t="str">
        <f ca="1">IF(AND(ISNUMBER($W$1094),$B$677=1),$W$1094,HLOOKUP(INDIRECT(ADDRESS(2,COLUMN())),OFFSET($BN$2,0,0,ROW()-1,60),ROW()-1,FALSE))</f>
        <v/>
      </c>
      <c r="X431" t="str">
        <f ca="1">IF(AND(ISNUMBER($X$1094),$B$677=1),$X$1094,HLOOKUP(INDIRECT(ADDRESS(2,COLUMN())),OFFSET($BN$2,0,0,ROW()-1,60),ROW()-1,FALSE))</f>
        <v/>
      </c>
      <c r="Y431" t="str">
        <f ca="1">IF(AND(ISNUMBER($Y$1094),$B$677=1),$Y$1094,HLOOKUP(INDIRECT(ADDRESS(2,COLUMN())),OFFSET($BN$2,0,0,ROW()-1,60),ROW()-1,FALSE))</f>
        <v/>
      </c>
      <c r="Z431" t="str">
        <f ca="1">IF(AND(ISNUMBER($Z$1094),$B$677=1),$Z$1094,HLOOKUP(INDIRECT(ADDRESS(2,COLUMN())),OFFSET($BN$2,0,0,ROW()-1,60),ROW()-1,FALSE))</f>
        <v/>
      </c>
      <c r="AA431" t="str">
        <f ca="1">IF(AND(ISNUMBER($AA$1094),$B$677=1),$AA$1094,HLOOKUP(INDIRECT(ADDRESS(2,COLUMN())),OFFSET($BN$2,0,0,ROW()-1,60),ROW()-1,FALSE))</f>
        <v/>
      </c>
      <c r="AB431" t="str">
        <f ca="1">IF(AND(ISNUMBER($AB$1094),$B$677=1),$AB$1094,HLOOKUP(INDIRECT(ADDRESS(2,COLUMN())),OFFSET($BN$2,0,0,ROW()-1,60),ROW()-1,FALSE))</f>
        <v/>
      </c>
      <c r="AC431" t="str">
        <f ca="1">IF(AND(ISNUMBER($AC$1094),$B$677=1),$AC$1094,HLOOKUP(INDIRECT(ADDRESS(2,COLUMN())),OFFSET($BN$2,0,0,ROW()-1,60),ROW()-1,FALSE))</f>
        <v/>
      </c>
      <c r="AD431" t="str">
        <f ca="1">IF(AND(ISNUMBER($AD$1094),$B$677=1),$AD$1094,HLOOKUP(INDIRECT(ADDRESS(2,COLUMN())),OFFSET($BN$2,0,0,ROW()-1,60),ROW()-1,FALSE))</f>
        <v/>
      </c>
      <c r="AE431" t="str">
        <f ca="1">IF(AND(ISNUMBER($AE$1094),$B$677=1),$AE$1094,HLOOKUP(INDIRECT(ADDRESS(2,COLUMN())),OFFSET($BN$2,0,0,ROW()-1,60),ROW()-1,FALSE))</f>
        <v/>
      </c>
      <c r="AF431" t="str">
        <f ca="1">IF(AND(ISNUMBER($AF$1094),$B$677=1),$AF$1094,HLOOKUP(INDIRECT(ADDRESS(2,COLUMN())),OFFSET($BN$2,0,0,ROW()-1,60),ROW()-1,FALSE))</f>
        <v/>
      </c>
      <c r="AG431" t="str">
        <f ca="1">IF(AND(ISNUMBER($AG$1094),$B$677=1),$AG$1094,HLOOKUP(INDIRECT(ADDRESS(2,COLUMN())),OFFSET($BN$2,0,0,ROW()-1,60),ROW()-1,FALSE))</f>
        <v/>
      </c>
      <c r="AH431" t="str">
        <f ca="1">IF(AND(ISNUMBER($AH$1094),$B$677=1),$AH$1094,HLOOKUP(INDIRECT(ADDRESS(2,COLUMN())),OFFSET($BN$2,0,0,ROW()-1,60),ROW()-1,FALSE))</f>
        <v/>
      </c>
      <c r="AI431" t="str">
        <f ca="1">IF(AND(ISNUMBER($AI$1094),$B$677=1),$AI$1094,HLOOKUP(INDIRECT(ADDRESS(2,COLUMN())),OFFSET($BN$2,0,0,ROW()-1,60),ROW()-1,FALSE))</f>
        <v/>
      </c>
      <c r="AJ431" t="str">
        <f ca="1">IF(AND(ISNUMBER($AJ$1094),$B$677=1),$AJ$1094,HLOOKUP(INDIRECT(ADDRESS(2,COLUMN())),OFFSET($BN$2,0,0,ROW()-1,60),ROW()-1,FALSE))</f>
        <v/>
      </c>
      <c r="AK431" t="str">
        <f ca="1">IF(AND(ISNUMBER($AK$1094),$B$677=1),$AK$1094,HLOOKUP(INDIRECT(ADDRESS(2,COLUMN())),OFFSET($BN$2,0,0,ROW()-1,60),ROW()-1,FALSE))</f>
        <v/>
      </c>
      <c r="AL431" t="str">
        <f ca="1">IF(AND(ISNUMBER($AL$1094),$B$677=1),$AL$1094,HLOOKUP(INDIRECT(ADDRESS(2,COLUMN())),OFFSET($BN$2,0,0,ROW()-1,60),ROW()-1,FALSE))</f>
        <v/>
      </c>
      <c r="AM431" t="str">
        <f ca="1">IF(AND(ISNUMBER($AM$1094),$B$677=1),$AM$1094,HLOOKUP(INDIRECT(ADDRESS(2,COLUMN())),OFFSET($BN$2,0,0,ROW()-1,60),ROW()-1,FALSE))</f>
        <v/>
      </c>
      <c r="AN431" t="str">
        <f ca="1">IF(AND(ISNUMBER($AN$1094),$B$677=1),$AN$1094,HLOOKUP(INDIRECT(ADDRESS(2,COLUMN())),OFFSET($BN$2,0,0,ROW()-1,60),ROW()-1,FALSE))</f>
        <v/>
      </c>
      <c r="AO431" t="str">
        <f ca="1">IF(AND(ISNUMBER($AO$1094),$B$677=1),$AO$1094,HLOOKUP(INDIRECT(ADDRESS(2,COLUMN())),OFFSET($BN$2,0,0,ROW()-1,60),ROW()-1,FALSE))</f>
        <v/>
      </c>
      <c r="AP431" t="str">
        <f ca="1">IF(AND(ISNUMBER($AP$1094),$B$677=1),$AP$1094,HLOOKUP(INDIRECT(ADDRESS(2,COLUMN())),OFFSET($BN$2,0,0,ROW()-1,60),ROW()-1,FALSE))</f>
        <v/>
      </c>
      <c r="AQ431" t="str">
        <f ca="1">IF(AND(ISNUMBER($AQ$1094),$B$677=1),$AQ$1094,HLOOKUP(INDIRECT(ADDRESS(2,COLUMN())),OFFSET($BN$2,0,0,ROW()-1,60),ROW()-1,FALSE))</f>
        <v/>
      </c>
      <c r="AR431" t="str">
        <f ca="1">IF(AND(ISNUMBER($AR$1094),$B$677=1),$AR$1094,HLOOKUP(INDIRECT(ADDRESS(2,COLUMN())),OFFSET($BN$2,0,0,ROW()-1,60),ROW()-1,FALSE))</f>
        <v/>
      </c>
      <c r="AS431" t="str">
        <f ca="1">IF(AND(ISNUMBER($AS$1094),$B$677=1),$AS$1094,HLOOKUP(INDIRECT(ADDRESS(2,COLUMN())),OFFSET($BN$2,0,0,ROW()-1,60),ROW()-1,FALSE))</f>
        <v/>
      </c>
      <c r="AT431" t="str">
        <f ca="1">IF(AND(ISNUMBER($AT$1094),$B$677=1),$AT$1094,HLOOKUP(INDIRECT(ADDRESS(2,COLUMN())),OFFSET($BN$2,0,0,ROW()-1,60),ROW()-1,FALSE))</f>
        <v/>
      </c>
      <c r="AU431" t="str">
        <f ca="1">IF(AND(ISNUMBER($AU$1094),$B$677=1),$AU$1094,HLOOKUP(INDIRECT(ADDRESS(2,COLUMN())),OFFSET($BN$2,0,0,ROW()-1,60),ROW()-1,FALSE))</f>
        <v/>
      </c>
      <c r="AV431" t="str">
        <f ca="1">IF(AND(ISNUMBER($AV$1094),$B$677=1),$AV$1094,HLOOKUP(INDIRECT(ADDRESS(2,COLUMN())),OFFSET($BN$2,0,0,ROW()-1,60),ROW()-1,FALSE))</f>
        <v/>
      </c>
      <c r="AW431" t="str">
        <f ca="1">IF(AND(ISNUMBER($AW$1094),$B$677=1),$AW$1094,HLOOKUP(INDIRECT(ADDRESS(2,COLUMN())),OFFSET($BN$2,0,0,ROW()-1,60),ROW()-1,FALSE))</f>
        <v/>
      </c>
      <c r="AX431" t="str">
        <f ca="1">IF(AND(ISNUMBER($AX$1094),$B$677=1),$AX$1094,HLOOKUP(INDIRECT(ADDRESS(2,COLUMN())),OFFSET($BN$2,0,0,ROW()-1,60),ROW()-1,FALSE))</f>
        <v/>
      </c>
      <c r="AY431" t="str">
        <f ca="1">IF(AND(ISNUMBER($AY$1094),$B$677=1),$AY$1094,HLOOKUP(INDIRECT(ADDRESS(2,COLUMN())),OFFSET($BN$2,0,0,ROW()-1,60),ROW()-1,FALSE))</f>
        <v/>
      </c>
      <c r="AZ431" t="str">
        <f ca="1">IF(AND(ISNUMBER($AZ$1094),$B$677=1),$AZ$1094,HLOOKUP(INDIRECT(ADDRESS(2,COLUMN())),OFFSET($BN$2,0,0,ROW()-1,60),ROW()-1,FALSE))</f>
        <v/>
      </c>
      <c r="BA431" t="str">
        <f ca="1">IF(AND(ISNUMBER($BA$1094),$B$677=1),$BA$1094,HLOOKUP(INDIRECT(ADDRESS(2,COLUMN())),OFFSET($BN$2,0,0,ROW()-1,60),ROW()-1,FALSE))</f>
        <v/>
      </c>
      <c r="BB431" t="str">
        <f ca="1">IF(AND(ISNUMBER($BB$1094),$B$677=1),$BB$1094,HLOOKUP(INDIRECT(ADDRESS(2,COLUMN())),OFFSET($BN$2,0,0,ROW()-1,60),ROW()-1,FALSE))</f>
        <v/>
      </c>
      <c r="BC431" t="str">
        <f ca="1">IF(AND(ISNUMBER($BC$1094),$B$677=1),$BC$1094,HLOOKUP(INDIRECT(ADDRESS(2,COLUMN())),OFFSET($BN$2,0,0,ROW()-1,60),ROW()-1,FALSE))</f>
        <v/>
      </c>
      <c r="BD431" t="str">
        <f ca="1">IF(AND(ISNUMBER($BD$1094),$B$677=1),$BD$1094,HLOOKUP(INDIRECT(ADDRESS(2,COLUMN())),OFFSET($BN$2,0,0,ROW()-1,60),ROW()-1,FALSE))</f>
        <v/>
      </c>
      <c r="BE431" t="str">
        <f ca="1">IF(AND(ISNUMBER($BE$1094),$B$677=1),$BE$1094,HLOOKUP(INDIRECT(ADDRESS(2,COLUMN())),OFFSET($BN$2,0,0,ROW()-1,60),ROW()-1,FALSE))</f>
        <v/>
      </c>
      <c r="BF431" t="str">
        <f ca="1">IF(AND(ISNUMBER($BF$1094),$B$677=1),$BF$1094,HLOOKUP(INDIRECT(ADDRESS(2,COLUMN())),OFFSET($BN$2,0,0,ROW()-1,60),ROW()-1,FALSE))</f>
        <v/>
      </c>
      <c r="BG431" t="str">
        <f ca="1">IF(AND(ISNUMBER($BG$1094),$B$677=1),$BG$1094,HLOOKUP(INDIRECT(ADDRESS(2,COLUMN())),OFFSET($BN$2,0,0,ROW()-1,60),ROW()-1,FALSE))</f>
        <v/>
      </c>
      <c r="BH431" t="str">
        <f ca="1">IF(AND(ISNUMBER($BH$1094),$B$677=1),$BH$1094,HLOOKUP(INDIRECT(ADDRESS(2,COLUMN())),OFFSET($BN$2,0,0,ROW()-1,60),ROW()-1,FALSE))</f>
        <v/>
      </c>
      <c r="BI431" t="str">
        <f ca="1">IF(AND(ISNUMBER($BI$1094),$B$677=1),$BI$1094,HLOOKUP(INDIRECT(ADDRESS(2,COLUMN())),OFFSET($BN$2,0,0,ROW()-1,60),ROW()-1,FALSE))</f>
        <v/>
      </c>
      <c r="BJ431" t="str">
        <f ca="1">IF(AND(ISNUMBER($BJ$1094),$B$677=1),$BJ$1094,HLOOKUP(INDIRECT(ADDRESS(2,COLUMN())),OFFSET($BN$2,0,0,ROW()-1,60),ROW()-1,FALSE))</f>
        <v/>
      </c>
      <c r="BK431" t="str">
        <f ca="1">IF(AND(ISNUMBER($BK$1094),$B$677=1),$BK$1094,HLOOKUP(INDIRECT(ADDRESS(2,COLUMN())),OFFSET($BN$2,0,0,ROW()-1,60),ROW()-1,FALSE))</f>
        <v/>
      </c>
      <c r="BL431" t="str">
        <f ca="1">IF(AND(ISNUMBER($BL$1094),$B$677=1),$BL$1094,HLOOKUP(INDIRECT(ADDRESS(2,COLUMN())),OFFSET($BN$2,0,0,ROW()-1,60),ROW()-1,FALSE))</f>
        <v/>
      </c>
      <c r="BM431" t="str">
        <f ca="1">IF(AND(ISNUMBER($BM$1094),$B$677=1),$BM$1094,HLOOKUP(INDIRECT(ADDRESS(2,COLUMN())),OFFSET($BN$2,0,0,ROW()-1,60),ROW()-1,FALSE))</f>
        <v/>
      </c>
      <c r="BN431" t="str">
        <f>""</f>
        <v/>
      </c>
      <c r="BO431" t="str">
        <f>""</f>
        <v/>
      </c>
      <c r="BP431" t="str">
        <f>""</f>
        <v/>
      </c>
      <c r="BQ431" t="str">
        <f>""</f>
        <v/>
      </c>
      <c r="BR431" t="str">
        <f>""</f>
        <v/>
      </c>
      <c r="BS431" t="str">
        <f>""</f>
        <v/>
      </c>
      <c r="BT431" t="str">
        <f>""</f>
        <v/>
      </c>
      <c r="BU431" t="str">
        <f>""</f>
        <v/>
      </c>
      <c r="BV431" t="str">
        <f>""</f>
        <v/>
      </c>
      <c r="BW431" t="str">
        <f>""</f>
        <v/>
      </c>
      <c r="BX431" t="str">
        <f>""</f>
        <v/>
      </c>
      <c r="BY431" t="str">
        <f>""</f>
        <v/>
      </c>
      <c r="BZ431" t="str">
        <f>""</f>
        <v/>
      </c>
      <c r="CA431" t="str">
        <f>""</f>
        <v/>
      </c>
      <c r="CB431" t="str">
        <f>""</f>
        <v/>
      </c>
      <c r="CC431" t="str">
        <f>""</f>
        <v/>
      </c>
      <c r="CD431" t="str">
        <f>""</f>
        <v/>
      </c>
      <c r="CE431" t="str">
        <f>""</f>
        <v/>
      </c>
      <c r="CF431" t="str">
        <f>""</f>
        <v/>
      </c>
      <c r="CG431" t="str">
        <f>""</f>
        <v/>
      </c>
      <c r="CH431" t="str">
        <f>""</f>
        <v/>
      </c>
      <c r="CI431" t="str">
        <f>""</f>
        <v/>
      </c>
      <c r="CJ431" t="str">
        <f>""</f>
        <v/>
      </c>
      <c r="CK431" t="str">
        <f>""</f>
        <v/>
      </c>
      <c r="CL431" t="str">
        <f>""</f>
        <v/>
      </c>
      <c r="CM431" t="str">
        <f>""</f>
        <v/>
      </c>
      <c r="CN431" t="str">
        <f>""</f>
        <v/>
      </c>
      <c r="CO431" t="str">
        <f>""</f>
        <v/>
      </c>
      <c r="CP431" t="str">
        <f>""</f>
        <v/>
      </c>
      <c r="CQ431" t="str">
        <f>""</f>
        <v/>
      </c>
      <c r="CR431" t="str">
        <f>""</f>
        <v/>
      </c>
      <c r="CS431" t="str">
        <f>""</f>
        <v/>
      </c>
      <c r="CT431" t="str">
        <f>""</f>
        <v/>
      </c>
      <c r="CU431" t="str">
        <f>""</f>
        <v/>
      </c>
      <c r="CV431" t="str">
        <f>""</f>
        <v/>
      </c>
      <c r="CW431" t="str">
        <f>""</f>
        <v/>
      </c>
      <c r="CX431" t="str">
        <f>""</f>
        <v/>
      </c>
      <c r="CY431" t="str">
        <f>""</f>
        <v/>
      </c>
      <c r="CZ431" t="str">
        <f>""</f>
        <v/>
      </c>
      <c r="DA431" t="str">
        <f>""</f>
        <v/>
      </c>
      <c r="DB431" t="str">
        <f>""</f>
        <v/>
      </c>
      <c r="DC431" t="str">
        <f>""</f>
        <v/>
      </c>
      <c r="DD431" t="str">
        <f>""</f>
        <v/>
      </c>
      <c r="DE431" t="str">
        <f>""</f>
        <v/>
      </c>
      <c r="DF431" t="str">
        <f>""</f>
        <v/>
      </c>
      <c r="DG431" t="str">
        <f>""</f>
        <v/>
      </c>
      <c r="DH431" t="str">
        <f>""</f>
        <v/>
      </c>
      <c r="DI431" t="str">
        <f>""</f>
        <v/>
      </c>
      <c r="DJ431" t="str">
        <f>""</f>
        <v/>
      </c>
      <c r="DK431" t="str">
        <f>""</f>
        <v/>
      </c>
      <c r="DL431" t="str">
        <f>""</f>
        <v/>
      </c>
      <c r="DM431" t="str">
        <f>""</f>
        <v/>
      </c>
      <c r="DN431" t="str">
        <f>""</f>
        <v/>
      </c>
      <c r="DO431" t="str">
        <f>""</f>
        <v/>
      </c>
      <c r="DP431" t="str">
        <f>""</f>
        <v/>
      </c>
      <c r="DQ431" t="str">
        <f>""</f>
        <v/>
      </c>
      <c r="DR431" t="str">
        <f>""</f>
        <v/>
      </c>
      <c r="DS431" t="str">
        <f>""</f>
        <v/>
      </c>
      <c r="DT431" t="str">
        <f>""</f>
        <v/>
      </c>
      <c r="DU431" t="str">
        <f>""</f>
        <v/>
      </c>
    </row>
    <row r="432" spans="1:125" x14ac:dyDescent="0.25">
      <c r="A432" t="str">
        <f>"    General Motors Co"</f>
        <v xml:space="preserve">    General Motors Co</v>
      </c>
      <c r="B432" t="str">
        <f>"GM US Equity"</f>
        <v>GM US Equity</v>
      </c>
      <c r="C432" t="str">
        <f t="shared" si="30"/>
        <v>RR477</v>
      </c>
      <c r="D432" t="str">
        <f t="shared" si="31"/>
        <v>EV_TO_T12M_CASH_FLOW</v>
      </c>
      <c r="E432" t="str">
        <f t="shared" si="32"/>
        <v>Dynamic</v>
      </c>
      <c r="F432" t="str">
        <f ca="1">IF(AND(ISNUMBER($F$1095),$B$677=1),$F$1095,HLOOKUP(INDIRECT(ADDRESS(2,COLUMN())),OFFSET($BN$2,0,0,ROW()-1,60),ROW()-1,FALSE))</f>
        <v/>
      </c>
      <c r="G432">
        <f ca="1">IF(AND(ISNUMBER($G$1095),$B$677=1),$G$1095,HLOOKUP(INDIRECT(ADDRESS(2,COLUMN())),OFFSET($BN$2,0,0,ROW()-1,60),ROW()-1,FALSE))</f>
        <v>2.9605401150000001</v>
      </c>
      <c r="H432">
        <f ca="1">IF(AND(ISNUMBER($H$1095),$B$677=1),$H$1095,HLOOKUP(INDIRECT(ADDRESS(2,COLUMN())),OFFSET($BN$2,0,0,ROW()-1,60),ROW()-1,FALSE))</f>
        <v>2.898411319</v>
      </c>
      <c r="I432">
        <f ca="1">IF(AND(ISNUMBER($I$1095),$B$677=1),$I$1095,HLOOKUP(INDIRECT(ADDRESS(2,COLUMN())),OFFSET($BN$2,0,0,ROW()-1,60),ROW()-1,FALSE))</f>
        <v>3.5162511420000002</v>
      </c>
      <c r="J432">
        <f ca="1">IF(AND(ISNUMBER($J$1095),$B$677=1),$J$1095,HLOOKUP(INDIRECT(ADDRESS(2,COLUMN())),OFFSET($BN$2,0,0,ROW()-1,60),ROW()-1,FALSE))</f>
        <v>3.1869081669999999</v>
      </c>
      <c r="K432">
        <f ca="1">IF(AND(ISNUMBER($K$1095),$B$677=1),$K$1095,HLOOKUP(INDIRECT(ADDRESS(2,COLUMN())),OFFSET($BN$2,0,0,ROW()-1,60),ROW()-1,FALSE))</f>
        <v>3.0326638969999999</v>
      </c>
      <c r="L432">
        <f ca="1">IF(AND(ISNUMBER($L$1095),$B$677=1),$L$1095,HLOOKUP(INDIRECT(ADDRESS(2,COLUMN())),OFFSET($BN$2,0,0,ROW()-1,60),ROW()-1,FALSE))</f>
        <v>3.7747267949999999</v>
      </c>
      <c r="M432">
        <f ca="1">IF(AND(ISNUMBER($M$1095),$B$677=1),$M$1095,HLOOKUP(INDIRECT(ADDRESS(2,COLUMN())),OFFSET($BN$2,0,0,ROW()-1,60),ROW()-1,FALSE))</f>
        <v>2.3835056109999999</v>
      </c>
      <c r="N432">
        <f ca="1">IF(AND(ISNUMBER($N$1095),$B$677=1),$N$1095,HLOOKUP(INDIRECT(ADDRESS(2,COLUMN())),OFFSET($BN$2,0,0,ROW()-1,60),ROW()-1,FALSE))</f>
        <v>2.3354659839999998</v>
      </c>
      <c r="O432">
        <f ca="1">IF(AND(ISNUMBER($O$1095),$B$677=1),$O$1095,HLOOKUP(INDIRECT(ADDRESS(2,COLUMN())),OFFSET($BN$2,0,0,ROW()-1,60),ROW()-1,FALSE))</f>
        <v>2.4964773889999998</v>
      </c>
      <c r="P432">
        <f ca="1">IF(AND(ISNUMBER($P$1095),$B$677=1),$P$1095,HLOOKUP(INDIRECT(ADDRESS(2,COLUMN())),OFFSET($BN$2,0,0,ROW()-1,60),ROW()-1,FALSE))</f>
        <v>2.5632975490000001</v>
      </c>
      <c r="Q432">
        <f ca="1">IF(AND(ISNUMBER($Q$1095),$B$677=1),$Q$1095,HLOOKUP(INDIRECT(ADDRESS(2,COLUMN())),OFFSET($BN$2,0,0,ROW()-1,60),ROW()-1,FALSE))</f>
        <v>3.215682895</v>
      </c>
      <c r="R432">
        <f ca="1">IF(AND(ISNUMBER($R$1095),$B$677=1),$R$1095,HLOOKUP(INDIRECT(ADDRESS(2,COLUMN())),OFFSET($BN$2,0,0,ROW()-1,60),ROW()-1,FALSE))</f>
        <v>3.6299964309999999</v>
      </c>
      <c r="S432">
        <f ca="1">IF(AND(ISNUMBER($S$1095),$B$677=1),$S$1095,HLOOKUP(INDIRECT(ADDRESS(2,COLUMN())),OFFSET($BN$2,0,0,ROW()-1,60),ROW()-1,FALSE))</f>
        <v>3.4121974169999998</v>
      </c>
      <c r="T432">
        <f ca="1">IF(AND(ISNUMBER($T$1095),$B$677=1),$T$1095,HLOOKUP(INDIRECT(ADDRESS(2,COLUMN())),OFFSET($BN$2,0,0,ROW()-1,60),ROW()-1,FALSE))</f>
        <v>2.861823362</v>
      </c>
      <c r="U432">
        <f ca="1">IF(AND(ISNUMBER($U$1095),$B$677=1),$U$1095,HLOOKUP(INDIRECT(ADDRESS(2,COLUMN())),OFFSET($BN$2,0,0,ROW()-1,60),ROW()-1,FALSE))</f>
        <v>3.9001536099999998</v>
      </c>
      <c r="V432">
        <f ca="1">IF(AND(ISNUMBER($V$1095),$B$677=1),$V$1095,HLOOKUP(INDIRECT(ADDRESS(2,COLUMN())),OFFSET($BN$2,0,0,ROW()-1,60),ROW()-1,FALSE))</f>
        <v>5.4345153660000003</v>
      </c>
      <c r="W432">
        <f ca="1">IF(AND(ISNUMBER($W$1095),$B$677=1),$W$1095,HLOOKUP(INDIRECT(ADDRESS(2,COLUMN())),OFFSET($BN$2,0,0,ROW()-1,60),ROW()-1,FALSE))</f>
        <v>4.0325017389999998</v>
      </c>
      <c r="X432">
        <f ca="1">IF(AND(ISNUMBER($X$1095),$B$677=1),$X$1095,HLOOKUP(INDIRECT(ADDRESS(2,COLUMN())),OFFSET($BN$2,0,0,ROW()-1,60),ROW()-1,FALSE))</f>
        <v>3.6165594859999999</v>
      </c>
      <c r="Y432">
        <f ca="1">IF(AND(ISNUMBER($Y$1095),$B$677=1),$Y$1095,HLOOKUP(INDIRECT(ADDRESS(2,COLUMN())),OFFSET($BN$2,0,0,ROW()-1,60),ROW()-1,FALSE))</f>
        <v>3.237425338</v>
      </c>
      <c r="Z432">
        <f ca="1">IF(AND(ISNUMBER($Z$1095),$B$677=1),$Z$1095,HLOOKUP(INDIRECT(ADDRESS(2,COLUMN())),OFFSET($BN$2,0,0,ROW()-1,60),ROW()-1,FALSE))</f>
        <v>2.9541597159999999</v>
      </c>
      <c r="AA432">
        <f ca="1">IF(AND(ISNUMBER($AA$1095),$B$677=1),$AA$1095,HLOOKUP(INDIRECT(ADDRESS(2,COLUMN())),OFFSET($BN$2,0,0,ROW()-1,60),ROW()-1,FALSE))</f>
        <v>3.1759303249999999</v>
      </c>
      <c r="AB432">
        <f ca="1">IF(AND(ISNUMBER($AB$1095),$B$677=1),$AB$1095,HLOOKUP(INDIRECT(ADDRESS(2,COLUMN())),OFFSET($BN$2,0,0,ROW()-1,60),ROW()-1,FALSE))</f>
        <v>3.9156766150000002</v>
      </c>
      <c r="AC432">
        <f ca="1">IF(AND(ISNUMBER($AC$1095),$B$677=1),$AC$1095,HLOOKUP(INDIRECT(ADDRESS(2,COLUMN())),OFFSET($BN$2,0,0,ROW()-1,60),ROW()-1,FALSE))</f>
        <v>3.788882139</v>
      </c>
      <c r="AD432">
        <f ca="1">IF(AND(ISNUMBER($AD$1095),$B$677=1),$AD$1095,HLOOKUP(INDIRECT(ADDRESS(2,COLUMN())),OFFSET($BN$2,0,0,ROW()-1,60),ROW()-1,FALSE))</f>
        <v>3.468459384</v>
      </c>
      <c r="AE432">
        <f ca="1">IF(AND(ISNUMBER($AE$1095),$B$677=1),$AE$1095,HLOOKUP(INDIRECT(ADDRESS(2,COLUMN())),OFFSET($BN$2,0,0,ROW()-1,60),ROW()-1,FALSE))</f>
        <v>2.7902450499999998</v>
      </c>
      <c r="AF432">
        <f ca="1">IF(AND(ISNUMBER($AF$1095),$B$677=1),$AF$1095,HLOOKUP(INDIRECT(ADDRESS(2,COLUMN())),OFFSET($BN$2,0,0,ROW()-1,60),ROW()-1,FALSE))</f>
        <v>1.833218765</v>
      </c>
      <c r="AG432">
        <f ca="1">IF(AND(ISNUMBER($AG$1095),$B$677=1),$AG$1095,HLOOKUP(INDIRECT(ADDRESS(2,COLUMN())),OFFSET($BN$2,0,0,ROW()-1,60),ROW()-1,FALSE))</f>
        <v>2.4557820029999999</v>
      </c>
      <c r="AH432">
        <f ca="1">IF(AND(ISNUMBER($AH$1095),$B$677=1),$AH$1095,HLOOKUP(INDIRECT(ADDRESS(2,COLUMN())),OFFSET($BN$2,0,0,ROW()-1,60),ROW()-1,FALSE))</f>
        <v>3.0979774259999999</v>
      </c>
      <c r="AI432">
        <f ca="1">IF(AND(ISNUMBER($AI$1095),$B$677=1),$AI$1095,HLOOKUP(INDIRECT(ADDRESS(2,COLUMN())),OFFSET($BN$2,0,0,ROW()-1,60),ROW()-1,FALSE))</f>
        <v>2.0361281099999999</v>
      </c>
      <c r="AJ432">
        <f ca="1">IF(AND(ISNUMBER($AJ$1095),$B$677=1),$AJ$1095,HLOOKUP(INDIRECT(ADDRESS(2,COLUMN())),OFFSET($BN$2,0,0,ROW()-1,60),ROW()-1,FALSE))</f>
        <v>4.4024916989999996</v>
      </c>
      <c r="AK432">
        <f ca="1">IF(AND(ISNUMBER($AK$1095),$B$677=1),$AK$1095,HLOOKUP(INDIRECT(ADDRESS(2,COLUMN())),OFFSET($BN$2,0,0,ROW()-1,60),ROW()-1,FALSE))</f>
        <v>6.2916901940000001</v>
      </c>
      <c r="AL432">
        <f ca="1">IF(AND(ISNUMBER($AL$1095),$B$677=1),$AL$1095,HLOOKUP(INDIRECT(ADDRESS(2,COLUMN())),OFFSET($BN$2,0,0,ROW()-1,60),ROW()-1,FALSE))</f>
        <v>9.4296635930000008</v>
      </c>
      <c r="AM432">
        <f ca="1">IF(AND(ISNUMBER($AM$1095),$B$677=1),$AM$1095,HLOOKUP(INDIRECT(ADDRESS(2,COLUMN())),OFFSET($BN$2,0,0,ROW()-1,60),ROW()-1,FALSE))</f>
        <v>7.616379019</v>
      </c>
      <c r="AN432" t="str">
        <f ca="1">IF(AND(ISNUMBER($AN$1095),$B$677=1),$AN$1095,HLOOKUP(INDIRECT(ADDRESS(2,COLUMN())),OFFSET($BN$2,0,0,ROW()-1,60),ROW()-1,FALSE))</f>
        <v/>
      </c>
      <c r="AO432" t="str">
        <f ca="1">IF(AND(ISNUMBER($AO$1095),$B$677=1),$AO$1095,HLOOKUP(INDIRECT(ADDRESS(2,COLUMN())),OFFSET($BN$2,0,0,ROW()-1,60),ROW()-1,FALSE))</f>
        <v/>
      </c>
      <c r="AP432" t="str">
        <f ca="1">IF(AND(ISNUMBER($AP$1095),$B$677=1),$AP$1095,HLOOKUP(INDIRECT(ADDRESS(2,COLUMN())),OFFSET($BN$2,0,0,ROW()-1,60),ROW()-1,FALSE))</f>
        <v/>
      </c>
      <c r="AQ432" t="str">
        <f ca="1">IF(AND(ISNUMBER($AQ$1095),$B$677=1),$AQ$1095,HLOOKUP(INDIRECT(ADDRESS(2,COLUMN())),OFFSET($BN$2,0,0,ROW()-1,60),ROW()-1,FALSE))</f>
        <v/>
      </c>
      <c r="AR432" t="str">
        <f ca="1">IF(AND(ISNUMBER($AR$1095),$B$677=1),$AR$1095,HLOOKUP(INDIRECT(ADDRESS(2,COLUMN())),OFFSET($BN$2,0,0,ROW()-1,60),ROW()-1,FALSE))</f>
        <v/>
      </c>
      <c r="AS432" t="str">
        <f ca="1">IF(AND(ISNUMBER($AS$1095),$B$677=1),$AS$1095,HLOOKUP(INDIRECT(ADDRESS(2,COLUMN())),OFFSET($BN$2,0,0,ROW()-1,60),ROW()-1,FALSE))</f>
        <v/>
      </c>
      <c r="AT432" t="str">
        <f ca="1">IF(AND(ISNUMBER($AT$1095),$B$677=1),$AT$1095,HLOOKUP(INDIRECT(ADDRESS(2,COLUMN())),OFFSET($BN$2,0,0,ROW()-1,60),ROW()-1,FALSE))</f>
        <v/>
      </c>
      <c r="AU432" t="str">
        <f ca="1">IF(AND(ISNUMBER($AU$1095),$B$677=1),$AU$1095,HLOOKUP(INDIRECT(ADDRESS(2,COLUMN())),OFFSET($BN$2,0,0,ROW()-1,60),ROW()-1,FALSE))</f>
        <v/>
      </c>
      <c r="AV432" t="str">
        <f ca="1">IF(AND(ISNUMBER($AV$1095),$B$677=1),$AV$1095,HLOOKUP(INDIRECT(ADDRESS(2,COLUMN())),OFFSET($BN$2,0,0,ROW()-1,60),ROW()-1,FALSE))</f>
        <v/>
      </c>
      <c r="AW432" t="str">
        <f ca="1">IF(AND(ISNUMBER($AW$1095),$B$677=1),$AW$1095,HLOOKUP(INDIRECT(ADDRESS(2,COLUMN())),OFFSET($BN$2,0,0,ROW()-1,60),ROW()-1,FALSE))</f>
        <v/>
      </c>
      <c r="AX432" t="str">
        <f ca="1">IF(AND(ISNUMBER($AX$1095),$B$677=1),$AX$1095,HLOOKUP(INDIRECT(ADDRESS(2,COLUMN())),OFFSET($BN$2,0,0,ROW()-1,60),ROW()-1,FALSE))</f>
        <v/>
      </c>
      <c r="AY432" t="str">
        <f ca="1">IF(AND(ISNUMBER($AY$1095),$B$677=1),$AY$1095,HLOOKUP(INDIRECT(ADDRESS(2,COLUMN())),OFFSET($BN$2,0,0,ROW()-1,60),ROW()-1,FALSE))</f>
        <v/>
      </c>
      <c r="AZ432" t="str">
        <f ca="1">IF(AND(ISNUMBER($AZ$1095),$B$677=1),$AZ$1095,HLOOKUP(INDIRECT(ADDRESS(2,COLUMN())),OFFSET($BN$2,0,0,ROW()-1,60),ROW()-1,FALSE))</f>
        <v/>
      </c>
      <c r="BA432" t="str">
        <f ca="1">IF(AND(ISNUMBER($BA$1095),$B$677=1),$BA$1095,HLOOKUP(INDIRECT(ADDRESS(2,COLUMN())),OFFSET($BN$2,0,0,ROW()-1,60),ROW()-1,FALSE))</f>
        <v/>
      </c>
      <c r="BB432" t="str">
        <f ca="1">IF(AND(ISNUMBER($BB$1095),$B$677=1),$BB$1095,HLOOKUP(INDIRECT(ADDRESS(2,COLUMN())),OFFSET($BN$2,0,0,ROW()-1,60),ROW()-1,FALSE))</f>
        <v/>
      </c>
      <c r="BC432" t="str">
        <f ca="1">IF(AND(ISNUMBER($BC$1095),$B$677=1),$BC$1095,HLOOKUP(INDIRECT(ADDRESS(2,COLUMN())),OFFSET($BN$2,0,0,ROW()-1,60),ROW()-1,FALSE))</f>
        <v/>
      </c>
      <c r="BD432" t="str">
        <f ca="1">IF(AND(ISNUMBER($BD$1095),$B$677=1),$BD$1095,HLOOKUP(INDIRECT(ADDRESS(2,COLUMN())),OFFSET($BN$2,0,0,ROW()-1,60),ROW()-1,FALSE))</f>
        <v/>
      </c>
      <c r="BE432" t="str">
        <f ca="1">IF(AND(ISNUMBER($BE$1095),$B$677=1),$BE$1095,HLOOKUP(INDIRECT(ADDRESS(2,COLUMN())),OFFSET($BN$2,0,0,ROW()-1,60),ROW()-1,FALSE))</f>
        <v/>
      </c>
      <c r="BF432" t="str">
        <f ca="1">IF(AND(ISNUMBER($BF$1095),$B$677=1),$BF$1095,HLOOKUP(INDIRECT(ADDRESS(2,COLUMN())),OFFSET($BN$2,0,0,ROW()-1,60),ROW()-1,FALSE))</f>
        <v/>
      </c>
      <c r="BG432" t="str">
        <f ca="1">IF(AND(ISNUMBER($BG$1095),$B$677=1),$BG$1095,HLOOKUP(INDIRECT(ADDRESS(2,COLUMN())),OFFSET($BN$2,0,0,ROW()-1,60),ROW()-1,FALSE))</f>
        <v/>
      </c>
      <c r="BH432" t="str">
        <f ca="1">IF(AND(ISNUMBER($BH$1095),$B$677=1),$BH$1095,HLOOKUP(INDIRECT(ADDRESS(2,COLUMN())),OFFSET($BN$2,0,0,ROW()-1,60),ROW()-1,FALSE))</f>
        <v/>
      </c>
      <c r="BI432" t="str">
        <f ca="1">IF(AND(ISNUMBER($BI$1095),$B$677=1),$BI$1095,HLOOKUP(INDIRECT(ADDRESS(2,COLUMN())),OFFSET($BN$2,0,0,ROW()-1,60),ROW()-1,FALSE))</f>
        <v/>
      </c>
      <c r="BJ432" t="str">
        <f ca="1">IF(AND(ISNUMBER($BJ$1095),$B$677=1),$BJ$1095,HLOOKUP(INDIRECT(ADDRESS(2,COLUMN())),OFFSET($BN$2,0,0,ROW()-1,60),ROW()-1,FALSE))</f>
        <v/>
      </c>
      <c r="BK432" t="str">
        <f ca="1">IF(AND(ISNUMBER($BK$1095),$B$677=1),$BK$1095,HLOOKUP(INDIRECT(ADDRESS(2,COLUMN())),OFFSET($BN$2,0,0,ROW()-1,60),ROW()-1,FALSE))</f>
        <v/>
      </c>
      <c r="BL432" t="str">
        <f ca="1">IF(AND(ISNUMBER($BL$1095),$B$677=1),$BL$1095,HLOOKUP(INDIRECT(ADDRESS(2,COLUMN())),OFFSET($BN$2,0,0,ROW()-1,60),ROW()-1,FALSE))</f>
        <v/>
      </c>
      <c r="BM432" t="str">
        <f ca="1">IF(AND(ISNUMBER($BM$1095),$B$677=1),$BM$1095,HLOOKUP(INDIRECT(ADDRESS(2,COLUMN())),OFFSET($BN$2,0,0,ROW()-1,60),ROW()-1,FALSE))</f>
        <v/>
      </c>
      <c r="BN432" t="str">
        <f>""</f>
        <v/>
      </c>
      <c r="BO432">
        <f>2.960540115</f>
        <v>2.9605401150000001</v>
      </c>
      <c r="BP432">
        <f>2.898411319</f>
        <v>2.898411319</v>
      </c>
      <c r="BQ432">
        <f>3.516251142</f>
        <v>3.5162511420000002</v>
      </c>
      <c r="BR432">
        <f>3.186908167</f>
        <v>3.1869081669999999</v>
      </c>
      <c r="BS432">
        <f>3.032663897</f>
        <v>3.0326638969999999</v>
      </c>
      <c r="BT432">
        <f>3.774726795</f>
        <v>3.7747267949999999</v>
      </c>
      <c r="BU432">
        <f>2.383505611</f>
        <v>2.3835056109999999</v>
      </c>
      <c r="BV432">
        <f>2.335465984</f>
        <v>2.3354659839999998</v>
      </c>
      <c r="BW432">
        <f>2.496477389</f>
        <v>2.4964773889999998</v>
      </c>
      <c r="BX432">
        <f>2.563297549</f>
        <v>2.5632975490000001</v>
      </c>
      <c r="BY432">
        <f>3.215682895</f>
        <v>3.215682895</v>
      </c>
      <c r="BZ432">
        <f>3.629996431</f>
        <v>3.6299964309999999</v>
      </c>
      <c r="CA432">
        <f>3.412197417</f>
        <v>3.4121974169999998</v>
      </c>
      <c r="CB432">
        <f>2.861823362</f>
        <v>2.861823362</v>
      </c>
      <c r="CC432">
        <f>3.90015361</f>
        <v>3.9001536099999998</v>
      </c>
      <c r="CD432">
        <f>5.434515366</f>
        <v>5.4345153660000003</v>
      </c>
      <c r="CE432">
        <f>4.032501739</f>
        <v>4.0325017389999998</v>
      </c>
      <c r="CF432">
        <f>3.616559486</f>
        <v>3.6165594859999999</v>
      </c>
      <c r="CG432">
        <f>3.237425338</f>
        <v>3.237425338</v>
      </c>
      <c r="CH432">
        <f>2.954159716</f>
        <v>2.9541597159999999</v>
      </c>
      <c r="CI432">
        <f>3.175930325</f>
        <v>3.1759303249999999</v>
      </c>
      <c r="CJ432">
        <f>3.915676615</f>
        <v>3.9156766150000002</v>
      </c>
      <c r="CK432">
        <f>3.788882139</f>
        <v>3.788882139</v>
      </c>
      <c r="CL432">
        <f>3.468459384</f>
        <v>3.468459384</v>
      </c>
      <c r="CM432">
        <f>2.79024505</f>
        <v>2.7902450499999998</v>
      </c>
      <c r="CN432">
        <f>1.833218765</f>
        <v>1.833218765</v>
      </c>
      <c r="CO432">
        <f>2.455782003</f>
        <v>2.4557820029999999</v>
      </c>
      <c r="CP432">
        <f>3.097977426</f>
        <v>3.0979774259999999</v>
      </c>
      <c r="CQ432">
        <f>2.03612811</f>
        <v>2.0361281099999999</v>
      </c>
      <c r="CR432">
        <f>4.402491699</f>
        <v>4.4024916989999996</v>
      </c>
      <c r="CS432">
        <f>6.291690194</f>
        <v>6.2916901940000001</v>
      </c>
      <c r="CT432">
        <f>9.429663593</f>
        <v>9.4296635930000008</v>
      </c>
      <c r="CU432">
        <f>7.616379019</f>
        <v>7.616379019</v>
      </c>
      <c r="CV432" t="str">
        <f>""</f>
        <v/>
      </c>
      <c r="CW432" t="str">
        <f>""</f>
        <v/>
      </c>
      <c r="CX432" t="str">
        <f>""</f>
        <v/>
      </c>
      <c r="CY432" t="str">
        <f>""</f>
        <v/>
      </c>
      <c r="CZ432" t="str">
        <f>""</f>
        <v/>
      </c>
      <c r="DA432" t="str">
        <f>""</f>
        <v/>
      </c>
      <c r="DB432" t="str">
        <f>""</f>
        <v/>
      </c>
      <c r="DC432" t="str">
        <f>""</f>
        <v/>
      </c>
      <c r="DD432" t="str">
        <f>""</f>
        <v/>
      </c>
      <c r="DE432" t="str">
        <f>""</f>
        <v/>
      </c>
      <c r="DF432" t="str">
        <f>""</f>
        <v/>
      </c>
      <c r="DG432" t="str">
        <f>""</f>
        <v/>
      </c>
      <c r="DH432" t="str">
        <f>""</f>
        <v/>
      </c>
      <c r="DI432" t="str">
        <f>""</f>
        <v/>
      </c>
      <c r="DJ432" t="str">
        <f>""</f>
        <v/>
      </c>
      <c r="DK432" t="str">
        <f>""</f>
        <v/>
      </c>
      <c r="DL432" t="str">
        <f>""</f>
        <v/>
      </c>
      <c r="DM432" t="str">
        <f>""</f>
        <v/>
      </c>
      <c r="DN432" t="str">
        <f>""</f>
        <v/>
      </c>
      <c r="DO432" t="str">
        <f>""</f>
        <v/>
      </c>
      <c r="DP432" t="str">
        <f>""</f>
        <v/>
      </c>
      <c r="DQ432" t="str">
        <f>""</f>
        <v/>
      </c>
      <c r="DR432" t="str">
        <f>""</f>
        <v/>
      </c>
      <c r="DS432" t="str">
        <f>""</f>
        <v/>
      </c>
      <c r="DT432" t="str">
        <f>""</f>
        <v/>
      </c>
      <c r="DU432" t="str">
        <f>""</f>
        <v/>
      </c>
    </row>
    <row r="433" spans="1:125" x14ac:dyDescent="0.25">
      <c r="A433" t="str">
        <f>"    Great Wall Motor Co Ltd"</f>
        <v xml:space="preserve">    Great Wall Motor Co Ltd</v>
      </c>
      <c r="B433" t="str">
        <f>"2333 HK Equity"</f>
        <v>2333 HK Equity</v>
      </c>
      <c r="C433" t="str">
        <f t="shared" si="30"/>
        <v>RR477</v>
      </c>
      <c r="D433" t="str">
        <f t="shared" si="31"/>
        <v>EV_TO_T12M_CASH_FLOW</v>
      </c>
      <c r="E433" t="str">
        <f t="shared" si="32"/>
        <v>Dynamic</v>
      </c>
      <c r="F433" t="str">
        <f ca="1">IF(AND(ISNUMBER($F$1096),$B$677=1),$F$1096,HLOOKUP(INDIRECT(ADDRESS(2,COLUMN())),OFFSET($BN$2,0,0,ROW()-1,60),ROW()-1,FALSE))</f>
        <v/>
      </c>
      <c r="G433" t="str">
        <f ca="1">IF(AND(ISNUMBER($G$1096),$B$677=1),$G$1096,HLOOKUP(INDIRECT(ADDRESS(2,COLUMN())),OFFSET($BN$2,0,0,ROW()-1,60),ROW()-1,FALSE))</f>
        <v/>
      </c>
      <c r="H433">
        <f ca="1">IF(AND(ISNUMBER($H$1096),$B$677=1),$H$1096,HLOOKUP(INDIRECT(ADDRESS(2,COLUMN())),OFFSET($BN$2,0,0,ROW()-1,60),ROW()-1,FALSE))</f>
        <v>8.4951544279999993</v>
      </c>
      <c r="I433">
        <f ca="1">IF(AND(ISNUMBER($I$1096),$B$677=1),$I$1096,HLOOKUP(INDIRECT(ADDRESS(2,COLUMN())),OFFSET($BN$2,0,0,ROW()-1,60),ROW()-1,FALSE))</f>
        <v>17.78064183</v>
      </c>
      <c r="J433">
        <f ca="1">IF(AND(ISNUMBER($J$1096),$B$677=1),$J$1096,HLOOKUP(INDIRECT(ADDRESS(2,COLUMN())),OFFSET($BN$2,0,0,ROW()-1,60),ROW()-1,FALSE))</f>
        <v>99.092124699999999</v>
      </c>
      <c r="K433" t="str">
        <f ca="1">IF(AND(ISNUMBER($K$1096),$B$677=1),$K$1096,HLOOKUP(INDIRECT(ADDRESS(2,COLUMN())),OFFSET($BN$2,0,0,ROW()-1,60),ROW()-1,FALSE))</f>
        <v/>
      </c>
      <c r="L433">
        <f ca="1">IF(AND(ISNUMBER($L$1096),$B$677=1),$L$1096,HLOOKUP(INDIRECT(ADDRESS(2,COLUMN())),OFFSET($BN$2,0,0,ROW()-1,60),ROW()-1,FALSE))</f>
        <v>17.0107076</v>
      </c>
      <c r="M433">
        <f ca="1">IF(AND(ISNUMBER($M$1096),$B$677=1),$M$1096,HLOOKUP(INDIRECT(ADDRESS(2,COLUMN())),OFFSET($BN$2,0,0,ROW()-1,60),ROW()-1,FALSE))</f>
        <v>9.6184809399999995</v>
      </c>
      <c r="N433">
        <f ca="1">IF(AND(ISNUMBER($N$1096),$B$677=1),$N$1096,HLOOKUP(INDIRECT(ADDRESS(2,COLUMN())),OFFSET($BN$2,0,0,ROW()-1,60),ROW()-1,FALSE))</f>
        <v>56.769181670000002</v>
      </c>
      <c r="O433">
        <f ca="1">IF(AND(ISNUMBER($O$1096),$B$677=1),$O$1096,HLOOKUP(INDIRECT(ADDRESS(2,COLUMN())),OFFSET($BN$2,0,0,ROW()-1,60),ROW()-1,FALSE))</f>
        <v>12.346042450000001</v>
      </c>
      <c r="P433">
        <f ca="1">IF(AND(ISNUMBER($P$1096),$B$677=1),$P$1096,HLOOKUP(INDIRECT(ADDRESS(2,COLUMN())),OFFSET($BN$2,0,0,ROW()-1,60),ROW()-1,FALSE))</f>
        <v>11.708619430000001</v>
      </c>
      <c r="Q433">
        <f ca="1">IF(AND(ISNUMBER($Q$1096),$B$677=1),$Q$1096,HLOOKUP(INDIRECT(ADDRESS(2,COLUMN())),OFFSET($BN$2,0,0,ROW()-1,60),ROW()-1,FALSE))</f>
        <v>10.79888768</v>
      </c>
      <c r="R433">
        <f ca="1">IF(AND(ISNUMBER($R$1096),$B$677=1),$R$1096,HLOOKUP(INDIRECT(ADDRESS(2,COLUMN())),OFFSET($BN$2,0,0,ROW()-1,60),ROW()-1,FALSE))</f>
        <v>9.6556793449999994</v>
      </c>
      <c r="S433">
        <f ca="1">IF(AND(ISNUMBER($S$1096),$B$677=1),$S$1096,HLOOKUP(INDIRECT(ADDRESS(2,COLUMN())),OFFSET($BN$2,0,0,ROW()-1,60),ROW()-1,FALSE))</f>
        <v>10.499388290000001</v>
      </c>
      <c r="T433">
        <f ca="1">IF(AND(ISNUMBER($T$1096),$B$677=1),$T$1096,HLOOKUP(INDIRECT(ADDRESS(2,COLUMN())),OFFSET($BN$2,0,0,ROW()-1,60),ROW()-1,FALSE))</f>
        <v>6.7190103539999999</v>
      </c>
      <c r="U433">
        <f ca="1">IF(AND(ISNUMBER($U$1096),$B$677=1),$U$1096,HLOOKUP(INDIRECT(ADDRESS(2,COLUMN())),OFFSET($BN$2,0,0,ROW()-1,60),ROW()-1,FALSE))</f>
        <v>14.817050200000001</v>
      </c>
      <c r="V433">
        <f ca="1">IF(AND(ISNUMBER($V$1096),$B$677=1),$V$1096,HLOOKUP(INDIRECT(ADDRESS(2,COLUMN())),OFFSET($BN$2,0,0,ROW()-1,60),ROW()-1,FALSE))</f>
        <v>66.537447290000003</v>
      </c>
      <c r="W433">
        <f ca="1">IF(AND(ISNUMBER($W$1096),$B$677=1),$W$1096,HLOOKUP(INDIRECT(ADDRESS(2,COLUMN())),OFFSET($BN$2,0,0,ROW()-1,60),ROW()-1,FALSE))</f>
        <v>33.62873432</v>
      </c>
      <c r="X433">
        <f ca="1">IF(AND(ISNUMBER($X$1096),$B$677=1),$X$1096,HLOOKUP(INDIRECT(ADDRESS(2,COLUMN())),OFFSET($BN$2,0,0,ROW()-1,60),ROW()-1,FALSE))</f>
        <v>13.19043853</v>
      </c>
      <c r="Y433">
        <f ca="1">IF(AND(ISNUMBER($Y$1096),$B$677=1),$Y$1096,HLOOKUP(INDIRECT(ADDRESS(2,COLUMN())),OFFSET($BN$2,0,0,ROW()-1,60),ROW()-1,FALSE))</f>
        <v>9.8184598160000007</v>
      </c>
      <c r="Z433">
        <f ca="1">IF(AND(ISNUMBER($Z$1096),$B$677=1),$Z$1096,HLOOKUP(INDIRECT(ADDRESS(2,COLUMN())),OFFSET($BN$2,0,0,ROW()-1,60),ROW()-1,FALSE))</f>
        <v>10.171561909999999</v>
      </c>
      <c r="AA433">
        <f ca="1">IF(AND(ISNUMBER($AA$1096),$B$677=1),$AA$1096,HLOOKUP(INDIRECT(ADDRESS(2,COLUMN())),OFFSET($BN$2,0,0,ROW()-1,60),ROW()-1,FALSE))</f>
        <v>11.105456179999999</v>
      </c>
      <c r="AB433">
        <f ca="1">IF(AND(ISNUMBER($AB$1096),$B$677=1),$AB$1096,HLOOKUP(INDIRECT(ADDRESS(2,COLUMN())),OFFSET($BN$2,0,0,ROW()-1,60),ROW()-1,FALSE))</f>
        <v>11.98635752</v>
      </c>
      <c r="AC433">
        <f ca="1">IF(AND(ISNUMBER($AC$1096),$B$677=1),$AC$1096,HLOOKUP(INDIRECT(ADDRESS(2,COLUMN())),OFFSET($BN$2,0,0,ROW()-1,60),ROW()-1,FALSE))</f>
        <v>11.5029845</v>
      </c>
      <c r="AD433">
        <f ca="1">IF(AND(ISNUMBER($AD$1096),$B$677=1),$AD$1096,HLOOKUP(INDIRECT(ADDRESS(2,COLUMN())),OFFSET($BN$2,0,0,ROW()-1,60),ROW()-1,FALSE))</f>
        <v>13.8140248</v>
      </c>
      <c r="AE433">
        <f ca="1">IF(AND(ISNUMBER($AE$1096),$B$677=1),$AE$1096,HLOOKUP(INDIRECT(ADDRESS(2,COLUMN())),OFFSET($BN$2,0,0,ROW()-1,60),ROW()-1,FALSE))</f>
        <v>19.435668799999998</v>
      </c>
      <c r="AF433" t="str">
        <f ca="1">IF(AND(ISNUMBER($AF$1096),$B$677=1),$AF$1096,HLOOKUP(INDIRECT(ADDRESS(2,COLUMN())),OFFSET($BN$2,0,0,ROW()-1,60),ROW()-1,FALSE))</f>
        <v/>
      </c>
      <c r="AG433" t="str">
        <f ca="1">IF(AND(ISNUMBER($AG$1096),$B$677=1),$AG$1096,HLOOKUP(INDIRECT(ADDRESS(2,COLUMN())),OFFSET($BN$2,0,0,ROW()-1,60),ROW()-1,FALSE))</f>
        <v/>
      </c>
      <c r="AH433" t="str">
        <f ca="1">IF(AND(ISNUMBER($AH$1096),$B$677=1),$AH$1096,HLOOKUP(INDIRECT(ADDRESS(2,COLUMN())),OFFSET($BN$2,0,0,ROW()-1,60),ROW()-1,FALSE))</f>
        <v/>
      </c>
      <c r="AI433" t="str">
        <f ca="1">IF(AND(ISNUMBER($AI$1096),$B$677=1),$AI$1096,HLOOKUP(INDIRECT(ADDRESS(2,COLUMN())),OFFSET($BN$2,0,0,ROW()-1,60),ROW()-1,FALSE))</f>
        <v/>
      </c>
      <c r="AJ433" t="str">
        <f ca="1">IF(AND(ISNUMBER($AJ$1096),$B$677=1),$AJ$1096,HLOOKUP(INDIRECT(ADDRESS(2,COLUMN())),OFFSET($BN$2,0,0,ROW()-1,60),ROW()-1,FALSE))</f>
        <v/>
      </c>
      <c r="AK433" t="str">
        <f ca="1">IF(AND(ISNUMBER($AK$1096),$B$677=1),$AK$1096,HLOOKUP(INDIRECT(ADDRESS(2,COLUMN())),OFFSET($BN$2,0,0,ROW()-1,60),ROW()-1,FALSE))</f>
        <v/>
      </c>
      <c r="AL433" t="str">
        <f ca="1">IF(AND(ISNUMBER($AL$1096),$B$677=1),$AL$1096,HLOOKUP(INDIRECT(ADDRESS(2,COLUMN())),OFFSET($BN$2,0,0,ROW()-1,60),ROW()-1,FALSE))</f>
        <v/>
      </c>
      <c r="AM433" t="str">
        <f ca="1">IF(AND(ISNUMBER($AM$1096),$B$677=1),$AM$1096,HLOOKUP(INDIRECT(ADDRESS(2,COLUMN())),OFFSET($BN$2,0,0,ROW()-1,60),ROW()-1,FALSE))</f>
        <v/>
      </c>
      <c r="AN433" t="str">
        <f ca="1">IF(AND(ISNUMBER($AN$1096),$B$677=1),$AN$1096,HLOOKUP(INDIRECT(ADDRESS(2,COLUMN())),OFFSET($BN$2,0,0,ROW()-1,60),ROW()-1,FALSE))</f>
        <v/>
      </c>
      <c r="AO433" t="str">
        <f ca="1">IF(AND(ISNUMBER($AO$1096),$B$677=1),$AO$1096,HLOOKUP(INDIRECT(ADDRESS(2,COLUMN())),OFFSET($BN$2,0,0,ROW()-1,60),ROW()-1,FALSE))</f>
        <v/>
      </c>
      <c r="AP433" t="str">
        <f ca="1">IF(AND(ISNUMBER($AP$1096),$B$677=1),$AP$1096,HLOOKUP(INDIRECT(ADDRESS(2,COLUMN())),OFFSET($BN$2,0,0,ROW()-1,60),ROW()-1,FALSE))</f>
        <v/>
      </c>
      <c r="AQ433" t="str">
        <f ca="1">IF(AND(ISNUMBER($AQ$1096),$B$677=1),$AQ$1096,HLOOKUP(INDIRECT(ADDRESS(2,COLUMN())),OFFSET($BN$2,0,0,ROW()-1,60),ROW()-1,FALSE))</f>
        <v/>
      </c>
      <c r="AR433" t="str">
        <f ca="1">IF(AND(ISNUMBER($AR$1096),$B$677=1),$AR$1096,HLOOKUP(INDIRECT(ADDRESS(2,COLUMN())),OFFSET($BN$2,0,0,ROW()-1,60),ROW()-1,FALSE))</f>
        <v/>
      </c>
      <c r="AS433" t="str">
        <f ca="1">IF(AND(ISNUMBER($AS$1096),$B$677=1),$AS$1096,HLOOKUP(INDIRECT(ADDRESS(2,COLUMN())),OFFSET($BN$2,0,0,ROW()-1,60),ROW()-1,FALSE))</f>
        <v/>
      </c>
      <c r="AT433" t="str">
        <f ca="1">IF(AND(ISNUMBER($AT$1096),$B$677=1),$AT$1096,HLOOKUP(INDIRECT(ADDRESS(2,COLUMN())),OFFSET($BN$2,0,0,ROW()-1,60),ROW()-1,FALSE))</f>
        <v/>
      </c>
      <c r="AU433" t="str">
        <f ca="1">IF(AND(ISNUMBER($AU$1096),$B$677=1),$AU$1096,HLOOKUP(INDIRECT(ADDRESS(2,COLUMN())),OFFSET($BN$2,0,0,ROW()-1,60),ROW()-1,FALSE))</f>
        <v/>
      </c>
      <c r="AV433" t="str">
        <f ca="1">IF(AND(ISNUMBER($AV$1096),$B$677=1),$AV$1096,HLOOKUP(INDIRECT(ADDRESS(2,COLUMN())),OFFSET($BN$2,0,0,ROW()-1,60),ROW()-1,FALSE))</f>
        <v/>
      </c>
      <c r="AW433" t="str">
        <f ca="1">IF(AND(ISNUMBER($AW$1096),$B$677=1),$AW$1096,HLOOKUP(INDIRECT(ADDRESS(2,COLUMN())),OFFSET($BN$2,0,0,ROW()-1,60),ROW()-1,FALSE))</f>
        <v/>
      </c>
      <c r="AX433" t="str">
        <f ca="1">IF(AND(ISNUMBER($AX$1096),$B$677=1),$AX$1096,HLOOKUP(INDIRECT(ADDRESS(2,COLUMN())),OFFSET($BN$2,0,0,ROW()-1,60),ROW()-1,FALSE))</f>
        <v/>
      </c>
      <c r="AY433" t="str">
        <f ca="1">IF(AND(ISNUMBER($AY$1096),$B$677=1),$AY$1096,HLOOKUP(INDIRECT(ADDRESS(2,COLUMN())),OFFSET($BN$2,0,0,ROW()-1,60),ROW()-1,FALSE))</f>
        <v/>
      </c>
      <c r="AZ433" t="str">
        <f ca="1">IF(AND(ISNUMBER($AZ$1096),$B$677=1),$AZ$1096,HLOOKUP(INDIRECT(ADDRESS(2,COLUMN())),OFFSET($BN$2,0,0,ROW()-1,60),ROW()-1,FALSE))</f>
        <v/>
      </c>
      <c r="BA433" t="str">
        <f ca="1">IF(AND(ISNUMBER($BA$1096),$B$677=1),$BA$1096,HLOOKUP(INDIRECT(ADDRESS(2,COLUMN())),OFFSET($BN$2,0,0,ROW()-1,60),ROW()-1,FALSE))</f>
        <v/>
      </c>
      <c r="BB433" t="str">
        <f ca="1">IF(AND(ISNUMBER($BB$1096),$B$677=1),$BB$1096,HLOOKUP(INDIRECT(ADDRESS(2,COLUMN())),OFFSET($BN$2,0,0,ROW()-1,60),ROW()-1,FALSE))</f>
        <v/>
      </c>
      <c r="BC433" t="str">
        <f ca="1">IF(AND(ISNUMBER($BC$1096),$B$677=1),$BC$1096,HLOOKUP(INDIRECT(ADDRESS(2,COLUMN())),OFFSET($BN$2,0,0,ROW()-1,60),ROW()-1,FALSE))</f>
        <v/>
      </c>
      <c r="BD433" t="str">
        <f ca="1">IF(AND(ISNUMBER($BD$1096),$B$677=1),$BD$1096,HLOOKUP(INDIRECT(ADDRESS(2,COLUMN())),OFFSET($BN$2,0,0,ROW()-1,60),ROW()-1,FALSE))</f>
        <v/>
      </c>
      <c r="BE433" t="str">
        <f ca="1">IF(AND(ISNUMBER($BE$1096),$B$677=1),$BE$1096,HLOOKUP(INDIRECT(ADDRESS(2,COLUMN())),OFFSET($BN$2,0,0,ROW()-1,60),ROW()-1,FALSE))</f>
        <v/>
      </c>
      <c r="BF433" t="str">
        <f ca="1">IF(AND(ISNUMBER($BF$1096),$B$677=1),$BF$1096,HLOOKUP(INDIRECT(ADDRESS(2,COLUMN())),OFFSET($BN$2,0,0,ROW()-1,60),ROW()-1,FALSE))</f>
        <v/>
      </c>
      <c r="BG433" t="str">
        <f ca="1">IF(AND(ISNUMBER($BG$1096),$B$677=1),$BG$1096,HLOOKUP(INDIRECT(ADDRESS(2,COLUMN())),OFFSET($BN$2,0,0,ROW()-1,60),ROW()-1,FALSE))</f>
        <v/>
      </c>
      <c r="BH433" t="str">
        <f ca="1">IF(AND(ISNUMBER($BH$1096),$B$677=1),$BH$1096,HLOOKUP(INDIRECT(ADDRESS(2,COLUMN())),OFFSET($BN$2,0,0,ROW()-1,60),ROW()-1,FALSE))</f>
        <v/>
      </c>
      <c r="BI433" t="str">
        <f ca="1">IF(AND(ISNUMBER($BI$1096),$B$677=1),$BI$1096,HLOOKUP(INDIRECT(ADDRESS(2,COLUMN())),OFFSET($BN$2,0,0,ROW()-1,60),ROW()-1,FALSE))</f>
        <v/>
      </c>
      <c r="BJ433" t="str">
        <f ca="1">IF(AND(ISNUMBER($BJ$1096),$B$677=1),$BJ$1096,HLOOKUP(INDIRECT(ADDRESS(2,COLUMN())),OFFSET($BN$2,0,0,ROW()-1,60),ROW()-1,FALSE))</f>
        <v/>
      </c>
      <c r="BK433" t="str">
        <f ca="1">IF(AND(ISNUMBER($BK$1096),$B$677=1),$BK$1096,HLOOKUP(INDIRECT(ADDRESS(2,COLUMN())),OFFSET($BN$2,0,0,ROW()-1,60),ROW()-1,FALSE))</f>
        <v/>
      </c>
      <c r="BL433" t="str">
        <f ca="1">IF(AND(ISNUMBER($BL$1096),$B$677=1),$BL$1096,HLOOKUP(INDIRECT(ADDRESS(2,COLUMN())),OFFSET($BN$2,0,0,ROW()-1,60),ROW()-1,FALSE))</f>
        <v/>
      </c>
      <c r="BM433" t="str">
        <f ca="1">IF(AND(ISNUMBER($BM$1096),$B$677=1),$BM$1096,HLOOKUP(INDIRECT(ADDRESS(2,COLUMN())),OFFSET($BN$2,0,0,ROW()-1,60),ROW()-1,FALSE))</f>
        <v/>
      </c>
      <c r="BN433" t="str">
        <f>""</f>
        <v/>
      </c>
      <c r="BO433" t="str">
        <f>""</f>
        <v/>
      </c>
      <c r="BP433">
        <f>8.495154428</f>
        <v>8.4951544279999993</v>
      </c>
      <c r="BQ433">
        <f>17.78064183</f>
        <v>17.78064183</v>
      </c>
      <c r="BR433">
        <f>99.0921247</f>
        <v>99.092124699999999</v>
      </c>
      <c r="BS433" t="str">
        <f>""</f>
        <v/>
      </c>
      <c r="BT433">
        <f>17.0107076</f>
        <v>17.0107076</v>
      </c>
      <c r="BU433">
        <f>9.61848094</f>
        <v>9.6184809399999995</v>
      </c>
      <c r="BV433">
        <f>56.76918167</f>
        <v>56.769181670000002</v>
      </c>
      <c r="BW433">
        <f>12.34604245</f>
        <v>12.346042450000001</v>
      </c>
      <c r="BX433">
        <f>11.70861943</f>
        <v>11.708619430000001</v>
      </c>
      <c r="BY433">
        <f>10.79888768</f>
        <v>10.79888768</v>
      </c>
      <c r="BZ433">
        <f>9.655679345</f>
        <v>9.6556793449999994</v>
      </c>
      <c r="CA433">
        <f>10.49938829</f>
        <v>10.499388290000001</v>
      </c>
      <c r="CB433">
        <f>6.719010354</f>
        <v>6.7190103539999999</v>
      </c>
      <c r="CC433">
        <f>14.8170502</f>
        <v>14.817050200000001</v>
      </c>
      <c r="CD433">
        <f>66.53744729</f>
        <v>66.537447290000003</v>
      </c>
      <c r="CE433">
        <f>33.62873432</f>
        <v>33.62873432</v>
      </c>
      <c r="CF433">
        <f>13.19043853</f>
        <v>13.19043853</v>
      </c>
      <c r="CG433">
        <f>9.818459816</f>
        <v>9.8184598160000007</v>
      </c>
      <c r="CH433">
        <f>10.17156191</f>
        <v>10.171561909999999</v>
      </c>
      <c r="CI433">
        <f>11.10545618</f>
        <v>11.105456179999999</v>
      </c>
      <c r="CJ433">
        <f>11.98635752</f>
        <v>11.98635752</v>
      </c>
      <c r="CK433">
        <f>11.5029845</f>
        <v>11.5029845</v>
      </c>
      <c r="CL433">
        <f>13.8140248</f>
        <v>13.8140248</v>
      </c>
      <c r="CM433">
        <f>19.4356688</f>
        <v>19.435668799999998</v>
      </c>
      <c r="CN433" t="str">
        <f>""</f>
        <v/>
      </c>
      <c r="CO433" t="str">
        <f>""</f>
        <v/>
      </c>
      <c r="CP433" t="str">
        <f>""</f>
        <v/>
      </c>
      <c r="CQ433" t="str">
        <f>""</f>
        <v/>
      </c>
      <c r="CR433" t="str">
        <f>""</f>
        <v/>
      </c>
      <c r="CS433" t="str">
        <f>""</f>
        <v/>
      </c>
      <c r="CT433" t="str">
        <f>""</f>
        <v/>
      </c>
      <c r="CU433" t="str">
        <f>""</f>
        <v/>
      </c>
      <c r="CV433" t="str">
        <f>""</f>
        <v/>
      </c>
      <c r="CW433" t="str">
        <f>""</f>
        <v/>
      </c>
      <c r="CX433" t="str">
        <f>""</f>
        <v/>
      </c>
      <c r="CY433" t="str">
        <f>""</f>
        <v/>
      </c>
      <c r="CZ433" t="str">
        <f>""</f>
        <v/>
      </c>
      <c r="DA433" t="str">
        <f>""</f>
        <v/>
      </c>
      <c r="DB433" t="str">
        <f>""</f>
        <v/>
      </c>
      <c r="DC433" t="str">
        <f>""</f>
        <v/>
      </c>
      <c r="DD433" t="str">
        <f>""</f>
        <v/>
      </c>
      <c r="DE433" t="str">
        <f>""</f>
        <v/>
      </c>
      <c r="DF433" t="str">
        <f>""</f>
        <v/>
      </c>
      <c r="DG433" t="str">
        <f>""</f>
        <v/>
      </c>
      <c r="DH433" t="str">
        <f>""</f>
        <v/>
      </c>
      <c r="DI433" t="str">
        <f>""</f>
        <v/>
      </c>
      <c r="DJ433" t="str">
        <f>""</f>
        <v/>
      </c>
      <c r="DK433" t="str">
        <f>""</f>
        <v/>
      </c>
      <c r="DL433" t="str">
        <f>""</f>
        <v/>
      </c>
      <c r="DM433" t="str">
        <f>""</f>
        <v/>
      </c>
      <c r="DN433" t="str">
        <f>""</f>
        <v/>
      </c>
      <c r="DO433" t="str">
        <f>""</f>
        <v/>
      </c>
      <c r="DP433" t="str">
        <f>""</f>
        <v/>
      </c>
      <c r="DQ433" t="str">
        <f>""</f>
        <v/>
      </c>
      <c r="DR433" t="str">
        <f>""</f>
        <v/>
      </c>
      <c r="DS433" t="str">
        <f>""</f>
        <v/>
      </c>
      <c r="DT433" t="str">
        <f>""</f>
        <v/>
      </c>
      <c r="DU433" t="str">
        <f>""</f>
        <v/>
      </c>
    </row>
    <row r="434" spans="1:125" x14ac:dyDescent="0.25">
      <c r="A434" t="str">
        <f>"    Guangzhou Automobile Group Co Ltd"</f>
        <v xml:space="preserve">    Guangzhou Automobile Group Co Ltd</v>
      </c>
      <c r="B434" t="str">
        <f>"2238 HK Equity"</f>
        <v>2238 HK Equity</v>
      </c>
      <c r="C434" t="str">
        <f t="shared" si="30"/>
        <v>RR477</v>
      </c>
      <c r="D434" t="str">
        <f t="shared" si="31"/>
        <v>EV_TO_T12M_CASH_FLOW</v>
      </c>
      <c r="E434" t="str">
        <f t="shared" si="32"/>
        <v>Dynamic</v>
      </c>
      <c r="F434" t="str">
        <f ca="1">IF(AND(ISNUMBER($F$1097),$B$677=1),$F$1097,HLOOKUP(INDIRECT(ADDRESS(2,COLUMN())),OFFSET($BN$2,0,0,ROW()-1,60),ROW()-1,FALSE))</f>
        <v/>
      </c>
      <c r="G434" t="str">
        <f ca="1">IF(AND(ISNUMBER($G$1097),$B$677=1),$G$1097,HLOOKUP(INDIRECT(ADDRESS(2,COLUMN())),OFFSET($BN$2,0,0,ROW()-1,60),ROW()-1,FALSE))</f>
        <v/>
      </c>
      <c r="H434">
        <f ca="1">IF(AND(ISNUMBER($H$1097),$B$677=1),$H$1097,HLOOKUP(INDIRECT(ADDRESS(2,COLUMN())),OFFSET($BN$2,0,0,ROW()-1,60),ROW()-1,FALSE))</f>
        <v>7.4541257730000003</v>
      </c>
      <c r="I434">
        <f ca="1">IF(AND(ISNUMBER($I$1097),$B$677=1),$I$1097,HLOOKUP(INDIRECT(ADDRESS(2,COLUMN())),OFFSET($BN$2,0,0,ROW()-1,60),ROW()-1,FALSE))</f>
        <v>4.3242341230000001</v>
      </c>
      <c r="J434">
        <f ca="1">IF(AND(ISNUMBER($J$1097),$B$677=1),$J$1097,HLOOKUP(INDIRECT(ADDRESS(2,COLUMN())),OFFSET($BN$2,0,0,ROW()-1,60),ROW()-1,FALSE))</f>
        <v>12.622780029999999</v>
      </c>
      <c r="K434">
        <f ca="1">IF(AND(ISNUMBER($K$1097),$B$677=1),$K$1097,HLOOKUP(INDIRECT(ADDRESS(2,COLUMN())),OFFSET($BN$2,0,0,ROW()-1,60),ROW()-1,FALSE))</f>
        <v>10.95405508</v>
      </c>
      <c r="L434">
        <f ca="1">IF(AND(ISNUMBER($L$1097),$B$677=1),$L$1097,HLOOKUP(INDIRECT(ADDRESS(2,COLUMN())),OFFSET($BN$2,0,0,ROW()-1,60),ROW()-1,FALSE))</f>
        <v>24.619885050000001</v>
      </c>
      <c r="M434">
        <f ca="1">IF(AND(ISNUMBER($M$1097),$B$677=1),$M$1097,HLOOKUP(INDIRECT(ADDRESS(2,COLUMN())),OFFSET($BN$2,0,0,ROW()-1,60),ROW()-1,FALSE))</f>
        <v>11.59296646</v>
      </c>
      <c r="N434">
        <f ca="1">IF(AND(ISNUMBER($N$1097),$B$677=1),$N$1097,HLOOKUP(INDIRECT(ADDRESS(2,COLUMN())),OFFSET($BN$2,0,0,ROW()-1,60),ROW()-1,FALSE))</f>
        <v>10.812717790000001</v>
      </c>
      <c r="O434">
        <f ca="1">IF(AND(ISNUMBER($O$1097),$B$677=1),$O$1097,HLOOKUP(INDIRECT(ADDRESS(2,COLUMN())),OFFSET($BN$2,0,0,ROW()-1,60),ROW()-1,FALSE))</f>
        <v>11.073405340000001</v>
      </c>
      <c r="P434">
        <f ca="1">IF(AND(ISNUMBER($P$1097),$B$677=1),$P$1097,HLOOKUP(INDIRECT(ADDRESS(2,COLUMN())),OFFSET($BN$2,0,0,ROW()-1,60),ROW()-1,FALSE))</f>
        <v>8.650870136</v>
      </c>
      <c r="Q434">
        <f ca="1">IF(AND(ISNUMBER($Q$1097),$B$677=1),$Q$1097,HLOOKUP(INDIRECT(ADDRESS(2,COLUMN())),OFFSET($BN$2,0,0,ROW()-1,60),ROW()-1,FALSE))</f>
        <v>9.1244024750000001</v>
      </c>
      <c r="R434">
        <f ca="1">IF(AND(ISNUMBER($R$1097),$B$677=1),$R$1097,HLOOKUP(INDIRECT(ADDRESS(2,COLUMN())),OFFSET($BN$2,0,0,ROW()-1,60),ROW()-1,FALSE))</f>
        <v>9.4386180320000008</v>
      </c>
      <c r="S434">
        <f ca="1">IF(AND(ISNUMBER($S$1097),$B$677=1),$S$1097,HLOOKUP(INDIRECT(ADDRESS(2,COLUMN())),OFFSET($BN$2,0,0,ROW()-1,60),ROW()-1,FALSE))</f>
        <v>12.01184612</v>
      </c>
      <c r="T434">
        <f ca="1">IF(AND(ISNUMBER($T$1097),$B$677=1),$T$1097,HLOOKUP(INDIRECT(ADDRESS(2,COLUMN())),OFFSET($BN$2,0,0,ROW()-1,60),ROW()-1,FALSE))</f>
        <v>15.2550525</v>
      </c>
      <c r="U434">
        <f ca="1">IF(AND(ISNUMBER($U$1097),$B$677=1),$U$1097,HLOOKUP(INDIRECT(ADDRESS(2,COLUMN())),OFFSET($BN$2,0,0,ROW()-1,60),ROW()-1,FALSE))</f>
        <v>14.37800895</v>
      </c>
      <c r="V434">
        <f ca="1">IF(AND(ISNUMBER($V$1097),$B$677=1),$V$1097,HLOOKUP(INDIRECT(ADDRESS(2,COLUMN())),OFFSET($BN$2,0,0,ROW()-1,60),ROW()-1,FALSE))</f>
        <v>7.8191126989999997</v>
      </c>
      <c r="W434">
        <f ca="1">IF(AND(ISNUMBER($W$1097),$B$677=1),$W$1097,HLOOKUP(INDIRECT(ADDRESS(2,COLUMN())),OFFSET($BN$2,0,0,ROW()-1,60),ROW()-1,FALSE))</f>
        <v>10.01190347</v>
      </c>
      <c r="X434">
        <f ca="1">IF(AND(ISNUMBER($X$1097),$B$677=1),$X$1097,HLOOKUP(INDIRECT(ADDRESS(2,COLUMN())),OFFSET($BN$2,0,0,ROW()-1,60),ROW()-1,FALSE))</f>
        <v>13.339013700000001</v>
      </c>
      <c r="Y434">
        <f ca="1">IF(AND(ISNUMBER($Y$1097),$B$677=1),$Y$1097,HLOOKUP(INDIRECT(ADDRESS(2,COLUMN())),OFFSET($BN$2,0,0,ROW()-1,60),ROW()-1,FALSE))</f>
        <v>13.00196283</v>
      </c>
      <c r="Z434">
        <f ca="1">IF(AND(ISNUMBER($Z$1097),$B$677=1),$Z$1097,HLOOKUP(INDIRECT(ADDRESS(2,COLUMN())),OFFSET($BN$2,0,0,ROW()-1,60),ROW()-1,FALSE))</f>
        <v>10.75908922</v>
      </c>
      <c r="AA434">
        <f ca="1">IF(AND(ISNUMBER($AA$1097),$B$677=1),$AA$1097,HLOOKUP(INDIRECT(ADDRESS(2,COLUMN())),OFFSET($BN$2,0,0,ROW()-1,60),ROW()-1,FALSE))</f>
        <v>10.7446985</v>
      </c>
      <c r="AB434">
        <f ca="1">IF(AND(ISNUMBER($AB$1097),$B$677=1),$AB$1097,HLOOKUP(INDIRECT(ADDRESS(2,COLUMN())),OFFSET($BN$2,0,0,ROW()-1,60),ROW()-1,FALSE))</f>
        <v>8.2858081380000002</v>
      </c>
      <c r="AC434">
        <f ca="1">IF(AND(ISNUMBER($AC$1097),$B$677=1),$AC$1097,HLOOKUP(INDIRECT(ADDRESS(2,COLUMN())),OFFSET($BN$2,0,0,ROW()-1,60),ROW()-1,FALSE))</f>
        <v>10.142511839999999</v>
      </c>
      <c r="AD434">
        <f ca="1">IF(AND(ISNUMBER($AD$1097),$B$677=1),$AD$1097,HLOOKUP(INDIRECT(ADDRESS(2,COLUMN())),OFFSET($BN$2,0,0,ROW()-1,60),ROW()-1,FALSE))</f>
        <v>6.9835189910000004</v>
      </c>
      <c r="AE434">
        <f ca="1">IF(AND(ISNUMBER($AE$1097),$B$677=1),$AE$1097,HLOOKUP(INDIRECT(ADDRESS(2,COLUMN())),OFFSET($BN$2,0,0,ROW()-1,60),ROW()-1,FALSE))</f>
        <v>8.525896886</v>
      </c>
      <c r="AF434">
        <f ca="1">IF(AND(ISNUMBER($AF$1097),$B$677=1),$AF$1097,HLOOKUP(INDIRECT(ADDRESS(2,COLUMN())),OFFSET($BN$2,0,0,ROW()-1,60),ROW()-1,FALSE))</f>
        <v>4.2380535210000003</v>
      </c>
      <c r="AG434">
        <f ca="1">IF(AND(ISNUMBER($AG$1097),$B$677=1),$AG$1097,HLOOKUP(INDIRECT(ADDRESS(2,COLUMN())),OFFSET($BN$2,0,0,ROW()-1,60),ROW()-1,FALSE))</f>
        <v>7.4259532320000003</v>
      </c>
      <c r="AH434">
        <f ca="1">IF(AND(ISNUMBER($AH$1097),$B$677=1),$AH$1097,HLOOKUP(INDIRECT(ADDRESS(2,COLUMN())),OFFSET($BN$2,0,0,ROW()-1,60),ROW()-1,FALSE))</f>
        <v>8.2422157879999993</v>
      </c>
      <c r="AI434">
        <f ca="1">IF(AND(ISNUMBER($AI$1097),$B$677=1),$AI$1097,HLOOKUP(INDIRECT(ADDRESS(2,COLUMN())),OFFSET($BN$2,0,0,ROW()-1,60),ROW()-1,FALSE))</f>
        <v>5.347003698</v>
      </c>
      <c r="AJ434">
        <f ca="1">IF(AND(ISNUMBER($AJ$1097),$B$677=1),$AJ$1097,HLOOKUP(INDIRECT(ADDRESS(2,COLUMN())),OFFSET($BN$2,0,0,ROW()-1,60),ROW()-1,FALSE))</f>
        <v>12.65028519</v>
      </c>
      <c r="AK434">
        <f ca="1">IF(AND(ISNUMBER($AK$1097),$B$677=1),$AK$1097,HLOOKUP(INDIRECT(ADDRESS(2,COLUMN())),OFFSET($BN$2,0,0,ROW()-1,60),ROW()-1,FALSE))</f>
        <v>7.4816222779999997</v>
      </c>
      <c r="AL434">
        <f ca="1">IF(AND(ISNUMBER($AL$1097),$B$677=1),$AL$1097,HLOOKUP(INDIRECT(ADDRESS(2,COLUMN())),OFFSET($BN$2,0,0,ROW()-1,60),ROW()-1,FALSE))</f>
        <v>10.699020109999999</v>
      </c>
      <c r="AM434">
        <f ca="1">IF(AND(ISNUMBER($AM$1097),$B$677=1),$AM$1097,HLOOKUP(INDIRECT(ADDRESS(2,COLUMN())),OFFSET($BN$2,0,0,ROW()-1,60),ROW()-1,FALSE))</f>
        <v>14.21819024</v>
      </c>
      <c r="AN434">
        <f ca="1">IF(AND(ISNUMBER($AN$1097),$B$677=1),$AN$1097,HLOOKUP(INDIRECT(ADDRESS(2,COLUMN())),OFFSET($BN$2,0,0,ROW()-1,60),ROW()-1,FALSE))</f>
        <v>9.7228384989999999</v>
      </c>
      <c r="AO434" t="str">
        <f ca="1">IF(AND(ISNUMBER($AO$1097),$B$677=1),$AO$1097,HLOOKUP(INDIRECT(ADDRESS(2,COLUMN())),OFFSET($BN$2,0,0,ROW()-1,60),ROW()-1,FALSE))</f>
        <v/>
      </c>
      <c r="AP434" t="str">
        <f ca="1">IF(AND(ISNUMBER($AP$1097),$B$677=1),$AP$1097,HLOOKUP(INDIRECT(ADDRESS(2,COLUMN())),OFFSET($BN$2,0,0,ROW()-1,60),ROW()-1,FALSE))</f>
        <v/>
      </c>
      <c r="AQ434" t="str">
        <f ca="1">IF(AND(ISNUMBER($AQ$1097),$B$677=1),$AQ$1097,HLOOKUP(INDIRECT(ADDRESS(2,COLUMN())),OFFSET($BN$2,0,0,ROW()-1,60),ROW()-1,FALSE))</f>
        <v/>
      </c>
      <c r="AR434" t="str">
        <f ca="1">IF(AND(ISNUMBER($AR$1097),$B$677=1),$AR$1097,HLOOKUP(INDIRECT(ADDRESS(2,COLUMN())),OFFSET($BN$2,0,0,ROW()-1,60),ROW()-1,FALSE))</f>
        <v/>
      </c>
      <c r="AS434" t="str">
        <f ca="1">IF(AND(ISNUMBER($AS$1097),$B$677=1),$AS$1097,HLOOKUP(INDIRECT(ADDRESS(2,COLUMN())),OFFSET($BN$2,0,0,ROW()-1,60),ROW()-1,FALSE))</f>
        <v/>
      </c>
      <c r="AT434" t="str">
        <f ca="1">IF(AND(ISNUMBER($AT$1097),$B$677=1),$AT$1097,HLOOKUP(INDIRECT(ADDRESS(2,COLUMN())),OFFSET($BN$2,0,0,ROW()-1,60),ROW()-1,FALSE))</f>
        <v/>
      </c>
      <c r="AU434" t="str">
        <f ca="1">IF(AND(ISNUMBER($AU$1097),$B$677=1),$AU$1097,HLOOKUP(INDIRECT(ADDRESS(2,COLUMN())),OFFSET($BN$2,0,0,ROW()-1,60),ROW()-1,FALSE))</f>
        <v/>
      </c>
      <c r="AV434" t="str">
        <f ca="1">IF(AND(ISNUMBER($AV$1097),$B$677=1),$AV$1097,HLOOKUP(INDIRECT(ADDRESS(2,COLUMN())),OFFSET($BN$2,0,0,ROW()-1,60),ROW()-1,FALSE))</f>
        <v/>
      </c>
      <c r="AW434" t="str">
        <f ca="1">IF(AND(ISNUMBER($AW$1097),$B$677=1),$AW$1097,HLOOKUP(INDIRECT(ADDRESS(2,COLUMN())),OFFSET($BN$2,0,0,ROW()-1,60),ROW()-1,FALSE))</f>
        <v/>
      </c>
      <c r="AX434" t="str">
        <f ca="1">IF(AND(ISNUMBER($AX$1097),$B$677=1),$AX$1097,HLOOKUP(INDIRECT(ADDRESS(2,COLUMN())),OFFSET($BN$2,0,0,ROW()-1,60),ROW()-1,FALSE))</f>
        <v/>
      </c>
      <c r="AY434" t="str">
        <f ca="1">IF(AND(ISNUMBER($AY$1097),$B$677=1),$AY$1097,HLOOKUP(INDIRECT(ADDRESS(2,COLUMN())),OFFSET($BN$2,0,0,ROW()-1,60),ROW()-1,FALSE))</f>
        <v/>
      </c>
      <c r="AZ434" t="str">
        <f ca="1">IF(AND(ISNUMBER($AZ$1097),$B$677=1),$AZ$1097,HLOOKUP(INDIRECT(ADDRESS(2,COLUMN())),OFFSET($BN$2,0,0,ROW()-1,60),ROW()-1,FALSE))</f>
        <v/>
      </c>
      <c r="BA434" t="str">
        <f ca="1">IF(AND(ISNUMBER($BA$1097),$B$677=1),$BA$1097,HLOOKUP(INDIRECT(ADDRESS(2,COLUMN())),OFFSET($BN$2,0,0,ROW()-1,60),ROW()-1,FALSE))</f>
        <v/>
      </c>
      <c r="BB434" t="str">
        <f ca="1">IF(AND(ISNUMBER($BB$1097),$B$677=1),$BB$1097,HLOOKUP(INDIRECT(ADDRESS(2,COLUMN())),OFFSET($BN$2,0,0,ROW()-1,60),ROW()-1,FALSE))</f>
        <v/>
      </c>
      <c r="BC434" t="str">
        <f ca="1">IF(AND(ISNUMBER($BC$1097),$B$677=1),$BC$1097,HLOOKUP(INDIRECT(ADDRESS(2,COLUMN())),OFFSET($BN$2,0,0,ROW()-1,60),ROW()-1,FALSE))</f>
        <v/>
      </c>
      <c r="BD434" t="str">
        <f ca="1">IF(AND(ISNUMBER($BD$1097),$B$677=1),$BD$1097,HLOOKUP(INDIRECT(ADDRESS(2,COLUMN())),OFFSET($BN$2,0,0,ROW()-1,60),ROW()-1,FALSE))</f>
        <v/>
      </c>
      <c r="BE434" t="str">
        <f ca="1">IF(AND(ISNUMBER($BE$1097),$B$677=1),$BE$1097,HLOOKUP(INDIRECT(ADDRESS(2,COLUMN())),OFFSET($BN$2,0,0,ROW()-1,60),ROW()-1,FALSE))</f>
        <v/>
      </c>
      <c r="BF434" t="str">
        <f ca="1">IF(AND(ISNUMBER($BF$1097),$B$677=1),$BF$1097,HLOOKUP(INDIRECT(ADDRESS(2,COLUMN())),OFFSET($BN$2,0,0,ROW()-1,60),ROW()-1,FALSE))</f>
        <v/>
      </c>
      <c r="BG434" t="str">
        <f ca="1">IF(AND(ISNUMBER($BG$1097),$B$677=1),$BG$1097,HLOOKUP(INDIRECT(ADDRESS(2,COLUMN())),OFFSET($BN$2,0,0,ROW()-1,60),ROW()-1,FALSE))</f>
        <v/>
      </c>
      <c r="BH434" t="str">
        <f ca="1">IF(AND(ISNUMBER($BH$1097),$B$677=1),$BH$1097,HLOOKUP(INDIRECT(ADDRESS(2,COLUMN())),OFFSET($BN$2,0,0,ROW()-1,60),ROW()-1,FALSE))</f>
        <v/>
      </c>
      <c r="BI434" t="str">
        <f ca="1">IF(AND(ISNUMBER($BI$1097),$B$677=1),$BI$1097,HLOOKUP(INDIRECT(ADDRESS(2,COLUMN())),OFFSET($BN$2,0,0,ROW()-1,60),ROW()-1,FALSE))</f>
        <v/>
      </c>
      <c r="BJ434" t="str">
        <f ca="1">IF(AND(ISNUMBER($BJ$1097),$B$677=1),$BJ$1097,HLOOKUP(INDIRECT(ADDRESS(2,COLUMN())),OFFSET($BN$2,0,0,ROW()-1,60),ROW()-1,FALSE))</f>
        <v/>
      </c>
      <c r="BK434" t="str">
        <f ca="1">IF(AND(ISNUMBER($BK$1097),$B$677=1),$BK$1097,HLOOKUP(INDIRECT(ADDRESS(2,COLUMN())),OFFSET($BN$2,0,0,ROW()-1,60),ROW()-1,FALSE))</f>
        <v/>
      </c>
      <c r="BL434" t="str">
        <f ca="1">IF(AND(ISNUMBER($BL$1097),$B$677=1),$BL$1097,HLOOKUP(INDIRECT(ADDRESS(2,COLUMN())),OFFSET($BN$2,0,0,ROW()-1,60),ROW()-1,FALSE))</f>
        <v/>
      </c>
      <c r="BM434" t="str">
        <f ca="1">IF(AND(ISNUMBER($BM$1097),$B$677=1),$BM$1097,HLOOKUP(INDIRECT(ADDRESS(2,COLUMN())),OFFSET($BN$2,0,0,ROW()-1,60),ROW()-1,FALSE))</f>
        <v/>
      </c>
      <c r="BN434" t="str">
        <f>""</f>
        <v/>
      </c>
      <c r="BO434" t="str">
        <f>""</f>
        <v/>
      </c>
      <c r="BP434">
        <f>7.454125773</f>
        <v>7.4541257730000003</v>
      </c>
      <c r="BQ434">
        <f>4.324234123</f>
        <v>4.3242341230000001</v>
      </c>
      <c r="BR434">
        <f>12.62278003</f>
        <v>12.622780029999999</v>
      </c>
      <c r="BS434">
        <f>10.95405508</f>
        <v>10.95405508</v>
      </c>
      <c r="BT434">
        <f>24.61988505</f>
        <v>24.619885050000001</v>
      </c>
      <c r="BU434">
        <f>11.59296646</f>
        <v>11.59296646</v>
      </c>
      <c r="BV434">
        <f>10.81271779</f>
        <v>10.812717790000001</v>
      </c>
      <c r="BW434">
        <f>11.07340534</f>
        <v>11.073405340000001</v>
      </c>
      <c r="BX434">
        <f>8.650870136</f>
        <v>8.650870136</v>
      </c>
      <c r="BY434">
        <f>9.124402475</f>
        <v>9.1244024750000001</v>
      </c>
      <c r="BZ434">
        <f>9.438618032</f>
        <v>9.4386180320000008</v>
      </c>
      <c r="CA434">
        <f>12.01184612</f>
        <v>12.01184612</v>
      </c>
      <c r="CB434">
        <f>15.2550525</f>
        <v>15.2550525</v>
      </c>
      <c r="CC434">
        <f>14.37800895</f>
        <v>14.37800895</v>
      </c>
      <c r="CD434">
        <f>7.819112699</f>
        <v>7.8191126989999997</v>
      </c>
      <c r="CE434">
        <f>10.01190347</f>
        <v>10.01190347</v>
      </c>
      <c r="CF434">
        <f>13.3390137</f>
        <v>13.339013700000001</v>
      </c>
      <c r="CG434">
        <f>13.00196283</f>
        <v>13.00196283</v>
      </c>
      <c r="CH434">
        <f>10.75908922</f>
        <v>10.75908922</v>
      </c>
      <c r="CI434">
        <f>10.7446985</f>
        <v>10.7446985</v>
      </c>
      <c r="CJ434">
        <f>8.285808138</f>
        <v>8.2858081380000002</v>
      </c>
      <c r="CK434">
        <f>10.14251184</f>
        <v>10.142511839999999</v>
      </c>
      <c r="CL434">
        <f>6.983518991</f>
        <v>6.9835189910000004</v>
      </c>
      <c r="CM434">
        <f>8.525896886</f>
        <v>8.525896886</v>
      </c>
      <c r="CN434">
        <f>4.238053521</f>
        <v>4.2380535210000003</v>
      </c>
      <c r="CO434">
        <f>7.425953232</f>
        <v>7.4259532320000003</v>
      </c>
      <c r="CP434">
        <f>8.242215788</f>
        <v>8.2422157879999993</v>
      </c>
      <c r="CQ434">
        <f>5.347003698</f>
        <v>5.347003698</v>
      </c>
      <c r="CR434">
        <f>12.65028519</f>
        <v>12.65028519</v>
      </c>
      <c r="CS434">
        <f>7.481622278</f>
        <v>7.4816222779999997</v>
      </c>
      <c r="CT434">
        <f>10.69902011</f>
        <v>10.699020109999999</v>
      </c>
      <c r="CU434">
        <f>14.21819024</f>
        <v>14.21819024</v>
      </c>
      <c r="CV434">
        <f>9.722838499</f>
        <v>9.7228384989999999</v>
      </c>
      <c r="CW434" t="str">
        <f>""</f>
        <v/>
      </c>
      <c r="CX434" t="str">
        <f>""</f>
        <v/>
      </c>
      <c r="CY434" t="str">
        <f>""</f>
        <v/>
      </c>
      <c r="CZ434" t="str">
        <f>""</f>
        <v/>
      </c>
      <c r="DA434" t="str">
        <f>""</f>
        <v/>
      </c>
      <c r="DB434" t="str">
        <f>""</f>
        <v/>
      </c>
      <c r="DC434" t="str">
        <f>""</f>
        <v/>
      </c>
      <c r="DD434" t="str">
        <f>""</f>
        <v/>
      </c>
      <c r="DE434" t="str">
        <f>""</f>
        <v/>
      </c>
      <c r="DF434" t="str">
        <f>""</f>
        <v/>
      </c>
      <c r="DG434" t="str">
        <f>""</f>
        <v/>
      </c>
      <c r="DH434" t="str">
        <f>""</f>
        <v/>
      </c>
      <c r="DI434" t="str">
        <f>""</f>
        <v/>
      </c>
      <c r="DJ434" t="str">
        <f>""</f>
        <v/>
      </c>
      <c r="DK434" t="str">
        <f>""</f>
        <v/>
      </c>
      <c r="DL434" t="str">
        <f>""</f>
        <v/>
      </c>
      <c r="DM434" t="str">
        <f>""</f>
        <v/>
      </c>
      <c r="DN434" t="str">
        <f>""</f>
        <v/>
      </c>
      <c r="DO434" t="str">
        <f>""</f>
        <v/>
      </c>
      <c r="DP434" t="str">
        <f>""</f>
        <v/>
      </c>
      <c r="DQ434" t="str">
        <f>""</f>
        <v/>
      </c>
      <c r="DR434" t="str">
        <f>""</f>
        <v/>
      </c>
      <c r="DS434" t="str">
        <f>""</f>
        <v/>
      </c>
      <c r="DT434" t="str">
        <f>""</f>
        <v/>
      </c>
      <c r="DU434" t="str">
        <f>""</f>
        <v/>
      </c>
    </row>
    <row r="435" spans="1:125" x14ac:dyDescent="0.25">
      <c r="A435" t="str">
        <f>"    Honda Motor Co Ltd"</f>
        <v xml:space="preserve">    Honda Motor Co Ltd</v>
      </c>
      <c r="B435" t="str">
        <f>"7267 JP Equity"</f>
        <v>7267 JP Equity</v>
      </c>
      <c r="C435" t="str">
        <f t="shared" si="30"/>
        <v>RR477</v>
      </c>
      <c r="D435" t="str">
        <f t="shared" si="31"/>
        <v>EV_TO_T12M_CASH_FLOW</v>
      </c>
      <c r="E435" t="str">
        <f t="shared" si="32"/>
        <v>Dynamic</v>
      </c>
      <c r="F435" t="str">
        <f ca="1">IF(AND(ISNUMBER($F$1098),$B$677=1),$F$1098,HLOOKUP(INDIRECT(ADDRESS(2,COLUMN())),OFFSET($BN$2,0,0,ROW()-1,60),ROW()-1,FALSE))</f>
        <v/>
      </c>
      <c r="G435">
        <f ca="1">IF(AND(ISNUMBER($G$1098),$B$677=1),$G$1098,HLOOKUP(INDIRECT(ADDRESS(2,COLUMN())),OFFSET($BN$2,0,0,ROW()-1,60),ROW()-1,FALSE))</f>
        <v>11.9497447</v>
      </c>
      <c r="H435">
        <f ca="1">IF(AND(ISNUMBER($H$1098),$B$677=1),$H$1098,HLOOKUP(INDIRECT(ADDRESS(2,COLUMN())),OFFSET($BN$2,0,0,ROW()-1,60),ROW()-1,FALSE))</f>
        <v>12.722888040000001</v>
      </c>
      <c r="I435">
        <f ca="1">IF(AND(ISNUMBER($I$1098),$B$677=1),$I$1098,HLOOKUP(INDIRECT(ADDRESS(2,COLUMN())),OFFSET($BN$2,0,0,ROW()-1,60),ROW()-1,FALSE))</f>
        <v>10.591481999999999</v>
      </c>
      <c r="J435">
        <f ca="1">IF(AND(ISNUMBER($J$1098),$B$677=1),$J$1098,HLOOKUP(INDIRECT(ADDRESS(2,COLUMN())),OFFSET($BN$2,0,0,ROW()-1,60),ROW()-1,FALSE))</f>
        <v>11.566805949999999</v>
      </c>
      <c r="K435">
        <f ca="1">IF(AND(ISNUMBER($K$1098),$B$677=1),$K$1098,HLOOKUP(INDIRECT(ADDRESS(2,COLUMN())),OFFSET($BN$2,0,0,ROW()-1,60),ROW()-1,FALSE))</f>
        <v>11.520299229999999</v>
      </c>
      <c r="L435">
        <f ca="1">IF(AND(ISNUMBER($L$1098),$B$677=1),$L$1098,HLOOKUP(INDIRECT(ADDRESS(2,COLUMN())),OFFSET($BN$2,0,0,ROW()-1,60),ROW()-1,FALSE))</f>
        <v>11.23918029</v>
      </c>
      <c r="M435">
        <f ca="1">IF(AND(ISNUMBER($M$1098),$B$677=1),$M$1098,HLOOKUP(INDIRECT(ADDRESS(2,COLUMN())),OFFSET($BN$2,0,0,ROW()-1,60),ROW()-1,FALSE))</f>
        <v>11.918097270000001</v>
      </c>
      <c r="N435">
        <f ca="1">IF(AND(ISNUMBER($N$1098),$B$677=1),$N$1098,HLOOKUP(INDIRECT(ADDRESS(2,COLUMN())),OFFSET($BN$2,0,0,ROW()-1,60),ROW()-1,FALSE))</f>
        <v>12.525834140000001</v>
      </c>
      <c r="O435">
        <f ca="1">IF(AND(ISNUMBER($O$1098),$B$677=1),$O$1098,HLOOKUP(INDIRECT(ADDRESS(2,COLUMN())),OFFSET($BN$2,0,0,ROW()-1,60),ROW()-1,FALSE))</f>
        <v>12.97784526</v>
      </c>
      <c r="P435">
        <f ca="1">IF(AND(ISNUMBER($P$1098),$B$677=1),$P$1098,HLOOKUP(INDIRECT(ADDRESS(2,COLUMN())),OFFSET($BN$2,0,0,ROW()-1,60),ROW()-1,FALSE))</f>
        <v>9.1236190809999993</v>
      </c>
      <c r="Q435">
        <f ca="1">IF(AND(ISNUMBER($Q$1098),$B$677=1),$Q$1098,HLOOKUP(INDIRECT(ADDRESS(2,COLUMN())),OFFSET($BN$2,0,0,ROW()-1,60),ROW()-1,FALSE))</f>
        <v>8.136477438</v>
      </c>
      <c r="R435">
        <f ca="1">IF(AND(ISNUMBER($R$1098),$B$677=1),$R$1098,HLOOKUP(INDIRECT(ADDRESS(2,COLUMN())),OFFSET($BN$2,0,0,ROW()-1,60),ROW()-1,FALSE))</f>
        <v>7.6709117859999996</v>
      </c>
      <c r="S435">
        <f ca="1">IF(AND(ISNUMBER($S$1098),$B$677=1),$S$1098,HLOOKUP(INDIRECT(ADDRESS(2,COLUMN())),OFFSET($BN$2,0,0,ROW()-1,60),ROW()-1,FALSE))</f>
        <v>8.5830899570000003</v>
      </c>
      <c r="T435">
        <f ca="1">IF(AND(ISNUMBER($T$1098),$B$677=1),$T$1098,HLOOKUP(INDIRECT(ADDRESS(2,COLUMN())),OFFSET($BN$2,0,0,ROW()-1,60),ROW()-1,FALSE))</f>
        <v>8.3263913400000007</v>
      </c>
      <c r="U435">
        <f ca="1">IF(AND(ISNUMBER($U$1098),$B$677=1),$U$1098,HLOOKUP(INDIRECT(ADDRESS(2,COLUMN())),OFFSET($BN$2,0,0,ROW()-1,60),ROW()-1,FALSE))</f>
        <v>9.4437698599999997</v>
      </c>
      <c r="V435">
        <f ca="1">IF(AND(ISNUMBER($V$1098),$B$677=1),$V$1098,HLOOKUP(INDIRECT(ADDRESS(2,COLUMN())),OFFSET($BN$2,0,0,ROW()-1,60),ROW()-1,FALSE))</f>
        <v>11.85680455</v>
      </c>
      <c r="W435">
        <f ca="1">IF(AND(ISNUMBER($W$1098),$B$677=1),$W$1098,HLOOKUP(INDIRECT(ADDRESS(2,COLUMN())),OFFSET($BN$2,0,0,ROW()-1,60),ROW()-1,FALSE))</f>
        <v>13.22892882</v>
      </c>
      <c r="X435">
        <f ca="1">IF(AND(ISNUMBER($X$1098),$B$677=1),$X$1098,HLOOKUP(INDIRECT(ADDRESS(2,COLUMN())),OFFSET($BN$2,0,0,ROW()-1,60),ROW()-1,FALSE))</f>
        <v>13.386505680000001</v>
      </c>
      <c r="Y435">
        <f ca="1">IF(AND(ISNUMBER($Y$1098),$B$677=1),$Y$1098,HLOOKUP(INDIRECT(ADDRESS(2,COLUMN())),OFFSET($BN$2,0,0,ROW()-1,60),ROW()-1,FALSE))</f>
        <v>10.414413639999999</v>
      </c>
      <c r="Z435">
        <f ca="1">IF(AND(ISNUMBER($Z$1098),$B$677=1),$Z$1098,HLOOKUP(INDIRECT(ADDRESS(2,COLUMN())),OFFSET($BN$2,0,0,ROW()-1,60),ROW()-1,FALSE))</f>
        <v>9.1006470539999995</v>
      </c>
      <c r="AA435">
        <f ca="1">IF(AND(ISNUMBER($AA$1098),$B$677=1),$AA$1098,HLOOKUP(INDIRECT(ADDRESS(2,COLUMN())),OFFSET($BN$2,0,0,ROW()-1,60),ROW()-1,FALSE))</f>
        <v>10.76348853</v>
      </c>
      <c r="AB435">
        <f ca="1">IF(AND(ISNUMBER($AB$1098),$B$677=1),$AB$1098,HLOOKUP(INDIRECT(ADDRESS(2,COLUMN())),OFFSET($BN$2,0,0,ROW()-1,60),ROW()-1,FALSE))</f>
        <v>9.3895121659999994</v>
      </c>
      <c r="AC435">
        <f ca="1">IF(AND(ISNUMBER($AC$1098),$B$677=1),$AC$1098,HLOOKUP(INDIRECT(ADDRESS(2,COLUMN())),OFFSET($BN$2,0,0,ROW()-1,60),ROW()-1,FALSE))</f>
        <v>11.73201177</v>
      </c>
      <c r="AD435">
        <f ca="1">IF(AND(ISNUMBER($AD$1098),$B$677=1),$AD$1098,HLOOKUP(INDIRECT(ADDRESS(2,COLUMN())),OFFSET($BN$2,0,0,ROW()-1,60),ROW()-1,FALSE))</f>
        <v>12.807453900000001</v>
      </c>
      <c r="AE435">
        <f ca="1">IF(AND(ISNUMBER($AE$1098),$B$677=1),$AE$1098,HLOOKUP(INDIRECT(ADDRESS(2,COLUMN())),OFFSET($BN$2,0,0,ROW()-1,60),ROW()-1,FALSE))</f>
        <v>12.44387746</v>
      </c>
      <c r="AF435">
        <f ca="1">IF(AND(ISNUMBER($AF$1098),$B$677=1),$AF$1098,HLOOKUP(INDIRECT(ADDRESS(2,COLUMN())),OFFSET($BN$2,0,0,ROW()-1,60),ROW()-1,FALSE))</f>
        <v>13.516376579999999</v>
      </c>
      <c r="AG435">
        <f ca="1">IF(AND(ISNUMBER($AG$1098),$B$677=1),$AG$1098,HLOOKUP(INDIRECT(ADDRESS(2,COLUMN())),OFFSET($BN$2,0,0,ROW()-1,60),ROW()-1,FALSE))</f>
        <v>11.14540925</v>
      </c>
      <c r="AH435">
        <f ca="1">IF(AND(ISNUMBER($AH$1098),$B$677=1),$AH$1098,HLOOKUP(INDIRECT(ADDRESS(2,COLUMN())),OFFSET($BN$2,0,0,ROW()-1,60),ROW()-1,FALSE))</f>
        <v>11.740844360000001</v>
      </c>
      <c r="AI435">
        <f ca="1">IF(AND(ISNUMBER($AI$1098),$B$677=1),$AI$1098,HLOOKUP(INDIRECT(ADDRESS(2,COLUMN())),OFFSET($BN$2,0,0,ROW()-1,60),ROW()-1,FALSE))</f>
        <v>8.6559417819999993</v>
      </c>
      <c r="AJ435">
        <f ca="1">IF(AND(ISNUMBER($AJ$1098),$B$677=1),$AJ$1098,HLOOKUP(INDIRECT(ADDRESS(2,COLUMN())),OFFSET($BN$2,0,0,ROW()-1,60),ROW()-1,FALSE))</f>
        <v>7.5984042399999998</v>
      </c>
      <c r="AK435">
        <f ca="1">IF(AND(ISNUMBER($AK$1098),$B$677=1),$AK$1098,HLOOKUP(INDIRECT(ADDRESS(2,COLUMN())),OFFSET($BN$2,0,0,ROW()-1,60),ROW()-1,FALSE))</f>
        <v>9.0448992780000008</v>
      </c>
      <c r="AL435">
        <f ca="1">IF(AND(ISNUMBER($AL$1098),$B$677=1),$AL$1098,HLOOKUP(INDIRECT(ADDRESS(2,COLUMN())),OFFSET($BN$2,0,0,ROW()-1,60),ROW()-1,FALSE))</f>
        <v>8.0185320979999997</v>
      </c>
      <c r="AM435">
        <f ca="1">IF(AND(ISNUMBER($AM$1098),$B$677=1),$AM$1098,HLOOKUP(INDIRECT(ADDRESS(2,COLUMN())),OFFSET($BN$2,0,0,ROW()-1,60),ROW()-1,FALSE))</f>
        <v>7.9826417799999998</v>
      </c>
      <c r="AN435">
        <f ca="1">IF(AND(ISNUMBER($AN$1098),$B$677=1),$AN$1098,HLOOKUP(INDIRECT(ADDRESS(2,COLUMN())),OFFSET($BN$2,0,0,ROW()-1,60),ROW()-1,FALSE))</f>
        <v>6.601398938</v>
      </c>
      <c r="AO435">
        <f ca="1">IF(AND(ISNUMBER($AO$1098),$B$677=1),$AO$1098,HLOOKUP(INDIRECT(ADDRESS(2,COLUMN())),OFFSET($BN$2,0,0,ROW()-1,60),ROW()-1,FALSE))</f>
        <v>5.2687598600000003</v>
      </c>
      <c r="AP435">
        <f ca="1">IF(AND(ISNUMBER($AP$1098),$B$677=1),$AP$1098,HLOOKUP(INDIRECT(ADDRESS(2,COLUMN())),OFFSET($BN$2,0,0,ROW()-1,60),ROW()-1,FALSE))</f>
        <v>5.8899866269999999</v>
      </c>
      <c r="AQ435">
        <f ca="1">IF(AND(ISNUMBER($AQ$1098),$B$677=1),$AQ$1098,HLOOKUP(INDIRECT(ADDRESS(2,COLUMN())),OFFSET($BN$2,0,0,ROW()-1,60),ROW()-1,FALSE))</f>
        <v>7.3789457599999997</v>
      </c>
      <c r="AR435">
        <f ca="1">IF(AND(ISNUMBER($AR$1098),$B$677=1),$AR$1098,HLOOKUP(INDIRECT(ADDRESS(2,COLUMN())),OFFSET($BN$2,0,0,ROW()-1,60),ROW()-1,FALSE))</f>
        <v>9.6031789869999997</v>
      </c>
      <c r="AS435">
        <f ca="1">IF(AND(ISNUMBER($AS$1098),$B$677=1),$AS$1098,HLOOKUP(INDIRECT(ADDRESS(2,COLUMN())),OFFSET($BN$2,0,0,ROW()-1,60),ROW()-1,FALSE))</f>
        <v>18.998387409999999</v>
      </c>
      <c r="AT435">
        <f ca="1">IF(AND(ISNUMBER($AT$1098),$B$677=1),$AT$1098,HLOOKUP(INDIRECT(ADDRESS(2,COLUMN())),OFFSET($BN$2,0,0,ROW()-1,60),ROW()-1,FALSE))</f>
        <v>21.505745829999999</v>
      </c>
      <c r="AU435">
        <f ca="1">IF(AND(ISNUMBER($AU$1098),$B$677=1),$AU$1098,HLOOKUP(INDIRECT(ADDRESS(2,COLUMN())),OFFSET($BN$2,0,0,ROW()-1,60),ROW()-1,FALSE))</f>
        <v>9.2841081780000003</v>
      </c>
      <c r="AV435">
        <f ca="1">IF(AND(ISNUMBER($AV$1098),$B$677=1),$AV$1098,HLOOKUP(INDIRECT(ADDRESS(2,COLUMN())),OFFSET($BN$2,0,0,ROW()-1,60),ROW()-1,FALSE))</f>
        <v>9.139420908</v>
      </c>
      <c r="AW435">
        <f ca="1">IF(AND(ISNUMBER($AW$1098),$B$677=1),$AW$1098,HLOOKUP(INDIRECT(ADDRESS(2,COLUMN())),OFFSET($BN$2,0,0,ROW()-1,60),ROW()-1,FALSE))</f>
        <v>8.6218569190000007</v>
      </c>
      <c r="AX435">
        <f ca="1">IF(AND(ISNUMBER($AX$1098),$B$677=1),$AX$1098,HLOOKUP(INDIRECT(ADDRESS(2,COLUMN())),OFFSET($BN$2,0,0,ROW()-1,60),ROW()-1,FALSE))</f>
        <v>7.6718335519999998</v>
      </c>
      <c r="AY435">
        <f ca="1">IF(AND(ISNUMBER($AY$1098),$B$677=1),$AY$1098,HLOOKUP(INDIRECT(ADDRESS(2,COLUMN())),OFFSET($BN$2,0,0,ROW()-1,60),ROW()-1,FALSE))</f>
        <v>9.4956085980000005</v>
      </c>
      <c r="AZ435">
        <f ca="1">IF(AND(ISNUMBER($AZ$1098),$B$677=1),$AZ$1098,HLOOKUP(INDIRECT(ADDRESS(2,COLUMN())),OFFSET($BN$2,0,0,ROW()-1,60),ROW()-1,FALSE))</f>
        <v>10.592432260000001</v>
      </c>
      <c r="BA435">
        <f ca="1">IF(AND(ISNUMBER($BA$1098),$B$677=1),$BA$1098,HLOOKUP(INDIRECT(ADDRESS(2,COLUMN())),OFFSET($BN$2,0,0,ROW()-1,60),ROW()-1,FALSE))</f>
        <v>12.03610563</v>
      </c>
      <c r="BB435">
        <f ca="1">IF(AND(ISNUMBER($BB$1098),$B$677=1),$BB$1098,HLOOKUP(INDIRECT(ADDRESS(2,COLUMN())),OFFSET($BN$2,0,0,ROW()-1,60),ROW()-1,FALSE))</f>
        <v>11.683003619999999</v>
      </c>
      <c r="BC435">
        <f ca="1">IF(AND(ISNUMBER($BC$1098),$B$677=1),$BC$1098,HLOOKUP(INDIRECT(ADDRESS(2,COLUMN())),OFFSET($BN$2,0,0,ROW()-1,60),ROW()-1,FALSE))</f>
        <v>14.86069299</v>
      </c>
      <c r="BD435">
        <f ca="1">IF(AND(ISNUMBER($BD$1098),$B$677=1),$BD$1098,HLOOKUP(INDIRECT(ADDRESS(2,COLUMN())),OFFSET($BN$2,0,0,ROW()-1,60),ROW()-1,FALSE))</f>
        <v>13.716841280000001</v>
      </c>
      <c r="BE435">
        <f ca="1">IF(AND(ISNUMBER($BE$1098),$B$677=1),$BE$1098,HLOOKUP(INDIRECT(ADDRESS(2,COLUMN())),OFFSET($BN$2,0,0,ROW()-1,60),ROW()-1,FALSE))</f>
        <v>14.42387899</v>
      </c>
      <c r="BF435">
        <f ca="1">IF(AND(ISNUMBER($BF$1098),$B$677=1),$BF$1098,HLOOKUP(INDIRECT(ADDRESS(2,COLUMN())),OFFSET($BN$2,0,0,ROW()-1,60),ROW()-1,FALSE))</f>
        <v>15.825328170000001</v>
      </c>
      <c r="BG435">
        <f ca="1">IF(AND(ISNUMBER($BG$1098),$B$677=1),$BG$1098,HLOOKUP(INDIRECT(ADDRESS(2,COLUMN())),OFFSET($BN$2,0,0,ROW()-1,60),ROW()-1,FALSE))</f>
        <v>14.50684661</v>
      </c>
      <c r="BH435">
        <f ca="1">IF(AND(ISNUMBER($BH$1098),$B$677=1),$BH$1098,HLOOKUP(INDIRECT(ADDRESS(2,COLUMN())),OFFSET($BN$2,0,0,ROW()-1,60),ROW()-1,FALSE))</f>
        <v>11.59710375</v>
      </c>
      <c r="BI435" t="str">
        <f ca="1">IF(AND(ISNUMBER($BI$1098),$B$677=1),$BI$1098,HLOOKUP(INDIRECT(ADDRESS(2,COLUMN())),OFFSET($BN$2,0,0,ROW()-1,60),ROW()-1,FALSE))</f>
        <v/>
      </c>
      <c r="BJ435">
        <f ca="1">IF(AND(ISNUMBER($BJ$1098),$B$677=1),$BJ$1098,HLOOKUP(INDIRECT(ADDRESS(2,COLUMN())),OFFSET($BN$2,0,0,ROW()-1,60),ROW()-1,FALSE))</f>
        <v>9.4374489340000007</v>
      </c>
      <c r="BK435" t="str">
        <f ca="1">IF(AND(ISNUMBER($BK$1098),$B$677=1),$BK$1098,HLOOKUP(INDIRECT(ADDRESS(2,COLUMN())),OFFSET($BN$2,0,0,ROW()-1,60),ROW()-1,FALSE))</f>
        <v/>
      </c>
      <c r="BL435" t="str">
        <f ca="1">IF(AND(ISNUMBER($BL$1098),$B$677=1),$BL$1098,HLOOKUP(INDIRECT(ADDRESS(2,COLUMN())),OFFSET($BN$2,0,0,ROW()-1,60),ROW()-1,FALSE))</f>
        <v/>
      </c>
      <c r="BM435" t="str">
        <f ca="1">IF(AND(ISNUMBER($BM$1098),$B$677=1),$BM$1098,HLOOKUP(INDIRECT(ADDRESS(2,COLUMN())),OFFSET($BN$2,0,0,ROW()-1,60),ROW()-1,FALSE))</f>
        <v/>
      </c>
      <c r="BN435" t="str">
        <f>""</f>
        <v/>
      </c>
      <c r="BO435">
        <f>11.9497447</f>
        <v>11.9497447</v>
      </c>
      <c r="BP435">
        <f>12.72288804</f>
        <v>12.722888040000001</v>
      </c>
      <c r="BQ435">
        <f>10.591482</f>
        <v>10.591481999999999</v>
      </c>
      <c r="BR435">
        <f>11.56680595</f>
        <v>11.566805949999999</v>
      </c>
      <c r="BS435">
        <f>11.52029923</f>
        <v>11.520299229999999</v>
      </c>
      <c r="BT435">
        <f>11.23918029</f>
        <v>11.23918029</v>
      </c>
      <c r="BU435">
        <f>11.91809727</f>
        <v>11.918097270000001</v>
      </c>
      <c r="BV435">
        <f>12.52583414</f>
        <v>12.525834140000001</v>
      </c>
      <c r="BW435">
        <f>12.97784526</f>
        <v>12.97784526</v>
      </c>
      <c r="BX435">
        <f>9.123619081</f>
        <v>9.1236190809999993</v>
      </c>
      <c r="BY435">
        <f>8.136477438</f>
        <v>8.136477438</v>
      </c>
      <c r="BZ435">
        <f>7.670911786</f>
        <v>7.6709117859999996</v>
      </c>
      <c r="CA435">
        <f>8.583089957</f>
        <v>8.5830899570000003</v>
      </c>
      <c r="CB435">
        <f>8.32639134</f>
        <v>8.3263913400000007</v>
      </c>
      <c r="CC435">
        <f>9.44376986</f>
        <v>9.4437698599999997</v>
      </c>
      <c r="CD435">
        <f>11.85680455</f>
        <v>11.85680455</v>
      </c>
      <c r="CE435">
        <f>13.22892882</f>
        <v>13.22892882</v>
      </c>
      <c r="CF435">
        <f>13.38650568</f>
        <v>13.386505680000001</v>
      </c>
      <c r="CG435">
        <f>10.41441364</f>
        <v>10.414413639999999</v>
      </c>
      <c r="CH435">
        <f>9.100647054</f>
        <v>9.1006470539999995</v>
      </c>
      <c r="CI435">
        <f>10.76348853</f>
        <v>10.76348853</v>
      </c>
      <c r="CJ435">
        <f>9.389512166</f>
        <v>9.3895121659999994</v>
      </c>
      <c r="CK435">
        <f>11.73201177</f>
        <v>11.73201177</v>
      </c>
      <c r="CL435">
        <f>12.8074539</f>
        <v>12.807453900000001</v>
      </c>
      <c r="CM435">
        <f>12.44387746</f>
        <v>12.44387746</v>
      </c>
      <c r="CN435">
        <f>13.51637658</f>
        <v>13.516376579999999</v>
      </c>
      <c r="CO435">
        <f>11.14540925</f>
        <v>11.14540925</v>
      </c>
      <c r="CP435">
        <f>11.74084436</f>
        <v>11.740844360000001</v>
      </c>
      <c r="CQ435">
        <f>8.655941782</f>
        <v>8.6559417819999993</v>
      </c>
      <c r="CR435">
        <f>7.59840424</f>
        <v>7.5984042399999998</v>
      </c>
      <c r="CS435">
        <f>9.044899278</f>
        <v>9.0448992780000008</v>
      </c>
      <c r="CT435">
        <f>8.018532098</f>
        <v>8.0185320979999997</v>
      </c>
      <c r="CU435">
        <f>7.98264178</f>
        <v>7.9826417799999998</v>
      </c>
      <c r="CV435">
        <f>6.601398938</f>
        <v>6.601398938</v>
      </c>
      <c r="CW435">
        <f>5.26875986</f>
        <v>5.2687598600000003</v>
      </c>
      <c r="CX435">
        <f>5.889986627</f>
        <v>5.8899866269999999</v>
      </c>
      <c r="CY435">
        <f>7.37894576</f>
        <v>7.3789457599999997</v>
      </c>
      <c r="CZ435">
        <f>9.603178987</f>
        <v>9.6031789869999997</v>
      </c>
      <c r="DA435">
        <f>18.99838741</f>
        <v>18.998387409999999</v>
      </c>
      <c r="DB435">
        <f>21.50574583</f>
        <v>21.505745829999999</v>
      </c>
      <c r="DC435">
        <f>9.284108178</f>
        <v>9.2841081780000003</v>
      </c>
      <c r="DD435">
        <f>9.139420908</f>
        <v>9.139420908</v>
      </c>
      <c r="DE435">
        <f>8.621856919</f>
        <v>8.6218569190000007</v>
      </c>
      <c r="DF435">
        <f>7.671833552</f>
        <v>7.6718335519999998</v>
      </c>
      <c r="DG435">
        <f>9.495608598</f>
        <v>9.4956085980000005</v>
      </c>
      <c r="DH435">
        <f>10.59243226</f>
        <v>10.592432260000001</v>
      </c>
      <c r="DI435">
        <f>12.03610563</f>
        <v>12.03610563</v>
      </c>
      <c r="DJ435">
        <f>11.68300362</f>
        <v>11.683003619999999</v>
      </c>
      <c r="DK435">
        <f>14.86069299</f>
        <v>14.86069299</v>
      </c>
      <c r="DL435">
        <f>13.71684128</f>
        <v>13.716841280000001</v>
      </c>
      <c r="DM435">
        <f>14.42387899</f>
        <v>14.42387899</v>
      </c>
      <c r="DN435">
        <f>15.82532817</f>
        <v>15.825328170000001</v>
      </c>
      <c r="DO435">
        <f>14.50684661</f>
        <v>14.50684661</v>
      </c>
      <c r="DP435">
        <f>11.59710375</f>
        <v>11.59710375</v>
      </c>
      <c r="DQ435" t="str">
        <f>""</f>
        <v/>
      </c>
      <c r="DR435">
        <f>9.437448934</f>
        <v>9.4374489340000007</v>
      </c>
      <c r="DS435" t="str">
        <f>""</f>
        <v/>
      </c>
      <c r="DT435" t="str">
        <f>""</f>
        <v/>
      </c>
      <c r="DU435" t="str">
        <f>""</f>
        <v/>
      </c>
    </row>
    <row r="436" spans="1:125" x14ac:dyDescent="0.25">
      <c r="A436" t="str">
        <f>"    Hyundai Motor Co"</f>
        <v xml:space="preserve">    Hyundai Motor Co</v>
      </c>
      <c r="B436" t="str">
        <f>"005380 KS Equity"</f>
        <v>005380 KS Equity</v>
      </c>
      <c r="C436" t="str">
        <f t="shared" si="30"/>
        <v>RR477</v>
      </c>
      <c r="D436" t="str">
        <f t="shared" si="31"/>
        <v>EV_TO_T12M_CASH_FLOW</v>
      </c>
      <c r="E436" t="str">
        <f t="shared" si="32"/>
        <v>Dynamic</v>
      </c>
      <c r="F436" t="str">
        <f ca="1">IF(AND(ISNUMBER($F$1099),$B$677=1),$F$1099,HLOOKUP(INDIRECT(ADDRESS(2,COLUMN())),OFFSET($BN$2,0,0,ROW()-1,60),ROW()-1,FALSE))</f>
        <v/>
      </c>
      <c r="G436" t="str">
        <f ca="1">IF(AND(ISNUMBER($G$1099),$B$677=1),$G$1099,HLOOKUP(INDIRECT(ADDRESS(2,COLUMN())),OFFSET($BN$2,0,0,ROW()-1,60),ROW()-1,FALSE))</f>
        <v/>
      </c>
      <c r="H436">
        <f ca="1">IF(AND(ISNUMBER($H$1099),$B$677=1),$H$1099,HLOOKUP(INDIRECT(ADDRESS(2,COLUMN())),OFFSET($BN$2,0,0,ROW()-1,60),ROW()-1,FALSE))</f>
        <v>15.336768559999999</v>
      </c>
      <c r="I436">
        <f ca="1">IF(AND(ISNUMBER($I$1099),$B$677=1),$I$1099,HLOOKUP(INDIRECT(ADDRESS(2,COLUMN())),OFFSET($BN$2,0,0,ROW()-1,60),ROW()-1,FALSE))</f>
        <v>16.708973149999998</v>
      </c>
      <c r="J436">
        <f ca="1">IF(AND(ISNUMBER($J$1099),$B$677=1),$J$1099,HLOOKUP(INDIRECT(ADDRESS(2,COLUMN())),OFFSET($BN$2,0,0,ROW()-1,60),ROW()-1,FALSE))</f>
        <v>18.55486522</v>
      </c>
      <c r="K436">
        <f ca="1">IF(AND(ISNUMBER($K$1099),$B$677=1),$K$1099,HLOOKUP(INDIRECT(ADDRESS(2,COLUMN())),OFFSET($BN$2,0,0,ROW()-1,60),ROW()-1,FALSE))</f>
        <v>19.99914837</v>
      </c>
      <c r="L436">
        <f ca="1">IF(AND(ISNUMBER($L$1099),$B$677=1),$L$1099,HLOOKUP(INDIRECT(ADDRESS(2,COLUMN())),OFFSET($BN$2,0,0,ROW()-1,60),ROW()-1,FALSE))</f>
        <v>28.411364089999999</v>
      </c>
      <c r="M436">
        <f ca="1">IF(AND(ISNUMBER($M$1099),$B$677=1),$M$1099,HLOOKUP(INDIRECT(ADDRESS(2,COLUMN())),OFFSET($BN$2,0,0,ROW()-1,60),ROW()-1,FALSE))</f>
        <v>30.237298729999999</v>
      </c>
      <c r="N436">
        <f ca="1">IF(AND(ISNUMBER($N$1099),$B$677=1),$N$1099,HLOOKUP(INDIRECT(ADDRESS(2,COLUMN())),OFFSET($BN$2,0,0,ROW()-1,60),ROW()-1,FALSE))</f>
        <v>28.25893147</v>
      </c>
      <c r="O436">
        <f ca="1">IF(AND(ISNUMBER($O$1099),$B$677=1),$O$1099,HLOOKUP(INDIRECT(ADDRESS(2,COLUMN())),OFFSET($BN$2,0,0,ROW()-1,60),ROW()-1,FALSE))</f>
        <v>79.276928650000002</v>
      </c>
      <c r="P436" t="str">
        <f ca="1">IF(AND(ISNUMBER($P$1099),$B$677=1),$P$1099,HLOOKUP(INDIRECT(ADDRESS(2,COLUMN())),OFFSET($BN$2,0,0,ROW()-1,60),ROW()-1,FALSE))</f>
        <v/>
      </c>
      <c r="Q436" t="str">
        <f ca="1">IF(AND(ISNUMBER($Q$1099),$B$677=1),$Q$1099,HLOOKUP(INDIRECT(ADDRESS(2,COLUMN())),OFFSET($BN$2,0,0,ROW()-1,60),ROW()-1,FALSE))</f>
        <v/>
      </c>
      <c r="R436" t="str">
        <f ca="1">IF(AND(ISNUMBER($R$1099),$B$677=1),$R$1099,HLOOKUP(INDIRECT(ADDRESS(2,COLUMN())),OFFSET($BN$2,0,0,ROW()-1,60),ROW()-1,FALSE))</f>
        <v/>
      </c>
      <c r="S436">
        <f ca="1">IF(AND(ISNUMBER($S$1099),$B$677=1),$S$1099,HLOOKUP(INDIRECT(ADDRESS(2,COLUMN())),OFFSET($BN$2,0,0,ROW()-1,60),ROW()-1,FALSE))</f>
        <v>59.272811320000002</v>
      </c>
      <c r="T436" t="str">
        <f ca="1">IF(AND(ISNUMBER($T$1099),$B$677=1),$T$1099,HLOOKUP(INDIRECT(ADDRESS(2,COLUMN())),OFFSET($BN$2,0,0,ROW()-1,60),ROW()-1,FALSE))</f>
        <v/>
      </c>
      <c r="U436">
        <f ca="1">IF(AND(ISNUMBER($U$1099),$B$677=1),$U$1099,HLOOKUP(INDIRECT(ADDRESS(2,COLUMN())),OFFSET($BN$2,0,0,ROW()-1,60),ROW()-1,FALSE))</f>
        <v>101.4439532</v>
      </c>
      <c r="V436">
        <f ca="1">IF(AND(ISNUMBER($V$1099),$B$677=1),$V$1099,HLOOKUP(INDIRECT(ADDRESS(2,COLUMN())),OFFSET($BN$2,0,0,ROW()-1,60),ROW()-1,FALSE))</f>
        <v>61.944183959999997</v>
      </c>
      <c r="W436">
        <f ca="1">IF(AND(ISNUMBER($W$1099),$B$677=1),$W$1099,HLOOKUP(INDIRECT(ADDRESS(2,COLUMN())),OFFSET($BN$2,0,0,ROW()-1,60),ROW()-1,FALSE))</f>
        <v>31.403621260000001</v>
      </c>
      <c r="X436">
        <f ca="1">IF(AND(ISNUMBER($X$1099),$B$677=1),$X$1099,HLOOKUP(INDIRECT(ADDRESS(2,COLUMN())),OFFSET($BN$2,0,0,ROW()-1,60),ROW()-1,FALSE))</f>
        <v>40.645055739999997</v>
      </c>
      <c r="Y436">
        <f ca="1">IF(AND(ISNUMBER($Y$1099),$B$677=1),$Y$1099,HLOOKUP(INDIRECT(ADDRESS(2,COLUMN())),OFFSET($BN$2,0,0,ROW()-1,60),ROW()-1,FALSE))</f>
        <v>356.85027739999998</v>
      </c>
      <c r="Z436">
        <f ca="1">IF(AND(ISNUMBER($Z$1099),$B$677=1),$Z$1099,HLOOKUP(INDIRECT(ADDRESS(2,COLUMN())),OFFSET($BN$2,0,0,ROW()-1,60),ROW()-1,FALSE))</f>
        <v>33.839264499999999</v>
      </c>
      <c r="AA436">
        <f ca="1">IF(AND(ISNUMBER($AA$1099),$B$677=1),$AA$1099,HLOOKUP(INDIRECT(ADDRESS(2,COLUMN())),OFFSET($BN$2,0,0,ROW()-1,60),ROW()-1,FALSE))</f>
        <v>64.366080109999999</v>
      </c>
      <c r="AB436">
        <f ca="1">IF(AND(ISNUMBER($AB$1099),$B$677=1),$AB$1099,HLOOKUP(INDIRECT(ADDRESS(2,COLUMN())),OFFSET($BN$2,0,0,ROW()-1,60),ROW()-1,FALSE))</f>
        <v>16.953562170000001</v>
      </c>
      <c r="AC436">
        <f ca="1">IF(AND(ISNUMBER($AC$1099),$B$677=1),$AC$1099,HLOOKUP(INDIRECT(ADDRESS(2,COLUMN())),OFFSET($BN$2,0,0,ROW()-1,60),ROW()-1,FALSE))</f>
        <v>10.70327726</v>
      </c>
      <c r="AD436">
        <f ca="1">IF(AND(ISNUMBER($AD$1099),$B$677=1),$AD$1099,HLOOKUP(INDIRECT(ADDRESS(2,COLUMN())),OFFSET($BN$2,0,0,ROW()-1,60),ROW()-1,FALSE))</f>
        <v>14.9278063</v>
      </c>
      <c r="AE436">
        <f ca="1">IF(AND(ISNUMBER($AE$1099),$B$677=1),$AE$1099,HLOOKUP(INDIRECT(ADDRESS(2,COLUMN())),OFFSET($BN$2,0,0,ROW()-1,60),ROW()-1,FALSE))</f>
        <v>13.9303829</v>
      </c>
      <c r="AF436">
        <f ca="1">IF(AND(ISNUMBER($AF$1099),$B$677=1),$AF$1099,HLOOKUP(INDIRECT(ADDRESS(2,COLUMN())),OFFSET($BN$2,0,0,ROW()-1,60),ROW()-1,FALSE))</f>
        <v>14.06089268</v>
      </c>
      <c r="AG436">
        <f ca="1">IF(AND(ISNUMBER($AG$1099),$B$677=1),$AG$1099,HLOOKUP(INDIRECT(ADDRESS(2,COLUMN())),OFFSET($BN$2,0,0,ROW()-1,60),ROW()-1,FALSE))</f>
        <v>18.291557709999999</v>
      </c>
      <c r="AH436">
        <f ca="1">IF(AND(ISNUMBER($AH$1099),$B$677=1),$AH$1099,HLOOKUP(INDIRECT(ADDRESS(2,COLUMN())),OFFSET($BN$2,0,0,ROW()-1,60),ROW()-1,FALSE))</f>
        <v>16.36004333</v>
      </c>
      <c r="AI436">
        <f ca="1">IF(AND(ISNUMBER($AI$1099),$B$677=1),$AI$1099,HLOOKUP(INDIRECT(ADDRESS(2,COLUMN())),OFFSET($BN$2,0,0,ROW()-1,60),ROW()-1,FALSE))</f>
        <v>17.987749090000001</v>
      </c>
      <c r="AJ436">
        <f ca="1">IF(AND(ISNUMBER($AJ$1099),$B$677=1),$AJ$1099,HLOOKUP(INDIRECT(ADDRESS(2,COLUMN())),OFFSET($BN$2,0,0,ROW()-1,60),ROW()-1,FALSE))</f>
        <v>18.080474110000001</v>
      </c>
      <c r="AK436">
        <f ca="1">IF(AND(ISNUMBER($AK$1099),$B$677=1),$AK$1099,HLOOKUP(INDIRECT(ADDRESS(2,COLUMN())),OFFSET($BN$2,0,0,ROW()-1,60),ROW()-1,FALSE))</f>
        <v>19.797446099999998</v>
      </c>
      <c r="AL436">
        <f ca="1">IF(AND(ISNUMBER($AL$1099),$B$677=1),$AL$1099,HLOOKUP(INDIRECT(ADDRESS(2,COLUMN())),OFFSET($BN$2,0,0,ROW()-1,60),ROW()-1,FALSE))</f>
        <v>16.58044847</v>
      </c>
      <c r="AM436">
        <f ca="1">IF(AND(ISNUMBER($AM$1099),$B$677=1),$AM$1099,HLOOKUP(INDIRECT(ADDRESS(2,COLUMN())),OFFSET($BN$2,0,0,ROW()-1,60),ROW()-1,FALSE))</f>
        <v>14.32718903</v>
      </c>
      <c r="AN436" t="str">
        <f ca="1">IF(AND(ISNUMBER($AN$1099),$B$677=1),$AN$1099,HLOOKUP(INDIRECT(ADDRESS(2,COLUMN())),OFFSET($BN$2,0,0,ROW()-1,60),ROW()-1,FALSE))</f>
        <v/>
      </c>
      <c r="AO436" t="str">
        <f ca="1">IF(AND(ISNUMBER($AO$1099),$B$677=1),$AO$1099,HLOOKUP(INDIRECT(ADDRESS(2,COLUMN())),OFFSET($BN$2,0,0,ROW()-1,60),ROW()-1,FALSE))</f>
        <v/>
      </c>
      <c r="AP436" t="str">
        <f ca="1">IF(AND(ISNUMBER($AP$1099),$B$677=1),$AP$1099,HLOOKUP(INDIRECT(ADDRESS(2,COLUMN())),OFFSET($BN$2,0,0,ROW()-1,60),ROW()-1,FALSE))</f>
        <v/>
      </c>
      <c r="AQ436" t="str">
        <f ca="1">IF(AND(ISNUMBER($AQ$1099),$B$677=1),$AQ$1099,HLOOKUP(INDIRECT(ADDRESS(2,COLUMN())),OFFSET($BN$2,0,0,ROW()-1,60),ROW()-1,FALSE))</f>
        <v/>
      </c>
      <c r="AR436" t="str">
        <f ca="1">IF(AND(ISNUMBER($AR$1099),$B$677=1),$AR$1099,HLOOKUP(INDIRECT(ADDRESS(2,COLUMN())),OFFSET($BN$2,0,0,ROW()-1,60),ROW()-1,FALSE))</f>
        <v/>
      </c>
      <c r="AS436" t="str">
        <f ca="1">IF(AND(ISNUMBER($AS$1099),$B$677=1),$AS$1099,HLOOKUP(INDIRECT(ADDRESS(2,COLUMN())),OFFSET($BN$2,0,0,ROW()-1,60),ROW()-1,FALSE))</f>
        <v/>
      </c>
      <c r="AT436" t="str">
        <f ca="1">IF(AND(ISNUMBER($AT$1099),$B$677=1),$AT$1099,HLOOKUP(INDIRECT(ADDRESS(2,COLUMN())),OFFSET($BN$2,0,0,ROW()-1,60),ROW()-1,FALSE))</f>
        <v/>
      </c>
      <c r="AU436" t="str">
        <f ca="1">IF(AND(ISNUMBER($AU$1099),$B$677=1),$AU$1099,HLOOKUP(INDIRECT(ADDRESS(2,COLUMN())),OFFSET($BN$2,0,0,ROW()-1,60),ROW()-1,FALSE))</f>
        <v/>
      </c>
      <c r="AV436" t="str">
        <f ca="1">IF(AND(ISNUMBER($AV$1099),$B$677=1),$AV$1099,HLOOKUP(INDIRECT(ADDRESS(2,COLUMN())),OFFSET($BN$2,0,0,ROW()-1,60),ROW()-1,FALSE))</f>
        <v/>
      </c>
      <c r="AW436" t="str">
        <f ca="1">IF(AND(ISNUMBER($AW$1099),$B$677=1),$AW$1099,HLOOKUP(INDIRECT(ADDRESS(2,COLUMN())),OFFSET($BN$2,0,0,ROW()-1,60),ROW()-1,FALSE))</f>
        <v/>
      </c>
      <c r="AX436" t="str">
        <f ca="1">IF(AND(ISNUMBER($AX$1099),$B$677=1),$AX$1099,HLOOKUP(INDIRECT(ADDRESS(2,COLUMN())),OFFSET($BN$2,0,0,ROW()-1,60),ROW()-1,FALSE))</f>
        <v/>
      </c>
      <c r="AY436" t="str">
        <f ca="1">IF(AND(ISNUMBER($AY$1099),$B$677=1),$AY$1099,HLOOKUP(INDIRECT(ADDRESS(2,COLUMN())),OFFSET($BN$2,0,0,ROW()-1,60),ROW()-1,FALSE))</f>
        <v/>
      </c>
      <c r="AZ436" t="str">
        <f ca="1">IF(AND(ISNUMBER($AZ$1099),$B$677=1),$AZ$1099,HLOOKUP(INDIRECT(ADDRESS(2,COLUMN())),OFFSET($BN$2,0,0,ROW()-1,60),ROW()-1,FALSE))</f>
        <v/>
      </c>
      <c r="BA436" t="str">
        <f ca="1">IF(AND(ISNUMBER($BA$1099),$B$677=1),$BA$1099,HLOOKUP(INDIRECT(ADDRESS(2,COLUMN())),OFFSET($BN$2,0,0,ROW()-1,60),ROW()-1,FALSE))</f>
        <v/>
      </c>
      <c r="BB436" t="str">
        <f ca="1">IF(AND(ISNUMBER($BB$1099),$B$677=1),$BB$1099,HLOOKUP(INDIRECT(ADDRESS(2,COLUMN())),OFFSET($BN$2,0,0,ROW()-1,60),ROW()-1,FALSE))</f>
        <v/>
      </c>
      <c r="BC436" t="str">
        <f ca="1">IF(AND(ISNUMBER($BC$1099),$B$677=1),$BC$1099,HLOOKUP(INDIRECT(ADDRESS(2,COLUMN())),OFFSET($BN$2,0,0,ROW()-1,60),ROW()-1,FALSE))</f>
        <v/>
      </c>
      <c r="BD436" t="str">
        <f ca="1">IF(AND(ISNUMBER($BD$1099),$B$677=1),$BD$1099,HLOOKUP(INDIRECT(ADDRESS(2,COLUMN())),OFFSET($BN$2,0,0,ROW()-1,60),ROW()-1,FALSE))</f>
        <v/>
      </c>
      <c r="BE436" t="str">
        <f ca="1">IF(AND(ISNUMBER($BE$1099),$B$677=1),$BE$1099,HLOOKUP(INDIRECT(ADDRESS(2,COLUMN())),OFFSET($BN$2,0,0,ROW()-1,60),ROW()-1,FALSE))</f>
        <v/>
      </c>
      <c r="BF436" t="str">
        <f ca="1">IF(AND(ISNUMBER($BF$1099),$B$677=1),$BF$1099,HLOOKUP(INDIRECT(ADDRESS(2,COLUMN())),OFFSET($BN$2,0,0,ROW()-1,60),ROW()-1,FALSE))</f>
        <v/>
      </c>
      <c r="BG436" t="str">
        <f ca="1">IF(AND(ISNUMBER($BG$1099),$B$677=1),$BG$1099,HLOOKUP(INDIRECT(ADDRESS(2,COLUMN())),OFFSET($BN$2,0,0,ROW()-1,60),ROW()-1,FALSE))</f>
        <v/>
      </c>
      <c r="BH436" t="str">
        <f ca="1">IF(AND(ISNUMBER($BH$1099),$B$677=1),$BH$1099,HLOOKUP(INDIRECT(ADDRESS(2,COLUMN())),OFFSET($BN$2,0,0,ROW()-1,60),ROW()-1,FALSE))</f>
        <v/>
      </c>
      <c r="BI436" t="str">
        <f ca="1">IF(AND(ISNUMBER($BI$1099),$B$677=1),$BI$1099,HLOOKUP(INDIRECT(ADDRESS(2,COLUMN())),OFFSET($BN$2,0,0,ROW()-1,60),ROW()-1,FALSE))</f>
        <v/>
      </c>
      <c r="BJ436" t="str">
        <f ca="1">IF(AND(ISNUMBER($BJ$1099),$B$677=1),$BJ$1099,HLOOKUP(INDIRECT(ADDRESS(2,COLUMN())),OFFSET($BN$2,0,0,ROW()-1,60),ROW()-1,FALSE))</f>
        <v/>
      </c>
      <c r="BK436" t="str">
        <f ca="1">IF(AND(ISNUMBER($BK$1099),$B$677=1),$BK$1099,HLOOKUP(INDIRECT(ADDRESS(2,COLUMN())),OFFSET($BN$2,0,0,ROW()-1,60),ROW()-1,FALSE))</f>
        <v/>
      </c>
      <c r="BL436" t="str">
        <f ca="1">IF(AND(ISNUMBER($BL$1099),$B$677=1),$BL$1099,HLOOKUP(INDIRECT(ADDRESS(2,COLUMN())),OFFSET($BN$2,0,0,ROW()-1,60),ROW()-1,FALSE))</f>
        <v/>
      </c>
      <c r="BM436" t="str">
        <f ca="1">IF(AND(ISNUMBER($BM$1099),$B$677=1),$BM$1099,HLOOKUP(INDIRECT(ADDRESS(2,COLUMN())),OFFSET($BN$2,0,0,ROW()-1,60),ROW()-1,FALSE))</f>
        <v/>
      </c>
      <c r="BN436" t="str">
        <f>""</f>
        <v/>
      </c>
      <c r="BO436" t="str">
        <f>""</f>
        <v/>
      </c>
      <c r="BP436">
        <f>15.33676856</f>
        <v>15.336768559999999</v>
      </c>
      <c r="BQ436">
        <f>16.70897315</f>
        <v>16.708973149999998</v>
      </c>
      <c r="BR436">
        <f>18.55486522</f>
        <v>18.55486522</v>
      </c>
      <c r="BS436">
        <f>19.99914837</f>
        <v>19.99914837</v>
      </c>
      <c r="BT436">
        <f>28.41136409</f>
        <v>28.411364089999999</v>
      </c>
      <c r="BU436">
        <f>30.23729873</f>
        <v>30.237298729999999</v>
      </c>
      <c r="BV436">
        <f>28.25893147</f>
        <v>28.25893147</v>
      </c>
      <c r="BW436">
        <f>79.27692865</f>
        <v>79.276928650000002</v>
      </c>
      <c r="BX436" t="str">
        <f>""</f>
        <v/>
      </c>
      <c r="BY436" t="str">
        <f>""</f>
        <v/>
      </c>
      <c r="BZ436" t="str">
        <f>""</f>
        <v/>
      </c>
      <c r="CA436">
        <f>59.27281132</f>
        <v>59.272811320000002</v>
      </c>
      <c r="CB436" t="str">
        <f>""</f>
        <v/>
      </c>
      <c r="CC436">
        <f>101.4439532</f>
        <v>101.4439532</v>
      </c>
      <c r="CD436">
        <f>61.94418396</f>
        <v>61.944183959999997</v>
      </c>
      <c r="CE436">
        <f>31.40362126</f>
        <v>31.403621260000001</v>
      </c>
      <c r="CF436">
        <f>40.64505574</f>
        <v>40.645055739999997</v>
      </c>
      <c r="CG436">
        <f>356.8502774</f>
        <v>356.85027739999998</v>
      </c>
      <c r="CH436">
        <f>33.8392645</f>
        <v>33.839264499999999</v>
      </c>
      <c r="CI436">
        <f>64.36608011</f>
        <v>64.366080109999999</v>
      </c>
      <c r="CJ436">
        <f>16.95356217</f>
        <v>16.953562170000001</v>
      </c>
      <c r="CK436">
        <f>10.70327726</f>
        <v>10.70327726</v>
      </c>
      <c r="CL436">
        <f>14.9278063</f>
        <v>14.9278063</v>
      </c>
      <c r="CM436">
        <f>13.9303829</f>
        <v>13.9303829</v>
      </c>
      <c r="CN436">
        <f>14.06089268</f>
        <v>14.06089268</v>
      </c>
      <c r="CO436">
        <f>18.29155771</f>
        <v>18.291557709999999</v>
      </c>
      <c r="CP436">
        <f>16.36004333</f>
        <v>16.36004333</v>
      </c>
      <c r="CQ436">
        <f>17.98774909</f>
        <v>17.987749090000001</v>
      </c>
      <c r="CR436">
        <f>18.08047411</f>
        <v>18.080474110000001</v>
      </c>
      <c r="CS436">
        <f>19.7974461</f>
        <v>19.797446099999998</v>
      </c>
      <c r="CT436">
        <f>16.58044847</f>
        <v>16.58044847</v>
      </c>
      <c r="CU436">
        <f>14.32718903</f>
        <v>14.32718903</v>
      </c>
      <c r="CV436" t="str">
        <f>""</f>
        <v/>
      </c>
      <c r="CW436" t="str">
        <f>""</f>
        <v/>
      </c>
      <c r="CX436" t="str">
        <f>""</f>
        <v/>
      </c>
      <c r="CY436" t="str">
        <f>""</f>
        <v/>
      </c>
      <c r="CZ436" t="str">
        <f>""</f>
        <v/>
      </c>
      <c r="DA436" t="str">
        <f>""</f>
        <v/>
      </c>
      <c r="DB436" t="str">
        <f>""</f>
        <v/>
      </c>
      <c r="DC436" t="str">
        <f>""</f>
        <v/>
      </c>
      <c r="DD436" t="str">
        <f>""</f>
        <v/>
      </c>
      <c r="DE436" t="str">
        <f>""</f>
        <v/>
      </c>
      <c r="DF436" t="str">
        <f>""</f>
        <v/>
      </c>
      <c r="DG436" t="str">
        <f>""</f>
        <v/>
      </c>
      <c r="DH436" t="str">
        <f>""</f>
        <v/>
      </c>
      <c r="DI436" t="str">
        <f>""</f>
        <v/>
      </c>
      <c r="DJ436" t="str">
        <f>""</f>
        <v/>
      </c>
      <c r="DK436" t="str">
        <f>""</f>
        <v/>
      </c>
      <c r="DL436" t="str">
        <f>""</f>
        <v/>
      </c>
      <c r="DM436" t="str">
        <f>""</f>
        <v/>
      </c>
      <c r="DN436" t="str">
        <f>""</f>
        <v/>
      </c>
      <c r="DO436" t="str">
        <f>""</f>
        <v/>
      </c>
      <c r="DP436" t="str">
        <f>""</f>
        <v/>
      </c>
      <c r="DQ436" t="str">
        <f>""</f>
        <v/>
      </c>
      <c r="DR436" t="str">
        <f>""</f>
        <v/>
      </c>
      <c r="DS436" t="str">
        <f>""</f>
        <v/>
      </c>
      <c r="DT436" t="str">
        <f>""</f>
        <v/>
      </c>
      <c r="DU436" t="str">
        <f>""</f>
        <v/>
      </c>
    </row>
    <row r="437" spans="1:125" x14ac:dyDescent="0.25">
      <c r="A437" t="str">
        <f>"    Kia Motors Corp"</f>
        <v xml:space="preserve">    Kia Motors Corp</v>
      </c>
      <c r="B437" t="str">
        <f>"000270 KS Equity"</f>
        <v>000270 KS Equity</v>
      </c>
      <c r="C437" t="str">
        <f t="shared" si="30"/>
        <v>RR477</v>
      </c>
      <c r="D437" t="str">
        <f t="shared" si="31"/>
        <v>EV_TO_T12M_CASH_FLOW</v>
      </c>
      <c r="E437" t="str">
        <f t="shared" si="32"/>
        <v>Dynamic</v>
      </c>
      <c r="F437" t="str">
        <f ca="1">IF(AND(ISNUMBER($F$1100),$B$677=1),$F$1100,HLOOKUP(INDIRECT(ADDRESS(2,COLUMN())),OFFSET($BN$2,0,0,ROW()-1,60),ROW()-1,FALSE))</f>
        <v/>
      </c>
      <c r="G437" t="str">
        <f ca="1">IF(AND(ISNUMBER($G$1100),$B$677=1),$G$1100,HLOOKUP(INDIRECT(ADDRESS(2,COLUMN())),OFFSET($BN$2,0,0,ROW()-1,60),ROW()-1,FALSE))</f>
        <v/>
      </c>
      <c r="H437">
        <f ca="1">IF(AND(ISNUMBER($H$1100),$B$677=1),$H$1100,HLOOKUP(INDIRECT(ADDRESS(2,COLUMN())),OFFSET($BN$2,0,0,ROW()-1,60),ROW()-1,FALSE))</f>
        <v>2.3177162299999998</v>
      </c>
      <c r="I437">
        <f ca="1">IF(AND(ISNUMBER($I$1100),$B$677=1),$I$1100,HLOOKUP(INDIRECT(ADDRESS(2,COLUMN())),OFFSET($BN$2,0,0,ROW()-1,60),ROW()-1,FALSE))</f>
        <v>2.1350676609999999</v>
      </c>
      <c r="J437">
        <f ca="1">IF(AND(ISNUMBER($J$1100),$B$677=1),$J$1100,HLOOKUP(INDIRECT(ADDRESS(2,COLUMN())),OFFSET($BN$2,0,0,ROW()-1,60),ROW()-1,FALSE))</f>
        <v>3.001050443</v>
      </c>
      <c r="K437">
        <f ca="1">IF(AND(ISNUMBER($K$1100),$B$677=1),$K$1100,HLOOKUP(INDIRECT(ADDRESS(2,COLUMN())),OFFSET($BN$2,0,0,ROW()-1,60),ROW()-1,FALSE))</f>
        <v>4.704520606</v>
      </c>
      <c r="L437">
        <f ca="1">IF(AND(ISNUMBER($L$1100),$B$677=1),$L$1100,HLOOKUP(INDIRECT(ADDRESS(2,COLUMN())),OFFSET($BN$2,0,0,ROW()-1,60),ROW()-1,FALSE))</f>
        <v>4.6756810089999998</v>
      </c>
      <c r="M437">
        <f ca="1">IF(AND(ISNUMBER($M$1100),$B$677=1),$M$1100,HLOOKUP(INDIRECT(ADDRESS(2,COLUMN())),OFFSET($BN$2,0,0,ROW()-1,60),ROW()-1,FALSE))</f>
        <v>7.5331802799999998</v>
      </c>
      <c r="N437">
        <f ca="1">IF(AND(ISNUMBER($N$1100),$B$677=1),$N$1100,HLOOKUP(INDIRECT(ADDRESS(2,COLUMN())),OFFSET($BN$2,0,0,ROW()-1,60),ROW()-1,FALSE))</f>
        <v>3.6763140239999998</v>
      </c>
      <c r="O437">
        <f ca="1">IF(AND(ISNUMBER($O$1100),$B$677=1),$O$1100,HLOOKUP(INDIRECT(ADDRESS(2,COLUMN())),OFFSET($BN$2,0,0,ROW()-1,60),ROW()-1,FALSE))</f>
        <v>4.5412519040000001</v>
      </c>
      <c r="P437">
        <f ca="1">IF(AND(ISNUMBER($P$1100),$B$677=1),$P$1100,HLOOKUP(INDIRECT(ADDRESS(2,COLUMN())),OFFSET($BN$2,0,0,ROW()-1,60),ROW()-1,FALSE))</f>
        <v>3.6487668549999999</v>
      </c>
      <c r="Q437">
        <f ca="1">IF(AND(ISNUMBER($Q$1100),$B$677=1),$Q$1100,HLOOKUP(INDIRECT(ADDRESS(2,COLUMN())),OFFSET($BN$2,0,0,ROW()-1,60),ROW()-1,FALSE))</f>
        <v>3.4530010120000001</v>
      </c>
      <c r="R437">
        <f ca="1">IF(AND(ISNUMBER($R$1100),$B$677=1),$R$1100,HLOOKUP(INDIRECT(ADDRESS(2,COLUMN())),OFFSET($BN$2,0,0,ROW()-1,60),ROW()-1,FALSE))</f>
        <v>6.7207448589999998</v>
      </c>
      <c r="S437">
        <f ca="1">IF(AND(ISNUMBER($S$1100),$B$677=1),$S$1100,HLOOKUP(INDIRECT(ADDRESS(2,COLUMN())),OFFSET($BN$2,0,0,ROW()-1,60),ROW()-1,FALSE))</f>
        <v>5.8155966780000004</v>
      </c>
      <c r="T437">
        <f ca="1">IF(AND(ISNUMBER($T$1100),$B$677=1),$T$1100,HLOOKUP(INDIRECT(ADDRESS(2,COLUMN())),OFFSET($BN$2,0,0,ROW()-1,60),ROW()-1,FALSE))</f>
        <v>5.1442404960000001</v>
      </c>
      <c r="U437">
        <f ca="1">IF(AND(ISNUMBER($U$1100),$B$677=1),$U$1100,HLOOKUP(INDIRECT(ADDRESS(2,COLUMN())),OFFSET($BN$2,0,0,ROW()-1,60),ROW()-1,FALSE))</f>
        <v>5.038902437</v>
      </c>
      <c r="V437">
        <f ca="1">IF(AND(ISNUMBER($V$1100),$B$677=1),$V$1100,HLOOKUP(INDIRECT(ADDRESS(2,COLUMN())),OFFSET($BN$2,0,0,ROW()-1,60),ROW()-1,FALSE))</f>
        <v>7.3804337220000003</v>
      </c>
      <c r="W437">
        <f ca="1">IF(AND(ISNUMBER($W$1100),$B$677=1),$W$1100,HLOOKUP(INDIRECT(ADDRESS(2,COLUMN())),OFFSET($BN$2,0,0,ROW()-1,60),ROW()-1,FALSE))</f>
        <v>7.3282538180000003</v>
      </c>
      <c r="X437">
        <f ca="1">IF(AND(ISNUMBER($X$1100),$B$677=1),$X$1100,HLOOKUP(INDIRECT(ADDRESS(2,COLUMN())),OFFSET($BN$2,0,0,ROW()-1,60),ROW()-1,FALSE))</f>
        <v>5.1216827770000002</v>
      </c>
      <c r="Y437">
        <f ca="1">IF(AND(ISNUMBER($Y$1100),$B$677=1),$Y$1100,HLOOKUP(INDIRECT(ADDRESS(2,COLUMN())),OFFSET($BN$2,0,0,ROW()-1,60),ROW()-1,FALSE))</f>
        <v>6.280857943</v>
      </c>
      <c r="Z437">
        <f ca="1">IF(AND(ISNUMBER($Z$1100),$B$677=1),$Z$1100,HLOOKUP(INDIRECT(ADDRESS(2,COLUMN())),OFFSET($BN$2,0,0,ROW()-1,60),ROW()-1,FALSE))</f>
        <v>4.2287861959999997</v>
      </c>
      <c r="AA437">
        <f ca="1">IF(AND(ISNUMBER($AA$1100),$B$677=1),$AA$1100,HLOOKUP(INDIRECT(ADDRESS(2,COLUMN())),OFFSET($BN$2,0,0,ROW()-1,60),ROW()-1,FALSE))</f>
        <v>3.8661601390000002</v>
      </c>
      <c r="AB437">
        <f ca="1">IF(AND(ISNUMBER($AB$1100),$B$677=1),$AB$1100,HLOOKUP(INDIRECT(ADDRESS(2,COLUMN())),OFFSET($BN$2,0,0,ROW()-1,60),ROW()-1,FALSE))</f>
        <v>5.8356901810000004</v>
      </c>
      <c r="AC437">
        <f ca="1">IF(AND(ISNUMBER($AC$1100),$B$677=1),$AC$1100,HLOOKUP(INDIRECT(ADDRESS(2,COLUMN())),OFFSET($BN$2,0,0,ROW()-1,60),ROW()-1,FALSE))</f>
        <v>5.2510128600000003</v>
      </c>
      <c r="AD437">
        <f ca="1">IF(AND(ISNUMBER($AD$1100),$B$677=1),$AD$1100,HLOOKUP(INDIRECT(ADDRESS(2,COLUMN())),OFFSET($BN$2,0,0,ROW()-1,60),ROW()-1,FALSE))</f>
        <v>5.485949196</v>
      </c>
      <c r="AE437">
        <f ca="1">IF(AND(ISNUMBER($AE$1100),$B$677=1),$AE$1100,HLOOKUP(INDIRECT(ADDRESS(2,COLUMN())),OFFSET($BN$2,0,0,ROW()-1,60),ROW()-1,FALSE))</f>
        <v>4.8009326019999996</v>
      </c>
      <c r="AF437">
        <f ca="1">IF(AND(ISNUMBER($AF$1100),$B$677=1),$AF$1100,HLOOKUP(INDIRECT(ADDRESS(2,COLUMN())),OFFSET($BN$2,0,0,ROW()-1,60),ROW()-1,FALSE))</f>
        <v>4.9062201559999998</v>
      </c>
      <c r="AG437">
        <f ca="1">IF(AND(ISNUMBER($AG$1100),$B$677=1),$AG$1100,HLOOKUP(INDIRECT(ADDRESS(2,COLUMN())),OFFSET($BN$2,0,0,ROW()-1,60),ROW()-1,FALSE))</f>
        <v>5.3725917790000004</v>
      </c>
      <c r="AH437">
        <f ca="1">IF(AND(ISNUMBER($AH$1100),$B$677=1),$AH$1100,HLOOKUP(INDIRECT(ADDRESS(2,COLUMN())),OFFSET($BN$2,0,0,ROW()-1,60),ROW()-1,FALSE))</f>
        <v>6.0279127429999999</v>
      </c>
      <c r="AI437">
        <f ca="1">IF(AND(ISNUMBER($AI$1100),$B$677=1),$AI$1100,HLOOKUP(INDIRECT(ADDRESS(2,COLUMN())),OFFSET($BN$2,0,0,ROW()-1,60),ROW()-1,FALSE))</f>
        <v>5.7631026030000001</v>
      </c>
      <c r="AJ437">
        <f ca="1">IF(AND(ISNUMBER($AJ$1100),$B$677=1),$AJ$1100,HLOOKUP(INDIRECT(ADDRESS(2,COLUMN())),OFFSET($BN$2,0,0,ROW()-1,60),ROW()-1,FALSE))</f>
        <v>5.9388586170000002</v>
      </c>
      <c r="AK437">
        <f ca="1">IF(AND(ISNUMBER($AK$1100),$B$677=1),$AK$1100,HLOOKUP(INDIRECT(ADDRESS(2,COLUMN())),OFFSET($BN$2,0,0,ROW()-1,60),ROW()-1,FALSE))</f>
        <v>6.0702215559999999</v>
      </c>
      <c r="AL437">
        <f ca="1">IF(AND(ISNUMBER($AL$1100),$B$677=1),$AL$1100,HLOOKUP(INDIRECT(ADDRESS(2,COLUMN())),OFFSET($BN$2,0,0,ROW()-1,60),ROW()-1,FALSE))</f>
        <v>5.4465271690000003</v>
      </c>
      <c r="AM437" t="str">
        <f ca="1">IF(AND(ISNUMBER($AM$1100),$B$677=1),$AM$1100,HLOOKUP(INDIRECT(ADDRESS(2,COLUMN())),OFFSET($BN$2,0,0,ROW()-1,60),ROW()-1,FALSE))</f>
        <v/>
      </c>
      <c r="AN437" t="str">
        <f ca="1">IF(AND(ISNUMBER($AN$1100),$B$677=1),$AN$1100,HLOOKUP(INDIRECT(ADDRESS(2,COLUMN())),OFFSET($BN$2,0,0,ROW()-1,60),ROW()-1,FALSE))</f>
        <v/>
      </c>
      <c r="AO437" t="str">
        <f ca="1">IF(AND(ISNUMBER($AO$1100),$B$677=1),$AO$1100,HLOOKUP(INDIRECT(ADDRESS(2,COLUMN())),OFFSET($BN$2,0,0,ROW()-1,60),ROW()-1,FALSE))</f>
        <v/>
      </c>
      <c r="AP437" t="str">
        <f ca="1">IF(AND(ISNUMBER($AP$1100),$B$677=1),$AP$1100,HLOOKUP(INDIRECT(ADDRESS(2,COLUMN())),OFFSET($BN$2,0,0,ROW()-1,60),ROW()-1,FALSE))</f>
        <v/>
      </c>
      <c r="AQ437" t="str">
        <f ca="1">IF(AND(ISNUMBER($AQ$1100),$B$677=1),$AQ$1100,HLOOKUP(INDIRECT(ADDRESS(2,COLUMN())),OFFSET($BN$2,0,0,ROW()-1,60),ROW()-1,FALSE))</f>
        <v/>
      </c>
      <c r="AR437" t="str">
        <f ca="1">IF(AND(ISNUMBER($AR$1100),$B$677=1),$AR$1100,HLOOKUP(INDIRECT(ADDRESS(2,COLUMN())),OFFSET($BN$2,0,0,ROW()-1,60),ROW()-1,FALSE))</f>
        <v/>
      </c>
      <c r="AS437" t="str">
        <f ca="1">IF(AND(ISNUMBER($AS$1100),$B$677=1),$AS$1100,HLOOKUP(INDIRECT(ADDRESS(2,COLUMN())),OFFSET($BN$2,0,0,ROW()-1,60),ROW()-1,FALSE))</f>
        <v/>
      </c>
      <c r="AT437" t="str">
        <f ca="1">IF(AND(ISNUMBER($AT$1100),$B$677=1),$AT$1100,HLOOKUP(INDIRECT(ADDRESS(2,COLUMN())),OFFSET($BN$2,0,0,ROW()-1,60),ROW()-1,FALSE))</f>
        <v/>
      </c>
      <c r="AU437" t="str">
        <f ca="1">IF(AND(ISNUMBER($AU$1100),$B$677=1),$AU$1100,HLOOKUP(INDIRECT(ADDRESS(2,COLUMN())),OFFSET($BN$2,0,0,ROW()-1,60),ROW()-1,FALSE))</f>
        <v/>
      </c>
      <c r="AV437" t="str">
        <f ca="1">IF(AND(ISNUMBER($AV$1100),$B$677=1),$AV$1100,HLOOKUP(INDIRECT(ADDRESS(2,COLUMN())),OFFSET($BN$2,0,0,ROW()-1,60),ROW()-1,FALSE))</f>
        <v/>
      </c>
      <c r="AW437" t="str">
        <f ca="1">IF(AND(ISNUMBER($AW$1100),$B$677=1),$AW$1100,HLOOKUP(INDIRECT(ADDRESS(2,COLUMN())),OFFSET($BN$2,0,0,ROW()-1,60),ROW()-1,FALSE))</f>
        <v/>
      </c>
      <c r="AX437" t="str">
        <f ca="1">IF(AND(ISNUMBER($AX$1100),$B$677=1),$AX$1100,HLOOKUP(INDIRECT(ADDRESS(2,COLUMN())),OFFSET($BN$2,0,0,ROW()-1,60),ROW()-1,FALSE))</f>
        <v/>
      </c>
      <c r="AY437" t="str">
        <f ca="1">IF(AND(ISNUMBER($AY$1100),$B$677=1),$AY$1100,HLOOKUP(INDIRECT(ADDRESS(2,COLUMN())),OFFSET($BN$2,0,0,ROW()-1,60),ROW()-1,FALSE))</f>
        <v/>
      </c>
      <c r="AZ437" t="str">
        <f ca="1">IF(AND(ISNUMBER($AZ$1100),$B$677=1),$AZ$1100,HLOOKUP(INDIRECT(ADDRESS(2,COLUMN())),OFFSET($BN$2,0,0,ROW()-1,60),ROW()-1,FALSE))</f>
        <v/>
      </c>
      <c r="BA437" t="str">
        <f ca="1">IF(AND(ISNUMBER($BA$1100),$B$677=1),$BA$1100,HLOOKUP(INDIRECT(ADDRESS(2,COLUMN())),OFFSET($BN$2,0,0,ROW()-1,60),ROW()-1,FALSE))</f>
        <v/>
      </c>
      <c r="BB437" t="str">
        <f ca="1">IF(AND(ISNUMBER($BB$1100),$B$677=1),$BB$1100,HLOOKUP(INDIRECT(ADDRESS(2,COLUMN())),OFFSET($BN$2,0,0,ROW()-1,60),ROW()-1,FALSE))</f>
        <v/>
      </c>
      <c r="BC437" t="str">
        <f ca="1">IF(AND(ISNUMBER($BC$1100),$B$677=1),$BC$1100,HLOOKUP(INDIRECT(ADDRESS(2,COLUMN())),OFFSET($BN$2,0,0,ROW()-1,60),ROW()-1,FALSE))</f>
        <v/>
      </c>
      <c r="BD437" t="str">
        <f ca="1">IF(AND(ISNUMBER($BD$1100),$B$677=1),$BD$1100,HLOOKUP(INDIRECT(ADDRESS(2,COLUMN())),OFFSET($BN$2,0,0,ROW()-1,60),ROW()-1,FALSE))</f>
        <v/>
      </c>
      <c r="BE437" t="str">
        <f ca="1">IF(AND(ISNUMBER($BE$1100),$B$677=1),$BE$1100,HLOOKUP(INDIRECT(ADDRESS(2,COLUMN())),OFFSET($BN$2,0,0,ROW()-1,60),ROW()-1,FALSE))</f>
        <v/>
      </c>
      <c r="BF437" t="str">
        <f ca="1">IF(AND(ISNUMBER($BF$1100),$B$677=1),$BF$1100,HLOOKUP(INDIRECT(ADDRESS(2,COLUMN())),OFFSET($BN$2,0,0,ROW()-1,60),ROW()-1,FALSE))</f>
        <v/>
      </c>
      <c r="BG437" t="str">
        <f ca="1">IF(AND(ISNUMBER($BG$1100),$B$677=1),$BG$1100,HLOOKUP(INDIRECT(ADDRESS(2,COLUMN())),OFFSET($BN$2,0,0,ROW()-1,60),ROW()-1,FALSE))</f>
        <v/>
      </c>
      <c r="BH437" t="str">
        <f ca="1">IF(AND(ISNUMBER($BH$1100),$B$677=1),$BH$1100,HLOOKUP(INDIRECT(ADDRESS(2,COLUMN())),OFFSET($BN$2,0,0,ROW()-1,60),ROW()-1,FALSE))</f>
        <v/>
      </c>
      <c r="BI437" t="str">
        <f ca="1">IF(AND(ISNUMBER($BI$1100),$B$677=1),$BI$1100,HLOOKUP(INDIRECT(ADDRESS(2,COLUMN())),OFFSET($BN$2,0,0,ROW()-1,60),ROW()-1,FALSE))</f>
        <v/>
      </c>
      <c r="BJ437" t="str">
        <f ca="1">IF(AND(ISNUMBER($BJ$1100),$B$677=1),$BJ$1100,HLOOKUP(INDIRECT(ADDRESS(2,COLUMN())),OFFSET($BN$2,0,0,ROW()-1,60),ROW()-1,FALSE))</f>
        <v/>
      </c>
      <c r="BK437" t="str">
        <f ca="1">IF(AND(ISNUMBER($BK$1100),$B$677=1),$BK$1100,HLOOKUP(INDIRECT(ADDRESS(2,COLUMN())),OFFSET($BN$2,0,0,ROW()-1,60),ROW()-1,FALSE))</f>
        <v/>
      </c>
      <c r="BL437" t="str">
        <f ca="1">IF(AND(ISNUMBER($BL$1100),$B$677=1),$BL$1100,HLOOKUP(INDIRECT(ADDRESS(2,COLUMN())),OFFSET($BN$2,0,0,ROW()-1,60),ROW()-1,FALSE))</f>
        <v/>
      </c>
      <c r="BM437" t="str">
        <f ca="1">IF(AND(ISNUMBER($BM$1100),$B$677=1),$BM$1100,HLOOKUP(INDIRECT(ADDRESS(2,COLUMN())),OFFSET($BN$2,0,0,ROW()-1,60),ROW()-1,FALSE))</f>
        <v/>
      </c>
      <c r="BN437" t="str">
        <f>""</f>
        <v/>
      </c>
      <c r="BO437" t="str">
        <f>""</f>
        <v/>
      </c>
      <c r="BP437">
        <f>2.31771623</f>
        <v>2.3177162299999998</v>
      </c>
      <c r="BQ437">
        <f>2.135067661</f>
        <v>2.1350676609999999</v>
      </c>
      <c r="BR437">
        <f>3.001050443</f>
        <v>3.001050443</v>
      </c>
      <c r="BS437">
        <f>4.704520606</f>
        <v>4.704520606</v>
      </c>
      <c r="BT437">
        <f>4.675681009</f>
        <v>4.6756810089999998</v>
      </c>
      <c r="BU437">
        <f>7.53318028</f>
        <v>7.5331802799999998</v>
      </c>
      <c r="BV437">
        <f>3.676314024</f>
        <v>3.6763140239999998</v>
      </c>
      <c r="BW437">
        <f>4.541251904</f>
        <v>4.5412519040000001</v>
      </c>
      <c r="BX437">
        <f>3.648766855</f>
        <v>3.6487668549999999</v>
      </c>
      <c r="BY437">
        <f>3.453001012</f>
        <v>3.4530010120000001</v>
      </c>
      <c r="BZ437">
        <f>6.720744859</f>
        <v>6.7207448589999998</v>
      </c>
      <c r="CA437">
        <f>5.815596678</f>
        <v>5.8155966780000004</v>
      </c>
      <c r="CB437">
        <f>5.144240496</f>
        <v>5.1442404960000001</v>
      </c>
      <c r="CC437">
        <f>5.038902437</f>
        <v>5.038902437</v>
      </c>
      <c r="CD437">
        <f>7.380433722</f>
        <v>7.3804337220000003</v>
      </c>
      <c r="CE437">
        <f>7.328253818</f>
        <v>7.3282538180000003</v>
      </c>
      <c r="CF437">
        <f>5.121682777</f>
        <v>5.1216827770000002</v>
      </c>
      <c r="CG437">
        <f>6.280857943</f>
        <v>6.280857943</v>
      </c>
      <c r="CH437">
        <f>4.228786196</f>
        <v>4.2287861959999997</v>
      </c>
      <c r="CI437">
        <f>3.866160139</f>
        <v>3.8661601390000002</v>
      </c>
      <c r="CJ437">
        <f>5.835690181</f>
        <v>5.8356901810000004</v>
      </c>
      <c r="CK437">
        <f>5.25101286</f>
        <v>5.2510128600000003</v>
      </c>
      <c r="CL437">
        <f>5.485949196</f>
        <v>5.485949196</v>
      </c>
      <c r="CM437">
        <f>4.800932602</f>
        <v>4.8009326019999996</v>
      </c>
      <c r="CN437">
        <f>4.906220156</f>
        <v>4.9062201559999998</v>
      </c>
      <c r="CO437">
        <f>5.372591779</f>
        <v>5.3725917790000004</v>
      </c>
      <c r="CP437">
        <f>6.027912743</f>
        <v>6.0279127429999999</v>
      </c>
      <c r="CQ437">
        <f>5.763102603</f>
        <v>5.7631026030000001</v>
      </c>
      <c r="CR437">
        <f>5.938858617</f>
        <v>5.9388586170000002</v>
      </c>
      <c r="CS437">
        <f>6.070221556</f>
        <v>6.0702215559999999</v>
      </c>
      <c r="CT437">
        <f>5.446527169</f>
        <v>5.4465271690000003</v>
      </c>
      <c r="CU437" t="str">
        <f>""</f>
        <v/>
      </c>
      <c r="CV437" t="str">
        <f>""</f>
        <v/>
      </c>
      <c r="CW437" t="str">
        <f>""</f>
        <v/>
      </c>
      <c r="CX437" t="str">
        <f>""</f>
        <v/>
      </c>
      <c r="CY437" t="str">
        <f>""</f>
        <v/>
      </c>
      <c r="CZ437" t="str">
        <f>""</f>
        <v/>
      </c>
      <c r="DA437" t="str">
        <f>""</f>
        <v/>
      </c>
      <c r="DB437" t="str">
        <f>""</f>
        <v/>
      </c>
      <c r="DC437" t="str">
        <f>""</f>
        <v/>
      </c>
      <c r="DD437" t="str">
        <f>""</f>
        <v/>
      </c>
      <c r="DE437" t="str">
        <f>""</f>
        <v/>
      </c>
      <c r="DF437" t="str">
        <f>""</f>
        <v/>
      </c>
      <c r="DG437" t="str">
        <f>""</f>
        <v/>
      </c>
      <c r="DH437" t="str">
        <f>""</f>
        <v/>
      </c>
      <c r="DI437" t="str">
        <f>""</f>
        <v/>
      </c>
      <c r="DJ437" t="str">
        <f>""</f>
        <v/>
      </c>
      <c r="DK437" t="str">
        <f>""</f>
        <v/>
      </c>
      <c r="DL437" t="str">
        <f>""</f>
        <v/>
      </c>
      <c r="DM437" t="str">
        <f>""</f>
        <v/>
      </c>
      <c r="DN437" t="str">
        <f>""</f>
        <v/>
      </c>
      <c r="DO437" t="str">
        <f>""</f>
        <v/>
      </c>
      <c r="DP437" t="str">
        <f>""</f>
        <v/>
      </c>
      <c r="DQ437" t="str">
        <f>""</f>
        <v/>
      </c>
      <c r="DR437" t="str">
        <f>""</f>
        <v/>
      </c>
      <c r="DS437" t="str">
        <f>""</f>
        <v/>
      </c>
      <c r="DT437" t="str">
        <f>""</f>
        <v/>
      </c>
      <c r="DU437" t="str">
        <f>""</f>
        <v/>
      </c>
    </row>
    <row r="438" spans="1:125" x14ac:dyDescent="0.25">
      <c r="A438" t="str">
        <f>"    Mazda Motor Corp"</f>
        <v xml:space="preserve">    Mazda Motor Corp</v>
      </c>
      <c r="B438" t="str">
        <f>"7261 JP Equity"</f>
        <v>7261 JP Equity</v>
      </c>
      <c r="C438" t="str">
        <f t="shared" si="30"/>
        <v>RR477</v>
      </c>
      <c r="D438" t="str">
        <f t="shared" si="31"/>
        <v>EV_TO_T12M_CASH_FLOW</v>
      </c>
      <c r="E438" t="str">
        <f t="shared" si="32"/>
        <v>Dynamic</v>
      </c>
      <c r="F438" t="str">
        <f ca="1">IF(AND(ISNUMBER($F$1101),$B$677=1),$F$1101,HLOOKUP(INDIRECT(ADDRESS(2,COLUMN())),OFFSET($BN$2,0,0,ROW()-1,60),ROW()-1,FALSE))</f>
        <v/>
      </c>
      <c r="G438">
        <f ca="1">IF(AND(ISNUMBER($G$1101),$B$677=1),$G$1101,HLOOKUP(INDIRECT(ADDRESS(2,COLUMN())),OFFSET($BN$2,0,0,ROW()-1,60),ROW()-1,FALSE))</f>
        <v>4.2533843329999996</v>
      </c>
      <c r="H438">
        <f ca="1">IF(AND(ISNUMBER($H$1101),$B$677=1),$H$1101,HLOOKUP(INDIRECT(ADDRESS(2,COLUMN())),OFFSET($BN$2,0,0,ROW()-1,60),ROW()-1,FALSE))</f>
        <v>4.3042833900000002</v>
      </c>
      <c r="I438">
        <f ca="1">IF(AND(ISNUMBER($I$1101),$B$677=1),$I$1101,HLOOKUP(INDIRECT(ADDRESS(2,COLUMN())),OFFSET($BN$2,0,0,ROW()-1,60),ROW()-1,FALSE))</f>
        <v>4.2933997469999996</v>
      </c>
      <c r="J438">
        <f ca="1">IF(AND(ISNUMBER($J$1101),$B$677=1),$J$1101,HLOOKUP(INDIRECT(ADDRESS(2,COLUMN())),OFFSET($BN$2,0,0,ROW()-1,60),ROW()-1,FALSE))</f>
        <v>3.8250667680000001</v>
      </c>
      <c r="K438">
        <f ca="1">IF(AND(ISNUMBER($K$1101),$B$677=1),$K$1101,HLOOKUP(INDIRECT(ADDRESS(2,COLUMN())),OFFSET($BN$2,0,0,ROW()-1,60),ROW()-1,FALSE))</f>
        <v>4.7941983820000003</v>
      </c>
      <c r="L438">
        <f ca="1">IF(AND(ISNUMBER($L$1101),$B$677=1),$L$1101,HLOOKUP(INDIRECT(ADDRESS(2,COLUMN())),OFFSET($BN$2,0,0,ROW()-1,60),ROW()-1,FALSE))</f>
        <v>5.8862674540000004</v>
      </c>
      <c r="M438">
        <f ca="1">IF(AND(ISNUMBER($M$1101),$B$677=1),$M$1101,HLOOKUP(INDIRECT(ADDRESS(2,COLUMN())),OFFSET($BN$2,0,0,ROW()-1,60),ROW()-1,FALSE))</f>
        <v>5.6699609449999997</v>
      </c>
      <c r="N438">
        <f ca="1">IF(AND(ISNUMBER($N$1101),$B$677=1),$N$1101,HLOOKUP(INDIRECT(ADDRESS(2,COLUMN())),OFFSET($BN$2,0,0,ROW()-1,60),ROW()-1,FALSE))</f>
        <v>5.8800477229999997</v>
      </c>
      <c r="O438">
        <f ca="1">IF(AND(ISNUMBER($O$1101),$B$677=1),$O$1101,HLOOKUP(INDIRECT(ADDRESS(2,COLUMN())),OFFSET($BN$2,0,0,ROW()-1,60),ROW()-1,FALSE))</f>
        <v>6.6405913190000003</v>
      </c>
      <c r="P438">
        <f ca="1">IF(AND(ISNUMBER($P$1101),$B$677=1),$P$1101,HLOOKUP(INDIRECT(ADDRESS(2,COLUMN())),OFFSET($BN$2,0,0,ROW()-1,60),ROW()-1,FALSE))</f>
        <v>4.5405296719999999</v>
      </c>
      <c r="Q438">
        <f ca="1">IF(AND(ISNUMBER($Q$1101),$B$677=1),$Q$1101,HLOOKUP(INDIRECT(ADDRESS(2,COLUMN())),OFFSET($BN$2,0,0,ROW()-1,60),ROW()-1,FALSE))</f>
        <v>3.6989312189999999</v>
      </c>
      <c r="R438">
        <f ca="1">IF(AND(ISNUMBER($R$1101),$B$677=1),$R$1101,HLOOKUP(INDIRECT(ADDRESS(2,COLUMN())),OFFSET($BN$2,0,0,ROW()-1,60),ROW()-1,FALSE))</f>
        <v>4.1293579579999999</v>
      </c>
      <c r="S438">
        <f ca="1">IF(AND(ISNUMBER($S$1101),$B$677=1),$S$1101,HLOOKUP(INDIRECT(ADDRESS(2,COLUMN())),OFFSET($BN$2,0,0,ROW()-1,60),ROW()-1,FALSE))</f>
        <v>6.1248334230000001</v>
      </c>
      <c r="T438">
        <f ca="1">IF(AND(ISNUMBER($T$1101),$B$677=1),$T$1101,HLOOKUP(INDIRECT(ADDRESS(2,COLUMN())),OFFSET($BN$2,0,0,ROW()-1,60),ROW()-1,FALSE))</f>
        <v>4.7463852199999996</v>
      </c>
      <c r="U438">
        <f ca="1">IF(AND(ISNUMBER($U$1101),$B$677=1),$U$1101,HLOOKUP(INDIRECT(ADDRESS(2,COLUMN())),OFFSET($BN$2,0,0,ROW()-1,60),ROW()-1,FALSE))</f>
        <v>6.9923884640000002</v>
      </c>
      <c r="V438">
        <f ca="1">IF(AND(ISNUMBER($V$1101),$B$677=1),$V$1101,HLOOKUP(INDIRECT(ADDRESS(2,COLUMN())),OFFSET($BN$2,0,0,ROW()-1,60),ROW()-1,FALSE))</f>
        <v>7.8797997640000004</v>
      </c>
      <c r="W438">
        <f ca="1">IF(AND(ISNUMBER($W$1101),$B$677=1),$W$1101,HLOOKUP(INDIRECT(ADDRESS(2,COLUMN())),OFFSET($BN$2,0,0,ROW()-1,60),ROW()-1,FALSE))</f>
        <v>10.135589510000001</v>
      </c>
      <c r="X438">
        <f ca="1">IF(AND(ISNUMBER($X$1101),$B$677=1),$X$1101,HLOOKUP(INDIRECT(ADDRESS(2,COLUMN())),OFFSET($BN$2,0,0,ROW()-1,60),ROW()-1,FALSE))</f>
        <v>9.0423465679999993</v>
      </c>
      <c r="Y438">
        <f ca="1">IF(AND(ISNUMBER($Y$1101),$B$677=1),$Y$1101,HLOOKUP(INDIRECT(ADDRESS(2,COLUMN())),OFFSET($BN$2,0,0,ROW()-1,60),ROW()-1,FALSE))</f>
        <v>9.3506905220000007</v>
      </c>
      <c r="Z438">
        <f ca="1">IF(AND(ISNUMBER($Z$1101),$B$677=1),$Z$1101,HLOOKUP(INDIRECT(ADDRESS(2,COLUMN())),OFFSET($BN$2,0,0,ROW()-1,60),ROW()-1,FALSE))</f>
        <v>11.779176319999999</v>
      </c>
      <c r="AA438">
        <f ca="1">IF(AND(ISNUMBER($AA$1101),$B$677=1),$AA$1101,HLOOKUP(INDIRECT(ADDRESS(2,COLUMN())),OFFSET($BN$2,0,0,ROW()-1,60),ROW()-1,FALSE))</f>
        <v>16.521235560000001</v>
      </c>
      <c r="AB438">
        <f ca="1">IF(AND(ISNUMBER($AB$1101),$B$677=1),$AB$1101,HLOOKUP(INDIRECT(ADDRESS(2,COLUMN())),OFFSET($BN$2,0,0,ROW()-1,60),ROW()-1,FALSE))</f>
        <v>23.931368599999999</v>
      </c>
      <c r="AC438">
        <f ca="1">IF(AND(ISNUMBER($AC$1101),$B$677=1),$AC$1101,HLOOKUP(INDIRECT(ADDRESS(2,COLUMN())),OFFSET($BN$2,0,0,ROW()-1,60),ROW()-1,FALSE))</f>
        <v>26.475484229999999</v>
      </c>
      <c r="AD438">
        <f ca="1">IF(AND(ISNUMBER($AD$1101),$B$677=1),$AD$1101,HLOOKUP(INDIRECT(ADDRESS(2,COLUMN())),OFFSET($BN$2,0,0,ROW()-1,60),ROW()-1,FALSE))</f>
        <v>23.04248904</v>
      </c>
      <c r="AE438">
        <f ca="1">IF(AND(ISNUMBER($AE$1101),$B$677=1),$AE$1101,HLOOKUP(INDIRECT(ADDRESS(2,COLUMN())),OFFSET($BN$2,0,0,ROW()-1,60),ROW()-1,FALSE))</f>
        <v>18.707389719999998</v>
      </c>
      <c r="AF438">
        <f ca="1">IF(AND(ISNUMBER($AF$1101),$B$677=1),$AF$1101,HLOOKUP(INDIRECT(ADDRESS(2,COLUMN())),OFFSET($BN$2,0,0,ROW()-1,60),ROW()-1,FALSE))</f>
        <v>3318.1802459999999</v>
      </c>
      <c r="AG438">
        <f ca="1">IF(AND(ISNUMBER($AG$1101),$B$677=1),$AG$1101,HLOOKUP(INDIRECT(ADDRESS(2,COLUMN())),OFFSET($BN$2,0,0,ROW()-1,60),ROW()-1,FALSE))</f>
        <v>108.20166070000001</v>
      </c>
      <c r="AH438" t="str">
        <f ca="1">IF(AND(ISNUMBER($AH$1101),$B$677=1),$AH$1101,HLOOKUP(INDIRECT(ADDRESS(2,COLUMN())),OFFSET($BN$2,0,0,ROW()-1,60),ROW()-1,FALSE))</f>
        <v/>
      </c>
      <c r="AI438" t="str">
        <f ca="1">IF(AND(ISNUMBER($AI$1101),$B$677=1),$AI$1101,HLOOKUP(INDIRECT(ADDRESS(2,COLUMN())),OFFSET($BN$2,0,0,ROW()-1,60),ROW()-1,FALSE))</f>
        <v/>
      </c>
      <c r="AJ438" t="str">
        <f ca="1">IF(AND(ISNUMBER($AJ$1101),$B$677=1),$AJ$1101,HLOOKUP(INDIRECT(ADDRESS(2,COLUMN())),OFFSET($BN$2,0,0,ROW()-1,60),ROW()-1,FALSE))</f>
        <v/>
      </c>
      <c r="AK438" t="str">
        <f ca="1">IF(AND(ISNUMBER($AK$1101),$B$677=1),$AK$1101,HLOOKUP(INDIRECT(ADDRESS(2,COLUMN())),OFFSET($BN$2,0,0,ROW()-1,60),ROW()-1,FALSE))</f>
        <v/>
      </c>
      <c r="AL438">
        <f ca="1">IF(AND(ISNUMBER($AL$1101),$B$677=1),$AL$1101,HLOOKUP(INDIRECT(ADDRESS(2,COLUMN())),OFFSET($BN$2,0,0,ROW()-1,60),ROW()-1,FALSE))</f>
        <v>45.31753819</v>
      </c>
      <c r="AM438">
        <f ca="1">IF(AND(ISNUMBER($AM$1101),$B$677=1),$AM$1101,HLOOKUP(INDIRECT(ADDRESS(2,COLUMN())),OFFSET($BN$2,0,0,ROW()-1,60),ROW()-1,FALSE))</f>
        <v>29.403711130000001</v>
      </c>
      <c r="AN438">
        <f ca="1">IF(AND(ISNUMBER($AN$1101),$B$677=1),$AN$1101,HLOOKUP(INDIRECT(ADDRESS(2,COLUMN())),OFFSET($BN$2,0,0,ROW()-1,60),ROW()-1,FALSE))</f>
        <v>6.8963399819999998</v>
      </c>
      <c r="AO438">
        <f ca="1">IF(AND(ISNUMBER($AO$1101),$B$677=1),$AO$1101,HLOOKUP(INDIRECT(ADDRESS(2,COLUMN())),OFFSET($BN$2,0,0,ROW()-1,60),ROW()-1,FALSE))</f>
        <v>6.0376036790000001</v>
      </c>
      <c r="AP438">
        <f ca="1">IF(AND(ISNUMBER($AP$1101),$B$677=1),$AP$1101,HLOOKUP(INDIRECT(ADDRESS(2,COLUMN())),OFFSET($BN$2,0,0,ROW()-1,60),ROW()-1,FALSE))</f>
        <v>7.3750761870000003</v>
      </c>
      <c r="AQ438">
        <f ca="1">IF(AND(ISNUMBER($AQ$1101),$B$677=1),$AQ$1101,HLOOKUP(INDIRECT(ADDRESS(2,COLUMN())),OFFSET($BN$2,0,0,ROW()-1,60),ROW()-1,FALSE))</f>
        <v>6.1975441609999997</v>
      </c>
      <c r="AR438" t="str">
        <f ca="1">IF(AND(ISNUMBER($AR$1101),$B$677=1),$AR$1101,HLOOKUP(INDIRECT(ADDRESS(2,COLUMN())),OFFSET($BN$2,0,0,ROW()-1,60),ROW()-1,FALSE))</f>
        <v/>
      </c>
      <c r="AS438" t="str">
        <f ca="1">IF(AND(ISNUMBER($AS$1101),$B$677=1),$AS$1101,HLOOKUP(INDIRECT(ADDRESS(2,COLUMN())),OFFSET($BN$2,0,0,ROW()-1,60),ROW()-1,FALSE))</f>
        <v/>
      </c>
      <c r="AT438" t="str">
        <f ca="1">IF(AND(ISNUMBER($AT$1101),$B$677=1),$AT$1101,HLOOKUP(INDIRECT(ADDRESS(2,COLUMN())),OFFSET($BN$2,0,0,ROW()-1,60),ROW()-1,FALSE))</f>
        <v/>
      </c>
      <c r="AU438" t="str">
        <f ca="1">IF(AND(ISNUMBER($AU$1101),$B$677=1),$AU$1101,HLOOKUP(INDIRECT(ADDRESS(2,COLUMN())),OFFSET($BN$2,0,0,ROW()-1,60),ROW()-1,FALSE))</f>
        <v/>
      </c>
      <c r="AV438" t="str">
        <f ca="1">IF(AND(ISNUMBER($AV$1101),$B$677=1),$AV$1101,HLOOKUP(INDIRECT(ADDRESS(2,COLUMN())),OFFSET($BN$2,0,0,ROW()-1,60),ROW()-1,FALSE))</f>
        <v/>
      </c>
      <c r="AW438" t="str">
        <f ca="1">IF(AND(ISNUMBER($AW$1101),$B$677=1),$AW$1101,HLOOKUP(INDIRECT(ADDRESS(2,COLUMN())),OFFSET($BN$2,0,0,ROW()-1,60),ROW()-1,FALSE))</f>
        <v/>
      </c>
      <c r="AX438" t="str">
        <f ca="1">IF(AND(ISNUMBER($AX$1101),$B$677=1),$AX$1101,HLOOKUP(INDIRECT(ADDRESS(2,COLUMN())),OFFSET($BN$2,0,0,ROW()-1,60),ROW()-1,FALSE))</f>
        <v/>
      </c>
      <c r="AY438" t="str">
        <f ca="1">IF(AND(ISNUMBER($AY$1101),$B$677=1),$AY$1101,HLOOKUP(INDIRECT(ADDRESS(2,COLUMN())),OFFSET($BN$2,0,0,ROW()-1,60),ROW()-1,FALSE))</f>
        <v/>
      </c>
      <c r="AZ438" t="str">
        <f ca="1">IF(AND(ISNUMBER($AZ$1101),$B$677=1),$AZ$1101,HLOOKUP(INDIRECT(ADDRESS(2,COLUMN())),OFFSET($BN$2,0,0,ROW()-1,60),ROW()-1,FALSE))</f>
        <v/>
      </c>
      <c r="BA438" t="str">
        <f ca="1">IF(AND(ISNUMBER($BA$1101),$B$677=1),$BA$1101,HLOOKUP(INDIRECT(ADDRESS(2,COLUMN())),OFFSET($BN$2,0,0,ROW()-1,60),ROW()-1,FALSE))</f>
        <v/>
      </c>
      <c r="BB438" t="str">
        <f ca="1">IF(AND(ISNUMBER($BB$1101),$B$677=1),$BB$1101,HLOOKUP(INDIRECT(ADDRESS(2,COLUMN())),OFFSET($BN$2,0,0,ROW()-1,60),ROW()-1,FALSE))</f>
        <v/>
      </c>
      <c r="BC438" t="str">
        <f ca="1">IF(AND(ISNUMBER($BC$1101),$B$677=1),$BC$1101,HLOOKUP(INDIRECT(ADDRESS(2,COLUMN())),OFFSET($BN$2,0,0,ROW()-1,60),ROW()-1,FALSE))</f>
        <v/>
      </c>
      <c r="BD438" t="str">
        <f ca="1">IF(AND(ISNUMBER($BD$1101),$B$677=1),$BD$1101,HLOOKUP(INDIRECT(ADDRESS(2,COLUMN())),OFFSET($BN$2,0,0,ROW()-1,60),ROW()-1,FALSE))</f>
        <v/>
      </c>
      <c r="BE438" t="str">
        <f ca="1">IF(AND(ISNUMBER($BE$1101),$B$677=1),$BE$1101,HLOOKUP(INDIRECT(ADDRESS(2,COLUMN())),OFFSET($BN$2,0,0,ROW()-1,60),ROW()-1,FALSE))</f>
        <v/>
      </c>
      <c r="BF438" t="str">
        <f ca="1">IF(AND(ISNUMBER($BF$1101),$B$677=1),$BF$1101,HLOOKUP(INDIRECT(ADDRESS(2,COLUMN())),OFFSET($BN$2,0,0,ROW()-1,60),ROW()-1,FALSE))</f>
        <v/>
      </c>
      <c r="BG438" t="str">
        <f ca="1">IF(AND(ISNUMBER($BG$1101),$B$677=1),$BG$1101,HLOOKUP(INDIRECT(ADDRESS(2,COLUMN())),OFFSET($BN$2,0,0,ROW()-1,60),ROW()-1,FALSE))</f>
        <v/>
      </c>
      <c r="BH438" t="str">
        <f ca="1">IF(AND(ISNUMBER($BH$1101),$B$677=1),$BH$1101,HLOOKUP(INDIRECT(ADDRESS(2,COLUMN())),OFFSET($BN$2,0,0,ROW()-1,60),ROW()-1,FALSE))</f>
        <v/>
      </c>
      <c r="BI438" t="str">
        <f ca="1">IF(AND(ISNUMBER($BI$1101),$B$677=1),$BI$1101,HLOOKUP(INDIRECT(ADDRESS(2,COLUMN())),OFFSET($BN$2,0,0,ROW()-1,60),ROW()-1,FALSE))</f>
        <v/>
      </c>
      <c r="BJ438" t="str">
        <f ca="1">IF(AND(ISNUMBER($BJ$1101),$B$677=1),$BJ$1101,HLOOKUP(INDIRECT(ADDRESS(2,COLUMN())),OFFSET($BN$2,0,0,ROW()-1,60),ROW()-1,FALSE))</f>
        <v/>
      </c>
      <c r="BK438" t="str">
        <f ca="1">IF(AND(ISNUMBER($BK$1101),$B$677=1),$BK$1101,HLOOKUP(INDIRECT(ADDRESS(2,COLUMN())),OFFSET($BN$2,0,0,ROW()-1,60),ROW()-1,FALSE))</f>
        <v/>
      </c>
      <c r="BL438" t="str">
        <f ca="1">IF(AND(ISNUMBER($BL$1101),$B$677=1),$BL$1101,HLOOKUP(INDIRECT(ADDRESS(2,COLUMN())),OFFSET($BN$2,0,0,ROW()-1,60),ROW()-1,FALSE))</f>
        <v/>
      </c>
      <c r="BM438" t="str">
        <f ca="1">IF(AND(ISNUMBER($BM$1101),$B$677=1),$BM$1101,HLOOKUP(INDIRECT(ADDRESS(2,COLUMN())),OFFSET($BN$2,0,0,ROW()-1,60),ROW()-1,FALSE))</f>
        <v/>
      </c>
      <c r="BN438" t="str">
        <f>""</f>
        <v/>
      </c>
      <c r="BO438">
        <f>4.253384333</f>
        <v>4.2533843329999996</v>
      </c>
      <c r="BP438">
        <f>4.30428339</f>
        <v>4.3042833900000002</v>
      </c>
      <c r="BQ438">
        <f>4.293399747</f>
        <v>4.2933997469999996</v>
      </c>
      <c r="BR438">
        <f>3.825066768</f>
        <v>3.8250667680000001</v>
      </c>
      <c r="BS438">
        <f>4.794198382</f>
        <v>4.7941983820000003</v>
      </c>
      <c r="BT438">
        <f>5.886267454</f>
        <v>5.8862674540000004</v>
      </c>
      <c r="BU438">
        <f>5.669960945</f>
        <v>5.6699609449999997</v>
      </c>
      <c r="BV438">
        <f>5.880047723</f>
        <v>5.8800477229999997</v>
      </c>
      <c r="BW438">
        <f>6.640591319</f>
        <v>6.6405913190000003</v>
      </c>
      <c r="BX438">
        <f>4.540529672</f>
        <v>4.5405296719999999</v>
      </c>
      <c r="BY438">
        <f>3.698931219</f>
        <v>3.6989312189999999</v>
      </c>
      <c r="BZ438">
        <f>4.129357958</f>
        <v>4.1293579579999999</v>
      </c>
      <c r="CA438">
        <f>6.124833423</f>
        <v>6.1248334230000001</v>
      </c>
      <c r="CB438">
        <f>4.74638522</f>
        <v>4.7463852199999996</v>
      </c>
      <c r="CC438">
        <f>6.992388464</f>
        <v>6.9923884640000002</v>
      </c>
      <c r="CD438">
        <f>7.879799764</f>
        <v>7.8797997640000004</v>
      </c>
      <c r="CE438">
        <f>10.13558951</f>
        <v>10.135589510000001</v>
      </c>
      <c r="CF438">
        <f>9.042346568</f>
        <v>9.0423465679999993</v>
      </c>
      <c r="CG438">
        <f>9.350690522</f>
        <v>9.3506905220000007</v>
      </c>
      <c r="CH438">
        <f>11.77917632</f>
        <v>11.779176319999999</v>
      </c>
      <c r="CI438">
        <f>16.52123556</f>
        <v>16.521235560000001</v>
      </c>
      <c r="CJ438">
        <f>23.9313686</f>
        <v>23.931368599999999</v>
      </c>
      <c r="CK438">
        <f>26.47548423</f>
        <v>26.475484229999999</v>
      </c>
      <c r="CL438">
        <f>23.04248904</f>
        <v>23.04248904</v>
      </c>
      <c r="CM438">
        <f>18.70738972</f>
        <v>18.707389719999998</v>
      </c>
      <c r="CN438">
        <f>3318.180246</f>
        <v>3318.1802459999999</v>
      </c>
      <c r="CO438">
        <f>108.2016607</f>
        <v>108.20166070000001</v>
      </c>
      <c r="CP438" t="str">
        <f>""</f>
        <v/>
      </c>
      <c r="CQ438" t="str">
        <f>""</f>
        <v/>
      </c>
      <c r="CR438" t="str">
        <f>""</f>
        <v/>
      </c>
      <c r="CS438" t="str">
        <f>""</f>
        <v/>
      </c>
      <c r="CT438">
        <f>45.31753819</f>
        <v>45.31753819</v>
      </c>
      <c r="CU438">
        <f>29.40371113</f>
        <v>29.403711130000001</v>
      </c>
      <c r="CV438">
        <f>6.896339982</f>
        <v>6.8963399819999998</v>
      </c>
      <c r="CW438">
        <f>6.037603679</f>
        <v>6.0376036790000001</v>
      </c>
      <c r="CX438">
        <f>7.375076187</f>
        <v>7.3750761870000003</v>
      </c>
      <c r="CY438">
        <f>6.197544161</f>
        <v>6.1975441609999997</v>
      </c>
      <c r="CZ438" t="str">
        <f>""</f>
        <v/>
      </c>
      <c r="DA438" t="str">
        <f>""</f>
        <v/>
      </c>
      <c r="DB438" t="str">
        <f>""</f>
        <v/>
      </c>
      <c r="DC438" t="str">
        <f>""</f>
        <v/>
      </c>
      <c r="DD438" t="str">
        <f>""</f>
        <v/>
      </c>
      <c r="DE438" t="str">
        <f>""</f>
        <v/>
      </c>
      <c r="DF438" t="str">
        <f>""</f>
        <v/>
      </c>
      <c r="DG438" t="str">
        <f>""</f>
        <v/>
      </c>
      <c r="DH438" t="str">
        <f>""</f>
        <v/>
      </c>
      <c r="DI438" t="str">
        <f>""</f>
        <v/>
      </c>
      <c r="DJ438" t="str">
        <f>""</f>
        <v/>
      </c>
      <c r="DK438" t="str">
        <f>""</f>
        <v/>
      </c>
      <c r="DL438" t="str">
        <f>""</f>
        <v/>
      </c>
      <c r="DM438" t="str">
        <f>""</f>
        <v/>
      </c>
      <c r="DN438" t="str">
        <f>""</f>
        <v/>
      </c>
      <c r="DO438" t="str">
        <f>""</f>
        <v/>
      </c>
      <c r="DP438" t="str">
        <f>""</f>
        <v/>
      </c>
      <c r="DQ438" t="str">
        <f>""</f>
        <v/>
      </c>
      <c r="DR438" t="str">
        <f>""</f>
        <v/>
      </c>
      <c r="DS438" t="str">
        <f>""</f>
        <v/>
      </c>
      <c r="DT438" t="str">
        <f>""</f>
        <v/>
      </c>
      <c r="DU438" t="str">
        <f>""</f>
        <v/>
      </c>
    </row>
    <row r="439" spans="1:125" x14ac:dyDescent="0.25">
      <c r="A439" t="str">
        <f>"    Mitsubishi Motors Corp"</f>
        <v xml:space="preserve">    Mitsubishi Motors Corp</v>
      </c>
      <c r="B439" t="str">
        <f>"7211 JP Equity"</f>
        <v>7211 JP Equity</v>
      </c>
      <c r="C439" t="str">
        <f t="shared" si="30"/>
        <v>RR477</v>
      </c>
      <c r="D439" t="str">
        <f t="shared" si="31"/>
        <v>EV_TO_T12M_CASH_FLOW</v>
      </c>
      <c r="E439" t="str">
        <f t="shared" si="32"/>
        <v>Dynamic</v>
      </c>
      <c r="F439" t="str">
        <f ca="1">IF(AND(ISNUMBER($F$1102),$B$677=1),$F$1102,HLOOKUP(INDIRECT(ADDRESS(2,COLUMN())),OFFSET($BN$2,0,0,ROW()-1,60),ROW()-1,FALSE))</f>
        <v/>
      </c>
      <c r="G439" t="str">
        <f ca="1">IF(AND(ISNUMBER($G$1102),$B$677=1),$G$1102,HLOOKUP(INDIRECT(ADDRESS(2,COLUMN())),OFFSET($BN$2,0,0,ROW()-1,60),ROW()-1,FALSE))</f>
        <v/>
      </c>
      <c r="H439" t="str">
        <f ca="1">IF(AND(ISNUMBER($H$1102),$B$677=1),$H$1102,HLOOKUP(INDIRECT(ADDRESS(2,COLUMN())),OFFSET($BN$2,0,0,ROW()-1,60),ROW()-1,FALSE))</f>
        <v/>
      </c>
      <c r="I439" t="str">
        <f ca="1">IF(AND(ISNUMBER($I$1102),$B$677=1),$I$1102,HLOOKUP(INDIRECT(ADDRESS(2,COLUMN())),OFFSET($BN$2,0,0,ROW()-1,60),ROW()-1,FALSE))</f>
        <v/>
      </c>
      <c r="J439" t="str">
        <f ca="1">IF(AND(ISNUMBER($J$1102),$B$677=1),$J$1102,HLOOKUP(INDIRECT(ADDRESS(2,COLUMN())),OFFSET($BN$2,0,0,ROW()-1,60),ROW()-1,FALSE))</f>
        <v/>
      </c>
      <c r="K439" t="str">
        <f ca="1">IF(AND(ISNUMBER($K$1102),$B$677=1),$K$1102,HLOOKUP(INDIRECT(ADDRESS(2,COLUMN())),OFFSET($BN$2,0,0,ROW()-1,60),ROW()-1,FALSE))</f>
        <v/>
      </c>
      <c r="L439" t="str">
        <f ca="1">IF(AND(ISNUMBER($L$1102),$B$677=1),$L$1102,HLOOKUP(INDIRECT(ADDRESS(2,COLUMN())),OFFSET($BN$2,0,0,ROW()-1,60),ROW()-1,FALSE))</f>
        <v/>
      </c>
      <c r="M439" t="str">
        <f ca="1">IF(AND(ISNUMBER($M$1102),$B$677=1),$M$1102,HLOOKUP(INDIRECT(ADDRESS(2,COLUMN())),OFFSET($BN$2,0,0,ROW()-1,60),ROW()-1,FALSE))</f>
        <v/>
      </c>
      <c r="N439" t="str">
        <f ca="1">IF(AND(ISNUMBER($N$1102),$B$677=1),$N$1102,HLOOKUP(INDIRECT(ADDRESS(2,COLUMN())),OFFSET($BN$2,0,0,ROW()-1,60),ROW()-1,FALSE))</f>
        <v/>
      </c>
      <c r="O439" t="str">
        <f ca="1">IF(AND(ISNUMBER($O$1102),$B$677=1),$O$1102,HLOOKUP(INDIRECT(ADDRESS(2,COLUMN())),OFFSET($BN$2,0,0,ROW()-1,60),ROW()-1,FALSE))</f>
        <v/>
      </c>
      <c r="P439" t="str">
        <f ca="1">IF(AND(ISNUMBER($P$1102),$B$677=1),$P$1102,HLOOKUP(INDIRECT(ADDRESS(2,COLUMN())),OFFSET($BN$2,0,0,ROW()-1,60),ROW()-1,FALSE))</f>
        <v/>
      </c>
      <c r="Q439" t="str">
        <f ca="1">IF(AND(ISNUMBER($Q$1102),$B$677=1),$Q$1102,HLOOKUP(INDIRECT(ADDRESS(2,COLUMN())),OFFSET($BN$2,0,0,ROW()-1,60),ROW()-1,FALSE))</f>
        <v/>
      </c>
      <c r="R439" t="str">
        <f ca="1">IF(AND(ISNUMBER($R$1102),$B$677=1),$R$1102,HLOOKUP(INDIRECT(ADDRESS(2,COLUMN())),OFFSET($BN$2,0,0,ROW()-1,60),ROW()-1,FALSE))</f>
        <v/>
      </c>
      <c r="S439" t="str">
        <f ca="1">IF(AND(ISNUMBER($S$1102),$B$677=1),$S$1102,HLOOKUP(INDIRECT(ADDRESS(2,COLUMN())),OFFSET($BN$2,0,0,ROW()-1,60),ROW()-1,FALSE))</f>
        <v/>
      </c>
      <c r="T439" t="str">
        <f ca="1">IF(AND(ISNUMBER($T$1102),$B$677=1),$T$1102,HLOOKUP(INDIRECT(ADDRESS(2,COLUMN())),OFFSET($BN$2,0,0,ROW()-1,60),ROW()-1,FALSE))</f>
        <v/>
      </c>
      <c r="U439" t="str">
        <f ca="1">IF(AND(ISNUMBER($U$1102),$B$677=1),$U$1102,HLOOKUP(INDIRECT(ADDRESS(2,COLUMN())),OFFSET($BN$2,0,0,ROW()-1,60),ROW()-1,FALSE))</f>
        <v/>
      </c>
      <c r="V439" t="str">
        <f ca="1">IF(AND(ISNUMBER($V$1102),$B$677=1),$V$1102,HLOOKUP(INDIRECT(ADDRESS(2,COLUMN())),OFFSET($BN$2,0,0,ROW()-1,60),ROW()-1,FALSE))</f>
        <v/>
      </c>
      <c r="W439" t="str">
        <f ca="1">IF(AND(ISNUMBER($W$1102),$B$677=1),$W$1102,HLOOKUP(INDIRECT(ADDRESS(2,COLUMN())),OFFSET($BN$2,0,0,ROW()-1,60),ROW()-1,FALSE))</f>
        <v/>
      </c>
      <c r="X439" t="str">
        <f ca="1">IF(AND(ISNUMBER($X$1102),$B$677=1),$X$1102,HLOOKUP(INDIRECT(ADDRESS(2,COLUMN())),OFFSET($BN$2,0,0,ROW()-1,60),ROW()-1,FALSE))</f>
        <v/>
      </c>
      <c r="Y439" t="str">
        <f ca="1">IF(AND(ISNUMBER($Y$1102),$B$677=1),$Y$1102,HLOOKUP(INDIRECT(ADDRESS(2,COLUMN())),OFFSET($BN$2,0,0,ROW()-1,60),ROW()-1,FALSE))</f>
        <v/>
      </c>
      <c r="Z439" t="str">
        <f ca="1">IF(AND(ISNUMBER($Z$1102),$B$677=1),$Z$1102,HLOOKUP(INDIRECT(ADDRESS(2,COLUMN())),OFFSET($BN$2,0,0,ROW()-1,60),ROW()-1,FALSE))</f>
        <v/>
      </c>
      <c r="AA439" t="str">
        <f ca="1">IF(AND(ISNUMBER($AA$1102),$B$677=1),$AA$1102,HLOOKUP(INDIRECT(ADDRESS(2,COLUMN())),OFFSET($BN$2,0,0,ROW()-1,60),ROW()-1,FALSE))</f>
        <v/>
      </c>
      <c r="AB439" t="str">
        <f ca="1">IF(AND(ISNUMBER($AB$1102),$B$677=1),$AB$1102,HLOOKUP(INDIRECT(ADDRESS(2,COLUMN())),OFFSET($BN$2,0,0,ROW()-1,60),ROW()-1,FALSE))</f>
        <v/>
      </c>
      <c r="AC439" t="str">
        <f ca="1">IF(AND(ISNUMBER($AC$1102),$B$677=1),$AC$1102,HLOOKUP(INDIRECT(ADDRESS(2,COLUMN())),OFFSET($BN$2,0,0,ROW()-1,60),ROW()-1,FALSE))</f>
        <v/>
      </c>
      <c r="AD439" t="str">
        <f ca="1">IF(AND(ISNUMBER($AD$1102),$B$677=1),$AD$1102,HLOOKUP(INDIRECT(ADDRESS(2,COLUMN())),OFFSET($BN$2,0,0,ROW()-1,60),ROW()-1,FALSE))</f>
        <v/>
      </c>
      <c r="AE439" t="str">
        <f ca="1">IF(AND(ISNUMBER($AE$1102),$B$677=1),$AE$1102,HLOOKUP(INDIRECT(ADDRESS(2,COLUMN())),OFFSET($BN$2,0,0,ROW()-1,60),ROW()-1,FALSE))</f>
        <v/>
      </c>
      <c r="AF439" t="str">
        <f ca="1">IF(AND(ISNUMBER($AF$1102),$B$677=1),$AF$1102,HLOOKUP(INDIRECT(ADDRESS(2,COLUMN())),OFFSET($BN$2,0,0,ROW()-1,60),ROW()-1,FALSE))</f>
        <v/>
      </c>
      <c r="AG439" t="str">
        <f ca="1">IF(AND(ISNUMBER($AG$1102),$B$677=1),$AG$1102,HLOOKUP(INDIRECT(ADDRESS(2,COLUMN())),OFFSET($BN$2,0,0,ROW()-1,60),ROW()-1,FALSE))</f>
        <v/>
      </c>
      <c r="AH439" t="str">
        <f ca="1">IF(AND(ISNUMBER($AH$1102),$B$677=1),$AH$1102,HLOOKUP(INDIRECT(ADDRESS(2,COLUMN())),OFFSET($BN$2,0,0,ROW()-1,60),ROW()-1,FALSE))</f>
        <v/>
      </c>
      <c r="AI439" t="str">
        <f ca="1">IF(AND(ISNUMBER($AI$1102),$B$677=1),$AI$1102,HLOOKUP(INDIRECT(ADDRESS(2,COLUMN())),OFFSET($BN$2,0,0,ROW()-1,60),ROW()-1,FALSE))</f>
        <v/>
      </c>
      <c r="AJ439" t="str">
        <f ca="1">IF(AND(ISNUMBER($AJ$1102),$B$677=1),$AJ$1102,HLOOKUP(INDIRECT(ADDRESS(2,COLUMN())),OFFSET($BN$2,0,0,ROW()-1,60),ROW()-1,FALSE))</f>
        <v/>
      </c>
      <c r="AK439" t="str">
        <f ca="1">IF(AND(ISNUMBER($AK$1102),$B$677=1),$AK$1102,HLOOKUP(INDIRECT(ADDRESS(2,COLUMN())),OFFSET($BN$2,0,0,ROW()-1,60),ROW()-1,FALSE))</f>
        <v/>
      </c>
      <c r="AL439">
        <f ca="1">IF(AND(ISNUMBER($AL$1102),$B$677=1),$AL$1102,HLOOKUP(INDIRECT(ADDRESS(2,COLUMN())),OFFSET($BN$2,0,0,ROW()-1,60),ROW()-1,FALSE))</f>
        <v>10.860381759999999</v>
      </c>
      <c r="AM439">
        <f ca="1">IF(AND(ISNUMBER($AM$1102),$B$677=1),$AM$1102,HLOOKUP(INDIRECT(ADDRESS(2,COLUMN())),OFFSET($BN$2,0,0,ROW()-1,60),ROW()-1,FALSE))</f>
        <v>8.3063418030000005</v>
      </c>
      <c r="AN439">
        <f ca="1">IF(AND(ISNUMBER($AN$1102),$B$677=1),$AN$1102,HLOOKUP(INDIRECT(ADDRESS(2,COLUMN())),OFFSET($BN$2,0,0,ROW()-1,60),ROW()-1,FALSE))</f>
        <v>7.0017922989999999</v>
      </c>
      <c r="AO439">
        <f ca="1">IF(AND(ISNUMBER($AO$1102),$B$677=1),$AO$1102,HLOOKUP(INDIRECT(ADDRESS(2,COLUMN())),OFFSET($BN$2,0,0,ROW()-1,60),ROW()-1,FALSE))</f>
        <v>8.5173583799999992</v>
      </c>
      <c r="AP439">
        <f ca="1">IF(AND(ISNUMBER($AP$1102),$B$677=1),$AP$1102,HLOOKUP(INDIRECT(ADDRESS(2,COLUMN())),OFFSET($BN$2,0,0,ROW()-1,60),ROW()-1,FALSE))</f>
        <v>12.952602990000001</v>
      </c>
      <c r="AQ439" t="str">
        <f ca="1">IF(AND(ISNUMBER($AQ$1102),$B$677=1),$AQ$1102,HLOOKUP(INDIRECT(ADDRESS(2,COLUMN())),OFFSET($BN$2,0,0,ROW()-1,60),ROW()-1,FALSE))</f>
        <v/>
      </c>
      <c r="AR439" t="str">
        <f ca="1">IF(AND(ISNUMBER($AR$1102),$B$677=1),$AR$1102,HLOOKUP(INDIRECT(ADDRESS(2,COLUMN())),OFFSET($BN$2,0,0,ROW()-1,60),ROW()-1,FALSE))</f>
        <v/>
      </c>
      <c r="AS439" t="str">
        <f ca="1">IF(AND(ISNUMBER($AS$1102),$B$677=1),$AS$1102,HLOOKUP(INDIRECT(ADDRESS(2,COLUMN())),OFFSET($BN$2,0,0,ROW()-1,60),ROW()-1,FALSE))</f>
        <v/>
      </c>
      <c r="AT439" t="str">
        <f ca="1">IF(AND(ISNUMBER($AT$1102),$B$677=1),$AT$1102,HLOOKUP(INDIRECT(ADDRESS(2,COLUMN())),OFFSET($BN$2,0,0,ROW()-1,60),ROW()-1,FALSE))</f>
        <v/>
      </c>
      <c r="AU439" t="str">
        <f ca="1">IF(AND(ISNUMBER($AU$1102),$B$677=1),$AU$1102,HLOOKUP(INDIRECT(ADDRESS(2,COLUMN())),OFFSET($BN$2,0,0,ROW()-1,60),ROW()-1,FALSE))</f>
        <v/>
      </c>
      <c r="AV439" t="str">
        <f ca="1">IF(AND(ISNUMBER($AV$1102),$B$677=1),$AV$1102,HLOOKUP(INDIRECT(ADDRESS(2,COLUMN())),OFFSET($BN$2,0,0,ROW()-1,60),ROW()-1,FALSE))</f>
        <v/>
      </c>
      <c r="AW439" t="str">
        <f ca="1">IF(AND(ISNUMBER($AW$1102),$B$677=1),$AW$1102,HLOOKUP(INDIRECT(ADDRESS(2,COLUMN())),OFFSET($BN$2,0,0,ROW()-1,60),ROW()-1,FALSE))</f>
        <v/>
      </c>
      <c r="AX439" t="str">
        <f ca="1">IF(AND(ISNUMBER($AX$1102),$B$677=1),$AX$1102,HLOOKUP(INDIRECT(ADDRESS(2,COLUMN())),OFFSET($BN$2,0,0,ROW()-1,60),ROW()-1,FALSE))</f>
        <v/>
      </c>
      <c r="AY439" t="str">
        <f ca="1">IF(AND(ISNUMBER($AY$1102),$B$677=1),$AY$1102,HLOOKUP(INDIRECT(ADDRESS(2,COLUMN())),OFFSET($BN$2,0,0,ROW()-1,60),ROW()-1,FALSE))</f>
        <v/>
      </c>
      <c r="AZ439" t="str">
        <f ca="1">IF(AND(ISNUMBER($AZ$1102),$B$677=1),$AZ$1102,HLOOKUP(INDIRECT(ADDRESS(2,COLUMN())),OFFSET($BN$2,0,0,ROW()-1,60),ROW()-1,FALSE))</f>
        <v/>
      </c>
      <c r="BA439" t="str">
        <f ca="1">IF(AND(ISNUMBER($BA$1102),$B$677=1),$BA$1102,HLOOKUP(INDIRECT(ADDRESS(2,COLUMN())),OFFSET($BN$2,0,0,ROW()-1,60),ROW()-1,FALSE))</f>
        <v/>
      </c>
      <c r="BB439" t="str">
        <f ca="1">IF(AND(ISNUMBER($BB$1102),$B$677=1),$BB$1102,HLOOKUP(INDIRECT(ADDRESS(2,COLUMN())),OFFSET($BN$2,0,0,ROW()-1,60),ROW()-1,FALSE))</f>
        <v/>
      </c>
      <c r="BC439" t="str">
        <f ca="1">IF(AND(ISNUMBER($BC$1102),$B$677=1),$BC$1102,HLOOKUP(INDIRECT(ADDRESS(2,COLUMN())),OFFSET($BN$2,0,0,ROW()-1,60),ROW()-1,FALSE))</f>
        <v/>
      </c>
      <c r="BD439" t="str">
        <f ca="1">IF(AND(ISNUMBER($BD$1102),$B$677=1),$BD$1102,HLOOKUP(INDIRECT(ADDRESS(2,COLUMN())),OFFSET($BN$2,0,0,ROW()-1,60),ROW()-1,FALSE))</f>
        <v/>
      </c>
      <c r="BE439" t="str">
        <f ca="1">IF(AND(ISNUMBER($BE$1102),$B$677=1),$BE$1102,HLOOKUP(INDIRECT(ADDRESS(2,COLUMN())),OFFSET($BN$2,0,0,ROW()-1,60),ROW()-1,FALSE))</f>
        <v/>
      </c>
      <c r="BF439" t="str">
        <f ca="1">IF(AND(ISNUMBER($BF$1102),$B$677=1),$BF$1102,HLOOKUP(INDIRECT(ADDRESS(2,COLUMN())),OFFSET($BN$2,0,0,ROW()-1,60),ROW()-1,FALSE))</f>
        <v/>
      </c>
      <c r="BG439" t="str">
        <f ca="1">IF(AND(ISNUMBER($BG$1102),$B$677=1),$BG$1102,HLOOKUP(INDIRECT(ADDRESS(2,COLUMN())),OFFSET($BN$2,0,0,ROW()-1,60),ROW()-1,FALSE))</f>
        <v/>
      </c>
      <c r="BH439" t="str">
        <f ca="1">IF(AND(ISNUMBER($BH$1102),$B$677=1),$BH$1102,HLOOKUP(INDIRECT(ADDRESS(2,COLUMN())),OFFSET($BN$2,0,0,ROW()-1,60),ROW()-1,FALSE))</f>
        <v/>
      </c>
      <c r="BI439" t="str">
        <f ca="1">IF(AND(ISNUMBER($BI$1102),$B$677=1),$BI$1102,HLOOKUP(INDIRECT(ADDRESS(2,COLUMN())),OFFSET($BN$2,0,0,ROW()-1,60),ROW()-1,FALSE))</f>
        <v/>
      </c>
      <c r="BJ439" t="str">
        <f ca="1">IF(AND(ISNUMBER($BJ$1102),$B$677=1),$BJ$1102,HLOOKUP(INDIRECT(ADDRESS(2,COLUMN())),OFFSET($BN$2,0,0,ROW()-1,60),ROW()-1,FALSE))</f>
        <v/>
      </c>
      <c r="BK439" t="str">
        <f ca="1">IF(AND(ISNUMBER($BK$1102),$B$677=1),$BK$1102,HLOOKUP(INDIRECT(ADDRESS(2,COLUMN())),OFFSET($BN$2,0,0,ROW()-1,60),ROW()-1,FALSE))</f>
        <v/>
      </c>
      <c r="BL439" t="str">
        <f ca="1">IF(AND(ISNUMBER($BL$1102),$B$677=1),$BL$1102,HLOOKUP(INDIRECT(ADDRESS(2,COLUMN())),OFFSET($BN$2,0,0,ROW()-1,60),ROW()-1,FALSE))</f>
        <v/>
      </c>
      <c r="BM439" t="str">
        <f ca="1">IF(AND(ISNUMBER($BM$1102),$B$677=1),$BM$1102,HLOOKUP(INDIRECT(ADDRESS(2,COLUMN())),OFFSET($BN$2,0,0,ROW()-1,60),ROW()-1,FALSE))</f>
        <v/>
      </c>
      <c r="BN439" t="str">
        <f>""</f>
        <v/>
      </c>
      <c r="BO439" t="str">
        <f>""</f>
        <v/>
      </c>
      <c r="BP439" t="str">
        <f>""</f>
        <v/>
      </c>
      <c r="BQ439" t="str">
        <f>""</f>
        <v/>
      </c>
      <c r="BR439" t="str">
        <f>""</f>
        <v/>
      </c>
      <c r="BS439" t="str">
        <f>""</f>
        <v/>
      </c>
      <c r="BT439" t="str">
        <f>""</f>
        <v/>
      </c>
      <c r="BU439" t="str">
        <f>""</f>
        <v/>
      </c>
      <c r="BV439" t="str">
        <f>""</f>
        <v/>
      </c>
      <c r="BW439" t="str">
        <f>""</f>
        <v/>
      </c>
      <c r="BX439" t="str">
        <f>""</f>
        <v/>
      </c>
      <c r="BY439" t="str">
        <f>""</f>
        <v/>
      </c>
      <c r="BZ439" t="str">
        <f>""</f>
        <v/>
      </c>
      <c r="CA439" t="str">
        <f>""</f>
        <v/>
      </c>
      <c r="CB439" t="str">
        <f>""</f>
        <v/>
      </c>
      <c r="CC439" t="str">
        <f>""</f>
        <v/>
      </c>
      <c r="CD439" t="str">
        <f>""</f>
        <v/>
      </c>
      <c r="CE439" t="str">
        <f>""</f>
        <v/>
      </c>
      <c r="CF439" t="str">
        <f>""</f>
        <v/>
      </c>
      <c r="CG439" t="str">
        <f>""</f>
        <v/>
      </c>
      <c r="CH439" t="str">
        <f>""</f>
        <v/>
      </c>
      <c r="CI439" t="str">
        <f>""</f>
        <v/>
      </c>
      <c r="CJ439" t="str">
        <f>""</f>
        <v/>
      </c>
      <c r="CK439" t="str">
        <f>""</f>
        <v/>
      </c>
      <c r="CL439" t="str">
        <f>""</f>
        <v/>
      </c>
      <c r="CM439" t="str">
        <f>""</f>
        <v/>
      </c>
      <c r="CN439" t="str">
        <f>""</f>
        <v/>
      </c>
      <c r="CO439" t="str">
        <f>""</f>
        <v/>
      </c>
      <c r="CP439" t="str">
        <f>""</f>
        <v/>
      </c>
      <c r="CQ439" t="str">
        <f>""</f>
        <v/>
      </c>
      <c r="CR439" t="str">
        <f>""</f>
        <v/>
      </c>
      <c r="CS439" t="str">
        <f>""</f>
        <v/>
      </c>
      <c r="CT439">
        <f>10.86038176</f>
        <v>10.860381759999999</v>
      </c>
      <c r="CU439">
        <f>8.306341803</f>
        <v>8.3063418030000005</v>
      </c>
      <c r="CV439">
        <f>7.001792299</f>
        <v>7.0017922989999999</v>
      </c>
      <c r="CW439">
        <f>8.51735838</f>
        <v>8.5173583799999992</v>
      </c>
      <c r="CX439">
        <f>12.95260299</f>
        <v>12.952602990000001</v>
      </c>
      <c r="CY439" t="str">
        <f>""</f>
        <v/>
      </c>
      <c r="CZ439" t="str">
        <f>""</f>
        <v/>
      </c>
      <c r="DA439" t="str">
        <f>""</f>
        <v/>
      </c>
      <c r="DB439" t="str">
        <f>""</f>
        <v/>
      </c>
      <c r="DC439" t="str">
        <f>""</f>
        <v/>
      </c>
      <c r="DD439" t="str">
        <f>""</f>
        <v/>
      </c>
      <c r="DE439" t="str">
        <f>""</f>
        <v/>
      </c>
      <c r="DF439" t="str">
        <f>""</f>
        <v/>
      </c>
      <c r="DG439" t="str">
        <f>""</f>
        <v/>
      </c>
      <c r="DH439" t="str">
        <f>""</f>
        <v/>
      </c>
      <c r="DI439" t="str">
        <f>""</f>
        <v/>
      </c>
      <c r="DJ439" t="str">
        <f>""</f>
        <v/>
      </c>
      <c r="DK439" t="str">
        <f>""</f>
        <v/>
      </c>
      <c r="DL439" t="str">
        <f>""</f>
        <v/>
      </c>
      <c r="DM439" t="str">
        <f>""</f>
        <v/>
      </c>
      <c r="DN439" t="str">
        <f>""</f>
        <v/>
      </c>
      <c r="DO439" t="str">
        <f>""</f>
        <v/>
      </c>
      <c r="DP439" t="str">
        <f>""</f>
        <v/>
      </c>
      <c r="DQ439" t="str">
        <f>""</f>
        <v/>
      </c>
      <c r="DR439" t="str">
        <f>""</f>
        <v/>
      </c>
      <c r="DS439" t="str">
        <f>""</f>
        <v/>
      </c>
      <c r="DT439" t="str">
        <f>""</f>
        <v/>
      </c>
      <c r="DU439" t="str">
        <f>""</f>
        <v/>
      </c>
    </row>
    <row r="440" spans="1:125" x14ac:dyDescent="0.25">
      <c r="A440" t="str">
        <f>"    Nissan Motor Co Ltd"</f>
        <v xml:space="preserve">    Nissan Motor Co Ltd</v>
      </c>
      <c r="B440" t="str">
        <f>"7201 JP Equity"</f>
        <v>7201 JP Equity</v>
      </c>
      <c r="C440" t="str">
        <f t="shared" si="30"/>
        <v>RR477</v>
      </c>
      <c r="D440" t="str">
        <f t="shared" si="31"/>
        <v>EV_TO_T12M_CASH_FLOW</v>
      </c>
      <c r="E440" t="str">
        <f t="shared" si="32"/>
        <v>Dynamic</v>
      </c>
      <c r="F440" t="str">
        <f ca="1">IF(AND(ISNUMBER($F$1103),$B$677=1),$F$1103,HLOOKUP(INDIRECT(ADDRESS(2,COLUMN())),OFFSET($BN$2,0,0,ROW()-1,60),ROW()-1,FALSE))</f>
        <v/>
      </c>
      <c r="G440">
        <f ca="1">IF(AND(ISNUMBER($G$1103),$B$677=1),$G$1103,HLOOKUP(INDIRECT(ADDRESS(2,COLUMN())),OFFSET($BN$2,0,0,ROW()-1,60),ROW()-1,FALSE))</f>
        <v>1.5268350040000001</v>
      </c>
      <c r="H440">
        <f ca="1">IF(AND(ISNUMBER($H$1103),$B$677=1),$H$1103,HLOOKUP(INDIRECT(ADDRESS(2,COLUMN())),OFFSET($BN$2,0,0,ROW()-1,60),ROW()-1,FALSE))</f>
        <v>2.2937188960000001</v>
      </c>
      <c r="I440">
        <f ca="1">IF(AND(ISNUMBER($I$1103),$B$677=1),$I$1103,HLOOKUP(INDIRECT(ADDRESS(2,COLUMN())),OFFSET($BN$2,0,0,ROW()-1,60),ROW()-1,FALSE))</f>
        <v>2.3031967230000001</v>
      </c>
      <c r="J440">
        <f ca="1">IF(AND(ISNUMBER($J$1103),$B$677=1),$J$1103,HLOOKUP(INDIRECT(ADDRESS(2,COLUMN())),OFFSET($BN$2,0,0,ROW()-1,60),ROW()-1,FALSE))</f>
        <v>2.6621125079999999</v>
      </c>
      <c r="K440">
        <f ca="1">IF(AND(ISNUMBER($K$1103),$B$677=1),$K$1103,HLOOKUP(INDIRECT(ADDRESS(2,COLUMN())),OFFSET($BN$2,0,0,ROW()-1,60),ROW()-1,FALSE))</f>
        <v>3.9420917000000002</v>
      </c>
      <c r="L440">
        <f ca="1">IF(AND(ISNUMBER($L$1103),$B$677=1),$L$1103,HLOOKUP(INDIRECT(ADDRESS(2,COLUMN())),OFFSET($BN$2,0,0,ROW()-1,60),ROW()-1,FALSE))</f>
        <v>2.554964698</v>
      </c>
      <c r="M440">
        <f ca="1">IF(AND(ISNUMBER($M$1103),$B$677=1),$M$1103,HLOOKUP(INDIRECT(ADDRESS(2,COLUMN())),OFFSET($BN$2,0,0,ROW()-1,60),ROW()-1,FALSE))</f>
        <v>2.702892893</v>
      </c>
      <c r="N440">
        <f ca="1">IF(AND(ISNUMBER($N$1103),$B$677=1),$N$1103,HLOOKUP(INDIRECT(ADDRESS(2,COLUMN())),OFFSET($BN$2,0,0,ROW()-1,60),ROW()-1,FALSE))</f>
        <v>2.146234491</v>
      </c>
      <c r="O440">
        <f ca="1">IF(AND(ISNUMBER($O$1103),$B$677=1),$O$1103,HLOOKUP(INDIRECT(ADDRESS(2,COLUMN())),OFFSET($BN$2,0,0,ROW()-1,60),ROW()-1,FALSE))</f>
        <v>3.1847414409999999</v>
      </c>
      <c r="P440">
        <f ca="1">IF(AND(ISNUMBER($P$1103),$B$677=1),$P$1103,HLOOKUP(INDIRECT(ADDRESS(2,COLUMN())),OFFSET($BN$2,0,0,ROW()-1,60),ROW()-1,FALSE))</f>
        <v>2.5972911170000001</v>
      </c>
      <c r="Q440">
        <f ca="1">IF(AND(ISNUMBER($Q$1103),$B$677=1),$Q$1103,HLOOKUP(INDIRECT(ADDRESS(2,COLUMN())),OFFSET($BN$2,0,0,ROW()-1,60),ROW()-1,FALSE))</f>
        <v>2.4286099760000002</v>
      </c>
      <c r="R440">
        <f ca="1">IF(AND(ISNUMBER($R$1103),$B$677=1),$R$1103,HLOOKUP(INDIRECT(ADDRESS(2,COLUMN())),OFFSET($BN$2,0,0,ROW()-1,60),ROW()-1,FALSE))</f>
        <v>3.5139416429999999</v>
      </c>
      <c r="S440">
        <f ca="1">IF(AND(ISNUMBER($S$1103),$B$677=1),$S$1103,HLOOKUP(INDIRECT(ADDRESS(2,COLUMN())),OFFSET($BN$2,0,0,ROW()-1,60),ROW()-1,FALSE))</f>
        <v>5.3258980539999996</v>
      </c>
      <c r="T440">
        <f ca="1">IF(AND(ISNUMBER($T$1103),$B$677=1),$T$1103,HLOOKUP(INDIRECT(ADDRESS(2,COLUMN())),OFFSET($BN$2,0,0,ROW()-1,60),ROW()-1,FALSE))</f>
        <v>4.4938302910000001</v>
      </c>
      <c r="U440">
        <f ca="1">IF(AND(ISNUMBER($U$1103),$B$677=1),$U$1103,HLOOKUP(INDIRECT(ADDRESS(2,COLUMN())),OFFSET($BN$2,0,0,ROW()-1,60),ROW()-1,FALSE))</f>
        <v>5.6868479379999997</v>
      </c>
      <c r="V440">
        <f ca="1">IF(AND(ISNUMBER($V$1103),$B$677=1),$V$1103,HLOOKUP(INDIRECT(ADDRESS(2,COLUMN())),OFFSET($BN$2,0,0,ROW()-1,60),ROW()-1,FALSE))</f>
        <v>5.9952064119999999</v>
      </c>
      <c r="W440">
        <f ca="1">IF(AND(ISNUMBER($W$1103),$B$677=1),$W$1103,HLOOKUP(INDIRECT(ADDRESS(2,COLUMN())),OFFSET($BN$2,0,0,ROW()-1,60),ROW()-1,FALSE))</f>
        <v>4.2767406540000001</v>
      </c>
      <c r="X440">
        <f ca="1">IF(AND(ISNUMBER($X$1103),$B$677=1),$X$1103,HLOOKUP(INDIRECT(ADDRESS(2,COLUMN())),OFFSET($BN$2,0,0,ROW()-1,60),ROW()-1,FALSE))</f>
        <v>4.9313979860000003</v>
      </c>
      <c r="Y440">
        <f ca="1">IF(AND(ISNUMBER($Y$1103),$B$677=1),$Y$1103,HLOOKUP(INDIRECT(ADDRESS(2,COLUMN())),OFFSET($BN$2,0,0,ROW()-1,60),ROW()-1,FALSE))</f>
        <v>5.4193506979999997</v>
      </c>
      <c r="Z440">
        <f ca="1">IF(AND(ISNUMBER($Z$1103),$B$677=1),$Z$1103,HLOOKUP(INDIRECT(ADDRESS(2,COLUMN())),OFFSET($BN$2,0,0,ROW()-1,60),ROW()-1,FALSE))</f>
        <v>4.3492569799999998</v>
      </c>
      <c r="AA440">
        <f ca="1">IF(AND(ISNUMBER($AA$1103),$B$677=1),$AA$1103,HLOOKUP(INDIRECT(ADDRESS(2,COLUMN())),OFFSET($BN$2,0,0,ROW()-1,60),ROW()-1,FALSE))</f>
        <v>5.1461831279999997</v>
      </c>
      <c r="AB440">
        <f ca="1">IF(AND(ISNUMBER($AB$1103),$B$677=1),$AB$1103,HLOOKUP(INDIRECT(ADDRESS(2,COLUMN())),OFFSET($BN$2,0,0,ROW()-1,60),ROW()-1,FALSE))</f>
        <v>5.7280211650000004</v>
      </c>
      <c r="AC440">
        <f ca="1">IF(AND(ISNUMBER($AC$1103),$B$677=1),$AC$1103,HLOOKUP(INDIRECT(ADDRESS(2,COLUMN())),OFFSET($BN$2,0,0,ROW()-1,60),ROW()-1,FALSE))</f>
        <v>8.3042632090000001</v>
      </c>
      <c r="AD440">
        <f ca="1">IF(AND(ISNUMBER($AD$1103),$B$677=1),$AD$1103,HLOOKUP(INDIRECT(ADDRESS(2,COLUMN())),OFFSET($BN$2,0,0,ROW()-1,60),ROW()-1,FALSE))</f>
        <v>7.9039791560000001</v>
      </c>
      <c r="AE440">
        <f ca="1">IF(AND(ISNUMBER($AE$1103),$B$677=1),$AE$1103,HLOOKUP(INDIRECT(ADDRESS(2,COLUMN())),OFFSET($BN$2,0,0,ROW()-1,60),ROW()-1,FALSE))</f>
        <v>10.410616600000001</v>
      </c>
      <c r="AF440">
        <f ca="1">IF(AND(ISNUMBER($AF$1103),$B$677=1),$AF$1103,HLOOKUP(INDIRECT(ADDRESS(2,COLUMN())),OFFSET($BN$2,0,0,ROW()-1,60),ROW()-1,FALSE))</f>
        <v>6.5226958240000004</v>
      </c>
      <c r="AG440">
        <f ca="1">IF(AND(ISNUMBER($AG$1103),$B$677=1),$AG$1103,HLOOKUP(INDIRECT(ADDRESS(2,COLUMN())),OFFSET($BN$2,0,0,ROW()-1,60),ROW()-1,FALSE))</f>
        <v>5.5922016269999997</v>
      </c>
      <c r="AH440">
        <f ca="1">IF(AND(ISNUMBER($AH$1103),$B$677=1),$AH$1103,HLOOKUP(INDIRECT(ADDRESS(2,COLUMN())),OFFSET($BN$2,0,0,ROW()-1,60),ROW()-1,FALSE))</f>
        <v>4.841040349</v>
      </c>
      <c r="AI440">
        <f ca="1">IF(AND(ISNUMBER($AI$1103),$B$677=1),$AI$1103,HLOOKUP(INDIRECT(ADDRESS(2,COLUMN())),OFFSET($BN$2,0,0,ROW()-1,60),ROW()-1,FALSE))</f>
        <v>4.464488534</v>
      </c>
      <c r="AJ440">
        <f ca="1">IF(AND(ISNUMBER($AJ$1103),$B$677=1),$AJ$1103,HLOOKUP(INDIRECT(ADDRESS(2,COLUMN())),OFFSET($BN$2,0,0,ROW()-1,60),ROW()-1,FALSE))</f>
        <v>4.2169918300000004</v>
      </c>
      <c r="AK440">
        <f ca="1">IF(AND(ISNUMBER($AK$1103),$B$677=1),$AK$1103,HLOOKUP(INDIRECT(ADDRESS(2,COLUMN())),OFFSET($BN$2,0,0,ROW()-1,60),ROW()-1,FALSE))</f>
        <v>5.3636129730000004</v>
      </c>
      <c r="AL440">
        <f ca="1">IF(AND(ISNUMBER($AL$1103),$B$677=1),$AL$1103,HLOOKUP(INDIRECT(ADDRESS(2,COLUMN())),OFFSET($BN$2,0,0,ROW()-1,60),ROW()-1,FALSE))</f>
        <v>4.6752280979999998</v>
      </c>
      <c r="AM440">
        <f ca="1">IF(AND(ISNUMBER($AM$1103),$B$677=1),$AM$1103,HLOOKUP(INDIRECT(ADDRESS(2,COLUMN())),OFFSET($BN$2,0,0,ROW()-1,60),ROW()-1,FALSE))</f>
        <v>5.266158399</v>
      </c>
      <c r="AN440">
        <f ca="1">IF(AND(ISNUMBER($AN$1103),$B$677=1),$AN$1103,HLOOKUP(INDIRECT(ADDRESS(2,COLUMN())),OFFSET($BN$2,0,0,ROW()-1,60),ROW()-1,FALSE))</f>
        <v>4.5225097630000004</v>
      </c>
      <c r="AO440">
        <f ca="1">IF(AND(ISNUMBER($AO$1103),$B$677=1),$AO$1103,HLOOKUP(INDIRECT(ADDRESS(2,COLUMN())),OFFSET($BN$2,0,0,ROW()-1,60),ROW()-1,FALSE))</f>
        <v>2.7210376549999999</v>
      </c>
      <c r="AP440">
        <f ca="1">IF(AND(ISNUMBER($AP$1103),$B$677=1),$AP$1103,HLOOKUP(INDIRECT(ADDRESS(2,COLUMN())),OFFSET($BN$2,0,0,ROW()-1,60),ROW()-1,FALSE))</f>
        <v>2.9747060740000002</v>
      </c>
      <c r="AQ440">
        <f ca="1">IF(AND(ISNUMBER($AQ$1103),$B$677=1),$AQ$1103,HLOOKUP(INDIRECT(ADDRESS(2,COLUMN())),OFFSET($BN$2,0,0,ROW()-1,60),ROW()-1,FALSE))</f>
        <v>2.7850820089999999</v>
      </c>
      <c r="AR440">
        <f ca="1">IF(AND(ISNUMBER($AR$1103),$B$677=1),$AR$1103,HLOOKUP(INDIRECT(ADDRESS(2,COLUMN())),OFFSET($BN$2,0,0,ROW()-1,60),ROW()-1,FALSE))</f>
        <v>2.2517454460000002</v>
      </c>
      <c r="AS440">
        <f ca="1">IF(AND(ISNUMBER($AS$1103),$B$677=1),$AS$1103,HLOOKUP(INDIRECT(ADDRESS(2,COLUMN())),OFFSET($BN$2,0,0,ROW()-1,60),ROW()-1,FALSE))</f>
        <v>2.6416531980000002</v>
      </c>
      <c r="AT440">
        <f ca="1">IF(AND(ISNUMBER($AT$1103),$B$677=1),$AT$1103,HLOOKUP(INDIRECT(ADDRESS(2,COLUMN())),OFFSET($BN$2,0,0,ROW()-1,60),ROW()-1,FALSE))</f>
        <v>6.4310237380000004</v>
      </c>
      <c r="AU440" t="str">
        <f ca="1">IF(AND(ISNUMBER($AU$1103),$B$677=1),$AU$1103,HLOOKUP(INDIRECT(ADDRESS(2,COLUMN())),OFFSET($BN$2,0,0,ROW()-1,60),ROW()-1,FALSE))</f>
        <v/>
      </c>
      <c r="AV440" t="str">
        <f ca="1">IF(AND(ISNUMBER($AV$1103),$B$677=1),$AV$1103,HLOOKUP(INDIRECT(ADDRESS(2,COLUMN())),OFFSET($BN$2,0,0,ROW()-1,60),ROW()-1,FALSE))</f>
        <v/>
      </c>
      <c r="AW440" t="str">
        <f ca="1">IF(AND(ISNUMBER($AW$1103),$B$677=1),$AW$1103,HLOOKUP(INDIRECT(ADDRESS(2,COLUMN())),OFFSET($BN$2,0,0,ROW()-1,60),ROW()-1,FALSE))</f>
        <v/>
      </c>
      <c r="AX440" t="str">
        <f ca="1">IF(AND(ISNUMBER($AX$1103),$B$677=1),$AX$1103,HLOOKUP(INDIRECT(ADDRESS(2,COLUMN())),OFFSET($BN$2,0,0,ROW()-1,60),ROW()-1,FALSE))</f>
        <v/>
      </c>
      <c r="AY440" t="str">
        <f ca="1">IF(AND(ISNUMBER($AY$1103),$B$677=1),$AY$1103,HLOOKUP(INDIRECT(ADDRESS(2,COLUMN())),OFFSET($BN$2,0,0,ROW()-1,60),ROW()-1,FALSE))</f>
        <v/>
      </c>
      <c r="AZ440" t="str">
        <f ca="1">IF(AND(ISNUMBER($AZ$1103),$B$677=1),$AZ$1103,HLOOKUP(INDIRECT(ADDRESS(2,COLUMN())),OFFSET($BN$2,0,0,ROW()-1,60),ROW()-1,FALSE))</f>
        <v/>
      </c>
      <c r="BA440" t="str">
        <f ca="1">IF(AND(ISNUMBER($BA$1103),$B$677=1),$BA$1103,HLOOKUP(INDIRECT(ADDRESS(2,COLUMN())),OFFSET($BN$2,0,0,ROW()-1,60),ROW()-1,FALSE))</f>
        <v/>
      </c>
      <c r="BB440" t="str">
        <f ca="1">IF(AND(ISNUMBER($BB$1103),$B$677=1),$BB$1103,HLOOKUP(INDIRECT(ADDRESS(2,COLUMN())),OFFSET($BN$2,0,0,ROW()-1,60),ROW()-1,FALSE))</f>
        <v/>
      </c>
      <c r="BC440" t="str">
        <f ca="1">IF(AND(ISNUMBER($BC$1103),$B$677=1),$BC$1103,HLOOKUP(INDIRECT(ADDRESS(2,COLUMN())),OFFSET($BN$2,0,0,ROW()-1,60),ROW()-1,FALSE))</f>
        <v/>
      </c>
      <c r="BD440" t="str">
        <f ca="1">IF(AND(ISNUMBER($BD$1103),$B$677=1),$BD$1103,HLOOKUP(INDIRECT(ADDRESS(2,COLUMN())),OFFSET($BN$2,0,0,ROW()-1,60),ROW()-1,FALSE))</f>
        <v/>
      </c>
      <c r="BE440" t="str">
        <f ca="1">IF(AND(ISNUMBER($BE$1103),$B$677=1),$BE$1103,HLOOKUP(INDIRECT(ADDRESS(2,COLUMN())),OFFSET($BN$2,0,0,ROW()-1,60),ROW()-1,FALSE))</f>
        <v/>
      </c>
      <c r="BF440" t="str">
        <f ca="1">IF(AND(ISNUMBER($BF$1103),$B$677=1),$BF$1103,HLOOKUP(INDIRECT(ADDRESS(2,COLUMN())),OFFSET($BN$2,0,0,ROW()-1,60),ROW()-1,FALSE))</f>
        <v/>
      </c>
      <c r="BG440" t="str">
        <f ca="1">IF(AND(ISNUMBER($BG$1103),$B$677=1),$BG$1103,HLOOKUP(INDIRECT(ADDRESS(2,COLUMN())),OFFSET($BN$2,0,0,ROW()-1,60),ROW()-1,FALSE))</f>
        <v/>
      </c>
      <c r="BH440" t="str">
        <f ca="1">IF(AND(ISNUMBER($BH$1103),$B$677=1),$BH$1103,HLOOKUP(INDIRECT(ADDRESS(2,COLUMN())),OFFSET($BN$2,0,0,ROW()-1,60),ROW()-1,FALSE))</f>
        <v/>
      </c>
      <c r="BI440" t="str">
        <f ca="1">IF(AND(ISNUMBER($BI$1103),$B$677=1),$BI$1103,HLOOKUP(INDIRECT(ADDRESS(2,COLUMN())),OFFSET($BN$2,0,0,ROW()-1,60),ROW()-1,FALSE))</f>
        <v/>
      </c>
      <c r="BJ440" t="str">
        <f ca="1">IF(AND(ISNUMBER($BJ$1103),$B$677=1),$BJ$1103,HLOOKUP(INDIRECT(ADDRESS(2,COLUMN())),OFFSET($BN$2,0,0,ROW()-1,60),ROW()-1,FALSE))</f>
        <v/>
      </c>
      <c r="BK440" t="str">
        <f ca="1">IF(AND(ISNUMBER($BK$1103),$B$677=1),$BK$1103,HLOOKUP(INDIRECT(ADDRESS(2,COLUMN())),OFFSET($BN$2,0,0,ROW()-1,60),ROW()-1,FALSE))</f>
        <v/>
      </c>
      <c r="BL440" t="str">
        <f ca="1">IF(AND(ISNUMBER($BL$1103),$B$677=1),$BL$1103,HLOOKUP(INDIRECT(ADDRESS(2,COLUMN())),OFFSET($BN$2,0,0,ROW()-1,60),ROW()-1,FALSE))</f>
        <v/>
      </c>
      <c r="BM440" t="str">
        <f ca="1">IF(AND(ISNUMBER($BM$1103),$B$677=1),$BM$1103,HLOOKUP(INDIRECT(ADDRESS(2,COLUMN())),OFFSET($BN$2,0,0,ROW()-1,60),ROW()-1,FALSE))</f>
        <v/>
      </c>
      <c r="BN440" t="str">
        <f>""</f>
        <v/>
      </c>
      <c r="BO440">
        <f>1.526835004</f>
        <v>1.5268350040000001</v>
      </c>
      <c r="BP440">
        <f>2.293718896</f>
        <v>2.2937188960000001</v>
      </c>
      <c r="BQ440">
        <f>2.303196723</f>
        <v>2.3031967230000001</v>
      </c>
      <c r="BR440">
        <f>2.662112508</f>
        <v>2.6621125079999999</v>
      </c>
      <c r="BS440">
        <f>3.9420917</f>
        <v>3.9420917000000002</v>
      </c>
      <c r="BT440">
        <f>2.554964698</f>
        <v>2.554964698</v>
      </c>
      <c r="BU440">
        <f>2.702892893</f>
        <v>2.702892893</v>
      </c>
      <c r="BV440">
        <f>2.146234491</f>
        <v>2.146234491</v>
      </c>
      <c r="BW440">
        <f>3.184741441</f>
        <v>3.1847414409999999</v>
      </c>
      <c r="BX440">
        <f>2.597291117</f>
        <v>2.5972911170000001</v>
      </c>
      <c r="BY440">
        <f>2.428609976</f>
        <v>2.4286099760000002</v>
      </c>
      <c r="BZ440">
        <f>3.513941643</f>
        <v>3.5139416429999999</v>
      </c>
      <c r="CA440">
        <f>5.325898054</f>
        <v>5.3258980539999996</v>
      </c>
      <c r="CB440">
        <f>4.493830291</f>
        <v>4.4938302910000001</v>
      </c>
      <c r="CC440">
        <f>5.686847938</f>
        <v>5.6868479379999997</v>
      </c>
      <c r="CD440">
        <f>5.995206412</f>
        <v>5.9952064119999999</v>
      </c>
      <c r="CE440">
        <f>4.276740654</f>
        <v>4.2767406540000001</v>
      </c>
      <c r="CF440">
        <f>4.931397986</f>
        <v>4.9313979860000003</v>
      </c>
      <c r="CG440">
        <f>5.419350698</f>
        <v>5.4193506979999997</v>
      </c>
      <c r="CH440">
        <f>4.34925698</f>
        <v>4.3492569799999998</v>
      </c>
      <c r="CI440">
        <f>5.146183128</f>
        <v>5.1461831279999997</v>
      </c>
      <c r="CJ440">
        <f>5.728021165</f>
        <v>5.7280211650000004</v>
      </c>
      <c r="CK440">
        <f>8.304263209</f>
        <v>8.3042632090000001</v>
      </c>
      <c r="CL440">
        <f>7.903979156</f>
        <v>7.9039791560000001</v>
      </c>
      <c r="CM440">
        <f>10.4106166</f>
        <v>10.410616600000001</v>
      </c>
      <c r="CN440">
        <f>6.522695824</f>
        <v>6.5226958240000004</v>
      </c>
      <c r="CO440">
        <f>5.592201627</f>
        <v>5.5922016269999997</v>
      </c>
      <c r="CP440">
        <f>4.841040349</f>
        <v>4.841040349</v>
      </c>
      <c r="CQ440">
        <f>4.464488534</f>
        <v>4.464488534</v>
      </c>
      <c r="CR440">
        <f>4.21699183</f>
        <v>4.2169918300000004</v>
      </c>
      <c r="CS440">
        <f>5.363612973</f>
        <v>5.3636129730000004</v>
      </c>
      <c r="CT440">
        <f>4.675228098</f>
        <v>4.6752280979999998</v>
      </c>
      <c r="CU440">
        <f>5.266158399</f>
        <v>5.266158399</v>
      </c>
      <c r="CV440">
        <f>4.522509763</f>
        <v>4.5225097630000004</v>
      </c>
      <c r="CW440">
        <f>2.721037655</f>
        <v>2.7210376549999999</v>
      </c>
      <c r="CX440">
        <f>2.974706074</f>
        <v>2.9747060740000002</v>
      </c>
      <c r="CY440">
        <f>2.785082009</f>
        <v>2.7850820089999999</v>
      </c>
      <c r="CZ440">
        <f>2.251745446</f>
        <v>2.2517454460000002</v>
      </c>
      <c r="DA440">
        <f>2.641653198</f>
        <v>2.6416531980000002</v>
      </c>
      <c r="DB440">
        <f>6.431023738</f>
        <v>6.4310237380000004</v>
      </c>
      <c r="DC440" t="str">
        <f>""</f>
        <v/>
      </c>
      <c r="DD440" t="str">
        <f>""</f>
        <v/>
      </c>
      <c r="DE440" t="str">
        <f>""</f>
        <v/>
      </c>
      <c r="DF440" t="str">
        <f>""</f>
        <v/>
      </c>
      <c r="DG440" t="str">
        <f>""</f>
        <v/>
      </c>
      <c r="DH440" t="str">
        <f>""</f>
        <v/>
      </c>
      <c r="DI440" t="str">
        <f>""</f>
        <v/>
      </c>
      <c r="DJ440" t="str">
        <f>""</f>
        <v/>
      </c>
      <c r="DK440" t="str">
        <f>""</f>
        <v/>
      </c>
      <c r="DL440" t="str">
        <f>""</f>
        <v/>
      </c>
      <c r="DM440" t="str">
        <f>""</f>
        <v/>
      </c>
      <c r="DN440" t="str">
        <f>""</f>
        <v/>
      </c>
      <c r="DO440" t="str">
        <f>""</f>
        <v/>
      </c>
      <c r="DP440" t="str">
        <f>""</f>
        <v/>
      </c>
      <c r="DQ440" t="str">
        <f>""</f>
        <v/>
      </c>
      <c r="DR440" t="str">
        <f>""</f>
        <v/>
      </c>
      <c r="DS440" t="str">
        <f>""</f>
        <v/>
      </c>
      <c r="DT440" t="str">
        <f>""</f>
        <v/>
      </c>
      <c r="DU440" t="str">
        <f>""</f>
        <v/>
      </c>
    </row>
    <row r="441" spans="1:125" x14ac:dyDescent="0.25">
      <c r="A441" t="str">
        <f>"    Peugeot SA"</f>
        <v xml:space="preserve">    Peugeot SA</v>
      </c>
      <c r="B441" t="str">
        <f>"UG FP Equity"</f>
        <v>UG FP Equity</v>
      </c>
      <c r="C441" t="str">
        <f t="shared" si="30"/>
        <v>RR477</v>
      </c>
      <c r="D441" t="str">
        <f t="shared" si="31"/>
        <v>EV_TO_T12M_CASH_FLOW</v>
      </c>
      <c r="E441" t="str">
        <f t="shared" si="32"/>
        <v>Dynamic</v>
      </c>
      <c r="F441" t="str">
        <f ca="1">IF(AND(ISNUMBER($F$1104),$B$677=1),$F$1104,HLOOKUP(INDIRECT(ADDRESS(2,COLUMN())),OFFSET($BN$2,0,0,ROW()-1,60),ROW()-1,FALSE))</f>
        <v/>
      </c>
      <c r="G441" t="str">
        <f ca="1">IF(AND(ISNUMBER($G$1104),$B$677=1),$G$1104,HLOOKUP(INDIRECT(ADDRESS(2,COLUMN())),OFFSET($BN$2,0,0,ROW()-1,60),ROW()-1,FALSE))</f>
        <v/>
      </c>
      <c r="H441" t="str">
        <f ca="1">IF(AND(ISNUMBER($H$1104),$B$677=1),$H$1104,HLOOKUP(INDIRECT(ADDRESS(2,COLUMN())),OFFSET($BN$2,0,0,ROW()-1,60),ROW()-1,FALSE))</f>
        <v/>
      </c>
      <c r="I441" t="str">
        <f ca="1">IF(AND(ISNUMBER($I$1104),$B$677=1),$I$1104,HLOOKUP(INDIRECT(ADDRESS(2,COLUMN())),OFFSET($BN$2,0,0,ROW()-1,60),ROW()-1,FALSE))</f>
        <v/>
      </c>
      <c r="J441" t="str">
        <f ca="1">IF(AND(ISNUMBER($J$1104),$B$677=1),$J$1104,HLOOKUP(INDIRECT(ADDRESS(2,COLUMN())),OFFSET($BN$2,0,0,ROW()-1,60),ROW()-1,FALSE))</f>
        <v/>
      </c>
      <c r="K441" t="str">
        <f ca="1">IF(AND(ISNUMBER($K$1104),$B$677=1),$K$1104,HLOOKUP(INDIRECT(ADDRESS(2,COLUMN())),OFFSET($BN$2,0,0,ROW()-1,60),ROW()-1,FALSE))</f>
        <v/>
      </c>
      <c r="L441" t="str">
        <f ca="1">IF(AND(ISNUMBER($L$1104),$B$677=1),$L$1104,HLOOKUP(INDIRECT(ADDRESS(2,COLUMN())),OFFSET($BN$2,0,0,ROW()-1,60),ROW()-1,FALSE))</f>
        <v/>
      </c>
      <c r="M441" t="str">
        <f ca="1">IF(AND(ISNUMBER($M$1104),$B$677=1),$M$1104,HLOOKUP(INDIRECT(ADDRESS(2,COLUMN())),OFFSET($BN$2,0,0,ROW()-1,60),ROW()-1,FALSE))</f>
        <v/>
      </c>
      <c r="N441" t="str">
        <f ca="1">IF(AND(ISNUMBER($N$1104),$B$677=1),$N$1104,HLOOKUP(INDIRECT(ADDRESS(2,COLUMN())),OFFSET($BN$2,0,0,ROW()-1,60),ROW()-1,FALSE))</f>
        <v/>
      </c>
      <c r="O441" t="str">
        <f ca="1">IF(AND(ISNUMBER($O$1104),$B$677=1),$O$1104,HLOOKUP(INDIRECT(ADDRESS(2,COLUMN())),OFFSET($BN$2,0,0,ROW()-1,60),ROW()-1,FALSE))</f>
        <v/>
      </c>
      <c r="P441" t="str">
        <f ca="1">IF(AND(ISNUMBER($P$1104),$B$677=1),$P$1104,HLOOKUP(INDIRECT(ADDRESS(2,COLUMN())),OFFSET($BN$2,0,0,ROW()-1,60),ROW()-1,FALSE))</f>
        <v/>
      </c>
      <c r="Q441" t="str">
        <f ca="1">IF(AND(ISNUMBER($Q$1104),$B$677=1),$Q$1104,HLOOKUP(INDIRECT(ADDRESS(2,COLUMN())),OFFSET($BN$2,0,0,ROW()-1,60),ROW()-1,FALSE))</f>
        <v/>
      </c>
      <c r="R441" t="str">
        <f ca="1">IF(AND(ISNUMBER($R$1104),$B$677=1),$R$1104,HLOOKUP(INDIRECT(ADDRESS(2,COLUMN())),OFFSET($BN$2,0,0,ROW()-1,60),ROW()-1,FALSE))</f>
        <v/>
      </c>
      <c r="S441" t="str">
        <f ca="1">IF(AND(ISNUMBER($S$1104),$B$677=1),$S$1104,HLOOKUP(INDIRECT(ADDRESS(2,COLUMN())),OFFSET($BN$2,0,0,ROW()-1,60),ROW()-1,FALSE))</f>
        <v/>
      </c>
      <c r="T441" t="str">
        <f ca="1">IF(AND(ISNUMBER($T$1104),$B$677=1),$T$1104,HLOOKUP(INDIRECT(ADDRESS(2,COLUMN())),OFFSET($BN$2,0,0,ROW()-1,60),ROW()-1,FALSE))</f>
        <v/>
      </c>
      <c r="U441" t="str">
        <f ca="1">IF(AND(ISNUMBER($U$1104),$B$677=1),$U$1104,HLOOKUP(INDIRECT(ADDRESS(2,COLUMN())),OFFSET($BN$2,0,0,ROW()-1,60),ROW()-1,FALSE))</f>
        <v/>
      </c>
      <c r="V441" t="str">
        <f ca="1">IF(AND(ISNUMBER($V$1104),$B$677=1),$V$1104,HLOOKUP(INDIRECT(ADDRESS(2,COLUMN())),OFFSET($BN$2,0,0,ROW()-1,60),ROW()-1,FALSE))</f>
        <v/>
      </c>
      <c r="W441" t="str">
        <f ca="1">IF(AND(ISNUMBER($W$1104),$B$677=1),$W$1104,HLOOKUP(INDIRECT(ADDRESS(2,COLUMN())),OFFSET($BN$2,0,0,ROW()-1,60),ROW()-1,FALSE))</f>
        <v/>
      </c>
      <c r="X441" t="str">
        <f ca="1">IF(AND(ISNUMBER($X$1104),$B$677=1),$X$1104,HLOOKUP(INDIRECT(ADDRESS(2,COLUMN())),OFFSET($BN$2,0,0,ROW()-1,60),ROW()-1,FALSE))</f>
        <v/>
      </c>
      <c r="Y441" t="str">
        <f ca="1">IF(AND(ISNUMBER($Y$1104),$B$677=1),$Y$1104,HLOOKUP(INDIRECT(ADDRESS(2,COLUMN())),OFFSET($BN$2,0,0,ROW()-1,60),ROW()-1,FALSE))</f>
        <v/>
      </c>
      <c r="Z441" t="str">
        <f ca="1">IF(AND(ISNUMBER($Z$1104),$B$677=1),$Z$1104,HLOOKUP(INDIRECT(ADDRESS(2,COLUMN())),OFFSET($BN$2,0,0,ROW()-1,60),ROW()-1,FALSE))</f>
        <v/>
      </c>
      <c r="AA441" t="str">
        <f ca="1">IF(AND(ISNUMBER($AA$1104),$B$677=1),$AA$1104,HLOOKUP(INDIRECT(ADDRESS(2,COLUMN())),OFFSET($BN$2,0,0,ROW()-1,60),ROW()-1,FALSE))</f>
        <v/>
      </c>
      <c r="AB441" t="str">
        <f ca="1">IF(AND(ISNUMBER($AB$1104),$B$677=1),$AB$1104,HLOOKUP(INDIRECT(ADDRESS(2,COLUMN())),OFFSET($BN$2,0,0,ROW()-1,60),ROW()-1,FALSE))</f>
        <v/>
      </c>
      <c r="AC441" t="str">
        <f ca="1">IF(AND(ISNUMBER($AC$1104),$B$677=1),$AC$1104,HLOOKUP(INDIRECT(ADDRESS(2,COLUMN())),OFFSET($BN$2,0,0,ROW()-1,60),ROW()-1,FALSE))</f>
        <v/>
      </c>
      <c r="AD441" t="str">
        <f ca="1">IF(AND(ISNUMBER($AD$1104),$B$677=1),$AD$1104,HLOOKUP(INDIRECT(ADDRESS(2,COLUMN())),OFFSET($BN$2,0,0,ROW()-1,60),ROW()-1,FALSE))</f>
        <v/>
      </c>
      <c r="AE441" t="str">
        <f ca="1">IF(AND(ISNUMBER($AE$1104),$B$677=1),$AE$1104,HLOOKUP(INDIRECT(ADDRESS(2,COLUMN())),OFFSET($BN$2,0,0,ROW()-1,60),ROW()-1,FALSE))</f>
        <v/>
      </c>
      <c r="AF441" t="str">
        <f ca="1">IF(AND(ISNUMBER($AF$1104),$B$677=1),$AF$1104,HLOOKUP(INDIRECT(ADDRESS(2,COLUMN())),OFFSET($BN$2,0,0,ROW()-1,60),ROW()-1,FALSE))</f>
        <v/>
      </c>
      <c r="AG441" t="str">
        <f ca="1">IF(AND(ISNUMBER($AG$1104),$B$677=1),$AG$1104,HLOOKUP(INDIRECT(ADDRESS(2,COLUMN())),OFFSET($BN$2,0,0,ROW()-1,60),ROW()-1,FALSE))</f>
        <v/>
      </c>
      <c r="AH441" t="str">
        <f ca="1">IF(AND(ISNUMBER($AH$1104),$B$677=1),$AH$1104,HLOOKUP(INDIRECT(ADDRESS(2,COLUMN())),OFFSET($BN$2,0,0,ROW()-1,60),ROW()-1,FALSE))</f>
        <v/>
      </c>
      <c r="AI441" t="str">
        <f ca="1">IF(AND(ISNUMBER($AI$1104),$B$677=1),$AI$1104,HLOOKUP(INDIRECT(ADDRESS(2,COLUMN())),OFFSET($BN$2,0,0,ROW()-1,60),ROW()-1,FALSE))</f>
        <v/>
      </c>
      <c r="AJ441" t="str">
        <f ca="1">IF(AND(ISNUMBER($AJ$1104),$B$677=1),$AJ$1104,HLOOKUP(INDIRECT(ADDRESS(2,COLUMN())),OFFSET($BN$2,0,0,ROW()-1,60),ROW()-1,FALSE))</f>
        <v/>
      </c>
      <c r="AK441" t="str">
        <f ca="1">IF(AND(ISNUMBER($AK$1104),$B$677=1),$AK$1104,HLOOKUP(INDIRECT(ADDRESS(2,COLUMN())),OFFSET($BN$2,0,0,ROW()-1,60),ROW()-1,FALSE))</f>
        <v/>
      </c>
      <c r="AL441" t="str">
        <f ca="1">IF(AND(ISNUMBER($AL$1104),$B$677=1),$AL$1104,HLOOKUP(INDIRECT(ADDRESS(2,COLUMN())),OFFSET($BN$2,0,0,ROW()-1,60),ROW()-1,FALSE))</f>
        <v/>
      </c>
      <c r="AM441" t="str">
        <f ca="1">IF(AND(ISNUMBER($AM$1104),$B$677=1),$AM$1104,HLOOKUP(INDIRECT(ADDRESS(2,COLUMN())),OFFSET($BN$2,0,0,ROW()-1,60),ROW()-1,FALSE))</f>
        <v/>
      </c>
      <c r="AN441" t="str">
        <f ca="1">IF(AND(ISNUMBER($AN$1104),$B$677=1),$AN$1104,HLOOKUP(INDIRECT(ADDRESS(2,COLUMN())),OFFSET($BN$2,0,0,ROW()-1,60),ROW()-1,FALSE))</f>
        <v/>
      </c>
      <c r="AO441" t="str">
        <f ca="1">IF(AND(ISNUMBER($AO$1104),$B$677=1),$AO$1104,HLOOKUP(INDIRECT(ADDRESS(2,COLUMN())),OFFSET($BN$2,0,0,ROW()-1,60),ROW()-1,FALSE))</f>
        <v/>
      </c>
      <c r="AP441" t="str">
        <f ca="1">IF(AND(ISNUMBER($AP$1104),$B$677=1),$AP$1104,HLOOKUP(INDIRECT(ADDRESS(2,COLUMN())),OFFSET($BN$2,0,0,ROW()-1,60),ROW()-1,FALSE))</f>
        <v/>
      </c>
      <c r="AQ441" t="str">
        <f ca="1">IF(AND(ISNUMBER($AQ$1104),$B$677=1),$AQ$1104,HLOOKUP(INDIRECT(ADDRESS(2,COLUMN())),OFFSET($BN$2,0,0,ROW()-1,60),ROW()-1,FALSE))</f>
        <v/>
      </c>
      <c r="AR441" t="str">
        <f ca="1">IF(AND(ISNUMBER($AR$1104),$B$677=1),$AR$1104,HLOOKUP(INDIRECT(ADDRESS(2,COLUMN())),OFFSET($BN$2,0,0,ROW()-1,60),ROW()-1,FALSE))</f>
        <v/>
      </c>
      <c r="AS441" t="str">
        <f ca="1">IF(AND(ISNUMBER($AS$1104),$B$677=1),$AS$1104,HLOOKUP(INDIRECT(ADDRESS(2,COLUMN())),OFFSET($BN$2,0,0,ROW()-1,60),ROW()-1,FALSE))</f>
        <v/>
      </c>
      <c r="AT441" t="str">
        <f ca="1">IF(AND(ISNUMBER($AT$1104),$B$677=1),$AT$1104,HLOOKUP(INDIRECT(ADDRESS(2,COLUMN())),OFFSET($BN$2,0,0,ROW()-1,60),ROW()-1,FALSE))</f>
        <v/>
      </c>
      <c r="AU441" t="str">
        <f ca="1">IF(AND(ISNUMBER($AU$1104),$B$677=1),$AU$1104,HLOOKUP(INDIRECT(ADDRESS(2,COLUMN())),OFFSET($BN$2,0,0,ROW()-1,60),ROW()-1,FALSE))</f>
        <v/>
      </c>
      <c r="AV441" t="str">
        <f ca="1">IF(AND(ISNUMBER($AV$1104),$B$677=1),$AV$1104,HLOOKUP(INDIRECT(ADDRESS(2,COLUMN())),OFFSET($BN$2,0,0,ROW()-1,60),ROW()-1,FALSE))</f>
        <v/>
      </c>
      <c r="AW441" t="str">
        <f ca="1">IF(AND(ISNUMBER($AW$1104),$B$677=1),$AW$1104,HLOOKUP(INDIRECT(ADDRESS(2,COLUMN())),OFFSET($BN$2,0,0,ROW()-1,60),ROW()-1,FALSE))</f>
        <v/>
      </c>
      <c r="AX441" t="str">
        <f ca="1">IF(AND(ISNUMBER($AX$1104),$B$677=1),$AX$1104,HLOOKUP(INDIRECT(ADDRESS(2,COLUMN())),OFFSET($BN$2,0,0,ROW()-1,60),ROW()-1,FALSE))</f>
        <v/>
      </c>
      <c r="AY441" t="str">
        <f ca="1">IF(AND(ISNUMBER($AY$1104),$B$677=1),$AY$1104,HLOOKUP(INDIRECT(ADDRESS(2,COLUMN())),OFFSET($BN$2,0,0,ROW()-1,60),ROW()-1,FALSE))</f>
        <v/>
      </c>
      <c r="AZ441" t="str">
        <f ca="1">IF(AND(ISNUMBER($AZ$1104),$B$677=1),$AZ$1104,HLOOKUP(INDIRECT(ADDRESS(2,COLUMN())),OFFSET($BN$2,0,0,ROW()-1,60),ROW()-1,FALSE))</f>
        <v/>
      </c>
      <c r="BA441" t="str">
        <f ca="1">IF(AND(ISNUMBER($BA$1104),$B$677=1),$BA$1104,HLOOKUP(INDIRECT(ADDRESS(2,COLUMN())),OFFSET($BN$2,0,0,ROW()-1,60),ROW()-1,FALSE))</f>
        <v/>
      </c>
      <c r="BB441" t="str">
        <f ca="1">IF(AND(ISNUMBER($BB$1104),$B$677=1),$BB$1104,HLOOKUP(INDIRECT(ADDRESS(2,COLUMN())),OFFSET($BN$2,0,0,ROW()-1,60),ROW()-1,FALSE))</f>
        <v/>
      </c>
      <c r="BC441" t="str">
        <f ca="1">IF(AND(ISNUMBER($BC$1104),$B$677=1),$BC$1104,HLOOKUP(INDIRECT(ADDRESS(2,COLUMN())),OFFSET($BN$2,0,0,ROW()-1,60),ROW()-1,FALSE))</f>
        <v/>
      </c>
      <c r="BD441" t="str">
        <f ca="1">IF(AND(ISNUMBER($BD$1104),$B$677=1),$BD$1104,HLOOKUP(INDIRECT(ADDRESS(2,COLUMN())),OFFSET($BN$2,0,0,ROW()-1,60),ROW()-1,FALSE))</f>
        <v/>
      </c>
      <c r="BE441" t="str">
        <f ca="1">IF(AND(ISNUMBER($BE$1104),$B$677=1),$BE$1104,HLOOKUP(INDIRECT(ADDRESS(2,COLUMN())),OFFSET($BN$2,0,0,ROW()-1,60),ROW()-1,FALSE))</f>
        <v/>
      </c>
      <c r="BF441" t="str">
        <f ca="1">IF(AND(ISNUMBER($BF$1104),$B$677=1),$BF$1104,HLOOKUP(INDIRECT(ADDRESS(2,COLUMN())),OFFSET($BN$2,0,0,ROW()-1,60),ROW()-1,FALSE))</f>
        <v/>
      </c>
      <c r="BG441" t="str">
        <f ca="1">IF(AND(ISNUMBER($BG$1104),$B$677=1),$BG$1104,HLOOKUP(INDIRECT(ADDRESS(2,COLUMN())),OFFSET($BN$2,0,0,ROW()-1,60),ROW()-1,FALSE))</f>
        <v/>
      </c>
      <c r="BH441" t="str">
        <f ca="1">IF(AND(ISNUMBER($BH$1104),$B$677=1),$BH$1104,HLOOKUP(INDIRECT(ADDRESS(2,COLUMN())),OFFSET($BN$2,0,0,ROW()-1,60),ROW()-1,FALSE))</f>
        <v/>
      </c>
      <c r="BI441" t="str">
        <f ca="1">IF(AND(ISNUMBER($BI$1104),$B$677=1),$BI$1104,HLOOKUP(INDIRECT(ADDRESS(2,COLUMN())),OFFSET($BN$2,0,0,ROW()-1,60),ROW()-1,FALSE))</f>
        <v/>
      </c>
      <c r="BJ441" t="str">
        <f ca="1">IF(AND(ISNUMBER($BJ$1104),$B$677=1),$BJ$1104,HLOOKUP(INDIRECT(ADDRESS(2,COLUMN())),OFFSET($BN$2,0,0,ROW()-1,60),ROW()-1,FALSE))</f>
        <v/>
      </c>
      <c r="BK441" t="str">
        <f ca="1">IF(AND(ISNUMBER($BK$1104),$B$677=1),$BK$1104,HLOOKUP(INDIRECT(ADDRESS(2,COLUMN())),OFFSET($BN$2,0,0,ROW()-1,60),ROW()-1,FALSE))</f>
        <v/>
      </c>
      <c r="BL441" t="str">
        <f ca="1">IF(AND(ISNUMBER($BL$1104),$B$677=1),$BL$1104,HLOOKUP(INDIRECT(ADDRESS(2,COLUMN())),OFFSET($BN$2,0,0,ROW()-1,60),ROW()-1,FALSE))</f>
        <v/>
      </c>
      <c r="BM441" t="str">
        <f ca="1">IF(AND(ISNUMBER($BM$1104),$B$677=1),$BM$1104,HLOOKUP(INDIRECT(ADDRESS(2,COLUMN())),OFFSET($BN$2,0,0,ROW()-1,60),ROW()-1,FALSE))</f>
        <v/>
      </c>
      <c r="BN441" t="str">
        <f>""</f>
        <v/>
      </c>
      <c r="BO441" t="str">
        <f>""</f>
        <v/>
      </c>
      <c r="BP441" t="str">
        <f>""</f>
        <v/>
      </c>
      <c r="BQ441" t="str">
        <f>""</f>
        <v/>
      </c>
      <c r="BR441" t="str">
        <f>""</f>
        <v/>
      </c>
      <c r="BS441" t="str">
        <f>""</f>
        <v/>
      </c>
      <c r="BT441" t="str">
        <f>""</f>
        <v/>
      </c>
      <c r="BU441" t="str">
        <f>""</f>
        <v/>
      </c>
      <c r="BV441" t="str">
        <f>""</f>
        <v/>
      </c>
      <c r="BW441" t="str">
        <f>""</f>
        <v/>
      </c>
      <c r="BX441" t="str">
        <f>""</f>
        <v/>
      </c>
      <c r="BY441" t="str">
        <f>""</f>
        <v/>
      </c>
      <c r="BZ441" t="str">
        <f>""</f>
        <v/>
      </c>
      <c r="CA441" t="str">
        <f>""</f>
        <v/>
      </c>
      <c r="CB441" t="str">
        <f>""</f>
        <v/>
      </c>
      <c r="CC441" t="str">
        <f>""</f>
        <v/>
      </c>
      <c r="CD441" t="str">
        <f>""</f>
        <v/>
      </c>
      <c r="CE441" t="str">
        <f>""</f>
        <v/>
      </c>
      <c r="CF441" t="str">
        <f>""</f>
        <v/>
      </c>
      <c r="CG441" t="str">
        <f>""</f>
        <v/>
      </c>
      <c r="CH441" t="str">
        <f>""</f>
        <v/>
      </c>
      <c r="CI441" t="str">
        <f>""</f>
        <v/>
      </c>
      <c r="CJ441" t="str">
        <f>""</f>
        <v/>
      </c>
      <c r="CK441" t="str">
        <f>""</f>
        <v/>
      </c>
      <c r="CL441" t="str">
        <f>""</f>
        <v/>
      </c>
      <c r="CM441" t="str">
        <f>""</f>
        <v/>
      </c>
      <c r="CN441" t="str">
        <f>""</f>
        <v/>
      </c>
      <c r="CO441" t="str">
        <f>""</f>
        <v/>
      </c>
      <c r="CP441" t="str">
        <f>""</f>
        <v/>
      </c>
      <c r="CQ441" t="str">
        <f>""</f>
        <v/>
      </c>
      <c r="CR441" t="str">
        <f>""</f>
        <v/>
      </c>
      <c r="CS441" t="str">
        <f>""</f>
        <v/>
      </c>
      <c r="CT441" t="str">
        <f>""</f>
        <v/>
      </c>
      <c r="CU441" t="str">
        <f>""</f>
        <v/>
      </c>
      <c r="CV441" t="str">
        <f>""</f>
        <v/>
      </c>
      <c r="CW441" t="str">
        <f>""</f>
        <v/>
      </c>
      <c r="CX441" t="str">
        <f>""</f>
        <v/>
      </c>
      <c r="CY441" t="str">
        <f>""</f>
        <v/>
      </c>
      <c r="CZ441" t="str">
        <f>""</f>
        <v/>
      </c>
      <c r="DA441" t="str">
        <f>""</f>
        <v/>
      </c>
      <c r="DB441" t="str">
        <f>""</f>
        <v/>
      </c>
      <c r="DC441" t="str">
        <f>""</f>
        <v/>
      </c>
      <c r="DD441" t="str">
        <f>""</f>
        <v/>
      </c>
      <c r="DE441" t="str">
        <f>""</f>
        <v/>
      </c>
      <c r="DF441" t="str">
        <f>""</f>
        <v/>
      </c>
      <c r="DG441" t="str">
        <f>""</f>
        <v/>
      </c>
      <c r="DH441" t="str">
        <f>""</f>
        <v/>
      </c>
      <c r="DI441" t="str">
        <f>""</f>
        <v/>
      </c>
      <c r="DJ441" t="str">
        <f>""</f>
        <v/>
      </c>
      <c r="DK441" t="str">
        <f>""</f>
        <v/>
      </c>
      <c r="DL441" t="str">
        <f>""</f>
        <v/>
      </c>
      <c r="DM441" t="str">
        <f>""</f>
        <v/>
      </c>
      <c r="DN441" t="str">
        <f>""</f>
        <v/>
      </c>
      <c r="DO441" t="str">
        <f>""</f>
        <v/>
      </c>
      <c r="DP441" t="str">
        <f>""</f>
        <v/>
      </c>
      <c r="DQ441" t="str">
        <f>""</f>
        <v/>
      </c>
      <c r="DR441" t="str">
        <f>""</f>
        <v/>
      </c>
      <c r="DS441" t="str">
        <f>""</f>
        <v/>
      </c>
      <c r="DT441" t="str">
        <f>""</f>
        <v/>
      </c>
      <c r="DU441" t="str">
        <f>""</f>
        <v/>
      </c>
    </row>
    <row r="442" spans="1:125" x14ac:dyDescent="0.25">
      <c r="A442" t="str">
        <f>"    Renault SA"</f>
        <v xml:space="preserve">    Renault SA</v>
      </c>
      <c r="B442" t="str">
        <f>"RNO FP Equity"</f>
        <v>RNO FP Equity</v>
      </c>
      <c r="C442" t="str">
        <f t="shared" si="30"/>
        <v>RR477</v>
      </c>
      <c r="D442" t="str">
        <f t="shared" si="31"/>
        <v>EV_TO_T12M_CASH_FLOW</v>
      </c>
      <c r="E442" t="str">
        <f t="shared" si="32"/>
        <v>Dynamic</v>
      </c>
      <c r="F442" t="str">
        <f ca="1">IF(AND(ISNUMBER($F$1105),$B$677=1),$F$1105,HLOOKUP(INDIRECT(ADDRESS(2,COLUMN())),OFFSET($BN$2,0,0,ROW()-1,60),ROW()-1,FALSE))</f>
        <v/>
      </c>
      <c r="G442" t="str">
        <f ca="1">IF(AND(ISNUMBER($G$1105),$B$677=1),$G$1105,HLOOKUP(INDIRECT(ADDRESS(2,COLUMN())),OFFSET($BN$2,0,0,ROW()-1,60),ROW()-1,FALSE))</f>
        <v/>
      </c>
      <c r="H442" t="str">
        <f ca="1">IF(AND(ISNUMBER($H$1105),$B$677=1),$H$1105,HLOOKUP(INDIRECT(ADDRESS(2,COLUMN())),OFFSET($BN$2,0,0,ROW()-1,60),ROW()-1,FALSE))</f>
        <v/>
      </c>
      <c r="I442" t="str">
        <f ca="1">IF(AND(ISNUMBER($I$1105),$B$677=1),$I$1105,HLOOKUP(INDIRECT(ADDRESS(2,COLUMN())),OFFSET($BN$2,0,0,ROW()-1,60),ROW()-1,FALSE))</f>
        <v/>
      </c>
      <c r="J442" t="str">
        <f ca="1">IF(AND(ISNUMBER($J$1105),$B$677=1),$J$1105,HLOOKUP(INDIRECT(ADDRESS(2,COLUMN())),OFFSET($BN$2,0,0,ROW()-1,60),ROW()-1,FALSE))</f>
        <v/>
      </c>
      <c r="K442" t="str">
        <f ca="1">IF(AND(ISNUMBER($K$1105),$B$677=1),$K$1105,HLOOKUP(INDIRECT(ADDRESS(2,COLUMN())),OFFSET($BN$2,0,0,ROW()-1,60),ROW()-1,FALSE))</f>
        <v/>
      </c>
      <c r="L442" t="str">
        <f ca="1">IF(AND(ISNUMBER($L$1105),$B$677=1),$L$1105,HLOOKUP(INDIRECT(ADDRESS(2,COLUMN())),OFFSET($BN$2,0,0,ROW()-1,60),ROW()-1,FALSE))</f>
        <v/>
      </c>
      <c r="M442" t="str">
        <f ca="1">IF(AND(ISNUMBER($M$1105),$B$677=1),$M$1105,HLOOKUP(INDIRECT(ADDRESS(2,COLUMN())),OFFSET($BN$2,0,0,ROW()-1,60),ROW()-1,FALSE))</f>
        <v/>
      </c>
      <c r="N442" t="str">
        <f ca="1">IF(AND(ISNUMBER($N$1105),$B$677=1),$N$1105,HLOOKUP(INDIRECT(ADDRESS(2,COLUMN())),OFFSET($BN$2,0,0,ROW()-1,60),ROW()-1,FALSE))</f>
        <v/>
      </c>
      <c r="O442" t="str">
        <f ca="1">IF(AND(ISNUMBER($O$1105),$B$677=1),$O$1105,HLOOKUP(INDIRECT(ADDRESS(2,COLUMN())),OFFSET($BN$2,0,0,ROW()-1,60),ROW()-1,FALSE))</f>
        <v/>
      </c>
      <c r="P442" t="str">
        <f ca="1">IF(AND(ISNUMBER($P$1105),$B$677=1),$P$1105,HLOOKUP(INDIRECT(ADDRESS(2,COLUMN())),OFFSET($BN$2,0,0,ROW()-1,60),ROW()-1,FALSE))</f>
        <v/>
      </c>
      <c r="Q442" t="str">
        <f ca="1">IF(AND(ISNUMBER($Q$1105),$B$677=1),$Q$1105,HLOOKUP(INDIRECT(ADDRESS(2,COLUMN())),OFFSET($BN$2,0,0,ROW()-1,60),ROW()-1,FALSE))</f>
        <v/>
      </c>
      <c r="R442" t="str">
        <f ca="1">IF(AND(ISNUMBER($R$1105),$B$677=1),$R$1105,HLOOKUP(INDIRECT(ADDRESS(2,COLUMN())),OFFSET($BN$2,0,0,ROW()-1,60),ROW()-1,FALSE))</f>
        <v/>
      </c>
      <c r="S442" t="str">
        <f ca="1">IF(AND(ISNUMBER($S$1105),$B$677=1),$S$1105,HLOOKUP(INDIRECT(ADDRESS(2,COLUMN())),OFFSET($BN$2,0,0,ROW()-1,60),ROW()-1,FALSE))</f>
        <v/>
      </c>
      <c r="T442" t="str">
        <f ca="1">IF(AND(ISNUMBER($T$1105),$B$677=1),$T$1105,HLOOKUP(INDIRECT(ADDRESS(2,COLUMN())),OFFSET($BN$2,0,0,ROW()-1,60),ROW()-1,FALSE))</f>
        <v/>
      </c>
      <c r="U442" t="str">
        <f ca="1">IF(AND(ISNUMBER($U$1105),$B$677=1),$U$1105,HLOOKUP(INDIRECT(ADDRESS(2,COLUMN())),OFFSET($BN$2,0,0,ROW()-1,60),ROW()-1,FALSE))</f>
        <v/>
      </c>
      <c r="V442" t="str">
        <f ca="1">IF(AND(ISNUMBER($V$1105),$B$677=1),$V$1105,HLOOKUP(INDIRECT(ADDRESS(2,COLUMN())),OFFSET($BN$2,0,0,ROW()-1,60),ROW()-1,FALSE))</f>
        <v/>
      </c>
      <c r="W442" t="str">
        <f ca="1">IF(AND(ISNUMBER($W$1105),$B$677=1),$W$1105,HLOOKUP(INDIRECT(ADDRESS(2,COLUMN())),OFFSET($BN$2,0,0,ROW()-1,60),ROW()-1,FALSE))</f>
        <v/>
      </c>
      <c r="X442" t="str">
        <f ca="1">IF(AND(ISNUMBER($X$1105),$B$677=1),$X$1105,HLOOKUP(INDIRECT(ADDRESS(2,COLUMN())),OFFSET($BN$2,0,0,ROW()-1,60),ROW()-1,FALSE))</f>
        <v/>
      </c>
      <c r="Y442" t="str">
        <f ca="1">IF(AND(ISNUMBER($Y$1105),$B$677=1),$Y$1105,HLOOKUP(INDIRECT(ADDRESS(2,COLUMN())),OFFSET($BN$2,0,0,ROW()-1,60),ROW()-1,FALSE))</f>
        <v/>
      </c>
      <c r="Z442" t="str">
        <f ca="1">IF(AND(ISNUMBER($Z$1105),$B$677=1),$Z$1105,HLOOKUP(INDIRECT(ADDRESS(2,COLUMN())),OFFSET($BN$2,0,0,ROW()-1,60),ROW()-1,FALSE))</f>
        <v/>
      </c>
      <c r="AA442" t="str">
        <f ca="1">IF(AND(ISNUMBER($AA$1105),$B$677=1),$AA$1105,HLOOKUP(INDIRECT(ADDRESS(2,COLUMN())),OFFSET($BN$2,0,0,ROW()-1,60),ROW()-1,FALSE))</f>
        <v/>
      </c>
      <c r="AB442" t="str">
        <f ca="1">IF(AND(ISNUMBER($AB$1105),$B$677=1),$AB$1105,HLOOKUP(INDIRECT(ADDRESS(2,COLUMN())),OFFSET($BN$2,0,0,ROW()-1,60),ROW()-1,FALSE))</f>
        <v/>
      </c>
      <c r="AC442" t="str">
        <f ca="1">IF(AND(ISNUMBER($AC$1105),$B$677=1),$AC$1105,HLOOKUP(INDIRECT(ADDRESS(2,COLUMN())),OFFSET($BN$2,0,0,ROW()-1,60),ROW()-1,FALSE))</f>
        <v/>
      </c>
      <c r="AD442" t="str">
        <f ca="1">IF(AND(ISNUMBER($AD$1105),$B$677=1),$AD$1105,HLOOKUP(INDIRECT(ADDRESS(2,COLUMN())),OFFSET($BN$2,0,0,ROW()-1,60),ROW()-1,FALSE))</f>
        <v/>
      </c>
      <c r="AE442" t="str">
        <f ca="1">IF(AND(ISNUMBER($AE$1105),$B$677=1),$AE$1105,HLOOKUP(INDIRECT(ADDRESS(2,COLUMN())),OFFSET($BN$2,0,0,ROW()-1,60),ROW()-1,FALSE))</f>
        <v/>
      </c>
      <c r="AF442" t="str">
        <f ca="1">IF(AND(ISNUMBER($AF$1105),$B$677=1),$AF$1105,HLOOKUP(INDIRECT(ADDRESS(2,COLUMN())),OFFSET($BN$2,0,0,ROW()-1,60),ROW()-1,FALSE))</f>
        <v/>
      </c>
      <c r="AG442" t="str">
        <f ca="1">IF(AND(ISNUMBER($AG$1105),$B$677=1),$AG$1105,HLOOKUP(INDIRECT(ADDRESS(2,COLUMN())),OFFSET($BN$2,0,0,ROW()-1,60),ROW()-1,FALSE))</f>
        <v/>
      </c>
      <c r="AH442" t="str">
        <f ca="1">IF(AND(ISNUMBER($AH$1105),$B$677=1),$AH$1105,HLOOKUP(INDIRECT(ADDRESS(2,COLUMN())),OFFSET($BN$2,0,0,ROW()-1,60),ROW()-1,FALSE))</f>
        <v/>
      </c>
      <c r="AI442" t="str">
        <f ca="1">IF(AND(ISNUMBER($AI$1105),$B$677=1),$AI$1105,HLOOKUP(INDIRECT(ADDRESS(2,COLUMN())),OFFSET($BN$2,0,0,ROW()-1,60),ROW()-1,FALSE))</f>
        <v/>
      </c>
      <c r="AJ442" t="str">
        <f ca="1">IF(AND(ISNUMBER($AJ$1105),$B$677=1),$AJ$1105,HLOOKUP(INDIRECT(ADDRESS(2,COLUMN())),OFFSET($BN$2,0,0,ROW()-1,60),ROW()-1,FALSE))</f>
        <v/>
      </c>
      <c r="AK442" t="str">
        <f ca="1">IF(AND(ISNUMBER($AK$1105),$B$677=1),$AK$1105,HLOOKUP(INDIRECT(ADDRESS(2,COLUMN())),OFFSET($BN$2,0,0,ROW()-1,60),ROW()-1,FALSE))</f>
        <v/>
      </c>
      <c r="AL442" t="str">
        <f ca="1">IF(AND(ISNUMBER($AL$1105),$B$677=1),$AL$1105,HLOOKUP(INDIRECT(ADDRESS(2,COLUMN())),OFFSET($BN$2,0,0,ROW()-1,60),ROW()-1,FALSE))</f>
        <v/>
      </c>
      <c r="AM442" t="str">
        <f ca="1">IF(AND(ISNUMBER($AM$1105),$B$677=1),$AM$1105,HLOOKUP(INDIRECT(ADDRESS(2,COLUMN())),OFFSET($BN$2,0,0,ROW()-1,60),ROW()-1,FALSE))</f>
        <v/>
      </c>
      <c r="AN442" t="str">
        <f ca="1">IF(AND(ISNUMBER($AN$1105),$B$677=1),$AN$1105,HLOOKUP(INDIRECT(ADDRESS(2,COLUMN())),OFFSET($BN$2,0,0,ROW()-1,60),ROW()-1,FALSE))</f>
        <v/>
      </c>
      <c r="AO442" t="str">
        <f ca="1">IF(AND(ISNUMBER($AO$1105),$B$677=1),$AO$1105,HLOOKUP(INDIRECT(ADDRESS(2,COLUMN())),OFFSET($BN$2,0,0,ROW()-1,60),ROW()-1,FALSE))</f>
        <v/>
      </c>
      <c r="AP442" t="str">
        <f ca="1">IF(AND(ISNUMBER($AP$1105),$B$677=1),$AP$1105,HLOOKUP(INDIRECT(ADDRESS(2,COLUMN())),OFFSET($BN$2,0,0,ROW()-1,60),ROW()-1,FALSE))</f>
        <v/>
      </c>
      <c r="AQ442" t="str">
        <f ca="1">IF(AND(ISNUMBER($AQ$1105),$B$677=1),$AQ$1105,HLOOKUP(INDIRECT(ADDRESS(2,COLUMN())),OFFSET($BN$2,0,0,ROW()-1,60),ROW()-1,FALSE))</f>
        <v/>
      </c>
      <c r="AR442" t="str">
        <f ca="1">IF(AND(ISNUMBER($AR$1105),$B$677=1),$AR$1105,HLOOKUP(INDIRECT(ADDRESS(2,COLUMN())),OFFSET($BN$2,0,0,ROW()-1,60),ROW()-1,FALSE))</f>
        <v/>
      </c>
      <c r="AS442" t="str">
        <f ca="1">IF(AND(ISNUMBER($AS$1105),$B$677=1),$AS$1105,HLOOKUP(INDIRECT(ADDRESS(2,COLUMN())),OFFSET($BN$2,0,0,ROW()-1,60),ROW()-1,FALSE))</f>
        <v/>
      </c>
      <c r="AT442" t="str">
        <f ca="1">IF(AND(ISNUMBER($AT$1105),$B$677=1),$AT$1105,HLOOKUP(INDIRECT(ADDRESS(2,COLUMN())),OFFSET($BN$2,0,0,ROW()-1,60),ROW()-1,FALSE))</f>
        <v/>
      </c>
      <c r="AU442" t="str">
        <f ca="1">IF(AND(ISNUMBER($AU$1105),$B$677=1),$AU$1105,HLOOKUP(INDIRECT(ADDRESS(2,COLUMN())),OFFSET($BN$2,0,0,ROW()-1,60),ROW()-1,FALSE))</f>
        <v/>
      </c>
      <c r="AV442" t="str">
        <f ca="1">IF(AND(ISNUMBER($AV$1105),$B$677=1),$AV$1105,HLOOKUP(INDIRECT(ADDRESS(2,COLUMN())),OFFSET($BN$2,0,0,ROW()-1,60),ROW()-1,FALSE))</f>
        <v/>
      </c>
      <c r="AW442" t="str">
        <f ca="1">IF(AND(ISNUMBER($AW$1105),$B$677=1),$AW$1105,HLOOKUP(INDIRECT(ADDRESS(2,COLUMN())),OFFSET($BN$2,0,0,ROW()-1,60),ROW()-1,FALSE))</f>
        <v/>
      </c>
      <c r="AX442" t="str">
        <f ca="1">IF(AND(ISNUMBER($AX$1105),$B$677=1),$AX$1105,HLOOKUP(INDIRECT(ADDRESS(2,COLUMN())),OFFSET($BN$2,0,0,ROW()-1,60),ROW()-1,FALSE))</f>
        <v/>
      </c>
      <c r="AY442" t="str">
        <f ca="1">IF(AND(ISNUMBER($AY$1105),$B$677=1),$AY$1105,HLOOKUP(INDIRECT(ADDRESS(2,COLUMN())),OFFSET($BN$2,0,0,ROW()-1,60),ROW()-1,FALSE))</f>
        <v/>
      </c>
      <c r="AZ442" t="str">
        <f ca="1">IF(AND(ISNUMBER($AZ$1105),$B$677=1),$AZ$1105,HLOOKUP(INDIRECT(ADDRESS(2,COLUMN())),OFFSET($BN$2,0,0,ROW()-1,60),ROW()-1,FALSE))</f>
        <v/>
      </c>
      <c r="BA442" t="str">
        <f ca="1">IF(AND(ISNUMBER($BA$1105),$B$677=1),$BA$1105,HLOOKUP(INDIRECT(ADDRESS(2,COLUMN())),OFFSET($BN$2,0,0,ROW()-1,60),ROW()-1,FALSE))</f>
        <v/>
      </c>
      <c r="BB442" t="str">
        <f ca="1">IF(AND(ISNUMBER($BB$1105),$B$677=1),$BB$1105,HLOOKUP(INDIRECT(ADDRESS(2,COLUMN())),OFFSET($BN$2,0,0,ROW()-1,60),ROW()-1,FALSE))</f>
        <v/>
      </c>
      <c r="BC442" t="str">
        <f ca="1">IF(AND(ISNUMBER($BC$1105),$B$677=1),$BC$1105,HLOOKUP(INDIRECT(ADDRESS(2,COLUMN())),OFFSET($BN$2,0,0,ROW()-1,60),ROW()-1,FALSE))</f>
        <v/>
      </c>
      <c r="BD442" t="str">
        <f ca="1">IF(AND(ISNUMBER($BD$1105),$B$677=1),$BD$1105,HLOOKUP(INDIRECT(ADDRESS(2,COLUMN())),OFFSET($BN$2,0,0,ROW()-1,60),ROW()-1,FALSE))</f>
        <v/>
      </c>
      <c r="BE442" t="str">
        <f ca="1">IF(AND(ISNUMBER($BE$1105),$B$677=1),$BE$1105,HLOOKUP(INDIRECT(ADDRESS(2,COLUMN())),OFFSET($BN$2,0,0,ROW()-1,60),ROW()-1,FALSE))</f>
        <v/>
      </c>
      <c r="BF442" t="str">
        <f ca="1">IF(AND(ISNUMBER($BF$1105),$B$677=1),$BF$1105,HLOOKUP(INDIRECT(ADDRESS(2,COLUMN())),OFFSET($BN$2,0,0,ROW()-1,60),ROW()-1,FALSE))</f>
        <v/>
      </c>
      <c r="BG442" t="str">
        <f ca="1">IF(AND(ISNUMBER($BG$1105),$B$677=1),$BG$1105,HLOOKUP(INDIRECT(ADDRESS(2,COLUMN())),OFFSET($BN$2,0,0,ROW()-1,60),ROW()-1,FALSE))</f>
        <v/>
      </c>
      <c r="BH442" t="str">
        <f ca="1">IF(AND(ISNUMBER($BH$1105),$B$677=1),$BH$1105,HLOOKUP(INDIRECT(ADDRESS(2,COLUMN())),OFFSET($BN$2,0,0,ROW()-1,60),ROW()-1,FALSE))</f>
        <v/>
      </c>
      <c r="BI442" t="str">
        <f ca="1">IF(AND(ISNUMBER($BI$1105),$B$677=1),$BI$1105,HLOOKUP(INDIRECT(ADDRESS(2,COLUMN())),OFFSET($BN$2,0,0,ROW()-1,60),ROW()-1,FALSE))</f>
        <v/>
      </c>
      <c r="BJ442" t="str">
        <f ca="1">IF(AND(ISNUMBER($BJ$1105),$B$677=1),$BJ$1105,HLOOKUP(INDIRECT(ADDRESS(2,COLUMN())),OFFSET($BN$2,0,0,ROW()-1,60),ROW()-1,FALSE))</f>
        <v/>
      </c>
      <c r="BK442" t="str">
        <f ca="1">IF(AND(ISNUMBER($BK$1105),$B$677=1),$BK$1105,HLOOKUP(INDIRECT(ADDRESS(2,COLUMN())),OFFSET($BN$2,0,0,ROW()-1,60),ROW()-1,FALSE))</f>
        <v/>
      </c>
      <c r="BL442" t="str">
        <f ca="1">IF(AND(ISNUMBER($BL$1105),$B$677=1),$BL$1105,HLOOKUP(INDIRECT(ADDRESS(2,COLUMN())),OFFSET($BN$2,0,0,ROW()-1,60),ROW()-1,FALSE))</f>
        <v/>
      </c>
      <c r="BM442" t="str">
        <f ca="1">IF(AND(ISNUMBER($BM$1105),$B$677=1),$BM$1105,HLOOKUP(INDIRECT(ADDRESS(2,COLUMN())),OFFSET($BN$2,0,0,ROW()-1,60),ROW()-1,FALSE))</f>
        <v/>
      </c>
      <c r="BN442" t="str">
        <f>""</f>
        <v/>
      </c>
      <c r="BO442" t="str">
        <f>""</f>
        <v/>
      </c>
      <c r="BP442" t="str">
        <f>""</f>
        <v/>
      </c>
      <c r="BQ442" t="str">
        <f>""</f>
        <v/>
      </c>
      <c r="BR442" t="str">
        <f>""</f>
        <v/>
      </c>
      <c r="BS442" t="str">
        <f>""</f>
        <v/>
      </c>
      <c r="BT442" t="str">
        <f>""</f>
        <v/>
      </c>
      <c r="BU442" t="str">
        <f>""</f>
        <v/>
      </c>
      <c r="BV442" t="str">
        <f>""</f>
        <v/>
      </c>
      <c r="BW442" t="str">
        <f>""</f>
        <v/>
      </c>
      <c r="BX442" t="str">
        <f>""</f>
        <v/>
      </c>
      <c r="BY442" t="str">
        <f>""</f>
        <v/>
      </c>
      <c r="BZ442" t="str">
        <f>""</f>
        <v/>
      </c>
      <c r="CA442" t="str">
        <f>""</f>
        <v/>
      </c>
      <c r="CB442" t="str">
        <f>""</f>
        <v/>
      </c>
      <c r="CC442" t="str">
        <f>""</f>
        <v/>
      </c>
      <c r="CD442" t="str">
        <f>""</f>
        <v/>
      </c>
      <c r="CE442" t="str">
        <f>""</f>
        <v/>
      </c>
      <c r="CF442" t="str">
        <f>""</f>
        <v/>
      </c>
      <c r="CG442" t="str">
        <f>""</f>
        <v/>
      </c>
      <c r="CH442" t="str">
        <f>""</f>
        <v/>
      </c>
      <c r="CI442" t="str">
        <f>""</f>
        <v/>
      </c>
      <c r="CJ442" t="str">
        <f>""</f>
        <v/>
      </c>
      <c r="CK442" t="str">
        <f>""</f>
        <v/>
      </c>
      <c r="CL442" t="str">
        <f>""</f>
        <v/>
      </c>
      <c r="CM442" t="str">
        <f>""</f>
        <v/>
      </c>
      <c r="CN442" t="str">
        <f>""</f>
        <v/>
      </c>
      <c r="CO442" t="str">
        <f>""</f>
        <v/>
      </c>
      <c r="CP442" t="str">
        <f>""</f>
        <v/>
      </c>
      <c r="CQ442" t="str">
        <f>""</f>
        <v/>
      </c>
      <c r="CR442" t="str">
        <f>""</f>
        <v/>
      </c>
      <c r="CS442" t="str">
        <f>""</f>
        <v/>
      </c>
      <c r="CT442" t="str">
        <f>""</f>
        <v/>
      </c>
      <c r="CU442" t="str">
        <f>""</f>
        <v/>
      </c>
      <c r="CV442" t="str">
        <f>""</f>
        <v/>
      </c>
      <c r="CW442" t="str">
        <f>""</f>
        <v/>
      </c>
      <c r="CX442" t="str">
        <f>""</f>
        <v/>
      </c>
      <c r="CY442" t="str">
        <f>""</f>
        <v/>
      </c>
      <c r="CZ442" t="str">
        <f>""</f>
        <v/>
      </c>
      <c r="DA442" t="str">
        <f>""</f>
        <v/>
      </c>
      <c r="DB442" t="str">
        <f>""</f>
        <v/>
      </c>
      <c r="DC442" t="str">
        <f>""</f>
        <v/>
      </c>
      <c r="DD442" t="str">
        <f>""</f>
        <v/>
      </c>
      <c r="DE442" t="str">
        <f>""</f>
        <v/>
      </c>
      <c r="DF442" t="str">
        <f>""</f>
        <v/>
      </c>
      <c r="DG442" t="str">
        <f>""</f>
        <v/>
      </c>
      <c r="DH442" t="str">
        <f>""</f>
        <v/>
      </c>
      <c r="DI442" t="str">
        <f>""</f>
        <v/>
      </c>
      <c r="DJ442" t="str">
        <f>""</f>
        <v/>
      </c>
      <c r="DK442" t="str">
        <f>""</f>
        <v/>
      </c>
      <c r="DL442" t="str">
        <f>""</f>
        <v/>
      </c>
      <c r="DM442" t="str">
        <f>""</f>
        <v/>
      </c>
      <c r="DN442" t="str">
        <f>""</f>
        <v/>
      </c>
      <c r="DO442" t="str">
        <f>""</f>
        <v/>
      </c>
      <c r="DP442" t="str">
        <f>""</f>
        <v/>
      </c>
      <c r="DQ442" t="str">
        <f>""</f>
        <v/>
      </c>
      <c r="DR442" t="str">
        <f>""</f>
        <v/>
      </c>
      <c r="DS442" t="str">
        <f>""</f>
        <v/>
      </c>
      <c r="DT442" t="str">
        <f>""</f>
        <v/>
      </c>
      <c r="DU442" t="str">
        <f>""</f>
        <v/>
      </c>
    </row>
    <row r="443" spans="1:125" x14ac:dyDescent="0.25">
      <c r="A443" t="str">
        <f>"    SAIC Motor Corp Ltd"</f>
        <v xml:space="preserve">    SAIC Motor Corp Ltd</v>
      </c>
      <c r="B443" t="str">
        <f>"600104 CH Equity"</f>
        <v>600104 CH Equity</v>
      </c>
      <c r="C443" t="str">
        <f t="shared" si="30"/>
        <v>RR477</v>
      </c>
      <c r="D443" t="str">
        <f t="shared" si="31"/>
        <v>EV_TO_T12M_CASH_FLOW</v>
      </c>
      <c r="E443" t="str">
        <f t="shared" si="32"/>
        <v>Dynamic</v>
      </c>
      <c r="F443" t="str">
        <f ca="1">IF(AND(ISNUMBER($F$1106),$B$677=1),$F$1106,HLOOKUP(INDIRECT(ADDRESS(2,COLUMN())),OFFSET($BN$2,0,0,ROW()-1,60),ROW()-1,FALSE))</f>
        <v/>
      </c>
      <c r="G443" t="str">
        <f ca="1">IF(AND(ISNUMBER($G$1106),$B$677=1),$G$1106,HLOOKUP(INDIRECT(ADDRESS(2,COLUMN())),OFFSET($BN$2,0,0,ROW()-1,60),ROW()-1,FALSE))</f>
        <v/>
      </c>
      <c r="H443" t="str">
        <f ca="1">IF(AND(ISNUMBER($H$1106),$B$677=1),$H$1106,HLOOKUP(INDIRECT(ADDRESS(2,COLUMN())),OFFSET($BN$2,0,0,ROW()-1,60),ROW()-1,FALSE))</f>
        <v/>
      </c>
      <c r="I443">
        <f ca="1">IF(AND(ISNUMBER($I$1106),$B$677=1),$I$1106,HLOOKUP(INDIRECT(ADDRESS(2,COLUMN())),OFFSET($BN$2,0,0,ROW()-1,60),ROW()-1,FALSE))</f>
        <v>67.412016010000002</v>
      </c>
      <c r="J443">
        <f ca="1">IF(AND(ISNUMBER($J$1106),$B$677=1),$J$1106,HLOOKUP(INDIRECT(ADDRESS(2,COLUMN())),OFFSET($BN$2,0,0,ROW()-1,60),ROW()-1,FALSE))</f>
        <v>12.109202570000001</v>
      </c>
      <c r="K443">
        <f ca="1">IF(AND(ISNUMBER($K$1106),$B$677=1),$K$1106,HLOOKUP(INDIRECT(ADDRESS(2,COLUMN())),OFFSET($BN$2,0,0,ROW()-1,60),ROW()-1,FALSE))</f>
        <v>9.2185614299999994</v>
      </c>
      <c r="L443">
        <f ca="1">IF(AND(ISNUMBER($L$1106),$B$677=1),$L$1106,HLOOKUP(INDIRECT(ADDRESS(2,COLUMN())),OFFSET($BN$2,0,0,ROW()-1,60),ROW()-1,FALSE))</f>
        <v>9.8485506310000002</v>
      </c>
      <c r="M443">
        <f ca="1">IF(AND(ISNUMBER($M$1106),$B$677=1),$M$1106,HLOOKUP(INDIRECT(ADDRESS(2,COLUMN())),OFFSET($BN$2,0,0,ROW()-1,60),ROW()-1,FALSE))</f>
        <v>6.1664697879999997</v>
      </c>
      <c r="N443">
        <f ca="1">IF(AND(ISNUMBER($N$1106),$B$677=1),$N$1106,HLOOKUP(INDIRECT(ADDRESS(2,COLUMN())),OFFSET($BN$2,0,0,ROW()-1,60),ROW()-1,FALSE))</f>
        <v>9.5700239790000001</v>
      </c>
      <c r="O443">
        <f ca="1">IF(AND(ISNUMBER($O$1106),$B$677=1),$O$1106,HLOOKUP(INDIRECT(ADDRESS(2,COLUMN())),OFFSET($BN$2,0,0,ROW()-1,60),ROW()-1,FALSE))</f>
        <v>8.1860790389999991</v>
      </c>
      <c r="P443">
        <f ca="1">IF(AND(ISNUMBER($P$1106),$B$677=1),$P$1106,HLOOKUP(INDIRECT(ADDRESS(2,COLUMN())),OFFSET($BN$2,0,0,ROW()-1,60),ROW()-1,FALSE))</f>
        <v>4.4123158169999996</v>
      </c>
      <c r="Q443">
        <f ca="1">IF(AND(ISNUMBER($Q$1106),$B$677=1),$Q$1106,HLOOKUP(INDIRECT(ADDRESS(2,COLUMN())),OFFSET($BN$2,0,0,ROW()-1,60),ROW()-1,FALSE))</f>
        <v>5.2954117680000001</v>
      </c>
      <c r="R443">
        <f ca="1">IF(AND(ISNUMBER($R$1106),$B$677=1),$R$1106,HLOOKUP(INDIRECT(ADDRESS(2,COLUMN())),OFFSET($BN$2,0,0,ROW()-1,60),ROW()-1,FALSE))</f>
        <v>5.5859685020000001</v>
      </c>
      <c r="S443">
        <f ca="1">IF(AND(ISNUMBER($S$1106),$B$677=1),$S$1106,HLOOKUP(INDIRECT(ADDRESS(2,COLUMN())),OFFSET($BN$2,0,0,ROW()-1,60),ROW()-1,FALSE))</f>
        <v>5.6235956319999998</v>
      </c>
      <c r="T443">
        <f ca="1">IF(AND(ISNUMBER($T$1106),$B$677=1),$T$1106,HLOOKUP(INDIRECT(ADDRESS(2,COLUMN())),OFFSET($BN$2,0,0,ROW()-1,60),ROW()-1,FALSE))</f>
        <v>6.3183740559999997</v>
      </c>
      <c r="U443">
        <f ca="1">IF(AND(ISNUMBER($U$1106),$B$677=1),$U$1106,HLOOKUP(INDIRECT(ADDRESS(2,COLUMN())),OFFSET($BN$2,0,0,ROW()-1,60),ROW()-1,FALSE))</f>
        <v>12.708563890000001</v>
      </c>
      <c r="V443">
        <f ca="1">IF(AND(ISNUMBER($V$1106),$B$677=1),$V$1106,HLOOKUP(INDIRECT(ADDRESS(2,COLUMN())),OFFSET($BN$2,0,0,ROW()-1,60),ROW()-1,FALSE))</f>
        <v>14.05802972</v>
      </c>
      <c r="W443">
        <f ca="1">IF(AND(ISNUMBER($W$1106),$B$677=1),$W$1106,HLOOKUP(INDIRECT(ADDRESS(2,COLUMN())),OFFSET($BN$2,0,0,ROW()-1,60),ROW()-1,FALSE))</f>
        <v>7.4042719310000003</v>
      </c>
      <c r="X443">
        <f ca="1">IF(AND(ISNUMBER($X$1106),$B$677=1),$X$1106,HLOOKUP(INDIRECT(ADDRESS(2,COLUMN())),OFFSET($BN$2,0,0,ROW()-1,60),ROW()-1,FALSE))</f>
        <v>5.9028341659999999</v>
      </c>
      <c r="Y443">
        <f ca="1">IF(AND(ISNUMBER($Y$1106),$B$677=1),$Y$1106,HLOOKUP(INDIRECT(ADDRESS(2,COLUMN())),OFFSET($BN$2,0,0,ROW()-1,60),ROW()-1,FALSE))</f>
        <v>4.6981099439999996</v>
      </c>
      <c r="Z443">
        <f ca="1">IF(AND(ISNUMBER($Z$1106),$B$677=1),$Z$1106,HLOOKUP(INDIRECT(ADDRESS(2,COLUMN())),OFFSET($BN$2,0,0,ROW()-1,60),ROW()-1,FALSE))</f>
        <v>6.5254468790000004</v>
      </c>
      <c r="AA443">
        <f ca="1">IF(AND(ISNUMBER($AA$1106),$B$677=1),$AA$1106,HLOOKUP(INDIRECT(ADDRESS(2,COLUMN())),OFFSET($BN$2,0,0,ROW()-1,60),ROW()-1,FALSE))</f>
        <v>4.5380612319999996</v>
      </c>
      <c r="AB443">
        <f ca="1">IF(AND(ISNUMBER($AB$1106),$B$677=1),$AB$1106,HLOOKUP(INDIRECT(ADDRESS(2,COLUMN())),OFFSET($BN$2,0,0,ROW()-1,60),ROW()-1,FALSE))</f>
        <v>8.8593461189999996</v>
      </c>
      <c r="AC443">
        <f ca="1">IF(AND(ISNUMBER($AC$1106),$B$677=1),$AC$1106,HLOOKUP(INDIRECT(ADDRESS(2,COLUMN())),OFFSET($BN$2,0,0,ROW()-1,60),ROW()-1,FALSE))</f>
        <v>3.3269377580000001</v>
      </c>
      <c r="AD443">
        <f ca="1">IF(AND(ISNUMBER($AD$1106),$B$677=1),$AD$1106,HLOOKUP(INDIRECT(ADDRESS(2,COLUMN())),OFFSET($BN$2,0,0,ROW()-1,60),ROW()-1,FALSE))</f>
        <v>3.9329069539999999</v>
      </c>
      <c r="AE443">
        <f ca="1">IF(AND(ISNUMBER($AE$1106),$B$677=1),$AE$1106,HLOOKUP(INDIRECT(ADDRESS(2,COLUMN())),OFFSET($BN$2,0,0,ROW()-1,60),ROW()-1,FALSE))</f>
        <v>5.722745744</v>
      </c>
      <c r="AF443">
        <f ca="1">IF(AND(ISNUMBER($AF$1106),$B$677=1),$AF$1106,HLOOKUP(INDIRECT(ADDRESS(2,COLUMN())),OFFSET($BN$2,0,0,ROW()-1,60),ROW()-1,FALSE))</f>
        <v>2.5649005279999999</v>
      </c>
      <c r="AG443">
        <f ca="1">IF(AND(ISNUMBER($AG$1106),$B$677=1),$AG$1106,HLOOKUP(INDIRECT(ADDRESS(2,COLUMN())),OFFSET($BN$2,0,0,ROW()-1,60),ROW()-1,FALSE))</f>
        <v>2.646260244</v>
      </c>
      <c r="AH443">
        <f ca="1">IF(AND(ISNUMBER($AH$1106),$B$677=1),$AH$1106,HLOOKUP(INDIRECT(ADDRESS(2,COLUMN())),OFFSET($BN$2,0,0,ROW()-1,60),ROW()-1,FALSE))</f>
        <v>3.6579866220000001</v>
      </c>
      <c r="AI443">
        <f ca="1">IF(AND(ISNUMBER($AI$1106),$B$677=1),$AI$1106,HLOOKUP(INDIRECT(ADDRESS(2,COLUMN())),OFFSET($BN$2,0,0,ROW()-1,60),ROW()-1,FALSE))</f>
        <v>3.841693802</v>
      </c>
      <c r="AJ443">
        <f ca="1">IF(AND(ISNUMBER($AJ$1106),$B$677=1),$AJ$1106,HLOOKUP(INDIRECT(ADDRESS(2,COLUMN())),OFFSET($BN$2,0,0,ROW()-1,60),ROW()-1,FALSE))</f>
        <v>2.9956954599999999</v>
      </c>
      <c r="AK443">
        <f ca="1">IF(AND(ISNUMBER($AK$1106),$B$677=1),$AK$1106,HLOOKUP(INDIRECT(ADDRESS(2,COLUMN())),OFFSET($BN$2,0,0,ROW()-1,60),ROW()-1,FALSE))</f>
        <v>4.2766646809999997</v>
      </c>
      <c r="AL443" t="str">
        <f ca="1">IF(AND(ISNUMBER($AL$1106),$B$677=1),$AL$1106,HLOOKUP(INDIRECT(ADDRESS(2,COLUMN())),OFFSET($BN$2,0,0,ROW()-1,60),ROW()-1,FALSE))</f>
        <v/>
      </c>
      <c r="AM443">
        <f ca="1">IF(AND(ISNUMBER($AM$1106),$B$677=1),$AM$1106,HLOOKUP(INDIRECT(ADDRESS(2,COLUMN())),OFFSET($BN$2,0,0,ROW()-1,60),ROW()-1,FALSE))</f>
        <v>3.8412464470000001</v>
      </c>
      <c r="AN443">
        <f ca="1">IF(AND(ISNUMBER($AN$1106),$B$677=1),$AN$1106,HLOOKUP(INDIRECT(ADDRESS(2,COLUMN())),OFFSET($BN$2,0,0,ROW()-1,60),ROW()-1,FALSE))</f>
        <v>7.7157666919999999</v>
      </c>
      <c r="AO443">
        <f ca="1">IF(AND(ISNUMBER($AO$1106),$B$677=1),$AO$1106,HLOOKUP(INDIRECT(ADDRESS(2,COLUMN())),OFFSET($BN$2,0,0,ROW()-1,60),ROW()-1,FALSE))</f>
        <v>7.144974339</v>
      </c>
      <c r="AP443">
        <f ca="1">IF(AND(ISNUMBER($AP$1106),$B$677=1),$AP$1106,HLOOKUP(INDIRECT(ADDRESS(2,COLUMN())),OFFSET($BN$2,0,0,ROW()-1,60),ROW()-1,FALSE))</f>
        <v>4.5446751860000001</v>
      </c>
      <c r="AQ443">
        <f ca="1">IF(AND(ISNUMBER($AQ$1106),$B$677=1),$AQ$1106,HLOOKUP(INDIRECT(ADDRESS(2,COLUMN())),OFFSET($BN$2,0,0,ROW()-1,60),ROW()-1,FALSE))</f>
        <v>7.6590859020000002</v>
      </c>
      <c r="AR443">
        <f ca="1">IF(AND(ISNUMBER($AR$1106),$B$677=1),$AR$1106,HLOOKUP(INDIRECT(ADDRESS(2,COLUMN())),OFFSET($BN$2,0,0,ROW()-1,60),ROW()-1,FALSE))</f>
        <v>23.154052289999999</v>
      </c>
      <c r="AS443">
        <f ca="1">IF(AND(ISNUMBER($AS$1106),$B$677=1),$AS$1106,HLOOKUP(INDIRECT(ADDRESS(2,COLUMN())),OFFSET($BN$2,0,0,ROW()-1,60),ROW()-1,FALSE))</f>
        <v>274.37187799999998</v>
      </c>
      <c r="AT443" t="str">
        <f ca="1">IF(AND(ISNUMBER($AT$1106),$B$677=1),$AT$1106,HLOOKUP(INDIRECT(ADDRESS(2,COLUMN())),OFFSET($BN$2,0,0,ROW()-1,60),ROW()-1,FALSE))</f>
        <v/>
      </c>
      <c r="AU443">
        <f ca="1">IF(AND(ISNUMBER($AU$1106),$B$677=1),$AU$1106,HLOOKUP(INDIRECT(ADDRESS(2,COLUMN())),OFFSET($BN$2,0,0,ROW()-1,60),ROW()-1,FALSE))</f>
        <v>6.425176585</v>
      </c>
      <c r="AV443">
        <f ca="1">IF(AND(ISNUMBER($AV$1106),$B$677=1),$AV$1106,HLOOKUP(INDIRECT(ADDRESS(2,COLUMN())),OFFSET($BN$2,0,0,ROW()-1,60),ROW()-1,FALSE))</f>
        <v>3.9710320210000001</v>
      </c>
      <c r="AW443">
        <f ca="1">IF(AND(ISNUMBER($AW$1106),$B$677=1),$AW$1106,HLOOKUP(INDIRECT(ADDRESS(2,COLUMN())),OFFSET($BN$2,0,0,ROW()-1,60),ROW()-1,FALSE))</f>
        <v>4.5786597359999996</v>
      </c>
      <c r="AX443">
        <f ca="1">IF(AND(ISNUMBER($AX$1106),$B$677=1),$AX$1106,HLOOKUP(INDIRECT(ADDRESS(2,COLUMN())),OFFSET($BN$2,0,0,ROW()-1,60),ROW()-1,FALSE))</f>
        <v>6.3430190590000004</v>
      </c>
      <c r="AY443">
        <f ca="1">IF(AND(ISNUMBER($AY$1106),$B$677=1),$AY$1106,HLOOKUP(INDIRECT(ADDRESS(2,COLUMN())),OFFSET($BN$2,0,0,ROW()-1,60),ROW()-1,FALSE))</f>
        <v>39.94903703</v>
      </c>
      <c r="AZ443">
        <f ca="1">IF(AND(ISNUMBER($AZ$1106),$B$677=1),$AZ$1106,HLOOKUP(INDIRECT(ADDRESS(2,COLUMN())),OFFSET($BN$2,0,0,ROW()-1,60),ROW()-1,FALSE))</f>
        <v>16.308923050000001</v>
      </c>
      <c r="BA443">
        <f ca="1">IF(AND(ISNUMBER($BA$1106),$B$677=1),$BA$1106,HLOOKUP(INDIRECT(ADDRESS(2,COLUMN())),OFFSET($BN$2,0,0,ROW()-1,60),ROW()-1,FALSE))</f>
        <v>8.3670054240000002</v>
      </c>
      <c r="BB443">
        <f ca="1">IF(AND(ISNUMBER($BB$1106),$B$677=1),$BB$1106,HLOOKUP(INDIRECT(ADDRESS(2,COLUMN())),OFFSET($BN$2,0,0,ROW()-1,60),ROW()-1,FALSE))</f>
        <v>8.1425118090000002</v>
      </c>
      <c r="BC443">
        <f ca="1">IF(AND(ISNUMBER($BC$1106),$B$677=1),$BC$1106,HLOOKUP(INDIRECT(ADDRESS(2,COLUMN())),OFFSET($BN$2,0,0,ROW()-1,60),ROW()-1,FALSE))</f>
        <v>6.9661498819999998</v>
      </c>
      <c r="BD443">
        <f ca="1">IF(AND(ISNUMBER($BD$1106),$B$677=1),$BD$1106,HLOOKUP(INDIRECT(ADDRESS(2,COLUMN())),OFFSET($BN$2,0,0,ROW()-1,60),ROW()-1,FALSE))</f>
        <v>10.415783100000001</v>
      </c>
      <c r="BE443">
        <f ca="1">IF(AND(ISNUMBER($BE$1106),$B$677=1),$BE$1106,HLOOKUP(INDIRECT(ADDRESS(2,COLUMN())),OFFSET($BN$2,0,0,ROW()-1,60),ROW()-1,FALSE))</f>
        <v>6.5176000710000004</v>
      </c>
      <c r="BF443">
        <f ca="1">IF(AND(ISNUMBER($BF$1106),$B$677=1),$BF$1106,HLOOKUP(INDIRECT(ADDRESS(2,COLUMN())),OFFSET($BN$2,0,0,ROW()-1,60),ROW()-1,FALSE))</f>
        <v>5.0802558060000003</v>
      </c>
      <c r="BG443">
        <f ca="1">IF(AND(ISNUMBER($BG$1106),$B$677=1),$BG$1106,HLOOKUP(INDIRECT(ADDRESS(2,COLUMN())),OFFSET($BN$2,0,0,ROW()-1,60),ROW()-1,FALSE))</f>
        <v>4.9869157370000003</v>
      </c>
      <c r="BH443">
        <f ca="1">IF(AND(ISNUMBER($BH$1106),$B$677=1),$BH$1106,HLOOKUP(INDIRECT(ADDRESS(2,COLUMN())),OFFSET($BN$2,0,0,ROW()-1,60),ROW()-1,FALSE))</f>
        <v>8.594254415</v>
      </c>
      <c r="BI443">
        <f ca="1">IF(AND(ISNUMBER($BI$1106),$B$677=1),$BI$1106,HLOOKUP(INDIRECT(ADDRESS(2,COLUMN())),OFFSET($BN$2,0,0,ROW()-1,60),ROW()-1,FALSE))</f>
        <v>30.26284682</v>
      </c>
      <c r="BJ443">
        <f ca="1">IF(AND(ISNUMBER($BJ$1106),$B$677=1),$BJ$1106,HLOOKUP(INDIRECT(ADDRESS(2,COLUMN())),OFFSET($BN$2,0,0,ROW()-1,60),ROW()-1,FALSE))</f>
        <v>8.6201980819999999</v>
      </c>
      <c r="BK443">
        <f ca="1">IF(AND(ISNUMBER($BK$1106),$B$677=1),$BK$1106,HLOOKUP(INDIRECT(ADDRESS(2,COLUMN())),OFFSET($BN$2,0,0,ROW()-1,60),ROW()-1,FALSE))</f>
        <v>10.933757760000001</v>
      </c>
      <c r="BL443">
        <f ca="1">IF(AND(ISNUMBER($BL$1106),$B$677=1),$BL$1106,HLOOKUP(INDIRECT(ADDRESS(2,COLUMN())),OFFSET($BN$2,0,0,ROW()-1,60),ROW()-1,FALSE))</f>
        <v>18.872433269999998</v>
      </c>
      <c r="BM443">
        <f ca="1">IF(AND(ISNUMBER($BM$1106),$B$677=1),$BM$1106,HLOOKUP(INDIRECT(ADDRESS(2,COLUMN())),OFFSET($BN$2,0,0,ROW()-1,60),ROW()-1,FALSE))</f>
        <v>17.83743501</v>
      </c>
      <c r="BN443" t="str">
        <f>""</f>
        <v/>
      </c>
      <c r="BO443" t="str">
        <f>""</f>
        <v/>
      </c>
      <c r="BP443" t="str">
        <f>""</f>
        <v/>
      </c>
      <c r="BQ443">
        <f>67.41201601</f>
        <v>67.412016010000002</v>
      </c>
      <c r="BR443">
        <f>12.10920257</f>
        <v>12.109202570000001</v>
      </c>
      <c r="BS443">
        <f>9.21856143</f>
        <v>9.2185614299999994</v>
      </c>
      <c r="BT443">
        <f>9.848550631</f>
        <v>9.8485506310000002</v>
      </c>
      <c r="BU443">
        <f>6.166469788</f>
        <v>6.1664697879999997</v>
      </c>
      <c r="BV443">
        <f>9.570023979</f>
        <v>9.5700239790000001</v>
      </c>
      <c r="BW443">
        <f>8.186079039</f>
        <v>8.1860790389999991</v>
      </c>
      <c r="BX443">
        <f>4.412315817</f>
        <v>4.4123158169999996</v>
      </c>
      <c r="BY443">
        <f>5.295411768</f>
        <v>5.2954117680000001</v>
      </c>
      <c r="BZ443">
        <f>5.585968502</f>
        <v>5.5859685020000001</v>
      </c>
      <c r="CA443">
        <f>5.623595632</f>
        <v>5.6235956319999998</v>
      </c>
      <c r="CB443">
        <f>6.318374056</f>
        <v>6.3183740559999997</v>
      </c>
      <c r="CC443">
        <f>12.70856389</f>
        <v>12.708563890000001</v>
      </c>
      <c r="CD443">
        <f>14.05802972</f>
        <v>14.05802972</v>
      </c>
      <c r="CE443">
        <f>7.404271931</f>
        <v>7.4042719310000003</v>
      </c>
      <c r="CF443">
        <f>5.902834166</f>
        <v>5.9028341659999999</v>
      </c>
      <c r="CG443">
        <f>4.698109944</f>
        <v>4.6981099439999996</v>
      </c>
      <c r="CH443">
        <f>6.525446879</f>
        <v>6.5254468790000004</v>
      </c>
      <c r="CI443">
        <f>4.538061232</f>
        <v>4.5380612319999996</v>
      </c>
      <c r="CJ443">
        <f>8.859346119</f>
        <v>8.8593461189999996</v>
      </c>
      <c r="CK443">
        <f>3.326937758</f>
        <v>3.3269377580000001</v>
      </c>
      <c r="CL443">
        <f>3.932906954</f>
        <v>3.9329069539999999</v>
      </c>
      <c r="CM443">
        <f>5.722745744</f>
        <v>5.722745744</v>
      </c>
      <c r="CN443">
        <f>2.564900528</f>
        <v>2.5649005279999999</v>
      </c>
      <c r="CO443">
        <f>2.646260244</f>
        <v>2.646260244</v>
      </c>
      <c r="CP443">
        <f>3.657986622</f>
        <v>3.6579866220000001</v>
      </c>
      <c r="CQ443">
        <f>3.841693802</f>
        <v>3.841693802</v>
      </c>
      <c r="CR443">
        <f>2.99569546</f>
        <v>2.9956954599999999</v>
      </c>
      <c r="CS443">
        <f>4.276664681</f>
        <v>4.2766646809999997</v>
      </c>
      <c r="CT443" t="str">
        <f>""</f>
        <v/>
      </c>
      <c r="CU443">
        <f>3.841246447</f>
        <v>3.8412464470000001</v>
      </c>
      <c r="CV443">
        <f>7.715766692</f>
        <v>7.7157666919999999</v>
      </c>
      <c r="CW443">
        <f>7.144974339</f>
        <v>7.144974339</v>
      </c>
      <c r="CX443">
        <f>4.544675186</f>
        <v>4.5446751860000001</v>
      </c>
      <c r="CY443">
        <f>7.659085902</f>
        <v>7.6590859020000002</v>
      </c>
      <c r="CZ443">
        <f>23.15405229</f>
        <v>23.154052289999999</v>
      </c>
      <c r="DA443">
        <f>274.371878</f>
        <v>274.37187799999998</v>
      </c>
      <c r="DB443" t="str">
        <f>""</f>
        <v/>
      </c>
      <c r="DC443">
        <f>6.425176585</f>
        <v>6.425176585</v>
      </c>
      <c r="DD443">
        <f>3.971032021</f>
        <v>3.9710320210000001</v>
      </c>
      <c r="DE443">
        <f>4.578659736</f>
        <v>4.5786597359999996</v>
      </c>
      <c r="DF443">
        <f>6.343019059</f>
        <v>6.3430190590000004</v>
      </c>
      <c r="DG443">
        <f>39.94903703</f>
        <v>39.94903703</v>
      </c>
      <c r="DH443">
        <f>16.30892305</f>
        <v>16.308923050000001</v>
      </c>
      <c r="DI443">
        <f>8.367005424</f>
        <v>8.3670054240000002</v>
      </c>
      <c r="DJ443">
        <f>8.142511809</f>
        <v>8.1425118090000002</v>
      </c>
      <c r="DK443">
        <f>6.966149882</f>
        <v>6.9661498819999998</v>
      </c>
      <c r="DL443">
        <f>10.4157831</f>
        <v>10.415783100000001</v>
      </c>
      <c r="DM443">
        <f>6.517600071</f>
        <v>6.5176000710000004</v>
      </c>
      <c r="DN443">
        <f>5.080255806</f>
        <v>5.0802558060000003</v>
      </c>
      <c r="DO443">
        <f>4.986915737</f>
        <v>4.9869157370000003</v>
      </c>
      <c r="DP443">
        <f>8.594254415</f>
        <v>8.594254415</v>
      </c>
      <c r="DQ443">
        <f>30.26284682</f>
        <v>30.26284682</v>
      </c>
      <c r="DR443">
        <f>8.620198082</f>
        <v>8.6201980819999999</v>
      </c>
      <c r="DS443">
        <f>10.93375776</f>
        <v>10.933757760000001</v>
      </c>
      <c r="DT443">
        <f>18.87243327</f>
        <v>18.872433269999998</v>
      </c>
      <c r="DU443">
        <f>17.83743501</f>
        <v>17.83743501</v>
      </c>
    </row>
    <row r="444" spans="1:125" x14ac:dyDescent="0.25">
      <c r="A444" t="str">
        <f>"    Sanyang Motor Co Ltd"</f>
        <v xml:space="preserve">    Sanyang Motor Co Ltd</v>
      </c>
      <c r="B444" t="str">
        <f>"2206 TT Equity"</f>
        <v>2206 TT Equity</v>
      </c>
      <c r="C444" t="str">
        <f t="shared" si="30"/>
        <v>RR477</v>
      </c>
      <c r="D444" t="str">
        <f t="shared" si="31"/>
        <v>EV_TO_T12M_CASH_FLOW</v>
      </c>
      <c r="E444" t="str">
        <f t="shared" si="32"/>
        <v>Dynamic</v>
      </c>
      <c r="F444" t="str">
        <f ca="1">IF(AND(ISNUMBER($F$1107),$B$677=1),$F$1107,HLOOKUP(INDIRECT(ADDRESS(2,COLUMN())),OFFSET($BN$2,0,0,ROW()-1,60),ROW()-1,FALSE))</f>
        <v/>
      </c>
      <c r="G444" t="str">
        <f ca="1">IF(AND(ISNUMBER($G$1107),$B$677=1),$G$1107,HLOOKUP(INDIRECT(ADDRESS(2,COLUMN())),OFFSET($BN$2,0,0,ROW()-1,60),ROW()-1,FALSE))</f>
        <v/>
      </c>
      <c r="H444">
        <f ca="1">IF(AND(ISNUMBER($H$1107),$B$677=1),$H$1107,HLOOKUP(INDIRECT(ADDRESS(2,COLUMN())),OFFSET($BN$2,0,0,ROW()-1,60),ROW()-1,FALSE))</f>
        <v>75.39778699</v>
      </c>
      <c r="I444">
        <f ca="1">IF(AND(ISNUMBER($I$1107),$B$677=1),$I$1107,HLOOKUP(INDIRECT(ADDRESS(2,COLUMN())),OFFSET($BN$2,0,0,ROW()-1,60),ROW()-1,FALSE))</f>
        <v>24.145521680000002</v>
      </c>
      <c r="J444">
        <f ca="1">IF(AND(ISNUMBER($J$1107),$B$677=1),$J$1107,HLOOKUP(INDIRECT(ADDRESS(2,COLUMN())),OFFSET($BN$2,0,0,ROW()-1,60),ROW()-1,FALSE))</f>
        <v>30.121773050000002</v>
      </c>
      <c r="K444">
        <f ca="1">IF(AND(ISNUMBER($K$1107),$B$677=1),$K$1107,HLOOKUP(INDIRECT(ADDRESS(2,COLUMN())),OFFSET($BN$2,0,0,ROW()-1,60),ROW()-1,FALSE))</f>
        <v>10.164323100000001</v>
      </c>
      <c r="L444">
        <f ca="1">IF(AND(ISNUMBER($L$1107),$B$677=1),$L$1107,HLOOKUP(INDIRECT(ADDRESS(2,COLUMN())),OFFSET($BN$2,0,0,ROW()-1,60),ROW()-1,FALSE))</f>
        <v>6.7169069260000001</v>
      </c>
      <c r="M444">
        <f ca="1">IF(AND(ISNUMBER($M$1107),$B$677=1),$M$1107,HLOOKUP(INDIRECT(ADDRESS(2,COLUMN())),OFFSET($BN$2,0,0,ROW()-1,60),ROW()-1,FALSE))</f>
        <v>7.4830436530000002</v>
      </c>
      <c r="N444">
        <f ca="1">IF(AND(ISNUMBER($N$1107),$B$677=1),$N$1107,HLOOKUP(INDIRECT(ADDRESS(2,COLUMN())),OFFSET($BN$2,0,0,ROW()-1,60),ROW()-1,FALSE))</f>
        <v>5.619408161</v>
      </c>
      <c r="O444">
        <f ca="1">IF(AND(ISNUMBER($O$1107),$B$677=1),$O$1107,HLOOKUP(INDIRECT(ADDRESS(2,COLUMN())),OFFSET($BN$2,0,0,ROW()-1,60),ROW()-1,FALSE))</f>
        <v>5.0793152800000003</v>
      </c>
      <c r="P444">
        <f ca="1">IF(AND(ISNUMBER($P$1107),$B$677=1),$P$1107,HLOOKUP(INDIRECT(ADDRESS(2,COLUMN())),OFFSET($BN$2,0,0,ROW()-1,60),ROW()-1,FALSE))</f>
        <v>7.0557883959999996</v>
      </c>
      <c r="Q444">
        <f ca="1">IF(AND(ISNUMBER($Q$1107),$B$677=1),$Q$1107,HLOOKUP(INDIRECT(ADDRESS(2,COLUMN())),OFFSET($BN$2,0,0,ROW()-1,60),ROW()-1,FALSE))</f>
        <v>10.02442321</v>
      </c>
      <c r="R444">
        <f ca="1">IF(AND(ISNUMBER($R$1107),$B$677=1),$R$1107,HLOOKUP(INDIRECT(ADDRESS(2,COLUMN())),OFFSET($BN$2,0,0,ROW()-1,60),ROW()-1,FALSE))</f>
        <v>13.665443209999999</v>
      </c>
      <c r="S444" t="str">
        <f ca="1">IF(AND(ISNUMBER($S$1107),$B$677=1),$S$1107,HLOOKUP(INDIRECT(ADDRESS(2,COLUMN())),OFFSET($BN$2,0,0,ROW()-1,60),ROW()-1,FALSE))</f>
        <v/>
      </c>
      <c r="T444" t="str">
        <f ca="1">IF(AND(ISNUMBER($T$1107),$B$677=1),$T$1107,HLOOKUP(INDIRECT(ADDRESS(2,COLUMN())),OFFSET($BN$2,0,0,ROW()-1,60),ROW()-1,FALSE))</f>
        <v/>
      </c>
      <c r="U444" t="str">
        <f ca="1">IF(AND(ISNUMBER($U$1107),$B$677=1),$U$1107,HLOOKUP(INDIRECT(ADDRESS(2,COLUMN())),OFFSET($BN$2,0,0,ROW()-1,60),ROW()-1,FALSE))</f>
        <v/>
      </c>
      <c r="V444" t="str">
        <f ca="1">IF(AND(ISNUMBER($V$1107),$B$677=1),$V$1107,HLOOKUP(INDIRECT(ADDRESS(2,COLUMN())),OFFSET($BN$2,0,0,ROW()-1,60),ROW()-1,FALSE))</f>
        <v/>
      </c>
      <c r="W444" t="str">
        <f ca="1">IF(AND(ISNUMBER($W$1107),$B$677=1),$W$1107,HLOOKUP(INDIRECT(ADDRESS(2,COLUMN())),OFFSET($BN$2,0,0,ROW()-1,60),ROW()-1,FALSE))</f>
        <v/>
      </c>
      <c r="X444" t="str">
        <f ca="1">IF(AND(ISNUMBER($X$1107),$B$677=1),$X$1107,HLOOKUP(INDIRECT(ADDRESS(2,COLUMN())),OFFSET($BN$2,0,0,ROW()-1,60),ROW()-1,FALSE))</f>
        <v/>
      </c>
      <c r="Y444" t="str">
        <f ca="1">IF(AND(ISNUMBER($Y$1107),$B$677=1),$Y$1107,HLOOKUP(INDIRECT(ADDRESS(2,COLUMN())),OFFSET($BN$2,0,0,ROW()-1,60),ROW()-1,FALSE))</f>
        <v/>
      </c>
      <c r="Z444" t="str">
        <f ca="1">IF(AND(ISNUMBER($Z$1107),$B$677=1),$Z$1107,HLOOKUP(INDIRECT(ADDRESS(2,COLUMN())),OFFSET($BN$2,0,0,ROW()-1,60),ROW()-1,FALSE))</f>
        <v/>
      </c>
      <c r="AA444" t="str">
        <f ca="1">IF(AND(ISNUMBER($AA$1107),$B$677=1),$AA$1107,HLOOKUP(INDIRECT(ADDRESS(2,COLUMN())),OFFSET($BN$2,0,0,ROW()-1,60),ROW()-1,FALSE))</f>
        <v/>
      </c>
      <c r="AB444" t="str">
        <f ca="1">IF(AND(ISNUMBER($AB$1107),$B$677=1),$AB$1107,HLOOKUP(INDIRECT(ADDRESS(2,COLUMN())),OFFSET($BN$2,0,0,ROW()-1,60),ROW()-1,FALSE))</f>
        <v/>
      </c>
      <c r="AC444">
        <f ca="1">IF(AND(ISNUMBER($AC$1107),$B$677=1),$AC$1107,HLOOKUP(INDIRECT(ADDRESS(2,COLUMN())),OFFSET($BN$2,0,0,ROW()-1,60),ROW()-1,FALSE))</f>
        <v>32.256845490000003</v>
      </c>
      <c r="AD444">
        <f ca="1">IF(AND(ISNUMBER($AD$1107),$B$677=1),$AD$1107,HLOOKUP(INDIRECT(ADDRESS(2,COLUMN())),OFFSET($BN$2,0,0,ROW()-1,60),ROW()-1,FALSE))</f>
        <v>19.520406229999999</v>
      </c>
      <c r="AE444">
        <f ca="1">IF(AND(ISNUMBER($AE$1107),$B$677=1),$AE$1107,HLOOKUP(INDIRECT(ADDRESS(2,COLUMN())),OFFSET($BN$2,0,0,ROW()-1,60),ROW()-1,FALSE))</f>
        <v>20.066751849999999</v>
      </c>
      <c r="AF444">
        <f ca="1">IF(AND(ISNUMBER($AF$1107),$B$677=1),$AF$1107,HLOOKUP(INDIRECT(ADDRESS(2,COLUMN())),OFFSET($BN$2,0,0,ROW()-1,60),ROW()-1,FALSE))</f>
        <v>19.253134589999998</v>
      </c>
      <c r="AG444" t="str">
        <f ca="1">IF(AND(ISNUMBER($AG$1107),$B$677=1),$AG$1107,HLOOKUP(INDIRECT(ADDRESS(2,COLUMN())),OFFSET($BN$2,0,0,ROW()-1,60),ROW()-1,FALSE))</f>
        <v/>
      </c>
      <c r="AH444">
        <f ca="1">IF(AND(ISNUMBER($AH$1107),$B$677=1),$AH$1107,HLOOKUP(INDIRECT(ADDRESS(2,COLUMN())),OFFSET($BN$2,0,0,ROW()-1,60),ROW()-1,FALSE))</f>
        <v>25.197482390000001</v>
      </c>
      <c r="AI444">
        <f ca="1">IF(AND(ISNUMBER($AI$1107),$B$677=1),$AI$1107,HLOOKUP(INDIRECT(ADDRESS(2,COLUMN())),OFFSET($BN$2,0,0,ROW()-1,60),ROW()-1,FALSE))</f>
        <v>13.16756391</v>
      </c>
      <c r="AJ444">
        <f ca="1">IF(AND(ISNUMBER($AJ$1107),$B$677=1),$AJ$1107,HLOOKUP(INDIRECT(ADDRESS(2,COLUMN())),OFFSET($BN$2,0,0,ROW()-1,60),ROW()-1,FALSE))</f>
        <v>18.84193608</v>
      </c>
      <c r="AK444">
        <f ca="1">IF(AND(ISNUMBER($AK$1107),$B$677=1),$AK$1107,HLOOKUP(INDIRECT(ADDRESS(2,COLUMN())),OFFSET($BN$2,0,0,ROW()-1,60),ROW()-1,FALSE))</f>
        <v>9.0501302490000004</v>
      </c>
      <c r="AL444">
        <f ca="1">IF(AND(ISNUMBER($AL$1107),$B$677=1),$AL$1107,HLOOKUP(INDIRECT(ADDRESS(2,COLUMN())),OFFSET($BN$2,0,0,ROW()-1,60),ROW()-1,FALSE))</f>
        <v>24.167193050000002</v>
      </c>
      <c r="AM444">
        <f ca="1">IF(AND(ISNUMBER($AM$1107),$B$677=1),$AM$1107,HLOOKUP(INDIRECT(ADDRESS(2,COLUMN())),OFFSET($BN$2,0,0,ROW()-1,60),ROW()-1,FALSE))</f>
        <v>3265.6285859999998</v>
      </c>
      <c r="AN444">
        <f ca="1">IF(AND(ISNUMBER($AN$1107),$B$677=1),$AN$1107,HLOOKUP(INDIRECT(ADDRESS(2,COLUMN())),OFFSET($BN$2,0,0,ROW()-1,60),ROW()-1,FALSE))</f>
        <v>33.907888139999997</v>
      </c>
      <c r="AO444">
        <f ca="1">IF(AND(ISNUMBER($AO$1107),$B$677=1),$AO$1107,HLOOKUP(INDIRECT(ADDRESS(2,COLUMN())),OFFSET($BN$2,0,0,ROW()-1,60),ROW()-1,FALSE))</f>
        <v>11.12241027</v>
      </c>
      <c r="AP444">
        <f ca="1">IF(AND(ISNUMBER($AP$1107),$B$677=1),$AP$1107,HLOOKUP(INDIRECT(ADDRESS(2,COLUMN())),OFFSET($BN$2,0,0,ROW()-1,60),ROW()-1,FALSE))</f>
        <v>5.9285126300000002</v>
      </c>
      <c r="AQ444">
        <f ca="1">IF(AND(ISNUMBER($AQ$1107),$B$677=1),$AQ$1107,HLOOKUP(INDIRECT(ADDRESS(2,COLUMN())),OFFSET($BN$2,0,0,ROW()-1,60),ROW()-1,FALSE))</f>
        <v>7.4690519359999996</v>
      </c>
      <c r="AR444">
        <f ca="1">IF(AND(ISNUMBER($AR$1107),$B$677=1),$AR$1107,HLOOKUP(INDIRECT(ADDRESS(2,COLUMN())),OFFSET($BN$2,0,0,ROW()-1,60),ROW()-1,FALSE))</f>
        <v>5.2957833130000003</v>
      </c>
      <c r="AS444">
        <f ca="1">IF(AND(ISNUMBER($AS$1107),$B$677=1),$AS$1107,HLOOKUP(INDIRECT(ADDRESS(2,COLUMN())),OFFSET($BN$2,0,0,ROW()-1,60),ROW()-1,FALSE))</f>
        <v>17.089159080000002</v>
      </c>
      <c r="AT444">
        <f ca="1">IF(AND(ISNUMBER($AT$1107),$B$677=1),$AT$1107,HLOOKUP(INDIRECT(ADDRESS(2,COLUMN())),OFFSET($BN$2,0,0,ROW()-1,60),ROW()-1,FALSE))</f>
        <v>11.62651239</v>
      </c>
      <c r="AU444">
        <f ca="1">IF(AND(ISNUMBER($AU$1107),$B$677=1),$AU$1107,HLOOKUP(INDIRECT(ADDRESS(2,COLUMN())),OFFSET($BN$2,0,0,ROW()-1,60),ROW()-1,FALSE))</f>
        <v>27.18573906</v>
      </c>
      <c r="AV444" t="str">
        <f ca="1">IF(AND(ISNUMBER($AV$1107),$B$677=1),$AV$1107,HLOOKUP(INDIRECT(ADDRESS(2,COLUMN())),OFFSET($BN$2,0,0,ROW()-1,60),ROW()-1,FALSE))</f>
        <v/>
      </c>
      <c r="AW444" t="str">
        <f ca="1">IF(AND(ISNUMBER($AW$1107),$B$677=1),$AW$1107,HLOOKUP(INDIRECT(ADDRESS(2,COLUMN())),OFFSET($BN$2,0,0,ROW()-1,60),ROW()-1,FALSE))</f>
        <v/>
      </c>
      <c r="AX444" t="str">
        <f ca="1">IF(AND(ISNUMBER($AX$1107),$B$677=1),$AX$1107,HLOOKUP(INDIRECT(ADDRESS(2,COLUMN())),OFFSET($BN$2,0,0,ROW()-1,60),ROW()-1,FALSE))</f>
        <v/>
      </c>
      <c r="AY444" t="str">
        <f ca="1">IF(AND(ISNUMBER($AY$1107),$B$677=1),$AY$1107,HLOOKUP(INDIRECT(ADDRESS(2,COLUMN())),OFFSET($BN$2,0,0,ROW()-1,60),ROW()-1,FALSE))</f>
        <v/>
      </c>
      <c r="AZ444" t="str">
        <f ca="1">IF(AND(ISNUMBER($AZ$1107),$B$677=1),$AZ$1107,HLOOKUP(INDIRECT(ADDRESS(2,COLUMN())),OFFSET($BN$2,0,0,ROW()-1,60),ROW()-1,FALSE))</f>
        <v/>
      </c>
      <c r="BA444" t="str">
        <f ca="1">IF(AND(ISNUMBER($BA$1107),$B$677=1),$BA$1107,HLOOKUP(INDIRECT(ADDRESS(2,COLUMN())),OFFSET($BN$2,0,0,ROW()-1,60),ROW()-1,FALSE))</f>
        <v/>
      </c>
      <c r="BB444" t="str">
        <f ca="1">IF(AND(ISNUMBER($BB$1107),$B$677=1),$BB$1107,HLOOKUP(INDIRECT(ADDRESS(2,COLUMN())),OFFSET($BN$2,0,0,ROW()-1,60),ROW()-1,FALSE))</f>
        <v/>
      </c>
      <c r="BC444" t="str">
        <f ca="1">IF(AND(ISNUMBER($BC$1107),$B$677=1),$BC$1107,HLOOKUP(INDIRECT(ADDRESS(2,COLUMN())),OFFSET($BN$2,0,0,ROW()-1,60),ROW()-1,FALSE))</f>
        <v/>
      </c>
      <c r="BD444" t="str">
        <f ca="1">IF(AND(ISNUMBER($BD$1107),$B$677=1),$BD$1107,HLOOKUP(INDIRECT(ADDRESS(2,COLUMN())),OFFSET($BN$2,0,0,ROW()-1,60),ROW()-1,FALSE))</f>
        <v/>
      </c>
      <c r="BE444" t="str">
        <f ca="1">IF(AND(ISNUMBER($BE$1107),$B$677=1),$BE$1107,HLOOKUP(INDIRECT(ADDRESS(2,COLUMN())),OFFSET($BN$2,0,0,ROW()-1,60),ROW()-1,FALSE))</f>
        <v/>
      </c>
      <c r="BF444" t="str">
        <f ca="1">IF(AND(ISNUMBER($BF$1107),$B$677=1),$BF$1107,HLOOKUP(INDIRECT(ADDRESS(2,COLUMN())),OFFSET($BN$2,0,0,ROW()-1,60),ROW()-1,FALSE))</f>
        <v/>
      </c>
      <c r="BG444" t="str">
        <f ca="1">IF(AND(ISNUMBER($BG$1107),$B$677=1),$BG$1107,HLOOKUP(INDIRECT(ADDRESS(2,COLUMN())),OFFSET($BN$2,0,0,ROW()-1,60),ROW()-1,FALSE))</f>
        <v/>
      </c>
      <c r="BH444" t="str">
        <f ca="1">IF(AND(ISNUMBER($BH$1107),$B$677=1),$BH$1107,HLOOKUP(INDIRECT(ADDRESS(2,COLUMN())),OFFSET($BN$2,0,0,ROW()-1,60),ROW()-1,FALSE))</f>
        <v/>
      </c>
      <c r="BI444" t="str">
        <f ca="1">IF(AND(ISNUMBER($BI$1107),$B$677=1),$BI$1107,HLOOKUP(INDIRECT(ADDRESS(2,COLUMN())),OFFSET($BN$2,0,0,ROW()-1,60),ROW()-1,FALSE))</f>
        <v/>
      </c>
      <c r="BJ444" t="str">
        <f ca="1">IF(AND(ISNUMBER($BJ$1107),$B$677=1),$BJ$1107,HLOOKUP(INDIRECT(ADDRESS(2,COLUMN())),OFFSET($BN$2,0,0,ROW()-1,60),ROW()-1,FALSE))</f>
        <v/>
      </c>
      <c r="BK444" t="str">
        <f ca="1">IF(AND(ISNUMBER($BK$1107),$B$677=1),$BK$1107,HLOOKUP(INDIRECT(ADDRESS(2,COLUMN())),OFFSET($BN$2,0,0,ROW()-1,60),ROW()-1,FALSE))</f>
        <v/>
      </c>
      <c r="BL444" t="str">
        <f ca="1">IF(AND(ISNUMBER($BL$1107),$B$677=1),$BL$1107,HLOOKUP(INDIRECT(ADDRESS(2,COLUMN())),OFFSET($BN$2,0,0,ROW()-1,60),ROW()-1,FALSE))</f>
        <v/>
      </c>
      <c r="BM444" t="str">
        <f ca="1">IF(AND(ISNUMBER($BM$1107),$B$677=1),$BM$1107,HLOOKUP(INDIRECT(ADDRESS(2,COLUMN())),OFFSET($BN$2,0,0,ROW()-1,60),ROW()-1,FALSE))</f>
        <v/>
      </c>
      <c r="BN444" t="str">
        <f>""</f>
        <v/>
      </c>
      <c r="BO444" t="str">
        <f>""</f>
        <v/>
      </c>
      <c r="BP444">
        <f>75.39778699</f>
        <v>75.39778699</v>
      </c>
      <c r="BQ444">
        <f>24.14552168</f>
        <v>24.145521680000002</v>
      </c>
      <c r="BR444">
        <f>30.12177305</f>
        <v>30.121773050000002</v>
      </c>
      <c r="BS444">
        <f>10.1643231</f>
        <v>10.164323100000001</v>
      </c>
      <c r="BT444">
        <f>6.716906926</f>
        <v>6.7169069260000001</v>
      </c>
      <c r="BU444">
        <f>7.483043653</f>
        <v>7.4830436530000002</v>
      </c>
      <c r="BV444">
        <f>5.619408161</f>
        <v>5.619408161</v>
      </c>
      <c r="BW444">
        <f>5.07931528</f>
        <v>5.0793152800000003</v>
      </c>
      <c r="BX444">
        <f>7.055788396</f>
        <v>7.0557883959999996</v>
      </c>
      <c r="BY444">
        <f>10.02442321</f>
        <v>10.02442321</v>
      </c>
      <c r="BZ444">
        <f>13.66544321</f>
        <v>13.665443209999999</v>
      </c>
      <c r="CA444" t="str">
        <f>""</f>
        <v/>
      </c>
      <c r="CB444" t="str">
        <f>""</f>
        <v/>
      </c>
      <c r="CC444" t="str">
        <f>""</f>
        <v/>
      </c>
      <c r="CD444" t="str">
        <f>""</f>
        <v/>
      </c>
      <c r="CE444" t="str">
        <f>""</f>
        <v/>
      </c>
      <c r="CF444" t="str">
        <f>""</f>
        <v/>
      </c>
      <c r="CG444" t="str">
        <f>""</f>
        <v/>
      </c>
      <c r="CH444" t="str">
        <f>""</f>
        <v/>
      </c>
      <c r="CI444" t="str">
        <f>""</f>
        <v/>
      </c>
      <c r="CJ444" t="str">
        <f>""</f>
        <v/>
      </c>
      <c r="CK444">
        <f>32.25684549</f>
        <v>32.256845490000003</v>
      </c>
      <c r="CL444">
        <f>19.52040623</f>
        <v>19.520406229999999</v>
      </c>
      <c r="CM444">
        <f>20.06675185</f>
        <v>20.066751849999999</v>
      </c>
      <c r="CN444">
        <f>19.25313459</f>
        <v>19.253134589999998</v>
      </c>
      <c r="CO444" t="str">
        <f>""</f>
        <v/>
      </c>
      <c r="CP444">
        <f>25.19748239</f>
        <v>25.197482390000001</v>
      </c>
      <c r="CQ444">
        <f>13.16756391</f>
        <v>13.16756391</v>
      </c>
      <c r="CR444">
        <f>18.84193608</f>
        <v>18.84193608</v>
      </c>
      <c r="CS444">
        <f>9.050130249</f>
        <v>9.0501302490000004</v>
      </c>
      <c r="CT444">
        <f>24.16719305</f>
        <v>24.167193050000002</v>
      </c>
      <c r="CU444">
        <f>3265.628586</f>
        <v>3265.6285859999998</v>
      </c>
      <c r="CV444">
        <f>33.90788814</f>
        <v>33.907888139999997</v>
      </c>
      <c r="CW444">
        <f>11.12241027</f>
        <v>11.12241027</v>
      </c>
      <c r="CX444">
        <f>5.92851263</f>
        <v>5.9285126300000002</v>
      </c>
      <c r="CY444">
        <f>7.469051936</f>
        <v>7.4690519359999996</v>
      </c>
      <c r="CZ444">
        <f>5.295783313</f>
        <v>5.2957833130000003</v>
      </c>
      <c r="DA444">
        <f>17.08915908</f>
        <v>17.089159080000002</v>
      </c>
      <c r="DB444">
        <f>11.62651239</f>
        <v>11.62651239</v>
      </c>
      <c r="DC444">
        <f>27.18573906</f>
        <v>27.18573906</v>
      </c>
      <c r="DD444" t="str">
        <f>""</f>
        <v/>
      </c>
      <c r="DE444" t="str">
        <f>""</f>
        <v/>
      </c>
      <c r="DF444" t="str">
        <f>""</f>
        <v/>
      </c>
      <c r="DG444" t="str">
        <f>""</f>
        <v/>
      </c>
      <c r="DH444" t="str">
        <f>""</f>
        <v/>
      </c>
      <c r="DI444" t="str">
        <f>""</f>
        <v/>
      </c>
      <c r="DJ444" t="str">
        <f>""</f>
        <v/>
      </c>
      <c r="DK444" t="str">
        <f>""</f>
        <v/>
      </c>
      <c r="DL444" t="str">
        <f>""</f>
        <v/>
      </c>
      <c r="DM444" t="str">
        <f>""</f>
        <v/>
      </c>
      <c r="DN444" t="str">
        <f>""</f>
        <v/>
      </c>
      <c r="DO444" t="str">
        <f>""</f>
        <v/>
      </c>
      <c r="DP444" t="str">
        <f>""</f>
        <v/>
      </c>
      <c r="DQ444" t="str">
        <f>""</f>
        <v/>
      </c>
      <c r="DR444" t="str">
        <f>""</f>
        <v/>
      </c>
      <c r="DS444" t="str">
        <f>""</f>
        <v/>
      </c>
      <c r="DT444" t="str">
        <f>""</f>
        <v/>
      </c>
      <c r="DU444" t="str">
        <f>""</f>
        <v/>
      </c>
    </row>
    <row r="445" spans="1:125" x14ac:dyDescent="0.25">
      <c r="A445" t="str">
        <f>"    Sollers PJSC"</f>
        <v xml:space="preserve">    Sollers PJSC</v>
      </c>
      <c r="B445" t="str">
        <f>"SVAV RM Equity"</f>
        <v>SVAV RM Equity</v>
      </c>
      <c r="C445" t="str">
        <f t="shared" si="30"/>
        <v>RR477</v>
      </c>
      <c r="D445" t="str">
        <f t="shared" si="31"/>
        <v>EV_TO_T12M_CASH_FLOW</v>
      </c>
      <c r="E445" t="str">
        <f t="shared" si="32"/>
        <v>Dynamic</v>
      </c>
      <c r="F445" t="str">
        <f ca="1">IF(AND(ISNUMBER($F$1108),$B$677=1),$F$1108,HLOOKUP(INDIRECT(ADDRESS(2,COLUMN())),OFFSET($BN$2,0,0,ROW()-1,60),ROW()-1,FALSE))</f>
        <v/>
      </c>
      <c r="G445" t="str">
        <f ca="1">IF(AND(ISNUMBER($G$1108),$B$677=1),$G$1108,HLOOKUP(INDIRECT(ADDRESS(2,COLUMN())),OFFSET($BN$2,0,0,ROW()-1,60),ROW()-1,FALSE))</f>
        <v/>
      </c>
      <c r="H445" t="str">
        <f ca="1">IF(AND(ISNUMBER($H$1108),$B$677=1),$H$1108,HLOOKUP(INDIRECT(ADDRESS(2,COLUMN())),OFFSET($BN$2,0,0,ROW()-1,60),ROW()-1,FALSE))</f>
        <v/>
      </c>
      <c r="I445" t="str">
        <f ca="1">IF(AND(ISNUMBER($I$1108),$B$677=1),$I$1108,HLOOKUP(INDIRECT(ADDRESS(2,COLUMN())),OFFSET($BN$2,0,0,ROW()-1,60),ROW()-1,FALSE))</f>
        <v/>
      </c>
      <c r="J445" t="str">
        <f ca="1">IF(AND(ISNUMBER($J$1108),$B$677=1),$J$1108,HLOOKUP(INDIRECT(ADDRESS(2,COLUMN())),OFFSET($BN$2,0,0,ROW()-1,60),ROW()-1,FALSE))</f>
        <v/>
      </c>
      <c r="K445" t="str">
        <f ca="1">IF(AND(ISNUMBER($K$1108),$B$677=1),$K$1108,HLOOKUP(INDIRECT(ADDRESS(2,COLUMN())),OFFSET($BN$2,0,0,ROW()-1,60),ROW()-1,FALSE))</f>
        <v/>
      </c>
      <c r="L445" t="str">
        <f ca="1">IF(AND(ISNUMBER($L$1108),$B$677=1),$L$1108,HLOOKUP(INDIRECT(ADDRESS(2,COLUMN())),OFFSET($BN$2,0,0,ROW()-1,60),ROW()-1,FALSE))</f>
        <v/>
      </c>
      <c r="M445" t="str">
        <f ca="1">IF(AND(ISNUMBER($M$1108),$B$677=1),$M$1108,HLOOKUP(INDIRECT(ADDRESS(2,COLUMN())),OFFSET($BN$2,0,0,ROW()-1,60),ROW()-1,FALSE))</f>
        <v/>
      </c>
      <c r="N445" t="str">
        <f ca="1">IF(AND(ISNUMBER($N$1108),$B$677=1),$N$1108,HLOOKUP(INDIRECT(ADDRESS(2,COLUMN())),OFFSET($BN$2,0,0,ROW()-1,60),ROW()-1,FALSE))</f>
        <v/>
      </c>
      <c r="O445" t="str">
        <f ca="1">IF(AND(ISNUMBER($O$1108),$B$677=1),$O$1108,HLOOKUP(INDIRECT(ADDRESS(2,COLUMN())),OFFSET($BN$2,0,0,ROW()-1,60),ROW()-1,FALSE))</f>
        <v/>
      </c>
      <c r="P445" t="str">
        <f ca="1">IF(AND(ISNUMBER($P$1108),$B$677=1),$P$1108,HLOOKUP(INDIRECT(ADDRESS(2,COLUMN())),OFFSET($BN$2,0,0,ROW()-1,60),ROW()-1,FALSE))</f>
        <v/>
      </c>
      <c r="Q445" t="str">
        <f ca="1">IF(AND(ISNUMBER($Q$1108),$B$677=1),$Q$1108,HLOOKUP(INDIRECT(ADDRESS(2,COLUMN())),OFFSET($BN$2,0,0,ROW()-1,60),ROW()-1,FALSE))</f>
        <v/>
      </c>
      <c r="R445" t="str">
        <f ca="1">IF(AND(ISNUMBER($R$1108),$B$677=1),$R$1108,HLOOKUP(INDIRECT(ADDRESS(2,COLUMN())),OFFSET($BN$2,0,0,ROW()-1,60),ROW()-1,FALSE))</f>
        <v/>
      </c>
      <c r="S445" t="str">
        <f ca="1">IF(AND(ISNUMBER($S$1108),$B$677=1),$S$1108,HLOOKUP(INDIRECT(ADDRESS(2,COLUMN())),OFFSET($BN$2,0,0,ROW()-1,60),ROW()-1,FALSE))</f>
        <v/>
      </c>
      <c r="T445" t="str">
        <f ca="1">IF(AND(ISNUMBER($T$1108),$B$677=1),$T$1108,HLOOKUP(INDIRECT(ADDRESS(2,COLUMN())),OFFSET($BN$2,0,0,ROW()-1,60),ROW()-1,FALSE))</f>
        <v/>
      </c>
      <c r="U445" t="str">
        <f ca="1">IF(AND(ISNUMBER($U$1108),$B$677=1),$U$1108,HLOOKUP(INDIRECT(ADDRESS(2,COLUMN())),OFFSET($BN$2,0,0,ROW()-1,60),ROW()-1,FALSE))</f>
        <v/>
      </c>
      <c r="V445" t="str">
        <f ca="1">IF(AND(ISNUMBER($V$1108),$B$677=1),$V$1108,HLOOKUP(INDIRECT(ADDRESS(2,COLUMN())),OFFSET($BN$2,0,0,ROW()-1,60),ROW()-1,FALSE))</f>
        <v/>
      </c>
      <c r="W445" t="str">
        <f ca="1">IF(AND(ISNUMBER($W$1108),$B$677=1),$W$1108,HLOOKUP(INDIRECT(ADDRESS(2,COLUMN())),OFFSET($BN$2,0,0,ROW()-1,60),ROW()-1,FALSE))</f>
        <v/>
      </c>
      <c r="X445" t="str">
        <f ca="1">IF(AND(ISNUMBER($X$1108),$B$677=1),$X$1108,HLOOKUP(INDIRECT(ADDRESS(2,COLUMN())),OFFSET($BN$2,0,0,ROW()-1,60),ROW()-1,FALSE))</f>
        <v/>
      </c>
      <c r="Y445" t="str">
        <f ca="1">IF(AND(ISNUMBER($Y$1108),$B$677=1),$Y$1108,HLOOKUP(INDIRECT(ADDRESS(2,COLUMN())),OFFSET($BN$2,0,0,ROW()-1,60),ROW()-1,FALSE))</f>
        <v/>
      </c>
      <c r="Z445" t="str">
        <f ca="1">IF(AND(ISNUMBER($Z$1108),$B$677=1),$Z$1108,HLOOKUP(INDIRECT(ADDRESS(2,COLUMN())),OFFSET($BN$2,0,0,ROW()-1,60),ROW()-1,FALSE))</f>
        <v/>
      </c>
      <c r="AA445" t="str">
        <f ca="1">IF(AND(ISNUMBER($AA$1108),$B$677=1),$AA$1108,HLOOKUP(INDIRECT(ADDRESS(2,COLUMN())),OFFSET($BN$2,0,0,ROW()-1,60),ROW()-1,FALSE))</f>
        <v/>
      </c>
      <c r="AB445" t="str">
        <f ca="1">IF(AND(ISNUMBER($AB$1108),$B$677=1),$AB$1108,HLOOKUP(INDIRECT(ADDRESS(2,COLUMN())),OFFSET($BN$2,0,0,ROW()-1,60),ROW()-1,FALSE))</f>
        <v/>
      </c>
      <c r="AC445" t="str">
        <f ca="1">IF(AND(ISNUMBER($AC$1108),$B$677=1),$AC$1108,HLOOKUP(INDIRECT(ADDRESS(2,COLUMN())),OFFSET($BN$2,0,0,ROW()-1,60),ROW()-1,FALSE))</f>
        <v/>
      </c>
      <c r="AD445" t="str">
        <f ca="1">IF(AND(ISNUMBER($AD$1108),$B$677=1),$AD$1108,HLOOKUP(INDIRECT(ADDRESS(2,COLUMN())),OFFSET($BN$2,0,0,ROW()-1,60),ROW()-1,FALSE))</f>
        <v/>
      </c>
      <c r="AE445" t="str">
        <f ca="1">IF(AND(ISNUMBER($AE$1108),$B$677=1),$AE$1108,HLOOKUP(INDIRECT(ADDRESS(2,COLUMN())),OFFSET($BN$2,0,0,ROW()-1,60),ROW()-1,FALSE))</f>
        <v/>
      </c>
      <c r="AF445" t="str">
        <f ca="1">IF(AND(ISNUMBER($AF$1108),$B$677=1),$AF$1108,HLOOKUP(INDIRECT(ADDRESS(2,COLUMN())),OFFSET($BN$2,0,0,ROW()-1,60),ROW()-1,FALSE))</f>
        <v/>
      </c>
      <c r="AG445" t="str">
        <f ca="1">IF(AND(ISNUMBER($AG$1108),$B$677=1),$AG$1108,HLOOKUP(INDIRECT(ADDRESS(2,COLUMN())),OFFSET($BN$2,0,0,ROW()-1,60),ROW()-1,FALSE))</f>
        <v/>
      </c>
      <c r="AH445" t="str">
        <f ca="1">IF(AND(ISNUMBER($AH$1108),$B$677=1),$AH$1108,HLOOKUP(INDIRECT(ADDRESS(2,COLUMN())),OFFSET($BN$2,0,0,ROW()-1,60),ROW()-1,FALSE))</f>
        <v/>
      </c>
      <c r="AI445" t="str">
        <f ca="1">IF(AND(ISNUMBER($AI$1108),$B$677=1),$AI$1108,HLOOKUP(INDIRECT(ADDRESS(2,COLUMN())),OFFSET($BN$2,0,0,ROW()-1,60),ROW()-1,FALSE))</f>
        <v/>
      </c>
      <c r="AJ445" t="str">
        <f ca="1">IF(AND(ISNUMBER($AJ$1108),$B$677=1),$AJ$1108,HLOOKUP(INDIRECT(ADDRESS(2,COLUMN())),OFFSET($BN$2,0,0,ROW()-1,60),ROW()-1,FALSE))</f>
        <v/>
      </c>
      <c r="AK445" t="str">
        <f ca="1">IF(AND(ISNUMBER($AK$1108),$B$677=1),$AK$1108,HLOOKUP(INDIRECT(ADDRESS(2,COLUMN())),OFFSET($BN$2,0,0,ROW()-1,60),ROW()-1,FALSE))</f>
        <v/>
      </c>
      <c r="AL445" t="str">
        <f ca="1">IF(AND(ISNUMBER($AL$1108),$B$677=1),$AL$1108,HLOOKUP(INDIRECT(ADDRESS(2,COLUMN())),OFFSET($BN$2,0,0,ROW()-1,60),ROW()-1,FALSE))</f>
        <v/>
      </c>
      <c r="AM445" t="str">
        <f ca="1">IF(AND(ISNUMBER($AM$1108),$B$677=1),$AM$1108,HLOOKUP(INDIRECT(ADDRESS(2,COLUMN())),OFFSET($BN$2,0,0,ROW()-1,60),ROW()-1,FALSE))</f>
        <v/>
      </c>
      <c r="AN445" t="str">
        <f ca="1">IF(AND(ISNUMBER($AN$1108),$B$677=1),$AN$1108,HLOOKUP(INDIRECT(ADDRESS(2,COLUMN())),OFFSET($BN$2,0,0,ROW()-1,60),ROW()-1,FALSE))</f>
        <v/>
      </c>
      <c r="AO445" t="str">
        <f ca="1">IF(AND(ISNUMBER($AO$1108),$B$677=1),$AO$1108,HLOOKUP(INDIRECT(ADDRESS(2,COLUMN())),OFFSET($BN$2,0,0,ROW()-1,60),ROW()-1,FALSE))</f>
        <v/>
      </c>
      <c r="AP445" t="str">
        <f ca="1">IF(AND(ISNUMBER($AP$1108),$B$677=1),$AP$1108,HLOOKUP(INDIRECT(ADDRESS(2,COLUMN())),OFFSET($BN$2,0,0,ROW()-1,60),ROW()-1,FALSE))</f>
        <v/>
      </c>
      <c r="AQ445" t="str">
        <f ca="1">IF(AND(ISNUMBER($AQ$1108),$B$677=1),$AQ$1108,HLOOKUP(INDIRECT(ADDRESS(2,COLUMN())),OFFSET($BN$2,0,0,ROW()-1,60),ROW()-1,FALSE))</f>
        <v/>
      </c>
      <c r="AR445" t="str">
        <f ca="1">IF(AND(ISNUMBER($AR$1108),$B$677=1),$AR$1108,HLOOKUP(INDIRECT(ADDRESS(2,COLUMN())),OFFSET($BN$2,0,0,ROW()-1,60),ROW()-1,FALSE))</f>
        <v/>
      </c>
      <c r="AS445" t="str">
        <f ca="1">IF(AND(ISNUMBER($AS$1108),$B$677=1),$AS$1108,HLOOKUP(INDIRECT(ADDRESS(2,COLUMN())),OFFSET($BN$2,0,0,ROW()-1,60),ROW()-1,FALSE))</f>
        <v/>
      </c>
      <c r="AT445" t="str">
        <f ca="1">IF(AND(ISNUMBER($AT$1108),$B$677=1),$AT$1108,HLOOKUP(INDIRECT(ADDRESS(2,COLUMN())),OFFSET($BN$2,0,0,ROW()-1,60),ROW()-1,FALSE))</f>
        <v/>
      </c>
      <c r="AU445" t="str">
        <f ca="1">IF(AND(ISNUMBER($AU$1108),$B$677=1),$AU$1108,HLOOKUP(INDIRECT(ADDRESS(2,COLUMN())),OFFSET($BN$2,0,0,ROW()-1,60),ROW()-1,FALSE))</f>
        <v/>
      </c>
      <c r="AV445" t="str">
        <f ca="1">IF(AND(ISNUMBER($AV$1108),$B$677=1),$AV$1108,HLOOKUP(INDIRECT(ADDRESS(2,COLUMN())),OFFSET($BN$2,0,0,ROW()-1,60),ROW()-1,FALSE))</f>
        <v/>
      </c>
      <c r="AW445" t="str">
        <f ca="1">IF(AND(ISNUMBER($AW$1108),$B$677=1),$AW$1108,HLOOKUP(INDIRECT(ADDRESS(2,COLUMN())),OFFSET($BN$2,0,0,ROW()-1,60),ROW()-1,FALSE))</f>
        <v/>
      </c>
      <c r="AX445" t="str">
        <f ca="1">IF(AND(ISNUMBER($AX$1108),$B$677=1),$AX$1108,HLOOKUP(INDIRECT(ADDRESS(2,COLUMN())),OFFSET($BN$2,0,0,ROW()-1,60),ROW()-1,FALSE))</f>
        <v/>
      </c>
      <c r="AY445" t="str">
        <f ca="1">IF(AND(ISNUMBER($AY$1108),$B$677=1),$AY$1108,HLOOKUP(INDIRECT(ADDRESS(2,COLUMN())),OFFSET($BN$2,0,0,ROW()-1,60),ROW()-1,FALSE))</f>
        <v/>
      </c>
      <c r="AZ445" t="str">
        <f ca="1">IF(AND(ISNUMBER($AZ$1108),$B$677=1),$AZ$1108,HLOOKUP(INDIRECT(ADDRESS(2,COLUMN())),OFFSET($BN$2,0,0,ROW()-1,60),ROW()-1,FALSE))</f>
        <v/>
      </c>
      <c r="BA445" t="str">
        <f ca="1">IF(AND(ISNUMBER($BA$1108),$B$677=1),$BA$1108,HLOOKUP(INDIRECT(ADDRESS(2,COLUMN())),OFFSET($BN$2,0,0,ROW()-1,60),ROW()-1,FALSE))</f>
        <v/>
      </c>
      <c r="BB445" t="str">
        <f ca="1">IF(AND(ISNUMBER($BB$1108),$B$677=1),$BB$1108,HLOOKUP(INDIRECT(ADDRESS(2,COLUMN())),OFFSET($BN$2,0,0,ROW()-1,60),ROW()-1,FALSE))</f>
        <v/>
      </c>
      <c r="BC445" t="str">
        <f ca="1">IF(AND(ISNUMBER($BC$1108),$B$677=1),$BC$1108,HLOOKUP(INDIRECT(ADDRESS(2,COLUMN())),OFFSET($BN$2,0,0,ROW()-1,60),ROW()-1,FALSE))</f>
        <v/>
      </c>
      <c r="BD445" t="str">
        <f ca="1">IF(AND(ISNUMBER($BD$1108),$B$677=1),$BD$1108,HLOOKUP(INDIRECT(ADDRESS(2,COLUMN())),OFFSET($BN$2,0,0,ROW()-1,60),ROW()-1,FALSE))</f>
        <v/>
      </c>
      <c r="BE445" t="str">
        <f ca="1">IF(AND(ISNUMBER($BE$1108),$B$677=1),$BE$1108,HLOOKUP(INDIRECT(ADDRESS(2,COLUMN())),OFFSET($BN$2,0,0,ROW()-1,60),ROW()-1,FALSE))</f>
        <v/>
      </c>
      <c r="BF445" t="str">
        <f ca="1">IF(AND(ISNUMBER($BF$1108),$B$677=1),$BF$1108,HLOOKUP(INDIRECT(ADDRESS(2,COLUMN())),OFFSET($BN$2,0,0,ROW()-1,60),ROW()-1,FALSE))</f>
        <v/>
      </c>
      <c r="BG445" t="str">
        <f ca="1">IF(AND(ISNUMBER($BG$1108),$B$677=1),$BG$1108,HLOOKUP(INDIRECT(ADDRESS(2,COLUMN())),OFFSET($BN$2,0,0,ROW()-1,60),ROW()-1,FALSE))</f>
        <v/>
      </c>
      <c r="BH445" t="str">
        <f ca="1">IF(AND(ISNUMBER($BH$1108),$B$677=1),$BH$1108,HLOOKUP(INDIRECT(ADDRESS(2,COLUMN())),OFFSET($BN$2,0,0,ROW()-1,60),ROW()-1,FALSE))</f>
        <v/>
      </c>
      <c r="BI445" t="str">
        <f ca="1">IF(AND(ISNUMBER($BI$1108),$B$677=1),$BI$1108,HLOOKUP(INDIRECT(ADDRESS(2,COLUMN())),OFFSET($BN$2,0,0,ROW()-1,60),ROW()-1,FALSE))</f>
        <v/>
      </c>
      <c r="BJ445" t="str">
        <f ca="1">IF(AND(ISNUMBER($BJ$1108),$B$677=1),$BJ$1108,HLOOKUP(INDIRECT(ADDRESS(2,COLUMN())),OFFSET($BN$2,0,0,ROW()-1,60),ROW()-1,FALSE))</f>
        <v/>
      </c>
      <c r="BK445" t="str">
        <f ca="1">IF(AND(ISNUMBER($BK$1108),$B$677=1),$BK$1108,HLOOKUP(INDIRECT(ADDRESS(2,COLUMN())),OFFSET($BN$2,0,0,ROW()-1,60),ROW()-1,FALSE))</f>
        <v/>
      </c>
      <c r="BL445" t="str">
        <f ca="1">IF(AND(ISNUMBER($BL$1108),$B$677=1),$BL$1108,HLOOKUP(INDIRECT(ADDRESS(2,COLUMN())),OFFSET($BN$2,0,0,ROW()-1,60),ROW()-1,FALSE))</f>
        <v/>
      </c>
      <c r="BM445" t="str">
        <f ca="1">IF(AND(ISNUMBER($BM$1108),$B$677=1),$BM$1108,HLOOKUP(INDIRECT(ADDRESS(2,COLUMN())),OFFSET($BN$2,0,0,ROW()-1,60),ROW()-1,FALSE))</f>
        <v/>
      </c>
      <c r="BN445" t="str">
        <f>""</f>
        <v/>
      </c>
      <c r="BO445" t="str">
        <f>""</f>
        <v/>
      </c>
      <c r="BP445" t="str">
        <f>""</f>
        <v/>
      </c>
      <c r="BQ445" t="str">
        <f>""</f>
        <v/>
      </c>
      <c r="BR445" t="str">
        <f>""</f>
        <v/>
      </c>
      <c r="BS445" t="str">
        <f>""</f>
        <v/>
      </c>
      <c r="BT445" t="str">
        <f>""</f>
        <v/>
      </c>
      <c r="BU445" t="str">
        <f>""</f>
        <v/>
      </c>
      <c r="BV445" t="str">
        <f>""</f>
        <v/>
      </c>
      <c r="BW445" t="str">
        <f>""</f>
        <v/>
      </c>
      <c r="BX445" t="str">
        <f>""</f>
        <v/>
      </c>
      <c r="BY445" t="str">
        <f>""</f>
        <v/>
      </c>
      <c r="BZ445" t="str">
        <f>""</f>
        <v/>
      </c>
      <c r="CA445" t="str">
        <f>""</f>
        <v/>
      </c>
      <c r="CB445" t="str">
        <f>""</f>
        <v/>
      </c>
      <c r="CC445" t="str">
        <f>""</f>
        <v/>
      </c>
      <c r="CD445" t="str">
        <f>""</f>
        <v/>
      </c>
      <c r="CE445" t="str">
        <f>""</f>
        <v/>
      </c>
      <c r="CF445" t="str">
        <f>""</f>
        <v/>
      </c>
      <c r="CG445" t="str">
        <f>""</f>
        <v/>
      </c>
      <c r="CH445" t="str">
        <f>""</f>
        <v/>
      </c>
      <c r="CI445" t="str">
        <f>""</f>
        <v/>
      </c>
      <c r="CJ445" t="str">
        <f>""</f>
        <v/>
      </c>
      <c r="CK445" t="str">
        <f>""</f>
        <v/>
      </c>
      <c r="CL445" t="str">
        <f>""</f>
        <v/>
      </c>
      <c r="CM445" t="str">
        <f>""</f>
        <v/>
      </c>
      <c r="CN445" t="str">
        <f>""</f>
        <v/>
      </c>
      <c r="CO445" t="str">
        <f>""</f>
        <v/>
      </c>
      <c r="CP445" t="str">
        <f>""</f>
        <v/>
      </c>
      <c r="CQ445" t="str">
        <f>""</f>
        <v/>
      </c>
      <c r="CR445" t="str">
        <f>""</f>
        <v/>
      </c>
      <c r="CS445" t="str">
        <f>""</f>
        <v/>
      </c>
      <c r="CT445" t="str">
        <f>""</f>
        <v/>
      </c>
      <c r="CU445" t="str">
        <f>""</f>
        <v/>
      </c>
      <c r="CV445" t="str">
        <f>""</f>
        <v/>
      </c>
      <c r="CW445" t="str">
        <f>""</f>
        <v/>
      </c>
      <c r="CX445" t="str">
        <f>""</f>
        <v/>
      </c>
      <c r="CY445" t="str">
        <f>""</f>
        <v/>
      </c>
      <c r="CZ445" t="str">
        <f>""</f>
        <v/>
      </c>
      <c r="DA445" t="str">
        <f>""</f>
        <v/>
      </c>
      <c r="DB445" t="str">
        <f>""</f>
        <v/>
      </c>
      <c r="DC445" t="str">
        <f>""</f>
        <v/>
      </c>
      <c r="DD445" t="str">
        <f>""</f>
        <v/>
      </c>
      <c r="DE445" t="str">
        <f>""</f>
        <v/>
      </c>
      <c r="DF445" t="str">
        <f>""</f>
        <v/>
      </c>
      <c r="DG445" t="str">
        <f>""</f>
        <v/>
      </c>
      <c r="DH445" t="str">
        <f>""</f>
        <v/>
      </c>
      <c r="DI445" t="str">
        <f>""</f>
        <v/>
      </c>
      <c r="DJ445" t="str">
        <f>""</f>
        <v/>
      </c>
      <c r="DK445" t="str">
        <f>""</f>
        <v/>
      </c>
      <c r="DL445" t="str">
        <f>""</f>
        <v/>
      </c>
      <c r="DM445" t="str">
        <f>""</f>
        <v/>
      </c>
      <c r="DN445" t="str">
        <f>""</f>
        <v/>
      </c>
      <c r="DO445" t="str">
        <f>""</f>
        <v/>
      </c>
      <c r="DP445" t="str">
        <f>""</f>
        <v/>
      </c>
      <c r="DQ445" t="str">
        <f>""</f>
        <v/>
      </c>
      <c r="DR445" t="str">
        <f>""</f>
        <v/>
      </c>
      <c r="DS445" t="str">
        <f>""</f>
        <v/>
      </c>
      <c r="DT445" t="str">
        <f>""</f>
        <v/>
      </c>
      <c r="DU445" t="str">
        <f>""</f>
        <v/>
      </c>
    </row>
    <row r="446" spans="1:125" x14ac:dyDescent="0.25">
      <c r="A446" t="str">
        <f>"    Ssangyong Motor Co"</f>
        <v xml:space="preserve">    Ssangyong Motor Co</v>
      </c>
      <c r="B446" t="str">
        <f>"003620 KS Equity"</f>
        <v>003620 KS Equity</v>
      </c>
      <c r="C446" t="str">
        <f t="shared" si="30"/>
        <v>RR477</v>
      </c>
      <c r="D446" t="str">
        <f t="shared" si="31"/>
        <v>EV_TO_T12M_CASH_FLOW</v>
      </c>
      <c r="E446" t="str">
        <f t="shared" si="32"/>
        <v>Dynamic</v>
      </c>
      <c r="F446" t="str">
        <f ca="1">IF(AND(ISNUMBER($F$1109),$B$677=1),$F$1109,HLOOKUP(INDIRECT(ADDRESS(2,COLUMN())),OFFSET($BN$2,0,0,ROW()-1,60),ROW()-1,FALSE))</f>
        <v/>
      </c>
      <c r="G446" t="str">
        <f ca="1">IF(AND(ISNUMBER($G$1109),$B$677=1),$G$1109,HLOOKUP(INDIRECT(ADDRESS(2,COLUMN())),OFFSET($BN$2,0,0,ROW()-1,60),ROW()-1,FALSE))</f>
        <v/>
      </c>
      <c r="H446">
        <f ca="1">IF(AND(ISNUMBER($H$1109),$B$677=1),$H$1109,HLOOKUP(INDIRECT(ADDRESS(2,COLUMN())),OFFSET($BN$2,0,0,ROW()-1,60),ROW()-1,FALSE))</f>
        <v>2.0998596489999999</v>
      </c>
      <c r="I446">
        <f ca="1">IF(AND(ISNUMBER($I$1109),$B$677=1),$I$1109,HLOOKUP(INDIRECT(ADDRESS(2,COLUMN())),OFFSET($BN$2,0,0,ROW()-1,60),ROW()-1,FALSE))</f>
        <v>5.7516339910000003</v>
      </c>
      <c r="J446">
        <f ca="1">IF(AND(ISNUMBER($J$1109),$B$677=1),$J$1109,HLOOKUP(INDIRECT(ADDRESS(2,COLUMN())),OFFSET($BN$2,0,0,ROW()-1,60),ROW()-1,FALSE))</f>
        <v>2.6663886899999998</v>
      </c>
      <c r="K446">
        <f ca="1">IF(AND(ISNUMBER($K$1109),$B$677=1),$K$1109,HLOOKUP(INDIRECT(ADDRESS(2,COLUMN())),OFFSET($BN$2,0,0,ROW()-1,60),ROW()-1,FALSE))</f>
        <v>3.5517387820000001</v>
      </c>
      <c r="L446">
        <f ca="1">IF(AND(ISNUMBER($L$1109),$B$677=1),$L$1109,HLOOKUP(INDIRECT(ADDRESS(2,COLUMN())),OFFSET($BN$2,0,0,ROW()-1,60),ROW()-1,FALSE))</f>
        <v>3.635578653</v>
      </c>
      <c r="M446">
        <f ca="1">IF(AND(ISNUMBER($M$1109),$B$677=1),$M$1109,HLOOKUP(INDIRECT(ADDRESS(2,COLUMN())),OFFSET($BN$2,0,0,ROW()-1,60),ROW()-1,FALSE))</f>
        <v>3.4814474190000002</v>
      </c>
      <c r="N446">
        <f ca="1">IF(AND(ISNUMBER($N$1109),$B$677=1),$N$1109,HLOOKUP(INDIRECT(ADDRESS(2,COLUMN())),OFFSET($BN$2,0,0,ROW()-1,60),ROW()-1,FALSE))</f>
        <v>3.484198181</v>
      </c>
      <c r="O446">
        <f ca="1">IF(AND(ISNUMBER($O$1109),$B$677=1),$O$1109,HLOOKUP(INDIRECT(ADDRESS(2,COLUMN())),OFFSET($BN$2,0,0,ROW()-1,60),ROW()-1,FALSE))</f>
        <v>4.2506703640000003</v>
      </c>
      <c r="P446">
        <f ca="1">IF(AND(ISNUMBER($P$1109),$B$677=1),$P$1109,HLOOKUP(INDIRECT(ADDRESS(2,COLUMN())),OFFSET($BN$2,0,0,ROW()-1,60),ROW()-1,FALSE))</f>
        <v>4.8379151699999996</v>
      </c>
      <c r="Q446">
        <f ca="1">IF(AND(ISNUMBER($Q$1109),$B$677=1),$Q$1109,HLOOKUP(INDIRECT(ADDRESS(2,COLUMN())),OFFSET($BN$2,0,0,ROW()-1,60),ROW()-1,FALSE))</f>
        <v>3.8107377339999999</v>
      </c>
      <c r="R446">
        <f ca="1">IF(AND(ISNUMBER($R$1109),$B$677=1),$R$1109,HLOOKUP(INDIRECT(ADDRESS(2,COLUMN())),OFFSET($BN$2,0,0,ROW()-1,60),ROW()-1,FALSE))</f>
        <v>22.973490609999999</v>
      </c>
      <c r="S446">
        <f ca="1">IF(AND(ISNUMBER($S$1109),$B$677=1),$S$1109,HLOOKUP(INDIRECT(ADDRESS(2,COLUMN())),OFFSET($BN$2,0,0,ROW()-1,60),ROW()-1,FALSE))</f>
        <v>5.2409472150000003</v>
      </c>
      <c r="T446">
        <f ca="1">IF(AND(ISNUMBER($T$1109),$B$677=1),$T$1109,HLOOKUP(INDIRECT(ADDRESS(2,COLUMN())),OFFSET($BN$2,0,0,ROW()-1,60),ROW()-1,FALSE))</f>
        <v>10.65637315</v>
      </c>
      <c r="U446">
        <f ca="1">IF(AND(ISNUMBER($U$1109),$B$677=1),$U$1109,HLOOKUP(INDIRECT(ADDRESS(2,COLUMN())),OFFSET($BN$2,0,0,ROW()-1,60),ROW()-1,FALSE))</f>
        <v>16.590330160000001</v>
      </c>
      <c r="V446">
        <f ca="1">IF(AND(ISNUMBER($V$1109),$B$677=1),$V$1109,HLOOKUP(INDIRECT(ADDRESS(2,COLUMN())),OFFSET($BN$2,0,0,ROW()-1,60),ROW()-1,FALSE))</f>
        <v>10.83005234</v>
      </c>
      <c r="W446">
        <f ca="1">IF(AND(ISNUMBER($W$1109),$B$677=1),$W$1109,HLOOKUP(INDIRECT(ADDRESS(2,COLUMN())),OFFSET($BN$2,0,0,ROW()-1,60),ROW()-1,FALSE))</f>
        <v>18.17131723</v>
      </c>
      <c r="X446">
        <f ca="1">IF(AND(ISNUMBER($X$1109),$B$677=1),$X$1109,HLOOKUP(INDIRECT(ADDRESS(2,COLUMN())),OFFSET($BN$2,0,0,ROW()-1,60),ROW()-1,FALSE))</f>
        <v>6.6370370479999998</v>
      </c>
      <c r="Y446">
        <f ca="1">IF(AND(ISNUMBER($Y$1109),$B$677=1),$Y$1109,HLOOKUP(INDIRECT(ADDRESS(2,COLUMN())),OFFSET($BN$2,0,0,ROW()-1,60),ROW()-1,FALSE))</f>
        <v>38.95201325</v>
      </c>
      <c r="Z446">
        <f ca="1">IF(AND(ISNUMBER($Z$1109),$B$677=1),$Z$1109,HLOOKUP(INDIRECT(ADDRESS(2,COLUMN())),OFFSET($BN$2,0,0,ROW()-1,60),ROW()-1,FALSE))</f>
        <v>6.0654887689999999</v>
      </c>
      <c r="AA446">
        <f ca="1">IF(AND(ISNUMBER($AA$1109),$B$677=1),$AA$1109,HLOOKUP(INDIRECT(ADDRESS(2,COLUMN())),OFFSET($BN$2,0,0,ROW()-1,60),ROW()-1,FALSE))</f>
        <v>2.977754676</v>
      </c>
      <c r="AB446">
        <f ca="1">IF(AND(ISNUMBER($AB$1109),$B$677=1),$AB$1109,HLOOKUP(INDIRECT(ADDRESS(2,COLUMN())),OFFSET($BN$2,0,0,ROW()-1,60),ROW()-1,FALSE))</f>
        <v>6.9175403969999998</v>
      </c>
      <c r="AC446">
        <f ca="1">IF(AND(ISNUMBER($AC$1109),$B$677=1),$AC$1109,HLOOKUP(INDIRECT(ADDRESS(2,COLUMN())),OFFSET($BN$2,0,0,ROW()-1,60),ROW()-1,FALSE))</f>
        <v>2.832490886</v>
      </c>
      <c r="AD446">
        <f ca="1">IF(AND(ISNUMBER($AD$1109),$B$677=1),$AD$1109,HLOOKUP(INDIRECT(ADDRESS(2,COLUMN())),OFFSET($BN$2,0,0,ROW()-1,60),ROW()-1,FALSE))</f>
        <v>2.9206585180000002</v>
      </c>
      <c r="AE446">
        <f ca="1">IF(AND(ISNUMBER($AE$1109),$B$677=1),$AE$1109,HLOOKUP(INDIRECT(ADDRESS(2,COLUMN())),OFFSET($BN$2,0,0,ROW()-1,60),ROW()-1,FALSE))</f>
        <v>3.9355782189999999</v>
      </c>
      <c r="AF446" t="str">
        <f ca="1">IF(AND(ISNUMBER($AF$1109),$B$677=1),$AF$1109,HLOOKUP(INDIRECT(ADDRESS(2,COLUMN())),OFFSET($BN$2,0,0,ROW()-1,60),ROW()-1,FALSE))</f>
        <v/>
      </c>
      <c r="AG446" t="str">
        <f ca="1">IF(AND(ISNUMBER($AG$1109),$B$677=1),$AG$1109,HLOOKUP(INDIRECT(ADDRESS(2,COLUMN())),OFFSET($BN$2,0,0,ROW()-1,60),ROW()-1,FALSE))</f>
        <v/>
      </c>
      <c r="AH446" t="str">
        <f ca="1">IF(AND(ISNUMBER($AH$1109),$B$677=1),$AH$1109,HLOOKUP(INDIRECT(ADDRESS(2,COLUMN())),OFFSET($BN$2,0,0,ROW()-1,60),ROW()-1,FALSE))</f>
        <v/>
      </c>
      <c r="AI446" t="str">
        <f ca="1">IF(AND(ISNUMBER($AI$1109),$B$677=1),$AI$1109,HLOOKUP(INDIRECT(ADDRESS(2,COLUMN())),OFFSET($BN$2,0,0,ROW()-1,60),ROW()-1,FALSE))</f>
        <v/>
      </c>
      <c r="AJ446" t="str">
        <f ca="1">IF(AND(ISNUMBER($AJ$1109),$B$677=1),$AJ$1109,HLOOKUP(INDIRECT(ADDRESS(2,COLUMN())),OFFSET($BN$2,0,0,ROW()-1,60),ROW()-1,FALSE))</f>
        <v/>
      </c>
      <c r="AK446" t="str">
        <f ca="1">IF(AND(ISNUMBER($AK$1109),$B$677=1),$AK$1109,HLOOKUP(INDIRECT(ADDRESS(2,COLUMN())),OFFSET($BN$2,0,0,ROW()-1,60),ROW()-1,FALSE))</f>
        <v/>
      </c>
      <c r="AL446" t="str">
        <f ca="1">IF(AND(ISNUMBER($AL$1109),$B$677=1),$AL$1109,HLOOKUP(INDIRECT(ADDRESS(2,COLUMN())),OFFSET($BN$2,0,0,ROW()-1,60),ROW()-1,FALSE))</f>
        <v/>
      </c>
      <c r="AM446" t="str">
        <f ca="1">IF(AND(ISNUMBER($AM$1109),$B$677=1),$AM$1109,HLOOKUP(INDIRECT(ADDRESS(2,COLUMN())),OFFSET($BN$2,0,0,ROW()-1,60),ROW()-1,FALSE))</f>
        <v/>
      </c>
      <c r="AN446" t="str">
        <f ca="1">IF(AND(ISNUMBER($AN$1109),$B$677=1),$AN$1109,HLOOKUP(INDIRECT(ADDRESS(2,COLUMN())),OFFSET($BN$2,0,0,ROW()-1,60),ROW()-1,FALSE))</f>
        <v/>
      </c>
      <c r="AO446" t="str">
        <f ca="1">IF(AND(ISNUMBER($AO$1109),$B$677=1),$AO$1109,HLOOKUP(INDIRECT(ADDRESS(2,COLUMN())),OFFSET($BN$2,0,0,ROW()-1,60),ROW()-1,FALSE))</f>
        <v/>
      </c>
      <c r="AP446" t="str">
        <f ca="1">IF(AND(ISNUMBER($AP$1109),$B$677=1),$AP$1109,HLOOKUP(INDIRECT(ADDRESS(2,COLUMN())),OFFSET($BN$2,0,0,ROW()-1,60),ROW()-1,FALSE))</f>
        <v/>
      </c>
      <c r="AQ446" t="str">
        <f ca="1">IF(AND(ISNUMBER($AQ$1109),$B$677=1),$AQ$1109,HLOOKUP(INDIRECT(ADDRESS(2,COLUMN())),OFFSET($BN$2,0,0,ROW()-1,60),ROW()-1,FALSE))</f>
        <v/>
      </c>
      <c r="AR446" t="str">
        <f ca="1">IF(AND(ISNUMBER($AR$1109),$B$677=1),$AR$1109,HLOOKUP(INDIRECT(ADDRESS(2,COLUMN())),OFFSET($BN$2,0,0,ROW()-1,60),ROW()-1,FALSE))</f>
        <v/>
      </c>
      <c r="AS446" t="str">
        <f ca="1">IF(AND(ISNUMBER($AS$1109),$B$677=1),$AS$1109,HLOOKUP(INDIRECT(ADDRESS(2,COLUMN())),OFFSET($BN$2,0,0,ROW()-1,60),ROW()-1,FALSE))</f>
        <v/>
      </c>
      <c r="AT446" t="str">
        <f ca="1">IF(AND(ISNUMBER($AT$1109),$B$677=1),$AT$1109,HLOOKUP(INDIRECT(ADDRESS(2,COLUMN())),OFFSET($BN$2,0,0,ROW()-1,60),ROW()-1,FALSE))</f>
        <v/>
      </c>
      <c r="AU446" t="str">
        <f ca="1">IF(AND(ISNUMBER($AU$1109),$B$677=1),$AU$1109,HLOOKUP(INDIRECT(ADDRESS(2,COLUMN())),OFFSET($BN$2,0,0,ROW()-1,60),ROW()-1,FALSE))</f>
        <v/>
      </c>
      <c r="AV446" t="str">
        <f ca="1">IF(AND(ISNUMBER($AV$1109),$B$677=1),$AV$1109,HLOOKUP(INDIRECT(ADDRESS(2,COLUMN())),OFFSET($BN$2,0,0,ROW()-1,60),ROW()-1,FALSE))</f>
        <v/>
      </c>
      <c r="AW446" t="str">
        <f ca="1">IF(AND(ISNUMBER($AW$1109),$B$677=1),$AW$1109,HLOOKUP(INDIRECT(ADDRESS(2,COLUMN())),OFFSET($BN$2,0,0,ROW()-1,60),ROW()-1,FALSE))</f>
        <v/>
      </c>
      <c r="AX446" t="str">
        <f ca="1">IF(AND(ISNUMBER($AX$1109),$B$677=1),$AX$1109,HLOOKUP(INDIRECT(ADDRESS(2,COLUMN())),OFFSET($BN$2,0,0,ROW()-1,60),ROW()-1,FALSE))</f>
        <v/>
      </c>
      <c r="AY446" t="str">
        <f ca="1">IF(AND(ISNUMBER($AY$1109),$B$677=1),$AY$1109,HLOOKUP(INDIRECT(ADDRESS(2,COLUMN())),OFFSET($BN$2,0,0,ROW()-1,60),ROW()-1,FALSE))</f>
        <v/>
      </c>
      <c r="AZ446" t="str">
        <f ca="1">IF(AND(ISNUMBER($AZ$1109),$B$677=1),$AZ$1109,HLOOKUP(INDIRECT(ADDRESS(2,COLUMN())),OFFSET($BN$2,0,0,ROW()-1,60),ROW()-1,FALSE))</f>
        <v/>
      </c>
      <c r="BA446" t="str">
        <f ca="1">IF(AND(ISNUMBER($BA$1109),$B$677=1),$BA$1109,HLOOKUP(INDIRECT(ADDRESS(2,COLUMN())),OFFSET($BN$2,0,0,ROW()-1,60),ROW()-1,FALSE))</f>
        <v/>
      </c>
      <c r="BB446" t="str">
        <f ca="1">IF(AND(ISNUMBER($BB$1109),$B$677=1),$BB$1109,HLOOKUP(INDIRECT(ADDRESS(2,COLUMN())),OFFSET($BN$2,0,0,ROW()-1,60),ROW()-1,FALSE))</f>
        <v/>
      </c>
      <c r="BC446" t="str">
        <f ca="1">IF(AND(ISNUMBER($BC$1109),$B$677=1),$BC$1109,HLOOKUP(INDIRECT(ADDRESS(2,COLUMN())),OFFSET($BN$2,0,0,ROW()-1,60),ROW()-1,FALSE))</f>
        <v/>
      </c>
      <c r="BD446" t="str">
        <f ca="1">IF(AND(ISNUMBER($BD$1109),$B$677=1),$BD$1109,HLOOKUP(INDIRECT(ADDRESS(2,COLUMN())),OFFSET($BN$2,0,0,ROW()-1,60),ROW()-1,FALSE))</f>
        <v/>
      </c>
      <c r="BE446" t="str">
        <f ca="1">IF(AND(ISNUMBER($BE$1109),$B$677=1),$BE$1109,HLOOKUP(INDIRECT(ADDRESS(2,COLUMN())),OFFSET($BN$2,0,0,ROW()-1,60),ROW()-1,FALSE))</f>
        <v/>
      </c>
      <c r="BF446" t="str">
        <f ca="1">IF(AND(ISNUMBER($BF$1109),$B$677=1),$BF$1109,HLOOKUP(INDIRECT(ADDRESS(2,COLUMN())),OFFSET($BN$2,0,0,ROW()-1,60),ROW()-1,FALSE))</f>
        <v/>
      </c>
      <c r="BG446" t="str">
        <f ca="1">IF(AND(ISNUMBER($BG$1109),$B$677=1),$BG$1109,HLOOKUP(INDIRECT(ADDRESS(2,COLUMN())),OFFSET($BN$2,0,0,ROW()-1,60),ROW()-1,FALSE))</f>
        <v/>
      </c>
      <c r="BH446" t="str">
        <f ca="1">IF(AND(ISNUMBER($BH$1109),$B$677=1),$BH$1109,HLOOKUP(INDIRECT(ADDRESS(2,COLUMN())),OFFSET($BN$2,0,0,ROW()-1,60),ROW()-1,FALSE))</f>
        <v/>
      </c>
      <c r="BI446" t="str">
        <f ca="1">IF(AND(ISNUMBER($BI$1109),$B$677=1),$BI$1109,HLOOKUP(INDIRECT(ADDRESS(2,COLUMN())),OFFSET($BN$2,0,0,ROW()-1,60),ROW()-1,FALSE))</f>
        <v/>
      </c>
      <c r="BJ446" t="str">
        <f ca="1">IF(AND(ISNUMBER($BJ$1109),$B$677=1),$BJ$1109,HLOOKUP(INDIRECT(ADDRESS(2,COLUMN())),OFFSET($BN$2,0,0,ROW()-1,60),ROW()-1,FALSE))</f>
        <v/>
      </c>
      <c r="BK446" t="str">
        <f ca="1">IF(AND(ISNUMBER($BK$1109),$B$677=1),$BK$1109,HLOOKUP(INDIRECT(ADDRESS(2,COLUMN())),OFFSET($BN$2,0,0,ROW()-1,60),ROW()-1,FALSE))</f>
        <v/>
      </c>
      <c r="BL446" t="str">
        <f ca="1">IF(AND(ISNUMBER($BL$1109),$B$677=1),$BL$1109,HLOOKUP(INDIRECT(ADDRESS(2,COLUMN())),OFFSET($BN$2,0,0,ROW()-1,60),ROW()-1,FALSE))</f>
        <v/>
      </c>
      <c r="BM446" t="str">
        <f ca="1">IF(AND(ISNUMBER($BM$1109),$B$677=1),$BM$1109,HLOOKUP(INDIRECT(ADDRESS(2,COLUMN())),OFFSET($BN$2,0,0,ROW()-1,60),ROW()-1,FALSE))</f>
        <v/>
      </c>
      <c r="BN446" t="str">
        <f>""</f>
        <v/>
      </c>
      <c r="BO446" t="str">
        <f>""</f>
        <v/>
      </c>
      <c r="BP446">
        <f>2.099859649</f>
        <v>2.0998596489999999</v>
      </c>
      <c r="BQ446">
        <f>5.751633991</f>
        <v>5.7516339910000003</v>
      </c>
      <c r="BR446">
        <f>2.66638869</f>
        <v>2.6663886899999998</v>
      </c>
      <c r="BS446">
        <f>3.551738782</f>
        <v>3.5517387820000001</v>
      </c>
      <c r="BT446">
        <f>3.635578653</f>
        <v>3.635578653</v>
      </c>
      <c r="BU446">
        <f>3.481447419</f>
        <v>3.4814474190000002</v>
      </c>
      <c r="BV446">
        <f>3.484198181</f>
        <v>3.484198181</v>
      </c>
      <c r="BW446">
        <f>4.250670364</f>
        <v>4.2506703640000003</v>
      </c>
      <c r="BX446">
        <f>4.83791517</f>
        <v>4.8379151699999996</v>
      </c>
      <c r="BY446">
        <f>3.810737734</f>
        <v>3.8107377339999999</v>
      </c>
      <c r="BZ446">
        <f>22.97349061</f>
        <v>22.973490609999999</v>
      </c>
      <c r="CA446">
        <f>5.240947215</f>
        <v>5.2409472150000003</v>
      </c>
      <c r="CB446">
        <f>10.65637315</f>
        <v>10.65637315</v>
      </c>
      <c r="CC446">
        <f>16.59033016</f>
        <v>16.590330160000001</v>
      </c>
      <c r="CD446">
        <f>10.83005234</f>
        <v>10.83005234</v>
      </c>
      <c r="CE446">
        <f>18.17131723</f>
        <v>18.17131723</v>
      </c>
      <c r="CF446">
        <f>6.637037048</f>
        <v>6.6370370479999998</v>
      </c>
      <c r="CG446">
        <f>38.95201325</f>
        <v>38.95201325</v>
      </c>
      <c r="CH446">
        <f>6.065488769</f>
        <v>6.0654887689999999</v>
      </c>
      <c r="CI446">
        <f>2.977754676</f>
        <v>2.977754676</v>
      </c>
      <c r="CJ446">
        <f>6.917540397</f>
        <v>6.9175403969999998</v>
      </c>
      <c r="CK446">
        <f>2.832490886</f>
        <v>2.832490886</v>
      </c>
      <c r="CL446">
        <f>2.920658518</f>
        <v>2.9206585180000002</v>
      </c>
      <c r="CM446">
        <f>3.935578219</f>
        <v>3.9355782189999999</v>
      </c>
      <c r="CN446" t="str">
        <f>""</f>
        <v/>
      </c>
      <c r="CO446" t="str">
        <f>""</f>
        <v/>
      </c>
      <c r="CP446" t="str">
        <f>""</f>
        <v/>
      </c>
      <c r="CQ446" t="str">
        <f>""</f>
        <v/>
      </c>
      <c r="CR446" t="str">
        <f>""</f>
        <v/>
      </c>
      <c r="CS446" t="str">
        <f>""</f>
        <v/>
      </c>
      <c r="CT446" t="str">
        <f>""</f>
        <v/>
      </c>
      <c r="CU446" t="str">
        <f>""</f>
        <v/>
      </c>
      <c r="CV446" t="str">
        <f>""</f>
        <v/>
      </c>
      <c r="CW446" t="str">
        <f>""</f>
        <v/>
      </c>
      <c r="CX446" t="str">
        <f>""</f>
        <v/>
      </c>
      <c r="CY446" t="str">
        <f>""</f>
        <v/>
      </c>
      <c r="CZ446" t="str">
        <f>""</f>
        <v/>
      </c>
      <c r="DA446" t="str">
        <f>""</f>
        <v/>
      </c>
      <c r="DB446" t="str">
        <f>""</f>
        <v/>
      </c>
      <c r="DC446" t="str">
        <f>""</f>
        <v/>
      </c>
      <c r="DD446" t="str">
        <f>""</f>
        <v/>
      </c>
      <c r="DE446" t="str">
        <f>""</f>
        <v/>
      </c>
      <c r="DF446" t="str">
        <f>""</f>
        <v/>
      </c>
      <c r="DG446" t="str">
        <f>""</f>
        <v/>
      </c>
      <c r="DH446" t="str">
        <f>""</f>
        <v/>
      </c>
      <c r="DI446" t="str">
        <f>""</f>
        <v/>
      </c>
      <c r="DJ446" t="str">
        <f>""</f>
        <v/>
      </c>
      <c r="DK446" t="str">
        <f>""</f>
        <v/>
      </c>
      <c r="DL446" t="str">
        <f>""</f>
        <v/>
      </c>
      <c r="DM446" t="str">
        <f>""</f>
        <v/>
      </c>
      <c r="DN446" t="str">
        <f>""</f>
        <v/>
      </c>
      <c r="DO446" t="str">
        <f>""</f>
        <v/>
      </c>
      <c r="DP446" t="str">
        <f>""</f>
        <v/>
      </c>
      <c r="DQ446" t="str">
        <f>""</f>
        <v/>
      </c>
      <c r="DR446" t="str">
        <f>""</f>
        <v/>
      </c>
      <c r="DS446" t="str">
        <f>""</f>
        <v/>
      </c>
      <c r="DT446" t="str">
        <f>""</f>
        <v/>
      </c>
      <c r="DU446" t="str">
        <f>""</f>
        <v/>
      </c>
    </row>
    <row r="447" spans="1:125" x14ac:dyDescent="0.25">
      <c r="A447" t="str">
        <f>"    Subaru Corp"</f>
        <v xml:space="preserve">    Subaru Corp</v>
      </c>
      <c r="B447" t="str">
        <f>"7270 JP Equity"</f>
        <v>7270 JP Equity</v>
      </c>
      <c r="C447" t="str">
        <f t="shared" si="30"/>
        <v>RR477</v>
      </c>
      <c r="D447" t="str">
        <f t="shared" si="31"/>
        <v>EV_TO_T12M_CASH_FLOW</v>
      </c>
      <c r="E447" t="str">
        <f t="shared" si="32"/>
        <v>Dynamic</v>
      </c>
      <c r="F447" t="str">
        <f ca="1">IF(AND(ISNUMBER($F$1110),$B$677=1),$F$1110,HLOOKUP(INDIRECT(ADDRESS(2,COLUMN())),OFFSET($BN$2,0,0,ROW()-1,60),ROW()-1,FALSE))</f>
        <v/>
      </c>
      <c r="G447">
        <f ca="1">IF(AND(ISNUMBER($G$1110),$B$677=1),$G$1110,HLOOKUP(INDIRECT(ADDRESS(2,COLUMN())),OFFSET($BN$2,0,0,ROW()-1,60),ROW()-1,FALSE))</f>
        <v>4.4460682729999998</v>
      </c>
      <c r="H447">
        <f ca="1">IF(AND(ISNUMBER($H$1110),$B$677=1),$H$1110,HLOOKUP(INDIRECT(ADDRESS(2,COLUMN())),OFFSET($BN$2,0,0,ROW()-1,60),ROW()-1,FALSE))</f>
        <v>8.0400491209999991</v>
      </c>
      <c r="I447">
        <f ca="1">IF(AND(ISNUMBER($I$1110),$B$677=1),$I$1110,HLOOKUP(INDIRECT(ADDRESS(2,COLUMN())),OFFSET($BN$2,0,0,ROW()-1,60),ROW()-1,FALSE))</f>
        <v>6.3480189180000002</v>
      </c>
      <c r="J447">
        <f ca="1">IF(AND(ISNUMBER($J$1110),$B$677=1),$J$1110,HLOOKUP(INDIRECT(ADDRESS(2,COLUMN())),OFFSET($BN$2,0,0,ROW()-1,60),ROW()-1,FALSE))</f>
        <v>4.8195762110000002</v>
      </c>
      <c r="K447">
        <f ca="1">IF(AND(ISNUMBER($K$1110),$B$677=1),$K$1110,HLOOKUP(INDIRECT(ADDRESS(2,COLUMN())),OFFSET($BN$2,0,0,ROW()-1,60),ROW()-1,FALSE))</f>
        <v>4.9084488610000001</v>
      </c>
      <c r="L447">
        <f ca="1">IF(AND(ISNUMBER($L$1110),$B$677=1),$L$1110,HLOOKUP(INDIRECT(ADDRESS(2,COLUMN())),OFFSET($BN$2,0,0,ROW()-1,60),ROW()-1,FALSE))</f>
        <v>6.2335394260000001</v>
      </c>
      <c r="M447">
        <f ca="1">IF(AND(ISNUMBER($M$1110),$B$677=1),$M$1110,HLOOKUP(INDIRECT(ADDRESS(2,COLUMN())),OFFSET($BN$2,0,0,ROW()-1,60),ROW()-1,FALSE))</f>
        <v>4.7645259390000003</v>
      </c>
      <c r="N447">
        <f ca="1">IF(AND(ISNUMBER($N$1110),$B$677=1),$N$1110,HLOOKUP(INDIRECT(ADDRESS(2,COLUMN())),OFFSET($BN$2,0,0,ROW()-1,60),ROW()-1,FALSE))</f>
        <v>6.6913836130000002</v>
      </c>
      <c r="O447">
        <f ca="1">IF(AND(ISNUMBER($O$1110),$B$677=1),$O$1110,HLOOKUP(INDIRECT(ADDRESS(2,COLUMN())),OFFSET($BN$2,0,0,ROW()-1,60),ROW()-1,FALSE))</f>
        <v>7.3299130339999996</v>
      </c>
      <c r="P447">
        <f ca="1">IF(AND(ISNUMBER($P$1110),$B$677=1),$P$1110,HLOOKUP(INDIRECT(ADDRESS(2,COLUMN())),OFFSET($BN$2,0,0,ROW()-1,60),ROW()-1,FALSE))</f>
        <v>3.8866636159999999</v>
      </c>
      <c r="Q447">
        <f ca="1">IF(AND(ISNUMBER($Q$1110),$B$677=1),$Q$1110,HLOOKUP(INDIRECT(ADDRESS(2,COLUMN())),OFFSET($BN$2,0,0,ROW()-1,60),ROW()-1,FALSE))</f>
        <v>3.4256592530000001</v>
      </c>
      <c r="R447">
        <f ca="1">IF(AND(ISNUMBER($R$1110),$B$677=1),$R$1110,HLOOKUP(INDIRECT(ADDRESS(2,COLUMN())),OFFSET($BN$2,0,0,ROW()-1,60),ROW()-1,FALSE))</f>
        <v>3.7033851520000001</v>
      </c>
      <c r="S447">
        <f ca="1">IF(AND(ISNUMBER($S$1110),$B$677=1),$S$1110,HLOOKUP(INDIRECT(ADDRESS(2,COLUMN())),OFFSET($BN$2,0,0,ROW()-1,60),ROW()-1,FALSE))</f>
        <v>5.6665386790000003</v>
      </c>
      <c r="T447">
        <f ca="1">IF(AND(ISNUMBER($T$1110),$B$677=1),$T$1110,HLOOKUP(INDIRECT(ADDRESS(2,COLUMN())),OFFSET($BN$2,0,0,ROW()-1,60),ROW()-1,FALSE))</f>
        <v>5.8645432880000001</v>
      </c>
      <c r="U447">
        <f ca="1">IF(AND(ISNUMBER($U$1110),$B$677=1),$U$1110,HLOOKUP(INDIRECT(ADDRESS(2,COLUMN())),OFFSET($BN$2,0,0,ROW()-1,60),ROW()-1,FALSE))</f>
        <v>7.1129166640000001</v>
      </c>
      <c r="V447">
        <f ca="1">IF(AND(ISNUMBER($V$1110),$B$677=1),$V$1110,HLOOKUP(INDIRECT(ADDRESS(2,COLUMN())),OFFSET($BN$2,0,0,ROW()-1,60),ROW()-1,FALSE))</f>
        <v>8.5694641249999997</v>
      </c>
      <c r="W447">
        <f ca="1">IF(AND(ISNUMBER($W$1110),$B$677=1),$W$1110,HLOOKUP(INDIRECT(ADDRESS(2,COLUMN())),OFFSET($BN$2,0,0,ROW()-1,60),ROW()-1,FALSE))</f>
        <v>11.100821829999999</v>
      </c>
      <c r="X447">
        <f ca="1">IF(AND(ISNUMBER($X$1110),$B$677=1),$X$1110,HLOOKUP(INDIRECT(ADDRESS(2,COLUMN())),OFFSET($BN$2,0,0,ROW()-1,60),ROW()-1,FALSE))</f>
        <v>8.4889833849999992</v>
      </c>
      <c r="Y447">
        <f ca="1">IF(AND(ISNUMBER($Y$1110),$B$677=1),$Y$1110,HLOOKUP(INDIRECT(ADDRESS(2,COLUMN())),OFFSET($BN$2,0,0,ROW()-1,60),ROW()-1,FALSE))</f>
        <v>7.9388533150000002</v>
      </c>
      <c r="Z447">
        <f ca="1">IF(AND(ISNUMBER($Z$1110),$B$677=1),$Z$1110,HLOOKUP(INDIRECT(ADDRESS(2,COLUMN())),OFFSET($BN$2,0,0,ROW()-1,60),ROW()-1,FALSE))</f>
        <v>5.9843024690000002</v>
      </c>
      <c r="AA447">
        <f ca="1">IF(AND(ISNUMBER($AA$1110),$B$677=1),$AA$1110,HLOOKUP(INDIRECT(ADDRESS(2,COLUMN())),OFFSET($BN$2,0,0,ROW()-1,60),ROW()-1,FALSE))</f>
        <v>7.6139914089999996</v>
      </c>
      <c r="AB447">
        <f ca="1">IF(AND(ISNUMBER($AB$1110),$B$677=1),$AB$1110,HLOOKUP(INDIRECT(ADDRESS(2,COLUMN())),OFFSET($BN$2,0,0,ROW()-1,60),ROW()-1,FALSE))</f>
        <v>9.1365294890000008</v>
      </c>
      <c r="AC447">
        <f ca="1">IF(AND(ISNUMBER($AC$1110),$B$677=1),$AC$1110,HLOOKUP(INDIRECT(ADDRESS(2,COLUMN())),OFFSET($BN$2,0,0,ROW()-1,60),ROW()-1,FALSE))</f>
        <v>9.1484926980000001</v>
      </c>
      <c r="AD447">
        <f ca="1">IF(AND(ISNUMBER($AD$1110),$B$677=1),$AD$1110,HLOOKUP(INDIRECT(ADDRESS(2,COLUMN())),OFFSET($BN$2,0,0,ROW()-1,60),ROW()-1,FALSE))</f>
        <v>6.6119979009999996</v>
      </c>
      <c r="AE447">
        <f ca="1">IF(AND(ISNUMBER($AE$1110),$B$677=1),$AE$1110,HLOOKUP(INDIRECT(ADDRESS(2,COLUMN())),OFFSET($BN$2,0,0,ROW()-1,60),ROW()-1,FALSE))</f>
        <v>5.0500249430000004</v>
      </c>
      <c r="AF447">
        <f ca="1">IF(AND(ISNUMBER($AF$1110),$B$677=1),$AF$1110,HLOOKUP(INDIRECT(ADDRESS(2,COLUMN())),OFFSET($BN$2,0,0,ROW()-1,60),ROW()-1,FALSE))</f>
        <v>2.8698988750000001</v>
      </c>
      <c r="AG447">
        <f ca="1">IF(AND(ISNUMBER($AG$1110),$B$677=1),$AG$1110,HLOOKUP(INDIRECT(ADDRESS(2,COLUMN())),OFFSET($BN$2,0,0,ROW()-1,60),ROW()-1,FALSE))</f>
        <v>4.7612077409999998</v>
      </c>
      <c r="AH447">
        <f ca="1">IF(AND(ISNUMBER($AH$1110),$B$677=1),$AH$1110,HLOOKUP(INDIRECT(ADDRESS(2,COLUMN())),OFFSET($BN$2,0,0,ROW()-1,60),ROW()-1,FALSE))</f>
        <v>10.8921942</v>
      </c>
      <c r="AI447">
        <f ca="1">IF(AND(ISNUMBER($AI$1110),$B$677=1),$AI$1110,HLOOKUP(INDIRECT(ADDRESS(2,COLUMN())),OFFSET($BN$2,0,0,ROW()-1,60),ROW()-1,FALSE))</f>
        <v>7.9957140969999996</v>
      </c>
      <c r="AJ447">
        <f ca="1">IF(AND(ISNUMBER($AJ$1110),$B$677=1),$AJ$1110,HLOOKUP(INDIRECT(ADDRESS(2,COLUMN())),OFFSET($BN$2,0,0,ROW()-1,60),ROW()-1,FALSE))</f>
        <v>12.14583799</v>
      </c>
      <c r="AK447">
        <f ca="1">IF(AND(ISNUMBER($AK$1110),$B$677=1),$AK$1110,HLOOKUP(INDIRECT(ADDRESS(2,COLUMN())),OFFSET($BN$2,0,0,ROW()-1,60),ROW()-1,FALSE))</f>
        <v>6.8627534739999998</v>
      </c>
      <c r="AL447">
        <f ca="1">IF(AND(ISNUMBER($AL$1110),$B$677=1),$AL$1110,HLOOKUP(INDIRECT(ADDRESS(2,COLUMN())),OFFSET($BN$2,0,0,ROW()-1,60),ROW()-1,FALSE))</f>
        <v>3.7781524659999999</v>
      </c>
      <c r="AM447">
        <f ca="1">IF(AND(ISNUMBER($AM$1110),$B$677=1),$AM$1110,HLOOKUP(INDIRECT(ADDRESS(2,COLUMN())),OFFSET($BN$2,0,0,ROW()-1,60),ROW()-1,FALSE))</f>
        <v>4.4508215709999996</v>
      </c>
      <c r="AN447">
        <f ca="1">IF(AND(ISNUMBER($AN$1110),$B$677=1),$AN$1110,HLOOKUP(INDIRECT(ADDRESS(2,COLUMN())),OFFSET($BN$2,0,0,ROW()-1,60),ROW()-1,FALSE))</f>
        <v>3.3074381270000002</v>
      </c>
      <c r="AO447">
        <f ca="1">IF(AND(ISNUMBER($AO$1110),$B$677=1),$AO$1110,HLOOKUP(INDIRECT(ADDRESS(2,COLUMN())),OFFSET($BN$2,0,0,ROW()-1,60),ROW()-1,FALSE))</f>
        <v>3.1727538709999998</v>
      </c>
      <c r="AP447">
        <f ca="1">IF(AND(ISNUMBER($AP$1110),$B$677=1),$AP$1110,HLOOKUP(INDIRECT(ADDRESS(2,COLUMN())),OFFSET($BN$2,0,0,ROW()-1,60),ROW()-1,FALSE))</f>
        <v>3.228603777</v>
      </c>
      <c r="AQ447">
        <f ca="1">IF(AND(ISNUMBER($AQ$1110),$B$677=1),$AQ$1110,HLOOKUP(INDIRECT(ADDRESS(2,COLUMN())),OFFSET($BN$2,0,0,ROW()-1,60),ROW()-1,FALSE))</f>
        <v>7.473148514</v>
      </c>
      <c r="AR447">
        <f ca="1">IF(AND(ISNUMBER($AR$1110),$B$677=1),$AR$1110,HLOOKUP(INDIRECT(ADDRESS(2,COLUMN())),OFFSET($BN$2,0,0,ROW()-1,60),ROW()-1,FALSE))</f>
        <v>8.7365436509999999</v>
      </c>
      <c r="AS447">
        <f ca="1">IF(AND(ISNUMBER($AS$1110),$B$677=1),$AS$1110,HLOOKUP(INDIRECT(ADDRESS(2,COLUMN())),OFFSET($BN$2,0,0,ROW()-1,60),ROW()-1,FALSE))</f>
        <v>24.534452739999999</v>
      </c>
      <c r="AT447" t="str">
        <f ca="1">IF(AND(ISNUMBER($AT$1110),$B$677=1),$AT$1110,HLOOKUP(INDIRECT(ADDRESS(2,COLUMN())),OFFSET($BN$2,0,0,ROW()-1,60),ROW()-1,FALSE))</f>
        <v/>
      </c>
      <c r="AU447" t="str">
        <f ca="1">IF(AND(ISNUMBER($AU$1110),$B$677=1),$AU$1110,HLOOKUP(INDIRECT(ADDRESS(2,COLUMN())),OFFSET($BN$2,0,0,ROW()-1,60),ROW()-1,FALSE))</f>
        <v/>
      </c>
      <c r="AV447" t="str">
        <f ca="1">IF(AND(ISNUMBER($AV$1110),$B$677=1),$AV$1110,HLOOKUP(INDIRECT(ADDRESS(2,COLUMN())),OFFSET($BN$2,0,0,ROW()-1,60),ROW()-1,FALSE))</f>
        <v/>
      </c>
      <c r="AW447" t="str">
        <f ca="1">IF(AND(ISNUMBER($AW$1110),$B$677=1),$AW$1110,HLOOKUP(INDIRECT(ADDRESS(2,COLUMN())),OFFSET($BN$2,0,0,ROW()-1,60),ROW()-1,FALSE))</f>
        <v/>
      </c>
      <c r="AX447" t="str">
        <f ca="1">IF(AND(ISNUMBER($AX$1110),$B$677=1),$AX$1110,HLOOKUP(INDIRECT(ADDRESS(2,COLUMN())),OFFSET($BN$2,0,0,ROW()-1,60),ROW()-1,FALSE))</f>
        <v/>
      </c>
      <c r="AY447" t="str">
        <f ca="1">IF(AND(ISNUMBER($AY$1110),$B$677=1),$AY$1110,HLOOKUP(INDIRECT(ADDRESS(2,COLUMN())),OFFSET($BN$2,0,0,ROW()-1,60),ROW()-1,FALSE))</f>
        <v/>
      </c>
      <c r="AZ447" t="str">
        <f ca="1">IF(AND(ISNUMBER($AZ$1110),$B$677=1),$AZ$1110,HLOOKUP(INDIRECT(ADDRESS(2,COLUMN())),OFFSET($BN$2,0,0,ROW()-1,60),ROW()-1,FALSE))</f>
        <v/>
      </c>
      <c r="BA447" t="str">
        <f ca="1">IF(AND(ISNUMBER($BA$1110),$B$677=1),$BA$1110,HLOOKUP(INDIRECT(ADDRESS(2,COLUMN())),OFFSET($BN$2,0,0,ROW()-1,60),ROW()-1,FALSE))</f>
        <v/>
      </c>
      <c r="BB447" t="str">
        <f ca="1">IF(AND(ISNUMBER($BB$1110),$B$677=1),$BB$1110,HLOOKUP(INDIRECT(ADDRESS(2,COLUMN())),OFFSET($BN$2,0,0,ROW()-1,60),ROW()-1,FALSE))</f>
        <v/>
      </c>
      <c r="BC447" t="str">
        <f ca="1">IF(AND(ISNUMBER($BC$1110),$B$677=1),$BC$1110,HLOOKUP(INDIRECT(ADDRESS(2,COLUMN())),OFFSET($BN$2,0,0,ROW()-1,60),ROW()-1,FALSE))</f>
        <v/>
      </c>
      <c r="BD447" t="str">
        <f ca="1">IF(AND(ISNUMBER($BD$1110),$B$677=1),$BD$1110,HLOOKUP(INDIRECT(ADDRESS(2,COLUMN())),OFFSET($BN$2,0,0,ROW()-1,60),ROW()-1,FALSE))</f>
        <v/>
      </c>
      <c r="BE447" t="str">
        <f ca="1">IF(AND(ISNUMBER($BE$1110),$B$677=1),$BE$1110,HLOOKUP(INDIRECT(ADDRESS(2,COLUMN())),OFFSET($BN$2,0,0,ROW()-1,60),ROW()-1,FALSE))</f>
        <v/>
      </c>
      <c r="BF447" t="str">
        <f ca="1">IF(AND(ISNUMBER($BF$1110),$B$677=1),$BF$1110,HLOOKUP(INDIRECT(ADDRESS(2,COLUMN())),OFFSET($BN$2,0,0,ROW()-1,60),ROW()-1,FALSE))</f>
        <v/>
      </c>
      <c r="BG447" t="str">
        <f ca="1">IF(AND(ISNUMBER($BG$1110),$B$677=1),$BG$1110,HLOOKUP(INDIRECT(ADDRESS(2,COLUMN())),OFFSET($BN$2,0,0,ROW()-1,60),ROW()-1,FALSE))</f>
        <v/>
      </c>
      <c r="BH447" t="str">
        <f ca="1">IF(AND(ISNUMBER($BH$1110),$B$677=1),$BH$1110,HLOOKUP(INDIRECT(ADDRESS(2,COLUMN())),OFFSET($BN$2,0,0,ROW()-1,60),ROW()-1,FALSE))</f>
        <v/>
      </c>
      <c r="BI447" t="str">
        <f ca="1">IF(AND(ISNUMBER($BI$1110),$B$677=1),$BI$1110,HLOOKUP(INDIRECT(ADDRESS(2,COLUMN())),OFFSET($BN$2,0,0,ROW()-1,60),ROW()-1,FALSE))</f>
        <v/>
      </c>
      <c r="BJ447" t="str">
        <f ca="1">IF(AND(ISNUMBER($BJ$1110),$B$677=1),$BJ$1110,HLOOKUP(INDIRECT(ADDRESS(2,COLUMN())),OFFSET($BN$2,0,0,ROW()-1,60),ROW()-1,FALSE))</f>
        <v/>
      </c>
      <c r="BK447" t="str">
        <f ca="1">IF(AND(ISNUMBER($BK$1110),$B$677=1),$BK$1110,HLOOKUP(INDIRECT(ADDRESS(2,COLUMN())),OFFSET($BN$2,0,0,ROW()-1,60),ROW()-1,FALSE))</f>
        <v/>
      </c>
      <c r="BL447" t="str">
        <f ca="1">IF(AND(ISNUMBER($BL$1110),$B$677=1),$BL$1110,HLOOKUP(INDIRECT(ADDRESS(2,COLUMN())),OFFSET($BN$2,0,0,ROW()-1,60),ROW()-1,FALSE))</f>
        <v/>
      </c>
      <c r="BM447" t="str">
        <f ca="1">IF(AND(ISNUMBER($BM$1110),$B$677=1),$BM$1110,HLOOKUP(INDIRECT(ADDRESS(2,COLUMN())),OFFSET($BN$2,0,0,ROW()-1,60),ROW()-1,FALSE))</f>
        <v/>
      </c>
      <c r="BN447" t="str">
        <f>""</f>
        <v/>
      </c>
      <c r="BO447">
        <f>4.446068273</f>
        <v>4.4460682729999998</v>
      </c>
      <c r="BP447">
        <f>8.040049121</f>
        <v>8.0400491209999991</v>
      </c>
      <c r="BQ447">
        <f>6.348018918</f>
        <v>6.3480189180000002</v>
      </c>
      <c r="BR447">
        <f>4.819576211</f>
        <v>4.8195762110000002</v>
      </c>
      <c r="BS447">
        <f>4.908448861</f>
        <v>4.9084488610000001</v>
      </c>
      <c r="BT447">
        <f>6.233539426</f>
        <v>6.2335394260000001</v>
      </c>
      <c r="BU447">
        <f>4.764525939</f>
        <v>4.7645259390000003</v>
      </c>
      <c r="BV447">
        <f>6.691383613</f>
        <v>6.6913836130000002</v>
      </c>
      <c r="BW447">
        <f>7.329913034</f>
        <v>7.3299130339999996</v>
      </c>
      <c r="BX447">
        <f>3.886663616</f>
        <v>3.8866636159999999</v>
      </c>
      <c r="BY447">
        <f>3.425659253</f>
        <v>3.4256592530000001</v>
      </c>
      <c r="BZ447">
        <f>3.703385152</f>
        <v>3.7033851520000001</v>
      </c>
      <c r="CA447">
        <f>5.666538679</f>
        <v>5.6665386790000003</v>
      </c>
      <c r="CB447">
        <f>5.864543288</f>
        <v>5.8645432880000001</v>
      </c>
      <c r="CC447">
        <f>7.112916664</f>
        <v>7.1129166640000001</v>
      </c>
      <c r="CD447">
        <f>8.569464125</f>
        <v>8.5694641249999997</v>
      </c>
      <c r="CE447">
        <f>11.10082183</f>
        <v>11.100821829999999</v>
      </c>
      <c r="CF447">
        <f>8.488983385</f>
        <v>8.4889833849999992</v>
      </c>
      <c r="CG447">
        <f>7.938853315</f>
        <v>7.9388533150000002</v>
      </c>
      <c r="CH447">
        <f>5.984302469</f>
        <v>5.9843024690000002</v>
      </c>
      <c r="CI447">
        <f>7.613991409</f>
        <v>7.6139914089999996</v>
      </c>
      <c r="CJ447">
        <f>9.136529489</f>
        <v>9.1365294890000008</v>
      </c>
      <c r="CK447">
        <f>9.148492698</f>
        <v>9.1484926980000001</v>
      </c>
      <c r="CL447">
        <f>6.611997901</f>
        <v>6.6119979009999996</v>
      </c>
      <c r="CM447">
        <f>5.050024943</f>
        <v>5.0500249430000004</v>
      </c>
      <c r="CN447">
        <f>2.869898875</f>
        <v>2.8698988750000001</v>
      </c>
      <c r="CO447">
        <f>4.761207741</f>
        <v>4.7612077409999998</v>
      </c>
      <c r="CP447">
        <f>10.8921942</f>
        <v>10.8921942</v>
      </c>
      <c r="CQ447">
        <f>7.995714097</f>
        <v>7.9957140969999996</v>
      </c>
      <c r="CR447">
        <f>12.14583799</f>
        <v>12.14583799</v>
      </c>
      <c r="CS447">
        <f>6.862753474</f>
        <v>6.8627534739999998</v>
      </c>
      <c r="CT447">
        <f>3.778152466</f>
        <v>3.7781524659999999</v>
      </c>
      <c r="CU447">
        <f>4.450821571</f>
        <v>4.4508215709999996</v>
      </c>
      <c r="CV447">
        <f>3.307438127</f>
        <v>3.3074381270000002</v>
      </c>
      <c r="CW447">
        <f>3.172753871</f>
        <v>3.1727538709999998</v>
      </c>
      <c r="CX447">
        <f>3.228603777</f>
        <v>3.228603777</v>
      </c>
      <c r="CY447">
        <f>7.473148514</f>
        <v>7.473148514</v>
      </c>
      <c r="CZ447">
        <f>8.736543651</f>
        <v>8.7365436509999999</v>
      </c>
      <c r="DA447">
        <f>24.53445274</f>
        <v>24.534452739999999</v>
      </c>
      <c r="DB447" t="str">
        <f>""</f>
        <v/>
      </c>
      <c r="DC447" t="str">
        <f>""</f>
        <v/>
      </c>
      <c r="DD447" t="str">
        <f>""</f>
        <v/>
      </c>
      <c r="DE447" t="str">
        <f>""</f>
        <v/>
      </c>
      <c r="DF447" t="str">
        <f>""</f>
        <v/>
      </c>
      <c r="DG447" t="str">
        <f>""</f>
        <v/>
      </c>
      <c r="DH447" t="str">
        <f>""</f>
        <v/>
      </c>
      <c r="DI447" t="str">
        <f>""</f>
        <v/>
      </c>
      <c r="DJ447" t="str">
        <f>""</f>
        <v/>
      </c>
      <c r="DK447" t="str">
        <f>""</f>
        <v/>
      </c>
      <c r="DL447" t="str">
        <f>""</f>
        <v/>
      </c>
      <c r="DM447" t="str">
        <f>""</f>
        <v/>
      </c>
      <c r="DN447" t="str">
        <f>""</f>
        <v/>
      </c>
      <c r="DO447" t="str">
        <f>""</f>
        <v/>
      </c>
      <c r="DP447" t="str">
        <f>""</f>
        <v/>
      </c>
      <c r="DQ447" t="str">
        <f>""</f>
        <v/>
      </c>
      <c r="DR447" t="str">
        <f>""</f>
        <v/>
      </c>
      <c r="DS447" t="str">
        <f>""</f>
        <v/>
      </c>
      <c r="DT447" t="str">
        <f>""</f>
        <v/>
      </c>
      <c r="DU447" t="str">
        <f>""</f>
        <v/>
      </c>
    </row>
    <row r="448" spans="1:125" x14ac:dyDescent="0.25">
      <c r="A448" t="str">
        <f>"    Suzuki Motor Corp"</f>
        <v xml:space="preserve">    Suzuki Motor Corp</v>
      </c>
      <c r="B448" t="str">
        <f>"7269 JP Equity"</f>
        <v>7269 JP Equity</v>
      </c>
      <c r="C448" t="str">
        <f t="shared" si="30"/>
        <v>RR477</v>
      </c>
      <c r="D448" t="str">
        <f t="shared" si="31"/>
        <v>EV_TO_T12M_CASH_FLOW</v>
      </c>
      <c r="E448" t="str">
        <f t="shared" si="32"/>
        <v>Dynamic</v>
      </c>
      <c r="F448" t="str">
        <f ca="1">IF(AND(ISNUMBER($F$1111),$B$677=1),$F$1111,HLOOKUP(INDIRECT(ADDRESS(2,COLUMN())),OFFSET($BN$2,0,0,ROW()-1,60),ROW()-1,FALSE))</f>
        <v/>
      </c>
      <c r="G448">
        <f ca="1">IF(AND(ISNUMBER($G$1111),$B$677=1),$G$1111,HLOOKUP(INDIRECT(ADDRESS(2,COLUMN())),OFFSET($BN$2,0,0,ROW()-1,60),ROW()-1,FALSE))</f>
        <v>6.1894145509999996</v>
      </c>
      <c r="H448">
        <f ca="1">IF(AND(ISNUMBER($H$1111),$B$677=1),$H$1111,HLOOKUP(INDIRECT(ADDRESS(2,COLUMN())),OFFSET($BN$2,0,0,ROW()-1,60),ROW()-1,FALSE))</f>
        <v>6.6166255669999998</v>
      </c>
      <c r="I448">
        <f ca="1">IF(AND(ISNUMBER($I$1111),$B$677=1),$I$1111,HLOOKUP(INDIRECT(ADDRESS(2,COLUMN())),OFFSET($BN$2,0,0,ROW()-1,60),ROW()-1,FALSE))</f>
        <v>5.477300037</v>
      </c>
      <c r="J448">
        <f ca="1">IF(AND(ISNUMBER($J$1111),$B$677=1),$J$1111,HLOOKUP(INDIRECT(ADDRESS(2,COLUMN())),OFFSET($BN$2,0,0,ROW()-1,60),ROW()-1,FALSE))</f>
        <v>5.5546215840000004</v>
      </c>
      <c r="K448">
        <f ca="1">IF(AND(ISNUMBER($K$1111),$B$677=1),$K$1111,HLOOKUP(INDIRECT(ADDRESS(2,COLUMN())),OFFSET($BN$2,0,0,ROW()-1,60),ROW()-1,FALSE))</f>
        <v>7.1714832739999999</v>
      </c>
      <c r="L448">
        <f ca="1">IF(AND(ISNUMBER($L$1111),$B$677=1),$L$1111,HLOOKUP(INDIRECT(ADDRESS(2,COLUMN())),OFFSET($BN$2,0,0,ROW()-1,60),ROW()-1,FALSE))</f>
        <v>6.0376114660000004</v>
      </c>
      <c r="M448">
        <f ca="1">IF(AND(ISNUMBER($M$1111),$B$677=1),$M$1111,HLOOKUP(INDIRECT(ADDRESS(2,COLUMN())),OFFSET($BN$2,0,0,ROW()-1,60),ROW()-1,FALSE))</f>
        <v>7.1301329109999996</v>
      </c>
      <c r="N448">
        <f ca="1">IF(AND(ISNUMBER($N$1111),$B$677=1),$N$1111,HLOOKUP(INDIRECT(ADDRESS(2,COLUMN())),OFFSET($BN$2,0,0,ROW()-1,60),ROW()-1,FALSE))</f>
        <v>5.2579886460000003</v>
      </c>
      <c r="O448">
        <f ca="1">IF(AND(ISNUMBER($O$1111),$B$677=1),$O$1111,HLOOKUP(INDIRECT(ADDRESS(2,COLUMN())),OFFSET($BN$2,0,0,ROW()-1,60),ROW()-1,FALSE))</f>
        <v>4.5985675009999998</v>
      </c>
      <c r="P448">
        <f ca="1">IF(AND(ISNUMBER($P$1111),$B$677=1),$P$1111,HLOOKUP(INDIRECT(ADDRESS(2,COLUMN())),OFFSET($BN$2,0,0,ROW()-1,60),ROW()-1,FALSE))</f>
        <v>3.356012303</v>
      </c>
      <c r="Q448">
        <f ca="1">IF(AND(ISNUMBER($Q$1111),$B$677=1),$Q$1111,HLOOKUP(INDIRECT(ADDRESS(2,COLUMN())),OFFSET($BN$2,0,0,ROW()-1,60),ROW()-1,FALSE))</f>
        <v>3.5151972370000002</v>
      </c>
      <c r="R448">
        <f ca="1">IF(AND(ISNUMBER($R$1111),$B$677=1),$R$1111,HLOOKUP(INDIRECT(ADDRESS(2,COLUMN())),OFFSET($BN$2,0,0,ROW()-1,60),ROW()-1,FALSE))</f>
        <v>4.497579258</v>
      </c>
      <c r="S448">
        <f ca="1">IF(AND(ISNUMBER($S$1111),$B$677=1),$S$1111,HLOOKUP(INDIRECT(ADDRESS(2,COLUMN())),OFFSET($BN$2,0,0,ROW()-1,60),ROW()-1,FALSE))</f>
        <v>5.6717953259999998</v>
      </c>
      <c r="T448">
        <f ca="1">IF(AND(ISNUMBER($T$1111),$B$677=1),$T$1111,HLOOKUP(INDIRECT(ADDRESS(2,COLUMN())),OFFSET($BN$2,0,0,ROW()-1,60),ROW()-1,FALSE))</f>
        <v>7.1048607370000001</v>
      </c>
      <c r="U448">
        <f ca="1">IF(AND(ISNUMBER($U$1111),$B$677=1),$U$1111,HLOOKUP(INDIRECT(ADDRESS(2,COLUMN())),OFFSET($BN$2,0,0,ROW()-1,60),ROW()-1,FALSE))</f>
        <v>6.3517769709999996</v>
      </c>
      <c r="V448">
        <f ca="1">IF(AND(ISNUMBER($V$1111),$B$677=1),$V$1111,HLOOKUP(INDIRECT(ADDRESS(2,COLUMN())),OFFSET($BN$2,0,0,ROW()-1,60),ROW()-1,FALSE))</f>
        <v>6.5516068929999998</v>
      </c>
      <c r="W448">
        <f ca="1">IF(AND(ISNUMBER($W$1111),$B$677=1),$W$1111,HLOOKUP(INDIRECT(ADDRESS(2,COLUMN())),OFFSET($BN$2,0,0,ROW()-1,60),ROW()-1,FALSE))</f>
        <v>7.9636557549999996</v>
      </c>
      <c r="X448">
        <f ca="1">IF(AND(ISNUMBER($X$1111),$B$677=1),$X$1111,HLOOKUP(INDIRECT(ADDRESS(2,COLUMN())),OFFSET($BN$2,0,0,ROW()-1,60),ROW()-1,FALSE))</f>
        <v>6.6831532280000001</v>
      </c>
      <c r="Y448">
        <f ca="1">IF(AND(ISNUMBER($Y$1111),$B$677=1),$Y$1111,HLOOKUP(INDIRECT(ADDRESS(2,COLUMN())),OFFSET($BN$2,0,0,ROW()-1,60),ROW()-1,FALSE))</f>
        <v>5.0354454899999999</v>
      </c>
      <c r="Z448">
        <f ca="1">IF(AND(ISNUMBER($Z$1111),$B$677=1),$Z$1111,HLOOKUP(INDIRECT(ADDRESS(2,COLUMN())),OFFSET($BN$2,0,0,ROW()-1,60),ROW()-1,FALSE))</f>
        <v>3.6123855960000002</v>
      </c>
      <c r="AA448">
        <f ca="1">IF(AND(ISNUMBER($AA$1111),$B$677=1),$AA$1111,HLOOKUP(INDIRECT(ADDRESS(2,COLUMN())),OFFSET($BN$2,0,0,ROW()-1,60),ROW()-1,FALSE))</f>
        <v>4.0221075810000002</v>
      </c>
      <c r="AB448">
        <f ca="1">IF(AND(ISNUMBER($AB$1111),$B$677=1),$AB$1111,HLOOKUP(INDIRECT(ADDRESS(2,COLUMN())),OFFSET($BN$2,0,0,ROW()-1,60),ROW()-1,FALSE))</f>
        <v>3.7044249749999998</v>
      </c>
      <c r="AC448">
        <f ca="1">IF(AND(ISNUMBER($AC$1111),$B$677=1),$AC$1111,HLOOKUP(INDIRECT(ADDRESS(2,COLUMN())),OFFSET($BN$2,0,0,ROW()-1,60),ROW()-1,FALSE))</f>
        <v>5.1015708010000003</v>
      </c>
      <c r="AD448">
        <f ca="1">IF(AND(ISNUMBER($AD$1111),$B$677=1),$AD$1111,HLOOKUP(INDIRECT(ADDRESS(2,COLUMN())),OFFSET($BN$2,0,0,ROW()-1,60),ROW()-1,FALSE))</f>
        <v>4.9318325669999998</v>
      </c>
      <c r="AE448">
        <f ca="1">IF(AND(ISNUMBER($AE$1111),$B$677=1),$AE$1111,HLOOKUP(INDIRECT(ADDRESS(2,COLUMN())),OFFSET($BN$2,0,0,ROW()-1,60),ROW()-1,FALSE))</f>
        <v>6.6181752969999996</v>
      </c>
      <c r="AF448">
        <f ca="1">IF(AND(ISNUMBER($AF$1111),$B$677=1),$AF$1111,HLOOKUP(INDIRECT(ADDRESS(2,COLUMN())),OFFSET($BN$2,0,0,ROW()-1,60),ROW()-1,FALSE))</f>
        <v>3.1370359699999999</v>
      </c>
      <c r="AG448">
        <f ca="1">IF(AND(ISNUMBER($AG$1111),$B$677=1),$AG$1111,HLOOKUP(INDIRECT(ADDRESS(2,COLUMN())),OFFSET($BN$2,0,0,ROW()-1,60),ROW()-1,FALSE))</f>
        <v>2.6608480600000002</v>
      </c>
      <c r="AH448">
        <f ca="1">IF(AND(ISNUMBER($AH$1111),$B$677=1),$AH$1111,HLOOKUP(INDIRECT(ADDRESS(2,COLUMN())),OFFSET($BN$2,0,0,ROW()-1,60),ROW()-1,FALSE))</f>
        <v>3.7495077110000001</v>
      </c>
      <c r="AI448">
        <f ca="1">IF(AND(ISNUMBER($AI$1111),$B$677=1),$AI$1111,HLOOKUP(INDIRECT(ADDRESS(2,COLUMN())),OFFSET($BN$2,0,0,ROW()-1,60),ROW()-1,FALSE))</f>
        <v>2.6460763539999999</v>
      </c>
      <c r="AJ448">
        <f ca="1">IF(AND(ISNUMBER($AJ$1111),$B$677=1),$AJ$1111,HLOOKUP(INDIRECT(ADDRESS(2,COLUMN())),OFFSET($BN$2,0,0,ROW()-1,60),ROW()-1,FALSE))</f>
        <v>3.7415647449999998</v>
      </c>
      <c r="AK448">
        <f ca="1">IF(AND(ISNUMBER($AK$1111),$B$677=1),$AK$1111,HLOOKUP(INDIRECT(ADDRESS(2,COLUMN())),OFFSET($BN$2,0,0,ROW()-1,60),ROW()-1,FALSE))</f>
        <v>5.6299530449999997</v>
      </c>
      <c r="AL448">
        <f ca="1">IF(AND(ISNUMBER($AL$1111),$B$677=1),$AL$1111,HLOOKUP(INDIRECT(ADDRESS(2,COLUMN())),OFFSET($BN$2,0,0,ROW()-1,60),ROW()-1,FALSE))</f>
        <v>4.1053293369999997</v>
      </c>
      <c r="AM448">
        <f ca="1">IF(AND(ISNUMBER($AM$1111),$B$677=1),$AM$1111,HLOOKUP(INDIRECT(ADDRESS(2,COLUMN())),OFFSET($BN$2,0,0,ROW()-1,60),ROW()-1,FALSE))</f>
        <v>4.4697368480000002</v>
      </c>
      <c r="AN448">
        <f ca="1">IF(AND(ISNUMBER($AN$1111),$B$677=1),$AN$1111,HLOOKUP(INDIRECT(ADDRESS(2,COLUMN())),OFFSET($BN$2,0,0,ROW()-1,60),ROW()-1,FALSE))</f>
        <v>2.4480524180000001</v>
      </c>
      <c r="AO448">
        <f ca="1">IF(AND(ISNUMBER($AO$1111),$B$677=1),$AO$1111,HLOOKUP(INDIRECT(ADDRESS(2,COLUMN())),OFFSET($BN$2,0,0,ROW()-1,60),ROW()-1,FALSE))</f>
        <v>2.077385993</v>
      </c>
      <c r="AP448">
        <f ca="1">IF(AND(ISNUMBER($AP$1111),$B$677=1),$AP$1111,HLOOKUP(INDIRECT(ADDRESS(2,COLUMN())),OFFSET($BN$2,0,0,ROW()-1,60),ROW()-1,FALSE))</f>
        <v>3.3545770140000002</v>
      </c>
      <c r="AQ448">
        <f ca="1">IF(AND(ISNUMBER($AQ$1111),$B$677=1),$AQ$1111,HLOOKUP(INDIRECT(ADDRESS(2,COLUMN())),OFFSET($BN$2,0,0,ROW()-1,60),ROW()-1,FALSE))</f>
        <v>4.774112498</v>
      </c>
      <c r="AR448">
        <f ca="1">IF(AND(ISNUMBER($AR$1111),$B$677=1),$AR$1111,HLOOKUP(INDIRECT(ADDRESS(2,COLUMN())),OFFSET($BN$2,0,0,ROW()-1,60),ROW()-1,FALSE))</f>
        <v>15.77911857</v>
      </c>
      <c r="AS448" t="str">
        <f ca="1">IF(AND(ISNUMBER($AS$1111),$B$677=1),$AS$1111,HLOOKUP(INDIRECT(ADDRESS(2,COLUMN())),OFFSET($BN$2,0,0,ROW()-1,60),ROW()-1,FALSE))</f>
        <v/>
      </c>
      <c r="AT448">
        <f ca="1">IF(AND(ISNUMBER($AT$1111),$B$677=1),$AT$1111,HLOOKUP(INDIRECT(ADDRESS(2,COLUMN())),OFFSET($BN$2,0,0,ROW()-1,60),ROW()-1,FALSE))</f>
        <v>30.719306849999999</v>
      </c>
      <c r="AU448">
        <f ca="1">IF(AND(ISNUMBER($AU$1111),$B$677=1),$AU$1111,HLOOKUP(INDIRECT(ADDRESS(2,COLUMN())),OFFSET($BN$2,0,0,ROW()-1,60),ROW()-1,FALSE))</f>
        <v>23.427589900000001</v>
      </c>
      <c r="AV448">
        <f ca="1">IF(AND(ISNUMBER($AV$1111),$B$677=1),$AV$1111,HLOOKUP(INDIRECT(ADDRESS(2,COLUMN())),OFFSET($BN$2,0,0,ROW()-1,60),ROW()-1,FALSE))</f>
        <v>5.6814242559999997</v>
      </c>
      <c r="AW448">
        <f ca="1">IF(AND(ISNUMBER($AW$1111),$B$677=1),$AW$1111,HLOOKUP(INDIRECT(ADDRESS(2,COLUMN())),OFFSET($BN$2,0,0,ROW()-1,60),ROW()-1,FALSE))</f>
        <v>6.9071309540000003</v>
      </c>
      <c r="AX448">
        <f ca="1">IF(AND(ISNUMBER($AX$1111),$B$677=1),$AX$1111,HLOOKUP(INDIRECT(ADDRESS(2,COLUMN())),OFFSET($BN$2,0,0,ROW()-1,60),ROW()-1,FALSE))</f>
        <v>6.3590577929999998</v>
      </c>
      <c r="AY448">
        <f ca="1">IF(AND(ISNUMBER($AY$1111),$B$677=1),$AY$1111,HLOOKUP(INDIRECT(ADDRESS(2,COLUMN())),OFFSET($BN$2,0,0,ROW()-1,60),ROW()-1,FALSE))</f>
        <v>7.532827685</v>
      </c>
      <c r="AZ448">
        <f ca="1">IF(AND(ISNUMBER($AZ$1111),$B$677=1),$AZ$1111,HLOOKUP(INDIRECT(ADDRESS(2,COLUMN())),OFFSET($BN$2,0,0,ROW()-1,60),ROW()-1,FALSE))</f>
        <v>7.9600721669999999</v>
      </c>
      <c r="BA448">
        <f ca="1">IF(AND(ISNUMBER($BA$1111),$B$677=1),$BA$1111,HLOOKUP(INDIRECT(ADDRESS(2,COLUMN())),OFFSET($BN$2,0,0,ROW()-1,60),ROW()-1,FALSE))</f>
        <v>8.0840609420000007</v>
      </c>
      <c r="BB448">
        <f ca="1">IF(AND(ISNUMBER($BB$1111),$B$677=1),$BB$1111,HLOOKUP(INDIRECT(ADDRESS(2,COLUMN())),OFFSET($BN$2,0,0,ROW()-1,60),ROW()-1,FALSE))</f>
        <v>7.0672009469999999</v>
      </c>
      <c r="BC448">
        <f ca="1">IF(AND(ISNUMBER($BC$1111),$B$677=1),$BC$1111,HLOOKUP(INDIRECT(ADDRESS(2,COLUMN())),OFFSET($BN$2,0,0,ROW()-1,60),ROW()-1,FALSE))</f>
        <v>6.327450164</v>
      </c>
      <c r="BD448">
        <f ca="1">IF(AND(ISNUMBER($BD$1111),$B$677=1),$BD$1111,HLOOKUP(INDIRECT(ADDRESS(2,COLUMN())),OFFSET($BN$2,0,0,ROW()-1,60),ROW()-1,FALSE))</f>
        <v>5.3027191599999997</v>
      </c>
      <c r="BE448">
        <f ca="1">IF(AND(ISNUMBER($BE$1111),$B$677=1),$BE$1111,HLOOKUP(INDIRECT(ADDRESS(2,COLUMN())),OFFSET($BN$2,0,0,ROW()-1,60),ROW()-1,FALSE))</f>
        <v>4.2038334539999997</v>
      </c>
      <c r="BF448">
        <f ca="1">IF(AND(ISNUMBER($BF$1111),$B$677=1),$BF$1111,HLOOKUP(INDIRECT(ADDRESS(2,COLUMN())),OFFSET($BN$2,0,0,ROW()-1,60),ROW()-1,FALSE))</f>
        <v>5.1194946689999998</v>
      </c>
      <c r="BG448">
        <f ca="1">IF(AND(ISNUMBER($BG$1111),$B$677=1),$BG$1111,HLOOKUP(INDIRECT(ADDRESS(2,COLUMN())),OFFSET($BN$2,0,0,ROW()-1,60),ROW()-1,FALSE))</f>
        <v>4.9665172440000003</v>
      </c>
      <c r="BH448">
        <f ca="1">IF(AND(ISNUMBER($BH$1111),$B$677=1),$BH$1111,HLOOKUP(INDIRECT(ADDRESS(2,COLUMN())),OFFSET($BN$2,0,0,ROW()-1,60),ROW()-1,FALSE))</f>
        <v>4.571997606</v>
      </c>
      <c r="BI448" t="str">
        <f ca="1">IF(AND(ISNUMBER($BI$1111),$B$677=1),$BI$1111,HLOOKUP(INDIRECT(ADDRESS(2,COLUMN())),OFFSET($BN$2,0,0,ROW()-1,60),ROW()-1,FALSE))</f>
        <v/>
      </c>
      <c r="BJ448">
        <f ca="1">IF(AND(ISNUMBER($BJ$1111),$B$677=1),$BJ$1111,HLOOKUP(INDIRECT(ADDRESS(2,COLUMN())),OFFSET($BN$2,0,0,ROW()-1,60),ROW()-1,FALSE))</f>
        <v>4.2201361730000002</v>
      </c>
      <c r="BK448" t="str">
        <f ca="1">IF(AND(ISNUMBER($BK$1111),$B$677=1),$BK$1111,HLOOKUP(INDIRECT(ADDRESS(2,COLUMN())),OFFSET($BN$2,0,0,ROW()-1,60),ROW()-1,FALSE))</f>
        <v/>
      </c>
      <c r="BL448">
        <f ca="1">IF(AND(ISNUMBER($BL$1111),$B$677=1),$BL$1111,HLOOKUP(INDIRECT(ADDRESS(2,COLUMN())),OFFSET($BN$2,0,0,ROW()-1,60),ROW()-1,FALSE))</f>
        <v>4.2474561819999996</v>
      </c>
      <c r="BM448" t="str">
        <f ca="1">IF(AND(ISNUMBER($BM$1111),$B$677=1),$BM$1111,HLOOKUP(INDIRECT(ADDRESS(2,COLUMN())),OFFSET($BN$2,0,0,ROW()-1,60),ROW()-1,FALSE))</f>
        <v/>
      </c>
      <c r="BN448" t="str">
        <f>""</f>
        <v/>
      </c>
      <c r="BO448">
        <f>6.189414551</f>
        <v>6.1894145509999996</v>
      </c>
      <c r="BP448">
        <f>6.616625567</f>
        <v>6.6166255669999998</v>
      </c>
      <c r="BQ448">
        <f>5.477300037</f>
        <v>5.477300037</v>
      </c>
      <c r="BR448">
        <f>5.554621584</f>
        <v>5.5546215840000004</v>
      </c>
      <c r="BS448">
        <f>7.171483274</f>
        <v>7.1714832739999999</v>
      </c>
      <c r="BT448">
        <f>6.037611466</f>
        <v>6.0376114660000004</v>
      </c>
      <c r="BU448">
        <f>7.130132911</f>
        <v>7.1301329109999996</v>
      </c>
      <c r="BV448">
        <f>5.257988646</f>
        <v>5.2579886460000003</v>
      </c>
      <c r="BW448">
        <f>4.598567501</f>
        <v>4.5985675009999998</v>
      </c>
      <c r="BX448">
        <f>3.356012303</f>
        <v>3.356012303</v>
      </c>
      <c r="BY448">
        <f>3.515197237</f>
        <v>3.5151972370000002</v>
      </c>
      <c r="BZ448">
        <f>4.497579258</f>
        <v>4.497579258</v>
      </c>
      <c r="CA448">
        <f>5.671795326</f>
        <v>5.6717953259999998</v>
      </c>
      <c r="CB448">
        <f>7.104860737</f>
        <v>7.1048607370000001</v>
      </c>
      <c r="CC448">
        <f>6.351776971</f>
        <v>6.3517769709999996</v>
      </c>
      <c r="CD448">
        <f>6.551606893</f>
        <v>6.5516068929999998</v>
      </c>
      <c r="CE448">
        <f>7.963655755</f>
        <v>7.9636557549999996</v>
      </c>
      <c r="CF448">
        <f>6.683153228</f>
        <v>6.6831532280000001</v>
      </c>
      <c r="CG448">
        <f>5.03544549</f>
        <v>5.0354454899999999</v>
      </c>
      <c r="CH448">
        <f>3.612385596</f>
        <v>3.6123855960000002</v>
      </c>
      <c r="CI448">
        <f>4.022107581</f>
        <v>4.0221075810000002</v>
      </c>
      <c r="CJ448">
        <f>3.704424975</f>
        <v>3.7044249749999998</v>
      </c>
      <c r="CK448">
        <f>5.101570801</f>
        <v>5.1015708010000003</v>
      </c>
      <c r="CL448">
        <f>4.931832567</f>
        <v>4.9318325669999998</v>
      </c>
      <c r="CM448">
        <f>6.618175297</f>
        <v>6.6181752969999996</v>
      </c>
      <c r="CN448">
        <f>3.13703597</f>
        <v>3.1370359699999999</v>
      </c>
      <c r="CO448">
        <f>2.66084806</f>
        <v>2.6608480600000002</v>
      </c>
      <c r="CP448">
        <f>3.749507711</f>
        <v>3.7495077110000001</v>
      </c>
      <c r="CQ448">
        <f>2.646076354</f>
        <v>2.6460763539999999</v>
      </c>
      <c r="CR448">
        <f>3.741564745</f>
        <v>3.7415647449999998</v>
      </c>
      <c r="CS448">
        <f>5.629953045</f>
        <v>5.6299530449999997</v>
      </c>
      <c r="CT448">
        <f>4.105329337</f>
        <v>4.1053293369999997</v>
      </c>
      <c r="CU448">
        <f>4.469736848</f>
        <v>4.4697368480000002</v>
      </c>
      <c r="CV448">
        <f>2.448052418</f>
        <v>2.4480524180000001</v>
      </c>
      <c r="CW448">
        <f>2.077385993</f>
        <v>2.077385993</v>
      </c>
      <c r="CX448">
        <f>3.354577014</f>
        <v>3.3545770140000002</v>
      </c>
      <c r="CY448">
        <f>4.774112498</f>
        <v>4.774112498</v>
      </c>
      <c r="CZ448">
        <f>15.77911857</f>
        <v>15.77911857</v>
      </c>
      <c r="DA448" t="str">
        <f>""</f>
        <v/>
      </c>
      <c r="DB448">
        <f>30.71930685</f>
        <v>30.719306849999999</v>
      </c>
      <c r="DC448">
        <f>23.4275899</f>
        <v>23.427589900000001</v>
      </c>
      <c r="DD448">
        <f>5.681424256</f>
        <v>5.6814242559999997</v>
      </c>
      <c r="DE448">
        <f>6.907130954</f>
        <v>6.9071309540000003</v>
      </c>
      <c r="DF448">
        <f>6.359057793</f>
        <v>6.3590577929999998</v>
      </c>
      <c r="DG448">
        <f>7.532827685</f>
        <v>7.532827685</v>
      </c>
      <c r="DH448">
        <f>7.960072167</f>
        <v>7.9600721669999999</v>
      </c>
      <c r="DI448">
        <f>8.084060942</f>
        <v>8.0840609420000007</v>
      </c>
      <c r="DJ448">
        <f>7.067200947</f>
        <v>7.0672009469999999</v>
      </c>
      <c r="DK448">
        <f>6.327450164</f>
        <v>6.327450164</v>
      </c>
      <c r="DL448">
        <f>5.30271916</f>
        <v>5.3027191599999997</v>
      </c>
      <c r="DM448">
        <f>4.203833454</f>
        <v>4.2038334539999997</v>
      </c>
      <c r="DN448">
        <f>5.119494669</f>
        <v>5.1194946689999998</v>
      </c>
      <c r="DO448">
        <f>4.966517244</f>
        <v>4.9665172440000003</v>
      </c>
      <c r="DP448">
        <f>4.571997606</f>
        <v>4.571997606</v>
      </c>
      <c r="DQ448" t="str">
        <f>""</f>
        <v/>
      </c>
      <c r="DR448">
        <f>4.220136173</f>
        <v>4.2201361730000002</v>
      </c>
      <c r="DS448" t="str">
        <f>""</f>
        <v/>
      </c>
      <c r="DT448">
        <f>4.247456182</f>
        <v>4.2474561819999996</v>
      </c>
      <c r="DU448" t="str">
        <f>""</f>
        <v/>
      </c>
    </row>
    <row r="449" spans="1:125" x14ac:dyDescent="0.25">
      <c r="A449" t="str">
        <f>"    Tata Motors Ltd"</f>
        <v xml:space="preserve">    Tata Motors Ltd</v>
      </c>
      <c r="B449" t="str">
        <f>"TTMT IN Equity"</f>
        <v>TTMT IN Equity</v>
      </c>
      <c r="C449" t="str">
        <f t="shared" si="30"/>
        <v>RR477</v>
      </c>
      <c r="D449" t="str">
        <f t="shared" si="31"/>
        <v>EV_TO_T12M_CASH_FLOW</v>
      </c>
      <c r="E449" t="str">
        <f t="shared" si="32"/>
        <v>Dynamic</v>
      </c>
      <c r="F449" t="str">
        <f ca="1">IF(AND(ISNUMBER($F$1112),$B$677=1),$F$1112,HLOOKUP(INDIRECT(ADDRESS(2,COLUMN())),OFFSET($BN$2,0,0,ROW()-1,60),ROW()-1,FALSE))</f>
        <v/>
      </c>
      <c r="G449" t="str">
        <f ca="1">IF(AND(ISNUMBER($G$1112),$B$677=1),$G$1112,HLOOKUP(INDIRECT(ADDRESS(2,COLUMN())),OFFSET($BN$2,0,0,ROW()-1,60),ROW()-1,FALSE))</f>
        <v/>
      </c>
      <c r="H449" t="str">
        <f ca="1">IF(AND(ISNUMBER($H$1112),$B$677=1),$H$1112,HLOOKUP(INDIRECT(ADDRESS(2,COLUMN())),OFFSET($BN$2,0,0,ROW()-1,60),ROW()-1,FALSE))</f>
        <v/>
      </c>
      <c r="I449" t="str">
        <f ca="1">IF(AND(ISNUMBER($I$1112),$B$677=1),$I$1112,HLOOKUP(INDIRECT(ADDRESS(2,COLUMN())),OFFSET($BN$2,0,0,ROW()-1,60),ROW()-1,FALSE))</f>
        <v/>
      </c>
      <c r="J449" t="str">
        <f ca="1">IF(AND(ISNUMBER($J$1112),$B$677=1),$J$1112,HLOOKUP(INDIRECT(ADDRESS(2,COLUMN())),OFFSET($BN$2,0,0,ROW()-1,60),ROW()-1,FALSE))</f>
        <v/>
      </c>
      <c r="K449" t="str">
        <f ca="1">IF(AND(ISNUMBER($K$1112),$B$677=1),$K$1112,HLOOKUP(INDIRECT(ADDRESS(2,COLUMN())),OFFSET($BN$2,0,0,ROW()-1,60),ROW()-1,FALSE))</f>
        <v/>
      </c>
      <c r="L449" t="str">
        <f ca="1">IF(AND(ISNUMBER($L$1112),$B$677=1),$L$1112,HLOOKUP(INDIRECT(ADDRESS(2,COLUMN())),OFFSET($BN$2,0,0,ROW()-1,60),ROW()-1,FALSE))</f>
        <v/>
      </c>
      <c r="M449" t="str">
        <f ca="1">IF(AND(ISNUMBER($M$1112),$B$677=1),$M$1112,HLOOKUP(INDIRECT(ADDRESS(2,COLUMN())),OFFSET($BN$2,0,0,ROW()-1,60),ROW()-1,FALSE))</f>
        <v/>
      </c>
      <c r="N449" t="str">
        <f ca="1">IF(AND(ISNUMBER($N$1112),$B$677=1),$N$1112,HLOOKUP(INDIRECT(ADDRESS(2,COLUMN())),OFFSET($BN$2,0,0,ROW()-1,60),ROW()-1,FALSE))</f>
        <v/>
      </c>
      <c r="O449" t="str">
        <f ca="1">IF(AND(ISNUMBER($O$1112),$B$677=1),$O$1112,HLOOKUP(INDIRECT(ADDRESS(2,COLUMN())),OFFSET($BN$2,0,0,ROW()-1,60),ROW()-1,FALSE))</f>
        <v/>
      </c>
      <c r="P449" t="str">
        <f ca="1">IF(AND(ISNUMBER($P$1112),$B$677=1),$P$1112,HLOOKUP(INDIRECT(ADDRESS(2,COLUMN())),OFFSET($BN$2,0,0,ROW()-1,60),ROW()-1,FALSE))</f>
        <v/>
      </c>
      <c r="Q449" t="str">
        <f ca="1">IF(AND(ISNUMBER($Q$1112),$B$677=1),$Q$1112,HLOOKUP(INDIRECT(ADDRESS(2,COLUMN())),OFFSET($BN$2,0,0,ROW()-1,60),ROW()-1,FALSE))</f>
        <v/>
      </c>
      <c r="R449" t="str">
        <f ca="1">IF(AND(ISNUMBER($R$1112),$B$677=1),$R$1112,HLOOKUP(INDIRECT(ADDRESS(2,COLUMN())),OFFSET($BN$2,0,0,ROW()-1,60),ROW()-1,FALSE))</f>
        <v/>
      </c>
      <c r="S449" t="str">
        <f ca="1">IF(AND(ISNUMBER($S$1112),$B$677=1),$S$1112,HLOOKUP(INDIRECT(ADDRESS(2,COLUMN())),OFFSET($BN$2,0,0,ROW()-1,60),ROW()-1,FALSE))</f>
        <v/>
      </c>
      <c r="T449" t="str">
        <f ca="1">IF(AND(ISNUMBER($T$1112),$B$677=1),$T$1112,HLOOKUP(INDIRECT(ADDRESS(2,COLUMN())),OFFSET($BN$2,0,0,ROW()-1,60),ROW()-1,FALSE))</f>
        <v/>
      </c>
      <c r="U449" t="str">
        <f ca="1">IF(AND(ISNUMBER($U$1112),$B$677=1),$U$1112,HLOOKUP(INDIRECT(ADDRESS(2,COLUMN())),OFFSET($BN$2,0,0,ROW()-1,60),ROW()-1,FALSE))</f>
        <v/>
      </c>
      <c r="V449" t="str">
        <f ca="1">IF(AND(ISNUMBER($V$1112),$B$677=1),$V$1112,HLOOKUP(INDIRECT(ADDRESS(2,COLUMN())),OFFSET($BN$2,0,0,ROW()-1,60),ROW()-1,FALSE))</f>
        <v/>
      </c>
      <c r="W449" t="str">
        <f ca="1">IF(AND(ISNUMBER($W$1112),$B$677=1),$W$1112,HLOOKUP(INDIRECT(ADDRESS(2,COLUMN())),OFFSET($BN$2,0,0,ROW()-1,60),ROW()-1,FALSE))</f>
        <v/>
      </c>
      <c r="X449" t="str">
        <f ca="1">IF(AND(ISNUMBER($X$1112),$B$677=1),$X$1112,HLOOKUP(INDIRECT(ADDRESS(2,COLUMN())),OFFSET($BN$2,0,0,ROW()-1,60),ROW()-1,FALSE))</f>
        <v/>
      </c>
      <c r="Y449" t="str">
        <f ca="1">IF(AND(ISNUMBER($Y$1112),$B$677=1),$Y$1112,HLOOKUP(INDIRECT(ADDRESS(2,COLUMN())),OFFSET($BN$2,0,0,ROW()-1,60),ROW()-1,FALSE))</f>
        <v/>
      </c>
      <c r="Z449" t="str">
        <f ca="1">IF(AND(ISNUMBER($Z$1112),$B$677=1),$Z$1112,HLOOKUP(INDIRECT(ADDRESS(2,COLUMN())),OFFSET($BN$2,0,0,ROW()-1,60),ROW()-1,FALSE))</f>
        <v/>
      </c>
      <c r="AA449" t="str">
        <f ca="1">IF(AND(ISNUMBER($AA$1112),$B$677=1),$AA$1112,HLOOKUP(INDIRECT(ADDRESS(2,COLUMN())),OFFSET($BN$2,0,0,ROW()-1,60),ROW()-1,FALSE))</f>
        <v/>
      </c>
      <c r="AB449" t="str">
        <f ca="1">IF(AND(ISNUMBER($AB$1112),$B$677=1),$AB$1112,HLOOKUP(INDIRECT(ADDRESS(2,COLUMN())),OFFSET($BN$2,0,0,ROW()-1,60),ROW()-1,FALSE))</f>
        <v/>
      </c>
      <c r="AC449" t="str">
        <f ca="1">IF(AND(ISNUMBER($AC$1112),$B$677=1),$AC$1112,HLOOKUP(INDIRECT(ADDRESS(2,COLUMN())),OFFSET($BN$2,0,0,ROW()-1,60),ROW()-1,FALSE))</f>
        <v/>
      </c>
      <c r="AD449" t="str">
        <f ca="1">IF(AND(ISNUMBER($AD$1112),$B$677=1),$AD$1112,HLOOKUP(INDIRECT(ADDRESS(2,COLUMN())),OFFSET($BN$2,0,0,ROW()-1,60),ROW()-1,FALSE))</f>
        <v/>
      </c>
      <c r="AE449" t="str">
        <f ca="1">IF(AND(ISNUMBER($AE$1112),$B$677=1),$AE$1112,HLOOKUP(INDIRECT(ADDRESS(2,COLUMN())),OFFSET($BN$2,0,0,ROW()-1,60),ROW()-1,FALSE))</f>
        <v/>
      </c>
      <c r="AF449" t="str">
        <f ca="1">IF(AND(ISNUMBER($AF$1112),$B$677=1),$AF$1112,HLOOKUP(INDIRECT(ADDRESS(2,COLUMN())),OFFSET($BN$2,0,0,ROW()-1,60),ROW()-1,FALSE))</f>
        <v/>
      </c>
      <c r="AG449" t="str">
        <f ca="1">IF(AND(ISNUMBER($AG$1112),$B$677=1),$AG$1112,HLOOKUP(INDIRECT(ADDRESS(2,COLUMN())),OFFSET($BN$2,0,0,ROW()-1,60),ROW()-1,FALSE))</f>
        <v/>
      </c>
      <c r="AH449" t="str">
        <f ca="1">IF(AND(ISNUMBER($AH$1112),$B$677=1),$AH$1112,HLOOKUP(INDIRECT(ADDRESS(2,COLUMN())),OFFSET($BN$2,0,0,ROW()-1,60),ROW()-1,FALSE))</f>
        <v/>
      </c>
      <c r="AI449" t="str">
        <f ca="1">IF(AND(ISNUMBER($AI$1112),$B$677=1),$AI$1112,HLOOKUP(INDIRECT(ADDRESS(2,COLUMN())),OFFSET($BN$2,0,0,ROW()-1,60),ROW()-1,FALSE))</f>
        <v/>
      </c>
      <c r="AJ449" t="str">
        <f ca="1">IF(AND(ISNUMBER($AJ$1112),$B$677=1),$AJ$1112,HLOOKUP(INDIRECT(ADDRESS(2,COLUMN())),OFFSET($BN$2,0,0,ROW()-1,60),ROW()-1,FALSE))</f>
        <v/>
      </c>
      <c r="AK449" t="str">
        <f ca="1">IF(AND(ISNUMBER($AK$1112),$B$677=1),$AK$1112,HLOOKUP(INDIRECT(ADDRESS(2,COLUMN())),OFFSET($BN$2,0,0,ROW()-1,60),ROW()-1,FALSE))</f>
        <v/>
      </c>
      <c r="AL449" t="str">
        <f ca="1">IF(AND(ISNUMBER($AL$1112),$B$677=1),$AL$1112,HLOOKUP(INDIRECT(ADDRESS(2,COLUMN())),OFFSET($BN$2,0,0,ROW()-1,60),ROW()-1,FALSE))</f>
        <v/>
      </c>
      <c r="AM449" t="str">
        <f ca="1">IF(AND(ISNUMBER($AM$1112),$B$677=1),$AM$1112,HLOOKUP(INDIRECT(ADDRESS(2,COLUMN())),OFFSET($BN$2,0,0,ROW()-1,60),ROW()-1,FALSE))</f>
        <v/>
      </c>
      <c r="AN449" t="str">
        <f ca="1">IF(AND(ISNUMBER($AN$1112),$B$677=1),$AN$1112,HLOOKUP(INDIRECT(ADDRESS(2,COLUMN())),OFFSET($BN$2,0,0,ROW()-1,60),ROW()-1,FALSE))</f>
        <v/>
      </c>
      <c r="AO449" t="str">
        <f ca="1">IF(AND(ISNUMBER($AO$1112),$B$677=1),$AO$1112,HLOOKUP(INDIRECT(ADDRESS(2,COLUMN())),OFFSET($BN$2,0,0,ROW()-1,60),ROW()-1,FALSE))</f>
        <v/>
      </c>
      <c r="AP449" t="str">
        <f ca="1">IF(AND(ISNUMBER($AP$1112),$B$677=1),$AP$1112,HLOOKUP(INDIRECT(ADDRESS(2,COLUMN())),OFFSET($BN$2,0,0,ROW()-1,60),ROW()-1,FALSE))</f>
        <v/>
      </c>
      <c r="AQ449" t="str">
        <f ca="1">IF(AND(ISNUMBER($AQ$1112),$B$677=1),$AQ$1112,HLOOKUP(INDIRECT(ADDRESS(2,COLUMN())),OFFSET($BN$2,0,0,ROW()-1,60),ROW()-1,FALSE))</f>
        <v/>
      </c>
      <c r="AR449" t="str">
        <f ca="1">IF(AND(ISNUMBER($AR$1112),$B$677=1),$AR$1112,HLOOKUP(INDIRECT(ADDRESS(2,COLUMN())),OFFSET($BN$2,0,0,ROW()-1,60),ROW()-1,FALSE))</f>
        <v/>
      </c>
      <c r="AS449" t="str">
        <f ca="1">IF(AND(ISNUMBER($AS$1112),$B$677=1),$AS$1112,HLOOKUP(INDIRECT(ADDRESS(2,COLUMN())),OFFSET($BN$2,0,0,ROW()-1,60),ROW()-1,FALSE))</f>
        <v/>
      </c>
      <c r="AT449" t="str">
        <f ca="1">IF(AND(ISNUMBER($AT$1112),$B$677=1),$AT$1112,HLOOKUP(INDIRECT(ADDRESS(2,COLUMN())),OFFSET($BN$2,0,0,ROW()-1,60),ROW()-1,FALSE))</f>
        <v/>
      </c>
      <c r="AU449" t="str">
        <f ca="1">IF(AND(ISNUMBER($AU$1112),$B$677=1),$AU$1112,HLOOKUP(INDIRECT(ADDRESS(2,COLUMN())),OFFSET($BN$2,0,0,ROW()-1,60),ROW()-1,FALSE))</f>
        <v/>
      </c>
      <c r="AV449" t="str">
        <f ca="1">IF(AND(ISNUMBER($AV$1112),$B$677=1),$AV$1112,HLOOKUP(INDIRECT(ADDRESS(2,COLUMN())),OFFSET($BN$2,0,0,ROW()-1,60),ROW()-1,FALSE))</f>
        <v/>
      </c>
      <c r="AW449" t="str">
        <f ca="1">IF(AND(ISNUMBER($AW$1112),$B$677=1),$AW$1112,HLOOKUP(INDIRECT(ADDRESS(2,COLUMN())),OFFSET($BN$2,0,0,ROW()-1,60),ROW()-1,FALSE))</f>
        <v/>
      </c>
      <c r="AX449" t="str">
        <f ca="1">IF(AND(ISNUMBER($AX$1112),$B$677=1),$AX$1112,HLOOKUP(INDIRECT(ADDRESS(2,COLUMN())),OFFSET($BN$2,0,0,ROW()-1,60),ROW()-1,FALSE))</f>
        <v/>
      </c>
      <c r="AY449" t="str">
        <f ca="1">IF(AND(ISNUMBER($AY$1112),$B$677=1),$AY$1112,HLOOKUP(INDIRECT(ADDRESS(2,COLUMN())),OFFSET($BN$2,0,0,ROW()-1,60),ROW()-1,FALSE))</f>
        <v/>
      </c>
      <c r="AZ449" t="str">
        <f ca="1">IF(AND(ISNUMBER($AZ$1112),$B$677=1),$AZ$1112,HLOOKUP(INDIRECT(ADDRESS(2,COLUMN())),OFFSET($BN$2,0,0,ROW()-1,60),ROW()-1,FALSE))</f>
        <v/>
      </c>
      <c r="BA449" t="str">
        <f ca="1">IF(AND(ISNUMBER($BA$1112),$B$677=1),$BA$1112,HLOOKUP(INDIRECT(ADDRESS(2,COLUMN())),OFFSET($BN$2,0,0,ROW()-1,60),ROW()-1,FALSE))</f>
        <v/>
      </c>
      <c r="BB449" t="str">
        <f ca="1">IF(AND(ISNUMBER($BB$1112),$B$677=1),$BB$1112,HLOOKUP(INDIRECT(ADDRESS(2,COLUMN())),OFFSET($BN$2,0,0,ROW()-1,60),ROW()-1,FALSE))</f>
        <v/>
      </c>
      <c r="BC449" t="str">
        <f ca="1">IF(AND(ISNUMBER($BC$1112),$B$677=1),$BC$1112,HLOOKUP(INDIRECT(ADDRESS(2,COLUMN())),OFFSET($BN$2,0,0,ROW()-1,60),ROW()-1,FALSE))</f>
        <v/>
      </c>
      <c r="BD449" t="str">
        <f ca="1">IF(AND(ISNUMBER($BD$1112),$B$677=1),$BD$1112,HLOOKUP(INDIRECT(ADDRESS(2,COLUMN())),OFFSET($BN$2,0,0,ROW()-1,60),ROW()-1,FALSE))</f>
        <v/>
      </c>
      <c r="BE449" t="str">
        <f ca="1">IF(AND(ISNUMBER($BE$1112),$B$677=1),$BE$1112,HLOOKUP(INDIRECT(ADDRESS(2,COLUMN())),OFFSET($BN$2,0,0,ROW()-1,60),ROW()-1,FALSE))</f>
        <v/>
      </c>
      <c r="BF449" t="str">
        <f ca="1">IF(AND(ISNUMBER($BF$1112),$B$677=1),$BF$1112,HLOOKUP(INDIRECT(ADDRESS(2,COLUMN())),OFFSET($BN$2,0,0,ROW()-1,60),ROW()-1,FALSE))</f>
        <v/>
      </c>
      <c r="BG449" t="str">
        <f ca="1">IF(AND(ISNUMBER($BG$1112),$B$677=1),$BG$1112,HLOOKUP(INDIRECT(ADDRESS(2,COLUMN())),OFFSET($BN$2,0,0,ROW()-1,60),ROW()-1,FALSE))</f>
        <v/>
      </c>
      <c r="BH449" t="str">
        <f ca="1">IF(AND(ISNUMBER($BH$1112),$B$677=1),$BH$1112,HLOOKUP(INDIRECT(ADDRESS(2,COLUMN())),OFFSET($BN$2,0,0,ROW()-1,60),ROW()-1,FALSE))</f>
        <v/>
      </c>
      <c r="BI449" t="str">
        <f ca="1">IF(AND(ISNUMBER($BI$1112),$B$677=1),$BI$1112,HLOOKUP(INDIRECT(ADDRESS(2,COLUMN())),OFFSET($BN$2,0,0,ROW()-1,60),ROW()-1,FALSE))</f>
        <v/>
      </c>
      <c r="BJ449" t="str">
        <f ca="1">IF(AND(ISNUMBER($BJ$1112),$B$677=1),$BJ$1112,HLOOKUP(INDIRECT(ADDRESS(2,COLUMN())),OFFSET($BN$2,0,0,ROW()-1,60),ROW()-1,FALSE))</f>
        <v/>
      </c>
      <c r="BK449" t="str">
        <f ca="1">IF(AND(ISNUMBER($BK$1112),$B$677=1),$BK$1112,HLOOKUP(INDIRECT(ADDRESS(2,COLUMN())),OFFSET($BN$2,0,0,ROW()-1,60),ROW()-1,FALSE))</f>
        <v/>
      </c>
      <c r="BL449" t="str">
        <f ca="1">IF(AND(ISNUMBER($BL$1112),$B$677=1),$BL$1112,HLOOKUP(INDIRECT(ADDRESS(2,COLUMN())),OFFSET($BN$2,0,0,ROW()-1,60),ROW()-1,FALSE))</f>
        <v/>
      </c>
      <c r="BM449" t="str">
        <f ca="1">IF(AND(ISNUMBER($BM$1112),$B$677=1),$BM$1112,HLOOKUP(INDIRECT(ADDRESS(2,COLUMN())),OFFSET($BN$2,0,0,ROW()-1,60),ROW()-1,FALSE))</f>
        <v/>
      </c>
      <c r="BN449" t="str">
        <f>""</f>
        <v/>
      </c>
      <c r="BO449" t="str">
        <f>""</f>
        <v/>
      </c>
      <c r="BP449" t="str">
        <f>""</f>
        <v/>
      </c>
      <c r="BQ449" t="str">
        <f>""</f>
        <v/>
      </c>
      <c r="BR449" t="str">
        <f>""</f>
        <v/>
      </c>
      <c r="BS449" t="str">
        <f>""</f>
        <v/>
      </c>
      <c r="BT449" t="str">
        <f>""</f>
        <v/>
      </c>
      <c r="BU449" t="str">
        <f>""</f>
        <v/>
      </c>
      <c r="BV449" t="str">
        <f>""</f>
        <v/>
      </c>
      <c r="BW449" t="str">
        <f>""</f>
        <v/>
      </c>
      <c r="BX449" t="str">
        <f>""</f>
        <v/>
      </c>
      <c r="BY449" t="str">
        <f>""</f>
        <v/>
      </c>
      <c r="BZ449" t="str">
        <f>""</f>
        <v/>
      </c>
      <c r="CA449" t="str">
        <f>""</f>
        <v/>
      </c>
      <c r="CB449" t="str">
        <f>""</f>
        <v/>
      </c>
      <c r="CC449" t="str">
        <f>""</f>
        <v/>
      </c>
      <c r="CD449" t="str">
        <f>""</f>
        <v/>
      </c>
      <c r="CE449" t="str">
        <f>""</f>
        <v/>
      </c>
      <c r="CF449" t="str">
        <f>""</f>
        <v/>
      </c>
      <c r="CG449" t="str">
        <f>""</f>
        <v/>
      </c>
      <c r="CH449" t="str">
        <f>""</f>
        <v/>
      </c>
      <c r="CI449" t="str">
        <f>""</f>
        <v/>
      </c>
      <c r="CJ449" t="str">
        <f>""</f>
        <v/>
      </c>
      <c r="CK449" t="str">
        <f>""</f>
        <v/>
      </c>
      <c r="CL449" t="str">
        <f>""</f>
        <v/>
      </c>
      <c r="CM449" t="str">
        <f>""</f>
        <v/>
      </c>
      <c r="CN449" t="str">
        <f>""</f>
        <v/>
      </c>
      <c r="CO449" t="str">
        <f>""</f>
        <v/>
      </c>
      <c r="CP449" t="str">
        <f>""</f>
        <v/>
      </c>
      <c r="CQ449" t="str">
        <f>""</f>
        <v/>
      </c>
      <c r="CR449" t="str">
        <f>""</f>
        <v/>
      </c>
      <c r="CS449" t="str">
        <f>""</f>
        <v/>
      </c>
      <c r="CT449" t="str">
        <f>""</f>
        <v/>
      </c>
      <c r="CU449" t="str">
        <f>""</f>
        <v/>
      </c>
      <c r="CV449" t="str">
        <f>""</f>
        <v/>
      </c>
      <c r="CW449" t="str">
        <f>""</f>
        <v/>
      </c>
      <c r="CX449" t="str">
        <f>""</f>
        <v/>
      </c>
      <c r="CY449" t="str">
        <f>""</f>
        <v/>
      </c>
      <c r="CZ449" t="str">
        <f>""</f>
        <v/>
      </c>
      <c r="DA449" t="str">
        <f>""</f>
        <v/>
      </c>
      <c r="DB449" t="str">
        <f>""</f>
        <v/>
      </c>
      <c r="DC449" t="str">
        <f>""</f>
        <v/>
      </c>
      <c r="DD449" t="str">
        <f>""</f>
        <v/>
      </c>
      <c r="DE449" t="str">
        <f>""</f>
        <v/>
      </c>
      <c r="DF449" t="str">
        <f>""</f>
        <v/>
      </c>
      <c r="DG449" t="str">
        <f>""</f>
        <v/>
      </c>
      <c r="DH449" t="str">
        <f>""</f>
        <v/>
      </c>
      <c r="DI449" t="str">
        <f>""</f>
        <v/>
      </c>
      <c r="DJ449" t="str">
        <f>""</f>
        <v/>
      </c>
      <c r="DK449" t="str">
        <f>""</f>
        <v/>
      </c>
      <c r="DL449" t="str">
        <f>""</f>
        <v/>
      </c>
      <c r="DM449" t="str">
        <f>""</f>
        <v/>
      </c>
      <c r="DN449" t="str">
        <f>""</f>
        <v/>
      </c>
      <c r="DO449" t="str">
        <f>""</f>
        <v/>
      </c>
      <c r="DP449" t="str">
        <f>""</f>
        <v/>
      </c>
      <c r="DQ449" t="str">
        <f>""</f>
        <v/>
      </c>
      <c r="DR449" t="str">
        <f>""</f>
        <v/>
      </c>
      <c r="DS449" t="str">
        <f>""</f>
        <v/>
      </c>
      <c r="DT449" t="str">
        <f>""</f>
        <v/>
      </c>
      <c r="DU449" t="str">
        <f>""</f>
        <v/>
      </c>
    </row>
    <row r="450" spans="1:125" x14ac:dyDescent="0.25">
      <c r="A450" t="str">
        <f>"    Tesla Inc"</f>
        <v xml:space="preserve">    Tesla Inc</v>
      </c>
      <c r="B450" t="str">
        <f>"TSLA US Equity"</f>
        <v>TSLA US Equity</v>
      </c>
      <c r="C450" t="str">
        <f t="shared" si="30"/>
        <v>RR477</v>
      </c>
      <c r="D450" t="str">
        <f t="shared" si="31"/>
        <v>EV_TO_T12M_CASH_FLOW</v>
      </c>
      <c r="E450" t="str">
        <f t="shared" si="32"/>
        <v>Dynamic</v>
      </c>
      <c r="F450" t="str">
        <f ca="1">IF(AND(ISNUMBER($F$1113),$B$677=1),$F$1113,HLOOKUP(INDIRECT(ADDRESS(2,COLUMN())),OFFSET($BN$2,0,0,ROW()-1,60),ROW()-1,FALSE))</f>
        <v/>
      </c>
      <c r="G450">
        <f ca="1">IF(AND(ISNUMBER($G$1113),$B$677=1),$G$1113,HLOOKUP(INDIRECT(ADDRESS(2,COLUMN())),OFFSET($BN$2,0,0,ROW()-1,60),ROW()-1,FALSE))</f>
        <v>31.994626950000001</v>
      </c>
      <c r="H450">
        <f ca="1">IF(AND(ISNUMBER($H$1113),$B$677=1),$H$1113,HLOOKUP(INDIRECT(ADDRESS(2,COLUMN())),OFFSET($BN$2,0,0,ROW()-1,60),ROW()-1,FALSE))</f>
        <v>40.480438200000002</v>
      </c>
      <c r="I450" t="str">
        <f ca="1">IF(AND(ISNUMBER($I$1113),$B$677=1),$I$1113,HLOOKUP(INDIRECT(ADDRESS(2,COLUMN())),OFFSET($BN$2,0,0,ROW()-1,60),ROW()-1,FALSE))</f>
        <v/>
      </c>
      <c r="J450" t="str">
        <f ca="1">IF(AND(ISNUMBER($J$1113),$B$677=1),$J$1113,HLOOKUP(INDIRECT(ADDRESS(2,COLUMN())),OFFSET($BN$2,0,0,ROW()-1,60),ROW()-1,FALSE))</f>
        <v/>
      </c>
      <c r="K450" t="str">
        <f ca="1">IF(AND(ISNUMBER($K$1113),$B$677=1),$K$1113,HLOOKUP(INDIRECT(ADDRESS(2,COLUMN())),OFFSET($BN$2,0,0,ROW()-1,60),ROW()-1,FALSE))</f>
        <v/>
      </c>
      <c r="L450" t="str">
        <f ca="1">IF(AND(ISNUMBER($L$1113),$B$677=1),$L$1113,HLOOKUP(INDIRECT(ADDRESS(2,COLUMN())),OFFSET($BN$2,0,0,ROW()-1,60),ROW()-1,FALSE))</f>
        <v/>
      </c>
      <c r="M450" t="str">
        <f ca="1">IF(AND(ISNUMBER($M$1113),$B$677=1),$M$1113,HLOOKUP(INDIRECT(ADDRESS(2,COLUMN())),OFFSET($BN$2,0,0,ROW()-1,60),ROW()-1,FALSE))</f>
        <v/>
      </c>
      <c r="N450">
        <f ca="1">IF(AND(ISNUMBER($N$1113),$B$677=1),$N$1113,HLOOKUP(INDIRECT(ADDRESS(2,COLUMN())),OFFSET($BN$2,0,0,ROW()-1,60),ROW()-1,FALSE))</f>
        <v>908.45269719999999</v>
      </c>
      <c r="O450" t="str">
        <f ca="1">IF(AND(ISNUMBER($O$1113),$B$677=1),$O$1113,HLOOKUP(INDIRECT(ADDRESS(2,COLUMN())),OFFSET($BN$2,0,0,ROW()-1,60),ROW()-1,FALSE))</f>
        <v/>
      </c>
      <c r="P450">
        <f ca="1">IF(AND(ISNUMBER($P$1113),$B$677=1),$P$1113,HLOOKUP(INDIRECT(ADDRESS(2,COLUMN())),OFFSET($BN$2,0,0,ROW()-1,60),ROW()-1,FALSE))</f>
        <v>102.4976276</v>
      </c>
      <c r="Q450" t="str">
        <f ca="1">IF(AND(ISNUMBER($Q$1113),$B$677=1),$Q$1113,HLOOKUP(INDIRECT(ADDRESS(2,COLUMN())),OFFSET($BN$2,0,0,ROW()-1,60),ROW()-1,FALSE))</f>
        <v/>
      </c>
      <c r="R450" t="str">
        <f ca="1">IF(AND(ISNUMBER($R$1113),$B$677=1),$R$1113,HLOOKUP(INDIRECT(ADDRESS(2,COLUMN())),OFFSET($BN$2,0,0,ROW()-1,60),ROW()-1,FALSE))</f>
        <v/>
      </c>
      <c r="S450" t="str">
        <f ca="1">IF(AND(ISNUMBER($S$1113),$B$677=1),$S$1113,HLOOKUP(INDIRECT(ADDRESS(2,COLUMN())),OFFSET($BN$2,0,0,ROW()-1,60),ROW()-1,FALSE))</f>
        <v/>
      </c>
      <c r="T450" t="str">
        <f ca="1">IF(AND(ISNUMBER($T$1113),$B$677=1),$T$1113,HLOOKUP(INDIRECT(ADDRESS(2,COLUMN())),OFFSET($BN$2,0,0,ROW()-1,60),ROW()-1,FALSE))</f>
        <v/>
      </c>
      <c r="U450" t="str">
        <f ca="1">IF(AND(ISNUMBER($U$1113),$B$677=1),$U$1113,HLOOKUP(INDIRECT(ADDRESS(2,COLUMN())),OFFSET($BN$2,0,0,ROW()-1,60),ROW()-1,FALSE))</f>
        <v/>
      </c>
      <c r="V450" t="str">
        <f ca="1">IF(AND(ISNUMBER($V$1113),$B$677=1),$V$1113,HLOOKUP(INDIRECT(ADDRESS(2,COLUMN())),OFFSET($BN$2,0,0,ROW()-1,60),ROW()-1,FALSE))</f>
        <v/>
      </c>
      <c r="W450" t="str">
        <f ca="1">IF(AND(ISNUMBER($W$1113),$B$677=1),$W$1113,HLOOKUP(INDIRECT(ADDRESS(2,COLUMN())),OFFSET($BN$2,0,0,ROW()-1,60),ROW()-1,FALSE))</f>
        <v/>
      </c>
      <c r="X450">
        <f ca="1">IF(AND(ISNUMBER($X$1113),$B$677=1),$X$1113,HLOOKUP(INDIRECT(ADDRESS(2,COLUMN())),OFFSET($BN$2,0,0,ROW()-1,60),ROW()-1,FALSE))</f>
        <v>186.81025919999999</v>
      </c>
      <c r="Y450">
        <f ca="1">IF(AND(ISNUMBER($Y$1113),$B$677=1),$Y$1113,HLOOKUP(INDIRECT(ADDRESS(2,COLUMN())),OFFSET($BN$2,0,0,ROW()-1,60),ROW()-1,FALSE))</f>
        <v>100.29209640000001</v>
      </c>
      <c r="Z450">
        <f ca="1">IF(AND(ISNUMBER($Z$1113),$B$677=1),$Z$1113,HLOOKUP(INDIRECT(ADDRESS(2,COLUMN())),OFFSET($BN$2,0,0,ROW()-1,60),ROW()-1,FALSE))</f>
        <v>78.05978168</v>
      </c>
      <c r="AA450">
        <f ca="1">IF(AND(ISNUMBER($AA$1113),$B$677=1),$AA$1113,HLOOKUP(INDIRECT(ADDRESS(2,COLUMN())),OFFSET($BN$2,0,0,ROW()-1,60),ROW()-1,FALSE))</f>
        <v>55.574303129999997</v>
      </c>
      <c r="AB450">
        <f ca="1">IF(AND(ISNUMBER($AB$1113),$B$677=1),$AB$1113,HLOOKUP(INDIRECT(ADDRESS(2,COLUMN())),OFFSET($BN$2,0,0,ROW()-1,60),ROW()-1,FALSE))</f>
        <v>174.32339060000001</v>
      </c>
      <c r="AC450" t="str">
        <f ca="1">IF(AND(ISNUMBER($AC$1113),$B$677=1),$AC$1113,HLOOKUP(INDIRECT(ADDRESS(2,COLUMN())),OFFSET($BN$2,0,0,ROW()-1,60),ROW()-1,FALSE))</f>
        <v/>
      </c>
      <c r="AD450" t="str">
        <f ca="1">IF(AND(ISNUMBER($AD$1113),$B$677=1),$AD$1113,HLOOKUP(INDIRECT(ADDRESS(2,COLUMN())),OFFSET($BN$2,0,0,ROW()-1,60),ROW()-1,FALSE))</f>
        <v/>
      </c>
      <c r="AE450" t="str">
        <f ca="1">IF(AND(ISNUMBER($AE$1113),$B$677=1),$AE$1113,HLOOKUP(INDIRECT(ADDRESS(2,COLUMN())),OFFSET($BN$2,0,0,ROW()-1,60),ROW()-1,FALSE))</f>
        <v/>
      </c>
      <c r="AF450" t="str">
        <f ca="1">IF(AND(ISNUMBER($AF$1113),$B$677=1),$AF$1113,HLOOKUP(INDIRECT(ADDRESS(2,COLUMN())),OFFSET($BN$2,0,0,ROW()-1,60),ROW()-1,FALSE))</f>
        <v/>
      </c>
      <c r="AG450" t="str">
        <f ca="1">IF(AND(ISNUMBER($AG$1113),$B$677=1),$AG$1113,HLOOKUP(INDIRECT(ADDRESS(2,COLUMN())),OFFSET($BN$2,0,0,ROW()-1,60),ROW()-1,FALSE))</f>
        <v/>
      </c>
      <c r="AH450" t="str">
        <f ca="1">IF(AND(ISNUMBER($AH$1113),$B$677=1),$AH$1113,HLOOKUP(INDIRECT(ADDRESS(2,COLUMN())),OFFSET($BN$2,0,0,ROW()-1,60),ROW()-1,FALSE))</f>
        <v/>
      </c>
      <c r="AI450" t="str">
        <f ca="1">IF(AND(ISNUMBER($AI$1113),$B$677=1),$AI$1113,HLOOKUP(INDIRECT(ADDRESS(2,COLUMN())),OFFSET($BN$2,0,0,ROW()-1,60),ROW()-1,FALSE))</f>
        <v/>
      </c>
      <c r="AJ450" t="str">
        <f ca="1">IF(AND(ISNUMBER($AJ$1113),$B$677=1),$AJ$1113,HLOOKUP(INDIRECT(ADDRESS(2,COLUMN())),OFFSET($BN$2,0,0,ROW()-1,60),ROW()-1,FALSE))</f>
        <v/>
      </c>
      <c r="AK450" t="str">
        <f ca="1">IF(AND(ISNUMBER($AK$1113),$B$677=1),$AK$1113,HLOOKUP(INDIRECT(ADDRESS(2,COLUMN())),OFFSET($BN$2,0,0,ROW()-1,60),ROW()-1,FALSE))</f>
        <v/>
      </c>
      <c r="AL450" t="str">
        <f ca="1">IF(AND(ISNUMBER($AL$1113),$B$677=1),$AL$1113,HLOOKUP(INDIRECT(ADDRESS(2,COLUMN())),OFFSET($BN$2,0,0,ROW()-1,60),ROW()-1,FALSE))</f>
        <v/>
      </c>
      <c r="AM450" t="str">
        <f ca="1">IF(AND(ISNUMBER($AM$1113),$B$677=1),$AM$1113,HLOOKUP(INDIRECT(ADDRESS(2,COLUMN())),OFFSET($BN$2,0,0,ROW()-1,60),ROW()-1,FALSE))</f>
        <v/>
      </c>
      <c r="AN450" t="str">
        <f ca="1">IF(AND(ISNUMBER($AN$1113),$B$677=1),$AN$1113,HLOOKUP(INDIRECT(ADDRESS(2,COLUMN())),OFFSET($BN$2,0,0,ROW()-1,60),ROW()-1,FALSE))</f>
        <v/>
      </c>
      <c r="AO450" t="str">
        <f ca="1">IF(AND(ISNUMBER($AO$1113),$B$677=1),$AO$1113,HLOOKUP(INDIRECT(ADDRESS(2,COLUMN())),OFFSET($BN$2,0,0,ROW()-1,60),ROW()-1,FALSE))</f>
        <v/>
      </c>
      <c r="AP450" t="str">
        <f ca="1">IF(AND(ISNUMBER($AP$1113),$B$677=1),$AP$1113,HLOOKUP(INDIRECT(ADDRESS(2,COLUMN())),OFFSET($BN$2,0,0,ROW()-1,60),ROW()-1,FALSE))</f>
        <v/>
      </c>
      <c r="AQ450" t="str">
        <f ca="1">IF(AND(ISNUMBER($AQ$1113),$B$677=1),$AQ$1113,HLOOKUP(INDIRECT(ADDRESS(2,COLUMN())),OFFSET($BN$2,0,0,ROW()-1,60),ROW()-1,FALSE))</f>
        <v/>
      </c>
      <c r="AR450" t="str">
        <f ca="1">IF(AND(ISNUMBER($AR$1113),$B$677=1),$AR$1113,HLOOKUP(INDIRECT(ADDRESS(2,COLUMN())),OFFSET($BN$2,0,0,ROW()-1,60),ROW()-1,FALSE))</f>
        <v/>
      </c>
      <c r="AS450" t="str">
        <f ca="1">IF(AND(ISNUMBER($AS$1113),$B$677=1),$AS$1113,HLOOKUP(INDIRECT(ADDRESS(2,COLUMN())),OFFSET($BN$2,0,0,ROW()-1,60),ROW()-1,FALSE))</f>
        <v/>
      </c>
      <c r="AT450" t="str">
        <f ca="1">IF(AND(ISNUMBER($AT$1113),$B$677=1),$AT$1113,HLOOKUP(INDIRECT(ADDRESS(2,COLUMN())),OFFSET($BN$2,0,0,ROW()-1,60),ROW()-1,FALSE))</f>
        <v/>
      </c>
      <c r="AU450" t="str">
        <f ca="1">IF(AND(ISNUMBER($AU$1113),$B$677=1),$AU$1113,HLOOKUP(INDIRECT(ADDRESS(2,COLUMN())),OFFSET($BN$2,0,0,ROW()-1,60),ROW()-1,FALSE))</f>
        <v/>
      </c>
      <c r="AV450" t="str">
        <f ca="1">IF(AND(ISNUMBER($AV$1113),$B$677=1),$AV$1113,HLOOKUP(INDIRECT(ADDRESS(2,COLUMN())),OFFSET($BN$2,0,0,ROW()-1,60),ROW()-1,FALSE))</f>
        <v/>
      </c>
      <c r="AW450" t="str">
        <f ca="1">IF(AND(ISNUMBER($AW$1113),$B$677=1),$AW$1113,HLOOKUP(INDIRECT(ADDRESS(2,COLUMN())),OFFSET($BN$2,0,0,ROW()-1,60),ROW()-1,FALSE))</f>
        <v/>
      </c>
      <c r="AX450" t="str">
        <f ca="1">IF(AND(ISNUMBER($AX$1113),$B$677=1),$AX$1113,HLOOKUP(INDIRECT(ADDRESS(2,COLUMN())),OFFSET($BN$2,0,0,ROW()-1,60),ROW()-1,FALSE))</f>
        <v/>
      </c>
      <c r="AY450" t="str">
        <f ca="1">IF(AND(ISNUMBER($AY$1113),$B$677=1),$AY$1113,HLOOKUP(INDIRECT(ADDRESS(2,COLUMN())),OFFSET($BN$2,0,0,ROW()-1,60),ROW()-1,FALSE))</f>
        <v/>
      </c>
      <c r="AZ450" t="str">
        <f ca="1">IF(AND(ISNUMBER($AZ$1113),$B$677=1),$AZ$1113,HLOOKUP(INDIRECT(ADDRESS(2,COLUMN())),OFFSET($BN$2,0,0,ROW()-1,60),ROW()-1,FALSE))</f>
        <v/>
      </c>
      <c r="BA450" t="str">
        <f ca="1">IF(AND(ISNUMBER($BA$1113),$B$677=1),$BA$1113,HLOOKUP(INDIRECT(ADDRESS(2,COLUMN())),OFFSET($BN$2,0,0,ROW()-1,60),ROW()-1,FALSE))</f>
        <v/>
      </c>
      <c r="BB450" t="str">
        <f ca="1">IF(AND(ISNUMBER($BB$1113),$B$677=1),$BB$1113,HLOOKUP(INDIRECT(ADDRESS(2,COLUMN())),OFFSET($BN$2,0,0,ROW()-1,60),ROW()-1,FALSE))</f>
        <v/>
      </c>
      <c r="BC450" t="str">
        <f ca="1">IF(AND(ISNUMBER($BC$1113),$B$677=1),$BC$1113,HLOOKUP(INDIRECT(ADDRESS(2,COLUMN())),OFFSET($BN$2,0,0,ROW()-1,60),ROW()-1,FALSE))</f>
        <v/>
      </c>
      <c r="BD450" t="str">
        <f ca="1">IF(AND(ISNUMBER($BD$1113),$B$677=1),$BD$1113,HLOOKUP(INDIRECT(ADDRESS(2,COLUMN())),OFFSET($BN$2,0,0,ROW()-1,60),ROW()-1,FALSE))</f>
        <v/>
      </c>
      <c r="BE450" t="str">
        <f ca="1">IF(AND(ISNUMBER($BE$1113),$B$677=1),$BE$1113,HLOOKUP(INDIRECT(ADDRESS(2,COLUMN())),OFFSET($BN$2,0,0,ROW()-1,60),ROW()-1,FALSE))</f>
        <v/>
      </c>
      <c r="BF450" t="str">
        <f ca="1">IF(AND(ISNUMBER($BF$1113),$B$677=1),$BF$1113,HLOOKUP(INDIRECT(ADDRESS(2,COLUMN())),OFFSET($BN$2,0,0,ROW()-1,60),ROW()-1,FALSE))</f>
        <v/>
      </c>
      <c r="BG450" t="str">
        <f ca="1">IF(AND(ISNUMBER($BG$1113),$B$677=1),$BG$1113,HLOOKUP(INDIRECT(ADDRESS(2,COLUMN())),OFFSET($BN$2,0,0,ROW()-1,60),ROW()-1,FALSE))</f>
        <v/>
      </c>
      <c r="BH450" t="str">
        <f ca="1">IF(AND(ISNUMBER($BH$1113),$B$677=1),$BH$1113,HLOOKUP(INDIRECT(ADDRESS(2,COLUMN())),OFFSET($BN$2,0,0,ROW()-1,60),ROW()-1,FALSE))</f>
        <v/>
      </c>
      <c r="BI450" t="str">
        <f ca="1">IF(AND(ISNUMBER($BI$1113),$B$677=1),$BI$1113,HLOOKUP(INDIRECT(ADDRESS(2,COLUMN())),OFFSET($BN$2,0,0,ROW()-1,60),ROW()-1,FALSE))</f>
        <v/>
      </c>
      <c r="BJ450" t="str">
        <f ca="1">IF(AND(ISNUMBER($BJ$1113),$B$677=1),$BJ$1113,HLOOKUP(INDIRECT(ADDRESS(2,COLUMN())),OFFSET($BN$2,0,0,ROW()-1,60),ROW()-1,FALSE))</f>
        <v/>
      </c>
      <c r="BK450" t="str">
        <f ca="1">IF(AND(ISNUMBER($BK$1113),$B$677=1),$BK$1113,HLOOKUP(INDIRECT(ADDRESS(2,COLUMN())),OFFSET($BN$2,0,0,ROW()-1,60),ROW()-1,FALSE))</f>
        <v/>
      </c>
      <c r="BL450" t="str">
        <f ca="1">IF(AND(ISNUMBER($BL$1113),$B$677=1),$BL$1113,HLOOKUP(INDIRECT(ADDRESS(2,COLUMN())),OFFSET($BN$2,0,0,ROW()-1,60),ROW()-1,FALSE))</f>
        <v/>
      </c>
      <c r="BM450" t="str">
        <f ca="1">IF(AND(ISNUMBER($BM$1113),$B$677=1),$BM$1113,HLOOKUP(INDIRECT(ADDRESS(2,COLUMN())),OFFSET($BN$2,0,0,ROW()-1,60),ROW()-1,FALSE))</f>
        <v/>
      </c>
      <c r="BN450" t="str">
        <f>""</f>
        <v/>
      </c>
      <c r="BO450">
        <f>31.99462695</f>
        <v>31.994626950000001</v>
      </c>
      <c r="BP450">
        <f>40.4804382</f>
        <v>40.480438200000002</v>
      </c>
      <c r="BQ450" t="str">
        <f>""</f>
        <v/>
      </c>
      <c r="BR450" t="str">
        <f>""</f>
        <v/>
      </c>
      <c r="BS450" t="str">
        <f>""</f>
        <v/>
      </c>
      <c r="BT450" t="str">
        <f>""</f>
        <v/>
      </c>
      <c r="BU450" t="str">
        <f>""</f>
        <v/>
      </c>
      <c r="BV450">
        <f>908.4526972</f>
        <v>908.45269719999999</v>
      </c>
      <c r="BW450" t="str">
        <f>""</f>
        <v/>
      </c>
      <c r="BX450">
        <f>102.4976276</f>
        <v>102.4976276</v>
      </c>
      <c r="BY450" t="str">
        <f>""</f>
        <v/>
      </c>
      <c r="BZ450" t="str">
        <f>""</f>
        <v/>
      </c>
      <c r="CA450" t="str">
        <f>""</f>
        <v/>
      </c>
      <c r="CB450" t="str">
        <f>""</f>
        <v/>
      </c>
      <c r="CC450" t="str">
        <f>""</f>
        <v/>
      </c>
      <c r="CD450" t="str">
        <f>""</f>
        <v/>
      </c>
      <c r="CE450" t="str">
        <f>""</f>
        <v/>
      </c>
      <c r="CF450">
        <f>186.8102592</f>
        <v>186.81025919999999</v>
      </c>
      <c r="CG450">
        <f>100.2920964</f>
        <v>100.29209640000001</v>
      </c>
      <c r="CH450">
        <f>78.05978168</f>
        <v>78.05978168</v>
      </c>
      <c r="CI450">
        <f>55.57430313</f>
        <v>55.574303129999997</v>
      </c>
      <c r="CJ450">
        <f>174.3233906</f>
        <v>174.32339060000001</v>
      </c>
      <c r="CK450" t="str">
        <f>""</f>
        <v/>
      </c>
      <c r="CL450" t="str">
        <f>""</f>
        <v/>
      </c>
      <c r="CM450" t="str">
        <f>""</f>
        <v/>
      </c>
      <c r="CN450" t="str">
        <f>""</f>
        <v/>
      </c>
      <c r="CO450" t="str">
        <f>""</f>
        <v/>
      </c>
      <c r="CP450" t="str">
        <f>""</f>
        <v/>
      </c>
      <c r="CQ450" t="str">
        <f>""</f>
        <v/>
      </c>
      <c r="CR450" t="str">
        <f>""</f>
        <v/>
      </c>
      <c r="CS450" t="str">
        <f>""</f>
        <v/>
      </c>
      <c r="CT450" t="str">
        <f>""</f>
        <v/>
      </c>
      <c r="CU450" t="str">
        <f>""</f>
        <v/>
      </c>
      <c r="CV450" t="str">
        <f>""</f>
        <v/>
      </c>
      <c r="CW450" t="str">
        <f>""</f>
        <v/>
      </c>
      <c r="CX450" t="str">
        <f>""</f>
        <v/>
      </c>
      <c r="CY450" t="str">
        <f>""</f>
        <v/>
      </c>
      <c r="CZ450" t="str">
        <f>""</f>
        <v/>
      </c>
      <c r="DA450" t="str">
        <f>""</f>
        <v/>
      </c>
      <c r="DB450" t="str">
        <f>""</f>
        <v/>
      </c>
      <c r="DC450" t="str">
        <f>""</f>
        <v/>
      </c>
      <c r="DD450" t="str">
        <f>""</f>
        <v/>
      </c>
      <c r="DE450" t="str">
        <f>""</f>
        <v/>
      </c>
      <c r="DF450" t="str">
        <f>""</f>
        <v/>
      </c>
      <c r="DG450" t="str">
        <f>""</f>
        <v/>
      </c>
      <c r="DH450" t="str">
        <f>""</f>
        <v/>
      </c>
      <c r="DI450" t="str">
        <f>""</f>
        <v/>
      </c>
      <c r="DJ450" t="str">
        <f>""</f>
        <v/>
      </c>
      <c r="DK450" t="str">
        <f>""</f>
        <v/>
      </c>
      <c r="DL450" t="str">
        <f>""</f>
        <v/>
      </c>
      <c r="DM450" t="str">
        <f>""</f>
        <v/>
      </c>
      <c r="DN450" t="str">
        <f>""</f>
        <v/>
      </c>
      <c r="DO450" t="str">
        <f>""</f>
        <v/>
      </c>
      <c r="DP450" t="str">
        <f>""</f>
        <v/>
      </c>
      <c r="DQ450" t="str">
        <f>""</f>
        <v/>
      </c>
      <c r="DR450" t="str">
        <f>""</f>
        <v/>
      </c>
      <c r="DS450" t="str">
        <f>""</f>
        <v/>
      </c>
      <c r="DT450" t="str">
        <f>""</f>
        <v/>
      </c>
      <c r="DU450" t="str">
        <f>""</f>
        <v/>
      </c>
    </row>
    <row r="451" spans="1:125" x14ac:dyDescent="0.25">
      <c r="A451" t="str">
        <f>"    Tianjin Faw Xiali Automobile Co Ltd"</f>
        <v xml:space="preserve">    Tianjin Faw Xiali Automobile Co Ltd</v>
      </c>
      <c r="B451" t="str">
        <f>"000927 CH Equity"</f>
        <v>000927 CH Equity</v>
      </c>
      <c r="C451" t="str">
        <f t="shared" si="30"/>
        <v>RR477</v>
      </c>
      <c r="D451" t="str">
        <f t="shared" si="31"/>
        <v>EV_TO_T12M_CASH_FLOW</v>
      </c>
      <c r="E451" t="str">
        <f t="shared" si="32"/>
        <v>Dynamic</v>
      </c>
      <c r="F451" t="str">
        <f ca="1">IF(AND(ISNUMBER($F$1114),$B$677=1),$F$1114,HLOOKUP(INDIRECT(ADDRESS(2,COLUMN())),OFFSET($BN$2,0,0,ROW()-1,60),ROW()-1,FALSE))</f>
        <v/>
      </c>
      <c r="G451" t="str">
        <f ca="1">IF(AND(ISNUMBER($G$1114),$B$677=1),$G$1114,HLOOKUP(INDIRECT(ADDRESS(2,COLUMN())),OFFSET($BN$2,0,0,ROW()-1,60),ROW()-1,FALSE))</f>
        <v/>
      </c>
      <c r="H451" t="str">
        <f ca="1">IF(AND(ISNUMBER($H$1114),$B$677=1),$H$1114,HLOOKUP(INDIRECT(ADDRESS(2,COLUMN())),OFFSET($BN$2,0,0,ROW()-1,60),ROW()-1,FALSE))</f>
        <v/>
      </c>
      <c r="I451" t="str">
        <f ca="1">IF(AND(ISNUMBER($I$1114),$B$677=1),$I$1114,HLOOKUP(INDIRECT(ADDRESS(2,COLUMN())),OFFSET($BN$2,0,0,ROW()-1,60),ROW()-1,FALSE))</f>
        <v/>
      </c>
      <c r="J451" t="str">
        <f ca="1">IF(AND(ISNUMBER($J$1114),$B$677=1),$J$1114,HLOOKUP(INDIRECT(ADDRESS(2,COLUMN())),OFFSET($BN$2,0,0,ROW()-1,60),ROW()-1,FALSE))</f>
        <v/>
      </c>
      <c r="K451" t="str">
        <f ca="1">IF(AND(ISNUMBER($K$1114),$B$677=1),$K$1114,HLOOKUP(INDIRECT(ADDRESS(2,COLUMN())),OFFSET($BN$2,0,0,ROW()-1,60),ROW()-1,FALSE))</f>
        <v/>
      </c>
      <c r="L451" t="str">
        <f ca="1">IF(AND(ISNUMBER($L$1114),$B$677=1),$L$1114,HLOOKUP(INDIRECT(ADDRESS(2,COLUMN())),OFFSET($BN$2,0,0,ROW()-1,60),ROW()-1,FALSE))</f>
        <v/>
      </c>
      <c r="M451" t="str">
        <f ca="1">IF(AND(ISNUMBER($M$1114),$B$677=1),$M$1114,HLOOKUP(INDIRECT(ADDRESS(2,COLUMN())),OFFSET($BN$2,0,0,ROW()-1,60),ROW()-1,FALSE))</f>
        <v/>
      </c>
      <c r="N451" t="str">
        <f ca="1">IF(AND(ISNUMBER($N$1114),$B$677=1),$N$1114,HLOOKUP(INDIRECT(ADDRESS(2,COLUMN())),OFFSET($BN$2,0,0,ROW()-1,60),ROW()-1,FALSE))</f>
        <v/>
      </c>
      <c r="O451" t="str">
        <f ca="1">IF(AND(ISNUMBER($O$1114),$B$677=1),$O$1114,HLOOKUP(INDIRECT(ADDRESS(2,COLUMN())),OFFSET($BN$2,0,0,ROW()-1,60),ROW()-1,FALSE))</f>
        <v/>
      </c>
      <c r="P451" t="str">
        <f ca="1">IF(AND(ISNUMBER($P$1114),$B$677=1),$P$1114,HLOOKUP(INDIRECT(ADDRESS(2,COLUMN())),OFFSET($BN$2,0,0,ROW()-1,60),ROW()-1,FALSE))</f>
        <v/>
      </c>
      <c r="Q451" t="str">
        <f ca="1">IF(AND(ISNUMBER($Q$1114),$B$677=1),$Q$1114,HLOOKUP(INDIRECT(ADDRESS(2,COLUMN())),OFFSET($BN$2,0,0,ROW()-1,60),ROW()-1,FALSE))</f>
        <v/>
      </c>
      <c r="R451" t="str">
        <f ca="1">IF(AND(ISNUMBER($R$1114),$B$677=1),$R$1114,HLOOKUP(INDIRECT(ADDRESS(2,COLUMN())),OFFSET($BN$2,0,0,ROW()-1,60),ROW()-1,FALSE))</f>
        <v/>
      </c>
      <c r="S451" t="str">
        <f ca="1">IF(AND(ISNUMBER($S$1114),$B$677=1),$S$1114,HLOOKUP(INDIRECT(ADDRESS(2,COLUMN())),OFFSET($BN$2,0,0,ROW()-1,60),ROW()-1,FALSE))</f>
        <v/>
      </c>
      <c r="T451" t="str">
        <f ca="1">IF(AND(ISNUMBER($T$1114),$B$677=1),$T$1114,HLOOKUP(INDIRECT(ADDRESS(2,COLUMN())),OFFSET($BN$2,0,0,ROW()-1,60),ROW()-1,FALSE))</f>
        <v/>
      </c>
      <c r="U451" t="str">
        <f ca="1">IF(AND(ISNUMBER($U$1114),$B$677=1),$U$1114,HLOOKUP(INDIRECT(ADDRESS(2,COLUMN())),OFFSET($BN$2,0,0,ROW()-1,60),ROW()-1,FALSE))</f>
        <v/>
      </c>
      <c r="V451" t="str">
        <f ca="1">IF(AND(ISNUMBER($V$1114),$B$677=1),$V$1114,HLOOKUP(INDIRECT(ADDRESS(2,COLUMN())),OFFSET($BN$2,0,0,ROW()-1,60),ROW()-1,FALSE))</f>
        <v/>
      </c>
      <c r="W451" t="str">
        <f ca="1">IF(AND(ISNUMBER($W$1114),$B$677=1),$W$1114,HLOOKUP(INDIRECT(ADDRESS(2,COLUMN())),OFFSET($BN$2,0,0,ROW()-1,60),ROW()-1,FALSE))</f>
        <v/>
      </c>
      <c r="X451" t="str">
        <f ca="1">IF(AND(ISNUMBER($X$1114),$B$677=1),$X$1114,HLOOKUP(INDIRECT(ADDRESS(2,COLUMN())),OFFSET($BN$2,0,0,ROW()-1,60),ROW()-1,FALSE))</f>
        <v/>
      </c>
      <c r="Y451" t="str">
        <f ca="1">IF(AND(ISNUMBER($Y$1114),$B$677=1),$Y$1114,HLOOKUP(INDIRECT(ADDRESS(2,COLUMN())),OFFSET($BN$2,0,0,ROW()-1,60),ROW()-1,FALSE))</f>
        <v/>
      </c>
      <c r="Z451" t="str">
        <f ca="1">IF(AND(ISNUMBER($Z$1114),$B$677=1),$Z$1114,HLOOKUP(INDIRECT(ADDRESS(2,COLUMN())),OFFSET($BN$2,0,0,ROW()-1,60),ROW()-1,FALSE))</f>
        <v/>
      </c>
      <c r="AA451" t="str">
        <f ca="1">IF(AND(ISNUMBER($AA$1114),$B$677=1),$AA$1114,HLOOKUP(INDIRECT(ADDRESS(2,COLUMN())),OFFSET($BN$2,0,0,ROW()-1,60),ROW()-1,FALSE))</f>
        <v/>
      </c>
      <c r="AB451" t="str">
        <f ca="1">IF(AND(ISNUMBER($AB$1114),$B$677=1),$AB$1114,HLOOKUP(INDIRECT(ADDRESS(2,COLUMN())),OFFSET($BN$2,0,0,ROW()-1,60),ROW()-1,FALSE))</f>
        <v/>
      </c>
      <c r="AC451">
        <f ca="1">IF(AND(ISNUMBER($AC$1114),$B$677=1),$AC$1114,HLOOKUP(INDIRECT(ADDRESS(2,COLUMN())),OFFSET($BN$2,0,0,ROW()-1,60),ROW()-1,FALSE))</f>
        <v>17.359006040000001</v>
      </c>
      <c r="AD451">
        <f ca="1">IF(AND(ISNUMBER($AD$1114),$B$677=1),$AD$1114,HLOOKUP(INDIRECT(ADDRESS(2,COLUMN())),OFFSET($BN$2,0,0,ROW()-1,60),ROW()-1,FALSE))</f>
        <v>35.25451485</v>
      </c>
      <c r="AE451">
        <f ca="1">IF(AND(ISNUMBER($AE$1114),$B$677=1),$AE$1114,HLOOKUP(INDIRECT(ADDRESS(2,COLUMN())),OFFSET($BN$2,0,0,ROW()-1,60),ROW()-1,FALSE))</f>
        <v>62.815600850000003</v>
      </c>
      <c r="AF451">
        <f ca="1">IF(AND(ISNUMBER($AF$1114),$B$677=1),$AF$1114,HLOOKUP(INDIRECT(ADDRESS(2,COLUMN())),OFFSET($BN$2,0,0,ROW()-1,60),ROW()-1,FALSE))</f>
        <v>70.590978960000001</v>
      </c>
      <c r="AG451">
        <f ca="1">IF(AND(ISNUMBER($AG$1114),$B$677=1),$AG$1114,HLOOKUP(INDIRECT(ADDRESS(2,COLUMN())),OFFSET($BN$2,0,0,ROW()-1,60),ROW()-1,FALSE))</f>
        <v>259.36143959999998</v>
      </c>
      <c r="AH451">
        <f ca="1">IF(AND(ISNUMBER($AH$1114),$B$677=1),$AH$1114,HLOOKUP(INDIRECT(ADDRESS(2,COLUMN())),OFFSET($BN$2,0,0,ROW()-1,60),ROW()-1,FALSE))</f>
        <v>26.907625329999998</v>
      </c>
      <c r="AI451">
        <f ca="1">IF(AND(ISNUMBER($AI$1114),$B$677=1),$AI$1114,HLOOKUP(INDIRECT(ADDRESS(2,COLUMN())),OFFSET($BN$2,0,0,ROW()-1,60),ROW()-1,FALSE))</f>
        <v>23.07664123</v>
      </c>
      <c r="AJ451">
        <f ca="1">IF(AND(ISNUMBER($AJ$1114),$B$677=1),$AJ$1114,HLOOKUP(INDIRECT(ADDRESS(2,COLUMN())),OFFSET($BN$2,0,0,ROW()-1,60),ROW()-1,FALSE))</f>
        <v>21.403527889999999</v>
      </c>
      <c r="AK451">
        <f ca="1">IF(AND(ISNUMBER($AK$1114),$B$677=1),$AK$1114,HLOOKUP(INDIRECT(ADDRESS(2,COLUMN())),OFFSET($BN$2,0,0,ROW()-1,60),ROW()-1,FALSE))</f>
        <v>25.660091510000001</v>
      </c>
      <c r="AL451" t="str">
        <f ca="1">IF(AND(ISNUMBER($AL$1114),$B$677=1),$AL$1114,HLOOKUP(INDIRECT(ADDRESS(2,COLUMN())),OFFSET($BN$2,0,0,ROW()-1,60),ROW()-1,FALSE))</f>
        <v/>
      </c>
      <c r="AM451">
        <f ca="1">IF(AND(ISNUMBER($AM$1114),$B$677=1),$AM$1114,HLOOKUP(INDIRECT(ADDRESS(2,COLUMN())),OFFSET($BN$2,0,0,ROW()-1,60),ROW()-1,FALSE))</f>
        <v>247.02493319999999</v>
      </c>
      <c r="AN451" t="str">
        <f ca="1">IF(AND(ISNUMBER($AN$1114),$B$677=1),$AN$1114,HLOOKUP(INDIRECT(ADDRESS(2,COLUMN())),OFFSET($BN$2,0,0,ROW()-1,60),ROW()-1,FALSE))</f>
        <v/>
      </c>
      <c r="AO451">
        <f ca="1">IF(AND(ISNUMBER($AO$1114),$B$677=1),$AO$1114,HLOOKUP(INDIRECT(ADDRESS(2,COLUMN())),OFFSET($BN$2,0,0,ROW()-1,60),ROW()-1,FALSE))</f>
        <v>19.34771422</v>
      </c>
      <c r="AP451">
        <f ca="1">IF(AND(ISNUMBER($AP$1114),$B$677=1),$AP$1114,HLOOKUP(INDIRECT(ADDRESS(2,COLUMN())),OFFSET($BN$2,0,0,ROW()-1,60),ROW()-1,FALSE))</f>
        <v>30.081354600000001</v>
      </c>
      <c r="AQ451">
        <f ca="1">IF(AND(ISNUMBER($AQ$1114),$B$677=1),$AQ$1114,HLOOKUP(INDIRECT(ADDRESS(2,COLUMN())),OFFSET($BN$2,0,0,ROW()-1,60),ROW()-1,FALSE))</f>
        <v>45.225356869999999</v>
      </c>
      <c r="AR451">
        <f ca="1">IF(AND(ISNUMBER($AR$1114),$B$677=1),$AR$1114,HLOOKUP(INDIRECT(ADDRESS(2,COLUMN())),OFFSET($BN$2,0,0,ROW()-1,60),ROW()-1,FALSE))</f>
        <v>12.632363639999999</v>
      </c>
      <c r="AS451" t="str">
        <f ca="1">IF(AND(ISNUMBER($AS$1114),$B$677=1),$AS$1114,HLOOKUP(INDIRECT(ADDRESS(2,COLUMN())),OFFSET($BN$2,0,0,ROW()-1,60),ROW()-1,FALSE))</f>
        <v/>
      </c>
      <c r="AT451" t="str">
        <f ca="1">IF(AND(ISNUMBER($AT$1114),$B$677=1),$AT$1114,HLOOKUP(INDIRECT(ADDRESS(2,COLUMN())),OFFSET($BN$2,0,0,ROW()-1,60),ROW()-1,FALSE))</f>
        <v/>
      </c>
      <c r="AU451" t="str">
        <f ca="1">IF(AND(ISNUMBER($AU$1114),$B$677=1),$AU$1114,HLOOKUP(INDIRECT(ADDRESS(2,COLUMN())),OFFSET($BN$2,0,0,ROW()-1,60),ROW()-1,FALSE))</f>
        <v/>
      </c>
      <c r="AV451" t="str">
        <f ca="1">IF(AND(ISNUMBER($AV$1114),$B$677=1),$AV$1114,HLOOKUP(INDIRECT(ADDRESS(2,COLUMN())),OFFSET($BN$2,0,0,ROW()-1,60),ROW()-1,FALSE))</f>
        <v/>
      </c>
      <c r="AW451">
        <f ca="1">IF(AND(ISNUMBER($AW$1114),$B$677=1),$AW$1114,HLOOKUP(INDIRECT(ADDRESS(2,COLUMN())),OFFSET($BN$2,0,0,ROW()-1,60),ROW()-1,FALSE))</f>
        <v>67.783590610000005</v>
      </c>
      <c r="AX451">
        <f ca="1">IF(AND(ISNUMBER($AX$1114),$B$677=1),$AX$1114,HLOOKUP(INDIRECT(ADDRESS(2,COLUMN())),OFFSET($BN$2,0,0,ROW()-1,60),ROW()-1,FALSE))</f>
        <v>45.031286309999999</v>
      </c>
      <c r="AY451">
        <f ca="1">IF(AND(ISNUMBER($AY$1114),$B$677=1),$AY$1114,HLOOKUP(INDIRECT(ADDRESS(2,COLUMN())),OFFSET($BN$2,0,0,ROW()-1,60),ROW()-1,FALSE))</f>
        <v>109.8779347</v>
      </c>
      <c r="AZ451">
        <f ca="1">IF(AND(ISNUMBER($AZ$1114),$B$677=1),$AZ$1114,HLOOKUP(INDIRECT(ADDRESS(2,COLUMN())),OFFSET($BN$2,0,0,ROW()-1,60),ROW()-1,FALSE))</f>
        <v>303.35626819999999</v>
      </c>
      <c r="BA451">
        <f ca="1">IF(AND(ISNUMBER($BA$1114),$B$677=1),$BA$1114,HLOOKUP(INDIRECT(ADDRESS(2,COLUMN())),OFFSET($BN$2,0,0,ROW()-1,60),ROW()-1,FALSE))</f>
        <v>11.488690849999999</v>
      </c>
      <c r="BB451">
        <f ca="1">IF(AND(ISNUMBER($BB$1114),$B$677=1),$BB$1114,HLOOKUP(INDIRECT(ADDRESS(2,COLUMN())),OFFSET($BN$2,0,0,ROW()-1,60),ROW()-1,FALSE))</f>
        <v>12.15344245</v>
      </c>
      <c r="BC451">
        <f ca="1">IF(AND(ISNUMBER($BC$1114),$B$677=1),$BC$1114,HLOOKUP(INDIRECT(ADDRESS(2,COLUMN())),OFFSET($BN$2,0,0,ROW()-1,60),ROW()-1,FALSE))</f>
        <v>5.1318958160000001</v>
      </c>
      <c r="BD451">
        <f ca="1">IF(AND(ISNUMBER($BD$1114),$B$677=1),$BD$1114,HLOOKUP(INDIRECT(ADDRESS(2,COLUMN())),OFFSET($BN$2,0,0,ROW()-1,60),ROW()-1,FALSE))</f>
        <v>3.7818005979999998</v>
      </c>
      <c r="BE451">
        <f ca="1">IF(AND(ISNUMBER($BE$1114),$B$677=1),$BE$1114,HLOOKUP(INDIRECT(ADDRESS(2,COLUMN())),OFFSET($BN$2,0,0,ROW()-1,60),ROW()-1,FALSE))</f>
        <v>9.5081429320000002</v>
      </c>
      <c r="BF451">
        <f ca="1">IF(AND(ISNUMBER($BF$1114),$B$677=1),$BF$1114,HLOOKUP(INDIRECT(ADDRESS(2,COLUMN())),OFFSET($BN$2,0,0,ROW()-1,60),ROW()-1,FALSE))</f>
        <v>8.2991032019999995</v>
      </c>
      <c r="BG451">
        <f ca="1">IF(AND(ISNUMBER($BG$1114),$B$677=1),$BG$1114,HLOOKUP(INDIRECT(ADDRESS(2,COLUMN())),OFFSET($BN$2,0,0,ROW()-1,60),ROW()-1,FALSE))</f>
        <v>7.4650240749999996</v>
      </c>
      <c r="BH451">
        <f ca="1">IF(AND(ISNUMBER($BH$1114),$B$677=1),$BH$1114,HLOOKUP(INDIRECT(ADDRESS(2,COLUMN())),OFFSET($BN$2,0,0,ROW()-1,60),ROW()-1,FALSE))</f>
        <v>7.6653672750000004</v>
      </c>
      <c r="BI451">
        <f ca="1">IF(AND(ISNUMBER($BI$1114),$B$677=1),$BI$1114,HLOOKUP(INDIRECT(ADDRESS(2,COLUMN())),OFFSET($BN$2,0,0,ROW()-1,60),ROW()-1,FALSE))</f>
        <v>8.4705637029999998</v>
      </c>
      <c r="BJ451">
        <f ca="1">IF(AND(ISNUMBER($BJ$1114),$B$677=1),$BJ$1114,HLOOKUP(INDIRECT(ADDRESS(2,COLUMN())),OFFSET($BN$2,0,0,ROW()-1,60),ROW()-1,FALSE))</f>
        <v>21.52886651</v>
      </c>
      <c r="BK451">
        <f ca="1">IF(AND(ISNUMBER($BK$1114),$B$677=1),$BK$1114,HLOOKUP(INDIRECT(ADDRESS(2,COLUMN())),OFFSET($BN$2,0,0,ROW()-1,60),ROW()-1,FALSE))</f>
        <v>119.81422310000001</v>
      </c>
      <c r="BL451" t="str">
        <f ca="1">IF(AND(ISNUMBER($BL$1114),$B$677=1),$BL$1114,HLOOKUP(INDIRECT(ADDRESS(2,COLUMN())),OFFSET($BN$2,0,0,ROW()-1,60),ROW()-1,FALSE))</f>
        <v/>
      </c>
      <c r="BM451">
        <f ca="1">IF(AND(ISNUMBER($BM$1114),$B$677=1),$BM$1114,HLOOKUP(INDIRECT(ADDRESS(2,COLUMN())),OFFSET($BN$2,0,0,ROW()-1,60),ROW()-1,FALSE))</f>
        <v>184.5424936</v>
      </c>
      <c r="BN451" t="str">
        <f>""</f>
        <v/>
      </c>
      <c r="BO451" t="str">
        <f>""</f>
        <v/>
      </c>
      <c r="BP451" t="str">
        <f>""</f>
        <v/>
      </c>
      <c r="BQ451" t="str">
        <f>""</f>
        <v/>
      </c>
      <c r="BR451" t="str">
        <f>""</f>
        <v/>
      </c>
      <c r="BS451" t="str">
        <f>""</f>
        <v/>
      </c>
      <c r="BT451" t="str">
        <f>""</f>
        <v/>
      </c>
      <c r="BU451" t="str">
        <f>""</f>
        <v/>
      </c>
      <c r="BV451" t="str">
        <f>""</f>
        <v/>
      </c>
      <c r="BW451" t="str">
        <f>""</f>
        <v/>
      </c>
      <c r="BX451" t="str">
        <f>""</f>
        <v/>
      </c>
      <c r="BY451" t="str">
        <f>""</f>
        <v/>
      </c>
      <c r="BZ451" t="str">
        <f>""</f>
        <v/>
      </c>
      <c r="CA451" t="str">
        <f>""</f>
        <v/>
      </c>
      <c r="CB451" t="str">
        <f>""</f>
        <v/>
      </c>
      <c r="CC451" t="str">
        <f>""</f>
        <v/>
      </c>
      <c r="CD451" t="str">
        <f>""</f>
        <v/>
      </c>
      <c r="CE451" t="str">
        <f>""</f>
        <v/>
      </c>
      <c r="CF451" t="str">
        <f>""</f>
        <v/>
      </c>
      <c r="CG451" t="str">
        <f>""</f>
        <v/>
      </c>
      <c r="CH451" t="str">
        <f>""</f>
        <v/>
      </c>
      <c r="CI451" t="str">
        <f>""</f>
        <v/>
      </c>
      <c r="CJ451" t="str">
        <f>""</f>
        <v/>
      </c>
      <c r="CK451">
        <f>17.35900604</f>
        <v>17.359006040000001</v>
      </c>
      <c r="CL451">
        <f>35.25451485</f>
        <v>35.25451485</v>
      </c>
      <c r="CM451">
        <f>62.81560085</f>
        <v>62.815600850000003</v>
      </c>
      <c r="CN451">
        <f>70.59097896</f>
        <v>70.590978960000001</v>
      </c>
      <c r="CO451">
        <f>259.3614396</f>
        <v>259.36143959999998</v>
      </c>
      <c r="CP451">
        <f>26.90762533</f>
        <v>26.907625329999998</v>
      </c>
      <c r="CQ451">
        <f>23.07664123</f>
        <v>23.07664123</v>
      </c>
      <c r="CR451">
        <f>21.40352789</f>
        <v>21.403527889999999</v>
      </c>
      <c r="CS451">
        <f>25.66009151</f>
        <v>25.660091510000001</v>
      </c>
      <c r="CT451" t="str">
        <f>""</f>
        <v/>
      </c>
      <c r="CU451">
        <f>247.0249332</f>
        <v>247.02493319999999</v>
      </c>
      <c r="CV451" t="str">
        <f>""</f>
        <v/>
      </c>
      <c r="CW451">
        <f>19.34771422</f>
        <v>19.34771422</v>
      </c>
      <c r="CX451">
        <f>30.0813546</f>
        <v>30.081354600000001</v>
      </c>
      <c r="CY451">
        <f>45.22535687</f>
        <v>45.225356869999999</v>
      </c>
      <c r="CZ451">
        <f>12.63236364</f>
        <v>12.632363639999999</v>
      </c>
      <c r="DA451" t="str">
        <f>""</f>
        <v/>
      </c>
      <c r="DB451" t="str">
        <f>""</f>
        <v/>
      </c>
      <c r="DC451" t="str">
        <f>""</f>
        <v/>
      </c>
      <c r="DD451" t="str">
        <f>""</f>
        <v/>
      </c>
      <c r="DE451">
        <f>67.78359061</f>
        <v>67.783590610000005</v>
      </c>
      <c r="DF451">
        <f>45.03128631</f>
        <v>45.031286309999999</v>
      </c>
      <c r="DG451">
        <f>109.8779347</f>
        <v>109.8779347</v>
      </c>
      <c r="DH451">
        <f>303.3562682</f>
        <v>303.35626819999999</v>
      </c>
      <c r="DI451">
        <f>11.48869085</f>
        <v>11.488690849999999</v>
      </c>
      <c r="DJ451">
        <f>12.15344245</f>
        <v>12.15344245</v>
      </c>
      <c r="DK451">
        <f>5.131895816</f>
        <v>5.1318958160000001</v>
      </c>
      <c r="DL451">
        <f>3.781800598</f>
        <v>3.7818005979999998</v>
      </c>
      <c r="DM451">
        <f>9.508142932</f>
        <v>9.5081429320000002</v>
      </c>
      <c r="DN451">
        <f>8.299103202</f>
        <v>8.2991032019999995</v>
      </c>
      <c r="DO451">
        <f>7.465024075</f>
        <v>7.4650240749999996</v>
      </c>
      <c r="DP451">
        <f>7.665367275</f>
        <v>7.6653672750000004</v>
      </c>
      <c r="DQ451">
        <f>8.470563703</f>
        <v>8.4705637029999998</v>
      </c>
      <c r="DR451">
        <f>21.52886651</f>
        <v>21.52886651</v>
      </c>
      <c r="DS451">
        <f>119.8142231</f>
        <v>119.81422310000001</v>
      </c>
      <c r="DT451" t="str">
        <f>""</f>
        <v/>
      </c>
      <c r="DU451">
        <f>184.5424936</f>
        <v>184.5424936</v>
      </c>
    </row>
    <row r="452" spans="1:125" x14ac:dyDescent="0.25">
      <c r="A452" t="str">
        <f>"    Tofas Turk Otomobil Fabrikasi AS"</f>
        <v xml:space="preserve">    Tofas Turk Otomobil Fabrikasi AS</v>
      </c>
      <c r="B452" t="str">
        <f>"TOASOTRY EO Equity"</f>
        <v>TOASOTRY EO Equity</v>
      </c>
      <c r="C452" t="str">
        <f t="shared" si="30"/>
        <v>RR477</v>
      </c>
      <c r="D452" t="str">
        <f t="shared" si="31"/>
        <v>EV_TO_T12M_CASH_FLOW</v>
      </c>
      <c r="E452" t="str">
        <f t="shared" si="32"/>
        <v>Dynamic</v>
      </c>
      <c r="F452" t="str">
        <f ca="1">IF(AND(ISNUMBER($F$1115),$B$677=1),$F$1115,HLOOKUP(INDIRECT(ADDRESS(2,COLUMN())),OFFSET($BN$2,0,0,ROW()-1,60),ROW()-1,FALSE))</f>
        <v/>
      </c>
      <c r="G452">
        <f ca="1">IF(AND(ISNUMBER($G$1115),$B$677=1),$G$1115,HLOOKUP(INDIRECT(ADDRESS(2,COLUMN())),OFFSET($BN$2,0,0,ROW()-1,60),ROW()-1,FALSE))</f>
        <v>8.3562309199999998</v>
      </c>
      <c r="H452">
        <f ca="1">IF(AND(ISNUMBER($H$1115),$B$677=1),$H$1115,HLOOKUP(INDIRECT(ADDRESS(2,COLUMN())),OFFSET($BN$2,0,0,ROW()-1,60),ROW()-1,FALSE))</f>
        <v>72.233554420000004</v>
      </c>
      <c r="I452">
        <f ca="1">IF(AND(ISNUMBER($I$1115),$B$677=1),$I$1115,HLOOKUP(INDIRECT(ADDRESS(2,COLUMN())),OFFSET($BN$2,0,0,ROW()-1,60),ROW()-1,FALSE))</f>
        <v>9.9811139109999996</v>
      </c>
      <c r="J452">
        <f ca="1">IF(AND(ISNUMBER($J$1115),$B$677=1),$J$1115,HLOOKUP(INDIRECT(ADDRESS(2,COLUMN())),OFFSET($BN$2,0,0,ROW()-1,60),ROW()-1,FALSE))</f>
        <v>12.311861609999999</v>
      </c>
      <c r="K452">
        <f ca="1">IF(AND(ISNUMBER($K$1115),$B$677=1),$K$1115,HLOOKUP(INDIRECT(ADDRESS(2,COLUMN())),OFFSET($BN$2,0,0,ROW()-1,60),ROW()-1,FALSE))</f>
        <v>16.130736089999999</v>
      </c>
      <c r="L452">
        <f ca="1">IF(AND(ISNUMBER($L$1115),$B$677=1),$L$1115,HLOOKUP(INDIRECT(ADDRESS(2,COLUMN())),OFFSET($BN$2,0,0,ROW()-1,60),ROW()-1,FALSE))</f>
        <v>8.2097627339999999</v>
      </c>
      <c r="M452">
        <f ca="1">IF(AND(ISNUMBER($M$1115),$B$677=1),$M$1115,HLOOKUP(INDIRECT(ADDRESS(2,COLUMN())),OFFSET($BN$2,0,0,ROW()-1,60),ROW()-1,FALSE))</f>
        <v>7.8153983709999997</v>
      </c>
      <c r="N452">
        <f ca="1">IF(AND(ISNUMBER($N$1115),$B$677=1),$N$1115,HLOOKUP(INDIRECT(ADDRESS(2,COLUMN())),OFFSET($BN$2,0,0,ROW()-1,60),ROW()-1,FALSE))</f>
        <v>6.9927912069999998</v>
      </c>
      <c r="O452">
        <f ca="1">IF(AND(ISNUMBER($O$1115),$B$677=1),$O$1115,HLOOKUP(INDIRECT(ADDRESS(2,COLUMN())),OFFSET($BN$2,0,0,ROW()-1,60),ROW()-1,FALSE))</f>
        <v>13.035202529999999</v>
      </c>
      <c r="P452">
        <f ca="1">IF(AND(ISNUMBER($P$1115),$B$677=1),$P$1115,HLOOKUP(INDIRECT(ADDRESS(2,COLUMN())),OFFSET($BN$2,0,0,ROW()-1,60),ROW()-1,FALSE))</f>
        <v>20.49063232</v>
      </c>
      <c r="Q452">
        <f ca="1">IF(AND(ISNUMBER($Q$1115),$B$677=1),$Q$1115,HLOOKUP(INDIRECT(ADDRESS(2,COLUMN())),OFFSET($BN$2,0,0,ROW()-1,60),ROW()-1,FALSE))</f>
        <v>48.930455619999996</v>
      </c>
      <c r="R452">
        <f ca="1">IF(AND(ISNUMBER($R$1115),$B$677=1),$R$1115,HLOOKUP(INDIRECT(ADDRESS(2,COLUMN())),OFFSET($BN$2,0,0,ROW()-1,60),ROW()-1,FALSE))</f>
        <v>22.771873939999999</v>
      </c>
      <c r="S452">
        <f ca="1">IF(AND(ISNUMBER($S$1115),$B$677=1),$S$1115,HLOOKUP(INDIRECT(ADDRESS(2,COLUMN())),OFFSET($BN$2,0,0,ROW()-1,60),ROW()-1,FALSE))</f>
        <v>14.86933829</v>
      </c>
      <c r="T452">
        <f ca="1">IF(AND(ISNUMBER($T$1115),$B$677=1),$T$1115,HLOOKUP(INDIRECT(ADDRESS(2,COLUMN())),OFFSET($BN$2,0,0,ROW()-1,60),ROW()-1,FALSE))</f>
        <v>25.565537190000001</v>
      </c>
      <c r="U452">
        <f ca="1">IF(AND(ISNUMBER($U$1115),$B$677=1),$U$1115,HLOOKUP(INDIRECT(ADDRESS(2,COLUMN())),OFFSET($BN$2,0,0,ROW()-1,60),ROW()-1,FALSE))</f>
        <v>19.678933310000001</v>
      </c>
      <c r="V452">
        <f ca="1">IF(AND(ISNUMBER($V$1115),$B$677=1),$V$1115,HLOOKUP(INDIRECT(ADDRESS(2,COLUMN())),OFFSET($BN$2,0,0,ROW()-1,60),ROW()-1,FALSE))</f>
        <v>26.222352919999999</v>
      </c>
      <c r="W452">
        <f ca="1">IF(AND(ISNUMBER($W$1115),$B$677=1),$W$1115,HLOOKUP(INDIRECT(ADDRESS(2,COLUMN())),OFFSET($BN$2,0,0,ROW()-1,60),ROW()-1,FALSE))</f>
        <v>11.364887420000001</v>
      </c>
      <c r="X452">
        <f ca="1">IF(AND(ISNUMBER($X$1115),$B$677=1),$X$1115,HLOOKUP(INDIRECT(ADDRESS(2,COLUMN())),OFFSET($BN$2,0,0,ROW()-1,60),ROW()-1,FALSE))</f>
        <v>10.212207859999999</v>
      </c>
      <c r="Y452">
        <f ca="1">IF(AND(ISNUMBER($Y$1115),$B$677=1),$Y$1115,HLOOKUP(INDIRECT(ADDRESS(2,COLUMN())),OFFSET($BN$2,0,0,ROW()-1,60),ROW()-1,FALSE))</f>
        <v>13.300268490000001</v>
      </c>
      <c r="Z452">
        <f ca="1">IF(AND(ISNUMBER($Z$1115),$B$677=1),$Z$1115,HLOOKUP(INDIRECT(ADDRESS(2,COLUMN())),OFFSET($BN$2,0,0,ROW()-1,60),ROW()-1,FALSE))</f>
        <v>11.15008553</v>
      </c>
      <c r="AA452">
        <f ca="1">IF(AND(ISNUMBER($AA$1115),$B$677=1),$AA$1115,HLOOKUP(INDIRECT(ADDRESS(2,COLUMN())),OFFSET($BN$2,0,0,ROW()-1,60),ROW()-1,FALSE))</f>
        <v>6.9416056890000002</v>
      </c>
      <c r="AB452">
        <f ca="1">IF(AND(ISNUMBER($AB$1115),$B$677=1),$AB$1115,HLOOKUP(INDIRECT(ADDRESS(2,COLUMN())),OFFSET($BN$2,0,0,ROW()-1,60),ROW()-1,FALSE))</f>
        <v>5.973701524</v>
      </c>
      <c r="AC452">
        <f ca="1">IF(AND(ISNUMBER($AC$1115),$B$677=1),$AC$1115,HLOOKUP(INDIRECT(ADDRESS(2,COLUMN())),OFFSET($BN$2,0,0,ROW()-1,60),ROW()-1,FALSE))</f>
        <v>6.2978175959999998</v>
      </c>
      <c r="AD452">
        <f ca="1">IF(AND(ISNUMBER($AD$1115),$B$677=1),$AD$1115,HLOOKUP(INDIRECT(ADDRESS(2,COLUMN())),OFFSET($BN$2,0,0,ROW()-1,60),ROW()-1,FALSE))</f>
        <v>4.9159240029999998</v>
      </c>
      <c r="AE452">
        <f ca="1">IF(AND(ISNUMBER($AE$1115),$B$677=1),$AE$1115,HLOOKUP(INDIRECT(ADDRESS(2,COLUMN())),OFFSET($BN$2,0,0,ROW()-1,60),ROW()-1,FALSE))</f>
        <v>6.7610778720000004</v>
      </c>
      <c r="AF452">
        <f ca="1">IF(AND(ISNUMBER($AF$1115),$B$677=1),$AF$1115,HLOOKUP(INDIRECT(ADDRESS(2,COLUMN())),OFFSET($BN$2,0,0,ROW()-1,60),ROW()-1,FALSE))</f>
        <v>6.3369753659999999</v>
      </c>
      <c r="AG452">
        <f ca="1">IF(AND(ISNUMBER($AG$1115),$B$677=1),$AG$1115,HLOOKUP(INDIRECT(ADDRESS(2,COLUMN())),OFFSET($BN$2,0,0,ROW()-1,60),ROW()-1,FALSE))</f>
        <v>6.9182940479999999</v>
      </c>
      <c r="AH452">
        <f ca="1">IF(AND(ISNUMBER($AH$1115),$B$677=1),$AH$1115,HLOOKUP(INDIRECT(ADDRESS(2,COLUMN())),OFFSET($BN$2,0,0,ROW()-1,60),ROW()-1,FALSE))</f>
        <v>114.296564</v>
      </c>
      <c r="AI452">
        <f ca="1">IF(AND(ISNUMBER($AI$1115),$B$677=1),$AI$1115,HLOOKUP(INDIRECT(ADDRESS(2,COLUMN())),OFFSET($BN$2,0,0,ROW()-1,60),ROW()-1,FALSE))</f>
        <v>79.514797310000006</v>
      </c>
      <c r="AJ452" t="str">
        <f ca="1">IF(AND(ISNUMBER($AJ$1115),$B$677=1),$AJ$1115,HLOOKUP(INDIRECT(ADDRESS(2,COLUMN())),OFFSET($BN$2,0,0,ROW()-1,60),ROW()-1,FALSE))</f>
        <v/>
      </c>
      <c r="AK452">
        <f ca="1">IF(AND(ISNUMBER($AK$1115),$B$677=1),$AK$1115,HLOOKUP(INDIRECT(ADDRESS(2,COLUMN())),OFFSET($BN$2,0,0,ROW()-1,60),ROW()-1,FALSE))</f>
        <v>26.070900829999999</v>
      </c>
      <c r="AL452">
        <f ca="1">IF(AND(ISNUMBER($AL$1115),$B$677=1),$AL$1115,HLOOKUP(INDIRECT(ADDRESS(2,COLUMN())),OFFSET($BN$2,0,0,ROW()-1,60),ROW()-1,FALSE))</f>
        <v>27.994139130000001</v>
      </c>
      <c r="AM452">
        <f ca="1">IF(AND(ISNUMBER($AM$1115),$B$677=1),$AM$1115,HLOOKUP(INDIRECT(ADDRESS(2,COLUMN())),OFFSET($BN$2,0,0,ROW()-1,60),ROW()-1,FALSE))</f>
        <v>9.6482877489999996</v>
      </c>
      <c r="AN452">
        <f ca="1">IF(AND(ISNUMBER($AN$1115),$B$677=1),$AN$1115,HLOOKUP(INDIRECT(ADDRESS(2,COLUMN())),OFFSET($BN$2,0,0,ROW()-1,60),ROW()-1,FALSE))</f>
        <v>6.2310229030000004</v>
      </c>
      <c r="AO452">
        <f ca="1">IF(AND(ISNUMBER($AO$1115),$B$677=1),$AO$1115,HLOOKUP(INDIRECT(ADDRESS(2,COLUMN())),OFFSET($BN$2,0,0,ROW()-1,60),ROW()-1,FALSE))</f>
        <v>4.6810353109999996</v>
      </c>
      <c r="AP452">
        <f ca="1">IF(AND(ISNUMBER($AP$1115),$B$677=1),$AP$1115,HLOOKUP(INDIRECT(ADDRESS(2,COLUMN())),OFFSET($BN$2,0,0,ROW()-1,60),ROW()-1,FALSE))</f>
        <v>2.9901768209999999</v>
      </c>
      <c r="AQ452">
        <f ca="1">IF(AND(ISNUMBER($AQ$1115),$B$677=1),$AQ$1115,HLOOKUP(INDIRECT(ADDRESS(2,COLUMN())),OFFSET($BN$2,0,0,ROW()-1,60),ROW()-1,FALSE))</f>
        <v>3.5396367309999999</v>
      </c>
      <c r="AR452">
        <f ca="1">IF(AND(ISNUMBER($AR$1115),$B$677=1),$AR$1115,HLOOKUP(INDIRECT(ADDRESS(2,COLUMN())),OFFSET($BN$2,0,0,ROW()-1,60),ROW()-1,FALSE))</f>
        <v>6.2793422449999996</v>
      </c>
      <c r="AS452">
        <f ca="1">IF(AND(ISNUMBER($AS$1115),$B$677=1),$AS$1115,HLOOKUP(INDIRECT(ADDRESS(2,COLUMN())),OFFSET($BN$2,0,0,ROW()-1,60),ROW()-1,FALSE))</f>
        <v>5.1265197799999997</v>
      </c>
      <c r="AT452">
        <f ca="1">IF(AND(ISNUMBER($AT$1115),$B$677=1),$AT$1115,HLOOKUP(INDIRECT(ADDRESS(2,COLUMN())),OFFSET($BN$2,0,0,ROW()-1,60),ROW()-1,FALSE))</f>
        <v>23.19164224</v>
      </c>
      <c r="AU452">
        <f ca="1">IF(AND(ISNUMBER($AU$1115),$B$677=1),$AU$1115,HLOOKUP(INDIRECT(ADDRESS(2,COLUMN())),OFFSET($BN$2,0,0,ROW()-1,60),ROW()-1,FALSE))</f>
        <v>61.66166381</v>
      </c>
      <c r="AV452">
        <f ca="1">IF(AND(ISNUMBER($AV$1115),$B$677=1),$AV$1115,HLOOKUP(INDIRECT(ADDRESS(2,COLUMN())),OFFSET($BN$2,0,0,ROW()-1,60),ROW()-1,FALSE))</f>
        <v>12.79724495</v>
      </c>
      <c r="AW452">
        <f ca="1">IF(AND(ISNUMBER($AW$1115),$B$677=1),$AW$1115,HLOOKUP(INDIRECT(ADDRESS(2,COLUMN())),OFFSET($BN$2,0,0,ROW()-1,60),ROW()-1,FALSE))</f>
        <v>10.40476436</v>
      </c>
      <c r="AX452">
        <f ca="1">IF(AND(ISNUMBER($AX$1115),$B$677=1),$AX$1115,HLOOKUP(INDIRECT(ADDRESS(2,COLUMN())),OFFSET($BN$2,0,0,ROW()-1,60),ROW()-1,FALSE))</f>
        <v>14.659258489999999</v>
      </c>
      <c r="AY452">
        <f ca="1">IF(AND(ISNUMBER($AY$1115),$B$677=1),$AY$1115,HLOOKUP(INDIRECT(ADDRESS(2,COLUMN())),OFFSET($BN$2,0,0,ROW()-1,60),ROW()-1,FALSE))</f>
        <v>63.793043019999999</v>
      </c>
      <c r="AZ452">
        <f ca="1">IF(AND(ISNUMBER($AZ$1115),$B$677=1),$AZ$1115,HLOOKUP(INDIRECT(ADDRESS(2,COLUMN())),OFFSET($BN$2,0,0,ROW()-1,60),ROW()-1,FALSE))</f>
        <v>172.71992990000001</v>
      </c>
      <c r="BA452">
        <f ca="1">IF(AND(ISNUMBER($BA$1115),$B$677=1),$BA$1115,HLOOKUP(INDIRECT(ADDRESS(2,COLUMN())),OFFSET($BN$2,0,0,ROW()-1,60),ROW()-1,FALSE))</f>
        <v>55.541020080000003</v>
      </c>
      <c r="BB452">
        <f ca="1">IF(AND(ISNUMBER($BB$1115),$B$677=1),$BB$1115,HLOOKUP(INDIRECT(ADDRESS(2,COLUMN())),OFFSET($BN$2,0,0,ROW()-1,60),ROW()-1,FALSE))</f>
        <v>11.395606040000001</v>
      </c>
      <c r="BC452">
        <f ca="1">IF(AND(ISNUMBER($BC$1115),$B$677=1),$BC$1115,HLOOKUP(INDIRECT(ADDRESS(2,COLUMN())),OFFSET($BN$2,0,0,ROW()-1,60),ROW()-1,FALSE))</f>
        <v>5.969587218</v>
      </c>
      <c r="BD452">
        <f ca="1">IF(AND(ISNUMBER($BD$1115),$B$677=1),$BD$1115,HLOOKUP(INDIRECT(ADDRESS(2,COLUMN())),OFFSET($BN$2,0,0,ROW()-1,60),ROW()-1,FALSE))</f>
        <v>4.919513695</v>
      </c>
      <c r="BE452">
        <f ca="1">IF(AND(ISNUMBER($BE$1115),$B$677=1),$BE$1115,HLOOKUP(INDIRECT(ADDRESS(2,COLUMN())),OFFSET($BN$2,0,0,ROW()-1,60),ROW()-1,FALSE))</f>
        <v>4.1710655900000004</v>
      </c>
      <c r="BF452">
        <f ca="1">IF(AND(ISNUMBER($BF$1115),$B$677=1),$BF$1115,HLOOKUP(INDIRECT(ADDRESS(2,COLUMN())),OFFSET($BN$2,0,0,ROW()-1,60),ROW()-1,FALSE))</f>
        <v>4.5492329659999999</v>
      </c>
      <c r="BG452">
        <f ca="1">IF(AND(ISNUMBER($BG$1115),$B$677=1),$BG$1115,HLOOKUP(INDIRECT(ADDRESS(2,COLUMN())),OFFSET($BN$2,0,0,ROW()-1,60),ROW()-1,FALSE))</f>
        <v>3.7362986720000002</v>
      </c>
      <c r="BH452" t="str">
        <f ca="1">IF(AND(ISNUMBER($BH$1115),$B$677=1),$BH$1115,HLOOKUP(INDIRECT(ADDRESS(2,COLUMN())),OFFSET($BN$2,0,0,ROW()-1,60),ROW()-1,FALSE))</f>
        <v/>
      </c>
      <c r="BI452" t="str">
        <f ca="1">IF(AND(ISNUMBER($BI$1115),$B$677=1),$BI$1115,HLOOKUP(INDIRECT(ADDRESS(2,COLUMN())),OFFSET($BN$2,0,0,ROW()-1,60),ROW()-1,FALSE))</f>
        <v/>
      </c>
      <c r="BJ452" t="str">
        <f ca="1">IF(AND(ISNUMBER($BJ$1115),$B$677=1),$BJ$1115,HLOOKUP(INDIRECT(ADDRESS(2,COLUMN())),OFFSET($BN$2,0,0,ROW()-1,60),ROW()-1,FALSE))</f>
        <v/>
      </c>
      <c r="BK452" t="str">
        <f ca="1">IF(AND(ISNUMBER($BK$1115),$B$677=1),$BK$1115,HLOOKUP(INDIRECT(ADDRESS(2,COLUMN())),OFFSET($BN$2,0,0,ROW()-1,60),ROW()-1,FALSE))</f>
        <v/>
      </c>
      <c r="BL452" t="str">
        <f ca="1">IF(AND(ISNUMBER($BL$1115),$B$677=1),$BL$1115,HLOOKUP(INDIRECT(ADDRESS(2,COLUMN())),OFFSET($BN$2,0,0,ROW()-1,60),ROW()-1,FALSE))</f>
        <v/>
      </c>
      <c r="BM452" t="str">
        <f ca="1">IF(AND(ISNUMBER($BM$1115),$B$677=1),$BM$1115,HLOOKUP(INDIRECT(ADDRESS(2,COLUMN())),OFFSET($BN$2,0,0,ROW()-1,60),ROW()-1,FALSE))</f>
        <v/>
      </c>
      <c r="BN452" t="str">
        <f>""</f>
        <v/>
      </c>
      <c r="BO452">
        <f>8.35623092</f>
        <v>8.3562309199999998</v>
      </c>
      <c r="BP452">
        <f>72.23355442</f>
        <v>72.233554420000004</v>
      </c>
      <c r="BQ452">
        <f>9.981113911</f>
        <v>9.9811139109999996</v>
      </c>
      <c r="BR452">
        <f>12.31186161</f>
        <v>12.311861609999999</v>
      </c>
      <c r="BS452">
        <f>16.13073609</f>
        <v>16.130736089999999</v>
      </c>
      <c r="BT452">
        <f>8.209762734</f>
        <v>8.2097627339999999</v>
      </c>
      <c r="BU452">
        <f>7.815398371</f>
        <v>7.8153983709999997</v>
      </c>
      <c r="BV452">
        <f>6.992791207</f>
        <v>6.9927912069999998</v>
      </c>
      <c r="BW452">
        <f>13.03520253</f>
        <v>13.035202529999999</v>
      </c>
      <c r="BX452">
        <f>20.49063232</f>
        <v>20.49063232</v>
      </c>
      <c r="BY452">
        <f>48.93045562</f>
        <v>48.930455619999996</v>
      </c>
      <c r="BZ452">
        <f>22.77187394</f>
        <v>22.771873939999999</v>
      </c>
      <c r="CA452">
        <f>14.86933829</f>
        <v>14.86933829</v>
      </c>
      <c r="CB452">
        <f>25.56553719</f>
        <v>25.565537190000001</v>
      </c>
      <c r="CC452">
        <f>19.67893331</f>
        <v>19.678933310000001</v>
      </c>
      <c r="CD452">
        <f>26.22235292</f>
        <v>26.222352919999999</v>
      </c>
      <c r="CE452">
        <f>11.36488742</f>
        <v>11.364887420000001</v>
      </c>
      <c r="CF452">
        <f>10.21220786</f>
        <v>10.212207859999999</v>
      </c>
      <c r="CG452">
        <f>13.30026849</f>
        <v>13.300268490000001</v>
      </c>
      <c r="CH452">
        <f>11.15008553</f>
        <v>11.15008553</v>
      </c>
      <c r="CI452">
        <f>6.941605689</f>
        <v>6.9416056890000002</v>
      </c>
      <c r="CJ452">
        <f>5.973701524</f>
        <v>5.973701524</v>
      </c>
      <c r="CK452">
        <f>6.297817596</f>
        <v>6.2978175959999998</v>
      </c>
      <c r="CL452">
        <f>4.915924003</f>
        <v>4.9159240029999998</v>
      </c>
      <c r="CM452">
        <f>6.761077872</f>
        <v>6.7610778720000004</v>
      </c>
      <c r="CN452">
        <f>6.336975366</f>
        <v>6.3369753659999999</v>
      </c>
      <c r="CO452">
        <f>6.918294048</f>
        <v>6.9182940479999999</v>
      </c>
      <c r="CP452">
        <f>114.296564</f>
        <v>114.296564</v>
      </c>
      <c r="CQ452">
        <f>79.51479731</f>
        <v>79.514797310000006</v>
      </c>
      <c r="CR452" t="str">
        <f>""</f>
        <v/>
      </c>
      <c r="CS452">
        <f>26.07090083</f>
        <v>26.070900829999999</v>
      </c>
      <c r="CT452">
        <f>27.99413913</f>
        <v>27.994139130000001</v>
      </c>
      <c r="CU452">
        <f>9.648287749</f>
        <v>9.6482877489999996</v>
      </c>
      <c r="CV452">
        <f>6.231022903</f>
        <v>6.2310229030000004</v>
      </c>
      <c r="CW452">
        <f>4.681035311</f>
        <v>4.6810353109999996</v>
      </c>
      <c r="CX452">
        <f>2.990176821</f>
        <v>2.9901768209999999</v>
      </c>
      <c r="CY452">
        <f>3.539636731</f>
        <v>3.5396367309999999</v>
      </c>
      <c r="CZ452">
        <f>6.279342245</f>
        <v>6.2793422449999996</v>
      </c>
      <c r="DA452">
        <f>5.12651978</f>
        <v>5.1265197799999997</v>
      </c>
      <c r="DB452">
        <f>23.19164224</f>
        <v>23.19164224</v>
      </c>
      <c r="DC452">
        <f>61.66166381</f>
        <v>61.66166381</v>
      </c>
      <c r="DD452">
        <f>12.79724495</f>
        <v>12.79724495</v>
      </c>
      <c r="DE452">
        <f>10.40476436</f>
        <v>10.40476436</v>
      </c>
      <c r="DF452">
        <f>14.65925849</f>
        <v>14.659258489999999</v>
      </c>
      <c r="DG452">
        <f>63.79304302</f>
        <v>63.793043019999999</v>
      </c>
      <c r="DH452">
        <f>172.7199299</f>
        <v>172.71992990000001</v>
      </c>
      <c r="DI452">
        <f>55.54102008</f>
        <v>55.541020080000003</v>
      </c>
      <c r="DJ452">
        <f>11.39560604</f>
        <v>11.395606040000001</v>
      </c>
      <c r="DK452">
        <f>5.969587218</f>
        <v>5.969587218</v>
      </c>
      <c r="DL452">
        <f>4.919513695</f>
        <v>4.919513695</v>
      </c>
      <c r="DM452">
        <f>4.17106559</f>
        <v>4.1710655900000004</v>
      </c>
      <c r="DN452">
        <f>4.549232966</f>
        <v>4.5492329659999999</v>
      </c>
      <c r="DO452">
        <f>3.736298672</f>
        <v>3.7362986720000002</v>
      </c>
      <c r="DP452" t="str">
        <f>""</f>
        <v/>
      </c>
      <c r="DQ452" t="str">
        <f>""</f>
        <v/>
      </c>
      <c r="DR452" t="str">
        <f>""</f>
        <v/>
      </c>
      <c r="DS452" t="str">
        <f>""</f>
        <v/>
      </c>
      <c r="DT452" t="str">
        <f>""</f>
        <v/>
      </c>
      <c r="DU452" t="str">
        <f>""</f>
        <v/>
      </c>
    </row>
    <row r="453" spans="1:125" x14ac:dyDescent="0.25">
      <c r="A453" t="str">
        <f>"    Toyota Motor Corp"</f>
        <v xml:space="preserve">    Toyota Motor Corp</v>
      </c>
      <c r="B453" t="str">
        <f>"7203 JP Equity"</f>
        <v>7203 JP Equity</v>
      </c>
      <c r="C453" t="str">
        <f t="shared" si="30"/>
        <v>RR477</v>
      </c>
      <c r="D453" t="str">
        <f t="shared" si="31"/>
        <v>EV_TO_T12M_CASH_FLOW</v>
      </c>
      <c r="E453" t="str">
        <f t="shared" si="32"/>
        <v>Dynamic</v>
      </c>
      <c r="F453" t="str">
        <f ca="1">IF(AND(ISNUMBER($F$1116),$B$677=1),$F$1116,HLOOKUP(INDIRECT(ADDRESS(2,COLUMN())),OFFSET($BN$2,0,0,ROW()-1,60),ROW()-1,FALSE))</f>
        <v/>
      </c>
      <c r="G453">
        <f ca="1">IF(AND(ISNUMBER($G$1116),$B$677=1),$G$1116,HLOOKUP(INDIRECT(ADDRESS(2,COLUMN())),OFFSET($BN$2,0,0,ROW()-1,60),ROW()-1,FALSE))</f>
        <v>8.1238922129999995</v>
      </c>
      <c r="H453">
        <f ca="1">IF(AND(ISNUMBER($H$1116),$B$677=1),$H$1116,HLOOKUP(INDIRECT(ADDRESS(2,COLUMN())),OFFSET($BN$2,0,0,ROW()-1,60),ROW()-1,FALSE))</f>
        <v>9.1473953269999999</v>
      </c>
      <c r="I453">
        <f ca="1">IF(AND(ISNUMBER($I$1116),$B$677=1),$I$1116,HLOOKUP(INDIRECT(ADDRESS(2,COLUMN())),OFFSET($BN$2,0,0,ROW()-1,60),ROW()-1,FALSE))</f>
        <v>9.2414015589999998</v>
      </c>
      <c r="J453">
        <f ca="1">IF(AND(ISNUMBER($J$1116),$B$677=1),$J$1116,HLOOKUP(INDIRECT(ADDRESS(2,COLUMN())),OFFSET($BN$2,0,0,ROW()-1,60),ROW()-1,FALSE))</f>
        <v>8.2369924389999998</v>
      </c>
      <c r="K453">
        <f ca="1">IF(AND(ISNUMBER($K$1116),$B$677=1),$K$1116,HLOOKUP(INDIRECT(ADDRESS(2,COLUMN())),OFFSET($BN$2,0,0,ROW()-1,60),ROW()-1,FALSE))</f>
        <v>9.017105119</v>
      </c>
      <c r="L453">
        <f ca="1">IF(AND(ISNUMBER($L$1116),$B$677=1),$L$1116,HLOOKUP(INDIRECT(ADDRESS(2,COLUMN())),OFFSET($BN$2,0,0,ROW()-1,60),ROW()-1,FALSE))</f>
        <v>8.9875021999999998</v>
      </c>
      <c r="M453">
        <f ca="1">IF(AND(ISNUMBER($M$1116),$B$677=1),$M$1116,HLOOKUP(INDIRECT(ADDRESS(2,COLUMN())),OFFSET($BN$2,0,0,ROW()-1,60),ROW()-1,FALSE))</f>
        <v>9.7722891720000007</v>
      </c>
      <c r="N453">
        <f ca="1">IF(AND(ISNUMBER($N$1116),$B$677=1),$N$1116,HLOOKUP(INDIRECT(ADDRESS(2,COLUMN())),OFFSET($BN$2,0,0,ROW()-1,60),ROW()-1,FALSE))</f>
        <v>9.4914519310000003</v>
      </c>
      <c r="O453">
        <f ca="1">IF(AND(ISNUMBER($O$1116),$B$677=1),$O$1116,HLOOKUP(INDIRECT(ADDRESS(2,COLUMN())),OFFSET($BN$2,0,0,ROW()-1,60),ROW()-1,FALSE))</f>
        <v>10.081301570000001</v>
      </c>
      <c r="P453">
        <f ca="1">IF(AND(ISNUMBER($P$1116),$B$677=1),$P$1116,HLOOKUP(INDIRECT(ADDRESS(2,COLUMN())),OFFSET($BN$2,0,0,ROW()-1,60),ROW()-1,FALSE))</f>
        <v>7.3594175509999999</v>
      </c>
      <c r="Q453">
        <f ca="1">IF(AND(ISNUMBER($Q$1116),$B$677=1),$Q$1116,HLOOKUP(INDIRECT(ADDRESS(2,COLUMN())),OFFSET($BN$2,0,0,ROW()-1,60),ROW()-1,FALSE))</f>
        <v>6.1250923950000002</v>
      </c>
      <c r="R453">
        <f ca="1">IF(AND(ISNUMBER($R$1116),$B$677=1),$R$1116,HLOOKUP(INDIRECT(ADDRESS(2,COLUMN())),OFFSET($BN$2,0,0,ROW()-1,60),ROW()-1,FALSE))</f>
        <v>7.2254727179999998</v>
      </c>
      <c r="S453">
        <f ca="1">IF(AND(ISNUMBER($S$1116),$B$677=1),$S$1116,HLOOKUP(INDIRECT(ADDRESS(2,COLUMN())),OFFSET($BN$2,0,0,ROW()-1,60),ROW()-1,FALSE))</f>
        <v>8.7739393000000003</v>
      </c>
      <c r="T453">
        <f ca="1">IF(AND(ISNUMBER($T$1116),$B$677=1),$T$1116,HLOOKUP(INDIRECT(ADDRESS(2,COLUMN())),OFFSET($BN$2,0,0,ROW()-1,60),ROW()-1,FALSE))</f>
        <v>9.2539493579999998</v>
      </c>
      <c r="U453">
        <f ca="1">IF(AND(ISNUMBER($U$1116),$B$677=1),$U$1116,HLOOKUP(INDIRECT(ADDRESS(2,COLUMN())),OFFSET($BN$2,0,0,ROW()-1,60),ROW()-1,FALSE))</f>
        <v>10.536757339999999</v>
      </c>
      <c r="V453">
        <f ca="1">IF(AND(ISNUMBER($V$1116),$B$677=1),$V$1116,HLOOKUP(INDIRECT(ADDRESS(2,COLUMN())),OFFSET($BN$2,0,0,ROW()-1,60),ROW()-1,FALSE))</f>
        <v>11.12414472</v>
      </c>
      <c r="W453">
        <f ca="1">IF(AND(ISNUMBER($W$1116),$B$677=1),$W$1116,HLOOKUP(INDIRECT(ADDRESS(2,COLUMN())),OFFSET($BN$2,0,0,ROW()-1,60),ROW()-1,FALSE))</f>
        <v>12.06642795</v>
      </c>
      <c r="X453">
        <f ca="1">IF(AND(ISNUMBER($X$1116),$B$677=1),$X$1116,HLOOKUP(INDIRECT(ADDRESS(2,COLUMN())),OFFSET($BN$2,0,0,ROW()-1,60),ROW()-1,FALSE))</f>
        <v>10.307079829999999</v>
      </c>
      <c r="Y453">
        <f ca="1">IF(AND(ISNUMBER($Y$1116),$B$677=1),$Y$1116,HLOOKUP(INDIRECT(ADDRESS(2,COLUMN())),OFFSET($BN$2,0,0,ROW()-1,60),ROW()-1,FALSE))</f>
        <v>9.2060745429999997</v>
      </c>
      <c r="Z453">
        <f ca="1">IF(AND(ISNUMBER($Z$1116),$B$677=1),$Z$1116,HLOOKUP(INDIRECT(ADDRESS(2,COLUMN())),OFFSET($BN$2,0,0,ROW()-1,60),ROW()-1,FALSE))</f>
        <v>8.5780950310000001</v>
      </c>
      <c r="AA453">
        <f ca="1">IF(AND(ISNUMBER($AA$1116),$B$677=1),$AA$1116,HLOOKUP(INDIRECT(ADDRESS(2,COLUMN())),OFFSET($BN$2,0,0,ROW()-1,60),ROW()-1,FALSE))</f>
        <v>9.8541257709999996</v>
      </c>
      <c r="AB453">
        <f ca="1">IF(AND(ISNUMBER($AB$1116),$B$677=1),$AB$1116,HLOOKUP(INDIRECT(ADDRESS(2,COLUMN())),OFFSET($BN$2,0,0,ROW()-1,60),ROW()-1,FALSE))</f>
        <v>10.015694399999999</v>
      </c>
      <c r="AC453">
        <f ca="1">IF(AND(ISNUMBER($AC$1116),$B$677=1),$AC$1116,HLOOKUP(INDIRECT(ADDRESS(2,COLUMN())),OFFSET($BN$2,0,0,ROW()-1,60),ROW()-1,FALSE))</f>
        <v>11.05666003</v>
      </c>
      <c r="AD453">
        <f ca="1">IF(AND(ISNUMBER($AD$1116),$B$677=1),$AD$1116,HLOOKUP(INDIRECT(ADDRESS(2,COLUMN())),OFFSET($BN$2,0,0,ROW()-1,60),ROW()-1,FALSE))</f>
        <v>10.96539407</v>
      </c>
      <c r="AE453">
        <f ca="1">IF(AND(ISNUMBER($AE$1116),$B$677=1),$AE$1116,HLOOKUP(INDIRECT(ADDRESS(2,COLUMN())),OFFSET($BN$2,0,0,ROW()-1,60),ROW()-1,FALSE))</f>
        <v>9.6231619780000006</v>
      </c>
      <c r="AF453">
        <f ca="1">IF(AND(ISNUMBER($AF$1116),$B$677=1),$AF$1116,HLOOKUP(INDIRECT(ADDRESS(2,COLUMN())),OFFSET($BN$2,0,0,ROW()-1,60),ROW()-1,FALSE))</f>
        <v>8.5416400790000004</v>
      </c>
      <c r="AG453">
        <f ca="1">IF(AND(ISNUMBER($AG$1116),$B$677=1),$AG$1116,HLOOKUP(INDIRECT(ADDRESS(2,COLUMN())),OFFSET($BN$2,0,0,ROW()-1,60),ROW()-1,FALSE))</f>
        <v>10.489362160000001</v>
      </c>
      <c r="AH453">
        <f ca="1">IF(AND(ISNUMBER($AH$1116),$B$677=1),$AH$1116,HLOOKUP(INDIRECT(ADDRESS(2,COLUMN())),OFFSET($BN$2,0,0,ROW()-1,60),ROW()-1,FALSE))</f>
        <v>14.38047396</v>
      </c>
      <c r="AI453">
        <f ca="1">IF(AND(ISNUMBER($AI$1116),$B$677=1),$AI$1116,HLOOKUP(INDIRECT(ADDRESS(2,COLUMN())),OFFSET($BN$2,0,0,ROW()-1,60),ROW()-1,FALSE))</f>
        <v>12.7865483</v>
      </c>
      <c r="AJ453">
        <f ca="1">IF(AND(ISNUMBER($AJ$1116),$B$677=1),$AJ$1116,HLOOKUP(INDIRECT(ADDRESS(2,COLUMN())),OFFSET($BN$2,0,0,ROW()-1,60),ROW()-1,FALSE))</f>
        <v>13.459728760000001</v>
      </c>
      <c r="AK453">
        <f ca="1">IF(AND(ISNUMBER($AK$1116),$B$677=1),$AK$1116,HLOOKUP(INDIRECT(ADDRESS(2,COLUMN())),OFFSET($BN$2,0,0,ROW()-1,60),ROW()-1,FALSE))</f>
        <v>12.29103286</v>
      </c>
      <c r="AL453">
        <f ca="1">IF(AND(ISNUMBER($AL$1116),$B$677=1),$AL$1116,HLOOKUP(INDIRECT(ADDRESS(2,COLUMN())),OFFSET($BN$2,0,0,ROW()-1,60),ROW()-1,FALSE))</f>
        <v>9.873119462</v>
      </c>
      <c r="AM453">
        <f ca="1">IF(AND(ISNUMBER($AM$1116),$B$677=1),$AM$1116,HLOOKUP(INDIRECT(ADDRESS(2,COLUMN())),OFFSET($BN$2,0,0,ROW()-1,60),ROW()-1,FALSE))</f>
        <v>9.8834947209999999</v>
      </c>
      <c r="AN453">
        <f ca="1">IF(AND(ISNUMBER($AN$1116),$B$677=1),$AN$1116,HLOOKUP(INDIRECT(ADDRESS(2,COLUMN())),OFFSET($BN$2,0,0,ROW()-1,60),ROW()-1,FALSE))</f>
        <v>8.1732740849999992</v>
      </c>
      <c r="AO453">
        <f ca="1">IF(AND(ISNUMBER($AO$1116),$B$677=1),$AO$1116,HLOOKUP(INDIRECT(ADDRESS(2,COLUMN())),OFFSET($BN$2,0,0,ROW()-1,60),ROW()-1,FALSE))</f>
        <v>6.6693134240000003</v>
      </c>
      <c r="AP453">
        <f ca="1">IF(AND(ISNUMBER($AP$1116),$B$677=1),$AP$1116,HLOOKUP(INDIRECT(ADDRESS(2,COLUMN())),OFFSET($BN$2,0,0,ROW()-1,60),ROW()-1,FALSE))</f>
        <v>8.1205974820000009</v>
      </c>
      <c r="AQ453">
        <f ca="1">IF(AND(ISNUMBER($AQ$1116),$B$677=1),$AQ$1116,HLOOKUP(INDIRECT(ADDRESS(2,COLUMN())),OFFSET($BN$2,0,0,ROW()-1,60),ROW()-1,FALSE))</f>
        <v>8.913830913</v>
      </c>
      <c r="AR453">
        <f ca="1">IF(AND(ISNUMBER($AR$1116),$B$677=1),$AR$1116,HLOOKUP(INDIRECT(ADDRESS(2,COLUMN())),OFFSET($BN$2,0,0,ROW()-1,60),ROW()-1,FALSE))</f>
        <v>13.164531950000001</v>
      </c>
      <c r="AS453">
        <f ca="1">IF(AND(ISNUMBER($AS$1116),$B$677=1),$AS$1116,HLOOKUP(INDIRECT(ADDRESS(2,COLUMN())),OFFSET($BN$2,0,0,ROW()-1,60),ROW()-1,FALSE))</f>
        <v>19.55465173</v>
      </c>
      <c r="AT453">
        <f ca="1">IF(AND(ISNUMBER($AT$1116),$B$677=1),$AT$1116,HLOOKUP(INDIRECT(ADDRESS(2,COLUMN())),OFFSET($BN$2,0,0,ROW()-1,60),ROW()-1,FALSE))</f>
        <v>13.51295502</v>
      </c>
      <c r="AU453" t="str">
        <f ca="1">IF(AND(ISNUMBER($AU$1116),$B$677=1),$AU$1116,HLOOKUP(INDIRECT(ADDRESS(2,COLUMN())),OFFSET($BN$2,0,0,ROW()-1,60),ROW()-1,FALSE))</f>
        <v/>
      </c>
      <c r="AV453" t="str">
        <f ca="1">IF(AND(ISNUMBER($AV$1116),$B$677=1),$AV$1116,HLOOKUP(INDIRECT(ADDRESS(2,COLUMN())),OFFSET($BN$2,0,0,ROW()-1,60),ROW()-1,FALSE))</f>
        <v/>
      </c>
      <c r="AW453" t="str">
        <f ca="1">IF(AND(ISNUMBER($AW$1116),$B$677=1),$AW$1116,HLOOKUP(INDIRECT(ADDRESS(2,COLUMN())),OFFSET($BN$2,0,0,ROW()-1,60),ROW()-1,FALSE))</f>
        <v/>
      </c>
      <c r="AX453" t="str">
        <f ca="1">IF(AND(ISNUMBER($AX$1116),$B$677=1),$AX$1116,HLOOKUP(INDIRECT(ADDRESS(2,COLUMN())),OFFSET($BN$2,0,0,ROW()-1,60),ROW()-1,FALSE))</f>
        <v/>
      </c>
      <c r="AY453" t="str">
        <f ca="1">IF(AND(ISNUMBER($AY$1116),$B$677=1),$AY$1116,HLOOKUP(INDIRECT(ADDRESS(2,COLUMN())),OFFSET($BN$2,0,0,ROW()-1,60),ROW()-1,FALSE))</f>
        <v/>
      </c>
      <c r="AZ453" t="str">
        <f ca="1">IF(AND(ISNUMBER($AZ$1116),$B$677=1),$AZ$1116,HLOOKUP(INDIRECT(ADDRESS(2,COLUMN())),OFFSET($BN$2,0,0,ROW()-1,60),ROW()-1,FALSE))</f>
        <v/>
      </c>
      <c r="BA453" t="str">
        <f ca="1">IF(AND(ISNUMBER($BA$1116),$B$677=1),$BA$1116,HLOOKUP(INDIRECT(ADDRESS(2,COLUMN())),OFFSET($BN$2,0,0,ROW()-1,60),ROW()-1,FALSE))</f>
        <v/>
      </c>
      <c r="BB453" t="str">
        <f ca="1">IF(AND(ISNUMBER($BB$1116),$B$677=1),$BB$1116,HLOOKUP(INDIRECT(ADDRESS(2,COLUMN())),OFFSET($BN$2,0,0,ROW()-1,60),ROW()-1,FALSE))</f>
        <v/>
      </c>
      <c r="BC453" t="str">
        <f ca="1">IF(AND(ISNUMBER($BC$1116),$B$677=1),$BC$1116,HLOOKUP(INDIRECT(ADDRESS(2,COLUMN())),OFFSET($BN$2,0,0,ROW()-1,60),ROW()-1,FALSE))</f>
        <v/>
      </c>
      <c r="BD453" t="str">
        <f ca="1">IF(AND(ISNUMBER($BD$1116),$B$677=1),$BD$1116,HLOOKUP(INDIRECT(ADDRESS(2,COLUMN())),OFFSET($BN$2,0,0,ROW()-1,60),ROW()-1,FALSE))</f>
        <v/>
      </c>
      <c r="BE453" t="str">
        <f ca="1">IF(AND(ISNUMBER($BE$1116),$B$677=1),$BE$1116,HLOOKUP(INDIRECT(ADDRESS(2,COLUMN())),OFFSET($BN$2,0,0,ROW()-1,60),ROW()-1,FALSE))</f>
        <v/>
      </c>
      <c r="BF453" t="str">
        <f ca="1">IF(AND(ISNUMBER($BF$1116),$B$677=1),$BF$1116,HLOOKUP(INDIRECT(ADDRESS(2,COLUMN())),OFFSET($BN$2,0,0,ROW()-1,60),ROW()-1,FALSE))</f>
        <v/>
      </c>
      <c r="BG453" t="str">
        <f ca="1">IF(AND(ISNUMBER($BG$1116),$B$677=1),$BG$1116,HLOOKUP(INDIRECT(ADDRESS(2,COLUMN())),OFFSET($BN$2,0,0,ROW()-1,60),ROW()-1,FALSE))</f>
        <v/>
      </c>
      <c r="BH453" t="str">
        <f ca="1">IF(AND(ISNUMBER($BH$1116),$B$677=1),$BH$1116,HLOOKUP(INDIRECT(ADDRESS(2,COLUMN())),OFFSET($BN$2,0,0,ROW()-1,60),ROW()-1,FALSE))</f>
        <v/>
      </c>
      <c r="BI453" t="str">
        <f ca="1">IF(AND(ISNUMBER($BI$1116),$B$677=1),$BI$1116,HLOOKUP(INDIRECT(ADDRESS(2,COLUMN())),OFFSET($BN$2,0,0,ROW()-1,60),ROW()-1,FALSE))</f>
        <v/>
      </c>
      <c r="BJ453" t="str">
        <f ca="1">IF(AND(ISNUMBER($BJ$1116),$B$677=1),$BJ$1116,HLOOKUP(INDIRECT(ADDRESS(2,COLUMN())),OFFSET($BN$2,0,0,ROW()-1,60),ROW()-1,FALSE))</f>
        <v/>
      </c>
      <c r="BK453" t="str">
        <f ca="1">IF(AND(ISNUMBER($BK$1116),$B$677=1),$BK$1116,HLOOKUP(INDIRECT(ADDRESS(2,COLUMN())),OFFSET($BN$2,0,0,ROW()-1,60),ROW()-1,FALSE))</f>
        <v/>
      </c>
      <c r="BL453" t="str">
        <f ca="1">IF(AND(ISNUMBER($BL$1116),$B$677=1),$BL$1116,HLOOKUP(INDIRECT(ADDRESS(2,COLUMN())),OFFSET($BN$2,0,0,ROW()-1,60),ROW()-1,FALSE))</f>
        <v/>
      </c>
      <c r="BM453" t="str">
        <f ca="1">IF(AND(ISNUMBER($BM$1116),$B$677=1),$BM$1116,HLOOKUP(INDIRECT(ADDRESS(2,COLUMN())),OFFSET($BN$2,0,0,ROW()-1,60),ROW()-1,FALSE))</f>
        <v/>
      </c>
      <c r="BN453" t="str">
        <f>""</f>
        <v/>
      </c>
      <c r="BO453">
        <f>8.123892213</f>
        <v>8.1238922129999995</v>
      </c>
      <c r="BP453">
        <f>9.147395327</f>
        <v>9.1473953269999999</v>
      </c>
      <c r="BQ453">
        <f>9.241401559</f>
        <v>9.2414015589999998</v>
      </c>
      <c r="BR453">
        <f>8.236992439</f>
        <v>8.2369924389999998</v>
      </c>
      <c r="BS453">
        <f>9.017105119</f>
        <v>9.017105119</v>
      </c>
      <c r="BT453">
        <f>8.9875022</f>
        <v>8.9875021999999998</v>
      </c>
      <c r="BU453">
        <f>9.772289172</f>
        <v>9.7722891720000007</v>
      </c>
      <c r="BV453">
        <f>9.491451931</f>
        <v>9.4914519310000003</v>
      </c>
      <c r="BW453">
        <f>10.08130157</f>
        <v>10.081301570000001</v>
      </c>
      <c r="BX453">
        <f>7.359417551</f>
        <v>7.3594175509999999</v>
      </c>
      <c r="BY453">
        <f>6.125092395</f>
        <v>6.1250923950000002</v>
      </c>
      <c r="BZ453">
        <f>7.225472718</f>
        <v>7.2254727179999998</v>
      </c>
      <c r="CA453">
        <f>8.7739393</f>
        <v>8.7739393000000003</v>
      </c>
      <c r="CB453">
        <f>9.253949358</f>
        <v>9.2539493579999998</v>
      </c>
      <c r="CC453">
        <f>10.53675734</f>
        <v>10.536757339999999</v>
      </c>
      <c r="CD453">
        <f>11.12414472</f>
        <v>11.12414472</v>
      </c>
      <c r="CE453">
        <f>12.06642795</f>
        <v>12.06642795</v>
      </c>
      <c r="CF453">
        <f>10.30707983</f>
        <v>10.307079829999999</v>
      </c>
      <c r="CG453">
        <f>9.206074543</f>
        <v>9.2060745429999997</v>
      </c>
      <c r="CH453">
        <f>8.578095031</f>
        <v>8.5780950310000001</v>
      </c>
      <c r="CI453">
        <f>9.854125771</f>
        <v>9.8541257709999996</v>
      </c>
      <c r="CJ453">
        <f>10.0156944</f>
        <v>10.015694399999999</v>
      </c>
      <c r="CK453">
        <f>11.05666003</f>
        <v>11.05666003</v>
      </c>
      <c r="CL453">
        <f>10.96539407</f>
        <v>10.96539407</v>
      </c>
      <c r="CM453">
        <f>9.623161978</f>
        <v>9.6231619780000006</v>
      </c>
      <c r="CN453">
        <f>8.541640079</f>
        <v>8.5416400790000004</v>
      </c>
      <c r="CO453">
        <f>10.48936216</f>
        <v>10.489362160000001</v>
      </c>
      <c r="CP453">
        <f>14.38047396</f>
        <v>14.38047396</v>
      </c>
      <c r="CQ453">
        <f>12.7865483</f>
        <v>12.7865483</v>
      </c>
      <c r="CR453">
        <f>13.45972876</f>
        <v>13.459728760000001</v>
      </c>
      <c r="CS453">
        <f>12.29103286</f>
        <v>12.29103286</v>
      </c>
      <c r="CT453">
        <f>9.873119462</f>
        <v>9.873119462</v>
      </c>
      <c r="CU453">
        <f>9.883494721</f>
        <v>9.8834947209999999</v>
      </c>
      <c r="CV453">
        <f>8.173274085</f>
        <v>8.1732740849999992</v>
      </c>
      <c r="CW453">
        <f>6.669313424</f>
        <v>6.6693134240000003</v>
      </c>
      <c r="CX453">
        <f>8.120597482</f>
        <v>8.1205974820000009</v>
      </c>
      <c r="CY453">
        <f>8.913830913</f>
        <v>8.913830913</v>
      </c>
      <c r="CZ453">
        <f>13.16453195</f>
        <v>13.164531950000001</v>
      </c>
      <c r="DA453">
        <f>19.55465173</f>
        <v>19.55465173</v>
      </c>
      <c r="DB453">
        <f>13.51295502</f>
        <v>13.51295502</v>
      </c>
      <c r="DC453" t="str">
        <f>""</f>
        <v/>
      </c>
      <c r="DD453" t="str">
        <f>""</f>
        <v/>
      </c>
      <c r="DE453" t="str">
        <f>""</f>
        <v/>
      </c>
      <c r="DF453" t="str">
        <f>""</f>
        <v/>
      </c>
      <c r="DG453" t="str">
        <f>""</f>
        <v/>
      </c>
      <c r="DH453" t="str">
        <f>""</f>
        <v/>
      </c>
      <c r="DI453" t="str">
        <f>""</f>
        <v/>
      </c>
      <c r="DJ453" t="str">
        <f>""</f>
        <v/>
      </c>
      <c r="DK453" t="str">
        <f>""</f>
        <v/>
      </c>
      <c r="DL453" t="str">
        <f>""</f>
        <v/>
      </c>
      <c r="DM453" t="str">
        <f>""</f>
        <v/>
      </c>
      <c r="DN453" t="str">
        <f>""</f>
        <v/>
      </c>
      <c r="DO453" t="str">
        <f>""</f>
        <v/>
      </c>
      <c r="DP453" t="str">
        <f>""</f>
        <v/>
      </c>
      <c r="DQ453" t="str">
        <f>""</f>
        <v/>
      </c>
      <c r="DR453" t="str">
        <f>""</f>
        <v/>
      </c>
      <c r="DS453" t="str">
        <f>""</f>
        <v/>
      </c>
      <c r="DT453" t="str">
        <f>""</f>
        <v/>
      </c>
      <c r="DU453" t="str">
        <f>""</f>
        <v/>
      </c>
    </row>
    <row r="454" spans="1:125" x14ac:dyDescent="0.25">
      <c r="A454" t="str">
        <f>"    Volkswagen AG"</f>
        <v xml:space="preserve">    Volkswagen AG</v>
      </c>
      <c r="B454" t="str">
        <f>"VOW GR Equity"</f>
        <v>VOW GR Equity</v>
      </c>
      <c r="C454" t="str">
        <f t="shared" si="30"/>
        <v>RR477</v>
      </c>
      <c r="D454" t="str">
        <f t="shared" si="31"/>
        <v>EV_TO_T12M_CASH_FLOW</v>
      </c>
      <c r="E454" t="str">
        <f t="shared" si="32"/>
        <v>Dynamic</v>
      </c>
      <c r="F454" t="str">
        <f ca="1">IF(AND(ISNUMBER($F$1117),$B$677=1),$F$1117,HLOOKUP(INDIRECT(ADDRESS(2,COLUMN())),OFFSET($BN$2,0,0,ROW()-1,60),ROW()-1,FALSE))</f>
        <v/>
      </c>
      <c r="G454" t="str">
        <f ca="1">IF(AND(ISNUMBER($G$1117),$B$677=1),$G$1117,HLOOKUP(INDIRECT(ADDRESS(2,COLUMN())),OFFSET($BN$2,0,0,ROW()-1,60),ROW()-1,FALSE))</f>
        <v/>
      </c>
      <c r="H454">
        <f ca="1">IF(AND(ISNUMBER($H$1117),$B$677=1),$H$1117,HLOOKUP(INDIRECT(ADDRESS(2,COLUMN())),OFFSET($BN$2,0,0,ROW()-1,60),ROW()-1,FALSE))</f>
        <v>8.3514161189999996</v>
      </c>
      <c r="I454">
        <f ca="1">IF(AND(ISNUMBER($I$1117),$B$677=1),$I$1117,HLOOKUP(INDIRECT(ADDRESS(2,COLUMN())),OFFSET($BN$2,0,0,ROW()-1,60),ROW()-1,FALSE))</f>
        <v>10.911514739999999</v>
      </c>
      <c r="J454">
        <f ca="1">IF(AND(ISNUMBER($J$1117),$B$677=1),$J$1117,HLOOKUP(INDIRECT(ADDRESS(2,COLUMN())),OFFSET($BN$2,0,0,ROW()-1,60),ROW()-1,FALSE))</f>
        <v>27.731609679999998</v>
      </c>
      <c r="K454" t="str">
        <f ca="1">IF(AND(ISNUMBER($K$1117),$B$677=1),$K$1117,HLOOKUP(INDIRECT(ADDRESS(2,COLUMN())),OFFSET($BN$2,0,0,ROW()-1,60),ROW()-1,FALSE))</f>
        <v/>
      </c>
      <c r="L454" t="str">
        <f ca="1">IF(AND(ISNUMBER($L$1117),$B$677=1),$L$1117,HLOOKUP(INDIRECT(ADDRESS(2,COLUMN())),OFFSET($BN$2,0,0,ROW()-1,60),ROW()-1,FALSE))</f>
        <v/>
      </c>
      <c r="M454">
        <f ca="1">IF(AND(ISNUMBER($M$1117),$B$677=1),$M$1117,HLOOKUP(INDIRECT(ADDRESS(2,COLUMN())),OFFSET($BN$2,0,0,ROW()-1,60),ROW()-1,FALSE))</f>
        <v>41.756839810000002</v>
      </c>
      <c r="N454">
        <f ca="1">IF(AND(ISNUMBER($N$1117),$B$677=1),$N$1117,HLOOKUP(INDIRECT(ADDRESS(2,COLUMN())),OFFSET($BN$2,0,0,ROW()-1,60),ROW()-1,FALSE))</f>
        <v>8.5466114060000002</v>
      </c>
      <c r="O454">
        <f ca="1">IF(AND(ISNUMBER($O$1117),$B$677=1),$O$1117,HLOOKUP(INDIRECT(ADDRESS(2,COLUMN())),OFFSET($BN$2,0,0,ROW()-1,60),ROW()-1,FALSE))</f>
        <v>4.4951316280000002</v>
      </c>
      <c r="P454">
        <f ca="1">IF(AND(ISNUMBER($P$1117),$B$677=1),$P$1117,HLOOKUP(INDIRECT(ADDRESS(2,COLUMN())),OFFSET($BN$2,0,0,ROW()-1,60),ROW()-1,FALSE))</f>
        <v>3.7926644070000002</v>
      </c>
      <c r="Q454">
        <f ca="1">IF(AND(ISNUMBER($Q$1117),$B$677=1),$Q$1117,HLOOKUP(INDIRECT(ADDRESS(2,COLUMN())),OFFSET($BN$2,0,0,ROW()-1,60),ROW()-1,FALSE))</f>
        <v>3.7510238720000002</v>
      </c>
      <c r="R454">
        <f ca="1">IF(AND(ISNUMBER($R$1117),$B$677=1),$R$1117,HLOOKUP(INDIRECT(ADDRESS(2,COLUMN())),OFFSET($BN$2,0,0,ROW()-1,60),ROW()-1,FALSE))</f>
        <v>4.0893650030000002</v>
      </c>
      <c r="S454">
        <f ca="1">IF(AND(ISNUMBER($S$1117),$B$677=1),$S$1117,HLOOKUP(INDIRECT(ADDRESS(2,COLUMN())),OFFSET($BN$2,0,0,ROW()-1,60),ROW()-1,FALSE))</f>
        <v>4.0464418819999999</v>
      </c>
      <c r="T454">
        <f ca="1">IF(AND(ISNUMBER($T$1117),$B$677=1),$T$1117,HLOOKUP(INDIRECT(ADDRESS(2,COLUMN())),OFFSET($BN$2,0,0,ROW()-1,60),ROW()-1,FALSE))</f>
        <v>2.2511920509999999</v>
      </c>
      <c r="U454">
        <f ca="1">IF(AND(ISNUMBER($U$1117),$B$677=1),$U$1117,HLOOKUP(INDIRECT(ADDRESS(2,COLUMN())),OFFSET($BN$2,0,0,ROW()-1,60),ROW()-1,FALSE))</f>
        <v>5.838352864</v>
      </c>
      <c r="V454">
        <f ca="1">IF(AND(ISNUMBER($V$1117),$B$677=1),$V$1117,HLOOKUP(INDIRECT(ADDRESS(2,COLUMN())),OFFSET($BN$2,0,0,ROW()-1,60),ROW()-1,FALSE))</f>
        <v>8.1110131340000002</v>
      </c>
      <c r="W454">
        <f ca="1">IF(AND(ISNUMBER($W$1117),$B$677=1),$W$1117,HLOOKUP(INDIRECT(ADDRESS(2,COLUMN())),OFFSET($BN$2,0,0,ROW()-1,60),ROW()-1,FALSE))</f>
        <v>7.0320004220000003</v>
      </c>
      <c r="X454">
        <f ca="1">IF(AND(ISNUMBER($X$1117),$B$677=1),$X$1117,HLOOKUP(INDIRECT(ADDRESS(2,COLUMN())),OFFSET($BN$2,0,0,ROW()-1,60),ROW()-1,FALSE))</f>
        <v>6.4405128659999997</v>
      </c>
      <c r="Y454">
        <f ca="1">IF(AND(ISNUMBER($Y$1117),$B$677=1),$Y$1117,HLOOKUP(INDIRECT(ADDRESS(2,COLUMN())),OFFSET($BN$2,0,0,ROW()-1,60),ROW()-1,FALSE))</f>
        <v>7.502959852</v>
      </c>
      <c r="Z454">
        <f ca="1">IF(AND(ISNUMBER($Z$1117),$B$677=1),$Z$1117,HLOOKUP(INDIRECT(ADDRESS(2,COLUMN())),OFFSET($BN$2,0,0,ROW()-1,60),ROW()-1,FALSE))</f>
        <v>6.6509752730000002</v>
      </c>
      <c r="AA454">
        <f ca="1">IF(AND(ISNUMBER($AA$1117),$B$677=1),$AA$1117,HLOOKUP(INDIRECT(ADDRESS(2,COLUMN())),OFFSET($BN$2,0,0,ROW()-1,60),ROW()-1,FALSE))</f>
        <v>6.6774767559999999</v>
      </c>
      <c r="AB454">
        <f ca="1">IF(AND(ISNUMBER($AB$1117),$B$677=1),$AB$1117,HLOOKUP(INDIRECT(ADDRESS(2,COLUMN())),OFFSET($BN$2,0,0,ROW()-1,60),ROW()-1,FALSE))</f>
        <v>5.6138172109999998</v>
      </c>
      <c r="AC454">
        <f ca="1">IF(AND(ISNUMBER($AC$1117),$B$677=1),$AC$1117,HLOOKUP(INDIRECT(ADDRESS(2,COLUMN())),OFFSET($BN$2,0,0,ROW()-1,60),ROW()-1,FALSE))</f>
        <v>6.3299943599999997</v>
      </c>
      <c r="AD454">
        <f ca="1">IF(AND(ISNUMBER($AD$1117),$B$677=1),$AD$1117,HLOOKUP(INDIRECT(ADDRESS(2,COLUMN())),OFFSET($BN$2,0,0,ROW()-1,60),ROW()-1,FALSE))</f>
        <v>7.6675282659999997</v>
      </c>
      <c r="AE454">
        <f ca="1">IF(AND(ISNUMBER($AE$1117),$B$677=1),$AE$1117,HLOOKUP(INDIRECT(ADDRESS(2,COLUMN())),OFFSET($BN$2,0,0,ROW()-1,60),ROW()-1,FALSE))</f>
        <v>10.12693481</v>
      </c>
      <c r="AF454">
        <f ca="1">IF(AND(ISNUMBER($AF$1117),$B$677=1),$AF$1117,HLOOKUP(INDIRECT(ADDRESS(2,COLUMN())),OFFSET($BN$2,0,0,ROW()-1,60),ROW()-1,FALSE))</f>
        <v>7.657818067</v>
      </c>
      <c r="AG454">
        <f ca="1">IF(AND(ISNUMBER($AG$1117),$B$677=1),$AG$1117,HLOOKUP(INDIRECT(ADDRESS(2,COLUMN())),OFFSET($BN$2,0,0,ROW()-1,60),ROW()-1,FALSE))</f>
        <v>6.3949030499999999</v>
      </c>
      <c r="AH454">
        <f ca="1">IF(AND(ISNUMBER($AH$1117),$B$677=1),$AH$1117,HLOOKUP(INDIRECT(ADDRESS(2,COLUMN())),OFFSET($BN$2,0,0,ROW()-1,60),ROW()-1,FALSE))</f>
        <v>6.3590333870000002</v>
      </c>
      <c r="AI454">
        <f ca="1">IF(AND(ISNUMBER($AI$1117),$B$677=1),$AI$1117,HLOOKUP(INDIRECT(ADDRESS(2,COLUMN())),OFFSET($BN$2,0,0,ROW()-1,60),ROW()-1,FALSE))</f>
        <v>4.5905177000000004</v>
      </c>
      <c r="AJ454">
        <f ca="1">IF(AND(ISNUMBER($AJ$1117),$B$677=1),$AJ$1117,HLOOKUP(INDIRECT(ADDRESS(2,COLUMN())),OFFSET($BN$2,0,0,ROW()-1,60),ROW()-1,FALSE))</f>
        <v>3.5110379049999998</v>
      </c>
      <c r="AK454">
        <f ca="1">IF(AND(ISNUMBER($AK$1117),$B$677=1),$AK$1117,HLOOKUP(INDIRECT(ADDRESS(2,COLUMN())),OFFSET($BN$2,0,0,ROW()-1,60),ROW()-1,FALSE))</f>
        <v>5.2111334539999996</v>
      </c>
      <c r="AL454">
        <f ca="1">IF(AND(ISNUMBER($AL$1117),$B$677=1),$AL$1117,HLOOKUP(INDIRECT(ADDRESS(2,COLUMN())),OFFSET($BN$2,0,0,ROW()-1,60),ROW()-1,FALSE))</f>
        <v>3.2636722809999998</v>
      </c>
      <c r="AM454">
        <f ca="1">IF(AND(ISNUMBER($AM$1117),$B$677=1),$AM$1117,HLOOKUP(INDIRECT(ADDRESS(2,COLUMN())),OFFSET($BN$2,0,0,ROW()-1,60),ROW()-1,FALSE))</f>
        <v>3.0597508279999999</v>
      </c>
      <c r="AN454">
        <f ca="1">IF(AND(ISNUMBER($AN$1117),$B$677=1),$AN$1117,HLOOKUP(INDIRECT(ADDRESS(2,COLUMN())),OFFSET($BN$2,0,0,ROW()-1,60),ROW()-1,FALSE))</f>
        <v>1.9962105699999999</v>
      </c>
      <c r="AO454">
        <f ca="1">IF(AND(ISNUMBER($AO$1117),$B$677=1),$AO$1117,HLOOKUP(INDIRECT(ADDRESS(2,COLUMN())),OFFSET($BN$2,0,0,ROW()-1,60),ROW()-1,FALSE))</f>
        <v>1.694272929</v>
      </c>
      <c r="AP454">
        <f ca="1">IF(AND(ISNUMBER($AP$1117),$B$677=1),$AP$1117,HLOOKUP(INDIRECT(ADDRESS(2,COLUMN())),OFFSET($BN$2,0,0,ROW()-1,60),ROW()-1,FALSE))</f>
        <v>1.8134740009999999</v>
      </c>
      <c r="AQ454">
        <f ca="1">IF(AND(ISNUMBER($AQ$1117),$B$677=1),$AQ$1117,HLOOKUP(INDIRECT(ADDRESS(2,COLUMN())),OFFSET($BN$2,0,0,ROW()-1,60),ROW()-1,FALSE))</f>
        <v>6.7121310469999997</v>
      </c>
      <c r="AR454">
        <f ca="1">IF(AND(ISNUMBER($AR$1117),$B$677=1),$AR$1117,HLOOKUP(INDIRECT(ADDRESS(2,COLUMN())),OFFSET($BN$2,0,0,ROW()-1,60),ROW()-1,FALSE))</f>
        <v>7.2918399039999997</v>
      </c>
      <c r="AS454">
        <f ca="1">IF(AND(ISNUMBER($AS$1117),$B$677=1),$AS$1117,HLOOKUP(INDIRECT(ADDRESS(2,COLUMN())),OFFSET($BN$2,0,0,ROW()-1,60),ROW()-1,FALSE))</f>
        <v>11.72166822</v>
      </c>
      <c r="AT454">
        <f ca="1">IF(AND(ISNUMBER($AT$1117),$B$677=1),$AT$1117,HLOOKUP(INDIRECT(ADDRESS(2,COLUMN())),OFFSET($BN$2,0,0,ROW()-1,60),ROW()-1,FALSE))</f>
        <v>13.70876121</v>
      </c>
      <c r="AU454">
        <f ca="1">IF(AND(ISNUMBER($AU$1117),$B$677=1),$AU$1117,HLOOKUP(INDIRECT(ADDRESS(2,COLUMN())),OFFSET($BN$2,0,0,ROW()-1,60),ROW()-1,FALSE))</f>
        <v>15.82630183</v>
      </c>
      <c r="AV454">
        <f ca="1">IF(AND(ISNUMBER($AV$1117),$B$677=1),$AV$1117,HLOOKUP(INDIRECT(ADDRESS(2,COLUMN())),OFFSET($BN$2,0,0,ROW()-1,60),ROW()-1,FALSE))</f>
        <v>17.50842205</v>
      </c>
      <c r="AW454">
        <f ca="1">IF(AND(ISNUMBER($AW$1117),$B$677=1),$AW$1117,HLOOKUP(INDIRECT(ADDRESS(2,COLUMN())),OFFSET($BN$2,0,0,ROW()-1,60),ROW()-1,FALSE))</f>
        <v>12.1141723</v>
      </c>
      <c r="AX454">
        <f ca="1">IF(AND(ISNUMBER($AX$1117),$B$677=1),$AX$1117,HLOOKUP(INDIRECT(ADDRESS(2,COLUMN())),OFFSET($BN$2,0,0,ROW()-1,60),ROW()-1,FALSE))</f>
        <v>9.2992914689999999</v>
      </c>
      <c r="AY454">
        <f ca="1">IF(AND(ISNUMBER($AY$1117),$B$677=1),$AY$1117,HLOOKUP(INDIRECT(ADDRESS(2,COLUMN())),OFFSET($BN$2,0,0,ROW()-1,60),ROW()-1,FALSE))</f>
        <v>7.544277084</v>
      </c>
      <c r="AZ454">
        <f ca="1">IF(AND(ISNUMBER($AZ$1117),$B$677=1),$AZ$1117,HLOOKUP(INDIRECT(ADDRESS(2,COLUMN())),OFFSET($BN$2,0,0,ROW()-1,60),ROW()-1,FALSE))</f>
        <v>6.7245459050000003</v>
      </c>
      <c r="BA454">
        <f ca="1">IF(AND(ISNUMBER($BA$1117),$B$677=1),$BA$1117,HLOOKUP(INDIRECT(ADDRESS(2,COLUMN())),OFFSET($BN$2,0,0,ROW()-1,60),ROW()-1,FALSE))</f>
        <v>5.6207984880000001</v>
      </c>
      <c r="BB454">
        <f ca="1">IF(AND(ISNUMBER($BB$1117),$B$677=1),$BB$1117,HLOOKUP(INDIRECT(ADDRESS(2,COLUMN())),OFFSET($BN$2,0,0,ROW()-1,60),ROW()-1,FALSE))</f>
        <v>6.4763105190000001</v>
      </c>
      <c r="BC454">
        <f ca="1">IF(AND(ISNUMBER($BC$1117),$B$677=1),$BC$1117,HLOOKUP(INDIRECT(ADDRESS(2,COLUMN())),OFFSET($BN$2,0,0,ROW()-1,60),ROW()-1,FALSE))</f>
        <v>5.8059993209999998</v>
      </c>
      <c r="BD454">
        <f ca="1">IF(AND(ISNUMBER($BD$1117),$B$677=1),$BD$1117,HLOOKUP(INDIRECT(ADDRESS(2,COLUMN())),OFFSET($BN$2,0,0,ROW()-1,60),ROW()-1,FALSE))</f>
        <v>6.1134328780000002</v>
      </c>
      <c r="BE454">
        <f ca="1">IF(AND(ISNUMBER($BE$1117),$B$677=1),$BE$1117,HLOOKUP(INDIRECT(ADDRESS(2,COLUMN())),OFFSET($BN$2,0,0,ROW()-1,60),ROW()-1,FALSE))</f>
        <v>5.8289452940000004</v>
      </c>
      <c r="BF454">
        <f ca="1">IF(AND(ISNUMBER($BF$1117),$B$677=1),$BF$1117,HLOOKUP(INDIRECT(ADDRESS(2,COLUMN())),OFFSET($BN$2,0,0,ROW()-1,60),ROW()-1,FALSE))</f>
        <v>7.2161210069999999</v>
      </c>
      <c r="BG454">
        <f ca="1">IF(AND(ISNUMBER($BG$1117),$B$677=1),$BG$1117,HLOOKUP(INDIRECT(ADDRESS(2,COLUMN())),OFFSET($BN$2,0,0,ROW()-1,60),ROW()-1,FALSE))</f>
        <v>8.7348897789999995</v>
      </c>
      <c r="BH454">
        <f ca="1">IF(AND(ISNUMBER($BH$1117),$B$677=1),$BH$1117,HLOOKUP(INDIRECT(ADDRESS(2,COLUMN())),OFFSET($BN$2,0,0,ROW()-1,60),ROW()-1,FALSE))</f>
        <v>7.4581228570000002</v>
      </c>
      <c r="BI454">
        <f ca="1">IF(AND(ISNUMBER($BI$1117),$B$677=1),$BI$1117,HLOOKUP(INDIRECT(ADDRESS(2,COLUMN())),OFFSET($BN$2,0,0,ROW()-1,60),ROW()-1,FALSE))</f>
        <v>7.0197694989999997</v>
      </c>
      <c r="BJ454">
        <f ca="1">IF(AND(ISNUMBER($BJ$1117),$B$677=1),$BJ$1117,HLOOKUP(INDIRECT(ADDRESS(2,COLUMN())),OFFSET($BN$2,0,0,ROW()-1,60),ROW()-1,FALSE))</f>
        <v>6.0126803039999999</v>
      </c>
      <c r="BK454">
        <f ca="1">IF(AND(ISNUMBER($BK$1117),$B$677=1),$BK$1117,HLOOKUP(INDIRECT(ADDRESS(2,COLUMN())),OFFSET($BN$2,0,0,ROW()-1,60),ROW()-1,FALSE))</f>
        <v>5.3602406079999998</v>
      </c>
      <c r="BL454" t="str">
        <f ca="1">IF(AND(ISNUMBER($BL$1117),$B$677=1),$BL$1117,HLOOKUP(INDIRECT(ADDRESS(2,COLUMN())),OFFSET($BN$2,0,0,ROW()-1,60),ROW()-1,FALSE))</f>
        <v/>
      </c>
      <c r="BM454" t="str">
        <f ca="1">IF(AND(ISNUMBER($BM$1117),$B$677=1),$BM$1117,HLOOKUP(INDIRECT(ADDRESS(2,COLUMN())),OFFSET($BN$2,0,0,ROW()-1,60),ROW()-1,FALSE))</f>
        <v/>
      </c>
      <c r="BN454" t="str">
        <f>""</f>
        <v/>
      </c>
      <c r="BO454" t="str">
        <f>""</f>
        <v/>
      </c>
      <c r="BP454">
        <f>8.351416119</f>
        <v>8.3514161189999996</v>
      </c>
      <c r="BQ454">
        <f>10.91151474</f>
        <v>10.911514739999999</v>
      </c>
      <c r="BR454">
        <f>27.73160968</f>
        <v>27.731609679999998</v>
      </c>
      <c r="BS454" t="str">
        <f>""</f>
        <v/>
      </c>
      <c r="BT454" t="str">
        <f>""</f>
        <v/>
      </c>
      <c r="BU454">
        <f>41.75683981</f>
        <v>41.756839810000002</v>
      </c>
      <c r="BV454">
        <f>8.546611406</f>
        <v>8.5466114060000002</v>
      </c>
      <c r="BW454">
        <f>4.495131628</f>
        <v>4.4951316280000002</v>
      </c>
      <c r="BX454">
        <f>3.792664407</f>
        <v>3.7926644070000002</v>
      </c>
      <c r="BY454">
        <f>3.751023872</f>
        <v>3.7510238720000002</v>
      </c>
      <c r="BZ454">
        <f>4.089365003</f>
        <v>4.0893650030000002</v>
      </c>
      <c r="CA454">
        <f>4.046441882</f>
        <v>4.0464418819999999</v>
      </c>
      <c r="CB454">
        <f>2.251192051</f>
        <v>2.2511920509999999</v>
      </c>
      <c r="CC454">
        <f>5.838352864</f>
        <v>5.838352864</v>
      </c>
      <c r="CD454">
        <f>8.111013134</f>
        <v>8.1110131340000002</v>
      </c>
      <c r="CE454">
        <f>7.032000422</f>
        <v>7.0320004220000003</v>
      </c>
      <c r="CF454">
        <f>6.440512866</f>
        <v>6.4405128659999997</v>
      </c>
      <c r="CG454">
        <f>7.502959852</f>
        <v>7.502959852</v>
      </c>
      <c r="CH454">
        <f>6.650975273</f>
        <v>6.6509752730000002</v>
      </c>
      <c r="CI454">
        <f>6.677476756</f>
        <v>6.6774767559999999</v>
      </c>
      <c r="CJ454">
        <f>5.613817211</f>
        <v>5.6138172109999998</v>
      </c>
      <c r="CK454">
        <f>6.32999436</f>
        <v>6.3299943599999997</v>
      </c>
      <c r="CL454">
        <f>7.667528266</f>
        <v>7.6675282659999997</v>
      </c>
      <c r="CM454">
        <f>10.12693481</f>
        <v>10.12693481</v>
      </c>
      <c r="CN454">
        <f>7.657818067</f>
        <v>7.657818067</v>
      </c>
      <c r="CO454">
        <f>6.39490305</f>
        <v>6.3949030499999999</v>
      </c>
      <c r="CP454">
        <f>6.359033387</f>
        <v>6.3590333870000002</v>
      </c>
      <c r="CQ454">
        <f>4.5905177</f>
        <v>4.5905177000000004</v>
      </c>
      <c r="CR454">
        <f>3.511037905</f>
        <v>3.5110379049999998</v>
      </c>
      <c r="CS454">
        <f>5.211133454</f>
        <v>5.2111334539999996</v>
      </c>
      <c r="CT454">
        <f>3.263672281</f>
        <v>3.2636722809999998</v>
      </c>
      <c r="CU454">
        <f>3.059750828</f>
        <v>3.0597508279999999</v>
      </c>
      <c r="CV454">
        <f>1.99621057</f>
        <v>1.9962105699999999</v>
      </c>
      <c r="CW454">
        <f>1.694272929</f>
        <v>1.694272929</v>
      </c>
      <c r="CX454">
        <f>1.813474001</f>
        <v>1.8134740009999999</v>
      </c>
      <c r="CY454">
        <f>6.712131047</f>
        <v>6.7121310469999997</v>
      </c>
      <c r="CZ454">
        <f>7.291839904</f>
        <v>7.2918399039999997</v>
      </c>
      <c r="DA454">
        <f>11.72166822</f>
        <v>11.72166822</v>
      </c>
      <c r="DB454">
        <f>13.70876121</f>
        <v>13.70876121</v>
      </c>
      <c r="DC454">
        <f>15.82630183</f>
        <v>15.82630183</v>
      </c>
      <c r="DD454">
        <f>17.50842205</f>
        <v>17.50842205</v>
      </c>
      <c r="DE454">
        <f>12.1141723</f>
        <v>12.1141723</v>
      </c>
      <c r="DF454">
        <f>9.299291469</f>
        <v>9.2992914689999999</v>
      </c>
      <c r="DG454">
        <f>7.544277084</f>
        <v>7.544277084</v>
      </c>
      <c r="DH454">
        <f>6.724545905</f>
        <v>6.7245459050000003</v>
      </c>
      <c r="DI454">
        <f>5.620798488</f>
        <v>5.6207984880000001</v>
      </c>
      <c r="DJ454">
        <f>6.476310519</f>
        <v>6.4763105190000001</v>
      </c>
      <c r="DK454">
        <f>5.805999321</f>
        <v>5.8059993209999998</v>
      </c>
      <c r="DL454">
        <f>6.113432878</f>
        <v>6.1134328780000002</v>
      </c>
      <c r="DM454">
        <f>5.828945294</f>
        <v>5.8289452940000004</v>
      </c>
      <c r="DN454">
        <f>7.216121007</f>
        <v>7.2161210069999999</v>
      </c>
      <c r="DO454">
        <f>8.734889779</f>
        <v>8.7348897789999995</v>
      </c>
      <c r="DP454">
        <f>7.458122857</f>
        <v>7.4581228570000002</v>
      </c>
      <c r="DQ454">
        <f>7.019769499</f>
        <v>7.0197694989999997</v>
      </c>
      <c r="DR454">
        <f>6.012680304</f>
        <v>6.0126803039999999</v>
      </c>
      <c r="DS454">
        <f>5.360240608</f>
        <v>5.3602406079999998</v>
      </c>
      <c r="DT454" t="str">
        <f>""</f>
        <v/>
      </c>
      <c r="DU454" t="str">
        <f>""</f>
        <v/>
      </c>
    </row>
    <row r="455" spans="1:125" x14ac:dyDescent="0.25">
      <c r="A455" t="str">
        <f>"    Yulon Motor Co Ltd"</f>
        <v xml:space="preserve">    Yulon Motor Co Ltd</v>
      </c>
      <c r="B455" t="str">
        <f>"2201 TT Equity"</f>
        <v>2201 TT Equity</v>
      </c>
      <c r="C455" t="str">
        <f t="shared" si="30"/>
        <v>RR477</v>
      </c>
      <c r="D455" t="str">
        <f t="shared" si="31"/>
        <v>EV_TO_T12M_CASH_FLOW</v>
      </c>
      <c r="E455" t="str">
        <f t="shared" si="32"/>
        <v>Dynamic</v>
      </c>
      <c r="F455" t="str">
        <f ca="1">IF(AND(ISNUMBER($F$1118),$B$677=1),$F$1118,HLOOKUP(INDIRECT(ADDRESS(2,COLUMN())),OFFSET($BN$2,0,0,ROW()-1,60),ROW()-1,FALSE))</f>
        <v/>
      </c>
      <c r="G455" t="str">
        <f ca="1">IF(AND(ISNUMBER($G$1118),$B$677=1),$G$1118,HLOOKUP(INDIRECT(ADDRESS(2,COLUMN())),OFFSET($BN$2,0,0,ROW()-1,60),ROW()-1,FALSE))</f>
        <v/>
      </c>
      <c r="H455" t="str">
        <f ca="1">IF(AND(ISNUMBER($H$1118),$B$677=1),$H$1118,HLOOKUP(INDIRECT(ADDRESS(2,COLUMN())),OFFSET($BN$2,0,0,ROW()-1,60),ROW()-1,FALSE))</f>
        <v/>
      </c>
      <c r="I455" t="str">
        <f ca="1">IF(AND(ISNUMBER($I$1118),$B$677=1),$I$1118,HLOOKUP(INDIRECT(ADDRESS(2,COLUMN())),OFFSET($BN$2,0,0,ROW()-1,60),ROW()-1,FALSE))</f>
        <v/>
      </c>
      <c r="J455" t="str">
        <f ca="1">IF(AND(ISNUMBER($J$1118),$B$677=1),$J$1118,HLOOKUP(INDIRECT(ADDRESS(2,COLUMN())),OFFSET($BN$2,0,0,ROW()-1,60),ROW()-1,FALSE))</f>
        <v/>
      </c>
      <c r="K455" t="str">
        <f ca="1">IF(AND(ISNUMBER($K$1118),$B$677=1),$K$1118,HLOOKUP(INDIRECT(ADDRESS(2,COLUMN())),OFFSET($BN$2,0,0,ROW()-1,60),ROW()-1,FALSE))</f>
        <v/>
      </c>
      <c r="L455" t="str">
        <f ca="1">IF(AND(ISNUMBER($L$1118),$B$677=1),$L$1118,HLOOKUP(INDIRECT(ADDRESS(2,COLUMN())),OFFSET($BN$2,0,0,ROW()-1,60),ROW()-1,FALSE))</f>
        <v/>
      </c>
      <c r="M455" t="str">
        <f ca="1">IF(AND(ISNUMBER($M$1118),$B$677=1),$M$1118,HLOOKUP(INDIRECT(ADDRESS(2,COLUMN())),OFFSET($BN$2,0,0,ROW()-1,60),ROW()-1,FALSE))</f>
        <v/>
      </c>
      <c r="N455" t="str">
        <f ca="1">IF(AND(ISNUMBER($N$1118),$B$677=1),$N$1118,HLOOKUP(INDIRECT(ADDRESS(2,COLUMN())),OFFSET($BN$2,0,0,ROW()-1,60),ROW()-1,FALSE))</f>
        <v/>
      </c>
      <c r="O455" t="str">
        <f ca="1">IF(AND(ISNUMBER($O$1118),$B$677=1),$O$1118,HLOOKUP(INDIRECT(ADDRESS(2,COLUMN())),OFFSET($BN$2,0,0,ROW()-1,60),ROW()-1,FALSE))</f>
        <v/>
      </c>
      <c r="P455" t="str">
        <f ca="1">IF(AND(ISNUMBER($P$1118),$B$677=1),$P$1118,HLOOKUP(INDIRECT(ADDRESS(2,COLUMN())),OFFSET($BN$2,0,0,ROW()-1,60),ROW()-1,FALSE))</f>
        <v/>
      </c>
      <c r="Q455" t="str">
        <f ca="1">IF(AND(ISNUMBER($Q$1118),$B$677=1),$Q$1118,HLOOKUP(INDIRECT(ADDRESS(2,COLUMN())),OFFSET($BN$2,0,0,ROW()-1,60),ROW()-1,FALSE))</f>
        <v/>
      </c>
      <c r="R455" t="str">
        <f ca="1">IF(AND(ISNUMBER($R$1118),$B$677=1),$R$1118,HLOOKUP(INDIRECT(ADDRESS(2,COLUMN())),OFFSET($BN$2,0,0,ROW()-1,60),ROW()-1,FALSE))</f>
        <v/>
      </c>
      <c r="S455" t="str">
        <f ca="1">IF(AND(ISNUMBER($S$1118),$B$677=1),$S$1118,HLOOKUP(INDIRECT(ADDRESS(2,COLUMN())),OFFSET($BN$2,0,0,ROW()-1,60),ROW()-1,FALSE))</f>
        <v/>
      </c>
      <c r="T455" t="str">
        <f ca="1">IF(AND(ISNUMBER($T$1118),$B$677=1),$T$1118,HLOOKUP(INDIRECT(ADDRESS(2,COLUMN())),OFFSET($BN$2,0,0,ROW()-1,60),ROW()-1,FALSE))</f>
        <v/>
      </c>
      <c r="U455" t="str">
        <f ca="1">IF(AND(ISNUMBER($U$1118),$B$677=1),$U$1118,HLOOKUP(INDIRECT(ADDRESS(2,COLUMN())),OFFSET($BN$2,0,0,ROW()-1,60),ROW()-1,FALSE))</f>
        <v/>
      </c>
      <c r="V455" t="str">
        <f ca="1">IF(AND(ISNUMBER($V$1118),$B$677=1),$V$1118,HLOOKUP(INDIRECT(ADDRESS(2,COLUMN())),OFFSET($BN$2,0,0,ROW()-1,60),ROW()-1,FALSE))</f>
        <v/>
      </c>
      <c r="W455" t="str">
        <f ca="1">IF(AND(ISNUMBER($W$1118),$B$677=1),$W$1118,HLOOKUP(INDIRECT(ADDRESS(2,COLUMN())),OFFSET($BN$2,0,0,ROW()-1,60),ROW()-1,FALSE))</f>
        <v/>
      </c>
      <c r="X455" t="str">
        <f ca="1">IF(AND(ISNUMBER($X$1118),$B$677=1),$X$1118,HLOOKUP(INDIRECT(ADDRESS(2,COLUMN())),OFFSET($BN$2,0,0,ROW()-1,60),ROW()-1,FALSE))</f>
        <v/>
      </c>
      <c r="Y455" t="str">
        <f ca="1">IF(AND(ISNUMBER($Y$1118),$B$677=1),$Y$1118,HLOOKUP(INDIRECT(ADDRESS(2,COLUMN())),OFFSET($BN$2,0,0,ROW()-1,60),ROW()-1,FALSE))</f>
        <v/>
      </c>
      <c r="Z455">
        <f ca="1">IF(AND(ISNUMBER($Z$1118),$B$677=1),$Z$1118,HLOOKUP(INDIRECT(ADDRESS(2,COLUMN())),OFFSET($BN$2,0,0,ROW()-1,60),ROW()-1,FALSE))</f>
        <v>74.953827160000003</v>
      </c>
      <c r="AA455">
        <f ca="1">IF(AND(ISNUMBER($AA$1118),$B$677=1),$AA$1118,HLOOKUP(INDIRECT(ADDRESS(2,COLUMN())),OFFSET($BN$2,0,0,ROW()-1,60),ROW()-1,FALSE))</f>
        <v>31.549950899999999</v>
      </c>
      <c r="AB455">
        <f ca="1">IF(AND(ISNUMBER($AB$1118),$B$677=1),$AB$1118,HLOOKUP(INDIRECT(ADDRESS(2,COLUMN())),OFFSET($BN$2,0,0,ROW()-1,60),ROW()-1,FALSE))</f>
        <v>13.224627849999999</v>
      </c>
      <c r="AC455">
        <f ca="1">IF(AND(ISNUMBER($AC$1118),$B$677=1),$AC$1118,HLOOKUP(INDIRECT(ADDRESS(2,COLUMN())),OFFSET($BN$2,0,0,ROW()-1,60),ROW()-1,FALSE))</f>
        <v>11.586745759999999</v>
      </c>
      <c r="AD455">
        <f ca="1">IF(AND(ISNUMBER($AD$1118),$B$677=1),$AD$1118,HLOOKUP(INDIRECT(ADDRESS(2,COLUMN())),OFFSET($BN$2,0,0,ROW()-1,60),ROW()-1,FALSE))</f>
        <v>21.434049739999999</v>
      </c>
      <c r="AE455">
        <f ca="1">IF(AND(ISNUMBER($AE$1118),$B$677=1),$AE$1118,HLOOKUP(INDIRECT(ADDRESS(2,COLUMN())),OFFSET($BN$2,0,0,ROW()-1,60),ROW()-1,FALSE))</f>
        <v>33.821632360000002</v>
      </c>
      <c r="AF455">
        <f ca="1">IF(AND(ISNUMBER($AF$1118),$B$677=1),$AF$1118,HLOOKUP(INDIRECT(ADDRESS(2,COLUMN())),OFFSET($BN$2,0,0,ROW()-1,60),ROW()-1,FALSE))</f>
        <v>39.590838490000003</v>
      </c>
      <c r="AG455" t="str">
        <f ca="1">IF(AND(ISNUMBER($AG$1118),$B$677=1),$AG$1118,HLOOKUP(INDIRECT(ADDRESS(2,COLUMN())),OFFSET($BN$2,0,0,ROW()-1,60),ROW()-1,FALSE))</f>
        <v/>
      </c>
      <c r="AH455">
        <f ca="1">IF(AND(ISNUMBER($AH$1118),$B$677=1),$AH$1118,HLOOKUP(INDIRECT(ADDRESS(2,COLUMN())),OFFSET($BN$2,0,0,ROW()-1,60),ROW()-1,FALSE))</f>
        <v>64.794716949999994</v>
      </c>
      <c r="AI455" t="str">
        <f ca="1">IF(AND(ISNUMBER($AI$1118),$B$677=1),$AI$1118,HLOOKUP(INDIRECT(ADDRESS(2,COLUMN())),OFFSET($BN$2,0,0,ROW()-1,60),ROW()-1,FALSE))</f>
        <v/>
      </c>
      <c r="AJ455" t="str">
        <f ca="1">IF(AND(ISNUMBER($AJ$1118),$B$677=1),$AJ$1118,HLOOKUP(INDIRECT(ADDRESS(2,COLUMN())),OFFSET($BN$2,0,0,ROW()-1,60),ROW()-1,FALSE))</f>
        <v/>
      </c>
      <c r="AK455">
        <f ca="1">IF(AND(ISNUMBER($AK$1118),$B$677=1),$AK$1118,HLOOKUP(INDIRECT(ADDRESS(2,COLUMN())),OFFSET($BN$2,0,0,ROW()-1,60),ROW()-1,FALSE))</f>
        <v>1548.178521</v>
      </c>
      <c r="AL455">
        <f ca="1">IF(AND(ISNUMBER($AL$1118),$B$677=1),$AL$1118,HLOOKUP(INDIRECT(ADDRESS(2,COLUMN())),OFFSET($BN$2,0,0,ROW()-1,60),ROW()-1,FALSE))</f>
        <v>35.861026870000003</v>
      </c>
      <c r="AM455">
        <f ca="1">IF(AND(ISNUMBER($AM$1118),$B$677=1),$AM$1118,HLOOKUP(INDIRECT(ADDRESS(2,COLUMN())),OFFSET($BN$2,0,0,ROW()-1,60),ROW()-1,FALSE))</f>
        <v>43.250179729999999</v>
      </c>
      <c r="AN455">
        <f ca="1">IF(AND(ISNUMBER($AN$1118),$B$677=1),$AN$1118,HLOOKUP(INDIRECT(ADDRESS(2,COLUMN())),OFFSET($BN$2,0,0,ROW()-1,60),ROW()-1,FALSE))</f>
        <v>10.32200716</v>
      </c>
      <c r="AO455">
        <f ca="1">IF(AND(ISNUMBER($AO$1118),$B$677=1),$AO$1118,HLOOKUP(INDIRECT(ADDRESS(2,COLUMN())),OFFSET($BN$2,0,0,ROW()-1,60),ROW()-1,FALSE))</f>
        <v>22.350696320000001</v>
      </c>
      <c r="AP455">
        <f ca="1">IF(AND(ISNUMBER($AP$1118),$B$677=1),$AP$1118,HLOOKUP(INDIRECT(ADDRESS(2,COLUMN())),OFFSET($BN$2,0,0,ROW()-1,60),ROW()-1,FALSE))</f>
        <v>18.46854974</v>
      </c>
      <c r="AQ455">
        <f ca="1">IF(AND(ISNUMBER($AQ$1118),$B$677=1),$AQ$1118,HLOOKUP(INDIRECT(ADDRESS(2,COLUMN())),OFFSET($BN$2,0,0,ROW()-1,60),ROW()-1,FALSE))</f>
        <v>16.78525741</v>
      </c>
      <c r="AR455" t="str">
        <f ca="1">IF(AND(ISNUMBER($AR$1118),$B$677=1),$AR$1118,HLOOKUP(INDIRECT(ADDRESS(2,COLUMN())),OFFSET($BN$2,0,0,ROW()-1,60),ROW()-1,FALSE))</f>
        <v/>
      </c>
      <c r="AS455">
        <f ca="1">IF(AND(ISNUMBER($AS$1118),$B$677=1),$AS$1118,HLOOKUP(INDIRECT(ADDRESS(2,COLUMN())),OFFSET($BN$2,0,0,ROW()-1,60),ROW()-1,FALSE))</f>
        <v>16.737138829999999</v>
      </c>
      <c r="AT455">
        <f ca="1">IF(AND(ISNUMBER($AT$1118),$B$677=1),$AT$1118,HLOOKUP(INDIRECT(ADDRESS(2,COLUMN())),OFFSET($BN$2,0,0,ROW()-1,60),ROW()-1,FALSE))</f>
        <v>23.468051620000001</v>
      </c>
      <c r="AU455">
        <f ca="1">IF(AND(ISNUMBER($AU$1118),$B$677=1),$AU$1118,HLOOKUP(INDIRECT(ADDRESS(2,COLUMN())),OFFSET($BN$2,0,0,ROW()-1,60),ROW()-1,FALSE))</f>
        <v>6.9389895690000003</v>
      </c>
      <c r="AV455" t="str">
        <f ca="1">IF(AND(ISNUMBER($AV$1118),$B$677=1),$AV$1118,HLOOKUP(INDIRECT(ADDRESS(2,COLUMN())),OFFSET($BN$2,0,0,ROW()-1,60),ROW()-1,FALSE))</f>
        <v/>
      </c>
      <c r="AW455" t="str">
        <f ca="1">IF(AND(ISNUMBER($AW$1118),$B$677=1),$AW$1118,HLOOKUP(INDIRECT(ADDRESS(2,COLUMN())),OFFSET($BN$2,0,0,ROW()-1,60),ROW()-1,FALSE))</f>
        <v/>
      </c>
      <c r="AX455" t="str">
        <f ca="1">IF(AND(ISNUMBER($AX$1118),$B$677=1),$AX$1118,HLOOKUP(INDIRECT(ADDRESS(2,COLUMN())),OFFSET($BN$2,0,0,ROW()-1,60),ROW()-1,FALSE))</f>
        <v/>
      </c>
      <c r="AY455" t="str">
        <f ca="1">IF(AND(ISNUMBER($AY$1118),$B$677=1),$AY$1118,HLOOKUP(INDIRECT(ADDRESS(2,COLUMN())),OFFSET($BN$2,0,0,ROW()-1,60),ROW()-1,FALSE))</f>
        <v/>
      </c>
      <c r="AZ455" t="str">
        <f ca="1">IF(AND(ISNUMBER($AZ$1118),$B$677=1),$AZ$1118,HLOOKUP(INDIRECT(ADDRESS(2,COLUMN())),OFFSET($BN$2,0,0,ROW()-1,60),ROW()-1,FALSE))</f>
        <v/>
      </c>
      <c r="BA455" t="str">
        <f ca="1">IF(AND(ISNUMBER($BA$1118),$B$677=1),$BA$1118,HLOOKUP(INDIRECT(ADDRESS(2,COLUMN())),OFFSET($BN$2,0,0,ROW()-1,60),ROW()-1,FALSE))</f>
        <v/>
      </c>
      <c r="BB455" t="str">
        <f ca="1">IF(AND(ISNUMBER($BB$1118),$B$677=1),$BB$1118,HLOOKUP(INDIRECT(ADDRESS(2,COLUMN())),OFFSET($BN$2,0,0,ROW()-1,60),ROW()-1,FALSE))</f>
        <v/>
      </c>
      <c r="BC455" t="str">
        <f ca="1">IF(AND(ISNUMBER($BC$1118),$B$677=1),$BC$1118,HLOOKUP(INDIRECT(ADDRESS(2,COLUMN())),OFFSET($BN$2,0,0,ROW()-1,60),ROW()-1,FALSE))</f>
        <v/>
      </c>
      <c r="BD455" t="str">
        <f ca="1">IF(AND(ISNUMBER($BD$1118),$B$677=1),$BD$1118,HLOOKUP(INDIRECT(ADDRESS(2,COLUMN())),OFFSET($BN$2,0,0,ROW()-1,60),ROW()-1,FALSE))</f>
        <v/>
      </c>
      <c r="BE455" t="str">
        <f ca="1">IF(AND(ISNUMBER($BE$1118),$B$677=1),$BE$1118,HLOOKUP(INDIRECT(ADDRESS(2,COLUMN())),OFFSET($BN$2,0,0,ROW()-1,60),ROW()-1,FALSE))</f>
        <v/>
      </c>
      <c r="BF455" t="str">
        <f ca="1">IF(AND(ISNUMBER($BF$1118),$B$677=1),$BF$1118,HLOOKUP(INDIRECT(ADDRESS(2,COLUMN())),OFFSET($BN$2,0,0,ROW()-1,60),ROW()-1,FALSE))</f>
        <v/>
      </c>
      <c r="BG455" t="str">
        <f ca="1">IF(AND(ISNUMBER($BG$1118),$B$677=1),$BG$1118,HLOOKUP(INDIRECT(ADDRESS(2,COLUMN())),OFFSET($BN$2,0,0,ROW()-1,60),ROW()-1,FALSE))</f>
        <v/>
      </c>
      <c r="BH455" t="str">
        <f ca="1">IF(AND(ISNUMBER($BH$1118),$B$677=1),$BH$1118,HLOOKUP(INDIRECT(ADDRESS(2,COLUMN())),OFFSET($BN$2,0,0,ROW()-1,60),ROW()-1,FALSE))</f>
        <v/>
      </c>
      <c r="BI455" t="str">
        <f ca="1">IF(AND(ISNUMBER($BI$1118),$B$677=1),$BI$1118,HLOOKUP(INDIRECT(ADDRESS(2,COLUMN())),OFFSET($BN$2,0,0,ROW()-1,60),ROW()-1,FALSE))</f>
        <v/>
      </c>
      <c r="BJ455" t="str">
        <f ca="1">IF(AND(ISNUMBER($BJ$1118),$B$677=1),$BJ$1118,HLOOKUP(INDIRECT(ADDRESS(2,COLUMN())),OFFSET($BN$2,0,0,ROW()-1,60),ROW()-1,FALSE))</f>
        <v/>
      </c>
      <c r="BK455" t="str">
        <f ca="1">IF(AND(ISNUMBER($BK$1118),$B$677=1),$BK$1118,HLOOKUP(INDIRECT(ADDRESS(2,COLUMN())),OFFSET($BN$2,0,0,ROW()-1,60),ROW()-1,FALSE))</f>
        <v/>
      </c>
      <c r="BL455" t="str">
        <f ca="1">IF(AND(ISNUMBER($BL$1118),$B$677=1),$BL$1118,HLOOKUP(INDIRECT(ADDRESS(2,COLUMN())),OFFSET($BN$2,0,0,ROW()-1,60),ROW()-1,FALSE))</f>
        <v/>
      </c>
      <c r="BM455" t="str">
        <f ca="1">IF(AND(ISNUMBER($BM$1118),$B$677=1),$BM$1118,HLOOKUP(INDIRECT(ADDRESS(2,COLUMN())),OFFSET($BN$2,0,0,ROW()-1,60),ROW()-1,FALSE))</f>
        <v/>
      </c>
      <c r="BN455" t="str">
        <f>""</f>
        <v/>
      </c>
      <c r="BO455" t="str">
        <f>""</f>
        <v/>
      </c>
      <c r="BP455" t="str">
        <f>""</f>
        <v/>
      </c>
      <c r="BQ455" t="str">
        <f>""</f>
        <v/>
      </c>
      <c r="BR455" t="str">
        <f>""</f>
        <v/>
      </c>
      <c r="BS455" t="str">
        <f>""</f>
        <v/>
      </c>
      <c r="BT455" t="str">
        <f>""</f>
        <v/>
      </c>
      <c r="BU455" t="str">
        <f>""</f>
        <v/>
      </c>
      <c r="BV455" t="str">
        <f>""</f>
        <v/>
      </c>
      <c r="BW455" t="str">
        <f>""</f>
        <v/>
      </c>
      <c r="BX455" t="str">
        <f>""</f>
        <v/>
      </c>
      <c r="BY455" t="str">
        <f>""</f>
        <v/>
      </c>
      <c r="BZ455" t="str">
        <f>""</f>
        <v/>
      </c>
      <c r="CA455" t="str">
        <f>""</f>
        <v/>
      </c>
      <c r="CB455" t="str">
        <f>""</f>
        <v/>
      </c>
      <c r="CC455" t="str">
        <f>""</f>
        <v/>
      </c>
      <c r="CD455" t="str">
        <f>""</f>
        <v/>
      </c>
      <c r="CE455" t="str">
        <f>""</f>
        <v/>
      </c>
      <c r="CF455" t="str">
        <f>""</f>
        <v/>
      </c>
      <c r="CG455" t="str">
        <f>""</f>
        <v/>
      </c>
      <c r="CH455">
        <f>74.95382716</f>
        <v>74.953827160000003</v>
      </c>
      <c r="CI455">
        <f>31.5499509</f>
        <v>31.549950899999999</v>
      </c>
      <c r="CJ455">
        <f>13.22462785</f>
        <v>13.224627849999999</v>
      </c>
      <c r="CK455">
        <f>11.58674576</f>
        <v>11.586745759999999</v>
      </c>
      <c r="CL455">
        <f>21.43404974</f>
        <v>21.434049739999999</v>
      </c>
      <c r="CM455">
        <f>33.82163236</f>
        <v>33.821632360000002</v>
      </c>
      <c r="CN455">
        <f>39.59083849</f>
        <v>39.590838490000003</v>
      </c>
      <c r="CO455" t="str">
        <f>""</f>
        <v/>
      </c>
      <c r="CP455">
        <f>64.79471695</f>
        <v>64.794716949999994</v>
      </c>
      <c r="CQ455" t="str">
        <f>""</f>
        <v/>
      </c>
      <c r="CR455" t="str">
        <f>""</f>
        <v/>
      </c>
      <c r="CS455">
        <f>1548.178521</f>
        <v>1548.178521</v>
      </c>
      <c r="CT455">
        <f>35.86102687</f>
        <v>35.861026870000003</v>
      </c>
      <c r="CU455">
        <f>43.25017973</f>
        <v>43.250179729999999</v>
      </c>
      <c r="CV455">
        <f>10.32200716</f>
        <v>10.32200716</v>
      </c>
      <c r="CW455">
        <f>22.35069632</f>
        <v>22.350696320000001</v>
      </c>
      <c r="CX455">
        <f>18.46854974</f>
        <v>18.46854974</v>
      </c>
      <c r="CY455">
        <f>16.78525741</f>
        <v>16.78525741</v>
      </c>
      <c r="CZ455" t="str">
        <f>""</f>
        <v/>
      </c>
      <c r="DA455">
        <f>16.73713883</f>
        <v>16.737138829999999</v>
      </c>
      <c r="DB455">
        <f>23.46805162</f>
        <v>23.468051620000001</v>
      </c>
      <c r="DC455">
        <f>6.938989569</f>
        <v>6.9389895690000003</v>
      </c>
      <c r="DD455" t="str">
        <f>""</f>
        <v/>
      </c>
      <c r="DE455" t="str">
        <f>""</f>
        <v/>
      </c>
      <c r="DF455" t="str">
        <f>""</f>
        <v/>
      </c>
      <c r="DG455" t="str">
        <f>""</f>
        <v/>
      </c>
      <c r="DH455" t="str">
        <f>""</f>
        <v/>
      </c>
      <c r="DI455" t="str">
        <f>""</f>
        <v/>
      </c>
      <c r="DJ455" t="str">
        <f>""</f>
        <v/>
      </c>
      <c r="DK455" t="str">
        <f>""</f>
        <v/>
      </c>
      <c r="DL455" t="str">
        <f>""</f>
        <v/>
      </c>
      <c r="DM455" t="str">
        <f>""</f>
        <v/>
      </c>
      <c r="DN455" t="str">
        <f>""</f>
        <v/>
      </c>
      <c r="DO455" t="str">
        <f>""</f>
        <v/>
      </c>
      <c r="DP455" t="str">
        <f>""</f>
        <v/>
      </c>
      <c r="DQ455" t="str">
        <f>""</f>
        <v/>
      </c>
      <c r="DR455" t="str">
        <f>""</f>
        <v/>
      </c>
      <c r="DS455" t="str">
        <f>""</f>
        <v/>
      </c>
      <c r="DT455" t="str">
        <f>""</f>
        <v/>
      </c>
      <c r="DU455" t="str">
        <f>""</f>
        <v/>
      </c>
    </row>
    <row r="456" spans="1:125" x14ac:dyDescent="0.25">
      <c r="A456" t="str">
        <f>"EV / T12M Net Income"</f>
        <v>EV / T12M Net Income</v>
      </c>
      <c r="B456" t="str">
        <f>""</f>
        <v/>
      </c>
      <c r="E456" t="str">
        <f>"Average"</f>
        <v>Average</v>
      </c>
      <c r="F456" t="str">
        <f ca="1">IF(ISERROR(IF(AVERAGE($F$457:$F$496) = 0, "", AVERAGE($F$457:$F$496))), "", (IF(AVERAGE($F$457:$F$496) = 0, "", AVERAGE($F$457:$F$496))))</f>
        <v/>
      </c>
      <c r="G456">
        <f ca="1">IF(ISERROR(IF(AVERAGE($G$457:$G$496) = 0, "", AVERAGE($G$457:$G$496))), "", (IF(AVERAGE($G$457:$G$496) = 0, "", AVERAGE($G$457:$G$496))))</f>
        <v>8.8328372495384606</v>
      </c>
      <c r="H456">
        <f ca="1">IF(ISERROR(IF(AVERAGE($H$457:$H$496) = 0, "", AVERAGE($H$457:$H$496))), "", (IF(AVERAGE($H$457:$H$496) = 0, "", AVERAGE($H$457:$H$496))))</f>
        <v>70.5974535090741</v>
      </c>
      <c r="I456">
        <f ca="1">IF(ISERROR(IF(AVERAGE($I$457:$I$496) = 0, "", AVERAGE($I$457:$I$496))), "", (IF(AVERAGE($I$457:$I$496) = 0, "", AVERAGE($I$457:$I$496))))</f>
        <v>21.015423172319991</v>
      </c>
      <c r="J456">
        <f ca="1">IF(ISERROR(IF(AVERAGE($J$457:$J$496) = 0, "", AVERAGE($J$457:$J$496))), "", (IF(AVERAGE($J$457:$J$496) = 0, "", AVERAGE($J$457:$J$496))))</f>
        <v>19.151870779307693</v>
      </c>
      <c r="K456">
        <f ca="1">IF(ISERROR(IF(AVERAGE($K$457:$K$496) = 0, "", AVERAGE($K$457:$K$496))), "", (IF(AVERAGE($K$457:$K$496) = 0, "", AVERAGE($K$457:$K$496))))</f>
        <v>19.596643567000001</v>
      </c>
      <c r="L456">
        <f ca="1">IF(ISERROR(IF(AVERAGE($L$457:$L$496) = 0, "", AVERAGE($L$457:$L$496))), "", (IF(AVERAGE($L$457:$L$496) = 0, "", AVERAGE($L$457:$L$496))))</f>
        <v>34.225850392111106</v>
      </c>
      <c r="M456">
        <f ca="1">IF(ISERROR(IF(AVERAGE($M$457:$M$496) = 0, "", AVERAGE($M$457:$M$496))), "", (IF(AVERAGE($M$457:$M$496) = 0, "", AVERAGE($M$457:$M$496))))</f>
        <v>44.684509687440006</v>
      </c>
      <c r="N456">
        <f ca="1">IF(ISERROR(IF(AVERAGE($N$457:$N$496) = 0, "", AVERAGE($N$457:$N$496))), "", (IF(AVERAGE($N$457:$N$496) = 0, "", AVERAGE($N$457:$N$496))))</f>
        <v>23.769904794679995</v>
      </c>
      <c r="O456">
        <f ca="1">IF(ISERROR(IF(AVERAGE($O$457:$O$496) = 0, "", AVERAGE($O$457:$O$496))), "", (IF(AVERAGE($O$457:$O$496) = 0, "", AVERAGE($O$457:$O$496))))</f>
        <v>18.328409873666669</v>
      </c>
      <c r="P456">
        <f ca="1">IF(ISERROR(IF(AVERAGE($P$457:$P$496) = 0, "", AVERAGE($P$457:$P$496))), "", (IF(AVERAGE($P$457:$P$496) = 0, "", AVERAGE($P$457:$P$496))))</f>
        <v>21.70462967392</v>
      </c>
      <c r="Q456">
        <f ca="1">IF(ISERROR(IF(AVERAGE($Q$457:$Q$496) = 0, "", AVERAGE($Q$457:$Q$496))), "", (IF(AVERAGE($Q$457:$Q$496) = 0, "", AVERAGE($Q$457:$Q$496))))</f>
        <v>26.853032158583328</v>
      </c>
      <c r="R456">
        <f ca="1">IF(ISERROR(IF(AVERAGE($R$457:$R$496) = 0, "", AVERAGE($R$457:$R$496))), "", (IF(AVERAGE($R$457:$R$496) = 0, "", AVERAGE($R$457:$R$496))))</f>
        <v>18.36555322923077</v>
      </c>
      <c r="S456">
        <f ca="1">IF(ISERROR(IF(AVERAGE($S$457:$S$496) = 0, "", AVERAGE($S$457:$S$496))), "", (IF(AVERAGE($S$457:$S$496) = 0, "", AVERAGE($S$457:$S$496))))</f>
        <v>65.846296630384614</v>
      </c>
      <c r="T456">
        <f ca="1">IF(ISERROR(IF(AVERAGE($T$457:$T$496) = 0, "", AVERAGE($T$457:$T$496))), "", (IF(AVERAGE($T$457:$T$496) = 0, "", AVERAGE($T$457:$T$496))))</f>
        <v>20.360307056888882</v>
      </c>
      <c r="U456">
        <f ca="1">IF(ISERROR(IF(AVERAGE($U$457:$U$496) = 0, "", AVERAGE($U$457:$U$496))), "", (IF(AVERAGE($U$457:$U$496) = 0, "", AVERAGE($U$457:$U$496))))</f>
        <v>29.391234531120013</v>
      </c>
      <c r="V456">
        <f ca="1">IF(ISERROR(IF(AVERAGE($V$457:$V$496) = 0, "", AVERAGE($V$457:$V$496))), "", (IF(AVERAGE($V$457:$V$496) = 0, "", AVERAGE($V$457:$V$496))))</f>
        <v>86.647014647407403</v>
      </c>
      <c r="W456">
        <f ca="1">IF(ISERROR(IF(AVERAGE($W$457:$W$496) = 0, "", AVERAGE($W$457:$W$496))), "", (IF(AVERAGE($W$457:$W$496) = 0, "", AVERAGE($W$457:$W$496))))</f>
        <v>34.257811131769238</v>
      </c>
      <c r="X456">
        <f ca="1">IF(ISERROR(IF(AVERAGE($X$457:$X$496) = 0, "", AVERAGE($X$457:$X$496))), "", (IF(AVERAGE($X$457:$X$496) = 0, "", AVERAGE($X$457:$X$496))))</f>
        <v>26.557537684884608</v>
      </c>
      <c r="Y456">
        <f ca="1">IF(ISERROR(IF(AVERAGE($Y$457:$Y$496) = 0, "", AVERAGE($Y$457:$Y$496))), "", (IF(AVERAGE($Y$457:$Y$496) = 0, "", AVERAGE($Y$457:$Y$496))))</f>
        <v>24.524635765039999</v>
      </c>
      <c r="Z456">
        <f ca="1">IF(ISERROR(IF(AVERAGE($Z$457:$Z$496) = 0, "", AVERAGE($Z$457:$Z$496))), "", (IF(AVERAGE($Z$457:$Z$496) = 0, "", AVERAGE($Z$457:$Z$496))))</f>
        <v>25.193853027592599</v>
      </c>
      <c r="AA456">
        <f ca="1">IF(ISERROR(IF(AVERAGE($AA$457:$AA$496) = 0, "", AVERAGE($AA$457:$AA$496))), "", (IF(AVERAGE($AA$457:$AA$496) = 0, "", AVERAGE($AA$457:$AA$496))))</f>
        <v>22.16488322348</v>
      </c>
      <c r="AB456">
        <f ca="1">IF(ISERROR(IF(AVERAGE($AB$457:$AB$496) = 0, "", AVERAGE($AB$457:$AB$496))), "", (IF(AVERAGE($AB$457:$AB$496) = 0, "", AVERAGE($AB$457:$AB$496))))</f>
        <v>23.999106436923071</v>
      </c>
      <c r="AC456">
        <f ca="1">IF(ISERROR(IF(AVERAGE($AC$457:$AC$496) = 0, "", AVERAGE($AC$457:$AC$496))), "", (IF(AVERAGE($AC$457:$AC$496) = 0, "", AVERAGE($AC$457:$AC$496))))</f>
        <v>29.188223847799996</v>
      </c>
      <c r="AD456">
        <f ca="1">IF(ISERROR(IF(AVERAGE($AD$457:$AD$496) = 0, "", AVERAGE($AD$457:$AD$496))), "", (IF(AVERAGE($AD$457:$AD$496) = 0, "", AVERAGE($AD$457:$AD$496))))</f>
        <v>38.081385588115388</v>
      </c>
      <c r="AE456">
        <f ca="1">IF(ISERROR(IF(AVERAGE($AE$457:$AE$496) = 0, "", AVERAGE($AE$457:$AE$496))), "", (IF(AVERAGE($AE$457:$AE$496) = 0, "", AVERAGE($AE$457:$AE$496))))</f>
        <v>62.396465431576914</v>
      </c>
      <c r="AF456">
        <f ca="1">IF(ISERROR(IF(AVERAGE($AF$457:$AF$496) = 0, "", AVERAGE($AF$457:$AF$496))), "", (IF(AVERAGE($AF$457:$AF$496) = 0, "", AVERAGE($AF$457:$AF$496))))</f>
        <v>19.144227902153851</v>
      </c>
      <c r="AG456">
        <f ca="1">IF(ISERROR(IF(AVERAGE($AG$457:$AG$496) = 0, "", AVERAGE($AG$457:$AG$496))), "", (IF(AVERAGE($AG$457:$AG$496) = 0, "", AVERAGE($AG$457:$AG$496))))</f>
        <v>19.786735734680001</v>
      </c>
      <c r="AH456">
        <f ca="1">IF(ISERROR(IF(AVERAGE($AH$457:$AH$496) = 0, "", AVERAGE($AH$457:$AH$496))), "", (IF(AVERAGE($AH$457:$AH$496) = 0, "", AVERAGE($AH$457:$AH$496))))</f>
        <v>21.50183389379167</v>
      </c>
      <c r="AI456">
        <f ca="1">IF(ISERROR(IF(AVERAGE($AI$457:$AI$496) = 0, "", AVERAGE($AI$457:$AI$496))), "", (IF(AVERAGE($AI$457:$AI$496) = 0, "", AVERAGE($AI$457:$AI$496))))</f>
        <v>21.794854641166669</v>
      </c>
      <c r="AJ456">
        <f ca="1">IF(ISERROR(IF(AVERAGE($AJ$457:$AJ$496) = 0, "", AVERAGE($AJ$457:$AJ$496))), "", (IF(AVERAGE($AJ$457:$AJ$496) = 0, "", AVERAGE($AJ$457:$AJ$496))))</f>
        <v>18.886934323160002</v>
      </c>
      <c r="AK456">
        <f ca="1">IF(ISERROR(IF(AVERAGE($AK$457:$AK$496) = 0, "", AVERAGE($AK$457:$AK$496))), "", (IF(AVERAGE($AK$457:$AK$496) = 0, "", AVERAGE($AK$457:$AK$496))))</f>
        <v>24.31829297852174</v>
      </c>
      <c r="AL456">
        <f ca="1">IF(ISERROR(IF(AVERAGE($AL$457:$AL$496) = 0, "", AVERAGE($AL$457:$AL$496))), "", (IF(AVERAGE($AL$457:$AL$496) = 0, "", AVERAGE($AL$457:$AL$496))))</f>
        <v>20.147859738565217</v>
      </c>
      <c r="AM456">
        <f ca="1">IF(ISERROR(IF(AVERAGE($AM$457:$AM$496) = 0, "", AVERAGE($AM$457:$AM$496))), "", (IF(AVERAGE($AM$457:$AM$496) = 0, "", AVERAGE($AM$457:$AM$496))))</f>
        <v>20.1586387378</v>
      </c>
      <c r="AN456">
        <f ca="1">IF(ISERROR(IF(AVERAGE($AN$457:$AN$496) = 0, "", AVERAGE($AN$457:$AN$496))), "", (IF(AVERAGE($AN$457:$AN$496) = 0, "", AVERAGE($AN$457:$AN$496))))</f>
        <v>18.691247838749998</v>
      </c>
      <c r="AO456">
        <f ca="1">IF(ISERROR(IF(AVERAGE($AO$457:$AO$496) = 0, "", AVERAGE($AO$457:$AO$496))), "", (IF(AVERAGE($AO$457:$AO$496) = 0, "", AVERAGE($AO$457:$AO$496))))</f>
        <v>22.12505171159091</v>
      </c>
      <c r="AP456">
        <f ca="1">IF(ISERROR(IF(AVERAGE($AP$457:$AP$496) = 0, "", AVERAGE($AP$457:$AP$496))), "", (IF(AVERAGE($AP$457:$AP$496) = 0, "", AVERAGE($AP$457:$AP$496))))</f>
        <v>46.633894405500001</v>
      </c>
      <c r="AQ456">
        <f ca="1">IF(ISERROR(IF(AVERAGE($AQ$457:$AQ$496) = 0, "", AVERAGE($AQ$457:$AQ$496))), "", (IF(AVERAGE($AQ$457:$AQ$496) = 0, "", AVERAGE($AQ$457:$AQ$496))))</f>
        <v>123.35593614464287</v>
      </c>
      <c r="AR456">
        <f ca="1">IF(ISERROR(IF(AVERAGE($AR$457:$AR$496) = 0, "", AVERAGE($AR$457:$AR$496))), "", (IF(AVERAGE($AR$457:$AR$496) = 0, "", AVERAGE($AR$457:$AR$496))))</f>
        <v>84.55395479900001</v>
      </c>
      <c r="AS456">
        <f ca="1">IF(ISERROR(IF(AVERAGE($AS$457:$AS$496) = 0, "", AVERAGE($AS$457:$AS$496))), "", (IF(AVERAGE($AS$457:$AS$496) = 0, "", AVERAGE($AS$457:$AS$496))))</f>
        <v>179.75178080327277</v>
      </c>
      <c r="AT456">
        <f ca="1">IF(ISERROR(IF(AVERAGE($AT$457:$AT$496) = 0, "", AVERAGE($AT$457:$AT$496))), "", (IF(AVERAGE($AT$457:$AT$496) = 0, "", AVERAGE($AT$457:$AT$496))))</f>
        <v>532.82491520044448</v>
      </c>
      <c r="AU456">
        <f ca="1">IF(ISERROR(IF(AVERAGE($AU$457:$AU$496) = 0, "", AVERAGE($AU$457:$AU$496))), "", (IF(AVERAGE($AU$457:$AU$496) = 0, "", AVERAGE($AU$457:$AU$496))))</f>
        <v>70.570655573882362</v>
      </c>
      <c r="AV456">
        <f ca="1">IF(ISERROR(IF(AVERAGE($AV$457:$AV$496) = 0, "", AVERAGE($AV$457:$AV$496))), "", (IF(AVERAGE($AV$457:$AV$496) = 0, "", AVERAGE($AV$457:$AV$496))))</f>
        <v>20.259336010550005</v>
      </c>
      <c r="AW456">
        <f ca="1">IF(ISERROR(IF(AVERAGE($AW$457:$AW$496) = 0, "", AVERAGE($AW$457:$AW$496))), "", (IF(AVERAGE($AW$457:$AW$496) = 0, "", AVERAGE($AW$457:$AW$496))))</f>
        <v>18.005265436888894</v>
      </c>
      <c r="AX456">
        <f ca="1">IF(ISERROR(IF(AVERAGE($AX$457:$AX$496) = 0, "", AVERAGE($AX$457:$AX$496))), "", (IF(AVERAGE($AX$457:$AX$496) = 0, "", AVERAGE($AX$457:$AX$496))))</f>
        <v>23.378037432499994</v>
      </c>
      <c r="AY456">
        <f ca="1">IF(ISERROR(IF(AVERAGE($AY$457:$AY$496) = 0, "", AVERAGE($AY$457:$AY$496))), "", (IF(AVERAGE($AY$457:$AY$496) = 0, "", AVERAGE($AY$457:$AY$496))))</f>
        <v>30.53451080527778</v>
      </c>
      <c r="AZ456">
        <f ca="1">IF(ISERROR(IF(AVERAGE($AZ$457:$AZ$496) = 0, "", AVERAGE($AZ$457:$AZ$496))), "", (IF(AVERAGE($AZ$457:$AZ$496) = 0, "", AVERAGE($AZ$457:$AZ$496))))</f>
        <v>30.974665867882354</v>
      </c>
      <c r="BA456">
        <f ca="1">IF(ISERROR(IF(AVERAGE($BA$457:$BA$496) = 0, "", AVERAGE($BA$457:$BA$496))), "", (IF(AVERAGE($BA$457:$BA$496) = 0, "", AVERAGE($BA$457:$BA$496))))</f>
        <v>34.993988494166672</v>
      </c>
      <c r="BB456">
        <f ca="1">IF(ISERROR(IF(AVERAGE($BB$457:$BB$496) = 0, "", AVERAGE($BB$457:$BB$496))), "", (IF(AVERAGE($BB$457:$BB$496) = 0, "", AVERAGE($BB$457:$BB$496))))</f>
        <v>37.658293680944453</v>
      </c>
      <c r="BC456">
        <f ca="1">IF(ISERROR(IF(AVERAGE($BC$457:$BC$496) = 0, "", AVERAGE($BC$457:$BC$496))), "", (IF(AVERAGE($BC$457:$BC$496) = 0, "", AVERAGE($BC$457:$BC$496))))</f>
        <v>24.256016119562499</v>
      </c>
      <c r="BD456">
        <f ca="1">IF(ISERROR(IF(AVERAGE($BD$457:$BD$496) = 0, "", AVERAGE($BD$457:$BD$496))), "", (IF(AVERAGE($BD$457:$BD$496) = 0, "", AVERAGE($BD$457:$BD$496))))</f>
        <v>20.794191216062501</v>
      </c>
      <c r="BE456">
        <f ca="1">IF(ISERROR(IF(AVERAGE($BE$457:$BE$496) = 0, "", AVERAGE($BE$457:$BE$496))), "", (IF(AVERAGE($BE$457:$BE$496) = 0, "", AVERAGE($BE$457:$BE$496))))</f>
        <v>20.066522832312501</v>
      </c>
      <c r="BF456">
        <f ca="1">IF(ISERROR(IF(AVERAGE($BF$457:$BF$496) = 0, "", AVERAGE($BF$457:$BF$496))), "", (IF(AVERAGE($BF$457:$BF$496) = 0, "", AVERAGE($BF$457:$BF$496))))</f>
        <v>23.151105082312501</v>
      </c>
      <c r="BG456">
        <f ca="1">IF(ISERROR(IF(AVERAGE($BG$457:$BG$496) = 0, "", AVERAGE($BG$457:$BG$496))), "", (IF(AVERAGE($BG$457:$BG$496) = 0, "", AVERAGE($BG$457:$BG$496))))</f>
        <v>30.885681206374997</v>
      </c>
      <c r="BH456">
        <f ca="1">IF(ISERROR(IF(AVERAGE($BH$457:$BH$496) = 0, "", AVERAGE($BH$457:$BH$496))), "", (IF(AVERAGE($BH$457:$BH$496) = 0, "", AVERAGE($BH$457:$BH$496))))</f>
        <v>30.167108174944449</v>
      </c>
      <c r="BI456">
        <f ca="1">IF(ISERROR(IF(AVERAGE($BI$457:$BI$496) = 0, "", AVERAGE($BI$457:$BI$496))), "", (IF(AVERAGE($BI$457:$BI$496) = 0, "", AVERAGE($BI$457:$BI$496))))</f>
        <v>62.430313749538456</v>
      </c>
      <c r="BJ456">
        <f ca="1">IF(ISERROR(IF(AVERAGE($BJ$457:$BJ$496) = 0, "", AVERAGE($BJ$457:$BJ$496))), "", (IF(AVERAGE($BJ$457:$BJ$496) = 0, "", AVERAGE($BJ$457:$BJ$496))))</f>
        <v>27.401369737437502</v>
      </c>
      <c r="BK456">
        <f ca="1">IF(ISERROR(IF(AVERAGE($BK$457:$BK$496) = 0, "", AVERAGE($BK$457:$BK$496))), "", (IF(AVERAGE($BK$457:$BK$496) = 0, "", AVERAGE($BK$457:$BK$496))))</f>
        <v>47.657747416636361</v>
      </c>
      <c r="BL456">
        <f ca="1">IF(ISERROR(IF(AVERAGE($BL$457:$BL$496) = 0, "", AVERAGE($BL$457:$BL$496))), "", (IF(AVERAGE($BL$457:$BL$496) = 0, "", AVERAGE($BL$457:$BL$496))))</f>
        <v>22.17420992876923</v>
      </c>
      <c r="BM456">
        <f ca="1">IF(ISERROR(IF(AVERAGE($BM$457:$BM$496) = 0, "", AVERAGE($BM$457:$BM$496))), "", (IF(AVERAGE($BM$457:$BM$496) = 0, "", AVERAGE($BM$457:$BM$496))))</f>
        <v>127.7893580596</v>
      </c>
      <c r="BN456" t="str">
        <f>""</f>
        <v/>
      </c>
      <c r="BO456">
        <f>8.83283725</f>
        <v>8.8328372500000008</v>
      </c>
      <c r="BP456">
        <f>70.59745349</f>
        <v>70.597453490000007</v>
      </c>
      <c r="BQ456">
        <f>21.01542317</f>
        <v>21.015423169999998</v>
      </c>
      <c r="BR456">
        <f>19.15187078</f>
        <v>19.151870779999999</v>
      </c>
      <c r="BS456">
        <f>19.59664357</f>
        <v>19.596643570000001</v>
      </c>
      <c r="BT456">
        <f>34.22585039</f>
        <v>34.225850389999998</v>
      </c>
      <c r="BU456">
        <f>44.68450969</f>
        <v>44.684509689999999</v>
      </c>
      <c r="BV456">
        <f>23.7699048</f>
        <v>23.769904799999999</v>
      </c>
      <c r="BW456">
        <f>18.32840987</f>
        <v>18.328409870000002</v>
      </c>
      <c r="BX456">
        <f>21.70462968</f>
        <v>21.70462968</v>
      </c>
      <c r="BY456">
        <f>26.85303216</f>
        <v>26.853032160000001</v>
      </c>
      <c r="BZ456">
        <f>18.36555323</f>
        <v>18.36555323</v>
      </c>
      <c r="CA456">
        <f>65.84629663</f>
        <v>65.846296629999998</v>
      </c>
      <c r="CB456">
        <f>20.36030706</f>
        <v>20.36030706</v>
      </c>
      <c r="CC456">
        <f>29.39123453</f>
        <v>29.391234529999998</v>
      </c>
      <c r="CD456">
        <f>86.64701464</f>
        <v>86.647014639999995</v>
      </c>
      <c r="CE456">
        <f>34.25781113</f>
        <v>34.25781113</v>
      </c>
      <c r="CF456">
        <f>26.55753768</f>
        <v>26.557537679999999</v>
      </c>
      <c r="CG456">
        <f>24.52463577</f>
        <v>24.52463577</v>
      </c>
      <c r="CH456">
        <f>25.19385303</f>
        <v>25.19385303</v>
      </c>
      <c r="CI456">
        <f>22.16488322</f>
        <v>22.16488322</v>
      </c>
      <c r="CJ456">
        <f>23.99910643</f>
        <v>23.999106430000001</v>
      </c>
      <c r="CK456">
        <f>29.18822385</f>
        <v>29.18822385</v>
      </c>
      <c r="CL456">
        <f>38.08138559</f>
        <v>38.081385589999996</v>
      </c>
      <c r="CM456">
        <f>62.39646543</f>
        <v>62.396465429999999</v>
      </c>
      <c r="CN456">
        <f>19.1442279</f>
        <v>19.144227900000001</v>
      </c>
      <c r="CO456">
        <f>19.78673573</f>
        <v>19.78673573</v>
      </c>
      <c r="CP456">
        <f>21.50183389</f>
        <v>21.50183389</v>
      </c>
      <c r="CQ456">
        <f>21.79485464</f>
        <v>21.794854640000001</v>
      </c>
      <c r="CR456">
        <f>18.88693432</f>
        <v>18.886934320000002</v>
      </c>
      <c r="CS456">
        <f>24.31829298</f>
        <v>24.318292979999999</v>
      </c>
      <c r="CT456">
        <f>20.14785974</f>
        <v>20.147859740000001</v>
      </c>
      <c r="CU456">
        <f>20.15863874</f>
        <v>20.158638740000001</v>
      </c>
      <c r="CV456">
        <f>18.69124784</f>
        <v>18.691247839999999</v>
      </c>
      <c r="CW456">
        <f>22.12505171</f>
        <v>22.125051710000001</v>
      </c>
      <c r="CX456">
        <f>46.63389441</f>
        <v>46.633894410000003</v>
      </c>
      <c r="CY456">
        <f>123.3559361</f>
        <v>123.35593609999999</v>
      </c>
      <c r="CZ456">
        <f>84.5539548</f>
        <v>84.5539548</v>
      </c>
      <c r="DA456">
        <f>179.7517808</f>
        <v>179.75178080000001</v>
      </c>
      <c r="DB456">
        <f>532.8249152</f>
        <v>532.82491519999996</v>
      </c>
      <c r="DC456">
        <f>70.57065557</f>
        <v>70.57065557</v>
      </c>
      <c r="DD456">
        <f>20.25933601</f>
        <v>20.259336009999998</v>
      </c>
      <c r="DE456">
        <f>18.00526544</f>
        <v>18.005265439999999</v>
      </c>
      <c r="DF456">
        <f>23.37803743</f>
        <v>23.378037429999999</v>
      </c>
      <c r="DG456">
        <f>30.53451081</f>
        <v>30.53451081</v>
      </c>
      <c r="DH456">
        <f>30.97466587</f>
        <v>30.974665869999999</v>
      </c>
      <c r="DI456">
        <f>34.99398849</f>
        <v>34.99398849</v>
      </c>
      <c r="DJ456">
        <f>37.65829368</f>
        <v>37.65829368</v>
      </c>
      <c r="DK456">
        <f>24.25601612</f>
        <v>24.256016120000002</v>
      </c>
      <c r="DL456">
        <f>20.79419122</f>
        <v>20.794191219999998</v>
      </c>
      <c r="DM456">
        <f>20.06652283</f>
        <v>20.06652283</v>
      </c>
      <c r="DN456">
        <f>23.15110508</f>
        <v>23.151105080000001</v>
      </c>
      <c r="DO456">
        <f>30.88568121</f>
        <v>30.885681210000001</v>
      </c>
      <c r="DP456">
        <f>30.16710818</f>
        <v>30.16710818</v>
      </c>
      <c r="DQ456">
        <f>62.43031375</f>
        <v>62.430313750000003</v>
      </c>
      <c r="DR456">
        <f>27.40136974</f>
        <v>27.40136974</v>
      </c>
      <c r="DS456">
        <f>47.65774741</f>
        <v>47.657747409999999</v>
      </c>
      <c r="DT456">
        <f>22.17420993</f>
        <v>22.17420993</v>
      </c>
      <c r="DU456">
        <f>127.7893581</f>
        <v>127.7893581</v>
      </c>
    </row>
    <row r="457" spans="1:125" x14ac:dyDescent="0.25">
      <c r="A457" t="str">
        <f>"    AUDI AG"</f>
        <v xml:space="preserve">    AUDI AG</v>
      </c>
      <c r="B457" t="str">
        <f>"NSU GR Equity"</f>
        <v>NSU GR Equity</v>
      </c>
      <c r="C457" t="str">
        <f t="shared" ref="C457:C496" si="33">"RR476"</f>
        <v>RR476</v>
      </c>
      <c r="D457" t="str">
        <f t="shared" ref="D457:D496" si="34">"EV_TO_T12M_NET_INCOME"</f>
        <v>EV_TO_T12M_NET_INCOME</v>
      </c>
      <c r="E457" t="str">
        <f t="shared" ref="E457:E496" si="35">"Dynamic"</f>
        <v>Dynamic</v>
      </c>
      <c r="F457" t="str">
        <f ca="1">IF(AND(ISNUMBER($F$1119),$B$677=1),$F$1119,HLOOKUP(INDIRECT(ADDRESS(2,COLUMN())),OFFSET($BN$2,0,0,ROW()-1,60),ROW()-1,FALSE))</f>
        <v/>
      </c>
      <c r="G457" t="str">
        <f ca="1">IF(AND(ISNUMBER($G$1119),$B$677=1),$G$1119,HLOOKUP(INDIRECT(ADDRESS(2,COLUMN())),OFFSET($BN$2,0,0,ROW()-1,60),ROW()-1,FALSE))</f>
        <v/>
      </c>
      <c r="H457" t="str">
        <f ca="1">IF(AND(ISNUMBER($H$1119),$B$677=1),$H$1119,HLOOKUP(INDIRECT(ADDRESS(2,COLUMN())),OFFSET($BN$2,0,0,ROW()-1,60),ROW()-1,FALSE))</f>
        <v/>
      </c>
      <c r="I457" t="str">
        <f ca="1">IF(AND(ISNUMBER($I$1119),$B$677=1),$I$1119,HLOOKUP(INDIRECT(ADDRESS(2,COLUMN())),OFFSET($BN$2,0,0,ROW()-1,60),ROW()-1,FALSE))</f>
        <v/>
      </c>
      <c r="J457" t="str">
        <f ca="1">IF(AND(ISNUMBER($J$1119),$B$677=1),$J$1119,HLOOKUP(INDIRECT(ADDRESS(2,COLUMN())),OFFSET($BN$2,0,0,ROW()-1,60),ROW()-1,FALSE))</f>
        <v/>
      </c>
      <c r="K457" t="str">
        <f ca="1">IF(AND(ISNUMBER($K$1119),$B$677=1),$K$1119,HLOOKUP(INDIRECT(ADDRESS(2,COLUMN())),OFFSET($BN$2,0,0,ROW()-1,60),ROW()-1,FALSE))</f>
        <v/>
      </c>
      <c r="L457" t="str">
        <f ca="1">IF(AND(ISNUMBER($L$1119),$B$677=1),$L$1119,HLOOKUP(INDIRECT(ADDRESS(2,COLUMN())),OFFSET($BN$2,0,0,ROW()-1,60),ROW()-1,FALSE))</f>
        <v/>
      </c>
      <c r="M457" t="str">
        <f ca="1">IF(AND(ISNUMBER($M$1119),$B$677=1),$M$1119,HLOOKUP(INDIRECT(ADDRESS(2,COLUMN())),OFFSET($BN$2,0,0,ROW()-1,60),ROW()-1,FALSE))</f>
        <v/>
      </c>
      <c r="N457" t="str">
        <f ca="1">IF(AND(ISNUMBER($N$1119),$B$677=1),$N$1119,HLOOKUP(INDIRECT(ADDRESS(2,COLUMN())),OFFSET($BN$2,0,0,ROW()-1,60),ROW()-1,FALSE))</f>
        <v/>
      </c>
      <c r="O457" t="str">
        <f ca="1">IF(AND(ISNUMBER($O$1119),$B$677=1),$O$1119,HLOOKUP(INDIRECT(ADDRESS(2,COLUMN())),OFFSET($BN$2,0,0,ROW()-1,60),ROW()-1,FALSE))</f>
        <v/>
      </c>
      <c r="P457" t="str">
        <f ca="1">IF(AND(ISNUMBER($P$1119),$B$677=1),$P$1119,HLOOKUP(INDIRECT(ADDRESS(2,COLUMN())),OFFSET($BN$2,0,0,ROW()-1,60),ROW()-1,FALSE))</f>
        <v/>
      </c>
      <c r="Q457" t="str">
        <f ca="1">IF(AND(ISNUMBER($Q$1119),$B$677=1),$Q$1119,HLOOKUP(INDIRECT(ADDRESS(2,COLUMN())),OFFSET($BN$2,0,0,ROW()-1,60),ROW()-1,FALSE))</f>
        <v/>
      </c>
      <c r="R457" t="str">
        <f ca="1">IF(AND(ISNUMBER($R$1119),$B$677=1),$R$1119,HLOOKUP(INDIRECT(ADDRESS(2,COLUMN())),OFFSET($BN$2,0,0,ROW()-1,60),ROW()-1,FALSE))</f>
        <v/>
      </c>
      <c r="S457" t="str">
        <f ca="1">IF(AND(ISNUMBER($S$1119),$B$677=1),$S$1119,HLOOKUP(INDIRECT(ADDRESS(2,COLUMN())),OFFSET($BN$2,0,0,ROW()-1,60),ROW()-1,FALSE))</f>
        <v/>
      </c>
      <c r="T457" t="str">
        <f ca="1">IF(AND(ISNUMBER($T$1119),$B$677=1),$T$1119,HLOOKUP(INDIRECT(ADDRESS(2,COLUMN())),OFFSET($BN$2,0,0,ROW()-1,60),ROW()-1,FALSE))</f>
        <v/>
      </c>
      <c r="U457" t="str">
        <f ca="1">IF(AND(ISNUMBER($U$1119),$B$677=1),$U$1119,HLOOKUP(INDIRECT(ADDRESS(2,COLUMN())),OFFSET($BN$2,0,0,ROW()-1,60),ROW()-1,FALSE))</f>
        <v/>
      </c>
      <c r="V457" t="str">
        <f ca="1">IF(AND(ISNUMBER($V$1119),$B$677=1),$V$1119,HLOOKUP(INDIRECT(ADDRESS(2,COLUMN())),OFFSET($BN$2,0,0,ROW()-1,60),ROW()-1,FALSE))</f>
        <v/>
      </c>
      <c r="W457" t="str">
        <f ca="1">IF(AND(ISNUMBER($W$1119),$B$677=1),$W$1119,HLOOKUP(INDIRECT(ADDRESS(2,COLUMN())),OFFSET($BN$2,0,0,ROW()-1,60),ROW()-1,FALSE))</f>
        <v/>
      </c>
      <c r="X457" t="str">
        <f ca="1">IF(AND(ISNUMBER($X$1119),$B$677=1),$X$1119,HLOOKUP(INDIRECT(ADDRESS(2,COLUMN())),OFFSET($BN$2,0,0,ROW()-1,60),ROW()-1,FALSE))</f>
        <v/>
      </c>
      <c r="Y457" t="str">
        <f ca="1">IF(AND(ISNUMBER($Y$1119),$B$677=1),$Y$1119,HLOOKUP(INDIRECT(ADDRESS(2,COLUMN())),OFFSET($BN$2,0,0,ROW()-1,60),ROW()-1,FALSE))</f>
        <v/>
      </c>
      <c r="Z457" t="str">
        <f ca="1">IF(AND(ISNUMBER($Z$1119),$B$677=1),$Z$1119,HLOOKUP(INDIRECT(ADDRESS(2,COLUMN())),OFFSET($BN$2,0,0,ROW()-1,60),ROW()-1,FALSE))</f>
        <v/>
      </c>
      <c r="AA457" t="str">
        <f ca="1">IF(AND(ISNUMBER($AA$1119),$B$677=1),$AA$1119,HLOOKUP(INDIRECT(ADDRESS(2,COLUMN())),OFFSET($BN$2,0,0,ROW()-1,60),ROW()-1,FALSE))</f>
        <v/>
      </c>
      <c r="AB457" t="str">
        <f ca="1">IF(AND(ISNUMBER($AB$1119),$B$677=1),$AB$1119,HLOOKUP(INDIRECT(ADDRESS(2,COLUMN())),OFFSET($BN$2,0,0,ROW()-1,60),ROW()-1,FALSE))</f>
        <v/>
      </c>
      <c r="AC457" t="str">
        <f ca="1">IF(AND(ISNUMBER($AC$1119),$B$677=1),$AC$1119,HLOOKUP(INDIRECT(ADDRESS(2,COLUMN())),OFFSET($BN$2,0,0,ROW()-1,60),ROW()-1,FALSE))</f>
        <v/>
      </c>
      <c r="AD457" t="str">
        <f ca="1">IF(AND(ISNUMBER($AD$1119),$B$677=1),$AD$1119,HLOOKUP(INDIRECT(ADDRESS(2,COLUMN())),OFFSET($BN$2,0,0,ROW()-1,60),ROW()-1,FALSE))</f>
        <v/>
      </c>
      <c r="AE457" t="str">
        <f ca="1">IF(AND(ISNUMBER($AE$1119),$B$677=1),$AE$1119,HLOOKUP(INDIRECT(ADDRESS(2,COLUMN())),OFFSET($BN$2,0,0,ROW()-1,60),ROW()-1,FALSE))</f>
        <v/>
      </c>
      <c r="AF457" t="str">
        <f ca="1">IF(AND(ISNUMBER($AF$1119),$B$677=1),$AF$1119,HLOOKUP(INDIRECT(ADDRESS(2,COLUMN())),OFFSET($BN$2,0,0,ROW()-1,60),ROW()-1,FALSE))</f>
        <v/>
      </c>
      <c r="AG457" t="str">
        <f ca="1">IF(AND(ISNUMBER($AG$1119),$B$677=1),$AG$1119,HLOOKUP(INDIRECT(ADDRESS(2,COLUMN())),OFFSET($BN$2,0,0,ROW()-1,60),ROW()-1,FALSE))</f>
        <v/>
      </c>
      <c r="AH457" t="str">
        <f ca="1">IF(AND(ISNUMBER($AH$1119),$B$677=1),$AH$1119,HLOOKUP(INDIRECT(ADDRESS(2,COLUMN())),OFFSET($BN$2,0,0,ROW()-1,60),ROW()-1,FALSE))</f>
        <v/>
      </c>
      <c r="AI457" t="str">
        <f ca="1">IF(AND(ISNUMBER($AI$1119),$B$677=1),$AI$1119,HLOOKUP(INDIRECT(ADDRESS(2,COLUMN())),OFFSET($BN$2,0,0,ROW()-1,60),ROW()-1,FALSE))</f>
        <v/>
      </c>
      <c r="AJ457" t="str">
        <f ca="1">IF(AND(ISNUMBER($AJ$1119),$B$677=1),$AJ$1119,HLOOKUP(INDIRECT(ADDRESS(2,COLUMN())),OFFSET($BN$2,0,0,ROW()-1,60),ROW()-1,FALSE))</f>
        <v/>
      </c>
      <c r="AK457" t="str">
        <f ca="1">IF(AND(ISNUMBER($AK$1119),$B$677=1),$AK$1119,HLOOKUP(INDIRECT(ADDRESS(2,COLUMN())),OFFSET($BN$2,0,0,ROW()-1,60),ROW()-1,FALSE))</f>
        <v/>
      </c>
      <c r="AL457" t="str">
        <f ca="1">IF(AND(ISNUMBER($AL$1119),$B$677=1),$AL$1119,HLOOKUP(INDIRECT(ADDRESS(2,COLUMN())),OFFSET($BN$2,0,0,ROW()-1,60),ROW()-1,FALSE))</f>
        <v/>
      </c>
      <c r="AM457" t="str">
        <f ca="1">IF(AND(ISNUMBER($AM$1119),$B$677=1),$AM$1119,HLOOKUP(INDIRECT(ADDRESS(2,COLUMN())),OFFSET($BN$2,0,0,ROW()-1,60),ROW()-1,FALSE))</f>
        <v/>
      </c>
      <c r="AN457" t="str">
        <f ca="1">IF(AND(ISNUMBER($AN$1119),$B$677=1),$AN$1119,HLOOKUP(INDIRECT(ADDRESS(2,COLUMN())),OFFSET($BN$2,0,0,ROW()-1,60),ROW()-1,FALSE))</f>
        <v/>
      </c>
      <c r="AO457" t="str">
        <f ca="1">IF(AND(ISNUMBER($AO$1119),$B$677=1),$AO$1119,HLOOKUP(INDIRECT(ADDRESS(2,COLUMN())),OFFSET($BN$2,0,0,ROW()-1,60),ROW()-1,FALSE))</f>
        <v/>
      </c>
      <c r="AP457" t="str">
        <f ca="1">IF(AND(ISNUMBER($AP$1119),$B$677=1),$AP$1119,HLOOKUP(INDIRECT(ADDRESS(2,COLUMN())),OFFSET($BN$2,0,0,ROW()-1,60),ROW()-1,FALSE))</f>
        <v/>
      </c>
      <c r="AQ457" t="str">
        <f ca="1">IF(AND(ISNUMBER($AQ$1119),$B$677=1),$AQ$1119,HLOOKUP(INDIRECT(ADDRESS(2,COLUMN())),OFFSET($BN$2,0,0,ROW()-1,60),ROW()-1,FALSE))</f>
        <v/>
      </c>
      <c r="AR457" t="str">
        <f ca="1">IF(AND(ISNUMBER($AR$1119),$B$677=1),$AR$1119,HLOOKUP(INDIRECT(ADDRESS(2,COLUMN())),OFFSET($BN$2,0,0,ROW()-1,60),ROW()-1,FALSE))</f>
        <v/>
      </c>
      <c r="AS457" t="str">
        <f ca="1">IF(AND(ISNUMBER($AS$1119),$B$677=1),$AS$1119,HLOOKUP(INDIRECT(ADDRESS(2,COLUMN())),OFFSET($BN$2,0,0,ROW()-1,60),ROW()-1,FALSE))</f>
        <v/>
      </c>
      <c r="AT457" t="str">
        <f ca="1">IF(AND(ISNUMBER($AT$1119),$B$677=1),$AT$1119,HLOOKUP(INDIRECT(ADDRESS(2,COLUMN())),OFFSET($BN$2,0,0,ROW()-1,60),ROW()-1,FALSE))</f>
        <v/>
      </c>
      <c r="AU457" t="str">
        <f ca="1">IF(AND(ISNUMBER($AU$1119),$B$677=1),$AU$1119,HLOOKUP(INDIRECT(ADDRESS(2,COLUMN())),OFFSET($BN$2,0,0,ROW()-1,60),ROW()-1,FALSE))</f>
        <v/>
      </c>
      <c r="AV457" t="str">
        <f ca="1">IF(AND(ISNUMBER($AV$1119),$B$677=1),$AV$1119,HLOOKUP(INDIRECT(ADDRESS(2,COLUMN())),OFFSET($BN$2,0,0,ROW()-1,60),ROW()-1,FALSE))</f>
        <v/>
      </c>
      <c r="AW457" t="str">
        <f ca="1">IF(AND(ISNUMBER($AW$1119),$B$677=1),$AW$1119,HLOOKUP(INDIRECT(ADDRESS(2,COLUMN())),OFFSET($BN$2,0,0,ROW()-1,60),ROW()-1,FALSE))</f>
        <v/>
      </c>
      <c r="AX457" t="str">
        <f ca="1">IF(AND(ISNUMBER($AX$1119),$B$677=1),$AX$1119,HLOOKUP(INDIRECT(ADDRESS(2,COLUMN())),OFFSET($BN$2,0,0,ROW()-1,60),ROW()-1,FALSE))</f>
        <v/>
      </c>
      <c r="AY457" t="str">
        <f ca="1">IF(AND(ISNUMBER($AY$1119),$B$677=1),$AY$1119,HLOOKUP(INDIRECT(ADDRESS(2,COLUMN())),OFFSET($BN$2,0,0,ROW()-1,60),ROW()-1,FALSE))</f>
        <v/>
      </c>
      <c r="AZ457" t="str">
        <f ca="1">IF(AND(ISNUMBER($AZ$1119),$B$677=1),$AZ$1119,HLOOKUP(INDIRECT(ADDRESS(2,COLUMN())),OFFSET($BN$2,0,0,ROW()-1,60),ROW()-1,FALSE))</f>
        <v/>
      </c>
      <c r="BA457" t="str">
        <f ca="1">IF(AND(ISNUMBER($BA$1119),$B$677=1),$BA$1119,HLOOKUP(INDIRECT(ADDRESS(2,COLUMN())),OFFSET($BN$2,0,0,ROW()-1,60),ROW()-1,FALSE))</f>
        <v/>
      </c>
      <c r="BB457" t="str">
        <f ca="1">IF(AND(ISNUMBER($BB$1119),$B$677=1),$BB$1119,HLOOKUP(INDIRECT(ADDRESS(2,COLUMN())),OFFSET($BN$2,0,0,ROW()-1,60),ROW()-1,FALSE))</f>
        <v/>
      </c>
      <c r="BC457" t="str">
        <f ca="1">IF(AND(ISNUMBER($BC$1119),$B$677=1),$BC$1119,HLOOKUP(INDIRECT(ADDRESS(2,COLUMN())),OFFSET($BN$2,0,0,ROW()-1,60),ROW()-1,FALSE))</f>
        <v/>
      </c>
      <c r="BD457" t="str">
        <f ca="1">IF(AND(ISNUMBER($BD$1119),$B$677=1),$BD$1119,HLOOKUP(INDIRECT(ADDRESS(2,COLUMN())),OFFSET($BN$2,0,0,ROW()-1,60),ROW()-1,FALSE))</f>
        <v/>
      </c>
      <c r="BE457" t="str">
        <f ca="1">IF(AND(ISNUMBER($BE$1119),$B$677=1),$BE$1119,HLOOKUP(INDIRECT(ADDRESS(2,COLUMN())),OFFSET($BN$2,0,0,ROW()-1,60),ROW()-1,FALSE))</f>
        <v/>
      </c>
      <c r="BF457" t="str">
        <f ca="1">IF(AND(ISNUMBER($BF$1119),$B$677=1),$BF$1119,HLOOKUP(INDIRECT(ADDRESS(2,COLUMN())),OFFSET($BN$2,0,0,ROW()-1,60),ROW()-1,FALSE))</f>
        <v/>
      </c>
      <c r="BG457" t="str">
        <f ca="1">IF(AND(ISNUMBER($BG$1119),$B$677=1),$BG$1119,HLOOKUP(INDIRECT(ADDRESS(2,COLUMN())),OFFSET($BN$2,0,0,ROW()-1,60),ROW()-1,FALSE))</f>
        <v/>
      </c>
      <c r="BH457" t="str">
        <f ca="1">IF(AND(ISNUMBER($BH$1119),$B$677=1),$BH$1119,HLOOKUP(INDIRECT(ADDRESS(2,COLUMN())),OFFSET($BN$2,0,0,ROW()-1,60),ROW()-1,FALSE))</f>
        <v/>
      </c>
      <c r="BI457" t="str">
        <f ca="1">IF(AND(ISNUMBER($BI$1119),$B$677=1),$BI$1119,HLOOKUP(INDIRECT(ADDRESS(2,COLUMN())),OFFSET($BN$2,0,0,ROW()-1,60),ROW()-1,FALSE))</f>
        <v/>
      </c>
      <c r="BJ457" t="str">
        <f ca="1">IF(AND(ISNUMBER($BJ$1119),$B$677=1),$BJ$1119,HLOOKUP(INDIRECT(ADDRESS(2,COLUMN())),OFFSET($BN$2,0,0,ROW()-1,60),ROW()-1,FALSE))</f>
        <v/>
      </c>
      <c r="BK457" t="str">
        <f ca="1">IF(AND(ISNUMBER($BK$1119),$B$677=1),$BK$1119,HLOOKUP(INDIRECT(ADDRESS(2,COLUMN())),OFFSET($BN$2,0,0,ROW()-1,60),ROW()-1,FALSE))</f>
        <v/>
      </c>
      <c r="BL457" t="str">
        <f ca="1">IF(AND(ISNUMBER($BL$1119),$B$677=1),$BL$1119,HLOOKUP(INDIRECT(ADDRESS(2,COLUMN())),OFFSET($BN$2,0,0,ROW()-1,60),ROW()-1,FALSE))</f>
        <v/>
      </c>
      <c r="BM457" t="str">
        <f ca="1">IF(AND(ISNUMBER($BM$1119),$B$677=1),$BM$1119,HLOOKUP(INDIRECT(ADDRESS(2,COLUMN())),OFFSET($BN$2,0,0,ROW()-1,60),ROW()-1,FALSE))</f>
        <v/>
      </c>
      <c r="BN457" t="str">
        <f>""</f>
        <v/>
      </c>
      <c r="BO457" t="str">
        <f>""</f>
        <v/>
      </c>
      <c r="BP457" t="str">
        <f>""</f>
        <v/>
      </c>
      <c r="BQ457" t="str">
        <f>""</f>
        <v/>
      </c>
      <c r="BR457" t="str">
        <f>""</f>
        <v/>
      </c>
      <c r="BS457" t="str">
        <f>""</f>
        <v/>
      </c>
      <c r="BT457" t="str">
        <f>""</f>
        <v/>
      </c>
      <c r="BU457" t="str">
        <f>""</f>
        <v/>
      </c>
      <c r="BV457" t="str">
        <f>""</f>
        <v/>
      </c>
      <c r="BW457" t="str">
        <f>""</f>
        <v/>
      </c>
      <c r="BX457" t="str">
        <f>""</f>
        <v/>
      </c>
      <c r="BY457" t="str">
        <f>""</f>
        <v/>
      </c>
      <c r="BZ457" t="str">
        <f>""</f>
        <v/>
      </c>
      <c r="CA457" t="str">
        <f>""</f>
        <v/>
      </c>
      <c r="CB457" t="str">
        <f>""</f>
        <v/>
      </c>
      <c r="CC457" t="str">
        <f>""</f>
        <v/>
      </c>
      <c r="CD457" t="str">
        <f>""</f>
        <v/>
      </c>
      <c r="CE457" t="str">
        <f>""</f>
        <v/>
      </c>
      <c r="CF457" t="str">
        <f>""</f>
        <v/>
      </c>
      <c r="CG457" t="str">
        <f>""</f>
        <v/>
      </c>
      <c r="CH457" t="str">
        <f>""</f>
        <v/>
      </c>
      <c r="CI457" t="str">
        <f>""</f>
        <v/>
      </c>
      <c r="CJ457" t="str">
        <f>""</f>
        <v/>
      </c>
      <c r="CK457" t="str">
        <f>""</f>
        <v/>
      </c>
      <c r="CL457" t="str">
        <f>""</f>
        <v/>
      </c>
      <c r="CM457" t="str">
        <f>""</f>
        <v/>
      </c>
      <c r="CN457" t="str">
        <f>""</f>
        <v/>
      </c>
      <c r="CO457" t="str">
        <f>""</f>
        <v/>
      </c>
      <c r="CP457" t="str">
        <f>""</f>
        <v/>
      </c>
      <c r="CQ457" t="str">
        <f>""</f>
        <v/>
      </c>
      <c r="CR457" t="str">
        <f>""</f>
        <v/>
      </c>
      <c r="CS457" t="str">
        <f>""</f>
        <v/>
      </c>
      <c r="CT457" t="str">
        <f>""</f>
        <v/>
      </c>
      <c r="CU457" t="str">
        <f>""</f>
        <v/>
      </c>
      <c r="CV457" t="str">
        <f>""</f>
        <v/>
      </c>
      <c r="CW457" t="str">
        <f>""</f>
        <v/>
      </c>
      <c r="CX457" t="str">
        <f>""</f>
        <v/>
      </c>
      <c r="CY457" t="str">
        <f>""</f>
        <v/>
      </c>
      <c r="CZ457" t="str">
        <f>""</f>
        <v/>
      </c>
      <c r="DA457" t="str">
        <f>""</f>
        <v/>
      </c>
      <c r="DB457" t="str">
        <f>""</f>
        <v/>
      </c>
      <c r="DC457" t="str">
        <f>""</f>
        <v/>
      </c>
      <c r="DD457" t="str">
        <f>""</f>
        <v/>
      </c>
      <c r="DE457" t="str">
        <f>""</f>
        <v/>
      </c>
      <c r="DF457" t="str">
        <f>""</f>
        <v/>
      </c>
      <c r="DG457" t="str">
        <f>""</f>
        <v/>
      </c>
      <c r="DH457" t="str">
        <f>""</f>
        <v/>
      </c>
      <c r="DI457" t="str">
        <f>""</f>
        <v/>
      </c>
      <c r="DJ457" t="str">
        <f>""</f>
        <v/>
      </c>
      <c r="DK457" t="str">
        <f>""</f>
        <v/>
      </c>
      <c r="DL457" t="str">
        <f>""</f>
        <v/>
      </c>
      <c r="DM457" t="str">
        <f>""</f>
        <v/>
      </c>
      <c r="DN457" t="str">
        <f>""</f>
        <v/>
      </c>
      <c r="DO457" t="str">
        <f>""</f>
        <v/>
      </c>
      <c r="DP457" t="str">
        <f>""</f>
        <v/>
      </c>
      <c r="DQ457" t="str">
        <f>""</f>
        <v/>
      </c>
      <c r="DR457" t="str">
        <f>""</f>
        <v/>
      </c>
      <c r="DS457" t="str">
        <f>""</f>
        <v/>
      </c>
      <c r="DT457" t="str">
        <f>""</f>
        <v/>
      </c>
      <c r="DU457" t="str">
        <f>""</f>
        <v/>
      </c>
    </row>
    <row r="458" spans="1:125" x14ac:dyDescent="0.25">
      <c r="A458" t="str">
        <f>"    Avtovaz PJSC"</f>
        <v xml:space="preserve">    Avtovaz PJSC</v>
      </c>
      <c r="B458" t="str">
        <f>"AVAZ RM Equity"</f>
        <v>AVAZ RM Equity</v>
      </c>
      <c r="C458" t="str">
        <f t="shared" si="33"/>
        <v>RR476</v>
      </c>
      <c r="D458" t="str">
        <f t="shared" si="34"/>
        <v>EV_TO_T12M_NET_INCOME</v>
      </c>
      <c r="E458" t="str">
        <f t="shared" si="35"/>
        <v>Dynamic</v>
      </c>
      <c r="F458" t="str">
        <f ca="1">IF(AND(ISNUMBER($F$1120),$B$677=1),$F$1120,HLOOKUP(INDIRECT(ADDRESS(2,COLUMN())),OFFSET($BN$2,0,0,ROW()-1,60),ROW()-1,FALSE))</f>
        <v/>
      </c>
      <c r="G458" t="str">
        <f ca="1">IF(AND(ISNUMBER($G$1120),$B$677=1),$G$1120,HLOOKUP(INDIRECT(ADDRESS(2,COLUMN())),OFFSET($BN$2,0,0,ROW()-1,60),ROW()-1,FALSE))</f>
        <v/>
      </c>
      <c r="H458">
        <f ca="1">IF(AND(ISNUMBER($H$1120),$B$677=1),$H$1120,HLOOKUP(INDIRECT(ADDRESS(2,COLUMN())),OFFSET($BN$2,0,0,ROW()-1,60),ROW()-1,FALSE))</f>
        <v>1023.006398</v>
      </c>
      <c r="I458" t="str">
        <f ca="1">IF(AND(ISNUMBER($I$1120),$B$677=1),$I$1120,HLOOKUP(INDIRECT(ADDRESS(2,COLUMN())),OFFSET($BN$2,0,0,ROW()-1,60),ROW()-1,FALSE))</f>
        <v/>
      </c>
      <c r="J458" t="str">
        <f ca="1">IF(AND(ISNUMBER($J$1120),$B$677=1),$J$1120,HLOOKUP(INDIRECT(ADDRESS(2,COLUMN())),OFFSET($BN$2,0,0,ROW()-1,60),ROW()-1,FALSE))</f>
        <v/>
      </c>
      <c r="K458" t="str">
        <f ca="1">IF(AND(ISNUMBER($K$1120),$B$677=1),$K$1120,HLOOKUP(INDIRECT(ADDRESS(2,COLUMN())),OFFSET($BN$2,0,0,ROW()-1,60),ROW()-1,FALSE))</f>
        <v/>
      </c>
      <c r="L458" t="str">
        <f ca="1">IF(AND(ISNUMBER($L$1120),$B$677=1),$L$1120,HLOOKUP(INDIRECT(ADDRESS(2,COLUMN())),OFFSET($BN$2,0,0,ROW()-1,60),ROW()-1,FALSE))</f>
        <v/>
      </c>
      <c r="M458" t="str">
        <f ca="1">IF(AND(ISNUMBER($M$1120),$B$677=1),$M$1120,HLOOKUP(INDIRECT(ADDRESS(2,COLUMN())),OFFSET($BN$2,0,0,ROW()-1,60),ROW()-1,FALSE))</f>
        <v/>
      </c>
      <c r="N458" t="str">
        <f ca="1">IF(AND(ISNUMBER($N$1120),$B$677=1),$N$1120,HLOOKUP(INDIRECT(ADDRESS(2,COLUMN())),OFFSET($BN$2,0,0,ROW()-1,60),ROW()-1,FALSE))</f>
        <v/>
      </c>
      <c r="O458" t="str">
        <f ca="1">IF(AND(ISNUMBER($O$1120),$B$677=1),$O$1120,HLOOKUP(INDIRECT(ADDRESS(2,COLUMN())),OFFSET($BN$2,0,0,ROW()-1,60),ROW()-1,FALSE))</f>
        <v/>
      </c>
      <c r="P458" t="str">
        <f ca="1">IF(AND(ISNUMBER($P$1120),$B$677=1),$P$1120,HLOOKUP(INDIRECT(ADDRESS(2,COLUMN())),OFFSET($BN$2,0,0,ROW()-1,60),ROW()-1,FALSE))</f>
        <v/>
      </c>
      <c r="Q458" t="str">
        <f ca="1">IF(AND(ISNUMBER($Q$1120),$B$677=1),$Q$1120,HLOOKUP(INDIRECT(ADDRESS(2,COLUMN())),OFFSET($BN$2,0,0,ROW()-1,60),ROW()-1,FALSE))</f>
        <v/>
      </c>
      <c r="R458" t="str">
        <f ca="1">IF(AND(ISNUMBER($R$1120),$B$677=1),$R$1120,HLOOKUP(INDIRECT(ADDRESS(2,COLUMN())),OFFSET($BN$2,0,0,ROW()-1,60),ROW()-1,FALSE))</f>
        <v/>
      </c>
      <c r="S458" t="str">
        <f ca="1">IF(AND(ISNUMBER($S$1120),$B$677=1),$S$1120,HLOOKUP(INDIRECT(ADDRESS(2,COLUMN())),OFFSET($BN$2,0,0,ROW()-1,60),ROW()-1,FALSE))</f>
        <v/>
      </c>
      <c r="T458" t="str">
        <f ca="1">IF(AND(ISNUMBER($T$1120),$B$677=1),$T$1120,HLOOKUP(INDIRECT(ADDRESS(2,COLUMN())),OFFSET($BN$2,0,0,ROW()-1,60),ROW()-1,FALSE))</f>
        <v/>
      </c>
      <c r="U458" t="str">
        <f ca="1">IF(AND(ISNUMBER($U$1120),$B$677=1),$U$1120,HLOOKUP(INDIRECT(ADDRESS(2,COLUMN())),OFFSET($BN$2,0,0,ROW()-1,60),ROW()-1,FALSE))</f>
        <v/>
      </c>
      <c r="V458" t="str">
        <f ca="1">IF(AND(ISNUMBER($V$1120),$B$677=1),$V$1120,HLOOKUP(INDIRECT(ADDRESS(2,COLUMN())),OFFSET($BN$2,0,0,ROW()-1,60),ROW()-1,FALSE))</f>
        <v/>
      </c>
      <c r="W458" t="str">
        <f ca="1">IF(AND(ISNUMBER($W$1120),$B$677=1),$W$1120,HLOOKUP(INDIRECT(ADDRESS(2,COLUMN())),OFFSET($BN$2,0,0,ROW()-1,60),ROW()-1,FALSE))</f>
        <v/>
      </c>
      <c r="X458" t="str">
        <f ca="1">IF(AND(ISNUMBER($X$1120),$B$677=1),$X$1120,HLOOKUP(INDIRECT(ADDRESS(2,COLUMN())),OFFSET($BN$2,0,0,ROW()-1,60),ROW()-1,FALSE))</f>
        <v/>
      </c>
      <c r="Y458" t="str">
        <f ca="1">IF(AND(ISNUMBER($Y$1120),$B$677=1),$Y$1120,HLOOKUP(INDIRECT(ADDRESS(2,COLUMN())),OFFSET($BN$2,0,0,ROW()-1,60),ROW()-1,FALSE))</f>
        <v/>
      </c>
      <c r="Z458" t="str">
        <f ca="1">IF(AND(ISNUMBER($Z$1120),$B$677=1),$Z$1120,HLOOKUP(INDIRECT(ADDRESS(2,COLUMN())),OFFSET($BN$2,0,0,ROW()-1,60),ROW()-1,FALSE))</f>
        <v/>
      </c>
      <c r="AA458" t="str">
        <f ca="1">IF(AND(ISNUMBER($AA$1120),$B$677=1),$AA$1120,HLOOKUP(INDIRECT(ADDRESS(2,COLUMN())),OFFSET($BN$2,0,0,ROW()-1,60),ROW()-1,FALSE))</f>
        <v/>
      </c>
      <c r="AB458" t="str">
        <f ca="1">IF(AND(ISNUMBER($AB$1120),$B$677=1),$AB$1120,HLOOKUP(INDIRECT(ADDRESS(2,COLUMN())),OFFSET($BN$2,0,0,ROW()-1,60),ROW()-1,FALSE))</f>
        <v/>
      </c>
      <c r="AC458" t="str">
        <f ca="1">IF(AND(ISNUMBER($AC$1120),$B$677=1),$AC$1120,HLOOKUP(INDIRECT(ADDRESS(2,COLUMN())),OFFSET($BN$2,0,0,ROW()-1,60),ROW()-1,FALSE))</f>
        <v/>
      </c>
      <c r="AD458" t="str">
        <f ca="1">IF(AND(ISNUMBER($AD$1120),$B$677=1),$AD$1120,HLOOKUP(INDIRECT(ADDRESS(2,COLUMN())),OFFSET($BN$2,0,0,ROW()-1,60),ROW()-1,FALSE))</f>
        <v/>
      </c>
      <c r="AE458" t="str">
        <f ca="1">IF(AND(ISNUMBER($AE$1120),$B$677=1),$AE$1120,HLOOKUP(INDIRECT(ADDRESS(2,COLUMN())),OFFSET($BN$2,0,0,ROW()-1,60),ROW()-1,FALSE))</f>
        <v/>
      </c>
      <c r="AF458" t="str">
        <f ca="1">IF(AND(ISNUMBER($AF$1120),$B$677=1),$AF$1120,HLOOKUP(INDIRECT(ADDRESS(2,COLUMN())),OFFSET($BN$2,0,0,ROW()-1,60),ROW()-1,FALSE))</f>
        <v/>
      </c>
      <c r="AG458" t="str">
        <f ca="1">IF(AND(ISNUMBER($AG$1120),$B$677=1),$AG$1120,HLOOKUP(INDIRECT(ADDRESS(2,COLUMN())),OFFSET($BN$2,0,0,ROW()-1,60),ROW()-1,FALSE))</f>
        <v/>
      </c>
      <c r="AH458" t="str">
        <f ca="1">IF(AND(ISNUMBER($AH$1120),$B$677=1),$AH$1120,HLOOKUP(INDIRECT(ADDRESS(2,COLUMN())),OFFSET($BN$2,0,0,ROW()-1,60),ROW()-1,FALSE))</f>
        <v/>
      </c>
      <c r="AI458" t="str">
        <f ca="1">IF(AND(ISNUMBER($AI$1120),$B$677=1),$AI$1120,HLOOKUP(INDIRECT(ADDRESS(2,COLUMN())),OFFSET($BN$2,0,0,ROW()-1,60),ROW()-1,FALSE))</f>
        <v/>
      </c>
      <c r="AJ458" t="str">
        <f ca="1">IF(AND(ISNUMBER($AJ$1120),$B$677=1),$AJ$1120,HLOOKUP(INDIRECT(ADDRESS(2,COLUMN())),OFFSET($BN$2,0,0,ROW()-1,60),ROW()-1,FALSE))</f>
        <v/>
      </c>
      <c r="AK458" t="str">
        <f ca="1">IF(AND(ISNUMBER($AK$1120),$B$677=1),$AK$1120,HLOOKUP(INDIRECT(ADDRESS(2,COLUMN())),OFFSET($BN$2,0,0,ROW()-1,60),ROW()-1,FALSE))</f>
        <v/>
      </c>
      <c r="AL458" t="str">
        <f ca="1">IF(AND(ISNUMBER($AL$1120),$B$677=1),$AL$1120,HLOOKUP(INDIRECT(ADDRESS(2,COLUMN())),OFFSET($BN$2,0,0,ROW()-1,60),ROW()-1,FALSE))</f>
        <v/>
      </c>
      <c r="AM458" t="str">
        <f ca="1">IF(AND(ISNUMBER($AM$1120),$B$677=1),$AM$1120,HLOOKUP(INDIRECT(ADDRESS(2,COLUMN())),OFFSET($BN$2,0,0,ROW()-1,60),ROW()-1,FALSE))</f>
        <v/>
      </c>
      <c r="AN458" t="str">
        <f ca="1">IF(AND(ISNUMBER($AN$1120),$B$677=1),$AN$1120,HLOOKUP(INDIRECT(ADDRESS(2,COLUMN())),OFFSET($BN$2,0,0,ROW()-1,60),ROW()-1,FALSE))</f>
        <v/>
      </c>
      <c r="AO458" t="str">
        <f ca="1">IF(AND(ISNUMBER($AO$1120),$B$677=1),$AO$1120,HLOOKUP(INDIRECT(ADDRESS(2,COLUMN())),OFFSET($BN$2,0,0,ROW()-1,60),ROW()-1,FALSE))</f>
        <v/>
      </c>
      <c r="AP458" t="str">
        <f ca="1">IF(AND(ISNUMBER($AP$1120),$B$677=1),$AP$1120,HLOOKUP(INDIRECT(ADDRESS(2,COLUMN())),OFFSET($BN$2,0,0,ROW()-1,60),ROW()-1,FALSE))</f>
        <v/>
      </c>
      <c r="AQ458" t="str">
        <f ca="1">IF(AND(ISNUMBER($AQ$1120),$B$677=1),$AQ$1120,HLOOKUP(INDIRECT(ADDRESS(2,COLUMN())),OFFSET($BN$2,0,0,ROW()-1,60),ROW()-1,FALSE))</f>
        <v/>
      </c>
      <c r="AR458" t="str">
        <f ca="1">IF(AND(ISNUMBER($AR$1120),$B$677=1),$AR$1120,HLOOKUP(INDIRECT(ADDRESS(2,COLUMN())),OFFSET($BN$2,0,0,ROW()-1,60),ROW()-1,FALSE))</f>
        <v/>
      </c>
      <c r="AS458" t="str">
        <f ca="1">IF(AND(ISNUMBER($AS$1120),$B$677=1),$AS$1120,HLOOKUP(INDIRECT(ADDRESS(2,COLUMN())),OFFSET($BN$2,0,0,ROW()-1,60),ROW()-1,FALSE))</f>
        <v/>
      </c>
      <c r="AT458" t="str">
        <f ca="1">IF(AND(ISNUMBER($AT$1120),$B$677=1),$AT$1120,HLOOKUP(INDIRECT(ADDRESS(2,COLUMN())),OFFSET($BN$2,0,0,ROW()-1,60),ROW()-1,FALSE))</f>
        <v/>
      </c>
      <c r="AU458" t="str">
        <f ca="1">IF(AND(ISNUMBER($AU$1120),$B$677=1),$AU$1120,HLOOKUP(INDIRECT(ADDRESS(2,COLUMN())),OFFSET($BN$2,0,0,ROW()-1,60),ROW()-1,FALSE))</f>
        <v/>
      </c>
      <c r="AV458" t="str">
        <f ca="1">IF(AND(ISNUMBER($AV$1120),$B$677=1),$AV$1120,HLOOKUP(INDIRECT(ADDRESS(2,COLUMN())),OFFSET($BN$2,0,0,ROW()-1,60),ROW()-1,FALSE))</f>
        <v/>
      </c>
      <c r="AW458" t="str">
        <f ca="1">IF(AND(ISNUMBER($AW$1120),$B$677=1),$AW$1120,HLOOKUP(INDIRECT(ADDRESS(2,COLUMN())),OFFSET($BN$2,0,0,ROW()-1,60),ROW()-1,FALSE))</f>
        <v/>
      </c>
      <c r="AX458" t="str">
        <f ca="1">IF(AND(ISNUMBER($AX$1120),$B$677=1),$AX$1120,HLOOKUP(INDIRECT(ADDRESS(2,COLUMN())),OFFSET($BN$2,0,0,ROW()-1,60),ROW()-1,FALSE))</f>
        <v/>
      </c>
      <c r="AY458" t="str">
        <f ca="1">IF(AND(ISNUMBER($AY$1120),$B$677=1),$AY$1120,HLOOKUP(INDIRECT(ADDRESS(2,COLUMN())),OFFSET($BN$2,0,0,ROW()-1,60),ROW()-1,FALSE))</f>
        <v/>
      </c>
      <c r="AZ458" t="str">
        <f ca="1">IF(AND(ISNUMBER($AZ$1120),$B$677=1),$AZ$1120,HLOOKUP(INDIRECT(ADDRESS(2,COLUMN())),OFFSET($BN$2,0,0,ROW()-1,60),ROW()-1,FALSE))</f>
        <v/>
      </c>
      <c r="BA458" t="str">
        <f ca="1">IF(AND(ISNUMBER($BA$1120),$B$677=1),$BA$1120,HLOOKUP(INDIRECT(ADDRESS(2,COLUMN())),OFFSET($BN$2,0,0,ROW()-1,60),ROW()-1,FALSE))</f>
        <v/>
      </c>
      <c r="BB458" t="str">
        <f ca="1">IF(AND(ISNUMBER($BB$1120),$B$677=1),$BB$1120,HLOOKUP(INDIRECT(ADDRESS(2,COLUMN())),OFFSET($BN$2,0,0,ROW()-1,60),ROW()-1,FALSE))</f>
        <v/>
      </c>
      <c r="BC458" t="str">
        <f ca="1">IF(AND(ISNUMBER($BC$1120),$B$677=1),$BC$1120,HLOOKUP(INDIRECT(ADDRESS(2,COLUMN())),OFFSET($BN$2,0,0,ROW()-1,60),ROW()-1,FALSE))</f>
        <v/>
      </c>
      <c r="BD458" t="str">
        <f ca="1">IF(AND(ISNUMBER($BD$1120),$B$677=1),$BD$1120,HLOOKUP(INDIRECT(ADDRESS(2,COLUMN())),OFFSET($BN$2,0,0,ROW()-1,60),ROW()-1,FALSE))</f>
        <v/>
      </c>
      <c r="BE458" t="str">
        <f ca="1">IF(AND(ISNUMBER($BE$1120),$B$677=1),$BE$1120,HLOOKUP(INDIRECT(ADDRESS(2,COLUMN())),OFFSET($BN$2,0,0,ROW()-1,60),ROW()-1,FALSE))</f>
        <v/>
      </c>
      <c r="BF458" t="str">
        <f ca="1">IF(AND(ISNUMBER($BF$1120),$B$677=1),$BF$1120,HLOOKUP(INDIRECT(ADDRESS(2,COLUMN())),OFFSET($BN$2,0,0,ROW()-1,60),ROW()-1,FALSE))</f>
        <v/>
      </c>
      <c r="BG458" t="str">
        <f ca="1">IF(AND(ISNUMBER($BG$1120),$B$677=1),$BG$1120,HLOOKUP(INDIRECT(ADDRESS(2,COLUMN())),OFFSET($BN$2,0,0,ROW()-1,60),ROW()-1,FALSE))</f>
        <v/>
      </c>
      <c r="BH458" t="str">
        <f ca="1">IF(AND(ISNUMBER($BH$1120),$B$677=1),$BH$1120,HLOOKUP(INDIRECT(ADDRESS(2,COLUMN())),OFFSET($BN$2,0,0,ROW()-1,60),ROW()-1,FALSE))</f>
        <v/>
      </c>
      <c r="BI458" t="str">
        <f ca="1">IF(AND(ISNUMBER($BI$1120),$B$677=1),$BI$1120,HLOOKUP(INDIRECT(ADDRESS(2,COLUMN())),OFFSET($BN$2,0,0,ROW()-1,60),ROW()-1,FALSE))</f>
        <v/>
      </c>
      <c r="BJ458" t="str">
        <f ca="1">IF(AND(ISNUMBER($BJ$1120),$B$677=1),$BJ$1120,HLOOKUP(INDIRECT(ADDRESS(2,COLUMN())),OFFSET($BN$2,0,0,ROW()-1,60),ROW()-1,FALSE))</f>
        <v/>
      </c>
      <c r="BK458" t="str">
        <f ca="1">IF(AND(ISNUMBER($BK$1120),$B$677=1),$BK$1120,HLOOKUP(INDIRECT(ADDRESS(2,COLUMN())),OFFSET($BN$2,0,0,ROW()-1,60),ROW()-1,FALSE))</f>
        <v/>
      </c>
      <c r="BL458" t="str">
        <f ca="1">IF(AND(ISNUMBER($BL$1120),$B$677=1),$BL$1120,HLOOKUP(INDIRECT(ADDRESS(2,COLUMN())),OFFSET($BN$2,0,0,ROW()-1,60),ROW()-1,FALSE))</f>
        <v/>
      </c>
      <c r="BM458" t="str">
        <f ca="1">IF(AND(ISNUMBER($BM$1120),$B$677=1),$BM$1120,HLOOKUP(INDIRECT(ADDRESS(2,COLUMN())),OFFSET($BN$2,0,0,ROW()-1,60),ROW()-1,FALSE))</f>
        <v/>
      </c>
      <c r="BN458" t="str">
        <f>""</f>
        <v/>
      </c>
      <c r="BO458" t="str">
        <f>""</f>
        <v/>
      </c>
      <c r="BP458">
        <f>1023.006398</f>
        <v>1023.006398</v>
      </c>
      <c r="BQ458" t="str">
        <f>""</f>
        <v/>
      </c>
      <c r="BR458" t="str">
        <f>""</f>
        <v/>
      </c>
      <c r="BS458" t="str">
        <f>""</f>
        <v/>
      </c>
      <c r="BT458" t="str">
        <f>""</f>
        <v/>
      </c>
      <c r="BU458" t="str">
        <f>""</f>
        <v/>
      </c>
      <c r="BV458" t="str">
        <f>""</f>
        <v/>
      </c>
      <c r="BW458" t="str">
        <f>""</f>
        <v/>
      </c>
      <c r="BX458" t="str">
        <f>""</f>
        <v/>
      </c>
      <c r="BY458" t="str">
        <f>""</f>
        <v/>
      </c>
      <c r="BZ458" t="str">
        <f>""</f>
        <v/>
      </c>
      <c r="CA458" t="str">
        <f>""</f>
        <v/>
      </c>
      <c r="CB458" t="str">
        <f>""</f>
        <v/>
      </c>
      <c r="CC458" t="str">
        <f>""</f>
        <v/>
      </c>
      <c r="CD458" t="str">
        <f>""</f>
        <v/>
      </c>
      <c r="CE458" t="str">
        <f>""</f>
        <v/>
      </c>
      <c r="CF458" t="str">
        <f>""</f>
        <v/>
      </c>
      <c r="CG458" t="str">
        <f>""</f>
        <v/>
      </c>
      <c r="CH458" t="str">
        <f>""</f>
        <v/>
      </c>
      <c r="CI458" t="str">
        <f>""</f>
        <v/>
      </c>
      <c r="CJ458" t="str">
        <f>""</f>
        <v/>
      </c>
      <c r="CK458" t="str">
        <f>""</f>
        <v/>
      </c>
      <c r="CL458" t="str">
        <f>""</f>
        <v/>
      </c>
      <c r="CM458" t="str">
        <f>""</f>
        <v/>
      </c>
      <c r="CN458" t="str">
        <f>""</f>
        <v/>
      </c>
      <c r="CO458" t="str">
        <f>""</f>
        <v/>
      </c>
      <c r="CP458" t="str">
        <f>""</f>
        <v/>
      </c>
      <c r="CQ458" t="str">
        <f>""</f>
        <v/>
      </c>
      <c r="CR458" t="str">
        <f>""</f>
        <v/>
      </c>
      <c r="CS458" t="str">
        <f>""</f>
        <v/>
      </c>
      <c r="CT458" t="str">
        <f>""</f>
        <v/>
      </c>
      <c r="CU458" t="str">
        <f>""</f>
        <v/>
      </c>
      <c r="CV458" t="str">
        <f>""</f>
        <v/>
      </c>
      <c r="CW458" t="str">
        <f>""</f>
        <v/>
      </c>
      <c r="CX458" t="str">
        <f>""</f>
        <v/>
      </c>
      <c r="CY458" t="str">
        <f>""</f>
        <v/>
      </c>
      <c r="CZ458" t="str">
        <f>""</f>
        <v/>
      </c>
      <c r="DA458" t="str">
        <f>""</f>
        <v/>
      </c>
      <c r="DB458" t="str">
        <f>""</f>
        <v/>
      </c>
      <c r="DC458" t="str">
        <f>""</f>
        <v/>
      </c>
      <c r="DD458" t="str">
        <f>""</f>
        <v/>
      </c>
      <c r="DE458" t="str">
        <f>""</f>
        <v/>
      </c>
      <c r="DF458" t="str">
        <f>""</f>
        <v/>
      </c>
      <c r="DG458" t="str">
        <f>""</f>
        <v/>
      </c>
      <c r="DH458" t="str">
        <f>""</f>
        <v/>
      </c>
      <c r="DI458" t="str">
        <f>""</f>
        <v/>
      </c>
      <c r="DJ458" t="str">
        <f>""</f>
        <v/>
      </c>
      <c r="DK458" t="str">
        <f>""</f>
        <v/>
      </c>
      <c r="DL458" t="str">
        <f>""</f>
        <v/>
      </c>
      <c r="DM458" t="str">
        <f>""</f>
        <v/>
      </c>
      <c r="DN458" t="str">
        <f>""</f>
        <v/>
      </c>
      <c r="DO458" t="str">
        <f>""</f>
        <v/>
      </c>
      <c r="DP458" t="str">
        <f>""</f>
        <v/>
      </c>
      <c r="DQ458" t="str">
        <f>""</f>
        <v/>
      </c>
      <c r="DR458" t="str">
        <f>""</f>
        <v/>
      </c>
      <c r="DS458" t="str">
        <f>""</f>
        <v/>
      </c>
      <c r="DT458" t="str">
        <f>""</f>
        <v/>
      </c>
      <c r="DU458" t="str">
        <f>""</f>
        <v/>
      </c>
    </row>
    <row r="459" spans="1:125" x14ac:dyDescent="0.25">
      <c r="A459" t="str">
        <f>"    Bayerische Motoren Werke AG"</f>
        <v xml:space="preserve">    Bayerische Motoren Werke AG</v>
      </c>
      <c r="B459" t="str">
        <f>"BMW GR Equity"</f>
        <v>BMW GR Equity</v>
      </c>
      <c r="C459" t="str">
        <f t="shared" si="33"/>
        <v>RR476</v>
      </c>
      <c r="D459" t="str">
        <f t="shared" si="34"/>
        <v>EV_TO_T12M_NET_INCOME</v>
      </c>
      <c r="E459" t="str">
        <f t="shared" si="35"/>
        <v>Dynamic</v>
      </c>
      <c r="F459" t="str">
        <f ca="1">IF(AND(ISNUMBER($F$1121),$B$677=1),$F$1121,HLOOKUP(INDIRECT(ADDRESS(2,COLUMN())),OFFSET($BN$2,0,0,ROW()-1,60),ROW()-1,FALSE))</f>
        <v/>
      </c>
      <c r="G459" t="str">
        <f ca="1">IF(AND(ISNUMBER($G$1121),$B$677=1),$G$1121,HLOOKUP(INDIRECT(ADDRESS(2,COLUMN())),OFFSET($BN$2,0,0,ROW()-1,60),ROW()-1,FALSE))</f>
        <v/>
      </c>
      <c r="H459">
        <f ca="1">IF(AND(ISNUMBER($H$1121),$B$677=1),$H$1121,HLOOKUP(INDIRECT(ADDRESS(2,COLUMN())),OFFSET($BN$2,0,0,ROW()-1,60),ROW()-1,FALSE))</f>
        <v>11.508681770000001</v>
      </c>
      <c r="I459">
        <f ca="1">IF(AND(ISNUMBER($I$1121),$B$677=1),$I$1121,HLOOKUP(INDIRECT(ADDRESS(2,COLUMN())),OFFSET($BN$2,0,0,ROW()-1,60),ROW()-1,FALSE))</f>
        <v>10.692905619999999</v>
      </c>
      <c r="J459">
        <f ca="1">IF(AND(ISNUMBER($J$1121),$B$677=1),$J$1121,HLOOKUP(INDIRECT(ADDRESS(2,COLUMN())),OFFSET($BN$2,0,0,ROW()-1,60),ROW()-1,FALSE))</f>
        <v>11.05034017</v>
      </c>
      <c r="K459">
        <f ca="1">IF(AND(ISNUMBER($K$1121),$B$677=1),$K$1121,HLOOKUP(INDIRECT(ADDRESS(2,COLUMN())),OFFSET($BN$2,0,0,ROW()-1,60),ROW()-1,FALSE))</f>
        <v>10.89090972</v>
      </c>
      <c r="L459">
        <f ca="1">IF(AND(ISNUMBER($L$1121),$B$677=1),$L$1121,HLOOKUP(INDIRECT(ADDRESS(2,COLUMN())),OFFSET($BN$2,0,0,ROW()-1,60),ROW()-1,FALSE))</f>
        <v>12.47133977</v>
      </c>
      <c r="M459">
        <f ca="1">IF(AND(ISNUMBER($M$1121),$B$677=1),$M$1121,HLOOKUP(INDIRECT(ADDRESS(2,COLUMN())),OFFSET($BN$2,0,0,ROW()-1,60),ROW()-1,FALSE))</f>
        <v>12.30753754</v>
      </c>
      <c r="N459">
        <f ca="1">IF(AND(ISNUMBER($N$1121),$B$677=1),$N$1121,HLOOKUP(INDIRECT(ADDRESS(2,COLUMN())),OFFSET($BN$2,0,0,ROW()-1,60),ROW()-1,FALSE))</f>
        <v>13.11998576</v>
      </c>
      <c r="O459">
        <f ca="1">IF(AND(ISNUMBER($O$1121),$B$677=1),$O$1121,HLOOKUP(INDIRECT(ADDRESS(2,COLUMN())),OFFSET($BN$2,0,0,ROW()-1,60),ROW()-1,FALSE))</f>
        <v>14.205519020000001</v>
      </c>
      <c r="P459">
        <f ca="1">IF(AND(ISNUMBER($P$1121),$B$677=1),$P$1121,HLOOKUP(INDIRECT(ADDRESS(2,COLUMN())),OFFSET($BN$2,0,0,ROW()-1,60),ROW()-1,FALSE))</f>
        <v>13.05262194</v>
      </c>
      <c r="Q459">
        <f ca="1">IF(AND(ISNUMBER($Q$1121),$B$677=1),$Q$1121,HLOOKUP(INDIRECT(ADDRESS(2,COLUMN())),OFFSET($BN$2,0,0,ROW()-1,60),ROW()-1,FALSE))</f>
        <v>12.87142126</v>
      </c>
      <c r="R459">
        <f ca="1">IF(AND(ISNUMBER($R$1121),$B$677=1),$R$1121,HLOOKUP(INDIRECT(ADDRESS(2,COLUMN())),OFFSET($BN$2,0,0,ROW()-1,60),ROW()-1,FALSE))</f>
        <v>14.541564380000001</v>
      </c>
      <c r="S459">
        <f ca="1">IF(AND(ISNUMBER($S$1121),$B$677=1),$S$1121,HLOOKUP(INDIRECT(ADDRESS(2,COLUMN())),OFFSET($BN$2,0,0,ROW()-1,60),ROW()-1,FALSE))</f>
        <v>16.07455379</v>
      </c>
      <c r="T459">
        <f ca="1">IF(AND(ISNUMBER($T$1121),$B$677=1),$T$1121,HLOOKUP(INDIRECT(ADDRESS(2,COLUMN())),OFFSET($BN$2,0,0,ROW()-1,60),ROW()-1,FALSE))</f>
        <v>15.39314053</v>
      </c>
      <c r="U459">
        <f ca="1">IF(AND(ISNUMBER($U$1121),$B$677=1),$U$1121,HLOOKUP(INDIRECT(ADDRESS(2,COLUMN())),OFFSET($BN$2,0,0,ROW()-1,60),ROW()-1,FALSE))</f>
        <v>18.395787909999999</v>
      </c>
      <c r="V459">
        <f ca="1">IF(AND(ISNUMBER($V$1121),$B$677=1),$V$1121,HLOOKUP(INDIRECT(ADDRESS(2,COLUMN())),OFFSET($BN$2,0,0,ROW()-1,60),ROW()-1,FALSE))</f>
        <v>20.223842770000001</v>
      </c>
      <c r="W459">
        <f ca="1">IF(AND(ISNUMBER($W$1121),$B$677=1),$W$1121,HLOOKUP(INDIRECT(ADDRESS(2,COLUMN())),OFFSET($BN$2,0,0,ROW()-1,60),ROW()-1,FALSE))</f>
        <v>16.512854919999999</v>
      </c>
      <c r="X459">
        <f ca="1">IF(AND(ISNUMBER($X$1121),$B$677=1),$X$1121,HLOOKUP(INDIRECT(ADDRESS(2,COLUMN())),OFFSET($BN$2,0,0,ROW()-1,60),ROW()-1,FALSE))</f>
        <v>15.512408130000001</v>
      </c>
      <c r="Y459">
        <f ca="1">IF(AND(ISNUMBER($Y$1121),$B$677=1),$Y$1121,HLOOKUP(INDIRECT(ADDRESS(2,COLUMN())),OFFSET($BN$2,0,0,ROW()-1,60),ROW()-1,FALSE))</f>
        <v>15.833308730000001</v>
      </c>
      <c r="Z459">
        <f ca="1">IF(AND(ISNUMBER($Z$1121),$B$677=1),$Z$1121,HLOOKUP(INDIRECT(ADDRESS(2,COLUMN())),OFFSET($BN$2,0,0,ROW()-1,60),ROW()-1,FALSE))</f>
        <v>16.215553830000001</v>
      </c>
      <c r="AA459">
        <f ca="1">IF(AND(ISNUMBER($AA$1121),$B$677=1),$AA$1121,HLOOKUP(INDIRECT(ADDRESS(2,COLUMN())),OFFSET($BN$2,0,0,ROW()-1,60),ROW()-1,FALSE))</f>
        <v>15.93646043</v>
      </c>
      <c r="AB459">
        <f ca="1">IF(AND(ISNUMBER($AB$1121),$B$677=1),$AB$1121,HLOOKUP(INDIRECT(ADDRESS(2,COLUMN())),OFFSET($BN$2,0,0,ROW()-1,60),ROW()-1,FALSE))</f>
        <v>15.28282241</v>
      </c>
      <c r="AC459">
        <f ca="1">IF(AND(ISNUMBER($AC$1121),$B$677=1),$AC$1121,HLOOKUP(INDIRECT(ADDRESS(2,COLUMN())),OFFSET($BN$2,0,0,ROW()-1,60),ROW()-1,FALSE))</f>
        <v>13.819696820000001</v>
      </c>
      <c r="AD459">
        <f ca="1">IF(AND(ISNUMBER($AD$1121),$B$677=1),$AD$1121,HLOOKUP(INDIRECT(ADDRESS(2,COLUMN())),OFFSET($BN$2,0,0,ROW()-1,60),ROW()-1,FALSE))</f>
        <v>14.34487049</v>
      </c>
      <c r="AE459">
        <f ca="1">IF(AND(ISNUMBER($AE$1121),$B$677=1),$AE$1121,HLOOKUP(INDIRECT(ADDRESS(2,COLUMN())),OFFSET($BN$2,0,0,ROW()-1,60),ROW()-1,FALSE))</f>
        <v>14.76485898</v>
      </c>
      <c r="AF459">
        <f ca="1">IF(AND(ISNUMBER($AF$1121),$B$677=1),$AF$1121,HLOOKUP(INDIRECT(ADDRESS(2,COLUMN())),OFFSET($BN$2,0,0,ROW()-1,60),ROW()-1,FALSE))</f>
        <v>13.518864000000001</v>
      </c>
      <c r="AG459">
        <f ca="1">IF(AND(ISNUMBER($AG$1121),$B$677=1),$AG$1121,HLOOKUP(INDIRECT(ADDRESS(2,COLUMN())),OFFSET($BN$2,0,0,ROW()-1,60),ROW()-1,FALSE))</f>
        <v>14.522208600000001</v>
      </c>
      <c r="AH459">
        <f ca="1">IF(AND(ISNUMBER($AH$1121),$B$677=1),$AH$1121,HLOOKUP(INDIRECT(ADDRESS(2,COLUMN())),OFFSET($BN$2,0,0,ROW()-1,60),ROW()-1,FALSE))</f>
        <v>14.070452149999999</v>
      </c>
      <c r="AI459">
        <f ca="1">IF(AND(ISNUMBER($AI$1121),$B$677=1),$AI$1121,HLOOKUP(INDIRECT(ADDRESS(2,COLUMN())),OFFSET($BN$2,0,0,ROW()-1,60),ROW()-1,FALSE))</f>
        <v>12.99551845</v>
      </c>
      <c r="AJ459">
        <f ca="1">IF(AND(ISNUMBER($AJ$1121),$B$677=1),$AJ$1121,HLOOKUP(INDIRECT(ADDRESS(2,COLUMN())),OFFSET($BN$2,0,0,ROW()-1,60),ROW()-1,FALSE))</f>
        <v>11.727182320000001</v>
      </c>
      <c r="AK459">
        <f ca="1">IF(AND(ISNUMBER($AK$1121),$B$677=1),$AK$1121,HLOOKUP(INDIRECT(ADDRESS(2,COLUMN())),OFFSET($BN$2,0,0,ROW()-1,60),ROW()-1,FALSE))</f>
        <v>13.85651051</v>
      </c>
      <c r="AL459">
        <f ca="1">IF(AND(ISNUMBER($AL$1121),$B$677=1),$AL$1121,HLOOKUP(INDIRECT(ADDRESS(2,COLUMN())),OFFSET($BN$2,0,0,ROW()-1,60),ROW()-1,FALSE))</f>
        <v>15.76385075</v>
      </c>
      <c r="AM459">
        <f ca="1">IF(AND(ISNUMBER($AM$1121),$B$677=1),$AM$1121,HLOOKUP(INDIRECT(ADDRESS(2,COLUMN())),OFFSET($BN$2,0,0,ROW()-1,60),ROW()-1,FALSE))</f>
        <v>20.493363519999999</v>
      </c>
      <c r="AN459">
        <f ca="1">IF(AND(ISNUMBER($AN$1121),$B$677=1),$AN$1121,HLOOKUP(INDIRECT(ADDRESS(2,COLUMN())),OFFSET($BN$2,0,0,ROW()-1,60),ROW()-1,FALSE))</f>
        <v>27.236027660000001</v>
      </c>
      <c r="AO459">
        <f ca="1">IF(AND(ISNUMBER($AO$1121),$B$677=1),$AO$1121,HLOOKUP(INDIRECT(ADDRESS(2,COLUMN())),OFFSET($BN$2,0,0,ROW()-1,60),ROW()-1,FALSE))</f>
        <v>39.801255820000002</v>
      </c>
      <c r="AP459">
        <f ca="1">IF(AND(ISNUMBER($AP$1121),$B$677=1),$AP$1121,HLOOKUP(INDIRECT(ADDRESS(2,COLUMN())),OFFSET($BN$2,0,0,ROW()-1,60),ROW()-1,FALSE))</f>
        <v>74.045231759999993</v>
      </c>
      <c r="AQ459">
        <f ca="1">IF(AND(ISNUMBER($AQ$1121),$B$677=1),$AQ$1121,HLOOKUP(INDIRECT(ADDRESS(2,COLUMN())),OFFSET($BN$2,0,0,ROW()-1,60),ROW()-1,FALSE))</f>
        <v>244.6899511</v>
      </c>
      <c r="AR459" t="str">
        <f ca="1">IF(AND(ISNUMBER($AR$1121),$B$677=1),$AR$1121,HLOOKUP(INDIRECT(ADDRESS(2,COLUMN())),OFFSET($BN$2,0,0,ROW()-1,60),ROW()-1,FALSE))</f>
        <v/>
      </c>
      <c r="AS459" t="str">
        <f ca="1">IF(AND(ISNUMBER($AS$1121),$B$677=1),$AS$1121,HLOOKUP(INDIRECT(ADDRESS(2,COLUMN())),OFFSET($BN$2,0,0,ROW()-1,60),ROW()-1,FALSE))</f>
        <v/>
      </c>
      <c r="AT459" t="str">
        <f ca="1">IF(AND(ISNUMBER($AT$1121),$B$677=1),$AT$1121,HLOOKUP(INDIRECT(ADDRESS(2,COLUMN())),OFFSET($BN$2,0,0,ROW()-1,60),ROW()-1,FALSE))</f>
        <v/>
      </c>
      <c r="AU459">
        <f ca="1">IF(AND(ISNUMBER($AU$1121),$B$677=1),$AU$1121,HLOOKUP(INDIRECT(ADDRESS(2,COLUMN())),OFFSET($BN$2,0,0,ROW()-1,60),ROW()-1,FALSE))</f>
        <v>190.5665266</v>
      </c>
      <c r="AV459">
        <f ca="1">IF(AND(ISNUMBER($AV$1121),$B$677=1),$AV$1121,HLOOKUP(INDIRECT(ADDRESS(2,COLUMN())),OFFSET($BN$2,0,0,ROW()-1,60),ROW()-1,FALSE))</f>
        <v>28.341503670000002</v>
      </c>
      <c r="AW459">
        <f ca="1">IF(AND(ISNUMBER($AW$1121),$B$677=1),$AW$1121,HLOOKUP(INDIRECT(ADDRESS(2,COLUMN())),OFFSET($BN$2,0,0,ROW()-1,60),ROW()-1,FALSE))</f>
        <v>21.49595077</v>
      </c>
      <c r="AX459">
        <f ca="1">IF(AND(ISNUMBER($AX$1121),$B$677=1),$AX$1121,HLOOKUP(INDIRECT(ADDRESS(2,COLUMN())),OFFSET($BN$2,0,0,ROW()-1,60),ROW()-1,FALSE))</f>
        <v>19.85540949</v>
      </c>
      <c r="AY459">
        <f ca="1">IF(AND(ISNUMBER($AY$1121),$B$677=1),$AY$1121,HLOOKUP(INDIRECT(ADDRESS(2,COLUMN())),OFFSET($BN$2,0,0,ROW()-1,60),ROW()-1,FALSE))</f>
        <v>21.069755220000001</v>
      </c>
      <c r="AZ459">
        <f ca="1">IF(AND(ISNUMBER($AZ$1121),$B$677=1),$AZ$1121,HLOOKUP(INDIRECT(ADDRESS(2,COLUMN())),OFFSET($BN$2,0,0,ROW()-1,60),ROW()-1,FALSE))</f>
        <v>23.505520229999998</v>
      </c>
      <c r="BA459">
        <f ca="1">IF(AND(ISNUMBER($BA$1121),$B$677=1),$BA$1121,HLOOKUP(INDIRECT(ADDRESS(2,COLUMN())),OFFSET($BN$2,0,0,ROW()-1,60),ROW()-1,FALSE))</f>
        <v>27.250888830000001</v>
      </c>
      <c r="BB459">
        <f ca="1">IF(AND(ISNUMBER($BB$1121),$B$677=1),$BB$1121,HLOOKUP(INDIRECT(ADDRESS(2,COLUMN())),OFFSET($BN$2,0,0,ROW()-1,60),ROW()-1,FALSE))</f>
        <v>24.792534409999998</v>
      </c>
      <c r="BC459">
        <f ca="1">IF(AND(ISNUMBER($BC$1121),$B$677=1),$BC$1121,HLOOKUP(INDIRECT(ADDRESS(2,COLUMN())),OFFSET($BN$2,0,0,ROW()-1,60),ROW()-1,FALSE))</f>
        <v>21.428910330000001</v>
      </c>
      <c r="BD459">
        <f ca="1">IF(AND(ISNUMBER($BD$1121),$B$677=1),$BD$1121,HLOOKUP(INDIRECT(ADDRESS(2,COLUMN())),OFFSET($BN$2,0,0,ROW()-1,60),ROW()-1,FALSE))</f>
        <v>20.849839729999999</v>
      </c>
      <c r="BE459">
        <f ca="1">IF(AND(ISNUMBER($BE$1121),$B$677=1),$BE$1121,HLOOKUP(INDIRECT(ADDRESS(2,COLUMN())),OFFSET($BN$2,0,0,ROW()-1,60),ROW()-1,FALSE))</f>
        <v>19.33659402</v>
      </c>
      <c r="BF459">
        <f ca="1">IF(AND(ISNUMBER($BF$1121),$B$677=1),$BF$1121,HLOOKUP(INDIRECT(ADDRESS(2,COLUMN())),OFFSET($BN$2,0,0,ROW()-1,60),ROW()-1,FALSE))</f>
        <v>21.787019770000001</v>
      </c>
      <c r="BG459">
        <f ca="1">IF(AND(ISNUMBER($BG$1121),$B$677=1),$BG$1121,HLOOKUP(INDIRECT(ADDRESS(2,COLUMN())),OFFSET($BN$2,0,0,ROW()-1,60),ROW()-1,FALSE))</f>
        <v>24.408101139999999</v>
      </c>
      <c r="BH459">
        <f ca="1">IF(AND(ISNUMBER($BH$1121),$B$677=1),$BH$1121,HLOOKUP(INDIRECT(ADDRESS(2,COLUMN())),OFFSET($BN$2,0,0,ROW()-1,60),ROW()-1,FALSE))</f>
        <v>24.45796387</v>
      </c>
      <c r="BI459">
        <f ca="1">IF(AND(ISNUMBER($BI$1121),$B$677=1),$BI$1121,HLOOKUP(INDIRECT(ADDRESS(2,COLUMN())),OFFSET($BN$2,0,0,ROW()-1,60),ROW()-1,FALSE))</f>
        <v>23.701071880000001</v>
      </c>
      <c r="BJ459">
        <f ca="1">IF(AND(ISNUMBER($BJ$1121),$B$677=1),$BJ$1121,HLOOKUP(INDIRECT(ADDRESS(2,COLUMN())),OFFSET($BN$2,0,0,ROW()-1,60),ROW()-1,FALSE))</f>
        <v>22.617953180000001</v>
      </c>
      <c r="BK459">
        <f ca="1">IF(AND(ISNUMBER($BK$1121),$B$677=1),$BK$1121,HLOOKUP(INDIRECT(ADDRESS(2,COLUMN())),OFFSET($BN$2,0,0,ROW()-1,60),ROW()-1,FALSE))</f>
        <v>20.623742780000001</v>
      </c>
      <c r="BL459">
        <f ca="1">IF(AND(ISNUMBER($BL$1121),$B$677=1),$BL$1121,HLOOKUP(INDIRECT(ADDRESS(2,COLUMN())),OFFSET($BN$2,0,0,ROW()-1,60),ROW()-1,FALSE))</f>
        <v>22.236936100000001</v>
      </c>
      <c r="BM459">
        <f ca="1">IF(AND(ISNUMBER($BM$1121),$B$677=1),$BM$1121,HLOOKUP(INDIRECT(ADDRESS(2,COLUMN())),OFFSET($BN$2,0,0,ROW()-1,60),ROW()-1,FALSE))</f>
        <v>23.419982210000001</v>
      </c>
      <c r="BN459" t="str">
        <f>""</f>
        <v/>
      </c>
      <c r="BO459" t="str">
        <f>""</f>
        <v/>
      </c>
      <c r="BP459">
        <f>11.50868177</f>
        <v>11.508681770000001</v>
      </c>
      <c r="BQ459">
        <f>10.69290562</f>
        <v>10.692905619999999</v>
      </c>
      <c r="BR459">
        <f>11.05034017</f>
        <v>11.05034017</v>
      </c>
      <c r="BS459">
        <f>10.89090972</f>
        <v>10.89090972</v>
      </c>
      <c r="BT459">
        <f>12.47133977</f>
        <v>12.47133977</v>
      </c>
      <c r="BU459">
        <f>12.30753754</f>
        <v>12.30753754</v>
      </c>
      <c r="BV459">
        <f>13.11998576</f>
        <v>13.11998576</v>
      </c>
      <c r="BW459">
        <f>14.20551902</f>
        <v>14.205519020000001</v>
      </c>
      <c r="BX459">
        <f>13.05262194</f>
        <v>13.05262194</v>
      </c>
      <c r="BY459">
        <f>12.87142126</f>
        <v>12.87142126</v>
      </c>
      <c r="BZ459">
        <f>14.54156438</f>
        <v>14.541564380000001</v>
      </c>
      <c r="CA459">
        <f>16.07455379</f>
        <v>16.07455379</v>
      </c>
      <c r="CB459">
        <f>15.39314053</f>
        <v>15.39314053</v>
      </c>
      <c r="CC459">
        <f>18.39578791</f>
        <v>18.395787909999999</v>
      </c>
      <c r="CD459">
        <f>20.22384277</f>
        <v>20.223842770000001</v>
      </c>
      <c r="CE459">
        <f>16.51285492</f>
        <v>16.512854919999999</v>
      </c>
      <c r="CF459">
        <f>15.51240813</f>
        <v>15.512408130000001</v>
      </c>
      <c r="CG459">
        <f>15.83330873</f>
        <v>15.833308730000001</v>
      </c>
      <c r="CH459">
        <f>16.21555383</f>
        <v>16.215553830000001</v>
      </c>
      <c r="CI459">
        <f>15.93646043</f>
        <v>15.93646043</v>
      </c>
      <c r="CJ459">
        <f>15.28282241</f>
        <v>15.28282241</v>
      </c>
      <c r="CK459">
        <f>13.81969682</f>
        <v>13.819696820000001</v>
      </c>
      <c r="CL459">
        <f>14.34487049</f>
        <v>14.34487049</v>
      </c>
      <c r="CM459">
        <f>14.76485898</f>
        <v>14.76485898</v>
      </c>
      <c r="CN459">
        <f>13.518864</f>
        <v>13.518864000000001</v>
      </c>
      <c r="CO459">
        <f>14.5222086</f>
        <v>14.522208600000001</v>
      </c>
      <c r="CP459">
        <f>14.07045215</f>
        <v>14.070452149999999</v>
      </c>
      <c r="CQ459">
        <f>12.99551845</f>
        <v>12.99551845</v>
      </c>
      <c r="CR459">
        <f>11.72718232</f>
        <v>11.727182320000001</v>
      </c>
      <c r="CS459">
        <f>13.85651051</f>
        <v>13.85651051</v>
      </c>
      <c r="CT459">
        <f>15.76385075</f>
        <v>15.76385075</v>
      </c>
      <c r="CU459">
        <f>20.49336352</f>
        <v>20.493363519999999</v>
      </c>
      <c r="CV459">
        <f>27.23602766</f>
        <v>27.236027660000001</v>
      </c>
      <c r="CW459">
        <f>39.80125582</f>
        <v>39.801255820000002</v>
      </c>
      <c r="CX459">
        <f>74.04523176</f>
        <v>74.045231759999993</v>
      </c>
      <c r="CY459">
        <f>244.6899511</f>
        <v>244.6899511</v>
      </c>
      <c r="CZ459" t="str">
        <f>""</f>
        <v/>
      </c>
      <c r="DA459" t="str">
        <f>""</f>
        <v/>
      </c>
      <c r="DB459" t="str">
        <f>""</f>
        <v/>
      </c>
      <c r="DC459">
        <f>190.5665266</f>
        <v>190.5665266</v>
      </c>
      <c r="DD459">
        <f>28.34150367</f>
        <v>28.341503670000002</v>
      </c>
      <c r="DE459">
        <f>21.49595077</f>
        <v>21.49595077</v>
      </c>
      <c r="DF459">
        <f>19.85540949</f>
        <v>19.85540949</v>
      </c>
      <c r="DG459">
        <f>21.06975522</f>
        <v>21.069755220000001</v>
      </c>
      <c r="DH459">
        <f>23.50552023</f>
        <v>23.505520229999998</v>
      </c>
      <c r="DI459">
        <f>27.25088883</f>
        <v>27.250888830000001</v>
      </c>
      <c r="DJ459">
        <f>24.79253441</f>
        <v>24.792534409999998</v>
      </c>
      <c r="DK459">
        <f>21.42891033</f>
        <v>21.428910330000001</v>
      </c>
      <c r="DL459">
        <f>20.84983973</f>
        <v>20.849839729999999</v>
      </c>
      <c r="DM459">
        <f>19.33659402</f>
        <v>19.33659402</v>
      </c>
      <c r="DN459">
        <f>21.78701977</f>
        <v>21.787019770000001</v>
      </c>
      <c r="DO459">
        <f>24.40810114</f>
        <v>24.408101139999999</v>
      </c>
      <c r="DP459">
        <f>24.45796387</f>
        <v>24.45796387</v>
      </c>
      <c r="DQ459">
        <f>23.70107188</f>
        <v>23.701071880000001</v>
      </c>
      <c r="DR459">
        <f>22.61795318</f>
        <v>22.617953180000001</v>
      </c>
      <c r="DS459">
        <f>20.62374278</f>
        <v>20.623742780000001</v>
      </c>
      <c r="DT459">
        <f>22.2369361</f>
        <v>22.236936100000001</v>
      </c>
      <c r="DU459">
        <f>23.41998221</f>
        <v>23.419982210000001</v>
      </c>
    </row>
    <row r="460" spans="1:125" x14ac:dyDescent="0.25">
      <c r="A460" t="str">
        <f>"    Brilliance China Automotive Holdings Ltd"</f>
        <v xml:space="preserve">    Brilliance China Automotive Holdings Ltd</v>
      </c>
      <c r="B460" t="str">
        <f>"1114 HK Equity"</f>
        <v>1114 HK Equity</v>
      </c>
      <c r="C460" t="str">
        <f t="shared" si="33"/>
        <v>RR476</v>
      </c>
      <c r="D460" t="str">
        <f t="shared" si="34"/>
        <v>EV_TO_T12M_NET_INCOME</v>
      </c>
      <c r="E460" t="str">
        <f t="shared" si="35"/>
        <v>Dynamic</v>
      </c>
      <c r="F460" t="str">
        <f ca="1">IF(AND(ISNUMBER($F$1122),$B$677=1),$F$1122,HLOOKUP(INDIRECT(ADDRESS(2,COLUMN())),OFFSET($BN$2,0,0,ROW()-1,60),ROW()-1,FALSE))</f>
        <v/>
      </c>
      <c r="G460" t="str">
        <f ca="1">IF(AND(ISNUMBER($G$1122),$B$677=1),$G$1122,HLOOKUP(INDIRECT(ADDRESS(2,COLUMN())),OFFSET($BN$2,0,0,ROW()-1,60),ROW()-1,FALSE))</f>
        <v/>
      </c>
      <c r="H460" t="str">
        <f ca="1">IF(AND(ISNUMBER($H$1122),$B$677=1),$H$1122,HLOOKUP(INDIRECT(ADDRESS(2,COLUMN())),OFFSET($BN$2,0,0,ROW()-1,60),ROW()-1,FALSE))</f>
        <v/>
      </c>
      <c r="I460" t="str">
        <f ca="1">IF(AND(ISNUMBER($I$1122),$B$677=1),$I$1122,HLOOKUP(INDIRECT(ADDRESS(2,COLUMN())),OFFSET($BN$2,0,0,ROW()-1,60),ROW()-1,FALSE))</f>
        <v/>
      </c>
      <c r="J460" t="str">
        <f ca="1">IF(AND(ISNUMBER($J$1122),$B$677=1),$J$1122,HLOOKUP(INDIRECT(ADDRESS(2,COLUMN())),OFFSET($BN$2,0,0,ROW()-1,60),ROW()-1,FALSE))</f>
        <v/>
      </c>
      <c r="K460" t="str">
        <f ca="1">IF(AND(ISNUMBER($K$1122),$B$677=1),$K$1122,HLOOKUP(INDIRECT(ADDRESS(2,COLUMN())),OFFSET($BN$2,0,0,ROW()-1,60),ROW()-1,FALSE))</f>
        <v/>
      </c>
      <c r="L460" t="str">
        <f ca="1">IF(AND(ISNUMBER($L$1122),$B$677=1),$L$1122,HLOOKUP(INDIRECT(ADDRESS(2,COLUMN())),OFFSET($BN$2,0,0,ROW()-1,60),ROW()-1,FALSE))</f>
        <v/>
      </c>
      <c r="M460" t="str">
        <f ca="1">IF(AND(ISNUMBER($M$1122),$B$677=1),$M$1122,HLOOKUP(INDIRECT(ADDRESS(2,COLUMN())),OFFSET($BN$2,0,0,ROW()-1,60),ROW()-1,FALSE))</f>
        <v/>
      </c>
      <c r="N460" t="str">
        <f ca="1">IF(AND(ISNUMBER($N$1122),$B$677=1),$N$1122,HLOOKUP(INDIRECT(ADDRESS(2,COLUMN())),OFFSET($BN$2,0,0,ROW()-1,60),ROW()-1,FALSE))</f>
        <v/>
      </c>
      <c r="O460" t="str">
        <f ca="1">IF(AND(ISNUMBER($O$1122),$B$677=1),$O$1122,HLOOKUP(INDIRECT(ADDRESS(2,COLUMN())),OFFSET($BN$2,0,0,ROW()-1,60),ROW()-1,FALSE))</f>
        <v/>
      </c>
      <c r="P460" t="str">
        <f ca="1">IF(AND(ISNUMBER($P$1122),$B$677=1),$P$1122,HLOOKUP(INDIRECT(ADDRESS(2,COLUMN())),OFFSET($BN$2,0,0,ROW()-1,60),ROW()-1,FALSE))</f>
        <v/>
      </c>
      <c r="Q460" t="str">
        <f ca="1">IF(AND(ISNUMBER($Q$1122),$B$677=1),$Q$1122,HLOOKUP(INDIRECT(ADDRESS(2,COLUMN())),OFFSET($BN$2,0,0,ROW()-1,60),ROW()-1,FALSE))</f>
        <v/>
      </c>
      <c r="R460" t="str">
        <f ca="1">IF(AND(ISNUMBER($R$1122),$B$677=1),$R$1122,HLOOKUP(INDIRECT(ADDRESS(2,COLUMN())),OFFSET($BN$2,0,0,ROW()-1,60),ROW()-1,FALSE))</f>
        <v/>
      </c>
      <c r="S460" t="str">
        <f ca="1">IF(AND(ISNUMBER($S$1122),$B$677=1),$S$1122,HLOOKUP(INDIRECT(ADDRESS(2,COLUMN())),OFFSET($BN$2,0,0,ROW()-1,60),ROW()-1,FALSE))</f>
        <v/>
      </c>
      <c r="T460" t="str">
        <f ca="1">IF(AND(ISNUMBER($T$1122),$B$677=1),$T$1122,HLOOKUP(INDIRECT(ADDRESS(2,COLUMN())),OFFSET($BN$2,0,0,ROW()-1,60),ROW()-1,FALSE))</f>
        <v/>
      </c>
      <c r="U460" t="str">
        <f ca="1">IF(AND(ISNUMBER($U$1122),$B$677=1),$U$1122,HLOOKUP(INDIRECT(ADDRESS(2,COLUMN())),OFFSET($BN$2,0,0,ROW()-1,60),ROW()-1,FALSE))</f>
        <v/>
      </c>
      <c r="V460" t="str">
        <f ca="1">IF(AND(ISNUMBER($V$1122),$B$677=1),$V$1122,HLOOKUP(INDIRECT(ADDRESS(2,COLUMN())),OFFSET($BN$2,0,0,ROW()-1,60),ROW()-1,FALSE))</f>
        <v/>
      </c>
      <c r="W460" t="str">
        <f ca="1">IF(AND(ISNUMBER($W$1122),$B$677=1),$W$1122,HLOOKUP(INDIRECT(ADDRESS(2,COLUMN())),OFFSET($BN$2,0,0,ROW()-1,60),ROW()-1,FALSE))</f>
        <v/>
      </c>
      <c r="X460" t="str">
        <f ca="1">IF(AND(ISNUMBER($X$1122),$B$677=1),$X$1122,HLOOKUP(INDIRECT(ADDRESS(2,COLUMN())),OFFSET($BN$2,0,0,ROW()-1,60),ROW()-1,FALSE))</f>
        <v/>
      </c>
      <c r="Y460" t="str">
        <f ca="1">IF(AND(ISNUMBER($Y$1122),$B$677=1),$Y$1122,HLOOKUP(INDIRECT(ADDRESS(2,COLUMN())),OFFSET($BN$2,0,0,ROW()-1,60),ROW()-1,FALSE))</f>
        <v/>
      </c>
      <c r="Z460" t="str">
        <f ca="1">IF(AND(ISNUMBER($Z$1122),$B$677=1),$Z$1122,HLOOKUP(INDIRECT(ADDRESS(2,COLUMN())),OFFSET($BN$2,0,0,ROW()-1,60),ROW()-1,FALSE))</f>
        <v/>
      </c>
      <c r="AA460" t="str">
        <f ca="1">IF(AND(ISNUMBER($AA$1122),$B$677=1),$AA$1122,HLOOKUP(INDIRECT(ADDRESS(2,COLUMN())),OFFSET($BN$2,0,0,ROW()-1,60),ROW()-1,FALSE))</f>
        <v/>
      </c>
      <c r="AB460" t="str">
        <f ca="1">IF(AND(ISNUMBER($AB$1122),$B$677=1),$AB$1122,HLOOKUP(INDIRECT(ADDRESS(2,COLUMN())),OFFSET($BN$2,0,0,ROW()-1,60),ROW()-1,FALSE))</f>
        <v/>
      </c>
      <c r="AC460" t="str">
        <f ca="1">IF(AND(ISNUMBER($AC$1122),$B$677=1),$AC$1122,HLOOKUP(INDIRECT(ADDRESS(2,COLUMN())),OFFSET($BN$2,0,0,ROW()-1,60),ROW()-1,FALSE))</f>
        <v/>
      </c>
      <c r="AD460" t="str">
        <f ca="1">IF(AND(ISNUMBER($AD$1122),$B$677=1),$AD$1122,HLOOKUP(INDIRECT(ADDRESS(2,COLUMN())),OFFSET($BN$2,0,0,ROW()-1,60),ROW()-1,FALSE))</f>
        <v/>
      </c>
      <c r="AE460" t="str">
        <f ca="1">IF(AND(ISNUMBER($AE$1122),$B$677=1),$AE$1122,HLOOKUP(INDIRECT(ADDRESS(2,COLUMN())),OFFSET($BN$2,0,0,ROW()-1,60),ROW()-1,FALSE))</f>
        <v/>
      </c>
      <c r="AF460" t="str">
        <f ca="1">IF(AND(ISNUMBER($AF$1122),$B$677=1),$AF$1122,HLOOKUP(INDIRECT(ADDRESS(2,COLUMN())),OFFSET($BN$2,0,0,ROW()-1,60),ROW()-1,FALSE))</f>
        <v/>
      </c>
      <c r="AG460" t="str">
        <f ca="1">IF(AND(ISNUMBER($AG$1122),$B$677=1),$AG$1122,HLOOKUP(INDIRECT(ADDRESS(2,COLUMN())),OFFSET($BN$2,0,0,ROW()-1,60),ROW()-1,FALSE))</f>
        <v/>
      </c>
      <c r="AH460" t="str">
        <f ca="1">IF(AND(ISNUMBER($AH$1122),$B$677=1),$AH$1122,HLOOKUP(INDIRECT(ADDRESS(2,COLUMN())),OFFSET($BN$2,0,0,ROW()-1,60),ROW()-1,FALSE))</f>
        <v/>
      </c>
      <c r="AI460" t="str">
        <f ca="1">IF(AND(ISNUMBER($AI$1122),$B$677=1),$AI$1122,HLOOKUP(INDIRECT(ADDRESS(2,COLUMN())),OFFSET($BN$2,0,0,ROW()-1,60),ROW()-1,FALSE))</f>
        <v/>
      </c>
      <c r="AJ460" t="str">
        <f ca="1">IF(AND(ISNUMBER($AJ$1122),$B$677=1),$AJ$1122,HLOOKUP(INDIRECT(ADDRESS(2,COLUMN())),OFFSET($BN$2,0,0,ROW()-1,60),ROW()-1,FALSE))</f>
        <v/>
      </c>
      <c r="AK460" t="str">
        <f ca="1">IF(AND(ISNUMBER($AK$1122),$B$677=1),$AK$1122,HLOOKUP(INDIRECT(ADDRESS(2,COLUMN())),OFFSET($BN$2,0,0,ROW()-1,60),ROW()-1,FALSE))</f>
        <v/>
      </c>
      <c r="AL460" t="str">
        <f ca="1">IF(AND(ISNUMBER($AL$1122),$B$677=1),$AL$1122,HLOOKUP(INDIRECT(ADDRESS(2,COLUMN())),OFFSET($BN$2,0,0,ROW()-1,60),ROW()-1,FALSE))</f>
        <v/>
      </c>
      <c r="AM460" t="str">
        <f ca="1">IF(AND(ISNUMBER($AM$1122),$B$677=1),$AM$1122,HLOOKUP(INDIRECT(ADDRESS(2,COLUMN())),OFFSET($BN$2,0,0,ROW()-1,60),ROW()-1,FALSE))</f>
        <v/>
      </c>
      <c r="AN460" t="str">
        <f ca="1">IF(AND(ISNUMBER($AN$1122),$B$677=1),$AN$1122,HLOOKUP(INDIRECT(ADDRESS(2,COLUMN())),OFFSET($BN$2,0,0,ROW()-1,60),ROW()-1,FALSE))</f>
        <v/>
      </c>
      <c r="AO460" t="str">
        <f ca="1">IF(AND(ISNUMBER($AO$1122),$B$677=1),$AO$1122,HLOOKUP(INDIRECT(ADDRESS(2,COLUMN())),OFFSET($BN$2,0,0,ROW()-1,60),ROW()-1,FALSE))</f>
        <v/>
      </c>
      <c r="AP460" t="str">
        <f ca="1">IF(AND(ISNUMBER($AP$1122),$B$677=1),$AP$1122,HLOOKUP(INDIRECT(ADDRESS(2,COLUMN())),OFFSET($BN$2,0,0,ROW()-1,60),ROW()-1,FALSE))</f>
        <v/>
      </c>
      <c r="AQ460" t="str">
        <f ca="1">IF(AND(ISNUMBER($AQ$1122),$B$677=1),$AQ$1122,HLOOKUP(INDIRECT(ADDRESS(2,COLUMN())),OFFSET($BN$2,0,0,ROW()-1,60),ROW()-1,FALSE))</f>
        <v/>
      </c>
      <c r="AR460" t="str">
        <f ca="1">IF(AND(ISNUMBER($AR$1122),$B$677=1),$AR$1122,HLOOKUP(INDIRECT(ADDRESS(2,COLUMN())),OFFSET($BN$2,0,0,ROW()-1,60),ROW()-1,FALSE))</f>
        <v/>
      </c>
      <c r="AS460" t="str">
        <f ca="1">IF(AND(ISNUMBER($AS$1122),$B$677=1),$AS$1122,HLOOKUP(INDIRECT(ADDRESS(2,COLUMN())),OFFSET($BN$2,0,0,ROW()-1,60),ROW()-1,FALSE))</f>
        <v/>
      </c>
      <c r="AT460" t="str">
        <f ca="1">IF(AND(ISNUMBER($AT$1122),$B$677=1),$AT$1122,HLOOKUP(INDIRECT(ADDRESS(2,COLUMN())),OFFSET($BN$2,0,0,ROW()-1,60),ROW()-1,FALSE))</f>
        <v/>
      </c>
      <c r="AU460" t="str">
        <f ca="1">IF(AND(ISNUMBER($AU$1122),$B$677=1),$AU$1122,HLOOKUP(INDIRECT(ADDRESS(2,COLUMN())),OFFSET($BN$2,0,0,ROW()-1,60),ROW()-1,FALSE))</f>
        <v/>
      </c>
      <c r="AV460" t="str">
        <f ca="1">IF(AND(ISNUMBER($AV$1122),$B$677=1),$AV$1122,HLOOKUP(INDIRECT(ADDRESS(2,COLUMN())),OFFSET($BN$2,0,0,ROW()-1,60),ROW()-1,FALSE))</f>
        <v/>
      </c>
      <c r="AW460" t="str">
        <f ca="1">IF(AND(ISNUMBER($AW$1122),$B$677=1),$AW$1122,HLOOKUP(INDIRECT(ADDRESS(2,COLUMN())),OFFSET($BN$2,0,0,ROW()-1,60),ROW()-1,FALSE))</f>
        <v/>
      </c>
      <c r="AX460" t="str">
        <f ca="1">IF(AND(ISNUMBER($AX$1122),$B$677=1),$AX$1122,HLOOKUP(INDIRECT(ADDRESS(2,COLUMN())),OFFSET($BN$2,0,0,ROW()-1,60),ROW()-1,FALSE))</f>
        <v/>
      </c>
      <c r="AY460" t="str">
        <f ca="1">IF(AND(ISNUMBER($AY$1122),$B$677=1),$AY$1122,HLOOKUP(INDIRECT(ADDRESS(2,COLUMN())),OFFSET($BN$2,0,0,ROW()-1,60),ROW()-1,FALSE))</f>
        <v/>
      </c>
      <c r="AZ460" t="str">
        <f ca="1">IF(AND(ISNUMBER($AZ$1122),$B$677=1),$AZ$1122,HLOOKUP(INDIRECT(ADDRESS(2,COLUMN())),OFFSET($BN$2,0,0,ROW()-1,60),ROW()-1,FALSE))</f>
        <v/>
      </c>
      <c r="BA460" t="str">
        <f ca="1">IF(AND(ISNUMBER($BA$1122),$B$677=1),$BA$1122,HLOOKUP(INDIRECT(ADDRESS(2,COLUMN())),OFFSET($BN$2,0,0,ROW()-1,60),ROW()-1,FALSE))</f>
        <v/>
      </c>
      <c r="BB460" t="str">
        <f ca="1">IF(AND(ISNUMBER($BB$1122),$B$677=1),$BB$1122,HLOOKUP(INDIRECT(ADDRESS(2,COLUMN())),OFFSET($BN$2,0,0,ROW()-1,60),ROW()-1,FALSE))</f>
        <v/>
      </c>
      <c r="BC460" t="str">
        <f ca="1">IF(AND(ISNUMBER($BC$1122),$B$677=1),$BC$1122,HLOOKUP(INDIRECT(ADDRESS(2,COLUMN())),OFFSET($BN$2,0,0,ROW()-1,60),ROW()-1,FALSE))</f>
        <v/>
      </c>
      <c r="BD460" t="str">
        <f ca="1">IF(AND(ISNUMBER($BD$1122),$B$677=1),$BD$1122,HLOOKUP(INDIRECT(ADDRESS(2,COLUMN())),OFFSET($BN$2,0,0,ROW()-1,60),ROW()-1,FALSE))</f>
        <v/>
      </c>
      <c r="BE460" t="str">
        <f ca="1">IF(AND(ISNUMBER($BE$1122),$B$677=1),$BE$1122,HLOOKUP(INDIRECT(ADDRESS(2,COLUMN())),OFFSET($BN$2,0,0,ROW()-1,60),ROW()-1,FALSE))</f>
        <v/>
      </c>
      <c r="BF460" t="str">
        <f ca="1">IF(AND(ISNUMBER($BF$1122),$B$677=1),$BF$1122,HLOOKUP(INDIRECT(ADDRESS(2,COLUMN())),OFFSET($BN$2,0,0,ROW()-1,60),ROW()-1,FALSE))</f>
        <v/>
      </c>
      <c r="BG460" t="str">
        <f ca="1">IF(AND(ISNUMBER($BG$1122),$B$677=1),$BG$1122,HLOOKUP(INDIRECT(ADDRESS(2,COLUMN())),OFFSET($BN$2,0,0,ROW()-1,60),ROW()-1,FALSE))</f>
        <v/>
      </c>
      <c r="BH460" t="str">
        <f ca="1">IF(AND(ISNUMBER($BH$1122),$B$677=1),$BH$1122,HLOOKUP(INDIRECT(ADDRESS(2,COLUMN())),OFFSET($BN$2,0,0,ROW()-1,60),ROW()-1,FALSE))</f>
        <v/>
      </c>
      <c r="BI460" t="str">
        <f ca="1">IF(AND(ISNUMBER($BI$1122),$B$677=1),$BI$1122,HLOOKUP(INDIRECT(ADDRESS(2,COLUMN())),OFFSET($BN$2,0,0,ROW()-1,60),ROW()-1,FALSE))</f>
        <v/>
      </c>
      <c r="BJ460" t="str">
        <f ca="1">IF(AND(ISNUMBER($BJ$1122),$B$677=1),$BJ$1122,HLOOKUP(INDIRECT(ADDRESS(2,COLUMN())),OFFSET($BN$2,0,0,ROW()-1,60),ROW()-1,FALSE))</f>
        <v/>
      </c>
      <c r="BK460" t="str">
        <f ca="1">IF(AND(ISNUMBER($BK$1122),$B$677=1),$BK$1122,HLOOKUP(INDIRECT(ADDRESS(2,COLUMN())),OFFSET($BN$2,0,0,ROW()-1,60),ROW()-1,FALSE))</f>
        <v/>
      </c>
      <c r="BL460" t="str">
        <f ca="1">IF(AND(ISNUMBER($BL$1122),$B$677=1),$BL$1122,HLOOKUP(INDIRECT(ADDRESS(2,COLUMN())),OFFSET($BN$2,0,0,ROW()-1,60),ROW()-1,FALSE))</f>
        <v/>
      </c>
      <c r="BM460" t="str">
        <f ca="1">IF(AND(ISNUMBER($BM$1122),$B$677=1),$BM$1122,HLOOKUP(INDIRECT(ADDRESS(2,COLUMN())),OFFSET($BN$2,0,0,ROW()-1,60),ROW()-1,FALSE))</f>
        <v/>
      </c>
      <c r="BN460" t="str">
        <f>""</f>
        <v/>
      </c>
      <c r="BO460" t="str">
        <f>""</f>
        <v/>
      </c>
      <c r="BP460" t="str">
        <f>""</f>
        <v/>
      </c>
      <c r="BQ460" t="str">
        <f>""</f>
        <v/>
      </c>
      <c r="BR460" t="str">
        <f>""</f>
        <v/>
      </c>
      <c r="BS460" t="str">
        <f>""</f>
        <v/>
      </c>
      <c r="BT460" t="str">
        <f>""</f>
        <v/>
      </c>
      <c r="BU460" t="str">
        <f>""</f>
        <v/>
      </c>
      <c r="BV460" t="str">
        <f>""</f>
        <v/>
      </c>
      <c r="BW460" t="str">
        <f>""</f>
        <v/>
      </c>
      <c r="BX460" t="str">
        <f>""</f>
        <v/>
      </c>
      <c r="BY460" t="str">
        <f>""</f>
        <v/>
      </c>
      <c r="BZ460" t="str">
        <f>""</f>
        <v/>
      </c>
      <c r="CA460" t="str">
        <f>""</f>
        <v/>
      </c>
      <c r="CB460" t="str">
        <f>""</f>
        <v/>
      </c>
      <c r="CC460" t="str">
        <f>""</f>
        <v/>
      </c>
      <c r="CD460" t="str">
        <f>""</f>
        <v/>
      </c>
      <c r="CE460" t="str">
        <f>""</f>
        <v/>
      </c>
      <c r="CF460" t="str">
        <f>""</f>
        <v/>
      </c>
      <c r="CG460" t="str">
        <f>""</f>
        <v/>
      </c>
      <c r="CH460" t="str">
        <f>""</f>
        <v/>
      </c>
      <c r="CI460" t="str">
        <f>""</f>
        <v/>
      </c>
      <c r="CJ460" t="str">
        <f>""</f>
        <v/>
      </c>
      <c r="CK460" t="str">
        <f>""</f>
        <v/>
      </c>
      <c r="CL460" t="str">
        <f>""</f>
        <v/>
      </c>
      <c r="CM460" t="str">
        <f>""</f>
        <v/>
      </c>
      <c r="CN460" t="str">
        <f>""</f>
        <v/>
      </c>
      <c r="CO460" t="str">
        <f>""</f>
        <v/>
      </c>
      <c r="CP460" t="str">
        <f>""</f>
        <v/>
      </c>
      <c r="CQ460" t="str">
        <f>""</f>
        <v/>
      </c>
      <c r="CR460" t="str">
        <f>""</f>
        <v/>
      </c>
      <c r="CS460" t="str">
        <f>""</f>
        <v/>
      </c>
      <c r="CT460" t="str">
        <f>""</f>
        <v/>
      </c>
      <c r="CU460" t="str">
        <f>""</f>
        <v/>
      </c>
      <c r="CV460" t="str">
        <f>""</f>
        <v/>
      </c>
      <c r="CW460" t="str">
        <f>""</f>
        <v/>
      </c>
      <c r="CX460" t="str">
        <f>""</f>
        <v/>
      </c>
      <c r="CY460" t="str">
        <f>""</f>
        <v/>
      </c>
      <c r="CZ460" t="str">
        <f>""</f>
        <v/>
      </c>
      <c r="DA460" t="str">
        <f>""</f>
        <v/>
      </c>
      <c r="DB460" t="str">
        <f>""</f>
        <v/>
      </c>
      <c r="DC460" t="str">
        <f>""</f>
        <v/>
      </c>
      <c r="DD460" t="str">
        <f>""</f>
        <v/>
      </c>
      <c r="DE460" t="str">
        <f>""</f>
        <v/>
      </c>
      <c r="DF460" t="str">
        <f>""</f>
        <v/>
      </c>
      <c r="DG460" t="str">
        <f>""</f>
        <v/>
      </c>
      <c r="DH460" t="str">
        <f>""</f>
        <v/>
      </c>
      <c r="DI460" t="str">
        <f>""</f>
        <v/>
      </c>
      <c r="DJ460" t="str">
        <f>""</f>
        <v/>
      </c>
      <c r="DK460" t="str">
        <f>""</f>
        <v/>
      </c>
      <c r="DL460" t="str">
        <f>""</f>
        <v/>
      </c>
      <c r="DM460" t="str">
        <f>""</f>
        <v/>
      </c>
      <c r="DN460" t="str">
        <f>""</f>
        <v/>
      </c>
      <c r="DO460" t="str">
        <f>""</f>
        <v/>
      </c>
      <c r="DP460" t="str">
        <f>""</f>
        <v/>
      </c>
      <c r="DQ460" t="str">
        <f>""</f>
        <v/>
      </c>
      <c r="DR460" t="str">
        <f>""</f>
        <v/>
      </c>
      <c r="DS460" t="str">
        <f>""</f>
        <v/>
      </c>
      <c r="DT460" t="str">
        <f>""</f>
        <v/>
      </c>
      <c r="DU460" t="str">
        <f>""</f>
        <v/>
      </c>
    </row>
    <row r="461" spans="1:125" x14ac:dyDescent="0.25">
      <c r="A461" t="str">
        <f>"    BYD Co Ltd"</f>
        <v xml:space="preserve">    BYD Co Ltd</v>
      </c>
      <c r="B461" t="str">
        <f>"1211 HK Equity"</f>
        <v>1211 HK Equity</v>
      </c>
      <c r="C461" t="str">
        <f t="shared" si="33"/>
        <v>RR476</v>
      </c>
      <c r="D461" t="str">
        <f t="shared" si="34"/>
        <v>EV_TO_T12M_NET_INCOME</v>
      </c>
      <c r="E461" t="str">
        <f t="shared" si="35"/>
        <v>Dynamic</v>
      </c>
      <c r="F461" t="str">
        <f ca="1">IF(AND(ISNUMBER($F$1123),$B$677=1),$F$1123,HLOOKUP(INDIRECT(ADDRESS(2,COLUMN())),OFFSET($BN$2,0,0,ROW()-1,60),ROW()-1,FALSE))</f>
        <v/>
      </c>
      <c r="G461" t="str">
        <f ca="1">IF(AND(ISNUMBER($G$1123),$B$677=1),$G$1123,HLOOKUP(INDIRECT(ADDRESS(2,COLUMN())),OFFSET($BN$2,0,0,ROW()-1,60),ROW()-1,FALSE))</f>
        <v/>
      </c>
      <c r="H461">
        <f ca="1">IF(AND(ISNUMBER($H$1123),$B$677=1),$H$1123,HLOOKUP(INDIRECT(ADDRESS(2,COLUMN())),OFFSET($BN$2,0,0,ROW()-1,60),ROW()-1,FALSE))</f>
        <v>68.177277849999996</v>
      </c>
      <c r="I461">
        <f ca="1">IF(AND(ISNUMBER($I$1123),$B$677=1),$I$1123,HLOOKUP(INDIRECT(ADDRESS(2,COLUMN())),OFFSET($BN$2,0,0,ROW()-1,60),ROW()-1,FALSE))</f>
        <v>66.441597160000001</v>
      </c>
      <c r="J461">
        <f ca="1">IF(AND(ISNUMBER($J$1123),$B$677=1),$J$1123,HLOOKUP(INDIRECT(ADDRESS(2,COLUMN())),OFFSET($BN$2,0,0,ROW()-1,60),ROW()-1,FALSE))</f>
        <v>63.065283899999997</v>
      </c>
      <c r="K461">
        <f ca="1">IF(AND(ISNUMBER($K$1123),$B$677=1),$K$1123,HLOOKUP(INDIRECT(ADDRESS(2,COLUMN())),OFFSET($BN$2,0,0,ROW()-1,60),ROW()-1,FALSE))</f>
        <v>59.810770769999998</v>
      </c>
      <c r="L461">
        <f ca="1">IF(AND(ISNUMBER($L$1123),$B$677=1),$L$1123,HLOOKUP(INDIRECT(ADDRESS(2,COLUMN())),OFFSET($BN$2,0,0,ROW()-1,60),ROW()-1,FALSE))</f>
        <v>60.087647320000002</v>
      </c>
      <c r="M461">
        <f ca="1">IF(AND(ISNUMBER($M$1123),$B$677=1),$M$1123,HLOOKUP(INDIRECT(ADDRESS(2,COLUMN())),OFFSET($BN$2,0,0,ROW()-1,60),ROW()-1,FALSE))</f>
        <v>43.610970500000001</v>
      </c>
      <c r="N461">
        <f ca="1">IF(AND(ISNUMBER($N$1123),$B$677=1),$N$1123,HLOOKUP(INDIRECT(ADDRESS(2,COLUMN())),OFFSET($BN$2,0,0,ROW()-1,60),ROW()-1,FALSE))</f>
        <v>38.713643300000001</v>
      </c>
      <c r="O461">
        <f ca="1">IF(AND(ISNUMBER($O$1123),$B$677=1),$O$1123,HLOOKUP(INDIRECT(ADDRESS(2,COLUMN())),OFFSET($BN$2,0,0,ROW()-1,60),ROW()-1,FALSE))</f>
        <v>36.049689090000001</v>
      </c>
      <c r="P461">
        <f ca="1">IF(AND(ISNUMBER($P$1123),$B$677=1),$P$1123,HLOOKUP(INDIRECT(ADDRESS(2,COLUMN())),OFFSET($BN$2,0,0,ROW()-1,60),ROW()-1,FALSE))</f>
        <v>42.459822920000001</v>
      </c>
      <c r="Q461">
        <f ca="1">IF(AND(ISNUMBER($Q$1123),$B$677=1),$Q$1123,HLOOKUP(INDIRECT(ADDRESS(2,COLUMN())),OFFSET($BN$2,0,0,ROW()-1,60),ROW()-1,FALSE))</f>
        <v>41.67221507</v>
      </c>
      <c r="R461">
        <f ca="1">IF(AND(ISNUMBER($R$1123),$B$677=1),$R$1123,HLOOKUP(INDIRECT(ADDRESS(2,COLUMN())),OFFSET($BN$2,0,0,ROW()-1,60),ROW()-1,FALSE))</f>
        <v>51.254766760000003</v>
      </c>
      <c r="S461">
        <f ca="1">IF(AND(ISNUMBER($S$1123),$B$677=1),$S$1123,HLOOKUP(INDIRECT(ADDRESS(2,COLUMN())),OFFSET($BN$2,0,0,ROW()-1,60),ROW()-1,FALSE))</f>
        <v>64.102849699999993</v>
      </c>
      <c r="T461">
        <f ca="1">IF(AND(ISNUMBER($T$1123),$B$677=1),$T$1123,HLOOKUP(INDIRECT(ADDRESS(2,COLUMN())),OFFSET($BN$2,0,0,ROW()-1,60),ROW()-1,FALSE))</f>
        <v>87.954141989999997</v>
      </c>
      <c r="U461">
        <f ca="1">IF(AND(ISNUMBER($U$1123),$B$677=1),$U$1123,HLOOKUP(INDIRECT(ADDRESS(2,COLUMN())),OFFSET($BN$2,0,0,ROW()-1,60),ROW()-1,FALSE))</f>
        <v>309.01563370000002</v>
      </c>
      <c r="V461">
        <f ca="1">IF(AND(ISNUMBER($V$1123),$B$677=1),$V$1123,HLOOKUP(INDIRECT(ADDRESS(2,COLUMN())),OFFSET($BN$2,0,0,ROW()-1,60),ROW()-1,FALSE))</f>
        <v>281.68643739999999</v>
      </c>
      <c r="W461">
        <f ca="1">IF(AND(ISNUMBER($W$1123),$B$677=1),$W$1123,HLOOKUP(INDIRECT(ADDRESS(2,COLUMN())),OFFSET($BN$2,0,0,ROW()-1,60),ROW()-1,FALSE))</f>
        <v>290.61315029999997</v>
      </c>
      <c r="X461">
        <f ca="1">IF(AND(ISNUMBER($X$1123),$B$677=1),$X$1123,HLOOKUP(INDIRECT(ADDRESS(2,COLUMN())),OFFSET($BN$2,0,0,ROW()-1,60),ROW()-1,FALSE))</f>
        <v>324.68840460000001</v>
      </c>
      <c r="Y461">
        <f ca="1">IF(AND(ISNUMBER($Y$1123),$B$677=1),$Y$1123,HLOOKUP(INDIRECT(ADDRESS(2,COLUMN())),OFFSET($BN$2,0,0,ROW()-1,60),ROW()-1,FALSE))</f>
        <v>257.80952559999997</v>
      </c>
      <c r="Z461">
        <f ca="1">IF(AND(ISNUMBER($Z$1123),$B$677=1),$Z$1123,HLOOKUP(INDIRECT(ADDRESS(2,COLUMN())),OFFSET($BN$2,0,0,ROW()-1,60),ROW()-1,FALSE))</f>
        <v>277.27826649999997</v>
      </c>
      <c r="AA461">
        <f ca="1">IF(AND(ISNUMBER($AA$1123),$B$677=1),$AA$1123,HLOOKUP(INDIRECT(ADDRESS(2,COLUMN())),OFFSET($BN$2,0,0,ROW()-1,60),ROW()-1,FALSE))</f>
        <v>191.87994069999999</v>
      </c>
      <c r="AB461">
        <f ca="1">IF(AND(ISNUMBER($AB$1123),$B$677=1),$AB$1123,HLOOKUP(INDIRECT(ADDRESS(2,COLUMN())),OFFSET($BN$2,0,0,ROW()-1,60),ROW()-1,FALSE))</f>
        <v>188.34345809999999</v>
      </c>
      <c r="AC461">
        <f ca="1">IF(AND(ISNUMBER($AC$1123),$B$677=1),$AC$1123,HLOOKUP(INDIRECT(ADDRESS(2,COLUMN())),OFFSET($BN$2,0,0,ROW()-1,60),ROW()-1,FALSE))</f>
        <v>193.79917839999999</v>
      </c>
      <c r="AD461">
        <f ca="1">IF(AND(ISNUMBER($AD$1123),$B$677=1),$AD$1123,HLOOKUP(INDIRECT(ADDRESS(2,COLUMN())),OFFSET($BN$2,0,0,ROW()-1,60),ROW()-1,FALSE))</f>
        <v>461.1307822</v>
      </c>
      <c r="AE461">
        <f ca="1">IF(AND(ISNUMBER($AE$1123),$B$677=1),$AE$1123,HLOOKUP(INDIRECT(ADDRESS(2,COLUMN())),OFFSET($BN$2,0,0,ROW()-1,60),ROW()-1,FALSE))</f>
        <v>920.74664129999996</v>
      </c>
      <c r="AF461">
        <f ca="1">IF(AND(ISNUMBER($AF$1123),$B$677=1),$AF$1123,HLOOKUP(INDIRECT(ADDRESS(2,COLUMN())),OFFSET($BN$2,0,0,ROW()-1,60),ROW()-1,FALSE))</f>
        <v>52.812744930000001</v>
      </c>
      <c r="AG461">
        <f ca="1">IF(AND(ISNUMBER($AG$1123),$B$677=1),$AG$1123,HLOOKUP(INDIRECT(ADDRESS(2,COLUMN())),OFFSET($BN$2,0,0,ROW()-1,60),ROW()-1,FALSE))</f>
        <v>61.43152499</v>
      </c>
      <c r="AH461" t="str">
        <f ca="1">IF(AND(ISNUMBER($AH$1123),$B$677=1),$AH$1123,HLOOKUP(INDIRECT(ADDRESS(2,COLUMN())),OFFSET($BN$2,0,0,ROW()-1,60),ROW()-1,FALSE))</f>
        <v/>
      </c>
      <c r="AI461" t="str">
        <f ca="1">IF(AND(ISNUMBER($AI$1123),$B$677=1),$AI$1123,HLOOKUP(INDIRECT(ADDRESS(2,COLUMN())),OFFSET($BN$2,0,0,ROW()-1,60),ROW()-1,FALSE))</f>
        <v/>
      </c>
      <c r="AJ461" t="str">
        <f ca="1">IF(AND(ISNUMBER($AJ$1123),$B$677=1),$AJ$1123,HLOOKUP(INDIRECT(ADDRESS(2,COLUMN())),OFFSET($BN$2,0,0,ROW()-1,60),ROW()-1,FALSE))</f>
        <v/>
      </c>
      <c r="AK461" t="str">
        <f ca="1">IF(AND(ISNUMBER($AK$1123),$B$677=1),$AK$1123,HLOOKUP(INDIRECT(ADDRESS(2,COLUMN())),OFFSET($BN$2,0,0,ROW()-1,60),ROW()-1,FALSE))</f>
        <v/>
      </c>
      <c r="AL461" t="str">
        <f ca="1">IF(AND(ISNUMBER($AL$1123),$B$677=1),$AL$1123,HLOOKUP(INDIRECT(ADDRESS(2,COLUMN())),OFFSET($BN$2,0,0,ROW()-1,60),ROW()-1,FALSE))</f>
        <v/>
      </c>
      <c r="AM461">
        <f ca="1">IF(AND(ISNUMBER($AM$1123),$B$677=1),$AM$1123,HLOOKUP(INDIRECT(ADDRESS(2,COLUMN())),OFFSET($BN$2,0,0,ROW()-1,60),ROW()-1,FALSE))</f>
        <v>37.075269050000003</v>
      </c>
      <c r="AN461">
        <f ca="1">IF(AND(ISNUMBER($AN$1123),$B$677=1),$AN$1123,HLOOKUP(INDIRECT(ADDRESS(2,COLUMN())),OFFSET($BN$2,0,0,ROW()-1,60),ROW()-1,FALSE))</f>
        <v>33.792971250000001</v>
      </c>
      <c r="AO461">
        <f ca="1">IF(AND(ISNUMBER($AO$1123),$B$677=1),$AO$1123,HLOOKUP(INDIRECT(ADDRESS(2,COLUMN())),OFFSET($BN$2,0,0,ROW()-1,60),ROW()-1,FALSE))</f>
        <v>24.344746740000001</v>
      </c>
      <c r="AP461" t="str">
        <f ca="1">IF(AND(ISNUMBER($AP$1123),$B$677=1),$AP$1123,HLOOKUP(INDIRECT(ADDRESS(2,COLUMN())),OFFSET($BN$2,0,0,ROW()-1,60),ROW()-1,FALSE))</f>
        <v/>
      </c>
      <c r="AQ461" t="str">
        <f ca="1">IF(AND(ISNUMBER($AQ$1123),$B$677=1),$AQ$1123,HLOOKUP(INDIRECT(ADDRESS(2,COLUMN())),OFFSET($BN$2,0,0,ROW()-1,60),ROW()-1,FALSE))</f>
        <v/>
      </c>
      <c r="AR461" t="str">
        <f ca="1">IF(AND(ISNUMBER($AR$1123),$B$677=1),$AR$1123,HLOOKUP(INDIRECT(ADDRESS(2,COLUMN())),OFFSET($BN$2,0,0,ROW()-1,60),ROW()-1,FALSE))</f>
        <v/>
      </c>
      <c r="AS461" t="str">
        <f ca="1">IF(AND(ISNUMBER($AS$1123),$B$677=1),$AS$1123,HLOOKUP(INDIRECT(ADDRESS(2,COLUMN())),OFFSET($BN$2,0,0,ROW()-1,60),ROW()-1,FALSE))</f>
        <v/>
      </c>
      <c r="AT461" t="str">
        <f ca="1">IF(AND(ISNUMBER($AT$1123),$B$677=1),$AT$1123,HLOOKUP(INDIRECT(ADDRESS(2,COLUMN())),OFFSET($BN$2,0,0,ROW()-1,60),ROW()-1,FALSE))</f>
        <v/>
      </c>
      <c r="AU461" t="str">
        <f ca="1">IF(AND(ISNUMBER($AU$1123),$B$677=1),$AU$1123,HLOOKUP(INDIRECT(ADDRESS(2,COLUMN())),OFFSET($BN$2,0,0,ROW()-1,60),ROW()-1,FALSE))</f>
        <v/>
      </c>
      <c r="AV461" t="str">
        <f ca="1">IF(AND(ISNUMBER($AV$1123),$B$677=1),$AV$1123,HLOOKUP(INDIRECT(ADDRESS(2,COLUMN())),OFFSET($BN$2,0,0,ROW()-1,60),ROW()-1,FALSE))</f>
        <v/>
      </c>
      <c r="AW461" t="str">
        <f ca="1">IF(AND(ISNUMBER($AW$1123),$B$677=1),$AW$1123,HLOOKUP(INDIRECT(ADDRESS(2,COLUMN())),OFFSET($BN$2,0,0,ROW()-1,60),ROW()-1,FALSE))</f>
        <v/>
      </c>
      <c r="AX461" t="str">
        <f ca="1">IF(AND(ISNUMBER($AX$1123),$B$677=1),$AX$1123,HLOOKUP(INDIRECT(ADDRESS(2,COLUMN())),OFFSET($BN$2,0,0,ROW()-1,60),ROW()-1,FALSE))</f>
        <v/>
      </c>
      <c r="AY461" t="str">
        <f ca="1">IF(AND(ISNUMBER($AY$1123),$B$677=1),$AY$1123,HLOOKUP(INDIRECT(ADDRESS(2,COLUMN())),OFFSET($BN$2,0,0,ROW()-1,60),ROW()-1,FALSE))</f>
        <v/>
      </c>
      <c r="AZ461" t="str">
        <f ca="1">IF(AND(ISNUMBER($AZ$1123),$B$677=1),$AZ$1123,HLOOKUP(INDIRECT(ADDRESS(2,COLUMN())),OFFSET($BN$2,0,0,ROW()-1,60),ROW()-1,FALSE))</f>
        <v/>
      </c>
      <c r="BA461" t="str">
        <f ca="1">IF(AND(ISNUMBER($BA$1123),$B$677=1),$BA$1123,HLOOKUP(INDIRECT(ADDRESS(2,COLUMN())),OFFSET($BN$2,0,0,ROW()-1,60),ROW()-1,FALSE))</f>
        <v/>
      </c>
      <c r="BB461" t="str">
        <f ca="1">IF(AND(ISNUMBER($BB$1123),$B$677=1),$BB$1123,HLOOKUP(INDIRECT(ADDRESS(2,COLUMN())),OFFSET($BN$2,0,0,ROW()-1,60),ROW()-1,FALSE))</f>
        <v/>
      </c>
      <c r="BC461" t="str">
        <f ca="1">IF(AND(ISNUMBER($BC$1123),$B$677=1),$BC$1123,HLOOKUP(INDIRECT(ADDRESS(2,COLUMN())),OFFSET($BN$2,0,0,ROW()-1,60),ROW()-1,FALSE))</f>
        <v/>
      </c>
      <c r="BD461" t="str">
        <f ca="1">IF(AND(ISNUMBER($BD$1123),$B$677=1),$BD$1123,HLOOKUP(INDIRECT(ADDRESS(2,COLUMN())),OFFSET($BN$2,0,0,ROW()-1,60),ROW()-1,FALSE))</f>
        <v/>
      </c>
      <c r="BE461" t="str">
        <f ca="1">IF(AND(ISNUMBER($BE$1123),$B$677=1),$BE$1123,HLOOKUP(INDIRECT(ADDRESS(2,COLUMN())),OFFSET($BN$2,0,0,ROW()-1,60),ROW()-1,FALSE))</f>
        <v/>
      </c>
      <c r="BF461" t="str">
        <f ca="1">IF(AND(ISNUMBER($BF$1123),$B$677=1),$BF$1123,HLOOKUP(INDIRECT(ADDRESS(2,COLUMN())),OFFSET($BN$2,0,0,ROW()-1,60),ROW()-1,FALSE))</f>
        <v/>
      </c>
      <c r="BG461" t="str">
        <f ca="1">IF(AND(ISNUMBER($BG$1123),$B$677=1),$BG$1123,HLOOKUP(INDIRECT(ADDRESS(2,COLUMN())),OFFSET($BN$2,0,0,ROW()-1,60),ROW()-1,FALSE))</f>
        <v/>
      </c>
      <c r="BH461" t="str">
        <f ca="1">IF(AND(ISNUMBER($BH$1123),$B$677=1),$BH$1123,HLOOKUP(INDIRECT(ADDRESS(2,COLUMN())),OFFSET($BN$2,0,0,ROW()-1,60),ROW()-1,FALSE))</f>
        <v/>
      </c>
      <c r="BI461" t="str">
        <f ca="1">IF(AND(ISNUMBER($BI$1123),$B$677=1),$BI$1123,HLOOKUP(INDIRECT(ADDRESS(2,COLUMN())),OFFSET($BN$2,0,0,ROW()-1,60),ROW()-1,FALSE))</f>
        <v/>
      </c>
      <c r="BJ461" t="str">
        <f ca="1">IF(AND(ISNUMBER($BJ$1123),$B$677=1),$BJ$1123,HLOOKUP(INDIRECT(ADDRESS(2,COLUMN())),OFFSET($BN$2,0,0,ROW()-1,60),ROW()-1,FALSE))</f>
        <v/>
      </c>
      <c r="BK461" t="str">
        <f ca="1">IF(AND(ISNUMBER($BK$1123),$B$677=1),$BK$1123,HLOOKUP(INDIRECT(ADDRESS(2,COLUMN())),OFFSET($BN$2,0,0,ROW()-1,60),ROW()-1,FALSE))</f>
        <v/>
      </c>
      <c r="BL461" t="str">
        <f ca="1">IF(AND(ISNUMBER($BL$1123),$B$677=1),$BL$1123,HLOOKUP(INDIRECT(ADDRESS(2,COLUMN())),OFFSET($BN$2,0,0,ROW()-1,60),ROW()-1,FALSE))</f>
        <v/>
      </c>
      <c r="BM461" t="str">
        <f ca="1">IF(AND(ISNUMBER($BM$1123),$B$677=1),$BM$1123,HLOOKUP(INDIRECT(ADDRESS(2,COLUMN())),OFFSET($BN$2,0,0,ROW()-1,60),ROW()-1,FALSE))</f>
        <v/>
      </c>
      <c r="BN461" t="str">
        <f>""</f>
        <v/>
      </c>
      <c r="BO461" t="str">
        <f>""</f>
        <v/>
      </c>
      <c r="BP461">
        <f>68.17727785</f>
        <v>68.177277849999996</v>
      </c>
      <c r="BQ461">
        <f>66.44159716</f>
        <v>66.441597160000001</v>
      </c>
      <c r="BR461">
        <f>63.0652839</f>
        <v>63.065283899999997</v>
      </c>
      <c r="BS461">
        <f>59.81077077</f>
        <v>59.810770769999998</v>
      </c>
      <c r="BT461">
        <f>60.08764732</f>
        <v>60.087647320000002</v>
      </c>
      <c r="BU461">
        <f>43.6109705</f>
        <v>43.610970500000001</v>
      </c>
      <c r="BV461">
        <f>38.7136433</f>
        <v>38.713643300000001</v>
      </c>
      <c r="BW461">
        <f>36.04968909</f>
        <v>36.049689090000001</v>
      </c>
      <c r="BX461">
        <f>42.45982292</f>
        <v>42.459822920000001</v>
      </c>
      <c r="BY461">
        <f>41.67221507</f>
        <v>41.67221507</v>
      </c>
      <c r="BZ461">
        <f>51.25476676</f>
        <v>51.254766760000003</v>
      </c>
      <c r="CA461">
        <f>64.1028497</f>
        <v>64.102849699999993</v>
      </c>
      <c r="CB461">
        <f>87.95414199</f>
        <v>87.954141989999997</v>
      </c>
      <c r="CC461">
        <f>309.0156337</f>
        <v>309.01563370000002</v>
      </c>
      <c r="CD461">
        <f>281.6864374</f>
        <v>281.68643739999999</v>
      </c>
      <c r="CE461">
        <f>290.6131503</f>
        <v>290.61315029999997</v>
      </c>
      <c r="CF461">
        <f>324.6884046</f>
        <v>324.68840460000001</v>
      </c>
      <c r="CG461">
        <f>257.8095256</f>
        <v>257.80952559999997</v>
      </c>
      <c r="CH461">
        <f>277.2782665</f>
        <v>277.27826649999997</v>
      </c>
      <c r="CI461">
        <f>191.8799407</f>
        <v>191.87994069999999</v>
      </c>
      <c r="CJ461">
        <f>188.3434581</f>
        <v>188.34345809999999</v>
      </c>
      <c r="CK461">
        <f>193.7991784</f>
        <v>193.79917839999999</v>
      </c>
      <c r="CL461">
        <f>461.1307822</f>
        <v>461.1307822</v>
      </c>
      <c r="CM461">
        <f>920.7466413</f>
        <v>920.74664129999996</v>
      </c>
      <c r="CN461">
        <f>52.81274493</f>
        <v>52.812744930000001</v>
      </c>
      <c r="CO461">
        <f>61.43152499</f>
        <v>61.43152499</v>
      </c>
      <c r="CP461" t="str">
        <f>""</f>
        <v/>
      </c>
      <c r="CQ461" t="str">
        <f>""</f>
        <v/>
      </c>
      <c r="CR461" t="str">
        <f>""</f>
        <v/>
      </c>
      <c r="CS461" t="str">
        <f>""</f>
        <v/>
      </c>
      <c r="CT461" t="str">
        <f>""</f>
        <v/>
      </c>
      <c r="CU461">
        <f>37.07526905</f>
        <v>37.075269050000003</v>
      </c>
      <c r="CV461">
        <f>33.79297125</f>
        <v>33.792971250000001</v>
      </c>
      <c r="CW461">
        <f>24.34474674</f>
        <v>24.344746740000001</v>
      </c>
      <c r="CX461" t="str">
        <f>""</f>
        <v/>
      </c>
      <c r="CY461" t="str">
        <f>""</f>
        <v/>
      </c>
      <c r="CZ461" t="str">
        <f>""</f>
        <v/>
      </c>
      <c r="DA461" t="str">
        <f>""</f>
        <v/>
      </c>
      <c r="DB461" t="str">
        <f>""</f>
        <v/>
      </c>
      <c r="DC461" t="str">
        <f>""</f>
        <v/>
      </c>
      <c r="DD461" t="str">
        <f>""</f>
        <v/>
      </c>
      <c r="DE461" t="str">
        <f>""</f>
        <v/>
      </c>
      <c r="DF461" t="str">
        <f>""</f>
        <v/>
      </c>
      <c r="DG461" t="str">
        <f>""</f>
        <v/>
      </c>
      <c r="DH461" t="str">
        <f>""</f>
        <v/>
      </c>
      <c r="DI461" t="str">
        <f>""</f>
        <v/>
      </c>
      <c r="DJ461" t="str">
        <f>""</f>
        <v/>
      </c>
      <c r="DK461" t="str">
        <f>""</f>
        <v/>
      </c>
      <c r="DL461" t="str">
        <f>""</f>
        <v/>
      </c>
      <c r="DM461" t="str">
        <f>""</f>
        <v/>
      </c>
      <c r="DN461" t="str">
        <f>""</f>
        <v/>
      </c>
      <c r="DO461" t="str">
        <f>""</f>
        <v/>
      </c>
      <c r="DP461" t="str">
        <f>""</f>
        <v/>
      </c>
      <c r="DQ461" t="str">
        <f>""</f>
        <v/>
      </c>
      <c r="DR461" t="str">
        <f>""</f>
        <v/>
      </c>
      <c r="DS461" t="str">
        <f>""</f>
        <v/>
      </c>
      <c r="DT461" t="str">
        <f>""</f>
        <v/>
      </c>
      <c r="DU461" t="str">
        <f>""</f>
        <v/>
      </c>
    </row>
    <row r="462" spans="1:125" x14ac:dyDescent="0.25">
      <c r="A462" t="str">
        <f>"    Chongqing Changan Automobile Co Ltd"</f>
        <v xml:space="preserve">    Chongqing Changan Automobile Co Ltd</v>
      </c>
      <c r="B462" t="str">
        <f>"200625 CH Equity"</f>
        <v>200625 CH Equity</v>
      </c>
      <c r="C462" t="str">
        <f t="shared" si="33"/>
        <v>RR476</v>
      </c>
      <c r="D462" t="str">
        <f t="shared" si="34"/>
        <v>EV_TO_T12M_NET_INCOME</v>
      </c>
      <c r="E462" t="str">
        <f t="shared" si="35"/>
        <v>Dynamic</v>
      </c>
      <c r="F462" t="str">
        <f ca="1">IF(AND(ISNUMBER($F$1124),$B$677=1),$F$1124,HLOOKUP(INDIRECT(ADDRESS(2,COLUMN())),OFFSET($BN$2,0,0,ROW()-1,60),ROW()-1,FALSE))</f>
        <v/>
      </c>
      <c r="G462" t="str">
        <f ca="1">IF(AND(ISNUMBER($G$1124),$B$677=1),$G$1124,HLOOKUP(INDIRECT(ADDRESS(2,COLUMN())),OFFSET($BN$2,0,0,ROW()-1,60),ROW()-1,FALSE))</f>
        <v/>
      </c>
      <c r="H462">
        <f ca="1">IF(AND(ISNUMBER($H$1124),$B$677=1),$H$1124,HLOOKUP(INDIRECT(ADDRESS(2,COLUMN())),OFFSET($BN$2,0,0,ROW()-1,60),ROW()-1,FALSE))</f>
        <v>4.4453316169999999</v>
      </c>
      <c r="I462">
        <f ca="1">IF(AND(ISNUMBER($I$1124),$B$677=1),$I$1124,HLOOKUP(INDIRECT(ADDRESS(2,COLUMN())),OFFSET($BN$2,0,0,ROW()-1,60),ROW()-1,FALSE))</f>
        <v>6.9502306850000002</v>
      </c>
      <c r="J462">
        <f ca="1">IF(AND(ISNUMBER($J$1124),$B$677=1),$J$1124,HLOOKUP(INDIRECT(ADDRESS(2,COLUMN())),OFFSET($BN$2,0,0,ROW()-1,60),ROW()-1,FALSE))</f>
        <v>4.4457627930000001</v>
      </c>
      <c r="K462">
        <f ca="1">IF(AND(ISNUMBER($K$1124),$B$677=1),$K$1124,HLOOKUP(INDIRECT(ADDRESS(2,COLUMN())),OFFSET($BN$2,0,0,ROW()-1,60),ROW()-1,FALSE))</f>
        <v>4.3463684149999997</v>
      </c>
      <c r="L462">
        <f ca="1">IF(AND(ISNUMBER($L$1124),$B$677=1),$L$1124,HLOOKUP(INDIRECT(ADDRESS(2,COLUMN())),OFFSET($BN$2,0,0,ROW()-1,60),ROW()-1,FALSE))</f>
        <v>4.5433088789999996</v>
      </c>
      <c r="M462">
        <f ca="1">IF(AND(ISNUMBER($M$1124),$B$677=1),$M$1124,HLOOKUP(INDIRECT(ADDRESS(2,COLUMN())),OFFSET($BN$2,0,0,ROW()-1,60),ROW()-1,FALSE))</f>
        <v>4.120254729</v>
      </c>
      <c r="N462">
        <f ca="1">IF(AND(ISNUMBER($N$1124),$B$677=1),$N$1124,HLOOKUP(INDIRECT(ADDRESS(2,COLUMN())),OFFSET($BN$2,0,0,ROW()-1,60),ROW()-1,FALSE))</f>
        <v>4.2233386959999999</v>
      </c>
      <c r="O462">
        <f ca="1">IF(AND(ISNUMBER($O$1124),$B$677=1),$O$1124,HLOOKUP(INDIRECT(ADDRESS(2,COLUMN())),OFFSET($BN$2,0,0,ROW()-1,60),ROW()-1,FALSE))</f>
        <v>4.6273871230000001</v>
      </c>
      <c r="P462">
        <f ca="1">IF(AND(ISNUMBER($P$1124),$B$677=1),$P$1124,HLOOKUP(INDIRECT(ADDRESS(2,COLUMN())),OFFSET($BN$2,0,0,ROW()-1,60),ROW()-1,FALSE))</f>
        <v>4.4380153690000004</v>
      </c>
      <c r="Q462">
        <f ca="1">IF(AND(ISNUMBER($Q$1124),$B$677=1),$Q$1124,HLOOKUP(INDIRECT(ADDRESS(2,COLUMN())),OFFSET($BN$2,0,0,ROW()-1,60),ROW()-1,FALSE))</f>
        <v>4.4563968660000004</v>
      </c>
      <c r="R462">
        <f ca="1">IF(AND(ISNUMBER($R$1124),$B$677=1),$R$1124,HLOOKUP(INDIRECT(ADDRESS(2,COLUMN())),OFFSET($BN$2,0,0,ROW()-1,60),ROW()-1,FALSE))</f>
        <v>5.8922368430000001</v>
      </c>
      <c r="S462">
        <f ca="1">IF(AND(ISNUMBER($S$1124),$B$677=1),$S$1124,HLOOKUP(INDIRECT(ADDRESS(2,COLUMN())),OFFSET($BN$2,0,0,ROW()-1,60),ROW()-1,FALSE))</f>
        <v>6.9826038180000003</v>
      </c>
      <c r="T462">
        <f ca="1">IF(AND(ISNUMBER($T$1124),$B$677=1),$T$1124,HLOOKUP(INDIRECT(ADDRESS(2,COLUMN())),OFFSET($BN$2,0,0,ROW()-1,60),ROW()-1,FALSE))</f>
        <v>5.8763895140000004</v>
      </c>
      <c r="U462">
        <f ca="1">IF(AND(ISNUMBER($U$1124),$B$677=1),$U$1124,HLOOKUP(INDIRECT(ADDRESS(2,COLUMN())),OFFSET($BN$2,0,0,ROW()-1,60),ROW()-1,FALSE))</f>
        <v>8.8428723530000006</v>
      </c>
      <c r="V462">
        <f ca="1">IF(AND(ISNUMBER($V$1124),$B$677=1),$V$1124,HLOOKUP(INDIRECT(ADDRESS(2,COLUMN())),OFFSET($BN$2,0,0,ROW()-1,60),ROW()-1,FALSE))</f>
        <v>10.46180217</v>
      </c>
      <c r="W462">
        <f ca="1">IF(AND(ISNUMBER($W$1124),$B$677=1),$W$1124,HLOOKUP(INDIRECT(ADDRESS(2,COLUMN())),OFFSET($BN$2,0,0,ROW()-1,60),ROW()-1,FALSE))</f>
        <v>9.4696412369999994</v>
      </c>
      <c r="X462">
        <f ca="1">IF(AND(ISNUMBER($X$1124),$B$677=1),$X$1124,HLOOKUP(INDIRECT(ADDRESS(2,COLUMN())),OFFSET($BN$2,0,0,ROW()-1,60),ROW()-1,FALSE))</f>
        <v>10.345124970000001</v>
      </c>
      <c r="Y462">
        <f ca="1">IF(AND(ISNUMBER($Y$1124),$B$677=1),$Y$1124,HLOOKUP(INDIRECT(ADDRESS(2,COLUMN())),OFFSET($BN$2,0,0,ROW()-1,60),ROW()-1,FALSE))</f>
        <v>11.14997982</v>
      </c>
      <c r="Z462">
        <f ca="1">IF(AND(ISNUMBER($Z$1124),$B$677=1),$Z$1124,HLOOKUP(INDIRECT(ADDRESS(2,COLUMN())),OFFSET($BN$2,0,0,ROW()-1,60),ROW()-1,FALSE))</f>
        <v>12.38285877</v>
      </c>
      <c r="AA462">
        <f ca="1">IF(AND(ISNUMBER($AA$1124),$B$677=1),$AA$1124,HLOOKUP(INDIRECT(ADDRESS(2,COLUMN())),OFFSET($BN$2,0,0,ROW()-1,60),ROW()-1,FALSE))</f>
        <v>19.17795903</v>
      </c>
      <c r="AB462">
        <f ca="1">IF(AND(ISNUMBER($AB$1124),$B$677=1),$AB$1124,HLOOKUP(INDIRECT(ADDRESS(2,COLUMN())),OFFSET($BN$2,0,0,ROW()-1,60),ROW()-1,FALSE))</f>
        <v>19.429343880000001</v>
      </c>
      <c r="AC462">
        <f ca="1">IF(AND(ISNUMBER($AC$1124),$B$677=1),$AC$1124,HLOOKUP(INDIRECT(ADDRESS(2,COLUMN())),OFFSET($BN$2,0,0,ROW()-1,60),ROW()-1,FALSE))</f>
        <v>23.229834870000001</v>
      </c>
      <c r="AD462">
        <f ca="1">IF(AND(ISNUMBER($AD$1124),$B$677=1),$AD$1124,HLOOKUP(INDIRECT(ADDRESS(2,COLUMN())),OFFSET($BN$2,0,0,ROW()-1,60),ROW()-1,FALSE))</f>
        <v>26.61066186</v>
      </c>
      <c r="AE462">
        <f ca="1">IF(AND(ISNUMBER($AE$1124),$B$677=1),$AE$1124,HLOOKUP(INDIRECT(ADDRESS(2,COLUMN())),OFFSET($BN$2,0,0,ROW()-1,60),ROW()-1,FALSE))</f>
        <v>25.22874139</v>
      </c>
      <c r="AF462">
        <f ca="1">IF(AND(ISNUMBER($AF$1124),$B$677=1),$AF$1124,HLOOKUP(INDIRECT(ADDRESS(2,COLUMN())),OFFSET($BN$2,0,0,ROW()-1,60),ROW()-1,FALSE))</f>
        <v>35.459620559999998</v>
      </c>
      <c r="AG462">
        <f ca="1">IF(AND(ISNUMBER($AG$1124),$B$677=1),$AG$1124,HLOOKUP(INDIRECT(ADDRESS(2,COLUMN())),OFFSET($BN$2,0,0,ROW()-1,60),ROW()-1,FALSE))</f>
        <v>53.397377409999997</v>
      </c>
      <c r="AH462">
        <f ca="1">IF(AND(ISNUMBER($AH$1124),$B$677=1),$AH$1124,HLOOKUP(INDIRECT(ADDRESS(2,COLUMN())),OFFSET($BN$2,0,0,ROW()-1,60),ROW()-1,FALSE))</f>
        <v>42.794927790000003</v>
      </c>
      <c r="AI462">
        <f ca="1">IF(AND(ISNUMBER($AI$1124),$B$677=1),$AI$1124,HLOOKUP(INDIRECT(ADDRESS(2,COLUMN())),OFFSET($BN$2,0,0,ROW()-1,60),ROW()-1,FALSE))</f>
        <v>14.689772189999999</v>
      </c>
      <c r="AJ462">
        <f ca="1">IF(AND(ISNUMBER($AJ$1124),$B$677=1),$AJ$1124,HLOOKUP(INDIRECT(ADDRESS(2,COLUMN())),OFFSET($BN$2,0,0,ROW()-1,60),ROW()-1,FALSE))</f>
        <v>8.2602959400000007</v>
      </c>
      <c r="AK462">
        <f ca="1">IF(AND(ISNUMBER($AK$1124),$B$677=1),$AK$1124,HLOOKUP(INDIRECT(ADDRESS(2,COLUMN())),OFFSET($BN$2,0,0,ROW()-1,60),ROW()-1,FALSE))</f>
        <v>6.8046075000000004</v>
      </c>
      <c r="AL462">
        <f ca="1">IF(AND(ISNUMBER($AL$1124),$B$677=1),$AL$1124,HLOOKUP(INDIRECT(ADDRESS(2,COLUMN())),OFFSET($BN$2,0,0,ROW()-1,60),ROW()-1,FALSE))</f>
        <v>10.26356268</v>
      </c>
      <c r="AM462">
        <f ca="1">IF(AND(ISNUMBER($AM$1124),$B$677=1),$AM$1124,HLOOKUP(INDIRECT(ADDRESS(2,COLUMN())),OFFSET($BN$2,0,0,ROW()-1,60),ROW()-1,FALSE))</f>
        <v>10.17095535</v>
      </c>
      <c r="AN462">
        <f ca="1">IF(AND(ISNUMBER($AN$1124),$B$677=1),$AN$1124,HLOOKUP(INDIRECT(ADDRESS(2,COLUMN())),OFFSET($BN$2,0,0,ROW()-1,60),ROW()-1,FALSE))</f>
        <v>10.954164820000001</v>
      </c>
      <c r="AO462">
        <f ca="1">IF(AND(ISNUMBER($AO$1124),$B$677=1),$AO$1124,HLOOKUP(INDIRECT(ADDRESS(2,COLUMN())),OFFSET($BN$2,0,0,ROW()-1,60),ROW()-1,FALSE))</f>
        <v>8.877390815</v>
      </c>
      <c r="AP462">
        <f ca="1">IF(AND(ISNUMBER($AP$1124),$B$677=1),$AP$1124,HLOOKUP(INDIRECT(ADDRESS(2,COLUMN())),OFFSET($BN$2,0,0,ROW()-1,60),ROW()-1,FALSE))</f>
        <v>13.22426872</v>
      </c>
      <c r="AQ462">
        <f ca="1">IF(AND(ISNUMBER($AQ$1124),$B$677=1),$AQ$1124,HLOOKUP(INDIRECT(ADDRESS(2,COLUMN())),OFFSET($BN$2,0,0,ROW()-1,60),ROW()-1,FALSE))</f>
        <v>25.467234869999999</v>
      </c>
      <c r="AR462">
        <f ca="1">IF(AND(ISNUMBER($AR$1124),$B$677=1),$AR$1124,HLOOKUP(INDIRECT(ADDRESS(2,COLUMN())),OFFSET($BN$2,0,0,ROW()-1,60),ROW()-1,FALSE))</f>
        <v>20.505511429999999</v>
      </c>
      <c r="AS462">
        <f ca="1">IF(AND(ISNUMBER($AS$1124),$B$677=1),$AS$1124,HLOOKUP(INDIRECT(ADDRESS(2,COLUMN())),OFFSET($BN$2,0,0,ROW()-1,60),ROW()-1,FALSE))</f>
        <v>175.5592254</v>
      </c>
      <c r="AT462" t="str">
        <f ca="1">IF(AND(ISNUMBER($AT$1124),$B$677=1),$AT$1124,HLOOKUP(INDIRECT(ADDRESS(2,COLUMN())),OFFSET($BN$2,0,0,ROW()-1,60),ROW()-1,FALSE))</f>
        <v/>
      </c>
      <c r="AU462" t="str">
        <f ca="1">IF(AND(ISNUMBER($AU$1124),$B$677=1),$AU$1124,HLOOKUP(INDIRECT(ADDRESS(2,COLUMN())),OFFSET($BN$2,0,0,ROW()-1,60),ROW()-1,FALSE))</f>
        <v/>
      </c>
      <c r="AV462">
        <f ca="1">IF(AND(ISNUMBER($AV$1124),$B$677=1),$AV$1124,HLOOKUP(INDIRECT(ADDRESS(2,COLUMN())),OFFSET($BN$2,0,0,ROW()-1,60),ROW()-1,FALSE))</f>
        <v>18.455094819999999</v>
      </c>
      <c r="AW462">
        <f ca="1">IF(AND(ISNUMBER($AW$1124),$B$677=1),$AW$1124,HLOOKUP(INDIRECT(ADDRESS(2,COLUMN())),OFFSET($BN$2,0,0,ROW()-1,60),ROW()-1,FALSE))</f>
        <v>15.92816272</v>
      </c>
      <c r="AX462">
        <f ca="1">IF(AND(ISNUMBER($AX$1124),$B$677=1),$AX$1124,HLOOKUP(INDIRECT(ADDRESS(2,COLUMN())),OFFSET($BN$2,0,0,ROW()-1,60),ROW()-1,FALSE))</f>
        <v>23.572083689999999</v>
      </c>
      <c r="AY462">
        <f ca="1">IF(AND(ISNUMBER($AY$1124),$B$677=1),$AY$1124,HLOOKUP(INDIRECT(ADDRESS(2,COLUMN())),OFFSET($BN$2,0,0,ROW()-1,60),ROW()-1,FALSE))</f>
        <v>47.322030069999997</v>
      </c>
      <c r="AZ462">
        <f ca="1">IF(AND(ISNUMBER($AZ$1124),$B$677=1),$AZ$1124,HLOOKUP(INDIRECT(ADDRESS(2,COLUMN())),OFFSET($BN$2,0,0,ROW()-1,60),ROW()-1,FALSE))</f>
        <v>65.751893530000004</v>
      </c>
      <c r="BA462">
        <f ca="1">IF(AND(ISNUMBER($BA$1124),$B$677=1),$BA$1124,HLOOKUP(INDIRECT(ADDRESS(2,COLUMN())),OFFSET($BN$2,0,0,ROW()-1,60),ROW()-1,FALSE))</f>
        <v>39.072629390000003</v>
      </c>
      <c r="BB462">
        <f ca="1">IF(AND(ISNUMBER($BB$1124),$B$677=1),$BB$1124,HLOOKUP(INDIRECT(ADDRESS(2,COLUMN())),OFFSET($BN$2,0,0,ROW()-1,60),ROW()-1,FALSE))</f>
        <v>39.119436710000002</v>
      </c>
      <c r="BC462">
        <f ca="1">IF(AND(ISNUMBER($BC$1124),$B$677=1),$BC$1124,HLOOKUP(INDIRECT(ADDRESS(2,COLUMN())),OFFSET($BN$2,0,0,ROW()-1,60),ROW()-1,FALSE))</f>
        <v>24.049333520000001</v>
      </c>
      <c r="BD462">
        <f ca="1">IF(AND(ISNUMBER($BD$1124),$B$677=1),$BD$1124,HLOOKUP(INDIRECT(ADDRESS(2,COLUMN())),OFFSET($BN$2,0,0,ROW()-1,60),ROW()-1,FALSE))</f>
        <v>19.412729590000001</v>
      </c>
      <c r="BE462">
        <f ca="1">IF(AND(ISNUMBER($BE$1124),$B$677=1),$BE$1124,HLOOKUP(INDIRECT(ADDRESS(2,COLUMN())),OFFSET($BN$2,0,0,ROW()-1,60),ROW()-1,FALSE))</f>
        <v>27.582497419999999</v>
      </c>
      <c r="BF462">
        <f ca="1">IF(AND(ISNUMBER($BF$1124),$B$677=1),$BF$1124,HLOOKUP(INDIRECT(ADDRESS(2,COLUMN())),OFFSET($BN$2,0,0,ROW()-1,60),ROW()-1,FALSE))</f>
        <v>40.042997960000001</v>
      </c>
      <c r="BG462">
        <f ca="1">IF(AND(ISNUMBER($BG$1124),$B$677=1),$BG$1124,HLOOKUP(INDIRECT(ADDRESS(2,COLUMN())),OFFSET($BN$2,0,0,ROW()-1,60),ROW()-1,FALSE))</f>
        <v>39.298816379999998</v>
      </c>
      <c r="BH462">
        <f ca="1">IF(AND(ISNUMBER($BH$1124),$B$677=1),$BH$1124,HLOOKUP(INDIRECT(ADDRESS(2,COLUMN())),OFFSET($BN$2,0,0,ROW()-1,60),ROW()-1,FALSE))</f>
        <v>16.125101870000002</v>
      </c>
      <c r="BI462" t="str">
        <f ca="1">IF(AND(ISNUMBER($BI$1124),$B$677=1),$BI$1124,HLOOKUP(INDIRECT(ADDRESS(2,COLUMN())),OFFSET($BN$2,0,0,ROW()-1,60),ROW()-1,FALSE))</f>
        <v/>
      </c>
      <c r="BJ462" t="str">
        <f ca="1">IF(AND(ISNUMBER($BJ$1124),$B$677=1),$BJ$1124,HLOOKUP(INDIRECT(ADDRESS(2,COLUMN())),OFFSET($BN$2,0,0,ROW()-1,60),ROW()-1,FALSE))</f>
        <v/>
      </c>
      <c r="BK462" t="str">
        <f ca="1">IF(AND(ISNUMBER($BK$1124),$B$677=1),$BK$1124,HLOOKUP(INDIRECT(ADDRESS(2,COLUMN())),OFFSET($BN$2,0,0,ROW()-1,60),ROW()-1,FALSE))</f>
        <v/>
      </c>
      <c r="BL462" t="str">
        <f ca="1">IF(AND(ISNUMBER($BL$1124),$B$677=1),$BL$1124,HLOOKUP(INDIRECT(ADDRESS(2,COLUMN())),OFFSET($BN$2,0,0,ROW()-1,60),ROW()-1,FALSE))</f>
        <v/>
      </c>
      <c r="BM462" t="str">
        <f ca="1">IF(AND(ISNUMBER($BM$1124),$B$677=1),$BM$1124,HLOOKUP(INDIRECT(ADDRESS(2,COLUMN())),OFFSET($BN$2,0,0,ROW()-1,60),ROW()-1,FALSE))</f>
        <v/>
      </c>
      <c r="BN462" t="str">
        <f>""</f>
        <v/>
      </c>
      <c r="BO462" t="str">
        <f>""</f>
        <v/>
      </c>
      <c r="BP462">
        <f>4.445331617</f>
        <v>4.4453316169999999</v>
      </c>
      <c r="BQ462">
        <f>6.950230685</f>
        <v>6.9502306850000002</v>
      </c>
      <c r="BR462">
        <f>4.445762793</f>
        <v>4.4457627930000001</v>
      </c>
      <c r="BS462">
        <f>4.346368415</f>
        <v>4.3463684149999997</v>
      </c>
      <c r="BT462">
        <f>4.543308879</f>
        <v>4.5433088789999996</v>
      </c>
      <c r="BU462">
        <f>4.120254729</f>
        <v>4.120254729</v>
      </c>
      <c r="BV462">
        <f>4.223338696</f>
        <v>4.2233386959999999</v>
      </c>
      <c r="BW462">
        <f>4.627387123</f>
        <v>4.6273871230000001</v>
      </c>
      <c r="BX462">
        <f>4.438015369</f>
        <v>4.4380153690000004</v>
      </c>
      <c r="BY462">
        <f>4.456396866</f>
        <v>4.4563968660000004</v>
      </c>
      <c r="BZ462">
        <f>5.892236843</f>
        <v>5.8922368430000001</v>
      </c>
      <c r="CA462">
        <f>6.982603818</f>
        <v>6.9826038180000003</v>
      </c>
      <c r="CB462">
        <f>5.876389514</f>
        <v>5.8763895140000004</v>
      </c>
      <c r="CC462">
        <f>8.842872353</f>
        <v>8.8428723530000006</v>
      </c>
      <c r="CD462">
        <f>10.46180217</f>
        <v>10.46180217</v>
      </c>
      <c r="CE462">
        <f>9.469641237</f>
        <v>9.4696412369999994</v>
      </c>
      <c r="CF462">
        <f>10.34512497</f>
        <v>10.345124970000001</v>
      </c>
      <c r="CG462">
        <f>11.14997982</f>
        <v>11.14997982</v>
      </c>
      <c r="CH462">
        <f>12.38285877</f>
        <v>12.38285877</v>
      </c>
      <c r="CI462">
        <f>19.17795903</f>
        <v>19.17795903</v>
      </c>
      <c r="CJ462">
        <f>19.42934388</f>
        <v>19.429343880000001</v>
      </c>
      <c r="CK462">
        <f>23.22983487</f>
        <v>23.229834870000001</v>
      </c>
      <c r="CL462">
        <f>26.61066186</f>
        <v>26.61066186</v>
      </c>
      <c r="CM462">
        <f>25.22874139</f>
        <v>25.22874139</v>
      </c>
      <c r="CN462">
        <f>35.45962056</f>
        <v>35.459620559999998</v>
      </c>
      <c r="CO462">
        <f>53.39737741</f>
        <v>53.397377409999997</v>
      </c>
      <c r="CP462">
        <f>42.79492779</f>
        <v>42.794927790000003</v>
      </c>
      <c r="CQ462">
        <f>14.68977219</f>
        <v>14.689772189999999</v>
      </c>
      <c r="CR462">
        <f>8.26029594</f>
        <v>8.2602959400000007</v>
      </c>
      <c r="CS462">
        <f>6.8046075</f>
        <v>6.8046075000000004</v>
      </c>
      <c r="CT462">
        <f>10.26356268</f>
        <v>10.26356268</v>
      </c>
      <c r="CU462">
        <f>10.17095535</f>
        <v>10.17095535</v>
      </c>
      <c r="CV462">
        <f>10.95416482</f>
        <v>10.954164820000001</v>
      </c>
      <c r="CW462">
        <f>8.877390815</f>
        <v>8.877390815</v>
      </c>
      <c r="CX462">
        <f>13.22426872</f>
        <v>13.22426872</v>
      </c>
      <c r="CY462">
        <f>25.46723487</f>
        <v>25.467234869999999</v>
      </c>
      <c r="CZ462">
        <f>20.50551143</f>
        <v>20.505511429999999</v>
      </c>
      <c r="DA462">
        <f>175.5592254</f>
        <v>175.5592254</v>
      </c>
      <c r="DB462" t="str">
        <f>""</f>
        <v/>
      </c>
      <c r="DC462" t="str">
        <f>""</f>
        <v/>
      </c>
      <c r="DD462">
        <f>18.45509482</f>
        <v>18.455094819999999</v>
      </c>
      <c r="DE462">
        <f>15.92816272</f>
        <v>15.92816272</v>
      </c>
      <c r="DF462">
        <f>23.57208369</f>
        <v>23.572083689999999</v>
      </c>
      <c r="DG462">
        <f>47.32203007</f>
        <v>47.322030069999997</v>
      </c>
      <c r="DH462">
        <f>65.75189353</f>
        <v>65.751893530000004</v>
      </c>
      <c r="DI462">
        <f>39.07262939</f>
        <v>39.072629390000003</v>
      </c>
      <c r="DJ462">
        <f>39.11943671</f>
        <v>39.119436710000002</v>
      </c>
      <c r="DK462">
        <f>24.04933352</f>
        <v>24.049333520000001</v>
      </c>
      <c r="DL462">
        <f>19.41272959</f>
        <v>19.412729590000001</v>
      </c>
      <c r="DM462">
        <f>27.58249742</f>
        <v>27.582497419999999</v>
      </c>
      <c r="DN462">
        <f>40.04299796</f>
        <v>40.042997960000001</v>
      </c>
      <c r="DO462">
        <f>39.29881638</f>
        <v>39.298816379999998</v>
      </c>
      <c r="DP462">
        <f>16.12510187</f>
        <v>16.125101870000002</v>
      </c>
      <c r="DQ462" t="str">
        <f>""</f>
        <v/>
      </c>
      <c r="DR462" t="str">
        <f>""</f>
        <v/>
      </c>
      <c r="DS462" t="str">
        <f>""</f>
        <v/>
      </c>
      <c r="DT462" t="str">
        <f>""</f>
        <v/>
      </c>
      <c r="DU462" t="str">
        <f>""</f>
        <v/>
      </c>
    </row>
    <row r="463" spans="1:125" x14ac:dyDescent="0.25">
      <c r="A463" t="str">
        <f>"    Daihatsu Motor Co Ltd"</f>
        <v xml:space="preserve">    Daihatsu Motor Co Ltd</v>
      </c>
      <c r="B463" t="str">
        <f>"7262 JP Equity"</f>
        <v>7262 JP Equity</v>
      </c>
      <c r="C463" t="str">
        <f t="shared" si="33"/>
        <v>RR476</v>
      </c>
      <c r="D463" t="str">
        <f t="shared" si="34"/>
        <v>EV_TO_T12M_NET_INCOME</v>
      </c>
      <c r="E463" t="str">
        <f t="shared" si="35"/>
        <v>Dynamic</v>
      </c>
      <c r="F463" t="str">
        <f ca="1">IF(AND(ISNUMBER($F$1125),$B$677=1),$F$1125,HLOOKUP(INDIRECT(ADDRESS(2,COLUMN())),OFFSET($BN$2,0,0,ROW()-1,60),ROW()-1,FALSE))</f>
        <v/>
      </c>
      <c r="G463" t="str">
        <f ca="1">IF(AND(ISNUMBER($G$1125),$B$677=1),$G$1125,HLOOKUP(INDIRECT(ADDRESS(2,COLUMN())),OFFSET($BN$2,0,0,ROW()-1,60),ROW()-1,FALSE))</f>
        <v/>
      </c>
      <c r="H463" t="str">
        <f ca="1">IF(AND(ISNUMBER($H$1125),$B$677=1),$H$1125,HLOOKUP(INDIRECT(ADDRESS(2,COLUMN())),OFFSET($BN$2,0,0,ROW()-1,60),ROW()-1,FALSE))</f>
        <v/>
      </c>
      <c r="I463" t="str">
        <f ca="1">IF(AND(ISNUMBER($I$1125),$B$677=1),$I$1125,HLOOKUP(INDIRECT(ADDRESS(2,COLUMN())),OFFSET($BN$2,0,0,ROW()-1,60),ROW()-1,FALSE))</f>
        <v/>
      </c>
      <c r="J463" t="str">
        <f ca="1">IF(AND(ISNUMBER($J$1125),$B$677=1),$J$1125,HLOOKUP(INDIRECT(ADDRESS(2,COLUMN())),OFFSET($BN$2,0,0,ROW()-1,60),ROW()-1,FALSE))</f>
        <v/>
      </c>
      <c r="K463" t="str">
        <f ca="1">IF(AND(ISNUMBER($K$1125),$B$677=1),$K$1125,HLOOKUP(INDIRECT(ADDRESS(2,COLUMN())),OFFSET($BN$2,0,0,ROW()-1,60),ROW()-1,FALSE))</f>
        <v/>
      </c>
      <c r="L463" t="str">
        <f ca="1">IF(AND(ISNUMBER($L$1125),$B$677=1),$L$1125,HLOOKUP(INDIRECT(ADDRESS(2,COLUMN())),OFFSET($BN$2,0,0,ROW()-1,60),ROW()-1,FALSE))</f>
        <v/>
      </c>
      <c r="M463" t="str">
        <f ca="1">IF(AND(ISNUMBER($M$1125),$B$677=1),$M$1125,HLOOKUP(INDIRECT(ADDRESS(2,COLUMN())),OFFSET($BN$2,0,0,ROW()-1,60),ROW()-1,FALSE))</f>
        <v/>
      </c>
      <c r="N463" t="str">
        <f ca="1">IF(AND(ISNUMBER($N$1125),$B$677=1),$N$1125,HLOOKUP(INDIRECT(ADDRESS(2,COLUMN())),OFFSET($BN$2,0,0,ROW()-1,60),ROW()-1,FALSE))</f>
        <v/>
      </c>
      <c r="O463" t="str">
        <f ca="1">IF(AND(ISNUMBER($O$1125),$B$677=1),$O$1125,HLOOKUP(INDIRECT(ADDRESS(2,COLUMN())),OFFSET($BN$2,0,0,ROW()-1,60),ROW()-1,FALSE))</f>
        <v/>
      </c>
      <c r="P463" t="str">
        <f ca="1">IF(AND(ISNUMBER($P$1125),$B$677=1),$P$1125,HLOOKUP(INDIRECT(ADDRESS(2,COLUMN())),OFFSET($BN$2,0,0,ROW()-1,60),ROW()-1,FALSE))</f>
        <v/>
      </c>
      <c r="Q463" t="str">
        <f ca="1">IF(AND(ISNUMBER($Q$1125),$B$677=1),$Q$1125,HLOOKUP(INDIRECT(ADDRESS(2,COLUMN())),OFFSET($BN$2,0,0,ROW()-1,60),ROW()-1,FALSE))</f>
        <v/>
      </c>
      <c r="R463">
        <f ca="1">IF(AND(ISNUMBER($R$1125),$B$677=1),$R$1125,HLOOKUP(INDIRECT(ADDRESS(2,COLUMN())),OFFSET($BN$2,0,0,ROW()-1,60),ROW()-1,FALSE))</f>
        <v>20.96676544</v>
      </c>
      <c r="S463">
        <f ca="1">IF(AND(ISNUMBER($S$1125),$B$677=1),$S$1125,HLOOKUP(INDIRECT(ADDRESS(2,COLUMN())),OFFSET($BN$2,0,0,ROW()-1,60),ROW()-1,FALSE))</f>
        <v>14.832428630000001</v>
      </c>
      <c r="T463">
        <f ca="1">IF(AND(ISNUMBER($T$1125),$B$677=1),$T$1125,HLOOKUP(INDIRECT(ADDRESS(2,COLUMN())),OFFSET($BN$2,0,0,ROW()-1,60),ROW()-1,FALSE))</f>
        <v>13.599896660000001</v>
      </c>
      <c r="U463">
        <f ca="1">IF(AND(ISNUMBER($U$1125),$B$677=1),$U$1125,HLOOKUP(INDIRECT(ADDRESS(2,COLUMN())),OFFSET($BN$2,0,0,ROW()-1,60),ROW()-1,FALSE))</f>
        <v>16.126606259999999</v>
      </c>
      <c r="V463">
        <f ca="1">IF(AND(ISNUMBER($V$1125),$B$677=1),$V$1125,HLOOKUP(INDIRECT(ADDRESS(2,COLUMN())),OFFSET($BN$2,0,0,ROW()-1,60),ROW()-1,FALSE))</f>
        <v>14.26253043</v>
      </c>
      <c r="W463">
        <f ca="1">IF(AND(ISNUMBER($W$1125),$B$677=1),$W$1125,HLOOKUP(INDIRECT(ADDRESS(2,COLUMN())),OFFSET($BN$2,0,0,ROW()-1,60),ROW()-1,FALSE))</f>
        <v>13.981732770000001</v>
      </c>
      <c r="X463">
        <f ca="1">IF(AND(ISNUMBER($X$1125),$B$677=1),$X$1125,HLOOKUP(INDIRECT(ADDRESS(2,COLUMN())),OFFSET($BN$2,0,0,ROW()-1,60),ROW()-1,FALSE))</f>
        <v>13.654262210000001</v>
      </c>
      <c r="Y463">
        <f ca="1">IF(AND(ISNUMBER($Y$1125),$B$677=1),$Y$1125,HLOOKUP(INDIRECT(ADDRESS(2,COLUMN())),OFFSET($BN$2,0,0,ROW()-1,60),ROW()-1,FALSE))</f>
        <v>12.656401280000001</v>
      </c>
      <c r="Z463">
        <f ca="1">IF(AND(ISNUMBER($Z$1125),$B$677=1),$Z$1125,HLOOKUP(INDIRECT(ADDRESS(2,COLUMN())),OFFSET($BN$2,0,0,ROW()-1,60),ROW()-1,FALSE))</f>
        <v>10.94092032</v>
      </c>
      <c r="AA463">
        <f ca="1">IF(AND(ISNUMBER($AA$1125),$B$677=1),$AA$1125,HLOOKUP(INDIRECT(ADDRESS(2,COLUMN())),OFFSET($BN$2,0,0,ROW()-1,60),ROW()-1,FALSE))</f>
        <v>11.82242682</v>
      </c>
      <c r="AB463">
        <f ca="1">IF(AND(ISNUMBER($AB$1125),$B$677=1),$AB$1125,HLOOKUP(INDIRECT(ADDRESS(2,COLUMN())),OFFSET($BN$2,0,0,ROW()-1,60),ROW()-1,FALSE))</f>
        <v>12.957995990000001</v>
      </c>
      <c r="AC463">
        <f ca="1">IF(AND(ISNUMBER($AC$1125),$B$677=1),$AC$1125,HLOOKUP(INDIRECT(ADDRESS(2,COLUMN())),OFFSET($BN$2,0,0,ROW()-1,60),ROW()-1,FALSE))</f>
        <v>11.291540639999999</v>
      </c>
      <c r="AD463">
        <f ca="1">IF(AND(ISNUMBER($AD$1125),$B$677=1),$AD$1125,HLOOKUP(INDIRECT(ADDRESS(2,COLUMN())),OFFSET($BN$2,0,0,ROW()-1,60),ROW()-1,FALSE))</f>
        <v>11.93268555</v>
      </c>
      <c r="AE463">
        <f ca="1">IF(AND(ISNUMBER($AE$1125),$B$677=1),$AE$1125,HLOOKUP(INDIRECT(ADDRESS(2,COLUMN())),OFFSET($BN$2,0,0,ROW()-1,60),ROW()-1,FALSE))</f>
        <v>9.9823078499999998</v>
      </c>
      <c r="AF463">
        <f ca="1">IF(AND(ISNUMBER($AF$1125),$B$677=1),$AF$1125,HLOOKUP(INDIRECT(ADDRESS(2,COLUMN())),OFFSET($BN$2,0,0,ROW()-1,60),ROW()-1,FALSE))</f>
        <v>7.9987928789999998</v>
      </c>
      <c r="AG463">
        <f ca="1">IF(AND(ISNUMBER($AG$1125),$B$677=1),$AG$1125,HLOOKUP(INDIRECT(ADDRESS(2,COLUMN())),OFFSET($BN$2,0,0,ROW()-1,60),ROW()-1,FALSE))</f>
        <v>9.3381544200000004</v>
      </c>
      <c r="AH463">
        <f ca="1">IF(AND(ISNUMBER($AH$1125),$B$677=1),$AH$1125,HLOOKUP(INDIRECT(ADDRESS(2,COLUMN())),OFFSET($BN$2,0,0,ROW()-1,60),ROW()-1,FALSE))</f>
        <v>12.125945290000001</v>
      </c>
      <c r="AI463">
        <f ca="1">IF(AND(ISNUMBER($AI$1125),$B$677=1),$AI$1125,HLOOKUP(INDIRECT(ADDRESS(2,COLUMN())),OFFSET($BN$2,0,0,ROW()-1,60),ROW()-1,FALSE))</f>
        <v>14.74796201</v>
      </c>
      <c r="AJ463">
        <f ca="1">IF(AND(ISNUMBER($AJ$1125),$B$677=1),$AJ$1125,HLOOKUP(INDIRECT(ADDRESS(2,COLUMN())),OFFSET($BN$2,0,0,ROW()-1,60),ROW()-1,FALSE))</f>
        <v>16.378727739999999</v>
      </c>
      <c r="AK463">
        <f ca="1">IF(AND(ISNUMBER($AK$1125),$B$677=1),$AK$1125,HLOOKUP(INDIRECT(ADDRESS(2,COLUMN())),OFFSET($BN$2,0,0,ROW()-1,60),ROW()-1,FALSE))</f>
        <v>18.357068470000002</v>
      </c>
      <c r="AL463">
        <f ca="1">IF(AND(ISNUMBER($AL$1125),$B$677=1),$AL$1125,HLOOKUP(INDIRECT(ADDRESS(2,COLUMN())),OFFSET($BN$2,0,0,ROW()-1,60),ROW()-1,FALSE))</f>
        <v>12.83495173</v>
      </c>
      <c r="AM463">
        <f ca="1">IF(AND(ISNUMBER($AM$1125),$B$677=1),$AM$1125,HLOOKUP(INDIRECT(ADDRESS(2,COLUMN())),OFFSET($BN$2,0,0,ROW()-1,60),ROW()-1,FALSE))</f>
        <v>15.475881899999999</v>
      </c>
      <c r="AN463">
        <f ca="1">IF(AND(ISNUMBER($AN$1125),$B$677=1),$AN$1125,HLOOKUP(INDIRECT(ADDRESS(2,COLUMN())),OFFSET($BN$2,0,0,ROW()-1,60),ROW()-1,FALSE))</f>
        <v>14.97950777</v>
      </c>
      <c r="AO463">
        <f ca="1">IF(AND(ISNUMBER($AO$1125),$B$677=1),$AO$1125,HLOOKUP(INDIRECT(ADDRESS(2,COLUMN())),OFFSET($BN$2,0,0,ROW()-1,60),ROW()-1,FALSE))</f>
        <v>13.95730208</v>
      </c>
      <c r="AP463">
        <f ca="1">IF(AND(ISNUMBER($AP$1125),$B$677=1),$AP$1125,HLOOKUP(INDIRECT(ADDRESS(2,COLUMN())),OFFSET($BN$2,0,0,ROW()-1,60),ROW()-1,FALSE))</f>
        <v>27.758947509999999</v>
      </c>
      <c r="AQ463">
        <f ca="1">IF(AND(ISNUMBER($AQ$1125),$B$677=1),$AQ$1125,HLOOKUP(INDIRECT(ADDRESS(2,COLUMN())),OFFSET($BN$2,0,0,ROW()-1,60),ROW()-1,FALSE))</f>
        <v>31.184642780000001</v>
      </c>
      <c r="AR463">
        <f ca="1">IF(AND(ISNUMBER($AR$1125),$B$677=1),$AR$1125,HLOOKUP(INDIRECT(ADDRESS(2,COLUMN())),OFFSET($BN$2,0,0,ROW()-1,60),ROW()-1,FALSE))</f>
        <v>51.212147209999998</v>
      </c>
      <c r="AS463">
        <f ca="1">IF(AND(ISNUMBER($AS$1125),$B$677=1),$AS$1125,HLOOKUP(INDIRECT(ADDRESS(2,COLUMN())),OFFSET($BN$2,0,0,ROW()-1,60),ROW()-1,FALSE))</f>
        <v>42.407156800000003</v>
      </c>
      <c r="AT463">
        <f ca="1">IF(AND(ISNUMBER($AT$1125),$B$677=1),$AT$1125,HLOOKUP(INDIRECT(ADDRESS(2,COLUMN())),OFFSET($BN$2,0,0,ROW()-1,60),ROW()-1,FALSE))</f>
        <v>25.151289859999999</v>
      </c>
      <c r="AU463">
        <f ca="1">IF(AND(ISNUMBER($AU$1125),$B$677=1),$AU$1125,HLOOKUP(INDIRECT(ADDRESS(2,COLUMN())),OFFSET($BN$2,0,0,ROW()-1,60),ROW()-1,FALSE))</f>
        <v>15.61591612</v>
      </c>
      <c r="AV463">
        <f ca="1">IF(AND(ISNUMBER($AV$1125),$B$677=1),$AV$1125,HLOOKUP(INDIRECT(ADDRESS(2,COLUMN())),OFFSET($BN$2,0,0,ROW()-1,60),ROW()-1,FALSE))</f>
        <v>17.292156259999999</v>
      </c>
      <c r="AW463">
        <f ca="1">IF(AND(ISNUMBER($AW$1125),$B$677=1),$AW$1125,HLOOKUP(INDIRECT(ADDRESS(2,COLUMN())),OFFSET($BN$2,0,0,ROW()-1,60),ROW()-1,FALSE))</f>
        <v>18.845615169999999</v>
      </c>
      <c r="AX463">
        <f ca="1">IF(AND(ISNUMBER($AX$1125),$B$677=1),$AX$1125,HLOOKUP(INDIRECT(ADDRESS(2,COLUMN())),OFFSET($BN$2,0,0,ROW()-1,60),ROW()-1,FALSE))</f>
        <v>20.397496409999999</v>
      </c>
      <c r="AY463">
        <f ca="1">IF(AND(ISNUMBER($AY$1125),$B$677=1),$AY$1125,HLOOKUP(INDIRECT(ADDRESS(2,COLUMN())),OFFSET($BN$2,0,0,ROW()-1,60),ROW()-1,FALSE))</f>
        <v>16.7551971</v>
      </c>
      <c r="AZ463">
        <f ca="1">IF(AND(ISNUMBER($AZ$1125),$B$677=1),$AZ$1125,HLOOKUP(INDIRECT(ADDRESS(2,COLUMN())),OFFSET($BN$2,0,0,ROW()-1,60),ROW()-1,FALSE))</f>
        <v>19.64515652</v>
      </c>
      <c r="BA463">
        <f ca="1">IF(AND(ISNUMBER($BA$1125),$B$677=1),$BA$1125,HLOOKUP(INDIRECT(ADDRESS(2,COLUMN())),OFFSET($BN$2,0,0,ROW()-1,60),ROW()-1,FALSE))</f>
        <v>17.917729900000001</v>
      </c>
      <c r="BB463">
        <f ca="1">IF(AND(ISNUMBER($BB$1125),$B$677=1),$BB$1125,HLOOKUP(INDIRECT(ADDRESS(2,COLUMN())),OFFSET($BN$2,0,0,ROW()-1,60),ROW()-1,FALSE))</f>
        <v>18.88523511</v>
      </c>
      <c r="BC463">
        <f ca="1">IF(AND(ISNUMBER($BC$1125),$B$677=1),$BC$1125,HLOOKUP(INDIRECT(ADDRESS(2,COLUMN())),OFFSET($BN$2,0,0,ROW()-1,60),ROW()-1,FALSE))</f>
        <v>18.999963229999999</v>
      </c>
      <c r="BD463">
        <f ca="1">IF(AND(ISNUMBER($BD$1125),$B$677=1),$BD$1125,HLOOKUP(INDIRECT(ADDRESS(2,COLUMN())),OFFSET($BN$2,0,0,ROW()-1,60),ROW()-1,FALSE))</f>
        <v>18.81237398</v>
      </c>
      <c r="BE463">
        <f ca="1">IF(AND(ISNUMBER($BE$1125),$B$677=1),$BE$1125,HLOOKUP(INDIRECT(ADDRESS(2,COLUMN())),OFFSET($BN$2,0,0,ROW()-1,60),ROW()-1,FALSE))</f>
        <v>16.218331509999999</v>
      </c>
      <c r="BF463">
        <f ca="1">IF(AND(ISNUMBER($BF$1125),$B$677=1),$BF$1125,HLOOKUP(INDIRECT(ADDRESS(2,COLUMN())),OFFSET($BN$2,0,0,ROW()-1,60),ROW()-1,FALSE))</f>
        <v>20.566351560000001</v>
      </c>
      <c r="BG463">
        <f ca="1">IF(AND(ISNUMBER($BG$1125),$B$677=1),$BG$1125,HLOOKUP(INDIRECT(ADDRESS(2,COLUMN())),OFFSET($BN$2,0,0,ROW()-1,60),ROW()-1,FALSE))</f>
        <v>26.04600873</v>
      </c>
      <c r="BH463">
        <f ca="1">IF(AND(ISNUMBER($BH$1125),$B$677=1),$BH$1125,HLOOKUP(INDIRECT(ADDRESS(2,COLUMN())),OFFSET($BN$2,0,0,ROW()-1,60),ROW()-1,FALSE))</f>
        <v>23.837703359999999</v>
      </c>
      <c r="BI463" t="str">
        <f ca="1">IF(AND(ISNUMBER($BI$1125),$B$677=1),$BI$1125,HLOOKUP(INDIRECT(ADDRESS(2,COLUMN())),OFFSET($BN$2,0,0,ROW()-1,60),ROW()-1,FALSE))</f>
        <v/>
      </c>
      <c r="BJ463">
        <f ca="1">IF(AND(ISNUMBER($BJ$1125),$B$677=1),$BJ$1125,HLOOKUP(INDIRECT(ADDRESS(2,COLUMN())),OFFSET($BN$2,0,0,ROW()-1,60),ROW()-1,FALSE))</f>
        <v>19.764283639999999</v>
      </c>
      <c r="BK463" t="str">
        <f ca="1">IF(AND(ISNUMBER($BK$1125),$B$677=1),$BK$1125,HLOOKUP(INDIRECT(ADDRESS(2,COLUMN())),OFFSET($BN$2,0,0,ROW()-1,60),ROW()-1,FALSE))</f>
        <v/>
      </c>
      <c r="BL463" t="str">
        <f ca="1">IF(AND(ISNUMBER($BL$1125),$B$677=1),$BL$1125,HLOOKUP(INDIRECT(ADDRESS(2,COLUMN())),OFFSET($BN$2,0,0,ROW()-1,60),ROW()-1,FALSE))</f>
        <v/>
      </c>
      <c r="BM463" t="str">
        <f ca="1">IF(AND(ISNUMBER($BM$1125),$B$677=1),$BM$1125,HLOOKUP(INDIRECT(ADDRESS(2,COLUMN())),OFFSET($BN$2,0,0,ROW()-1,60),ROW()-1,FALSE))</f>
        <v/>
      </c>
      <c r="BN463" t="str">
        <f>""</f>
        <v/>
      </c>
      <c r="BO463" t="str">
        <f>""</f>
        <v/>
      </c>
      <c r="BP463" t="str">
        <f>""</f>
        <v/>
      </c>
      <c r="BQ463" t="str">
        <f>""</f>
        <v/>
      </c>
      <c r="BR463" t="str">
        <f>""</f>
        <v/>
      </c>
      <c r="BS463" t="str">
        <f>""</f>
        <v/>
      </c>
      <c r="BT463" t="str">
        <f>""</f>
        <v/>
      </c>
      <c r="BU463" t="str">
        <f>""</f>
        <v/>
      </c>
      <c r="BV463" t="str">
        <f>""</f>
        <v/>
      </c>
      <c r="BW463" t="str">
        <f>""</f>
        <v/>
      </c>
      <c r="BX463" t="str">
        <f>""</f>
        <v/>
      </c>
      <c r="BY463" t="str">
        <f>""</f>
        <v/>
      </c>
      <c r="BZ463">
        <f>20.96676544</f>
        <v>20.96676544</v>
      </c>
      <c r="CA463">
        <f>14.83242863</f>
        <v>14.832428630000001</v>
      </c>
      <c r="CB463">
        <f>13.59989666</f>
        <v>13.599896660000001</v>
      </c>
      <c r="CC463">
        <f>16.12660626</f>
        <v>16.126606259999999</v>
      </c>
      <c r="CD463">
        <f>14.26253043</f>
        <v>14.26253043</v>
      </c>
      <c r="CE463">
        <f>13.98173277</f>
        <v>13.981732770000001</v>
      </c>
      <c r="CF463">
        <f>13.65426221</f>
        <v>13.654262210000001</v>
      </c>
      <c r="CG463">
        <f>12.65640128</f>
        <v>12.656401280000001</v>
      </c>
      <c r="CH463">
        <f>10.94092032</f>
        <v>10.94092032</v>
      </c>
      <c r="CI463">
        <f>11.82242682</f>
        <v>11.82242682</v>
      </c>
      <c r="CJ463">
        <f>12.95799599</f>
        <v>12.957995990000001</v>
      </c>
      <c r="CK463">
        <f>11.29154064</f>
        <v>11.291540639999999</v>
      </c>
      <c r="CL463">
        <f>11.93268555</f>
        <v>11.93268555</v>
      </c>
      <c r="CM463">
        <f>9.98230785</f>
        <v>9.9823078499999998</v>
      </c>
      <c r="CN463">
        <f>7.998792879</f>
        <v>7.9987928789999998</v>
      </c>
      <c r="CO463">
        <f>9.33815442</f>
        <v>9.3381544200000004</v>
      </c>
      <c r="CP463">
        <f>12.12594529</f>
        <v>12.125945290000001</v>
      </c>
      <c r="CQ463">
        <f>14.74796201</f>
        <v>14.74796201</v>
      </c>
      <c r="CR463">
        <f>16.37872774</f>
        <v>16.378727739999999</v>
      </c>
      <c r="CS463">
        <f>18.35706847</f>
        <v>18.357068470000002</v>
      </c>
      <c r="CT463">
        <f>12.83495173</f>
        <v>12.83495173</v>
      </c>
      <c r="CU463">
        <f>15.4758819</f>
        <v>15.475881899999999</v>
      </c>
      <c r="CV463">
        <f>14.97950777</f>
        <v>14.97950777</v>
      </c>
      <c r="CW463">
        <f>13.95730208</f>
        <v>13.95730208</v>
      </c>
      <c r="CX463">
        <f>27.75894751</f>
        <v>27.758947509999999</v>
      </c>
      <c r="CY463">
        <f>31.18464278</f>
        <v>31.184642780000001</v>
      </c>
      <c r="CZ463">
        <f>51.21214721</f>
        <v>51.212147209999998</v>
      </c>
      <c r="DA463">
        <f>42.4071568</f>
        <v>42.407156800000003</v>
      </c>
      <c r="DB463">
        <f>25.15128986</f>
        <v>25.151289859999999</v>
      </c>
      <c r="DC463">
        <f>15.61591612</f>
        <v>15.61591612</v>
      </c>
      <c r="DD463">
        <f>17.29215626</f>
        <v>17.292156259999999</v>
      </c>
      <c r="DE463">
        <f>18.84561517</f>
        <v>18.845615169999999</v>
      </c>
      <c r="DF463">
        <f>20.39749641</f>
        <v>20.397496409999999</v>
      </c>
      <c r="DG463">
        <f>16.7551971</f>
        <v>16.7551971</v>
      </c>
      <c r="DH463">
        <f>19.64515652</f>
        <v>19.64515652</v>
      </c>
      <c r="DI463">
        <f>17.9177299</f>
        <v>17.917729900000001</v>
      </c>
      <c r="DJ463">
        <f>18.88523511</f>
        <v>18.88523511</v>
      </c>
      <c r="DK463">
        <f>18.99996323</f>
        <v>18.999963229999999</v>
      </c>
      <c r="DL463">
        <f>18.81237398</f>
        <v>18.81237398</v>
      </c>
      <c r="DM463">
        <f>16.21833151</f>
        <v>16.218331509999999</v>
      </c>
      <c r="DN463">
        <f>20.56635156</f>
        <v>20.566351560000001</v>
      </c>
      <c r="DO463">
        <f>26.04600873</f>
        <v>26.04600873</v>
      </c>
      <c r="DP463">
        <f>23.83770336</f>
        <v>23.837703359999999</v>
      </c>
      <c r="DQ463" t="str">
        <f>""</f>
        <v/>
      </c>
      <c r="DR463">
        <f>19.76428364</f>
        <v>19.764283639999999</v>
      </c>
      <c r="DS463" t="str">
        <f>""</f>
        <v/>
      </c>
      <c r="DT463" t="str">
        <f>""</f>
        <v/>
      </c>
      <c r="DU463" t="str">
        <f>""</f>
        <v/>
      </c>
    </row>
    <row r="464" spans="1:125" x14ac:dyDescent="0.25">
      <c r="A464" t="str">
        <f>"    Daimler AG"</f>
        <v xml:space="preserve">    Daimler AG</v>
      </c>
      <c r="B464" t="str">
        <f>"DAI GR Equity"</f>
        <v>DAI GR Equity</v>
      </c>
      <c r="C464" t="str">
        <f t="shared" si="33"/>
        <v>RR476</v>
      </c>
      <c r="D464" t="str">
        <f t="shared" si="34"/>
        <v>EV_TO_T12M_NET_INCOME</v>
      </c>
      <c r="E464" t="str">
        <f t="shared" si="35"/>
        <v>Dynamic</v>
      </c>
      <c r="F464" t="str">
        <f ca="1">IF(AND(ISNUMBER($F$1126),$B$677=1),$F$1126,HLOOKUP(INDIRECT(ADDRESS(2,COLUMN())),OFFSET($BN$2,0,0,ROW()-1,60),ROW()-1,FALSE))</f>
        <v/>
      </c>
      <c r="G464">
        <f ca="1">IF(AND(ISNUMBER($G$1126),$B$677=1),$G$1126,HLOOKUP(INDIRECT(ADDRESS(2,COLUMN())),OFFSET($BN$2,0,0,ROW()-1,60),ROW()-1,FALSE))</f>
        <v>4.3816664369999998</v>
      </c>
      <c r="H464">
        <f ca="1">IF(AND(ISNUMBER($H$1126),$B$677=1),$H$1126,HLOOKUP(INDIRECT(ADDRESS(2,COLUMN())),OFFSET($BN$2,0,0,ROW()-1,60),ROW()-1,FALSE))</f>
        <v>4.7550878780000003</v>
      </c>
      <c r="I464">
        <f ca="1">IF(AND(ISNUMBER($I$1126),$B$677=1),$I$1126,HLOOKUP(INDIRECT(ADDRESS(2,COLUMN())),OFFSET($BN$2,0,0,ROW()-1,60),ROW()-1,FALSE))</f>
        <v>4.444488357</v>
      </c>
      <c r="J464">
        <f ca="1">IF(AND(ISNUMBER($J$1126),$B$677=1),$J$1126,HLOOKUP(INDIRECT(ADDRESS(2,COLUMN())),OFFSET($BN$2,0,0,ROW()-1,60),ROW()-1,FALSE))</f>
        <v>5.2796858110000002</v>
      </c>
      <c r="K464">
        <f ca="1">IF(AND(ISNUMBER($K$1126),$B$677=1),$K$1126,HLOOKUP(INDIRECT(ADDRESS(2,COLUMN())),OFFSET($BN$2,0,0,ROW()-1,60),ROW()-1,FALSE))</f>
        <v>5.5395018489999996</v>
      </c>
      <c r="L464">
        <f ca="1">IF(AND(ISNUMBER($L$1126),$B$677=1),$L$1126,HLOOKUP(INDIRECT(ADDRESS(2,COLUMN())),OFFSET($BN$2,0,0,ROW()-1,60),ROW()-1,FALSE))</f>
        <v>5.0956682439999996</v>
      </c>
      <c r="M464">
        <f ca="1">IF(AND(ISNUMBER($M$1126),$B$677=1),$M$1126,HLOOKUP(INDIRECT(ADDRESS(2,COLUMN())),OFFSET($BN$2,0,0,ROW()-1,60),ROW()-1,FALSE))</f>
        <v>4.6787378139999998</v>
      </c>
      <c r="N464">
        <f ca="1">IF(AND(ISNUMBER($N$1126),$B$677=1),$N$1126,HLOOKUP(INDIRECT(ADDRESS(2,COLUMN())),OFFSET($BN$2,0,0,ROW()-1,60),ROW()-1,FALSE))</f>
        <v>5.0498953750000002</v>
      </c>
      <c r="O464">
        <f ca="1">IF(AND(ISNUMBER($O$1126),$B$677=1),$O$1126,HLOOKUP(INDIRECT(ADDRESS(2,COLUMN())),OFFSET($BN$2,0,0,ROW()-1,60),ROW()-1,FALSE))</f>
        <v>6.3278676989999996</v>
      </c>
      <c r="P464">
        <f ca="1">IF(AND(ISNUMBER($P$1126),$B$677=1),$P$1126,HLOOKUP(INDIRECT(ADDRESS(2,COLUMN())),OFFSET($BN$2,0,0,ROW()-1,60),ROW()-1,FALSE))</f>
        <v>5.7111031280000004</v>
      </c>
      <c r="Q464">
        <f ca="1">IF(AND(ISNUMBER($Q$1126),$B$677=1),$Q$1126,HLOOKUP(INDIRECT(ADDRESS(2,COLUMN())),OFFSET($BN$2,0,0,ROW()-1,60),ROW()-1,FALSE))</f>
        <v>4.780929295</v>
      </c>
      <c r="R464">
        <f ca="1">IF(AND(ISNUMBER($R$1126),$B$677=1),$R$1126,HLOOKUP(INDIRECT(ADDRESS(2,COLUMN())),OFFSET($BN$2,0,0,ROW()-1,60),ROW()-1,FALSE))</f>
        <v>6.6089769130000002</v>
      </c>
      <c r="S464">
        <f ca="1">IF(AND(ISNUMBER($S$1126),$B$677=1),$S$1126,HLOOKUP(INDIRECT(ADDRESS(2,COLUMN())),OFFSET($BN$2,0,0,ROW()-1,60),ROW()-1,FALSE))</f>
        <v>7.4740740739999998</v>
      </c>
      <c r="T464">
        <f ca="1">IF(AND(ISNUMBER($T$1126),$B$677=1),$T$1126,HLOOKUP(INDIRECT(ADDRESS(2,COLUMN())),OFFSET($BN$2,0,0,ROW()-1,60),ROW()-1,FALSE))</f>
        <v>6.1676933490000003</v>
      </c>
      <c r="U464">
        <f ca="1">IF(AND(ISNUMBER($U$1126),$B$677=1),$U$1126,HLOOKUP(INDIRECT(ADDRESS(2,COLUMN())),OFFSET($BN$2,0,0,ROW()-1,60),ROW()-1,FALSE))</f>
        <v>8.3371415110000004</v>
      </c>
      <c r="V464">
        <f ca="1">IF(AND(ISNUMBER($V$1126),$B$677=1),$V$1126,HLOOKUP(INDIRECT(ADDRESS(2,COLUMN())),OFFSET($BN$2,0,0,ROW()-1,60),ROW()-1,FALSE))</f>
        <v>9.2945747529999991</v>
      </c>
      <c r="W464">
        <f ca="1">IF(AND(ISNUMBER($W$1126),$B$677=1),$W$1126,HLOOKUP(INDIRECT(ADDRESS(2,COLUMN())),OFFSET($BN$2,0,0,ROW()-1,60),ROW()-1,FALSE))</f>
        <v>7.8888106870000003</v>
      </c>
      <c r="X464">
        <f ca="1">IF(AND(ISNUMBER($X$1126),$B$677=1),$X$1126,HLOOKUP(INDIRECT(ADDRESS(2,COLUMN())),OFFSET($BN$2,0,0,ROW()-1,60),ROW()-1,FALSE))</f>
        <v>5.8944676090000003</v>
      </c>
      <c r="Y464">
        <f ca="1">IF(AND(ISNUMBER($Y$1126),$B$677=1),$Y$1126,HLOOKUP(INDIRECT(ADDRESS(2,COLUMN())),OFFSET($BN$2,0,0,ROW()-1,60),ROW()-1,FALSE))</f>
        <v>8.6925240039999991</v>
      </c>
      <c r="Z464">
        <f ca="1">IF(AND(ISNUMBER($Z$1126),$B$677=1),$Z$1126,HLOOKUP(INDIRECT(ADDRESS(2,COLUMN())),OFFSET($BN$2,0,0,ROW()-1,60),ROW()-1,FALSE))</f>
        <v>7.6022007360000003</v>
      </c>
      <c r="AA464">
        <f ca="1">IF(AND(ISNUMBER($AA$1126),$B$677=1),$AA$1126,HLOOKUP(INDIRECT(ADDRESS(2,COLUMN())),OFFSET($BN$2,0,0,ROW()-1,60),ROW()-1,FALSE))</f>
        <v>7.4351066939999999</v>
      </c>
      <c r="AB464">
        <f ca="1">IF(AND(ISNUMBER($AB$1126),$B$677=1),$AB$1126,HLOOKUP(INDIRECT(ADDRESS(2,COLUMN())),OFFSET($BN$2,0,0,ROW()-1,60),ROW()-1,FALSE))</f>
        <v>5.9609412380000002</v>
      </c>
      <c r="AC464">
        <f ca="1">IF(AND(ISNUMBER($AC$1126),$B$677=1),$AC$1126,HLOOKUP(INDIRECT(ADDRESS(2,COLUMN())),OFFSET($BN$2,0,0,ROW()-1,60),ROW()-1,FALSE))</f>
        <v>5.0033839980000003</v>
      </c>
      <c r="AD464">
        <f ca="1">IF(AND(ISNUMBER($AD$1126),$B$677=1),$AD$1126,HLOOKUP(INDIRECT(ADDRESS(2,COLUMN())),OFFSET($BN$2,0,0,ROW()-1,60),ROW()-1,FALSE))</f>
        <v>5.9397062490000003</v>
      </c>
      <c r="AE464">
        <f ca="1">IF(AND(ISNUMBER($AE$1126),$B$677=1),$AE$1126,HLOOKUP(INDIRECT(ADDRESS(2,COLUMN())),OFFSET($BN$2,0,0,ROW()-1,60),ROW()-1,FALSE))</f>
        <v>4.9007828250000003</v>
      </c>
      <c r="AF464">
        <f ca="1">IF(AND(ISNUMBER($AF$1126),$B$677=1),$AF$1126,HLOOKUP(INDIRECT(ADDRESS(2,COLUMN())),OFFSET($BN$2,0,0,ROW()-1,60),ROW()-1,FALSE))</f>
        <v>5.4230934089999998</v>
      </c>
      <c r="AG464">
        <f ca="1">IF(AND(ISNUMBER($AG$1126),$B$677=1),$AG$1126,HLOOKUP(INDIRECT(ADDRESS(2,COLUMN())),OFFSET($BN$2,0,0,ROW()-1,60),ROW()-1,FALSE))</f>
        <v>4.740333476</v>
      </c>
      <c r="AH464">
        <f ca="1">IF(AND(ISNUMBER($AH$1126),$B$677=1),$AH$1126,HLOOKUP(INDIRECT(ADDRESS(2,COLUMN())),OFFSET($BN$2,0,0,ROW()-1,60),ROW()-1,FALSE))</f>
        <v>6.186713686</v>
      </c>
      <c r="AI464">
        <f ca="1">IF(AND(ISNUMBER($AI$1126),$B$677=1),$AI$1126,HLOOKUP(INDIRECT(ADDRESS(2,COLUMN())),OFFSET($BN$2,0,0,ROW()-1,60),ROW()-1,FALSE))</f>
        <v>4.0248625369999997</v>
      </c>
      <c r="AJ464">
        <f ca="1">IF(AND(ISNUMBER($AJ$1126),$B$677=1),$AJ$1126,HLOOKUP(INDIRECT(ADDRESS(2,COLUMN())),OFFSET($BN$2,0,0,ROW()-1,60),ROW()-1,FALSE))</f>
        <v>4.8058202720000001</v>
      </c>
      <c r="AK464">
        <f ca="1">IF(AND(ISNUMBER($AK$1126),$B$677=1),$AK$1126,HLOOKUP(INDIRECT(ADDRESS(2,COLUMN())),OFFSET($BN$2,0,0,ROW()-1,60),ROW()-1,FALSE))</f>
        <v>8.0169190320000006</v>
      </c>
      <c r="AL464">
        <f ca="1">IF(AND(ISNUMBER($AL$1126),$B$677=1),$AL$1126,HLOOKUP(INDIRECT(ADDRESS(2,COLUMN())),OFFSET($BN$2,0,0,ROW()-1,60),ROW()-1,FALSE))</f>
        <v>8.0447852760000007</v>
      </c>
      <c r="AM464">
        <f ca="1">IF(AND(ISNUMBER($AM$1126),$B$677=1),$AM$1126,HLOOKUP(INDIRECT(ADDRESS(2,COLUMN())),OFFSET($BN$2,0,0,ROW()-1,60),ROW()-1,FALSE))</f>
        <v>9.2015878170000001</v>
      </c>
      <c r="AN464">
        <f ca="1">IF(AND(ISNUMBER($AN$1126),$B$677=1),$AN$1126,HLOOKUP(INDIRECT(ADDRESS(2,COLUMN())),OFFSET($BN$2,0,0,ROW()-1,60),ROW()-1,FALSE))</f>
        <v>11.657109520000001</v>
      </c>
      <c r="AO464">
        <f ca="1">IF(AND(ISNUMBER($AO$1126),$B$677=1),$AO$1126,HLOOKUP(INDIRECT(ADDRESS(2,COLUMN())),OFFSET($BN$2,0,0,ROW()-1,60),ROW()-1,FALSE))</f>
        <v>21.041568099999999</v>
      </c>
      <c r="AP464" t="str">
        <f ca="1">IF(AND(ISNUMBER($AP$1126),$B$677=1),$AP$1126,HLOOKUP(INDIRECT(ADDRESS(2,COLUMN())),OFFSET($BN$2,0,0,ROW()-1,60),ROW()-1,FALSE))</f>
        <v/>
      </c>
      <c r="AQ464" t="str">
        <f ca="1">IF(AND(ISNUMBER($AQ$1126),$B$677=1),$AQ$1126,HLOOKUP(INDIRECT(ADDRESS(2,COLUMN())),OFFSET($BN$2,0,0,ROW()-1,60),ROW()-1,FALSE))</f>
        <v/>
      </c>
      <c r="AR464" t="str">
        <f ca="1">IF(AND(ISNUMBER($AR$1126),$B$677=1),$AR$1126,HLOOKUP(INDIRECT(ADDRESS(2,COLUMN())),OFFSET($BN$2,0,0,ROW()-1,60),ROW()-1,FALSE))</f>
        <v/>
      </c>
      <c r="AS464" t="str">
        <f ca="1">IF(AND(ISNUMBER($AS$1126),$B$677=1),$AS$1126,HLOOKUP(INDIRECT(ADDRESS(2,COLUMN())),OFFSET($BN$2,0,0,ROW()-1,60),ROW()-1,FALSE))</f>
        <v/>
      </c>
      <c r="AT464" t="str">
        <f ca="1">IF(AND(ISNUMBER($AT$1126),$B$677=1),$AT$1126,HLOOKUP(INDIRECT(ADDRESS(2,COLUMN())),OFFSET($BN$2,0,0,ROW()-1,60),ROW()-1,FALSE))</f>
        <v/>
      </c>
      <c r="AU464">
        <f ca="1">IF(AND(ISNUMBER($AU$1126),$B$677=1),$AU$1126,HLOOKUP(INDIRECT(ADDRESS(2,COLUMN())),OFFSET($BN$2,0,0,ROW()-1,60),ROW()-1,FALSE))</f>
        <v>61.857010389999999</v>
      </c>
      <c r="AV464">
        <f ca="1">IF(AND(ISNUMBER($AV$1126),$B$677=1),$AV$1126,HLOOKUP(INDIRECT(ADDRESS(2,COLUMN())),OFFSET($BN$2,0,0,ROW()-1,60),ROW()-1,FALSE))</f>
        <v>19.370747819999998</v>
      </c>
      <c r="AW464">
        <f ca="1">IF(AND(ISNUMBER($AW$1126),$B$677=1),$AW$1126,HLOOKUP(INDIRECT(ADDRESS(2,COLUMN())),OFFSET($BN$2,0,0,ROW()-1,60),ROW()-1,FALSE))</f>
        <v>30.480318499999999</v>
      </c>
      <c r="AX464">
        <f ca="1">IF(AND(ISNUMBER($AX$1126),$B$677=1),$AX$1126,HLOOKUP(INDIRECT(ADDRESS(2,COLUMN())),OFFSET($BN$2,0,0,ROW()-1,60),ROW()-1,FALSE))</f>
        <v>29.869033420000001</v>
      </c>
      <c r="AY464">
        <f ca="1">IF(AND(ISNUMBER($AY$1126),$B$677=1),$AY$1126,HLOOKUP(INDIRECT(ADDRESS(2,COLUMN())),OFFSET($BN$2,0,0,ROW()-1,60),ROW()-1,FALSE))</f>
        <v>28.028921839999999</v>
      </c>
      <c r="AZ464">
        <f ca="1">IF(AND(ISNUMBER($AZ$1126),$B$677=1),$AZ$1126,HLOOKUP(INDIRECT(ADDRESS(2,COLUMN())),OFFSET($BN$2,0,0,ROW()-1,60),ROW()-1,FALSE))</f>
        <v>52.537364760000003</v>
      </c>
      <c r="BA464">
        <f ca="1">IF(AND(ISNUMBER($BA$1126),$B$677=1),$BA$1126,HLOOKUP(INDIRECT(ADDRESS(2,COLUMN())),OFFSET($BN$2,0,0,ROW()-1,60),ROW()-1,FALSE))</f>
        <v>29.652354769999999</v>
      </c>
      <c r="BB464">
        <f ca="1">IF(AND(ISNUMBER($BB$1126),$B$677=1),$BB$1126,HLOOKUP(INDIRECT(ADDRESS(2,COLUMN())),OFFSET($BN$2,0,0,ROW()-1,60),ROW()-1,FALSE))</f>
        <v>30.80094137</v>
      </c>
      <c r="BC464">
        <f ca="1">IF(AND(ISNUMBER($BC$1126),$B$677=1),$BC$1126,HLOOKUP(INDIRECT(ADDRESS(2,COLUMN())),OFFSET($BN$2,0,0,ROW()-1,60),ROW()-1,FALSE))</f>
        <v>38.173611110000003</v>
      </c>
      <c r="BD464">
        <f ca="1">IF(AND(ISNUMBER($BD$1126),$B$677=1),$BD$1126,HLOOKUP(INDIRECT(ADDRESS(2,COLUMN())),OFFSET($BN$2,0,0,ROW()-1,60),ROW()-1,FALSE))</f>
        <v>23.234418489999999</v>
      </c>
      <c r="BE464">
        <f ca="1">IF(AND(ISNUMBER($BE$1126),$B$677=1),$BE$1126,HLOOKUP(INDIRECT(ADDRESS(2,COLUMN())),OFFSET($BN$2,0,0,ROW()-1,60),ROW()-1,FALSE))</f>
        <v>22.717968039999999</v>
      </c>
      <c r="BF464">
        <f ca="1">IF(AND(ISNUMBER($BF$1126),$B$677=1),$BF$1126,HLOOKUP(INDIRECT(ADDRESS(2,COLUMN())),OFFSET($BN$2,0,0,ROW()-1,60),ROW()-1,FALSE))</f>
        <v>34.197930790000001</v>
      </c>
      <c r="BG464">
        <f ca="1">IF(AND(ISNUMBER($BG$1126),$B$677=1),$BG$1126,HLOOKUP(INDIRECT(ADDRESS(2,COLUMN())),OFFSET($BN$2,0,0,ROW()-1,60),ROW()-1,FALSE))</f>
        <v>38.310241040000001</v>
      </c>
      <c r="BH464">
        <f ca="1">IF(AND(ISNUMBER($BH$1126),$B$677=1),$BH$1126,HLOOKUP(INDIRECT(ADDRESS(2,COLUMN())),OFFSET($BN$2,0,0,ROW()-1,60),ROW()-1,FALSE))</f>
        <v>45.85625074</v>
      </c>
      <c r="BI464">
        <f ca="1">IF(AND(ISNUMBER($BI$1126),$B$677=1),$BI$1126,HLOOKUP(INDIRECT(ADDRESS(2,COLUMN())),OFFSET($BN$2,0,0,ROW()-1,60),ROW()-1,FALSE))</f>
        <v>39.754389310000001</v>
      </c>
      <c r="BJ464">
        <f ca="1">IF(AND(ISNUMBER($BJ$1126),$B$677=1),$BJ$1126,HLOOKUP(INDIRECT(ADDRESS(2,COLUMN())),OFFSET($BN$2,0,0,ROW()-1,60),ROW()-1,FALSE))</f>
        <v>41.988724359999999</v>
      </c>
      <c r="BK464">
        <f ca="1">IF(AND(ISNUMBER($BK$1126),$B$677=1),$BK$1126,HLOOKUP(INDIRECT(ADDRESS(2,COLUMN())),OFFSET($BN$2,0,0,ROW()-1,60),ROW()-1,FALSE))</f>
        <v>40.504856850000003</v>
      </c>
      <c r="BL464">
        <f ca="1">IF(AND(ISNUMBER($BL$1126),$B$677=1),$BL$1126,HLOOKUP(INDIRECT(ADDRESS(2,COLUMN())),OFFSET($BN$2,0,0,ROW()-1,60),ROW()-1,FALSE))</f>
        <v>29.577149080000002</v>
      </c>
      <c r="BM464">
        <f ca="1">IF(AND(ISNUMBER($BM$1126),$B$677=1),$BM$1126,HLOOKUP(INDIRECT(ADDRESS(2,COLUMN())),OFFSET($BN$2,0,0,ROW()-1,60),ROW()-1,FALSE))</f>
        <v>142.0116146</v>
      </c>
      <c r="BN464" t="str">
        <f>""</f>
        <v/>
      </c>
      <c r="BO464">
        <f>4.381666437</f>
        <v>4.3816664369999998</v>
      </c>
      <c r="BP464">
        <f>4.755087878</f>
        <v>4.7550878780000003</v>
      </c>
      <c r="BQ464">
        <f>4.444488357</f>
        <v>4.444488357</v>
      </c>
      <c r="BR464">
        <f>5.279685811</f>
        <v>5.2796858110000002</v>
      </c>
      <c r="BS464">
        <f>5.539501849</f>
        <v>5.5395018489999996</v>
      </c>
      <c r="BT464">
        <f>5.095668244</f>
        <v>5.0956682439999996</v>
      </c>
      <c r="BU464">
        <f>4.678737814</f>
        <v>4.6787378139999998</v>
      </c>
      <c r="BV464">
        <f>5.049895375</f>
        <v>5.0498953750000002</v>
      </c>
      <c r="BW464">
        <f>6.327867699</f>
        <v>6.3278676989999996</v>
      </c>
      <c r="BX464">
        <f>5.711103128</f>
        <v>5.7111031280000004</v>
      </c>
      <c r="BY464">
        <f>4.780929295</f>
        <v>4.780929295</v>
      </c>
      <c r="BZ464">
        <f>6.608976913</f>
        <v>6.6089769130000002</v>
      </c>
      <c r="CA464">
        <f>7.474074074</f>
        <v>7.4740740739999998</v>
      </c>
      <c r="CB464">
        <f>6.167693349</f>
        <v>6.1676933490000003</v>
      </c>
      <c r="CC464">
        <f>8.337141511</f>
        <v>8.3371415110000004</v>
      </c>
      <c r="CD464">
        <f>9.294574753</f>
        <v>9.2945747529999991</v>
      </c>
      <c r="CE464">
        <f>7.888810687</f>
        <v>7.8888106870000003</v>
      </c>
      <c r="CF464">
        <f>5.894467609</f>
        <v>5.8944676090000003</v>
      </c>
      <c r="CG464">
        <f>8.692524004</f>
        <v>8.6925240039999991</v>
      </c>
      <c r="CH464">
        <f>7.602200736</f>
        <v>7.6022007360000003</v>
      </c>
      <c r="CI464">
        <f>7.435106694</f>
        <v>7.4351066939999999</v>
      </c>
      <c r="CJ464">
        <f>5.960941238</f>
        <v>5.9609412380000002</v>
      </c>
      <c r="CK464">
        <f>5.003383998</f>
        <v>5.0033839980000003</v>
      </c>
      <c r="CL464">
        <f>5.939706249</f>
        <v>5.9397062490000003</v>
      </c>
      <c r="CM464">
        <f>4.900782825</f>
        <v>4.9007828250000003</v>
      </c>
      <c r="CN464">
        <f>5.423093409</f>
        <v>5.4230934089999998</v>
      </c>
      <c r="CO464">
        <f>4.740333476</f>
        <v>4.740333476</v>
      </c>
      <c r="CP464">
        <f>6.186713686</f>
        <v>6.186713686</v>
      </c>
      <c r="CQ464">
        <f>4.024862537</f>
        <v>4.0248625369999997</v>
      </c>
      <c r="CR464">
        <f>4.805820272</f>
        <v>4.8058202720000001</v>
      </c>
      <c r="CS464">
        <f>8.016919032</f>
        <v>8.0169190320000006</v>
      </c>
      <c r="CT464">
        <f>8.044785276</f>
        <v>8.0447852760000007</v>
      </c>
      <c r="CU464">
        <f>9.201587817</f>
        <v>9.2015878170000001</v>
      </c>
      <c r="CV464">
        <f>11.65710952</f>
        <v>11.657109520000001</v>
      </c>
      <c r="CW464">
        <f>21.0415681</f>
        <v>21.041568099999999</v>
      </c>
      <c r="CX464" t="str">
        <f>""</f>
        <v/>
      </c>
      <c r="CY464" t="str">
        <f>""</f>
        <v/>
      </c>
      <c r="CZ464" t="str">
        <f>""</f>
        <v/>
      </c>
      <c r="DA464" t="str">
        <f>""</f>
        <v/>
      </c>
      <c r="DB464" t="str">
        <f>""</f>
        <v/>
      </c>
      <c r="DC464">
        <f>61.85701039</f>
        <v>61.857010389999999</v>
      </c>
      <c r="DD464">
        <f>19.37074782</f>
        <v>19.370747819999998</v>
      </c>
      <c r="DE464">
        <f>30.4803185</f>
        <v>30.480318499999999</v>
      </c>
      <c r="DF464">
        <f>29.86903342</f>
        <v>29.869033420000001</v>
      </c>
      <c r="DG464">
        <f>28.02892184</f>
        <v>28.028921839999999</v>
      </c>
      <c r="DH464">
        <f>52.53736476</f>
        <v>52.537364760000003</v>
      </c>
      <c r="DI464">
        <f>29.65235477</f>
        <v>29.652354769999999</v>
      </c>
      <c r="DJ464">
        <f>30.80094137</f>
        <v>30.80094137</v>
      </c>
      <c r="DK464">
        <f>38.17361111</f>
        <v>38.173611110000003</v>
      </c>
      <c r="DL464">
        <f>23.23441849</f>
        <v>23.234418489999999</v>
      </c>
      <c r="DM464">
        <f>22.71796804</f>
        <v>22.717968039999999</v>
      </c>
      <c r="DN464">
        <f>34.19793079</f>
        <v>34.197930790000001</v>
      </c>
      <c r="DO464">
        <f>38.31024104</f>
        <v>38.310241040000001</v>
      </c>
      <c r="DP464">
        <f>45.85625074</f>
        <v>45.85625074</v>
      </c>
      <c r="DQ464">
        <f>39.75438931</f>
        <v>39.754389310000001</v>
      </c>
      <c r="DR464">
        <f>41.98872436</f>
        <v>41.988724359999999</v>
      </c>
      <c r="DS464">
        <f>40.50485685</f>
        <v>40.504856850000003</v>
      </c>
      <c r="DT464">
        <f>29.57714908</f>
        <v>29.577149080000002</v>
      </c>
      <c r="DU464">
        <f>142.0116146</f>
        <v>142.0116146</v>
      </c>
    </row>
    <row r="465" spans="1:125" x14ac:dyDescent="0.25">
      <c r="A465" t="str">
        <f>"    Dongfeng Motor Group Co Ltd"</f>
        <v xml:space="preserve">    Dongfeng Motor Group Co Ltd</v>
      </c>
      <c r="B465" t="str">
        <f>"489 HK Equity"</f>
        <v>489 HK Equity</v>
      </c>
      <c r="C465" t="str">
        <f t="shared" si="33"/>
        <v>RR476</v>
      </c>
      <c r="D465" t="str">
        <f t="shared" si="34"/>
        <v>EV_TO_T12M_NET_INCOME</v>
      </c>
      <c r="E465" t="str">
        <f t="shared" si="35"/>
        <v>Dynamic</v>
      </c>
      <c r="F465" t="str">
        <f ca="1">IF(AND(ISNUMBER($F$1127),$B$677=1),$F$1127,HLOOKUP(INDIRECT(ADDRESS(2,COLUMN())),OFFSET($BN$2,0,0,ROW()-1,60),ROW()-1,FALSE))</f>
        <v/>
      </c>
      <c r="G465" t="str">
        <f ca="1">IF(AND(ISNUMBER($G$1127),$B$677=1),$G$1127,HLOOKUP(INDIRECT(ADDRESS(2,COLUMN())),OFFSET($BN$2,0,0,ROW()-1,60),ROW()-1,FALSE))</f>
        <v/>
      </c>
      <c r="H465" t="str">
        <f ca="1">IF(AND(ISNUMBER($H$1127),$B$677=1),$H$1127,HLOOKUP(INDIRECT(ADDRESS(2,COLUMN())),OFFSET($BN$2,0,0,ROW()-1,60),ROW()-1,FALSE))</f>
        <v/>
      </c>
      <c r="I465" t="str">
        <f ca="1">IF(AND(ISNUMBER($I$1127),$B$677=1),$I$1127,HLOOKUP(INDIRECT(ADDRESS(2,COLUMN())),OFFSET($BN$2,0,0,ROW()-1,60),ROW()-1,FALSE))</f>
        <v/>
      </c>
      <c r="J465" t="str">
        <f ca="1">IF(AND(ISNUMBER($J$1127),$B$677=1),$J$1127,HLOOKUP(INDIRECT(ADDRESS(2,COLUMN())),OFFSET($BN$2,0,0,ROW()-1,60),ROW()-1,FALSE))</f>
        <v/>
      </c>
      <c r="K465" t="str">
        <f ca="1">IF(AND(ISNUMBER($K$1127),$B$677=1),$K$1127,HLOOKUP(INDIRECT(ADDRESS(2,COLUMN())),OFFSET($BN$2,0,0,ROW()-1,60),ROW()-1,FALSE))</f>
        <v/>
      </c>
      <c r="L465" t="str">
        <f ca="1">IF(AND(ISNUMBER($L$1127),$B$677=1),$L$1127,HLOOKUP(INDIRECT(ADDRESS(2,COLUMN())),OFFSET($BN$2,0,0,ROW()-1,60),ROW()-1,FALSE))</f>
        <v/>
      </c>
      <c r="M465" t="str">
        <f ca="1">IF(AND(ISNUMBER($M$1127),$B$677=1),$M$1127,HLOOKUP(INDIRECT(ADDRESS(2,COLUMN())),OFFSET($BN$2,0,0,ROW()-1,60),ROW()-1,FALSE))</f>
        <v/>
      </c>
      <c r="N465" t="str">
        <f ca="1">IF(AND(ISNUMBER($N$1127),$B$677=1),$N$1127,HLOOKUP(INDIRECT(ADDRESS(2,COLUMN())),OFFSET($BN$2,0,0,ROW()-1,60),ROW()-1,FALSE))</f>
        <v/>
      </c>
      <c r="O465" t="str">
        <f ca="1">IF(AND(ISNUMBER($O$1127),$B$677=1),$O$1127,HLOOKUP(INDIRECT(ADDRESS(2,COLUMN())),OFFSET($BN$2,0,0,ROW()-1,60),ROW()-1,FALSE))</f>
        <v/>
      </c>
      <c r="P465" t="str">
        <f ca="1">IF(AND(ISNUMBER($P$1127),$B$677=1),$P$1127,HLOOKUP(INDIRECT(ADDRESS(2,COLUMN())),OFFSET($BN$2,0,0,ROW()-1,60),ROW()-1,FALSE))</f>
        <v/>
      </c>
      <c r="Q465" t="str">
        <f ca="1">IF(AND(ISNUMBER($Q$1127),$B$677=1),$Q$1127,HLOOKUP(INDIRECT(ADDRESS(2,COLUMN())),OFFSET($BN$2,0,0,ROW()-1,60),ROW()-1,FALSE))</f>
        <v/>
      </c>
      <c r="R465" t="str">
        <f ca="1">IF(AND(ISNUMBER($R$1127),$B$677=1),$R$1127,HLOOKUP(INDIRECT(ADDRESS(2,COLUMN())),OFFSET($BN$2,0,0,ROW()-1,60),ROW()-1,FALSE))</f>
        <v/>
      </c>
      <c r="S465" t="str">
        <f ca="1">IF(AND(ISNUMBER($S$1127),$B$677=1),$S$1127,HLOOKUP(INDIRECT(ADDRESS(2,COLUMN())),OFFSET($BN$2,0,0,ROW()-1,60),ROW()-1,FALSE))</f>
        <v/>
      </c>
      <c r="T465" t="str">
        <f ca="1">IF(AND(ISNUMBER($T$1127),$B$677=1),$T$1127,HLOOKUP(INDIRECT(ADDRESS(2,COLUMN())),OFFSET($BN$2,0,0,ROW()-1,60),ROW()-1,FALSE))</f>
        <v/>
      </c>
      <c r="U465" t="str">
        <f ca="1">IF(AND(ISNUMBER($U$1127),$B$677=1),$U$1127,HLOOKUP(INDIRECT(ADDRESS(2,COLUMN())),OFFSET($BN$2,0,0,ROW()-1,60),ROW()-1,FALSE))</f>
        <v/>
      </c>
      <c r="V465" t="str">
        <f ca="1">IF(AND(ISNUMBER($V$1127),$B$677=1),$V$1127,HLOOKUP(INDIRECT(ADDRESS(2,COLUMN())),OFFSET($BN$2,0,0,ROW()-1,60),ROW()-1,FALSE))</f>
        <v/>
      </c>
      <c r="W465" t="str">
        <f ca="1">IF(AND(ISNUMBER($W$1127),$B$677=1),$W$1127,HLOOKUP(INDIRECT(ADDRESS(2,COLUMN())),OFFSET($BN$2,0,0,ROW()-1,60),ROW()-1,FALSE))</f>
        <v/>
      </c>
      <c r="X465" t="str">
        <f ca="1">IF(AND(ISNUMBER($X$1127),$B$677=1),$X$1127,HLOOKUP(INDIRECT(ADDRESS(2,COLUMN())),OFFSET($BN$2,0,0,ROW()-1,60),ROW()-1,FALSE))</f>
        <v/>
      </c>
      <c r="Y465" t="str">
        <f ca="1">IF(AND(ISNUMBER($Y$1127),$B$677=1),$Y$1127,HLOOKUP(INDIRECT(ADDRESS(2,COLUMN())),OFFSET($BN$2,0,0,ROW()-1,60),ROW()-1,FALSE))</f>
        <v/>
      </c>
      <c r="Z465" t="str">
        <f ca="1">IF(AND(ISNUMBER($Z$1127),$B$677=1),$Z$1127,HLOOKUP(INDIRECT(ADDRESS(2,COLUMN())),OFFSET($BN$2,0,0,ROW()-1,60),ROW()-1,FALSE))</f>
        <v/>
      </c>
      <c r="AA465" t="str">
        <f ca="1">IF(AND(ISNUMBER($AA$1127),$B$677=1),$AA$1127,HLOOKUP(INDIRECT(ADDRESS(2,COLUMN())),OFFSET($BN$2,0,0,ROW()-1,60),ROW()-1,FALSE))</f>
        <v/>
      </c>
      <c r="AB465" t="str">
        <f ca="1">IF(AND(ISNUMBER($AB$1127),$B$677=1),$AB$1127,HLOOKUP(INDIRECT(ADDRESS(2,COLUMN())),OFFSET($BN$2,0,0,ROW()-1,60),ROW()-1,FALSE))</f>
        <v/>
      </c>
      <c r="AC465" t="str">
        <f ca="1">IF(AND(ISNUMBER($AC$1127),$B$677=1),$AC$1127,HLOOKUP(INDIRECT(ADDRESS(2,COLUMN())),OFFSET($BN$2,0,0,ROW()-1,60),ROW()-1,FALSE))</f>
        <v/>
      </c>
      <c r="AD465" t="str">
        <f ca="1">IF(AND(ISNUMBER($AD$1127),$B$677=1),$AD$1127,HLOOKUP(INDIRECT(ADDRESS(2,COLUMN())),OFFSET($BN$2,0,0,ROW()-1,60),ROW()-1,FALSE))</f>
        <v/>
      </c>
      <c r="AE465" t="str">
        <f ca="1">IF(AND(ISNUMBER($AE$1127),$B$677=1),$AE$1127,HLOOKUP(INDIRECT(ADDRESS(2,COLUMN())),OFFSET($BN$2,0,0,ROW()-1,60),ROW()-1,FALSE))</f>
        <v/>
      </c>
      <c r="AF465" t="str">
        <f ca="1">IF(AND(ISNUMBER($AF$1127),$B$677=1),$AF$1127,HLOOKUP(INDIRECT(ADDRESS(2,COLUMN())),OFFSET($BN$2,0,0,ROW()-1,60),ROW()-1,FALSE))</f>
        <v/>
      </c>
      <c r="AG465" t="str">
        <f ca="1">IF(AND(ISNUMBER($AG$1127),$B$677=1),$AG$1127,HLOOKUP(INDIRECT(ADDRESS(2,COLUMN())),OFFSET($BN$2,0,0,ROW()-1,60),ROW()-1,FALSE))</f>
        <v/>
      </c>
      <c r="AH465" t="str">
        <f ca="1">IF(AND(ISNUMBER($AH$1127),$B$677=1),$AH$1127,HLOOKUP(INDIRECT(ADDRESS(2,COLUMN())),OFFSET($BN$2,0,0,ROW()-1,60),ROW()-1,FALSE))</f>
        <v/>
      </c>
      <c r="AI465" t="str">
        <f ca="1">IF(AND(ISNUMBER($AI$1127),$B$677=1),$AI$1127,HLOOKUP(INDIRECT(ADDRESS(2,COLUMN())),OFFSET($BN$2,0,0,ROW()-1,60),ROW()-1,FALSE))</f>
        <v/>
      </c>
      <c r="AJ465" t="str">
        <f ca="1">IF(AND(ISNUMBER($AJ$1127),$B$677=1),$AJ$1127,HLOOKUP(INDIRECT(ADDRESS(2,COLUMN())),OFFSET($BN$2,0,0,ROW()-1,60),ROW()-1,FALSE))</f>
        <v/>
      </c>
      <c r="AK465" t="str">
        <f ca="1">IF(AND(ISNUMBER($AK$1127),$B$677=1),$AK$1127,HLOOKUP(INDIRECT(ADDRESS(2,COLUMN())),OFFSET($BN$2,0,0,ROW()-1,60),ROW()-1,FALSE))</f>
        <v/>
      </c>
      <c r="AL465" t="str">
        <f ca="1">IF(AND(ISNUMBER($AL$1127),$B$677=1),$AL$1127,HLOOKUP(INDIRECT(ADDRESS(2,COLUMN())),OFFSET($BN$2,0,0,ROW()-1,60),ROW()-1,FALSE))</f>
        <v/>
      </c>
      <c r="AM465" t="str">
        <f ca="1">IF(AND(ISNUMBER($AM$1127),$B$677=1),$AM$1127,HLOOKUP(INDIRECT(ADDRESS(2,COLUMN())),OFFSET($BN$2,0,0,ROW()-1,60),ROW()-1,FALSE))</f>
        <v/>
      </c>
      <c r="AN465" t="str">
        <f ca="1">IF(AND(ISNUMBER($AN$1127),$B$677=1),$AN$1127,HLOOKUP(INDIRECT(ADDRESS(2,COLUMN())),OFFSET($BN$2,0,0,ROW()-1,60),ROW()-1,FALSE))</f>
        <v/>
      </c>
      <c r="AO465" t="str">
        <f ca="1">IF(AND(ISNUMBER($AO$1127),$B$677=1),$AO$1127,HLOOKUP(INDIRECT(ADDRESS(2,COLUMN())),OFFSET($BN$2,0,0,ROW()-1,60),ROW()-1,FALSE))</f>
        <v/>
      </c>
      <c r="AP465" t="str">
        <f ca="1">IF(AND(ISNUMBER($AP$1127),$B$677=1),$AP$1127,HLOOKUP(INDIRECT(ADDRESS(2,COLUMN())),OFFSET($BN$2,0,0,ROW()-1,60),ROW()-1,FALSE))</f>
        <v/>
      </c>
      <c r="AQ465" t="str">
        <f ca="1">IF(AND(ISNUMBER($AQ$1127),$B$677=1),$AQ$1127,HLOOKUP(INDIRECT(ADDRESS(2,COLUMN())),OFFSET($BN$2,0,0,ROW()-1,60),ROW()-1,FALSE))</f>
        <v/>
      </c>
      <c r="AR465" t="str">
        <f ca="1">IF(AND(ISNUMBER($AR$1127),$B$677=1),$AR$1127,HLOOKUP(INDIRECT(ADDRESS(2,COLUMN())),OFFSET($BN$2,0,0,ROW()-1,60),ROW()-1,FALSE))</f>
        <v/>
      </c>
      <c r="AS465" t="str">
        <f ca="1">IF(AND(ISNUMBER($AS$1127),$B$677=1),$AS$1127,HLOOKUP(INDIRECT(ADDRESS(2,COLUMN())),OFFSET($BN$2,0,0,ROW()-1,60),ROW()-1,FALSE))</f>
        <v/>
      </c>
      <c r="AT465" t="str">
        <f ca="1">IF(AND(ISNUMBER($AT$1127),$B$677=1),$AT$1127,HLOOKUP(INDIRECT(ADDRESS(2,COLUMN())),OFFSET($BN$2,0,0,ROW()-1,60),ROW()-1,FALSE))</f>
        <v/>
      </c>
      <c r="AU465" t="str">
        <f ca="1">IF(AND(ISNUMBER($AU$1127),$B$677=1),$AU$1127,HLOOKUP(INDIRECT(ADDRESS(2,COLUMN())),OFFSET($BN$2,0,0,ROW()-1,60),ROW()-1,FALSE))</f>
        <v/>
      </c>
      <c r="AV465" t="str">
        <f ca="1">IF(AND(ISNUMBER($AV$1127),$B$677=1),$AV$1127,HLOOKUP(INDIRECT(ADDRESS(2,COLUMN())),OFFSET($BN$2,0,0,ROW()-1,60),ROW()-1,FALSE))</f>
        <v/>
      </c>
      <c r="AW465" t="str">
        <f ca="1">IF(AND(ISNUMBER($AW$1127),$B$677=1),$AW$1127,HLOOKUP(INDIRECT(ADDRESS(2,COLUMN())),OFFSET($BN$2,0,0,ROW()-1,60),ROW()-1,FALSE))</f>
        <v/>
      </c>
      <c r="AX465" t="str">
        <f ca="1">IF(AND(ISNUMBER($AX$1127),$B$677=1),$AX$1127,HLOOKUP(INDIRECT(ADDRESS(2,COLUMN())),OFFSET($BN$2,0,0,ROW()-1,60),ROW()-1,FALSE))</f>
        <v/>
      </c>
      <c r="AY465" t="str">
        <f ca="1">IF(AND(ISNUMBER($AY$1127),$B$677=1),$AY$1127,HLOOKUP(INDIRECT(ADDRESS(2,COLUMN())),OFFSET($BN$2,0,0,ROW()-1,60),ROW()-1,FALSE))</f>
        <v/>
      </c>
      <c r="AZ465" t="str">
        <f ca="1">IF(AND(ISNUMBER($AZ$1127),$B$677=1),$AZ$1127,HLOOKUP(INDIRECT(ADDRESS(2,COLUMN())),OFFSET($BN$2,0,0,ROW()-1,60),ROW()-1,FALSE))</f>
        <v/>
      </c>
      <c r="BA465" t="str">
        <f ca="1">IF(AND(ISNUMBER($BA$1127),$B$677=1),$BA$1127,HLOOKUP(INDIRECT(ADDRESS(2,COLUMN())),OFFSET($BN$2,0,0,ROW()-1,60),ROW()-1,FALSE))</f>
        <v/>
      </c>
      <c r="BB465" t="str">
        <f ca="1">IF(AND(ISNUMBER($BB$1127),$B$677=1),$BB$1127,HLOOKUP(INDIRECT(ADDRESS(2,COLUMN())),OFFSET($BN$2,0,0,ROW()-1,60),ROW()-1,FALSE))</f>
        <v/>
      </c>
      <c r="BC465" t="str">
        <f ca="1">IF(AND(ISNUMBER($BC$1127),$B$677=1),$BC$1127,HLOOKUP(INDIRECT(ADDRESS(2,COLUMN())),OFFSET($BN$2,0,0,ROW()-1,60),ROW()-1,FALSE))</f>
        <v/>
      </c>
      <c r="BD465" t="str">
        <f ca="1">IF(AND(ISNUMBER($BD$1127),$B$677=1),$BD$1127,HLOOKUP(INDIRECT(ADDRESS(2,COLUMN())),OFFSET($BN$2,0,0,ROW()-1,60),ROW()-1,FALSE))</f>
        <v/>
      </c>
      <c r="BE465" t="str">
        <f ca="1">IF(AND(ISNUMBER($BE$1127),$B$677=1),$BE$1127,HLOOKUP(INDIRECT(ADDRESS(2,COLUMN())),OFFSET($BN$2,0,0,ROW()-1,60),ROW()-1,FALSE))</f>
        <v/>
      </c>
      <c r="BF465" t="str">
        <f ca="1">IF(AND(ISNUMBER($BF$1127),$B$677=1),$BF$1127,HLOOKUP(INDIRECT(ADDRESS(2,COLUMN())),OFFSET($BN$2,0,0,ROW()-1,60),ROW()-1,FALSE))</f>
        <v/>
      </c>
      <c r="BG465" t="str">
        <f ca="1">IF(AND(ISNUMBER($BG$1127),$B$677=1),$BG$1127,HLOOKUP(INDIRECT(ADDRESS(2,COLUMN())),OFFSET($BN$2,0,0,ROW()-1,60),ROW()-1,FALSE))</f>
        <v/>
      </c>
      <c r="BH465" t="str">
        <f ca="1">IF(AND(ISNUMBER($BH$1127),$B$677=1),$BH$1127,HLOOKUP(INDIRECT(ADDRESS(2,COLUMN())),OFFSET($BN$2,0,0,ROW()-1,60),ROW()-1,FALSE))</f>
        <v/>
      </c>
      <c r="BI465" t="str">
        <f ca="1">IF(AND(ISNUMBER($BI$1127),$B$677=1),$BI$1127,HLOOKUP(INDIRECT(ADDRESS(2,COLUMN())),OFFSET($BN$2,0,0,ROW()-1,60),ROW()-1,FALSE))</f>
        <v/>
      </c>
      <c r="BJ465" t="str">
        <f ca="1">IF(AND(ISNUMBER($BJ$1127),$B$677=1),$BJ$1127,HLOOKUP(INDIRECT(ADDRESS(2,COLUMN())),OFFSET($BN$2,0,0,ROW()-1,60),ROW()-1,FALSE))</f>
        <v/>
      </c>
      <c r="BK465" t="str">
        <f ca="1">IF(AND(ISNUMBER($BK$1127),$B$677=1),$BK$1127,HLOOKUP(INDIRECT(ADDRESS(2,COLUMN())),OFFSET($BN$2,0,0,ROW()-1,60),ROW()-1,FALSE))</f>
        <v/>
      </c>
      <c r="BL465" t="str">
        <f ca="1">IF(AND(ISNUMBER($BL$1127),$B$677=1),$BL$1127,HLOOKUP(INDIRECT(ADDRESS(2,COLUMN())),OFFSET($BN$2,0,0,ROW()-1,60),ROW()-1,FALSE))</f>
        <v/>
      </c>
      <c r="BM465" t="str">
        <f ca="1">IF(AND(ISNUMBER($BM$1127),$B$677=1),$BM$1127,HLOOKUP(INDIRECT(ADDRESS(2,COLUMN())),OFFSET($BN$2,0,0,ROW()-1,60),ROW()-1,FALSE))</f>
        <v/>
      </c>
      <c r="BN465" t="str">
        <f>""</f>
        <v/>
      </c>
      <c r="BO465" t="str">
        <f>""</f>
        <v/>
      </c>
      <c r="BP465" t="str">
        <f>""</f>
        <v/>
      </c>
      <c r="BQ465" t="str">
        <f>""</f>
        <v/>
      </c>
      <c r="BR465" t="str">
        <f>""</f>
        <v/>
      </c>
      <c r="BS465" t="str">
        <f>""</f>
        <v/>
      </c>
      <c r="BT465" t="str">
        <f>""</f>
        <v/>
      </c>
      <c r="BU465" t="str">
        <f>""</f>
        <v/>
      </c>
      <c r="BV465" t="str">
        <f>""</f>
        <v/>
      </c>
      <c r="BW465" t="str">
        <f>""</f>
        <v/>
      </c>
      <c r="BX465" t="str">
        <f>""</f>
        <v/>
      </c>
      <c r="BY465" t="str">
        <f>""</f>
        <v/>
      </c>
      <c r="BZ465" t="str">
        <f>""</f>
        <v/>
      </c>
      <c r="CA465" t="str">
        <f>""</f>
        <v/>
      </c>
      <c r="CB465" t="str">
        <f>""</f>
        <v/>
      </c>
      <c r="CC465" t="str">
        <f>""</f>
        <v/>
      </c>
      <c r="CD465" t="str">
        <f>""</f>
        <v/>
      </c>
      <c r="CE465" t="str">
        <f>""</f>
        <v/>
      </c>
      <c r="CF465" t="str">
        <f>""</f>
        <v/>
      </c>
      <c r="CG465" t="str">
        <f>""</f>
        <v/>
      </c>
      <c r="CH465" t="str">
        <f>""</f>
        <v/>
      </c>
      <c r="CI465" t="str">
        <f>""</f>
        <v/>
      </c>
      <c r="CJ465" t="str">
        <f>""</f>
        <v/>
      </c>
      <c r="CK465" t="str">
        <f>""</f>
        <v/>
      </c>
      <c r="CL465" t="str">
        <f>""</f>
        <v/>
      </c>
      <c r="CM465" t="str">
        <f>""</f>
        <v/>
      </c>
      <c r="CN465" t="str">
        <f>""</f>
        <v/>
      </c>
      <c r="CO465" t="str">
        <f>""</f>
        <v/>
      </c>
      <c r="CP465" t="str">
        <f>""</f>
        <v/>
      </c>
      <c r="CQ465" t="str">
        <f>""</f>
        <v/>
      </c>
      <c r="CR465" t="str">
        <f>""</f>
        <v/>
      </c>
      <c r="CS465" t="str">
        <f>""</f>
        <v/>
      </c>
      <c r="CT465" t="str">
        <f>""</f>
        <v/>
      </c>
      <c r="CU465" t="str">
        <f>""</f>
        <v/>
      </c>
      <c r="CV465" t="str">
        <f>""</f>
        <v/>
      </c>
      <c r="CW465" t="str">
        <f>""</f>
        <v/>
      </c>
      <c r="CX465" t="str">
        <f>""</f>
        <v/>
      </c>
      <c r="CY465" t="str">
        <f>""</f>
        <v/>
      </c>
      <c r="CZ465" t="str">
        <f>""</f>
        <v/>
      </c>
      <c r="DA465" t="str">
        <f>""</f>
        <v/>
      </c>
      <c r="DB465" t="str">
        <f>""</f>
        <v/>
      </c>
      <c r="DC465" t="str">
        <f>""</f>
        <v/>
      </c>
      <c r="DD465" t="str">
        <f>""</f>
        <v/>
      </c>
      <c r="DE465" t="str">
        <f>""</f>
        <v/>
      </c>
      <c r="DF465" t="str">
        <f>""</f>
        <v/>
      </c>
      <c r="DG465" t="str">
        <f>""</f>
        <v/>
      </c>
      <c r="DH465" t="str">
        <f>""</f>
        <v/>
      </c>
      <c r="DI465" t="str">
        <f>""</f>
        <v/>
      </c>
      <c r="DJ465" t="str">
        <f>""</f>
        <v/>
      </c>
      <c r="DK465" t="str">
        <f>""</f>
        <v/>
      </c>
      <c r="DL465" t="str">
        <f>""</f>
        <v/>
      </c>
      <c r="DM465" t="str">
        <f>""</f>
        <v/>
      </c>
      <c r="DN465" t="str">
        <f>""</f>
        <v/>
      </c>
      <c r="DO465" t="str">
        <f>""</f>
        <v/>
      </c>
      <c r="DP465" t="str">
        <f>""</f>
        <v/>
      </c>
      <c r="DQ465" t="str">
        <f>""</f>
        <v/>
      </c>
      <c r="DR465" t="str">
        <f>""</f>
        <v/>
      </c>
      <c r="DS465" t="str">
        <f>""</f>
        <v/>
      </c>
      <c r="DT465" t="str">
        <f>""</f>
        <v/>
      </c>
      <c r="DU465" t="str">
        <f>""</f>
        <v/>
      </c>
    </row>
    <row r="466" spans="1:125" x14ac:dyDescent="0.25">
      <c r="A466" t="str">
        <f>"    DRB-Hicom Bhd"</f>
        <v xml:space="preserve">    DRB-Hicom Bhd</v>
      </c>
      <c r="B466" t="str">
        <f>"DRB MK Equity"</f>
        <v>DRB MK Equity</v>
      </c>
      <c r="C466" t="str">
        <f t="shared" si="33"/>
        <v>RR476</v>
      </c>
      <c r="D466" t="str">
        <f t="shared" si="34"/>
        <v>EV_TO_T12M_NET_INCOME</v>
      </c>
      <c r="E466" t="str">
        <f t="shared" si="35"/>
        <v>Dynamic</v>
      </c>
      <c r="F466" t="str">
        <f ca="1">IF(AND(ISNUMBER($F$1128),$B$677=1),$F$1128,HLOOKUP(INDIRECT(ADDRESS(2,COLUMN())),OFFSET($BN$2,0,0,ROW()-1,60),ROW()-1,FALSE))</f>
        <v/>
      </c>
      <c r="G466" t="str">
        <f ca="1">IF(AND(ISNUMBER($G$1128),$B$677=1),$G$1128,HLOOKUP(INDIRECT(ADDRESS(2,COLUMN())),OFFSET($BN$2,0,0,ROW()-1,60),ROW()-1,FALSE))</f>
        <v/>
      </c>
      <c r="H466" t="str">
        <f ca="1">IF(AND(ISNUMBER($H$1128),$B$677=1),$H$1128,HLOOKUP(INDIRECT(ADDRESS(2,COLUMN())),OFFSET($BN$2,0,0,ROW()-1,60),ROW()-1,FALSE))</f>
        <v/>
      </c>
      <c r="I466">
        <f ca="1">IF(AND(ISNUMBER($I$1128),$B$677=1),$I$1128,HLOOKUP(INDIRECT(ADDRESS(2,COLUMN())),OFFSET($BN$2,0,0,ROW()-1,60),ROW()-1,FALSE))</f>
        <v>14.06421525</v>
      </c>
      <c r="J466">
        <f ca="1">IF(AND(ISNUMBER($J$1128),$B$677=1),$J$1128,HLOOKUP(INDIRECT(ADDRESS(2,COLUMN())),OFFSET($BN$2,0,0,ROW()-1,60),ROW()-1,FALSE))</f>
        <v>15.83045502</v>
      </c>
      <c r="K466">
        <f ca="1">IF(AND(ISNUMBER($K$1128),$B$677=1),$K$1128,HLOOKUP(INDIRECT(ADDRESS(2,COLUMN())),OFFSET($BN$2,0,0,ROW()-1,60),ROW()-1,FALSE))</f>
        <v>31.181969939999998</v>
      </c>
      <c r="L466">
        <f ca="1">IF(AND(ISNUMBER($L$1128),$B$677=1),$L$1128,HLOOKUP(INDIRECT(ADDRESS(2,COLUMN())),OFFSET($BN$2,0,0,ROW()-1,60),ROW()-1,FALSE))</f>
        <v>13.627849380000001</v>
      </c>
      <c r="M466" t="str">
        <f ca="1">IF(AND(ISNUMBER($M$1128),$B$677=1),$M$1128,HLOOKUP(INDIRECT(ADDRESS(2,COLUMN())),OFFSET($BN$2,0,0,ROW()-1,60),ROW()-1,FALSE))</f>
        <v/>
      </c>
      <c r="N466" t="str">
        <f ca="1">IF(AND(ISNUMBER($N$1128),$B$677=1),$N$1128,HLOOKUP(INDIRECT(ADDRESS(2,COLUMN())),OFFSET($BN$2,0,0,ROW()-1,60),ROW()-1,FALSE))</f>
        <v/>
      </c>
      <c r="O466" t="str">
        <f ca="1">IF(AND(ISNUMBER($O$1128),$B$677=1),$O$1128,HLOOKUP(INDIRECT(ADDRESS(2,COLUMN())),OFFSET($BN$2,0,0,ROW()-1,60),ROW()-1,FALSE))</f>
        <v/>
      </c>
      <c r="P466" t="str">
        <f ca="1">IF(AND(ISNUMBER($P$1128),$B$677=1),$P$1128,HLOOKUP(INDIRECT(ADDRESS(2,COLUMN())),OFFSET($BN$2,0,0,ROW()-1,60),ROW()-1,FALSE))</f>
        <v/>
      </c>
      <c r="Q466" t="str">
        <f ca="1">IF(AND(ISNUMBER($Q$1128),$B$677=1),$Q$1128,HLOOKUP(INDIRECT(ADDRESS(2,COLUMN())),OFFSET($BN$2,0,0,ROW()-1,60),ROW()-1,FALSE))</f>
        <v/>
      </c>
      <c r="R466" t="str">
        <f ca="1">IF(AND(ISNUMBER($R$1128),$B$677=1),$R$1128,HLOOKUP(INDIRECT(ADDRESS(2,COLUMN())),OFFSET($BN$2,0,0,ROW()-1,60),ROW()-1,FALSE))</f>
        <v/>
      </c>
      <c r="S466" t="str">
        <f ca="1">IF(AND(ISNUMBER($S$1128),$B$677=1),$S$1128,HLOOKUP(INDIRECT(ADDRESS(2,COLUMN())),OFFSET($BN$2,0,0,ROW()-1,60),ROW()-1,FALSE))</f>
        <v/>
      </c>
      <c r="T466">
        <f ca="1">IF(AND(ISNUMBER($T$1128),$B$677=1),$T$1128,HLOOKUP(INDIRECT(ADDRESS(2,COLUMN())),OFFSET($BN$2,0,0,ROW()-1,60),ROW()-1,FALSE))</f>
        <v>72.689830580000006</v>
      </c>
      <c r="U466">
        <f ca="1">IF(AND(ISNUMBER($U$1128),$B$677=1),$U$1128,HLOOKUP(INDIRECT(ADDRESS(2,COLUMN())),OFFSET($BN$2,0,0,ROW()-1,60),ROW()-1,FALSE))</f>
        <v>49.274852969999998</v>
      </c>
      <c r="V466">
        <f ca="1">IF(AND(ISNUMBER($V$1128),$B$677=1),$V$1128,HLOOKUP(INDIRECT(ADDRESS(2,COLUMN())),OFFSET($BN$2,0,0,ROW()-1,60),ROW()-1,FALSE))</f>
        <v>25.000260300000001</v>
      </c>
      <c r="W466">
        <f ca="1">IF(AND(ISNUMBER($W$1128),$B$677=1),$W$1128,HLOOKUP(INDIRECT(ADDRESS(2,COLUMN())),OFFSET($BN$2,0,0,ROW()-1,60),ROW()-1,FALSE))</f>
        <v>24.573330970000001</v>
      </c>
      <c r="X466">
        <f ca="1">IF(AND(ISNUMBER($X$1128),$B$677=1),$X$1128,HLOOKUP(INDIRECT(ADDRESS(2,COLUMN())),OFFSET($BN$2,0,0,ROW()-1,60),ROW()-1,FALSE))</f>
        <v>18.933943759999998</v>
      </c>
      <c r="Y466">
        <f ca="1">IF(AND(ISNUMBER($Y$1128),$B$677=1),$Y$1128,HLOOKUP(INDIRECT(ADDRESS(2,COLUMN())),OFFSET($BN$2,0,0,ROW()-1,60),ROW()-1,FALSE))</f>
        <v>16.989203700000001</v>
      </c>
      <c r="Z466">
        <f ca="1">IF(AND(ISNUMBER($Z$1128),$B$677=1),$Z$1128,HLOOKUP(INDIRECT(ADDRESS(2,COLUMN())),OFFSET($BN$2,0,0,ROW()-1,60),ROW()-1,FALSE))</f>
        <v>18.577306979999999</v>
      </c>
      <c r="AA466">
        <f ca="1">IF(AND(ISNUMBER($AA$1128),$B$677=1),$AA$1128,HLOOKUP(INDIRECT(ADDRESS(2,COLUMN())),OFFSET($BN$2,0,0,ROW()-1,60),ROW()-1,FALSE))</f>
        <v>20.688040879999999</v>
      </c>
      <c r="AB466">
        <f ca="1">IF(AND(ISNUMBER($AB$1128),$B$677=1),$AB$1128,HLOOKUP(INDIRECT(ADDRESS(2,COLUMN())),OFFSET($BN$2,0,0,ROW()-1,60),ROW()-1,FALSE))</f>
        <v>12.39614508</v>
      </c>
      <c r="AC466">
        <f ca="1">IF(AND(ISNUMBER($AC$1128),$B$677=1),$AC$1128,HLOOKUP(INDIRECT(ADDRESS(2,COLUMN())),OFFSET($BN$2,0,0,ROW()-1,60),ROW()-1,FALSE))</f>
        <v>14.058762890000001</v>
      </c>
      <c r="AD466">
        <f ca="1">IF(AND(ISNUMBER($AD$1128),$B$677=1),$AD$1128,HLOOKUP(INDIRECT(ADDRESS(2,COLUMN())),OFFSET($BN$2,0,0,ROW()-1,60),ROW()-1,FALSE))</f>
        <v>7.5485744260000001</v>
      </c>
      <c r="AE466">
        <f ca="1">IF(AND(ISNUMBER($AE$1128),$B$677=1),$AE$1128,HLOOKUP(INDIRECT(ADDRESS(2,COLUMN())),OFFSET($BN$2,0,0,ROW()-1,60),ROW()-1,FALSE))</f>
        <v>3.979012628</v>
      </c>
      <c r="AF466">
        <f ca="1">IF(AND(ISNUMBER($AF$1128),$B$677=1),$AF$1128,HLOOKUP(INDIRECT(ADDRESS(2,COLUMN())),OFFSET($BN$2,0,0,ROW()-1,60),ROW()-1,FALSE))</f>
        <v>4.2907239580000001</v>
      </c>
      <c r="AG466">
        <f ca="1">IF(AND(ISNUMBER($AG$1128),$B$677=1),$AG$1128,HLOOKUP(INDIRECT(ADDRESS(2,COLUMN())),OFFSET($BN$2,0,0,ROW()-1,60),ROW()-1,FALSE))</f>
        <v>4.3927138799999996</v>
      </c>
      <c r="AH466">
        <f ca="1">IF(AND(ISNUMBER($AH$1128),$B$677=1),$AH$1128,HLOOKUP(INDIRECT(ADDRESS(2,COLUMN())),OFFSET($BN$2,0,0,ROW()-1,60),ROW()-1,FALSE))</f>
        <v>1.6276696639999999</v>
      </c>
      <c r="AI466">
        <f ca="1">IF(AND(ISNUMBER($AI$1128),$B$677=1),$AI$1128,HLOOKUP(INDIRECT(ADDRESS(2,COLUMN())),OFFSET($BN$2,0,0,ROW()-1,60),ROW()-1,FALSE))</f>
        <v>5.2551832479999998</v>
      </c>
      <c r="AJ466">
        <f ca="1">IF(AND(ISNUMBER($AJ$1128),$B$677=1),$AJ$1128,HLOOKUP(INDIRECT(ADDRESS(2,COLUMN())),OFFSET($BN$2,0,0,ROW()-1,60),ROW()-1,FALSE))</f>
        <v>3.62164938</v>
      </c>
      <c r="AK466" t="str">
        <f ca="1">IF(AND(ISNUMBER($AK$1128),$B$677=1),$AK$1128,HLOOKUP(INDIRECT(ADDRESS(2,COLUMN())),OFFSET($BN$2,0,0,ROW()-1,60),ROW()-1,FALSE))</f>
        <v/>
      </c>
      <c r="AL466" t="str">
        <f ca="1">IF(AND(ISNUMBER($AL$1128),$B$677=1),$AL$1128,HLOOKUP(INDIRECT(ADDRESS(2,COLUMN())),OFFSET($BN$2,0,0,ROW()-1,60),ROW()-1,FALSE))</f>
        <v/>
      </c>
      <c r="AM466">
        <f ca="1">IF(AND(ISNUMBER($AM$1128),$B$677=1),$AM$1128,HLOOKUP(INDIRECT(ADDRESS(2,COLUMN())),OFFSET($BN$2,0,0,ROW()-1,60),ROW()-1,FALSE))</f>
        <v>15.50805205</v>
      </c>
      <c r="AN466">
        <f ca="1">IF(AND(ISNUMBER($AN$1128),$B$677=1),$AN$1128,HLOOKUP(INDIRECT(ADDRESS(2,COLUMN())),OFFSET($BN$2,0,0,ROW()-1,60),ROW()-1,FALSE))</f>
        <v>16.628827000000001</v>
      </c>
      <c r="AO466">
        <f ca="1">IF(AND(ISNUMBER($AO$1128),$B$677=1),$AO$1128,HLOOKUP(INDIRECT(ADDRESS(2,COLUMN())),OFFSET($BN$2,0,0,ROW()-1,60),ROW()-1,FALSE))</f>
        <v>18.49041819</v>
      </c>
      <c r="AP466" t="str">
        <f ca="1">IF(AND(ISNUMBER($AP$1128),$B$677=1),$AP$1128,HLOOKUP(INDIRECT(ADDRESS(2,COLUMN())),OFFSET($BN$2,0,0,ROW()-1,60),ROW()-1,FALSE))</f>
        <v/>
      </c>
      <c r="AQ466" t="str">
        <f ca="1">IF(AND(ISNUMBER($AQ$1128),$B$677=1),$AQ$1128,HLOOKUP(INDIRECT(ADDRESS(2,COLUMN())),OFFSET($BN$2,0,0,ROW()-1,60),ROW()-1,FALSE))</f>
        <v/>
      </c>
      <c r="AR466" t="str">
        <f ca="1">IF(AND(ISNUMBER($AR$1128),$B$677=1),$AR$1128,HLOOKUP(INDIRECT(ADDRESS(2,COLUMN())),OFFSET($BN$2,0,0,ROW()-1,60),ROW()-1,FALSE))</f>
        <v/>
      </c>
      <c r="AS466">
        <f ca="1">IF(AND(ISNUMBER($AS$1128),$B$677=1),$AS$1128,HLOOKUP(INDIRECT(ADDRESS(2,COLUMN())),OFFSET($BN$2,0,0,ROW()-1,60),ROW()-1,FALSE))</f>
        <v>112.7756072</v>
      </c>
      <c r="AT466" t="str">
        <f ca="1">IF(AND(ISNUMBER($AT$1128),$B$677=1),$AT$1128,HLOOKUP(INDIRECT(ADDRESS(2,COLUMN())),OFFSET($BN$2,0,0,ROW()-1,60),ROW()-1,FALSE))</f>
        <v/>
      </c>
      <c r="AU466" t="str">
        <f ca="1">IF(AND(ISNUMBER($AU$1128),$B$677=1),$AU$1128,HLOOKUP(INDIRECT(ADDRESS(2,COLUMN())),OFFSET($BN$2,0,0,ROW()-1,60),ROW()-1,FALSE))</f>
        <v/>
      </c>
      <c r="AV466">
        <f ca="1">IF(AND(ISNUMBER($AV$1128),$B$677=1),$AV$1128,HLOOKUP(INDIRECT(ADDRESS(2,COLUMN())),OFFSET($BN$2,0,0,ROW()-1,60),ROW()-1,FALSE))</f>
        <v>1.095637368</v>
      </c>
      <c r="AW466">
        <f ca="1">IF(AND(ISNUMBER($AW$1128),$B$677=1),$AW$1128,HLOOKUP(INDIRECT(ADDRESS(2,COLUMN())),OFFSET($BN$2,0,0,ROW()-1,60),ROW()-1,FALSE))</f>
        <v>1.0751965619999999</v>
      </c>
      <c r="AX466">
        <f ca="1">IF(AND(ISNUMBER($AX$1128),$B$677=1),$AX$1128,HLOOKUP(INDIRECT(ADDRESS(2,COLUMN())),OFFSET($BN$2,0,0,ROW()-1,60),ROW()-1,FALSE))</f>
        <v>8.6856870789999991</v>
      </c>
      <c r="AY466">
        <f ca="1">IF(AND(ISNUMBER($AY$1128),$B$677=1),$AY$1128,HLOOKUP(INDIRECT(ADDRESS(2,COLUMN())),OFFSET($BN$2,0,0,ROW()-1,60),ROW()-1,FALSE))</f>
        <v>10.4567312</v>
      </c>
      <c r="AZ466">
        <f ca="1">IF(AND(ISNUMBER($AZ$1128),$B$677=1),$AZ$1128,HLOOKUP(INDIRECT(ADDRESS(2,COLUMN())),OFFSET($BN$2,0,0,ROW()-1,60),ROW()-1,FALSE))</f>
        <v>20.292234650000001</v>
      </c>
      <c r="BA466">
        <f ca="1">IF(AND(ISNUMBER($BA$1128),$B$677=1),$BA$1128,HLOOKUP(INDIRECT(ADDRESS(2,COLUMN())),OFFSET($BN$2,0,0,ROW()-1,60),ROW()-1,FALSE))</f>
        <v>21.25005419</v>
      </c>
      <c r="BB466">
        <f ca="1">IF(AND(ISNUMBER($BB$1128),$B$677=1),$BB$1128,HLOOKUP(INDIRECT(ADDRESS(2,COLUMN())),OFFSET($BN$2,0,0,ROW()-1,60),ROW()-1,FALSE))</f>
        <v>36.076400769999999</v>
      </c>
      <c r="BC466" t="str">
        <f ca="1">IF(AND(ISNUMBER($BC$1128),$B$677=1),$BC$1128,HLOOKUP(INDIRECT(ADDRESS(2,COLUMN())),OFFSET($BN$2,0,0,ROW()-1,60),ROW()-1,FALSE))</f>
        <v/>
      </c>
      <c r="BD466" t="str">
        <f ca="1">IF(AND(ISNUMBER($BD$1128),$B$677=1),$BD$1128,HLOOKUP(INDIRECT(ADDRESS(2,COLUMN())),OFFSET($BN$2,0,0,ROW()-1,60),ROW()-1,FALSE))</f>
        <v/>
      </c>
      <c r="BE466" t="str">
        <f ca="1">IF(AND(ISNUMBER($BE$1128),$B$677=1),$BE$1128,HLOOKUP(INDIRECT(ADDRESS(2,COLUMN())),OFFSET($BN$2,0,0,ROW()-1,60),ROW()-1,FALSE))</f>
        <v/>
      </c>
      <c r="BF466" t="str">
        <f ca="1">IF(AND(ISNUMBER($BF$1128),$B$677=1),$BF$1128,HLOOKUP(INDIRECT(ADDRESS(2,COLUMN())),OFFSET($BN$2,0,0,ROW()-1,60),ROW()-1,FALSE))</f>
        <v/>
      </c>
      <c r="BG466" t="str">
        <f ca="1">IF(AND(ISNUMBER($BG$1128),$B$677=1),$BG$1128,HLOOKUP(INDIRECT(ADDRESS(2,COLUMN())),OFFSET($BN$2,0,0,ROW()-1,60),ROW()-1,FALSE))</f>
        <v/>
      </c>
      <c r="BH466">
        <f ca="1">IF(AND(ISNUMBER($BH$1128),$B$677=1),$BH$1128,HLOOKUP(INDIRECT(ADDRESS(2,COLUMN())),OFFSET($BN$2,0,0,ROW()-1,60),ROW()-1,FALSE))</f>
        <v>32.13258802</v>
      </c>
      <c r="BI466">
        <f ca="1">IF(AND(ISNUMBER($BI$1128),$B$677=1),$BI$1128,HLOOKUP(INDIRECT(ADDRESS(2,COLUMN())),OFFSET($BN$2,0,0,ROW()-1,60),ROW()-1,FALSE))</f>
        <v>23.291865170000001</v>
      </c>
      <c r="BJ466">
        <f ca="1">IF(AND(ISNUMBER($BJ$1128),$B$677=1),$BJ$1128,HLOOKUP(INDIRECT(ADDRESS(2,COLUMN())),OFFSET($BN$2,0,0,ROW()-1,60),ROW()-1,FALSE))</f>
        <v>27.244790590000001</v>
      </c>
      <c r="BK466">
        <f ca="1">IF(AND(ISNUMBER($BK$1128),$B$677=1),$BK$1128,HLOOKUP(INDIRECT(ADDRESS(2,COLUMN())),OFFSET($BN$2,0,0,ROW()-1,60),ROW()-1,FALSE))</f>
        <v>16.174619969999998</v>
      </c>
      <c r="BL466">
        <f ca="1">IF(AND(ISNUMBER($BL$1128),$B$677=1),$BL$1128,HLOOKUP(INDIRECT(ADDRESS(2,COLUMN())),OFFSET($BN$2,0,0,ROW()-1,60),ROW()-1,FALSE))</f>
        <v>16.76182725</v>
      </c>
      <c r="BM466">
        <f ca="1">IF(AND(ISNUMBER($BM$1128),$B$677=1),$BM$1128,HLOOKUP(INDIRECT(ADDRESS(2,COLUMN())),OFFSET($BN$2,0,0,ROW()-1,60),ROW()-1,FALSE))</f>
        <v>16.72410786</v>
      </c>
      <c r="BN466" t="str">
        <f>""</f>
        <v/>
      </c>
      <c r="BO466" t="str">
        <f>""</f>
        <v/>
      </c>
      <c r="BP466" t="str">
        <f>""</f>
        <v/>
      </c>
      <c r="BQ466">
        <f>14.06421525</f>
        <v>14.06421525</v>
      </c>
      <c r="BR466">
        <f>15.83045502</f>
        <v>15.83045502</v>
      </c>
      <c r="BS466">
        <f>31.18196994</f>
        <v>31.181969939999998</v>
      </c>
      <c r="BT466">
        <f>13.62784938</f>
        <v>13.627849380000001</v>
      </c>
      <c r="BU466" t="str">
        <f>""</f>
        <v/>
      </c>
      <c r="BV466" t="str">
        <f>""</f>
        <v/>
      </c>
      <c r="BW466" t="str">
        <f>""</f>
        <v/>
      </c>
      <c r="BX466" t="str">
        <f>""</f>
        <v/>
      </c>
      <c r="BY466" t="str">
        <f>""</f>
        <v/>
      </c>
      <c r="BZ466" t="str">
        <f>""</f>
        <v/>
      </c>
      <c r="CA466" t="str">
        <f>""</f>
        <v/>
      </c>
      <c r="CB466">
        <f>72.68983058</f>
        <v>72.689830580000006</v>
      </c>
      <c r="CC466">
        <f>49.27485297</f>
        <v>49.274852969999998</v>
      </c>
      <c r="CD466">
        <f>25.0002603</f>
        <v>25.000260300000001</v>
      </c>
      <c r="CE466">
        <f>24.57333097</f>
        <v>24.573330970000001</v>
      </c>
      <c r="CF466">
        <f>18.93394376</f>
        <v>18.933943759999998</v>
      </c>
      <c r="CG466">
        <f>16.9892037</f>
        <v>16.989203700000001</v>
      </c>
      <c r="CH466">
        <f>18.57730698</f>
        <v>18.577306979999999</v>
      </c>
      <c r="CI466">
        <f>20.68804088</f>
        <v>20.688040879999999</v>
      </c>
      <c r="CJ466">
        <f>12.39614508</f>
        <v>12.39614508</v>
      </c>
      <c r="CK466">
        <f>14.05876289</f>
        <v>14.058762890000001</v>
      </c>
      <c r="CL466">
        <f>7.548574426</f>
        <v>7.5485744260000001</v>
      </c>
      <c r="CM466">
        <f>3.979012628</f>
        <v>3.979012628</v>
      </c>
      <c r="CN466">
        <f>4.290723958</f>
        <v>4.2907239580000001</v>
      </c>
      <c r="CO466">
        <f>4.39271388</f>
        <v>4.3927138799999996</v>
      </c>
      <c r="CP466">
        <f>1.627669664</f>
        <v>1.6276696639999999</v>
      </c>
      <c r="CQ466">
        <f>5.255183248</f>
        <v>5.2551832479999998</v>
      </c>
      <c r="CR466">
        <f>3.62164938</f>
        <v>3.62164938</v>
      </c>
      <c r="CS466" t="str">
        <f>""</f>
        <v/>
      </c>
      <c r="CT466" t="str">
        <f>""</f>
        <v/>
      </c>
      <c r="CU466">
        <f>15.50805205</f>
        <v>15.50805205</v>
      </c>
      <c r="CV466">
        <f>16.628827</f>
        <v>16.628827000000001</v>
      </c>
      <c r="CW466">
        <f>18.49041819</f>
        <v>18.49041819</v>
      </c>
      <c r="CX466" t="str">
        <f>""</f>
        <v/>
      </c>
      <c r="CY466" t="str">
        <f>""</f>
        <v/>
      </c>
      <c r="CZ466" t="str">
        <f>""</f>
        <v/>
      </c>
      <c r="DA466">
        <f>112.7756072</f>
        <v>112.7756072</v>
      </c>
      <c r="DB466" t="str">
        <f>""</f>
        <v/>
      </c>
      <c r="DC466" t="str">
        <f>""</f>
        <v/>
      </c>
      <c r="DD466">
        <f>1.095637368</f>
        <v>1.095637368</v>
      </c>
      <c r="DE466">
        <f>1.075196562</f>
        <v>1.0751965619999999</v>
      </c>
      <c r="DF466">
        <f>8.685687079</f>
        <v>8.6856870789999991</v>
      </c>
      <c r="DG466">
        <f>10.4567312</f>
        <v>10.4567312</v>
      </c>
      <c r="DH466">
        <f>20.29223465</f>
        <v>20.292234650000001</v>
      </c>
      <c r="DI466">
        <f>21.25005419</f>
        <v>21.25005419</v>
      </c>
      <c r="DJ466">
        <f>36.07640077</f>
        <v>36.076400769999999</v>
      </c>
      <c r="DK466" t="str">
        <f>""</f>
        <v/>
      </c>
      <c r="DL466" t="str">
        <f>""</f>
        <v/>
      </c>
      <c r="DM466" t="str">
        <f>""</f>
        <v/>
      </c>
      <c r="DN466" t="str">
        <f>""</f>
        <v/>
      </c>
      <c r="DO466" t="str">
        <f>""</f>
        <v/>
      </c>
      <c r="DP466">
        <f>32.13258802</f>
        <v>32.13258802</v>
      </c>
      <c r="DQ466">
        <f>23.29186517</f>
        <v>23.291865170000001</v>
      </c>
      <c r="DR466">
        <f>27.24479059</f>
        <v>27.244790590000001</v>
      </c>
      <c r="DS466">
        <f>16.17461997</f>
        <v>16.174619969999998</v>
      </c>
      <c r="DT466">
        <f>16.76182725</f>
        <v>16.76182725</v>
      </c>
      <c r="DU466">
        <f>16.72410786</f>
        <v>16.72410786</v>
      </c>
    </row>
    <row r="467" spans="1:125" x14ac:dyDescent="0.25">
      <c r="A467" t="str">
        <f>"    FAW CAR Co Ltd"</f>
        <v xml:space="preserve">    FAW CAR Co Ltd</v>
      </c>
      <c r="B467" t="str">
        <f>"000800 CH Equity"</f>
        <v>000800 CH Equity</v>
      </c>
      <c r="C467" t="str">
        <f t="shared" si="33"/>
        <v>RR476</v>
      </c>
      <c r="D467" t="str">
        <f t="shared" si="34"/>
        <v>EV_TO_T12M_NET_INCOME</v>
      </c>
      <c r="E467" t="str">
        <f t="shared" si="35"/>
        <v>Dynamic</v>
      </c>
      <c r="F467" t="str">
        <f ca="1">IF(AND(ISNUMBER($F$1129),$B$677=1),$F$1129,HLOOKUP(INDIRECT(ADDRESS(2,COLUMN())),OFFSET($BN$2,0,0,ROW()-1,60),ROW()-1,FALSE))</f>
        <v/>
      </c>
      <c r="G467" t="str">
        <f ca="1">IF(AND(ISNUMBER($G$1129),$B$677=1),$G$1129,HLOOKUP(INDIRECT(ADDRESS(2,COLUMN())),OFFSET($BN$2,0,0,ROW()-1,60),ROW()-1,FALSE))</f>
        <v/>
      </c>
      <c r="H467">
        <f ca="1">IF(AND(ISNUMBER($H$1129),$B$677=1),$H$1129,HLOOKUP(INDIRECT(ADDRESS(2,COLUMN())),OFFSET($BN$2,0,0,ROW()-1,60),ROW()-1,FALSE))</f>
        <v>80.863686709999996</v>
      </c>
      <c r="I467">
        <f ca="1">IF(AND(ISNUMBER($I$1129),$B$677=1),$I$1129,HLOOKUP(INDIRECT(ADDRESS(2,COLUMN())),OFFSET($BN$2,0,0,ROW()-1,60),ROW()-1,FALSE))</f>
        <v>127.151608</v>
      </c>
      <c r="J467">
        <f ca="1">IF(AND(ISNUMBER($J$1129),$B$677=1),$J$1129,HLOOKUP(INDIRECT(ADDRESS(2,COLUMN())),OFFSET($BN$2,0,0,ROW()-1,60),ROW()-1,FALSE))</f>
        <v>87.606079109999996</v>
      </c>
      <c r="K467">
        <f ca="1">IF(AND(ISNUMBER($K$1129),$B$677=1),$K$1129,HLOOKUP(INDIRECT(ADDRESS(2,COLUMN())),OFFSET($BN$2,0,0,ROW()-1,60),ROW()-1,FALSE))</f>
        <v>58.57864764</v>
      </c>
      <c r="L467">
        <f ca="1">IF(AND(ISNUMBER($L$1129),$B$677=1),$L$1129,HLOOKUP(INDIRECT(ADDRESS(2,COLUMN())),OFFSET($BN$2,0,0,ROW()-1,60),ROW()-1,FALSE))</f>
        <v>427.72166559999999</v>
      </c>
      <c r="M467">
        <f ca="1">IF(AND(ISNUMBER($M$1129),$B$677=1),$M$1129,HLOOKUP(INDIRECT(ADDRESS(2,COLUMN())),OFFSET($BN$2,0,0,ROW()-1,60),ROW()-1,FALSE))</f>
        <v>124.116401</v>
      </c>
      <c r="N467" t="str">
        <f ca="1">IF(AND(ISNUMBER($N$1129),$B$677=1),$N$1129,HLOOKUP(INDIRECT(ADDRESS(2,COLUMN())),OFFSET($BN$2,0,0,ROW()-1,60),ROW()-1,FALSE))</f>
        <v/>
      </c>
      <c r="O467" t="str">
        <f ca="1">IF(AND(ISNUMBER($O$1129),$B$677=1),$O$1129,HLOOKUP(INDIRECT(ADDRESS(2,COLUMN())),OFFSET($BN$2,0,0,ROW()-1,60),ROW()-1,FALSE))</f>
        <v/>
      </c>
      <c r="P467" t="str">
        <f ca="1">IF(AND(ISNUMBER($P$1129),$B$677=1),$P$1129,HLOOKUP(INDIRECT(ADDRESS(2,COLUMN())),OFFSET($BN$2,0,0,ROW()-1,60),ROW()-1,FALSE))</f>
        <v/>
      </c>
      <c r="Q467" t="str">
        <f ca="1">IF(AND(ISNUMBER($Q$1129),$B$677=1),$Q$1129,HLOOKUP(INDIRECT(ADDRESS(2,COLUMN())),OFFSET($BN$2,0,0,ROW()-1,60),ROW()-1,FALSE))</f>
        <v/>
      </c>
      <c r="R467" t="str">
        <f ca="1">IF(AND(ISNUMBER($R$1129),$B$677=1),$R$1129,HLOOKUP(INDIRECT(ADDRESS(2,COLUMN())),OFFSET($BN$2,0,0,ROW()-1,60),ROW()-1,FALSE))</f>
        <v/>
      </c>
      <c r="S467">
        <f ca="1">IF(AND(ISNUMBER($S$1129),$B$677=1),$S$1129,HLOOKUP(INDIRECT(ADDRESS(2,COLUMN())),OFFSET($BN$2,0,0,ROW()-1,60),ROW()-1,FALSE))</f>
        <v>590.79498530000001</v>
      </c>
      <c r="T467" t="str">
        <f ca="1">IF(AND(ISNUMBER($T$1129),$B$677=1),$T$1129,HLOOKUP(INDIRECT(ADDRESS(2,COLUMN())),OFFSET($BN$2,0,0,ROW()-1,60),ROW()-1,FALSE))</f>
        <v/>
      </c>
      <c r="U467" t="str">
        <f ca="1">IF(AND(ISNUMBER($U$1129),$B$677=1),$U$1129,HLOOKUP(INDIRECT(ADDRESS(2,COLUMN())),OFFSET($BN$2,0,0,ROW()-1,60),ROW()-1,FALSE))</f>
        <v/>
      </c>
      <c r="V467">
        <f ca="1">IF(AND(ISNUMBER($V$1129),$B$677=1),$V$1129,HLOOKUP(INDIRECT(ADDRESS(2,COLUMN())),OFFSET($BN$2,0,0,ROW()-1,60),ROW()-1,FALSE))</f>
        <v>1604.1244859999999</v>
      </c>
      <c r="W467">
        <f ca="1">IF(AND(ISNUMBER($W$1129),$B$677=1),$W$1129,HLOOKUP(INDIRECT(ADDRESS(2,COLUMN())),OFFSET($BN$2,0,0,ROW()-1,60),ROW()-1,FALSE))</f>
        <v>173.2619736</v>
      </c>
      <c r="X467">
        <f ca="1">IF(AND(ISNUMBER($X$1129),$B$677=1),$X$1129,HLOOKUP(INDIRECT(ADDRESS(2,COLUMN())),OFFSET($BN$2,0,0,ROW()-1,60),ROW()-1,FALSE))</f>
        <v>39.738281800000003</v>
      </c>
      <c r="Y467">
        <f ca="1">IF(AND(ISNUMBER($Y$1129),$B$677=1),$Y$1129,HLOOKUP(INDIRECT(ADDRESS(2,COLUMN())),OFFSET($BN$2,0,0,ROW()-1,60),ROW()-1,FALSE))</f>
        <v>23.801125160000002</v>
      </c>
      <c r="Z467">
        <f ca="1">IF(AND(ISNUMBER($Z$1129),$B$677=1),$Z$1129,HLOOKUP(INDIRECT(ADDRESS(2,COLUMN())),OFFSET($BN$2,0,0,ROW()-1,60),ROW()-1,FALSE))</f>
        <v>19.036968760000001</v>
      </c>
      <c r="AA467">
        <f ca="1">IF(AND(ISNUMBER($AA$1129),$B$677=1),$AA$1129,HLOOKUP(INDIRECT(ADDRESS(2,COLUMN())),OFFSET($BN$2,0,0,ROW()-1,60),ROW()-1,FALSE))</f>
        <v>20.417019360000001</v>
      </c>
      <c r="AB467">
        <f ca="1">IF(AND(ISNUMBER($AB$1129),$B$677=1),$AB$1129,HLOOKUP(INDIRECT(ADDRESS(2,COLUMN())),OFFSET($BN$2,0,0,ROW()-1,60),ROW()-1,FALSE))</f>
        <v>66.947508799999994</v>
      </c>
      <c r="AC467" t="str">
        <f ca="1">IF(AND(ISNUMBER($AC$1129),$B$677=1),$AC$1129,HLOOKUP(INDIRECT(ADDRESS(2,COLUMN())),OFFSET($BN$2,0,0,ROW()-1,60),ROW()-1,FALSE))</f>
        <v/>
      </c>
      <c r="AD467" t="str">
        <f ca="1">IF(AND(ISNUMBER($AD$1129),$B$677=1),$AD$1129,HLOOKUP(INDIRECT(ADDRESS(2,COLUMN())),OFFSET($BN$2,0,0,ROW()-1,60),ROW()-1,FALSE))</f>
        <v/>
      </c>
      <c r="AE467" t="str">
        <f ca="1">IF(AND(ISNUMBER($AE$1129),$B$677=1),$AE$1129,HLOOKUP(INDIRECT(ADDRESS(2,COLUMN())),OFFSET($BN$2,0,0,ROW()-1,60),ROW()-1,FALSE))</f>
        <v/>
      </c>
      <c r="AF467" t="str">
        <f ca="1">IF(AND(ISNUMBER($AF$1129),$B$677=1),$AF$1129,HLOOKUP(INDIRECT(ADDRESS(2,COLUMN())),OFFSET($BN$2,0,0,ROW()-1,60),ROW()-1,FALSE))</f>
        <v/>
      </c>
      <c r="AG467" t="str">
        <f ca="1">IF(AND(ISNUMBER($AG$1129),$B$677=1),$AG$1129,HLOOKUP(INDIRECT(ADDRESS(2,COLUMN())),OFFSET($BN$2,0,0,ROW()-1,60),ROW()-1,FALSE))</f>
        <v/>
      </c>
      <c r="AH467" t="str">
        <f ca="1">IF(AND(ISNUMBER($AH$1129),$B$677=1),$AH$1129,HLOOKUP(INDIRECT(ADDRESS(2,COLUMN())),OFFSET($BN$2,0,0,ROW()-1,60),ROW()-1,FALSE))</f>
        <v/>
      </c>
      <c r="AI467">
        <f ca="1">IF(AND(ISNUMBER($AI$1129),$B$677=1),$AI$1129,HLOOKUP(INDIRECT(ADDRESS(2,COLUMN())),OFFSET($BN$2,0,0,ROW()-1,60),ROW()-1,FALSE))</f>
        <v>65.399940970000003</v>
      </c>
      <c r="AJ467">
        <f ca="1">IF(AND(ISNUMBER($AJ$1129),$B$677=1),$AJ$1129,HLOOKUP(INDIRECT(ADDRESS(2,COLUMN())),OFFSET($BN$2,0,0,ROW()-1,60),ROW()-1,FALSE))</f>
        <v>22.81799337</v>
      </c>
      <c r="AK467">
        <f ca="1">IF(AND(ISNUMBER($AK$1129),$B$677=1),$AK$1129,HLOOKUP(INDIRECT(ADDRESS(2,COLUMN())),OFFSET($BN$2,0,0,ROW()-1,60),ROW()-1,FALSE))</f>
        <v>16.479722219999999</v>
      </c>
      <c r="AL467">
        <f ca="1">IF(AND(ISNUMBER($AL$1129),$B$677=1),$AL$1129,HLOOKUP(INDIRECT(ADDRESS(2,COLUMN())),OFFSET($BN$2,0,0,ROW()-1,60),ROW()-1,FALSE))</f>
        <v>16.46272519</v>
      </c>
      <c r="AM467">
        <f ca="1">IF(AND(ISNUMBER($AM$1129),$B$677=1),$AM$1129,HLOOKUP(INDIRECT(ADDRESS(2,COLUMN())),OFFSET($BN$2,0,0,ROW()-1,60),ROW()-1,FALSE))</f>
        <v>12.26296262</v>
      </c>
      <c r="AN467">
        <f ca="1">IF(AND(ISNUMBER($AN$1129),$B$677=1),$AN$1129,HLOOKUP(INDIRECT(ADDRESS(2,COLUMN())),OFFSET($BN$2,0,0,ROW()-1,60),ROW()-1,FALSE))</f>
        <v>10.05050245</v>
      </c>
      <c r="AO467">
        <f ca="1">IF(AND(ISNUMBER($AO$1129),$B$677=1),$AO$1129,HLOOKUP(INDIRECT(ADDRESS(2,COLUMN())),OFFSET($BN$2,0,0,ROW()-1,60),ROW()-1,FALSE))</f>
        <v>8.743819319</v>
      </c>
      <c r="AP467">
        <f ca="1">IF(AND(ISNUMBER($AP$1129),$B$677=1),$AP$1129,HLOOKUP(INDIRECT(ADDRESS(2,COLUMN())),OFFSET($BN$2,0,0,ROW()-1,60),ROW()-1,FALSE))</f>
        <v>15.32023498</v>
      </c>
      <c r="AQ467">
        <f ca="1">IF(AND(ISNUMBER($AQ$1129),$B$677=1),$AQ$1129,HLOOKUP(INDIRECT(ADDRESS(2,COLUMN())),OFFSET($BN$2,0,0,ROW()-1,60),ROW()-1,FALSE))</f>
        <v>24.374394939999998</v>
      </c>
      <c r="AR467">
        <f ca="1">IF(AND(ISNUMBER($AR$1129),$B$677=1),$AR$1129,HLOOKUP(INDIRECT(ADDRESS(2,COLUMN())),OFFSET($BN$2,0,0,ROW()-1,60),ROW()-1,FALSE))</f>
        <v>21.412580460000001</v>
      </c>
      <c r="AS467">
        <f ca="1">IF(AND(ISNUMBER($AS$1129),$B$677=1),$AS$1129,HLOOKUP(INDIRECT(ADDRESS(2,COLUMN())),OFFSET($BN$2,0,0,ROW()-1,60),ROW()-1,FALSE))</f>
        <v>19.703425759999998</v>
      </c>
      <c r="AT467">
        <f ca="1">IF(AND(ISNUMBER($AT$1129),$B$677=1),$AT$1129,HLOOKUP(INDIRECT(ADDRESS(2,COLUMN())),OFFSET($BN$2,0,0,ROW()-1,60),ROW()-1,FALSE))</f>
        <v>16.426804929999999</v>
      </c>
      <c r="AU467">
        <f ca="1">IF(AND(ISNUMBER($AU$1129),$B$677=1),$AU$1129,HLOOKUP(INDIRECT(ADDRESS(2,COLUMN())),OFFSET($BN$2,0,0,ROW()-1,60),ROW()-1,FALSE))</f>
        <v>9.0214884850000008</v>
      </c>
      <c r="AV467">
        <f ca="1">IF(AND(ISNUMBER($AV$1129),$B$677=1),$AV$1129,HLOOKUP(INDIRECT(ADDRESS(2,COLUMN())),OFFSET($BN$2,0,0,ROW()-1,60),ROW()-1,FALSE))</f>
        <v>9.991253876</v>
      </c>
      <c r="AW467">
        <f ca="1">IF(AND(ISNUMBER($AW$1129),$B$677=1),$AW$1129,HLOOKUP(INDIRECT(ADDRESS(2,COLUMN())),OFFSET($BN$2,0,0,ROW()-1,60),ROW()-1,FALSE))</f>
        <v>11.7117667</v>
      </c>
      <c r="AX467">
        <f ca="1">IF(AND(ISNUMBER($AX$1129),$B$677=1),$AX$1129,HLOOKUP(INDIRECT(ADDRESS(2,COLUMN())),OFFSET($BN$2,0,0,ROW()-1,60),ROW()-1,FALSE))</f>
        <v>23.417603679999999</v>
      </c>
      <c r="AY467">
        <f ca="1">IF(AND(ISNUMBER($AY$1129),$B$677=1),$AY$1129,HLOOKUP(INDIRECT(ADDRESS(2,COLUMN())),OFFSET($BN$2,0,0,ROW()-1,60),ROW()-1,FALSE))</f>
        <v>50.293129499999999</v>
      </c>
      <c r="AZ467">
        <f ca="1">IF(AND(ISNUMBER($AZ$1129),$B$677=1),$AZ$1129,HLOOKUP(INDIRECT(ADDRESS(2,COLUMN())),OFFSET($BN$2,0,0,ROW()-1,60),ROW()-1,FALSE))</f>
        <v>61.799568129999997</v>
      </c>
      <c r="BA467">
        <f ca="1">IF(AND(ISNUMBER($BA$1129),$B$677=1),$BA$1129,HLOOKUP(INDIRECT(ADDRESS(2,COLUMN())),OFFSET($BN$2,0,0,ROW()-1,60),ROW()-1,FALSE))</f>
        <v>63.463997589999998</v>
      </c>
      <c r="BB467">
        <f ca="1">IF(AND(ISNUMBER($BB$1129),$B$677=1),$BB$1129,HLOOKUP(INDIRECT(ADDRESS(2,COLUMN())),OFFSET($BN$2,0,0,ROW()-1,60),ROW()-1,FALSE))</f>
        <v>45.565924520000003</v>
      </c>
      <c r="BC467">
        <f ca="1">IF(AND(ISNUMBER($BC$1129),$B$677=1),$BC$1129,HLOOKUP(INDIRECT(ADDRESS(2,COLUMN())),OFFSET($BN$2,0,0,ROW()-1,60),ROW()-1,FALSE))</f>
        <v>13.99009571</v>
      </c>
      <c r="BD467">
        <f ca="1">IF(AND(ISNUMBER($BD$1129),$B$677=1),$BD$1129,HLOOKUP(INDIRECT(ADDRESS(2,COLUMN())),OFFSET($BN$2,0,0,ROW()-1,60),ROW()-1,FALSE))</f>
        <v>18.475392679999999</v>
      </c>
      <c r="BE467">
        <f ca="1">IF(AND(ISNUMBER($BE$1129),$B$677=1),$BE$1129,HLOOKUP(INDIRECT(ADDRESS(2,COLUMN())),OFFSET($BN$2,0,0,ROW()-1,60),ROW()-1,FALSE))</f>
        <v>7.8853291690000002</v>
      </c>
      <c r="BF467">
        <f ca="1">IF(AND(ISNUMBER($BF$1129),$B$677=1),$BF$1129,HLOOKUP(INDIRECT(ADDRESS(2,COLUMN())),OFFSET($BN$2,0,0,ROW()-1,60),ROW()-1,FALSE))</f>
        <v>6.0813879929999999</v>
      </c>
      <c r="BG467">
        <f ca="1">IF(AND(ISNUMBER($BG$1129),$B$677=1),$BG$1129,HLOOKUP(INDIRECT(ADDRESS(2,COLUMN())),OFFSET($BN$2,0,0,ROW()-1,60),ROW()-1,FALSE))</f>
        <v>6.4548582200000002</v>
      </c>
      <c r="BH467">
        <f ca="1">IF(AND(ISNUMBER($BH$1129),$B$677=1),$BH$1129,HLOOKUP(INDIRECT(ADDRESS(2,COLUMN())),OFFSET($BN$2,0,0,ROW()-1,60),ROW()-1,FALSE))</f>
        <v>15.62968862</v>
      </c>
      <c r="BI467">
        <f ca="1">IF(AND(ISNUMBER($BI$1129),$B$677=1),$BI$1129,HLOOKUP(INDIRECT(ADDRESS(2,COLUMN())),OFFSET($BN$2,0,0,ROW()-1,60),ROW()-1,FALSE))</f>
        <v>11.40087553</v>
      </c>
      <c r="BJ467">
        <f ca="1">IF(AND(ISNUMBER($BJ$1129),$B$677=1),$BJ$1129,HLOOKUP(INDIRECT(ADDRESS(2,COLUMN())),OFFSET($BN$2,0,0,ROW()-1,60),ROW()-1,FALSE))</f>
        <v>22.621651669999999</v>
      </c>
      <c r="BK467">
        <f ca="1">IF(AND(ISNUMBER($BK$1129),$B$677=1),$BK$1129,HLOOKUP(INDIRECT(ADDRESS(2,COLUMN())),OFFSET($BN$2,0,0,ROW()-1,60),ROW()-1,FALSE))</f>
        <v>16.990202719999999</v>
      </c>
      <c r="BL467">
        <f ca="1">IF(AND(ISNUMBER($BL$1129),$B$677=1),$BL$1129,HLOOKUP(INDIRECT(ADDRESS(2,COLUMN())),OFFSET($BN$2,0,0,ROW()-1,60),ROW()-1,FALSE))</f>
        <v>15.55146835</v>
      </c>
      <c r="BM467">
        <f ca="1">IF(AND(ISNUMBER($BM$1129),$B$677=1),$BM$1129,HLOOKUP(INDIRECT(ADDRESS(2,COLUMN())),OFFSET($BN$2,0,0,ROW()-1,60),ROW()-1,FALSE))</f>
        <v>12.28045185</v>
      </c>
      <c r="BN467" t="str">
        <f>""</f>
        <v/>
      </c>
      <c r="BO467" t="str">
        <f>""</f>
        <v/>
      </c>
      <c r="BP467">
        <f>80.86368671</f>
        <v>80.863686709999996</v>
      </c>
      <c r="BQ467">
        <f>127.151608</f>
        <v>127.151608</v>
      </c>
      <c r="BR467">
        <f>87.60607911</f>
        <v>87.606079109999996</v>
      </c>
      <c r="BS467">
        <f>58.57864764</f>
        <v>58.57864764</v>
      </c>
      <c r="BT467">
        <f>427.7216656</f>
        <v>427.72166559999999</v>
      </c>
      <c r="BU467">
        <f>124.116401</f>
        <v>124.116401</v>
      </c>
      <c r="BV467" t="str">
        <f>""</f>
        <v/>
      </c>
      <c r="BW467" t="str">
        <f>""</f>
        <v/>
      </c>
      <c r="BX467" t="str">
        <f>""</f>
        <v/>
      </c>
      <c r="BY467" t="str">
        <f>""</f>
        <v/>
      </c>
      <c r="BZ467" t="str">
        <f>""</f>
        <v/>
      </c>
      <c r="CA467">
        <f>590.7949853</f>
        <v>590.79498530000001</v>
      </c>
      <c r="CB467" t="str">
        <f>""</f>
        <v/>
      </c>
      <c r="CC467" t="str">
        <f>""</f>
        <v/>
      </c>
      <c r="CD467">
        <f>1604.124486</f>
        <v>1604.1244859999999</v>
      </c>
      <c r="CE467">
        <f>173.2619736</f>
        <v>173.2619736</v>
      </c>
      <c r="CF467">
        <f>39.7382818</f>
        <v>39.738281800000003</v>
      </c>
      <c r="CG467">
        <f>23.80112516</f>
        <v>23.801125160000002</v>
      </c>
      <c r="CH467">
        <f>19.03696876</f>
        <v>19.036968760000001</v>
      </c>
      <c r="CI467">
        <f>20.41701936</f>
        <v>20.417019360000001</v>
      </c>
      <c r="CJ467">
        <f>66.9475088</f>
        <v>66.947508799999994</v>
      </c>
      <c r="CK467" t="str">
        <f>""</f>
        <v/>
      </c>
      <c r="CL467" t="str">
        <f>""</f>
        <v/>
      </c>
      <c r="CM467" t="str">
        <f>""</f>
        <v/>
      </c>
      <c r="CN467" t="str">
        <f>""</f>
        <v/>
      </c>
      <c r="CO467" t="str">
        <f>""</f>
        <v/>
      </c>
      <c r="CP467" t="str">
        <f>""</f>
        <v/>
      </c>
      <c r="CQ467">
        <f>65.39994097</f>
        <v>65.399940970000003</v>
      </c>
      <c r="CR467">
        <f>22.81799337</f>
        <v>22.81799337</v>
      </c>
      <c r="CS467">
        <f>16.47972222</f>
        <v>16.479722219999999</v>
      </c>
      <c r="CT467">
        <f>16.46272519</f>
        <v>16.46272519</v>
      </c>
      <c r="CU467">
        <f>12.26296262</f>
        <v>12.26296262</v>
      </c>
      <c r="CV467">
        <f>10.05050245</f>
        <v>10.05050245</v>
      </c>
      <c r="CW467">
        <f>8.743819319</f>
        <v>8.743819319</v>
      </c>
      <c r="CX467">
        <f>15.32023498</f>
        <v>15.32023498</v>
      </c>
      <c r="CY467">
        <f>24.37439494</f>
        <v>24.374394939999998</v>
      </c>
      <c r="CZ467">
        <f>21.41258046</f>
        <v>21.412580460000001</v>
      </c>
      <c r="DA467">
        <f>19.70342576</f>
        <v>19.703425759999998</v>
      </c>
      <c r="DB467">
        <f>16.42680493</f>
        <v>16.426804929999999</v>
      </c>
      <c r="DC467">
        <f>9.021488485</f>
        <v>9.0214884850000008</v>
      </c>
      <c r="DD467">
        <f>9.991253876</f>
        <v>9.991253876</v>
      </c>
      <c r="DE467">
        <f>11.7117667</f>
        <v>11.7117667</v>
      </c>
      <c r="DF467">
        <f>23.41760368</f>
        <v>23.417603679999999</v>
      </c>
      <c r="DG467">
        <f>50.2931295</f>
        <v>50.293129499999999</v>
      </c>
      <c r="DH467">
        <f>61.79956813</f>
        <v>61.799568129999997</v>
      </c>
      <c r="DI467">
        <f>63.46399759</f>
        <v>63.463997589999998</v>
      </c>
      <c r="DJ467">
        <f>45.56592452</f>
        <v>45.565924520000003</v>
      </c>
      <c r="DK467">
        <f>13.99009571</f>
        <v>13.99009571</v>
      </c>
      <c r="DL467">
        <f>18.47539268</f>
        <v>18.475392679999999</v>
      </c>
      <c r="DM467">
        <f>7.885329169</f>
        <v>7.8853291690000002</v>
      </c>
      <c r="DN467">
        <f>6.081387993</f>
        <v>6.0813879929999999</v>
      </c>
      <c r="DO467">
        <f>6.45485822</f>
        <v>6.4548582200000002</v>
      </c>
      <c r="DP467">
        <f>15.62968862</f>
        <v>15.62968862</v>
      </c>
      <c r="DQ467">
        <f>11.40087553</f>
        <v>11.40087553</v>
      </c>
      <c r="DR467">
        <f>22.62165167</f>
        <v>22.621651669999999</v>
      </c>
      <c r="DS467">
        <f>16.99020272</f>
        <v>16.990202719999999</v>
      </c>
      <c r="DT467">
        <f>15.55146835</f>
        <v>15.55146835</v>
      </c>
      <c r="DU467">
        <f>12.28045185</f>
        <v>12.28045185</v>
      </c>
    </row>
    <row r="468" spans="1:125" x14ac:dyDescent="0.25">
      <c r="A468" t="str">
        <f>"    Fiat Chrysler Automobiles NV"</f>
        <v xml:space="preserve">    Fiat Chrysler Automobiles NV</v>
      </c>
      <c r="B468" t="str">
        <f>"FCAU US Equity"</f>
        <v>FCAU US Equity</v>
      </c>
      <c r="C468" t="str">
        <f t="shared" si="33"/>
        <v>RR476</v>
      </c>
      <c r="D468" t="str">
        <f t="shared" si="34"/>
        <v>EV_TO_T12M_NET_INCOME</v>
      </c>
      <c r="E468" t="str">
        <f t="shared" si="35"/>
        <v>Dynamic</v>
      </c>
      <c r="F468" t="str">
        <f ca="1">IF(AND(ISNUMBER($F$1130),$B$677=1),$F$1130,HLOOKUP(INDIRECT(ADDRESS(2,COLUMN())),OFFSET($BN$2,0,0,ROW()-1,60),ROW()-1,FALSE))</f>
        <v/>
      </c>
      <c r="G468">
        <f ca="1">IF(AND(ISNUMBER($G$1130),$B$677=1),$G$1130,HLOOKUP(INDIRECT(ADDRESS(2,COLUMN())),OFFSET($BN$2,0,0,ROW()-1,60),ROW()-1,FALSE))</f>
        <v>7.3973423020000002</v>
      </c>
      <c r="H468">
        <f ca="1">IF(AND(ISNUMBER($H$1130),$B$677=1),$H$1130,HLOOKUP(INDIRECT(ADDRESS(2,COLUMN())),OFFSET($BN$2,0,0,ROW()-1,60),ROW()-1,FALSE))</f>
        <v>10.239997109999999</v>
      </c>
      <c r="I468">
        <f ca="1">IF(AND(ISNUMBER($I$1130),$B$677=1),$I$1130,HLOOKUP(INDIRECT(ADDRESS(2,COLUMN())),OFFSET($BN$2,0,0,ROW()-1,60),ROW()-1,FALSE))</f>
        <v>9.6513064320000002</v>
      </c>
      <c r="J468">
        <f ca="1">IF(AND(ISNUMBER($J$1130),$B$677=1),$J$1130,HLOOKUP(INDIRECT(ADDRESS(2,COLUMN())),OFFSET($BN$2,0,0,ROW()-1,60),ROW()-1,FALSE))</f>
        <v>9.3909340100000005</v>
      </c>
      <c r="K468">
        <f ca="1">IF(AND(ISNUMBER($K$1130),$B$677=1),$K$1130,HLOOKUP(INDIRECT(ADDRESS(2,COLUMN())),OFFSET($BN$2,0,0,ROW()-1,60),ROW()-1,FALSE))</f>
        <v>9.7970708519999992</v>
      </c>
      <c r="L468">
        <f ca="1">IF(AND(ISNUMBER($L$1130),$B$677=1),$L$1130,HLOOKUP(INDIRECT(ADDRESS(2,COLUMN())),OFFSET($BN$2,0,0,ROW()-1,60),ROW()-1,FALSE))</f>
        <v>11.453912559999999</v>
      </c>
      <c r="M468">
        <f ca="1">IF(AND(ISNUMBER($M$1130),$B$677=1),$M$1130,HLOOKUP(INDIRECT(ADDRESS(2,COLUMN())),OFFSET($BN$2,0,0,ROW()-1,60),ROW()-1,FALSE))</f>
        <v>8.5999732079999998</v>
      </c>
      <c r="N468">
        <f ca="1">IF(AND(ISNUMBER($N$1130),$B$677=1),$N$1130,HLOOKUP(INDIRECT(ADDRESS(2,COLUMN())),OFFSET($BN$2,0,0,ROW()-1,60),ROW()-1,FALSE))</f>
        <v>13.405489169999999</v>
      </c>
      <c r="O468">
        <f ca="1">IF(AND(ISNUMBER($O$1130),$B$677=1),$O$1130,HLOOKUP(INDIRECT(ADDRESS(2,COLUMN())),OFFSET($BN$2,0,0,ROW()-1,60),ROW()-1,FALSE))</f>
        <v>12.28588822</v>
      </c>
      <c r="P468">
        <f ca="1">IF(AND(ISNUMBER($P$1130),$B$677=1),$P$1130,HLOOKUP(INDIRECT(ADDRESS(2,COLUMN())),OFFSET($BN$2,0,0,ROW()-1,60),ROW()-1,FALSE))</f>
        <v>10.70959173</v>
      </c>
      <c r="Q468">
        <f ca="1">IF(AND(ISNUMBER($Q$1130),$B$677=1),$Q$1130,HLOOKUP(INDIRECT(ADDRESS(2,COLUMN())),OFFSET($BN$2,0,0,ROW()-1,60),ROW()-1,FALSE))</f>
        <v>22.106589889999999</v>
      </c>
      <c r="R468">
        <f ca="1">IF(AND(ISNUMBER($R$1130),$B$677=1),$R$1130,HLOOKUP(INDIRECT(ADDRESS(2,COLUMN())),OFFSET($BN$2,0,0,ROW()-1,60),ROW()-1,FALSE))</f>
        <v>27.365034059999999</v>
      </c>
      <c r="S468">
        <f ca="1">IF(AND(ISNUMBER($S$1130),$B$677=1),$S$1130,HLOOKUP(INDIRECT(ADDRESS(2,COLUMN())),OFFSET($BN$2,0,0,ROW()-1,60),ROW()-1,FALSE))</f>
        <v>83.306789969999997</v>
      </c>
      <c r="T468">
        <f ca="1">IF(AND(ISNUMBER($T$1130),$B$677=1),$T$1130,HLOOKUP(INDIRECT(ADDRESS(2,COLUMN())),OFFSET($BN$2,0,0,ROW()-1,60),ROW()-1,FALSE))</f>
        <v>61.044220899999999</v>
      </c>
      <c r="U468">
        <f ca="1">IF(AND(ISNUMBER($U$1130),$B$677=1),$U$1130,HLOOKUP(INDIRECT(ADDRESS(2,COLUMN())),OFFSET($BN$2,0,0,ROW()-1,60),ROW()-1,FALSE))</f>
        <v>32.850492039999999</v>
      </c>
      <c r="V468">
        <f ca="1">IF(AND(ISNUMBER($V$1130),$B$677=1),$V$1130,HLOOKUP(INDIRECT(ADDRESS(2,COLUMN())),OFFSET($BN$2,0,0,ROW()-1,60),ROW()-1,FALSE))</f>
        <v>43.46702921</v>
      </c>
      <c r="W468">
        <f ca="1">IF(AND(ISNUMBER($W$1130),$B$677=1),$W$1130,HLOOKUP(INDIRECT(ADDRESS(2,COLUMN())),OFFSET($BN$2,0,0,ROW()-1,60),ROW()-1,FALSE))</f>
        <v>45.4430853</v>
      </c>
      <c r="X468" t="str">
        <f ca="1">IF(AND(ISNUMBER($X$1130),$B$677=1),$X$1130,HLOOKUP(INDIRECT(ADDRESS(2,COLUMN())),OFFSET($BN$2,0,0,ROW()-1,60),ROW()-1,FALSE))</f>
        <v/>
      </c>
      <c r="Y468" t="str">
        <f ca="1">IF(AND(ISNUMBER($Y$1130),$B$677=1),$Y$1130,HLOOKUP(INDIRECT(ADDRESS(2,COLUMN())),OFFSET($BN$2,0,0,ROW()-1,60),ROW()-1,FALSE))</f>
        <v/>
      </c>
      <c r="Z468" t="str">
        <f ca="1">IF(AND(ISNUMBER($Z$1130),$B$677=1),$Z$1130,HLOOKUP(INDIRECT(ADDRESS(2,COLUMN())),OFFSET($BN$2,0,0,ROW()-1,60),ROW()-1,FALSE))</f>
        <v/>
      </c>
      <c r="AA468" t="str">
        <f ca="1">IF(AND(ISNUMBER($AA$1130),$B$677=1),$AA$1130,HLOOKUP(INDIRECT(ADDRESS(2,COLUMN())),OFFSET($BN$2,0,0,ROW()-1,60),ROW()-1,FALSE))</f>
        <v/>
      </c>
      <c r="AB468" t="str">
        <f ca="1">IF(AND(ISNUMBER($AB$1130),$B$677=1),$AB$1130,HLOOKUP(INDIRECT(ADDRESS(2,COLUMN())),OFFSET($BN$2,0,0,ROW()-1,60),ROW()-1,FALSE))</f>
        <v/>
      </c>
      <c r="AC468" t="str">
        <f ca="1">IF(AND(ISNUMBER($AC$1130),$B$677=1),$AC$1130,HLOOKUP(INDIRECT(ADDRESS(2,COLUMN())),OFFSET($BN$2,0,0,ROW()-1,60),ROW()-1,FALSE))</f>
        <v/>
      </c>
      <c r="AD468" t="str">
        <f ca="1">IF(AND(ISNUMBER($AD$1130),$B$677=1),$AD$1130,HLOOKUP(INDIRECT(ADDRESS(2,COLUMN())),OFFSET($BN$2,0,0,ROW()-1,60),ROW()-1,FALSE))</f>
        <v/>
      </c>
      <c r="AE468" t="str">
        <f ca="1">IF(AND(ISNUMBER($AE$1130),$B$677=1),$AE$1130,HLOOKUP(INDIRECT(ADDRESS(2,COLUMN())),OFFSET($BN$2,0,0,ROW()-1,60),ROW()-1,FALSE))</f>
        <v/>
      </c>
      <c r="AF468" t="str">
        <f ca="1">IF(AND(ISNUMBER($AF$1130),$B$677=1),$AF$1130,HLOOKUP(INDIRECT(ADDRESS(2,COLUMN())),OFFSET($BN$2,0,0,ROW()-1,60),ROW()-1,FALSE))</f>
        <v/>
      </c>
      <c r="AG468" t="str">
        <f ca="1">IF(AND(ISNUMBER($AG$1130),$B$677=1),$AG$1130,HLOOKUP(INDIRECT(ADDRESS(2,COLUMN())),OFFSET($BN$2,0,0,ROW()-1,60),ROW()-1,FALSE))</f>
        <v/>
      </c>
      <c r="AH468" t="str">
        <f ca="1">IF(AND(ISNUMBER($AH$1130),$B$677=1),$AH$1130,HLOOKUP(INDIRECT(ADDRESS(2,COLUMN())),OFFSET($BN$2,0,0,ROW()-1,60),ROW()-1,FALSE))</f>
        <v/>
      </c>
      <c r="AI468" t="str">
        <f ca="1">IF(AND(ISNUMBER($AI$1130),$B$677=1),$AI$1130,HLOOKUP(INDIRECT(ADDRESS(2,COLUMN())),OFFSET($BN$2,0,0,ROW()-1,60),ROW()-1,FALSE))</f>
        <v/>
      </c>
      <c r="AJ468" t="str">
        <f ca="1">IF(AND(ISNUMBER($AJ$1130),$B$677=1),$AJ$1130,HLOOKUP(INDIRECT(ADDRESS(2,COLUMN())),OFFSET($BN$2,0,0,ROW()-1,60),ROW()-1,FALSE))</f>
        <v/>
      </c>
      <c r="AK468" t="str">
        <f ca="1">IF(AND(ISNUMBER($AK$1130),$B$677=1),$AK$1130,HLOOKUP(INDIRECT(ADDRESS(2,COLUMN())),OFFSET($BN$2,0,0,ROW()-1,60),ROW()-1,FALSE))</f>
        <v/>
      </c>
      <c r="AL468" t="str">
        <f ca="1">IF(AND(ISNUMBER($AL$1130),$B$677=1),$AL$1130,HLOOKUP(INDIRECT(ADDRESS(2,COLUMN())),OFFSET($BN$2,0,0,ROW()-1,60),ROW()-1,FALSE))</f>
        <v/>
      </c>
      <c r="AM468" t="str">
        <f ca="1">IF(AND(ISNUMBER($AM$1130),$B$677=1),$AM$1130,HLOOKUP(INDIRECT(ADDRESS(2,COLUMN())),OFFSET($BN$2,0,0,ROW()-1,60),ROW()-1,FALSE))</f>
        <v/>
      </c>
      <c r="AN468" t="str">
        <f ca="1">IF(AND(ISNUMBER($AN$1130),$B$677=1),$AN$1130,HLOOKUP(INDIRECT(ADDRESS(2,COLUMN())),OFFSET($BN$2,0,0,ROW()-1,60),ROW()-1,FALSE))</f>
        <v/>
      </c>
      <c r="AO468" t="str">
        <f ca="1">IF(AND(ISNUMBER($AO$1130),$B$677=1),$AO$1130,HLOOKUP(INDIRECT(ADDRESS(2,COLUMN())),OFFSET($BN$2,0,0,ROW()-1,60),ROW()-1,FALSE))</f>
        <v/>
      </c>
      <c r="AP468" t="str">
        <f ca="1">IF(AND(ISNUMBER($AP$1130),$B$677=1),$AP$1130,HLOOKUP(INDIRECT(ADDRESS(2,COLUMN())),OFFSET($BN$2,0,0,ROW()-1,60),ROW()-1,FALSE))</f>
        <v/>
      </c>
      <c r="AQ468" t="str">
        <f ca="1">IF(AND(ISNUMBER($AQ$1130),$B$677=1),$AQ$1130,HLOOKUP(INDIRECT(ADDRESS(2,COLUMN())),OFFSET($BN$2,0,0,ROW()-1,60),ROW()-1,FALSE))</f>
        <v/>
      </c>
      <c r="AR468" t="str">
        <f ca="1">IF(AND(ISNUMBER($AR$1130),$B$677=1),$AR$1130,HLOOKUP(INDIRECT(ADDRESS(2,COLUMN())),OFFSET($BN$2,0,0,ROW()-1,60),ROW()-1,FALSE))</f>
        <v/>
      </c>
      <c r="AS468" t="str">
        <f ca="1">IF(AND(ISNUMBER($AS$1130),$B$677=1),$AS$1130,HLOOKUP(INDIRECT(ADDRESS(2,COLUMN())),OFFSET($BN$2,0,0,ROW()-1,60),ROW()-1,FALSE))</f>
        <v/>
      </c>
      <c r="AT468" t="str">
        <f ca="1">IF(AND(ISNUMBER($AT$1130),$B$677=1),$AT$1130,HLOOKUP(INDIRECT(ADDRESS(2,COLUMN())),OFFSET($BN$2,0,0,ROW()-1,60),ROW()-1,FALSE))</f>
        <v/>
      </c>
      <c r="AU468" t="str">
        <f ca="1">IF(AND(ISNUMBER($AU$1130),$B$677=1),$AU$1130,HLOOKUP(INDIRECT(ADDRESS(2,COLUMN())),OFFSET($BN$2,0,0,ROW()-1,60),ROW()-1,FALSE))</f>
        <v/>
      </c>
      <c r="AV468" t="str">
        <f ca="1">IF(AND(ISNUMBER($AV$1130),$B$677=1),$AV$1130,HLOOKUP(INDIRECT(ADDRESS(2,COLUMN())),OFFSET($BN$2,0,0,ROW()-1,60),ROW()-1,FALSE))</f>
        <v/>
      </c>
      <c r="AW468" t="str">
        <f ca="1">IF(AND(ISNUMBER($AW$1130),$B$677=1),$AW$1130,HLOOKUP(INDIRECT(ADDRESS(2,COLUMN())),OFFSET($BN$2,0,0,ROW()-1,60),ROW()-1,FALSE))</f>
        <v/>
      </c>
      <c r="AX468" t="str">
        <f ca="1">IF(AND(ISNUMBER($AX$1130),$B$677=1),$AX$1130,HLOOKUP(INDIRECT(ADDRESS(2,COLUMN())),OFFSET($BN$2,0,0,ROW()-1,60),ROW()-1,FALSE))</f>
        <v/>
      </c>
      <c r="AY468" t="str">
        <f ca="1">IF(AND(ISNUMBER($AY$1130),$B$677=1),$AY$1130,HLOOKUP(INDIRECT(ADDRESS(2,COLUMN())),OFFSET($BN$2,0,0,ROW()-1,60),ROW()-1,FALSE))</f>
        <v/>
      </c>
      <c r="AZ468" t="str">
        <f ca="1">IF(AND(ISNUMBER($AZ$1130),$B$677=1),$AZ$1130,HLOOKUP(INDIRECT(ADDRESS(2,COLUMN())),OFFSET($BN$2,0,0,ROW()-1,60),ROW()-1,FALSE))</f>
        <v/>
      </c>
      <c r="BA468" t="str">
        <f ca="1">IF(AND(ISNUMBER($BA$1130),$B$677=1),$BA$1130,HLOOKUP(INDIRECT(ADDRESS(2,COLUMN())),OFFSET($BN$2,0,0,ROW()-1,60),ROW()-1,FALSE))</f>
        <v/>
      </c>
      <c r="BB468" t="str">
        <f ca="1">IF(AND(ISNUMBER($BB$1130),$B$677=1),$BB$1130,HLOOKUP(INDIRECT(ADDRESS(2,COLUMN())),OFFSET($BN$2,0,0,ROW()-1,60),ROW()-1,FALSE))</f>
        <v/>
      </c>
      <c r="BC468" t="str">
        <f ca="1">IF(AND(ISNUMBER($BC$1130),$B$677=1),$BC$1130,HLOOKUP(INDIRECT(ADDRESS(2,COLUMN())),OFFSET($BN$2,0,0,ROW()-1,60),ROW()-1,FALSE))</f>
        <v/>
      </c>
      <c r="BD468" t="str">
        <f ca="1">IF(AND(ISNUMBER($BD$1130),$B$677=1),$BD$1130,HLOOKUP(INDIRECT(ADDRESS(2,COLUMN())),OFFSET($BN$2,0,0,ROW()-1,60),ROW()-1,FALSE))</f>
        <v/>
      </c>
      <c r="BE468" t="str">
        <f ca="1">IF(AND(ISNUMBER($BE$1130),$B$677=1),$BE$1130,HLOOKUP(INDIRECT(ADDRESS(2,COLUMN())),OFFSET($BN$2,0,0,ROW()-1,60),ROW()-1,FALSE))</f>
        <v/>
      </c>
      <c r="BF468" t="str">
        <f ca="1">IF(AND(ISNUMBER($BF$1130),$B$677=1),$BF$1130,HLOOKUP(INDIRECT(ADDRESS(2,COLUMN())),OFFSET($BN$2,0,0,ROW()-1,60),ROW()-1,FALSE))</f>
        <v/>
      </c>
      <c r="BG468" t="str">
        <f ca="1">IF(AND(ISNUMBER($BG$1130),$B$677=1),$BG$1130,HLOOKUP(INDIRECT(ADDRESS(2,COLUMN())),OFFSET($BN$2,0,0,ROW()-1,60),ROW()-1,FALSE))</f>
        <v/>
      </c>
      <c r="BH468" t="str">
        <f ca="1">IF(AND(ISNUMBER($BH$1130),$B$677=1),$BH$1130,HLOOKUP(INDIRECT(ADDRESS(2,COLUMN())),OFFSET($BN$2,0,0,ROW()-1,60),ROW()-1,FALSE))</f>
        <v/>
      </c>
      <c r="BI468" t="str">
        <f ca="1">IF(AND(ISNUMBER($BI$1130),$B$677=1),$BI$1130,HLOOKUP(INDIRECT(ADDRESS(2,COLUMN())),OFFSET($BN$2,0,0,ROW()-1,60),ROW()-1,FALSE))</f>
        <v/>
      </c>
      <c r="BJ468" t="str">
        <f ca="1">IF(AND(ISNUMBER($BJ$1130),$B$677=1),$BJ$1130,HLOOKUP(INDIRECT(ADDRESS(2,COLUMN())),OFFSET($BN$2,0,0,ROW()-1,60),ROW()-1,FALSE))</f>
        <v/>
      </c>
      <c r="BK468" t="str">
        <f ca="1">IF(AND(ISNUMBER($BK$1130),$B$677=1),$BK$1130,HLOOKUP(INDIRECT(ADDRESS(2,COLUMN())),OFFSET($BN$2,0,0,ROW()-1,60),ROW()-1,FALSE))</f>
        <v/>
      </c>
      <c r="BL468" t="str">
        <f ca="1">IF(AND(ISNUMBER($BL$1130),$B$677=1),$BL$1130,HLOOKUP(INDIRECT(ADDRESS(2,COLUMN())),OFFSET($BN$2,0,0,ROW()-1,60),ROW()-1,FALSE))</f>
        <v/>
      </c>
      <c r="BM468" t="str">
        <f ca="1">IF(AND(ISNUMBER($BM$1130),$B$677=1),$BM$1130,HLOOKUP(INDIRECT(ADDRESS(2,COLUMN())),OFFSET($BN$2,0,0,ROW()-1,60),ROW()-1,FALSE))</f>
        <v/>
      </c>
      <c r="BN468" t="str">
        <f>""</f>
        <v/>
      </c>
      <c r="BO468">
        <f>7.397342302</f>
        <v>7.3973423020000002</v>
      </c>
      <c r="BP468">
        <f>10.23999711</f>
        <v>10.239997109999999</v>
      </c>
      <c r="BQ468">
        <f>9.651306432</f>
        <v>9.6513064320000002</v>
      </c>
      <c r="BR468">
        <f>9.39093401</f>
        <v>9.3909340100000005</v>
      </c>
      <c r="BS468">
        <f>9.797070852</f>
        <v>9.7970708519999992</v>
      </c>
      <c r="BT468">
        <f>11.45391256</f>
        <v>11.453912559999999</v>
      </c>
      <c r="BU468">
        <f>8.599973208</f>
        <v>8.5999732079999998</v>
      </c>
      <c r="BV468">
        <f>13.40548917</f>
        <v>13.405489169999999</v>
      </c>
      <c r="BW468">
        <f>12.28588822</f>
        <v>12.28588822</v>
      </c>
      <c r="BX468">
        <f>10.70959173</f>
        <v>10.70959173</v>
      </c>
      <c r="BY468">
        <f>22.10658989</f>
        <v>22.106589889999999</v>
      </c>
      <c r="BZ468">
        <f>27.36503406</f>
        <v>27.365034059999999</v>
      </c>
      <c r="CA468">
        <f>83.30678997</f>
        <v>83.306789969999997</v>
      </c>
      <c r="CB468">
        <f>61.0442209</f>
        <v>61.044220899999999</v>
      </c>
      <c r="CC468">
        <f>32.85049204</f>
        <v>32.850492039999999</v>
      </c>
      <c r="CD468">
        <f>43.46702921</f>
        <v>43.46702921</v>
      </c>
      <c r="CE468">
        <f>45.4430853</f>
        <v>45.4430853</v>
      </c>
      <c r="CF468" t="str">
        <f>""</f>
        <v/>
      </c>
      <c r="CG468" t="str">
        <f>""</f>
        <v/>
      </c>
      <c r="CH468" t="str">
        <f>""</f>
        <v/>
      </c>
      <c r="CI468" t="str">
        <f>""</f>
        <v/>
      </c>
      <c r="CJ468" t="str">
        <f>""</f>
        <v/>
      </c>
      <c r="CK468" t="str">
        <f>""</f>
        <v/>
      </c>
      <c r="CL468" t="str">
        <f>""</f>
        <v/>
      </c>
      <c r="CM468" t="str">
        <f>""</f>
        <v/>
      </c>
      <c r="CN468" t="str">
        <f>""</f>
        <v/>
      </c>
      <c r="CO468" t="str">
        <f>""</f>
        <v/>
      </c>
      <c r="CP468" t="str">
        <f>""</f>
        <v/>
      </c>
      <c r="CQ468" t="str">
        <f>""</f>
        <v/>
      </c>
      <c r="CR468" t="str">
        <f>""</f>
        <v/>
      </c>
      <c r="CS468" t="str">
        <f>""</f>
        <v/>
      </c>
      <c r="CT468" t="str">
        <f>""</f>
        <v/>
      </c>
      <c r="CU468" t="str">
        <f>""</f>
        <v/>
      </c>
      <c r="CV468" t="str">
        <f>""</f>
        <v/>
      </c>
      <c r="CW468" t="str">
        <f>""</f>
        <v/>
      </c>
      <c r="CX468" t="str">
        <f>""</f>
        <v/>
      </c>
      <c r="CY468" t="str">
        <f>""</f>
        <v/>
      </c>
      <c r="CZ468" t="str">
        <f>""</f>
        <v/>
      </c>
      <c r="DA468" t="str">
        <f>""</f>
        <v/>
      </c>
      <c r="DB468" t="str">
        <f>""</f>
        <v/>
      </c>
      <c r="DC468" t="str">
        <f>""</f>
        <v/>
      </c>
      <c r="DD468" t="str">
        <f>""</f>
        <v/>
      </c>
      <c r="DE468" t="str">
        <f>""</f>
        <v/>
      </c>
      <c r="DF468" t="str">
        <f>""</f>
        <v/>
      </c>
      <c r="DG468" t="str">
        <f>""</f>
        <v/>
      </c>
      <c r="DH468" t="str">
        <f>""</f>
        <v/>
      </c>
      <c r="DI468" t="str">
        <f>""</f>
        <v/>
      </c>
      <c r="DJ468" t="str">
        <f>""</f>
        <v/>
      </c>
      <c r="DK468" t="str">
        <f>""</f>
        <v/>
      </c>
      <c r="DL468" t="str">
        <f>""</f>
        <v/>
      </c>
      <c r="DM468" t="str">
        <f>""</f>
        <v/>
      </c>
      <c r="DN468" t="str">
        <f>""</f>
        <v/>
      </c>
      <c r="DO468" t="str">
        <f>""</f>
        <v/>
      </c>
      <c r="DP468" t="str">
        <f>""</f>
        <v/>
      </c>
      <c r="DQ468" t="str">
        <f>""</f>
        <v/>
      </c>
      <c r="DR468" t="str">
        <f>""</f>
        <v/>
      </c>
      <c r="DS468" t="str">
        <f>""</f>
        <v/>
      </c>
      <c r="DT468" t="str">
        <f>""</f>
        <v/>
      </c>
      <c r="DU468" t="str">
        <f>""</f>
        <v/>
      </c>
    </row>
    <row r="469" spans="1:125" x14ac:dyDescent="0.25">
      <c r="A469" t="str">
        <f>"    Ford Motor Co"</f>
        <v xml:space="preserve">    Ford Motor Co</v>
      </c>
      <c r="B469" t="str">
        <f>"F US Equity"</f>
        <v>F US Equity</v>
      </c>
      <c r="C469" t="str">
        <f t="shared" si="33"/>
        <v>RR476</v>
      </c>
      <c r="D469" t="str">
        <f t="shared" si="34"/>
        <v>EV_TO_T12M_NET_INCOME</v>
      </c>
      <c r="E469" t="str">
        <f t="shared" si="35"/>
        <v>Dynamic</v>
      </c>
      <c r="F469" t="str">
        <f ca="1">IF(AND(ISNUMBER($F$1131),$B$677=1),$F$1131,HLOOKUP(INDIRECT(ADDRESS(2,COLUMN())),OFFSET($BN$2,0,0,ROW()-1,60),ROW()-1,FALSE))</f>
        <v/>
      </c>
      <c r="G469">
        <f ca="1">IF(AND(ISNUMBER($G$1131),$B$677=1),$G$1131,HLOOKUP(INDIRECT(ADDRESS(2,COLUMN())),OFFSET($BN$2,0,0,ROW()-1,60),ROW()-1,FALSE))</f>
        <v>5.7331848760000002</v>
      </c>
      <c r="H469">
        <f ca="1">IF(AND(ISNUMBER($H$1131),$B$677=1),$H$1131,HLOOKUP(INDIRECT(ADDRESS(2,COLUMN())),OFFSET($BN$2,0,0,ROW()-1,60),ROW()-1,FALSE))</f>
        <v>4.4325370360000003</v>
      </c>
      <c r="I469">
        <f ca="1">IF(AND(ISNUMBER($I$1131),$B$677=1),$I$1131,HLOOKUP(INDIRECT(ADDRESS(2,COLUMN())),OFFSET($BN$2,0,0,ROW()-1,60),ROW()-1,FALSE))</f>
        <v>5.0403238720000001</v>
      </c>
      <c r="J469">
        <f ca="1">IF(AND(ISNUMBER($J$1131),$B$677=1),$J$1131,HLOOKUP(INDIRECT(ADDRESS(2,COLUMN())),OFFSET($BN$2,0,0,ROW()-1,60),ROW()-1,FALSE))</f>
        <v>4.1285443300000004</v>
      </c>
      <c r="K469">
        <f ca="1">IF(AND(ISNUMBER($K$1131),$B$677=1),$K$1131,HLOOKUP(INDIRECT(ADDRESS(2,COLUMN())),OFFSET($BN$2,0,0,ROW()-1,60),ROW()-1,FALSE))</f>
        <v>5.0699989890000001</v>
      </c>
      <c r="L469">
        <f ca="1">IF(AND(ISNUMBER($L$1131),$B$677=1),$L$1131,HLOOKUP(INDIRECT(ADDRESS(2,COLUMN())),OFFSET($BN$2,0,0,ROW()-1,60),ROW()-1,FALSE))</f>
        <v>8.5296216329999996</v>
      </c>
      <c r="M469">
        <f ca="1">IF(AND(ISNUMBER($M$1131),$B$677=1),$M$1131,HLOOKUP(INDIRECT(ADDRESS(2,COLUMN())),OFFSET($BN$2,0,0,ROW()-1,60),ROW()-1,FALSE))</f>
        <v>8.4905254929999998</v>
      </c>
      <c r="N469">
        <f ca="1">IF(AND(ISNUMBER($N$1131),$B$677=1),$N$1131,HLOOKUP(INDIRECT(ADDRESS(2,COLUMN())),OFFSET($BN$2,0,0,ROW()-1,60),ROW()-1,FALSE))</f>
        <v>9.2907805349999997</v>
      </c>
      <c r="O469">
        <f ca="1">IF(AND(ISNUMBER($O$1131),$B$677=1),$O$1131,HLOOKUP(INDIRECT(ADDRESS(2,COLUMN())),OFFSET($BN$2,0,0,ROW()-1,60),ROW()-1,FALSE))</f>
        <v>8.0100729269999995</v>
      </c>
      <c r="P469">
        <f ca="1">IF(AND(ISNUMBER($P$1131),$B$677=1),$P$1131,HLOOKUP(INDIRECT(ADDRESS(2,COLUMN())),OFFSET($BN$2,0,0,ROW()-1,60),ROW()-1,FALSE))</f>
        <v>5.0932434799999999</v>
      </c>
      <c r="Q469">
        <f ca="1">IF(AND(ISNUMBER($Q$1131),$B$677=1),$Q$1131,HLOOKUP(INDIRECT(ADDRESS(2,COLUMN())),OFFSET($BN$2,0,0,ROW()-1,60),ROW()-1,FALSE))</f>
        <v>4.2339822829999996</v>
      </c>
      <c r="R469">
        <f ca="1">IF(AND(ISNUMBER($R$1131),$B$677=1),$R$1131,HLOOKUP(INDIRECT(ADDRESS(2,COLUMN())),OFFSET($BN$2,0,0,ROW()-1,60),ROW()-1,FALSE))</f>
        <v>4.6320658019999996</v>
      </c>
      <c r="S469">
        <f ca="1">IF(AND(ISNUMBER($S$1131),$B$677=1),$S$1131,HLOOKUP(INDIRECT(ADDRESS(2,COLUMN())),OFFSET($BN$2,0,0,ROW()-1,60),ROW()-1,FALSE))</f>
        <v>6.145590908</v>
      </c>
      <c r="T469">
        <f ca="1">IF(AND(ISNUMBER($T$1131),$B$677=1),$T$1131,HLOOKUP(INDIRECT(ADDRESS(2,COLUMN())),OFFSET($BN$2,0,0,ROW()-1,60),ROW()-1,FALSE))</f>
        <v>11.71655414</v>
      </c>
      <c r="U469">
        <f ca="1">IF(AND(ISNUMBER($U$1131),$B$677=1),$U$1131,HLOOKUP(INDIRECT(ADDRESS(2,COLUMN())),OFFSET($BN$2,0,0,ROW()-1,60),ROW()-1,FALSE))</f>
        <v>22.232730910000001</v>
      </c>
      <c r="V469">
        <f ca="1">IF(AND(ISNUMBER($V$1131),$B$677=1),$V$1131,HLOOKUP(INDIRECT(ADDRESS(2,COLUMN())),OFFSET($BN$2,0,0,ROW()-1,60),ROW()-1,FALSE))</f>
        <v>40.289067869999997</v>
      </c>
      <c r="W469">
        <f ca="1">IF(AND(ISNUMBER($W$1131),$B$677=1),$W$1131,HLOOKUP(INDIRECT(ADDRESS(2,COLUMN())),OFFSET($BN$2,0,0,ROW()-1,60),ROW()-1,FALSE))</f>
        <v>42.330705350000002</v>
      </c>
      <c r="X469">
        <f ca="1">IF(AND(ISNUMBER($X$1131),$B$677=1),$X$1131,HLOOKUP(INDIRECT(ADDRESS(2,COLUMN())),OFFSET($BN$2,0,0,ROW()-1,60),ROW()-1,FALSE))</f>
        <v>7.6437811480000004</v>
      </c>
      <c r="Y469">
        <f ca="1">IF(AND(ISNUMBER($Y$1131),$B$677=1),$Y$1131,HLOOKUP(INDIRECT(ADDRESS(2,COLUMN())),OFFSET($BN$2,0,0,ROW()-1,60),ROW()-1,FALSE))</f>
        <v>8.2506205450000003</v>
      </c>
      <c r="Z469">
        <f ca="1">IF(AND(ISNUMBER($Z$1131),$B$677=1),$Z$1131,HLOOKUP(INDIRECT(ADDRESS(2,COLUMN())),OFFSET($BN$2,0,0,ROW()-1,60),ROW()-1,FALSE))</f>
        <v>7.8537241230000001</v>
      </c>
      <c r="AA469">
        <f ca="1">IF(AND(ISNUMBER($AA$1131),$B$677=1),$AA$1131,HLOOKUP(INDIRECT(ADDRESS(2,COLUMN())),OFFSET($BN$2,0,0,ROW()-1,60),ROW()-1,FALSE))</f>
        <v>7.1925897069999998</v>
      </c>
      <c r="AB469">
        <f ca="1">IF(AND(ISNUMBER($AB$1131),$B$677=1),$AB$1131,HLOOKUP(INDIRECT(ADDRESS(2,COLUMN())),OFFSET($BN$2,0,0,ROW()-1,60),ROW()-1,FALSE))</f>
        <v>9.6671929750000007</v>
      </c>
      <c r="AC469">
        <f ca="1">IF(AND(ISNUMBER($AC$1131),$B$677=1),$AC$1131,HLOOKUP(INDIRECT(ADDRESS(2,COLUMN())),OFFSET($BN$2,0,0,ROW()-1,60),ROW()-1,FALSE))</f>
        <v>8.2115365980000004</v>
      </c>
      <c r="AD469">
        <f ca="1">IF(AND(ISNUMBER($AD$1131),$B$677=1),$AD$1131,HLOOKUP(INDIRECT(ADDRESS(2,COLUMN())),OFFSET($BN$2,0,0,ROW()-1,60),ROW()-1,FALSE))</f>
        <v>7.3528414059999996</v>
      </c>
      <c r="AE469">
        <f ca="1">IF(AND(ISNUMBER($AE$1131),$B$677=1),$AE$1131,HLOOKUP(INDIRECT(ADDRESS(2,COLUMN())),OFFSET($BN$2,0,0,ROW()-1,60),ROW()-1,FALSE))</f>
        <v>7.050259627</v>
      </c>
      <c r="AF469">
        <f ca="1">IF(AND(ISNUMBER($AF$1131),$B$677=1),$AF$1131,HLOOKUP(INDIRECT(ADDRESS(2,COLUMN())),OFFSET($BN$2,0,0,ROW()-1,60),ROW()-1,FALSE))</f>
        <v>1.4830249559999999</v>
      </c>
      <c r="AG469">
        <f ca="1">IF(AND(ISNUMBER($AG$1131),$B$677=1),$AG$1131,HLOOKUP(INDIRECT(ADDRESS(2,COLUMN())),OFFSET($BN$2,0,0,ROW()-1,60),ROW()-1,FALSE))</f>
        <v>1.4200074030000001</v>
      </c>
      <c r="AH469">
        <f ca="1">IF(AND(ISNUMBER($AH$1131),$B$677=1),$AH$1131,HLOOKUP(INDIRECT(ADDRESS(2,COLUMN())),OFFSET($BN$2,0,0,ROW()-1,60),ROW()-1,FALSE))</f>
        <v>1.94790558</v>
      </c>
      <c r="AI469">
        <f ca="1">IF(AND(ISNUMBER($AI$1131),$B$677=1),$AI$1131,HLOOKUP(INDIRECT(ADDRESS(2,COLUMN())),OFFSET($BN$2,0,0,ROW()-1,60),ROW()-1,FALSE))</f>
        <v>1.508110887</v>
      </c>
      <c r="AJ469">
        <f ca="1">IF(AND(ISNUMBER($AJ$1131),$B$677=1),$AJ$1131,HLOOKUP(INDIRECT(ADDRESS(2,COLUMN())),OFFSET($BN$2,0,0,ROW()-1,60),ROW()-1,FALSE))</f>
        <v>4.0044149960000004</v>
      </c>
      <c r="AK469">
        <f ca="1">IF(AND(ISNUMBER($AK$1131),$B$677=1),$AK$1131,HLOOKUP(INDIRECT(ADDRESS(2,COLUMN())),OFFSET($BN$2,0,0,ROW()-1,60),ROW()-1,FALSE))</f>
        <v>6.2860589259999999</v>
      </c>
      <c r="AL469">
        <f ca="1">IF(AND(ISNUMBER($AL$1131),$B$677=1),$AL$1131,HLOOKUP(INDIRECT(ADDRESS(2,COLUMN())),OFFSET($BN$2,0,0,ROW()-1,60),ROW()-1,FALSE))</f>
        <v>7.265823191</v>
      </c>
      <c r="AM469">
        <f ca="1">IF(AND(ISNUMBER($AM$1131),$B$677=1),$AM$1131,HLOOKUP(INDIRECT(ADDRESS(2,COLUMN())),OFFSET($BN$2,0,0,ROW()-1,60),ROW()-1,FALSE))</f>
        <v>9.2714093280000007</v>
      </c>
      <c r="AN469">
        <f ca="1">IF(AND(ISNUMBER($AN$1131),$B$677=1),$AN$1131,HLOOKUP(INDIRECT(ADDRESS(2,COLUMN())),OFFSET($BN$2,0,0,ROW()-1,60),ROW()-1,FALSE))</f>
        <v>5.9128149990000001</v>
      </c>
      <c r="AO469">
        <f ca="1">IF(AND(ISNUMBER($AO$1131),$B$677=1),$AO$1131,HLOOKUP(INDIRECT(ADDRESS(2,COLUMN())),OFFSET($BN$2,0,0,ROW()-1,60),ROW()-1,FALSE))</f>
        <v>5.706157557</v>
      </c>
      <c r="AP469">
        <f ca="1">IF(AND(ISNUMBER($AP$1131),$B$677=1),$AP$1131,HLOOKUP(INDIRECT(ADDRESS(2,COLUMN())),OFFSET($BN$2,0,0,ROW()-1,60),ROW()-1,FALSE))</f>
        <v>8.3187862559999992</v>
      </c>
      <c r="AQ469">
        <f ca="1">IF(AND(ISNUMBER($AQ$1131),$B$677=1),$AQ$1131,HLOOKUP(INDIRECT(ADDRESS(2,COLUMN())),OFFSET($BN$2,0,0,ROW()-1,60),ROW()-1,FALSE))</f>
        <v>14.79265985</v>
      </c>
      <c r="AR469" t="str">
        <f ca="1">IF(AND(ISNUMBER($AR$1131),$B$677=1),$AR$1131,HLOOKUP(INDIRECT(ADDRESS(2,COLUMN())),OFFSET($BN$2,0,0,ROW()-1,60),ROW()-1,FALSE))</f>
        <v/>
      </c>
      <c r="AS469" t="str">
        <f ca="1">IF(AND(ISNUMBER($AS$1131),$B$677=1),$AS$1131,HLOOKUP(INDIRECT(ADDRESS(2,COLUMN())),OFFSET($BN$2,0,0,ROW()-1,60),ROW()-1,FALSE))</f>
        <v/>
      </c>
      <c r="AT469" t="str">
        <f ca="1">IF(AND(ISNUMBER($AT$1131),$B$677=1),$AT$1131,HLOOKUP(INDIRECT(ADDRESS(2,COLUMN())),OFFSET($BN$2,0,0,ROW()-1,60),ROW()-1,FALSE))</f>
        <v/>
      </c>
      <c r="AU469" t="str">
        <f ca="1">IF(AND(ISNUMBER($AU$1131),$B$677=1),$AU$1131,HLOOKUP(INDIRECT(ADDRESS(2,COLUMN())),OFFSET($BN$2,0,0,ROW()-1,60),ROW()-1,FALSE))</f>
        <v/>
      </c>
      <c r="AV469" t="str">
        <f ca="1">IF(AND(ISNUMBER($AV$1131),$B$677=1),$AV$1131,HLOOKUP(INDIRECT(ADDRESS(2,COLUMN())),OFFSET($BN$2,0,0,ROW()-1,60),ROW()-1,FALSE))</f>
        <v/>
      </c>
      <c r="AW469" t="str">
        <f ca="1">IF(AND(ISNUMBER($AW$1131),$B$677=1),$AW$1131,HLOOKUP(INDIRECT(ADDRESS(2,COLUMN())),OFFSET($BN$2,0,0,ROW()-1,60),ROW()-1,FALSE))</f>
        <v/>
      </c>
      <c r="AX469" t="str">
        <f ca="1">IF(AND(ISNUMBER($AX$1131),$B$677=1),$AX$1131,HLOOKUP(INDIRECT(ADDRESS(2,COLUMN())),OFFSET($BN$2,0,0,ROW()-1,60),ROW()-1,FALSE))</f>
        <v/>
      </c>
      <c r="AY469" t="str">
        <f ca="1">IF(AND(ISNUMBER($AY$1131),$B$677=1),$AY$1131,HLOOKUP(INDIRECT(ADDRESS(2,COLUMN())),OFFSET($BN$2,0,0,ROW()-1,60),ROW()-1,FALSE))</f>
        <v/>
      </c>
      <c r="AZ469" t="str">
        <f ca="1">IF(AND(ISNUMBER($AZ$1131),$B$677=1),$AZ$1131,HLOOKUP(INDIRECT(ADDRESS(2,COLUMN())),OFFSET($BN$2,0,0,ROW()-1,60),ROW()-1,FALSE))</f>
        <v/>
      </c>
      <c r="BA469" t="str">
        <f ca="1">IF(AND(ISNUMBER($BA$1131),$B$677=1),$BA$1131,HLOOKUP(INDIRECT(ADDRESS(2,COLUMN())),OFFSET($BN$2,0,0,ROW()-1,60),ROW()-1,FALSE))</f>
        <v/>
      </c>
      <c r="BB469" t="str">
        <f ca="1">IF(AND(ISNUMBER($BB$1131),$B$677=1),$BB$1131,HLOOKUP(INDIRECT(ADDRESS(2,COLUMN())),OFFSET($BN$2,0,0,ROW()-1,60),ROW()-1,FALSE))</f>
        <v/>
      </c>
      <c r="BC469" t="str">
        <f ca="1">IF(AND(ISNUMBER($BC$1131),$B$677=1),$BC$1131,HLOOKUP(INDIRECT(ADDRESS(2,COLUMN())),OFFSET($BN$2,0,0,ROW()-1,60),ROW()-1,FALSE))</f>
        <v/>
      </c>
      <c r="BD469" t="str">
        <f ca="1">IF(AND(ISNUMBER($BD$1131),$B$677=1),$BD$1131,HLOOKUP(INDIRECT(ADDRESS(2,COLUMN())),OFFSET($BN$2,0,0,ROW()-1,60),ROW()-1,FALSE))</f>
        <v/>
      </c>
      <c r="BE469" t="str">
        <f ca="1">IF(AND(ISNUMBER($BE$1131),$B$677=1),$BE$1131,HLOOKUP(INDIRECT(ADDRESS(2,COLUMN())),OFFSET($BN$2,0,0,ROW()-1,60),ROW()-1,FALSE))</f>
        <v/>
      </c>
      <c r="BF469" t="str">
        <f ca="1">IF(AND(ISNUMBER($BF$1131),$B$677=1),$BF$1131,HLOOKUP(INDIRECT(ADDRESS(2,COLUMN())),OFFSET($BN$2,0,0,ROW()-1,60),ROW()-1,FALSE))</f>
        <v/>
      </c>
      <c r="BG469">
        <f ca="1">IF(AND(ISNUMBER($BG$1131),$B$677=1),$BG$1131,HLOOKUP(INDIRECT(ADDRESS(2,COLUMN())),OFFSET($BN$2,0,0,ROW()-1,60),ROW()-1,FALSE))</f>
        <v>91.256020669999998</v>
      </c>
      <c r="BH469">
        <f ca="1">IF(AND(ISNUMBER($BH$1131),$B$677=1),$BH$1131,HLOOKUP(INDIRECT(ADDRESS(2,COLUMN())),OFFSET($BN$2,0,0,ROW()-1,60),ROW()-1,FALSE))</f>
        <v>91.71167638</v>
      </c>
      <c r="BI469">
        <f ca="1">IF(AND(ISNUMBER($BI$1131),$B$677=1),$BI$1131,HLOOKUP(INDIRECT(ADDRESS(2,COLUMN())),OFFSET($BN$2,0,0,ROW()-1,60),ROW()-1,FALSE))</f>
        <v>63.32324577</v>
      </c>
      <c r="BJ469">
        <f ca="1">IF(AND(ISNUMBER($BJ$1131),$B$677=1),$BJ$1131,HLOOKUP(INDIRECT(ADDRESS(2,COLUMN())),OFFSET($BN$2,0,0,ROW()-1,60),ROW()-1,FALSE))</f>
        <v>61.674771229999998</v>
      </c>
      <c r="BK469">
        <f ca="1">IF(AND(ISNUMBER($BK$1131),$B$677=1),$BK$1131,HLOOKUP(INDIRECT(ADDRESS(2,COLUMN())),OFFSET($BN$2,0,0,ROW()-1,60),ROW()-1,FALSE))</f>
        <v>45.650525399999999</v>
      </c>
      <c r="BL469">
        <f ca="1">IF(AND(ISNUMBER($BL$1131),$B$677=1),$BL$1131,HLOOKUP(INDIRECT(ADDRESS(2,COLUMN())),OFFSET($BN$2,0,0,ROW()-1,60),ROW()-1,FALSE))</f>
        <v>62.623873959999997</v>
      </c>
      <c r="BM469">
        <f ca="1">IF(AND(ISNUMBER($BM$1131),$B$677=1),$BM$1131,HLOOKUP(INDIRECT(ADDRESS(2,COLUMN())),OFFSET($BN$2,0,0,ROW()-1,60),ROW()-1,FALSE))</f>
        <v>71.276282050000006</v>
      </c>
      <c r="BN469" t="str">
        <f>""</f>
        <v/>
      </c>
      <c r="BO469">
        <f>5.733184876</f>
        <v>5.7331848760000002</v>
      </c>
      <c r="BP469">
        <f>4.432537036</f>
        <v>4.4325370360000003</v>
      </c>
      <c r="BQ469">
        <f>5.040323872</f>
        <v>5.0403238720000001</v>
      </c>
      <c r="BR469">
        <f>4.12854433</f>
        <v>4.1285443300000004</v>
      </c>
      <c r="BS469">
        <f>5.069998989</f>
        <v>5.0699989890000001</v>
      </c>
      <c r="BT469">
        <f>8.529621633</f>
        <v>8.5296216329999996</v>
      </c>
      <c r="BU469">
        <f>8.490525493</f>
        <v>8.4905254929999998</v>
      </c>
      <c r="BV469">
        <f>9.290780535</f>
        <v>9.2907805349999997</v>
      </c>
      <c r="BW469">
        <f>8.010072927</f>
        <v>8.0100729269999995</v>
      </c>
      <c r="BX469">
        <f>5.09324348</f>
        <v>5.0932434799999999</v>
      </c>
      <c r="BY469">
        <f>4.233982283</f>
        <v>4.2339822829999996</v>
      </c>
      <c r="BZ469">
        <f>4.632065802</f>
        <v>4.6320658019999996</v>
      </c>
      <c r="CA469">
        <f>6.145590908</f>
        <v>6.145590908</v>
      </c>
      <c r="CB469">
        <f>11.71655414</f>
        <v>11.71655414</v>
      </c>
      <c r="CC469">
        <f>22.23273091</f>
        <v>22.232730910000001</v>
      </c>
      <c r="CD469">
        <f>40.28906787</f>
        <v>40.289067869999997</v>
      </c>
      <c r="CE469">
        <f>42.33070535</f>
        <v>42.330705350000002</v>
      </c>
      <c r="CF469">
        <f>7.643781148</f>
        <v>7.6437811480000004</v>
      </c>
      <c r="CG469">
        <f>8.250620545</f>
        <v>8.2506205450000003</v>
      </c>
      <c r="CH469">
        <f>7.853724123</f>
        <v>7.8537241230000001</v>
      </c>
      <c r="CI469">
        <f>7.192589707</f>
        <v>7.1925897069999998</v>
      </c>
      <c r="CJ469">
        <f>9.667192975</f>
        <v>9.6671929750000007</v>
      </c>
      <c r="CK469">
        <f>8.211536598</f>
        <v>8.2115365980000004</v>
      </c>
      <c r="CL469">
        <f>7.352841406</f>
        <v>7.3528414059999996</v>
      </c>
      <c r="CM469">
        <f>7.050259627</f>
        <v>7.050259627</v>
      </c>
      <c r="CN469">
        <f>1.483024956</f>
        <v>1.4830249559999999</v>
      </c>
      <c r="CO469">
        <f>1.420007403</f>
        <v>1.4200074030000001</v>
      </c>
      <c r="CP469">
        <f>1.94790558</f>
        <v>1.94790558</v>
      </c>
      <c r="CQ469">
        <f>1.508110887</f>
        <v>1.508110887</v>
      </c>
      <c r="CR469">
        <f>4.004414996</f>
        <v>4.0044149960000004</v>
      </c>
      <c r="CS469">
        <f>6.286058926</f>
        <v>6.2860589259999999</v>
      </c>
      <c r="CT469">
        <f>7.265823191</f>
        <v>7.265823191</v>
      </c>
      <c r="CU469">
        <f>9.271409328</f>
        <v>9.2714093280000007</v>
      </c>
      <c r="CV469">
        <f>5.912814999</f>
        <v>5.9128149990000001</v>
      </c>
      <c r="CW469">
        <f>5.706157557</f>
        <v>5.706157557</v>
      </c>
      <c r="CX469">
        <f>8.318786256</f>
        <v>8.3187862559999992</v>
      </c>
      <c r="CY469">
        <f>14.79265985</f>
        <v>14.79265985</v>
      </c>
      <c r="CZ469" t="str">
        <f>""</f>
        <v/>
      </c>
      <c r="DA469" t="str">
        <f>""</f>
        <v/>
      </c>
      <c r="DB469" t="str">
        <f>""</f>
        <v/>
      </c>
      <c r="DC469" t="str">
        <f>""</f>
        <v/>
      </c>
      <c r="DD469" t="str">
        <f>""</f>
        <v/>
      </c>
      <c r="DE469" t="str">
        <f>""</f>
        <v/>
      </c>
      <c r="DF469" t="str">
        <f>""</f>
        <v/>
      </c>
      <c r="DG469" t="str">
        <f>""</f>
        <v/>
      </c>
      <c r="DH469" t="str">
        <f>""</f>
        <v/>
      </c>
      <c r="DI469" t="str">
        <f>""</f>
        <v/>
      </c>
      <c r="DJ469" t="str">
        <f>""</f>
        <v/>
      </c>
      <c r="DK469" t="str">
        <f>""</f>
        <v/>
      </c>
      <c r="DL469" t="str">
        <f>""</f>
        <v/>
      </c>
      <c r="DM469" t="str">
        <f>""</f>
        <v/>
      </c>
      <c r="DN469" t="str">
        <f>""</f>
        <v/>
      </c>
      <c r="DO469">
        <f>91.25602067</f>
        <v>91.256020669999998</v>
      </c>
      <c r="DP469">
        <f>91.71167638</f>
        <v>91.71167638</v>
      </c>
      <c r="DQ469">
        <f>63.32324577</f>
        <v>63.32324577</v>
      </c>
      <c r="DR469">
        <f>61.67477123</f>
        <v>61.674771229999998</v>
      </c>
      <c r="DS469">
        <f>45.6505254</f>
        <v>45.650525399999999</v>
      </c>
      <c r="DT469">
        <f>62.62387396</f>
        <v>62.623873959999997</v>
      </c>
      <c r="DU469">
        <f>71.27628205</f>
        <v>71.276282050000006</v>
      </c>
    </row>
    <row r="470" spans="1:125" x14ac:dyDescent="0.25">
      <c r="A470" t="str">
        <f>"    Ford Otomotiv Sanayi AS"</f>
        <v xml:space="preserve">    Ford Otomotiv Sanayi AS</v>
      </c>
      <c r="B470" t="str">
        <f>"FROTOTRY EO Equity"</f>
        <v>FROTOTRY EO Equity</v>
      </c>
      <c r="C470" t="str">
        <f t="shared" si="33"/>
        <v>RR476</v>
      </c>
      <c r="D470" t="str">
        <f t="shared" si="34"/>
        <v>EV_TO_T12M_NET_INCOME</v>
      </c>
      <c r="E470" t="str">
        <f t="shared" si="35"/>
        <v>Dynamic</v>
      </c>
      <c r="F470" t="str">
        <f ca="1">IF(AND(ISNUMBER($F$1132),$B$677=1),$F$1132,HLOOKUP(INDIRECT(ADDRESS(2,COLUMN())),OFFSET($BN$2,0,0,ROW()-1,60),ROW()-1,FALSE))</f>
        <v/>
      </c>
      <c r="G470">
        <f ca="1">IF(AND(ISNUMBER($G$1132),$B$677=1),$G$1132,HLOOKUP(INDIRECT(ADDRESS(2,COLUMN())),OFFSET($BN$2,0,0,ROW()-1,60),ROW()-1,FALSE))</f>
        <v>12.259739789999999</v>
      </c>
      <c r="H470">
        <f ca="1">IF(AND(ISNUMBER($H$1132),$B$677=1),$H$1132,HLOOKUP(INDIRECT(ADDRESS(2,COLUMN())),OFFSET($BN$2,0,0,ROW()-1,60),ROW()-1,FALSE))</f>
        <v>15.18019198</v>
      </c>
      <c r="I470">
        <f ca="1">IF(AND(ISNUMBER($I$1132),$B$677=1),$I$1132,HLOOKUP(INDIRECT(ADDRESS(2,COLUMN())),OFFSET($BN$2,0,0,ROW()-1,60),ROW()-1,FALSE))</f>
        <v>13.67274355</v>
      </c>
      <c r="J470">
        <f ca="1">IF(AND(ISNUMBER($J$1132),$B$677=1),$J$1132,HLOOKUP(INDIRECT(ADDRESS(2,COLUMN())),OFFSET($BN$2,0,0,ROW()-1,60),ROW()-1,FALSE))</f>
        <v>14.477182450000001</v>
      </c>
      <c r="K470">
        <f ca="1">IF(AND(ISNUMBER($K$1132),$B$677=1),$K$1132,HLOOKUP(INDIRECT(ADDRESS(2,COLUMN())),OFFSET($BN$2,0,0,ROW()-1,60),ROW()-1,FALSE))</f>
        <v>15.39643687</v>
      </c>
      <c r="L470">
        <f ca="1">IF(AND(ISNUMBER($L$1132),$B$677=1),$L$1132,HLOOKUP(INDIRECT(ADDRESS(2,COLUMN())),OFFSET($BN$2,0,0,ROW()-1,60),ROW()-1,FALSE))</f>
        <v>13.90233445</v>
      </c>
      <c r="M470">
        <f ca="1">IF(AND(ISNUMBER($M$1132),$B$677=1),$M$1132,HLOOKUP(INDIRECT(ADDRESS(2,COLUMN())),OFFSET($BN$2,0,0,ROW()-1,60),ROW()-1,FALSE))</f>
        <v>15.03308182</v>
      </c>
      <c r="N470">
        <f ca="1">IF(AND(ISNUMBER($N$1132),$B$677=1),$N$1132,HLOOKUP(INDIRECT(ADDRESS(2,COLUMN())),OFFSET($BN$2,0,0,ROW()-1,60),ROW()-1,FALSE))</f>
        <v>13.85894631</v>
      </c>
      <c r="O470">
        <f ca="1">IF(AND(ISNUMBER($O$1132),$B$677=1),$O$1132,HLOOKUP(INDIRECT(ADDRESS(2,COLUMN())),OFFSET($BN$2,0,0,ROW()-1,60),ROW()-1,FALSE))</f>
        <v>12.97375302</v>
      </c>
      <c r="P470">
        <f ca="1">IF(AND(ISNUMBER($P$1132),$B$677=1),$P$1132,HLOOKUP(INDIRECT(ADDRESS(2,COLUMN())),OFFSET($BN$2,0,0,ROW()-1,60),ROW()-1,FALSE))</f>
        <v>14.27881277</v>
      </c>
      <c r="Q470">
        <f ca="1">IF(AND(ISNUMBER($Q$1132),$B$677=1),$Q$1132,HLOOKUP(INDIRECT(ADDRESS(2,COLUMN())),OFFSET($BN$2,0,0,ROW()-1,60),ROW()-1,FALSE))</f>
        <v>14.250828690000001</v>
      </c>
      <c r="R470">
        <f ca="1">IF(AND(ISNUMBER($R$1132),$B$677=1),$R$1132,HLOOKUP(INDIRECT(ADDRESS(2,COLUMN())),OFFSET($BN$2,0,0,ROW()-1,60),ROW()-1,FALSE))</f>
        <v>18.307973820000001</v>
      </c>
      <c r="S470">
        <f ca="1">IF(AND(ISNUMBER($S$1132),$B$677=1),$S$1132,HLOOKUP(INDIRECT(ADDRESS(2,COLUMN())),OFFSET($BN$2,0,0,ROW()-1,60),ROW()-1,FALSE))</f>
        <v>14.4979271</v>
      </c>
      <c r="T470">
        <f ca="1">IF(AND(ISNUMBER($T$1132),$B$677=1),$T$1132,HLOOKUP(INDIRECT(ADDRESS(2,COLUMN())),OFFSET($BN$2,0,0,ROW()-1,60),ROW()-1,FALSE))</f>
        <v>20.017057950000002</v>
      </c>
      <c r="U470">
        <f ca="1">IF(AND(ISNUMBER($U$1132),$B$677=1),$U$1132,HLOOKUP(INDIRECT(ADDRESS(2,COLUMN())),OFFSET($BN$2,0,0,ROW()-1,60),ROW()-1,FALSE))</f>
        <v>23.181260160000001</v>
      </c>
      <c r="V470">
        <f ca="1">IF(AND(ISNUMBER($V$1132),$B$677=1),$V$1132,HLOOKUP(INDIRECT(ADDRESS(2,COLUMN())),OFFSET($BN$2,0,0,ROW()-1,60),ROW()-1,FALSE))</f>
        <v>22.114483190000001</v>
      </c>
      <c r="W470">
        <f ca="1">IF(AND(ISNUMBER($W$1132),$B$677=1),$W$1132,HLOOKUP(INDIRECT(ADDRESS(2,COLUMN())),OFFSET($BN$2,0,0,ROW()-1,60),ROW()-1,FALSE))</f>
        <v>22.181245740000001</v>
      </c>
      <c r="X470">
        <f ca="1">IF(AND(ISNUMBER($X$1132),$B$677=1),$X$1132,HLOOKUP(INDIRECT(ADDRESS(2,COLUMN())),OFFSET($BN$2,0,0,ROW()-1,60),ROW()-1,FALSE))</f>
        <v>18.834878710000002</v>
      </c>
      <c r="Y470">
        <f ca="1">IF(AND(ISNUMBER($Y$1132),$B$677=1),$Y$1132,HLOOKUP(INDIRECT(ADDRESS(2,COLUMN())),OFFSET($BN$2,0,0,ROW()-1,60),ROW()-1,FALSE))</f>
        <v>20.007572020000001</v>
      </c>
      <c r="Z470">
        <f ca="1">IF(AND(ISNUMBER($Z$1132),$B$677=1),$Z$1132,HLOOKUP(INDIRECT(ADDRESS(2,COLUMN())),OFFSET($BN$2,0,0,ROW()-1,60),ROW()-1,FALSE))</f>
        <v>14.6326704</v>
      </c>
      <c r="AA470">
        <f ca="1">IF(AND(ISNUMBER($AA$1132),$B$677=1),$AA$1132,HLOOKUP(INDIRECT(ADDRESS(2,COLUMN())),OFFSET($BN$2,0,0,ROW()-1,60),ROW()-1,FALSE))</f>
        <v>15.60631648</v>
      </c>
      <c r="AB470">
        <f ca="1">IF(AND(ISNUMBER($AB$1132),$B$677=1),$AB$1132,HLOOKUP(INDIRECT(ADDRESS(2,COLUMN())),OFFSET($BN$2,0,0,ROW()-1,60),ROW()-1,FALSE))</f>
        <v>15.69825867</v>
      </c>
      <c r="AC470">
        <f ca="1">IF(AND(ISNUMBER($AC$1132),$B$677=1),$AC$1132,HLOOKUP(INDIRECT(ADDRESS(2,COLUMN())),OFFSET($BN$2,0,0,ROW()-1,60),ROW()-1,FALSE))</f>
        <v>13.43561717</v>
      </c>
      <c r="AD470">
        <f ca="1">IF(AND(ISNUMBER($AD$1132),$B$677=1),$AD$1132,HLOOKUP(INDIRECT(ADDRESS(2,COLUMN())),OFFSET($BN$2,0,0,ROW()-1,60),ROW()-1,FALSE))</f>
        <v>14.41828027</v>
      </c>
      <c r="AE470">
        <f ca="1">IF(AND(ISNUMBER($AE$1132),$B$677=1),$AE$1132,HLOOKUP(INDIRECT(ADDRESS(2,COLUMN())),OFFSET($BN$2,0,0,ROW()-1,60),ROW()-1,FALSE))</f>
        <v>12.363067239999999</v>
      </c>
      <c r="AF470">
        <f ca="1">IF(AND(ISNUMBER($AF$1132),$B$677=1),$AF$1132,HLOOKUP(INDIRECT(ADDRESS(2,COLUMN())),OFFSET($BN$2,0,0,ROW()-1,60),ROW()-1,FALSE))</f>
        <v>11.24507099</v>
      </c>
      <c r="AG470">
        <f ca="1">IF(AND(ISNUMBER($AG$1132),$B$677=1),$AG$1132,HLOOKUP(INDIRECT(ADDRESS(2,COLUMN())),OFFSET($BN$2,0,0,ROW()-1,60),ROW()-1,FALSE))</f>
        <v>9.1691481350000004</v>
      </c>
      <c r="AH470">
        <f ca="1">IF(AND(ISNUMBER($AH$1132),$B$677=1),$AH$1132,HLOOKUP(INDIRECT(ADDRESS(2,COLUMN())),OFFSET($BN$2,0,0,ROW()-1,60),ROW()-1,FALSE))</f>
        <v>8.6505891360000007</v>
      </c>
      <c r="AI470">
        <f ca="1">IF(AND(ISNUMBER($AI$1132),$B$677=1),$AI$1132,HLOOKUP(INDIRECT(ADDRESS(2,COLUMN())),OFFSET($BN$2,0,0,ROW()-1,60),ROW()-1,FALSE))</f>
        <v>8.2118358360000006</v>
      </c>
      <c r="AJ470">
        <f ca="1">IF(AND(ISNUMBER($AJ$1132),$B$677=1),$AJ$1132,HLOOKUP(INDIRECT(ADDRESS(2,COLUMN())),OFFSET($BN$2,0,0,ROW()-1,60),ROW()-1,FALSE))</f>
        <v>6.3898754719999999</v>
      </c>
      <c r="AK470">
        <f ca="1">IF(AND(ISNUMBER($AK$1132),$B$677=1),$AK$1132,HLOOKUP(INDIRECT(ADDRESS(2,COLUMN())),OFFSET($BN$2,0,0,ROW()-1,60),ROW()-1,FALSE))</f>
        <v>7.4830613609999999</v>
      </c>
      <c r="AL470">
        <f ca="1">IF(AND(ISNUMBER($AL$1132),$B$677=1),$AL$1132,HLOOKUP(INDIRECT(ADDRESS(2,COLUMN())),OFFSET($BN$2,0,0,ROW()-1,60),ROW()-1,FALSE))</f>
        <v>8.4567561859999998</v>
      </c>
      <c r="AM470">
        <f ca="1">IF(AND(ISNUMBER($AM$1132),$B$677=1),$AM$1132,HLOOKUP(INDIRECT(ADDRESS(2,COLUMN())),OFFSET($BN$2,0,0,ROW()-1,60),ROW()-1,FALSE))</f>
        <v>9.0899612449999996</v>
      </c>
      <c r="AN470">
        <f ca="1">IF(AND(ISNUMBER($AN$1132),$B$677=1),$AN$1132,HLOOKUP(INDIRECT(ADDRESS(2,COLUMN())),OFFSET($BN$2,0,0,ROW()-1,60),ROW()-1,FALSE))</f>
        <v>9.608339398</v>
      </c>
      <c r="AO470">
        <f ca="1">IF(AND(ISNUMBER($AO$1132),$B$677=1),$AO$1132,HLOOKUP(INDIRECT(ADDRESS(2,COLUMN())),OFFSET($BN$2,0,0,ROW()-1,60),ROW()-1,FALSE))</f>
        <v>8.6903100240000004</v>
      </c>
      <c r="AP470">
        <f ca="1">IF(AND(ISNUMBER($AP$1132),$B$677=1),$AP$1132,HLOOKUP(INDIRECT(ADDRESS(2,COLUMN())),OFFSET($BN$2,0,0,ROW()-1,60),ROW()-1,FALSE))</f>
        <v>10.010989370000001</v>
      </c>
      <c r="AQ470">
        <f ca="1">IF(AND(ISNUMBER($AQ$1132),$B$677=1),$AQ$1132,HLOOKUP(INDIRECT(ADDRESS(2,COLUMN())),OFFSET($BN$2,0,0,ROW()-1,60),ROW()-1,FALSE))</f>
        <v>9.5717703390000004</v>
      </c>
      <c r="AR470">
        <f ca="1">IF(AND(ISNUMBER($AR$1132),$B$677=1),$AR$1132,HLOOKUP(INDIRECT(ADDRESS(2,COLUMN())),OFFSET($BN$2,0,0,ROW()-1,60),ROW()-1,FALSE))</f>
        <v>12.10361838</v>
      </c>
      <c r="AS470">
        <f ca="1">IF(AND(ISNUMBER($AS$1132),$B$677=1),$AS$1132,HLOOKUP(INDIRECT(ADDRESS(2,COLUMN())),OFFSET($BN$2,0,0,ROW()-1,60),ROW()-1,FALSE))</f>
        <v>7.7212568560000001</v>
      </c>
      <c r="AT470">
        <f ca="1">IF(AND(ISNUMBER($AT$1132),$B$677=1),$AT$1132,HLOOKUP(INDIRECT(ADDRESS(2,COLUMN())),OFFSET($BN$2,0,0,ROW()-1,60),ROW()-1,FALSE))</f>
        <v>4.7989197240000001</v>
      </c>
      <c r="AU470">
        <f ca="1">IF(AND(ISNUMBER($AU$1132),$B$677=1),$AU$1132,HLOOKUP(INDIRECT(ADDRESS(2,COLUMN())),OFFSET($BN$2,0,0,ROW()-1,60),ROW()-1,FALSE))</f>
        <v>3.7770766409999998</v>
      </c>
      <c r="AV470">
        <f ca="1">IF(AND(ISNUMBER($AV$1132),$B$677=1),$AV$1132,HLOOKUP(INDIRECT(ADDRESS(2,COLUMN())),OFFSET($BN$2,0,0,ROW()-1,60),ROW()-1,FALSE))</f>
        <v>4.1172138589999996</v>
      </c>
      <c r="AW470">
        <f ca="1">IF(AND(ISNUMBER($AW$1132),$B$677=1),$AW$1132,HLOOKUP(INDIRECT(ADDRESS(2,COLUMN())),OFFSET($BN$2,0,0,ROW()-1,60),ROW()-1,FALSE))</f>
        <v>5.701336145</v>
      </c>
      <c r="AX470">
        <f ca="1">IF(AND(ISNUMBER($AX$1132),$B$677=1),$AX$1132,HLOOKUP(INDIRECT(ADDRESS(2,COLUMN())),OFFSET($BN$2,0,0,ROW()-1,60),ROW()-1,FALSE))</f>
        <v>6.2863530860000001</v>
      </c>
      <c r="AY470">
        <f ca="1">IF(AND(ISNUMBER($AY$1132),$B$677=1),$AY$1132,HLOOKUP(INDIRECT(ADDRESS(2,COLUMN())),OFFSET($BN$2,0,0,ROW()-1,60),ROW()-1,FALSE))</f>
        <v>8.8837815950000003</v>
      </c>
      <c r="AZ470">
        <f ca="1">IF(AND(ISNUMBER($AZ$1132),$B$677=1),$AZ$1132,HLOOKUP(INDIRECT(ADDRESS(2,COLUMN())),OFFSET($BN$2,0,0,ROW()-1,60),ROW()-1,FALSE))</f>
        <v>8.8293622640000002</v>
      </c>
      <c r="BA470">
        <f ca="1">IF(AND(ISNUMBER($BA$1132),$B$677=1),$BA$1132,HLOOKUP(INDIRECT(ADDRESS(2,COLUMN())),OFFSET($BN$2,0,0,ROW()-1,60),ROW()-1,FALSE))</f>
        <v>9.4898723549999993</v>
      </c>
      <c r="BB470">
        <f ca="1">IF(AND(ISNUMBER($BB$1132),$B$677=1),$BB$1132,HLOOKUP(INDIRECT(ADDRESS(2,COLUMN())),OFFSET($BN$2,0,0,ROW()-1,60),ROW()-1,FALSE))</f>
        <v>9.1027235070000003</v>
      </c>
      <c r="BC470">
        <f ca="1">IF(AND(ISNUMBER($BC$1132),$B$677=1),$BC$1132,HLOOKUP(INDIRECT(ADDRESS(2,COLUMN())),OFFSET($BN$2,0,0,ROW()-1,60),ROW()-1,FALSE))</f>
        <v>8.4661240029999991</v>
      </c>
      <c r="BD470">
        <f ca="1">IF(AND(ISNUMBER($BD$1132),$B$677=1),$BD$1132,HLOOKUP(INDIRECT(ADDRESS(2,COLUMN())),OFFSET($BN$2,0,0,ROW()-1,60),ROW()-1,FALSE))</f>
        <v>8.6759044569999997</v>
      </c>
      <c r="BE470">
        <f ca="1">IF(AND(ISNUMBER($BE$1132),$B$677=1),$BE$1132,HLOOKUP(INDIRECT(ADDRESS(2,COLUMN())),OFFSET($BN$2,0,0,ROW()-1,60),ROW()-1,FALSE))</f>
        <v>8.3667713979999991</v>
      </c>
      <c r="BF470">
        <f ca="1">IF(AND(ISNUMBER($BF$1132),$B$677=1),$BF$1132,HLOOKUP(INDIRECT(ADDRESS(2,COLUMN())),OFFSET($BN$2,0,0,ROW()-1,60),ROW()-1,FALSE))</f>
        <v>9.991870552</v>
      </c>
      <c r="BG470">
        <f ca="1">IF(AND(ISNUMBER($BG$1132),$B$677=1),$BG$1132,HLOOKUP(INDIRECT(ADDRESS(2,COLUMN())),OFFSET($BN$2,0,0,ROW()-1,60),ROW()-1,FALSE))</f>
        <v>10.639217479999999</v>
      </c>
      <c r="BH470">
        <f ca="1">IF(AND(ISNUMBER($BH$1132),$B$677=1),$BH$1132,HLOOKUP(INDIRECT(ADDRESS(2,COLUMN())),OFFSET($BN$2,0,0,ROW()-1,60),ROW()-1,FALSE))</f>
        <v>9.6410967979999995</v>
      </c>
      <c r="BI470">
        <f ca="1">IF(AND(ISNUMBER($BI$1132),$B$677=1),$BI$1132,HLOOKUP(INDIRECT(ADDRESS(2,COLUMN())),OFFSET($BN$2,0,0,ROW()-1,60),ROW()-1,FALSE))</f>
        <v>9.5901068739999999</v>
      </c>
      <c r="BJ470">
        <f ca="1">IF(AND(ISNUMBER($BJ$1132),$B$677=1),$BJ$1132,HLOOKUP(INDIRECT(ADDRESS(2,COLUMN())),OFFSET($BN$2,0,0,ROW()-1,60),ROW()-1,FALSE))</f>
        <v>9.4298856499999992</v>
      </c>
      <c r="BK470">
        <f ca="1">IF(AND(ISNUMBER($BK$1132),$B$677=1),$BK$1132,HLOOKUP(INDIRECT(ADDRESS(2,COLUMN())),OFFSET($BN$2,0,0,ROW()-1,60),ROW()-1,FALSE))</f>
        <v>7.0084141879999997</v>
      </c>
      <c r="BL470">
        <f ca="1">IF(AND(ISNUMBER($BL$1132),$B$677=1),$BL$1132,HLOOKUP(INDIRECT(ADDRESS(2,COLUMN())),OFFSET($BN$2,0,0,ROW()-1,60),ROW()-1,FALSE))</f>
        <v>7.053347574</v>
      </c>
      <c r="BM470">
        <f ca="1">IF(AND(ISNUMBER($BM$1132),$B$677=1),$BM$1132,HLOOKUP(INDIRECT(ADDRESS(2,COLUMN())),OFFSET($BN$2,0,0,ROW()-1,60),ROW()-1,FALSE))</f>
        <v>6.7081246859999997</v>
      </c>
      <c r="BN470" t="str">
        <f>""</f>
        <v/>
      </c>
      <c r="BO470">
        <f>12.25973979</f>
        <v>12.259739789999999</v>
      </c>
      <c r="BP470">
        <f>15.18019198</f>
        <v>15.18019198</v>
      </c>
      <c r="BQ470">
        <f>13.67274355</f>
        <v>13.67274355</v>
      </c>
      <c r="BR470">
        <f>14.47718245</f>
        <v>14.477182450000001</v>
      </c>
      <c r="BS470">
        <f>15.39643687</f>
        <v>15.39643687</v>
      </c>
      <c r="BT470">
        <f>13.90233445</f>
        <v>13.90233445</v>
      </c>
      <c r="BU470">
        <f>15.03308182</f>
        <v>15.03308182</v>
      </c>
      <c r="BV470">
        <f>13.85894631</f>
        <v>13.85894631</v>
      </c>
      <c r="BW470">
        <f>12.97375302</f>
        <v>12.97375302</v>
      </c>
      <c r="BX470">
        <f>14.27881277</f>
        <v>14.27881277</v>
      </c>
      <c r="BY470">
        <f>14.25082869</f>
        <v>14.250828690000001</v>
      </c>
      <c r="BZ470">
        <f>18.30797382</f>
        <v>18.307973820000001</v>
      </c>
      <c r="CA470">
        <f>14.4979271</f>
        <v>14.4979271</v>
      </c>
      <c r="CB470">
        <f>20.01705795</f>
        <v>20.017057950000002</v>
      </c>
      <c r="CC470">
        <f>23.18126016</f>
        <v>23.181260160000001</v>
      </c>
      <c r="CD470">
        <f>22.11448319</f>
        <v>22.114483190000001</v>
      </c>
      <c r="CE470">
        <f>22.18124574</f>
        <v>22.181245740000001</v>
      </c>
      <c r="CF470">
        <f>18.83487871</f>
        <v>18.834878710000002</v>
      </c>
      <c r="CG470">
        <f>20.00757202</f>
        <v>20.007572020000001</v>
      </c>
      <c r="CH470">
        <f>14.6326704</f>
        <v>14.6326704</v>
      </c>
      <c r="CI470">
        <f>15.60631648</f>
        <v>15.60631648</v>
      </c>
      <c r="CJ470">
        <f>15.69825867</f>
        <v>15.69825867</v>
      </c>
      <c r="CK470">
        <f>13.43561717</f>
        <v>13.43561717</v>
      </c>
      <c r="CL470">
        <f>14.41828027</f>
        <v>14.41828027</v>
      </c>
      <c r="CM470">
        <f>12.36306724</f>
        <v>12.363067239999999</v>
      </c>
      <c r="CN470">
        <f>11.24507099</f>
        <v>11.24507099</v>
      </c>
      <c r="CO470">
        <f>9.169148135</f>
        <v>9.1691481350000004</v>
      </c>
      <c r="CP470">
        <f>8.650589136</f>
        <v>8.6505891360000007</v>
      </c>
      <c r="CQ470">
        <f>8.211835836</f>
        <v>8.2118358360000006</v>
      </c>
      <c r="CR470">
        <f>6.389875472</f>
        <v>6.3898754719999999</v>
      </c>
      <c r="CS470">
        <f>7.483061361</f>
        <v>7.4830613609999999</v>
      </c>
      <c r="CT470">
        <f>8.456756186</f>
        <v>8.4567561859999998</v>
      </c>
      <c r="CU470">
        <f>9.089961245</f>
        <v>9.0899612449999996</v>
      </c>
      <c r="CV470">
        <f>9.608339398</f>
        <v>9.608339398</v>
      </c>
      <c r="CW470">
        <f>8.690310024</f>
        <v>8.6903100240000004</v>
      </c>
      <c r="CX470">
        <f>10.01098937</f>
        <v>10.010989370000001</v>
      </c>
      <c r="CY470">
        <f>9.571770339</f>
        <v>9.5717703390000004</v>
      </c>
      <c r="CZ470">
        <f>12.10361838</f>
        <v>12.10361838</v>
      </c>
      <c r="DA470">
        <f>7.721256856</f>
        <v>7.7212568560000001</v>
      </c>
      <c r="DB470">
        <f>4.798919724</f>
        <v>4.7989197240000001</v>
      </c>
      <c r="DC470">
        <f>3.777076641</f>
        <v>3.7770766409999998</v>
      </c>
      <c r="DD470">
        <f>4.117213859</f>
        <v>4.1172138589999996</v>
      </c>
      <c r="DE470">
        <f>5.701336145</f>
        <v>5.701336145</v>
      </c>
      <c r="DF470">
        <f>6.286353086</f>
        <v>6.2863530860000001</v>
      </c>
      <c r="DG470">
        <f>8.883781595</f>
        <v>8.8837815950000003</v>
      </c>
      <c r="DH470">
        <f>8.829362264</f>
        <v>8.8293622640000002</v>
      </c>
      <c r="DI470">
        <f>9.489872355</f>
        <v>9.4898723549999993</v>
      </c>
      <c r="DJ470">
        <f>9.102723507</f>
        <v>9.1027235070000003</v>
      </c>
      <c r="DK470">
        <f>8.466124003</f>
        <v>8.4661240029999991</v>
      </c>
      <c r="DL470">
        <f>8.675904457</f>
        <v>8.6759044569999997</v>
      </c>
      <c r="DM470">
        <f>8.366771398</f>
        <v>8.3667713979999991</v>
      </c>
      <c r="DN470">
        <f>9.991870552</f>
        <v>9.991870552</v>
      </c>
      <c r="DO470">
        <f>10.63921748</f>
        <v>10.639217479999999</v>
      </c>
      <c r="DP470">
        <f>9.641096798</f>
        <v>9.6410967979999995</v>
      </c>
      <c r="DQ470">
        <f>9.590106874</f>
        <v>9.5901068739999999</v>
      </c>
      <c r="DR470">
        <f>9.42988565</f>
        <v>9.4298856499999992</v>
      </c>
      <c r="DS470">
        <f>7.008414188</f>
        <v>7.0084141879999997</v>
      </c>
      <c r="DT470">
        <f>7.053347574</f>
        <v>7.053347574</v>
      </c>
      <c r="DU470">
        <f>6.708124686</f>
        <v>6.7081246859999997</v>
      </c>
    </row>
    <row r="471" spans="1:125" x14ac:dyDescent="0.25">
      <c r="A471" t="str">
        <f>"    GAZ PJSC"</f>
        <v xml:space="preserve">    GAZ PJSC</v>
      </c>
      <c r="B471" t="str">
        <f>"GAZA RM Equity"</f>
        <v>GAZA RM Equity</v>
      </c>
      <c r="C471" t="str">
        <f t="shared" si="33"/>
        <v>RR476</v>
      </c>
      <c r="D471" t="str">
        <f t="shared" si="34"/>
        <v>EV_TO_T12M_NET_INCOME</v>
      </c>
      <c r="E471" t="str">
        <f t="shared" si="35"/>
        <v>Dynamic</v>
      </c>
      <c r="F471" t="str">
        <f ca="1">IF(AND(ISNUMBER($F$1133),$B$677=1),$F$1133,HLOOKUP(INDIRECT(ADDRESS(2,COLUMN())),OFFSET($BN$2,0,0,ROW()-1,60),ROW()-1,FALSE))</f>
        <v/>
      </c>
      <c r="G471" t="str">
        <f ca="1">IF(AND(ISNUMBER($G$1133),$B$677=1),$G$1133,HLOOKUP(INDIRECT(ADDRESS(2,COLUMN())),OFFSET($BN$2,0,0,ROW()-1,60),ROW()-1,FALSE))</f>
        <v/>
      </c>
      <c r="H471" t="str">
        <f ca="1">IF(AND(ISNUMBER($H$1133),$B$677=1),$H$1133,HLOOKUP(INDIRECT(ADDRESS(2,COLUMN())),OFFSET($BN$2,0,0,ROW()-1,60),ROW()-1,FALSE))</f>
        <v/>
      </c>
      <c r="I471" t="str">
        <f ca="1">IF(AND(ISNUMBER($I$1133),$B$677=1),$I$1133,HLOOKUP(INDIRECT(ADDRESS(2,COLUMN())),OFFSET($BN$2,0,0,ROW()-1,60),ROW()-1,FALSE))</f>
        <v/>
      </c>
      <c r="J471" t="str">
        <f ca="1">IF(AND(ISNUMBER($J$1133),$B$677=1),$J$1133,HLOOKUP(INDIRECT(ADDRESS(2,COLUMN())),OFFSET($BN$2,0,0,ROW()-1,60),ROW()-1,FALSE))</f>
        <v/>
      </c>
      <c r="K471" t="str">
        <f ca="1">IF(AND(ISNUMBER($K$1133),$B$677=1),$K$1133,HLOOKUP(INDIRECT(ADDRESS(2,COLUMN())),OFFSET($BN$2,0,0,ROW()-1,60),ROW()-1,FALSE))</f>
        <v/>
      </c>
      <c r="L471" t="str">
        <f ca="1">IF(AND(ISNUMBER($L$1133),$B$677=1),$L$1133,HLOOKUP(INDIRECT(ADDRESS(2,COLUMN())),OFFSET($BN$2,0,0,ROW()-1,60),ROW()-1,FALSE))</f>
        <v/>
      </c>
      <c r="M471" t="str">
        <f ca="1">IF(AND(ISNUMBER($M$1133),$B$677=1),$M$1133,HLOOKUP(INDIRECT(ADDRESS(2,COLUMN())),OFFSET($BN$2,0,0,ROW()-1,60),ROW()-1,FALSE))</f>
        <v/>
      </c>
      <c r="N471" t="str">
        <f ca="1">IF(AND(ISNUMBER($N$1133),$B$677=1),$N$1133,HLOOKUP(INDIRECT(ADDRESS(2,COLUMN())),OFFSET($BN$2,0,0,ROW()-1,60),ROW()-1,FALSE))</f>
        <v/>
      </c>
      <c r="O471" t="str">
        <f ca="1">IF(AND(ISNUMBER($O$1133),$B$677=1),$O$1133,HLOOKUP(INDIRECT(ADDRESS(2,COLUMN())),OFFSET($BN$2,0,0,ROW()-1,60),ROW()-1,FALSE))</f>
        <v/>
      </c>
      <c r="P471" t="str">
        <f ca="1">IF(AND(ISNUMBER($P$1133),$B$677=1),$P$1133,HLOOKUP(INDIRECT(ADDRESS(2,COLUMN())),OFFSET($BN$2,0,0,ROW()-1,60),ROW()-1,FALSE))</f>
        <v/>
      </c>
      <c r="Q471" t="str">
        <f ca="1">IF(AND(ISNUMBER($Q$1133),$B$677=1),$Q$1133,HLOOKUP(INDIRECT(ADDRESS(2,COLUMN())),OFFSET($BN$2,0,0,ROW()-1,60),ROW()-1,FALSE))</f>
        <v/>
      </c>
      <c r="R471" t="str">
        <f ca="1">IF(AND(ISNUMBER($R$1133),$B$677=1),$R$1133,HLOOKUP(INDIRECT(ADDRESS(2,COLUMN())),OFFSET($BN$2,0,0,ROW()-1,60),ROW()-1,FALSE))</f>
        <v/>
      </c>
      <c r="S471" t="str">
        <f ca="1">IF(AND(ISNUMBER($S$1133),$B$677=1),$S$1133,HLOOKUP(INDIRECT(ADDRESS(2,COLUMN())),OFFSET($BN$2,0,0,ROW()-1,60),ROW()-1,FALSE))</f>
        <v/>
      </c>
      <c r="T471" t="str">
        <f ca="1">IF(AND(ISNUMBER($T$1133),$B$677=1),$T$1133,HLOOKUP(INDIRECT(ADDRESS(2,COLUMN())),OFFSET($BN$2,0,0,ROW()-1,60),ROW()-1,FALSE))</f>
        <v/>
      </c>
      <c r="U471" t="str">
        <f ca="1">IF(AND(ISNUMBER($U$1133),$B$677=1),$U$1133,HLOOKUP(INDIRECT(ADDRESS(2,COLUMN())),OFFSET($BN$2,0,0,ROW()-1,60),ROW()-1,FALSE))</f>
        <v/>
      </c>
      <c r="V471" t="str">
        <f ca="1">IF(AND(ISNUMBER($V$1133),$B$677=1),$V$1133,HLOOKUP(INDIRECT(ADDRESS(2,COLUMN())),OFFSET($BN$2,0,0,ROW()-1,60),ROW()-1,FALSE))</f>
        <v/>
      </c>
      <c r="W471" t="str">
        <f ca="1">IF(AND(ISNUMBER($W$1133),$B$677=1),$W$1133,HLOOKUP(INDIRECT(ADDRESS(2,COLUMN())),OFFSET($BN$2,0,0,ROW()-1,60),ROW()-1,FALSE))</f>
        <v/>
      </c>
      <c r="X471" t="str">
        <f ca="1">IF(AND(ISNUMBER($X$1133),$B$677=1),$X$1133,HLOOKUP(INDIRECT(ADDRESS(2,COLUMN())),OFFSET($BN$2,0,0,ROW()-1,60),ROW()-1,FALSE))</f>
        <v/>
      </c>
      <c r="Y471" t="str">
        <f ca="1">IF(AND(ISNUMBER($Y$1133),$B$677=1),$Y$1133,HLOOKUP(INDIRECT(ADDRESS(2,COLUMN())),OFFSET($BN$2,0,0,ROW()-1,60),ROW()-1,FALSE))</f>
        <v/>
      </c>
      <c r="Z471" t="str">
        <f ca="1">IF(AND(ISNUMBER($Z$1133),$B$677=1),$Z$1133,HLOOKUP(INDIRECT(ADDRESS(2,COLUMN())),OFFSET($BN$2,0,0,ROW()-1,60),ROW()-1,FALSE))</f>
        <v/>
      </c>
      <c r="AA471" t="str">
        <f ca="1">IF(AND(ISNUMBER($AA$1133),$B$677=1),$AA$1133,HLOOKUP(INDIRECT(ADDRESS(2,COLUMN())),OFFSET($BN$2,0,0,ROW()-1,60),ROW()-1,FALSE))</f>
        <v/>
      </c>
      <c r="AB471" t="str">
        <f ca="1">IF(AND(ISNUMBER($AB$1133),$B$677=1),$AB$1133,HLOOKUP(INDIRECT(ADDRESS(2,COLUMN())),OFFSET($BN$2,0,0,ROW()-1,60),ROW()-1,FALSE))</f>
        <v/>
      </c>
      <c r="AC471" t="str">
        <f ca="1">IF(AND(ISNUMBER($AC$1133),$B$677=1),$AC$1133,HLOOKUP(INDIRECT(ADDRESS(2,COLUMN())),OFFSET($BN$2,0,0,ROW()-1,60),ROW()-1,FALSE))</f>
        <v/>
      </c>
      <c r="AD471" t="str">
        <f ca="1">IF(AND(ISNUMBER($AD$1133),$B$677=1),$AD$1133,HLOOKUP(INDIRECT(ADDRESS(2,COLUMN())),OFFSET($BN$2,0,0,ROW()-1,60),ROW()-1,FALSE))</f>
        <v/>
      </c>
      <c r="AE471" t="str">
        <f ca="1">IF(AND(ISNUMBER($AE$1133),$B$677=1),$AE$1133,HLOOKUP(INDIRECT(ADDRESS(2,COLUMN())),OFFSET($BN$2,0,0,ROW()-1,60),ROW()-1,FALSE))</f>
        <v/>
      </c>
      <c r="AF471" t="str">
        <f ca="1">IF(AND(ISNUMBER($AF$1133),$B$677=1),$AF$1133,HLOOKUP(INDIRECT(ADDRESS(2,COLUMN())),OFFSET($BN$2,0,0,ROW()-1,60),ROW()-1,FALSE))</f>
        <v/>
      </c>
      <c r="AG471" t="str">
        <f ca="1">IF(AND(ISNUMBER($AG$1133),$B$677=1),$AG$1133,HLOOKUP(INDIRECT(ADDRESS(2,COLUMN())),OFFSET($BN$2,0,0,ROW()-1,60),ROW()-1,FALSE))</f>
        <v/>
      </c>
      <c r="AH471" t="str">
        <f ca="1">IF(AND(ISNUMBER($AH$1133),$B$677=1),$AH$1133,HLOOKUP(INDIRECT(ADDRESS(2,COLUMN())),OFFSET($BN$2,0,0,ROW()-1,60),ROW()-1,FALSE))</f>
        <v/>
      </c>
      <c r="AI471" t="str">
        <f ca="1">IF(AND(ISNUMBER($AI$1133),$B$677=1),$AI$1133,HLOOKUP(INDIRECT(ADDRESS(2,COLUMN())),OFFSET($BN$2,0,0,ROW()-1,60),ROW()-1,FALSE))</f>
        <v/>
      </c>
      <c r="AJ471" t="str">
        <f ca="1">IF(AND(ISNUMBER($AJ$1133),$B$677=1),$AJ$1133,HLOOKUP(INDIRECT(ADDRESS(2,COLUMN())),OFFSET($BN$2,0,0,ROW()-1,60),ROW()-1,FALSE))</f>
        <v/>
      </c>
      <c r="AK471" t="str">
        <f ca="1">IF(AND(ISNUMBER($AK$1133),$B$677=1),$AK$1133,HLOOKUP(INDIRECT(ADDRESS(2,COLUMN())),OFFSET($BN$2,0,0,ROW()-1,60),ROW()-1,FALSE))</f>
        <v/>
      </c>
      <c r="AL471" t="str">
        <f ca="1">IF(AND(ISNUMBER($AL$1133),$B$677=1),$AL$1133,HLOOKUP(INDIRECT(ADDRESS(2,COLUMN())),OFFSET($BN$2,0,0,ROW()-1,60),ROW()-1,FALSE))</f>
        <v/>
      </c>
      <c r="AM471" t="str">
        <f ca="1">IF(AND(ISNUMBER($AM$1133),$B$677=1),$AM$1133,HLOOKUP(INDIRECT(ADDRESS(2,COLUMN())),OFFSET($BN$2,0,0,ROW()-1,60),ROW()-1,FALSE))</f>
        <v/>
      </c>
      <c r="AN471" t="str">
        <f ca="1">IF(AND(ISNUMBER($AN$1133),$B$677=1),$AN$1133,HLOOKUP(INDIRECT(ADDRESS(2,COLUMN())),OFFSET($BN$2,0,0,ROW()-1,60),ROW()-1,FALSE))</f>
        <v/>
      </c>
      <c r="AO471" t="str">
        <f ca="1">IF(AND(ISNUMBER($AO$1133),$B$677=1),$AO$1133,HLOOKUP(INDIRECT(ADDRESS(2,COLUMN())),OFFSET($BN$2,0,0,ROW()-1,60),ROW()-1,FALSE))</f>
        <v/>
      </c>
      <c r="AP471" t="str">
        <f ca="1">IF(AND(ISNUMBER($AP$1133),$B$677=1),$AP$1133,HLOOKUP(INDIRECT(ADDRESS(2,COLUMN())),OFFSET($BN$2,0,0,ROW()-1,60),ROW()-1,FALSE))</f>
        <v/>
      </c>
      <c r="AQ471" t="str">
        <f ca="1">IF(AND(ISNUMBER($AQ$1133),$B$677=1),$AQ$1133,HLOOKUP(INDIRECT(ADDRESS(2,COLUMN())),OFFSET($BN$2,0,0,ROW()-1,60),ROW()-1,FALSE))</f>
        <v/>
      </c>
      <c r="AR471" t="str">
        <f ca="1">IF(AND(ISNUMBER($AR$1133),$B$677=1),$AR$1133,HLOOKUP(INDIRECT(ADDRESS(2,COLUMN())),OFFSET($BN$2,0,0,ROW()-1,60),ROW()-1,FALSE))</f>
        <v/>
      </c>
      <c r="AS471" t="str">
        <f ca="1">IF(AND(ISNUMBER($AS$1133),$B$677=1),$AS$1133,HLOOKUP(INDIRECT(ADDRESS(2,COLUMN())),OFFSET($BN$2,0,0,ROW()-1,60),ROW()-1,FALSE))</f>
        <v/>
      </c>
      <c r="AT471" t="str">
        <f ca="1">IF(AND(ISNUMBER($AT$1133),$B$677=1),$AT$1133,HLOOKUP(INDIRECT(ADDRESS(2,COLUMN())),OFFSET($BN$2,0,0,ROW()-1,60),ROW()-1,FALSE))</f>
        <v/>
      </c>
      <c r="AU471" t="str">
        <f ca="1">IF(AND(ISNUMBER($AU$1133),$B$677=1),$AU$1133,HLOOKUP(INDIRECT(ADDRESS(2,COLUMN())),OFFSET($BN$2,0,0,ROW()-1,60),ROW()-1,FALSE))</f>
        <v/>
      </c>
      <c r="AV471" t="str">
        <f ca="1">IF(AND(ISNUMBER($AV$1133),$B$677=1),$AV$1133,HLOOKUP(INDIRECT(ADDRESS(2,COLUMN())),OFFSET($BN$2,0,0,ROW()-1,60),ROW()-1,FALSE))</f>
        <v/>
      </c>
      <c r="AW471" t="str">
        <f ca="1">IF(AND(ISNUMBER($AW$1133),$B$677=1),$AW$1133,HLOOKUP(INDIRECT(ADDRESS(2,COLUMN())),OFFSET($BN$2,0,0,ROW()-1,60),ROW()-1,FALSE))</f>
        <v/>
      </c>
      <c r="AX471" t="str">
        <f ca="1">IF(AND(ISNUMBER($AX$1133),$B$677=1),$AX$1133,HLOOKUP(INDIRECT(ADDRESS(2,COLUMN())),OFFSET($BN$2,0,0,ROW()-1,60),ROW()-1,FALSE))</f>
        <v/>
      </c>
      <c r="AY471" t="str">
        <f ca="1">IF(AND(ISNUMBER($AY$1133),$B$677=1),$AY$1133,HLOOKUP(INDIRECT(ADDRESS(2,COLUMN())),OFFSET($BN$2,0,0,ROW()-1,60),ROW()-1,FALSE))</f>
        <v/>
      </c>
      <c r="AZ471" t="str">
        <f ca="1">IF(AND(ISNUMBER($AZ$1133),$B$677=1),$AZ$1133,HLOOKUP(INDIRECT(ADDRESS(2,COLUMN())),OFFSET($BN$2,0,0,ROW()-1,60),ROW()-1,FALSE))</f>
        <v/>
      </c>
      <c r="BA471" t="str">
        <f ca="1">IF(AND(ISNUMBER($BA$1133),$B$677=1),$BA$1133,HLOOKUP(INDIRECT(ADDRESS(2,COLUMN())),OFFSET($BN$2,0,0,ROW()-1,60),ROW()-1,FALSE))</f>
        <v/>
      </c>
      <c r="BB471" t="str">
        <f ca="1">IF(AND(ISNUMBER($BB$1133),$B$677=1),$BB$1133,HLOOKUP(INDIRECT(ADDRESS(2,COLUMN())),OFFSET($BN$2,0,0,ROW()-1,60),ROW()-1,FALSE))</f>
        <v/>
      </c>
      <c r="BC471" t="str">
        <f ca="1">IF(AND(ISNUMBER($BC$1133),$B$677=1),$BC$1133,HLOOKUP(INDIRECT(ADDRESS(2,COLUMN())),OFFSET($BN$2,0,0,ROW()-1,60),ROW()-1,FALSE))</f>
        <v/>
      </c>
      <c r="BD471" t="str">
        <f ca="1">IF(AND(ISNUMBER($BD$1133),$B$677=1),$BD$1133,HLOOKUP(INDIRECT(ADDRESS(2,COLUMN())),OFFSET($BN$2,0,0,ROW()-1,60),ROW()-1,FALSE))</f>
        <v/>
      </c>
      <c r="BE471" t="str">
        <f ca="1">IF(AND(ISNUMBER($BE$1133),$B$677=1),$BE$1133,HLOOKUP(INDIRECT(ADDRESS(2,COLUMN())),OFFSET($BN$2,0,0,ROW()-1,60),ROW()-1,FALSE))</f>
        <v/>
      </c>
      <c r="BF471" t="str">
        <f ca="1">IF(AND(ISNUMBER($BF$1133),$B$677=1),$BF$1133,HLOOKUP(INDIRECT(ADDRESS(2,COLUMN())),OFFSET($BN$2,0,0,ROW()-1,60),ROW()-1,FALSE))</f>
        <v/>
      </c>
      <c r="BG471" t="str">
        <f ca="1">IF(AND(ISNUMBER($BG$1133),$B$677=1),$BG$1133,HLOOKUP(INDIRECT(ADDRESS(2,COLUMN())),OFFSET($BN$2,0,0,ROW()-1,60),ROW()-1,FALSE))</f>
        <v/>
      </c>
      <c r="BH471" t="str">
        <f ca="1">IF(AND(ISNUMBER($BH$1133),$B$677=1),$BH$1133,HLOOKUP(INDIRECT(ADDRESS(2,COLUMN())),OFFSET($BN$2,0,0,ROW()-1,60),ROW()-1,FALSE))</f>
        <v/>
      </c>
      <c r="BI471" t="str">
        <f ca="1">IF(AND(ISNUMBER($BI$1133),$B$677=1),$BI$1133,HLOOKUP(INDIRECT(ADDRESS(2,COLUMN())),OFFSET($BN$2,0,0,ROW()-1,60),ROW()-1,FALSE))</f>
        <v/>
      </c>
      <c r="BJ471" t="str">
        <f ca="1">IF(AND(ISNUMBER($BJ$1133),$B$677=1),$BJ$1133,HLOOKUP(INDIRECT(ADDRESS(2,COLUMN())),OFFSET($BN$2,0,0,ROW()-1,60),ROW()-1,FALSE))</f>
        <v/>
      </c>
      <c r="BK471" t="str">
        <f ca="1">IF(AND(ISNUMBER($BK$1133),$B$677=1),$BK$1133,HLOOKUP(INDIRECT(ADDRESS(2,COLUMN())),OFFSET($BN$2,0,0,ROW()-1,60),ROW()-1,FALSE))</f>
        <v/>
      </c>
      <c r="BL471" t="str">
        <f ca="1">IF(AND(ISNUMBER($BL$1133),$B$677=1),$BL$1133,HLOOKUP(INDIRECT(ADDRESS(2,COLUMN())),OFFSET($BN$2,0,0,ROW()-1,60),ROW()-1,FALSE))</f>
        <v/>
      </c>
      <c r="BM471" t="str">
        <f ca="1">IF(AND(ISNUMBER($BM$1133),$B$677=1),$BM$1133,HLOOKUP(INDIRECT(ADDRESS(2,COLUMN())),OFFSET($BN$2,0,0,ROW()-1,60),ROW()-1,FALSE))</f>
        <v/>
      </c>
      <c r="BN471" t="str">
        <f>""</f>
        <v/>
      </c>
      <c r="BO471" t="str">
        <f>""</f>
        <v/>
      </c>
      <c r="BP471" t="str">
        <f>""</f>
        <v/>
      </c>
      <c r="BQ471" t="str">
        <f>""</f>
        <v/>
      </c>
      <c r="BR471" t="str">
        <f>""</f>
        <v/>
      </c>
      <c r="BS471" t="str">
        <f>""</f>
        <v/>
      </c>
      <c r="BT471" t="str">
        <f>""</f>
        <v/>
      </c>
      <c r="BU471" t="str">
        <f>""</f>
        <v/>
      </c>
      <c r="BV471" t="str">
        <f>""</f>
        <v/>
      </c>
      <c r="BW471" t="str">
        <f>""</f>
        <v/>
      </c>
      <c r="BX471" t="str">
        <f>""</f>
        <v/>
      </c>
      <c r="BY471" t="str">
        <f>""</f>
        <v/>
      </c>
      <c r="BZ471" t="str">
        <f>""</f>
        <v/>
      </c>
      <c r="CA471" t="str">
        <f>""</f>
        <v/>
      </c>
      <c r="CB471" t="str">
        <f>""</f>
        <v/>
      </c>
      <c r="CC471" t="str">
        <f>""</f>
        <v/>
      </c>
      <c r="CD471" t="str">
        <f>""</f>
        <v/>
      </c>
      <c r="CE471" t="str">
        <f>""</f>
        <v/>
      </c>
      <c r="CF471" t="str">
        <f>""</f>
        <v/>
      </c>
      <c r="CG471" t="str">
        <f>""</f>
        <v/>
      </c>
      <c r="CH471" t="str">
        <f>""</f>
        <v/>
      </c>
      <c r="CI471" t="str">
        <f>""</f>
        <v/>
      </c>
      <c r="CJ471" t="str">
        <f>""</f>
        <v/>
      </c>
      <c r="CK471" t="str">
        <f>""</f>
        <v/>
      </c>
      <c r="CL471" t="str">
        <f>""</f>
        <v/>
      </c>
      <c r="CM471" t="str">
        <f>""</f>
        <v/>
      </c>
      <c r="CN471" t="str">
        <f>""</f>
        <v/>
      </c>
      <c r="CO471" t="str">
        <f>""</f>
        <v/>
      </c>
      <c r="CP471" t="str">
        <f>""</f>
        <v/>
      </c>
      <c r="CQ471" t="str">
        <f>""</f>
        <v/>
      </c>
      <c r="CR471" t="str">
        <f>""</f>
        <v/>
      </c>
      <c r="CS471" t="str">
        <f>""</f>
        <v/>
      </c>
      <c r="CT471" t="str">
        <f>""</f>
        <v/>
      </c>
      <c r="CU471" t="str">
        <f>""</f>
        <v/>
      </c>
      <c r="CV471" t="str">
        <f>""</f>
        <v/>
      </c>
      <c r="CW471" t="str">
        <f>""</f>
        <v/>
      </c>
      <c r="CX471" t="str">
        <f>""</f>
        <v/>
      </c>
      <c r="CY471" t="str">
        <f>""</f>
        <v/>
      </c>
      <c r="CZ471" t="str">
        <f>""</f>
        <v/>
      </c>
      <c r="DA471" t="str">
        <f>""</f>
        <v/>
      </c>
      <c r="DB471" t="str">
        <f>""</f>
        <v/>
      </c>
      <c r="DC471" t="str">
        <f>""</f>
        <v/>
      </c>
      <c r="DD471" t="str">
        <f>""</f>
        <v/>
      </c>
      <c r="DE471" t="str">
        <f>""</f>
        <v/>
      </c>
      <c r="DF471" t="str">
        <f>""</f>
        <v/>
      </c>
      <c r="DG471" t="str">
        <f>""</f>
        <v/>
      </c>
      <c r="DH471" t="str">
        <f>""</f>
        <v/>
      </c>
      <c r="DI471" t="str">
        <f>""</f>
        <v/>
      </c>
      <c r="DJ471" t="str">
        <f>""</f>
        <v/>
      </c>
      <c r="DK471" t="str">
        <f>""</f>
        <v/>
      </c>
      <c r="DL471" t="str">
        <f>""</f>
        <v/>
      </c>
      <c r="DM471" t="str">
        <f>""</f>
        <v/>
      </c>
      <c r="DN471" t="str">
        <f>""</f>
        <v/>
      </c>
      <c r="DO471" t="str">
        <f>""</f>
        <v/>
      </c>
      <c r="DP471" t="str">
        <f>""</f>
        <v/>
      </c>
      <c r="DQ471" t="str">
        <f>""</f>
        <v/>
      </c>
      <c r="DR471" t="str">
        <f>""</f>
        <v/>
      </c>
      <c r="DS471" t="str">
        <f>""</f>
        <v/>
      </c>
      <c r="DT471" t="str">
        <f>""</f>
        <v/>
      </c>
      <c r="DU471" t="str">
        <f>""</f>
        <v/>
      </c>
    </row>
    <row r="472" spans="1:125" x14ac:dyDescent="0.25">
      <c r="A472" t="str">
        <f>"    Geely Automobile Holdings Ltd"</f>
        <v xml:space="preserve">    Geely Automobile Holdings Ltd</v>
      </c>
      <c r="B472" t="str">
        <f>"175 HK Equity"</f>
        <v>175 HK Equity</v>
      </c>
      <c r="C472" t="str">
        <f t="shared" si="33"/>
        <v>RR476</v>
      </c>
      <c r="D472" t="str">
        <f t="shared" si="34"/>
        <v>EV_TO_T12M_NET_INCOME</v>
      </c>
      <c r="E472" t="str">
        <f t="shared" si="35"/>
        <v>Dynamic</v>
      </c>
      <c r="F472" t="str">
        <f ca="1">IF(AND(ISNUMBER($F$1134),$B$677=1),$F$1134,HLOOKUP(INDIRECT(ADDRESS(2,COLUMN())),OFFSET($BN$2,0,0,ROW()-1,60),ROW()-1,FALSE))</f>
        <v/>
      </c>
      <c r="G472" t="str">
        <f ca="1">IF(AND(ISNUMBER($G$1134),$B$677=1),$G$1134,HLOOKUP(INDIRECT(ADDRESS(2,COLUMN())),OFFSET($BN$2,0,0,ROW()-1,60),ROW()-1,FALSE))</f>
        <v/>
      </c>
      <c r="H472" t="str">
        <f ca="1">IF(AND(ISNUMBER($H$1134),$B$677=1),$H$1134,HLOOKUP(INDIRECT(ADDRESS(2,COLUMN())),OFFSET($BN$2,0,0,ROW()-1,60),ROW()-1,FALSE))</f>
        <v/>
      </c>
      <c r="I472" t="str">
        <f ca="1">IF(AND(ISNUMBER($I$1134),$B$677=1),$I$1134,HLOOKUP(INDIRECT(ADDRESS(2,COLUMN())),OFFSET($BN$2,0,0,ROW()-1,60),ROW()-1,FALSE))</f>
        <v/>
      </c>
      <c r="J472" t="str">
        <f ca="1">IF(AND(ISNUMBER($J$1134),$B$677=1),$J$1134,HLOOKUP(INDIRECT(ADDRESS(2,COLUMN())),OFFSET($BN$2,0,0,ROW()-1,60),ROW()-1,FALSE))</f>
        <v/>
      </c>
      <c r="K472" t="str">
        <f ca="1">IF(AND(ISNUMBER($K$1134),$B$677=1),$K$1134,HLOOKUP(INDIRECT(ADDRESS(2,COLUMN())),OFFSET($BN$2,0,0,ROW()-1,60),ROW()-1,FALSE))</f>
        <v/>
      </c>
      <c r="L472" t="str">
        <f ca="1">IF(AND(ISNUMBER($L$1134),$B$677=1),$L$1134,HLOOKUP(INDIRECT(ADDRESS(2,COLUMN())),OFFSET($BN$2,0,0,ROW()-1,60),ROW()-1,FALSE))</f>
        <v/>
      </c>
      <c r="M472" t="str">
        <f ca="1">IF(AND(ISNUMBER($M$1134),$B$677=1),$M$1134,HLOOKUP(INDIRECT(ADDRESS(2,COLUMN())),OFFSET($BN$2,0,0,ROW()-1,60),ROW()-1,FALSE))</f>
        <v/>
      </c>
      <c r="N472" t="str">
        <f ca="1">IF(AND(ISNUMBER($N$1134),$B$677=1),$N$1134,HLOOKUP(INDIRECT(ADDRESS(2,COLUMN())),OFFSET($BN$2,0,0,ROW()-1,60),ROW()-1,FALSE))</f>
        <v/>
      </c>
      <c r="O472" t="str">
        <f ca="1">IF(AND(ISNUMBER($O$1134),$B$677=1),$O$1134,HLOOKUP(INDIRECT(ADDRESS(2,COLUMN())),OFFSET($BN$2,0,0,ROW()-1,60),ROW()-1,FALSE))</f>
        <v/>
      </c>
      <c r="P472" t="str">
        <f ca="1">IF(AND(ISNUMBER($P$1134),$B$677=1),$P$1134,HLOOKUP(INDIRECT(ADDRESS(2,COLUMN())),OFFSET($BN$2,0,0,ROW()-1,60),ROW()-1,FALSE))</f>
        <v/>
      </c>
      <c r="Q472" t="str">
        <f ca="1">IF(AND(ISNUMBER($Q$1134),$B$677=1),$Q$1134,HLOOKUP(INDIRECT(ADDRESS(2,COLUMN())),OFFSET($BN$2,0,0,ROW()-1,60),ROW()-1,FALSE))</f>
        <v/>
      </c>
      <c r="R472" t="str">
        <f ca="1">IF(AND(ISNUMBER($R$1134),$B$677=1),$R$1134,HLOOKUP(INDIRECT(ADDRESS(2,COLUMN())),OFFSET($BN$2,0,0,ROW()-1,60),ROW()-1,FALSE))</f>
        <v/>
      </c>
      <c r="S472" t="str">
        <f ca="1">IF(AND(ISNUMBER($S$1134),$B$677=1),$S$1134,HLOOKUP(INDIRECT(ADDRESS(2,COLUMN())),OFFSET($BN$2,0,0,ROW()-1,60),ROW()-1,FALSE))</f>
        <v/>
      </c>
      <c r="T472" t="str">
        <f ca="1">IF(AND(ISNUMBER($T$1134),$B$677=1),$T$1134,HLOOKUP(INDIRECT(ADDRESS(2,COLUMN())),OFFSET($BN$2,0,0,ROW()-1,60),ROW()-1,FALSE))</f>
        <v/>
      </c>
      <c r="U472" t="str">
        <f ca="1">IF(AND(ISNUMBER($U$1134),$B$677=1),$U$1134,HLOOKUP(INDIRECT(ADDRESS(2,COLUMN())),OFFSET($BN$2,0,0,ROW()-1,60),ROW()-1,FALSE))</f>
        <v/>
      </c>
      <c r="V472" t="str">
        <f ca="1">IF(AND(ISNUMBER($V$1134),$B$677=1),$V$1134,HLOOKUP(INDIRECT(ADDRESS(2,COLUMN())),OFFSET($BN$2,0,0,ROW()-1,60),ROW()-1,FALSE))</f>
        <v/>
      </c>
      <c r="W472" t="str">
        <f ca="1">IF(AND(ISNUMBER($W$1134),$B$677=1),$W$1134,HLOOKUP(INDIRECT(ADDRESS(2,COLUMN())),OFFSET($BN$2,0,0,ROW()-1,60),ROW()-1,FALSE))</f>
        <v/>
      </c>
      <c r="X472" t="str">
        <f ca="1">IF(AND(ISNUMBER($X$1134),$B$677=1),$X$1134,HLOOKUP(INDIRECT(ADDRESS(2,COLUMN())),OFFSET($BN$2,0,0,ROW()-1,60),ROW()-1,FALSE))</f>
        <v/>
      </c>
      <c r="Y472" t="str">
        <f ca="1">IF(AND(ISNUMBER($Y$1134),$B$677=1),$Y$1134,HLOOKUP(INDIRECT(ADDRESS(2,COLUMN())),OFFSET($BN$2,0,0,ROW()-1,60),ROW()-1,FALSE))</f>
        <v/>
      </c>
      <c r="Z472" t="str">
        <f ca="1">IF(AND(ISNUMBER($Z$1134),$B$677=1),$Z$1134,HLOOKUP(INDIRECT(ADDRESS(2,COLUMN())),OFFSET($BN$2,0,0,ROW()-1,60),ROW()-1,FALSE))</f>
        <v/>
      </c>
      <c r="AA472" t="str">
        <f ca="1">IF(AND(ISNUMBER($AA$1134),$B$677=1),$AA$1134,HLOOKUP(INDIRECT(ADDRESS(2,COLUMN())),OFFSET($BN$2,0,0,ROW()-1,60),ROW()-1,FALSE))</f>
        <v/>
      </c>
      <c r="AB472" t="str">
        <f ca="1">IF(AND(ISNUMBER($AB$1134),$B$677=1),$AB$1134,HLOOKUP(INDIRECT(ADDRESS(2,COLUMN())),OFFSET($BN$2,0,0,ROW()-1,60),ROW()-1,FALSE))</f>
        <v/>
      </c>
      <c r="AC472" t="str">
        <f ca="1">IF(AND(ISNUMBER($AC$1134),$B$677=1),$AC$1134,HLOOKUP(INDIRECT(ADDRESS(2,COLUMN())),OFFSET($BN$2,0,0,ROW()-1,60),ROW()-1,FALSE))</f>
        <v/>
      </c>
      <c r="AD472" t="str">
        <f ca="1">IF(AND(ISNUMBER($AD$1134),$B$677=1),$AD$1134,HLOOKUP(INDIRECT(ADDRESS(2,COLUMN())),OFFSET($BN$2,0,0,ROW()-1,60),ROW()-1,FALSE))</f>
        <v/>
      </c>
      <c r="AE472" t="str">
        <f ca="1">IF(AND(ISNUMBER($AE$1134),$B$677=1),$AE$1134,HLOOKUP(INDIRECT(ADDRESS(2,COLUMN())),OFFSET($BN$2,0,0,ROW()-1,60),ROW()-1,FALSE))</f>
        <v/>
      </c>
      <c r="AF472" t="str">
        <f ca="1">IF(AND(ISNUMBER($AF$1134),$B$677=1),$AF$1134,HLOOKUP(INDIRECT(ADDRESS(2,COLUMN())),OFFSET($BN$2,0,0,ROW()-1,60),ROW()-1,FALSE))</f>
        <v/>
      </c>
      <c r="AG472" t="str">
        <f ca="1">IF(AND(ISNUMBER($AG$1134),$B$677=1),$AG$1134,HLOOKUP(INDIRECT(ADDRESS(2,COLUMN())),OFFSET($BN$2,0,0,ROW()-1,60),ROW()-1,FALSE))</f>
        <v/>
      </c>
      <c r="AH472" t="str">
        <f ca="1">IF(AND(ISNUMBER($AH$1134),$B$677=1),$AH$1134,HLOOKUP(INDIRECT(ADDRESS(2,COLUMN())),OFFSET($BN$2,0,0,ROW()-1,60),ROW()-1,FALSE))</f>
        <v/>
      </c>
      <c r="AI472" t="str">
        <f ca="1">IF(AND(ISNUMBER($AI$1134),$B$677=1),$AI$1134,HLOOKUP(INDIRECT(ADDRESS(2,COLUMN())),OFFSET($BN$2,0,0,ROW()-1,60),ROW()-1,FALSE))</f>
        <v/>
      </c>
      <c r="AJ472" t="str">
        <f ca="1">IF(AND(ISNUMBER($AJ$1134),$B$677=1),$AJ$1134,HLOOKUP(INDIRECT(ADDRESS(2,COLUMN())),OFFSET($BN$2,0,0,ROW()-1,60),ROW()-1,FALSE))</f>
        <v/>
      </c>
      <c r="AK472" t="str">
        <f ca="1">IF(AND(ISNUMBER($AK$1134),$B$677=1),$AK$1134,HLOOKUP(INDIRECT(ADDRESS(2,COLUMN())),OFFSET($BN$2,0,0,ROW()-1,60),ROW()-1,FALSE))</f>
        <v/>
      </c>
      <c r="AL472" t="str">
        <f ca="1">IF(AND(ISNUMBER($AL$1134),$B$677=1),$AL$1134,HLOOKUP(INDIRECT(ADDRESS(2,COLUMN())),OFFSET($BN$2,0,0,ROW()-1,60),ROW()-1,FALSE))</f>
        <v/>
      </c>
      <c r="AM472" t="str">
        <f ca="1">IF(AND(ISNUMBER($AM$1134),$B$677=1),$AM$1134,HLOOKUP(INDIRECT(ADDRESS(2,COLUMN())),OFFSET($BN$2,0,0,ROW()-1,60),ROW()-1,FALSE))</f>
        <v/>
      </c>
      <c r="AN472" t="str">
        <f ca="1">IF(AND(ISNUMBER($AN$1134),$B$677=1),$AN$1134,HLOOKUP(INDIRECT(ADDRESS(2,COLUMN())),OFFSET($BN$2,0,0,ROW()-1,60),ROW()-1,FALSE))</f>
        <v/>
      </c>
      <c r="AO472" t="str">
        <f ca="1">IF(AND(ISNUMBER($AO$1134),$B$677=1),$AO$1134,HLOOKUP(INDIRECT(ADDRESS(2,COLUMN())),OFFSET($BN$2,0,0,ROW()-1,60),ROW()-1,FALSE))</f>
        <v/>
      </c>
      <c r="AP472" t="str">
        <f ca="1">IF(AND(ISNUMBER($AP$1134),$B$677=1),$AP$1134,HLOOKUP(INDIRECT(ADDRESS(2,COLUMN())),OFFSET($BN$2,0,0,ROW()-1,60),ROW()-1,FALSE))</f>
        <v/>
      </c>
      <c r="AQ472" t="str">
        <f ca="1">IF(AND(ISNUMBER($AQ$1134),$B$677=1),$AQ$1134,HLOOKUP(INDIRECT(ADDRESS(2,COLUMN())),OFFSET($BN$2,0,0,ROW()-1,60),ROW()-1,FALSE))</f>
        <v/>
      </c>
      <c r="AR472" t="str">
        <f ca="1">IF(AND(ISNUMBER($AR$1134),$B$677=1),$AR$1134,HLOOKUP(INDIRECT(ADDRESS(2,COLUMN())),OFFSET($BN$2,0,0,ROW()-1,60),ROW()-1,FALSE))</f>
        <v/>
      </c>
      <c r="AS472" t="str">
        <f ca="1">IF(AND(ISNUMBER($AS$1134),$B$677=1),$AS$1134,HLOOKUP(INDIRECT(ADDRESS(2,COLUMN())),OFFSET($BN$2,0,0,ROW()-1,60),ROW()-1,FALSE))</f>
        <v/>
      </c>
      <c r="AT472" t="str">
        <f ca="1">IF(AND(ISNUMBER($AT$1134),$B$677=1),$AT$1134,HLOOKUP(INDIRECT(ADDRESS(2,COLUMN())),OFFSET($BN$2,0,0,ROW()-1,60),ROW()-1,FALSE))</f>
        <v/>
      </c>
      <c r="AU472" t="str">
        <f ca="1">IF(AND(ISNUMBER($AU$1134),$B$677=1),$AU$1134,HLOOKUP(INDIRECT(ADDRESS(2,COLUMN())),OFFSET($BN$2,0,0,ROW()-1,60),ROW()-1,FALSE))</f>
        <v/>
      </c>
      <c r="AV472" t="str">
        <f ca="1">IF(AND(ISNUMBER($AV$1134),$B$677=1),$AV$1134,HLOOKUP(INDIRECT(ADDRESS(2,COLUMN())),OFFSET($BN$2,0,0,ROW()-1,60),ROW()-1,FALSE))</f>
        <v/>
      </c>
      <c r="AW472" t="str">
        <f ca="1">IF(AND(ISNUMBER($AW$1134),$B$677=1),$AW$1134,HLOOKUP(INDIRECT(ADDRESS(2,COLUMN())),OFFSET($BN$2,0,0,ROW()-1,60),ROW()-1,FALSE))</f>
        <v/>
      </c>
      <c r="AX472" t="str">
        <f ca="1">IF(AND(ISNUMBER($AX$1134),$B$677=1),$AX$1134,HLOOKUP(INDIRECT(ADDRESS(2,COLUMN())),OFFSET($BN$2,0,0,ROW()-1,60),ROW()-1,FALSE))</f>
        <v/>
      </c>
      <c r="AY472" t="str">
        <f ca="1">IF(AND(ISNUMBER($AY$1134),$B$677=1),$AY$1134,HLOOKUP(INDIRECT(ADDRESS(2,COLUMN())),OFFSET($BN$2,0,0,ROW()-1,60),ROW()-1,FALSE))</f>
        <v/>
      </c>
      <c r="AZ472" t="str">
        <f ca="1">IF(AND(ISNUMBER($AZ$1134),$B$677=1),$AZ$1134,HLOOKUP(INDIRECT(ADDRESS(2,COLUMN())),OFFSET($BN$2,0,0,ROW()-1,60),ROW()-1,FALSE))</f>
        <v/>
      </c>
      <c r="BA472" t="str">
        <f ca="1">IF(AND(ISNUMBER($BA$1134),$B$677=1),$BA$1134,HLOOKUP(INDIRECT(ADDRESS(2,COLUMN())),OFFSET($BN$2,0,0,ROW()-1,60),ROW()-1,FALSE))</f>
        <v/>
      </c>
      <c r="BB472" t="str">
        <f ca="1">IF(AND(ISNUMBER($BB$1134),$B$677=1),$BB$1134,HLOOKUP(INDIRECT(ADDRESS(2,COLUMN())),OFFSET($BN$2,0,0,ROW()-1,60),ROW()-1,FALSE))</f>
        <v/>
      </c>
      <c r="BC472" t="str">
        <f ca="1">IF(AND(ISNUMBER($BC$1134),$B$677=1),$BC$1134,HLOOKUP(INDIRECT(ADDRESS(2,COLUMN())),OFFSET($BN$2,0,0,ROW()-1,60),ROW()-1,FALSE))</f>
        <v/>
      </c>
      <c r="BD472" t="str">
        <f ca="1">IF(AND(ISNUMBER($BD$1134),$B$677=1),$BD$1134,HLOOKUP(INDIRECT(ADDRESS(2,COLUMN())),OFFSET($BN$2,0,0,ROW()-1,60),ROW()-1,FALSE))</f>
        <v/>
      </c>
      <c r="BE472" t="str">
        <f ca="1">IF(AND(ISNUMBER($BE$1134),$B$677=1),$BE$1134,HLOOKUP(INDIRECT(ADDRESS(2,COLUMN())),OFFSET($BN$2,0,0,ROW()-1,60),ROW()-1,FALSE))</f>
        <v/>
      </c>
      <c r="BF472" t="str">
        <f ca="1">IF(AND(ISNUMBER($BF$1134),$B$677=1),$BF$1134,HLOOKUP(INDIRECT(ADDRESS(2,COLUMN())),OFFSET($BN$2,0,0,ROW()-1,60),ROW()-1,FALSE))</f>
        <v/>
      </c>
      <c r="BG472" t="str">
        <f ca="1">IF(AND(ISNUMBER($BG$1134),$B$677=1),$BG$1134,HLOOKUP(INDIRECT(ADDRESS(2,COLUMN())),OFFSET($BN$2,0,0,ROW()-1,60),ROW()-1,FALSE))</f>
        <v/>
      </c>
      <c r="BH472" t="str">
        <f ca="1">IF(AND(ISNUMBER($BH$1134),$B$677=1),$BH$1134,HLOOKUP(INDIRECT(ADDRESS(2,COLUMN())),OFFSET($BN$2,0,0,ROW()-1,60),ROW()-1,FALSE))</f>
        <v/>
      </c>
      <c r="BI472" t="str">
        <f ca="1">IF(AND(ISNUMBER($BI$1134),$B$677=1),$BI$1134,HLOOKUP(INDIRECT(ADDRESS(2,COLUMN())),OFFSET($BN$2,0,0,ROW()-1,60),ROW()-1,FALSE))</f>
        <v/>
      </c>
      <c r="BJ472" t="str">
        <f ca="1">IF(AND(ISNUMBER($BJ$1134),$B$677=1),$BJ$1134,HLOOKUP(INDIRECT(ADDRESS(2,COLUMN())),OFFSET($BN$2,0,0,ROW()-1,60),ROW()-1,FALSE))</f>
        <v/>
      </c>
      <c r="BK472" t="str">
        <f ca="1">IF(AND(ISNUMBER($BK$1134),$B$677=1),$BK$1134,HLOOKUP(INDIRECT(ADDRESS(2,COLUMN())),OFFSET($BN$2,0,0,ROW()-1,60),ROW()-1,FALSE))</f>
        <v/>
      </c>
      <c r="BL472" t="str">
        <f ca="1">IF(AND(ISNUMBER($BL$1134),$B$677=1),$BL$1134,HLOOKUP(INDIRECT(ADDRESS(2,COLUMN())),OFFSET($BN$2,0,0,ROW()-1,60),ROW()-1,FALSE))</f>
        <v/>
      </c>
      <c r="BM472" t="str">
        <f ca="1">IF(AND(ISNUMBER($BM$1134),$B$677=1),$BM$1134,HLOOKUP(INDIRECT(ADDRESS(2,COLUMN())),OFFSET($BN$2,0,0,ROW()-1,60),ROW()-1,FALSE))</f>
        <v/>
      </c>
      <c r="BN472" t="str">
        <f>""</f>
        <v/>
      </c>
      <c r="BO472" t="str">
        <f>""</f>
        <v/>
      </c>
      <c r="BP472" t="str">
        <f>""</f>
        <v/>
      </c>
      <c r="BQ472" t="str">
        <f>""</f>
        <v/>
      </c>
      <c r="BR472" t="str">
        <f>""</f>
        <v/>
      </c>
      <c r="BS472" t="str">
        <f>""</f>
        <v/>
      </c>
      <c r="BT472" t="str">
        <f>""</f>
        <v/>
      </c>
      <c r="BU472" t="str">
        <f>""</f>
        <v/>
      </c>
      <c r="BV472" t="str">
        <f>""</f>
        <v/>
      </c>
      <c r="BW472" t="str">
        <f>""</f>
        <v/>
      </c>
      <c r="BX472" t="str">
        <f>""</f>
        <v/>
      </c>
      <c r="BY472" t="str">
        <f>""</f>
        <v/>
      </c>
      <c r="BZ472" t="str">
        <f>""</f>
        <v/>
      </c>
      <c r="CA472" t="str">
        <f>""</f>
        <v/>
      </c>
      <c r="CB472" t="str">
        <f>""</f>
        <v/>
      </c>
      <c r="CC472" t="str">
        <f>""</f>
        <v/>
      </c>
      <c r="CD472" t="str">
        <f>""</f>
        <v/>
      </c>
      <c r="CE472" t="str">
        <f>""</f>
        <v/>
      </c>
      <c r="CF472" t="str">
        <f>""</f>
        <v/>
      </c>
      <c r="CG472" t="str">
        <f>""</f>
        <v/>
      </c>
      <c r="CH472" t="str">
        <f>""</f>
        <v/>
      </c>
      <c r="CI472" t="str">
        <f>""</f>
        <v/>
      </c>
      <c r="CJ472" t="str">
        <f>""</f>
        <v/>
      </c>
      <c r="CK472" t="str">
        <f>""</f>
        <v/>
      </c>
      <c r="CL472" t="str">
        <f>""</f>
        <v/>
      </c>
      <c r="CM472" t="str">
        <f>""</f>
        <v/>
      </c>
      <c r="CN472" t="str">
        <f>""</f>
        <v/>
      </c>
      <c r="CO472" t="str">
        <f>""</f>
        <v/>
      </c>
      <c r="CP472" t="str">
        <f>""</f>
        <v/>
      </c>
      <c r="CQ472" t="str">
        <f>""</f>
        <v/>
      </c>
      <c r="CR472" t="str">
        <f>""</f>
        <v/>
      </c>
      <c r="CS472" t="str">
        <f>""</f>
        <v/>
      </c>
      <c r="CT472" t="str">
        <f>""</f>
        <v/>
      </c>
      <c r="CU472" t="str">
        <f>""</f>
        <v/>
      </c>
      <c r="CV472" t="str">
        <f>""</f>
        <v/>
      </c>
      <c r="CW472" t="str">
        <f>""</f>
        <v/>
      </c>
      <c r="CX472" t="str">
        <f>""</f>
        <v/>
      </c>
      <c r="CY472" t="str">
        <f>""</f>
        <v/>
      </c>
      <c r="CZ472" t="str">
        <f>""</f>
        <v/>
      </c>
      <c r="DA472" t="str">
        <f>""</f>
        <v/>
      </c>
      <c r="DB472" t="str">
        <f>""</f>
        <v/>
      </c>
      <c r="DC472" t="str">
        <f>""</f>
        <v/>
      </c>
      <c r="DD472" t="str">
        <f>""</f>
        <v/>
      </c>
      <c r="DE472" t="str">
        <f>""</f>
        <v/>
      </c>
      <c r="DF472" t="str">
        <f>""</f>
        <v/>
      </c>
      <c r="DG472" t="str">
        <f>""</f>
        <v/>
      </c>
      <c r="DH472" t="str">
        <f>""</f>
        <v/>
      </c>
      <c r="DI472" t="str">
        <f>""</f>
        <v/>
      </c>
      <c r="DJ472" t="str">
        <f>""</f>
        <v/>
      </c>
      <c r="DK472" t="str">
        <f>""</f>
        <v/>
      </c>
      <c r="DL472" t="str">
        <f>""</f>
        <v/>
      </c>
      <c r="DM472" t="str">
        <f>""</f>
        <v/>
      </c>
      <c r="DN472" t="str">
        <f>""</f>
        <v/>
      </c>
      <c r="DO472" t="str">
        <f>""</f>
        <v/>
      </c>
      <c r="DP472" t="str">
        <f>""</f>
        <v/>
      </c>
      <c r="DQ472" t="str">
        <f>""</f>
        <v/>
      </c>
      <c r="DR472" t="str">
        <f>""</f>
        <v/>
      </c>
      <c r="DS472" t="str">
        <f>""</f>
        <v/>
      </c>
      <c r="DT472" t="str">
        <f>""</f>
        <v/>
      </c>
      <c r="DU472" t="str">
        <f>""</f>
        <v/>
      </c>
    </row>
    <row r="473" spans="1:125" x14ac:dyDescent="0.25">
      <c r="A473" t="str">
        <f>"    General Motors Co"</f>
        <v xml:space="preserve">    General Motors Co</v>
      </c>
      <c r="B473" t="str">
        <f>"GM US Equity"</f>
        <v>GM US Equity</v>
      </c>
      <c r="C473" t="str">
        <f t="shared" si="33"/>
        <v>RR476</v>
      </c>
      <c r="D473" t="str">
        <f t="shared" si="34"/>
        <v>EV_TO_T12M_NET_INCOME</v>
      </c>
      <c r="E473" t="str">
        <f t="shared" si="35"/>
        <v>Dynamic</v>
      </c>
      <c r="F473" t="str">
        <f ca="1">IF(AND(ISNUMBER($F$1135),$B$677=1),$F$1135,HLOOKUP(INDIRECT(ADDRESS(2,COLUMN())),OFFSET($BN$2,0,0,ROW()-1,60),ROW()-1,FALSE))</f>
        <v/>
      </c>
      <c r="G473">
        <f ca="1">IF(AND(ISNUMBER($G$1135),$B$677=1),$G$1135,HLOOKUP(INDIRECT(ADDRESS(2,COLUMN())),OFFSET($BN$2,0,0,ROW()-1,60),ROW()-1,FALSE))</f>
        <v>5.6358871969999997</v>
      </c>
      <c r="H473">
        <f ca="1">IF(AND(ISNUMBER($H$1135),$B$677=1),$H$1135,HLOOKUP(INDIRECT(ADDRESS(2,COLUMN())),OFFSET($BN$2,0,0,ROW()-1,60),ROW()-1,FALSE))</f>
        <v>57.026862029999997</v>
      </c>
      <c r="I473" t="str">
        <f ca="1">IF(AND(ISNUMBER($I$1135),$B$677=1),$I$1135,HLOOKUP(INDIRECT(ADDRESS(2,COLUMN())),OFFSET($BN$2,0,0,ROW()-1,60),ROW()-1,FALSE))</f>
        <v/>
      </c>
      <c r="J473" t="str">
        <f ca="1">IF(AND(ISNUMBER($J$1135),$B$677=1),$J$1135,HLOOKUP(INDIRECT(ADDRESS(2,COLUMN())),OFFSET($BN$2,0,0,ROW()-1,60),ROW()-1,FALSE))</f>
        <v/>
      </c>
      <c r="K473" t="str">
        <f ca="1">IF(AND(ISNUMBER($K$1135),$B$677=1),$K$1135,HLOOKUP(INDIRECT(ADDRESS(2,COLUMN())),OFFSET($BN$2,0,0,ROW()-1,60),ROW()-1,FALSE))</f>
        <v/>
      </c>
      <c r="L473">
        <f ca="1">IF(AND(ISNUMBER($L$1135),$B$677=1),$L$1135,HLOOKUP(INDIRECT(ADDRESS(2,COLUMN())),OFFSET($BN$2,0,0,ROW()-1,60),ROW()-1,FALSE))</f>
        <v>17.48078155</v>
      </c>
      <c r="M473">
        <f ca="1">IF(AND(ISNUMBER($M$1135),$B$677=1),$M$1135,HLOOKUP(INDIRECT(ADDRESS(2,COLUMN())),OFFSET($BN$2,0,0,ROW()-1,60),ROW()-1,FALSE))</f>
        <v>4.8580441639999998</v>
      </c>
      <c r="N473">
        <f ca="1">IF(AND(ISNUMBER($N$1135),$B$677=1),$N$1135,HLOOKUP(INDIRECT(ADDRESS(2,COLUMN())),OFFSET($BN$2,0,0,ROW()-1,60),ROW()-1,FALSE))</f>
        <v>4.3447728630000002</v>
      </c>
      <c r="O473">
        <f ca="1">IF(AND(ISNUMBER($O$1135),$B$677=1),$O$1135,HLOOKUP(INDIRECT(ADDRESS(2,COLUMN())),OFFSET($BN$2,0,0,ROW()-1,60),ROW()-1,FALSE))</f>
        <v>4.3978996500000003</v>
      </c>
      <c r="P473">
        <f ca="1">IF(AND(ISNUMBER($P$1135),$B$677=1),$P$1135,HLOOKUP(INDIRECT(ADDRESS(2,COLUMN())),OFFSET($BN$2,0,0,ROW()-1,60),ROW()-1,FALSE))</f>
        <v>2.7395728099999999</v>
      </c>
      <c r="Q473">
        <f ca="1">IF(AND(ISNUMBER($Q$1135),$B$677=1),$Q$1135,HLOOKUP(INDIRECT(ADDRESS(2,COLUMN())),OFFSET($BN$2,0,0,ROW()-1,60),ROW()-1,FALSE))</f>
        <v>2.9988749600000002</v>
      </c>
      <c r="R473">
        <f ca="1">IF(AND(ISNUMBER($R$1135),$B$677=1),$R$1135,HLOOKUP(INDIRECT(ADDRESS(2,COLUMN())),OFFSET($BN$2,0,0,ROW()-1,60),ROW()-1,FALSE))</f>
        <v>3.804114072</v>
      </c>
      <c r="S473">
        <f ca="1">IF(AND(ISNUMBER($S$1135),$B$677=1),$S$1135,HLOOKUP(INDIRECT(ADDRESS(2,COLUMN())),OFFSET($BN$2,0,0,ROW()-1,60),ROW()-1,FALSE))</f>
        <v>4.1180964180000004</v>
      </c>
      <c r="T473">
        <f ca="1">IF(AND(ISNUMBER($T$1135),$B$677=1),$T$1135,HLOOKUP(INDIRECT(ADDRESS(2,COLUMN())),OFFSET($BN$2,0,0,ROW()-1,60),ROW()-1,FALSE))</f>
        <v>6.6867603549999997</v>
      </c>
      <c r="U473">
        <f ca="1">IF(AND(ISNUMBER($U$1135),$B$677=1),$U$1135,HLOOKUP(INDIRECT(ADDRESS(2,COLUMN())),OFFSET($BN$2,0,0,ROW()-1,60),ROW()-1,FALSE))</f>
        <v>7.3594202900000001</v>
      </c>
      <c r="V473">
        <f ca="1">IF(AND(ISNUMBER($V$1135),$B$677=1),$V$1135,HLOOKUP(INDIRECT(ADDRESS(2,COLUMN())),OFFSET($BN$2,0,0,ROW()-1,60),ROW()-1,FALSE))</f>
        <v>9.8218329420000003</v>
      </c>
      <c r="W473">
        <f ca="1">IF(AND(ISNUMBER($W$1135),$B$677=1),$W$1135,HLOOKUP(INDIRECT(ADDRESS(2,COLUMN())),OFFSET($BN$2,0,0,ROW()-1,60),ROW()-1,FALSE))</f>
        <v>10.27374019</v>
      </c>
      <c r="X473">
        <f ca="1">IF(AND(ISNUMBER($X$1135),$B$677=1),$X$1135,HLOOKUP(INDIRECT(ADDRESS(2,COLUMN())),OFFSET($BN$2,0,0,ROW()-1,60),ROW()-1,FALSE))</f>
        <v>11.989340439999999</v>
      </c>
      <c r="Y473">
        <f ca="1">IF(AND(ISNUMBER($Y$1135),$B$677=1),$Y$1135,HLOOKUP(INDIRECT(ADDRESS(2,COLUMN())),OFFSET($BN$2,0,0,ROW()-1,60),ROW()-1,FALSE))</f>
        <v>12.68257389</v>
      </c>
      <c r="Z473">
        <f ca="1">IF(AND(ISNUMBER($Z$1135),$B$677=1),$Z$1135,HLOOKUP(INDIRECT(ADDRESS(2,COLUMN())),OFFSET($BN$2,0,0,ROW()-1,60),ROW()-1,FALSE))</f>
        <v>9.2903740880000001</v>
      </c>
      <c r="AA473">
        <f ca="1">IF(AND(ISNUMBER($AA$1135),$B$677=1),$AA$1135,HLOOKUP(INDIRECT(ADDRESS(2,COLUMN())),OFFSET($BN$2,0,0,ROW()-1,60),ROW()-1,FALSE))</f>
        <v>7.5031799479999997</v>
      </c>
      <c r="AB473">
        <f ca="1">IF(AND(ISNUMBER($AB$1135),$B$677=1),$AB$1135,HLOOKUP(INDIRECT(ADDRESS(2,COLUMN())),OFFSET($BN$2,0,0,ROW()-1,60),ROW()-1,FALSE))</f>
        <v>7.370727273</v>
      </c>
      <c r="AC473">
        <f ca="1">IF(AND(ISNUMBER($AC$1135),$B$677=1),$AC$1135,HLOOKUP(INDIRECT(ADDRESS(2,COLUMN())),OFFSET($BN$2,0,0,ROW()-1,60),ROW()-1,FALSE))</f>
        <v>6.6629273500000004</v>
      </c>
      <c r="AD473">
        <f ca="1">IF(AND(ISNUMBER($AD$1135),$B$677=1),$AD$1135,HLOOKUP(INDIRECT(ADDRESS(2,COLUMN())),OFFSET($BN$2,0,0,ROW()-1,60),ROW()-1,FALSE))</f>
        <v>5.1183862429999998</v>
      </c>
      <c r="AE473">
        <f ca="1">IF(AND(ISNUMBER($AE$1135),$B$677=1),$AE$1135,HLOOKUP(INDIRECT(ADDRESS(2,COLUMN())),OFFSET($BN$2,0,0,ROW()-1,60),ROW()-1,FALSE))</f>
        <v>4.7819244919999999</v>
      </c>
      <c r="AF473">
        <f ca="1">IF(AND(ISNUMBER($AF$1135),$B$677=1),$AF$1135,HLOOKUP(INDIRECT(ADDRESS(2,COLUMN())),OFFSET($BN$2,0,0,ROW()-1,60),ROW()-1,FALSE))</f>
        <v>3.6113031320000002</v>
      </c>
      <c r="AG473">
        <f ca="1">IF(AND(ISNUMBER($AG$1135),$B$677=1),$AG$1135,HLOOKUP(INDIRECT(ADDRESS(2,COLUMN())),OFFSET($BN$2,0,0,ROW()-1,60),ROW()-1,FALSE))</f>
        <v>4.0649687080000003</v>
      </c>
      <c r="AH473">
        <f ca="1">IF(AND(ISNUMBER($AH$1135),$B$677=1),$AH$1135,HLOOKUP(INDIRECT(ADDRESS(2,COLUMN())),OFFSET($BN$2,0,0,ROW()-1,60),ROW()-1,FALSE))</f>
        <v>4.7916888560000004</v>
      </c>
      <c r="AI473">
        <f ca="1">IF(AND(ISNUMBER($AI$1135),$B$677=1),$AI$1135,HLOOKUP(INDIRECT(ADDRESS(2,COLUMN())),OFFSET($BN$2,0,0,ROW()-1,60),ROW()-1,FALSE))</f>
        <v>1.809251594</v>
      </c>
      <c r="AJ473">
        <f ca="1">IF(AND(ISNUMBER($AJ$1135),$B$677=1),$AJ$1135,HLOOKUP(INDIRECT(ADDRESS(2,COLUMN())),OFFSET($BN$2,0,0,ROW()-1,60),ROW()-1,FALSE))</f>
        <v>2.3125234990000001</v>
      </c>
      <c r="AK473">
        <f ca="1">IF(AND(ISNUMBER($AK$1135),$B$677=1),$AK$1135,HLOOKUP(INDIRECT(ADDRESS(2,COLUMN())),OFFSET($BN$2,0,0,ROW()-1,60),ROW()-1,FALSE))</f>
        <v>3.658637498</v>
      </c>
      <c r="AL473">
        <f ca="1">IF(AND(ISNUMBER($AL$1135),$B$677=1),$AL$1135,HLOOKUP(INDIRECT(ADDRESS(2,COLUMN())),OFFSET($BN$2,0,0,ROW()-1,60),ROW()-1,FALSE))</f>
        <v>5.0688616690000003</v>
      </c>
      <c r="AM473">
        <f ca="1">IF(AND(ISNUMBER($AM$1135),$B$677=1),$AM$1135,HLOOKUP(INDIRECT(ADDRESS(2,COLUMN())),OFFSET($BN$2,0,0,ROW()-1,60),ROW()-1,FALSE))</f>
        <v>8.3666639249999992</v>
      </c>
      <c r="AN473" t="str">
        <f ca="1">IF(AND(ISNUMBER($AN$1135),$B$677=1),$AN$1135,HLOOKUP(INDIRECT(ADDRESS(2,COLUMN())),OFFSET($BN$2,0,0,ROW()-1,60),ROW()-1,FALSE))</f>
        <v/>
      </c>
      <c r="AO473" t="str">
        <f ca="1">IF(AND(ISNUMBER($AO$1135),$B$677=1),$AO$1135,HLOOKUP(INDIRECT(ADDRESS(2,COLUMN())),OFFSET($BN$2,0,0,ROW()-1,60),ROW()-1,FALSE))</f>
        <v/>
      </c>
      <c r="AP473" t="str">
        <f ca="1">IF(AND(ISNUMBER($AP$1135),$B$677=1),$AP$1135,HLOOKUP(INDIRECT(ADDRESS(2,COLUMN())),OFFSET($BN$2,0,0,ROW()-1,60),ROW()-1,FALSE))</f>
        <v/>
      </c>
      <c r="AQ473" t="str">
        <f ca="1">IF(AND(ISNUMBER($AQ$1135),$B$677=1),$AQ$1135,HLOOKUP(INDIRECT(ADDRESS(2,COLUMN())),OFFSET($BN$2,0,0,ROW()-1,60),ROW()-1,FALSE))</f>
        <v/>
      </c>
      <c r="AR473" t="str">
        <f ca="1">IF(AND(ISNUMBER($AR$1135),$B$677=1),$AR$1135,HLOOKUP(INDIRECT(ADDRESS(2,COLUMN())),OFFSET($BN$2,0,0,ROW()-1,60),ROW()-1,FALSE))</f>
        <v/>
      </c>
      <c r="AS473" t="str">
        <f ca="1">IF(AND(ISNUMBER($AS$1135),$B$677=1),$AS$1135,HLOOKUP(INDIRECT(ADDRESS(2,COLUMN())),OFFSET($BN$2,0,0,ROW()-1,60),ROW()-1,FALSE))</f>
        <v/>
      </c>
      <c r="AT473" t="str">
        <f ca="1">IF(AND(ISNUMBER($AT$1135),$B$677=1),$AT$1135,HLOOKUP(INDIRECT(ADDRESS(2,COLUMN())),OFFSET($BN$2,0,0,ROW()-1,60),ROW()-1,FALSE))</f>
        <v/>
      </c>
      <c r="AU473" t="str">
        <f ca="1">IF(AND(ISNUMBER($AU$1135),$B$677=1),$AU$1135,HLOOKUP(INDIRECT(ADDRESS(2,COLUMN())),OFFSET($BN$2,0,0,ROW()-1,60),ROW()-1,FALSE))</f>
        <v/>
      </c>
      <c r="AV473" t="str">
        <f ca="1">IF(AND(ISNUMBER($AV$1135),$B$677=1),$AV$1135,HLOOKUP(INDIRECT(ADDRESS(2,COLUMN())),OFFSET($BN$2,0,0,ROW()-1,60),ROW()-1,FALSE))</f>
        <v/>
      </c>
      <c r="AW473" t="str">
        <f ca="1">IF(AND(ISNUMBER($AW$1135),$B$677=1),$AW$1135,HLOOKUP(INDIRECT(ADDRESS(2,COLUMN())),OFFSET($BN$2,0,0,ROW()-1,60),ROW()-1,FALSE))</f>
        <v/>
      </c>
      <c r="AX473" t="str">
        <f ca="1">IF(AND(ISNUMBER($AX$1135),$B$677=1),$AX$1135,HLOOKUP(INDIRECT(ADDRESS(2,COLUMN())),OFFSET($BN$2,0,0,ROW()-1,60),ROW()-1,FALSE))</f>
        <v/>
      </c>
      <c r="AY473" t="str">
        <f ca="1">IF(AND(ISNUMBER($AY$1135),$B$677=1),$AY$1135,HLOOKUP(INDIRECT(ADDRESS(2,COLUMN())),OFFSET($BN$2,0,0,ROW()-1,60),ROW()-1,FALSE))</f>
        <v/>
      </c>
      <c r="AZ473" t="str">
        <f ca="1">IF(AND(ISNUMBER($AZ$1135),$B$677=1),$AZ$1135,HLOOKUP(INDIRECT(ADDRESS(2,COLUMN())),OFFSET($BN$2,0,0,ROW()-1,60),ROW()-1,FALSE))</f>
        <v/>
      </c>
      <c r="BA473" t="str">
        <f ca="1">IF(AND(ISNUMBER($BA$1135),$B$677=1),$BA$1135,HLOOKUP(INDIRECT(ADDRESS(2,COLUMN())),OFFSET($BN$2,0,0,ROW()-1,60),ROW()-1,FALSE))</f>
        <v/>
      </c>
      <c r="BB473" t="str">
        <f ca="1">IF(AND(ISNUMBER($BB$1135),$B$677=1),$BB$1135,HLOOKUP(INDIRECT(ADDRESS(2,COLUMN())),OFFSET($BN$2,0,0,ROW()-1,60),ROW()-1,FALSE))</f>
        <v/>
      </c>
      <c r="BC473" t="str">
        <f ca="1">IF(AND(ISNUMBER($BC$1135),$B$677=1),$BC$1135,HLOOKUP(INDIRECT(ADDRESS(2,COLUMN())),OFFSET($BN$2,0,0,ROW()-1,60),ROW()-1,FALSE))</f>
        <v/>
      </c>
      <c r="BD473" t="str">
        <f ca="1">IF(AND(ISNUMBER($BD$1135),$B$677=1),$BD$1135,HLOOKUP(INDIRECT(ADDRESS(2,COLUMN())),OFFSET($BN$2,0,0,ROW()-1,60),ROW()-1,FALSE))</f>
        <v/>
      </c>
      <c r="BE473" t="str">
        <f ca="1">IF(AND(ISNUMBER($BE$1135),$B$677=1),$BE$1135,HLOOKUP(INDIRECT(ADDRESS(2,COLUMN())),OFFSET($BN$2,0,0,ROW()-1,60),ROW()-1,FALSE))</f>
        <v/>
      </c>
      <c r="BF473" t="str">
        <f ca="1">IF(AND(ISNUMBER($BF$1135),$B$677=1),$BF$1135,HLOOKUP(INDIRECT(ADDRESS(2,COLUMN())),OFFSET($BN$2,0,0,ROW()-1,60),ROW()-1,FALSE))</f>
        <v/>
      </c>
      <c r="BG473" t="str">
        <f ca="1">IF(AND(ISNUMBER($BG$1135),$B$677=1),$BG$1135,HLOOKUP(INDIRECT(ADDRESS(2,COLUMN())),OFFSET($BN$2,0,0,ROW()-1,60),ROW()-1,FALSE))</f>
        <v/>
      </c>
      <c r="BH473" t="str">
        <f ca="1">IF(AND(ISNUMBER($BH$1135),$B$677=1),$BH$1135,HLOOKUP(INDIRECT(ADDRESS(2,COLUMN())),OFFSET($BN$2,0,0,ROW()-1,60),ROW()-1,FALSE))</f>
        <v/>
      </c>
      <c r="BI473" t="str">
        <f ca="1">IF(AND(ISNUMBER($BI$1135),$B$677=1),$BI$1135,HLOOKUP(INDIRECT(ADDRESS(2,COLUMN())),OFFSET($BN$2,0,0,ROW()-1,60),ROW()-1,FALSE))</f>
        <v/>
      </c>
      <c r="BJ473" t="str">
        <f ca="1">IF(AND(ISNUMBER($BJ$1135),$B$677=1),$BJ$1135,HLOOKUP(INDIRECT(ADDRESS(2,COLUMN())),OFFSET($BN$2,0,0,ROW()-1,60),ROW()-1,FALSE))</f>
        <v/>
      </c>
      <c r="BK473" t="str">
        <f ca="1">IF(AND(ISNUMBER($BK$1135),$B$677=1),$BK$1135,HLOOKUP(INDIRECT(ADDRESS(2,COLUMN())),OFFSET($BN$2,0,0,ROW()-1,60),ROW()-1,FALSE))</f>
        <v/>
      </c>
      <c r="BL473" t="str">
        <f ca="1">IF(AND(ISNUMBER($BL$1135),$B$677=1),$BL$1135,HLOOKUP(INDIRECT(ADDRESS(2,COLUMN())),OFFSET($BN$2,0,0,ROW()-1,60),ROW()-1,FALSE))</f>
        <v/>
      </c>
      <c r="BM473" t="str">
        <f ca="1">IF(AND(ISNUMBER($BM$1135),$B$677=1),$BM$1135,HLOOKUP(INDIRECT(ADDRESS(2,COLUMN())),OFFSET($BN$2,0,0,ROW()-1,60),ROW()-1,FALSE))</f>
        <v/>
      </c>
      <c r="BN473" t="str">
        <f>""</f>
        <v/>
      </c>
      <c r="BO473">
        <f>5.635887197</f>
        <v>5.6358871969999997</v>
      </c>
      <c r="BP473">
        <f>57.02686203</f>
        <v>57.026862029999997</v>
      </c>
      <c r="BQ473" t="str">
        <f>""</f>
        <v/>
      </c>
      <c r="BR473" t="str">
        <f>""</f>
        <v/>
      </c>
      <c r="BS473" t="str">
        <f>""</f>
        <v/>
      </c>
      <c r="BT473">
        <f>17.48078155</f>
        <v>17.48078155</v>
      </c>
      <c r="BU473">
        <f>4.858044164</f>
        <v>4.8580441639999998</v>
      </c>
      <c r="BV473">
        <f>4.344772863</f>
        <v>4.3447728630000002</v>
      </c>
      <c r="BW473">
        <f>4.39789965</f>
        <v>4.3978996500000003</v>
      </c>
      <c r="BX473">
        <f>2.73957281</f>
        <v>2.7395728099999999</v>
      </c>
      <c r="BY473">
        <f>2.99887496</f>
        <v>2.9988749600000002</v>
      </c>
      <c r="BZ473">
        <f>3.804114072</f>
        <v>3.804114072</v>
      </c>
      <c r="CA473">
        <f>4.118096418</f>
        <v>4.1180964180000004</v>
      </c>
      <c r="CB473">
        <f>6.686760355</f>
        <v>6.6867603549999997</v>
      </c>
      <c r="CC473">
        <f>7.35942029</f>
        <v>7.3594202900000001</v>
      </c>
      <c r="CD473">
        <f>9.821832942</f>
        <v>9.8218329420000003</v>
      </c>
      <c r="CE473">
        <f>10.27374019</f>
        <v>10.27374019</v>
      </c>
      <c r="CF473">
        <f>11.98934044</f>
        <v>11.989340439999999</v>
      </c>
      <c r="CG473">
        <f>12.68257389</f>
        <v>12.68257389</v>
      </c>
      <c r="CH473">
        <f>9.290374088</f>
        <v>9.2903740880000001</v>
      </c>
      <c r="CI473">
        <f>7.503179948</f>
        <v>7.5031799479999997</v>
      </c>
      <c r="CJ473">
        <f>7.370727273</f>
        <v>7.370727273</v>
      </c>
      <c r="CK473">
        <f>6.66292735</f>
        <v>6.6629273500000004</v>
      </c>
      <c r="CL473">
        <f>5.118386243</f>
        <v>5.1183862429999998</v>
      </c>
      <c r="CM473">
        <f>4.781924492</f>
        <v>4.7819244919999999</v>
      </c>
      <c r="CN473">
        <f>3.611303132</f>
        <v>3.6113031320000002</v>
      </c>
      <c r="CO473">
        <f>4.064968708</f>
        <v>4.0649687080000003</v>
      </c>
      <c r="CP473">
        <f>4.791688856</f>
        <v>4.7916888560000004</v>
      </c>
      <c r="CQ473">
        <f>1.809251594</f>
        <v>1.809251594</v>
      </c>
      <c r="CR473">
        <f>2.312523499</f>
        <v>2.3125234990000001</v>
      </c>
      <c r="CS473">
        <f>3.658637498</f>
        <v>3.658637498</v>
      </c>
      <c r="CT473">
        <f>5.068861669</f>
        <v>5.0688616690000003</v>
      </c>
      <c r="CU473">
        <f>8.366663925</f>
        <v>8.3666639249999992</v>
      </c>
      <c r="CV473" t="str">
        <f>""</f>
        <v/>
      </c>
      <c r="CW473" t="str">
        <f>""</f>
        <v/>
      </c>
      <c r="CX473" t="str">
        <f>""</f>
        <v/>
      </c>
      <c r="CY473" t="str">
        <f>""</f>
        <v/>
      </c>
      <c r="CZ473" t="str">
        <f>""</f>
        <v/>
      </c>
      <c r="DA473" t="str">
        <f>""</f>
        <v/>
      </c>
      <c r="DB473" t="str">
        <f>""</f>
        <v/>
      </c>
      <c r="DC473" t="str">
        <f>""</f>
        <v/>
      </c>
      <c r="DD473" t="str">
        <f>""</f>
        <v/>
      </c>
      <c r="DE473" t="str">
        <f>""</f>
        <v/>
      </c>
      <c r="DF473" t="str">
        <f>""</f>
        <v/>
      </c>
      <c r="DG473" t="str">
        <f>""</f>
        <v/>
      </c>
      <c r="DH473" t="str">
        <f>""</f>
        <v/>
      </c>
      <c r="DI473" t="str">
        <f>""</f>
        <v/>
      </c>
      <c r="DJ473" t="str">
        <f>""</f>
        <v/>
      </c>
      <c r="DK473" t="str">
        <f>""</f>
        <v/>
      </c>
      <c r="DL473" t="str">
        <f>""</f>
        <v/>
      </c>
      <c r="DM473" t="str">
        <f>""</f>
        <v/>
      </c>
      <c r="DN473" t="str">
        <f>""</f>
        <v/>
      </c>
      <c r="DO473" t="str">
        <f>""</f>
        <v/>
      </c>
      <c r="DP473" t="str">
        <f>""</f>
        <v/>
      </c>
      <c r="DQ473" t="str">
        <f>""</f>
        <v/>
      </c>
      <c r="DR473" t="str">
        <f>""</f>
        <v/>
      </c>
      <c r="DS473" t="str">
        <f>""</f>
        <v/>
      </c>
      <c r="DT473" t="str">
        <f>""</f>
        <v/>
      </c>
      <c r="DU473" t="str">
        <f>""</f>
        <v/>
      </c>
    </row>
    <row r="474" spans="1:125" x14ac:dyDescent="0.25">
      <c r="A474" t="str">
        <f>"    Great Wall Motor Co Ltd"</f>
        <v xml:space="preserve">    Great Wall Motor Co Ltd</v>
      </c>
      <c r="B474" t="str">
        <f>"2333 HK Equity"</f>
        <v>2333 HK Equity</v>
      </c>
      <c r="C474" t="str">
        <f t="shared" si="33"/>
        <v>RR476</v>
      </c>
      <c r="D474" t="str">
        <f t="shared" si="34"/>
        <v>EV_TO_T12M_NET_INCOME</v>
      </c>
      <c r="E474" t="str">
        <f t="shared" si="35"/>
        <v>Dynamic</v>
      </c>
      <c r="F474" t="str">
        <f ca="1">IF(AND(ISNUMBER($F$1136),$B$677=1),$F$1136,HLOOKUP(INDIRECT(ADDRESS(2,COLUMN())),OFFSET($BN$2,0,0,ROW()-1,60),ROW()-1,FALSE))</f>
        <v/>
      </c>
      <c r="G474" t="str">
        <f ca="1">IF(AND(ISNUMBER($G$1136),$B$677=1),$G$1136,HLOOKUP(INDIRECT(ADDRESS(2,COLUMN())),OFFSET($BN$2,0,0,ROW()-1,60),ROW()-1,FALSE))</f>
        <v/>
      </c>
      <c r="H474">
        <f ca="1">IF(AND(ISNUMBER($H$1136),$B$677=1),$H$1136,HLOOKUP(INDIRECT(ADDRESS(2,COLUMN())),OFFSET($BN$2,0,0,ROW()-1,60),ROW()-1,FALSE))</f>
        <v>6.8257212709999999</v>
      </c>
      <c r="I474">
        <f ca="1">IF(AND(ISNUMBER($I$1136),$B$677=1),$I$1136,HLOOKUP(INDIRECT(ADDRESS(2,COLUMN())),OFFSET($BN$2,0,0,ROW()-1,60),ROW()-1,FALSE))</f>
        <v>8.3169178049999992</v>
      </c>
      <c r="J474">
        <f ca="1">IF(AND(ISNUMBER($J$1136),$B$677=1),$J$1136,HLOOKUP(INDIRECT(ADDRESS(2,COLUMN())),OFFSET($BN$2,0,0,ROW()-1,60),ROW()-1,FALSE))</f>
        <v>20.822507869999999</v>
      </c>
      <c r="K474">
        <f ca="1">IF(AND(ISNUMBER($K$1136),$B$677=1),$K$1136,HLOOKUP(INDIRECT(ADDRESS(2,COLUMN())),OFFSET($BN$2,0,0,ROW()-1,60),ROW()-1,FALSE))</f>
        <v>21.018791610000001</v>
      </c>
      <c r="L474">
        <f ca="1">IF(AND(ISNUMBER($L$1136),$B$677=1),$L$1136,HLOOKUP(INDIRECT(ADDRESS(2,COLUMN())),OFFSET($BN$2,0,0,ROW()-1,60),ROW()-1,FALSE))</f>
        <v>17.001466659999998</v>
      </c>
      <c r="M474">
        <f ca="1">IF(AND(ISNUMBER($M$1136),$B$677=1),$M$1136,HLOOKUP(INDIRECT(ADDRESS(2,COLUMN())),OFFSET($BN$2,0,0,ROW()-1,60),ROW()-1,FALSE))</f>
        <v>13.237988769999999</v>
      </c>
      <c r="N474">
        <f ca="1">IF(AND(ISNUMBER($N$1136),$B$677=1),$N$1136,HLOOKUP(INDIRECT(ADDRESS(2,COLUMN())),OFFSET($BN$2,0,0,ROW()-1,60),ROW()-1,FALSE))</f>
        <v>10.755677629999999</v>
      </c>
      <c r="O474">
        <f ca="1">IF(AND(ISNUMBER($O$1136),$B$677=1),$O$1136,HLOOKUP(INDIRECT(ADDRESS(2,COLUMN())),OFFSET($BN$2,0,0,ROW()-1,60),ROW()-1,FALSE))</f>
        <v>8.3481584000000009</v>
      </c>
      <c r="P474">
        <f ca="1">IF(AND(ISNUMBER($P$1136),$B$677=1),$P$1136,HLOOKUP(INDIRECT(ADDRESS(2,COLUMN())),OFFSET($BN$2,0,0,ROW()-1,60),ROW()-1,FALSE))</f>
        <v>9.440599057</v>
      </c>
      <c r="Q474">
        <f ca="1">IF(AND(ISNUMBER($Q$1136),$B$677=1),$Q$1136,HLOOKUP(INDIRECT(ADDRESS(2,COLUMN())),OFFSET($BN$2,0,0,ROW()-1,60),ROW()-1,FALSE))</f>
        <v>8.4238006480000003</v>
      </c>
      <c r="R474">
        <f ca="1">IF(AND(ISNUMBER($R$1136),$B$677=1),$R$1136,HLOOKUP(INDIRECT(ADDRESS(2,COLUMN())),OFFSET($BN$2,0,0,ROW()-1,60),ROW()-1,FALSE))</f>
        <v>9.2729217790000007</v>
      </c>
      <c r="S474">
        <f ca="1">IF(AND(ISNUMBER($S$1136),$B$677=1),$S$1136,HLOOKUP(INDIRECT(ADDRESS(2,COLUMN())),OFFSET($BN$2,0,0,ROW()-1,60),ROW()-1,FALSE))</f>
        <v>12.21744322</v>
      </c>
      <c r="T474">
        <f ca="1">IF(AND(ISNUMBER($T$1136),$B$677=1),$T$1136,HLOOKUP(INDIRECT(ADDRESS(2,COLUMN())),OFFSET($BN$2,0,0,ROW()-1,60),ROW()-1,FALSE))</f>
        <v>7.4229684450000004</v>
      </c>
      <c r="U474">
        <f ca="1">IF(AND(ISNUMBER($U$1136),$B$677=1),$U$1136,HLOOKUP(INDIRECT(ADDRESS(2,COLUMN())),OFFSET($BN$2,0,0,ROW()-1,60),ROW()-1,FALSE))</f>
        <v>13.387078799999999</v>
      </c>
      <c r="V474">
        <f ca="1">IF(AND(ISNUMBER($V$1136),$B$677=1),$V$1136,HLOOKUP(INDIRECT(ADDRESS(2,COLUMN())),OFFSET($BN$2,0,0,ROW()-1,60),ROW()-1,FALSE))</f>
        <v>28.23606822</v>
      </c>
      <c r="W474">
        <f ca="1">IF(AND(ISNUMBER($W$1136),$B$677=1),$W$1136,HLOOKUP(INDIRECT(ADDRESS(2,COLUMN())),OFFSET($BN$2,0,0,ROW()-1,60),ROW()-1,FALSE))</f>
        <v>15.06660756</v>
      </c>
      <c r="X474">
        <f ca="1">IF(AND(ISNUMBER($X$1136),$B$677=1),$X$1136,HLOOKUP(INDIRECT(ADDRESS(2,COLUMN())),OFFSET($BN$2,0,0,ROW()-1,60),ROW()-1,FALSE))</f>
        <v>9.3650001300000003</v>
      </c>
      <c r="Y474">
        <f ca="1">IF(AND(ISNUMBER($Y$1136),$B$677=1),$Y$1136,HLOOKUP(INDIRECT(ADDRESS(2,COLUMN())),OFFSET($BN$2,0,0,ROW()-1,60),ROW()-1,FALSE))</f>
        <v>8.7069061990000005</v>
      </c>
      <c r="Z474">
        <f ca="1">IF(AND(ISNUMBER($Z$1136),$B$677=1),$Z$1136,HLOOKUP(INDIRECT(ADDRESS(2,COLUMN())),OFFSET($BN$2,0,0,ROW()-1,60),ROW()-1,FALSE))</f>
        <v>11.152424959999999</v>
      </c>
      <c r="AA474">
        <f ca="1">IF(AND(ISNUMBER($AA$1136),$B$677=1),$AA$1136,HLOOKUP(INDIRECT(ADDRESS(2,COLUMN())),OFFSET($BN$2,0,0,ROW()-1,60),ROW()-1,FALSE))</f>
        <v>12.27231473</v>
      </c>
      <c r="AB474">
        <f ca="1">IF(AND(ISNUMBER($AB$1136),$B$677=1),$AB$1136,HLOOKUP(INDIRECT(ADDRESS(2,COLUMN())),OFFSET($BN$2,0,0,ROW()-1,60),ROW()-1,FALSE))</f>
        <v>12.10954452</v>
      </c>
      <c r="AC474">
        <f ca="1">IF(AND(ISNUMBER($AC$1136),$B$677=1),$AC$1136,HLOOKUP(INDIRECT(ADDRESS(2,COLUMN())),OFFSET($BN$2,0,0,ROW()-1,60),ROW()-1,FALSE))</f>
        <v>10.53130621</v>
      </c>
      <c r="AD474">
        <f ca="1">IF(AND(ISNUMBER($AD$1136),$B$677=1),$AD$1136,HLOOKUP(INDIRECT(ADDRESS(2,COLUMN())),OFFSET($BN$2,0,0,ROW()-1,60),ROW()-1,FALSE))</f>
        <v>9.4958702929999994</v>
      </c>
      <c r="AE474">
        <f ca="1">IF(AND(ISNUMBER($AE$1136),$B$677=1),$AE$1136,HLOOKUP(INDIRECT(ADDRESS(2,COLUMN())),OFFSET($BN$2,0,0,ROW()-1,60),ROW()-1,FALSE))</f>
        <v>11.74657024</v>
      </c>
      <c r="AF474">
        <f ca="1">IF(AND(ISNUMBER($AF$1136),$B$677=1),$AF$1136,HLOOKUP(INDIRECT(ADDRESS(2,COLUMN())),OFFSET($BN$2,0,0,ROW()-1,60),ROW()-1,FALSE))</f>
        <v>10.341583290000001</v>
      </c>
      <c r="AG474">
        <f ca="1">IF(AND(ISNUMBER($AG$1136),$B$677=1),$AG$1136,HLOOKUP(INDIRECT(ADDRESS(2,COLUMN())),OFFSET($BN$2,0,0,ROW()-1,60),ROW()-1,FALSE))</f>
        <v>12.208216350000001</v>
      </c>
      <c r="AH474" t="str">
        <f ca="1">IF(AND(ISNUMBER($AH$1136),$B$677=1),$AH$1136,HLOOKUP(INDIRECT(ADDRESS(2,COLUMN())),OFFSET($BN$2,0,0,ROW()-1,60),ROW()-1,FALSE))</f>
        <v/>
      </c>
      <c r="AI474" t="str">
        <f ca="1">IF(AND(ISNUMBER($AI$1136),$B$677=1),$AI$1136,HLOOKUP(INDIRECT(ADDRESS(2,COLUMN())),OFFSET($BN$2,0,0,ROW()-1,60),ROW()-1,FALSE))</f>
        <v/>
      </c>
      <c r="AJ474" t="str">
        <f ca="1">IF(AND(ISNUMBER($AJ$1136),$B$677=1),$AJ$1136,HLOOKUP(INDIRECT(ADDRESS(2,COLUMN())),OFFSET($BN$2,0,0,ROW()-1,60),ROW()-1,FALSE))</f>
        <v/>
      </c>
      <c r="AK474" t="str">
        <f ca="1">IF(AND(ISNUMBER($AK$1136),$B$677=1),$AK$1136,HLOOKUP(INDIRECT(ADDRESS(2,COLUMN())),OFFSET($BN$2,0,0,ROW()-1,60),ROW()-1,FALSE))</f>
        <v/>
      </c>
      <c r="AL474" t="str">
        <f ca="1">IF(AND(ISNUMBER($AL$1136),$B$677=1),$AL$1136,HLOOKUP(INDIRECT(ADDRESS(2,COLUMN())),OFFSET($BN$2,0,0,ROW()-1,60),ROW()-1,FALSE))</f>
        <v/>
      </c>
      <c r="AM474" t="str">
        <f ca="1">IF(AND(ISNUMBER($AM$1136),$B$677=1),$AM$1136,HLOOKUP(INDIRECT(ADDRESS(2,COLUMN())),OFFSET($BN$2,0,0,ROW()-1,60),ROW()-1,FALSE))</f>
        <v/>
      </c>
      <c r="AN474" t="str">
        <f ca="1">IF(AND(ISNUMBER($AN$1136),$B$677=1),$AN$1136,HLOOKUP(INDIRECT(ADDRESS(2,COLUMN())),OFFSET($BN$2,0,0,ROW()-1,60),ROW()-1,FALSE))</f>
        <v/>
      </c>
      <c r="AO474" t="str">
        <f ca="1">IF(AND(ISNUMBER($AO$1136),$B$677=1),$AO$1136,HLOOKUP(INDIRECT(ADDRESS(2,COLUMN())),OFFSET($BN$2,0,0,ROW()-1,60),ROW()-1,FALSE))</f>
        <v/>
      </c>
      <c r="AP474" t="str">
        <f ca="1">IF(AND(ISNUMBER($AP$1136),$B$677=1),$AP$1136,HLOOKUP(INDIRECT(ADDRESS(2,COLUMN())),OFFSET($BN$2,0,0,ROW()-1,60),ROW()-1,FALSE))</f>
        <v/>
      </c>
      <c r="AQ474" t="str">
        <f ca="1">IF(AND(ISNUMBER($AQ$1136),$B$677=1),$AQ$1136,HLOOKUP(INDIRECT(ADDRESS(2,COLUMN())),OFFSET($BN$2,0,0,ROW()-1,60),ROW()-1,FALSE))</f>
        <v/>
      </c>
      <c r="AR474" t="str">
        <f ca="1">IF(AND(ISNUMBER($AR$1136),$B$677=1),$AR$1136,HLOOKUP(INDIRECT(ADDRESS(2,COLUMN())),OFFSET($BN$2,0,0,ROW()-1,60),ROW()-1,FALSE))</f>
        <v/>
      </c>
      <c r="AS474" t="str">
        <f ca="1">IF(AND(ISNUMBER($AS$1136),$B$677=1),$AS$1136,HLOOKUP(INDIRECT(ADDRESS(2,COLUMN())),OFFSET($BN$2,0,0,ROW()-1,60),ROW()-1,FALSE))</f>
        <v/>
      </c>
      <c r="AT474" t="str">
        <f ca="1">IF(AND(ISNUMBER($AT$1136),$B$677=1),$AT$1136,HLOOKUP(INDIRECT(ADDRESS(2,COLUMN())),OFFSET($BN$2,0,0,ROW()-1,60),ROW()-1,FALSE))</f>
        <v/>
      </c>
      <c r="AU474" t="str">
        <f ca="1">IF(AND(ISNUMBER($AU$1136),$B$677=1),$AU$1136,HLOOKUP(INDIRECT(ADDRESS(2,COLUMN())),OFFSET($BN$2,0,0,ROW()-1,60),ROW()-1,FALSE))</f>
        <v/>
      </c>
      <c r="AV474" t="str">
        <f ca="1">IF(AND(ISNUMBER($AV$1136),$B$677=1),$AV$1136,HLOOKUP(INDIRECT(ADDRESS(2,COLUMN())),OFFSET($BN$2,0,0,ROW()-1,60),ROW()-1,FALSE))</f>
        <v/>
      </c>
      <c r="AW474" t="str">
        <f ca="1">IF(AND(ISNUMBER($AW$1136),$B$677=1),$AW$1136,HLOOKUP(INDIRECT(ADDRESS(2,COLUMN())),OFFSET($BN$2,0,0,ROW()-1,60),ROW()-1,FALSE))</f>
        <v/>
      </c>
      <c r="AX474" t="str">
        <f ca="1">IF(AND(ISNUMBER($AX$1136),$B$677=1),$AX$1136,HLOOKUP(INDIRECT(ADDRESS(2,COLUMN())),OFFSET($BN$2,0,0,ROW()-1,60),ROW()-1,FALSE))</f>
        <v/>
      </c>
      <c r="AY474" t="str">
        <f ca="1">IF(AND(ISNUMBER($AY$1136),$B$677=1),$AY$1136,HLOOKUP(INDIRECT(ADDRESS(2,COLUMN())),OFFSET($BN$2,0,0,ROW()-1,60),ROW()-1,FALSE))</f>
        <v/>
      </c>
      <c r="AZ474" t="str">
        <f ca="1">IF(AND(ISNUMBER($AZ$1136),$B$677=1),$AZ$1136,HLOOKUP(INDIRECT(ADDRESS(2,COLUMN())),OFFSET($BN$2,0,0,ROW()-1,60),ROW()-1,FALSE))</f>
        <v/>
      </c>
      <c r="BA474" t="str">
        <f ca="1">IF(AND(ISNUMBER($BA$1136),$B$677=1),$BA$1136,HLOOKUP(INDIRECT(ADDRESS(2,COLUMN())),OFFSET($BN$2,0,0,ROW()-1,60),ROW()-1,FALSE))</f>
        <v/>
      </c>
      <c r="BB474" t="str">
        <f ca="1">IF(AND(ISNUMBER($BB$1136),$B$677=1),$BB$1136,HLOOKUP(INDIRECT(ADDRESS(2,COLUMN())),OFFSET($BN$2,0,0,ROW()-1,60),ROW()-1,FALSE))</f>
        <v/>
      </c>
      <c r="BC474" t="str">
        <f ca="1">IF(AND(ISNUMBER($BC$1136),$B$677=1),$BC$1136,HLOOKUP(INDIRECT(ADDRESS(2,COLUMN())),OFFSET($BN$2,0,0,ROW()-1,60),ROW()-1,FALSE))</f>
        <v/>
      </c>
      <c r="BD474" t="str">
        <f ca="1">IF(AND(ISNUMBER($BD$1136),$B$677=1),$BD$1136,HLOOKUP(INDIRECT(ADDRESS(2,COLUMN())),OFFSET($BN$2,0,0,ROW()-1,60),ROW()-1,FALSE))</f>
        <v/>
      </c>
      <c r="BE474" t="str">
        <f ca="1">IF(AND(ISNUMBER($BE$1136),$B$677=1),$BE$1136,HLOOKUP(INDIRECT(ADDRESS(2,COLUMN())),OFFSET($BN$2,0,0,ROW()-1,60),ROW()-1,FALSE))</f>
        <v/>
      </c>
      <c r="BF474" t="str">
        <f ca="1">IF(AND(ISNUMBER($BF$1136),$B$677=1),$BF$1136,HLOOKUP(INDIRECT(ADDRESS(2,COLUMN())),OFFSET($BN$2,0,0,ROW()-1,60),ROW()-1,FALSE))</f>
        <v/>
      </c>
      <c r="BG474" t="str">
        <f ca="1">IF(AND(ISNUMBER($BG$1136),$B$677=1),$BG$1136,HLOOKUP(INDIRECT(ADDRESS(2,COLUMN())),OFFSET($BN$2,0,0,ROW()-1,60),ROW()-1,FALSE))</f>
        <v/>
      </c>
      <c r="BH474" t="str">
        <f ca="1">IF(AND(ISNUMBER($BH$1136),$B$677=1),$BH$1136,HLOOKUP(INDIRECT(ADDRESS(2,COLUMN())),OFFSET($BN$2,0,0,ROW()-1,60),ROW()-1,FALSE))</f>
        <v/>
      </c>
      <c r="BI474" t="str">
        <f ca="1">IF(AND(ISNUMBER($BI$1136),$B$677=1),$BI$1136,HLOOKUP(INDIRECT(ADDRESS(2,COLUMN())),OFFSET($BN$2,0,0,ROW()-1,60),ROW()-1,FALSE))</f>
        <v/>
      </c>
      <c r="BJ474" t="str">
        <f ca="1">IF(AND(ISNUMBER($BJ$1136),$B$677=1),$BJ$1136,HLOOKUP(INDIRECT(ADDRESS(2,COLUMN())),OFFSET($BN$2,0,0,ROW()-1,60),ROW()-1,FALSE))</f>
        <v/>
      </c>
      <c r="BK474" t="str">
        <f ca="1">IF(AND(ISNUMBER($BK$1136),$B$677=1),$BK$1136,HLOOKUP(INDIRECT(ADDRESS(2,COLUMN())),OFFSET($BN$2,0,0,ROW()-1,60),ROW()-1,FALSE))</f>
        <v/>
      </c>
      <c r="BL474" t="str">
        <f ca="1">IF(AND(ISNUMBER($BL$1136),$B$677=1),$BL$1136,HLOOKUP(INDIRECT(ADDRESS(2,COLUMN())),OFFSET($BN$2,0,0,ROW()-1,60),ROW()-1,FALSE))</f>
        <v/>
      </c>
      <c r="BM474" t="str">
        <f ca="1">IF(AND(ISNUMBER($BM$1136),$B$677=1),$BM$1136,HLOOKUP(INDIRECT(ADDRESS(2,COLUMN())),OFFSET($BN$2,0,0,ROW()-1,60),ROW()-1,FALSE))</f>
        <v/>
      </c>
      <c r="BN474" t="str">
        <f>""</f>
        <v/>
      </c>
      <c r="BO474" t="str">
        <f>""</f>
        <v/>
      </c>
      <c r="BP474">
        <f>6.825721271</f>
        <v>6.8257212709999999</v>
      </c>
      <c r="BQ474">
        <f>8.316917805</f>
        <v>8.3169178049999992</v>
      </c>
      <c r="BR474">
        <f>20.82250787</f>
        <v>20.822507869999999</v>
      </c>
      <c r="BS474">
        <f>21.01879161</f>
        <v>21.018791610000001</v>
      </c>
      <c r="BT474">
        <f>17.00146666</f>
        <v>17.001466659999998</v>
      </c>
      <c r="BU474">
        <f>13.23798877</f>
        <v>13.237988769999999</v>
      </c>
      <c r="BV474">
        <f>10.75567763</f>
        <v>10.755677629999999</v>
      </c>
      <c r="BW474">
        <f>8.3481584</f>
        <v>8.3481584000000009</v>
      </c>
      <c r="BX474">
        <f>9.440599057</f>
        <v>9.440599057</v>
      </c>
      <c r="BY474">
        <f>8.423800648</f>
        <v>8.4238006480000003</v>
      </c>
      <c r="BZ474">
        <f>9.272921779</f>
        <v>9.2729217790000007</v>
      </c>
      <c r="CA474">
        <f>12.21744322</f>
        <v>12.21744322</v>
      </c>
      <c r="CB474">
        <f>7.422968445</f>
        <v>7.4229684450000004</v>
      </c>
      <c r="CC474">
        <f>13.3870788</f>
        <v>13.387078799999999</v>
      </c>
      <c r="CD474">
        <f>28.23606822</f>
        <v>28.23606822</v>
      </c>
      <c r="CE474">
        <f>15.06660756</f>
        <v>15.06660756</v>
      </c>
      <c r="CF474">
        <f>9.36500013</f>
        <v>9.3650001300000003</v>
      </c>
      <c r="CG474">
        <f>8.706906199</f>
        <v>8.7069061990000005</v>
      </c>
      <c r="CH474">
        <f>11.15242496</f>
        <v>11.152424959999999</v>
      </c>
      <c r="CI474">
        <f>12.27231473</f>
        <v>12.27231473</v>
      </c>
      <c r="CJ474">
        <f>12.10954452</f>
        <v>12.10954452</v>
      </c>
      <c r="CK474">
        <f>10.53130621</f>
        <v>10.53130621</v>
      </c>
      <c r="CL474">
        <f>9.495870293</f>
        <v>9.4958702929999994</v>
      </c>
      <c r="CM474">
        <f>11.74657024</f>
        <v>11.74657024</v>
      </c>
      <c r="CN474">
        <f>10.34158329</f>
        <v>10.341583290000001</v>
      </c>
      <c r="CO474">
        <f>12.20821635</f>
        <v>12.208216350000001</v>
      </c>
      <c r="CP474" t="str">
        <f>""</f>
        <v/>
      </c>
      <c r="CQ474" t="str">
        <f>""</f>
        <v/>
      </c>
      <c r="CR474" t="str">
        <f>""</f>
        <v/>
      </c>
      <c r="CS474" t="str">
        <f>""</f>
        <v/>
      </c>
      <c r="CT474" t="str">
        <f>""</f>
        <v/>
      </c>
      <c r="CU474" t="str">
        <f>""</f>
        <v/>
      </c>
      <c r="CV474" t="str">
        <f>""</f>
        <v/>
      </c>
      <c r="CW474" t="str">
        <f>""</f>
        <v/>
      </c>
      <c r="CX474" t="str">
        <f>""</f>
        <v/>
      </c>
      <c r="CY474" t="str">
        <f>""</f>
        <v/>
      </c>
      <c r="CZ474" t="str">
        <f>""</f>
        <v/>
      </c>
      <c r="DA474" t="str">
        <f>""</f>
        <v/>
      </c>
      <c r="DB474" t="str">
        <f>""</f>
        <v/>
      </c>
      <c r="DC474" t="str">
        <f>""</f>
        <v/>
      </c>
      <c r="DD474" t="str">
        <f>""</f>
        <v/>
      </c>
      <c r="DE474" t="str">
        <f>""</f>
        <v/>
      </c>
      <c r="DF474" t="str">
        <f>""</f>
        <v/>
      </c>
      <c r="DG474" t="str">
        <f>""</f>
        <v/>
      </c>
      <c r="DH474" t="str">
        <f>""</f>
        <v/>
      </c>
      <c r="DI474" t="str">
        <f>""</f>
        <v/>
      </c>
      <c r="DJ474" t="str">
        <f>""</f>
        <v/>
      </c>
      <c r="DK474" t="str">
        <f>""</f>
        <v/>
      </c>
      <c r="DL474" t="str">
        <f>""</f>
        <v/>
      </c>
      <c r="DM474" t="str">
        <f>""</f>
        <v/>
      </c>
      <c r="DN474" t="str">
        <f>""</f>
        <v/>
      </c>
      <c r="DO474" t="str">
        <f>""</f>
        <v/>
      </c>
      <c r="DP474" t="str">
        <f>""</f>
        <v/>
      </c>
      <c r="DQ474" t="str">
        <f>""</f>
        <v/>
      </c>
      <c r="DR474" t="str">
        <f>""</f>
        <v/>
      </c>
      <c r="DS474" t="str">
        <f>""</f>
        <v/>
      </c>
      <c r="DT474" t="str">
        <f>""</f>
        <v/>
      </c>
      <c r="DU474" t="str">
        <f>""</f>
        <v/>
      </c>
    </row>
    <row r="475" spans="1:125" x14ac:dyDescent="0.25">
      <c r="A475" t="str">
        <f>"    Guangzhou Automobile Group Co Ltd"</f>
        <v xml:space="preserve">    Guangzhou Automobile Group Co Ltd</v>
      </c>
      <c r="B475" t="str">
        <f>"2238 HK Equity"</f>
        <v>2238 HK Equity</v>
      </c>
      <c r="C475" t="str">
        <f t="shared" si="33"/>
        <v>RR476</v>
      </c>
      <c r="D475" t="str">
        <f t="shared" si="34"/>
        <v>EV_TO_T12M_NET_INCOME</v>
      </c>
      <c r="E475" t="str">
        <f t="shared" si="35"/>
        <v>Dynamic</v>
      </c>
      <c r="F475" t="str">
        <f ca="1">IF(AND(ISNUMBER($F$1137),$B$677=1),$F$1137,HLOOKUP(INDIRECT(ADDRESS(2,COLUMN())),OFFSET($BN$2,0,0,ROW()-1,60),ROW()-1,FALSE))</f>
        <v/>
      </c>
      <c r="G475" t="str">
        <f ca="1">IF(AND(ISNUMBER($G$1137),$B$677=1),$G$1137,HLOOKUP(INDIRECT(ADDRESS(2,COLUMN())),OFFSET($BN$2,0,0,ROW()-1,60),ROW()-1,FALSE))</f>
        <v/>
      </c>
      <c r="H475">
        <f ca="1">IF(AND(ISNUMBER($H$1137),$B$677=1),$H$1137,HLOOKUP(INDIRECT(ADDRESS(2,COLUMN())),OFFSET($BN$2,0,0,ROW()-1,60),ROW()-1,FALSE))</f>
        <v>4.7145060640000001</v>
      </c>
      <c r="I475">
        <f ca="1">IF(AND(ISNUMBER($I$1137),$B$677=1),$I$1137,HLOOKUP(INDIRECT(ADDRESS(2,COLUMN())),OFFSET($BN$2,0,0,ROW()-1,60),ROW()-1,FALSE))</f>
        <v>3.823214127</v>
      </c>
      <c r="J475">
        <f ca="1">IF(AND(ISNUMBER($J$1137),$B$677=1),$J$1137,HLOOKUP(INDIRECT(ADDRESS(2,COLUMN())),OFFSET($BN$2,0,0,ROW()-1,60),ROW()-1,FALSE))</f>
        <v>15.31127715</v>
      </c>
      <c r="K475">
        <f ca="1">IF(AND(ISNUMBER($K$1137),$B$677=1),$K$1137,HLOOKUP(INDIRECT(ADDRESS(2,COLUMN())),OFFSET($BN$2,0,0,ROW()-1,60),ROW()-1,FALSE))</f>
        <v>18.083691770000001</v>
      </c>
      <c r="L475">
        <f ca="1">IF(AND(ISNUMBER($L$1137),$B$677=1),$L$1137,HLOOKUP(INDIRECT(ADDRESS(2,COLUMN())),OFFSET($BN$2,0,0,ROW()-1,60),ROW()-1,FALSE))</f>
        <v>20.442595570000002</v>
      </c>
      <c r="M475">
        <f ca="1">IF(AND(ISNUMBER($M$1137),$B$677=1),$M$1137,HLOOKUP(INDIRECT(ADDRESS(2,COLUMN())),OFFSET($BN$2,0,0,ROW()-1,60),ROW()-1,FALSE))</f>
        <v>15.0612561</v>
      </c>
      <c r="N475">
        <f ca="1">IF(AND(ISNUMBER($N$1137),$B$677=1),$N$1137,HLOOKUP(INDIRECT(ADDRESS(2,COLUMN())),OFFSET($BN$2,0,0,ROW()-1,60),ROW()-1,FALSE))</f>
        <v>15.995563799999999</v>
      </c>
      <c r="O475">
        <f ca="1">IF(AND(ISNUMBER($O$1137),$B$677=1),$O$1137,HLOOKUP(INDIRECT(ADDRESS(2,COLUMN())),OFFSET($BN$2,0,0,ROW()-1,60),ROW()-1,FALSE))</f>
        <v>17.584399449999999</v>
      </c>
      <c r="P475">
        <f ca="1">IF(AND(ISNUMBER($P$1137),$B$677=1),$P$1137,HLOOKUP(INDIRECT(ADDRESS(2,COLUMN())),OFFSET($BN$2,0,0,ROW()-1,60),ROW()-1,FALSE))</f>
        <v>15.84627615</v>
      </c>
      <c r="Q475">
        <f ca="1">IF(AND(ISNUMBER($Q$1137),$B$677=1),$Q$1137,HLOOKUP(INDIRECT(ADDRESS(2,COLUMN())),OFFSET($BN$2,0,0,ROW()-1,60),ROW()-1,FALSE))</f>
        <v>17.09660087</v>
      </c>
      <c r="R475">
        <f ca="1">IF(AND(ISNUMBER($R$1137),$B$677=1),$R$1137,HLOOKUP(INDIRECT(ADDRESS(2,COLUMN())),OFFSET($BN$2,0,0,ROW()-1,60),ROW()-1,FALSE))</f>
        <v>17.507255799999999</v>
      </c>
      <c r="S475">
        <f ca="1">IF(AND(ISNUMBER($S$1137),$B$677=1),$S$1137,HLOOKUP(INDIRECT(ADDRESS(2,COLUMN())),OFFSET($BN$2,0,0,ROW()-1,60),ROW()-1,FALSE))</f>
        <v>24.8565167</v>
      </c>
      <c r="T475">
        <f ca="1">IF(AND(ISNUMBER($T$1137),$B$677=1),$T$1137,HLOOKUP(INDIRECT(ADDRESS(2,COLUMN())),OFFSET($BN$2,0,0,ROW()-1,60),ROW()-1,FALSE))</f>
        <v>32.871222979999999</v>
      </c>
      <c r="U475">
        <f ca="1">IF(AND(ISNUMBER($U$1137),$B$677=1),$U$1137,HLOOKUP(INDIRECT(ADDRESS(2,COLUMN())),OFFSET($BN$2,0,0,ROW()-1,60),ROW()-1,FALSE))</f>
        <v>23.226468650000001</v>
      </c>
      <c r="V475">
        <f ca="1">IF(AND(ISNUMBER($V$1137),$B$677=1),$V$1137,HLOOKUP(INDIRECT(ADDRESS(2,COLUMN())),OFFSET($BN$2,0,0,ROW()-1,60),ROW()-1,FALSE))</f>
        <v>11.50262588</v>
      </c>
      <c r="W475">
        <f ca="1">IF(AND(ISNUMBER($W$1137),$B$677=1),$W$1137,HLOOKUP(INDIRECT(ADDRESS(2,COLUMN())),OFFSET($BN$2,0,0,ROW()-1,60),ROW()-1,FALSE))</f>
        <v>14.750764780000001</v>
      </c>
      <c r="X475">
        <f ca="1">IF(AND(ISNUMBER($X$1137),$B$677=1),$X$1137,HLOOKUP(INDIRECT(ADDRESS(2,COLUMN())),OFFSET($BN$2,0,0,ROW()-1,60),ROW()-1,FALSE))</f>
        <v>13.263141450000001</v>
      </c>
      <c r="Y475">
        <f ca="1">IF(AND(ISNUMBER($Y$1137),$B$677=1),$Y$1137,HLOOKUP(INDIRECT(ADDRESS(2,COLUMN())),OFFSET($BN$2,0,0,ROW()-1,60),ROW()-1,FALSE))</f>
        <v>13.327578559999999</v>
      </c>
      <c r="Z475">
        <f ca="1">IF(AND(ISNUMBER($Z$1137),$B$677=1),$Z$1137,HLOOKUP(INDIRECT(ADDRESS(2,COLUMN())),OFFSET($BN$2,0,0,ROW()-1,60),ROW()-1,FALSE))</f>
        <v>12.67210964</v>
      </c>
      <c r="AA475">
        <f ca="1">IF(AND(ISNUMBER($AA$1137),$B$677=1),$AA$1137,HLOOKUP(INDIRECT(ADDRESS(2,COLUMN())),OFFSET($BN$2,0,0,ROW()-1,60),ROW()-1,FALSE))</f>
        <v>14.78262271</v>
      </c>
      <c r="AB475">
        <f ca="1">IF(AND(ISNUMBER($AB$1137),$B$677=1),$AB$1137,HLOOKUP(INDIRECT(ADDRESS(2,COLUMN())),OFFSET($BN$2,0,0,ROW()-1,60),ROW()-1,FALSE))</f>
        <v>25.214904910000001</v>
      </c>
      <c r="AC475">
        <f ca="1">IF(AND(ISNUMBER($AC$1137),$B$677=1),$AC$1137,HLOOKUP(INDIRECT(ADDRESS(2,COLUMN())),OFFSET($BN$2,0,0,ROW()-1,60),ROW()-1,FALSE))</f>
        <v>44.992206680000002</v>
      </c>
      <c r="AD475">
        <f ca="1">IF(AND(ISNUMBER($AD$1137),$B$677=1),$AD$1137,HLOOKUP(INDIRECT(ADDRESS(2,COLUMN())),OFFSET($BN$2,0,0,ROW()-1,60),ROW()-1,FALSE))</f>
        <v>43.482139410000002</v>
      </c>
      <c r="AE475">
        <f ca="1">IF(AND(ISNUMBER($AE$1137),$B$677=1),$AE$1137,HLOOKUP(INDIRECT(ADDRESS(2,COLUMN())),OFFSET($BN$2,0,0,ROW()-1,60),ROW()-1,FALSE))</f>
        <v>31.265446650000001</v>
      </c>
      <c r="AF475">
        <f ca="1">IF(AND(ISNUMBER($AF$1137),$B$677=1),$AF$1137,HLOOKUP(INDIRECT(ADDRESS(2,COLUMN())),OFFSET($BN$2,0,0,ROW()-1,60),ROW()-1,FALSE))</f>
        <v>6.7092960929999998</v>
      </c>
      <c r="AG475">
        <f ca="1">IF(AND(ISNUMBER($AG$1137),$B$677=1),$AG$1137,HLOOKUP(INDIRECT(ADDRESS(2,COLUMN())),OFFSET($BN$2,0,0,ROW()-1,60),ROW()-1,FALSE))</f>
        <v>10.018651780000001</v>
      </c>
      <c r="AH475">
        <f ca="1">IF(AND(ISNUMBER($AH$1137),$B$677=1),$AH$1137,HLOOKUP(INDIRECT(ADDRESS(2,COLUMN())),OFFSET($BN$2,0,0,ROW()-1,60),ROW()-1,FALSE))</f>
        <v>10.324394979999999</v>
      </c>
      <c r="AI475">
        <f ca="1">IF(AND(ISNUMBER($AI$1137),$B$677=1),$AI$1137,HLOOKUP(INDIRECT(ADDRESS(2,COLUMN())),OFFSET($BN$2,0,0,ROW()-1,60),ROW()-1,FALSE))</f>
        <v>6.664710822</v>
      </c>
      <c r="AJ475">
        <f ca="1">IF(AND(ISNUMBER($AJ$1137),$B$677=1),$AJ$1137,HLOOKUP(INDIRECT(ADDRESS(2,COLUMN())),OFFSET($BN$2,0,0,ROW()-1,60),ROW()-1,FALSE))</f>
        <v>9.3514101059999994</v>
      </c>
      <c r="AK475">
        <f ca="1">IF(AND(ISNUMBER($AK$1137),$B$677=1),$AK$1137,HLOOKUP(INDIRECT(ADDRESS(2,COLUMN())),OFFSET($BN$2,0,0,ROW()-1,60),ROW()-1,FALSE))</f>
        <v>11.48471797</v>
      </c>
      <c r="AL475">
        <f ca="1">IF(AND(ISNUMBER($AL$1137),$B$677=1),$AL$1137,HLOOKUP(INDIRECT(ADDRESS(2,COLUMN())),OFFSET($BN$2,0,0,ROW()-1,60),ROW()-1,FALSE))</f>
        <v>10.102703200000001</v>
      </c>
      <c r="AM475">
        <f ca="1">IF(AND(ISNUMBER($AM$1137),$B$677=1),$AM$1137,HLOOKUP(INDIRECT(ADDRESS(2,COLUMN())),OFFSET($BN$2,0,0,ROW()-1,60),ROW()-1,FALSE))</f>
        <v>11.750465569999999</v>
      </c>
      <c r="AN475">
        <f ca="1">IF(AND(ISNUMBER($AN$1137),$B$677=1),$AN$1137,HLOOKUP(INDIRECT(ADDRESS(2,COLUMN())),OFFSET($BN$2,0,0,ROW()-1,60),ROW()-1,FALSE))</f>
        <v>17.07461327</v>
      </c>
      <c r="AO475" t="str">
        <f ca="1">IF(AND(ISNUMBER($AO$1137),$B$677=1),$AO$1137,HLOOKUP(INDIRECT(ADDRESS(2,COLUMN())),OFFSET($BN$2,0,0,ROW()-1,60),ROW()-1,FALSE))</f>
        <v/>
      </c>
      <c r="AP475" t="str">
        <f ca="1">IF(AND(ISNUMBER($AP$1137),$B$677=1),$AP$1137,HLOOKUP(INDIRECT(ADDRESS(2,COLUMN())),OFFSET($BN$2,0,0,ROW()-1,60),ROW()-1,FALSE))</f>
        <v/>
      </c>
      <c r="AQ475" t="str">
        <f ca="1">IF(AND(ISNUMBER($AQ$1137),$B$677=1),$AQ$1137,HLOOKUP(INDIRECT(ADDRESS(2,COLUMN())),OFFSET($BN$2,0,0,ROW()-1,60),ROW()-1,FALSE))</f>
        <v/>
      </c>
      <c r="AR475" t="str">
        <f ca="1">IF(AND(ISNUMBER($AR$1137),$B$677=1),$AR$1137,HLOOKUP(INDIRECT(ADDRESS(2,COLUMN())),OFFSET($BN$2,0,0,ROW()-1,60),ROW()-1,FALSE))</f>
        <v/>
      </c>
      <c r="AS475" t="str">
        <f ca="1">IF(AND(ISNUMBER($AS$1137),$B$677=1),$AS$1137,HLOOKUP(INDIRECT(ADDRESS(2,COLUMN())),OFFSET($BN$2,0,0,ROW()-1,60),ROW()-1,FALSE))</f>
        <v/>
      </c>
      <c r="AT475" t="str">
        <f ca="1">IF(AND(ISNUMBER($AT$1137),$B$677=1),$AT$1137,HLOOKUP(INDIRECT(ADDRESS(2,COLUMN())),OFFSET($BN$2,0,0,ROW()-1,60),ROW()-1,FALSE))</f>
        <v/>
      </c>
      <c r="AU475" t="str">
        <f ca="1">IF(AND(ISNUMBER($AU$1137),$B$677=1),$AU$1137,HLOOKUP(INDIRECT(ADDRESS(2,COLUMN())),OFFSET($BN$2,0,0,ROW()-1,60),ROW()-1,FALSE))</f>
        <v/>
      </c>
      <c r="AV475" t="str">
        <f ca="1">IF(AND(ISNUMBER($AV$1137),$B$677=1),$AV$1137,HLOOKUP(INDIRECT(ADDRESS(2,COLUMN())),OFFSET($BN$2,0,0,ROW()-1,60),ROW()-1,FALSE))</f>
        <v/>
      </c>
      <c r="AW475" t="str">
        <f ca="1">IF(AND(ISNUMBER($AW$1137),$B$677=1),$AW$1137,HLOOKUP(INDIRECT(ADDRESS(2,COLUMN())),OFFSET($BN$2,0,0,ROW()-1,60),ROW()-1,FALSE))</f>
        <v/>
      </c>
      <c r="AX475" t="str">
        <f ca="1">IF(AND(ISNUMBER($AX$1137),$B$677=1),$AX$1137,HLOOKUP(INDIRECT(ADDRESS(2,COLUMN())),OFFSET($BN$2,0,0,ROW()-1,60),ROW()-1,FALSE))</f>
        <v/>
      </c>
      <c r="AY475" t="str">
        <f ca="1">IF(AND(ISNUMBER($AY$1137),$B$677=1),$AY$1137,HLOOKUP(INDIRECT(ADDRESS(2,COLUMN())),OFFSET($BN$2,0,0,ROW()-1,60),ROW()-1,FALSE))</f>
        <v/>
      </c>
      <c r="AZ475" t="str">
        <f ca="1">IF(AND(ISNUMBER($AZ$1137),$B$677=1),$AZ$1137,HLOOKUP(INDIRECT(ADDRESS(2,COLUMN())),OFFSET($BN$2,0,0,ROW()-1,60),ROW()-1,FALSE))</f>
        <v/>
      </c>
      <c r="BA475" t="str">
        <f ca="1">IF(AND(ISNUMBER($BA$1137),$B$677=1),$BA$1137,HLOOKUP(INDIRECT(ADDRESS(2,COLUMN())),OFFSET($BN$2,0,0,ROW()-1,60),ROW()-1,FALSE))</f>
        <v/>
      </c>
      <c r="BB475" t="str">
        <f ca="1">IF(AND(ISNUMBER($BB$1137),$B$677=1),$BB$1137,HLOOKUP(INDIRECT(ADDRESS(2,COLUMN())),OFFSET($BN$2,0,0,ROW()-1,60),ROW()-1,FALSE))</f>
        <v/>
      </c>
      <c r="BC475" t="str">
        <f ca="1">IF(AND(ISNUMBER($BC$1137),$B$677=1),$BC$1137,HLOOKUP(INDIRECT(ADDRESS(2,COLUMN())),OFFSET($BN$2,0,0,ROW()-1,60),ROW()-1,FALSE))</f>
        <v/>
      </c>
      <c r="BD475" t="str">
        <f ca="1">IF(AND(ISNUMBER($BD$1137),$B$677=1),$BD$1137,HLOOKUP(INDIRECT(ADDRESS(2,COLUMN())),OFFSET($BN$2,0,0,ROW()-1,60),ROW()-1,FALSE))</f>
        <v/>
      </c>
      <c r="BE475" t="str">
        <f ca="1">IF(AND(ISNUMBER($BE$1137),$B$677=1),$BE$1137,HLOOKUP(INDIRECT(ADDRESS(2,COLUMN())),OFFSET($BN$2,0,0,ROW()-1,60),ROW()-1,FALSE))</f>
        <v/>
      </c>
      <c r="BF475" t="str">
        <f ca="1">IF(AND(ISNUMBER($BF$1137),$B$677=1),$BF$1137,HLOOKUP(INDIRECT(ADDRESS(2,COLUMN())),OFFSET($BN$2,0,0,ROW()-1,60),ROW()-1,FALSE))</f>
        <v/>
      </c>
      <c r="BG475" t="str">
        <f ca="1">IF(AND(ISNUMBER($BG$1137),$B$677=1),$BG$1137,HLOOKUP(INDIRECT(ADDRESS(2,COLUMN())),OFFSET($BN$2,0,0,ROW()-1,60),ROW()-1,FALSE))</f>
        <v/>
      </c>
      <c r="BH475" t="str">
        <f ca="1">IF(AND(ISNUMBER($BH$1137),$B$677=1),$BH$1137,HLOOKUP(INDIRECT(ADDRESS(2,COLUMN())),OFFSET($BN$2,0,0,ROW()-1,60),ROW()-1,FALSE))</f>
        <v/>
      </c>
      <c r="BI475" t="str">
        <f ca="1">IF(AND(ISNUMBER($BI$1137),$B$677=1),$BI$1137,HLOOKUP(INDIRECT(ADDRESS(2,COLUMN())),OFFSET($BN$2,0,0,ROW()-1,60),ROW()-1,FALSE))</f>
        <v/>
      </c>
      <c r="BJ475" t="str">
        <f ca="1">IF(AND(ISNUMBER($BJ$1137),$B$677=1),$BJ$1137,HLOOKUP(INDIRECT(ADDRESS(2,COLUMN())),OFFSET($BN$2,0,0,ROW()-1,60),ROW()-1,FALSE))</f>
        <v/>
      </c>
      <c r="BK475" t="str">
        <f ca="1">IF(AND(ISNUMBER($BK$1137),$B$677=1),$BK$1137,HLOOKUP(INDIRECT(ADDRESS(2,COLUMN())),OFFSET($BN$2,0,0,ROW()-1,60),ROW()-1,FALSE))</f>
        <v/>
      </c>
      <c r="BL475" t="str">
        <f ca="1">IF(AND(ISNUMBER($BL$1137),$B$677=1),$BL$1137,HLOOKUP(INDIRECT(ADDRESS(2,COLUMN())),OFFSET($BN$2,0,0,ROW()-1,60),ROW()-1,FALSE))</f>
        <v/>
      </c>
      <c r="BM475" t="str">
        <f ca="1">IF(AND(ISNUMBER($BM$1137),$B$677=1),$BM$1137,HLOOKUP(INDIRECT(ADDRESS(2,COLUMN())),OFFSET($BN$2,0,0,ROW()-1,60),ROW()-1,FALSE))</f>
        <v/>
      </c>
      <c r="BN475" t="str">
        <f>""</f>
        <v/>
      </c>
      <c r="BO475" t="str">
        <f>""</f>
        <v/>
      </c>
      <c r="BP475">
        <f>4.714506064</f>
        <v>4.7145060640000001</v>
      </c>
      <c r="BQ475">
        <f>3.823214127</f>
        <v>3.823214127</v>
      </c>
      <c r="BR475">
        <f>15.31127715</f>
        <v>15.31127715</v>
      </c>
      <c r="BS475">
        <f>18.08369177</f>
        <v>18.083691770000001</v>
      </c>
      <c r="BT475">
        <f>20.44259557</f>
        <v>20.442595570000002</v>
      </c>
      <c r="BU475">
        <f>15.0612561</f>
        <v>15.0612561</v>
      </c>
      <c r="BV475">
        <f>15.9955638</f>
        <v>15.995563799999999</v>
      </c>
      <c r="BW475">
        <f>17.58439945</f>
        <v>17.584399449999999</v>
      </c>
      <c r="BX475">
        <f>15.84627615</f>
        <v>15.84627615</v>
      </c>
      <c r="BY475">
        <f>17.09660087</f>
        <v>17.09660087</v>
      </c>
      <c r="BZ475">
        <f>17.5072558</f>
        <v>17.507255799999999</v>
      </c>
      <c r="CA475">
        <f>24.8565167</f>
        <v>24.8565167</v>
      </c>
      <c r="CB475">
        <f>32.87122298</f>
        <v>32.871222979999999</v>
      </c>
      <c r="CC475">
        <f>23.22646865</f>
        <v>23.226468650000001</v>
      </c>
      <c r="CD475">
        <f>11.50262588</f>
        <v>11.50262588</v>
      </c>
      <c r="CE475">
        <f>14.75076478</f>
        <v>14.750764780000001</v>
      </c>
      <c r="CF475">
        <f>13.26314145</f>
        <v>13.263141450000001</v>
      </c>
      <c r="CG475">
        <f>13.32757856</f>
        <v>13.327578559999999</v>
      </c>
      <c r="CH475">
        <f>12.67210964</f>
        <v>12.67210964</v>
      </c>
      <c r="CI475">
        <f>14.78262271</f>
        <v>14.78262271</v>
      </c>
      <c r="CJ475">
        <f>25.21490491</f>
        <v>25.214904910000001</v>
      </c>
      <c r="CK475">
        <f>44.99220668</f>
        <v>44.992206680000002</v>
      </c>
      <c r="CL475">
        <f>43.48213941</f>
        <v>43.482139410000002</v>
      </c>
      <c r="CM475">
        <f>31.26544665</f>
        <v>31.265446650000001</v>
      </c>
      <c r="CN475">
        <f>6.709296093</f>
        <v>6.7092960929999998</v>
      </c>
      <c r="CO475">
        <f>10.01865178</f>
        <v>10.018651780000001</v>
      </c>
      <c r="CP475">
        <f>10.32439498</f>
        <v>10.324394979999999</v>
      </c>
      <c r="CQ475">
        <f>6.664710822</f>
        <v>6.664710822</v>
      </c>
      <c r="CR475">
        <f>9.351410106</f>
        <v>9.3514101059999994</v>
      </c>
      <c r="CS475">
        <f>11.48471797</f>
        <v>11.48471797</v>
      </c>
      <c r="CT475">
        <f>10.1027032</f>
        <v>10.102703200000001</v>
      </c>
      <c r="CU475">
        <f>11.75046557</f>
        <v>11.750465569999999</v>
      </c>
      <c r="CV475">
        <f>17.07461327</f>
        <v>17.07461327</v>
      </c>
      <c r="CW475" t="str">
        <f>""</f>
        <v/>
      </c>
      <c r="CX475" t="str">
        <f>""</f>
        <v/>
      </c>
      <c r="CY475" t="str">
        <f>""</f>
        <v/>
      </c>
      <c r="CZ475" t="str">
        <f>""</f>
        <v/>
      </c>
      <c r="DA475" t="str">
        <f>""</f>
        <v/>
      </c>
      <c r="DB475" t="str">
        <f>""</f>
        <v/>
      </c>
      <c r="DC475" t="str">
        <f>""</f>
        <v/>
      </c>
      <c r="DD475" t="str">
        <f>""</f>
        <v/>
      </c>
      <c r="DE475" t="str">
        <f>""</f>
        <v/>
      </c>
      <c r="DF475" t="str">
        <f>""</f>
        <v/>
      </c>
      <c r="DG475" t="str">
        <f>""</f>
        <v/>
      </c>
      <c r="DH475" t="str">
        <f>""</f>
        <v/>
      </c>
      <c r="DI475" t="str">
        <f>""</f>
        <v/>
      </c>
      <c r="DJ475" t="str">
        <f>""</f>
        <v/>
      </c>
      <c r="DK475" t="str">
        <f>""</f>
        <v/>
      </c>
      <c r="DL475" t="str">
        <f>""</f>
        <v/>
      </c>
      <c r="DM475" t="str">
        <f>""</f>
        <v/>
      </c>
      <c r="DN475" t="str">
        <f>""</f>
        <v/>
      </c>
      <c r="DO475" t="str">
        <f>""</f>
        <v/>
      </c>
      <c r="DP475" t="str">
        <f>""</f>
        <v/>
      </c>
      <c r="DQ475" t="str">
        <f>""</f>
        <v/>
      </c>
      <c r="DR475" t="str">
        <f>""</f>
        <v/>
      </c>
      <c r="DS475" t="str">
        <f>""</f>
        <v/>
      </c>
      <c r="DT475" t="str">
        <f>""</f>
        <v/>
      </c>
      <c r="DU475" t="str">
        <f>""</f>
        <v/>
      </c>
    </row>
    <row r="476" spans="1:125" x14ac:dyDescent="0.25">
      <c r="A476" t="str">
        <f>"    Honda Motor Co Ltd"</f>
        <v xml:space="preserve">    Honda Motor Co Ltd</v>
      </c>
      <c r="B476" t="str">
        <f>"7267 JP Equity"</f>
        <v>7267 JP Equity</v>
      </c>
      <c r="C476" t="str">
        <f t="shared" si="33"/>
        <v>RR476</v>
      </c>
      <c r="D476" t="str">
        <f t="shared" si="34"/>
        <v>EV_TO_T12M_NET_INCOME</v>
      </c>
      <c r="E476" t="str">
        <f t="shared" si="35"/>
        <v>Dynamic</v>
      </c>
      <c r="F476" t="str">
        <f ca="1">IF(AND(ISNUMBER($F$1138),$B$677=1),$F$1138,HLOOKUP(INDIRECT(ADDRESS(2,COLUMN())),OFFSET($BN$2,0,0,ROW()-1,60),ROW()-1,FALSE))</f>
        <v/>
      </c>
      <c r="G476">
        <f ca="1">IF(AND(ISNUMBER($G$1138),$B$677=1),$G$1138,HLOOKUP(INDIRECT(ADDRESS(2,COLUMN())),OFFSET($BN$2,0,0,ROW()-1,60),ROW()-1,FALSE))</f>
        <v>14.117025679999999</v>
      </c>
      <c r="H476">
        <f ca="1">IF(AND(ISNUMBER($H$1138),$B$677=1),$H$1138,HLOOKUP(INDIRECT(ADDRESS(2,COLUMN())),OFFSET($BN$2,0,0,ROW()-1,60),ROW()-1,FALSE))</f>
        <v>10.035534350000001</v>
      </c>
      <c r="I476">
        <f ca="1">IF(AND(ISNUMBER($I$1138),$B$677=1),$I$1138,HLOOKUP(INDIRECT(ADDRESS(2,COLUMN())),OFFSET($BN$2,0,0,ROW()-1,60),ROW()-1,FALSE))</f>
        <v>9.9069539150000008</v>
      </c>
      <c r="J476">
        <f ca="1">IF(AND(ISNUMBER($J$1138),$B$677=1),$J$1138,HLOOKUP(INDIRECT(ADDRESS(2,COLUMN())),OFFSET($BN$2,0,0,ROW()-1,60),ROW()-1,FALSE))</f>
        <v>10.78429131</v>
      </c>
      <c r="K476">
        <f ca="1">IF(AND(ISNUMBER($K$1138),$B$677=1),$K$1138,HLOOKUP(INDIRECT(ADDRESS(2,COLUMN())),OFFSET($BN$2,0,0,ROW()-1,60),ROW()-1,FALSE))</f>
        <v>11.54117222</v>
      </c>
      <c r="L476">
        <f ca="1">IF(AND(ISNUMBER($L$1138),$B$677=1),$L$1138,HLOOKUP(INDIRECT(ADDRESS(2,COLUMN())),OFFSET($BN$2,0,0,ROW()-1,60),ROW()-1,FALSE))</f>
        <v>17.117251670000002</v>
      </c>
      <c r="M476">
        <f ca="1">IF(AND(ISNUMBER($M$1138),$B$677=1),$M$1138,HLOOKUP(INDIRECT(ADDRESS(2,COLUMN())),OFFSET($BN$2,0,0,ROW()-1,60),ROW()-1,FALSE))</f>
        <v>16.344556860000001</v>
      </c>
      <c r="N476">
        <f ca="1">IF(AND(ISNUMBER($N$1138),$B$677=1),$N$1138,HLOOKUP(INDIRECT(ADDRESS(2,COLUMN())),OFFSET($BN$2,0,0,ROW()-1,60),ROW()-1,FALSE))</f>
        <v>17.9805952</v>
      </c>
      <c r="O476">
        <f ca="1">IF(AND(ISNUMBER($O$1138),$B$677=1),$O$1138,HLOOKUP(INDIRECT(ADDRESS(2,COLUMN())),OFFSET($BN$2,0,0,ROW()-1,60),ROW()-1,FALSE))</f>
        <v>27.05804449</v>
      </c>
      <c r="P476">
        <f ca="1">IF(AND(ISNUMBER($P$1138),$B$677=1),$P$1138,HLOOKUP(INDIRECT(ADDRESS(2,COLUMN())),OFFSET($BN$2,0,0,ROW()-1,60),ROW()-1,FALSE))</f>
        <v>25.701627380000001</v>
      </c>
      <c r="Q476">
        <f ca="1">IF(AND(ISNUMBER($Q$1138),$B$677=1),$Q$1138,HLOOKUP(INDIRECT(ADDRESS(2,COLUMN())),OFFSET($BN$2,0,0,ROW()-1,60),ROW()-1,FALSE))</f>
        <v>27.996834669999998</v>
      </c>
      <c r="R476">
        <f ca="1">IF(AND(ISNUMBER($R$1138),$B$677=1),$R$1138,HLOOKUP(INDIRECT(ADDRESS(2,COLUMN())),OFFSET($BN$2,0,0,ROW()-1,60),ROW()-1,FALSE))</f>
        <v>30.970217309999999</v>
      </c>
      <c r="S476">
        <f ca="1">IF(AND(ISNUMBER($S$1138),$B$677=1),$S$1138,HLOOKUP(INDIRECT(ADDRESS(2,COLUMN())),OFFSET($BN$2,0,0,ROW()-1,60),ROW()-1,FALSE))</f>
        <v>23.382297550000001</v>
      </c>
      <c r="T476">
        <f ca="1">IF(AND(ISNUMBER($T$1138),$B$677=1),$T$1138,HLOOKUP(INDIRECT(ADDRESS(2,COLUMN())),OFFSET($BN$2,0,0,ROW()-1,60),ROW()-1,FALSE))</f>
        <v>20.905513089999999</v>
      </c>
      <c r="U476">
        <f ca="1">IF(AND(ISNUMBER($U$1138),$B$677=1),$U$1138,HLOOKUP(INDIRECT(ADDRESS(2,COLUMN())),OFFSET($BN$2,0,0,ROW()-1,60),ROW()-1,FALSE))</f>
        <v>22.85605683</v>
      </c>
      <c r="V476">
        <f ca="1">IF(AND(ISNUMBER($V$1138),$B$677=1),$V$1138,HLOOKUP(INDIRECT(ADDRESS(2,COLUMN())),OFFSET($BN$2,0,0,ROW()-1,60),ROW()-1,FALSE))</f>
        <v>23.976420090000001</v>
      </c>
      <c r="W476">
        <f ca="1">IF(AND(ISNUMBER($W$1138),$B$677=1),$W$1138,HLOOKUP(INDIRECT(ADDRESS(2,COLUMN())),OFFSET($BN$2,0,0,ROW()-1,60),ROW()-1,FALSE))</f>
        <v>20.352077380000001</v>
      </c>
      <c r="X476">
        <f ca="1">IF(AND(ISNUMBER($X$1138),$B$677=1),$X$1138,HLOOKUP(INDIRECT(ADDRESS(2,COLUMN())),OFFSET($BN$2,0,0,ROW()-1,60),ROW()-1,FALSE))</f>
        <v>20.077617109999998</v>
      </c>
      <c r="Y476">
        <f ca="1">IF(AND(ISNUMBER($Y$1138),$B$677=1),$Y$1138,HLOOKUP(INDIRECT(ADDRESS(2,COLUMN())),OFFSET($BN$2,0,0,ROW()-1,60),ROW()-1,FALSE))</f>
        <v>18.610542689999999</v>
      </c>
      <c r="Z476">
        <f ca="1">IF(AND(ISNUMBER($Z$1138),$B$677=1),$Z$1138,HLOOKUP(INDIRECT(ADDRESS(2,COLUMN())),OFFSET($BN$2,0,0,ROW()-1,60),ROW()-1,FALSE))</f>
        <v>19.91249925</v>
      </c>
      <c r="AA476">
        <f ca="1">IF(AND(ISNUMBER($AA$1138),$B$677=1),$AA$1138,HLOOKUP(INDIRECT(ADDRESS(2,COLUMN())),OFFSET($BN$2,0,0,ROW()-1,60),ROW()-1,FALSE))</f>
        <v>26.63155673</v>
      </c>
      <c r="AB476">
        <f ca="1">IF(AND(ISNUMBER($AB$1138),$B$677=1),$AB$1138,HLOOKUP(INDIRECT(ADDRESS(2,COLUMN())),OFFSET($BN$2,0,0,ROW()-1,60),ROW()-1,FALSE))</f>
        <v>28.197743890000002</v>
      </c>
      <c r="AC476">
        <f ca="1">IF(AND(ISNUMBER($AC$1138),$B$677=1),$AC$1138,HLOOKUP(INDIRECT(ADDRESS(2,COLUMN())),OFFSET($BN$2,0,0,ROW()-1,60),ROW()-1,FALSE))</f>
        <v>30.43361045</v>
      </c>
      <c r="AD476">
        <f ca="1">IF(AND(ISNUMBER($AD$1138),$B$677=1),$AD$1138,HLOOKUP(INDIRECT(ADDRESS(2,COLUMN())),OFFSET($BN$2,0,0,ROW()-1,60),ROW()-1,FALSE))</f>
        <v>27.932778970000001</v>
      </c>
      <c r="AE476">
        <f ca="1">IF(AND(ISNUMBER($AE$1138),$B$677=1),$AE$1138,HLOOKUP(INDIRECT(ADDRESS(2,COLUMN())),OFFSET($BN$2,0,0,ROW()-1,60),ROW()-1,FALSE))</f>
        <v>25.424808970000001</v>
      </c>
      <c r="AF476">
        <f ca="1">IF(AND(ISNUMBER($AF$1138),$B$677=1),$AF$1138,HLOOKUP(INDIRECT(ADDRESS(2,COLUMN())),OFFSET($BN$2,0,0,ROW()-1,60),ROW()-1,FALSE))</f>
        <v>22.456050569999999</v>
      </c>
      <c r="AG476">
        <f ca="1">IF(AND(ISNUMBER($AG$1138),$B$677=1),$AG$1138,HLOOKUP(INDIRECT(ADDRESS(2,COLUMN())),OFFSET($BN$2,0,0,ROW()-1,60),ROW()-1,FALSE))</f>
        <v>25.489332789999999</v>
      </c>
      <c r="AH476">
        <f ca="1">IF(AND(ISNUMBER($AH$1138),$B$677=1),$AH$1138,HLOOKUP(INDIRECT(ADDRESS(2,COLUMN())),OFFSET($BN$2,0,0,ROW()-1,60),ROW()-1,FALSE))</f>
        <v>40.939839390000003</v>
      </c>
      <c r="AI476">
        <f ca="1">IF(AND(ISNUMBER($AI$1138),$B$677=1),$AI$1138,HLOOKUP(INDIRECT(ADDRESS(2,COLUMN())),OFFSET($BN$2,0,0,ROW()-1,60),ROW()-1,FALSE))</f>
        <v>38.162321310000003</v>
      </c>
      <c r="AJ476">
        <f ca="1">IF(AND(ISNUMBER($AJ$1138),$B$677=1),$AJ$1138,HLOOKUP(INDIRECT(ADDRESS(2,COLUMN())),OFFSET($BN$2,0,0,ROW()-1,60),ROW()-1,FALSE))</f>
        <v>30.742156420000001</v>
      </c>
      <c r="AK476">
        <f ca="1">IF(AND(ISNUMBER($AK$1138),$B$677=1),$AK$1138,HLOOKUP(INDIRECT(ADDRESS(2,COLUMN())),OFFSET($BN$2,0,0,ROW()-1,60),ROW()-1,FALSE))</f>
        <v>28.811375869999999</v>
      </c>
      <c r="AL476">
        <f ca="1">IF(AND(ISNUMBER($AL$1138),$B$677=1),$AL$1138,HLOOKUP(INDIRECT(ADDRESS(2,COLUMN())),OFFSET($BN$2,0,0,ROW()-1,60),ROW()-1,FALSE))</f>
        <v>16.077015129999999</v>
      </c>
      <c r="AM476">
        <f ca="1">IF(AND(ISNUMBER($AM$1138),$B$677=1),$AM$1138,HLOOKUP(INDIRECT(ADDRESS(2,COLUMN())),OFFSET($BN$2,0,0,ROW()-1,60),ROW()-1,FALSE))</f>
        <v>15.69543897</v>
      </c>
      <c r="AN476">
        <f ca="1">IF(AND(ISNUMBER($AN$1138),$B$677=1),$AN$1138,HLOOKUP(INDIRECT(ADDRESS(2,COLUMN())),OFFSET($BN$2,0,0,ROW()-1,60),ROW()-1,FALSE))</f>
        <v>13.43525608</v>
      </c>
      <c r="AO476">
        <f ca="1">IF(AND(ISNUMBER($AO$1138),$B$677=1),$AO$1138,HLOOKUP(INDIRECT(ADDRESS(2,COLUMN())),OFFSET($BN$2,0,0,ROW()-1,60),ROW()-1,FALSE))</f>
        <v>14.581782199999999</v>
      </c>
      <c r="AP476">
        <f ca="1">IF(AND(ISNUMBER($AP$1138),$B$677=1),$AP$1138,HLOOKUP(INDIRECT(ADDRESS(2,COLUMN())),OFFSET($BN$2,0,0,ROW()-1,60),ROW()-1,FALSE))</f>
        <v>33.887436770000001</v>
      </c>
      <c r="AQ476">
        <f ca="1">IF(AND(ISNUMBER($AQ$1138),$B$677=1),$AQ$1138,HLOOKUP(INDIRECT(ADDRESS(2,COLUMN())),OFFSET($BN$2,0,0,ROW()-1,60),ROW()-1,FALSE))</f>
        <v>889.62139749999994</v>
      </c>
      <c r="AR476" t="str">
        <f ca="1">IF(AND(ISNUMBER($AR$1138),$B$677=1),$AR$1138,HLOOKUP(INDIRECT(ADDRESS(2,COLUMN())),OFFSET($BN$2,0,0,ROW()-1,60),ROW()-1,FALSE))</f>
        <v/>
      </c>
      <c r="AS476" t="str">
        <f ca="1">IF(AND(ISNUMBER($AS$1138),$B$677=1),$AS$1138,HLOOKUP(INDIRECT(ADDRESS(2,COLUMN())),OFFSET($BN$2,0,0,ROW()-1,60),ROW()-1,FALSE))</f>
        <v/>
      </c>
      <c r="AT476">
        <f ca="1">IF(AND(ISNUMBER($AT$1138),$B$677=1),$AT$1138,HLOOKUP(INDIRECT(ADDRESS(2,COLUMN())),OFFSET($BN$2,0,0,ROW()-1,60),ROW()-1,FALSE))</f>
        <v>60.22032652</v>
      </c>
      <c r="AU476">
        <f ca="1">IF(AND(ISNUMBER($AU$1138),$B$677=1),$AU$1138,HLOOKUP(INDIRECT(ADDRESS(2,COLUMN())),OFFSET($BN$2,0,0,ROW()-1,60),ROW()-1,FALSE))</f>
        <v>21.190278679999999</v>
      </c>
      <c r="AV476">
        <f ca="1">IF(AND(ISNUMBER($AV$1138),$B$677=1),$AV$1138,HLOOKUP(INDIRECT(ADDRESS(2,COLUMN())),OFFSET($BN$2,0,0,ROW()-1,60),ROW()-1,FALSE))</f>
        <v>18.439570360000001</v>
      </c>
      <c r="AW476">
        <f ca="1">IF(AND(ISNUMBER($AW$1138),$B$677=1),$AW$1138,HLOOKUP(INDIRECT(ADDRESS(2,COLUMN())),OFFSET($BN$2,0,0,ROW()-1,60),ROW()-1,FALSE))</f>
        <v>17.090313470000002</v>
      </c>
      <c r="AX476">
        <f ca="1">IF(AND(ISNUMBER($AX$1138),$B$677=1),$AX$1138,HLOOKUP(INDIRECT(ADDRESS(2,COLUMN())),OFFSET($BN$2,0,0,ROW()-1,60),ROW()-1,FALSE))</f>
        <v>14.40827567</v>
      </c>
      <c r="AY476">
        <f ca="1">IF(AND(ISNUMBER($AY$1138),$B$677=1),$AY$1138,HLOOKUP(INDIRECT(ADDRESS(2,COLUMN())),OFFSET($BN$2,0,0,ROW()-1,60),ROW()-1,FALSE))</f>
        <v>14.109647259999999</v>
      </c>
      <c r="AZ476">
        <f ca="1">IF(AND(ISNUMBER($AZ$1138),$B$677=1),$AZ$1138,HLOOKUP(INDIRECT(ADDRESS(2,COLUMN())),OFFSET($BN$2,0,0,ROW()-1,60),ROW()-1,FALSE))</f>
        <v>15.18348465</v>
      </c>
      <c r="BA476">
        <f ca="1">IF(AND(ISNUMBER($BA$1138),$B$677=1),$BA$1138,HLOOKUP(INDIRECT(ADDRESS(2,COLUMN())),OFFSET($BN$2,0,0,ROW()-1,60),ROW()-1,FALSE))</f>
        <v>19.10825238</v>
      </c>
      <c r="BB476">
        <f ca="1">IF(AND(ISNUMBER($BB$1138),$B$677=1),$BB$1138,HLOOKUP(INDIRECT(ADDRESS(2,COLUMN())),OFFSET($BN$2,0,0,ROW()-1,60),ROW()-1,FALSE))</f>
        <v>17.84091905</v>
      </c>
      <c r="BC476">
        <f ca="1">IF(AND(ISNUMBER($BC$1138),$B$677=1),$BC$1138,HLOOKUP(INDIRECT(ADDRESS(2,COLUMN())),OFFSET($BN$2,0,0,ROW()-1,60),ROW()-1,FALSE))</f>
        <v>18.397609509999999</v>
      </c>
      <c r="BD476">
        <f ca="1">IF(AND(ISNUMBER($BD$1138),$B$677=1),$BD$1138,HLOOKUP(INDIRECT(ADDRESS(2,COLUMN())),OFFSET($BN$2,0,0,ROW()-1,60),ROW()-1,FALSE))</f>
        <v>16.24473046</v>
      </c>
      <c r="BE476">
        <f ca="1">IF(AND(ISNUMBER($BE$1138),$B$677=1),$BE$1138,HLOOKUP(INDIRECT(ADDRESS(2,COLUMN())),OFFSET($BN$2,0,0,ROW()-1,60),ROW()-1,FALSE))</f>
        <v>14.877481700000001</v>
      </c>
      <c r="BF476">
        <f ca="1">IF(AND(ISNUMBER($BF$1138),$B$677=1),$BF$1138,HLOOKUP(INDIRECT(ADDRESS(2,COLUMN())),OFFSET($BN$2,0,0,ROW()-1,60),ROW()-1,FALSE))</f>
        <v>15.390805110000001</v>
      </c>
      <c r="BG476">
        <f ca="1">IF(AND(ISNUMBER($BG$1138),$B$677=1),$BG$1138,HLOOKUP(INDIRECT(ADDRESS(2,COLUMN())),OFFSET($BN$2,0,0,ROW()-1,60),ROW()-1,FALSE))</f>
        <v>18.54106371</v>
      </c>
      <c r="BH476">
        <f ca="1">IF(AND(ISNUMBER($BH$1138),$B$677=1),$BH$1138,HLOOKUP(INDIRECT(ADDRESS(2,COLUMN())),OFFSET($BN$2,0,0,ROW()-1,60),ROW()-1,FALSE))</f>
        <v>16.845549030000001</v>
      </c>
      <c r="BI476" t="str">
        <f ca="1">IF(AND(ISNUMBER($BI$1138),$B$677=1),$BI$1138,HLOOKUP(INDIRECT(ADDRESS(2,COLUMN())),OFFSET($BN$2,0,0,ROW()-1,60),ROW()-1,FALSE))</f>
        <v/>
      </c>
      <c r="BJ476">
        <f ca="1">IF(AND(ISNUMBER($BJ$1138),$B$677=1),$BJ$1138,HLOOKUP(INDIRECT(ADDRESS(2,COLUMN())),OFFSET($BN$2,0,0,ROW()-1,60),ROW()-1,FALSE))</f>
        <v>14.492532600000001</v>
      </c>
      <c r="BK476" t="str">
        <f ca="1">IF(AND(ISNUMBER($BK$1138),$B$677=1),$BK$1138,HLOOKUP(INDIRECT(ADDRESS(2,COLUMN())),OFFSET($BN$2,0,0,ROW()-1,60),ROW()-1,FALSE))</f>
        <v/>
      </c>
      <c r="BL476">
        <f ca="1">IF(AND(ISNUMBER($BL$1138),$B$677=1),$BL$1138,HLOOKUP(INDIRECT(ADDRESS(2,COLUMN())),OFFSET($BN$2,0,0,ROW()-1,60),ROW()-1,FALSE))</f>
        <v>15.332849530000001</v>
      </c>
      <c r="BM476" t="str">
        <f ca="1">IF(AND(ISNUMBER($BM$1138),$B$677=1),$BM$1138,HLOOKUP(INDIRECT(ADDRESS(2,COLUMN())),OFFSET($BN$2,0,0,ROW()-1,60),ROW()-1,FALSE))</f>
        <v/>
      </c>
      <c r="BN476" t="str">
        <f>""</f>
        <v/>
      </c>
      <c r="BO476">
        <f>14.11702568</f>
        <v>14.117025679999999</v>
      </c>
      <c r="BP476">
        <f>10.03553435</f>
        <v>10.035534350000001</v>
      </c>
      <c r="BQ476">
        <f>9.906953915</f>
        <v>9.9069539150000008</v>
      </c>
      <c r="BR476">
        <f>10.78429131</f>
        <v>10.78429131</v>
      </c>
      <c r="BS476">
        <f>11.54117222</f>
        <v>11.54117222</v>
      </c>
      <c r="BT476">
        <f>17.11725167</f>
        <v>17.117251670000002</v>
      </c>
      <c r="BU476">
        <f>16.34455686</f>
        <v>16.344556860000001</v>
      </c>
      <c r="BV476">
        <f>17.9805952</f>
        <v>17.9805952</v>
      </c>
      <c r="BW476">
        <f>27.05804449</f>
        <v>27.05804449</v>
      </c>
      <c r="BX476">
        <f>25.70162738</f>
        <v>25.701627380000001</v>
      </c>
      <c r="BY476">
        <f>27.99683467</f>
        <v>27.996834669999998</v>
      </c>
      <c r="BZ476">
        <f>30.97021731</f>
        <v>30.970217309999999</v>
      </c>
      <c r="CA476">
        <f>23.38229755</f>
        <v>23.382297550000001</v>
      </c>
      <c r="CB476">
        <f>20.90551309</f>
        <v>20.905513089999999</v>
      </c>
      <c r="CC476">
        <f>22.85605683</f>
        <v>22.85605683</v>
      </c>
      <c r="CD476">
        <f>23.97642009</f>
        <v>23.976420090000001</v>
      </c>
      <c r="CE476">
        <f>20.35207738</f>
        <v>20.352077380000001</v>
      </c>
      <c r="CF476">
        <f>20.07761711</f>
        <v>20.077617109999998</v>
      </c>
      <c r="CG476">
        <f>18.61054269</f>
        <v>18.610542689999999</v>
      </c>
      <c r="CH476">
        <f>19.91249925</f>
        <v>19.91249925</v>
      </c>
      <c r="CI476">
        <f>26.63155673</f>
        <v>26.63155673</v>
      </c>
      <c r="CJ476">
        <f>28.19774389</f>
        <v>28.197743890000002</v>
      </c>
      <c r="CK476">
        <f>30.43361045</f>
        <v>30.43361045</v>
      </c>
      <c r="CL476">
        <f>27.93277897</f>
        <v>27.932778970000001</v>
      </c>
      <c r="CM476">
        <f>25.42480897</f>
        <v>25.424808970000001</v>
      </c>
      <c r="CN476">
        <f>22.45605057</f>
        <v>22.456050569999999</v>
      </c>
      <c r="CO476">
        <f>25.48933279</f>
        <v>25.489332789999999</v>
      </c>
      <c r="CP476">
        <f>40.93983939</f>
        <v>40.939839390000003</v>
      </c>
      <c r="CQ476">
        <f>38.16232131</f>
        <v>38.162321310000003</v>
      </c>
      <c r="CR476">
        <f>30.74215642</f>
        <v>30.742156420000001</v>
      </c>
      <c r="CS476">
        <f>28.81137587</f>
        <v>28.811375869999999</v>
      </c>
      <c r="CT476">
        <f>16.07701513</f>
        <v>16.077015129999999</v>
      </c>
      <c r="CU476">
        <f>15.69543897</f>
        <v>15.69543897</v>
      </c>
      <c r="CV476">
        <f>13.43525608</f>
        <v>13.43525608</v>
      </c>
      <c r="CW476">
        <f>14.5817822</f>
        <v>14.581782199999999</v>
      </c>
      <c r="CX476">
        <f>33.88743677</f>
        <v>33.887436770000001</v>
      </c>
      <c r="CY476">
        <f>889.6213975</f>
        <v>889.62139749999994</v>
      </c>
      <c r="CZ476" t="str">
        <f>""</f>
        <v/>
      </c>
      <c r="DA476" t="str">
        <f>""</f>
        <v/>
      </c>
      <c r="DB476">
        <f>60.22032652</f>
        <v>60.22032652</v>
      </c>
      <c r="DC476">
        <f>21.19027868</f>
        <v>21.190278679999999</v>
      </c>
      <c r="DD476">
        <f>18.43957036</f>
        <v>18.439570360000001</v>
      </c>
      <c r="DE476">
        <f>17.09031347</f>
        <v>17.090313470000002</v>
      </c>
      <c r="DF476">
        <f>14.40827567</f>
        <v>14.40827567</v>
      </c>
      <c r="DG476">
        <f>14.10964726</f>
        <v>14.109647259999999</v>
      </c>
      <c r="DH476">
        <f>15.18348465</f>
        <v>15.18348465</v>
      </c>
      <c r="DI476">
        <f>19.10825238</f>
        <v>19.10825238</v>
      </c>
      <c r="DJ476">
        <f>17.84091905</f>
        <v>17.84091905</v>
      </c>
      <c r="DK476">
        <f>18.39760951</f>
        <v>18.397609509999999</v>
      </c>
      <c r="DL476">
        <f>16.24473046</f>
        <v>16.24473046</v>
      </c>
      <c r="DM476">
        <f>14.8774817</f>
        <v>14.877481700000001</v>
      </c>
      <c r="DN476">
        <f>15.39080511</f>
        <v>15.390805110000001</v>
      </c>
      <c r="DO476">
        <f>18.54106371</f>
        <v>18.54106371</v>
      </c>
      <c r="DP476">
        <f>16.84554903</f>
        <v>16.845549030000001</v>
      </c>
      <c r="DQ476" t="str">
        <f>""</f>
        <v/>
      </c>
      <c r="DR476">
        <f>14.4925326</f>
        <v>14.492532600000001</v>
      </c>
      <c r="DS476" t="str">
        <f>""</f>
        <v/>
      </c>
      <c r="DT476">
        <f>15.33284953</f>
        <v>15.332849530000001</v>
      </c>
      <c r="DU476" t="str">
        <f>""</f>
        <v/>
      </c>
    </row>
    <row r="477" spans="1:125" x14ac:dyDescent="0.25">
      <c r="A477" t="str">
        <f>"    Hyundai Motor Co"</f>
        <v xml:space="preserve">    Hyundai Motor Co</v>
      </c>
      <c r="B477" t="str">
        <f>"005380 KS Equity"</f>
        <v>005380 KS Equity</v>
      </c>
      <c r="C477" t="str">
        <f t="shared" si="33"/>
        <v>RR476</v>
      </c>
      <c r="D477" t="str">
        <f t="shared" si="34"/>
        <v>EV_TO_T12M_NET_INCOME</v>
      </c>
      <c r="E477" t="str">
        <f t="shared" si="35"/>
        <v>Dynamic</v>
      </c>
      <c r="F477" t="str">
        <f ca="1">IF(AND(ISNUMBER($F$1139),$B$677=1),$F$1139,HLOOKUP(INDIRECT(ADDRESS(2,COLUMN())),OFFSET($BN$2,0,0,ROW()-1,60),ROW()-1,FALSE))</f>
        <v/>
      </c>
      <c r="G477" t="str">
        <f ca="1">IF(AND(ISNUMBER($G$1139),$B$677=1),$G$1139,HLOOKUP(INDIRECT(ADDRESS(2,COLUMN())),OFFSET($BN$2,0,0,ROW()-1,60),ROW()-1,FALSE))</f>
        <v/>
      </c>
      <c r="H477">
        <f ca="1">IF(AND(ISNUMBER($H$1139),$B$677=1),$H$1139,HLOOKUP(INDIRECT(ADDRESS(2,COLUMN())),OFFSET($BN$2,0,0,ROW()-1,60),ROW()-1,FALSE))</f>
        <v>29.082402250000001</v>
      </c>
      <c r="I477">
        <f ca="1">IF(AND(ISNUMBER($I$1139),$B$677=1),$I$1139,HLOOKUP(INDIRECT(ADDRESS(2,COLUMN())),OFFSET($BN$2,0,0,ROW()-1,60),ROW()-1,FALSE))</f>
        <v>23.710713340000002</v>
      </c>
      <c r="J477">
        <f ca="1">IF(AND(ISNUMBER($J$1139),$B$677=1),$J$1139,HLOOKUP(INDIRECT(ADDRESS(2,COLUMN())),OFFSET($BN$2,0,0,ROW()-1,60),ROW()-1,FALSE))</f>
        <v>23.476814919999999</v>
      </c>
      <c r="K477">
        <f ca="1">IF(AND(ISNUMBER($K$1139),$B$677=1),$K$1139,HLOOKUP(INDIRECT(ADDRESS(2,COLUMN())),OFFSET($BN$2,0,0,ROW()-1,60),ROW()-1,FALSE))</f>
        <v>19.45164965</v>
      </c>
      <c r="L477">
        <f ca="1">IF(AND(ISNUMBER($L$1139),$B$677=1),$L$1139,HLOOKUP(INDIRECT(ADDRESS(2,COLUMN())),OFFSET($BN$2,0,0,ROW()-1,60),ROW()-1,FALSE))</f>
        <v>20.069540060000001</v>
      </c>
      <c r="M477">
        <f ca="1">IF(AND(ISNUMBER($M$1139),$B$677=1),$M$1139,HLOOKUP(INDIRECT(ADDRESS(2,COLUMN())),OFFSET($BN$2,0,0,ROW()-1,60),ROW()-1,FALSE))</f>
        <v>19.10360155</v>
      </c>
      <c r="N477">
        <f ca="1">IF(AND(ISNUMBER($N$1139),$B$677=1),$N$1139,HLOOKUP(INDIRECT(ADDRESS(2,COLUMN())),OFFSET($BN$2,0,0,ROW()-1,60),ROW()-1,FALSE))</f>
        <v>15.500740199999999</v>
      </c>
      <c r="O477">
        <f ca="1">IF(AND(ISNUMBER($O$1139),$B$677=1),$O$1139,HLOOKUP(INDIRECT(ADDRESS(2,COLUMN())),OFFSET($BN$2,0,0,ROW()-1,60),ROW()-1,FALSE))</f>
        <v>14.618920579999999</v>
      </c>
      <c r="P477">
        <f ca="1">IF(AND(ISNUMBER($P$1139),$B$677=1),$P$1139,HLOOKUP(INDIRECT(ADDRESS(2,COLUMN())),OFFSET($BN$2,0,0,ROW()-1,60),ROW()-1,FALSE))</f>
        <v>11.98947677</v>
      </c>
      <c r="Q477">
        <f ca="1">IF(AND(ISNUMBER($Q$1139),$B$677=1),$Q$1139,HLOOKUP(INDIRECT(ADDRESS(2,COLUMN())),OFFSET($BN$2,0,0,ROW()-1,60),ROW()-1,FALSE))</f>
        <v>11.967982109999999</v>
      </c>
      <c r="R477">
        <f ca="1">IF(AND(ISNUMBER($R$1139),$B$677=1),$R$1139,HLOOKUP(INDIRECT(ADDRESS(2,COLUMN())),OFFSET($BN$2,0,0,ROW()-1,60),ROW()-1,FALSE))</f>
        <v>12.317722460000001</v>
      </c>
      <c r="S477">
        <f ca="1">IF(AND(ISNUMBER($S$1139),$B$677=1),$S$1139,HLOOKUP(INDIRECT(ADDRESS(2,COLUMN())),OFFSET($BN$2,0,0,ROW()-1,60),ROW()-1,FALSE))</f>
        <v>11.530866899999999</v>
      </c>
      <c r="T477">
        <f ca="1">IF(AND(ISNUMBER($T$1139),$B$677=1),$T$1139,HLOOKUP(INDIRECT(ADDRESS(2,COLUMN())),OFFSET($BN$2,0,0,ROW()-1,60),ROW()-1,FALSE))</f>
        <v>11.715286649999999</v>
      </c>
      <c r="U477">
        <f ca="1">IF(AND(ISNUMBER($U$1139),$B$677=1),$U$1139,HLOOKUP(INDIRECT(ADDRESS(2,COLUMN())),OFFSET($BN$2,0,0,ROW()-1,60),ROW()-1,FALSE))</f>
        <v>9.5249842789999999</v>
      </c>
      <c r="V477">
        <f ca="1">IF(AND(ISNUMBER($V$1139),$B$677=1),$V$1139,HLOOKUP(INDIRECT(ADDRESS(2,COLUMN())),OFFSET($BN$2,0,0,ROW()-1,60),ROW()-1,FALSE))</f>
        <v>9.3596406420000005</v>
      </c>
      <c r="W477">
        <f ca="1">IF(AND(ISNUMBER($W$1139),$B$677=1),$W$1139,HLOOKUP(INDIRECT(ADDRESS(2,COLUMN())),OFFSET($BN$2,0,0,ROW()-1,60),ROW()-1,FALSE))</f>
        <v>9.0654638320000007</v>
      </c>
      <c r="X477">
        <f ca="1">IF(AND(ISNUMBER($X$1139),$B$677=1),$X$1139,HLOOKUP(INDIRECT(ADDRESS(2,COLUMN())),OFFSET($BN$2,0,0,ROW()-1,60),ROW()-1,FALSE))</f>
        <v>8.694701513</v>
      </c>
      <c r="Y477">
        <f ca="1">IF(AND(ISNUMBER($Y$1139),$B$677=1),$Y$1139,HLOOKUP(INDIRECT(ADDRESS(2,COLUMN())),OFFSET($BN$2,0,0,ROW()-1,60),ROW()-1,FALSE))</f>
        <v>8.8370322350000006</v>
      </c>
      <c r="Z477">
        <f ca="1">IF(AND(ISNUMBER($Z$1139),$B$677=1),$Z$1139,HLOOKUP(INDIRECT(ADDRESS(2,COLUMN())),OFFSET($BN$2,0,0,ROW()-1,60),ROW()-1,FALSE))</f>
        <v>9.3841183309999998</v>
      </c>
      <c r="AA477">
        <f ca="1">IF(AND(ISNUMBER($AA$1139),$B$677=1),$AA$1139,HLOOKUP(INDIRECT(ADDRESS(2,COLUMN())),OFFSET($BN$2,0,0,ROW()-1,60),ROW()-1,FALSE))</f>
        <v>9.1062668000000002</v>
      </c>
      <c r="AB477">
        <f ca="1">IF(AND(ISNUMBER($AB$1139),$B$677=1),$AB$1139,HLOOKUP(INDIRECT(ADDRESS(2,COLUMN())),OFFSET($BN$2,0,0,ROW()-1,60),ROW()-1,FALSE))</f>
        <v>9.6632207080000008</v>
      </c>
      <c r="AC477">
        <f ca="1">IF(AND(ISNUMBER($AC$1139),$B$677=1),$AC$1139,HLOOKUP(INDIRECT(ADDRESS(2,COLUMN())),OFFSET($BN$2,0,0,ROW()-1,60),ROW()-1,FALSE))</f>
        <v>9.1519405070000008</v>
      </c>
      <c r="AD477">
        <f ca="1">IF(AND(ISNUMBER($AD$1139),$B$677=1),$AD$1139,HLOOKUP(INDIRECT(ADDRESS(2,COLUMN())),OFFSET($BN$2,0,0,ROW()-1,60),ROW()-1,FALSE))</f>
        <v>9.2387720610000006</v>
      </c>
      <c r="AE477">
        <f ca="1">IF(AND(ISNUMBER($AE$1139),$B$677=1),$AE$1139,HLOOKUP(INDIRECT(ADDRESS(2,COLUMN())),OFFSET($BN$2,0,0,ROW()-1,60),ROW()-1,FALSE))</f>
        <v>8.687852243</v>
      </c>
      <c r="AF477">
        <f ca="1">IF(AND(ISNUMBER($AF$1139),$B$677=1),$AF$1139,HLOOKUP(INDIRECT(ADDRESS(2,COLUMN())),OFFSET($BN$2,0,0,ROW()-1,60),ROW()-1,FALSE))</f>
        <v>9.2756477820000001</v>
      </c>
      <c r="AG477">
        <f ca="1">IF(AND(ISNUMBER($AG$1139),$B$677=1),$AG$1139,HLOOKUP(INDIRECT(ADDRESS(2,COLUMN())),OFFSET($BN$2,0,0,ROW()-1,60),ROW()-1,FALSE))</f>
        <v>9.0693959730000007</v>
      </c>
      <c r="AH477">
        <f ca="1">IF(AND(ISNUMBER($AH$1139),$B$677=1),$AH$1139,HLOOKUP(INDIRECT(ADDRESS(2,COLUMN())),OFFSET($BN$2,0,0,ROW()-1,60),ROW()-1,FALSE))</f>
        <v>9.4923857589999994</v>
      </c>
      <c r="AI477">
        <f ca="1">IF(AND(ISNUMBER($AI$1139),$B$677=1),$AI$1139,HLOOKUP(INDIRECT(ADDRESS(2,COLUMN())),OFFSET($BN$2,0,0,ROW()-1,60),ROW()-1,FALSE))</f>
        <v>9.7085648120000005</v>
      </c>
      <c r="AJ477">
        <f ca="1">IF(AND(ISNUMBER($AJ$1139),$B$677=1),$AJ$1139,HLOOKUP(INDIRECT(ADDRESS(2,COLUMN())),OFFSET($BN$2,0,0,ROW()-1,60),ROW()-1,FALSE))</f>
        <v>10.32288883</v>
      </c>
      <c r="AK477">
        <f ca="1">IF(AND(ISNUMBER($AK$1139),$B$677=1),$AK$1139,HLOOKUP(INDIRECT(ADDRESS(2,COLUMN())),OFFSET($BN$2,0,0,ROW()-1,60),ROW()-1,FALSE))</f>
        <v>11.3601274</v>
      </c>
      <c r="AL477">
        <f ca="1">IF(AND(ISNUMBER($AL$1139),$B$677=1),$AL$1139,HLOOKUP(INDIRECT(ADDRESS(2,COLUMN())),OFFSET($BN$2,0,0,ROW()-1,60),ROW()-1,FALSE))</f>
        <v>10.89963762</v>
      </c>
      <c r="AM477">
        <f ca="1">IF(AND(ISNUMBER($AM$1139),$B$677=1),$AM$1139,HLOOKUP(INDIRECT(ADDRESS(2,COLUMN())),OFFSET($BN$2,0,0,ROW()-1,60),ROW()-1,FALSE))</f>
        <v>11.26238077</v>
      </c>
      <c r="AN477" t="str">
        <f ca="1">IF(AND(ISNUMBER($AN$1139),$B$677=1),$AN$1139,HLOOKUP(INDIRECT(ADDRESS(2,COLUMN())),OFFSET($BN$2,0,0,ROW()-1,60),ROW()-1,FALSE))</f>
        <v/>
      </c>
      <c r="AO477" t="str">
        <f ca="1">IF(AND(ISNUMBER($AO$1139),$B$677=1),$AO$1139,HLOOKUP(INDIRECT(ADDRESS(2,COLUMN())),OFFSET($BN$2,0,0,ROW()-1,60),ROW()-1,FALSE))</f>
        <v/>
      </c>
      <c r="AP477" t="str">
        <f ca="1">IF(AND(ISNUMBER($AP$1139),$B$677=1),$AP$1139,HLOOKUP(INDIRECT(ADDRESS(2,COLUMN())),OFFSET($BN$2,0,0,ROW()-1,60),ROW()-1,FALSE))</f>
        <v/>
      </c>
      <c r="AQ477" t="str">
        <f ca="1">IF(AND(ISNUMBER($AQ$1139),$B$677=1),$AQ$1139,HLOOKUP(INDIRECT(ADDRESS(2,COLUMN())),OFFSET($BN$2,0,0,ROW()-1,60),ROW()-1,FALSE))</f>
        <v/>
      </c>
      <c r="AR477" t="str">
        <f ca="1">IF(AND(ISNUMBER($AR$1139),$B$677=1),$AR$1139,HLOOKUP(INDIRECT(ADDRESS(2,COLUMN())),OFFSET($BN$2,0,0,ROW()-1,60),ROW()-1,FALSE))</f>
        <v/>
      </c>
      <c r="AS477" t="str">
        <f ca="1">IF(AND(ISNUMBER($AS$1139),$B$677=1),$AS$1139,HLOOKUP(INDIRECT(ADDRESS(2,COLUMN())),OFFSET($BN$2,0,0,ROW()-1,60),ROW()-1,FALSE))</f>
        <v/>
      </c>
      <c r="AT477" t="str">
        <f ca="1">IF(AND(ISNUMBER($AT$1139),$B$677=1),$AT$1139,HLOOKUP(INDIRECT(ADDRESS(2,COLUMN())),OFFSET($BN$2,0,0,ROW()-1,60),ROW()-1,FALSE))</f>
        <v/>
      </c>
      <c r="AU477" t="str">
        <f ca="1">IF(AND(ISNUMBER($AU$1139),$B$677=1),$AU$1139,HLOOKUP(INDIRECT(ADDRESS(2,COLUMN())),OFFSET($BN$2,0,0,ROW()-1,60),ROW()-1,FALSE))</f>
        <v/>
      </c>
      <c r="AV477" t="str">
        <f ca="1">IF(AND(ISNUMBER($AV$1139),$B$677=1),$AV$1139,HLOOKUP(INDIRECT(ADDRESS(2,COLUMN())),OFFSET($BN$2,0,0,ROW()-1,60),ROW()-1,FALSE))</f>
        <v/>
      </c>
      <c r="AW477" t="str">
        <f ca="1">IF(AND(ISNUMBER($AW$1139),$B$677=1),$AW$1139,HLOOKUP(INDIRECT(ADDRESS(2,COLUMN())),OFFSET($BN$2,0,0,ROW()-1,60),ROW()-1,FALSE))</f>
        <v/>
      </c>
      <c r="AX477" t="str">
        <f ca="1">IF(AND(ISNUMBER($AX$1139),$B$677=1),$AX$1139,HLOOKUP(INDIRECT(ADDRESS(2,COLUMN())),OFFSET($BN$2,0,0,ROW()-1,60),ROW()-1,FALSE))</f>
        <v/>
      </c>
      <c r="AY477" t="str">
        <f ca="1">IF(AND(ISNUMBER($AY$1139),$B$677=1),$AY$1139,HLOOKUP(INDIRECT(ADDRESS(2,COLUMN())),OFFSET($BN$2,0,0,ROW()-1,60),ROW()-1,FALSE))</f>
        <v/>
      </c>
      <c r="AZ477" t="str">
        <f ca="1">IF(AND(ISNUMBER($AZ$1139),$B$677=1),$AZ$1139,HLOOKUP(INDIRECT(ADDRESS(2,COLUMN())),OFFSET($BN$2,0,0,ROW()-1,60),ROW()-1,FALSE))</f>
        <v/>
      </c>
      <c r="BA477" t="str">
        <f ca="1">IF(AND(ISNUMBER($BA$1139),$B$677=1),$BA$1139,HLOOKUP(INDIRECT(ADDRESS(2,COLUMN())),OFFSET($BN$2,0,0,ROW()-1,60),ROW()-1,FALSE))</f>
        <v/>
      </c>
      <c r="BB477" t="str">
        <f ca="1">IF(AND(ISNUMBER($BB$1139),$B$677=1),$BB$1139,HLOOKUP(INDIRECT(ADDRESS(2,COLUMN())),OFFSET($BN$2,0,0,ROW()-1,60),ROW()-1,FALSE))</f>
        <v/>
      </c>
      <c r="BC477" t="str">
        <f ca="1">IF(AND(ISNUMBER($BC$1139),$B$677=1),$BC$1139,HLOOKUP(INDIRECT(ADDRESS(2,COLUMN())),OFFSET($BN$2,0,0,ROW()-1,60),ROW()-1,FALSE))</f>
        <v/>
      </c>
      <c r="BD477" t="str">
        <f ca="1">IF(AND(ISNUMBER($BD$1139),$B$677=1),$BD$1139,HLOOKUP(INDIRECT(ADDRESS(2,COLUMN())),OFFSET($BN$2,0,0,ROW()-1,60),ROW()-1,FALSE))</f>
        <v/>
      </c>
      <c r="BE477" t="str">
        <f ca="1">IF(AND(ISNUMBER($BE$1139),$B$677=1),$BE$1139,HLOOKUP(INDIRECT(ADDRESS(2,COLUMN())),OFFSET($BN$2,0,0,ROW()-1,60),ROW()-1,FALSE))</f>
        <v/>
      </c>
      <c r="BF477" t="str">
        <f ca="1">IF(AND(ISNUMBER($BF$1139),$B$677=1),$BF$1139,HLOOKUP(INDIRECT(ADDRESS(2,COLUMN())),OFFSET($BN$2,0,0,ROW()-1,60),ROW()-1,FALSE))</f>
        <v/>
      </c>
      <c r="BG477" t="str">
        <f ca="1">IF(AND(ISNUMBER($BG$1139),$B$677=1),$BG$1139,HLOOKUP(INDIRECT(ADDRESS(2,COLUMN())),OFFSET($BN$2,0,0,ROW()-1,60),ROW()-1,FALSE))</f>
        <v/>
      </c>
      <c r="BH477" t="str">
        <f ca="1">IF(AND(ISNUMBER($BH$1139),$B$677=1),$BH$1139,HLOOKUP(INDIRECT(ADDRESS(2,COLUMN())),OFFSET($BN$2,0,0,ROW()-1,60),ROW()-1,FALSE))</f>
        <v/>
      </c>
      <c r="BI477" t="str">
        <f ca="1">IF(AND(ISNUMBER($BI$1139),$B$677=1),$BI$1139,HLOOKUP(INDIRECT(ADDRESS(2,COLUMN())),OFFSET($BN$2,0,0,ROW()-1,60),ROW()-1,FALSE))</f>
        <v/>
      </c>
      <c r="BJ477" t="str">
        <f ca="1">IF(AND(ISNUMBER($BJ$1139),$B$677=1),$BJ$1139,HLOOKUP(INDIRECT(ADDRESS(2,COLUMN())),OFFSET($BN$2,0,0,ROW()-1,60),ROW()-1,FALSE))</f>
        <v/>
      </c>
      <c r="BK477" t="str">
        <f ca="1">IF(AND(ISNUMBER($BK$1139),$B$677=1),$BK$1139,HLOOKUP(INDIRECT(ADDRESS(2,COLUMN())),OFFSET($BN$2,0,0,ROW()-1,60),ROW()-1,FALSE))</f>
        <v/>
      </c>
      <c r="BL477" t="str">
        <f ca="1">IF(AND(ISNUMBER($BL$1139),$B$677=1),$BL$1139,HLOOKUP(INDIRECT(ADDRESS(2,COLUMN())),OFFSET($BN$2,0,0,ROW()-1,60),ROW()-1,FALSE))</f>
        <v/>
      </c>
      <c r="BM477" t="str">
        <f ca="1">IF(AND(ISNUMBER($BM$1139),$B$677=1),$BM$1139,HLOOKUP(INDIRECT(ADDRESS(2,COLUMN())),OFFSET($BN$2,0,0,ROW()-1,60),ROW()-1,FALSE))</f>
        <v/>
      </c>
      <c r="BN477" t="str">
        <f>""</f>
        <v/>
      </c>
      <c r="BO477" t="str">
        <f>""</f>
        <v/>
      </c>
      <c r="BP477">
        <f>29.08240225</f>
        <v>29.082402250000001</v>
      </c>
      <c r="BQ477">
        <f>23.71071334</f>
        <v>23.710713340000002</v>
      </c>
      <c r="BR477">
        <f>23.47681492</f>
        <v>23.476814919999999</v>
      </c>
      <c r="BS477">
        <f>19.45164965</f>
        <v>19.45164965</v>
      </c>
      <c r="BT477">
        <f>20.06954006</f>
        <v>20.069540060000001</v>
      </c>
      <c r="BU477">
        <f>19.10360155</f>
        <v>19.10360155</v>
      </c>
      <c r="BV477">
        <f>15.5007402</f>
        <v>15.500740199999999</v>
      </c>
      <c r="BW477">
        <f>14.61892058</f>
        <v>14.618920579999999</v>
      </c>
      <c r="BX477">
        <f>11.98947677</f>
        <v>11.98947677</v>
      </c>
      <c r="BY477">
        <f>11.96798211</f>
        <v>11.967982109999999</v>
      </c>
      <c r="BZ477">
        <f>12.31772246</f>
        <v>12.317722460000001</v>
      </c>
      <c r="CA477">
        <f>11.5308669</f>
        <v>11.530866899999999</v>
      </c>
      <c r="CB477">
        <f>11.71528665</f>
        <v>11.715286649999999</v>
      </c>
      <c r="CC477">
        <f>9.524984279</f>
        <v>9.5249842789999999</v>
      </c>
      <c r="CD477">
        <f>9.359640642</f>
        <v>9.3596406420000005</v>
      </c>
      <c r="CE477">
        <f>9.065463832</f>
        <v>9.0654638320000007</v>
      </c>
      <c r="CF477">
        <f>8.694701513</f>
        <v>8.694701513</v>
      </c>
      <c r="CG477">
        <f>8.837032235</f>
        <v>8.8370322350000006</v>
      </c>
      <c r="CH477">
        <f>9.384118331</f>
        <v>9.3841183309999998</v>
      </c>
      <c r="CI477">
        <f>9.1062668</f>
        <v>9.1062668000000002</v>
      </c>
      <c r="CJ477">
        <f>9.663220708</f>
        <v>9.6632207080000008</v>
      </c>
      <c r="CK477">
        <f>9.151940507</f>
        <v>9.1519405070000008</v>
      </c>
      <c r="CL477">
        <f>9.238772061</f>
        <v>9.2387720610000006</v>
      </c>
      <c r="CM477">
        <f>8.687852243</f>
        <v>8.687852243</v>
      </c>
      <c r="CN477">
        <f>9.275647782</f>
        <v>9.2756477820000001</v>
      </c>
      <c r="CO477">
        <f>9.069395973</f>
        <v>9.0693959730000007</v>
      </c>
      <c r="CP477">
        <f>9.492385759</f>
        <v>9.4923857589999994</v>
      </c>
      <c r="CQ477">
        <f>9.708564812</f>
        <v>9.7085648120000005</v>
      </c>
      <c r="CR477">
        <f>10.32288883</f>
        <v>10.32288883</v>
      </c>
      <c r="CS477">
        <f>11.3601274</f>
        <v>11.3601274</v>
      </c>
      <c r="CT477">
        <f>10.89963762</f>
        <v>10.89963762</v>
      </c>
      <c r="CU477">
        <f>11.26238077</f>
        <v>11.26238077</v>
      </c>
      <c r="CV477" t="str">
        <f>""</f>
        <v/>
      </c>
      <c r="CW477" t="str">
        <f>""</f>
        <v/>
      </c>
      <c r="CX477" t="str">
        <f>""</f>
        <v/>
      </c>
      <c r="CY477" t="str">
        <f>""</f>
        <v/>
      </c>
      <c r="CZ477" t="str">
        <f>""</f>
        <v/>
      </c>
      <c r="DA477" t="str">
        <f>""</f>
        <v/>
      </c>
      <c r="DB477" t="str">
        <f>""</f>
        <v/>
      </c>
      <c r="DC477" t="str">
        <f>""</f>
        <v/>
      </c>
      <c r="DD477" t="str">
        <f>""</f>
        <v/>
      </c>
      <c r="DE477" t="str">
        <f>""</f>
        <v/>
      </c>
      <c r="DF477" t="str">
        <f>""</f>
        <v/>
      </c>
      <c r="DG477" t="str">
        <f>""</f>
        <v/>
      </c>
      <c r="DH477" t="str">
        <f>""</f>
        <v/>
      </c>
      <c r="DI477" t="str">
        <f>""</f>
        <v/>
      </c>
      <c r="DJ477" t="str">
        <f>""</f>
        <v/>
      </c>
      <c r="DK477" t="str">
        <f>""</f>
        <v/>
      </c>
      <c r="DL477" t="str">
        <f>""</f>
        <v/>
      </c>
      <c r="DM477" t="str">
        <f>""</f>
        <v/>
      </c>
      <c r="DN477" t="str">
        <f>""</f>
        <v/>
      </c>
      <c r="DO477" t="str">
        <f>""</f>
        <v/>
      </c>
      <c r="DP477" t="str">
        <f>""</f>
        <v/>
      </c>
      <c r="DQ477" t="str">
        <f>""</f>
        <v/>
      </c>
      <c r="DR477" t="str">
        <f>""</f>
        <v/>
      </c>
      <c r="DS477" t="str">
        <f>""</f>
        <v/>
      </c>
      <c r="DT477" t="str">
        <f>""</f>
        <v/>
      </c>
      <c r="DU477" t="str">
        <f>""</f>
        <v/>
      </c>
    </row>
    <row r="478" spans="1:125" x14ac:dyDescent="0.25">
      <c r="A478" t="str">
        <f>"    Kia Motors Corp"</f>
        <v xml:space="preserve">    Kia Motors Corp</v>
      </c>
      <c r="B478" t="str">
        <f>"000270 KS Equity"</f>
        <v>000270 KS Equity</v>
      </c>
      <c r="C478" t="str">
        <f t="shared" si="33"/>
        <v>RR476</v>
      </c>
      <c r="D478" t="str">
        <f t="shared" si="34"/>
        <v>EV_TO_T12M_NET_INCOME</v>
      </c>
      <c r="E478" t="str">
        <f t="shared" si="35"/>
        <v>Dynamic</v>
      </c>
      <c r="F478" t="str">
        <f ca="1">IF(AND(ISNUMBER($F$1140),$B$677=1),$F$1140,HLOOKUP(INDIRECT(ADDRESS(2,COLUMN())),OFFSET($BN$2,0,0,ROW()-1,60),ROW()-1,FALSE))</f>
        <v/>
      </c>
      <c r="G478" t="str">
        <f ca="1">IF(AND(ISNUMBER($G$1140),$B$677=1),$G$1140,HLOOKUP(INDIRECT(ADDRESS(2,COLUMN())),OFFSET($BN$2,0,0,ROW()-1,60),ROW()-1,FALSE))</f>
        <v/>
      </c>
      <c r="H478">
        <f ca="1">IF(AND(ISNUMBER($H$1140),$B$677=1),$H$1140,HLOOKUP(INDIRECT(ADDRESS(2,COLUMN())),OFFSET($BN$2,0,0,ROW()-1,60),ROW()-1,FALSE))</f>
        <v>9.063876896</v>
      </c>
      <c r="I478">
        <f ca="1">IF(AND(ISNUMBER($I$1140),$B$677=1),$I$1140,HLOOKUP(INDIRECT(ADDRESS(2,COLUMN())),OFFSET($BN$2,0,0,ROW()-1,60),ROW()-1,FALSE))</f>
        <v>16.588107520000001</v>
      </c>
      <c r="J478">
        <f ca="1">IF(AND(ISNUMBER($J$1140),$B$677=1),$J$1140,HLOOKUP(INDIRECT(ADDRESS(2,COLUMN())),OFFSET($BN$2,0,0,ROW()-1,60),ROW()-1,FALSE))</f>
        <v>16.991096970000001</v>
      </c>
      <c r="K478">
        <f ca="1">IF(AND(ISNUMBER($K$1140),$B$677=1),$K$1140,HLOOKUP(INDIRECT(ADDRESS(2,COLUMN())),OFFSET($BN$2,0,0,ROW()-1,60),ROW()-1,FALSE))</f>
        <v>12.607637779999999</v>
      </c>
      <c r="L478">
        <f ca="1">IF(AND(ISNUMBER($L$1140),$B$677=1),$L$1140,HLOOKUP(INDIRECT(ADDRESS(2,COLUMN())),OFFSET($BN$2,0,0,ROW()-1,60),ROW()-1,FALSE))</f>
        <v>8.6618240310000001</v>
      </c>
      <c r="M478">
        <f ca="1">IF(AND(ISNUMBER($M$1140),$B$677=1),$M$1140,HLOOKUP(INDIRECT(ADDRESS(2,COLUMN())),OFFSET($BN$2,0,0,ROW()-1,60),ROW()-1,FALSE))</f>
        <v>6.5052171300000001</v>
      </c>
      <c r="N478">
        <f ca="1">IF(AND(ISNUMBER($N$1140),$B$677=1),$N$1140,HLOOKUP(INDIRECT(ADDRESS(2,COLUMN())),OFFSET($BN$2,0,0,ROW()-1,60),ROW()-1,FALSE))</f>
        <v>5.3293830450000002</v>
      </c>
      <c r="O478">
        <f ca="1">IF(AND(ISNUMBER($O$1140),$B$677=1),$O$1140,HLOOKUP(INDIRECT(ADDRESS(2,COLUMN())),OFFSET($BN$2,0,0,ROW()-1,60),ROW()-1,FALSE))</f>
        <v>5.4005624579999996</v>
      </c>
      <c r="P478">
        <f ca="1">IF(AND(ISNUMBER($P$1140),$B$677=1),$P$1140,HLOOKUP(INDIRECT(ADDRESS(2,COLUMN())),OFFSET($BN$2,0,0,ROW()-1,60),ROW()-1,FALSE))</f>
        <v>4.9219461149999999</v>
      </c>
      <c r="Q478">
        <f ca="1">IF(AND(ISNUMBER($Q$1140),$B$677=1),$Q$1140,HLOOKUP(INDIRECT(ADDRESS(2,COLUMN())),OFFSET($BN$2,0,0,ROW()-1,60),ROW()-1,FALSE))</f>
        <v>5.5312408790000003</v>
      </c>
      <c r="R478">
        <f ca="1">IF(AND(ISNUMBER($R$1140),$B$677=1),$R$1140,HLOOKUP(INDIRECT(ADDRESS(2,COLUMN())),OFFSET($BN$2,0,0,ROW()-1,60),ROW()-1,FALSE))</f>
        <v>7.2720644400000003</v>
      </c>
      <c r="S478">
        <f ca="1">IF(AND(ISNUMBER($S$1140),$B$677=1),$S$1140,HLOOKUP(INDIRECT(ADDRESS(2,COLUMN())),OFFSET($BN$2,0,0,ROW()-1,60),ROW()-1,FALSE))</f>
        <v>7.461823764</v>
      </c>
      <c r="T478">
        <f ca="1">IF(AND(ISNUMBER($T$1140),$B$677=1),$T$1140,HLOOKUP(INDIRECT(ADDRESS(2,COLUMN())),OFFSET($BN$2,0,0,ROW()-1,60),ROW()-1,FALSE))</f>
        <v>7.0606310240000001</v>
      </c>
      <c r="U478">
        <f ca="1">IF(AND(ISNUMBER($U$1140),$B$677=1),$U$1140,HLOOKUP(INDIRECT(ADDRESS(2,COLUMN())),OFFSET($BN$2,0,0,ROW()-1,60),ROW()-1,FALSE))</f>
        <v>5.6904145010000002</v>
      </c>
      <c r="V478">
        <f ca="1">IF(AND(ISNUMBER($V$1140),$B$677=1),$V$1140,HLOOKUP(INDIRECT(ADDRESS(2,COLUMN())),OFFSET($BN$2,0,0,ROW()-1,60),ROW()-1,FALSE))</f>
        <v>5.1532383020000001</v>
      </c>
      <c r="W478">
        <f ca="1">IF(AND(ISNUMBER($W$1140),$B$677=1),$W$1140,HLOOKUP(INDIRECT(ADDRESS(2,COLUMN())),OFFSET($BN$2,0,0,ROW()-1,60),ROW()-1,FALSE))</f>
        <v>5.7865947650000003</v>
      </c>
      <c r="X478">
        <f ca="1">IF(AND(ISNUMBER($X$1140),$B$677=1),$X$1140,HLOOKUP(INDIRECT(ADDRESS(2,COLUMN())),OFFSET($BN$2,0,0,ROW()-1,60),ROW()-1,FALSE))</f>
        <v>4.9576425689999999</v>
      </c>
      <c r="Y478">
        <f ca="1">IF(AND(ISNUMBER($Y$1140),$B$677=1),$Y$1140,HLOOKUP(INDIRECT(ADDRESS(2,COLUMN())),OFFSET($BN$2,0,0,ROW()-1,60),ROW()-1,FALSE))</f>
        <v>5.1071399739999999</v>
      </c>
      <c r="Z478">
        <f ca="1">IF(AND(ISNUMBER($Z$1140),$B$677=1),$Z$1140,HLOOKUP(INDIRECT(ADDRESS(2,COLUMN())),OFFSET($BN$2,0,0,ROW()-1,60),ROW()-1,FALSE))</f>
        <v>5.0647593469999999</v>
      </c>
      <c r="AA478">
        <f ca="1">IF(AND(ISNUMBER($AA$1140),$B$677=1),$AA$1140,HLOOKUP(INDIRECT(ADDRESS(2,COLUMN())),OFFSET($BN$2,0,0,ROW()-1,60),ROW()-1,FALSE))</f>
        <v>4.8380372060000001</v>
      </c>
      <c r="AB478">
        <f ca="1">IF(AND(ISNUMBER($AB$1140),$B$677=1),$AB$1140,HLOOKUP(INDIRECT(ADDRESS(2,COLUMN())),OFFSET($BN$2,0,0,ROW()-1,60),ROW()-1,FALSE))</f>
        <v>6.0954804349999998</v>
      </c>
      <c r="AC478">
        <f ca="1">IF(AND(ISNUMBER($AC$1140),$B$677=1),$AC$1140,HLOOKUP(INDIRECT(ADDRESS(2,COLUMN())),OFFSET($BN$2,0,0,ROW()-1,60),ROW()-1,FALSE))</f>
        <v>6.0938216450000002</v>
      </c>
      <c r="AD478">
        <f ca="1">IF(AND(ISNUMBER($AD$1140),$B$677=1),$AD$1140,HLOOKUP(INDIRECT(ADDRESS(2,COLUMN())),OFFSET($BN$2,0,0,ROW()-1,60),ROW()-1,FALSE))</f>
        <v>5.9177375860000003</v>
      </c>
      <c r="AE478">
        <f ca="1">IF(AND(ISNUMBER($AE$1140),$B$677=1),$AE$1140,HLOOKUP(INDIRECT(ADDRESS(2,COLUMN())),OFFSET($BN$2,0,0,ROW()-1,60),ROW()-1,FALSE))</f>
        <v>5.3981325140000003</v>
      </c>
      <c r="AF478">
        <f ca="1">IF(AND(ISNUMBER($AF$1140),$B$677=1),$AF$1140,HLOOKUP(INDIRECT(ADDRESS(2,COLUMN())),OFFSET($BN$2,0,0,ROW()-1,60),ROW()-1,FALSE))</f>
        <v>6.4924618829999998</v>
      </c>
      <c r="AG478">
        <f ca="1">IF(AND(ISNUMBER($AG$1140),$B$677=1),$AG$1140,HLOOKUP(INDIRECT(ADDRESS(2,COLUMN())),OFFSET($BN$2,0,0,ROW()-1,60),ROW()-1,FALSE))</f>
        <v>7.7276244920000003</v>
      </c>
      <c r="AH478">
        <f ca="1">IF(AND(ISNUMBER($AH$1140),$B$677=1),$AH$1140,HLOOKUP(INDIRECT(ADDRESS(2,COLUMN())),OFFSET($BN$2,0,0,ROW()-1,60),ROW()-1,FALSE))</f>
        <v>7.9760366899999999</v>
      </c>
      <c r="AI478">
        <f ca="1">IF(AND(ISNUMBER($AI$1140),$B$677=1),$AI$1140,HLOOKUP(INDIRECT(ADDRESS(2,COLUMN())),OFFSET($BN$2,0,0,ROW()-1,60),ROW()-1,FALSE))</f>
        <v>8.0065567479999995</v>
      </c>
      <c r="AJ478">
        <f ca="1">IF(AND(ISNUMBER($AJ$1140),$B$677=1),$AJ$1140,HLOOKUP(INDIRECT(ADDRESS(2,COLUMN())),OFFSET($BN$2,0,0,ROW()-1,60),ROW()-1,FALSE))</f>
        <v>8.3603125009999992</v>
      </c>
      <c r="AK478">
        <f ca="1">IF(AND(ISNUMBER($AK$1140),$B$677=1),$AK$1140,HLOOKUP(INDIRECT(ADDRESS(2,COLUMN())),OFFSET($BN$2,0,0,ROW()-1,60),ROW()-1,FALSE))</f>
        <v>8.3457687200000006</v>
      </c>
      <c r="AL478">
        <f ca="1">IF(AND(ISNUMBER($AL$1140),$B$677=1),$AL$1140,HLOOKUP(INDIRECT(ADDRESS(2,COLUMN())),OFFSET($BN$2,0,0,ROW()-1,60),ROW()-1,FALSE))</f>
        <v>9.3176335619999993</v>
      </c>
      <c r="AM478" t="str">
        <f ca="1">IF(AND(ISNUMBER($AM$1140),$B$677=1),$AM$1140,HLOOKUP(INDIRECT(ADDRESS(2,COLUMN())),OFFSET($BN$2,0,0,ROW()-1,60),ROW()-1,FALSE))</f>
        <v/>
      </c>
      <c r="AN478" t="str">
        <f ca="1">IF(AND(ISNUMBER($AN$1140),$B$677=1),$AN$1140,HLOOKUP(INDIRECT(ADDRESS(2,COLUMN())),OFFSET($BN$2,0,0,ROW()-1,60),ROW()-1,FALSE))</f>
        <v/>
      </c>
      <c r="AO478" t="str">
        <f ca="1">IF(AND(ISNUMBER($AO$1140),$B$677=1),$AO$1140,HLOOKUP(INDIRECT(ADDRESS(2,COLUMN())),OFFSET($BN$2,0,0,ROW()-1,60),ROW()-1,FALSE))</f>
        <v/>
      </c>
      <c r="AP478" t="str">
        <f ca="1">IF(AND(ISNUMBER($AP$1140),$B$677=1),$AP$1140,HLOOKUP(INDIRECT(ADDRESS(2,COLUMN())),OFFSET($BN$2,0,0,ROW()-1,60),ROW()-1,FALSE))</f>
        <v/>
      </c>
      <c r="AQ478" t="str">
        <f ca="1">IF(AND(ISNUMBER($AQ$1140),$B$677=1),$AQ$1140,HLOOKUP(INDIRECT(ADDRESS(2,COLUMN())),OFFSET($BN$2,0,0,ROW()-1,60),ROW()-1,FALSE))</f>
        <v/>
      </c>
      <c r="AR478" t="str">
        <f ca="1">IF(AND(ISNUMBER($AR$1140),$B$677=1),$AR$1140,HLOOKUP(INDIRECT(ADDRESS(2,COLUMN())),OFFSET($BN$2,0,0,ROW()-1,60),ROW()-1,FALSE))</f>
        <v/>
      </c>
      <c r="AS478" t="str">
        <f ca="1">IF(AND(ISNUMBER($AS$1140),$B$677=1),$AS$1140,HLOOKUP(INDIRECT(ADDRESS(2,COLUMN())),OFFSET($BN$2,0,0,ROW()-1,60),ROW()-1,FALSE))</f>
        <v/>
      </c>
      <c r="AT478" t="str">
        <f ca="1">IF(AND(ISNUMBER($AT$1140),$B$677=1),$AT$1140,HLOOKUP(INDIRECT(ADDRESS(2,COLUMN())),OFFSET($BN$2,0,0,ROW()-1,60),ROW()-1,FALSE))</f>
        <v/>
      </c>
      <c r="AU478" t="str">
        <f ca="1">IF(AND(ISNUMBER($AU$1140),$B$677=1),$AU$1140,HLOOKUP(INDIRECT(ADDRESS(2,COLUMN())),OFFSET($BN$2,0,0,ROW()-1,60),ROW()-1,FALSE))</f>
        <v/>
      </c>
      <c r="AV478" t="str">
        <f ca="1">IF(AND(ISNUMBER($AV$1140),$B$677=1),$AV$1140,HLOOKUP(INDIRECT(ADDRESS(2,COLUMN())),OFFSET($BN$2,0,0,ROW()-1,60),ROW()-1,FALSE))</f>
        <v/>
      </c>
      <c r="AW478" t="str">
        <f ca="1">IF(AND(ISNUMBER($AW$1140),$B$677=1),$AW$1140,HLOOKUP(INDIRECT(ADDRESS(2,COLUMN())),OFFSET($BN$2,0,0,ROW()-1,60),ROW()-1,FALSE))</f>
        <v/>
      </c>
      <c r="AX478" t="str">
        <f ca="1">IF(AND(ISNUMBER($AX$1140),$B$677=1),$AX$1140,HLOOKUP(INDIRECT(ADDRESS(2,COLUMN())),OFFSET($BN$2,0,0,ROW()-1,60),ROW()-1,FALSE))</f>
        <v/>
      </c>
      <c r="AY478" t="str">
        <f ca="1">IF(AND(ISNUMBER($AY$1140),$B$677=1),$AY$1140,HLOOKUP(INDIRECT(ADDRESS(2,COLUMN())),OFFSET($BN$2,0,0,ROW()-1,60),ROW()-1,FALSE))</f>
        <v/>
      </c>
      <c r="AZ478" t="str">
        <f ca="1">IF(AND(ISNUMBER($AZ$1140),$B$677=1),$AZ$1140,HLOOKUP(INDIRECT(ADDRESS(2,COLUMN())),OFFSET($BN$2,0,0,ROW()-1,60),ROW()-1,FALSE))</f>
        <v/>
      </c>
      <c r="BA478" t="str">
        <f ca="1">IF(AND(ISNUMBER($BA$1140),$B$677=1),$BA$1140,HLOOKUP(INDIRECT(ADDRESS(2,COLUMN())),OFFSET($BN$2,0,0,ROW()-1,60),ROW()-1,FALSE))</f>
        <v/>
      </c>
      <c r="BB478" t="str">
        <f ca="1">IF(AND(ISNUMBER($BB$1140),$B$677=1),$BB$1140,HLOOKUP(INDIRECT(ADDRESS(2,COLUMN())),OFFSET($BN$2,0,0,ROW()-1,60),ROW()-1,FALSE))</f>
        <v/>
      </c>
      <c r="BC478" t="str">
        <f ca="1">IF(AND(ISNUMBER($BC$1140),$B$677=1),$BC$1140,HLOOKUP(INDIRECT(ADDRESS(2,COLUMN())),OFFSET($BN$2,0,0,ROW()-1,60),ROW()-1,FALSE))</f>
        <v/>
      </c>
      <c r="BD478" t="str">
        <f ca="1">IF(AND(ISNUMBER($BD$1140),$B$677=1),$BD$1140,HLOOKUP(INDIRECT(ADDRESS(2,COLUMN())),OFFSET($BN$2,0,0,ROW()-1,60),ROW()-1,FALSE))</f>
        <v/>
      </c>
      <c r="BE478" t="str">
        <f ca="1">IF(AND(ISNUMBER($BE$1140),$B$677=1),$BE$1140,HLOOKUP(INDIRECT(ADDRESS(2,COLUMN())),OFFSET($BN$2,0,0,ROW()-1,60),ROW()-1,FALSE))</f>
        <v/>
      </c>
      <c r="BF478" t="str">
        <f ca="1">IF(AND(ISNUMBER($BF$1140),$B$677=1),$BF$1140,HLOOKUP(INDIRECT(ADDRESS(2,COLUMN())),OFFSET($BN$2,0,0,ROW()-1,60),ROW()-1,FALSE))</f>
        <v/>
      </c>
      <c r="BG478" t="str">
        <f ca="1">IF(AND(ISNUMBER($BG$1140),$B$677=1),$BG$1140,HLOOKUP(INDIRECT(ADDRESS(2,COLUMN())),OFFSET($BN$2,0,0,ROW()-1,60),ROW()-1,FALSE))</f>
        <v/>
      </c>
      <c r="BH478" t="str">
        <f ca="1">IF(AND(ISNUMBER($BH$1140),$B$677=1),$BH$1140,HLOOKUP(INDIRECT(ADDRESS(2,COLUMN())),OFFSET($BN$2,0,0,ROW()-1,60),ROW()-1,FALSE))</f>
        <v/>
      </c>
      <c r="BI478" t="str">
        <f ca="1">IF(AND(ISNUMBER($BI$1140),$B$677=1),$BI$1140,HLOOKUP(INDIRECT(ADDRESS(2,COLUMN())),OFFSET($BN$2,0,0,ROW()-1,60),ROW()-1,FALSE))</f>
        <v/>
      </c>
      <c r="BJ478" t="str">
        <f ca="1">IF(AND(ISNUMBER($BJ$1140),$B$677=1),$BJ$1140,HLOOKUP(INDIRECT(ADDRESS(2,COLUMN())),OFFSET($BN$2,0,0,ROW()-1,60),ROW()-1,FALSE))</f>
        <v/>
      </c>
      <c r="BK478" t="str">
        <f ca="1">IF(AND(ISNUMBER($BK$1140),$B$677=1),$BK$1140,HLOOKUP(INDIRECT(ADDRESS(2,COLUMN())),OFFSET($BN$2,0,0,ROW()-1,60),ROW()-1,FALSE))</f>
        <v/>
      </c>
      <c r="BL478" t="str">
        <f ca="1">IF(AND(ISNUMBER($BL$1140),$B$677=1),$BL$1140,HLOOKUP(INDIRECT(ADDRESS(2,COLUMN())),OFFSET($BN$2,0,0,ROW()-1,60),ROW()-1,FALSE))</f>
        <v/>
      </c>
      <c r="BM478" t="str">
        <f ca="1">IF(AND(ISNUMBER($BM$1140),$B$677=1),$BM$1140,HLOOKUP(INDIRECT(ADDRESS(2,COLUMN())),OFFSET($BN$2,0,0,ROW()-1,60),ROW()-1,FALSE))</f>
        <v/>
      </c>
      <c r="BN478" t="str">
        <f>""</f>
        <v/>
      </c>
      <c r="BO478" t="str">
        <f>""</f>
        <v/>
      </c>
      <c r="BP478">
        <f>9.063876896</f>
        <v>9.063876896</v>
      </c>
      <c r="BQ478">
        <f>16.58810752</f>
        <v>16.588107520000001</v>
      </c>
      <c r="BR478">
        <f>16.99109697</f>
        <v>16.991096970000001</v>
      </c>
      <c r="BS478">
        <f>12.60763778</f>
        <v>12.607637779999999</v>
      </c>
      <c r="BT478">
        <f>8.661824031</f>
        <v>8.6618240310000001</v>
      </c>
      <c r="BU478">
        <f>6.50521713</f>
        <v>6.5052171300000001</v>
      </c>
      <c r="BV478">
        <f>5.329383045</f>
        <v>5.3293830450000002</v>
      </c>
      <c r="BW478">
        <f>5.400562458</f>
        <v>5.4005624579999996</v>
      </c>
      <c r="BX478">
        <f>4.921946115</f>
        <v>4.9219461149999999</v>
      </c>
      <c r="BY478">
        <f>5.531240879</f>
        <v>5.5312408790000003</v>
      </c>
      <c r="BZ478">
        <f>7.27206444</f>
        <v>7.2720644400000003</v>
      </c>
      <c r="CA478">
        <f>7.461823764</f>
        <v>7.461823764</v>
      </c>
      <c r="CB478">
        <f>7.060631024</f>
        <v>7.0606310240000001</v>
      </c>
      <c r="CC478">
        <f>5.690414501</f>
        <v>5.6904145010000002</v>
      </c>
      <c r="CD478">
        <f>5.153238302</f>
        <v>5.1532383020000001</v>
      </c>
      <c r="CE478">
        <f>5.786594765</f>
        <v>5.7865947650000003</v>
      </c>
      <c r="CF478">
        <f>4.957642569</f>
        <v>4.9576425689999999</v>
      </c>
      <c r="CG478">
        <f>5.107139974</f>
        <v>5.1071399739999999</v>
      </c>
      <c r="CH478">
        <f>5.064759347</f>
        <v>5.0647593469999999</v>
      </c>
      <c r="CI478">
        <f>4.838037206</f>
        <v>4.8380372060000001</v>
      </c>
      <c r="CJ478">
        <f>6.095480435</f>
        <v>6.0954804349999998</v>
      </c>
      <c r="CK478">
        <f>6.093821645</f>
        <v>6.0938216450000002</v>
      </c>
      <c r="CL478">
        <f>5.917737586</f>
        <v>5.9177375860000003</v>
      </c>
      <c r="CM478">
        <f>5.398132514</f>
        <v>5.3981325140000003</v>
      </c>
      <c r="CN478">
        <f>6.492461883</f>
        <v>6.4924618829999998</v>
      </c>
      <c r="CO478">
        <f>7.727624492</f>
        <v>7.7276244920000003</v>
      </c>
      <c r="CP478">
        <f>7.97603669</f>
        <v>7.9760366899999999</v>
      </c>
      <c r="CQ478">
        <f>8.006556748</f>
        <v>8.0065567479999995</v>
      </c>
      <c r="CR478">
        <f>8.360312501</f>
        <v>8.3603125009999992</v>
      </c>
      <c r="CS478">
        <f>8.34576872</f>
        <v>8.3457687200000006</v>
      </c>
      <c r="CT478">
        <f>9.317633562</f>
        <v>9.3176335619999993</v>
      </c>
      <c r="CU478" t="str">
        <f>""</f>
        <v/>
      </c>
      <c r="CV478" t="str">
        <f>""</f>
        <v/>
      </c>
      <c r="CW478" t="str">
        <f>""</f>
        <v/>
      </c>
      <c r="CX478" t="str">
        <f>""</f>
        <v/>
      </c>
      <c r="CY478" t="str">
        <f>""</f>
        <v/>
      </c>
      <c r="CZ478" t="str">
        <f>""</f>
        <v/>
      </c>
      <c r="DA478" t="str">
        <f>""</f>
        <v/>
      </c>
      <c r="DB478" t="str">
        <f>""</f>
        <v/>
      </c>
      <c r="DC478" t="str">
        <f>""</f>
        <v/>
      </c>
      <c r="DD478" t="str">
        <f>""</f>
        <v/>
      </c>
      <c r="DE478" t="str">
        <f>""</f>
        <v/>
      </c>
      <c r="DF478" t="str">
        <f>""</f>
        <v/>
      </c>
      <c r="DG478" t="str">
        <f>""</f>
        <v/>
      </c>
      <c r="DH478" t="str">
        <f>""</f>
        <v/>
      </c>
      <c r="DI478" t="str">
        <f>""</f>
        <v/>
      </c>
      <c r="DJ478" t="str">
        <f>""</f>
        <v/>
      </c>
      <c r="DK478" t="str">
        <f>""</f>
        <v/>
      </c>
      <c r="DL478" t="str">
        <f>""</f>
        <v/>
      </c>
      <c r="DM478" t="str">
        <f>""</f>
        <v/>
      </c>
      <c r="DN478" t="str">
        <f>""</f>
        <v/>
      </c>
      <c r="DO478" t="str">
        <f>""</f>
        <v/>
      </c>
      <c r="DP478" t="str">
        <f>""</f>
        <v/>
      </c>
      <c r="DQ478" t="str">
        <f>""</f>
        <v/>
      </c>
      <c r="DR478" t="str">
        <f>""</f>
        <v/>
      </c>
      <c r="DS478" t="str">
        <f>""</f>
        <v/>
      </c>
      <c r="DT478" t="str">
        <f>""</f>
        <v/>
      </c>
      <c r="DU478" t="str">
        <f>""</f>
        <v/>
      </c>
    </row>
    <row r="479" spans="1:125" x14ac:dyDescent="0.25">
      <c r="A479" t="str">
        <f>"    Mazda Motor Corp"</f>
        <v xml:space="preserve">    Mazda Motor Corp</v>
      </c>
      <c r="B479" t="str">
        <f>"7261 JP Equity"</f>
        <v>7261 JP Equity</v>
      </c>
      <c r="C479" t="str">
        <f t="shared" si="33"/>
        <v>RR476</v>
      </c>
      <c r="D479" t="str">
        <f t="shared" si="34"/>
        <v>EV_TO_T12M_NET_INCOME</v>
      </c>
      <c r="E479" t="str">
        <f t="shared" si="35"/>
        <v>Dynamic</v>
      </c>
      <c r="F479" t="str">
        <f ca="1">IF(AND(ISNUMBER($F$1141),$B$677=1),$F$1141,HLOOKUP(INDIRECT(ADDRESS(2,COLUMN())),OFFSET($BN$2,0,0,ROW()-1,60),ROW()-1,FALSE))</f>
        <v/>
      </c>
      <c r="G479">
        <f ca="1">IF(AND(ISNUMBER($G$1141),$B$677=1),$G$1141,HLOOKUP(INDIRECT(ADDRESS(2,COLUMN())),OFFSET($BN$2,0,0,ROW()-1,60),ROW()-1,FALSE))</f>
        <v>10.405171470000001</v>
      </c>
      <c r="H479">
        <f ca="1">IF(AND(ISNUMBER($H$1141),$B$677=1),$H$1141,HLOOKUP(INDIRECT(ADDRESS(2,COLUMN())),OFFSET($BN$2,0,0,ROW()-1,60),ROW()-1,FALSE))</f>
        <v>10.555551919999999</v>
      </c>
      <c r="I479">
        <f ca="1">IF(AND(ISNUMBER($I$1141),$B$677=1),$I$1141,HLOOKUP(INDIRECT(ADDRESS(2,COLUMN())),OFFSET($BN$2,0,0,ROW()-1,60),ROW()-1,FALSE))</f>
        <v>8.2886337010000002</v>
      </c>
      <c r="J479">
        <f ca="1">IF(AND(ISNUMBER($J$1141),$B$677=1),$J$1141,HLOOKUP(INDIRECT(ADDRESS(2,COLUMN())),OFFSET($BN$2,0,0,ROW()-1,60),ROW()-1,FALSE))</f>
        <v>7.0930843140000004</v>
      </c>
      <c r="K479">
        <f ca="1">IF(AND(ISNUMBER($K$1141),$B$677=1),$K$1141,HLOOKUP(INDIRECT(ADDRESS(2,COLUMN())),OFFSET($BN$2,0,0,ROW()-1,60),ROW()-1,FALSE))</f>
        <v>9.3397371370000002</v>
      </c>
      <c r="L479">
        <f ca="1">IF(AND(ISNUMBER($L$1141),$B$677=1),$L$1141,HLOOKUP(INDIRECT(ADDRESS(2,COLUMN())),OFFSET($BN$2,0,0,ROW()-1,60),ROW()-1,FALSE))</f>
        <v>9.8792967820000008</v>
      </c>
      <c r="M479">
        <f ca="1">IF(AND(ISNUMBER($M$1141),$B$677=1),$M$1141,HLOOKUP(INDIRECT(ADDRESS(2,COLUMN())),OFFSET($BN$2,0,0,ROW()-1,60),ROW()-1,FALSE))</f>
        <v>8.6281540099999994</v>
      </c>
      <c r="N479">
        <f ca="1">IF(AND(ISNUMBER($N$1141),$B$677=1),$N$1141,HLOOKUP(INDIRECT(ADDRESS(2,COLUMN())),OFFSET($BN$2,0,0,ROW()-1,60),ROW()-1,FALSE))</f>
        <v>10.10085357</v>
      </c>
      <c r="O479">
        <f ca="1">IF(AND(ISNUMBER($O$1141),$B$677=1),$O$1141,HLOOKUP(INDIRECT(ADDRESS(2,COLUMN())),OFFSET($BN$2,0,0,ROW()-1,60),ROW()-1,FALSE))</f>
        <v>13.01672203</v>
      </c>
      <c r="P479">
        <f ca="1">IF(AND(ISNUMBER($P$1141),$B$677=1),$P$1141,HLOOKUP(INDIRECT(ADDRESS(2,COLUMN())),OFFSET($BN$2,0,0,ROW()-1,60),ROW()-1,FALSE))</f>
        <v>9.0135256580000007</v>
      </c>
      <c r="Q479">
        <f ca="1">IF(AND(ISNUMBER($Q$1141),$B$677=1),$Q$1141,HLOOKUP(INDIRECT(ADDRESS(2,COLUMN())),OFFSET($BN$2,0,0,ROW()-1,60),ROW()-1,FALSE))</f>
        <v>7.1639726110000002</v>
      </c>
      <c r="R479">
        <f ca="1">IF(AND(ISNUMBER($R$1141),$B$677=1),$R$1141,HLOOKUP(INDIRECT(ADDRESS(2,COLUMN())),OFFSET($BN$2,0,0,ROW()-1,60),ROW()-1,FALSE))</f>
        <v>8.0723066719999998</v>
      </c>
      <c r="S479">
        <f ca="1">IF(AND(ISNUMBER($S$1141),$B$677=1),$S$1141,HLOOKUP(INDIRECT(ADDRESS(2,COLUMN())),OFFSET($BN$2,0,0,ROW()-1,60),ROW()-1,FALSE))</f>
        <v>10.758851249999999</v>
      </c>
      <c r="T479">
        <f ca="1">IF(AND(ISNUMBER($T$1141),$B$677=1),$T$1141,HLOOKUP(INDIRECT(ADDRESS(2,COLUMN())),OFFSET($BN$2,0,0,ROW()-1,60),ROW()-1,FALSE))</f>
        <v>8.1013417049999994</v>
      </c>
      <c r="U479">
        <f ca="1">IF(AND(ISNUMBER($U$1141),$B$677=1),$U$1141,HLOOKUP(INDIRECT(ADDRESS(2,COLUMN())),OFFSET($BN$2,0,0,ROW()-1,60),ROW()-1,FALSE))</f>
        <v>10.934528029999999</v>
      </c>
      <c r="V479">
        <f ca="1">IF(AND(ISNUMBER($V$1141),$B$677=1),$V$1141,HLOOKUP(INDIRECT(ADDRESS(2,COLUMN())),OFFSET($BN$2,0,0,ROW()-1,60),ROW()-1,FALSE))</f>
        <v>10.144929599999999</v>
      </c>
      <c r="W479">
        <f ca="1">IF(AND(ISNUMBER($W$1141),$B$677=1),$W$1141,HLOOKUP(INDIRECT(ADDRESS(2,COLUMN())),OFFSET($BN$2,0,0,ROW()-1,60),ROW()-1,FALSE))</f>
        <v>10.761732500000001</v>
      </c>
      <c r="X479">
        <f ca="1">IF(AND(ISNUMBER($X$1141),$B$677=1),$X$1141,HLOOKUP(INDIRECT(ADDRESS(2,COLUMN())),OFFSET($BN$2,0,0,ROW()-1,60),ROW()-1,FALSE))</f>
        <v>9.3630034420000001</v>
      </c>
      <c r="Y479">
        <f ca="1">IF(AND(ISNUMBER($Y$1141),$B$677=1),$Y$1141,HLOOKUP(INDIRECT(ADDRESS(2,COLUMN())),OFFSET($BN$2,0,0,ROW()-1,60),ROW()-1,FALSE))</f>
        <v>9.4780063240000008</v>
      </c>
      <c r="Z479">
        <f ca="1">IF(AND(ISNUMBER($Z$1141),$B$677=1),$Z$1141,HLOOKUP(INDIRECT(ADDRESS(2,COLUMN())),OFFSET($BN$2,0,0,ROW()-1,60),ROW()-1,FALSE))</f>
        <v>11.83820285</v>
      </c>
      <c r="AA479">
        <f ca="1">IF(AND(ISNUMBER($AA$1141),$B$677=1),$AA$1141,HLOOKUP(INDIRECT(ADDRESS(2,COLUMN())),OFFSET($BN$2,0,0,ROW()-1,60),ROW()-1,FALSE))</f>
        <v>22.60125429</v>
      </c>
      <c r="AB479">
        <f ca="1">IF(AND(ISNUMBER($AB$1141),$B$677=1),$AB$1141,HLOOKUP(INDIRECT(ADDRESS(2,COLUMN())),OFFSET($BN$2,0,0,ROW()-1,60),ROW()-1,FALSE))</f>
        <v>30.59600403</v>
      </c>
      <c r="AC479">
        <f ca="1">IF(AND(ISNUMBER($AC$1141),$B$677=1),$AC$1141,HLOOKUP(INDIRECT(ADDRESS(2,COLUMN())),OFFSET($BN$2,0,0,ROW()-1,60),ROW()-1,FALSE))</f>
        <v>32.236154589999998</v>
      </c>
      <c r="AD479">
        <f ca="1">IF(AND(ISNUMBER($AD$1141),$B$677=1),$AD$1141,HLOOKUP(INDIRECT(ADDRESS(2,COLUMN())),OFFSET($BN$2,0,0,ROW()-1,60),ROW()-1,FALSE))</f>
        <v>32.93616969</v>
      </c>
      <c r="AE479">
        <f ca="1">IF(AND(ISNUMBER($AE$1141),$B$677=1),$AE$1141,HLOOKUP(INDIRECT(ADDRESS(2,COLUMN())),OFFSET($BN$2,0,0,ROW()-1,60),ROW()-1,FALSE))</f>
        <v>28.513235219999999</v>
      </c>
      <c r="AF479" t="str">
        <f ca="1">IF(AND(ISNUMBER($AF$1141),$B$677=1),$AF$1141,HLOOKUP(INDIRECT(ADDRESS(2,COLUMN())),OFFSET($BN$2,0,0,ROW()-1,60),ROW()-1,FALSE))</f>
        <v/>
      </c>
      <c r="AG479" t="str">
        <f ca="1">IF(AND(ISNUMBER($AG$1141),$B$677=1),$AG$1141,HLOOKUP(INDIRECT(ADDRESS(2,COLUMN())),OFFSET($BN$2,0,0,ROW()-1,60),ROW()-1,FALSE))</f>
        <v/>
      </c>
      <c r="AH479" t="str">
        <f ca="1">IF(AND(ISNUMBER($AH$1141),$B$677=1),$AH$1141,HLOOKUP(INDIRECT(ADDRESS(2,COLUMN())),OFFSET($BN$2,0,0,ROW()-1,60),ROW()-1,FALSE))</f>
        <v/>
      </c>
      <c r="AI479" t="str">
        <f ca="1">IF(AND(ISNUMBER($AI$1141),$B$677=1),$AI$1141,HLOOKUP(INDIRECT(ADDRESS(2,COLUMN())),OFFSET($BN$2,0,0,ROW()-1,60),ROW()-1,FALSE))</f>
        <v/>
      </c>
      <c r="AJ479" t="str">
        <f ca="1">IF(AND(ISNUMBER($AJ$1141),$B$677=1),$AJ$1141,HLOOKUP(INDIRECT(ADDRESS(2,COLUMN())),OFFSET($BN$2,0,0,ROW()-1,60),ROW()-1,FALSE))</f>
        <v/>
      </c>
      <c r="AK479" t="str">
        <f ca="1">IF(AND(ISNUMBER($AK$1141),$B$677=1),$AK$1141,HLOOKUP(INDIRECT(ADDRESS(2,COLUMN())),OFFSET($BN$2,0,0,ROW()-1,60),ROW()-1,FALSE))</f>
        <v/>
      </c>
      <c r="AL479" t="str">
        <f ca="1">IF(AND(ISNUMBER($AL$1141),$B$677=1),$AL$1141,HLOOKUP(INDIRECT(ADDRESS(2,COLUMN())),OFFSET($BN$2,0,0,ROW()-1,60),ROW()-1,FALSE))</f>
        <v/>
      </c>
      <c r="AM479">
        <f ca="1">IF(AND(ISNUMBER($AM$1141),$B$677=1),$AM$1141,HLOOKUP(INDIRECT(ADDRESS(2,COLUMN())),OFFSET($BN$2,0,0,ROW()-1,60),ROW()-1,FALSE))</f>
        <v>65.806220150000001</v>
      </c>
      <c r="AN479">
        <f ca="1">IF(AND(ISNUMBER($AN$1141),$B$677=1),$AN$1141,HLOOKUP(INDIRECT(ADDRESS(2,COLUMN())),OFFSET($BN$2,0,0,ROW()-1,60),ROW()-1,FALSE))</f>
        <v>36.133249460000002</v>
      </c>
      <c r="AO479">
        <f ca="1">IF(AND(ISNUMBER($AO$1141),$B$677=1),$AO$1141,HLOOKUP(INDIRECT(ADDRESS(2,COLUMN())),OFFSET($BN$2,0,0,ROW()-1,60),ROW()-1,FALSE))</f>
        <v>56.525355179999998</v>
      </c>
      <c r="AP479" t="str">
        <f ca="1">IF(AND(ISNUMBER($AP$1141),$B$677=1),$AP$1141,HLOOKUP(INDIRECT(ADDRESS(2,COLUMN())),OFFSET($BN$2,0,0,ROW()-1,60),ROW()-1,FALSE))</f>
        <v/>
      </c>
      <c r="AQ479" t="str">
        <f ca="1">IF(AND(ISNUMBER($AQ$1141),$B$677=1),$AQ$1141,HLOOKUP(INDIRECT(ADDRESS(2,COLUMN())),OFFSET($BN$2,0,0,ROW()-1,60),ROW()-1,FALSE))</f>
        <v/>
      </c>
      <c r="AR479" t="str">
        <f ca="1">IF(AND(ISNUMBER($AR$1141),$B$677=1),$AR$1141,HLOOKUP(INDIRECT(ADDRESS(2,COLUMN())),OFFSET($BN$2,0,0,ROW()-1,60),ROW()-1,FALSE))</f>
        <v/>
      </c>
      <c r="AS479" t="str">
        <f ca="1">IF(AND(ISNUMBER($AS$1141),$B$677=1),$AS$1141,HLOOKUP(INDIRECT(ADDRESS(2,COLUMN())),OFFSET($BN$2,0,0,ROW()-1,60),ROW()-1,FALSE))</f>
        <v/>
      </c>
      <c r="AT479" t="str">
        <f ca="1">IF(AND(ISNUMBER($AT$1141),$B$677=1),$AT$1141,HLOOKUP(INDIRECT(ADDRESS(2,COLUMN())),OFFSET($BN$2,0,0,ROW()-1,60),ROW()-1,FALSE))</f>
        <v/>
      </c>
      <c r="AU479">
        <f ca="1">IF(AND(ISNUMBER($AU$1141),$B$677=1),$AU$1141,HLOOKUP(INDIRECT(ADDRESS(2,COLUMN())),OFFSET($BN$2,0,0,ROW()-1,60),ROW()-1,FALSE))</f>
        <v>10.129037970000001</v>
      </c>
      <c r="AV479">
        <f ca="1">IF(AND(ISNUMBER($AV$1141),$B$677=1),$AV$1141,HLOOKUP(INDIRECT(ADDRESS(2,COLUMN())),OFFSET($BN$2,0,0,ROW()-1,60),ROW()-1,FALSE))</f>
        <v>10.45657061</v>
      </c>
      <c r="AW479">
        <f ca="1">IF(AND(ISNUMBER($AW$1141),$B$677=1),$AW$1141,HLOOKUP(INDIRECT(ADDRESS(2,COLUMN())),OFFSET($BN$2,0,0,ROW()-1,60),ROW()-1,FALSE))</f>
        <v>10.95307642</v>
      </c>
      <c r="AX479">
        <f ca="1">IF(AND(ISNUMBER($AX$1141),$B$677=1),$AX$1141,HLOOKUP(INDIRECT(ADDRESS(2,COLUMN())),OFFSET($BN$2,0,0,ROW()-1,60),ROW()-1,FALSE))</f>
        <v>8.49626181</v>
      </c>
      <c r="AY479">
        <f ca="1">IF(AND(ISNUMBER($AY$1141),$B$677=1),$AY$1141,HLOOKUP(INDIRECT(ADDRESS(2,COLUMN())),OFFSET($BN$2,0,0,ROW()-1,60),ROW()-1,FALSE))</f>
        <v>14.80098061</v>
      </c>
      <c r="AZ479">
        <f ca="1">IF(AND(ISNUMBER($AZ$1141),$B$677=1),$AZ$1141,HLOOKUP(INDIRECT(ADDRESS(2,COLUMN())),OFFSET($BN$2,0,0,ROW()-1,60),ROW()-1,FALSE))</f>
        <v>14.65638929</v>
      </c>
      <c r="BA479">
        <f ca="1">IF(AND(ISNUMBER($BA$1141),$B$677=1),$BA$1141,HLOOKUP(INDIRECT(ADDRESS(2,COLUMN())),OFFSET($BN$2,0,0,ROW()-1,60),ROW()-1,FALSE))</f>
        <v>18.90984387</v>
      </c>
      <c r="BB479">
        <f ca="1">IF(AND(ISNUMBER($BB$1141),$B$677=1),$BB$1141,HLOOKUP(INDIRECT(ADDRESS(2,COLUMN())),OFFSET($BN$2,0,0,ROW()-1,60),ROW()-1,FALSE))</f>
        <v>15.67627178</v>
      </c>
      <c r="BC479">
        <f ca="1">IF(AND(ISNUMBER($BC$1141),$B$677=1),$BC$1141,HLOOKUP(INDIRECT(ADDRESS(2,COLUMN())),OFFSET($BN$2,0,0,ROW()-1,60),ROW()-1,FALSE))</f>
        <v>21.732708890000001</v>
      </c>
      <c r="BD479">
        <f ca="1">IF(AND(ISNUMBER($BD$1141),$B$677=1),$BD$1141,HLOOKUP(INDIRECT(ADDRESS(2,COLUMN())),OFFSET($BN$2,0,0,ROW()-1,60),ROW()-1,FALSE))</f>
        <v>20.310982429999999</v>
      </c>
      <c r="BE479">
        <f ca="1">IF(AND(ISNUMBER($BE$1141),$B$677=1),$BE$1141,HLOOKUP(INDIRECT(ADDRESS(2,COLUMN())),OFFSET($BN$2,0,0,ROW()-1,60),ROW()-1,FALSE))</f>
        <v>17.836283829999999</v>
      </c>
      <c r="BF479">
        <f ca="1">IF(AND(ISNUMBER($BF$1141),$B$677=1),$BF$1141,HLOOKUP(INDIRECT(ADDRESS(2,COLUMN())),OFFSET($BN$2,0,0,ROW()-1,60),ROW()-1,FALSE))</f>
        <v>18.840898889999998</v>
      </c>
      <c r="BG479">
        <f ca="1">IF(AND(ISNUMBER($BG$1141),$B$677=1),$BG$1141,HLOOKUP(INDIRECT(ADDRESS(2,COLUMN())),OFFSET($BN$2,0,0,ROW()-1,60),ROW()-1,FALSE))</f>
        <v>17.260839270000002</v>
      </c>
      <c r="BH479">
        <f ca="1">IF(AND(ISNUMBER($BH$1141),$B$677=1),$BH$1141,HLOOKUP(INDIRECT(ADDRESS(2,COLUMN())),OFFSET($BN$2,0,0,ROW()-1,60),ROW()-1,FALSE))</f>
        <v>17.96666862</v>
      </c>
      <c r="BI479">
        <f ca="1">IF(AND(ISNUMBER($BI$1141),$B$677=1),$BI$1141,HLOOKUP(INDIRECT(ADDRESS(2,COLUMN())),OFFSET($BN$2,0,0,ROW()-1,60),ROW()-1,FALSE))</f>
        <v>28.923551140000001</v>
      </c>
      <c r="BJ479">
        <f ca="1">IF(AND(ISNUMBER($BJ$1141),$B$677=1),$BJ$1141,HLOOKUP(INDIRECT(ADDRESS(2,COLUMN())),OFFSET($BN$2,0,0,ROW()-1,60),ROW()-1,FALSE))</f>
        <v>18.56002578</v>
      </c>
      <c r="BK479" t="str">
        <f ca="1">IF(AND(ISNUMBER($BK$1141),$B$677=1),$BK$1141,HLOOKUP(INDIRECT(ADDRESS(2,COLUMN())),OFFSET($BN$2,0,0,ROW()-1,60),ROW()-1,FALSE))</f>
        <v/>
      </c>
      <c r="BL479" t="str">
        <f ca="1">IF(AND(ISNUMBER($BL$1141),$B$677=1),$BL$1141,HLOOKUP(INDIRECT(ADDRESS(2,COLUMN())),OFFSET($BN$2,0,0,ROW()-1,60),ROW()-1,FALSE))</f>
        <v/>
      </c>
      <c r="BM479" t="str">
        <f ca="1">IF(AND(ISNUMBER($BM$1141),$B$677=1),$BM$1141,HLOOKUP(INDIRECT(ADDRESS(2,COLUMN())),OFFSET($BN$2,0,0,ROW()-1,60),ROW()-1,FALSE))</f>
        <v/>
      </c>
      <c r="BN479" t="str">
        <f>""</f>
        <v/>
      </c>
      <c r="BO479">
        <f>10.40517147</f>
        <v>10.405171470000001</v>
      </c>
      <c r="BP479">
        <f>10.55555192</f>
        <v>10.555551919999999</v>
      </c>
      <c r="BQ479">
        <f>8.288633701</f>
        <v>8.2886337010000002</v>
      </c>
      <c r="BR479">
        <f>7.093084314</f>
        <v>7.0930843140000004</v>
      </c>
      <c r="BS479">
        <f>9.339737137</f>
        <v>9.3397371370000002</v>
      </c>
      <c r="BT479">
        <f>9.879296782</f>
        <v>9.8792967820000008</v>
      </c>
      <c r="BU479">
        <f>8.62815401</f>
        <v>8.6281540099999994</v>
      </c>
      <c r="BV479">
        <f>10.10085357</f>
        <v>10.10085357</v>
      </c>
      <c r="BW479">
        <f>13.01672203</f>
        <v>13.01672203</v>
      </c>
      <c r="BX479">
        <f>9.013525658</f>
        <v>9.0135256580000007</v>
      </c>
      <c r="BY479">
        <f>7.163972611</f>
        <v>7.1639726110000002</v>
      </c>
      <c r="BZ479">
        <f>8.072306672</f>
        <v>8.0723066719999998</v>
      </c>
      <c r="CA479">
        <f>10.75885125</f>
        <v>10.758851249999999</v>
      </c>
      <c r="CB479">
        <f>8.101341705</f>
        <v>8.1013417049999994</v>
      </c>
      <c r="CC479">
        <f>10.93452803</f>
        <v>10.934528029999999</v>
      </c>
      <c r="CD479">
        <f>10.1449296</f>
        <v>10.144929599999999</v>
      </c>
      <c r="CE479">
        <f>10.7617325</f>
        <v>10.761732500000001</v>
      </c>
      <c r="CF479">
        <f>9.363003442</f>
        <v>9.3630034420000001</v>
      </c>
      <c r="CG479">
        <f>9.478006324</f>
        <v>9.4780063240000008</v>
      </c>
      <c r="CH479">
        <f>11.83820285</f>
        <v>11.83820285</v>
      </c>
      <c r="CI479">
        <f>22.60125429</f>
        <v>22.60125429</v>
      </c>
      <c r="CJ479">
        <f>30.59600403</f>
        <v>30.59600403</v>
      </c>
      <c r="CK479">
        <f>32.23615459</f>
        <v>32.236154589999998</v>
      </c>
      <c r="CL479">
        <f>32.93616969</f>
        <v>32.93616969</v>
      </c>
      <c r="CM479">
        <f>28.51323522</f>
        <v>28.513235219999999</v>
      </c>
      <c r="CN479" t="str">
        <f>""</f>
        <v/>
      </c>
      <c r="CO479" t="str">
        <f>""</f>
        <v/>
      </c>
      <c r="CP479" t="str">
        <f>""</f>
        <v/>
      </c>
      <c r="CQ479" t="str">
        <f>""</f>
        <v/>
      </c>
      <c r="CR479" t="str">
        <f>""</f>
        <v/>
      </c>
      <c r="CS479" t="str">
        <f>""</f>
        <v/>
      </c>
      <c r="CT479" t="str">
        <f>""</f>
        <v/>
      </c>
      <c r="CU479">
        <f>65.80622015</f>
        <v>65.806220150000001</v>
      </c>
      <c r="CV479">
        <f>36.13324946</f>
        <v>36.133249460000002</v>
      </c>
      <c r="CW479">
        <f>56.52535518</f>
        <v>56.525355179999998</v>
      </c>
      <c r="CX479" t="str">
        <f>""</f>
        <v/>
      </c>
      <c r="CY479" t="str">
        <f>""</f>
        <v/>
      </c>
      <c r="CZ479" t="str">
        <f>""</f>
        <v/>
      </c>
      <c r="DA479" t="str">
        <f>""</f>
        <v/>
      </c>
      <c r="DB479" t="str">
        <f>""</f>
        <v/>
      </c>
      <c r="DC479">
        <f>10.12903797</f>
        <v>10.129037970000001</v>
      </c>
      <c r="DD479">
        <f>10.45657061</f>
        <v>10.45657061</v>
      </c>
      <c r="DE479">
        <f>10.95307642</f>
        <v>10.95307642</v>
      </c>
      <c r="DF479">
        <f>8.49626181</f>
        <v>8.49626181</v>
      </c>
      <c r="DG479">
        <f>14.80098061</f>
        <v>14.80098061</v>
      </c>
      <c r="DH479">
        <f>14.65638929</f>
        <v>14.65638929</v>
      </c>
      <c r="DI479">
        <f>18.90984387</f>
        <v>18.90984387</v>
      </c>
      <c r="DJ479">
        <f>15.67627178</f>
        <v>15.67627178</v>
      </c>
      <c r="DK479">
        <f>21.73270889</f>
        <v>21.732708890000001</v>
      </c>
      <c r="DL479">
        <f>20.31098243</f>
        <v>20.310982429999999</v>
      </c>
      <c r="DM479">
        <f>17.83628383</f>
        <v>17.836283829999999</v>
      </c>
      <c r="DN479">
        <f>18.84089889</f>
        <v>18.840898889999998</v>
      </c>
      <c r="DO479">
        <f>17.26083927</f>
        <v>17.260839270000002</v>
      </c>
      <c r="DP479">
        <f>17.96666862</f>
        <v>17.96666862</v>
      </c>
      <c r="DQ479">
        <f>28.92355114</f>
        <v>28.923551140000001</v>
      </c>
      <c r="DR479">
        <f>18.56002578</f>
        <v>18.56002578</v>
      </c>
      <c r="DS479" t="str">
        <f>""</f>
        <v/>
      </c>
      <c r="DT479" t="str">
        <f>""</f>
        <v/>
      </c>
      <c r="DU479" t="str">
        <f>""</f>
        <v/>
      </c>
    </row>
    <row r="480" spans="1:125" x14ac:dyDescent="0.25">
      <c r="A480" t="str">
        <f>"    Mitsubishi Motors Corp"</f>
        <v xml:space="preserve">    Mitsubishi Motors Corp</v>
      </c>
      <c r="B480" t="str">
        <f>"7211 JP Equity"</f>
        <v>7211 JP Equity</v>
      </c>
      <c r="C480" t="str">
        <f t="shared" si="33"/>
        <v>RR476</v>
      </c>
      <c r="D480" t="str">
        <f t="shared" si="34"/>
        <v>EV_TO_T12M_NET_INCOME</v>
      </c>
      <c r="E480" t="str">
        <f t="shared" si="35"/>
        <v>Dynamic</v>
      </c>
      <c r="F480" t="str">
        <f ca="1">IF(AND(ISNUMBER($F$1142),$B$677=1),$F$1142,HLOOKUP(INDIRECT(ADDRESS(2,COLUMN())),OFFSET($BN$2,0,0,ROW()-1,60),ROW()-1,FALSE))</f>
        <v/>
      </c>
      <c r="G480">
        <f ca="1">IF(AND(ISNUMBER($G$1142),$B$677=1),$G$1142,HLOOKUP(INDIRECT(ADDRESS(2,COLUMN())),OFFSET($BN$2,0,0,ROW()-1,60),ROW()-1,FALSE))</f>
        <v>6.5616295249999999</v>
      </c>
      <c r="H480">
        <f ca="1">IF(AND(ISNUMBER($H$1142),$B$677=1),$H$1142,HLOOKUP(INDIRECT(ADDRESS(2,COLUMN())),OFFSET($BN$2,0,0,ROW()-1,60),ROW()-1,FALSE))</f>
        <v>8.6057080040000002</v>
      </c>
      <c r="I480">
        <f ca="1">IF(AND(ISNUMBER($I$1142),$B$677=1),$I$1142,HLOOKUP(INDIRECT(ADDRESS(2,COLUMN())),OFFSET($BN$2,0,0,ROW()-1,60),ROW()-1,FALSE))</f>
        <v>9.7164066689999995</v>
      </c>
      <c r="J480">
        <f ca="1">IF(AND(ISNUMBER($J$1142),$B$677=1),$J$1142,HLOOKUP(INDIRECT(ADDRESS(2,COLUMN())),OFFSET($BN$2,0,0,ROW()-1,60),ROW()-1,FALSE))</f>
        <v>5.7021962659999996</v>
      </c>
      <c r="K480">
        <f ca="1">IF(AND(ISNUMBER($K$1142),$B$677=1),$K$1142,HLOOKUP(INDIRECT(ADDRESS(2,COLUMN())),OFFSET($BN$2,0,0,ROW()-1,60),ROW()-1,FALSE))</f>
        <v>8.5904463030000002</v>
      </c>
      <c r="L480">
        <f ca="1">IF(AND(ISNUMBER($L$1142),$B$677=1),$L$1142,HLOOKUP(INDIRECT(ADDRESS(2,COLUMN())),OFFSET($BN$2,0,0,ROW()-1,60),ROW()-1,FALSE))</f>
        <v>12.236026900000001</v>
      </c>
      <c r="M480" t="str">
        <f ca="1">IF(AND(ISNUMBER($M$1142),$B$677=1),$M$1142,HLOOKUP(INDIRECT(ADDRESS(2,COLUMN())),OFFSET($BN$2,0,0,ROW()-1,60),ROW()-1,FALSE))</f>
        <v/>
      </c>
      <c r="N480" t="str">
        <f ca="1">IF(AND(ISNUMBER($N$1142),$B$677=1),$N$1142,HLOOKUP(INDIRECT(ADDRESS(2,COLUMN())),OFFSET($BN$2,0,0,ROW()-1,60),ROW()-1,FALSE))</f>
        <v/>
      </c>
      <c r="O480" t="str">
        <f ca="1">IF(AND(ISNUMBER($O$1142),$B$677=1),$O$1142,HLOOKUP(INDIRECT(ADDRESS(2,COLUMN())),OFFSET($BN$2,0,0,ROW()-1,60),ROW()-1,FALSE))</f>
        <v/>
      </c>
      <c r="P480" t="str">
        <f ca="1">IF(AND(ISNUMBER($P$1142),$B$677=1),$P$1142,HLOOKUP(INDIRECT(ADDRESS(2,COLUMN())),OFFSET($BN$2,0,0,ROW()-1,60),ROW()-1,FALSE))</f>
        <v/>
      </c>
      <c r="Q480" t="str">
        <f ca="1">IF(AND(ISNUMBER($Q$1142),$B$677=1),$Q$1142,HLOOKUP(INDIRECT(ADDRESS(2,COLUMN())),OFFSET($BN$2,0,0,ROW()-1,60),ROW()-1,FALSE))</f>
        <v/>
      </c>
      <c r="R480">
        <f ca="1">IF(AND(ISNUMBER($R$1142),$B$677=1),$R$1142,HLOOKUP(INDIRECT(ADDRESS(2,COLUMN())),OFFSET($BN$2,0,0,ROW()-1,60),ROW()-1,FALSE))</f>
        <v>5.923498725</v>
      </c>
      <c r="S480">
        <f ca="1">IF(AND(ISNUMBER($S$1142),$B$677=1),$S$1142,HLOOKUP(INDIRECT(ADDRESS(2,COLUMN())),OFFSET($BN$2,0,0,ROW()-1,60),ROW()-1,FALSE))</f>
        <v>5.9759897569999998</v>
      </c>
      <c r="T480">
        <f ca="1">IF(AND(ISNUMBER($T$1142),$B$677=1),$T$1142,HLOOKUP(INDIRECT(ADDRESS(2,COLUMN())),OFFSET($BN$2,0,0,ROW()-1,60),ROW()-1,FALSE))</f>
        <v>4.8153374610000004</v>
      </c>
      <c r="U480">
        <f ca="1">IF(AND(ISNUMBER($U$1142),$B$677=1),$U$1142,HLOOKUP(INDIRECT(ADDRESS(2,COLUMN())),OFFSET($BN$2,0,0,ROW()-1,60),ROW()-1,FALSE))</f>
        <v>6.7202382700000003</v>
      </c>
      <c r="V480">
        <f ca="1">IF(AND(ISNUMBER($V$1142),$B$677=1),$V$1142,HLOOKUP(INDIRECT(ADDRESS(2,COLUMN())),OFFSET($BN$2,0,0,ROW()-1,60),ROW()-1,FALSE))</f>
        <v>6.7557874250000003</v>
      </c>
      <c r="W480">
        <f ca="1">IF(AND(ISNUMBER($W$1142),$B$677=1),$W$1142,HLOOKUP(INDIRECT(ADDRESS(2,COLUMN())),OFFSET($BN$2,0,0,ROW()-1,60),ROW()-1,FALSE))</f>
        <v>6.9673339009999999</v>
      </c>
      <c r="X480">
        <f ca="1">IF(AND(ISNUMBER($X$1142),$B$677=1),$X$1142,HLOOKUP(INDIRECT(ADDRESS(2,COLUMN())),OFFSET($BN$2,0,0,ROW()-1,60),ROW()-1,FALSE))</f>
        <v>9.0160145719999996</v>
      </c>
      <c r="Y480">
        <f ca="1">IF(AND(ISNUMBER($Y$1142),$B$677=1),$Y$1142,HLOOKUP(INDIRECT(ADDRESS(2,COLUMN())),OFFSET($BN$2,0,0,ROW()-1,60),ROW()-1,FALSE))</f>
        <v>7.578497005</v>
      </c>
      <c r="Z480">
        <f ca="1">IF(AND(ISNUMBER($Z$1142),$B$677=1),$Z$1142,HLOOKUP(INDIRECT(ADDRESS(2,COLUMN())),OFFSET($BN$2,0,0,ROW()-1,60),ROW()-1,FALSE))</f>
        <v>8.3533285450000001</v>
      </c>
      <c r="AA480">
        <f ca="1">IF(AND(ISNUMBER($AA$1142),$B$677=1),$AA$1142,HLOOKUP(INDIRECT(ADDRESS(2,COLUMN())),OFFSET($BN$2,0,0,ROW()-1,60),ROW()-1,FALSE))</f>
        <v>8.5710820489999993</v>
      </c>
      <c r="AB480">
        <f ca="1">IF(AND(ISNUMBER($AB$1142),$B$677=1),$AB$1142,HLOOKUP(INDIRECT(ADDRESS(2,COLUMN())),OFFSET($BN$2,0,0,ROW()-1,60),ROW()-1,FALSE))</f>
        <v>18.62410753</v>
      </c>
      <c r="AC480">
        <f ca="1">IF(AND(ISNUMBER($AC$1142),$B$677=1),$AC$1142,HLOOKUP(INDIRECT(ADDRESS(2,COLUMN())),OFFSET($BN$2,0,0,ROW()-1,60),ROW()-1,FALSE))</f>
        <v>34.887929300000003</v>
      </c>
      <c r="AD480">
        <f ca="1">IF(AND(ISNUMBER($AD$1142),$B$677=1),$AD$1142,HLOOKUP(INDIRECT(ADDRESS(2,COLUMN())),OFFSET($BN$2,0,0,ROW()-1,60),ROW()-1,FALSE))</f>
        <v>26.050847600000001</v>
      </c>
      <c r="AE480">
        <f ca="1">IF(AND(ISNUMBER($AE$1142),$B$677=1),$AE$1142,HLOOKUP(INDIRECT(ADDRESS(2,COLUMN())),OFFSET($BN$2,0,0,ROW()-1,60),ROW()-1,FALSE))</f>
        <v>34.788661980000001</v>
      </c>
      <c r="AF480">
        <f ca="1">IF(AND(ISNUMBER($AF$1142),$B$677=1),$AF$1142,HLOOKUP(INDIRECT(ADDRESS(2,COLUMN())),OFFSET($BN$2,0,0,ROW()-1,60),ROW()-1,FALSE))</f>
        <v>19.490392780000001</v>
      </c>
      <c r="AG480">
        <f ca="1">IF(AND(ISNUMBER($AG$1142),$B$677=1),$AG$1142,HLOOKUP(INDIRECT(ADDRESS(2,COLUMN())),OFFSET($BN$2,0,0,ROW()-1,60),ROW()-1,FALSE))</f>
        <v>22.455584349999999</v>
      </c>
      <c r="AH480">
        <f ca="1">IF(AND(ISNUMBER($AH$1142),$B$677=1),$AH$1142,HLOOKUP(INDIRECT(ADDRESS(2,COLUMN())),OFFSET($BN$2,0,0,ROW()-1,60),ROW()-1,FALSE))</f>
        <v>43.324851410000001</v>
      </c>
      <c r="AI480">
        <f ca="1">IF(AND(ISNUMBER($AI$1142),$B$677=1),$AI$1142,HLOOKUP(INDIRECT(ADDRESS(2,COLUMN())),OFFSET($BN$2,0,0,ROW()-1,60),ROW()-1,FALSE))</f>
        <v>32.842910969999998</v>
      </c>
      <c r="AJ480">
        <f ca="1">IF(AND(ISNUMBER($AJ$1142),$B$677=1),$AJ$1142,HLOOKUP(INDIRECT(ADDRESS(2,COLUMN())),OFFSET($BN$2,0,0,ROW()-1,60),ROW()-1,FALSE))</f>
        <v>34.862760209999998</v>
      </c>
      <c r="AK480">
        <f ca="1">IF(AND(ISNUMBER($AK$1142),$B$677=1),$AK$1142,HLOOKUP(INDIRECT(ADDRESS(2,COLUMN())),OFFSET($BN$2,0,0,ROW()-1,60),ROW()-1,FALSE))</f>
        <v>33.7820812</v>
      </c>
      <c r="AL480">
        <f ca="1">IF(AND(ISNUMBER($AL$1142),$B$677=1),$AL$1142,HLOOKUP(INDIRECT(ADDRESS(2,COLUMN())),OFFSET($BN$2,0,0,ROW()-1,60),ROW()-1,FALSE))</f>
        <v>72.177735600000005</v>
      </c>
      <c r="AM480">
        <f ca="1">IF(AND(ISNUMBER($AM$1142),$B$677=1),$AM$1142,HLOOKUP(INDIRECT(ADDRESS(2,COLUMN())),OFFSET($BN$2,0,0,ROW()-1,60),ROW()-1,FALSE))</f>
        <v>41.758735479999999</v>
      </c>
      <c r="AN480">
        <f ca="1">IF(AND(ISNUMBER($AN$1142),$B$677=1),$AN$1142,HLOOKUP(INDIRECT(ADDRESS(2,COLUMN())),OFFSET($BN$2,0,0,ROW()-1,60),ROW()-1,FALSE))</f>
        <v>31.442838460000001</v>
      </c>
      <c r="AO480">
        <f ca="1">IF(AND(ISNUMBER($AO$1142),$B$677=1),$AO$1142,HLOOKUP(INDIRECT(ADDRESS(2,COLUMN())),OFFSET($BN$2,0,0,ROW()-1,60),ROW()-1,FALSE))</f>
        <v>60.979430960000002</v>
      </c>
      <c r="AP480">
        <f ca="1">IF(AND(ISNUMBER($AP$1142),$B$677=1),$AP$1142,HLOOKUP(INDIRECT(ADDRESS(2,COLUMN())),OFFSET($BN$2,0,0,ROW()-1,60),ROW()-1,FALSE))</f>
        <v>274.17704140000001</v>
      </c>
      <c r="AQ480" t="str">
        <f ca="1">IF(AND(ISNUMBER($AQ$1142),$B$677=1),$AQ$1142,HLOOKUP(INDIRECT(ADDRESS(2,COLUMN())),OFFSET($BN$2,0,0,ROW()-1,60),ROW()-1,FALSE))</f>
        <v/>
      </c>
      <c r="AR480" t="str">
        <f ca="1">IF(AND(ISNUMBER($AR$1142),$B$677=1),$AR$1142,HLOOKUP(INDIRECT(ADDRESS(2,COLUMN())),OFFSET($BN$2,0,0,ROW()-1,60),ROW()-1,FALSE))</f>
        <v/>
      </c>
      <c r="AS480" t="str">
        <f ca="1">IF(AND(ISNUMBER($AS$1142),$B$677=1),$AS$1142,HLOOKUP(INDIRECT(ADDRESS(2,COLUMN())),OFFSET($BN$2,0,0,ROW()-1,60),ROW()-1,FALSE))</f>
        <v/>
      </c>
      <c r="AT480" t="str">
        <f ca="1">IF(AND(ISNUMBER($AT$1142),$B$677=1),$AT$1142,HLOOKUP(INDIRECT(ADDRESS(2,COLUMN())),OFFSET($BN$2,0,0,ROW()-1,60),ROW()-1,FALSE))</f>
        <v/>
      </c>
      <c r="AU480">
        <f ca="1">IF(AND(ISNUMBER($AU$1142),$B$677=1),$AU$1142,HLOOKUP(INDIRECT(ADDRESS(2,COLUMN())),OFFSET($BN$2,0,0,ROW()-1,60),ROW()-1,FALSE))</f>
        <v>146.53242599999999</v>
      </c>
      <c r="AV480">
        <f ca="1">IF(AND(ISNUMBER($AV$1142),$B$677=1),$AV$1142,HLOOKUP(INDIRECT(ADDRESS(2,COLUMN())),OFFSET($BN$2,0,0,ROW()-1,60),ROW()-1,FALSE))</f>
        <v>26.899240850000002</v>
      </c>
      <c r="AW480">
        <f ca="1">IF(AND(ISNUMBER($AW$1142),$B$677=1),$AW$1142,HLOOKUP(INDIRECT(ADDRESS(2,COLUMN())),OFFSET($BN$2,0,0,ROW()-1,60),ROW()-1,FALSE))</f>
        <v>27.896231589999999</v>
      </c>
      <c r="AX480">
        <f ca="1">IF(AND(ISNUMBER($AX$1142),$B$677=1),$AX$1142,HLOOKUP(INDIRECT(ADDRESS(2,COLUMN())),OFFSET($BN$2,0,0,ROW()-1,60),ROW()-1,FALSE))</f>
        <v>39.008299180000002</v>
      </c>
      <c r="AY480">
        <f ca="1">IF(AND(ISNUMBER($AY$1142),$B$677=1),$AY$1142,HLOOKUP(INDIRECT(ADDRESS(2,COLUMN())),OFFSET($BN$2,0,0,ROW()-1,60),ROW()-1,FALSE))</f>
        <v>36.990526920000001</v>
      </c>
      <c r="AZ480">
        <f ca="1">IF(AND(ISNUMBER($AZ$1142),$B$677=1),$AZ$1142,HLOOKUP(INDIRECT(ADDRESS(2,COLUMN())),OFFSET($BN$2,0,0,ROW()-1,60),ROW()-1,FALSE))</f>
        <v>74.997557959999995</v>
      </c>
      <c r="BA480">
        <f ca="1">IF(AND(ISNUMBER($BA$1142),$B$677=1),$BA$1142,HLOOKUP(INDIRECT(ADDRESS(2,COLUMN())),OFFSET($BN$2,0,0,ROW()-1,60),ROW()-1,FALSE))</f>
        <v>99.006745679999995</v>
      </c>
      <c r="BB480">
        <f ca="1">IF(AND(ISNUMBER($BB$1142),$B$677=1),$BB$1142,HLOOKUP(INDIRECT(ADDRESS(2,COLUMN())),OFFSET($BN$2,0,0,ROW()-1,60),ROW()-1,FALSE))</f>
        <v>182.7917539</v>
      </c>
      <c r="BC480" t="str">
        <f ca="1">IF(AND(ISNUMBER($BC$1142),$B$677=1),$BC$1142,HLOOKUP(INDIRECT(ADDRESS(2,COLUMN())),OFFSET($BN$2,0,0,ROW()-1,60),ROW()-1,FALSE))</f>
        <v/>
      </c>
      <c r="BD480" t="str">
        <f ca="1">IF(AND(ISNUMBER($BD$1142),$B$677=1),$BD$1142,HLOOKUP(INDIRECT(ADDRESS(2,COLUMN())),OFFSET($BN$2,0,0,ROW()-1,60),ROW()-1,FALSE))</f>
        <v/>
      </c>
      <c r="BE480" t="str">
        <f ca="1">IF(AND(ISNUMBER($BE$1142),$B$677=1),$BE$1142,HLOOKUP(INDIRECT(ADDRESS(2,COLUMN())),OFFSET($BN$2,0,0,ROW()-1,60),ROW()-1,FALSE))</f>
        <v/>
      </c>
      <c r="BF480" t="str">
        <f ca="1">IF(AND(ISNUMBER($BF$1142),$B$677=1),$BF$1142,HLOOKUP(INDIRECT(ADDRESS(2,COLUMN())),OFFSET($BN$2,0,0,ROW()-1,60),ROW()-1,FALSE))</f>
        <v/>
      </c>
      <c r="BG480" t="str">
        <f ca="1">IF(AND(ISNUMBER($BG$1142),$B$677=1),$BG$1142,HLOOKUP(INDIRECT(ADDRESS(2,COLUMN())),OFFSET($BN$2,0,0,ROW()-1,60),ROW()-1,FALSE))</f>
        <v/>
      </c>
      <c r="BH480" t="str">
        <f ca="1">IF(AND(ISNUMBER($BH$1142),$B$677=1),$BH$1142,HLOOKUP(INDIRECT(ADDRESS(2,COLUMN())),OFFSET($BN$2,0,0,ROW()-1,60),ROW()-1,FALSE))</f>
        <v/>
      </c>
      <c r="BI480" t="str">
        <f ca="1">IF(AND(ISNUMBER($BI$1142),$B$677=1),$BI$1142,HLOOKUP(INDIRECT(ADDRESS(2,COLUMN())),OFFSET($BN$2,0,0,ROW()-1,60),ROW()-1,FALSE))</f>
        <v/>
      </c>
      <c r="BJ480" t="str">
        <f ca="1">IF(AND(ISNUMBER($BJ$1142),$B$677=1),$BJ$1142,HLOOKUP(INDIRECT(ADDRESS(2,COLUMN())),OFFSET($BN$2,0,0,ROW()-1,60),ROW()-1,FALSE))</f>
        <v/>
      </c>
      <c r="BK480" t="str">
        <f ca="1">IF(AND(ISNUMBER($BK$1142),$B$677=1),$BK$1142,HLOOKUP(INDIRECT(ADDRESS(2,COLUMN())),OFFSET($BN$2,0,0,ROW()-1,60),ROW()-1,FALSE))</f>
        <v/>
      </c>
      <c r="BL480" t="str">
        <f ca="1">IF(AND(ISNUMBER($BL$1142),$B$677=1),$BL$1142,HLOOKUP(INDIRECT(ADDRESS(2,COLUMN())),OFFSET($BN$2,0,0,ROW()-1,60),ROW()-1,FALSE))</f>
        <v/>
      </c>
      <c r="BM480" t="str">
        <f ca="1">IF(AND(ISNUMBER($BM$1142),$B$677=1),$BM$1142,HLOOKUP(INDIRECT(ADDRESS(2,COLUMN())),OFFSET($BN$2,0,0,ROW()-1,60),ROW()-1,FALSE))</f>
        <v/>
      </c>
      <c r="BN480" t="str">
        <f>""</f>
        <v/>
      </c>
      <c r="BO480">
        <f>6.561629525</f>
        <v>6.5616295249999999</v>
      </c>
      <c r="BP480">
        <f>8.605708004</f>
        <v>8.6057080040000002</v>
      </c>
      <c r="BQ480">
        <f>9.716406669</f>
        <v>9.7164066689999995</v>
      </c>
      <c r="BR480">
        <f>5.702196266</f>
        <v>5.7021962659999996</v>
      </c>
      <c r="BS480">
        <f>8.590446303</f>
        <v>8.5904463030000002</v>
      </c>
      <c r="BT480">
        <f>12.2360269</f>
        <v>12.236026900000001</v>
      </c>
      <c r="BU480" t="str">
        <f>""</f>
        <v/>
      </c>
      <c r="BV480" t="str">
        <f>""</f>
        <v/>
      </c>
      <c r="BW480" t="str">
        <f>""</f>
        <v/>
      </c>
      <c r="BX480" t="str">
        <f>""</f>
        <v/>
      </c>
      <c r="BY480" t="str">
        <f>""</f>
        <v/>
      </c>
      <c r="BZ480">
        <f>5.923498725</f>
        <v>5.923498725</v>
      </c>
      <c r="CA480">
        <f>5.975989757</f>
        <v>5.9759897569999998</v>
      </c>
      <c r="CB480">
        <f>4.815337461</f>
        <v>4.8153374610000004</v>
      </c>
      <c r="CC480">
        <f>6.72023827</f>
        <v>6.7202382700000003</v>
      </c>
      <c r="CD480">
        <f>6.755787425</f>
        <v>6.7557874250000003</v>
      </c>
      <c r="CE480">
        <f>6.967333901</f>
        <v>6.9673339009999999</v>
      </c>
      <c r="CF480">
        <f>9.016014572</f>
        <v>9.0160145719999996</v>
      </c>
      <c r="CG480">
        <f>7.578497005</f>
        <v>7.578497005</v>
      </c>
      <c r="CH480">
        <f>8.353328545</f>
        <v>8.3533285450000001</v>
      </c>
      <c r="CI480">
        <f>8.571082049</f>
        <v>8.5710820489999993</v>
      </c>
      <c r="CJ480">
        <f>18.62410753</f>
        <v>18.62410753</v>
      </c>
      <c r="CK480">
        <f>34.8879293</f>
        <v>34.887929300000003</v>
      </c>
      <c r="CL480">
        <f>26.0508476</f>
        <v>26.050847600000001</v>
      </c>
      <c r="CM480">
        <f>34.78866198</f>
        <v>34.788661980000001</v>
      </c>
      <c r="CN480">
        <f>19.49039278</f>
        <v>19.490392780000001</v>
      </c>
      <c r="CO480">
        <f>22.45558435</f>
        <v>22.455584349999999</v>
      </c>
      <c r="CP480">
        <f>43.32485141</f>
        <v>43.324851410000001</v>
      </c>
      <c r="CQ480">
        <f>32.84291097</f>
        <v>32.842910969999998</v>
      </c>
      <c r="CR480">
        <f>34.86276021</f>
        <v>34.862760209999998</v>
      </c>
      <c r="CS480">
        <f>33.7820812</f>
        <v>33.7820812</v>
      </c>
      <c r="CT480">
        <f>72.1777356</f>
        <v>72.177735600000005</v>
      </c>
      <c r="CU480">
        <f>41.75873548</f>
        <v>41.758735479999999</v>
      </c>
      <c r="CV480">
        <f>31.44283846</f>
        <v>31.442838460000001</v>
      </c>
      <c r="CW480">
        <f>60.97943096</f>
        <v>60.979430960000002</v>
      </c>
      <c r="CX480">
        <f>274.1770414</f>
        <v>274.17704140000001</v>
      </c>
      <c r="CY480" t="str">
        <f>""</f>
        <v/>
      </c>
      <c r="CZ480" t="str">
        <f>""</f>
        <v/>
      </c>
      <c r="DA480" t="str">
        <f>""</f>
        <v/>
      </c>
      <c r="DB480" t="str">
        <f>""</f>
        <v/>
      </c>
      <c r="DC480">
        <f>146.532426</f>
        <v>146.53242599999999</v>
      </c>
      <c r="DD480">
        <f>26.89924085</f>
        <v>26.899240850000002</v>
      </c>
      <c r="DE480">
        <f>27.89623159</f>
        <v>27.896231589999999</v>
      </c>
      <c r="DF480">
        <f>39.00829918</f>
        <v>39.008299180000002</v>
      </c>
      <c r="DG480">
        <f>36.99052692</f>
        <v>36.990526920000001</v>
      </c>
      <c r="DH480">
        <f>74.99755796</f>
        <v>74.997557959999995</v>
      </c>
      <c r="DI480">
        <f>99.00674568</f>
        <v>99.006745679999995</v>
      </c>
      <c r="DJ480">
        <f>182.7917539</f>
        <v>182.7917539</v>
      </c>
      <c r="DK480" t="str">
        <f>""</f>
        <v/>
      </c>
      <c r="DL480" t="str">
        <f>""</f>
        <v/>
      </c>
      <c r="DM480" t="str">
        <f>""</f>
        <v/>
      </c>
      <c r="DN480" t="str">
        <f>""</f>
        <v/>
      </c>
      <c r="DO480" t="str">
        <f>""</f>
        <v/>
      </c>
      <c r="DP480" t="str">
        <f>""</f>
        <v/>
      </c>
      <c r="DQ480" t="str">
        <f>""</f>
        <v/>
      </c>
      <c r="DR480" t="str">
        <f>""</f>
        <v/>
      </c>
      <c r="DS480" t="str">
        <f>""</f>
        <v/>
      </c>
      <c r="DT480" t="str">
        <f>""</f>
        <v/>
      </c>
      <c r="DU480" t="str">
        <f>""</f>
        <v/>
      </c>
    </row>
    <row r="481" spans="1:125" x14ac:dyDescent="0.25">
      <c r="A481" t="str">
        <f>"    Nissan Motor Co Ltd"</f>
        <v xml:space="preserve">    Nissan Motor Co Ltd</v>
      </c>
      <c r="B481" t="str">
        <f>"7201 JP Equity"</f>
        <v>7201 JP Equity</v>
      </c>
      <c r="C481" t="str">
        <f t="shared" si="33"/>
        <v>RR476</v>
      </c>
      <c r="D481" t="str">
        <f t="shared" si="34"/>
        <v>EV_TO_T12M_NET_INCOME</v>
      </c>
      <c r="E481" t="str">
        <f t="shared" si="35"/>
        <v>Dynamic</v>
      </c>
      <c r="F481" t="str">
        <f ca="1">IF(AND(ISNUMBER($F$1143),$B$677=1),$F$1143,HLOOKUP(INDIRECT(ADDRESS(2,COLUMN())),OFFSET($BN$2,0,0,ROW()-1,60),ROW()-1,FALSE))</f>
        <v/>
      </c>
      <c r="G481">
        <f ca="1">IF(AND(ISNUMBER($G$1143),$B$677=1),$G$1143,HLOOKUP(INDIRECT(ADDRESS(2,COLUMN())),OFFSET($BN$2,0,0,ROW()-1,60),ROW()-1,FALSE))</f>
        <v>4.9685871199999996</v>
      </c>
      <c r="H481">
        <f ca="1">IF(AND(ISNUMBER($H$1143),$B$677=1),$H$1143,HLOOKUP(INDIRECT(ADDRESS(2,COLUMN())),OFFSET($BN$2,0,0,ROW()-1,60),ROW()-1,FALSE))</f>
        <v>4.0402534550000002</v>
      </c>
      <c r="I481">
        <f ca="1">IF(AND(ISNUMBER($I$1143),$B$677=1),$I$1143,HLOOKUP(INDIRECT(ADDRESS(2,COLUMN())),OFFSET($BN$2,0,0,ROW()-1,60),ROW()-1,FALSE))</f>
        <v>4.060649068</v>
      </c>
      <c r="J481">
        <f ca="1">IF(AND(ISNUMBER($J$1143),$B$677=1),$J$1143,HLOOKUP(INDIRECT(ADDRESS(2,COLUMN())),OFFSET($BN$2,0,0,ROW()-1,60),ROW()-1,FALSE))</f>
        <v>3.8182066799999999</v>
      </c>
      <c r="K481">
        <f ca="1">IF(AND(ISNUMBER($K$1143),$B$677=1),$K$1143,HLOOKUP(INDIRECT(ADDRESS(2,COLUMN())),OFFSET($BN$2,0,0,ROW()-1,60),ROW()-1,FALSE))</f>
        <v>4.0744135860000004</v>
      </c>
      <c r="L481">
        <f ca="1">IF(AND(ISNUMBER($L$1143),$B$677=1),$L$1143,HLOOKUP(INDIRECT(ADDRESS(2,COLUMN())),OFFSET($BN$2,0,0,ROW()-1,60),ROW()-1,FALSE))</f>
        <v>4.387286273</v>
      </c>
      <c r="M481">
        <f ca="1">IF(AND(ISNUMBER($M$1143),$B$677=1),$M$1143,HLOOKUP(INDIRECT(ADDRESS(2,COLUMN())),OFFSET($BN$2,0,0,ROW()-1,60),ROW()-1,FALSE))</f>
        <v>4.5611121099999998</v>
      </c>
      <c r="N481">
        <f ca="1">IF(AND(ISNUMBER($N$1143),$B$677=1),$N$1143,HLOOKUP(INDIRECT(ADDRESS(2,COLUMN())),OFFSET($BN$2,0,0,ROW()-1,60),ROW()-1,FALSE))</f>
        <v>4.3198767370000004</v>
      </c>
      <c r="O481">
        <f ca="1">IF(AND(ISNUMBER($O$1143),$B$677=1),$O$1143,HLOOKUP(INDIRECT(ADDRESS(2,COLUMN())),OFFSET($BN$2,0,0,ROW()-1,60),ROW()-1,FALSE))</f>
        <v>8.1432749730000005</v>
      </c>
      <c r="P481">
        <f ca="1">IF(AND(ISNUMBER($P$1143),$B$677=1),$P$1143,HLOOKUP(INDIRECT(ADDRESS(2,COLUMN())),OFFSET($BN$2,0,0,ROW()-1,60),ROW()-1,FALSE))</f>
        <v>6.2437638299999998</v>
      </c>
      <c r="Q481">
        <f ca="1">IF(AND(ISNUMBER($Q$1143),$B$677=1),$Q$1143,HLOOKUP(INDIRECT(ADDRESS(2,COLUMN())),OFFSET($BN$2,0,0,ROW()-1,60),ROW()-1,FALSE))</f>
        <v>5.4665633219999998</v>
      </c>
      <c r="R481">
        <f ca="1">IF(AND(ISNUMBER($R$1143),$B$677=1),$R$1143,HLOOKUP(INDIRECT(ADDRESS(2,COLUMN())),OFFSET($BN$2,0,0,ROW()-1,60),ROW()-1,FALSE))</f>
        <v>6.2184318980000004</v>
      </c>
      <c r="S481">
        <f ca="1">IF(AND(ISNUMBER($S$1143),$B$677=1),$S$1143,HLOOKUP(INDIRECT(ADDRESS(2,COLUMN())),OFFSET($BN$2,0,0,ROW()-1,60),ROW()-1,FALSE))</f>
        <v>7.649142264</v>
      </c>
      <c r="T481">
        <f ca="1">IF(AND(ISNUMBER($T$1143),$B$677=1),$T$1143,HLOOKUP(INDIRECT(ADDRESS(2,COLUMN())),OFFSET($BN$2,0,0,ROW()-1,60),ROW()-1,FALSE))</f>
        <v>6.3114125860000003</v>
      </c>
      <c r="U481">
        <f ca="1">IF(AND(ISNUMBER($U$1143),$B$677=1),$U$1143,HLOOKUP(INDIRECT(ADDRESS(2,COLUMN())),OFFSET($BN$2,0,0,ROW()-1,60),ROW()-1,FALSE))</f>
        <v>9.528019595</v>
      </c>
      <c r="V481">
        <f ca="1">IF(AND(ISNUMBER($V$1143),$B$677=1),$V$1143,HLOOKUP(INDIRECT(ADDRESS(2,COLUMN())),OFFSET($BN$2,0,0,ROW()-1,60),ROW()-1,FALSE))</f>
        <v>9.0764601559999996</v>
      </c>
      <c r="W481">
        <f ca="1">IF(AND(ISNUMBER($W$1143),$B$677=1),$W$1143,HLOOKUP(INDIRECT(ADDRESS(2,COLUMN())),OFFSET($BN$2,0,0,ROW()-1,60),ROW()-1,FALSE))</f>
        <v>8.0386407149999997</v>
      </c>
      <c r="X481">
        <f ca="1">IF(AND(ISNUMBER($X$1143),$B$677=1),$X$1143,HLOOKUP(INDIRECT(ADDRESS(2,COLUMN())),OFFSET($BN$2,0,0,ROW()-1,60),ROW()-1,FALSE))</f>
        <v>8.5311660109999998</v>
      </c>
      <c r="Y481">
        <f ca="1">IF(AND(ISNUMBER($Y$1143),$B$677=1),$Y$1143,HLOOKUP(INDIRECT(ADDRESS(2,COLUMN())),OFFSET($BN$2,0,0,ROW()-1,60),ROW()-1,FALSE))</f>
        <v>8.2419248770000006</v>
      </c>
      <c r="Z481">
        <f ca="1">IF(AND(ISNUMBER($Z$1143),$B$677=1),$Z$1143,HLOOKUP(INDIRECT(ADDRESS(2,COLUMN())),OFFSET($BN$2,0,0,ROW()-1,60),ROW()-1,FALSE))</f>
        <v>8.1401472360000007</v>
      </c>
      <c r="AA481">
        <f ca="1">IF(AND(ISNUMBER($AA$1143),$B$677=1),$AA$1143,HLOOKUP(INDIRECT(ADDRESS(2,COLUMN())),OFFSET($BN$2,0,0,ROW()-1,60),ROW()-1,FALSE))</f>
        <v>8.7977304299999997</v>
      </c>
      <c r="AB481">
        <f ca="1">IF(AND(ISNUMBER($AB$1143),$B$677=1),$AB$1143,HLOOKUP(INDIRECT(ADDRESS(2,COLUMN())),OFFSET($BN$2,0,0,ROW()-1,60),ROW()-1,FALSE))</f>
        <v>10.482352349999999</v>
      </c>
      <c r="AC481">
        <f ca="1">IF(AND(ISNUMBER($AC$1143),$B$677=1),$AC$1143,HLOOKUP(INDIRECT(ADDRESS(2,COLUMN())),OFFSET($BN$2,0,0,ROW()-1,60),ROW()-1,FALSE))</f>
        <v>11.09235677</v>
      </c>
      <c r="AD481">
        <f ca="1">IF(AND(ISNUMBER($AD$1143),$B$677=1),$AD$1143,HLOOKUP(INDIRECT(ADDRESS(2,COLUMN())),OFFSET($BN$2,0,0,ROW()-1,60),ROW()-1,FALSE))</f>
        <v>9.5523551599999994</v>
      </c>
      <c r="AE481">
        <f ca="1">IF(AND(ISNUMBER($AE$1143),$B$677=1),$AE$1143,HLOOKUP(INDIRECT(ADDRESS(2,COLUMN())),OFFSET($BN$2,0,0,ROW()-1,60),ROW()-1,FALSE))</f>
        <v>11.03856028</v>
      </c>
      <c r="AF481">
        <f ca="1">IF(AND(ISNUMBER($AF$1143),$B$677=1),$AF$1143,HLOOKUP(INDIRECT(ADDRESS(2,COLUMN())),OFFSET($BN$2,0,0,ROW()-1,60),ROW()-1,FALSE))</f>
        <v>7.9329522419999998</v>
      </c>
      <c r="AG481">
        <f ca="1">IF(AND(ISNUMBER($AG$1143),$B$677=1),$AG$1143,HLOOKUP(INDIRECT(ADDRESS(2,COLUMN())),OFFSET($BN$2,0,0,ROW()-1,60),ROW()-1,FALSE))</f>
        <v>8.9079620869999996</v>
      </c>
      <c r="AH481">
        <f ca="1">IF(AND(ISNUMBER($AH$1143),$B$677=1),$AH$1143,HLOOKUP(INDIRECT(ADDRESS(2,COLUMN())),OFFSET($BN$2,0,0,ROW()-1,60),ROW()-1,FALSE))</f>
        <v>9.8725423279999998</v>
      </c>
      <c r="AI481">
        <f ca="1">IF(AND(ISNUMBER($AI$1143),$B$677=1),$AI$1143,HLOOKUP(INDIRECT(ADDRESS(2,COLUMN())),OFFSET($BN$2,0,0,ROW()-1,60),ROW()-1,FALSE))</f>
        <v>9.6177568020000006</v>
      </c>
      <c r="AJ481">
        <f ca="1">IF(AND(ISNUMBER($AJ$1143),$B$677=1),$AJ$1143,HLOOKUP(INDIRECT(ADDRESS(2,COLUMN())),OFFSET($BN$2,0,0,ROW()-1,60),ROW()-1,FALSE))</f>
        <v>9.8837470130000007</v>
      </c>
      <c r="AK481">
        <f ca="1">IF(AND(ISNUMBER($AK$1143),$B$677=1),$AK$1143,HLOOKUP(INDIRECT(ADDRESS(2,COLUMN())),OFFSET($BN$2,0,0,ROW()-1,60),ROW()-1,FALSE))</f>
        <v>11.899656800000001</v>
      </c>
      <c r="AL481">
        <f ca="1">IF(AND(ISNUMBER($AL$1143),$B$677=1),$AL$1143,HLOOKUP(INDIRECT(ADDRESS(2,COLUMN())),OFFSET($BN$2,0,0,ROW()-1,60),ROW()-1,FALSE))</f>
        <v>9.7760614310000005</v>
      </c>
      <c r="AM481">
        <f ca="1">IF(AND(ISNUMBER($AM$1143),$B$677=1),$AM$1143,HLOOKUP(INDIRECT(ADDRESS(2,COLUMN())),OFFSET($BN$2,0,0,ROW()-1,60),ROW()-1,FALSE))</f>
        <v>12.677395649999999</v>
      </c>
      <c r="AN481">
        <f ca="1">IF(AND(ISNUMBER($AN$1143),$B$677=1),$AN$1143,HLOOKUP(INDIRECT(ADDRESS(2,COLUMN())),OFFSET($BN$2,0,0,ROW()-1,60),ROW()-1,FALSE))</f>
        <v>13.378266</v>
      </c>
      <c r="AO481">
        <f ca="1">IF(AND(ISNUMBER($AO$1143),$B$677=1),$AO$1143,HLOOKUP(INDIRECT(ADDRESS(2,COLUMN())),OFFSET($BN$2,0,0,ROW()-1,60),ROW()-1,FALSE))</f>
        <v>17.23965892</v>
      </c>
      <c r="AP481">
        <f ca="1">IF(AND(ISNUMBER($AP$1143),$B$677=1),$AP$1143,HLOOKUP(INDIRECT(ADDRESS(2,COLUMN())),OFFSET($BN$2,0,0,ROW()-1,60),ROW()-1,FALSE))</f>
        <v>82.613445299999995</v>
      </c>
      <c r="AQ481" t="str">
        <f ca="1">IF(AND(ISNUMBER($AQ$1143),$B$677=1),$AQ$1143,HLOOKUP(INDIRECT(ADDRESS(2,COLUMN())),OFFSET($BN$2,0,0,ROW()-1,60),ROW()-1,FALSE))</f>
        <v/>
      </c>
      <c r="AR481" t="str">
        <f ca="1">IF(AND(ISNUMBER($AR$1143),$B$677=1),$AR$1143,HLOOKUP(INDIRECT(ADDRESS(2,COLUMN())),OFFSET($BN$2,0,0,ROW()-1,60),ROW()-1,FALSE))</f>
        <v/>
      </c>
      <c r="AS481" t="str">
        <f ca="1">IF(AND(ISNUMBER($AS$1143),$B$677=1),$AS$1143,HLOOKUP(INDIRECT(ADDRESS(2,COLUMN())),OFFSET($BN$2,0,0,ROW()-1,60),ROW()-1,FALSE))</f>
        <v/>
      </c>
      <c r="AT481" t="str">
        <f ca="1">IF(AND(ISNUMBER($AT$1143),$B$677=1),$AT$1143,HLOOKUP(INDIRECT(ADDRESS(2,COLUMN())),OFFSET($BN$2,0,0,ROW()-1,60),ROW()-1,FALSE))</f>
        <v/>
      </c>
      <c r="AU481">
        <f ca="1">IF(AND(ISNUMBER($AU$1143),$B$677=1),$AU$1143,HLOOKUP(INDIRECT(ADDRESS(2,COLUMN())),OFFSET($BN$2,0,0,ROW()-1,60),ROW()-1,FALSE))</f>
        <v>32.87287413</v>
      </c>
      <c r="AV481">
        <f ca="1">IF(AND(ISNUMBER($AV$1143),$B$677=1),$AV$1143,HLOOKUP(INDIRECT(ADDRESS(2,COLUMN())),OFFSET($BN$2,0,0,ROW()-1,60),ROW()-1,FALSE))</f>
        <v>19.443287980000001</v>
      </c>
      <c r="AW481">
        <f ca="1">IF(AND(ISNUMBER($AW$1143),$B$677=1),$AW$1143,HLOOKUP(INDIRECT(ADDRESS(2,COLUMN())),OFFSET($BN$2,0,0,ROW()-1,60),ROW()-1,FALSE))</f>
        <v>19.298070289999998</v>
      </c>
      <c r="AX481">
        <f ca="1">IF(AND(ISNUMBER($AX$1143),$B$677=1),$AX$1143,HLOOKUP(INDIRECT(ADDRESS(2,COLUMN())),OFFSET($BN$2,0,0,ROW()-1,60),ROW()-1,FALSE))</f>
        <v>16.271377409999999</v>
      </c>
      <c r="AY481">
        <f ca="1">IF(AND(ISNUMBER($AY$1143),$B$677=1),$AY$1143,HLOOKUP(INDIRECT(ADDRESS(2,COLUMN())),OFFSET($BN$2,0,0,ROW()-1,60),ROW()-1,FALSE))</f>
        <v>23.805928089999998</v>
      </c>
      <c r="AZ481">
        <f ca="1">IF(AND(ISNUMBER($AZ$1143),$B$677=1),$AZ$1143,HLOOKUP(INDIRECT(ADDRESS(2,COLUMN())),OFFSET($BN$2,0,0,ROW()-1,60),ROW()-1,FALSE))</f>
        <v>24.311955600000001</v>
      </c>
      <c r="BA481">
        <f ca="1">IF(AND(ISNUMBER($BA$1143),$B$677=1),$BA$1143,HLOOKUP(INDIRECT(ADDRESS(2,COLUMN())),OFFSET($BN$2,0,0,ROW()-1,60),ROW()-1,FALSE))</f>
        <v>23.981106839999999</v>
      </c>
      <c r="BB481">
        <f ca="1">IF(AND(ISNUMBER($BB$1143),$B$677=1),$BB$1143,HLOOKUP(INDIRECT(ADDRESS(2,COLUMN())),OFFSET($BN$2,0,0,ROW()-1,60),ROW()-1,FALSE))</f>
        <v>22.005573819999999</v>
      </c>
      <c r="BC481">
        <f ca="1">IF(AND(ISNUMBER($BC$1143),$B$677=1),$BC$1143,HLOOKUP(INDIRECT(ADDRESS(2,COLUMN())),OFFSET($BN$2,0,0,ROW()-1,60),ROW()-1,FALSE))</f>
        <v>20.671805429999999</v>
      </c>
      <c r="BD481">
        <f ca="1">IF(AND(ISNUMBER($BD$1143),$B$677=1),$BD$1143,HLOOKUP(INDIRECT(ADDRESS(2,COLUMN())),OFFSET($BN$2,0,0,ROW()-1,60),ROW()-1,FALSE))</f>
        <v>18.308244850000001</v>
      </c>
      <c r="BE481">
        <f ca="1">IF(AND(ISNUMBER($BE$1143),$B$677=1),$BE$1143,HLOOKUP(INDIRECT(ADDRESS(2,COLUMN())),OFFSET($BN$2,0,0,ROW()-1,60),ROW()-1,FALSE))</f>
        <v>19.214383309999999</v>
      </c>
      <c r="BF481">
        <f ca="1">IF(AND(ISNUMBER($BF$1143),$B$677=1),$BF$1143,HLOOKUP(INDIRECT(ADDRESS(2,COLUMN())),OFFSET($BN$2,0,0,ROW()-1,60),ROW()-1,FALSE))</f>
        <v>20.087563880000001</v>
      </c>
      <c r="BG481" t="str">
        <f ca="1">IF(AND(ISNUMBER($BG$1143),$B$677=1),$BG$1143,HLOOKUP(INDIRECT(ADDRESS(2,COLUMN())),OFFSET($BN$2,0,0,ROW()-1,60),ROW()-1,FALSE))</f>
        <v/>
      </c>
      <c r="BH481">
        <f ca="1">IF(AND(ISNUMBER($BH$1143),$B$677=1),$BH$1143,HLOOKUP(INDIRECT(ADDRESS(2,COLUMN())),OFFSET($BN$2,0,0,ROW()-1,60),ROW()-1,FALSE))</f>
        <v>19.185123409999999</v>
      </c>
      <c r="BI481" t="str">
        <f ca="1">IF(AND(ISNUMBER($BI$1143),$B$677=1),$BI$1143,HLOOKUP(INDIRECT(ADDRESS(2,COLUMN())),OFFSET($BN$2,0,0,ROW()-1,60),ROW()-1,FALSE))</f>
        <v/>
      </c>
      <c r="BJ481">
        <f ca="1">IF(AND(ISNUMBER($BJ$1143),$B$677=1),$BJ$1143,HLOOKUP(INDIRECT(ADDRESS(2,COLUMN())),OFFSET($BN$2,0,0,ROW()-1,60),ROW()-1,FALSE))</f>
        <v>16.041100310000001</v>
      </c>
      <c r="BK481" t="str">
        <f ca="1">IF(AND(ISNUMBER($BK$1143),$B$677=1),$BK$1143,HLOOKUP(INDIRECT(ADDRESS(2,COLUMN())),OFFSET($BN$2,0,0,ROW()-1,60),ROW()-1,FALSE))</f>
        <v/>
      </c>
      <c r="BL481">
        <f ca="1">IF(AND(ISNUMBER($BL$1143),$B$677=1),$BL$1143,HLOOKUP(INDIRECT(ADDRESS(2,COLUMN())),OFFSET($BN$2,0,0,ROW()-1,60),ROW()-1,FALSE))</f>
        <v>16.623988059999999</v>
      </c>
      <c r="BM481" t="str">
        <f ca="1">IF(AND(ISNUMBER($BM$1143),$B$677=1),$BM$1143,HLOOKUP(INDIRECT(ADDRESS(2,COLUMN())),OFFSET($BN$2,0,0,ROW()-1,60),ROW()-1,FALSE))</f>
        <v/>
      </c>
      <c r="BN481" t="str">
        <f>""</f>
        <v/>
      </c>
      <c r="BO481">
        <f>4.96858712</f>
        <v>4.9685871199999996</v>
      </c>
      <c r="BP481">
        <f>4.040253455</f>
        <v>4.0402534550000002</v>
      </c>
      <c r="BQ481">
        <f>4.060649068</f>
        <v>4.060649068</v>
      </c>
      <c r="BR481">
        <f>3.81820668</f>
        <v>3.8182066799999999</v>
      </c>
      <c r="BS481">
        <f>4.074413586</f>
        <v>4.0744135860000004</v>
      </c>
      <c r="BT481">
        <f>4.387286273</f>
        <v>4.387286273</v>
      </c>
      <c r="BU481">
        <f>4.56111211</f>
        <v>4.5611121099999998</v>
      </c>
      <c r="BV481">
        <f>4.319876737</f>
        <v>4.3198767370000004</v>
      </c>
      <c r="BW481">
        <f>8.143274973</f>
        <v>8.1432749730000005</v>
      </c>
      <c r="BX481">
        <f>6.24376383</f>
        <v>6.2437638299999998</v>
      </c>
      <c r="BY481">
        <f>5.466563322</f>
        <v>5.4665633219999998</v>
      </c>
      <c r="BZ481">
        <f>6.218431898</f>
        <v>6.2184318980000004</v>
      </c>
      <c r="CA481">
        <f>7.649142264</f>
        <v>7.649142264</v>
      </c>
      <c r="CB481">
        <f>6.311412586</f>
        <v>6.3114125860000003</v>
      </c>
      <c r="CC481">
        <f>9.528019595</f>
        <v>9.528019595</v>
      </c>
      <c r="CD481">
        <f>9.076460156</f>
        <v>9.0764601559999996</v>
      </c>
      <c r="CE481">
        <f>8.038640715</f>
        <v>8.0386407149999997</v>
      </c>
      <c r="CF481">
        <f>8.531166011</f>
        <v>8.5311660109999998</v>
      </c>
      <c r="CG481">
        <f>8.241924877</f>
        <v>8.2419248770000006</v>
      </c>
      <c r="CH481">
        <f>8.140147236</f>
        <v>8.1401472360000007</v>
      </c>
      <c r="CI481">
        <f>8.79773043</f>
        <v>8.7977304299999997</v>
      </c>
      <c r="CJ481">
        <f>10.48235235</f>
        <v>10.482352349999999</v>
      </c>
      <c r="CK481">
        <f>11.09235677</f>
        <v>11.09235677</v>
      </c>
      <c r="CL481">
        <f>9.55235516</f>
        <v>9.5523551599999994</v>
      </c>
      <c r="CM481">
        <f>11.03856028</f>
        <v>11.03856028</v>
      </c>
      <c r="CN481">
        <f>7.932952242</f>
        <v>7.9329522419999998</v>
      </c>
      <c r="CO481">
        <f>8.907962087</f>
        <v>8.9079620869999996</v>
      </c>
      <c r="CP481">
        <f>9.872542328</f>
        <v>9.8725423279999998</v>
      </c>
      <c r="CQ481">
        <f>9.617756802</f>
        <v>9.6177568020000006</v>
      </c>
      <c r="CR481">
        <f>9.883747013</f>
        <v>9.8837470130000007</v>
      </c>
      <c r="CS481">
        <f>11.8996568</f>
        <v>11.899656800000001</v>
      </c>
      <c r="CT481">
        <f>9.776061431</f>
        <v>9.7760614310000005</v>
      </c>
      <c r="CU481">
        <f>12.67739565</f>
        <v>12.677395649999999</v>
      </c>
      <c r="CV481">
        <f>13.378266</f>
        <v>13.378266</v>
      </c>
      <c r="CW481">
        <f>17.23965892</f>
        <v>17.23965892</v>
      </c>
      <c r="CX481">
        <f>82.6134453</f>
        <v>82.613445299999995</v>
      </c>
      <c r="CY481" t="str">
        <f>""</f>
        <v/>
      </c>
      <c r="CZ481" t="str">
        <f>""</f>
        <v/>
      </c>
      <c r="DA481" t="str">
        <f>""</f>
        <v/>
      </c>
      <c r="DB481" t="str">
        <f>""</f>
        <v/>
      </c>
      <c r="DC481">
        <f>32.87287413</f>
        <v>32.87287413</v>
      </c>
      <c r="DD481">
        <f>19.44328798</f>
        <v>19.443287980000001</v>
      </c>
      <c r="DE481">
        <f>19.29807029</f>
        <v>19.298070289999998</v>
      </c>
      <c r="DF481">
        <f>16.27137741</f>
        <v>16.271377409999999</v>
      </c>
      <c r="DG481">
        <f>23.80592809</f>
        <v>23.805928089999998</v>
      </c>
      <c r="DH481">
        <f>24.3119556</f>
        <v>24.311955600000001</v>
      </c>
      <c r="DI481">
        <f>23.98110684</f>
        <v>23.981106839999999</v>
      </c>
      <c r="DJ481">
        <f>22.00557382</f>
        <v>22.005573819999999</v>
      </c>
      <c r="DK481">
        <f>20.67180543</f>
        <v>20.671805429999999</v>
      </c>
      <c r="DL481">
        <f>18.30824485</f>
        <v>18.308244850000001</v>
      </c>
      <c r="DM481">
        <f>19.21438331</f>
        <v>19.214383309999999</v>
      </c>
      <c r="DN481">
        <f>20.08756388</f>
        <v>20.087563880000001</v>
      </c>
      <c r="DO481" t="str">
        <f>""</f>
        <v/>
      </c>
      <c r="DP481">
        <f>19.18512341</f>
        <v>19.185123409999999</v>
      </c>
      <c r="DQ481" t="str">
        <f>""</f>
        <v/>
      </c>
      <c r="DR481">
        <f>16.04110031</f>
        <v>16.041100310000001</v>
      </c>
      <c r="DS481" t="str">
        <f>""</f>
        <v/>
      </c>
      <c r="DT481">
        <f>16.62398806</f>
        <v>16.623988059999999</v>
      </c>
      <c r="DU481" t="str">
        <f>""</f>
        <v/>
      </c>
    </row>
    <row r="482" spans="1:125" x14ac:dyDescent="0.25">
      <c r="A482" t="str">
        <f>"    Peugeot SA"</f>
        <v xml:space="preserve">    Peugeot SA</v>
      </c>
      <c r="B482" t="str">
        <f>"UG FP Equity"</f>
        <v>UG FP Equity</v>
      </c>
      <c r="C482" t="str">
        <f t="shared" si="33"/>
        <v>RR476</v>
      </c>
      <c r="D482" t="str">
        <f t="shared" si="34"/>
        <v>EV_TO_T12M_NET_INCOME</v>
      </c>
      <c r="E482" t="str">
        <f t="shared" si="35"/>
        <v>Dynamic</v>
      </c>
      <c r="F482" t="str">
        <f ca="1">IF(AND(ISNUMBER($F$1144),$B$677=1),$F$1144,HLOOKUP(INDIRECT(ADDRESS(2,COLUMN())),OFFSET($BN$2,0,0,ROW()-1,60),ROW()-1,FALSE))</f>
        <v/>
      </c>
      <c r="G482" t="str">
        <f ca="1">IF(AND(ISNUMBER($G$1144),$B$677=1),$G$1144,HLOOKUP(INDIRECT(ADDRESS(2,COLUMN())),OFFSET($BN$2,0,0,ROW()-1,60),ROW()-1,FALSE))</f>
        <v/>
      </c>
      <c r="H482" t="str">
        <f ca="1">IF(AND(ISNUMBER($H$1144),$B$677=1),$H$1144,HLOOKUP(INDIRECT(ADDRESS(2,COLUMN())),OFFSET($BN$2,0,0,ROW()-1,60),ROW()-1,FALSE))</f>
        <v/>
      </c>
      <c r="I482" t="str">
        <f ca="1">IF(AND(ISNUMBER($I$1144),$B$677=1),$I$1144,HLOOKUP(INDIRECT(ADDRESS(2,COLUMN())),OFFSET($BN$2,0,0,ROW()-1,60),ROW()-1,FALSE))</f>
        <v/>
      </c>
      <c r="J482" t="str">
        <f ca="1">IF(AND(ISNUMBER($J$1144),$B$677=1),$J$1144,HLOOKUP(INDIRECT(ADDRESS(2,COLUMN())),OFFSET($BN$2,0,0,ROW()-1,60),ROW()-1,FALSE))</f>
        <v/>
      </c>
      <c r="K482" t="str">
        <f ca="1">IF(AND(ISNUMBER($K$1144),$B$677=1),$K$1144,HLOOKUP(INDIRECT(ADDRESS(2,COLUMN())),OFFSET($BN$2,0,0,ROW()-1,60),ROW()-1,FALSE))</f>
        <v/>
      </c>
      <c r="L482" t="str">
        <f ca="1">IF(AND(ISNUMBER($L$1144),$B$677=1),$L$1144,HLOOKUP(INDIRECT(ADDRESS(2,COLUMN())),OFFSET($BN$2,0,0,ROW()-1,60),ROW()-1,FALSE))</f>
        <v/>
      </c>
      <c r="M482" t="str">
        <f ca="1">IF(AND(ISNUMBER($M$1144),$B$677=1),$M$1144,HLOOKUP(INDIRECT(ADDRESS(2,COLUMN())),OFFSET($BN$2,0,0,ROW()-1,60),ROW()-1,FALSE))</f>
        <v/>
      </c>
      <c r="N482" t="str">
        <f ca="1">IF(AND(ISNUMBER($N$1144),$B$677=1),$N$1144,HLOOKUP(INDIRECT(ADDRESS(2,COLUMN())),OFFSET($BN$2,0,0,ROW()-1,60),ROW()-1,FALSE))</f>
        <v/>
      </c>
      <c r="O482" t="str">
        <f ca="1">IF(AND(ISNUMBER($O$1144),$B$677=1),$O$1144,HLOOKUP(INDIRECT(ADDRESS(2,COLUMN())),OFFSET($BN$2,0,0,ROW()-1,60),ROW()-1,FALSE))</f>
        <v/>
      </c>
      <c r="P482" t="str">
        <f ca="1">IF(AND(ISNUMBER($P$1144),$B$677=1),$P$1144,HLOOKUP(INDIRECT(ADDRESS(2,COLUMN())),OFFSET($BN$2,0,0,ROW()-1,60),ROW()-1,FALSE))</f>
        <v/>
      </c>
      <c r="Q482" t="str">
        <f ca="1">IF(AND(ISNUMBER($Q$1144),$B$677=1),$Q$1144,HLOOKUP(INDIRECT(ADDRESS(2,COLUMN())),OFFSET($BN$2,0,0,ROW()-1,60),ROW()-1,FALSE))</f>
        <v/>
      </c>
      <c r="R482" t="str">
        <f ca="1">IF(AND(ISNUMBER($R$1144),$B$677=1),$R$1144,HLOOKUP(INDIRECT(ADDRESS(2,COLUMN())),OFFSET($BN$2,0,0,ROW()-1,60),ROW()-1,FALSE))</f>
        <v/>
      </c>
      <c r="S482" t="str">
        <f ca="1">IF(AND(ISNUMBER($S$1144),$B$677=1),$S$1144,HLOOKUP(INDIRECT(ADDRESS(2,COLUMN())),OFFSET($BN$2,0,0,ROW()-1,60),ROW()-1,FALSE))</f>
        <v/>
      </c>
      <c r="T482" t="str">
        <f ca="1">IF(AND(ISNUMBER($T$1144),$B$677=1),$T$1144,HLOOKUP(INDIRECT(ADDRESS(2,COLUMN())),OFFSET($BN$2,0,0,ROW()-1,60),ROW()-1,FALSE))</f>
        <v/>
      </c>
      <c r="U482" t="str">
        <f ca="1">IF(AND(ISNUMBER($U$1144),$B$677=1),$U$1144,HLOOKUP(INDIRECT(ADDRESS(2,COLUMN())),OFFSET($BN$2,0,0,ROW()-1,60),ROW()-1,FALSE))</f>
        <v/>
      </c>
      <c r="V482" t="str">
        <f ca="1">IF(AND(ISNUMBER($V$1144),$B$677=1),$V$1144,HLOOKUP(INDIRECT(ADDRESS(2,COLUMN())),OFFSET($BN$2,0,0,ROW()-1,60),ROW()-1,FALSE))</f>
        <v/>
      </c>
      <c r="W482" t="str">
        <f ca="1">IF(AND(ISNUMBER($W$1144),$B$677=1),$W$1144,HLOOKUP(INDIRECT(ADDRESS(2,COLUMN())),OFFSET($BN$2,0,0,ROW()-1,60),ROW()-1,FALSE))</f>
        <v/>
      </c>
      <c r="X482" t="str">
        <f ca="1">IF(AND(ISNUMBER($X$1144),$B$677=1),$X$1144,HLOOKUP(INDIRECT(ADDRESS(2,COLUMN())),OFFSET($BN$2,0,0,ROW()-1,60),ROW()-1,FALSE))</f>
        <v/>
      </c>
      <c r="Y482" t="str">
        <f ca="1">IF(AND(ISNUMBER($Y$1144),$B$677=1),$Y$1144,HLOOKUP(INDIRECT(ADDRESS(2,COLUMN())),OFFSET($BN$2,0,0,ROW()-1,60),ROW()-1,FALSE))</f>
        <v/>
      </c>
      <c r="Z482" t="str">
        <f ca="1">IF(AND(ISNUMBER($Z$1144),$B$677=1),$Z$1144,HLOOKUP(INDIRECT(ADDRESS(2,COLUMN())),OFFSET($BN$2,0,0,ROW()-1,60),ROW()-1,FALSE))</f>
        <v/>
      </c>
      <c r="AA482" t="str">
        <f ca="1">IF(AND(ISNUMBER($AA$1144),$B$677=1),$AA$1144,HLOOKUP(INDIRECT(ADDRESS(2,COLUMN())),OFFSET($BN$2,0,0,ROW()-1,60),ROW()-1,FALSE))</f>
        <v/>
      </c>
      <c r="AB482" t="str">
        <f ca="1">IF(AND(ISNUMBER($AB$1144),$B$677=1),$AB$1144,HLOOKUP(INDIRECT(ADDRESS(2,COLUMN())),OFFSET($BN$2,0,0,ROW()-1,60),ROW()-1,FALSE))</f>
        <v/>
      </c>
      <c r="AC482" t="str">
        <f ca="1">IF(AND(ISNUMBER($AC$1144),$B$677=1),$AC$1144,HLOOKUP(INDIRECT(ADDRESS(2,COLUMN())),OFFSET($BN$2,0,0,ROW()-1,60),ROW()-1,FALSE))</f>
        <v/>
      </c>
      <c r="AD482" t="str">
        <f ca="1">IF(AND(ISNUMBER($AD$1144),$B$677=1),$AD$1144,HLOOKUP(INDIRECT(ADDRESS(2,COLUMN())),OFFSET($BN$2,0,0,ROW()-1,60),ROW()-1,FALSE))</f>
        <v/>
      </c>
      <c r="AE482" t="str">
        <f ca="1">IF(AND(ISNUMBER($AE$1144),$B$677=1),$AE$1144,HLOOKUP(INDIRECT(ADDRESS(2,COLUMN())),OFFSET($BN$2,0,0,ROW()-1,60),ROW()-1,FALSE))</f>
        <v/>
      </c>
      <c r="AF482" t="str">
        <f ca="1">IF(AND(ISNUMBER($AF$1144),$B$677=1),$AF$1144,HLOOKUP(INDIRECT(ADDRESS(2,COLUMN())),OFFSET($BN$2,0,0,ROW()-1,60),ROW()-1,FALSE))</f>
        <v/>
      </c>
      <c r="AG482" t="str">
        <f ca="1">IF(AND(ISNUMBER($AG$1144),$B$677=1),$AG$1144,HLOOKUP(INDIRECT(ADDRESS(2,COLUMN())),OFFSET($BN$2,0,0,ROW()-1,60),ROW()-1,FALSE))</f>
        <v/>
      </c>
      <c r="AH482" t="str">
        <f ca="1">IF(AND(ISNUMBER($AH$1144),$B$677=1),$AH$1144,HLOOKUP(INDIRECT(ADDRESS(2,COLUMN())),OFFSET($BN$2,0,0,ROW()-1,60),ROW()-1,FALSE))</f>
        <v/>
      </c>
      <c r="AI482" t="str">
        <f ca="1">IF(AND(ISNUMBER($AI$1144),$B$677=1),$AI$1144,HLOOKUP(INDIRECT(ADDRESS(2,COLUMN())),OFFSET($BN$2,0,0,ROW()-1,60),ROW()-1,FALSE))</f>
        <v/>
      </c>
      <c r="AJ482" t="str">
        <f ca="1">IF(AND(ISNUMBER($AJ$1144),$B$677=1),$AJ$1144,HLOOKUP(INDIRECT(ADDRESS(2,COLUMN())),OFFSET($BN$2,0,0,ROW()-1,60),ROW()-1,FALSE))</f>
        <v/>
      </c>
      <c r="AK482" t="str">
        <f ca="1">IF(AND(ISNUMBER($AK$1144),$B$677=1),$AK$1144,HLOOKUP(INDIRECT(ADDRESS(2,COLUMN())),OFFSET($BN$2,0,0,ROW()-1,60),ROW()-1,FALSE))</f>
        <v/>
      </c>
      <c r="AL482" t="str">
        <f ca="1">IF(AND(ISNUMBER($AL$1144),$B$677=1),$AL$1144,HLOOKUP(INDIRECT(ADDRESS(2,COLUMN())),OFFSET($BN$2,0,0,ROW()-1,60),ROW()-1,FALSE))</f>
        <v/>
      </c>
      <c r="AM482" t="str">
        <f ca="1">IF(AND(ISNUMBER($AM$1144),$B$677=1),$AM$1144,HLOOKUP(INDIRECT(ADDRESS(2,COLUMN())),OFFSET($BN$2,0,0,ROW()-1,60),ROW()-1,FALSE))</f>
        <v/>
      </c>
      <c r="AN482" t="str">
        <f ca="1">IF(AND(ISNUMBER($AN$1144),$B$677=1),$AN$1144,HLOOKUP(INDIRECT(ADDRESS(2,COLUMN())),OFFSET($BN$2,0,0,ROW()-1,60),ROW()-1,FALSE))</f>
        <v/>
      </c>
      <c r="AO482" t="str">
        <f ca="1">IF(AND(ISNUMBER($AO$1144),$B$677=1),$AO$1144,HLOOKUP(INDIRECT(ADDRESS(2,COLUMN())),OFFSET($BN$2,0,0,ROW()-1,60),ROW()-1,FALSE))</f>
        <v/>
      </c>
      <c r="AP482" t="str">
        <f ca="1">IF(AND(ISNUMBER($AP$1144),$B$677=1),$AP$1144,HLOOKUP(INDIRECT(ADDRESS(2,COLUMN())),OFFSET($BN$2,0,0,ROW()-1,60),ROW()-1,FALSE))</f>
        <v/>
      </c>
      <c r="AQ482" t="str">
        <f ca="1">IF(AND(ISNUMBER($AQ$1144),$B$677=1),$AQ$1144,HLOOKUP(INDIRECT(ADDRESS(2,COLUMN())),OFFSET($BN$2,0,0,ROW()-1,60),ROW()-1,FALSE))</f>
        <v/>
      </c>
      <c r="AR482" t="str">
        <f ca="1">IF(AND(ISNUMBER($AR$1144),$B$677=1),$AR$1144,HLOOKUP(INDIRECT(ADDRESS(2,COLUMN())),OFFSET($BN$2,0,0,ROW()-1,60),ROW()-1,FALSE))</f>
        <v/>
      </c>
      <c r="AS482" t="str">
        <f ca="1">IF(AND(ISNUMBER($AS$1144),$B$677=1),$AS$1144,HLOOKUP(INDIRECT(ADDRESS(2,COLUMN())),OFFSET($BN$2,0,0,ROW()-1,60),ROW()-1,FALSE))</f>
        <v/>
      </c>
      <c r="AT482" t="str">
        <f ca="1">IF(AND(ISNUMBER($AT$1144),$B$677=1),$AT$1144,HLOOKUP(INDIRECT(ADDRESS(2,COLUMN())),OFFSET($BN$2,0,0,ROW()-1,60),ROW()-1,FALSE))</f>
        <v/>
      </c>
      <c r="AU482" t="str">
        <f ca="1">IF(AND(ISNUMBER($AU$1144),$B$677=1),$AU$1144,HLOOKUP(INDIRECT(ADDRESS(2,COLUMN())),OFFSET($BN$2,0,0,ROW()-1,60),ROW()-1,FALSE))</f>
        <v/>
      </c>
      <c r="AV482" t="str">
        <f ca="1">IF(AND(ISNUMBER($AV$1144),$B$677=1),$AV$1144,HLOOKUP(INDIRECT(ADDRESS(2,COLUMN())),OFFSET($BN$2,0,0,ROW()-1,60),ROW()-1,FALSE))</f>
        <v/>
      </c>
      <c r="AW482" t="str">
        <f ca="1">IF(AND(ISNUMBER($AW$1144),$B$677=1),$AW$1144,HLOOKUP(INDIRECT(ADDRESS(2,COLUMN())),OFFSET($BN$2,0,0,ROW()-1,60),ROW()-1,FALSE))</f>
        <v/>
      </c>
      <c r="AX482" t="str">
        <f ca="1">IF(AND(ISNUMBER($AX$1144),$B$677=1),$AX$1144,HLOOKUP(INDIRECT(ADDRESS(2,COLUMN())),OFFSET($BN$2,0,0,ROW()-1,60),ROW()-1,FALSE))</f>
        <v/>
      </c>
      <c r="AY482" t="str">
        <f ca="1">IF(AND(ISNUMBER($AY$1144),$B$677=1),$AY$1144,HLOOKUP(INDIRECT(ADDRESS(2,COLUMN())),OFFSET($BN$2,0,0,ROW()-1,60),ROW()-1,FALSE))</f>
        <v/>
      </c>
      <c r="AZ482" t="str">
        <f ca="1">IF(AND(ISNUMBER($AZ$1144),$B$677=1),$AZ$1144,HLOOKUP(INDIRECT(ADDRESS(2,COLUMN())),OFFSET($BN$2,0,0,ROW()-1,60),ROW()-1,FALSE))</f>
        <v/>
      </c>
      <c r="BA482" t="str">
        <f ca="1">IF(AND(ISNUMBER($BA$1144),$B$677=1),$BA$1144,HLOOKUP(INDIRECT(ADDRESS(2,COLUMN())),OFFSET($BN$2,0,0,ROW()-1,60),ROW()-1,FALSE))</f>
        <v/>
      </c>
      <c r="BB482" t="str">
        <f ca="1">IF(AND(ISNUMBER($BB$1144),$B$677=1),$BB$1144,HLOOKUP(INDIRECT(ADDRESS(2,COLUMN())),OFFSET($BN$2,0,0,ROW()-1,60),ROW()-1,FALSE))</f>
        <v/>
      </c>
      <c r="BC482" t="str">
        <f ca="1">IF(AND(ISNUMBER($BC$1144),$B$677=1),$BC$1144,HLOOKUP(INDIRECT(ADDRESS(2,COLUMN())),OFFSET($BN$2,0,0,ROW()-1,60),ROW()-1,FALSE))</f>
        <v/>
      </c>
      <c r="BD482" t="str">
        <f ca="1">IF(AND(ISNUMBER($BD$1144),$B$677=1),$BD$1144,HLOOKUP(INDIRECT(ADDRESS(2,COLUMN())),OFFSET($BN$2,0,0,ROW()-1,60),ROW()-1,FALSE))</f>
        <v/>
      </c>
      <c r="BE482" t="str">
        <f ca="1">IF(AND(ISNUMBER($BE$1144),$B$677=1),$BE$1144,HLOOKUP(INDIRECT(ADDRESS(2,COLUMN())),OFFSET($BN$2,0,0,ROW()-1,60),ROW()-1,FALSE))</f>
        <v/>
      </c>
      <c r="BF482" t="str">
        <f ca="1">IF(AND(ISNUMBER($BF$1144),$B$677=1),$BF$1144,HLOOKUP(INDIRECT(ADDRESS(2,COLUMN())),OFFSET($BN$2,0,0,ROW()-1,60),ROW()-1,FALSE))</f>
        <v/>
      </c>
      <c r="BG482" t="str">
        <f ca="1">IF(AND(ISNUMBER($BG$1144),$B$677=1),$BG$1144,HLOOKUP(INDIRECT(ADDRESS(2,COLUMN())),OFFSET($BN$2,0,0,ROW()-1,60),ROW()-1,FALSE))</f>
        <v/>
      </c>
      <c r="BH482" t="str">
        <f ca="1">IF(AND(ISNUMBER($BH$1144),$B$677=1),$BH$1144,HLOOKUP(INDIRECT(ADDRESS(2,COLUMN())),OFFSET($BN$2,0,0,ROW()-1,60),ROW()-1,FALSE))</f>
        <v/>
      </c>
      <c r="BI482" t="str">
        <f ca="1">IF(AND(ISNUMBER($BI$1144),$B$677=1),$BI$1144,HLOOKUP(INDIRECT(ADDRESS(2,COLUMN())),OFFSET($BN$2,0,0,ROW()-1,60),ROW()-1,FALSE))</f>
        <v/>
      </c>
      <c r="BJ482" t="str">
        <f ca="1">IF(AND(ISNUMBER($BJ$1144),$B$677=1),$BJ$1144,HLOOKUP(INDIRECT(ADDRESS(2,COLUMN())),OFFSET($BN$2,0,0,ROW()-1,60),ROW()-1,FALSE))</f>
        <v/>
      </c>
      <c r="BK482" t="str">
        <f ca="1">IF(AND(ISNUMBER($BK$1144),$B$677=1),$BK$1144,HLOOKUP(INDIRECT(ADDRESS(2,COLUMN())),OFFSET($BN$2,0,0,ROW()-1,60),ROW()-1,FALSE))</f>
        <v/>
      </c>
      <c r="BL482" t="str">
        <f ca="1">IF(AND(ISNUMBER($BL$1144),$B$677=1),$BL$1144,HLOOKUP(INDIRECT(ADDRESS(2,COLUMN())),OFFSET($BN$2,0,0,ROW()-1,60),ROW()-1,FALSE))</f>
        <v/>
      </c>
      <c r="BM482" t="str">
        <f ca="1">IF(AND(ISNUMBER($BM$1144),$B$677=1),$BM$1144,HLOOKUP(INDIRECT(ADDRESS(2,COLUMN())),OFFSET($BN$2,0,0,ROW()-1,60),ROW()-1,FALSE))</f>
        <v/>
      </c>
      <c r="BN482" t="str">
        <f>""</f>
        <v/>
      </c>
      <c r="BO482" t="str">
        <f>""</f>
        <v/>
      </c>
      <c r="BP482" t="str">
        <f>""</f>
        <v/>
      </c>
      <c r="BQ482" t="str">
        <f>""</f>
        <v/>
      </c>
      <c r="BR482" t="str">
        <f>""</f>
        <v/>
      </c>
      <c r="BS482" t="str">
        <f>""</f>
        <v/>
      </c>
      <c r="BT482" t="str">
        <f>""</f>
        <v/>
      </c>
      <c r="BU482" t="str">
        <f>""</f>
        <v/>
      </c>
      <c r="BV482" t="str">
        <f>""</f>
        <v/>
      </c>
      <c r="BW482" t="str">
        <f>""</f>
        <v/>
      </c>
      <c r="BX482" t="str">
        <f>""</f>
        <v/>
      </c>
      <c r="BY482" t="str">
        <f>""</f>
        <v/>
      </c>
      <c r="BZ482" t="str">
        <f>""</f>
        <v/>
      </c>
      <c r="CA482" t="str">
        <f>""</f>
        <v/>
      </c>
      <c r="CB482" t="str">
        <f>""</f>
        <v/>
      </c>
      <c r="CC482" t="str">
        <f>""</f>
        <v/>
      </c>
      <c r="CD482" t="str">
        <f>""</f>
        <v/>
      </c>
      <c r="CE482" t="str">
        <f>""</f>
        <v/>
      </c>
      <c r="CF482" t="str">
        <f>""</f>
        <v/>
      </c>
      <c r="CG482" t="str">
        <f>""</f>
        <v/>
      </c>
      <c r="CH482" t="str">
        <f>""</f>
        <v/>
      </c>
      <c r="CI482" t="str">
        <f>""</f>
        <v/>
      </c>
      <c r="CJ482" t="str">
        <f>""</f>
        <v/>
      </c>
      <c r="CK482" t="str">
        <f>""</f>
        <v/>
      </c>
      <c r="CL482" t="str">
        <f>""</f>
        <v/>
      </c>
      <c r="CM482" t="str">
        <f>""</f>
        <v/>
      </c>
      <c r="CN482" t="str">
        <f>""</f>
        <v/>
      </c>
      <c r="CO482" t="str">
        <f>""</f>
        <v/>
      </c>
      <c r="CP482" t="str">
        <f>""</f>
        <v/>
      </c>
      <c r="CQ482" t="str">
        <f>""</f>
        <v/>
      </c>
      <c r="CR482" t="str">
        <f>""</f>
        <v/>
      </c>
      <c r="CS482" t="str">
        <f>""</f>
        <v/>
      </c>
      <c r="CT482" t="str">
        <f>""</f>
        <v/>
      </c>
      <c r="CU482" t="str">
        <f>""</f>
        <v/>
      </c>
      <c r="CV482" t="str">
        <f>""</f>
        <v/>
      </c>
      <c r="CW482" t="str">
        <f>""</f>
        <v/>
      </c>
      <c r="CX482" t="str">
        <f>""</f>
        <v/>
      </c>
      <c r="CY482" t="str">
        <f>""</f>
        <v/>
      </c>
      <c r="CZ482" t="str">
        <f>""</f>
        <v/>
      </c>
      <c r="DA482" t="str">
        <f>""</f>
        <v/>
      </c>
      <c r="DB482" t="str">
        <f>""</f>
        <v/>
      </c>
      <c r="DC482" t="str">
        <f>""</f>
        <v/>
      </c>
      <c r="DD482" t="str">
        <f>""</f>
        <v/>
      </c>
      <c r="DE482" t="str">
        <f>""</f>
        <v/>
      </c>
      <c r="DF482" t="str">
        <f>""</f>
        <v/>
      </c>
      <c r="DG482" t="str">
        <f>""</f>
        <v/>
      </c>
      <c r="DH482" t="str">
        <f>""</f>
        <v/>
      </c>
      <c r="DI482" t="str">
        <f>""</f>
        <v/>
      </c>
      <c r="DJ482" t="str">
        <f>""</f>
        <v/>
      </c>
      <c r="DK482" t="str">
        <f>""</f>
        <v/>
      </c>
      <c r="DL482" t="str">
        <f>""</f>
        <v/>
      </c>
      <c r="DM482" t="str">
        <f>""</f>
        <v/>
      </c>
      <c r="DN482" t="str">
        <f>""</f>
        <v/>
      </c>
      <c r="DO482" t="str">
        <f>""</f>
        <v/>
      </c>
      <c r="DP482" t="str">
        <f>""</f>
        <v/>
      </c>
      <c r="DQ482" t="str">
        <f>""</f>
        <v/>
      </c>
      <c r="DR482" t="str">
        <f>""</f>
        <v/>
      </c>
      <c r="DS482" t="str">
        <f>""</f>
        <v/>
      </c>
      <c r="DT482" t="str">
        <f>""</f>
        <v/>
      </c>
      <c r="DU482" t="str">
        <f>""</f>
        <v/>
      </c>
    </row>
    <row r="483" spans="1:125" x14ac:dyDescent="0.25">
      <c r="A483" t="str">
        <f>"    Renault SA"</f>
        <v xml:space="preserve">    Renault SA</v>
      </c>
      <c r="B483" t="str">
        <f>"RNO FP Equity"</f>
        <v>RNO FP Equity</v>
      </c>
      <c r="C483" t="str">
        <f t="shared" si="33"/>
        <v>RR476</v>
      </c>
      <c r="D483" t="str">
        <f t="shared" si="34"/>
        <v>EV_TO_T12M_NET_INCOME</v>
      </c>
      <c r="E483" t="str">
        <f t="shared" si="35"/>
        <v>Dynamic</v>
      </c>
      <c r="F483" t="str">
        <f ca="1">IF(AND(ISNUMBER($F$1145),$B$677=1),$F$1145,HLOOKUP(INDIRECT(ADDRESS(2,COLUMN())),OFFSET($BN$2,0,0,ROW()-1,60),ROW()-1,FALSE))</f>
        <v/>
      </c>
      <c r="G483" t="str">
        <f ca="1">IF(AND(ISNUMBER($G$1145),$B$677=1),$G$1145,HLOOKUP(INDIRECT(ADDRESS(2,COLUMN())),OFFSET($BN$2,0,0,ROW()-1,60),ROW()-1,FALSE))</f>
        <v/>
      </c>
      <c r="H483" t="str">
        <f ca="1">IF(AND(ISNUMBER($H$1145),$B$677=1),$H$1145,HLOOKUP(INDIRECT(ADDRESS(2,COLUMN())),OFFSET($BN$2,0,0,ROW()-1,60),ROW()-1,FALSE))</f>
        <v/>
      </c>
      <c r="I483" t="str">
        <f ca="1">IF(AND(ISNUMBER($I$1145),$B$677=1),$I$1145,HLOOKUP(INDIRECT(ADDRESS(2,COLUMN())),OFFSET($BN$2,0,0,ROW()-1,60),ROW()-1,FALSE))</f>
        <v/>
      </c>
      <c r="J483" t="str">
        <f ca="1">IF(AND(ISNUMBER($J$1145),$B$677=1),$J$1145,HLOOKUP(INDIRECT(ADDRESS(2,COLUMN())),OFFSET($BN$2,0,0,ROW()-1,60),ROW()-1,FALSE))</f>
        <v/>
      </c>
      <c r="K483" t="str">
        <f ca="1">IF(AND(ISNUMBER($K$1145),$B$677=1),$K$1145,HLOOKUP(INDIRECT(ADDRESS(2,COLUMN())),OFFSET($BN$2,0,0,ROW()-1,60),ROW()-1,FALSE))</f>
        <v/>
      </c>
      <c r="L483" t="str">
        <f ca="1">IF(AND(ISNUMBER($L$1145),$B$677=1),$L$1145,HLOOKUP(INDIRECT(ADDRESS(2,COLUMN())),OFFSET($BN$2,0,0,ROW()-1,60),ROW()-1,FALSE))</f>
        <v/>
      </c>
      <c r="M483" t="str">
        <f ca="1">IF(AND(ISNUMBER($M$1145),$B$677=1),$M$1145,HLOOKUP(INDIRECT(ADDRESS(2,COLUMN())),OFFSET($BN$2,0,0,ROW()-1,60),ROW()-1,FALSE))</f>
        <v/>
      </c>
      <c r="N483" t="str">
        <f ca="1">IF(AND(ISNUMBER($N$1145),$B$677=1),$N$1145,HLOOKUP(INDIRECT(ADDRESS(2,COLUMN())),OFFSET($BN$2,0,0,ROW()-1,60),ROW()-1,FALSE))</f>
        <v/>
      </c>
      <c r="O483" t="str">
        <f ca="1">IF(AND(ISNUMBER($O$1145),$B$677=1),$O$1145,HLOOKUP(INDIRECT(ADDRESS(2,COLUMN())),OFFSET($BN$2,0,0,ROW()-1,60),ROW()-1,FALSE))</f>
        <v/>
      </c>
      <c r="P483" t="str">
        <f ca="1">IF(AND(ISNUMBER($P$1145),$B$677=1),$P$1145,HLOOKUP(INDIRECT(ADDRESS(2,COLUMN())),OFFSET($BN$2,0,0,ROW()-1,60),ROW()-1,FALSE))</f>
        <v/>
      </c>
      <c r="Q483" t="str">
        <f ca="1">IF(AND(ISNUMBER($Q$1145),$B$677=1),$Q$1145,HLOOKUP(INDIRECT(ADDRESS(2,COLUMN())),OFFSET($BN$2,0,0,ROW()-1,60),ROW()-1,FALSE))</f>
        <v/>
      </c>
      <c r="R483" t="str">
        <f ca="1">IF(AND(ISNUMBER($R$1145),$B$677=1),$R$1145,HLOOKUP(INDIRECT(ADDRESS(2,COLUMN())),OFFSET($BN$2,0,0,ROW()-1,60),ROW()-1,FALSE))</f>
        <v/>
      </c>
      <c r="S483" t="str">
        <f ca="1">IF(AND(ISNUMBER($S$1145),$B$677=1),$S$1145,HLOOKUP(INDIRECT(ADDRESS(2,COLUMN())),OFFSET($BN$2,0,0,ROW()-1,60),ROW()-1,FALSE))</f>
        <v/>
      </c>
      <c r="T483" t="str">
        <f ca="1">IF(AND(ISNUMBER($T$1145),$B$677=1),$T$1145,HLOOKUP(INDIRECT(ADDRESS(2,COLUMN())),OFFSET($BN$2,0,0,ROW()-1,60),ROW()-1,FALSE))</f>
        <v/>
      </c>
      <c r="U483" t="str">
        <f ca="1">IF(AND(ISNUMBER($U$1145),$B$677=1),$U$1145,HLOOKUP(INDIRECT(ADDRESS(2,COLUMN())),OFFSET($BN$2,0,0,ROW()-1,60),ROW()-1,FALSE))</f>
        <v/>
      </c>
      <c r="V483" t="str">
        <f ca="1">IF(AND(ISNUMBER($V$1145),$B$677=1),$V$1145,HLOOKUP(INDIRECT(ADDRESS(2,COLUMN())),OFFSET($BN$2,0,0,ROW()-1,60),ROW()-1,FALSE))</f>
        <v/>
      </c>
      <c r="W483" t="str">
        <f ca="1">IF(AND(ISNUMBER($W$1145),$B$677=1),$W$1145,HLOOKUP(INDIRECT(ADDRESS(2,COLUMN())),OFFSET($BN$2,0,0,ROW()-1,60),ROW()-1,FALSE))</f>
        <v/>
      </c>
      <c r="X483" t="str">
        <f ca="1">IF(AND(ISNUMBER($X$1145),$B$677=1),$X$1145,HLOOKUP(INDIRECT(ADDRESS(2,COLUMN())),OFFSET($BN$2,0,0,ROW()-1,60),ROW()-1,FALSE))</f>
        <v/>
      </c>
      <c r="Y483" t="str">
        <f ca="1">IF(AND(ISNUMBER($Y$1145),$B$677=1),$Y$1145,HLOOKUP(INDIRECT(ADDRESS(2,COLUMN())),OFFSET($BN$2,0,0,ROW()-1,60),ROW()-1,FALSE))</f>
        <v/>
      </c>
      <c r="Z483" t="str">
        <f ca="1">IF(AND(ISNUMBER($Z$1145),$B$677=1),$Z$1145,HLOOKUP(INDIRECT(ADDRESS(2,COLUMN())),OFFSET($BN$2,0,0,ROW()-1,60),ROW()-1,FALSE))</f>
        <v/>
      </c>
      <c r="AA483" t="str">
        <f ca="1">IF(AND(ISNUMBER($AA$1145),$B$677=1),$AA$1145,HLOOKUP(INDIRECT(ADDRESS(2,COLUMN())),OFFSET($BN$2,0,0,ROW()-1,60),ROW()-1,FALSE))</f>
        <v/>
      </c>
      <c r="AB483" t="str">
        <f ca="1">IF(AND(ISNUMBER($AB$1145),$B$677=1),$AB$1145,HLOOKUP(INDIRECT(ADDRESS(2,COLUMN())),OFFSET($BN$2,0,0,ROW()-1,60),ROW()-1,FALSE))</f>
        <v/>
      </c>
      <c r="AC483" t="str">
        <f ca="1">IF(AND(ISNUMBER($AC$1145),$B$677=1),$AC$1145,HLOOKUP(INDIRECT(ADDRESS(2,COLUMN())),OFFSET($BN$2,0,0,ROW()-1,60),ROW()-1,FALSE))</f>
        <v/>
      </c>
      <c r="AD483" t="str">
        <f ca="1">IF(AND(ISNUMBER($AD$1145),$B$677=1),$AD$1145,HLOOKUP(INDIRECT(ADDRESS(2,COLUMN())),OFFSET($BN$2,0,0,ROW()-1,60),ROW()-1,FALSE))</f>
        <v/>
      </c>
      <c r="AE483" t="str">
        <f ca="1">IF(AND(ISNUMBER($AE$1145),$B$677=1),$AE$1145,HLOOKUP(INDIRECT(ADDRESS(2,COLUMN())),OFFSET($BN$2,0,0,ROW()-1,60),ROW()-1,FALSE))</f>
        <v/>
      </c>
      <c r="AF483" t="str">
        <f ca="1">IF(AND(ISNUMBER($AF$1145),$B$677=1),$AF$1145,HLOOKUP(INDIRECT(ADDRESS(2,COLUMN())),OFFSET($BN$2,0,0,ROW()-1,60),ROW()-1,FALSE))</f>
        <v/>
      </c>
      <c r="AG483" t="str">
        <f ca="1">IF(AND(ISNUMBER($AG$1145),$B$677=1),$AG$1145,HLOOKUP(INDIRECT(ADDRESS(2,COLUMN())),OFFSET($BN$2,0,0,ROW()-1,60),ROW()-1,FALSE))</f>
        <v/>
      </c>
      <c r="AH483" t="str">
        <f ca="1">IF(AND(ISNUMBER($AH$1145),$B$677=1),$AH$1145,HLOOKUP(INDIRECT(ADDRESS(2,COLUMN())),OFFSET($BN$2,0,0,ROW()-1,60),ROW()-1,FALSE))</f>
        <v/>
      </c>
      <c r="AI483" t="str">
        <f ca="1">IF(AND(ISNUMBER($AI$1145),$B$677=1),$AI$1145,HLOOKUP(INDIRECT(ADDRESS(2,COLUMN())),OFFSET($BN$2,0,0,ROW()-1,60),ROW()-1,FALSE))</f>
        <v/>
      </c>
      <c r="AJ483" t="str">
        <f ca="1">IF(AND(ISNUMBER($AJ$1145),$B$677=1),$AJ$1145,HLOOKUP(INDIRECT(ADDRESS(2,COLUMN())),OFFSET($BN$2,0,0,ROW()-1,60),ROW()-1,FALSE))</f>
        <v/>
      </c>
      <c r="AK483" t="str">
        <f ca="1">IF(AND(ISNUMBER($AK$1145),$B$677=1),$AK$1145,HLOOKUP(INDIRECT(ADDRESS(2,COLUMN())),OFFSET($BN$2,0,0,ROW()-1,60),ROW()-1,FALSE))</f>
        <v/>
      </c>
      <c r="AL483" t="str">
        <f ca="1">IF(AND(ISNUMBER($AL$1145),$B$677=1),$AL$1145,HLOOKUP(INDIRECT(ADDRESS(2,COLUMN())),OFFSET($BN$2,0,0,ROW()-1,60),ROW()-1,FALSE))</f>
        <v/>
      </c>
      <c r="AM483" t="str">
        <f ca="1">IF(AND(ISNUMBER($AM$1145),$B$677=1),$AM$1145,HLOOKUP(INDIRECT(ADDRESS(2,COLUMN())),OFFSET($BN$2,0,0,ROW()-1,60),ROW()-1,FALSE))</f>
        <v/>
      </c>
      <c r="AN483" t="str">
        <f ca="1">IF(AND(ISNUMBER($AN$1145),$B$677=1),$AN$1145,HLOOKUP(INDIRECT(ADDRESS(2,COLUMN())),OFFSET($BN$2,0,0,ROW()-1,60),ROW()-1,FALSE))</f>
        <v/>
      </c>
      <c r="AO483" t="str">
        <f ca="1">IF(AND(ISNUMBER($AO$1145),$B$677=1),$AO$1145,HLOOKUP(INDIRECT(ADDRESS(2,COLUMN())),OFFSET($BN$2,0,0,ROW()-1,60),ROW()-1,FALSE))</f>
        <v/>
      </c>
      <c r="AP483" t="str">
        <f ca="1">IF(AND(ISNUMBER($AP$1145),$B$677=1),$AP$1145,HLOOKUP(INDIRECT(ADDRESS(2,COLUMN())),OFFSET($BN$2,0,0,ROW()-1,60),ROW()-1,FALSE))</f>
        <v/>
      </c>
      <c r="AQ483" t="str">
        <f ca="1">IF(AND(ISNUMBER($AQ$1145),$B$677=1),$AQ$1145,HLOOKUP(INDIRECT(ADDRESS(2,COLUMN())),OFFSET($BN$2,0,0,ROW()-1,60),ROW()-1,FALSE))</f>
        <v/>
      </c>
      <c r="AR483" t="str">
        <f ca="1">IF(AND(ISNUMBER($AR$1145),$B$677=1),$AR$1145,HLOOKUP(INDIRECT(ADDRESS(2,COLUMN())),OFFSET($BN$2,0,0,ROW()-1,60),ROW()-1,FALSE))</f>
        <v/>
      </c>
      <c r="AS483" t="str">
        <f ca="1">IF(AND(ISNUMBER($AS$1145),$B$677=1),$AS$1145,HLOOKUP(INDIRECT(ADDRESS(2,COLUMN())),OFFSET($BN$2,0,0,ROW()-1,60),ROW()-1,FALSE))</f>
        <v/>
      </c>
      <c r="AT483" t="str">
        <f ca="1">IF(AND(ISNUMBER($AT$1145),$B$677=1),$AT$1145,HLOOKUP(INDIRECT(ADDRESS(2,COLUMN())),OFFSET($BN$2,0,0,ROW()-1,60),ROW()-1,FALSE))</f>
        <v/>
      </c>
      <c r="AU483" t="str">
        <f ca="1">IF(AND(ISNUMBER($AU$1145),$B$677=1),$AU$1145,HLOOKUP(INDIRECT(ADDRESS(2,COLUMN())),OFFSET($BN$2,0,0,ROW()-1,60),ROW()-1,FALSE))</f>
        <v/>
      </c>
      <c r="AV483" t="str">
        <f ca="1">IF(AND(ISNUMBER($AV$1145),$B$677=1),$AV$1145,HLOOKUP(INDIRECT(ADDRESS(2,COLUMN())),OFFSET($BN$2,0,0,ROW()-1,60),ROW()-1,FALSE))</f>
        <v/>
      </c>
      <c r="AW483" t="str">
        <f ca="1">IF(AND(ISNUMBER($AW$1145),$B$677=1),$AW$1145,HLOOKUP(INDIRECT(ADDRESS(2,COLUMN())),OFFSET($BN$2,0,0,ROW()-1,60),ROW()-1,FALSE))</f>
        <v/>
      </c>
      <c r="AX483" t="str">
        <f ca="1">IF(AND(ISNUMBER($AX$1145),$B$677=1),$AX$1145,HLOOKUP(INDIRECT(ADDRESS(2,COLUMN())),OFFSET($BN$2,0,0,ROW()-1,60),ROW()-1,FALSE))</f>
        <v/>
      </c>
      <c r="AY483" t="str">
        <f ca="1">IF(AND(ISNUMBER($AY$1145),$B$677=1),$AY$1145,HLOOKUP(INDIRECT(ADDRESS(2,COLUMN())),OFFSET($BN$2,0,0,ROW()-1,60),ROW()-1,FALSE))</f>
        <v/>
      </c>
      <c r="AZ483" t="str">
        <f ca="1">IF(AND(ISNUMBER($AZ$1145),$B$677=1),$AZ$1145,HLOOKUP(INDIRECT(ADDRESS(2,COLUMN())),OFFSET($BN$2,0,0,ROW()-1,60),ROW()-1,FALSE))</f>
        <v/>
      </c>
      <c r="BA483" t="str">
        <f ca="1">IF(AND(ISNUMBER($BA$1145),$B$677=1),$BA$1145,HLOOKUP(INDIRECT(ADDRESS(2,COLUMN())),OFFSET($BN$2,0,0,ROW()-1,60),ROW()-1,FALSE))</f>
        <v/>
      </c>
      <c r="BB483" t="str">
        <f ca="1">IF(AND(ISNUMBER($BB$1145),$B$677=1),$BB$1145,HLOOKUP(INDIRECT(ADDRESS(2,COLUMN())),OFFSET($BN$2,0,0,ROW()-1,60),ROW()-1,FALSE))</f>
        <v/>
      </c>
      <c r="BC483" t="str">
        <f ca="1">IF(AND(ISNUMBER($BC$1145),$B$677=1),$BC$1145,HLOOKUP(INDIRECT(ADDRESS(2,COLUMN())),OFFSET($BN$2,0,0,ROW()-1,60),ROW()-1,FALSE))</f>
        <v/>
      </c>
      <c r="BD483" t="str">
        <f ca="1">IF(AND(ISNUMBER($BD$1145),$B$677=1),$BD$1145,HLOOKUP(INDIRECT(ADDRESS(2,COLUMN())),OFFSET($BN$2,0,0,ROW()-1,60),ROW()-1,FALSE))</f>
        <v/>
      </c>
      <c r="BE483" t="str">
        <f ca="1">IF(AND(ISNUMBER($BE$1145),$B$677=1),$BE$1145,HLOOKUP(INDIRECT(ADDRESS(2,COLUMN())),OFFSET($BN$2,0,0,ROW()-1,60),ROW()-1,FALSE))</f>
        <v/>
      </c>
      <c r="BF483" t="str">
        <f ca="1">IF(AND(ISNUMBER($BF$1145),$B$677=1),$BF$1145,HLOOKUP(INDIRECT(ADDRESS(2,COLUMN())),OFFSET($BN$2,0,0,ROW()-1,60),ROW()-1,FALSE))</f>
        <v/>
      </c>
      <c r="BG483" t="str">
        <f ca="1">IF(AND(ISNUMBER($BG$1145),$B$677=1),$BG$1145,HLOOKUP(INDIRECT(ADDRESS(2,COLUMN())),OFFSET($BN$2,0,0,ROW()-1,60),ROW()-1,FALSE))</f>
        <v/>
      </c>
      <c r="BH483" t="str">
        <f ca="1">IF(AND(ISNUMBER($BH$1145),$B$677=1),$BH$1145,HLOOKUP(INDIRECT(ADDRESS(2,COLUMN())),OFFSET($BN$2,0,0,ROW()-1,60),ROW()-1,FALSE))</f>
        <v/>
      </c>
      <c r="BI483" t="str">
        <f ca="1">IF(AND(ISNUMBER($BI$1145),$B$677=1),$BI$1145,HLOOKUP(INDIRECT(ADDRESS(2,COLUMN())),OFFSET($BN$2,0,0,ROW()-1,60),ROW()-1,FALSE))</f>
        <v/>
      </c>
      <c r="BJ483" t="str">
        <f ca="1">IF(AND(ISNUMBER($BJ$1145),$B$677=1),$BJ$1145,HLOOKUP(INDIRECT(ADDRESS(2,COLUMN())),OFFSET($BN$2,0,0,ROW()-1,60),ROW()-1,FALSE))</f>
        <v/>
      </c>
      <c r="BK483" t="str">
        <f ca="1">IF(AND(ISNUMBER($BK$1145),$B$677=1),$BK$1145,HLOOKUP(INDIRECT(ADDRESS(2,COLUMN())),OFFSET($BN$2,0,0,ROW()-1,60),ROW()-1,FALSE))</f>
        <v/>
      </c>
      <c r="BL483" t="str">
        <f ca="1">IF(AND(ISNUMBER($BL$1145),$B$677=1),$BL$1145,HLOOKUP(INDIRECT(ADDRESS(2,COLUMN())),OFFSET($BN$2,0,0,ROW()-1,60),ROW()-1,FALSE))</f>
        <v/>
      </c>
      <c r="BM483" t="str">
        <f ca="1">IF(AND(ISNUMBER($BM$1145),$B$677=1),$BM$1145,HLOOKUP(INDIRECT(ADDRESS(2,COLUMN())),OFFSET($BN$2,0,0,ROW()-1,60),ROW()-1,FALSE))</f>
        <v/>
      </c>
      <c r="BN483" t="str">
        <f>""</f>
        <v/>
      </c>
      <c r="BO483" t="str">
        <f>""</f>
        <v/>
      </c>
      <c r="BP483" t="str">
        <f>""</f>
        <v/>
      </c>
      <c r="BQ483" t="str">
        <f>""</f>
        <v/>
      </c>
      <c r="BR483" t="str">
        <f>""</f>
        <v/>
      </c>
      <c r="BS483" t="str">
        <f>""</f>
        <v/>
      </c>
      <c r="BT483" t="str">
        <f>""</f>
        <v/>
      </c>
      <c r="BU483" t="str">
        <f>""</f>
        <v/>
      </c>
      <c r="BV483" t="str">
        <f>""</f>
        <v/>
      </c>
      <c r="BW483" t="str">
        <f>""</f>
        <v/>
      </c>
      <c r="BX483" t="str">
        <f>""</f>
        <v/>
      </c>
      <c r="BY483" t="str">
        <f>""</f>
        <v/>
      </c>
      <c r="BZ483" t="str">
        <f>""</f>
        <v/>
      </c>
      <c r="CA483" t="str">
        <f>""</f>
        <v/>
      </c>
      <c r="CB483" t="str">
        <f>""</f>
        <v/>
      </c>
      <c r="CC483" t="str">
        <f>""</f>
        <v/>
      </c>
      <c r="CD483" t="str">
        <f>""</f>
        <v/>
      </c>
      <c r="CE483" t="str">
        <f>""</f>
        <v/>
      </c>
      <c r="CF483" t="str">
        <f>""</f>
        <v/>
      </c>
      <c r="CG483" t="str">
        <f>""</f>
        <v/>
      </c>
      <c r="CH483" t="str">
        <f>""</f>
        <v/>
      </c>
      <c r="CI483" t="str">
        <f>""</f>
        <v/>
      </c>
      <c r="CJ483" t="str">
        <f>""</f>
        <v/>
      </c>
      <c r="CK483" t="str">
        <f>""</f>
        <v/>
      </c>
      <c r="CL483" t="str">
        <f>""</f>
        <v/>
      </c>
      <c r="CM483" t="str">
        <f>""</f>
        <v/>
      </c>
      <c r="CN483" t="str">
        <f>""</f>
        <v/>
      </c>
      <c r="CO483" t="str">
        <f>""</f>
        <v/>
      </c>
      <c r="CP483" t="str">
        <f>""</f>
        <v/>
      </c>
      <c r="CQ483" t="str">
        <f>""</f>
        <v/>
      </c>
      <c r="CR483" t="str">
        <f>""</f>
        <v/>
      </c>
      <c r="CS483" t="str">
        <f>""</f>
        <v/>
      </c>
      <c r="CT483" t="str">
        <f>""</f>
        <v/>
      </c>
      <c r="CU483" t="str">
        <f>""</f>
        <v/>
      </c>
      <c r="CV483" t="str">
        <f>""</f>
        <v/>
      </c>
      <c r="CW483" t="str">
        <f>""</f>
        <v/>
      </c>
      <c r="CX483" t="str">
        <f>""</f>
        <v/>
      </c>
      <c r="CY483" t="str">
        <f>""</f>
        <v/>
      </c>
      <c r="CZ483" t="str">
        <f>""</f>
        <v/>
      </c>
      <c r="DA483" t="str">
        <f>""</f>
        <v/>
      </c>
      <c r="DB483" t="str">
        <f>""</f>
        <v/>
      </c>
      <c r="DC483" t="str">
        <f>""</f>
        <v/>
      </c>
      <c r="DD483" t="str">
        <f>""</f>
        <v/>
      </c>
      <c r="DE483" t="str">
        <f>""</f>
        <v/>
      </c>
      <c r="DF483" t="str">
        <f>""</f>
        <v/>
      </c>
      <c r="DG483" t="str">
        <f>""</f>
        <v/>
      </c>
      <c r="DH483" t="str">
        <f>""</f>
        <v/>
      </c>
      <c r="DI483" t="str">
        <f>""</f>
        <v/>
      </c>
      <c r="DJ483" t="str">
        <f>""</f>
        <v/>
      </c>
      <c r="DK483" t="str">
        <f>""</f>
        <v/>
      </c>
      <c r="DL483" t="str">
        <f>""</f>
        <v/>
      </c>
      <c r="DM483" t="str">
        <f>""</f>
        <v/>
      </c>
      <c r="DN483" t="str">
        <f>""</f>
        <v/>
      </c>
      <c r="DO483" t="str">
        <f>""</f>
        <v/>
      </c>
      <c r="DP483" t="str">
        <f>""</f>
        <v/>
      </c>
      <c r="DQ483" t="str">
        <f>""</f>
        <v/>
      </c>
      <c r="DR483" t="str">
        <f>""</f>
        <v/>
      </c>
      <c r="DS483" t="str">
        <f>""</f>
        <v/>
      </c>
      <c r="DT483" t="str">
        <f>""</f>
        <v/>
      </c>
      <c r="DU483" t="str">
        <f>""</f>
        <v/>
      </c>
    </row>
    <row r="484" spans="1:125" x14ac:dyDescent="0.25">
      <c r="A484" t="str">
        <f>"    SAIC Motor Corp Ltd"</f>
        <v xml:space="preserve">    SAIC Motor Corp Ltd</v>
      </c>
      <c r="B484" t="str">
        <f>"600104 CH Equity"</f>
        <v>600104 CH Equity</v>
      </c>
      <c r="C484" t="str">
        <f t="shared" si="33"/>
        <v>RR476</v>
      </c>
      <c r="D484" t="str">
        <f t="shared" si="34"/>
        <v>EV_TO_T12M_NET_INCOME</v>
      </c>
      <c r="E484" t="str">
        <f t="shared" si="35"/>
        <v>Dynamic</v>
      </c>
      <c r="F484" t="str">
        <f ca="1">IF(AND(ISNUMBER($F$1146),$B$677=1),$F$1146,HLOOKUP(INDIRECT(ADDRESS(2,COLUMN())),OFFSET($BN$2,0,0,ROW()-1,60),ROW()-1,FALSE))</f>
        <v/>
      </c>
      <c r="G484" t="str">
        <f ca="1">IF(AND(ISNUMBER($G$1146),$B$677=1),$G$1146,HLOOKUP(INDIRECT(ADDRESS(2,COLUMN())),OFFSET($BN$2,0,0,ROW()-1,60),ROW()-1,FALSE))</f>
        <v/>
      </c>
      <c r="H484">
        <f ca="1">IF(AND(ISNUMBER($H$1146),$B$677=1),$H$1146,HLOOKUP(INDIRECT(ADDRESS(2,COLUMN())),OFFSET($BN$2,0,0,ROW()-1,60),ROW()-1,FALSE))</f>
        <v>12.700277059999999</v>
      </c>
      <c r="I484">
        <f ca="1">IF(AND(ISNUMBER($I$1146),$B$677=1),$I$1146,HLOOKUP(INDIRECT(ADDRESS(2,COLUMN())),OFFSET($BN$2,0,0,ROW()-1,60),ROW()-1,FALSE))</f>
        <v>11.92024264</v>
      </c>
      <c r="J484">
        <f ca="1">IF(AND(ISNUMBER($J$1146),$B$677=1),$J$1146,HLOOKUP(INDIRECT(ADDRESS(2,COLUMN())),OFFSET($BN$2,0,0,ROW()-1,60),ROW()-1,FALSE))</f>
        <v>13.89747216</v>
      </c>
      <c r="K484">
        <f ca="1">IF(AND(ISNUMBER($K$1146),$B$677=1),$K$1146,HLOOKUP(INDIRECT(ADDRESS(2,COLUMN())),OFFSET($BN$2,0,0,ROW()-1,60),ROW()-1,FALSE))</f>
        <v>13.922161040000001</v>
      </c>
      <c r="L484">
        <f ca="1">IF(AND(ISNUMBER($L$1146),$B$677=1),$L$1146,HLOOKUP(INDIRECT(ADDRESS(2,COLUMN())),OFFSET($BN$2,0,0,ROW()-1,60),ROW()-1,FALSE))</f>
        <v>12.54340464</v>
      </c>
      <c r="M484">
        <f ca="1">IF(AND(ISNUMBER($M$1146),$B$677=1),$M$1146,HLOOKUP(INDIRECT(ADDRESS(2,COLUMN())),OFFSET($BN$2,0,0,ROW()-1,60),ROW()-1,FALSE))</f>
        <v>10.53956032</v>
      </c>
      <c r="N484">
        <f ca="1">IF(AND(ISNUMBER($N$1146),$B$677=1),$N$1146,HLOOKUP(INDIRECT(ADDRESS(2,COLUMN())),OFFSET($BN$2,0,0,ROW()-1,60),ROW()-1,FALSE))</f>
        <v>11.27618511</v>
      </c>
      <c r="O484">
        <f ca="1">IF(AND(ISNUMBER($O$1146),$B$677=1),$O$1146,HLOOKUP(INDIRECT(ADDRESS(2,COLUMN())),OFFSET($BN$2,0,0,ROW()-1,60),ROW()-1,FALSE))</f>
        <v>10.118274120000001</v>
      </c>
      <c r="P484">
        <f ca="1">IF(AND(ISNUMBER($P$1146),$B$677=1),$P$1146,HLOOKUP(INDIRECT(ADDRESS(2,COLUMN())),OFFSET($BN$2,0,0,ROW()-1,60),ROW()-1,FALSE))</f>
        <v>9.5167999890000008</v>
      </c>
      <c r="Q484">
        <f ca="1">IF(AND(ISNUMBER($Q$1146),$B$677=1),$Q$1146,HLOOKUP(INDIRECT(ADDRESS(2,COLUMN())),OFFSET($BN$2,0,0,ROW()-1,60),ROW()-1,FALSE))</f>
        <v>9.3192205860000001</v>
      </c>
      <c r="R484">
        <f ca="1">IF(AND(ISNUMBER($R$1146),$B$677=1),$R$1146,HLOOKUP(INDIRECT(ADDRESS(2,COLUMN())),OFFSET($BN$2,0,0,ROW()-1,60),ROW()-1,FALSE))</f>
        <v>8.9636593849999997</v>
      </c>
      <c r="S484">
        <f ca="1">IF(AND(ISNUMBER($S$1146),$B$677=1),$S$1146,HLOOKUP(INDIRECT(ADDRESS(2,COLUMN())),OFFSET($BN$2,0,0,ROW()-1,60),ROW()-1,FALSE))</f>
        <v>10.10307602</v>
      </c>
      <c r="T484">
        <f ca="1">IF(AND(ISNUMBER($T$1146),$B$677=1),$T$1146,HLOOKUP(INDIRECT(ADDRESS(2,COLUMN())),OFFSET($BN$2,0,0,ROW()-1,60),ROW()-1,FALSE))</f>
        <v>8.4212607540000004</v>
      </c>
      <c r="U484">
        <f ca="1">IF(AND(ISNUMBER($U$1146),$B$677=1),$U$1146,HLOOKUP(INDIRECT(ADDRESS(2,COLUMN())),OFFSET($BN$2,0,0,ROW()-1,60),ROW()-1,FALSE))</f>
        <v>10.56823172</v>
      </c>
      <c r="V484">
        <f ca="1">IF(AND(ISNUMBER($V$1146),$B$677=1),$V$1146,HLOOKUP(INDIRECT(ADDRESS(2,COLUMN())),OFFSET($BN$2,0,0,ROW()-1,60),ROW()-1,FALSE))</f>
        <v>11.9630513</v>
      </c>
      <c r="W484">
        <f ca="1">IF(AND(ISNUMBER($W$1146),$B$677=1),$W$1146,HLOOKUP(INDIRECT(ADDRESS(2,COLUMN())),OFFSET($BN$2,0,0,ROW()-1,60),ROW()-1,FALSE))</f>
        <v>8.6760903650000003</v>
      </c>
      <c r="X484">
        <f ca="1">IF(AND(ISNUMBER($X$1146),$B$677=1),$X$1146,HLOOKUP(INDIRECT(ADDRESS(2,COLUMN())),OFFSET($BN$2,0,0,ROW()-1,60),ROW()-1,FALSE))</f>
        <v>7.2274990649999999</v>
      </c>
      <c r="Y484">
        <f ca="1">IF(AND(ISNUMBER($Y$1146),$B$677=1),$Y$1146,HLOOKUP(INDIRECT(ADDRESS(2,COLUMN())),OFFSET($BN$2,0,0,ROW()-1,60),ROW()-1,FALSE))</f>
        <v>5.6976855449999997</v>
      </c>
      <c r="Z484">
        <f ca="1">IF(AND(ISNUMBER($Z$1146),$B$677=1),$Z$1146,HLOOKUP(INDIRECT(ADDRESS(2,COLUMN())),OFFSET($BN$2,0,0,ROW()-1,60),ROW()-1,FALSE))</f>
        <v>6.5278450860000001</v>
      </c>
      <c r="AA484">
        <f ca="1">IF(AND(ISNUMBER($AA$1146),$B$677=1),$AA$1146,HLOOKUP(INDIRECT(ADDRESS(2,COLUMN())),OFFSET($BN$2,0,0,ROW()-1,60),ROW()-1,FALSE))</f>
        <v>6.3157040650000003</v>
      </c>
      <c r="AB484">
        <f ca="1">IF(AND(ISNUMBER($AB$1146),$B$677=1),$AB$1146,HLOOKUP(INDIRECT(ADDRESS(2,COLUMN())),OFFSET($BN$2,0,0,ROW()-1,60),ROW()-1,FALSE))</f>
        <v>7.0727701859999996</v>
      </c>
      <c r="AC484">
        <f ca="1">IF(AND(ISNUMBER($AC$1146),$B$677=1),$AC$1146,HLOOKUP(INDIRECT(ADDRESS(2,COLUMN())),OFFSET($BN$2,0,0,ROW()-1,60),ROW()-1,FALSE))</f>
        <v>5.8552345590000003</v>
      </c>
      <c r="AD484">
        <f ca="1">IF(AND(ISNUMBER($AD$1146),$B$677=1),$AD$1146,HLOOKUP(INDIRECT(ADDRESS(2,COLUMN())),OFFSET($BN$2,0,0,ROW()-1,60),ROW()-1,FALSE))</f>
        <v>8.7890436820000009</v>
      </c>
      <c r="AE484">
        <f ca="1">IF(AND(ISNUMBER($AE$1146),$B$677=1),$AE$1146,HLOOKUP(INDIRECT(ADDRESS(2,COLUMN())),OFFSET($BN$2,0,0,ROW()-1,60),ROW()-1,FALSE))</f>
        <v>9.616721042</v>
      </c>
      <c r="AF484">
        <f ca="1">IF(AND(ISNUMBER($AF$1146),$B$677=1),$AF$1146,HLOOKUP(INDIRECT(ADDRESS(2,COLUMN())),OFFSET($BN$2,0,0,ROW()-1,60),ROW()-1,FALSE))</f>
        <v>6.2079291489999999</v>
      </c>
      <c r="AG484">
        <f ca="1">IF(AND(ISNUMBER($AG$1146),$B$677=1),$AG$1146,HLOOKUP(INDIRECT(ADDRESS(2,COLUMN())),OFFSET($BN$2,0,0,ROW()-1,60),ROW()-1,FALSE))</f>
        <v>6.3129940070000004</v>
      </c>
      <c r="AH484">
        <f ca="1">IF(AND(ISNUMBER($AH$1146),$B$677=1),$AH$1146,HLOOKUP(INDIRECT(ADDRESS(2,COLUMN())),OFFSET($BN$2,0,0,ROW()-1,60),ROW()-1,FALSE))</f>
        <v>6.9284382610000002</v>
      </c>
      <c r="AI484">
        <f ca="1">IF(AND(ISNUMBER($AI$1146),$B$677=1),$AI$1146,HLOOKUP(INDIRECT(ADDRESS(2,COLUMN())),OFFSET($BN$2,0,0,ROW()-1,60),ROW()-1,FALSE))</f>
        <v>7.1996711810000003</v>
      </c>
      <c r="AJ484">
        <f ca="1">IF(AND(ISNUMBER($AJ$1146),$B$677=1),$AJ$1146,HLOOKUP(INDIRECT(ADDRESS(2,COLUMN())),OFFSET($BN$2,0,0,ROW()-1,60),ROW()-1,FALSE))</f>
        <v>6.6805509159999996</v>
      </c>
      <c r="AK484">
        <f ca="1">IF(AND(ISNUMBER($AK$1146),$B$677=1),$AK$1146,HLOOKUP(INDIRECT(ADDRESS(2,COLUMN())),OFFSET($BN$2,0,0,ROW()-1,60),ROW()-1,FALSE))</f>
        <v>8.1899053219999995</v>
      </c>
      <c r="AL484" t="str">
        <f ca="1">IF(AND(ISNUMBER($AL$1146),$B$677=1),$AL$1146,HLOOKUP(INDIRECT(ADDRESS(2,COLUMN())),OFFSET($BN$2,0,0,ROW()-1,60),ROW()-1,FALSE))</f>
        <v/>
      </c>
      <c r="AM484">
        <f ca="1">IF(AND(ISNUMBER($AM$1146),$B$677=1),$AM$1146,HLOOKUP(INDIRECT(ADDRESS(2,COLUMN())),OFFSET($BN$2,0,0,ROW()-1,60),ROW()-1,FALSE))</f>
        <v>7.9500257750000003</v>
      </c>
      <c r="AN484">
        <f ca="1">IF(AND(ISNUMBER($AN$1146),$B$677=1),$AN$1146,HLOOKUP(INDIRECT(ADDRESS(2,COLUMN())),OFFSET($BN$2,0,0,ROW()-1,60),ROW()-1,FALSE))</f>
        <v>12.754450609999999</v>
      </c>
      <c r="AO484">
        <f ca="1">IF(AND(ISNUMBER($AO$1146),$B$677=1),$AO$1146,HLOOKUP(INDIRECT(ADDRESS(2,COLUMN())),OFFSET($BN$2,0,0,ROW()-1,60),ROW()-1,FALSE))</f>
        <v>10.789320139999999</v>
      </c>
      <c r="AP484">
        <f ca="1">IF(AND(ISNUMBER($AP$1146),$B$677=1),$AP$1146,HLOOKUP(INDIRECT(ADDRESS(2,COLUMN())),OFFSET($BN$2,0,0,ROW()-1,60),ROW()-1,FALSE))</f>
        <v>15.530746949999999</v>
      </c>
      <c r="AQ484">
        <f ca="1">IF(AND(ISNUMBER($AQ$1146),$B$677=1),$AQ$1146,HLOOKUP(INDIRECT(ADDRESS(2,COLUMN())),OFFSET($BN$2,0,0,ROW()-1,60),ROW()-1,FALSE))</f>
        <v>29.257747559999999</v>
      </c>
      <c r="AR484">
        <f ca="1">IF(AND(ISNUMBER($AR$1146),$B$677=1),$AR$1146,HLOOKUP(INDIRECT(ADDRESS(2,COLUMN())),OFFSET($BN$2,0,0,ROW()-1,60),ROW()-1,FALSE))</f>
        <v>58.013280020000003</v>
      </c>
      <c r="AS484">
        <f ca="1">IF(AND(ISNUMBER($AS$1146),$B$677=1),$AS$1146,HLOOKUP(INDIRECT(ADDRESS(2,COLUMN())),OFFSET($BN$2,0,0,ROW()-1,60),ROW()-1,FALSE))</f>
        <v>833.30855440000005</v>
      </c>
      <c r="AT484">
        <f ca="1">IF(AND(ISNUMBER($AT$1146),$B$677=1),$AT$1146,HLOOKUP(INDIRECT(ADDRESS(2,COLUMN())),OFFSET($BN$2,0,0,ROW()-1,60),ROW()-1,FALSE))</f>
        <v>1687.5062049999999</v>
      </c>
      <c r="AU484">
        <f ca="1">IF(AND(ISNUMBER($AU$1146),$B$677=1),$AU$1146,HLOOKUP(INDIRECT(ADDRESS(2,COLUMN())),OFFSET($BN$2,0,0,ROW()-1,60),ROW()-1,FALSE))</f>
        <v>46.998972649999999</v>
      </c>
      <c r="AV484">
        <f ca="1">IF(AND(ISNUMBER($AV$1146),$B$677=1),$AV$1146,HLOOKUP(INDIRECT(ADDRESS(2,COLUMN())),OFFSET($BN$2,0,0,ROW()-1,60),ROW()-1,FALSE))</f>
        <v>16.521045579999999</v>
      </c>
      <c r="AW484">
        <f ca="1">IF(AND(ISNUMBER($AW$1146),$B$677=1),$AW$1146,HLOOKUP(INDIRECT(ADDRESS(2,COLUMN())),OFFSET($BN$2,0,0,ROW()-1,60),ROW()-1,FALSE))</f>
        <v>13.970395740000001</v>
      </c>
      <c r="AX484">
        <f ca="1">IF(AND(ISNUMBER($AX$1146),$B$677=1),$AX$1146,HLOOKUP(INDIRECT(ADDRESS(2,COLUMN())),OFFSET($BN$2,0,0,ROW()-1,60),ROW()-1,FALSE))</f>
        <v>16.841005030000002</v>
      </c>
      <c r="AY484">
        <f ca="1">IF(AND(ISNUMBER($AY$1146),$B$677=1),$AY$1146,HLOOKUP(INDIRECT(ADDRESS(2,COLUMN())),OFFSET($BN$2,0,0,ROW()-1,60),ROW()-1,FALSE))</f>
        <v>38.001846780000001</v>
      </c>
      <c r="AZ484">
        <f ca="1">IF(AND(ISNUMBER($AZ$1146),$B$677=1),$AZ$1146,HLOOKUP(INDIRECT(ADDRESS(2,COLUMN())),OFFSET($BN$2,0,0,ROW()-1,60),ROW()-1,FALSE))</f>
        <v>43.163243209999997</v>
      </c>
      <c r="BA484">
        <f ca="1">IF(AND(ISNUMBER($BA$1146),$B$677=1),$BA$1146,HLOOKUP(INDIRECT(ADDRESS(2,COLUMN())),OFFSET($BN$2,0,0,ROW()-1,60),ROW()-1,FALSE))</f>
        <v>31.347386050000001</v>
      </c>
      <c r="BB484">
        <f ca="1">IF(AND(ISNUMBER($BB$1146),$B$677=1),$BB$1146,HLOOKUP(INDIRECT(ADDRESS(2,COLUMN())),OFFSET($BN$2,0,0,ROW()-1,60),ROW()-1,FALSE))</f>
        <v>35.434112319999997</v>
      </c>
      <c r="BC484">
        <f ca="1">IF(AND(ISNUMBER($BC$1146),$B$677=1),$BC$1146,HLOOKUP(INDIRECT(ADDRESS(2,COLUMN())),OFFSET($BN$2,0,0,ROW()-1,60),ROW()-1,FALSE))</f>
        <v>38.704021070000003</v>
      </c>
      <c r="BD484">
        <f ca="1">IF(AND(ISNUMBER($BD$1146),$B$677=1),$BD$1146,HLOOKUP(INDIRECT(ADDRESS(2,COLUMN())),OFFSET($BN$2,0,0,ROW()-1,60),ROW()-1,FALSE))</f>
        <v>13.187600339999999</v>
      </c>
      <c r="BE484">
        <f ca="1">IF(AND(ISNUMBER($BE$1146),$B$677=1),$BE$1146,HLOOKUP(INDIRECT(ADDRESS(2,COLUMN())),OFFSET($BN$2,0,0,ROW()-1,60),ROW()-1,FALSE))</f>
        <v>14.090272089999999</v>
      </c>
      <c r="BF484">
        <f ca="1">IF(AND(ISNUMBER($BF$1146),$B$677=1),$BF$1146,HLOOKUP(INDIRECT(ADDRESS(2,COLUMN())),OFFSET($BN$2,0,0,ROW()-1,60),ROW()-1,FALSE))</f>
        <v>7.9418581420000001</v>
      </c>
      <c r="BG484">
        <f ca="1">IF(AND(ISNUMBER($BG$1146),$B$677=1),$BG$1146,HLOOKUP(INDIRECT(ADDRESS(2,COLUMN())),OFFSET($BN$2,0,0,ROW()-1,60),ROW()-1,FALSE))</f>
        <v>8.3080003060000003</v>
      </c>
      <c r="BH484">
        <f ca="1">IF(AND(ISNUMBER($BH$1146),$B$677=1),$BH$1146,HLOOKUP(INDIRECT(ADDRESS(2,COLUMN())),OFFSET($BN$2,0,0,ROW()-1,60),ROW()-1,FALSE))</f>
        <v>15.47953141</v>
      </c>
      <c r="BI484">
        <f ca="1">IF(AND(ISNUMBER($BI$1146),$B$677=1),$BI$1146,HLOOKUP(INDIRECT(ADDRESS(2,COLUMN())),OFFSET($BN$2,0,0,ROW()-1,60),ROW()-1,FALSE))</f>
        <v>12.6489794</v>
      </c>
      <c r="BJ484">
        <f ca="1">IF(AND(ISNUMBER($BJ$1146),$B$677=1),$BJ$1146,HLOOKUP(INDIRECT(ADDRESS(2,COLUMN())),OFFSET($BN$2,0,0,ROW()-1,60),ROW()-1,FALSE))</f>
        <v>8.7685711990000001</v>
      </c>
      <c r="BK484">
        <f ca="1">IF(AND(ISNUMBER($BK$1146),$B$677=1),$BK$1146,HLOOKUP(INDIRECT(ADDRESS(2,COLUMN())),OFFSET($BN$2,0,0,ROW()-1,60),ROW()-1,FALSE))</f>
        <v>7.058738505</v>
      </c>
      <c r="BL484">
        <f ca="1">IF(AND(ISNUMBER($BL$1146),$B$677=1),$BL$1146,HLOOKUP(INDIRECT(ADDRESS(2,COLUMN())),OFFSET($BN$2,0,0,ROW()-1,60),ROW()-1,FALSE))</f>
        <v>12.87935772</v>
      </c>
      <c r="BM484">
        <f ca="1">IF(AND(ISNUMBER($BM$1146),$B$677=1),$BM$1146,HLOOKUP(INDIRECT(ADDRESS(2,COLUMN())),OFFSET($BN$2,0,0,ROW()-1,60),ROW()-1,FALSE))</f>
        <v>13.078753499999999</v>
      </c>
      <c r="BN484" t="str">
        <f>""</f>
        <v/>
      </c>
      <c r="BO484" t="str">
        <f>""</f>
        <v/>
      </c>
      <c r="BP484">
        <f>12.70027706</f>
        <v>12.700277059999999</v>
      </c>
      <c r="BQ484">
        <f>11.92024264</f>
        <v>11.92024264</v>
      </c>
      <c r="BR484">
        <f>13.89747216</f>
        <v>13.89747216</v>
      </c>
      <c r="BS484">
        <f>13.92216104</f>
        <v>13.922161040000001</v>
      </c>
      <c r="BT484">
        <f>12.54340464</f>
        <v>12.54340464</v>
      </c>
      <c r="BU484">
        <f>10.53956032</f>
        <v>10.53956032</v>
      </c>
      <c r="BV484">
        <f>11.27618511</f>
        <v>11.27618511</v>
      </c>
      <c r="BW484">
        <f>10.11827412</f>
        <v>10.118274120000001</v>
      </c>
      <c r="BX484">
        <f>9.516799989</f>
        <v>9.5167999890000008</v>
      </c>
      <c r="BY484">
        <f>9.319220586</f>
        <v>9.3192205860000001</v>
      </c>
      <c r="BZ484">
        <f>8.963659385</f>
        <v>8.9636593849999997</v>
      </c>
      <c r="CA484">
        <f>10.10307602</f>
        <v>10.10307602</v>
      </c>
      <c r="CB484">
        <f>8.421260754</f>
        <v>8.4212607540000004</v>
      </c>
      <c r="CC484">
        <f>10.56823172</f>
        <v>10.56823172</v>
      </c>
      <c r="CD484">
        <f>11.9630513</f>
        <v>11.9630513</v>
      </c>
      <c r="CE484">
        <f>8.676090365</f>
        <v>8.6760903650000003</v>
      </c>
      <c r="CF484">
        <f>7.227499065</f>
        <v>7.2274990649999999</v>
      </c>
      <c r="CG484">
        <f>5.697685545</f>
        <v>5.6976855449999997</v>
      </c>
      <c r="CH484">
        <f>6.527845086</f>
        <v>6.5278450860000001</v>
      </c>
      <c r="CI484">
        <f>6.315704065</f>
        <v>6.3157040650000003</v>
      </c>
      <c r="CJ484">
        <f>7.072770186</f>
        <v>7.0727701859999996</v>
      </c>
      <c r="CK484">
        <f>5.855234559</f>
        <v>5.8552345590000003</v>
      </c>
      <c r="CL484">
        <f>8.789043682</f>
        <v>8.7890436820000009</v>
      </c>
      <c r="CM484">
        <f>9.616721042</f>
        <v>9.616721042</v>
      </c>
      <c r="CN484">
        <f>6.207929149</f>
        <v>6.2079291489999999</v>
      </c>
      <c r="CO484">
        <f>6.312994007</f>
        <v>6.3129940070000004</v>
      </c>
      <c r="CP484">
        <f>6.928438261</f>
        <v>6.9284382610000002</v>
      </c>
      <c r="CQ484">
        <f>7.199671181</f>
        <v>7.1996711810000003</v>
      </c>
      <c r="CR484">
        <f>6.680550916</f>
        <v>6.6805509159999996</v>
      </c>
      <c r="CS484">
        <f>8.189905322</f>
        <v>8.1899053219999995</v>
      </c>
      <c r="CT484" t="str">
        <f>""</f>
        <v/>
      </c>
      <c r="CU484">
        <f>7.950025775</f>
        <v>7.9500257750000003</v>
      </c>
      <c r="CV484">
        <f>12.75445061</f>
        <v>12.754450609999999</v>
      </c>
      <c r="CW484">
        <f>10.78932014</f>
        <v>10.789320139999999</v>
      </c>
      <c r="CX484">
        <f>15.53074695</f>
        <v>15.530746949999999</v>
      </c>
      <c r="CY484">
        <f>29.25774756</f>
        <v>29.257747559999999</v>
      </c>
      <c r="CZ484">
        <f>58.01328002</f>
        <v>58.013280020000003</v>
      </c>
      <c r="DA484">
        <f>833.3085544</f>
        <v>833.30855440000005</v>
      </c>
      <c r="DB484">
        <f>1687.506205</f>
        <v>1687.5062049999999</v>
      </c>
      <c r="DC484">
        <f>46.99897265</f>
        <v>46.998972649999999</v>
      </c>
      <c r="DD484">
        <f>16.52104558</f>
        <v>16.521045579999999</v>
      </c>
      <c r="DE484">
        <f>13.97039574</f>
        <v>13.970395740000001</v>
      </c>
      <c r="DF484">
        <f>16.84100503</f>
        <v>16.841005030000002</v>
      </c>
      <c r="DG484">
        <f>38.00184678</f>
        <v>38.001846780000001</v>
      </c>
      <c r="DH484">
        <f>43.16324321</f>
        <v>43.163243209999997</v>
      </c>
      <c r="DI484">
        <f>31.34738605</f>
        <v>31.347386050000001</v>
      </c>
      <c r="DJ484">
        <f>35.43411232</f>
        <v>35.434112319999997</v>
      </c>
      <c r="DK484">
        <f>38.70402107</f>
        <v>38.704021070000003</v>
      </c>
      <c r="DL484">
        <f>13.18760034</f>
        <v>13.187600339999999</v>
      </c>
      <c r="DM484">
        <f>14.09027209</f>
        <v>14.090272089999999</v>
      </c>
      <c r="DN484">
        <f>7.941858142</f>
        <v>7.9418581420000001</v>
      </c>
      <c r="DO484">
        <f>8.308000306</f>
        <v>8.3080003060000003</v>
      </c>
      <c r="DP484">
        <f>15.47953141</f>
        <v>15.47953141</v>
      </c>
      <c r="DQ484">
        <f>12.6489794</f>
        <v>12.6489794</v>
      </c>
      <c r="DR484">
        <f>8.768571199</f>
        <v>8.7685711990000001</v>
      </c>
      <c r="DS484">
        <f>7.058738505</f>
        <v>7.058738505</v>
      </c>
      <c r="DT484">
        <f>12.87935772</f>
        <v>12.87935772</v>
      </c>
      <c r="DU484">
        <f>13.0787535</f>
        <v>13.078753499999999</v>
      </c>
    </row>
    <row r="485" spans="1:125" x14ac:dyDescent="0.25">
      <c r="A485" t="str">
        <f>"    Sanyang Motor Co Ltd"</f>
        <v xml:space="preserve">    Sanyang Motor Co Ltd</v>
      </c>
      <c r="B485" t="str">
        <f>"2206 TT Equity"</f>
        <v>2206 TT Equity</v>
      </c>
      <c r="C485" t="str">
        <f t="shared" si="33"/>
        <v>RR476</v>
      </c>
      <c r="D485" t="str">
        <f t="shared" si="34"/>
        <v>EV_TO_T12M_NET_INCOME</v>
      </c>
      <c r="E485" t="str">
        <f t="shared" si="35"/>
        <v>Dynamic</v>
      </c>
      <c r="F485" t="str">
        <f ca="1">IF(AND(ISNUMBER($F$1147),$B$677=1),$F$1147,HLOOKUP(INDIRECT(ADDRESS(2,COLUMN())),OFFSET($BN$2,0,0,ROW()-1,60),ROW()-1,FALSE))</f>
        <v/>
      </c>
      <c r="G485" t="str">
        <f ca="1">IF(AND(ISNUMBER($G$1147),$B$677=1),$G$1147,HLOOKUP(INDIRECT(ADDRESS(2,COLUMN())),OFFSET($BN$2,0,0,ROW()-1,60),ROW()-1,FALSE))</f>
        <v/>
      </c>
      <c r="H485">
        <f ca="1">IF(AND(ISNUMBER($H$1147),$B$677=1),$H$1147,HLOOKUP(INDIRECT(ADDRESS(2,COLUMN())),OFFSET($BN$2,0,0,ROW()-1,60),ROW()-1,FALSE))</f>
        <v>17.81179479</v>
      </c>
      <c r="I485">
        <f ca="1">IF(AND(ISNUMBER($I$1147),$B$677=1),$I$1147,HLOOKUP(INDIRECT(ADDRESS(2,COLUMN())),OFFSET($BN$2,0,0,ROW()-1,60),ROW()-1,FALSE))</f>
        <v>57.7448829</v>
      </c>
      <c r="J485">
        <f ca="1">IF(AND(ISNUMBER($J$1147),$B$677=1),$J$1147,HLOOKUP(INDIRECT(ADDRESS(2,COLUMN())),OFFSET($BN$2,0,0,ROW()-1,60),ROW()-1,FALSE))</f>
        <v>42.888368849999999</v>
      </c>
      <c r="K485">
        <f ca="1">IF(AND(ISNUMBER($K$1147),$B$677=1),$K$1147,HLOOKUP(INDIRECT(ADDRESS(2,COLUMN())),OFFSET($BN$2,0,0,ROW()-1,60),ROW()-1,FALSE))</f>
        <v>47.869318999999997</v>
      </c>
      <c r="L485">
        <f ca="1">IF(AND(ISNUMBER($L$1147),$B$677=1),$L$1147,HLOOKUP(INDIRECT(ADDRESS(2,COLUMN())),OFFSET($BN$2,0,0,ROW()-1,60),ROW()-1,FALSE))</f>
        <v>51.9730676</v>
      </c>
      <c r="M485">
        <f ca="1">IF(AND(ISNUMBER($M$1147),$B$677=1),$M$1147,HLOOKUP(INDIRECT(ADDRESS(2,COLUMN())),OFFSET($BN$2,0,0,ROW()-1,60),ROW()-1,FALSE))</f>
        <v>570.03436980000004</v>
      </c>
      <c r="N485" t="str">
        <f ca="1">IF(AND(ISNUMBER($N$1147),$B$677=1),$N$1147,HLOOKUP(INDIRECT(ADDRESS(2,COLUMN())),OFFSET($BN$2,0,0,ROW()-1,60),ROW()-1,FALSE))</f>
        <v/>
      </c>
      <c r="O485" t="str">
        <f ca="1">IF(AND(ISNUMBER($O$1147),$B$677=1),$O$1147,HLOOKUP(INDIRECT(ADDRESS(2,COLUMN())),OFFSET($BN$2,0,0,ROW()-1,60),ROW()-1,FALSE))</f>
        <v/>
      </c>
      <c r="P485" t="str">
        <f ca="1">IF(AND(ISNUMBER($P$1147),$B$677=1),$P$1147,HLOOKUP(INDIRECT(ADDRESS(2,COLUMN())),OFFSET($BN$2,0,0,ROW()-1,60),ROW()-1,FALSE))</f>
        <v/>
      </c>
      <c r="Q485">
        <f ca="1">IF(AND(ISNUMBER($Q$1147),$B$677=1),$Q$1147,HLOOKUP(INDIRECT(ADDRESS(2,COLUMN())),OFFSET($BN$2,0,0,ROW()-1,60),ROW()-1,FALSE))</f>
        <v>10.32788408</v>
      </c>
      <c r="R485">
        <f ca="1">IF(AND(ISNUMBER($R$1147),$B$677=1),$R$1147,HLOOKUP(INDIRECT(ADDRESS(2,COLUMN())),OFFSET($BN$2,0,0,ROW()-1,60),ROW()-1,FALSE))</f>
        <v>10.3752414</v>
      </c>
      <c r="S485">
        <f ca="1">IF(AND(ISNUMBER($S$1147),$B$677=1),$S$1147,HLOOKUP(INDIRECT(ADDRESS(2,COLUMN())),OFFSET($BN$2,0,0,ROW()-1,60),ROW()-1,FALSE))</f>
        <v>10.40096084</v>
      </c>
      <c r="T485">
        <f ca="1">IF(AND(ISNUMBER($T$1147),$B$677=1),$T$1147,HLOOKUP(INDIRECT(ADDRESS(2,COLUMN())),OFFSET($BN$2,0,0,ROW()-1,60),ROW()-1,FALSE))</f>
        <v>10.46672362</v>
      </c>
      <c r="U485" t="str">
        <f ca="1">IF(AND(ISNUMBER($U$1147),$B$677=1),$U$1147,HLOOKUP(INDIRECT(ADDRESS(2,COLUMN())),OFFSET($BN$2,0,0,ROW()-1,60),ROW()-1,FALSE))</f>
        <v/>
      </c>
      <c r="V485" t="str">
        <f ca="1">IF(AND(ISNUMBER($V$1147),$B$677=1),$V$1147,HLOOKUP(INDIRECT(ADDRESS(2,COLUMN())),OFFSET($BN$2,0,0,ROW()-1,60),ROW()-1,FALSE))</f>
        <v/>
      </c>
      <c r="W485" t="str">
        <f ca="1">IF(AND(ISNUMBER($W$1147),$B$677=1),$W$1147,HLOOKUP(INDIRECT(ADDRESS(2,COLUMN())),OFFSET($BN$2,0,0,ROW()-1,60),ROW()-1,FALSE))</f>
        <v/>
      </c>
      <c r="X485" t="str">
        <f ca="1">IF(AND(ISNUMBER($X$1147),$B$677=1),$X$1147,HLOOKUP(INDIRECT(ADDRESS(2,COLUMN())),OFFSET($BN$2,0,0,ROW()-1,60),ROW()-1,FALSE))</f>
        <v/>
      </c>
      <c r="Y485" t="str">
        <f ca="1">IF(AND(ISNUMBER($Y$1147),$B$677=1),$Y$1147,HLOOKUP(INDIRECT(ADDRESS(2,COLUMN())),OFFSET($BN$2,0,0,ROW()-1,60),ROW()-1,FALSE))</f>
        <v/>
      </c>
      <c r="Z485" t="str">
        <f ca="1">IF(AND(ISNUMBER($Z$1147),$B$677=1),$Z$1147,HLOOKUP(INDIRECT(ADDRESS(2,COLUMN())),OFFSET($BN$2,0,0,ROW()-1,60),ROW()-1,FALSE))</f>
        <v/>
      </c>
      <c r="AA485" t="str">
        <f ca="1">IF(AND(ISNUMBER($AA$1147),$B$677=1),$AA$1147,HLOOKUP(INDIRECT(ADDRESS(2,COLUMN())),OFFSET($BN$2,0,0,ROW()-1,60),ROW()-1,FALSE))</f>
        <v/>
      </c>
      <c r="AB485" t="str">
        <f ca="1">IF(AND(ISNUMBER($AB$1147),$B$677=1),$AB$1147,HLOOKUP(INDIRECT(ADDRESS(2,COLUMN())),OFFSET($BN$2,0,0,ROW()-1,60),ROW()-1,FALSE))</f>
        <v/>
      </c>
      <c r="AC485">
        <f ca="1">IF(AND(ISNUMBER($AC$1147),$B$677=1),$AC$1147,HLOOKUP(INDIRECT(ADDRESS(2,COLUMN())),OFFSET($BN$2,0,0,ROW()-1,60),ROW()-1,FALSE))</f>
        <v>144.72396979999999</v>
      </c>
      <c r="AD485">
        <f ca="1">IF(AND(ISNUMBER($AD$1147),$B$677=1),$AD$1147,HLOOKUP(INDIRECT(ADDRESS(2,COLUMN())),OFFSET($BN$2,0,0,ROW()-1,60),ROW()-1,FALSE))</f>
        <v>138.10444860000001</v>
      </c>
      <c r="AE485">
        <f ca="1">IF(AND(ISNUMBER($AE$1147),$B$677=1),$AE$1147,HLOOKUP(INDIRECT(ADDRESS(2,COLUMN())),OFFSET($BN$2,0,0,ROW()-1,60),ROW()-1,FALSE))</f>
        <v>53.561489639999998</v>
      </c>
      <c r="AF485">
        <f ca="1">IF(AND(ISNUMBER($AF$1147),$B$677=1),$AF$1147,HLOOKUP(INDIRECT(ADDRESS(2,COLUMN())),OFFSET($BN$2,0,0,ROW()-1,60),ROW()-1,FALSE))</f>
        <v>53.303464140000003</v>
      </c>
      <c r="AG485">
        <f ca="1">IF(AND(ISNUMBER($AG$1147),$B$677=1),$AG$1147,HLOOKUP(INDIRECT(ADDRESS(2,COLUMN())),OFFSET($BN$2,0,0,ROW()-1,60),ROW()-1,FALSE))</f>
        <v>34.678748839999997</v>
      </c>
      <c r="AH485">
        <f ca="1">IF(AND(ISNUMBER($AH$1147),$B$677=1),$AH$1147,HLOOKUP(INDIRECT(ADDRESS(2,COLUMN())),OFFSET($BN$2,0,0,ROW()-1,60),ROW()-1,FALSE))</f>
        <v>22.907088559999998</v>
      </c>
      <c r="AI485">
        <f ca="1">IF(AND(ISNUMBER($AI$1147),$B$677=1),$AI$1147,HLOOKUP(INDIRECT(ADDRESS(2,COLUMN())),OFFSET($BN$2,0,0,ROW()-1,60),ROW()-1,FALSE))</f>
        <v>16.62800786</v>
      </c>
      <c r="AJ485">
        <f ca="1">IF(AND(ISNUMBER($AJ$1147),$B$677=1),$AJ$1147,HLOOKUP(INDIRECT(ADDRESS(2,COLUMN())),OFFSET($BN$2,0,0,ROW()-1,60),ROW()-1,FALSE))</f>
        <v>14.000133290000001</v>
      </c>
      <c r="AK485">
        <f ca="1">IF(AND(ISNUMBER($AK$1147),$B$677=1),$AK$1147,HLOOKUP(INDIRECT(ADDRESS(2,COLUMN())),OFFSET($BN$2,0,0,ROW()-1,60),ROW()-1,FALSE))</f>
        <v>16.31763711</v>
      </c>
      <c r="AL485">
        <f ca="1">IF(AND(ISNUMBER($AL$1147),$B$677=1),$AL$1147,HLOOKUP(INDIRECT(ADDRESS(2,COLUMN())),OFFSET($BN$2,0,0,ROW()-1,60),ROW()-1,FALSE))</f>
        <v>20.191063249999999</v>
      </c>
      <c r="AM485">
        <f ca="1">IF(AND(ISNUMBER($AM$1147),$B$677=1),$AM$1147,HLOOKUP(INDIRECT(ADDRESS(2,COLUMN())),OFFSET($BN$2,0,0,ROW()-1,60),ROW()-1,FALSE))</f>
        <v>30.24874251</v>
      </c>
      <c r="AN485">
        <f ca="1">IF(AND(ISNUMBER($AN$1147),$B$677=1),$AN$1147,HLOOKUP(INDIRECT(ADDRESS(2,COLUMN())),OFFSET($BN$2,0,0,ROW()-1,60),ROW()-1,FALSE))</f>
        <v>21.338329460000001</v>
      </c>
      <c r="AO485">
        <f ca="1">IF(AND(ISNUMBER($AO$1147),$B$677=1),$AO$1147,HLOOKUP(INDIRECT(ADDRESS(2,COLUMN())),OFFSET($BN$2,0,0,ROW()-1,60),ROW()-1,FALSE))</f>
        <v>20.89680693</v>
      </c>
      <c r="AP485">
        <f ca="1">IF(AND(ISNUMBER($AP$1147),$B$677=1),$AP$1147,HLOOKUP(INDIRECT(ADDRESS(2,COLUMN())),OFFSET($BN$2,0,0,ROW()-1,60),ROW()-1,FALSE))</f>
        <v>24.44146259</v>
      </c>
      <c r="AQ485">
        <f ca="1">IF(AND(ISNUMBER($AQ$1147),$B$677=1),$AQ$1147,HLOOKUP(INDIRECT(ADDRESS(2,COLUMN())),OFFSET($BN$2,0,0,ROW()-1,60),ROW()-1,FALSE))</f>
        <v>121.79294779999999</v>
      </c>
      <c r="AR485" t="str">
        <f ca="1">IF(AND(ISNUMBER($AR$1147),$B$677=1),$AR$1147,HLOOKUP(INDIRECT(ADDRESS(2,COLUMN())),OFFSET($BN$2,0,0,ROW()-1,60),ROW()-1,FALSE))</f>
        <v/>
      </c>
      <c r="AS485" t="str">
        <f ca="1">IF(AND(ISNUMBER($AS$1147),$B$677=1),$AS$1147,HLOOKUP(INDIRECT(ADDRESS(2,COLUMN())),OFFSET($BN$2,0,0,ROW()-1,60),ROW()-1,FALSE))</f>
        <v/>
      </c>
      <c r="AT485" t="str">
        <f ca="1">IF(AND(ISNUMBER($AT$1147),$B$677=1),$AT$1147,HLOOKUP(INDIRECT(ADDRESS(2,COLUMN())),OFFSET($BN$2,0,0,ROW()-1,60),ROW()-1,FALSE))</f>
        <v/>
      </c>
      <c r="AU485">
        <f ca="1">IF(AND(ISNUMBER($AU$1147),$B$677=1),$AU$1147,HLOOKUP(INDIRECT(ADDRESS(2,COLUMN())),OFFSET($BN$2,0,0,ROW()-1,60),ROW()-1,FALSE))</f>
        <v>395.60315969999999</v>
      </c>
      <c r="AV485">
        <f ca="1">IF(AND(ISNUMBER($AV$1147),$B$677=1),$AV$1147,HLOOKUP(INDIRECT(ADDRESS(2,COLUMN())),OFFSET($BN$2,0,0,ROW()-1,60),ROW()-1,FALSE))</f>
        <v>32.032504850000002</v>
      </c>
      <c r="AW485" t="str">
        <f ca="1">IF(AND(ISNUMBER($AW$1147),$B$677=1),$AW$1147,HLOOKUP(INDIRECT(ADDRESS(2,COLUMN())),OFFSET($BN$2,0,0,ROW()-1,60),ROW()-1,FALSE))</f>
        <v/>
      </c>
      <c r="AX485" t="str">
        <f ca="1">IF(AND(ISNUMBER($AX$1147),$B$677=1),$AX$1147,HLOOKUP(INDIRECT(ADDRESS(2,COLUMN())),OFFSET($BN$2,0,0,ROW()-1,60),ROW()-1,FALSE))</f>
        <v/>
      </c>
      <c r="AY485" t="str">
        <f ca="1">IF(AND(ISNUMBER($AY$1147),$B$677=1),$AY$1147,HLOOKUP(INDIRECT(ADDRESS(2,COLUMN())),OFFSET($BN$2,0,0,ROW()-1,60),ROW()-1,FALSE))</f>
        <v/>
      </c>
      <c r="AZ485" t="str">
        <f ca="1">IF(AND(ISNUMBER($AZ$1147),$B$677=1),$AZ$1147,HLOOKUP(INDIRECT(ADDRESS(2,COLUMN())),OFFSET($BN$2,0,0,ROW()-1,60),ROW()-1,FALSE))</f>
        <v/>
      </c>
      <c r="BA485" t="str">
        <f ca="1">IF(AND(ISNUMBER($BA$1147),$B$677=1),$BA$1147,HLOOKUP(INDIRECT(ADDRESS(2,COLUMN())),OFFSET($BN$2,0,0,ROW()-1,60),ROW()-1,FALSE))</f>
        <v/>
      </c>
      <c r="BB485" t="str">
        <f ca="1">IF(AND(ISNUMBER($BB$1147),$B$677=1),$BB$1147,HLOOKUP(INDIRECT(ADDRESS(2,COLUMN())),OFFSET($BN$2,0,0,ROW()-1,60),ROW()-1,FALSE))</f>
        <v/>
      </c>
      <c r="BC485" t="str">
        <f ca="1">IF(AND(ISNUMBER($BC$1147),$B$677=1),$BC$1147,HLOOKUP(INDIRECT(ADDRESS(2,COLUMN())),OFFSET($BN$2,0,0,ROW()-1,60),ROW()-1,FALSE))</f>
        <v/>
      </c>
      <c r="BD485" t="str">
        <f ca="1">IF(AND(ISNUMBER($BD$1147),$B$677=1),$BD$1147,HLOOKUP(INDIRECT(ADDRESS(2,COLUMN())),OFFSET($BN$2,0,0,ROW()-1,60),ROW()-1,FALSE))</f>
        <v/>
      </c>
      <c r="BE485" t="str">
        <f ca="1">IF(AND(ISNUMBER($BE$1147),$B$677=1),$BE$1147,HLOOKUP(INDIRECT(ADDRESS(2,COLUMN())),OFFSET($BN$2,0,0,ROW()-1,60),ROW()-1,FALSE))</f>
        <v/>
      </c>
      <c r="BF485" t="str">
        <f ca="1">IF(AND(ISNUMBER($BF$1147),$B$677=1),$BF$1147,HLOOKUP(INDIRECT(ADDRESS(2,COLUMN())),OFFSET($BN$2,0,0,ROW()-1,60),ROW()-1,FALSE))</f>
        <v/>
      </c>
      <c r="BG485" t="str">
        <f ca="1">IF(AND(ISNUMBER($BG$1147),$B$677=1),$BG$1147,HLOOKUP(INDIRECT(ADDRESS(2,COLUMN())),OFFSET($BN$2,0,0,ROW()-1,60),ROW()-1,FALSE))</f>
        <v/>
      </c>
      <c r="BH485" t="str">
        <f ca="1">IF(AND(ISNUMBER($BH$1147),$B$677=1),$BH$1147,HLOOKUP(INDIRECT(ADDRESS(2,COLUMN())),OFFSET($BN$2,0,0,ROW()-1,60),ROW()-1,FALSE))</f>
        <v/>
      </c>
      <c r="BI485" t="str">
        <f ca="1">IF(AND(ISNUMBER($BI$1147),$B$677=1),$BI$1147,HLOOKUP(INDIRECT(ADDRESS(2,COLUMN())),OFFSET($BN$2,0,0,ROW()-1,60),ROW()-1,FALSE))</f>
        <v/>
      </c>
      <c r="BJ485" t="str">
        <f ca="1">IF(AND(ISNUMBER($BJ$1147),$B$677=1),$BJ$1147,HLOOKUP(INDIRECT(ADDRESS(2,COLUMN())),OFFSET($BN$2,0,0,ROW()-1,60),ROW()-1,FALSE))</f>
        <v/>
      </c>
      <c r="BK485" t="str">
        <f ca="1">IF(AND(ISNUMBER($BK$1147),$B$677=1),$BK$1147,HLOOKUP(INDIRECT(ADDRESS(2,COLUMN())),OFFSET($BN$2,0,0,ROW()-1,60),ROW()-1,FALSE))</f>
        <v/>
      </c>
      <c r="BL485" t="str">
        <f ca="1">IF(AND(ISNUMBER($BL$1147),$B$677=1),$BL$1147,HLOOKUP(INDIRECT(ADDRESS(2,COLUMN())),OFFSET($BN$2,0,0,ROW()-1,60),ROW()-1,FALSE))</f>
        <v/>
      </c>
      <c r="BM485" t="str">
        <f ca="1">IF(AND(ISNUMBER($BM$1147),$B$677=1),$BM$1147,HLOOKUP(INDIRECT(ADDRESS(2,COLUMN())),OFFSET($BN$2,0,0,ROW()-1,60),ROW()-1,FALSE))</f>
        <v/>
      </c>
      <c r="BN485" t="str">
        <f>""</f>
        <v/>
      </c>
      <c r="BO485" t="str">
        <f>""</f>
        <v/>
      </c>
      <c r="BP485">
        <f>17.81179479</f>
        <v>17.81179479</v>
      </c>
      <c r="BQ485">
        <f>57.7448829</f>
        <v>57.7448829</v>
      </c>
      <c r="BR485">
        <f>42.88836885</f>
        <v>42.888368849999999</v>
      </c>
      <c r="BS485">
        <f>47.869319</f>
        <v>47.869318999999997</v>
      </c>
      <c r="BT485">
        <f>51.9730676</f>
        <v>51.9730676</v>
      </c>
      <c r="BU485">
        <f>570.0343698</f>
        <v>570.03436980000004</v>
      </c>
      <c r="BV485" t="str">
        <f>""</f>
        <v/>
      </c>
      <c r="BW485" t="str">
        <f>""</f>
        <v/>
      </c>
      <c r="BX485" t="str">
        <f>""</f>
        <v/>
      </c>
      <c r="BY485">
        <f>10.32788408</f>
        <v>10.32788408</v>
      </c>
      <c r="BZ485">
        <f>10.3752414</f>
        <v>10.3752414</v>
      </c>
      <c r="CA485">
        <f>10.40096084</f>
        <v>10.40096084</v>
      </c>
      <c r="CB485">
        <f>10.46672362</f>
        <v>10.46672362</v>
      </c>
      <c r="CC485" t="str">
        <f>""</f>
        <v/>
      </c>
      <c r="CD485" t="str">
        <f>""</f>
        <v/>
      </c>
      <c r="CE485" t="str">
        <f>""</f>
        <v/>
      </c>
      <c r="CF485" t="str">
        <f>""</f>
        <v/>
      </c>
      <c r="CG485" t="str">
        <f>""</f>
        <v/>
      </c>
      <c r="CH485" t="str">
        <f>""</f>
        <v/>
      </c>
      <c r="CI485" t="str">
        <f>""</f>
        <v/>
      </c>
      <c r="CJ485" t="str">
        <f>""</f>
        <v/>
      </c>
      <c r="CK485">
        <f>144.7239698</f>
        <v>144.72396979999999</v>
      </c>
      <c r="CL485">
        <f>138.1044486</f>
        <v>138.10444860000001</v>
      </c>
      <c r="CM485">
        <f>53.56148964</f>
        <v>53.561489639999998</v>
      </c>
      <c r="CN485">
        <f>53.30346414</f>
        <v>53.303464140000003</v>
      </c>
      <c r="CO485">
        <f>34.67874884</f>
        <v>34.678748839999997</v>
      </c>
      <c r="CP485">
        <f>22.90708856</f>
        <v>22.907088559999998</v>
      </c>
      <c r="CQ485">
        <f>16.62800786</f>
        <v>16.62800786</v>
      </c>
      <c r="CR485">
        <f>14.00013329</f>
        <v>14.000133290000001</v>
      </c>
      <c r="CS485">
        <f>16.31763711</f>
        <v>16.31763711</v>
      </c>
      <c r="CT485">
        <f>20.19106325</f>
        <v>20.191063249999999</v>
      </c>
      <c r="CU485">
        <f>30.24874251</f>
        <v>30.24874251</v>
      </c>
      <c r="CV485">
        <f>21.33832946</f>
        <v>21.338329460000001</v>
      </c>
      <c r="CW485">
        <f>20.89680693</f>
        <v>20.89680693</v>
      </c>
      <c r="CX485">
        <f>24.44146259</f>
        <v>24.44146259</v>
      </c>
      <c r="CY485">
        <f>121.7929478</f>
        <v>121.79294779999999</v>
      </c>
      <c r="CZ485" t="str">
        <f>""</f>
        <v/>
      </c>
      <c r="DA485" t="str">
        <f>""</f>
        <v/>
      </c>
      <c r="DB485" t="str">
        <f>""</f>
        <v/>
      </c>
      <c r="DC485">
        <f>395.6031597</f>
        <v>395.60315969999999</v>
      </c>
      <c r="DD485">
        <f>32.03250485</f>
        <v>32.032504850000002</v>
      </c>
      <c r="DE485" t="str">
        <f>""</f>
        <v/>
      </c>
      <c r="DF485" t="str">
        <f>""</f>
        <v/>
      </c>
      <c r="DG485" t="str">
        <f>""</f>
        <v/>
      </c>
      <c r="DH485" t="str">
        <f>""</f>
        <v/>
      </c>
      <c r="DI485" t="str">
        <f>""</f>
        <v/>
      </c>
      <c r="DJ485" t="str">
        <f>""</f>
        <v/>
      </c>
      <c r="DK485" t="str">
        <f>""</f>
        <v/>
      </c>
      <c r="DL485" t="str">
        <f>""</f>
        <v/>
      </c>
      <c r="DM485" t="str">
        <f>""</f>
        <v/>
      </c>
      <c r="DN485" t="str">
        <f>""</f>
        <v/>
      </c>
      <c r="DO485" t="str">
        <f>""</f>
        <v/>
      </c>
      <c r="DP485" t="str">
        <f>""</f>
        <v/>
      </c>
      <c r="DQ485" t="str">
        <f>""</f>
        <v/>
      </c>
      <c r="DR485" t="str">
        <f>""</f>
        <v/>
      </c>
      <c r="DS485" t="str">
        <f>""</f>
        <v/>
      </c>
      <c r="DT485" t="str">
        <f>""</f>
        <v/>
      </c>
      <c r="DU485" t="str">
        <f>""</f>
        <v/>
      </c>
    </row>
    <row r="486" spans="1:125" x14ac:dyDescent="0.25">
      <c r="A486" t="str">
        <f>"    Sollers PJSC"</f>
        <v xml:space="preserve">    Sollers PJSC</v>
      </c>
      <c r="B486" t="str">
        <f>"SVAV RM Equity"</f>
        <v>SVAV RM Equity</v>
      </c>
      <c r="C486" t="str">
        <f t="shared" si="33"/>
        <v>RR476</v>
      </c>
      <c r="D486" t="str">
        <f t="shared" si="34"/>
        <v>EV_TO_T12M_NET_INCOME</v>
      </c>
      <c r="E486" t="str">
        <f t="shared" si="35"/>
        <v>Dynamic</v>
      </c>
      <c r="F486" t="str">
        <f ca="1">IF(AND(ISNUMBER($F$1148),$B$677=1),$F$1148,HLOOKUP(INDIRECT(ADDRESS(2,COLUMN())),OFFSET($BN$2,0,0,ROW()-1,60),ROW()-1,FALSE))</f>
        <v/>
      </c>
      <c r="G486" t="str">
        <f ca="1">IF(AND(ISNUMBER($G$1148),$B$677=1),$G$1148,HLOOKUP(INDIRECT(ADDRESS(2,COLUMN())),OFFSET($BN$2,0,0,ROW()-1,60),ROW()-1,FALSE))</f>
        <v/>
      </c>
      <c r="H486" t="str">
        <f ca="1">IF(AND(ISNUMBER($H$1148),$B$677=1),$H$1148,HLOOKUP(INDIRECT(ADDRESS(2,COLUMN())),OFFSET($BN$2,0,0,ROW()-1,60),ROW()-1,FALSE))</f>
        <v/>
      </c>
      <c r="I486" t="str">
        <f ca="1">IF(AND(ISNUMBER($I$1148),$B$677=1),$I$1148,HLOOKUP(INDIRECT(ADDRESS(2,COLUMN())),OFFSET($BN$2,0,0,ROW()-1,60),ROW()-1,FALSE))</f>
        <v/>
      </c>
      <c r="J486" t="str">
        <f ca="1">IF(AND(ISNUMBER($J$1148),$B$677=1),$J$1148,HLOOKUP(INDIRECT(ADDRESS(2,COLUMN())),OFFSET($BN$2,0,0,ROW()-1,60),ROW()-1,FALSE))</f>
        <v/>
      </c>
      <c r="K486" t="str">
        <f ca="1">IF(AND(ISNUMBER($K$1148),$B$677=1),$K$1148,HLOOKUP(INDIRECT(ADDRESS(2,COLUMN())),OFFSET($BN$2,0,0,ROW()-1,60),ROW()-1,FALSE))</f>
        <v/>
      </c>
      <c r="L486" t="str">
        <f ca="1">IF(AND(ISNUMBER($L$1148),$B$677=1),$L$1148,HLOOKUP(INDIRECT(ADDRESS(2,COLUMN())),OFFSET($BN$2,0,0,ROW()-1,60),ROW()-1,FALSE))</f>
        <v/>
      </c>
      <c r="M486" t="str">
        <f ca="1">IF(AND(ISNUMBER($M$1148),$B$677=1),$M$1148,HLOOKUP(INDIRECT(ADDRESS(2,COLUMN())),OFFSET($BN$2,0,0,ROW()-1,60),ROW()-1,FALSE))</f>
        <v/>
      </c>
      <c r="N486" t="str">
        <f ca="1">IF(AND(ISNUMBER($N$1148),$B$677=1),$N$1148,HLOOKUP(INDIRECT(ADDRESS(2,COLUMN())),OFFSET($BN$2,0,0,ROW()-1,60),ROW()-1,FALSE))</f>
        <v/>
      </c>
      <c r="O486" t="str">
        <f ca="1">IF(AND(ISNUMBER($O$1148),$B$677=1),$O$1148,HLOOKUP(INDIRECT(ADDRESS(2,COLUMN())),OFFSET($BN$2,0,0,ROW()-1,60),ROW()-1,FALSE))</f>
        <v/>
      </c>
      <c r="P486" t="str">
        <f ca="1">IF(AND(ISNUMBER($P$1148),$B$677=1),$P$1148,HLOOKUP(INDIRECT(ADDRESS(2,COLUMN())),OFFSET($BN$2,0,0,ROW()-1,60),ROW()-1,FALSE))</f>
        <v/>
      </c>
      <c r="Q486" t="str">
        <f ca="1">IF(AND(ISNUMBER($Q$1148),$B$677=1),$Q$1148,HLOOKUP(INDIRECT(ADDRESS(2,COLUMN())),OFFSET($BN$2,0,0,ROW()-1,60),ROW()-1,FALSE))</f>
        <v/>
      </c>
      <c r="R486" t="str">
        <f ca="1">IF(AND(ISNUMBER($R$1148),$B$677=1),$R$1148,HLOOKUP(INDIRECT(ADDRESS(2,COLUMN())),OFFSET($BN$2,0,0,ROW()-1,60),ROW()-1,FALSE))</f>
        <v/>
      </c>
      <c r="S486" t="str">
        <f ca="1">IF(AND(ISNUMBER($S$1148),$B$677=1),$S$1148,HLOOKUP(INDIRECT(ADDRESS(2,COLUMN())),OFFSET($BN$2,0,0,ROW()-1,60),ROW()-1,FALSE))</f>
        <v/>
      </c>
      <c r="T486" t="str">
        <f ca="1">IF(AND(ISNUMBER($T$1148),$B$677=1),$T$1148,HLOOKUP(INDIRECT(ADDRESS(2,COLUMN())),OFFSET($BN$2,0,0,ROW()-1,60),ROW()-1,FALSE))</f>
        <v/>
      </c>
      <c r="U486" t="str">
        <f ca="1">IF(AND(ISNUMBER($U$1148),$B$677=1),$U$1148,HLOOKUP(INDIRECT(ADDRESS(2,COLUMN())),OFFSET($BN$2,0,0,ROW()-1,60),ROW()-1,FALSE))</f>
        <v/>
      </c>
      <c r="V486" t="str">
        <f ca="1">IF(AND(ISNUMBER($V$1148),$B$677=1),$V$1148,HLOOKUP(INDIRECT(ADDRESS(2,COLUMN())),OFFSET($BN$2,0,0,ROW()-1,60),ROW()-1,FALSE))</f>
        <v/>
      </c>
      <c r="W486" t="str">
        <f ca="1">IF(AND(ISNUMBER($W$1148),$B$677=1),$W$1148,HLOOKUP(INDIRECT(ADDRESS(2,COLUMN())),OFFSET($BN$2,0,0,ROW()-1,60),ROW()-1,FALSE))</f>
        <v/>
      </c>
      <c r="X486" t="str">
        <f ca="1">IF(AND(ISNUMBER($X$1148),$B$677=1),$X$1148,HLOOKUP(INDIRECT(ADDRESS(2,COLUMN())),OFFSET($BN$2,0,0,ROW()-1,60),ROW()-1,FALSE))</f>
        <v/>
      </c>
      <c r="Y486" t="str">
        <f ca="1">IF(AND(ISNUMBER($Y$1148),$B$677=1),$Y$1148,HLOOKUP(INDIRECT(ADDRESS(2,COLUMN())),OFFSET($BN$2,0,0,ROW()-1,60),ROW()-1,FALSE))</f>
        <v/>
      </c>
      <c r="Z486" t="str">
        <f ca="1">IF(AND(ISNUMBER($Z$1148),$B$677=1),$Z$1148,HLOOKUP(INDIRECT(ADDRESS(2,COLUMN())),OFFSET($BN$2,0,0,ROW()-1,60),ROW()-1,FALSE))</f>
        <v/>
      </c>
      <c r="AA486" t="str">
        <f ca="1">IF(AND(ISNUMBER($AA$1148),$B$677=1),$AA$1148,HLOOKUP(INDIRECT(ADDRESS(2,COLUMN())),OFFSET($BN$2,0,0,ROW()-1,60),ROW()-1,FALSE))</f>
        <v/>
      </c>
      <c r="AB486" t="str">
        <f ca="1">IF(AND(ISNUMBER($AB$1148),$B$677=1),$AB$1148,HLOOKUP(INDIRECT(ADDRESS(2,COLUMN())),OFFSET($BN$2,0,0,ROW()-1,60),ROW()-1,FALSE))</f>
        <v/>
      </c>
      <c r="AC486" t="str">
        <f ca="1">IF(AND(ISNUMBER($AC$1148),$B$677=1),$AC$1148,HLOOKUP(INDIRECT(ADDRESS(2,COLUMN())),OFFSET($BN$2,0,0,ROW()-1,60),ROW()-1,FALSE))</f>
        <v/>
      </c>
      <c r="AD486" t="str">
        <f ca="1">IF(AND(ISNUMBER($AD$1148),$B$677=1),$AD$1148,HLOOKUP(INDIRECT(ADDRESS(2,COLUMN())),OFFSET($BN$2,0,0,ROW()-1,60),ROW()-1,FALSE))</f>
        <v/>
      </c>
      <c r="AE486" t="str">
        <f ca="1">IF(AND(ISNUMBER($AE$1148),$B$677=1),$AE$1148,HLOOKUP(INDIRECT(ADDRESS(2,COLUMN())),OFFSET($BN$2,0,0,ROW()-1,60),ROW()-1,FALSE))</f>
        <v/>
      </c>
      <c r="AF486" t="str">
        <f ca="1">IF(AND(ISNUMBER($AF$1148),$B$677=1),$AF$1148,HLOOKUP(INDIRECT(ADDRESS(2,COLUMN())),OFFSET($BN$2,0,0,ROW()-1,60),ROW()-1,FALSE))</f>
        <v/>
      </c>
      <c r="AG486" t="str">
        <f ca="1">IF(AND(ISNUMBER($AG$1148),$B$677=1),$AG$1148,HLOOKUP(INDIRECT(ADDRESS(2,COLUMN())),OFFSET($BN$2,0,0,ROW()-1,60),ROW()-1,FALSE))</f>
        <v/>
      </c>
      <c r="AH486" t="str">
        <f ca="1">IF(AND(ISNUMBER($AH$1148),$B$677=1),$AH$1148,HLOOKUP(INDIRECT(ADDRESS(2,COLUMN())),OFFSET($BN$2,0,0,ROW()-1,60),ROW()-1,FALSE))</f>
        <v/>
      </c>
      <c r="AI486" t="str">
        <f ca="1">IF(AND(ISNUMBER($AI$1148),$B$677=1),$AI$1148,HLOOKUP(INDIRECT(ADDRESS(2,COLUMN())),OFFSET($BN$2,0,0,ROW()-1,60),ROW()-1,FALSE))</f>
        <v/>
      </c>
      <c r="AJ486" t="str">
        <f ca="1">IF(AND(ISNUMBER($AJ$1148),$B$677=1),$AJ$1148,HLOOKUP(INDIRECT(ADDRESS(2,COLUMN())),OFFSET($BN$2,0,0,ROW()-1,60),ROW()-1,FALSE))</f>
        <v/>
      </c>
      <c r="AK486" t="str">
        <f ca="1">IF(AND(ISNUMBER($AK$1148),$B$677=1),$AK$1148,HLOOKUP(INDIRECT(ADDRESS(2,COLUMN())),OFFSET($BN$2,0,0,ROW()-1,60),ROW()-1,FALSE))</f>
        <v/>
      </c>
      <c r="AL486" t="str">
        <f ca="1">IF(AND(ISNUMBER($AL$1148),$B$677=1),$AL$1148,HLOOKUP(INDIRECT(ADDRESS(2,COLUMN())),OFFSET($BN$2,0,0,ROW()-1,60),ROW()-1,FALSE))</f>
        <v/>
      </c>
      <c r="AM486" t="str">
        <f ca="1">IF(AND(ISNUMBER($AM$1148),$B$677=1),$AM$1148,HLOOKUP(INDIRECT(ADDRESS(2,COLUMN())),OFFSET($BN$2,0,0,ROW()-1,60),ROW()-1,FALSE))</f>
        <v/>
      </c>
      <c r="AN486" t="str">
        <f ca="1">IF(AND(ISNUMBER($AN$1148),$B$677=1),$AN$1148,HLOOKUP(INDIRECT(ADDRESS(2,COLUMN())),OFFSET($BN$2,0,0,ROW()-1,60),ROW()-1,FALSE))</f>
        <v/>
      </c>
      <c r="AO486" t="str">
        <f ca="1">IF(AND(ISNUMBER($AO$1148),$B$677=1),$AO$1148,HLOOKUP(INDIRECT(ADDRESS(2,COLUMN())),OFFSET($BN$2,0,0,ROW()-1,60),ROW()-1,FALSE))</f>
        <v/>
      </c>
      <c r="AP486" t="str">
        <f ca="1">IF(AND(ISNUMBER($AP$1148),$B$677=1),$AP$1148,HLOOKUP(INDIRECT(ADDRESS(2,COLUMN())),OFFSET($BN$2,0,0,ROW()-1,60),ROW()-1,FALSE))</f>
        <v/>
      </c>
      <c r="AQ486" t="str">
        <f ca="1">IF(AND(ISNUMBER($AQ$1148),$B$677=1),$AQ$1148,HLOOKUP(INDIRECT(ADDRESS(2,COLUMN())),OFFSET($BN$2,0,0,ROW()-1,60),ROW()-1,FALSE))</f>
        <v/>
      </c>
      <c r="AR486" t="str">
        <f ca="1">IF(AND(ISNUMBER($AR$1148),$B$677=1),$AR$1148,HLOOKUP(INDIRECT(ADDRESS(2,COLUMN())),OFFSET($BN$2,0,0,ROW()-1,60),ROW()-1,FALSE))</f>
        <v/>
      </c>
      <c r="AS486" t="str">
        <f ca="1">IF(AND(ISNUMBER($AS$1148),$B$677=1),$AS$1148,HLOOKUP(INDIRECT(ADDRESS(2,COLUMN())),OFFSET($BN$2,0,0,ROW()-1,60),ROW()-1,FALSE))</f>
        <v/>
      </c>
      <c r="AT486" t="str">
        <f ca="1">IF(AND(ISNUMBER($AT$1148),$B$677=1),$AT$1148,HLOOKUP(INDIRECT(ADDRESS(2,COLUMN())),OFFSET($BN$2,0,0,ROW()-1,60),ROW()-1,FALSE))</f>
        <v/>
      </c>
      <c r="AU486" t="str">
        <f ca="1">IF(AND(ISNUMBER($AU$1148),$B$677=1),$AU$1148,HLOOKUP(INDIRECT(ADDRESS(2,COLUMN())),OFFSET($BN$2,0,0,ROW()-1,60),ROW()-1,FALSE))</f>
        <v/>
      </c>
      <c r="AV486" t="str">
        <f ca="1">IF(AND(ISNUMBER($AV$1148),$B$677=1),$AV$1148,HLOOKUP(INDIRECT(ADDRESS(2,COLUMN())),OFFSET($BN$2,0,0,ROW()-1,60),ROW()-1,FALSE))</f>
        <v/>
      </c>
      <c r="AW486" t="str">
        <f ca="1">IF(AND(ISNUMBER($AW$1148),$B$677=1),$AW$1148,HLOOKUP(INDIRECT(ADDRESS(2,COLUMN())),OFFSET($BN$2,0,0,ROW()-1,60),ROW()-1,FALSE))</f>
        <v/>
      </c>
      <c r="AX486" t="str">
        <f ca="1">IF(AND(ISNUMBER($AX$1148),$B$677=1),$AX$1148,HLOOKUP(INDIRECT(ADDRESS(2,COLUMN())),OFFSET($BN$2,0,0,ROW()-1,60),ROW()-1,FALSE))</f>
        <v/>
      </c>
      <c r="AY486" t="str">
        <f ca="1">IF(AND(ISNUMBER($AY$1148),$B$677=1),$AY$1148,HLOOKUP(INDIRECT(ADDRESS(2,COLUMN())),OFFSET($BN$2,0,0,ROW()-1,60),ROW()-1,FALSE))</f>
        <v/>
      </c>
      <c r="AZ486" t="str">
        <f ca="1">IF(AND(ISNUMBER($AZ$1148),$B$677=1),$AZ$1148,HLOOKUP(INDIRECT(ADDRESS(2,COLUMN())),OFFSET($BN$2,0,0,ROW()-1,60),ROW()-1,FALSE))</f>
        <v/>
      </c>
      <c r="BA486" t="str">
        <f ca="1">IF(AND(ISNUMBER($BA$1148),$B$677=1),$BA$1148,HLOOKUP(INDIRECT(ADDRESS(2,COLUMN())),OFFSET($BN$2,0,0,ROW()-1,60),ROW()-1,FALSE))</f>
        <v/>
      </c>
      <c r="BB486" t="str">
        <f ca="1">IF(AND(ISNUMBER($BB$1148),$B$677=1),$BB$1148,HLOOKUP(INDIRECT(ADDRESS(2,COLUMN())),OFFSET($BN$2,0,0,ROW()-1,60),ROW()-1,FALSE))</f>
        <v/>
      </c>
      <c r="BC486" t="str">
        <f ca="1">IF(AND(ISNUMBER($BC$1148),$B$677=1),$BC$1148,HLOOKUP(INDIRECT(ADDRESS(2,COLUMN())),OFFSET($BN$2,0,0,ROW()-1,60),ROW()-1,FALSE))</f>
        <v/>
      </c>
      <c r="BD486" t="str">
        <f ca="1">IF(AND(ISNUMBER($BD$1148),$B$677=1),$BD$1148,HLOOKUP(INDIRECT(ADDRESS(2,COLUMN())),OFFSET($BN$2,0,0,ROW()-1,60),ROW()-1,FALSE))</f>
        <v/>
      </c>
      <c r="BE486" t="str">
        <f ca="1">IF(AND(ISNUMBER($BE$1148),$B$677=1),$BE$1148,HLOOKUP(INDIRECT(ADDRESS(2,COLUMN())),OFFSET($BN$2,0,0,ROW()-1,60),ROW()-1,FALSE))</f>
        <v/>
      </c>
      <c r="BF486" t="str">
        <f ca="1">IF(AND(ISNUMBER($BF$1148),$B$677=1),$BF$1148,HLOOKUP(INDIRECT(ADDRESS(2,COLUMN())),OFFSET($BN$2,0,0,ROW()-1,60),ROW()-1,FALSE))</f>
        <v/>
      </c>
      <c r="BG486" t="str">
        <f ca="1">IF(AND(ISNUMBER($BG$1148),$B$677=1),$BG$1148,HLOOKUP(INDIRECT(ADDRESS(2,COLUMN())),OFFSET($BN$2,0,0,ROW()-1,60),ROW()-1,FALSE))</f>
        <v/>
      </c>
      <c r="BH486" t="str">
        <f ca="1">IF(AND(ISNUMBER($BH$1148),$B$677=1),$BH$1148,HLOOKUP(INDIRECT(ADDRESS(2,COLUMN())),OFFSET($BN$2,0,0,ROW()-1,60),ROW()-1,FALSE))</f>
        <v/>
      </c>
      <c r="BI486" t="str">
        <f ca="1">IF(AND(ISNUMBER($BI$1148),$B$677=1),$BI$1148,HLOOKUP(INDIRECT(ADDRESS(2,COLUMN())),OFFSET($BN$2,0,0,ROW()-1,60),ROW()-1,FALSE))</f>
        <v/>
      </c>
      <c r="BJ486" t="str">
        <f ca="1">IF(AND(ISNUMBER($BJ$1148),$B$677=1),$BJ$1148,HLOOKUP(INDIRECT(ADDRESS(2,COLUMN())),OFFSET($BN$2,0,0,ROW()-1,60),ROW()-1,FALSE))</f>
        <v/>
      </c>
      <c r="BK486" t="str">
        <f ca="1">IF(AND(ISNUMBER($BK$1148),$B$677=1),$BK$1148,HLOOKUP(INDIRECT(ADDRESS(2,COLUMN())),OFFSET($BN$2,0,0,ROW()-1,60),ROW()-1,FALSE))</f>
        <v/>
      </c>
      <c r="BL486" t="str">
        <f ca="1">IF(AND(ISNUMBER($BL$1148),$B$677=1),$BL$1148,HLOOKUP(INDIRECT(ADDRESS(2,COLUMN())),OFFSET($BN$2,0,0,ROW()-1,60),ROW()-1,FALSE))</f>
        <v/>
      </c>
      <c r="BM486" t="str">
        <f ca="1">IF(AND(ISNUMBER($BM$1148),$B$677=1),$BM$1148,HLOOKUP(INDIRECT(ADDRESS(2,COLUMN())),OFFSET($BN$2,0,0,ROW()-1,60),ROW()-1,FALSE))</f>
        <v/>
      </c>
      <c r="BN486" t="str">
        <f>""</f>
        <v/>
      </c>
      <c r="BO486" t="str">
        <f>""</f>
        <v/>
      </c>
      <c r="BP486" t="str">
        <f>""</f>
        <v/>
      </c>
      <c r="BQ486" t="str">
        <f>""</f>
        <v/>
      </c>
      <c r="BR486" t="str">
        <f>""</f>
        <v/>
      </c>
      <c r="BS486" t="str">
        <f>""</f>
        <v/>
      </c>
      <c r="BT486" t="str">
        <f>""</f>
        <v/>
      </c>
      <c r="BU486" t="str">
        <f>""</f>
        <v/>
      </c>
      <c r="BV486" t="str">
        <f>""</f>
        <v/>
      </c>
      <c r="BW486" t="str">
        <f>""</f>
        <v/>
      </c>
      <c r="BX486" t="str">
        <f>""</f>
        <v/>
      </c>
      <c r="BY486" t="str">
        <f>""</f>
        <v/>
      </c>
      <c r="BZ486" t="str">
        <f>""</f>
        <v/>
      </c>
      <c r="CA486" t="str">
        <f>""</f>
        <v/>
      </c>
      <c r="CB486" t="str">
        <f>""</f>
        <v/>
      </c>
      <c r="CC486" t="str">
        <f>""</f>
        <v/>
      </c>
      <c r="CD486" t="str">
        <f>""</f>
        <v/>
      </c>
      <c r="CE486" t="str">
        <f>""</f>
        <v/>
      </c>
      <c r="CF486" t="str">
        <f>""</f>
        <v/>
      </c>
      <c r="CG486" t="str">
        <f>""</f>
        <v/>
      </c>
      <c r="CH486" t="str">
        <f>""</f>
        <v/>
      </c>
      <c r="CI486" t="str">
        <f>""</f>
        <v/>
      </c>
      <c r="CJ486" t="str">
        <f>""</f>
        <v/>
      </c>
      <c r="CK486" t="str">
        <f>""</f>
        <v/>
      </c>
      <c r="CL486" t="str">
        <f>""</f>
        <v/>
      </c>
      <c r="CM486" t="str">
        <f>""</f>
        <v/>
      </c>
      <c r="CN486" t="str">
        <f>""</f>
        <v/>
      </c>
      <c r="CO486" t="str">
        <f>""</f>
        <v/>
      </c>
      <c r="CP486" t="str">
        <f>""</f>
        <v/>
      </c>
      <c r="CQ486" t="str">
        <f>""</f>
        <v/>
      </c>
      <c r="CR486" t="str">
        <f>""</f>
        <v/>
      </c>
      <c r="CS486" t="str">
        <f>""</f>
        <v/>
      </c>
      <c r="CT486" t="str">
        <f>""</f>
        <v/>
      </c>
      <c r="CU486" t="str">
        <f>""</f>
        <v/>
      </c>
      <c r="CV486" t="str">
        <f>""</f>
        <v/>
      </c>
      <c r="CW486" t="str">
        <f>""</f>
        <v/>
      </c>
      <c r="CX486" t="str">
        <f>""</f>
        <v/>
      </c>
      <c r="CY486" t="str">
        <f>""</f>
        <v/>
      </c>
      <c r="CZ486" t="str">
        <f>""</f>
        <v/>
      </c>
      <c r="DA486" t="str">
        <f>""</f>
        <v/>
      </c>
      <c r="DB486" t="str">
        <f>""</f>
        <v/>
      </c>
      <c r="DC486" t="str">
        <f>""</f>
        <v/>
      </c>
      <c r="DD486" t="str">
        <f>""</f>
        <v/>
      </c>
      <c r="DE486" t="str">
        <f>""</f>
        <v/>
      </c>
      <c r="DF486" t="str">
        <f>""</f>
        <v/>
      </c>
      <c r="DG486" t="str">
        <f>""</f>
        <v/>
      </c>
      <c r="DH486" t="str">
        <f>""</f>
        <v/>
      </c>
      <c r="DI486" t="str">
        <f>""</f>
        <v/>
      </c>
      <c r="DJ486" t="str">
        <f>""</f>
        <v/>
      </c>
      <c r="DK486" t="str">
        <f>""</f>
        <v/>
      </c>
      <c r="DL486" t="str">
        <f>""</f>
        <v/>
      </c>
      <c r="DM486" t="str">
        <f>""</f>
        <v/>
      </c>
      <c r="DN486" t="str">
        <f>""</f>
        <v/>
      </c>
      <c r="DO486" t="str">
        <f>""</f>
        <v/>
      </c>
      <c r="DP486" t="str">
        <f>""</f>
        <v/>
      </c>
      <c r="DQ486" t="str">
        <f>""</f>
        <v/>
      </c>
      <c r="DR486" t="str">
        <f>""</f>
        <v/>
      </c>
      <c r="DS486" t="str">
        <f>""</f>
        <v/>
      </c>
      <c r="DT486" t="str">
        <f>""</f>
        <v/>
      </c>
      <c r="DU486" t="str">
        <f>""</f>
        <v/>
      </c>
    </row>
    <row r="487" spans="1:125" x14ac:dyDescent="0.25">
      <c r="A487" t="str">
        <f>"    Ssangyong Motor Co"</f>
        <v xml:space="preserve">    Ssangyong Motor Co</v>
      </c>
      <c r="B487" t="str">
        <f>"003620 KS Equity"</f>
        <v>003620 KS Equity</v>
      </c>
      <c r="C487" t="str">
        <f t="shared" si="33"/>
        <v>RR476</v>
      </c>
      <c r="D487" t="str">
        <f t="shared" si="34"/>
        <v>EV_TO_T12M_NET_INCOME</v>
      </c>
      <c r="E487" t="str">
        <f t="shared" si="35"/>
        <v>Dynamic</v>
      </c>
      <c r="F487" t="str">
        <f ca="1">IF(AND(ISNUMBER($F$1149),$B$677=1),$F$1149,HLOOKUP(INDIRECT(ADDRESS(2,COLUMN())),OFFSET($BN$2,0,0,ROW()-1,60),ROW()-1,FALSE))</f>
        <v/>
      </c>
      <c r="G487" t="str">
        <f ca="1">IF(AND(ISNUMBER($G$1149),$B$677=1),$G$1149,HLOOKUP(INDIRECT(ADDRESS(2,COLUMN())),OFFSET($BN$2,0,0,ROW()-1,60),ROW()-1,FALSE))</f>
        <v/>
      </c>
      <c r="H487" t="str">
        <f ca="1">IF(AND(ISNUMBER($H$1149),$B$677=1),$H$1149,HLOOKUP(INDIRECT(ADDRESS(2,COLUMN())),OFFSET($BN$2,0,0,ROW()-1,60),ROW()-1,FALSE))</f>
        <v/>
      </c>
      <c r="I487" t="str">
        <f ca="1">IF(AND(ISNUMBER($I$1149),$B$677=1),$I$1149,HLOOKUP(INDIRECT(ADDRESS(2,COLUMN())),OFFSET($BN$2,0,0,ROW()-1,60),ROW()-1,FALSE))</f>
        <v/>
      </c>
      <c r="J487" t="str">
        <f ca="1">IF(AND(ISNUMBER($J$1149),$B$677=1),$J$1149,HLOOKUP(INDIRECT(ADDRESS(2,COLUMN())),OFFSET($BN$2,0,0,ROW()-1,60),ROW()-1,FALSE))</f>
        <v/>
      </c>
      <c r="K487" t="str">
        <f ca="1">IF(AND(ISNUMBER($K$1149),$B$677=1),$K$1149,HLOOKUP(INDIRECT(ADDRESS(2,COLUMN())),OFFSET($BN$2,0,0,ROW()-1,60),ROW()-1,FALSE))</f>
        <v/>
      </c>
      <c r="L487" t="str">
        <f ca="1">IF(AND(ISNUMBER($L$1149),$B$677=1),$L$1149,HLOOKUP(INDIRECT(ADDRESS(2,COLUMN())),OFFSET($BN$2,0,0,ROW()-1,60),ROW()-1,FALSE))</f>
        <v/>
      </c>
      <c r="M487">
        <f ca="1">IF(AND(ISNUMBER($M$1149),$B$677=1),$M$1149,HLOOKUP(INDIRECT(ADDRESS(2,COLUMN())),OFFSET($BN$2,0,0,ROW()-1,60),ROW()-1,FALSE))</f>
        <v>48.062766619999998</v>
      </c>
      <c r="N487">
        <f ca="1">IF(AND(ISNUMBER($N$1149),$B$677=1),$N$1149,HLOOKUP(INDIRECT(ADDRESS(2,COLUMN())),OFFSET($BN$2,0,0,ROW()-1,60),ROW()-1,FALSE))</f>
        <v>26.56764179</v>
      </c>
      <c r="O487">
        <f ca="1">IF(AND(ISNUMBER($O$1149),$B$677=1),$O$1149,HLOOKUP(INDIRECT(ADDRESS(2,COLUMN())),OFFSET($BN$2,0,0,ROW()-1,60),ROW()-1,FALSE))</f>
        <v>17.877587989999999</v>
      </c>
      <c r="P487">
        <f ca="1">IF(AND(ISNUMBER($P$1149),$B$677=1),$P$1149,HLOOKUP(INDIRECT(ADDRESS(2,COLUMN())),OFFSET($BN$2,0,0,ROW()-1,60),ROW()-1,FALSE))</f>
        <v>20.551905730000001</v>
      </c>
      <c r="Q487">
        <f ca="1">IF(AND(ISNUMBER($Q$1149),$B$677=1),$Q$1149,HLOOKUP(INDIRECT(ADDRESS(2,COLUMN())),OFFSET($BN$2,0,0,ROW()-1,60),ROW()-1,FALSE))</f>
        <v>80.294740059999995</v>
      </c>
      <c r="R487" t="str">
        <f ca="1">IF(AND(ISNUMBER($R$1149),$B$677=1),$R$1149,HLOOKUP(INDIRECT(ADDRESS(2,COLUMN())),OFFSET($BN$2,0,0,ROW()-1,60),ROW()-1,FALSE))</f>
        <v/>
      </c>
      <c r="S487" t="str">
        <f ca="1">IF(AND(ISNUMBER($S$1149),$B$677=1),$S$1149,HLOOKUP(INDIRECT(ADDRESS(2,COLUMN())),OFFSET($BN$2,0,0,ROW()-1,60),ROW()-1,FALSE))</f>
        <v/>
      </c>
      <c r="T487" t="str">
        <f ca="1">IF(AND(ISNUMBER($T$1149),$B$677=1),$T$1149,HLOOKUP(INDIRECT(ADDRESS(2,COLUMN())),OFFSET($BN$2,0,0,ROW()-1,60),ROW()-1,FALSE))</f>
        <v/>
      </c>
      <c r="U487" t="str">
        <f ca="1">IF(AND(ISNUMBER($U$1149),$B$677=1),$U$1149,HLOOKUP(INDIRECT(ADDRESS(2,COLUMN())),OFFSET($BN$2,0,0,ROW()-1,60),ROW()-1,FALSE))</f>
        <v/>
      </c>
      <c r="V487" t="str">
        <f ca="1">IF(AND(ISNUMBER($V$1149),$B$677=1),$V$1149,HLOOKUP(INDIRECT(ADDRESS(2,COLUMN())),OFFSET($BN$2,0,0,ROW()-1,60),ROW()-1,FALSE))</f>
        <v/>
      </c>
      <c r="W487" t="str">
        <f ca="1">IF(AND(ISNUMBER($W$1149),$B$677=1),$W$1149,HLOOKUP(INDIRECT(ADDRESS(2,COLUMN())),OFFSET($BN$2,0,0,ROW()-1,60),ROW()-1,FALSE))</f>
        <v/>
      </c>
      <c r="X487" t="str">
        <f ca="1">IF(AND(ISNUMBER($X$1149),$B$677=1),$X$1149,HLOOKUP(INDIRECT(ADDRESS(2,COLUMN())),OFFSET($BN$2,0,0,ROW()-1,60),ROW()-1,FALSE))</f>
        <v/>
      </c>
      <c r="Y487" t="str">
        <f ca="1">IF(AND(ISNUMBER($Y$1149),$B$677=1),$Y$1149,HLOOKUP(INDIRECT(ADDRESS(2,COLUMN())),OFFSET($BN$2,0,0,ROW()-1,60),ROW()-1,FALSE))</f>
        <v/>
      </c>
      <c r="Z487">
        <f ca="1">IF(AND(ISNUMBER($Z$1149),$B$677=1),$Z$1149,HLOOKUP(INDIRECT(ADDRESS(2,COLUMN())),OFFSET($BN$2,0,0,ROW()-1,60),ROW()-1,FALSE))</f>
        <v>57.241716709999999</v>
      </c>
      <c r="AA487" t="str">
        <f ca="1">IF(AND(ISNUMBER($AA$1149),$B$677=1),$AA$1149,HLOOKUP(INDIRECT(ADDRESS(2,COLUMN())),OFFSET($BN$2,0,0,ROW()-1,60),ROW()-1,FALSE))</f>
        <v/>
      </c>
      <c r="AB487" t="str">
        <f ca="1">IF(AND(ISNUMBER($AB$1149),$B$677=1),$AB$1149,HLOOKUP(INDIRECT(ADDRESS(2,COLUMN())),OFFSET($BN$2,0,0,ROW()-1,60),ROW()-1,FALSE))</f>
        <v/>
      </c>
      <c r="AC487" t="str">
        <f ca="1">IF(AND(ISNUMBER($AC$1149),$B$677=1),$AC$1149,HLOOKUP(INDIRECT(ADDRESS(2,COLUMN())),OFFSET($BN$2,0,0,ROW()-1,60),ROW()-1,FALSE))</f>
        <v/>
      </c>
      <c r="AD487" t="str">
        <f ca="1">IF(AND(ISNUMBER($AD$1149),$B$677=1),$AD$1149,HLOOKUP(INDIRECT(ADDRESS(2,COLUMN())),OFFSET($BN$2,0,0,ROW()-1,60),ROW()-1,FALSE))</f>
        <v/>
      </c>
      <c r="AE487" t="str">
        <f ca="1">IF(AND(ISNUMBER($AE$1149),$B$677=1),$AE$1149,HLOOKUP(INDIRECT(ADDRESS(2,COLUMN())),OFFSET($BN$2,0,0,ROW()-1,60),ROW()-1,FALSE))</f>
        <v/>
      </c>
      <c r="AF487" t="str">
        <f ca="1">IF(AND(ISNUMBER($AF$1149),$B$677=1),$AF$1149,HLOOKUP(INDIRECT(ADDRESS(2,COLUMN())),OFFSET($BN$2,0,0,ROW()-1,60),ROW()-1,FALSE))</f>
        <v/>
      </c>
      <c r="AG487" t="str">
        <f ca="1">IF(AND(ISNUMBER($AG$1149),$B$677=1),$AG$1149,HLOOKUP(INDIRECT(ADDRESS(2,COLUMN())),OFFSET($BN$2,0,0,ROW()-1,60),ROW()-1,FALSE))</f>
        <v/>
      </c>
      <c r="AH487" t="str">
        <f ca="1">IF(AND(ISNUMBER($AH$1149),$B$677=1),$AH$1149,HLOOKUP(INDIRECT(ADDRESS(2,COLUMN())),OFFSET($BN$2,0,0,ROW()-1,60),ROW()-1,FALSE))</f>
        <v/>
      </c>
      <c r="AI487" t="str">
        <f ca="1">IF(AND(ISNUMBER($AI$1149),$B$677=1),$AI$1149,HLOOKUP(INDIRECT(ADDRESS(2,COLUMN())),OFFSET($BN$2,0,0,ROW()-1,60),ROW()-1,FALSE))</f>
        <v/>
      </c>
      <c r="AJ487" t="str">
        <f ca="1">IF(AND(ISNUMBER($AJ$1149),$B$677=1),$AJ$1149,HLOOKUP(INDIRECT(ADDRESS(2,COLUMN())),OFFSET($BN$2,0,0,ROW()-1,60),ROW()-1,FALSE))</f>
        <v/>
      </c>
      <c r="AK487" t="str">
        <f ca="1">IF(AND(ISNUMBER($AK$1149),$B$677=1),$AK$1149,HLOOKUP(INDIRECT(ADDRESS(2,COLUMN())),OFFSET($BN$2,0,0,ROW()-1,60),ROW()-1,FALSE))</f>
        <v/>
      </c>
      <c r="AL487" t="str">
        <f ca="1">IF(AND(ISNUMBER($AL$1149),$B$677=1),$AL$1149,HLOOKUP(INDIRECT(ADDRESS(2,COLUMN())),OFFSET($BN$2,0,0,ROW()-1,60),ROW()-1,FALSE))</f>
        <v/>
      </c>
      <c r="AM487" t="str">
        <f ca="1">IF(AND(ISNUMBER($AM$1149),$B$677=1),$AM$1149,HLOOKUP(INDIRECT(ADDRESS(2,COLUMN())),OFFSET($BN$2,0,0,ROW()-1,60),ROW()-1,FALSE))</f>
        <v/>
      </c>
      <c r="AN487" t="str">
        <f ca="1">IF(AND(ISNUMBER($AN$1149),$B$677=1),$AN$1149,HLOOKUP(INDIRECT(ADDRESS(2,COLUMN())),OFFSET($BN$2,0,0,ROW()-1,60),ROW()-1,FALSE))</f>
        <v/>
      </c>
      <c r="AO487" t="str">
        <f ca="1">IF(AND(ISNUMBER($AO$1149),$B$677=1),$AO$1149,HLOOKUP(INDIRECT(ADDRESS(2,COLUMN())),OFFSET($BN$2,0,0,ROW()-1,60),ROW()-1,FALSE))</f>
        <v/>
      </c>
      <c r="AP487" t="str">
        <f ca="1">IF(AND(ISNUMBER($AP$1149),$B$677=1),$AP$1149,HLOOKUP(INDIRECT(ADDRESS(2,COLUMN())),OFFSET($BN$2,0,0,ROW()-1,60),ROW()-1,FALSE))</f>
        <v/>
      </c>
      <c r="AQ487" t="str">
        <f ca="1">IF(AND(ISNUMBER($AQ$1149),$B$677=1),$AQ$1149,HLOOKUP(INDIRECT(ADDRESS(2,COLUMN())),OFFSET($BN$2,0,0,ROW()-1,60),ROW()-1,FALSE))</f>
        <v/>
      </c>
      <c r="AR487" t="str">
        <f ca="1">IF(AND(ISNUMBER($AR$1149),$B$677=1),$AR$1149,HLOOKUP(INDIRECT(ADDRESS(2,COLUMN())),OFFSET($BN$2,0,0,ROW()-1,60),ROW()-1,FALSE))</f>
        <v/>
      </c>
      <c r="AS487" t="str">
        <f ca="1">IF(AND(ISNUMBER($AS$1149),$B$677=1),$AS$1149,HLOOKUP(INDIRECT(ADDRESS(2,COLUMN())),OFFSET($BN$2,0,0,ROW()-1,60),ROW()-1,FALSE))</f>
        <v/>
      </c>
      <c r="AT487" t="str">
        <f ca="1">IF(AND(ISNUMBER($AT$1149),$B$677=1),$AT$1149,HLOOKUP(INDIRECT(ADDRESS(2,COLUMN())),OFFSET($BN$2,0,0,ROW()-1,60),ROW()-1,FALSE))</f>
        <v/>
      </c>
      <c r="AU487" t="str">
        <f ca="1">IF(AND(ISNUMBER($AU$1149),$B$677=1),$AU$1149,HLOOKUP(INDIRECT(ADDRESS(2,COLUMN())),OFFSET($BN$2,0,0,ROW()-1,60),ROW()-1,FALSE))</f>
        <v/>
      </c>
      <c r="AV487" t="str">
        <f ca="1">IF(AND(ISNUMBER($AV$1149),$B$677=1),$AV$1149,HLOOKUP(INDIRECT(ADDRESS(2,COLUMN())),OFFSET($BN$2,0,0,ROW()-1,60),ROW()-1,FALSE))</f>
        <v/>
      </c>
      <c r="AW487" t="str">
        <f ca="1">IF(AND(ISNUMBER($AW$1149),$B$677=1),$AW$1149,HLOOKUP(INDIRECT(ADDRESS(2,COLUMN())),OFFSET($BN$2,0,0,ROW()-1,60),ROW()-1,FALSE))</f>
        <v/>
      </c>
      <c r="AX487" t="str">
        <f ca="1">IF(AND(ISNUMBER($AX$1149),$B$677=1),$AX$1149,HLOOKUP(INDIRECT(ADDRESS(2,COLUMN())),OFFSET($BN$2,0,0,ROW()-1,60),ROW()-1,FALSE))</f>
        <v/>
      </c>
      <c r="AY487" t="str">
        <f ca="1">IF(AND(ISNUMBER($AY$1149),$B$677=1),$AY$1149,HLOOKUP(INDIRECT(ADDRESS(2,COLUMN())),OFFSET($BN$2,0,0,ROW()-1,60),ROW()-1,FALSE))</f>
        <v/>
      </c>
      <c r="AZ487" t="str">
        <f ca="1">IF(AND(ISNUMBER($AZ$1149),$B$677=1),$AZ$1149,HLOOKUP(INDIRECT(ADDRESS(2,COLUMN())),OFFSET($BN$2,0,0,ROW()-1,60),ROW()-1,FALSE))</f>
        <v/>
      </c>
      <c r="BA487" t="str">
        <f ca="1">IF(AND(ISNUMBER($BA$1149),$B$677=1),$BA$1149,HLOOKUP(INDIRECT(ADDRESS(2,COLUMN())),OFFSET($BN$2,0,0,ROW()-1,60),ROW()-1,FALSE))</f>
        <v/>
      </c>
      <c r="BB487" t="str">
        <f ca="1">IF(AND(ISNUMBER($BB$1149),$B$677=1),$BB$1149,HLOOKUP(INDIRECT(ADDRESS(2,COLUMN())),OFFSET($BN$2,0,0,ROW()-1,60),ROW()-1,FALSE))</f>
        <v/>
      </c>
      <c r="BC487" t="str">
        <f ca="1">IF(AND(ISNUMBER($BC$1149),$B$677=1),$BC$1149,HLOOKUP(INDIRECT(ADDRESS(2,COLUMN())),OFFSET($BN$2,0,0,ROW()-1,60),ROW()-1,FALSE))</f>
        <v/>
      </c>
      <c r="BD487" t="str">
        <f ca="1">IF(AND(ISNUMBER($BD$1149),$B$677=1),$BD$1149,HLOOKUP(INDIRECT(ADDRESS(2,COLUMN())),OFFSET($BN$2,0,0,ROW()-1,60),ROW()-1,FALSE))</f>
        <v/>
      </c>
      <c r="BE487" t="str">
        <f ca="1">IF(AND(ISNUMBER($BE$1149),$B$677=1),$BE$1149,HLOOKUP(INDIRECT(ADDRESS(2,COLUMN())),OFFSET($BN$2,0,0,ROW()-1,60),ROW()-1,FALSE))</f>
        <v/>
      </c>
      <c r="BF487" t="str">
        <f ca="1">IF(AND(ISNUMBER($BF$1149),$B$677=1),$BF$1149,HLOOKUP(INDIRECT(ADDRESS(2,COLUMN())),OFFSET($BN$2,0,0,ROW()-1,60),ROW()-1,FALSE))</f>
        <v/>
      </c>
      <c r="BG487" t="str">
        <f ca="1">IF(AND(ISNUMBER($BG$1149),$B$677=1),$BG$1149,HLOOKUP(INDIRECT(ADDRESS(2,COLUMN())),OFFSET($BN$2,0,0,ROW()-1,60),ROW()-1,FALSE))</f>
        <v/>
      </c>
      <c r="BH487" t="str">
        <f ca="1">IF(AND(ISNUMBER($BH$1149),$B$677=1),$BH$1149,HLOOKUP(INDIRECT(ADDRESS(2,COLUMN())),OFFSET($BN$2,0,0,ROW()-1,60),ROW()-1,FALSE))</f>
        <v/>
      </c>
      <c r="BI487" t="str">
        <f ca="1">IF(AND(ISNUMBER($BI$1149),$B$677=1),$BI$1149,HLOOKUP(INDIRECT(ADDRESS(2,COLUMN())),OFFSET($BN$2,0,0,ROW()-1,60),ROW()-1,FALSE))</f>
        <v/>
      </c>
      <c r="BJ487" t="str">
        <f ca="1">IF(AND(ISNUMBER($BJ$1149),$B$677=1),$BJ$1149,HLOOKUP(INDIRECT(ADDRESS(2,COLUMN())),OFFSET($BN$2,0,0,ROW()-1,60),ROW()-1,FALSE))</f>
        <v/>
      </c>
      <c r="BK487" t="str">
        <f ca="1">IF(AND(ISNUMBER($BK$1149),$B$677=1),$BK$1149,HLOOKUP(INDIRECT(ADDRESS(2,COLUMN())),OFFSET($BN$2,0,0,ROW()-1,60),ROW()-1,FALSE))</f>
        <v/>
      </c>
      <c r="BL487" t="str">
        <f ca="1">IF(AND(ISNUMBER($BL$1149),$B$677=1),$BL$1149,HLOOKUP(INDIRECT(ADDRESS(2,COLUMN())),OFFSET($BN$2,0,0,ROW()-1,60),ROW()-1,FALSE))</f>
        <v/>
      </c>
      <c r="BM487" t="str">
        <f ca="1">IF(AND(ISNUMBER($BM$1149),$B$677=1),$BM$1149,HLOOKUP(INDIRECT(ADDRESS(2,COLUMN())),OFFSET($BN$2,0,0,ROW()-1,60),ROW()-1,FALSE))</f>
        <v/>
      </c>
      <c r="BN487" t="str">
        <f>""</f>
        <v/>
      </c>
      <c r="BO487" t="str">
        <f>""</f>
        <v/>
      </c>
      <c r="BP487" t="str">
        <f>""</f>
        <v/>
      </c>
      <c r="BQ487" t="str">
        <f>""</f>
        <v/>
      </c>
      <c r="BR487" t="str">
        <f>""</f>
        <v/>
      </c>
      <c r="BS487" t="str">
        <f>""</f>
        <v/>
      </c>
      <c r="BT487" t="str">
        <f>""</f>
        <v/>
      </c>
      <c r="BU487">
        <f>48.06276662</f>
        <v>48.062766619999998</v>
      </c>
      <c r="BV487">
        <f>26.56764179</f>
        <v>26.56764179</v>
      </c>
      <c r="BW487">
        <f>17.87758799</f>
        <v>17.877587989999999</v>
      </c>
      <c r="BX487">
        <f>20.55190573</f>
        <v>20.551905730000001</v>
      </c>
      <c r="BY487">
        <f>80.29474006</f>
        <v>80.294740059999995</v>
      </c>
      <c r="BZ487" t="str">
        <f>""</f>
        <v/>
      </c>
      <c r="CA487" t="str">
        <f>""</f>
        <v/>
      </c>
      <c r="CB487" t="str">
        <f>""</f>
        <v/>
      </c>
      <c r="CC487" t="str">
        <f>""</f>
        <v/>
      </c>
      <c r="CD487" t="str">
        <f>""</f>
        <v/>
      </c>
      <c r="CE487" t="str">
        <f>""</f>
        <v/>
      </c>
      <c r="CF487" t="str">
        <f>""</f>
        <v/>
      </c>
      <c r="CG487" t="str">
        <f>""</f>
        <v/>
      </c>
      <c r="CH487">
        <f>57.24171671</f>
        <v>57.241716709999999</v>
      </c>
      <c r="CI487" t="str">
        <f>""</f>
        <v/>
      </c>
      <c r="CJ487" t="str">
        <f>""</f>
        <v/>
      </c>
      <c r="CK487" t="str">
        <f>""</f>
        <v/>
      </c>
      <c r="CL487" t="str">
        <f>""</f>
        <v/>
      </c>
      <c r="CM487" t="str">
        <f>""</f>
        <v/>
      </c>
      <c r="CN487" t="str">
        <f>""</f>
        <v/>
      </c>
      <c r="CO487" t="str">
        <f>""</f>
        <v/>
      </c>
      <c r="CP487" t="str">
        <f>""</f>
        <v/>
      </c>
      <c r="CQ487" t="str">
        <f>""</f>
        <v/>
      </c>
      <c r="CR487" t="str">
        <f>""</f>
        <v/>
      </c>
      <c r="CS487" t="str">
        <f>""</f>
        <v/>
      </c>
      <c r="CT487" t="str">
        <f>""</f>
        <v/>
      </c>
      <c r="CU487" t="str">
        <f>""</f>
        <v/>
      </c>
      <c r="CV487" t="str">
        <f>""</f>
        <v/>
      </c>
      <c r="CW487" t="str">
        <f>""</f>
        <v/>
      </c>
      <c r="CX487" t="str">
        <f>""</f>
        <v/>
      </c>
      <c r="CY487" t="str">
        <f>""</f>
        <v/>
      </c>
      <c r="CZ487" t="str">
        <f>""</f>
        <v/>
      </c>
      <c r="DA487" t="str">
        <f>""</f>
        <v/>
      </c>
      <c r="DB487" t="str">
        <f>""</f>
        <v/>
      </c>
      <c r="DC487" t="str">
        <f>""</f>
        <v/>
      </c>
      <c r="DD487" t="str">
        <f>""</f>
        <v/>
      </c>
      <c r="DE487" t="str">
        <f>""</f>
        <v/>
      </c>
      <c r="DF487" t="str">
        <f>""</f>
        <v/>
      </c>
      <c r="DG487" t="str">
        <f>""</f>
        <v/>
      </c>
      <c r="DH487" t="str">
        <f>""</f>
        <v/>
      </c>
      <c r="DI487" t="str">
        <f>""</f>
        <v/>
      </c>
      <c r="DJ487" t="str">
        <f>""</f>
        <v/>
      </c>
      <c r="DK487" t="str">
        <f>""</f>
        <v/>
      </c>
      <c r="DL487" t="str">
        <f>""</f>
        <v/>
      </c>
      <c r="DM487" t="str">
        <f>""</f>
        <v/>
      </c>
      <c r="DN487" t="str">
        <f>""</f>
        <v/>
      </c>
      <c r="DO487" t="str">
        <f>""</f>
        <v/>
      </c>
      <c r="DP487" t="str">
        <f>""</f>
        <v/>
      </c>
      <c r="DQ487" t="str">
        <f>""</f>
        <v/>
      </c>
      <c r="DR487" t="str">
        <f>""</f>
        <v/>
      </c>
      <c r="DS487" t="str">
        <f>""</f>
        <v/>
      </c>
      <c r="DT487" t="str">
        <f>""</f>
        <v/>
      </c>
      <c r="DU487" t="str">
        <f>""</f>
        <v/>
      </c>
    </row>
    <row r="488" spans="1:125" x14ac:dyDescent="0.25">
      <c r="A488" t="str">
        <f>"    Subaru Corp"</f>
        <v xml:space="preserve">    Subaru Corp</v>
      </c>
      <c r="B488" t="str">
        <f>"7270 JP Equity"</f>
        <v>7270 JP Equity</v>
      </c>
      <c r="C488" t="str">
        <f t="shared" si="33"/>
        <v>RR476</v>
      </c>
      <c r="D488" t="str">
        <f t="shared" si="34"/>
        <v>EV_TO_T12M_NET_INCOME</v>
      </c>
      <c r="E488" t="str">
        <f t="shared" si="35"/>
        <v>Dynamic</v>
      </c>
      <c r="F488" t="str">
        <f ca="1">IF(AND(ISNUMBER($F$1150),$B$677=1),$F$1150,HLOOKUP(INDIRECT(ADDRESS(2,COLUMN())),OFFSET($BN$2,0,0,ROW()-1,60),ROW()-1,FALSE))</f>
        <v/>
      </c>
      <c r="G488">
        <f ca="1">IF(AND(ISNUMBER($G$1150),$B$677=1),$G$1150,HLOOKUP(INDIRECT(ADDRESS(2,COLUMN())),OFFSET($BN$2,0,0,ROW()-1,60),ROW()-1,FALSE))</f>
        <v>5.3619682480000002</v>
      </c>
      <c r="H488">
        <f ca="1">IF(AND(ISNUMBER($H$1150),$B$677=1),$H$1150,HLOOKUP(INDIRECT(ADDRESS(2,COLUMN())),OFFSET($BN$2,0,0,ROW()-1,60),ROW()-1,FALSE))</f>
        <v>9.9862797230000009</v>
      </c>
      <c r="I488">
        <f ca="1">IF(AND(ISNUMBER($I$1150),$B$677=1),$I$1150,HLOOKUP(INDIRECT(ADDRESS(2,COLUMN())),OFFSET($BN$2,0,0,ROW()-1,60),ROW()-1,FALSE))</f>
        <v>8.6922998800000002</v>
      </c>
      <c r="J488">
        <f ca="1">IF(AND(ISNUMBER($J$1150),$B$677=1),$J$1150,HLOOKUP(INDIRECT(ADDRESS(2,COLUMN())),OFFSET($BN$2,0,0,ROW()-1,60),ROW()-1,FALSE))</f>
        <v>8.0116590890000001</v>
      </c>
      <c r="K488">
        <f ca="1">IF(AND(ISNUMBER($K$1150),$B$677=1),$K$1150,HLOOKUP(INDIRECT(ADDRESS(2,COLUMN())),OFFSET($BN$2,0,0,ROW()-1,60),ROW()-1,FALSE))</f>
        <v>8.2708540389999996</v>
      </c>
      <c r="L488">
        <f ca="1">IF(AND(ISNUMBER($L$1150),$B$677=1),$L$1150,HLOOKUP(INDIRECT(ADDRESS(2,COLUMN())),OFFSET($BN$2,0,0,ROW()-1,60),ROW()-1,FALSE))</f>
        <v>10.869658190000001</v>
      </c>
      <c r="M488">
        <f ca="1">IF(AND(ISNUMBER($M$1150),$B$677=1),$M$1150,HLOOKUP(INDIRECT(ADDRESS(2,COLUMN())),OFFSET($BN$2,0,0,ROW()-1,60),ROW()-1,FALSE))</f>
        <v>7.0756079109999996</v>
      </c>
      <c r="N488">
        <f ca="1">IF(AND(ISNUMBER($N$1150),$B$677=1),$N$1150,HLOOKUP(INDIRECT(ADDRESS(2,COLUMN())),OFFSET($BN$2,0,0,ROW()-1,60),ROW()-1,FALSE))</f>
        <v>8.1864784559999997</v>
      </c>
      <c r="O488">
        <f ca="1">IF(AND(ISNUMBER($O$1150),$B$677=1),$O$1150,HLOOKUP(INDIRECT(ADDRESS(2,COLUMN())),OFFSET($BN$2,0,0,ROW()-1,60),ROW()-1,FALSE))</f>
        <v>9.4827243429999992</v>
      </c>
      <c r="P488">
        <f ca="1">IF(AND(ISNUMBER($P$1150),$B$677=1),$P$1150,HLOOKUP(INDIRECT(ADDRESS(2,COLUMN())),OFFSET($BN$2,0,0,ROW()-1,60),ROW()-1,FALSE))</f>
        <v>5.0555150480000002</v>
      </c>
      <c r="Q488">
        <f ca="1">IF(AND(ISNUMBER($Q$1150),$B$677=1),$Q$1150,HLOOKUP(INDIRECT(ADDRESS(2,COLUMN())),OFFSET($BN$2,0,0,ROW()-1,60),ROW()-1,FALSE))</f>
        <v>4.4996682679999997</v>
      </c>
      <c r="R488">
        <f ca="1">IF(AND(ISNUMBER($R$1150),$B$677=1),$R$1150,HLOOKUP(INDIRECT(ADDRESS(2,COLUMN())),OFFSET($BN$2,0,0,ROW()-1,60),ROW()-1,FALSE))</f>
        <v>5.2096775710000003</v>
      </c>
      <c r="S488">
        <f ca="1">IF(AND(ISNUMBER($S$1150),$B$677=1),$S$1150,HLOOKUP(INDIRECT(ADDRESS(2,COLUMN())),OFFSET($BN$2,0,0,ROW()-1,60),ROW()-1,FALSE))</f>
        <v>7.8709724870000004</v>
      </c>
      <c r="T488">
        <f ca="1">IF(AND(ISNUMBER($T$1150),$B$677=1),$T$1150,HLOOKUP(INDIRECT(ADDRESS(2,COLUMN())),OFFSET($BN$2,0,0,ROW()-1,60),ROW()-1,FALSE))</f>
        <v>7.8809354550000004</v>
      </c>
      <c r="U488">
        <f ca="1">IF(AND(ISNUMBER($U$1150),$B$677=1),$U$1150,HLOOKUP(INDIRECT(ADDRESS(2,COLUMN())),OFFSET($BN$2,0,0,ROW()-1,60),ROW()-1,FALSE))</f>
        <v>10.19120783</v>
      </c>
      <c r="V488">
        <f ca="1">IF(AND(ISNUMBER($V$1150),$B$677=1),$V$1150,HLOOKUP(INDIRECT(ADDRESS(2,COLUMN())),OFFSET($BN$2,0,0,ROW()-1,60),ROW()-1,FALSE))</f>
        <v>10.194852320000001</v>
      </c>
      <c r="W488">
        <f ca="1">IF(AND(ISNUMBER($W$1150),$B$677=1),$W$1150,HLOOKUP(INDIRECT(ADDRESS(2,COLUMN())),OFFSET($BN$2,0,0,ROW()-1,60),ROW()-1,FALSE))</f>
        <v>13.85274888</v>
      </c>
      <c r="X488">
        <f ca="1">IF(AND(ISNUMBER($X$1150),$B$677=1),$X$1150,HLOOKUP(INDIRECT(ADDRESS(2,COLUMN())),OFFSET($BN$2,0,0,ROW()-1,60),ROW()-1,FALSE))</f>
        <v>11.192031650000001</v>
      </c>
      <c r="Y488">
        <f ca="1">IF(AND(ISNUMBER($Y$1150),$B$677=1),$Y$1150,HLOOKUP(INDIRECT(ADDRESS(2,COLUMN())),OFFSET($BN$2,0,0,ROW()-1,60),ROW()-1,FALSE))</f>
        <v>9.1368788989999992</v>
      </c>
      <c r="Z488">
        <f ca="1">IF(AND(ISNUMBER($Z$1150),$B$677=1),$Z$1150,HLOOKUP(INDIRECT(ADDRESS(2,COLUMN())),OFFSET($BN$2,0,0,ROW()-1,60),ROW()-1,FALSE))</f>
        <v>9.0662402520000001</v>
      </c>
      <c r="AA488">
        <f ca="1">IF(AND(ISNUMBER($AA$1150),$B$677=1),$AA$1150,HLOOKUP(INDIRECT(ADDRESS(2,COLUMN())),OFFSET($BN$2,0,0,ROW()-1,60),ROW()-1,FALSE))</f>
        <v>8.5020939109999993</v>
      </c>
      <c r="AB488">
        <f ca="1">IF(AND(ISNUMBER($AB$1150),$B$677=1),$AB$1150,HLOOKUP(INDIRECT(ADDRESS(2,COLUMN())),OFFSET($BN$2,0,0,ROW()-1,60),ROW()-1,FALSE))</f>
        <v>10.94480255</v>
      </c>
      <c r="AC488">
        <f ca="1">IF(AND(ISNUMBER($AC$1150),$B$677=1),$AC$1150,HLOOKUP(INDIRECT(ADDRESS(2,COLUMN())),OFFSET($BN$2,0,0,ROW()-1,60),ROW()-1,FALSE))</f>
        <v>11.974918069999999</v>
      </c>
      <c r="AD488">
        <f ca="1">IF(AND(ISNUMBER($AD$1150),$B$677=1),$AD$1150,HLOOKUP(INDIRECT(ADDRESS(2,COLUMN())),OFFSET($BN$2,0,0,ROW()-1,60),ROW()-1,FALSE))</f>
        <v>9.2176408169999995</v>
      </c>
      <c r="AE488">
        <f ca="1">IF(AND(ISNUMBER($AE$1150),$B$677=1),$AE$1150,HLOOKUP(INDIRECT(ADDRESS(2,COLUMN())),OFFSET($BN$2,0,0,ROW()-1,60),ROW()-1,FALSE))</f>
        <v>15.347349339999999</v>
      </c>
      <c r="AF488">
        <f ca="1">IF(AND(ISNUMBER($AF$1150),$B$677=1),$AF$1150,HLOOKUP(INDIRECT(ADDRESS(2,COLUMN())),OFFSET($BN$2,0,0,ROW()-1,60),ROW()-1,FALSE))</f>
        <v>10.846588110000001</v>
      </c>
      <c r="AG488">
        <f ca="1">IF(AND(ISNUMBER($AG$1150),$B$677=1),$AG$1150,HLOOKUP(INDIRECT(ADDRESS(2,COLUMN())),OFFSET($BN$2,0,0,ROW()-1,60),ROW()-1,FALSE))</f>
        <v>20.58305897</v>
      </c>
      <c r="AH488">
        <f ca="1">IF(AND(ISNUMBER($AH$1150),$B$677=1),$AH$1150,HLOOKUP(INDIRECT(ADDRESS(2,COLUMN())),OFFSET($BN$2,0,0,ROW()-1,60),ROW()-1,FALSE))</f>
        <v>15.54105622</v>
      </c>
      <c r="AI488">
        <f ca="1">IF(AND(ISNUMBER($AI$1150),$B$677=1),$AI$1150,HLOOKUP(INDIRECT(ADDRESS(2,COLUMN())),OFFSET($BN$2,0,0,ROW()-1,60),ROW()-1,FALSE))</f>
        <v>16.671795840000001</v>
      </c>
      <c r="AJ488">
        <f ca="1">IF(AND(ISNUMBER($AJ$1150),$B$677=1),$AJ$1150,HLOOKUP(INDIRECT(ADDRESS(2,COLUMN())),OFFSET($BN$2,0,0,ROW()-1,60),ROW()-1,FALSE))</f>
        <v>12.136061529999999</v>
      </c>
      <c r="AK488">
        <f ca="1">IF(AND(ISNUMBER($AK$1150),$B$677=1),$AK$1150,HLOOKUP(INDIRECT(ADDRESS(2,COLUMN())),OFFSET($BN$2,0,0,ROW()-1,60),ROW()-1,FALSE))</f>
        <v>9.7569851199999995</v>
      </c>
      <c r="AL488">
        <f ca="1">IF(AND(ISNUMBER($AL$1150),$B$677=1),$AL$1150,HLOOKUP(INDIRECT(ADDRESS(2,COLUMN())),OFFSET($BN$2,0,0,ROW()-1,60),ROW()-1,FALSE))</f>
        <v>10.37576791</v>
      </c>
      <c r="AM488">
        <f ca="1">IF(AND(ISNUMBER($AM$1150),$B$677=1),$AM$1150,HLOOKUP(INDIRECT(ADDRESS(2,COLUMN())),OFFSET($BN$2,0,0,ROW()-1,60),ROW()-1,FALSE))</f>
        <v>11.42710975</v>
      </c>
      <c r="AN488">
        <f ca="1">IF(AND(ISNUMBER($AN$1150),$B$677=1),$AN$1150,HLOOKUP(INDIRECT(ADDRESS(2,COLUMN())),OFFSET($BN$2,0,0,ROW()-1,60),ROW()-1,FALSE))</f>
        <v>10.99447159</v>
      </c>
      <c r="AO488">
        <f ca="1">IF(AND(ISNUMBER($AO$1150),$B$677=1),$AO$1150,HLOOKUP(INDIRECT(ADDRESS(2,COLUMN())),OFFSET($BN$2,0,0,ROW()-1,60),ROW()-1,FALSE))</f>
        <v>24.63049049</v>
      </c>
      <c r="AP488" t="str">
        <f ca="1">IF(AND(ISNUMBER($AP$1150),$B$677=1),$AP$1150,HLOOKUP(INDIRECT(ADDRESS(2,COLUMN())),OFFSET($BN$2,0,0,ROW()-1,60),ROW()-1,FALSE))</f>
        <v/>
      </c>
      <c r="AQ488" t="str">
        <f ca="1">IF(AND(ISNUMBER($AQ$1150),$B$677=1),$AQ$1150,HLOOKUP(INDIRECT(ADDRESS(2,COLUMN())),OFFSET($BN$2,0,0,ROW()-1,60),ROW()-1,FALSE))</f>
        <v/>
      </c>
      <c r="AR488" t="str">
        <f ca="1">IF(AND(ISNUMBER($AR$1150),$B$677=1),$AR$1150,HLOOKUP(INDIRECT(ADDRESS(2,COLUMN())),OFFSET($BN$2,0,0,ROW()-1,60),ROW()-1,FALSE))</f>
        <v/>
      </c>
      <c r="AS488" t="str">
        <f ca="1">IF(AND(ISNUMBER($AS$1150),$B$677=1),$AS$1150,HLOOKUP(INDIRECT(ADDRESS(2,COLUMN())),OFFSET($BN$2,0,0,ROW()-1,60),ROW()-1,FALSE))</f>
        <v/>
      </c>
      <c r="AT488" t="str">
        <f ca="1">IF(AND(ISNUMBER($AT$1150),$B$677=1),$AT$1150,HLOOKUP(INDIRECT(ADDRESS(2,COLUMN())),OFFSET($BN$2,0,0,ROW()-1,60),ROW()-1,FALSE))</f>
        <v/>
      </c>
      <c r="AU488" t="str">
        <f ca="1">IF(AND(ISNUMBER($AU$1150),$B$677=1),$AU$1150,HLOOKUP(INDIRECT(ADDRESS(2,COLUMN())),OFFSET($BN$2,0,0,ROW()-1,60),ROW()-1,FALSE))</f>
        <v/>
      </c>
      <c r="AV488">
        <f ca="1">IF(AND(ISNUMBER($AV$1150),$B$677=1),$AV$1150,HLOOKUP(INDIRECT(ADDRESS(2,COLUMN())),OFFSET($BN$2,0,0,ROW()-1,60),ROW()-1,FALSE))</f>
        <v>39.651744280000003</v>
      </c>
      <c r="AW488">
        <f ca="1">IF(AND(ISNUMBER($AW$1150),$B$677=1),$AW$1150,HLOOKUP(INDIRECT(ADDRESS(2,COLUMN())),OFFSET($BN$2,0,0,ROW()-1,60),ROW()-1,FALSE))</f>
        <v>29.887428020000002</v>
      </c>
      <c r="AX488">
        <f ca="1">IF(AND(ISNUMBER($AX$1150),$B$677=1),$AX$1150,HLOOKUP(INDIRECT(ADDRESS(2,COLUMN())),OFFSET($BN$2,0,0,ROW()-1,60),ROW()-1,FALSE))</f>
        <v>27.33731066</v>
      </c>
      <c r="AY488">
        <f ca="1">IF(AND(ISNUMBER($AY$1150),$B$677=1),$AY$1150,HLOOKUP(INDIRECT(ADDRESS(2,COLUMN())),OFFSET($BN$2,0,0,ROW()-1,60),ROW()-1,FALSE))</f>
        <v>25.542076170000001</v>
      </c>
      <c r="AZ488">
        <f ca="1">IF(AND(ISNUMBER($AZ$1150),$B$677=1),$AZ$1150,HLOOKUP(INDIRECT(ADDRESS(2,COLUMN())),OFFSET($BN$2,0,0,ROW()-1,60),ROW()-1,FALSE))</f>
        <v>21.585904299999999</v>
      </c>
      <c r="BA488">
        <f ca="1">IF(AND(ISNUMBER($BA$1150),$B$677=1),$BA$1150,HLOOKUP(INDIRECT(ADDRESS(2,COLUMN())),OFFSET($BN$2,0,0,ROW()-1,60),ROW()-1,FALSE))</f>
        <v>26.380879140000001</v>
      </c>
      <c r="BB488">
        <f ca="1">IF(AND(ISNUMBER($BB$1150),$B$677=1),$BB$1150,HLOOKUP(INDIRECT(ADDRESS(2,COLUMN())),OFFSET($BN$2,0,0,ROW()-1,60),ROW()-1,FALSE))</f>
        <v>21.965729020000001</v>
      </c>
      <c r="BC488">
        <f ca="1">IF(AND(ISNUMBER($BC$1150),$B$677=1),$BC$1150,HLOOKUP(INDIRECT(ADDRESS(2,COLUMN())),OFFSET($BN$2,0,0,ROW()-1,60),ROW()-1,FALSE))</f>
        <v>27.142033720000001</v>
      </c>
      <c r="BD488">
        <f ca="1">IF(AND(ISNUMBER($BD$1150),$B$677=1),$BD$1150,HLOOKUP(INDIRECT(ADDRESS(2,COLUMN())),OFFSET($BN$2,0,0,ROW()-1,60),ROW()-1,FALSE))</f>
        <v>40.04206353</v>
      </c>
      <c r="BE488">
        <f ca="1">IF(AND(ISNUMBER($BE$1150),$B$677=1),$BE$1150,HLOOKUP(INDIRECT(ADDRESS(2,COLUMN())),OFFSET($BN$2,0,0,ROW()-1,60),ROW()-1,FALSE))</f>
        <v>36.210876110000001</v>
      </c>
      <c r="BF488">
        <f ca="1">IF(AND(ISNUMBER($BF$1150),$B$677=1),$BF$1150,HLOOKUP(INDIRECT(ADDRESS(2,COLUMN())),OFFSET($BN$2,0,0,ROW()-1,60),ROW()-1,FALSE))</f>
        <v>49.2801677</v>
      </c>
      <c r="BG488">
        <f ca="1">IF(AND(ISNUMBER($BG$1150),$B$677=1),$BG$1150,HLOOKUP(INDIRECT(ADDRESS(2,COLUMN())),OFFSET($BN$2,0,0,ROW()-1,60),ROW()-1,FALSE))</f>
        <v>74.408418519999998</v>
      </c>
      <c r="BH488">
        <f ca="1">IF(AND(ISNUMBER($BH$1150),$B$677=1),$BH$1150,HLOOKUP(INDIRECT(ADDRESS(2,COLUMN())),OFFSET($BN$2,0,0,ROW()-1,60),ROW()-1,FALSE))</f>
        <v>37.192496720000001</v>
      </c>
      <c r="BI488">
        <f ca="1">IF(AND(ISNUMBER($BI$1150),$B$677=1),$BI$1150,HLOOKUP(INDIRECT(ADDRESS(2,COLUMN())),OFFSET($BN$2,0,0,ROW()-1,60),ROW()-1,FALSE))</f>
        <v>36.980213829999997</v>
      </c>
      <c r="BJ488">
        <f ca="1">IF(AND(ISNUMBER($BJ$1150),$B$677=1),$BJ$1150,HLOOKUP(INDIRECT(ADDRESS(2,COLUMN())),OFFSET($BN$2,0,0,ROW()-1,60),ROW()-1,FALSE))</f>
        <v>38.173977200000003</v>
      </c>
      <c r="BK488" t="str">
        <f ca="1">IF(AND(ISNUMBER($BK$1150),$B$677=1),$BK$1150,HLOOKUP(INDIRECT(ADDRESS(2,COLUMN())),OFFSET($BN$2,0,0,ROW()-1,60),ROW()-1,FALSE))</f>
        <v/>
      </c>
      <c r="BL488">
        <f ca="1">IF(AND(ISNUMBER($BL$1150),$B$677=1),$BL$1150,HLOOKUP(INDIRECT(ADDRESS(2,COLUMN())),OFFSET($BN$2,0,0,ROW()-1,60),ROW()-1,FALSE))</f>
        <v>24.729947559999999</v>
      </c>
      <c r="BM488" t="str">
        <f ca="1">IF(AND(ISNUMBER($BM$1150),$B$677=1),$BM$1150,HLOOKUP(INDIRECT(ADDRESS(2,COLUMN())),OFFSET($BN$2,0,0,ROW()-1,60),ROW()-1,FALSE))</f>
        <v/>
      </c>
      <c r="BN488" t="str">
        <f>""</f>
        <v/>
      </c>
      <c r="BO488">
        <f>5.361968248</f>
        <v>5.3619682480000002</v>
      </c>
      <c r="BP488">
        <f>9.986279723</f>
        <v>9.9862797230000009</v>
      </c>
      <c r="BQ488">
        <f>8.69229988</f>
        <v>8.6922998800000002</v>
      </c>
      <c r="BR488">
        <f>8.011659089</f>
        <v>8.0116590890000001</v>
      </c>
      <c r="BS488">
        <f>8.270854039</f>
        <v>8.2708540389999996</v>
      </c>
      <c r="BT488">
        <f>10.86965819</f>
        <v>10.869658190000001</v>
      </c>
      <c r="BU488">
        <f>7.075607911</f>
        <v>7.0756079109999996</v>
      </c>
      <c r="BV488">
        <f>8.186478456</f>
        <v>8.1864784559999997</v>
      </c>
      <c r="BW488">
        <f>9.482724343</f>
        <v>9.4827243429999992</v>
      </c>
      <c r="BX488">
        <f>5.055515048</f>
        <v>5.0555150480000002</v>
      </c>
      <c r="BY488">
        <f>4.499668268</f>
        <v>4.4996682679999997</v>
      </c>
      <c r="BZ488">
        <f>5.209677571</f>
        <v>5.2096775710000003</v>
      </c>
      <c r="CA488">
        <f>7.870972487</f>
        <v>7.8709724870000004</v>
      </c>
      <c r="CB488">
        <f>7.880935455</f>
        <v>7.8809354550000004</v>
      </c>
      <c r="CC488">
        <f>10.19120783</f>
        <v>10.19120783</v>
      </c>
      <c r="CD488">
        <f>10.19485232</f>
        <v>10.194852320000001</v>
      </c>
      <c r="CE488">
        <f>13.85274888</f>
        <v>13.85274888</v>
      </c>
      <c r="CF488">
        <f>11.19203165</f>
        <v>11.192031650000001</v>
      </c>
      <c r="CG488">
        <f>9.136878899</f>
        <v>9.1368788989999992</v>
      </c>
      <c r="CH488">
        <f>9.066240252</f>
        <v>9.0662402520000001</v>
      </c>
      <c r="CI488">
        <f>8.502093911</f>
        <v>8.5020939109999993</v>
      </c>
      <c r="CJ488">
        <f>10.94480255</f>
        <v>10.94480255</v>
      </c>
      <c r="CK488">
        <f>11.97491807</f>
        <v>11.974918069999999</v>
      </c>
      <c r="CL488">
        <f>9.217640817</f>
        <v>9.2176408169999995</v>
      </c>
      <c r="CM488">
        <f>15.34734934</f>
        <v>15.347349339999999</v>
      </c>
      <c r="CN488">
        <f>10.84658811</f>
        <v>10.846588110000001</v>
      </c>
      <c r="CO488">
        <f>20.58305897</f>
        <v>20.58305897</v>
      </c>
      <c r="CP488">
        <f>15.54105622</f>
        <v>15.54105622</v>
      </c>
      <c r="CQ488">
        <f>16.67179584</f>
        <v>16.671795840000001</v>
      </c>
      <c r="CR488">
        <f>12.13606153</f>
        <v>12.136061529999999</v>
      </c>
      <c r="CS488">
        <f>9.75698512</f>
        <v>9.7569851199999995</v>
      </c>
      <c r="CT488">
        <f>10.37576791</f>
        <v>10.37576791</v>
      </c>
      <c r="CU488">
        <f>11.42710975</f>
        <v>11.42710975</v>
      </c>
      <c r="CV488">
        <f>10.99447159</f>
        <v>10.99447159</v>
      </c>
      <c r="CW488">
        <f>24.63049049</f>
        <v>24.63049049</v>
      </c>
      <c r="CX488" t="str">
        <f>""</f>
        <v/>
      </c>
      <c r="CY488" t="str">
        <f>""</f>
        <v/>
      </c>
      <c r="CZ488" t="str">
        <f>""</f>
        <v/>
      </c>
      <c r="DA488" t="str">
        <f>""</f>
        <v/>
      </c>
      <c r="DB488" t="str">
        <f>""</f>
        <v/>
      </c>
      <c r="DC488" t="str">
        <f>""</f>
        <v/>
      </c>
      <c r="DD488">
        <f>39.65174428</f>
        <v>39.651744280000003</v>
      </c>
      <c r="DE488">
        <f>29.88742802</f>
        <v>29.887428020000002</v>
      </c>
      <c r="DF488">
        <f>27.33731066</f>
        <v>27.33731066</v>
      </c>
      <c r="DG488">
        <f>25.54207617</f>
        <v>25.542076170000001</v>
      </c>
      <c r="DH488">
        <f>21.5859043</f>
        <v>21.585904299999999</v>
      </c>
      <c r="DI488">
        <f>26.38087914</f>
        <v>26.380879140000001</v>
      </c>
      <c r="DJ488">
        <f>21.96572902</f>
        <v>21.965729020000001</v>
      </c>
      <c r="DK488">
        <f>27.14203372</f>
        <v>27.142033720000001</v>
      </c>
      <c r="DL488">
        <f>40.04206353</f>
        <v>40.04206353</v>
      </c>
      <c r="DM488">
        <f>36.21087611</f>
        <v>36.210876110000001</v>
      </c>
      <c r="DN488">
        <f>49.2801677</f>
        <v>49.2801677</v>
      </c>
      <c r="DO488">
        <f>74.40841852</f>
        <v>74.408418519999998</v>
      </c>
      <c r="DP488">
        <f>37.19249672</f>
        <v>37.192496720000001</v>
      </c>
      <c r="DQ488">
        <f>36.98021383</f>
        <v>36.980213829999997</v>
      </c>
      <c r="DR488">
        <f>38.1739772</f>
        <v>38.173977200000003</v>
      </c>
      <c r="DS488" t="str">
        <f>""</f>
        <v/>
      </c>
      <c r="DT488">
        <f>24.72994756</f>
        <v>24.729947559999999</v>
      </c>
      <c r="DU488" t="str">
        <f>""</f>
        <v/>
      </c>
    </row>
    <row r="489" spans="1:125" x14ac:dyDescent="0.25">
      <c r="A489" t="str">
        <f>"    Suzuki Motor Corp"</f>
        <v xml:space="preserve">    Suzuki Motor Corp</v>
      </c>
      <c r="B489" t="str">
        <f>"7269 JP Equity"</f>
        <v>7269 JP Equity</v>
      </c>
      <c r="C489" t="str">
        <f t="shared" si="33"/>
        <v>RR476</v>
      </c>
      <c r="D489" t="str">
        <f t="shared" si="34"/>
        <v>EV_TO_T12M_NET_INCOME</v>
      </c>
      <c r="E489" t="str">
        <f t="shared" si="35"/>
        <v>Dynamic</v>
      </c>
      <c r="F489" t="str">
        <f ca="1">IF(AND(ISNUMBER($F$1151),$B$677=1),$F$1151,HLOOKUP(INDIRECT(ADDRESS(2,COLUMN())),OFFSET($BN$2,0,0,ROW()-1,60),ROW()-1,FALSE))</f>
        <v/>
      </c>
      <c r="G489">
        <f ca="1">IF(AND(ISNUMBER($G$1151),$B$677=1),$G$1151,HLOOKUP(INDIRECT(ADDRESS(2,COLUMN())),OFFSET($BN$2,0,0,ROW()-1,60),ROW()-1,FALSE))</f>
        <v>11.303520649999999</v>
      </c>
      <c r="H489">
        <f ca="1">IF(AND(ISNUMBER($H$1151),$B$677=1),$H$1151,HLOOKUP(INDIRECT(ADDRESS(2,COLUMN())),OFFSET($BN$2,0,0,ROW()-1,60),ROW()-1,FALSE))</f>
        <v>11.84175772</v>
      </c>
      <c r="I489">
        <f ca="1">IF(AND(ISNUMBER($I$1151),$B$677=1),$I$1151,HLOOKUP(INDIRECT(ADDRESS(2,COLUMN())),OFFSET($BN$2,0,0,ROW()-1,60),ROW()-1,FALSE))</f>
        <v>11.32044133</v>
      </c>
      <c r="J489">
        <f ca="1">IF(AND(ISNUMBER($J$1151),$B$677=1),$J$1151,HLOOKUP(INDIRECT(ADDRESS(2,COLUMN())),OFFSET($BN$2,0,0,ROW()-1,60),ROW()-1,FALSE))</f>
        <v>11.46227435</v>
      </c>
      <c r="K489">
        <f ca="1">IF(AND(ISNUMBER($K$1151),$B$677=1),$K$1151,HLOOKUP(INDIRECT(ADDRESS(2,COLUMN())),OFFSET($BN$2,0,0,ROW()-1,60),ROW()-1,FALSE))</f>
        <v>14.73624253</v>
      </c>
      <c r="L489">
        <f ca="1">IF(AND(ISNUMBER($L$1151),$B$677=1),$L$1151,HLOOKUP(INDIRECT(ADDRESS(2,COLUMN())),OFFSET($BN$2,0,0,ROW()-1,60),ROW()-1,FALSE))</f>
        <v>14.9989816</v>
      </c>
      <c r="M489">
        <f ca="1">IF(AND(ISNUMBER($M$1151),$B$677=1),$M$1151,HLOOKUP(INDIRECT(ADDRESS(2,COLUMN())),OFFSET($BN$2,0,0,ROW()-1,60),ROW()-1,FALSE))</f>
        <v>12.04630766</v>
      </c>
      <c r="N489">
        <f ca="1">IF(AND(ISNUMBER($N$1151),$B$677=1),$N$1151,HLOOKUP(INDIRECT(ADDRESS(2,COLUMN())),OFFSET($BN$2,0,0,ROW()-1,60),ROW()-1,FALSE))</f>
        <v>12.04131205</v>
      </c>
      <c r="O489">
        <f ca="1">IF(AND(ISNUMBER($O$1151),$B$677=1),$O$1151,HLOOKUP(INDIRECT(ADDRESS(2,COLUMN())),OFFSET($BN$2,0,0,ROW()-1,60),ROW()-1,FALSE))</f>
        <v>11.8105891</v>
      </c>
      <c r="P489">
        <f ca="1">IF(AND(ISNUMBER($P$1151),$B$677=1),$P$1151,HLOOKUP(INDIRECT(ADDRESS(2,COLUMN())),OFFSET($BN$2,0,0,ROW()-1,60),ROW()-1,FALSE))</f>
        <v>9.6786949740000008</v>
      </c>
      <c r="Q489">
        <f ca="1">IF(AND(ISNUMBER($Q$1151),$B$677=1),$Q$1151,HLOOKUP(INDIRECT(ADDRESS(2,COLUMN())),OFFSET($BN$2,0,0,ROW()-1,60),ROW()-1,FALSE))</f>
        <v>9.273507618</v>
      </c>
      <c r="R489">
        <f ca="1">IF(AND(ISNUMBER($R$1151),$B$677=1),$R$1151,HLOOKUP(INDIRECT(ADDRESS(2,COLUMN())),OFFSET($BN$2,0,0,ROW()-1,60),ROW()-1,FALSE))</f>
        <v>11.33820994</v>
      </c>
      <c r="S489">
        <f ca="1">IF(AND(ISNUMBER($S$1151),$B$677=1),$S$1151,HLOOKUP(INDIRECT(ADDRESS(2,COLUMN())),OFFSET($BN$2,0,0,ROW()-1,60),ROW()-1,FALSE))</f>
        <v>13.90009914</v>
      </c>
      <c r="T489">
        <f ca="1">IF(AND(ISNUMBER($T$1151),$B$677=1),$T$1151,HLOOKUP(INDIRECT(ADDRESS(2,COLUMN())),OFFSET($BN$2,0,0,ROW()-1,60),ROW()-1,FALSE))</f>
        <v>14.108654530000001</v>
      </c>
      <c r="U489">
        <f ca="1">IF(AND(ISNUMBER($U$1151),$B$677=1),$U$1151,HLOOKUP(INDIRECT(ADDRESS(2,COLUMN())),OFFSET($BN$2,0,0,ROW()-1,60),ROW()-1,FALSE))</f>
        <v>21.502492239999999</v>
      </c>
      <c r="V489">
        <f ca="1">IF(AND(ISNUMBER($V$1151),$B$677=1),$V$1151,HLOOKUP(INDIRECT(ADDRESS(2,COLUMN())),OFFSET($BN$2,0,0,ROW()-1,60),ROW()-1,FALSE))</f>
        <v>17.250337250000001</v>
      </c>
      <c r="W489">
        <f ca="1">IF(AND(ISNUMBER($W$1151),$B$677=1),$W$1151,HLOOKUP(INDIRECT(ADDRESS(2,COLUMN())),OFFSET($BN$2,0,0,ROW()-1,60),ROW()-1,FALSE))</f>
        <v>16.556083109999999</v>
      </c>
      <c r="X489">
        <f ca="1">IF(AND(ISNUMBER($X$1151),$B$677=1),$X$1151,HLOOKUP(INDIRECT(ADDRESS(2,COLUMN())),OFFSET($BN$2,0,0,ROW()-1,60),ROW()-1,FALSE))</f>
        <v>15.41352019</v>
      </c>
      <c r="Y489">
        <f ca="1">IF(AND(ISNUMBER($Y$1151),$B$677=1),$Y$1151,HLOOKUP(INDIRECT(ADDRESS(2,COLUMN())),OFFSET($BN$2,0,0,ROW()-1,60),ROW()-1,FALSE))</f>
        <v>12.22153074</v>
      </c>
      <c r="Z489">
        <f ca="1">IF(AND(ISNUMBER($Z$1151),$B$677=1),$Z$1151,HLOOKUP(INDIRECT(ADDRESS(2,COLUMN())),OFFSET($BN$2,0,0,ROW()-1,60),ROW()-1,FALSE))</f>
        <v>10.852717569999999</v>
      </c>
      <c r="AA489">
        <f ca="1">IF(AND(ISNUMBER($AA$1151),$B$677=1),$AA$1151,HLOOKUP(INDIRECT(ADDRESS(2,COLUMN())),OFFSET($BN$2,0,0,ROW()-1,60),ROW()-1,FALSE))</f>
        <v>11.29457066</v>
      </c>
      <c r="AB489">
        <f ca="1">IF(AND(ISNUMBER($AB$1151),$B$677=1),$AB$1151,HLOOKUP(INDIRECT(ADDRESS(2,COLUMN())),OFFSET($BN$2,0,0,ROW()-1,60),ROW()-1,FALSE))</f>
        <v>11.069547439999999</v>
      </c>
      <c r="AC489">
        <f ca="1">IF(AND(ISNUMBER($AC$1151),$B$677=1),$AC$1151,HLOOKUP(INDIRECT(ADDRESS(2,COLUMN())),OFFSET($BN$2,0,0,ROW()-1,60),ROW()-1,FALSE))</f>
        <v>12.047680079999999</v>
      </c>
      <c r="AD489">
        <f ca="1">IF(AND(ISNUMBER($AD$1151),$B$677=1),$AD$1151,HLOOKUP(INDIRECT(ADDRESS(2,COLUMN())),OFFSET($BN$2,0,0,ROW()-1,60),ROW()-1,FALSE))</f>
        <v>11.65991992</v>
      </c>
      <c r="AE489">
        <f ca="1">IF(AND(ISNUMBER($AE$1151),$B$677=1),$AE$1151,HLOOKUP(INDIRECT(ADDRESS(2,COLUMN())),OFFSET($BN$2,0,0,ROW()-1,60),ROW()-1,FALSE))</f>
        <v>16.800635320000001</v>
      </c>
      <c r="AF489">
        <f ca="1">IF(AND(ISNUMBER($AF$1151),$B$677=1),$AF$1151,HLOOKUP(INDIRECT(ADDRESS(2,COLUMN())),OFFSET($BN$2,0,0,ROW()-1,60),ROW()-1,FALSE))</f>
        <v>8.866274228</v>
      </c>
      <c r="AG489">
        <f ca="1">IF(AND(ISNUMBER($AG$1151),$B$677=1),$AG$1151,HLOOKUP(INDIRECT(ADDRESS(2,COLUMN())),OFFSET($BN$2,0,0,ROW()-1,60),ROW()-1,FALSE))</f>
        <v>10.1986978</v>
      </c>
      <c r="AH489">
        <f ca="1">IF(AND(ISNUMBER($AH$1151),$B$677=1),$AH$1151,HLOOKUP(INDIRECT(ADDRESS(2,COLUMN())),OFFSET($BN$2,0,0,ROW()-1,60),ROW()-1,FALSE))</f>
        <v>15.775249860000001</v>
      </c>
      <c r="AI489">
        <f ca="1">IF(AND(ISNUMBER($AI$1151),$B$677=1),$AI$1151,HLOOKUP(INDIRECT(ADDRESS(2,COLUMN())),OFFSET($BN$2,0,0,ROW()-1,60),ROW()-1,FALSE))</f>
        <v>15.090883140000001</v>
      </c>
      <c r="AJ489">
        <f ca="1">IF(AND(ISNUMBER($AJ$1151),$B$677=1),$AJ$1151,HLOOKUP(INDIRECT(ADDRESS(2,COLUMN())),OFFSET($BN$2,0,0,ROW()-1,60),ROW()-1,FALSE))</f>
        <v>15.349358990000001</v>
      </c>
      <c r="AK489">
        <f ca="1">IF(AND(ISNUMBER($AK$1151),$B$677=1),$AK$1151,HLOOKUP(INDIRECT(ADDRESS(2,COLUMN())),OFFSET($BN$2,0,0,ROW()-1,60),ROW()-1,FALSE))</f>
        <v>17.554033990000001</v>
      </c>
      <c r="AL489">
        <f ca="1">IF(AND(ISNUMBER($AL$1151),$B$677=1),$AL$1151,HLOOKUP(INDIRECT(ADDRESS(2,COLUMN())),OFFSET($BN$2,0,0,ROW()-1,60),ROW()-1,FALSE))</f>
        <v>20.581173570000001</v>
      </c>
      <c r="AM489">
        <f ca="1">IF(AND(ISNUMBER($AM$1151),$B$677=1),$AM$1151,HLOOKUP(INDIRECT(ADDRESS(2,COLUMN())),OFFSET($BN$2,0,0,ROW()-1,60),ROW()-1,FALSE))</f>
        <v>18.580253079999999</v>
      </c>
      <c r="AN489">
        <f ca="1">IF(AND(ISNUMBER($AN$1151),$B$677=1),$AN$1151,HLOOKUP(INDIRECT(ADDRESS(2,COLUMN())),OFFSET($BN$2,0,0,ROW()-1,60),ROW()-1,FALSE))</f>
        <v>17.568554599999999</v>
      </c>
      <c r="AO489">
        <f ca="1">IF(AND(ISNUMBER($AO$1151),$B$677=1),$AO$1151,HLOOKUP(INDIRECT(ADDRESS(2,COLUMN())),OFFSET($BN$2,0,0,ROW()-1,60),ROW()-1,FALSE))</f>
        <v>20.081695190000001</v>
      </c>
      <c r="AP489">
        <f ca="1">IF(AND(ISNUMBER($AP$1151),$B$677=1),$AP$1151,HLOOKUP(INDIRECT(ADDRESS(2,COLUMN())),OFFSET($BN$2,0,0,ROW()-1,60),ROW()-1,FALSE))</f>
        <v>37.867283989999997</v>
      </c>
      <c r="AQ489">
        <f ca="1">IF(AND(ISNUMBER($AQ$1151),$B$677=1),$AQ$1151,HLOOKUP(INDIRECT(ADDRESS(2,COLUMN())),OFFSET($BN$2,0,0,ROW()-1,60),ROW()-1,FALSE))</f>
        <v>56.661696569999997</v>
      </c>
      <c r="AR489">
        <f ca="1">IF(AND(ISNUMBER($AR$1151),$B$677=1),$AR$1151,HLOOKUP(INDIRECT(ADDRESS(2,COLUMN())),OFFSET($BN$2,0,0,ROW()-1,60),ROW()-1,FALSE))</f>
        <v>200.09723779999999</v>
      </c>
      <c r="AS489">
        <f ca="1">IF(AND(ISNUMBER($AS$1151),$B$677=1),$AS$1151,HLOOKUP(INDIRECT(ADDRESS(2,COLUMN())),OFFSET($BN$2,0,0,ROW()-1,60),ROW()-1,FALSE))</f>
        <v>350.93990100000002</v>
      </c>
      <c r="AT489">
        <f ca="1">IF(AND(ISNUMBER($AT$1151),$B$677=1),$AT$1151,HLOOKUP(INDIRECT(ADDRESS(2,COLUMN())),OFFSET($BN$2,0,0,ROW()-1,60),ROW()-1,FALSE))</f>
        <v>38.3484555</v>
      </c>
      <c r="AU489">
        <f ca="1">IF(AND(ISNUMBER($AU$1151),$B$677=1),$AU$1151,HLOOKUP(INDIRECT(ADDRESS(2,COLUMN())),OFFSET($BN$2,0,0,ROW()-1,60),ROW()-1,FALSE))</f>
        <v>23.22414573</v>
      </c>
      <c r="AV489">
        <f ca="1">IF(AND(ISNUMBER($AV$1151),$B$677=1),$AV$1151,HLOOKUP(INDIRECT(ADDRESS(2,COLUMN())),OFFSET($BN$2,0,0,ROW()-1,60),ROW()-1,FALSE))</f>
        <v>14.183464389999999</v>
      </c>
      <c r="AW489">
        <f ca="1">IF(AND(ISNUMBER($AW$1151),$B$677=1),$AW$1151,HLOOKUP(INDIRECT(ADDRESS(2,COLUMN())),OFFSET($BN$2,0,0,ROW()-1,60),ROW()-1,FALSE))</f>
        <v>14.979164730000001</v>
      </c>
      <c r="AX489">
        <f ca="1">IF(AND(ISNUMBER($AX$1151),$B$677=1),$AX$1151,HLOOKUP(INDIRECT(ADDRESS(2,COLUMN())),OFFSET($BN$2,0,0,ROW()-1,60),ROW()-1,FALSE))</f>
        <v>15.37499957</v>
      </c>
      <c r="AY489">
        <f ca="1">IF(AND(ISNUMBER($AY$1151),$B$677=1),$AY$1151,HLOOKUP(INDIRECT(ADDRESS(2,COLUMN())),OFFSET($BN$2,0,0,ROW()-1,60),ROW()-1,FALSE))</f>
        <v>18.349771570000001</v>
      </c>
      <c r="AZ489">
        <f ca="1">IF(AND(ISNUMBER($AZ$1151),$B$677=1),$AZ$1151,HLOOKUP(INDIRECT(ADDRESS(2,COLUMN())),OFFSET($BN$2,0,0,ROW()-1,60),ROW()-1,FALSE))</f>
        <v>18.864833780000001</v>
      </c>
      <c r="BA489">
        <f ca="1">IF(AND(ISNUMBER($BA$1151),$B$677=1),$BA$1151,HLOOKUP(INDIRECT(ADDRESS(2,COLUMN())),OFFSET($BN$2,0,0,ROW()-1,60),ROW()-1,FALSE))</f>
        <v>20.079194080000001</v>
      </c>
      <c r="BB489">
        <f ca="1">IF(AND(ISNUMBER($BB$1151),$B$677=1),$BB$1151,HLOOKUP(INDIRECT(ADDRESS(2,COLUMN())),OFFSET($BN$2,0,0,ROW()-1,60),ROW()-1,FALSE))</f>
        <v>19.050576410000001</v>
      </c>
      <c r="BC489">
        <f ca="1">IF(AND(ISNUMBER($BC$1151),$B$677=1),$BC$1151,HLOOKUP(INDIRECT(ADDRESS(2,COLUMN())),OFFSET($BN$2,0,0,ROW()-1,60),ROW()-1,FALSE))</f>
        <v>20.428694279999998</v>
      </c>
      <c r="BD489">
        <f ca="1">IF(AND(ISNUMBER($BD$1151),$B$677=1),$BD$1151,HLOOKUP(INDIRECT(ADDRESS(2,COLUMN())),OFFSET($BN$2,0,0,ROW()-1,60),ROW()-1,FALSE))</f>
        <v>17.822933330000001</v>
      </c>
      <c r="BE489">
        <f ca="1">IF(AND(ISNUMBER($BE$1151),$B$677=1),$BE$1151,HLOOKUP(INDIRECT(ADDRESS(2,COLUMN())),OFFSET($BN$2,0,0,ROW()-1,60),ROW()-1,FALSE))</f>
        <v>15.46806861</v>
      </c>
      <c r="BF489">
        <f ca="1">IF(AND(ISNUMBER($BF$1151),$B$677=1),$BF$1151,HLOOKUP(INDIRECT(ADDRESS(2,COLUMN())),OFFSET($BN$2,0,0,ROW()-1,60),ROW()-1,FALSE))</f>
        <v>18.635209020000001</v>
      </c>
      <c r="BG489">
        <f ca="1">IF(AND(ISNUMBER($BG$1151),$B$677=1),$BG$1151,HLOOKUP(INDIRECT(ADDRESS(2,COLUMN())),OFFSET($BN$2,0,0,ROW()-1,60),ROW()-1,FALSE))</f>
        <v>15.52952732</v>
      </c>
      <c r="BH489">
        <f ca="1">IF(AND(ISNUMBER($BH$1151),$B$677=1),$BH$1151,HLOOKUP(INDIRECT(ADDRESS(2,COLUMN())),OFFSET($BN$2,0,0,ROW()-1,60),ROW()-1,FALSE))</f>
        <v>14.6799103</v>
      </c>
      <c r="BI489" t="str">
        <f ca="1">IF(AND(ISNUMBER($BI$1151),$B$677=1),$BI$1151,HLOOKUP(INDIRECT(ADDRESS(2,COLUMN())),OFFSET($BN$2,0,0,ROW()-1,60),ROW()-1,FALSE))</f>
        <v/>
      </c>
      <c r="BJ489">
        <f ca="1">IF(AND(ISNUMBER($BJ$1151),$B$677=1),$BJ$1151,HLOOKUP(INDIRECT(ADDRESS(2,COLUMN())),OFFSET($BN$2,0,0,ROW()-1,60),ROW()-1,FALSE))</f>
        <v>14.816230900000001</v>
      </c>
      <c r="BK489" t="str">
        <f ca="1">IF(AND(ISNUMBER($BK$1151),$B$677=1),$BK$1151,HLOOKUP(INDIRECT(ADDRESS(2,COLUMN())),OFFSET($BN$2,0,0,ROW()-1,60),ROW()-1,FALSE))</f>
        <v/>
      </c>
      <c r="BL489">
        <f ca="1">IF(AND(ISNUMBER($BL$1151),$B$677=1),$BL$1151,HLOOKUP(INDIRECT(ADDRESS(2,COLUMN())),OFFSET($BN$2,0,0,ROW()-1,60),ROW()-1,FALSE))</f>
        <v>17.474985010000001</v>
      </c>
      <c r="BM489" t="str">
        <f ca="1">IF(AND(ISNUMBER($BM$1151),$B$677=1),$BM$1151,HLOOKUP(INDIRECT(ADDRESS(2,COLUMN())),OFFSET($BN$2,0,0,ROW()-1,60),ROW()-1,FALSE))</f>
        <v/>
      </c>
      <c r="BN489" t="str">
        <f>""</f>
        <v/>
      </c>
      <c r="BO489">
        <f>11.30352065</f>
        <v>11.303520649999999</v>
      </c>
      <c r="BP489">
        <f>11.84175772</f>
        <v>11.84175772</v>
      </c>
      <c r="BQ489">
        <f>11.32044133</f>
        <v>11.32044133</v>
      </c>
      <c r="BR489">
        <f>11.46227435</f>
        <v>11.46227435</v>
      </c>
      <c r="BS489">
        <f>14.73624253</f>
        <v>14.73624253</v>
      </c>
      <c r="BT489">
        <f>14.9989816</f>
        <v>14.9989816</v>
      </c>
      <c r="BU489">
        <f>12.04630766</f>
        <v>12.04630766</v>
      </c>
      <c r="BV489">
        <f>12.04131205</f>
        <v>12.04131205</v>
      </c>
      <c r="BW489">
        <f>11.8105891</f>
        <v>11.8105891</v>
      </c>
      <c r="BX489">
        <f>9.678694974</f>
        <v>9.6786949740000008</v>
      </c>
      <c r="BY489">
        <f>9.273507618</f>
        <v>9.273507618</v>
      </c>
      <c r="BZ489">
        <f>11.33820994</f>
        <v>11.33820994</v>
      </c>
      <c r="CA489">
        <f>13.90009914</f>
        <v>13.90009914</v>
      </c>
      <c r="CB489">
        <f>14.10865453</f>
        <v>14.108654530000001</v>
      </c>
      <c r="CC489">
        <f>21.50249224</f>
        <v>21.502492239999999</v>
      </c>
      <c r="CD489">
        <f>17.25033725</f>
        <v>17.250337250000001</v>
      </c>
      <c r="CE489">
        <f>16.55608311</f>
        <v>16.556083109999999</v>
      </c>
      <c r="CF489">
        <f>15.41352019</f>
        <v>15.41352019</v>
      </c>
      <c r="CG489">
        <f>12.22153074</f>
        <v>12.22153074</v>
      </c>
      <c r="CH489">
        <f>10.85271757</f>
        <v>10.852717569999999</v>
      </c>
      <c r="CI489">
        <f>11.29457066</f>
        <v>11.29457066</v>
      </c>
      <c r="CJ489">
        <f>11.06954744</f>
        <v>11.069547439999999</v>
      </c>
      <c r="CK489">
        <f>12.04768008</f>
        <v>12.047680079999999</v>
      </c>
      <c r="CL489">
        <f>11.65991992</f>
        <v>11.65991992</v>
      </c>
      <c r="CM489">
        <f>16.80063532</f>
        <v>16.800635320000001</v>
      </c>
      <c r="CN489">
        <f>8.866274228</f>
        <v>8.866274228</v>
      </c>
      <c r="CO489">
        <f>10.1986978</f>
        <v>10.1986978</v>
      </c>
      <c r="CP489">
        <f>15.77524986</f>
        <v>15.775249860000001</v>
      </c>
      <c r="CQ489">
        <f>15.09088314</f>
        <v>15.090883140000001</v>
      </c>
      <c r="CR489">
        <f>15.34935899</f>
        <v>15.349358990000001</v>
      </c>
      <c r="CS489">
        <f>17.55403399</f>
        <v>17.554033990000001</v>
      </c>
      <c r="CT489">
        <f>20.58117357</f>
        <v>20.581173570000001</v>
      </c>
      <c r="CU489">
        <f>18.58025308</f>
        <v>18.580253079999999</v>
      </c>
      <c r="CV489">
        <f>17.5685546</f>
        <v>17.568554599999999</v>
      </c>
      <c r="CW489">
        <f>20.08169519</f>
        <v>20.081695190000001</v>
      </c>
      <c r="CX489">
        <f>37.86728399</f>
        <v>37.867283989999997</v>
      </c>
      <c r="CY489">
        <f>56.66169657</f>
        <v>56.661696569999997</v>
      </c>
      <c r="CZ489">
        <f>200.0972378</f>
        <v>200.09723779999999</v>
      </c>
      <c r="DA489">
        <f>350.939901</f>
        <v>350.93990100000002</v>
      </c>
      <c r="DB489">
        <f>38.3484555</f>
        <v>38.3484555</v>
      </c>
      <c r="DC489">
        <f>23.22414573</f>
        <v>23.22414573</v>
      </c>
      <c r="DD489">
        <f>14.18346439</f>
        <v>14.183464389999999</v>
      </c>
      <c r="DE489">
        <f>14.97916473</f>
        <v>14.979164730000001</v>
      </c>
      <c r="DF489">
        <f>15.37499957</f>
        <v>15.37499957</v>
      </c>
      <c r="DG489">
        <f>18.34977157</f>
        <v>18.349771570000001</v>
      </c>
      <c r="DH489">
        <f>18.86483378</f>
        <v>18.864833780000001</v>
      </c>
      <c r="DI489">
        <f>20.07919408</f>
        <v>20.079194080000001</v>
      </c>
      <c r="DJ489">
        <f>19.05057641</f>
        <v>19.050576410000001</v>
      </c>
      <c r="DK489">
        <f>20.42869428</f>
        <v>20.428694279999998</v>
      </c>
      <c r="DL489">
        <f>17.82293333</f>
        <v>17.822933330000001</v>
      </c>
      <c r="DM489">
        <f>15.46806861</f>
        <v>15.46806861</v>
      </c>
      <c r="DN489">
        <f>18.63520902</f>
        <v>18.635209020000001</v>
      </c>
      <c r="DO489">
        <f>15.52952732</f>
        <v>15.52952732</v>
      </c>
      <c r="DP489">
        <f>14.6799103</f>
        <v>14.6799103</v>
      </c>
      <c r="DQ489" t="str">
        <f>""</f>
        <v/>
      </c>
      <c r="DR489">
        <f>14.8162309</f>
        <v>14.816230900000001</v>
      </c>
      <c r="DS489" t="str">
        <f>""</f>
        <v/>
      </c>
      <c r="DT489">
        <f>17.47498501</f>
        <v>17.474985010000001</v>
      </c>
      <c r="DU489" t="str">
        <f>""</f>
        <v/>
      </c>
    </row>
    <row r="490" spans="1:125" x14ac:dyDescent="0.25">
      <c r="A490" t="str">
        <f>"    Tata Motors Ltd"</f>
        <v xml:space="preserve">    Tata Motors Ltd</v>
      </c>
      <c r="B490" t="str">
        <f>"TTMT IN Equity"</f>
        <v>TTMT IN Equity</v>
      </c>
      <c r="C490" t="str">
        <f t="shared" si="33"/>
        <v>RR476</v>
      </c>
      <c r="D490" t="str">
        <f t="shared" si="34"/>
        <v>EV_TO_T12M_NET_INCOME</v>
      </c>
      <c r="E490" t="str">
        <f t="shared" si="35"/>
        <v>Dynamic</v>
      </c>
      <c r="F490" t="str">
        <f ca="1">IF(AND(ISNUMBER($F$1152),$B$677=1),$F$1152,HLOOKUP(INDIRECT(ADDRESS(2,COLUMN())),OFFSET($BN$2,0,0,ROW()-1,60),ROW()-1,FALSE))</f>
        <v/>
      </c>
      <c r="G490" t="str">
        <f ca="1">IF(AND(ISNUMBER($G$1152),$B$677=1),$G$1152,HLOOKUP(INDIRECT(ADDRESS(2,COLUMN())),OFFSET($BN$2,0,0,ROW()-1,60),ROW()-1,FALSE))</f>
        <v/>
      </c>
      <c r="H490">
        <f ca="1">IF(AND(ISNUMBER($H$1152),$B$677=1),$H$1152,HLOOKUP(INDIRECT(ADDRESS(2,COLUMN())),OFFSET($BN$2,0,0,ROW()-1,60),ROW()-1,FALSE))</f>
        <v>367.83006979999999</v>
      </c>
      <c r="I490" t="str">
        <f ca="1">IF(AND(ISNUMBER($I$1152),$B$677=1),$I$1152,HLOOKUP(INDIRECT(ADDRESS(2,COLUMN())),OFFSET($BN$2,0,0,ROW()-1,60),ROW()-1,FALSE))</f>
        <v/>
      </c>
      <c r="J490">
        <f ca="1">IF(AND(ISNUMBER($J$1152),$B$677=1),$J$1152,HLOOKUP(INDIRECT(ADDRESS(2,COLUMN())),OFFSET($BN$2,0,0,ROW()-1,60),ROW()-1,FALSE))</f>
        <v>16.769545999999998</v>
      </c>
      <c r="K490" t="str">
        <f ca="1">IF(AND(ISNUMBER($K$1152),$B$677=1),$K$1152,HLOOKUP(INDIRECT(ADDRESS(2,COLUMN())),OFFSET($BN$2,0,0,ROW()-1,60),ROW()-1,FALSE))</f>
        <v/>
      </c>
      <c r="L490">
        <f ca="1">IF(AND(ISNUMBER($L$1152),$B$677=1),$L$1152,HLOOKUP(INDIRECT(ADDRESS(2,COLUMN())),OFFSET($BN$2,0,0,ROW()-1,60),ROW()-1,FALSE))</f>
        <v>17.222605739999999</v>
      </c>
      <c r="M490" t="str">
        <f ca="1">IF(AND(ISNUMBER($M$1152),$B$677=1),$M$1152,HLOOKUP(INDIRECT(ADDRESS(2,COLUMN())),OFFSET($BN$2,0,0,ROW()-1,60),ROW()-1,FALSE))</f>
        <v/>
      </c>
      <c r="N490">
        <f ca="1">IF(AND(ISNUMBER($N$1152),$B$677=1),$N$1152,HLOOKUP(INDIRECT(ADDRESS(2,COLUMN())),OFFSET($BN$2,0,0,ROW()-1,60),ROW()-1,FALSE))</f>
        <v>24.977312600000001</v>
      </c>
      <c r="O490" t="str">
        <f ca="1">IF(AND(ISNUMBER($O$1152),$B$677=1),$O$1152,HLOOKUP(INDIRECT(ADDRESS(2,COLUMN())),OFFSET($BN$2,0,0,ROW()-1,60),ROW()-1,FALSE))</f>
        <v/>
      </c>
      <c r="P490">
        <f ca="1">IF(AND(ISNUMBER($P$1152),$B$677=1),$P$1152,HLOOKUP(INDIRECT(ADDRESS(2,COLUMN())),OFFSET($BN$2,0,0,ROW()-1,60),ROW()-1,FALSE))</f>
        <v>18.849689390000002</v>
      </c>
      <c r="Q490" t="str">
        <f ca="1">IF(AND(ISNUMBER($Q$1152),$B$677=1),$Q$1152,HLOOKUP(INDIRECT(ADDRESS(2,COLUMN())),OFFSET($BN$2,0,0,ROW()-1,60),ROW()-1,FALSE))</f>
        <v/>
      </c>
      <c r="R490">
        <f ca="1">IF(AND(ISNUMBER($R$1152),$B$677=1),$R$1152,HLOOKUP(INDIRECT(ADDRESS(2,COLUMN())),OFFSET($BN$2,0,0,ROW()-1,60),ROW()-1,FALSE))</f>
        <v>13.126788230000001</v>
      </c>
      <c r="S490" t="str">
        <f ca="1">IF(AND(ISNUMBER($S$1152),$B$677=1),$S$1152,HLOOKUP(INDIRECT(ADDRESS(2,COLUMN())),OFFSET($BN$2,0,0,ROW()-1,60),ROW()-1,FALSE))</f>
        <v/>
      </c>
      <c r="T490">
        <f ca="1">IF(AND(ISNUMBER($T$1152),$B$677=1),$T$1152,HLOOKUP(INDIRECT(ADDRESS(2,COLUMN())),OFFSET($BN$2,0,0,ROW()-1,60),ROW()-1,FALSE))</f>
        <v>15.07645752</v>
      </c>
      <c r="U490" t="str">
        <f ca="1">IF(AND(ISNUMBER($U$1152),$B$677=1),$U$1152,HLOOKUP(INDIRECT(ADDRESS(2,COLUMN())),OFFSET($BN$2,0,0,ROW()-1,60),ROW()-1,FALSE))</f>
        <v/>
      </c>
      <c r="V490">
        <f ca="1">IF(AND(ISNUMBER($V$1152),$B$677=1),$V$1152,HLOOKUP(INDIRECT(ADDRESS(2,COLUMN())),OFFSET($BN$2,0,0,ROW()-1,60),ROW()-1,FALSE))</f>
        <v>14.943223489999999</v>
      </c>
      <c r="W490" t="str">
        <f ca="1">IF(AND(ISNUMBER($W$1152),$B$677=1),$W$1152,HLOOKUP(INDIRECT(ADDRESS(2,COLUMN())),OFFSET($BN$2,0,0,ROW()-1,60),ROW()-1,FALSE))</f>
        <v/>
      </c>
      <c r="X490">
        <f ca="1">IF(AND(ISNUMBER($X$1152),$B$677=1),$X$1152,HLOOKUP(INDIRECT(ADDRESS(2,COLUMN())),OFFSET($BN$2,0,0,ROW()-1,60),ROW()-1,FALSE))</f>
        <v>10.343840370000001</v>
      </c>
      <c r="Y490" t="str">
        <f ca="1">IF(AND(ISNUMBER($Y$1152),$B$677=1),$Y$1152,HLOOKUP(INDIRECT(ADDRESS(2,COLUMN())),OFFSET($BN$2,0,0,ROW()-1,60),ROW()-1,FALSE))</f>
        <v/>
      </c>
      <c r="Z490">
        <f ca="1">IF(AND(ISNUMBER($Z$1152),$B$677=1),$Z$1152,HLOOKUP(INDIRECT(ADDRESS(2,COLUMN())),OFFSET($BN$2,0,0,ROW()-1,60),ROW()-1,FALSE))</f>
        <v>11.114702919999999</v>
      </c>
      <c r="AA490" t="str">
        <f ca="1">IF(AND(ISNUMBER($AA$1152),$B$677=1),$AA$1152,HLOOKUP(INDIRECT(ADDRESS(2,COLUMN())),OFFSET($BN$2,0,0,ROW()-1,60),ROW()-1,FALSE))</f>
        <v/>
      </c>
      <c r="AB490">
        <f ca="1">IF(AND(ISNUMBER($AB$1152),$B$677=1),$AB$1152,HLOOKUP(INDIRECT(ADDRESS(2,COLUMN())),OFFSET($BN$2,0,0,ROW()-1,60),ROW()-1,FALSE))</f>
        <v>12.078338049999999</v>
      </c>
      <c r="AC490" t="str">
        <f ca="1">IF(AND(ISNUMBER($AC$1152),$B$677=1),$AC$1152,HLOOKUP(INDIRECT(ADDRESS(2,COLUMN())),OFFSET($BN$2,0,0,ROW()-1,60),ROW()-1,FALSE))</f>
        <v/>
      </c>
      <c r="AD490">
        <f ca="1">IF(AND(ISNUMBER($AD$1152),$B$677=1),$AD$1152,HLOOKUP(INDIRECT(ADDRESS(2,COLUMN())),OFFSET($BN$2,0,0,ROW()-1,60),ROW()-1,FALSE))</f>
        <v>11.825804919999999</v>
      </c>
      <c r="AE490" t="str">
        <f ca="1">IF(AND(ISNUMBER($AE$1152),$B$677=1),$AE$1152,HLOOKUP(INDIRECT(ADDRESS(2,COLUMN())),OFFSET($BN$2,0,0,ROW()-1,60),ROW()-1,FALSE))</f>
        <v/>
      </c>
      <c r="AF490">
        <f ca="1">IF(AND(ISNUMBER($AF$1152),$B$677=1),$AF$1152,HLOOKUP(INDIRECT(ADDRESS(2,COLUMN())),OFFSET($BN$2,0,0,ROW()-1,60),ROW()-1,FALSE))</f>
        <v>7.4298619400000003</v>
      </c>
      <c r="AG490" t="str">
        <f ca="1">IF(AND(ISNUMBER($AG$1152),$B$677=1),$AG$1152,HLOOKUP(INDIRECT(ADDRESS(2,COLUMN())),OFFSET($BN$2,0,0,ROW()-1,60),ROW()-1,FALSE))</f>
        <v/>
      </c>
      <c r="AH490">
        <f ca="1">IF(AND(ISNUMBER($AH$1152),$B$677=1),$AH$1152,HLOOKUP(INDIRECT(ADDRESS(2,COLUMN())),OFFSET($BN$2,0,0,ROW()-1,60),ROW()-1,FALSE))</f>
        <v>8.4970983120000003</v>
      </c>
      <c r="AI490" t="str">
        <f ca="1">IF(AND(ISNUMBER($AI$1152),$B$677=1),$AI$1152,HLOOKUP(INDIRECT(ADDRESS(2,COLUMN())),OFFSET($BN$2,0,0,ROW()-1,60),ROW()-1,FALSE))</f>
        <v/>
      </c>
      <c r="AJ490">
        <f ca="1">IF(AND(ISNUMBER($AJ$1152),$B$677=1),$AJ$1152,HLOOKUP(INDIRECT(ADDRESS(2,COLUMN())),OFFSET($BN$2,0,0,ROW()-1,60),ROW()-1,FALSE))</f>
        <v>8.7811338990000003</v>
      </c>
      <c r="AK490" t="str">
        <f ca="1">IF(AND(ISNUMBER($AK$1152),$B$677=1),$AK$1152,HLOOKUP(INDIRECT(ADDRESS(2,COLUMN())),OFFSET($BN$2,0,0,ROW()-1,60),ROW()-1,FALSE))</f>
        <v/>
      </c>
      <c r="AL490">
        <f ca="1">IF(AND(ISNUMBER($AL$1152),$B$677=1),$AL$1152,HLOOKUP(INDIRECT(ADDRESS(2,COLUMN())),OFFSET($BN$2,0,0,ROW()-1,60),ROW()-1,FALSE))</f>
        <v>11.377718460000001</v>
      </c>
      <c r="AM490" t="str">
        <f ca="1">IF(AND(ISNUMBER($AM$1152),$B$677=1),$AM$1152,HLOOKUP(INDIRECT(ADDRESS(2,COLUMN())),OFFSET($BN$2,0,0,ROW()-1,60),ROW()-1,FALSE))</f>
        <v/>
      </c>
      <c r="AN490">
        <f ca="1">IF(AND(ISNUMBER($AN$1152),$B$677=1),$AN$1152,HLOOKUP(INDIRECT(ADDRESS(2,COLUMN())),OFFSET($BN$2,0,0,ROW()-1,60),ROW()-1,FALSE))</f>
        <v>12.773552349999999</v>
      </c>
      <c r="AO490" t="str">
        <f ca="1">IF(AND(ISNUMBER($AO$1152),$B$677=1),$AO$1152,HLOOKUP(INDIRECT(ADDRESS(2,COLUMN())),OFFSET($BN$2,0,0,ROW()-1,60),ROW()-1,FALSE))</f>
        <v/>
      </c>
      <c r="AP490">
        <f ca="1">IF(AND(ISNUMBER($AP$1152),$B$677=1),$AP$1152,HLOOKUP(INDIRECT(ADDRESS(2,COLUMN())),OFFSET($BN$2,0,0,ROW()-1,60),ROW()-1,FALSE))</f>
        <v>28.774791400000002</v>
      </c>
      <c r="AQ490" t="str">
        <f ca="1">IF(AND(ISNUMBER($AQ$1152),$B$677=1),$AQ$1152,HLOOKUP(INDIRECT(ADDRESS(2,COLUMN())),OFFSET($BN$2,0,0,ROW()-1,60),ROW()-1,FALSE))</f>
        <v/>
      </c>
      <c r="AR490" t="str">
        <f ca="1">IF(AND(ISNUMBER($AR$1152),$B$677=1),$AR$1152,HLOOKUP(INDIRECT(ADDRESS(2,COLUMN())),OFFSET($BN$2,0,0,ROW()-1,60),ROW()-1,FALSE))</f>
        <v/>
      </c>
      <c r="AS490" t="str">
        <f ca="1">IF(AND(ISNUMBER($AS$1152),$B$677=1),$AS$1152,HLOOKUP(INDIRECT(ADDRESS(2,COLUMN())),OFFSET($BN$2,0,0,ROW()-1,60),ROW()-1,FALSE))</f>
        <v/>
      </c>
      <c r="AT490" t="str">
        <f ca="1">IF(AND(ISNUMBER($AT$1152),$B$677=1),$AT$1152,HLOOKUP(INDIRECT(ADDRESS(2,COLUMN())),OFFSET($BN$2,0,0,ROW()-1,60),ROW()-1,FALSE))</f>
        <v/>
      </c>
      <c r="AU490" t="str">
        <f ca="1">IF(AND(ISNUMBER($AU$1152),$B$677=1),$AU$1152,HLOOKUP(INDIRECT(ADDRESS(2,COLUMN())),OFFSET($BN$2,0,0,ROW()-1,60),ROW()-1,FALSE))</f>
        <v/>
      </c>
      <c r="AV490" t="str">
        <f ca="1">IF(AND(ISNUMBER($AV$1152),$B$677=1),$AV$1152,HLOOKUP(INDIRECT(ADDRESS(2,COLUMN())),OFFSET($BN$2,0,0,ROW()-1,60),ROW()-1,FALSE))</f>
        <v/>
      </c>
      <c r="AW490" t="str">
        <f ca="1">IF(AND(ISNUMBER($AW$1152),$B$677=1),$AW$1152,HLOOKUP(INDIRECT(ADDRESS(2,COLUMN())),OFFSET($BN$2,0,0,ROW()-1,60),ROW()-1,FALSE))</f>
        <v/>
      </c>
      <c r="AX490" t="str">
        <f ca="1">IF(AND(ISNUMBER($AX$1152),$B$677=1),$AX$1152,HLOOKUP(INDIRECT(ADDRESS(2,COLUMN())),OFFSET($BN$2,0,0,ROW()-1,60),ROW()-1,FALSE))</f>
        <v/>
      </c>
      <c r="AY490" t="str">
        <f ca="1">IF(AND(ISNUMBER($AY$1152),$B$677=1),$AY$1152,HLOOKUP(INDIRECT(ADDRESS(2,COLUMN())),OFFSET($BN$2,0,0,ROW()-1,60),ROW()-1,FALSE))</f>
        <v/>
      </c>
      <c r="AZ490" t="str">
        <f ca="1">IF(AND(ISNUMBER($AZ$1152),$B$677=1),$AZ$1152,HLOOKUP(INDIRECT(ADDRESS(2,COLUMN())),OFFSET($BN$2,0,0,ROW()-1,60),ROW()-1,FALSE))</f>
        <v/>
      </c>
      <c r="BA490" t="str">
        <f ca="1">IF(AND(ISNUMBER($BA$1152),$B$677=1),$BA$1152,HLOOKUP(INDIRECT(ADDRESS(2,COLUMN())),OFFSET($BN$2,0,0,ROW()-1,60),ROW()-1,FALSE))</f>
        <v/>
      </c>
      <c r="BB490" t="str">
        <f ca="1">IF(AND(ISNUMBER($BB$1152),$B$677=1),$BB$1152,HLOOKUP(INDIRECT(ADDRESS(2,COLUMN())),OFFSET($BN$2,0,0,ROW()-1,60),ROW()-1,FALSE))</f>
        <v/>
      </c>
      <c r="BC490" t="str">
        <f ca="1">IF(AND(ISNUMBER($BC$1152),$B$677=1),$BC$1152,HLOOKUP(INDIRECT(ADDRESS(2,COLUMN())),OFFSET($BN$2,0,0,ROW()-1,60),ROW()-1,FALSE))</f>
        <v/>
      </c>
      <c r="BD490" t="str">
        <f ca="1">IF(AND(ISNUMBER($BD$1152),$B$677=1),$BD$1152,HLOOKUP(INDIRECT(ADDRESS(2,COLUMN())),OFFSET($BN$2,0,0,ROW()-1,60),ROW()-1,FALSE))</f>
        <v/>
      </c>
      <c r="BE490" t="str">
        <f ca="1">IF(AND(ISNUMBER($BE$1152),$B$677=1),$BE$1152,HLOOKUP(INDIRECT(ADDRESS(2,COLUMN())),OFFSET($BN$2,0,0,ROW()-1,60),ROW()-1,FALSE))</f>
        <v/>
      </c>
      <c r="BF490" t="str">
        <f ca="1">IF(AND(ISNUMBER($BF$1152),$B$677=1),$BF$1152,HLOOKUP(INDIRECT(ADDRESS(2,COLUMN())),OFFSET($BN$2,0,0,ROW()-1,60),ROW()-1,FALSE))</f>
        <v/>
      </c>
      <c r="BG490" t="str">
        <f ca="1">IF(AND(ISNUMBER($BG$1152),$B$677=1),$BG$1152,HLOOKUP(INDIRECT(ADDRESS(2,COLUMN())),OFFSET($BN$2,0,0,ROW()-1,60),ROW()-1,FALSE))</f>
        <v/>
      </c>
      <c r="BH490" t="str">
        <f ca="1">IF(AND(ISNUMBER($BH$1152),$B$677=1),$BH$1152,HLOOKUP(INDIRECT(ADDRESS(2,COLUMN())),OFFSET($BN$2,0,0,ROW()-1,60),ROW()-1,FALSE))</f>
        <v/>
      </c>
      <c r="BI490" t="str">
        <f ca="1">IF(AND(ISNUMBER($BI$1152),$B$677=1),$BI$1152,HLOOKUP(INDIRECT(ADDRESS(2,COLUMN())),OFFSET($BN$2,0,0,ROW()-1,60),ROW()-1,FALSE))</f>
        <v/>
      </c>
      <c r="BJ490" t="str">
        <f ca="1">IF(AND(ISNUMBER($BJ$1152),$B$677=1),$BJ$1152,HLOOKUP(INDIRECT(ADDRESS(2,COLUMN())),OFFSET($BN$2,0,0,ROW()-1,60),ROW()-1,FALSE))</f>
        <v/>
      </c>
      <c r="BK490" t="str">
        <f ca="1">IF(AND(ISNUMBER($BK$1152),$B$677=1),$BK$1152,HLOOKUP(INDIRECT(ADDRESS(2,COLUMN())),OFFSET($BN$2,0,0,ROW()-1,60),ROW()-1,FALSE))</f>
        <v/>
      </c>
      <c r="BL490" t="str">
        <f ca="1">IF(AND(ISNUMBER($BL$1152),$B$677=1),$BL$1152,HLOOKUP(INDIRECT(ADDRESS(2,COLUMN())),OFFSET($BN$2,0,0,ROW()-1,60),ROW()-1,FALSE))</f>
        <v/>
      </c>
      <c r="BM490" t="str">
        <f ca="1">IF(AND(ISNUMBER($BM$1152),$B$677=1),$BM$1152,HLOOKUP(INDIRECT(ADDRESS(2,COLUMN())),OFFSET($BN$2,0,0,ROW()-1,60),ROW()-1,FALSE))</f>
        <v/>
      </c>
      <c r="BN490" t="str">
        <f>""</f>
        <v/>
      </c>
      <c r="BO490" t="str">
        <f>""</f>
        <v/>
      </c>
      <c r="BP490">
        <f>367.8300698</f>
        <v>367.83006979999999</v>
      </c>
      <c r="BQ490" t="str">
        <f>""</f>
        <v/>
      </c>
      <c r="BR490">
        <f>16.769546</f>
        <v>16.769545999999998</v>
      </c>
      <c r="BS490" t="str">
        <f>""</f>
        <v/>
      </c>
      <c r="BT490">
        <f>17.22260574</f>
        <v>17.222605739999999</v>
      </c>
      <c r="BU490" t="str">
        <f>""</f>
        <v/>
      </c>
      <c r="BV490">
        <f>24.9773126</f>
        <v>24.977312600000001</v>
      </c>
      <c r="BW490" t="str">
        <f>""</f>
        <v/>
      </c>
      <c r="BX490">
        <f>18.84968939</f>
        <v>18.849689390000002</v>
      </c>
      <c r="BY490" t="str">
        <f>""</f>
        <v/>
      </c>
      <c r="BZ490">
        <f>13.12678823</f>
        <v>13.126788230000001</v>
      </c>
      <c r="CA490" t="str">
        <f>""</f>
        <v/>
      </c>
      <c r="CB490">
        <f>15.07645752</f>
        <v>15.07645752</v>
      </c>
      <c r="CC490" t="str">
        <f>""</f>
        <v/>
      </c>
      <c r="CD490">
        <f>14.94322349</f>
        <v>14.943223489999999</v>
      </c>
      <c r="CE490" t="str">
        <f>""</f>
        <v/>
      </c>
      <c r="CF490">
        <f>10.34384037</f>
        <v>10.343840370000001</v>
      </c>
      <c r="CG490" t="str">
        <f>""</f>
        <v/>
      </c>
      <c r="CH490">
        <f>11.11470292</f>
        <v>11.114702919999999</v>
      </c>
      <c r="CI490" t="str">
        <f>""</f>
        <v/>
      </c>
      <c r="CJ490">
        <f>12.07833805</f>
        <v>12.078338049999999</v>
      </c>
      <c r="CK490" t="str">
        <f>""</f>
        <v/>
      </c>
      <c r="CL490">
        <f>11.82580492</f>
        <v>11.825804919999999</v>
      </c>
      <c r="CM490" t="str">
        <f>""</f>
        <v/>
      </c>
      <c r="CN490">
        <f>7.42986194</f>
        <v>7.4298619400000003</v>
      </c>
      <c r="CO490" t="str">
        <f>""</f>
        <v/>
      </c>
      <c r="CP490">
        <f>8.497098312</f>
        <v>8.4970983120000003</v>
      </c>
      <c r="CQ490" t="str">
        <f>""</f>
        <v/>
      </c>
      <c r="CR490">
        <f>8.781133899</f>
        <v>8.7811338990000003</v>
      </c>
      <c r="CS490" t="str">
        <f>""</f>
        <v/>
      </c>
      <c r="CT490">
        <f>11.37771846</f>
        <v>11.377718460000001</v>
      </c>
      <c r="CU490" t="str">
        <f>""</f>
        <v/>
      </c>
      <c r="CV490">
        <f>12.77355235</f>
        <v>12.773552349999999</v>
      </c>
      <c r="CW490" t="str">
        <f>""</f>
        <v/>
      </c>
      <c r="CX490">
        <f>28.7747914</f>
        <v>28.774791400000002</v>
      </c>
      <c r="CY490" t="str">
        <f>""</f>
        <v/>
      </c>
      <c r="CZ490" t="str">
        <f>""</f>
        <v/>
      </c>
      <c r="DA490" t="str">
        <f>""</f>
        <v/>
      </c>
      <c r="DB490" t="str">
        <f>""</f>
        <v/>
      </c>
      <c r="DC490" t="str">
        <f>""</f>
        <v/>
      </c>
      <c r="DD490" t="str">
        <f>""</f>
        <v/>
      </c>
      <c r="DE490" t="str">
        <f>""</f>
        <v/>
      </c>
      <c r="DF490" t="str">
        <f>""</f>
        <v/>
      </c>
      <c r="DG490" t="str">
        <f>""</f>
        <v/>
      </c>
      <c r="DH490" t="str">
        <f>""</f>
        <v/>
      </c>
      <c r="DI490" t="str">
        <f>""</f>
        <v/>
      </c>
      <c r="DJ490" t="str">
        <f>""</f>
        <v/>
      </c>
      <c r="DK490" t="str">
        <f>""</f>
        <v/>
      </c>
      <c r="DL490" t="str">
        <f>""</f>
        <v/>
      </c>
      <c r="DM490" t="str">
        <f>""</f>
        <v/>
      </c>
      <c r="DN490" t="str">
        <f>""</f>
        <v/>
      </c>
      <c r="DO490" t="str">
        <f>""</f>
        <v/>
      </c>
      <c r="DP490" t="str">
        <f>""</f>
        <v/>
      </c>
      <c r="DQ490" t="str">
        <f>""</f>
        <v/>
      </c>
      <c r="DR490" t="str">
        <f>""</f>
        <v/>
      </c>
      <c r="DS490" t="str">
        <f>""</f>
        <v/>
      </c>
      <c r="DT490" t="str">
        <f>""</f>
        <v/>
      </c>
      <c r="DU490" t="str">
        <f>""</f>
        <v/>
      </c>
    </row>
    <row r="491" spans="1:125" x14ac:dyDescent="0.25">
      <c r="A491" t="str">
        <f>"    Tesla Inc"</f>
        <v xml:space="preserve">    Tesla Inc</v>
      </c>
      <c r="B491" t="str">
        <f>"TSLA US Equity"</f>
        <v>TSLA US Equity</v>
      </c>
      <c r="C491" t="str">
        <f t="shared" si="33"/>
        <v>RR476</v>
      </c>
      <c r="D491" t="str">
        <f t="shared" si="34"/>
        <v>EV_TO_T12M_NET_INCOME</v>
      </c>
      <c r="E491" t="str">
        <f t="shared" si="35"/>
        <v>Dynamic</v>
      </c>
      <c r="F491" t="str">
        <f ca="1">IF(AND(ISNUMBER($F$1153),$B$677=1),$F$1153,HLOOKUP(INDIRECT(ADDRESS(2,COLUMN())),OFFSET($BN$2,0,0,ROW()-1,60),ROW()-1,FALSE))</f>
        <v/>
      </c>
      <c r="G491" t="str">
        <f ca="1">IF(AND(ISNUMBER($G$1153),$B$677=1),$G$1153,HLOOKUP(INDIRECT(ADDRESS(2,COLUMN())),OFFSET($BN$2,0,0,ROW()-1,60),ROW()-1,FALSE))</f>
        <v/>
      </c>
      <c r="H491" t="str">
        <f ca="1">IF(AND(ISNUMBER($H$1153),$B$677=1),$H$1153,HLOOKUP(INDIRECT(ADDRESS(2,COLUMN())),OFFSET($BN$2,0,0,ROW()-1,60),ROW()-1,FALSE))</f>
        <v/>
      </c>
      <c r="I491" t="str">
        <f ca="1">IF(AND(ISNUMBER($I$1153),$B$677=1),$I$1153,HLOOKUP(INDIRECT(ADDRESS(2,COLUMN())),OFFSET($BN$2,0,0,ROW()-1,60),ROW()-1,FALSE))</f>
        <v/>
      </c>
      <c r="J491" t="str">
        <f ca="1">IF(AND(ISNUMBER($J$1153),$B$677=1),$J$1153,HLOOKUP(INDIRECT(ADDRESS(2,COLUMN())),OFFSET($BN$2,0,0,ROW()-1,60),ROW()-1,FALSE))</f>
        <v/>
      </c>
      <c r="K491" t="str">
        <f ca="1">IF(AND(ISNUMBER($K$1153),$B$677=1),$K$1153,HLOOKUP(INDIRECT(ADDRESS(2,COLUMN())),OFFSET($BN$2,0,0,ROW()-1,60),ROW()-1,FALSE))</f>
        <v/>
      </c>
      <c r="L491" t="str">
        <f ca="1">IF(AND(ISNUMBER($L$1153),$B$677=1),$L$1153,HLOOKUP(INDIRECT(ADDRESS(2,COLUMN())),OFFSET($BN$2,0,0,ROW()-1,60),ROW()-1,FALSE))</f>
        <v/>
      </c>
      <c r="M491" t="str">
        <f ca="1">IF(AND(ISNUMBER($M$1153),$B$677=1),$M$1153,HLOOKUP(INDIRECT(ADDRESS(2,COLUMN())),OFFSET($BN$2,0,0,ROW()-1,60),ROW()-1,FALSE))</f>
        <v/>
      </c>
      <c r="N491" t="str">
        <f ca="1">IF(AND(ISNUMBER($N$1153),$B$677=1),$N$1153,HLOOKUP(INDIRECT(ADDRESS(2,COLUMN())),OFFSET($BN$2,0,0,ROW()-1,60),ROW()-1,FALSE))</f>
        <v/>
      </c>
      <c r="O491" t="str">
        <f ca="1">IF(AND(ISNUMBER($O$1153),$B$677=1),$O$1153,HLOOKUP(INDIRECT(ADDRESS(2,COLUMN())),OFFSET($BN$2,0,0,ROW()-1,60),ROW()-1,FALSE))</f>
        <v/>
      </c>
      <c r="P491" t="str">
        <f ca="1">IF(AND(ISNUMBER($P$1153),$B$677=1),$P$1153,HLOOKUP(INDIRECT(ADDRESS(2,COLUMN())),OFFSET($BN$2,0,0,ROW()-1,60),ROW()-1,FALSE))</f>
        <v/>
      </c>
      <c r="Q491" t="str">
        <f ca="1">IF(AND(ISNUMBER($Q$1153),$B$677=1),$Q$1153,HLOOKUP(INDIRECT(ADDRESS(2,COLUMN())),OFFSET($BN$2,0,0,ROW()-1,60),ROW()-1,FALSE))</f>
        <v/>
      </c>
      <c r="R491" t="str">
        <f ca="1">IF(AND(ISNUMBER($R$1153),$B$677=1),$R$1153,HLOOKUP(INDIRECT(ADDRESS(2,COLUMN())),OFFSET($BN$2,0,0,ROW()-1,60),ROW()-1,FALSE))</f>
        <v/>
      </c>
      <c r="S491" t="str">
        <f ca="1">IF(AND(ISNUMBER($S$1153),$B$677=1),$S$1153,HLOOKUP(INDIRECT(ADDRESS(2,COLUMN())),OFFSET($BN$2,0,0,ROW()-1,60),ROW()-1,FALSE))</f>
        <v/>
      </c>
      <c r="T491" t="str">
        <f ca="1">IF(AND(ISNUMBER($T$1153),$B$677=1),$T$1153,HLOOKUP(INDIRECT(ADDRESS(2,COLUMN())),OFFSET($BN$2,0,0,ROW()-1,60),ROW()-1,FALSE))</f>
        <v/>
      </c>
      <c r="U491" t="str">
        <f ca="1">IF(AND(ISNUMBER($U$1153),$B$677=1),$U$1153,HLOOKUP(INDIRECT(ADDRESS(2,COLUMN())),OFFSET($BN$2,0,0,ROW()-1,60),ROW()-1,FALSE))</f>
        <v/>
      </c>
      <c r="V491" t="str">
        <f ca="1">IF(AND(ISNUMBER($V$1153),$B$677=1),$V$1153,HLOOKUP(INDIRECT(ADDRESS(2,COLUMN())),OFFSET($BN$2,0,0,ROW()-1,60),ROW()-1,FALSE))</f>
        <v/>
      </c>
      <c r="W491" t="str">
        <f ca="1">IF(AND(ISNUMBER($W$1153),$B$677=1),$W$1153,HLOOKUP(INDIRECT(ADDRESS(2,COLUMN())),OFFSET($BN$2,0,0,ROW()-1,60),ROW()-1,FALSE))</f>
        <v/>
      </c>
      <c r="X491" t="str">
        <f ca="1">IF(AND(ISNUMBER($X$1153),$B$677=1),$X$1153,HLOOKUP(INDIRECT(ADDRESS(2,COLUMN())),OFFSET($BN$2,0,0,ROW()-1,60),ROW()-1,FALSE))</f>
        <v/>
      </c>
      <c r="Y491" t="str">
        <f ca="1">IF(AND(ISNUMBER($Y$1153),$B$677=1),$Y$1153,HLOOKUP(INDIRECT(ADDRESS(2,COLUMN())),OFFSET($BN$2,0,0,ROW()-1,60),ROW()-1,FALSE))</f>
        <v/>
      </c>
      <c r="Z491" t="str">
        <f ca="1">IF(AND(ISNUMBER($Z$1153),$B$677=1),$Z$1153,HLOOKUP(INDIRECT(ADDRESS(2,COLUMN())),OFFSET($BN$2,0,0,ROW()-1,60),ROW()-1,FALSE))</f>
        <v/>
      </c>
      <c r="AA491" t="str">
        <f ca="1">IF(AND(ISNUMBER($AA$1153),$B$677=1),$AA$1153,HLOOKUP(INDIRECT(ADDRESS(2,COLUMN())),OFFSET($BN$2,0,0,ROW()-1,60),ROW()-1,FALSE))</f>
        <v/>
      </c>
      <c r="AB491" t="str">
        <f ca="1">IF(AND(ISNUMBER($AB$1153),$B$677=1),$AB$1153,HLOOKUP(INDIRECT(ADDRESS(2,COLUMN())),OFFSET($BN$2,0,0,ROW()-1,60),ROW()-1,FALSE))</f>
        <v/>
      </c>
      <c r="AC491" t="str">
        <f ca="1">IF(AND(ISNUMBER($AC$1153),$B$677=1),$AC$1153,HLOOKUP(INDIRECT(ADDRESS(2,COLUMN())),OFFSET($BN$2,0,0,ROW()-1,60),ROW()-1,FALSE))</f>
        <v/>
      </c>
      <c r="AD491" t="str">
        <f ca="1">IF(AND(ISNUMBER($AD$1153),$B$677=1),$AD$1153,HLOOKUP(INDIRECT(ADDRESS(2,COLUMN())),OFFSET($BN$2,0,0,ROW()-1,60),ROW()-1,FALSE))</f>
        <v/>
      </c>
      <c r="AE491" t="str">
        <f ca="1">IF(AND(ISNUMBER($AE$1153),$B$677=1),$AE$1153,HLOOKUP(INDIRECT(ADDRESS(2,COLUMN())),OFFSET($BN$2,0,0,ROW()-1,60),ROW()-1,FALSE))</f>
        <v/>
      </c>
      <c r="AF491" t="str">
        <f ca="1">IF(AND(ISNUMBER($AF$1153),$B$677=1),$AF$1153,HLOOKUP(INDIRECT(ADDRESS(2,COLUMN())),OFFSET($BN$2,0,0,ROW()-1,60),ROW()-1,FALSE))</f>
        <v/>
      </c>
      <c r="AG491" t="str">
        <f ca="1">IF(AND(ISNUMBER($AG$1153),$B$677=1),$AG$1153,HLOOKUP(INDIRECT(ADDRESS(2,COLUMN())),OFFSET($BN$2,0,0,ROW()-1,60),ROW()-1,FALSE))</f>
        <v/>
      </c>
      <c r="AH491" t="str">
        <f ca="1">IF(AND(ISNUMBER($AH$1153),$B$677=1),$AH$1153,HLOOKUP(INDIRECT(ADDRESS(2,COLUMN())),OFFSET($BN$2,0,0,ROW()-1,60),ROW()-1,FALSE))</f>
        <v/>
      </c>
      <c r="AI491" t="str">
        <f ca="1">IF(AND(ISNUMBER($AI$1153),$B$677=1),$AI$1153,HLOOKUP(INDIRECT(ADDRESS(2,COLUMN())),OFFSET($BN$2,0,0,ROW()-1,60),ROW()-1,FALSE))</f>
        <v/>
      </c>
      <c r="AJ491" t="str">
        <f ca="1">IF(AND(ISNUMBER($AJ$1153),$B$677=1),$AJ$1153,HLOOKUP(INDIRECT(ADDRESS(2,COLUMN())),OFFSET($BN$2,0,0,ROW()-1,60),ROW()-1,FALSE))</f>
        <v/>
      </c>
      <c r="AK491" t="str">
        <f ca="1">IF(AND(ISNUMBER($AK$1153),$B$677=1),$AK$1153,HLOOKUP(INDIRECT(ADDRESS(2,COLUMN())),OFFSET($BN$2,0,0,ROW()-1,60),ROW()-1,FALSE))</f>
        <v/>
      </c>
      <c r="AL491" t="str">
        <f ca="1">IF(AND(ISNUMBER($AL$1153),$B$677=1),$AL$1153,HLOOKUP(INDIRECT(ADDRESS(2,COLUMN())),OFFSET($BN$2,0,0,ROW()-1,60),ROW()-1,FALSE))</f>
        <v/>
      </c>
      <c r="AM491" t="str">
        <f ca="1">IF(AND(ISNUMBER($AM$1153),$B$677=1),$AM$1153,HLOOKUP(INDIRECT(ADDRESS(2,COLUMN())),OFFSET($BN$2,0,0,ROW()-1,60),ROW()-1,FALSE))</f>
        <v/>
      </c>
      <c r="AN491" t="str">
        <f ca="1">IF(AND(ISNUMBER($AN$1153),$B$677=1),$AN$1153,HLOOKUP(INDIRECT(ADDRESS(2,COLUMN())),OFFSET($BN$2,0,0,ROW()-1,60),ROW()-1,FALSE))</f>
        <v/>
      </c>
      <c r="AO491" t="str">
        <f ca="1">IF(AND(ISNUMBER($AO$1153),$B$677=1),$AO$1153,HLOOKUP(INDIRECT(ADDRESS(2,COLUMN())),OFFSET($BN$2,0,0,ROW()-1,60),ROW()-1,FALSE))</f>
        <v/>
      </c>
      <c r="AP491" t="str">
        <f ca="1">IF(AND(ISNUMBER($AP$1153),$B$677=1),$AP$1153,HLOOKUP(INDIRECT(ADDRESS(2,COLUMN())),OFFSET($BN$2,0,0,ROW()-1,60),ROW()-1,FALSE))</f>
        <v/>
      </c>
      <c r="AQ491" t="str">
        <f ca="1">IF(AND(ISNUMBER($AQ$1153),$B$677=1),$AQ$1153,HLOOKUP(INDIRECT(ADDRESS(2,COLUMN())),OFFSET($BN$2,0,0,ROW()-1,60),ROW()-1,FALSE))</f>
        <v/>
      </c>
      <c r="AR491" t="str">
        <f ca="1">IF(AND(ISNUMBER($AR$1153),$B$677=1),$AR$1153,HLOOKUP(INDIRECT(ADDRESS(2,COLUMN())),OFFSET($BN$2,0,0,ROW()-1,60),ROW()-1,FALSE))</f>
        <v/>
      </c>
      <c r="AS491" t="str">
        <f ca="1">IF(AND(ISNUMBER($AS$1153),$B$677=1),$AS$1153,HLOOKUP(INDIRECT(ADDRESS(2,COLUMN())),OFFSET($BN$2,0,0,ROW()-1,60),ROW()-1,FALSE))</f>
        <v/>
      </c>
      <c r="AT491" t="str">
        <f ca="1">IF(AND(ISNUMBER($AT$1153),$B$677=1),$AT$1153,HLOOKUP(INDIRECT(ADDRESS(2,COLUMN())),OFFSET($BN$2,0,0,ROW()-1,60),ROW()-1,FALSE))</f>
        <v/>
      </c>
      <c r="AU491" t="str">
        <f ca="1">IF(AND(ISNUMBER($AU$1153),$B$677=1),$AU$1153,HLOOKUP(INDIRECT(ADDRESS(2,COLUMN())),OFFSET($BN$2,0,0,ROW()-1,60),ROW()-1,FALSE))</f>
        <v/>
      </c>
      <c r="AV491" t="str">
        <f ca="1">IF(AND(ISNUMBER($AV$1153),$B$677=1),$AV$1153,HLOOKUP(INDIRECT(ADDRESS(2,COLUMN())),OFFSET($BN$2,0,0,ROW()-1,60),ROW()-1,FALSE))</f>
        <v/>
      </c>
      <c r="AW491" t="str">
        <f ca="1">IF(AND(ISNUMBER($AW$1153),$B$677=1),$AW$1153,HLOOKUP(INDIRECT(ADDRESS(2,COLUMN())),OFFSET($BN$2,0,0,ROW()-1,60),ROW()-1,FALSE))</f>
        <v/>
      </c>
      <c r="AX491" t="str">
        <f ca="1">IF(AND(ISNUMBER($AX$1153),$B$677=1),$AX$1153,HLOOKUP(INDIRECT(ADDRESS(2,COLUMN())),OFFSET($BN$2,0,0,ROW()-1,60),ROW()-1,FALSE))</f>
        <v/>
      </c>
      <c r="AY491" t="str">
        <f ca="1">IF(AND(ISNUMBER($AY$1153),$B$677=1),$AY$1153,HLOOKUP(INDIRECT(ADDRESS(2,COLUMN())),OFFSET($BN$2,0,0,ROW()-1,60),ROW()-1,FALSE))</f>
        <v/>
      </c>
      <c r="AZ491" t="str">
        <f ca="1">IF(AND(ISNUMBER($AZ$1153),$B$677=1),$AZ$1153,HLOOKUP(INDIRECT(ADDRESS(2,COLUMN())),OFFSET($BN$2,0,0,ROW()-1,60),ROW()-1,FALSE))</f>
        <v/>
      </c>
      <c r="BA491" t="str">
        <f ca="1">IF(AND(ISNUMBER($BA$1153),$B$677=1),$BA$1153,HLOOKUP(INDIRECT(ADDRESS(2,COLUMN())),OFFSET($BN$2,0,0,ROW()-1,60),ROW()-1,FALSE))</f>
        <v/>
      </c>
      <c r="BB491" t="str">
        <f ca="1">IF(AND(ISNUMBER($BB$1153),$B$677=1),$BB$1153,HLOOKUP(INDIRECT(ADDRESS(2,COLUMN())),OFFSET($BN$2,0,0,ROW()-1,60),ROW()-1,FALSE))</f>
        <v/>
      </c>
      <c r="BC491" t="str">
        <f ca="1">IF(AND(ISNUMBER($BC$1153),$B$677=1),$BC$1153,HLOOKUP(INDIRECT(ADDRESS(2,COLUMN())),OFFSET($BN$2,0,0,ROW()-1,60),ROW()-1,FALSE))</f>
        <v/>
      </c>
      <c r="BD491" t="str">
        <f ca="1">IF(AND(ISNUMBER($BD$1153),$B$677=1),$BD$1153,HLOOKUP(INDIRECT(ADDRESS(2,COLUMN())),OFFSET($BN$2,0,0,ROW()-1,60),ROW()-1,FALSE))</f>
        <v/>
      </c>
      <c r="BE491" t="str">
        <f ca="1">IF(AND(ISNUMBER($BE$1153),$B$677=1),$BE$1153,HLOOKUP(INDIRECT(ADDRESS(2,COLUMN())),OFFSET($BN$2,0,0,ROW()-1,60),ROW()-1,FALSE))</f>
        <v/>
      </c>
      <c r="BF491" t="str">
        <f ca="1">IF(AND(ISNUMBER($BF$1153),$B$677=1),$BF$1153,HLOOKUP(INDIRECT(ADDRESS(2,COLUMN())),OFFSET($BN$2,0,0,ROW()-1,60),ROW()-1,FALSE))</f>
        <v/>
      </c>
      <c r="BG491" t="str">
        <f ca="1">IF(AND(ISNUMBER($BG$1153),$B$677=1),$BG$1153,HLOOKUP(INDIRECT(ADDRESS(2,COLUMN())),OFFSET($BN$2,0,0,ROW()-1,60),ROW()-1,FALSE))</f>
        <v/>
      </c>
      <c r="BH491" t="str">
        <f ca="1">IF(AND(ISNUMBER($BH$1153),$B$677=1),$BH$1153,HLOOKUP(INDIRECT(ADDRESS(2,COLUMN())),OFFSET($BN$2,0,0,ROW()-1,60),ROW()-1,FALSE))</f>
        <v/>
      </c>
      <c r="BI491" t="str">
        <f ca="1">IF(AND(ISNUMBER($BI$1153),$B$677=1),$BI$1153,HLOOKUP(INDIRECT(ADDRESS(2,COLUMN())),OFFSET($BN$2,0,0,ROW()-1,60),ROW()-1,FALSE))</f>
        <v/>
      </c>
      <c r="BJ491" t="str">
        <f ca="1">IF(AND(ISNUMBER($BJ$1153),$B$677=1),$BJ$1153,HLOOKUP(INDIRECT(ADDRESS(2,COLUMN())),OFFSET($BN$2,0,0,ROW()-1,60),ROW()-1,FALSE))</f>
        <v/>
      </c>
      <c r="BK491" t="str">
        <f ca="1">IF(AND(ISNUMBER($BK$1153),$B$677=1),$BK$1153,HLOOKUP(INDIRECT(ADDRESS(2,COLUMN())),OFFSET($BN$2,0,0,ROW()-1,60),ROW()-1,FALSE))</f>
        <v/>
      </c>
      <c r="BL491" t="str">
        <f ca="1">IF(AND(ISNUMBER($BL$1153),$B$677=1),$BL$1153,HLOOKUP(INDIRECT(ADDRESS(2,COLUMN())),OFFSET($BN$2,0,0,ROW()-1,60),ROW()-1,FALSE))</f>
        <v/>
      </c>
      <c r="BM491" t="str">
        <f ca="1">IF(AND(ISNUMBER($BM$1153),$B$677=1),$BM$1153,HLOOKUP(INDIRECT(ADDRESS(2,COLUMN())),OFFSET($BN$2,0,0,ROW()-1,60),ROW()-1,FALSE))</f>
        <v/>
      </c>
      <c r="BN491" t="str">
        <f>""</f>
        <v/>
      </c>
      <c r="BO491" t="str">
        <f>""</f>
        <v/>
      </c>
      <c r="BP491" t="str">
        <f>""</f>
        <v/>
      </c>
      <c r="BQ491" t="str">
        <f>""</f>
        <v/>
      </c>
      <c r="BR491" t="str">
        <f>""</f>
        <v/>
      </c>
      <c r="BS491" t="str">
        <f>""</f>
        <v/>
      </c>
      <c r="BT491" t="str">
        <f>""</f>
        <v/>
      </c>
      <c r="BU491" t="str">
        <f>""</f>
        <v/>
      </c>
      <c r="BV491" t="str">
        <f>""</f>
        <v/>
      </c>
      <c r="BW491" t="str">
        <f>""</f>
        <v/>
      </c>
      <c r="BX491" t="str">
        <f>""</f>
        <v/>
      </c>
      <c r="BY491" t="str">
        <f>""</f>
        <v/>
      </c>
      <c r="BZ491" t="str">
        <f>""</f>
        <v/>
      </c>
      <c r="CA491" t="str">
        <f>""</f>
        <v/>
      </c>
      <c r="CB491" t="str">
        <f>""</f>
        <v/>
      </c>
      <c r="CC491" t="str">
        <f>""</f>
        <v/>
      </c>
      <c r="CD491" t="str">
        <f>""</f>
        <v/>
      </c>
      <c r="CE491" t="str">
        <f>""</f>
        <v/>
      </c>
      <c r="CF491" t="str">
        <f>""</f>
        <v/>
      </c>
      <c r="CG491" t="str">
        <f>""</f>
        <v/>
      </c>
      <c r="CH491" t="str">
        <f>""</f>
        <v/>
      </c>
      <c r="CI491" t="str">
        <f>""</f>
        <v/>
      </c>
      <c r="CJ491" t="str">
        <f>""</f>
        <v/>
      </c>
      <c r="CK491" t="str">
        <f>""</f>
        <v/>
      </c>
      <c r="CL491" t="str">
        <f>""</f>
        <v/>
      </c>
      <c r="CM491" t="str">
        <f>""</f>
        <v/>
      </c>
      <c r="CN491" t="str">
        <f>""</f>
        <v/>
      </c>
      <c r="CO491" t="str">
        <f>""</f>
        <v/>
      </c>
      <c r="CP491" t="str">
        <f>""</f>
        <v/>
      </c>
      <c r="CQ491" t="str">
        <f>""</f>
        <v/>
      </c>
      <c r="CR491" t="str">
        <f>""</f>
        <v/>
      </c>
      <c r="CS491" t="str">
        <f>""</f>
        <v/>
      </c>
      <c r="CT491" t="str">
        <f>""</f>
        <v/>
      </c>
      <c r="CU491" t="str">
        <f>""</f>
        <v/>
      </c>
      <c r="CV491" t="str">
        <f>""</f>
        <v/>
      </c>
      <c r="CW491" t="str">
        <f>""</f>
        <v/>
      </c>
      <c r="CX491" t="str">
        <f>""</f>
        <v/>
      </c>
      <c r="CY491" t="str">
        <f>""</f>
        <v/>
      </c>
      <c r="CZ491" t="str">
        <f>""</f>
        <v/>
      </c>
      <c r="DA491" t="str">
        <f>""</f>
        <v/>
      </c>
      <c r="DB491" t="str">
        <f>""</f>
        <v/>
      </c>
      <c r="DC491" t="str">
        <f>""</f>
        <v/>
      </c>
      <c r="DD491" t="str">
        <f>""</f>
        <v/>
      </c>
      <c r="DE491" t="str">
        <f>""</f>
        <v/>
      </c>
      <c r="DF491" t="str">
        <f>""</f>
        <v/>
      </c>
      <c r="DG491" t="str">
        <f>""</f>
        <v/>
      </c>
      <c r="DH491" t="str">
        <f>""</f>
        <v/>
      </c>
      <c r="DI491" t="str">
        <f>""</f>
        <v/>
      </c>
      <c r="DJ491" t="str">
        <f>""</f>
        <v/>
      </c>
      <c r="DK491" t="str">
        <f>""</f>
        <v/>
      </c>
      <c r="DL491" t="str">
        <f>""</f>
        <v/>
      </c>
      <c r="DM491" t="str">
        <f>""</f>
        <v/>
      </c>
      <c r="DN491" t="str">
        <f>""</f>
        <v/>
      </c>
      <c r="DO491" t="str">
        <f>""</f>
        <v/>
      </c>
      <c r="DP491" t="str">
        <f>""</f>
        <v/>
      </c>
      <c r="DQ491" t="str">
        <f>""</f>
        <v/>
      </c>
      <c r="DR491" t="str">
        <f>""</f>
        <v/>
      </c>
      <c r="DS491" t="str">
        <f>""</f>
        <v/>
      </c>
      <c r="DT491" t="str">
        <f>""</f>
        <v/>
      </c>
      <c r="DU491" t="str">
        <f>""</f>
        <v/>
      </c>
    </row>
    <row r="492" spans="1:125" x14ac:dyDescent="0.25">
      <c r="A492" t="str">
        <f>"    Tianjin Faw Xiali Automobile Co Ltd"</f>
        <v xml:space="preserve">    Tianjin Faw Xiali Automobile Co Ltd</v>
      </c>
      <c r="B492" t="str">
        <f>"000927 CH Equity"</f>
        <v>000927 CH Equity</v>
      </c>
      <c r="C492" t="str">
        <f t="shared" si="33"/>
        <v>RR476</v>
      </c>
      <c r="D492" t="str">
        <f t="shared" si="34"/>
        <v>EV_TO_T12M_NET_INCOME</v>
      </c>
      <c r="E492" t="str">
        <f t="shared" si="35"/>
        <v>Dynamic</v>
      </c>
      <c r="F492" t="str">
        <f ca="1">IF(AND(ISNUMBER($F$1154),$B$677=1),$F$1154,HLOOKUP(INDIRECT(ADDRESS(2,COLUMN())),OFFSET($BN$2,0,0,ROW()-1,60),ROW()-1,FALSE))</f>
        <v/>
      </c>
      <c r="G492" t="str">
        <f ca="1">IF(AND(ISNUMBER($G$1154),$B$677=1),$G$1154,HLOOKUP(INDIRECT(ADDRESS(2,COLUMN())),OFFSET($BN$2,0,0,ROW()-1,60),ROW()-1,FALSE))</f>
        <v/>
      </c>
      <c r="H492" t="str">
        <f ca="1">IF(AND(ISNUMBER($H$1154),$B$677=1),$H$1154,HLOOKUP(INDIRECT(ADDRESS(2,COLUMN())),OFFSET($BN$2,0,0,ROW()-1,60),ROW()-1,FALSE))</f>
        <v/>
      </c>
      <c r="I492" t="str">
        <f ca="1">IF(AND(ISNUMBER($I$1154),$B$677=1),$I$1154,HLOOKUP(INDIRECT(ADDRESS(2,COLUMN())),OFFSET($BN$2,0,0,ROW()-1,60),ROW()-1,FALSE))</f>
        <v/>
      </c>
      <c r="J492" t="str">
        <f ca="1">IF(AND(ISNUMBER($J$1154),$B$677=1),$J$1154,HLOOKUP(INDIRECT(ADDRESS(2,COLUMN())),OFFSET($BN$2,0,0,ROW()-1,60),ROW()-1,FALSE))</f>
        <v/>
      </c>
      <c r="K492" t="str">
        <f ca="1">IF(AND(ISNUMBER($K$1154),$B$677=1),$K$1154,HLOOKUP(INDIRECT(ADDRESS(2,COLUMN())),OFFSET($BN$2,0,0,ROW()-1,60),ROW()-1,FALSE))</f>
        <v/>
      </c>
      <c r="L492" t="str">
        <f ca="1">IF(AND(ISNUMBER($L$1154),$B$677=1),$L$1154,HLOOKUP(INDIRECT(ADDRESS(2,COLUMN())),OFFSET($BN$2,0,0,ROW()-1,60),ROW()-1,FALSE))</f>
        <v/>
      </c>
      <c r="M492" t="str">
        <f ca="1">IF(AND(ISNUMBER($M$1154),$B$677=1),$M$1154,HLOOKUP(INDIRECT(ADDRESS(2,COLUMN())),OFFSET($BN$2,0,0,ROW()-1,60),ROW()-1,FALSE))</f>
        <v/>
      </c>
      <c r="N492">
        <f ca="1">IF(AND(ISNUMBER($N$1154),$B$677=1),$N$1154,HLOOKUP(INDIRECT(ADDRESS(2,COLUMN())),OFFSET($BN$2,0,0,ROW()-1,60),ROW()-1,FALSE))</f>
        <v>195.5075985</v>
      </c>
      <c r="O492">
        <f ca="1">IF(AND(ISNUMBER($O$1154),$B$677=1),$O$1154,HLOOKUP(INDIRECT(ADDRESS(2,COLUMN())),OFFSET($BN$2,0,0,ROW()-1,60),ROW()-1,FALSE))</f>
        <v>60.66022263</v>
      </c>
      <c r="P492">
        <f ca="1">IF(AND(ISNUMBER($P$1154),$B$677=1),$P$1154,HLOOKUP(INDIRECT(ADDRESS(2,COLUMN())),OFFSET($BN$2,0,0,ROW()-1,60),ROW()-1,FALSE))</f>
        <v>146.0196085</v>
      </c>
      <c r="Q492">
        <f ca="1">IF(AND(ISNUMBER($Q$1154),$B$677=1),$Q$1154,HLOOKUP(INDIRECT(ADDRESS(2,COLUMN())),OFFSET($BN$2,0,0,ROW()-1,60),ROW()-1,FALSE))</f>
        <v>273.98945350000002</v>
      </c>
      <c r="R492">
        <f ca="1">IF(AND(ISNUMBER($R$1154),$B$677=1),$R$1154,HLOOKUP(INDIRECT(ADDRESS(2,COLUMN())),OFFSET($BN$2,0,0,ROW()-1,60),ROW()-1,FALSE))</f>
        <v>109.59870239999999</v>
      </c>
      <c r="S492">
        <f ca="1">IF(AND(ISNUMBER($S$1154),$B$677=1),$S$1154,HLOOKUP(INDIRECT(ADDRESS(2,COLUMN())),OFFSET($BN$2,0,0,ROW()-1,60),ROW()-1,FALSE))</f>
        <v>692.02919610000004</v>
      </c>
      <c r="T492" t="str">
        <f ca="1">IF(AND(ISNUMBER($T$1154),$B$677=1),$T$1154,HLOOKUP(INDIRECT(ADDRESS(2,COLUMN())),OFFSET($BN$2,0,0,ROW()-1,60),ROW()-1,FALSE))</f>
        <v/>
      </c>
      <c r="U492" t="str">
        <f ca="1">IF(AND(ISNUMBER($U$1154),$B$677=1),$U$1154,HLOOKUP(INDIRECT(ADDRESS(2,COLUMN())),OFFSET($BN$2,0,0,ROW()-1,60),ROW()-1,FALSE))</f>
        <v/>
      </c>
      <c r="V492" t="str">
        <f ca="1">IF(AND(ISNUMBER($V$1154),$B$677=1),$V$1154,HLOOKUP(INDIRECT(ADDRESS(2,COLUMN())),OFFSET($BN$2,0,0,ROW()-1,60),ROW()-1,FALSE))</f>
        <v/>
      </c>
      <c r="W492" t="str">
        <f ca="1">IF(AND(ISNUMBER($W$1154),$B$677=1),$W$1154,HLOOKUP(INDIRECT(ADDRESS(2,COLUMN())),OFFSET($BN$2,0,0,ROW()-1,60),ROW()-1,FALSE))</f>
        <v/>
      </c>
      <c r="X492" t="str">
        <f ca="1">IF(AND(ISNUMBER($X$1154),$B$677=1),$X$1154,HLOOKUP(INDIRECT(ADDRESS(2,COLUMN())),OFFSET($BN$2,0,0,ROW()-1,60),ROW()-1,FALSE))</f>
        <v/>
      </c>
      <c r="Y492" t="str">
        <f ca="1">IF(AND(ISNUMBER($Y$1154),$B$677=1),$Y$1154,HLOOKUP(INDIRECT(ADDRESS(2,COLUMN())),OFFSET($BN$2,0,0,ROW()-1,60),ROW()-1,FALSE))</f>
        <v/>
      </c>
      <c r="Z492" t="str">
        <f ca="1">IF(AND(ISNUMBER($Z$1154),$B$677=1),$Z$1154,HLOOKUP(INDIRECT(ADDRESS(2,COLUMN())),OFFSET($BN$2,0,0,ROW()-1,60),ROW()-1,FALSE))</f>
        <v/>
      </c>
      <c r="AA492" t="str">
        <f ca="1">IF(AND(ISNUMBER($AA$1154),$B$677=1),$AA$1154,HLOOKUP(INDIRECT(ADDRESS(2,COLUMN())),OFFSET($BN$2,0,0,ROW()-1,60),ROW()-1,FALSE))</f>
        <v/>
      </c>
      <c r="AB492" t="str">
        <f ca="1">IF(AND(ISNUMBER($AB$1154),$B$677=1),$AB$1154,HLOOKUP(INDIRECT(ADDRESS(2,COLUMN())),OFFSET($BN$2,0,0,ROW()-1,60),ROW()-1,FALSE))</f>
        <v/>
      </c>
      <c r="AC492" t="str">
        <f ca="1">IF(AND(ISNUMBER($AC$1154),$B$677=1),$AC$1154,HLOOKUP(INDIRECT(ADDRESS(2,COLUMN())),OFFSET($BN$2,0,0,ROW()-1,60),ROW()-1,FALSE))</f>
        <v/>
      </c>
      <c r="AD492" t="str">
        <f ca="1">IF(AND(ISNUMBER($AD$1154),$B$677=1),$AD$1154,HLOOKUP(INDIRECT(ADDRESS(2,COLUMN())),OFFSET($BN$2,0,0,ROW()-1,60),ROW()-1,FALSE))</f>
        <v/>
      </c>
      <c r="AE492">
        <f ca="1">IF(AND(ISNUMBER($AE$1154),$B$677=1),$AE$1154,HLOOKUP(INDIRECT(ADDRESS(2,COLUMN())),OFFSET($BN$2,0,0,ROW()-1,60),ROW()-1,FALSE))</f>
        <v>273.51906109999999</v>
      </c>
      <c r="AF492">
        <f ca="1">IF(AND(ISNUMBER($AF$1154),$B$677=1),$AF$1154,HLOOKUP(INDIRECT(ADDRESS(2,COLUMN())),OFFSET($BN$2,0,0,ROW()-1,60),ROW()-1,FALSE))</f>
        <v>108.4166663</v>
      </c>
      <c r="AG492">
        <f ca="1">IF(AND(ISNUMBER($AG$1154),$B$677=1),$AG$1154,HLOOKUP(INDIRECT(ADDRESS(2,COLUMN())),OFFSET($BN$2,0,0,ROW()-1,60),ROW()-1,FALSE))</f>
        <v>80.223797869999999</v>
      </c>
      <c r="AH492">
        <f ca="1">IF(AND(ISNUMBER($AH$1154),$B$677=1),$AH$1154,HLOOKUP(INDIRECT(ADDRESS(2,COLUMN())),OFFSET($BN$2,0,0,ROW()-1,60),ROW()-1,FALSE))</f>
        <v>106.0156408</v>
      </c>
      <c r="AI492">
        <f ca="1">IF(AND(ISNUMBER($AI$1154),$B$677=1),$AI$1154,HLOOKUP(INDIRECT(ADDRESS(2,COLUMN())),OFFSET($BN$2,0,0,ROW()-1,60),ROW()-1,FALSE))</f>
        <v>96.388835970000002</v>
      </c>
      <c r="AJ492">
        <f ca="1">IF(AND(ISNUMBER($AJ$1154),$B$677=1),$AJ$1154,HLOOKUP(INDIRECT(ADDRESS(2,COLUMN())),OFFSET($BN$2,0,0,ROW()-1,60),ROW()-1,FALSE))</f>
        <v>100.9859344</v>
      </c>
      <c r="AK492">
        <f ca="1">IF(AND(ISNUMBER($AK$1154),$B$677=1),$AK$1154,HLOOKUP(INDIRECT(ADDRESS(2,COLUMN())),OFFSET($BN$2,0,0,ROW()-1,60),ROW()-1,FALSE))</f>
        <v>182.03047979999999</v>
      </c>
      <c r="AL492">
        <f ca="1">IF(AND(ISNUMBER($AL$1154),$B$677=1),$AL$1154,HLOOKUP(INDIRECT(ADDRESS(2,COLUMN())),OFFSET($BN$2,0,0,ROW()-1,60),ROW()-1,FALSE))</f>
        <v>91.890797890000002</v>
      </c>
      <c r="AM492">
        <f ca="1">IF(AND(ISNUMBER($AM$1154),$B$677=1),$AM$1154,HLOOKUP(INDIRECT(ADDRESS(2,COLUMN())),OFFSET($BN$2,0,0,ROW()-1,60),ROW()-1,FALSE))</f>
        <v>43.658094740000003</v>
      </c>
      <c r="AN492">
        <f ca="1">IF(AND(ISNUMBER($AN$1154),$B$677=1),$AN$1154,HLOOKUP(INDIRECT(ADDRESS(2,COLUMN())),OFFSET($BN$2,0,0,ROW()-1,60),ROW()-1,FALSE))</f>
        <v>32.928016159999999</v>
      </c>
      <c r="AO492">
        <f ca="1">IF(AND(ISNUMBER($AO$1154),$B$677=1),$AO$1154,HLOOKUP(INDIRECT(ADDRESS(2,COLUMN())),OFFSET($BN$2,0,0,ROW()-1,60),ROW()-1,FALSE))</f>
        <v>30.302354009999998</v>
      </c>
      <c r="AP492">
        <f ca="1">IF(AND(ISNUMBER($AP$1154),$B$677=1),$AP$1154,HLOOKUP(INDIRECT(ADDRESS(2,COLUMN())),OFFSET($BN$2,0,0,ROW()-1,60),ROW()-1,FALSE))</f>
        <v>34.48726748</v>
      </c>
      <c r="AQ492">
        <f ca="1">IF(AND(ISNUMBER($AQ$1154),$B$677=1),$AQ$1154,HLOOKUP(INDIRECT(ADDRESS(2,COLUMN())),OFFSET($BN$2,0,0,ROW()-1,60),ROW()-1,FALSE))</f>
        <v>112.8144568</v>
      </c>
      <c r="AR492">
        <f ca="1">IF(AND(ISNUMBER($AR$1154),$B$677=1),$AR$1154,HLOOKUP(INDIRECT(ADDRESS(2,COLUMN())),OFFSET($BN$2,0,0,ROW()-1,60),ROW()-1,FALSE))</f>
        <v>357.88915500000002</v>
      </c>
      <c r="AS492">
        <f ca="1">IF(AND(ISNUMBER($AS$1154),$B$677=1),$AS$1154,HLOOKUP(INDIRECT(ADDRESS(2,COLUMN())),OFFSET($BN$2,0,0,ROW()-1,60),ROW()-1,FALSE))</f>
        <v>230.2504678</v>
      </c>
      <c r="AT492">
        <f ca="1">IF(AND(ISNUMBER($AT$1154),$B$677=1),$AT$1154,HLOOKUP(INDIRECT(ADDRESS(2,COLUMN())),OFFSET($BN$2,0,0,ROW()-1,60),ROW()-1,FALSE))</f>
        <v>2911.3606650000002</v>
      </c>
      <c r="AU492">
        <f ca="1">IF(AND(ISNUMBER($AU$1154),$B$677=1),$AU$1154,HLOOKUP(INDIRECT(ADDRESS(2,COLUMN())),OFFSET($BN$2,0,0,ROW()-1,60),ROW()-1,FALSE))</f>
        <v>78.428991460000006</v>
      </c>
      <c r="AV492">
        <f ca="1">IF(AND(ISNUMBER($AV$1154),$B$677=1),$AV$1154,HLOOKUP(INDIRECT(ADDRESS(2,COLUMN())),OFFSET($BN$2,0,0,ROW()-1,60),ROW()-1,FALSE))</f>
        <v>25.228227</v>
      </c>
      <c r="AW492">
        <f ca="1">IF(AND(ISNUMBER($AW$1154),$B$677=1),$AW$1154,HLOOKUP(INDIRECT(ADDRESS(2,COLUMN())),OFFSET($BN$2,0,0,ROW()-1,60),ROW()-1,FALSE))</f>
        <v>35.724642889999998</v>
      </c>
      <c r="AX492">
        <f ca="1">IF(AND(ISNUMBER($AX$1154),$B$677=1),$AX$1154,HLOOKUP(INDIRECT(ADDRESS(2,COLUMN())),OFFSET($BN$2,0,0,ROW()-1,60),ROW()-1,FALSE))</f>
        <v>99.287274789999998</v>
      </c>
      <c r="AY492">
        <f ca="1">IF(AND(ISNUMBER($AY$1154),$B$677=1),$AY$1154,HLOOKUP(INDIRECT(ADDRESS(2,COLUMN())),OFFSET($BN$2,0,0,ROW()-1,60),ROW()-1,FALSE))</f>
        <v>135.0481886</v>
      </c>
      <c r="AZ492" t="str">
        <f ca="1">IF(AND(ISNUMBER($AZ$1154),$B$677=1),$AZ$1154,HLOOKUP(INDIRECT(ADDRESS(2,COLUMN())),OFFSET($BN$2,0,0,ROW()-1,60),ROW()-1,FALSE))</f>
        <v/>
      </c>
      <c r="BA492">
        <f ca="1">IF(AND(ISNUMBER($BA$1154),$B$677=1),$BA$1154,HLOOKUP(INDIRECT(ADDRESS(2,COLUMN())),OFFSET($BN$2,0,0,ROW()-1,60),ROW()-1,FALSE))</f>
        <v>112.4002371</v>
      </c>
      <c r="BB492">
        <f ca="1">IF(AND(ISNUMBER($BB$1154),$B$677=1),$BB$1154,HLOOKUP(INDIRECT(ADDRESS(2,COLUMN())),OFFSET($BN$2,0,0,ROW()-1,60),ROW()-1,FALSE))</f>
        <v>81.791964050000004</v>
      </c>
      <c r="BC492">
        <f ca="1">IF(AND(ISNUMBER($BC$1154),$B$677=1),$BC$1154,HLOOKUP(INDIRECT(ADDRESS(2,COLUMN())),OFFSET($BN$2,0,0,ROW()-1,60),ROW()-1,FALSE))</f>
        <v>37.177351790000003</v>
      </c>
      <c r="BD492">
        <f ca="1">IF(AND(ISNUMBER($BD$1154),$B$677=1),$BD$1154,HLOOKUP(INDIRECT(ADDRESS(2,COLUMN())),OFFSET($BN$2,0,0,ROW()-1,60),ROW()-1,FALSE))</f>
        <v>15.69572365</v>
      </c>
      <c r="BE492">
        <f ca="1">IF(AND(ISNUMBER($BE$1154),$B$677=1),$BE$1154,HLOOKUP(INDIRECT(ADDRESS(2,COLUMN())),OFFSET($BN$2,0,0,ROW()-1,60),ROW()-1,FALSE))</f>
        <v>28.58213439</v>
      </c>
      <c r="BF492">
        <f ca="1">IF(AND(ISNUMBER($BF$1154),$B$677=1),$BF$1154,HLOOKUP(INDIRECT(ADDRESS(2,COLUMN())),OFFSET($BN$2,0,0,ROW()-1,60),ROW()-1,FALSE))</f>
        <v>22.899269780000001</v>
      </c>
      <c r="BG492">
        <f ca="1">IF(AND(ISNUMBER($BG$1154),$B$677=1),$BG$1154,HLOOKUP(INDIRECT(ADDRESS(2,COLUMN())),OFFSET($BN$2,0,0,ROW()-1,60),ROW()-1,FALSE))</f>
        <v>32.07725653</v>
      </c>
      <c r="BH492">
        <f ca="1">IF(AND(ISNUMBER($BH$1154),$B$677=1),$BH$1154,HLOOKUP(INDIRECT(ADDRESS(2,COLUMN())),OFFSET($BN$2,0,0,ROW()-1,60),ROW()-1,FALSE))</f>
        <v>57.452726429999998</v>
      </c>
      <c r="BI492">
        <f ca="1">IF(AND(ISNUMBER($BI$1154),$B$677=1),$BI$1154,HLOOKUP(INDIRECT(ADDRESS(2,COLUMN())),OFFSET($BN$2,0,0,ROW()-1,60),ROW()-1,FALSE))</f>
        <v>440.96455550000002</v>
      </c>
      <c r="BJ492" t="str">
        <f ca="1">IF(AND(ISNUMBER($BJ$1154),$B$677=1),$BJ$1154,HLOOKUP(INDIRECT(ADDRESS(2,COLUMN())),OFFSET($BN$2,0,0,ROW()-1,60),ROW()-1,FALSE))</f>
        <v/>
      </c>
      <c r="BK492">
        <f ca="1">IF(AND(ISNUMBER($BK$1154),$B$677=1),$BK$1154,HLOOKUP(INDIRECT(ADDRESS(2,COLUMN())),OFFSET($BN$2,0,0,ROW()-1,60),ROW()-1,FALSE))</f>
        <v>245.9455998</v>
      </c>
      <c r="BL492" t="str">
        <f ca="1">IF(AND(ISNUMBER($BL$1154),$B$677=1),$BL$1154,HLOOKUP(INDIRECT(ADDRESS(2,COLUMN())),OFFSET($BN$2,0,0,ROW()-1,60),ROW()-1,FALSE))</f>
        <v/>
      </c>
      <c r="BM492">
        <f ca="1">IF(AND(ISNUMBER($BM$1154),$B$677=1),$BM$1154,HLOOKUP(INDIRECT(ADDRESS(2,COLUMN())),OFFSET($BN$2,0,0,ROW()-1,60),ROW()-1,FALSE))</f>
        <v>958.81030729999998</v>
      </c>
      <c r="BN492" t="str">
        <f>""</f>
        <v/>
      </c>
      <c r="BO492" t="str">
        <f>""</f>
        <v/>
      </c>
      <c r="BP492" t="str">
        <f>""</f>
        <v/>
      </c>
      <c r="BQ492" t="str">
        <f>""</f>
        <v/>
      </c>
      <c r="BR492" t="str">
        <f>""</f>
        <v/>
      </c>
      <c r="BS492" t="str">
        <f>""</f>
        <v/>
      </c>
      <c r="BT492" t="str">
        <f>""</f>
        <v/>
      </c>
      <c r="BU492" t="str">
        <f>""</f>
        <v/>
      </c>
      <c r="BV492">
        <f>195.5075985</f>
        <v>195.5075985</v>
      </c>
      <c r="BW492">
        <f>60.66022263</f>
        <v>60.66022263</v>
      </c>
      <c r="BX492">
        <f>146.0196085</f>
        <v>146.0196085</v>
      </c>
      <c r="BY492">
        <f>273.9894535</f>
        <v>273.98945350000002</v>
      </c>
      <c r="BZ492">
        <f>109.5987024</f>
        <v>109.59870239999999</v>
      </c>
      <c r="CA492">
        <f>692.0291961</f>
        <v>692.02919610000004</v>
      </c>
      <c r="CB492" t="str">
        <f>""</f>
        <v/>
      </c>
      <c r="CC492" t="str">
        <f>""</f>
        <v/>
      </c>
      <c r="CD492" t="str">
        <f>""</f>
        <v/>
      </c>
      <c r="CE492" t="str">
        <f>""</f>
        <v/>
      </c>
      <c r="CF492" t="str">
        <f>""</f>
        <v/>
      </c>
      <c r="CG492" t="str">
        <f>""</f>
        <v/>
      </c>
      <c r="CH492" t="str">
        <f>""</f>
        <v/>
      </c>
      <c r="CI492" t="str">
        <f>""</f>
        <v/>
      </c>
      <c r="CJ492" t="str">
        <f>""</f>
        <v/>
      </c>
      <c r="CK492" t="str">
        <f>""</f>
        <v/>
      </c>
      <c r="CL492" t="str">
        <f>""</f>
        <v/>
      </c>
      <c r="CM492">
        <f>273.5190611</f>
        <v>273.51906109999999</v>
      </c>
      <c r="CN492">
        <f>108.4166663</f>
        <v>108.4166663</v>
      </c>
      <c r="CO492">
        <f>80.22379787</f>
        <v>80.223797869999999</v>
      </c>
      <c r="CP492">
        <f>106.0156408</f>
        <v>106.0156408</v>
      </c>
      <c r="CQ492">
        <f>96.38883597</f>
        <v>96.388835970000002</v>
      </c>
      <c r="CR492">
        <f>100.9859344</f>
        <v>100.9859344</v>
      </c>
      <c r="CS492">
        <f>182.0304798</f>
        <v>182.03047979999999</v>
      </c>
      <c r="CT492">
        <f>91.89079789</f>
        <v>91.890797890000002</v>
      </c>
      <c r="CU492">
        <f>43.65809474</f>
        <v>43.658094740000003</v>
      </c>
      <c r="CV492">
        <f>32.92801616</f>
        <v>32.928016159999999</v>
      </c>
      <c r="CW492">
        <f>30.30235401</f>
        <v>30.302354009999998</v>
      </c>
      <c r="CX492">
        <f>34.48726748</f>
        <v>34.48726748</v>
      </c>
      <c r="CY492">
        <f>112.8144568</f>
        <v>112.8144568</v>
      </c>
      <c r="CZ492">
        <f>357.889155</f>
        <v>357.88915500000002</v>
      </c>
      <c r="DA492">
        <f>230.2504678</f>
        <v>230.2504678</v>
      </c>
      <c r="DB492">
        <f>2911.360665</f>
        <v>2911.3606650000002</v>
      </c>
      <c r="DC492">
        <f>78.42899146</f>
        <v>78.428991460000006</v>
      </c>
      <c r="DD492">
        <f>25.228227</f>
        <v>25.228227</v>
      </c>
      <c r="DE492">
        <f>35.72464289</f>
        <v>35.724642889999998</v>
      </c>
      <c r="DF492">
        <f>99.28727479</f>
        <v>99.287274789999998</v>
      </c>
      <c r="DG492">
        <f>135.0481886</f>
        <v>135.0481886</v>
      </c>
      <c r="DH492" t="str">
        <f>""</f>
        <v/>
      </c>
      <c r="DI492">
        <f>112.4002371</f>
        <v>112.4002371</v>
      </c>
      <c r="DJ492">
        <f>81.79196405</f>
        <v>81.791964050000004</v>
      </c>
      <c r="DK492">
        <f>37.17735179</f>
        <v>37.177351790000003</v>
      </c>
      <c r="DL492">
        <f>15.69572365</f>
        <v>15.69572365</v>
      </c>
      <c r="DM492">
        <f>28.58213439</f>
        <v>28.58213439</v>
      </c>
      <c r="DN492">
        <f>22.89926978</f>
        <v>22.899269780000001</v>
      </c>
      <c r="DO492">
        <f>32.07725653</f>
        <v>32.07725653</v>
      </c>
      <c r="DP492">
        <f>57.45272643</f>
        <v>57.452726429999998</v>
      </c>
      <c r="DQ492">
        <f>440.9645555</f>
        <v>440.96455550000002</v>
      </c>
      <c r="DR492" t="str">
        <f>""</f>
        <v/>
      </c>
      <c r="DS492">
        <f>245.9455998</f>
        <v>245.9455998</v>
      </c>
      <c r="DT492" t="str">
        <f>""</f>
        <v/>
      </c>
      <c r="DU492">
        <f>958.8103073</f>
        <v>958.81030729999998</v>
      </c>
    </row>
    <row r="493" spans="1:125" x14ac:dyDescent="0.25">
      <c r="A493" t="str">
        <f>"    Tofas Turk Otomobil Fabrikasi AS"</f>
        <v xml:space="preserve">    Tofas Turk Otomobil Fabrikasi AS</v>
      </c>
      <c r="B493" t="str">
        <f>"TOASOTRY EO Equity"</f>
        <v>TOASOTRY EO Equity</v>
      </c>
      <c r="C493" t="str">
        <f t="shared" si="33"/>
        <v>RR476</v>
      </c>
      <c r="D493" t="str">
        <f t="shared" si="34"/>
        <v>EV_TO_T12M_NET_INCOME</v>
      </c>
      <c r="E493" t="str">
        <f t="shared" si="35"/>
        <v>Dynamic</v>
      </c>
      <c r="F493" t="str">
        <f ca="1">IF(AND(ISNUMBER($F$1155),$B$677=1),$F$1155,HLOOKUP(INDIRECT(ADDRESS(2,COLUMN())),OFFSET($BN$2,0,0,ROW()-1,60),ROW()-1,FALSE))</f>
        <v/>
      </c>
      <c r="G493">
        <f ca="1">IF(AND(ISNUMBER($G$1155),$B$677=1),$G$1155,HLOOKUP(INDIRECT(ADDRESS(2,COLUMN())),OFFSET($BN$2,0,0,ROW()-1,60),ROW()-1,FALSE))</f>
        <v>8.6415147490000006</v>
      </c>
      <c r="H493">
        <f ca="1">IF(AND(ISNUMBER($H$1155),$B$677=1),$H$1155,HLOOKUP(INDIRECT(ADDRESS(2,COLUMN())),OFFSET($BN$2,0,0,ROW()-1,60),ROW()-1,FALSE))</f>
        <v>10.367213599999999</v>
      </c>
      <c r="I493">
        <f ca="1">IF(AND(ISNUMBER($I$1155),$B$677=1),$I$1155,HLOOKUP(INDIRECT(ADDRESS(2,COLUMN())),OFFSET($BN$2,0,0,ROW()-1,60),ROW()-1,FALSE))</f>
        <v>10.605978479999999</v>
      </c>
      <c r="J493">
        <f ca="1">IF(AND(ISNUMBER($J$1155),$B$677=1),$J$1155,HLOOKUP(INDIRECT(ADDRESS(2,COLUMN())),OFFSET($BN$2,0,0,ROW()-1,60),ROW()-1,FALSE))</f>
        <v>12.120787569999999</v>
      </c>
      <c r="K493">
        <f ca="1">IF(AND(ISNUMBER($K$1155),$B$677=1),$K$1155,HLOOKUP(INDIRECT(ADDRESS(2,COLUMN())),OFFSET($BN$2,0,0,ROW()-1,60),ROW()-1,FALSE))</f>
        <v>14.87461128</v>
      </c>
      <c r="L493">
        <f ca="1">IF(AND(ISNUMBER($L$1155),$B$677=1),$L$1155,HLOOKUP(INDIRECT(ADDRESS(2,COLUMN())),OFFSET($BN$2,0,0,ROW()-1,60),ROW()-1,FALSE))</f>
        <v>15.89041214</v>
      </c>
      <c r="M493">
        <f ca="1">IF(AND(ISNUMBER($M$1155),$B$677=1),$M$1155,HLOOKUP(INDIRECT(ADDRESS(2,COLUMN())),OFFSET($BN$2,0,0,ROW()-1,60),ROW()-1,FALSE))</f>
        <v>16.069996570000001</v>
      </c>
      <c r="N493">
        <f ca="1">IF(AND(ISNUMBER($N$1155),$B$677=1),$N$1155,HLOOKUP(INDIRECT(ADDRESS(2,COLUMN())),OFFSET($BN$2,0,0,ROW()-1,60),ROW()-1,FALSE))</f>
        <v>15.90546408</v>
      </c>
      <c r="O493">
        <f ca="1">IF(AND(ISNUMBER($O$1155),$B$677=1),$O$1155,HLOOKUP(INDIRECT(ADDRESS(2,COLUMN())),OFFSET($BN$2,0,0,ROW()-1,60),ROW()-1,FALSE))</f>
        <v>15.411646599999999</v>
      </c>
      <c r="P493">
        <f ca="1">IF(AND(ISNUMBER($P$1155),$B$677=1),$P$1155,HLOOKUP(INDIRECT(ADDRESS(2,COLUMN())),OFFSET($BN$2,0,0,ROW()-1,60),ROW()-1,FALSE))</f>
        <v>14.947539450000001</v>
      </c>
      <c r="Q493">
        <f ca="1">IF(AND(ISNUMBER($Q$1155),$B$677=1),$Q$1155,HLOOKUP(INDIRECT(ADDRESS(2,COLUMN())),OFFSET($BN$2,0,0,ROW()-1,60),ROW()-1,FALSE))</f>
        <v>16.478046580000001</v>
      </c>
      <c r="R493">
        <f ca="1">IF(AND(ISNUMBER($R$1155),$B$677=1),$R$1155,HLOOKUP(INDIRECT(ADDRESS(2,COLUMN())),OFFSET($BN$2,0,0,ROW()-1,60),ROW()-1,FALSE))</f>
        <v>16.089358409999999</v>
      </c>
      <c r="S493">
        <f ca="1">IF(AND(ISNUMBER($S$1155),$B$677=1),$S$1155,HLOOKUP(INDIRECT(ADDRESS(2,COLUMN())),OFFSET($BN$2,0,0,ROW()-1,60),ROW()-1,FALSE))</f>
        <v>13.715444420000001</v>
      </c>
      <c r="T493">
        <f ca="1">IF(AND(ISNUMBER($T$1155),$B$677=1),$T$1155,HLOOKUP(INDIRECT(ADDRESS(2,COLUMN())),OFFSET($BN$2,0,0,ROW()-1,60),ROW()-1,FALSE))</f>
        <v>14.281398680000001</v>
      </c>
      <c r="U493">
        <f ca="1">IF(AND(ISNUMBER($U$1155),$B$677=1),$U$1155,HLOOKUP(INDIRECT(ADDRESS(2,COLUMN())),OFFSET($BN$2,0,0,ROW()-1,60),ROW()-1,FALSE))</f>
        <v>15.22900926</v>
      </c>
      <c r="V493">
        <f ca="1">IF(AND(ISNUMBER($V$1155),$B$677=1),$V$1155,HLOOKUP(INDIRECT(ADDRESS(2,COLUMN())),OFFSET($BN$2,0,0,ROW()-1,60),ROW()-1,FALSE))</f>
        <v>14.19133443</v>
      </c>
      <c r="W493">
        <f ca="1">IF(AND(ISNUMBER($W$1155),$B$677=1),$W$1155,HLOOKUP(INDIRECT(ADDRESS(2,COLUMN())),OFFSET($BN$2,0,0,ROW()-1,60),ROW()-1,FALSE))</f>
        <v>15.425398700000001</v>
      </c>
      <c r="X493">
        <f ca="1">IF(AND(ISNUMBER($X$1155),$B$677=1),$X$1155,HLOOKUP(INDIRECT(ADDRESS(2,COLUMN())),OFFSET($BN$2,0,0,ROW()-1,60),ROW()-1,FALSE))</f>
        <v>13.49701995</v>
      </c>
      <c r="Y493">
        <f ca="1">IF(AND(ISNUMBER($Y$1155),$B$677=1),$Y$1155,HLOOKUP(INDIRECT(ADDRESS(2,COLUMN())),OFFSET($BN$2,0,0,ROW()-1,60),ROW()-1,FALSE))</f>
        <v>14.588064579999999</v>
      </c>
      <c r="Z493">
        <f ca="1">IF(AND(ISNUMBER($Z$1155),$B$677=1),$Z$1155,HLOOKUP(INDIRECT(ADDRESS(2,COLUMN())),OFFSET($BN$2,0,0,ROW()-1,60),ROW()-1,FALSE))</f>
        <v>14.60325608</v>
      </c>
      <c r="AA493">
        <f ca="1">IF(AND(ISNUMBER($AA$1155),$B$677=1),$AA$1155,HLOOKUP(INDIRECT(ADDRESS(2,COLUMN())),OFFSET($BN$2,0,0,ROW()-1,60),ROW()-1,FALSE))</f>
        <v>16.667555629999999</v>
      </c>
      <c r="AB493">
        <f ca="1">IF(AND(ISNUMBER($AB$1155),$B$677=1),$AB$1155,HLOOKUP(INDIRECT(ADDRESS(2,COLUMN())),OFFSET($BN$2,0,0,ROW()-1,60),ROW()-1,FALSE))</f>
        <v>14.88367279</v>
      </c>
      <c r="AC493">
        <f ca="1">IF(AND(ISNUMBER($AC$1155),$B$677=1),$AC$1155,HLOOKUP(INDIRECT(ADDRESS(2,COLUMN())),OFFSET($BN$2,0,0,ROW()-1,60),ROW()-1,FALSE))</f>
        <v>14.620428199999999</v>
      </c>
      <c r="AD493">
        <f ca="1">IF(AND(ISNUMBER($AD$1155),$B$677=1),$AD$1155,HLOOKUP(INDIRECT(ADDRESS(2,COLUMN())),OFFSET($BN$2,0,0,ROW()-1,60),ROW()-1,FALSE))</f>
        <v>15.559380819999999</v>
      </c>
      <c r="AE493">
        <f ca="1">IF(AND(ISNUMBER($AE$1155),$B$677=1),$AE$1155,HLOOKUP(INDIRECT(ADDRESS(2,COLUMN())),OFFSET($BN$2,0,0,ROW()-1,60),ROW()-1,FALSE))</f>
        <v>13.286639879999999</v>
      </c>
      <c r="AF493">
        <f ca="1">IF(AND(ISNUMBER($AF$1155),$B$677=1),$AF$1155,HLOOKUP(INDIRECT(ADDRESS(2,COLUMN())),OFFSET($BN$2,0,0,ROW()-1,60),ROW()-1,FALSE))</f>
        <v>11.863610980000001</v>
      </c>
      <c r="AG493">
        <f ca="1">IF(AND(ISNUMBER($AG$1155),$B$677=1),$AG$1155,HLOOKUP(INDIRECT(ADDRESS(2,COLUMN())),OFFSET($BN$2,0,0,ROW()-1,60),ROW()-1,FALSE))</f>
        <v>9.5724523020000003</v>
      </c>
      <c r="AH493">
        <f ca="1">IF(AND(ISNUMBER($AH$1155),$B$677=1),$AH$1155,HLOOKUP(INDIRECT(ADDRESS(2,COLUMN())),OFFSET($BN$2,0,0,ROW()-1,60),ROW()-1,FALSE))</f>
        <v>9.9640357930000008</v>
      </c>
      <c r="AI493">
        <f ca="1">IF(AND(ISNUMBER($AI$1155),$B$677=1),$AI$1155,HLOOKUP(INDIRECT(ADDRESS(2,COLUMN())),OFFSET($BN$2,0,0,ROW()-1,60),ROW()-1,FALSE))</f>
        <v>8.6384379439999996</v>
      </c>
      <c r="AJ493">
        <f ca="1">IF(AND(ISNUMBER($AJ$1155),$B$677=1),$AJ$1155,HLOOKUP(INDIRECT(ADDRESS(2,COLUMN())),OFFSET($BN$2,0,0,ROW()-1,60),ROW()-1,FALSE))</f>
        <v>9.6461286140000002</v>
      </c>
      <c r="AK493">
        <f ca="1">IF(AND(ISNUMBER($AK$1155),$B$677=1),$AK$1155,HLOOKUP(INDIRECT(ADDRESS(2,COLUMN())),OFFSET($BN$2,0,0,ROW()-1,60),ROW()-1,FALSE))</f>
        <v>11.287960249999999</v>
      </c>
      <c r="AL493">
        <f ca="1">IF(AND(ISNUMBER($AL$1155),$B$677=1),$AL$1155,HLOOKUP(INDIRECT(ADDRESS(2,COLUMN())),OFFSET($BN$2,0,0,ROW()-1,60),ROW()-1,FALSE))</f>
        <v>14.18363476</v>
      </c>
      <c r="AM493">
        <f ca="1">IF(AND(ISNUMBER($AM$1155),$B$677=1),$AM$1155,HLOOKUP(INDIRECT(ADDRESS(2,COLUMN())),OFFSET($BN$2,0,0,ROW()-1,60),ROW()-1,FALSE))</f>
        <v>12.06530633</v>
      </c>
      <c r="AN493">
        <f ca="1">IF(AND(ISNUMBER($AN$1155),$B$677=1),$AN$1155,HLOOKUP(INDIRECT(ADDRESS(2,COLUMN())),OFFSET($BN$2,0,0,ROW()-1,60),ROW()-1,FALSE))</f>
        <v>11.229110289999999</v>
      </c>
      <c r="AO493">
        <f ca="1">IF(AND(ISNUMBER($AO$1155),$B$677=1),$AO$1155,HLOOKUP(INDIRECT(ADDRESS(2,COLUMN())),OFFSET($BN$2,0,0,ROW()-1,60),ROW()-1,FALSE))</f>
        <v>7.3809102879999999</v>
      </c>
      <c r="AP493">
        <f ca="1">IF(AND(ISNUMBER($AP$1155),$B$677=1),$AP$1155,HLOOKUP(INDIRECT(ADDRESS(2,COLUMN())),OFFSET($BN$2,0,0,ROW()-1,60),ROW()-1,FALSE))</f>
        <v>7.7579181930000001</v>
      </c>
      <c r="AQ493">
        <f ca="1">IF(AND(ISNUMBER($AQ$1155),$B$677=1),$AQ$1155,HLOOKUP(INDIRECT(ADDRESS(2,COLUMN())),OFFSET($BN$2,0,0,ROW()-1,60),ROW()-1,FALSE))</f>
        <v>8.7752689959999994</v>
      </c>
      <c r="AR493">
        <f ca="1">IF(AND(ISNUMBER($AR$1155),$B$677=1),$AR$1155,HLOOKUP(INDIRECT(ADDRESS(2,COLUMN())),OFFSET($BN$2,0,0,ROW()-1,60),ROW()-1,FALSE))</f>
        <v>13.04998464</v>
      </c>
      <c r="AS493">
        <f ca="1">IF(AND(ISNUMBER($AS$1155),$B$677=1),$AS$1155,HLOOKUP(INDIRECT(ADDRESS(2,COLUMN())),OFFSET($BN$2,0,0,ROW()-1,60),ROW()-1,FALSE))</f>
        <v>18.05461579</v>
      </c>
      <c r="AT493">
        <f ca="1">IF(AND(ISNUMBER($AT$1155),$B$677=1),$AT$1155,HLOOKUP(INDIRECT(ADDRESS(2,COLUMN())),OFFSET($BN$2,0,0,ROW()-1,60),ROW()-1,FALSE))</f>
        <v>15.48858207</v>
      </c>
      <c r="AU493">
        <f ca="1">IF(AND(ISNUMBER($AU$1155),$B$677=1),$AU$1155,HLOOKUP(INDIRECT(ADDRESS(2,COLUMN())),OFFSET($BN$2,0,0,ROW()-1,60),ROW()-1,FALSE))</f>
        <v>10.228410179999999</v>
      </c>
      <c r="AV493">
        <f ca="1">IF(AND(ISNUMBER($AV$1155),$B$677=1),$AV$1155,HLOOKUP(INDIRECT(ADDRESS(2,COLUMN())),OFFSET($BN$2,0,0,ROW()-1,60),ROW()-1,FALSE))</f>
        <v>9.8598035579999994</v>
      </c>
      <c r="AW493">
        <f ca="1">IF(AND(ISNUMBER($AW$1155),$B$677=1),$AW$1155,HLOOKUP(INDIRECT(ADDRESS(2,COLUMN())),OFFSET($BN$2,0,0,ROW()-1,60),ROW()-1,FALSE))</f>
        <v>9.3731076269999996</v>
      </c>
      <c r="AX493">
        <f ca="1">IF(AND(ISNUMBER($AX$1155),$B$677=1),$AX$1155,HLOOKUP(INDIRECT(ADDRESS(2,COLUMN())),OFFSET($BN$2,0,0,ROW()-1,60),ROW()-1,FALSE))</f>
        <v>11.85201097</v>
      </c>
      <c r="AY493">
        <f ca="1">IF(AND(ISNUMBER($AY$1155),$B$677=1),$AY$1155,HLOOKUP(INDIRECT(ADDRESS(2,COLUMN())),OFFSET($BN$2,0,0,ROW()-1,60),ROW()-1,FALSE))</f>
        <v>19.775883499999999</v>
      </c>
      <c r="AZ493">
        <f ca="1">IF(AND(ISNUMBER($AZ$1155),$B$677=1),$AZ$1155,HLOOKUP(INDIRECT(ADDRESS(2,COLUMN())),OFFSET($BN$2,0,0,ROW()-1,60),ROW()-1,FALSE))</f>
        <v>21.70902272</v>
      </c>
      <c r="BA493">
        <f ca="1">IF(AND(ISNUMBER($BA$1155),$B$677=1),$BA$1155,HLOOKUP(INDIRECT(ADDRESS(2,COLUMN())),OFFSET($BN$2,0,0,ROW()-1,60),ROW()-1,FALSE))</f>
        <v>26.18275014</v>
      </c>
      <c r="BB493">
        <f ca="1">IF(AND(ISNUMBER($BB$1155),$B$677=1),$BB$1155,HLOOKUP(INDIRECT(ADDRESS(2,COLUMN())),OFFSET($BN$2,0,0,ROW()-1,60),ROW()-1,FALSE))</f>
        <v>31.635506500000002</v>
      </c>
      <c r="BC493">
        <f ca="1">IF(AND(ISNUMBER($BC$1155),$B$677=1),$BC$1155,HLOOKUP(INDIRECT(ADDRESS(2,COLUMN())),OFFSET($BN$2,0,0,ROW()-1,60),ROW()-1,FALSE))</f>
        <v>29.056415600000001</v>
      </c>
      <c r="BD493">
        <f ca="1">IF(AND(ISNUMBER($BD$1155),$B$677=1),$BD$1155,HLOOKUP(INDIRECT(ADDRESS(2,COLUMN())),OFFSET($BN$2,0,0,ROW()-1,60),ROW()-1,FALSE))</f>
        <v>22.52055004</v>
      </c>
      <c r="BE493">
        <f ca="1">IF(AND(ISNUMBER($BE$1155),$B$677=1),$BE$1155,HLOOKUP(INDIRECT(ADDRESS(2,COLUMN())),OFFSET($BN$2,0,0,ROW()-1,60),ROW()-1,FALSE))</f>
        <v>20.421424850000001</v>
      </c>
      <c r="BF493">
        <f ca="1">IF(AND(ISNUMBER($BF$1155),$B$677=1),$BF$1155,HLOOKUP(INDIRECT(ADDRESS(2,COLUMN())),OFFSET($BN$2,0,0,ROW()-1,60),ROW()-1,FALSE))</f>
        <v>11.70397421</v>
      </c>
      <c r="BG493">
        <f ca="1">IF(AND(ISNUMBER($BG$1155),$B$677=1),$BG$1155,HLOOKUP(INDIRECT(ADDRESS(2,COLUMN())),OFFSET($BN$2,0,0,ROW()-1,60),ROW()-1,FALSE))</f>
        <v>8.4066125760000006</v>
      </c>
      <c r="BH493">
        <f ca="1">IF(AND(ISNUMBER($BH$1155),$B$677=1),$BH$1155,HLOOKUP(INDIRECT(ADDRESS(2,COLUMN())),OFFSET($BN$2,0,0,ROW()-1,60),ROW()-1,FALSE))</f>
        <v>7.8422955510000003</v>
      </c>
      <c r="BI493">
        <f ca="1">IF(AND(ISNUMBER($BI$1155),$B$677=1),$BI$1155,HLOOKUP(INDIRECT(ADDRESS(2,COLUMN())),OFFSET($BN$2,0,0,ROW()-1,60),ROW()-1,FALSE))</f>
        <v>11.53581086</v>
      </c>
      <c r="BJ493">
        <f ca="1">IF(AND(ISNUMBER($BJ$1155),$B$677=1),$BJ$1155,HLOOKUP(INDIRECT(ADDRESS(2,COLUMN())),OFFSET($BN$2,0,0,ROW()-1,60),ROW()-1,FALSE))</f>
        <v>19.22347989</v>
      </c>
      <c r="BK493">
        <f ca="1">IF(AND(ISNUMBER($BK$1155),$B$677=1),$BK$1155,HLOOKUP(INDIRECT(ADDRESS(2,COLUMN())),OFFSET($BN$2,0,0,ROW()-1,60),ROW()-1,FALSE))</f>
        <v>19.030413419999999</v>
      </c>
      <c r="BL493">
        <f ca="1">IF(AND(ISNUMBER($BL$1155),$B$677=1),$BL$1155,HLOOKUP(INDIRECT(ADDRESS(2,COLUMN())),OFFSET($BN$2,0,0,ROW()-1,60),ROW()-1,FALSE))</f>
        <v>30.744081390000002</v>
      </c>
      <c r="BM493">
        <f ca="1">IF(AND(ISNUMBER($BM$1155),$B$677=1),$BM$1155,HLOOKUP(INDIRECT(ADDRESS(2,COLUMN())),OFFSET($BN$2,0,0,ROW()-1,60),ROW()-1,FALSE))</f>
        <v>16.8073114</v>
      </c>
      <c r="BN493" t="str">
        <f>""</f>
        <v/>
      </c>
      <c r="BO493">
        <f>8.641514749</f>
        <v>8.6415147490000006</v>
      </c>
      <c r="BP493">
        <f>10.3672136</f>
        <v>10.367213599999999</v>
      </c>
      <c r="BQ493">
        <f>10.60597848</f>
        <v>10.605978479999999</v>
      </c>
      <c r="BR493">
        <f>12.12078757</f>
        <v>12.120787569999999</v>
      </c>
      <c r="BS493">
        <f>14.87461128</f>
        <v>14.87461128</v>
      </c>
      <c r="BT493">
        <f>15.89041214</f>
        <v>15.89041214</v>
      </c>
      <c r="BU493">
        <f>16.06999657</f>
        <v>16.069996570000001</v>
      </c>
      <c r="BV493">
        <f>15.90546408</f>
        <v>15.90546408</v>
      </c>
      <c r="BW493">
        <f>15.4116466</f>
        <v>15.411646599999999</v>
      </c>
      <c r="BX493">
        <f>14.94753945</f>
        <v>14.947539450000001</v>
      </c>
      <c r="BY493">
        <f>16.47804658</f>
        <v>16.478046580000001</v>
      </c>
      <c r="BZ493">
        <f>16.08935841</f>
        <v>16.089358409999999</v>
      </c>
      <c r="CA493">
        <f>13.71544442</f>
        <v>13.715444420000001</v>
      </c>
      <c r="CB493">
        <f>14.28139868</f>
        <v>14.281398680000001</v>
      </c>
      <c r="CC493">
        <f>15.22900926</f>
        <v>15.22900926</v>
      </c>
      <c r="CD493">
        <f>14.19133443</f>
        <v>14.19133443</v>
      </c>
      <c r="CE493">
        <f>15.4253987</f>
        <v>15.425398700000001</v>
      </c>
      <c r="CF493">
        <f>13.49701995</f>
        <v>13.49701995</v>
      </c>
      <c r="CG493">
        <f>14.58806458</f>
        <v>14.588064579999999</v>
      </c>
      <c r="CH493">
        <f>14.60325608</f>
        <v>14.60325608</v>
      </c>
      <c r="CI493">
        <f>16.66755563</f>
        <v>16.667555629999999</v>
      </c>
      <c r="CJ493">
        <f>14.88367279</f>
        <v>14.88367279</v>
      </c>
      <c r="CK493">
        <f>14.6204282</f>
        <v>14.620428199999999</v>
      </c>
      <c r="CL493">
        <f>15.55938082</f>
        <v>15.559380819999999</v>
      </c>
      <c r="CM493">
        <f>13.28663988</f>
        <v>13.286639879999999</v>
      </c>
      <c r="CN493">
        <f>11.86361098</f>
        <v>11.863610980000001</v>
      </c>
      <c r="CO493">
        <f>9.572452302</f>
        <v>9.5724523020000003</v>
      </c>
      <c r="CP493">
        <f>9.964035793</f>
        <v>9.9640357930000008</v>
      </c>
      <c r="CQ493">
        <f>8.638437944</f>
        <v>8.6384379439999996</v>
      </c>
      <c r="CR493">
        <f>9.646128614</f>
        <v>9.6461286140000002</v>
      </c>
      <c r="CS493">
        <f>11.28796025</f>
        <v>11.287960249999999</v>
      </c>
      <c r="CT493">
        <f>14.18363476</f>
        <v>14.18363476</v>
      </c>
      <c r="CU493">
        <f>12.06530633</f>
        <v>12.06530633</v>
      </c>
      <c r="CV493">
        <f>11.22911029</f>
        <v>11.229110289999999</v>
      </c>
      <c r="CW493">
        <f>7.380910288</f>
        <v>7.3809102879999999</v>
      </c>
      <c r="CX493">
        <f>7.757918193</f>
        <v>7.7579181930000001</v>
      </c>
      <c r="CY493">
        <f>8.775268996</f>
        <v>8.7752689959999994</v>
      </c>
      <c r="CZ493">
        <f>13.04998464</f>
        <v>13.04998464</v>
      </c>
      <c r="DA493">
        <f>18.05461579</f>
        <v>18.05461579</v>
      </c>
      <c r="DB493">
        <f>15.48858207</f>
        <v>15.48858207</v>
      </c>
      <c r="DC493">
        <f>10.22841018</f>
        <v>10.228410179999999</v>
      </c>
      <c r="DD493">
        <f>9.859803558</f>
        <v>9.8598035579999994</v>
      </c>
      <c r="DE493">
        <f>9.373107627</f>
        <v>9.3731076269999996</v>
      </c>
      <c r="DF493">
        <f>11.85201097</f>
        <v>11.85201097</v>
      </c>
      <c r="DG493">
        <f>19.7758835</f>
        <v>19.775883499999999</v>
      </c>
      <c r="DH493">
        <f>21.70902272</f>
        <v>21.70902272</v>
      </c>
      <c r="DI493">
        <f>26.18275014</f>
        <v>26.18275014</v>
      </c>
      <c r="DJ493">
        <f>31.6355065</f>
        <v>31.635506500000002</v>
      </c>
      <c r="DK493">
        <f>29.0564156</f>
        <v>29.056415600000001</v>
      </c>
      <c r="DL493">
        <f>22.52055004</f>
        <v>22.52055004</v>
      </c>
      <c r="DM493">
        <f>20.42142485</f>
        <v>20.421424850000001</v>
      </c>
      <c r="DN493">
        <f>11.70397421</f>
        <v>11.70397421</v>
      </c>
      <c r="DO493">
        <f>8.406612576</f>
        <v>8.4066125760000006</v>
      </c>
      <c r="DP493">
        <f>7.842295551</f>
        <v>7.8422955510000003</v>
      </c>
      <c r="DQ493">
        <f>11.53581086</f>
        <v>11.53581086</v>
      </c>
      <c r="DR493">
        <f>19.22347989</f>
        <v>19.22347989</v>
      </c>
      <c r="DS493">
        <f>19.03041342</f>
        <v>19.030413419999999</v>
      </c>
      <c r="DT493">
        <f>30.74408139</f>
        <v>30.744081390000002</v>
      </c>
      <c r="DU493">
        <f>16.8073114</f>
        <v>16.8073114</v>
      </c>
    </row>
    <row r="494" spans="1:125" x14ac:dyDescent="0.25">
      <c r="A494" t="str">
        <f>"    Toyota Motor Corp"</f>
        <v xml:space="preserve">    Toyota Motor Corp</v>
      </c>
      <c r="B494" t="str">
        <f>"7203 JP Equity"</f>
        <v>7203 JP Equity</v>
      </c>
      <c r="C494" t="str">
        <f t="shared" si="33"/>
        <v>RR476</v>
      </c>
      <c r="D494" t="str">
        <f t="shared" si="34"/>
        <v>EV_TO_T12M_NET_INCOME</v>
      </c>
      <c r="E494" t="str">
        <f t="shared" si="35"/>
        <v>Dynamic</v>
      </c>
      <c r="F494" t="str">
        <f ca="1">IF(AND(ISNUMBER($F$1156),$B$677=1),$F$1156,HLOOKUP(INDIRECT(ADDRESS(2,COLUMN())),OFFSET($BN$2,0,0,ROW()-1,60),ROW()-1,FALSE))</f>
        <v/>
      </c>
      <c r="G494">
        <f ca="1">IF(AND(ISNUMBER($G$1156),$B$677=1),$G$1156,HLOOKUP(INDIRECT(ADDRESS(2,COLUMN())),OFFSET($BN$2,0,0,ROW()-1,60),ROW()-1,FALSE))</f>
        <v>18.0596462</v>
      </c>
      <c r="H494">
        <f ca="1">IF(AND(ISNUMBER($H$1156),$B$677=1),$H$1156,HLOOKUP(INDIRECT(ADDRESS(2,COLUMN())),OFFSET($BN$2,0,0,ROW()-1,60),ROW()-1,FALSE))</f>
        <v>13.72236468</v>
      </c>
      <c r="I494">
        <f ca="1">IF(AND(ISNUMBER($I$1156),$B$677=1),$I$1156,HLOOKUP(INDIRECT(ADDRESS(2,COLUMN())),OFFSET($BN$2,0,0,ROW()-1,60),ROW()-1,FALSE))</f>
        <v>14.42392834</v>
      </c>
      <c r="J494">
        <f ca="1">IF(AND(ISNUMBER($J$1156),$B$677=1),$J$1156,HLOOKUP(INDIRECT(ADDRESS(2,COLUMN())),OFFSET($BN$2,0,0,ROW()-1,60),ROW()-1,FALSE))</f>
        <v>13.90459049</v>
      </c>
      <c r="K494">
        <f ca="1">IF(AND(ISNUMBER($K$1156),$B$677=1),$K$1156,HLOOKUP(INDIRECT(ADDRESS(2,COLUMN())),OFFSET($BN$2,0,0,ROW()-1,60),ROW()-1,FALSE))</f>
        <v>15.318387169999999</v>
      </c>
      <c r="L494">
        <f ca="1">IF(AND(ISNUMBER($L$1156),$B$677=1),$L$1156,HLOOKUP(INDIRECT(ADDRESS(2,COLUMN())),OFFSET($BN$2,0,0,ROW()-1,60),ROW()-1,FALSE))</f>
        <v>17.816912779999999</v>
      </c>
      <c r="M494">
        <f ca="1">IF(AND(ISNUMBER($M$1156),$B$677=1),$M$1156,HLOOKUP(INDIRECT(ADDRESS(2,COLUMN())),OFFSET($BN$2,0,0,ROW()-1,60),ROW()-1,FALSE))</f>
        <v>17.09073003</v>
      </c>
      <c r="N494">
        <f ca="1">IF(AND(ISNUMBER($N$1156),$B$677=1),$N$1156,HLOOKUP(INDIRECT(ADDRESS(2,COLUMN())),OFFSET($BN$2,0,0,ROW()-1,60),ROW()-1,FALSE))</f>
        <v>17.6975081</v>
      </c>
      <c r="O494">
        <f ca="1">IF(AND(ISNUMBER($O$1156),$B$677=1),$O$1156,HLOOKUP(INDIRECT(ADDRESS(2,COLUMN())),OFFSET($BN$2,0,0,ROW()-1,60),ROW()-1,FALSE))</f>
        <v>19.282227500000001</v>
      </c>
      <c r="P494">
        <f ca="1">IF(AND(ISNUMBER($P$1156),$B$677=1),$P$1156,HLOOKUP(INDIRECT(ADDRESS(2,COLUMN())),OFFSET($BN$2,0,0,ROW()-1,60),ROW()-1,FALSE))</f>
        <v>14.9991231</v>
      </c>
      <c r="Q494">
        <f ca="1">IF(AND(ISNUMBER($Q$1156),$B$677=1),$Q$1156,HLOOKUP(INDIRECT(ADDRESS(2,COLUMN())),OFFSET($BN$2,0,0,ROW()-1,60),ROW()-1,FALSE))</f>
        <v>12.46596602</v>
      </c>
      <c r="R494">
        <f ca="1">IF(AND(ISNUMBER($R$1156),$B$677=1),$R$1156,HLOOKUP(INDIRECT(ADDRESS(2,COLUMN())),OFFSET($BN$2,0,0,ROW()-1,60),ROW()-1,FALSE))</f>
        <v>13.93690672</v>
      </c>
      <c r="S494">
        <f ca="1">IF(AND(ISNUMBER($S$1156),$B$677=1),$S$1156,HLOOKUP(INDIRECT(ADDRESS(2,COLUMN())),OFFSET($BN$2,0,0,ROW()-1,60),ROW()-1,FALSE))</f>
        <v>16.603402490000001</v>
      </c>
      <c r="T494">
        <f ca="1">IF(AND(ISNUMBER($T$1156),$B$677=1),$T$1156,HLOOKUP(INDIRECT(ADDRESS(2,COLUMN())),OFFSET($BN$2,0,0,ROW()-1,60),ROW()-1,FALSE))</f>
        <v>16.029360329999999</v>
      </c>
      <c r="U494">
        <f ca="1">IF(AND(ISNUMBER($U$1156),$B$677=1),$U$1156,HLOOKUP(INDIRECT(ADDRESS(2,COLUMN())),OFFSET($BN$2,0,0,ROW()-1,60),ROW()-1,FALSE))</f>
        <v>18.569646989999999</v>
      </c>
      <c r="V494">
        <f ca="1">IF(AND(ISNUMBER($V$1156),$B$677=1),$V$1156,HLOOKUP(INDIRECT(ADDRESS(2,COLUMN())),OFFSET($BN$2,0,0,ROW()-1,60),ROW()-1,FALSE))</f>
        <v>18.865381159999998</v>
      </c>
      <c r="W494">
        <f ca="1">IF(AND(ISNUMBER($W$1156),$B$677=1),$W$1156,HLOOKUP(INDIRECT(ADDRESS(2,COLUMN())),OFFSET($BN$2,0,0,ROW()-1,60),ROW()-1,FALSE))</f>
        <v>19.416003100000001</v>
      </c>
      <c r="X494">
        <f ca="1">IF(AND(ISNUMBER($X$1156),$B$677=1),$X$1156,HLOOKUP(INDIRECT(ADDRESS(2,COLUMN())),OFFSET($BN$2,0,0,ROW()-1,60),ROW()-1,FALSE))</f>
        <v>17.608690330000002</v>
      </c>
      <c r="Y494">
        <f ca="1">IF(AND(ISNUMBER($Y$1156),$B$677=1),$Y$1156,HLOOKUP(INDIRECT(ADDRESS(2,COLUMN())),OFFSET($BN$2,0,0,ROW()-1,60),ROW()-1,FALSE))</f>
        <v>17.390775720000001</v>
      </c>
      <c r="Z494">
        <f ca="1">IF(AND(ISNUMBER($Z$1156),$B$677=1),$Z$1156,HLOOKUP(INDIRECT(ADDRESS(2,COLUMN())),OFFSET($BN$2,0,0,ROW()-1,60),ROW()-1,FALSE))</f>
        <v>17.155234910000001</v>
      </c>
      <c r="AA494">
        <f ca="1">IF(AND(ISNUMBER($AA$1156),$B$677=1),$AA$1156,HLOOKUP(INDIRECT(ADDRESS(2,COLUMN())),OFFSET($BN$2,0,0,ROW()-1,60),ROW()-1,FALSE))</f>
        <v>18.379969110000001</v>
      </c>
      <c r="AB494">
        <f ca="1">IF(AND(ISNUMBER($AB$1156),$B$677=1),$AB$1156,HLOOKUP(INDIRECT(ADDRESS(2,COLUMN())),OFFSET($BN$2,0,0,ROW()-1,60),ROW()-1,FALSE))</f>
        <v>22.508361699999998</v>
      </c>
      <c r="AC494">
        <f ca="1">IF(AND(ISNUMBER($AC$1156),$B$677=1),$AC$1156,HLOOKUP(INDIRECT(ADDRESS(2,COLUMN())),OFFSET($BN$2,0,0,ROW()-1,60),ROW()-1,FALSE))</f>
        <v>24.890391860000001</v>
      </c>
      <c r="AD494">
        <f ca="1">IF(AND(ISNUMBER($AD$1156),$B$677=1),$AD$1156,HLOOKUP(INDIRECT(ADDRESS(2,COLUMN())),OFFSET($BN$2,0,0,ROW()-1,60),ROW()-1,FALSE))</f>
        <v>27.936686340000001</v>
      </c>
      <c r="AE494">
        <f ca="1">IF(AND(ISNUMBER($AE$1156),$B$677=1),$AE$1156,HLOOKUP(INDIRECT(ADDRESS(2,COLUMN())),OFFSET($BN$2,0,0,ROW()-1,60),ROW()-1,FALSE))</f>
        <v>30.374666829999999</v>
      </c>
      <c r="AF494">
        <f ca="1">IF(AND(ISNUMBER($AF$1156),$B$677=1),$AF$1156,HLOOKUP(INDIRECT(ADDRESS(2,COLUMN())),OFFSET($BN$2,0,0,ROW()-1,60),ROW()-1,FALSE))</f>
        <v>25.077103189999999</v>
      </c>
      <c r="AG494">
        <f ca="1">IF(AND(ISNUMBER($AG$1156),$B$677=1),$AG$1156,HLOOKUP(INDIRECT(ADDRESS(2,COLUMN())),OFFSET($BN$2,0,0,ROW()-1,60),ROW()-1,FALSE))</f>
        <v>33.675620440000003</v>
      </c>
      <c r="AH494">
        <f ca="1">IF(AND(ISNUMBER($AH$1156),$B$677=1),$AH$1156,HLOOKUP(INDIRECT(ADDRESS(2,COLUMN())),OFFSET($BN$2,0,0,ROW()-1,60),ROW()-1,FALSE))</f>
        <v>73.65911045</v>
      </c>
      <c r="AI494">
        <f ca="1">IF(AND(ISNUMBER($AI$1156),$B$677=1),$AI$1156,HLOOKUP(INDIRECT(ADDRESS(2,COLUMN())),OFFSET($BN$2,0,0,ROW()-1,60),ROW()-1,FALSE))</f>
        <v>92.530211320000006</v>
      </c>
      <c r="AJ494">
        <f ca="1">IF(AND(ISNUMBER($AJ$1156),$B$677=1),$AJ$1156,HLOOKUP(INDIRECT(ADDRESS(2,COLUMN())),OFFSET($BN$2,0,0,ROW()-1,60),ROW()-1,FALSE))</f>
        <v>86.389360319999994</v>
      </c>
      <c r="AK494">
        <f ca="1">IF(AND(ISNUMBER($AK$1156),$B$677=1),$AK$1156,HLOOKUP(INDIRECT(ADDRESS(2,COLUMN())),OFFSET($BN$2,0,0,ROW()-1,60),ROW()-1,FALSE))</f>
        <v>88.347164989999996</v>
      </c>
      <c r="AL494">
        <f ca="1">IF(AND(ISNUMBER($AL$1156),$B$677=1),$AL$1156,HLOOKUP(INDIRECT(ADDRESS(2,COLUMN())),OFFSET($BN$2,0,0,ROW()-1,60),ROW()-1,FALSE))</f>
        <v>48.956675439999998</v>
      </c>
      <c r="AM494">
        <f ca="1">IF(AND(ISNUMBER($AM$1156),$B$677=1),$AM$1156,HLOOKUP(INDIRECT(ADDRESS(2,COLUMN())),OFFSET($BN$2,0,0,ROW()-1,60),ROW()-1,FALSE))</f>
        <v>38.774339769999997</v>
      </c>
      <c r="AN494">
        <f ca="1">IF(AND(ISNUMBER($AN$1156),$B$677=1),$AN$1156,HLOOKUP(INDIRECT(ADDRESS(2,COLUMN())),OFFSET($BN$2,0,0,ROW()-1,60),ROW()-1,FALSE))</f>
        <v>32.66266383</v>
      </c>
      <c r="AO494">
        <f ca="1">IF(AND(ISNUMBER($AO$1156),$B$677=1),$AO$1156,HLOOKUP(INDIRECT(ADDRESS(2,COLUMN())),OFFSET($BN$2,0,0,ROW()-1,60),ROW()-1,FALSE))</f>
        <v>38.62264313</v>
      </c>
      <c r="AP494">
        <f ca="1">IF(AND(ISNUMBER($AP$1156),$B$677=1),$AP$1156,HLOOKUP(INDIRECT(ADDRESS(2,COLUMN())),OFFSET($BN$2,0,0,ROW()-1,60),ROW()-1,FALSE))</f>
        <v>99.194065940000002</v>
      </c>
      <c r="AQ494" t="str">
        <f ca="1">IF(AND(ISNUMBER($AQ$1156),$B$677=1),$AQ$1156,HLOOKUP(INDIRECT(ADDRESS(2,COLUMN())),OFFSET($BN$2,0,0,ROW()-1,60),ROW()-1,FALSE))</f>
        <v/>
      </c>
      <c r="AR494" t="str">
        <f ca="1">IF(AND(ISNUMBER($AR$1156),$B$677=1),$AR$1156,HLOOKUP(INDIRECT(ADDRESS(2,COLUMN())),OFFSET($BN$2,0,0,ROW()-1,60),ROW()-1,FALSE))</f>
        <v/>
      </c>
      <c r="AS494" t="str">
        <f ca="1">IF(AND(ISNUMBER($AS$1156),$B$677=1),$AS$1156,HLOOKUP(INDIRECT(ADDRESS(2,COLUMN())),OFFSET($BN$2,0,0,ROW()-1,60),ROW()-1,FALSE))</f>
        <v/>
      </c>
      <c r="AT494" t="str">
        <f ca="1">IF(AND(ISNUMBER($AT$1156),$B$677=1),$AT$1156,HLOOKUP(INDIRECT(ADDRESS(2,COLUMN())),OFFSET($BN$2,0,0,ROW()-1,60),ROW()-1,FALSE))</f>
        <v/>
      </c>
      <c r="AU494">
        <f ca="1">IF(AND(ISNUMBER($AU$1156),$B$677=1),$AU$1156,HLOOKUP(INDIRECT(ADDRESS(2,COLUMN())),OFFSET($BN$2,0,0,ROW()-1,60),ROW()-1,FALSE))</f>
        <v>29.601459510000002</v>
      </c>
      <c r="AV494">
        <f ca="1">IF(AND(ISNUMBER($AV$1156),$B$677=1),$AV$1156,HLOOKUP(INDIRECT(ADDRESS(2,COLUMN())),OFFSET($BN$2,0,0,ROW()-1,60),ROW()-1,FALSE))</f>
        <v>19.385646170000001</v>
      </c>
      <c r="AW494">
        <f ca="1">IF(AND(ISNUMBER($AW$1156),$B$677=1),$AW$1156,HLOOKUP(INDIRECT(ADDRESS(2,COLUMN())),OFFSET($BN$2,0,0,ROW()-1,60),ROW()-1,FALSE))</f>
        <v>17.28237588</v>
      </c>
      <c r="AX494">
        <f ca="1">IF(AND(ISNUMBER($AX$1156),$B$677=1),$AX$1156,HLOOKUP(INDIRECT(ADDRESS(2,COLUMN())),OFFSET($BN$2,0,0,ROW()-1,60),ROW()-1,FALSE))</f>
        <v>15.259014669999999</v>
      </c>
      <c r="AY494">
        <f ca="1">IF(AND(ISNUMBER($AY$1156),$B$677=1),$AY$1156,HLOOKUP(INDIRECT(ADDRESS(2,COLUMN())),OFFSET($BN$2,0,0,ROW()-1,60),ROW()-1,FALSE))</f>
        <v>16.766985340000002</v>
      </c>
      <c r="AZ494">
        <f ca="1">IF(AND(ISNUMBER($AZ$1156),$B$677=1),$AZ$1156,HLOOKUP(INDIRECT(ADDRESS(2,COLUMN())),OFFSET($BN$2,0,0,ROW()-1,60),ROW()-1,FALSE))</f>
        <v>18.002458879999999</v>
      </c>
      <c r="BA494">
        <f ca="1">IF(AND(ISNUMBER($BA$1156),$B$677=1),$BA$1156,HLOOKUP(INDIRECT(ADDRESS(2,COLUMN())),OFFSET($BN$2,0,0,ROW()-1,60),ROW()-1,FALSE))</f>
        <v>20.409305159999999</v>
      </c>
      <c r="BB494">
        <f ca="1">IF(AND(ISNUMBER($BB$1156),$B$677=1),$BB$1156,HLOOKUP(INDIRECT(ADDRESS(2,COLUMN())),OFFSET($BN$2,0,0,ROW()-1,60),ROW()-1,FALSE))</f>
        <v>18.679292749999998</v>
      </c>
      <c r="BC494">
        <f ca="1">IF(AND(ISNUMBER($BC$1156),$B$677=1),$BC$1156,HLOOKUP(INDIRECT(ADDRESS(2,COLUMN())),OFFSET($BN$2,0,0,ROW()-1,60),ROW()-1,FALSE))</f>
        <v>22.39212856</v>
      </c>
      <c r="BD494">
        <f ca="1">IF(AND(ISNUMBER($BD$1156),$B$677=1),$BD$1156,HLOOKUP(INDIRECT(ADDRESS(2,COLUMN())),OFFSET($BN$2,0,0,ROW()-1,60),ROW()-1,FALSE))</f>
        <v>19.12871367</v>
      </c>
      <c r="BE494">
        <f ca="1">IF(AND(ISNUMBER($BE$1156),$B$677=1),$BE$1156,HLOOKUP(INDIRECT(ADDRESS(2,COLUMN())),OFFSET($BN$2,0,0,ROW()-1,60),ROW()-1,FALSE))</f>
        <v>19.304316029999999</v>
      </c>
      <c r="BF494">
        <f ca="1">IF(AND(ISNUMBER($BF$1156),$B$677=1),$BF$1156,HLOOKUP(INDIRECT(ADDRESS(2,COLUMN())),OFFSET($BN$2,0,0,ROW()-1,60),ROW()-1,FALSE))</f>
        <v>23.088874279999999</v>
      </c>
      <c r="BG494">
        <f ca="1">IF(AND(ISNUMBER($BG$1156),$B$677=1),$BG$1156,HLOOKUP(INDIRECT(ADDRESS(2,COLUMN())),OFFSET($BN$2,0,0,ROW()-1,60),ROW()-1,FALSE))</f>
        <v>22.71340867</v>
      </c>
      <c r="BH494">
        <f ca="1">IF(AND(ISNUMBER($BH$1156),$B$677=1),$BH$1156,HLOOKUP(INDIRECT(ADDRESS(2,COLUMN())),OFFSET($BN$2,0,0,ROW()-1,60),ROW()-1,FALSE))</f>
        <v>21.41156994</v>
      </c>
      <c r="BI494">
        <f ca="1">IF(AND(ISNUMBER($BI$1156),$B$677=1),$BI$1156,HLOOKUP(INDIRECT(ADDRESS(2,COLUMN())),OFFSET($BN$2,0,0,ROW()-1,60),ROW()-1,FALSE))</f>
        <v>17.74200677</v>
      </c>
      <c r="BJ494">
        <f ca="1">IF(AND(ISNUMBER($BJ$1156),$B$677=1),$BJ$1156,HLOOKUP(INDIRECT(ADDRESS(2,COLUMN())),OFFSET($BN$2,0,0,ROW()-1,60),ROW()-1,FALSE))</f>
        <v>17.07712205</v>
      </c>
      <c r="BK494">
        <f ca="1">IF(AND(ISNUMBER($BK$1156),$B$677=1),$BK$1156,HLOOKUP(INDIRECT(ADDRESS(2,COLUMN())),OFFSET($BN$2,0,0,ROW()-1,60),ROW()-1,FALSE))</f>
        <v>16.63010414</v>
      </c>
      <c r="BL494">
        <f ca="1">IF(AND(ISNUMBER($BL$1156),$B$677=1),$BL$1156,HLOOKUP(INDIRECT(ADDRESS(2,COLUMN())),OFFSET($BN$2,0,0,ROW()-1,60),ROW()-1,FALSE))</f>
        <v>16.674917489999999</v>
      </c>
      <c r="BM494">
        <f ca="1">IF(AND(ISNUMBER($BM$1156),$B$677=1),$BM$1156,HLOOKUP(INDIRECT(ADDRESS(2,COLUMN())),OFFSET($BN$2,0,0,ROW()-1,60),ROW()-1,FALSE))</f>
        <v>16.776645139999999</v>
      </c>
      <c r="BN494" t="str">
        <f>""</f>
        <v/>
      </c>
      <c r="BO494">
        <f>18.0596462</f>
        <v>18.0596462</v>
      </c>
      <c r="BP494">
        <f>13.72236468</f>
        <v>13.72236468</v>
      </c>
      <c r="BQ494">
        <f>14.42392834</f>
        <v>14.42392834</v>
      </c>
      <c r="BR494">
        <f>13.90459049</f>
        <v>13.90459049</v>
      </c>
      <c r="BS494">
        <f>15.31838717</f>
        <v>15.318387169999999</v>
      </c>
      <c r="BT494">
        <f>17.81691278</f>
        <v>17.816912779999999</v>
      </c>
      <c r="BU494">
        <f>17.09073003</f>
        <v>17.09073003</v>
      </c>
      <c r="BV494">
        <f>17.6975081</f>
        <v>17.6975081</v>
      </c>
      <c r="BW494">
        <f>19.2822275</f>
        <v>19.282227500000001</v>
      </c>
      <c r="BX494">
        <f>14.9991231</f>
        <v>14.9991231</v>
      </c>
      <c r="BY494">
        <f>12.46596602</f>
        <v>12.46596602</v>
      </c>
      <c r="BZ494">
        <f>13.93690672</f>
        <v>13.93690672</v>
      </c>
      <c r="CA494">
        <f>16.60340249</f>
        <v>16.603402490000001</v>
      </c>
      <c r="CB494">
        <f>16.02936033</f>
        <v>16.029360329999999</v>
      </c>
      <c r="CC494">
        <f>18.56964699</f>
        <v>18.569646989999999</v>
      </c>
      <c r="CD494">
        <f>18.86538116</f>
        <v>18.865381159999998</v>
      </c>
      <c r="CE494">
        <f>19.4160031</f>
        <v>19.416003100000001</v>
      </c>
      <c r="CF494">
        <f>17.60869033</f>
        <v>17.608690330000002</v>
      </c>
      <c r="CG494">
        <f>17.39077572</f>
        <v>17.390775720000001</v>
      </c>
      <c r="CH494">
        <f>17.15523491</f>
        <v>17.155234910000001</v>
      </c>
      <c r="CI494">
        <f>18.37996911</f>
        <v>18.379969110000001</v>
      </c>
      <c r="CJ494">
        <f>22.5083617</f>
        <v>22.508361699999998</v>
      </c>
      <c r="CK494">
        <f>24.89039186</f>
        <v>24.890391860000001</v>
      </c>
      <c r="CL494">
        <f>27.93668634</f>
        <v>27.936686340000001</v>
      </c>
      <c r="CM494">
        <f>30.37466683</f>
        <v>30.374666829999999</v>
      </c>
      <c r="CN494">
        <f>25.07710319</f>
        <v>25.077103189999999</v>
      </c>
      <c r="CO494">
        <f>33.67562044</f>
        <v>33.675620440000003</v>
      </c>
      <c r="CP494">
        <f>73.65911045</f>
        <v>73.65911045</v>
      </c>
      <c r="CQ494">
        <f>92.53021132</f>
        <v>92.530211320000006</v>
      </c>
      <c r="CR494">
        <f>86.38936032</f>
        <v>86.389360319999994</v>
      </c>
      <c r="CS494">
        <f>88.34716499</f>
        <v>88.347164989999996</v>
      </c>
      <c r="CT494">
        <f>48.95667544</f>
        <v>48.956675439999998</v>
      </c>
      <c r="CU494">
        <f>38.77433977</f>
        <v>38.774339769999997</v>
      </c>
      <c r="CV494">
        <f>32.66266383</f>
        <v>32.66266383</v>
      </c>
      <c r="CW494">
        <f>38.62264313</f>
        <v>38.62264313</v>
      </c>
      <c r="CX494">
        <f>99.19406594</f>
        <v>99.194065940000002</v>
      </c>
      <c r="CY494" t="str">
        <f>""</f>
        <v/>
      </c>
      <c r="CZ494" t="str">
        <f>""</f>
        <v/>
      </c>
      <c r="DA494" t="str">
        <f>""</f>
        <v/>
      </c>
      <c r="DB494" t="str">
        <f>""</f>
        <v/>
      </c>
      <c r="DC494">
        <f>29.60145951</f>
        <v>29.601459510000002</v>
      </c>
      <c r="DD494">
        <f>19.38564617</f>
        <v>19.385646170000001</v>
      </c>
      <c r="DE494">
        <f>17.28237588</f>
        <v>17.28237588</v>
      </c>
      <c r="DF494">
        <f>15.25901467</f>
        <v>15.259014669999999</v>
      </c>
      <c r="DG494">
        <f>16.76698534</f>
        <v>16.766985340000002</v>
      </c>
      <c r="DH494">
        <f>18.00245888</f>
        <v>18.002458879999999</v>
      </c>
      <c r="DI494">
        <f>20.40930516</f>
        <v>20.409305159999999</v>
      </c>
      <c r="DJ494">
        <f>18.67929275</f>
        <v>18.679292749999998</v>
      </c>
      <c r="DK494">
        <f>22.39212856</f>
        <v>22.39212856</v>
      </c>
      <c r="DL494">
        <f>19.12871367</f>
        <v>19.12871367</v>
      </c>
      <c r="DM494">
        <f>19.30431603</f>
        <v>19.304316029999999</v>
      </c>
      <c r="DN494">
        <f>23.08887428</f>
        <v>23.088874279999999</v>
      </c>
      <c r="DO494">
        <f>22.71340867</f>
        <v>22.71340867</v>
      </c>
      <c r="DP494">
        <f>21.41156994</f>
        <v>21.41156994</v>
      </c>
      <c r="DQ494">
        <f>17.74200677</f>
        <v>17.74200677</v>
      </c>
      <c r="DR494">
        <f>17.07712205</f>
        <v>17.07712205</v>
      </c>
      <c r="DS494">
        <f>16.63010414</f>
        <v>16.63010414</v>
      </c>
      <c r="DT494">
        <f>16.67491749</f>
        <v>16.674917489999999</v>
      </c>
      <c r="DU494">
        <f>16.77664514</f>
        <v>16.776645139999999</v>
      </c>
    </row>
    <row r="495" spans="1:125" x14ac:dyDescent="0.25">
      <c r="A495" t="str">
        <f>"    Volkswagen AG"</f>
        <v xml:space="preserve">    Volkswagen AG</v>
      </c>
      <c r="B495" t="str">
        <f>"VOW GR Equity"</f>
        <v>VOW GR Equity</v>
      </c>
      <c r="C495" t="str">
        <f t="shared" si="33"/>
        <v>RR476</v>
      </c>
      <c r="D495" t="str">
        <f t="shared" si="34"/>
        <v>EV_TO_T12M_NET_INCOME</v>
      </c>
      <c r="E495" t="str">
        <f t="shared" si="35"/>
        <v>Dynamic</v>
      </c>
      <c r="F495" t="str">
        <f ca="1">IF(AND(ISNUMBER($F$1157),$B$677=1),$F$1157,HLOOKUP(INDIRECT(ADDRESS(2,COLUMN())),OFFSET($BN$2,0,0,ROW()-1,60),ROW()-1,FALSE))</f>
        <v/>
      </c>
      <c r="G495" t="str">
        <f ca="1">IF(AND(ISNUMBER($G$1157),$B$677=1),$G$1157,HLOOKUP(INDIRECT(ADDRESS(2,COLUMN())),OFFSET($BN$2,0,0,ROW()-1,60),ROW()-1,FALSE))</f>
        <v/>
      </c>
      <c r="H495">
        <f ca="1">IF(AND(ISNUMBER($H$1157),$B$677=1),$H$1157,HLOOKUP(INDIRECT(ADDRESS(2,COLUMN())),OFFSET($BN$2,0,0,ROW()-1,60),ROW()-1,FALSE))</f>
        <v>4.7719679409999998</v>
      </c>
      <c r="I495">
        <f ca="1">IF(AND(ISNUMBER($I$1157),$B$677=1),$I$1157,HLOOKUP(INDIRECT(ADDRESS(2,COLUMN())),OFFSET($BN$2,0,0,ROW()-1,60),ROW()-1,FALSE))</f>
        <v>6.154754187</v>
      </c>
      <c r="J495">
        <f ca="1">IF(AND(ISNUMBER($J$1157),$B$677=1),$J$1157,HLOOKUP(INDIRECT(ADDRESS(2,COLUMN())),OFFSET($BN$2,0,0,ROW()-1,60),ROW()-1,FALSE))</f>
        <v>6.1373634590000004</v>
      </c>
      <c r="K495">
        <f ca="1">IF(AND(ISNUMBER($K$1157),$B$677=1),$K$1157,HLOOKUP(INDIRECT(ADDRESS(2,COLUMN())),OFFSET($BN$2,0,0,ROW()-1,60),ROW()-1,FALSE))</f>
        <v>5.7395742649999999</v>
      </c>
      <c r="L495">
        <f ca="1">IF(AND(ISNUMBER($L$1157),$B$677=1),$L$1157,HLOOKUP(INDIRECT(ADDRESS(2,COLUMN())),OFFSET($BN$2,0,0,ROW()-1,60),ROW()-1,FALSE))</f>
        <v>8.5327368349999997</v>
      </c>
      <c r="M495">
        <f ca="1">IF(AND(ISNUMBER($M$1157),$B$677=1),$M$1157,HLOOKUP(INDIRECT(ADDRESS(2,COLUMN())),OFFSET($BN$2,0,0,ROW()-1,60),ROW()-1,FALSE))</f>
        <v>7.2853433770000002</v>
      </c>
      <c r="N495">
        <f ca="1">IF(AND(ISNUMBER($N$1157),$B$677=1),$N$1157,HLOOKUP(INDIRECT(ADDRESS(2,COLUMN())),OFFSET($BN$2,0,0,ROW()-1,60),ROW()-1,FALSE))</f>
        <v>11.22262003</v>
      </c>
      <c r="O495">
        <f ca="1">IF(AND(ISNUMBER($O$1157),$B$677=1),$O$1157,HLOOKUP(INDIRECT(ADDRESS(2,COLUMN())),OFFSET($BN$2,0,0,ROW()-1,60),ROW()-1,FALSE))</f>
        <v>7.8951557550000002</v>
      </c>
      <c r="P495">
        <f ca="1">IF(AND(ISNUMBER($P$1157),$B$677=1),$P$1157,HLOOKUP(INDIRECT(ADDRESS(2,COLUMN())),OFFSET($BN$2,0,0,ROW()-1,60),ROW()-1,FALSE))</f>
        <v>80.022480590000001</v>
      </c>
      <c r="Q495" t="str">
        <f ca="1">IF(AND(ISNUMBER($Q$1157),$B$677=1),$Q$1157,HLOOKUP(INDIRECT(ADDRESS(2,COLUMN())),OFFSET($BN$2,0,0,ROW()-1,60),ROW()-1,FALSE))</f>
        <v/>
      </c>
      <c r="R495" t="str">
        <f ca="1">IF(AND(ISNUMBER($R$1157),$B$677=1),$R$1157,HLOOKUP(INDIRECT(ADDRESS(2,COLUMN())),OFFSET($BN$2,0,0,ROW()-1,60),ROW()-1,FALSE))</f>
        <v/>
      </c>
      <c r="S495" t="str">
        <f ca="1">IF(AND(ISNUMBER($S$1157),$B$677=1),$S$1157,HLOOKUP(INDIRECT(ADDRESS(2,COLUMN())),OFFSET($BN$2,0,0,ROW()-1,60),ROW()-1,FALSE))</f>
        <v/>
      </c>
      <c r="T495">
        <f ca="1">IF(AND(ISNUMBER($T$1157),$B$677=1),$T$1157,HLOOKUP(INDIRECT(ADDRESS(2,COLUMN())),OFFSET($BN$2,0,0,ROW()-1,60),ROW()-1,FALSE))</f>
        <v>5.1804667880000004</v>
      </c>
      <c r="U495">
        <f ca="1">IF(AND(ISNUMBER($U$1157),$B$677=1),$U$1157,HLOOKUP(INDIRECT(ADDRESS(2,COLUMN())),OFFSET($BN$2,0,0,ROW()-1,60),ROW()-1,FALSE))</f>
        <v>7.8994474390000002</v>
      </c>
      <c r="V495">
        <f ca="1">IF(AND(ISNUMBER($V$1157),$B$677=1),$V$1157,HLOOKUP(INDIRECT(ADDRESS(2,COLUMN())),OFFSET($BN$2,0,0,ROW()-1,60),ROW()-1,FALSE))</f>
        <v>8.9207742499999991</v>
      </c>
      <c r="W495">
        <f ca="1">IF(AND(ISNUMBER($W$1157),$B$677=1),$W$1157,HLOOKUP(INDIRECT(ADDRESS(2,COLUMN())),OFFSET($BN$2,0,0,ROW()-1,60),ROW()-1,FALSE))</f>
        <v>6.9039712839999998</v>
      </c>
      <c r="X495">
        <f ca="1">IF(AND(ISNUMBER($X$1157),$B$677=1),$X$1157,HLOOKUP(INDIRECT(ADDRESS(2,COLUMN())),OFFSET($BN$2,0,0,ROW()-1,60),ROW()-1,FALSE))</f>
        <v>6.178990078</v>
      </c>
      <c r="Y495">
        <f ca="1">IF(AND(ISNUMBER($Y$1157),$B$677=1),$Y$1157,HLOOKUP(INDIRECT(ADDRESS(2,COLUMN())),OFFSET($BN$2,0,0,ROW()-1,60),ROW()-1,FALSE))</f>
        <v>8.3478808989999997</v>
      </c>
      <c r="Z495">
        <f ca="1">IF(AND(ISNUMBER($Z$1157),$B$677=1),$Z$1157,HLOOKUP(INDIRECT(ADDRESS(2,COLUMN())),OFFSET($BN$2,0,0,ROW()-1,60),ROW()-1,FALSE))</f>
        <v>8.1202950010000006</v>
      </c>
      <c r="AA495">
        <f ca="1">IF(AND(ISNUMBER($AA$1157),$B$677=1),$AA$1157,HLOOKUP(INDIRECT(ADDRESS(2,COLUMN())),OFFSET($BN$2,0,0,ROW()-1,60),ROW()-1,FALSE))</f>
        <v>9.2759918670000001</v>
      </c>
      <c r="AB495">
        <f ca="1">IF(AND(ISNUMBER($AB$1157),$B$677=1),$AB$1157,HLOOKUP(INDIRECT(ADDRESS(2,COLUMN())),OFFSET($BN$2,0,0,ROW()-1,60),ROW()-1,FALSE))</f>
        <v>8.0453307249999995</v>
      </c>
      <c r="AC495">
        <f ca="1">IF(AND(ISNUMBER($AC$1157),$B$677=1),$AC$1157,HLOOKUP(INDIRECT(ADDRESS(2,COLUMN())),OFFSET($BN$2,0,0,ROW()-1,60),ROW()-1,FALSE))</f>
        <v>3.500797398</v>
      </c>
      <c r="AD495">
        <f ca="1">IF(AND(ISNUMBER($AD$1157),$B$677=1),$AD$1157,HLOOKUP(INDIRECT(ADDRESS(2,COLUMN())),OFFSET($BN$2,0,0,ROW()-1,60),ROW()-1,FALSE))</f>
        <v>3.088589018</v>
      </c>
      <c r="AE495">
        <f ca="1">IF(AND(ISNUMBER($AE$1157),$B$677=1),$AE$1157,HLOOKUP(INDIRECT(ADDRESS(2,COLUMN())),OFFSET($BN$2,0,0,ROW()-1,60),ROW()-1,FALSE))</f>
        <v>3.3619632500000001</v>
      </c>
      <c r="AF495">
        <f ca="1">IF(AND(ISNUMBER($AF$1157),$B$677=1),$AF$1157,HLOOKUP(INDIRECT(ADDRESS(2,COLUMN())),OFFSET($BN$2,0,0,ROW()-1,60),ROW()-1,FALSE))</f>
        <v>2.6181431050000001</v>
      </c>
      <c r="AG495">
        <f ca="1">IF(AND(ISNUMBER($AG$1157),$B$677=1),$AG$1157,HLOOKUP(INDIRECT(ADDRESS(2,COLUMN())),OFFSET($BN$2,0,0,ROW()-1,60),ROW()-1,FALSE))</f>
        <v>2.5596013040000001</v>
      </c>
      <c r="AH495">
        <f ca="1">IF(AND(ISNUMBER($AH$1157),$B$677=1),$AH$1157,HLOOKUP(INDIRECT(ADDRESS(2,COLUMN())),OFFSET($BN$2,0,0,ROW()-1,60),ROW()-1,FALSE))</f>
        <v>2.7947917960000002</v>
      </c>
      <c r="AI495">
        <f ca="1">IF(AND(ISNUMBER($AI$1157),$B$677=1),$AI$1157,HLOOKUP(INDIRECT(ADDRESS(2,COLUMN())),OFFSET($BN$2,0,0,ROW()-1,60),ROW()-1,FALSE))</f>
        <v>2.5322474169999998</v>
      </c>
      <c r="AJ495">
        <f ca="1">IF(AND(ISNUMBER($AJ$1157),$B$677=1),$AJ$1157,HLOOKUP(INDIRECT(ADDRESS(2,COLUMN())),OFFSET($BN$2,0,0,ROW()-1,60),ROW()-1,FALSE))</f>
        <v>1.653060931</v>
      </c>
      <c r="AK495">
        <f ca="1">IF(AND(ISNUMBER($AK$1157),$B$677=1),$AK$1157,HLOOKUP(INDIRECT(ADDRESS(2,COLUMN())),OFFSET($BN$2,0,0,ROW()-1,60),ROW()-1,FALSE))</f>
        <v>3.8636623870000002</v>
      </c>
      <c r="AL495">
        <f ca="1">IF(AND(ISNUMBER($AL$1157),$B$677=1),$AL$1157,HLOOKUP(INDIRECT(ADDRESS(2,COLUMN())),OFFSET($BN$2,0,0,ROW()-1,60),ROW()-1,FALSE))</f>
        <v>4.4082197719999998</v>
      </c>
      <c r="AM495">
        <f ca="1">IF(AND(ISNUMBER($AM$1157),$B$677=1),$AM$1157,HLOOKUP(INDIRECT(ADDRESS(2,COLUMN())),OFFSET($BN$2,0,0,ROW()-1,60),ROW()-1,FALSE))</f>
        <v>5.1279364650000003</v>
      </c>
      <c r="AN495">
        <f ca="1">IF(AND(ISNUMBER($AN$1157),$B$677=1),$AN$1157,HLOOKUP(INDIRECT(ADDRESS(2,COLUMN())),OFFSET($BN$2,0,0,ROW()-1,60),ROW()-1,FALSE))</f>
        <v>5.5978312829999997</v>
      </c>
      <c r="AO495">
        <f ca="1">IF(AND(ISNUMBER($AO$1157),$B$677=1),$AO$1157,HLOOKUP(INDIRECT(ADDRESS(2,COLUMN())),OFFSET($BN$2,0,0,ROW()-1,60),ROW()-1,FALSE))</f>
        <v>9.0807511220000006</v>
      </c>
      <c r="AP495">
        <f ca="1">IF(AND(ISNUMBER($AP$1157),$B$677=1),$AP$1157,HLOOKUP(INDIRECT(ADDRESS(2,COLUMN())),OFFSET($BN$2,0,0,ROW()-1,60),ROW()-1,FALSE))</f>
        <v>19.928783930000002</v>
      </c>
      <c r="AQ495">
        <f ca="1">IF(AND(ISNUMBER($AQ$1157),$B$677=1),$AQ$1157,HLOOKUP(INDIRECT(ADDRESS(2,COLUMN())),OFFSET($BN$2,0,0,ROW()-1,60),ROW()-1,FALSE))</f>
        <v>89.082564239999996</v>
      </c>
      <c r="AR495">
        <f ca="1">IF(AND(ISNUMBER($AR$1157),$B$677=1),$AR$1157,HLOOKUP(INDIRECT(ADDRESS(2,COLUMN())),OFFSET($BN$2,0,0,ROW()-1,60),ROW()-1,FALSE))</f>
        <v>57.382298059999997</v>
      </c>
      <c r="AS495">
        <f ca="1">IF(AND(ISNUMBER($AS$1157),$B$677=1),$AS$1157,HLOOKUP(INDIRECT(ADDRESS(2,COLUMN())),OFFSET($BN$2,0,0,ROW()-1,60),ROW()-1,FALSE))</f>
        <v>54.993407830000002</v>
      </c>
      <c r="AT495">
        <f ca="1">IF(AND(ISNUMBER($AT$1157),$B$677=1),$AT$1157,HLOOKUP(INDIRECT(ADDRESS(2,COLUMN())),OFFSET($BN$2,0,0,ROW()-1,60),ROW()-1,FALSE))</f>
        <v>36.122988200000002</v>
      </c>
      <c r="AU495">
        <f ca="1">IF(AND(ISNUMBER($AU$1157),$B$677=1),$AU$1157,HLOOKUP(INDIRECT(ADDRESS(2,COLUMN())),OFFSET($BN$2,0,0,ROW()-1,60),ROW()-1,FALSE))</f>
        <v>29.182448860000001</v>
      </c>
      <c r="AV495">
        <f ca="1">IF(AND(ISNUMBER($AV$1157),$B$677=1),$AV$1157,HLOOKUP(INDIRECT(ADDRESS(2,COLUMN())),OFFSET($BN$2,0,0,ROW()-1,60),ROW()-1,FALSE))</f>
        <v>33.25373373</v>
      </c>
      <c r="AW495">
        <f ca="1">IF(AND(ISNUMBER($AW$1157),$B$677=1),$AW$1157,HLOOKUP(INDIRECT(ADDRESS(2,COLUMN())),OFFSET($BN$2,0,0,ROW()-1,60),ROW()-1,FALSE))</f>
        <v>22.401624640000001</v>
      </c>
      <c r="AX495">
        <f ca="1">IF(AND(ISNUMBER($AX$1157),$B$677=1),$AX$1157,HLOOKUP(INDIRECT(ADDRESS(2,COLUMN())),OFFSET($BN$2,0,0,ROW()-1,60),ROW()-1,FALSE))</f>
        <v>24.585177170000001</v>
      </c>
      <c r="AY495">
        <f ca="1">IF(AND(ISNUMBER($AY$1157),$B$677=1),$AY$1157,HLOOKUP(INDIRECT(ADDRESS(2,COLUMN())),OFFSET($BN$2,0,0,ROW()-1,60),ROW()-1,FALSE))</f>
        <v>23.619813130000001</v>
      </c>
      <c r="AZ495">
        <f ca="1">IF(AND(ISNUMBER($AZ$1157),$B$677=1),$AZ$1157,HLOOKUP(INDIRECT(ADDRESS(2,COLUMN())),OFFSET($BN$2,0,0,ROW()-1,60),ROW()-1,FALSE))</f>
        <v>21.733369280000002</v>
      </c>
      <c r="BA495">
        <f ca="1">IF(AND(ISNUMBER($BA$1157),$B$677=1),$BA$1157,HLOOKUP(INDIRECT(ADDRESS(2,COLUMN())),OFFSET($BN$2,0,0,ROW()-1,60),ROW()-1,FALSE))</f>
        <v>23.988565430000001</v>
      </c>
      <c r="BB495">
        <f ca="1">IF(AND(ISNUMBER($BB$1157),$B$677=1),$BB$1157,HLOOKUP(INDIRECT(ADDRESS(2,COLUMN())),OFFSET($BN$2,0,0,ROW()-1,60),ROW()-1,FALSE))</f>
        <v>26.63439026</v>
      </c>
      <c r="BC495">
        <f ca="1">IF(AND(ISNUMBER($BC$1157),$B$677=1),$BC$1157,HLOOKUP(INDIRECT(ADDRESS(2,COLUMN())),OFFSET($BN$2,0,0,ROW()-1,60),ROW()-1,FALSE))</f>
        <v>27.285451160000001</v>
      </c>
      <c r="BD495">
        <f ca="1">IF(AND(ISNUMBER($BD$1157),$B$677=1),$BD$1157,HLOOKUP(INDIRECT(ADDRESS(2,COLUMN())),OFFSET($BN$2,0,0,ROW()-1,60),ROW()-1,FALSE))</f>
        <v>39.98485823</v>
      </c>
      <c r="BE495">
        <f ca="1">IF(AND(ISNUMBER($BE$1157),$B$677=1),$BE$1157,HLOOKUP(INDIRECT(ADDRESS(2,COLUMN())),OFFSET($BN$2,0,0,ROW()-1,60),ROW()-1,FALSE))</f>
        <v>32.951632840000002</v>
      </c>
      <c r="BF495">
        <f ca="1">IF(AND(ISNUMBER($BF$1157),$B$677=1),$BF$1157,HLOOKUP(INDIRECT(ADDRESS(2,COLUMN())),OFFSET($BN$2,0,0,ROW()-1,60),ROW()-1,FALSE))</f>
        <v>49.88150168</v>
      </c>
      <c r="BG495">
        <f ca="1">IF(AND(ISNUMBER($BG$1157),$B$677=1),$BG$1157,HLOOKUP(INDIRECT(ADDRESS(2,COLUMN())),OFFSET($BN$2,0,0,ROW()-1,60),ROW()-1,FALSE))</f>
        <v>60.512508740000001</v>
      </c>
      <c r="BH495">
        <f ca="1">IF(AND(ISNUMBER($BH$1157),$B$677=1),$BH$1157,HLOOKUP(INDIRECT(ADDRESS(2,COLUMN())),OFFSET($BN$2,0,0,ROW()-1,60),ROW()-1,FALSE))</f>
        <v>75.560006079999994</v>
      </c>
      <c r="BI495">
        <f ca="1">IF(AND(ISNUMBER($BI$1157),$B$677=1),$BI$1157,HLOOKUP(INDIRECT(ADDRESS(2,COLUMN())),OFFSET($BN$2,0,0,ROW()-1,60),ROW()-1,FALSE))</f>
        <v>91.737406710000002</v>
      </c>
      <c r="BJ495">
        <f ca="1">IF(AND(ISNUMBER($BJ$1157),$B$677=1),$BJ$1157,HLOOKUP(INDIRECT(ADDRESS(2,COLUMN())),OFFSET($BN$2,0,0,ROW()-1,60),ROW()-1,FALSE))</f>
        <v>85.926815550000001</v>
      </c>
      <c r="BK495">
        <f ca="1">IF(AND(ISNUMBER($BK$1157),$B$677=1),$BK$1157,HLOOKUP(INDIRECT(ADDRESS(2,COLUMN())),OFFSET($BN$2,0,0,ROW()-1,60),ROW()-1,FALSE))</f>
        <v>88.618003810000005</v>
      </c>
      <c r="BL495" t="str">
        <f ca="1">IF(AND(ISNUMBER($BL$1157),$B$677=1),$BL$1157,HLOOKUP(INDIRECT(ADDRESS(2,COLUMN())),OFFSET($BN$2,0,0,ROW()-1,60),ROW()-1,FALSE))</f>
        <v/>
      </c>
      <c r="BM495" t="str">
        <f ca="1">IF(AND(ISNUMBER($BM$1157),$B$677=1),$BM$1157,HLOOKUP(INDIRECT(ADDRESS(2,COLUMN())),OFFSET($BN$2,0,0,ROW()-1,60),ROW()-1,FALSE))</f>
        <v/>
      </c>
      <c r="BN495" t="str">
        <f>""</f>
        <v/>
      </c>
      <c r="BO495" t="str">
        <f>""</f>
        <v/>
      </c>
      <c r="BP495">
        <f>4.771967941</f>
        <v>4.7719679409999998</v>
      </c>
      <c r="BQ495">
        <f>6.154754187</f>
        <v>6.154754187</v>
      </c>
      <c r="BR495">
        <f>6.137363459</f>
        <v>6.1373634590000004</v>
      </c>
      <c r="BS495">
        <f>5.739574265</f>
        <v>5.7395742649999999</v>
      </c>
      <c r="BT495">
        <f>8.532736835</f>
        <v>8.5327368349999997</v>
      </c>
      <c r="BU495">
        <f>7.285343377</f>
        <v>7.2853433770000002</v>
      </c>
      <c r="BV495">
        <f>11.22262003</f>
        <v>11.22262003</v>
      </c>
      <c r="BW495">
        <f>7.895155755</f>
        <v>7.8951557550000002</v>
      </c>
      <c r="BX495">
        <f>80.02248059</f>
        <v>80.022480590000001</v>
      </c>
      <c r="BY495" t="str">
        <f>""</f>
        <v/>
      </c>
      <c r="BZ495" t="str">
        <f>""</f>
        <v/>
      </c>
      <c r="CA495" t="str">
        <f>""</f>
        <v/>
      </c>
      <c r="CB495">
        <f>5.180466788</f>
        <v>5.1804667880000004</v>
      </c>
      <c r="CC495">
        <f>7.899447439</f>
        <v>7.8994474390000002</v>
      </c>
      <c r="CD495">
        <f>8.92077425</f>
        <v>8.9207742499999991</v>
      </c>
      <c r="CE495">
        <f>6.903971284</f>
        <v>6.9039712839999998</v>
      </c>
      <c r="CF495">
        <f>6.178990078</f>
        <v>6.178990078</v>
      </c>
      <c r="CG495">
        <f>8.347880899</f>
        <v>8.3478808989999997</v>
      </c>
      <c r="CH495">
        <f>8.120295001</f>
        <v>8.1202950010000006</v>
      </c>
      <c r="CI495">
        <f>9.275991867</f>
        <v>9.2759918670000001</v>
      </c>
      <c r="CJ495">
        <f>8.045330725</f>
        <v>8.0453307249999995</v>
      </c>
      <c r="CK495">
        <f>3.500797398</f>
        <v>3.500797398</v>
      </c>
      <c r="CL495">
        <f>3.088589018</f>
        <v>3.088589018</v>
      </c>
      <c r="CM495">
        <f>3.36196325</f>
        <v>3.3619632500000001</v>
      </c>
      <c r="CN495">
        <f>2.618143105</f>
        <v>2.6181431050000001</v>
      </c>
      <c r="CO495">
        <f>2.559601304</f>
        <v>2.5596013040000001</v>
      </c>
      <c r="CP495">
        <f>2.794791796</f>
        <v>2.7947917960000002</v>
      </c>
      <c r="CQ495">
        <f>2.532247417</f>
        <v>2.5322474169999998</v>
      </c>
      <c r="CR495">
        <f>1.653060931</f>
        <v>1.653060931</v>
      </c>
      <c r="CS495">
        <f>3.863662387</f>
        <v>3.8636623870000002</v>
      </c>
      <c r="CT495">
        <f>4.408219772</f>
        <v>4.4082197719999998</v>
      </c>
      <c r="CU495">
        <f>5.127936465</f>
        <v>5.1279364650000003</v>
      </c>
      <c r="CV495">
        <f>5.597831283</f>
        <v>5.5978312829999997</v>
      </c>
      <c r="CW495">
        <f>9.080751122</f>
        <v>9.0807511220000006</v>
      </c>
      <c r="CX495">
        <f>19.92878393</f>
        <v>19.928783930000002</v>
      </c>
      <c r="CY495">
        <f>89.08256424</f>
        <v>89.082564239999996</v>
      </c>
      <c r="CZ495">
        <f>57.38229806</f>
        <v>57.382298059999997</v>
      </c>
      <c r="DA495">
        <f>54.99340783</f>
        <v>54.993407830000002</v>
      </c>
      <c r="DB495">
        <f>36.1229882</f>
        <v>36.122988200000002</v>
      </c>
      <c r="DC495">
        <f>29.18244886</f>
        <v>29.182448860000001</v>
      </c>
      <c r="DD495">
        <f>33.25373373</f>
        <v>33.25373373</v>
      </c>
      <c r="DE495">
        <f>22.40162464</f>
        <v>22.401624640000001</v>
      </c>
      <c r="DF495">
        <f>24.58517717</f>
        <v>24.585177170000001</v>
      </c>
      <c r="DG495">
        <f>23.61981313</f>
        <v>23.619813130000001</v>
      </c>
      <c r="DH495">
        <f>21.73336928</f>
        <v>21.733369280000002</v>
      </c>
      <c r="DI495">
        <f>23.98856543</f>
        <v>23.988565430000001</v>
      </c>
      <c r="DJ495">
        <f>26.63439026</f>
        <v>26.63439026</v>
      </c>
      <c r="DK495">
        <f>27.28545116</f>
        <v>27.285451160000001</v>
      </c>
      <c r="DL495">
        <f>39.98485823</f>
        <v>39.98485823</v>
      </c>
      <c r="DM495">
        <f>32.95163284</f>
        <v>32.951632840000002</v>
      </c>
      <c r="DN495">
        <f>49.88150168</f>
        <v>49.88150168</v>
      </c>
      <c r="DO495">
        <f>60.51250874</f>
        <v>60.512508740000001</v>
      </c>
      <c r="DP495">
        <f>75.56000608</f>
        <v>75.560006079999994</v>
      </c>
      <c r="DQ495">
        <f>91.73740671</f>
        <v>91.737406710000002</v>
      </c>
      <c r="DR495">
        <f>85.92681555</f>
        <v>85.926815550000001</v>
      </c>
      <c r="DS495">
        <f>88.61800381</f>
        <v>88.618003810000005</v>
      </c>
      <c r="DT495" t="str">
        <f>""</f>
        <v/>
      </c>
      <c r="DU495" t="str">
        <f>""</f>
        <v/>
      </c>
    </row>
    <row r="496" spans="1:125" x14ac:dyDescent="0.25">
      <c r="A496" t="str">
        <f>"    Yulon Motor Co Ltd"</f>
        <v xml:space="preserve">    Yulon Motor Co Ltd</v>
      </c>
      <c r="B496" t="str">
        <f>"2201 TT Equity"</f>
        <v>2201 TT Equity</v>
      </c>
      <c r="C496" t="str">
        <f t="shared" si="33"/>
        <v>RR476</v>
      </c>
      <c r="D496" t="str">
        <f t="shared" si="34"/>
        <v>EV_TO_T12M_NET_INCOME</v>
      </c>
      <c r="E496" t="str">
        <f t="shared" si="35"/>
        <v>Dynamic</v>
      </c>
      <c r="F496" t="str">
        <f ca="1">IF(AND(ISNUMBER($F$1158),$B$677=1),$F$1158,HLOOKUP(INDIRECT(ADDRESS(2,COLUMN())),OFFSET($BN$2,0,0,ROW()-1,60),ROW()-1,FALSE))</f>
        <v/>
      </c>
      <c r="G496" t="str">
        <f ca="1">IF(AND(ISNUMBER($G$1158),$B$677=1),$G$1158,HLOOKUP(INDIRECT(ADDRESS(2,COLUMN())),OFFSET($BN$2,0,0,ROW()-1,60),ROW()-1,FALSE))</f>
        <v/>
      </c>
      <c r="H496">
        <f ca="1">IF(AND(ISNUMBER($H$1158),$B$677=1),$H$1158,HLOOKUP(INDIRECT(ADDRESS(2,COLUMN())),OFFSET($BN$2,0,0,ROW()-1,60),ROW()-1,FALSE))</f>
        <v>94.539913240000004</v>
      </c>
      <c r="I496">
        <f ca="1">IF(AND(ISNUMBER($I$1158),$B$677=1),$I$1158,HLOOKUP(INDIRECT(ADDRESS(2,COLUMN())),OFFSET($BN$2,0,0,ROW()-1,60),ROW()-1,FALSE))</f>
        <v>62.002036480000001</v>
      </c>
      <c r="J496">
        <f ca="1">IF(AND(ISNUMBER($J$1158),$B$677=1),$J$1158,HLOOKUP(INDIRECT(ADDRESS(2,COLUMN())),OFFSET($BN$2,0,0,ROW()-1,60),ROW()-1,FALSE))</f>
        <v>53.482835219999998</v>
      </c>
      <c r="K496">
        <f ca="1">IF(AND(ISNUMBER($K$1158),$B$677=1),$K$1158,HLOOKUP(INDIRECT(ADDRESS(2,COLUMN())),OFFSET($BN$2,0,0,ROW()-1,60),ROW()-1,FALSE))</f>
        <v>63.865724749999998</v>
      </c>
      <c r="L496">
        <f ca="1">IF(AND(ISNUMBER($L$1158),$B$677=1),$L$1158,HLOOKUP(INDIRECT(ADDRESS(2,COLUMN())),OFFSET($BN$2,0,0,ROW()-1,60),ROW()-1,FALSE))</f>
        <v>89.540763729999995</v>
      </c>
      <c r="M496">
        <f ca="1">IF(AND(ISNUMBER($M$1158),$B$677=1),$M$1158,HLOOKUP(INDIRECT(ADDRESS(2,COLUMN())),OFFSET($BN$2,0,0,ROW()-1,60),ROW()-1,FALSE))</f>
        <v>119.6506471</v>
      </c>
      <c r="N496">
        <f ca="1">IF(AND(ISNUMBER($N$1158),$B$677=1),$N$1158,HLOOKUP(INDIRECT(ADDRESS(2,COLUMN())),OFFSET($BN$2,0,0,ROW()-1,60),ROW()-1,FALSE))</f>
        <v>88.875956959999996</v>
      </c>
      <c r="O496">
        <f ca="1">IF(AND(ISNUMBER($O$1158),$B$677=1),$O$1158,HLOOKUP(INDIRECT(ADDRESS(2,COLUMN())),OFFSET($BN$2,0,0,ROW()-1,60),ROW()-1,FALSE))</f>
        <v>94.295249799999993</v>
      </c>
      <c r="P496">
        <f ca="1">IF(AND(ISNUMBER($P$1158),$B$677=1),$P$1158,HLOOKUP(INDIRECT(ADDRESS(2,COLUMN())),OFFSET($BN$2,0,0,ROW()-1,60),ROW()-1,FALSE))</f>
        <v>41.33438597</v>
      </c>
      <c r="Q496">
        <f ca="1">IF(AND(ISNUMBER($Q$1158),$B$677=1),$Q$1158,HLOOKUP(INDIRECT(ADDRESS(2,COLUMN())),OFFSET($BN$2,0,0,ROW()-1,60),ROW()-1,FALSE))</f>
        <v>36.806051670000002</v>
      </c>
      <c r="R496">
        <f ca="1">IF(AND(ISNUMBER($R$1158),$B$677=1),$R$1158,HLOOKUP(INDIRECT(ADDRESS(2,COLUMN())),OFFSET($BN$2,0,0,ROW()-1,60),ROW()-1,FALSE))</f>
        <v>37.937922729999997</v>
      </c>
      <c r="S496">
        <f ca="1">IF(AND(ISNUMBER($S$1158),$B$677=1),$S$1158,HLOOKUP(INDIRECT(ADDRESS(2,COLUMN())),OFFSET($BN$2,0,0,ROW()-1,60),ROW()-1,FALSE))</f>
        <v>35.217729779999999</v>
      </c>
      <c r="T496">
        <f ca="1">IF(AND(ISNUMBER($T$1158),$B$677=1),$T$1158,HLOOKUP(INDIRECT(ADDRESS(2,COLUMN())),OFFSET($BN$2,0,0,ROW()-1,60),ROW()-1,FALSE))</f>
        <v>57.933632950000003</v>
      </c>
      <c r="U496">
        <f ca="1">IF(AND(ISNUMBER($U$1158),$B$677=1),$U$1158,HLOOKUP(INDIRECT(ADDRESS(2,COLUMN())),OFFSET($BN$2,0,0,ROW()-1,60),ROW()-1,FALSE))</f>
        <v>53.336240740000001</v>
      </c>
      <c r="V496">
        <f ca="1">IF(AND(ISNUMBER($V$1158),$B$677=1),$V$1158,HLOOKUP(INDIRECT(ADDRESS(2,COLUMN())),OFFSET($BN$2,0,0,ROW()-1,60),ROW()-1,FALSE))</f>
        <v>58.188923930000001</v>
      </c>
      <c r="W496">
        <f ca="1">IF(AND(ISNUMBER($W$1158),$B$677=1),$W$1158,HLOOKUP(INDIRECT(ADDRESS(2,COLUMN())),OFFSET($BN$2,0,0,ROW()-1,60),ROW()-1,FALSE))</f>
        <v>62.553307490000002</v>
      </c>
      <c r="X496">
        <f ca="1">IF(AND(ISNUMBER($X$1158),$B$677=1),$X$1158,HLOOKUP(INDIRECT(ADDRESS(2,COLUMN())),OFFSET($BN$2,0,0,ROW()-1,60),ROW()-1,FALSE))</f>
        <v>58.531207999999999</v>
      </c>
      <c r="Y496">
        <f ca="1">IF(AND(ISNUMBER($Y$1158),$B$677=1),$Y$1158,HLOOKUP(INDIRECT(ADDRESS(2,COLUMN())),OFFSET($BN$2,0,0,ROW()-1,60),ROW()-1,FALSE))</f>
        <v>77.972615129999994</v>
      </c>
      <c r="Z496">
        <f ca="1">IF(AND(ISNUMBER($Z$1158),$B$677=1),$Z$1158,HLOOKUP(INDIRECT(ADDRESS(2,COLUMN())),OFFSET($BN$2,0,0,ROW()-1,60),ROW()-1,FALSE))</f>
        <v>65.223588550000002</v>
      </c>
      <c r="AA496">
        <f ca="1">IF(AND(ISNUMBER($AA$1158),$B$677=1),$AA$1158,HLOOKUP(INDIRECT(ADDRESS(2,COLUMN())),OFFSET($BN$2,0,0,ROW()-1,60),ROW()-1,FALSE))</f>
        <v>58.426290350000002</v>
      </c>
      <c r="AB496">
        <f ca="1">IF(AND(ISNUMBER($AB$1158),$B$677=1),$AB$1158,HLOOKUP(INDIRECT(ADDRESS(2,COLUMN())),OFFSET($BN$2,0,0,ROW()-1,60),ROW()-1,FALSE))</f>
        <v>42.336191130000003</v>
      </c>
      <c r="AC496">
        <f ca="1">IF(AND(ISNUMBER($AC$1158),$B$677=1),$AC$1158,HLOOKUP(INDIRECT(ADDRESS(2,COLUMN())),OFFSET($BN$2,0,0,ROW()-1,60),ROW()-1,FALSE))</f>
        <v>43.160371339999998</v>
      </c>
      <c r="AD496">
        <f ca="1">IF(AND(ISNUMBER($AD$1158),$B$677=1),$AD$1158,HLOOKUP(INDIRECT(ADDRESS(2,COLUMN())),OFFSET($BN$2,0,0,ROW()-1,60),ROW()-1,FALSE))</f>
        <v>44.931051709999998</v>
      </c>
      <c r="AE496">
        <f ca="1">IF(AND(ISNUMBER($AE$1158),$B$677=1),$AE$1158,HLOOKUP(INDIRECT(ADDRESS(2,COLUMN())),OFFSET($BN$2,0,0,ROW()-1,60),ROW()-1,FALSE))</f>
        <v>45.778710390000001</v>
      </c>
      <c r="AF496">
        <f ca="1">IF(AND(ISNUMBER($AF$1158),$B$677=1),$AF$1158,HLOOKUP(INDIRECT(ADDRESS(2,COLUMN())),OFFSET($BN$2,0,0,ROW()-1,60),ROW()-1,FALSE))</f>
        <v>44.578660859999999</v>
      </c>
      <c r="AG496">
        <f ca="1">IF(AND(ISNUMBER($AG$1158),$B$677=1),$AG$1158,HLOOKUP(INDIRECT(ADDRESS(2,COLUMN())),OFFSET($BN$2,0,0,ROW()-1,60),ROW()-1,FALSE))</f>
        <v>38.510216990000004</v>
      </c>
      <c r="AH496">
        <f ca="1">IF(AND(ISNUMBER($AH$1158),$B$677=1),$AH$1158,HLOOKUP(INDIRECT(ADDRESS(2,COLUMN())),OFFSET($BN$2,0,0,ROW()-1,60),ROW()-1,FALSE))</f>
        <v>39.835560690000001</v>
      </c>
      <c r="AI496">
        <f ca="1">IF(AND(ISNUMBER($AI$1158),$B$677=1),$AI$1158,HLOOKUP(INDIRECT(ADDRESS(2,COLUMN())),OFFSET($BN$2,0,0,ROW()-1,60),ROW()-1,FALSE))</f>
        <v>33.751161529999997</v>
      </c>
      <c r="AJ496">
        <f ca="1">IF(AND(ISNUMBER($AJ$1158),$B$677=1),$AJ$1158,HLOOKUP(INDIRECT(ADDRESS(2,COLUMN())),OFFSET($BN$2,0,0,ROW()-1,60),ROW()-1,FALSE))</f>
        <v>32.709877120000002</v>
      </c>
      <c r="AK496">
        <f ca="1">IF(AND(ISNUMBER($AK$1158),$B$677=1),$AK$1158,HLOOKUP(INDIRECT(ADDRESS(2,COLUMN())),OFFSET($BN$2,0,0,ROW()-1,60),ROW()-1,FALSE))</f>
        <v>35.346596060000003</v>
      </c>
      <c r="AL496">
        <f ca="1">IF(AND(ISNUMBER($AL$1158),$B$677=1),$AL$1158,HLOOKUP(INDIRECT(ADDRESS(2,COLUMN())),OFFSET($BN$2,0,0,ROW()-1,60),ROW()-1,FALSE))</f>
        <v>28.923619720000001</v>
      </c>
      <c r="AM496">
        <f ca="1">IF(AND(ISNUMBER($AM$1158),$B$677=1),$AM$1158,HLOOKUP(INDIRECT(ADDRESS(2,COLUMN())),OFFSET($BN$2,0,0,ROW()-1,60),ROW()-1,FALSE))</f>
        <v>30.26741663</v>
      </c>
      <c r="AN496">
        <f ca="1">IF(AND(ISNUMBER($AN$1158),$B$677=1),$AN$1158,HLOOKUP(INDIRECT(ADDRESS(2,COLUMN())),OFFSET($BN$2,0,0,ROW()-1,60),ROW()-1,FALSE))</f>
        <v>38.458479820000001</v>
      </c>
      <c r="AO496">
        <f ca="1">IF(AND(ISNUMBER($AO$1158),$B$677=1),$AO$1158,HLOOKUP(INDIRECT(ADDRESS(2,COLUMN())),OFFSET($BN$2,0,0,ROW()-1,60),ROW()-1,FALSE))</f>
        <v>25.986970450000001</v>
      </c>
      <c r="AP496">
        <f ca="1">IF(AND(ISNUMBER($AP$1158),$B$677=1),$AP$1158,HLOOKUP(INDIRECT(ADDRESS(2,COLUMN())),OFFSET($BN$2,0,0,ROW()-1,60),ROW()-1,FALSE))</f>
        <v>32.071396759999999</v>
      </c>
      <c r="AQ496">
        <f ca="1">IF(AND(ISNUMBER($AQ$1158),$B$677=1),$AQ$1158,HLOOKUP(INDIRECT(ADDRESS(2,COLUMN())),OFFSET($BN$2,0,0,ROW()-1,60),ROW()-1,FALSE))</f>
        <v>68.896372679999999</v>
      </c>
      <c r="AR496">
        <f ca="1">IF(AND(ISNUMBER($AR$1158),$B$677=1),$AR$1158,HLOOKUP(INDIRECT(ADDRESS(2,COLUMN())),OFFSET($BN$2,0,0,ROW()-1,60),ROW()-1,FALSE))</f>
        <v>53.873734990000003</v>
      </c>
      <c r="AS496">
        <f ca="1">IF(AND(ISNUMBER($AS$1158),$B$677=1),$AS$1158,HLOOKUP(INDIRECT(ADDRESS(2,COLUMN())),OFFSET($BN$2,0,0,ROW()-1,60),ROW()-1,FALSE))</f>
        <v>131.55597</v>
      </c>
      <c r="AT496" t="str">
        <f ca="1">IF(AND(ISNUMBER($AT$1158),$B$677=1),$AT$1158,HLOOKUP(INDIRECT(ADDRESS(2,COLUMN())),OFFSET($BN$2,0,0,ROW()-1,60),ROW()-1,FALSE))</f>
        <v/>
      </c>
      <c r="AU496">
        <f ca="1">IF(AND(ISNUMBER($AU$1158),$B$677=1),$AU$1158,HLOOKUP(INDIRECT(ADDRESS(2,COLUMN())),OFFSET($BN$2,0,0,ROW()-1,60),ROW()-1,FALSE))</f>
        <v>94.87092165</v>
      </c>
      <c r="AV496">
        <f ca="1">IF(AND(ISNUMBER($AV$1158),$B$677=1),$AV$1158,HLOOKUP(INDIRECT(ADDRESS(2,COLUMN())),OFFSET($BN$2,0,0,ROW()-1,60),ROW()-1,FALSE))</f>
        <v>41.16827318</v>
      </c>
      <c r="AW496" t="str">
        <f ca="1">IF(AND(ISNUMBER($AW$1158),$B$677=1),$AW$1158,HLOOKUP(INDIRECT(ADDRESS(2,COLUMN())),OFFSET($BN$2,0,0,ROW()-1,60),ROW()-1,FALSE))</f>
        <v/>
      </c>
      <c r="AX496" t="str">
        <f ca="1">IF(AND(ISNUMBER($AX$1158),$B$677=1),$AX$1158,HLOOKUP(INDIRECT(ADDRESS(2,COLUMN())),OFFSET($BN$2,0,0,ROW()-1,60),ROW()-1,FALSE))</f>
        <v/>
      </c>
      <c r="AY496" t="str">
        <f ca="1">IF(AND(ISNUMBER($AY$1158),$B$677=1),$AY$1158,HLOOKUP(INDIRECT(ADDRESS(2,COLUMN())),OFFSET($BN$2,0,0,ROW()-1,60),ROW()-1,FALSE))</f>
        <v/>
      </c>
      <c r="AZ496" t="str">
        <f ca="1">IF(AND(ISNUMBER($AZ$1158),$B$677=1),$AZ$1158,HLOOKUP(INDIRECT(ADDRESS(2,COLUMN())),OFFSET($BN$2,0,0,ROW()-1,60),ROW()-1,FALSE))</f>
        <v/>
      </c>
      <c r="BA496" t="str">
        <f ca="1">IF(AND(ISNUMBER($BA$1158),$B$677=1),$BA$1158,HLOOKUP(INDIRECT(ADDRESS(2,COLUMN())),OFFSET($BN$2,0,0,ROW()-1,60),ROW()-1,FALSE))</f>
        <v/>
      </c>
      <c r="BB496" t="str">
        <f ca="1">IF(AND(ISNUMBER($BB$1158),$B$677=1),$BB$1158,HLOOKUP(INDIRECT(ADDRESS(2,COLUMN())),OFFSET($BN$2,0,0,ROW()-1,60),ROW()-1,FALSE))</f>
        <v/>
      </c>
      <c r="BC496" t="str">
        <f ca="1">IF(AND(ISNUMBER($BC$1158),$B$677=1),$BC$1158,HLOOKUP(INDIRECT(ADDRESS(2,COLUMN())),OFFSET($BN$2,0,0,ROW()-1,60),ROW()-1,FALSE))</f>
        <v/>
      </c>
      <c r="BD496" t="str">
        <f ca="1">IF(AND(ISNUMBER($BD$1158),$B$677=1),$BD$1158,HLOOKUP(INDIRECT(ADDRESS(2,COLUMN())),OFFSET($BN$2,0,0,ROW()-1,60),ROW()-1,FALSE))</f>
        <v/>
      </c>
      <c r="BE496" t="str">
        <f ca="1">IF(AND(ISNUMBER($BE$1158),$B$677=1),$BE$1158,HLOOKUP(INDIRECT(ADDRESS(2,COLUMN())),OFFSET($BN$2,0,0,ROW()-1,60),ROW()-1,FALSE))</f>
        <v/>
      </c>
      <c r="BF496" t="str">
        <f ca="1">IF(AND(ISNUMBER($BF$1158),$B$677=1),$BF$1158,HLOOKUP(INDIRECT(ADDRESS(2,COLUMN())),OFFSET($BN$2,0,0,ROW()-1,60),ROW()-1,FALSE))</f>
        <v/>
      </c>
      <c r="BG496" t="str">
        <f ca="1">IF(AND(ISNUMBER($BG$1158),$B$677=1),$BG$1158,HLOOKUP(INDIRECT(ADDRESS(2,COLUMN())),OFFSET($BN$2,0,0,ROW()-1,60),ROW()-1,FALSE))</f>
        <v/>
      </c>
      <c r="BH496" t="str">
        <f ca="1">IF(AND(ISNUMBER($BH$1158),$B$677=1),$BH$1158,HLOOKUP(INDIRECT(ADDRESS(2,COLUMN())),OFFSET($BN$2,0,0,ROW()-1,60),ROW()-1,FALSE))</f>
        <v/>
      </c>
      <c r="BI496" t="str">
        <f ca="1">IF(AND(ISNUMBER($BI$1158),$B$677=1),$BI$1158,HLOOKUP(INDIRECT(ADDRESS(2,COLUMN())),OFFSET($BN$2,0,0,ROW()-1,60),ROW()-1,FALSE))</f>
        <v/>
      </c>
      <c r="BJ496" t="str">
        <f ca="1">IF(AND(ISNUMBER($BJ$1158),$B$677=1),$BJ$1158,HLOOKUP(INDIRECT(ADDRESS(2,COLUMN())),OFFSET($BN$2,0,0,ROW()-1,60),ROW()-1,FALSE))</f>
        <v/>
      </c>
      <c r="BK496" t="str">
        <f ca="1">IF(AND(ISNUMBER($BK$1158),$B$677=1),$BK$1158,HLOOKUP(INDIRECT(ADDRESS(2,COLUMN())),OFFSET($BN$2,0,0,ROW()-1,60),ROW()-1,FALSE))</f>
        <v/>
      </c>
      <c r="BL496" t="str">
        <f ca="1">IF(AND(ISNUMBER($BL$1158),$B$677=1),$BL$1158,HLOOKUP(INDIRECT(ADDRESS(2,COLUMN())),OFFSET($BN$2,0,0,ROW()-1,60),ROW()-1,FALSE))</f>
        <v/>
      </c>
      <c r="BM496" t="str">
        <f ca="1">IF(AND(ISNUMBER($BM$1158),$B$677=1),$BM$1158,HLOOKUP(INDIRECT(ADDRESS(2,COLUMN())),OFFSET($BN$2,0,0,ROW()-1,60),ROW()-1,FALSE))</f>
        <v/>
      </c>
      <c r="BN496" t="str">
        <f>""</f>
        <v/>
      </c>
      <c r="BO496" t="str">
        <f>""</f>
        <v/>
      </c>
      <c r="BP496">
        <f>94.53991324</f>
        <v>94.539913240000004</v>
      </c>
      <c r="BQ496">
        <f>62.00203648</f>
        <v>62.002036480000001</v>
      </c>
      <c r="BR496">
        <f>53.48283522</f>
        <v>53.482835219999998</v>
      </c>
      <c r="BS496">
        <f>63.86572475</f>
        <v>63.865724749999998</v>
      </c>
      <c r="BT496">
        <f>89.54076373</f>
        <v>89.540763729999995</v>
      </c>
      <c r="BU496">
        <f>119.6506471</f>
        <v>119.6506471</v>
      </c>
      <c r="BV496">
        <f>88.87595696</f>
        <v>88.875956959999996</v>
      </c>
      <c r="BW496">
        <f>94.2952498</f>
        <v>94.295249799999993</v>
      </c>
      <c r="BX496">
        <f>41.33438597</f>
        <v>41.33438597</v>
      </c>
      <c r="BY496">
        <f>36.80605167</f>
        <v>36.806051670000002</v>
      </c>
      <c r="BZ496">
        <f>37.93792273</f>
        <v>37.937922729999997</v>
      </c>
      <c r="CA496">
        <f>35.21772978</f>
        <v>35.217729779999999</v>
      </c>
      <c r="CB496">
        <f>57.93363295</f>
        <v>57.933632950000003</v>
      </c>
      <c r="CC496">
        <f>53.33624074</f>
        <v>53.336240740000001</v>
      </c>
      <c r="CD496">
        <f>58.18892393</f>
        <v>58.188923930000001</v>
      </c>
      <c r="CE496">
        <f>62.55330749</f>
        <v>62.553307490000002</v>
      </c>
      <c r="CF496">
        <f>58.531208</f>
        <v>58.531207999999999</v>
      </c>
      <c r="CG496">
        <f>77.97261513</f>
        <v>77.972615129999994</v>
      </c>
      <c r="CH496">
        <f>65.22358855</f>
        <v>65.223588550000002</v>
      </c>
      <c r="CI496">
        <f>58.42629035</f>
        <v>58.426290350000002</v>
      </c>
      <c r="CJ496">
        <f>42.33619113</f>
        <v>42.336191130000003</v>
      </c>
      <c r="CK496">
        <f>43.16037134</f>
        <v>43.160371339999998</v>
      </c>
      <c r="CL496">
        <f>44.93105171</f>
        <v>44.931051709999998</v>
      </c>
      <c r="CM496">
        <f>45.77871039</f>
        <v>45.778710390000001</v>
      </c>
      <c r="CN496">
        <f>44.57866086</f>
        <v>44.578660859999999</v>
      </c>
      <c r="CO496">
        <f>38.51021699</f>
        <v>38.510216990000004</v>
      </c>
      <c r="CP496">
        <f>39.83556069</f>
        <v>39.835560690000001</v>
      </c>
      <c r="CQ496">
        <f>33.75116153</f>
        <v>33.751161529999997</v>
      </c>
      <c r="CR496">
        <f>32.70987712</f>
        <v>32.709877120000002</v>
      </c>
      <c r="CS496">
        <f>35.34659606</f>
        <v>35.346596060000003</v>
      </c>
      <c r="CT496">
        <f>28.92361972</f>
        <v>28.923619720000001</v>
      </c>
      <c r="CU496">
        <f>30.26741663</f>
        <v>30.26741663</v>
      </c>
      <c r="CV496">
        <f>38.45847982</f>
        <v>38.458479820000001</v>
      </c>
      <c r="CW496">
        <f>25.98697045</f>
        <v>25.986970450000001</v>
      </c>
      <c r="CX496">
        <f>32.07139676</f>
        <v>32.071396759999999</v>
      </c>
      <c r="CY496">
        <f>68.89637268</f>
        <v>68.896372679999999</v>
      </c>
      <c r="CZ496">
        <f>53.87373499</f>
        <v>53.873734990000003</v>
      </c>
      <c r="DA496">
        <f>131.55597</f>
        <v>131.55597</v>
      </c>
      <c r="DB496" t="str">
        <f>""</f>
        <v/>
      </c>
      <c r="DC496">
        <f>94.87092165</f>
        <v>94.87092165</v>
      </c>
      <c r="DD496">
        <f>41.16827318</f>
        <v>41.16827318</v>
      </c>
      <c r="DE496" t="str">
        <f>""</f>
        <v/>
      </c>
      <c r="DF496" t="str">
        <f>""</f>
        <v/>
      </c>
      <c r="DG496" t="str">
        <f>""</f>
        <v/>
      </c>
      <c r="DH496" t="str">
        <f>""</f>
        <v/>
      </c>
      <c r="DI496" t="str">
        <f>""</f>
        <v/>
      </c>
      <c r="DJ496" t="str">
        <f>""</f>
        <v/>
      </c>
      <c r="DK496" t="str">
        <f>""</f>
        <v/>
      </c>
      <c r="DL496" t="str">
        <f>""</f>
        <v/>
      </c>
      <c r="DM496" t="str">
        <f>""</f>
        <v/>
      </c>
      <c r="DN496" t="str">
        <f>""</f>
        <v/>
      </c>
      <c r="DO496" t="str">
        <f>""</f>
        <v/>
      </c>
      <c r="DP496" t="str">
        <f>""</f>
        <v/>
      </c>
      <c r="DQ496" t="str">
        <f>""</f>
        <v/>
      </c>
      <c r="DR496" t="str">
        <f>""</f>
        <v/>
      </c>
      <c r="DS496" t="str">
        <f>""</f>
        <v/>
      </c>
      <c r="DT496" t="str">
        <f>""</f>
        <v/>
      </c>
      <c r="DU496" t="str">
        <f>""</f>
        <v/>
      </c>
    </row>
    <row r="497" spans="1:125" x14ac:dyDescent="0.25">
      <c r="A497" t="str">
        <f>"Yields"</f>
        <v>Yields</v>
      </c>
      <c r="B497" t="str">
        <f>""</f>
        <v/>
      </c>
      <c r="E497" t="str">
        <f>"Heading"</f>
        <v>Heading</v>
      </c>
      <c r="BN497" t="str">
        <f>""</f>
        <v/>
      </c>
      <c r="BO497" t="str">
        <f>""</f>
        <v/>
      </c>
      <c r="BP497" t="str">
        <f>""</f>
        <v/>
      </c>
      <c r="BQ497" t="str">
        <f>""</f>
        <v/>
      </c>
      <c r="BR497" t="str">
        <f>""</f>
        <v/>
      </c>
      <c r="BS497" t="str">
        <f>""</f>
        <v/>
      </c>
      <c r="BT497" t="str">
        <f>""</f>
        <v/>
      </c>
      <c r="BU497" t="str">
        <f>""</f>
        <v/>
      </c>
      <c r="BV497" t="str">
        <f>""</f>
        <v/>
      </c>
      <c r="BW497" t="str">
        <f>""</f>
        <v/>
      </c>
      <c r="BX497" t="str">
        <f>""</f>
        <v/>
      </c>
      <c r="BY497" t="str">
        <f>""</f>
        <v/>
      </c>
      <c r="BZ497" t="str">
        <f>""</f>
        <v/>
      </c>
      <c r="CA497" t="str">
        <f>""</f>
        <v/>
      </c>
      <c r="CB497" t="str">
        <f>""</f>
        <v/>
      </c>
      <c r="CC497" t="str">
        <f>""</f>
        <v/>
      </c>
      <c r="CD497" t="str">
        <f>""</f>
        <v/>
      </c>
      <c r="CE497" t="str">
        <f>""</f>
        <v/>
      </c>
      <c r="CF497" t="str">
        <f>""</f>
        <v/>
      </c>
      <c r="CG497" t="str">
        <f>""</f>
        <v/>
      </c>
      <c r="CH497" t="str">
        <f>""</f>
        <v/>
      </c>
      <c r="CI497" t="str">
        <f>""</f>
        <v/>
      </c>
      <c r="CJ497" t="str">
        <f>""</f>
        <v/>
      </c>
      <c r="CK497" t="str">
        <f>""</f>
        <v/>
      </c>
      <c r="CL497" t="str">
        <f>""</f>
        <v/>
      </c>
      <c r="CM497" t="str">
        <f>""</f>
        <v/>
      </c>
      <c r="CN497" t="str">
        <f>""</f>
        <v/>
      </c>
      <c r="CO497" t="str">
        <f>""</f>
        <v/>
      </c>
      <c r="CP497" t="str">
        <f>""</f>
        <v/>
      </c>
      <c r="CQ497" t="str">
        <f>""</f>
        <v/>
      </c>
      <c r="CR497" t="str">
        <f>""</f>
        <v/>
      </c>
      <c r="CS497" t="str">
        <f>""</f>
        <v/>
      </c>
      <c r="CT497" t="str">
        <f>""</f>
        <v/>
      </c>
      <c r="CU497" t="str">
        <f>""</f>
        <v/>
      </c>
      <c r="CV497" t="str">
        <f>""</f>
        <v/>
      </c>
      <c r="CW497" t="str">
        <f>""</f>
        <v/>
      </c>
      <c r="CX497" t="str">
        <f>""</f>
        <v/>
      </c>
      <c r="CY497" t="str">
        <f>""</f>
        <v/>
      </c>
      <c r="CZ497" t="str">
        <f>""</f>
        <v/>
      </c>
      <c r="DA497" t="str">
        <f>""</f>
        <v/>
      </c>
      <c r="DB497" t="str">
        <f>""</f>
        <v/>
      </c>
      <c r="DC497" t="str">
        <f>""</f>
        <v/>
      </c>
      <c r="DD497" t="str">
        <f>""</f>
        <v/>
      </c>
      <c r="DE497" t="str">
        <f>""</f>
        <v/>
      </c>
      <c r="DF497" t="str">
        <f>""</f>
        <v/>
      </c>
      <c r="DG497" t="str">
        <f>""</f>
        <v/>
      </c>
      <c r="DH497" t="str">
        <f>""</f>
        <v/>
      </c>
      <c r="DI497" t="str">
        <f>""</f>
        <v/>
      </c>
      <c r="DJ497" t="str">
        <f>""</f>
        <v/>
      </c>
      <c r="DK497" t="str">
        <f>""</f>
        <v/>
      </c>
      <c r="DL497" t="str">
        <f>""</f>
        <v/>
      </c>
      <c r="DM497" t="str">
        <f>""</f>
        <v/>
      </c>
      <c r="DN497" t="str">
        <f>""</f>
        <v/>
      </c>
      <c r="DO497" t="str">
        <f>""</f>
        <v/>
      </c>
      <c r="DP497" t="str">
        <f>""</f>
        <v/>
      </c>
      <c r="DQ497" t="str">
        <f>""</f>
        <v/>
      </c>
      <c r="DR497" t="str">
        <f>""</f>
        <v/>
      </c>
      <c r="DS497" t="str">
        <f>""</f>
        <v/>
      </c>
      <c r="DT497" t="str">
        <f>""</f>
        <v/>
      </c>
      <c r="DU497" t="str">
        <f>""</f>
        <v/>
      </c>
    </row>
    <row r="498" spans="1:125" x14ac:dyDescent="0.25">
      <c r="A498" t="str">
        <f>"Dividend Yield"</f>
        <v>Dividend Yield</v>
      </c>
      <c r="B498" t="str">
        <f>""</f>
        <v/>
      </c>
      <c r="E498" t="str">
        <f>"Average"</f>
        <v>Average</v>
      </c>
      <c r="F498">
        <f ca="1">IF(ISERROR(IF(AVERAGE($F$499:$F$538) = 0, "", AVERAGE($F$499:$F$538))), "", (IF(AVERAGE($F$499:$F$538) = 0, "", AVERAGE($F$499:$F$538))))</f>
        <v>3.9003337546666668</v>
      </c>
      <c r="G498">
        <f ca="1">IF(ISERROR(IF(AVERAGE($G$499:$G$538) = 0, "", AVERAGE($G$499:$G$538))), "", (IF(AVERAGE($G$499:$G$538) = 0, "", AVERAGE($G$499:$G$538))))</f>
        <v>4.3439423154137931</v>
      </c>
      <c r="H498">
        <f ca="1">IF(ISERROR(IF(AVERAGE($H$499:$H$538) = 0, "", AVERAGE($H$499:$H$538))), "", (IF(AVERAGE($H$499:$H$538) = 0, "", AVERAGE($H$499:$H$538))))</f>
        <v>3.507442990827585</v>
      </c>
      <c r="I498">
        <f ca="1">IF(ISERROR(IF(AVERAGE($I$499:$I$538) = 0, "", AVERAGE($I$499:$I$538))), "", (IF(AVERAGE($I$499:$I$538) = 0, "", AVERAGE($I$499:$I$538))))</f>
        <v>3.4265539410344825</v>
      </c>
      <c r="J498">
        <f ca="1">IF(ISERROR(IF(AVERAGE($J$499:$J$538) = 0, "", AVERAGE($J$499:$J$538))), "", (IF(AVERAGE($J$499:$J$538) = 0, "", AVERAGE($J$499:$J$538))))</f>
        <v>3.2019628795172412</v>
      </c>
      <c r="K498">
        <f ca="1">IF(ISERROR(IF(AVERAGE($K$499:$K$538) = 0, "", AVERAGE($K$499:$K$538))), "", (IF(AVERAGE($K$499:$K$538) = 0, "", AVERAGE($K$499:$K$538))))</f>
        <v>2.9831491535555559</v>
      </c>
      <c r="L498">
        <f ca="1">IF(ISERROR(IF(AVERAGE($L$499:$L$538) = 0, "", AVERAGE($L$499:$L$538))), "", (IF(AVERAGE($L$499:$L$538) = 0, "", AVERAGE($L$499:$L$538))))</f>
        <v>2.8516631007857147</v>
      </c>
      <c r="M498">
        <f ca="1">IF(ISERROR(IF(AVERAGE($M$499:$M$538) = 0, "", AVERAGE($M$499:$M$538))), "", (IF(AVERAGE($M$499:$M$538) = 0, "", AVERAGE($M$499:$M$538))))</f>
        <v>2.9422538626206891</v>
      </c>
      <c r="N498">
        <f ca="1">IF(ISERROR(IF(AVERAGE($N$499:$N$538) = 0, "", AVERAGE($N$499:$N$538))), "", (IF(AVERAGE($N$499:$N$538) = 0, "", AVERAGE($N$499:$N$538))))</f>
        <v>2.7958201128000004</v>
      </c>
      <c r="O498">
        <f ca="1">IF(ISERROR(IF(AVERAGE($O$499:$O$538) = 0, "", AVERAGE($O$499:$O$538))), "", (IF(AVERAGE($O$499:$O$538) = 0, "", AVERAGE($O$499:$O$538))))</f>
        <v>2.6564975442499992</v>
      </c>
      <c r="P498">
        <f ca="1">IF(ISERROR(IF(AVERAGE($P$499:$P$538) = 0, "", AVERAGE($P$499:$P$538))), "", (IF(AVERAGE($P$499:$P$538) = 0, "", AVERAGE($P$499:$P$538))))</f>
        <v>2.8482089570689655</v>
      </c>
      <c r="Q498">
        <f ca="1">IF(ISERROR(IF(AVERAGE($Q$499:$Q$538) = 0, "", AVERAGE($Q$499:$Q$538))), "", (IF(AVERAGE($Q$499:$Q$538) = 0, "", AVERAGE($Q$499:$Q$538))))</f>
        <v>3.2474836167931032</v>
      </c>
      <c r="R498">
        <f ca="1">IF(ISERROR(IF(AVERAGE($R$499:$R$538) = 0, "", AVERAGE($R$499:$R$538))), "", (IF(AVERAGE($R$499:$R$538) = 0, "", AVERAGE($R$499:$R$538))))</f>
        <v>2.9711294367500001</v>
      </c>
      <c r="S498">
        <f ca="1">IF(ISERROR(IF(AVERAGE($S$499:$S$538) = 0, "", AVERAGE($S$499:$S$538))), "", (IF(AVERAGE($S$499:$S$538) = 0, "", AVERAGE($S$499:$S$538))))</f>
        <v>2.3732479637407407</v>
      </c>
      <c r="T498">
        <f ca="1">IF(ISERROR(IF(AVERAGE($T$499:$T$538) = 0, "", AVERAGE($T$499:$T$538))), "", (IF(AVERAGE($T$499:$T$538) = 0, "", AVERAGE($T$499:$T$538))))</f>
        <v>2.7057015504074067</v>
      </c>
      <c r="U498">
        <f ca="1">IF(ISERROR(IF(AVERAGE($U$499:$U$538) = 0, "", AVERAGE($U$499:$U$538))), "", (IF(AVERAGE($U$499:$U$538) = 0, "", AVERAGE($U$499:$U$538))))</f>
        <v>2.5005296622999995</v>
      </c>
      <c r="V498">
        <f ca="1">IF(ISERROR(IF(AVERAGE($V$499:$V$538) = 0, "", AVERAGE($V$499:$V$538))), "", (IF(AVERAGE($V$499:$V$538) = 0, "", AVERAGE($V$499:$V$538))))</f>
        <v>2.2768076469999996</v>
      </c>
      <c r="W498">
        <f ca="1">IF(ISERROR(IF(AVERAGE($W$499:$W$538) = 0, "", AVERAGE($W$499:$W$538))), "", (IF(AVERAGE($W$499:$W$538) = 0, "", AVERAGE($W$499:$W$538))))</f>
        <v>2.4563638920333344</v>
      </c>
      <c r="X498">
        <f ca="1">IF(ISERROR(IF(AVERAGE($X$499:$X$538) = 0, "", AVERAGE($X$499:$X$538))), "", (IF(AVERAGE($X$499:$X$538) = 0, "", AVERAGE($X$499:$X$538))))</f>
        <v>2.3945662441</v>
      </c>
      <c r="Y498">
        <f ca="1">IF(ISERROR(IF(AVERAGE($Y$499:$Y$538) = 0, "", AVERAGE($Y$499:$Y$538))), "", (IF(AVERAGE($Y$499:$Y$538) = 0, "", AVERAGE($Y$499:$Y$538))))</f>
        <v>2.2997357102333336</v>
      </c>
      <c r="Z498">
        <f ca="1">IF(ISERROR(IF(AVERAGE($Z$499:$Z$538) = 0, "", AVERAGE($Z$499:$Z$538))), "", (IF(AVERAGE($Z$499:$Z$538) = 0, "", AVERAGE($Z$499:$Z$538))))</f>
        <v>2.2042784217500002</v>
      </c>
      <c r="AA498">
        <f ca="1">IF(ISERROR(IF(AVERAGE($AA$499:$AA$538) = 0, "", AVERAGE($AA$499:$AA$538))), "", (IF(AVERAGE($AA$499:$AA$538) = 0, "", AVERAGE($AA$499:$AA$538))))</f>
        <v>1.8674374557857145</v>
      </c>
      <c r="AB498">
        <f ca="1">IF(ISERROR(IF(AVERAGE($AB$499:$AB$538) = 0, "", AVERAGE($AB$499:$AB$538))), "", (IF(AVERAGE($AB$499:$AB$538) = 0, "", AVERAGE($AB$499:$AB$538))))</f>
        <v>1.976441698321429</v>
      </c>
      <c r="AC498">
        <f ca="1">IF(ISERROR(IF(AVERAGE($AC$499:$AC$538) = 0, "", AVERAGE($AC$499:$AC$538))), "", (IF(AVERAGE($AC$499:$AC$538) = 0, "", AVERAGE($AC$499:$AC$538))))</f>
        <v>2.1834967286666669</v>
      </c>
      <c r="AD498">
        <f ca="1">IF(ISERROR(IF(AVERAGE($AD$499:$AD$538) = 0, "", AVERAGE($AD$499:$AD$538))), "", (IF(AVERAGE($AD$499:$AD$538) = 0, "", AVERAGE($AD$499:$AD$538))))</f>
        <v>2.0456688929600007</v>
      </c>
      <c r="AE498">
        <f ca="1">IF(ISERROR(IF(AVERAGE($AE$499:$AE$538) = 0, "", AVERAGE($AE$499:$AE$538))), "", (IF(AVERAGE($AE$499:$AE$538) = 0, "", AVERAGE($AE$499:$AE$538))))</f>
        <v>1.9908558825416665</v>
      </c>
      <c r="AF498">
        <f ca="1">IF(ISERROR(IF(AVERAGE($AF$499:$AF$538) = 0, "", AVERAGE($AF$499:$AF$538))), "", (IF(AVERAGE($AF$499:$AF$538) = 0, "", AVERAGE($AF$499:$AF$538))))</f>
        <v>2.4545693764583332</v>
      </c>
      <c r="AG498">
        <f ca="1">IF(ISERROR(IF(AVERAGE($AG$499:$AG$538) = 0, "", AVERAGE($AG$499:$AG$538))), "", (IF(AVERAGE($AG$499:$AG$538) = 0, "", AVERAGE($AG$499:$AG$538))))</f>
        <v>2.2800112981538461</v>
      </c>
      <c r="AH498">
        <f ca="1">IF(ISERROR(IF(AVERAGE($AH$499:$AH$538) = 0, "", AVERAGE($AH$499:$AH$538))), "", (IF(AVERAGE($AH$499:$AH$538) = 0, "", AVERAGE($AH$499:$AH$538))))</f>
        <v>2.0649874316296297</v>
      </c>
      <c r="AI498">
        <f ca="1">IF(ISERROR(IF(AVERAGE($AI$499:$AI$538) = 0, "", AVERAGE($AI$499:$AI$538))), "", (IF(AVERAGE($AI$499:$AI$538) = 0, "", AVERAGE($AI$499:$AI$538))))</f>
        <v>2.1684896285185187</v>
      </c>
      <c r="AJ498">
        <f ca="1">IF(ISERROR(IF(AVERAGE($AJ$499:$AJ$538) = 0, "", AVERAGE($AJ$499:$AJ$538))), "", (IF(AVERAGE($AJ$499:$AJ$538) = 0, "", AVERAGE($AJ$499:$AJ$538))))</f>
        <v>2.1193218707307691</v>
      </c>
      <c r="AK498">
        <f ca="1">IF(ISERROR(IF(AVERAGE($AK$499:$AK$538) = 0, "", AVERAGE($AK$499:$AK$538))), "", (IF(AVERAGE($AK$499:$AK$538) = 0, "", AVERAGE($AK$499:$AK$538))))</f>
        <v>1.5990055020000002</v>
      </c>
      <c r="AL498">
        <f ca="1">IF(ISERROR(IF(AVERAGE($AL$499:$AL$538) = 0, "", AVERAGE($AL$499:$AL$538))), "", (IF(AVERAGE($AL$499:$AL$538) = 0, "", AVERAGE($AL$499:$AL$538))))</f>
        <v>1.4971438858400001</v>
      </c>
      <c r="AM498">
        <f ca="1">IF(ISERROR(IF(AVERAGE($AM$499:$AM$538) = 0, "", AVERAGE($AM$499:$AM$538))), "", (IF(AVERAGE($AM$499:$AM$538) = 0, "", AVERAGE($AM$499:$AM$538))))</f>
        <v>1.1146658018260869</v>
      </c>
      <c r="AN498">
        <f ca="1">IF(ISERROR(IF(AVERAGE($AN$499:$AN$538) = 0, "", AVERAGE($AN$499:$AN$538))), "", (IF(AVERAGE($AN$499:$AN$538) = 0, "", AVERAGE($AN$499:$AN$538))))</f>
        <v>1.2117195498695652</v>
      </c>
      <c r="AO498">
        <f ca="1">IF(ISERROR(IF(AVERAGE($AO$499:$AO$538) = 0, "", AVERAGE($AO$499:$AO$538))), "", (IF(AVERAGE($AO$499:$AO$538) = 0, "", AVERAGE($AO$499:$AO$538))))</f>
        <v>1.5162125350434785</v>
      </c>
      <c r="AP498">
        <f ca="1">IF(ISERROR(IF(AVERAGE($AP$499:$AP$538) = 0, "", AVERAGE($AP$499:$AP$538))), "", (IF(AVERAGE($AP$499:$AP$538) = 0, "", AVERAGE($AP$499:$AP$538))))</f>
        <v>1.082320553</v>
      </c>
      <c r="AQ498">
        <f ca="1">IF(ISERROR(IF(AVERAGE($AQ$499:$AQ$538) = 0, "", AVERAGE($AQ$499:$AQ$538))), "", (IF(AVERAGE($AQ$499:$AQ$538) = 0, "", AVERAGE($AQ$499:$AQ$538))))</f>
        <v>0.95550770159999987</v>
      </c>
      <c r="AR498">
        <f ca="1">IF(ISERROR(IF(AVERAGE($AR$499:$AR$538) = 0, "", AVERAGE($AR$499:$AR$538))), "", (IF(AVERAGE($AR$499:$AR$538) = 0, "", AVERAGE($AR$499:$AR$538))))</f>
        <v>1.0521896467</v>
      </c>
      <c r="AS498">
        <f ca="1">IF(ISERROR(IF(AVERAGE($AS$499:$AS$538) = 0, "", AVERAGE($AS$499:$AS$538))), "", (IF(AVERAGE($AS$499:$AS$538) = 0, "", AVERAGE($AS$499:$AS$538))))</f>
        <v>1.9462177104999996</v>
      </c>
      <c r="AT498">
        <f ca="1">IF(ISERROR(IF(AVERAGE($AT$499:$AT$538) = 0, "", AVERAGE($AT$499:$AT$538))), "", (IF(AVERAGE($AT$499:$AT$538) = 0, "", AVERAGE($AT$499:$AT$538))))</f>
        <v>4.2256804349599992</v>
      </c>
      <c r="AU498">
        <f ca="1">IF(ISERROR(IF(AVERAGE($AU$499:$AU$538) = 0, "", AVERAGE($AU$499:$AU$538))), "", (IF(AVERAGE($AU$499:$AU$538) = 0, "", AVERAGE($AU$499:$AU$538))))</f>
        <v>5.355574601679999</v>
      </c>
      <c r="AV498">
        <f ca="1">IF(ISERROR(IF(AVERAGE($AV$499:$AV$538) = 0, "", AVERAGE($AV$499:$AV$538))), "", (IF(AVERAGE($AV$499:$AV$538) = 0, "", AVERAGE($AV$499:$AV$538))))</f>
        <v>3.3581769279200002</v>
      </c>
      <c r="AW498">
        <f ca="1">IF(ISERROR(IF(AVERAGE($AW$499:$AW$538) = 0, "", AVERAGE($AW$499:$AW$538))), "", (IF(AVERAGE($AW$499:$AW$538) = 0, "", AVERAGE($AW$499:$AW$538))))</f>
        <v>2.6152436763076921</v>
      </c>
      <c r="AX498">
        <f ca="1">IF(ISERROR(IF(AVERAGE($AX$499:$AX$538) = 0, "", AVERAGE($AX$499:$AX$538))), "", (IF(AVERAGE($AX$499:$AX$538) = 0, "", AVERAGE($AX$499:$AX$538))))</f>
        <v>2.0793577733928568</v>
      </c>
      <c r="AY498">
        <f ca="1">IF(ISERROR(IF(AVERAGE($AY$499:$AY$538) = 0, "", AVERAGE($AY$499:$AY$538))), "", (IF(AVERAGE($AY$499:$AY$538) = 0, "", AVERAGE($AY$499:$AY$538))))</f>
        <v>1.6167430923571424</v>
      </c>
      <c r="AZ498">
        <f ca="1">IF(ISERROR(IF(AVERAGE($AZ$499:$AZ$538) = 0, "", AVERAGE($AZ$499:$AZ$538))), "", (IF(AVERAGE($AZ$499:$AZ$538) = 0, "", AVERAGE($AZ$499:$AZ$538))))</f>
        <v>1.4571698160357143</v>
      </c>
      <c r="BA498">
        <f ca="1">IF(ISERROR(IF(AVERAGE($BA$499:$BA$538) = 0, "", AVERAGE($BA$499:$BA$538))), "", (IF(AVERAGE($BA$499:$BA$538) = 0, "", AVERAGE($BA$499:$BA$538))))</f>
        <v>1.4275140270000004</v>
      </c>
      <c r="BB498">
        <f ca="1">IF(ISERROR(IF(AVERAGE($BB$499:$BB$538) = 0, "", AVERAGE($BB$499:$BB$538))), "", (IF(AVERAGE($BB$499:$BB$538) = 0, "", AVERAGE($BB$499:$BB$538))))</f>
        <v>1.6345704662962968</v>
      </c>
      <c r="BC498">
        <f ca="1">IF(ISERROR(IF(AVERAGE($BC$499:$BC$538) = 0, "", AVERAGE($BC$499:$BC$538))), "", (IF(AVERAGE($BC$499:$BC$538) = 0, "", AVERAGE($BC$499:$BC$538))))</f>
        <v>1.8625532959230766</v>
      </c>
      <c r="BD498">
        <f ca="1">IF(ISERROR(IF(AVERAGE($BD$499:$BD$538) = 0, "", AVERAGE($BD$499:$BD$538))), "", (IF(AVERAGE($BD$499:$BD$538) = 0, "", AVERAGE($BD$499:$BD$538))))</f>
        <v>2.1880103289629624</v>
      </c>
      <c r="BE498">
        <f ca="1">IF(ISERROR(IF(AVERAGE($BE$499:$BE$538) = 0, "", AVERAGE($BE$499:$BE$538))), "", (IF(AVERAGE($BE$499:$BE$538) = 0, "", AVERAGE($BE$499:$BE$538))))</f>
        <v>2.3287365713793102</v>
      </c>
      <c r="BF498">
        <f ca="1">IF(ISERROR(IF(AVERAGE($BF$499:$BF$538) = 0, "", AVERAGE($BF$499:$BF$538))), "", (IF(AVERAGE($BF$499:$BF$538) = 0, "", AVERAGE($BF$499:$BF$538))))</f>
        <v>2.5976511429999998</v>
      </c>
      <c r="BG498">
        <f ca="1">IF(ISERROR(IF(AVERAGE($BG$499:$BG$538) = 0, "", AVERAGE($BG$499:$BG$538))), "", (IF(AVERAGE($BG$499:$BG$538) = 0, "", AVERAGE($BG$499:$BG$538))))</f>
        <v>3.1147930282142857</v>
      </c>
      <c r="BH498">
        <f ca="1">IF(ISERROR(IF(AVERAGE($BH$499:$BH$538) = 0, "", AVERAGE($BH$499:$BH$538))), "", (IF(AVERAGE($BH$499:$BH$538) = 0, "", AVERAGE($BH$499:$BH$538))))</f>
        <v>2.8127374354642849</v>
      </c>
      <c r="BI498">
        <f ca="1">IF(ISERROR(IF(AVERAGE($BI$499:$BI$538) = 0, "", AVERAGE($BI$499:$BI$538))), "", (IF(AVERAGE($BI$499:$BI$538) = 0, "", AVERAGE($BI$499:$BI$538))))</f>
        <v>2.8994458271379311</v>
      </c>
      <c r="BJ498">
        <f ca="1">IF(ISERROR(IF(AVERAGE($BJ$499:$BJ$538) = 0, "", AVERAGE($BJ$499:$BJ$538))), "", (IF(AVERAGE($BJ$499:$BJ$538) = 0, "", AVERAGE($BJ$499:$BJ$538))))</f>
        <v>2.3961033592962959</v>
      </c>
      <c r="BK498">
        <f ca="1">IF(ISERROR(IF(AVERAGE($BK$499:$BK$538) = 0, "", AVERAGE($BK$499:$BK$538))), "", (IF(AVERAGE($BK$499:$BK$538) = 0, "", AVERAGE($BK$499:$BK$538))))</f>
        <v>2.2700018021923074</v>
      </c>
      <c r="BL498">
        <f ca="1">IF(ISERROR(IF(AVERAGE($BL$499:$BL$538) = 0, "", AVERAGE($BL$499:$BL$538))), "", (IF(AVERAGE($BL$499:$BL$538) = 0, "", AVERAGE($BL$499:$BL$538))))</f>
        <v>2.1402859095000002</v>
      </c>
      <c r="BM498">
        <f ca="1">IF(ISERROR(IF(AVERAGE($BM$499:$BM$538) = 0, "", AVERAGE($BM$499:$BM$538))), "", (IF(AVERAGE($BM$499:$BM$538) = 0, "", AVERAGE($BM$499:$BM$538))))</f>
        <v>2.1079014783076926</v>
      </c>
      <c r="BN498">
        <f>3.900333755</f>
        <v>3.9003337550000001</v>
      </c>
      <c r="BO498">
        <f>4.343942315</f>
        <v>4.3439423149999996</v>
      </c>
      <c r="BP498">
        <f>3.507442991</f>
        <v>3.507442991</v>
      </c>
      <c r="BQ498">
        <f>3.426553941</f>
        <v>3.4265539409999999</v>
      </c>
      <c r="BR498">
        <f>3.201962879</f>
        <v>3.2019628789999999</v>
      </c>
      <c r="BS498">
        <f>2.983149154</f>
        <v>2.9831491539999999</v>
      </c>
      <c r="BT498">
        <f>2.851663101</f>
        <v>2.8516631010000002</v>
      </c>
      <c r="BU498">
        <f>2.942253863</f>
        <v>2.9422538629999999</v>
      </c>
      <c r="BV498">
        <f>2.795820113</f>
        <v>2.795820113</v>
      </c>
      <c r="BW498">
        <f>2.656497544</f>
        <v>2.656497544</v>
      </c>
      <c r="BX498">
        <f>2.848208957</f>
        <v>2.8482089570000002</v>
      </c>
      <c r="BY498">
        <f>3.247483617</f>
        <v>3.2474836169999999</v>
      </c>
      <c r="BZ498">
        <f>2.971129437</f>
        <v>2.9711294370000001</v>
      </c>
      <c r="CA498">
        <f>2.373247964</f>
        <v>2.3732479639999999</v>
      </c>
      <c r="CB498">
        <f>2.70570155</f>
        <v>2.7057015500000001</v>
      </c>
      <c r="CC498">
        <f>2.500529662</f>
        <v>2.5005296619999999</v>
      </c>
      <c r="CD498">
        <f>2.276807647</f>
        <v>2.276807647</v>
      </c>
      <c r="CE498">
        <f>2.456363892</f>
        <v>2.4563638920000002</v>
      </c>
      <c r="CF498">
        <f>2.394566244</f>
        <v>2.394566244</v>
      </c>
      <c r="CG498">
        <f>2.29973571</f>
        <v>2.2997357100000002</v>
      </c>
      <c r="CH498">
        <f>2.204278422</f>
        <v>2.2042784219999998</v>
      </c>
      <c r="CI498">
        <f>1.867437456</f>
        <v>1.867437456</v>
      </c>
      <c r="CJ498">
        <f>1.976441698</f>
        <v>1.9764416979999999</v>
      </c>
      <c r="CK498">
        <f>2.183496729</f>
        <v>2.1834967289999998</v>
      </c>
      <c r="CL498">
        <f>2.045668893</f>
        <v>2.0456688930000002</v>
      </c>
      <c r="CM498">
        <f>1.990855882</f>
        <v>1.990855882</v>
      </c>
      <c r="CN498">
        <f>2.454569376</f>
        <v>2.4545693759999998</v>
      </c>
      <c r="CO498">
        <f>2.280011298</f>
        <v>2.2800112979999998</v>
      </c>
      <c r="CP498">
        <f>2.064987432</f>
        <v>2.0649874320000001</v>
      </c>
      <c r="CQ498">
        <f>2.168489629</f>
        <v>2.1684896290000002</v>
      </c>
      <c r="CR498">
        <f>2.119321871</f>
        <v>2.1193218709999999</v>
      </c>
      <c r="CS498">
        <f>1.599005502</f>
        <v>1.599005502</v>
      </c>
      <c r="CT498">
        <f>1.497143886</f>
        <v>1.4971438859999999</v>
      </c>
      <c r="CU498">
        <f>1.114665802</f>
        <v>1.114665802</v>
      </c>
      <c r="CV498">
        <f>1.21171955</f>
        <v>1.21171955</v>
      </c>
      <c r="CW498">
        <f>1.516212535</f>
        <v>1.516212535</v>
      </c>
      <c r="CX498">
        <f>1.082320553</f>
        <v>1.082320553</v>
      </c>
      <c r="CY498">
        <f>0.955507702</f>
        <v>0.95550770200000001</v>
      </c>
      <c r="CZ498">
        <f>1.052189647</f>
        <v>1.0521896470000001</v>
      </c>
      <c r="DA498">
        <f>1.94621771</f>
        <v>1.94621771</v>
      </c>
      <c r="DB498">
        <f>4.225680435</f>
        <v>4.2256804350000001</v>
      </c>
      <c r="DC498">
        <f>5.355574602</f>
        <v>5.3555746019999999</v>
      </c>
      <c r="DD498">
        <f>3.358176928</f>
        <v>3.3581769279999998</v>
      </c>
      <c r="DE498">
        <f>2.615243676</f>
        <v>2.615243676</v>
      </c>
      <c r="DF498">
        <f>2.079357773</f>
        <v>2.0793577729999999</v>
      </c>
      <c r="DG498">
        <f>1.616743092</f>
        <v>1.6167430920000001</v>
      </c>
      <c r="DH498">
        <f>1.457169816</f>
        <v>1.457169816</v>
      </c>
      <c r="DI498">
        <f>1.427514027</f>
        <v>1.427514027</v>
      </c>
      <c r="DJ498">
        <f>1.634570466</f>
        <v>1.634570466</v>
      </c>
      <c r="DK498">
        <f>1.862553296</f>
        <v>1.862553296</v>
      </c>
      <c r="DL498">
        <f>2.188010329</f>
        <v>2.1880103289999999</v>
      </c>
      <c r="DM498">
        <f>2.328736571</f>
        <v>2.3287365709999999</v>
      </c>
      <c r="DN498">
        <f>2.597651143</f>
        <v>2.5976511430000002</v>
      </c>
      <c r="DO498">
        <f>3.114793028</f>
        <v>3.1147930279999998</v>
      </c>
      <c r="DP498">
        <f>2.812737436</f>
        <v>2.8127374359999999</v>
      </c>
      <c r="DQ498">
        <f>2.899445827</f>
        <v>2.8994458270000001</v>
      </c>
      <c r="DR498">
        <f>2.396103359</f>
        <v>2.396103359</v>
      </c>
      <c r="DS498">
        <f>2.270001802</f>
        <v>2.2700018019999999</v>
      </c>
      <c r="DT498">
        <f>2.14028591</f>
        <v>2.1402859099999998</v>
      </c>
      <c r="DU498">
        <f>2.107901478</f>
        <v>2.1079014780000001</v>
      </c>
    </row>
    <row r="499" spans="1:125" x14ac:dyDescent="0.25">
      <c r="A499" t="str">
        <f>"    AUDI AG"</f>
        <v xml:space="preserve">    AUDI AG</v>
      </c>
      <c r="B499" t="str">
        <f>"NSU GR Equity"</f>
        <v>NSU GR Equity</v>
      </c>
      <c r="C499" t="str">
        <f t="shared" ref="C499:C538" si="36">"DV013"</f>
        <v>DV013</v>
      </c>
      <c r="D499" t="str">
        <f t="shared" ref="D499:D538" si="37">"EQY_DVD_YLD_IND"</f>
        <v>EQY_DVD_YLD_IND</v>
      </c>
      <c r="E499" t="str">
        <f t="shared" ref="E499:E538" si="38">"Dynamic"</f>
        <v>Dynamic</v>
      </c>
      <c r="F499">
        <f ca="1">IF(AND(ISNUMBER($F$1159),$B$677=1),$F$1159,HLOOKUP(INDIRECT(ADDRESS(2,COLUMN())),OFFSET($BN$2,0,0,ROW()-1,60),ROW()-1,FALSE))</f>
        <v>0.48994976099999998</v>
      </c>
      <c r="G499">
        <f ca="1">IF(AND(ISNUMBER($G$1159),$B$677=1),$G$1159,HLOOKUP(INDIRECT(ADDRESS(2,COLUMN())),OFFSET($BN$2,0,0,ROW()-1,60),ROW()-1,FALSE))</f>
        <v>0.49872124000000001</v>
      </c>
      <c r="H499">
        <f ca="1">IF(AND(ISNUMBER($H$1159),$B$677=1),$H$1159,HLOOKUP(INDIRECT(ADDRESS(2,COLUMN())),OFFSET($BN$2,0,0,ROW()-1,60),ROW()-1,FALSE))</f>
        <v>0.48387098000000001</v>
      </c>
      <c r="I499">
        <f ca="1">IF(AND(ISNUMBER($I$1159),$B$677=1),$I$1159,HLOOKUP(INDIRECT(ADDRESS(2,COLUMN())),OFFSET($BN$2,0,0,ROW()-1,60),ROW()-1,FALSE))</f>
        <v>0.52208836599999997</v>
      </c>
      <c r="J499">
        <f ca="1">IF(AND(ISNUMBER($J$1159),$B$677=1),$J$1159,HLOOKUP(INDIRECT(ADDRESS(2,COLUMN())),OFFSET($BN$2,0,0,ROW()-1,60),ROW()-1,FALSE))</f>
        <v>0.26041666699999999</v>
      </c>
      <c r="K499">
        <f ca="1">IF(AND(ISNUMBER($K$1159),$B$677=1),$K$1159,HLOOKUP(INDIRECT(ADDRESS(2,COLUMN())),OFFSET($BN$2,0,0,ROW()-1,60),ROW()-1,FALSE))</f>
        <v>0.27550106800000002</v>
      </c>
      <c r="L499">
        <f ca="1">IF(AND(ISNUMBER($L$1159),$B$677=1),$L$1159,HLOOKUP(INDIRECT(ADDRESS(2,COLUMN())),OFFSET($BN$2,0,0,ROW()-1,60),ROW()-1,FALSE))</f>
        <v>0.28258565899999999</v>
      </c>
      <c r="M499">
        <f ca="1">IF(AND(ISNUMBER($M$1159),$B$677=1),$M$1159,HLOOKUP(INDIRECT(ADDRESS(2,COLUMN())),OFFSET($BN$2,0,0,ROW()-1,60),ROW()-1,FALSE))</f>
        <v>0.28248587600000002</v>
      </c>
      <c r="N499">
        <f ca="1">IF(AND(ISNUMBER($N$1159),$B$677=1),$N$1159,HLOOKUP(INDIRECT(ADDRESS(2,COLUMN())),OFFSET($BN$2,0,0,ROW()-1,60),ROW()-1,FALSE))</f>
        <v>1.7163364E-2</v>
      </c>
      <c r="O499">
        <f ca="1">IF(AND(ISNUMBER($O$1159),$B$677=1),$O$1159,HLOOKUP(INDIRECT(ADDRESS(2,COLUMN())),OFFSET($BN$2,0,0,ROW()-1,60),ROW()-1,FALSE))</f>
        <v>1.7432646E-2</v>
      </c>
      <c r="P499">
        <f ca="1">IF(AND(ISNUMBER($P$1159),$B$677=1),$P$1159,HLOOKUP(INDIRECT(ADDRESS(2,COLUMN())),OFFSET($BN$2,0,0,ROW()-1,60),ROW()-1,FALSE))</f>
        <v>1.7597183999999998E-2</v>
      </c>
      <c r="Q499">
        <f ca="1">IF(AND(ISNUMBER($Q$1159),$B$677=1),$Q$1159,HLOOKUP(INDIRECT(ADDRESS(2,COLUMN())),OFFSET($BN$2,0,0,ROW()-1,60),ROW()-1,FALSE))</f>
        <v>1.7770597999999999E-2</v>
      </c>
      <c r="R499">
        <f ca="1">IF(AND(ISNUMBER($R$1159),$B$677=1),$R$1159,HLOOKUP(INDIRECT(ADDRESS(2,COLUMN())),OFFSET($BN$2,0,0,ROW()-1,60),ROW()-1,FALSE))</f>
        <v>0.76519025200000002</v>
      </c>
      <c r="S499">
        <f ca="1">IF(AND(ISNUMBER($S$1159),$B$677=1),$S$1159,HLOOKUP(INDIRECT(ADDRESS(2,COLUMN())),OFFSET($BN$2,0,0,ROW()-1,60),ROW()-1,FALSE))</f>
        <v>0.70796462999999998</v>
      </c>
      <c r="T499">
        <f ca="1">IF(AND(ISNUMBER($T$1159),$B$677=1),$T$1159,HLOOKUP(INDIRECT(ADDRESS(2,COLUMN())),OFFSET($BN$2,0,0,ROW()-1,60),ROW()-1,FALSE))</f>
        <v>0.71322439699999995</v>
      </c>
      <c r="U499">
        <f ca="1">IF(AND(ISNUMBER($U$1159),$B$677=1),$U$1159,HLOOKUP(INDIRECT(ADDRESS(2,COLUMN())),OFFSET($BN$2,0,0,ROW()-1,60),ROW()-1,FALSE))</f>
        <v>0.62278540599999999</v>
      </c>
      <c r="V499">
        <f ca="1">IF(AND(ISNUMBER($V$1159),$B$677=1),$V$1159,HLOOKUP(INDIRECT(ADDRESS(2,COLUMN())),OFFSET($BN$2,0,0,ROW()-1,60),ROW()-1,FALSE))</f>
        <v>0.537839713</v>
      </c>
      <c r="W499">
        <f ca="1">IF(AND(ISNUMBER($W$1159),$B$677=1),$W$1159,HLOOKUP(INDIRECT(ADDRESS(2,COLUMN())),OFFSET($BN$2,0,0,ROW()-1,60),ROW()-1,FALSE))</f>
        <v>0.615431956</v>
      </c>
      <c r="X499">
        <f ca="1">IF(AND(ISNUMBER($X$1159),$B$677=1),$X$1159,HLOOKUP(INDIRECT(ADDRESS(2,COLUMN())),OFFSET($BN$2,0,0,ROW()-1,60),ROW()-1,FALSE))</f>
        <v>0.66445182700000005</v>
      </c>
      <c r="Y499">
        <f ca="1">IF(AND(ISNUMBER($Y$1159),$B$677=1),$Y$1159,HLOOKUP(INDIRECT(ADDRESS(2,COLUMN())),OFFSET($BN$2,0,0,ROW()-1,60),ROW()-1,FALSE))</f>
        <v>0.64205457499999996</v>
      </c>
      <c r="Z499">
        <f ca="1">IF(AND(ISNUMBER($Z$1159),$B$677=1),$Z$1159,HLOOKUP(INDIRECT(ADDRESS(2,COLUMN())),OFFSET($BN$2,0,0,ROW()-1,60),ROW()-1,FALSE))</f>
        <v>0.54730257999999998</v>
      </c>
      <c r="AA499">
        <f ca="1">IF(AND(ISNUMBER($AA$1159),$B$677=1),$AA$1159,HLOOKUP(INDIRECT(ADDRESS(2,COLUMN())),OFFSET($BN$2,0,0,ROW()-1,60),ROW()-1,FALSE))</f>
        <v>0.54854635200000001</v>
      </c>
      <c r="AB499">
        <f ca="1">IF(AND(ISNUMBER($AB$1159),$B$677=1),$AB$1159,HLOOKUP(INDIRECT(ADDRESS(2,COLUMN())),OFFSET($BN$2,0,0,ROW()-1,60),ROW()-1,FALSE))</f>
        <v>0.57542129099999995</v>
      </c>
      <c r="AC499">
        <f ca="1">IF(AND(ISNUMBER($AC$1159),$B$677=1),$AC$1159,HLOOKUP(INDIRECT(ADDRESS(2,COLUMN())),OFFSET($BN$2,0,0,ROW()-1,60),ROW()-1,FALSE))</f>
        <v>0.55808020400000002</v>
      </c>
      <c r="AD499">
        <f ca="1">IF(AND(ISNUMBER($AD$1159),$B$677=1),$AD$1159,HLOOKUP(INDIRECT(ADDRESS(2,COLUMN())),OFFSET($BN$2,0,0,ROW()-1,60),ROW()-1,FALSE))</f>
        <v>0.51775824500000001</v>
      </c>
      <c r="AE499">
        <f ca="1">IF(AND(ISNUMBER($AE$1159),$B$677=1),$AE$1159,HLOOKUP(INDIRECT(ADDRESS(2,COLUMN())),OFFSET($BN$2,0,0,ROW()-1,60),ROW()-1,FALSE))</f>
        <v>0.57131974900000004</v>
      </c>
      <c r="AF499">
        <f ca="1">IF(AND(ISNUMBER($AF$1159),$B$677=1),$AF$1159,HLOOKUP(INDIRECT(ADDRESS(2,COLUMN())),OFFSET($BN$2,0,0,ROW()-1,60),ROW()-1,FALSE))</f>
        <v>0.57197330800000001</v>
      </c>
      <c r="AG499">
        <f ca="1">IF(AND(ISNUMBER($AG$1159),$B$677=1),$AG$1159,HLOOKUP(INDIRECT(ADDRESS(2,COLUMN())),OFFSET($BN$2,0,0,ROW()-1,60),ROW()-1,FALSE))</f>
        <v>0.55839925599999995</v>
      </c>
      <c r="AH499">
        <f ca="1">IF(AND(ISNUMBER($AH$1159),$B$677=1),$AH$1159,HLOOKUP(INDIRECT(ADDRESS(2,COLUMN())),OFFSET($BN$2,0,0,ROW()-1,60),ROW()-1,FALSE))</f>
        <v>0.37076361299999999</v>
      </c>
      <c r="AI499">
        <f ca="1">IF(AND(ISNUMBER($AI$1159),$B$677=1),$AI$1159,HLOOKUP(INDIRECT(ADDRESS(2,COLUMN())),OFFSET($BN$2,0,0,ROW()-1,60),ROW()-1,FALSE))</f>
        <v>0.40532076500000003</v>
      </c>
      <c r="AJ499">
        <f ca="1">IF(AND(ISNUMBER($AJ$1159),$B$677=1),$AJ$1159,HLOOKUP(INDIRECT(ADDRESS(2,COLUMN())),OFFSET($BN$2,0,0,ROW()-1,60),ROW()-1,FALSE))</f>
        <v>0.41133797900000002</v>
      </c>
      <c r="AK499">
        <f ca="1">IF(AND(ISNUMBER($AK$1159),$B$677=1),$AK$1159,HLOOKUP(INDIRECT(ADDRESS(2,COLUMN())),OFFSET($BN$2,0,0,ROW()-1,60),ROW()-1,FALSE))</f>
        <v>0.37600411</v>
      </c>
      <c r="AL499">
        <f ca="1">IF(AND(ISNUMBER($AL$1159),$B$677=1),$AL$1159,HLOOKUP(INDIRECT(ADDRESS(2,COLUMN())),OFFSET($BN$2,0,0,ROW()-1,60),ROW()-1,FALSE))</f>
        <v>0.25806452000000002</v>
      </c>
      <c r="AM499">
        <f ca="1">IF(AND(ISNUMBER($AM$1159),$B$677=1),$AM$1159,HLOOKUP(INDIRECT(ADDRESS(2,COLUMN())),OFFSET($BN$2,0,0,ROW()-1,60),ROW()-1,FALSE))</f>
        <v>0.25196850799999998</v>
      </c>
      <c r="AN499">
        <f ca="1">IF(AND(ISNUMBER($AN$1159),$B$677=1),$AN$1159,HLOOKUP(INDIRECT(ADDRESS(2,COLUMN())),OFFSET($BN$2,0,0,ROW()-1,60),ROW()-1,FALSE))</f>
        <v>0.26359143699999998</v>
      </c>
      <c r="AO499">
        <f ca="1">IF(AND(ISNUMBER($AO$1159),$B$677=1),$AO$1159,HLOOKUP(INDIRECT(ADDRESS(2,COLUMN())),OFFSET($BN$2,0,0,ROW()-1,60),ROW()-1,FALSE))</f>
        <v>0.28554602200000001</v>
      </c>
      <c r="AP499">
        <f ca="1">IF(AND(ISNUMBER($AP$1159),$B$677=1),$AP$1159,HLOOKUP(INDIRECT(ADDRESS(2,COLUMN())),OFFSET($BN$2,0,0,ROW()-1,60),ROW()-1,FALSE))</f>
        <v>0.33207156700000001</v>
      </c>
      <c r="AQ499">
        <f ca="1">IF(AND(ISNUMBER($AQ$1159),$B$677=1),$AQ$1159,HLOOKUP(INDIRECT(ADDRESS(2,COLUMN())),OFFSET($BN$2,0,0,ROW()-1,60),ROW()-1,FALSE))</f>
        <v>0.38599999000000002</v>
      </c>
      <c r="AR499">
        <f ca="1">IF(AND(ISNUMBER($AR$1159),$B$677=1),$AR$1159,HLOOKUP(INDIRECT(ADDRESS(2,COLUMN())),OFFSET($BN$2,0,0,ROW()-1,60),ROW()-1,FALSE))</f>
        <v>0.47654319699999997</v>
      </c>
      <c r="AS499">
        <f ca="1">IF(AND(ISNUMBER($AS$1159),$B$677=1),$AS$1159,HLOOKUP(INDIRECT(ADDRESS(2,COLUMN())),OFFSET($BN$2,0,0,ROW()-1,60),ROW()-1,FALSE))</f>
        <v>0.50306267400000004</v>
      </c>
      <c r="AT499">
        <f ca="1">IF(AND(ISNUMBER($AT$1159),$B$677=1),$AT$1159,HLOOKUP(INDIRECT(ADDRESS(2,COLUMN())),OFFSET($BN$2,0,0,ROW()-1,60),ROW()-1,FALSE))</f>
        <v>0.57753391499999995</v>
      </c>
      <c r="AU499">
        <f ca="1">IF(AND(ISNUMBER($AU$1159),$B$677=1),$AU$1159,HLOOKUP(INDIRECT(ADDRESS(2,COLUMN())),OFFSET($BN$2,0,0,ROW()-1,60),ROW()-1,FALSE))</f>
        <v>0.38668097800000001</v>
      </c>
      <c r="AV499">
        <f ca="1">IF(AND(ISNUMBER($AV$1159),$B$677=1),$AV$1159,HLOOKUP(INDIRECT(ADDRESS(2,COLUMN())),OFFSET($BN$2,0,0,ROW()-1,60),ROW()-1,FALSE))</f>
        <v>0.37499217800000001</v>
      </c>
      <c r="AW499">
        <f ca="1">IF(AND(ISNUMBER($AW$1159),$B$677=1),$AW$1159,HLOOKUP(INDIRECT(ADDRESS(2,COLUMN())),OFFSET($BN$2,0,0,ROW()-1,60),ROW()-1,FALSE))</f>
        <v>0.34842530199999999</v>
      </c>
      <c r="AX499">
        <f ca="1">IF(AND(ISNUMBER($AX$1159),$B$677=1),$AX$1159,HLOOKUP(INDIRECT(ADDRESS(2,COLUMN())),OFFSET($BN$2,0,0,ROW()-1,60),ROW()-1,FALSE))</f>
        <v>0.33470935200000002</v>
      </c>
      <c r="AY499">
        <f ca="1">IF(AND(ISNUMBER($AY$1159),$B$677=1),$AY$1159,HLOOKUP(INDIRECT(ADDRESS(2,COLUMN())),OFFSET($BN$2,0,0,ROW()-1,60),ROW()-1,FALSE))</f>
        <v>0.20161290300000001</v>
      </c>
      <c r="AZ499">
        <f ca="1">IF(AND(ISNUMBER($AZ$1159),$B$677=1),$AZ$1159,HLOOKUP(INDIRECT(ADDRESS(2,COLUMN())),OFFSET($BN$2,0,0,ROW()-1,60),ROW()-1,FALSE))</f>
        <v>0.229986569</v>
      </c>
      <c r="BA499">
        <f ca="1">IF(AND(ISNUMBER($BA$1159),$B$677=1),$BA$1159,HLOOKUP(INDIRECT(ADDRESS(2,COLUMN())),OFFSET($BN$2,0,0,ROW()-1,60),ROW()-1,FALSE))</f>
        <v>0.22500224999999999</v>
      </c>
      <c r="BB499">
        <f ca="1">IF(AND(ISNUMBER($BB$1159),$B$677=1),$BB$1159,HLOOKUP(INDIRECT(ADDRESS(2,COLUMN())),OFFSET($BN$2,0,0,ROW()-1,60),ROW()-1,FALSE))</f>
        <v>0.22115673799999999</v>
      </c>
      <c r="BC499">
        <f ca="1">IF(AND(ISNUMBER($BC$1159),$B$677=1),$BC$1159,HLOOKUP(INDIRECT(ADDRESS(2,COLUMN())),OFFSET($BN$2,0,0,ROW()-1,60),ROW()-1,FALSE))</f>
        <v>0.21100917</v>
      </c>
      <c r="BD499">
        <f ca="1">IF(AND(ISNUMBER($BD$1159),$B$677=1),$BD$1159,HLOOKUP(INDIRECT(ADDRESS(2,COLUMN())),OFFSET($BN$2,0,0,ROW()-1,60),ROW()-1,FALSE))</f>
        <v>0.26467203099999997</v>
      </c>
      <c r="BE499">
        <f ca="1">IF(AND(ISNUMBER($BE$1159),$B$677=1),$BE$1159,HLOOKUP(INDIRECT(ADDRESS(2,COLUMN())),OFFSET($BN$2,0,0,ROW()-1,60),ROW()-1,FALSE))</f>
        <v>0.37581698600000002</v>
      </c>
      <c r="BF499">
        <f ca="1">IF(AND(ISNUMBER($BF$1159),$B$677=1),$BF$1159,HLOOKUP(INDIRECT(ADDRESS(2,COLUMN())),OFFSET($BN$2,0,0,ROW()-1,60),ROW()-1,FALSE))</f>
        <v>0.34848484099999999</v>
      </c>
      <c r="BG499">
        <f ca="1">IF(AND(ISNUMBER($BG$1159),$B$677=1),$BG$1159,HLOOKUP(INDIRECT(ADDRESS(2,COLUMN())),OFFSET($BN$2,0,0,ROW()-1,60),ROW()-1,FALSE))</f>
        <v>0.34090907500000001</v>
      </c>
      <c r="BH499">
        <f ca="1">IF(AND(ISNUMBER($BH$1159),$B$677=1),$BH$1159,HLOOKUP(INDIRECT(ADDRESS(2,COLUMN())),OFFSET($BN$2,0,0,ROW()-1,60),ROW()-1,FALSE))</f>
        <v>0.44341214200000001</v>
      </c>
      <c r="BI499">
        <f ca="1">IF(AND(ISNUMBER($BI$1159),$B$677=1),$BI$1159,HLOOKUP(INDIRECT(ADDRESS(2,COLUMN())),OFFSET($BN$2,0,0,ROW()-1,60),ROW()-1,FALSE))</f>
        <v>0.437956185</v>
      </c>
      <c r="BJ499">
        <f ca="1">IF(AND(ISNUMBER($BJ$1159),$B$677=1),$BJ$1159,HLOOKUP(INDIRECT(ADDRESS(2,COLUMN())),OFFSET($BN$2,0,0,ROW()-1,60),ROW()-1,FALSE))</f>
        <v>0.45652171800000002</v>
      </c>
      <c r="BK499">
        <f ca="1">IF(AND(ISNUMBER($BK$1159),$B$677=1),$BK$1159,HLOOKUP(INDIRECT(ADDRESS(2,COLUMN())),OFFSET($BN$2,0,0,ROW()-1,60),ROW()-1,FALSE))</f>
        <v>0.47085199700000002</v>
      </c>
      <c r="BL499">
        <f ca="1">IF(AND(ISNUMBER($BL$1159),$B$677=1),$BL$1159,HLOOKUP(INDIRECT(ADDRESS(2,COLUMN())),OFFSET($BN$2,0,0,ROW()-1,60),ROW()-1,FALSE))</f>
        <v>0.48889507500000001</v>
      </c>
      <c r="BM499">
        <f ca="1">IF(AND(ISNUMBER($BM$1159),$B$677=1),$BM$1159,HLOOKUP(INDIRECT(ADDRESS(2,COLUMN())),OFFSET($BN$2,0,0,ROW()-1,60),ROW()-1,FALSE))</f>
        <v>0.47391223700000001</v>
      </c>
      <c r="BN499">
        <f>0.489949761</f>
        <v>0.48994976099999998</v>
      </c>
      <c r="BO499">
        <f>0.49872124</f>
        <v>0.49872124000000001</v>
      </c>
      <c r="BP499">
        <f>0.48387098</f>
        <v>0.48387098000000001</v>
      </c>
      <c r="BQ499">
        <f>0.522088366</f>
        <v>0.52208836599999997</v>
      </c>
      <c r="BR499">
        <f>0.260416667</f>
        <v>0.26041666699999999</v>
      </c>
      <c r="BS499">
        <f>0.275501068</f>
        <v>0.27550106800000002</v>
      </c>
      <c r="BT499">
        <f>0.282585659</f>
        <v>0.28258565899999999</v>
      </c>
      <c r="BU499">
        <f>0.282485876</f>
        <v>0.28248587600000002</v>
      </c>
      <c r="BV499">
        <f>0.017163364</f>
        <v>1.7163364E-2</v>
      </c>
      <c r="BW499">
        <f>0.017432646</f>
        <v>1.7432646E-2</v>
      </c>
      <c r="BX499">
        <f>0.017597184</f>
        <v>1.7597183999999998E-2</v>
      </c>
      <c r="BY499">
        <f>0.017770598</f>
        <v>1.7770597999999999E-2</v>
      </c>
      <c r="BZ499">
        <f>0.765190252</f>
        <v>0.76519025200000002</v>
      </c>
      <c r="CA499">
        <f>0.70796463</f>
        <v>0.70796462999999998</v>
      </c>
      <c r="CB499">
        <f>0.713224397</f>
        <v>0.71322439699999995</v>
      </c>
      <c r="CC499">
        <f>0.622785406</f>
        <v>0.62278540599999999</v>
      </c>
      <c r="CD499">
        <f>0.537839713</f>
        <v>0.537839713</v>
      </c>
      <c r="CE499">
        <f>0.615431956</f>
        <v>0.615431956</v>
      </c>
      <c r="CF499">
        <f>0.664451827</f>
        <v>0.66445182700000005</v>
      </c>
      <c r="CG499">
        <f>0.642054575</f>
        <v>0.64205457499999996</v>
      </c>
      <c r="CH499">
        <f>0.54730258</f>
        <v>0.54730257999999998</v>
      </c>
      <c r="CI499">
        <f>0.548546352</f>
        <v>0.54854635200000001</v>
      </c>
      <c r="CJ499">
        <f>0.575421291</f>
        <v>0.57542129099999995</v>
      </c>
      <c r="CK499">
        <f>0.558080204</f>
        <v>0.55808020400000002</v>
      </c>
      <c r="CL499">
        <f>0.517758245</f>
        <v>0.51775824500000001</v>
      </c>
      <c r="CM499">
        <f>0.571319749</f>
        <v>0.57131974900000004</v>
      </c>
      <c r="CN499">
        <f>0.571973308</f>
        <v>0.57197330800000001</v>
      </c>
      <c r="CO499">
        <f>0.558399256</f>
        <v>0.55839925599999995</v>
      </c>
      <c r="CP499">
        <f>0.370763613</f>
        <v>0.37076361299999999</v>
      </c>
      <c r="CQ499">
        <f>0.405320765</f>
        <v>0.40532076500000003</v>
      </c>
      <c r="CR499">
        <f>0.411337979</f>
        <v>0.41133797900000002</v>
      </c>
      <c r="CS499">
        <f>0.37600411</f>
        <v>0.37600411</v>
      </c>
      <c r="CT499">
        <f>0.25806452</f>
        <v>0.25806452000000002</v>
      </c>
      <c r="CU499">
        <f>0.251968508</f>
        <v>0.25196850799999998</v>
      </c>
      <c r="CV499">
        <f>0.263591437</f>
        <v>0.26359143699999998</v>
      </c>
      <c r="CW499">
        <f>0.285546022</f>
        <v>0.28554602200000001</v>
      </c>
      <c r="CX499">
        <f>0.332071567</f>
        <v>0.33207156700000001</v>
      </c>
      <c r="CY499">
        <f>0.38599999</f>
        <v>0.38599999000000002</v>
      </c>
      <c r="CZ499">
        <f>0.476543197</f>
        <v>0.47654319699999997</v>
      </c>
      <c r="DA499">
        <f>0.503062674</f>
        <v>0.50306267400000004</v>
      </c>
      <c r="DB499">
        <f>0.577533915</f>
        <v>0.57753391499999995</v>
      </c>
      <c r="DC499">
        <f>0.386680978</f>
        <v>0.38668097800000001</v>
      </c>
      <c r="DD499">
        <f>0.374992178</f>
        <v>0.37499217800000001</v>
      </c>
      <c r="DE499">
        <f>0.348425302</f>
        <v>0.34842530199999999</v>
      </c>
      <c r="DF499">
        <f>0.334709352</f>
        <v>0.33470935200000002</v>
      </c>
      <c r="DG499">
        <f>0.201612903</f>
        <v>0.20161290300000001</v>
      </c>
      <c r="DH499">
        <f>0.229986569</f>
        <v>0.229986569</v>
      </c>
      <c r="DI499">
        <f>0.22500225</f>
        <v>0.22500224999999999</v>
      </c>
      <c r="DJ499">
        <f>0.221156738</f>
        <v>0.22115673799999999</v>
      </c>
      <c r="DK499">
        <f>0.21100917</f>
        <v>0.21100917</v>
      </c>
      <c r="DL499">
        <f>0.264672031</f>
        <v>0.26467203099999997</v>
      </c>
      <c r="DM499">
        <f>0.375816986</f>
        <v>0.37581698600000002</v>
      </c>
      <c r="DN499">
        <f>0.348484841</f>
        <v>0.34848484099999999</v>
      </c>
      <c r="DO499">
        <f>0.340909075</f>
        <v>0.34090907500000001</v>
      </c>
      <c r="DP499">
        <f>0.443412142</f>
        <v>0.44341214200000001</v>
      </c>
      <c r="DQ499">
        <f>0.437956185</f>
        <v>0.437956185</v>
      </c>
      <c r="DR499">
        <f>0.456521718</f>
        <v>0.45652171800000002</v>
      </c>
      <c r="DS499">
        <f>0.470851997</f>
        <v>0.47085199700000002</v>
      </c>
      <c r="DT499">
        <f>0.488895075</f>
        <v>0.48889507500000001</v>
      </c>
      <c r="DU499">
        <f>0.473912237</f>
        <v>0.47391223700000001</v>
      </c>
    </row>
    <row r="500" spans="1:125" x14ac:dyDescent="0.25">
      <c r="A500" t="str">
        <f>"    Avtovaz PJSC"</f>
        <v xml:space="preserve">    Avtovaz PJSC</v>
      </c>
      <c r="B500" t="str">
        <f>"AVAZ RM Equity"</f>
        <v>AVAZ RM Equity</v>
      </c>
      <c r="C500" t="str">
        <f t="shared" si="36"/>
        <v>DV013</v>
      </c>
      <c r="D500" t="str">
        <f t="shared" si="37"/>
        <v>EQY_DVD_YLD_IND</v>
      </c>
      <c r="E500" t="str">
        <f t="shared" si="38"/>
        <v>Dynamic</v>
      </c>
      <c r="F500" t="str">
        <f ca="1">IF(AND(ISNUMBER($F$1160),$B$677=1),$F$1160,HLOOKUP(INDIRECT(ADDRESS(2,COLUMN())),OFFSET($BN$2,0,0,ROW()-1,60),ROW()-1,FALSE))</f>
        <v/>
      </c>
      <c r="G500" t="str">
        <f ca="1">IF(AND(ISNUMBER($G$1160),$B$677=1),$G$1160,HLOOKUP(INDIRECT(ADDRESS(2,COLUMN())),OFFSET($BN$2,0,0,ROW()-1,60),ROW()-1,FALSE))</f>
        <v/>
      </c>
      <c r="H500" t="str">
        <f ca="1">IF(AND(ISNUMBER($H$1160),$B$677=1),$H$1160,HLOOKUP(INDIRECT(ADDRESS(2,COLUMN())),OFFSET($BN$2,0,0,ROW()-1,60),ROW()-1,FALSE))</f>
        <v/>
      </c>
      <c r="I500" t="str">
        <f ca="1">IF(AND(ISNUMBER($I$1160),$B$677=1),$I$1160,HLOOKUP(INDIRECT(ADDRESS(2,COLUMN())),OFFSET($BN$2,0,0,ROW()-1,60),ROW()-1,FALSE))</f>
        <v/>
      </c>
      <c r="J500" t="str">
        <f ca="1">IF(AND(ISNUMBER($J$1160),$B$677=1),$J$1160,HLOOKUP(INDIRECT(ADDRESS(2,COLUMN())),OFFSET($BN$2,0,0,ROW()-1,60),ROW()-1,FALSE))</f>
        <v/>
      </c>
      <c r="K500" t="str">
        <f ca="1">IF(AND(ISNUMBER($K$1160),$B$677=1),$K$1160,HLOOKUP(INDIRECT(ADDRESS(2,COLUMN())),OFFSET($BN$2,0,0,ROW()-1,60),ROW()-1,FALSE))</f>
        <v/>
      </c>
      <c r="L500" t="str">
        <f ca="1">IF(AND(ISNUMBER($L$1160),$B$677=1),$L$1160,HLOOKUP(INDIRECT(ADDRESS(2,COLUMN())),OFFSET($BN$2,0,0,ROW()-1,60),ROW()-1,FALSE))</f>
        <v/>
      </c>
      <c r="M500" t="str">
        <f ca="1">IF(AND(ISNUMBER($M$1160),$B$677=1),$M$1160,HLOOKUP(INDIRECT(ADDRESS(2,COLUMN())),OFFSET($BN$2,0,0,ROW()-1,60),ROW()-1,FALSE))</f>
        <v/>
      </c>
      <c r="N500" t="str">
        <f ca="1">IF(AND(ISNUMBER($N$1160),$B$677=1),$N$1160,HLOOKUP(INDIRECT(ADDRESS(2,COLUMN())),OFFSET($BN$2,0,0,ROW()-1,60),ROW()-1,FALSE))</f>
        <v/>
      </c>
      <c r="O500" t="str">
        <f ca="1">IF(AND(ISNUMBER($O$1160),$B$677=1),$O$1160,HLOOKUP(INDIRECT(ADDRESS(2,COLUMN())),OFFSET($BN$2,0,0,ROW()-1,60),ROW()-1,FALSE))</f>
        <v/>
      </c>
      <c r="P500" t="str">
        <f ca="1">IF(AND(ISNUMBER($P$1160),$B$677=1),$P$1160,HLOOKUP(INDIRECT(ADDRESS(2,COLUMN())),OFFSET($BN$2,0,0,ROW()-1,60),ROW()-1,FALSE))</f>
        <v/>
      </c>
      <c r="Q500" t="str">
        <f ca="1">IF(AND(ISNUMBER($Q$1160),$B$677=1),$Q$1160,HLOOKUP(INDIRECT(ADDRESS(2,COLUMN())),OFFSET($BN$2,0,0,ROW()-1,60),ROW()-1,FALSE))</f>
        <v/>
      </c>
      <c r="R500" t="str">
        <f ca="1">IF(AND(ISNUMBER($R$1160),$B$677=1),$R$1160,HLOOKUP(INDIRECT(ADDRESS(2,COLUMN())),OFFSET($BN$2,0,0,ROW()-1,60),ROW()-1,FALSE))</f>
        <v/>
      </c>
      <c r="S500" t="str">
        <f ca="1">IF(AND(ISNUMBER($S$1160),$B$677=1),$S$1160,HLOOKUP(INDIRECT(ADDRESS(2,COLUMN())),OFFSET($BN$2,0,0,ROW()-1,60),ROW()-1,FALSE))</f>
        <v/>
      </c>
      <c r="T500" t="str">
        <f ca="1">IF(AND(ISNUMBER($T$1160),$B$677=1),$T$1160,HLOOKUP(INDIRECT(ADDRESS(2,COLUMN())),OFFSET($BN$2,0,0,ROW()-1,60),ROW()-1,FALSE))</f>
        <v/>
      </c>
      <c r="U500" t="str">
        <f ca="1">IF(AND(ISNUMBER($U$1160),$B$677=1),$U$1160,HLOOKUP(INDIRECT(ADDRESS(2,COLUMN())),OFFSET($BN$2,0,0,ROW()-1,60),ROW()-1,FALSE))</f>
        <v/>
      </c>
      <c r="V500" t="str">
        <f ca="1">IF(AND(ISNUMBER($V$1160),$B$677=1),$V$1160,HLOOKUP(INDIRECT(ADDRESS(2,COLUMN())),OFFSET($BN$2,0,0,ROW()-1,60),ROW()-1,FALSE))</f>
        <v/>
      </c>
      <c r="W500" t="str">
        <f ca="1">IF(AND(ISNUMBER($W$1160),$B$677=1),$W$1160,HLOOKUP(INDIRECT(ADDRESS(2,COLUMN())),OFFSET($BN$2,0,0,ROW()-1,60),ROW()-1,FALSE))</f>
        <v/>
      </c>
      <c r="X500" t="str">
        <f ca="1">IF(AND(ISNUMBER($X$1160),$B$677=1),$X$1160,HLOOKUP(INDIRECT(ADDRESS(2,COLUMN())),OFFSET($BN$2,0,0,ROW()-1,60),ROW()-1,FALSE))</f>
        <v/>
      </c>
      <c r="Y500" t="str">
        <f ca="1">IF(AND(ISNUMBER($Y$1160),$B$677=1),$Y$1160,HLOOKUP(INDIRECT(ADDRESS(2,COLUMN())),OFFSET($BN$2,0,0,ROW()-1,60),ROW()-1,FALSE))</f>
        <v/>
      </c>
      <c r="Z500" t="str">
        <f ca="1">IF(AND(ISNUMBER($Z$1160),$B$677=1),$Z$1160,HLOOKUP(INDIRECT(ADDRESS(2,COLUMN())),OFFSET($BN$2,0,0,ROW()-1,60),ROW()-1,FALSE))</f>
        <v/>
      </c>
      <c r="AA500" t="str">
        <f ca="1">IF(AND(ISNUMBER($AA$1160),$B$677=1),$AA$1160,HLOOKUP(INDIRECT(ADDRESS(2,COLUMN())),OFFSET($BN$2,0,0,ROW()-1,60),ROW()-1,FALSE))</f>
        <v/>
      </c>
      <c r="AB500" t="str">
        <f ca="1">IF(AND(ISNUMBER($AB$1160),$B$677=1),$AB$1160,HLOOKUP(INDIRECT(ADDRESS(2,COLUMN())),OFFSET($BN$2,0,0,ROW()-1,60),ROW()-1,FALSE))</f>
        <v/>
      </c>
      <c r="AC500" t="str">
        <f ca="1">IF(AND(ISNUMBER($AC$1160),$B$677=1),$AC$1160,HLOOKUP(INDIRECT(ADDRESS(2,COLUMN())),OFFSET($BN$2,0,0,ROW()-1,60),ROW()-1,FALSE))</f>
        <v/>
      </c>
      <c r="AD500" t="str">
        <f ca="1">IF(AND(ISNUMBER($AD$1160),$B$677=1),$AD$1160,HLOOKUP(INDIRECT(ADDRESS(2,COLUMN())),OFFSET($BN$2,0,0,ROW()-1,60),ROW()-1,FALSE))</f>
        <v/>
      </c>
      <c r="AE500" t="str">
        <f ca="1">IF(AND(ISNUMBER($AE$1160),$B$677=1),$AE$1160,HLOOKUP(INDIRECT(ADDRESS(2,COLUMN())),OFFSET($BN$2,0,0,ROW()-1,60),ROW()-1,FALSE))</f>
        <v/>
      </c>
      <c r="AF500" t="str">
        <f ca="1">IF(AND(ISNUMBER($AF$1160),$B$677=1),$AF$1160,HLOOKUP(INDIRECT(ADDRESS(2,COLUMN())),OFFSET($BN$2,0,0,ROW()-1,60),ROW()-1,FALSE))</f>
        <v/>
      </c>
      <c r="AG500" t="str">
        <f ca="1">IF(AND(ISNUMBER($AG$1160),$B$677=1),$AG$1160,HLOOKUP(INDIRECT(ADDRESS(2,COLUMN())),OFFSET($BN$2,0,0,ROW()-1,60),ROW()-1,FALSE))</f>
        <v/>
      </c>
      <c r="AH500" t="str">
        <f ca="1">IF(AND(ISNUMBER($AH$1160),$B$677=1),$AH$1160,HLOOKUP(INDIRECT(ADDRESS(2,COLUMN())),OFFSET($BN$2,0,0,ROW()-1,60),ROW()-1,FALSE))</f>
        <v/>
      </c>
      <c r="AI500" t="str">
        <f ca="1">IF(AND(ISNUMBER($AI$1160),$B$677=1),$AI$1160,HLOOKUP(INDIRECT(ADDRESS(2,COLUMN())),OFFSET($BN$2,0,0,ROW()-1,60),ROW()-1,FALSE))</f>
        <v/>
      </c>
      <c r="AJ500" t="str">
        <f ca="1">IF(AND(ISNUMBER($AJ$1160),$B$677=1),$AJ$1160,HLOOKUP(INDIRECT(ADDRESS(2,COLUMN())),OFFSET($BN$2,0,0,ROW()-1,60),ROW()-1,FALSE))</f>
        <v/>
      </c>
      <c r="AK500" t="str">
        <f ca="1">IF(AND(ISNUMBER($AK$1160),$B$677=1),$AK$1160,HLOOKUP(INDIRECT(ADDRESS(2,COLUMN())),OFFSET($BN$2,0,0,ROW()-1,60),ROW()-1,FALSE))</f>
        <v/>
      </c>
      <c r="AL500" t="str">
        <f ca="1">IF(AND(ISNUMBER($AL$1160),$B$677=1),$AL$1160,HLOOKUP(INDIRECT(ADDRESS(2,COLUMN())),OFFSET($BN$2,0,0,ROW()-1,60),ROW()-1,FALSE))</f>
        <v/>
      </c>
      <c r="AM500" t="str">
        <f ca="1">IF(AND(ISNUMBER($AM$1160),$B$677=1),$AM$1160,HLOOKUP(INDIRECT(ADDRESS(2,COLUMN())),OFFSET($BN$2,0,0,ROW()-1,60),ROW()-1,FALSE))</f>
        <v/>
      </c>
      <c r="AN500" t="str">
        <f ca="1">IF(AND(ISNUMBER($AN$1160),$B$677=1),$AN$1160,HLOOKUP(INDIRECT(ADDRESS(2,COLUMN())),OFFSET($BN$2,0,0,ROW()-1,60),ROW()-1,FALSE))</f>
        <v/>
      </c>
      <c r="AO500" t="str">
        <f ca="1">IF(AND(ISNUMBER($AO$1160),$B$677=1),$AO$1160,HLOOKUP(INDIRECT(ADDRESS(2,COLUMN())),OFFSET($BN$2,0,0,ROW()-1,60),ROW()-1,FALSE))</f>
        <v/>
      </c>
      <c r="AP500" t="str">
        <f ca="1">IF(AND(ISNUMBER($AP$1160),$B$677=1),$AP$1160,HLOOKUP(INDIRECT(ADDRESS(2,COLUMN())),OFFSET($BN$2,0,0,ROW()-1,60),ROW()-1,FALSE))</f>
        <v/>
      </c>
      <c r="AQ500" t="str">
        <f ca="1">IF(AND(ISNUMBER($AQ$1160),$B$677=1),$AQ$1160,HLOOKUP(INDIRECT(ADDRESS(2,COLUMN())),OFFSET($BN$2,0,0,ROW()-1,60),ROW()-1,FALSE))</f>
        <v/>
      </c>
      <c r="AR500" t="str">
        <f ca="1">IF(AND(ISNUMBER($AR$1160),$B$677=1),$AR$1160,HLOOKUP(INDIRECT(ADDRESS(2,COLUMN())),OFFSET($BN$2,0,0,ROW()-1,60),ROW()-1,FALSE))</f>
        <v/>
      </c>
      <c r="AS500">
        <f ca="1">IF(AND(ISNUMBER($AS$1160),$B$677=1),$AS$1160,HLOOKUP(INDIRECT(ADDRESS(2,COLUMN())),OFFSET($BN$2,0,0,ROW()-1,60),ROW()-1,FALSE))</f>
        <v>2.2720151139999998</v>
      </c>
      <c r="AT500">
        <f ca="1">IF(AND(ISNUMBER($AT$1160),$B$677=1),$AT$1160,HLOOKUP(INDIRECT(ADDRESS(2,COLUMN())),OFFSET($BN$2,0,0,ROW()-1,60),ROW()-1,FALSE))</f>
        <v>2.2762952049999998</v>
      </c>
      <c r="AU500">
        <f ca="1">IF(AND(ISNUMBER($AU$1160),$B$677=1),$AU$1160,HLOOKUP(INDIRECT(ADDRESS(2,COLUMN())),OFFSET($BN$2,0,0,ROW()-1,60),ROW()-1,FALSE))</f>
        <v>3.9829694980000001</v>
      </c>
      <c r="AV500">
        <f ca="1">IF(AND(ISNUMBER($AV$1160),$B$677=1),$AV$1160,HLOOKUP(INDIRECT(ADDRESS(2,COLUMN())),OFFSET($BN$2,0,0,ROW()-1,60),ROW()-1,FALSE))</f>
        <v>2.471239959</v>
      </c>
      <c r="AW500">
        <f ca="1">IF(AND(ISNUMBER($AW$1160),$B$677=1),$AW$1160,HLOOKUP(INDIRECT(ADDRESS(2,COLUMN())),OFFSET($BN$2,0,0,ROW()-1,60),ROW()-1,FALSE))</f>
        <v>0.78087136899999998</v>
      </c>
      <c r="AX500">
        <f ca="1">IF(AND(ISNUMBER($AX$1160),$B$677=1),$AX$1160,HLOOKUP(INDIRECT(ADDRESS(2,COLUMN())),OFFSET($BN$2,0,0,ROW()-1,60),ROW()-1,FALSE))</f>
        <v>0.25963549800000002</v>
      </c>
      <c r="AY500">
        <f ca="1">IF(AND(ISNUMBER($AY$1160),$B$677=1),$AY$1160,HLOOKUP(INDIRECT(ADDRESS(2,COLUMN())),OFFSET($BN$2,0,0,ROW()-1,60),ROW()-1,FALSE))</f>
        <v>0.221196174</v>
      </c>
      <c r="AZ500">
        <f ca="1">IF(AND(ISNUMBER($AZ$1160),$B$677=1),$AZ$1160,HLOOKUP(INDIRECT(ADDRESS(2,COLUMN())),OFFSET($BN$2,0,0,ROW()-1,60),ROW()-1,FALSE))</f>
        <v>0.25304140600000002</v>
      </c>
      <c r="BA500">
        <f ca="1">IF(AND(ISNUMBER($BA$1160),$B$677=1),$BA$1160,HLOOKUP(INDIRECT(ADDRESS(2,COLUMN())),OFFSET($BN$2,0,0,ROW()-1,60),ROW()-1,FALSE))</f>
        <v>0.26293216600000002</v>
      </c>
      <c r="BB500">
        <f ca="1">IF(AND(ISNUMBER($BB$1160),$B$677=1),$BB$1160,HLOOKUP(INDIRECT(ADDRESS(2,COLUMN())),OFFSET($BN$2,0,0,ROW()-1,60),ROW()-1,FALSE))</f>
        <v>0.20790173300000001</v>
      </c>
      <c r="BC500">
        <f ca="1">IF(AND(ISNUMBER($BC$1160),$B$677=1),$BC$1160,HLOOKUP(INDIRECT(ADDRESS(2,COLUMN())),OFFSET($BN$2,0,0,ROW()-1,60),ROW()-1,FALSE))</f>
        <v>0.31867788400000002</v>
      </c>
      <c r="BD500">
        <f ca="1">IF(AND(ISNUMBER($BD$1160),$B$677=1),$BD$1160,HLOOKUP(INDIRECT(ADDRESS(2,COLUMN())),OFFSET($BN$2,0,0,ROW()-1,60),ROW()-1,FALSE))</f>
        <v>0.32097668800000001</v>
      </c>
      <c r="BE500">
        <f ca="1">IF(AND(ISNUMBER($BE$1160),$B$677=1),$BE$1160,HLOOKUP(INDIRECT(ADDRESS(2,COLUMN())),OFFSET($BN$2,0,0,ROW()-1,60),ROW()-1,FALSE))</f>
        <v>0.39436269699999998</v>
      </c>
      <c r="BF500">
        <f ca="1">IF(AND(ISNUMBER($BF$1160),$B$677=1),$BF$1160,HLOOKUP(INDIRECT(ADDRESS(2,COLUMN())),OFFSET($BN$2,0,0,ROW()-1,60),ROW()-1,FALSE))</f>
        <v>1.305601587</v>
      </c>
      <c r="BG500">
        <f ca="1">IF(AND(ISNUMBER($BG$1160),$B$677=1),$BG$1160,HLOOKUP(INDIRECT(ADDRESS(2,COLUMN())),OFFSET($BN$2,0,0,ROW()-1,60),ROW()-1,FALSE))</f>
        <v>2.2080989029999998</v>
      </c>
      <c r="BH500">
        <f ca="1">IF(AND(ISNUMBER($BH$1160),$B$677=1),$BH$1160,HLOOKUP(INDIRECT(ADDRESS(2,COLUMN())),OFFSET($BN$2,0,0,ROW()-1,60),ROW()-1,FALSE))</f>
        <v>3.2415824259999999</v>
      </c>
      <c r="BI500">
        <f ca="1">IF(AND(ISNUMBER($BI$1160),$B$677=1),$BI$1160,HLOOKUP(INDIRECT(ADDRESS(2,COLUMN())),OFFSET($BN$2,0,0,ROW()-1,60),ROW()-1,FALSE))</f>
        <v>3.395134594</v>
      </c>
      <c r="BJ500">
        <f ca="1">IF(AND(ISNUMBER($BJ$1160),$B$677=1),$BJ$1160,HLOOKUP(INDIRECT(ADDRESS(2,COLUMN())),OFFSET($BN$2,0,0,ROW()-1,60),ROW()-1,FALSE))</f>
        <v>0.72494411000000003</v>
      </c>
      <c r="BK500">
        <f ca="1">IF(AND(ISNUMBER($BK$1160),$B$677=1),$BK$1160,HLOOKUP(INDIRECT(ADDRESS(2,COLUMN())),OFFSET($BN$2,0,0,ROW()-1,60),ROW()-1,FALSE))</f>
        <v>0.77205171800000005</v>
      </c>
      <c r="BL500">
        <f ca="1">IF(AND(ISNUMBER($BL$1160),$B$677=1),$BL$1160,HLOOKUP(INDIRECT(ADDRESS(2,COLUMN())),OFFSET($BN$2,0,0,ROW()-1,60),ROW()-1,FALSE))</f>
        <v>0.78733956999999999</v>
      </c>
      <c r="BM500">
        <f ca="1">IF(AND(ISNUMBER($BM$1160),$B$677=1),$BM$1160,HLOOKUP(INDIRECT(ADDRESS(2,COLUMN())),OFFSET($BN$2,0,0,ROW()-1,60),ROW()-1,FALSE))</f>
        <v>0.85942646599999994</v>
      </c>
      <c r="BN500" t="str">
        <f>""</f>
        <v/>
      </c>
      <c r="BO500" t="str">
        <f>""</f>
        <v/>
      </c>
      <c r="BP500" t="str">
        <f>""</f>
        <v/>
      </c>
      <c r="BQ500" t="str">
        <f>""</f>
        <v/>
      </c>
      <c r="BR500" t="str">
        <f>""</f>
        <v/>
      </c>
      <c r="BS500" t="str">
        <f>""</f>
        <v/>
      </c>
      <c r="BT500" t="str">
        <f>""</f>
        <v/>
      </c>
      <c r="BU500" t="str">
        <f>""</f>
        <v/>
      </c>
      <c r="BV500" t="str">
        <f>""</f>
        <v/>
      </c>
      <c r="BW500" t="str">
        <f>""</f>
        <v/>
      </c>
      <c r="BX500" t="str">
        <f>""</f>
        <v/>
      </c>
      <c r="BY500" t="str">
        <f>""</f>
        <v/>
      </c>
      <c r="BZ500" t="str">
        <f>""</f>
        <v/>
      </c>
      <c r="CA500" t="str">
        <f>""</f>
        <v/>
      </c>
      <c r="CB500" t="str">
        <f>""</f>
        <v/>
      </c>
      <c r="CC500" t="str">
        <f>""</f>
        <v/>
      </c>
      <c r="CD500" t="str">
        <f>""</f>
        <v/>
      </c>
      <c r="CE500" t="str">
        <f>""</f>
        <v/>
      </c>
      <c r="CF500" t="str">
        <f>""</f>
        <v/>
      </c>
      <c r="CG500" t="str">
        <f>""</f>
        <v/>
      </c>
      <c r="CH500" t="str">
        <f>""</f>
        <v/>
      </c>
      <c r="CI500" t="str">
        <f>""</f>
        <v/>
      </c>
      <c r="CJ500" t="str">
        <f>""</f>
        <v/>
      </c>
      <c r="CK500" t="str">
        <f>""</f>
        <v/>
      </c>
      <c r="CL500" t="str">
        <f>""</f>
        <v/>
      </c>
      <c r="CM500" t="str">
        <f>""</f>
        <v/>
      </c>
      <c r="CN500" t="str">
        <f>""</f>
        <v/>
      </c>
      <c r="CO500" t="str">
        <f>""</f>
        <v/>
      </c>
      <c r="CP500" t="str">
        <f>""</f>
        <v/>
      </c>
      <c r="CQ500" t="str">
        <f>""</f>
        <v/>
      </c>
      <c r="CR500" t="str">
        <f>""</f>
        <v/>
      </c>
      <c r="CS500" t="str">
        <f>""</f>
        <v/>
      </c>
      <c r="CT500" t="str">
        <f>""</f>
        <v/>
      </c>
      <c r="CU500" t="str">
        <f>""</f>
        <v/>
      </c>
      <c r="CV500" t="str">
        <f>""</f>
        <v/>
      </c>
      <c r="CW500" t="str">
        <f>""</f>
        <v/>
      </c>
      <c r="CX500" t="str">
        <f>""</f>
        <v/>
      </c>
      <c r="CY500" t="str">
        <f>""</f>
        <v/>
      </c>
      <c r="CZ500" t="str">
        <f>""</f>
        <v/>
      </c>
      <c r="DA500">
        <f>2.272015114</f>
        <v>2.2720151139999998</v>
      </c>
      <c r="DB500">
        <f>2.276295205</f>
        <v>2.2762952049999998</v>
      </c>
      <c r="DC500">
        <f>3.982969498</f>
        <v>3.9829694980000001</v>
      </c>
      <c r="DD500">
        <f>2.471239959</f>
        <v>2.471239959</v>
      </c>
      <c r="DE500">
        <f>0.780871369</f>
        <v>0.78087136899999998</v>
      </c>
      <c r="DF500">
        <f>0.259635498</f>
        <v>0.25963549800000002</v>
      </c>
      <c r="DG500">
        <f>0.221196174</f>
        <v>0.221196174</v>
      </c>
      <c r="DH500">
        <f>0.253041406</f>
        <v>0.25304140600000002</v>
      </c>
      <c r="DI500">
        <f>0.262932166</f>
        <v>0.26293216600000002</v>
      </c>
      <c r="DJ500">
        <f>0.207901733</f>
        <v>0.20790173300000001</v>
      </c>
      <c r="DK500">
        <f>0.318677884</f>
        <v>0.31867788400000002</v>
      </c>
      <c r="DL500">
        <f>0.320976688</f>
        <v>0.32097668800000001</v>
      </c>
      <c r="DM500">
        <f>0.394362697</f>
        <v>0.39436269699999998</v>
      </c>
      <c r="DN500">
        <f>1.305601587</f>
        <v>1.305601587</v>
      </c>
      <c r="DO500">
        <f>2.208098903</f>
        <v>2.2080989029999998</v>
      </c>
      <c r="DP500">
        <f>3.241582426</f>
        <v>3.2415824259999999</v>
      </c>
      <c r="DQ500">
        <f>3.395134594</f>
        <v>3.395134594</v>
      </c>
      <c r="DR500">
        <f>0.72494411</f>
        <v>0.72494411000000003</v>
      </c>
      <c r="DS500">
        <f>0.772051718</f>
        <v>0.77205171800000005</v>
      </c>
      <c r="DT500">
        <f>0.78733957</f>
        <v>0.78733956999999999</v>
      </c>
      <c r="DU500">
        <f>0.859426466</f>
        <v>0.85942646599999994</v>
      </c>
    </row>
    <row r="501" spans="1:125" x14ac:dyDescent="0.25">
      <c r="A501" t="str">
        <f>"    Bayerische Motoren Werke AG"</f>
        <v xml:space="preserve">    Bayerische Motoren Werke AG</v>
      </c>
      <c r="B501" t="str">
        <f>"BMW GR Equity"</f>
        <v>BMW GR Equity</v>
      </c>
      <c r="C501" t="str">
        <f t="shared" si="36"/>
        <v>DV013</v>
      </c>
      <c r="D501" t="str">
        <f t="shared" si="37"/>
        <v>EQY_DVD_YLD_IND</v>
      </c>
      <c r="E501" t="str">
        <f t="shared" si="38"/>
        <v>Dynamic</v>
      </c>
      <c r="F501">
        <f ca="1">IF(AND(ISNUMBER($F$1161),$B$677=1),$F$1161,HLOOKUP(INDIRECT(ADDRESS(2,COLUMN())),OFFSET($BN$2,0,0,ROW()-1,60),ROW()-1,FALSE))</f>
        <v>5.4749520939999998</v>
      </c>
      <c r="G501">
        <f ca="1">IF(AND(ISNUMBER($G$1161),$B$677=1),$G$1161,HLOOKUP(INDIRECT(ADDRESS(2,COLUMN())),OFFSET($BN$2,0,0,ROW()-1,60),ROW()-1,FALSE))</f>
        <v>5.657708628</v>
      </c>
      <c r="H501">
        <f ca="1">IF(AND(ISNUMBER($H$1161),$B$677=1),$H$1161,HLOOKUP(INDIRECT(ADDRESS(2,COLUMN())),OFFSET($BN$2,0,0,ROW()-1,60),ROW()-1,FALSE))</f>
        <v>5.1612903230000002</v>
      </c>
      <c r="I501">
        <f ca="1">IF(AND(ISNUMBER($I$1161),$B$677=1),$I$1161,HLOOKUP(INDIRECT(ADDRESS(2,COLUMN())),OFFSET($BN$2,0,0,ROW()-1,60),ROW()-1,FALSE))</f>
        <v>5.1546391749999998</v>
      </c>
      <c r="J501">
        <f ca="1">IF(AND(ISNUMBER($J$1161),$B$677=1),$J$1161,HLOOKUP(INDIRECT(ADDRESS(2,COLUMN())),OFFSET($BN$2,0,0,ROW()-1,60),ROW()-1,FALSE))</f>
        <v>4.5336053500000002</v>
      </c>
      <c r="K501">
        <f ca="1">IF(AND(ISNUMBER($K$1161),$B$677=1),$K$1161,HLOOKUP(INDIRECT(ADDRESS(2,COLUMN())),OFFSET($BN$2,0,0,ROW()-1,60),ROW()-1,FALSE))</f>
        <v>4.0308649079999999</v>
      </c>
      <c r="L501">
        <f ca="1">IF(AND(ISNUMBER($L$1161),$B$677=1),$L$1161,HLOOKUP(INDIRECT(ADDRESS(2,COLUMN())),OFFSET($BN$2,0,0,ROW()-1,60),ROW()-1,FALSE))</f>
        <v>4.0892627639999999</v>
      </c>
      <c r="M501">
        <f ca="1">IF(AND(ISNUMBER($M$1161),$B$677=1),$M$1161,HLOOKUP(INDIRECT(ADDRESS(2,COLUMN())),OFFSET($BN$2,0,0,ROW()-1,60),ROW()-1,FALSE))</f>
        <v>4.292266562</v>
      </c>
      <c r="N501">
        <f ca="1">IF(AND(ISNUMBER($N$1161),$B$677=1),$N$1161,HLOOKUP(INDIRECT(ADDRESS(2,COLUMN())),OFFSET($BN$2,0,0,ROW()-1,60),ROW()-1,FALSE))</f>
        <v>4.092944932</v>
      </c>
      <c r="O501">
        <f ca="1">IF(AND(ISNUMBER($O$1161),$B$677=1),$O$1161,HLOOKUP(INDIRECT(ADDRESS(2,COLUMN())),OFFSET($BN$2,0,0,ROW()-1,60),ROW()-1,FALSE))</f>
        <v>3.6056338569999999</v>
      </c>
      <c r="P501">
        <f ca="1">IF(AND(ISNUMBER($P$1161),$B$677=1),$P$1161,HLOOKUP(INDIRECT(ADDRESS(2,COLUMN())),OFFSET($BN$2,0,0,ROW()-1,60),ROW()-1,FALSE))</f>
        <v>4.2809365189999999</v>
      </c>
      <c r="Q501">
        <f ca="1">IF(AND(ISNUMBER($Q$1161),$B$677=1),$Q$1161,HLOOKUP(INDIRECT(ADDRESS(2,COLUMN())),OFFSET($BN$2,0,0,ROW()-1,60),ROW()-1,FALSE))</f>
        <v>4.8401979150000001</v>
      </c>
      <c r="R501">
        <f ca="1">IF(AND(ISNUMBER($R$1161),$B$677=1),$R$1161,HLOOKUP(INDIRECT(ADDRESS(2,COLUMN())),OFFSET($BN$2,0,0,ROW()-1,60),ROW()-1,FALSE))</f>
        <v>3.964664983</v>
      </c>
      <c r="S501">
        <f ca="1">IF(AND(ISNUMBER($S$1161),$B$677=1),$S$1161,HLOOKUP(INDIRECT(ADDRESS(2,COLUMN())),OFFSET($BN$2,0,0,ROW()-1,60),ROW()-1,FALSE))</f>
        <v>2.9703985409999998</v>
      </c>
      <c r="T501">
        <f ca="1">IF(AND(ISNUMBER($T$1161),$B$677=1),$T$1161,HLOOKUP(INDIRECT(ADDRESS(2,COLUMN())),OFFSET($BN$2,0,0,ROW()-1,60),ROW()-1,FALSE))</f>
        <v>3.6685643209999999</v>
      </c>
      <c r="U501">
        <f ca="1">IF(AND(ISNUMBER($U$1161),$B$677=1),$U$1161,HLOOKUP(INDIRECT(ADDRESS(2,COLUMN())),OFFSET($BN$2,0,0,ROW()-1,60),ROW()-1,FALSE))</f>
        <v>2.943803897</v>
      </c>
      <c r="V501">
        <f ca="1">IF(AND(ISNUMBER($V$1161),$B$677=1),$V$1161,HLOOKUP(INDIRECT(ADDRESS(2,COLUMN())),OFFSET($BN$2,0,0,ROW()-1,60),ROW()-1,FALSE))</f>
        <v>2.5058759290000001</v>
      </c>
      <c r="W501">
        <f ca="1">IF(AND(ISNUMBER($W$1161),$B$677=1),$W$1161,HLOOKUP(INDIRECT(ADDRESS(2,COLUMN())),OFFSET($BN$2,0,0,ROW()-1,60),ROW()-1,FALSE))</f>
        <v>2.8962904140000001</v>
      </c>
      <c r="X501">
        <f ca="1">IF(AND(ISNUMBER($X$1161),$B$677=1),$X$1161,HLOOKUP(INDIRECT(ADDRESS(2,COLUMN())),OFFSET($BN$2,0,0,ROW()-1,60),ROW()-1,FALSE))</f>
        <v>3.0197443719999999</v>
      </c>
      <c r="Y501">
        <f ca="1">IF(AND(ISNUMBER($Y$1161),$B$677=1),$Y$1161,HLOOKUP(INDIRECT(ADDRESS(2,COLUMN())),OFFSET($BN$2,0,0,ROW()-1,60),ROW()-1,FALSE))</f>
        <v>2.8111146119999999</v>
      </c>
      <c r="Z501">
        <f ca="1">IF(AND(ISNUMBER($Z$1161),$B$677=1),$Z$1161,HLOOKUP(INDIRECT(ADDRESS(2,COLUMN())),OFFSET($BN$2,0,0,ROW()-1,60),ROW()-1,FALSE))</f>
        <v>2.8418405340000001</v>
      </c>
      <c r="AA501">
        <f ca="1">IF(AND(ISNUMBER($AA$1161),$B$677=1),$AA$1161,HLOOKUP(INDIRECT(ADDRESS(2,COLUMN())),OFFSET($BN$2,0,0,ROW()-1,60),ROW()-1,FALSE))</f>
        <v>2.9335836660000001</v>
      </c>
      <c r="AB501">
        <f ca="1">IF(AND(ISNUMBER($AB$1161),$B$677=1),$AB$1161,HLOOKUP(INDIRECT(ADDRESS(2,COLUMN())),OFFSET($BN$2,0,0,ROW()-1,60),ROW()-1,FALSE))</f>
        <v>3.1379440189999999</v>
      </c>
      <c r="AC501">
        <f ca="1">IF(AND(ISNUMBER($AC$1161),$B$677=1),$AC$1161,HLOOKUP(INDIRECT(ADDRESS(2,COLUMN())),OFFSET($BN$2,0,0,ROW()-1,60),ROW()-1,FALSE))</f>
        <v>3.7167536390000002</v>
      </c>
      <c r="AD501">
        <f ca="1">IF(AND(ISNUMBER($AD$1161),$B$677=1),$AD$1161,HLOOKUP(INDIRECT(ADDRESS(2,COLUMN())),OFFSET($BN$2,0,0,ROW()-1,60),ROW()-1,FALSE))</f>
        <v>3.6829699470000001</v>
      </c>
      <c r="AE501">
        <f ca="1">IF(AND(ISNUMBER($AE$1161),$B$677=1),$AE$1161,HLOOKUP(INDIRECT(ADDRESS(2,COLUMN())),OFFSET($BN$2,0,0,ROW()-1,60),ROW()-1,FALSE))</f>
        <v>3.1537089709999999</v>
      </c>
      <c r="AF501">
        <f ca="1">IF(AND(ISNUMBER($AF$1161),$B$677=1),$AF$1161,HLOOKUP(INDIRECT(ADDRESS(2,COLUMN())),OFFSET($BN$2,0,0,ROW()-1,60),ROW()-1,FALSE))</f>
        <v>4.0259057450000002</v>
      </c>
      <c r="AG501">
        <f ca="1">IF(AND(ISNUMBER($AG$1161),$B$677=1),$AG$1161,HLOOKUP(INDIRECT(ADDRESS(2,COLUMN())),OFFSET($BN$2,0,0,ROW()-1,60),ROW()-1,FALSE))</f>
        <v>4.0443115040000004</v>
      </c>
      <c r="AH501">
        <f ca="1">IF(AND(ISNUMBER($AH$1161),$B$677=1),$AH$1161,HLOOKUP(INDIRECT(ADDRESS(2,COLUMN())),OFFSET($BN$2,0,0,ROW()-1,60),ROW()-1,FALSE))</f>
        <v>3.411956612</v>
      </c>
      <c r="AI501">
        <f ca="1">IF(AND(ISNUMBER($AI$1161),$B$677=1),$AI$1161,HLOOKUP(INDIRECT(ADDRESS(2,COLUMN())),OFFSET($BN$2,0,0,ROW()-1,60),ROW()-1,FALSE))</f>
        <v>2.5115918709999998</v>
      </c>
      <c r="AJ501">
        <f ca="1">IF(AND(ISNUMBER($AJ$1161),$B$677=1),$AJ$1161,HLOOKUP(INDIRECT(ADDRESS(2,COLUMN())),OFFSET($BN$2,0,0,ROW()-1,60),ROW()-1,FALSE))</f>
        <v>2.6109659619999999</v>
      </c>
      <c r="AK501">
        <f ca="1">IF(AND(ISNUMBER($AK$1161),$B$677=1),$AK$1161,HLOOKUP(INDIRECT(ADDRESS(2,COLUMN())),OFFSET($BN$2,0,0,ROW()-1,60),ROW()-1,FALSE))</f>
        <v>1.90867707</v>
      </c>
      <c r="AL501">
        <f ca="1">IF(AND(ISNUMBER($AL$1161),$B$677=1),$AL$1161,HLOOKUP(INDIRECT(ADDRESS(2,COLUMN())),OFFSET($BN$2,0,0,ROW()-1,60),ROW()-1,FALSE))</f>
        <v>2.2101325269999998</v>
      </c>
      <c r="AM501">
        <f ca="1">IF(AND(ISNUMBER($AM$1161),$B$677=1),$AM$1161,HLOOKUP(INDIRECT(ADDRESS(2,COLUMN())),OFFSET($BN$2,0,0,ROW()-1,60),ROW()-1,FALSE))</f>
        <v>0.50977062399999995</v>
      </c>
      <c r="AN501">
        <f ca="1">IF(AND(ISNUMBER($AN$1161),$B$677=1),$AN$1161,HLOOKUP(INDIRECT(ADDRESS(2,COLUMN())),OFFSET($BN$2,0,0,ROW()-1,60),ROW()-1,FALSE))</f>
        <v>0.58331715299999998</v>
      </c>
      <c r="AO501">
        <f ca="1">IF(AND(ISNUMBER($AO$1161),$B$677=1),$AO$1161,HLOOKUP(INDIRECT(ADDRESS(2,COLUMN())),OFFSET($BN$2,0,0,ROW()-1,60),ROW()-1,FALSE))</f>
        <v>0.74729109999999999</v>
      </c>
      <c r="AP501">
        <f ca="1">IF(AND(ISNUMBER($AP$1161),$B$677=1),$AP$1161,HLOOKUP(INDIRECT(ADDRESS(2,COLUMN())),OFFSET($BN$2,0,0,ROW()-1,60),ROW()-1,FALSE))</f>
        <v>0.876552263</v>
      </c>
      <c r="AQ501">
        <f ca="1">IF(AND(ISNUMBER($AQ$1161),$B$677=1),$AQ$1161,HLOOKUP(INDIRECT(ADDRESS(2,COLUMN())),OFFSET($BN$2,0,0,ROW()-1,60),ROW()-1,FALSE))</f>
        <v>0.94339626399999998</v>
      </c>
      <c r="AR501">
        <f ca="1">IF(AND(ISNUMBER($AR$1161),$B$677=1),$AR$1161,HLOOKUP(INDIRECT(ADDRESS(2,COLUMN())),OFFSET($BN$2,0,0,ROW()-1,60),ROW()-1,FALSE))</f>
        <v>0.91157706400000005</v>
      </c>
      <c r="AS501">
        <f ca="1">IF(AND(ISNUMBER($AS$1161),$B$677=1),$AS$1161,HLOOKUP(INDIRECT(ADDRESS(2,COLUMN())),OFFSET($BN$2,0,0,ROW()-1,60),ROW()-1,FALSE))</f>
        <v>1.1181513679999999</v>
      </c>
      <c r="AT501">
        <f ca="1">IF(AND(ISNUMBER($AT$1161),$B$677=1),$AT$1161,HLOOKUP(INDIRECT(ADDRESS(2,COLUMN())),OFFSET($BN$2,0,0,ROW()-1,60),ROW()-1,FALSE))</f>
        <v>1.3824885339999999</v>
      </c>
      <c r="AU501">
        <f ca="1">IF(AND(ISNUMBER($AU$1161),$B$677=1),$AU$1161,HLOOKUP(INDIRECT(ADDRESS(2,COLUMN())),OFFSET($BN$2,0,0,ROW()-1,60),ROW()-1,FALSE))</f>
        <v>4.9051362459999996</v>
      </c>
      <c r="AV501">
        <f ca="1">IF(AND(ISNUMBER($AV$1161),$B$677=1),$AV$1161,HLOOKUP(INDIRECT(ADDRESS(2,COLUMN())),OFFSET($BN$2,0,0,ROW()-1,60),ROW()-1,FALSE))</f>
        <v>3.8545452459999998</v>
      </c>
      <c r="AW501">
        <f ca="1">IF(AND(ISNUMBER($AW$1161),$B$677=1),$AW$1161,HLOOKUP(INDIRECT(ADDRESS(2,COLUMN())),OFFSET($BN$2,0,0,ROW()-1,60),ROW()-1,FALSE))</f>
        <v>3.4697215799999999</v>
      </c>
      <c r="AX501">
        <f ca="1">IF(AND(ISNUMBER($AX$1161),$B$677=1),$AX$1161,HLOOKUP(INDIRECT(ADDRESS(2,COLUMN())),OFFSET($BN$2,0,0,ROW()-1,60),ROW()-1,FALSE))</f>
        <v>3.0303028670000001</v>
      </c>
      <c r="AY501">
        <f ca="1">IF(AND(ISNUMBER($AY$1161),$B$677=1),$AY$1161,HLOOKUP(INDIRECT(ADDRESS(2,COLUMN())),OFFSET($BN$2,0,0,ROW()-1,60),ROW()-1,FALSE))</f>
        <v>1.638576751</v>
      </c>
      <c r="AZ501">
        <f ca="1">IF(AND(ISNUMBER($AZ$1161),$B$677=1),$AZ$1161,HLOOKUP(INDIRECT(ADDRESS(2,COLUMN())),OFFSET($BN$2,0,0,ROW()-1,60),ROW()-1,FALSE))</f>
        <v>1.5435501389999999</v>
      </c>
      <c r="BA501">
        <f ca="1">IF(AND(ISNUMBER($BA$1161),$B$677=1),$BA$1161,HLOOKUP(INDIRECT(ADDRESS(2,COLUMN())),OFFSET($BN$2,0,0,ROW()-1,60),ROW()-1,FALSE))</f>
        <v>1.4693534589999999</v>
      </c>
      <c r="BB501">
        <f ca="1">IF(AND(ISNUMBER($BB$1161),$B$677=1),$BB$1161,HLOOKUP(INDIRECT(ADDRESS(2,COLUMN())),OFFSET($BN$2,0,0,ROW()-1,60),ROW()-1,FALSE))</f>
        <v>1.5826361929999999</v>
      </c>
      <c r="BC501">
        <f ca="1">IF(AND(ISNUMBER($BC$1161),$B$677=1),$BC$1161,HLOOKUP(INDIRECT(ADDRESS(2,COLUMN())),OFFSET($BN$2,0,0,ROW()-1,60),ROW()-1,FALSE))</f>
        <v>1.464195803</v>
      </c>
      <c r="BD501">
        <f ca="1">IF(AND(ISNUMBER($BD$1161),$B$677=1),$BD$1161,HLOOKUP(INDIRECT(ADDRESS(2,COLUMN())),OFFSET($BN$2,0,0,ROW()-1,60),ROW()-1,FALSE))</f>
        <v>1.513360099</v>
      </c>
      <c r="BE501">
        <f ca="1">IF(AND(ISNUMBER($BE$1161),$B$677=1),$BE$1161,HLOOKUP(INDIRECT(ADDRESS(2,COLUMN())),OFFSET($BN$2,0,0,ROW()-1,60),ROW()-1,FALSE))</f>
        <v>1.639344226</v>
      </c>
      <c r="BF501">
        <f ca="1">IF(AND(ISNUMBER($BF$1161),$B$677=1),$BF$1161,HLOOKUP(INDIRECT(ADDRESS(2,COLUMN())),OFFSET($BN$2,0,0,ROW()-1,60),ROW()-1,FALSE))</f>
        <v>1.4065933749999999</v>
      </c>
      <c r="BG501">
        <f ca="1">IF(AND(ISNUMBER($BG$1161),$B$677=1),$BG$1161,HLOOKUP(INDIRECT(ADDRESS(2,COLUMN())),OFFSET($BN$2,0,0,ROW()-1,60),ROW()-1,FALSE))</f>
        <v>1.675675689</v>
      </c>
      <c r="BH501">
        <f ca="1">IF(AND(ISNUMBER($BH$1161),$B$677=1),$BH$1161,HLOOKUP(INDIRECT(ADDRESS(2,COLUMN())),OFFSET($BN$2,0,0,ROW()-1,60),ROW()-1,FALSE))</f>
        <v>1.5901513329999999</v>
      </c>
      <c r="BI501">
        <f ca="1">IF(AND(ISNUMBER($BI$1161),$B$677=1),$BI$1161,HLOOKUP(INDIRECT(ADDRESS(2,COLUMN())),OFFSET($BN$2,0,0,ROW()-1,60),ROW()-1,FALSE))</f>
        <v>1.637612268</v>
      </c>
      <c r="BJ501">
        <f ca="1">IF(AND(ISNUMBER($BJ$1161),$B$677=1),$BJ$1161,HLOOKUP(INDIRECT(ADDRESS(2,COLUMN())),OFFSET($BN$2,0,0,ROW()-1,60),ROW()-1,FALSE))</f>
        <v>1.7709226069999999</v>
      </c>
      <c r="BK501">
        <f ca="1">IF(AND(ISNUMBER($BK$1161),$B$677=1),$BK$1161,HLOOKUP(INDIRECT(ADDRESS(2,COLUMN())),OFFSET($BN$2,0,0,ROW()-1,60),ROW()-1,FALSE))</f>
        <v>1.7469879020000001</v>
      </c>
      <c r="BL501">
        <f ca="1">IF(AND(ISNUMBER($BL$1161),$B$677=1),$BL$1161,HLOOKUP(INDIRECT(ADDRESS(2,COLUMN())),OFFSET($BN$2,0,0,ROW()-1,60),ROW()-1,FALSE))</f>
        <v>1.7496228760000001</v>
      </c>
      <c r="BM501">
        <f ca="1">IF(AND(ISNUMBER($BM$1161),$B$677=1),$BM$1161,HLOOKUP(INDIRECT(ADDRESS(2,COLUMN())),OFFSET($BN$2,0,0,ROW()-1,60),ROW()-1,FALSE))</f>
        <v>1.59515947</v>
      </c>
      <c r="BN501">
        <f>5.474952094</f>
        <v>5.4749520939999998</v>
      </c>
      <c r="BO501">
        <f>5.657708628</f>
        <v>5.657708628</v>
      </c>
      <c r="BP501">
        <f>5.161290323</f>
        <v>5.1612903230000002</v>
      </c>
      <c r="BQ501">
        <f>5.154639175</f>
        <v>5.1546391749999998</v>
      </c>
      <c r="BR501">
        <f>4.53360535</f>
        <v>4.5336053500000002</v>
      </c>
      <c r="BS501">
        <f>4.030864908</f>
        <v>4.0308649079999999</v>
      </c>
      <c r="BT501">
        <f>4.089262764</f>
        <v>4.0892627639999999</v>
      </c>
      <c r="BU501">
        <f>4.292266562</f>
        <v>4.292266562</v>
      </c>
      <c r="BV501">
        <f>4.092944932</f>
        <v>4.092944932</v>
      </c>
      <c r="BW501">
        <f>3.605633857</f>
        <v>3.6056338569999999</v>
      </c>
      <c r="BX501">
        <f>4.280936519</f>
        <v>4.2809365189999999</v>
      </c>
      <c r="BY501">
        <f>4.840197915</f>
        <v>4.8401979150000001</v>
      </c>
      <c r="BZ501">
        <f>3.964664983</f>
        <v>3.964664983</v>
      </c>
      <c r="CA501">
        <f>2.970398541</f>
        <v>2.9703985409999998</v>
      </c>
      <c r="CB501">
        <f>3.668564321</f>
        <v>3.6685643209999999</v>
      </c>
      <c r="CC501">
        <f>2.943803897</f>
        <v>2.943803897</v>
      </c>
      <c r="CD501">
        <f>2.505875929</f>
        <v>2.5058759290000001</v>
      </c>
      <c r="CE501">
        <f>2.896290414</f>
        <v>2.8962904140000001</v>
      </c>
      <c r="CF501">
        <f>3.019744372</f>
        <v>3.0197443719999999</v>
      </c>
      <c r="CG501">
        <f>2.811114612</f>
        <v>2.8111146119999999</v>
      </c>
      <c r="CH501">
        <f>2.841840534</f>
        <v>2.8418405340000001</v>
      </c>
      <c r="CI501">
        <f>2.933583666</f>
        <v>2.9335836660000001</v>
      </c>
      <c r="CJ501">
        <f>3.137944019</f>
        <v>3.1379440189999999</v>
      </c>
      <c r="CK501">
        <f>3.716753639</f>
        <v>3.7167536390000002</v>
      </c>
      <c r="CL501">
        <f>3.682969947</f>
        <v>3.6829699470000001</v>
      </c>
      <c r="CM501">
        <f>3.153708971</f>
        <v>3.1537089709999999</v>
      </c>
      <c r="CN501">
        <f>4.025905745</f>
        <v>4.0259057450000002</v>
      </c>
      <c r="CO501">
        <f>4.044311504</f>
        <v>4.0443115040000004</v>
      </c>
      <c r="CP501">
        <f>3.411956612</f>
        <v>3.411956612</v>
      </c>
      <c r="CQ501">
        <f>2.511591871</f>
        <v>2.5115918709999998</v>
      </c>
      <c r="CR501">
        <f>2.610965962</f>
        <v>2.6109659619999999</v>
      </c>
      <c r="CS501">
        <f>1.90867707</f>
        <v>1.90867707</v>
      </c>
      <c r="CT501">
        <f>2.210132527</f>
        <v>2.2101325269999998</v>
      </c>
      <c r="CU501">
        <f>0.509770624</f>
        <v>0.50977062399999995</v>
      </c>
      <c r="CV501">
        <f>0.583317153</f>
        <v>0.58331715299999998</v>
      </c>
      <c r="CW501">
        <f>0.7472911</f>
        <v>0.74729109999999999</v>
      </c>
      <c r="CX501">
        <f>0.876552263</f>
        <v>0.876552263</v>
      </c>
      <c r="CY501">
        <f>0.943396264</f>
        <v>0.94339626399999998</v>
      </c>
      <c r="CZ501">
        <f>0.911577064</f>
        <v>0.91157706400000005</v>
      </c>
      <c r="DA501">
        <f>1.118151368</f>
        <v>1.1181513679999999</v>
      </c>
      <c r="DB501">
        <f>1.382488534</f>
        <v>1.3824885339999999</v>
      </c>
      <c r="DC501">
        <f>4.905136246</f>
        <v>4.9051362459999996</v>
      </c>
      <c r="DD501">
        <f>3.854545246</f>
        <v>3.8545452459999998</v>
      </c>
      <c r="DE501">
        <f>3.46972158</f>
        <v>3.4697215799999999</v>
      </c>
      <c r="DF501">
        <f>3.030302867</f>
        <v>3.0303028670000001</v>
      </c>
      <c r="DG501">
        <f>1.638576751</f>
        <v>1.638576751</v>
      </c>
      <c r="DH501">
        <f>1.543550139</f>
        <v>1.5435501389999999</v>
      </c>
      <c r="DI501">
        <f>1.469353459</f>
        <v>1.4693534589999999</v>
      </c>
      <c r="DJ501">
        <f>1.582636193</f>
        <v>1.5826361929999999</v>
      </c>
      <c r="DK501">
        <f>1.464195803</f>
        <v>1.464195803</v>
      </c>
      <c r="DL501">
        <f>1.513360099</f>
        <v>1.513360099</v>
      </c>
      <c r="DM501">
        <f>1.639344226</f>
        <v>1.639344226</v>
      </c>
      <c r="DN501">
        <f>1.406593375</f>
        <v>1.4065933749999999</v>
      </c>
      <c r="DO501">
        <f>1.675675689</f>
        <v>1.675675689</v>
      </c>
      <c r="DP501">
        <f>1.590151333</f>
        <v>1.5901513329999999</v>
      </c>
      <c r="DQ501">
        <f>1.637612268</f>
        <v>1.637612268</v>
      </c>
      <c r="DR501">
        <f>1.770922607</f>
        <v>1.7709226069999999</v>
      </c>
      <c r="DS501">
        <f>1.746987902</f>
        <v>1.7469879020000001</v>
      </c>
      <c r="DT501">
        <f>1.749622876</f>
        <v>1.7496228760000001</v>
      </c>
      <c r="DU501">
        <f>1.59515947</f>
        <v>1.59515947</v>
      </c>
    </row>
    <row r="502" spans="1:125" x14ac:dyDescent="0.25">
      <c r="A502" t="str">
        <f>"    Brilliance China Automotive Holdings Ltd"</f>
        <v xml:space="preserve">    Brilliance China Automotive Holdings Ltd</v>
      </c>
      <c r="B502" t="str">
        <f>"1114 HK Equity"</f>
        <v>1114 HK Equity</v>
      </c>
      <c r="C502" t="str">
        <f t="shared" si="36"/>
        <v>DV013</v>
      </c>
      <c r="D502" t="str">
        <f t="shared" si="37"/>
        <v>EQY_DVD_YLD_IND</v>
      </c>
      <c r="E502" t="str">
        <f t="shared" si="38"/>
        <v>Dynamic</v>
      </c>
      <c r="F502">
        <f ca="1">IF(AND(ISNUMBER($F$1162),$B$677=1),$F$1162,HLOOKUP(INDIRECT(ADDRESS(2,COLUMN())),OFFSET($BN$2,0,0,ROW()-1,60),ROW()-1,FALSE))</f>
        <v>1.3924050560000001</v>
      </c>
      <c r="G502">
        <f ca="1">IF(AND(ISNUMBER($G$1162),$B$677=1),$G$1162,HLOOKUP(INDIRECT(ADDRESS(2,COLUMN())),OFFSET($BN$2,0,0,ROW()-1,60),ROW()-1,FALSE))</f>
        <v>1.886792443</v>
      </c>
      <c r="H502">
        <f ca="1">IF(AND(ISNUMBER($H$1162),$B$677=1),$H$1162,HLOOKUP(INDIRECT(ADDRESS(2,COLUMN())),OFFSET($BN$2,0,0,ROW()-1,60),ROW()-1,FALSE))</f>
        <v>0.86887835199999996</v>
      </c>
      <c r="I502">
        <f ca="1">IF(AND(ISNUMBER($I$1162),$B$677=1),$I$1162,HLOOKUP(INDIRECT(ADDRESS(2,COLUMN())),OFFSET($BN$2,0,0,ROW()-1,60),ROW()-1,FALSE))</f>
        <v>0.77683615399999995</v>
      </c>
      <c r="J502">
        <f ca="1">IF(AND(ISNUMBER($J$1162),$B$677=1),$J$1162,HLOOKUP(INDIRECT(ADDRESS(2,COLUMN())),OFFSET($BN$2,0,0,ROW()-1,60),ROW()-1,FALSE))</f>
        <v>0.67155066799999996</v>
      </c>
      <c r="K502">
        <f ca="1">IF(AND(ISNUMBER($K$1162),$B$677=1),$K$1162,HLOOKUP(INDIRECT(ADDRESS(2,COLUMN())),OFFSET($BN$2,0,0,ROW()-1,60),ROW()-1,FALSE))</f>
        <v>0.52631578700000003</v>
      </c>
      <c r="L502">
        <f ca="1">IF(AND(ISNUMBER($L$1162),$B$677=1),$L$1162,HLOOKUP(INDIRECT(ADDRESS(2,COLUMN())),OFFSET($BN$2,0,0,ROW()-1,60),ROW()-1,FALSE))</f>
        <v>0.52884615099999999</v>
      </c>
      <c r="M502">
        <f ca="1">IF(AND(ISNUMBER($M$1162),$B$677=1),$M$1162,HLOOKUP(INDIRECT(ADDRESS(2,COLUMN())),OFFSET($BN$2,0,0,ROW()-1,60),ROW()-1,FALSE))</f>
        <v>0.773558364</v>
      </c>
      <c r="N502">
        <f ca="1">IF(AND(ISNUMBER($N$1162),$B$677=1),$N$1162,HLOOKUP(INDIRECT(ADDRESS(2,COLUMN())),OFFSET($BN$2,0,0,ROW()-1,60),ROW()-1,FALSE))</f>
        <v>0.84615384199999999</v>
      </c>
      <c r="O502">
        <f ca="1">IF(AND(ISNUMBER($O$1162),$B$677=1),$O$1162,HLOOKUP(INDIRECT(ADDRESS(2,COLUMN())),OFFSET($BN$2,0,0,ROW()-1,60),ROW()-1,FALSE))</f>
        <v>1.029962541</v>
      </c>
      <c r="P502">
        <f ca="1">IF(AND(ISNUMBER($P$1162),$B$677=1),$P$1162,HLOOKUP(INDIRECT(ADDRESS(2,COLUMN())),OFFSET($BN$2,0,0,ROW()-1,60),ROW()-1,FALSE))</f>
        <v>1.2643678089999999</v>
      </c>
      <c r="Q502">
        <f ca="1">IF(AND(ISNUMBER($Q$1162),$B$677=1),$Q$1162,HLOOKUP(INDIRECT(ADDRESS(2,COLUMN())),OFFSET($BN$2,0,0,ROW()-1,60),ROW()-1,FALSE))</f>
        <v>1.3819095400000001</v>
      </c>
      <c r="R502">
        <f ca="1">IF(AND(ISNUMBER($R$1162),$B$677=1),$R$1162,HLOOKUP(INDIRECT(ADDRESS(2,COLUMN())),OFFSET($BN$2,0,0,ROW()-1,60),ROW()-1,FALSE))</f>
        <v>1.3698630060000001</v>
      </c>
      <c r="S502">
        <f ca="1">IF(AND(ISNUMBER($S$1162),$B$677=1),$S$1162,HLOOKUP(INDIRECT(ADDRESS(2,COLUMN())),OFFSET($BN$2,0,0,ROW()-1,60),ROW()-1,FALSE))</f>
        <v>1.128205122</v>
      </c>
      <c r="T502">
        <f ca="1">IF(AND(ISNUMBER($T$1162),$B$677=1),$T$1162,HLOOKUP(INDIRECT(ADDRESS(2,COLUMN())),OFFSET($BN$2,0,0,ROW()-1,60),ROW()-1,FALSE))</f>
        <v>1.200873356</v>
      </c>
      <c r="U502">
        <f ca="1">IF(AND(ISNUMBER($U$1162),$B$677=1),$U$1162,HLOOKUP(INDIRECT(ADDRESS(2,COLUMN())),OFFSET($BN$2,0,0,ROW()-1,60),ROW()-1,FALSE))</f>
        <v>0.90909090400000003</v>
      </c>
      <c r="V502">
        <f ca="1">IF(AND(ISNUMBER($V$1162),$B$677=1),$V$1162,HLOOKUP(INDIRECT(ADDRESS(2,COLUMN())),OFFSET($BN$2,0,0,ROW()-1,60),ROW()-1,FALSE))</f>
        <v>0.736278443</v>
      </c>
      <c r="W502">
        <f ca="1">IF(AND(ISNUMBER($W$1162),$B$677=1),$W$1162,HLOOKUP(INDIRECT(ADDRESS(2,COLUMN())),OFFSET($BN$2,0,0,ROW()-1,60),ROW()-1,FALSE))</f>
        <v>0.88282503499999998</v>
      </c>
      <c r="X502">
        <f ca="1">IF(AND(ISNUMBER($X$1162),$B$677=1),$X$1162,HLOOKUP(INDIRECT(ADDRESS(2,COLUMN())),OFFSET($BN$2,0,0,ROW()-1,60),ROW()-1,FALSE))</f>
        <v>0.81120943499999998</v>
      </c>
      <c r="Y502">
        <f ca="1">IF(AND(ISNUMBER($Y$1162),$B$677=1),$Y$1162,HLOOKUP(INDIRECT(ADDRESS(2,COLUMN())),OFFSET($BN$2,0,0,ROW()-1,60),ROW()-1,FALSE))</f>
        <v>0.68775791900000005</v>
      </c>
      <c r="Z502">
        <f ca="1">IF(AND(ISNUMBER($Z$1162),$B$677=1),$Z$1162,HLOOKUP(INDIRECT(ADDRESS(2,COLUMN())),OFFSET($BN$2,0,0,ROW()-1,60),ROW()-1,FALSE))</f>
        <v>0.84317033299999999</v>
      </c>
      <c r="AA502">
        <f ca="1">IF(AND(ISNUMBER($AA$1162),$B$677=1),$AA$1162,HLOOKUP(INDIRECT(ADDRESS(2,COLUMN())),OFFSET($BN$2,0,0,ROW()-1,60),ROW()-1,FALSE))</f>
        <v>0.79113925200000002</v>
      </c>
      <c r="AB502">
        <f ca="1">IF(AND(ISNUMBER($AB$1162),$B$677=1),$AB$1162,HLOOKUP(INDIRECT(ADDRESS(2,COLUMN())),OFFSET($BN$2,0,0,ROW()-1,60),ROW()-1,FALSE))</f>
        <v>0.85910654200000003</v>
      </c>
      <c r="AC502" t="str">
        <f ca="1">IF(AND(ISNUMBER($AC$1162),$B$677=1),$AC$1162,HLOOKUP(INDIRECT(ADDRESS(2,COLUMN())),OFFSET($BN$2,0,0,ROW()-1,60),ROW()-1,FALSE))</f>
        <v/>
      </c>
      <c r="AD502" t="str">
        <f ca="1">IF(AND(ISNUMBER($AD$1162),$B$677=1),$AD$1162,HLOOKUP(INDIRECT(ADDRESS(2,COLUMN())),OFFSET($BN$2,0,0,ROW()-1,60),ROW()-1,FALSE))</f>
        <v/>
      </c>
      <c r="AE502" t="str">
        <f ca="1">IF(AND(ISNUMBER($AE$1162),$B$677=1),$AE$1162,HLOOKUP(INDIRECT(ADDRESS(2,COLUMN())),OFFSET($BN$2,0,0,ROW()-1,60),ROW()-1,FALSE))</f>
        <v/>
      </c>
      <c r="AF502" t="str">
        <f ca="1">IF(AND(ISNUMBER($AF$1162),$B$677=1),$AF$1162,HLOOKUP(INDIRECT(ADDRESS(2,COLUMN())),OFFSET($BN$2,0,0,ROW()-1,60),ROW()-1,FALSE))</f>
        <v/>
      </c>
      <c r="AG502" t="str">
        <f ca="1">IF(AND(ISNUMBER($AG$1162),$B$677=1),$AG$1162,HLOOKUP(INDIRECT(ADDRESS(2,COLUMN())),OFFSET($BN$2,0,0,ROW()-1,60),ROW()-1,FALSE))</f>
        <v/>
      </c>
      <c r="AH502" t="str">
        <f ca="1">IF(AND(ISNUMBER($AH$1162),$B$677=1),$AH$1162,HLOOKUP(INDIRECT(ADDRESS(2,COLUMN())),OFFSET($BN$2,0,0,ROW()-1,60),ROW()-1,FALSE))</f>
        <v/>
      </c>
      <c r="AI502" t="str">
        <f ca="1">IF(AND(ISNUMBER($AI$1162),$B$677=1),$AI$1162,HLOOKUP(INDIRECT(ADDRESS(2,COLUMN())),OFFSET($BN$2,0,0,ROW()-1,60),ROW()-1,FALSE))</f>
        <v/>
      </c>
      <c r="AJ502" t="str">
        <f ca="1">IF(AND(ISNUMBER($AJ$1162),$B$677=1),$AJ$1162,HLOOKUP(INDIRECT(ADDRESS(2,COLUMN())),OFFSET($BN$2,0,0,ROW()-1,60),ROW()-1,FALSE))</f>
        <v/>
      </c>
      <c r="AK502" t="str">
        <f ca="1">IF(AND(ISNUMBER($AK$1162),$B$677=1),$AK$1162,HLOOKUP(INDIRECT(ADDRESS(2,COLUMN())),OFFSET($BN$2,0,0,ROW()-1,60),ROW()-1,FALSE))</f>
        <v/>
      </c>
      <c r="AL502" t="str">
        <f ca="1">IF(AND(ISNUMBER($AL$1162),$B$677=1),$AL$1162,HLOOKUP(INDIRECT(ADDRESS(2,COLUMN())),OFFSET($BN$2,0,0,ROW()-1,60),ROW()-1,FALSE))</f>
        <v/>
      </c>
      <c r="AM502" t="str">
        <f ca="1">IF(AND(ISNUMBER($AM$1162),$B$677=1),$AM$1162,HLOOKUP(INDIRECT(ADDRESS(2,COLUMN())),OFFSET($BN$2,0,0,ROW()-1,60),ROW()-1,FALSE))</f>
        <v/>
      </c>
      <c r="AN502" t="str">
        <f ca="1">IF(AND(ISNUMBER($AN$1162),$B$677=1),$AN$1162,HLOOKUP(INDIRECT(ADDRESS(2,COLUMN())),OFFSET($BN$2,0,0,ROW()-1,60),ROW()-1,FALSE))</f>
        <v/>
      </c>
      <c r="AO502" t="str">
        <f ca="1">IF(AND(ISNUMBER($AO$1162),$B$677=1),$AO$1162,HLOOKUP(INDIRECT(ADDRESS(2,COLUMN())),OFFSET($BN$2,0,0,ROW()-1,60),ROW()-1,FALSE))</f>
        <v/>
      </c>
      <c r="AP502" t="str">
        <f ca="1">IF(AND(ISNUMBER($AP$1162),$B$677=1),$AP$1162,HLOOKUP(INDIRECT(ADDRESS(2,COLUMN())),OFFSET($BN$2,0,0,ROW()-1,60),ROW()-1,FALSE))</f>
        <v/>
      </c>
      <c r="AQ502" t="str">
        <f ca="1">IF(AND(ISNUMBER($AQ$1162),$B$677=1),$AQ$1162,HLOOKUP(INDIRECT(ADDRESS(2,COLUMN())),OFFSET($BN$2,0,0,ROW()-1,60),ROW()-1,FALSE))</f>
        <v/>
      </c>
      <c r="AR502" t="str">
        <f ca="1">IF(AND(ISNUMBER($AR$1162),$B$677=1),$AR$1162,HLOOKUP(INDIRECT(ADDRESS(2,COLUMN())),OFFSET($BN$2,0,0,ROW()-1,60),ROW()-1,FALSE))</f>
        <v/>
      </c>
      <c r="AS502" t="str">
        <f ca="1">IF(AND(ISNUMBER($AS$1162),$B$677=1),$AS$1162,HLOOKUP(INDIRECT(ADDRESS(2,COLUMN())),OFFSET($BN$2,0,0,ROW()-1,60),ROW()-1,FALSE))</f>
        <v/>
      </c>
      <c r="AT502" t="str">
        <f ca="1">IF(AND(ISNUMBER($AT$1162),$B$677=1),$AT$1162,HLOOKUP(INDIRECT(ADDRESS(2,COLUMN())),OFFSET($BN$2,0,0,ROW()-1,60),ROW()-1,FALSE))</f>
        <v/>
      </c>
      <c r="AU502" t="str">
        <f ca="1">IF(AND(ISNUMBER($AU$1162),$B$677=1),$AU$1162,HLOOKUP(INDIRECT(ADDRESS(2,COLUMN())),OFFSET($BN$2,0,0,ROW()-1,60),ROW()-1,FALSE))</f>
        <v/>
      </c>
      <c r="AV502" t="str">
        <f ca="1">IF(AND(ISNUMBER($AV$1162),$B$677=1),$AV$1162,HLOOKUP(INDIRECT(ADDRESS(2,COLUMN())),OFFSET($BN$2,0,0,ROW()-1,60),ROW()-1,FALSE))</f>
        <v/>
      </c>
      <c r="AW502" t="str">
        <f ca="1">IF(AND(ISNUMBER($AW$1162),$B$677=1),$AW$1162,HLOOKUP(INDIRECT(ADDRESS(2,COLUMN())),OFFSET($BN$2,0,0,ROW()-1,60),ROW()-1,FALSE))</f>
        <v/>
      </c>
      <c r="AX502" t="str">
        <f ca="1">IF(AND(ISNUMBER($AX$1162),$B$677=1),$AX$1162,HLOOKUP(INDIRECT(ADDRESS(2,COLUMN())),OFFSET($BN$2,0,0,ROW()-1,60),ROW()-1,FALSE))</f>
        <v/>
      </c>
      <c r="AY502" t="str">
        <f ca="1">IF(AND(ISNUMBER($AY$1162),$B$677=1),$AY$1162,HLOOKUP(INDIRECT(ADDRESS(2,COLUMN())),OFFSET($BN$2,0,0,ROW()-1,60),ROW()-1,FALSE))</f>
        <v/>
      </c>
      <c r="AZ502" t="str">
        <f ca="1">IF(AND(ISNUMBER($AZ$1162),$B$677=1),$AZ$1162,HLOOKUP(INDIRECT(ADDRESS(2,COLUMN())),OFFSET($BN$2,0,0,ROW()-1,60),ROW()-1,FALSE))</f>
        <v/>
      </c>
      <c r="BA502" t="str">
        <f ca="1">IF(AND(ISNUMBER($BA$1162),$B$677=1),$BA$1162,HLOOKUP(INDIRECT(ADDRESS(2,COLUMN())),OFFSET($BN$2,0,0,ROW()-1,60),ROW()-1,FALSE))</f>
        <v/>
      </c>
      <c r="BB502" t="str">
        <f ca="1">IF(AND(ISNUMBER($BB$1162),$B$677=1),$BB$1162,HLOOKUP(INDIRECT(ADDRESS(2,COLUMN())),OFFSET($BN$2,0,0,ROW()-1,60),ROW()-1,FALSE))</f>
        <v/>
      </c>
      <c r="BC502" t="str">
        <f ca="1">IF(AND(ISNUMBER($BC$1162),$B$677=1),$BC$1162,HLOOKUP(INDIRECT(ADDRESS(2,COLUMN())),OFFSET($BN$2,0,0,ROW()-1,60),ROW()-1,FALSE))</f>
        <v/>
      </c>
      <c r="BD502" t="str">
        <f ca="1">IF(AND(ISNUMBER($BD$1162),$B$677=1),$BD$1162,HLOOKUP(INDIRECT(ADDRESS(2,COLUMN())),OFFSET($BN$2,0,0,ROW()-1,60),ROW()-1,FALSE))</f>
        <v/>
      </c>
      <c r="BE502">
        <f ca="1">IF(AND(ISNUMBER($BE$1162),$B$677=1),$BE$1162,HLOOKUP(INDIRECT(ADDRESS(2,COLUMN())),OFFSET($BN$2,0,0,ROW()-1,60),ROW()-1,FALSE))</f>
        <v>0.35211266800000002</v>
      </c>
      <c r="BF502">
        <f ca="1">IF(AND(ISNUMBER($BF$1162),$B$677=1),$BF$1162,HLOOKUP(INDIRECT(ADDRESS(2,COLUMN())),OFFSET($BN$2,0,0,ROW()-1,60),ROW()-1,FALSE))</f>
        <v>0.43478259899999999</v>
      </c>
      <c r="BG502">
        <f ca="1">IF(AND(ISNUMBER($BG$1162),$B$677=1),$BG$1162,HLOOKUP(INDIRECT(ADDRESS(2,COLUMN())),OFFSET($BN$2,0,0,ROW()-1,60),ROW()-1,FALSE))</f>
        <v>0.43478259899999999</v>
      </c>
      <c r="BH502">
        <f ca="1">IF(AND(ISNUMBER($BH$1162),$B$677=1),$BH$1162,HLOOKUP(INDIRECT(ADDRESS(2,COLUMN())),OFFSET($BN$2,0,0,ROW()-1,60),ROW()-1,FALSE))</f>
        <v>0.44642856199999997</v>
      </c>
      <c r="BI502">
        <f ca="1">IF(AND(ISNUMBER($BI$1162),$B$677=1),$BI$1162,HLOOKUP(INDIRECT(ADDRESS(2,COLUMN())),OFFSET($BN$2,0,0,ROW()-1,60),ROW()-1,FALSE))</f>
        <v>0.72463766500000004</v>
      </c>
      <c r="BJ502">
        <f ca="1">IF(AND(ISNUMBER($BJ$1162),$B$677=1),$BJ$1162,HLOOKUP(INDIRECT(ADDRESS(2,COLUMN())),OFFSET($BN$2,0,0,ROW()-1,60),ROW()-1,FALSE))</f>
        <v>1.0869564970000001</v>
      </c>
      <c r="BK502">
        <f ca="1">IF(AND(ISNUMBER($BK$1162),$B$677=1),$BK$1162,HLOOKUP(INDIRECT(ADDRESS(2,COLUMN())),OFFSET($BN$2,0,0,ROW()-1,60),ROW()-1,FALSE))</f>
        <v>0.98684208299999998</v>
      </c>
      <c r="BL502">
        <f ca="1">IF(AND(ISNUMBER($BL$1162),$B$677=1),$BL$1162,HLOOKUP(INDIRECT(ADDRESS(2,COLUMN())),OFFSET($BN$2,0,0,ROW()-1,60),ROW()-1,FALSE))</f>
        <v>0.96153843999999999</v>
      </c>
      <c r="BM502">
        <f ca="1">IF(AND(ISNUMBER($BM$1162),$B$677=1),$BM$1162,HLOOKUP(INDIRECT(ADDRESS(2,COLUMN())),OFFSET($BN$2,0,0,ROW()-1,60),ROW()-1,FALSE))</f>
        <v>0.86956519799999998</v>
      </c>
      <c r="BN502">
        <f>1.392405056</f>
        <v>1.3924050560000001</v>
      </c>
      <c r="BO502">
        <f>1.886792443</f>
        <v>1.886792443</v>
      </c>
      <c r="BP502">
        <f>0.868878352</f>
        <v>0.86887835199999996</v>
      </c>
      <c r="BQ502">
        <f>0.776836154</f>
        <v>0.77683615399999995</v>
      </c>
      <c r="BR502">
        <f>0.671550668</f>
        <v>0.67155066799999996</v>
      </c>
      <c r="BS502">
        <f>0.526315787</f>
        <v>0.52631578700000003</v>
      </c>
      <c r="BT502">
        <f>0.528846151</f>
        <v>0.52884615099999999</v>
      </c>
      <c r="BU502">
        <f>0.773558364</f>
        <v>0.773558364</v>
      </c>
      <c r="BV502">
        <f>0.846153842</f>
        <v>0.84615384199999999</v>
      </c>
      <c r="BW502">
        <f>1.029962541</f>
        <v>1.029962541</v>
      </c>
      <c r="BX502">
        <f>1.264367809</f>
        <v>1.2643678089999999</v>
      </c>
      <c r="BY502">
        <f>1.38190954</f>
        <v>1.3819095400000001</v>
      </c>
      <c r="BZ502">
        <f>1.369863006</f>
        <v>1.3698630060000001</v>
      </c>
      <c r="CA502">
        <f>1.128205122</f>
        <v>1.128205122</v>
      </c>
      <c r="CB502">
        <f>1.200873356</f>
        <v>1.200873356</v>
      </c>
      <c r="CC502">
        <f>0.909090904</f>
        <v>0.90909090400000003</v>
      </c>
      <c r="CD502">
        <f>0.736278443</f>
        <v>0.736278443</v>
      </c>
      <c r="CE502">
        <f>0.882825035</f>
        <v>0.88282503499999998</v>
      </c>
      <c r="CF502">
        <f>0.811209435</f>
        <v>0.81120943499999998</v>
      </c>
      <c r="CG502">
        <f>0.687757919</f>
        <v>0.68775791900000005</v>
      </c>
      <c r="CH502">
        <f>0.843170333</f>
        <v>0.84317033299999999</v>
      </c>
      <c r="CI502">
        <f>0.791139252</f>
        <v>0.79113925200000002</v>
      </c>
      <c r="CJ502">
        <f>0.859106542</f>
        <v>0.85910654200000003</v>
      </c>
      <c r="CK502" t="str">
        <f>""</f>
        <v/>
      </c>
      <c r="CL502" t="str">
        <f>""</f>
        <v/>
      </c>
      <c r="CM502" t="str">
        <f>""</f>
        <v/>
      </c>
      <c r="CN502" t="str">
        <f>""</f>
        <v/>
      </c>
      <c r="CO502" t="str">
        <f>""</f>
        <v/>
      </c>
      <c r="CP502" t="str">
        <f>""</f>
        <v/>
      </c>
      <c r="CQ502" t="str">
        <f>""</f>
        <v/>
      </c>
      <c r="CR502" t="str">
        <f>""</f>
        <v/>
      </c>
      <c r="CS502" t="str">
        <f>""</f>
        <v/>
      </c>
      <c r="CT502" t="str">
        <f>""</f>
        <v/>
      </c>
      <c r="CU502" t="str">
        <f>""</f>
        <v/>
      </c>
      <c r="CV502" t="str">
        <f>""</f>
        <v/>
      </c>
      <c r="CW502" t="str">
        <f>""</f>
        <v/>
      </c>
      <c r="CX502" t="str">
        <f>""</f>
        <v/>
      </c>
      <c r="CY502" t="str">
        <f>""</f>
        <v/>
      </c>
      <c r="CZ502" t="str">
        <f>""</f>
        <v/>
      </c>
      <c r="DA502" t="str">
        <f>""</f>
        <v/>
      </c>
      <c r="DB502" t="str">
        <f>""</f>
        <v/>
      </c>
      <c r="DC502" t="str">
        <f>""</f>
        <v/>
      </c>
      <c r="DD502" t="str">
        <f>""</f>
        <v/>
      </c>
      <c r="DE502" t="str">
        <f>""</f>
        <v/>
      </c>
      <c r="DF502" t="str">
        <f>""</f>
        <v/>
      </c>
      <c r="DG502" t="str">
        <f>""</f>
        <v/>
      </c>
      <c r="DH502" t="str">
        <f>""</f>
        <v/>
      </c>
      <c r="DI502" t="str">
        <f>""</f>
        <v/>
      </c>
      <c r="DJ502" t="str">
        <f>""</f>
        <v/>
      </c>
      <c r="DK502" t="str">
        <f>""</f>
        <v/>
      </c>
      <c r="DL502" t="str">
        <f>""</f>
        <v/>
      </c>
      <c r="DM502">
        <f>0.352112668</f>
        <v>0.35211266800000002</v>
      </c>
      <c r="DN502">
        <f>0.434782599</f>
        <v>0.43478259899999999</v>
      </c>
      <c r="DO502">
        <f>0.434782599</f>
        <v>0.43478259899999999</v>
      </c>
      <c r="DP502">
        <f>0.446428562</f>
        <v>0.44642856199999997</v>
      </c>
      <c r="DQ502">
        <f>0.724637665</f>
        <v>0.72463766500000004</v>
      </c>
      <c r="DR502">
        <f>1.086956497</f>
        <v>1.0869564970000001</v>
      </c>
      <c r="DS502">
        <f>0.986842083</f>
        <v>0.98684208299999998</v>
      </c>
      <c r="DT502">
        <f>0.96153844</f>
        <v>0.96153843999999999</v>
      </c>
      <c r="DU502">
        <f>0.869565198</f>
        <v>0.86956519799999998</v>
      </c>
    </row>
    <row r="503" spans="1:125" x14ac:dyDescent="0.25">
      <c r="A503" t="str">
        <f>"    BYD Co Ltd"</f>
        <v xml:space="preserve">    BYD Co Ltd</v>
      </c>
      <c r="B503" t="str">
        <f>"1211 HK Equity"</f>
        <v>1211 HK Equity</v>
      </c>
      <c r="C503" t="str">
        <f t="shared" si="36"/>
        <v>DV013</v>
      </c>
      <c r="D503" t="str">
        <f t="shared" si="37"/>
        <v>EQY_DVD_YLD_IND</v>
      </c>
      <c r="E503" t="str">
        <f t="shared" si="38"/>
        <v>Dynamic</v>
      </c>
      <c r="F503">
        <f ca="1">IF(AND(ISNUMBER($F$1163),$B$677=1),$F$1163,HLOOKUP(INDIRECT(ADDRESS(2,COLUMN())),OFFSET($BN$2,0,0,ROW()-1,60),ROW()-1,FALSE))</f>
        <v>0.33809604900000001</v>
      </c>
      <c r="G503">
        <f ca="1">IF(AND(ISNUMBER($G$1163),$B$677=1),$G$1163,HLOOKUP(INDIRECT(ADDRESS(2,COLUMN())),OFFSET($BN$2,0,0,ROW()-1,60),ROW()-1,FALSE))</f>
        <v>0.34012665600000003</v>
      </c>
      <c r="H503">
        <f ca="1">IF(AND(ISNUMBER($H$1163),$B$677=1),$H$1163,HLOOKUP(INDIRECT(ADDRESS(2,COLUMN())),OFFSET($BN$2,0,0,ROW()-1,60),ROW()-1,FALSE))</f>
        <v>0.30230118299999997</v>
      </c>
      <c r="I503">
        <f ca="1">IF(AND(ISNUMBER($I$1163),$B$677=1),$I$1163,HLOOKUP(INDIRECT(ADDRESS(2,COLUMN())),OFFSET($BN$2,0,0,ROW()-1,60),ROW()-1,FALSE))</f>
        <v>0.35729393199999998</v>
      </c>
      <c r="J503">
        <f ca="1">IF(AND(ISNUMBER($J$1163),$B$677=1),$J$1163,HLOOKUP(INDIRECT(ADDRESS(2,COLUMN())),OFFSET($BN$2,0,0,ROW()-1,60),ROW()-1,FALSE))</f>
        <v>0.27760337400000001</v>
      </c>
      <c r="K503" t="str">
        <f ca="1">IF(AND(ISNUMBER($K$1163),$B$677=1),$K$1163,HLOOKUP(INDIRECT(ADDRESS(2,COLUMN())),OFFSET($BN$2,0,0,ROW()-1,60),ROW()-1,FALSE))</f>
        <v/>
      </c>
      <c r="L503">
        <f ca="1">IF(AND(ISNUMBER($L$1163),$B$677=1),$L$1163,HLOOKUP(INDIRECT(ADDRESS(2,COLUMN())),OFFSET($BN$2,0,0,ROW()-1,60),ROW()-1,FALSE))</f>
        <v>0.42573924499999999</v>
      </c>
      <c r="M503">
        <f ca="1">IF(AND(ISNUMBER($M$1163),$B$677=1),$M$1163,HLOOKUP(INDIRECT(ADDRESS(2,COLUMN())),OFFSET($BN$2,0,0,ROW()-1,60),ROW()-1,FALSE))</f>
        <v>0.42662805300000001</v>
      </c>
      <c r="N503">
        <f ca="1">IF(AND(ISNUMBER($N$1163),$B$677=1),$N$1163,HLOOKUP(INDIRECT(ADDRESS(2,COLUMN())),OFFSET($BN$2,0,0,ROW()-1,60),ROW()-1,FALSE))</f>
        <v>0.47414115400000001</v>
      </c>
      <c r="O503">
        <f ca="1">IF(AND(ISNUMBER($O$1163),$B$677=1),$O$1163,HLOOKUP(INDIRECT(ADDRESS(2,COLUMN())),OFFSET($BN$2,0,0,ROW()-1,60),ROW()-1,FALSE))</f>
        <v>1.031428612</v>
      </c>
      <c r="P503">
        <f ca="1">IF(AND(ISNUMBER($P$1163),$B$677=1),$P$1163,HLOOKUP(INDIRECT(ADDRESS(2,COLUMN())),OFFSET($BN$2,0,0,ROW()-1,60),ROW()-1,FALSE))</f>
        <v>0.82777718700000003</v>
      </c>
      <c r="Q503" t="str">
        <f ca="1">IF(AND(ISNUMBER($Q$1163),$B$677=1),$Q$1163,HLOOKUP(INDIRECT(ADDRESS(2,COLUMN())),OFFSET($BN$2,0,0,ROW()-1,60),ROW()-1,FALSE))</f>
        <v/>
      </c>
      <c r="R503" t="str">
        <f ca="1">IF(AND(ISNUMBER($R$1163),$B$677=1),$R$1163,HLOOKUP(INDIRECT(ADDRESS(2,COLUMN())),OFFSET($BN$2,0,0,ROW()-1,60),ROW()-1,FALSE))</f>
        <v/>
      </c>
      <c r="S503" t="str">
        <f ca="1">IF(AND(ISNUMBER($S$1163),$B$677=1),$S$1163,HLOOKUP(INDIRECT(ADDRESS(2,COLUMN())),OFFSET($BN$2,0,0,ROW()-1,60),ROW()-1,FALSE))</f>
        <v/>
      </c>
      <c r="T503" t="str">
        <f ca="1">IF(AND(ISNUMBER($T$1163),$B$677=1),$T$1163,HLOOKUP(INDIRECT(ADDRESS(2,COLUMN())),OFFSET($BN$2,0,0,ROW()-1,60),ROW()-1,FALSE))</f>
        <v/>
      </c>
      <c r="U503">
        <f ca="1">IF(AND(ISNUMBER($U$1163),$B$677=1),$U$1163,HLOOKUP(INDIRECT(ADDRESS(2,COLUMN())),OFFSET($BN$2,0,0,ROW()-1,60),ROW()-1,FALSE))</f>
        <v>0.13233582199999999</v>
      </c>
      <c r="V503">
        <f ca="1">IF(AND(ISNUMBER($V$1163),$B$677=1),$V$1163,HLOOKUP(INDIRECT(ADDRESS(2,COLUMN())),OFFSET($BN$2,0,0,ROW()-1,60),ROW()-1,FALSE))</f>
        <v>0.15638180500000001</v>
      </c>
      <c r="W503">
        <f ca="1">IF(AND(ISNUMBER($W$1163),$B$677=1),$W$1163,HLOOKUP(INDIRECT(ADDRESS(2,COLUMN())),OFFSET($BN$2,0,0,ROW()-1,60),ROW()-1,FALSE))</f>
        <v>0.205589259</v>
      </c>
      <c r="X503">
        <f ca="1">IF(AND(ISNUMBER($X$1163),$B$677=1),$X$1163,HLOOKUP(INDIRECT(ADDRESS(2,COLUMN())),OFFSET($BN$2,0,0,ROW()-1,60),ROW()-1,FALSE))</f>
        <v>0.12104042700000001</v>
      </c>
      <c r="Y503">
        <f ca="1">IF(AND(ISNUMBER($Y$1163),$B$677=1),$Y$1163,HLOOKUP(INDIRECT(ADDRESS(2,COLUMN())),OFFSET($BN$2,0,0,ROW()-1,60),ROW()-1,FALSE))</f>
        <v>0.14005912500000001</v>
      </c>
      <c r="Z503">
        <f ca="1">IF(AND(ISNUMBER($Z$1163),$B$677=1),$Z$1163,HLOOKUP(INDIRECT(ADDRESS(2,COLUMN())),OFFSET($BN$2,0,0,ROW()-1,60),ROW()-1,FALSE))</f>
        <v>0.13012792500000001</v>
      </c>
      <c r="AA503" t="str">
        <f ca="1">IF(AND(ISNUMBER($AA$1163),$B$677=1),$AA$1163,HLOOKUP(INDIRECT(ADDRESS(2,COLUMN())),OFFSET($BN$2,0,0,ROW()-1,60),ROW()-1,FALSE))</f>
        <v/>
      </c>
      <c r="AB503" t="str">
        <f ca="1">IF(AND(ISNUMBER($AB$1163),$B$677=1),$AB$1163,HLOOKUP(INDIRECT(ADDRESS(2,COLUMN())),OFFSET($BN$2,0,0,ROW()-1,60),ROW()-1,FALSE))</f>
        <v/>
      </c>
      <c r="AC503" t="str">
        <f ca="1">IF(AND(ISNUMBER($AC$1163),$B$677=1),$AC$1163,HLOOKUP(INDIRECT(ADDRESS(2,COLUMN())),OFFSET($BN$2,0,0,ROW()-1,60),ROW()-1,FALSE))</f>
        <v/>
      </c>
      <c r="AD503" t="str">
        <f ca="1">IF(AND(ISNUMBER($AD$1163),$B$677=1),$AD$1163,HLOOKUP(INDIRECT(ADDRESS(2,COLUMN())),OFFSET($BN$2,0,0,ROW()-1,60),ROW()-1,FALSE))</f>
        <v/>
      </c>
      <c r="AE503" t="str">
        <f ca="1">IF(AND(ISNUMBER($AE$1163),$B$677=1),$AE$1163,HLOOKUP(INDIRECT(ADDRESS(2,COLUMN())),OFFSET($BN$2,0,0,ROW()-1,60),ROW()-1,FALSE))</f>
        <v/>
      </c>
      <c r="AF503" t="str">
        <f ca="1">IF(AND(ISNUMBER($AF$1163),$B$677=1),$AF$1163,HLOOKUP(INDIRECT(ADDRESS(2,COLUMN())),OFFSET($BN$2,0,0,ROW()-1,60),ROW()-1,FALSE))</f>
        <v/>
      </c>
      <c r="AG503" t="str">
        <f ca="1">IF(AND(ISNUMBER($AG$1163),$B$677=1),$AG$1163,HLOOKUP(INDIRECT(ADDRESS(2,COLUMN())),OFFSET($BN$2,0,0,ROW()-1,60),ROW()-1,FALSE))</f>
        <v/>
      </c>
      <c r="AH503" t="str">
        <f ca="1">IF(AND(ISNUMBER($AH$1163),$B$677=1),$AH$1163,HLOOKUP(INDIRECT(ADDRESS(2,COLUMN())),OFFSET($BN$2,0,0,ROW()-1,60),ROW()-1,FALSE))</f>
        <v/>
      </c>
      <c r="AI503" t="str">
        <f ca="1">IF(AND(ISNUMBER($AI$1163),$B$677=1),$AI$1163,HLOOKUP(INDIRECT(ADDRESS(2,COLUMN())),OFFSET($BN$2,0,0,ROW()-1,60),ROW()-1,FALSE))</f>
        <v/>
      </c>
      <c r="AJ503" t="str">
        <f ca="1">IF(AND(ISNUMBER($AJ$1163),$B$677=1),$AJ$1163,HLOOKUP(INDIRECT(ADDRESS(2,COLUMN())),OFFSET($BN$2,0,0,ROW()-1,60),ROW()-1,FALSE))</f>
        <v/>
      </c>
      <c r="AK503" t="str">
        <f ca="1">IF(AND(ISNUMBER($AK$1163),$B$677=1),$AK$1163,HLOOKUP(INDIRECT(ADDRESS(2,COLUMN())),OFFSET($BN$2,0,0,ROW()-1,60),ROW()-1,FALSE))</f>
        <v/>
      </c>
      <c r="AL503">
        <f ca="1">IF(AND(ISNUMBER($AL$1163),$B$677=1),$AL$1163,HLOOKUP(INDIRECT(ADDRESS(2,COLUMN())),OFFSET($BN$2,0,0,ROW()-1,60),ROW()-1,FALSE))</f>
        <v>1.0729450009999999</v>
      </c>
      <c r="AM503">
        <f ca="1">IF(AND(ISNUMBER($AM$1163),$B$677=1),$AM$1163,HLOOKUP(INDIRECT(ADDRESS(2,COLUMN())),OFFSET($BN$2,0,0,ROW()-1,60),ROW()-1,FALSE))</f>
        <v>0.91797864900000004</v>
      </c>
      <c r="AN503">
        <f ca="1">IF(AND(ISNUMBER($AN$1163),$B$677=1),$AN$1163,HLOOKUP(INDIRECT(ADDRESS(2,COLUMN())),OFFSET($BN$2,0,0,ROW()-1,60),ROW()-1,FALSE))</f>
        <v>0.60143428700000001</v>
      </c>
      <c r="AO503">
        <f ca="1">IF(AND(ISNUMBER($AO$1163),$B$677=1),$AO$1163,HLOOKUP(INDIRECT(ADDRESS(2,COLUMN())),OFFSET($BN$2,0,0,ROW()-1,60),ROW()-1,FALSE))</f>
        <v>0.64321488500000001</v>
      </c>
      <c r="AP503">
        <f ca="1">IF(AND(ISNUMBER($AP$1163),$B$677=1),$AP$1163,HLOOKUP(INDIRECT(ADDRESS(2,COLUMN())),OFFSET($BN$2,0,0,ROW()-1,60),ROW()-1,FALSE))</f>
        <v>0.48480191099999997</v>
      </c>
      <c r="AQ503" t="str">
        <f ca="1">IF(AND(ISNUMBER($AQ$1163),$B$677=1),$AQ$1163,HLOOKUP(INDIRECT(ADDRESS(2,COLUMN())),OFFSET($BN$2,0,0,ROW()-1,60),ROW()-1,FALSE))</f>
        <v/>
      </c>
      <c r="AR503" t="str">
        <f ca="1">IF(AND(ISNUMBER($AR$1163),$B$677=1),$AR$1163,HLOOKUP(INDIRECT(ADDRESS(2,COLUMN())),OFFSET($BN$2,0,0,ROW()-1,60),ROW()-1,FALSE))</f>
        <v/>
      </c>
      <c r="AS503" t="str">
        <f ca="1">IF(AND(ISNUMBER($AS$1163),$B$677=1),$AS$1163,HLOOKUP(INDIRECT(ADDRESS(2,COLUMN())),OFFSET($BN$2,0,0,ROW()-1,60),ROW()-1,FALSE))</f>
        <v/>
      </c>
      <c r="AT503" t="str">
        <f ca="1">IF(AND(ISNUMBER($AT$1163),$B$677=1),$AT$1163,HLOOKUP(INDIRECT(ADDRESS(2,COLUMN())),OFFSET($BN$2,0,0,ROW()-1,60),ROW()-1,FALSE))</f>
        <v/>
      </c>
      <c r="AU503" t="str">
        <f ca="1">IF(AND(ISNUMBER($AU$1163),$B$677=1),$AU$1163,HLOOKUP(INDIRECT(ADDRESS(2,COLUMN())),OFFSET($BN$2,0,0,ROW()-1,60),ROW()-1,FALSE))</f>
        <v/>
      </c>
      <c r="AV503" t="str">
        <f ca="1">IF(AND(ISNUMBER($AV$1163),$B$677=1),$AV$1163,HLOOKUP(INDIRECT(ADDRESS(2,COLUMN())),OFFSET($BN$2,0,0,ROW()-1,60),ROW()-1,FALSE))</f>
        <v/>
      </c>
      <c r="AW503">
        <f ca="1">IF(AND(ISNUMBER($AW$1163),$B$677=1),$AW$1163,HLOOKUP(INDIRECT(ADDRESS(2,COLUMN())),OFFSET($BN$2,0,0,ROW()-1,60),ROW()-1,FALSE))</f>
        <v>2.884337945</v>
      </c>
      <c r="AX503">
        <f ca="1">IF(AND(ISNUMBER($AX$1163),$B$677=1),$AX$1163,HLOOKUP(INDIRECT(ADDRESS(2,COLUMN())),OFFSET($BN$2,0,0,ROW()-1,60),ROW()-1,FALSE))</f>
        <v>2.5979211699999998</v>
      </c>
      <c r="AY503">
        <f ca="1">IF(AND(ISNUMBER($AY$1163),$B$677=1),$AY$1163,HLOOKUP(INDIRECT(ADDRESS(2,COLUMN())),OFFSET($BN$2,0,0,ROW()-1,60),ROW()-1,FALSE))</f>
        <v>0.78761485200000003</v>
      </c>
      <c r="AZ503">
        <f ca="1">IF(AND(ISNUMBER($AZ$1163),$B$677=1),$AZ$1163,HLOOKUP(INDIRECT(ADDRESS(2,COLUMN())),OFFSET($BN$2,0,0,ROW()-1,60),ROW()-1,FALSE))</f>
        <v>0.70010209099999998</v>
      </c>
      <c r="BA503">
        <f ca="1">IF(AND(ISNUMBER($BA$1163),$B$677=1),$BA$1163,HLOOKUP(INDIRECT(ADDRESS(2,COLUMN())),OFFSET($BN$2,0,0,ROW()-1,60),ROW()-1,FALSE))</f>
        <v>0.90413629299999998</v>
      </c>
      <c r="BB503">
        <f ca="1">IF(AND(ISNUMBER($BB$1163),$B$677=1),$BB$1163,HLOOKUP(INDIRECT(ADDRESS(2,COLUMN())),OFFSET($BN$2,0,0,ROW()-1,60),ROW()-1,FALSE))</f>
        <v>1.0542393350000001</v>
      </c>
      <c r="BC503" t="str">
        <f ca="1">IF(AND(ISNUMBER($BC$1163),$B$677=1),$BC$1163,HLOOKUP(INDIRECT(ADDRESS(2,COLUMN())),OFFSET($BN$2,0,0,ROW()-1,60),ROW()-1,FALSE))</f>
        <v/>
      </c>
      <c r="BD503" t="str">
        <f ca="1">IF(AND(ISNUMBER($BD$1163),$B$677=1),$BD$1163,HLOOKUP(INDIRECT(ADDRESS(2,COLUMN())),OFFSET($BN$2,0,0,ROW()-1,60),ROW()-1,FALSE))</f>
        <v/>
      </c>
      <c r="BE503">
        <f ca="1">IF(AND(ISNUMBER($BE$1163),$B$677=1),$BE$1163,HLOOKUP(INDIRECT(ADDRESS(2,COLUMN())),OFFSET($BN$2,0,0,ROW()-1,60),ROW()-1,FALSE))</f>
        <v>3.1889175390000002</v>
      </c>
      <c r="BF503">
        <f ca="1">IF(AND(ISNUMBER($BF$1163),$B$677=1),$BF$1163,HLOOKUP(INDIRECT(ADDRESS(2,COLUMN())),OFFSET($BN$2,0,0,ROW()-1,60),ROW()-1,FALSE))</f>
        <v>3.3876039900000001</v>
      </c>
      <c r="BG503">
        <f ca="1">IF(AND(ISNUMBER($BG$1163),$B$677=1),$BG$1163,HLOOKUP(INDIRECT(ADDRESS(2,COLUMN())),OFFSET($BN$2,0,0,ROW()-1,60),ROW()-1,FALSE))</f>
        <v>4.5498781619999997</v>
      </c>
      <c r="BH503">
        <f ca="1">IF(AND(ISNUMBER($BH$1163),$B$677=1),$BH$1163,HLOOKUP(INDIRECT(ADDRESS(2,COLUMN())),OFFSET($BN$2,0,0,ROW()-1,60),ROW()-1,FALSE))</f>
        <v>4.3847616159999996</v>
      </c>
      <c r="BI503">
        <f ca="1">IF(AND(ISNUMBER($BI$1163),$B$677=1),$BI$1163,HLOOKUP(INDIRECT(ADDRESS(2,COLUMN())),OFFSET($BN$2,0,0,ROW()-1,60),ROW()-1,FALSE))</f>
        <v>3.2460324800000002</v>
      </c>
      <c r="BJ503">
        <f ca="1">IF(AND(ISNUMBER($BJ$1163),$B$677=1),$BJ$1163,HLOOKUP(INDIRECT(ADDRESS(2,COLUMN())),OFFSET($BN$2,0,0,ROW()-1,60),ROW()-1,FALSE))</f>
        <v>2.3691086729999999</v>
      </c>
      <c r="BK503">
        <f ca="1">IF(AND(ISNUMBER($BK$1163),$B$677=1),$BK$1163,HLOOKUP(INDIRECT(ADDRESS(2,COLUMN())),OFFSET($BN$2,0,0,ROW()-1,60),ROW()-1,FALSE))</f>
        <v>2.340764429</v>
      </c>
      <c r="BL503">
        <f ca="1">IF(AND(ISNUMBER($BL$1163),$B$677=1),$BL$1163,HLOOKUP(INDIRECT(ADDRESS(2,COLUMN())),OFFSET($BN$2,0,0,ROW()-1,60),ROW()-1,FALSE))</f>
        <v>2.0345884910000001</v>
      </c>
      <c r="BM503">
        <f ca="1">IF(AND(ISNUMBER($BM$1163),$B$677=1),$BM$1163,HLOOKUP(INDIRECT(ADDRESS(2,COLUMN())),OFFSET($BN$2,0,0,ROW()-1,60),ROW()-1,FALSE))</f>
        <v>2.0919630040000001</v>
      </c>
      <c r="BN503">
        <f>0.338096049</f>
        <v>0.33809604900000001</v>
      </c>
      <c r="BO503">
        <f>0.340126656</f>
        <v>0.34012665600000003</v>
      </c>
      <c r="BP503">
        <f>0.302301183</f>
        <v>0.30230118299999997</v>
      </c>
      <c r="BQ503">
        <f>0.357293932</f>
        <v>0.35729393199999998</v>
      </c>
      <c r="BR503">
        <f>0.277603374</f>
        <v>0.27760337400000001</v>
      </c>
      <c r="BS503" t="str">
        <f>""</f>
        <v/>
      </c>
      <c r="BT503">
        <f>0.425739245</f>
        <v>0.42573924499999999</v>
      </c>
      <c r="BU503">
        <f>0.426628053</f>
        <v>0.42662805300000001</v>
      </c>
      <c r="BV503">
        <f>0.474141154</f>
        <v>0.47414115400000001</v>
      </c>
      <c r="BW503">
        <f>1.031428612</f>
        <v>1.031428612</v>
      </c>
      <c r="BX503">
        <f>0.827777187</f>
        <v>0.82777718700000003</v>
      </c>
      <c r="BY503" t="str">
        <f>""</f>
        <v/>
      </c>
      <c r="BZ503" t="str">
        <f>""</f>
        <v/>
      </c>
      <c r="CA503" t="str">
        <f>""</f>
        <v/>
      </c>
      <c r="CB503" t="str">
        <f>""</f>
        <v/>
      </c>
      <c r="CC503">
        <f>0.132335822</f>
        <v>0.13233582199999999</v>
      </c>
      <c r="CD503">
        <f>0.156381805</f>
        <v>0.15638180500000001</v>
      </c>
      <c r="CE503">
        <f>0.205589259</f>
        <v>0.205589259</v>
      </c>
      <c r="CF503">
        <f>0.121040427</f>
        <v>0.12104042700000001</v>
      </c>
      <c r="CG503">
        <f>0.140059125</f>
        <v>0.14005912500000001</v>
      </c>
      <c r="CH503">
        <f>0.130127925</f>
        <v>0.13012792500000001</v>
      </c>
      <c r="CI503" t="str">
        <f>""</f>
        <v/>
      </c>
      <c r="CJ503" t="str">
        <f>""</f>
        <v/>
      </c>
      <c r="CK503" t="str">
        <f>""</f>
        <v/>
      </c>
      <c r="CL503" t="str">
        <f>""</f>
        <v/>
      </c>
      <c r="CM503" t="str">
        <f>""</f>
        <v/>
      </c>
      <c r="CN503" t="str">
        <f>""</f>
        <v/>
      </c>
      <c r="CO503" t="str">
        <f>""</f>
        <v/>
      </c>
      <c r="CP503" t="str">
        <f>""</f>
        <v/>
      </c>
      <c r="CQ503" t="str">
        <f>""</f>
        <v/>
      </c>
      <c r="CR503" t="str">
        <f>""</f>
        <v/>
      </c>
      <c r="CS503" t="str">
        <f>""</f>
        <v/>
      </c>
      <c r="CT503">
        <f>1.072945001</f>
        <v>1.0729450009999999</v>
      </c>
      <c r="CU503">
        <f>0.917978649</f>
        <v>0.91797864900000004</v>
      </c>
      <c r="CV503">
        <f>0.601434287</f>
        <v>0.60143428700000001</v>
      </c>
      <c r="CW503">
        <f>0.643214885</f>
        <v>0.64321488500000001</v>
      </c>
      <c r="CX503">
        <f>0.484801911</f>
        <v>0.48480191099999997</v>
      </c>
      <c r="CY503" t="str">
        <f>""</f>
        <v/>
      </c>
      <c r="CZ503" t="str">
        <f>""</f>
        <v/>
      </c>
      <c r="DA503" t="str">
        <f>""</f>
        <v/>
      </c>
      <c r="DB503" t="str">
        <f>""</f>
        <v/>
      </c>
      <c r="DC503" t="str">
        <f>""</f>
        <v/>
      </c>
      <c r="DD503" t="str">
        <f>""</f>
        <v/>
      </c>
      <c r="DE503">
        <f>2.884337945</f>
        <v>2.884337945</v>
      </c>
      <c r="DF503">
        <f>2.59792117</f>
        <v>2.5979211699999998</v>
      </c>
      <c r="DG503">
        <f>0.787614852</f>
        <v>0.78761485200000003</v>
      </c>
      <c r="DH503">
        <f>0.700102091</f>
        <v>0.70010209099999998</v>
      </c>
      <c r="DI503">
        <f>0.904136293</f>
        <v>0.90413629299999998</v>
      </c>
      <c r="DJ503">
        <f>1.054239335</f>
        <v>1.0542393350000001</v>
      </c>
      <c r="DK503" t="str">
        <f>""</f>
        <v/>
      </c>
      <c r="DL503" t="str">
        <f>""</f>
        <v/>
      </c>
      <c r="DM503">
        <f>3.188917539</f>
        <v>3.1889175390000002</v>
      </c>
      <c r="DN503">
        <f>3.38760399</f>
        <v>3.3876039900000001</v>
      </c>
      <c r="DO503">
        <f>4.549878162</f>
        <v>4.5498781619999997</v>
      </c>
      <c r="DP503">
        <f>4.384761616</f>
        <v>4.3847616159999996</v>
      </c>
      <c r="DQ503">
        <f>3.24603248</f>
        <v>3.2460324800000002</v>
      </c>
      <c r="DR503">
        <f>2.369108673</f>
        <v>2.3691086729999999</v>
      </c>
      <c r="DS503">
        <f>2.340764429</f>
        <v>2.340764429</v>
      </c>
      <c r="DT503">
        <f>2.034588491</f>
        <v>2.0345884910000001</v>
      </c>
      <c r="DU503">
        <f>2.091963004</f>
        <v>2.0919630040000001</v>
      </c>
    </row>
    <row r="504" spans="1:125" x14ac:dyDescent="0.25">
      <c r="A504" t="str">
        <f>"    Chongqing Changan Automobile Co Ltd"</f>
        <v xml:space="preserve">    Chongqing Changan Automobile Co Ltd</v>
      </c>
      <c r="B504" t="str">
        <f>"200625 CH Equity"</f>
        <v>200625 CH Equity</v>
      </c>
      <c r="C504" t="str">
        <f t="shared" si="36"/>
        <v>DV013</v>
      </c>
      <c r="D504" t="str">
        <f t="shared" si="37"/>
        <v>EQY_DVD_YLD_IND</v>
      </c>
      <c r="E504" t="str">
        <f t="shared" si="38"/>
        <v>Dynamic</v>
      </c>
      <c r="F504">
        <f ca="1">IF(AND(ISNUMBER($F$1164),$B$677=1),$F$1164,HLOOKUP(INDIRECT(ADDRESS(2,COLUMN())),OFFSET($BN$2,0,0,ROW()-1,60),ROW()-1,FALSE))</f>
        <v>12.66318023</v>
      </c>
      <c r="G504">
        <f ca="1">IF(AND(ISNUMBER($G$1164),$B$677=1),$G$1164,HLOOKUP(INDIRECT(ADDRESS(2,COLUMN())),OFFSET($BN$2,0,0,ROW()-1,60),ROW()-1,FALSE))</f>
        <v>15.71105169</v>
      </c>
      <c r="H504">
        <f ca="1">IF(AND(ISNUMBER($H$1164),$B$677=1),$H$1164,HLOOKUP(INDIRECT(ADDRESS(2,COLUMN())),OFFSET($BN$2,0,0,ROW()-1,60),ROW()-1,FALSE))</f>
        <v>8.6758813900000007</v>
      </c>
      <c r="I504">
        <f ca="1">IF(AND(ISNUMBER($I$1164),$B$677=1),$I$1164,HLOOKUP(INDIRECT(ADDRESS(2,COLUMN())),OFFSET($BN$2,0,0,ROW()-1,60),ROW()-1,FALSE))</f>
        <v>6.9144477159999997</v>
      </c>
      <c r="J504">
        <f ca="1">IF(AND(ISNUMBER($J$1164),$B$677=1),$J$1164,HLOOKUP(INDIRECT(ADDRESS(2,COLUMN())),OFFSET($BN$2,0,0,ROW()-1,60),ROW()-1,FALSE))</f>
        <v>8.9561968570000001</v>
      </c>
      <c r="K504">
        <f ca="1">IF(AND(ISNUMBER($K$1164),$B$677=1),$K$1164,HLOOKUP(INDIRECT(ADDRESS(2,COLUMN())),OFFSET($BN$2,0,0,ROW()-1,60),ROW()-1,FALSE))</f>
        <v>8.4667302840000005</v>
      </c>
      <c r="L504">
        <f ca="1">IF(AND(ISNUMBER($L$1164),$B$677=1),$L$1164,HLOOKUP(INDIRECT(ADDRESS(2,COLUMN())),OFFSET($BN$2,0,0,ROW()-1,60),ROW()-1,FALSE))</f>
        <v>7.0487783589999999</v>
      </c>
      <c r="M504">
        <f ca="1">IF(AND(ISNUMBER($M$1164),$B$677=1),$M$1164,HLOOKUP(INDIRECT(ADDRESS(2,COLUMN())),OFFSET($BN$2,0,0,ROW()-1,60),ROW()-1,FALSE))</f>
        <v>7.0693087810000002</v>
      </c>
      <c r="N504">
        <f ca="1">IF(AND(ISNUMBER($N$1164),$B$677=1),$N$1164,HLOOKUP(INDIRECT(ADDRESS(2,COLUMN())),OFFSET($BN$2,0,0,ROW()-1,60),ROW()-1,FALSE))</f>
        <v>7.006296957</v>
      </c>
      <c r="O504">
        <f ca="1">IF(AND(ISNUMBER($O$1164),$B$677=1),$O$1164,HLOOKUP(INDIRECT(ADDRESS(2,COLUMN())),OFFSET($BN$2,0,0,ROW()-1,60),ROW()-1,FALSE))</f>
        <v>6.8230845029999996</v>
      </c>
      <c r="P504">
        <f ca="1">IF(AND(ISNUMBER($P$1164),$B$677=1),$P$1164,HLOOKUP(INDIRECT(ADDRESS(2,COLUMN())),OFFSET($BN$2,0,0,ROW()-1,60),ROW()-1,FALSE))</f>
        <v>5.9863929699999998</v>
      </c>
      <c r="Q504">
        <f ca="1">IF(AND(ISNUMBER($Q$1164),$B$677=1),$Q$1164,HLOOKUP(INDIRECT(ADDRESS(2,COLUMN())),OFFSET($BN$2,0,0,ROW()-1,60),ROW()-1,FALSE))</f>
        <v>7.006296957</v>
      </c>
      <c r="R504">
        <f ca="1">IF(AND(ISNUMBER($R$1164),$B$677=1),$R$1164,HLOOKUP(INDIRECT(ADDRESS(2,COLUMN())),OFFSET($BN$2,0,0,ROW()-1,60),ROW()-1,FALSE))</f>
        <v>2.1818134589999998</v>
      </c>
      <c r="S504">
        <f ca="1">IF(AND(ISNUMBER($S$1164),$B$677=1),$S$1164,HLOOKUP(INDIRECT(ADDRESS(2,COLUMN())),OFFSET($BN$2,0,0,ROW()-1,60),ROW()-1,FALSE))</f>
        <v>1.8539034830000001</v>
      </c>
      <c r="T504">
        <f ca="1">IF(AND(ISNUMBER($T$1164),$B$677=1),$T$1164,HLOOKUP(INDIRECT(ADDRESS(2,COLUMN())),OFFSET($BN$2,0,0,ROW()-1,60),ROW()-1,FALSE))</f>
        <v>2.4218296079999999</v>
      </c>
      <c r="U504">
        <f ca="1">IF(AND(ISNUMBER($U$1164),$B$677=1),$U$1164,HLOOKUP(INDIRECT(ADDRESS(2,COLUMN())),OFFSET($BN$2,0,0,ROW()-1,60),ROW()-1,FALSE))</f>
        <v>1.598676226</v>
      </c>
      <c r="V504">
        <f ca="1">IF(AND(ISNUMBER($V$1164),$B$677=1),$V$1164,HLOOKUP(INDIRECT(ADDRESS(2,COLUMN())),OFFSET($BN$2,0,0,ROW()-1,60),ROW()-1,FALSE))</f>
        <v>0.59462066599999996</v>
      </c>
      <c r="W504">
        <f ca="1">IF(AND(ISNUMBER($W$1164),$B$677=1),$W$1164,HLOOKUP(INDIRECT(ADDRESS(2,COLUMN())),OFFSET($BN$2,0,0,ROW()-1,60),ROW()-1,FALSE))</f>
        <v>0.71686329800000004</v>
      </c>
      <c r="X504">
        <f ca="1">IF(AND(ISNUMBER($X$1164),$B$677=1),$X$1164,HLOOKUP(INDIRECT(ADDRESS(2,COLUMN())),OFFSET($BN$2,0,0,ROW()-1,60),ROW()-1,FALSE))</f>
        <v>0.75468342399999999</v>
      </c>
      <c r="Y504">
        <f ca="1">IF(AND(ISNUMBER($Y$1164),$B$677=1),$Y$1164,HLOOKUP(INDIRECT(ADDRESS(2,COLUMN())),OFFSET($BN$2,0,0,ROW()-1,60),ROW()-1,FALSE))</f>
        <v>0.82275290899999998</v>
      </c>
      <c r="Z504">
        <f ca="1">IF(AND(ISNUMBER($Z$1164),$B$677=1),$Z$1164,HLOOKUP(INDIRECT(ADDRESS(2,COLUMN())),OFFSET($BN$2,0,0,ROW()-1,60),ROW()-1,FALSE))</f>
        <v>0.48670859900000002</v>
      </c>
      <c r="AA504">
        <f ca="1">IF(AND(ISNUMBER($AA$1164),$B$677=1),$AA$1164,HLOOKUP(INDIRECT(ADDRESS(2,COLUMN())),OFFSET($BN$2,0,0,ROW()-1,60),ROW()-1,FALSE))</f>
        <v>0.40972593200000001</v>
      </c>
      <c r="AB504">
        <f ca="1">IF(AND(ISNUMBER($AB$1164),$B$677=1),$AB$1164,HLOOKUP(INDIRECT(ADDRESS(2,COLUMN())),OFFSET($BN$2,0,0,ROW()-1,60),ROW()-1,FALSE))</f>
        <v>0.52946002999999997</v>
      </c>
      <c r="AC504">
        <f ca="1">IF(AND(ISNUMBER($AC$1164),$B$677=1),$AC$1164,HLOOKUP(INDIRECT(ADDRESS(2,COLUMN())),OFFSET($BN$2,0,0,ROW()-1,60),ROW()-1,FALSE))</f>
        <v>0.681392039</v>
      </c>
      <c r="AD504">
        <f ca="1">IF(AND(ISNUMBER($AD$1164),$B$677=1),$AD$1164,HLOOKUP(INDIRECT(ADDRESS(2,COLUMN())),OFFSET($BN$2,0,0,ROW()-1,60),ROW()-1,FALSE))</f>
        <v>0.64594475100000004</v>
      </c>
      <c r="AE504">
        <f ca="1">IF(AND(ISNUMBER($AE$1164),$B$677=1),$AE$1164,HLOOKUP(INDIRECT(ADDRESS(2,COLUMN())),OFFSET($BN$2,0,0,ROW()-1,60),ROW()-1,FALSE))</f>
        <v>1.128547151</v>
      </c>
      <c r="AF504">
        <f ca="1">IF(AND(ISNUMBER($AF$1164),$B$677=1),$AF$1164,HLOOKUP(INDIRECT(ADDRESS(2,COLUMN())),OFFSET($BN$2,0,0,ROW()-1,60),ROW()-1,FALSE))</f>
        <v>1.710515716</v>
      </c>
      <c r="AG504">
        <f ca="1">IF(AND(ISNUMBER($AG$1164),$B$677=1),$AG$1164,HLOOKUP(INDIRECT(ADDRESS(2,COLUMN())),OFFSET($BN$2,0,0,ROW()-1,60),ROW()-1,FALSE))</f>
        <v>1.588731425</v>
      </c>
      <c r="AH504">
        <f ca="1">IF(AND(ISNUMBER($AH$1164),$B$677=1),$AH$1164,HLOOKUP(INDIRECT(ADDRESS(2,COLUMN())),OFFSET($BN$2,0,0,ROW()-1,60),ROW()-1,FALSE))</f>
        <v>0.65986003400000004</v>
      </c>
      <c r="AI504">
        <f ca="1">IF(AND(ISNUMBER($AI$1164),$B$677=1),$AI$1164,HLOOKUP(INDIRECT(ADDRESS(2,COLUMN())),OFFSET($BN$2,0,0,ROW()-1,60),ROW()-1,FALSE))</f>
        <v>0.76429831299999995</v>
      </c>
      <c r="AJ504">
        <f ca="1">IF(AND(ISNUMBER($AJ$1164),$B$677=1),$AJ$1164,HLOOKUP(INDIRECT(ADDRESS(2,COLUMN())),OFFSET($BN$2,0,0,ROW()-1,60),ROW()-1,FALSE))</f>
        <v>1.0069901939999999</v>
      </c>
      <c r="AK504">
        <f ca="1">IF(AND(ISNUMBER($AK$1164),$B$677=1),$AK$1164,HLOOKUP(INDIRECT(ADDRESS(2,COLUMN())),OFFSET($BN$2,0,0,ROW()-1,60),ROW()-1,FALSE))</f>
        <v>0.68663352899999996</v>
      </c>
      <c r="AL504">
        <f ca="1">IF(AND(ISNUMBER($AL$1164),$B$677=1),$AL$1164,HLOOKUP(INDIRECT(ADDRESS(2,COLUMN())),OFFSET($BN$2,0,0,ROW()-1,60),ROW()-1,FALSE))</f>
        <v>1.1886013040000001</v>
      </c>
      <c r="AM504">
        <f ca="1">IF(AND(ISNUMBER($AM$1164),$B$677=1),$AM$1164,HLOOKUP(INDIRECT(ADDRESS(2,COLUMN())),OFFSET($BN$2,0,0,ROW()-1,60),ROW()-1,FALSE))</f>
        <v>1.1235714459999999</v>
      </c>
      <c r="AN504">
        <f ca="1">IF(AND(ISNUMBER($AN$1164),$B$677=1),$AN$1164,HLOOKUP(INDIRECT(ADDRESS(2,COLUMN())),OFFSET($BN$2,0,0,ROW()-1,60),ROW()-1,FALSE))</f>
        <v>1.065288201</v>
      </c>
      <c r="AO504">
        <f ca="1">IF(AND(ISNUMBER($AO$1164),$B$677=1),$AO$1164,HLOOKUP(INDIRECT(ADDRESS(2,COLUMN())),OFFSET($BN$2,0,0,ROW()-1,60),ROW()-1,FALSE))</f>
        <v>1.657645765</v>
      </c>
      <c r="AP504">
        <f ca="1">IF(AND(ISNUMBER($AP$1164),$B$677=1),$AP$1164,HLOOKUP(INDIRECT(ADDRESS(2,COLUMN())),OFFSET($BN$2,0,0,ROW()-1,60),ROW()-1,FALSE))</f>
        <v>0.29793423499999999</v>
      </c>
      <c r="AQ504">
        <f ca="1">IF(AND(ISNUMBER($AQ$1164),$B$677=1),$AQ$1164,HLOOKUP(INDIRECT(ADDRESS(2,COLUMN())),OFFSET($BN$2,0,0,ROW()-1,60),ROW()-1,FALSE))</f>
        <v>0.259040412</v>
      </c>
      <c r="AR504">
        <f ca="1">IF(AND(ISNUMBER($AR$1164),$B$677=1),$AR$1164,HLOOKUP(INDIRECT(ADDRESS(2,COLUMN())),OFFSET($BN$2,0,0,ROW()-1,60),ROW()-1,FALSE))</f>
        <v>0.44919315399999998</v>
      </c>
      <c r="AS504">
        <f ca="1">IF(AND(ISNUMBER($AS$1164),$B$677=1),$AS$1164,HLOOKUP(INDIRECT(ADDRESS(2,COLUMN())),OFFSET($BN$2,0,0,ROW()-1,60),ROW()-1,FALSE))</f>
        <v>0.57090191400000001</v>
      </c>
      <c r="AT504" t="str">
        <f ca="1">IF(AND(ISNUMBER($AT$1164),$B$677=1),$AT$1164,HLOOKUP(INDIRECT(ADDRESS(2,COLUMN())),OFFSET($BN$2,0,0,ROW()-1,60),ROW()-1,FALSE))</f>
        <v/>
      </c>
      <c r="AU504" t="str">
        <f ca="1">IF(AND(ISNUMBER($AU$1164),$B$677=1),$AU$1164,HLOOKUP(INDIRECT(ADDRESS(2,COLUMN())),OFFSET($BN$2,0,0,ROW()-1,60),ROW()-1,FALSE))</f>
        <v/>
      </c>
      <c r="AV504" t="str">
        <f ca="1">IF(AND(ISNUMBER($AV$1164),$B$677=1),$AV$1164,HLOOKUP(INDIRECT(ADDRESS(2,COLUMN())),OFFSET($BN$2,0,0,ROW()-1,60),ROW()-1,FALSE))</f>
        <v/>
      </c>
      <c r="AW504" t="str">
        <f ca="1">IF(AND(ISNUMBER($AW$1164),$B$677=1),$AW$1164,HLOOKUP(INDIRECT(ADDRESS(2,COLUMN())),OFFSET($BN$2,0,0,ROW()-1,60),ROW()-1,FALSE))</f>
        <v/>
      </c>
      <c r="AX504">
        <f ca="1">IF(AND(ISNUMBER($AX$1164),$B$677=1),$AX$1164,HLOOKUP(INDIRECT(ADDRESS(2,COLUMN())),OFFSET($BN$2,0,0,ROW()-1,60),ROW()-1,FALSE))</f>
        <v>1.039754622</v>
      </c>
      <c r="AY504">
        <f ca="1">IF(AND(ISNUMBER($AY$1164),$B$677=1),$AY$1164,HLOOKUP(INDIRECT(ADDRESS(2,COLUMN())),OFFSET($BN$2,0,0,ROW()-1,60),ROW()-1,FALSE))</f>
        <v>0.61257832599999995</v>
      </c>
      <c r="AZ504">
        <f ca="1">IF(AND(ISNUMBER($AZ$1164),$B$677=1),$AZ$1164,HLOOKUP(INDIRECT(ADDRESS(2,COLUMN())),OFFSET($BN$2,0,0,ROW()-1,60),ROW()-1,FALSE))</f>
        <v>0.51254033300000001</v>
      </c>
      <c r="BA504">
        <f ca="1">IF(AND(ISNUMBER($BA$1164),$B$677=1),$BA$1164,HLOOKUP(INDIRECT(ADDRESS(2,COLUMN())),OFFSET($BN$2,0,0,ROW()-1,60),ROW()-1,FALSE))</f>
        <v>0.66462746399999995</v>
      </c>
      <c r="BB504">
        <f ca="1">IF(AND(ISNUMBER($BB$1164),$B$677=1),$BB$1164,HLOOKUP(INDIRECT(ADDRESS(2,COLUMN())),OFFSET($BN$2,0,0,ROW()-1,60),ROW()-1,FALSE))</f>
        <v>0.72729698700000001</v>
      </c>
      <c r="BC504">
        <f ca="1">IF(AND(ISNUMBER($BC$1164),$B$677=1),$BC$1164,HLOOKUP(INDIRECT(ADDRESS(2,COLUMN())),OFFSET($BN$2,0,0,ROW()-1,60),ROW()-1,FALSE))</f>
        <v>0.88338355499999999</v>
      </c>
      <c r="BD504">
        <f ca="1">IF(AND(ISNUMBER($BD$1164),$B$677=1),$BD$1164,HLOOKUP(INDIRECT(ADDRESS(2,COLUMN())),OFFSET($BN$2,0,0,ROW()-1,60),ROW()-1,FALSE))</f>
        <v>1.4619219029999999</v>
      </c>
      <c r="BE504">
        <f ca="1">IF(AND(ISNUMBER($BE$1164),$B$677=1),$BE$1164,HLOOKUP(INDIRECT(ADDRESS(2,COLUMN())),OFFSET($BN$2,0,0,ROW()-1,60),ROW()-1,FALSE))</f>
        <v>1.454593974</v>
      </c>
      <c r="BF504">
        <f ca="1">IF(AND(ISNUMBER($BF$1164),$B$677=1),$BF$1164,HLOOKUP(INDIRECT(ADDRESS(2,COLUMN())),OFFSET($BN$2,0,0,ROW()-1,60),ROW()-1,FALSE))</f>
        <v>7.9174973150000003</v>
      </c>
      <c r="BG504">
        <f ca="1">IF(AND(ISNUMBER($BG$1164),$B$677=1),$BG$1164,HLOOKUP(INDIRECT(ADDRESS(2,COLUMN())),OFFSET($BN$2,0,0,ROW()-1,60),ROW()-1,FALSE))</f>
        <v>13.73812319</v>
      </c>
      <c r="BH504">
        <f ca="1">IF(AND(ISNUMBER($BH$1164),$B$677=1),$BH$1164,HLOOKUP(INDIRECT(ADDRESS(2,COLUMN())),OFFSET($BN$2,0,0,ROW()-1,60),ROW()-1,FALSE))</f>
        <v>9.1727103040000006</v>
      </c>
      <c r="BI504">
        <f ca="1">IF(AND(ISNUMBER($BI$1164),$B$677=1),$BI$1164,HLOOKUP(INDIRECT(ADDRESS(2,COLUMN())),OFFSET($BN$2,0,0,ROW()-1,60),ROW()-1,FALSE))</f>
        <v>7.0295536910000003</v>
      </c>
      <c r="BJ504">
        <f ca="1">IF(AND(ISNUMBER($BJ$1164),$B$677=1),$BJ$1164,HLOOKUP(INDIRECT(ADDRESS(2,COLUMN())),OFFSET($BN$2,0,0,ROW()-1,60),ROW()-1,FALSE))</f>
        <v>4.9976674289999998</v>
      </c>
      <c r="BK504">
        <f ca="1">IF(AND(ISNUMBER($BK$1164),$B$677=1),$BK$1164,HLOOKUP(INDIRECT(ADDRESS(2,COLUMN())),OFFSET($BN$2,0,0,ROW()-1,60),ROW()-1,FALSE))</f>
        <v>5.5326290130000002</v>
      </c>
      <c r="BL504">
        <f ca="1">IF(AND(ISNUMBER($BL$1164),$B$677=1),$BL$1164,HLOOKUP(INDIRECT(ADDRESS(2,COLUMN())),OFFSET($BN$2,0,0,ROW()-1,60),ROW()-1,FALSE))</f>
        <v>3.9598453619999998</v>
      </c>
      <c r="BM504">
        <f ca="1">IF(AND(ISNUMBER($BM$1164),$B$677=1),$BM$1164,HLOOKUP(INDIRECT(ADDRESS(2,COLUMN())),OFFSET($BN$2,0,0,ROW()-1,60),ROW()-1,FALSE))</f>
        <v>3.8063629840000002</v>
      </c>
      <c r="BN504">
        <f>12.66318023</f>
        <v>12.66318023</v>
      </c>
      <c r="BO504">
        <f>15.71105169</f>
        <v>15.71105169</v>
      </c>
      <c r="BP504">
        <f>8.67588139</f>
        <v>8.6758813900000007</v>
      </c>
      <c r="BQ504">
        <f>6.914447716</f>
        <v>6.9144477159999997</v>
      </c>
      <c r="BR504">
        <f>8.956196857</f>
        <v>8.9561968570000001</v>
      </c>
      <c r="BS504">
        <f>8.466730284</f>
        <v>8.4667302840000005</v>
      </c>
      <c r="BT504">
        <f>7.048778359</f>
        <v>7.0487783589999999</v>
      </c>
      <c r="BU504">
        <f>7.069308781</f>
        <v>7.0693087810000002</v>
      </c>
      <c r="BV504">
        <f>7.006296957</f>
        <v>7.006296957</v>
      </c>
      <c r="BW504">
        <f>6.823084503</f>
        <v>6.8230845029999996</v>
      </c>
      <c r="BX504">
        <f>5.98639297</f>
        <v>5.9863929699999998</v>
      </c>
      <c r="BY504">
        <f>7.006296957</f>
        <v>7.006296957</v>
      </c>
      <c r="BZ504">
        <f>2.181813459</f>
        <v>2.1818134589999998</v>
      </c>
      <c r="CA504">
        <f>1.853903483</f>
        <v>1.8539034830000001</v>
      </c>
      <c r="CB504">
        <f>2.421829608</f>
        <v>2.4218296079999999</v>
      </c>
      <c r="CC504">
        <f>1.598676226</f>
        <v>1.598676226</v>
      </c>
      <c r="CD504">
        <f>0.594620666</f>
        <v>0.59462066599999996</v>
      </c>
      <c r="CE504">
        <f>0.716863298</f>
        <v>0.71686329800000004</v>
      </c>
      <c r="CF504">
        <f>0.754683424</f>
        <v>0.75468342399999999</v>
      </c>
      <c r="CG504">
        <f>0.822752909</f>
        <v>0.82275290899999998</v>
      </c>
      <c r="CH504">
        <f>0.486708599</f>
        <v>0.48670859900000002</v>
      </c>
      <c r="CI504">
        <f>0.409725932</f>
        <v>0.40972593200000001</v>
      </c>
      <c r="CJ504">
        <f>0.52946003</f>
        <v>0.52946002999999997</v>
      </c>
      <c r="CK504">
        <f>0.681392039</f>
        <v>0.681392039</v>
      </c>
      <c r="CL504">
        <f>0.645944751</f>
        <v>0.64594475100000004</v>
      </c>
      <c r="CM504">
        <f>1.128547151</f>
        <v>1.128547151</v>
      </c>
      <c r="CN504">
        <f>1.710515716</f>
        <v>1.710515716</v>
      </c>
      <c r="CO504">
        <f>1.588731425</f>
        <v>1.588731425</v>
      </c>
      <c r="CP504">
        <f>0.659860034</f>
        <v>0.65986003400000004</v>
      </c>
      <c r="CQ504">
        <f>0.764298313</f>
        <v>0.76429831299999995</v>
      </c>
      <c r="CR504">
        <f>1.006990194</f>
        <v>1.0069901939999999</v>
      </c>
      <c r="CS504">
        <f>0.686633529</f>
        <v>0.68663352899999996</v>
      </c>
      <c r="CT504">
        <f>1.188601304</f>
        <v>1.1886013040000001</v>
      </c>
      <c r="CU504">
        <f>1.123571446</f>
        <v>1.1235714459999999</v>
      </c>
      <c r="CV504">
        <f>1.065288201</f>
        <v>1.065288201</v>
      </c>
      <c r="CW504">
        <f>1.657645765</f>
        <v>1.657645765</v>
      </c>
      <c r="CX504">
        <f>0.297934235</f>
        <v>0.29793423499999999</v>
      </c>
      <c r="CY504">
        <f>0.259040412</f>
        <v>0.259040412</v>
      </c>
      <c r="CZ504">
        <f>0.449193154</f>
        <v>0.44919315399999998</v>
      </c>
      <c r="DA504">
        <f>0.570901914</f>
        <v>0.57090191400000001</v>
      </c>
      <c r="DB504" t="str">
        <f>""</f>
        <v/>
      </c>
      <c r="DC504" t="str">
        <f>""</f>
        <v/>
      </c>
      <c r="DD504" t="str">
        <f>""</f>
        <v/>
      </c>
      <c r="DE504" t="str">
        <f>""</f>
        <v/>
      </c>
      <c r="DF504">
        <f>1.039754622</f>
        <v>1.039754622</v>
      </c>
      <c r="DG504">
        <f>0.612578326</f>
        <v>0.61257832599999995</v>
      </c>
      <c r="DH504">
        <f>0.512540333</f>
        <v>0.51254033300000001</v>
      </c>
      <c r="DI504">
        <f>0.664627464</f>
        <v>0.66462746399999995</v>
      </c>
      <c r="DJ504">
        <f>0.727296987</f>
        <v>0.72729698700000001</v>
      </c>
      <c r="DK504">
        <f>0.883383555</f>
        <v>0.88338355499999999</v>
      </c>
      <c r="DL504">
        <f>1.461921903</f>
        <v>1.4619219029999999</v>
      </c>
      <c r="DM504">
        <f>1.454593974</f>
        <v>1.454593974</v>
      </c>
      <c r="DN504">
        <f>7.917497315</f>
        <v>7.9174973150000003</v>
      </c>
      <c r="DO504">
        <f>13.73812319</f>
        <v>13.73812319</v>
      </c>
      <c r="DP504">
        <f>9.172710304</f>
        <v>9.1727103040000006</v>
      </c>
      <c r="DQ504">
        <f>7.029553691</f>
        <v>7.0295536910000003</v>
      </c>
      <c r="DR504">
        <f>4.997667429</f>
        <v>4.9976674289999998</v>
      </c>
      <c r="DS504">
        <f>5.532629013</f>
        <v>5.5326290130000002</v>
      </c>
      <c r="DT504">
        <f>3.959845362</f>
        <v>3.9598453619999998</v>
      </c>
      <c r="DU504">
        <f>3.806362984</f>
        <v>3.8063629840000002</v>
      </c>
    </row>
    <row r="505" spans="1:125" x14ac:dyDescent="0.25">
      <c r="A505" t="str">
        <f>"    Daihatsu Motor Co Ltd"</f>
        <v xml:space="preserve">    Daihatsu Motor Co Ltd</v>
      </c>
      <c r="B505" t="str">
        <f>"7262 JP Equity"</f>
        <v>7262 JP Equity</v>
      </c>
      <c r="C505" t="str">
        <f t="shared" si="36"/>
        <v>DV013</v>
      </c>
      <c r="D505" t="str">
        <f t="shared" si="37"/>
        <v>EQY_DVD_YLD_IND</v>
      </c>
      <c r="E505" t="str">
        <f t="shared" si="38"/>
        <v>Dynamic</v>
      </c>
      <c r="F505" t="str">
        <f ca="1">IF(AND(ISNUMBER($F$1165),$B$677=1),$F$1165,HLOOKUP(INDIRECT(ADDRESS(2,COLUMN())),OFFSET($BN$2,0,0,ROW()-1,60),ROW()-1,FALSE))</f>
        <v/>
      </c>
      <c r="G505" t="str">
        <f ca="1">IF(AND(ISNUMBER($G$1165),$B$677=1),$G$1165,HLOOKUP(INDIRECT(ADDRESS(2,COLUMN())),OFFSET($BN$2,0,0,ROW()-1,60),ROW()-1,FALSE))</f>
        <v/>
      </c>
      <c r="H505" t="str">
        <f ca="1">IF(AND(ISNUMBER($H$1165),$B$677=1),$H$1165,HLOOKUP(INDIRECT(ADDRESS(2,COLUMN())),OFFSET($BN$2,0,0,ROW()-1,60),ROW()-1,FALSE))</f>
        <v/>
      </c>
      <c r="I505" t="str">
        <f ca="1">IF(AND(ISNUMBER($I$1165),$B$677=1),$I$1165,HLOOKUP(INDIRECT(ADDRESS(2,COLUMN())),OFFSET($BN$2,0,0,ROW()-1,60),ROW()-1,FALSE))</f>
        <v/>
      </c>
      <c r="J505" t="str">
        <f ca="1">IF(AND(ISNUMBER($J$1165),$B$677=1),$J$1165,HLOOKUP(INDIRECT(ADDRESS(2,COLUMN())),OFFSET($BN$2,0,0,ROW()-1,60),ROW()-1,FALSE))</f>
        <v/>
      </c>
      <c r="K505" t="str">
        <f ca="1">IF(AND(ISNUMBER($K$1165),$B$677=1),$K$1165,HLOOKUP(INDIRECT(ADDRESS(2,COLUMN())),OFFSET($BN$2,0,0,ROW()-1,60),ROW()-1,FALSE))</f>
        <v/>
      </c>
      <c r="L505" t="str">
        <f ca="1">IF(AND(ISNUMBER($L$1165),$B$677=1),$L$1165,HLOOKUP(INDIRECT(ADDRESS(2,COLUMN())),OFFSET($BN$2,0,0,ROW()-1,60),ROW()-1,FALSE))</f>
        <v/>
      </c>
      <c r="M505" t="str">
        <f ca="1">IF(AND(ISNUMBER($M$1165),$B$677=1),$M$1165,HLOOKUP(INDIRECT(ADDRESS(2,COLUMN())),OFFSET($BN$2,0,0,ROW()-1,60),ROW()-1,FALSE))</f>
        <v/>
      </c>
      <c r="N505" t="str">
        <f ca="1">IF(AND(ISNUMBER($N$1165),$B$677=1),$N$1165,HLOOKUP(INDIRECT(ADDRESS(2,COLUMN())),OFFSET($BN$2,0,0,ROW()-1,60),ROW()-1,FALSE))</f>
        <v/>
      </c>
      <c r="O505" t="str">
        <f ca="1">IF(AND(ISNUMBER($O$1165),$B$677=1),$O$1165,HLOOKUP(INDIRECT(ADDRESS(2,COLUMN())),OFFSET($BN$2,0,0,ROW()-1,60),ROW()-1,FALSE))</f>
        <v/>
      </c>
      <c r="P505" t="str">
        <f ca="1">IF(AND(ISNUMBER($P$1165),$B$677=1),$P$1165,HLOOKUP(INDIRECT(ADDRESS(2,COLUMN())),OFFSET($BN$2,0,0,ROW()-1,60),ROW()-1,FALSE))</f>
        <v/>
      </c>
      <c r="Q505">
        <f ca="1">IF(AND(ISNUMBER($Q$1165),$B$677=1),$Q$1165,HLOOKUP(INDIRECT(ADDRESS(2,COLUMN())),OFFSET($BN$2,0,0,ROW()-1,60),ROW()-1,FALSE))</f>
        <v>2.1080368909999998</v>
      </c>
      <c r="R505">
        <f ca="1">IF(AND(ISNUMBER($R$1165),$B$677=1),$R$1165,HLOOKUP(INDIRECT(ADDRESS(2,COLUMN())),OFFSET($BN$2,0,0,ROW()-1,60),ROW()-1,FALSE))</f>
        <v>2.0176544769999998</v>
      </c>
      <c r="S505">
        <f ca="1">IF(AND(ISNUMBER($S$1165),$B$677=1),$S$1165,HLOOKUP(INDIRECT(ADDRESS(2,COLUMN())),OFFSET($BN$2,0,0,ROW()-1,60),ROW()-1,FALSE))</f>
        <v>1.9500304690000001</v>
      </c>
      <c r="T505">
        <f ca="1">IF(AND(ISNUMBER($T$1165),$B$677=1),$T$1165,HLOOKUP(INDIRECT(ADDRESS(2,COLUMN())),OFFSET($BN$2,0,0,ROW()-1,60),ROW()-1,FALSE))</f>
        <v>2.317161477</v>
      </c>
      <c r="U505">
        <f ca="1">IF(AND(ISNUMBER($U$1165),$B$677=1),$U$1165,HLOOKUP(INDIRECT(ADDRESS(2,COLUMN())),OFFSET($BN$2,0,0,ROW()-1,60),ROW()-1,FALSE))</f>
        <v>1.835915089</v>
      </c>
      <c r="V505">
        <f ca="1">IF(AND(ISNUMBER($V$1165),$B$677=1),$V$1165,HLOOKUP(INDIRECT(ADDRESS(2,COLUMN())),OFFSET($BN$2,0,0,ROW()-1,60),ROW()-1,FALSE))</f>
        <v>2.611534276</v>
      </c>
      <c r="W505">
        <f ca="1">IF(AND(ISNUMBER($W$1165),$B$677=1),$W$1165,HLOOKUP(INDIRECT(ADDRESS(2,COLUMN())),OFFSET($BN$2,0,0,ROW()-1,60),ROW()-1,FALSE))</f>
        <v>3.0398986699999999</v>
      </c>
      <c r="X505">
        <f ca="1">IF(AND(ISNUMBER($X$1165),$B$677=1),$X$1165,HLOOKUP(INDIRECT(ADDRESS(2,COLUMN())),OFFSET($BN$2,0,0,ROW()-1,60),ROW()-1,FALSE))</f>
        <v>2.7570361860000001</v>
      </c>
      <c r="Y505">
        <f ca="1">IF(AND(ISNUMBER($Y$1165),$B$677=1),$Y$1165,HLOOKUP(INDIRECT(ADDRESS(2,COLUMN())),OFFSET($BN$2,0,0,ROW()-1,60),ROW()-1,FALSE))</f>
        <v>2.6651860080000001</v>
      </c>
      <c r="Z505">
        <f ca="1">IF(AND(ISNUMBER($Z$1165),$B$677=1),$Z$1165,HLOOKUP(INDIRECT(ADDRESS(2,COLUMN())),OFFSET($BN$2,0,0,ROW()-1,60),ROW()-1,FALSE))</f>
        <v>3.0718595720000001</v>
      </c>
      <c r="AA505">
        <f ca="1">IF(AND(ISNUMBER($AA$1165),$B$677=1),$AA$1165,HLOOKUP(INDIRECT(ADDRESS(2,COLUMN())),OFFSET($BN$2,0,0,ROW()-1,60),ROW()-1,FALSE))</f>
        <v>3.1425364760000001</v>
      </c>
      <c r="AB505">
        <f ca="1">IF(AND(ISNUMBER($AB$1165),$B$677=1),$AB$1165,HLOOKUP(INDIRECT(ADDRESS(2,COLUMN())),OFFSET($BN$2,0,0,ROW()-1,60),ROW()-1,FALSE))</f>
        <v>2.9473684210000002</v>
      </c>
      <c r="AC505">
        <f ca="1">IF(AND(ISNUMBER($AC$1165),$B$677=1),$AC$1165,HLOOKUP(INDIRECT(ADDRESS(2,COLUMN())),OFFSET($BN$2,0,0,ROW()-1,60),ROW()-1,FALSE))</f>
        <v>2.9787234040000001</v>
      </c>
      <c r="AD505">
        <f ca="1">IF(AND(ISNUMBER($AD$1165),$B$677=1),$AD$1165,HLOOKUP(INDIRECT(ADDRESS(2,COLUMN())),OFFSET($BN$2,0,0,ROW()-1,60),ROW()-1,FALSE))</f>
        <v>2.8688524590000002</v>
      </c>
      <c r="AE505">
        <f ca="1">IF(AND(ISNUMBER($AE$1165),$B$677=1),$AE$1165,HLOOKUP(INDIRECT(ADDRESS(2,COLUMN())),OFFSET($BN$2,0,0,ROW()-1,60),ROW()-1,FALSE))</f>
        <v>3.2729398010000001</v>
      </c>
      <c r="AF505">
        <f ca="1">IF(AND(ISNUMBER($AF$1165),$B$677=1),$AF$1165,HLOOKUP(INDIRECT(ADDRESS(2,COLUMN())),OFFSET($BN$2,0,0,ROW()-1,60),ROW()-1,FALSE))</f>
        <v>4.301075269</v>
      </c>
      <c r="AG505">
        <f ca="1">IF(AND(ISNUMBER($AG$1165),$B$677=1),$AG$1165,HLOOKUP(INDIRECT(ADDRESS(2,COLUMN())),OFFSET($BN$2,0,0,ROW()-1,60),ROW()-1,FALSE))</f>
        <v>4.0374909880000001</v>
      </c>
      <c r="AH505">
        <f ca="1">IF(AND(ISNUMBER($AH$1165),$B$677=1),$AH$1165,HLOOKUP(INDIRECT(ADDRESS(2,COLUMN())),OFFSET($BN$2,0,0,ROW()-1,60),ROW()-1,FALSE))</f>
        <v>2.9683377310000001</v>
      </c>
      <c r="AI505">
        <f ca="1">IF(AND(ISNUMBER($AI$1165),$B$677=1),$AI$1165,HLOOKUP(INDIRECT(ADDRESS(2,COLUMN())),OFFSET($BN$2,0,0,ROW()-1,60),ROW()-1,FALSE))</f>
        <v>3.2751091699999999</v>
      </c>
      <c r="AJ505">
        <f ca="1">IF(AND(ISNUMBER($AJ$1165),$B$677=1),$AJ$1165,HLOOKUP(INDIRECT(ADDRESS(2,COLUMN())),OFFSET($BN$2,0,0,ROW()-1,60),ROW()-1,FALSE))</f>
        <v>3.1937544359999999</v>
      </c>
      <c r="AK505">
        <f ca="1">IF(AND(ISNUMBER($AK$1165),$B$677=1),$AK$1165,HLOOKUP(INDIRECT(ADDRESS(2,COLUMN())),OFFSET($BN$2,0,0,ROW()-1,60),ROW()-1,FALSE))</f>
        <v>3.2991202350000002</v>
      </c>
      <c r="AL505">
        <f ca="1">IF(AND(ISNUMBER($AL$1165),$B$677=1),$AL$1165,HLOOKUP(INDIRECT(ADDRESS(2,COLUMN())),OFFSET($BN$2,0,0,ROW()-1,60),ROW()-1,FALSE))</f>
        <v>2.4752475249999999</v>
      </c>
      <c r="AM505">
        <f ca="1">IF(AND(ISNUMBER($AM$1165),$B$677=1),$AM$1165,HLOOKUP(INDIRECT(ADDRESS(2,COLUMN())),OFFSET($BN$2,0,0,ROW()-1,60),ROW()-1,FALSE))</f>
        <v>2.4077046549999999</v>
      </c>
      <c r="AN505">
        <f ca="1">IF(AND(ISNUMBER($AN$1165),$B$677=1),$AN$1165,HLOOKUP(INDIRECT(ADDRESS(2,COLUMN())),OFFSET($BN$2,0,0,ROW()-1,60),ROW()-1,FALSE))</f>
        <v>2.6857654430000002</v>
      </c>
      <c r="AO505">
        <f ca="1">IF(AND(ISNUMBER($AO$1165),$B$677=1),$AO$1165,HLOOKUP(INDIRECT(ADDRESS(2,COLUMN())),OFFSET($BN$2,0,0,ROW()-1,60),ROW()-1,FALSE))</f>
        <v>3.6144578310000002</v>
      </c>
      <c r="AP505">
        <f ca="1">IF(AND(ISNUMBER($AP$1165),$B$677=1),$AP$1165,HLOOKUP(INDIRECT(ADDRESS(2,COLUMN())),OFFSET($BN$2,0,0,ROW()-1,60),ROW()-1,FALSE))</f>
        <v>1.343784994</v>
      </c>
      <c r="AQ505">
        <f ca="1">IF(AND(ISNUMBER($AQ$1165),$B$677=1),$AQ$1165,HLOOKUP(INDIRECT(ADDRESS(2,COLUMN())),OFFSET($BN$2,0,0,ROW()-1,60),ROW()-1,FALSE))</f>
        <v>1.2972972970000001</v>
      </c>
      <c r="AR505">
        <f ca="1">IF(AND(ISNUMBER($AR$1165),$B$677=1),$AR$1165,HLOOKUP(INDIRECT(ADDRESS(2,COLUMN())),OFFSET($BN$2,0,0,ROW()-1,60),ROW()-1,FALSE))</f>
        <v>1.3086150489999999</v>
      </c>
      <c r="AS505">
        <f ca="1">IF(AND(ISNUMBER($AS$1165),$B$677=1),$AS$1165,HLOOKUP(INDIRECT(ADDRESS(2,COLUMN())),OFFSET($BN$2,0,0,ROW()-1,60),ROW()-1,FALSE))</f>
        <v>1.336302895</v>
      </c>
      <c r="AT505">
        <f ca="1">IF(AND(ISNUMBER($AT$1165),$B$677=1),$AT$1165,HLOOKUP(INDIRECT(ADDRESS(2,COLUMN())),OFFSET($BN$2,0,0,ROW()-1,60),ROW()-1,FALSE))</f>
        <v>2.2106631989999999</v>
      </c>
      <c r="AU505">
        <f ca="1">IF(AND(ISNUMBER($AU$1165),$B$677=1),$AU$1165,HLOOKUP(INDIRECT(ADDRESS(2,COLUMN())),OFFSET($BN$2,0,0,ROW()-1,60),ROW()-1,FALSE))</f>
        <v>2.1711366540000001</v>
      </c>
      <c r="AV505">
        <f ca="1">IF(AND(ISNUMBER($AV$1165),$B$677=1),$AV$1165,HLOOKUP(INDIRECT(ADDRESS(2,COLUMN())),OFFSET($BN$2,0,0,ROW()-1,60),ROW()-1,FALSE))</f>
        <v>1.49122807</v>
      </c>
      <c r="AW505">
        <f ca="1">IF(AND(ISNUMBER($AW$1165),$B$677=1),$AW$1165,HLOOKUP(INDIRECT(ADDRESS(2,COLUMN())),OFFSET($BN$2,0,0,ROW()-1,60),ROW()-1,FALSE))</f>
        <v>1.3980263159999999</v>
      </c>
      <c r="AX505">
        <f ca="1">IF(AND(ISNUMBER($AX$1165),$B$677=1),$AX$1165,HLOOKUP(INDIRECT(ADDRESS(2,COLUMN())),OFFSET($BN$2,0,0,ROW()-1,60),ROW()-1,FALSE))</f>
        <v>1.169590643</v>
      </c>
      <c r="AY505">
        <f ca="1">IF(AND(ISNUMBER($AY$1165),$B$677=1),$AY$1165,HLOOKUP(INDIRECT(ADDRESS(2,COLUMN())),OFFSET($BN$2,0,0,ROW()-1,60),ROW()-1,FALSE))</f>
        <v>1.3320647000000001</v>
      </c>
      <c r="AZ505">
        <f ca="1">IF(AND(ISNUMBER($AZ$1165),$B$677=1),$AZ$1165,HLOOKUP(INDIRECT(ADDRESS(2,COLUMN())),OFFSET($BN$2,0,0,ROW()-1,60),ROW()-1,FALSE))</f>
        <v>1.0896898580000001</v>
      </c>
      <c r="BA505">
        <f ca="1">IF(AND(ISNUMBER($BA$1165),$B$677=1),$BA$1165,HLOOKUP(INDIRECT(ADDRESS(2,COLUMN())),OFFSET($BN$2,0,0,ROW()-1,60),ROW()-1,FALSE))</f>
        <v>1.150442478</v>
      </c>
      <c r="BB505">
        <f ca="1">IF(AND(ISNUMBER($BB$1165),$B$677=1),$BB$1165,HLOOKUP(INDIRECT(ADDRESS(2,COLUMN())),OFFSET($BN$2,0,0,ROW()-1,60),ROW()-1,FALSE))</f>
        <v>1.1586452759999999</v>
      </c>
      <c r="BC505">
        <f ca="1">IF(AND(ISNUMBER($BC$1165),$B$677=1),$BC$1165,HLOOKUP(INDIRECT(ADDRESS(2,COLUMN())),OFFSET($BN$2,0,0,ROW()-1,60),ROW()-1,FALSE))</f>
        <v>1.082431307</v>
      </c>
      <c r="BD505">
        <f ca="1">IF(AND(ISNUMBER($BD$1165),$B$677=1),$BD$1165,HLOOKUP(INDIRECT(ADDRESS(2,COLUMN())),OFFSET($BN$2,0,0,ROW()-1,60),ROW()-1,FALSE))</f>
        <v>1.110083256</v>
      </c>
      <c r="BE505">
        <f ca="1">IF(AND(ISNUMBER($BE$1165),$B$677=1),$BE$1165,HLOOKUP(INDIRECT(ADDRESS(2,COLUMN())),OFFSET($BN$2,0,0,ROW()-1,60),ROW()-1,FALSE))</f>
        <v>1.178781925</v>
      </c>
      <c r="BF505">
        <f ca="1">IF(AND(ISNUMBER($BF$1165),$B$677=1),$BF$1165,HLOOKUP(INDIRECT(ADDRESS(2,COLUMN())),OFFSET($BN$2,0,0,ROW()-1,60),ROW()-1,FALSE))</f>
        <v>0.909090909</v>
      </c>
      <c r="BG505">
        <f ca="1">IF(AND(ISNUMBER($BG$1165),$B$677=1),$BG$1165,HLOOKUP(INDIRECT(ADDRESS(2,COLUMN())),OFFSET($BN$2,0,0,ROW()-1,60),ROW()-1,FALSE))</f>
        <v>0.86274509799999999</v>
      </c>
      <c r="BH505">
        <f ca="1">IF(AND(ISNUMBER($BH$1165),$B$677=1),$BH$1165,HLOOKUP(INDIRECT(ADDRESS(2,COLUMN())),OFFSET($BN$2,0,0,ROW()-1,60),ROW()-1,FALSE))</f>
        <v>0.78260869600000005</v>
      </c>
      <c r="BI505">
        <f ca="1">IF(AND(ISNUMBER($BI$1165),$B$677=1),$BI$1165,HLOOKUP(INDIRECT(ADDRESS(2,COLUMN())),OFFSET($BN$2,0,0,ROW()-1,60),ROW()-1,FALSE))</f>
        <v>0.94240837700000002</v>
      </c>
      <c r="BJ505">
        <f ca="1">IF(AND(ISNUMBER($BJ$1165),$B$677=1),$BJ$1165,HLOOKUP(INDIRECT(ADDRESS(2,COLUMN())),OFFSET($BN$2,0,0,ROW()-1,60),ROW()-1,FALSE))</f>
        <v>0.84235860399999996</v>
      </c>
      <c r="BK505">
        <f ca="1">IF(AND(ISNUMBER($BK$1165),$B$677=1),$BK$1165,HLOOKUP(INDIRECT(ADDRESS(2,COLUMN())),OFFSET($BN$2,0,0,ROW()-1,60),ROW()-1,FALSE))</f>
        <v>0.85679314600000001</v>
      </c>
      <c r="BL505">
        <f ca="1">IF(AND(ISNUMBER($BL$1165),$B$677=1),$BL$1165,HLOOKUP(INDIRECT(ADDRESS(2,COLUMN())),OFFSET($BN$2,0,0,ROW()-1,60),ROW()-1,FALSE))</f>
        <v>0.79365079400000005</v>
      </c>
      <c r="BM505">
        <f ca="1">IF(AND(ISNUMBER($BM$1165),$B$677=1),$BM$1165,HLOOKUP(INDIRECT(ADDRESS(2,COLUMN())),OFFSET($BN$2,0,0,ROW()-1,60),ROW()-1,FALSE))</f>
        <v>0.88719898600000002</v>
      </c>
      <c r="BN505" t="str">
        <f>""</f>
        <v/>
      </c>
      <c r="BO505" t="str">
        <f>""</f>
        <v/>
      </c>
      <c r="BP505" t="str">
        <f>""</f>
        <v/>
      </c>
      <c r="BQ505" t="str">
        <f>""</f>
        <v/>
      </c>
      <c r="BR505" t="str">
        <f>""</f>
        <v/>
      </c>
      <c r="BS505" t="str">
        <f>""</f>
        <v/>
      </c>
      <c r="BT505" t="str">
        <f>""</f>
        <v/>
      </c>
      <c r="BU505" t="str">
        <f>""</f>
        <v/>
      </c>
      <c r="BV505" t="str">
        <f>""</f>
        <v/>
      </c>
      <c r="BW505" t="str">
        <f>""</f>
        <v/>
      </c>
      <c r="BX505" t="str">
        <f>""</f>
        <v/>
      </c>
      <c r="BY505">
        <f>2.108036891</f>
        <v>2.1080368909999998</v>
      </c>
      <c r="BZ505">
        <f>2.017654477</f>
        <v>2.0176544769999998</v>
      </c>
      <c r="CA505">
        <f>1.950030469</f>
        <v>1.9500304690000001</v>
      </c>
      <c r="CB505">
        <f>2.317161477</f>
        <v>2.317161477</v>
      </c>
      <c r="CC505">
        <f>1.835915089</f>
        <v>1.835915089</v>
      </c>
      <c r="CD505">
        <f>2.611534276</f>
        <v>2.611534276</v>
      </c>
      <c r="CE505">
        <f>3.03989867</f>
        <v>3.0398986699999999</v>
      </c>
      <c r="CF505">
        <f>2.757036186</f>
        <v>2.7570361860000001</v>
      </c>
      <c r="CG505">
        <f>2.665186008</f>
        <v>2.6651860080000001</v>
      </c>
      <c r="CH505">
        <f>3.071859572</f>
        <v>3.0718595720000001</v>
      </c>
      <c r="CI505">
        <f>3.142536476</f>
        <v>3.1425364760000001</v>
      </c>
      <c r="CJ505">
        <f>2.947368421</f>
        <v>2.9473684210000002</v>
      </c>
      <c r="CK505">
        <f>2.978723404</f>
        <v>2.9787234040000001</v>
      </c>
      <c r="CL505">
        <f>2.868852459</f>
        <v>2.8688524590000002</v>
      </c>
      <c r="CM505">
        <f>3.272939801</f>
        <v>3.2729398010000001</v>
      </c>
      <c r="CN505">
        <f>4.301075269</f>
        <v>4.301075269</v>
      </c>
      <c r="CO505">
        <f>4.037490988</f>
        <v>4.0374909880000001</v>
      </c>
      <c r="CP505">
        <f>2.968337731</f>
        <v>2.9683377310000001</v>
      </c>
      <c r="CQ505">
        <f>3.27510917</f>
        <v>3.2751091699999999</v>
      </c>
      <c r="CR505">
        <f>3.193754436</f>
        <v>3.1937544359999999</v>
      </c>
      <c r="CS505">
        <f>3.299120235</f>
        <v>3.2991202350000002</v>
      </c>
      <c r="CT505">
        <f>2.475247525</f>
        <v>2.4752475249999999</v>
      </c>
      <c r="CU505">
        <f>2.407704655</f>
        <v>2.4077046549999999</v>
      </c>
      <c r="CV505">
        <f>2.685765443</f>
        <v>2.6857654430000002</v>
      </c>
      <c r="CW505">
        <f>3.614457831</f>
        <v>3.6144578310000002</v>
      </c>
      <c r="CX505">
        <f>1.343784994</f>
        <v>1.343784994</v>
      </c>
      <c r="CY505">
        <f>1.297297297</f>
        <v>1.2972972970000001</v>
      </c>
      <c r="CZ505">
        <f>1.308615049</f>
        <v>1.3086150489999999</v>
      </c>
      <c r="DA505">
        <f>1.336302895</f>
        <v>1.336302895</v>
      </c>
      <c r="DB505">
        <f>2.210663199</f>
        <v>2.2106631989999999</v>
      </c>
      <c r="DC505">
        <f>2.171136654</f>
        <v>2.1711366540000001</v>
      </c>
      <c r="DD505">
        <f>1.49122807</f>
        <v>1.49122807</v>
      </c>
      <c r="DE505">
        <f>1.398026316</f>
        <v>1.3980263159999999</v>
      </c>
      <c r="DF505">
        <f>1.169590643</f>
        <v>1.169590643</v>
      </c>
      <c r="DG505">
        <f>1.3320647</f>
        <v>1.3320647000000001</v>
      </c>
      <c r="DH505">
        <f>1.089689858</f>
        <v>1.0896898580000001</v>
      </c>
      <c r="DI505">
        <f>1.150442478</f>
        <v>1.150442478</v>
      </c>
      <c r="DJ505">
        <f>1.158645276</f>
        <v>1.1586452759999999</v>
      </c>
      <c r="DK505">
        <f>1.082431307</f>
        <v>1.082431307</v>
      </c>
      <c r="DL505">
        <f>1.110083256</f>
        <v>1.110083256</v>
      </c>
      <c r="DM505">
        <f>1.178781925</f>
        <v>1.178781925</v>
      </c>
      <c r="DN505">
        <f>0.909090909</f>
        <v>0.909090909</v>
      </c>
      <c r="DO505">
        <f>0.862745098</f>
        <v>0.86274509799999999</v>
      </c>
      <c r="DP505">
        <f>0.782608696</f>
        <v>0.78260869600000005</v>
      </c>
      <c r="DQ505">
        <f>0.942408377</f>
        <v>0.94240837700000002</v>
      </c>
      <c r="DR505">
        <f>0.842358604</f>
        <v>0.84235860399999996</v>
      </c>
      <c r="DS505">
        <f>0.856793146</f>
        <v>0.85679314600000001</v>
      </c>
      <c r="DT505">
        <f>0.793650794</f>
        <v>0.79365079400000005</v>
      </c>
      <c r="DU505">
        <f>0.887198986</f>
        <v>0.88719898600000002</v>
      </c>
    </row>
    <row r="506" spans="1:125" x14ac:dyDescent="0.25">
      <c r="A506" t="str">
        <f>"    Daimler AG"</f>
        <v xml:space="preserve">    Daimler AG</v>
      </c>
      <c r="B506" t="str">
        <f>"DAI GR Equity"</f>
        <v>DAI GR Equity</v>
      </c>
      <c r="C506" t="str">
        <f t="shared" si="36"/>
        <v>DV013</v>
      </c>
      <c r="D506" t="str">
        <f t="shared" si="37"/>
        <v>EQY_DVD_YLD_IND</v>
      </c>
      <c r="E506" t="str">
        <f t="shared" si="38"/>
        <v>Dynamic</v>
      </c>
      <c r="F506">
        <f ca="1">IF(AND(ISNUMBER($F$1166),$B$677=1),$F$1166,HLOOKUP(INDIRECT(ADDRESS(2,COLUMN())),OFFSET($BN$2,0,0,ROW()-1,60),ROW()-1,FALSE))</f>
        <v>6.2224775030000004</v>
      </c>
      <c r="G506">
        <f ca="1">IF(AND(ISNUMBER($G$1166),$B$677=1),$G$1166,HLOOKUP(INDIRECT(ADDRESS(2,COLUMN())),OFFSET($BN$2,0,0,ROW()-1,60),ROW()-1,FALSE))</f>
        <v>7.9503378250000001</v>
      </c>
      <c r="H506">
        <f ca="1">IF(AND(ISNUMBER($H$1166),$B$677=1),$H$1166,HLOOKUP(INDIRECT(ADDRESS(2,COLUMN())),OFFSET($BN$2,0,0,ROW()-1,60),ROW()-1,FALSE))</f>
        <v>6.7095589990000004</v>
      </c>
      <c r="I506">
        <f ca="1">IF(AND(ISNUMBER($I$1166),$B$677=1),$I$1166,HLOOKUP(INDIRECT(ADDRESS(2,COLUMN())),OFFSET($BN$2,0,0,ROW()-1,60),ROW()-1,FALSE))</f>
        <v>6.6207148470000003</v>
      </c>
      <c r="J506">
        <f ca="1">IF(AND(ISNUMBER($J$1166),$B$677=1),$J$1166,HLOOKUP(INDIRECT(ADDRESS(2,COLUMN())),OFFSET($BN$2,0,0,ROW()-1,60),ROW()-1,FALSE))</f>
        <v>5.2821998490000004</v>
      </c>
      <c r="K506">
        <f ca="1">IF(AND(ISNUMBER($K$1166),$B$677=1),$K$1166,HLOOKUP(INDIRECT(ADDRESS(2,COLUMN())),OFFSET($BN$2,0,0,ROW()-1,60),ROW()-1,FALSE))</f>
        <v>4.5903954799999998</v>
      </c>
      <c r="L506">
        <f ca="1">IF(AND(ISNUMBER($L$1166),$B$677=1),$L$1166,HLOOKUP(INDIRECT(ADDRESS(2,COLUMN())),OFFSET($BN$2,0,0,ROW()-1,60),ROW()-1,FALSE))</f>
        <v>4.8262548260000004</v>
      </c>
      <c r="M506">
        <f ca="1">IF(AND(ISNUMBER($M$1166),$B$677=1),$M$1166,HLOOKUP(INDIRECT(ADDRESS(2,COLUMN())),OFFSET($BN$2,0,0,ROW()-1,60),ROW()-1,FALSE))</f>
        <v>5.1181102359999997</v>
      </c>
      <c r="N506">
        <f ca="1">IF(AND(ISNUMBER($N$1166),$B$677=1),$N$1166,HLOOKUP(INDIRECT(ADDRESS(2,COLUMN())),OFFSET($BN$2,0,0,ROW()-1,60),ROW()-1,FALSE))</f>
        <v>4.7040092629999997</v>
      </c>
      <c r="O506">
        <f ca="1">IF(AND(ISNUMBER($O$1166),$B$677=1),$O$1166,HLOOKUP(INDIRECT(ADDRESS(2,COLUMN())),OFFSET($BN$2,0,0,ROW()-1,60),ROW()-1,FALSE))</f>
        <v>4.5955882350000001</v>
      </c>
      <c r="P506">
        <f ca="1">IF(AND(ISNUMBER($P$1166),$B$677=1),$P$1166,HLOOKUP(INDIRECT(ADDRESS(2,COLUMN())),OFFSET($BN$2,0,0,ROW()-1,60),ROW()-1,FALSE))</f>
        <v>5.1867219919999998</v>
      </c>
      <c r="Q506">
        <f ca="1">IF(AND(ISNUMBER($Q$1166),$B$677=1),$Q$1166,HLOOKUP(INDIRECT(ADDRESS(2,COLUMN())),OFFSET($BN$2,0,0,ROW()-1,60),ROW()-1,FALSE))</f>
        <v>6.0186299749999996</v>
      </c>
      <c r="R506">
        <f ca="1">IF(AND(ISNUMBER($R$1166),$B$677=1),$R$1166,HLOOKUP(INDIRECT(ADDRESS(2,COLUMN())),OFFSET($BN$2,0,0,ROW()-1,60),ROW()-1,FALSE))</f>
        <v>4.8168129000000004</v>
      </c>
      <c r="S506">
        <f ca="1">IF(AND(ISNUMBER($S$1166),$B$677=1),$S$1166,HLOOKUP(INDIRECT(ADDRESS(2,COLUMN())),OFFSET($BN$2,0,0,ROW()-1,60),ROW()-1,FALSE))</f>
        <v>3.158030482</v>
      </c>
      <c r="T506">
        <f ca="1">IF(AND(ISNUMBER($T$1166),$B$677=1),$T$1166,HLOOKUP(INDIRECT(ADDRESS(2,COLUMN())),OFFSET($BN$2,0,0,ROW()-1,60),ROW()-1,FALSE))</f>
        <v>3.7688829460000002</v>
      </c>
      <c r="U506">
        <f ca="1">IF(AND(ISNUMBER($U$1166),$B$677=1),$U$1166,HLOOKUP(INDIRECT(ADDRESS(2,COLUMN())),OFFSET($BN$2,0,0,ROW()-1,60),ROW()-1,FALSE))</f>
        <v>2.9827124999999999</v>
      </c>
      <c r="V506">
        <f ca="1">IF(AND(ISNUMBER($V$1166),$B$677=1),$V$1166,HLOOKUP(INDIRECT(ADDRESS(2,COLUMN())),OFFSET($BN$2,0,0,ROW()-1,60),ROW()-1,FALSE))</f>
        <v>2.7284978199999999</v>
      </c>
      <c r="W506">
        <f ca="1">IF(AND(ISNUMBER($W$1166),$B$677=1),$W$1166,HLOOKUP(INDIRECT(ADDRESS(2,COLUMN())),OFFSET($BN$2,0,0,ROW()-1,60),ROW()-1,FALSE))</f>
        <v>3.2622879509999998</v>
      </c>
      <c r="X506">
        <f ca="1">IF(AND(ISNUMBER($X$1166),$B$677=1),$X$1166,HLOOKUP(INDIRECT(ADDRESS(2,COLUMN())),OFFSET($BN$2,0,0,ROW()-1,60),ROW()-1,FALSE))</f>
        <v>3.7177792470000002</v>
      </c>
      <c r="Y506">
        <f ca="1">IF(AND(ISNUMBER($Y$1166),$B$677=1),$Y$1166,HLOOKUP(INDIRECT(ADDRESS(2,COLUMN())),OFFSET($BN$2,0,0,ROW()-1,60),ROW()-1,FALSE))</f>
        <v>3.2933255269999999</v>
      </c>
      <c r="Z506">
        <f ca="1">IF(AND(ISNUMBER($Z$1166),$B$677=1),$Z$1166,HLOOKUP(INDIRECT(ADDRESS(2,COLUMN())),OFFSET($BN$2,0,0,ROW()-1,60),ROW()-1,FALSE))</f>
        <v>3.2698735650000001</v>
      </c>
      <c r="AA506">
        <f ca="1">IF(AND(ISNUMBER($AA$1166),$B$677=1),$AA$1166,HLOOKUP(INDIRECT(ADDRESS(2,COLUMN())),OFFSET($BN$2,0,0,ROW()-1,60),ROW()-1,FALSE))</f>
        <v>3.4976153380000001</v>
      </c>
      <c r="AB506">
        <f ca="1">IF(AND(ISNUMBER($AB$1166),$B$677=1),$AB$1166,HLOOKUP(INDIRECT(ADDRESS(2,COLUMN())),OFFSET($BN$2,0,0,ROW()-1,60),ROW()-1,FALSE))</f>
        <v>3.813485955</v>
      </c>
      <c r="AC506">
        <f ca="1">IF(AND(ISNUMBER($AC$1166),$B$677=1),$AC$1166,HLOOKUP(INDIRECT(ADDRESS(2,COLUMN())),OFFSET($BN$2,0,0,ROW()-1,60),ROW()-1,FALSE))</f>
        <v>4.7413794129999998</v>
      </c>
      <c r="AD506">
        <f ca="1">IF(AND(ISNUMBER($AD$1166),$B$677=1),$AD$1166,HLOOKUP(INDIRECT(ADDRESS(2,COLUMN())),OFFSET($BN$2,0,0,ROW()-1,60),ROW()-1,FALSE))</f>
        <v>5.1522249359999996</v>
      </c>
      <c r="AE506">
        <f ca="1">IF(AND(ISNUMBER($AE$1166),$B$677=1),$AE$1166,HLOOKUP(INDIRECT(ADDRESS(2,COLUMN())),OFFSET($BN$2,0,0,ROW()-1,60),ROW()-1,FALSE))</f>
        <v>5.3242982760000004</v>
      </c>
      <c r="AF506">
        <f ca="1">IF(AND(ISNUMBER($AF$1166),$B$677=1),$AF$1166,HLOOKUP(INDIRECT(ADDRESS(2,COLUMN())),OFFSET($BN$2,0,0,ROW()-1,60),ROW()-1,FALSE))</f>
        <v>5.8139536139999999</v>
      </c>
      <c r="AG506">
        <f ca="1">IF(AND(ISNUMBER($AG$1166),$B$677=1),$AG$1166,HLOOKUP(INDIRECT(ADDRESS(2,COLUMN())),OFFSET($BN$2,0,0,ROW()-1,60),ROW()-1,FALSE))</f>
        <v>6.2243600160000003</v>
      </c>
      <c r="AH506">
        <f ca="1">IF(AND(ISNUMBER($AH$1166),$B$677=1),$AH$1166,HLOOKUP(INDIRECT(ADDRESS(2,COLUMN())),OFFSET($BN$2,0,0,ROW()-1,60),ROW()-1,FALSE))</f>
        <v>4.8404841530000002</v>
      </c>
      <c r="AI506">
        <f ca="1">IF(AND(ISNUMBER($AI$1166),$B$677=1),$AI$1166,HLOOKUP(INDIRECT(ADDRESS(2,COLUMN())),OFFSET($BN$2,0,0,ROW()-1,60),ROW()-1,FALSE))</f>
        <v>5.4540095040000001</v>
      </c>
      <c r="AJ506">
        <f ca="1">IF(AND(ISNUMBER($AJ$1166),$B$677=1),$AJ$1166,HLOOKUP(INDIRECT(ADDRESS(2,COLUMN())),OFFSET($BN$2,0,0,ROW()-1,60),ROW()-1,FALSE))</f>
        <v>5.5207401489999999</v>
      </c>
      <c r="AK506">
        <f ca="1">IF(AND(ISNUMBER($AK$1166),$B$677=1),$AK$1166,HLOOKUP(INDIRECT(ADDRESS(2,COLUMN())),OFFSET($BN$2,0,0,ROW()-1,60),ROW()-1,FALSE))</f>
        <v>3.5741886090000001</v>
      </c>
      <c r="AL506">
        <f ca="1">IF(AND(ISNUMBER($AL$1166),$B$677=1),$AL$1166,HLOOKUP(INDIRECT(ADDRESS(2,COLUMN())),OFFSET($BN$2,0,0,ROW()-1,60),ROW()-1,FALSE))</f>
        <v>3.7000000480000002</v>
      </c>
      <c r="AM506" t="str">
        <f ca="1">IF(AND(ISNUMBER($AM$1166),$B$677=1),$AM$1166,HLOOKUP(INDIRECT(ADDRESS(2,COLUMN())),OFFSET($BN$2,0,0,ROW()-1,60),ROW()-1,FALSE))</f>
        <v/>
      </c>
      <c r="AN506" t="str">
        <f ca="1">IF(AND(ISNUMBER($AN$1166),$B$677=1),$AN$1166,HLOOKUP(INDIRECT(ADDRESS(2,COLUMN())),OFFSET($BN$2,0,0,ROW()-1,60),ROW()-1,FALSE))</f>
        <v/>
      </c>
      <c r="AO506" t="str">
        <f ca="1">IF(AND(ISNUMBER($AO$1166),$B$677=1),$AO$1166,HLOOKUP(INDIRECT(ADDRESS(2,COLUMN())),OFFSET($BN$2,0,0,ROW()-1,60),ROW()-1,FALSE))</f>
        <v/>
      </c>
      <c r="AP506">
        <f ca="1">IF(AND(ISNUMBER($AP$1166),$B$677=1),$AP$1166,HLOOKUP(INDIRECT(ADDRESS(2,COLUMN())),OFFSET($BN$2,0,0,ROW()-1,60),ROW()-1,FALSE))</f>
        <v>1.8176310929999999</v>
      </c>
      <c r="AQ506">
        <f ca="1">IF(AND(ISNUMBER($AQ$1166),$B$677=1),$AQ$1166,HLOOKUP(INDIRECT(ADDRESS(2,COLUMN())),OFFSET($BN$2,0,0,ROW()-1,60),ROW()-1,FALSE))</f>
        <v>1.61160361</v>
      </c>
      <c r="AR506">
        <f ca="1">IF(AND(ISNUMBER($AR$1166),$B$677=1),$AR$1166,HLOOKUP(INDIRECT(ADDRESS(2,COLUMN())),OFFSET($BN$2,0,0,ROW()-1,60),ROW()-1,FALSE))</f>
        <v>1.7331023219999999</v>
      </c>
      <c r="AS506">
        <f ca="1">IF(AND(ISNUMBER($AS$1166),$B$677=1),$AS$1166,HLOOKUP(INDIRECT(ADDRESS(2,COLUMN())),OFFSET($BN$2,0,0,ROW()-1,60),ROW()-1,FALSE))</f>
        <v>2.3328150230000002</v>
      </c>
      <c r="AT506">
        <f ca="1">IF(AND(ISNUMBER($AT$1166),$B$677=1),$AT$1166,HLOOKUP(INDIRECT(ADDRESS(2,COLUMN())),OFFSET($BN$2,0,0,ROW()-1,60),ROW()-1,FALSE))</f>
        <v>3.0911902310000001</v>
      </c>
      <c r="AU506">
        <f ca="1">IF(AND(ISNUMBER($AU$1166),$B$677=1),$AU$1166,HLOOKUP(INDIRECT(ADDRESS(2,COLUMN())),OFFSET($BN$2,0,0,ROW()-1,60),ROW()-1,FALSE))</f>
        <v>7.4906367039999999</v>
      </c>
      <c r="AV506">
        <f ca="1">IF(AND(ISNUMBER($AV$1166),$B$677=1),$AV$1166,HLOOKUP(INDIRECT(ADDRESS(2,COLUMN())),OFFSET($BN$2,0,0,ROW()-1,60),ROW()-1,FALSE))</f>
        <v>5.5517002079999997</v>
      </c>
      <c r="AW506">
        <f ca="1">IF(AND(ISNUMBER($AW$1166),$B$677=1),$AW$1166,HLOOKUP(INDIRECT(ADDRESS(2,COLUMN())),OFFSET($BN$2,0,0,ROW()-1,60),ROW()-1,FALSE))</f>
        <v>5.1020408159999997</v>
      </c>
      <c r="AX506">
        <f ca="1">IF(AND(ISNUMBER($AX$1166),$B$677=1),$AX$1166,HLOOKUP(INDIRECT(ADDRESS(2,COLUMN())),OFFSET($BN$2,0,0,ROW()-1,60),ROW()-1,FALSE))</f>
        <v>3.6839196909999998</v>
      </c>
      <c r="AY506">
        <f ca="1">IF(AND(ISNUMBER($AY$1166),$B$677=1),$AY$1166,HLOOKUP(INDIRECT(ADDRESS(2,COLUMN())),OFFSET($BN$2,0,0,ROW()-1,60),ROW()-1,FALSE))</f>
        <v>2.2651766840000001</v>
      </c>
      <c r="AZ506">
        <f ca="1">IF(AND(ISNUMBER($AZ$1166),$B$677=1),$AZ$1166,HLOOKUP(INDIRECT(ADDRESS(2,COLUMN())),OFFSET($BN$2,0,0,ROW()-1,60),ROW()-1,FALSE))</f>
        <v>2.121340687</v>
      </c>
      <c r="BA506">
        <f ca="1">IF(AND(ISNUMBER($BA$1166),$B$677=1),$BA$1166,HLOOKUP(INDIRECT(ADDRESS(2,COLUMN())),OFFSET($BN$2,0,0,ROW()-1,60),ROW()-1,FALSE))</f>
        <v>2.1987686900000001</v>
      </c>
      <c r="BB506">
        <f ca="1">IF(AND(ISNUMBER($BB$1166),$B$677=1),$BB$1166,HLOOKUP(INDIRECT(ADDRESS(2,COLUMN())),OFFSET($BN$2,0,0,ROW()-1,60),ROW()-1,FALSE))</f>
        <v>2.430330525</v>
      </c>
      <c r="BC506">
        <f ca="1">IF(AND(ISNUMBER($BC$1166),$B$677=1),$BC$1166,HLOOKUP(INDIRECT(ADDRESS(2,COLUMN())),OFFSET($BN$2,0,0,ROW()-1,60),ROW()-1,FALSE))</f>
        <v>3.191489362</v>
      </c>
      <c r="BD506">
        <f ca="1">IF(AND(ISNUMBER($BD$1166),$B$677=1),$BD$1166,HLOOKUP(INDIRECT(ADDRESS(2,COLUMN())),OFFSET($BN$2,0,0,ROW()-1,60),ROW()-1,FALSE))</f>
        <v>3.7955465589999999</v>
      </c>
      <c r="BE506">
        <f ca="1">IF(AND(ISNUMBER($BE$1166),$B$677=1),$BE$1166,HLOOKUP(INDIRECT(ADDRESS(2,COLUMN())),OFFSET($BN$2,0,0,ROW()-1,60),ROW()-1,FALSE))</f>
        <v>3.8900414940000001</v>
      </c>
      <c r="BF506">
        <f ca="1">IF(AND(ISNUMBER($BF$1166),$B$677=1),$BF$1166,HLOOKUP(INDIRECT(ADDRESS(2,COLUMN())),OFFSET($BN$2,0,0,ROW()-1,60),ROW()-1,FALSE))</f>
        <v>3.1625553449999999</v>
      </c>
      <c r="BG506">
        <f ca="1">IF(AND(ISNUMBER($BG$1166),$B$677=1),$BG$1166,HLOOKUP(INDIRECT(ADDRESS(2,COLUMN())),OFFSET($BN$2,0,0,ROW()-1,60),ROW()-1,FALSE))</f>
        <v>3.4770514600000002</v>
      </c>
      <c r="BH506">
        <f ca="1">IF(AND(ISNUMBER($BH$1166),$B$677=1),$BH$1166,HLOOKUP(INDIRECT(ADDRESS(2,COLUMN())),OFFSET($BN$2,0,0,ROW()-1,60),ROW()-1,FALSE))</f>
        <v>3.3975084940000002</v>
      </c>
      <c r="BI506">
        <f ca="1">IF(AND(ISNUMBER($BI$1166),$B$677=1),$BI$1166,HLOOKUP(INDIRECT(ADDRESS(2,COLUMN())),OFFSET($BN$2,0,0,ROW()-1,60),ROW()-1,FALSE))</f>
        <v>4.4642857139999998</v>
      </c>
      <c r="BJ506">
        <f ca="1">IF(AND(ISNUMBER($BJ$1166),$B$677=1),$BJ$1166,HLOOKUP(INDIRECT(ADDRESS(2,COLUMN())),OFFSET($BN$2,0,0,ROW()-1,60),ROW()-1,FALSE))</f>
        <v>4.3327556329999997</v>
      </c>
      <c r="BK506">
        <f ca="1">IF(AND(ISNUMBER($BK$1166),$B$677=1),$BK$1166,HLOOKUP(INDIRECT(ADDRESS(2,COLUMN())),OFFSET($BN$2,0,0,ROW()-1,60),ROW()-1,FALSE))</f>
        <v>4.2541123089999999</v>
      </c>
      <c r="BL506">
        <f ca="1">IF(AND(ISNUMBER($BL$1166),$B$677=1),$BL$1166,HLOOKUP(INDIRECT(ADDRESS(2,COLUMN())),OFFSET($BN$2,0,0,ROW()-1,60),ROW()-1,FALSE))</f>
        <v>4.5262522629999999</v>
      </c>
      <c r="BM506">
        <f ca="1">IF(AND(ISNUMBER($BM$1166),$B$677=1),$BM$1166,HLOOKUP(INDIRECT(ADDRESS(2,COLUMN())),OFFSET($BN$2,0,0,ROW()-1,60),ROW()-1,FALSE))</f>
        <v>3.897116134</v>
      </c>
      <c r="BN506">
        <f>6.222477503</f>
        <v>6.2224775030000004</v>
      </c>
      <c r="BO506">
        <f>7.950337825</f>
        <v>7.9503378250000001</v>
      </c>
      <c r="BP506">
        <f>6.709558999</f>
        <v>6.7095589990000004</v>
      </c>
      <c r="BQ506">
        <f>6.620714847</f>
        <v>6.6207148470000003</v>
      </c>
      <c r="BR506">
        <f>5.282199849</f>
        <v>5.2821998490000004</v>
      </c>
      <c r="BS506">
        <f>4.59039548</f>
        <v>4.5903954799999998</v>
      </c>
      <c r="BT506">
        <f>4.826254826</f>
        <v>4.8262548260000004</v>
      </c>
      <c r="BU506">
        <f>5.118110236</f>
        <v>5.1181102359999997</v>
      </c>
      <c r="BV506">
        <f>4.704009263</f>
        <v>4.7040092629999997</v>
      </c>
      <c r="BW506">
        <f>4.595588235</f>
        <v>4.5955882350000001</v>
      </c>
      <c r="BX506">
        <f>5.186721992</f>
        <v>5.1867219919999998</v>
      </c>
      <c r="BY506">
        <f>6.018629975</f>
        <v>6.0186299749999996</v>
      </c>
      <c r="BZ506">
        <f>4.8168129</f>
        <v>4.8168129000000004</v>
      </c>
      <c r="CA506">
        <f>3.158030482</f>
        <v>3.158030482</v>
      </c>
      <c r="CB506">
        <f>3.768882946</f>
        <v>3.7688829460000002</v>
      </c>
      <c r="CC506">
        <f>2.9827125</f>
        <v>2.9827124999999999</v>
      </c>
      <c r="CD506">
        <f>2.72849782</f>
        <v>2.7284978199999999</v>
      </c>
      <c r="CE506">
        <f>3.262287951</f>
        <v>3.2622879509999998</v>
      </c>
      <c r="CF506">
        <f>3.717779247</f>
        <v>3.7177792470000002</v>
      </c>
      <c r="CG506">
        <f>3.293325527</f>
        <v>3.2933255269999999</v>
      </c>
      <c r="CH506">
        <f>3.269873565</f>
        <v>3.2698735650000001</v>
      </c>
      <c r="CI506">
        <f>3.497615338</f>
        <v>3.4976153380000001</v>
      </c>
      <c r="CJ506">
        <f>3.813485955</f>
        <v>3.813485955</v>
      </c>
      <c r="CK506">
        <f>4.741379413</f>
        <v>4.7413794129999998</v>
      </c>
      <c r="CL506">
        <f>5.152224936</f>
        <v>5.1522249359999996</v>
      </c>
      <c r="CM506">
        <f>5.324298276</f>
        <v>5.3242982760000004</v>
      </c>
      <c r="CN506">
        <f>5.813953614</f>
        <v>5.8139536139999999</v>
      </c>
      <c r="CO506">
        <f>6.224360016</f>
        <v>6.2243600160000003</v>
      </c>
      <c r="CP506">
        <f>4.840484153</f>
        <v>4.8404841530000002</v>
      </c>
      <c r="CQ506">
        <f>5.454009504</f>
        <v>5.4540095040000001</v>
      </c>
      <c r="CR506">
        <f>5.520740149</f>
        <v>5.5207401489999999</v>
      </c>
      <c r="CS506">
        <f>3.574188609</f>
        <v>3.5741886090000001</v>
      </c>
      <c r="CT506">
        <f>3.700000048</f>
        <v>3.7000000480000002</v>
      </c>
      <c r="CU506" t="str">
        <f>""</f>
        <v/>
      </c>
      <c r="CV506" t="str">
        <f>""</f>
        <v/>
      </c>
      <c r="CW506" t="str">
        <f>""</f>
        <v/>
      </c>
      <c r="CX506">
        <f>1.817631093</f>
        <v>1.8176310929999999</v>
      </c>
      <c r="CY506">
        <f>1.61160361</f>
        <v>1.61160361</v>
      </c>
      <c r="CZ506">
        <f>1.733102322</f>
        <v>1.7331023219999999</v>
      </c>
      <c r="DA506">
        <f>2.332815023</f>
        <v>2.3328150230000002</v>
      </c>
      <c r="DB506">
        <f>3.091190231</f>
        <v>3.0911902310000001</v>
      </c>
      <c r="DC506">
        <f>7.490636704</f>
        <v>7.4906367039999999</v>
      </c>
      <c r="DD506">
        <f>5.551700208</f>
        <v>5.5517002079999997</v>
      </c>
      <c r="DE506">
        <f>5.102040816</f>
        <v>5.1020408159999997</v>
      </c>
      <c r="DF506">
        <f>3.683919691</f>
        <v>3.6839196909999998</v>
      </c>
      <c r="DG506">
        <f>2.265176684</f>
        <v>2.2651766840000001</v>
      </c>
      <c r="DH506">
        <f>2.121340687</f>
        <v>2.121340687</v>
      </c>
      <c r="DI506">
        <f>2.19876869</f>
        <v>2.1987686900000001</v>
      </c>
      <c r="DJ506">
        <f>2.430330525</f>
        <v>2.430330525</v>
      </c>
      <c r="DK506">
        <f>3.191489362</f>
        <v>3.191489362</v>
      </c>
      <c r="DL506">
        <f>3.795546559</f>
        <v>3.7955465589999999</v>
      </c>
      <c r="DM506">
        <f>3.890041494</f>
        <v>3.8900414940000001</v>
      </c>
      <c r="DN506">
        <f>3.162555345</f>
        <v>3.1625553449999999</v>
      </c>
      <c r="DO506">
        <f>3.47705146</f>
        <v>3.4770514600000002</v>
      </c>
      <c r="DP506">
        <f>3.397508494</f>
        <v>3.3975084940000002</v>
      </c>
      <c r="DQ506">
        <f>4.464285714</f>
        <v>4.4642857139999998</v>
      </c>
      <c r="DR506">
        <f>4.332755633</f>
        <v>4.3327556329999997</v>
      </c>
      <c r="DS506">
        <f>4.254112309</f>
        <v>4.2541123089999999</v>
      </c>
      <c r="DT506">
        <f>4.526252263</f>
        <v>4.5262522629999999</v>
      </c>
      <c r="DU506">
        <f>3.897116134</f>
        <v>3.897116134</v>
      </c>
    </row>
    <row r="507" spans="1:125" x14ac:dyDescent="0.25">
      <c r="A507" t="str">
        <f>"    Dongfeng Motor Group Co Ltd"</f>
        <v xml:space="preserve">    Dongfeng Motor Group Co Ltd</v>
      </c>
      <c r="B507" t="str">
        <f>"489 HK Equity"</f>
        <v>489 HK Equity</v>
      </c>
      <c r="C507" t="str">
        <f t="shared" si="36"/>
        <v>DV013</v>
      </c>
      <c r="D507" t="str">
        <f t="shared" si="37"/>
        <v>EQY_DVD_YLD_IND</v>
      </c>
      <c r="E507" t="str">
        <f t="shared" si="38"/>
        <v>Dynamic</v>
      </c>
      <c r="F507">
        <f ca="1">IF(AND(ISNUMBER($F$1167),$B$677=1),$F$1167,HLOOKUP(INDIRECT(ADDRESS(2,COLUMN())),OFFSET($BN$2,0,0,ROW()-1,60),ROW()-1,FALSE))</f>
        <v>4.7332530009999996</v>
      </c>
      <c r="G507">
        <f ca="1">IF(AND(ISNUMBER($G$1167),$B$677=1),$G$1167,HLOOKUP(INDIRECT(ADDRESS(2,COLUMN())),OFFSET($BN$2,0,0,ROW()-1,60),ROW()-1,FALSE))</f>
        <v>5.8065681180000004</v>
      </c>
      <c r="H507">
        <f ca="1">IF(AND(ISNUMBER($H$1167),$B$677=1),$H$1167,HLOOKUP(INDIRECT(ADDRESS(2,COLUMN())),OFFSET($BN$2,0,0,ROW()-1,60),ROW()-1,FALSE))</f>
        <v>5.1149669529999997</v>
      </c>
      <c r="I507">
        <f ca="1">IF(AND(ISNUMBER($I$1167),$B$677=1),$I$1167,HLOOKUP(INDIRECT(ADDRESS(2,COLUMN())),OFFSET($BN$2,0,0,ROW()-1,60),ROW()-1,FALSE))</f>
        <v>7.1866512299999998</v>
      </c>
      <c r="J507">
        <f ca="1">IF(AND(ISNUMBER($J$1167),$B$677=1),$J$1167,HLOOKUP(INDIRECT(ADDRESS(2,COLUMN())),OFFSET($BN$2,0,0,ROW()-1,60),ROW()-1,FALSE))</f>
        <v>6.5476624819999998</v>
      </c>
      <c r="K507">
        <f ca="1">IF(AND(ISNUMBER($K$1167),$B$677=1),$K$1167,HLOOKUP(INDIRECT(ADDRESS(2,COLUMN())),OFFSET($BN$2,0,0,ROW()-1,60),ROW()-1,FALSE))</f>
        <v>1.2730537710000001</v>
      </c>
      <c r="L507">
        <f ca="1">IF(AND(ISNUMBER($L$1167),$B$677=1),$L$1167,HLOOKUP(INDIRECT(ADDRESS(2,COLUMN())),OFFSET($BN$2,0,0,ROW()-1,60),ROW()-1,FALSE))</f>
        <v>1.1669659569999999</v>
      </c>
      <c r="M507">
        <f ca="1">IF(AND(ISNUMBER($M$1167),$B$677=1),$M$1167,HLOOKUP(INDIRECT(ADDRESS(2,COLUMN())),OFFSET($BN$2,0,0,ROW()-1,60),ROW()-1,FALSE))</f>
        <v>2.8554289599999998</v>
      </c>
      <c r="N507">
        <f ca="1">IF(AND(ISNUMBER($N$1167),$B$677=1),$N$1167,HLOOKUP(INDIRECT(ADDRESS(2,COLUMN())),OFFSET($BN$2,0,0,ROW()-1,60),ROW()-1,FALSE))</f>
        <v>3.0189701370000002</v>
      </c>
      <c r="O507">
        <f ca="1">IF(AND(ISNUMBER($O$1167),$B$677=1),$O$1167,HLOOKUP(INDIRECT(ADDRESS(2,COLUMN())),OFFSET($BN$2,0,0,ROW()-1,60),ROW()-1,FALSE))</f>
        <v>3.0832896139999999</v>
      </c>
      <c r="P507">
        <f ca="1">IF(AND(ISNUMBER($P$1167),$B$677=1),$P$1167,HLOOKUP(INDIRECT(ADDRESS(2,COLUMN())),OFFSET($BN$2,0,0,ROW()-1,60),ROW()-1,FALSE))</f>
        <v>3.0116777269999999</v>
      </c>
      <c r="Q507">
        <f ca="1">IF(AND(ISNUMBER($Q$1167),$B$677=1),$Q$1167,HLOOKUP(INDIRECT(ADDRESS(2,COLUMN())),OFFSET($BN$2,0,0,ROW()-1,60),ROW()-1,FALSE))</f>
        <v>2.8886760370000002</v>
      </c>
      <c r="R507">
        <f ca="1">IF(AND(ISNUMBER($R$1167),$B$677=1),$R$1167,HLOOKUP(INDIRECT(ADDRESS(2,COLUMN())),OFFSET($BN$2,0,0,ROW()-1,60),ROW()-1,FALSE))</f>
        <v>2.4112089239999999</v>
      </c>
      <c r="S507">
        <f ca="1">IF(AND(ISNUMBER($S$1167),$B$677=1),$S$1167,HLOOKUP(INDIRECT(ADDRESS(2,COLUMN())),OFFSET($BN$2,0,0,ROW()-1,60),ROW()-1,FALSE))</f>
        <v>2.4100654829999999</v>
      </c>
      <c r="T507">
        <f ca="1">IF(AND(ISNUMBER($T$1167),$B$677=1),$T$1167,HLOOKUP(INDIRECT(ADDRESS(2,COLUMN())),OFFSET($BN$2,0,0,ROW()-1,60),ROW()-1,FALSE))</f>
        <v>2.5873863639999999</v>
      </c>
      <c r="U507">
        <f ca="1">IF(AND(ISNUMBER($U$1167),$B$677=1),$U$1167,HLOOKUP(INDIRECT(ADDRESS(2,COLUMN())),OFFSET($BN$2,0,0,ROW()-1,60),ROW()-1,FALSE))</f>
        <v>2.4007960009999998</v>
      </c>
      <c r="V507">
        <f ca="1">IF(AND(ISNUMBER($V$1167),$B$677=1),$V$1167,HLOOKUP(INDIRECT(ADDRESS(2,COLUMN())),OFFSET($BN$2,0,0,ROW()-1,60),ROW()-1,FALSE))</f>
        <v>2.007096335</v>
      </c>
      <c r="W507">
        <f ca="1">IF(AND(ISNUMBER($W$1167),$B$677=1),$W$1167,HLOOKUP(INDIRECT(ADDRESS(2,COLUMN())),OFFSET($BN$2,0,0,ROW()-1,60),ROW()-1,FALSE))</f>
        <v>2.0436246379999998</v>
      </c>
      <c r="X507">
        <f ca="1">IF(AND(ISNUMBER($X$1167),$B$677=1),$X$1167,HLOOKUP(INDIRECT(ADDRESS(2,COLUMN())),OFFSET($BN$2,0,0,ROW()-1,60),ROW()-1,FALSE))</f>
        <v>1.7585422040000001</v>
      </c>
      <c r="Y507">
        <f ca="1">IF(AND(ISNUMBER($Y$1167),$B$677=1),$Y$1167,HLOOKUP(INDIRECT(ADDRESS(2,COLUMN())),OFFSET($BN$2,0,0,ROW()-1,60),ROW()-1,FALSE))</f>
        <v>1.6166425449999999</v>
      </c>
      <c r="Z507">
        <f ca="1">IF(AND(ISNUMBER($Z$1167),$B$677=1),$Z$1167,HLOOKUP(INDIRECT(ADDRESS(2,COLUMN())),OFFSET($BN$2,0,0,ROW()-1,60),ROW()-1,FALSE))</f>
        <v>2.0436246379999998</v>
      </c>
      <c r="AA507">
        <f ca="1">IF(AND(ISNUMBER($AA$1167),$B$677=1),$AA$1167,HLOOKUP(INDIRECT(ADDRESS(2,COLUMN())),OFFSET($BN$2,0,0,ROW()-1,60),ROW()-1,FALSE))</f>
        <v>1.558898603</v>
      </c>
      <c r="AB507">
        <f ca="1">IF(AND(ISNUMBER($AB$1167),$B$677=1),$AB$1167,HLOOKUP(INDIRECT(ADDRESS(2,COLUMN())),OFFSET($BN$2,0,0,ROW()-1,60),ROW()-1,FALSE))</f>
        <v>1.606538968</v>
      </c>
      <c r="AC507">
        <f ca="1">IF(AND(ISNUMBER($AC$1167),$B$677=1),$AC$1167,HLOOKUP(INDIRECT(ADDRESS(2,COLUMN())),OFFSET($BN$2,0,0,ROW()-1,60),ROW()-1,FALSE))</f>
        <v>1.826740255</v>
      </c>
      <c r="AD507">
        <f ca="1">IF(AND(ISNUMBER($AD$1167),$B$677=1),$AD$1167,HLOOKUP(INDIRECT(ADDRESS(2,COLUMN())),OFFSET($BN$2,0,0,ROW()-1,60),ROW()-1,FALSE))</f>
        <v>1.7362411959999999</v>
      </c>
      <c r="AE507">
        <f ca="1">IF(AND(ISNUMBER($AE$1167),$B$677=1),$AE$1167,HLOOKUP(INDIRECT(ADDRESS(2,COLUMN())),OFFSET($BN$2,0,0,ROW()-1,60),ROW()-1,FALSE))</f>
        <v>1.835134815</v>
      </c>
      <c r="AF507">
        <f ca="1">IF(AND(ISNUMBER($AF$1167),$B$677=1),$AF$1167,HLOOKUP(INDIRECT(ADDRESS(2,COLUMN())),OFFSET($BN$2,0,0,ROW()-1,60),ROW()-1,FALSE))</f>
        <v>2.4252168379999999</v>
      </c>
      <c r="AG507">
        <f ca="1">IF(AND(ISNUMBER($AG$1167),$B$677=1),$AG$1167,HLOOKUP(INDIRECT(ADDRESS(2,COLUMN())),OFFSET($BN$2,0,0,ROW()-1,60),ROW()-1,FALSE))</f>
        <v>1.8443875949999999</v>
      </c>
      <c r="AH507">
        <f ca="1">IF(AND(ISNUMBER($AH$1167),$B$677=1),$AH$1167,HLOOKUP(INDIRECT(ADDRESS(2,COLUMN())),OFFSET($BN$2,0,0,ROW()-1,60),ROW()-1,FALSE))</f>
        <v>1.565493037</v>
      </c>
      <c r="AI507">
        <f ca="1">IF(AND(ISNUMBER($AI$1167),$B$677=1),$AI$1167,HLOOKUP(INDIRECT(ADDRESS(2,COLUMN())),OFFSET($BN$2,0,0,ROW()-1,60),ROW()-1,FALSE))</f>
        <v>1.615251641</v>
      </c>
      <c r="AJ507">
        <f ca="1">IF(AND(ISNUMBER($AJ$1167),$B$677=1),$AJ$1167,HLOOKUP(INDIRECT(ADDRESS(2,COLUMN())),OFFSET($BN$2,0,0,ROW()-1,60),ROW()-1,FALSE))</f>
        <v>2.0070104350000002</v>
      </c>
      <c r="AK507">
        <f ca="1">IF(AND(ISNUMBER($AK$1167),$B$677=1),$AK$1167,HLOOKUP(INDIRECT(ADDRESS(2,COLUMN())),OFFSET($BN$2,0,0,ROW()-1,60),ROW()-1,FALSE))</f>
        <v>1.4636157729999999</v>
      </c>
      <c r="AL507">
        <f ca="1">IF(AND(ISNUMBER($AL$1167),$B$677=1),$AL$1167,HLOOKUP(INDIRECT(ADDRESS(2,COLUMN())),OFFSET($BN$2,0,0,ROW()-1,60),ROW()-1,FALSE))</f>
        <v>1.62501147</v>
      </c>
      <c r="AM507">
        <f ca="1">IF(AND(ISNUMBER($AM$1167),$B$677=1),$AM$1167,HLOOKUP(INDIRECT(ADDRESS(2,COLUMN())),OFFSET($BN$2,0,0,ROW()-1,60),ROW()-1,FALSE))</f>
        <v>0.76743465499999997</v>
      </c>
      <c r="AN507">
        <f ca="1">IF(AND(ISNUMBER($AN$1167),$B$677=1),$AN$1167,HLOOKUP(INDIRECT(ADDRESS(2,COLUMN())),OFFSET($BN$2,0,0,ROW()-1,60),ROW()-1,FALSE))</f>
        <v>0.64758339899999995</v>
      </c>
      <c r="AO507">
        <f ca="1">IF(AND(ISNUMBER($AO$1167),$B$677=1),$AO$1167,HLOOKUP(INDIRECT(ADDRESS(2,COLUMN())),OFFSET($BN$2,0,0,ROW()-1,60),ROW()-1,FALSE))</f>
        <v>1.120220521</v>
      </c>
      <c r="AP507">
        <f ca="1">IF(AND(ISNUMBER($AP$1167),$B$677=1),$AP$1167,HLOOKUP(INDIRECT(ADDRESS(2,COLUMN())),OFFSET($BN$2,0,0,ROW()-1,60),ROW()-1,FALSE))</f>
        <v>0.404924591</v>
      </c>
      <c r="AQ507">
        <f ca="1">IF(AND(ISNUMBER($AQ$1167),$B$677=1),$AQ$1167,HLOOKUP(INDIRECT(ADDRESS(2,COLUMN())),OFFSET($BN$2,0,0,ROW()-1,60),ROW()-1,FALSE))</f>
        <v>0.45707945799999999</v>
      </c>
      <c r="AR507">
        <f ca="1">IF(AND(ISNUMBER($AR$1167),$B$677=1),$AR$1167,HLOOKUP(INDIRECT(ADDRESS(2,COLUMN())),OFFSET($BN$2,0,0,ROW()-1,60),ROW()-1,FALSE))</f>
        <v>0.62016363399999996</v>
      </c>
      <c r="AS507">
        <f ca="1">IF(AND(ISNUMBER($AS$1167),$B$677=1),$AS$1167,HLOOKUP(INDIRECT(ADDRESS(2,COLUMN())),OFFSET($BN$2,0,0,ROW()-1,60),ROW()-1,FALSE))</f>
        <v>0.78136824800000004</v>
      </c>
      <c r="AT507">
        <f ca="1">IF(AND(ISNUMBER($AT$1167),$B$677=1),$AT$1167,HLOOKUP(INDIRECT(ADDRESS(2,COLUMN())),OFFSET($BN$2,0,0,ROW()-1,60),ROW()-1,FALSE))</f>
        <v>1.2553932880000001</v>
      </c>
      <c r="AU507">
        <f ca="1">IF(AND(ISNUMBER($AU$1167),$B$677=1),$AU$1167,HLOOKUP(INDIRECT(ADDRESS(2,COLUMN())),OFFSET($BN$2,0,0,ROW()-1,60),ROW()-1,FALSE))</f>
        <v>2.013650835</v>
      </c>
      <c r="AV507">
        <f ca="1">IF(AND(ISNUMBER($AV$1167),$B$677=1),$AV$1167,HLOOKUP(INDIRECT(ADDRESS(2,COLUMN())),OFFSET($BN$2,0,0,ROW()-1,60),ROW()-1,FALSE))</f>
        <v>1.8108370810000001</v>
      </c>
      <c r="AW507">
        <f ca="1">IF(AND(ISNUMBER($AW$1167),$B$677=1),$AW$1167,HLOOKUP(INDIRECT(ADDRESS(2,COLUMN())),OFFSET($BN$2,0,0,ROW()-1,60),ROW()-1,FALSE))</f>
        <v>1.613502271</v>
      </c>
      <c r="AX507">
        <f ca="1">IF(AND(ISNUMBER($AX$1167),$B$677=1),$AX$1167,HLOOKUP(INDIRECT(ADDRESS(2,COLUMN())),OFFSET($BN$2,0,0,ROW()-1,60),ROW()-1,FALSE))</f>
        <v>1.1630129600000001</v>
      </c>
      <c r="AY507">
        <f ca="1">IF(AND(ISNUMBER($AY$1167),$B$677=1),$AY$1167,HLOOKUP(INDIRECT(ADDRESS(2,COLUMN())),OFFSET($BN$2,0,0,ROW()-1,60),ROW()-1,FALSE))</f>
        <v>0.74009915599999998</v>
      </c>
      <c r="AZ507">
        <f ca="1">IF(AND(ISNUMBER($AZ$1167),$B$677=1),$AZ$1167,HLOOKUP(INDIRECT(ADDRESS(2,COLUMN())),OFFSET($BN$2,0,0,ROW()-1,60),ROW()-1,FALSE))</f>
        <v>0.59598028700000005</v>
      </c>
      <c r="BA507">
        <f ca="1">IF(AND(ISNUMBER($BA$1167),$B$677=1),$BA$1167,HLOOKUP(INDIRECT(ADDRESS(2,COLUMN())),OFFSET($BN$2,0,0,ROW()-1,60),ROW()-1,FALSE))</f>
        <v>0.97849648099999997</v>
      </c>
      <c r="BB507" t="str">
        <f ca="1">IF(AND(ISNUMBER($BB$1167),$B$677=1),$BB$1167,HLOOKUP(INDIRECT(ADDRESS(2,COLUMN())),OFFSET($BN$2,0,0,ROW()-1,60),ROW()-1,FALSE))</f>
        <v/>
      </c>
      <c r="BC507" t="str">
        <f ca="1">IF(AND(ISNUMBER($BC$1167),$B$677=1),$BC$1167,HLOOKUP(INDIRECT(ADDRESS(2,COLUMN())),OFFSET($BN$2,0,0,ROW()-1,60),ROW()-1,FALSE))</f>
        <v/>
      </c>
      <c r="BD507" t="str">
        <f ca="1">IF(AND(ISNUMBER($BD$1167),$B$677=1),$BD$1167,HLOOKUP(INDIRECT(ADDRESS(2,COLUMN())),OFFSET($BN$2,0,0,ROW()-1,60),ROW()-1,FALSE))</f>
        <v/>
      </c>
      <c r="BE507" t="str">
        <f ca="1">IF(AND(ISNUMBER($BE$1167),$B$677=1),$BE$1167,HLOOKUP(INDIRECT(ADDRESS(2,COLUMN())),OFFSET($BN$2,0,0,ROW()-1,60),ROW()-1,FALSE))</f>
        <v/>
      </c>
      <c r="BF507" t="str">
        <f ca="1">IF(AND(ISNUMBER($BF$1167),$B$677=1),$BF$1167,HLOOKUP(INDIRECT(ADDRESS(2,COLUMN())),OFFSET($BN$2,0,0,ROW()-1,60),ROW()-1,FALSE))</f>
        <v/>
      </c>
      <c r="BG507" t="str">
        <f ca="1">IF(AND(ISNUMBER($BG$1167),$B$677=1),$BG$1167,HLOOKUP(INDIRECT(ADDRESS(2,COLUMN())),OFFSET($BN$2,0,0,ROW()-1,60),ROW()-1,FALSE))</f>
        <v/>
      </c>
      <c r="BH507" t="str">
        <f ca="1">IF(AND(ISNUMBER($BH$1167),$B$677=1),$BH$1167,HLOOKUP(INDIRECT(ADDRESS(2,COLUMN())),OFFSET($BN$2,0,0,ROW()-1,60),ROW()-1,FALSE))</f>
        <v/>
      </c>
      <c r="BI507" t="str">
        <f ca="1">IF(AND(ISNUMBER($BI$1167),$B$677=1),$BI$1167,HLOOKUP(INDIRECT(ADDRESS(2,COLUMN())),OFFSET($BN$2,0,0,ROW()-1,60),ROW()-1,FALSE))</f>
        <v/>
      </c>
      <c r="BJ507" t="str">
        <f ca="1">IF(AND(ISNUMBER($BJ$1167),$B$677=1),$BJ$1167,HLOOKUP(INDIRECT(ADDRESS(2,COLUMN())),OFFSET($BN$2,0,0,ROW()-1,60),ROW()-1,FALSE))</f>
        <v/>
      </c>
      <c r="BK507" t="str">
        <f ca="1">IF(AND(ISNUMBER($BK$1167),$B$677=1),$BK$1167,HLOOKUP(INDIRECT(ADDRESS(2,COLUMN())),OFFSET($BN$2,0,0,ROW()-1,60),ROW()-1,FALSE))</f>
        <v/>
      </c>
      <c r="BL507" t="str">
        <f ca="1">IF(AND(ISNUMBER($BL$1167),$B$677=1),$BL$1167,HLOOKUP(INDIRECT(ADDRESS(2,COLUMN())),OFFSET($BN$2,0,0,ROW()-1,60),ROW()-1,FALSE))</f>
        <v/>
      </c>
      <c r="BM507" t="str">
        <f ca="1">IF(AND(ISNUMBER($BM$1167),$B$677=1),$BM$1167,HLOOKUP(INDIRECT(ADDRESS(2,COLUMN())),OFFSET($BN$2,0,0,ROW()-1,60),ROW()-1,FALSE))</f>
        <v/>
      </c>
      <c r="BN507">
        <f>4.733253001</f>
        <v>4.7332530009999996</v>
      </c>
      <c r="BO507">
        <f>5.806568118</f>
        <v>5.8065681180000004</v>
      </c>
      <c r="BP507">
        <f>5.114966953</f>
        <v>5.1149669529999997</v>
      </c>
      <c r="BQ507">
        <f>7.18665123</f>
        <v>7.1866512299999998</v>
      </c>
      <c r="BR507">
        <f>6.547662482</f>
        <v>6.5476624819999998</v>
      </c>
      <c r="BS507">
        <f>1.273053771</f>
        <v>1.2730537710000001</v>
      </c>
      <c r="BT507">
        <f>1.166965957</f>
        <v>1.1669659569999999</v>
      </c>
      <c r="BU507">
        <f>2.85542896</f>
        <v>2.8554289599999998</v>
      </c>
      <c r="BV507">
        <f>3.018970137</f>
        <v>3.0189701370000002</v>
      </c>
      <c r="BW507">
        <f>3.083289614</f>
        <v>3.0832896139999999</v>
      </c>
      <c r="BX507">
        <f>3.011677727</f>
        <v>3.0116777269999999</v>
      </c>
      <c r="BY507">
        <f>2.888676037</f>
        <v>2.8886760370000002</v>
      </c>
      <c r="BZ507">
        <f>2.411208924</f>
        <v>2.4112089239999999</v>
      </c>
      <c r="CA507">
        <f>2.410065483</f>
        <v>2.4100654829999999</v>
      </c>
      <c r="CB507">
        <f>2.587386364</f>
        <v>2.5873863639999999</v>
      </c>
      <c r="CC507">
        <f>2.400796001</f>
        <v>2.4007960009999998</v>
      </c>
      <c r="CD507">
        <f>2.007096335</f>
        <v>2.007096335</v>
      </c>
      <c r="CE507">
        <f>2.043624638</f>
        <v>2.0436246379999998</v>
      </c>
      <c r="CF507">
        <f>1.758542204</f>
        <v>1.7585422040000001</v>
      </c>
      <c r="CG507">
        <f>1.616642545</f>
        <v>1.6166425449999999</v>
      </c>
      <c r="CH507">
        <f>2.043624638</f>
        <v>2.0436246379999998</v>
      </c>
      <c r="CI507">
        <f>1.558898603</f>
        <v>1.558898603</v>
      </c>
      <c r="CJ507">
        <f>1.606538968</f>
        <v>1.606538968</v>
      </c>
      <c r="CK507">
        <f>1.826740255</f>
        <v>1.826740255</v>
      </c>
      <c r="CL507">
        <f>1.736241196</f>
        <v>1.7362411959999999</v>
      </c>
      <c r="CM507">
        <f>1.835134815</f>
        <v>1.835134815</v>
      </c>
      <c r="CN507">
        <f>2.425216838</f>
        <v>2.4252168379999999</v>
      </c>
      <c r="CO507">
        <f>1.844387595</f>
        <v>1.8443875949999999</v>
      </c>
      <c r="CP507">
        <f>1.565493037</f>
        <v>1.565493037</v>
      </c>
      <c r="CQ507">
        <f>1.615251641</f>
        <v>1.615251641</v>
      </c>
      <c r="CR507">
        <f>2.007010435</f>
        <v>2.0070104350000002</v>
      </c>
      <c r="CS507">
        <f>1.463615773</f>
        <v>1.4636157729999999</v>
      </c>
      <c r="CT507">
        <f>1.62501147</f>
        <v>1.62501147</v>
      </c>
      <c r="CU507">
        <f>0.767434655</f>
        <v>0.76743465499999997</v>
      </c>
      <c r="CV507">
        <f>0.647583399</f>
        <v>0.64758339899999995</v>
      </c>
      <c r="CW507">
        <f>1.120220521</f>
        <v>1.120220521</v>
      </c>
      <c r="CX507">
        <f>0.404924591</f>
        <v>0.404924591</v>
      </c>
      <c r="CY507">
        <f>0.457079458</f>
        <v>0.45707945799999999</v>
      </c>
      <c r="CZ507">
        <f>0.620163634</f>
        <v>0.62016363399999996</v>
      </c>
      <c r="DA507">
        <f>0.781368248</f>
        <v>0.78136824800000004</v>
      </c>
      <c r="DB507">
        <f>1.255393288</f>
        <v>1.2553932880000001</v>
      </c>
      <c r="DC507">
        <f>2.013650835</f>
        <v>2.013650835</v>
      </c>
      <c r="DD507">
        <f>1.810837081</f>
        <v>1.8108370810000001</v>
      </c>
      <c r="DE507">
        <f>1.613502271</f>
        <v>1.613502271</v>
      </c>
      <c r="DF507">
        <f>1.16301296</f>
        <v>1.1630129600000001</v>
      </c>
      <c r="DG507">
        <f>0.740099156</f>
        <v>0.74009915599999998</v>
      </c>
      <c r="DH507">
        <f>0.595980287</f>
        <v>0.59598028700000005</v>
      </c>
      <c r="DI507">
        <f>0.978496481</f>
        <v>0.97849648099999997</v>
      </c>
      <c r="DJ507" t="str">
        <f>""</f>
        <v/>
      </c>
      <c r="DK507" t="str">
        <f>""</f>
        <v/>
      </c>
      <c r="DL507" t="str">
        <f>""</f>
        <v/>
      </c>
      <c r="DM507" t="str">
        <f>""</f>
        <v/>
      </c>
      <c r="DN507" t="str">
        <f>""</f>
        <v/>
      </c>
      <c r="DO507" t="str">
        <f>""</f>
        <v/>
      </c>
      <c r="DP507" t="str">
        <f>""</f>
        <v/>
      </c>
      <c r="DQ507" t="str">
        <f>""</f>
        <v/>
      </c>
      <c r="DR507" t="str">
        <f>""</f>
        <v/>
      </c>
      <c r="DS507" t="str">
        <f>""</f>
        <v/>
      </c>
      <c r="DT507" t="str">
        <f>""</f>
        <v/>
      </c>
      <c r="DU507" t="str">
        <f>""</f>
        <v/>
      </c>
    </row>
    <row r="508" spans="1:125" x14ac:dyDescent="0.25">
      <c r="A508" t="str">
        <f>"    DRB-Hicom Bhd"</f>
        <v xml:space="preserve">    DRB-Hicom Bhd</v>
      </c>
      <c r="B508" t="str">
        <f>"DRB MK Equity"</f>
        <v>DRB MK Equity</v>
      </c>
      <c r="C508" t="str">
        <f t="shared" si="36"/>
        <v>DV013</v>
      </c>
      <c r="D508" t="str">
        <f t="shared" si="37"/>
        <v>EQY_DVD_YLD_IND</v>
      </c>
      <c r="E508" t="str">
        <f t="shared" si="38"/>
        <v>Dynamic</v>
      </c>
      <c r="F508">
        <f ca="1">IF(AND(ISNUMBER($F$1168),$B$677=1),$F$1168,HLOOKUP(INDIRECT(ADDRESS(2,COLUMN())),OFFSET($BN$2,0,0,ROW()-1,60),ROW()-1,FALSE))</f>
        <v>1.621621564</v>
      </c>
      <c r="G508">
        <f ca="1">IF(AND(ISNUMBER($G$1168),$B$677=1),$G$1168,HLOOKUP(INDIRECT(ADDRESS(2,COLUMN())),OFFSET($BN$2,0,0,ROW()-1,60),ROW()-1,FALSE))</f>
        <v>1.764705843</v>
      </c>
      <c r="H508">
        <f ca="1">IF(AND(ISNUMBER($H$1168),$B$677=1),$H$1168,HLOOKUP(INDIRECT(ADDRESS(2,COLUMN())),OFFSET($BN$2,0,0,ROW()-1,60),ROW()-1,FALSE))</f>
        <v>1.3824884479999999</v>
      </c>
      <c r="I508">
        <f ca="1">IF(AND(ISNUMBER($I$1168),$B$677=1),$I$1168,HLOOKUP(INDIRECT(ADDRESS(2,COLUMN())),OFFSET($BN$2,0,0,ROW()-1,60),ROW()-1,FALSE))</f>
        <v>0.51020407000000001</v>
      </c>
      <c r="J508">
        <f ca="1">IF(AND(ISNUMBER($J$1168),$B$677=1),$J$1168,HLOOKUP(INDIRECT(ADDRESS(2,COLUMN())),OFFSET($BN$2,0,0,ROW()-1,60),ROW()-1,FALSE))</f>
        <v>0.409836056</v>
      </c>
      <c r="K508">
        <f ca="1">IF(AND(ISNUMBER($K$1168),$B$677=1),$K$1168,HLOOKUP(INDIRECT(ADDRESS(2,COLUMN())),OFFSET($BN$2,0,0,ROW()-1,60),ROW()-1,FALSE))</f>
        <v>0.54644807500000003</v>
      </c>
      <c r="L508">
        <f ca="1">IF(AND(ISNUMBER($L$1168),$B$677=1),$L$1168,HLOOKUP(INDIRECT(ADDRESS(2,COLUMN())),OFFSET($BN$2,0,0,ROW()-1,60),ROW()-1,FALSE))</f>
        <v>0.61349691900000003</v>
      </c>
      <c r="M508">
        <f ca="1">IF(AND(ISNUMBER($M$1168),$B$677=1),$M$1168,HLOOKUP(INDIRECT(ADDRESS(2,COLUMN())),OFFSET($BN$2,0,0,ROW()-1,60),ROW()-1,FALSE))</f>
        <v>1.123595481</v>
      </c>
      <c r="N508">
        <f ca="1">IF(AND(ISNUMBER($N$1168),$B$677=1),$N$1168,HLOOKUP(INDIRECT(ADDRESS(2,COLUMN())),OFFSET($BN$2,0,0,ROW()-1,60),ROW()-1,FALSE))</f>
        <v>1.428571397</v>
      </c>
      <c r="O508">
        <f ca="1">IF(AND(ISNUMBER($O$1168),$B$677=1),$O$1168,HLOOKUP(INDIRECT(ADDRESS(2,COLUMN())),OFFSET($BN$2,0,0,ROW()-1,60),ROW()-1,FALSE))</f>
        <v>1.739130396</v>
      </c>
      <c r="P508">
        <f ca="1">IF(AND(ISNUMBER($P$1168),$B$677=1),$P$1168,HLOOKUP(INDIRECT(ADDRESS(2,COLUMN())),OFFSET($BN$2,0,0,ROW()-1,60),ROW()-1,FALSE))</f>
        <v>1.379310314</v>
      </c>
      <c r="Q508">
        <f ca="1">IF(AND(ISNUMBER($Q$1168),$B$677=1),$Q$1168,HLOOKUP(INDIRECT(ADDRESS(2,COLUMN())),OFFSET($BN$2,0,0,ROW()-1,60),ROW()-1,FALSE))</f>
        <v>5.0000001989999996</v>
      </c>
      <c r="R508">
        <f ca="1">IF(AND(ISNUMBER($R$1168),$B$677=1),$R$1168,HLOOKUP(INDIRECT(ADDRESS(2,COLUMN())),OFFSET($BN$2,0,0,ROW()-1,60),ROW()-1,FALSE))</f>
        <v>4.4117648809999999</v>
      </c>
      <c r="S508">
        <f ca="1">IF(AND(ISNUMBER($S$1168),$B$677=1),$S$1168,HLOOKUP(INDIRECT(ADDRESS(2,COLUMN())),OFFSET($BN$2,0,0,ROW()-1,60),ROW()-1,FALSE))</f>
        <v>4.8387097949999998</v>
      </c>
      <c r="T508">
        <f ca="1">IF(AND(ISNUMBER($T$1168),$B$677=1),$T$1168,HLOOKUP(INDIRECT(ADDRESS(2,COLUMN())),OFFSET($BN$2,0,0,ROW()-1,60),ROW()-1,FALSE))</f>
        <v>4.5112783050000003</v>
      </c>
      <c r="U508">
        <f ca="1">IF(AND(ISNUMBER($U$1168),$B$677=1),$U$1168,HLOOKUP(INDIRECT(ADDRESS(2,COLUMN())),OFFSET($BN$2,0,0,ROW()-1,60),ROW()-1,FALSE))</f>
        <v>3.7735849969999999</v>
      </c>
      <c r="V508">
        <f ca="1">IF(AND(ISNUMBER($V$1168),$B$677=1),$V$1168,HLOOKUP(INDIRECT(ADDRESS(2,COLUMN())),OFFSET($BN$2,0,0,ROW()-1,60),ROW()-1,FALSE))</f>
        <v>3.0456853530000001</v>
      </c>
      <c r="W508">
        <f ca="1">IF(AND(ISNUMBER($W$1168),$B$677=1),$W$1168,HLOOKUP(INDIRECT(ADDRESS(2,COLUMN())),OFFSET($BN$2,0,0,ROW()-1,60),ROW()-1,FALSE))</f>
        <v>3.428571512</v>
      </c>
      <c r="X508">
        <f ca="1">IF(AND(ISNUMBER($X$1168),$B$677=1),$X$1168,HLOOKUP(INDIRECT(ADDRESS(2,COLUMN())),OFFSET($BN$2,0,0,ROW()-1,60),ROW()-1,FALSE))</f>
        <v>2.6315790109999999</v>
      </c>
      <c r="Y508">
        <f ca="1">IF(AND(ISNUMBER($Y$1168),$B$677=1),$Y$1168,HLOOKUP(INDIRECT(ADDRESS(2,COLUMN())),OFFSET($BN$2,0,0,ROW()-1,60),ROW()-1,FALSE))</f>
        <v>2.714932192</v>
      </c>
      <c r="Z508">
        <f ca="1">IF(AND(ISNUMBER($Z$1168),$B$677=1),$Z$1168,HLOOKUP(INDIRECT(ADDRESS(2,COLUMN())),OFFSET($BN$2,0,0,ROW()-1,60),ROW()-1,FALSE))</f>
        <v>2.429149856</v>
      </c>
      <c r="AA508">
        <f ca="1">IF(AND(ISNUMBER($AA$1168),$B$677=1),$AA$1168,HLOOKUP(INDIRECT(ADDRESS(2,COLUMN())),OFFSET($BN$2,0,0,ROW()-1,60),ROW()-1,FALSE))</f>
        <v>2.1276596259999998</v>
      </c>
      <c r="AB508">
        <f ca="1">IF(AND(ISNUMBER($AB$1168),$B$677=1),$AB$1168,HLOOKUP(INDIRECT(ADDRESS(2,COLUMN())),OFFSET($BN$2,0,0,ROW()-1,60),ROW()-1,FALSE))</f>
        <v>2.2556391520000001</v>
      </c>
      <c r="AC508">
        <f ca="1">IF(AND(ISNUMBER($AC$1168),$B$677=1),$AC$1168,HLOOKUP(INDIRECT(ADDRESS(2,COLUMN())),OFFSET($BN$2,0,0,ROW()-1,60),ROW()-1,FALSE))</f>
        <v>2.0446096200000001</v>
      </c>
      <c r="AD508">
        <f ca="1">IF(AND(ISNUMBER($AD$1168),$B$677=1),$AD$1168,HLOOKUP(INDIRECT(ADDRESS(2,COLUMN())),OFFSET($BN$2,0,0,ROW()-1,60),ROW()-1,FALSE))</f>
        <v>2.1739129949999998</v>
      </c>
      <c r="AE508">
        <f ca="1">IF(AND(ISNUMBER($AE$1168),$B$677=1),$AE$1168,HLOOKUP(INDIRECT(ADDRESS(2,COLUMN())),OFFSET($BN$2,0,0,ROW()-1,60),ROW()-1,FALSE))</f>
        <v>2.1978021490000001</v>
      </c>
      <c r="AF508">
        <f ca="1">IF(AND(ISNUMBER($AF$1168),$B$677=1),$AF$1168,HLOOKUP(INDIRECT(ADDRESS(2,COLUMN())),OFFSET($BN$2,0,0,ROW()-1,60),ROW()-1,FALSE))</f>
        <v>2.5751072389999998</v>
      </c>
      <c r="AG508">
        <f ca="1">IF(AND(ISNUMBER($AG$1168),$B$677=1),$AG$1168,HLOOKUP(INDIRECT(ADDRESS(2,COLUMN())),OFFSET($BN$2,0,0,ROW()-1,60),ROW()-1,FALSE))</f>
        <v>2.3809523279999998</v>
      </c>
      <c r="AH508">
        <f ca="1">IF(AND(ISNUMBER($AH$1168),$B$677=1),$AH$1168,HLOOKUP(INDIRECT(ADDRESS(2,COLUMN())),OFFSET($BN$2,0,0,ROW()-1,60),ROW()-1,FALSE))</f>
        <v>2.3809523279999998</v>
      </c>
      <c r="AI508">
        <f ca="1">IF(AND(ISNUMBER($AI$1168),$B$677=1),$AI$1168,HLOOKUP(INDIRECT(ADDRESS(2,COLUMN())),OFFSET($BN$2,0,0,ROW()-1,60),ROW()-1,FALSE))</f>
        <v>2.9411764050000002</v>
      </c>
      <c r="AJ508">
        <f ca="1">IF(AND(ISNUMBER($AJ$1168),$B$677=1),$AJ$1168,HLOOKUP(INDIRECT(ADDRESS(2,COLUMN())),OFFSET($BN$2,0,0,ROW()-1,60),ROW()-1,FALSE))</f>
        <v>3.4482757849999999</v>
      </c>
      <c r="AK508">
        <f ca="1">IF(AND(ISNUMBER($AK$1168),$B$677=1),$AK$1168,HLOOKUP(INDIRECT(ADDRESS(2,COLUMN())),OFFSET($BN$2,0,0,ROW()-1,60),ROW()-1,FALSE))</f>
        <v>1.982378851</v>
      </c>
      <c r="AL508">
        <f ca="1">IF(AND(ISNUMBER($AL$1168),$B$677=1),$AL$1168,HLOOKUP(INDIRECT(ADDRESS(2,COLUMN())),OFFSET($BN$2,0,0,ROW()-1,60),ROW()-1,FALSE))</f>
        <v>1.956521736</v>
      </c>
      <c r="AM508">
        <f ca="1">IF(AND(ISNUMBER($AM$1168),$B$677=1),$AM$1168,HLOOKUP(INDIRECT(ADDRESS(2,COLUMN())),OFFSET($BN$2,0,0,ROW()-1,60),ROW()-1,FALSE))</f>
        <v>2.0618556720000001</v>
      </c>
      <c r="AN508">
        <f ca="1">IF(AND(ISNUMBER($AN$1168),$B$677=1),$AN$1168,HLOOKUP(INDIRECT(ADDRESS(2,COLUMN())),OFFSET($BN$2,0,0,ROW()-1,60),ROW()-1,FALSE))</f>
        <v>3.200000003</v>
      </c>
      <c r="AO508">
        <f ca="1">IF(AND(ISNUMBER($AO$1168),$B$677=1),$AO$1168,HLOOKUP(INDIRECT(ADDRESS(2,COLUMN())),OFFSET($BN$2,0,0,ROW()-1,60),ROW()-1,FALSE))</f>
        <v>3.8461538499999999</v>
      </c>
      <c r="AP508">
        <f ca="1">IF(AND(ISNUMBER($AP$1168),$B$677=1),$AP$1168,HLOOKUP(INDIRECT(ADDRESS(2,COLUMN())),OFFSET($BN$2,0,0,ROW()-1,60),ROW()-1,FALSE))</f>
        <v>3.4482758649999998</v>
      </c>
      <c r="AQ508">
        <f ca="1">IF(AND(ISNUMBER($AQ$1168),$B$677=1),$AQ$1168,HLOOKUP(INDIRECT(ADDRESS(2,COLUMN())),OFFSET($BN$2,0,0,ROW()-1,60),ROW()-1,FALSE))</f>
        <v>2.4752475619999998</v>
      </c>
      <c r="AR508">
        <f ca="1">IF(AND(ISNUMBER($AR$1168),$B$677=1),$AR$1168,HLOOKUP(INDIRECT(ADDRESS(2,COLUMN())),OFFSET($BN$2,0,0,ROW()-1,60),ROW()-1,FALSE))</f>
        <v>2.1551724459999999</v>
      </c>
      <c r="AS508">
        <f ca="1">IF(AND(ISNUMBER($AS$1168),$B$677=1),$AS$1168,HLOOKUP(INDIRECT(ADDRESS(2,COLUMN())),OFFSET($BN$2,0,0,ROW()-1,60),ROW()-1,FALSE))</f>
        <v>3.3653846299999999</v>
      </c>
      <c r="AT508">
        <f ca="1">IF(AND(ISNUMBER($AT$1168),$B$677=1),$AT$1168,HLOOKUP(INDIRECT(ADDRESS(2,COLUMN())),OFFSET($BN$2,0,0,ROW()-1,60),ROW()-1,FALSE))</f>
        <v>5.0724637899999996</v>
      </c>
      <c r="AU508">
        <f ca="1">IF(AND(ISNUMBER($AU$1168),$B$677=1),$AU$1168,HLOOKUP(INDIRECT(ADDRESS(2,COLUMN())),OFFSET($BN$2,0,0,ROW()-1,60),ROW()-1,FALSE))</f>
        <v>4.8275862270000003</v>
      </c>
      <c r="AV508">
        <f ca="1">IF(AND(ISNUMBER($AV$1168),$B$677=1),$AV$1168,HLOOKUP(INDIRECT(ADDRESS(2,COLUMN())),OFFSET($BN$2,0,0,ROW()-1,60),ROW()-1,FALSE))</f>
        <v>5.6497174929999998</v>
      </c>
      <c r="AW508">
        <f ca="1">IF(AND(ISNUMBER($AW$1168),$B$677=1),$AW$1168,HLOOKUP(INDIRECT(ADDRESS(2,COLUMN())),OFFSET($BN$2,0,0,ROW()-1,60),ROW()-1,FALSE))</f>
        <v>4.1666666709999998</v>
      </c>
      <c r="AX508">
        <f ca="1">IF(AND(ISNUMBER($AX$1168),$B$677=1),$AX$1168,HLOOKUP(INDIRECT(ADDRESS(2,COLUMN())),OFFSET($BN$2,0,0,ROW()-1,60),ROW()-1,FALSE))</f>
        <v>3.149606302</v>
      </c>
      <c r="AY508">
        <f ca="1">IF(AND(ISNUMBER($AY$1168),$B$677=1),$AY$1168,HLOOKUP(INDIRECT(ADDRESS(2,COLUMN())),OFFSET($BN$2,0,0,ROW()-1,60),ROW()-1,FALSE))</f>
        <v>2.5157232729999999</v>
      </c>
      <c r="AZ508">
        <f ca="1">IF(AND(ISNUMBER($AZ$1168),$B$677=1),$AZ$1168,HLOOKUP(INDIRECT(ADDRESS(2,COLUMN())),OFFSET($BN$2,0,0,ROW()-1,60),ROW()-1,FALSE))</f>
        <v>2.6041667049999999</v>
      </c>
      <c r="BA508">
        <f ca="1">IF(AND(ISNUMBER($BA$1168),$B$677=1),$BA$1168,HLOOKUP(INDIRECT(ADDRESS(2,COLUMN())),OFFSET($BN$2,0,0,ROW()-1,60),ROW()-1,FALSE))</f>
        <v>0.54644807500000003</v>
      </c>
      <c r="BB508">
        <f ca="1">IF(AND(ISNUMBER($BB$1168),$B$677=1),$BB$1168,HLOOKUP(INDIRECT(ADDRESS(2,COLUMN())),OFFSET($BN$2,0,0,ROW()-1,60),ROW()-1,FALSE))</f>
        <v>0.51282050099999998</v>
      </c>
      <c r="BC508">
        <f ca="1">IF(AND(ISNUMBER($BC$1168),$B$677=1),$BC$1168,HLOOKUP(INDIRECT(ADDRESS(2,COLUMN())),OFFSET($BN$2,0,0,ROW()-1,60),ROW()-1,FALSE))</f>
        <v>1.1904761639999999</v>
      </c>
      <c r="BD508">
        <f ca="1">IF(AND(ISNUMBER($BD$1168),$B$677=1),$BD$1168,HLOOKUP(INDIRECT(ADDRESS(2,COLUMN())),OFFSET($BN$2,0,0,ROW()-1,60),ROW()-1,FALSE))</f>
        <v>1.3888888580000001</v>
      </c>
      <c r="BE508">
        <f ca="1">IF(AND(ISNUMBER($BE$1168),$B$677=1),$BE$1168,HLOOKUP(INDIRECT(ADDRESS(2,COLUMN())),OFFSET($BN$2,0,0,ROW()-1,60),ROW()-1,FALSE))</f>
        <v>2.0979020510000002</v>
      </c>
      <c r="BF508">
        <f ca="1">IF(AND(ISNUMBER($BF$1168),$B$677=1),$BF$1168,HLOOKUP(INDIRECT(ADDRESS(2,COLUMN())),OFFSET($BN$2,0,0,ROW()-1,60),ROW()-1,FALSE))</f>
        <v>2.0833332869999999</v>
      </c>
      <c r="BG508">
        <f ca="1">IF(AND(ISNUMBER($BG$1168),$B$677=1),$BG$1168,HLOOKUP(INDIRECT(ADDRESS(2,COLUMN())),OFFSET($BN$2,0,0,ROW()-1,60),ROW()-1,FALSE))</f>
        <v>2.521008347</v>
      </c>
      <c r="BH508">
        <f ca="1">IF(AND(ISNUMBER($BH$1168),$B$677=1),$BH$1168,HLOOKUP(INDIRECT(ADDRESS(2,COLUMN())),OFFSET($BN$2,0,0,ROW()-1,60),ROW()-1,FALSE))</f>
        <v>1.9108279829999999</v>
      </c>
      <c r="BI508">
        <f ca="1">IF(AND(ISNUMBER($BI$1168),$B$677=1),$BI$1168,HLOOKUP(INDIRECT(ADDRESS(2,COLUMN())),OFFSET($BN$2,0,0,ROW()-1,60),ROW()-1,FALSE))</f>
        <v>1.7006802969999999</v>
      </c>
      <c r="BJ508">
        <f ca="1">IF(AND(ISNUMBER($BJ$1168),$B$677=1),$BJ$1168,HLOOKUP(INDIRECT(ADDRESS(2,COLUMN())),OFFSET($BN$2,0,0,ROW()-1,60),ROW()-1,FALSE))</f>
        <v>1.344086042</v>
      </c>
      <c r="BK508">
        <f ca="1">IF(AND(ISNUMBER($BK$1168),$B$677=1),$BK$1168,HLOOKUP(INDIRECT(ADDRESS(2,COLUMN())),OFFSET($BN$2,0,0,ROW()-1,60),ROW()-1,FALSE))</f>
        <v>1.1415525280000001</v>
      </c>
      <c r="BL508">
        <f ca="1">IF(AND(ISNUMBER($BL$1168),$B$677=1),$BL$1168,HLOOKUP(INDIRECT(ADDRESS(2,COLUMN())),OFFSET($BN$2,0,0,ROW()-1,60),ROW()-1,FALSE))</f>
        <v>1.190476208</v>
      </c>
      <c r="BM508">
        <f ca="1">IF(AND(ISNUMBER($BM$1168),$B$677=1),$BM$1168,HLOOKUP(INDIRECT(ADDRESS(2,COLUMN())),OFFSET($BN$2,0,0,ROW()-1,60),ROW()-1,FALSE))</f>
        <v>1.2738853219999999</v>
      </c>
      <c r="BN508">
        <f>1.621621564</f>
        <v>1.621621564</v>
      </c>
      <c r="BO508">
        <f>1.764705843</f>
        <v>1.764705843</v>
      </c>
      <c r="BP508">
        <f>1.382488448</f>
        <v>1.3824884479999999</v>
      </c>
      <c r="BQ508">
        <f>0.51020407</f>
        <v>0.51020407000000001</v>
      </c>
      <c r="BR508">
        <f>0.409836056</f>
        <v>0.409836056</v>
      </c>
      <c r="BS508">
        <f>0.546448075</f>
        <v>0.54644807500000003</v>
      </c>
      <c r="BT508">
        <f>0.613496919</f>
        <v>0.61349691900000003</v>
      </c>
      <c r="BU508">
        <f>1.123595481</f>
        <v>1.123595481</v>
      </c>
      <c r="BV508">
        <f>1.428571397</f>
        <v>1.428571397</v>
      </c>
      <c r="BW508">
        <f>1.739130396</f>
        <v>1.739130396</v>
      </c>
      <c r="BX508">
        <f>1.379310314</f>
        <v>1.379310314</v>
      </c>
      <c r="BY508">
        <f>5.000000199</f>
        <v>5.0000001989999996</v>
      </c>
      <c r="BZ508">
        <f>4.411764881</f>
        <v>4.4117648809999999</v>
      </c>
      <c r="CA508">
        <f>4.838709795</f>
        <v>4.8387097949999998</v>
      </c>
      <c r="CB508">
        <f>4.511278305</f>
        <v>4.5112783050000003</v>
      </c>
      <c r="CC508">
        <f>3.773584997</f>
        <v>3.7735849969999999</v>
      </c>
      <c r="CD508">
        <f>3.045685353</f>
        <v>3.0456853530000001</v>
      </c>
      <c r="CE508">
        <f>3.428571512</f>
        <v>3.428571512</v>
      </c>
      <c r="CF508">
        <f>2.631579011</f>
        <v>2.6315790109999999</v>
      </c>
      <c r="CG508">
        <f>2.714932192</f>
        <v>2.714932192</v>
      </c>
      <c r="CH508">
        <f>2.429149856</f>
        <v>2.429149856</v>
      </c>
      <c r="CI508">
        <f>2.127659626</f>
        <v>2.1276596259999998</v>
      </c>
      <c r="CJ508">
        <f>2.255639152</f>
        <v>2.2556391520000001</v>
      </c>
      <c r="CK508">
        <f>2.04460962</f>
        <v>2.0446096200000001</v>
      </c>
      <c r="CL508">
        <f>2.173912995</f>
        <v>2.1739129949999998</v>
      </c>
      <c r="CM508">
        <f>2.197802149</f>
        <v>2.1978021490000001</v>
      </c>
      <c r="CN508">
        <f>2.575107239</f>
        <v>2.5751072389999998</v>
      </c>
      <c r="CO508">
        <f>2.380952328</f>
        <v>2.3809523279999998</v>
      </c>
      <c r="CP508">
        <f>2.380952328</f>
        <v>2.3809523279999998</v>
      </c>
      <c r="CQ508">
        <f>2.941176405</f>
        <v>2.9411764050000002</v>
      </c>
      <c r="CR508">
        <f>3.448275785</f>
        <v>3.4482757849999999</v>
      </c>
      <c r="CS508">
        <f>1.982378851</f>
        <v>1.982378851</v>
      </c>
      <c r="CT508">
        <f>1.956521736</f>
        <v>1.956521736</v>
      </c>
      <c r="CU508">
        <f>2.061855672</f>
        <v>2.0618556720000001</v>
      </c>
      <c r="CV508">
        <f>3.200000003</f>
        <v>3.200000003</v>
      </c>
      <c r="CW508">
        <f>3.84615385</f>
        <v>3.8461538499999999</v>
      </c>
      <c r="CX508">
        <f>3.448275865</f>
        <v>3.4482758649999998</v>
      </c>
      <c r="CY508">
        <f>2.475247562</f>
        <v>2.4752475619999998</v>
      </c>
      <c r="CZ508">
        <f>2.155172446</f>
        <v>2.1551724459999999</v>
      </c>
      <c r="DA508">
        <f>3.36538463</f>
        <v>3.3653846299999999</v>
      </c>
      <c r="DB508">
        <f>5.07246379</f>
        <v>5.0724637899999996</v>
      </c>
      <c r="DC508">
        <f>4.827586227</f>
        <v>4.8275862270000003</v>
      </c>
      <c r="DD508">
        <f>5.649717493</f>
        <v>5.6497174929999998</v>
      </c>
      <c r="DE508">
        <f>4.166666671</f>
        <v>4.1666666709999998</v>
      </c>
      <c r="DF508">
        <f>3.149606302</f>
        <v>3.149606302</v>
      </c>
      <c r="DG508">
        <f>2.515723273</f>
        <v>2.5157232729999999</v>
      </c>
      <c r="DH508">
        <f>2.604166705</f>
        <v>2.6041667049999999</v>
      </c>
      <c r="DI508">
        <f>0.546448075</f>
        <v>0.54644807500000003</v>
      </c>
      <c r="DJ508">
        <f>0.512820501</f>
        <v>0.51282050099999998</v>
      </c>
      <c r="DK508">
        <f>1.190476164</f>
        <v>1.1904761639999999</v>
      </c>
      <c r="DL508">
        <f>1.388888858</f>
        <v>1.3888888580000001</v>
      </c>
      <c r="DM508">
        <f>2.097902051</f>
        <v>2.0979020510000002</v>
      </c>
      <c r="DN508">
        <f>2.083333287</f>
        <v>2.0833332869999999</v>
      </c>
      <c r="DO508">
        <f>2.521008347</f>
        <v>2.521008347</v>
      </c>
      <c r="DP508">
        <f>1.910827983</f>
        <v>1.9108279829999999</v>
      </c>
      <c r="DQ508">
        <f>1.700680297</f>
        <v>1.7006802969999999</v>
      </c>
      <c r="DR508">
        <f>1.344086042</f>
        <v>1.344086042</v>
      </c>
      <c r="DS508">
        <f>1.141552528</f>
        <v>1.1415525280000001</v>
      </c>
      <c r="DT508">
        <f>1.190476208</f>
        <v>1.190476208</v>
      </c>
      <c r="DU508">
        <f>1.273885322</f>
        <v>1.2738853219999999</v>
      </c>
    </row>
    <row r="509" spans="1:125" x14ac:dyDescent="0.25">
      <c r="A509" t="str">
        <f>"    FAW CAR Co Ltd"</f>
        <v xml:space="preserve">    FAW CAR Co Ltd</v>
      </c>
      <c r="B509" t="str">
        <f>"000800 CH Equity"</f>
        <v>000800 CH Equity</v>
      </c>
      <c r="C509" t="str">
        <f t="shared" si="36"/>
        <v>DV013</v>
      </c>
      <c r="D509" t="str">
        <f t="shared" si="37"/>
        <v>EQY_DVD_YLD_IND</v>
      </c>
      <c r="E509" t="str">
        <f t="shared" si="38"/>
        <v>Dynamic</v>
      </c>
      <c r="F509">
        <f ca="1">IF(AND(ISNUMBER($F$1169),$B$677=1),$F$1169,HLOOKUP(INDIRECT(ADDRESS(2,COLUMN())),OFFSET($BN$2,0,0,ROW()-1,60),ROW()-1,FALSE))</f>
        <v>0.24844719900000001</v>
      </c>
      <c r="G509">
        <f ca="1">IF(AND(ISNUMBER($G$1169),$B$677=1),$G$1169,HLOOKUP(INDIRECT(ADDRESS(2,COLUMN())),OFFSET($BN$2,0,0,ROW()-1,60),ROW()-1,FALSE))</f>
        <v>0.30211479699999999</v>
      </c>
      <c r="H509">
        <f ca="1">IF(AND(ISNUMBER($H$1169),$B$677=1),$H$1169,HLOOKUP(INDIRECT(ADDRESS(2,COLUMN())),OFFSET($BN$2,0,0,ROW()-1,60),ROW()-1,FALSE))</f>
        <v>0.30349013000000002</v>
      </c>
      <c r="I509">
        <f ca="1">IF(AND(ISNUMBER($I$1169),$B$677=1),$I$1169,HLOOKUP(INDIRECT(ADDRESS(2,COLUMN())),OFFSET($BN$2,0,0,ROW()-1,60),ROW()-1,FALSE))</f>
        <v>0.26737967299999998</v>
      </c>
      <c r="J509">
        <f ca="1">IF(AND(ISNUMBER($J$1169),$B$677=1),$J$1169,HLOOKUP(INDIRECT(ADDRESS(2,COLUMN())),OFFSET($BN$2,0,0,ROW()-1,60),ROW()-1,FALSE))</f>
        <v>0.196078427</v>
      </c>
      <c r="K509" t="str">
        <f ca="1">IF(AND(ISNUMBER($K$1169),$B$677=1),$K$1169,HLOOKUP(INDIRECT(ADDRESS(2,COLUMN())),OFFSET($BN$2,0,0,ROW()-1,60),ROW()-1,FALSE))</f>
        <v/>
      </c>
      <c r="L509" t="str">
        <f ca="1">IF(AND(ISNUMBER($L$1169),$B$677=1),$L$1169,HLOOKUP(INDIRECT(ADDRESS(2,COLUMN())),OFFSET($BN$2,0,0,ROW()-1,60),ROW()-1,FALSE))</f>
        <v/>
      </c>
      <c r="M509" t="str">
        <f ca="1">IF(AND(ISNUMBER($M$1169),$B$677=1),$M$1169,HLOOKUP(INDIRECT(ADDRESS(2,COLUMN())),OFFSET($BN$2,0,0,ROW()-1,60),ROW()-1,FALSE))</f>
        <v/>
      </c>
      <c r="N509">
        <f ca="1">IF(AND(ISNUMBER($N$1169),$B$677=1),$N$1169,HLOOKUP(INDIRECT(ADDRESS(2,COLUMN())),OFFSET($BN$2,0,0,ROW()-1,60),ROW()-1,FALSE))</f>
        <v>0.384271684</v>
      </c>
      <c r="O509">
        <f ca="1">IF(AND(ISNUMBER($O$1169),$B$677=1),$O$1169,HLOOKUP(INDIRECT(ADDRESS(2,COLUMN())),OFFSET($BN$2,0,0,ROW()-1,60),ROW()-1,FALSE))</f>
        <v>0.39558419</v>
      </c>
      <c r="P509">
        <f ca="1">IF(AND(ISNUMBER($P$1169),$B$677=1),$P$1169,HLOOKUP(INDIRECT(ADDRESS(2,COLUMN())),OFFSET($BN$2,0,0,ROW()-1,60),ROW()-1,FALSE))</f>
        <v>0.41069724400000002</v>
      </c>
      <c r="Q509">
        <f ca="1">IF(AND(ISNUMBER($Q$1169),$B$677=1),$Q$1169,HLOOKUP(INDIRECT(ADDRESS(2,COLUMN())),OFFSET($BN$2,0,0,ROW()-1,60),ROW()-1,FALSE))</f>
        <v>0.39522060199999998</v>
      </c>
      <c r="R509">
        <f ca="1">IF(AND(ISNUMBER($R$1169),$B$677=1),$R$1169,HLOOKUP(INDIRECT(ADDRESS(2,COLUMN())),OFFSET($BN$2,0,0,ROW()-1,60),ROW()-1,FALSE))</f>
        <v>0.30518098999999999</v>
      </c>
      <c r="S509">
        <f ca="1">IF(AND(ISNUMBER($S$1169),$B$677=1),$S$1169,HLOOKUP(INDIRECT(ADDRESS(2,COLUMN())),OFFSET($BN$2,0,0,ROW()-1,60),ROW()-1,FALSE))</f>
        <v>6.1087354000000003E-2</v>
      </c>
      <c r="T509">
        <f ca="1">IF(AND(ISNUMBER($T$1169),$B$677=1),$T$1169,HLOOKUP(INDIRECT(ADDRESS(2,COLUMN())),OFFSET($BN$2,0,0,ROW()-1,60),ROW()-1,FALSE))</f>
        <v>6.8728521000000001E-2</v>
      </c>
      <c r="U509">
        <f ca="1">IF(AND(ISNUMBER($U$1169),$B$677=1),$U$1169,HLOOKUP(INDIRECT(ADDRESS(2,COLUMN())),OFFSET($BN$2,0,0,ROW()-1,60),ROW()-1,FALSE))</f>
        <v>4.0192924999999997E-2</v>
      </c>
      <c r="V509">
        <f ca="1">IF(AND(ISNUMBER($V$1169),$B$677=1),$V$1169,HLOOKUP(INDIRECT(ADDRESS(2,COLUMN())),OFFSET($BN$2,0,0,ROW()-1,60),ROW()-1,FALSE))</f>
        <v>5.1020406999999997E-2</v>
      </c>
      <c r="W509">
        <f ca="1">IF(AND(ISNUMBER($W$1169),$B$677=1),$W$1169,HLOOKUP(INDIRECT(ADDRESS(2,COLUMN())),OFFSET($BN$2,0,0,ROW()-1,60),ROW()-1,FALSE))</f>
        <v>0.12549537299999999</v>
      </c>
      <c r="X509">
        <f ca="1">IF(AND(ISNUMBER($X$1169),$B$677=1),$X$1169,HLOOKUP(INDIRECT(ADDRESS(2,COLUMN())),OFFSET($BN$2,0,0,ROW()-1,60),ROW()-1,FALSE))</f>
        <v>0.17117116600000001</v>
      </c>
      <c r="Y509">
        <f ca="1">IF(AND(ISNUMBER($Y$1169),$B$677=1),$Y$1169,HLOOKUP(INDIRECT(ADDRESS(2,COLUMN())),OFFSET($BN$2,0,0,ROW()-1,60),ROW()-1,FALSE))</f>
        <v>0.19791665999999999</v>
      </c>
      <c r="Z509">
        <f ca="1">IF(AND(ISNUMBER($Z$1169),$B$677=1),$Z$1169,HLOOKUP(INDIRECT(ADDRESS(2,COLUMN())),OFFSET($BN$2,0,0,ROW()-1,60),ROW()-1,FALSE))</f>
        <v>0.188118806</v>
      </c>
      <c r="AA509" t="str">
        <f ca="1">IF(AND(ISNUMBER($AA$1169),$B$677=1),$AA$1169,HLOOKUP(INDIRECT(ADDRESS(2,COLUMN())),OFFSET($BN$2,0,0,ROW()-1,60),ROW()-1,FALSE))</f>
        <v/>
      </c>
      <c r="AB509" t="str">
        <f ca="1">IF(AND(ISNUMBER($AB$1169),$B$677=1),$AB$1169,HLOOKUP(INDIRECT(ADDRESS(2,COLUMN())),OFFSET($BN$2,0,0,ROW()-1,60),ROW()-1,FALSE))</f>
        <v/>
      </c>
      <c r="AC509" t="str">
        <f ca="1">IF(AND(ISNUMBER($AC$1169),$B$677=1),$AC$1169,HLOOKUP(INDIRECT(ADDRESS(2,COLUMN())),OFFSET($BN$2,0,0,ROW()-1,60),ROW()-1,FALSE))</f>
        <v/>
      </c>
      <c r="AD509" t="str">
        <f ca="1">IF(AND(ISNUMBER($AD$1169),$B$677=1),$AD$1169,HLOOKUP(INDIRECT(ADDRESS(2,COLUMN())),OFFSET($BN$2,0,0,ROW()-1,60),ROW()-1,FALSE))</f>
        <v/>
      </c>
      <c r="AE509" t="str">
        <f ca="1">IF(AND(ISNUMBER($AE$1169),$B$677=1),$AE$1169,HLOOKUP(INDIRECT(ADDRESS(2,COLUMN())),OFFSET($BN$2,0,0,ROW()-1,60),ROW()-1,FALSE))</f>
        <v/>
      </c>
      <c r="AF509" t="str">
        <f ca="1">IF(AND(ISNUMBER($AF$1169),$B$677=1),$AF$1169,HLOOKUP(INDIRECT(ADDRESS(2,COLUMN())),OFFSET($BN$2,0,0,ROW()-1,60),ROW()-1,FALSE))</f>
        <v/>
      </c>
      <c r="AG509">
        <f ca="1">IF(AND(ISNUMBER($AG$1169),$B$677=1),$AG$1169,HLOOKUP(INDIRECT(ADDRESS(2,COLUMN())),OFFSET($BN$2,0,0,ROW()-1,60),ROW()-1,FALSE))</f>
        <v>2.6595745740000001</v>
      </c>
      <c r="AH509">
        <f ca="1">IF(AND(ISNUMBER($AH$1169),$B$677=1),$AH$1169,HLOOKUP(INDIRECT(ADDRESS(2,COLUMN())),OFFSET($BN$2,0,0,ROW()-1,60),ROW()-1,FALSE))</f>
        <v>2.8544244710000002</v>
      </c>
      <c r="AI509">
        <f ca="1">IF(AND(ISNUMBER($AI$1169),$B$677=1),$AI$1169,HLOOKUP(INDIRECT(ADDRESS(2,COLUMN())),OFFSET($BN$2,0,0,ROW()-1,60),ROW()-1,FALSE))</f>
        <v>3.3898306429999998</v>
      </c>
      <c r="AJ509">
        <f ca="1">IF(AND(ISNUMBER($AJ$1169),$B$677=1),$AJ$1169,HLOOKUP(INDIRECT(ADDRESS(2,COLUMN())),OFFSET($BN$2,0,0,ROW()-1,60),ROW()-1,FALSE))</f>
        <v>2.6223777269999999</v>
      </c>
      <c r="AK509">
        <f ca="1">IF(AND(ISNUMBER($AK$1169),$B$677=1),$AK$1169,HLOOKUP(INDIRECT(ADDRESS(2,COLUMN())),OFFSET($BN$2,0,0,ROW()-1,60),ROW()-1,FALSE))</f>
        <v>2.1186441519999999</v>
      </c>
      <c r="AL509">
        <f ca="1">IF(AND(ISNUMBER($AL$1169),$B$677=1),$AL$1169,HLOOKUP(INDIRECT(ADDRESS(2,COLUMN())),OFFSET($BN$2,0,0,ROW()-1,60),ROW()-1,FALSE))</f>
        <v>2.5492536490000002</v>
      </c>
      <c r="AM509">
        <f ca="1">IF(AND(ISNUMBER($AM$1169),$B$677=1),$AM$1169,HLOOKUP(INDIRECT(ADDRESS(2,COLUMN())),OFFSET($BN$2,0,0,ROW()-1,60),ROW()-1,FALSE))</f>
        <v>2.660436051</v>
      </c>
      <c r="AN509">
        <f ca="1">IF(AND(ISNUMBER($AN$1169),$B$677=1),$AN$1169,HLOOKUP(INDIRECT(ADDRESS(2,COLUMN())),OFFSET($BN$2,0,0,ROW()-1,60),ROW()-1,FALSE))</f>
        <v>2.2994075719999998</v>
      </c>
      <c r="AO509">
        <f ca="1">IF(AND(ISNUMBER($AO$1169),$B$677=1),$AO$1169,HLOOKUP(INDIRECT(ADDRESS(2,COLUMN())),OFFSET($BN$2,0,0,ROW()-1,60),ROW()-1,FALSE))</f>
        <v>2.8092104349999998</v>
      </c>
      <c r="AP509">
        <f ca="1">IF(AND(ISNUMBER($AP$1169),$B$677=1),$AP$1169,HLOOKUP(INDIRECT(ADDRESS(2,COLUMN())),OFFSET($BN$2,0,0,ROW()-1,60),ROW()-1,FALSE))</f>
        <v>1.9356300369999999</v>
      </c>
      <c r="AQ509">
        <f ca="1">IF(AND(ISNUMBER($AQ$1169),$B$677=1),$AQ$1169,HLOOKUP(INDIRECT(ADDRESS(2,COLUMN())),OFFSET($BN$2,0,0,ROW()-1,60),ROW()-1,FALSE))</f>
        <v>1.345119116</v>
      </c>
      <c r="AR509">
        <f ca="1">IF(AND(ISNUMBER($AR$1169),$B$677=1),$AR$1169,HLOOKUP(INDIRECT(ADDRESS(2,COLUMN())),OFFSET($BN$2,0,0,ROW()-1,60),ROW()-1,FALSE))</f>
        <v>2.0551966770000001</v>
      </c>
      <c r="AS509">
        <f ca="1">IF(AND(ISNUMBER($AS$1169),$B$677=1),$AS$1169,HLOOKUP(INDIRECT(ADDRESS(2,COLUMN())),OFFSET($BN$2,0,0,ROW()-1,60),ROW()-1,FALSE))</f>
        <v>2.2668393400000002</v>
      </c>
      <c r="AT509">
        <f ca="1">IF(AND(ISNUMBER($AT$1169),$B$677=1),$AT$1169,HLOOKUP(INDIRECT(ADDRESS(2,COLUMN())),OFFSET($BN$2,0,0,ROW()-1,60),ROW()-1,FALSE))</f>
        <v>1.6299918739999999</v>
      </c>
      <c r="AU509">
        <f ca="1">IF(AND(ISNUMBER($AU$1169),$B$677=1),$AU$1169,HLOOKUP(INDIRECT(ADDRESS(2,COLUMN())),OFFSET($BN$2,0,0,ROW()-1,60),ROW()-1,FALSE))</f>
        <v>2.7855153619999999</v>
      </c>
      <c r="AV509">
        <f ca="1">IF(AND(ISNUMBER($AV$1169),$B$677=1),$AV$1169,HLOOKUP(INDIRECT(ADDRESS(2,COLUMN())),OFFSET($BN$2,0,0,ROW()-1,60),ROW()-1,FALSE))</f>
        <v>2.9411765139999999</v>
      </c>
      <c r="AW509">
        <f ca="1">IF(AND(ISNUMBER($AW$1169),$B$677=1),$AW$1169,HLOOKUP(INDIRECT(ADDRESS(2,COLUMN())),OFFSET($BN$2,0,0,ROW()-1,60),ROW()-1,FALSE))</f>
        <v>2.518891725</v>
      </c>
      <c r="AX509">
        <f ca="1">IF(AND(ISNUMBER($AX$1169),$B$677=1),$AX$1169,HLOOKUP(INDIRECT(ADDRESS(2,COLUMN())),OFFSET($BN$2,0,0,ROW()-1,60),ROW()-1,FALSE))</f>
        <v>0.75301205900000001</v>
      </c>
      <c r="AY509">
        <f ca="1">IF(AND(ISNUMBER($AY$1169),$B$677=1),$AY$1169,HLOOKUP(INDIRECT(ADDRESS(2,COLUMN())),OFFSET($BN$2,0,0,ROW()-1,60),ROW()-1,FALSE))</f>
        <v>0.52356021699999999</v>
      </c>
      <c r="AZ509">
        <f ca="1">IF(AND(ISNUMBER($AZ$1169),$B$677=1),$AZ$1169,HLOOKUP(INDIRECT(ADDRESS(2,COLUMN())),OFFSET($BN$2,0,0,ROW()-1,60),ROW()-1,FALSE))</f>
        <v>0.46403713000000002</v>
      </c>
      <c r="BA509">
        <f ca="1">IF(AND(ISNUMBER($BA$1169),$B$677=1),$BA$1169,HLOOKUP(INDIRECT(ADDRESS(2,COLUMN())),OFFSET($BN$2,0,0,ROW()-1,60),ROW()-1,FALSE))</f>
        <v>0.91743120600000005</v>
      </c>
      <c r="BB509">
        <f ca="1">IF(AND(ISNUMBER($BB$1169),$B$677=1),$BB$1169,HLOOKUP(INDIRECT(ADDRESS(2,COLUMN())),OFFSET($BN$2,0,0,ROW()-1,60),ROW()-1,FALSE))</f>
        <v>2.2123894129999999</v>
      </c>
      <c r="BC509">
        <f ca="1">IF(AND(ISNUMBER($BC$1169),$B$677=1),$BC$1169,HLOOKUP(INDIRECT(ADDRESS(2,COLUMN())),OFFSET($BN$2,0,0,ROW()-1,60),ROW()-1,FALSE))</f>
        <v>4.9627792299999998</v>
      </c>
      <c r="BD509">
        <f ca="1">IF(AND(ISNUMBER($BD$1169),$B$677=1),$BD$1169,HLOOKUP(INDIRECT(ADDRESS(2,COLUMN())),OFFSET($BN$2,0,0,ROW()-1,60),ROW()-1,FALSE))</f>
        <v>6.451612999</v>
      </c>
      <c r="BE509">
        <f ca="1">IF(AND(ISNUMBER($BE$1169),$B$677=1),$BE$1169,HLOOKUP(INDIRECT(ADDRESS(2,COLUMN())),OFFSET($BN$2,0,0,ROW()-1,60),ROW()-1,FALSE))</f>
        <v>5.6338029010000001</v>
      </c>
      <c r="BF509" t="str">
        <f ca="1">IF(AND(ISNUMBER($BF$1169),$B$677=1),$BF$1169,HLOOKUP(INDIRECT(ADDRESS(2,COLUMN())),OFFSET($BN$2,0,0,ROW()-1,60),ROW()-1,FALSE))</f>
        <v/>
      </c>
      <c r="BG509" t="str">
        <f ca="1">IF(AND(ISNUMBER($BG$1169),$B$677=1),$BG$1169,HLOOKUP(INDIRECT(ADDRESS(2,COLUMN())),OFFSET($BN$2,0,0,ROW()-1,60),ROW()-1,FALSE))</f>
        <v/>
      </c>
      <c r="BH509" t="str">
        <f ca="1">IF(AND(ISNUMBER($BH$1169),$B$677=1),$BH$1169,HLOOKUP(INDIRECT(ADDRESS(2,COLUMN())),OFFSET($BN$2,0,0,ROW()-1,60),ROW()-1,FALSE))</f>
        <v/>
      </c>
      <c r="BI509">
        <f ca="1">IF(AND(ISNUMBER($BI$1169),$B$677=1),$BI$1169,HLOOKUP(INDIRECT(ADDRESS(2,COLUMN())),OFFSET($BN$2,0,0,ROW()-1,60),ROW()-1,FALSE))</f>
        <v>3.3003300819999999</v>
      </c>
      <c r="BJ509">
        <f ca="1">IF(AND(ISNUMBER($BJ$1169),$B$677=1),$BJ$1169,HLOOKUP(INDIRECT(ADDRESS(2,COLUMN())),OFFSET($BN$2,0,0,ROW()-1,60),ROW()-1,FALSE))</f>
        <v>3.0674847079999998</v>
      </c>
      <c r="BK509">
        <f ca="1">IF(AND(ISNUMBER($BK$1169),$B$677=1),$BK$1169,HLOOKUP(INDIRECT(ADDRESS(2,COLUMN())),OFFSET($BN$2,0,0,ROW()-1,60),ROW()-1,FALSE))</f>
        <v>2.739726068</v>
      </c>
      <c r="BL509">
        <f ca="1">IF(AND(ISNUMBER($BL$1169),$B$677=1),$BL$1169,HLOOKUP(INDIRECT(ADDRESS(2,COLUMN())),OFFSET($BN$2,0,0,ROW()-1,60),ROW()-1,FALSE))</f>
        <v>1.7241379569999999</v>
      </c>
      <c r="BM509">
        <f ca="1">IF(AND(ISNUMBER($BM$1169),$B$677=1),$BM$1169,HLOOKUP(INDIRECT(ADDRESS(2,COLUMN())),OFFSET($BN$2,0,0,ROW()-1,60),ROW()-1,FALSE))</f>
        <v>3.2310178189999998</v>
      </c>
      <c r="BN509">
        <f>0.248447199</f>
        <v>0.24844719900000001</v>
      </c>
      <c r="BO509">
        <f>0.302114797</f>
        <v>0.30211479699999999</v>
      </c>
      <c r="BP509">
        <f>0.30349013</f>
        <v>0.30349013000000002</v>
      </c>
      <c r="BQ509">
        <f>0.267379673</f>
        <v>0.26737967299999998</v>
      </c>
      <c r="BR509">
        <f>0.196078427</f>
        <v>0.196078427</v>
      </c>
      <c r="BS509" t="str">
        <f>""</f>
        <v/>
      </c>
      <c r="BT509" t="str">
        <f>""</f>
        <v/>
      </c>
      <c r="BU509" t="str">
        <f>""</f>
        <v/>
      </c>
      <c r="BV509">
        <f>0.384271684</f>
        <v>0.384271684</v>
      </c>
      <c r="BW509">
        <f>0.39558419</f>
        <v>0.39558419</v>
      </c>
      <c r="BX509">
        <f>0.410697244</f>
        <v>0.41069724400000002</v>
      </c>
      <c r="BY509">
        <f>0.395220602</f>
        <v>0.39522060199999998</v>
      </c>
      <c r="BZ509">
        <f>0.30518099</f>
        <v>0.30518098999999999</v>
      </c>
      <c r="CA509">
        <f>0.061087354</f>
        <v>6.1087354000000003E-2</v>
      </c>
      <c r="CB509">
        <f>0.068728521</f>
        <v>6.8728521000000001E-2</v>
      </c>
      <c r="CC509">
        <f>0.040192925</f>
        <v>4.0192924999999997E-2</v>
      </c>
      <c r="CD509">
        <f>0.051020407</f>
        <v>5.1020406999999997E-2</v>
      </c>
      <c r="CE509">
        <f>0.125495373</f>
        <v>0.12549537299999999</v>
      </c>
      <c r="CF509">
        <f>0.171171166</f>
        <v>0.17117116600000001</v>
      </c>
      <c r="CG509">
        <f>0.19791666</f>
        <v>0.19791665999999999</v>
      </c>
      <c r="CH509">
        <f>0.188118806</f>
        <v>0.188118806</v>
      </c>
      <c r="CI509" t="str">
        <f>""</f>
        <v/>
      </c>
      <c r="CJ509" t="str">
        <f>""</f>
        <v/>
      </c>
      <c r="CK509" t="str">
        <f>""</f>
        <v/>
      </c>
      <c r="CL509" t="str">
        <f>""</f>
        <v/>
      </c>
      <c r="CM509" t="str">
        <f>""</f>
        <v/>
      </c>
      <c r="CN509" t="str">
        <f>""</f>
        <v/>
      </c>
      <c r="CO509">
        <f>2.659574574</f>
        <v>2.6595745740000001</v>
      </c>
      <c r="CP509">
        <f>2.854424471</f>
        <v>2.8544244710000002</v>
      </c>
      <c r="CQ509">
        <f>3.389830643</f>
        <v>3.3898306429999998</v>
      </c>
      <c r="CR509">
        <f>2.622377727</f>
        <v>2.6223777269999999</v>
      </c>
      <c r="CS509">
        <f>2.118644152</f>
        <v>2.1186441519999999</v>
      </c>
      <c r="CT509">
        <f>2.549253649</f>
        <v>2.5492536490000002</v>
      </c>
      <c r="CU509">
        <f>2.660436051</f>
        <v>2.660436051</v>
      </c>
      <c r="CV509">
        <f>2.299407572</f>
        <v>2.2994075719999998</v>
      </c>
      <c r="CW509">
        <f>2.809210435</f>
        <v>2.8092104349999998</v>
      </c>
      <c r="CX509">
        <f>1.935630037</f>
        <v>1.9356300369999999</v>
      </c>
      <c r="CY509">
        <f>1.345119116</f>
        <v>1.345119116</v>
      </c>
      <c r="CZ509">
        <f>2.055196677</f>
        <v>2.0551966770000001</v>
      </c>
      <c r="DA509">
        <f>2.26683934</f>
        <v>2.2668393400000002</v>
      </c>
      <c r="DB509">
        <f>1.629991874</f>
        <v>1.6299918739999999</v>
      </c>
      <c r="DC509">
        <f>2.785515362</f>
        <v>2.7855153619999999</v>
      </c>
      <c r="DD509">
        <f>2.941176514</f>
        <v>2.9411765139999999</v>
      </c>
      <c r="DE509">
        <f>2.518891725</f>
        <v>2.518891725</v>
      </c>
      <c r="DF509">
        <f>0.753012059</f>
        <v>0.75301205900000001</v>
      </c>
      <c r="DG509">
        <f>0.523560217</f>
        <v>0.52356021699999999</v>
      </c>
      <c r="DH509">
        <f>0.46403713</f>
        <v>0.46403713000000002</v>
      </c>
      <c r="DI509">
        <f>0.917431206</f>
        <v>0.91743120600000005</v>
      </c>
      <c r="DJ509">
        <f>2.212389413</f>
        <v>2.2123894129999999</v>
      </c>
      <c r="DK509">
        <f>4.96277923</f>
        <v>4.9627792299999998</v>
      </c>
      <c r="DL509">
        <f>6.451612999</f>
        <v>6.451612999</v>
      </c>
      <c r="DM509">
        <f>5.633802901</f>
        <v>5.6338029010000001</v>
      </c>
      <c r="DN509" t="str">
        <f>""</f>
        <v/>
      </c>
      <c r="DO509" t="str">
        <f>""</f>
        <v/>
      </c>
      <c r="DP509" t="str">
        <f>""</f>
        <v/>
      </c>
      <c r="DQ509">
        <f>3.300330082</f>
        <v>3.3003300819999999</v>
      </c>
      <c r="DR509">
        <f>3.067484708</f>
        <v>3.0674847079999998</v>
      </c>
      <c r="DS509">
        <f>2.739726068</f>
        <v>2.739726068</v>
      </c>
      <c r="DT509">
        <f>1.724137957</f>
        <v>1.7241379569999999</v>
      </c>
      <c r="DU509">
        <f>3.231017819</f>
        <v>3.2310178189999998</v>
      </c>
    </row>
    <row r="510" spans="1:125" x14ac:dyDescent="0.25">
      <c r="A510" t="str">
        <f>"    Fiat Chrysler Automobiles NV"</f>
        <v xml:space="preserve">    Fiat Chrysler Automobiles NV</v>
      </c>
      <c r="B510" t="str">
        <f>"FCAU US Equity"</f>
        <v>FCAU US Equity</v>
      </c>
      <c r="C510" t="str">
        <f t="shared" si="36"/>
        <v>DV013</v>
      </c>
      <c r="D510" t="str">
        <f t="shared" si="37"/>
        <v>EQY_DVD_YLD_IND</v>
      </c>
      <c r="E510" t="str">
        <f t="shared" si="38"/>
        <v>Dynamic</v>
      </c>
      <c r="F510">
        <f ca="1">IF(AND(ISNUMBER($F$1170),$B$677=1),$F$1170,HLOOKUP(INDIRECT(ADDRESS(2,COLUMN())),OFFSET($BN$2,0,0,ROW()-1,60),ROW()-1,FALSE))</f>
        <v>4.9366977280000004</v>
      </c>
      <c r="G510" t="str">
        <f ca="1">IF(AND(ISNUMBER($G$1170),$B$677=1),$G$1170,HLOOKUP(INDIRECT(ADDRESS(2,COLUMN())),OFFSET($BN$2,0,0,ROW()-1,60),ROW()-1,FALSE))</f>
        <v/>
      </c>
      <c r="H510" t="str">
        <f ca="1">IF(AND(ISNUMBER($H$1170),$B$677=1),$H$1170,HLOOKUP(INDIRECT(ADDRESS(2,COLUMN())),OFFSET($BN$2,0,0,ROW()-1,60),ROW()-1,FALSE))</f>
        <v/>
      </c>
      <c r="I510" t="str">
        <f ca="1">IF(AND(ISNUMBER($I$1170),$B$677=1),$I$1170,HLOOKUP(INDIRECT(ADDRESS(2,COLUMN())),OFFSET($BN$2,0,0,ROW()-1,60),ROW()-1,FALSE))</f>
        <v/>
      </c>
      <c r="J510" t="str">
        <f ca="1">IF(AND(ISNUMBER($J$1170),$B$677=1),$J$1170,HLOOKUP(INDIRECT(ADDRESS(2,COLUMN())),OFFSET($BN$2,0,0,ROW()-1,60),ROW()-1,FALSE))</f>
        <v/>
      </c>
      <c r="K510" t="str">
        <f ca="1">IF(AND(ISNUMBER($K$1170),$B$677=1),$K$1170,HLOOKUP(INDIRECT(ADDRESS(2,COLUMN())),OFFSET($BN$2,0,0,ROW()-1,60),ROW()-1,FALSE))</f>
        <v/>
      </c>
      <c r="L510" t="str">
        <f ca="1">IF(AND(ISNUMBER($L$1170),$B$677=1),$L$1170,HLOOKUP(INDIRECT(ADDRESS(2,COLUMN())),OFFSET($BN$2,0,0,ROW()-1,60),ROW()-1,FALSE))</f>
        <v/>
      </c>
      <c r="M510" t="str">
        <f ca="1">IF(AND(ISNUMBER($M$1170),$B$677=1),$M$1170,HLOOKUP(INDIRECT(ADDRESS(2,COLUMN())),OFFSET($BN$2,0,0,ROW()-1,60),ROW()-1,FALSE))</f>
        <v/>
      </c>
      <c r="N510" t="str">
        <f ca="1">IF(AND(ISNUMBER($N$1170),$B$677=1),$N$1170,HLOOKUP(INDIRECT(ADDRESS(2,COLUMN())),OFFSET($BN$2,0,0,ROW()-1,60),ROW()-1,FALSE))</f>
        <v/>
      </c>
      <c r="O510" t="str">
        <f ca="1">IF(AND(ISNUMBER($O$1170),$B$677=1),$O$1170,HLOOKUP(INDIRECT(ADDRESS(2,COLUMN())),OFFSET($BN$2,0,0,ROW()-1,60),ROW()-1,FALSE))</f>
        <v/>
      </c>
      <c r="P510" t="str">
        <f ca="1">IF(AND(ISNUMBER($P$1170),$B$677=1),$P$1170,HLOOKUP(INDIRECT(ADDRESS(2,COLUMN())),OFFSET($BN$2,0,0,ROW()-1,60),ROW()-1,FALSE))</f>
        <v/>
      </c>
      <c r="Q510" t="str">
        <f ca="1">IF(AND(ISNUMBER($Q$1170),$B$677=1),$Q$1170,HLOOKUP(INDIRECT(ADDRESS(2,COLUMN())),OFFSET($BN$2,0,0,ROW()-1,60),ROW()-1,FALSE))</f>
        <v/>
      </c>
      <c r="R510" t="str">
        <f ca="1">IF(AND(ISNUMBER($R$1170),$B$677=1),$R$1170,HLOOKUP(INDIRECT(ADDRESS(2,COLUMN())),OFFSET($BN$2,0,0,ROW()-1,60),ROW()-1,FALSE))</f>
        <v/>
      </c>
      <c r="S510" t="str">
        <f ca="1">IF(AND(ISNUMBER($S$1170),$B$677=1),$S$1170,HLOOKUP(INDIRECT(ADDRESS(2,COLUMN())),OFFSET($BN$2,0,0,ROW()-1,60),ROW()-1,FALSE))</f>
        <v/>
      </c>
      <c r="T510" t="str">
        <f ca="1">IF(AND(ISNUMBER($T$1170),$B$677=1),$T$1170,HLOOKUP(INDIRECT(ADDRESS(2,COLUMN())),OFFSET($BN$2,0,0,ROW()-1,60),ROW()-1,FALSE))</f>
        <v/>
      </c>
      <c r="U510" t="str">
        <f ca="1">IF(AND(ISNUMBER($U$1170),$B$677=1),$U$1170,HLOOKUP(INDIRECT(ADDRESS(2,COLUMN())),OFFSET($BN$2,0,0,ROW()-1,60),ROW()-1,FALSE))</f>
        <v/>
      </c>
      <c r="V510" t="str">
        <f ca="1">IF(AND(ISNUMBER($V$1170),$B$677=1),$V$1170,HLOOKUP(INDIRECT(ADDRESS(2,COLUMN())),OFFSET($BN$2,0,0,ROW()-1,60),ROW()-1,FALSE))</f>
        <v/>
      </c>
      <c r="W510" t="str">
        <f ca="1">IF(AND(ISNUMBER($W$1170),$B$677=1),$W$1170,HLOOKUP(INDIRECT(ADDRESS(2,COLUMN())),OFFSET($BN$2,0,0,ROW()-1,60),ROW()-1,FALSE))</f>
        <v/>
      </c>
      <c r="X510" t="str">
        <f ca="1">IF(AND(ISNUMBER($X$1170),$B$677=1),$X$1170,HLOOKUP(INDIRECT(ADDRESS(2,COLUMN())),OFFSET($BN$2,0,0,ROW()-1,60),ROW()-1,FALSE))</f>
        <v/>
      </c>
      <c r="Y510" t="str">
        <f ca="1">IF(AND(ISNUMBER($Y$1170),$B$677=1),$Y$1170,HLOOKUP(INDIRECT(ADDRESS(2,COLUMN())),OFFSET($BN$2,0,0,ROW()-1,60),ROW()-1,FALSE))</f>
        <v/>
      </c>
      <c r="Z510" t="str">
        <f ca="1">IF(AND(ISNUMBER($Z$1170),$B$677=1),$Z$1170,HLOOKUP(INDIRECT(ADDRESS(2,COLUMN())),OFFSET($BN$2,0,0,ROW()-1,60),ROW()-1,FALSE))</f>
        <v/>
      </c>
      <c r="AA510" t="str">
        <f ca="1">IF(AND(ISNUMBER($AA$1170),$B$677=1),$AA$1170,HLOOKUP(INDIRECT(ADDRESS(2,COLUMN())),OFFSET($BN$2,0,0,ROW()-1,60),ROW()-1,FALSE))</f>
        <v/>
      </c>
      <c r="AB510" t="str">
        <f ca="1">IF(AND(ISNUMBER($AB$1170),$B$677=1),$AB$1170,HLOOKUP(INDIRECT(ADDRESS(2,COLUMN())),OFFSET($BN$2,0,0,ROW()-1,60),ROW()-1,FALSE))</f>
        <v/>
      </c>
      <c r="AC510" t="str">
        <f ca="1">IF(AND(ISNUMBER($AC$1170),$B$677=1),$AC$1170,HLOOKUP(INDIRECT(ADDRESS(2,COLUMN())),OFFSET($BN$2,0,0,ROW()-1,60),ROW()-1,FALSE))</f>
        <v/>
      </c>
      <c r="AD510" t="str">
        <f ca="1">IF(AND(ISNUMBER($AD$1170),$B$677=1),$AD$1170,HLOOKUP(INDIRECT(ADDRESS(2,COLUMN())),OFFSET($BN$2,0,0,ROW()-1,60),ROW()-1,FALSE))</f>
        <v/>
      </c>
      <c r="AE510" t="str">
        <f ca="1">IF(AND(ISNUMBER($AE$1170),$B$677=1),$AE$1170,HLOOKUP(INDIRECT(ADDRESS(2,COLUMN())),OFFSET($BN$2,0,0,ROW()-1,60),ROW()-1,FALSE))</f>
        <v/>
      </c>
      <c r="AF510" t="str">
        <f ca="1">IF(AND(ISNUMBER($AF$1170),$B$677=1),$AF$1170,HLOOKUP(INDIRECT(ADDRESS(2,COLUMN())),OFFSET($BN$2,0,0,ROW()-1,60),ROW()-1,FALSE))</f>
        <v/>
      </c>
      <c r="AG510" t="str">
        <f ca="1">IF(AND(ISNUMBER($AG$1170),$B$677=1),$AG$1170,HLOOKUP(INDIRECT(ADDRESS(2,COLUMN())),OFFSET($BN$2,0,0,ROW()-1,60),ROW()-1,FALSE))</f>
        <v/>
      </c>
      <c r="AH510" t="str">
        <f ca="1">IF(AND(ISNUMBER($AH$1170),$B$677=1),$AH$1170,HLOOKUP(INDIRECT(ADDRESS(2,COLUMN())),OFFSET($BN$2,0,0,ROW()-1,60),ROW()-1,FALSE))</f>
        <v/>
      </c>
      <c r="AI510" t="str">
        <f ca="1">IF(AND(ISNUMBER($AI$1170),$B$677=1),$AI$1170,HLOOKUP(INDIRECT(ADDRESS(2,COLUMN())),OFFSET($BN$2,0,0,ROW()-1,60),ROW()-1,FALSE))</f>
        <v/>
      </c>
      <c r="AJ510" t="str">
        <f ca="1">IF(AND(ISNUMBER($AJ$1170),$B$677=1),$AJ$1170,HLOOKUP(INDIRECT(ADDRESS(2,COLUMN())),OFFSET($BN$2,0,0,ROW()-1,60),ROW()-1,FALSE))</f>
        <v/>
      </c>
      <c r="AK510" t="str">
        <f ca="1">IF(AND(ISNUMBER($AK$1170),$B$677=1),$AK$1170,HLOOKUP(INDIRECT(ADDRESS(2,COLUMN())),OFFSET($BN$2,0,0,ROW()-1,60),ROW()-1,FALSE))</f>
        <v/>
      </c>
      <c r="AL510" t="str">
        <f ca="1">IF(AND(ISNUMBER($AL$1170),$B$677=1),$AL$1170,HLOOKUP(INDIRECT(ADDRESS(2,COLUMN())),OFFSET($BN$2,0,0,ROW()-1,60),ROW()-1,FALSE))</f>
        <v/>
      </c>
      <c r="AM510" t="str">
        <f ca="1">IF(AND(ISNUMBER($AM$1170),$B$677=1),$AM$1170,HLOOKUP(INDIRECT(ADDRESS(2,COLUMN())),OFFSET($BN$2,0,0,ROW()-1,60),ROW()-1,FALSE))</f>
        <v/>
      </c>
      <c r="AN510" t="str">
        <f ca="1">IF(AND(ISNUMBER($AN$1170),$B$677=1),$AN$1170,HLOOKUP(INDIRECT(ADDRESS(2,COLUMN())),OFFSET($BN$2,0,0,ROW()-1,60),ROW()-1,FALSE))</f>
        <v/>
      </c>
      <c r="AO510" t="str">
        <f ca="1">IF(AND(ISNUMBER($AO$1170),$B$677=1),$AO$1170,HLOOKUP(INDIRECT(ADDRESS(2,COLUMN())),OFFSET($BN$2,0,0,ROW()-1,60),ROW()-1,FALSE))</f>
        <v/>
      </c>
      <c r="AP510" t="str">
        <f ca="1">IF(AND(ISNUMBER($AP$1170),$B$677=1),$AP$1170,HLOOKUP(INDIRECT(ADDRESS(2,COLUMN())),OFFSET($BN$2,0,0,ROW()-1,60),ROW()-1,FALSE))</f>
        <v/>
      </c>
      <c r="AQ510" t="str">
        <f ca="1">IF(AND(ISNUMBER($AQ$1170),$B$677=1),$AQ$1170,HLOOKUP(INDIRECT(ADDRESS(2,COLUMN())),OFFSET($BN$2,0,0,ROW()-1,60),ROW()-1,FALSE))</f>
        <v/>
      </c>
      <c r="AR510" t="str">
        <f ca="1">IF(AND(ISNUMBER($AR$1170),$B$677=1),$AR$1170,HLOOKUP(INDIRECT(ADDRESS(2,COLUMN())),OFFSET($BN$2,0,0,ROW()-1,60),ROW()-1,FALSE))</f>
        <v/>
      </c>
      <c r="AS510" t="str">
        <f ca="1">IF(AND(ISNUMBER($AS$1170),$B$677=1),$AS$1170,HLOOKUP(INDIRECT(ADDRESS(2,COLUMN())),OFFSET($BN$2,0,0,ROW()-1,60),ROW()-1,FALSE))</f>
        <v/>
      </c>
      <c r="AT510" t="str">
        <f ca="1">IF(AND(ISNUMBER($AT$1170),$B$677=1),$AT$1170,HLOOKUP(INDIRECT(ADDRESS(2,COLUMN())),OFFSET($BN$2,0,0,ROW()-1,60),ROW()-1,FALSE))</f>
        <v/>
      </c>
      <c r="AU510" t="str">
        <f ca="1">IF(AND(ISNUMBER($AU$1170),$B$677=1),$AU$1170,HLOOKUP(INDIRECT(ADDRESS(2,COLUMN())),OFFSET($BN$2,0,0,ROW()-1,60),ROW()-1,FALSE))</f>
        <v/>
      </c>
      <c r="AV510" t="str">
        <f ca="1">IF(AND(ISNUMBER($AV$1170),$B$677=1),$AV$1170,HLOOKUP(INDIRECT(ADDRESS(2,COLUMN())),OFFSET($BN$2,0,0,ROW()-1,60),ROW()-1,FALSE))</f>
        <v/>
      </c>
      <c r="AW510" t="str">
        <f ca="1">IF(AND(ISNUMBER($AW$1170),$B$677=1),$AW$1170,HLOOKUP(INDIRECT(ADDRESS(2,COLUMN())),OFFSET($BN$2,0,0,ROW()-1,60),ROW()-1,FALSE))</f>
        <v/>
      </c>
      <c r="AX510" t="str">
        <f ca="1">IF(AND(ISNUMBER($AX$1170),$B$677=1),$AX$1170,HLOOKUP(INDIRECT(ADDRESS(2,COLUMN())),OFFSET($BN$2,0,0,ROW()-1,60),ROW()-1,FALSE))</f>
        <v/>
      </c>
      <c r="AY510" t="str">
        <f ca="1">IF(AND(ISNUMBER($AY$1170),$B$677=1),$AY$1170,HLOOKUP(INDIRECT(ADDRESS(2,COLUMN())),OFFSET($BN$2,0,0,ROW()-1,60),ROW()-1,FALSE))</f>
        <v/>
      </c>
      <c r="AZ510" t="str">
        <f ca="1">IF(AND(ISNUMBER($AZ$1170),$B$677=1),$AZ$1170,HLOOKUP(INDIRECT(ADDRESS(2,COLUMN())),OFFSET($BN$2,0,0,ROW()-1,60),ROW()-1,FALSE))</f>
        <v/>
      </c>
      <c r="BA510" t="str">
        <f ca="1">IF(AND(ISNUMBER($BA$1170),$B$677=1),$BA$1170,HLOOKUP(INDIRECT(ADDRESS(2,COLUMN())),OFFSET($BN$2,0,0,ROW()-1,60),ROW()-1,FALSE))</f>
        <v/>
      </c>
      <c r="BB510" t="str">
        <f ca="1">IF(AND(ISNUMBER($BB$1170),$B$677=1),$BB$1170,HLOOKUP(INDIRECT(ADDRESS(2,COLUMN())),OFFSET($BN$2,0,0,ROW()-1,60),ROW()-1,FALSE))</f>
        <v/>
      </c>
      <c r="BC510" t="str">
        <f ca="1">IF(AND(ISNUMBER($BC$1170),$B$677=1),$BC$1170,HLOOKUP(INDIRECT(ADDRESS(2,COLUMN())),OFFSET($BN$2,0,0,ROW()-1,60),ROW()-1,FALSE))</f>
        <v/>
      </c>
      <c r="BD510" t="str">
        <f ca="1">IF(AND(ISNUMBER($BD$1170),$B$677=1),$BD$1170,HLOOKUP(INDIRECT(ADDRESS(2,COLUMN())),OFFSET($BN$2,0,0,ROW()-1,60),ROW()-1,FALSE))</f>
        <v/>
      </c>
      <c r="BE510" t="str">
        <f ca="1">IF(AND(ISNUMBER($BE$1170),$B$677=1),$BE$1170,HLOOKUP(INDIRECT(ADDRESS(2,COLUMN())),OFFSET($BN$2,0,0,ROW()-1,60),ROW()-1,FALSE))</f>
        <v/>
      </c>
      <c r="BF510" t="str">
        <f ca="1">IF(AND(ISNUMBER($BF$1170),$B$677=1),$BF$1170,HLOOKUP(INDIRECT(ADDRESS(2,COLUMN())),OFFSET($BN$2,0,0,ROW()-1,60),ROW()-1,FALSE))</f>
        <v/>
      </c>
      <c r="BG510" t="str">
        <f ca="1">IF(AND(ISNUMBER($BG$1170),$B$677=1),$BG$1170,HLOOKUP(INDIRECT(ADDRESS(2,COLUMN())),OFFSET($BN$2,0,0,ROW()-1,60),ROW()-1,FALSE))</f>
        <v/>
      </c>
      <c r="BH510" t="str">
        <f ca="1">IF(AND(ISNUMBER($BH$1170),$B$677=1),$BH$1170,HLOOKUP(INDIRECT(ADDRESS(2,COLUMN())),OFFSET($BN$2,0,0,ROW()-1,60),ROW()-1,FALSE))</f>
        <v/>
      </c>
      <c r="BI510" t="str">
        <f ca="1">IF(AND(ISNUMBER($BI$1170),$B$677=1),$BI$1170,HLOOKUP(INDIRECT(ADDRESS(2,COLUMN())),OFFSET($BN$2,0,0,ROW()-1,60),ROW()-1,FALSE))</f>
        <v/>
      </c>
      <c r="BJ510" t="str">
        <f ca="1">IF(AND(ISNUMBER($BJ$1170),$B$677=1),$BJ$1170,HLOOKUP(INDIRECT(ADDRESS(2,COLUMN())),OFFSET($BN$2,0,0,ROW()-1,60),ROW()-1,FALSE))</f>
        <v/>
      </c>
      <c r="BK510" t="str">
        <f ca="1">IF(AND(ISNUMBER($BK$1170),$B$677=1),$BK$1170,HLOOKUP(INDIRECT(ADDRESS(2,COLUMN())),OFFSET($BN$2,0,0,ROW()-1,60),ROW()-1,FALSE))</f>
        <v/>
      </c>
      <c r="BL510" t="str">
        <f ca="1">IF(AND(ISNUMBER($BL$1170),$B$677=1),$BL$1170,HLOOKUP(INDIRECT(ADDRESS(2,COLUMN())),OFFSET($BN$2,0,0,ROW()-1,60),ROW()-1,FALSE))</f>
        <v/>
      </c>
      <c r="BM510" t="str">
        <f ca="1">IF(AND(ISNUMBER($BM$1170),$B$677=1),$BM$1170,HLOOKUP(INDIRECT(ADDRESS(2,COLUMN())),OFFSET($BN$2,0,0,ROW()-1,60),ROW()-1,FALSE))</f>
        <v/>
      </c>
      <c r="BN510">
        <f>4.936697728</f>
        <v>4.9366977280000004</v>
      </c>
      <c r="BO510" t="str">
        <f>""</f>
        <v/>
      </c>
      <c r="BP510" t="str">
        <f>""</f>
        <v/>
      </c>
      <c r="BQ510" t="str">
        <f>""</f>
        <v/>
      </c>
      <c r="BR510" t="str">
        <f>""</f>
        <v/>
      </c>
      <c r="BS510" t="str">
        <f>""</f>
        <v/>
      </c>
      <c r="BT510" t="str">
        <f>""</f>
        <v/>
      </c>
      <c r="BU510" t="str">
        <f>""</f>
        <v/>
      </c>
      <c r="BV510" t="str">
        <f>""</f>
        <v/>
      </c>
      <c r="BW510" t="str">
        <f>""</f>
        <v/>
      </c>
      <c r="BX510" t="str">
        <f>""</f>
        <v/>
      </c>
      <c r="BY510" t="str">
        <f>""</f>
        <v/>
      </c>
      <c r="BZ510" t="str">
        <f>""</f>
        <v/>
      </c>
      <c r="CA510" t="str">
        <f>""</f>
        <v/>
      </c>
      <c r="CB510" t="str">
        <f>""</f>
        <v/>
      </c>
      <c r="CC510" t="str">
        <f>""</f>
        <v/>
      </c>
      <c r="CD510" t="str">
        <f>""</f>
        <v/>
      </c>
      <c r="CE510" t="str">
        <f>""</f>
        <v/>
      </c>
      <c r="CF510" t="str">
        <f>""</f>
        <v/>
      </c>
      <c r="CG510" t="str">
        <f>""</f>
        <v/>
      </c>
      <c r="CH510" t="str">
        <f>""</f>
        <v/>
      </c>
      <c r="CI510" t="str">
        <f>""</f>
        <v/>
      </c>
      <c r="CJ510" t="str">
        <f>""</f>
        <v/>
      </c>
      <c r="CK510" t="str">
        <f>""</f>
        <v/>
      </c>
      <c r="CL510" t="str">
        <f>""</f>
        <v/>
      </c>
      <c r="CM510" t="str">
        <f>""</f>
        <v/>
      </c>
      <c r="CN510" t="str">
        <f>""</f>
        <v/>
      </c>
      <c r="CO510" t="str">
        <f>""</f>
        <v/>
      </c>
      <c r="CP510" t="str">
        <f>""</f>
        <v/>
      </c>
      <c r="CQ510" t="str">
        <f>""</f>
        <v/>
      </c>
      <c r="CR510" t="str">
        <f>""</f>
        <v/>
      </c>
      <c r="CS510" t="str">
        <f>""</f>
        <v/>
      </c>
      <c r="CT510" t="str">
        <f>""</f>
        <v/>
      </c>
      <c r="CU510" t="str">
        <f>""</f>
        <v/>
      </c>
      <c r="CV510" t="str">
        <f>""</f>
        <v/>
      </c>
      <c r="CW510" t="str">
        <f>""</f>
        <v/>
      </c>
      <c r="CX510" t="str">
        <f>""</f>
        <v/>
      </c>
      <c r="CY510" t="str">
        <f>""</f>
        <v/>
      </c>
      <c r="CZ510" t="str">
        <f>""</f>
        <v/>
      </c>
      <c r="DA510" t="str">
        <f>""</f>
        <v/>
      </c>
      <c r="DB510" t="str">
        <f>""</f>
        <v/>
      </c>
      <c r="DC510" t="str">
        <f>""</f>
        <v/>
      </c>
      <c r="DD510" t="str">
        <f>""</f>
        <v/>
      </c>
      <c r="DE510" t="str">
        <f>""</f>
        <v/>
      </c>
      <c r="DF510" t="str">
        <f>""</f>
        <v/>
      </c>
      <c r="DG510" t="str">
        <f>""</f>
        <v/>
      </c>
      <c r="DH510" t="str">
        <f>""</f>
        <v/>
      </c>
      <c r="DI510" t="str">
        <f>""</f>
        <v/>
      </c>
      <c r="DJ510" t="str">
        <f>""</f>
        <v/>
      </c>
      <c r="DK510" t="str">
        <f>""</f>
        <v/>
      </c>
      <c r="DL510" t="str">
        <f>""</f>
        <v/>
      </c>
      <c r="DM510" t="str">
        <f>""</f>
        <v/>
      </c>
      <c r="DN510" t="str">
        <f>""</f>
        <v/>
      </c>
      <c r="DO510" t="str">
        <f>""</f>
        <v/>
      </c>
      <c r="DP510" t="str">
        <f>""</f>
        <v/>
      </c>
      <c r="DQ510" t="str">
        <f>""</f>
        <v/>
      </c>
      <c r="DR510" t="str">
        <f>""</f>
        <v/>
      </c>
      <c r="DS510" t="str">
        <f>""</f>
        <v/>
      </c>
      <c r="DT510" t="str">
        <f>""</f>
        <v/>
      </c>
      <c r="DU510" t="str">
        <f>""</f>
        <v/>
      </c>
    </row>
    <row r="511" spans="1:125" x14ac:dyDescent="0.25">
      <c r="A511" t="str">
        <f>"    Ford Motor Co"</f>
        <v xml:space="preserve">    Ford Motor Co</v>
      </c>
      <c r="B511" t="str">
        <f>"F US Equity"</f>
        <v>F US Equity</v>
      </c>
      <c r="C511" t="str">
        <f t="shared" si="36"/>
        <v>DV013</v>
      </c>
      <c r="D511" t="str">
        <f t="shared" si="37"/>
        <v>EQY_DVD_YLD_IND</v>
      </c>
      <c r="E511" t="str">
        <f t="shared" si="38"/>
        <v>Dynamic</v>
      </c>
      <c r="F511">
        <f ca="1">IF(AND(ISNUMBER($F$1171),$B$677=1),$F$1171,HLOOKUP(INDIRECT(ADDRESS(2,COLUMN())),OFFSET($BN$2,0,0,ROW()-1,60),ROW()-1,FALSE))</f>
        <v>6.8886340280000002</v>
      </c>
      <c r="G511">
        <f ca="1">IF(AND(ISNUMBER($G$1171),$B$677=1),$G$1171,HLOOKUP(INDIRECT(ADDRESS(2,COLUMN())),OFFSET($BN$2,0,0,ROW()-1,60),ROW()-1,FALSE))</f>
        <v>7.8431375670000003</v>
      </c>
      <c r="H511">
        <f ca="1">IF(AND(ISNUMBER($H$1171),$B$677=1),$H$1171,HLOOKUP(INDIRECT(ADDRESS(2,COLUMN())),OFFSET($BN$2,0,0,ROW()-1,60),ROW()-1,FALSE))</f>
        <v>6.4864867439999996</v>
      </c>
      <c r="I511">
        <f ca="1">IF(AND(ISNUMBER($I$1171),$B$677=1),$I$1171,HLOOKUP(INDIRECT(ADDRESS(2,COLUMN())),OFFSET($BN$2,0,0,ROW()-1,60),ROW()-1,FALSE))</f>
        <v>5.4200544160000002</v>
      </c>
      <c r="J511">
        <f ca="1">IF(AND(ISNUMBER($J$1171),$B$677=1),$J$1171,HLOOKUP(INDIRECT(ADDRESS(2,COLUMN())),OFFSET($BN$2,0,0,ROW()-1,60),ROW()-1,FALSE))</f>
        <v>5.41516267</v>
      </c>
      <c r="K511">
        <f ca="1">IF(AND(ISNUMBER($K$1171),$B$677=1),$K$1171,HLOOKUP(INDIRECT(ADDRESS(2,COLUMN())),OFFSET($BN$2,0,0,ROW()-1,60),ROW()-1,FALSE))</f>
        <v>4.8038432650000003</v>
      </c>
      <c r="L511">
        <f ca="1">IF(AND(ISNUMBER($L$1171),$B$677=1),$L$1171,HLOOKUP(INDIRECT(ADDRESS(2,COLUMN())),OFFSET($BN$2,0,0,ROW()-1,60),ROW()-1,FALSE))</f>
        <v>5.0125315280000002</v>
      </c>
      <c r="M511">
        <f ca="1">IF(AND(ISNUMBER($M$1171),$B$677=1),$M$1171,HLOOKUP(INDIRECT(ADDRESS(2,COLUMN())),OFFSET($BN$2,0,0,ROW()-1,60),ROW()-1,FALSE))</f>
        <v>5.3619305080000004</v>
      </c>
      <c r="N511">
        <f ca="1">IF(AND(ISNUMBER($N$1171),$B$677=1),$N$1171,HLOOKUP(INDIRECT(ADDRESS(2,COLUMN())),OFFSET($BN$2,0,0,ROW()-1,60),ROW()-1,FALSE))</f>
        <v>5.1546393799999999</v>
      </c>
      <c r="O511">
        <f ca="1">IF(AND(ISNUMBER($O$1171),$B$677=1),$O$1171,HLOOKUP(INDIRECT(ADDRESS(2,COLUMN())),OFFSET($BN$2,0,0,ROW()-1,60),ROW()-1,FALSE))</f>
        <v>4.9464140470000002</v>
      </c>
      <c r="P511">
        <f ca="1">IF(AND(ISNUMBER($P$1171),$B$677=1),$P$1171,HLOOKUP(INDIRECT(ADDRESS(2,COLUMN())),OFFSET($BN$2,0,0,ROW()-1,60),ROW()-1,FALSE))</f>
        <v>4.971002683</v>
      </c>
      <c r="Q511">
        <f ca="1">IF(AND(ISNUMBER($Q$1171),$B$677=1),$Q$1171,HLOOKUP(INDIRECT(ADDRESS(2,COLUMN())),OFFSET($BN$2,0,0,ROW()-1,60),ROW()-1,FALSE))</f>
        <v>4.7732698789999999</v>
      </c>
      <c r="R511">
        <f ca="1">IF(AND(ISNUMBER($R$1171),$B$677=1),$R$1171,HLOOKUP(INDIRECT(ADDRESS(2,COLUMN())),OFFSET($BN$2,0,0,ROW()-1,60),ROW()-1,FALSE))</f>
        <v>4.4444446209999997</v>
      </c>
      <c r="S511">
        <f ca="1">IF(AND(ISNUMBER($S$1171),$B$677=1),$S$1171,HLOOKUP(INDIRECT(ADDRESS(2,COLUMN())),OFFSET($BN$2,0,0,ROW()-1,60),ROW()-1,FALSE))</f>
        <v>4.2583394170000002</v>
      </c>
      <c r="T511">
        <f ca="1">IF(AND(ISNUMBER($T$1171),$B$677=1),$T$1171,HLOOKUP(INDIRECT(ADDRESS(2,COLUMN())),OFFSET($BN$2,0,0,ROW()-1,60),ROW()-1,FALSE))</f>
        <v>4.4215182300000002</v>
      </c>
      <c r="U511">
        <f ca="1">IF(AND(ISNUMBER($U$1171),$B$677=1),$U$1171,HLOOKUP(INDIRECT(ADDRESS(2,COLUMN())),OFFSET($BN$2,0,0,ROW()-1,60),ROW()-1,FALSE))</f>
        <v>3.9973352690000001</v>
      </c>
      <c r="V511">
        <f ca="1">IF(AND(ISNUMBER($V$1171),$B$677=1),$V$1171,HLOOKUP(INDIRECT(ADDRESS(2,COLUMN())),OFFSET($BN$2,0,0,ROW()-1,60),ROW()-1,FALSE))</f>
        <v>3.7174722670000002</v>
      </c>
      <c r="W511">
        <f ca="1">IF(AND(ISNUMBER($W$1171),$B$677=1),$W$1171,HLOOKUP(INDIRECT(ADDRESS(2,COLUMN())),OFFSET($BN$2,0,0,ROW()-1,60),ROW()-1,FALSE))</f>
        <v>3.225806452</v>
      </c>
      <c r="X511">
        <f ca="1">IF(AND(ISNUMBER($X$1171),$B$677=1),$X$1171,HLOOKUP(INDIRECT(ADDRESS(2,COLUMN())),OFFSET($BN$2,0,0,ROW()-1,60),ROW()-1,FALSE))</f>
        <v>3.3806626099999999</v>
      </c>
      <c r="Y511">
        <f ca="1">IF(AND(ISNUMBER($Y$1171),$B$677=1),$Y$1171,HLOOKUP(INDIRECT(ADDRESS(2,COLUMN())),OFFSET($BN$2,0,0,ROW()-1,60),ROW()-1,FALSE))</f>
        <v>2.9002320190000002</v>
      </c>
      <c r="Z511">
        <f ca="1">IF(AND(ISNUMBER($Z$1171),$B$677=1),$Z$1171,HLOOKUP(INDIRECT(ADDRESS(2,COLUMN())),OFFSET($BN$2,0,0,ROW()-1,60),ROW()-1,FALSE))</f>
        <v>3.2051282049999998</v>
      </c>
      <c r="AA511">
        <f ca="1">IF(AND(ISNUMBER($AA$1171),$B$677=1),$AA$1171,HLOOKUP(INDIRECT(ADDRESS(2,COLUMN())),OFFSET($BN$2,0,0,ROW()-1,60),ROW()-1,FALSE))</f>
        <v>2.5923525989999998</v>
      </c>
      <c r="AB511">
        <f ca="1">IF(AND(ISNUMBER($AB$1171),$B$677=1),$AB$1171,HLOOKUP(INDIRECT(ADDRESS(2,COLUMN())),OFFSET($BN$2,0,0,ROW()-1,60),ROW()-1,FALSE))</f>
        <v>2.371072946</v>
      </c>
      <c r="AC511">
        <f ca="1">IF(AND(ISNUMBER($AC$1171),$B$677=1),$AC$1171,HLOOKUP(INDIRECT(ADDRESS(2,COLUMN())),OFFSET($BN$2,0,0,ROW()-1,60),ROW()-1,FALSE))</f>
        <v>2.5856496830000002</v>
      </c>
      <c r="AD511">
        <f ca="1">IF(AND(ISNUMBER($AD$1171),$B$677=1),$AD$1171,HLOOKUP(INDIRECT(ADDRESS(2,COLUMN())),OFFSET($BN$2,0,0,ROW()-1,60),ROW()-1,FALSE))</f>
        <v>3.0418251399999998</v>
      </c>
      <c r="AE511">
        <f ca="1">IF(AND(ISNUMBER($AE$1171),$B$677=1),$AE$1171,HLOOKUP(INDIRECT(ADDRESS(2,COLUMN())),OFFSET($BN$2,0,0,ROW()-1,60),ROW()-1,FALSE))</f>
        <v>1.544401567</v>
      </c>
      <c r="AF511">
        <f ca="1">IF(AND(ISNUMBER($AF$1171),$B$677=1),$AF$1171,HLOOKUP(INDIRECT(ADDRESS(2,COLUMN())),OFFSET($BN$2,0,0,ROW()-1,60),ROW()-1,FALSE))</f>
        <v>2.028397596</v>
      </c>
      <c r="AG511">
        <f ca="1">IF(AND(ISNUMBER($AG$1171),$B$677=1),$AG$1171,HLOOKUP(INDIRECT(ADDRESS(2,COLUMN())),OFFSET($BN$2,0,0,ROW()-1,60),ROW()-1,FALSE))</f>
        <v>2.0855057659999998</v>
      </c>
      <c r="AH511">
        <f ca="1">IF(AND(ISNUMBER($AH$1171),$B$677=1),$AH$1171,HLOOKUP(INDIRECT(ADDRESS(2,COLUMN())),OFFSET($BN$2,0,0,ROW()-1,60),ROW()-1,FALSE))</f>
        <v>1.6032064370000001</v>
      </c>
      <c r="AI511">
        <f ca="1">IF(AND(ISNUMBER($AI$1171),$B$677=1),$AI$1171,HLOOKUP(INDIRECT(ADDRESS(2,COLUMN())),OFFSET($BN$2,0,0,ROW()-1,60),ROW()-1,FALSE))</f>
        <v>1.858736087</v>
      </c>
      <c r="AJ511" t="str">
        <f ca="1">IF(AND(ISNUMBER($AJ$1171),$B$677=1),$AJ$1171,HLOOKUP(INDIRECT(ADDRESS(2,COLUMN())),OFFSET($BN$2,0,0,ROW()-1,60),ROW()-1,FALSE))</f>
        <v/>
      </c>
      <c r="AK511" t="str">
        <f ca="1">IF(AND(ISNUMBER($AK$1171),$B$677=1),$AK$1171,HLOOKUP(INDIRECT(ADDRESS(2,COLUMN())),OFFSET($BN$2,0,0,ROW()-1,60),ROW()-1,FALSE))</f>
        <v/>
      </c>
      <c r="AL511" t="str">
        <f ca="1">IF(AND(ISNUMBER($AL$1171),$B$677=1),$AL$1171,HLOOKUP(INDIRECT(ADDRESS(2,COLUMN())),OFFSET($BN$2,0,0,ROW()-1,60),ROW()-1,FALSE))</f>
        <v/>
      </c>
      <c r="AM511" t="str">
        <f ca="1">IF(AND(ISNUMBER($AM$1171),$B$677=1),$AM$1171,HLOOKUP(INDIRECT(ADDRESS(2,COLUMN())),OFFSET($BN$2,0,0,ROW()-1,60),ROW()-1,FALSE))</f>
        <v/>
      </c>
      <c r="AN511" t="str">
        <f ca="1">IF(AND(ISNUMBER($AN$1171),$B$677=1),$AN$1171,HLOOKUP(INDIRECT(ADDRESS(2,COLUMN())),OFFSET($BN$2,0,0,ROW()-1,60),ROW()-1,FALSE))</f>
        <v/>
      </c>
      <c r="AO511" t="str">
        <f ca="1">IF(AND(ISNUMBER($AO$1171),$B$677=1),$AO$1171,HLOOKUP(INDIRECT(ADDRESS(2,COLUMN())),OFFSET($BN$2,0,0,ROW()-1,60),ROW()-1,FALSE))</f>
        <v/>
      </c>
      <c r="AP511" t="str">
        <f ca="1">IF(AND(ISNUMBER($AP$1171),$B$677=1),$AP$1171,HLOOKUP(INDIRECT(ADDRESS(2,COLUMN())),OFFSET($BN$2,0,0,ROW()-1,60),ROW()-1,FALSE))</f>
        <v/>
      </c>
      <c r="AQ511" t="str">
        <f ca="1">IF(AND(ISNUMBER($AQ$1171),$B$677=1),$AQ$1171,HLOOKUP(INDIRECT(ADDRESS(2,COLUMN())),OFFSET($BN$2,0,0,ROW()-1,60),ROW()-1,FALSE))</f>
        <v/>
      </c>
      <c r="AR511" t="str">
        <f ca="1">IF(AND(ISNUMBER($AR$1171),$B$677=1),$AR$1171,HLOOKUP(INDIRECT(ADDRESS(2,COLUMN())),OFFSET($BN$2,0,0,ROW()-1,60),ROW()-1,FALSE))</f>
        <v/>
      </c>
      <c r="AS511" t="str">
        <f ca="1">IF(AND(ISNUMBER($AS$1171),$B$677=1),$AS$1171,HLOOKUP(INDIRECT(ADDRESS(2,COLUMN())),OFFSET($BN$2,0,0,ROW()-1,60),ROW()-1,FALSE))</f>
        <v/>
      </c>
      <c r="AT511" t="str">
        <f ca="1">IF(AND(ISNUMBER($AT$1171),$B$677=1),$AT$1171,HLOOKUP(INDIRECT(ADDRESS(2,COLUMN())),OFFSET($BN$2,0,0,ROW()-1,60),ROW()-1,FALSE))</f>
        <v/>
      </c>
      <c r="AU511" t="str">
        <f ca="1">IF(AND(ISNUMBER($AU$1171),$B$677=1),$AU$1171,HLOOKUP(INDIRECT(ADDRESS(2,COLUMN())),OFFSET($BN$2,0,0,ROW()-1,60),ROW()-1,FALSE))</f>
        <v/>
      </c>
      <c r="AV511" t="str">
        <f ca="1">IF(AND(ISNUMBER($AV$1171),$B$677=1),$AV$1171,HLOOKUP(INDIRECT(ADDRESS(2,COLUMN())),OFFSET($BN$2,0,0,ROW()-1,60),ROW()-1,FALSE))</f>
        <v/>
      </c>
      <c r="AW511" t="str">
        <f ca="1">IF(AND(ISNUMBER($AW$1171),$B$677=1),$AW$1171,HLOOKUP(INDIRECT(ADDRESS(2,COLUMN())),OFFSET($BN$2,0,0,ROW()-1,60),ROW()-1,FALSE))</f>
        <v/>
      </c>
      <c r="AX511" t="str">
        <f ca="1">IF(AND(ISNUMBER($AX$1171),$B$677=1),$AX$1171,HLOOKUP(INDIRECT(ADDRESS(2,COLUMN())),OFFSET($BN$2,0,0,ROW()-1,60),ROW()-1,FALSE))</f>
        <v/>
      </c>
      <c r="AY511" t="str">
        <f ca="1">IF(AND(ISNUMBER($AY$1171),$B$677=1),$AY$1171,HLOOKUP(INDIRECT(ADDRESS(2,COLUMN())),OFFSET($BN$2,0,0,ROW()-1,60),ROW()-1,FALSE))</f>
        <v/>
      </c>
      <c r="AZ511" t="str">
        <f ca="1">IF(AND(ISNUMBER($AZ$1171),$B$677=1),$AZ$1171,HLOOKUP(INDIRECT(ADDRESS(2,COLUMN())),OFFSET($BN$2,0,0,ROW()-1,60),ROW()-1,FALSE))</f>
        <v/>
      </c>
      <c r="BA511" t="str">
        <f ca="1">IF(AND(ISNUMBER($BA$1171),$B$677=1),$BA$1171,HLOOKUP(INDIRECT(ADDRESS(2,COLUMN())),OFFSET($BN$2,0,0,ROW()-1,60),ROW()-1,FALSE))</f>
        <v/>
      </c>
      <c r="BB511" t="str">
        <f ca="1">IF(AND(ISNUMBER($BB$1171),$B$677=1),$BB$1171,HLOOKUP(INDIRECT(ADDRESS(2,COLUMN())),OFFSET($BN$2,0,0,ROW()-1,60),ROW()-1,FALSE))</f>
        <v/>
      </c>
      <c r="BC511" t="str">
        <f ca="1">IF(AND(ISNUMBER($BC$1171),$B$677=1),$BC$1171,HLOOKUP(INDIRECT(ADDRESS(2,COLUMN())),OFFSET($BN$2,0,0,ROW()-1,60),ROW()-1,FALSE))</f>
        <v/>
      </c>
      <c r="BD511">
        <f ca="1">IF(AND(ISNUMBER($BD$1171),$B$677=1),$BD$1171,HLOOKUP(INDIRECT(ADDRESS(2,COLUMN())),OFFSET($BN$2,0,0,ROW()-1,60),ROW()-1,FALSE))</f>
        <v>2.200220055</v>
      </c>
      <c r="BE511">
        <f ca="1">IF(AND(ISNUMBER($BE$1171),$B$677=1),$BE$1171,HLOOKUP(INDIRECT(ADDRESS(2,COLUMN())),OFFSET($BN$2,0,0,ROW()-1,60),ROW()-1,FALSE))</f>
        <v>5.772005858</v>
      </c>
      <c r="BF511">
        <f ca="1">IF(AND(ISNUMBER($BF$1171),$B$677=1),$BF$1171,HLOOKUP(INDIRECT(ADDRESS(2,COLUMN())),OFFSET($BN$2,0,0,ROW()-1,60),ROW()-1,FALSE))</f>
        <v>5.0251257029999996</v>
      </c>
      <c r="BG511">
        <f ca="1">IF(AND(ISNUMBER($BG$1171),$B$677=1),$BG$1171,HLOOKUP(INDIRECT(ADDRESS(2,COLUMN())),OFFSET($BN$2,0,0,ROW()-1,60),ROW()-1,FALSE))</f>
        <v>5.1813472269999998</v>
      </c>
      <c r="BH511">
        <f ca="1">IF(AND(ISNUMBER($BH$1171),$B$677=1),$BH$1171,HLOOKUP(INDIRECT(ADDRESS(2,COLUMN())),OFFSET($BN$2,0,0,ROW()-1,60),ROW()-1,FALSE))</f>
        <v>4.056795192</v>
      </c>
      <c r="BI511">
        <f ca="1">IF(AND(ISNUMBER($BI$1171),$B$677=1),$BI$1171,HLOOKUP(INDIRECT(ADDRESS(2,COLUMN())),OFFSET($BN$2,0,0,ROW()-1,60),ROW()-1,FALSE))</f>
        <v>3.9062500579999999</v>
      </c>
      <c r="BJ511">
        <f ca="1">IF(AND(ISNUMBER($BJ$1171),$B$677=1),$BJ$1171,HLOOKUP(INDIRECT(ADDRESS(2,COLUMN())),OFFSET($BN$2,0,0,ROW()-1,60),ROW()-1,FALSE))</f>
        <v>3.5304501849999999</v>
      </c>
      <c r="BK511">
        <f ca="1">IF(AND(ISNUMBER($BK$1171),$B$677=1),$BK$1171,HLOOKUP(INDIRECT(ADDRESS(2,COLUMN())),OFFSET($BN$2,0,0,ROW()-1,60),ROW()-1,FALSE))</f>
        <v>2.732240478</v>
      </c>
      <c r="BL511">
        <f ca="1">IF(AND(ISNUMBER($BL$1171),$B$677=1),$BL$1171,HLOOKUP(INDIRECT(ADDRESS(2,COLUMN())),OFFSET($BN$2,0,0,ROW()-1,60),ROW()-1,FALSE))</f>
        <v>2.8469751310000002</v>
      </c>
      <c r="BM511">
        <f ca="1">IF(AND(ISNUMBER($BM$1171),$B$677=1),$BM$1171,HLOOKUP(INDIRECT(ADDRESS(2,COLUMN())),OFFSET($BN$2,0,0,ROW()-1,60),ROW()-1,FALSE))</f>
        <v>2.555910581</v>
      </c>
      <c r="BN511">
        <f>6.888634028</f>
        <v>6.8886340280000002</v>
      </c>
      <c r="BO511">
        <f>7.843137567</f>
        <v>7.8431375670000003</v>
      </c>
      <c r="BP511">
        <f>6.486486744</f>
        <v>6.4864867439999996</v>
      </c>
      <c r="BQ511">
        <f>5.420054416</f>
        <v>5.4200544160000002</v>
      </c>
      <c r="BR511">
        <f>5.41516267</f>
        <v>5.41516267</v>
      </c>
      <c r="BS511">
        <f>4.803843265</f>
        <v>4.8038432650000003</v>
      </c>
      <c r="BT511">
        <f>5.012531528</f>
        <v>5.0125315280000002</v>
      </c>
      <c r="BU511">
        <f>5.361930508</f>
        <v>5.3619305080000004</v>
      </c>
      <c r="BV511">
        <f>5.15463938</f>
        <v>5.1546393799999999</v>
      </c>
      <c r="BW511">
        <f>4.946414047</f>
        <v>4.9464140470000002</v>
      </c>
      <c r="BX511">
        <f>4.971002683</f>
        <v>4.971002683</v>
      </c>
      <c r="BY511">
        <f>4.773269879</f>
        <v>4.7732698789999999</v>
      </c>
      <c r="BZ511">
        <f>4.444444621</f>
        <v>4.4444446209999997</v>
      </c>
      <c r="CA511">
        <f>4.258339417</f>
        <v>4.2583394170000002</v>
      </c>
      <c r="CB511">
        <f>4.42151823</f>
        <v>4.4215182300000002</v>
      </c>
      <c r="CC511">
        <f>3.997335269</f>
        <v>3.9973352690000001</v>
      </c>
      <c r="CD511">
        <f>3.717472267</f>
        <v>3.7174722670000002</v>
      </c>
      <c r="CE511">
        <f>3.225806452</f>
        <v>3.225806452</v>
      </c>
      <c r="CF511">
        <f>3.38066261</f>
        <v>3.3806626099999999</v>
      </c>
      <c r="CG511">
        <f>2.900232019</f>
        <v>2.9002320190000002</v>
      </c>
      <c r="CH511">
        <f>3.205128205</f>
        <v>3.2051282049999998</v>
      </c>
      <c r="CI511">
        <f>2.592352599</f>
        <v>2.5923525989999998</v>
      </c>
      <c r="CJ511">
        <f>2.371072946</f>
        <v>2.371072946</v>
      </c>
      <c r="CK511">
        <f>2.585649683</f>
        <v>2.5856496830000002</v>
      </c>
      <c r="CL511">
        <f>3.04182514</f>
        <v>3.0418251399999998</v>
      </c>
      <c r="CM511">
        <f>1.544401567</f>
        <v>1.544401567</v>
      </c>
      <c r="CN511">
        <f>2.028397596</f>
        <v>2.028397596</v>
      </c>
      <c r="CO511">
        <f>2.085505766</f>
        <v>2.0855057659999998</v>
      </c>
      <c r="CP511">
        <f>1.603206437</f>
        <v>1.6032064370000001</v>
      </c>
      <c r="CQ511">
        <f>1.858736087</f>
        <v>1.858736087</v>
      </c>
      <c r="CR511" t="str">
        <f>""</f>
        <v/>
      </c>
      <c r="CS511" t="str">
        <f>""</f>
        <v/>
      </c>
      <c r="CT511" t="str">
        <f>""</f>
        <v/>
      </c>
      <c r="CU511" t="str">
        <f>""</f>
        <v/>
      </c>
      <c r="CV511" t="str">
        <f>""</f>
        <v/>
      </c>
      <c r="CW511" t="str">
        <f>""</f>
        <v/>
      </c>
      <c r="CX511" t="str">
        <f>""</f>
        <v/>
      </c>
      <c r="CY511" t="str">
        <f>""</f>
        <v/>
      </c>
      <c r="CZ511" t="str">
        <f>""</f>
        <v/>
      </c>
      <c r="DA511" t="str">
        <f>""</f>
        <v/>
      </c>
      <c r="DB511" t="str">
        <f>""</f>
        <v/>
      </c>
      <c r="DC511" t="str">
        <f>""</f>
        <v/>
      </c>
      <c r="DD511" t="str">
        <f>""</f>
        <v/>
      </c>
      <c r="DE511" t="str">
        <f>""</f>
        <v/>
      </c>
      <c r="DF511" t="str">
        <f>""</f>
        <v/>
      </c>
      <c r="DG511" t="str">
        <f>""</f>
        <v/>
      </c>
      <c r="DH511" t="str">
        <f>""</f>
        <v/>
      </c>
      <c r="DI511" t="str">
        <f>""</f>
        <v/>
      </c>
      <c r="DJ511" t="str">
        <f>""</f>
        <v/>
      </c>
      <c r="DK511" t="str">
        <f>""</f>
        <v/>
      </c>
      <c r="DL511">
        <f>2.200220055</f>
        <v>2.200220055</v>
      </c>
      <c r="DM511">
        <f>5.772005858</f>
        <v>5.772005858</v>
      </c>
      <c r="DN511">
        <f>5.025125703</f>
        <v>5.0251257029999996</v>
      </c>
      <c r="DO511">
        <f>5.181347227</f>
        <v>5.1813472269999998</v>
      </c>
      <c r="DP511">
        <f>4.056795192</f>
        <v>4.056795192</v>
      </c>
      <c r="DQ511">
        <f>3.906250058</f>
        <v>3.9062500579999999</v>
      </c>
      <c r="DR511">
        <f>3.530450185</f>
        <v>3.5304501849999999</v>
      </c>
      <c r="DS511">
        <f>2.732240478</f>
        <v>2.732240478</v>
      </c>
      <c r="DT511">
        <f>2.846975131</f>
        <v>2.8469751310000002</v>
      </c>
      <c r="DU511">
        <f>2.555910581</f>
        <v>2.555910581</v>
      </c>
    </row>
    <row r="512" spans="1:125" x14ac:dyDescent="0.25">
      <c r="A512" t="str">
        <f>"    Ford Otomotiv Sanayi AS"</f>
        <v xml:space="preserve">    Ford Otomotiv Sanayi AS</v>
      </c>
      <c r="B512" t="str">
        <f>"FROTOTRY EO Equity"</f>
        <v>FROTOTRY EO Equity</v>
      </c>
      <c r="C512" t="str">
        <f t="shared" si="36"/>
        <v>DV013</v>
      </c>
      <c r="D512" t="str">
        <f t="shared" si="37"/>
        <v>EQY_DVD_YLD_IND</v>
      </c>
      <c r="E512" t="str">
        <f t="shared" si="38"/>
        <v>Dynamic</v>
      </c>
      <c r="F512" t="str">
        <f ca="1">IF(AND(ISNUMBER($F$1172),$B$677=1),$F$1172,HLOOKUP(INDIRECT(ADDRESS(2,COLUMN())),OFFSET($BN$2,0,0,ROW()-1,60),ROW()-1,FALSE))</f>
        <v/>
      </c>
      <c r="G512" t="str">
        <f ca="1">IF(AND(ISNUMBER($G$1172),$B$677=1),$G$1172,HLOOKUP(INDIRECT(ADDRESS(2,COLUMN())),OFFSET($BN$2,0,0,ROW()-1,60),ROW()-1,FALSE))</f>
        <v/>
      </c>
      <c r="H512" t="str">
        <f ca="1">IF(AND(ISNUMBER($H$1172),$B$677=1),$H$1172,HLOOKUP(INDIRECT(ADDRESS(2,COLUMN())),OFFSET($BN$2,0,0,ROW()-1,60),ROW()-1,FALSE))</f>
        <v/>
      </c>
      <c r="I512" t="str">
        <f ca="1">IF(AND(ISNUMBER($I$1172),$B$677=1),$I$1172,HLOOKUP(INDIRECT(ADDRESS(2,COLUMN())),OFFSET($BN$2,0,0,ROW()-1,60),ROW()-1,FALSE))</f>
        <v/>
      </c>
      <c r="J512" t="str">
        <f ca="1">IF(AND(ISNUMBER($J$1172),$B$677=1),$J$1172,HLOOKUP(INDIRECT(ADDRESS(2,COLUMN())),OFFSET($BN$2,0,0,ROW()-1,60),ROW()-1,FALSE))</f>
        <v/>
      </c>
      <c r="K512" t="str">
        <f ca="1">IF(AND(ISNUMBER($K$1172),$B$677=1),$K$1172,HLOOKUP(INDIRECT(ADDRESS(2,COLUMN())),OFFSET($BN$2,0,0,ROW()-1,60),ROW()-1,FALSE))</f>
        <v/>
      </c>
      <c r="L512" t="str">
        <f ca="1">IF(AND(ISNUMBER($L$1172),$B$677=1),$L$1172,HLOOKUP(INDIRECT(ADDRESS(2,COLUMN())),OFFSET($BN$2,0,0,ROW()-1,60),ROW()-1,FALSE))</f>
        <v/>
      </c>
      <c r="M512" t="str">
        <f ca="1">IF(AND(ISNUMBER($M$1172),$B$677=1),$M$1172,HLOOKUP(INDIRECT(ADDRESS(2,COLUMN())),OFFSET($BN$2,0,0,ROW()-1,60),ROW()-1,FALSE))</f>
        <v/>
      </c>
      <c r="N512" t="str">
        <f ca="1">IF(AND(ISNUMBER($N$1172),$B$677=1),$N$1172,HLOOKUP(INDIRECT(ADDRESS(2,COLUMN())),OFFSET($BN$2,0,0,ROW()-1,60),ROW()-1,FALSE))</f>
        <v/>
      </c>
      <c r="O512" t="str">
        <f ca="1">IF(AND(ISNUMBER($O$1172),$B$677=1),$O$1172,HLOOKUP(INDIRECT(ADDRESS(2,COLUMN())),OFFSET($BN$2,0,0,ROW()-1,60),ROW()-1,FALSE))</f>
        <v/>
      </c>
      <c r="P512" t="str">
        <f ca="1">IF(AND(ISNUMBER($P$1172),$B$677=1),$P$1172,HLOOKUP(INDIRECT(ADDRESS(2,COLUMN())),OFFSET($BN$2,0,0,ROW()-1,60),ROW()-1,FALSE))</f>
        <v/>
      </c>
      <c r="Q512" t="str">
        <f ca="1">IF(AND(ISNUMBER($Q$1172),$B$677=1),$Q$1172,HLOOKUP(INDIRECT(ADDRESS(2,COLUMN())),OFFSET($BN$2,0,0,ROW()-1,60),ROW()-1,FALSE))</f>
        <v/>
      </c>
      <c r="R512" t="str">
        <f ca="1">IF(AND(ISNUMBER($R$1172),$B$677=1),$R$1172,HLOOKUP(INDIRECT(ADDRESS(2,COLUMN())),OFFSET($BN$2,0,0,ROW()-1,60),ROW()-1,FALSE))</f>
        <v/>
      </c>
      <c r="S512" t="str">
        <f ca="1">IF(AND(ISNUMBER($S$1172),$B$677=1),$S$1172,HLOOKUP(INDIRECT(ADDRESS(2,COLUMN())),OFFSET($BN$2,0,0,ROW()-1,60),ROW()-1,FALSE))</f>
        <v/>
      </c>
      <c r="T512" t="str">
        <f ca="1">IF(AND(ISNUMBER($T$1172),$B$677=1),$T$1172,HLOOKUP(INDIRECT(ADDRESS(2,COLUMN())),OFFSET($BN$2,0,0,ROW()-1,60),ROW()-1,FALSE))</f>
        <v/>
      </c>
      <c r="U512" t="str">
        <f ca="1">IF(AND(ISNUMBER($U$1172),$B$677=1),$U$1172,HLOOKUP(INDIRECT(ADDRESS(2,COLUMN())),OFFSET($BN$2,0,0,ROW()-1,60),ROW()-1,FALSE))</f>
        <v/>
      </c>
      <c r="V512" t="str">
        <f ca="1">IF(AND(ISNUMBER($V$1172),$B$677=1),$V$1172,HLOOKUP(INDIRECT(ADDRESS(2,COLUMN())),OFFSET($BN$2,0,0,ROW()-1,60),ROW()-1,FALSE))</f>
        <v/>
      </c>
      <c r="W512" t="str">
        <f ca="1">IF(AND(ISNUMBER($W$1172),$B$677=1),$W$1172,HLOOKUP(INDIRECT(ADDRESS(2,COLUMN())),OFFSET($BN$2,0,0,ROW()-1,60),ROW()-1,FALSE))</f>
        <v/>
      </c>
      <c r="X512" t="str">
        <f ca="1">IF(AND(ISNUMBER($X$1172),$B$677=1),$X$1172,HLOOKUP(INDIRECT(ADDRESS(2,COLUMN())),OFFSET($BN$2,0,0,ROW()-1,60),ROW()-1,FALSE))</f>
        <v/>
      </c>
      <c r="Y512" t="str">
        <f ca="1">IF(AND(ISNUMBER($Y$1172),$B$677=1),$Y$1172,HLOOKUP(INDIRECT(ADDRESS(2,COLUMN())),OFFSET($BN$2,0,0,ROW()-1,60),ROW()-1,FALSE))</f>
        <v/>
      </c>
      <c r="Z512" t="str">
        <f ca="1">IF(AND(ISNUMBER($Z$1172),$B$677=1),$Z$1172,HLOOKUP(INDIRECT(ADDRESS(2,COLUMN())),OFFSET($BN$2,0,0,ROW()-1,60),ROW()-1,FALSE))</f>
        <v/>
      </c>
      <c r="AA512" t="str">
        <f ca="1">IF(AND(ISNUMBER($AA$1172),$B$677=1),$AA$1172,HLOOKUP(INDIRECT(ADDRESS(2,COLUMN())),OFFSET($BN$2,0,0,ROW()-1,60),ROW()-1,FALSE))</f>
        <v/>
      </c>
      <c r="AB512" t="str">
        <f ca="1">IF(AND(ISNUMBER($AB$1172),$B$677=1),$AB$1172,HLOOKUP(INDIRECT(ADDRESS(2,COLUMN())),OFFSET($BN$2,0,0,ROW()-1,60),ROW()-1,FALSE))</f>
        <v/>
      </c>
      <c r="AC512" t="str">
        <f ca="1">IF(AND(ISNUMBER($AC$1172),$B$677=1),$AC$1172,HLOOKUP(INDIRECT(ADDRESS(2,COLUMN())),OFFSET($BN$2,0,0,ROW()-1,60),ROW()-1,FALSE))</f>
        <v/>
      </c>
      <c r="AD512" t="str">
        <f ca="1">IF(AND(ISNUMBER($AD$1172),$B$677=1),$AD$1172,HLOOKUP(INDIRECT(ADDRESS(2,COLUMN())),OFFSET($BN$2,0,0,ROW()-1,60),ROW()-1,FALSE))</f>
        <v/>
      </c>
      <c r="AE512" t="str">
        <f ca="1">IF(AND(ISNUMBER($AE$1172),$B$677=1),$AE$1172,HLOOKUP(INDIRECT(ADDRESS(2,COLUMN())),OFFSET($BN$2,0,0,ROW()-1,60),ROW()-1,FALSE))</f>
        <v/>
      </c>
      <c r="AF512" t="str">
        <f ca="1">IF(AND(ISNUMBER($AF$1172),$B$677=1),$AF$1172,HLOOKUP(INDIRECT(ADDRESS(2,COLUMN())),OFFSET($BN$2,0,0,ROW()-1,60),ROW()-1,FALSE))</f>
        <v/>
      </c>
      <c r="AG512" t="str">
        <f ca="1">IF(AND(ISNUMBER($AG$1172),$B$677=1),$AG$1172,HLOOKUP(INDIRECT(ADDRESS(2,COLUMN())),OFFSET($BN$2,0,0,ROW()-1,60),ROW()-1,FALSE))</f>
        <v/>
      </c>
      <c r="AH512" t="str">
        <f ca="1">IF(AND(ISNUMBER($AH$1172),$B$677=1),$AH$1172,HLOOKUP(INDIRECT(ADDRESS(2,COLUMN())),OFFSET($BN$2,0,0,ROW()-1,60),ROW()-1,FALSE))</f>
        <v/>
      </c>
      <c r="AI512" t="str">
        <f ca="1">IF(AND(ISNUMBER($AI$1172),$B$677=1),$AI$1172,HLOOKUP(INDIRECT(ADDRESS(2,COLUMN())),OFFSET($BN$2,0,0,ROW()-1,60),ROW()-1,FALSE))</f>
        <v/>
      </c>
      <c r="AJ512" t="str">
        <f ca="1">IF(AND(ISNUMBER($AJ$1172),$B$677=1),$AJ$1172,HLOOKUP(INDIRECT(ADDRESS(2,COLUMN())),OFFSET($BN$2,0,0,ROW()-1,60),ROW()-1,FALSE))</f>
        <v/>
      </c>
      <c r="AK512" t="str">
        <f ca="1">IF(AND(ISNUMBER($AK$1172),$B$677=1),$AK$1172,HLOOKUP(INDIRECT(ADDRESS(2,COLUMN())),OFFSET($BN$2,0,0,ROW()-1,60),ROW()-1,FALSE))</f>
        <v/>
      </c>
      <c r="AL512" t="str">
        <f ca="1">IF(AND(ISNUMBER($AL$1172),$B$677=1),$AL$1172,HLOOKUP(INDIRECT(ADDRESS(2,COLUMN())),OFFSET($BN$2,0,0,ROW()-1,60),ROW()-1,FALSE))</f>
        <v/>
      </c>
      <c r="AM512" t="str">
        <f ca="1">IF(AND(ISNUMBER($AM$1172),$B$677=1),$AM$1172,HLOOKUP(INDIRECT(ADDRESS(2,COLUMN())),OFFSET($BN$2,0,0,ROW()-1,60),ROW()-1,FALSE))</f>
        <v/>
      </c>
      <c r="AN512" t="str">
        <f ca="1">IF(AND(ISNUMBER($AN$1172),$B$677=1),$AN$1172,HLOOKUP(INDIRECT(ADDRESS(2,COLUMN())),OFFSET($BN$2,0,0,ROW()-1,60),ROW()-1,FALSE))</f>
        <v/>
      </c>
      <c r="AO512" t="str">
        <f ca="1">IF(AND(ISNUMBER($AO$1172),$B$677=1),$AO$1172,HLOOKUP(INDIRECT(ADDRESS(2,COLUMN())),OFFSET($BN$2,0,0,ROW()-1,60),ROW()-1,FALSE))</f>
        <v/>
      </c>
      <c r="AP512" t="str">
        <f ca="1">IF(AND(ISNUMBER($AP$1172),$B$677=1),$AP$1172,HLOOKUP(INDIRECT(ADDRESS(2,COLUMN())),OFFSET($BN$2,0,0,ROW()-1,60),ROW()-1,FALSE))</f>
        <v/>
      </c>
      <c r="AQ512" t="str">
        <f ca="1">IF(AND(ISNUMBER($AQ$1172),$B$677=1),$AQ$1172,HLOOKUP(INDIRECT(ADDRESS(2,COLUMN())),OFFSET($BN$2,0,0,ROW()-1,60),ROW()-1,FALSE))</f>
        <v/>
      </c>
      <c r="AR512" t="str">
        <f ca="1">IF(AND(ISNUMBER($AR$1172),$B$677=1),$AR$1172,HLOOKUP(INDIRECT(ADDRESS(2,COLUMN())),OFFSET($BN$2,0,0,ROW()-1,60),ROW()-1,FALSE))</f>
        <v/>
      </c>
      <c r="AS512" t="str">
        <f ca="1">IF(AND(ISNUMBER($AS$1172),$B$677=1),$AS$1172,HLOOKUP(INDIRECT(ADDRESS(2,COLUMN())),OFFSET($BN$2,0,0,ROW()-1,60),ROW()-1,FALSE))</f>
        <v/>
      </c>
      <c r="AT512" t="str">
        <f ca="1">IF(AND(ISNUMBER($AT$1172),$B$677=1),$AT$1172,HLOOKUP(INDIRECT(ADDRESS(2,COLUMN())),OFFSET($BN$2,0,0,ROW()-1,60),ROW()-1,FALSE))</f>
        <v/>
      </c>
      <c r="AU512" t="str">
        <f ca="1">IF(AND(ISNUMBER($AU$1172),$B$677=1),$AU$1172,HLOOKUP(INDIRECT(ADDRESS(2,COLUMN())),OFFSET($BN$2,0,0,ROW()-1,60),ROW()-1,FALSE))</f>
        <v/>
      </c>
      <c r="AV512" t="str">
        <f ca="1">IF(AND(ISNUMBER($AV$1172),$B$677=1),$AV$1172,HLOOKUP(INDIRECT(ADDRESS(2,COLUMN())),OFFSET($BN$2,0,0,ROW()-1,60),ROW()-1,FALSE))</f>
        <v/>
      </c>
      <c r="AW512" t="str">
        <f ca="1">IF(AND(ISNUMBER($AW$1172),$B$677=1),$AW$1172,HLOOKUP(INDIRECT(ADDRESS(2,COLUMN())),OFFSET($BN$2,0,0,ROW()-1,60),ROW()-1,FALSE))</f>
        <v/>
      </c>
      <c r="AX512" t="str">
        <f ca="1">IF(AND(ISNUMBER($AX$1172),$B$677=1),$AX$1172,HLOOKUP(INDIRECT(ADDRESS(2,COLUMN())),OFFSET($BN$2,0,0,ROW()-1,60),ROW()-1,FALSE))</f>
        <v/>
      </c>
      <c r="AY512" t="str">
        <f ca="1">IF(AND(ISNUMBER($AY$1172),$B$677=1),$AY$1172,HLOOKUP(INDIRECT(ADDRESS(2,COLUMN())),OFFSET($BN$2,0,0,ROW()-1,60),ROW()-1,FALSE))</f>
        <v/>
      </c>
      <c r="AZ512" t="str">
        <f ca="1">IF(AND(ISNUMBER($AZ$1172),$B$677=1),$AZ$1172,HLOOKUP(INDIRECT(ADDRESS(2,COLUMN())),OFFSET($BN$2,0,0,ROW()-1,60),ROW()-1,FALSE))</f>
        <v/>
      </c>
      <c r="BA512" t="str">
        <f ca="1">IF(AND(ISNUMBER($BA$1172),$B$677=1),$BA$1172,HLOOKUP(INDIRECT(ADDRESS(2,COLUMN())),OFFSET($BN$2,0,0,ROW()-1,60),ROW()-1,FALSE))</f>
        <v/>
      </c>
      <c r="BB512" t="str">
        <f ca="1">IF(AND(ISNUMBER($BB$1172),$B$677=1),$BB$1172,HLOOKUP(INDIRECT(ADDRESS(2,COLUMN())),OFFSET($BN$2,0,0,ROW()-1,60),ROW()-1,FALSE))</f>
        <v/>
      </c>
      <c r="BC512" t="str">
        <f ca="1">IF(AND(ISNUMBER($BC$1172),$B$677=1),$BC$1172,HLOOKUP(INDIRECT(ADDRESS(2,COLUMN())),OFFSET($BN$2,0,0,ROW()-1,60),ROW()-1,FALSE))</f>
        <v/>
      </c>
      <c r="BD512" t="str">
        <f ca="1">IF(AND(ISNUMBER($BD$1172),$B$677=1),$BD$1172,HLOOKUP(INDIRECT(ADDRESS(2,COLUMN())),OFFSET($BN$2,0,0,ROW()-1,60),ROW()-1,FALSE))</f>
        <v/>
      </c>
      <c r="BE512" t="str">
        <f ca="1">IF(AND(ISNUMBER($BE$1172),$B$677=1),$BE$1172,HLOOKUP(INDIRECT(ADDRESS(2,COLUMN())),OFFSET($BN$2,0,0,ROW()-1,60),ROW()-1,FALSE))</f>
        <v/>
      </c>
      <c r="BF512" t="str">
        <f ca="1">IF(AND(ISNUMBER($BF$1172),$B$677=1),$BF$1172,HLOOKUP(INDIRECT(ADDRESS(2,COLUMN())),OFFSET($BN$2,0,0,ROW()-1,60),ROW()-1,FALSE))</f>
        <v/>
      </c>
      <c r="BG512" t="str">
        <f ca="1">IF(AND(ISNUMBER($BG$1172),$B$677=1),$BG$1172,HLOOKUP(INDIRECT(ADDRESS(2,COLUMN())),OFFSET($BN$2,0,0,ROW()-1,60),ROW()-1,FALSE))</f>
        <v/>
      </c>
      <c r="BH512" t="str">
        <f ca="1">IF(AND(ISNUMBER($BH$1172),$B$677=1),$BH$1172,HLOOKUP(INDIRECT(ADDRESS(2,COLUMN())),OFFSET($BN$2,0,0,ROW()-1,60),ROW()-1,FALSE))</f>
        <v/>
      </c>
      <c r="BI512" t="str">
        <f ca="1">IF(AND(ISNUMBER($BI$1172),$B$677=1),$BI$1172,HLOOKUP(INDIRECT(ADDRESS(2,COLUMN())),OFFSET($BN$2,0,0,ROW()-1,60),ROW()-1,FALSE))</f>
        <v/>
      </c>
      <c r="BJ512" t="str">
        <f ca="1">IF(AND(ISNUMBER($BJ$1172),$B$677=1),$BJ$1172,HLOOKUP(INDIRECT(ADDRESS(2,COLUMN())),OFFSET($BN$2,0,0,ROW()-1,60),ROW()-1,FALSE))</f>
        <v/>
      </c>
      <c r="BK512" t="str">
        <f ca="1">IF(AND(ISNUMBER($BK$1172),$B$677=1),$BK$1172,HLOOKUP(INDIRECT(ADDRESS(2,COLUMN())),OFFSET($BN$2,0,0,ROW()-1,60),ROW()-1,FALSE))</f>
        <v/>
      </c>
      <c r="BL512" t="str">
        <f ca="1">IF(AND(ISNUMBER($BL$1172),$B$677=1),$BL$1172,HLOOKUP(INDIRECT(ADDRESS(2,COLUMN())),OFFSET($BN$2,0,0,ROW()-1,60),ROW()-1,FALSE))</f>
        <v/>
      </c>
      <c r="BM512" t="str">
        <f ca="1">IF(AND(ISNUMBER($BM$1172),$B$677=1),$BM$1172,HLOOKUP(INDIRECT(ADDRESS(2,COLUMN())),OFFSET($BN$2,0,0,ROW()-1,60),ROW()-1,FALSE))</f>
        <v/>
      </c>
      <c r="BN512" t="str">
        <f>""</f>
        <v/>
      </c>
      <c r="BO512" t="str">
        <f>""</f>
        <v/>
      </c>
      <c r="BP512" t="str">
        <f>""</f>
        <v/>
      </c>
      <c r="BQ512" t="str">
        <f>""</f>
        <v/>
      </c>
      <c r="BR512" t="str">
        <f>""</f>
        <v/>
      </c>
      <c r="BS512" t="str">
        <f>""</f>
        <v/>
      </c>
      <c r="BT512" t="str">
        <f>""</f>
        <v/>
      </c>
      <c r="BU512" t="str">
        <f>""</f>
        <v/>
      </c>
      <c r="BV512" t="str">
        <f>""</f>
        <v/>
      </c>
      <c r="BW512" t="str">
        <f>""</f>
        <v/>
      </c>
      <c r="BX512" t="str">
        <f>""</f>
        <v/>
      </c>
      <c r="BY512" t="str">
        <f>""</f>
        <v/>
      </c>
      <c r="BZ512" t="str">
        <f>""</f>
        <v/>
      </c>
      <c r="CA512" t="str">
        <f>""</f>
        <v/>
      </c>
      <c r="CB512" t="str">
        <f>""</f>
        <v/>
      </c>
      <c r="CC512" t="str">
        <f>""</f>
        <v/>
      </c>
      <c r="CD512" t="str">
        <f>""</f>
        <v/>
      </c>
      <c r="CE512" t="str">
        <f>""</f>
        <v/>
      </c>
      <c r="CF512" t="str">
        <f>""</f>
        <v/>
      </c>
      <c r="CG512" t="str">
        <f>""</f>
        <v/>
      </c>
      <c r="CH512" t="str">
        <f>""</f>
        <v/>
      </c>
      <c r="CI512" t="str">
        <f>""</f>
        <v/>
      </c>
      <c r="CJ512" t="str">
        <f>""</f>
        <v/>
      </c>
      <c r="CK512" t="str">
        <f>""</f>
        <v/>
      </c>
      <c r="CL512" t="str">
        <f>""</f>
        <v/>
      </c>
      <c r="CM512" t="str">
        <f>""</f>
        <v/>
      </c>
      <c r="CN512" t="str">
        <f>""</f>
        <v/>
      </c>
      <c r="CO512" t="str">
        <f>""</f>
        <v/>
      </c>
      <c r="CP512" t="str">
        <f>""</f>
        <v/>
      </c>
      <c r="CQ512" t="str">
        <f>""</f>
        <v/>
      </c>
      <c r="CR512" t="str">
        <f>""</f>
        <v/>
      </c>
      <c r="CS512" t="str">
        <f>""</f>
        <v/>
      </c>
      <c r="CT512" t="str">
        <f>""</f>
        <v/>
      </c>
      <c r="CU512" t="str">
        <f>""</f>
        <v/>
      </c>
      <c r="CV512" t="str">
        <f>""</f>
        <v/>
      </c>
      <c r="CW512" t="str">
        <f>""</f>
        <v/>
      </c>
      <c r="CX512" t="str">
        <f>""</f>
        <v/>
      </c>
      <c r="CY512" t="str">
        <f>""</f>
        <v/>
      </c>
      <c r="CZ512" t="str">
        <f>""</f>
        <v/>
      </c>
      <c r="DA512" t="str">
        <f>""</f>
        <v/>
      </c>
      <c r="DB512" t="str">
        <f>""</f>
        <v/>
      </c>
      <c r="DC512" t="str">
        <f>""</f>
        <v/>
      </c>
      <c r="DD512" t="str">
        <f>""</f>
        <v/>
      </c>
      <c r="DE512" t="str">
        <f>""</f>
        <v/>
      </c>
      <c r="DF512" t="str">
        <f>""</f>
        <v/>
      </c>
      <c r="DG512" t="str">
        <f>""</f>
        <v/>
      </c>
      <c r="DH512" t="str">
        <f>""</f>
        <v/>
      </c>
      <c r="DI512" t="str">
        <f>""</f>
        <v/>
      </c>
      <c r="DJ512" t="str">
        <f>""</f>
        <v/>
      </c>
      <c r="DK512" t="str">
        <f>""</f>
        <v/>
      </c>
      <c r="DL512" t="str">
        <f>""</f>
        <v/>
      </c>
      <c r="DM512" t="str">
        <f>""</f>
        <v/>
      </c>
      <c r="DN512" t="str">
        <f>""</f>
        <v/>
      </c>
      <c r="DO512" t="str">
        <f>""</f>
        <v/>
      </c>
      <c r="DP512" t="str">
        <f>""</f>
        <v/>
      </c>
      <c r="DQ512" t="str">
        <f>""</f>
        <v/>
      </c>
      <c r="DR512" t="str">
        <f>""</f>
        <v/>
      </c>
      <c r="DS512" t="str">
        <f>""</f>
        <v/>
      </c>
      <c r="DT512" t="str">
        <f>""</f>
        <v/>
      </c>
      <c r="DU512" t="str">
        <f>""</f>
        <v/>
      </c>
    </row>
    <row r="513" spans="1:125" x14ac:dyDescent="0.25">
      <c r="A513" t="str">
        <f>"    GAZ PJSC"</f>
        <v xml:space="preserve">    GAZ PJSC</v>
      </c>
      <c r="B513" t="str">
        <f>"GAZA RM Equity"</f>
        <v>GAZA RM Equity</v>
      </c>
      <c r="C513" t="str">
        <f t="shared" si="36"/>
        <v>DV013</v>
      </c>
      <c r="D513" t="str">
        <f t="shared" si="37"/>
        <v>EQY_DVD_YLD_IND</v>
      </c>
      <c r="E513" t="str">
        <f t="shared" si="38"/>
        <v>Dynamic</v>
      </c>
      <c r="F513" t="str">
        <f ca="1">IF(AND(ISNUMBER($F$1173),$B$677=1),$F$1173,HLOOKUP(INDIRECT(ADDRESS(2,COLUMN())),OFFSET($BN$2,0,0,ROW()-1,60),ROW()-1,FALSE))</f>
        <v/>
      </c>
      <c r="G513" t="str">
        <f ca="1">IF(AND(ISNUMBER($G$1173),$B$677=1),$G$1173,HLOOKUP(INDIRECT(ADDRESS(2,COLUMN())),OFFSET($BN$2,0,0,ROW()-1,60),ROW()-1,FALSE))</f>
        <v/>
      </c>
      <c r="H513" t="str">
        <f ca="1">IF(AND(ISNUMBER($H$1173),$B$677=1),$H$1173,HLOOKUP(INDIRECT(ADDRESS(2,COLUMN())),OFFSET($BN$2,0,0,ROW()-1,60),ROW()-1,FALSE))</f>
        <v/>
      </c>
      <c r="I513" t="str">
        <f ca="1">IF(AND(ISNUMBER($I$1173),$B$677=1),$I$1173,HLOOKUP(INDIRECT(ADDRESS(2,COLUMN())),OFFSET($BN$2,0,0,ROW()-1,60),ROW()-1,FALSE))</f>
        <v/>
      </c>
      <c r="J513" t="str">
        <f ca="1">IF(AND(ISNUMBER($J$1173),$B$677=1),$J$1173,HLOOKUP(INDIRECT(ADDRESS(2,COLUMN())),OFFSET($BN$2,0,0,ROW()-1,60),ROW()-1,FALSE))</f>
        <v/>
      </c>
      <c r="K513" t="str">
        <f ca="1">IF(AND(ISNUMBER($K$1173),$B$677=1),$K$1173,HLOOKUP(INDIRECT(ADDRESS(2,COLUMN())),OFFSET($BN$2,0,0,ROW()-1,60),ROW()-1,FALSE))</f>
        <v/>
      </c>
      <c r="L513" t="str">
        <f ca="1">IF(AND(ISNUMBER($L$1173),$B$677=1),$L$1173,HLOOKUP(INDIRECT(ADDRESS(2,COLUMN())),OFFSET($BN$2,0,0,ROW()-1,60),ROW()-1,FALSE))</f>
        <v/>
      </c>
      <c r="M513" t="str">
        <f ca="1">IF(AND(ISNUMBER($M$1173),$B$677=1),$M$1173,HLOOKUP(INDIRECT(ADDRESS(2,COLUMN())),OFFSET($BN$2,0,0,ROW()-1,60),ROW()-1,FALSE))</f>
        <v/>
      </c>
      <c r="N513" t="str">
        <f ca="1">IF(AND(ISNUMBER($N$1173),$B$677=1),$N$1173,HLOOKUP(INDIRECT(ADDRESS(2,COLUMN())),OFFSET($BN$2,0,0,ROW()-1,60),ROW()-1,FALSE))</f>
        <v/>
      </c>
      <c r="O513" t="str">
        <f ca="1">IF(AND(ISNUMBER($O$1173),$B$677=1),$O$1173,HLOOKUP(INDIRECT(ADDRESS(2,COLUMN())),OFFSET($BN$2,0,0,ROW()-1,60),ROW()-1,FALSE))</f>
        <v/>
      </c>
      <c r="P513" t="str">
        <f ca="1">IF(AND(ISNUMBER($P$1173),$B$677=1),$P$1173,HLOOKUP(INDIRECT(ADDRESS(2,COLUMN())),OFFSET($BN$2,0,0,ROW()-1,60),ROW()-1,FALSE))</f>
        <v/>
      </c>
      <c r="Q513" t="str">
        <f ca="1">IF(AND(ISNUMBER($Q$1173),$B$677=1),$Q$1173,HLOOKUP(INDIRECT(ADDRESS(2,COLUMN())),OFFSET($BN$2,0,0,ROW()-1,60),ROW()-1,FALSE))</f>
        <v/>
      </c>
      <c r="R513" t="str">
        <f ca="1">IF(AND(ISNUMBER($R$1173),$B$677=1),$R$1173,HLOOKUP(INDIRECT(ADDRESS(2,COLUMN())),OFFSET($BN$2,0,0,ROW()-1,60),ROW()-1,FALSE))</f>
        <v/>
      </c>
      <c r="S513" t="str">
        <f ca="1">IF(AND(ISNUMBER($S$1173),$B$677=1),$S$1173,HLOOKUP(INDIRECT(ADDRESS(2,COLUMN())),OFFSET($BN$2,0,0,ROW()-1,60),ROW()-1,FALSE))</f>
        <v/>
      </c>
      <c r="T513" t="str">
        <f ca="1">IF(AND(ISNUMBER($T$1173),$B$677=1),$T$1173,HLOOKUP(INDIRECT(ADDRESS(2,COLUMN())),OFFSET($BN$2,0,0,ROW()-1,60),ROW()-1,FALSE))</f>
        <v/>
      </c>
      <c r="U513" t="str">
        <f ca="1">IF(AND(ISNUMBER($U$1173),$B$677=1),$U$1173,HLOOKUP(INDIRECT(ADDRESS(2,COLUMN())),OFFSET($BN$2,0,0,ROW()-1,60),ROW()-1,FALSE))</f>
        <v/>
      </c>
      <c r="V513" t="str">
        <f ca="1">IF(AND(ISNUMBER($V$1173),$B$677=1),$V$1173,HLOOKUP(INDIRECT(ADDRESS(2,COLUMN())),OFFSET($BN$2,0,0,ROW()-1,60),ROW()-1,FALSE))</f>
        <v/>
      </c>
      <c r="W513" t="str">
        <f ca="1">IF(AND(ISNUMBER($W$1173),$B$677=1),$W$1173,HLOOKUP(INDIRECT(ADDRESS(2,COLUMN())),OFFSET($BN$2,0,0,ROW()-1,60),ROW()-1,FALSE))</f>
        <v/>
      </c>
      <c r="X513" t="str">
        <f ca="1">IF(AND(ISNUMBER($X$1173),$B$677=1),$X$1173,HLOOKUP(INDIRECT(ADDRESS(2,COLUMN())),OFFSET($BN$2,0,0,ROW()-1,60),ROW()-1,FALSE))</f>
        <v/>
      </c>
      <c r="Y513" t="str">
        <f ca="1">IF(AND(ISNUMBER($Y$1173),$B$677=1),$Y$1173,HLOOKUP(INDIRECT(ADDRESS(2,COLUMN())),OFFSET($BN$2,0,0,ROW()-1,60),ROW()-1,FALSE))</f>
        <v/>
      </c>
      <c r="Z513" t="str">
        <f ca="1">IF(AND(ISNUMBER($Z$1173),$B$677=1),$Z$1173,HLOOKUP(INDIRECT(ADDRESS(2,COLUMN())),OFFSET($BN$2,0,0,ROW()-1,60),ROW()-1,FALSE))</f>
        <v/>
      </c>
      <c r="AA513" t="str">
        <f ca="1">IF(AND(ISNUMBER($AA$1173),$B$677=1),$AA$1173,HLOOKUP(INDIRECT(ADDRESS(2,COLUMN())),OFFSET($BN$2,0,0,ROW()-1,60),ROW()-1,FALSE))</f>
        <v/>
      </c>
      <c r="AB513" t="str">
        <f ca="1">IF(AND(ISNUMBER($AB$1173),$B$677=1),$AB$1173,HLOOKUP(INDIRECT(ADDRESS(2,COLUMN())),OFFSET($BN$2,0,0,ROW()-1,60),ROW()-1,FALSE))</f>
        <v/>
      </c>
      <c r="AC513" t="str">
        <f ca="1">IF(AND(ISNUMBER($AC$1173),$B$677=1),$AC$1173,HLOOKUP(INDIRECT(ADDRESS(2,COLUMN())),OFFSET($BN$2,0,0,ROW()-1,60),ROW()-1,FALSE))</f>
        <v/>
      </c>
      <c r="AD513" t="str">
        <f ca="1">IF(AND(ISNUMBER($AD$1173),$B$677=1),$AD$1173,HLOOKUP(INDIRECT(ADDRESS(2,COLUMN())),OFFSET($BN$2,0,0,ROW()-1,60),ROW()-1,FALSE))</f>
        <v/>
      </c>
      <c r="AE513" t="str">
        <f ca="1">IF(AND(ISNUMBER($AE$1173),$B$677=1),$AE$1173,HLOOKUP(INDIRECT(ADDRESS(2,COLUMN())),OFFSET($BN$2,0,0,ROW()-1,60),ROW()-1,FALSE))</f>
        <v/>
      </c>
      <c r="AF513" t="str">
        <f ca="1">IF(AND(ISNUMBER($AF$1173),$B$677=1),$AF$1173,HLOOKUP(INDIRECT(ADDRESS(2,COLUMN())),OFFSET($BN$2,0,0,ROW()-1,60),ROW()-1,FALSE))</f>
        <v/>
      </c>
      <c r="AG513" t="str">
        <f ca="1">IF(AND(ISNUMBER($AG$1173),$B$677=1),$AG$1173,HLOOKUP(INDIRECT(ADDRESS(2,COLUMN())),OFFSET($BN$2,0,0,ROW()-1,60),ROW()-1,FALSE))</f>
        <v/>
      </c>
      <c r="AH513" t="str">
        <f ca="1">IF(AND(ISNUMBER($AH$1173),$B$677=1),$AH$1173,HLOOKUP(INDIRECT(ADDRESS(2,COLUMN())),OFFSET($BN$2,0,0,ROW()-1,60),ROW()-1,FALSE))</f>
        <v/>
      </c>
      <c r="AI513" t="str">
        <f ca="1">IF(AND(ISNUMBER($AI$1173),$B$677=1),$AI$1173,HLOOKUP(INDIRECT(ADDRESS(2,COLUMN())),OFFSET($BN$2,0,0,ROW()-1,60),ROW()-1,FALSE))</f>
        <v/>
      </c>
      <c r="AJ513" t="str">
        <f ca="1">IF(AND(ISNUMBER($AJ$1173),$B$677=1),$AJ$1173,HLOOKUP(INDIRECT(ADDRESS(2,COLUMN())),OFFSET($BN$2,0,0,ROW()-1,60),ROW()-1,FALSE))</f>
        <v/>
      </c>
      <c r="AK513" t="str">
        <f ca="1">IF(AND(ISNUMBER($AK$1173),$B$677=1),$AK$1173,HLOOKUP(INDIRECT(ADDRESS(2,COLUMN())),OFFSET($BN$2,0,0,ROW()-1,60),ROW()-1,FALSE))</f>
        <v/>
      </c>
      <c r="AL513" t="str">
        <f ca="1">IF(AND(ISNUMBER($AL$1173),$B$677=1),$AL$1173,HLOOKUP(INDIRECT(ADDRESS(2,COLUMN())),OFFSET($BN$2,0,0,ROW()-1,60),ROW()-1,FALSE))</f>
        <v/>
      </c>
      <c r="AM513" t="str">
        <f ca="1">IF(AND(ISNUMBER($AM$1173),$B$677=1),$AM$1173,HLOOKUP(INDIRECT(ADDRESS(2,COLUMN())),OFFSET($BN$2,0,0,ROW()-1,60),ROW()-1,FALSE))</f>
        <v/>
      </c>
      <c r="AN513" t="str">
        <f ca="1">IF(AND(ISNUMBER($AN$1173),$B$677=1),$AN$1173,HLOOKUP(INDIRECT(ADDRESS(2,COLUMN())),OFFSET($BN$2,0,0,ROW()-1,60),ROW()-1,FALSE))</f>
        <v/>
      </c>
      <c r="AO513" t="str">
        <f ca="1">IF(AND(ISNUMBER($AO$1173),$B$677=1),$AO$1173,HLOOKUP(INDIRECT(ADDRESS(2,COLUMN())),OFFSET($BN$2,0,0,ROW()-1,60),ROW()-1,FALSE))</f>
        <v/>
      </c>
      <c r="AP513" t="str">
        <f ca="1">IF(AND(ISNUMBER($AP$1173),$B$677=1),$AP$1173,HLOOKUP(INDIRECT(ADDRESS(2,COLUMN())),OFFSET($BN$2,0,0,ROW()-1,60),ROW()-1,FALSE))</f>
        <v/>
      </c>
      <c r="AQ513" t="str">
        <f ca="1">IF(AND(ISNUMBER($AQ$1173),$B$677=1),$AQ$1173,HLOOKUP(INDIRECT(ADDRESS(2,COLUMN())),OFFSET($BN$2,0,0,ROW()-1,60),ROW()-1,FALSE))</f>
        <v/>
      </c>
      <c r="AR513" t="str">
        <f ca="1">IF(AND(ISNUMBER($AR$1173),$B$677=1),$AR$1173,HLOOKUP(INDIRECT(ADDRESS(2,COLUMN())),OFFSET($BN$2,0,0,ROW()-1,60),ROW()-1,FALSE))</f>
        <v/>
      </c>
      <c r="AS513" t="str">
        <f ca="1">IF(AND(ISNUMBER($AS$1173),$B$677=1),$AS$1173,HLOOKUP(INDIRECT(ADDRESS(2,COLUMN())),OFFSET($BN$2,0,0,ROW()-1,60),ROW()-1,FALSE))</f>
        <v/>
      </c>
      <c r="AT513" t="str">
        <f ca="1">IF(AND(ISNUMBER($AT$1173),$B$677=1),$AT$1173,HLOOKUP(INDIRECT(ADDRESS(2,COLUMN())),OFFSET($BN$2,0,0,ROW()-1,60),ROW()-1,FALSE))</f>
        <v/>
      </c>
      <c r="AU513" t="str">
        <f ca="1">IF(AND(ISNUMBER($AU$1173),$B$677=1),$AU$1173,HLOOKUP(INDIRECT(ADDRESS(2,COLUMN())),OFFSET($BN$2,0,0,ROW()-1,60),ROW()-1,FALSE))</f>
        <v/>
      </c>
      <c r="AV513" t="str">
        <f ca="1">IF(AND(ISNUMBER($AV$1173),$B$677=1),$AV$1173,HLOOKUP(INDIRECT(ADDRESS(2,COLUMN())),OFFSET($BN$2,0,0,ROW()-1,60),ROW()-1,FALSE))</f>
        <v/>
      </c>
      <c r="AW513" t="str">
        <f ca="1">IF(AND(ISNUMBER($AW$1173),$B$677=1),$AW$1173,HLOOKUP(INDIRECT(ADDRESS(2,COLUMN())),OFFSET($BN$2,0,0,ROW()-1,60),ROW()-1,FALSE))</f>
        <v/>
      </c>
      <c r="AX513" t="str">
        <f ca="1">IF(AND(ISNUMBER($AX$1173),$B$677=1),$AX$1173,HLOOKUP(INDIRECT(ADDRESS(2,COLUMN())),OFFSET($BN$2,0,0,ROW()-1,60),ROW()-1,FALSE))</f>
        <v/>
      </c>
      <c r="AY513" t="str">
        <f ca="1">IF(AND(ISNUMBER($AY$1173),$B$677=1),$AY$1173,HLOOKUP(INDIRECT(ADDRESS(2,COLUMN())),OFFSET($BN$2,0,0,ROW()-1,60),ROW()-1,FALSE))</f>
        <v/>
      </c>
      <c r="AZ513" t="str">
        <f ca="1">IF(AND(ISNUMBER($AZ$1173),$B$677=1),$AZ$1173,HLOOKUP(INDIRECT(ADDRESS(2,COLUMN())),OFFSET($BN$2,0,0,ROW()-1,60),ROW()-1,FALSE))</f>
        <v/>
      </c>
      <c r="BA513" t="str">
        <f ca="1">IF(AND(ISNUMBER($BA$1173),$B$677=1),$BA$1173,HLOOKUP(INDIRECT(ADDRESS(2,COLUMN())),OFFSET($BN$2,0,0,ROW()-1,60),ROW()-1,FALSE))</f>
        <v/>
      </c>
      <c r="BB513" t="str">
        <f ca="1">IF(AND(ISNUMBER($BB$1173),$B$677=1),$BB$1173,HLOOKUP(INDIRECT(ADDRESS(2,COLUMN())),OFFSET($BN$2,0,0,ROW()-1,60),ROW()-1,FALSE))</f>
        <v/>
      </c>
      <c r="BC513" t="str">
        <f ca="1">IF(AND(ISNUMBER($BC$1173),$B$677=1),$BC$1173,HLOOKUP(INDIRECT(ADDRESS(2,COLUMN())),OFFSET($BN$2,0,0,ROW()-1,60),ROW()-1,FALSE))</f>
        <v/>
      </c>
      <c r="BD513" t="str">
        <f ca="1">IF(AND(ISNUMBER($BD$1173),$B$677=1),$BD$1173,HLOOKUP(INDIRECT(ADDRESS(2,COLUMN())),OFFSET($BN$2,0,0,ROW()-1,60),ROW()-1,FALSE))</f>
        <v/>
      </c>
      <c r="BE513" t="str">
        <f ca="1">IF(AND(ISNUMBER($BE$1173),$B$677=1),$BE$1173,HLOOKUP(INDIRECT(ADDRESS(2,COLUMN())),OFFSET($BN$2,0,0,ROW()-1,60),ROW()-1,FALSE))</f>
        <v/>
      </c>
      <c r="BF513" t="str">
        <f ca="1">IF(AND(ISNUMBER($BF$1173),$B$677=1),$BF$1173,HLOOKUP(INDIRECT(ADDRESS(2,COLUMN())),OFFSET($BN$2,0,0,ROW()-1,60),ROW()-1,FALSE))</f>
        <v/>
      </c>
      <c r="BG513" t="str">
        <f ca="1">IF(AND(ISNUMBER($BG$1173),$B$677=1),$BG$1173,HLOOKUP(INDIRECT(ADDRESS(2,COLUMN())),OFFSET($BN$2,0,0,ROW()-1,60),ROW()-1,FALSE))</f>
        <v/>
      </c>
      <c r="BH513" t="str">
        <f ca="1">IF(AND(ISNUMBER($BH$1173),$B$677=1),$BH$1173,HLOOKUP(INDIRECT(ADDRESS(2,COLUMN())),OFFSET($BN$2,0,0,ROW()-1,60),ROW()-1,FALSE))</f>
        <v/>
      </c>
      <c r="BI513" t="str">
        <f ca="1">IF(AND(ISNUMBER($BI$1173),$B$677=1),$BI$1173,HLOOKUP(INDIRECT(ADDRESS(2,COLUMN())),OFFSET($BN$2,0,0,ROW()-1,60),ROW()-1,FALSE))</f>
        <v/>
      </c>
      <c r="BJ513" t="str">
        <f ca="1">IF(AND(ISNUMBER($BJ$1173),$B$677=1),$BJ$1173,HLOOKUP(INDIRECT(ADDRESS(2,COLUMN())),OFFSET($BN$2,0,0,ROW()-1,60),ROW()-1,FALSE))</f>
        <v/>
      </c>
      <c r="BK513" t="str">
        <f ca="1">IF(AND(ISNUMBER($BK$1173),$B$677=1),$BK$1173,HLOOKUP(INDIRECT(ADDRESS(2,COLUMN())),OFFSET($BN$2,0,0,ROW()-1,60),ROW()-1,FALSE))</f>
        <v/>
      </c>
      <c r="BL513" t="str">
        <f ca="1">IF(AND(ISNUMBER($BL$1173),$B$677=1),$BL$1173,HLOOKUP(INDIRECT(ADDRESS(2,COLUMN())),OFFSET($BN$2,0,0,ROW()-1,60),ROW()-1,FALSE))</f>
        <v/>
      </c>
      <c r="BM513" t="str">
        <f ca="1">IF(AND(ISNUMBER($BM$1173),$B$677=1),$BM$1173,HLOOKUP(INDIRECT(ADDRESS(2,COLUMN())),OFFSET($BN$2,0,0,ROW()-1,60),ROW()-1,FALSE))</f>
        <v/>
      </c>
      <c r="BN513" t="str">
        <f>""</f>
        <v/>
      </c>
      <c r="BO513" t="str">
        <f>""</f>
        <v/>
      </c>
      <c r="BP513" t="str">
        <f>""</f>
        <v/>
      </c>
      <c r="BQ513" t="str">
        <f>""</f>
        <v/>
      </c>
      <c r="BR513" t="str">
        <f>""</f>
        <v/>
      </c>
      <c r="BS513" t="str">
        <f>""</f>
        <v/>
      </c>
      <c r="BT513" t="str">
        <f>""</f>
        <v/>
      </c>
      <c r="BU513" t="str">
        <f>""</f>
        <v/>
      </c>
      <c r="BV513" t="str">
        <f>""</f>
        <v/>
      </c>
      <c r="BW513" t="str">
        <f>""</f>
        <v/>
      </c>
      <c r="BX513" t="str">
        <f>""</f>
        <v/>
      </c>
      <c r="BY513" t="str">
        <f>""</f>
        <v/>
      </c>
      <c r="BZ513" t="str">
        <f>""</f>
        <v/>
      </c>
      <c r="CA513" t="str">
        <f>""</f>
        <v/>
      </c>
      <c r="CB513" t="str">
        <f>""</f>
        <v/>
      </c>
      <c r="CC513" t="str">
        <f>""</f>
        <v/>
      </c>
      <c r="CD513" t="str">
        <f>""</f>
        <v/>
      </c>
      <c r="CE513" t="str">
        <f>""</f>
        <v/>
      </c>
      <c r="CF513" t="str">
        <f>""</f>
        <v/>
      </c>
      <c r="CG513" t="str">
        <f>""</f>
        <v/>
      </c>
      <c r="CH513" t="str">
        <f>""</f>
        <v/>
      </c>
      <c r="CI513" t="str">
        <f>""</f>
        <v/>
      </c>
      <c r="CJ513" t="str">
        <f>""</f>
        <v/>
      </c>
      <c r="CK513" t="str">
        <f>""</f>
        <v/>
      </c>
      <c r="CL513" t="str">
        <f>""</f>
        <v/>
      </c>
      <c r="CM513" t="str">
        <f>""</f>
        <v/>
      </c>
      <c r="CN513" t="str">
        <f>""</f>
        <v/>
      </c>
      <c r="CO513" t="str">
        <f>""</f>
        <v/>
      </c>
      <c r="CP513" t="str">
        <f>""</f>
        <v/>
      </c>
      <c r="CQ513" t="str">
        <f>""</f>
        <v/>
      </c>
      <c r="CR513" t="str">
        <f>""</f>
        <v/>
      </c>
      <c r="CS513" t="str">
        <f>""</f>
        <v/>
      </c>
      <c r="CT513" t="str">
        <f>""</f>
        <v/>
      </c>
      <c r="CU513" t="str">
        <f>""</f>
        <v/>
      </c>
      <c r="CV513" t="str">
        <f>""</f>
        <v/>
      </c>
      <c r="CW513" t="str">
        <f>""</f>
        <v/>
      </c>
      <c r="CX513" t="str">
        <f>""</f>
        <v/>
      </c>
      <c r="CY513" t="str">
        <f>""</f>
        <v/>
      </c>
      <c r="CZ513" t="str">
        <f>""</f>
        <v/>
      </c>
      <c r="DA513" t="str">
        <f>""</f>
        <v/>
      </c>
      <c r="DB513" t="str">
        <f>""</f>
        <v/>
      </c>
      <c r="DC513" t="str">
        <f>""</f>
        <v/>
      </c>
      <c r="DD513" t="str">
        <f>""</f>
        <v/>
      </c>
      <c r="DE513" t="str">
        <f>""</f>
        <v/>
      </c>
      <c r="DF513" t="str">
        <f>""</f>
        <v/>
      </c>
      <c r="DG513" t="str">
        <f>""</f>
        <v/>
      </c>
      <c r="DH513" t="str">
        <f>""</f>
        <v/>
      </c>
      <c r="DI513" t="str">
        <f>""</f>
        <v/>
      </c>
      <c r="DJ513" t="str">
        <f>""</f>
        <v/>
      </c>
      <c r="DK513" t="str">
        <f>""</f>
        <v/>
      </c>
      <c r="DL513" t="str">
        <f>""</f>
        <v/>
      </c>
      <c r="DM513" t="str">
        <f>""</f>
        <v/>
      </c>
      <c r="DN513" t="str">
        <f>""</f>
        <v/>
      </c>
      <c r="DO513" t="str">
        <f>""</f>
        <v/>
      </c>
      <c r="DP513" t="str">
        <f>""</f>
        <v/>
      </c>
      <c r="DQ513" t="str">
        <f>""</f>
        <v/>
      </c>
      <c r="DR513" t="str">
        <f>""</f>
        <v/>
      </c>
      <c r="DS513" t="str">
        <f>""</f>
        <v/>
      </c>
      <c r="DT513" t="str">
        <f>""</f>
        <v/>
      </c>
      <c r="DU513" t="str">
        <f>""</f>
        <v/>
      </c>
    </row>
    <row r="514" spans="1:125" x14ac:dyDescent="0.25">
      <c r="A514" t="str">
        <f>"    Geely Automobile Holdings Ltd"</f>
        <v xml:space="preserve">    Geely Automobile Holdings Ltd</v>
      </c>
      <c r="B514" t="str">
        <f>"175 HK Equity"</f>
        <v>175 HK Equity</v>
      </c>
      <c r="C514" t="str">
        <f t="shared" si="36"/>
        <v>DV013</v>
      </c>
      <c r="D514" t="str">
        <f t="shared" si="37"/>
        <v>EQY_DVD_YLD_IND</v>
      </c>
      <c r="E514" t="str">
        <f t="shared" si="38"/>
        <v>Dynamic</v>
      </c>
      <c r="F514">
        <f ca="1">IF(AND(ISNUMBER($F$1174),$B$677=1),$F$1174,HLOOKUP(INDIRECT(ADDRESS(2,COLUMN())),OFFSET($BN$2,0,0,ROW()-1,60),ROW()-1,FALSE))</f>
        <v>1.8782382879999999</v>
      </c>
      <c r="G514">
        <f ca="1">IF(AND(ISNUMBER($G$1174),$B$677=1),$G$1174,HLOOKUP(INDIRECT(ADDRESS(2,COLUMN())),OFFSET($BN$2,0,0,ROW()-1,60),ROW()-1,FALSE))</f>
        <v>2.1014492150000001</v>
      </c>
      <c r="H514">
        <f ca="1">IF(AND(ISNUMBER($H$1174),$B$677=1),$H$1174,HLOOKUP(INDIRECT(ADDRESS(2,COLUMN())),OFFSET($BN$2,0,0,ROW()-1,60),ROW()-1,FALSE))</f>
        <v>1.858974305</v>
      </c>
      <c r="I514">
        <f ca="1">IF(AND(ISNUMBER($I$1174),$B$677=1),$I$1174,HLOOKUP(INDIRECT(ADDRESS(2,COLUMN())),OFFSET($BN$2,0,0,ROW()-1,60),ROW()-1,FALSE))</f>
        <v>1.4250613839999999</v>
      </c>
      <c r="J514">
        <f ca="1">IF(AND(ISNUMBER($J$1174),$B$677=1),$J$1174,HLOOKUP(INDIRECT(ADDRESS(2,COLUMN())),OFFSET($BN$2,0,0,ROW()-1,60),ROW()-1,FALSE))</f>
        <v>1.2831858039999999</v>
      </c>
      <c r="K514">
        <f ca="1">IF(AND(ISNUMBER($K$1174),$B$677=1),$K$1174,HLOOKUP(INDIRECT(ADDRESS(2,COLUMN())),OFFSET($BN$2,0,0,ROW()-1,60),ROW()-1,FALSE))</f>
        <v>0.44280441799999998</v>
      </c>
      <c r="L514">
        <f ca="1">IF(AND(ISNUMBER($L$1174),$B$677=1),$L$1174,HLOOKUP(INDIRECT(ADDRESS(2,COLUMN())),OFFSET($BN$2,0,0,ROW()-1,60),ROW()-1,FALSE))</f>
        <v>0.54545453300000002</v>
      </c>
      <c r="M514">
        <f ca="1">IF(AND(ISNUMBER($M$1174),$B$677=1),$M$1174,HLOOKUP(INDIRECT(ADDRESS(2,COLUMN())),OFFSET($BN$2,0,0,ROW()-1,60),ROW()-1,FALSE))</f>
        <v>0.71258905800000005</v>
      </c>
      <c r="N514">
        <f ca="1">IF(AND(ISNUMBER($N$1174),$B$677=1),$N$1174,HLOOKUP(INDIRECT(ADDRESS(2,COLUMN())),OFFSET($BN$2,0,0,ROW()-1,60),ROW()-1,FALSE))</f>
        <v>1.008403339</v>
      </c>
      <c r="O514">
        <f ca="1">IF(AND(ISNUMBER($O$1174),$B$677=1),$O$1174,HLOOKUP(INDIRECT(ADDRESS(2,COLUMN())),OFFSET($BN$2,0,0,ROW()-1,60),ROW()-1,FALSE))</f>
        <v>0.51282049600000001</v>
      </c>
      <c r="P514">
        <f ca="1">IF(AND(ISNUMBER($P$1174),$B$677=1),$P$1174,HLOOKUP(INDIRECT(ADDRESS(2,COLUMN())),OFFSET($BN$2,0,0,ROW()-1,60),ROW()-1,FALSE))</f>
        <v>0.54913292999999996</v>
      </c>
      <c r="Q514">
        <f ca="1">IF(AND(ISNUMBER($Q$1174),$B$677=1),$Q$1174,HLOOKUP(INDIRECT(ADDRESS(2,COLUMN())),OFFSET($BN$2,0,0,ROW()-1,60),ROW()-1,FALSE))</f>
        <v>0.90692121199999998</v>
      </c>
      <c r="R514">
        <f ca="1">IF(AND(ISNUMBER($R$1174),$B$677=1),$R$1174,HLOOKUP(INDIRECT(ADDRESS(2,COLUMN())),OFFSET($BN$2,0,0,ROW()-1,60),ROW()-1,FALSE))</f>
        <v>0.989583302</v>
      </c>
      <c r="S514">
        <f ca="1">IF(AND(ISNUMBER($S$1174),$B$677=1),$S$1174,HLOOKUP(INDIRECT(ADDRESS(2,COLUMN())),OFFSET($BN$2,0,0,ROW()-1,60),ROW()-1,FALSE))</f>
        <v>0.60532688599999995</v>
      </c>
      <c r="T514">
        <f ca="1">IF(AND(ISNUMBER($T$1174),$B$677=1),$T$1174,HLOOKUP(INDIRECT(ADDRESS(2,COLUMN())),OFFSET($BN$2,0,0,ROW()-1,60),ROW()-1,FALSE))</f>
        <v>0.67750678499999994</v>
      </c>
      <c r="U514">
        <f ca="1">IF(AND(ISNUMBER($U$1174),$B$677=1),$U$1174,HLOOKUP(INDIRECT(ADDRESS(2,COLUMN())),OFFSET($BN$2,0,0,ROW()-1,60),ROW()-1,FALSE))</f>
        <v>0.60386474300000004</v>
      </c>
      <c r="V514">
        <f ca="1">IF(AND(ISNUMBER($V$1174),$B$677=1),$V$1174,HLOOKUP(INDIRECT(ADDRESS(2,COLUMN())),OFFSET($BN$2,0,0,ROW()-1,60),ROW()-1,FALSE))</f>
        <v>0.62656642500000004</v>
      </c>
      <c r="W514">
        <f ca="1">IF(AND(ISNUMBER($W$1174),$B$677=1),$W$1174,HLOOKUP(INDIRECT(ADDRESS(2,COLUMN())),OFFSET($BN$2,0,0,ROW()-1,60),ROW()-1,FALSE))</f>
        <v>1.8623481820000001</v>
      </c>
      <c r="X514">
        <f ca="1">IF(AND(ISNUMBER($X$1174),$B$677=1),$X$1174,HLOOKUP(INDIRECT(ADDRESS(2,COLUMN())),OFFSET($BN$2,0,0,ROW()-1,60),ROW()-1,FALSE))</f>
        <v>1.415384618</v>
      </c>
      <c r="Y514">
        <f ca="1">IF(AND(ISNUMBER($Y$1174),$B$677=1),$Y$1174,HLOOKUP(INDIRECT(ADDRESS(2,COLUMN())),OFFSET($BN$2,0,0,ROW()-1,60),ROW()-1,FALSE))</f>
        <v>1.6849816879999999</v>
      </c>
      <c r="Z514">
        <f ca="1">IF(AND(ISNUMBER($Z$1174),$B$677=1),$Z$1174,HLOOKUP(INDIRECT(ADDRESS(2,COLUMN())),OFFSET($BN$2,0,0,ROW()-1,60),ROW()-1,FALSE))</f>
        <v>1.508196724</v>
      </c>
      <c r="AA514">
        <f ca="1">IF(AND(ISNUMBER($AA$1174),$B$677=1),$AA$1174,HLOOKUP(INDIRECT(ADDRESS(2,COLUMN())),OFFSET($BN$2,0,0,ROW()-1,60),ROW()-1,FALSE))</f>
        <v>1.040000021</v>
      </c>
      <c r="AB514">
        <f ca="1">IF(AND(ISNUMBER($AB$1174),$B$677=1),$AB$1174,HLOOKUP(INDIRECT(ADDRESS(2,COLUMN())),OFFSET($BN$2,0,0,ROW()-1,60),ROW()-1,FALSE))</f>
        <v>0.97744362900000004</v>
      </c>
      <c r="AC514">
        <f ca="1">IF(AND(ISNUMBER($AC$1174),$B$677=1),$AC$1174,HLOOKUP(INDIRECT(ADDRESS(2,COLUMN())),OFFSET($BN$2,0,0,ROW()-1,60),ROW()-1,FALSE))</f>
        <v>1.1607143099999999</v>
      </c>
      <c r="AD514">
        <f ca="1">IF(AND(ISNUMBER($AD$1174),$B$677=1),$AD$1174,HLOOKUP(INDIRECT(ADDRESS(2,COLUMN())),OFFSET($BN$2,0,0,ROW()-1,60),ROW()-1,FALSE))</f>
        <v>1.03448278</v>
      </c>
      <c r="AE514">
        <f ca="1">IF(AND(ISNUMBER($AE$1174),$B$677=1),$AE$1174,HLOOKUP(INDIRECT(ADDRESS(2,COLUMN())),OFFSET($BN$2,0,0,ROW()-1,60),ROW()-1,FALSE))</f>
        <v>0.76294280299999995</v>
      </c>
      <c r="AF514">
        <f ca="1">IF(AND(ISNUMBER($AF$1174),$B$677=1),$AF$1174,HLOOKUP(INDIRECT(ADDRESS(2,COLUMN())),OFFSET($BN$2,0,0,ROW()-1,60),ROW()-1,FALSE))</f>
        <v>0.95238098199999999</v>
      </c>
      <c r="AG514">
        <f ca="1">IF(AND(ISNUMBER($AG$1174),$B$677=1),$AG$1174,HLOOKUP(INDIRECT(ADDRESS(2,COLUMN())),OFFSET($BN$2,0,0,ROW()-1,60),ROW()-1,FALSE))</f>
        <v>1.0370370689999999</v>
      </c>
      <c r="AH514">
        <f ca="1">IF(AND(ISNUMBER($AH$1174),$B$677=1),$AH$1174,HLOOKUP(INDIRECT(ADDRESS(2,COLUMN())),OFFSET($BN$2,0,0,ROW()-1,60),ROW()-1,FALSE))</f>
        <v>0.92105265999999997</v>
      </c>
      <c r="AI514">
        <f ca="1">IF(AND(ISNUMBER($AI$1174),$B$677=1),$AI$1174,HLOOKUP(INDIRECT(ADDRESS(2,COLUMN())),OFFSET($BN$2,0,0,ROW()-1,60),ROW()-1,FALSE))</f>
        <v>1.529411796</v>
      </c>
      <c r="AJ514">
        <f ca="1">IF(AND(ISNUMBER($AJ$1174),$B$677=1),$AJ$1174,HLOOKUP(INDIRECT(ADDRESS(2,COLUMN())),OFFSET($BN$2,0,0,ROW()-1,60),ROW()-1,FALSE))</f>
        <v>1.4857143159999999</v>
      </c>
      <c r="AK514">
        <f ca="1">IF(AND(ISNUMBER($AK$1174),$B$677=1),$AK$1174,HLOOKUP(INDIRECT(ADDRESS(2,COLUMN())),OFFSET($BN$2,0,0,ROW()-1,60),ROW()-1,FALSE))</f>
        <v>0.85526317600000001</v>
      </c>
      <c r="AL514">
        <f ca="1">IF(AND(ISNUMBER($AL$1174),$B$677=1),$AL$1174,HLOOKUP(INDIRECT(ADDRESS(2,COLUMN())),OFFSET($BN$2,0,0,ROW()-1,60),ROW()-1,FALSE))</f>
        <v>0.89965399800000001</v>
      </c>
      <c r="AM514">
        <f ca="1">IF(AND(ISNUMBER($AM$1174),$B$677=1),$AM$1174,HLOOKUP(INDIRECT(ADDRESS(2,COLUMN())),OFFSET($BN$2,0,0,ROW()-1,60),ROW()-1,FALSE))</f>
        <v>0.67647058999999998</v>
      </c>
      <c r="AN514">
        <f ca="1">IF(AND(ISNUMBER($AN$1174),$B$677=1),$AN$1174,HLOOKUP(INDIRECT(ADDRESS(2,COLUMN())),OFFSET($BN$2,0,0,ROW()-1,60),ROW()-1,FALSE))</f>
        <v>0.59740259900000003</v>
      </c>
      <c r="AO514">
        <f ca="1">IF(AND(ISNUMBER($AO$1174),$B$677=1),$AO$1174,HLOOKUP(INDIRECT(ADDRESS(2,COLUMN())),OFFSET($BN$2,0,0,ROW()-1,60),ROW()-1,FALSE))</f>
        <v>0.95833333499999995</v>
      </c>
      <c r="AP514">
        <f ca="1">IF(AND(ISNUMBER($AP$1174),$B$677=1),$AP$1174,HLOOKUP(INDIRECT(ADDRESS(2,COLUMN())),OFFSET($BN$2,0,0,ROW()-1,60),ROW()-1,FALSE))</f>
        <v>0.38929442199999997</v>
      </c>
      <c r="AQ514">
        <f ca="1">IF(AND(ISNUMBER($AQ$1174),$B$677=1),$AQ$1174,HLOOKUP(INDIRECT(ADDRESS(2,COLUMN())),OFFSET($BN$2,0,0,ROW()-1,60),ROW()-1,FALSE))</f>
        <v>0.37470727799999998</v>
      </c>
      <c r="AR514">
        <f ca="1">IF(AND(ISNUMBER($AR$1174),$B$677=1),$AR$1174,HLOOKUP(INDIRECT(ADDRESS(2,COLUMN())),OFFSET($BN$2,0,0,ROW()-1,60),ROW()-1,FALSE))</f>
        <v>0.75829387500000001</v>
      </c>
      <c r="AS514">
        <f ca="1">IF(AND(ISNUMBER($AS$1174),$B$677=1),$AS$1174,HLOOKUP(INDIRECT(ADDRESS(2,COLUMN())),OFFSET($BN$2,0,0,ROW()-1,60),ROW()-1,FALSE))</f>
        <v>1.1428571970000001</v>
      </c>
      <c r="AT514">
        <f ca="1">IF(AND(ISNUMBER($AT$1174),$B$677=1),$AT$1174,HLOOKUP(INDIRECT(ADDRESS(2,COLUMN())),OFFSET($BN$2,0,0,ROW()-1,60),ROW()-1,FALSE))</f>
        <v>1.9117647449999999</v>
      </c>
      <c r="AU514">
        <f ca="1">IF(AND(ISNUMBER($AU$1174),$B$677=1),$AU$1174,HLOOKUP(INDIRECT(ADDRESS(2,COLUMN())),OFFSET($BN$2,0,0,ROW()-1,60),ROW()-1,FALSE))</f>
        <v>2.063492106</v>
      </c>
      <c r="AV514">
        <f ca="1">IF(AND(ISNUMBER($AV$1174),$B$677=1),$AV$1174,HLOOKUP(INDIRECT(ADDRESS(2,COLUMN())),OFFSET($BN$2,0,0,ROW()-1,60),ROW()-1,FALSE))</f>
        <v>2.2033898760000001</v>
      </c>
      <c r="AW514">
        <f ca="1">IF(AND(ISNUMBER($AW$1174),$B$677=1),$AW$1174,HLOOKUP(INDIRECT(ADDRESS(2,COLUMN())),OFFSET($BN$2,0,0,ROW()-1,60),ROW()-1,FALSE))</f>
        <v>1.460674187</v>
      </c>
      <c r="AX514">
        <f ca="1">IF(AND(ISNUMBER($AX$1174),$B$677=1),$AX$1174,HLOOKUP(INDIRECT(ADDRESS(2,COLUMN())),OFFSET($BN$2,0,0,ROW()-1,60),ROW()-1,FALSE))</f>
        <v>1.075268793</v>
      </c>
      <c r="AY514">
        <f ca="1">IF(AND(ISNUMBER($AY$1174),$B$677=1),$AY$1174,HLOOKUP(INDIRECT(ADDRESS(2,COLUMN())),OFFSET($BN$2,0,0,ROW()-1,60),ROW()-1,FALSE))</f>
        <v>1.1363636109999999</v>
      </c>
      <c r="AZ514">
        <f ca="1">IF(AND(ISNUMBER($AZ$1174),$B$677=1),$AZ$1174,HLOOKUP(INDIRECT(ADDRESS(2,COLUMN())),OFFSET($BN$2,0,0,ROW()-1,60),ROW()-1,FALSE))</f>
        <v>1.075268793</v>
      </c>
      <c r="BA514">
        <f ca="1">IF(AND(ISNUMBER($BA$1174),$B$677=1),$BA$1174,HLOOKUP(INDIRECT(ADDRESS(2,COLUMN())),OFFSET($BN$2,0,0,ROW()-1,60),ROW()-1,FALSE))</f>
        <v>0.81967211299999998</v>
      </c>
      <c r="BB514">
        <f ca="1">IF(AND(ISNUMBER($BB$1174),$B$677=1),$BB$1174,HLOOKUP(INDIRECT(ADDRESS(2,COLUMN())),OFFSET($BN$2,0,0,ROW()-1,60),ROW()-1,FALSE))</f>
        <v>0.96153843999999999</v>
      </c>
      <c r="BC514">
        <f ca="1">IF(AND(ISNUMBER($BC$1174),$B$677=1),$BC$1174,HLOOKUP(INDIRECT(ADDRESS(2,COLUMN())),OFFSET($BN$2,0,0,ROW()-1,60),ROW()-1,FALSE))</f>
        <v>1.29870127</v>
      </c>
      <c r="BD514">
        <f ca="1">IF(AND(ISNUMBER($BD$1174),$B$677=1),$BD$1174,HLOOKUP(INDIRECT(ADDRESS(2,COLUMN())),OFFSET($BN$2,0,0,ROW()-1,60),ROW()-1,FALSE))</f>
        <v>1.0869564970000001</v>
      </c>
      <c r="BE514">
        <f ca="1">IF(AND(ISNUMBER($BE$1174),$B$677=1),$BE$1174,HLOOKUP(INDIRECT(ADDRESS(2,COLUMN())),OFFSET($BN$2,0,0,ROW()-1,60),ROW()-1,FALSE))</f>
        <v>1.0309278120000001</v>
      </c>
      <c r="BF514">
        <f ca="1">IF(AND(ISNUMBER($BF$1174),$B$677=1),$BF$1174,HLOOKUP(INDIRECT(ADDRESS(2,COLUMN())),OFFSET($BN$2,0,0,ROW()-1,60),ROW()-1,FALSE))</f>
        <v>1.29870127</v>
      </c>
      <c r="BG514">
        <f ca="1">IF(AND(ISNUMBER($BG$1174),$B$677=1),$BG$1174,HLOOKUP(INDIRECT(ADDRESS(2,COLUMN())),OFFSET($BN$2,0,0,ROW()-1,60),ROW()-1,FALSE))</f>
        <v>3.0769230080000001</v>
      </c>
      <c r="BH514">
        <f ca="1">IF(AND(ISNUMBER($BH$1174),$B$677=1),$BH$1174,HLOOKUP(INDIRECT(ADDRESS(2,COLUMN())),OFFSET($BN$2,0,0,ROW()-1,60),ROW()-1,FALSE))</f>
        <v>2.298850523</v>
      </c>
      <c r="BI514">
        <f ca="1">IF(AND(ISNUMBER($BI$1174),$B$677=1),$BI$1174,HLOOKUP(INDIRECT(ADDRESS(2,COLUMN())),OFFSET($BN$2,0,0,ROW()-1,60),ROW()-1,FALSE))</f>
        <v>1.9999999550000001</v>
      </c>
      <c r="BJ514" t="str">
        <f ca="1">IF(AND(ISNUMBER($BJ$1174),$B$677=1),$BJ$1174,HLOOKUP(INDIRECT(ADDRESS(2,COLUMN())),OFFSET($BN$2,0,0,ROW()-1,60),ROW()-1,FALSE))</f>
        <v/>
      </c>
      <c r="BK514" t="str">
        <f ca="1">IF(AND(ISNUMBER($BK$1174),$B$677=1),$BK$1174,HLOOKUP(INDIRECT(ADDRESS(2,COLUMN())),OFFSET($BN$2,0,0,ROW()-1,60),ROW()-1,FALSE))</f>
        <v/>
      </c>
      <c r="BL514" t="str">
        <f ca="1">IF(AND(ISNUMBER($BL$1174),$B$677=1),$BL$1174,HLOOKUP(INDIRECT(ADDRESS(2,COLUMN())),OFFSET($BN$2,0,0,ROW()-1,60),ROW()-1,FALSE))</f>
        <v/>
      </c>
      <c r="BM514" t="str">
        <f ca="1">IF(AND(ISNUMBER($BM$1174),$B$677=1),$BM$1174,HLOOKUP(INDIRECT(ADDRESS(2,COLUMN())),OFFSET($BN$2,0,0,ROW()-1,60),ROW()-1,FALSE))</f>
        <v/>
      </c>
      <c r="BN514">
        <f>1.878238288</f>
        <v>1.8782382879999999</v>
      </c>
      <c r="BO514">
        <f>2.101449215</f>
        <v>2.1014492150000001</v>
      </c>
      <c r="BP514">
        <f>1.858974305</f>
        <v>1.858974305</v>
      </c>
      <c r="BQ514">
        <f>1.425061384</f>
        <v>1.4250613839999999</v>
      </c>
      <c r="BR514">
        <f>1.283185804</f>
        <v>1.2831858039999999</v>
      </c>
      <c r="BS514">
        <f>0.442804418</f>
        <v>0.44280441799999998</v>
      </c>
      <c r="BT514">
        <f>0.545454533</f>
        <v>0.54545453300000002</v>
      </c>
      <c r="BU514">
        <f>0.712589058</f>
        <v>0.71258905800000005</v>
      </c>
      <c r="BV514">
        <f>1.008403339</f>
        <v>1.008403339</v>
      </c>
      <c r="BW514">
        <f>0.512820496</f>
        <v>0.51282049600000001</v>
      </c>
      <c r="BX514">
        <f>0.54913293</f>
        <v>0.54913292999999996</v>
      </c>
      <c r="BY514">
        <f>0.906921212</f>
        <v>0.90692121199999998</v>
      </c>
      <c r="BZ514">
        <f>0.989583302</f>
        <v>0.989583302</v>
      </c>
      <c r="CA514">
        <f>0.605326886</f>
        <v>0.60532688599999995</v>
      </c>
      <c r="CB514">
        <f>0.677506785</f>
        <v>0.67750678499999994</v>
      </c>
      <c r="CC514">
        <f>0.603864743</f>
        <v>0.60386474300000004</v>
      </c>
      <c r="CD514">
        <f>0.626566425</f>
        <v>0.62656642500000004</v>
      </c>
      <c r="CE514">
        <f>1.862348182</f>
        <v>1.8623481820000001</v>
      </c>
      <c r="CF514">
        <f>1.415384618</f>
        <v>1.415384618</v>
      </c>
      <c r="CG514">
        <f>1.684981688</f>
        <v>1.6849816879999999</v>
      </c>
      <c r="CH514">
        <f>1.508196724</f>
        <v>1.508196724</v>
      </c>
      <c r="CI514">
        <f>1.040000021</f>
        <v>1.040000021</v>
      </c>
      <c r="CJ514">
        <f>0.977443629</f>
        <v>0.97744362900000004</v>
      </c>
      <c r="CK514">
        <f>1.16071431</f>
        <v>1.1607143099999999</v>
      </c>
      <c r="CL514">
        <f>1.03448278</f>
        <v>1.03448278</v>
      </c>
      <c r="CM514">
        <f>0.762942803</f>
        <v>0.76294280299999995</v>
      </c>
      <c r="CN514">
        <f>0.952380982</f>
        <v>0.95238098199999999</v>
      </c>
      <c r="CO514">
        <f>1.037037069</f>
        <v>1.0370370689999999</v>
      </c>
      <c r="CP514">
        <f>0.92105266</f>
        <v>0.92105265999999997</v>
      </c>
      <c r="CQ514">
        <f>1.529411796</f>
        <v>1.529411796</v>
      </c>
      <c r="CR514">
        <f>1.485714316</f>
        <v>1.4857143159999999</v>
      </c>
      <c r="CS514">
        <f>0.855263176</f>
        <v>0.85526317600000001</v>
      </c>
      <c r="CT514">
        <f>0.899653998</f>
        <v>0.89965399800000001</v>
      </c>
      <c r="CU514">
        <f>0.67647059</f>
        <v>0.67647058999999998</v>
      </c>
      <c r="CV514">
        <f>0.597402599</f>
        <v>0.59740259900000003</v>
      </c>
      <c r="CW514">
        <f>0.958333335</f>
        <v>0.95833333499999995</v>
      </c>
      <c r="CX514">
        <f>0.389294422</f>
        <v>0.38929442199999997</v>
      </c>
      <c r="CY514">
        <f>0.374707278</f>
        <v>0.37470727799999998</v>
      </c>
      <c r="CZ514">
        <f>0.758293875</f>
        <v>0.75829387500000001</v>
      </c>
      <c r="DA514">
        <f>1.142857197</f>
        <v>1.1428571970000001</v>
      </c>
      <c r="DB514">
        <f>1.911764745</f>
        <v>1.9117647449999999</v>
      </c>
      <c r="DC514">
        <f>2.063492106</f>
        <v>2.063492106</v>
      </c>
      <c r="DD514">
        <f>2.203389876</f>
        <v>2.2033898760000001</v>
      </c>
      <c r="DE514">
        <f>1.460674187</f>
        <v>1.460674187</v>
      </c>
      <c r="DF514">
        <f>1.075268793</f>
        <v>1.075268793</v>
      </c>
      <c r="DG514">
        <f>1.136363611</f>
        <v>1.1363636109999999</v>
      </c>
      <c r="DH514">
        <f>1.075268793</f>
        <v>1.075268793</v>
      </c>
      <c r="DI514">
        <f>0.819672113</f>
        <v>0.81967211299999998</v>
      </c>
      <c r="DJ514">
        <f>0.96153844</f>
        <v>0.96153843999999999</v>
      </c>
      <c r="DK514">
        <f>1.29870127</f>
        <v>1.29870127</v>
      </c>
      <c r="DL514">
        <f>1.086956497</f>
        <v>1.0869564970000001</v>
      </c>
      <c r="DM514">
        <f>1.030927812</f>
        <v>1.0309278120000001</v>
      </c>
      <c r="DN514">
        <f>1.29870127</f>
        <v>1.29870127</v>
      </c>
      <c r="DO514">
        <f>3.076923008</f>
        <v>3.0769230080000001</v>
      </c>
      <c r="DP514">
        <f>2.298850523</f>
        <v>2.298850523</v>
      </c>
      <c r="DQ514">
        <f>1.999999955</f>
        <v>1.9999999550000001</v>
      </c>
      <c r="DR514" t="str">
        <f>""</f>
        <v/>
      </c>
      <c r="DS514" t="str">
        <f>""</f>
        <v/>
      </c>
      <c r="DT514" t="str">
        <f>""</f>
        <v/>
      </c>
      <c r="DU514" t="str">
        <f>""</f>
        <v/>
      </c>
    </row>
    <row r="515" spans="1:125" x14ac:dyDescent="0.25">
      <c r="A515" t="str">
        <f>"    General Motors Co"</f>
        <v xml:space="preserve">    General Motors Co</v>
      </c>
      <c r="B515" t="str">
        <f>"GM US Equity"</f>
        <v>GM US Equity</v>
      </c>
      <c r="C515" t="str">
        <f t="shared" si="36"/>
        <v>DV013</v>
      </c>
      <c r="D515" t="str">
        <f t="shared" si="37"/>
        <v>EQY_DVD_YLD_IND</v>
      </c>
      <c r="E515" t="str">
        <f t="shared" si="38"/>
        <v>Dynamic</v>
      </c>
      <c r="F515">
        <f ca="1">IF(AND(ISNUMBER($F$1175),$B$677=1),$F$1175,HLOOKUP(INDIRECT(ADDRESS(2,COLUMN())),OFFSET($BN$2,0,0,ROW()-1,60),ROW()-1,FALSE))</f>
        <v>3.8701462050000002</v>
      </c>
      <c r="G515">
        <f ca="1">IF(AND(ISNUMBER($G$1175),$B$677=1),$G$1175,HLOOKUP(INDIRECT(ADDRESS(2,COLUMN())),OFFSET($BN$2,0,0,ROW()-1,60),ROW()-1,FALSE))</f>
        <v>4.5440956080000001</v>
      </c>
      <c r="H515">
        <f ca="1">IF(AND(ISNUMBER($H$1175),$B$677=1),$H$1175,HLOOKUP(INDIRECT(ADDRESS(2,COLUMN())),OFFSET($BN$2,0,0,ROW()-1,60),ROW()-1,FALSE))</f>
        <v>4.5144044579999996</v>
      </c>
      <c r="I515">
        <f ca="1">IF(AND(ISNUMBER($I$1175),$B$677=1),$I$1175,HLOOKUP(INDIRECT(ADDRESS(2,COLUMN())),OFFSET($BN$2,0,0,ROW()-1,60),ROW()-1,FALSE))</f>
        <v>3.8578679720000002</v>
      </c>
      <c r="J515">
        <f ca="1">IF(AND(ISNUMBER($J$1175),$B$677=1),$J$1175,HLOOKUP(INDIRECT(ADDRESS(2,COLUMN())),OFFSET($BN$2,0,0,ROW()-1,60),ROW()-1,FALSE))</f>
        <v>4.182718715</v>
      </c>
      <c r="K515">
        <f ca="1">IF(AND(ISNUMBER($K$1175),$B$677=1),$K$1175,HLOOKUP(INDIRECT(ADDRESS(2,COLUMN())),OFFSET($BN$2,0,0,ROW()-1,60),ROW()-1,FALSE))</f>
        <v>3.7082214709999999</v>
      </c>
      <c r="L515">
        <f ca="1">IF(AND(ISNUMBER($L$1175),$B$677=1),$L$1175,HLOOKUP(INDIRECT(ADDRESS(2,COLUMN())),OFFSET($BN$2,0,0,ROW()-1,60),ROW()-1,FALSE))</f>
        <v>3.7642396749999998</v>
      </c>
      <c r="M515">
        <f ca="1">IF(AND(ISNUMBER($M$1175),$B$677=1),$M$1175,HLOOKUP(INDIRECT(ADDRESS(2,COLUMN())),OFFSET($BN$2,0,0,ROW()-1,60),ROW()-1,FALSE))</f>
        <v>4.3515602089999996</v>
      </c>
      <c r="N515">
        <f ca="1">IF(AND(ISNUMBER($N$1175),$B$677=1),$N$1175,HLOOKUP(INDIRECT(ADDRESS(2,COLUMN())),OFFSET($BN$2,0,0,ROW()-1,60),ROW()-1,FALSE))</f>
        <v>4.2986424799999998</v>
      </c>
      <c r="O515">
        <f ca="1">IF(AND(ISNUMBER($O$1175),$B$677=1),$O$1175,HLOOKUP(INDIRECT(ADDRESS(2,COLUMN())),OFFSET($BN$2,0,0,ROW()-1,60),ROW()-1,FALSE))</f>
        <v>4.3628013230000002</v>
      </c>
      <c r="P515">
        <f ca="1">IF(AND(ISNUMBER($P$1175),$B$677=1),$P$1175,HLOOKUP(INDIRECT(ADDRESS(2,COLUMN())),OFFSET($BN$2,0,0,ROW()-1,60),ROW()-1,FALSE))</f>
        <v>4.7843877270000004</v>
      </c>
      <c r="Q515">
        <f ca="1">IF(AND(ISNUMBER($Q$1175),$B$677=1),$Q$1175,HLOOKUP(INDIRECT(ADDRESS(2,COLUMN())),OFFSET($BN$2,0,0,ROW()-1,60),ROW()-1,FALSE))</f>
        <v>5.3710246679999996</v>
      </c>
      <c r="R515">
        <f ca="1">IF(AND(ISNUMBER($R$1175),$B$677=1),$R$1175,HLOOKUP(INDIRECT(ADDRESS(2,COLUMN())),OFFSET($BN$2,0,0,ROW()-1,60),ROW()-1,FALSE))</f>
        <v>4.8361437509999998</v>
      </c>
      <c r="S515">
        <f ca="1">IF(AND(ISNUMBER($S$1175),$B$677=1),$S$1175,HLOOKUP(INDIRECT(ADDRESS(2,COLUMN())),OFFSET($BN$2,0,0,ROW()-1,60),ROW()-1,FALSE))</f>
        <v>4.2340489769999996</v>
      </c>
      <c r="T515">
        <f ca="1">IF(AND(ISNUMBER($T$1175),$B$677=1),$T$1175,HLOOKUP(INDIRECT(ADDRESS(2,COLUMN())),OFFSET($BN$2,0,0,ROW()-1,60),ROW()-1,FALSE))</f>
        <v>4.7968023229999996</v>
      </c>
      <c r="U515">
        <f ca="1">IF(AND(ISNUMBER($U$1175),$B$677=1),$U$1175,HLOOKUP(INDIRECT(ADDRESS(2,COLUMN())),OFFSET($BN$2,0,0,ROW()-1,60),ROW()-1,FALSE))</f>
        <v>4.3204322150000003</v>
      </c>
      <c r="V515">
        <f ca="1">IF(AND(ISNUMBER($V$1175),$B$677=1),$V$1175,HLOOKUP(INDIRECT(ADDRESS(2,COLUMN())),OFFSET($BN$2,0,0,ROW()-1,60),ROW()-1,FALSE))</f>
        <v>3.200000127</v>
      </c>
      <c r="W515">
        <f ca="1">IF(AND(ISNUMBER($W$1175),$B$677=1),$W$1175,HLOOKUP(INDIRECT(ADDRESS(2,COLUMN())),OFFSET($BN$2,0,0,ROW()-1,60),ROW()-1,FALSE))</f>
        <v>3.4374106210000002</v>
      </c>
      <c r="X515">
        <f ca="1">IF(AND(ISNUMBER($X$1175),$B$677=1),$X$1175,HLOOKUP(INDIRECT(ADDRESS(2,COLUMN())),OFFSET($BN$2,0,0,ROW()-1,60),ROW()-1,FALSE))</f>
        <v>3.7570446080000002</v>
      </c>
      <c r="Y515">
        <f ca="1">IF(AND(ISNUMBER($Y$1175),$B$677=1),$Y$1175,HLOOKUP(INDIRECT(ADDRESS(2,COLUMN())),OFFSET($BN$2,0,0,ROW()-1,60),ROW()-1,FALSE))</f>
        <v>3.305785255</v>
      </c>
      <c r="Z515">
        <f ca="1">IF(AND(ISNUMBER($Z$1175),$B$677=1),$Z$1175,HLOOKUP(INDIRECT(ADDRESS(2,COLUMN())),OFFSET($BN$2,0,0,ROW()-1,60),ROW()-1,FALSE))</f>
        <v>3.4863452869999998</v>
      </c>
      <c r="AA515" t="str">
        <f ca="1">IF(AND(ISNUMBER($AA$1175),$B$677=1),$AA$1175,HLOOKUP(INDIRECT(ADDRESS(2,COLUMN())),OFFSET($BN$2,0,0,ROW()-1,60),ROW()-1,FALSE))</f>
        <v/>
      </c>
      <c r="AB515" t="str">
        <f ca="1">IF(AND(ISNUMBER($AB$1175),$B$677=1),$AB$1175,HLOOKUP(INDIRECT(ADDRESS(2,COLUMN())),OFFSET($BN$2,0,0,ROW()-1,60),ROW()-1,FALSE))</f>
        <v/>
      </c>
      <c r="AC515" t="str">
        <f ca="1">IF(AND(ISNUMBER($AC$1175),$B$677=1),$AC$1175,HLOOKUP(INDIRECT(ADDRESS(2,COLUMN())),OFFSET($BN$2,0,0,ROW()-1,60),ROW()-1,FALSE))</f>
        <v/>
      </c>
      <c r="AD515" t="str">
        <f ca="1">IF(AND(ISNUMBER($AD$1175),$B$677=1),$AD$1175,HLOOKUP(INDIRECT(ADDRESS(2,COLUMN())),OFFSET($BN$2,0,0,ROW()-1,60),ROW()-1,FALSE))</f>
        <v/>
      </c>
      <c r="AE515" t="str">
        <f ca="1">IF(AND(ISNUMBER($AE$1175),$B$677=1),$AE$1175,HLOOKUP(INDIRECT(ADDRESS(2,COLUMN())),OFFSET($BN$2,0,0,ROW()-1,60),ROW()-1,FALSE))</f>
        <v/>
      </c>
      <c r="AF515" t="str">
        <f ca="1">IF(AND(ISNUMBER($AF$1175),$B$677=1),$AF$1175,HLOOKUP(INDIRECT(ADDRESS(2,COLUMN())),OFFSET($BN$2,0,0,ROW()-1,60),ROW()-1,FALSE))</f>
        <v/>
      </c>
      <c r="AG515" t="str">
        <f ca="1">IF(AND(ISNUMBER($AG$1175),$B$677=1),$AG$1175,HLOOKUP(INDIRECT(ADDRESS(2,COLUMN())),OFFSET($BN$2,0,0,ROW()-1,60),ROW()-1,FALSE))</f>
        <v/>
      </c>
      <c r="AH515" t="str">
        <f ca="1">IF(AND(ISNUMBER($AH$1175),$B$677=1),$AH$1175,HLOOKUP(INDIRECT(ADDRESS(2,COLUMN())),OFFSET($BN$2,0,0,ROW()-1,60),ROW()-1,FALSE))</f>
        <v/>
      </c>
      <c r="AI515" t="str">
        <f ca="1">IF(AND(ISNUMBER($AI$1175),$B$677=1),$AI$1175,HLOOKUP(INDIRECT(ADDRESS(2,COLUMN())),OFFSET($BN$2,0,0,ROW()-1,60),ROW()-1,FALSE))</f>
        <v/>
      </c>
      <c r="AJ515" t="str">
        <f ca="1">IF(AND(ISNUMBER($AJ$1175),$B$677=1),$AJ$1175,HLOOKUP(INDIRECT(ADDRESS(2,COLUMN())),OFFSET($BN$2,0,0,ROW()-1,60),ROW()-1,FALSE))</f>
        <v/>
      </c>
      <c r="AK515" t="str">
        <f ca="1">IF(AND(ISNUMBER($AK$1175),$B$677=1),$AK$1175,HLOOKUP(INDIRECT(ADDRESS(2,COLUMN())),OFFSET($BN$2,0,0,ROW()-1,60),ROW()-1,FALSE))</f>
        <v/>
      </c>
      <c r="AL515" t="str">
        <f ca="1">IF(AND(ISNUMBER($AL$1175),$B$677=1),$AL$1175,HLOOKUP(INDIRECT(ADDRESS(2,COLUMN())),OFFSET($BN$2,0,0,ROW()-1,60),ROW()-1,FALSE))</f>
        <v/>
      </c>
      <c r="AM515" t="str">
        <f ca="1">IF(AND(ISNUMBER($AM$1175),$B$677=1),$AM$1175,HLOOKUP(INDIRECT(ADDRESS(2,COLUMN())),OFFSET($BN$2,0,0,ROW()-1,60),ROW()-1,FALSE))</f>
        <v/>
      </c>
      <c r="AN515" t="str">
        <f ca="1">IF(AND(ISNUMBER($AN$1175),$B$677=1),$AN$1175,HLOOKUP(INDIRECT(ADDRESS(2,COLUMN())),OFFSET($BN$2,0,0,ROW()-1,60),ROW()-1,FALSE))</f>
        <v/>
      </c>
      <c r="AO515" t="str">
        <f ca="1">IF(AND(ISNUMBER($AO$1175),$B$677=1),$AO$1175,HLOOKUP(INDIRECT(ADDRESS(2,COLUMN())),OFFSET($BN$2,0,0,ROW()-1,60),ROW()-1,FALSE))</f>
        <v/>
      </c>
      <c r="AP515" t="str">
        <f ca="1">IF(AND(ISNUMBER($AP$1175),$B$677=1),$AP$1175,HLOOKUP(INDIRECT(ADDRESS(2,COLUMN())),OFFSET($BN$2,0,0,ROW()-1,60),ROW()-1,FALSE))</f>
        <v/>
      </c>
      <c r="AQ515" t="str">
        <f ca="1">IF(AND(ISNUMBER($AQ$1175),$B$677=1),$AQ$1175,HLOOKUP(INDIRECT(ADDRESS(2,COLUMN())),OFFSET($BN$2,0,0,ROW()-1,60),ROW()-1,FALSE))</f>
        <v/>
      </c>
      <c r="AR515" t="str">
        <f ca="1">IF(AND(ISNUMBER($AR$1175),$B$677=1),$AR$1175,HLOOKUP(INDIRECT(ADDRESS(2,COLUMN())),OFFSET($BN$2,0,0,ROW()-1,60),ROW()-1,FALSE))</f>
        <v/>
      </c>
      <c r="AS515" t="str">
        <f ca="1">IF(AND(ISNUMBER($AS$1175),$B$677=1),$AS$1175,HLOOKUP(INDIRECT(ADDRESS(2,COLUMN())),OFFSET($BN$2,0,0,ROW()-1,60),ROW()-1,FALSE))</f>
        <v/>
      </c>
      <c r="AT515" t="str">
        <f ca="1">IF(AND(ISNUMBER($AT$1175),$B$677=1),$AT$1175,HLOOKUP(INDIRECT(ADDRESS(2,COLUMN())),OFFSET($BN$2,0,0,ROW()-1,60),ROW()-1,FALSE))</f>
        <v/>
      </c>
      <c r="AU515" t="str">
        <f ca="1">IF(AND(ISNUMBER($AU$1175),$B$677=1),$AU$1175,HLOOKUP(INDIRECT(ADDRESS(2,COLUMN())),OFFSET($BN$2,0,0,ROW()-1,60),ROW()-1,FALSE))</f>
        <v/>
      </c>
      <c r="AV515" t="str">
        <f ca="1">IF(AND(ISNUMBER($AV$1175),$B$677=1),$AV$1175,HLOOKUP(INDIRECT(ADDRESS(2,COLUMN())),OFFSET($BN$2,0,0,ROW()-1,60),ROW()-1,FALSE))</f>
        <v/>
      </c>
      <c r="AW515" t="str">
        <f ca="1">IF(AND(ISNUMBER($AW$1175),$B$677=1),$AW$1175,HLOOKUP(INDIRECT(ADDRESS(2,COLUMN())),OFFSET($BN$2,0,0,ROW()-1,60),ROW()-1,FALSE))</f>
        <v/>
      </c>
      <c r="AX515" t="str">
        <f ca="1">IF(AND(ISNUMBER($AX$1175),$B$677=1),$AX$1175,HLOOKUP(INDIRECT(ADDRESS(2,COLUMN())),OFFSET($BN$2,0,0,ROW()-1,60),ROW()-1,FALSE))</f>
        <v/>
      </c>
      <c r="AY515" t="str">
        <f ca="1">IF(AND(ISNUMBER($AY$1175),$B$677=1),$AY$1175,HLOOKUP(INDIRECT(ADDRESS(2,COLUMN())),OFFSET($BN$2,0,0,ROW()-1,60),ROW()-1,FALSE))</f>
        <v/>
      </c>
      <c r="AZ515" t="str">
        <f ca="1">IF(AND(ISNUMBER($AZ$1175),$B$677=1),$AZ$1175,HLOOKUP(INDIRECT(ADDRESS(2,COLUMN())),OFFSET($BN$2,0,0,ROW()-1,60),ROW()-1,FALSE))</f>
        <v/>
      </c>
      <c r="BA515" t="str">
        <f ca="1">IF(AND(ISNUMBER($BA$1175),$B$677=1),$BA$1175,HLOOKUP(INDIRECT(ADDRESS(2,COLUMN())),OFFSET($BN$2,0,0,ROW()-1,60),ROW()-1,FALSE))</f>
        <v/>
      </c>
      <c r="BB515" t="str">
        <f ca="1">IF(AND(ISNUMBER($BB$1175),$B$677=1),$BB$1175,HLOOKUP(INDIRECT(ADDRESS(2,COLUMN())),OFFSET($BN$2,0,0,ROW()-1,60),ROW()-1,FALSE))</f>
        <v/>
      </c>
      <c r="BC515" t="str">
        <f ca="1">IF(AND(ISNUMBER($BC$1175),$B$677=1),$BC$1175,HLOOKUP(INDIRECT(ADDRESS(2,COLUMN())),OFFSET($BN$2,0,0,ROW()-1,60),ROW()-1,FALSE))</f>
        <v/>
      </c>
      <c r="BD515" t="str">
        <f ca="1">IF(AND(ISNUMBER($BD$1175),$B$677=1),$BD$1175,HLOOKUP(INDIRECT(ADDRESS(2,COLUMN())),OFFSET($BN$2,0,0,ROW()-1,60),ROW()-1,FALSE))</f>
        <v/>
      </c>
      <c r="BE515" t="str">
        <f ca="1">IF(AND(ISNUMBER($BE$1175),$B$677=1),$BE$1175,HLOOKUP(INDIRECT(ADDRESS(2,COLUMN())),OFFSET($BN$2,0,0,ROW()-1,60),ROW()-1,FALSE))</f>
        <v/>
      </c>
      <c r="BF515" t="str">
        <f ca="1">IF(AND(ISNUMBER($BF$1175),$B$677=1),$BF$1175,HLOOKUP(INDIRECT(ADDRESS(2,COLUMN())),OFFSET($BN$2,0,0,ROW()-1,60),ROW()-1,FALSE))</f>
        <v/>
      </c>
      <c r="BG515" t="str">
        <f ca="1">IF(AND(ISNUMBER($BG$1175),$B$677=1),$BG$1175,HLOOKUP(INDIRECT(ADDRESS(2,COLUMN())),OFFSET($BN$2,0,0,ROW()-1,60),ROW()-1,FALSE))</f>
        <v/>
      </c>
      <c r="BH515" t="str">
        <f ca="1">IF(AND(ISNUMBER($BH$1175),$B$677=1),$BH$1175,HLOOKUP(INDIRECT(ADDRESS(2,COLUMN())),OFFSET($BN$2,0,0,ROW()-1,60),ROW()-1,FALSE))</f>
        <v/>
      </c>
      <c r="BI515" t="str">
        <f ca="1">IF(AND(ISNUMBER($BI$1175),$B$677=1),$BI$1175,HLOOKUP(INDIRECT(ADDRESS(2,COLUMN())),OFFSET($BN$2,0,0,ROW()-1,60),ROW()-1,FALSE))</f>
        <v/>
      </c>
      <c r="BJ515" t="str">
        <f ca="1">IF(AND(ISNUMBER($BJ$1175),$B$677=1),$BJ$1175,HLOOKUP(INDIRECT(ADDRESS(2,COLUMN())),OFFSET($BN$2,0,0,ROW()-1,60),ROW()-1,FALSE))</f>
        <v/>
      </c>
      <c r="BK515" t="str">
        <f ca="1">IF(AND(ISNUMBER($BK$1175),$B$677=1),$BK$1175,HLOOKUP(INDIRECT(ADDRESS(2,COLUMN())),OFFSET($BN$2,0,0,ROW()-1,60),ROW()-1,FALSE))</f>
        <v/>
      </c>
      <c r="BL515" t="str">
        <f ca="1">IF(AND(ISNUMBER($BL$1175),$B$677=1),$BL$1175,HLOOKUP(INDIRECT(ADDRESS(2,COLUMN())),OFFSET($BN$2,0,0,ROW()-1,60),ROW()-1,FALSE))</f>
        <v/>
      </c>
      <c r="BM515" t="str">
        <f ca="1">IF(AND(ISNUMBER($BM$1175),$B$677=1),$BM$1175,HLOOKUP(INDIRECT(ADDRESS(2,COLUMN())),OFFSET($BN$2,0,0,ROW()-1,60),ROW()-1,FALSE))</f>
        <v/>
      </c>
      <c r="BN515">
        <f>3.870146205</f>
        <v>3.8701462050000002</v>
      </c>
      <c r="BO515">
        <f>4.544095608</f>
        <v>4.5440956080000001</v>
      </c>
      <c r="BP515">
        <f>4.514404458</f>
        <v>4.5144044579999996</v>
      </c>
      <c r="BQ515">
        <f>3.857867972</f>
        <v>3.8578679720000002</v>
      </c>
      <c r="BR515">
        <f>4.182718715</f>
        <v>4.182718715</v>
      </c>
      <c r="BS515">
        <f>3.708221471</f>
        <v>3.7082214709999999</v>
      </c>
      <c r="BT515">
        <f>3.764239675</f>
        <v>3.7642396749999998</v>
      </c>
      <c r="BU515">
        <f>4.351560209</f>
        <v>4.3515602089999996</v>
      </c>
      <c r="BV515">
        <f>4.29864248</f>
        <v>4.2986424799999998</v>
      </c>
      <c r="BW515">
        <f>4.362801323</f>
        <v>4.3628013230000002</v>
      </c>
      <c r="BX515">
        <f>4.784387727</f>
        <v>4.7843877270000004</v>
      </c>
      <c r="BY515">
        <f>5.371024668</f>
        <v>5.3710246679999996</v>
      </c>
      <c r="BZ515">
        <f>4.836143751</f>
        <v>4.8361437509999998</v>
      </c>
      <c r="CA515">
        <f>4.234048977</f>
        <v>4.2340489769999996</v>
      </c>
      <c r="CB515">
        <f>4.796802323</f>
        <v>4.7968023229999996</v>
      </c>
      <c r="CC515">
        <f>4.320432215</f>
        <v>4.3204322150000003</v>
      </c>
      <c r="CD515">
        <f>3.200000127</f>
        <v>3.200000127</v>
      </c>
      <c r="CE515">
        <f>3.437410621</f>
        <v>3.4374106210000002</v>
      </c>
      <c r="CF515">
        <f>3.757044608</f>
        <v>3.7570446080000002</v>
      </c>
      <c r="CG515">
        <f>3.305785255</f>
        <v>3.305785255</v>
      </c>
      <c r="CH515">
        <f>3.486345287</f>
        <v>3.4863452869999998</v>
      </c>
      <c r="CI515" t="str">
        <f>""</f>
        <v/>
      </c>
      <c r="CJ515" t="str">
        <f>""</f>
        <v/>
      </c>
      <c r="CK515" t="str">
        <f>""</f>
        <v/>
      </c>
      <c r="CL515" t="str">
        <f>""</f>
        <v/>
      </c>
      <c r="CM515" t="str">
        <f>""</f>
        <v/>
      </c>
      <c r="CN515" t="str">
        <f>""</f>
        <v/>
      </c>
      <c r="CO515" t="str">
        <f>""</f>
        <v/>
      </c>
      <c r="CP515" t="str">
        <f>""</f>
        <v/>
      </c>
      <c r="CQ515" t="str">
        <f>""</f>
        <v/>
      </c>
      <c r="CR515" t="str">
        <f>""</f>
        <v/>
      </c>
      <c r="CS515" t="str">
        <f>""</f>
        <v/>
      </c>
      <c r="CT515" t="str">
        <f>""</f>
        <v/>
      </c>
      <c r="CU515" t="str">
        <f>""</f>
        <v/>
      </c>
      <c r="CV515" t="str">
        <f>""</f>
        <v/>
      </c>
      <c r="CW515" t="str">
        <f>""</f>
        <v/>
      </c>
      <c r="CX515" t="str">
        <f>""</f>
        <v/>
      </c>
      <c r="CY515" t="str">
        <f>""</f>
        <v/>
      </c>
      <c r="CZ515" t="str">
        <f>""</f>
        <v/>
      </c>
      <c r="DA515" t="str">
        <f>""</f>
        <v/>
      </c>
      <c r="DB515" t="str">
        <f>""</f>
        <v/>
      </c>
      <c r="DC515" t="str">
        <f>""</f>
        <v/>
      </c>
      <c r="DD515" t="str">
        <f>""</f>
        <v/>
      </c>
      <c r="DE515" t="str">
        <f>""</f>
        <v/>
      </c>
      <c r="DF515" t="str">
        <f>""</f>
        <v/>
      </c>
      <c r="DG515" t="str">
        <f>""</f>
        <v/>
      </c>
      <c r="DH515" t="str">
        <f>""</f>
        <v/>
      </c>
      <c r="DI515" t="str">
        <f>""</f>
        <v/>
      </c>
      <c r="DJ515" t="str">
        <f>""</f>
        <v/>
      </c>
      <c r="DK515" t="str">
        <f>""</f>
        <v/>
      </c>
      <c r="DL515" t="str">
        <f>""</f>
        <v/>
      </c>
      <c r="DM515" t="str">
        <f>""</f>
        <v/>
      </c>
      <c r="DN515" t="str">
        <f>""</f>
        <v/>
      </c>
      <c r="DO515" t="str">
        <f>""</f>
        <v/>
      </c>
      <c r="DP515" t="str">
        <f>""</f>
        <v/>
      </c>
      <c r="DQ515" t="str">
        <f>""</f>
        <v/>
      </c>
      <c r="DR515" t="str">
        <f>""</f>
        <v/>
      </c>
      <c r="DS515" t="str">
        <f>""</f>
        <v/>
      </c>
      <c r="DT515" t="str">
        <f>""</f>
        <v/>
      </c>
      <c r="DU515" t="str">
        <f>""</f>
        <v/>
      </c>
    </row>
    <row r="516" spans="1:125" x14ac:dyDescent="0.25">
      <c r="A516" t="str">
        <f>"    Great Wall Motor Co Ltd"</f>
        <v xml:space="preserve">    Great Wall Motor Co Ltd</v>
      </c>
      <c r="B516" t="str">
        <f>"2333 HK Equity"</f>
        <v>2333 HK Equity</v>
      </c>
      <c r="C516" t="str">
        <f t="shared" si="36"/>
        <v>DV013</v>
      </c>
      <c r="D516" t="str">
        <f t="shared" si="37"/>
        <v>EQY_DVD_YLD_IND</v>
      </c>
      <c r="E516" t="str">
        <f t="shared" si="38"/>
        <v>Dynamic</v>
      </c>
      <c r="F516">
        <f ca="1">IF(AND(ISNUMBER($F$1176),$B$677=1),$F$1176,HLOOKUP(INDIRECT(ADDRESS(2,COLUMN())),OFFSET($BN$2,0,0,ROW()-1,60),ROW()-1,FALSE))</f>
        <v>3.2047460289999998</v>
      </c>
      <c r="G516">
        <f ca="1">IF(AND(ISNUMBER($G$1176),$B$677=1),$G$1176,HLOOKUP(INDIRECT(ADDRESS(2,COLUMN())),OFFSET($BN$2,0,0,ROW()-1,60),ROW()-1,FALSE))</f>
        <v>4.6679374239999998</v>
      </c>
      <c r="H516">
        <f ca="1">IF(AND(ISNUMBER($H$1176),$B$677=1),$H$1176,HLOOKUP(INDIRECT(ADDRESS(2,COLUMN())),OFFSET($BN$2,0,0,ROW()-1,60),ROW()-1,FALSE))</f>
        <v>4.2002082229999997</v>
      </c>
      <c r="I516">
        <f ca="1">IF(AND(ISNUMBER($I$1176),$B$677=1),$I$1176,HLOOKUP(INDIRECT(ADDRESS(2,COLUMN())),OFFSET($BN$2,0,0,ROW()-1,60),ROW()-1,FALSE))</f>
        <v>3.4931731720000001</v>
      </c>
      <c r="J516">
        <f ca="1">IF(AND(ISNUMBER($J$1176),$B$677=1),$J$1176,HLOOKUP(INDIRECT(ADDRESS(2,COLUMN())),OFFSET($BN$2,0,0,ROW()-1,60),ROW()-1,FALSE))</f>
        <v>2.6631561669999999</v>
      </c>
      <c r="K516">
        <f ca="1">IF(AND(ISNUMBER($K$1176),$B$677=1),$K$1176,HLOOKUP(INDIRECT(ADDRESS(2,COLUMN())),OFFSET($BN$2,0,0,ROW()-1,60),ROW()-1,FALSE))</f>
        <v>4.4322120409999997</v>
      </c>
      <c r="L516">
        <f ca="1">IF(AND(ISNUMBER($L$1176),$B$677=1),$L$1176,HLOOKUP(INDIRECT(ADDRESS(2,COLUMN())),OFFSET($BN$2,0,0,ROW()-1,60),ROW()-1,FALSE))</f>
        <v>4.1321143510000002</v>
      </c>
      <c r="M516">
        <f ca="1">IF(AND(ISNUMBER($M$1176),$B$677=1),$M$1176,HLOOKUP(INDIRECT(ADDRESS(2,COLUMN())),OFFSET($BN$2,0,0,ROW()-1,60),ROW()-1,FALSE))</f>
        <v>4.1149686479999996</v>
      </c>
      <c r="N516">
        <f ca="1">IF(AND(ISNUMBER($N$1176),$B$677=1),$N$1176,HLOOKUP(INDIRECT(ADDRESS(2,COLUMN())),OFFSET($BN$2,0,0,ROW()-1,60),ROW()-1,FALSE))</f>
        <v>4.482293533</v>
      </c>
      <c r="O516" t="str">
        <f ca="1">IF(AND(ISNUMBER($O$1176),$B$677=1),$O$1176,HLOOKUP(INDIRECT(ADDRESS(2,COLUMN())),OFFSET($BN$2,0,0,ROW()-1,60),ROW()-1,FALSE))</f>
        <v/>
      </c>
      <c r="P516">
        <f ca="1">IF(AND(ISNUMBER($P$1176),$B$677=1),$P$1176,HLOOKUP(INDIRECT(ADDRESS(2,COLUMN())),OFFSET($BN$2,0,0,ROW()-1,60),ROW()-1,FALSE))</f>
        <v>3.0490913530000001</v>
      </c>
      <c r="Q516">
        <f ca="1">IF(AND(ISNUMBER($Q$1176),$B$677=1),$Q$1176,HLOOKUP(INDIRECT(ADDRESS(2,COLUMN())),OFFSET($BN$2,0,0,ROW()-1,60),ROW()-1,FALSE))</f>
        <v>3.5050302470000001</v>
      </c>
      <c r="R516">
        <f ca="1">IF(AND(ISNUMBER($R$1176),$B$677=1),$R$1176,HLOOKUP(INDIRECT(ADDRESS(2,COLUMN())),OFFSET($BN$2,0,0,ROW()-1,60),ROW()-1,FALSE))</f>
        <v>3.5717927270000001</v>
      </c>
      <c r="S516">
        <f ca="1">IF(AND(ISNUMBER($S$1176),$B$677=1),$S$1176,HLOOKUP(INDIRECT(ADDRESS(2,COLUMN())),OFFSET($BN$2,0,0,ROW()-1,60),ROW()-1,FALSE))</f>
        <v>1.124956729</v>
      </c>
      <c r="T516">
        <f ca="1">IF(AND(ISNUMBER($T$1176),$B$677=1),$T$1176,HLOOKUP(INDIRECT(ADDRESS(2,COLUMN())),OFFSET($BN$2,0,0,ROW()-1,60),ROW()-1,FALSE))</f>
        <v>1.186724213</v>
      </c>
      <c r="U516">
        <f ca="1">IF(AND(ISNUMBER($U$1176),$B$677=1),$U$1176,HLOOKUP(INDIRECT(ADDRESS(2,COLUMN())),OFFSET($BN$2,0,0,ROW()-1,60),ROW()-1,FALSE))</f>
        <v>2.6313072759999998</v>
      </c>
      <c r="V516">
        <f ca="1">IF(AND(ISNUMBER($V$1176),$B$677=1),$V$1176,HLOOKUP(INDIRECT(ADDRESS(2,COLUMN())),OFFSET($BN$2,0,0,ROW()-1,60),ROW()-1,FALSE))</f>
        <v>1.824629133</v>
      </c>
      <c r="W516">
        <f ca="1">IF(AND(ISNUMBER($W$1176),$B$677=1),$W$1176,HLOOKUP(INDIRECT(ADDRESS(2,COLUMN())),OFFSET($BN$2,0,0,ROW()-1,60),ROW()-1,FALSE))</f>
        <v>2.3150273729999999</v>
      </c>
      <c r="X516">
        <f ca="1">IF(AND(ISNUMBER($X$1176),$B$677=1),$X$1176,HLOOKUP(INDIRECT(ADDRESS(2,COLUMN())),OFFSET($BN$2,0,0,ROW()-1,60),ROW()-1,FALSE))</f>
        <v>3.3861594410000002</v>
      </c>
      <c r="Y516">
        <f ca="1">IF(AND(ISNUMBER($Y$1176),$B$677=1),$Y$1176,HLOOKUP(INDIRECT(ADDRESS(2,COLUMN())),OFFSET($BN$2,0,0,ROW()-1,60),ROW()-1,FALSE))</f>
        <v>3.5448856649999998</v>
      </c>
      <c r="Z516">
        <f ca="1">IF(AND(ISNUMBER($Z$1176),$B$677=1),$Z$1176,HLOOKUP(INDIRECT(ADDRESS(2,COLUMN())),OFFSET($BN$2,0,0,ROW()-1,60),ROW()-1,FALSE))</f>
        <v>2.6244911869999998</v>
      </c>
      <c r="AA516">
        <f ca="1">IF(AND(ISNUMBER($AA$1176),$B$677=1),$AA$1176,HLOOKUP(INDIRECT(ADDRESS(2,COLUMN())),OFFSET($BN$2,0,0,ROW()-1,60),ROW()-1,FALSE))</f>
        <v>1.6827302</v>
      </c>
      <c r="AB516">
        <f ca="1">IF(AND(ISNUMBER($AB$1176),$B$677=1),$AB$1176,HLOOKUP(INDIRECT(ADDRESS(2,COLUMN())),OFFSET($BN$2,0,0,ROW()-1,60),ROW()-1,FALSE))</f>
        <v>1.712743224</v>
      </c>
      <c r="AC516">
        <f ca="1">IF(AND(ISNUMBER($AC$1176),$B$677=1),$AC$1176,HLOOKUP(INDIRECT(ADDRESS(2,COLUMN())),OFFSET($BN$2,0,0,ROW()-1,60),ROW()-1,FALSE))</f>
        <v>2.1530897630000001</v>
      </c>
      <c r="AD516">
        <f ca="1">IF(AND(ISNUMBER($AD$1176),$B$677=1),$AD$1176,HLOOKUP(INDIRECT(ADDRESS(2,COLUMN())),OFFSET($BN$2,0,0,ROW()-1,60),ROW()-1,FALSE))</f>
        <v>2.7384354590000002</v>
      </c>
      <c r="AE516">
        <f ca="1">IF(AND(ISNUMBER($AE$1176),$B$677=1),$AE$1176,HLOOKUP(INDIRECT(ADDRESS(2,COLUMN())),OFFSET($BN$2,0,0,ROW()-1,60),ROW()-1,FALSE))</f>
        <v>1.5094582839999999</v>
      </c>
      <c r="AF516">
        <f ca="1">IF(AND(ISNUMBER($AF$1176),$B$677=1),$AF$1176,HLOOKUP(INDIRECT(ADDRESS(2,COLUMN())),OFFSET($BN$2,0,0,ROW()-1,60),ROW()-1,FALSE))</f>
        <v>1.8047068479999999</v>
      </c>
      <c r="AG516">
        <f ca="1">IF(AND(ISNUMBER($AG$1176),$B$677=1),$AG$1176,HLOOKUP(INDIRECT(ADDRESS(2,COLUMN())),OFFSET($BN$2,0,0,ROW()-1,60),ROW()-1,FALSE))</f>
        <v>2.3996264649999999</v>
      </c>
      <c r="AH516">
        <f ca="1">IF(AND(ISNUMBER($AH$1176),$B$677=1),$AH$1176,HLOOKUP(INDIRECT(ADDRESS(2,COLUMN())),OFFSET($BN$2,0,0,ROW()-1,60),ROW()-1,FALSE))</f>
        <v>2.4441228499999998</v>
      </c>
      <c r="AI516">
        <f ca="1">IF(AND(ISNUMBER($AI$1176),$B$677=1),$AI$1176,HLOOKUP(INDIRECT(ADDRESS(2,COLUMN())),OFFSET($BN$2,0,0,ROW()-1,60),ROW()-1,FALSE))</f>
        <v>2.0960694740000001</v>
      </c>
      <c r="AJ516">
        <f ca="1">IF(AND(ISNUMBER($AJ$1176),$B$677=1),$AJ$1176,HLOOKUP(INDIRECT(ADDRESS(2,COLUMN())),OFFSET($BN$2,0,0,ROW()-1,60),ROW()-1,FALSE))</f>
        <v>2.6351915560000001</v>
      </c>
      <c r="AK516">
        <f ca="1">IF(AND(ISNUMBER($AK$1176),$B$677=1),$AK$1176,HLOOKUP(INDIRECT(ADDRESS(2,COLUMN())),OFFSET($BN$2,0,0,ROW()-1,60),ROW()-1,FALSE))</f>
        <v>1.85698655</v>
      </c>
      <c r="AL516">
        <f ca="1">IF(AND(ISNUMBER($AL$1176),$B$677=1),$AL$1176,HLOOKUP(INDIRECT(ADDRESS(2,COLUMN())),OFFSET($BN$2,0,0,ROW()-1,60),ROW()-1,FALSE))</f>
        <v>1.6529504749999999</v>
      </c>
      <c r="AM516">
        <f ca="1">IF(AND(ISNUMBER($AM$1176),$B$677=1),$AM$1176,HLOOKUP(INDIRECT(ADDRESS(2,COLUMN())),OFFSET($BN$2,0,0,ROW()-1,60),ROW()-1,FALSE))</f>
        <v>1.184319728</v>
      </c>
      <c r="AN516">
        <f ca="1">IF(AND(ISNUMBER($AN$1176),$B$677=1),$AN$1176,HLOOKUP(INDIRECT(ADDRESS(2,COLUMN())),OFFSET($BN$2,0,0,ROW()-1,60),ROW()-1,FALSE))</f>
        <v>1.353508261</v>
      </c>
      <c r="AO516">
        <f ca="1">IF(AND(ISNUMBER($AO$1176),$B$677=1),$AO$1176,HLOOKUP(INDIRECT(ADDRESS(2,COLUMN())),OFFSET($BN$2,0,0,ROW()-1,60),ROW()-1,FALSE))</f>
        <v>2.0899759910000002</v>
      </c>
      <c r="AP516">
        <f ca="1">IF(AND(ISNUMBER($AP$1176),$B$677=1),$AP$1176,HLOOKUP(INDIRECT(ADDRESS(2,COLUMN())),OFFSET($BN$2,0,0,ROW()-1,60),ROW()-1,FALSE))</f>
        <v>1.7610702279999999</v>
      </c>
      <c r="AQ516">
        <f ca="1">IF(AND(ISNUMBER($AQ$1176),$B$677=1),$AQ$1176,HLOOKUP(INDIRECT(ADDRESS(2,COLUMN())),OFFSET($BN$2,0,0,ROW()-1,60),ROW()-1,FALSE))</f>
        <v>0.93874270400000004</v>
      </c>
      <c r="AR516">
        <f ca="1">IF(AND(ISNUMBER($AR$1176),$B$677=1),$AR$1176,HLOOKUP(INDIRECT(ADDRESS(2,COLUMN())),OFFSET($BN$2,0,0,ROW()-1,60),ROW()-1,FALSE))</f>
        <v>1.3018666729999999</v>
      </c>
      <c r="AS516">
        <f ca="1">IF(AND(ISNUMBER($AS$1176),$B$677=1),$AS$1176,HLOOKUP(INDIRECT(ADDRESS(2,COLUMN())),OFFSET($BN$2,0,0,ROW()-1,60),ROW()-1,FALSE))</f>
        <v>1.4775657529999999</v>
      </c>
      <c r="AT516">
        <f ca="1">IF(AND(ISNUMBER($AT$1176),$B$677=1),$AT$1176,HLOOKUP(INDIRECT(ADDRESS(2,COLUMN())),OFFSET($BN$2,0,0,ROW()-1,60),ROW()-1,FALSE))</f>
        <v>7.0464211920000004</v>
      </c>
      <c r="AU516">
        <f ca="1">IF(AND(ISNUMBER($AU$1176),$B$677=1),$AU$1176,HLOOKUP(INDIRECT(ADDRESS(2,COLUMN())),OFFSET($BN$2,0,0,ROW()-1,60),ROW()-1,FALSE))</f>
        <v>8.2208247229999998</v>
      </c>
      <c r="AV516">
        <f ca="1">IF(AND(ISNUMBER($AV$1176),$B$677=1),$AV$1176,HLOOKUP(INDIRECT(ADDRESS(2,COLUMN())),OFFSET($BN$2,0,0,ROW()-1,60),ROW()-1,FALSE))</f>
        <v>6.8506872699999999</v>
      </c>
      <c r="AW516">
        <f ca="1">IF(AND(ISNUMBER($AW$1176),$B$677=1),$AW$1176,HLOOKUP(INDIRECT(ADDRESS(2,COLUMN())),OFFSET($BN$2,0,0,ROW()-1,60),ROW()-1,FALSE))</f>
        <v>4.2932740340000004</v>
      </c>
      <c r="AX516">
        <f ca="1">IF(AND(ISNUMBER($AX$1176),$B$677=1),$AX$1176,HLOOKUP(INDIRECT(ADDRESS(2,COLUMN())),OFFSET($BN$2,0,0,ROW()-1,60),ROW()-1,FALSE))</f>
        <v>2.9555561589999999</v>
      </c>
      <c r="AY516">
        <f ca="1">IF(AND(ISNUMBER($AY$1176),$B$677=1),$AY$1176,HLOOKUP(INDIRECT(ADDRESS(2,COLUMN())),OFFSET($BN$2,0,0,ROW()-1,60),ROW()-1,FALSE))</f>
        <v>1.4584083210000001</v>
      </c>
      <c r="AZ516">
        <f ca="1">IF(AND(ISNUMBER($AZ$1176),$B$677=1),$AZ$1176,HLOOKUP(INDIRECT(ADDRESS(2,COLUMN())),OFFSET($BN$2,0,0,ROW()-1,60),ROW()-1,FALSE))</f>
        <v>1.4228992490000001</v>
      </c>
      <c r="BA516">
        <f ca="1">IF(AND(ISNUMBER($BA$1176),$B$677=1),$BA$1176,HLOOKUP(INDIRECT(ADDRESS(2,COLUMN())),OFFSET($BN$2,0,0,ROW()-1,60),ROW()-1,FALSE))</f>
        <v>1.4404349789999999</v>
      </c>
      <c r="BB516">
        <f ca="1">IF(AND(ISNUMBER($BB$1176),$B$677=1),$BB$1176,HLOOKUP(INDIRECT(ADDRESS(2,COLUMN())),OFFSET($BN$2,0,0,ROW()-1,60),ROW()-1,FALSE))</f>
        <v>1.4204289379999999</v>
      </c>
      <c r="BC516">
        <f ca="1">IF(AND(ISNUMBER($BC$1176),$B$677=1),$BC$1176,HLOOKUP(INDIRECT(ADDRESS(2,COLUMN())),OFFSET($BN$2,0,0,ROW()-1,60),ROW()-1,FALSE))</f>
        <v>1.288169887</v>
      </c>
      <c r="BD516">
        <f ca="1">IF(AND(ISNUMBER($BD$1176),$B$677=1),$BD$1176,HLOOKUP(INDIRECT(ADDRESS(2,COLUMN())),OFFSET($BN$2,0,0,ROW()-1,60),ROW()-1,FALSE))</f>
        <v>1.4860454460000001</v>
      </c>
      <c r="BE516">
        <f ca="1">IF(AND(ISNUMBER($BE$1176),$B$677=1),$BE$1176,HLOOKUP(INDIRECT(ADDRESS(2,COLUMN())),OFFSET($BN$2,0,0,ROW()-1,60),ROW()-1,FALSE))</f>
        <v>2.2897410300000001</v>
      </c>
      <c r="BF516">
        <f ca="1">IF(AND(ISNUMBER($BF$1176),$B$677=1),$BF$1176,HLOOKUP(INDIRECT(ADDRESS(2,COLUMN())),OFFSET($BN$2,0,0,ROW()-1,60),ROW()-1,FALSE))</f>
        <v>1.878476864</v>
      </c>
      <c r="BG516">
        <f ca="1">IF(AND(ISNUMBER($BG$1176),$B$677=1),$BG$1176,HLOOKUP(INDIRECT(ADDRESS(2,COLUMN())),OFFSET($BN$2,0,0,ROW()-1,60),ROW()-1,FALSE))</f>
        <v>3.6955539900000001</v>
      </c>
      <c r="BH516">
        <f ca="1">IF(AND(ISNUMBER($BH$1176),$B$677=1),$BH$1176,HLOOKUP(INDIRECT(ADDRESS(2,COLUMN())),OFFSET($BN$2,0,0,ROW()-1,60),ROW()-1,FALSE))</f>
        <v>3.5228645520000001</v>
      </c>
      <c r="BI516">
        <f ca="1">IF(AND(ISNUMBER($BI$1176),$B$677=1),$BI$1176,HLOOKUP(INDIRECT(ADDRESS(2,COLUMN())),OFFSET($BN$2,0,0,ROW()-1,60),ROW()-1,FALSE))</f>
        <v>3.3959144779999999</v>
      </c>
      <c r="BJ516">
        <f ca="1">IF(AND(ISNUMBER($BJ$1176),$B$677=1),$BJ$1176,HLOOKUP(INDIRECT(ADDRESS(2,COLUMN())),OFFSET($BN$2,0,0,ROW()-1,60),ROW()-1,FALSE))</f>
        <v>3.1944619240000001</v>
      </c>
      <c r="BK516" t="str">
        <f ca="1">IF(AND(ISNUMBER($BK$1176),$B$677=1),$BK$1176,HLOOKUP(INDIRECT(ADDRESS(2,COLUMN())),OFFSET($BN$2,0,0,ROW()-1,60),ROW()-1,FALSE))</f>
        <v/>
      </c>
      <c r="BL516" t="str">
        <f ca="1">IF(AND(ISNUMBER($BL$1176),$B$677=1),$BL$1176,HLOOKUP(INDIRECT(ADDRESS(2,COLUMN())),OFFSET($BN$2,0,0,ROW()-1,60),ROW()-1,FALSE))</f>
        <v/>
      </c>
      <c r="BM516" t="str">
        <f ca="1">IF(AND(ISNUMBER($BM$1176),$B$677=1),$BM$1176,HLOOKUP(INDIRECT(ADDRESS(2,COLUMN())),OFFSET($BN$2,0,0,ROW()-1,60),ROW()-1,FALSE))</f>
        <v/>
      </c>
      <c r="BN516">
        <f>3.204746029</f>
        <v>3.2047460289999998</v>
      </c>
      <c r="BO516">
        <f>4.667937424</f>
        <v>4.6679374239999998</v>
      </c>
      <c r="BP516">
        <f>4.200208223</f>
        <v>4.2002082229999997</v>
      </c>
      <c r="BQ516">
        <f>3.493173172</f>
        <v>3.4931731720000001</v>
      </c>
      <c r="BR516">
        <f>2.663156167</f>
        <v>2.6631561669999999</v>
      </c>
      <c r="BS516">
        <f>4.432212041</f>
        <v>4.4322120409999997</v>
      </c>
      <c r="BT516">
        <f>4.132114351</f>
        <v>4.1321143510000002</v>
      </c>
      <c r="BU516">
        <f>4.114968648</f>
        <v>4.1149686479999996</v>
      </c>
      <c r="BV516">
        <f>4.482293533</f>
        <v>4.482293533</v>
      </c>
      <c r="BW516" t="str">
        <f>""</f>
        <v/>
      </c>
      <c r="BX516">
        <f>3.049091353</f>
        <v>3.0490913530000001</v>
      </c>
      <c r="BY516">
        <f>3.505030247</f>
        <v>3.5050302470000001</v>
      </c>
      <c r="BZ516">
        <f>3.571792727</f>
        <v>3.5717927270000001</v>
      </c>
      <c r="CA516">
        <f>1.124956729</f>
        <v>1.124956729</v>
      </c>
      <c r="CB516">
        <f>1.186724213</f>
        <v>1.186724213</v>
      </c>
      <c r="CC516">
        <f>2.631307276</f>
        <v>2.6313072759999998</v>
      </c>
      <c r="CD516">
        <f>1.824629133</f>
        <v>1.824629133</v>
      </c>
      <c r="CE516">
        <f>2.315027373</f>
        <v>2.3150273729999999</v>
      </c>
      <c r="CF516">
        <f>3.386159441</f>
        <v>3.3861594410000002</v>
      </c>
      <c r="CG516">
        <f>3.544885665</f>
        <v>3.5448856649999998</v>
      </c>
      <c r="CH516">
        <f>2.624491187</f>
        <v>2.6244911869999998</v>
      </c>
      <c r="CI516">
        <f>1.6827302</f>
        <v>1.6827302</v>
      </c>
      <c r="CJ516">
        <f>1.712743224</f>
        <v>1.712743224</v>
      </c>
      <c r="CK516">
        <f>2.153089763</f>
        <v>2.1530897630000001</v>
      </c>
      <c r="CL516">
        <f>2.738435459</f>
        <v>2.7384354590000002</v>
      </c>
      <c r="CM516">
        <f>1.509458284</f>
        <v>1.5094582839999999</v>
      </c>
      <c r="CN516">
        <f>1.804706848</f>
        <v>1.8047068479999999</v>
      </c>
      <c r="CO516">
        <f>2.399626465</f>
        <v>2.3996264649999999</v>
      </c>
      <c r="CP516">
        <f>2.44412285</f>
        <v>2.4441228499999998</v>
      </c>
      <c r="CQ516">
        <f>2.096069474</f>
        <v>2.0960694740000001</v>
      </c>
      <c r="CR516">
        <f>2.635191556</f>
        <v>2.6351915560000001</v>
      </c>
      <c r="CS516">
        <f>1.85698655</f>
        <v>1.85698655</v>
      </c>
      <c r="CT516">
        <f>1.652950475</f>
        <v>1.6529504749999999</v>
      </c>
      <c r="CU516">
        <f>1.184319728</f>
        <v>1.184319728</v>
      </c>
      <c r="CV516">
        <f>1.353508261</f>
        <v>1.353508261</v>
      </c>
      <c r="CW516">
        <f>2.089975991</f>
        <v>2.0899759910000002</v>
      </c>
      <c r="CX516">
        <f>1.761070228</f>
        <v>1.7610702279999999</v>
      </c>
      <c r="CY516">
        <f>0.938742704</f>
        <v>0.93874270400000004</v>
      </c>
      <c r="CZ516">
        <f>1.301866673</f>
        <v>1.3018666729999999</v>
      </c>
      <c r="DA516">
        <f>1.477565753</f>
        <v>1.4775657529999999</v>
      </c>
      <c r="DB516">
        <f>7.046421192</f>
        <v>7.0464211920000004</v>
      </c>
      <c r="DC516">
        <f>8.220824723</f>
        <v>8.2208247229999998</v>
      </c>
      <c r="DD516">
        <f>6.85068727</f>
        <v>6.8506872699999999</v>
      </c>
      <c r="DE516">
        <f>4.293274034</f>
        <v>4.2932740340000004</v>
      </c>
      <c r="DF516">
        <f>2.955556159</f>
        <v>2.9555561589999999</v>
      </c>
      <c r="DG516">
        <f>1.458408321</f>
        <v>1.4584083210000001</v>
      </c>
      <c r="DH516">
        <f>1.422899249</f>
        <v>1.4228992490000001</v>
      </c>
      <c r="DI516">
        <f>1.440434979</f>
        <v>1.4404349789999999</v>
      </c>
      <c r="DJ516">
        <f>1.420428938</f>
        <v>1.4204289379999999</v>
      </c>
      <c r="DK516">
        <f>1.288169887</f>
        <v>1.288169887</v>
      </c>
      <c r="DL516">
        <f>1.486045446</f>
        <v>1.4860454460000001</v>
      </c>
      <c r="DM516">
        <f>2.28974103</f>
        <v>2.2897410300000001</v>
      </c>
      <c r="DN516">
        <f>1.878476864</f>
        <v>1.878476864</v>
      </c>
      <c r="DO516">
        <f>3.69555399</f>
        <v>3.6955539900000001</v>
      </c>
      <c r="DP516">
        <f>3.522864552</f>
        <v>3.5228645520000001</v>
      </c>
      <c r="DQ516">
        <f>3.395914478</f>
        <v>3.3959144779999999</v>
      </c>
      <c r="DR516">
        <f>3.194461924</f>
        <v>3.1944619240000001</v>
      </c>
      <c r="DS516" t="str">
        <f>""</f>
        <v/>
      </c>
      <c r="DT516" t="str">
        <f>""</f>
        <v/>
      </c>
      <c r="DU516" t="str">
        <f>""</f>
        <v/>
      </c>
    </row>
    <row r="517" spans="1:125" x14ac:dyDescent="0.25">
      <c r="A517" t="str">
        <f>"    Guangzhou Automobile Group Co Ltd"</f>
        <v xml:space="preserve">    Guangzhou Automobile Group Co Ltd</v>
      </c>
      <c r="B517" t="str">
        <f>"2238 HK Equity"</f>
        <v>2238 HK Equity</v>
      </c>
      <c r="C517" t="str">
        <f t="shared" si="36"/>
        <v>DV013</v>
      </c>
      <c r="D517" t="str">
        <f t="shared" si="37"/>
        <v>EQY_DVD_YLD_IND</v>
      </c>
      <c r="E517" t="str">
        <f t="shared" si="38"/>
        <v>Dynamic</v>
      </c>
      <c r="F517">
        <f ca="1">IF(AND(ISNUMBER($F$1177),$B$677=1),$F$1177,HLOOKUP(INDIRECT(ADDRESS(2,COLUMN())),OFFSET($BN$2,0,0,ROW()-1,60),ROW()-1,FALSE))</f>
        <v>4.955832258</v>
      </c>
      <c r="G517">
        <f ca="1">IF(AND(ISNUMBER($G$1177),$B$677=1),$G$1177,HLOOKUP(INDIRECT(ADDRESS(2,COLUMN())),OFFSET($BN$2,0,0,ROW()-1,60),ROW()-1,FALSE))</f>
        <v>6.2756953940000004</v>
      </c>
      <c r="H517">
        <f ca="1">IF(AND(ISNUMBER($H$1177),$B$677=1),$H$1177,HLOOKUP(INDIRECT(ADDRESS(2,COLUMN())),OFFSET($BN$2,0,0,ROW()-1,60),ROW()-1,FALSE))</f>
        <v>5.6531927370000004</v>
      </c>
      <c r="I517">
        <f ca="1">IF(AND(ISNUMBER($I$1177),$B$677=1),$I$1177,HLOOKUP(INDIRECT(ADDRESS(2,COLUMN())),OFFSET($BN$2,0,0,ROW()-1,60),ROW()-1,FALSE))</f>
        <v>6.0086024159999996</v>
      </c>
      <c r="J517">
        <f ca="1">IF(AND(ISNUMBER($J$1177),$B$677=1),$J$1177,HLOOKUP(INDIRECT(ADDRESS(2,COLUMN())),OFFSET($BN$2,0,0,ROW()-1,60),ROW()-1,FALSE))</f>
        <v>4.4619898170000001</v>
      </c>
      <c r="K517">
        <f ca="1">IF(AND(ISNUMBER($K$1177),$B$677=1),$K$1177,HLOOKUP(INDIRECT(ADDRESS(2,COLUMN())),OFFSET($BN$2,0,0,ROW()-1,60),ROW()-1,FALSE))</f>
        <v>2.0055460140000001</v>
      </c>
      <c r="L517">
        <f ca="1">IF(AND(ISNUMBER($L$1177),$B$677=1),$L$1177,HLOOKUP(INDIRECT(ADDRESS(2,COLUMN())),OFFSET($BN$2,0,0,ROW()-1,60),ROW()-1,FALSE))</f>
        <v>2.0543535500000001</v>
      </c>
      <c r="M517">
        <f ca="1">IF(AND(ISNUMBER($M$1177),$B$677=1),$M$1177,HLOOKUP(INDIRECT(ADDRESS(2,COLUMN())),OFFSET($BN$2,0,0,ROW()-1,60),ROW()-1,FALSE))</f>
        <v>2.5109809460000001</v>
      </c>
      <c r="N517">
        <f ca="1">IF(AND(ISNUMBER($N$1177),$B$677=1),$N$1177,HLOOKUP(INDIRECT(ADDRESS(2,COLUMN())),OFFSET($BN$2,0,0,ROW()-1,60),ROW()-1,FALSE))</f>
        <v>2.7653085979999998</v>
      </c>
      <c r="O517">
        <f ca="1">IF(AND(ISNUMBER($O$1177),$B$677=1),$O$1177,HLOOKUP(INDIRECT(ADDRESS(2,COLUMN())),OFFSET($BN$2,0,0,ROW()-1,60),ROW()-1,FALSE))</f>
        <v>2.495328437</v>
      </c>
      <c r="P517">
        <f ca="1">IF(AND(ISNUMBER($P$1177),$B$677=1),$P$1177,HLOOKUP(INDIRECT(ADDRESS(2,COLUMN())),OFFSET($BN$2,0,0,ROW()-1,60),ROW()-1,FALSE))</f>
        <v>2.3476610569999998</v>
      </c>
      <c r="Q517">
        <f ca="1">IF(AND(ISNUMBER($Q$1177),$B$677=1),$Q$1177,HLOOKUP(INDIRECT(ADDRESS(2,COLUMN())),OFFSET($BN$2,0,0,ROW()-1,60),ROW()-1,FALSE))</f>
        <v>2.5866199989999998</v>
      </c>
      <c r="R517">
        <f ca="1">IF(AND(ISNUMBER($R$1177),$B$677=1),$R$1177,HLOOKUP(INDIRECT(ADDRESS(2,COLUMN())),OFFSET($BN$2,0,0,ROW()-1,60),ROW()-1,FALSE))</f>
        <v>2.9648370499999999</v>
      </c>
      <c r="S517">
        <f ca="1">IF(AND(ISNUMBER($S$1177),$B$677=1),$S$1177,HLOOKUP(INDIRECT(ADDRESS(2,COLUMN())),OFFSET($BN$2,0,0,ROW()-1,60),ROW()-1,FALSE))</f>
        <v>2.856359748</v>
      </c>
      <c r="T517">
        <f ca="1">IF(AND(ISNUMBER($T$1177),$B$677=1),$T$1177,HLOOKUP(INDIRECT(ADDRESS(2,COLUMN())),OFFSET($BN$2,0,0,ROW()-1,60),ROW()-1,FALSE))</f>
        <v>3.1279628939999999</v>
      </c>
      <c r="U517">
        <f ca="1">IF(AND(ISNUMBER($U$1177),$B$677=1),$U$1177,HLOOKUP(INDIRECT(ADDRESS(2,COLUMN())),OFFSET($BN$2,0,0,ROW()-1,60),ROW()-1,FALSE))</f>
        <v>2.8014912949999999</v>
      </c>
      <c r="V517">
        <f ca="1">IF(AND(ISNUMBER($V$1177),$B$677=1),$V$1177,HLOOKUP(INDIRECT(ADDRESS(2,COLUMN())),OFFSET($BN$2,0,0,ROW()-1,60),ROW()-1,FALSE))</f>
        <v>2.710877022</v>
      </c>
      <c r="W517">
        <f ca="1">IF(AND(ISNUMBER($W$1177),$B$677=1),$W$1177,HLOOKUP(INDIRECT(ADDRESS(2,COLUMN())),OFFSET($BN$2,0,0,ROW()-1,60),ROW()-1,FALSE))</f>
        <v>3.2045605250000002</v>
      </c>
      <c r="X517">
        <f ca="1">IF(AND(ISNUMBER($X$1177),$B$677=1),$X$1177,HLOOKUP(INDIRECT(ADDRESS(2,COLUMN())),OFFSET($BN$2,0,0,ROW()-1,60),ROW()-1,FALSE))</f>
        <v>3.0125429170000002</v>
      </c>
      <c r="Y517">
        <f ca="1">IF(AND(ISNUMBER($Y$1177),$B$677=1),$Y$1177,HLOOKUP(INDIRECT(ADDRESS(2,COLUMN())),OFFSET($BN$2,0,0,ROW()-1,60),ROW()-1,FALSE))</f>
        <v>2.2378955239999998</v>
      </c>
      <c r="Z517">
        <f ca="1">IF(AND(ISNUMBER($Z$1177),$B$677=1),$Z$1177,HLOOKUP(INDIRECT(ADDRESS(2,COLUMN())),OFFSET($BN$2,0,0,ROW()-1,60),ROW()-1,FALSE))</f>
        <v>2.4658039029999999</v>
      </c>
      <c r="AA517">
        <f ca="1">IF(AND(ISNUMBER($AA$1177),$B$677=1),$AA$1177,HLOOKUP(INDIRECT(ADDRESS(2,COLUMN())),OFFSET($BN$2,0,0,ROW()-1,60),ROW()-1,FALSE))</f>
        <v>1.1947989320000001</v>
      </c>
      <c r="AB517">
        <f ca="1">IF(AND(ISNUMBER($AB$1177),$B$677=1),$AB$1177,HLOOKUP(INDIRECT(ADDRESS(2,COLUMN())),OFFSET($BN$2,0,0,ROW()-1,60),ROW()-1,FALSE))</f>
        <v>1.2047437510000001</v>
      </c>
      <c r="AC517">
        <f ca="1">IF(AND(ISNUMBER($AC$1177),$B$677=1),$AC$1177,HLOOKUP(INDIRECT(ADDRESS(2,COLUMN())),OFFSET($BN$2,0,0,ROW()-1,60),ROW()-1,FALSE))</f>
        <v>1.513809067</v>
      </c>
      <c r="AD517">
        <f ca="1">IF(AND(ISNUMBER($AD$1177),$B$677=1),$AD$1177,HLOOKUP(INDIRECT(ADDRESS(2,COLUMN())),OFFSET($BN$2,0,0,ROW()-1,60),ROW()-1,FALSE))</f>
        <v>1.688922445</v>
      </c>
      <c r="AE517">
        <f ca="1">IF(AND(ISNUMBER($AE$1177),$B$677=1),$AE$1177,HLOOKUP(INDIRECT(ADDRESS(2,COLUMN())),OFFSET($BN$2,0,0,ROW()-1,60),ROW()-1,FALSE))</f>
        <v>4.7795334949999999</v>
      </c>
      <c r="AF517">
        <f ca="1">IF(AND(ISNUMBER($AF$1177),$B$677=1),$AF$1177,HLOOKUP(INDIRECT(ADDRESS(2,COLUMN())),OFFSET($BN$2,0,0,ROW()-1,60),ROW()-1,FALSE))</f>
        <v>6.4509617119999998</v>
      </c>
      <c r="AG517">
        <f ca="1">IF(AND(ISNUMBER($AG$1177),$B$677=1),$AG$1177,HLOOKUP(INDIRECT(ADDRESS(2,COLUMN())),OFFSET($BN$2,0,0,ROW()-1,60),ROW()-1,FALSE))</f>
        <v>3.7687417609999998</v>
      </c>
      <c r="AH517">
        <f ca="1">IF(AND(ISNUMBER($AH$1177),$B$677=1),$AH$1177,HLOOKUP(INDIRECT(ADDRESS(2,COLUMN())),OFFSET($BN$2,0,0,ROW()-1,60),ROW()-1,FALSE))</f>
        <v>3.1520385630000001</v>
      </c>
      <c r="AI517">
        <f ca="1">IF(AND(ISNUMBER($AI$1177),$B$677=1),$AI$1177,HLOOKUP(INDIRECT(ADDRESS(2,COLUMN())),OFFSET($BN$2,0,0,ROW()-1,60),ROW()-1,FALSE))</f>
        <v>2.0162946329999998</v>
      </c>
      <c r="AJ517">
        <f ca="1">IF(AND(ISNUMBER($AJ$1177),$B$677=1),$AJ$1177,HLOOKUP(INDIRECT(ADDRESS(2,COLUMN())),OFFSET($BN$2,0,0,ROW()-1,60),ROW()-1,FALSE))</f>
        <v>1.7034666519999999</v>
      </c>
      <c r="AK517">
        <f ca="1">IF(AND(ISNUMBER($AK$1177),$B$677=1),$AK$1177,HLOOKUP(INDIRECT(ADDRESS(2,COLUMN())),OFFSET($BN$2,0,0,ROW()-1,60),ROW()-1,FALSE))</f>
        <v>2.4694036970000002</v>
      </c>
      <c r="AL517">
        <f ca="1">IF(AND(ISNUMBER($AL$1177),$B$677=1),$AL$1177,HLOOKUP(INDIRECT(ADDRESS(2,COLUMN())),OFFSET($BN$2,0,0,ROW()-1,60),ROW()-1,FALSE))</f>
        <v>2.4824693249999998</v>
      </c>
      <c r="AM517">
        <f ca="1">IF(AND(ISNUMBER($AM$1177),$B$677=1),$AM$1177,HLOOKUP(INDIRECT(ADDRESS(2,COLUMN())),OFFSET($BN$2,0,0,ROW()-1,60),ROW()-1,FALSE))</f>
        <v>0.96956584899999998</v>
      </c>
      <c r="AN517">
        <f ca="1">IF(AND(ISNUMBER($AN$1177),$B$677=1),$AN$1177,HLOOKUP(INDIRECT(ADDRESS(2,COLUMN())),OFFSET($BN$2,0,0,ROW()-1,60),ROW()-1,FALSE))</f>
        <v>0.77797499299999995</v>
      </c>
      <c r="AO517" t="str">
        <f ca="1">IF(AND(ISNUMBER($AO$1177),$B$677=1),$AO$1177,HLOOKUP(INDIRECT(ADDRESS(2,COLUMN())),OFFSET($BN$2,0,0,ROW()-1,60),ROW()-1,FALSE))</f>
        <v/>
      </c>
      <c r="AP517" t="str">
        <f ca="1">IF(AND(ISNUMBER($AP$1177),$B$677=1),$AP$1177,HLOOKUP(INDIRECT(ADDRESS(2,COLUMN())),OFFSET($BN$2,0,0,ROW()-1,60),ROW()-1,FALSE))</f>
        <v/>
      </c>
      <c r="AQ517" t="str">
        <f ca="1">IF(AND(ISNUMBER($AQ$1177),$B$677=1),$AQ$1177,HLOOKUP(INDIRECT(ADDRESS(2,COLUMN())),OFFSET($BN$2,0,0,ROW()-1,60),ROW()-1,FALSE))</f>
        <v/>
      </c>
      <c r="AR517" t="str">
        <f ca="1">IF(AND(ISNUMBER($AR$1177),$B$677=1),$AR$1177,HLOOKUP(INDIRECT(ADDRESS(2,COLUMN())),OFFSET($BN$2,0,0,ROW()-1,60),ROW()-1,FALSE))</f>
        <v/>
      </c>
      <c r="AS517" t="str">
        <f ca="1">IF(AND(ISNUMBER($AS$1177),$B$677=1),$AS$1177,HLOOKUP(INDIRECT(ADDRESS(2,COLUMN())),OFFSET($BN$2,0,0,ROW()-1,60),ROW()-1,FALSE))</f>
        <v/>
      </c>
      <c r="AT517" t="str">
        <f ca="1">IF(AND(ISNUMBER($AT$1177),$B$677=1),$AT$1177,HLOOKUP(INDIRECT(ADDRESS(2,COLUMN())),OFFSET($BN$2,0,0,ROW()-1,60),ROW()-1,FALSE))</f>
        <v/>
      </c>
      <c r="AU517" t="str">
        <f ca="1">IF(AND(ISNUMBER($AU$1177),$B$677=1),$AU$1177,HLOOKUP(INDIRECT(ADDRESS(2,COLUMN())),OFFSET($BN$2,0,0,ROW()-1,60),ROW()-1,FALSE))</f>
        <v/>
      </c>
      <c r="AV517" t="str">
        <f ca="1">IF(AND(ISNUMBER($AV$1177),$B$677=1),$AV$1177,HLOOKUP(INDIRECT(ADDRESS(2,COLUMN())),OFFSET($BN$2,0,0,ROW()-1,60),ROW()-1,FALSE))</f>
        <v/>
      </c>
      <c r="AW517" t="str">
        <f ca="1">IF(AND(ISNUMBER($AW$1177),$B$677=1),$AW$1177,HLOOKUP(INDIRECT(ADDRESS(2,COLUMN())),OFFSET($BN$2,0,0,ROW()-1,60),ROW()-1,FALSE))</f>
        <v/>
      </c>
      <c r="AX517" t="str">
        <f ca="1">IF(AND(ISNUMBER($AX$1177),$B$677=1),$AX$1177,HLOOKUP(INDIRECT(ADDRESS(2,COLUMN())),OFFSET($BN$2,0,0,ROW()-1,60),ROW()-1,FALSE))</f>
        <v/>
      </c>
      <c r="AY517" t="str">
        <f ca="1">IF(AND(ISNUMBER($AY$1177),$B$677=1),$AY$1177,HLOOKUP(INDIRECT(ADDRESS(2,COLUMN())),OFFSET($BN$2,0,0,ROW()-1,60),ROW()-1,FALSE))</f>
        <v/>
      </c>
      <c r="AZ517" t="str">
        <f ca="1">IF(AND(ISNUMBER($AZ$1177),$B$677=1),$AZ$1177,HLOOKUP(INDIRECT(ADDRESS(2,COLUMN())),OFFSET($BN$2,0,0,ROW()-1,60),ROW()-1,FALSE))</f>
        <v/>
      </c>
      <c r="BA517" t="str">
        <f ca="1">IF(AND(ISNUMBER($BA$1177),$B$677=1),$BA$1177,HLOOKUP(INDIRECT(ADDRESS(2,COLUMN())),OFFSET($BN$2,0,0,ROW()-1,60),ROW()-1,FALSE))</f>
        <v/>
      </c>
      <c r="BB517" t="str">
        <f ca="1">IF(AND(ISNUMBER($BB$1177),$B$677=1),$BB$1177,HLOOKUP(INDIRECT(ADDRESS(2,COLUMN())),OFFSET($BN$2,0,0,ROW()-1,60),ROW()-1,FALSE))</f>
        <v/>
      </c>
      <c r="BC517" t="str">
        <f ca="1">IF(AND(ISNUMBER($BC$1177),$B$677=1),$BC$1177,HLOOKUP(INDIRECT(ADDRESS(2,COLUMN())),OFFSET($BN$2,0,0,ROW()-1,60),ROW()-1,FALSE))</f>
        <v/>
      </c>
      <c r="BD517" t="str">
        <f ca="1">IF(AND(ISNUMBER($BD$1177),$B$677=1),$BD$1177,HLOOKUP(INDIRECT(ADDRESS(2,COLUMN())),OFFSET($BN$2,0,0,ROW()-1,60),ROW()-1,FALSE))</f>
        <v/>
      </c>
      <c r="BE517" t="str">
        <f ca="1">IF(AND(ISNUMBER($BE$1177),$B$677=1),$BE$1177,HLOOKUP(INDIRECT(ADDRESS(2,COLUMN())),OFFSET($BN$2,0,0,ROW()-1,60),ROW()-1,FALSE))</f>
        <v/>
      </c>
      <c r="BF517" t="str">
        <f ca="1">IF(AND(ISNUMBER($BF$1177),$B$677=1),$BF$1177,HLOOKUP(INDIRECT(ADDRESS(2,COLUMN())),OFFSET($BN$2,0,0,ROW()-1,60),ROW()-1,FALSE))</f>
        <v/>
      </c>
      <c r="BG517" t="str">
        <f ca="1">IF(AND(ISNUMBER($BG$1177),$B$677=1),$BG$1177,HLOOKUP(INDIRECT(ADDRESS(2,COLUMN())),OFFSET($BN$2,0,0,ROW()-1,60),ROW()-1,FALSE))</f>
        <v/>
      </c>
      <c r="BH517" t="str">
        <f ca="1">IF(AND(ISNUMBER($BH$1177),$B$677=1),$BH$1177,HLOOKUP(INDIRECT(ADDRESS(2,COLUMN())),OFFSET($BN$2,0,0,ROW()-1,60),ROW()-1,FALSE))</f>
        <v/>
      </c>
      <c r="BI517" t="str">
        <f ca="1">IF(AND(ISNUMBER($BI$1177),$B$677=1),$BI$1177,HLOOKUP(INDIRECT(ADDRESS(2,COLUMN())),OFFSET($BN$2,0,0,ROW()-1,60),ROW()-1,FALSE))</f>
        <v/>
      </c>
      <c r="BJ517" t="str">
        <f ca="1">IF(AND(ISNUMBER($BJ$1177),$B$677=1),$BJ$1177,HLOOKUP(INDIRECT(ADDRESS(2,COLUMN())),OFFSET($BN$2,0,0,ROW()-1,60),ROW()-1,FALSE))</f>
        <v/>
      </c>
      <c r="BK517" t="str">
        <f ca="1">IF(AND(ISNUMBER($BK$1177),$B$677=1),$BK$1177,HLOOKUP(INDIRECT(ADDRESS(2,COLUMN())),OFFSET($BN$2,0,0,ROW()-1,60),ROW()-1,FALSE))</f>
        <v/>
      </c>
      <c r="BL517" t="str">
        <f ca="1">IF(AND(ISNUMBER($BL$1177),$B$677=1),$BL$1177,HLOOKUP(INDIRECT(ADDRESS(2,COLUMN())),OFFSET($BN$2,0,0,ROW()-1,60),ROW()-1,FALSE))</f>
        <v/>
      </c>
      <c r="BM517" t="str">
        <f ca="1">IF(AND(ISNUMBER($BM$1177),$B$677=1),$BM$1177,HLOOKUP(INDIRECT(ADDRESS(2,COLUMN())),OFFSET($BN$2,0,0,ROW()-1,60),ROW()-1,FALSE))</f>
        <v/>
      </c>
      <c r="BN517">
        <f>4.955832258</f>
        <v>4.955832258</v>
      </c>
      <c r="BO517">
        <f>6.275695394</f>
        <v>6.2756953940000004</v>
      </c>
      <c r="BP517">
        <f>5.653192737</f>
        <v>5.6531927370000004</v>
      </c>
      <c r="BQ517">
        <f>6.008602416</f>
        <v>6.0086024159999996</v>
      </c>
      <c r="BR517">
        <f>4.461989817</f>
        <v>4.4619898170000001</v>
      </c>
      <c r="BS517">
        <f>2.005546014</f>
        <v>2.0055460140000001</v>
      </c>
      <c r="BT517">
        <f>2.05435355</f>
        <v>2.0543535500000001</v>
      </c>
      <c r="BU517">
        <f>2.510980946</f>
        <v>2.5109809460000001</v>
      </c>
      <c r="BV517">
        <f>2.765308598</f>
        <v>2.7653085979999998</v>
      </c>
      <c r="BW517">
        <f>2.495328437</f>
        <v>2.495328437</v>
      </c>
      <c r="BX517">
        <f>2.347661057</f>
        <v>2.3476610569999998</v>
      </c>
      <c r="BY517">
        <f>2.586619999</f>
        <v>2.5866199989999998</v>
      </c>
      <c r="BZ517">
        <f>2.96483705</f>
        <v>2.9648370499999999</v>
      </c>
      <c r="CA517">
        <f>2.856359748</f>
        <v>2.856359748</v>
      </c>
      <c r="CB517">
        <f>3.127962894</f>
        <v>3.1279628939999999</v>
      </c>
      <c r="CC517">
        <f>2.801491295</f>
        <v>2.8014912949999999</v>
      </c>
      <c r="CD517">
        <f>2.710877022</f>
        <v>2.710877022</v>
      </c>
      <c r="CE517">
        <f>3.204560525</f>
        <v>3.2045605250000002</v>
      </c>
      <c r="CF517">
        <f>3.012542917</f>
        <v>3.0125429170000002</v>
      </c>
      <c r="CG517">
        <f>2.237895524</f>
        <v>2.2378955239999998</v>
      </c>
      <c r="CH517">
        <f>2.465803903</f>
        <v>2.4658039029999999</v>
      </c>
      <c r="CI517">
        <f>1.194798932</f>
        <v>1.1947989320000001</v>
      </c>
      <c r="CJ517">
        <f>1.204743751</f>
        <v>1.2047437510000001</v>
      </c>
      <c r="CK517">
        <f>1.513809067</f>
        <v>1.513809067</v>
      </c>
      <c r="CL517">
        <f>1.688922445</f>
        <v>1.688922445</v>
      </c>
      <c r="CM517">
        <f>4.779533495</f>
        <v>4.7795334949999999</v>
      </c>
      <c r="CN517">
        <f>6.450961712</f>
        <v>6.4509617119999998</v>
      </c>
      <c r="CO517">
        <f>3.768741761</f>
        <v>3.7687417609999998</v>
      </c>
      <c r="CP517">
        <f>3.152038563</f>
        <v>3.1520385630000001</v>
      </c>
      <c r="CQ517">
        <f>2.016294633</f>
        <v>2.0162946329999998</v>
      </c>
      <c r="CR517">
        <f>1.703466652</f>
        <v>1.7034666519999999</v>
      </c>
      <c r="CS517">
        <f>2.469403697</f>
        <v>2.4694036970000002</v>
      </c>
      <c r="CT517">
        <f>2.482469325</f>
        <v>2.4824693249999998</v>
      </c>
      <c r="CU517">
        <f>0.969565849</f>
        <v>0.96956584899999998</v>
      </c>
      <c r="CV517">
        <f>0.777974993</f>
        <v>0.77797499299999995</v>
      </c>
      <c r="CW517" t="str">
        <f>""</f>
        <v/>
      </c>
      <c r="CX517" t="str">
        <f>""</f>
        <v/>
      </c>
      <c r="CY517" t="str">
        <f>""</f>
        <v/>
      </c>
      <c r="CZ517" t="str">
        <f>""</f>
        <v/>
      </c>
      <c r="DA517" t="str">
        <f>""</f>
        <v/>
      </c>
      <c r="DB517" t="str">
        <f>""</f>
        <v/>
      </c>
      <c r="DC517" t="str">
        <f>""</f>
        <v/>
      </c>
      <c r="DD517" t="str">
        <f>""</f>
        <v/>
      </c>
      <c r="DE517" t="str">
        <f>""</f>
        <v/>
      </c>
      <c r="DF517" t="str">
        <f>""</f>
        <v/>
      </c>
      <c r="DG517" t="str">
        <f>""</f>
        <v/>
      </c>
      <c r="DH517" t="str">
        <f>""</f>
        <v/>
      </c>
      <c r="DI517" t="str">
        <f>""</f>
        <v/>
      </c>
      <c r="DJ517" t="str">
        <f>""</f>
        <v/>
      </c>
      <c r="DK517" t="str">
        <f>""</f>
        <v/>
      </c>
      <c r="DL517" t="str">
        <f>""</f>
        <v/>
      </c>
      <c r="DM517" t="str">
        <f>""</f>
        <v/>
      </c>
      <c r="DN517" t="str">
        <f>""</f>
        <v/>
      </c>
      <c r="DO517" t="str">
        <f>""</f>
        <v/>
      </c>
      <c r="DP517" t="str">
        <f>""</f>
        <v/>
      </c>
      <c r="DQ517" t="str">
        <f>""</f>
        <v/>
      </c>
      <c r="DR517" t="str">
        <f>""</f>
        <v/>
      </c>
      <c r="DS517" t="str">
        <f>""</f>
        <v/>
      </c>
      <c r="DT517" t="str">
        <f>""</f>
        <v/>
      </c>
      <c r="DU517" t="str">
        <f>""</f>
        <v/>
      </c>
    </row>
    <row r="518" spans="1:125" x14ac:dyDescent="0.25">
      <c r="A518" t="str">
        <f>"    Honda Motor Co Ltd"</f>
        <v xml:space="preserve">    Honda Motor Co Ltd</v>
      </c>
      <c r="B518" t="str">
        <f>"7267 JP Equity"</f>
        <v>7267 JP Equity</v>
      </c>
      <c r="C518" t="str">
        <f t="shared" si="36"/>
        <v>DV013</v>
      </c>
      <c r="D518" t="str">
        <f t="shared" si="37"/>
        <v>EQY_DVD_YLD_IND</v>
      </c>
      <c r="E518" t="str">
        <f t="shared" si="38"/>
        <v>Dynamic</v>
      </c>
      <c r="F518">
        <f ca="1">IF(AND(ISNUMBER($F$1178),$B$677=1),$F$1178,HLOOKUP(INDIRECT(ADDRESS(2,COLUMN())),OFFSET($BN$2,0,0,ROW()-1,60),ROW()-1,FALSE))</f>
        <v>3.552</v>
      </c>
      <c r="G518">
        <f ca="1">IF(AND(ISNUMBER($G$1178),$B$677=1),$G$1178,HLOOKUP(INDIRECT(ADDRESS(2,COLUMN())),OFFSET($BN$2,0,0,ROW()-1,60),ROW()-1,FALSE))</f>
        <v>3.8348592159999999</v>
      </c>
      <c r="H518">
        <f ca="1">IF(AND(ISNUMBER($H$1178),$B$677=1),$H$1178,HLOOKUP(INDIRECT(ADDRESS(2,COLUMN())),OFFSET($BN$2,0,0,ROW()-1,60),ROW()-1,FALSE))</f>
        <v>3.2276824660000001</v>
      </c>
      <c r="I518">
        <f ca="1">IF(AND(ISNUMBER($I$1178),$B$677=1),$I$1178,HLOOKUP(INDIRECT(ADDRESS(2,COLUMN())),OFFSET($BN$2,0,0,ROW()-1,60),ROW()-1,FALSE))</f>
        <v>3.4122348599999999</v>
      </c>
      <c r="J518">
        <f ca="1">IF(AND(ISNUMBER($J$1178),$B$677=1),$J$1178,HLOOKUP(INDIRECT(ADDRESS(2,COLUMN())),OFFSET($BN$2,0,0,ROW()-1,60),ROW()-1,FALSE))</f>
        <v>2.7322404370000002</v>
      </c>
      <c r="K518">
        <f ca="1">IF(AND(ISNUMBER($K$1178),$B$677=1),$K$1178,HLOOKUP(INDIRECT(ADDRESS(2,COLUMN())),OFFSET($BN$2,0,0,ROW()-1,60),ROW()-1,FALSE))</f>
        <v>2.5893319520000002</v>
      </c>
      <c r="L518">
        <f ca="1">IF(AND(ISNUMBER($L$1178),$B$677=1),$L$1178,HLOOKUP(INDIRECT(ADDRESS(2,COLUMN())),OFFSET($BN$2,0,0,ROW()-1,60),ROW()-1,FALSE))</f>
        <v>3.0012004800000001</v>
      </c>
      <c r="M518">
        <f ca="1">IF(AND(ISNUMBER($M$1178),$B$677=1),$M$1178,HLOOKUP(INDIRECT(ADDRESS(2,COLUMN())),OFFSET($BN$2,0,0,ROW()-1,60),ROW()-1,FALSE))</f>
        <v>3.2637075719999999</v>
      </c>
      <c r="N518">
        <f ca="1">IF(AND(ISNUMBER($N$1178),$B$677=1),$N$1178,HLOOKUP(INDIRECT(ADDRESS(2,COLUMN())),OFFSET($BN$2,0,0,ROW()-1,60),ROW()-1,FALSE))</f>
        <v>2.74544912</v>
      </c>
      <c r="O518">
        <f ca="1">IF(AND(ISNUMBER($O$1178),$B$677=1),$O$1178,HLOOKUP(INDIRECT(ADDRESS(2,COLUMN())),OFFSET($BN$2,0,0,ROW()-1,60),ROW()-1,FALSE))</f>
        <v>2.6939970720000002</v>
      </c>
      <c r="P518">
        <f ca="1">IF(AND(ISNUMBER($P$1178),$B$677=1),$P$1178,HLOOKUP(INDIRECT(ADDRESS(2,COLUMN())),OFFSET($BN$2,0,0,ROW()-1,60),ROW()-1,FALSE))</f>
        <v>3.1861471859999999</v>
      </c>
      <c r="Q518">
        <f ca="1">IF(AND(ISNUMBER($Q$1178),$B$677=1),$Q$1178,HLOOKUP(INDIRECT(ADDRESS(2,COLUMN())),OFFSET($BN$2,0,0,ROW()-1,60),ROW()-1,FALSE))</f>
        <v>3.576287658</v>
      </c>
      <c r="R518">
        <f ca="1">IF(AND(ISNUMBER($R$1178),$B$677=1),$R$1178,HLOOKUP(INDIRECT(ADDRESS(2,COLUMN())),OFFSET($BN$2,0,0,ROW()-1,60),ROW()-1,FALSE))</f>
        <v>2.8515878159999999</v>
      </c>
      <c r="S518">
        <f ca="1">IF(AND(ISNUMBER($S$1178),$B$677=1),$S$1178,HLOOKUP(INDIRECT(ADDRESS(2,COLUMN())),OFFSET($BN$2,0,0,ROW()-1,60),ROW()-1,FALSE))</f>
        <v>2.250639386</v>
      </c>
      <c r="T518">
        <f ca="1">IF(AND(ISNUMBER($T$1178),$B$677=1),$T$1178,HLOOKUP(INDIRECT(ADDRESS(2,COLUMN())),OFFSET($BN$2,0,0,ROW()-1,60),ROW()-1,FALSE))</f>
        <v>2.4865781290000002</v>
      </c>
      <c r="U518">
        <f ca="1">IF(AND(ISNUMBER($U$1178),$B$677=1),$U$1178,HLOOKUP(INDIRECT(ADDRESS(2,COLUMN())),OFFSET($BN$2,0,0,ROW()-1,60),ROW()-1,FALSE))</f>
        <v>2.22138079</v>
      </c>
      <c r="V518">
        <f ca="1">IF(AND(ISNUMBER($V$1178),$B$677=1),$V$1178,HLOOKUP(INDIRECT(ADDRESS(2,COLUMN())),OFFSET($BN$2,0,0,ROW()-1,60),ROW()-1,FALSE))</f>
        <v>2.2546758900000001</v>
      </c>
      <c r="W518">
        <f ca="1">IF(AND(ISNUMBER($W$1178),$B$677=1),$W$1178,HLOOKUP(INDIRECT(ADDRESS(2,COLUMN())),OFFSET($BN$2,0,0,ROW()-1,60),ROW()-1,FALSE))</f>
        <v>2.4957458880000001</v>
      </c>
      <c r="X518">
        <f ca="1">IF(AND(ISNUMBER($X$1178),$B$677=1),$X$1178,HLOOKUP(INDIRECT(ADDRESS(2,COLUMN())),OFFSET($BN$2,0,0,ROW()-1,60),ROW()-1,FALSE))</f>
        <v>2.3157894739999998</v>
      </c>
      <c r="Y518">
        <f ca="1">IF(AND(ISNUMBER($Y$1178),$B$677=1),$Y$1178,HLOOKUP(INDIRECT(ADDRESS(2,COLUMN())),OFFSET($BN$2,0,0,ROW()-1,60),ROW()-1,FALSE))</f>
        <v>2.487984167</v>
      </c>
      <c r="Z518">
        <f ca="1">IF(AND(ISNUMBER($Z$1178),$B$677=1),$Z$1178,HLOOKUP(INDIRECT(ADDRESS(2,COLUMN())),OFFSET($BN$2,0,0,ROW()-1,60),ROW()-1,FALSE))</f>
        <v>2.2564667030000001</v>
      </c>
      <c r="AA518">
        <f ca="1">IF(AND(ISNUMBER($AA$1178),$B$677=1),$AA$1178,HLOOKUP(INDIRECT(ADDRESS(2,COLUMN())),OFFSET($BN$2,0,0,ROW()-1,60),ROW()-1,FALSE))</f>
        <v>1.8937644339999999</v>
      </c>
      <c r="AB518">
        <f ca="1">IF(AND(ISNUMBER($AB$1178),$B$677=1),$AB$1178,HLOOKUP(INDIRECT(ADDRESS(2,COLUMN())),OFFSET($BN$2,0,0,ROW()-1,60),ROW()-1,FALSE))</f>
        <v>2.1954484609999998</v>
      </c>
      <c r="AC518">
        <f ca="1">IF(AND(ISNUMBER($AC$1178),$B$677=1),$AC$1178,HLOOKUP(INDIRECT(ADDRESS(2,COLUMN())),OFFSET($BN$2,0,0,ROW()-1,60),ROW()-1,FALSE))</f>
        <v>2.2252374490000002</v>
      </c>
      <c r="AD518">
        <f ca="1">IF(AND(ISNUMBER($AD$1178),$B$677=1),$AD$1178,HLOOKUP(INDIRECT(ADDRESS(2,COLUMN())),OFFSET($BN$2,0,0,ROW()-1,60),ROW()-1,FALSE))</f>
        <v>2.1378340370000002</v>
      </c>
      <c r="AE518">
        <f ca="1">IF(AND(ISNUMBER($AE$1178),$B$677=1),$AE$1178,HLOOKUP(INDIRECT(ADDRESS(2,COLUMN())),OFFSET($BN$2,0,0,ROW()-1,60),ROW()-1,FALSE))</f>
        <v>2.4165341809999998</v>
      </c>
      <c r="AF518">
        <f ca="1">IF(AND(ISNUMBER($AF$1178),$B$677=1),$AF$1178,HLOOKUP(INDIRECT(ADDRESS(2,COLUMN())),OFFSET($BN$2,0,0,ROW()-1,60),ROW()-1,FALSE))</f>
        <v>3.1706299539999998</v>
      </c>
      <c r="AG518">
        <f ca="1">IF(AND(ISNUMBER($AG$1178),$B$677=1),$AG$1178,HLOOKUP(INDIRECT(ADDRESS(2,COLUMN())),OFFSET($BN$2,0,0,ROW()-1,60),ROW()-1,FALSE))</f>
        <v>2.7646416880000002</v>
      </c>
      <c r="AH518">
        <f ca="1">IF(AND(ISNUMBER($AH$1178),$B$677=1),$AH$1178,HLOOKUP(INDIRECT(ADDRESS(2,COLUMN())),OFFSET($BN$2,0,0,ROW()-1,60),ROW()-1,FALSE))</f>
        <v>1.9077901429999999</v>
      </c>
      <c r="AI518">
        <f ca="1">IF(AND(ISNUMBER($AI$1178),$B$677=1),$AI$1178,HLOOKUP(INDIRECT(ADDRESS(2,COLUMN())),OFFSET($BN$2,0,0,ROW()-1,60),ROW()-1,FALSE))</f>
        <v>2.5553662689999999</v>
      </c>
      <c r="AJ518">
        <f ca="1">IF(AND(ISNUMBER($AJ$1178),$B$677=1),$AJ$1178,HLOOKUP(INDIRECT(ADDRESS(2,COLUMN())),OFFSET($BN$2,0,0,ROW()-1,60),ROW()-1,FALSE))</f>
        <v>2.6098303610000002</v>
      </c>
      <c r="AK518">
        <f ca="1">IF(AND(ISNUMBER($AK$1178),$B$677=1),$AK$1178,HLOOKUP(INDIRECT(ADDRESS(2,COLUMN())),OFFSET($BN$2,0,0,ROW()-1,60),ROW()-1,FALSE))</f>
        <v>1.9448946519999999</v>
      </c>
      <c r="AL518">
        <f ca="1">IF(AND(ISNUMBER($AL$1178),$B$677=1),$AL$1178,HLOOKUP(INDIRECT(ADDRESS(2,COLUMN())),OFFSET($BN$2,0,0,ROW()-1,60),ROW()-1,FALSE))</f>
        <v>1.728</v>
      </c>
      <c r="AM518">
        <f ca="1">IF(AND(ISNUMBER($AM$1178),$B$677=1),$AM$1178,HLOOKUP(INDIRECT(ADDRESS(2,COLUMN())),OFFSET($BN$2,0,0,ROW()-1,60),ROW()-1,FALSE))</f>
        <v>1.6796267499999999</v>
      </c>
      <c r="AN518">
        <f ca="1">IF(AND(ISNUMBER($AN$1178),$B$677=1),$AN$1178,HLOOKUP(INDIRECT(ADDRESS(2,COLUMN())),OFFSET($BN$2,0,0,ROW()-1,60),ROW()-1,FALSE))</f>
        <v>1.822477219</v>
      </c>
      <c r="AO518">
        <f ca="1">IF(AND(ISNUMBER($AO$1178),$B$677=1),$AO$1178,HLOOKUP(INDIRECT(ADDRESS(2,COLUMN())),OFFSET($BN$2,0,0,ROW()-1,60),ROW()-1,FALSE))</f>
        <v>2.0793222949999999</v>
      </c>
      <c r="AP518">
        <f ca="1">IF(AND(ISNUMBER($AP$1178),$B$677=1),$AP$1178,HLOOKUP(INDIRECT(ADDRESS(2,COLUMN())),OFFSET($BN$2,0,0,ROW()-1,60),ROW()-1,FALSE))</f>
        <v>1.151515152</v>
      </c>
      <c r="AQ518">
        <f ca="1">IF(AND(ISNUMBER($AQ$1178),$B$677=1),$AQ$1178,HLOOKUP(INDIRECT(ADDRESS(2,COLUMN())),OFFSET($BN$2,0,0,ROW()-1,60),ROW()-1,FALSE))</f>
        <v>1.221864952</v>
      </c>
      <c r="AR518">
        <f ca="1">IF(AND(ISNUMBER($AR$1178),$B$677=1),$AR$1178,HLOOKUP(INDIRECT(ADDRESS(2,COLUMN())),OFFSET($BN$2,0,0,ROW()-1,60),ROW()-1,FALSE))</f>
        <v>1.374321881</v>
      </c>
      <c r="AS518">
        <f ca="1">IF(AND(ISNUMBER($AS$1178),$B$677=1),$AS$1178,HLOOKUP(INDIRECT(ADDRESS(2,COLUMN())),OFFSET($BN$2,0,0,ROW()-1,60),ROW()-1,FALSE))</f>
        <v>1.428571429</v>
      </c>
      <c r="AT518">
        <f ca="1">IF(AND(ISNUMBER($AT$1178),$B$677=1),$AT$1178,HLOOKUP(INDIRECT(ADDRESS(2,COLUMN())),OFFSET($BN$2,0,0,ROW()-1,60),ROW()-1,FALSE))</f>
        <v>2.7213822890000001</v>
      </c>
      <c r="AU518">
        <f ca="1">IF(AND(ISNUMBER($AU$1178),$B$677=1),$AU$1178,HLOOKUP(INDIRECT(ADDRESS(2,COLUMN())),OFFSET($BN$2,0,0,ROW()-1,60),ROW()-1,FALSE))</f>
        <v>3.305351522</v>
      </c>
      <c r="AV518">
        <f ca="1">IF(AND(ISNUMBER($AV$1178),$B$677=1),$AV$1178,HLOOKUP(INDIRECT(ADDRESS(2,COLUMN())),OFFSET($BN$2,0,0,ROW()-1,60),ROW()-1,FALSE))</f>
        <v>2.0388349510000001</v>
      </c>
      <c r="AW518">
        <f ca="1">IF(AND(ISNUMBER($AW$1178),$B$677=1),$AW$1178,HLOOKUP(INDIRECT(ADDRESS(2,COLUMN())),OFFSET($BN$2,0,0,ROW()-1,60),ROW()-1,FALSE))</f>
        <v>1.7451523550000001</v>
      </c>
      <c r="AX518">
        <f ca="1">IF(AND(ISNUMBER($AX$1178),$B$677=1),$AX$1178,HLOOKUP(INDIRECT(ADDRESS(2,COLUMN())),OFFSET($BN$2,0,0,ROW()-1,60),ROW()-1,FALSE))</f>
        <v>3.0228470999999999</v>
      </c>
      <c r="AY518">
        <f ca="1">IF(AND(ISNUMBER($AY$1178),$B$677=1),$AY$1178,HLOOKUP(INDIRECT(ADDRESS(2,COLUMN())),OFFSET($BN$2,0,0,ROW()-1,60),ROW()-1,FALSE))</f>
        <v>2.2933333330000001</v>
      </c>
      <c r="AZ518">
        <f ca="1">IF(AND(ISNUMBER($AZ$1178),$B$677=1),$AZ$1178,HLOOKUP(INDIRECT(ADDRESS(2,COLUMN())),OFFSET($BN$2,0,0,ROW()-1,60),ROW()-1,FALSE))</f>
        <v>2.227979275</v>
      </c>
      <c r="BA518">
        <f ca="1">IF(AND(ISNUMBER($BA$1178),$B$677=1),$BA$1178,HLOOKUP(INDIRECT(ADDRESS(2,COLUMN())),OFFSET($BN$2,0,0,ROW()-1,60),ROW()-1,FALSE))</f>
        <v>1.9111111110000001</v>
      </c>
      <c r="BB518">
        <f ca="1">IF(AND(ISNUMBER($BB$1178),$B$677=1),$BB$1178,HLOOKUP(INDIRECT(ADDRESS(2,COLUMN())),OFFSET($BN$2,0,0,ROW()-1,60),ROW()-1,FALSE))</f>
        <v>1.8004866180000001</v>
      </c>
      <c r="BC518">
        <f ca="1">IF(AND(ISNUMBER($BC$1178),$B$677=1),$BC$1178,HLOOKUP(INDIRECT(ADDRESS(2,COLUMN())),OFFSET($BN$2,0,0,ROW()-1,60),ROW()-1,FALSE))</f>
        <v>1.5744680849999999</v>
      </c>
      <c r="BD518">
        <f ca="1">IF(AND(ISNUMBER($BD$1178),$B$677=1),$BD$1178,HLOOKUP(INDIRECT(ADDRESS(2,COLUMN())),OFFSET($BN$2,0,0,ROW()-1,60),ROW()-1,FALSE))</f>
        <v>2.01511335</v>
      </c>
      <c r="BE518">
        <f ca="1">IF(AND(ISNUMBER($BE$1178),$B$677=1),$BE$1178,HLOOKUP(INDIRECT(ADDRESS(2,COLUMN())),OFFSET($BN$2,0,0,ROW()-1,60),ROW()-1,FALSE))</f>
        <v>2.2038567489999998</v>
      </c>
      <c r="BF518">
        <f ca="1">IF(AND(ISNUMBER($BF$1178),$B$677=1),$BF$1178,HLOOKUP(INDIRECT(ADDRESS(2,COLUMN())),OFFSET($BN$2,0,0,ROW()-1,60),ROW()-1,FALSE))</f>
        <v>1.371742112</v>
      </c>
      <c r="BG518">
        <f ca="1">IF(AND(ISNUMBER($BG$1178),$B$677=1),$BG$1178,HLOOKUP(INDIRECT(ADDRESS(2,COLUMN())),OFFSET($BN$2,0,0,ROW()-1,60),ROW()-1,FALSE))</f>
        <v>1.4858841009999999</v>
      </c>
      <c r="BH518">
        <f ca="1">IF(AND(ISNUMBER($BH$1178),$B$677=1),$BH$1178,HLOOKUP(INDIRECT(ADDRESS(2,COLUMN())),OFFSET($BN$2,0,0,ROW()-1,60),ROW()-1,FALSE))</f>
        <v>1.5576323990000001</v>
      </c>
      <c r="BI518">
        <f ca="1">IF(AND(ISNUMBER($BI$1178),$B$677=1),$BI$1178,HLOOKUP(INDIRECT(ADDRESS(2,COLUMN())),OFFSET($BN$2,0,0,ROW()-1,60),ROW()-1,FALSE))</f>
        <v>1.828153565</v>
      </c>
      <c r="BJ518">
        <f ca="1">IF(AND(ISNUMBER($BJ$1178),$B$677=1),$BJ$1178,HLOOKUP(INDIRECT(ADDRESS(2,COLUMN())),OFFSET($BN$2,0,0,ROW()-1,60),ROW()-1,FALSE))</f>
        <v>1.210428305</v>
      </c>
      <c r="BK518">
        <f ca="1">IF(AND(ISNUMBER($BK$1178),$B$677=1),$BK$1178,HLOOKUP(INDIRECT(ADDRESS(2,COLUMN())),OFFSET($BN$2,0,0,ROW()-1,60),ROW()-1,FALSE))</f>
        <v>1.224105461</v>
      </c>
      <c r="BL518">
        <f ca="1">IF(AND(ISNUMBER($BL$1178),$B$677=1),$BL$1178,HLOOKUP(INDIRECT(ADDRESS(2,COLUMN())),OFFSET($BN$2,0,0,ROW()-1,60),ROW()-1,FALSE))</f>
        <v>1.217228464</v>
      </c>
      <c r="BM518">
        <f ca="1">IF(AND(ISNUMBER($BM$1178),$B$677=1),$BM$1178,HLOOKUP(INDIRECT(ADDRESS(2,COLUMN())),OFFSET($BN$2,0,0,ROW()-1,60),ROW()-1,FALSE))</f>
        <v>1.2357414449999999</v>
      </c>
      <c r="BN518">
        <f>3.552</f>
        <v>3.552</v>
      </c>
      <c r="BO518">
        <f>3.834859216</f>
        <v>3.8348592159999999</v>
      </c>
      <c r="BP518">
        <f>3.227682466</f>
        <v>3.2276824660000001</v>
      </c>
      <c r="BQ518">
        <f>3.41223486</f>
        <v>3.4122348599999999</v>
      </c>
      <c r="BR518">
        <f>2.732240437</f>
        <v>2.7322404370000002</v>
      </c>
      <c r="BS518">
        <f>2.589331952</f>
        <v>2.5893319520000002</v>
      </c>
      <c r="BT518">
        <f>3.00120048</f>
        <v>3.0012004800000001</v>
      </c>
      <c r="BU518">
        <f>3.263707572</f>
        <v>3.2637075719999999</v>
      </c>
      <c r="BV518">
        <f>2.74544912</f>
        <v>2.74544912</v>
      </c>
      <c r="BW518">
        <f>2.693997072</f>
        <v>2.6939970720000002</v>
      </c>
      <c r="BX518">
        <f>3.186147186</f>
        <v>3.1861471859999999</v>
      </c>
      <c r="BY518">
        <f>3.576287658</f>
        <v>3.576287658</v>
      </c>
      <c r="BZ518">
        <f>2.851587816</f>
        <v>2.8515878159999999</v>
      </c>
      <c r="CA518">
        <f>2.250639386</f>
        <v>2.250639386</v>
      </c>
      <c r="CB518">
        <f>2.486578129</f>
        <v>2.4865781290000002</v>
      </c>
      <c r="CC518">
        <f>2.22138079</f>
        <v>2.22138079</v>
      </c>
      <c r="CD518">
        <f>2.25467589</f>
        <v>2.2546758900000001</v>
      </c>
      <c r="CE518">
        <f>2.495745888</f>
        <v>2.4957458880000001</v>
      </c>
      <c r="CF518">
        <f>2.315789474</f>
        <v>2.3157894739999998</v>
      </c>
      <c r="CG518">
        <f>2.487984167</f>
        <v>2.487984167</v>
      </c>
      <c r="CH518">
        <f>2.256466703</f>
        <v>2.2564667030000001</v>
      </c>
      <c r="CI518">
        <f>1.893764434</f>
        <v>1.8937644339999999</v>
      </c>
      <c r="CJ518">
        <f>2.195448461</f>
        <v>2.1954484609999998</v>
      </c>
      <c r="CK518">
        <f>2.225237449</f>
        <v>2.2252374490000002</v>
      </c>
      <c r="CL518">
        <f>2.137834037</f>
        <v>2.1378340370000002</v>
      </c>
      <c r="CM518">
        <f>2.416534181</f>
        <v>2.4165341809999998</v>
      </c>
      <c r="CN518">
        <f>3.170629954</f>
        <v>3.1706299539999998</v>
      </c>
      <c r="CO518">
        <f>2.764641688</f>
        <v>2.7646416880000002</v>
      </c>
      <c r="CP518">
        <f>1.907790143</f>
        <v>1.9077901429999999</v>
      </c>
      <c r="CQ518">
        <f>2.555366269</f>
        <v>2.5553662689999999</v>
      </c>
      <c r="CR518">
        <f>2.609830361</f>
        <v>2.6098303610000002</v>
      </c>
      <c r="CS518">
        <f>1.944894652</f>
        <v>1.9448946519999999</v>
      </c>
      <c r="CT518">
        <f>1.728</f>
        <v>1.728</v>
      </c>
      <c r="CU518">
        <f>1.67962675</f>
        <v>1.6796267499999999</v>
      </c>
      <c r="CV518">
        <f>1.822477219</f>
        <v>1.822477219</v>
      </c>
      <c r="CW518">
        <f>2.079322295</f>
        <v>2.0793222949999999</v>
      </c>
      <c r="CX518">
        <f>1.151515152</f>
        <v>1.151515152</v>
      </c>
      <c r="CY518">
        <f>1.221864952</f>
        <v>1.221864952</v>
      </c>
      <c r="CZ518">
        <f>1.374321881</f>
        <v>1.374321881</v>
      </c>
      <c r="DA518">
        <f>1.428571429</f>
        <v>1.428571429</v>
      </c>
      <c r="DB518">
        <f>2.721382289</f>
        <v>2.7213822890000001</v>
      </c>
      <c r="DC518">
        <f>3.305351522</f>
        <v>3.305351522</v>
      </c>
      <c r="DD518">
        <f>2.038834951</f>
        <v>2.0388349510000001</v>
      </c>
      <c r="DE518">
        <f>1.745152355</f>
        <v>1.7451523550000001</v>
      </c>
      <c r="DF518">
        <f>3.0228471</f>
        <v>3.0228470999999999</v>
      </c>
      <c r="DG518">
        <f>2.293333333</f>
        <v>2.2933333330000001</v>
      </c>
      <c r="DH518">
        <f>2.227979275</f>
        <v>2.227979275</v>
      </c>
      <c r="DI518">
        <f>1.911111111</f>
        <v>1.9111111110000001</v>
      </c>
      <c r="DJ518">
        <f>1.800486618</f>
        <v>1.8004866180000001</v>
      </c>
      <c r="DK518">
        <f>1.574468085</f>
        <v>1.5744680849999999</v>
      </c>
      <c r="DL518">
        <f>2.01511335</f>
        <v>2.01511335</v>
      </c>
      <c r="DM518">
        <f>2.203856749</f>
        <v>2.2038567489999998</v>
      </c>
      <c r="DN518">
        <f>1.371742112</f>
        <v>1.371742112</v>
      </c>
      <c r="DO518">
        <f>1.485884101</f>
        <v>1.4858841009999999</v>
      </c>
      <c r="DP518">
        <f>1.557632399</f>
        <v>1.5576323990000001</v>
      </c>
      <c r="DQ518">
        <f>1.828153565</f>
        <v>1.828153565</v>
      </c>
      <c r="DR518">
        <f>1.210428305</f>
        <v>1.210428305</v>
      </c>
      <c r="DS518">
        <f>1.224105461</f>
        <v>1.224105461</v>
      </c>
      <c r="DT518">
        <f>1.217228464</f>
        <v>1.217228464</v>
      </c>
      <c r="DU518">
        <f>1.235741445</f>
        <v>1.2357414449999999</v>
      </c>
    </row>
    <row r="519" spans="1:125" x14ac:dyDescent="0.25">
      <c r="A519" t="str">
        <f>"    Hyundai Motor Co"</f>
        <v xml:space="preserve">    Hyundai Motor Co</v>
      </c>
      <c r="B519" t="str">
        <f>"005380 KS Equity"</f>
        <v>005380 KS Equity</v>
      </c>
      <c r="C519" t="str">
        <f t="shared" si="36"/>
        <v>DV013</v>
      </c>
      <c r="D519" t="str">
        <f t="shared" si="37"/>
        <v>EQY_DVD_YLD_IND</v>
      </c>
      <c r="E519" t="str">
        <f t="shared" si="38"/>
        <v>Dynamic</v>
      </c>
      <c r="F519">
        <f ca="1">IF(AND(ISNUMBER($F$1179),$B$677=1),$F$1179,HLOOKUP(INDIRECT(ADDRESS(2,COLUMN())),OFFSET($BN$2,0,0,ROW()-1,60),ROW()-1,FALSE))</f>
        <v>3.3057851239999998</v>
      </c>
      <c r="G519">
        <f ca="1">IF(AND(ISNUMBER($G$1179),$B$677=1),$G$1179,HLOOKUP(INDIRECT(ADDRESS(2,COLUMN())),OFFSET($BN$2,0,0,ROW()-1,60),ROW()-1,FALSE))</f>
        <v>3.3755274260000001</v>
      </c>
      <c r="H519">
        <f ca="1">IF(AND(ISNUMBER($H$1179),$B$677=1),$H$1179,HLOOKUP(INDIRECT(ADDRESS(2,COLUMN())),OFFSET($BN$2,0,0,ROW()-1,60),ROW()-1,FALSE))</f>
        <v>3.0888030889999998</v>
      </c>
      <c r="I519">
        <f ca="1">IF(AND(ISNUMBER($I$1179),$B$677=1),$I$1179,HLOOKUP(INDIRECT(ADDRESS(2,COLUMN())),OFFSET($BN$2,0,0,ROW()-1,60),ROW()-1,FALSE))</f>
        <v>3.1872509959999999</v>
      </c>
      <c r="J519">
        <f ca="1">IF(AND(ISNUMBER($J$1179),$B$677=1),$J$1179,HLOOKUP(INDIRECT(ADDRESS(2,COLUMN())),OFFSET($BN$2,0,0,ROW()-1,60),ROW()-1,FALSE))</f>
        <v>2.7874564460000002</v>
      </c>
      <c r="K519">
        <f ca="1">IF(AND(ISNUMBER($K$1179),$B$677=1),$K$1179,HLOOKUP(INDIRECT(ADDRESS(2,COLUMN())),OFFSET($BN$2,0,0,ROW()-1,60),ROW()-1,FALSE))</f>
        <v>2.5641025640000001</v>
      </c>
      <c r="L519">
        <f ca="1">IF(AND(ISNUMBER($L$1179),$B$677=1),$L$1179,HLOOKUP(INDIRECT(ADDRESS(2,COLUMN())),OFFSET($BN$2,0,0,ROW()-1,60),ROW()-1,FALSE))</f>
        <v>2.6578073089999998</v>
      </c>
      <c r="M519">
        <f ca="1">IF(AND(ISNUMBER($M$1179),$B$677=1),$M$1179,HLOOKUP(INDIRECT(ADDRESS(2,COLUMN())),OFFSET($BN$2,0,0,ROW()-1,60),ROW()-1,FALSE))</f>
        <v>2.507836991</v>
      </c>
      <c r="N519">
        <f ca="1">IF(AND(ISNUMBER($N$1179),$B$677=1),$N$1179,HLOOKUP(INDIRECT(ADDRESS(2,COLUMN())),OFFSET($BN$2,0,0,ROW()-1,60),ROW()-1,FALSE))</f>
        <v>2.5396825399999998</v>
      </c>
      <c r="O519">
        <f ca="1">IF(AND(ISNUMBER($O$1179),$B$677=1),$O$1179,HLOOKUP(INDIRECT(ADDRESS(2,COLUMN())),OFFSET($BN$2,0,0,ROW()-1,60),ROW()-1,FALSE))</f>
        <v>2.7397260270000001</v>
      </c>
      <c r="P519">
        <f ca="1">IF(AND(ISNUMBER($P$1179),$B$677=1),$P$1179,HLOOKUP(INDIRECT(ADDRESS(2,COLUMN())),OFFSET($BN$2,0,0,ROW()-1,60),ROW()-1,FALSE))</f>
        <v>2.95202952</v>
      </c>
      <c r="Q519">
        <f ca="1">IF(AND(ISNUMBER($Q$1179),$B$677=1),$Q$1179,HLOOKUP(INDIRECT(ADDRESS(2,COLUMN())),OFFSET($BN$2,0,0,ROW()-1,60),ROW()-1,FALSE))</f>
        <v>2.95202952</v>
      </c>
      <c r="R519">
        <f ca="1">IF(AND(ISNUMBER($R$1179),$B$677=1),$R$1179,HLOOKUP(INDIRECT(ADDRESS(2,COLUMN())),OFFSET($BN$2,0,0,ROW()-1,60),ROW()-1,FALSE))</f>
        <v>2.6229508199999998</v>
      </c>
      <c r="S519">
        <f ca="1">IF(AND(ISNUMBER($S$1179),$B$677=1),$S$1179,HLOOKUP(INDIRECT(ADDRESS(2,COLUMN())),OFFSET($BN$2,0,0,ROW()-1,60),ROW()-1,FALSE))</f>
        <v>1.342281879</v>
      </c>
      <c r="T519">
        <f ca="1">IF(AND(ISNUMBER($T$1179),$B$677=1),$T$1179,HLOOKUP(INDIRECT(ADDRESS(2,COLUMN())),OFFSET($BN$2,0,0,ROW()-1,60),ROW()-1,FALSE))</f>
        <v>1.2195121950000001</v>
      </c>
      <c r="U519">
        <f ca="1">IF(AND(ISNUMBER($U$1179),$B$677=1),$U$1179,HLOOKUP(INDIRECT(ADDRESS(2,COLUMN())),OFFSET($BN$2,0,0,ROW()-1,60),ROW()-1,FALSE))</f>
        <v>2.2058823529999998</v>
      </c>
      <c r="V519">
        <f ca="1">IF(AND(ISNUMBER($V$1179),$B$677=1),$V$1179,HLOOKUP(INDIRECT(ADDRESS(2,COLUMN())),OFFSET($BN$2,0,0,ROW()-1,60),ROW()-1,FALSE))</f>
        <v>1.7804154299999999</v>
      </c>
      <c r="W519">
        <f ca="1">IF(AND(ISNUMBER($W$1179),$B$677=1),$W$1179,HLOOKUP(INDIRECT(ADDRESS(2,COLUMN())),OFFSET($BN$2,0,0,ROW()-1,60),ROW()-1,FALSE))</f>
        <v>1.153846154</v>
      </c>
      <c r="X519">
        <f ca="1">IF(AND(ISNUMBER($X$1179),$B$677=1),$X$1179,HLOOKUP(INDIRECT(ADDRESS(2,COLUMN())),OFFSET($BN$2,0,0,ROW()-1,60),ROW()-1,FALSE))</f>
        <v>1.0236220469999999</v>
      </c>
      <c r="Y519">
        <f ca="1">IF(AND(ISNUMBER($Y$1179),$B$677=1),$Y$1179,HLOOKUP(INDIRECT(ADDRESS(2,COLUMN())),OFFSET($BN$2,0,0,ROW()-1,60),ROW()-1,FALSE))</f>
        <v>0.84967320300000004</v>
      </c>
      <c r="Z519">
        <f ca="1">IF(AND(ISNUMBER($Z$1179),$B$677=1),$Z$1179,HLOOKUP(INDIRECT(ADDRESS(2,COLUMN())),OFFSET($BN$2,0,0,ROW()-1,60),ROW()-1,FALSE))</f>
        <v>0.77689242999999997</v>
      </c>
      <c r="AA519">
        <f ca="1">IF(AND(ISNUMBER($AA$1179),$B$677=1),$AA$1179,HLOOKUP(INDIRECT(ADDRESS(2,COLUMN())),OFFSET($BN$2,0,0,ROW()-1,60),ROW()-1,FALSE))</f>
        <v>0.80338266400000002</v>
      </c>
      <c r="AB519">
        <f ca="1">IF(AND(ISNUMBER($AB$1179),$B$677=1),$AB$1179,HLOOKUP(INDIRECT(ADDRESS(2,COLUMN())),OFFSET($BN$2,0,0,ROW()-1,60),ROW()-1,FALSE))</f>
        <v>0.75697211200000003</v>
      </c>
      <c r="AC519">
        <f ca="1">IF(AND(ISNUMBER($AC$1179),$B$677=1),$AC$1179,HLOOKUP(INDIRECT(ADDRESS(2,COLUMN())),OFFSET($BN$2,0,0,ROW()-1,60),ROW()-1,FALSE))</f>
        <v>0.84257206200000001</v>
      </c>
      <c r="AD519">
        <f ca="1">IF(AND(ISNUMBER($AD$1179),$B$677=1),$AD$1179,HLOOKUP(INDIRECT(ADDRESS(2,COLUMN())),OFFSET($BN$2,0,0,ROW()-1,60),ROW()-1,FALSE))</f>
        <v>0.84821428600000004</v>
      </c>
      <c r="AE519">
        <f ca="1">IF(AND(ISNUMBER($AE$1179),$B$677=1),$AE$1179,HLOOKUP(INDIRECT(ADDRESS(2,COLUMN())),OFFSET($BN$2,0,0,ROW()-1,60),ROW()-1,FALSE))</f>
        <v>0.80091533199999998</v>
      </c>
      <c r="AF519">
        <f ca="1">IF(AND(ISNUMBER($AF$1179),$B$677=1),$AF$1179,HLOOKUP(INDIRECT(ADDRESS(2,COLUMN())),OFFSET($BN$2,0,0,ROW()-1,60),ROW()-1,FALSE))</f>
        <v>0.69444444400000005</v>
      </c>
      <c r="AG519">
        <f ca="1">IF(AND(ISNUMBER($AG$1179),$B$677=1),$AG$1179,HLOOKUP(INDIRECT(ADDRESS(2,COLUMN())),OFFSET($BN$2,0,0,ROW()-1,60),ROW()-1,FALSE))</f>
        <v>0.75268817200000004</v>
      </c>
      <c r="AH519">
        <f ca="1">IF(AND(ISNUMBER($AH$1179),$B$677=1),$AH$1179,HLOOKUP(INDIRECT(ADDRESS(2,COLUMN())),OFFSET($BN$2,0,0,ROW()-1,60),ROW()-1,FALSE))</f>
        <v>0.75107296099999998</v>
      </c>
      <c r="AI519">
        <f ca="1">IF(AND(ISNUMBER($AI$1179),$B$677=1),$AI$1179,HLOOKUP(INDIRECT(ADDRESS(2,COLUMN())),OFFSET($BN$2,0,0,ROW()-1,60),ROW()-1,FALSE))</f>
        <v>0.70422535200000003</v>
      </c>
      <c r="AJ519">
        <f ca="1">IF(AND(ISNUMBER($AJ$1179),$B$677=1),$AJ$1179,HLOOKUP(INDIRECT(ADDRESS(2,COLUMN())),OFFSET($BN$2,0,0,ROW()-1,60),ROW()-1,FALSE))</f>
        <v>0.710900474</v>
      </c>
      <c r="AK519">
        <f ca="1">IF(AND(ISNUMBER($AK$1179),$B$677=1),$AK$1179,HLOOKUP(INDIRECT(ADDRESS(2,COLUMN())),OFFSET($BN$2,0,0,ROW()-1,60),ROW()-1,FALSE))</f>
        <v>0.63291139200000002</v>
      </c>
      <c r="AL519">
        <f ca="1">IF(AND(ISNUMBER($AL$1179),$B$677=1),$AL$1179,HLOOKUP(INDIRECT(ADDRESS(2,COLUMN())),OFFSET($BN$2,0,0,ROW()-1,60),ROW()-1,FALSE))</f>
        <v>0.73891625599999999</v>
      </c>
      <c r="AM519">
        <f ca="1">IF(AND(ISNUMBER($AM$1179),$B$677=1),$AM$1179,HLOOKUP(INDIRECT(ADDRESS(2,COLUMN())),OFFSET($BN$2,0,0,ROW()-1,60),ROW()-1,FALSE))</f>
        <v>0.66282420799999997</v>
      </c>
      <c r="AN519">
        <f ca="1">IF(AND(ISNUMBER($AN$1179),$B$677=1),$AN$1179,HLOOKUP(INDIRECT(ADDRESS(2,COLUMN())),OFFSET($BN$2,0,0,ROW()-1,60),ROW()-1,FALSE))</f>
        <v>0.75163398699999995</v>
      </c>
      <c r="AO519">
        <f ca="1">IF(AND(ISNUMBER($AO$1179),$B$677=1),$AO$1179,HLOOKUP(INDIRECT(ADDRESS(2,COLUMN())),OFFSET($BN$2,0,0,ROW()-1,60),ROW()-1,FALSE))</f>
        <v>0.79584775100000005</v>
      </c>
      <c r="AP519">
        <f ca="1">IF(AND(ISNUMBER($AP$1179),$B$677=1),$AP$1179,HLOOKUP(INDIRECT(ADDRESS(2,COLUMN())),OFFSET($BN$2,0,0,ROW()-1,60),ROW()-1,FALSE))</f>
        <v>0.99567099599999997</v>
      </c>
      <c r="AQ519">
        <f ca="1">IF(AND(ISNUMBER($AQ$1179),$B$677=1),$AQ$1179,HLOOKUP(INDIRECT(ADDRESS(2,COLUMN())),OFFSET($BN$2,0,0,ROW()-1,60),ROW()-1,FALSE))</f>
        <v>0.70247933900000004</v>
      </c>
      <c r="AR519">
        <f ca="1">IF(AND(ISNUMBER($AR$1179),$B$677=1),$AR$1179,HLOOKUP(INDIRECT(ADDRESS(2,COLUMN())),OFFSET($BN$2,0,0,ROW()-1,60),ROW()-1,FALSE))</f>
        <v>0.76233183900000001</v>
      </c>
      <c r="AS519">
        <f ca="1">IF(AND(ISNUMBER($AS$1179),$B$677=1),$AS$1179,HLOOKUP(INDIRECT(ADDRESS(2,COLUMN())),OFFSET($BN$2,0,0,ROW()-1,60),ROW()-1,FALSE))</f>
        <v>1.147098516</v>
      </c>
      <c r="AT519">
        <f ca="1">IF(AND(ISNUMBER($AT$1179),$B$677=1),$AT$1179,HLOOKUP(INDIRECT(ADDRESS(2,COLUMN())),OFFSET($BN$2,0,0,ROW()-1,60),ROW()-1,FALSE))</f>
        <v>1.531531532</v>
      </c>
      <c r="AU519">
        <f ca="1">IF(AND(ISNUMBER($AU$1179),$B$677=1),$AU$1179,HLOOKUP(INDIRECT(ADDRESS(2,COLUMN())),OFFSET($BN$2,0,0,ROW()-1,60),ROW()-1,FALSE))</f>
        <v>2.5316455699999998</v>
      </c>
      <c r="AV519">
        <f ca="1">IF(AND(ISNUMBER($AV$1179),$B$677=1),$AV$1179,HLOOKUP(INDIRECT(ADDRESS(2,COLUMN())),OFFSET($BN$2,0,0,ROW()-1,60),ROW()-1,FALSE))</f>
        <v>1.360544218</v>
      </c>
      <c r="AW519">
        <f ca="1">IF(AND(ISNUMBER($AW$1179),$B$677=1),$AW$1179,HLOOKUP(INDIRECT(ADDRESS(2,COLUMN())),OFFSET($BN$2,0,0,ROW()-1,60),ROW()-1,FALSE))</f>
        <v>1.4084507040000001</v>
      </c>
      <c r="AX519">
        <f ca="1">IF(AND(ISNUMBER($AX$1179),$B$677=1),$AX$1179,HLOOKUP(INDIRECT(ADDRESS(2,COLUMN())),OFFSET($BN$2,0,0,ROW()-1,60),ROW()-1,FALSE))</f>
        <v>1.267427123</v>
      </c>
      <c r="AY519">
        <f ca="1">IF(AND(ISNUMBER($AY$1179),$B$677=1),$AY$1179,HLOOKUP(INDIRECT(ADDRESS(2,COLUMN())),OFFSET($BN$2,0,0,ROW()-1,60),ROW()-1,FALSE))</f>
        <v>1.3966480450000001</v>
      </c>
      <c r="AZ519">
        <f ca="1">IF(AND(ISNUMBER($AZ$1179),$B$677=1),$AZ$1179,HLOOKUP(INDIRECT(ADDRESS(2,COLUMN())),OFFSET($BN$2,0,0,ROW()-1,60),ROW()-1,FALSE))</f>
        <v>1.353179973</v>
      </c>
      <c r="BA519">
        <f ca="1">IF(AND(ISNUMBER($BA$1179),$B$677=1),$BA$1179,HLOOKUP(INDIRECT(ADDRESS(2,COLUMN())),OFFSET($BN$2,0,0,ROW()-1,60),ROW()-1,FALSE))</f>
        <v>1.3698630140000001</v>
      </c>
      <c r="BB519">
        <f ca="1">IF(AND(ISNUMBER($BB$1179),$B$677=1),$BB$1179,HLOOKUP(INDIRECT(ADDRESS(2,COLUMN())),OFFSET($BN$2,0,0,ROW()-1,60),ROW()-1,FALSE))</f>
        <v>1.512859304</v>
      </c>
      <c r="BC519">
        <f ca="1">IF(AND(ISNUMBER($BC$1179),$B$677=1),$BC$1179,HLOOKUP(INDIRECT(ADDRESS(2,COLUMN())),OFFSET($BN$2,0,0,ROW()-1,60),ROW()-1,FALSE))</f>
        <v>1.854599407</v>
      </c>
      <c r="BD519">
        <f ca="1">IF(AND(ISNUMBER($BD$1179),$B$677=1),$BD$1179,HLOOKUP(INDIRECT(ADDRESS(2,COLUMN())),OFFSET($BN$2,0,0,ROW()-1,60),ROW()-1,FALSE))</f>
        <v>1.543209877</v>
      </c>
      <c r="BE519">
        <f ca="1">IF(AND(ISNUMBER($BE$1179),$B$677=1),$BE$1179,HLOOKUP(INDIRECT(ADDRESS(2,COLUMN())),OFFSET($BN$2,0,0,ROW()-1,60),ROW()-1,FALSE))</f>
        <v>1.5508684859999999</v>
      </c>
      <c r="BF519">
        <f ca="1">IF(AND(ISNUMBER($BF$1179),$B$677=1),$BF$1179,HLOOKUP(INDIRECT(ADDRESS(2,COLUMN())),OFFSET($BN$2,0,0,ROW()-1,60),ROW()-1,FALSE))</f>
        <v>1.52998776</v>
      </c>
      <c r="BG519">
        <f ca="1">IF(AND(ISNUMBER($BG$1179),$B$677=1),$BG$1179,HLOOKUP(INDIRECT(ADDRESS(2,COLUMN())),OFFSET($BN$2,0,0,ROW()-1,60),ROW()-1,FALSE))</f>
        <v>1.1819116140000001</v>
      </c>
      <c r="BH519">
        <f ca="1">IF(AND(ISNUMBER($BH$1179),$B$677=1),$BH$1179,HLOOKUP(INDIRECT(ADDRESS(2,COLUMN())),OFFSET($BN$2,0,0,ROW()-1,60),ROW()-1,FALSE))</f>
        <v>1.4110429449999999</v>
      </c>
      <c r="BI519">
        <f ca="1">IF(AND(ISNUMBER($BI$1179),$B$677=1),$BI$1179,HLOOKUP(INDIRECT(ADDRESS(2,COLUMN())),OFFSET($BN$2,0,0,ROW()-1,60),ROW()-1,FALSE))</f>
        <v>2</v>
      </c>
      <c r="BJ519">
        <f ca="1">IF(AND(ISNUMBER($BJ$1179),$B$677=1),$BJ$1179,HLOOKUP(INDIRECT(ADDRESS(2,COLUMN())),OFFSET($BN$2,0,0,ROW()-1,60),ROW()-1,FALSE))</f>
        <v>2.0909090909999999</v>
      </c>
      <c r="BK519">
        <f ca="1">IF(AND(ISNUMBER($BK$1179),$B$677=1),$BK$1179,HLOOKUP(INDIRECT(ADDRESS(2,COLUMN())),OFFSET($BN$2,0,0,ROW()-1,60),ROW()-1,FALSE))</f>
        <v>1.801801802</v>
      </c>
      <c r="BL519">
        <f ca="1">IF(AND(ISNUMBER($BL$1179),$B$677=1),$BL$1179,HLOOKUP(INDIRECT(ADDRESS(2,COLUMN())),OFFSET($BN$2,0,0,ROW()-1,60),ROW()-1,FALSE))</f>
        <v>1.883239171</v>
      </c>
      <c r="BM519">
        <f ca="1">IF(AND(ISNUMBER($BM$1179),$B$677=1),$BM$1179,HLOOKUP(INDIRECT(ADDRESS(2,COLUMN())),OFFSET($BN$2,0,0,ROW()-1,60),ROW()-1,FALSE))</f>
        <v>2.2497187850000002</v>
      </c>
      <c r="BN519">
        <f>3.305785124</f>
        <v>3.3057851239999998</v>
      </c>
      <c r="BO519">
        <f>3.375527426</f>
        <v>3.3755274260000001</v>
      </c>
      <c r="BP519">
        <f>3.088803089</f>
        <v>3.0888030889999998</v>
      </c>
      <c r="BQ519">
        <f>3.187250996</f>
        <v>3.1872509959999999</v>
      </c>
      <c r="BR519">
        <f>2.787456446</f>
        <v>2.7874564460000002</v>
      </c>
      <c r="BS519">
        <f>2.564102564</f>
        <v>2.5641025640000001</v>
      </c>
      <c r="BT519">
        <f>2.657807309</f>
        <v>2.6578073089999998</v>
      </c>
      <c r="BU519">
        <f>2.507836991</f>
        <v>2.507836991</v>
      </c>
      <c r="BV519">
        <f>2.53968254</f>
        <v>2.5396825399999998</v>
      </c>
      <c r="BW519">
        <f>2.739726027</f>
        <v>2.7397260270000001</v>
      </c>
      <c r="BX519">
        <f>2.95202952</f>
        <v>2.95202952</v>
      </c>
      <c r="BY519">
        <f>2.95202952</f>
        <v>2.95202952</v>
      </c>
      <c r="BZ519">
        <f>2.62295082</f>
        <v>2.6229508199999998</v>
      </c>
      <c r="CA519">
        <f>1.342281879</f>
        <v>1.342281879</v>
      </c>
      <c r="CB519">
        <f>1.219512195</f>
        <v>1.2195121950000001</v>
      </c>
      <c r="CC519">
        <f>2.205882353</f>
        <v>2.2058823529999998</v>
      </c>
      <c r="CD519">
        <f>1.78041543</f>
        <v>1.7804154299999999</v>
      </c>
      <c r="CE519">
        <f>1.153846154</f>
        <v>1.153846154</v>
      </c>
      <c r="CF519">
        <f>1.023622047</f>
        <v>1.0236220469999999</v>
      </c>
      <c r="CG519">
        <f>0.849673203</f>
        <v>0.84967320300000004</v>
      </c>
      <c r="CH519">
        <f>0.77689243</f>
        <v>0.77689242999999997</v>
      </c>
      <c r="CI519">
        <f>0.803382664</f>
        <v>0.80338266400000002</v>
      </c>
      <c r="CJ519">
        <f>0.756972112</f>
        <v>0.75697211200000003</v>
      </c>
      <c r="CK519">
        <f>0.842572062</f>
        <v>0.84257206200000001</v>
      </c>
      <c r="CL519">
        <f>0.848214286</f>
        <v>0.84821428600000004</v>
      </c>
      <c r="CM519">
        <f>0.800915332</f>
        <v>0.80091533199999998</v>
      </c>
      <c r="CN519">
        <f>0.694444444</f>
        <v>0.69444444400000005</v>
      </c>
      <c r="CO519">
        <f>0.752688172</f>
        <v>0.75268817200000004</v>
      </c>
      <c r="CP519">
        <f>0.751072961</f>
        <v>0.75107296099999998</v>
      </c>
      <c r="CQ519">
        <f>0.704225352</f>
        <v>0.70422535200000003</v>
      </c>
      <c r="CR519">
        <f>0.710900474</f>
        <v>0.710900474</v>
      </c>
      <c r="CS519">
        <f>0.632911392</f>
        <v>0.63291139200000002</v>
      </c>
      <c r="CT519">
        <f>0.738916256</f>
        <v>0.73891625599999999</v>
      </c>
      <c r="CU519">
        <f>0.662824208</f>
        <v>0.66282420799999997</v>
      </c>
      <c r="CV519">
        <f>0.751633987</f>
        <v>0.75163398699999995</v>
      </c>
      <c r="CW519">
        <f>0.795847751</f>
        <v>0.79584775100000005</v>
      </c>
      <c r="CX519">
        <f>0.995670996</f>
        <v>0.99567099599999997</v>
      </c>
      <c r="CY519">
        <f>0.702479339</f>
        <v>0.70247933900000004</v>
      </c>
      <c r="CZ519">
        <f>0.762331839</f>
        <v>0.76233183900000001</v>
      </c>
      <c r="DA519">
        <f>1.147098516</f>
        <v>1.147098516</v>
      </c>
      <c r="DB519">
        <f>1.531531532</f>
        <v>1.531531532</v>
      </c>
      <c r="DC519">
        <f>2.53164557</f>
        <v>2.5316455699999998</v>
      </c>
      <c r="DD519">
        <f>1.360544218</f>
        <v>1.360544218</v>
      </c>
      <c r="DE519">
        <f>1.408450704</f>
        <v>1.4084507040000001</v>
      </c>
      <c r="DF519">
        <f>1.267427123</f>
        <v>1.267427123</v>
      </c>
      <c r="DG519">
        <f>1.396648045</f>
        <v>1.3966480450000001</v>
      </c>
      <c r="DH519">
        <f>1.353179973</f>
        <v>1.353179973</v>
      </c>
      <c r="DI519">
        <f>1.369863014</f>
        <v>1.3698630140000001</v>
      </c>
      <c r="DJ519">
        <f>1.512859304</f>
        <v>1.512859304</v>
      </c>
      <c r="DK519">
        <f>1.854599407</f>
        <v>1.854599407</v>
      </c>
      <c r="DL519">
        <f>1.543209877</f>
        <v>1.543209877</v>
      </c>
      <c r="DM519">
        <f>1.550868486</f>
        <v>1.5508684859999999</v>
      </c>
      <c r="DN519">
        <f>1.52998776</f>
        <v>1.52998776</v>
      </c>
      <c r="DO519">
        <f>1.181911614</f>
        <v>1.1819116140000001</v>
      </c>
      <c r="DP519">
        <f>1.411042945</f>
        <v>1.4110429449999999</v>
      </c>
      <c r="DQ519">
        <f>2</f>
        <v>2</v>
      </c>
      <c r="DR519">
        <f>2.090909091</f>
        <v>2.0909090909999999</v>
      </c>
      <c r="DS519">
        <f>1.801801802</f>
        <v>1.801801802</v>
      </c>
      <c r="DT519">
        <f>1.883239171</f>
        <v>1.883239171</v>
      </c>
      <c r="DU519">
        <f>2.249718785</f>
        <v>2.2497187850000002</v>
      </c>
    </row>
    <row r="520" spans="1:125" x14ac:dyDescent="0.25">
      <c r="A520" t="str">
        <f>"    Kia Motors Corp"</f>
        <v xml:space="preserve">    Kia Motors Corp</v>
      </c>
      <c r="B520" t="str">
        <f>"000270 KS Equity"</f>
        <v>000270 KS Equity</v>
      </c>
      <c r="C520" t="str">
        <f t="shared" si="36"/>
        <v>DV013</v>
      </c>
      <c r="D520" t="str">
        <f t="shared" si="37"/>
        <v>EQY_DVD_YLD_IND</v>
      </c>
      <c r="E520" t="str">
        <f t="shared" si="38"/>
        <v>Dynamic</v>
      </c>
      <c r="F520">
        <f ca="1">IF(AND(ISNUMBER($F$1180),$B$677=1),$F$1180,HLOOKUP(INDIRECT(ADDRESS(2,COLUMN())),OFFSET($BN$2,0,0,ROW()-1,60),ROW()-1,FALSE))</f>
        <v>2.5280898879999998</v>
      </c>
      <c r="G520">
        <f ca="1">IF(AND(ISNUMBER($G$1180),$B$677=1),$G$1180,HLOOKUP(INDIRECT(ADDRESS(2,COLUMN())),OFFSET($BN$2,0,0,ROW()-1,60),ROW()-1,FALSE))</f>
        <v>2.3738872400000002</v>
      </c>
      <c r="H520">
        <f ca="1">IF(AND(ISNUMBER($H$1180),$B$677=1),$H$1180,HLOOKUP(INDIRECT(ADDRESS(2,COLUMN())),OFFSET($BN$2,0,0,ROW()-1,60),ROW()-1,FALSE))</f>
        <v>2.2792022790000002</v>
      </c>
      <c r="I520">
        <f ca="1">IF(AND(ISNUMBER($I$1180),$B$677=1),$I$1180,HLOOKUP(INDIRECT(ADDRESS(2,COLUMN())),OFFSET($BN$2,0,0,ROW()-1,60),ROW()-1,FALSE))</f>
        <v>2.5931928690000001</v>
      </c>
      <c r="J520">
        <f ca="1">IF(AND(ISNUMBER($J$1180),$B$677=1),$J$1180,HLOOKUP(INDIRECT(ADDRESS(2,COLUMN())),OFFSET($BN$2,0,0,ROW()-1,60),ROW()-1,FALSE))</f>
        <v>2.5806451610000001</v>
      </c>
      <c r="K520">
        <f ca="1">IF(AND(ISNUMBER($K$1180),$B$677=1),$K$1180,HLOOKUP(INDIRECT(ADDRESS(2,COLUMN())),OFFSET($BN$2,0,0,ROW()-1,60),ROW()-1,FALSE))</f>
        <v>3.2835820899999999</v>
      </c>
      <c r="L520">
        <f ca="1">IF(AND(ISNUMBER($L$1180),$B$677=1),$L$1180,HLOOKUP(INDIRECT(ADDRESS(2,COLUMN())),OFFSET($BN$2,0,0,ROW()-1,60),ROW()-1,FALSE))</f>
        <v>3.4755134280000002</v>
      </c>
      <c r="M520">
        <f ca="1">IF(AND(ISNUMBER($M$1180),$B$677=1),$M$1180,HLOOKUP(INDIRECT(ADDRESS(2,COLUMN())),OFFSET($BN$2,0,0,ROW()-1,60),ROW()-1,FALSE))</f>
        <v>2.8795811520000001</v>
      </c>
      <c r="N520">
        <f ca="1">IF(AND(ISNUMBER($N$1180),$B$677=1),$N$1180,HLOOKUP(INDIRECT(ADDRESS(2,COLUMN())),OFFSET($BN$2,0,0,ROW()-1,60),ROW()-1,FALSE))</f>
        <v>2.968960864</v>
      </c>
      <c r="O520">
        <f ca="1">IF(AND(ISNUMBER($O$1180),$B$677=1),$O$1180,HLOOKUP(INDIRECT(ADDRESS(2,COLUMN())),OFFSET($BN$2,0,0,ROW()-1,60),ROW()-1,FALSE))</f>
        <v>2.802547771</v>
      </c>
      <c r="P520">
        <f ca="1">IF(AND(ISNUMBER($P$1180),$B$677=1),$P$1180,HLOOKUP(INDIRECT(ADDRESS(2,COLUMN())),OFFSET($BN$2,0,0,ROW()-1,60),ROW()-1,FALSE))</f>
        <v>2.6097271649999998</v>
      </c>
      <c r="Q520">
        <f ca="1">IF(AND(ISNUMBER($Q$1180),$B$677=1),$Q$1180,HLOOKUP(INDIRECT(ADDRESS(2,COLUMN())),OFFSET($BN$2,0,0,ROW()-1,60),ROW()-1,FALSE))</f>
        <v>2.546296296</v>
      </c>
      <c r="R520">
        <f ca="1">IF(AND(ISNUMBER($R$1180),$B$677=1),$R$1180,HLOOKUP(INDIRECT(ADDRESS(2,COLUMN())),OFFSET($BN$2,0,0,ROW()-1,60),ROW()-1,FALSE))</f>
        <v>2.277432712</v>
      </c>
      <c r="S520">
        <f ca="1">IF(AND(ISNUMBER($S$1180),$B$677=1),$S$1180,HLOOKUP(INDIRECT(ADDRESS(2,COLUMN())),OFFSET($BN$2,0,0,ROW()-1,60),ROW()-1,FALSE))</f>
        <v>1.901140684</v>
      </c>
      <c r="T520">
        <f ca="1">IF(AND(ISNUMBER($T$1180),$B$677=1),$T$1180,HLOOKUP(INDIRECT(ADDRESS(2,COLUMN())),OFFSET($BN$2,0,0,ROW()-1,60),ROW()-1,FALSE))</f>
        <v>1.8656716419999999</v>
      </c>
      <c r="U520">
        <f ca="1">IF(AND(ISNUMBER($U$1180),$B$677=1),$U$1180,HLOOKUP(INDIRECT(ADDRESS(2,COLUMN())),OFFSET($BN$2,0,0,ROW()-1,60),ROW()-1,FALSE))</f>
        <v>2.2075055190000001</v>
      </c>
      <c r="V520">
        <f ca="1">IF(AND(ISNUMBER($V$1180),$B$677=1),$V$1180,HLOOKUP(INDIRECT(ADDRESS(2,COLUMN())),OFFSET($BN$2,0,0,ROW()-1,60),ROW()-1,FALSE))</f>
        <v>2.2123893809999999</v>
      </c>
      <c r="W520">
        <f ca="1">IF(AND(ISNUMBER($W$1180),$B$677=1),$W$1180,HLOOKUP(INDIRECT(ADDRESS(2,COLUMN())),OFFSET($BN$2,0,0,ROW()-1,60),ROW()-1,FALSE))</f>
        <v>1.3384321219999999</v>
      </c>
      <c r="X520">
        <f ca="1">IF(AND(ISNUMBER($X$1180),$B$677=1),$X$1180,HLOOKUP(INDIRECT(ADDRESS(2,COLUMN())),OFFSET($BN$2,0,0,ROW()-1,60),ROW()-1,FALSE))</f>
        <v>1.3035381749999999</v>
      </c>
      <c r="Y520">
        <f ca="1">IF(AND(ISNUMBER($Y$1180),$B$677=1),$Y$1180,HLOOKUP(INDIRECT(ADDRESS(2,COLUMN())),OFFSET($BN$2,0,0,ROW()-1,60),ROW()-1,FALSE))</f>
        <v>1.236749117</v>
      </c>
      <c r="Z520">
        <f ca="1">IF(AND(ISNUMBER($Z$1180),$B$677=1),$Z$1180,HLOOKUP(INDIRECT(ADDRESS(2,COLUMN())),OFFSET($BN$2,0,0,ROW()-1,60),ROW()-1,FALSE))</f>
        <v>1.1804384489999999</v>
      </c>
      <c r="AA520">
        <f ca="1">IF(AND(ISNUMBER($AA$1180),$B$677=1),$AA$1180,HLOOKUP(INDIRECT(ADDRESS(2,COLUMN())),OFFSET($BN$2,0,0,ROW()-1,60),ROW()-1,FALSE))</f>
        <v>1.1586452759999999</v>
      </c>
      <c r="AB520">
        <f ca="1">IF(AND(ISNUMBER($AB$1180),$B$677=1),$AB$1180,HLOOKUP(INDIRECT(ADDRESS(2,COLUMN())),OFFSET($BN$2,0,0,ROW()-1,60),ROW()-1,FALSE))</f>
        <v>0.99540581900000003</v>
      </c>
      <c r="AC520">
        <f ca="1">IF(AND(ISNUMBER($AC$1180),$B$677=1),$AC$1180,HLOOKUP(INDIRECT(ADDRESS(2,COLUMN())),OFFSET($BN$2,0,0,ROW()-1,60),ROW()-1,FALSE))</f>
        <v>1.046698873</v>
      </c>
      <c r="AD520">
        <f ca="1">IF(AND(ISNUMBER($AD$1180),$B$677=1),$AD$1180,HLOOKUP(INDIRECT(ADDRESS(2,COLUMN())),OFFSET($BN$2,0,0,ROW()-1,60),ROW()-1,FALSE))</f>
        <v>1.169064748</v>
      </c>
      <c r="AE520">
        <f ca="1">IF(AND(ISNUMBER($AE$1180),$B$677=1),$AE$1180,HLOOKUP(INDIRECT(ADDRESS(2,COLUMN())),OFFSET($BN$2,0,0,ROW()-1,60),ROW()-1,FALSE))</f>
        <v>1.0619469029999999</v>
      </c>
      <c r="AF520">
        <f ca="1">IF(AND(ISNUMBER($AF$1180),$B$677=1),$AF$1180,HLOOKUP(INDIRECT(ADDRESS(2,COLUMN())),OFFSET($BN$2,0,0,ROW()-1,60),ROW()-1,FALSE))</f>
        <v>0.86455331400000002</v>
      </c>
      <c r="AG520">
        <f ca="1">IF(AND(ISNUMBER($AG$1180),$B$677=1),$AG$1180,HLOOKUP(INDIRECT(ADDRESS(2,COLUMN())),OFFSET($BN$2,0,0,ROW()-1,60),ROW()-1,FALSE))</f>
        <v>0.80321285099999995</v>
      </c>
      <c r="AH520">
        <f ca="1">IF(AND(ISNUMBER($AH$1180),$B$677=1),$AH$1180,HLOOKUP(INDIRECT(ADDRESS(2,COLUMN())),OFFSET($BN$2,0,0,ROW()-1,60),ROW()-1,FALSE))</f>
        <v>0.80971659900000004</v>
      </c>
      <c r="AI520">
        <f ca="1">IF(AND(ISNUMBER($AI$1180),$B$677=1),$AI$1180,HLOOKUP(INDIRECT(ADDRESS(2,COLUMN())),OFFSET($BN$2,0,0,ROW()-1,60),ROW()-1,FALSE))</f>
        <v>0.74962518700000003</v>
      </c>
      <c r="AJ520">
        <f ca="1">IF(AND(ISNUMBER($AJ$1180),$B$677=1),$AJ$1180,HLOOKUP(INDIRECT(ADDRESS(2,COLUMN())),OFFSET($BN$2,0,0,ROW()-1,60),ROW()-1,FALSE))</f>
        <v>0.69541029200000004</v>
      </c>
      <c r="AK520">
        <f ca="1">IF(AND(ISNUMBER($AK$1180),$B$677=1),$AK$1180,HLOOKUP(INDIRECT(ADDRESS(2,COLUMN())),OFFSET($BN$2,0,0,ROW()-1,60),ROW()-1,FALSE))</f>
        <v>0.69156293199999996</v>
      </c>
      <c r="AL520">
        <f ca="1">IF(AND(ISNUMBER($AL$1180),$B$677=1),$AL$1180,HLOOKUP(INDIRECT(ADDRESS(2,COLUMN())),OFFSET($BN$2,0,0,ROW()-1,60),ROW()-1,FALSE))</f>
        <v>0.72463768100000003</v>
      </c>
      <c r="AM520">
        <f ca="1">IF(AND(ISNUMBER($AM$1180),$B$677=1),$AM$1180,HLOOKUP(INDIRECT(ADDRESS(2,COLUMN())),OFFSET($BN$2,0,0,ROW()-1,60),ROW()-1,FALSE))</f>
        <v>0.49407114600000002</v>
      </c>
      <c r="AN520">
        <f ca="1">IF(AND(ISNUMBER($AN$1180),$B$677=1),$AN$1180,HLOOKUP(INDIRECT(ADDRESS(2,COLUMN())),OFFSET($BN$2,0,0,ROW()-1,60),ROW()-1,FALSE))</f>
        <v>0.67934782599999999</v>
      </c>
      <c r="AO520">
        <f ca="1">IF(AND(ISNUMBER($AO$1180),$B$677=1),$AO$1180,HLOOKUP(INDIRECT(ADDRESS(2,COLUMN())),OFFSET($BN$2,0,0,ROW()-1,60),ROW()-1,FALSE))</f>
        <v>0.76452599399999999</v>
      </c>
      <c r="AP520">
        <f ca="1">IF(AND(ISNUMBER($AP$1180),$B$677=1),$AP$1180,HLOOKUP(INDIRECT(ADDRESS(2,COLUMN())),OFFSET($BN$2,0,0,ROW()-1,60),ROW()-1,FALSE))</f>
        <v>0.99009901</v>
      </c>
      <c r="AQ520" t="str">
        <f ca="1">IF(AND(ISNUMBER($AQ$1180),$B$677=1),$AQ$1180,HLOOKUP(INDIRECT(ADDRESS(2,COLUMN())),OFFSET($BN$2,0,0,ROW()-1,60),ROW()-1,FALSE))</f>
        <v/>
      </c>
      <c r="AR520" t="str">
        <f ca="1">IF(AND(ISNUMBER($AR$1180),$B$677=1),$AR$1180,HLOOKUP(INDIRECT(ADDRESS(2,COLUMN())),OFFSET($BN$2,0,0,ROW()-1,60),ROW()-1,FALSE))</f>
        <v/>
      </c>
      <c r="AS520" t="str">
        <f ca="1">IF(AND(ISNUMBER($AS$1180),$B$677=1),$AS$1180,HLOOKUP(INDIRECT(ADDRESS(2,COLUMN())),OFFSET($BN$2,0,0,ROW()-1,60),ROW()-1,FALSE))</f>
        <v/>
      </c>
      <c r="AT520" t="str">
        <f ca="1">IF(AND(ISNUMBER($AT$1180),$B$677=1),$AT$1180,HLOOKUP(INDIRECT(ADDRESS(2,COLUMN())),OFFSET($BN$2,0,0,ROW()-1,60),ROW()-1,FALSE))</f>
        <v/>
      </c>
      <c r="AU520" t="str">
        <f ca="1">IF(AND(ISNUMBER($AU$1180),$B$677=1),$AU$1180,HLOOKUP(INDIRECT(ADDRESS(2,COLUMN())),OFFSET($BN$2,0,0,ROW()-1,60),ROW()-1,FALSE))</f>
        <v/>
      </c>
      <c r="AV520" t="str">
        <f ca="1">IF(AND(ISNUMBER($AV$1180),$B$677=1),$AV$1180,HLOOKUP(INDIRECT(ADDRESS(2,COLUMN())),OFFSET($BN$2,0,0,ROW()-1,60),ROW()-1,FALSE))</f>
        <v/>
      </c>
      <c r="AW520" t="str">
        <f ca="1">IF(AND(ISNUMBER($AW$1180),$B$677=1),$AW$1180,HLOOKUP(INDIRECT(ADDRESS(2,COLUMN())),OFFSET($BN$2,0,0,ROW()-1,60),ROW()-1,FALSE))</f>
        <v/>
      </c>
      <c r="AX520" t="str">
        <f ca="1">IF(AND(ISNUMBER($AX$1180),$B$677=1),$AX$1180,HLOOKUP(INDIRECT(ADDRESS(2,COLUMN())),OFFSET($BN$2,0,0,ROW()-1,60),ROW()-1,FALSE))</f>
        <v/>
      </c>
      <c r="AY520" t="str">
        <f ca="1">IF(AND(ISNUMBER($AY$1180),$B$677=1),$AY$1180,HLOOKUP(INDIRECT(ADDRESS(2,COLUMN())),OFFSET($BN$2,0,0,ROW()-1,60),ROW()-1,FALSE))</f>
        <v/>
      </c>
      <c r="AZ520" t="str">
        <f ca="1">IF(AND(ISNUMBER($AZ$1180),$B$677=1),$AZ$1180,HLOOKUP(INDIRECT(ADDRESS(2,COLUMN())),OFFSET($BN$2,0,0,ROW()-1,60),ROW()-1,FALSE))</f>
        <v/>
      </c>
      <c r="BA520" t="str">
        <f ca="1">IF(AND(ISNUMBER($BA$1180),$B$677=1),$BA$1180,HLOOKUP(INDIRECT(ADDRESS(2,COLUMN())),OFFSET($BN$2,0,0,ROW()-1,60),ROW()-1,FALSE))</f>
        <v/>
      </c>
      <c r="BB520">
        <f ca="1">IF(AND(ISNUMBER($BB$1180),$B$677=1),$BB$1180,HLOOKUP(INDIRECT(ADDRESS(2,COLUMN())),OFFSET($BN$2,0,0,ROW()-1,60),ROW()-1,FALSE))</f>
        <v>2.0576131690000001</v>
      </c>
      <c r="BC520">
        <f ca="1">IF(AND(ISNUMBER($BC$1180),$B$677=1),$BC$1180,HLOOKUP(INDIRECT(ADDRESS(2,COLUMN())),OFFSET($BN$2,0,0,ROW()-1,60),ROW()-1,FALSE))</f>
        <v>1.8587360589999999</v>
      </c>
      <c r="BD520">
        <f ca="1">IF(AND(ISNUMBER($BD$1180),$B$677=1),$BD$1180,HLOOKUP(INDIRECT(ADDRESS(2,COLUMN())),OFFSET($BN$2,0,0,ROW()-1,60),ROW()-1,FALSE))</f>
        <v>1.628664495</v>
      </c>
      <c r="BE520">
        <f ca="1">IF(AND(ISNUMBER($BE$1180),$B$677=1),$BE$1180,HLOOKUP(INDIRECT(ADDRESS(2,COLUMN())),OFFSET($BN$2,0,0,ROW()-1,60),ROW()-1,FALSE))</f>
        <v>1.538461538</v>
      </c>
      <c r="BF520">
        <f ca="1">IF(AND(ISNUMBER($BF$1180),$B$677=1),$BF$1180,HLOOKUP(INDIRECT(ADDRESS(2,COLUMN())),OFFSET($BN$2,0,0,ROW()-1,60),ROW()-1,FALSE))</f>
        <v>1.2531328319999999</v>
      </c>
      <c r="BG520">
        <f ca="1">IF(AND(ISNUMBER($BG$1180),$B$677=1),$BG$1180,HLOOKUP(INDIRECT(ADDRESS(2,COLUMN())),OFFSET($BN$2,0,0,ROW()-1,60),ROW()-1,FALSE))</f>
        <v>1.31826742</v>
      </c>
      <c r="BH520">
        <f ca="1">IF(AND(ISNUMBER($BH$1180),$B$677=1),$BH$1180,HLOOKUP(INDIRECT(ADDRESS(2,COLUMN())),OFFSET($BN$2,0,0,ROW()-1,60),ROW()-1,FALSE))</f>
        <v>1.7948717949999999</v>
      </c>
      <c r="BI520">
        <f ca="1">IF(AND(ISNUMBER($BI$1180),$B$677=1),$BI$1180,HLOOKUP(INDIRECT(ADDRESS(2,COLUMN())),OFFSET($BN$2,0,0,ROW()-1,60),ROW()-1,FALSE))</f>
        <v>2.5454545450000001</v>
      </c>
      <c r="BJ520">
        <f ca="1">IF(AND(ISNUMBER($BJ$1180),$B$677=1),$BJ$1180,HLOOKUP(INDIRECT(ADDRESS(2,COLUMN())),OFFSET($BN$2,0,0,ROW()-1,60),ROW()-1,FALSE))</f>
        <v>2.5</v>
      </c>
      <c r="BK520">
        <f ca="1">IF(AND(ISNUMBER($BK$1180),$B$677=1),$BK$1180,HLOOKUP(INDIRECT(ADDRESS(2,COLUMN())),OFFSET($BN$2,0,0,ROW()-1,60),ROW()-1,FALSE))</f>
        <v>3.211009174</v>
      </c>
      <c r="BL520">
        <f ca="1">IF(AND(ISNUMBER($BL$1180),$B$677=1),$BL$1180,HLOOKUP(INDIRECT(ADDRESS(2,COLUMN())),OFFSET($BN$2,0,0,ROW()-1,60),ROW()-1,FALSE))</f>
        <v>3.3018867919999999</v>
      </c>
      <c r="BM520">
        <f ca="1">IF(AND(ISNUMBER($BM$1180),$B$677=1),$BM$1180,HLOOKUP(INDIRECT(ADDRESS(2,COLUMN())),OFFSET($BN$2,0,0,ROW()-1,60),ROW()-1,FALSE))</f>
        <v>3.546099291</v>
      </c>
      <c r="BN520">
        <f>2.528089888</f>
        <v>2.5280898879999998</v>
      </c>
      <c r="BO520">
        <f>2.37388724</f>
        <v>2.3738872400000002</v>
      </c>
      <c r="BP520">
        <f>2.279202279</f>
        <v>2.2792022790000002</v>
      </c>
      <c r="BQ520">
        <f>2.593192869</f>
        <v>2.5931928690000001</v>
      </c>
      <c r="BR520">
        <f>2.580645161</f>
        <v>2.5806451610000001</v>
      </c>
      <c r="BS520">
        <f>3.28358209</f>
        <v>3.2835820899999999</v>
      </c>
      <c r="BT520">
        <f>3.475513428</f>
        <v>3.4755134280000002</v>
      </c>
      <c r="BU520">
        <f>2.879581152</f>
        <v>2.8795811520000001</v>
      </c>
      <c r="BV520">
        <f>2.968960864</f>
        <v>2.968960864</v>
      </c>
      <c r="BW520">
        <f>2.802547771</f>
        <v>2.802547771</v>
      </c>
      <c r="BX520">
        <f>2.609727165</f>
        <v>2.6097271649999998</v>
      </c>
      <c r="BY520">
        <f>2.546296296</f>
        <v>2.546296296</v>
      </c>
      <c r="BZ520">
        <f>2.277432712</f>
        <v>2.277432712</v>
      </c>
      <c r="CA520">
        <f>1.901140684</f>
        <v>1.901140684</v>
      </c>
      <c r="CB520">
        <f>1.865671642</f>
        <v>1.8656716419999999</v>
      </c>
      <c r="CC520">
        <f>2.207505519</f>
        <v>2.2075055190000001</v>
      </c>
      <c r="CD520">
        <f>2.212389381</f>
        <v>2.2123893809999999</v>
      </c>
      <c r="CE520">
        <f>1.338432122</f>
        <v>1.3384321219999999</v>
      </c>
      <c r="CF520">
        <f>1.303538175</f>
        <v>1.3035381749999999</v>
      </c>
      <c r="CG520">
        <f>1.236749117</f>
        <v>1.236749117</v>
      </c>
      <c r="CH520">
        <f>1.180438449</f>
        <v>1.1804384489999999</v>
      </c>
      <c r="CI520">
        <f>1.158645276</f>
        <v>1.1586452759999999</v>
      </c>
      <c r="CJ520">
        <f>0.995405819</f>
        <v>0.99540581900000003</v>
      </c>
      <c r="CK520">
        <f>1.046698873</f>
        <v>1.046698873</v>
      </c>
      <c r="CL520">
        <f>1.169064748</f>
        <v>1.169064748</v>
      </c>
      <c r="CM520">
        <f>1.061946903</f>
        <v>1.0619469029999999</v>
      </c>
      <c r="CN520">
        <f>0.864553314</f>
        <v>0.86455331400000002</v>
      </c>
      <c r="CO520">
        <f>0.803212851</f>
        <v>0.80321285099999995</v>
      </c>
      <c r="CP520">
        <f>0.809716599</f>
        <v>0.80971659900000004</v>
      </c>
      <c r="CQ520">
        <f>0.749625187</f>
        <v>0.74962518700000003</v>
      </c>
      <c r="CR520">
        <f>0.695410292</f>
        <v>0.69541029200000004</v>
      </c>
      <c r="CS520">
        <f>0.691562932</f>
        <v>0.69156293199999996</v>
      </c>
      <c r="CT520">
        <f>0.724637681</f>
        <v>0.72463768100000003</v>
      </c>
      <c r="CU520">
        <f>0.494071146</f>
        <v>0.49407114600000002</v>
      </c>
      <c r="CV520">
        <f>0.679347826</f>
        <v>0.67934782599999999</v>
      </c>
      <c r="CW520">
        <f>0.764525994</f>
        <v>0.76452599399999999</v>
      </c>
      <c r="CX520">
        <f>0.99009901</f>
        <v>0.99009901</v>
      </c>
      <c r="CY520" t="str">
        <f>""</f>
        <v/>
      </c>
      <c r="CZ520" t="str">
        <f>""</f>
        <v/>
      </c>
      <c r="DA520" t="str">
        <f>""</f>
        <v/>
      </c>
      <c r="DB520" t="str">
        <f>""</f>
        <v/>
      </c>
      <c r="DC520" t="str">
        <f>""</f>
        <v/>
      </c>
      <c r="DD520" t="str">
        <f>""</f>
        <v/>
      </c>
      <c r="DE520" t="str">
        <f>""</f>
        <v/>
      </c>
      <c r="DF520" t="str">
        <f>""</f>
        <v/>
      </c>
      <c r="DG520" t="str">
        <f>""</f>
        <v/>
      </c>
      <c r="DH520" t="str">
        <f>""</f>
        <v/>
      </c>
      <c r="DI520" t="str">
        <f>""</f>
        <v/>
      </c>
      <c r="DJ520">
        <f>2.057613169</f>
        <v>2.0576131690000001</v>
      </c>
      <c r="DK520">
        <f>1.858736059</f>
        <v>1.8587360589999999</v>
      </c>
      <c r="DL520">
        <f>1.628664495</f>
        <v>1.628664495</v>
      </c>
      <c r="DM520">
        <f>1.538461538</f>
        <v>1.538461538</v>
      </c>
      <c r="DN520">
        <f>1.253132832</f>
        <v>1.2531328319999999</v>
      </c>
      <c r="DO520">
        <f>1.31826742</f>
        <v>1.31826742</v>
      </c>
      <c r="DP520">
        <f>1.794871795</f>
        <v>1.7948717949999999</v>
      </c>
      <c r="DQ520">
        <f>2.545454545</f>
        <v>2.5454545450000001</v>
      </c>
      <c r="DR520">
        <f>2.5</f>
        <v>2.5</v>
      </c>
      <c r="DS520">
        <f>3.211009174</f>
        <v>3.211009174</v>
      </c>
      <c r="DT520">
        <f>3.301886792</f>
        <v>3.3018867919999999</v>
      </c>
      <c r="DU520">
        <f>3.546099291</f>
        <v>3.546099291</v>
      </c>
    </row>
    <row r="521" spans="1:125" x14ac:dyDescent="0.25">
      <c r="A521" t="str">
        <f>"    Mazda Motor Corp"</f>
        <v xml:space="preserve">    Mazda Motor Corp</v>
      </c>
      <c r="B521" t="str">
        <f>"7261 JP Equity"</f>
        <v>7261 JP Equity</v>
      </c>
      <c r="C521" t="str">
        <f t="shared" si="36"/>
        <v>DV013</v>
      </c>
      <c r="D521" t="str">
        <f t="shared" si="37"/>
        <v>EQY_DVD_YLD_IND</v>
      </c>
      <c r="E521" t="str">
        <f t="shared" si="38"/>
        <v>Dynamic</v>
      </c>
      <c r="F521">
        <f ca="1">IF(AND(ISNUMBER($F$1181),$B$677=1),$F$1181,HLOOKUP(INDIRECT(ADDRESS(2,COLUMN())),OFFSET($BN$2,0,0,ROW()-1,60),ROW()-1,FALSE))</f>
        <v>2.720559658</v>
      </c>
      <c r="G521">
        <f ca="1">IF(AND(ISNUMBER($G$1181),$B$677=1),$G$1181,HLOOKUP(INDIRECT(ADDRESS(2,COLUMN())),OFFSET($BN$2,0,0,ROW()-1,60),ROW()-1,FALSE))</f>
        <v>3.083700441</v>
      </c>
      <c r="H521">
        <f ca="1">IF(AND(ISNUMBER($H$1181),$B$677=1),$H$1181,HLOOKUP(INDIRECT(ADDRESS(2,COLUMN())),OFFSET($BN$2,0,0,ROW()-1,60),ROW()-1,FALSE))</f>
        <v>2.5659824050000002</v>
      </c>
      <c r="I521">
        <f ca="1">IF(AND(ISNUMBER($I$1181),$B$677=1),$I$1181,HLOOKUP(INDIRECT(ADDRESS(2,COLUMN())),OFFSET($BN$2,0,0,ROW()-1,60),ROW()-1,FALSE))</f>
        <v>2.5735294120000001</v>
      </c>
      <c r="J521">
        <f ca="1">IF(AND(ISNUMBER($J$1181),$B$677=1),$J$1181,HLOOKUP(INDIRECT(ADDRESS(2,COLUMN())),OFFSET($BN$2,0,0,ROW()-1,60),ROW()-1,FALSE))</f>
        <v>2.4884464980000001</v>
      </c>
      <c r="K521">
        <f ca="1">IF(AND(ISNUMBER($K$1181),$B$677=1),$K$1181,HLOOKUP(INDIRECT(ADDRESS(2,COLUMN())),OFFSET($BN$2,0,0,ROW()-1,60),ROW()-1,FALSE))</f>
        <v>2.3155805489999999</v>
      </c>
      <c r="L521">
        <f ca="1">IF(AND(ISNUMBER($L$1181),$B$677=1),$L$1181,HLOOKUP(INDIRECT(ADDRESS(2,COLUMN())),OFFSET($BN$2,0,0,ROW()-1,60),ROW()-1,FALSE))</f>
        <v>2.0289855069999998</v>
      </c>
      <c r="M521">
        <f ca="1">IF(AND(ISNUMBER($M$1181),$B$677=1),$M$1181,HLOOKUP(INDIRECT(ADDRESS(2,COLUMN())),OFFSET($BN$2,0,0,ROW()-1,60),ROW()-1,FALSE))</f>
        <v>2.2321428569999999</v>
      </c>
      <c r="N521">
        <f ca="1">IF(AND(ISNUMBER($N$1181),$B$677=1),$N$1181,HLOOKUP(INDIRECT(ADDRESS(2,COLUMN())),OFFSET($BN$2,0,0,ROW()-1,60),ROW()-1,FALSE))</f>
        <v>2.1834061139999998</v>
      </c>
      <c r="O521">
        <f ca="1">IF(AND(ISNUMBER($O$1181),$B$677=1),$O$1181,HLOOKUP(INDIRECT(ADDRESS(2,COLUMN())),OFFSET($BN$2,0,0,ROW()-1,60),ROW()-1,FALSE))</f>
        <v>1.830543933</v>
      </c>
      <c r="P521">
        <f ca="1">IF(AND(ISNUMBER($P$1181),$B$677=1),$P$1181,HLOOKUP(INDIRECT(ADDRESS(2,COLUMN())),OFFSET($BN$2,0,0,ROW()-1,60),ROW()-1,FALSE))</f>
        <v>2.2853411690000001</v>
      </c>
      <c r="Q521">
        <f ca="1">IF(AND(ISNUMBER($Q$1181),$B$677=1),$Q$1181,HLOOKUP(INDIRECT(ADDRESS(2,COLUMN())),OFFSET($BN$2,0,0,ROW()-1,60),ROW()-1,FALSE))</f>
        <v>2.575423105</v>
      </c>
      <c r="R521">
        <f ca="1">IF(AND(ISNUMBER($R$1181),$B$677=1),$R$1181,HLOOKUP(INDIRECT(ADDRESS(2,COLUMN())),OFFSET($BN$2,0,0,ROW()-1,60),ROW()-1,FALSE))</f>
        <v>1.7177211569999999</v>
      </c>
      <c r="S521">
        <f ca="1">IF(AND(ISNUMBER($S$1181),$B$677=1),$S$1181,HLOOKUP(INDIRECT(ADDRESS(2,COLUMN())),OFFSET($BN$2,0,0,ROW()-1,60),ROW()-1,FALSE))</f>
        <v>1.1885895399999999</v>
      </c>
      <c r="T521">
        <f ca="1">IF(AND(ISNUMBER($T$1181),$B$677=1),$T$1181,HLOOKUP(INDIRECT(ADDRESS(2,COLUMN())),OFFSET($BN$2,0,0,ROW()-1,60),ROW()-1,FALSE))</f>
        <v>1.595744681</v>
      </c>
      <c r="U521">
        <f ca="1">IF(AND(ISNUMBER($U$1181),$B$677=1),$U$1181,HLOOKUP(INDIRECT(ADDRESS(2,COLUMN())),OFFSET($BN$2,0,0,ROW()-1,60),ROW()-1,FALSE))</f>
        <v>1.2510425350000001</v>
      </c>
      <c r="V521">
        <f ca="1">IF(AND(ISNUMBER($V$1181),$B$677=1),$V$1181,HLOOKUP(INDIRECT(ADDRESS(2,COLUMN())),OFFSET($BN$2,0,0,ROW()-1,60),ROW()-1,FALSE))</f>
        <v>0.41000409999999998</v>
      </c>
      <c r="W521">
        <f ca="1">IF(AND(ISNUMBER($W$1181),$B$677=1),$W$1181,HLOOKUP(INDIRECT(ADDRESS(2,COLUMN())),OFFSET($BN$2,0,0,ROW()-1,60),ROW()-1,FALSE))</f>
        <v>0.34158838600000002</v>
      </c>
      <c r="X521">
        <f ca="1">IF(AND(ISNUMBER($X$1181),$B$677=1),$X$1181,HLOOKUP(INDIRECT(ADDRESS(2,COLUMN())),OFFSET($BN$2,0,0,ROW()-1,60),ROW()-1,FALSE))</f>
        <v>0.363768643</v>
      </c>
      <c r="Y521">
        <f ca="1">IF(AND(ISNUMBER($Y$1181),$B$677=1),$Y$1181,HLOOKUP(INDIRECT(ADDRESS(2,COLUMN())),OFFSET($BN$2,0,0,ROW()-1,60),ROW()-1,FALSE))</f>
        <v>0.42105263199999998</v>
      </c>
      <c r="Z521">
        <f ca="1">IF(AND(ISNUMBER($Z$1181),$B$677=1),$Z$1181,HLOOKUP(INDIRECT(ADDRESS(2,COLUMN())),OFFSET($BN$2,0,0,ROW()-1,60),ROW()-1,FALSE))</f>
        <v>0.21834061099999999</v>
      </c>
      <c r="AA521">
        <f ca="1">IF(AND(ISNUMBER($AA$1181),$B$677=1),$AA$1181,HLOOKUP(INDIRECT(ADDRESS(2,COLUMN())),OFFSET($BN$2,0,0,ROW()-1,60),ROW()-1,FALSE))</f>
        <v>0.18382352900000001</v>
      </c>
      <c r="AB521">
        <f ca="1">IF(AND(ISNUMBER($AB$1181),$B$677=1),$AB$1181,HLOOKUP(INDIRECT(ADDRESS(2,COLUMN())),OFFSET($BN$2,0,0,ROW()-1,60),ROW()-1,FALSE))</f>
        <v>0.22883295200000001</v>
      </c>
      <c r="AC521">
        <f ca="1">IF(AND(ISNUMBER($AC$1181),$B$677=1),$AC$1181,HLOOKUP(INDIRECT(ADDRESS(2,COLUMN())),OFFSET($BN$2,0,0,ROW()-1,60),ROW()-1,FALSE))</f>
        <v>0.25575447600000001</v>
      </c>
      <c r="AD521" t="str">
        <f ca="1">IF(AND(ISNUMBER($AD$1181),$B$677=1),$AD$1181,HLOOKUP(INDIRECT(ADDRESS(2,COLUMN())),OFFSET($BN$2,0,0,ROW()-1,60),ROW()-1,FALSE))</f>
        <v/>
      </c>
      <c r="AE521" t="str">
        <f ca="1">IF(AND(ISNUMBER($AE$1181),$B$677=1),$AE$1181,HLOOKUP(INDIRECT(ADDRESS(2,COLUMN())),OFFSET($BN$2,0,0,ROW()-1,60),ROW()-1,FALSE))</f>
        <v/>
      </c>
      <c r="AF521" t="str">
        <f ca="1">IF(AND(ISNUMBER($AF$1181),$B$677=1),$AF$1181,HLOOKUP(INDIRECT(ADDRESS(2,COLUMN())),OFFSET($BN$2,0,0,ROW()-1,60),ROW()-1,FALSE))</f>
        <v/>
      </c>
      <c r="AG521" t="str">
        <f ca="1">IF(AND(ISNUMBER($AG$1181),$B$677=1),$AG$1181,HLOOKUP(INDIRECT(ADDRESS(2,COLUMN())),OFFSET($BN$2,0,0,ROW()-1,60),ROW()-1,FALSE))</f>
        <v/>
      </c>
      <c r="AH521" t="str">
        <f ca="1">IF(AND(ISNUMBER($AH$1181),$B$677=1),$AH$1181,HLOOKUP(INDIRECT(ADDRESS(2,COLUMN())),OFFSET($BN$2,0,0,ROW()-1,60),ROW()-1,FALSE))</f>
        <v/>
      </c>
      <c r="AI521" t="str">
        <f ca="1">IF(AND(ISNUMBER($AI$1181),$B$677=1),$AI$1181,HLOOKUP(INDIRECT(ADDRESS(2,COLUMN())),OFFSET($BN$2,0,0,ROW()-1,60),ROW()-1,FALSE))</f>
        <v/>
      </c>
      <c r="AJ521" t="str">
        <f ca="1">IF(AND(ISNUMBER($AJ$1181),$B$677=1),$AJ$1181,HLOOKUP(INDIRECT(ADDRESS(2,COLUMN())),OFFSET($BN$2,0,0,ROW()-1,60),ROW()-1,FALSE))</f>
        <v/>
      </c>
      <c r="AK521" t="str">
        <f ca="1">IF(AND(ISNUMBER($AK$1181),$B$677=1),$AK$1181,HLOOKUP(INDIRECT(ADDRESS(2,COLUMN())),OFFSET($BN$2,0,0,ROW()-1,60),ROW()-1,FALSE))</f>
        <v/>
      </c>
      <c r="AL521" t="str">
        <f ca="1">IF(AND(ISNUMBER($AL$1181),$B$677=1),$AL$1181,HLOOKUP(INDIRECT(ADDRESS(2,COLUMN())),OFFSET($BN$2,0,0,ROW()-1,60),ROW()-1,FALSE))</f>
        <v/>
      </c>
      <c r="AM521" t="str">
        <f ca="1">IF(AND(ISNUMBER($AM$1181),$B$677=1),$AM$1181,HLOOKUP(INDIRECT(ADDRESS(2,COLUMN())),OFFSET($BN$2,0,0,ROW()-1,60),ROW()-1,FALSE))</f>
        <v/>
      </c>
      <c r="AN521" t="str">
        <f ca="1">IF(AND(ISNUMBER($AN$1181),$B$677=1),$AN$1181,HLOOKUP(INDIRECT(ADDRESS(2,COLUMN())),OFFSET($BN$2,0,0,ROW()-1,60),ROW()-1,FALSE))</f>
        <v/>
      </c>
      <c r="AO521">
        <f ca="1">IF(AND(ISNUMBER($AO$1181),$B$677=1),$AO$1181,HLOOKUP(INDIRECT(ADDRESS(2,COLUMN())),OFFSET($BN$2,0,0,ROW()-1,60),ROW()-1,FALSE))</f>
        <v>1.083032491</v>
      </c>
      <c r="AP521">
        <f ca="1">IF(AND(ISNUMBER($AP$1181),$B$677=1),$AP$1181,HLOOKUP(INDIRECT(ADDRESS(2,COLUMN())),OFFSET($BN$2,0,0,ROW()-1,60),ROW()-1,FALSE))</f>
        <v>1.1406844110000001</v>
      </c>
      <c r="AQ521">
        <f ca="1">IF(AND(ISNUMBER($AQ$1181),$B$677=1),$AQ$1181,HLOOKUP(INDIRECT(ADDRESS(2,COLUMN())),OFFSET($BN$2,0,0,ROW()-1,60),ROW()-1,FALSE))</f>
        <v>1.41509434</v>
      </c>
      <c r="AR521">
        <f ca="1">IF(AND(ISNUMBER($AR$1181),$B$677=1),$AR$1181,HLOOKUP(INDIRECT(ADDRESS(2,COLUMN())),OFFSET($BN$2,0,0,ROW()-1,60),ROW()-1,FALSE))</f>
        <v>1.4925373129999999</v>
      </c>
      <c r="AS521">
        <f ca="1">IF(AND(ISNUMBER($AS$1181),$B$677=1),$AS$1181,HLOOKUP(INDIRECT(ADDRESS(2,COLUMN())),OFFSET($BN$2,0,0,ROW()-1,60),ROW()-1,FALSE))</f>
        <v>1.214574899</v>
      </c>
      <c r="AT521" t="str">
        <f ca="1">IF(AND(ISNUMBER($AT$1181),$B$677=1),$AT$1181,HLOOKUP(INDIRECT(ADDRESS(2,COLUMN())),OFFSET($BN$2,0,0,ROW()-1,60),ROW()-1,FALSE))</f>
        <v/>
      </c>
      <c r="AU521" t="str">
        <f ca="1">IF(AND(ISNUMBER($AU$1181),$B$677=1),$AU$1181,HLOOKUP(INDIRECT(ADDRESS(2,COLUMN())),OFFSET($BN$2,0,0,ROW()-1,60),ROW()-1,FALSE))</f>
        <v/>
      </c>
      <c r="AV521" t="str">
        <f ca="1">IF(AND(ISNUMBER($AV$1181),$B$677=1),$AV$1181,HLOOKUP(INDIRECT(ADDRESS(2,COLUMN())),OFFSET($BN$2,0,0,ROW()-1,60),ROW()-1,FALSE))</f>
        <v/>
      </c>
      <c r="AW521" t="str">
        <f ca="1">IF(AND(ISNUMBER($AW$1181),$B$677=1),$AW$1181,HLOOKUP(INDIRECT(ADDRESS(2,COLUMN())),OFFSET($BN$2,0,0,ROW()-1,60),ROW()-1,FALSE))</f>
        <v/>
      </c>
      <c r="AX521">
        <f ca="1">IF(AND(ISNUMBER($AX$1181),$B$677=1),$AX$1181,HLOOKUP(INDIRECT(ADDRESS(2,COLUMN())),OFFSET($BN$2,0,0,ROW()-1,60),ROW()-1,FALSE))</f>
        <v>1.4388489209999999</v>
      </c>
      <c r="AY521">
        <f ca="1">IF(AND(ISNUMBER($AY$1181),$B$677=1),$AY$1181,HLOOKUP(INDIRECT(ADDRESS(2,COLUMN())),OFFSET($BN$2,0,0,ROW()-1,60),ROW()-1,FALSE))</f>
        <v>1.075268817</v>
      </c>
      <c r="AZ521">
        <f ca="1">IF(AND(ISNUMBER($AZ$1181),$B$677=1),$AZ$1181,HLOOKUP(INDIRECT(ADDRESS(2,COLUMN())),OFFSET($BN$2,0,0,ROW()-1,60),ROW()-1,FALSE))</f>
        <v>1.0327022379999999</v>
      </c>
      <c r="BA521">
        <f ca="1">IF(AND(ISNUMBER($BA$1181),$B$677=1),$BA$1181,HLOOKUP(INDIRECT(ADDRESS(2,COLUMN())),OFFSET($BN$2,0,0,ROW()-1,60),ROW()-1,FALSE))</f>
        <v>0.85348506400000002</v>
      </c>
      <c r="BB521">
        <f ca="1">IF(AND(ISNUMBER($BB$1181),$B$677=1),$BB$1181,HLOOKUP(INDIRECT(ADDRESS(2,COLUMN())),OFFSET($BN$2,0,0,ROW()-1,60),ROW()-1,FALSE))</f>
        <v>0.92024539900000002</v>
      </c>
      <c r="BC521">
        <f ca="1">IF(AND(ISNUMBER($BC$1181),$B$677=1),$BC$1181,HLOOKUP(INDIRECT(ADDRESS(2,COLUMN())),OFFSET($BN$2,0,0,ROW()-1,60),ROW()-1,FALSE))</f>
        <v>0.73800737999999999</v>
      </c>
      <c r="BD521">
        <f ca="1">IF(AND(ISNUMBER($BD$1181),$B$677=1),$BD$1181,HLOOKUP(INDIRECT(ADDRESS(2,COLUMN())),OFFSET($BN$2,0,0,ROW()-1,60),ROW()-1,FALSE))</f>
        <v>0.83798882699999999</v>
      </c>
      <c r="BE521">
        <f ca="1">IF(AND(ISNUMBER($BE$1181),$B$677=1),$BE$1181,HLOOKUP(INDIRECT(ADDRESS(2,COLUMN())),OFFSET($BN$2,0,0,ROW()-1,60),ROW()-1,FALSE))</f>
        <v>0.83682008399999996</v>
      </c>
      <c r="BF521">
        <f ca="1">IF(AND(ISNUMBER($BF$1181),$B$677=1),$BF$1181,HLOOKUP(INDIRECT(ADDRESS(2,COLUMN())),OFFSET($BN$2,0,0,ROW()-1,60),ROW()-1,FALSE))</f>
        <v>0.69930069900000003</v>
      </c>
      <c r="BG521">
        <f ca="1">IF(AND(ISNUMBER($BG$1181),$B$677=1),$BG$1181,HLOOKUP(INDIRECT(ADDRESS(2,COLUMN())),OFFSET($BN$2,0,0,ROW()-1,60),ROW()-1,FALSE))</f>
        <v>0.92592592600000001</v>
      </c>
      <c r="BH521">
        <f ca="1">IF(AND(ISNUMBER($BH$1181),$B$677=1),$BH$1181,HLOOKUP(INDIRECT(ADDRESS(2,COLUMN())),OFFSET($BN$2,0,0,ROW()-1,60),ROW()-1,FALSE))</f>
        <v>1.004016064</v>
      </c>
      <c r="BI521">
        <f ca="1">IF(AND(ISNUMBER($BI$1181),$B$677=1),$BI$1181,HLOOKUP(INDIRECT(ADDRESS(2,COLUMN())),OFFSET($BN$2,0,0,ROW()-1,60),ROW()-1,FALSE))</f>
        <v>1.1990407670000001</v>
      </c>
      <c r="BJ521">
        <f ca="1">IF(AND(ISNUMBER($BJ$1181),$B$677=1),$BJ$1181,HLOOKUP(INDIRECT(ADDRESS(2,COLUMN())),OFFSET($BN$2,0,0,ROW()-1,60),ROW()-1,FALSE))</f>
        <v>0.81967213100000003</v>
      </c>
      <c r="BK521">
        <f ca="1">IF(AND(ISNUMBER($BK$1181),$B$677=1),$BK$1181,HLOOKUP(INDIRECT(ADDRESS(2,COLUMN())),OFFSET($BN$2,0,0,ROW()-1,60),ROW()-1,FALSE))</f>
        <v>0.931677019</v>
      </c>
      <c r="BL521">
        <f ca="1">IF(AND(ISNUMBER($BL$1181),$B$677=1),$BL$1181,HLOOKUP(INDIRECT(ADDRESS(2,COLUMN())),OFFSET($BN$2,0,0,ROW()-1,60),ROW()-1,FALSE))</f>
        <v>0.87976539600000003</v>
      </c>
      <c r="BM521">
        <f ca="1">IF(AND(ISNUMBER($BM$1181),$B$677=1),$BM$1181,HLOOKUP(INDIRECT(ADDRESS(2,COLUMN())),OFFSET($BN$2,0,0,ROW()-1,60),ROW()-1,FALSE))</f>
        <v>0.78125</v>
      </c>
      <c r="BN521">
        <f>2.720559658</f>
        <v>2.720559658</v>
      </c>
      <c r="BO521">
        <f>3.083700441</f>
        <v>3.083700441</v>
      </c>
      <c r="BP521">
        <f>2.565982405</f>
        <v>2.5659824050000002</v>
      </c>
      <c r="BQ521">
        <f>2.573529412</f>
        <v>2.5735294120000001</v>
      </c>
      <c r="BR521">
        <f>2.488446498</f>
        <v>2.4884464980000001</v>
      </c>
      <c r="BS521">
        <f>2.315580549</f>
        <v>2.3155805489999999</v>
      </c>
      <c r="BT521">
        <f>2.028985507</f>
        <v>2.0289855069999998</v>
      </c>
      <c r="BU521">
        <f>2.232142857</f>
        <v>2.2321428569999999</v>
      </c>
      <c r="BV521">
        <f>2.183406114</f>
        <v>2.1834061139999998</v>
      </c>
      <c r="BW521">
        <f>1.830543933</f>
        <v>1.830543933</v>
      </c>
      <c r="BX521">
        <f>2.285341169</f>
        <v>2.2853411690000001</v>
      </c>
      <c r="BY521">
        <f>2.575423105</f>
        <v>2.575423105</v>
      </c>
      <c r="BZ521">
        <f>1.717721157</f>
        <v>1.7177211569999999</v>
      </c>
      <c r="CA521">
        <f>1.18858954</f>
        <v>1.1885895399999999</v>
      </c>
      <c r="CB521">
        <f>1.595744681</f>
        <v>1.595744681</v>
      </c>
      <c r="CC521">
        <f>1.251042535</f>
        <v>1.2510425350000001</v>
      </c>
      <c r="CD521">
        <f>0.4100041</f>
        <v>0.41000409999999998</v>
      </c>
      <c r="CE521">
        <f>0.341588386</f>
        <v>0.34158838600000002</v>
      </c>
      <c r="CF521">
        <f>0.363768643</f>
        <v>0.363768643</v>
      </c>
      <c r="CG521">
        <f>0.421052632</f>
        <v>0.42105263199999998</v>
      </c>
      <c r="CH521">
        <f>0.218340611</f>
        <v>0.21834061099999999</v>
      </c>
      <c r="CI521">
        <f>0.183823529</f>
        <v>0.18382352900000001</v>
      </c>
      <c r="CJ521">
        <f>0.228832952</f>
        <v>0.22883295200000001</v>
      </c>
      <c r="CK521">
        <f>0.255754476</f>
        <v>0.25575447600000001</v>
      </c>
      <c r="CL521" t="str">
        <f>""</f>
        <v/>
      </c>
      <c r="CM521" t="str">
        <f>""</f>
        <v/>
      </c>
      <c r="CN521" t="str">
        <f>""</f>
        <v/>
      </c>
      <c r="CO521" t="str">
        <f>""</f>
        <v/>
      </c>
      <c r="CP521" t="str">
        <f>""</f>
        <v/>
      </c>
      <c r="CQ521" t="str">
        <f>""</f>
        <v/>
      </c>
      <c r="CR521" t="str">
        <f>""</f>
        <v/>
      </c>
      <c r="CS521" t="str">
        <f>""</f>
        <v/>
      </c>
      <c r="CT521" t="str">
        <f>""</f>
        <v/>
      </c>
      <c r="CU521" t="str">
        <f>""</f>
        <v/>
      </c>
      <c r="CV521" t="str">
        <f>""</f>
        <v/>
      </c>
      <c r="CW521">
        <f>1.083032491</f>
        <v>1.083032491</v>
      </c>
      <c r="CX521">
        <f>1.140684411</f>
        <v>1.1406844110000001</v>
      </c>
      <c r="CY521">
        <f>1.41509434</f>
        <v>1.41509434</v>
      </c>
      <c r="CZ521">
        <f>1.492537313</f>
        <v>1.4925373129999999</v>
      </c>
      <c r="DA521">
        <f>1.214574899</f>
        <v>1.214574899</v>
      </c>
      <c r="DB521" t="str">
        <f>""</f>
        <v/>
      </c>
      <c r="DC521" t="str">
        <f>""</f>
        <v/>
      </c>
      <c r="DD521" t="str">
        <f>""</f>
        <v/>
      </c>
      <c r="DE521" t="str">
        <f>""</f>
        <v/>
      </c>
      <c r="DF521">
        <f>1.438848921</f>
        <v>1.4388489209999999</v>
      </c>
      <c r="DG521">
        <f>1.075268817</f>
        <v>1.075268817</v>
      </c>
      <c r="DH521">
        <f>1.032702238</f>
        <v>1.0327022379999999</v>
      </c>
      <c r="DI521">
        <f>0.853485064</f>
        <v>0.85348506400000002</v>
      </c>
      <c r="DJ521">
        <f>0.920245399</f>
        <v>0.92024539900000002</v>
      </c>
      <c r="DK521">
        <f>0.73800738</f>
        <v>0.73800737999999999</v>
      </c>
      <c r="DL521">
        <f>0.837988827</f>
        <v>0.83798882699999999</v>
      </c>
      <c r="DM521">
        <f>0.836820084</f>
        <v>0.83682008399999996</v>
      </c>
      <c r="DN521">
        <f>0.699300699</f>
        <v>0.69930069900000003</v>
      </c>
      <c r="DO521">
        <f>0.925925926</f>
        <v>0.92592592600000001</v>
      </c>
      <c r="DP521">
        <f>1.004016064</f>
        <v>1.004016064</v>
      </c>
      <c r="DQ521">
        <f>1.199040767</f>
        <v>1.1990407670000001</v>
      </c>
      <c r="DR521">
        <f>0.819672131</f>
        <v>0.81967213100000003</v>
      </c>
      <c r="DS521">
        <f>0.931677019</f>
        <v>0.931677019</v>
      </c>
      <c r="DT521">
        <f>0.879765396</f>
        <v>0.87976539600000003</v>
      </c>
      <c r="DU521">
        <f>0.78125</f>
        <v>0.78125</v>
      </c>
    </row>
    <row r="522" spans="1:125" x14ac:dyDescent="0.25">
      <c r="A522" t="str">
        <f>"    Mitsubishi Motors Corp"</f>
        <v xml:space="preserve">    Mitsubishi Motors Corp</v>
      </c>
      <c r="B522" t="str">
        <f>"7211 JP Equity"</f>
        <v>7211 JP Equity</v>
      </c>
      <c r="C522" t="str">
        <f t="shared" si="36"/>
        <v>DV013</v>
      </c>
      <c r="D522" t="str">
        <f t="shared" si="37"/>
        <v>EQY_DVD_YLD_IND</v>
      </c>
      <c r="E522" t="str">
        <f t="shared" si="38"/>
        <v>Dynamic</v>
      </c>
      <c r="F522">
        <f ca="1">IF(AND(ISNUMBER($F$1182),$B$677=1),$F$1182,HLOOKUP(INDIRECT(ADDRESS(2,COLUMN())),OFFSET($BN$2,0,0,ROW()-1,60),ROW()-1,FALSE))</f>
        <v>3.2102728730000001</v>
      </c>
      <c r="G522">
        <f ca="1">IF(AND(ISNUMBER($G$1182),$B$677=1),$G$1182,HLOOKUP(INDIRECT(ADDRESS(2,COLUMN())),OFFSET($BN$2,0,0,ROW()-1,60),ROW()-1,FALSE))</f>
        <v>3.322259136</v>
      </c>
      <c r="H522">
        <f ca="1">IF(AND(ISNUMBER($H$1182),$B$677=1),$H$1182,HLOOKUP(INDIRECT(ADDRESS(2,COLUMN())),OFFSET($BN$2,0,0,ROW()-1,60),ROW()-1,FALSE))</f>
        <v>2.4937655859999999</v>
      </c>
      <c r="I522">
        <f ca="1">IF(AND(ISNUMBER($I$1182),$B$677=1),$I$1182,HLOOKUP(INDIRECT(ADDRESS(2,COLUMN())),OFFSET($BN$2,0,0,ROW()-1,60),ROW()-1,FALSE))</f>
        <v>2.2650056630000002</v>
      </c>
      <c r="J522">
        <f ca="1">IF(AND(ISNUMBER($J$1182),$B$677=1),$J$1182,HLOOKUP(INDIRECT(ADDRESS(2,COLUMN())),OFFSET($BN$2,0,0,ROW()-1,60),ROW()-1,FALSE))</f>
        <v>2.2339027599999999</v>
      </c>
      <c r="K522">
        <f ca="1">IF(AND(ISNUMBER($K$1182),$B$677=1),$K$1182,HLOOKUP(INDIRECT(ADDRESS(2,COLUMN())),OFFSET($BN$2,0,0,ROW()-1,60),ROW()-1,FALSE))</f>
        <v>2.0884520879999999</v>
      </c>
      <c r="L522">
        <f ca="1">IF(AND(ISNUMBER($L$1182),$B$677=1),$L$1182,HLOOKUP(INDIRECT(ADDRESS(2,COLUMN())),OFFSET($BN$2,0,0,ROW()-1,60),ROW()-1,FALSE))</f>
        <v>1.9101123600000001</v>
      </c>
      <c r="M522">
        <f ca="1">IF(AND(ISNUMBER($M$1182),$B$677=1),$M$1182,HLOOKUP(INDIRECT(ADDRESS(2,COLUMN())),OFFSET($BN$2,0,0,ROW()-1,60),ROW()-1,FALSE))</f>
        <v>2.2972972970000001</v>
      </c>
      <c r="N522">
        <f ca="1">IF(AND(ISNUMBER($N$1182),$B$677=1),$N$1182,HLOOKUP(INDIRECT(ADDRESS(2,COLUMN())),OFFSET($BN$2,0,0,ROW()-1,60),ROW()-1,FALSE))</f>
        <v>1.4947683110000001</v>
      </c>
      <c r="O522">
        <f ca="1">IF(AND(ISNUMBER($O$1182),$B$677=1),$O$1182,HLOOKUP(INDIRECT(ADDRESS(2,COLUMN())),OFFSET($BN$2,0,0,ROW()-1,60),ROW()-1,FALSE))</f>
        <v>1.501501502</v>
      </c>
      <c r="P522">
        <f ca="1">IF(AND(ISNUMBER($P$1182),$B$677=1),$P$1182,HLOOKUP(INDIRECT(ADDRESS(2,COLUMN())),OFFSET($BN$2,0,0,ROW()-1,60),ROW()-1,FALSE))</f>
        <v>2.1321961620000001</v>
      </c>
      <c r="Q522">
        <f ca="1">IF(AND(ISNUMBER($Q$1182),$B$677=1),$Q$1182,HLOOKUP(INDIRECT(ADDRESS(2,COLUMN())),OFFSET($BN$2,0,0,ROW()-1,60),ROW()-1,FALSE))</f>
        <v>2.1321961620000001</v>
      </c>
      <c r="R522">
        <f ca="1">IF(AND(ISNUMBER($R$1182),$B$677=1),$R$1182,HLOOKUP(INDIRECT(ADDRESS(2,COLUMN())),OFFSET($BN$2,0,0,ROW()-1,60),ROW()-1,FALSE))</f>
        <v>1.8979833930000001</v>
      </c>
      <c r="S522">
        <f ca="1">IF(AND(ISNUMBER($S$1182),$B$677=1),$S$1182,HLOOKUP(INDIRECT(ADDRESS(2,COLUMN())),OFFSET($BN$2,0,0,ROW()-1,60),ROW()-1,FALSE))</f>
        <v>1.553398058</v>
      </c>
      <c r="T522">
        <f ca="1">IF(AND(ISNUMBER($T$1182),$B$677=1),$T$1182,HLOOKUP(INDIRECT(ADDRESS(2,COLUMN())),OFFSET($BN$2,0,0,ROW()-1,60),ROW()-1,FALSE))</f>
        <v>1.754385965</v>
      </c>
      <c r="U522">
        <f ca="1">IF(AND(ISNUMBER($U$1182),$B$677=1),$U$1182,HLOOKUP(INDIRECT(ADDRESS(2,COLUMN())),OFFSET($BN$2,0,0,ROW()-1,60),ROW()-1,FALSE))</f>
        <v>1.535508637</v>
      </c>
      <c r="V522">
        <f ca="1">IF(AND(ISNUMBER($V$1182),$B$677=1),$V$1182,HLOOKUP(INDIRECT(ADDRESS(2,COLUMN())),OFFSET($BN$2,0,0,ROW()-1,60),ROW()-1,FALSE))</f>
        <v>1.4746543780000001</v>
      </c>
      <c r="W522">
        <f ca="1">IF(AND(ISNUMBER($W$1182),$B$677=1),$W$1182,HLOOKUP(INDIRECT(ADDRESS(2,COLUMN())),OFFSET($BN$2,0,0,ROW()-1,60),ROW()-1,FALSE))</f>
        <v>1.441441441</v>
      </c>
      <c r="X522">
        <f ca="1">IF(AND(ISNUMBER($X$1182),$B$677=1),$X$1182,HLOOKUP(INDIRECT(ADDRESS(2,COLUMN())),OFFSET($BN$2,0,0,ROW()-1,60),ROW()-1,FALSE))</f>
        <v>1.2021036810000001</v>
      </c>
      <c r="Y522">
        <f ca="1">IF(AND(ISNUMBER($Y$1182),$B$677=1),$Y$1182,HLOOKUP(INDIRECT(ADDRESS(2,COLUMN())),OFFSET($BN$2,0,0,ROW()-1,60),ROW()-1,FALSE))</f>
        <v>1.431127013</v>
      </c>
      <c r="Z522">
        <f ca="1">IF(AND(ISNUMBER($Z$1182),$B$677=1),$Z$1182,HLOOKUP(INDIRECT(ADDRESS(2,COLUMN())),OFFSET($BN$2,0,0,ROW()-1,60),ROW()-1,FALSE))</f>
        <v>1.388888889</v>
      </c>
      <c r="AA522" t="str">
        <f ca="1">IF(AND(ISNUMBER($AA$1182),$B$677=1),$AA$1182,HLOOKUP(INDIRECT(ADDRESS(2,COLUMN())),OFFSET($BN$2,0,0,ROW()-1,60),ROW()-1,FALSE))</f>
        <v/>
      </c>
      <c r="AB522" t="str">
        <f ca="1">IF(AND(ISNUMBER($AB$1182),$B$677=1),$AB$1182,HLOOKUP(INDIRECT(ADDRESS(2,COLUMN())),OFFSET($BN$2,0,0,ROW()-1,60),ROW()-1,FALSE))</f>
        <v/>
      </c>
      <c r="AC522" t="str">
        <f ca="1">IF(AND(ISNUMBER($AC$1182),$B$677=1),$AC$1182,HLOOKUP(INDIRECT(ADDRESS(2,COLUMN())),OFFSET($BN$2,0,0,ROW()-1,60),ROW()-1,FALSE))</f>
        <v/>
      </c>
      <c r="AD522" t="str">
        <f ca="1">IF(AND(ISNUMBER($AD$1182),$B$677=1),$AD$1182,HLOOKUP(INDIRECT(ADDRESS(2,COLUMN())),OFFSET($BN$2,0,0,ROW()-1,60),ROW()-1,FALSE))</f>
        <v/>
      </c>
      <c r="AE522" t="str">
        <f ca="1">IF(AND(ISNUMBER($AE$1182),$B$677=1),$AE$1182,HLOOKUP(INDIRECT(ADDRESS(2,COLUMN())),OFFSET($BN$2,0,0,ROW()-1,60),ROW()-1,FALSE))</f>
        <v/>
      </c>
      <c r="AF522" t="str">
        <f ca="1">IF(AND(ISNUMBER($AF$1182),$B$677=1),$AF$1182,HLOOKUP(INDIRECT(ADDRESS(2,COLUMN())),OFFSET($BN$2,0,0,ROW()-1,60),ROW()-1,FALSE))</f>
        <v/>
      </c>
      <c r="AG522" t="str">
        <f ca="1">IF(AND(ISNUMBER($AG$1182),$B$677=1),$AG$1182,HLOOKUP(INDIRECT(ADDRESS(2,COLUMN())),OFFSET($BN$2,0,0,ROW()-1,60),ROW()-1,FALSE))</f>
        <v/>
      </c>
      <c r="AH522" t="str">
        <f ca="1">IF(AND(ISNUMBER($AH$1182),$B$677=1),$AH$1182,HLOOKUP(INDIRECT(ADDRESS(2,COLUMN())),OFFSET($BN$2,0,0,ROW()-1,60),ROW()-1,FALSE))</f>
        <v/>
      </c>
      <c r="AI522" t="str">
        <f ca="1">IF(AND(ISNUMBER($AI$1182),$B$677=1),$AI$1182,HLOOKUP(INDIRECT(ADDRESS(2,COLUMN())),OFFSET($BN$2,0,0,ROW()-1,60),ROW()-1,FALSE))</f>
        <v/>
      </c>
      <c r="AJ522" t="str">
        <f ca="1">IF(AND(ISNUMBER($AJ$1182),$B$677=1),$AJ$1182,HLOOKUP(INDIRECT(ADDRESS(2,COLUMN())),OFFSET($BN$2,0,0,ROW()-1,60),ROW()-1,FALSE))</f>
        <v/>
      </c>
      <c r="AK522" t="str">
        <f ca="1">IF(AND(ISNUMBER($AK$1182),$B$677=1),$AK$1182,HLOOKUP(INDIRECT(ADDRESS(2,COLUMN())),OFFSET($BN$2,0,0,ROW()-1,60),ROW()-1,FALSE))</f>
        <v/>
      </c>
      <c r="AL522" t="str">
        <f ca="1">IF(AND(ISNUMBER($AL$1182),$B$677=1),$AL$1182,HLOOKUP(INDIRECT(ADDRESS(2,COLUMN())),OFFSET($BN$2,0,0,ROW()-1,60),ROW()-1,FALSE))</f>
        <v/>
      </c>
      <c r="AM522" t="str">
        <f ca="1">IF(AND(ISNUMBER($AM$1182),$B$677=1),$AM$1182,HLOOKUP(INDIRECT(ADDRESS(2,COLUMN())),OFFSET($BN$2,0,0,ROW()-1,60),ROW()-1,FALSE))</f>
        <v/>
      </c>
      <c r="AN522" t="str">
        <f ca="1">IF(AND(ISNUMBER($AN$1182),$B$677=1),$AN$1182,HLOOKUP(INDIRECT(ADDRESS(2,COLUMN())),OFFSET($BN$2,0,0,ROW()-1,60),ROW()-1,FALSE))</f>
        <v/>
      </c>
      <c r="AO522" t="str">
        <f ca="1">IF(AND(ISNUMBER($AO$1182),$B$677=1),$AO$1182,HLOOKUP(INDIRECT(ADDRESS(2,COLUMN())),OFFSET($BN$2,0,0,ROW()-1,60),ROW()-1,FALSE))</f>
        <v/>
      </c>
      <c r="AP522" t="str">
        <f ca="1">IF(AND(ISNUMBER($AP$1182),$B$677=1),$AP$1182,HLOOKUP(INDIRECT(ADDRESS(2,COLUMN())),OFFSET($BN$2,0,0,ROW()-1,60),ROW()-1,FALSE))</f>
        <v/>
      </c>
      <c r="AQ522" t="str">
        <f ca="1">IF(AND(ISNUMBER($AQ$1182),$B$677=1),$AQ$1182,HLOOKUP(INDIRECT(ADDRESS(2,COLUMN())),OFFSET($BN$2,0,0,ROW()-1,60),ROW()-1,FALSE))</f>
        <v/>
      </c>
      <c r="AR522" t="str">
        <f ca="1">IF(AND(ISNUMBER($AR$1182),$B$677=1),$AR$1182,HLOOKUP(INDIRECT(ADDRESS(2,COLUMN())),OFFSET($BN$2,0,0,ROW()-1,60),ROW()-1,FALSE))</f>
        <v/>
      </c>
      <c r="AS522" t="str">
        <f ca="1">IF(AND(ISNUMBER($AS$1182),$B$677=1),$AS$1182,HLOOKUP(INDIRECT(ADDRESS(2,COLUMN())),OFFSET($BN$2,0,0,ROW()-1,60),ROW()-1,FALSE))</f>
        <v/>
      </c>
      <c r="AT522" t="str">
        <f ca="1">IF(AND(ISNUMBER($AT$1182),$B$677=1),$AT$1182,HLOOKUP(INDIRECT(ADDRESS(2,COLUMN())),OFFSET($BN$2,0,0,ROW()-1,60),ROW()-1,FALSE))</f>
        <v/>
      </c>
      <c r="AU522" t="str">
        <f ca="1">IF(AND(ISNUMBER($AU$1182),$B$677=1),$AU$1182,HLOOKUP(INDIRECT(ADDRESS(2,COLUMN())),OFFSET($BN$2,0,0,ROW()-1,60),ROW()-1,FALSE))</f>
        <v/>
      </c>
      <c r="AV522" t="str">
        <f ca="1">IF(AND(ISNUMBER($AV$1182),$B$677=1),$AV$1182,HLOOKUP(INDIRECT(ADDRESS(2,COLUMN())),OFFSET($BN$2,0,0,ROW()-1,60),ROW()-1,FALSE))</f>
        <v/>
      </c>
      <c r="AW522" t="str">
        <f ca="1">IF(AND(ISNUMBER($AW$1182),$B$677=1),$AW$1182,HLOOKUP(INDIRECT(ADDRESS(2,COLUMN())),OFFSET($BN$2,0,0,ROW()-1,60),ROW()-1,FALSE))</f>
        <v/>
      </c>
      <c r="AX522" t="str">
        <f ca="1">IF(AND(ISNUMBER($AX$1182),$B$677=1),$AX$1182,HLOOKUP(INDIRECT(ADDRESS(2,COLUMN())),OFFSET($BN$2,0,0,ROW()-1,60),ROW()-1,FALSE))</f>
        <v/>
      </c>
      <c r="AY522" t="str">
        <f ca="1">IF(AND(ISNUMBER($AY$1182),$B$677=1),$AY$1182,HLOOKUP(INDIRECT(ADDRESS(2,COLUMN())),OFFSET($BN$2,0,0,ROW()-1,60),ROW()-1,FALSE))</f>
        <v/>
      </c>
      <c r="AZ522" t="str">
        <f ca="1">IF(AND(ISNUMBER($AZ$1182),$B$677=1),$AZ$1182,HLOOKUP(INDIRECT(ADDRESS(2,COLUMN())),OFFSET($BN$2,0,0,ROW()-1,60),ROW()-1,FALSE))</f>
        <v/>
      </c>
      <c r="BA522" t="str">
        <f ca="1">IF(AND(ISNUMBER($BA$1182),$B$677=1),$BA$1182,HLOOKUP(INDIRECT(ADDRESS(2,COLUMN())),OFFSET($BN$2,0,0,ROW()-1,60),ROW()-1,FALSE))</f>
        <v/>
      </c>
      <c r="BB522" t="str">
        <f ca="1">IF(AND(ISNUMBER($BB$1182),$B$677=1),$BB$1182,HLOOKUP(INDIRECT(ADDRESS(2,COLUMN())),OFFSET($BN$2,0,0,ROW()-1,60),ROW()-1,FALSE))</f>
        <v/>
      </c>
      <c r="BC522" t="str">
        <f ca="1">IF(AND(ISNUMBER($BC$1182),$B$677=1),$BC$1182,HLOOKUP(INDIRECT(ADDRESS(2,COLUMN())),OFFSET($BN$2,0,0,ROW()-1,60),ROW()-1,FALSE))</f>
        <v/>
      </c>
      <c r="BD522" t="str">
        <f ca="1">IF(AND(ISNUMBER($BD$1182),$B$677=1),$BD$1182,HLOOKUP(INDIRECT(ADDRESS(2,COLUMN())),OFFSET($BN$2,0,0,ROW()-1,60),ROW()-1,FALSE))</f>
        <v/>
      </c>
      <c r="BE522" t="str">
        <f ca="1">IF(AND(ISNUMBER($BE$1182),$B$677=1),$BE$1182,HLOOKUP(INDIRECT(ADDRESS(2,COLUMN())),OFFSET($BN$2,0,0,ROW()-1,60),ROW()-1,FALSE))</f>
        <v/>
      </c>
      <c r="BF522" t="str">
        <f ca="1">IF(AND(ISNUMBER($BF$1182),$B$677=1),$BF$1182,HLOOKUP(INDIRECT(ADDRESS(2,COLUMN())),OFFSET($BN$2,0,0,ROW()-1,60),ROW()-1,FALSE))</f>
        <v/>
      </c>
      <c r="BG522" t="str">
        <f ca="1">IF(AND(ISNUMBER($BG$1182),$B$677=1),$BG$1182,HLOOKUP(INDIRECT(ADDRESS(2,COLUMN())),OFFSET($BN$2,0,0,ROW()-1,60),ROW()-1,FALSE))</f>
        <v/>
      </c>
      <c r="BH522" t="str">
        <f ca="1">IF(AND(ISNUMBER($BH$1182),$B$677=1),$BH$1182,HLOOKUP(INDIRECT(ADDRESS(2,COLUMN())),OFFSET($BN$2,0,0,ROW()-1,60),ROW()-1,FALSE))</f>
        <v/>
      </c>
      <c r="BI522" t="str">
        <f ca="1">IF(AND(ISNUMBER($BI$1182),$B$677=1),$BI$1182,HLOOKUP(INDIRECT(ADDRESS(2,COLUMN())),OFFSET($BN$2,0,0,ROW()-1,60),ROW()-1,FALSE))</f>
        <v/>
      </c>
      <c r="BJ522" t="str">
        <f ca="1">IF(AND(ISNUMBER($BJ$1182),$B$677=1),$BJ$1182,HLOOKUP(INDIRECT(ADDRESS(2,COLUMN())),OFFSET($BN$2,0,0,ROW()-1,60),ROW()-1,FALSE))</f>
        <v/>
      </c>
      <c r="BK522" t="str">
        <f ca="1">IF(AND(ISNUMBER($BK$1182),$B$677=1),$BK$1182,HLOOKUP(INDIRECT(ADDRESS(2,COLUMN())),OFFSET($BN$2,0,0,ROW()-1,60),ROW()-1,FALSE))</f>
        <v/>
      </c>
      <c r="BL522" t="str">
        <f ca="1">IF(AND(ISNUMBER($BL$1182),$B$677=1),$BL$1182,HLOOKUP(INDIRECT(ADDRESS(2,COLUMN())),OFFSET($BN$2,0,0,ROW()-1,60),ROW()-1,FALSE))</f>
        <v/>
      </c>
      <c r="BM522" t="str">
        <f ca="1">IF(AND(ISNUMBER($BM$1182),$B$677=1),$BM$1182,HLOOKUP(INDIRECT(ADDRESS(2,COLUMN())),OFFSET($BN$2,0,0,ROW()-1,60),ROW()-1,FALSE))</f>
        <v/>
      </c>
      <c r="BN522">
        <f>3.210272873</f>
        <v>3.2102728730000001</v>
      </c>
      <c r="BO522">
        <f>3.322259136</f>
        <v>3.322259136</v>
      </c>
      <c r="BP522">
        <f>2.493765586</f>
        <v>2.4937655859999999</v>
      </c>
      <c r="BQ522">
        <f>2.265005663</f>
        <v>2.2650056630000002</v>
      </c>
      <c r="BR522">
        <f>2.23390276</f>
        <v>2.2339027599999999</v>
      </c>
      <c r="BS522">
        <f>2.088452088</f>
        <v>2.0884520879999999</v>
      </c>
      <c r="BT522">
        <f>1.91011236</f>
        <v>1.9101123600000001</v>
      </c>
      <c r="BU522">
        <f>2.297297297</f>
        <v>2.2972972970000001</v>
      </c>
      <c r="BV522">
        <f>1.494768311</f>
        <v>1.4947683110000001</v>
      </c>
      <c r="BW522">
        <f>1.501501502</f>
        <v>1.501501502</v>
      </c>
      <c r="BX522">
        <f>2.132196162</f>
        <v>2.1321961620000001</v>
      </c>
      <c r="BY522">
        <f>2.132196162</f>
        <v>2.1321961620000001</v>
      </c>
      <c r="BZ522">
        <f>1.897983393</f>
        <v>1.8979833930000001</v>
      </c>
      <c r="CA522">
        <f>1.553398058</f>
        <v>1.553398058</v>
      </c>
      <c r="CB522">
        <f>1.754385965</f>
        <v>1.754385965</v>
      </c>
      <c r="CC522">
        <f>1.535508637</f>
        <v>1.535508637</v>
      </c>
      <c r="CD522">
        <f>1.474654378</f>
        <v>1.4746543780000001</v>
      </c>
      <c r="CE522">
        <f>1.441441441</f>
        <v>1.441441441</v>
      </c>
      <c r="CF522">
        <f>1.202103681</f>
        <v>1.2021036810000001</v>
      </c>
      <c r="CG522">
        <f>1.431127013</f>
        <v>1.431127013</v>
      </c>
      <c r="CH522">
        <f>1.388888889</f>
        <v>1.388888889</v>
      </c>
      <c r="CI522" t="str">
        <f>""</f>
        <v/>
      </c>
      <c r="CJ522" t="str">
        <f>""</f>
        <v/>
      </c>
      <c r="CK522" t="str">
        <f>""</f>
        <v/>
      </c>
      <c r="CL522" t="str">
        <f>""</f>
        <v/>
      </c>
      <c r="CM522" t="str">
        <f>""</f>
        <v/>
      </c>
      <c r="CN522" t="str">
        <f>""</f>
        <v/>
      </c>
      <c r="CO522" t="str">
        <f>""</f>
        <v/>
      </c>
      <c r="CP522" t="str">
        <f>""</f>
        <v/>
      </c>
      <c r="CQ522" t="str">
        <f>""</f>
        <v/>
      </c>
      <c r="CR522" t="str">
        <f>""</f>
        <v/>
      </c>
      <c r="CS522" t="str">
        <f>""</f>
        <v/>
      </c>
      <c r="CT522" t="str">
        <f>""</f>
        <v/>
      </c>
      <c r="CU522" t="str">
        <f>""</f>
        <v/>
      </c>
      <c r="CV522" t="str">
        <f>""</f>
        <v/>
      </c>
      <c r="CW522" t="str">
        <f>""</f>
        <v/>
      </c>
      <c r="CX522" t="str">
        <f>""</f>
        <v/>
      </c>
      <c r="CY522" t="str">
        <f>""</f>
        <v/>
      </c>
      <c r="CZ522" t="str">
        <f>""</f>
        <v/>
      </c>
      <c r="DA522" t="str">
        <f>""</f>
        <v/>
      </c>
      <c r="DB522" t="str">
        <f>""</f>
        <v/>
      </c>
      <c r="DC522" t="str">
        <f>""</f>
        <v/>
      </c>
      <c r="DD522" t="str">
        <f>""</f>
        <v/>
      </c>
      <c r="DE522" t="str">
        <f>""</f>
        <v/>
      </c>
      <c r="DF522" t="str">
        <f>""</f>
        <v/>
      </c>
      <c r="DG522" t="str">
        <f>""</f>
        <v/>
      </c>
      <c r="DH522" t="str">
        <f>""</f>
        <v/>
      </c>
      <c r="DI522" t="str">
        <f>""</f>
        <v/>
      </c>
      <c r="DJ522" t="str">
        <f>""</f>
        <v/>
      </c>
      <c r="DK522" t="str">
        <f>""</f>
        <v/>
      </c>
      <c r="DL522" t="str">
        <f>""</f>
        <v/>
      </c>
      <c r="DM522" t="str">
        <f>""</f>
        <v/>
      </c>
      <c r="DN522" t="str">
        <f>""</f>
        <v/>
      </c>
      <c r="DO522" t="str">
        <f>""</f>
        <v/>
      </c>
      <c r="DP522" t="str">
        <f>""</f>
        <v/>
      </c>
      <c r="DQ522" t="str">
        <f>""</f>
        <v/>
      </c>
      <c r="DR522" t="str">
        <f>""</f>
        <v/>
      </c>
      <c r="DS522" t="str">
        <f>""</f>
        <v/>
      </c>
      <c r="DT522" t="str">
        <f>""</f>
        <v/>
      </c>
      <c r="DU522" t="str">
        <f>""</f>
        <v/>
      </c>
    </row>
    <row r="523" spans="1:125" x14ac:dyDescent="0.25">
      <c r="A523" t="str">
        <f>"    Nissan Motor Co Ltd"</f>
        <v xml:space="preserve">    Nissan Motor Co Ltd</v>
      </c>
      <c r="B523" t="str">
        <f>"7201 JP Equity"</f>
        <v>7201 JP Equity</v>
      </c>
      <c r="C523" t="str">
        <f t="shared" si="36"/>
        <v>DV013</v>
      </c>
      <c r="D523" t="str">
        <f t="shared" si="37"/>
        <v>EQY_DVD_YLD_IND</v>
      </c>
      <c r="E523" t="str">
        <f t="shared" si="38"/>
        <v>Dynamic</v>
      </c>
      <c r="F523">
        <f ca="1">IF(AND(ISNUMBER($F$1183),$B$677=1),$F$1183,HLOOKUP(INDIRECT(ADDRESS(2,COLUMN())),OFFSET($BN$2,0,0,ROW()-1,60),ROW()-1,FALSE))</f>
        <v>6.015196285</v>
      </c>
      <c r="G523">
        <f ca="1">IF(AND(ISNUMBER($G$1183),$B$677=1),$G$1183,HLOOKUP(INDIRECT(ADDRESS(2,COLUMN())),OFFSET($BN$2,0,0,ROW()-1,60),ROW()-1,FALSE))</f>
        <v>6.4750653189999996</v>
      </c>
      <c r="H523">
        <f ca="1">IF(AND(ISNUMBER($H$1183),$B$677=1),$H$1183,HLOOKUP(INDIRECT(ADDRESS(2,COLUMN())),OFFSET($BN$2,0,0,ROW()-1,60),ROW()-1,FALSE))</f>
        <v>5.1716031969999996</v>
      </c>
      <c r="I523">
        <f ca="1">IF(AND(ISNUMBER($I$1183),$B$677=1),$I$1183,HLOOKUP(INDIRECT(ADDRESS(2,COLUMN())),OFFSET($BN$2,0,0,ROW()-1,60),ROW()-1,FALSE))</f>
        <v>5.1020408159999997</v>
      </c>
      <c r="J523">
        <f ca="1">IF(AND(ISNUMBER($J$1183),$B$677=1),$J$1183,HLOOKUP(INDIRECT(ADDRESS(2,COLUMN())),OFFSET($BN$2,0,0,ROW()-1,60),ROW()-1,FALSE))</f>
        <v>4.8007246380000002</v>
      </c>
      <c r="K523">
        <f ca="1">IF(AND(ISNUMBER($K$1183),$B$677=1),$K$1183,HLOOKUP(INDIRECT(ADDRESS(2,COLUMN())),OFFSET($BN$2,0,0,ROW()-1,60),ROW()-1,FALSE))</f>
        <v>4.7174009789999998</v>
      </c>
      <c r="L523">
        <f ca="1">IF(AND(ISNUMBER($L$1183),$B$677=1),$L$1183,HLOOKUP(INDIRECT(ADDRESS(2,COLUMN())),OFFSET($BN$2,0,0,ROW()-1,60),ROW()-1,FALSE))</f>
        <v>4.5311799009999998</v>
      </c>
      <c r="M523">
        <f ca="1">IF(AND(ISNUMBER($M$1183),$B$677=1),$M$1183,HLOOKUP(INDIRECT(ADDRESS(2,COLUMN())),OFFSET($BN$2,0,0,ROW()-1,60),ROW()-1,FALSE))</f>
        <v>4.2933810379999997</v>
      </c>
      <c r="N523">
        <f ca="1">IF(AND(ISNUMBER($N$1183),$B$677=1),$N$1183,HLOOKUP(INDIRECT(ADDRESS(2,COLUMN())),OFFSET($BN$2,0,0,ROW()-1,60),ROW()-1,FALSE))</f>
        <v>4.4713553800000003</v>
      </c>
      <c r="O523">
        <f ca="1">IF(AND(ISNUMBER($O$1183),$B$677=1),$O$1183,HLOOKUP(INDIRECT(ADDRESS(2,COLUMN())),OFFSET($BN$2,0,0,ROW()-1,60),ROW()-1,FALSE))</f>
        <v>4.0833687789999997</v>
      </c>
      <c r="P523">
        <f ca="1">IF(AND(ISNUMBER($P$1183),$B$677=1),$P$1183,HLOOKUP(INDIRECT(ADDRESS(2,COLUMN())),OFFSET($BN$2,0,0,ROW()-1,60),ROW()-1,FALSE))</f>
        <v>4.8845018830000004</v>
      </c>
      <c r="Q523">
        <f ca="1">IF(AND(ISNUMBER($Q$1183),$B$677=1),$Q$1183,HLOOKUP(INDIRECT(ADDRESS(2,COLUMN())),OFFSET($BN$2,0,0,ROW()-1,60),ROW()-1,FALSE))</f>
        <v>5.2293278130000003</v>
      </c>
      <c r="R523">
        <f ca="1">IF(AND(ISNUMBER($R$1183),$B$677=1),$R$1183,HLOOKUP(INDIRECT(ADDRESS(2,COLUMN())),OFFSET($BN$2,0,0,ROW()-1,60),ROW()-1,FALSE))</f>
        <v>4.0326452230000003</v>
      </c>
      <c r="S523">
        <f ca="1">IF(AND(ISNUMBER($S$1183),$B$677=1),$S$1183,HLOOKUP(INDIRECT(ADDRESS(2,COLUMN())),OFFSET($BN$2,0,0,ROW()-1,60),ROW()-1,FALSE))</f>
        <v>3.282532239</v>
      </c>
      <c r="T523">
        <f ca="1">IF(AND(ISNUMBER($T$1183),$B$677=1),$T$1183,HLOOKUP(INDIRECT(ADDRESS(2,COLUMN())),OFFSET($BN$2,0,0,ROW()-1,60),ROW()-1,FALSE))</f>
        <v>3.8391224859999999</v>
      </c>
      <c r="U523">
        <f ca="1">IF(AND(ISNUMBER($U$1183),$B$677=1),$U$1183,HLOOKUP(INDIRECT(ADDRESS(2,COLUMN())),OFFSET($BN$2,0,0,ROW()-1,60),ROW()-1,FALSE))</f>
        <v>3.2941176470000002</v>
      </c>
      <c r="V523">
        <f ca="1">IF(AND(ISNUMBER($V$1183),$B$677=1),$V$1183,HLOOKUP(INDIRECT(ADDRESS(2,COLUMN())),OFFSET($BN$2,0,0,ROW()-1,60),ROW()-1,FALSE))</f>
        <v>2.6960784310000001</v>
      </c>
      <c r="W523">
        <f ca="1">IF(AND(ISNUMBER($W$1183),$B$677=1),$W$1183,HLOOKUP(INDIRECT(ADDRESS(2,COLUMN())),OFFSET($BN$2,0,0,ROW()-1,60),ROW()-1,FALSE))</f>
        <v>3.122043519</v>
      </c>
      <c r="X523">
        <f ca="1">IF(AND(ISNUMBER($X$1183),$B$677=1),$X$1183,HLOOKUP(INDIRECT(ADDRESS(2,COLUMN())),OFFSET($BN$2,0,0,ROW()-1,60),ROW()-1,FALSE))</f>
        <v>3.0869971939999998</v>
      </c>
      <c r="Y523">
        <f ca="1">IF(AND(ISNUMBER($Y$1183),$B$677=1),$Y$1183,HLOOKUP(INDIRECT(ADDRESS(2,COLUMN())),OFFSET($BN$2,0,0,ROW()-1,60),ROW()-1,FALSE))</f>
        <v>3.4339229969999998</v>
      </c>
      <c r="Z523">
        <f ca="1">IF(AND(ISNUMBER($Z$1183),$B$677=1),$Z$1183,HLOOKUP(INDIRECT(ADDRESS(2,COLUMN())),OFFSET($BN$2,0,0,ROW()-1,60),ROW()-1,FALSE))</f>
        <v>3.2608695650000001</v>
      </c>
      <c r="AA523">
        <f ca="1">IF(AND(ISNUMBER($AA$1183),$B$677=1),$AA$1183,HLOOKUP(INDIRECT(ADDRESS(2,COLUMN())),OFFSET($BN$2,0,0,ROW()-1,60),ROW()-1,FALSE))</f>
        <v>3.3936651580000001</v>
      </c>
      <c r="AB523">
        <f ca="1">IF(AND(ISNUMBER($AB$1183),$B$677=1),$AB$1183,HLOOKUP(INDIRECT(ADDRESS(2,COLUMN())),OFFSET($BN$2,0,0,ROW()-1,60),ROW()-1,FALSE))</f>
        <v>3.0487804879999998</v>
      </c>
      <c r="AC523">
        <f ca="1">IF(AND(ISNUMBER($AC$1183),$B$677=1),$AC$1183,HLOOKUP(INDIRECT(ADDRESS(2,COLUMN())),OFFSET($BN$2,0,0,ROW()-1,60),ROW()-1,FALSE))</f>
        <v>2.9850746269999999</v>
      </c>
      <c r="AD523">
        <f ca="1">IF(AND(ISNUMBER($AD$1183),$B$677=1),$AD$1183,HLOOKUP(INDIRECT(ADDRESS(2,COLUMN())),OFFSET($BN$2,0,0,ROW()-1,60),ROW()-1,FALSE))</f>
        <v>2.7624309390000001</v>
      </c>
      <c r="AE523">
        <f ca="1">IF(AND(ISNUMBER($AE$1183),$B$677=1),$AE$1183,HLOOKUP(INDIRECT(ADDRESS(2,COLUMN())),OFFSET($BN$2,0,0,ROW()-1,60),ROW()-1,FALSE))</f>
        <v>3.0826140569999998</v>
      </c>
      <c r="AF523">
        <f ca="1">IF(AND(ISNUMBER($AF$1183),$B$677=1),$AF$1183,HLOOKUP(INDIRECT(ADDRESS(2,COLUMN())),OFFSET($BN$2,0,0,ROW()-1,60),ROW()-1,FALSE))</f>
        <v>3.7593984960000002</v>
      </c>
      <c r="AG523">
        <f ca="1">IF(AND(ISNUMBER($AG$1183),$B$677=1),$AG$1183,HLOOKUP(INDIRECT(ADDRESS(2,COLUMN())),OFFSET($BN$2,0,0,ROW()-1,60),ROW()-1,FALSE))</f>
        <v>3.3422459889999998</v>
      </c>
      <c r="AH523">
        <f ca="1">IF(AND(ISNUMBER($AH$1183),$B$677=1),$AH$1183,HLOOKUP(INDIRECT(ADDRESS(2,COLUMN())),OFFSET($BN$2,0,0,ROW()-1,60),ROW()-1,FALSE))</f>
        <v>2.2701475599999998</v>
      </c>
      <c r="AI523">
        <f ca="1">IF(AND(ISNUMBER($AI$1183),$B$677=1),$AI$1183,HLOOKUP(INDIRECT(ADDRESS(2,COLUMN())),OFFSET($BN$2,0,0,ROW()-1,60),ROW()-1,FALSE))</f>
        <v>2.8901734100000001</v>
      </c>
      <c r="AJ523">
        <f ca="1">IF(AND(ISNUMBER($AJ$1183),$B$677=1),$AJ$1183,HLOOKUP(INDIRECT(ADDRESS(2,COLUMN())),OFFSET($BN$2,0,0,ROW()-1,60),ROW()-1,FALSE))</f>
        <v>2.886002886</v>
      </c>
      <c r="AK523">
        <f ca="1">IF(AND(ISNUMBER($AK$1183),$B$677=1),$AK$1183,HLOOKUP(INDIRECT(ADDRESS(2,COLUMN())),OFFSET($BN$2,0,0,ROW()-1,60),ROW()-1,FALSE))</f>
        <v>2.375296912</v>
      </c>
      <c r="AL523">
        <f ca="1">IF(AND(ISNUMBER($AL$1183),$B$677=1),$AL$1183,HLOOKUP(INDIRECT(ADDRESS(2,COLUMN())),OFFSET($BN$2,0,0,ROW()-1,60),ROW()-1,FALSE))</f>
        <v>1.35501355</v>
      </c>
      <c r="AM523">
        <f ca="1">IF(AND(ISNUMBER($AM$1183),$B$677=1),$AM$1183,HLOOKUP(INDIRECT(ADDRESS(2,COLUMN())),OFFSET($BN$2,0,0,ROW()-1,60),ROW()-1,FALSE))</f>
        <v>1.2936610609999999</v>
      </c>
      <c r="AN523">
        <f ca="1">IF(AND(ISNUMBER($AN$1183),$B$677=1),$AN$1183,HLOOKUP(INDIRECT(ADDRESS(2,COLUMN())),OFFSET($BN$2,0,0,ROW()-1,60),ROW()-1,FALSE))</f>
        <v>1.371742112</v>
      </c>
      <c r="AO523">
        <f ca="1">IF(AND(ISNUMBER($AO$1183),$B$677=1),$AO$1183,HLOOKUP(INDIRECT(ADDRESS(2,COLUMN())),OFFSET($BN$2,0,0,ROW()-1,60),ROW()-1,FALSE))</f>
        <v>1.5974440889999999</v>
      </c>
      <c r="AP523" t="str">
        <f ca="1">IF(AND(ISNUMBER($AP$1183),$B$677=1),$AP$1183,HLOOKUP(INDIRECT(ADDRESS(2,COLUMN())),OFFSET($BN$2,0,0,ROW()-1,60),ROW()-1,FALSE))</f>
        <v/>
      </c>
      <c r="AQ523" t="str">
        <f ca="1">IF(AND(ISNUMBER($AQ$1183),$B$677=1),$AQ$1183,HLOOKUP(INDIRECT(ADDRESS(2,COLUMN())),OFFSET($BN$2,0,0,ROW()-1,60),ROW()-1,FALSE))</f>
        <v/>
      </c>
      <c r="AR523" t="str">
        <f ca="1">IF(AND(ISNUMBER($AR$1183),$B$677=1),$AR$1183,HLOOKUP(INDIRECT(ADDRESS(2,COLUMN())),OFFSET($BN$2,0,0,ROW()-1,60),ROW()-1,FALSE))</f>
        <v/>
      </c>
      <c r="AS523">
        <f ca="1">IF(AND(ISNUMBER($AS$1183),$B$677=1),$AS$1183,HLOOKUP(INDIRECT(ADDRESS(2,COLUMN())),OFFSET($BN$2,0,0,ROW()-1,60),ROW()-1,FALSE))</f>
        <v>2.1359223300000001</v>
      </c>
      <c r="AT523">
        <f ca="1">IF(AND(ISNUMBER($AT$1183),$B$677=1),$AT$1183,HLOOKUP(INDIRECT(ADDRESS(2,COLUMN())),OFFSET($BN$2,0,0,ROW()-1,60),ROW()-1,FALSE))</f>
        <v>3.1428571430000001</v>
      </c>
      <c r="AU523">
        <f ca="1">IF(AND(ISNUMBER($AU$1183),$B$677=1),$AU$1183,HLOOKUP(INDIRECT(ADDRESS(2,COLUMN())),OFFSET($BN$2,0,0,ROW()-1,60),ROW()-1,FALSE))</f>
        <v>9.6875</v>
      </c>
      <c r="AV523">
        <f ca="1">IF(AND(ISNUMBER($AV$1183),$B$677=1),$AV$1183,HLOOKUP(INDIRECT(ADDRESS(2,COLUMN())),OFFSET($BN$2,0,0,ROW()-1,60),ROW()-1,FALSE))</f>
        <v>5.7388809180000004</v>
      </c>
      <c r="AW523">
        <f ca="1">IF(AND(ISNUMBER($AW$1183),$B$677=1),$AW$1183,HLOOKUP(INDIRECT(ADDRESS(2,COLUMN())),OFFSET($BN$2,0,0,ROW()-1,60),ROW()-1,FALSE))</f>
        <v>4.5610034209999997</v>
      </c>
      <c r="AX523">
        <f ca="1">IF(AND(ISNUMBER($AX$1183),$B$677=1),$AX$1183,HLOOKUP(INDIRECT(ADDRESS(2,COLUMN())),OFFSET($BN$2,0,0,ROW()-1,60),ROW()-1,FALSE))</f>
        <v>4.8543689319999999</v>
      </c>
      <c r="AY523">
        <f ca="1">IF(AND(ISNUMBER($AY$1183),$B$677=1),$AY$1183,HLOOKUP(INDIRECT(ADDRESS(2,COLUMN())),OFFSET($BN$2,0,0,ROW()-1,60),ROW()-1,FALSE))</f>
        <v>3.2520325200000002</v>
      </c>
      <c r="AZ523">
        <f ca="1">IF(AND(ISNUMBER($AZ$1183),$B$677=1),$AZ$1183,HLOOKUP(INDIRECT(ADDRESS(2,COLUMN())),OFFSET($BN$2,0,0,ROW()-1,60),ROW()-1,FALSE))</f>
        <v>2.9539530840000001</v>
      </c>
      <c r="BA523">
        <f ca="1">IF(AND(ISNUMBER($BA$1183),$B$677=1),$BA$1183,HLOOKUP(INDIRECT(ADDRESS(2,COLUMN())),OFFSET($BN$2,0,0,ROW()-1,60),ROW()-1,FALSE))</f>
        <v>2.5738077210000001</v>
      </c>
      <c r="BB523">
        <f ca="1">IF(AND(ISNUMBER($BB$1183),$B$677=1),$BB$1183,HLOOKUP(INDIRECT(ADDRESS(2,COLUMN())),OFFSET($BN$2,0,0,ROW()-1,60),ROW()-1,FALSE))</f>
        <v>2.6920031670000002</v>
      </c>
      <c r="BC523">
        <f ca="1">IF(AND(ISNUMBER($BC$1183),$B$677=1),$BC$1183,HLOOKUP(INDIRECT(ADDRESS(2,COLUMN())),OFFSET($BN$2,0,0,ROW()-1,60),ROW()-1,FALSE))</f>
        <v>2.3726448009999999</v>
      </c>
      <c r="BD523">
        <f ca="1">IF(AND(ISNUMBER($BD$1183),$B$677=1),$BD$1183,HLOOKUP(INDIRECT(ADDRESS(2,COLUMN())),OFFSET($BN$2,0,0,ROW()-1,60),ROW()-1,FALSE))</f>
        <v>2.191987906</v>
      </c>
      <c r="BE523">
        <f ca="1">IF(AND(ISNUMBER($BE$1183),$B$677=1),$BE$1183,HLOOKUP(INDIRECT(ADDRESS(2,COLUMN())),OFFSET($BN$2,0,0,ROW()-1,60),ROW()-1,FALSE))</f>
        <v>2.3199999999999998</v>
      </c>
      <c r="BF523">
        <f ca="1">IF(AND(ISNUMBER($BF$1183),$B$677=1),$BF$1183,HLOOKUP(INDIRECT(ADDRESS(2,COLUMN())),OFFSET($BN$2,0,0,ROW()-1,60),ROW()-1,FALSE))</f>
        <v>2.074391989</v>
      </c>
      <c r="BG523">
        <f ca="1">IF(AND(ISNUMBER($BG$1183),$B$677=1),$BG$1183,HLOOKUP(INDIRECT(ADDRESS(2,COLUMN())),OFFSET($BN$2,0,0,ROW()-1,60),ROW()-1,FALSE))</f>
        <v>2.4267782429999998</v>
      </c>
      <c r="BH523">
        <f ca="1">IF(AND(ISNUMBER($BH$1183),$B$677=1),$BH$1183,HLOOKUP(INDIRECT(ADDRESS(2,COLUMN())),OFFSET($BN$2,0,0,ROW()-1,60),ROW()-1,FALSE))</f>
        <v>2.0547945209999998</v>
      </c>
      <c r="BI523">
        <f ca="1">IF(AND(ISNUMBER($BI$1183),$B$677=1),$BI$1183,HLOOKUP(INDIRECT(ADDRESS(2,COLUMN())),OFFSET($BN$2,0,0,ROW()-1,60),ROW()-1,FALSE))</f>
        <v>2.1857923499999998</v>
      </c>
      <c r="BJ523">
        <f ca="1">IF(AND(ISNUMBER($BJ$1183),$B$677=1),$BJ$1183,HLOOKUP(INDIRECT(ADDRESS(2,COLUMN())),OFFSET($BN$2,0,0,ROW()-1,60),ROW()-1,FALSE))</f>
        <v>2.1838034579999999</v>
      </c>
      <c r="BK523">
        <f ca="1">IF(AND(ISNUMBER($BK$1183),$B$677=1),$BK$1183,HLOOKUP(INDIRECT(ADDRESS(2,COLUMN())),OFFSET($BN$2,0,0,ROW()-1,60),ROW()-1,FALSE))</f>
        <v>2.1543985640000001</v>
      </c>
      <c r="BL523">
        <f ca="1">IF(AND(ISNUMBER($BL$1183),$B$677=1),$BL$1183,HLOOKUP(INDIRECT(ADDRESS(2,COLUMN())),OFFSET($BN$2,0,0,ROW()-1,60),ROW()-1,FALSE))</f>
        <v>2</v>
      </c>
      <c r="BM523">
        <f ca="1">IF(AND(ISNUMBER($BM$1183),$B$677=1),$BM$1183,HLOOKUP(INDIRECT(ADDRESS(2,COLUMN())),OFFSET($BN$2,0,0,ROW()-1,60),ROW()-1,FALSE))</f>
        <v>1.97856554</v>
      </c>
      <c r="BN523">
        <f>6.015196285</f>
        <v>6.015196285</v>
      </c>
      <c r="BO523">
        <f>6.475065319</f>
        <v>6.4750653189999996</v>
      </c>
      <c r="BP523">
        <f>5.171603197</f>
        <v>5.1716031969999996</v>
      </c>
      <c r="BQ523">
        <f>5.102040816</f>
        <v>5.1020408159999997</v>
      </c>
      <c r="BR523">
        <f>4.800724638</f>
        <v>4.8007246380000002</v>
      </c>
      <c r="BS523">
        <f>4.717400979</f>
        <v>4.7174009789999998</v>
      </c>
      <c r="BT523">
        <f>4.531179901</f>
        <v>4.5311799009999998</v>
      </c>
      <c r="BU523">
        <f>4.293381038</f>
        <v>4.2933810379999997</v>
      </c>
      <c r="BV523">
        <f>4.47135538</f>
        <v>4.4713553800000003</v>
      </c>
      <c r="BW523">
        <f>4.083368779</f>
        <v>4.0833687789999997</v>
      </c>
      <c r="BX523">
        <f>4.884501883</f>
        <v>4.8845018830000004</v>
      </c>
      <c r="BY523">
        <f>5.229327813</f>
        <v>5.2293278130000003</v>
      </c>
      <c r="BZ523">
        <f>4.032645223</f>
        <v>4.0326452230000003</v>
      </c>
      <c r="CA523">
        <f>3.282532239</f>
        <v>3.282532239</v>
      </c>
      <c r="CB523">
        <f>3.839122486</f>
        <v>3.8391224859999999</v>
      </c>
      <c r="CC523">
        <f>3.294117647</f>
        <v>3.2941176470000002</v>
      </c>
      <c r="CD523">
        <f>2.696078431</f>
        <v>2.6960784310000001</v>
      </c>
      <c r="CE523">
        <f>3.122043519</f>
        <v>3.122043519</v>
      </c>
      <c r="CF523">
        <f>3.086997194</f>
        <v>3.0869971939999998</v>
      </c>
      <c r="CG523">
        <f>3.433922997</f>
        <v>3.4339229969999998</v>
      </c>
      <c r="CH523">
        <f>3.260869565</f>
        <v>3.2608695650000001</v>
      </c>
      <c r="CI523">
        <f>3.393665158</f>
        <v>3.3936651580000001</v>
      </c>
      <c r="CJ523">
        <f>3.048780488</f>
        <v>3.0487804879999998</v>
      </c>
      <c r="CK523">
        <f>2.985074627</f>
        <v>2.9850746269999999</v>
      </c>
      <c r="CL523">
        <f>2.762430939</f>
        <v>2.7624309390000001</v>
      </c>
      <c r="CM523">
        <f>3.082614057</f>
        <v>3.0826140569999998</v>
      </c>
      <c r="CN523">
        <f>3.759398496</f>
        <v>3.7593984960000002</v>
      </c>
      <c r="CO523">
        <f>3.342245989</f>
        <v>3.3422459889999998</v>
      </c>
      <c r="CP523">
        <f>2.27014756</f>
        <v>2.2701475599999998</v>
      </c>
      <c r="CQ523">
        <f>2.89017341</f>
        <v>2.8901734100000001</v>
      </c>
      <c r="CR523">
        <f>2.886002886</f>
        <v>2.886002886</v>
      </c>
      <c r="CS523">
        <f>2.375296912</f>
        <v>2.375296912</v>
      </c>
      <c r="CT523">
        <f>1.35501355</f>
        <v>1.35501355</v>
      </c>
      <c r="CU523">
        <f>1.293661061</f>
        <v>1.2936610609999999</v>
      </c>
      <c r="CV523">
        <f>1.371742112</f>
        <v>1.371742112</v>
      </c>
      <c r="CW523">
        <f>1.597444089</f>
        <v>1.5974440889999999</v>
      </c>
      <c r="CX523" t="str">
        <f>""</f>
        <v/>
      </c>
      <c r="CY523" t="str">
        <f>""</f>
        <v/>
      </c>
      <c r="CZ523" t="str">
        <f>""</f>
        <v/>
      </c>
      <c r="DA523">
        <f>2.13592233</f>
        <v>2.1359223300000001</v>
      </c>
      <c r="DB523">
        <f>3.142857143</f>
        <v>3.1428571430000001</v>
      </c>
      <c r="DC523">
        <f>9.6875</f>
        <v>9.6875</v>
      </c>
      <c r="DD523">
        <f>5.738880918</f>
        <v>5.7388809180000004</v>
      </c>
      <c r="DE523">
        <f>4.561003421</f>
        <v>4.5610034209999997</v>
      </c>
      <c r="DF523">
        <f>4.854368932</f>
        <v>4.8543689319999999</v>
      </c>
      <c r="DG523">
        <f>3.25203252</f>
        <v>3.2520325200000002</v>
      </c>
      <c r="DH523">
        <f>2.953953084</f>
        <v>2.9539530840000001</v>
      </c>
      <c r="DI523">
        <f>2.573807721</f>
        <v>2.5738077210000001</v>
      </c>
      <c r="DJ523">
        <f>2.692003167</f>
        <v>2.6920031670000002</v>
      </c>
      <c r="DK523">
        <f>2.372644801</f>
        <v>2.3726448009999999</v>
      </c>
      <c r="DL523">
        <f>2.191987906</f>
        <v>2.191987906</v>
      </c>
      <c r="DM523">
        <f>2.32</f>
        <v>2.3199999999999998</v>
      </c>
      <c r="DN523">
        <f>2.074391989</f>
        <v>2.074391989</v>
      </c>
      <c r="DO523">
        <f>2.426778243</f>
        <v>2.4267782429999998</v>
      </c>
      <c r="DP523">
        <f>2.054794521</f>
        <v>2.0547945209999998</v>
      </c>
      <c r="DQ523">
        <f>2.18579235</f>
        <v>2.1857923499999998</v>
      </c>
      <c r="DR523">
        <f>2.183803458</f>
        <v>2.1838034579999999</v>
      </c>
      <c r="DS523">
        <f>2.154398564</f>
        <v>2.1543985640000001</v>
      </c>
      <c r="DT523">
        <f>2</f>
        <v>2</v>
      </c>
      <c r="DU523">
        <f>1.97856554</f>
        <v>1.97856554</v>
      </c>
    </row>
    <row r="524" spans="1:125" x14ac:dyDescent="0.25">
      <c r="A524" t="str">
        <f>"    Peugeot SA"</f>
        <v xml:space="preserve">    Peugeot SA</v>
      </c>
      <c r="B524" t="str">
        <f>"UG FP Equity"</f>
        <v>UG FP Equity</v>
      </c>
      <c r="C524" t="str">
        <f t="shared" si="36"/>
        <v>DV013</v>
      </c>
      <c r="D524" t="str">
        <f t="shared" si="37"/>
        <v>EQY_DVD_YLD_IND</v>
      </c>
      <c r="E524" t="str">
        <f t="shared" si="38"/>
        <v>Dynamic</v>
      </c>
      <c r="F524">
        <f ca="1">IF(AND(ISNUMBER($F$1184),$B$677=1),$F$1184,HLOOKUP(INDIRECT(ADDRESS(2,COLUMN())),OFFSET($BN$2,0,0,ROW()-1,60),ROW()-1,FALSE))</f>
        <v>3.4513272490000002</v>
      </c>
      <c r="G524">
        <f ca="1">IF(AND(ISNUMBER($G$1184),$B$677=1),$G$1184,HLOOKUP(INDIRECT(ADDRESS(2,COLUMN())),OFFSET($BN$2,0,0,ROW()-1,60),ROW()-1,FALSE))</f>
        <v>2.8425849900000002</v>
      </c>
      <c r="H524">
        <f ca="1">IF(AND(ISNUMBER($H$1184),$B$677=1),$H$1184,HLOOKUP(INDIRECT(ADDRESS(2,COLUMN())),OFFSET($BN$2,0,0,ROW()-1,60),ROW()-1,FALSE))</f>
        <v>2.2815323780000001</v>
      </c>
      <c r="I524">
        <f ca="1">IF(AND(ISNUMBER($I$1184),$B$677=1),$I$1184,HLOOKUP(INDIRECT(ADDRESS(2,COLUMN())),OFFSET($BN$2,0,0,ROW()-1,60),ROW()-1,FALSE))</f>
        <v>2.7096113060000002</v>
      </c>
      <c r="J524">
        <f ca="1">IF(AND(ISNUMBER($J$1184),$B$677=1),$J$1184,HLOOKUP(INDIRECT(ADDRESS(2,COLUMN())),OFFSET($BN$2,0,0,ROW()-1,60),ROW()-1,FALSE))</f>
        <v>2.7109972959999999</v>
      </c>
      <c r="K524">
        <f ca="1">IF(AND(ISNUMBER($K$1184),$B$677=1),$K$1184,HLOOKUP(INDIRECT(ADDRESS(2,COLUMN())),OFFSET($BN$2,0,0,ROW()-1,60),ROW()-1,FALSE))</f>
        <v>2.8310232339999999</v>
      </c>
      <c r="L524">
        <f ca="1">IF(AND(ISNUMBER($L$1184),$B$677=1),$L$1184,HLOOKUP(INDIRECT(ADDRESS(2,COLUMN())),OFFSET($BN$2,0,0,ROW()-1,60),ROW()-1,FALSE))</f>
        <v>2.3821339419999998</v>
      </c>
      <c r="M524">
        <f ca="1">IF(AND(ISNUMBER($M$1184),$B$677=1),$M$1184,HLOOKUP(INDIRECT(ADDRESS(2,COLUMN())),OFFSET($BN$2,0,0,ROW()-1,60),ROW()-1,FALSE))</f>
        <v>2.7483537889999998</v>
      </c>
      <c r="N524">
        <f ca="1">IF(AND(ISNUMBER($N$1184),$B$677=1),$N$1184,HLOOKUP(INDIRECT(ADDRESS(2,COLUMN())),OFFSET($BN$2,0,0,ROW()-1,60),ROW()-1,FALSE))</f>
        <v>2.543046301</v>
      </c>
      <c r="O524" t="str">
        <f ca="1">IF(AND(ISNUMBER($O$1184),$B$677=1),$O$1184,HLOOKUP(INDIRECT(ADDRESS(2,COLUMN())),OFFSET($BN$2,0,0,ROW()-1,60),ROW()-1,FALSE))</f>
        <v/>
      </c>
      <c r="P524" t="str">
        <f ca="1">IF(AND(ISNUMBER($P$1184),$B$677=1),$P$1184,HLOOKUP(INDIRECT(ADDRESS(2,COLUMN())),OFFSET($BN$2,0,0,ROW()-1,60),ROW()-1,FALSE))</f>
        <v/>
      </c>
      <c r="Q524" t="str">
        <f ca="1">IF(AND(ISNUMBER($Q$1184),$B$677=1),$Q$1184,HLOOKUP(INDIRECT(ADDRESS(2,COLUMN())),OFFSET($BN$2,0,0,ROW()-1,60),ROW()-1,FALSE))</f>
        <v/>
      </c>
      <c r="R524" t="str">
        <f ca="1">IF(AND(ISNUMBER($R$1184),$B$677=1),$R$1184,HLOOKUP(INDIRECT(ADDRESS(2,COLUMN())),OFFSET($BN$2,0,0,ROW()-1,60),ROW()-1,FALSE))</f>
        <v/>
      </c>
      <c r="S524" t="str">
        <f ca="1">IF(AND(ISNUMBER($S$1184),$B$677=1),$S$1184,HLOOKUP(INDIRECT(ADDRESS(2,COLUMN())),OFFSET($BN$2,0,0,ROW()-1,60),ROW()-1,FALSE))</f>
        <v/>
      </c>
      <c r="T524" t="str">
        <f ca="1">IF(AND(ISNUMBER($T$1184),$B$677=1),$T$1184,HLOOKUP(INDIRECT(ADDRESS(2,COLUMN())),OFFSET($BN$2,0,0,ROW()-1,60),ROW()-1,FALSE))</f>
        <v/>
      </c>
      <c r="U524" t="str">
        <f ca="1">IF(AND(ISNUMBER($U$1184),$B$677=1),$U$1184,HLOOKUP(INDIRECT(ADDRESS(2,COLUMN())),OFFSET($BN$2,0,0,ROW()-1,60),ROW()-1,FALSE))</f>
        <v/>
      </c>
      <c r="V524" t="str">
        <f ca="1">IF(AND(ISNUMBER($V$1184),$B$677=1),$V$1184,HLOOKUP(INDIRECT(ADDRESS(2,COLUMN())),OFFSET($BN$2,0,0,ROW()-1,60),ROW()-1,FALSE))</f>
        <v/>
      </c>
      <c r="W524" t="str">
        <f ca="1">IF(AND(ISNUMBER($W$1184),$B$677=1),$W$1184,HLOOKUP(INDIRECT(ADDRESS(2,COLUMN())),OFFSET($BN$2,0,0,ROW()-1,60),ROW()-1,FALSE))</f>
        <v/>
      </c>
      <c r="X524" t="str">
        <f ca="1">IF(AND(ISNUMBER($X$1184),$B$677=1),$X$1184,HLOOKUP(INDIRECT(ADDRESS(2,COLUMN())),OFFSET($BN$2,0,0,ROW()-1,60),ROW()-1,FALSE))</f>
        <v/>
      </c>
      <c r="Y524" t="str">
        <f ca="1">IF(AND(ISNUMBER($Y$1184),$B$677=1),$Y$1184,HLOOKUP(INDIRECT(ADDRESS(2,COLUMN())),OFFSET($BN$2,0,0,ROW()-1,60),ROW()-1,FALSE))</f>
        <v/>
      </c>
      <c r="Z524" t="str">
        <f ca="1">IF(AND(ISNUMBER($Z$1184),$B$677=1),$Z$1184,HLOOKUP(INDIRECT(ADDRESS(2,COLUMN())),OFFSET($BN$2,0,0,ROW()-1,60),ROW()-1,FALSE))</f>
        <v/>
      </c>
      <c r="AA524" t="str">
        <f ca="1">IF(AND(ISNUMBER($AA$1184),$B$677=1),$AA$1184,HLOOKUP(INDIRECT(ADDRESS(2,COLUMN())),OFFSET($BN$2,0,0,ROW()-1,60),ROW()-1,FALSE))</f>
        <v/>
      </c>
      <c r="AB524" t="str">
        <f ca="1">IF(AND(ISNUMBER($AB$1184),$B$677=1),$AB$1184,HLOOKUP(INDIRECT(ADDRESS(2,COLUMN())),OFFSET($BN$2,0,0,ROW()-1,60),ROW()-1,FALSE))</f>
        <v/>
      </c>
      <c r="AC524" t="str">
        <f ca="1">IF(AND(ISNUMBER($AC$1184),$B$677=1),$AC$1184,HLOOKUP(INDIRECT(ADDRESS(2,COLUMN())),OFFSET($BN$2,0,0,ROW()-1,60),ROW()-1,FALSE))</f>
        <v/>
      </c>
      <c r="AD524" t="str">
        <f ca="1">IF(AND(ISNUMBER($AD$1184),$B$677=1),$AD$1184,HLOOKUP(INDIRECT(ADDRESS(2,COLUMN())),OFFSET($BN$2,0,0,ROW()-1,60),ROW()-1,FALSE))</f>
        <v/>
      </c>
      <c r="AE524" t="str">
        <f ca="1">IF(AND(ISNUMBER($AE$1184),$B$677=1),$AE$1184,HLOOKUP(INDIRECT(ADDRESS(2,COLUMN())),OFFSET($BN$2,0,0,ROW()-1,60),ROW()-1,FALSE))</f>
        <v/>
      </c>
      <c r="AF524" t="str">
        <f ca="1">IF(AND(ISNUMBER($AF$1184),$B$677=1),$AF$1184,HLOOKUP(INDIRECT(ADDRESS(2,COLUMN())),OFFSET($BN$2,0,0,ROW()-1,60),ROW()-1,FALSE))</f>
        <v/>
      </c>
      <c r="AG524" t="str">
        <f ca="1">IF(AND(ISNUMBER($AG$1184),$B$677=1),$AG$1184,HLOOKUP(INDIRECT(ADDRESS(2,COLUMN())),OFFSET($BN$2,0,0,ROW()-1,60),ROW()-1,FALSE))</f>
        <v/>
      </c>
      <c r="AH524">
        <f ca="1">IF(AND(ISNUMBER($AH$1184),$B$677=1),$AH$1184,HLOOKUP(INDIRECT(ADDRESS(2,COLUMN())),OFFSET($BN$2,0,0,ROW()-1,60),ROW()-1,FALSE))</f>
        <v>7.7437520979999999</v>
      </c>
      <c r="AI524">
        <f ca="1">IF(AND(ISNUMBER($AI$1184),$B$677=1),$AI$1184,HLOOKUP(INDIRECT(ADDRESS(2,COLUMN())),OFFSET($BN$2,0,0,ROW()-1,60),ROW()-1,FALSE))</f>
        <v>9.083402027</v>
      </c>
      <c r="AJ524">
        <f ca="1">IF(AND(ISNUMBER($AJ$1184),$B$677=1),$AJ$1184,HLOOKUP(INDIRECT(ADDRESS(2,COLUMN())),OFFSET($BN$2,0,0,ROW()-1,60),ROW()-1,FALSE))</f>
        <v>6.8048251500000001</v>
      </c>
      <c r="AK524">
        <f ca="1">IF(AND(ISNUMBER($AK$1184),$B$677=1),$AK$1184,HLOOKUP(INDIRECT(ADDRESS(2,COLUMN())),OFFSET($BN$2,0,0,ROW()-1,60),ROW()-1,FALSE))</f>
        <v>3.563330047</v>
      </c>
      <c r="AL524" t="str">
        <f ca="1">IF(AND(ISNUMBER($AL$1184),$B$677=1),$AL$1184,HLOOKUP(INDIRECT(ADDRESS(2,COLUMN())),OFFSET($BN$2,0,0,ROW()-1,60),ROW()-1,FALSE))</f>
        <v/>
      </c>
      <c r="AM524" t="str">
        <f ca="1">IF(AND(ISNUMBER($AM$1184),$B$677=1),$AM$1184,HLOOKUP(INDIRECT(ADDRESS(2,COLUMN())),OFFSET($BN$2,0,0,ROW()-1,60),ROW()-1,FALSE))</f>
        <v/>
      </c>
      <c r="AN524" t="str">
        <f ca="1">IF(AND(ISNUMBER($AN$1184),$B$677=1),$AN$1184,HLOOKUP(INDIRECT(ADDRESS(2,COLUMN())),OFFSET($BN$2,0,0,ROW()-1,60),ROW()-1,FALSE))</f>
        <v/>
      </c>
      <c r="AO524" t="str">
        <f ca="1">IF(AND(ISNUMBER($AO$1184),$B$677=1),$AO$1184,HLOOKUP(INDIRECT(ADDRESS(2,COLUMN())),OFFSET($BN$2,0,0,ROW()-1,60),ROW()-1,FALSE))</f>
        <v/>
      </c>
      <c r="AP524" t="str">
        <f ca="1">IF(AND(ISNUMBER($AP$1184),$B$677=1),$AP$1184,HLOOKUP(INDIRECT(ADDRESS(2,COLUMN())),OFFSET($BN$2,0,0,ROW()-1,60),ROW()-1,FALSE))</f>
        <v/>
      </c>
      <c r="AQ524" t="str">
        <f ca="1">IF(AND(ISNUMBER($AQ$1184),$B$677=1),$AQ$1184,HLOOKUP(INDIRECT(ADDRESS(2,COLUMN())),OFFSET($BN$2,0,0,ROW()-1,60),ROW()-1,FALSE))</f>
        <v/>
      </c>
      <c r="AR524" t="str">
        <f ca="1">IF(AND(ISNUMBER($AR$1184),$B$677=1),$AR$1184,HLOOKUP(INDIRECT(ADDRESS(2,COLUMN())),OFFSET($BN$2,0,0,ROW()-1,60),ROW()-1,FALSE))</f>
        <v/>
      </c>
      <c r="AS524">
        <f ca="1">IF(AND(ISNUMBER($AS$1184),$B$677=1),$AS$1184,HLOOKUP(INDIRECT(ADDRESS(2,COLUMN())),OFFSET($BN$2,0,0,ROW()-1,60),ROW()-1,FALSE))</f>
        <v>8.6430420639999994</v>
      </c>
      <c r="AT524">
        <f ca="1">IF(AND(ISNUMBER($AT$1184),$B$677=1),$AT$1184,HLOOKUP(INDIRECT(ADDRESS(2,COLUMN())),OFFSET($BN$2,0,0,ROW()-1,60),ROW()-1,FALSE))</f>
        <v>10.53370752</v>
      </c>
      <c r="AU524">
        <f ca="1">IF(AND(ISNUMBER($AU$1184),$B$677=1),$AU$1184,HLOOKUP(INDIRECT(ADDRESS(2,COLUMN())),OFFSET($BN$2,0,0,ROW()-1,60),ROW()-1,FALSE))</f>
        <v>12.345678599999999</v>
      </c>
      <c r="AV524">
        <f ca="1">IF(AND(ISNUMBER($AV$1184),$B$677=1),$AV$1184,HLOOKUP(INDIRECT(ADDRESS(2,COLUMN())),OFFSET($BN$2,0,0,ROW()-1,60),ROW()-1,FALSE))</f>
        <v>5.6882819500000004</v>
      </c>
      <c r="AW524">
        <f ca="1">IF(AND(ISNUMBER($AW$1184),$B$677=1),$AW$1184,HLOOKUP(INDIRECT(ADDRESS(2,COLUMN())),OFFSET($BN$2,0,0,ROW()-1,60),ROW()-1,FALSE))</f>
        <v>4.3490865469999997</v>
      </c>
      <c r="AX524">
        <f ca="1">IF(AND(ISNUMBER($AX$1184),$B$677=1),$AX$1184,HLOOKUP(INDIRECT(ADDRESS(2,COLUMN())),OFFSET($BN$2,0,0,ROW()-1,60),ROW()-1,FALSE))</f>
        <v>2.748930981</v>
      </c>
      <c r="AY524">
        <f ca="1">IF(AND(ISNUMBER($AY$1184),$B$677=1),$AY$1184,HLOOKUP(INDIRECT(ADDRESS(2,COLUMN())),OFFSET($BN$2,0,0,ROW()-1,60),ROW()-1,FALSE))</f>
        <v>2.6036644259999999</v>
      </c>
      <c r="AZ524">
        <f ca="1">IF(AND(ISNUMBER($AZ$1184),$B$677=1),$AZ$1184,HLOOKUP(INDIRECT(ADDRESS(2,COLUMN())),OFFSET($BN$2,0,0,ROW()-1,60),ROW()-1,FALSE))</f>
        <v>2.3324118949999999</v>
      </c>
      <c r="BA524">
        <f ca="1">IF(AND(ISNUMBER($BA$1184),$B$677=1),$BA$1184,HLOOKUP(INDIRECT(ADDRESS(2,COLUMN())),OFFSET($BN$2,0,0,ROW()-1,60),ROW()-1,FALSE))</f>
        <v>2.258280369</v>
      </c>
      <c r="BB524">
        <f ca="1">IF(AND(ISNUMBER($BB$1184),$B$677=1),$BB$1184,HLOOKUP(INDIRECT(ADDRESS(2,COLUMN())),OFFSET($BN$2,0,0,ROW()-1,60),ROW()-1,FALSE))</f>
        <v>2.5587566430000002</v>
      </c>
      <c r="BC524">
        <f ca="1">IF(AND(ISNUMBER($BC$1184),$B$677=1),$BC$1184,HLOOKUP(INDIRECT(ADDRESS(2,COLUMN())),OFFSET($BN$2,0,0,ROW()-1,60),ROW()-1,FALSE))</f>
        <v>2.6892430369999998</v>
      </c>
      <c r="BD524">
        <f ca="1">IF(AND(ISNUMBER($BD$1184),$B$677=1),$BD$1184,HLOOKUP(INDIRECT(ADDRESS(2,COLUMN())),OFFSET($BN$2,0,0,ROW()-1,60),ROW()-1,FALSE))</f>
        <v>3.0357544519999999</v>
      </c>
      <c r="BE524">
        <f ca="1">IF(AND(ISNUMBER($BE$1184),$B$677=1),$BE$1184,HLOOKUP(INDIRECT(ADDRESS(2,COLUMN())),OFFSET($BN$2,0,0,ROW()-1,60),ROW()-1,FALSE))</f>
        <v>2.7749229290000001</v>
      </c>
      <c r="BF524">
        <f ca="1">IF(AND(ISNUMBER($BF$1184),$B$677=1),$BF$1184,HLOOKUP(INDIRECT(ADDRESS(2,COLUMN())),OFFSET($BN$2,0,0,ROW()-1,60),ROW()-1,FALSE))</f>
        <v>2.5961538549999998</v>
      </c>
      <c r="BG524">
        <f ca="1">IF(AND(ISNUMBER($BG$1184),$B$677=1),$BG$1184,HLOOKUP(INDIRECT(ADDRESS(2,COLUMN())),OFFSET($BN$2,0,0,ROW()-1,60),ROW()-1,FALSE))</f>
        <v>2.7720739320000001</v>
      </c>
      <c r="BH524">
        <f ca="1">IF(AND(ISNUMBER($BH$1184),$B$677=1),$BH$1184,HLOOKUP(INDIRECT(ADDRESS(2,COLUMN())),OFFSET($BN$2,0,0,ROW()-1,60),ROW()-1,FALSE))</f>
        <v>2.3893805389999998</v>
      </c>
      <c r="BI524">
        <f ca="1">IF(AND(ISNUMBER($BI$1184),$B$677=1),$BI$1184,HLOOKUP(INDIRECT(ADDRESS(2,COLUMN())),OFFSET($BN$2,0,0,ROW()-1,60),ROW()-1,FALSE))</f>
        <v>2.7562270409999998</v>
      </c>
      <c r="BJ524">
        <f ca="1">IF(AND(ISNUMBER($BJ$1184),$B$677=1),$BJ$1184,HLOOKUP(INDIRECT(ADDRESS(2,COLUMN())),OFFSET($BN$2,0,0,ROW()-1,60),ROW()-1,FALSE))</f>
        <v>2.753977978</v>
      </c>
      <c r="BK524">
        <f ca="1">IF(AND(ISNUMBER($BK$1184),$B$677=1),$BK$1184,HLOOKUP(INDIRECT(ADDRESS(2,COLUMN())),OFFSET($BN$2,0,0,ROW()-1,60),ROW()-1,FALSE))</f>
        <v>2.8907923009999998</v>
      </c>
      <c r="BL524">
        <f ca="1">IF(AND(ISNUMBER($BL$1184),$B$677=1),$BL$1184,HLOOKUP(INDIRECT(ADDRESS(2,COLUMN())),OFFSET($BN$2,0,0,ROW()-1,60),ROW()-1,FALSE))</f>
        <v>2.7217742029999998</v>
      </c>
      <c r="BM524">
        <f ca="1">IF(AND(ISNUMBER($BM$1184),$B$677=1),$BM$1184,HLOOKUP(INDIRECT(ADDRESS(2,COLUMN())),OFFSET($BN$2,0,0,ROW()-1,60),ROW()-1,FALSE))</f>
        <v>2.9495302699999999</v>
      </c>
      <c r="BN524">
        <f>3.451327249</f>
        <v>3.4513272490000002</v>
      </c>
      <c r="BO524">
        <f>2.84258499</f>
        <v>2.8425849900000002</v>
      </c>
      <c r="BP524">
        <f>2.281532378</f>
        <v>2.2815323780000001</v>
      </c>
      <c r="BQ524">
        <f>2.709611306</f>
        <v>2.7096113060000002</v>
      </c>
      <c r="BR524">
        <f>2.710997296</f>
        <v>2.7109972959999999</v>
      </c>
      <c r="BS524">
        <f>2.831023234</f>
        <v>2.8310232339999999</v>
      </c>
      <c r="BT524">
        <f>2.382133942</f>
        <v>2.3821339419999998</v>
      </c>
      <c r="BU524">
        <f>2.748353789</f>
        <v>2.7483537889999998</v>
      </c>
      <c r="BV524">
        <f>2.543046301</f>
        <v>2.543046301</v>
      </c>
      <c r="BW524" t="str">
        <f>""</f>
        <v/>
      </c>
      <c r="BX524" t="str">
        <f>""</f>
        <v/>
      </c>
      <c r="BY524" t="str">
        <f>""</f>
        <v/>
      </c>
      <c r="BZ524" t="str">
        <f>""</f>
        <v/>
      </c>
      <c r="CA524" t="str">
        <f>""</f>
        <v/>
      </c>
      <c r="CB524" t="str">
        <f>""</f>
        <v/>
      </c>
      <c r="CC524" t="str">
        <f>""</f>
        <v/>
      </c>
      <c r="CD524" t="str">
        <f>""</f>
        <v/>
      </c>
      <c r="CE524" t="str">
        <f>""</f>
        <v/>
      </c>
      <c r="CF524" t="str">
        <f>""</f>
        <v/>
      </c>
      <c r="CG524" t="str">
        <f>""</f>
        <v/>
      </c>
      <c r="CH524" t="str">
        <f>""</f>
        <v/>
      </c>
      <c r="CI524" t="str">
        <f>""</f>
        <v/>
      </c>
      <c r="CJ524" t="str">
        <f>""</f>
        <v/>
      </c>
      <c r="CK524" t="str">
        <f>""</f>
        <v/>
      </c>
      <c r="CL524" t="str">
        <f>""</f>
        <v/>
      </c>
      <c r="CM524" t="str">
        <f>""</f>
        <v/>
      </c>
      <c r="CN524" t="str">
        <f>""</f>
        <v/>
      </c>
      <c r="CO524" t="str">
        <f>""</f>
        <v/>
      </c>
      <c r="CP524">
        <f>7.743752098</f>
        <v>7.7437520979999999</v>
      </c>
      <c r="CQ524">
        <f>9.083402027</f>
        <v>9.083402027</v>
      </c>
      <c r="CR524">
        <f>6.80482515</f>
        <v>6.8048251500000001</v>
      </c>
      <c r="CS524">
        <f>3.563330047</f>
        <v>3.563330047</v>
      </c>
      <c r="CT524" t="str">
        <f>""</f>
        <v/>
      </c>
      <c r="CU524" t="str">
        <f>""</f>
        <v/>
      </c>
      <c r="CV524" t="str">
        <f>""</f>
        <v/>
      </c>
      <c r="CW524" t="str">
        <f>""</f>
        <v/>
      </c>
      <c r="CX524" t="str">
        <f>""</f>
        <v/>
      </c>
      <c r="CY524" t="str">
        <f>""</f>
        <v/>
      </c>
      <c r="CZ524" t="str">
        <f>""</f>
        <v/>
      </c>
      <c r="DA524">
        <f>8.643042064</f>
        <v>8.6430420639999994</v>
      </c>
      <c r="DB524">
        <f>10.53370752</f>
        <v>10.53370752</v>
      </c>
      <c r="DC524">
        <f>12.3456786</f>
        <v>12.345678599999999</v>
      </c>
      <c r="DD524">
        <f>5.68828195</f>
        <v>5.6882819500000004</v>
      </c>
      <c r="DE524">
        <f>4.349086547</f>
        <v>4.3490865469999997</v>
      </c>
      <c r="DF524">
        <f>2.748930981</f>
        <v>2.748930981</v>
      </c>
      <c r="DG524">
        <f>2.603664426</f>
        <v>2.6036644259999999</v>
      </c>
      <c r="DH524">
        <f>2.332411895</f>
        <v>2.3324118949999999</v>
      </c>
      <c r="DI524">
        <f>2.258280369</f>
        <v>2.258280369</v>
      </c>
      <c r="DJ524">
        <f>2.558756643</f>
        <v>2.5587566430000002</v>
      </c>
      <c r="DK524">
        <f>2.689243037</f>
        <v>2.6892430369999998</v>
      </c>
      <c r="DL524">
        <f>3.035754452</f>
        <v>3.0357544519999999</v>
      </c>
      <c r="DM524">
        <f>2.774922929</f>
        <v>2.7749229290000001</v>
      </c>
      <c r="DN524">
        <f>2.596153855</f>
        <v>2.5961538549999998</v>
      </c>
      <c r="DO524">
        <f>2.772073932</f>
        <v>2.7720739320000001</v>
      </c>
      <c r="DP524">
        <f>2.389380539</f>
        <v>2.3893805389999998</v>
      </c>
      <c r="DQ524">
        <f>2.756227041</f>
        <v>2.7562270409999998</v>
      </c>
      <c r="DR524">
        <f>2.753977978</f>
        <v>2.753977978</v>
      </c>
      <c r="DS524">
        <f>2.890792301</f>
        <v>2.8907923009999998</v>
      </c>
      <c r="DT524">
        <f>2.721774203</f>
        <v>2.7217742029999998</v>
      </c>
      <c r="DU524">
        <f>2.94953027</f>
        <v>2.9495302699999999</v>
      </c>
    </row>
    <row r="525" spans="1:125" x14ac:dyDescent="0.25">
      <c r="A525" t="str">
        <f>"    Renault SA"</f>
        <v xml:space="preserve">    Renault SA</v>
      </c>
      <c r="B525" t="str">
        <f>"RNO FP Equity"</f>
        <v>RNO FP Equity</v>
      </c>
      <c r="C525" t="str">
        <f t="shared" si="36"/>
        <v>DV013</v>
      </c>
      <c r="D525" t="str">
        <f t="shared" si="37"/>
        <v>EQY_DVD_YLD_IND</v>
      </c>
      <c r="E525" t="str">
        <f t="shared" si="38"/>
        <v>Dynamic</v>
      </c>
      <c r="F525">
        <f ca="1">IF(AND(ISNUMBER($F$1185),$B$677=1),$F$1185,HLOOKUP(INDIRECT(ADDRESS(2,COLUMN())),OFFSET($BN$2,0,0,ROW()-1,60),ROW()-1,FALSE))</f>
        <v>5.9424170609999996</v>
      </c>
      <c r="G525">
        <f ca="1">IF(AND(ISNUMBER($G$1185),$B$677=1),$G$1185,HLOOKUP(INDIRECT(ADDRESS(2,COLUMN())),OFFSET($BN$2,0,0,ROW()-1,60),ROW()-1,FALSE))</f>
        <v>6.5077909299999996</v>
      </c>
      <c r="H525">
        <f ca="1">IF(AND(ISNUMBER($H$1185),$B$677=1),$H$1185,HLOOKUP(INDIRECT(ADDRESS(2,COLUMN())),OFFSET($BN$2,0,0,ROW()-1,60),ROW()-1,FALSE))</f>
        <v>4.7651006069999999</v>
      </c>
      <c r="I525">
        <f ca="1">IF(AND(ISNUMBER($I$1185),$B$677=1),$I$1185,HLOOKUP(INDIRECT(ADDRESS(2,COLUMN())),OFFSET($BN$2,0,0,ROW()-1,60),ROW()-1,FALSE))</f>
        <v>4.8743648940000002</v>
      </c>
      <c r="J525">
        <f ca="1">IF(AND(ISNUMBER($J$1185),$B$677=1),$J$1185,HLOOKUP(INDIRECT(ADDRESS(2,COLUMN())),OFFSET($BN$2,0,0,ROW()-1,60),ROW()-1,FALSE))</f>
        <v>3.6040608650000001</v>
      </c>
      <c r="K525">
        <f ca="1">IF(AND(ISNUMBER($K$1185),$B$677=1),$K$1185,HLOOKUP(INDIRECT(ADDRESS(2,COLUMN())),OFFSET($BN$2,0,0,ROW()-1,60),ROW()-1,FALSE))</f>
        <v>3.75402228</v>
      </c>
      <c r="L525">
        <f ca="1">IF(AND(ISNUMBER($L$1185),$B$677=1),$L$1185,HLOOKUP(INDIRECT(ADDRESS(2,COLUMN())),OFFSET($BN$2,0,0,ROW()-1,60),ROW()-1,FALSE))</f>
        <v>3.7901577369999999</v>
      </c>
      <c r="M525">
        <f ca="1">IF(AND(ISNUMBER($M$1185),$B$677=1),$M$1185,HLOOKUP(INDIRECT(ADDRESS(2,COLUMN())),OFFSET($BN$2,0,0,ROW()-1,60),ROW()-1,FALSE))</f>
        <v>3.9747635269999999</v>
      </c>
      <c r="N525">
        <f ca="1">IF(AND(ISNUMBER($N$1185),$B$677=1),$N$1185,HLOOKUP(INDIRECT(ADDRESS(2,COLUMN())),OFFSET($BN$2,0,0,ROW()-1,60),ROW()-1,FALSE))</f>
        <v>3.8683533040000002</v>
      </c>
      <c r="O525">
        <f ca="1">IF(AND(ISNUMBER($O$1185),$B$677=1),$O$1185,HLOOKUP(INDIRECT(ADDRESS(2,COLUMN())),OFFSET($BN$2,0,0,ROW()-1,60),ROW()-1,FALSE))</f>
        <v>2.8399007159999998</v>
      </c>
      <c r="P525">
        <f ca="1">IF(AND(ISNUMBER($P$1185),$B$677=1),$P$1185,HLOOKUP(INDIRECT(ADDRESS(2,COLUMN())),OFFSET($BN$2,0,0,ROW()-1,60),ROW()-1,FALSE))</f>
        <v>3.2813783089999999</v>
      </c>
      <c r="Q525">
        <f ca="1">IF(AND(ISNUMBER($Q$1185),$B$677=1),$Q$1185,HLOOKUP(INDIRECT(ADDRESS(2,COLUMN())),OFFSET($BN$2,0,0,ROW()-1,60),ROW()-1,FALSE))</f>
        <v>3.5067213549999998</v>
      </c>
      <c r="R525">
        <f ca="1">IF(AND(ISNUMBER($R$1185),$B$677=1),$R$1185,HLOOKUP(INDIRECT(ADDRESS(2,COLUMN())),OFFSET($BN$2,0,0,ROW()-1,60),ROW()-1,FALSE))</f>
        <v>2.7485113320000001</v>
      </c>
      <c r="S525">
        <f ca="1">IF(AND(ISNUMBER($S$1185),$B$677=1),$S$1185,HLOOKUP(INDIRECT(ADDRESS(2,COLUMN())),OFFSET($BN$2,0,0,ROW()-1,60),ROW()-1,FALSE))</f>
        <v>2.0511713010000001</v>
      </c>
      <c r="T525">
        <f ca="1">IF(AND(ISNUMBER($T$1185),$B$677=1),$T$1185,HLOOKUP(INDIRECT(ADDRESS(2,COLUMN())),OFFSET($BN$2,0,0,ROW()-1,60),ROW()-1,FALSE))</f>
        <v>2.968749963</v>
      </c>
      <c r="U525">
        <f ca="1">IF(AND(ISNUMBER($U$1185),$B$677=1),$U$1185,HLOOKUP(INDIRECT(ADDRESS(2,COLUMN())),OFFSET($BN$2,0,0,ROW()-1,60),ROW()-1,FALSE))</f>
        <v>2.0338257080000002</v>
      </c>
      <c r="V525">
        <f ca="1">IF(AND(ISNUMBER($V$1185),$B$677=1),$V$1185,HLOOKUP(INDIRECT(ADDRESS(2,COLUMN())),OFFSET($BN$2,0,0,ROW()-1,60),ROW()-1,FALSE))</f>
        <v>2.2413589429999998</v>
      </c>
      <c r="W525">
        <f ca="1">IF(AND(ISNUMBER($W$1185),$B$677=1),$W$1185,HLOOKUP(INDIRECT(ADDRESS(2,COLUMN())),OFFSET($BN$2,0,0,ROW()-1,60),ROW()-1,FALSE))</f>
        <v>2.8415662130000001</v>
      </c>
      <c r="X525">
        <f ca="1">IF(AND(ISNUMBER($X$1185),$B$677=1),$X$1185,HLOOKUP(INDIRECT(ADDRESS(2,COLUMN())),OFFSET($BN$2,0,0,ROW()-1,60),ROW()-1,FALSE))</f>
        <v>2.9991282099999999</v>
      </c>
      <c r="Y525">
        <f ca="1">IF(AND(ISNUMBER($Y$1185),$B$677=1),$Y$1185,HLOOKUP(INDIRECT(ADDRESS(2,COLUMN())),OFFSET($BN$2,0,0,ROW()-1,60),ROW()-1,FALSE))</f>
        <v>2.6048766149999998</v>
      </c>
      <c r="Z525">
        <f ca="1">IF(AND(ISNUMBER($Z$1185),$B$677=1),$Z$1185,HLOOKUP(INDIRECT(ADDRESS(2,COLUMN())),OFFSET($BN$2,0,0,ROW()-1,60),ROW()-1,FALSE))</f>
        <v>2.4383329009999999</v>
      </c>
      <c r="AA525">
        <f ca="1">IF(AND(ISNUMBER($AA$1185),$B$677=1),$AA$1185,HLOOKUP(INDIRECT(ADDRESS(2,COLUMN())),OFFSET($BN$2,0,0,ROW()-1,60),ROW()-1,FALSE))</f>
        <v>2.9426861049999999</v>
      </c>
      <c r="AB525">
        <f ca="1">IF(AND(ISNUMBER($AB$1185),$B$677=1),$AB$1185,HLOOKUP(INDIRECT(ADDRESS(2,COLUMN())),OFFSET($BN$2,0,0,ROW()-1,60),ROW()-1,FALSE))</f>
        <v>2.9187171709999999</v>
      </c>
      <c r="AC525">
        <f ca="1">IF(AND(ISNUMBER($AC$1185),$B$677=1),$AC$1185,HLOOKUP(INDIRECT(ADDRESS(2,COLUMN())),OFFSET($BN$2,0,0,ROW()-1,60),ROW()-1,FALSE))</f>
        <v>3.326885935</v>
      </c>
      <c r="AD525">
        <f ca="1">IF(AND(ISNUMBER($AD$1185),$B$677=1),$AD$1185,HLOOKUP(INDIRECT(ADDRESS(2,COLUMN())),OFFSET($BN$2,0,0,ROW()-1,60),ROW()-1,FALSE))</f>
        <v>3.5191816440000001</v>
      </c>
      <c r="AE525">
        <f ca="1">IF(AND(ISNUMBER($AE$1185),$B$677=1),$AE$1185,HLOOKUP(INDIRECT(ADDRESS(2,COLUMN())),OFFSET($BN$2,0,0,ROW()-1,60),ROW()-1,FALSE))</f>
        <v>2.8511735690000002</v>
      </c>
      <c r="AF525">
        <f ca="1">IF(AND(ISNUMBER($AF$1185),$B$677=1),$AF$1185,HLOOKUP(INDIRECT(ADDRESS(2,COLUMN())),OFFSET($BN$2,0,0,ROW()-1,60),ROW()-1,FALSE))</f>
        <v>3.1763416389999999</v>
      </c>
      <c r="AG525">
        <f ca="1">IF(AND(ISNUMBER($AG$1185),$B$677=1),$AG$1185,HLOOKUP(INDIRECT(ADDRESS(2,COLUMN())),OFFSET($BN$2,0,0,ROW()-1,60),ROW()-1,FALSE))</f>
        <v>3.689567324</v>
      </c>
      <c r="AH525">
        <f ca="1">IF(AND(ISNUMBER($AH$1185),$B$677=1),$AH$1185,HLOOKUP(INDIRECT(ADDRESS(2,COLUMN())),OFFSET($BN$2,0,0,ROW()-1,60),ROW()-1,FALSE))</f>
        <v>2.9348512750000002</v>
      </c>
      <c r="AI525">
        <f ca="1">IF(AND(ISNUMBER($AI$1185),$B$677=1),$AI$1185,HLOOKUP(INDIRECT(ADDRESS(2,COLUMN())),OFFSET($BN$2,0,0,ROW()-1,60),ROW()-1,FALSE))</f>
        <v>1.11940303</v>
      </c>
      <c r="AJ525">
        <f ca="1">IF(AND(ISNUMBER($AJ$1185),$B$677=1),$AJ$1185,HLOOKUP(INDIRECT(ADDRESS(2,COLUMN())),OFFSET($BN$2,0,0,ROW()-1,60),ROW()-1,FALSE))</f>
        <v>1.196649429</v>
      </c>
      <c r="AK525">
        <f ca="1">IF(AND(ISNUMBER($AK$1185),$B$677=1),$AK$1185,HLOOKUP(INDIRECT(ADDRESS(2,COLUMN())),OFFSET($BN$2,0,0,ROW()-1,60),ROW()-1,FALSE))</f>
        <v>0.73376546899999995</v>
      </c>
      <c r="AL525">
        <f ca="1">IF(AND(ISNUMBER($AL$1185),$B$677=1),$AL$1185,HLOOKUP(INDIRECT(ADDRESS(2,COLUMN())),OFFSET($BN$2,0,0,ROW()-1,60),ROW()-1,FALSE))</f>
        <v>0.76903361199999998</v>
      </c>
      <c r="AM525" t="str">
        <f ca="1">IF(AND(ISNUMBER($AM$1185),$B$677=1),$AM$1185,HLOOKUP(INDIRECT(ADDRESS(2,COLUMN())),OFFSET($BN$2,0,0,ROW()-1,60),ROW()-1,FALSE))</f>
        <v/>
      </c>
      <c r="AN525" t="str">
        <f ca="1">IF(AND(ISNUMBER($AN$1185),$B$677=1),$AN$1185,HLOOKUP(INDIRECT(ADDRESS(2,COLUMN())),OFFSET($BN$2,0,0,ROW()-1,60),ROW()-1,FALSE))</f>
        <v/>
      </c>
      <c r="AO525" t="str">
        <f ca="1">IF(AND(ISNUMBER($AO$1185),$B$677=1),$AO$1185,HLOOKUP(INDIRECT(ADDRESS(2,COLUMN())),OFFSET($BN$2,0,0,ROW()-1,60),ROW()-1,FALSE))</f>
        <v/>
      </c>
      <c r="AP525" t="str">
        <f ca="1">IF(AND(ISNUMBER($AP$1185),$B$677=1),$AP$1185,HLOOKUP(INDIRECT(ADDRESS(2,COLUMN())),OFFSET($BN$2,0,0,ROW()-1,60),ROW()-1,FALSE))</f>
        <v/>
      </c>
      <c r="AQ525" t="str">
        <f ca="1">IF(AND(ISNUMBER($AQ$1185),$B$677=1),$AQ$1185,HLOOKUP(INDIRECT(ADDRESS(2,COLUMN())),OFFSET($BN$2,0,0,ROW()-1,60),ROW()-1,FALSE))</f>
        <v/>
      </c>
      <c r="AR525" t="str">
        <f ca="1">IF(AND(ISNUMBER($AR$1185),$B$677=1),$AR$1185,HLOOKUP(INDIRECT(ADDRESS(2,COLUMN())),OFFSET($BN$2,0,0,ROW()-1,60),ROW()-1,FALSE))</f>
        <v/>
      </c>
      <c r="AS525" t="str">
        <f ca="1">IF(AND(ISNUMBER($AS$1185),$B$677=1),$AS$1185,HLOOKUP(INDIRECT(ADDRESS(2,COLUMN())),OFFSET($BN$2,0,0,ROW()-1,60),ROW()-1,FALSE))</f>
        <v/>
      </c>
      <c r="AT525">
        <f ca="1">IF(AND(ISNUMBER($AT$1185),$B$677=1),$AT$1185,HLOOKUP(INDIRECT(ADDRESS(2,COLUMN())),OFFSET($BN$2,0,0,ROW()-1,60),ROW()-1,FALSE))</f>
        <v>23.399014480000002</v>
      </c>
      <c r="AU525">
        <f ca="1">IF(AND(ISNUMBER($AU$1185),$B$677=1),$AU$1185,HLOOKUP(INDIRECT(ADDRESS(2,COLUMN())),OFFSET($BN$2,0,0,ROW()-1,60),ROW()-1,FALSE))</f>
        <v>20.485174950000001</v>
      </c>
      <c r="AV525">
        <f ca="1">IF(AND(ISNUMBER($AV$1185),$B$677=1),$AV$1185,HLOOKUP(INDIRECT(ADDRESS(2,COLUMN())),OFFSET($BN$2,0,0,ROW()-1,60),ROW()-1,FALSE))</f>
        <v>8.5287845410000003</v>
      </c>
      <c r="AW525">
        <f ca="1">IF(AND(ISNUMBER($AW$1185),$B$677=1),$AW$1185,HLOOKUP(INDIRECT(ADDRESS(2,COLUMN())),OFFSET($BN$2,0,0,ROW()-1,60),ROW()-1,FALSE))</f>
        <v>7.2936659349999999</v>
      </c>
      <c r="AX525">
        <f ca="1">IF(AND(ISNUMBER($AX$1185),$B$677=1),$AX$1185,HLOOKUP(INDIRECT(ADDRESS(2,COLUMN())),OFFSET($BN$2,0,0,ROW()-1,60),ROW()-1,FALSE))</f>
        <v>5.420827321</v>
      </c>
      <c r="AY525">
        <f ca="1">IF(AND(ISNUMBER($AY$1185),$B$677=1),$AY$1185,HLOOKUP(INDIRECT(ADDRESS(2,COLUMN())),OFFSET($BN$2,0,0,ROW()-1,60),ROW()-1,FALSE))</f>
        <v>3.1955467529999999</v>
      </c>
      <c r="AZ525">
        <f ca="1">IF(AND(ISNUMBER($AZ$1185),$B$677=1),$AZ$1185,HLOOKUP(INDIRECT(ADDRESS(2,COLUMN())),OFFSET($BN$2,0,0,ROW()-1,60),ROW()-1,FALSE))</f>
        <v>3.0505805009999998</v>
      </c>
      <c r="BA525">
        <f ca="1">IF(AND(ISNUMBER($BA$1185),$B$677=1),$BA$1185,HLOOKUP(INDIRECT(ADDRESS(2,COLUMN())),OFFSET($BN$2,0,0,ROW()-1,60),ROW()-1,FALSE))</f>
        <v>2.6004529019999998</v>
      </c>
      <c r="BB525">
        <f ca="1">IF(AND(ISNUMBER($BB$1185),$B$677=1),$BB$1185,HLOOKUP(INDIRECT(ADDRESS(2,COLUMN())),OFFSET($BN$2,0,0,ROW()-1,60),ROW()-1,FALSE))</f>
        <v>3.5408336999999999</v>
      </c>
      <c r="BC525">
        <f ca="1">IF(AND(ISNUMBER($BC$1185),$B$677=1),$BC$1185,HLOOKUP(INDIRECT(ADDRESS(2,COLUMN())),OFFSET($BN$2,0,0,ROW()-1,60),ROW()-1,FALSE))</f>
        <v>2.6373627420000001</v>
      </c>
      <c r="BD525">
        <f ca="1">IF(AND(ISNUMBER($BD$1185),$B$677=1),$BD$1185,HLOOKUP(INDIRECT(ADDRESS(2,COLUMN())),OFFSET($BN$2,0,0,ROW()-1,60),ROW()-1,FALSE))</f>
        <v>2.6533997739999999</v>
      </c>
      <c r="BE525">
        <f ca="1">IF(AND(ISNUMBER($BE$1185),$B$677=1),$BE$1185,HLOOKUP(INDIRECT(ADDRESS(2,COLUMN())),OFFSET($BN$2,0,0,ROW()-1,60),ROW()-1,FALSE))</f>
        <v>2.857142971</v>
      </c>
      <c r="BF525">
        <f ca="1">IF(AND(ISNUMBER($BF$1185),$B$677=1),$BF$1185,HLOOKUP(INDIRECT(ADDRESS(2,COLUMN())),OFFSET($BN$2,0,0,ROW()-1,60),ROW()-1,FALSE))</f>
        <v>2.7350428440000001</v>
      </c>
      <c r="BG525">
        <f ca="1">IF(AND(ISNUMBER($BG$1185),$B$677=1),$BG$1185,HLOOKUP(INDIRECT(ADDRESS(2,COLUMN())),OFFSET($BN$2,0,0,ROW()-1,60),ROW()-1,FALSE))</f>
        <v>2.6124817889999998</v>
      </c>
      <c r="BH525">
        <f ca="1">IF(AND(ISNUMBER($BH$1185),$B$677=1),$BH$1185,HLOOKUP(INDIRECT(ADDRESS(2,COLUMN())),OFFSET($BN$2,0,0,ROW()-1,60),ROW()-1,FALSE))</f>
        <v>2.2842638989999999</v>
      </c>
      <c r="BI525">
        <f ca="1">IF(AND(ISNUMBER($BI$1185),$B$677=1),$BI$1185,HLOOKUP(INDIRECT(ADDRESS(2,COLUMN())),OFFSET($BN$2,0,0,ROW()-1,60),ROW()-1,FALSE))</f>
        <v>2.4691357370000002</v>
      </c>
      <c r="BJ525">
        <f ca="1">IF(AND(ISNUMBER($BJ$1185),$B$677=1),$BJ$1185,HLOOKUP(INDIRECT(ADDRESS(2,COLUMN())),OFFSET($BN$2,0,0,ROW()-1,60),ROW()-1,FALSE))</f>
        <v>2.6124817889999998</v>
      </c>
      <c r="BK525">
        <f ca="1">IF(AND(ISNUMBER($BK$1185),$B$677=1),$BK$1185,HLOOKUP(INDIRECT(ADDRESS(2,COLUMN())),OFFSET($BN$2,0,0,ROW()-1,60),ROW()-1,FALSE))</f>
        <v>2.2745734789999998</v>
      </c>
      <c r="BL525">
        <f ca="1">IF(AND(ISNUMBER($BL$1185),$B$677=1),$BL$1185,HLOOKUP(INDIRECT(ADDRESS(2,COLUMN())),OFFSET($BN$2,0,0,ROW()-1,60),ROW()-1,FALSE))</f>
        <v>2.1260440030000001</v>
      </c>
      <c r="BM525">
        <f ca="1">IF(AND(ISNUMBER($BM$1185),$B$677=1),$BM$1185,HLOOKUP(INDIRECT(ADDRESS(2,COLUMN())),OFFSET($BN$2,0,0,ROW()-1,60),ROW()-1,FALSE))</f>
        <v>2.236421687</v>
      </c>
      <c r="BN525">
        <f>5.942417061</f>
        <v>5.9424170609999996</v>
      </c>
      <c r="BO525">
        <f>6.50779093</f>
        <v>6.5077909299999996</v>
      </c>
      <c r="BP525">
        <f>4.765100607</f>
        <v>4.7651006069999999</v>
      </c>
      <c r="BQ525">
        <f>4.874364894</f>
        <v>4.8743648940000002</v>
      </c>
      <c r="BR525">
        <f>3.604060865</f>
        <v>3.6040608650000001</v>
      </c>
      <c r="BS525">
        <f>3.75402228</f>
        <v>3.75402228</v>
      </c>
      <c r="BT525">
        <f>3.790157737</f>
        <v>3.7901577369999999</v>
      </c>
      <c r="BU525">
        <f>3.974763527</f>
        <v>3.9747635269999999</v>
      </c>
      <c r="BV525">
        <f>3.868353304</f>
        <v>3.8683533040000002</v>
      </c>
      <c r="BW525">
        <f>2.839900716</f>
        <v>2.8399007159999998</v>
      </c>
      <c r="BX525">
        <f>3.281378309</f>
        <v>3.2813783089999999</v>
      </c>
      <c r="BY525">
        <f>3.506721355</f>
        <v>3.5067213549999998</v>
      </c>
      <c r="BZ525">
        <f>2.748511332</f>
        <v>2.7485113320000001</v>
      </c>
      <c r="CA525">
        <f>2.051171301</f>
        <v>2.0511713010000001</v>
      </c>
      <c r="CB525">
        <f>2.968749963</f>
        <v>2.968749963</v>
      </c>
      <c r="CC525">
        <f>2.033825708</f>
        <v>2.0338257080000002</v>
      </c>
      <c r="CD525">
        <f>2.241358943</f>
        <v>2.2413589429999998</v>
      </c>
      <c r="CE525">
        <f>2.841566213</f>
        <v>2.8415662130000001</v>
      </c>
      <c r="CF525">
        <f>2.99912821</f>
        <v>2.9991282099999999</v>
      </c>
      <c r="CG525">
        <f>2.604876615</f>
        <v>2.6048766149999998</v>
      </c>
      <c r="CH525">
        <f>2.438332901</f>
        <v>2.4383329009999999</v>
      </c>
      <c r="CI525">
        <f>2.942686105</f>
        <v>2.9426861049999999</v>
      </c>
      <c r="CJ525">
        <f>2.918717171</f>
        <v>2.9187171709999999</v>
      </c>
      <c r="CK525">
        <f>3.326885935</f>
        <v>3.326885935</v>
      </c>
      <c r="CL525">
        <f>3.519181644</f>
        <v>3.5191816440000001</v>
      </c>
      <c r="CM525">
        <f>2.851173569</f>
        <v>2.8511735690000002</v>
      </c>
      <c r="CN525">
        <f>3.176341639</f>
        <v>3.1763416389999999</v>
      </c>
      <c r="CO525">
        <f>3.689567324</f>
        <v>3.689567324</v>
      </c>
      <c r="CP525">
        <f>2.934851275</f>
        <v>2.9348512750000002</v>
      </c>
      <c r="CQ525">
        <f>1.11940303</f>
        <v>1.11940303</v>
      </c>
      <c r="CR525">
        <f>1.196649429</f>
        <v>1.196649429</v>
      </c>
      <c r="CS525">
        <f>0.733765469</f>
        <v>0.73376546899999995</v>
      </c>
      <c r="CT525">
        <f>0.769033612</f>
        <v>0.76903361199999998</v>
      </c>
      <c r="CU525" t="str">
        <f>""</f>
        <v/>
      </c>
      <c r="CV525" t="str">
        <f>""</f>
        <v/>
      </c>
      <c r="CW525" t="str">
        <f>""</f>
        <v/>
      </c>
      <c r="CX525" t="str">
        <f>""</f>
        <v/>
      </c>
      <c r="CY525" t="str">
        <f>""</f>
        <v/>
      </c>
      <c r="CZ525" t="str">
        <f>""</f>
        <v/>
      </c>
      <c r="DA525" t="str">
        <f>""</f>
        <v/>
      </c>
      <c r="DB525">
        <f>23.39901448</f>
        <v>23.399014480000002</v>
      </c>
      <c r="DC525">
        <f>20.48517495</f>
        <v>20.485174950000001</v>
      </c>
      <c r="DD525">
        <f>8.528784541</f>
        <v>8.5287845410000003</v>
      </c>
      <c r="DE525">
        <f>7.293665935</f>
        <v>7.2936659349999999</v>
      </c>
      <c r="DF525">
        <f>5.420827321</f>
        <v>5.420827321</v>
      </c>
      <c r="DG525">
        <f>3.195546753</f>
        <v>3.1955467529999999</v>
      </c>
      <c r="DH525">
        <f>3.050580501</f>
        <v>3.0505805009999998</v>
      </c>
      <c r="DI525">
        <f>2.600452902</f>
        <v>2.6004529019999998</v>
      </c>
      <c r="DJ525">
        <f>3.5408337</f>
        <v>3.5408336999999999</v>
      </c>
      <c r="DK525">
        <f>2.637362742</f>
        <v>2.6373627420000001</v>
      </c>
      <c r="DL525">
        <f>2.653399774</f>
        <v>2.6533997739999999</v>
      </c>
      <c r="DM525">
        <f>2.857142971</f>
        <v>2.857142971</v>
      </c>
      <c r="DN525">
        <f>2.735042844</f>
        <v>2.7350428440000001</v>
      </c>
      <c r="DO525">
        <f>2.612481789</f>
        <v>2.6124817889999998</v>
      </c>
      <c r="DP525">
        <f>2.284263899</f>
        <v>2.2842638989999999</v>
      </c>
      <c r="DQ525">
        <f>2.469135737</f>
        <v>2.4691357370000002</v>
      </c>
      <c r="DR525">
        <f>2.612481789</f>
        <v>2.6124817889999998</v>
      </c>
      <c r="DS525">
        <f>2.274573479</f>
        <v>2.2745734789999998</v>
      </c>
      <c r="DT525">
        <f>2.126044003</f>
        <v>2.1260440030000001</v>
      </c>
      <c r="DU525">
        <f>2.236421687</f>
        <v>2.236421687</v>
      </c>
    </row>
    <row r="526" spans="1:125" x14ac:dyDescent="0.25">
      <c r="A526" t="str">
        <f>"    SAIC Motor Corp Ltd"</f>
        <v xml:space="preserve">    SAIC Motor Corp Ltd</v>
      </c>
      <c r="B526" t="str">
        <f>"600104 CH Equity"</f>
        <v>600104 CH Equity</v>
      </c>
      <c r="C526" t="str">
        <f t="shared" si="36"/>
        <v>DV013</v>
      </c>
      <c r="D526" t="str">
        <f t="shared" si="37"/>
        <v>EQY_DVD_YLD_IND</v>
      </c>
      <c r="E526" t="str">
        <f t="shared" si="38"/>
        <v>Dynamic</v>
      </c>
      <c r="F526">
        <f ca="1">IF(AND(ISNUMBER($F$1186),$B$677=1),$F$1186,HLOOKUP(INDIRECT(ADDRESS(2,COLUMN())),OFFSET($BN$2,0,0,ROW()-1,60),ROW()-1,FALSE))</f>
        <v>6.4413940260000002</v>
      </c>
      <c r="G526">
        <f ca="1">IF(AND(ISNUMBER($G$1186),$B$677=1),$G$1186,HLOOKUP(INDIRECT(ADDRESS(2,COLUMN())),OFFSET($BN$2,0,0,ROW()-1,60),ROW()-1,FALSE))</f>
        <v>6.8616424560000002</v>
      </c>
      <c r="H526">
        <f ca="1">IF(AND(ISNUMBER($H$1186),$B$677=1),$H$1186,HLOOKUP(INDIRECT(ADDRESS(2,COLUMN())),OFFSET($BN$2,0,0,ROW()-1,60),ROW()-1,FALSE))</f>
        <v>5.498798206</v>
      </c>
      <c r="I526">
        <f ca="1">IF(AND(ISNUMBER($I$1186),$B$677=1),$I$1186,HLOOKUP(INDIRECT(ADDRESS(2,COLUMN())),OFFSET($BN$2,0,0,ROW()-1,60),ROW()-1,FALSE))</f>
        <v>5.2300658560000004</v>
      </c>
      <c r="J526">
        <f ca="1">IF(AND(ISNUMBER($J$1186),$B$677=1),$J$1186,HLOOKUP(INDIRECT(ADDRESS(2,COLUMN())),OFFSET($BN$2,0,0,ROW()-1,60),ROW()-1,FALSE))</f>
        <v>5.3807704879999996</v>
      </c>
      <c r="K526">
        <f ca="1">IF(AND(ISNUMBER($K$1186),$B$677=1),$K$1186,HLOOKUP(INDIRECT(ADDRESS(2,COLUMN())),OFFSET($BN$2,0,0,ROW()-1,60),ROW()-1,FALSE))</f>
        <v>5.1498126600000003</v>
      </c>
      <c r="L526">
        <f ca="1">IF(AND(ISNUMBER($L$1186),$B$677=1),$L$1186,HLOOKUP(INDIRECT(ADDRESS(2,COLUMN())),OFFSET($BN$2,0,0,ROW()-1,60),ROW()-1,FALSE))</f>
        <v>5.4653858099999999</v>
      </c>
      <c r="M526">
        <f ca="1">IF(AND(ISNUMBER($M$1186),$B$677=1),$M$1186,HLOOKUP(INDIRECT(ADDRESS(2,COLUMN())),OFFSET($BN$2,0,0,ROW()-1,60),ROW()-1,FALSE))</f>
        <v>5.314009585</v>
      </c>
      <c r="N526">
        <f ca="1">IF(AND(ISNUMBER($N$1186),$B$677=1),$N$1186,HLOOKUP(INDIRECT(ADDRESS(2,COLUMN())),OFFSET($BN$2,0,0,ROW()-1,60),ROW()-1,FALSE))</f>
        <v>5.3585500960000001</v>
      </c>
      <c r="O526">
        <f ca="1">IF(AND(ISNUMBER($O$1186),$B$677=1),$O$1186,HLOOKUP(INDIRECT(ADDRESS(2,COLUMN())),OFFSET($BN$2,0,0,ROW()-1,60),ROW()-1,FALSE))</f>
        <v>5.7995736219999996</v>
      </c>
      <c r="P526">
        <f ca="1">IF(AND(ISNUMBER($P$1186),$B$677=1),$P$1186,HLOOKUP(INDIRECT(ADDRESS(2,COLUMN())),OFFSET($BN$2,0,0,ROW()-1,60),ROW()-1,FALSE))</f>
        <v>6.2242563579999999</v>
      </c>
      <c r="Q526">
        <f ca="1">IF(AND(ISNUMBER($Q$1186),$B$677=1),$Q$1186,HLOOKUP(INDIRECT(ADDRESS(2,COLUMN())),OFFSET($BN$2,0,0,ROW()-1,60),ROW()-1,FALSE))</f>
        <v>6.7028093359999996</v>
      </c>
      <c r="R526">
        <f ca="1">IF(AND(ISNUMBER($R$1186),$B$677=1),$R$1186,HLOOKUP(INDIRECT(ADDRESS(2,COLUMN())),OFFSET($BN$2,0,0,ROW()-1,60),ROW()-1,FALSE))</f>
        <v>6.4805580870000004</v>
      </c>
      <c r="S526">
        <f ca="1">IF(AND(ISNUMBER($S$1186),$B$677=1),$S$1186,HLOOKUP(INDIRECT(ADDRESS(2,COLUMN())),OFFSET($BN$2,0,0,ROW()-1,60),ROW()-1,FALSE))</f>
        <v>6.1262957230000001</v>
      </c>
      <c r="T526">
        <f ca="1">IF(AND(ISNUMBER($T$1186),$B$677=1),$T$1186,HLOOKUP(INDIRECT(ADDRESS(2,COLUMN())),OFFSET($BN$2,0,0,ROW()-1,60),ROW()-1,FALSE))</f>
        <v>7.7380949540000001</v>
      </c>
      <c r="U526">
        <f ca="1">IF(AND(ISNUMBER($U$1186),$B$677=1),$U$1186,HLOOKUP(INDIRECT(ADDRESS(2,COLUMN())),OFFSET($BN$2,0,0,ROW()-1,60),ROW()-1,FALSE))</f>
        <v>5.7522121779999997</v>
      </c>
      <c r="V526">
        <f ca="1">IF(AND(ISNUMBER($V$1186),$B$677=1),$V$1186,HLOOKUP(INDIRECT(ADDRESS(2,COLUMN())),OFFSET($BN$2,0,0,ROW()-1,60),ROW()-1,FALSE))</f>
        <v>4.8270315679999998</v>
      </c>
      <c r="W526">
        <f ca="1">IF(AND(ISNUMBER($W$1186),$B$677=1),$W$1186,HLOOKUP(INDIRECT(ADDRESS(2,COLUMN())),OFFSET($BN$2,0,0,ROW()-1,60),ROW()-1,FALSE))</f>
        <v>5.5891944469999997</v>
      </c>
      <c r="X526">
        <f ca="1">IF(AND(ISNUMBER($X$1186),$B$677=1),$X$1186,HLOOKUP(INDIRECT(ADDRESS(2,COLUMN())),OFFSET($BN$2,0,0,ROW()-1,60),ROW()-1,FALSE))</f>
        <v>6.6371684049999997</v>
      </c>
      <c r="Y526">
        <f ca="1">IF(AND(ISNUMBER($Y$1186),$B$677=1),$Y$1186,HLOOKUP(INDIRECT(ADDRESS(2,COLUMN())),OFFSET($BN$2,0,0,ROW()-1,60),ROW()-1,FALSE))</f>
        <v>7.8431375670000003</v>
      </c>
      <c r="Z526">
        <f ca="1">IF(AND(ISNUMBER($Z$1186),$B$677=1),$Z$1186,HLOOKUP(INDIRECT(ADDRESS(2,COLUMN())),OFFSET($BN$2,0,0,ROW()-1,60),ROW()-1,FALSE))</f>
        <v>8.6642602719999999</v>
      </c>
      <c r="AA526">
        <f ca="1">IF(AND(ISNUMBER($AA$1186),$B$677=1),$AA$1186,HLOOKUP(INDIRECT(ADDRESS(2,COLUMN())),OFFSET($BN$2,0,0,ROW()-1,60),ROW()-1,FALSE))</f>
        <v>4.2432816400000002</v>
      </c>
      <c r="AB526">
        <f ca="1">IF(AND(ISNUMBER($AB$1186),$B$677=1),$AB$1186,HLOOKUP(INDIRECT(ADDRESS(2,COLUMN())),OFFSET($BN$2,0,0,ROW()-1,60),ROW()-1,FALSE))</f>
        <v>4.4345899769999999</v>
      </c>
      <c r="AC526">
        <f ca="1">IF(AND(ISNUMBER($AC$1186),$B$677=1),$AC$1186,HLOOKUP(INDIRECT(ADDRESS(2,COLUMN())),OFFSET($BN$2,0,0,ROW()-1,60),ROW()-1,FALSE))</f>
        <v>4.542013807</v>
      </c>
      <c r="AD526">
        <f ca="1">IF(AND(ISNUMBER($AD$1186),$B$677=1),$AD$1186,HLOOKUP(INDIRECT(ADDRESS(2,COLUMN())),OFFSET($BN$2,0,0,ROW()-1,60),ROW()-1,FALSE))</f>
        <v>4.0540542149999999</v>
      </c>
      <c r="AE526">
        <f ca="1">IF(AND(ISNUMBER($AE$1186),$B$677=1),$AE$1186,HLOOKUP(INDIRECT(ADDRESS(2,COLUMN())),OFFSET($BN$2,0,0,ROW()-1,60),ROW()-1,FALSE))</f>
        <v>1.7006803399999999</v>
      </c>
      <c r="AF526">
        <f ca="1">IF(AND(ISNUMBER($AF$1186),$B$677=1),$AF$1186,HLOOKUP(INDIRECT(ADDRESS(2,COLUMN())),OFFSET($BN$2,0,0,ROW()-1,60),ROW()-1,FALSE))</f>
        <v>2.2156574</v>
      </c>
      <c r="AG526">
        <f ca="1">IF(AND(ISNUMBER($AG$1186),$B$677=1),$AG$1186,HLOOKUP(INDIRECT(ADDRESS(2,COLUMN())),OFFSET($BN$2,0,0,ROW()-1,60),ROW()-1,FALSE))</f>
        <v>2.0993702719999998</v>
      </c>
      <c r="AH526">
        <f ca="1">IF(AND(ISNUMBER($AH$1186),$B$677=1),$AH$1186,HLOOKUP(INDIRECT(ADDRESS(2,COLUMN())),OFFSET($BN$2,0,0,ROW()-1,60),ROW()-1,FALSE))</f>
        <v>2.0229265810000001</v>
      </c>
      <c r="AI526">
        <f ca="1">IF(AND(ISNUMBER($AI$1186),$B$677=1),$AI$1186,HLOOKUP(INDIRECT(ADDRESS(2,COLUMN())),OFFSET($BN$2,0,0,ROW()-1,60),ROW()-1,FALSE))</f>
        <v>1.414427178</v>
      </c>
      <c r="AJ526">
        <f ca="1">IF(AND(ISNUMBER($AJ$1186),$B$677=1),$AJ$1186,HLOOKUP(INDIRECT(ADDRESS(2,COLUMN())),OFFSET($BN$2,0,0,ROW()-1,60),ROW()-1,FALSE))</f>
        <v>1.251564474</v>
      </c>
      <c r="AK526">
        <f ca="1">IF(AND(ISNUMBER($AK$1186),$B$677=1),$AK$1186,HLOOKUP(INDIRECT(ADDRESS(2,COLUMN())),OFFSET($BN$2,0,0,ROW()-1,60),ROW()-1,FALSE))</f>
        <v>1.0672358749999999</v>
      </c>
      <c r="AL526">
        <f ca="1">IF(AND(ISNUMBER($AL$1186),$B$677=1),$AL$1186,HLOOKUP(INDIRECT(ADDRESS(2,COLUMN())),OFFSET($BN$2,0,0,ROW()-1,60),ROW()-1,FALSE))</f>
        <v>0.20846363100000001</v>
      </c>
      <c r="AM526">
        <f ca="1">IF(AND(ISNUMBER($AM$1186),$B$677=1),$AM$1186,HLOOKUP(INDIRECT(ADDRESS(2,COLUMN())),OFFSET($BN$2,0,0,ROW()-1,60),ROW()-1,FALSE))</f>
        <v>0.26199959099999998</v>
      </c>
      <c r="AN526">
        <f ca="1">IF(AND(ISNUMBER($AN$1186),$B$677=1),$AN$1186,HLOOKUP(INDIRECT(ADDRESS(2,COLUMN())),OFFSET($BN$2,0,0,ROW()-1,60),ROW()-1,FALSE))</f>
        <v>0.228258397</v>
      </c>
      <c r="AO526">
        <f ca="1">IF(AND(ISNUMBER($AO$1186),$B$677=1),$AO$1186,HLOOKUP(INDIRECT(ADDRESS(2,COLUMN())),OFFSET($BN$2,0,0,ROW()-1,60),ROW()-1,FALSE))</f>
        <v>0.313459983</v>
      </c>
      <c r="AP526">
        <f ca="1">IF(AND(ISNUMBER($AP$1186),$B$677=1),$AP$1186,HLOOKUP(INDIRECT(ADDRESS(2,COLUMN())),OFFSET($BN$2,0,0,ROW()-1,60),ROW()-1,FALSE))</f>
        <v>0.127015141</v>
      </c>
      <c r="AQ526">
        <f ca="1">IF(AND(ISNUMBER($AQ$1186),$B$677=1),$AQ$1186,HLOOKUP(INDIRECT(ADDRESS(2,COLUMN())),OFFSET($BN$2,0,0,ROW()-1,60),ROW()-1,FALSE))</f>
        <v>9.9502485000000002E-2</v>
      </c>
      <c r="AR526">
        <f ca="1">IF(AND(ISNUMBER($AR$1186),$B$677=1),$AR$1186,HLOOKUP(INDIRECT(ADDRESS(2,COLUMN())),OFFSET($BN$2,0,0,ROW()-1,60),ROW()-1,FALSE))</f>
        <v>0.13164556699999999</v>
      </c>
      <c r="AS526">
        <f ca="1">IF(AND(ISNUMBER($AS$1186),$B$677=1),$AS$1186,HLOOKUP(INDIRECT(ADDRESS(2,COLUMN())),OFFSET($BN$2,0,0,ROW()-1,60),ROW()-1,FALSE))</f>
        <v>0.17391303999999999</v>
      </c>
      <c r="AT526">
        <f ca="1">IF(AND(ISNUMBER($AT$1186),$B$677=1),$AT$1186,HLOOKUP(INDIRECT(ADDRESS(2,COLUMN())),OFFSET($BN$2,0,0,ROW()-1,60),ROW()-1,FALSE))</f>
        <v>2.1341464110000001</v>
      </c>
      <c r="AU526">
        <f ca="1">IF(AND(ISNUMBER($AU$1186),$B$677=1),$AU$1186,HLOOKUP(INDIRECT(ADDRESS(2,COLUMN())),OFFSET($BN$2,0,0,ROW()-1,60),ROW()-1,FALSE))</f>
        <v>3.9179105760000001</v>
      </c>
      <c r="AV526">
        <f ca="1">IF(AND(ISNUMBER($AV$1186),$B$677=1),$AV$1186,HLOOKUP(INDIRECT(ADDRESS(2,COLUMN())),OFFSET($BN$2,0,0,ROW()-1,60),ROW()-1,FALSE))</f>
        <v>3.0791789860000001</v>
      </c>
      <c r="AW526">
        <f ca="1">IF(AND(ISNUMBER($AW$1186),$B$677=1),$AW$1186,HLOOKUP(INDIRECT(ADDRESS(2,COLUMN())),OFFSET($BN$2,0,0,ROW()-1,60),ROW()-1,FALSE))</f>
        <v>2.6751593229999999</v>
      </c>
      <c r="AX526">
        <f ca="1">IF(AND(ISNUMBER($AX$1186),$B$677=1),$AX$1186,HLOOKUP(INDIRECT(ADDRESS(2,COLUMN())),OFFSET($BN$2,0,0,ROW()-1,60),ROW()-1,FALSE))</f>
        <v>1.529497501</v>
      </c>
      <c r="AY526">
        <f ca="1">IF(AND(ISNUMBER($AY$1186),$B$677=1),$AY$1186,HLOOKUP(INDIRECT(ADDRESS(2,COLUMN())),OFFSET($BN$2,0,0,ROW()-1,60),ROW()-1,FALSE))</f>
        <v>0.608596425</v>
      </c>
      <c r="AZ526">
        <f ca="1">IF(AND(ISNUMBER($AZ$1186),$B$677=1),$AZ$1186,HLOOKUP(INDIRECT(ADDRESS(2,COLUMN())),OFFSET($BN$2,0,0,ROW()-1,60),ROW()-1,FALSE))</f>
        <v>0.54163845700000002</v>
      </c>
      <c r="BA526">
        <f ca="1">IF(AND(ISNUMBER($BA$1186),$B$677=1),$BA$1186,HLOOKUP(INDIRECT(ADDRESS(2,COLUMN())),OFFSET($BN$2,0,0,ROW()-1,60),ROW()-1,FALSE))</f>
        <v>0.92646207400000002</v>
      </c>
      <c r="BB526">
        <f ca="1">IF(AND(ISNUMBER($BB$1186),$B$677=1),$BB$1186,HLOOKUP(INDIRECT(ADDRESS(2,COLUMN())),OFFSET($BN$2,0,0,ROW()-1,60),ROW()-1,FALSE))</f>
        <v>1.292407109</v>
      </c>
      <c r="BC526">
        <f ca="1">IF(AND(ISNUMBER($BC$1186),$B$677=1),$BC$1186,HLOOKUP(INDIRECT(ADDRESS(2,COLUMN())),OFFSET($BN$2,0,0,ROW()-1,60),ROW()-1,FALSE))</f>
        <v>3.0599755750000002</v>
      </c>
      <c r="BD526">
        <f ca="1">IF(AND(ISNUMBER($BD$1186),$B$677=1),$BD$1186,HLOOKUP(INDIRECT(ADDRESS(2,COLUMN())),OFFSET($BN$2,0,0,ROW()-1,60),ROW()-1,FALSE))</f>
        <v>4.7984645769999998</v>
      </c>
      <c r="BE526">
        <f ca="1">IF(AND(ISNUMBER($BE$1186),$B$677=1),$BE$1186,HLOOKUP(INDIRECT(ADDRESS(2,COLUMN())),OFFSET($BN$2,0,0,ROW()-1,60),ROW()-1,FALSE))</f>
        <v>4.2662116799999996</v>
      </c>
      <c r="BF526">
        <f ca="1">IF(AND(ISNUMBER($BF$1186),$B$677=1),$BF$1186,HLOOKUP(INDIRECT(ADDRESS(2,COLUMN())),OFFSET($BN$2,0,0,ROW()-1,60),ROW()-1,FALSE))</f>
        <v>7.1633239099999999</v>
      </c>
      <c r="BG526">
        <f ca="1">IF(AND(ISNUMBER($BG$1186),$B$677=1),$BG$1186,HLOOKUP(INDIRECT(ADDRESS(2,COLUMN())),OFFSET($BN$2,0,0,ROW()-1,60),ROW()-1,FALSE))</f>
        <v>7.5528702259999996</v>
      </c>
      <c r="BH526">
        <f ca="1">IF(AND(ISNUMBER($BH$1186),$B$677=1),$BH$1186,HLOOKUP(INDIRECT(ADDRESS(2,COLUMN())),OFFSET($BN$2,0,0,ROW()-1,60),ROW()-1,FALSE))</f>
        <v>4.844961327</v>
      </c>
      <c r="BI526">
        <f ca="1">IF(AND(ISNUMBER($BI$1186),$B$677=1),$BI$1186,HLOOKUP(INDIRECT(ADDRESS(2,COLUMN())),OFFSET($BN$2,0,0,ROW()-1,60),ROW()-1,FALSE))</f>
        <v>5.8139535919999998</v>
      </c>
      <c r="BJ526">
        <f ca="1">IF(AND(ISNUMBER($BJ$1186),$B$677=1),$BJ$1186,HLOOKUP(INDIRECT(ADDRESS(2,COLUMN())),OFFSET($BN$2,0,0,ROW()-1,60),ROW()-1,FALSE))</f>
        <v>5.7870371409999999</v>
      </c>
      <c r="BK526">
        <f ca="1">IF(AND(ISNUMBER($BK$1186),$B$677=1),$BK$1186,HLOOKUP(INDIRECT(ADDRESS(2,COLUMN())),OFFSET($BN$2,0,0,ROW()-1,60),ROW()-1,FALSE))</f>
        <v>2.4291497780000002</v>
      </c>
      <c r="BL526">
        <f ca="1">IF(AND(ISNUMBER($BL$1186),$B$677=1),$BL$1186,HLOOKUP(INDIRECT(ADDRESS(2,COLUMN())),OFFSET($BN$2,0,0,ROW()-1,60),ROW()-1,FALSE))</f>
        <v>1.4755065789999999</v>
      </c>
      <c r="BM526">
        <f ca="1">IF(AND(ISNUMBER($BM$1186),$B$677=1),$BM$1186,HLOOKUP(INDIRECT(ADDRESS(2,COLUMN())),OFFSET($BN$2,0,0,ROW()-1,60),ROW()-1,FALSE))</f>
        <v>1.354279513</v>
      </c>
      <c r="BN526">
        <f>6.441394026</f>
        <v>6.4413940260000002</v>
      </c>
      <c r="BO526">
        <f>6.861642456</f>
        <v>6.8616424560000002</v>
      </c>
      <c r="BP526">
        <f>5.498798206</f>
        <v>5.498798206</v>
      </c>
      <c r="BQ526">
        <f>5.230065856</f>
        <v>5.2300658560000004</v>
      </c>
      <c r="BR526">
        <f>5.380770488</f>
        <v>5.3807704879999996</v>
      </c>
      <c r="BS526">
        <f>5.14981266</f>
        <v>5.1498126600000003</v>
      </c>
      <c r="BT526">
        <f>5.46538581</f>
        <v>5.4653858099999999</v>
      </c>
      <c r="BU526">
        <f>5.314009585</f>
        <v>5.314009585</v>
      </c>
      <c r="BV526">
        <f>5.358550096</f>
        <v>5.3585500960000001</v>
      </c>
      <c r="BW526">
        <f>5.799573622</f>
        <v>5.7995736219999996</v>
      </c>
      <c r="BX526">
        <f>6.224256358</f>
        <v>6.2242563579999999</v>
      </c>
      <c r="BY526">
        <f>6.702809336</f>
        <v>6.7028093359999996</v>
      </c>
      <c r="BZ526">
        <f>6.480558087</f>
        <v>6.4805580870000004</v>
      </c>
      <c r="CA526">
        <f>6.126295723</f>
        <v>6.1262957230000001</v>
      </c>
      <c r="CB526">
        <f>7.738094954</f>
        <v>7.7380949540000001</v>
      </c>
      <c r="CC526">
        <f>5.752212178</f>
        <v>5.7522121779999997</v>
      </c>
      <c r="CD526">
        <f>4.827031568</f>
        <v>4.8270315679999998</v>
      </c>
      <c r="CE526">
        <f>5.589194447</f>
        <v>5.5891944469999997</v>
      </c>
      <c r="CF526">
        <f>6.637168405</f>
        <v>6.6371684049999997</v>
      </c>
      <c r="CG526">
        <f>7.843137567</f>
        <v>7.8431375670000003</v>
      </c>
      <c r="CH526">
        <f>8.664260272</f>
        <v>8.6642602719999999</v>
      </c>
      <c r="CI526">
        <f>4.24328164</f>
        <v>4.2432816400000002</v>
      </c>
      <c r="CJ526">
        <f>4.434589977</f>
        <v>4.4345899769999999</v>
      </c>
      <c r="CK526">
        <f>4.542013807</f>
        <v>4.542013807</v>
      </c>
      <c r="CL526">
        <f>4.054054215</f>
        <v>4.0540542149999999</v>
      </c>
      <c r="CM526">
        <f>1.70068034</f>
        <v>1.7006803399999999</v>
      </c>
      <c r="CN526">
        <f>2.2156574</f>
        <v>2.2156574</v>
      </c>
      <c r="CO526">
        <f>2.099370272</f>
        <v>2.0993702719999998</v>
      </c>
      <c r="CP526">
        <f>2.022926581</f>
        <v>2.0229265810000001</v>
      </c>
      <c r="CQ526">
        <f>1.414427178</f>
        <v>1.414427178</v>
      </c>
      <c r="CR526">
        <f>1.251564474</f>
        <v>1.251564474</v>
      </c>
      <c r="CS526">
        <f>1.067235875</f>
        <v>1.0672358749999999</v>
      </c>
      <c r="CT526">
        <f>0.208463631</f>
        <v>0.20846363100000001</v>
      </c>
      <c r="CU526">
        <f>0.261999591</f>
        <v>0.26199959099999998</v>
      </c>
      <c r="CV526">
        <f>0.228258397</f>
        <v>0.228258397</v>
      </c>
      <c r="CW526">
        <f>0.313459983</f>
        <v>0.313459983</v>
      </c>
      <c r="CX526">
        <f>0.127015141</f>
        <v>0.127015141</v>
      </c>
      <c r="CY526">
        <f>0.099502485</f>
        <v>9.9502485000000002E-2</v>
      </c>
      <c r="CZ526">
        <f>0.131645567</f>
        <v>0.13164556699999999</v>
      </c>
      <c r="DA526">
        <f>0.17391304</f>
        <v>0.17391303999999999</v>
      </c>
      <c r="DB526">
        <f>2.134146411</f>
        <v>2.1341464110000001</v>
      </c>
      <c r="DC526">
        <f>3.917910576</f>
        <v>3.9179105760000001</v>
      </c>
      <c r="DD526">
        <f>3.079178986</f>
        <v>3.0791789860000001</v>
      </c>
      <c r="DE526">
        <f>2.675159323</f>
        <v>2.6751593229999999</v>
      </c>
      <c r="DF526">
        <f>1.529497501</f>
        <v>1.529497501</v>
      </c>
      <c r="DG526">
        <f>0.608596425</f>
        <v>0.608596425</v>
      </c>
      <c r="DH526">
        <f>0.541638457</f>
        <v>0.54163845700000002</v>
      </c>
      <c r="DI526">
        <f>0.926462074</f>
        <v>0.92646207400000002</v>
      </c>
      <c r="DJ526">
        <f>1.292407109</f>
        <v>1.292407109</v>
      </c>
      <c r="DK526">
        <f>3.059975575</f>
        <v>3.0599755750000002</v>
      </c>
      <c r="DL526">
        <f>4.798464577</f>
        <v>4.7984645769999998</v>
      </c>
      <c r="DM526">
        <f>4.26621168</f>
        <v>4.2662116799999996</v>
      </c>
      <c r="DN526">
        <f>7.16332391</f>
        <v>7.1633239099999999</v>
      </c>
      <c r="DO526">
        <f>7.552870226</f>
        <v>7.5528702259999996</v>
      </c>
      <c r="DP526">
        <f>4.844961327</f>
        <v>4.844961327</v>
      </c>
      <c r="DQ526">
        <f>5.813953592</f>
        <v>5.8139535919999998</v>
      </c>
      <c r="DR526">
        <f>5.787037141</f>
        <v>5.7870371409999999</v>
      </c>
      <c r="DS526">
        <f>2.429149778</f>
        <v>2.4291497780000002</v>
      </c>
      <c r="DT526">
        <f>1.475506579</f>
        <v>1.4755065789999999</v>
      </c>
      <c r="DU526">
        <f>1.354279513</f>
        <v>1.354279513</v>
      </c>
    </row>
    <row r="527" spans="1:125" x14ac:dyDescent="0.25">
      <c r="A527" t="str">
        <f>"    Sanyang Motor Co Ltd"</f>
        <v xml:space="preserve">    Sanyang Motor Co Ltd</v>
      </c>
      <c r="B527" t="str">
        <f>"2206 TT Equity"</f>
        <v>2206 TT Equity</v>
      </c>
      <c r="C527" t="str">
        <f t="shared" si="36"/>
        <v>DV013</v>
      </c>
      <c r="D527" t="str">
        <f t="shared" si="37"/>
        <v>EQY_DVD_YLD_IND</v>
      </c>
      <c r="E527" t="str">
        <f t="shared" si="38"/>
        <v>Dynamic</v>
      </c>
      <c r="F527">
        <f ca="1">IF(AND(ISNUMBER($F$1187),$B$677=1),$F$1187,HLOOKUP(INDIRECT(ADDRESS(2,COLUMN())),OFFSET($BN$2,0,0,ROW()-1,60),ROW()-1,FALSE))</f>
        <v>5.0780838560000001</v>
      </c>
      <c r="G527">
        <f ca="1">IF(AND(ISNUMBER($G$1187),$B$677=1),$G$1187,HLOOKUP(INDIRECT(ADDRESS(2,COLUMN())),OFFSET($BN$2,0,0,ROW()-1,60),ROW()-1,FALSE))</f>
        <v>5.0907790659999996</v>
      </c>
      <c r="H527">
        <f ca="1">IF(AND(ISNUMBER($H$1187),$B$677=1),$H$1187,HLOOKUP(INDIRECT(ADDRESS(2,COLUMN())),OFFSET($BN$2,0,0,ROW()-1,60),ROW()-1,FALSE))</f>
        <v>4.966613723</v>
      </c>
      <c r="I527">
        <f ca="1">IF(AND(ISNUMBER($I$1187),$B$677=1),$I$1187,HLOOKUP(INDIRECT(ADDRESS(2,COLUMN())),OFFSET($BN$2,0,0,ROW()-1,60),ROW()-1,FALSE))</f>
        <v>4.6597520059999997</v>
      </c>
      <c r="J527">
        <f ca="1">IF(AND(ISNUMBER($J$1187),$B$677=1),$J$1187,HLOOKUP(INDIRECT(ADDRESS(2,COLUMN())),OFFSET($BN$2,0,0,ROW()-1,60),ROW()-1,FALSE))</f>
        <v>4.7913214740000001</v>
      </c>
      <c r="K527">
        <f ca="1">IF(AND(ISNUMBER($K$1187),$B$677=1),$K$1187,HLOOKUP(INDIRECT(ADDRESS(2,COLUMN())),OFFSET($BN$2,0,0,ROW()-1,60),ROW()-1,FALSE))</f>
        <v>4.830926378</v>
      </c>
      <c r="L527">
        <f ca="1">IF(AND(ISNUMBER($L$1187),$B$677=1),$L$1187,HLOOKUP(INDIRECT(ADDRESS(2,COLUMN())),OFFSET($BN$2,0,0,ROW()-1,60),ROW()-1,FALSE))</f>
        <v>4.8536067840000001</v>
      </c>
      <c r="M527">
        <f ca="1">IF(AND(ISNUMBER($M$1187),$B$677=1),$M$1187,HLOOKUP(INDIRECT(ADDRESS(2,COLUMN())),OFFSET($BN$2,0,0,ROW()-1,60),ROW()-1,FALSE))</f>
        <v>4.7206312549999998</v>
      </c>
      <c r="N527">
        <f ca="1">IF(AND(ISNUMBER($N$1187),$B$677=1),$N$1187,HLOOKUP(INDIRECT(ADDRESS(2,COLUMN())),OFFSET($BN$2,0,0,ROW()-1,60),ROW()-1,FALSE))</f>
        <v>4.8196654780000001</v>
      </c>
      <c r="O527">
        <f ca="1">IF(AND(ISNUMBER($O$1187),$B$677=1),$O$1187,HLOOKUP(INDIRECT(ADDRESS(2,COLUMN())),OFFSET($BN$2,0,0,ROW()-1,60),ROW()-1,FALSE))</f>
        <v>4.8309178739999998</v>
      </c>
      <c r="P527">
        <f ca="1">IF(AND(ISNUMBER($P$1187),$B$677=1),$P$1187,HLOOKUP(INDIRECT(ADDRESS(2,COLUMN())),OFFSET($BN$2,0,0,ROW()-1,60),ROW()-1,FALSE))</f>
        <v>4.807692308</v>
      </c>
      <c r="Q527">
        <f ca="1">IF(AND(ISNUMBER($Q$1187),$B$677=1),$Q$1187,HLOOKUP(INDIRECT(ADDRESS(2,COLUMN())),OFFSET($BN$2,0,0,ROW()-1,60),ROW()-1,FALSE))</f>
        <v>4.8309178739999998</v>
      </c>
      <c r="R527">
        <f ca="1">IF(AND(ISNUMBER($R$1187),$B$677=1),$R$1187,HLOOKUP(INDIRECT(ADDRESS(2,COLUMN())),OFFSET($BN$2,0,0,ROW()-1,60),ROW()-1,FALSE))</f>
        <v>4.651162791</v>
      </c>
      <c r="S527" t="str">
        <f ca="1">IF(AND(ISNUMBER($S$1187),$B$677=1),$S$1187,HLOOKUP(INDIRECT(ADDRESS(2,COLUMN())),OFFSET($BN$2,0,0,ROW()-1,60),ROW()-1,FALSE))</f>
        <v/>
      </c>
      <c r="T527" t="str">
        <f ca="1">IF(AND(ISNUMBER($T$1187),$B$677=1),$T$1187,HLOOKUP(INDIRECT(ADDRESS(2,COLUMN())),OFFSET($BN$2,0,0,ROW()-1,60),ROW()-1,FALSE))</f>
        <v/>
      </c>
      <c r="U527" t="str">
        <f ca="1">IF(AND(ISNUMBER($U$1187),$B$677=1),$U$1187,HLOOKUP(INDIRECT(ADDRESS(2,COLUMN())),OFFSET($BN$2,0,0,ROW()-1,60),ROW()-1,FALSE))</f>
        <v/>
      </c>
      <c r="V527" t="str">
        <f ca="1">IF(AND(ISNUMBER($V$1187),$B$677=1),$V$1187,HLOOKUP(INDIRECT(ADDRESS(2,COLUMN())),OFFSET($BN$2,0,0,ROW()-1,60),ROW()-1,FALSE))</f>
        <v/>
      </c>
      <c r="W527" t="str">
        <f ca="1">IF(AND(ISNUMBER($W$1187),$B$677=1),$W$1187,HLOOKUP(INDIRECT(ADDRESS(2,COLUMN())),OFFSET($BN$2,0,0,ROW()-1,60),ROW()-1,FALSE))</f>
        <v/>
      </c>
      <c r="X527" t="str">
        <f ca="1">IF(AND(ISNUMBER($X$1187),$B$677=1),$X$1187,HLOOKUP(INDIRECT(ADDRESS(2,COLUMN())),OFFSET($BN$2,0,0,ROW()-1,60),ROW()-1,FALSE))</f>
        <v/>
      </c>
      <c r="Y527" t="str">
        <f ca="1">IF(AND(ISNUMBER($Y$1187),$B$677=1),$Y$1187,HLOOKUP(INDIRECT(ADDRESS(2,COLUMN())),OFFSET($BN$2,0,0,ROW()-1,60),ROW()-1,FALSE))</f>
        <v/>
      </c>
      <c r="Z527">
        <f ca="1">IF(AND(ISNUMBER($Z$1187),$B$677=1),$Z$1187,HLOOKUP(INDIRECT(ADDRESS(2,COLUMN())),OFFSET($BN$2,0,0,ROW()-1,60),ROW()-1,FALSE))</f>
        <v>0.92783502699999998</v>
      </c>
      <c r="AA527">
        <f ca="1">IF(AND(ISNUMBER($AA$1187),$B$677=1),$AA$1187,HLOOKUP(INDIRECT(ADDRESS(2,COLUMN())),OFFSET($BN$2,0,0,ROW()-1,60),ROW()-1,FALSE))</f>
        <v>0.92118728400000005</v>
      </c>
      <c r="AB527">
        <f ca="1">IF(AND(ISNUMBER($AB$1187),$B$677=1),$AB$1187,HLOOKUP(INDIRECT(ADDRESS(2,COLUMN())),OFFSET($BN$2,0,0,ROW()-1,60),ROW()-1,FALSE))</f>
        <v>1.0575792900000001</v>
      </c>
      <c r="AC527">
        <f ca="1">IF(AND(ISNUMBER($AC$1187),$B$677=1),$AC$1187,HLOOKUP(INDIRECT(ADDRESS(2,COLUMN())),OFFSET($BN$2,0,0,ROW()-1,60),ROW()-1,FALSE))</f>
        <v>1.6187049929999999</v>
      </c>
      <c r="AD527">
        <f ca="1">IF(AND(ISNUMBER($AD$1187),$B$677=1),$AD$1187,HLOOKUP(INDIRECT(ADDRESS(2,COLUMN())),OFFSET($BN$2,0,0,ROW()-1,60),ROW()-1,FALSE))</f>
        <v>1.810865143</v>
      </c>
      <c r="AE527" t="str">
        <f ca="1">IF(AND(ISNUMBER($AE$1187),$B$677=1),$AE$1187,HLOOKUP(INDIRECT(ADDRESS(2,COLUMN())),OFFSET($BN$2,0,0,ROW()-1,60),ROW()-1,FALSE))</f>
        <v/>
      </c>
      <c r="AF527" t="str">
        <f ca="1">IF(AND(ISNUMBER($AF$1187),$B$677=1),$AF$1187,HLOOKUP(INDIRECT(ADDRESS(2,COLUMN())),OFFSET($BN$2,0,0,ROW()-1,60),ROW()-1,FALSE))</f>
        <v/>
      </c>
      <c r="AG527">
        <f ca="1">IF(AND(ISNUMBER($AG$1187),$B$677=1),$AG$1187,HLOOKUP(INDIRECT(ADDRESS(2,COLUMN())),OFFSET($BN$2,0,0,ROW()-1,60),ROW()-1,FALSE))</f>
        <v>0.53602059099999999</v>
      </c>
      <c r="AH527">
        <f ca="1">IF(AND(ISNUMBER($AH$1187),$B$677=1),$AH$1187,HLOOKUP(INDIRECT(ADDRESS(2,COLUMN())),OFFSET($BN$2,0,0,ROW()-1,60),ROW()-1,FALSE))</f>
        <v>0.47052181599999998</v>
      </c>
      <c r="AI527">
        <f ca="1">IF(AND(ISNUMBER($AI$1187),$B$677=1),$AI$1187,HLOOKUP(INDIRECT(ADDRESS(2,COLUMN())),OFFSET($BN$2,0,0,ROW()-1,60),ROW()-1,FALSE))</f>
        <v>0.57349315499999998</v>
      </c>
      <c r="AJ527">
        <f ca="1">IF(AND(ISNUMBER($AJ$1187),$B$677=1),$AJ$1187,HLOOKUP(INDIRECT(ADDRESS(2,COLUMN())),OFFSET($BN$2,0,0,ROW()-1,60),ROW()-1,FALSE))</f>
        <v>0.55657595299999996</v>
      </c>
      <c r="AK527">
        <f ca="1">IF(AND(ISNUMBER($AK$1187),$B$677=1),$AK$1187,HLOOKUP(INDIRECT(ADDRESS(2,COLUMN())),OFFSET($BN$2,0,0,ROW()-1,60),ROW()-1,FALSE))</f>
        <v>0.57306591100000004</v>
      </c>
      <c r="AL527" t="str">
        <f ca="1">IF(AND(ISNUMBER($AL$1187),$B$677=1),$AL$1187,HLOOKUP(INDIRECT(ADDRESS(2,COLUMN())),OFFSET($BN$2,0,0,ROW()-1,60),ROW()-1,FALSE))</f>
        <v/>
      </c>
      <c r="AM527" t="str">
        <f ca="1">IF(AND(ISNUMBER($AM$1187),$B$677=1),$AM$1187,HLOOKUP(INDIRECT(ADDRESS(2,COLUMN())),OFFSET($BN$2,0,0,ROW()-1,60),ROW()-1,FALSE))</f>
        <v/>
      </c>
      <c r="AN527" t="str">
        <f ca="1">IF(AND(ISNUMBER($AN$1187),$B$677=1),$AN$1187,HLOOKUP(INDIRECT(ADDRESS(2,COLUMN())),OFFSET($BN$2,0,0,ROW()-1,60),ROW()-1,FALSE))</f>
        <v/>
      </c>
      <c r="AO527" t="str">
        <f ca="1">IF(AND(ISNUMBER($AO$1187),$B$677=1),$AO$1187,HLOOKUP(INDIRECT(ADDRESS(2,COLUMN())),OFFSET($BN$2,0,0,ROW()-1,60),ROW()-1,FALSE))</f>
        <v/>
      </c>
      <c r="AP527" t="str">
        <f ca="1">IF(AND(ISNUMBER($AP$1187),$B$677=1),$AP$1187,HLOOKUP(INDIRECT(ADDRESS(2,COLUMN())),OFFSET($BN$2,0,0,ROW()-1,60),ROW()-1,FALSE))</f>
        <v/>
      </c>
      <c r="AQ527" t="str">
        <f ca="1">IF(AND(ISNUMBER($AQ$1187),$B$677=1),$AQ$1187,HLOOKUP(INDIRECT(ADDRESS(2,COLUMN())),OFFSET($BN$2,0,0,ROW()-1,60),ROW()-1,FALSE))</f>
        <v/>
      </c>
      <c r="AR527" t="str">
        <f ca="1">IF(AND(ISNUMBER($AR$1187),$B$677=1),$AR$1187,HLOOKUP(INDIRECT(ADDRESS(2,COLUMN())),OFFSET($BN$2,0,0,ROW()-1,60),ROW()-1,FALSE))</f>
        <v/>
      </c>
      <c r="AS527">
        <f ca="1">IF(AND(ISNUMBER($AS$1187),$B$677=1),$AS$1187,HLOOKUP(INDIRECT(ADDRESS(2,COLUMN())),OFFSET($BN$2,0,0,ROW()-1,60),ROW()-1,FALSE))</f>
        <v>4.9541082520000002</v>
      </c>
      <c r="AT527">
        <f ca="1">IF(AND(ISNUMBER($AT$1187),$B$677=1),$AT$1187,HLOOKUP(INDIRECT(ADDRESS(2,COLUMN())),OFFSET($BN$2,0,0,ROW()-1,60),ROW()-1,FALSE))</f>
        <v>6.088104897</v>
      </c>
      <c r="AU527">
        <f ca="1">IF(AND(ISNUMBER($AU$1187),$B$677=1),$AU$1187,HLOOKUP(INDIRECT(ADDRESS(2,COLUMN())),OFFSET($BN$2,0,0,ROW()-1,60),ROW()-1,FALSE))</f>
        <v>7.7287305679999996</v>
      </c>
      <c r="AV527">
        <f ca="1">IF(AND(ISNUMBER($AV$1187),$B$677=1),$AV$1187,HLOOKUP(INDIRECT(ADDRESS(2,COLUMN())),OFFSET($BN$2,0,0,ROW()-1,60),ROW()-1,FALSE))</f>
        <v>5.906821377</v>
      </c>
      <c r="AW527">
        <f ca="1">IF(AND(ISNUMBER($AW$1187),$B$677=1),$AW$1187,HLOOKUP(INDIRECT(ADDRESS(2,COLUMN())),OFFSET($BN$2,0,0,ROW()-1,60),ROW()-1,FALSE))</f>
        <v>3.9999998809999999</v>
      </c>
      <c r="AX527">
        <f ca="1">IF(AND(ISNUMBER($AX$1187),$B$677=1),$AX$1187,HLOOKUP(INDIRECT(ADDRESS(2,COLUMN())),OFFSET($BN$2,0,0,ROW()-1,60),ROW()-1,FALSE))</f>
        <v>4.338394664</v>
      </c>
      <c r="AY527">
        <f ca="1">IF(AND(ISNUMBER($AY$1187),$B$677=1),$AY$1187,HLOOKUP(INDIRECT(ADDRESS(2,COLUMN())),OFFSET($BN$2,0,0,ROW()-1,60),ROW()-1,FALSE))</f>
        <v>5.5865920119999997</v>
      </c>
      <c r="AZ527">
        <f ca="1">IF(AND(ISNUMBER($AZ$1187),$B$677=1),$AZ$1187,HLOOKUP(INDIRECT(ADDRESS(2,COLUMN())),OFFSET($BN$2,0,0,ROW()-1,60),ROW()-1,FALSE))</f>
        <v>3.7523451040000002</v>
      </c>
      <c r="BA527">
        <f ca="1">IF(AND(ISNUMBER($BA$1187),$B$677=1),$BA$1187,HLOOKUP(INDIRECT(ADDRESS(2,COLUMN())),OFFSET($BN$2,0,0,ROW()-1,60),ROW()-1,FALSE))</f>
        <v>4.0080159120000003</v>
      </c>
      <c r="BB527">
        <f ca="1">IF(AND(ISNUMBER($BB$1187),$B$677=1),$BB$1187,HLOOKUP(INDIRECT(ADDRESS(2,COLUMN())),OFFSET($BN$2,0,0,ROW()-1,60),ROW()-1,FALSE))</f>
        <v>5.1282049750000001</v>
      </c>
      <c r="BC527">
        <f ca="1">IF(AND(ISNUMBER($BC$1187),$B$677=1),$BC$1187,HLOOKUP(INDIRECT(ADDRESS(2,COLUMN())),OFFSET($BN$2,0,0,ROW()-1,60),ROW()-1,FALSE))</f>
        <v>4.2918453650000004</v>
      </c>
      <c r="BD527">
        <f ca="1">IF(AND(ISNUMBER($BD$1187),$B$677=1),$BD$1187,HLOOKUP(INDIRECT(ADDRESS(2,COLUMN())),OFFSET($BN$2,0,0,ROW()-1,60),ROW()-1,FALSE))</f>
        <v>5.8823527650000003</v>
      </c>
      <c r="BE527">
        <f ca="1">IF(AND(ISNUMBER($BE$1187),$B$677=1),$BE$1187,HLOOKUP(INDIRECT(ADDRESS(2,COLUMN())),OFFSET($BN$2,0,0,ROW()-1,60),ROW()-1,FALSE))</f>
        <v>6.1919502790000003</v>
      </c>
      <c r="BF527">
        <f ca="1">IF(AND(ISNUMBER($BF$1187),$B$677=1),$BF$1187,HLOOKUP(INDIRECT(ADDRESS(2,COLUMN())),OFFSET($BN$2,0,0,ROW()-1,60),ROW()-1,FALSE))</f>
        <v>11.739130830000001</v>
      </c>
      <c r="BG527">
        <f ca="1">IF(AND(ISNUMBER($BG$1187),$B$677=1),$BG$1187,HLOOKUP(INDIRECT(ADDRESS(2,COLUMN())),OFFSET($BN$2,0,0,ROW()-1,60),ROW()-1,FALSE))</f>
        <v>10.97561013</v>
      </c>
      <c r="BH527">
        <f ca="1">IF(AND(ISNUMBER($BH$1187),$B$677=1),$BH$1187,HLOOKUP(INDIRECT(ADDRESS(2,COLUMN())),OFFSET($BN$2,0,0,ROW()-1,60),ROW()-1,FALSE))</f>
        <v>11.250000379999999</v>
      </c>
      <c r="BI527">
        <f ca="1">IF(AND(ISNUMBER($BI$1187),$B$677=1),$BI$1187,HLOOKUP(INDIRECT(ADDRESS(2,COLUMN())),OFFSET($BN$2,0,0,ROW()-1,60),ROW()-1,FALSE))</f>
        <v>10.074627209999999</v>
      </c>
      <c r="BJ527">
        <f ca="1">IF(AND(ISNUMBER($BJ$1187),$B$677=1),$BJ$1187,HLOOKUP(INDIRECT(ADDRESS(2,COLUMN())),OFFSET($BN$2,0,0,ROW()-1,60),ROW()-1,FALSE))</f>
        <v>4.0657856399999996</v>
      </c>
      <c r="BK527">
        <f ca="1">IF(AND(ISNUMBER($BK$1187),$B$677=1),$BK$1187,HLOOKUP(INDIRECT(ADDRESS(2,COLUMN())),OFFSET($BN$2,0,0,ROW()-1,60),ROW()-1,FALSE))</f>
        <v>4.0950358959999997</v>
      </c>
      <c r="BL527">
        <f ca="1">IF(AND(ISNUMBER($BL$1187),$B$677=1),$BL$1187,HLOOKUP(INDIRECT(ADDRESS(2,COLUMN())),OFFSET($BN$2,0,0,ROW()-1,60),ROW()-1,FALSE))</f>
        <v>4.0085210529999999</v>
      </c>
      <c r="BM527">
        <f ca="1">IF(AND(ISNUMBER($BM$1187),$B$677=1),$BM$1187,HLOOKUP(INDIRECT(ADDRESS(2,COLUMN())),OFFSET($BN$2,0,0,ROW()-1,60),ROW()-1,FALSE))</f>
        <v>4.865042646</v>
      </c>
      <c r="BN527">
        <f>5.078083856</f>
        <v>5.0780838560000001</v>
      </c>
      <c r="BO527">
        <f>5.090779066</f>
        <v>5.0907790659999996</v>
      </c>
      <c r="BP527">
        <f>4.966613723</f>
        <v>4.966613723</v>
      </c>
      <c r="BQ527">
        <f>4.659752006</f>
        <v>4.6597520059999997</v>
      </c>
      <c r="BR527">
        <f>4.791321474</f>
        <v>4.7913214740000001</v>
      </c>
      <c r="BS527">
        <f>4.830926378</f>
        <v>4.830926378</v>
      </c>
      <c r="BT527">
        <f>4.853606784</f>
        <v>4.8536067840000001</v>
      </c>
      <c r="BU527">
        <f>4.720631255</f>
        <v>4.7206312549999998</v>
      </c>
      <c r="BV527">
        <f>4.819665478</f>
        <v>4.8196654780000001</v>
      </c>
      <c r="BW527">
        <f>4.830917874</f>
        <v>4.8309178739999998</v>
      </c>
      <c r="BX527">
        <f>4.807692308</f>
        <v>4.807692308</v>
      </c>
      <c r="BY527">
        <f>4.830917874</f>
        <v>4.8309178739999998</v>
      </c>
      <c r="BZ527">
        <f>4.651162791</f>
        <v>4.651162791</v>
      </c>
      <c r="CA527" t="str">
        <f>""</f>
        <v/>
      </c>
      <c r="CB527" t="str">
        <f>""</f>
        <v/>
      </c>
      <c r="CC527" t="str">
        <f>""</f>
        <v/>
      </c>
      <c r="CD527" t="str">
        <f>""</f>
        <v/>
      </c>
      <c r="CE527" t="str">
        <f>""</f>
        <v/>
      </c>
      <c r="CF527" t="str">
        <f>""</f>
        <v/>
      </c>
      <c r="CG527" t="str">
        <f>""</f>
        <v/>
      </c>
      <c r="CH527">
        <f>0.927835027</f>
        <v>0.92783502699999998</v>
      </c>
      <c r="CI527">
        <f>0.921187284</f>
        <v>0.92118728400000005</v>
      </c>
      <c r="CJ527">
        <f>1.05757929</f>
        <v>1.0575792900000001</v>
      </c>
      <c r="CK527">
        <f>1.618704993</f>
        <v>1.6187049929999999</v>
      </c>
      <c r="CL527">
        <f>1.810865143</f>
        <v>1.810865143</v>
      </c>
      <c r="CM527" t="str">
        <f>""</f>
        <v/>
      </c>
      <c r="CN527" t="str">
        <f>""</f>
        <v/>
      </c>
      <c r="CO527">
        <f>0.536020591</f>
        <v>0.53602059099999999</v>
      </c>
      <c r="CP527">
        <f>0.470521816</f>
        <v>0.47052181599999998</v>
      </c>
      <c r="CQ527">
        <f>0.573493155</f>
        <v>0.57349315499999998</v>
      </c>
      <c r="CR527">
        <f>0.556575953</f>
        <v>0.55657595299999996</v>
      </c>
      <c r="CS527">
        <f>0.573065911</f>
        <v>0.57306591100000004</v>
      </c>
      <c r="CT527" t="str">
        <f>""</f>
        <v/>
      </c>
      <c r="CU527" t="str">
        <f>""</f>
        <v/>
      </c>
      <c r="CV527" t="str">
        <f>""</f>
        <v/>
      </c>
      <c r="CW527" t="str">
        <f>""</f>
        <v/>
      </c>
      <c r="CX527" t="str">
        <f>""</f>
        <v/>
      </c>
      <c r="CY527" t="str">
        <f>""</f>
        <v/>
      </c>
      <c r="CZ527" t="str">
        <f>""</f>
        <v/>
      </c>
      <c r="DA527">
        <f>4.954108252</f>
        <v>4.9541082520000002</v>
      </c>
      <c r="DB527">
        <f>6.088104897</f>
        <v>6.088104897</v>
      </c>
      <c r="DC527">
        <f>7.728730568</f>
        <v>7.7287305679999996</v>
      </c>
      <c r="DD527">
        <f>5.906821377</f>
        <v>5.906821377</v>
      </c>
      <c r="DE527">
        <f>3.999999881</f>
        <v>3.9999998809999999</v>
      </c>
      <c r="DF527">
        <f>4.338394664</f>
        <v>4.338394664</v>
      </c>
      <c r="DG527">
        <f>5.586592012</f>
        <v>5.5865920119999997</v>
      </c>
      <c r="DH527">
        <f>3.752345104</f>
        <v>3.7523451040000002</v>
      </c>
      <c r="DI527">
        <f>4.008015912</f>
        <v>4.0080159120000003</v>
      </c>
      <c r="DJ527">
        <f>5.128204975</f>
        <v>5.1282049750000001</v>
      </c>
      <c r="DK527">
        <f>4.291845365</f>
        <v>4.2918453650000004</v>
      </c>
      <c r="DL527">
        <f>5.882352765</f>
        <v>5.8823527650000003</v>
      </c>
      <c r="DM527">
        <f>6.191950279</f>
        <v>6.1919502790000003</v>
      </c>
      <c r="DN527">
        <f>11.73913083</f>
        <v>11.739130830000001</v>
      </c>
      <c r="DO527">
        <f>10.97561013</f>
        <v>10.97561013</v>
      </c>
      <c r="DP527">
        <f>11.25000038</f>
        <v>11.250000379999999</v>
      </c>
      <c r="DQ527">
        <f>10.07462721</f>
        <v>10.074627209999999</v>
      </c>
      <c r="DR527">
        <f>4.06578564</f>
        <v>4.0657856399999996</v>
      </c>
      <c r="DS527">
        <f>4.095035896</f>
        <v>4.0950358959999997</v>
      </c>
      <c r="DT527">
        <f>4.008521053</f>
        <v>4.0085210529999999</v>
      </c>
      <c r="DU527">
        <f>4.865042646</f>
        <v>4.865042646</v>
      </c>
    </row>
    <row r="528" spans="1:125" x14ac:dyDescent="0.25">
      <c r="A528" t="str">
        <f>"    Sollers PJSC"</f>
        <v xml:space="preserve">    Sollers PJSC</v>
      </c>
      <c r="B528" t="str">
        <f>"SVAV RM Equity"</f>
        <v>SVAV RM Equity</v>
      </c>
      <c r="C528" t="str">
        <f t="shared" si="36"/>
        <v>DV013</v>
      </c>
      <c r="D528" t="str">
        <f t="shared" si="37"/>
        <v>EQY_DVD_YLD_IND</v>
      </c>
      <c r="E528" t="str">
        <f t="shared" si="38"/>
        <v>Dynamic</v>
      </c>
      <c r="F528" t="str">
        <f ca="1">IF(AND(ISNUMBER($F$1188),$B$677=1),$F$1188,HLOOKUP(INDIRECT(ADDRESS(2,COLUMN())),OFFSET($BN$2,0,0,ROW()-1,60),ROW()-1,FALSE))</f>
        <v/>
      </c>
      <c r="G528" t="str">
        <f ca="1">IF(AND(ISNUMBER($G$1188),$B$677=1),$G$1188,HLOOKUP(INDIRECT(ADDRESS(2,COLUMN())),OFFSET($BN$2,0,0,ROW()-1,60),ROW()-1,FALSE))</f>
        <v/>
      </c>
      <c r="H528" t="str">
        <f ca="1">IF(AND(ISNUMBER($H$1188),$B$677=1),$H$1188,HLOOKUP(INDIRECT(ADDRESS(2,COLUMN())),OFFSET($BN$2,0,0,ROW()-1,60),ROW()-1,FALSE))</f>
        <v/>
      </c>
      <c r="I528" t="str">
        <f ca="1">IF(AND(ISNUMBER($I$1188),$B$677=1),$I$1188,HLOOKUP(INDIRECT(ADDRESS(2,COLUMN())),OFFSET($BN$2,0,0,ROW()-1,60),ROW()-1,FALSE))</f>
        <v/>
      </c>
      <c r="J528" t="str">
        <f ca="1">IF(AND(ISNUMBER($J$1188),$B$677=1),$J$1188,HLOOKUP(INDIRECT(ADDRESS(2,COLUMN())),OFFSET($BN$2,0,0,ROW()-1,60),ROW()-1,FALSE))</f>
        <v/>
      </c>
      <c r="K528" t="str">
        <f ca="1">IF(AND(ISNUMBER($K$1188),$B$677=1),$K$1188,HLOOKUP(INDIRECT(ADDRESS(2,COLUMN())),OFFSET($BN$2,0,0,ROW()-1,60),ROW()-1,FALSE))</f>
        <v/>
      </c>
      <c r="L528" t="str">
        <f ca="1">IF(AND(ISNUMBER($L$1188),$B$677=1),$L$1188,HLOOKUP(INDIRECT(ADDRESS(2,COLUMN())),OFFSET($BN$2,0,0,ROW()-1,60),ROW()-1,FALSE))</f>
        <v/>
      </c>
      <c r="M528" t="str">
        <f ca="1">IF(AND(ISNUMBER($M$1188),$B$677=1),$M$1188,HLOOKUP(INDIRECT(ADDRESS(2,COLUMN())),OFFSET($BN$2,0,0,ROW()-1,60),ROW()-1,FALSE))</f>
        <v/>
      </c>
      <c r="N528" t="str">
        <f ca="1">IF(AND(ISNUMBER($N$1188),$B$677=1),$N$1188,HLOOKUP(INDIRECT(ADDRESS(2,COLUMN())),OFFSET($BN$2,0,0,ROW()-1,60),ROW()-1,FALSE))</f>
        <v/>
      </c>
      <c r="O528" t="str">
        <f ca="1">IF(AND(ISNUMBER($O$1188),$B$677=1),$O$1188,HLOOKUP(INDIRECT(ADDRESS(2,COLUMN())),OFFSET($BN$2,0,0,ROW()-1,60),ROW()-1,FALSE))</f>
        <v/>
      </c>
      <c r="P528" t="str">
        <f ca="1">IF(AND(ISNUMBER($P$1188),$B$677=1),$P$1188,HLOOKUP(INDIRECT(ADDRESS(2,COLUMN())),OFFSET($BN$2,0,0,ROW()-1,60),ROW()-1,FALSE))</f>
        <v/>
      </c>
      <c r="Q528" t="str">
        <f ca="1">IF(AND(ISNUMBER($Q$1188),$B$677=1),$Q$1188,HLOOKUP(INDIRECT(ADDRESS(2,COLUMN())),OFFSET($BN$2,0,0,ROW()-1,60),ROW()-1,FALSE))</f>
        <v/>
      </c>
      <c r="R528" t="str">
        <f ca="1">IF(AND(ISNUMBER($R$1188),$B$677=1),$R$1188,HLOOKUP(INDIRECT(ADDRESS(2,COLUMN())),OFFSET($BN$2,0,0,ROW()-1,60),ROW()-1,FALSE))</f>
        <v/>
      </c>
      <c r="S528" t="str">
        <f ca="1">IF(AND(ISNUMBER($S$1188),$B$677=1),$S$1188,HLOOKUP(INDIRECT(ADDRESS(2,COLUMN())),OFFSET($BN$2,0,0,ROW()-1,60),ROW()-1,FALSE))</f>
        <v/>
      </c>
      <c r="T528" t="str">
        <f ca="1">IF(AND(ISNUMBER($T$1188),$B$677=1),$T$1188,HLOOKUP(INDIRECT(ADDRESS(2,COLUMN())),OFFSET($BN$2,0,0,ROW()-1,60),ROW()-1,FALSE))</f>
        <v/>
      </c>
      <c r="U528">
        <f ca="1">IF(AND(ISNUMBER($U$1188),$B$677=1),$U$1188,HLOOKUP(INDIRECT(ADDRESS(2,COLUMN())),OFFSET($BN$2,0,0,ROW()-1,60),ROW()-1,FALSE))</f>
        <v>11.671111209999999</v>
      </c>
      <c r="V528">
        <f ca="1">IF(AND(ISNUMBER($V$1188),$B$677=1),$V$1188,HLOOKUP(INDIRECT(ADDRESS(2,COLUMN())),OFFSET($BN$2,0,0,ROW()-1,60),ROW()-1,FALSE))</f>
        <v>14.50828742</v>
      </c>
      <c r="W528">
        <f ca="1">IF(AND(ISNUMBER($W$1188),$B$677=1),$W$1188,HLOOKUP(INDIRECT(ADDRESS(2,COLUMN())),OFFSET($BN$2,0,0,ROW()-1,60),ROW()-1,FALSE))</f>
        <v>15.00571442</v>
      </c>
      <c r="X528">
        <f ca="1">IF(AND(ISNUMBER($X$1188),$B$677=1),$X$1188,HLOOKUP(INDIRECT(ADDRESS(2,COLUMN())),OFFSET($BN$2,0,0,ROW()-1,60),ROW()-1,FALSE))</f>
        <v>11.449749389999999</v>
      </c>
      <c r="Y528">
        <f ca="1">IF(AND(ISNUMBER($Y$1188),$B$677=1),$Y$1188,HLOOKUP(INDIRECT(ADDRESS(2,COLUMN())),OFFSET($BN$2,0,0,ROW()-1,60),ROW()-1,FALSE))</f>
        <v>8.8268908330000002</v>
      </c>
      <c r="Z528">
        <f ca="1">IF(AND(ISNUMBER($Z$1188),$B$677=1),$Z$1188,HLOOKUP(INDIRECT(ADDRESS(2,COLUMN())),OFFSET($BN$2,0,0,ROW()-1,60),ROW()-1,FALSE))</f>
        <v>10.512410020000001</v>
      </c>
      <c r="AA528">
        <f ca="1">IF(AND(ISNUMBER($AA$1188),$B$677=1),$AA$1188,HLOOKUP(INDIRECT(ADDRESS(2,COLUMN())),OFFSET($BN$2,0,0,ROW()-1,60),ROW()-1,FALSE))</f>
        <v>6.1477233360000003</v>
      </c>
      <c r="AB528">
        <f ca="1">IF(AND(ISNUMBER($AB$1188),$B$677=1),$AB$1188,HLOOKUP(INDIRECT(ADDRESS(2,COLUMN())),OFFSET($BN$2,0,0,ROW()-1,60),ROW()-1,FALSE))</f>
        <v>7.7167206080000001</v>
      </c>
      <c r="AC528">
        <f ca="1">IF(AND(ISNUMBER($AC$1188),$B$677=1),$AC$1188,HLOOKUP(INDIRECT(ADDRESS(2,COLUMN())),OFFSET($BN$2,0,0,ROW()-1,60),ROW()-1,FALSE))</f>
        <v>7.3930180820000002</v>
      </c>
      <c r="AD528" t="str">
        <f ca="1">IF(AND(ISNUMBER($AD$1188),$B$677=1),$AD$1188,HLOOKUP(INDIRECT(ADDRESS(2,COLUMN())),OFFSET($BN$2,0,0,ROW()-1,60),ROW()-1,FALSE))</f>
        <v/>
      </c>
      <c r="AE528" t="str">
        <f ca="1">IF(AND(ISNUMBER($AE$1188),$B$677=1),$AE$1188,HLOOKUP(INDIRECT(ADDRESS(2,COLUMN())),OFFSET($BN$2,0,0,ROW()-1,60),ROW()-1,FALSE))</f>
        <v/>
      </c>
      <c r="AF528" t="str">
        <f ca="1">IF(AND(ISNUMBER($AF$1188),$B$677=1),$AF$1188,HLOOKUP(INDIRECT(ADDRESS(2,COLUMN())),OFFSET($BN$2,0,0,ROW()-1,60),ROW()-1,FALSE))</f>
        <v/>
      </c>
      <c r="AG528" t="str">
        <f ca="1">IF(AND(ISNUMBER($AG$1188),$B$677=1),$AG$1188,HLOOKUP(INDIRECT(ADDRESS(2,COLUMN())),OFFSET($BN$2,0,0,ROW()-1,60),ROW()-1,FALSE))</f>
        <v/>
      </c>
      <c r="AH528" t="str">
        <f ca="1">IF(AND(ISNUMBER($AH$1188),$B$677=1),$AH$1188,HLOOKUP(INDIRECT(ADDRESS(2,COLUMN())),OFFSET($BN$2,0,0,ROW()-1,60),ROW()-1,FALSE))</f>
        <v/>
      </c>
      <c r="AI528" t="str">
        <f ca="1">IF(AND(ISNUMBER($AI$1188),$B$677=1),$AI$1188,HLOOKUP(INDIRECT(ADDRESS(2,COLUMN())),OFFSET($BN$2,0,0,ROW()-1,60),ROW()-1,FALSE))</f>
        <v/>
      </c>
      <c r="AJ528" t="str">
        <f ca="1">IF(AND(ISNUMBER($AJ$1188),$B$677=1),$AJ$1188,HLOOKUP(INDIRECT(ADDRESS(2,COLUMN())),OFFSET($BN$2,0,0,ROW()-1,60),ROW()-1,FALSE))</f>
        <v/>
      </c>
      <c r="AK528" t="str">
        <f ca="1">IF(AND(ISNUMBER($AK$1188),$B$677=1),$AK$1188,HLOOKUP(INDIRECT(ADDRESS(2,COLUMN())),OFFSET($BN$2,0,0,ROW()-1,60),ROW()-1,FALSE))</f>
        <v/>
      </c>
      <c r="AL528" t="str">
        <f ca="1">IF(AND(ISNUMBER($AL$1188),$B$677=1),$AL$1188,HLOOKUP(INDIRECT(ADDRESS(2,COLUMN())),OFFSET($BN$2,0,0,ROW()-1,60),ROW()-1,FALSE))</f>
        <v/>
      </c>
      <c r="AM528" t="str">
        <f ca="1">IF(AND(ISNUMBER($AM$1188),$B$677=1),$AM$1188,HLOOKUP(INDIRECT(ADDRESS(2,COLUMN())),OFFSET($BN$2,0,0,ROW()-1,60),ROW()-1,FALSE))</f>
        <v/>
      </c>
      <c r="AN528" t="str">
        <f ca="1">IF(AND(ISNUMBER($AN$1188),$B$677=1),$AN$1188,HLOOKUP(INDIRECT(ADDRESS(2,COLUMN())),OFFSET($BN$2,0,0,ROW()-1,60),ROW()-1,FALSE))</f>
        <v/>
      </c>
      <c r="AO528" t="str">
        <f ca="1">IF(AND(ISNUMBER($AO$1188),$B$677=1),$AO$1188,HLOOKUP(INDIRECT(ADDRESS(2,COLUMN())),OFFSET($BN$2,0,0,ROW()-1,60),ROW()-1,FALSE))</f>
        <v/>
      </c>
      <c r="AP528" t="str">
        <f ca="1">IF(AND(ISNUMBER($AP$1188),$B$677=1),$AP$1188,HLOOKUP(INDIRECT(ADDRESS(2,COLUMN())),OFFSET($BN$2,0,0,ROW()-1,60),ROW()-1,FALSE))</f>
        <v/>
      </c>
      <c r="AQ528" t="str">
        <f ca="1">IF(AND(ISNUMBER($AQ$1188),$B$677=1),$AQ$1188,HLOOKUP(INDIRECT(ADDRESS(2,COLUMN())),OFFSET($BN$2,0,0,ROW()-1,60),ROW()-1,FALSE))</f>
        <v/>
      </c>
      <c r="AR528" t="str">
        <f ca="1">IF(AND(ISNUMBER($AR$1188),$B$677=1),$AR$1188,HLOOKUP(INDIRECT(ADDRESS(2,COLUMN())),OFFSET($BN$2,0,0,ROW()-1,60),ROW()-1,FALSE))</f>
        <v/>
      </c>
      <c r="AS528">
        <f ca="1">IF(AND(ISNUMBER($AS$1188),$B$677=1),$AS$1188,HLOOKUP(INDIRECT(ADDRESS(2,COLUMN())),OFFSET($BN$2,0,0,ROW()-1,60),ROW()-1,FALSE))</f>
        <v>7.0758889089999997</v>
      </c>
      <c r="AT528">
        <f ca="1">IF(AND(ISNUMBER($AT$1188),$B$677=1),$AT$1188,HLOOKUP(INDIRECT(ADDRESS(2,COLUMN())),OFFSET($BN$2,0,0,ROW()-1,60),ROW()-1,FALSE))</f>
        <v>10.96942273</v>
      </c>
      <c r="AU528">
        <f ca="1">IF(AND(ISNUMBER($AU$1188),$B$677=1),$AU$1188,HLOOKUP(INDIRECT(ADDRESS(2,COLUMN())),OFFSET($BN$2,0,0,ROW()-1,60),ROW()-1,FALSE))</f>
        <v>13.06549077</v>
      </c>
      <c r="AV528">
        <f ca="1">IF(AND(ISNUMBER($AV$1188),$B$677=1),$AV$1188,HLOOKUP(INDIRECT(ADDRESS(2,COLUMN())),OFFSET($BN$2,0,0,ROW()-1,60),ROW()-1,FALSE))</f>
        <v>3.8394737239999999</v>
      </c>
      <c r="AW528">
        <f ca="1">IF(AND(ISNUMBER($AW$1188),$B$677=1),$AW$1188,HLOOKUP(INDIRECT(ADDRESS(2,COLUMN())),OFFSET($BN$2,0,0,ROW()-1,60),ROW()-1,FALSE))</f>
        <v>1.9986987780000001</v>
      </c>
      <c r="AX528">
        <f ca="1">IF(AND(ISNUMBER($AX$1188),$B$677=1),$AX$1188,HLOOKUP(INDIRECT(ADDRESS(2,COLUMN())),OFFSET($BN$2,0,0,ROW()-1,60),ROW()-1,FALSE))</f>
        <v>1.3819130049999999</v>
      </c>
      <c r="AY528">
        <f ca="1">IF(AND(ISNUMBER($AY$1188),$B$677=1),$AY$1188,HLOOKUP(INDIRECT(ADDRESS(2,COLUMN())),OFFSET($BN$2,0,0,ROW()-1,60),ROW()-1,FALSE))</f>
        <v>1.480835779</v>
      </c>
      <c r="AZ528">
        <f ca="1">IF(AND(ISNUMBER($AZ$1188),$B$677=1),$AZ$1188,HLOOKUP(INDIRECT(ADDRESS(2,COLUMN())),OFFSET($BN$2,0,0,ROW()-1,60),ROW()-1,FALSE))</f>
        <v>1.615283762</v>
      </c>
      <c r="BA528">
        <f ca="1">IF(AND(ISNUMBER($BA$1188),$B$677=1),$BA$1188,HLOOKUP(INDIRECT(ADDRESS(2,COLUMN())),OFFSET($BN$2,0,0,ROW()-1,60),ROW()-1,FALSE))</f>
        <v>2.2687228080000001</v>
      </c>
      <c r="BB528">
        <f ca="1">IF(AND(ISNUMBER($BB$1188),$B$677=1),$BB$1188,HLOOKUP(INDIRECT(ADDRESS(2,COLUMN())),OFFSET($BN$2,0,0,ROW()-1,60),ROW()-1,FALSE))</f>
        <v>1.6582372940000001</v>
      </c>
      <c r="BC528">
        <f ca="1">IF(AND(ISNUMBER($BC$1188),$B$677=1),$BC$1188,HLOOKUP(INDIRECT(ADDRESS(2,COLUMN())),OFFSET($BN$2,0,0,ROW()-1,60),ROW()-1,FALSE))</f>
        <v>1.728480419</v>
      </c>
      <c r="BD528">
        <f ca="1">IF(AND(ISNUMBER($BD$1188),$B$677=1),$BD$1188,HLOOKUP(INDIRECT(ADDRESS(2,COLUMN())),OFFSET($BN$2,0,0,ROW()-1,60),ROW()-1,FALSE))</f>
        <v>2.5832641390000002</v>
      </c>
      <c r="BE528">
        <f ca="1">IF(AND(ISNUMBER($BE$1188),$B$677=1),$BE$1188,HLOOKUP(INDIRECT(ADDRESS(2,COLUMN())),OFFSET($BN$2,0,0,ROW()-1,60),ROW()-1,FALSE))</f>
        <v>2.6873980230000001</v>
      </c>
      <c r="BF528">
        <f ca="1">IF(AND(ISNUMBER($BF$1188),$B$677=1),$BF$1188,HLOOKUP(INDIRECT(ADDRESS(2,COLUMN())),OFFSET($BN$2,0,0,ROW()-1,60),ROW()-1,FALSE))</f>
        <v>1.654857005</v>
      </c>
      <c r="BG528">
        <f ca="1">IF(AND(ISNUMBER($BG$1188),$B$677=1),$BG$1188,HLOOKUP(INDIRECT(ADDRESS(2,COLUMN())),OFFSET($BN$2,0,0,ROW()-1,60),ROW()-1,FALSE))</f>
        <v>2.0996774130000002</v>
      </c>
      <c r="BH528">
        <f ca="1">IF(AND(ISNUMBER($BH$1188),$B$677=1),$BH$1188,HLOOKUP(INDIRECT(ADDRESS(2,COLUMN())),OFFSET($BN$2,0,0,ROW()-1,60),ROW()-1,FALSE))</f>
        <v>2.0292956499999999</v>
      </c>
      <c r="BI528">
        <f ca="1">IF(AND(ISNUMBER($BI$1188),$B$677=1),$BI$1188,HLOOKUP(INDIRECT(ADDRESS(2,COLUMN())),OFFSET($BN$2,0,0,ROW()-1,60),ROW()-1,FALSE))</f>
        <v>2.6829268289999999</v>
      </c>
      <c r="BJ528" t="str">
        <f ca="1">IF(AND(ISNUMBER($BJ$1188),$B$677=1),$BJ$1188,HLOOKUP(INDIRECT(ADDRESS(2,COLUMN())),OFFSET($BN$2,0,0,ROW()-1,60),ROW()-1,FALSE))</f>
        <v/>
      </c>
      <c r="BK528" t="str">
        <f ca="1">IF(AND(ISNUMBER($BK$1188),$B$677=1),$BK$1188,HLOOKUP(INDIRECT(ADDRESS(2,COLUMN())),OFFSET($BN$2,0,0,ROW()-1,60),ROW()-1,FALSE))</f>
        <v/>
      </c>
      <c r="BL528" t="str">
        <f ca="1">IF(AND(ISNUMBER($BL$1188),$B$677=1),$BL$1188,HLOOKUP(INDIRECT(ADDRESS(2,COLUMN())),OFFSET($BN$2,0,0,ROW()-1,60),ROW()-1,FALSE))</f>
        <v/>
      </c>
      <c r="BM528" t="str">
        <f ca="1">IF(AND(ISNUMBER($BM$1188),$B$677=1),$BM$1188,HLOOKUP(INDIRECT(ADDRESS(2,COLUMN())),OFFSET($BN$2,0,0,ROW()-1,60),ROW()-1,FALSE))</f>
        <v/>
      </c>
      <c r="BN528" t="str">
        <f>""</f>
        <v/>
      </c>
      <c r="BO528" t="str">
        <f>""</f>
        <v/>
      </c>
      <c r="BP528" t="str">
        <f>""</f>
        <v/>
      </c>
      <c r="BQ528" t="str">
        <f>""</f>
        <v/>
      </c>
      <c r="BR528" t="str">
        <f>""</f>
        <v/>
      </c>
      <c r="BS528" t="str">
        <f>""</f>
        <v/>
      </c>
      <c r="BT528" t="str">
        <f>""</f>
        <v/>
      </c>
      <c r="BU528" t="str">
        <f>""</f>
        <v/>
      </c>
      <c r="BV528" t="str">
        <f>""</f>
        <v/>
      </c>
      <c r="BW528" t="str">
        <f>""</f>
        <v/>
      </c>
      <c r="BX528" t="str">
        <f>""</f>
        <v/>
      </c>
      <c r="BY528" t="str">
        <f>""</f>
        <v/>
      </c>
      <c r="BZ528" t="str">
        <f>""</f>
        <v/>
      </c>
      <c r="CA528" t="str">
        <f>""</f>
        <v/>
      </c>
      <c r="CB528" t="str">
        <f>""</f>
        <v/>
      </c>
      <c r="CC528">
        <f>11.67111121</f>
        <v>11.671111209999999</v>
      </c>
      <c r="CD528">
        <f>14.50828742</f>
        <v>14.50828742</v>
      </c>
      <c r="CE528">
        <f>15.00571442</f>
        <v>15.00571442</v>
      </c>
      <c r="CF528">
        <f>11.44974939</f>
        <v>11.449749389999999</v>
      </c>
      <c r="CG528">
        <f>8.826890833</f>
        <v>8.8268908330000002</v>
      </c>
      <c r="CH528">
        <f>10.51241002</f>
        <v>10.512410020000001</v>
      </c>
      <c r="CI528">
        <f>6.147723336</f>
        <v>6.1477233360000003</v>
      </c>
      <c r="CJ528">
        <f>7.716720608</f>
        <v>7.7167206080000001</v>
      </c>
      <c r="CK528">
        <f>7.393018082</f>
        <v>7.3930180820000002</v>
      </c>
      <c r="CL528" t="str">
        <f>""</f>
        <v/>
      </c>
      <c r="CM528" t="str">
        <f>""</f>
        <v/>
      </c>
      <c r="CN528" t="str">
        <f>""</f>
        <v/>
      </c>
      <c r="CO528" t="str">
        <f>""</f>
        <v/>
      </c>
      <c r="CP528" t="str">
        <f>""</f>
        <v/>
      </c>
      <c r="CQ528" t="str">
        <f>""</f>
        <v/>
      </c>
      <c r="CR528" t="str">
        <f>""</f>
        <v/>
      </c>
      <c r="CS528" t="str">
        <f>""</f>
        <v/>
      </c>
      <c r="CT528" t="str">
        <f>""</f>
        <v/>
      </c>
      <c r="CU528" t="str">
        <f>""</f>
        <v/>
      </c>
      <c r="CV528" t="str">
        <f>""</f>
        <v/>
      </c>
      <c r="CW528" t="str">
        <f>""</f>
        <v/>
      </c>
      <c r="CX528" t="str">
        <f>""</f>
        <v/>
      </c>
      <c r="CY528" t="str">
        <f>""</f>
        <v/>
      </c>
      <c r="CZ528" t="str">
        <f>""</f>
        <v/>
      </c>
      <c r="DA528">
        <f>7.075888909</f>
        <v>7.0758889089999997</v>
      </c>
      <c r="DB528">
        <f>10.96942273</f>
        <v>10.96942273</v>
      </c>
      <c r="DC528">
        <f>13.06549077</f>
        <v>13.06549077</v>
      </c>
      <c r="DD528">
        <f>3.839473724</f>
        <v>3.8394737239999999</v>
      </c>
      <c r="DE528">
        <f>1.998698778</f>
        <v>1.9986987780000001</v>
      </c>
      <c r="DF528">
        <f>1.381913005</f>
        <v>1.3819130049999999</v>
      </c>
      <c r="DG528">
        <f>1.480835779</f>
        <v>1.480835779</v>
      </c>
      <c r="DH528">
        <f>1.615283762</f>
        <v>1.615283762</v>
      </c>
      <c r="DI528">
        <f>2.268722808</f>
        <v>2.2687228080000001</v>
      </c>
      <c r="DJ528">
        <f>1.658237294</f>
        <v>1.6582372940000001</v>
      </c>
      <c r="DK528">
        <f>1.728480419</f>
        <v>1.728480419</v>
      </c>
      <c r="DL528">
        <f>2.583264139</f>
        <v>2.5832641390000002</v>
      </c>
      <c r="DM528">
        <f>2.687398023</f>
        <v>2.6873980230000001</v>
      </c>
      <c r="DN528">
        <f>1.654857005</f>
        <v>1.654857005</v>
      </c>
      <c r="DO528">
        <f>2.099677413</f>
        <v>2.0996774130000002</v>
      </c>
      <c r="DP528">
        <f>2.02929565</f>
        <v>2.0292956499999999</v>
      </c>
      <c r="DQ528">
        <f>2.682926829</f>
        <v>2.6829268289999999</v>
      </c>
      <c r="DR528" t="str">
        <f>""</f>
        <v/>
      </c>
      <c r="DS528" t="str">
        <f>""</f>
        <v/>
      </c>
      <c r="DT528" t="str">
        <f>""</f>
        <v/>
      </c>
      <c r="DU528" t="str">
        <f>""</f>
        <v/>
      </c>
    </row>
    <row r="529" spans="1:125" x14ac:dyDescent="0.25">
      <c r="A529" t="str">
        <f>"    Ssangyong Motor Co"</f>
        <v xml:space="preserve">    Ssangyong Motor Co</v>
      </c>
      <c r="B529" t="str">
        <f>"003620 KS Equity"</f>
        <v>003620 KS Equity</v>
      </c>
      <c r="C529" t="str">
        <f t="shared" si="36"/>
        <v>DV013</v>
      </c>
      <c r="D529" t="str">
        <f t="shared" si="37"/>
        <v>EQY_DVD_YLD_IND</v>
      </c>
      <c r="E529" t="str">
        <f t="shared" si="38"/>
        <v>Dynamic</v>
      </c>
      <c r="F529" t="str">
        <f ca="1">IF(AND(ISNUMBER($F$1189),$B$677=1),$F$1189,HLOOKUP(INDIRECT(ADDRESS(2,COLUMN())),OFFSET($BN$2,0,0,ROW()-1,60),ROW()-1,FALSE))</f>
        <v/>
      </c>
      <c r="G529" t="str">
        <f ca="1">IF(AND(ISNUMBER($G$1189),$B$677=1),$G$1189,HLOOKUP(INDIRECT(ADDRESS(2,COLUMN())),OFFSET($BN$2,0,0,ROW()-1,60),ROW()-1,FALSE))</f>
        <v/>
      </c>
      <c r="H529" t="str">
        <f ca="1">IF(AND(ISNUMBER($H$1189),$B$677=1),$H$1189,HLOOKUP(INDIRECT(ADDRESS(2,COLUMN())),OFFSET($BN$2,0,0,ROW()-1,60),ROW()-1,FALSE))</f>
        <v/>
      </c>
      <c r="I529" t="str">
        <f ca="1">IF(AND(ISNUMBER($I$1189),$B$677=1),$I$1189,HLOOKUP(INDIRECT(ADDRESS(2,COLUMN())),OFFSET($BN$2,0,0,ROW()-1,60),ROW()-1,FALSE))</f>
        <v/>
      </c>
      <c r="J529" t="str">
        <f ca="1">IF(AND(ISNUMBER($J$1189),$B$677=1),$J$1189,HLOOKUP(INDIRECT(ADDRESS(2,COLUMN())),OFFSET($BN$2,0,0,ROW()-1,60),ROW()-1,FALSE))</f>
        <v/>
      </c>
      <c r="K529" t="str">
        <f ca="1">IF(AND(ISNUMBER($K$1189),$B$677=1),$K$1189,HLOOKUP(INDIRECT(ADDRESS(2,COLUMN())),OFFSET($BN$2,0,0,ROW()-1,60),ROW()-1,FALSE))</f>
        <v/>
      </c>
      <c r="L529" t="str">
        <f ca="1">IF(AND(ISNUMBER($L$1189),$B$677=1),$L$1189,HLOOKUP(INDIRECT(ADDRESS(2,COLUMN())),OFFSET($BN$2,0,0,ROW()-1,60),ROW()-1,FALSE))</f>
        <v/>
      </c>
      <c r="M529" t="str">
        <f ca="1">IF(AND(ISNUMBER($M$1189),$B$677=1),$M$1189,HLOOKUP(INDIRECT(ADDRESS(2,COLUMN())),OFFSET($BN$2,0,0,ROW()-1,60),ROW()-1,FALSE))</f>
        <v/>
      </c>
      <c r="N529" t="str">
        <f ca="1">IF(AND(ISNUMBER($N$1189),$B$677=1),$N$1189,HLOOKUP(INDIRECT(ADDRESS(2,COLUMN())),OFFSET($BN$2,0,0,ROW()-1,60),ROW()-1,FALSE))</f>
        <v/>
      </c>
      <c r="O529" t="str">
        <f ca="1">IF(AND(ISNUMBER($O$1189),$B$677=1),$O$1189,HLOOKUP(INDIRECT(ADDRESS(2,COLUMN())),OFFSET($BN$2,0,0,ROW()-1,60),ROW()-1,FALSE))</f>
        <v/>
      </c>
      <c r="P529" t="str">
        <f ca="1">IF(AND(ISNUMBER($P$1189),$B$677=1),$P$1189,HLOOKUP(INDIRECT(ADDRESS(2,COLUMN())),OFFSET($BN$2,0,0,ROW()-1,60),ROW()-1,FALSE))</f>
        <v/>
      </c>
      <c r="Q529" t="str">
        <f ca="1">IF(AND(ISNUMBER($Q$1189),$B$677=1),$Q$1189,HLOOKUP(INDIRECT(ADDRESS(2,COLUMN())),OFFSET($BN$2,0,0,ROW()-1,60),ROW()-1,FALSE))</f>
        <v/>
      </c>
      <c r="R529" t="str">
        <f ca="1">IF(AND(ISNUMBER($R$1189),$B$677=1),$R$1189,HLOOKUP(INDIRECT(ADDRESS(2,COLUMN())),OFFSET($BN$2,0,0,ROW()-1,60),ROW()-1,FALSE))</f>
        <v/>
      </c>
      <c r="S529" t="str">
        <f ca="1">IF(AND(ISNUMBER($S$1189),$B$677=1),$S$1189,HLOOKUP(INDIRECT(ADDRESS(2,COLUMN())),OFFSET($BN$2,0,0,ROW()-1,60),ROW()-1,FALSE))</f>
        <v/>
      </c>
      <c r="T529" t="str">
        <f ca="1">IF(AND(ISNUMBER($T$1189),$B$677=1),$T$1189,HLOOKUP(INDIRECT(ADDRESS(2,COLUMN())),OFFSET($BN$2,0,0,ROW()-1,60),ROW()-1,FALSE))</f>
        <v/>
      </c>
      <c r="U529" t="str">
        <f ca="1">IF(AND(ISNUMBER($U$1189),$B$677=1),$U$1189,HLOOKUP(INDIRECT(ADDRESS(2,COLUMN())),OFFSET($BN$2,0,0,ROW()-1,60),ROW()-1,FALSE))</f>
        <v/>
      </c>
      <c r="V529" t="str">
        <f ca="1">IF(AND(ISNUMBER($V$1189),$B$677=1),$V$1189,HLOOKUP(INDIRECT(ADDRESS(2,COLUMN())),OFFSET($BN$2,0,0,ROW()-1,60),ROW()-1,FALSE))</f>
        <v/>
      </c>
      <c r="W529" t="str">
        <f ca="1">IF(AND(ISNUMBER($W$1189),$B$677=1),$W$1189,HLOOKUP(INDIRECT(ADDRESS(2,COLUMN())),OFFSET($BN$2,0,0,ROW()-1,60),ROW()-1,FALSE))</f>
        <v/>
      </c>
      <c r="X529" t="str">
        <f ca="1">IF(AND(ISNUMBER($X$1189),$B$677=1),$X$1189,HLOOKUP(INDIRECT(ADDRESS(2,COLUMN())),OFFSET($BN$2,0,0,ROW()-1,60),ROW()-1,FALSE))</f>
        <v/>
      </c>
      <c r="Y529" t="str">
        <f ca="1">IF(AND(ISNUMBER($Y$1189),$B$677=1),$Y$1189,HLOOKUP(INDIRECT(ADDRESS(2,COLUMN())),OFFSET($BN$2,0,0,ROW()-1,60),ROW()-1,FALSE))</f>
        <v/>
      </c>
      <c r="Z529" t="str">
        <f ca="1">IF(AND(ISNUMBER($Z$1189),$B$677=1),$Z$1189,HLOOKUP(INDIRECT(ADDRESS(2,COLUMN())),OFFSET($BN$2,0,0,ROW()-1,60),ROW()-1,FALSE))</f>
        <v/>
      </c>
      <c r="AA529" t="str">
        <f ca="1">IF(AND(ISNUMBER($AA$1189),$B$677=1),$AA$1189,HLOOKUP(INDIRECT(ADDRESS(2,COLUMN())),OFFSET($BN$2,0,0,ROW()-1,60),ROW()-1,FALSE))</f>
        <v/>
      </c>
      <c r="AB529" t="str">
        <f ca="1">IF(AND(ISNUMBER($AB$1189),$B$677=1),$AB$1189,HLOOKUP(INDIRECT(ADDRESS(2,COLUMN())),OFFSET($BN$2,0,0,ROW()-1,60),ROW()-1,FALSE))</f>
        <v/>
      </c>
      <c r="AC529" t="str">
        <f ca="1">IF(AND(ISNUMBER($AC$1189),$B$677=1),$AC$1189,HLOOKUP(INDIRECT(ADDRESS(2,COLUMN())),OFFSET($BN$2,0,0,ROW()-1,60),ROW()-1,FALSE))</f>
        <v/>
      </c>
      <c r="AD529" t="str">
        <f ca="1">IF(AND(ISNUMBER($AD$1189),$B$677=1),$AD$1189,HLOOKUP(INDIRECT(ADDRESS(2,COLUMN())),OFFSET($BN$2,0,0,ROW()-1,60),ROW()-1,FALSE))</f>
        <v/>
      </c>
      <c r="AE529" t="str">
        <f ca="1">IF(AND(ISNUMBER($AE$1189),$B$677=1),$AE$1189,HLOOKUP(INDIRECT(ADDRESS(2,COLUMN())),OFFSET($BN$2,0,0,ROW()-1,60),ROW()-1,FALSE))</f>
        <v/>
      </c>
      <c r="AF529" t="str">
        <f ca="1">IF(AND(ISNUMBER($AF$1189),$B$677=1),$AF$1189,HLOOKUP(INDIRECT(ADDRESS(2,COLUMN())),OFFSET($BN$2,0,0,ROW()-1,60),ROW()-1,FALSE))</f>
        <v/>
      </c>
      <c r="AG529" t="str">
        <f ca="1">IF(AND(ISNUMBER($AG$1189),$B$677=1),$AG$1189,HLOOKUP(INDIRECT(ADDRESS(2,COLUMN())),OFFSET($BN$2,0,0,ROW()-1,60),ROW()-1,FALSE))</f>
        <v/>
      </c>
      <c r="AH529" t="str">
        <f ca="1">IF(AND(ISNUMBER($AH$1189),$B$677=1),$AH$1189,HLOOKUP(INDIRECT(ADDRESS(2,COLUMN())),OFFSET($BN$2,0,0,ROW()-1,60),ROW()-1,FALSE))</f>
        <v/>
      </c>
      <c r="AI529" t="str">
        <f ca="1">IF(AND(ISNUMBER($AI$1189),$B$677=1),$AI$1189,HLOOKUP(INDIRECT(ADDRESS(2,COLUMN())),OFFSET($BN$2,0,0,ROW()-1,60),ROW()-1,FALSE))</f>
        <v/>
      </c>
      <c r="AJ529" t="str">
        <f ca="1">IF(AND(ISNUMBER($AJ$1189),$B$677=1),$AJ$1189,HLOOKUP(INDIRECT(ADDRESS(2,COLUMN())),OFFSET($BN$2,0,0,ROW()-1,60),ROW()-1,FALSE))</f>
        <v/>
      </c>
      <c r="AK529" t="str">
        <f ca="1">IF(AND(ISNUMBER($AK$1189),$B$677=1),$AK$1189,HLOOKUP(INDIRECT(ADDRESS(2,COLUMN())),OFFSET($BN$2,0,0,ROW()-1,60),ROW()-1,FALSE))</f>
        <v/>
      </c>
      <c r="AL529" t="str">
        <f ca="1">IF(AND(ISNUMBER($AL$1189),$B$677=1),$AL$1189,HLOOKUP(INDIRECT(ADDRESS(2,COLUMN())),OFFSET($BN$2,0,0,ROW()-1,60),ROW()-1,FALSE))</f>
        <v/>
      </c>
      <c r="AM529" t="str">
        <f ca="1">IF(AND(ISNUMBER($AM$1189),$B$677=1),$AM$1189,HLOOKUP(INDIRECT(ADDRESS(2,COLUMN())),OFFSET($BN$2,0,0,ROW()-1,60),ROW()-1,FALSE))</f>
        <v/>
      </c>
      <c r="AN529" t="str">
        <f ca="1">IF(AND(ISNUMBER($AN$1189),$B$677=1),$AN$1189,HLOOKUP(INDIRECT(ADDRESS(2,COLUMN())),OFFSET($BN$2,0,0,ROW()-1,60),ROW()-1,FALSE))</f>
        <v/>
      </c>
      <c r="AO529" t="str">
        <f ca="1">IF(AND(ISNUMBER($AO$1189),$B$677=1),$AO$1189,HLOOKUP(INDIRECT(ADDRESS(2,COLUMN())),OFFSET($BN$2,0,0,ROW()-1,60),ROW()-1,FALSE))</f>
        <v/>
      </c>
      <c r="AP529" t="str">
        <f ca="1">IF(AND(ISNUMBER($AP$1189),$B$677=1),$AP$1189,HLOOKUP(INDIRECT(ADDRESS(2,COLUMN())),OFFSET($BN$2,0,0,ROW()-1,60),ROW()-1,FALSE))</f>
        <v/>
      </c>
      <c r="AQ529" t="str">
        <f ca="1">IF(AND(ISNUMBER($AQ$1189),$B$677=1),$AQ$1189,HLOOKUP(INDIRECT(ADDRESS(2,COLUMN())),OFFSET($BN$2,0,0,ROW()-1,60),ROW()-1,FALSE))</f>
        <v/>
      </c>
      <c r="AR529" t="str">
        <f ca="1">IF(AND(ISNUMBER($AR$1189),$B$677=1),$AR$1189,HLOOKUP(INDIRECT(ADDRESS(2,COLUMN())),OFFSET($BN$2,0,0,ROW()-1,60),ROW()-1,FALSE))</f>
        <v/>
      </c>
      <c r="AS529" t="str">
        <f ca="1">IF(AND(ISNUMBER($AS$1189),$B$677=1),$AS$1189,HLOOKUP(INDIRECT(ADDRESS(2,COLUMN())),OFFSET($BN$2,0,0,ROW()-1,60),ROW()-1,FALSE))</f>
        <v/>
      </c>
      <c r="AT529" t="str">
        <f ca="1">IF(AND(ISNUMBER($AT$1189),$B$677=1),$AT$1189,HLOOKUP(INDIRECT(ADDRESS(2,COLUMN())),OFFSET($BN$2,0,0,ROW()-1,60),ROW()-1,FALSE))</f>
        <v/>
      </c>
      <c r="AU529" t="str">
        <f ca="1">IF(AND(ISNUMBER($AU$1189),$B$677=1),$AU$1189,HLOOKUP(INDIRECT(ADDRESS(2,COLUMN())),OFFSET($BN$2,0,0,ROW()-1,60),ROW()-1,FALSE))</f>
        <v/>
      </c>
      <c r="AV529" t="str">
        <f ca="1">IF(AND(ISNUMBER($AV$1189),$B$677=1),$AV$1189,HLOOKUP(INDIRECT(ADDRESS(2,COLUMN())),OFFSET($BN$2,0,0,ROW()-1,60),ROW()-1,FALSE))</f>
        <v/>
      </c>
      <c r="AW529" t="str">
        <f ca="1">IF(AND(ISNUMBER($AW$1189),$B$677=1),$AW$1189,HLOOKUP(INDIRECT(ADDRESS(2,COLUMN())),OFFSET($BN$2,0,0,ROW()-1,60),ROW()-1,FALSE))</f>
        <v/>
      </c>
      <c r="AX529" t="str">
        <f ca="1">IF(AND(ISNUMBER($AX$1189),$B$677=1),$AX$1189,HLOOKUP(INDIRECT(ADDRESS(2,COLUMN())),OFFSET($BN$2,0,0,ROW()-1,60),ROW()-1,FALSE))</f>
        <v/>
      </c>
      <c r="AY529" t="str">
        <f ca="1">IF(AND(ISNUMBER($AY$1189),$B$677=1),$AY$1189,HLOOKUP(INDIRECT(ADDRESS(2,COLUMN())),OFFSET($BN$2,0,0,ROW()-1,60),ROW()-1,FALSE))</f>
        <v/>
      </c>
      <c r="AZ529" t="str">
        <f ca="1">IF(AND(ISNUMBER($AZ$1189),$B$677=1),$AZ$1189,HLOOKUP(INDIRECT(ADDRESS(2,COLUMN())),OFFSET($BN$2,0,0,ROW()-1,60),ROW()-1,FALSE))</f>
        <v/>
      </c>
      <c r="BA529" t="str">
        <f ca="1">IF(AND(ISNUMBER($BA$1189),$B$677=1),$BA$1189,HLOOKUP(INDIRECT(ADDRESS(2,COLUMN())),OFFSET($BN$2,0,0,ROW()-1,60),ROW()-1,FALSE))</f>
        <v/>
      </c>
      <c r="BB529" t="str">
        <f ca="1">IF(AND(ISNUMBER($BB$1189),$B$677=1),$BB$1189,HLOOKUP(INDIRECT(ADDRESS(2,COLUMN())),OFFSET($BN$2,0,0,ROW()-1,60),ROW()-1,FALSE))</f>
        <v/>
      </c>
      <c r="BC529" t="str">
        <f ca="1">IF(AND(ISNUMBER($BC$1189),$B$677=1),$BC$1189,HLOOKUP(INDIRECT(ADDRESS(2,COLUMN())),OFFSET($BN$2,0,0,ROW()-1,60),ROW()-1,FALSE))</f>
        <v/>
      </c>
      <c r="BD529" t="str">
        <f ca="1">IF(AND(ISNUMBER($BD$1189),$B$677=1),$BD$1189,HLOOKUP(INDIRECT(ADDRESS(2,COLUMN())),OFFSET($BN$2,0,0,ROW()-1,60),ROW()-1,FALSE))</f>
        <v/>
      </c>
      <c r="BE529" t="str">
        <f ca="1">IF(AND(ISNUMBER($BE$1189),$B$677=1),$BE$1189,HLOOKUP(INDIRECT(ADDRESS(2,COLUMN())),OFFSET($BN$2,0,0,ROW()-1,60),ROW()-1,FALSE))</f>
        <v/>
      </c>
      <c r="BF529" t="str">
        <f ca="1">IF(AND(ISNUMBER($BF$1189),$B$677=1),$BF$1189,HLOOKUP(INDIRECT(ADDRESS(2,COLUMN())),OFFSET($BN$2,0,0,ROW()-1,60),ROW()-1,FALSE))</f>
        <v/>
      </c>
      <c r="BG529" t="str">
        <f ca="1">IF(AND(ISNUMBER($BG$1189),$B$677=1),$BG$1189,HLOOKUP(INDIRECT(ADDRESS(2,COLUMN())),OFFSET($BN$2,0,0,ROW()-1,60),ROW()-1,FALSE))</f>
        <v/>
      </c>
      <c r="BH529" t="str">
        <f ca="1">IF(AND(ISNUMBER($BH$1189),$B$677=1),$BH$1189,HLOOKUP(INDIRECT(ADDRESS(2,COLUMN())),OFFSET($BN$2,0,0,ROW()-1,60),ROW()-1,FALSE))</f>
        <v/>
      </c>
      <c r="BI529" t="str">
        <f ca="1">IF(AND(ISNUMBER($BI$1189),$B$677=1),$BI$1189,HLOOKUP(INDIRECT(ADDRESS(2,COLUMN())),OFFSET($BN$2,0,0,ROW()-1,60),ROW()-1,FALSE))</f>
        <v/>
      </c>
      <c r="BJ529" t="str">
        <f ca="1">IF(AND(ISNUMBER($BJ$1189),$B$677=1),$BJ$1189,HLOOKUP(INDIRECT(ADDRESS(2,COLUMN())),OFFSET($BN$2,0,0,ROW()-1,60),ROW()-1,FALSE))</f>
        <v/>
      </c>
      <c r="BK529" t="str">
        <f ca="1">IF(AND(ISNUMBER($BK$1189),$B$677=1),$BK$1189,HLOOKUP(INDIRECT(ADDRESS(2,COLUMN())),OFFSET($BN$2,0,0,ROW()-1,60),ROW()-1,FALSE))</f>
        <v/>
      </c>
      <c r="BL529" t="str">
        <f ca="1">IF(AND(ISNUMBER($BL$1189),$B$677=1),$BL$1189,HLOOKUP(INDIRECT(ADDRESS(2,COLUMN())),OFFSET($BN$2,0,0,ROW()-1,60),ROW()-1,FALSE))</f>
        <v/>
      </c>
      <c r="BM529" t="str">
        <f ca="1">IF(AND(ISNUMBER($BM$1189),$B$677=1),$BM$1189,HLOOKUP(INDIRECT(ADDRESS(2,COLUMN())),OFFSET($BN$2,0,0,ROW()-1,60),ROW()-1,FALSE))</f>
        <v/>
      </c>
      <c r="BN529" t="str">
        <f>""</f>
        <v/>
      </c>
      <c r="BO529" t="str">
        <f>""</f>
        <v/>
      </c>
      <c r="BP529" t="str">
        <f>""</f>
        <v/>
      </c>
      <c r="BQ529" t="str">
        <f>""</f>
        <v/>
      </c>
      <c r="BR529" t="str">
        <f>""</f>
        <v/>
      </c>
      <c r="BS529" t="str">
        <f>""</f>
        <v/>
      </c>
      <c r="BT529" t="str">
        <f>""</f>
        <v/>
      </c>
      <c r="BU529" t="str">
        <f>""</f>
        <v/>
      </c>
      <c r="BV529" t="str">
        <f>""</f>
        <v/>
      </c>
      <c r="BW529" t="str">
        <f>""</f>
        <v/>
      </c>
      <c r="BX529" t="str">
        <f>""</f>
        <v/>
      </c>
      <c r="BY529" t="str">
        <f>""</f>
        <v/>
      </c>
      <c r="BZ529" t="str">
        <f>""</f>
        <v/>
      </c>
      <c r="CA529" t="str">
        <f>""</f>
        <v/>
      </c>
      <c r="CB529" t="str">
        <f>""</f>
        <v/>
      </c>
      <c r="CC529" t="str">
        <f>""</f>
        <v/>
      </c>
      <c r="CD529" t="str">
        <f>""</f>
        <v/>
      </c>
      <c r="CE529" t="str">
        <f>""</f>
        <v/>
      </c>
      <c r="CF529" t="str">
        <f>""</f>
        <v/>
      </c>
      <c r="CG529" t="str">
        <f>""</f>
        <v/>
      </c>
      <c r="CH529" t="str">
        <f>""</f>
        <v/>
      </c>
      <c r="CI529" t="str">
        <f>""</f>
        <v/>
      </c>
      <c r="CJ529" t="str">
        <f>""</f>
        <v/>
      </c>
      <c r="CK529" t="str">
        <f>""</f>
        <v/>
      </c>
      <c r="CL529" t="str">
        <f>""</f>
        <v/>
      </c>
      <c r="CM529" t="str">
        <f>""</f>
        <v/>
      </c>
      <c r="CN529" t="str">
        <f>""</f>
        <v/>
      </c>
      <c r="CO529" t="str">
        <f>""</f>
        <v/>
      </c>
      <c r="CP529" t="str">
        <f>""</f>
        <v/>
      </c>
      <c r="CQ529" t="str">
        <f>""</f>
        <v/>
      </c>
      <c r="CR529" t="str">
        <f>""</f>
        <v/>
      </c>
      <c r="CS529" t="str">
        <f>""</f>
        <v/>
      </c>
      <c r="CT529" t="str">
        <f>""</f>
        <v/>
      </c>
      <c r="CU529" t="str">
        <f>""</f>
        <v/>
      </c>
      <c r="CV529" t="str">
        <f>""</f>
        <v/>
      </c>
      <c r="CW529" t="str">
        <f>""</f>
        <v/>
      </c>
      <c r="CX529" t="str">
        <f>""</f>
        <v/>
      </c>
      <c r="CY529" t="str">
        <f>""</f>
        <v/>
      </c>
      <c r="CZ529" t="str">
        <f>""</f>
        <v/>
      </c>
      <c r="DA529" t="str">
        <f>""</f>
        <v/>
      </c>
      <c r="DB529" t="str">
        <f>""</f>
        <v/>
      </c>
      <c r="DC529" t="str">
        <f>""</f>
        <v/>
      </c>
      <c r="DD529" t="str">
        <f>""</f>
        <v/>
      </c>
      <c r="DE529" t="str">
        <f>""</f>
        <v/>
      </c>
      <c r="DF529" t="str">
        <f>""</f>
        <v/>
      </c>
      <c r="DG529" t="str">
        <f>""</f>
        <v/>
      </c>
      <c r="DH529" t="str">
        <f>""</f>
        <v/>
      </c>
      <c r="DI529" t="str">
        <f>""</f>
        <v/>
      </c>
      <c r="DJ529" t="str">
        <f>""</f>
        <v/>
      </c>
      <c r="DK529" t="str">
        <f>""</f>
        <v/>
      </c>
      <c r="DL529" t="str">
        <f>""</f>
        <v/>
      </c>
      <c r="DM529" t="str">
        <f>""</f>
        <v/>
      </c>
      <c r="DN529" t="str">
        <f>""</f>
        <v/>
      </c>
      <c r="DO529" t="str">
        <f>""</f>
        <v/>
      </c>
      <c r="DP529" t="str">
        <f>""</f>
        <v/>
      </c>
      <c r="DQ529" t="str">
        <f>""</f>
        <v/>
      </c>
      <c r="DR529" t="str">
        <f>""</f>
        <v/>
      </c>
      <c r="DS529" t="str">
        <f>""</f>
        <v/>
      </c>
      <c r="DT529" t="str">
        <f>""</f>
        <v/>
      </c>
      <c r="DU529" t="str">
        <f>""</f>
        <v/>
      </c>
    </row>
    <row r="530" spans="1:125" x14ac:dyDescent="0.25">
      <c r="A530" t="str">
        <f>"    Subaru Corp"</f>
        <v xml:space="preserve">    Subaru Corp</v>
      </c>
      <c r="B530" t="str">
        <f>"7270 JP Equity"</f>
        <v>7270 JP Equity</v>
      </c>
      <c r="C530" t="str">
        <f t="shared" si="36"/>
        <v>DV013</v>
      </c>
      <c r="D530" t="str">
        <f t="shared" si="37"/>
        <v>EQY_DVD_YLD_IND</v>
      </c>
      <c r="E530" t="str">
        <f t="shared" si="38"/>
        <v>Dynamic</v>
      </c>
      <c r="F530">
        <f ca="1">IF(AND(ISNUMBER($F$1190),$B$677=1),$F$1190,HLOOKUP(INDIRECT(ADDRESS(2,COLUMN())),OFFSET($BN$2,0,0,ROW()-1,60),ROW()-1,FALSE))</f>
        <v>5.0668543279999998</v>
      </c>
      <c r="G530">
        <f ca="1">IF(AND(ISNUMBER($G$1190),$B$677=1),$G$1190,HLOOKUP(INDIRECT(ADDRESS(2,COLUMN())),OFFSET($BN$2,0,0,ROW()-1,60),ROW()-1,FALSE))</f>
        <v>6.1016949150000004</v>
      </c>
      <c r="H530">
        <f ca="1">IF(AND(ISNUMBER($H$1190),$B$677=1),$H$1190,HLOOKUP(INDIRECT(ADDRESS(2,COLUMN())),OFFSET($BN$2,0,0,ROW()-1,60),ROW()-1,FALSE))</f>
        <v>4.1379310340000002</v>
      </c>
      <c r="I530">
        <f ca="1">IF(AND(ISNUMBER($I$1190),$B$677=1),$I$1190,HLOOKUP(INDIRECT(ADDRESS(2,COLUMN())),OFFSET($BN$2,0,0,ROW()-1,60),ROW()-1,FALSE))</f>
        <v>4.4651162790000001</v>
      </c>
      <c r="J530">
        <f ca="1">IF(AND(ISNUMBER($J$1190),$B$677=1),$J$1190,HLOOKUP(INDIRECT(ADDRESS(2,COLUMN())),OFFSET($BN$2,0,0,ROW()-1,60),ROW()-1,FALSE))</f>
        <v>4.1296243190000004</v>
      </c>
      <c r="K530">
        <f ca="1">IF(AND(ISNUMBER($K$1190),$B$677=1),$K$1190,HLOOKUP(INDIRECT(ADDRESS(2,COLUMN())),OFFSET($BN$2,0,0,ROW()-1,60),ROW()-1,FALSE))</f>
        <v>4.0189785100000002</v>
      </c>
      <c r="L530">
        <f ca="1">IF(AND(ISNUMBER($L$1190),$B$677=1),$L$1190,HLOOKUP(INDIRECT(ADDRESS(2,COLUMN())),OFFSET($BN$2,0,0,ROW()-1,60),ROW()-1,FALSE))</f>
        <v>3.5467980300000002</v>
      </c>
      <c r="M530">
        <f ca="1">IF(AND(ISNUMBER($M$1190),$B$677=1),$M$1190,HLOOKUP(INDIRECT(ADDRESS(2,COLUMN())),OFFSET($BN$2,0,0,ROW()-1,60),ROW()-1,FALSE))</f>
        <v>3.8034865290000002</v>
      </c>
      <c r="N530">
        <f ca="1">IF(AND(ISNUMBER($N$1190),$B$677=1),$N$1190,HLOOKUP(INDIRECT(ADDRESS(2,COLUMN())),OFFSET($BN$2,0,0,ROW()-1,60),ROW()-1,FALSE))</f>
        <v>3.5268185160000001</v>
      </c>
      <c r="O530">
        <f ca="1">IF(AND(ISNUMBER($O$1190),$B$677=1),$O$1190,HLOOKUP(INDIRECT(ADDRESS(2,COLUMN())),OFFSET($BN$2,0,0,ROW()-1,60),ROW()-1,FALSE))</f>
        <v>3.0176026820000001</v>
      </c>
      <c r="P530">
        <f ca="1">IF(AND(ISNUMBER($P$1190),$B$677=1),$P$1190,HLOOKUP(INDIRECT(ADDRESS(2,COLUMN())),OFFSET($BN$2,0,0,ROW()-1,60),ROW()-1,FALSE))</f>
        <v>3.8348868180000002</v>
      </c>
      <c r="Q530">
        <f ca="1">IF(AND(ISNUMBER($Q$1190),$B$677=1),$Q$1190,HLOOKUP(INDIRECT(ADDRESS(2,COLUMN())),OFFSET($BN$2,0,0,ROW()-1,60),ROW()-1,FALSE))</f>
        <v>4.1403105230000001</v>
      </c>
      <c r="R530">
        <f ca="1">IF(AND(ISNUMBER($R$1190),$B$677=1),$R$1190,HLOOKUP(INDIRECT(ADDRESS(2,COLUMN())),OFFSET($BN$2,0,0,ROW()-1,60),ROW()-1,FALSE))</f>
        <v>3.6226415090000001</v>
      </c>
      <c r="S530">
        <f ca="1">IF(AND(ISNUMBER($S$1190),$B$677=1),$S$1190,HLOOKUP(INDIRECT(ADDRESS(2,COLUMN())),OFFSET($BN$2,0,0,ROW()-1,60),ROW()-1,FALSE))</f>
        <v>2.8645315299999998</v>
      </c>
      <c r="T530">
        <f ca="1">IF(AND(ISNUMBER($T$1190),$B$677=1),$T$1190,HLOOKUP(INDIRECT(ADDRESS(2,COLUMN())),OFFSET($BN$2,0,0,ROW()-1,60),ROW()-1,FALSE))</f>
        <v>3.3621293489999999</v>
      </c>
      <c r="U530">
        <f ca="1">IF(AND(ISNUMBER($U$1190),$B$677=1),$U$1190,HLOOKUP(INDIRECT(ADDRESS(2,COLUMN())),OFFSET($BN$2,0,0,ROW()-1,60),ROW()-1,FALSE))</f>
        <v>3.1943212070000002</v>
      </c>
      <c r="V530">
        <f ca="1">IF(AND(ISNUMBER($V$1190),$B$677=1),$V$1190,HLOOKUP(INDIRECT(ADDRESS(2,COLUMN())),OFFSET($BN$2,0,0,ROW()-1,60),ROW()-1,FALSE))</f>
        <v>1.703833626</v>
      </c>
      <c r="W530">
        <f ca="1">IF(AND(ISNUMBER($W$1190),$B$677=1),$W$1190,HLOOKUP(INDIRECT(ADDRESS(2,COLUMN())),OFFSET($BN$2,0,0,ROW()-1,60),ROW()-1,FALSE))</f>
        <v>1.5813953489999999</v>
      </c>
      <c r="X530">
        <f ca="1">IF(AND(ISNUMBER($X$1190),$B$677=1),$X$1190,HLOOKUP(INDIRECT(ADDRESS(2,COLUMN())),OFFSET($BN$2,0,0,ROW()-1,60),ROW()-1,FALSE))</f>
        <v>1.8753447320000001</v>
      </c>
      <c r="Y530">
        <f ca="1">IF(AND(ISNUMBER($Y$1190),$B$677=1),$Y$1190,HLOOKUP(INDIRECT(ADDRESS(2,COLUMN())),OFFSET($BN$2,0,0,ROW()-1,60),ROW()-1,FALSE))</f>
        <v>2.424242424</v>
      </c>
      <c r="Z530">
        <f ca="1">IF(AND(ISNUMBER($Z$1190),$B$677=1),$Z$1190,HLOOKUP(INDIRECT(ADDRESS(2,COLUMN())),OFFSET($BN$2,0,0,ROW()-1,60),ROW()-1,FALSE))</f>
        <v>1.719197708</v>
      </c>
      <c r="AA530">
        <f ca="1">IF(AND(ISNUMBER($AA$1190),$B$677=1),$AA$1190,HLOOKUP(INDIRECT(ADDRESS(2,COLUMN())),OFFSET($BN$2,0,0,ROW()-1,60),ROW()-1,FALSE))</f>
        <v>1.5920398010000001</v>
      </c>
      <c r="AB530">
        <f ca="1">IF(AND(ISNUMBER($AB$1190),$B$677=1),$AB$1190,HLOOKUP(INDIRECT(ADDRESS(2,COLUMN())),OFFSET($BN$2,0,0,ROW()-1,60),ROW()-1,FALSE))</f>
        <v>1.7712177120000001</v>
      </c>
      <c r="AC530">
        <f ca="1">IF(AND(ISNUMBER($AC$1190),$B$677=1),$AC$1190,HLOOKUP(INDIRECT(ADDRESS(2,COLUMN())),OFFSET($BN$2,0,0,ROW()-1,60),ROW()-1,FALSE))</f>
        <v>1.9631901839999999</v>
      </c>
      <c r="AD530">
        <f ca="1">IF(AND(ISNUMBER($AD$1190),$B$677=1),$AD$1190,HLOOKUP(INDIRECT(ADDRESS(2,COLUMN())),OFFSET($BN$2,0,0,ROW()-1,60),ROW()-1,FALSE))</f>
        <v>1.0266940449999999</v>
      </c>
      <c r="AE530">
        <f ca="1">IF(AND(ISNUMBER($AE$1190),$B$677=1),$AE$1190,HLOOKUP(INDIRECT(ADDRESS(2,COLUMN())),OFFSET($BN$2,0,0,ROW()-1,60),ROW()-1,FALSE))</f>
        <v>1.394052045</v>
      </c>
      <c r="AF530">
        <f ca="1">IF(AND(ISNUMBER($AF$1190),$B$677=1),$AF$1190,HLOOKUP(INDIRECT(ADDRESS(2,COLUMN())),OFFSET($BN$2,0,0,ROW()-1,60),ROW()-1,FALSE))</f>
        <v>2.3148148150000001</v>
      </c>
      <c r="AG530">
        <f ca="1">IF(AND(ISNUMBER($AG$1190),$B$677=1),$AG$1190,HLOOKUP(INDIRECT(ADDRESS(2,COLUMN())),OFFSET($BN$2,0,0,ROW()-1,60),ROW()-1,FALSE))</f>
        <v>2.354788069</v>
      </c>
      <c r="AH530">
        <f ca="1">IF(AND(ISNUMBER($AH$1190),$B$677=1),$AH$1190,HLOOKUP(INDIRECT(ADDRESS(2,COLUMN())),OFFSET($BN$2,0,0,ROW()-1,60),ROW()-1,FALSE))</f>
        <v>1.353383459</v>
      </c>
      <c r="AI530">
        <f ca="1">IF(AND(ISNUMBER($AI$1190),$B$677=1),$AI$1190,HLOOKUP(INDIRECT(ADDRESS(2,COLUMN())),OFFSET($BN$2,0,0,ROW()-1,60),ROW()-1,FALSE))</f>
        <v>1.935483871</v>
      </c>
      <c r="AJ530">
        <f ca="1">IF(AND(ISNUMBER($AJ$1190),$B$677=1),$AJ$1190,HLOOKUP(INDIRECT(ADDRESS(2,COLUMN())),OFFSET($BN$2,0,0,ROW()-1,60),ROW()-1,FALSE))</f>
        <v>1.9650655020000001</v>
      </c>
      <c r="AK530">
        <f ca="1">IF(AND(ISNUMBER($AK$1190),$B$677=1),$AK$1190,HLOOKUP(INDIRECT(ADDRESS(2,COLUMN())),OFFSET($BN$2,0,0,ROW()-1,60),ROW()-1,FALSE))</f>
        <v>1.4469453379999999</v>
      </c>
      <c r="AL530">
        <f ca="1">IF(AND(ISNUMBER($AL$1190),$B$677=1),$AL$1190,HLOOKUP(INDIRECT(ADDRESS(2,COLUMN())),OFFSET($BN$2,0,0,ROW()-1,60),ROW()-1,FALSE))</f>
        <v>1.679104478</v>
      </c>
      <c r="AM530">
        <f ca="1">IF(AND(ISNUMBER($AM$1190),$B$677=1),$AM$1190,HLOOKUP(INDIRECT(ADDRESS(2,COLUMN())),OFFSET($BN$2,0,0,ROW()-1,60),ROW()-1,FALSE))</f>
        <v>1.428571429</v>
      </c>
      <c r="AN530">
        <f ca="1">IF(AND(ISNUMBER($AN$1190),$B$677=1),$AN$1190,HLOOKUP(INDIRECT(ADDRESS(2,COLUMN())),OFFSET($BN$2,0,0,ROW()-1,60),ROW()-1,FALSE))</f>
        <v>1.6917293229999999</v>
      </c>
      <c r="AO530">
        <f ca="1">IF(AND(ISNUMBER($AO$1190),$B$677=1),$AO$1190,HLOOKUP(INDIRECT(ADDRESS(2,COLUMN())),OFFSET($BN$2,0,0,ROW()-1,60),ROW()-1,FALSE))</f>
        <v>1.875</v>
      </c>
      <c r="AP530" t="str">
        <f ca="1">IF(AND(ISNUMBER($AP$1190),$B$677=1),$AP$1190,HLOOKUP(INDIRECT(ADDRESS(2,COLUMN())),OFFSET($BN$2,0,0,ROW()-1,60),ROW()-1,FALSE))</f>
        <v/>
      </c>
      <c r="AQ530" t="str">
        <f ca="1">IF(AND(ISNUMBER($AQ$1190),$B$677=1),$AQ$1190,HLOOKUP(INDIRECT(ADDRESS(2,COLUMN())),OFFSET($BN$2,0,0,ROW()-1,60),ROW()-1,FALSE))</f>
        <v/>
      </c>
      <c r="AR530" t="str">
        <f ca="1">IF(AND(ISNUMBER($AR$1190),$B$677=1),$AR$1190,HLOOKUP(INDIRECT(ADDRESS(2,COLUMN())),OFFSET($BN$2,0,0,ROW()-1,60),ROW()-1,FALSE))</f>
        <v/>
      </c>
      <c r="AS530">
        <f ca="1">IF(AND(ISNUMBER($AS$1190),$B$677=1),$AS$1190,HLOOKUP(INDIRECT(ADDRESS(2,COLUMN())),OFFSET($BN$2,0,0,ROW()-1,60),ROW()-1,FALSE))</f>
        <v>1.046511628</v>
      </c>
      <c r="AT530">
        <f ca="1">IF(AND(ISNUMBER($AT$1190),$B$677=1),$AT$1190,HLOOKUP(INDIRECT(ADDRESS(2,COLUMN())),OFFSET($BN$2,0,0,ROW()-1,60),ROW()-1,FALSE))</f>
        <v>1.397515528</v>
      </c>
      <c r="AU530">
        <f ca="1">IF(AND(ISNUMBER($AU$1190),$B$677=1),$AU$1190,HLOOKUP(INDIRECT(ADDRESS(2,COLUMN())),OFFSET($BN$2,0,0,ROW()-1,60),ROW()-1,FALSE))</f>
        <v>1.8828451879999999</v>
      </c>
      <c r="AV530">
        <f ca="1">IF(AND(ISNUMBER($AV$1190),$B$677=1),$AV$1190,HLOOKUP(INDIRECT(ADDRESS(2,COLUMN())),OFFSET($BN$2,0,0,ROW()-1,60),ROW()-1,FALSE))</f>
        <v>0.86372360800000003</v>
      </c>
      <c r="AW530">
        <f ca="1">IF(AND(ISNUMBER($AW$1190),$B$677=1),$AW$1190,HLOOKUP(INDIRECT(ADDRESS(2,COLUMN())),OFFSET($BN$2,0,0,ROW()-1,60),ROW()-1,FALSE))</f>
        <v>0.86538461499999997</v>
      </c>
      <c r="AX530">
        <f ca="1">IF(AND(ISNUMBER($AX$1190),$B$677=1),$AX$1190,HLOOKUP(INDIRECT(ADDRESS(2,COLUMN())),OFFSET($BN$2,0,0,ROW()-1,60),ROW()-1,FALSE))</f>
        <v>2.1582733809999999</v>
      </c>
      <c r="AY530">
        <f ca="1">IF(AND(ISNUMBER($AY$1190),$B$677=1),$AY$1190,HLOOKUP(INDIRECT(ADDRESS(2,COLUMN())),OFFSET($BN$2,0,0,ROW()-1,60),ROW()-1,FALSE))</f>
        <v>1.724137931</v>
      </c>
      <c r="AZ530">
        <f ca="1">IF(AND(ISNUMBER($AZ$1190),$B$677=1),$AZ$1190,HLOOKUP(INDIRECT(ADDRESS(2,COLUMN())),OFFSET($BN$2,0,0,ROW()-1,60),ROW()-1,FALSE))</f>
        <v>1.7821782180000001</v>
      </c>
      <c r="BA530">
        <f ca="1">IF(AND(ISNUMBER($BA$1190),$B$677=1),$BA$1190,HLOOKUP(INDIRECT(ADDRESS(2,COLUMN())),OFFSET($BN$2,0,0,ROW()-1,60),ROW()-1,FALSE))</f>
        <v>1.5254237289999999</v>
      </c>
      <c r="BB530">
        <f ca="1">IF(AND(ISNUMBER($BB$1190),$B$677=1),$BB$1190,HLOOKUP(INDIRECT(ADDRESS(2,COLUMN())),OFFSET($BN$2,0,0,ROW()-1,60),ROW()-1,FALSE))</f>
        <v>1.4705882349999999</v>
      </c>
      <c r="BC530">
        <f ca="1">IF(AND(ISNUMBER($BC$1190),$B$677=1),$BC$1190,HLOOKUP(INDIRECT(ADDRESS(2,COLUMN())),OFFSET($BN$2,0,0,ROW()-1,60),ROW()-1,FALSE))</f>
        <v>1.47299509</v>
      </c>
      <c r="BD530">
        <f ca="1">IF(AND(ISNUMBER($BD$1190),$B$677=1),$BD$1190,HLOOKUP(INDIRECT(ADDRESS(2,COLUMN())),OFFSET($BN$2,0,0,ROW()-1,60),ROW()-1,FALSE))</f>
        <v>1.3392857140000001</v>
      </c>
      <c r="BE530">
        <f ca="1">IF(AND(ISNUMBER($BE$1190),$B$677=1),$BE$1190,HLOOKUP(INDIRECT(ADDRESS(2,COLUMN())),OFFSET($BN$2,0,0,ROW()-1,60),ROW()-1,FALSE))</f>
        <v>1.34529148</v>
      </c>
      <c r="BF530">
        <f ca="1">IF(AND(ISNUMBER($BF$1190),$B$677=1),$BF$1190,HLOOKUP(INDIRECT(ADDRESS(2,COLUMN())),OFFSET($BN$2,0,0,ROW()-1,60),ROW()-1,FALSE))</f>
        <v>1.300578035</v>
      </c>
      <c r="BG530">
        <f ca="1">IF(AND(ISNUMBER($BG$1190),$B$677=1),$BG$1190,HLOOKUP(INDIRECT(ADDRESS(2,COLUMN())),OFFSET($BN$2,0,0,ROW()-1,60),ROW()-1,FALSE))</f>
        <v>1.40625</v>
      </c>
      <c r="BH530">
        <f ca="1">IF(AND(ISNUMBER($BH$1190),$B$677=1),$BH$1190,HLOOKUP(INDIRECT(ADDRESS(2,COLUMN())),OFFSET($BN$2,0,0,ROW()-1,60),ROW()-1,FALSE))</f>
        <v>1.754385965</v>
      </c>
      <c r="BI530">
        <f ca="1">IF(AND(ISNUMBER($BI$1190),$B$677=1),$BI$1190,HLOOKUP(INDIRECT(ADDRESS(2,COLUMN())),OFFSET($BN$2,0,0,ROW()-1,60),ROW()-1,FALSE))</f>
        <v>1.948051948</v>
      </c>
      <c r="BJ530">
        <f ca="1">IF(AND(ISNUMBER($BJ$1190),$B$677=1),$BJ$1190,HLOOKUP(INDIRECT(ADDRESS(2,COLUMN())),OFFSET($BN$2,0,0,ROW()-1,60),ROW()-1,FALSE))</f>
        <v>1.717557252</v>
      </c>
      <c r="BK530">
        <f ca="1">IF(AND(ISNUMBER($BK$1190),$B$677=1),$BK$1190,HLOOKUP(INDIRECT(ADDRESS(2,COLUMN())),OFFSET($BN$2,0,0,ROW()-1,60),ROW()-1,FALSE))</f>
        <v>1.8</v>
      </c>
      <c r="BL530">
        <f ca="1">IF(AND(ISNUMBER($BL$1190),$B$677=1),$BL$1190,HLOOKUP(INDIRECT(ADDRESS(2,COLUMN())),OFFSET($BN$2,0,0,ROW()-1,60),ROW()-1,FALSE))</f>
        <v>1.6157989230000001</v>
      </c>
      <c r="BM530">
        <f ca="1">IF(AND(ISNUMBER($BM$1190),$B$677=1),$BM$1190,HLOOKUP(INDIRECT(ADDRESS(2,COLUMN())),OFFSET($BN$2,0,0,ROW()-1,60),ROW()-1,FALSE))</f>
        <v>1.4705882349999999</v>
      </c>
      <c r="BN530">
        <f>5.066854328</f>
        <v>5.0668543279999998</v>
      </c>
      <c r="BO530">
        <f>6.101694915</f>
        <v>6.1016949150000004</v>
      </c>
      <c r="BP530">
        <f>4.137931034</f>
        <v>4.1379310340000002</v>
      </c>
      <c r="BQ530">
        <f>4.465116279</f>
        <v>4.4651162790000001</v>
      </c>
      <c r="BR530">
        <f>4.129624319</f>
        <v>4.1296243190000004</v>
      </c>
      <c r="BS530">
        <f>4.01897851</f>
        <v>4.0189785100000002</v>
      </c>
      <c r="BT530">
        <f>3.54679803</f>
        <v>3.5467980300000002</v>
      </c>
      <c r="BU530">
        <f>3.803486529</f>
        <v>3.8034865290000002</v>
      </c>
      <c r="BV530">
        <f>3.526818516</f>
        <v>3.5268185160000001</v>
      </c>
      <c r="BW530">
        <f>3.017602682</f>
        <v>3.0176026820000001</v>
      </c>
      <c r="BX530">
        <f>3.834886818</f>
        <v>3.8348868180000002</v>
      </c>
      <c r="BY530">
        <f>4.140310523</f>
        <v>4.1403105230000001</v>
      </c>
      <c r="BZ530">
        <f>3.622641509</f>
        <v>3.6226415090000001</v>
      </c>
      <c r="CA530">
        <f>2.86453153</f>
        <v>2.8645315299999998</v>
      </c>
      <c r="CB530">
        <f>3.362129349</f>
        <v>3.3621293489999999</v>
      </c>
      <c r="CC530">
        <f>3.194321207</f>
        <v>3.1943212070000002</v>
      </c>
      <c r="CD530">
        <f>1.703833626</f>
        <v>1.703833626</v>
      </c>
      <c r="CE530">
        <f>1.581395349</f>
        <v>1.5813953489999999</v>
      </c>
      <c r="CF530">
        <f>1.875344732</f>
        <v>1.8753447320000001</v>
      </c>
      <c r="CG530">
        <f>2.424242424</f>
        <v>2.424242424</v>
      </c>
      <c r="CH530">
        <f>1.719197708</f>
        <v>1.719197708</v>
      </c>
      <c r="CI530">
        <f>1.592039801</f>
        <v>1.5920398010000001</v>
      </c>
      <c r="CJ530">
        <f>1.771217712</f>
        <v>1.7712177120000001</v>
      </c>
      <c r="CK530">
        <f>1.963190184</f>
        <v>1.9631901839999999</v>
      </c>
      <c r="CL530">
        <f>1.026694045</f>
        <v>1.0266940449999999</v>
      </c>
      <c r="CM530">
        <f>1.394052045</f>
        <v>1.394052045</v>
      </c>
      <c r="CN530">
        <f>2.314814815</f>
        <v>2.3148148150000001</v>
      </c>
      <c r="CO530">
        <f>2.354788069</f>
        <v>2.354788069</v>
      </c>
      <c r="CP530">
        <f>1.353383459</f>
        <v>1.353383459</v>
      </c>
      <c r="CQ530">
        <f>1.935483871</f>
        <v>1.935483871</v>
      </c>
      <c r="CR530">
        <f>1.965065502</f>
        <v>1.9650655020000001</v>
      </c>
      <c r="CS530">
        <f>1.446945338</f>
        <v>1.4469453379999999</v>
      </c>
      <c r="CT530">
        <f>1.679104478</f>
        <v>1.679104478</v>
      </c>
      <c r="CU530">
        <f>1.428571429</f>
        <v>1.428571429</v>
      </c>
      <c r="CV530">
        <f>1.691729323</f>
        <v>1.6917293229999999</v>
      </c>
      <c r="CW530">
        <f>1.875</f>
        <v>1.875</v>
      </c>
      <c r="CX530" t="str">
        <f>""</f>
        <v/>
      </c>
      <c r="CY530" t="str">
        <f>""</f>
        <v/>
      </c>
      <c r="CZ530" t="str">
        <f>""</f>
        <v/>
      </c>
      <c r="DA530">
        <f>1.046511628</f>
        <v>1.046511628</v>
      </c>
      <c r="DB530">
        <f>1.397515528</f>
        <v>1.397515528</v>
      </c>
      <c r="DC530">
        <f>1.882845188</f>
        <v>1.8828451879999999</v>
      </c>
      <c r="DD530">
        <f>0.863723608</f>
        <v>0.86372360800000003</v>
      </c>
      <c r="DE530">
        <f>0.865384615</f>
        <v>0.86538461499999997</v>
      </c>
      <c r="DF530">
        <f>2.158273381</f>
        <v>2.1582733809999999</v>
      </c>
      <c r="DG530">
        <f>1.724137931</f>
        <v>1.724137931</v>
      </c>
      <c r="DH530">
        <f>1.782178218</f>
        <v>1.7821782180000001</v>
      </c>
      <c r="DI530">
        <f>1.525423729</f>
        <v>1.5254237289999999</v>
      </c>
      <c r="DJ530">
        <f>1.470588235</f>
        <v>1.4705882349999999</v>
      </c>
      <c r="DK530">
        <f>1.47299509</f>
        <v>1.47299509</v>
      </c>
      <c r="DL530">
        <f>1.339285714</f>
        <v>1.3392857140000001</v>
      </c>
      <c r="DM530">
        <f>1.34529148</f>
        <v>1.34529148</v>
      </c>
      <c r="DN530">
        <f>1.300578035</f>
        <v>1.300578035</v>
      </c>
      <c r="DO530">
        <f>1.40625</f>
        <v>1.40625</v>
      </c>
      <c r="DP530">
        <f>1.754385965</f>
        <v>1.754385965</v>
      </c>
      <c r="DQ530">
        <f>1.948051948</f>
        <v>1.948051948</v>
      </c>
      <c r="DR530">
        <f>1.717557252</f>
        <v>1.717557252</v>
      </c>
      <c r="DS530">
        <f>1.8</f>
        <v>1.8</v>
      </c>
      <c r="DT530">
        <f>1.615798923</f>
        <v>1.6157989230000001</v>
      </c>
      <c r="DU530">
        <f>1.470588235</f>
        <v>1.4705882349999999</v>
      </c>
    </row>
    <row r="531" spans="1:125" x14ac:dyDescent="0.25">
      <c r="A531" t="str">
        <f>"    Suzuki Motor Corp"</f>
        <v xml:space="preserve">    Suzuki Motor Corp</v>
      </c>
      <c r="B531" t="str">
        <f>"7269 JP Equity"</f>
        <v>7269 JP Equity</v>
      </c>
      <c r="C531" t="str">
        <f t="shared" si="36"/>
        <v>DV013</v>
      </c>
      <c r="D531" t="str">
        <f t="shared" si="37"/>
        <v>EQY_DVD_YLD_IND</v>
      </c>
      <c r="E531" t="str">
        <f t="shared" si="38"/>
        <v>Dynamic</v>
      </c>
      <c r="F531">
        <f ca="1">IF(AND(ISNUMBER($F$1191),$B$677=1),$F$1191,HLOOKUP(INDIRECT(ADDRESS(2,COLUMN())),OFFSET($BN$2,0,0,ROW()-1,60),ROW()-1,FALSE))</f>
        <v>1.280719972</v>
      </c>
      <c r="G531">
        <f ca="1">IF(AND(ISNUMBER($G$1191),$B$677=1),$G$1191,HLOOKUP(INDIRECT(ADDRESS(2,COLUMN())),OFFSET($BN$2,0,0,ROW()-1,60),ROW()-1,FALSE))</f>
        <v>1.329261721</v>
      </c>
      <c r="H531">
        <f ca="1">IF(AND(ISNUMBER($H$1191),$B$677=1),$H$1191,HLOOKUP(INDIRECT(ADDRESS(2,COLUMN())),OFFSET($BN$2,0,0,ROW()-1,60),ROW()-1,FALSE))</f>
        <v>1.1370620769999999</v>
      </c>
      <c r="I531">
        <f ca="1">IF(AND(ISNUMBER($I$1191),$B$677=1),$I$1191,HLOOKUP(INDIRECT(ADDRESS(2,COLUMN())),OFFSET($BN$2,0,0,ROW()-1,60),ROW()-1,FALSE))</f>
        <v>1.209545603</v>
      </c>
      <c r="J531">
        <f ca="1">IF(AND(ISNUMBER($J$1191),$B$677=1),$J$1191,HLOOKUP(INDIRECT(ADDRESS(2,COLUMN())),OFFSET($BN$2,0,0,ROW()-1,60),ROW()-1,FALSE))</f>
        <v>1.2914485170000001</v>
      </c>
      <c r="K531">
        <f ca="1">IF(AND(ISNUMBER($K$1191),$B$677=1),$K$1191,HLOOKUP(INDIRECT(ADDRESS(2,COLUMN())),OFFSET($BN$2,0,0,ROW()-1,60),ROW()-1,FALSE))</f>
        <v>1.1325374960000001</v>
      </c>
      <c r="L531">
        <f ca="1">IF(AND(ISNUMBER($L$1191),$B$677=1),$L$1191,HLOOKUP(INDIRECT(ADDRESS(2,COLUMN())),OFFSET($BN$2,0,0,ROW()-1,60),ROW()-1,FALSE))</f>
        <v>1.253812267</v>
      </c>
      <c r="M531">
        <f ca="1">IF(AND(ISNUMBER($M$1191),$B$677=1),$M$1191,HLOOKUP(INDIRECT(ADDRESS(2,COLUMN())),OFFSET($BN$2,0,0,ROW()-1,60),ROW()-1,FALSE))</f>
        <v>1.3883677299999999</v>
      </c>
      <c r="N531">
        <f ca="1">IF(AND(ISNUMBER($N$1191),$B$677=1),$N$1191,HLOOKUP(INDIRECT(ADDRESS(2,COLUMN())),OFFSET($BN$2,0,0,ROW()-1,60),ROW()-1,FALSE))</f>
        <v>0.95196884500000001</v>
      </c>
      <c r="O531">
        <f ca="1">IF(AND(ISNUMBER($O$1191),$B$677=1),$O$1191,HLOOKUP(INDIRECT(ADDRESS(2,COLUMN())),OFFSET($BN$2,0,0,ROW()-1,60),ROW()-1,FALSE))</f>
        <v>1.069518717</v>
      </c>
      <c r="P531">
        <f ca="1">IF(AND(ISNUMBER($P$1191),$B$677=1),$P$1191,HLOOKUP(INDIRECT(ADDRESS(2,COLUMN())),OFFSET($BN$2,0,0,ROW()-1,60),ROW()-1,FALSE))</f>
        <v>1.30952381</v>
      </c>
      <c r="Q531">
        <f ca="1">IF(AND(ISNUMBER($Q$1191),$B$677=1),$Q$1191,HLOOKUP(INDIRECT(ADDRESS(2,COLUMN())),OFFSET($BN$2,0,0,ROW()-1,60),ROW()-1,FALSE))</f>
        <v>1.597966225</v>
      </c>
      <c r="R531">
        <f ca="1">IF(AND(ISNUMBER($R$1191),$B$677=1),$R$1191,HLOOKUP(INDIRECT(ADDRESS(2,COLUMN())),OFFSET($BN$2,0,0,ROW()-1,60),ROW()-1,FALSE))</f>
        <v>1.062769844</v>
      </c>
      <c r="S531">
        <f ca="1">IF(AND(ISNUMBER($S$1191),$B$677=1),$S$1191,HLOOKUP(INDIRECT(ADDRESS(2,COLUMN())),OFFSET($BN$2,0,0,ROW()-1,60),ROW()-1,FALSE))</f>
        <v>0.86416419099999997</v>
      </c>
      <c r="T531">
        <f ca="1">IF(AND(ISNUMBER($T$1191),$B$677=1),$T$1191,HLOOKUP(INDIRECT(ADDRESS(2,COLUMN())),OFFSET($BN$2,0,0,ROW()-1,60),ROW()-1,FALSE))</f>
        <v>0.87383943200000003</v>
      </c>
      <c r="U531">
        <f ca="1">IF(AND(ISNUMBER($U$1191),$B$677=1),$U$1191,HLOOKUP(INDIRECT(ADDRESS(2,COLUMN())),OFFSET($BN$2,0,0,ROW()-1,60),ROW()-1,FALSE))</f>
        <v>0.77388149900000003</v>
      </c>
      <c r="V531">
        <f ca="1">IF(AND(ISNUMBER($V$1191),$B$677=1),$V$1191,HLOOKUP(INDIRECT(ADDRESS(2,COLUMN())),OFFSET($BN$2,0,0,ROW()-1,60),ROW()-1,FALSE))</f>
        <v>0.74740484399999996</v>
      </c>
      <c r="W531">
        <f ca="1">IF(AND(ISNUMBER($W$1191),$B$677=1),$W$1191,HLOOKUP(INDIRECT(ADDRESS(2,COLUMN())),OFFSET($BN$2,0,0,ROW()-1,60),ROW()-1,FALSE))</f>
        <v>0.74175824199999996</v>
      </c>
      <c r="X531">
        <f ca="1">IF(AND(ISNUMBER($X$1191),$B$677=1),$X$1191,HLOOKUP(INDIRECT(ADDRESS(2,COLUMN())),OFFSET($BN$2,0,0,ROW()-1,60),ROW()-1,FALSE))</f>
        <v>0.74267638599999997</v>
      </c>
      <c r="Y531">
        <f ca="1">IF(AND(ISNUMBER($Y$1191),$B$677=1),$Y$1191,HLOOKUP(INDIRECT(ADDRESS(2,COLUMN())),OFFSET($BN$2,0,0,ROW()-1,60),ROW()-1,FALSE))</f>
        <v>0.85092972</v>
      </c>
      <c r="Z531">
        <f ca="1">IF(AND(ISNUMBER($Z$1191),$B$677=1),$Z$1191,HLOOKUP(INDIRECT(ADDRESS(2,COLUMN())),OFFSET($BN$2,0,0,ROW()-1,60),ROW()-1,FALSE))</f>
        <v>0.89086859699999998</v>
      </c>
      <c r="AA531">
        <f ca="1">IF(AND(ISNUMBER($AA$1191),$B$677=1),$AA$1191,HLOOKUP(INDIRECT(ADDRESS(2,COLUMN())),OFFSET($BN$2,0,0,ROW()-1,60),ROW()-1,FALSE))</f>
        <v>0.84865629399999998</v>
      </c>
      <c r="AB531">
        <f ca="1">IF(AND(ISNUMBER($AB$1191),$B$677=1),$AB$1191,HLOOKUP(INDIRECT(ADDRESS(2,COLUMN())),OFFSET($BN$2,0,0,ROW()-1,60),ROW()-1,FALSE))</f>
        <v>1.0204081629999999</v>
      </c>
      <c r="AC531">
        <f ca="1">IF(AND(ISNUMBER($AC$1191),$B$677=1),$AC$1191,HLOOKUP(INDIRECT(ADDRESS(2,COLUMN())),OFFSET($BN$2,0,0,ROW()-1,60),ROW()-1,FALSE))</f>
        <v>1.0494097069999999</v>
      </c>
      <c r="AD531">
        <f ca="1">IF(AND(ISNUMBER($AD$1191),$B$677=1),$AD$1191,HLOOKUP(INDIRECT(ADDRESS(2,COLUMN())),OFFSET($BN$2,0,0,ROW()-1,60),ROW()-1,FALSE))</f>
        <v>0.85267645700000005</v>
      </c>
      <c r="AE531">
        <f ca="1">IF(AND(ISNUMBER($AE$1191),$B$677=1),$AE$1191,HLOOKUP(INDIRECT(ADDRESS(2,COLUMN())),OFFSET($BN$2,0,0,ROW()-1,60),ROW()-1,FALSE))</f>
        <v>0.80285459400000003</v>
      </c>
      <c r="AF531">
        <f ca="1">IF(AND(ISNUMBER($AF$1191),$B$677=1),$AF$1191,HLOOKUP(INDIRECT(ADDRESS(2,COLUMN())),OFFSET($BN$2,0,0,ROW()-1,60),ROW()-1,FALSE))</f>
        <v>1.1881188119999999</v>
      </c>
      <c r="AG531">
        <f ca="1">IF(AND(ISNUMBER($AG$1191),$B$677=1),$AG$1191,HLOOKUP(INDIRECT(ADDRESS(2,COLUMN())),OFFSET($BN$2,0,0,ROW()-1,60),ROW()-1,FALSE))</f>
        <v>1.110425663</v>
      </c>
      <c r="AH531">
        <f ca="1">IF(AND(ISNUMBER($AH$1191),$B$677=1),$AH$1191,HLOOKUP(INDIRECT(ADDRESS(2,COLUMN())),OFFSET($BN$2,0,0,ROW()-1,60),ROW()-1,FALSE))</f>
        <v>0.758725341</v>
      </c>
      <c r="AI531">
        <f ca="1">IF(AND(ISNUMBER($AI$1191),$B$677=1),$AI$1191,HLOOKUP(INDIRECT(ADDRESS(2,COLUMN())),OFFSET($BN$2,0,0,ROW()-1,60),ROW()-1,FALSE))</f>
        <v>0.94221105500000002</v>
      </c>
      <c r="AJ531">
        <f ca="1">IF(AND(ISNUMBER($AJ$1191),$B$677=1),$AJ$1191,HLOOKUP(INDIRECT(ADDRESS(2,COLUMN())),OFFSET($BN$2,0,0,ROW()-1,60),ROW()-1,FALSE))</f>
        <v>0.87108013900000003</v>
      </c>
      <c r="AK531">
        <f ca="1">IF(AND(ISNUMBER($AK$1191),$B$677=1),$AK$1191,HLOOKUP(INDIRECT(ADDRESS(2,COLUMN())),OFFSET($BN$2,0,0,ROW()-1,60),ROW()-1,FALSE))</f>
        <v>0.83102493099999997</v>
      </c>
      <c r="AL531">
        <f ca="1">IF(AND(ISNUMBER($AL$1191),$B$677=1),$AL$1191,HLOOKUP(INDIRECT(ADDRESS(2,COLUMN())),OFFSET($BN$2,0,0,ROW()-1,60),ROW()-1,FALSE))</f>
        <v>0.69930069900000003</v>
      </c>
      <c r="AM531">
        <f ca="1">IF(AND(ISNUMBER($AM$1191),$B$677=1),$AM$1191,HLOOKUP(INDIRECT(ADDRESS(2,COLUMN())),OFFSET($BN$2,0,0,ROW()-1,60),ROW()-1,FALSE))</f>
        <v>0.65</v>
      </c>
      <c r="AN531">
        <f ca="1">IF(AND(ISNUMBER($AN$1191),$B$677=1),$AN$1191,HLOOKUP(INDIRECT(ADDRESS(2,COLUMN())),OFFSET($BN$2,0,0,ROW()-1,60),ROW()-1,FALSE))</f>
        <v>0.74031890700000003</v>
      </c>
      <c r="AO531">
        <f ca="1">IF(AND(ISNUMBER($AO$1191),$B$677=1),$AO$1191,HLOOKUP(INDIRECT(ADDRESS(2,COLUMN())),OFFSET($BN$2,0,0,ROW()-1,60),ROW()-1,FALSE))</f>
        <v>0.73989755300000004</v>
      </c>
      <c r="AP531">
        <f ca="1">IF(AND(ISNUMBER($AP$1191),$B$677=1),$AP$1191,HLOOKUP(INDIRECT(ADDRESS(2,COLUMN())),OFFSET($BN$2,0,0,ROW()-1,60),ROW()-1,FALSE))</f>
        <v>0.58167716899999999</v>
      </c>
      <c r="AQ531">
        <f ca="1">IF(AND(ISNUMBER($AQ$1191),$B$677=1),$AQ$1191,HLOOKUP(INDIRECT(ADDRESS(2,COLUMN())),OFFSET($BN$2,0,0,ROW()-1,60),ROW()-1,FALSE))</f>
        <v>0.52631578999999995</v>
      </c>
      <c r="AR531">
        <f ca="1">IF(AND(ISNUMBER($AR$1191),$B$677=1),$AR$1191,HLOOKUP(INDIRECT(ADDRESS(2,COLUMN())),OFFSET($BN$2,0,0,ROW()-1,60),ROW()-1,FALSE))</f>
        <v>0.57279236300000003</v>
      </c>
      <c r="AS531">
        <f ca="1">IF(AND(ISNUMBER($AS$1191),$B$677=1),$AS$1191,HLOOKUP(INDIRECT(ADDRESS(2,COLUMN())),OFFSET($BN$2,0,0,ROW()-1,60),ROW()-1,FALSE))</f>
        <v>0.55299539200000003</v>
      </c>
      <c r="AT531">
        <f ca="1">IF(AND(ISNUMBER($AT$1191),$B$677=1),$AT$1191,HLOOKUP(INDIRECT(ADDRESS(2,COLUMN())),OFFSET($BN$2,0,0,ROW()-1,60),ROW()-1,FALSE))</f>
        <v>0.982197667</v>
      </c>
      <c r="AU531">
        <f ca="1">IF(AND(ISNUMBER($AU$1191),$B$677=1),$AU$1191,HLOOKUP(INDIRECT(ADDRESS(2,COLUMN())),OFFSET($BN$2,0,0,ROW()-1,60),ROW()-1,FALSE))</f>
        <v>1.3029315960000001</v>
      </c>
      <c r="AV531">
        <f ca="1">IF(AND(ISNUMBER($AV$1191),$B$677=1),$AV$1191,HLOOKUP(INDIRECT(ADDRESS(2,COLUMN())),OFFSET($BN$2,0,0,ROW()-1,60),ROW()-1,FALSE))</f>
        <v>0.83420229400000001</v>
      </c>
      <c r="AW531">
        <f ca="1">IF(AND(ISNUMBER($AW$1191),$B$677=1),$AW$1191,HLOOKUP(INDIRECT(ADDRESS(2,COLUMN())),OFFSET($BN$2,0,0,ROW()-1,60),ROW()-1,FALSE))</f>
        <v>0.637450199</v>
      </c>
      <c r="AX531">
        <f ca="1">IF(AND(ISNUMBER($AX$1191),$B$677=1),$AX$1191,HLOOKUP(INDIRECT(ADDRESS(2,COLUMN())),OFFSET($BN$2,0,0,ROW()-1,60),ROW()-1,FALSE))</f>
        <v>0.63618290300000002</v>
      </c>
      <c r="AY531">
        <f ca="1">IF(AND(ISNUMBER($AY$1191),$B$677=1),$AY$1191,HLOOKUP(INDIRECT(ADDRESS(2,COLUMN())),OFFSET($BN$2,0,0,ROW()-1,60),ROW()-1,FALSE))</f>
        <v>0.47477744799999999</v>
      </c>
      <c r="AZ531">
        <f ca="1">IF(AND(ISNUMBER($AZ$1191),$B$677=1),$AZ$1191,HLOOKUP(INDIRECT(ADDRESS(2,COLUMN())),OFFSET($BN$2,0,0,ROW()-1,60),ROW()-1,FALSE))</f>
        <v>0.47058823500000002</v>
      </c>
      <c r="BA531">
        <f ca="1">IF(AND(ISNUMBER($BA$1191),$B$677=1),$BA$1191,HLOOKUP(INDIRECT(ADDRESS(2,COLUMN())),OFFSET($BN$2,0,0,ROW()-1,60),ROW()-1,FALSE))</f>
        <v>0.45714285700000001</v>
      </c>
      <c r="BB531">
        <f ca="1">IF(AND(ISNUMBER($BB$1191),$B$677=1),$BB$1191,HLOOKUP(INDIRECT(ADDRESS(2,COLUMN())),OFFSET($BN$2,0,0,ROW()-1,60),ROW()-1,FALSE))</f>
        <v>0.45751634000000002</v>
      </c>
      <c r="BC531">
        <f ca="1">IF(AND(ISNUMBER($BC$1191),$B$677=1),$BC$1191,HLOOKUP(INDIRECT(ADDRESS(2,COLUMN())),OFFSET($BN$2,0,0,ROW()-1,60),ROW()-1,FALSE))</f>
        <v>0.41666666699999999</v>
      </c>
      <c r="BD531">
        <f ca="1">IF(AND(ISNUMBER($BD$1191),$B$677=1),$BD$1191,HLOOKUP(INDIRECT(ADDRESS(2,COLUMN())),OFFSET($BN$2,0,0,ROW()-1,60),ROW()-1,FALSE))</f>
        <v>0.46666666699999998</v>
      </c>
      <c r="BE531">
        <f ca="1">IF(AND(ISNUMBER($BE$1191),$B$677=1),$BE$1191,HLOOKUP(INDIRECT(ADDRESS(2,COLUMN())),OFFSET($BN$2,0,0,ROW()-1,60),ROW()-1,FALSE))</f>
        <v>0.56565656600000003</v>
      </c>
      <c r="BF531">
        <f ca="1">IF(AND(ISNUMBER($BF$1191),$B$677=1),$BF$1191,HLOOKUP(INDIRECT(ADDRESS(2,COLUMN())),OFFSET($BN$2,0,0,ROW()-1,60),ROW()-1,FALSE))</f>
        <v>0.369685767</v>
      </c>
      <c r="BG531">
        <f ca="1">IF(AND(ISNUMBER($BG$1191),$B$677=1),$BG$1191,HLOOKUP(INDIRECT(ADDRESS(2,COLUMN())),OFFSET($BN$2,0,0,ROW()-1,60),ROW()-1,FALSE))</f>
        <v>0.45766590400000001</v>
      </c>
      <c r="BH531">
        <f ca="1">IF(AND(ISNUMBER($BH$1191),$B$677=1),$BH$1191,HLOOKUP(INDIRECT(ADDRESS(2,COLUMN())),OFFSET($BN$2,0,0,ROW()-1,60),ROW()-1,FALSE))</f>
        <v>0.47619047599999997</v>
      </c>
      <c r="BI531">
        <f ca="1">IF(AND(ISNUMBER($BI$1191),$B$677=1),$BI$1191,HLOOKUP(INDIRECT(ADDRESS(2,COLUMN())),OFFSET($BN$2,0,0,ROW()-1,60),ROW()-1,FALSE))</f>
        <v>0.57372346500000004</v>
      </c>
      <c r="BJ531">
        <f ca="1">IF(AND(ISNUMBER($BJ$1191),$B$677=1),$BJ$1191,HLOOKUP(INDIRECT(ADDRESS(2,COLUMN())),OFFSET($BN$2,0,0,ROW()-1,60),ROW()-1,FALSE))</f>
        <v>0.41710114700000001</v>
      </c>
      <c r="BK531">
        <f ca="1">IF(AND(ISNUMBER($BK$1191),$B$677=1),$BK$1191,HLOOKUP(INDIRECT(ADDRESS(2,COLUMN())),OFFSET($BN$2,0,0,ROW()-1,60),ROW()-1,FALSE))</f>
        <v>0.42735042699999998</v>
      </c>
      <c r="BL531">
        <f ca="1">IF(AND(ISNUMBER($BL$1191),$B$677=1),$BL$1191,HLOOKUP(INDIRECT(ADDRESS(2,COLUMN())),OFFSET($BN$2,0,0,ROW()-1,60),ROW()-1,FALSE))</f>
        <v>0.44370493599999999</v>
      </c>
      <c r="BM531">
        <f ca="1">IF(AND(ISNUMBER($BM$1191),$B$677=1),$BM$1191,HLOOKUP(INDIRECT(ADDRESS(2,COLUMN())),OFFSET($BN$2,0,0,ROW()-1,60),ROW()-1,FALSE))</f>
        <v>0.416233091</v>
      </c>
      <c r="BN531">
        <f>1.280719972</f>
        <v>1.280719972</v>
      </c>
      <c r="BO531">
        <f>1.329261721</f>
        <v>1.329261721</v>
      </c>
      <c r="BP531">
        <f>1.137062077</f>
        <v>1.1370620769999999</v>
      </c>
      <c r="BQ531">
        <f>1.209545603</f>
        <v>1.209545603</v>
      </c>
      <c r="BR531">
        <f>1.291448517</f>
        <v>1.2914485170000001</v>
      </c>
      <c r="BS531">
        <f>1.132537496</f>
        <v>1.1325374960000001</v>
      </c>
      <c r="BT531">
        <f>1.253812267</f>
        <v>1.253812267</v>
      </c>
      <c r="BU531">
        <f>1.38836773</f>
        <v>1.3883677299999999</v>
      </c>
      <c r="BV531">
        <f>0.951968845</f>
        <v>0.95196884500000001</v>
      </c>
      <c r="BW531">
        <f>1.069518717</f>
        <v>1.069518717</v>
      </c>
      <c r="BX531">
        <f>1.30952381</f>
        <v>1.30952381</v>
      </c>
      <c r="BY531">
        <f>1.597966225</f>
        <v>1.597966225</v>
      </c>
      <c r="BZ531">
        <f>1.062769844</f>
        <v>1.062769844</v>
      </c>
      <c r="CA531">
        <f>0.864164191</f>
        <v>0.86416419099999997</v>
      </c>
      <c r="CB531">
        <f>0.873839432</f>
        <v>0.87383943200000003</v>
      </c>
      <c r="CC531">
        <f>0.773881499</f>
        <v>0.77388149900000003</v>
      </c>
      <c r="CD531">
        <f>0.747404844</f>
        <v>0.74740484399999996</v>
      </c>
      <c r="CE531">
        <f>0.741758242</f>
        <v>0.74175824199999996</v>
      </c>
      <c r="CF531">
        <f>0.742676386</f>
        <v>0.74267638599999997</v>
      </c>
      <c r="CG531">
        <f>0.85092972</f>
        <v>0.85092972</v>
      </c>
      <c r="CH531">
        <f>0.890868597</f>
        <v>0.89086859699999998</v>
      </c>
      <c r="CI531">
        <f>0.848656294</f>
        <v>0.84865629399999998</v>
      </c>
      <c r="CJ531">
        <f>1.020408163</f>
        <v>1.0204081629999999</v>
      </c>
      <c r="CK531">
        <f>1.049409707</f>
        <v>1.0494097069999999</v>
      </c>
      <c r="CL531">
        <f>0.852676457</f>
        <v>0.85267645700000005</v>
      </c>
      <c r="CM531">
        <f>0.802854594</f>
        <v>0.80285459400000003</v>
      </c>
      <c r="CN531">
        <f>1.188118812</f>
        <v>1.1881188119999999</v>
      </c>
      <c r="CO531">
        <f>1.110425663</f>
        <v>1.110425663</v>
      </c>
      <c r="CP531">
        <f>0.758725341</f>
        <v>0.758725341</v>
      </c>
      <c r="CQ531">
        <f>0.942211055</f>
        <v>0.94221105500000002</v>
      </c>
      <c r="CR531">
        <f>0.871080139</f>
        <v>0.87108013900000003</v>
      </c>
      <c r="CS531">
        <f>0.831024931</f>
        <v>0.83102493099999997</v>
      </c>
      <c r="CT531">
        <f>0.699300699</f>
        <v>0.69930069900000003</v>
      </c>
      <c r="CU531">
        <f>0.65</f>
        <v>0.65</v>
      </c>
      <c r="CV531">
        <f>0.740318907</f>
        <v>0.74031890700000003</v>
      </c>
      <c r="CW531">
        <f>0.739897553</f>
        <v>0.73989755300000004</v>
      </c>
      <c r="CX531">
        <f>0.581677169</f>
        <v>0.58167716899999999</v>
      </c>
      <c r="CY531">
        <f>0.52631579</f>
        <v>0.52631578999999995</v>
      </c>
      <c r="CZ531">
        <f>0.572792363</f>
        <v>0.57279236300000003</v>
      </c>
      <c r="DA531">
        <f>0.552995392</f>
        <v>0.55299539200000003</v>
      </c>
      <c r="DB531">
        <f>0.982197667</f>
        <v>0.982197667</v>
      </c>
      <c r="DC531">
        <f>1.302931596</f>
        <v>1.3029315960000001</v>
      </c>
      <c r="DD531">
        <f>0.834202294</f>
        <v>0.83420229400000001</v>
      </c>
      <c r="DE531">
        <f>0.637450199</f>
        <v>0.637450199</v>
      </c>
      <c r="DF531">
        <f>0.636182903</f>
        <v>0.63618290300000002</v>
      </c>
      <c r="DG531">
        <f>0.474777448</f>
        <v>0.47477744799999999</v>
      </c>
      <c r="DH531">
        <f>0.470588235</f>
        <v>0.47058823500000002</v>
      </c>
      <c r="DI531">
        <f>0.457142857</f>
        <v>0.45714285700000001</v>
      </c>
      <c r="DJ531">
        <f>0.45751634</f>
        <v>0.45751634000000002</v>
      </c>
      <c r="DK531">
        <f>0.416666667</f>
        <v>0.41666666699999999</v>
      </c>
      <c r="DL531">
        <f>0.466666667</f>
        <v>0.46666666699999998</v>
      </c>
      <c r="DM531">
        <f>0.565656566</f>
        <v>0.56565656600000003</v>
      </c>
      <c r="DN531">
        <f>0.369685767</f>
        <v>0.369685767</v>
      </c>
      <c r="DO531">
        <f>0.457665904</f>
        <v>0.45766590400000001</v>
      </c>
      <c r="DP531">
        <f>0.476190476</f>
        <v>0.47619047599999997</v>
      </c>
      <c r="DQ531">
        <f>0.573723465</f>
        <v>0.57372346500000004</v>
      </c>
      <c r="DR531">
        <f>0.417101147</f>
        <v>0.41710114700000001</v>
      </c>
      <c r="DS531">
        <f>0.427350427</f>
        <v>0.42735042699999998</v>
      </c>
      <c r="DT531">
        <f>0.443704936</f>
        <v>0.44370493599999999</v>
      </c>
      <c r="DU531">
        <f>0.416233091</f>
        <v>0.416233091</v>
      </c>
    </row>
    <row r="532" spans="1:125" x14ac:dyDescent="0.25">
      <c r="A532" t="str">
        <f>"    Tata Motors Ltd"</f>
        <v xml:space="preserve">    Tata Motors Ltd</v>
      </c>
      <c r="B532" t="str">
        <f>"TTMT IN Equity"</f>
        <v>TTMT IN Equity</v>
      </c>
      <c r="C532" t="str">
        <f t="shared" si="36"/>
        <v>DV013</v>
      </c>
      <c r="D532" t="str">
        <f t="shared" si="37"/>
        <v>EQY_DVD_YLD_IND</v>
      </c>
      <c r="E532" t="str">
        <f t="shared" si="38"/>
        <v>Dynamic</v>
      </c>
      <c r="F532" t="str">
        <f ca="1">IF(AND(ISNUMBER($F$1192),$B$677=1),$F$1192,HLOOKUP(INDIRECT(ADDRESS(2,COLUMN())),OFFSET($BN$2,0,0,ROW()-1,60),ROW()-1,FALSE))</f>
        <v/>
      </c>
      <c r="G532" t="str">
        <f ca="1">IF(AND(ISNUMBER($G$1192),$B$677=1),$G$1192,HLOOKUP(INDIRECT(ADDRESS(2,COLUMN())),OFFSET($BN$2,0,0,ROW()-1,60),ROW()-1,FALSE))</f>
        <v/>
      </c>
      <c r="H532" t="str">
        <f ca="1">IF(AND(ISNUMBER($H$1192),$B$677=1),$H$1192,HLOOKUP(INDIRECT(ADDRESS(2,COLUMN())),OFFSET($BN$2,0,0,ROW()-1,60),ROW()-1,FALSE))</f>
        <v/>
      </c>
      <c r="I532" t="str">
        <f ca="1">IF(AND(ISNUMBER($I$1192),$B$677=1),$I$1192,HLOOKUP(INDIRECT(ADDRESS(2,COLUMN())),OFFSET($BN$2,0,0,ROW()-1,60),ROW()-1,FALSE))</f>
        <v/>
      </c>
      <c r="J532" t="str">
        <f ca="1">IF(AND(ISNUMBER($J$1192),$B$677=1),$J$1192,HLOOKUP(INDIRECT(ADDRESS(2,COLUMN())),OFFSET($BN$2,0,0,ROW()-1,60),ROW()-1,FALSE))</f>
        <v/>
      </c>
      <c r="K532" t="str">
        <f ca="1">IF(AND(ISNUMBER($K$1192),$B$677=1),$K$1192,HLOOKUP(INDIRECT(ADDRESS(2,COLUMN())),OFFSET($BN$2,0,0,ROW()-1,60),ROW()-1,FALSE))</f>
        <v/>
      </c>
      <c r="L532" t="str">
        <f ca="1">IF(AND(ISNUMBER($L$1192),$B$677=1),$L$1192,HLOOKUP(INDIRECT(ADDRESS(2,COLUMN())),OFFSET($BN$2,0,0,ROW()-1,60),ROW()-1,FALSE))</f>
        <v/>
      </c>
      <c r="M532">
        <f ca="1">IF(AND(ISNUMBER($M$1192),$B$677=1),$M$1192,HLOOKUP(INDIRECT(ADDRESS(2,COLUMN())),OFFSET($BN$2,0,0,ROW()-1,60),ROW()-1,FALSE))</f>
        <v>4.4479039999999997E-2</v>
      </c>
      <c r="N532">
        <f ca="1">IF(AND(ISNUMBER($N$1192),$B$677=1),$N$1192,HLOOKUP(INDIRECT(ADDRESS(2,COLUMN())),OFFSET($BN$2,0,0,ROW()-1,60),ROW()-1,FALSE))</f>
        <v>4.2932274999999999E-2</v>
      </c>
      <c r="O532">
        <f ca="1">IF(AND(ISNUMBER($O$1192),$B$677=1),$O$1192,HLOOKUP(INDIRECT(ADDRESS(2,COLUMN())),OFFSET($BN$2,0,0,ROW()-1,60),ROW()-1,FALSE))</f>
        <v>4.2372882000000001E-2</v>
      </c>
      <c r="P532">
        <f ca="1">IF(AND(ISNUMBER($P$1192),$B$677=1),$P$1192,HLOOKUP(INDIRECT(ADDRESS(2,COLUMN())),OFFSET($BN$2,0,0,ROW()-1,60),ROW()-1,FALSE))</f>
        <v>3.7393662000000001E-2</v>
      </c>
      <c r="Q532">
        <f ca="1">IF(AND(ISNUMBER($Q$1192),$B$677=1),$Q$1192,HLOOKUP(INDIRECT(ADDRESS(2,COLUMN())),OFFSET($BN$2,0,0,ROW()-1,60),ROW()-1,FALSE))</f>
        <v>4.3549266000000003E-2</v>
      </c>
      <c r="R532" t="str">
        <f ca="1">IF(AND(ISNUMBER($R$1192),$B$677=1),$R$1192,HLOOKUP(INDIRECT(ADDRESS(2,COLUMN())),OFFSET($BN$2,0,0,ROW()-1,60),ROW()-1,FALSE))</f>
        <v/>
      </c>
      <c r="S532" t="str">
        <f ca="1">IF(AND(ISNUMBER($S$1192),$B$677=1),$S$1192,HLOOKUP(INDIRECT(ADDRESS(2,COLUMN())),OFFSET($BN$2,0,0,ROW()-1,60),ROW()-1,FALSE))</f>
        <v/>
      </c>
      <c r="T532" t="str">
        <f ca="1">IF(AND(ISNUMBER($T$1192),$B$677=1),$T$1192,HLOOKUP(INDIRECT(ADDRESS(2,COLUMN())),OFFSET($BN$2,0,0,ROW()-1,60),ROW()-1,FALSE))</f>
        <v/>
      </c>
      <c r="U532">
        <f ca="1">IF(AND(ISNUMBER($U$1192),$B$677=1),$U$1192,HLOOKUP(INDIRECT(ADDRESS(2,COLUMN())),OFFSET($BN$2,0,0,ROW()-1,60),ROW()-1,FALSE))</f>
        <v>0.45384770099999999</v>
      </c>
      <c r="V532">
        <f ca="1">IF(AND(ISNUMBER($V$1192),$B$677=1),$V$1192,HLOOKUP(INDIRECT(ADDRESS(2,COLUMN())),OFFSET($BN$2,0,0,ROW()-1,60),ROW()-1,FALSE))</f>
        <v>0.36350417600000001</v>
      </c>
      <c r="W532">
        <f ca="1">IF(AND(ISNUMBER($W$1192),$B$677=1),$W$1192,HLOOKUP(INDIRECT(ADDRESS(2,COLUMN())),OFFSET($BN$2,0,0,ROW()-1,60),ROW()-1,FALSE))</f>
        <v>0.40359196400000003</v>
      </c>
      <c r="X532">
        <f ca="1">IF(AND(ISNUMBER($X$1192),$B$677=1),$X$1192,HLOOKUP(INDIRECT(ADDRESS(2,COLUMN())),OFFSET($BN$2,0,0,ROW()-1,60),ROW()-1,FALSE))</f>
        <v>0.39828735999999998</v>
      </c>
      <c r="Y532">
        <f ca="1">IF(AND(ISNUMBER($Y$1192),$B$677=1),$Y$1192,HLOOKUP(INDIRECT(ADDRESS(2,COLUMN())),OFFSET($BN$2,0,0,ROW()-1,60),ROW()-1,FALSE))</f>
        <v>0.46371434700000003</v>
      </c>
      <c r="Z532">
        <f ca="1">IF(AND(ISNUMBER($Z$1192),$B$677=1),$Z$1192,HLOOKUP(INDIRECT(ADDRESS(2,COLUMN())),OFFSET($BN$2,0,0,ROW()-1,60),ROW()-1,FALSE))</f>
        <v>0.50169320900000003</v>
      </c>
      <c r="AA532">
        <f ca="1">IF(AND(ISNUMBER($AA$1192),$B$677=1),$AA$1192,HLOOKUP(INDIRECT(ADDRESS(2,COLUMN())),OFFSET($BN$2,0,0,ROW()-1,60),ROW()-1,FALSE))</f>
        <v>0.53134962200000002</v>
      </c>
      <c r="AB532">
        <f ca="1">IF(AND(ISNUMBER($AB$1192),$B$677=1),$AB$1192,HLOOKUP(INDIRECT(ADDRESS(2,COLUMN())),OFFSET($BN$2,0,0,ROW()-1,60),ROW()-1,FALSE))</f>
        <v>0.60150375300000003</v>
      </c>
      <c r="AC532">
        <f ca="1">IF(AND(ISNUMBER($AC$1192),$B$677=1),$AC$1192,HLOOKUP(INDIRECT(ADDRESS(2,COLUMN())),OFFSET($BN$2,0,0,ROW()-1,60),ROW()-1,FALSE))</f>
        <v>0.71098470599999997</v>
      </c>
      <c r="AD532">
        <f ca="1">IF(AND(ISNUMBER($AD$1192),$B$677=1),$AD$1192,HLOOKUP(INDIRECT(ADDRESS(2,COLUMN())),OFFSET($BN$2,0,0,ROW()-1,60),ROW()-1,FALSE))</f>
        <v>1.4861601170000001</v>
      </c>
      <c r="AE532">
        <f ca="1">IF(AND(ISNUMBER($AE$1192),$B$677=1),$AE$1192,HLOOKUP(INDIRECT(ADDRESS(2,COLUMN())),OFFSET($BN$2,0,0,ROW()-1,60),ROW()-1,FALSE))</f>
        <v>1.2793858810000001</v>
      </c>
      <c r="AF532">
        <f ca="1">IF(AND(ISNUMBER($AF$1192),$B$677=1),$AF$1192,HLOOKUP(INDIRECT(ADDRESS(2,COLUMN())),OFFSET($BN$2,0,0,ROW()-1,60),ROW()-1,FALSE))</f>
        <v>1.495047638</v>
      </c>
      <c r="AG532">
        <f ca="1">IF(AND(ISNUMBER($AG$1192),$B$677=1),$AG$1192,HLOOKUP(INDIRECT(ADDRESS(2,COLUMN())),OFFSET($BN$2,0,0,ROW()-1,60),ROW()-1,FALSE))</f>
        <v>1.649824688</v>
      </c>
      <c r="AH532">
        <f ca="1">IF(AND(ISNUMBER($AH$1192),$B$677=1),$AH$1192,HLOOKUP(INDIRECT(ADDRESS(2,COLUMN())),OFFSET($BN$2,0,0,ROW()-1,60),ROW()-1,FALSE))</f>
        <v>1.4532243250000001</v>
      </c>
      <c r="AI532">
        <f ca="1">IF(AND(ISNUMBER($AI$1192),$B$677=1),$AI$1192,HLOOKUP(INDIRECT(ADDRESS(2,COLUMN())),OFFSET($BN$2,0,0,ROW()-1,60),ROW()-1,FALSE))</f>
        <v>2.2383883359999999</v>
      </c>
      <c r="AJ532">
        <f ca="1">IF(AND(ISNUMBER($AJ$1192),$B$677=1),$AJ$1192,HLOOKUP(INDIRECT(ADDRESS(2,COLUMN())),OFFSET($BN$2,0,0,ROW()-1,60),ROW()-1,FALSE))</f>
        <v>2.5632809710000002</v>
      </c>
      <c r="AK532">
        <f ca="1">IF(AND(ISNUMBER($AK$1192),$B$677=1),$AK$1192,HLOOKUP(INDIRECT(ADDRESS(2,COLUMN())),OFFSET($BN$2,0,0,ROW()-1,60),ROW()-1,FALSE))</f>
        <v>2.0116676500000001</v>
      </c>
      <c r="AL532">
        <f ca="1">IF(AND(ISNUMBER($AL$1192),$B$677=1),$AL$1192,HLOOKUP(INDIRECT(ADDRESS(2,COLUMN())),OFFSET($BN$2,0,0,ROW()-1,60),ROW()-1,FALSE))</f>
        <v>1.20158608</v>
      </c>
      <c r="AM532">
        <f ca="1">IF(AND(ISNUMBER($AM$1192),$B$677=1),$AM$1192,HLOOKUP(INDIRECT(ADDRESS(2,COLUMN())),OFFSET($BN$2,0,0,ROW()-1,60),ROW()-1,FALSE))</f>
        <v>1.146482198</v>
      </c>
      <c r="AN532">
        <f ca="1">IF(AND(ISNUMBER($AN$1192),$B$677=1),$AN$1192,HLOOKUP(INDIRECT(ADDRESS(2,COLUMN())),OFFSET($BN$2,0,0,ROW()-1,60),ROW()-1,FALSE))</f>
        <v>1.365995796</v>
      </c>
      <c r="AO532">
        <f ca="1">IF(AND(ISNUMBER($AO$1192),$B$677=1),$AO$1192,HLOOKUP(INDIRECT(ADDRESS(2,COLUMN())),OFFSET($BN$2,0,0,ROW()-1,60),ROW()-1,FALSE))</f>
        <v>1.926782252</v>
      </c>
      <c r="AP532">
        <f ca="1">IF(AND(ISNUMBER($AP$1192),$B$677=1),$AP$1192,HLOOKUP(INDIRECT(ADDRESS(2,COLUMN())),OFFSET($BN$2,0,0,ROW()-1,60),ROW()-1,FALSE))</f>
        <v>0.79187015599999999</v>
      </c>
      <c r="AQ532">
        <f ca="1">IF(AND(ISNUMBER($AQ$1192),$B$677=1),$AQ$1192,HLOOKUP(INDIRECT(ADDRESS(2,COLUMN())),OFFSET($BN$2,0,0,ROW()-1,60),ROW()-1,FALSE))</f>
        <v>0.75800646500000002</v>
      </c>
      <c r="AR532">
        <f ca="1">IF(AND(ISNUMBER($AR$1192),$B$677=1),$AR$1192,HLOOKUP(INDIRECT(ADDRESS(2,COLUMN())),OFFSET($BN$2,0,0,ROW()-1,60),ROW()-1,FALSE))</f>
        <v>1.014970849</v>
      </c>
      <c r="AS532">
        <f ca="1">IF(AND(ISNUMBER($AS$1192),$B$677=1),$AS$1192,HLOOKUP(INDIRECT(ADDRESS(2,COLUMN())),OFFSET($BN$2,0,0,ROW()-1,60),ROW()-1,FALSE))</f>
        <v>2.0636286070000001</v>
      </c>
      <c r="AT532">
        <f ca="1">IF(AND(ISNUMBER($AT$1192),$B$677=1),$AT$1192,HLOOKUP(INDIRECT(ADDRESS(2,COLUMN())),OFFSET($BN$2,0,0,ROW()-1,60),ROW()-1,FALSE))</f>
        <v>8.0568245399999991</v>
      </c>
      <c r="AU532">
        <f ca="1">IF(AND(ISNUMBER($AU$1192),$B$677=1),$AU$1192,HLOOKUP(INDIRECT(ADDRESS(2,COLUMN())),OFFSET($BN$2,0,0,ROW()-1,60),ROW()-1,FALSE))</f>
        <v>9.0875537360000003</v>
      </c>
      <c r="AV532">
        <f ca="1">IF(AND(ISNUMBER($AV$1192),$B$677=1),$AV$1192,HLOOKUP(INDIRECT(ADDRESS(2,COLUMN())),OFFSET($BN$2,0,0,ROW()-1,60),ROW()-1,FALSE))</f>
        <v>4.2240345000000001</v>
      </c>
      <c r="AW532">
        <f ca="1">IF(AND(ISNUMBER($AW$1192),$B$677=1),$AW$1192,HLOOKUP(INDIRECT(ADDRESS(2,COLUMN())),OFFSET($BN$2,0,0,ROW()-1,60),ROW()-1,FALSE))</f>
        <v>3.520713567</v>
      </c>
      <c r="AX532">
        <f ca="1">IF(AND(ISNUMBER($AX$1192),$B$677=1),$AX$1192,HLOOKUP(INDIRECT(ADDRESS(2,COLUMN())),OFFSET($BN$2,0,0,ROW()-1,60),ROW()-1,FALSE))</f>
        <v>2.4088646460000001</v>
      </c>
      <c r="AY532">
        <f ca="1">IF(AND(ISNUMBER($AY$1192),$B$677=1),$AY$1192,HLOOKUP(INDIRECT(ADDRESS(2,COLUMN())),OFFSET($BN$2,0,0,ROW()-1,60),ROW()-1,FALSE))</f>
        <v>2.0218358470000002</v>
      </c>
      <c r="AZ532">
        <f ca="1">IF(AND(ISNUMBER($AZ$1192),$B$677=1),$AZ$1192,HLOOKUP(INDIRECT(ADDRESS(2,COLUMN())),OFFSET($BN$2,0,0,ROW()-1,60),ROW()-1,FALSE))</f>
        <v>1.930750438</v>
      </c>
      <c r="BA532">
        <f ca="1">IF(AND(ISNUMBER($BA$1192),$B$677=1),$BA$1192,HLOOKUP(INDIRECT(ADDRESS(2,COLUMN())),OFFSET($BN$2,0,0,ROW()-1,60),ROW()-1,FALSE))</f>
        <v>2.2381378920000001</v>
      </c>
      <c r="BB532">
        <f ca="1">IF(AND(ISNUMBER($BB$1192),$B$677=1),$BB$1192,HLOOKUP(INDIRECT(ADDRESS(2,COLUMN())),OFFSET($BN$2,0,0,ROW()-1,60),ROW()-1,FALSE))</f>
        <v>1.785223778</v>
      </c>
      <c r="BC532">
        <f ca="1">IF(AND(ISNUMBER($BC$1192),$B$677=1),$BC$1192,HLOOKUP(INDIRECT(ADDRESS(2,COLUMN())),OFFSET($BN$2,0,0,ROW()-1,60),ROW()-1,FALSE))</f>
        <v>1.443482073</v>
      </c>
      <c r="BD532">
        <f ca="1">IF(AND(ISNUMBER($BD$1192),$B$677=1),$BD$1192,HLOOKUP(INDIRECT(ADDRESS(2,COLUMN())),OFFSET($BN$2,0,0,ROW()-1,60),ROW()-1,FALSE))</f>
        <v>1.5086456479999999</v>
      </c>
      <c r="BE532">
        <f ca="1">IF(AND(ISNUMBER($BE$1192),$B$677=1),$BE$1192,HLOOKUP(INDIRECT(ADDRESS(2,COLUMN())),OFFSET($BN$2,0,0,ROW()-1,60),ROW()-1,FALSE))</f>
        <v>1.6355286600000001</v>
      </c>
      <c r="BF532">
        <f ca="1">IF(AND(ISNUMBER($BF$1192),$B$677=1),$BF$1192,HLOOKUP(INDIRECT(ADDRESS(2,COLUMN())),OFFSET($BN$2,0,0,ROW()-1,60),ROW()-1,FALSE))</f>
        <v>1.073134077</v>
      </c>
      <c r="BG532">
        <f ca="1">IF(AND(ISNUMBER($BG$1192),$B$677=1),$BG$1192,HLOOKUP(INDIRECT(ADDRESS(2,COLUMN())),OFFSET($BN$2,0,0,ROW()-1,60),ROW()-1,FALSE))</f>
        <v>1.5304560599999999</v>
      </c>
      <c r="BH532">
        <f ca="1">IF(AND(ISNUMBER($BH$1192),$B$677=1),$BH$1192,HLOOKUP(INDIRECT(ADDRESS(2,COLUMN())),OFFSET($BN$2,0,0,ROW()-1,60),ROW()-1,FALSE))</f>
        <v>1.871782853</v>
      </c>
      <c r="BI532">
        <f ca="1">IF(AND(ISNUMBER($BI$1192),$B$677=1),$BI$1192,HLOOKUP(INDIRECT(ADDRESS(2,COLUMN())),OFFSET($BN$2,0,0,ROW()-1,60),ROW()-1,FALSE))</f>
        <v>2.350452437</v>
      </c>
      <c r="BJ532">
        <f ca="1">IF(AND(ISNUMBER($BJ$1192),$B$677=1),$BJ$1192,HLOOKUP(INDIRECT(ADDRESS(2,COLUMN())),OFFSET($BN$2,0,0,ROW()-1,60),ROW()-1,FALSE))</f>
        <v>1.933768411</v>
      </c>
      <c r="BK532">
        <f ca="1">IF(AND(ISNUMBER($BK$1192),$B$677=1),$BK$1192,HLOOKUP(INDIRECT(ADDRESS(2,COLUMN())),OFFSET($BN$2,0,0,ROW()-1,60),ROW()-1,FALSE))</f>
        <v>1.583687997</v>
      </c>
      <c r="BL532">
        <f ca="1">IF(AND(ISNUMBER($BL$1192),$B$677=1),$BL$1192,HLOOKUP(INDIRECT(ADDRESS(2,COLUMN())),OFFSET($BN$2,0,0,ROW()-1,60),ROW()-1,FALSE))</f>
        <v>1.9833890949999999</v>
      </c>
      <c r="BM532">
        <f ca="1">IF(AND(ISNUMBER($BM$1192),$B$677=1),$BM$1192,HLOOKUP(INDIRECT(ADDRESS(2,COLUMN())),OFFSET($BN$2,0,0,ROW()-1,60),ROW()-1,FALSE))</f>
        <v>2.1041556849999998</v>
      </c>
      <c r="BN532" t="str">
        <f>""</f>
        <v/>
      </c>
      <c r="BO532" t="str">
        <f>""</f>
        <v/>
      </c>
      <c r="BP532" t="str">
        <f>""</f>
        <v/>
      </c>
      <c r="BQ532" t="str">
        <f>""</f>
        <v/>
      </c>
      <c r="BR532" t="str">
        <f>""</f>
        <v/>
      </c>
      <c r="BS532" t="str">
        <f>""</f>
        <v/>
      </c>
      <c r="BT532" t="str">
        <f>""</f>
        <v/>
      </c>
      <c r="BU532">
        <f>0.04447904</f>
        <v>4.4479039999999997E-2</v>
      </c>
      <c r="BV532">
        <f>0.042932275</f>
        <v>4.2932274999999999E-2</v>
      </c>
      <c r="BW532">
        <f>0.042372882</f>
        <v>4.2372882000000001E-2</v>
      </c>
      <c r="BX532">
        <f>0.037393662</f>
        <v>3.7393662000000001E-2</v>
      </c>
      <c r="BY532">
        <f>0.043549266</f>
        <v>4.3549266000000003E-2</v>
      </c>
      <c r="BZ532" t="str">
        <f>""</f>
        <v/>
      </c>
      <c r="CA532" t="str">
        <f>""</f>
        <v/>
      </c>
      <c r="CB532" t="str">
        <f>""</f>
        <v/>
      </c>
      <c r="CC532">
        <f>0.453847701</f>
        <v>0.45384770099999999</v>
      </c>
      <c r="CD532">
        <f>0.363504176</f>
        <v>0.36350417600000001</v>
      </c>
      <c r="CE532">
        <f>0.403591964</f>
        <v>0.40359196400000003</v>
      </c>
      <c r="CF532">
        <f>0.39828736</f>
        <v>0.39828735999999998</v>
      </c>
      <c r="CG532">
        <f>0.463714347</f>
        <v>0.46371434700000003</v>
      </c>
      <c r="CH532">
        <f>0.501693209</f>
        <v>0.50169320900000003</v>
      </c>
      <c r="CI532">
        <f>0.531349622</f>
        <v>0.53134962200000002</v>
      </c>
      <c r="CJ532">
        <f>0.601503753</f>
        <v>0.60150375300000003</v>
      </c>
      <c r="CK532">
        <f>0.710984706</f>
        <v>0.71098470599999997</v>
      </c>
      <c r="CL532">
        <f>1.486160117</f>
        <v>1.4861601170000001</v>
      </c>
      <c r="CM532">
        <f>1.279385881</f>
        <v>1.2793858810000001</v>
      </c>
      <c r="CN532">
        <f>1.495047638</f>
        <v>1.495047638</v>
      </c>
      <c r="CO532">
        <f>1.649824688</f>
        <v>1.649824688</v>
      </c>
      <c r="CP532">
        <f>1.453224325</f>
        <v>1.4532243250000001</v>
      </c>
      <c r="CQ532">
        <f>2.238388336</f>
        <v>2.2383883359999999</v>
      </c>
      <c r="CR532">
        <f>2.563280971</f>
        <v>2.5632809710000002</v>
      </c>
      <c r="CS532">
        <f>2.01166765</f>
        <v>2.0116676500000001</v>
      </c>
      <c r="CT532">
        <f>1.20158608</f>
        <v>1.20158608</v>
      </c>
      <c r="CU532">
        <f>1.146482198</f>
        <v>1.146482198</v>
      </c>
      <c r="CV532">
        <f>1.365995796</f>
        <v>1.365995796</v>
      </c>
      <c r="CW532">
        <f>1.926782252</f>
        <v>1.926782252</v>
      </c>
      <c r="CX532">
        <f>0.791870156</f>
        <v>0.79187015599999999</v>
      </c>
      <c r="CY532">
        <f>0.758006465</f>
        <v>0.75800646500000002</v>
      </c>
      <c r="CZ532">
        <f>1.014970849</f>
        <v>1.014970849</v>
      </c>
      <c r="DA532">
        <f>2.063628607</f>
        <v>2.0636286070000001</v>
      </c>
      <c r="DB532">
        <f>8.05682454</f>
        <v>8.0568245399999991</v>
      </c>
      <c r="DC532">
        <f>9.087553736</f>
        <v>9.0875537360000003</v>
      </c>
      <c r="DD532">
        <f>4.2240345</f>
        <v>4.2240345000000001</v>
      </c>
      <c r="DE532">
        <f>3.520713567</f>
        <v>3.520713567</v>
      </c>
      <c r="DF532">
        <f>2.408864646</f>
        <v>2.4088646460000001</v>
      </c>
      <c r="DG532">
        <f>2.021835847</f>
        <v>2.0218358470000002</v>
      </c>
      <c r="DH532">
        <f>1.930750438</f>
        <v>1.930750438</v>
      </c>
      <c r="DI532">
        <f>2.238137892</f>
        <v>2.2381378920000001</v>
      </c>
      <c r="DJ532">
        <f>1.785223778</f>
        <v>1.785223778</v>
      </c>
      <c r="DK532">
        <f>1.443482073</f>
        <v>1.443482073</v>
      </c>
      <c r="DL532">
        <f>1.508645648</f>
        <v>1.5086456479999999</v>
      </c>
      <c r="DM532">
        <f>1.63552866</f>
        <v>1.6355286600000001</v>
      </c>
      <c r="DN532">
        <f>1.073134077</f>
        <v>1.073134077</v>
      </c>
      <c r="DO532">
        <f>1.53045606</f>
        <v>1.5304560599999999</v>
      </c>
      <c r="DP532">
        <f>1.871782853</f>
        <v>1.871782853</v>
      </c>
      <c r="DQ532">
        <f>2.350452437</f>
        <v>2.350452437</v>
      </c>
      <c r="DR532">
        <f>1.933768411</f>
        <v>1.933768411</v>
      </c>
      <c r="DS532">
        <f>1.583687997</f>
        <v>1.583687997</v>
      </c>
      <c r="DT532">
        <f>1.983389095</f>
        <v>1.9833890949999999</v>
      </c>
      <c r="DU532">
        <f>2.104155685</f>
        <v>2.1041556849999998</v>
      </c>
    </row>
    <row r="533" spans="1:125" x14ac:dyDescent="0.25">
      <c r="A533" t="str">
        <f>"    Tesla Inc"</f>
        <v xml:space="preserve">    Tesla Inc</v>
      </c>
      <c r="B533" t="str">
        <f>"TSLA US Equity"</f>
        <v>TSLA US Equity</v>
      </c>
      <c r="C533" t="str">
        <f t="shared" si="36"/>
        <v>DV013</v>
      </c>
      <c r="D533" t="str">
        <f t="shared" si="37"/>
        <v>EQY_DVD_YLD_IND</v>
      </c>
      <c r="E533" t="str">
        <f t="shared" si="38"/>
        <v>Dynamic</v>
      </c>
      <c r="F533" t="str">
        <f ca="1">IF(AND(ISNUMBER($F$1193),$B$677=1),$F$1193,HLOOKUP(INDIRECT(ADDRESS(2,COLUMN())),OFFSET($BN$2,0,0,ROW()-1,60),ROW()-1,FALSE))</f>
        <v/>
      </c>
      <c r="G533" t="str">
        <f ca="1">IF(AND(ISNUMBER($G$1193),$B$677=1),$G$1193,HLOOKUP(INDIRECT(ADDRESS(2,COLUMN())),OFFSET($BN$2,0,0,ROW()-1,60),ROW()-1,FALSE))</f>
        <v/>
      </c>
      <c r="H533" t="str">
        <f ca="1">IF(AND(ISNUMBER($H$1193),$B$677=1),$H$1193,HLOOKUP(INDIRECT(ADDRESS(2,COLUMN())),OFFSET($BN$2,0,0,ROW()-1,60),ROW()-1,FALSE))</f>
        <v/>
      </c>
      <c r="I533" t="str">
        <f ca="1">IF(AND(ISNUMBER($I$1193),$B$677=1),$I$1193,HLOOKUP(INDIRECT(ADDRESS(2,COLUMN())),OFFSET($BN$2,0,0,ROW()-1,60),ROW()-1,FALSE))</f>
        <v/>
      </c>
      <c r="J533" t="str">
        <f ca="1">IF(AND(ISNUMBER($J$1193),$B$677=1),$J$1193,HLOOKUP(INDIRECT(ADDRESS(2,COLUMN())),OFFSET($BN$2,0,0,ROW()-1,60),ROW()-1,FALSE))</f>
        <v/>
      </c>
      <c r="K533" t="str">
        <f ca="1">IF(AND(ISNUMBER($K$1193),$B$677=1),$K$1193,HLOOKUP(INDIRECT(ADDRESS(2,COLUMN())),OFFSET($BN$2,0,0,ROW()-1,60),ROW()-1,FALSE))</f>
        <v/>
      </c>
      <c r="L533" t="str">
        <f ca="1">IF(AND(ISNUMBER($L$1193),$B$677=1),$L$1193,HLOOKUP(INDIRECT(ADDRESS(2,COLUMN())),OFFSET($BN$2,0,0,ROW()-1,60),ROW()-1,FALSE))</f>
        <v/>
      </c>
      <c r="M533" t="str">
        <f ca="1">IF(AND(ISNUMBER($M$1193),$B$677=1),$M$1193,HLOOKUP(INDIRECT(ADDRESS(2,COLUMN())),OFFSET($BN$2,0,0,ROW()-1,60),ROW()-1,FALSE))</f>
        <v/>
      </c>
      <c r="N533" t="str">
        <f ca="1">IF(AND(ISNUMBER($N$1193),$B$677=1),$N$1193,HLOOKUP(INDIRECT(ADDRESS(2,COLUMN())),OFFSET($BN$2,0,0,ROW()-1,60),ROW()-1,FALSE))</f>
        <v/>
      </c>
      <c r="O533" t="str">
        <f ca="1">IF(AND(ISNUMBER($O$1193),$B$677=1),$O$1193,HLOOKUP(INDIRECT(ADDRESS(2,COLUMN())),OFFSET($BN$2,0,0,ROW()-1,60),ROW()-1,FALSE))</f>
        <v/>
      </c>
      <c r="P533" t="str">
        <f ca="1">IF(AND(ISNUMBER($P$1193),$B$677=1),$P$1193,HLOOKUP(INDIRECT(ADDRESS(2,COLUMN())),OFFSET($BN$2,0,0,ROW()-1,60),ROW()-1,FALSE))</f>
        <v/>
      </c>
      <c r="Q533" t="str">
        <f ca="1">IF(AND(ISNUMBER($Q$1193),$B$677=1),$Q$1193,HLOOKUP(INDIRECT(ADDRESS(2,COLUMN())),OFFSET($BN$2,0,0,ROW()-1,60),ROW()-1,FALSE))</f>
        <v/>
      </c>
      <c r="R533" t="str">
        <f ca="1">IF(AND(ISNUMBER($R$1193),$B$677=1),$R$1193,HLOOKUP(INDIRECT(ADDRESS(2,COLUMN())),OFFSET($BN$2,0,0,ROW()-1,60),ROW()-1,FALSE))</f>
        <v/>
      </c>
      <c r="S533" t="str">
        <f ca="1">IF(AND(ISNUMBER($S$1193),$B$677=1),$S$1193,HLOOKUP(INDIRECT(ADDRESS(2,COLUMN())),OFFSET($BN$2,0,0,ROW()-1,60),ROW()-1,FALSE))</f>
        <v/>
      </c>
      <c r="T533" t="str">
        <f ca="1">IF(AND(ISNUMBER($T$1193),$B$677=1),$T$1193,HLOOKUP(INDIRECT(ADDRESS(2,COLUMN())),OFFSET($BN$2,0,0,ROW()-1,60),ROW()-1,FALSE))</f>
        <v/>
      </c>
      <c r="U533" t="str">
        <f ca="1">IF(AND(ISNUMBER($U$1193),$B$677=1),$U$1193,HLOOKUP(INDIRECT(ADDRESS(2,COLUMN())),OFFSET($BN$2,0,0,ROW()-1,60),ROW()-1,FALSE))</f>
        <v/>
      </c>
      <c r="V533" t="str">
        <f ca="1">IF(AND(ISNUMBER($V$1193),$B$677=1),$V$1193,HLOOKUP(INDIRECT(ADDRESS(2,COLUMN())),OFFSET($BN$2,0,0,ROW()-1,60),ROW()-1,FALSE))</f>
        <v/>
      </c>
      <c r="W533" t="str">
        <f ca="1">IF(AND(ISNUMBER($W$1193),$B$677=1),$W$1193,HLOOKUP(INDIRECT(ADDRESS(2,COLUMN())),OFFSET($BN$2,0,0,ROW()-1,60),ROW()-1,FALSE))</f>
        <v/>
      </c>
      <c r="X533" t="str">
        <f ca="1">IF(AND(ISNUMBER($X$1193),$B$677=1),$X$1193,HLOOKUP(INDIRECT(ADDRESS(2,COLUMN())),OFFSET($BN$2,0,0,ROW()-1,60),ROW()-1,FALSE))</f>
        <v/>
      </c>
      <c r="Y533" t="str">
        <f ca="1">IF(AND(ISNUMBER($Y$1193),$B$677=1),$Y$1193,HLOOKUP(INDIRECT(ADDRESS(2,COLUMN())),OFFSET($BN$2,0,0,ROW()-1,60),ROW()-1,FALSE))</f>
        <v/>
      </c>
      <c r="Z533" t="str">
        <f ca="1">IF(AND(ISNUMBER($Z$1193),$B$677=1),$Z$1193,HLOOKUP(INDIRECT(ADDRESS(2,COLUMN())),OFFSET($BN$2,0,0,ROW()-1,60),ROW()-1,FALSE))</f>
        <v/>
      </c>
      <c r="AA533" t="str">
        <f ca="1">IF(AND(ISNUMBER($AA$1193),$B$677=1),$AA$1193,HLOOKUP(INDIRECT(ADDRESS(2,COLUMN())),OFFSET($BN$2,0,0,ROW()-1,60),ROW()-1,FALSE))</f>
        <v/>
      </c>
      <c r="AB533" t="str">
        <f ca="1">IF(AND(ISNUMBER($AB$1193),$B$677=1),$AB$1193,HLOOKUP(INDIRECT(ADDRESS(2,COLUMN())),OFFSET($BN$2,0,0,ROW()-1,60),ROW()-1,FALSE))</f>
        <v/>
      </c>
      <c r="AC533" t="str">
        <f ca="1">IF(AND(ISNUMBER($AC$1193),$B$677=1),$AC$1193,HLOOKUP(INDIRECT(ADDRESS(2,COLUMN())),OFFSET($BN$2,0,0,ROW()-1,60),ROW()-1,FALSE))</f>
        <v/>
      </c>
      <c r="AD533" t="str">
        <f ca="1">IF(AND(ISNUMBER($AD$1193),$B$677=1),$AD$1193,HLOOKUP(INDIRECT(ADDRESS(2,COLUMN())),OFFSET($BN$2,0,0,ROW()-1,60),ROW()-1,FALSE))</f>
        <v/>
      </c>
      <c r="AE533" t="str">
        <f ca="1">IF(AND(ISNUMBER($AE$1193),$B$677=1),$AE$1193,HLOOKUP(INDIRECT(ADDRESS(2,COLUMN())),OFFSET($BN$2,0,0,ROW()-1,60),ROW()-1,FALSE))</f>
        <v/>
      </c>
      <c r="AF533" t="str">
        <f ca="1">IF(AND(ISNUMBER($AF$1193),$B$677=1),$AF$1193,HLOOKUP(INDIRECT(ADDRESS(2,COLUMN())),OFFSET($BN$2,0,0,ROW()-1,60),ROW()-1,FALSE))</f>
        <v/>
      </c>
      <c r="AG533" t="str">
        <f ca="1">IF(AND(ISNUMBER($AG$1193),$B$677=1),$AG$1193,HLOOKUP(INDIRECT(ADDRESS(2,COLUMN())),OFFSET($BN$2,0,0,ROW()-1,60),ROW()-1,FALSE))</f>
        <v/>
      </c>
      <c r="AH533" t="str">
        <f ca="1">IF(AND(ISNUMBER($AH$1193),$B$677=1),$AH$1193,HLOOKUP(INDIRECT(ADDRESS(2,COLUMN())),OFFSET($BN$2,0,0,ROW()-1,60),ROW()-1,FALSE))</f>
        <v/>
      </c>
      <c r="AI533" t="str">
        <f ca="1">IF(AND(ISNUMBER($AI$1193),$B$677=1),$AI$1193,HLOOKUP(INDIRECT(ADDRESS(2,COLUMN())),OFFSET($BN$2,0,0,ROW()-1,60),ROW()-1,FALSE))</f>
        <v/>
      </c>
      <c r="AJ533" t="str">
        <f ca="1">IF(AND(ISNUMBER($AJ$1193),$B$677=1),$AJ$1193,HLOOKUP(INDIRECT(ADDRESS(2,COLUMN())),OFFSET($BN$2,0,0,ROW()-1,60),ROW()-1,FALSE))</f>
        <v/>
      </c>
      <c r="AK533" t="str">
        <f ca="1">IF(AND(ISNUMBER($AK$1193),$B$677=1),$AK$1193,HLOOKUP(INDIRECT(ADDRESS(2,COLUMN())),OFFSET($BN$2,0,0,ROW()-1,60),ROW()-1,FALSE))</f>
        <v/>
      </c>
      <c r="AL533" t="str">
        <f ca="1">IF(AND(ISNUMBER($AL$1193),$B$677=1),$AL$1193,HLOOKUP(INDIRECT(ADDRESS(2,COLUMN())),OFFSET($BN$2,0,0,ROW()-1,60),ROW()-1,FALSE))</f>
        <v/>
      </c>
      <c r="AM533" t="str">
        <f ca="1">IF(AND(ISNUMBER($AM$1193),$B$677=1),$AM$1193,HLOOKUP(INDIRECT(ADDRESS(2,COLUMN())),OFFSET($BN$2,0,0,ROW()-1,60),ROW()-1,FALSE))</f>
        <v/>
      </c>
      <c r="AN533" t="str">
        <f ca="1">IF(AND(ISNUMBER($AN$1193),$B$677=1),$AN$1193,HLOOKUP(INDIRECT(ADDRESS(2,COLUMN())),OFFSET($BN$2,0,0,ROW()-1,60),ROW()-1,FALSE))</f>
        <v/>
      </c>
      <c r="AO533" t="str">
        <f ca="1">IF(AND(ISNUMBER($AO$1193),$B$677=1),$AO$1193,HLOOKUP(INDIRECT(ADDRESS(2,COLUMN())),OFFSET($BN$2,0,0,ROW()-1,60),ROW()-1,FALSE))</f>
        <v/>
      </c>
      <c r="AP533" t="str">
        <f ca="1">IF(AND(ISNUMBER($AP$1193),$B$677=1),$AP$1193,HLOOKUP(INDIRECT(ADDRESS(2,COLUMN())),OFFSET($BN$2,0,0,ROW()-1,60),ROW()-1,FALSE))</f>
        <v/>
      </c>
      <c r="AQ533" t="str">
        <f ca="1">IF(AND(ISNUMBER($AQ$1193),$B$677=1),$AQ$1193,HLOOKUP(INDIRECT(ADDRESS(2,COLUMN())),OFFSET($BN$2,0,0,ROW()-1,60),ROW()-1,FALSE))</f>
        <v/>
      </c>
      <c r="AR533" t="str">
        <f ca="1">IF(AND(ISNUMBER($AR$1193),$B$677=1),$AR$1193,HLOOKUP(INDIRECT(ADDRESS(2,COLUMN())),OFFSET($BN$2,0,0,ROW()-1,60),ROW()-1,FALSE))</f>
        <v/>
      </c>
      <c r="AS533" t="str">
        <f ca="1">IF(AND(ISNUMBER($AS$1193),$B$677=1),$AS$1193,HLOOKUP(INDIRECT(ADDRESS(2,COLUMN())),OFFSET($BN$2,0,0,ROW()-1,60),ROW()-1,FALSE))</f>
        <v/>
      </c>
      <c r="AT533" t="str">
        <f ca="1">IF(AND(ISNUMBER($AT$1193),$B$677=1),$AT$1193,HLOOKUP(INDIRECT(ADDRESS(2,COLUMN())),OFFSET($BN$2,0,0,ROW()-1,60),ROW()-1,FALSE))</f>
        <v/>
      </c>
      <c r="AU533" t="str">
        <f ca="1">IF(AND(ISNUMBER($AU$1193),$B$677=1),$AU$1193,HLOOKUP(INDIRECT(ADDRESS(2,COLUMN())),OFFSET($BN$2,0,0,ROW()-1,60),ROW()-1,FALSE))</f>
        <v/>
      </c>
      <c r="AV533" t="str">
        <f ca="1">IF(AND(ISNUMBER($AV$1193),$B$677=1),$AV$1193,HLOOKUP(INDIRECT(ADDRESS(2,COLUMN())),OFFSET($BN$2,0,0,ROW()-1,60),ROW()-1,FALSE))</f>
        <v/>
      </c>
      <c r="AW533" t="str">
        <f ca="1">IF(AND(ISNUMBER($AW$1193),$B$677=1),$AW$1193,HLOOKUP(INDIRECT(ADDRESS(2,COLUMN())),OFFSET($BN$2,0,0,ROW()-1,60),ROW()-1,FALSE))</f>
        <v/>
      </c>
      <c r="AX533" t="str">
        <f ca="1">IF(AND(ISNUMBER($AX$1193),$B$677=1),$AX$1193,HLOOKUP(INDIRECT(ADDRESS(2,COLUMN())),OFFSET($BN$2,0,0,ROW()-1,60),ROW()-1,FALSE))</f>
        <v/>
      </c>
      <c r="AY533" t="str">
        <f ca="1">IF(AND(ISNUMBER($AY$1193),$B$677=1),$AY$1193,HLOOKUP(INDIRECT(ADDRESS(2,COLUMN())),OFFSET($BN$2,0,0,ROW()-1,60),ROW()-1,FALSE))</f>
        <v/>
      </c>
      <c r="AZ533" t="str">
        <f ca="1">IF(AND(ISNUMBER($AZ$1193),$B$677=1),$AZ$1193,HLOOKUP(INDIRECT(ADDRESS(2,COLUMN())),OFFSET($BN$2,0,0,ROW()-1,60),ROW()-1,FALSE))</f>
        <v/>
      </c>
      <c r="BA533" t="str">
        <f ca="1">IF(AND(ISNUMBER($BA$1193),$B$677=1),$BA$1193,HLOOKUP(INDIRECT(ADDRESS(2,COLUMN())),OFFSET($BN$2,0,0,ROW()-1,60),ROW()-1,FALSE))</f>
        <v/>
      </c>
      <c r="BB533" t="str">
        <f ca="1">IF(AND(ISNUMBER($BB$1193),$B$677=1),$BB$1193,HLOOKUP(INDIRECT(ADDRESS(2,COLUMN())),OFFSET($BN$2,0,0,ROW()-1,60),ROW()-1,FALSE))</f>
        <v/>
      </c>
      <c r="BC533" t="str">
        <f ca="1">IF(AND(ISNUMBER($BC$1193),$B$677=1),$BC$1193,HLOOKUP(INDIRECT(ADDRESS(2,COLUMN())),OFFSET($BN$2,0,0,ROW()-1,60),ROW()-1,FALSE))</f>
        <v/>
      </c>
      <c r="BD533" t="str">
        <f ca="1">IF(AND(ISNUMBER($BD$1193),$B$677=1),$BD$1193,HLOOKUP(INDIRECT(ADDRESS(2,COLUMN())),OFFSET($BN$2,0,0,ROW()-1,60),ROW()-1,FALSE))</f>
        <v/>
      </c>
      <c r="BE533" t="str">
        <f ca="1">IF(AND(ISNUMBER($BE$1193),$B$677=1),$BE$1193,HLOOKUP(INDIRECT(ADDRESS(2,COLUMN())),OFFSET($BN$2,0,0,ROW()-1,60),ROW()-1,FALSE))</f>
        <v/>
      </c>
      <c r="BF533" t="str">
        <f ca="1">IF(AND(ISNUMBER($BF$1193),$B$677=1),$BF$1193,HLOOKUP(INDIRECT(ADDRESS(2,COLUMN())),OFFSET($BN$2,0,0,ROW()-1,60),ROW()-1,FALSE))</f>
        <v/>
      </c>
      <c r="BG533" t="str">
        <f ca="1">IF(AND(ISNUMBER($BG$1193),$B$677=1),$BG$1193,HLOOKUP(INDIRECT(ADDRESS(2,COLUMN())),OFFSET($BN$2,0,0,ROW()-1,60),ROW()-1,FALSE))</f>
        <v/>
      </c>
      <c r="BH533" t="str">
        <f ca="1">IF(AND(ISNUMBER($BH$1193),$B$677=1),$BH$1193,HLOOKUP(INDIRECT(ADDRESS(2,COLUMN())),OFFSET($BN$2,0,0,ROW()-1,60),ROW()-1,FALSE))</f>
        <v/>
      </c>
      <c r="BI533" t="str">
        <f ca="1">IF(AND(ISNUMBER($BI$1193),$B$677=1),$BI$1193,HLOOKUP(INDIRECT(ADDRESS(2,COLUMN())),OFFSET($BN$2,0,0,ROW()-1,60),ROW()-1,FALSE))</f>
        <v/>
      </c>
      <c r="BJ533" t="str">
        <f ca="1">IF(AND(ISNUMBER($BJ$1193),$B$677=1),$BJ$1193,HLOOKUP(INDIRECT(ADDRESS(2,COLUMN())),OFFSET($BN$2,0,0,ROW()-1,60),ROW()-1,FALSE))</f>
        <v/>
      </c>
      <c r="BK533" t="str">
        <f ca="1">IF(AND(ISNUMBER($BK$1193),$B$677=1),$BK$1193,HLOOKUP(INDIRECT(ADDRESS(2,COLUMN())),OFFSET($BN$2,0,0,ROW()-1,60),ROW()-1,FALSE))</f>
        <v/>
      </c>
      <c r="BL533" t="str">
        <f ca="1">IF(AND(ISNUMBER($BL$1193),$B$677=1),$BL$1193,HLOOKUP(INDIRECT(ADDRESS(2,COLUMN())),OFFSET($BN$2,0,0,ROW()-1,60),ROW()-1,FALSE))</f>
        <v/>
      </c>
      <c r="BM533" t="str">
        <f ca="1">IF(AND(ISNUMBER($BM$1193),$B$677=1),$BM$1193,HLOOKUP(INDIRECT(ADDRESS(2,COLUMN())),OFFSET($BN$2,0,0,ROW()-1,60),ROW()-1,FALSE))</f>
        <v/>
      </c>
      <c r="BN533" t="str">
        <f>""</f>
        <v/>
      </c>
      <c r="BO533" t="str">
        <f>""</f>
        <v/>
      </c>
      <c r="BP533" t="str">
        <f>""</f>
        <v/>
      </c>
      <c r="BQ533" t="str">
        <f>""</f>
        <v/>
      </c>
      <c r="BR533" t="str">
        <f>""</f>
        <v/>
      </c>
      <c r="BS533" t="str">
        <f>""</f>
        <v/>
      </c>
      <c r="BT533" t="str">
        <f>""</f>
        <v/>
      </c>
      <c r="BU533" t="str">
        <f>""</f>
        <v/>
      </c>
      <c r="BV533" t="str">
        <f>""</f>
        <v/>
      </c>
      <c r="BW533" t="str">
        <f>""</f>
        <v/>
      </c>
      <c r="BX533" t="str">
        <f>""</f>
        <v/>
      </c>
      <c r="BY533" t="str">
        <f>""</f>
        <v/>
      </c>
      <c r="BZ533" t="str">
        <f>""</f>
        <v/>
      </c>
      <c r="CA533" t="str">
        <f>""</f>
        <v/>
      </c>
      <c r="CB533" t="str">
        <f>""</f>
        <v/>
      </c>
      <c r="CC533" t="str">
        <f>""</f>
        <v/>
      </c>
      <c r="CD533" t="str">
        <f>""</f>
        <v/>
      </c>
      <c r="CE533" t="str">
        <f>""</f>
        <v/>
      </c>
      <c r="CF533" t="str">
        <f>""</f>
        <v/>
      </c>
      <c r="CG533" t="str">
        <f>""</f>
        <v/>
      </c>
      <c r="CH533" t="str">
        <f>""</f>
        <v/>
      </c>
      <c r="CI533" t="str">
        <f>""</f>
        <v/>
      </c>
      <c r="CJ533" t="str">
        <f>""</f>
        <v/>
      </c>
      <c r="CK533" t="str">
        <f>""</f>
        <v/>
      </c>
      <c r="CL533" t="str">
        <f>""</f>
        <v/>
      </c>
      <c r="CM533" t="str">
        <f>""</f>
        <v/>
      </c>
      <c r="CN533" t="str">
        <f>""</f>
        <v/>
      </c>
      <c r="CO533" t="str">
        <f>""</f>
        <v/>
      </c>
      <c r="CP533" t="str">
        <f>""</f>
        <v/>
      </c>
      <c r="CQ533" t="str">
        <f>""</f>
        <v/>
      </c>
      <c r="CR533" t="str">
        <f>""</f>
        <v/>
      </c>
      <c r="CS533" t="str">
        <f>""</f>
        <v/>
      </c>
      <c r="CT533" t="str">
        <f>""</f>
        <v/>
      </c>
      <c r="CU533" t="str">
        <f>""</f>
        <v/>
      </c>
      <c r="CV533" t="str">
        <f>""</f>
        <v/>
      </c>
      <c r="CW533" t="str">
        <f>""</f>
        <v/>
      </c>
      <c r="CX533" t="str">
        <f>""</f>
        <v/>
      </c>
      <c r="CY533" t="str">
        <f>""</f>
        <v/>
      </c>
      <c r="CZ533" t="str">
        <f>""</f>
        <v/>
      </c>
      <c r="DA533" t="str">
        <f>""</f>
        <v/>
      </c>
      <c r="DB533" t="str">
        <f>""</f>
        <v/>
      </c>
      <c r="DC533" t="str">
        <f>""</f>
        <v/>
      </c>
      <c r="DD533" t="str">
        <f>""</f>
        <v/>
      </c>
      <c r="DE533" t="str">
        <f>""</f>
        <v/>
      </c>
      <c r="DF533" t="str">
        <f>""</f>
        <v/>
      </c>
      <c r="DG533" t="str">
        <f>""</f>
        <v/>
      </c>
      <c r="DH533" t="str">
        <f>""</f>
        <v/>
      </c>
      <c r="DI533" t="str">
        <f>""</f>
        <v/>
      </c>
      <c r="DJ533" t="str">
        <f>""</f>
        <v/>
      </c>
      <c r="DK533" t="str">
        <f>""</f>
        <v/>
      </c>
      <c r="DL533" t="str">
        <f>""</f>
        <v/>
      </c>
      <c r="DM533" t="str">
        <f>""</f>
        <v/>
      </c>
      <c r="DN533" t="str">
        <f>""</f>
        <v/>
      </c>
      <c r="DO533" t="str">
        <f>""</f>
        <v/>
      </c>
      <c r="DP533" t="str">
        <f>""</f>
        <v/>
      </c>
      <c r="DQ533" t="str">
        <f>""</f>
        <v/>
      </c>
      <c r="DR533" t="str">
        <f>""</f>
        <v/>
      </c>
      <c r="DS533" t="str">
        <f>""</f>
        <v/>
      </c>
      <c r="DT533" t="str">
        <f>""</f>
        <v/>
      </c>
      <c r="DU533" t="str">
        <f>""</f>
        <v/>
      </c>
    </row>
    <row r="534" spans="1:125" x14ac:dyDescent="0.25">
      <c r="A534" t="str">
        <f>"    Tianjin Faw Xiali Automobile Co Ltd"</f>
        <v xml:space="preserve">    Tianjin Faw Xiali Automobile Co Ltd</v>
      </c>
      <c r="B534" t="str">
        <f>"000927 CH Equity"</f>
        <v>000927 CH Equity</v>
      </c>
      <c r="C534" t="str">
        <f t="shared" si="36"/>
        <v>DV013</v>
      </c>
      <c r="D534" t="str">
        <f t="shared" si="37"/>
        <v>EQY_DVD_YLD_IND</v>
      </c>
      <c r="E534" t="str">
        <f t="shared" si="38"/>
        <v>Dynamic</v>
      </c>
      <c r="F534" t="str">
        <f ca="1">IF(AND(ISNUMBER($F$1194),$B$677=1),$F$1194,HLOOKUP(INDIRECT(ADDRESS(2,COLUMN())),OFFSET($BN$2,0,0,ROW()-1,60),ROW()-1,FALSE))</f>
        <v/>
      </c>
      <c r="G534" t="str">
        <f ca="1">IF(AND(ISNUMBER($G$1194),$B$677=1),$G$1194,HLOOKUP(INDIRECT(ADDRESS(2,COLUMN())),OFFSET($BN$2,0,0,ROW()-1,60),ROW()-1,FALSE))</f>
        <v/>
      </c>
      <c r="H534" t="str">
        <f ca="1">IF(AND(ISNUMBER($H$1194),$B$677=1),$H$1194,HLOOKUP(INDIRECT(ADDRESS(2,COLUMN())),OFFSET($BN$2,0,0,ROW()-1,60),ROW()-1,FALSE))</f>
        <v/>
      </c>
      <c r="I534" t="str">
        <f ca="1">IF(AND(ISNUMBER($I$1194),$B$677=1),$I$1194,HLOOKUP(INDIRECT(ADDRESS(2,COLUMN())),OFFSET($BN$2,0,0,ROW()-1,60),ROW()-1,FALSE))</f>
        <v/>
      </c>
      <c r="J534" t="str">
        <f ca="1">IF(AND(ISNUMBER($J$1194),$B$677=1),$J$1194,HLOOKUP(INDIRECT(ADDRESS(2,COLUMN())),OFFSET($BN$2,0,0,ROW()-1,60),ROW()-1,FALSE))</f>
        <v/>
      </c>
      <c r="K534" t="str">
        <f ca="1">IF(AND(ISNUMBER($K$1194),$B$677=1),$K$1194,HLOOKUP(INDIRECT(ADDRESS(2,COLUMN())),OFFSET($BN$2,0,0,ROW()-1,60),ROW()-1,FALSE))</f>
        <v/>
      </c>
      <c r="L534" t="str">
        <f ca="1">IF(AND(ISNUMBER($L$1194),$B$677=1),$L$1194,HLOOKUP(INDIRECT(ADDRESS(2,COLUMN())),OFFSET($BN$2,0,0,ROW()-1,60),ROW()-1,FALSE))</f>
        <v/>
      </c>
      <c r="M534" t="str">
        <f ca="1">IF(AND(ISNUMBER($M$1194),$B$677=1),$M$1194,HLOOKUP(INDIRECT(ADDRESS(2,COLUMN())),OFFSET($BN$2,0,0,ROW()-1,60),ROW()-1,FALSE))</f>
        <v/>
      </c>
      <c r="N534" t="str">
        <f ca="1">IF(AND(ISNUMBER($N$1194),$B$677=1),$N$1194,HLOOKUP(INDIRECT(ADDRESS(2,COLUMN())),OFFSET($BN$2,0,0,ROW()-1,60),ROW()-1,FALSE))</f>
        <v/>
      </c>
      <c r="O534" t="str">
        <f ca="1">IF(AND(ISNUMBER($O$1194),$B$677=1),$O$1194,HLOOKUP(INDIRECT(ADDRESS(2,COLUMN())),OFFSET($BN$2,0,0,ROW()-1,60),ROW()-1,FALSE))</f>
        <v/>
      </c>
      <c r="P534" t="str">
        <f ca="1">IF(AND(ISNUMBER($P$1194),$B$677=1),$P$1194,HLOOKUP(INDIRECT(ADDRESS(2,COLUMN())),OFFSET($BN$2,0,0,ROW()-1,60),ROW()-1,FALSE))</f>
        <v/>
      </c>
      <c r="Q534" t="str">
        <f ca="1">IF(AND(ISNUMBER($Q$1194),$B$677=1),$Q$1194,HLOOKUP(INDIRECT(ADDRESS(2,COLUMN())),OFFSET($BN$2,0,0,ROW()-1,60),ROW()-1,FALSE))</f>
        <v/>
      </c>
      <c r="R534" t="str">
        <f ca="1">IF(AND(ISNUMBER($R$1194),$B$677=1),$R$1194,HLOOKUP(INDIRECT(ADDRESS(2,COLUMN())),OFFSET($BN$2,0,0,ROW()-1,60),ROW()-1,FALSE))</f>
        <v/>
      </c>
      <c r="S534" t="str">
        <f ca="1">IF(AND(ISNUMBER($S$1194),$B$677=1),$S$1194,HLOOKUP(INDIRECT(ADDRESS(2,COLUMN())),OFFSET($BN$2,0,0,ROW()-1,60),ROW()-1,FALSE))</f>
        <v/>
      </c>
      <c r="T534" t="str">
        <f ca="1">IF(AND(ISNUMBER($T$1194),$B$677=1),$T$1194,HLOOKUP(INDIRECT(ADDRESS(2,COLUMN())),OFFSET($BN$2,0,0,ROW()-1,60),ROW()-1,FALSE))</f>
        <v/>
      </c>
      <c r="U534" t="str">
        <f ca="1">IF(AND(ISNUMBER($U$1194),$B$677=1),$U$1194,HLOOKUP(INDIRECT(ADDRESS(2,COLUMN())),OFFSET($BN$2,0,0,ROW()-1,60),ROW()-1,FALSE))</f>
        <v/>
      </c>
      <c r="V534" t="str">
        <f ca="1">IF(AND(ISNUMBER($V$1194),$B$677=1),$V$1194,HLOOKUP(INDIRECT(ADDRESS(2,COLUMN())),OFFSET($BN$2,0,0,ROW()-1,60),ROW()-1,FALSE))</f>
        <v/>
      </c>
      <c r="W534" t="str">
        <f ca="1">IF(AND(ISNUMBER($W$1194),$B$677=1),$W$1194,HLOOKUP(INDIRECT(ADDRESS(2,COLUMN())),OFFSET($BN$2,0,0,ROW()-1,60),ROW()-1,FALSE))</f>
        <v/>
      </c>
      <c r="X534" t="str">
        <f ca="1">IF(AND(ISNUMBER($X$1194),$B$677=1),$X$1194,HLOOKUP(INDIRECT(ADDRESS(2,COLUMN())),OFFSET($BN$2,0,0,ROW()-1,60),ROW()-1,FALSE))</f>
        <v/>
      </c>
      <c r="Y534" t="str">
        <f ca="1">IF(AND(ISNUMBER($Y$1194),$B$677=1),$Y$1194,HLOOKUP(INDIRECT(ADDRESS(2,COLUMN())),OFFSET($BN$2,0,0,ROW()-1,60),ROW()-1,FALSE))</f>
        <v/>
      </c>
      <c r="Z534">
        <f ca="1">IF(AND(ISNUMBER($Z$1194),$B$677=1),$Z$1194,HLOOKUP(INDIRECT(ADDRESS(2,COLUMN())),OFFSET($BN$2,0,0,ROW()-1,60),ROW()-1,FALSE))</f>
        <v>0.26109660000000001</v>
      </c>
      <c r="AA534">
        <f ca="1">IF(AND(ISNUMBER($AA$1194),$B$677=1),$AA$1194,HLOOKUP(INDIRECT(ADDRESS(2,COLUMN())),OFFSET($BN$2,0,0,ROW()-1,60),ROW()-1,FALSE))</f>
        <v>0.27932960299999998</v>
      </c>
      <c r="AB534">
        <f ca="1">IF(AND(ISNUMBER($AB$1194),$B$677=1),$AB$1194,HLOOKUP(INDIRECT(ADDRESS(2,COLUMN())),OFFSET($BN$2,0,0,ROW()-1,60),ROW()-1,FALSE))</f>
        <v>0.26954177299999998</v>
      </c>
      <c r="AC534">
        <f ca="1">IF(AND(ISNUMBER($AC$1194),$B$677=1),$AC$1194,HLOOKUP(INDIRECT(ADDRESS(2,COLUMN())),OFFSET($BN$2,0,0,ROW()-1,60),ROW()-1,FALSE))</f>
        <v>0.27777777199999998</v>
      </c>
      <c r="AD534">
        <f ca="1">IF(AND(ISNUMBER($AD$1194),$B$677=1),$AD$1194,HLOOKUP(INDIRECT(ADDRESS(2,COLUMN())),OFFSET($BN$2,0,0,ROW()-1,60),ROW()-1,FALSE))</f>
        <v>0.45558085500000001</v>
      </c>
      <c r="AE534">
        <f ca="1">IF(AND(ISNUMBER($AE$1194),$B$677=1),$AE$1194,HLOOKUP(INDIRECT(ADDRESS(2,COLUMN())),OFFSET($BN$2,0,0,ROW()-1,60),ROW()-1,FALSE))</f>
        <v>0.40160641699999999</v>
      </c>
      <c r="AF534">
        <f ca="1">IF(AND(ISNUMBER($AF$1194),$B$677=1),$AF$1194,HLOOKUP(INDIRECT(ADDRESS(2,COLUMN())),OFFSET($BN$2,0,0,ROW()-1,60),ROW()-1,FALSE))</f>
        <v>0.41493774999999999</v>
      </c>
      <c r="AG534">
        <f ca="1">IF(AND(ISNUMBER($AG$1194),$B$677=1),$AG$1194,HLOOKUP(INDIRECT(ADDRESS(2,COLUMN())),OFFSET($BN$2,0,0,ROW()-1,60),ROW()-1,FALSE))</f>
        <v>0.27285129000000002</v>
      </c>
      <c r="AH534">
        <f ca="1">IF(AND(ISNUMBER($AH$1194),$B$677=1),$AH$1194,HLOOKUP(INDIRECT(ADDRESS(2,COLUMN())),OFFSET($BN$2,0,0,ROW()-1,60),ROW()-1,FALSE))</f>
        <v>0.45454544400000002</v>
      </c>
      <c r="AI534">
        <f ca="1">IF(AND(ISNUMBER($AI$1194),$B$677=1),$AI$1194,HLOOKUP(INDIRECT(ADDRESS(2,COLUMN())),OFFSET($BN$2,0,0,ROW()-1,60),ROW()-1,FALSE))</f>
        <v>0.49099835200000003</v>
      </c>
      <c r="AJ534">
        <f ca="1">IF(AND(ISNUMBER($AJ$1194),$B$677=1),$AJ$1194,HLOOKUP(INDIRECT(ADDRESS(2,COLUMN())),OFFSET($BN$2,0,0,ROW()-1,60),ROW()-1,FALSE))</f>
        <v>0.40871933700000002</v>
      </c>
      <c r="AK534">
        <f ca="1">IF(AND(ISNUMBER($AK$1194),$B$677=1),$AK$1194,HLOOKUP(INDIRECT(ADDRESS(2,COLUMN())),OFFSET($BN$2,0,0,ROW()-1,60),ROW()-1,FALSE))</f>
        <v>0.424929169</v>
      </c>
      <c r="AL534">
        <f ca="1">IF(AND(ISNUMBER($AL$1194),$B$677=1),$AL$1194,HLOOKUP(INDIRECT(ADDRESS(2,COLUMN())),OFFSET($BN$2,0,0,ROW()-1,60),ROW()-1,FALSE))</f>
        <v>0.88832487699999996</v>
      </c>
      <c r="AM534">
        <f ca="1">IF(AND(ISNUMBER($AM$1194),$B$677=1),$AM$1194,HLOOKUP(INDIRECT(ADDRESS(2,COLUMN())),OFFSET($BN$2,0,0,ROW()-1,60),ROW()-1,FALSE))</f>
        <v>0.85889570900000001</v>
      </c>
      <c r="AN534">
        <f ca="1">IF(AND(ISNUMBER($AN$1194),$B$677=1),$AN$1194,HLOOKUP(INDIRECT(ADDRESS(2,COLUMN())),OFFSET($BN$2,0,0,ROW()-1,60),ROW()-1,FALSE))</f>
        <v>0.87609512300000003</v>
      </c>
      <c r="AO534">
        <f ca="1">IF(AND(ISNUMBER($AO$1194),$B$677=1),$AO$1194,HLOOKUP(INDIRECT(ADDRESS(2,COLUMN())),OFFSET($BN$2,0,0,ROW()-1,60),ROW()-1,FALSE))</f>
        <v>0.90556274599999997</v>
      </c>
      <c r="AP534">
        <f ca="1">IF(AND(ISNUMBER($AP$1194),$B$677=1),$AP$1194,HLOOKUP(INDIRECT(ADDRESS(2,COLUMN())),OFFSET($BN$2,0,0,ROW()-1,60),ROW()-1,FALSE))</f>
        <v>0.51282052099999997</v>
      </c>
      <c r="AQ534">
        <f ca="1">IF(AND(ISNUMBER($AQ$1194),$B$677=1),$AQ$1194,HLOOKUP(INDIRECT(ADDRESS(2,COLUMN())),OFFSET($BN$2,0,0,ROW()-1,60),ROW()-1,FALSE))</f>
        <v>0.420168074</v>
      </c>
      <c r="AR534">
        <f ca="1">IF(AND(ISNUMBER($AR$1194),$B$677=1),$AR$1194,HLOOKUP(INDIRECT(ADDRESS(2,COLUMN())),OFFSET($BN$2,0,0,ROW()-1,60),ROW()-1,FALSE))</f>
        <v>0.73746313799999996</v>
      </c>
      <c r="AS534">
        <f ca="1">IF(AND(ISNUMBER($AS$1194),$B$677=1),$AS$1194,HLOOKUP(INDIRECT(ADDRESS(2,COLUMN())),OFFSET($BN$2,0,0,ROW()-1,60),ROW()-1,FALSE))</f>
        <v>0.71530759300000002</v>
      </c>
      <c r="AT534">
        <f ca="1">IF(AND(ISNUMBER($AT$1194),$B$677=1),$AT$1194,HLOOKUP(INDIRECT(ADDRESS(2,COLUMN())),OFFSET($BN$2,0,0,ROW()-1,60),ROW()-1,FALSE))</f>
        <v>1.002004023</v>
      </c>
      <c r="AU534">
        <f ca="1">IF(AND(ISNUMBER($AU$1194),$B$677=1),$AU$1194,HLOOKUP(INDIRECT(ADDRESS(2,COLUMN())),OFFSET($BN$2,0,0,ROW()-1,60),ROW()-1,FALSE))</f>
        <v>1.3123359779999999</v>
      </c>
      <c r="AV534">
        <f ca="1">IF(AND(ISNUMBER($AV$1194),$B$677=1),$AV$1194,HLOOKUP(INDIRECT(ADDRESS(2,COLUMN())),OFFSET($BN$2,0,0,ROW()-1,60),ROW()-1,FALSE))</f>
        <v>1.4044944029999999</v>
      </c>
      <c r="AW534">
        <f ca="1">IF(AND(ISNUMBER($AW$1194),$B$677=1),$AW$1194,HLOOKUP(INDIRECT(ADDRESS(2,COLUMN())),OFFSET($BN$2,0,0,ROW()-1,60),ROW()-1,FALSE))</f>
        <v>1.190476208</v>
      </c>
      <c r="AX534">
        <f ca="1">IF(AND(ISNUMBER($AX$1194),$B$677=1),$AX$1194,HLOOKUP(INDIRECT(ADDRESS(2,COLUMN())),OFFSET($BN$2,0,0,ROW()-1,60),ROW()-1,FALSE))</f>
        <v>0.75949365400000002</v>
      </c>
      <c r="AY534">
        <f ca="1">IF(AND(ISNUMBER($AY$1194),$B$677=1),$AY$1194,HLOOKUP(INDIRECT(ADDRESS(2,COLUMN())),OFFSET($BN$2,0,0,ROW()-1,60),ROW()-1,FALSE))</f>
        <v>0.41379309399999997</v>
      </c>
      <c r="AZ534">
        <f ca="1">IF(AND(ISNUMBER($AZ$1194),$B$677=1),$AZ$1194,HLOOKUP(INDIRECT(ADDRESS(2,COLUMN())),OFFSET($BN$2,0,0,ROW()-1,60),ROW()-1,FALSE))</f>
        <v>0.36363635599999999</v>
      </c>
      <c r="BA534">
        <f ca="1">IF(AND(ISNUMBER($BA$1194),$B$677=1),$BA$1194,HLOOKUP(INDIRECT(ADDRESS(2,COLUMN())),OFFSET($BN$2,0,0,ROW()-1,60),ROW()-1,FALSE))</f>
        <v>0.717703333</v>
      </c>
      <c r="BB534" t="str">
        <f ca="1">IF(AND(ISNUMBER($BB$1194),$B$677=1),$BB$1194,HLOOKUP(INDIRECT(ADDRESS(2,COLUMN())),OFFSET($BN$2,0,0,ROW()-1,60),ROW()-1,FALSE))</f>
        <v/>
      </c>
      <c r="BC534" t="str">
        <f ca="1">IF(AND(ISNUMBER($BC$1194),$B$677=1),$BC$1194,HLOOKUP(INDIRECT(ADDRESS(2,COLUMN())),OFFSET($BN$2,0,0,ROW()-1,60),ROW()-1,FALSE))</f>
        <v/>
      </c>
      <c r="BD534" t="str">
        <f ca="1">IF(AND(ISNUMBER($BD$1194),$B$677=1),$BD$1194,HLOOKUP(INDIRECT(ADDRESS(2,COLUMN())),OFFSET($BN$2,0,0,ROW()-1,60),ROW()-1,FALSE))</f>
        <v/>
      </c>
      <c r="BE534" t="str">
        <f ca="1">IF(AND(ISNUMBER($BE$1194),$B$677=1),$BE$1194,HLOOKUP(INDIRECT(ADDRESS(2,COLUMN())),OFFSET($BN$2,0,0,ROW()-1,60),ROW()-1,FALSE))</f>
        <v/>
      </c>
      <c r="BF534" t="str">
        <f ca="1">IF(AND(ISNUMBER($BF$1194),$B$677=1),$BF$1194,HLOOKUP(INDIRECT(ADDRESS(2,COLUMN())),OFFSET($BN$2,0,0,ROW()-1,60),ROW()-1,FALSE))</f>
        <v/>
      </c>
      <c r="BG534" t="str">
        <f ca="1">IF(AND(ISNUMBER($BG$1194),$B$677=1),$BG$1194,HLOOKUP(INDIRECT(ADDRESS(2,COLUMN())),OFFSET($BN$2,0,0,ROW()-1,60),ROW()-1,FALSE))</f>
        <v/>
      </c>
      <c r="BH534" t="str">
        <f ca="1">IF(AND(ISNUMBER($BH$1194),$B$677=1),$BH$1194,HLOOKUP(INDIRECT(ADDRESS(2,COLUMN())),OFFSET($BN$2,0,0,ROW()-1,60),ROW()-1,FALSE))</f>
        <v/>
      </c>
      <c r="BI534" t="str">
        <f ca="1">IF(AND(ISNUMBER($BI$1194),$B$677=1),$BI$1194,HLOOKUP(INDIRECT(ADDRESS(2,COLUMN())),OFFSET($BN$2,0,0,ROW()-1,60),ROW()-1,FALSE))</f>
        <v/>
      </c>
      <c r="BJ534" t="str">
        <f ca="1">IF(AND(ISNUMBER($BJ$1194),$B$677=1),$BJ$1194,HLOOKUP(INDIRECT(ADDRESS(2,COLUMN())),OFFSET($BN$2,0,0,ROW()-1,60),ROW()-1,FALSE))</f>
        <v/>
      </c>
      <c r="BK534" t="str">
        <f ca="1">IF(AND(ISNUMBER($BK$1194),$B$677=1),$BK$1194,HLOOKUP(INDIRECT(ADDRESS(2,COLUMN())),OFFSET($BN$2,0,0,ROW()-1,60),ROW()-1,FALSE))</f>
        <v/>
      </c>
      <c r="BL534" t="str">
        <f ca="1">IF(AND(ISNUMBER($BL$1194),$B$677=1),$BL$1194,HLOOKUP(INDIRECT(ADDRESS(2,COLUMN())),OFFSET($BN$2,0,0,ROW()-1,60),ROW()-1,FALSE))</f>
        <v/>
      </c>
      <c r="BM534" t="str">
        <f ca="1">IF(AND(ISNUMBER($BM$1194),$B$677=1),$BM$1194,HLOOKUP(INDIRECT(ADDRESS(2,COLUMN())),OFFSET($BN$2,0,0,ROW()-1,60),ROW()-1,FALSE))</f>
        <v/>
      </c>
      <c r="BN534" t="str">
        <f>""</f>
        <v/>
      </c>
      <c r="BO534" t="str">
        <f>""</f>
        <v/>
      </c>
      <c r="BP534" t="str">
        <f>""</f>
        <v/>
      </c>
      <c r="BQ534" t="str">
        <f>""</f>
        <v/>
      </c>
      <c r="BR534" t="str">
        <f>""</f>
        <v/>
      </c>
      <c r="BS534" t="str">
        <f>""</f>
        <v/>
      </c>
      <c r="BT534" t="str">
        <f>""</f>
        <v/>
      </c>
      <c r="BU534" t="str">
        <f>""</f>
        <v/>
      </c>
      <c r="BV534" t="str">
        <f>""</f>
        <v/>
      </c>
      <c r="BW534" t="str">
        <f>""</f>
        <v/>
      </c>
      <c r="BX534" t="str">
        <f>""</f>
        <v/>
      </c>
      <c r="BY534" t="str">
        <f>""</f>
        <v/>
      </c>
      <c r="BZ534" t="str">
        <f>""</f>
        <v/>
      </c>
      <c r="CA534" t="str">
        <f>""</f>
        <v/>
      </c>
      <c r="CB534" t="str">
        <f>""</f>
        <v/>
      </c>
      <c r="CC534" t="str">
        <f>""</f>
        <v/>
      </c>
      <c r="CD534" t="str">
        <f>""</f>
        <v/>
      </c>
      <c r="CE534" t="str">
        <f>""</f>
        <v/>
      </c>
      <c r="CF534" t="str">
        <f>""</f>
        <v/>
      </c>
      <c r="CG534" t="str">
        <f>""</f>
        <v/>
      </c>
      <c r="CH534">
        <f>0.2610966</f>
        <v>0.26109660000000001</v>
      </c>
      <c r="CI534">
        <f>0.279329603</f>
        <v>0.27932960299999998</v>
      </c>
      <c r="CJ534">
        <f>0.269541773</f>
        <v>0.26954177299999998</v>
      </c>
      <c r="CK534">
        <f>0.277777772</f>
        <v>0.27777777199999998</v>
      </c>
      <c r="CL534">
        <f>0.455580855</f>
        <v>0.45558085500000001</v>
      </c>
      <c r="CM534">
        <f>0.401606417</f>
        <v>0.40160641699999999</v>
      </c>
      <c r="CN534">
        <f>0.41493775</f>
        <v>0.41493774999999999</v>
      </c>
      <c r="CO534">
        <f>0.27285129</f>
        <v>0.27285129000000002</v>
      </c>
      <c r="CP534">
        <f>0.454545444</f>
        <v>0.45454544400000002</v>
      </c>
      <c r="CQ534">
        <f>0.490998352</f>
        <v>0.49099835200000003</v>
      </c>
      <c r="CR534">
        <f>0.408719337</f>
        <v>0.40871933700000002</v>
      </c>
      <c r="CS534">
        <f>0.424929169</f>
        <v>0.424929169</v>
      </c>
      <c r="CT534">
        <f>0.888324877</f>
        <v>0.88832487699999996</v>
      </c>
      <c r="CU534">
        <f>0.858895709</f>
        <v>0.85889570900000001</v>
      </c>
      <c r="CV534">
        <f>0.876095123</f>
        <v>0.87609512300000003</v>
      </c>
      <c r="CW534">
        <f>0.905562746</f>
        <v>0.90556274599999997</v>
      </c>
      <c r="CX534">
        <f>0.512820521</f>
        <v>0.51282052099999997</v>
      </c>
      <c r="CY534">
        <f>0.420168074</f>
        <v>0.420168074</v>
      </c>
      <c r="CZ534">
        <f>0.737463138</f>
        <v>0.73746313799999996</v>
      </c>
      <c r="DA534">
        <f>0.715307593</f>
        <v>0.71530759300000002</v>
      </c>
      <c r="DB534">
        <f>1.002004023</f>
        <v>1.002004023</v>
      </c>
      <c r="DC534">
        <f>1.312335978</f>
        <v>1.3123359779999999</v>
      </c>
      <c r="DD534">
        <f>1.404494403</f>
        <v>1.4044944029999999</v>
      </c>
      <c r="DE534">
        <f>1.190476208</f>
        <v>1.190476208</v>
      </c>
      <c r="DF534">
        <f>0.759493654</f>
        <v>0.75949365400000002</v>
      </c>
      <c r="DG534">
        <f>0.413793094</f>
        <v>0.41379309399999997</v>
      </c>
      <c r="DH534">
        <f>0.363636356</f>
        <v>0.36363635599999999</v>
      </c>
      <c r="DI534">
        <f>0.717703333</f>
        <v>0.717703333</v>
      </c>
      <c r="DJ534" t="str">
        <f>""</f>
        <v/>
      </c>
      <c r="DK534" t="str">
        <f>""</f>
        <v/>
      </c>
      <c r="DL534" t="str">
        <f>""</f>
        <v/>
      </c>
      <c r="DM534" t="str">
        <f>""</f>
        <v/>
      </c>
      <c r="DN534" t="str">
        <f>""</f>
        <v/>
      </c>
      <c r="DO534" t="str">
        <f>""</f>
        <v/>
      </c>
      <c r="DP534" t="str">
        <f>""</f>
        <v/>
      </c>
      <c r="DQ534" t="str">
        <f>""</f>
        <v/>
      </c>
      <c r="DR534" t="str">
        <f>""</f>
        <v/>
      </c>
      <c r="DS534" t="str">
        <f>""</f>
        <v/>
      </c>
      <c r="DT534" t="str">
        <f>""</f>
        <v/>
      </c>
      <c r="DU534" t="str">
        <f>""</f>
        <v/>
      </c>
    </row>
    <row r="535" spans="1:125" x14ac:dyDescent="0.25">
      <c r="A535" t="str">
        <f>"    Tofas Turk Otomobil Fabrikasi AS"</f>
        <v xml:space="preserve">    Tofas Turk Otomobil Fabrikasi AS</v>
      </c>
      <c r="B535" t="str">
        <f>"TOASOTRY EO Equity"</f>
        <v>TOASOTRY EO Equity</v>
      </c>
      <c r="C535" t="str">
        <f t="shared" si="36"/>
        <v>DV013</v>
      </c>
      <c r="D535" t="str">
        <f t="shared" si="37"/>
        <v>EQY_DVD_YLD_IND</v>
      </c>
      <c r="E535" t="str">
        <f t="shared" si="38"/>
        <v>Dynamic</v>
      </c>
      <c r="F535" t="str">
        <f ca="1">IF(AND(ISNUMBER($F$1195),$B$677=1),$F$1195,HLOOKUP(INDIRECT(ADDRESS(2,COLUMN())),OFFSET($BN$2,0,0,ROW()-1,60),ROW()-1,FALSE))</f>
        <v/>
      </c>
      <c r="G535" t="str">
        <f ca="1">IF(AND(ISNUMBER($G$1195),$B$677=1),$G$1195,HLOOKUP(INDIRECT(ADDRESS(2,COLUMN())),OFFSET($BN$2,0,0,ROW()-1,60),ROW()-1,FALSE))</f>
        <v/>
      </c>
      <c r="H535" t="str">
        <f ca="1">IF(AND(ISNUMBER($H$1195),$B$677=1),$H$1195,HLOOKUP(INDIRECT(ADDRESS(2,COLUMN())),OFFSET($BN$2,0,0,ROW()-1,60),ROW()-1,FALSE))</f>
        <v/>
      </c>
      <c r="I535" t="str">
        <f ca="1">IF(AND(ISNUMBER($I$1195),$B$677=1),$I$1195,HLOOKUP(INDIRECT(ADDRESS(2,COLUMN())),OFFSET($BN$2,0,0,ROW()-1,60),ROW()-1,FALSE))</f>
        <v/>
      </c>
      <c r="J535" t="str">
        <f ca="1">IF(AND(ISNUMBER($J$1195),$B$677=1),$J$1195,HLOOKUP(INDIRECT(ADDRESS(2,COLUMN())),OFFSET($BN$2,0,0,ROW()-1,60),ROW()-1,FALSE))</f>
        <v/>
      </c>
      <c r="K535" t="str">
        <f ca="1">IF(AND(ISNUMBER($K$1195),$B$677=1),$K$1195,HLOOKUP(INDIRECT(ADDRESS(2,COLUMN())),OFFSET($BN$2,0,0,ROW()-1,60),ROW()-1,FALSE))</f>
        <v/>
      </c>
      <c r="L535" t="str">
        <f ca="1">IF(AND(ISNUMBER($L$1195),$B$677=1),$L$1195,HLOOKUP(INDIRECT(ADDRESS(2,COLUMN())),OFFSET($BN$2,0,0,ROW()-1,60),ROW()-1,FALSE))</f>
        <v/>
      </c>
      <c r="M535" t="str">
        <f ca="1">IF(AND(ISNUMBER($M$1195),$B$677=1),$M$1195,HLOOKUP(INDIRECT(ADDRESS(2,COLUMN())),OFFSET($BN$2,0,0,ROW()-1,60),ROW()-1,FALSE))</f>
        <v/>
      </c>
      <c r="N535" t="str">
        <f ca="1">IF(AND(ISNUMBER($N$1195),$B$677=1),$N$1195,HLOOKUP(INDIRECT(ADDRESS(2,COLUMN())),OFFSET($BN$2,0,0,ROW()-1,60),ROW()-1,FALSE))</f>
        <v/>
      </c>
      <c r="O535" t="str">
        <f ca="1">IF(AND(ISNUMBER($O$1195),$B$677=1),$O$1195,HLOOKUP(INDIRECT(ADDRESS(2,COLUMN())),OFFSET($BN$2,0,0,ROW()-1,60),ROW()-1,FALSE))</f>
        <v/>
      </c>
      <c r="P535" t="str">
        <f ca="1">IF(AND(ISNUMBER($P$1195),$B$677=1),$P$1195,HLOOKUP(INDIRECT(ADDRESS(2,COLUMN())),OFFSET($BN$2,0,0,ROW()-1,60),ROW()-1,FALSE))</f>
        <v/>
      </c>
      <c r="Q535" t="str">
        <f ca="1">IF(AND(ISNUMBER($Q$1195),$B$677=1),$Q$1195,HLOOKUP(INDIRECT(ADDRESS(2,COLUMN())),OFFSET($BN$2,0,0,ROW()-1,60),ROW()-1,FALSE))</f>
        <v/>
      </c>
      <c r="R535" t="str">
        <f ca="1">IF(AND(ISNUMBER($R$1195),$B$677=1),$R$1195,HLOOKUP(INDIRECT(ADDRESS(2,COLUMN())),OFFSET($BN$2,0,0,ROW()-1,60),ROW()-1,FALSE))</f>
        <v/>
      </c>
      <c r="S535" t="str">
        <f ca="1">IF(AND(ISNUMBER($S$1195),$B$677=1),$S$1195,HLOOKUP(INDIRECT(ADDRESS(2,COLUMN())),OFFSET($BN$2,0,0,ROW()-1,60),ROW()-1,FALSE))</f>
        <v/>
      </c>
      <c r="T535" t="str">
        <f ca="1">IF(AND(ISNUMBER($T$1195),$B$677=1),$T$1195,HLOOKUP(INDIRECT(ADDRESS(2,COLUMN())),OFFSET($BN$2,0,0,ROW()-1,60),ROW()-1,FALSE))</f>
        <v/>
      </c>
      <c r="U535" t="str">
        <f ca="1">IF(AND(ISNUMBER($U$1195),$B$677=1),$U$1195,HLOOKUP(INDIRECT(ADDRESS(2,COLUMN())),OFFSET($BN$2,0,0,ROW()-1,60),ROW()-1,FALSE))</f>
        <v/>
      </c>
      <c r="V535" t="str">
        <f ca="1">IF(AND(ISNUMBER($V$1195),$B$677=1),$V$1195,HLOOKUP(INDIRECT(ADDRESS(2,COLUMN())),OFFSET($BN$2,0,0,ROW()-1,60),ROW()-1,FALSE))</f>
        <v/>
      </c>
      <c r="W535" t="str">
        <f ca="1">IF(AND(ISNUMBER($W$1195),$B$677=1),$W$1195,HLOOKUP(INDIRECT(ADDRESS(2,COLUMN())),OFFSET($BN$2,0,0,ROW()-1,60),ROW()-1,FALSE))</f>
        <v/>
      </c>
      <c r="X535" t="str">
        <f ca="1">IF(AND(ISNUMBER($X$1195),$B$677=1),$X$1195,HLOOKUP(INDIRECT(ADDRESS(2,COLUMN())),OFFSET($BN$2,0,0,ROW()-1,60),ROW()-1,FALSE))</f>
        <v/>
      </c>
      <c r="Y535" t="str">
        <f ca="1">IF(AND(ISNUMBER($Y$1195),$B$677=1),$Y$1195,HLOOKUP(INDIRECT(ADDRESS(2,COLUMN())),OFFSET($BN$2,0,0,ROW()-1,60),ROW()-1,FALSE))</f>
        <v/>
      </c>
      <c r="Z535" t="str">
        <f ca="1">IF(AND(ISNUMBER($Z$1195),$B$677=1),$Z$1195,HLOOKUP(INDIRECT(ADDRESS(2,COLUMN())),OFFSET($BN$2,0,0,ROW()-1,60),ROW()-1,FALSE))</f>
        <v/>
      </c>
      <c r="AA535" t="str">
        <f ca="1">IF(AND(ISNUMBER($AA$1195),$B$677=1),$AA$1195,HLOOKUP(INDIRECT(ADDRESS(2,COLUMN())),OFFSET($BN$2,0,0,ROW()-1,60),ROW()-1,FALSE))</f>
        <v/>
      </c>
      <c r="AB535" t="str">
        <f ca="1">IF(AND(ISNUMBER($AB$1195),$B$677=1),$AB$1195,HLOOKUP(INDIRECT(ADDRESS(2,COLUMN())),OFFSET($BN$2,0,0,ROW()-1,60),ROW()-1,FALSE))</f>
        <v/>
      </c>
      <c r="AC535" t="str">
        <f ca="1">IF(AND(ISNUMBER($AC$1195),$B$677=1),$AC$1195,HLOOKUP(INDIRECT(ADDRESS(2,COLUMN())),OFFSET($BN$2,0,0,ROW()-1,60),ROW()-1,FALSE))</f>
        <v/>
      </c>
      <c r="AD535" t="str">
        <f ca="1">IF(AND(ISNUMBER($AD$1195),$B$677=1),$AD$1195,HLOOKUP(INDIRECT(ADDRESS(2,COLUMN())),OFFSET($BN$2,0,0,ROW()-1,60),ROW()-1,FALSE))</f>
        <v/>
      </c>
      <c r="AE535" t="str">
        <f ca="1">IF(AND(ISNUMBER($AE$1195),$B$677=1),$AE$1195,HLOOKUP(INDIRECT(ADDRESS(2,COLUMN())),OFFSET($BN$2,0,0,ROW()-1,60),ROW()-1,FALSE))</f>
        <v/>
      </c>
      <c r="AF535" t="str">
        <f ca="1">IF(AND(ISNUMBER($AF$1195),$B$677=1),$AF$1195,HLOOKUP(INDIRECT(ADDRESS(2,COLUMN())),OFFSET($BN$2,0,0,ROW()-1,60),ROW()-1,FALSE))</f>
        <v/>
      </c>
      <c r="AG535" t="str">
        <f ca="1">IF(AND(ISNUMBER($AG$1195),$B$677=1),$AG$1195,HLOOKUP(INDIRECT(ADDRESS(2,COLUMN())),OFFSET($BN$2,0,0,ROW()-1,60),ROW()-1,FALSE))</f>
        <v/>
      </c>
      <c r="AH535" t="str">
        <f ca="1">IF(AND(ISNUMBER($AH$1195),$B$677=1),$AH$1195,HLOOKUP(INDIRECT(ADDRESS(2,COLUMN())),OFFSET($BN$2,0,0,ROW()-1,60),ROW()-1,FALSE))</f>
        <v/>
      </c>
      <c r="AI535" t="str">
        <f ca="1">IF(AND(ISNUMBER($AI$1195),$B$677=1),$AI$1195,HLOOKUP(INDIRECT(ADDRESS(2,COLUMN())),OFFSET($BN$2,0,0,ROW()-1,60),ROW()-1,FALSE))</f>
        <v/>
      </c>
      <c r="AJ535" t="str">
        <f ca="1">IF(AND(ISNUMBER($AJ$1195),$B$677=1),$AJ$1195,HLOOKUP(INDIRECT(ADDRESS(2,COLUMN())),OFFSET($BN$2,0,0,ROW()-1,60),ROW()-1,FALSE))</f>
        <v/>
      </c>
      <c r="AK535" t="str">
        <f ca="1">IF(AND(ISNUMBER($AK$1195),$B$677=1),$AK$1195,HLOOKUP(INDIRECT(ADDRESS(2,COLUMN())),OFFSET($BN$2,0,0,ROW()-1,60),ROW()-1,FALSE))</f>
        <v/>
      </c>
      <c r="AL535" t="str">
        <f ca="1">IF(AND(ISNUMBER($AL$1195),$B$677=1),$AL$1195,HLOOKUP(INDIRECT(ADDRESS(2,COLUMN())),OFFSET($BN$2,0,0,ROW()-1,60),ROW()-1,FALSE))</f>
        <v/>
      </c>
      <c r="AM535" t="str">
        <f ca="1">IF(AND(ISNUMBER($AM$1195),$B$677=1),$AM$1195,HLOOKUP(INDIRECT(ADDRESS(2,COLUMN())),OFFSET($BN$2,0,0,ROW()-1,60),ROW()-1,FALSE))</f>
        <v/>
      </c>
      <c r="AN535" t="str">
        <f ca="1">IF(AND(ISNUMBER($AN$1195),$B$677=1),$AN$1195,HLOOKUP(INDIRECT(ADDRESS(2,COLUMN())),OFFSET($BN$2,0,0,ROW()-1,60),ROW()-1,FALSE))</f>
        <v/>
      </c>
      <c r="AO535" t="str">
        <f ca="1">IF(AND(ISNUMBER($AO$1195),$B$677=1),$AO$1195,HLOOKUP(INDIRECT(ADDRESS(2,COLUMN())),OFFSET($BN$2,0,0,ROW()-1,60),ROW()-1,FALSE))</f>
        <v/>
      </c>
      <c r="AP535" t="str">
        <f ca="1">IF(AND(ISNUMBER($AP$1195),$B$677=1),$AP$1195,HLOOKUP(INDIRECT(ADDRESS(2,COLUMN())),OFFSET($BN$2,0,0,ROW()-1,60),ROW()-1,FALSE))</f>
        <v/>
      </c>
      <c r="AQ535" t="str">
        <f ca="1">IF(AND(ISNUMBER($AQ$1195),$B$677=1),$AQ$1195,HLOOKUP(INDIRECT(ADDRESS(2,COLUMN())),OFFSET($BN$2,0,0,ROW()-1,60),ROW()-1,FALSE))</f>
        <v/>
      </c>
      <c r="AR535" t="str">
        <f ca="1">IF(AND(ISNUMBER($AR$1195),$B$677=1),$AR$1195,HLOOKUP(INDIRECT(ADDRESS(2,COLUMN())),OFFSET($BN$2,0,0,ROW()-1,60),ROW()-1,FALSE))</f>
        <v/>
      </c>
      <c r="AS535" t="str">
        <f ca="1">IF(AND(ISNUMBER($AS$1195),$B$677=1),$AS$1195,HLOOKUP(INDIRECT(ADDRESS(2,COLUMN())),OFFSET($BN$2,0,0,ROW()-1,60),ROW()-1,FALSE))</f>
        <v/>
      </c>
      <c r="AT535" t="str">
        <f ca="1">IF(AND(ISNUMBER($AT$1195),$B$677=1),$AT$1195,HLOOKUP(INDIRECT(ADDRESS(2,COLUMN())),OFFSET($BN$2,0,0,ROW()-1,60),ROW()-1,FALSE))</f>
        <v/>
      </c>
      <c r="AU535" t="str">
        <f ca="1">IF(AND(ISNUMBER($AU$1195),$B$677=1),$AU$1195,HLOOKUP(INDIRECT(ADDRESS(2,COLUMN())),OFFSET($BN$2,0,0,ROW()-1,60),ROW()-1,FALSE))</f>
        <v/>
      </c>
      <c r="AV535" t="str">
        <f ca="1">IF(AND(ISNUMBER($AV$1195),$B$677=1),$AV$1195,HLOOKUP(INDIRECT(ADDRESS(2,COLUMN())),OFFSET($BN$2,0,0,ROW()-1,60),ROW()-1,FALSE))</f>
        <v/>
      </c>
      <c r="AW535" t="str">
        <f ca="1">IF(AND(ISNUMBER($AW$1195),$B$677=1),$AW$1195,HLOOKUP(INDIRECT(ADDRESS(2,COLUMN())),OFFSET($BN$2,0,0,ROW()-1,60),ROW()-1,FALSE))</f>
        <v/>
      </c>
      <c r="AX535" t="str">
        <f ca="1">IF(AND(ISNUMBER($AX$1195),$B$677=1),$AX$1195,HLOOKUP(INDIRECT(ADDRESS(2,COLUMN())),OFFSET($BN$2,0,0,ROW()-1,60),ROW()-1,FALSE))</f>
        <v/>
      </c>
      <c r="AY535" t="str">
        <f ca="1">IF(AND(ISNUMBER($AY$1195),$B$677=1),$AY$1195,HLOOKUP(INDIRECT(ADDRESS(2,COLUMN())),OFFSET($BN$2,0,0,ROW()-1,60),ROW()-1,FALSE))</f>
        <v/>
      </c>
      <c r="AZ535" t="str">
        <f ca="1">IF(AND(ISNUMBER($AZ$1195),$B$677=1),$AZ$1195,HLOOKUP(INDIRECT(ADDRESS(2,COLUMN())),OFFSET($BN$2,0,0,ROW()-1,60),ROW()-1,FALSE))</f>
        <v/>
      </c>
      <c r="BA535" t="str">
        <f ca="1">IF(AND(ISNUMBER($BA$1195),$B$677=1),$BA$1195,HLOOKUP(INDIRECT(ADDRESS(2,COLUMN())),OFFSET($BN$2,0,0,ROW()-1,60),ROW()-1,FALSE))</f>
        <v/>
      </c>
      <c r="BB535" t="str">
        <f ca="1">IF(AND(ISNUMBER($BB$1195),$B$677=1),$BB$1195,HLOOKUP(INDIRECT(ADDRESS(2,COLUMN())),OFFSET($BN$2,0,0,ROW()-1,60),ROW()-1,FALSE))</f>
        <v/>
      </c>
      <c r="BC535" t="str">
        <f ca="1">IF(AND(ISNUMBER($BC$1195),$B$677=1),$BC$1195,HLOOKUP(INDIRECT(ADDRESS(2,COLUMN())),OFFSET($BN$2,0,0,ROW()-1,60),ROW()-1,FALSE))</f>
        <v/>
      </c>
      <c r="BD535" t="str">
        <f ca="1">IF(AND(ISNUMBER($BD$1195),$B$677=1),$BD$1195,HLOOKUP(INDIRECT(ADDRESS(2,COLUMN())),OFFSET($BN$2,0,0,ROW()-1,60),ROW()-1,FALSE))</f>
        <v/>
      </c>
      <c r="BE535" t="str">
        <f ca="1">IF(AND(ISNUMBER($BE$1195),$B$677=1),$BE$1195,HLOOKUP(INDIRECT(ADDRESS(2,COLUMN())),OFFSET($BN$2,0,0,ROW()-1,60),ROW()-1,FALSE))</f>
        <v/>
      </c>
      <c r="BF535" t="str">
        <f ca="1">IF(AND(ISNUMBER($BF$1195),$B$677=1),$BF$1195,HLOOKUP(INDIRECT(ADDRESS(2,COLUMN())),OFFSET($BN$2,0,0,ROW()-1,60),ROW()-1,FALSE))</f>
        <v/>
      </c>
      <c r="BG535" t="str">
        <f ca="1">IF(AND(ISNUMBER($BG$1195),$B$677=1),$BG$1195,HLOOKUP(INDIRECT(ADDRESS(2,COLUMN())),OFFSET($BN$2,0,0,ROW()-1,60),ROW()-1,FALSE))</f>
        <v/>
      </c>
      <c r="BH535" t="str">
        <f ca="1">IF(AND(ISNUMBER($BH$1195),$B$677=1),$BH$1195,HLOOKUP(INDIRECT(ADDRESS(2,COLUMN())),OFFSET($BN$2,0,0,ROW()-1,60),ROW()-1,FALSE))</f>
        <v/>
      </c>
      <c r="BI535" t="str">
        <f ca="1">IF(AND(ISNUMBER($BI$1195),$B$677=1),$BI$1195,HLOOKUP(INDIRECT(ADDRESS(2,COLUMN())),OFFSET($BN$2,0,0,ROW()-1,60),ROW()-1,FALSE))</f>
        <v/>
      </c>
      <c r="BJ535" t="str">
        <f ca="1">IF(AND(ISNUMBER($BJ$1195),$B$677=1),$BJ$1195,HLOOKUP(INDIRECT(ADDRESS(2,COLUMN())),OFFSET($BN$2,0,0,ROW()-1,60),ROW()-1,FALSE))</f>
        <v/>
      </c>
      <c r="BK535" t="str">
        <f ca="1">IF(AND(ISNUMBER($BK$1195),$B$677=1),$BK$1195,HLOOKUP(INDIRECT(ADDRESS(2,COLUMN())),OFFSET($BN$2,0,0,ROW()-1,60),ROW()-1,FALSE))</f>
        <v/>
      </c>
      <c r="BL535" t="str">
        <f ca="1">IF(AND(ISNUMBER($BL$1195),$B$677=1),$BL$1195,HLOOKUP(INDIRECT(ADDRESS(2,COLUMN())),OFFSET($BN$2,0,0,ROW()-1,60),ROW()-1,FALSE))</f>
        <v/>
      </c>
      <c r="BM535" t="str">
        <f ca="1">IF(AND(ISNUMBER($BM$1195),$B$677=1),$BM$1195,HLOOKUP(INDIRECT(ADDRESS(2,COLUMN())),OFFSET($BN$2,0,0,ROW()-1,60),ROW()-1,FALSE))</f>
        <v/>
      </c>
      <c r="BN535" t="str">
        <f>""</f>
        <v/>
      </c>
      <c r="BO535" t="str">
        <f>""</f>
        <v/>
      </c>
      <c r="BP535" t="str">
        <f>""</f>
        <v/>
      </c>
      <c r="BQ535" t="str">
        <f>""</f>
        <v/>
      </c>
      <c r="BR535" t="str">
        <f>""</f>
        <v/>
      </c>
      <c r="BS535" t="str">
        <f>""</f>
        <v/>
      </c>
      <c r="BT535" t="str">
        <f>""</f>
        <v/>
      </c>
      <c r="BU535" t="str">
        <f>""</f>
        <v/>
      </c>
      <c r="BV535" t="str">
        <f>""</f>
        <v/>
      </c>
      <c r="BW535" t="str">
        <f>""</f>
        <v/>
      </c>
      <c r="BX535" t="str">
        <f>""</f>
        <v/>
      </c>
      <c r="BY535" t="str">
        <f>""</f>
        <v/>
      </c>
      <c r="BZ535" t="str">
        <f>""</f>
        <v/>
      </c>
      <c r="CA535" t="str">
        <f>""</f>
        <v/>
      </c>
      <c r="CB535" t="str">
        <f>""</f>
        <v/>
      </c>
      <c r="CC535" t="str">
        <f>""</f>
        <v/>
      </c>
      <c r="CD535" t="str">
        <f>""</f>
        <v/>
      </c>
      <c r="CE535" t="str">
        <f>""</f>
        <v/>
      </c>
      <c r="CF535" t="str">
        <f>""</f>
        <v/>
      </c>
      <c r="CG535" t="str">
        <f>""</f>
        <v/>
      </c>
      <c r="CH535" t="str">
        <f>""</f>
        <v/>
      </c>
      <c r="CI535" t="str">
        <f>""</f>
        <v/>
      </c>
      <c r="CJ535" t="str">
        <f>""</f>
        <v/>
      </c>
      <c r="CK535" t="str">
        <f>""</f>
        <v/>
      </c>
      <c r="CL535" t="str">
        <f>""</f>
        <v/>
      </c>
      <c r="CM535" t="str">
        <f>""</f>
        <v/>
      </c>
      <c r="CN535" t="str">
        <f>""</f>
        <v/>
      </c>
      <c r="CO535" t="str">
        <f>""</f>
        <v/>
      </c>
      <c r="CP535" t="str">
        <f>""</f>
        <v/>
      </c>
      <c r="CQ535" t="str">
        <f>""</f>
        <v/>
      </c>
      <c r="CR535" t="str">
        <f>""</f>
        <v/>
      </c>
      <c r="CS535" t="str">
        <f>""</f>
        <v/>
      </c>
      <c r="CT535" t="str">
        <f>""</f>
        <v/>
      </c>
      <c r="CU535" t="str">
        <f>""</f>
        <v/>
      </c>
      <c r="CV535" t="str">
        <f>""</f>
        <v/>
      </c>
      <c r="CW535" t="str">
        <f>""</f>
        <v/>
      </c>
      <c r="CX535" t="str">
        <f>""</f>
        <v/>
      </c>
      <c r="CY535" t="str">
        <f>""</f>
        <v/>
      </c>
      <c r="CZ535" t="str">
        <f>""</f>
        <v/>
      </c>
      <c r="DA535" t="str">
        <f>""</f>
        <v/>
      </c>
      <c r="DB535" t="str">
        <f>""</f>
        <v/>
      </c>
      <c r="DC535" t="str">
        <f>""</f>
        <v/>
      </c>
      <c r="DD535" t="str">
        <f>""</f>
        <v/>
      </c>
      <c r="DE535" t="str">
        <f>""</f>
        <v/>
      </c>
      <c r="DF535" t="str">
        <f>""</f>
        <v/>
      </c>
      <c r="DG535" t="str">
        <f>""</f>
        <v/>
      </c>
      <c r="DH535" t="str">
        <f>""</f>
        <v/>
      </c>
      <c r="DI535" t="str">
        <f>""</f>
        <v/>
      </c>
      <c r="DJ535" t="str">
        <f>""</f>
        <v/>
      </c>
      <c r="DK535" t="str">
        <f>""</f>
        <v/>
      </c>
      <c r="DL535" t="str">
        <f>""</f>
        <v/>
      </c>
      <c r="DM535" t="str">
        <f>""</f>
        <v/>
      </c>
      <c r="DN535" t="str">
        <f>""</f>
        <v/>
      </c>
      <c r="DO535" t="str">
        <f>""</f>
        <v/>
      </c>
      <c r="DP535" t="str">
        <f>""</f>
        <v/>
      </c>
      <c r="DQ535" t="str">
        <f>""</f>
        <v/>
      </c>
      <c r="DR535" t="str">
        <f>""</f>
        <v/>
      </c>
      <c r="DS535" t="str">
        <f>""</f>
        <v/>
      </c>
      <c r="DT535" t="str">
        <f>""</f>
        <v/>
      </c>
      <c r="DU535" t="str">
        <f>""</f>
        <v/>
      </c>
    </row>
    <row r="536" spans="1:125" x14ac:dyDescent="0.25">
      <c r="A536" t="str">
        <f>"    Toyota Motor Corp"</f>
        <v xml:space="preserve">    Toyota Motor Corp</v>
      </c>
      <c r="B536" t="str">
        <f>"7203 JP Equity"</f>
        <v>7203 JP Equity</v>
      </c>
      <c r="C536" t="str">
        <f t="shared" si="36"/>
        <v>DV013</v>
      </c>
      <c r="D536" t="str">
        <f t="shared" si="37"/>
        <v>EQY_DVD_YLD_IND</v>
      </c>
      <c r="E536" t="str">
        <f t="shared" si="38"/>
        <v>Dynamic</v>
      </c>
      <c r="F536">
        <f ca="1">IF(AND(ISNUMBER($F$1196),$B$677=1),$F$1196,HLOOKUP(INDIRECT(ADDRESS(2,COLUMN())),OFFSET($BN$2,0,0,ROW()-1,60),ROW()-1,FALSE))</f>
        <v>3.2738095239999998</v>
      </c>
      <c r="G536">
        <f ca="1">IF(AND(ISNUMBER($G$1196),$B$677=1),$G$1196,HLOOKUP(INDIRECT(ADDRESS(2,COLUMN())),OFFSET($BN$2,0,0,ROW()-1,60),ROW()-1,FALSE))</f>
        <v>3.434280362</v>
      </c>
      <c r="H536">
        <f ca="1">IF(AND(ISNUMBER($H$1196),$B$677=1),$H$1196,HLOOKUP(INDIRECT(ADDRESS(2,COLUMN())),OFFSET($BN$2,0,0,ROW()-1,60),ROW()-1,FALSE))</f>
        <v>3.1007751940000001</v>
      </c>
      <c r="I536">
        <f ca="1">IF(AND(ISNUMBER($I$1196),$B$677=1),$I$1196,HLOOKUP(INDIRECT(ADDRESS(2,COLUMN())),OFFSET($BN$2,0,0,ROW()-1,60),ROW()-1,FALSE))</f>
        <v>3.0683403070000002</v>
      </c>
      <c r="J536">
        <f ca="1">IF(AND(ISNUMBER($J$1196),$B$677=1),$J$1196,HLOOKUP(INDIRECT(ADDRESS(2,COLUMN())),OFFSET($BN$2,0,0,ROW()-1,60),ROW()-1,FALSE))</f>
        <v>3.2234432229999999</v>
      </c>
      <c r="K536">
        <f ca="1">IF(AND(ISNUMBER($K$1196),$B$677=1),$K$1196,HLOOKUP(INDIRECT(ADDRESS(2,COLUMN())),OFFSET($BN$2,0,0,ROW()-1,60),ROW()-1,FALSE))</f>
        <v>2.9114099539999998</v>
      </c>
      <c r="L536">
        <f ca="1">IF(AND(ISNUMBER($L$1196),$B$677=1),$L$1196,HLOOKUP(INDIRECT(ADDRESS(2,COLUMN())),OFFSET($BN$2,0,0,ROW()-1,60),ROW()-1,FALSE))</f>
        <v>3.1296572280000001</v>
      </c>
      <c r="M536">
        <f ca="1">IF(AND(ISNUMBER($M$1196),$B$677=1),$M$1196,HLOOKUP(INDIRECT(ADDRESS(2,COLUMN())),OFFSET($BN$2,0,0,ROW()-1,60),ROW()-1,FALSE))</f>
        <v>3.5635499749999999</v>
      </c>
      <c r="N536">
        <f ca="1">IF(AND(ISNUMBER($N$1196),$B$677=1),$N$1196,HLOOKUP(INDIRECT(ADDRESS(2,COLUMN())),OFFSET($BN$2,0,0,ROW()-1,60),ROW()-1,FALSE))</f>
        <v>3.4756703080000002</v>
      </c>
      <c r="O536">
        <f ca="1">IF(AND(ISNUMBER($O$1196),$B$677=1),$O$1196,HLOOKUP(INDIRECT(ADDRESS(2,COLUMN())),OFFSET($BN$2,0,0,ROW()-1,60),ROW()-1,FALSE))</f>
        <v>3.0532131429999998</v>
      </c>
      <c r="P536">
        <f ca="1">IF(AND(ISNUMBER($P$1196),$B$677=1),$P$1196,HLOOKUP(INDIRECT(ADDRESS(2,COLUMN())),OFFSET($BN$2,0,0,ROW()-1,60),ROW()-1,FALSE))</f>
        <v>3.633846686</v>
      </c>
      <c r="Q536">
        <f ca="1">IF(AND(ISNUMBER($Q$1196),$B$677=1),$Q$1196,HLOOKUP(INDIRECT(ADDRESS(2,COLUMN())),OFFSET($BN$2,0,0,ROW()-1,60),ROW()-1,FALSE))</f>
        <v>4.1567695960000002</v>
      </c>
      <c r="R536">
        <f ca="1">IF(AND(ISNUMBER($R$1196),$B$677=1),$R$1196,HLOOKUP(INDIRECT(ADDRESS(2,COLUMN())),OFFSET($BN$2,0,0,ROW()-1,60),ROW()-1,FALSE))</f>
        <v>3.528225806</v>
      </c>
      <c r="S536">
        <f ca="1">IF(AND(ISNUMBER($S$1196),$B$677=1),$S$1196,HLOOKUP(INDIRECT(ADDRESS(2,COLUMN())),OFFSET($BN$2,0,0,ROW()-1,60),ROW()-1,FALSE))</f>
        <v>2.8044871790000001</v>
      </c>
      <c r="T536">
        <f ca="1">IF(AND(ISNUMBER($T$1196),$B$677=1),$T$1196,HLOOKUP(INDIRECT(ADDRESS(2,COLUMN())),OFFSET($BN$2,0,0,ROW()-1,60),ROW()-1,FALSE))</f>
        <v>3.0124802750000002</v>
      </c>
      <c r="U536">
        <f ca="1">IF(AND(ISNUMBER($U$1196),$B$677=1),$U$1196,HLOOKUP(INDIRECT(ADDRESS(2,COLUMN())),OFFSET($BN$2,0,0,ROW()-1,60),ROW()-1,FALSE))</f>
        <v>2.5600390100000001</v>
      </c>
      <c r="V536">
        <f ca="1">IF(AND(ISNUMBER($V$1196),$B$677=1),$V$1196,HLOOKUP(INDIRECT(ADDRESS(2,COLUMN())),OFFSET($BN$2,0,0,ROW()-1,60),ROW()-1,FALSE))</f>
        <v>2.3857807470000001</v>
      </c>
      <c r="W536">
        <f ca="1">IF(AND(ISNUMBER($W$1196),$B$677=1),$W$1196,HLOOKUP(INDIRECT(ADDRESS(2,COLUMN())),OFFSET($BN$2,0,0,ROW()-1,60),ROW()-1,FALSE))</f>
        <v>2.6462026989999998</v>
      </c>
      <c r="X536">
        <f ca="1">IF(AND(ISNUMBER($X$1196),$B$677=1),$X$1196,HLOOKUP(INDIRECT(ADDRESS(2,COLUMN())),OFFSET($BN$2,0,0,ROW()-1,60),ROW()-1,FALSE))</f>
        <v>3.09453814</v>
      </c>
      <c r="Y536">
        <f ca="1">IF(AND(ISNUMBER($Y$1196),$B$677=1),$Y$1196,HLOOKUP(INDIRECT(ADDRESS(2,COLUMN())),OFFSET($BN$2,0,0,ROW()-1,60),ROW()-1,FALSE))</f>
        <v>3.28731098</v>
      </c>
      <c r="Z536">
        <f ca="1">IF(AND(ISNUMBER($Z$1196),$B$677=1),$Z$1196,HLOOKUP(INDIRECT(ADDRESS(2,COLUMN())),OFFSET($BN$2,0,0,ROW()-1,60),ROW()-1,FALSE))</f>
        <v>2.8321318230000001</v>
      </c>
      <c r="AA536">
        <f ca="1">IF(AND(ISNUMBER($AA$1196),$B$677=1),$AA$1196,HLOOKUP(INDIRECT(ADDRESS(2,COLUMN())),OFFSET($BN$2,0,0,ROW()-1,60),ROW()-1,FALSE))</f>
        <v>2.5700934580000001</v>
      </c>
      <c r="AB536">
        <f ca="1">IF(AND(ISNUMBER($AB$1196),$B$677=1),$AB$1196,HLOOKUP(INDIRECT(ADDRESS(2,COLUMN())),OFFSET($BN$2,0,0,ROW()-1,60),ROW()-1,FALSE))</f>
        <v>2.6315789469999999</v>
      </c>
      <c r="AC536">
        <f ca="1">IF(AND(ISNUMBER($AC$1196),$B$677=1),$AC$1196,HLOOKUP(INDIRECT(ADDRESS(2,COLUMN())),OFFSET($BN$2,0,0,ROW()-1,60),ROW()-1,FALSE))</f>
        <v>2.7545909850000001</v>
      </c>
      <c r="AD536">
        <f ca="1">IF(AND(ISNUMBER($AD$1196),$B$677=1),$AD$1196,HLOOKUP(INDIRECT(ADDRESS(2,COLUMN())),OFFSET($BN$2,0,0,ROW()-1,60),ROW()-1,FALSE))</f>
        <v>1.851851852</v>
      </c>
      <c r="AE536">
        <f ca="1">IF(AND(ISNUMBER($AE$1196),$B$677=1),$AE$1196,HLOOKUP(INDIRECT(ADDRESS(2,COLUMN())),OFFSET($BN$2,0,0,ROW()-1,60),ROW()-1,FALSE))</f>
        <v>2.247191011</v>
      </c>
      <c r="AF536">
        <f ca="1">IF(AND(ISNUMBER($AF$1196),$B$677=1),$AF$1196,HLOOKUP(INDIRECT(ADDRESS(2,COLUMN())),OFFSET($BN$2,0,0,ROW()-1,60),ROW()-1,FALSE))</f>
        <v>2.9605263160000002</v>
      </c>
      <c r="AG536">
        <f ca="1">IF(AND(ISNUMBER($AG$1196),$B$677=1),$AG$1196,HLOOKUP(INDIRECT(ADDRESS(2,COLUMN())),OFFSET($BN$2,0,0,ROW()-1,60),ROW()-1,FALSE))</f>
        <v>2.8213166140000001</v>
      </c>
      <c r="AH536">
        <f ca="1">IF(AND(ISNUMBER($AH$1196),$B$677=1),$AH$1196,HLOOKUP(INDIRECT(ADDRESS(2,COLUMN())),OFFSET($BN$2,0,0,ROW()-1,60),ROW()-1,FALSE))</f>
        <v>1.4005602239999999</v>
      </c>
      <c r="AI536">
        <f ca="1">IF(AND(ISNUMBER($AI$1196),$B$677=1),$AI$1196,HLOOKUP(INDIRECT(ADDRESS(2,COLUMN())),OFFSET($BN$2,0,0,ROW()-1,60),ROW()-1,FALSE))</f>
        <v>1.949317739</v>
      </c>
      <c r="AJ536">
        <f ca="1">IF(AND(ISNUMBER($AJ$1196),$B$677=1),$AJ$1196,HLOOKUP(INDIRECT(ADDRESS(2,COLUMN())),OFFSET($BN$2,0,0,ROW()-1,60),ROW()-1,FALSE))</f>
        <v>1.8601190480000001</v>
      </c>
      <c r="AK536">
        <f ca="1">IF(AND(ISNUMBER($AK$1196),$B$677=1),$AK$1196,HLOOKUP(INDIRECT(ADDRESS(2,COLUMN())),OFFSET($BN$2,0,0,ROW()-1,60),ROW()-1,FALSE))</f>
        <v>1.538461538</v>
      </c>
      <c r="AL536">
        <f ca="1">IF(AND(ISNUMBER($AL$1196),$B$677=1),$AL$1196,HLOOKUP(INDIRECT(ADDRESS(2,COLUMN())),OFFSET($BN$2,0,0,ROW()-1,60),ROW()-1,FALSE))</f>
        <v>1.4925373129999999</v>
      </c>
      <c r="AM536">
        <f ca="1">IF(AND(ISNUMBER($AM$1196),$B$677=1),$AM$1196,HLOOKUP(INDIRECT(ADDRESS(2,COLUMN())),OFFSET($BN$2,0,0,ROW()-1,60),ROW()-1,FALSE))</f>
        <v>1.552795031</v>
      </c>
      <c r="AN536">
        <f ca="1">IF(AND(ISNUMBER($AN$1196),$B$677=1),$AN$1196,HLOOKUP(INDIRECT(ADDRESS(2,COLUMN())),OFFSET($BN$2,0,0,ROW()-1,60),ROW()-1,FALSE))</f>
        <v>1.6677785190000001</v>
      </c>
      <c r="AO536">
        <f ca="1">IF(AND(ISNUMBER($AO$1196),$B$677=1),$AO$1196,HLOOKUP(INDIRECT(ADDRESS(2,COLUMN())),OFFSET($BN$2,0,0,ROW()-1,60),ROW()-1,FALSE))</f>
        <v>1.623376623</v>
      </c>
      <c r="AP536">
        <f ca="1">IF(AND(ISNUMBER($AP$1196),$B$677=1),$AP$1196,HLOOKUP(INDIRECT(ADDRESS(2,COLUMN())),OFFSET($BN$2,0,0,ROW()-1,60),ROW()-1,FALSE))</f>
        <v>1.201602136</v>
      </c>
      <c r="AQ536">
        <f ca="1">IF(AND(ISNUMBER($AQ$1196),$B$677=1),$AQ$1196,HLOOKUP(INDIRECT(ADDRESS(2,COLUMN())),OFFSET($BN$2,0,0,ROW()-1,60),ROW()-1,FALSE))</f>
        <v>1.1597938139999999</v>
      </c>
      <c r="AR536">
        <f ca="1">IF(AND(ISNUMBER($AR$1196),$B$677=1),$AR$1196,HLOOKUP(INDIRECT(ADDRESS(2,COLUMN())),OFFSET($BN$2,0,0,ROW()-1,60),ROW()-1,FALSE))</f>
        <v>1.2605042019999999</v>
      </c>
      <c r="AS536">
        <f ca="1">IF(AND(ISNUMBER($AS$1196),$B$677=1),$AS$1196,HLOOKUP(INDIRECT(ADDRESS(2,COLUMN())),OFFSET($BN$2,0,0,ROW()-1,60),ROW()-1,FALSE))</f>
        <v>1.2261580379999999</v>
      </c>
      <c r="AT536">
        <f ca="1">IF(AND(ISNUMBER($AT$1196),$B$677=1),$AT$1196,HLOOKUP(INDIRECT(ADDRESS(2,COLUMN())),OFFSET($BN$2,0,0,ROW()-1,60),ROW()-1,FALSE))</f>
        <v>3.2051282049999998</v>
      </c>
      <c r="AU536">
        <f ca="1">IF(AND(ISNUMBER($AU$1196),$B$677=1),$AU$1196,HLOOKUP(INDIRECT(ADDRESS(2,COLUMN())),OFFSET($BN$2,0,0,ROW()-1,60),ROW()-1,FALSE))</f>
        <v>3.5026269700000001</v>
      </c>
      <c r="AV536">
        <f ca="1">IF(AND(ISNUMBER($AV$1196),$B$677=1),$AV$1196,HLOOKUP(INDIRECT(ADDRESS(2,COLUMN())),OFFSET($BN$2,0,0,ROW()-1,60),ROW()-1,FALSE))</f>
        <v>3.1963470319999998</v>
      </c>
      <c r="AW536">
        <f ca="1">IF(AND(ISNUMBER($AW$1196),$B$677=1),$AW$1196,HLOOKUP(INDIRECT(ADDRESS(2,COLUMN())),OFFSET($BN$2,0,0,ROW()-1,60),ROW()-1,FALSE))</f>
        <v>2.7944111779999998</v>
      </c>
      <c r="AX536">
        <f ca="1">IF(AND(ISNUMBER($AX$1196),$B$677=1),$AX$1196,HLOOKUP(INDIRECT(ADDRESS(2,COLUMN())),OFFSET($BN$2,0,0,ROW()-1,60),ROW()-1,FALSE))</f>
        <v>2.7162977869999998</v>
      </c>
      <c r="AY536">
        <f ca="1">IF(AND(ISNUMBER($AY$1196),$B$677=1),$AY$1196,HLOOKUP(INDIRECT(ADDRESS(2,COLUMN())),OFFSET($BN$2,0,0,ROW()-1,60),ROW()-1,FALSE))</f>
        <v>2.2350993379999999</v>
      </c>
      <c r="AZ536">
        <f ca="1">IF(AND(ISNUMBER($AZ$1196),$B$677=1),$AZ$1196,HLOOKUP(INDIRECT(ADDRESS(2,COLUMN())),OFFSET($BN$2,0,0,ROW()-1,60),ROW()-1,FALSE))</f>
        <v>1.769911504</v>
      </c>
      <c r="BA536">
        <f ca="1">IF(AND(ISNUMBER($BA$1196),$B$677=1),$BA$1196,HLOOKUP(INDIRECT(ADDRESS(2,COLUMN())),OFFSET($BN$2,0,0,ROW()-1,60),ROW()-1,FALSE))</f>
        <v>1.538461538</v>
      </c>
      <c r="BB536">
        <f ca="1">IF(AND(ISNUMBER($BB$1196),$B$677=1),$BB$1196,HLOOKUP(INDIRECT(ADDRESS(2,COLUMN())),OFFSET($BN$2,0,0,ROW()-1,60),ROW()-1,FALSE))</f>
        <v>1.3907284769999999</v>
      </c>
      <c r="BC536">
        <f ca="1">IF(AND(ISNUMBER($BC$1196),$B$677=1),$BC$1196,HLOOKUP(INDIRECT(ADDRESS(2,COLUMN())),OFFSET($BN$2,0,0,ROW()-1,60),ROW()-1,FALSE))</f>
        <v>1.3190954770000001</v>
      </c>
      <c r="BD536">
        <f ca="1">IF(AND(ISNUMBER($BD$1196),$B$677=1),$BD$1196,HLOOKUP(INDIRECT(ADDRESS(2,COLUMN())),OFFSET($BN$2,0,0,ROW()-1,60),ROW()-1,FALSE))</f>
        <v>1.4018691590000001</v>
      </c>
      <c r="BE536">
        <f ca="1">IF(AND(ISNUMBER($BE$1196),$B$677=1),$BE$1196,HLOOKUP(INDIRECT(ADDRESS(2,COLUMN())),OFFSET($BN$2,0,0,ROW()-1,60),ROW()-1,FALSE))</f>
        <v>1.502504174</v>
      </c>
      <c r="BF536">
        <f ca="1">IF(AND(ISNUMBER($BF$1196),$B$677=1),$BF$1196,HLOOKUP(INDIRECT(ADDRESS(2,COLUMN())),OFFSET($BN$2,0,0,ROW()-1,60),ROW()-1,FALSE))</f>
        <v>1.166407465</v>
      </c>
      <c r="BG536">
        <f ca="1">IF(AND(ISNUMBER($BG$1196),$B$677=1),$BG$1196,HLOOKUP(INDIRECT(ADDRESS(2,COLUMN())),OFFSET($BN$2,0,0,ROW()-1,60),ROW()-1,FALSE))</f>
        <v>1.225490196</v>
      </c>
      <c r="BH536">
        <f ca="1">IF(AND(ISNUMBER($BH$1196),$B$677=1),$BH$1196,HLOOKUP(INDIRECT(ADDRESS(2,COLUMN())),OFFSET($BN$2,0,0,ROW()-1,60),ROW()-1,FALSE))</f>
        <v>1.25</v>
      </c>
      <c r="BI536">
        <f ca="1">IF(AND(ISNUMBER($BI$1196),$B$677=1),$BI$1196,HLOOKUP(INDIRECT(ADDRESS(2,COLUMN())),OFFSET($BN$2,0,0,ROW()-1,60),ROW()-1,FALSE))</f>
        <v>1.637279597</v>
      </c>
      <c r="BJ536">
        <f ca="1">IF(AND(ISNUMBER($BJ$1196),$B$677=1),$BJ$1196,HLOOKUP(INDIRECT(ADDRESS(2,COLUMN())),OFFSET($BN$2,0,0,ROW()-1,60),ROW()-1,FALSE))</f>
        <v>1.2531328319999999</v>
      </c>
      <c r="BK536">
        <f ca="1">IF(AND(ISNUMBER($BK$1196),$B$677=1),$BK$1196,HLOOKUP(INDIRECT(ADDRESS(2,COLUMN())),OFFSET($BN$2,0,0,ROW()-1,60),ROW()-1,FALSE))</f>
        <v>1.1990407670000001</v>
      </c>
      <c r="BL536">
        <f ca="1">IF(AND(ISNUMBER($BL$1196),$B$677=1),$BL$1196,HLOOKUP(INDIRECT(ADDRESS(2,COLUMN())),OFFSET($BN$2,0,0,ROW()-1,60),ROW()-1,FALSE))</f>
        <v>1.0663507109999999</v>
      </c>
      <c r="BM536">
        <f ca="1">IF(AND(ISNUMBER($BM$1196),$B$677=1),$BM$1196,HLOOKUP(INDIRECT(ADDRESS(2,COLUMN())),OFFSET($BN$2,0,0,ROW()-1,60),ROW()-1,FALSE))</f>
        <v>1.0180995479999999</v>
      </c>
      <c r="BN536">
        <f>3.273809524</f>
        <v>3.2738095239999998</v>
      </c>
      <c r="BO536">
        <f>3.434280362</f>
        <v>3.434280362</v>
      </c>
      <c r="BP536">
        <f>3.100775194</f>
        <v>3.1007751940000001</v>
      </c>
      <c r="BQ536">
        <f>3.068340307</f>
        <v>3.0683403070000002</v>
      </c>
      <c r="BR536">
        <f>3.223443223</f>
        <v>3.2234432229999999</v>
      </c>
      <c r="BS536">
        <f>2.911409954</f>
        <v>2.9114099539999998</v>
      </c>
      <c r="BT536">
        <f>3.129657228</f>
        <v>3.1296572280000001</v>
      </c>
      <c r="BU536">
        <f>3.563549975</f>
        <v>3.5635499749999999</v>
      </c>
      <c r="BV536">
        <f>3.475670308</f>
        <v>3.4756703080000002</v>
      </c>
      <c r="BW536">
        <f>3.053213143</f>
        <v>3.0532131429999998</v>
      </c>
      <c r="BX536">
        <f>3.633846686</f>
        <v>3.633846686</v>
      </c>
      <c r="BY536">
        <f>4.156769596</f>
        <v>4.1567695960000002</v>
      </c>
      <c r="BZ536">
        <f>3.528225806</f>
        <v>3.528225806</v>
      </c>
      <c r="CA536">
        <f>2.804487179</f>
        <v>2.8044871790000001</v>
      </c>
      <c r="CB536">
        <f>3.012480275</f>
        <v>3.0124802750000002</v>
      </c>
      <c r="CC536">
        <f>2.56003901</f>
        <v>2.5600390100000001</v>
      </c>
      <c r="CD536">
        <f>2.385780747</f>
        <v>2.3857807470000001</v>
      </c>
      <c r="CE536">
        <f>2.646202699</f>
        <v>2.6462026989999998</v>
      </c>
      <c r="CF536">
        <f>3.09453814</f>
        <v>3.09453814</v>
      </c>
      <c r="CG536">
        <f>3.28731098</f>
        <v>3.28731098</v>
      </c>
      <c r="CH536">
        <f>2.832131823</f>
        <v>2.8321318230000001</v>
      </c>
      <c r="CI536">
        <f>2.570093458</f>
        <v>2.5700934580000001</v>
      </c>
      <c r="CJ536">
        <f>2.631578947</f>
        <v>2.6315789469999999</v>
      </c>
      <c r="CK536">
        <f>2.754590985</f>
        <v>2.7545909850000001</v>
      </c>
      <c r="CL536">
        <f>1.851851852</f>
        <v>1.851851852</v>
      </c>
      <c r="CM536">
        <f>2.247191011</f>
        <v>2.247191011</v>
      </c>
      <c r="CN536">
        <f>2.960526316</f>
        <v>2.9605263160000002</v>
      </c>
      <c r="CO536">
        <f>2.821316614</f>
        <v>2.8213166140000001</v>
      </c>
      <c r="CP536">
        <f>1.400560224</f>
        <v>1.4005602239999999</v>
      </c>
      <c r="CQ536">
        <f>1.949317739</f>
        <v>1.949317739</v>
      </c>
      <c r="CR536">
        <f>1.860119048</f>
        <v>1.8601190480000001</v>
      </c>
      <c r="CS536">
        <f>1.538461538</f>
        <v>1.538461538</v>
      </c>
      <c r="CT536">
        <f>1.492537313</f>
        <v>1.4925373129999999</v>
      </c>
      <c r="CU536">
        <f>1.552795031</f>
        <v>1.552795031</v>
      </c>
      <c r="CV536">
        <f>1.667778519</f>
        <v>1.6677785190000001</v>
      </c>
      <c r="CW536">
        <f>1.623376623</f>
        <v>1.623376623</v>
      </c>
      <c r="CX536">
        <f>1.201602136</f>
        <v>1.201602136</v>
      </c>
      <c r="CY536">
        <f>1.159793814</f>
        <v>1.1597938139999999</v>
      </c>
      <c r="CZ536">
        <f>1.260504202</f>
        <v>1.2605042019999999</v>
      </c>
      <c r="DA536">
        <f>1.226158038</f>
        <v>1.2261580379999999</v>
      </c>
      <c r="DB536">
        <f>3.205128205</f>
        <v>3.2051282049999998</v>
      </c>
      <c r="DC536">
        <f>3.50262697</f>
        <v>3.5026269700000001</v>
      </c>
      <c r="DD536">
        <f>3.196347032</f>
        <v>3.1963470319999998</v>
      </c>
      <c r="DE536">
        <f>2.794411178</f>
        <v>2.7944111779999998</v>
      </c>
      <c r="DF536">
        <f>2.716297787</f>
        <v>2.7162977869999998</v>
      </c>
      <c r="DG536">
        <f>2.235099338</f>
        <v>2.2350993379999999</v>
      </c>
      <c r="DH536">
        <f>1.769911504</f>
        <v>1.769911504</v>
      </c>
      <c r="DI536">
        <f>1.538461538</f>
        <v>1.538461538</v>
      </c>
      <c r="DJ536">
        <f>1.390728477</f>
        <v>1.3907284769999999</v>
      </c>
      <c r="DK536">
        <f>1.319095477</f>
        <v>1.3190954770000001</v>
      </c>
      <c r="DL536">
        <f>1.401869159</f>
        <v>1.4018691590000001</v>
      </c>
      <c r="DM536">
        <f>1.502504174</f>
        <v>1.502504174</v>
      </c>
      <c r="DN536">
        <f>1.166407465</f>
        <v>1.166407465</v>
      </c>
      <c r="DO536">
        <f>1.225490196</f>
        <v>1.225490196</v>
      </c>
      <c r="DP536">
        <f>1.25</f>
        <v>1.25</v>
      </c>
      <c r="DQ536">
        <f>1.637279597</f>
        <v>1.637279597</v>
      </c>
      <c r="DR536">
        <f>1.253132832</f>
        <v>1.2531328319999999</v>
      </c>
      <c r="DS536">
        <f>1.199040767</f>
        <v>1.1990407670000001</v>
      </c>
      <c r="DT536">
        <f>1.066350711</f>
        <v>1.0663507109999999</v>
      </c>
      <c r="DU536">
        <f>1.018099548</f>
        <v>1.0180995479999999</v>
      </c>
    </row>
    <row r="537" spans="1:125" x14ac:dyDescent="0.25">
      <c r="A537" t="str">
        <f>"    Volkswagen AG"</f>
        <v xml:space="preserve">    Volkswagen AG</v>
      </c>
      <c r="B537" t="str">
        <f>"VOW GR Equity"</f>
        <v>VOW GR Equity</v>
      </c>
      <c r="C537" t="str">
        <f t="shared" si="36"/>
        <v>DV013</v>
      </c>
      <c r="D537" t="str">
        <f t="shared" si="37"/>
        <v>EQY_DVD_YLD_IND</v>
      </c>
      <c r="E537" t="str">
        <f t="shared" si="38"/>
        <v>Dynamic</v>
      </c>
      <c r="F537">
        <f ca="1">IF(AND(ISNUMBER($F$1197),$B$677=1),$F$1197,HLOOKUP(INDIRECT(ADDRESS(2,COLUMN())),OFFSET($BN$2,0,0,ROW()-1,60),ROW()-1,FALSE))</f>
        <v>3.164139875</v>
      </c>
      <c r="G537">
        <f ca="1">IF(AND(ISNUMBER($G$1197),$B$677=1),$G$1197,HLOOKUP(INDIRECT(ADDRESS(2,COLUMN())),OFFSET($BN$2,0,0,ROW()-1,60),ROW()-1,FALSE))</f>
        <v>2.803738386</v>
      </c>
      <c r="H537">
        <f ca="1">IF(AND(ISNUMBER($H$1197),$B$677=1),$H$1197,HLOOKUP(INDIRECT(ADDRESS(2,COLUMN())),OFFSET($BN$2,0,0,ROW()-1,60),ROW()-1,FALSE))</f>
        <v>2.6121902850000001</v>
      </c>
      <c r="I537">
        <f ca="1">IF(AND(ISNUMBER($I$1197),$B$677=1),$I$1197,HLOOKUP(INDIRECT(ADDRESS(2,COLUMN())),OFFSET($BN$2,0,0,ROW()-1,60),ROW()-1,FALSE))</f>
        <v>2.7561838129999998</v>
      </c>
      <c r="J537">
        <f ca="1">IF(AND(ISNUMBER($J$1197),$B$677=1),$J$1197,HLOOKUP(INDIRECT(ADDRESS(2,COLUMN())),OFFSET($BN$2,0,0,ROW()-1,60),ROW()-1,FALSE))</f>
        <v>2.3941068730000001</v>
      </c>
      <c r="K537">
        <f ca="1">IF(AND(ISNUMBER($K$1197),$B$677=1),$K$1197,HLOOKUP(INDIRECT(ADDRESS(2,COLUMN())),OFFSET($BN$2,0,0,ROW()-1,60),ROW()-1,FALSE))</f>
        <v>1.185536455</v>
      </c>
      <c r="L537">
        <f ca="1">IF(AND(ISNUMBER($L$1197),$B$677=1),$L$1197,HLOOKUP(INDIRECT(ADDRESS(2,COLUMN())),OFFSET($BN$2,0,0,ROW()-1,60),ROW()-1,FALSE))</f>
        <v>1.399090591</v>
      </c>
      <c r="M537">
        <f ca="1">IF(AND(ISNUMBER($M$1197),$B$677=1),$M$1197,HLOOKUP(INDIRECT(ADDRESS(2,COLUMN())),OFFSET($BN$2,0,0,ROW()-1,60),ROW()-1,FALSE))</f>
        <v>1.4688601649999999</v>
      </c>
      <c r="N537">
        <f ca="1">IF(AND(ISNUMBER($N$1197),$B$677=1),$N$1197,HLOOKUP(INDIRECT(ADDRESS(2,COLUMN())),OFFSET($BN$2,0,0,ROW()-1,60),ROW()-1,FALSE))</f>
        <v>1.4322543679999999</v>
      </c>
      <c r="O537">
        <f ca="1">IF(AND(ISNUMBER($O$1197),$B$677=1),$O$1197,HLOOKUP(INDIRECT(ADDRESS(2,COLUMN())),OFFSET($BN$2,0,0,ROW()-1,60),ROW()-1,FALSE))</f>
        <v>8.0438756E-2</v>
      </c>
      <c r="P537">
        <f ca="1">IF(AND(ISNUMBER($P$1197),$B$677=1),$P$1197,HLOOKUP(INDIRECT(ADDRESS(2,COLUMN())),OFFSET($BN$2,0,0,ROW()-1,60),ROW()-1,FALSE))</f>
        <v>8.5596451000000004E-2</v>
      </c>
      <c r="Q537">
        <f ca="1">IF(AND(ISNUMBER($Q$1197),$B$677=1),$Q$1197,HLOOKUP(INDIRECT(ADDRESS(2,COLUMN())),OFFSET($BN$2,0,0,ROW()-1,60),ROW()-1,FALSE))</f>
        <v>9.0112230000000001E-2</v>
      </c>
      <c r="R537">
        <f ca="1">IF(AND(ISNUMBER($R$1197),$B$677=1),$R$1197,HLOOKUP(INDIRECT(ADDRESS(2,COLUMN())),OFFSET($BN$2,0,0,ROW()-1,60),ROW()-1,FALSE))</f>
        <v>3.7664784920000001</v>
      </c>
      <c r="S537">
        <f ca="1">IF(AND(ISNUMBER($S$1197),$B$677=1),$S$1197,HLOOKUP(INDIRECT(ADDRESS(2,COLUMN())),OFFSET($BN$2,0,0,ROW()-1,60),ROW()-1,FALSE))</f>
        <v>3.3731554400000001</v>
      </c>
      <c r="T537">
        <f ca="1">IF(AND(ISNUMBER($T$1197),$B$677=1),$T$1197,HLOOKUP(INDIRECT(ADDRESS(2,COLUMN())),OFFSET($BN$2,0,0,ROW()-1,60),ROW()-1,FALSE))</f>
        <v>4.4922790739999998</v>
      </c>
      <c r="U537">
        <f ca="1">IF(AND(ISNUMBER($U$1197),$B$677=1),$U$1197,HLOOKUP(INDIRECT(ADDRESS(2,COLUMN())),OFFSET($BN$2,0,0,ROW()-1,60),ROW()-1,FALSE))</f>
        <v>2.3115820810000001</v>
      </c>
      <c r="V537">
        <f ca="1">IF(AND(ISNUMBER($V$1197),$B$677=1),$V$1197,HLOOKUP(INDIRECT(ADDRESS(2,COLUMN())),OFFSET($BN$2,0,0,ROW()-1,60),ROW()-1,FALSE))</f>
        <v>2.0070078819999999</v>
      </c>
      <c r="W537">
        <f ca="1">IF(AND(ISNUMBER($W$1197),$B$677=1),$W$1197,HLOOKUP(INDIRECT(ADDRESS(2,COLUMN())),OFFSET($BN$2,0,0,ROW()-1,60),ROW()-1,FALSE))</f>
        <v>2.2209883399999999</v>
      </c>
      <c r="X537">
        <f ca="1">IF(AND(ISNUMBER($X$1197),$B$677=1),$X$1197,HLOOKUP(INDIRECT(ADDRESS(2,COLUMN())),OFFSET($BN$2,0,0,ROW()-1,60),ROW()-1,FALSE))</f>
        <v>2.4467824810000001</v>
      </c>
      <c r="Y537">
        <f ca="1">IF(AND(ISNUMBER($Y$1197),$B$677=1),$Y$1197,HLOOKUP(INDIRECT(ADDRESS(2,COLUMN())),OFFSET($BN$2,0,0,ROW()-1,60),ROW()-1,FALSE))</f>
        <v>2.1246082749999999</v>
      </c>
      <c r="Z537">
        <f ca="1">IF(AND(ISNUMBER($Z$1197),$B$677=1),$Z$1197,HLOOKUP(INDIRECT(ADDRESS(2,COLUMN())),OFFSET($BN$2,0,0,ROW()-1,60),ROW()-1,FALSE))</f>
        <v>2.173794902</v>
      </c>
      <c r="AA537">
        <f ca="1">IF(AND(ISNUMBER($AA$1197),$B$677=1),$AA$1197,HLOOKUP(INDIRECT(ADDRESS(2,COLUMN())),OFFSET($BN$2,0,0,ROW()-1,60),ROW()-1,FALSE))</f>
        <v>1.7775520570000001</v>
      </c>
      <c r="AB537">
        <f ca="1">IF(AND(ISNUMBER($AB$1197),$B$677=1),$AB$1197,HLOOKUP(INDIRECT(ADDRESS(2,COLUMN())),OFFSET($BN$2,0,0,ROW()-1,60),ROW()-1,FALSE))</f>
        <v>2.0859407590000001</v>
      </c>
      <c r="AC537">
        <f ca="1">IF(AND(ISNUMBER($AC$1197),$B$677=1),$AC$1197,HLOOKUP(INDIRECT(ADDRESS(2,COLUMN())),OFFSET($BN$2,0,0,ROW()-1,60),ROW()-1,FALSE))</f>
        <v>2.3348899269999999</v>
      </c>
      <c r="AD537">
        <f ca="1">IF(AND(ISNUMBER($AD$1197),$B$677=1),$AD$1197,HLOOKUP(INDIRECT(ADDRESS(2,COLUMN())),OFFSET($BN$2,0,0,ROW()-1,60),ROW()-1,FALSE))</f>
        <v>2.3874162700000001</v>
      </c>
      <c r="AE537">
        <f ca="1">IF(AND(ISNUMBER($AE$1197),$B$677=1),$AE$1197,HLOOKUP(INDIRECT(ADDRESS(2,COLUMN())),OFFSET($BN$2,0,0,ROW()-1,60),ROW()-1,FALSE))</f>
        <v>1.8433179719999999</v>
      </c>
      <c r="AF537">
        <f ca="1">IF(AND(ISNUMBER($AF$1197),$B$677=1),$AF$1197,HLOOKUP(INDIRECT(ADDRESS(2,COLUMN())),OFFSET($BN$2,0,0,ROW()-1,60),ROW()-1,FALSE))</f>
        <v>2.3000843359999998</v>
      </c>
      <c r="AG537">
        <f ca="1">IF(AND(ISNUMBER($AG$1197),$B$677=1),$AG$1197,HLOOKUP(INDIRECT(ADDRESS(2,COLUMN())),OFFSET($BN$2,0,0,ROW()-1,60),ROW()-1,FALSE))</f>
        <v>2.545824847</v>
      </c>
      <c r="AH537">
        <f ca="1">IF(AND(ISNUMBER($AH$1197),$B$677=1),$AH$1197,HLOOKUP(INDIRECT(ADDRESS(2,COLUMN())),OFFSET($BN$2,0,0,ROW()-1,60),ROW()-1,FALSE))</f>
        <v>2.4777006940000001</v>
      </c>
      <c r="AI537">
        <f ca="1">IF(AND(ISNUMBER($AI$1197),$B$677=1),$AI$1197,HLOOKUP(INDIRECT(ADDRESS(2,COLUMN())),OFFSET($BN$2,0,0,ROW()-1,60),ROW()-1,FALSE))</f>
        <v>2.1225277839999999</v>
      </c>
      <c r="AJ537">
        <f ca="1">IF(AND(ISNUMBER($AJ$1197),$B$677=1),$AJ$1197,HLOOKUP(INDIRECT(ADDRESS(2,COLUMN())),OFFSET($BN$2,0,0,ROW()-1,60),ROW()-1,FALSE))</f>
        <v>2.3434171789999998</v>
      </c>
      <c r="AK537">
        <f ca="1">IF(AND(ISNUMBER($AK$1197),$B$677=1),$AK$1197,HLOOKUP(INDIRECT(ADDRESS(2,COLUMN())),OFFSET($BN$2,0,0,ROW()-1,60),ROW()-1,FALSE))</f>
        <v>1.729695768</v>
      </c>
      <c r="AL537">
        <f ca="1">IF(AND(ISNUMBER($AL$1197),$B$677=1),$AL$1197,HLOOKUP(INDIRECT(ADDRESS(2,COLUMN())),OFFSET($BN$2,0,0,ROW()-1,60),ROW()-1,FALSE))</f>
        <v>2.0312067649999999</v>
      </c>
      <c r="AM537">
        <f ca="1">IF(AND(ISNUMBER($AM$1197),$B$677=1),$AM$1197,HLOOKUP(INDIRECT(ADDRESS(2,COLUMN())),OFFSET($BN$2,0,0,ROW()-1,60),ROW()-1,FALSE))</f>
        <v>1.5108593239999999</v>
      </c>
      <c r="AN537">
        <f ca="1">IF(AND(ISNUMBER($AN$1197),$B$677=1),$AN$1197,HLOOKUP(INDIRECT(ADDRESS(2,COLUMN())),OFFSET($BN$2,0,0,ROW()-1,60),ROW()-1,FALSE))</f>
        <v>1.9792182380000001</v>
      </c>
      <c r="AO537">
        <f ca="1">IF(AND(ISNUMBER($AO$1197),$B$677=1),$AO$1197,HLOOKUP(INDIRECT(ADDRESS(2,COLUMN())),OFFSET($BN$2,0,0,ROW()-1,60),ROW()-1,FALSE))</f>
        <v>2.2975301890000002</v>
      </c>
      <c r="AP537">
        <f ca="1">IF(AND(ISNUMBER($AP$1197),$B$677=1),$AP$1197,HLOOKUP(INDIRECT(ADDRESS(2,COLUMN())),OFFSET($BN$2,0,0,ROW()-1,60),ROW()-1,FALSE))</f>
        <v>2.2346369049999999</v>
      </c>
      <c r="AQ537">
        <f ca="1">IF(AND(ISNUMBER($AQ$1197),$B$677=1),$AQ$1197,HLOOKUP(INDIRECT(ADDRESS(2,COLUMN())),OFFSET($BN$2,0,0,ROW()-1,60),ROW()-1,FALSE))</f>
        <v>2.506493495</v>
      </c>
      <c r="AR537">
        <f ca="1">IF(AND(ISNUMBER($AR$1197),$B$677=1),$AR$1197,HLOOKUP(INDIRECT(ADDRESS(2,COLUMN())),OFFSET($BN$2,0,0,ROW()-1,60),ROW()-1,FALSE))</f>
        <v>1.7109928999999999</v>
      </c>
      <c r="AS537">
        <f ca="1">IF(AND(ISNUMBER($AS$1197),$B$677=1),$AS$1197,HLOOKUP(INDIRECT(ADDRESS(2,COLUMN())),OFFSET($BN$2,0,0,ROW()-1,60),ROW()-1,FALSE))</f>
        <v>0.800265369</v>
      </c>
      <c r="AT537">
        <f ca="1">IF(AND(ISNUMBER($AT$1197),$B$677=1),$AT$1197,HLOOKUP(INDIRECT(ADDRESS(2,COLUMN())),OFFSET($BN$2,0,0,ROW()-1,60),ROW()-1,FALSE))</f>
        <v>0.84022637899999997</v>
      </c>
      <c r="AU537">
        <f ca="1">IF(AND(ISNUMBER($AU$1197),$B$677=1),$AU$1197,HLOOKUP(INDIRECT(ADDRESS(2,COLUMN())),OFFSET($BN$2,0,0,ROW()-1,60),ROW()-1,FALSE))</f>
        <v>0.71999998899999995</v>
      </c>
      <c r="AV537">
        <f ca="1">IF(AND(ISNUMBER($AV$1197),$B$677=1),$AV$1197,HLOOKUP(INDIRECT(ADDRESS(2,COLUMN())),OFFSET($BN$2,0,0,ROW()-1,60),ROW()-1,FALSE))</f>
        <v>0.64608757100000003</v>
      </c>
      <c r="AW537">
        <f ca="1">IF(AND(ISNUMBER($AW$1197),$B$677=1),$AW$1197,HLOOKUP(INDIRECT(ADDRESS(2,COLUMN())),OFFSET($BN$2,0,0,ROW()-1,60),ROW()-1,FALSE))</f>
        <v>0.98468269799999997</v>
      </c>
      <c r="AX537">
        <f ca="1">IF(AND(ISNUMBER($AX$1197),$B$677=1),$AX$1197,HLOOKUP(INDIRECT(ADDRESS(2,COLUMN())),OFFSET($BN$2,0,0,ROW()-1,60),ROW()-1,FALSE))</f>
        <v>0.97879280700000004</v>
      </c>
      <c r="AY537">
        <f ca="1">IF(AND(ISNUMBER($AY$1197),$B$677=1),$AY$1197,HLOOKUP(INDIRECT(ADDRESS(2,COLUMN())),OFFSET($BN$2,0,0,ROW()-1,60),ROW()-1,FALSE))</f>
        <v>0.80051233099999997</v>
      </c>
      <c r="AZ537">
        <f ca="1">IF(AND(ISNUMBER($AZ$1197),$B$677=1),$AZ$1197,HLOOKUP(INDIRECT(ADDRESS(2,COLUMN())),OFFSET($BN$2,0,0,ROW()-1,60),ROW()-1,FALSE))</f>
        <v>0.788146283</v>
      </c>
      <c r="BA537">
        <f ca="1">IF(AND(ISNUMBER($BA$1197),$B$677=1),$BA$1197,HLOOKUP(INDIRECT(ADDRESS(2,COLUMN())),OFFSET($BN$2,0,0,ROW()-1,60),ROW()-1,FALSE))</f>
        <v>1.0622928570000001</v>
      </c>
      <c r="BB537">
        <f ca="1">IF(AND(ISNUMBER($BB$1197),$B$677=1),$BB$1197,HLOOKUP(INDIRECT(ADDRESS(2,COLUMN())),OFFSET($BN$2,0,0,ROW()-1,60),ROW()-1,FALSE))</f>
        <v>1.1102229370000001</v>
      </c>
      <c r="BC537">
        <f ca="1">IF(AND(ISNUMBER($BC$1197),$B$677=1),$BC$1197,HLOOKUP(INDIRECT(ADDRESS(2,COLUMN())),OFFSET($BN$2,0,0,ROW()-1,60),ROW()-1,FALSE))</f>
        <v>1.3361217599999999</v>
      </c>
      <c r="BD537">
        <f ca="1">IF(AND(ISNUMBER($BD$1197),$B$677=1),$BD$1197,HLOOKUP(INDIRECT(ADDRESS(2,COLUMN())),OFFSET($BN$2,0,0,ROW()-1,60),ROW()-1,FALSE))</f>
        <v>1.704461241</v>
      </c>
      <c r="BE537">
        <f ca="1">IF(AND(ISNUMBER($BE$1197),$B$677=1),$BE$1197,HLOOKUP(INDIRECT(ADDRESS(2,COLUMN())),OFFSET($BN$2,0,0,ROW()-1,60),ROW()-1,FALSE))</f>
        <v>2.0973919369999998</v>
      </c>
      <c r="BF537">
        <f ca="1">IF(AND(ISNUMBER($BF$1197),$B$677=1),$BF$1197,HLOOKUP(INDIRECT(ADDRESS(2,COLUMN())),OFFSET($BN$2,0,0,ROW()-1,60),ROW()-1,FALSE))</f>
        <v>1.8578352170000001</v>
      </c>
      <c r="BG537">
        <f ca="1">IF(AND(ISNUMBER($BG$1197),$B$677=1),$BG$1197,HLOOKUP(INDIRECT(ADDRESS(2,COLUMN())),OFFSET($BN$2,0,0,ROW()-1,60),ROW()-1,FALSE))</f>
        <v>2.353732334</v>
      </c>
      <c r="BH537">
        <f ca="1">IF(AND(ISNUMBER($BH$1197),$B$677=1),$BH$1197,HLOOKUP(INDIRECT(ADDRESS(2,COLUMN())),OFFSET($BN$2,0,0,ROW()-1,60),ROW()-1,FALSE))</f>
        <v>2.0455873640000002</v>
      </c>
      <c r="BI537">
        <f ca="1">IF(AND(ISNUMBER($BI$1197),$B$677=1),$BI$1197,HLOOKUP(INDIRECT(ADDRESS(2,COLUMN())),OFFSET($BN$2,0,0,ROW()-1,60),ROW()-1,FALSE))</f>
        <v>2.7836691249999999</v>
      </c>
      <c r="BJ537">
        <f ca="1">IF(AND(ISNUMBER($BJ$1197),$B$677=1),$BJ$1197,HLOOKUP(INDIRECT(ADDRESS(2,COLUMN())),OFFSET($BN$2,0,0,ROW()-1,60),ROW()-1,FALSE))</f>
        <v>2.8633760399999999</v>
      </c>
      <c r="BK537">
        <f ca="1">IF(AND(ISNUMBER($BK$1197),$B$677=1),$BK$1197,HLOOKUP(INDIRECT(ADDRESS(2,COLUMN())),OFFSET($BN$2,0,0,ROW()-1,60),ROW()-1,FALSE))</f>
        <v>3.1484257690000002</v>
      </c>
      <c r="BL537">
        <f ca="1">IF(AND(ISNUMBER($BL$1197),$B$677=1),$BL$1197,HLOOKUP(INDIRECT(ADDRESS(2,COLUMN())),OFFSET($BN$2,0,0,ROW()-1,60),ROW()-1,FALSE))</f>
        <v>3.3936651389999999</v>
      </c>
      <c r="BM537">
        <f ca="1">IF(AND(ISNUMBER($BM$1197),$B$677=1),$BM$1197,HLOOKUP(INDIRECT(ADDRESS(2,COLUMN())),OFFSET($BN$2,0,0,ROW()-1,60),ROW()-1,FALSE))</f>
        <v>3.0259365819999999</v>
      </c>
      <c r="BN537">
        <f>3.164139875</f>
        <v>3.164139875</v>
      </c>
      <c r="BO537">
        <f>2.803738386</f>
        <v>2.803738386</v>
      </c>
      <c r="BP537">
        <f>2.612190285</f>
        <v>2.6121902850000001</v>
      </c>
      <c r="BQ537">
        <f>2.756183813</f>
        <v>2.7561838129999998</v>
      </c>
      <c r="BR537">
        <f>2.394106873</f>
        <v>2.3941068730000001</v>
      </c>
      <c r="BS537">
        <f>1.185536455</f>
        <v>1.185536455</v>
      </c>
      <c r="BT537">
        <f>1.399090591</f>
        <v>1.399090591</v>
      </c>
      <c r="BU537">
        <f>1.468860165</f>
        <v>1.4688601649999999</v>
      </c>
      <c r="BV537">
        <f>1.432254368</f>
        <v>1.4322543679999999</v>
      </c>
      <c r="BW537">
        <f>0.080438756</f>
        <v>8.0438756E-2</v>
      </c>
      <c r="BX537">
        <f>0.085596451</f>
        <v>8.5596451000000004E-2</v>
      </c>
      <c r="BY537">
        <f>0.09011223</f>
        <v>9.0112230000000001E-2</v>
      </c>
      <c r="BZ537">
        <f>3.766478492</f>
        <v>3.7664784920000001</v>
      </c>
      <c r="CA537">
        <f>3.37315544</f>
        <v>3.3731554400000001</v>
      </c>
      <c r="CB537">
        <f>4.492279074</f>
        <v>4.4922790739999998</v>
      </c>
      <c r="CC537">
        <f>2.311582081</f>
        <v>2.3115820810000001</v>
      </c>
      <c r="CD537">
        <f>2.007007882</f>
        <v>2.0070078819999999</v>
      </c>
      <c r="CE537">
        <f>2.22098834</f>
        <v>2.2209883399999999</v>
      </c>
      <c r="CF537">
        <f>2.446782481</f>
        <v>2.4467824810000001</v>
      </c>
      <c r="CG537">
        <f>2.124608275</f>
        <v>2.1246082749999999</v>
      </c>
      <c r="CH537">
        <f>2.173794902</f>
        <v>2.173794902</v>
      </c>
      <c r="CI537">
        <f>1.777552057</f>
        <v>1.7775520570000001</v>
      </c>
      <c r="CJ537">
        <f>2.085940759</f>
        <v>2.0859407590000001</v>
      </c>
      <c r="CK537">
        <f>2.334889927</f>
        <v>2.3348899269999999</v>
      </c>
      <c r="CL537">
        <f>2.38741627</f>
        <v>2.3874162700000001</v>
      </c>
      <c r="CM537">
        <f>1.843317972</f>
        <v>1.8433179719999999</v>
      </c>
      <c r="CN537">
        <f>2.300084336</f>
        <v>2.3000843359999998</v>
      </c>
      <c r="CO537">
        <f>2.545824847</f>
        <v>2.545824847</v>
      </c>
      <c r="CP537">
        <f>2.477700694</f>
        <v>2.4777006940000001</v>
      </c>
      <c r="CQ537">
        <f>2.122527784</f>
        <v>2.1225277839999999</v>
      </c>
      <c r="CR537">
        <f>2.343417179</f>
        <v>2.3434171789999998</v>
      </c>
      <c r="CS537">
        <f>1.729695768</f>
        <v>1.729695768</v>
      </c>
      <c r="CT537">
        <f>2.031206765</f>
        <v>2.0312067649999999</v>
      </c>
      <c r="CU537">
        <f>1.510859324</f>
        <v>1.5108593239999999</v>
      </c>
      <c r="CV537">
        <f>1.979218238</f>
        <v>1.9792182380000001</v>
      </c>
      <c r="CW537">
        <f>2.297530189</f>
        <v>2.2975301890000002</v>
      </c>
      <c r="CX537">
        <f>2.234636905</f>
        <v>2.2346369049999999</v>
      </c>
      <c r="CY537">
        <f>2.506493495</f>
        <v>2.506493495</v>
      </c>
      <c r="CZ537">
        <f>1.7109929</f>
        <v>1.7109928999999999</v>
      </c>
      <c r="DA537">
        <f>0.800265369</f>
        <v>0.800265369</v>
      </c>
      <c r="DB537">
        <f>0.840226379</f>
        <v>0.84022637899999997</v>
      </c>
      <c r="DC537">
        <f>0.719999989</f>
        <v>0.71999998899999995</v>
      </c>
      <c r="DD537">
        <f>0.646087571</f>
        <v>0.64608757100000003</v>
      </c>
      <c r="DE537">
        <f>0.984682698</f>
        <v>0.98468269799999997</v>
      </c>
      <c r="DF537">
        <f>0.978792807</f>
        <v>0.97879280700000004</v>
      </c>
      <c r="DG537">
        <f>0.800512331</f>
        <v>0.80051233099999997</v>
      </c>
      <c r="DH537">
        <f>0.788146283</f>
        <v>0.788146283</v>
      </c>
      <c r="DI537">
        <f>1.062292857</f>
        <v>1.0622928570000001</v>
      </c>
      <c r="DJ537">
        <f>1.110222937</f>
        <v>1.1102229370000001</v>
      </c>
      <c r="DK537">
        <f>1.33612176</f>
        <v>1.3361217599999999</v>
      </c>
      <c r="DL537">
        <f>1.704461241</f>
        <v>1.704461241</v>
      </c>
      <c r="DM537">
        <f>2.097391937</f>
        <v>2.0973919369999998</v>
      </c>
      <c r="DN537">
        <f>1.857835217</f>
        <v>1.8578352170000001</v>
      </c>
      <c r="DO537">
        <f>2.353732334</f>
        <v>2.353732334</v>
      </c>
      <c r="DP537">
        <f>2.045587364</f>
        <v>2.0455873640000002</v>
      </c>
      <c r="DQ537">
        <f>2.783669125</f>
        <v>2.7836691249999999</v>
      </c>
      <c r="DR537">
        <f>2.86337604</f>
        <v>2.8633760399999999</v>
      </c>
      <c r="DS537">
        <f>3.148425769</f>
        <v>3.1484257690000002</v>
      </c>
      <c r="DT537">
        <f>3.393665139</f>
        <v>3.3936651389999999</v>
      </c>
      <c r="DU537">
        <f>3.025936582</f>
        <v>3.0259365819999999</v>
      </c>
    </row>
    <row r="538" spans="1:125" x14ac:dyDescent="0.25">
      <c r="A538" t="str">
        <f>"    Yulon Motor Co Ltd"</f>
        <v xml:space="preserve">    Yulon Motor Co Ltd</v>
      </c>
      <c r="B538" t="str">
        <f>"2201 TT Equity"</f>
        <v>2201 TT Equity</v>
      </c>
      <c r="C538" t="str">
        <f t="shared" si="36"/>
        <v>DV013</v>
      </c>
      <c r="D538" t="str">
        <f t="shared" si="37"/>
        <v>EQY_DVD_YLD_IND</v>
      </c>
      <c r="E538" t="str">
        <f t="shared" si="38"/>
        <v>Dynamic</v>
      </c>
      <c r="F538">
        <f ca="1">IF(AND(ISNUMBER($F$1198),$B$677=1),$F$1198,HLOOKUP(INDIRECT(ADDRESS(2,COLUMN())),OFFSET($BN$2,0,0,ROW()-1,60),ROW()-1,FALSE))</f>
        <v>3.0606859279999998</v>
      </c>
      <c r="G538">
        <f ca="1">IF(AND(ISNUMBER($G$1198),$B$677=1),$G$1198,HLOOKUP(INDIRECT(ADDRESS(2,COLUMN())),OFFSET($BN$2,0,0,ROW()-1,60),ROW()-1,FALSE))</f>
        <v>3.1868130950000002</v>
      </c>
      <c r="H538">
        <f ca="1">IF(AND(ISNUMBER($H$1198),$B$677=1),$H$1198,HLOOKUP(INDIRECT(ADDRESS(2,COLUMN())),OFFSET($BN$2,0,0,ROW()-1,60),ROW()-1,FALSE))</f>
        <v>2.6728109830000002</v>
      </c>
      <c r="I538">
        <f ca="1">IF(AND(ISNUMBER($I$1198),$B$677=1),$I$1198,HLOOKUP(INDIRECT(ADDRESS(2,COLUMN())),OFFSET($BN$2,0,0,ROW()-1,60),ROW()-1,FALSE))</f>
        <v>2.7488150870000001</v>
      </c>
      <c r="J538">
        <f ca="1">IF(AND(ISNUMBER($J$1198),$B$677=1),$J$1198,HLOOKUP(INDIRECT(ADDRESS(2,COLUMN())),OFFSET($BN$2,0,0,ROW()-1,60),ROW()-1,FALSE))</f>
        <v>2.5663716079999999</v>
      </c>
      <c r="K538">
        <f ca="1">IF(AND(ISNUMBER($K$1198),$B$677=1),$K$1198,HLOOKUP(INDIRECT(ADDRESS(2,COLUMN())),OFFSET($BN$2,0,0,ROW()-1,60),ROW()-1,FALSE))</f>
        <v>2.0703933750000001</v>
      </c>
      <c r="L538">
        <f ca="1">IF(AND(ISNUMBER($L$1198),$B$677=1),$L$1198,HLOOKUP(INDIRECT(ADDRESS(2,COLUMN())),OFFSET($BN$2,0,0,ROW()-1,60),ROW()-1,FALSE))</f>
        <v>1.930501931</v>
      </c>
      <c r="M538">
        <f ca="1">IF(AND(ISNUMBER($M$1198),$B$677=1),$M$1198,HLOOKUP(INDIRECT(ADDRESS(2,COLUMN())),OFFSET($BN$2,0,0,ROW()-1,60),ROW()-1,FALSE))</f>
        <v>1.8315018320000001</v>
      </c>
      <c r="N538">
        <f ca="1">IF(AND(ISNUMBER($N$1198),$B$677=1),$N$1198,HLOOKUP(INDIRECT(ADDRESS(2,COLUMN())),OFFSET($BN$2,0,0,ROW()-1,60),ROW()-1,FALSE))</f>
        <v>1.769911504</v>
      </c>
      <c r="O538">
        <f ca="1">IF(AND(ISNUMBER($O$1198),$B$677=1),$O$1198,HLOOKUP(INDIRECT(ADDRESS(2,COLUMN())),OFFSET($BN$2,0,0,ROW()-1,60),ROW()-1,FALSE))</f>
        <v>3.358208866</v>
      </c>
      <c r="P538">
        <f ca="1">IF(AND(ISNUMBER($P$1198),$B$677=1),$P$1198,HLOOKUP(INDIRECT(ADDRESS(2,COLUMN())),OFFSET($BN$2,0,0,ROW()-1,60),ROW()-1,FALSE))</f>
        <v>3.2667875720000001</v>
      </c>
      <c r="Q538">
        <f ca="1">IF(AND(ISNUMBER($Q$1198),$B$677=1),$Q$1198,HLOOKUP(INDIRECT(ADDRESS(2,COLUMN())),OFFSET($BN$2,0,0,ROW()-1,60),ROW()-1,FALSE))</f>
        <v>3.2967032089999999</v>
      </c>
      <c r="R538">
        <f ca="1">IF(AND(ISNUMBER($R$1198),$B$677=1),$R$1198,HLOOKUP(INDIRECT(ADDRESS(2,COLUMN())),OFFSET($BN$2,0,0,ROW()-1,60),ROW()-1,FALSE))</f>
        <v>2.8799999239999998</v>
      </c>
      <c r="S538">
        <f ca="1">IF(AND(ISNUMBER($S$1198),$B$677=1),$S$1198,HLOOKUP(INDIRECT(ADDRESS(2,COLUMN())),OFFSET($BN$2,0,0,ROW()-1,60),ROW()-1,FALSE))</f>
        <v>2.317880755</v>
      </c>
      <c r="T538">
        <f ca="1">IF(AND(ISNUMBER($T$1198),$B$677=1),$T$1198,HLOOKUP(INDIRECT(ADDRESS(2,COLUMN())),OFFSET($BN$2,0,0,ROW()-1,60),ROW()-1,FALSE))</f>
        <v>2.3769099759999999</v>
      </c>
      <c r="U538">
        <f ca="1">IF(AND(ISNUMBER($U$1198),$B$677=1),$U$1198,HLOOKUP(INDIRECT(ADDRESS(2,COLUMN())),OFFSET($BN$2,0,0,ROW()-1,60),ROW()-1,FALSE))</f>
        <v>1.955307229</v>
      </c>
      <c r="V538">
        <f ca="1">IF(AND(ISNUMBER($V$1198),$B$677=1),$V$1198,HLOOKUP(INDIRECT(ADDRESS(2,COLUMN())),OFFSET($BN$2,0,0,ROW()-1,60),ROW()-1,FALSE))</f>
        <v>1.6374268729999999</v>
      </c>
      <c r="W538">
        <f ca="1">IF(AND(ISNUMBER($W$1198),$B$677=1),$W$1198,HLOOKUP(INDIRECT(ADDRESS(2,COLUMN())),OFFSET($BN$2,0,0,ROW()-1,60),ROW()-1,FALSE))</f>
        <v>1.5053763179999999</v>
      </c>
      <c r="X538">
        <f ca="1">IF(AND(ISNUMBER($X$1198),$B$677=1),$X$1198,HLOOKUP(INDIRECT(ADDRESS(2,COLUMN())),OFFSET($BN$2,0,0,ROW()-1,60),ROW()-1,FALSE))</f>
        <v>1.538461512</v>
      </c>
      <c r="Y538">
        <f ca="1">IF(AND(ISNUMBER($Y$1198),$B$677=1),$Y$1198,HLOOKUP(INDIRECT(ADDRESS(2,COLUMN())),OFFSET($BN$2,0,0,ROW()-1,60),ROW()-1,FALSE))</f>
        <v>1.440329194</v>
      </c>
      <c r="Z538">
        <f ca="1">IF(AND(ISNUMBER($Z$1198),$B$677=1),$Z$1198,HLOOKUP(INDIRECT(ADDRESS(2,COLUMN())),OFFSET($BN$2,0,0,ROW()-1,60),ROW()-1,FALSE))</f>
        <v>1.3916500759999999</v>
      </c>
      <c r="AA538">
        <f ca="1">IF(AND(ISNUMBER($AA$1198),$B$677=1),$AA$1198,HLOOKUP(INDIRECT(ADDRESS(2,COLUMN())),OFFSET($BN$2,0,0,ROW()-1,60),ROW()-1,FALSE))</f>
        <v>1.481481504</v>
      </c>
      <c r="AB538">
        <f ca="1">IF(AND(ISNUMBER($AB$1198),$B$677=1),$AB$1198,HLOOKUP(INDIRECT(ADDRESS(2,COLUMN())),OFFSET($BN$2,0,0,ROW()-1,60),ROW()-1,FALSE))</f>
        <v>1.6161616400000001</v>
      </c>
      <c r="AC538">
        <f ca="1">IF(AND(ISNUMBER($AC$1198),$B$677=1),$AC$1198,HLOOKUP(INDIRECT(ADDRESS(2,COLUMN())),OFFSET($BN$2,0,0,ROW()-1,60),ROW()-1,FALSE))</f>
        <v>1.6666666919999999</v>
      </c>
      <c r="AD538">
        <f ca="1">IF(AND(ISNUMBER($AD$1198),$B$677=1),$AD$1198,HLOOKUP(INDIRECT(ADDRESS(2,COLUMN())),OFFSET($BN$2,0,0,ROW()-1,60),ROW()-1,FALSE))</f>
        <v>1.498127363</v>
      </c>
      <c r="AE538">
        <f ca="1">IF(AND(ISNUMBER($AE$1198),$B$677=1),$AE$1198,HLOOKUP(INDIRECT(ADDRESS(2,COLUMN())),OFFSET($BN$2,0,0,ROW()-1,60),ROW()-1,FALSE))</f>
        <v>1.818181818</v>
      </c>
      <c r="AF538">
        <f ca="1">IF(AND(ISNUMBER($AF$1198),$B$677=1),$AF$1198,HLOOKUP(INDIRECT(ADDRESS(2,COLUMN())),OFFSET($BN$2,0,0,ROW()-1,60),ROW()-1,FALSE))</f>
        <v>1.6949152540000001</v>
      </c>
      <c r="AG538">
        <f ca="1">IF(AND(ISNUMBER($AG$1198),$B$677=1),$AG$1198,HLOOKUP(INDIRECT(ADDRESS(2,COLUMN())),OFFSET($BN$2,0,0,ROW()-1,60),ROW()-1,FALSE))</f>
        <v>1.908396947</v>
      </c>
      <c r="AH538">
        <f ca="1">IF(AND(ISNUMBER($AH$1198),$B$677=1),$AH$1198,HLOOKUP(INDIRECT(ADDRESS(2,COLUMN())),OFFSET($BN$2,0,0,ROW()-1,60),ROW()-1,FALSE))</f>
        <v>1.773049645</v>
      </c>
      <c r="AI538">
        <f ca="1">IF(AND(ISNUMBER($AI$1198),$B$677=1),$AI$1198,HLOOKUP(INDIRECT(ADDRESS(2,COLUMN())),OFFSET($BN$2,0,0,ROW()-1,60),ROW()-1,FALSE))</f>
        <v>1.923076923</v>
      </c>
      <c r="AJ538">
        <f ca="1">IF(AND(ISNUMBER($AJ$1198),$B$677=1),$AJ$1198,HLOOKUP(INDIRECT(ADDRESS(2,COLUMN())),OFFSET($BN$2,0,0,ROW()-1,60),ROW()-1,FALSE))</f>
        <v>1.733102253</v>
      </c>
      <c r="AK538">
        <f ca="1">IF(AND(ISNUMBER($AK$1198),$B$677=1),$AK$1198,HLOOKUP(INDIRECT(ADDRESS(2,COLUMN())),OFFSET($BN$2,0,0,ROW()-1,60),ROW()-1,FALSE))</f>
        <v>1.418439716</v>
      </c>
      <c r="AL538">
        <f ca="1">IF(AND(ISNUMBER($AL$1198),$B$677=1),$AL$1198,HLOOKUP(INDIRECT(ADDRESS(2,COLUMN())),OFFSET($BN$2,0,0,ROW()-1,60),ROW()-1,FALSE))</f>
        <v>1.8416206260000001</v>
      </c>
      <c r="AM538">
        <f ca="1">IF(AND(ISNUMBER($AM$1198),$B$677=1),$AM$1198,HLOOKUP(INDIRECT(ADDRESS(2,COLUMN())),OFFSET($BN$2,0,0,ROW()-1,60),ROW()-1,FALSE))</f>
        <v>0.56645056800000004</v>
      </c>
      <c r="AN538">
        <f ca="1">IF(AND(ISNUMBER($AN$1198),$B$677=1),$AN$1198,HLOOKUP(INDIRECT(ADDRESS(2,COLUMN())),OFFSET($BN$2,0,0,ROW()-1,60),ROW()-1,FALSE))</f>
        <v>0.619680852</v>
      </c>
      <c r="AO538">
        <f ca="1">IF(AND(ISNUMBER($AO$1198),$B$677=1),$AO$1198,HLOOKUP(INDIRECT(ADDRESS(2,COLUMN())),OFFSET($BN$2,0,0,ROW()-1,60),ROW()-1,FALSE))</f>
        <v>1.0990566049999999</v>
      </c>
      <c r="AP538">
        <f ca="1">IF(AND(ISNUMBER($AP$1198),$B$677=1),$AP$1198,HLOOKUP(INDIRECT(ADDRESS(2,COLUMN())),OFFSET($BN$2,0,0,ROW()-1,60),ROW()-1,FALSE))</f>
        <v>0.99148936300000001</v>
      </c>
      <c r="AQ538">
        <f ca="1">IF(AND(ISNUMBER($AQ$1198),$B$677=1),$AQ$1198,HLOOKUP(INDIRECT(ADDRESS(2,COLUMN())),OFFSET($BN$2,0,0,ROW()-1,60),ROW()-1,FALSE))</f>
        <v>0.212201587</v>
      </c>
      <c r="AR538">
        <f ca="1">IF(AND(ISNUMBER($AR$1198),$B$677=1),$AR$1198,HLOOKUP(INDIRECT(ADDRESS(2,COLUMN())),OFFSET($BN$2,0,0,ROW()-1,60),ROW()-1,FALSE))</f>
        <v>0.21650879100000001</v>
      </c>
      <c r="AS538">
        <f ca="1">IF(AND(ISNUMBER($AS$1198),$B$677=1),$AS$1198,HLOOKUP(INDIRECT(ADDRESS(2,COLUMN())),OFFSET($BN$2,0,0,ROW()-1,60),ROW()-1,FALSE))</f>
        <v>0.25641025099999998</v>
      </c>
      <c r="AT538">
        <f ca="1">IF(AND(ISNUMBER($AT$1198),$B$677=1),$AT$1198,HLOOKUP(INDIRECT(ADDRESS(2,COLUMN())),OFFSET($BN$2,0,0,ROW()-1,60),ROW()-1,FALSE))</f>
        <v>3.1837415569999998</v>
      </c>
      <c r="AU538">
        <f ca="1">IF(AND(ISNUMBER($AU$1198),$B$677=1),$AU$1198,HLOOKUP(INDIRECT(ADDRESS(2,COLUMN())),OFFSET($BN$2,0,0,ROW()-1,60),ROW()-1,FALSE))</f>
        <v>4.1659596959999998</v>
      </c>
      <c r="AV538">
        <f ca="1">IF(AND(ISNUMBER($AV$1198),$B$677=1),$AV$1198,HLOOKUP(INDIRECT(ADDRESS(2,COLUMN())),OFFSET($BN$2,0,0,ROW()-1,60),ROW()-1,FALSE))</f>
        <v>3.4052192300000002</v>
      </c>
      <c r="AW538">
        <f ca="1">IF(AND(ISNUMBER($AW$1198),$B$677=1),$AW$1198,HLOOKUP(INDIRECT(ADDRESS(2,COLUMN())),OFFSET($BN$2,0,0,ROW()-1,60),ROW()-1,FALSE))</f>
        <v>1.9355679589999999</v>
      </c>
      <c r="AX538">
        <f ca="1">IF(AND(ISNUMBER($AX$1198),$B$677=1),$AX$1198,HLOOKUP(INDIRECT(ADDRESS(2,COLUMN())),OFFSET($BN$2,0,0,ROW()-1,60),ROW()-1,FALSE))</f>
        <v>1.3487668129999999</v>
      </c>
      <c r="AY538">
        <f ca="1">IF(AND(ISNUMBER($AY$1198),$B$677=1),$AY$1198,HLOOKUP(INDIRECT(ADDRESS(2,COLUMN())),OFFSET($BN$2,0,0,ROW()-1,60),ROW()-1,FALSE))</f>
        <v>2.6731575190000001</v>
      </c>
      <c r="AZ538">
        <f ca="1">IF(AND(ISNUMBER($AZ$1198),$B$677=1),$AZ$1198,HLOOKUP(INDIRECT(ADDRESS(2,COLUMN())),OFFSET($BN$2,0,0,ROW()-1,60),ROW()-1,FALSE))</f>
        <v>2.2228662789999998</v>
      </c>
      <c r="BA538">
        <f ca="1">IF(AND(ISNUMBER($BA$1198),$B$677=1),$BA$1198,HLOOKUP(INDIRECT(ADDRESS(2,COLUMN())),OFFSET($BN$2,0,0,ROW()-1,60),ROW()-1,FALSE))</f>
        <v>2.083283921</v>
      </c>
      <c r="BB538">
        <f ca="1">IF(AND(ISNUMBER($BB$1198),$B$677=1),$BB$1198,HLOOKUP(INDIRECT(ADDRESS(2,COLUMN())),OFFSET($BN$2,0,0,ROW()-1,60),ROW()-1,FALSE))</f>
        <v>2.2680913660000002</v>
      </c>
      <c r="BC538">
        <f ca="1">IF(AND(ISNUMBER($BC$1198),$B$677=1),$BC$1198,HLOOKUP(INDIRECT(ADDRESS(2,COLUMN())),OFFSET($BN$2,0,0,ROW()-1,60),ROW()-1,FALSE))</f>
        <v>3.741348125</v>
      </c>
      <c r="BD538">
        <f ca="1">IF(AND(ISNUMBER($BD$1198),$B$677=1),$BD$1198,HLOOKUP(INDIRECT(ADDRESS(2,COLUMN())),OFFSET($BN$2,0,0,ROW()-1,60),ROW()-1,FALSE))</f>
        <v>4.4048658999999999</v>
      </c>
      <c r="BE538">
        <f ca="1">IF(AND(ISNUMBER($BE$1198),$B$677=1),$BE$1198,HLOOKUP(INDIRECT(ADDRESS(2,COLUMN())),OFFSET($BN$2,0,0,ROW()-1,60),ROW()-1,FALSE))</f>
        <v>3.8610038530000002</v>
      </c>
      <c r="BF538">
        <f ca="1">IF(AND(ISNUMBER($BF$1198),$B$677=1),$BF$1198,HLOOKUP(INDIRECT(ADDRESS(2,COLUMN())),OFFSET($BN$2,0,0,ROW()-1,60),ROW()-1,FALSE))</f>
        <v>4.9916805220000002</v>
      </c>
      <c r="BG538">
        <f ca="1">IF(AND(ISNUMBER($BG$1198),$B$677=1),$BG$1198,HLOOKUP(INDIRECT(ADDRESS(2,COLUMN())),OFFSET($BN$2,0,0,ROW()-1,60),ROW()-1,FALSE))</f>
        <v>5.127032754</v>
      </c>
      <c r="BH538">
        <f ca="1">IF(AND(ISNUMBER($BH$1198),$B$677=1),$BH$1198,HLOOKUP(INDIRECT(ADDRESS(2,COLUMN())),OFFSET($BN$2,0,0,ROW()-1,60),ROW()-1,FALSE))</f>
        <v>5.4899401929999998</v>
      </c>
      <c r="BI538">
        <f ca="1">IF(AND(ISNUMBER($BI$1198),$B$677=1),$BI$1198,HLOOKUP(INDIRECT(ADDRESS(2,COLUMN())),OFFSET($BN$2,0,0,ROW()-1,60),ROW()-1,FALSE))</f>
        <v>5.0546449349999998</v>
      </c>
      <c r="BJ538">
        <f ca="1">IF(AND(ISNUMBER($BJ$1198),$B$677=1),$BJ$1198,HLOOKUP(INDIRECT(ADDRESS(2,COLUMN())),OFFSET($BN$2,0,0,ROW()-1,60),ROW()-1,FALSE))</f>
        <v>4.7680413560000003</v>
      </c>
      <c r="BK538">
        <f ca="1">IF(AND(ISNUMBER($BK$1198),$B$677=1),$BK$1198,HLOOKUP(INDIRECT(ADDRESS(2,COLUMN())),OFFSET($BN$2,0,0,ROW()-1,60),ROW()-1,FALSE))</f>
        <v>6.2744467520000002</v>
      </c>
      <c r="BL538">
        <f ca="1">IF(AND(ISNUMBER($BL$1198),$B$677=1),$BL$1198,HLOOKUP(INDIRECT(ADDRESS(2,COLUMN())),OFFSET($BN$2,0,0,ROW()-1,60),ROW()-1,FALSE))</f>
        <v>6.4672370150000003</v>
      </c>
      <c r="BM538">
        <f ca="1">IF(AND(ISNUMBER($BM$1198),$B$677=1),$BM$1198,HLOOKUP(INDIRECT(ADDRESS(2,COLUMN())),OFFSET($BN$2,0,0,ROW()-1,60),ROW()-1,FALSE))</f>
        <v>4.0322579169999999</v>
      </c>
      <c r="BN538">
        <f>3.060685928</f>
        <v>3.0606859279999998</v>
      </c>
      <c r="BO538">
        <f>3.186813095</f>
        <v>3.1868130950000002</v>
      </c>
      <c r="BP538">
        <f>2.672810983</f>
        <v>2.6728109830000002</v>
      </c>
      <c r="BQ538">
        <f>2.748815087</f>
        <v>2.7488150870000001</v>
      </c>
      <c r="BR538">
        <f>2.566371608</f>
        <v>2.5663716079999999</v>
      </c>
      <c r="BS538">
        <f>2.070393375</f>
        <v>2.0703933750000001</v>
      </c>
      <c r="BT538">
        <f>1.930501931</f>
        <v>1.930501931</v>
      </c>
      <c r="BU538">
        <f>1.831501832</f>
        <v>1.8315018320000001</v>
      </c>
      <c r="BV538">
        <f>1.769911504</f>
        <v>1.769911504</v>
      </c>
      <c r="BW538">
        <f>3.358208866</f>
        <v>3.358208866</v>
      </c>
      <c r="BX538">
        <f>3.266787572</f>
        <v>3.2667875720000001</v>
      </c>
      <c r="BY538">
        <f>3.296703209</f>
        <v>3.2967032089999999</v>
      </c>
      <c r="BZ538">
        <f>2.879999924</f>
        <v>2.8799999239999998</v>
      </c>
      <c r="CA538">
        <f>2.317880755</f>
        <v>2.317880755</v>
      </c>
      <c r="CB538">
        <f>2.376909976</f>
        <v>2.3769099759999999</v>
      </c>
      <c r="CC538">
        <f>1.955307229</f>
        <v>1.955307229</v>
      </c>
      <c r="CD538">
        <f>1.637426873</f>
        <v>1.6374268729999999</v>
      </c>
      <c r="CE538">
        <f>1.505376318</f>
        <v>1.5053763179999999</v>
      </c>
      <c r="CF538">
        <f>1.538461512</f>
        <v>1.538461512</v>
      </c>
      <c r="CG538">
        <f>1.440329194</f>
        <v>1.440329194</v>
      </c>
      <c r="CH538">
        <f>1.391650076</f>
        <v>1.3916500759999999</v>
      </c>
      <c r="CI538">
        <f>1.481481504</f>
        <v>1.481481504</v>
      </c>
      <c r="CJ538">
        <f>1.61616164</f>
        <v>1.6161616400000001</v>
      </c>
      <c r="CK538">
        <f>1.666666692</f>
        <v>1.6666666919999999</v>
      </c>
      <c r="CL538">
        <f>1.498127363</f>
        <v>1.498127363</v>
      </c>
      <c r="CM538">
        <f>1.818181818</f>
        <v>1.818181818</v>
      </c>
      <c r="CN538">
        <f>1.694915254</f>
        <v>1.6949152540000001</v>
      </c>
      <c r="CO538">
        <f>1.908396947</f>
        <v>1.908396947</v>
      </c>
      <c r="CP538">
        <f>1.773049645</f>
        <v>1.773049645</v>
      </c>
      <c r="CQ538">
        <f>1.923076923</f>
        <v>1.923076923</v>
      </c>
      <c r="CR538">
        <f>1.733102253</f>
        <v>1.733102253</v>
      </c>
      <c r="CS538">
        <f>1.418439716</f>
        <v>1.418439716</v>
      </c>
      <c r="CT538">
        <f>1.841620626</f>
        <v>1.8416206260000001</v>
      </c>
      <c r="CU538">
        <f>0.566450568</f>
        <v>0.56645056800000004</v>
      </c>
      <c r="CV538">
        <f>0.619680852</f>
        <v>0.619680852</v>
      </c>
      <c r="CW538">
        <f>1.099056605</f>
        <v>1.0990566049999999</v>
      </c>
      <c r="CX538">
        <f>0.991489363</f>
        <v>0.99148936300000001</v>
      </c>
      <c r="CY538">
        <f>0.212201587</f>
        <v>0.212201587</v>
      </c>
      <c r="CZ538">
        <f>0.216508791</f>
        <v>0.21650879100000001</v>
      </c>
      <c r="DA538">
        <f>0.256410251</f>
        <v>0.25641025099999998</v>
      </c>
      <c r="DB538">
        <f>3.183741557</f>
        <v>3.1837415569999998</v>
      </c>
      <c r="DC538">
        <f>4.165959696</f>
        <v>4.1659596959999998</v>
      </c>
      <c r="DD538">
        <f>3.40521923</f>
        <v>3.4052192300000002</v>
      </c>
      <c r="DE538">
        <f>1.935567959</f>
        <v>1.9355679589999999</v>
      </c>
      <c r="DF538">
        <f>1.348766813</f>
        <v>1.3487668129999999</v>
      </c>
      <c r="DG538">
        <f>2.673157519</f>
        <v>2.6731575190000001</v>
      </c>
      <c r="DH538">
        <f>2.222866279</f>
        <v>2.2228662789999998</v>
      </c>
      <c r="DI538">
        <f>2.083283921</f>
        <v>2.083283921</v>
      </c>
      <c r="DJ538">
        <f>2.268091366</f>
        <v>2.2680913660000002</v>
      </c>
      <c r="DK538">
        <f>3.741348125</f>
        <v>3.741348125</v>
      </c>
      <c r="DL538">
        <f>4.4048659</f>
        <v>4.4048658999999999</v>
      </c>
      <c r="DM538">
        <f>3.861003853</f>
        <v>3.8610038530000002</v>
      </c>
      <c r="DN538">
        <f>4.991680522</f>
        <v>4.9916805220000002</v>
      </c>
      <c r="DO538">
        <f>5.127032754</f>
        <v>5.127032754</v>
      </c>
      <c r="DP538">
        <f>5.489940193</f>
        <v>5.4899401929999998</v>
      </c>
      <c r="DQ538">
        <f>5.054644935</f>
        <v>5.0546449349999998</v>
      </c>
      <c r="DR538">
        <f>4.768041356</f>
        <v>4.7680413560000003</v>
      </c>
      <c r="DS538">
        <f>6.274446752</f>
        <v>6.2744467520000002</v>
      </c>
      <c r="DT538">
        <f>6.467237015</f>
        <v>6.4672370150000003</v>
      </c>
      <c r="DU538">
        <f>4.032257917</f>
        <v>4.0322579169999999</v>
      </c>
    </row>
    <row r="539" spans="1:125" x14ac:dyDescent="0.25">
      <c r="A539" t="str">
        <f>"EBIT Yield"</f>
        <v>EBIT Yield</v>
      </c>
      <c r="B539" t="str">
        <f>""</f>
        <v/>
      </c>
      <c r="E539" t="str">
        <f>"Average"</f>
        <v>Average</v>
      </c>
      <c r="F539">
        <f ca="1">IF(ISERROR(IF(AVERAGE($F$540:$F$579) = 0, "", AVERAGE($F$540:$F$579))), "", (IF(AVERAGE($F$540:$F$579) = 0, "", AVERAGE($F$540:$F$579))))</f>
        <v>8.7881535849999999</v>
      </c>
      <c r="G539">
        <f ca="1">IF(ISERROR(IF(AVERAGE($G$540:$G$579) = 0, "", AVERAGE($G$540:$G$579))), "", (IF(AVERAGE($G$540:$G$579) = 0, "", AVERAGE($G$540:$G$579))))</f>
        <v>8.2570598145806464</v>
      </c>
      <c r="H539">
        <f ca="1">IF(ISERROR(IF(AVERAGE($H$540:$H$579) = 0, "", AVERAGE($H$540:$H$579))), "", (IF(AVERAGE($H$540:$H$579) = 0, "", AVERAGE($H$540:$H$579))))</f>
        <v>6.8559162225161314</v>
      </c>
      <c r="I539">
        <f ca="1">IF(ISERROR(IF(AVERAGE($I$540:$I$579) = 0, "", AVERAGE($I$540:$I$579))), "", (IF(AVERAGE($I$540:$I$579) = 0, "", AVERAGE($I$540:$I$579))))</f>
        <v>7.8185005590322572</v>
      </c>
      <c r="J539">
        <f ca="1">IF(ISERROR(IF(AVERAGE($J$540:$J$579) = 0, "", AVERAGE($J$540:$J$579))), "", (IF(AVERAGE($J$540:$J$579) = 0, "", AVERAGE($J$540:$J$579))))</f>
        <v>7.3899779657419362</v>
      </c>
      <c r="K539">
        <f ca="1">IF(ISERROR(IF(AVERAGE($K$540:$K$579) = 0, "", AVERAGE($K$540:$K$579))), "", (IF(AVERAGE($K$540:$K$579) = 0, "", AVERAGE($K$540:$K$579))))</f>
        <v>7.2279335409032246</v>
      </c>
      <c r="L539">
        <f ca="1">IF(ISERROR(IF(AVERAGE($L$540:$L$579) = 0, "", AVERAGE($L$540:$L$579))), "", (IF(AVERAGE($L$540:$L$579) = 0, "", AVERAGE($L$540:$L$579))))</f>
        <v>7.7305235644516115</v>
      </c>
      <c r="M539">
        <f ca="1">IF(ISERROR(IF(AVERAGE($M$540:$M$579) = 0, "", AVERAGE($M$540:$M$579))), "", (IF(AVERAGE($M$540:$M$579) = 0, "", AVERAGE($M$540:$M$579))))</f>
        <v>7.0741511048709684</v>
      </c>
      <c r="N539">
        <f ca="1">IF(ISERROR(IF(AVERAGE($N$540:$N$579) = 0, "", AVERAGE($N$540:$N$579))), "", (IF(AVERAGE($N$540:$N$579) = 0, "", AVERAGE($N$540:$N$579))))</f>
        <v>3.9308880042903218</v>
      </c>
      <c r="O539">
        <f ca="1">IF(ISERROR(IF(AVERAGE($O$540:$O$579) = 0, "", AVERAGE($O$540:$O$579))), "", (IF(AVERAGE($O$540:$O$579) = 0, "", AVERAGE($O$540:$O$579))))</f>
        <v>2.0673645770645153</v>
      </c>
      <c r="P539">
        <f ca="1">IF(ISERROR(IF(AVERAGE($P$540:$P$579) = 0, "", AVERAGE($P$540:$P$579))), "", (IF(AVERAGE($P$540:$P$579) = 0, "", AVERAGE($P$540:$P$579))))</f>
        <v>-2.3222488907500018</v>
      </c>
      <c r="Q539">
        <f ca="1">IF(ISERROR(IF(AVERAGE($Q$540:$Q$579) = 0, "", AVERAGE($Q$540:$Q$579))), "", (IF(AVERAGE($Q$540:$Q$579) = 0, "", AVERAGE($Q$540:$Q$579))))</f>
        <v>-7.9544321042187489</v>
      </c>
      <c r="R539">
        <f ca="1">IF(ISERROR(IF(AVERAGE($R$540:$R$579) = 0, "", AVERAGE($R$540:$R$579))), "", (IF(AVERAGE($R$540:$R$579) = 0, "", AVERAGE($R$540:$R$579))))</f>
        <v>8.0520161897419342</v>
      </c>
      <c r="S539">
        <f ca="1">IF(ISERROR(IF(AVERAGE($S$540:$S$579) = 0, "", AVERAGE($S$540:$S$579))), "", (IF(AVERAGE($S$540:$S$579) = 0, "", AVERAGE($S$540:$S$579))))</f>
        <v>7.5356216736129022</v>
      </c>
      <c r="T539">
        <f ca="1">IF(ISERROR(IF(AVERAGE($T$540:$T$579) = 0, "", AVERAGE($T$540:$T$579))), "", (IF(AVERAGE($T$540:$T$579) = 0, "", AVERAGE($T$540:$T$579))))</f>
        <v>8.8152408221290326</v>
      </c>
      <c r="U539">
        <f ca="1">IF(ISERROR(IF(AVERAGE($U$540:$U$579) = 0, "", AVERAGE($U$540:$U$579))), "", (IF(AVERAGE($U$540:$U$579) = 0, "", AVERAGE($U$540:$U$579))))</f>
        <v>7.812189355580645</v>
      </c>
      <c r="V539">
        <f ca="1">IF(ISERROR(IF(AVERAGE($V$540:$V$579) = 0, "", AVERAGE($V$540:$V$579))), "", (IF(AVERAGE($V$540:$V$579) = 0, "", AVERAGE($V$540:$V$579))))</f>
        <v>6.9618592825806465</v>
      </c>
      <c r="W539">
        <f ca="1">IF(ISERROR(IF(AVERAGE($W$540:$W$579) = 0, "", AVERAGE($W$540:$W$579))), "", (IF(AVERAGE($W$540:$W$579) = 0, "", AVERAGE($W$540:$W$579))))</f>
        <v>7.9863693294516125</v>
      </c>
      <c r="X539">
        <f ca="1">IF(ISERROR(IF(AVERAGE($X$540:$X$579) = 0, "", AVERAGE($X$540:$X$579))), "", (IF(AVERAGE($X$540:$X$579) = 0, "", AVERAGE($X$540:$X$579))))</f>
        <v>7.4583217370333337</v>
      </c>
      <c r="Y539">
        <f ca="1">IF(ISERROR(IF(AVERAGE($Y$540:$Y$579) = 0, "", AVERAGE($Y$540:$Y$579))), "", (IF(AVERAGE($Y$540:$Y$579) = 0, "", AVERAGE($Y$540:$Y$579))))</f>
        <v>7.9008094230999992</v>
      </c>
      <c r="Z539">
        <f ca="1">IF(ISERROR(IF(AVERAGE($Z$540:$Z$579) = 0, "", AVERAGE($Z$540:$Z$579))), "", (IF(AVERAGE($Z$540:$Z$579) = 0, "", AVERAGE($Z$540:$Z$579))))</f>
        <v>8.0982023547000015</v>
      </c>
      <c r="AA539">
        <f ca="1">IF(ISERROR(IF(AVERAGE($AA$540:$AA$579) = 0, "", AVERAGE($AA$540:$AA$579))), "", (IF(AVERAGE($AA$540:$AA$579) = 0, "", AVERAGE($AA$540:$AA$579))))</f>
        <v>7.6456276693333329</v>
      </c>
      <c r="AB539">
        <f ca="1">IF(ISERROR(IF(AVERAGE($AB$540:$AB$579) = 0, "", AVERAGE($AB$540:$AB$579))), "", (IF(AVERAGE($AB$540:$AB$579) = 0, "", AVERAGE($AB$540:$AB$579))))</f>
        <v>4.9959766021000007</v>
      </c>
      <c r="AC539">
        <f ca="1">IF(ISERROR(IF(AVERAGE($AC$540:$AC$579) = 0, "", AVERAGE($AC$540:$AC$579))), "", (IF(AVERAGE($AC$540:$AC$579) = 0, "", AVERAGE($AC$540:$AC$579))))</f>
        <v>4.6906900696999996</v>
      </c>
      <c r="AD539">
        <f ca="1">IF(ISERROR(IF(AVERAGE($AD$540:$AD$579) = 0, "", AVERAGE($AD$540:$AD$579))), "", (IF(AVERAGE($AD$540:$AD$579) = 0, "", AVERAGE($AD$540:$AD$579))))</f>
        <v>4.3562068280666661</v>
      </c>
      <c r="AE539">
        <f ca="1">IF(ISERROR(IF(AVERAGE($AE$540:$AE$579) = 0, "", AVERAGE($AE$540:$AE$579))), "", (IF(AVERAGE($AE$540:$AE$579) = 0, "", AVERAGE($AE$540:$AE$579))))</f>
        <v>5.0255833123333336</v>
      </c>
      <c r="AF539">
        <f ca="1">IF(ISERROR(IF(AVERAGE($AF$540:$AF$579) = 0, "", AVERAGE($AF$540:$AF$579))), "", (IF(AVERAGE($AF$540:$AF$579) = 0, "", AVERAGE($AF$540:$AF$579))))</f>
        <v>9.6875941838214263</v>
      </c>
      <c r="AG539">
        <f ca="1">IF(ISERROR(IF(AVERAGE($AG$540:$AG$579) = 0, "", AVERAGE($AG$540:$AG$579))), "", (IF(AVERAGE($AG$540:$AG$579) = 0, "", AVERAGE($AG$540:$AG$579))))</f>
        <v>10.188090217392856</v>
      </c>
      <c r="AH539">
        <f ca="1">IF(ISERROR(IF(AVERAGE($AH$540:$AH$579) = 0, "", AVERAGE($AH$540:$AH$579))), "", (IF(AVERAGE($AH$540:$AH$579) = 0, "", AVERAGE($AH$540:$AH$579))))</f>
        <v>9.0629712105555562</v>
      </c>
      <c r="AI539">
        <f ca="1">IF(ISERROR(IF(AVERAGE($AI$540:$AI$579) = 0, "", AVERAGE($AI$540:$AI$579))), "", (IF(AVERAGE($AI$540:$AI$579) = 0, "", AVERAGE($AI$540:$AI$579))))</f>
        <v>9.8138441453333325</v>
      </c>
      <c r="AJ539">
        <f ca="1">IF(ISERROR(IF(AVERAGE($AJ$540:$AJ$579) = 0, "", AVERAGE($AJ$540:$AJ$579))), "", (IF(AVERAGE($AJ$540:$AJ$579) = 0, "", AVERAGE($AJ$540:$AJ$579))))</f>
        <v>11.033204397321429</v>
      </c>
      <c r="AK539">
        <f ca="1">IF(ISERROR(IF(AVERAGE($AK$540:$AK$579) = 0, "", AVERAGE($AK$540:$AK$579))), "", (IF(AVERAGE($AK$540:$AK$579) = 0, "", AVERAGE($AK$540:$AK$579))))</f>
        <v>9.0749572982857138</v>
      </c>
      <c r="AL539">
        <f ca="1">IF(ISERROR(IF(AVERAGE($AL$540:$AL$579) = 0, "", AVERAGE($AL$540:$AL$579))), "", (IF(AVERAGE($AL$540:$AL$579) = 0, "", AVERAGE($AL$540:$AL$579))))</f>
        <v>9.2195061546428576</v>
      </c>
      <c r="AM539">
        <f ca="1">IF(ISERROR(IF(AVERAGE($AM$540:$AM$579) = 0, "", AVERAGE($AM$540:$AM$579))), "", (IF(AVERAGE($AM$540:$AM$579) = 0, "", AVERAGE($AM$540:$AM$579))))</f>
        <v>8.4934245194285722</v>
      </c>
      <c r="AN539">
        <f ca="1">IF(ISERROR(IF(AVERAGE($AN$540:$AN$579) = 0, "", AVERAGE($AN$540:$AN$579))), "", (IF(AVERAGE($AN$540:$AN$579) = 0, "", AVERAGE($AN$540:$AN$579))))</f>
        <v>7.9029594555999987</v>
      </c>
      <c r="AO539">
        <f ca="1">IF(ISERROR(IF(AVERAGE($AO$540:$AO$579) = 0, "", AVERAGE($AO$540:$AO$579))), "", (IF(AVERAGE($AO$540:$AO$579) = 0, "", AVERAGE($AO$540:$AO$579))))</f>
        <v>11.22390471330435</v>
      </c>
      <c r="AP539">
        <f ca="1">IF(ISERROR(IF(AVERAGE($AP$540:$AP$579) = 0, "", AVERAGE($AP$540:$AP$579))), "", (IF(AVERAGE($AP$540:$AP$579) = 0, "", AVERAGE($AP$540:$AP$579))))</f>
        <v>6.1317984654090907</v>
      </c>
      <c r="AQ539">
        <f ca="1">IF(ISERROR(IF(AVERAGE($AQ$540:$AQ$579) = 0, "", AVERAGE($AQ$540:$AQ$579))), "", (IF(AVERAGE($AQ$540:$AQ$579) = 0, "", AVERAGE($AQ$540:$AQ$579))))</f>
        <v>0.62573495913636379</v>
      </c>
      <c r="AR539">
        <f ca="1">IF(ISERROR(IF(AVERAGE($AR$540:$AR$579) = 0, "", AVERAGE($AR$540:$AR$579))), "", (IF(AVERAGE($AR$540:$AR$579) = 0, "", AVERAGE($AR$540:$AR$579))))</f>
        <v>-4.1106791710000001</v>
      </c>
      <c r="AS539">
        <f ca="1">IF(ISERROR(IF(AVERAGE($AS$540:$AS$579) = 0, "", AVERAGE($AS$540:$AS$579))), "", (IF(AVERAGE($AS$540:$AS$579) = 0, "", AVERAGE($AS$540:$AS$579))))</f>
        <v>-3.3487997322272731</v>
      </c>
      <c r="AT539">
        <f ca="1">IF(ISERROR(IF(AVERAGE($AT$540:$AT$579) = 0, "", AVERAGE($AT$540:$AT$579))), "", (IF(AVERAGE($AT$540:$AT$579) = 0, "", AVERAGE($AT$540:$AT$579))))</f>
        <v>-4.3293048103181846</v>
      </c>
      <c r="AU539">
        <f ca="1">IF(ISERROR(IF(AVERAGE($AU$540:$AU$579) = 0, "", AVERAGE($AU$540:$AU$579))), "", (IF(AVERAGE($AU$540:$AU$579) = 0, "", AVERAGE($AU$540:$AU$579))))</f>
        <v>6.0364687553809526</v>
      </c>
      <c r="AV539">
        <f ca="1">IF(ISERROR(IF(AVERAGE($AV$540:$AV$579) = 0, "", AVERAGE($AV$540:$AV$579))), "", (IF(AVERAGE($AV$540:$AV$579) = 0, "", AVERAGE($AV$540:$AV$579))))</f>
        <v>11.574775341736844</v>
      </c>
      <c r="AW539">
        <f ca="1">IF(ISERROR(IF(AVERAGE($AW$540:$AW$579) = 0, "", AVERAGE($AW$540:$AW$579))), "", (IF(AVERAGE($AW$540:$AW$579) = 0, "", AVERAGE($AW$540:$AW$579))))</f>
        <v>10.431782267526316</v>
      </c>
      <c r="AX539">
        <f ca="1">IF(ISERROR(IF(AVERAGE($AX$540:$AX$579) = 0, "", AVERAGE($AX$540:$AX$579))), "", (IF(AVERAGE($AX$540:$AX$579) = 0, "", AVERAGE($AX$540:$AX$579))))</f>
        <v>12.43986954331579</v>
      </c>
      <c r="AY539">
        <f ca="1">IF(ISERROR(IF(AVERAGE($AY$540:$AY$579) = 0, "", AVERAGE($AY$540:$AY$579))), "", (IF(AVERAGE($AY$540:$AY$579) = 0, "", AVERAGE($AY$540:$AY$579))))</f>
        <v>10.14339356</v>
      </c>
      <c r="AZ539">
        <f ca="1">IF(ISERROR(IF(AVERAGE($AZ$540:$AZ$579) = 0, "", AVERAGE($AZ$540:$AZ$579))), "", (IF(AVERAGE($AZ$540:$AZ$579) = 0, "", AVERAGE($AZ$540:$AZ$579))))</f>
        <v>7.5085933078421059</v>
      </c>
      <c r="BA539">
        <f ca="1">IF(ISERROR(IF(AVERAGE($BA$540:$BA$579) = 0, "", AVERAGE($BA$540:$BA$579))), "", (IF(AVERAGE($BA$540:$BA$579) = 0, "", AVERAGE($BA$540:$BA$579))))</f>
        <v>4.7450646045263154</v>
      </c>
      <c r="BB539">
        <f ca="1">IF(ISERROR(IF(AVERAGE($BB$540:$BB$579) = 0, "", AVERAGE($BB$540:$BB$579))), "", (IF(AVERAGE($BB$540:$BB$579) = 0, "", AVERAGE($BB$540:$BB$579))))</f>
        <v>3.7342175862105251</v>
      </c>
      <c r="BC539">
        <f ca="1">IF(ISERROR(IF(AVERAGE($BC$540:$BC$579) = 0, "", AVERAGE($BC$540:$BC$579))), "", (IF(AVERAGE($BC$540:$BC$579) = 0, "", AVERAGE($BC$540:$BC$579))))</f>
        <v>1.7509051428947373</v>
      </c>
      <c r="BD539">
        <f ca="1">IF(ISERROR(IF(AVERAGE($BD$540:$BD$579) = 0, "", AVERAGE($BD$540:$BD$579))), "", (IF(AVERAGE($BD$540:$BD$579) = 0, "", AVERAGE($BD$540:$BD$579))))</f>
        <v>3.8782012967894737</v>
      </c>
      <c r="BE539">
        <f ca="1">IF(ISERROR(IF(AVERAGE($BE$540:$BE$579) = 0, "", AVERAGE($BE$540:$BE$579))), "", (IF(AVERAGE($BE$540:$BE$579) = 0, "", AVERAGE($BE$540:$BE$579))))</f>
        <v>5.7440115881578953</v>
      </c>
      <c r="BF539">
        <f ca="1">IF(ISERROR(IF(AVERAGE($BF$540:$BF$579) = 0, "", AVERAGE($BF$540:$BF$579))), "", (IF(AVERAGE($BF$540:$BF$579) = 0, "", AVERAGE($BF$540:$BF$579))))</f>
        <v>5.0935882103684209</v>
      </c>
      <c r="BG539">
        <f ca="1">IF(ISERROR(IF(AVERAGE($BG$540:$BG$579) = 0, "", AVERAGE($BG$540:$BG$579))), "", (IF(AVERAGE($BG$540:$BG$579) = 0, "", AVERAGE($BG$540:$BG$579))))</f>
        <v>7.0822140746666671</v>
      </c>
      <c r="BH539">
        <f ca="1">IF(ISERROR(IF(AVERAGE($BH$540:$BH$579) = 0, "", AVERAGE($BH$540:$BH$579))), "", (IF(AVERAGE($BH$540:$BH$579) = 0, "", AVERAGE($BH$540:$BH$579))))</f>
        <v>7.1411811942777774</v>
      </c>
      <c r="BI539">
        <f ca="1">IF(ISERROR(IF(AVERAGE($BI$540:$BI$579) = 0, "", AVERAGE($BI$540:$BI$579))), "", (IF(AVERAGE($BI$540:$BI$579) = 0, "", AVERAGE($BI$540:$BI$579))))</f>
        <v>7.4677898484117637</v>
      </c>
      <c r="BJ539">
        <f ca="1">IF(ISERROR(IF(AVERAGE($BJ$540:$BJ$579) = 0, "", AVERAGE($BJ$540:$BJ$579))), "", (IF(AVERAGE($BJ$540:$BJ$579) = 0, "", AVERAGE($BJ$540:$BJ$579))))</f>
        <v>7.1675852784705887</v>
      </c>
      <c r="BK539">
        <f ca="1">IF(ISERROR(IF(AVERAGE($BK$540:$BK$579) = 0, "", AVERAGE($BK$540:$BK$579))), "", (IF(AVERAGE($BK$540:$BK$579) = 0, "", AVERAGE($BK$540:$BK$579))))</f>
        <v>5.4283587294615376</v>
      </c>
      <c r="BL539">
        <f ca="1">IF(ISERROR(IF(AVERAGE($BL$540:$BL$579) = 0, "", AVERAGE($BL$540:$BL$579))), "", (IF(AVERAGE($BL$540:$BL$579) = 0, "", AVERAGE($BL$540:$BL$579))))</f>
        <v>5.4680366015384623</v>
      </c>
      <c r="BM539">
        <f ca="1">IF(ISERROR(IF(AVERAGE($BM$540:$BM$579) = 0, "", AVERAGE($BM$540:$BM$579))), "", (IF(AVERAGE($BM$540:$BM$579) = 0, "", AVERAGE($BM$540:$BM$579))))</f>
        <v>7.6634319619999989</v>
      </c>
      <c r="BN539">
        <f>8.788153585</f>
        <v>8.7881535849999999</v>
      </c>
      <c r="BO539">
        <f>8.257059815</f>
        <v>8.2570598149999999</v>
      </c>
      <c r="BP539">
        <f>6.855916222</f>
        <v>6.8559162220000003</v>
      </c>
      <c r="BQ539">
        <f>7.818500559</f>
        <v>7.8185005590000003</v>
      </c>
      <c r="BR539">
        <f>7.389977966</f>
        <v>7.389977966</v>
      </c>
      <c r="BS539">
        <f>7.227933541</f>
        <v>7.2279335409999996</v>
      </c>
      <c r="BT539">
        <f>7.730523564</f>
        <v>7.7305235640000003</v>
      </c>
      <c r="BU539">
        <f>7.074151106</f>
        <v>7.0741511060000004</v>
      </c>
      <c r="BV539">
        <f>3.930888004</f>
        <v>3.9308880039999998</v>
      </c>
      <c r="BW539">
        <f>2.067364579</f>
        <v>2.0673645789999999</v>
      </c>
      <c r="BX539">
        <f>-2.322248892</f>
        <v>-2.3222488920000002</v>
      </c>
      <c r="BY539">
        <f>-7.954432105</f>
        <v>-7.9544321050000004</v>
      </c>
      <c r="BZ539">
        <f>8.052016189</f>
        <v>8.0520161889999997</v>
      </c>
      <c r="CA539">
        <f>7.535621674</f>
        <v>7.5356216739999997</v>
      </c>
      <c r="CB539">
        <f>8.815240822</f>
        <v>8.8152408219999998</v>
      </c>
      <c r="CC539">
        <f>7.812189356</f>
        <v>7.8121893560000002</v>
      </c>
      <c r="CD539">
        <f>6.961859283</f>
        <v>6.9618592829999999</v>
      </c>
      <c r="CE539">
        <f>7.98636933</f>
        <v>7.9863693299999996</v>
      </c>
      <c r="CF539">
        <f>7.458321737</f>
        <v>7.4583217370000003</v>
      </c>
      <c r="CG539">
        <f>7.900809423</f>
        <v>7.9008094230000001</v>
      </c>
      <c r="CH539">
        <f>8.098202354</f>
        <v>8.0982023539999997</v>
      </c>
      <c r="CI539">
        <f>7.645627669</f>
        <v>7.6456276689999996</v>
      </c>
      <c r="CJ539">
        <f>4.995976603</f>
        <v>4.9959766029999999</v>
      </c>
      <c r="CK539">
        <f>4.69069007</f>
        <v>4.6906900699999996</v>
      </c>
      <c r="CL539">
        <f>4.356206828</f>
        <v>4.3562068280000004</v>
      </c>
      <c r="CM539">
        <f>5.025583312</f>
        <v>5.0255833120000002</v>
      </c>
      <c r="CN539">
        <f>9.687594184</f>
        <v>9.6875941839999999</v>
      </c>
      <c r="CO539">
        <f>10.18809022</f>
        <v>10.188090219999999</v>
      </c>
      <c r="CP539">
        <f>9.06297121</f>
        <v>9.0629712100000006</v>
      </c>
      <c r="CQ539">
        <f>9.813844145</f>
        <v>9.8138441449999991</v>
      </c>
      <c r="CR539">
        <f>11.0332044</f>
        <v>11.033204400000001</v>
      </c>
      <c r="CS539">
        <f>9.074957298</f>
        <v>9.0749572979999993</v>
      </c>
      <c r="CT539">
        <f>9.219506154</f>
        <v>9.2195061539999994</v>
      </c>
      <c r="CU539">
        <f>8.493424519</f>
        <v>8.4934245189999995</v>
      </c>
      <c r="CV539">
        <f>7.902959456</f>
        <v>7.9029594559999996</v>
      </c>
      <c r="CW539">
        <f>11.22390471</f>
        <v>11.223904709999999</v>
      </c>
      <c r="CX539">
        <f>6.131798465</f>
        <v>6.1317984650000001</v>
      </c>
      <c r="CY539">
        <f>0.625734959</f>
        <v>0.62573495899999998</v>
      </c>
      <c r="CZ539">
        <f>-4.110679171</f>
        <v>-4.1106791710000001</v>
      </c>
      <c r="DA539">
        <f>-3.348799732</f>
        <v>-3.3487997319999998</v>
      </c>
      <c r="DB539">
        <f>-4.329304814</f>
        <v>-4.3293048140000003</v>
      </c>
      <c r="DC539">
        <f>6.036468759</f>
        <v>6.0364687589999999</v>
      </c>
      <c r="DD539">
        <f>11.57477534</f>
        <v>11.57477534</v>
      </c>
      <c r="DE539">
        <f>10.43178227</f>
        <v>10.431782269999999</v>
      </c>
      <c r="DF539">
        <f>12.43986954</f>
        <v>12.43986954</v>
      </c>
      <c r="DG539">
        <f>10.14339356</f>
        <v>10.14339356</v>
      </c>
      <c r="DH539">
        <f>7.508593308</f>
        <v>7.508593308</v>
      </c>
      <c r="DI539">
        <f>4.745064605</f>
        <v>4.7450646049999996</v>
      </c>
      <c r="DJ539">
        <f>3.734217587</f>
        <v>3.7342175869999998</v>
      </c>
      <c r="DK539">
        <f>1.750905141</f>
        <v>1.7509051410000001</v>
      </c>
      <c r="DL539">
        <f>3.878201297</f>
        <v>3.8782012969999999</v>
      </c>
      <c r="DM539">
        <f>5.744011588</f>
        <v>5.7440115880000002</v>
      </c>
      <c r="DN539">
        <f>5.09358821</f>
        <v>5.0935882100000001</v>
      </c>
      <c r="DO539">
        <f>7.082214074</f>
        <v>7.0822140740000004</v>
      </c>
      <c r="DP539">
        <f>7.141181194</f>
        <v>7.1411811939999996</v>
      </c>
      <c r="DQ539">
        <f>7.467789848</f>
        <v>7.4677898479999998</v>
      </c>
      <c r="DR539">
        <f>7.167585278</f>
        <v>7.1675852779999998</v>
      </c>
      <c r="DS539">
        <f>5.42835873</f>
        <v>5.4283587300000002</v>
      </c>
      <c r="DT539">
        <f>5.468036602</f>
        <v>5.4680366019999997</v>
      </c>
      <c r="DU539">
        <f>7.663431962</f>
        <v>7.6634319619999998</v>
      </c>
    </row>
    <row r="540" spans="1:125" x14ac:dyDescent="0.25">
      <c r="A540" t="str">
        <f>"    AUDI AG"</f>
        <v xml:space="preserve">    AUDI AG</v>
      </c>
      <c r="B540" t="str">
        <f>"NSU GR Equity"</f>
        <v>NSU GR Equity</v>
      </c>
      <c r="C540" t="str">
        <f t="shared" ref="C540:C579" si="39">"RX076"</f>
        <v>RX076</v>
      </c>
      <c r="D540" t="str">
        <f t="shared" ref="D540:D579" si="40">"EBIT_YIELD"</f>
        <v>EBIT_YIELD</v>
      </c>
      <c r="E540" t="str">
        <f t="shared" ref="E540:E579" si="41">"Dynamic"</f>
        <v>Dynamic</v>
      </c>
      <c r="F540" t="str">
        <f ca="1">IF(AND(ISNUMBER($F$1199),$B$677=1),$F$1199,HLOOKUP(INDIRECT(ADDRESS(2,COLUMN())),OFFSET($BN$2,0,0,ROW()-1,60),ROW()-1,FALSE))</f>
        <v/>
      </c>
      <c r="G540" t="str">
        <f ca="1">IF(AND(ISNUMBER($G$1199),$B$677=1),$G$1199,HLOOKUP(INDIRECT(ADDRESS(2,COLUMN())),OFFSET($BN$2,0,0,ROW()-1,60),ROW()-1,FALSE))</f>
        <v/>
      </c>
      <c r="H540" t="str">
        <f ca="1">IF(AND(ISNUMBER($H$1199),$B$677=1),$H$1199,HLOOKUP(INDIRECT(ADDRESS(2,COLUMN())),OFFSET($BN$2,0,0,ROW()-1,60),ROW()-1,FALSE))</f>
        <v/>
      </c>
      <c r="I540" t="str">
        <f ca="1">IF(AND(ISNUMBER($I$1199),$B$677=1),$I$1199,HLOOKUP(INDIRECT(ADDRESS(2,COLUMN())),OFFSET($BN$2,0,0,ROW()-1,60),ROW()-1,FALSE))</f>
        <v/>
      </c>
      <c r="J540" t="str">
        <f ca="1">IF(AND(ISNUMBER($J$1199),$B$677=1),$J$1199,HLOOKUP(INDIRECT(ADDRESS(2,COLUMN())),OFFSET($BN$2,0,0,ROW()-1,60),ROW()-1,FALSE))</f>
        <v/>
      </c>
      <c r="K540" t="str">
        <f ca="1">IF(AND(ISNUMBER($K$1199),$B$677=1),$K$1199,HLOOKUP(INDIRECT(ADDRESS(2,COLUMN())),OFFSET($BN$2,0,0,ROW()-1,60),ROW()-1,FALSE))</f>
        <v/>
      </c>
      <c r="L540" t="str">
        <f ca="1">IF(AND(ISNUMBER($L$1199),$B$677=1),$L$1199,HLOOKUP(INDIRECT(ADDRESS(2,COLUMN())),OFFSET($BN$2,0,0,ROW()-1,60),ROW()-1,FALSE))</f>
        <v/>
      </c>
      <c r="M540" t="str">
        <f ca="1">IF(AND(ISNUMBER($M$1199),$B$677=1),$M$1199,HLOOKUP(INDIRECT(ADDRESS(2,COLUMN())),OFFSET($BN$2,0,0,ROW()-1,60),ROW()-1,FALSE))</f>
        <v/>
      </c>
      <c r="N540" t="str">
        <f ca="1">IF(AND(ISNUMBER($N$1199),$B$677=1),$N$1199,HLOOKUP(INDIRECT(ADDRESS(2,COLUMN())),OFFSET($BN$2,0,0,ROW()-1,60),ROW()-1,FALSE))</f>
        <v/>
      </c>
      <c r="O540" t="str">
        <f ca="1">IF(AND(ISNUMBER($O$1199),$B$677=1),$O$1199,HLOOKUP(INDIRECT(ADDRESS(2,COLUMN())),OFFSET($BN$2,0,0,ROW()-1,60),ROW()-1,FALSE))</f>
        <v/>
      </c>
      <c r="P540" t="str">
        <f ca="1">IF(AND(ISNUMBER($P$1199),$B$677=1),$P$1199,HLOOKUP(INDIRECT(ADDRESS(2,COLUMN())),OFFSET($BN$2,0,0,ROW()-1,60),ROW()-1,FALSE))</f>
        <v/>
      </c>
      <c r="Q540" t="str">
        <f ca="1">IF(AND(ISNUMBER($Q$1199),$B$677=1),$Q$1199,HLOOKUP(INDIRECT(ADDRESS(2,COLUMN())),OFFSET($BN$2,0,0,ROW()-1,60),ROW()-1,FALSE))</f>
        <v/>
      </c>
      <c r="R540" t="str">
        <f ca="1">IF(AND(ISNUMBER($R$1199),$B$677=1),$R$1199,HLOOKUP(INDIRECT(ADDRESS(2,COLUMN())),OFFSET($BN$2,0,0,ROW()-1,60),ROW()-1,FALSE))</f>
        <v/>
      </c>
      <c r="S540" t="str">
        <f ca="1">IF(AND(ISNUMBER($S$1199),$B$677=1),$S$1199,HLOOKUP(INDIRECT(ADDRESS(2,COLUMN())),OFFSET($BN$2,0,0,ROW()-1,60),ROW()-1,FALSE))</f>
        <v/>
      </c>
      <c r="T540" t="str">
        <f ca="1">IF(AND(ISNUMBER($T$1199),$B$677=1),$T$1199,HLOOKUP(INDIRECT(ADDRESS(2,COLUMN())),OFFSET($BN$2,0,0,ROW()-1,60),ROW()-1,FALSE))</f>
        <v/>
      </c>
      <c r="U540" t="str">
        <f ca="1">IF(AND(ISNUMBER($U$1199),$B$677=1),$U$1199,HLOOKUP(INDIRECT(ADDRESS(2,COLUMN())),OFFSET($BN$2,0,0,ROW()-1,60),ROW()-1,FALSE))</f>
        <v/>
      </c>
      <c r="V540" t="str">
        <f ca="1">IF(AND(ISNUMBER($V$1199),$B$677=1),$V$1199,HLOOKUP(INDIRECT(ADDRESS(2,COLUMN())),OFFSET($BN$2,0,0,ROW()-1,60),ROW()-1,FALSE))</f>
        <v/>
      </c>
      <c r="W540" t="str">
        <f ca="1">IF(AND(ISNUMBER($W$1199),$B$677=1),$W$1199,HLOOKUP(INDIRECT(ADDRESS(2,COLUMN())),OFFSET($BN$2,0,0,ROW()-1,60),ROW()-1,FALSE))</f>
        <v/>
      </c>
      <c r="X540" t="str">
        <f ca="1">IF(AND(ISNUMBER($X$1199),$B$677=1),$X$1199,HLOOKUP(INDIRECT(ADDRESS(2,COLUMN())),OFFSET($BN$2,0,0,ROW()-1,60),ROW()-1,FALSE))</f>
        <v/>
      </c>
      <c r="Y540" t="str">
        <f ca="1">IF(AND(ISNUMBER($Y$1199),$B$677=1),$Y$1199,HLOOKUP(INDIRECT(ADDRESS(2,COLUMN())),OFFSET($BN$2,0,0,ROW()-1,60),ROW()-1,FALSE))</f>
        <v/>
      </c>
      <c r="Z540" t="str">
        <f ca="1">IF(AND(ISNUMBER($Z$1199),$B$677=1),$Z$1199,HLOOKUP(INDIRECT(ADDRESS(2,COLUMN())),OFFSET($BN$2,0,0,ROW()-1,60),ROW()-1,FALSE))</f>
        <v/>
      </c>
      <c r="AA540" t="str">
        <f ca="1">IF(AND(ISNUMBER($AA$1199),$B$677=1),$AA$1199,HLOOKUP(INDIRECT(ADDRESS(2,COLUMN())),OFFSET($BN$2,0,0,ROW()-1,60),ROW()-1,FALSE))</f>
        <v/>
      </c>
      <c r="AB540" t="str">
        <f ca="1">IF(AND(ISNUMBER($AB$1199),$B$677=1),$AB$1199,HLOOKUP(INDIRECT(ADDRESS(2,COLUMN())),OFFSET($BN$2,0,0,ROW()-1,60),ROW()-1,FALSE))</f>
        <v/>
      </c>
      <c r="AC540" t="str">
        <f ca="1">IF(AND(ISNUMBER($AC$1199),$B$677=1),$AC$1199,HLOOKUP(INDIRECT(ADDRESS(2,COLUMN())),OFFSET($BN$2,0,0,ROW()-1,60),ROW()-1,FALSE))</f>
        <v/>
      </c>
      <c r="AD540" t="str">
        <f ca="1">IF(AND(ISNUMBER($AD$1199),$B$677=1),$AD$1199,HLOOKUP(INDIRECT(ADDRESS(2,COLUMN())),OFFSET($BN$2,0,0,ROW()-1,60),ROW()-1,FALSE))</f>
        <v/>
      </c>
      <c r="AE540" t="str">
        <f ca="1">IF(AND(ISNUMBER($AE$1199),$B$677=1),$AE$1199,HLOOKUP(INDIRECT(ADDRESS(2,COLUMN())),OFFSET($BN$2,0,0,ROW()-1,60),ROW()-1,FALSE))</f>
        <v/>
      </c>
      <c r="AF540" t="str">
        <f ca="1">IF(AND(ISNUMBER($AF$1199),$B$677=1),$AF$1199,HLOOKUP(INDIRECT(ADDRESS(2,COLUMN())),OFFSET($BN$2,0,0,ROW()-1,60),ROW()-1,FALSE))</f>
        <v/>
      </c>
      <c r="AG540" t="str">
        <f ca="1">IF(AND(ISNUMBER($AG$1199),$B$677=1),$AG$1199,HLOOKUP(INDIRECT(ADDRESS(2,COLUMN())),OFFSET($BN$2,0,0,ROW()-1,60),ROW()-1,FALSE))</f>
        <v/>
      </c>
      <c r="AH540" t="str">
        <f ca="1">IF(AND(ISNUMBER($AH$1199),$B$677=1),$AH$1199,HLOOKUP(INDIRECT(ADDRESS(2,COLUMN())),OFFSET($BN$2,0,0,ROW()-1,60),ROW()-1,FALSE))</f>
        <v/>
      </c>
      <c r="AI540" t="str">
        <f ca="1">IF(AND(ISNUMBER($AI$1199),$B$677=1),$AI$1199,HLOOKUP(INDIRECT(ADDRESS(2,COLUMN())),OFFSET($BN$2,0,0,ROW()-1,60),ROW()-1,FALSE))</f>
        <v/>
      </c>
      <c r="AJ540" t="str">
        <f ca="1">IF(AND(ISNUMBER($AJ$1199),$B$677=1),$AJ$1199,HLOOKUP(INDIRECT(ADDRESS(2,COLUMN())),OFFSET($BN$2,0,0,ROW()-1,60),ROW()-1,FALSE))</f>
        <v/>
      </c>
      <c r="AK540" t="str">
        <f ca="1">IF(AND(ISNUMBER($AK$1199),$B$677=1),$AK$1199,HLOOKUP(INDIRECT(ADDRESS(2,COLUMN())),OFFSET($BN$2,0,0,ROW()-1,60),ROW()-1,FALSE))</f>
        <v/>
      </c>
      <c r="AL540" t="str">
        <f ca="1">IF(AND(ISNUMBER($AL$1199),$B$677=1),$AL$1199,HLOOKUP(INDIRECT(ADDRESS(2,COLUMN())),OFFSET($BN$2,0,0,ROW()-1,60),ROW()-1,FALSE))</f>
        <v/>
      </c>
      <c r="AM540" t="str">
        <f ca="1">IF(AND(ISNUMBER($AM$1199),$B$677=1),$AM$1199,HLOOKUP(INDIRECT(ADDRESS(2,COLUMN())),OFFSET($BN$2,0,0,ROW()-1,60),ROW()-1,FALSE))</f>
        <v/>
      </c>
      <c r="AN540" t="str">
        <f ca="1">IF(AND(ISNUMBER($AN$1199),$B$677=1),$AN$1199,HLOOKUP(INDIRECT(ADDRESS(2,COLUMN())),OFFSET($BN$2,0,0,ROW()-1,60),ROW()-1,FALSE))</f>
        <v/>
      </c>
      <c r="AO540" t="str">
        <f ca="1">IF(AND(ISNUMBER($AO$1199),$B$677=1),$AO$1199,HLOOKUP(INDIRECT(ADDRESS(2,COLUMN())),OFFSET($BN$2,0,0,ROW()-1,60),ROW()-1,FALSE))</f>
        <v/>
      </c>
      <c r="AP540" t="str">
        <f ca="1">IF(AND(ISNUMBER($AP$1199),$B$677=1),$AP$1199,HLOOKUP(INDIRECT(ADDRESS(2,COLUMN())),OFFSET($BN$2,0,0,ROW()-1,60),ROW()-1,FALSE))</f>
        <v/>
      </c>
      <c r="AQ540" t="str">
        <f ca="1">IF(AND(ISNUMBER($AQ$1199),$B$677=1),$AQ$1199,HLOOKUP(INDIRECT(ADDRESS(2,COLUMN())),OFFSET($BN$2,0,0,ROW()-1,60),ROW()-1,FALSE))</f>
        <v/>
      </c>
      <c r="AR540" t="str">
        <f ca="1">IF(AND(ISNUMBER($AR$1199),$B$677=1),$AR$1199,HLOOKUP(INDIRECT(ADDRESS(2,COLUMN())),OFFSET($BN$2,0,0,ROW()-1,60),ROW()-1,FALSE))</f>
        <v/>
      </c>
      <c r="AS540" t="str">
        <f ca="1">IF(AND(ISNUMBER($AS$1199),$B$677=1),$AS$1199,HLOOKUP(INDIRECT(ADDRESS(2,COLUMN())),OFFSET($BN$2,0,0,ROW()-1,60),ROW()-1,FALSE))</f>
        <v/>
      </c>
      <c r="AT540" t="str">
        <f ca="1">IF(AND(ISNUMBER($AT$1199),$B$677=1),$AT$1199,HLOOKUP(INDIRECT(ADDRESS(2,COLUMN())),OFFSET($BN$2,0,0,ROW()-1,60),ROW()-1,FALSE))</f>
        <v/>
      </c>
      <c r="AU540" t="str">
        <f ca="1">IF(AND(ISNUMBER($AU$1199),$B$677=1),$AU$1199,HLOOKUP(INDIRECT(ADDRESS(2,COLUMN())),OFFSET($BN$2,0,0,ROW()-1,60),ROW()-1,FALSE))</f>
        <v/>
      </c>
      <c r="AV540" t="str">
        <f ca="1">IF(AND(ISNUMBER($AV$1199),$B$677=1),$AV$1199,HLOOKUP(INDIRECT(ADDRESS(2,COLUMN())),OFFSET($BN$2,0,0,ROW()-1,60),ROW()-1,FALSE))</f>
        <v/>
      </c>
      <c r="AW540" t="str">
        <f ca="1">IF(AND(ISNUMBER($AW$1199),$B$677=1),$AW$1199,HLOOKUP(INDIRECT(ADDRESS(2,COLUMN())),OFFSET($BN$2,0,0,ROW()-1,60),ROW()-1,FALSE))</f>
        <v/>
      </c>
      <c r="AX540" t="str">
        <f ca="1">IF(AND(ISNUMBER($AX$1199),$B$677=1),$AX$1199,HLOOKUP(INDIRECT(ADDRESS(2,COLUMN())),OFFSET($BN$2,0,0,ROW()-1,60),ROW()-1,FALSE))</f>
        <v/>
      </c>
      <c r="AY540" t="str">
        <f ca="1">IF(AND(ISNUMBER($AY$1199),$B$677=1),$AY$1199,HLOOKUP(INDIRECT(ADDRESS(2,COLUMN())),OFFSET($BN$2,0,0,ROW()-1,60),ROW()-1,FALSE))</f>
        <v/>
      </c>
      <c r="AZ540" t="str">
        <f ca="1">IF(AND(ISNUMBER($AZ$1199),$B$677=1),$AZ$1199,HLOOKUP(INDIRECT(ADDRESS(2,COLUMN())),OFFSET($BN$2,0,0,ROW()-1,60),ROW()-1,FALSE))</f>
        <v/>
      </c>
      <c r="BA540" t="str">
        <f ca="1">IF(AND(ISNUMBER($BA$1199),$B$677=1),$BA$1199,HLOOKUP(INDIRECT(ADDRESS(2,COLUMN())),OFFSET($BN$2,0,0,ROW()-1,60),ROW()-1,FALSE))</f>
        <v/>
      </c>
      <c r="BB540" t="str">
        <f ca="1">IF(AND(ISNUMBER($BB$1199),$B$677=1),$BB$1199,HLOOKUP(INDIRECT(ADDRESS(2,COLUMN())),OFFSET($BN$2,0,0,ROW()-1,60),ROW()-1,FALSE))</f>
        <v/>
      </c>
      <c r="BC540" t="str">
        <f ca="1">IF(AND(ISNUMBER($BC$1199),$B$677=1),$BC$1199,HLOOKUP(INDIRECT(ADDRESS(2,COLUMN())),OFFSET($BN$2,0,0,ROW()-1,60),ROW()-1,FALSE))</f>
        <v/>
      </c>
      <c r="BD540" t="str">
        <f ca="1">IF(AND(ISNUMBER($BD$1199),$B$677=1),$BD$1199,HLOOKUP(INDIRECT(ADDRESS(2,COLUMN())),OFFSET($BN$2,0,0,ROW()-1,60),ROW()-1,FALSE))</f>
        <v/>
      </c>
      <c r="BE540" t="str">
        <f ca="1">IF(AND(ISNUMBER($BE$1199),$B$677=1),$BE$1199,HLOOKUP(INDIRECT(ADDRESS(2,COLUMN())),OFFSET($BN$2,0,0,ROW()-1,60),ROW()-1,FALSE))</f>
        <v/>
      </c>
      <c r="BF540" t="str">
        <f ca="1">IF(AND(ISNUMBER($BF$1199),$B$677=1),$BF$1199,HLOOKUP(INDIRECT(ADDRESS(2,COLUMN())),OFFSET($BN$2,0,0,ROW()-1,60),ROW()-1,FALSE))</f>
        <v/>
      </c>
      <c r="BG540" t="str">
        <f ca="1">IF(AND(ISNUMBER($BG$1199),$B$677=1),$BG$1199,HLOOKUP(INDIRECT(ADDRESS(2,COLUMN())),OFFSET($BN$2,0,0,ROW()-1,60),ROW()-1,FALSE))</f>
        <v/>
      </c>
      <c r="BH540" t="str">
        <f ca="1">IF(AND(ISNUMBER($BH$1199),$B$677=1),$BH$1199,HLOOKUP(INDIRECT(ADDRESS(2,COLUMN())),OFFSET($BN$2,0,0,ROW()-1,60),ROW()-1,FALSE))</f>
        <v/>
      </c>
      <c r="BI540" t="str">
        <f ca="1">IF(AND(ISNUMBER($BI$1199),$B$677=1),$BI$1199,HLOOKUP(INDIRECT(ADDRESS(2,COLUMN())),OFFSET($BN$2,0,0,ROW()-1,60),ROW()-1,FALSE))</f>
        <v/>
      </c>
      <c r="BJ540" t="str">
        <f ca="1">IF(AND(ISNUMBER($BJ$1199),$B$677=1),$BJ$1199,HLOOKUP(INDIRECT(ADDRESS(2,COLUMN())),OFFSET($BN$2,0,0,ROW()-1,60),ROW()-1,FALSE))</f>
        <v/>
      </c>
      <c r="BK540" t="str">
        <f ca="1">IF(AND(ISNUMBER($BK$1199),$B$677=1),$BK$1199,HLOOKUP(INDIRECT(ADDRESS(2,COLUMN())),OFFSET($BN$2,0,0,ROW()-1,60),ROW()-1,FALSE))</f>
        <v/>
      </c>
      <c r="BL540" t="str">
        <f ca="1">IF(AND(ISNUMBER($BL$1199),$B$677=1),$BL$1199,HLOOKUP(INDIRECT(ADDRESS(2,COLUMN())),OFFSET($BN$2,0,0,ROW()-1,60),ROW()-1,FALSE))</f>
        <v/>
      </c>
      <c r="BM540" t="str">
        <f ca="1">IF(AND(ISNUMBER($BM$1199),$B$677=1),$BM$1199,HLOOKUP(INDIRECT(ADDRESS(2,COLUMN())),OFFSET($BN$2,0,0,ROW()-1,60),ROW()-1,FALSE))</f>
        <v/>
      </c>
      <c r="BN540" t="str">
        <f>""</f>
        <v/>
      </c>
      <c r="BO540" t="str">
        <f>""</f>
        <v/>
      </c>
      <c r="BP540" t="str">
        <f>""</f>
        <v/>
      </c>
      <c r="BQ540" t="str">
        <f>""</f>
        <v/>
      </c>
      <c r="BR540" t="str">
        <f>""</f>
        <v/>
      </c>
      <c r="BS540" t="str">
        <f>""</f>
        <v/>
      </c>
      <c r="BT540" t="str">
        <f>""</f>
        <v/>
      </c>
      <c r="BU540" t="str">
        <f>""</f>
        <v/>
      </c>
      <c r="BV540" t="str">
        <f>""</f>
        <v/>
      </c>
      <c r="BW540" t="str">
        <f>""</f>
        <v/>
      </c>
      <c r="BX540" t="str">
        <f>""</f>
        <v/>
      </c>
      <c r="BY540" t="str">
        <f>""</f>
        <v/>
      </c>
      <c r="BZ540" t="str">
        <f>""</f>
        <v/>
      </c>
      <c r="CA540" t="str">
        <f>""</f>
        <v/>
      </c>
      <c r="CB540" t="str">
        <f>""</f>
        <v/>
      </c>
      <c r="CC540" t="str">
        <f>""</f>
        <v/>
      </c>
      <c r="CD540" t="str">
        <f>""</f>
        <v/>
      </c>
      <c r="CE540" t="str">
        <f>""</f>
        <v/>
      </c>
      <c r="CF540" t="str">
        <f>""</f>
        <v/>
      </c>
      <c r="CG540" t="str">
        <f>""</f>
        <v/>
      </c>
      <c r="CH540" t="str">
        <f>""</f>
        <v/>
      </c>
      <c r="CI540" t="str">
        <f>""</f>
        <v/>
      </c>
      <c r="CJ540" t="str">
        <f>""</f>
        <v/>
      </c>
      <c r="CK540" t="str">
        <f>""</f>
        <v/>
      </c>
      <c r="CL540" t="str">
        <f>""</f>
        <v/>
      </c>
      <c r="CM540" t="str">
        <f>""</f>
        <v/>
      </c>
      <c r="CN540" t="str">
        <f>""</f>
        <v/>
      </c>
      <c r="CO540" t="str">
        <f>""</f>
        <v/>
      </c>
      <c r="CP540" t="str">
        <f>""</f>
        <v/>
      </c>
      <c r="CQ540" t="str">
        <f>""</f>
        <v/>
      </c>
      <c r="CR540" t="str">
        <f>""</f>
        <v/>
      </c>
      <c r="CS540" t="str">
        <f>""</f>
        <v/>
      </c>
      <c r="CT540" t="str">
        <f>""</f>
        <v/>
      </c>
      <c r="CU540" t="str">
        <f>""</f>
        <v/>
      </c>
      <c r="CV540" t="str">
        <f>""</f>
        <v/>
      </c>
      <c r="CW540" t="str">
        <f>""</f>
        <v/>
      </c>
      <c r="CX540" t="str">
        <f>""</f>
        <v/>
      </c>
      <c r="CY540" t="str">
        <f>""</f>
        <v/>
      </c>
      <c r="CZ540" t="str">
        <f>""</f>
        <v/>
      </c>
      <c r="DA540" t="str">
        <f>""</f>
        <v/>
      </c>
      <c r="DB540" t="str">
        <f>""</f>
        <v/>
      </c>
      <c r="DC540" t="str">
        <f>""</f>
        <v/>
      </c>
      <c r="DD540" t="str">
        <f>""</f>
        <v/>
      </c>
      <c r="DE540" t="str">
        <f>""</f>
        <v/>
      </c>
      <c r="DF540" t="str">
        <f>""</f>
        <v/>
      </c>
      <c r="DG540" t="str">
        <f>""</f>
        <v/>
      </c>
      <c r="DH540" t="str">
        <f>""</f>
        <v/>
      </c>
      <c r="DI540" t="str">
        <f>""</f>
        <v/>
      </c>
      <c r="DJ540" t="str">
        <f>""</f>
        <v/>
      </c>
      <c r="DK540" t="str">
        <f>""</f>
        <v/>
      </c>
      <c r="DL540" t="str">
        <f>""</f>
        <v/>
      </c>
      <c r="DM540" t="str">
        <f>""</f>
        <v/>
      </c>
      <c r="DN540" t="str">
        <f>""</f>
        <v/>
      </c>
      <c r="DO540" t="str">
        <f>""</f>
        <v/>
      </c>
      <c r="DP540" t="str">
        <f>""</f>
        <v/>
      </c>
      <c r="DQ540" t="str">
        <f>""</f>
        <v/>
      </c>
      <c r="DR540" t="str">
        <f>""</f>
        <v/>
      </c>
      <c r="DS540" t="str">
        <f>""</f>
        <v/>
      </c>
      <c r="DT540" t="str">
        <f>""</f>
        <v/>
      </c>
      <c r="DU540" t="str">
        <f>""</f>
        <v/>
      </c>
    </row>
    <row r="541" spans="1:125" x14ac:dyDescent="0.25">
      <c r="A541" t="str">
        <f>"    Avtovaz PJSC"</f>
        <v xml:space="preserve">    Avtovaz PJSC</v>
      </c>
      <c r="B541" t="str">
        <f>"AVAZ RM Equity"</f>
        <v>AVAZ RM Equity</v>
      </c>
      <c r="C541" t="str">
        <f t="shared" si="39"/>
        <v>RX076</v>
      </c>
      <c r="D541" t="str">
        <f t="shared" si="40"/>
        <v>EBIT_YIELD</v>
      </c>
      <c r="E541" t="str">
        <f t="shared" si="41"/>
        <v>Dynamic</v>
      </c>
      <c r="F541">
        <f ca="1">IF(AND(ISNUMBER($F$1200),$B$677=1),$F$1200,HLOOKUP(INDIRECT(ADDRESS(2,COLUMN())),OFFSET($BN$2,0,0,ROW()-1,60),ROW()-1,FALSE))</f>
        <v>12.605170859999999</v>
      </c>
      <c r="G541">
        <f ca="1">IF(AND(ISNUMBER($G$1200),$B$677=1),$G$1200,HLOOKUP(INDIRECT(ADDRESS(2,COLUMN())),OFFSET($BN$2,0,0,ROW()-1,60),ROW()-1,FALSE))</f>
        <v>12.605170859999999</v>
      </c>
      <c r="H541">
        <f ca="1">IF(AND(ISNUMBER($H$1200),$B$677=1),$H$1200,HLOOKUP(INDIRECT(ADDRESS(2,COLUMN())),OFFSET($BN$2,0,0,ROW()-1,60),ROW()-1,FALSE))</f>
        <v>13.062573690000001</v>
      </c>
      <c r="I541">
        <f ca="1">IF(AND(ISNUMBER($I$1200),$B$677=1),$I$1200,HLOOKUP(INDIRECT(ADDRESS(2,COLUMN())),OFFSET($BN$2,0,0,ROW()-1,60),ROW()-1,FALSE))</f>
        <v>8.2414124770000008</v>
      </c>
      <c r="J541">
        <f ca="1">IF(AND(ISNUMBER($J$1200),$B$677=1),$J$1200,HLOOKUP(INDIRECT(ADDRESS(2,COLUMN())),OFFSET($BN$2,0,0,ROW()-1,60),ROW()-1,FALSE))</f>
        <v>5.1997345419999998</v>
      </c>
      <c r="K541">
        <f ca="1">IF(AND(ISNUMBER($K$1200),$B$677=1),$K$1200,HLOOKUP(INDIRECT(ADDRESS(2,COLUMN())),OFFSET($BN$2,0,0,ROW()-1,60),ROW()-1,FALSE))</f>
        <v>0.13696670499999999</v>
      </c>
      <c r="L541">
        <f ca="1">IF(AND(ISNUMBER($L$1200),$B$677=1),$L$1200,HLOOKUP(INDIRECT(ADDRESS(2,COLUMN())),OFFSET($BN$2,0,0,ROW()-1,60),ROW()-1,FALSE))</f>
        <v>-25.917286709999999</v>
      </c>
      <c r="M541">
        <f ca="1">IF(AND(ISNUMBER($M$1200),$B$677=1),$M$1200,HLOOKUP(INDIRECT(ADDRESS(2,COLUMN())),OFFSET($BN$2,0,0,ROW()-1,60),ROW()-1,FALSE))</f>
        <v>-52.210704319999998</v>
      </c>
      <c r="N541">
        <f ca="1">IF(AND(ISNUMBER($N$1200),$B$677=1),$N$1200,HLOOKUP(INDIRECT(ADDRESS(2,COLUMN())),OFFSET($BN$2,0,0,ROW()-1,60),ROW()-1,FALSE))</f>
        <v>-142.66413130000001</v>
      </c>
      <c r="O541">
        <f ca="1">IF(AND(ISNUMBER($O$1200),$B$677=1),$O$1200,HLOOKUP(INDIRECT(ADDRESS(2,COLUMN())),OFFSET($BN$2,0,0,ROW()-1,60),ROW()-1,FALSE))</f>
        <v>-178.57629489999999</v>
      </c>
      <c r="P541">
        <f ca="1">IF(AND(ISNUMBER($P$1200),$B$677=1),$P$1200,HLOOKUP(INDIRECT(ADDRESS(2,COLUMN())),OFFSET($BN$2,0,0,ROW()-1,60),ROW()-1,FALSE))</f>
        <v>-343.33780810000002</v>
      </c>
      <c r="Q541">
        <f ca="1">IF(AND(ISNUMBER($Q$1200),$B$677=1),$Q$1200,HLOOKUP(INDIRECT(ADDRESS(2,COLUMN())),OFFSET($BN$2,0,0,ROW()-1,60),ROW()-1,FALSE))</f>
        <v>-538.74708369999996</v>
      </c>
      <c r="R541" t="str">
        <f ca="1">IF(AND(ISNUMBER($R$1200),$B$677=1),$R$1200,HLOOKUP(INDIRECT(ADDRESS(2,COLUMN())),OFFSET($BN$2,0,0,ROW()-1,60),ROW()-1,FALSE))</f>
        <v/>
      </c>
      <c r="S541" t="str">
        <f ca="1">IF(AND(ISNUMBER($S$1200),$B$677=1),$S$1200,HLOOKUP(INDIRECT(ADDRESS(2,COLUMN())),OFFSET($BN$2,0,0,ROW()-1,60),ROW()-1,FALSE))</f>
        <v/>
      </c>
      <c r="T541" t="str">
        <f ca="1">IF(AND(ISNUMBER($T$1200),$B$677=1),$T$1200,HLOOKUP(INDIRECT(ADDRESS(2,COLUMN())),OFFSET($BN$2,0,0,ROW()-1,60),ROW()-1,FALSE))</f>
        <v/>
      </c>
      <c r="U541" t="str">
        <f ca="1">IF(AND(ISNUMBER($U$1200),$B$677=1),$U$1200,HLOOKUP(INDIRECT(ADDRESS(2,COLUMN())),OFFSET($BN$2,0,0,ROW()-1,60),ROW()-1,FALSE))</f>
        <v/>
      </c>
      <c r="V541" t="str">
        <f ca="1">IF(AND(ISNUMBER($V$1200),$B$677=1),$V$1200,HLOOKUP(INDIRECT(ADDRESS(2,COLUMN())),OFFSET($BN$2,0,0,ROW()-1,60),ROW()-1,FALSE))</f>
        <v/>
      </c>
      <c r="W541" t="str">
        <f ca="1">IF(AND(ISNUMBER($W$1200),$B$677=1),$W$1200,HLOOKUP(INDIRECT(ADDRESS(2,COLUMN())),OFFSET($BN$2,0,0,ROW()-1,60),ROW()-1,FALSE))</f>
        <v/>
      </c>
      <c r="X541" t="str">
        <f ca="1">IF(AND(ISNUMBER($X$1200),$B$677=1),$X$1200,HLOOKUP(INDIRECT(ADDRESS(2,COLUMN())),OFFSET($BN$2,0,0,ROW()-1,60),ROW()-1,FALSE))</f>
        <v/>
      </c>
      <c r="Y541" t="str">
        <f ca="1">IF(AND(ISNUMBER($Y$1200),$B$677=1),$Y$1200,HLOOKUP(INDIRECT(ADDRESS(2,COLUMN())),OFFSET($BN$2,0,0,ROW()-1,60),ROW()-1,FALSE))</f>
        <v/>
      </c>
      <c r="Z541" t="str">
        <f ca="1">IF(AND(ISNUMBER($Z$1200),$B$677=1),$Z$1200,HLOOKUP(INDIRECT(ADDRESS(2,COLUMN())),OFFSET($BN$2,0,0,ROW()-1,60),ROW()-1,FALSE))</f>
        <v/>
      </c>
      <c r="AA541" t="str">
        <f ca="1">IF(AND(ISNUMBER($AA$1200),$B$677=1),$AA$1200,HLOOKUP(INDIRECT(ADDRESS(2,COLUMN())),OFFSET($BN$2,0,0,ROW()-1,60),ROW()-1,FALSE))</f>
        <v/>
      </c>
      <c r="AB541" t="str">
        <f ca="1">IF(AND(ISNUMBER($AB$1200),$B$677=1),$AB$1200,HLOOKUP(INDIRECT(ADDRESS(2,COLUMN())),OFFSET($BN$2,0,0,ROW()-1,60),ROW()-1,FALSE))</f>
        <v/>
      </c>
      <c r="AC541" t="str">
        <f ca="1">IF(AND(ISNUMBER($AC$1200),$B$677=1),$AC$1200,HLOOKUP(INDIRECT(ADDRESS(2,COLUMN())),OFFSET($BN$2,0,0,ROW()-1,60),ROW()-1,FALSE))</f>
        <v/>
      </c>
      <c r="AD541" t="str">
        <f ca="1">IF(AND(ISNUMBER($AD$1200),$B$677=1),$AD$1200,HLOOKUP(INDIRECT(ADDRESS(2,COLUMN())),OFFSET($BN$2,0,0,ROW()-1,60),ROW()-1,FALSE))</f>
        <v/>
      </c>
      <c r="AE541" t="str">
        <f ca="1">IF(AND(ISNUMBER($AE$1200),$B$677=1),$AE$1200,HLOOKUP(INDIRECT(ADDRESS(2,COLUMN())),OFFSET($BN$2,0,0,ROW()-1,60),ROW()-1,FALSE))</f>
        <v/>
      </c>
      <c r="AF541" t="str">
        <f ca="1">IF(AND(ISNUMBER($AF$1200),$B$677=1),$AF$1200,HLOOKUP(INDIRECT(ADDRESS(2,COLUMN())),OFFSET($BN$2,0,0,ROW()-1,60),ROW()-1,FALSE))</f>
        <v/>
      </c>
      <c r="AG541" t="str">
        <f ca="1">IF(AND(ISNUMBER($AG$1200),$B$677=1),$AG$1200,HLOOKUP(INDIRECT(ADDRESS(2,COLUMN())),OFFSET($BN$2,0,0,ROW()-1,60),ROW()-1,FALSE))</f>
        <v/>
      </c>
      <c r="AH541" t="str">
        <f ca="1">IF(AND(ISNUMBER($AH$1200),$B$677=1),$AH$1200,HLOOKUP(INDIRECT(ADDRESS(2,COLUMN())),OFFSET($BN$2,0,0,ROW()-1,60),ROW()-1,FALSE))</f>
        <v/>
      </c>
      <c r="AI541" t="str">
        <f ca="1">IF(AND(ISNUMBER($AI$1200),$B$677=1),$AI$1200,HLOOKUP(INDIRECT(ADDRESS(2,COLUMN())),OFFSET($BN$2,0,0,ROW()-1,60),ROW()-1,FALSE))</f>
        <v/>
      </c>
      <c r="AJ541" t="str">
        <f ca="1">IF(AND(ISNUMBER($AJ$1200),$B$677=1),$AJ$1200,HLOOKUP(INDIRECT(ADDRESS(2,COLUMN())),OFFSET($BN$2,0,0,ROW()-1,60),ROW()-1,FALSE))</f>
        <v/>
      </c>
      <c r="AK541" t="str">
        <f ca="1">IF(AND(ISNUMBER($AK$1200),$B$677=1),$AK$1200,HLOOKUP(INDIRECT(ADDRESS(2,COLUMN())),OFFSET($BN$2,0,0,ROW()-1,60),ROW()-1,FALSE))</f>
        <v/>
      </c>
      <c r="AL541" t="str">
        <f ca="1">IF(AND(ISNUMBER($AL$1200),$B$677=1),$AL$1200,HLOOKUP(INDIRECT(ADDRESS(2,COLUMN())),OFFSET($BN$2,0,0,ROW()-1,60),ROW()-1,FALSE))</f>
        <v/>
      </c>
      <c r="AM541" t="str">
        <f ca="1">IF(AND(ISNUMBER($AM$1200),$B$677=1),$AM$1200,HLOOKUP(INDIRECT(ADDRESS(2,COLUMN())),OFFSET($BN$2,0,0,ROW()-1,60),ROW()-1,FALSE))</f>
        <v/>
      </c>
      <c r="AN541" t="str">
        <f ca="1">IF(AND(ISNUMBER($AN$1200),$B$677=1),$AN$1200,HLOOKUP(INDIRECT(ADDRESS(2,COLUMN())),OFFSET($BN$2,0,0,ROW()-1,60),ROW()-1,FALSE))</f>
        <v/>
      </c>
      <c r="AO541" t="str">
        <f ca="1">IF(AND(ISNUMBER($AO$1200),$B$677=1),$AO$1200,HLOOKUP(INDIRECT(ADDRESS(2,COLUMN())),OFFSET($BN$2,0,0,ROW()-1,60),ROW()-1,FALSE))</f>
        <v/>
      </c>
      <c r="AP541" t="str">
        <f ca="1">IF(AND(ISNUMBER($AP$1200),$B$677=1),$AP$1200,HLOOKUP(INDIRECT(ADDRESS(2,COLUMN())),OFFSET($BN$2,0,0,ROW()-1,60),ROW()-1,FALSE))</f>
        <v/>
      </c>
      <c r="AQ541" t="str">
        <f ca="1">IF(AND(ISNUMBER($AQ$1200),$B$677=1),$AQ$1200,HLOOKUP(INDIRECT(ADDRESS(2,COLUMN())),OFFSET($BN$2,0,0,ROW()-1,60),ROW()-1,FALSE))</f>
        <v/>
      </c>
      <c r="AR541" t="str">
        <f ca="1">IF(AND(ISNUMBER($AR$1200),$B$677=1),$AR$1200,HLOOKUP(INDIRECT(ADDRESS(2,COLUMN())),OFFSET($BN$2,0,0,ROW()-1,60),ROW()-1,FALSE))</f>
        <v/>
      </c>
      <c r="AS541" t="str">
        <f ca="1">IF(AND(ISNUMBER($AS$1200),$B$677=1),$AS$1200,HLOOKUP(INDIRECT(ADDRESS(2,COLUMN())),OFFSET($BN$2,0,0,ROW()-1,60),ROW()-1,FALSE))</f>
        <v/>
      </c>
      <c r="AT541" t="str">
        <f ca="1">IF(AND(ISNUMBER($AT$1200),$B$677=1),$AT$1200,HLOOKUP(INDIRECT(ADDRESS(2,COLUMN())),OFFSET($BN$2,0,0,ROW()-1,60),ROW()-1,FALSE))</f>
        <v/>
      </c>
      <c r="AU541" t="str">
        <f ca="1">IF(AND(ISNUMBER($AU$1200),$B$677=1),$AU$1200,HLOOKUP(INDIRECT(ADDRESS(2,COLUMN())),OFFSET($BN$2,0,0,ROW()-1,60),ROW()-1,FALSE))</f>
        <v/>
      </c>
      <c r="AV541" t="str">
        <f ca="1">IF(AND(ISNUMBER($AV$1200),$B$677=1),$AV$1200,HLOOKUP(INDIRECT(ADDRESS(2,COLUMN())),OFFSET($BN$2,0,0,ROW()-1,60),ROW()-1,FALSE))</f>
        <v/>
      </c>
      <c r="AW541" t="str">
        <f ca="1">IF(AND(ISNUMBER($AW$1200),$B$677=1),$AW$1200,HLOOKUP(INDIRECT(ADDRESS(2,COLUMN())),OFFSET($BN$2,0,0,ROW()-1,60),ROW()-1,FALSE))</f>
        <v/>
      </c>
      <c r="AX541" t="str">
        <f ca="1">IF(AND(ISNUMBER($AX$1200),$B$677=1),$AX$1200,HLOOKUP(INDIRECT(ADDRESS(2,COLUMN())),OFFSET($BN$2,0,0,ROW()-1,60),ROW()-1,FALSE))</f>
        <v/>
      </c>
      <c r="AY541" t="str">
        <f ca="1">IF(AND(ISNUMBER($AY$1200),$B$677=1),$AY$1200,HLOOKUP(INDIRECT(ADDRESS(2,COLUMN())),OFFSET($BN$2,0,0,ROW()-1,60),ROW()-1,FALSE))</f>
        <v/>
      </c>
      <c r="AZ541" t="str">
        <f ca="1">IF(AND(ISNUMBER($AZ$1200),$B$677=1),$AZ$1200,HLOOKUP(INDIRECT(ADDRESS(2,COLUMN())),OFFSET($BN$2,0,0,ROW()-1,60),ROW()-1,FALSE))</f>
        <v/>
      </c>
      <c r="BA541" t="str">
        <f ca="1">IF(AND(ISNUMBER($BA$1200),$B$677=1),$BA$1200,HLOOKUP(INDIRECT(ADDRESS(2,COLUMN())),OFFSET($BN$2,0,0,ROW()-1,60),ROW()-1,FALSE))</f>
        <v/>
      </c>
      <c r="BB541" t="str">
        <f ca="1">IF(AND(ISNUMBER($BB$1200),$B$677=1),$BB$1200,HLOOKUP(INDIRECT(ADDRESS(2,COLUMN())),OFFSET($BN$2,0,0,ROW()-1,60),ROW()-1,FALSE))</f>
        <v/>
      </c>
      <c r="BC541" t="str">
        <f ca="1">IF(AND(ISNUMBER($BC$1200),$B$677=1),$BC$1200,HLOOKUP(INDIRECT(ADDRESS(2,COLUMN())),OFFSET($BN$2,0,0,ROW()-1,60),ROW()-1,FALSE))</f>
        <v/>
      </c>
      <c r="BD541" t="str">
        <f ca="1">IF(AND(ISNUMBER($BD$1200),$B$677=1),$BD$1200,HLOOKUP(INDIRECT(ADDRESS(2,COLUMN())),OFFSET($BN$2,0,0,ROW()-1,60),ROW()-1,FALSE))</f>
        <v/>
      </c>
      <c r="BE541" t="str">
        <f ca="1">IF(AND(ISNUMBER($BE$1200),$B$677=1),$BE$1200,HLOOKUP(INDIRECT(ADDRESS(2,COLUMN())),OFFSET($BN$2,0,0,ROW()-1,60),ROW()-1,FALSE))</f>
        <v/>
      </c>
      <c r="BF541" t="str">
        <f ca="1">IF(AND(ISNUMBER($BF$1200),$B$677=1),$BF$1200,HLOOKUP(INDIRECT(ADDRESS(2,COLUMN())),OFFSET($BN$2,0,0,ROW()-1,60),ROW()-1,FALSE))</f>
        <v/>
      </c>
      <c r="BG541" t="str">
        <f ca="1">IF(AND(ISNUMBER($BG$1200),$B$677=1),$BG$1200,HLOOKUP(INDIRECT(ADDRESS(2,COLUMN())),OFFSET($BN$2,0,0,ROW()-1,60),ROW()-1,FALSE))</f>
        <v/>
      </c>
      <c r="BH541" t="str">
        <f ca="1">IF(AND(ISNUMBER($BH$1200),$B$677=1),$BH$1200,HLOOKUP(INDIRECT(ADDRESS(2,COLUMN())),OFFSET($BN$2,0,0,ROW()-1,60),ROW()-1,FALSE))</f>
        <v/>
      </c>
      <c r="BI541" t="str">
        <f ca="1">IF(AND(ISNUMBER($BI$1200),$B$677=1),$BI$1200,HLOOKUP(INDIRECT(ADDRESS(2,COLUMN())),OFFSET($BN$2,0,0,ROW()-1,60),ROW()-1,FALSE))</f>
        <v/>
      </c>
      <c r="BJ541" t="str">
        <f ca="1">IF(AND(ISNUMBER($BJ$1200),$B$677=1),$BJ$1200,HLOOKUP(INDIRECT(ADDRESS(2,COLUMN())),OFFSET($BN$2,0,0,ROW()-1,60),ROW()-1,FALSE))</f>
        <v/>
      </c>
      <c r="BK541" t="str">
        <f ca="1">IF(AND(ISNUMBER($BK$1200),$B$677=1),$BK$1200,HLOOKUP(INDIRECT(ADDRESS(2,COLUMN())),OFFSET($BN$2,0,0,ROW()-1,60),ROW()-1,FALSE))</f>
        <v/>
      </c>
      <c r="BL541" t="str">
        <f ca="1">IF(AND(ISNUMBER($BL$1200),$B$677=1),$BL$1200,HLOOKUP(INDIRECT(ADDRESS(2,COLUMN())),OFFSET($BN$2,0,0,ROW()-1,60),ROW()-1,FALSE))</f>
        <v/>
      </c>
      <c r="BM541" t="str">
        <f ca="1">IF(AND(ISNUMBER($BM$1200),$B$677=1),$BM$1200,HLOOKUP(INDIRECT(ADDRESS(2,COLUMN())),OFFSET($BN$2,0,0,ROW()-1,60),ROW()-1,FALSE))</f>
        <v/>
      </c>
      <c r="BN541">
        <f>12.60517086</f>
        <v>12.605170859999999</v>
      </c>
      <c r="BO541">
        <f>12.60517086</f>
        <v>12.605170859999999</v>
      </c>
      <c r="BP541">
        <f>13.06257369</f>
        <v>13.062573690000001</v>
      </c>
      <c r="BQ541">
        <f>8.241412477</f>
        <v>8.2414124770000008</v>
      </c>
      <c r="BR541">
        <f>5.199734542</f>
        <v>5.1997345419999998</v>
      </c>
      <c r="BS541">
        <f>0.136966705</f>
        <v>0.13696670499999999</v>
      </c>
      <c r="BT541">
        <f>-25.91728671</f>
        <v>-25.917286709999999</v>
      </c>
      <c r="BU541">
        <f>-52.21070432</f>
        <v>-52.210704319999998</v>
      </c>
      <c r="BV541">
        <f>-142.6641313</f>
        <v>-142.66413130000001</v>
      </c>
      <c r="BW541">
        <f>-178.5762949</f>
        <v>-178.57629489999999</v>
      </c>
      <c r="BX541">
        <f>-343.3378081</f>
        <v>-343.33780810000002</v>
      </c>
      <c r="BY541">
        <f>-538.7470837</f>
        <v>-538.74708369999996</v>
      </c>
      <c r="BZ541" t="str">
        <f>""</f>
        <v/>
      </c>
      <c r="CA541" t="str">
        <f>""</f>
        <v/>
      </c>
      <c r="CB541" t="str">
        <f>""</f>
        <v/>
      </c>
      <c r="CC541" t="str">
        <f>""</f>
        <v/>
      </c>
      <c r="CD541" t="str">
        <f>""</f>
        <v/>
      </c>
      <c r="CE541" t="str">
        <f>""</f>
        <v/>
      </c>
      <c r="CF541" t="str">
        <f>""</f>
        <v/>
      </c>
      <c r="CG541" t="str">
        <f>""</f>
        <v/>
      </c>
      <c r="CH541" t="str">
        <f>""</f>
        <v/>
      </c>
      <c r="CI541" t="str">
        <f>""</f>
        <v/>
      </c>
      <c r="CJ541" t="str">
        <f>""</f>
        <v/>
      </c>
      <c r="CK541" t="str">
        <f>""</f>
        <v/>
      </c>
      <c r="CL541" t="str">
        <f>""</f>
        <v/>
      </c>
      <c r="CM541" t="str">
        <f>""</f>
        <v/>
      </c>
      <c r="CN541" t="str">
        <f>""</f>
        <v/>
      </c>
      <c r="CO541" t="str">
        <f>""</f>
        <v/>
      </c>
      <c r="CP541" t="str">
        <f>""</f>
        <v/>
      </c>
      <c r="CQ541" t="str">
        <f>""</f>
        <v/>
      </c>
      <c r="CR541" t="str">
        <f>""</f>
        <v/>
      </c>
      <c r="CS541" t="str">
        <f>""</f>
        <v/>
      </c>
      <c r="CT541" t="str">
        <f>""</f>
        <v/>
      </c>
      <c r="CU541" t="str">
        <f>""</f>
        <v/>
      </c>
      <c r="CV541" t="str">
        <f>""</f>
        <v/>
      </c>
      <c r="CW541" t="str">
        <f>""</f>
        <v/>
      </c>
      <c r="CX541" t="str">
        <f>""</f>
        <v/>
      </c>
      <c r="CY541" t="str">
        <f>""</f>
        <v/>
      </c>
      <c r="CZ541" t="str">
        <f>""</f>
        <v/>
      </c>
      <c r="DA541" t="str">
        <f>""</f>
        <v/>
      </c>
      <c r="DB541" t="str">
        <f>""</f>
        <v/>
      </c>
      <c r="DC541" t="str">
        <f>""</f>
        <v/>
      </c>
      <c r="DD541" t="str">
        <f>""</f>
        <v/>
      </c>
      <c r="DE541" t="str">
        <f>""</f>
        <v/>
      </c>
      <c r="DF541" t="str">
        <f>""</f>
        <v/>
      </c>
      <c r="DG541" t="str">
        <f>""</f>
        <v/>
      </c>
      <c r="DH541" t="str">
        <f>""</f>
        <v/>
      </c>
      <c r="DI541" t="str">
        <f>""</f>
        <v/>
      </c>
      <c r="DJ541" t="str">
        <f>""</f>
        <v/>
      </c>
      <c r="DK541" t="str">
        <f>""</f>
        <v/>
      </c>
      <c r="DL541" t="str">
        <f>""</f>
        <v/>
      </c>
      <c r="DM541" t="str">
        <f>""</f>
        <v/>
      </c>
      <c r="DN541" t="str">
        <f>""</f>
        <v/>
      </c>
      <c r="DO541" t="str">
        <f>""</f>
        <v/>
      </c>
      <c r="DP541" t="str">
        <f>""</f>
        <v/>
      </c>
      <c r="DQ541" t="str">
        <f>""</f>
        <v/>
      </c>
      <c r="DR541" t="str">
        <f>""</f>
        <v/>
      </c>
      <c r="DS541" t="str">
        <f>""</f>
        <v/>
      </c>
      <c r="DT541" t="str">
        <f>""</f>
        <v/>
      </c>
      <c r="DU541" t="str">
        <f>""</f>
        <v/>
      </c>
    </row>
    <row r="542" spans="1:125" x14ac:dyDescent="0.25">
      <c r="A542" t="str">
        <f>"    Bayerische Motoren Werke AG"</f>
        <v xml:space="preserve">    Bayerische Motoren Werke AG</v>
      </c>
      <c r="B542" t="str">
        <f>"BMW GR Equity"</f>
        <v>BMW GR Equity</v>
      </c>
      <c r="C542" t="str">
        <f t="shared" si="39"/>
        <v>RX076</v>
      </c>
      <c r="D542" t="str">
        <f t="shared" si="40"/>
        <v>EBIT_YIELD</v>
      </c>
      <c r="E542" t="str">
        <f t="shared" si="41"/>
        <v>Dynamic</v>
      </c>
      <c r="F542">
        <f ca="1">IF(AND(ISNUMBER($F$1201),$B$677=1),$F$1201,HLOOKUP(INDIRECT(ADDRESS(2,COLUMN())),OFFSET($BN$2,0,0,ROW()-1,60),ROW()-1,FALSE))</f>
        <v>19.129157190000001</v>
      </c>
      <c r="G542">
        <f ca="1">IF(AND(ISNUMBER($G$1201),$B$677=1),$G$1201,HLOOKUP(INDIRECT(ADDRESS(2,COLUMN())),OFFSET($BN$2,0,0,ROW()-1,60),ROW()-1,FALSE))</f>
        <v>19.767697649999999</v>
      </c>
      <c r="H542">
        <f ca="1">IF(AND(ISNUMBER($H$1201),$B$677=1),$H$1201,HLOOKUP(INDIRECT(ADDRESS(2,COLUMN())),OFFSET($BN$2,0,0,ROW()-1,60),ROW()-1,FALSE))</f>
        <v>18.0332416</v>
      </c>
      <c r="I542">
        <f ca="1">IF(AND(ISNUMBER($I$1201),$B$677=1),$I$1201,HLOOKUP(INDIRECT(ADDRESS(2,COLUMN())),OFFSET($BN$2,0,0,ROW()-1,60),ROW()-1,FALSE))</f>
        <v>19.265703030000001</v>
      </c>
      <c r="J542">
        <f ca="1">IF(AND(ISNUMBER($J$1201),$B$677=1),$J$1201,HLOOKUP(INDIRECT(ADDRESS(2,COLUMN())),OFFSET($BN$2,0,0,ROW()-1,60),ROW()-1,FALSE))</f>
        <v>17.26891483</v>
      </c>
      <c r="K542">
        <f ca="1">IF(AND(ISNUMBER($K$1201),$B$677=1),$K$1201,HLOOKUP(INDIRECT(ADDRESS(2,COLUMN())),OFFSET($BN$2,0,0,ROW()-1,60),ROW()-1,FALSE))</f>
        <v>17.70515812</v>
      </c>
      <c r="L542">
        <f ca="1">IF(AND(ISNUMBER($L$1201),$B$677=1),$L$1201,HLOOKUP(INDIRECT(ADDRESS(2,COLUMN())),OFFSET($BN$2,0,0,ROW()-1,60),ROW()-1,FALSE))</f>
        <v>17.689341429999999</v>
      </c>
      <c r="M542">
        <f ca="1">IF(AND(ISNUMBER($M$1201),$B$677=1),$M$1201,HLOOKUP(INDIRECT(ADDRESS(2,COLUMN())),OFFSET($BN$2,0,0,ROW()-1,60),ROW()-1,FALSE))</f>
        <v>18.56209312</v>
      </c>
      <c r="N542">
        <f ca="1">IF(AND(ISNUMBER($N$1201),$B$677=1),$N$1201,HLOOKUP(INDIRECT(ADDRESS(2,COLUMN())),OFFSET($BN$2,0,0,ROW()-1,60),ROW()-1,FALSE))</f>
        <v>17.33398635</v>
      </c>
      <c r="O542">
        <f ca="1">IF(AND(ISNUMBER($O$1201),$B$677=1),$O$1201,HLOOKUP(INDIRECT(ADDRESS(2,COLUMN())),OFFSET($BN$2,0,0,ROW()-1,60),ROW()-1,FALSE))</f>
        <v>16.079557179999998</v>
      </c>
      <c r="P542">
        <f ca="1">IF(AND(ISNUMBER($P$1201),$B$677=1),$P$1201,HLOOKUP(INDIRECT(ADDRESS(2,COLUMN())),OFFSET($BN$2,0,0,ROW()-1,60),ROW()-1,FALSE))</f>
        <v>19.846834730000001</v>
      </c>
      <c r="Q542">
        <f ca="1">IF(AND(ISNUMBER($Q$1201),$B$677=1),$Q$1201,HLOOKUP(INDIRECT(ADDRESS(2,COLUMN())),OFFSET($BN$2,0,0,ROW()-1,60),ROW()-1,FALSE))</f>
        <v>22.382307560000001</v>
      </c>
      <c r="R542">
        <f ca="1">IF(AND(ISNUMBER($R$1201),$B$677=1),$R$1201,HLOOKUP(INDIRECT(ADDRESS(2,COLUMN())),OFFSET($BN$2,0,0,ROW()-1,60),ROW()-1,FALSE))</f>
        <v>17.958600149999999</v>
      </c>
      <c r="S542">
        <f ca="1">IF(AND(ISNUMBER($S$1201),$B$677=1),$S$1201,HLOOKUP(INDIRECT(ADDRESS(2,COLUMN())),OFFSET($BN$2,0,0,ROW()-1,60),ROW()-1,FALSE))</f>
        <v>14.948456459999999</v>
      </c>
      <c r="T542">
        <f ca="1">IF(AND(ISNUMBER($T$1201),$B$677=1),$T$1201,HLOOKUP(INDIRECT(ADDRESS(2,COLUMN())),OFFSET($BN$2,0,0,ROW()-1,60),ROW()-1,FALSE))</f>
        <v>18.484696079999999</v>
      </c>
      <c r="U542">
        <f ca="1">IF(AND(ISNUMBER($U$1201),$B$677=1),$U$1201,HLOOKUP(INDIRECT(ADDRESS(2,COLUMN())),OFFSET($BN$2,0,0,ROW()-1,60),ROW()-1,FALSE))</f>
        <v>14.682607259999999</v>
      </c>
      <c r="V542">
        <f ca="1">IF(AND(ISNUMBER($V$1201),$B$677=1),$V$1201,HLOOKUP(INDIRECT(ADDRESS(2,COLUMN())),OFFSET($BN$2,0,0,ROW()-1,60),ROW()-1,FALSE))</f>
        <v>12.60230149</v>
      </c>
      <c r="W542">
        <f ca="1">IF(AND(ISNUMBER($W$1201),$B$677=1),$W$1201,HLOOKUP(INDIRECT(ADDRESS(2,COLUMN())),OFFSET($BN$2,0,0,ROW()-1,60),ROW()-1,FALSE))</f>
        <v>15.51636126</v>
      </c>
      <c r="X542">
        <f ca="1">IF(AND(ISNUMBER($X$1201),$B$677=1),$X$1201,HLOOKUP(INDIRECT(ADDRESS(2,COLUMN())),OFFSET($BN$2,0,0,ROW()-1,60),ROW()-1,FALSE))</f>
        <v>15.708368630000001</v>
      </c>
      <c r="Y542">
        <f ca="1">IF(AND(ISNUMBER($Y$1201),$B$677=1),$Y$1201,HLOOKUP(INDIRECT(ADDRESS(2,COLUMN())),OFFSET($BN$2,0,0,ROW()-1,60),ROW()-1,FALSE))</f>
        <v>14.08070083</v>
      </c>
      <c r="Z542">
        <f ca="1">IF(AND(ISNUMBER($Z$1201),$B$677=1),$Z$1201,HLOOKUP(INDIRECT(ADDRESS(2,COLUMN())),OFFSET($BN$2,0,0,ROW()-1,60),ROW()-1,FALSE))</f>
        <v>13.34160586</v>
      </c>
      <c r="AA542">
        <f ca="1">IF(AND(ISNUMBER($AA$1201),$B$677=1),$AA$1201,HLOOKUP(INDIRECT(ADDRESS(2,COLUMN())),OFFSET($BN$2,0,0,ROW()-1,60),ROW()-1,FALSE))</f>
        <v>14.23170023</v>
      </c>
      <c r="AB542">
        <f ca="1">IF(AND(ISNUMBER($AB$1201),$B$677=1),$AB$1201,HLOOKUP(INDIRECT(ADDRESS(2,COLUMN())),OFFSET($BN$2,0,0,ROW()-1,60),ROW()-1,FALSE))</f>
        <v>15.124003030000001</v>
      </c>
      <c r="AC542">
        <f ca="1">IF(AND(ISNUMBER($AC$1201),$B$677=1),$AC$1201,HLOOKUP(INDIRECT(ADDRESS(2,COLUMN())),OFFSET($BN$2,0,0,ROW()-1,60),ROW()-1,FALSE))</f>
        <v>18.088870889999999</v>
      </c>
      <c r="AD542">
        <f ca="1">IF(AND(ISNUMBER($AD$1201),$B$677=1),$AD$1201,HLOOKUP(INDIRECT(ADDRESS(2,COLUMN())),OFFSET($BN$2,0,0,ROW()-1,60),ROW()-1,FALSE))</f>
        <v>18.379130320000002</v>
      </c>
      <c r="AE542">
        <f ca="1">IF(AND(ISNUMBER($AE$1201),$B$677=1),$AE$1201,HLOOKUP(INDIRECT(ADDRESS(2,COLUMN())),OFFSET($BN$2,0,0,ROW()-1,60),ROW()-1,FALSE))</f>
        <v>17.31001749</v>
      </c>
      <c r="AF542">
        <f ca="1">IF(AND(ISNUMBER($AF$1201),$B$677=1),$AF$1201,HLOOKUP(INDIRECT(ADDRESS(2,COLUMN())),OFFSET($BN$2,0,0,ROW()-1,60),ROW()-1,FALSE))</f>
        <v>21.536700759999999</v>
      </c>
      <c r="AG542">
        <f ca="1">IF(AND(ISNUMBER($AG$1201),$B$677=1),$AG$1201,HLOOKUP(INDIRECT(ADDRESS(2,COLUMN())),OFFSET($BN$2,0,0,ROW()-1,60),ROW()-1,FALSE))</f>
        <v>20.99168083</v>
      </c>
      <c r="AH542">
        <f ca="1">IF(AND(ISNUMBER($AH$1201),$B$677=1),$AH$1201,HLOOKUP(INDIRECT(ADDRESS(2,COLUMN())),OFFSET($BN$2,0,0,ROW()-1,60),ROW()-1,FALSE))</f>
        <v>18.924074099999999</v>
      </c>
      <c r="AI542">
        <f ca="1">IF(AND(ISNUMBER($AI$1201),$B$677=1),$AI$1201,HLOOKUP(INDIRECT(ADDRESS(2,COLUMN())),OFFSET($BN$2,0,0,ROW()-1,60),ROW()-1,FALSE))</f>
        <v>23.65014175</v>
      </c>
      <c r="AJ542">
        <f ca="1">IF(AND(ISNUMBER($AJ$1201),$B$677=1),$AJ$1201,HLOOKUP(INDIRECT(ADDRESS(2,COLUMN())),OFFSET($BN$2,0,0,ROW()-1,60),ROW()-1,FALSE))</f>
        <v>25.267819039999999</v>
      </c>
      <c r="AK542">
        <f ca="1">IF(AND(ISNUMBER($AK$1201),$B$677=1),$AK$1201,HLOOKUP(INDIRECT(ADDRESS(2,COLUMN())),OFFSET($BN$2,0,0,ROW()-1,60),ROW()-1,FALSE))</f>
        <v>17.198266440000001</v>
      </c>
      <c r="AL542">
        <f ca="1">IF(AND(ISNUMBER($AL$1201),$B$677=1),$AL$1201,HLOOKUP(INDIRECT(ADDRESS(2,COLUMN())),OFFSET($BN$2,0,0,ROW()-1,60),ROW()-1,FALSE))</f>
        <v>17.102423569999999</v>
      </c>
      <c r="AM542">
        <f ca="1">IF(AND(ISNUMBER($AM$1201),$B$677=1),$AM$1201,HLOOKUP(INDIRECT(ADDRESS(2,COLUMN())),OFFSET($BN$2,0,0,ROW()-1,60),ROW()-1,FALSE))</f>
        <v>13.60357278</v>
      </c>
      <c r="AN542">
        <f ca="1">IF(AND(ISNUMBER($AN$1201),$B$677=1),$AN$1201,HLOOKUP(INDIRECT(ADDRESS(2,COLUMN())),OFFSET($BN$2,0,0,ROW()-1,60),ROW()-1,FALSE))</f>
        <v>10.410663449999999</v>
      </c>
      <c r="AO542">
        <f ca="1">IF(AND(ISNUMBER($AO$1201),$B$677=1),$AO$1201,HLOOKUP(INDIRECT(ADDRESS(2,COLUMN())),OFFSET($BN$2,0,0,ROW()-1,60),ROW()-1,FALSE))</f>
        <v>9.0111676309999993</v>
      </c>
      <c r="AP542">
        <f ca="1">IF(AND(ISNUMBER($AP$1201),$B$677=1),$AP$1201,HLOOKUP(INDIRECT(ADDRESS(2,COLUMN())),OFFSET($BN$2,0,0,ROW()-1,60),ROW()-1,FALSE))</f>
        <v>3.6618778380000001</v>
      </c>
      <c r="AQ542">
        <f ca="1">IF(AND(ISNUMBER($AQ$1201),$B$677=1),$AQ$1201,HLOOKUP(INDIRECT(ADDRESS(2,COLUMN())),OFFSET($BN$2,0,0,ROW()-1,60),ROW()-1,FALSE))</f>
        <v>1.5198305759999999</v>
      </c>
      <c r="AR542">
        <f ca="1">IF(AND(ISNUMBER($AR$1201),$B$677=1),$AR$1201,HLOOKUP(INDIRECT(ADDRESS(2,COLUMN())),OFFSET($BN$2,0,0,ROW()-1,60),ROW()-1,FALSE))</f>
        <v>-0.99600267799999997</v>
      </c>
      <c r="AS542">
        <f ca="1">IF(AND(ISNUMBER($AS$1201),$B$677=1),$AS$1201,HLOOKUP(INDIRECT(ADDRESS(2,COLUMN())),OFFSET($BN$2,0,0,ROW()-1,60),ROW()-1,FALSE))</f>
        <v>0.67268193700000001</v>
      </c>
      <c r="AT542">
        <f ca="1">IF(AND(ISNUMBER($AT$1201),$B$677=1),$AT$1201,HLOOKUP(INDIRECT(ADDRESS(2,COLUMN())),OFFSET($BN$2,0,0,ROW()-1,60),ROW()-1,FALSE))</f>
        <v>2.637797146</v>
      </c>
      <c r="AU542">
        <f ca="1">IF(AND(ISNUMBER($AU$1201),$B$677=1),$AU$1201,HLOOKUP(INDIRECT(ADDRESS(2,COLUMN())),OFFSET($BN$2,0,0,ROW()-1,60),ROW()-1,FALSE))</f>
        <v>8.8908790110000009</v>
      </c>
      <c r="AV542">
        <f ca="1">IF(AND(ISNUMBER($AV$1201),$B$677=1),$AV$1201,HLOOKUP(INDIRECT(ADDRESS(2,COLUMN())),OFFSET($BN$2,0,0,ROW()-1,60),ROW()-1,FALSE))</f>
        <v>15.26992703</v>
      </c>
      <c r="AW542">
        <f ca="1">IF(AND(ISNUMBER($AW$1201),$B$677=1),$AW$1201,HLOOKUP(INDIRECT(ADDRESS(2,COLUMN())),OFFSET($BN$2,0,0,ROW()-1,60),ROW()-1,FALSE))</f>
        <v>16.680472810000001</v>
      </c>
      <c r="AX542">
        <f ca="1">IF(AND(ISNUMBER($AX$1201),$B$677=1),$AX$1201,HLOOKUP(INDIRECT(ADDRESS(2,COLUMN())),OFFSET($BN$2,0,0,ROW()-1,60),ROW()-1,FALSE))</f>
        <v>17.166727810000001</v>
      </c>
      <c r="AY542">
        <f ca="1">IF(AND(ISNUMBER($AY$1201),$B$677=1),$AY$1201,HLOOKUP(INDIRECT(ADDRESS(2,COLUMN())),OFFSET($BN$2,0,0,ROW()-1,60),ROW()-1,FALSE))</f>
        <v>14.36285573</v>
      </c>
      <c r="AZ542">
        <f ca="1">IF(AND(ISNUMBER($AZ$1201),$B$677=1),$AZ$1201,HLOOKUP(INDIRECT(ADDRESS(2,COLUMN())),OFFSET($BN$2,0,0,ROW()-1,60),ROW()-1,FALSE))</f>
        <v>12.86149071</v>
      </c>
      <c r="BA542">
        <f ca="1">IF(AND(ISNUMBER($BA$1201),$B$677=1),$BA$1201,HLOOKUP(INDIRECT(ADDRESS(2,COLUMN())),OFFSET($BN$2,0,0,ROW()-1,60),ROW()-1,FALSE))</f>
        <v>11.950930619999999</v>
      </c>
      <c r="BB542">
        <f ca="1">IF(AND(ISNUMBER($BB$1201),$B$677=1),$BB$1201,HLOOKUP(INDIRECT(ADDRESS(2,COLUMN())),OFFSET($BN$2,0,0,ROW()-1,60),ROW()-1,FALSE))</f>
        <v>13.703207259999999</v>
      </c>
      <c r="BC542">
        <f ca="1">IF(AND(ISNUMBER($BC$1201),$B$677=1),$BC$1201,HLOOKUP(INDIRECT(ADDRESS(2,COLUMN())),OFFSET($BN$2,0,0,ROW()-1,60),ROW()-1,FALSE))</f>
        <v>13.773304359999999</v>
      </c>
      <c r="BD542">
        <f ca="1">IF(AND(ISNUMBER($BD$1201),$B$677=1),$BD$1201,HLOOKUP(INDIRECT(ADDRESS(2,COLUMN())),OFFSET($BN$2,0,0,ROW()-1,60),ROW()-1,FALSE))</f>
        <v>14.594647699999999</v>
      </c>
      <c r="BE542">
        <f ca="1">IF(AND(ISNUMBER($BE$1201),$B$677=1),$BE$1201,HLOOKUP(INDIRECT(ADDRESS(2,COLUMN())),OFFSET($BN$2,0,0,ROW()-1,60),ROW()-1,FALSE))</f>
        <v>15.64494818</v>
      </c>
      <c r="BF542">
        <f ca="1">IF(AND(ISNUMBER($BF$1201),$B$677=1),$BF$1201,HLOOKUP(INDIRECT(ADDRESS(2,COLUMN())),OFFSET($BN$2,0,0,ROW()-1,60),ROW()-1,FALSE))</f>
        <v>12.84102961</v>
      </c>
      <c r="BG542">
        <f ca="1">IF(AND(ISNUMBER($BG$1201),$B$677=1),$BG$1201,HLOOKUP(INDIRECT(ADDRESS(2,COLUMN())),OFFSET($BN$2,0,0,ROW()-1,60),ROW()-1,FALSE))</f>
        <v>15.45977536</v>
      </c>
      <c r="BH542">
        <f ca="1">IF(AND(ISNUMBER($BH$1201),$B$677=1),$BH$1201,HLOOKUP(INDIRECT(ADDRESS(2,COLUMN())),OFFSET($BN$2,0,0,ROW()-1,60),ROW()-1,FALSE))</f>
        <v>14.01793741</v>
      </c>
      <c r="BI542">
        <f ca="1">IF(AND(ISNUMBER($BI$1201),$B$677=1),$BI$1201,HLOOKUP(INDIRECT(ADDRESS(2,COLUMN())),OFFSET($BN$2,0,0,ROW()-1,60),ROW()-1,FALSE))</f>
        <v>14.25164803</v>
      </c>
      <c r="BJ542">
        <f ca="1">IF(AND(ISNUMBER($BJ$1201),$B$677=1),$BJ$1201,HLOOKUP(INDIRECT(ADDRESS(2,COLUMN())),OFFSET($BN$2,0,0,ROW()-1,60),ROW()-1,FALSE))</f>
        <v>15.489004599999999</v>
      </c>
      <c r="BK542">
        <f ca="1">IF(AND(ISNUMBER($BK$1201),$B$677=1),$BK$1201,HLOOKUP(INDIRECT(ADDRESS(2,COLUMN())),OFFSET($BN$2,0,0,ROW()-1,60),ROW()-1,FALSE))</f>
        <v>16.717297670000001</v>
      </c>
      <c r="BL542">
        <f ca="1">IF(AND(ISNUMBER($BL$1201),$B$677=1),$BL$1201,HLOOKUP(INDIRECT(ADDRESS(2,COLUMN())),OFFSET($BN$2,0,0,ROW()-1,60),ROW()-1,FALSE))</f>
        <v>16.719162560000001</v>
      </c>
      <c r="BM542">
        <f ca="1">IF(AND(ISNUMBER($BM$1201),$B$677=1),$BM$1201,HLOOKUP(INDIRECT(ADDRESS(2,COLUMN())),OFFSET($BN$2,0,0,ROW()-1,60),ROW()-1,FALSE))</f>
        <v>15.1740432</v>
      </c>
      <c r="BN542">
        <f>19.12915719</f>
        <v>19.129157190000001</v>
      </c>
      <c r="BO542">
        <f>19.76769765</f>
        <v>19.767697649999999</v>
      </c>
      <c r="BP542">
        <f>18.0332416</f>
        <v>18.0332416</v>
      </c>
      <c r="BQ542">
        <f>19.26570303</f>
        <v>19.265703030000001</v>
      </c>
      <c r="BR542">
        <f>17.26891483</f>
        <v>17.26891483</v>
      </c>
      <c r="BS542">
        <f>17.70515812</f>
        <v>17.70515812</v>
      </c>
      <c r="BT542">
        <f>17.68934143</f>
        <v>17.689341429999999</v>
      </c>
      <c r="BU542">
        <f>18.56209312</f>
        <v>18.56209312</v>
      </c>
      <c r="BV542">
        <f>17.33398635</f>
        <v>17.33398635</v>
      </c>
      <c r="BW542">
        <f>16.07955718</f>
        <v>16.079557179999998</v>
      </c>
      <c r="BX542">
        <f>19.84683473</f>
        <v>19.846834730000001</v>
      </c>
      <c r="BY542">
        <f>22.38230756</f>
        <v>22.382307560000001</v>
      </c>
      <c r="BZ542">
        <f>17.95860015</f>
        <v>17.958600149999999</v>
      </c>
      <c r="CA542">
        <f>14.94845646</f>
        <v>14.948456459999999</v>
      </c>
      <c r="CB542">
        <f>18.48469608</f>
        <v>18.484696079999999</v>
      </c>
      <c r="CC542">
        <f>14.68260726</f>
        <v>14.682607259999999</v>
      </c>
      <c r="CD542">
        <f>12.60230149</f>
        <v>12.60230149</v>
      </c>
      <c r="CE542">
        <f>15.51636126</f>
        <v>15.51636126</v>
      </c>
      <c r="CF542">
        <f>15.70836863</f>
        <v>15.708368630000001</v>
      </c>
      <c r="CG542">
        <f>14.08070083</f>
        <v>14.08070083</v>
      </c>
      <c r="CH542">
        <f>13.34160586</f>
        <v>13.34160586</v>
      </c>
      <c r="CI542">
        <f>14.23170023</f>
        <v>14.23170023</v>
      </c>
      <c r="CJ542">
        <f>15.12400303</f>
        <v>15.124003030000001</v>
      </c>
      <c r="CK542">
        <f>18.08887089</f>
        <v>18.088870889999999</v>
      </c>
      <c r="CL542">
        <f>18.37913032</f>
        <v>18.379130320000002</v>
      </c>
      <c r="CM542">
        <f>17.31001749</f>
        <v>17.31001749</v>
      </c>
      <c r="CN542">
        <f>21.53670076</f>
        <v>21.536700759999999</v>
      </c>
      <c r="CO542">
        <f>20.99168083</f>
        <v>20.99168083</v>
      </c>
      <c r="CP542">
        <f>18.9240741</f>
        <v>18.924074099999999</v>
      </c>
      <c r="CQ542">
        <f>23.65014175</f>
        <v>23.65014175</v>
      </c>
      <c r="CR542">
        <f>25.26781904</f>
        <v>25.267819039999999</v>
      </c>
      <c r="CS542">
        <f>17.19826644</f>
        <v>17.198266440000001</v>
      </c>
      <c r="CT542">
        <f>17.10242357</f>
        <v>17.102423569999999</v>
      </c>
      <c r="CU542">
        <f>13.60357278</f>
        <v>13.60357278</v>
      </c>
      <c r="CV542">
        <f>10.41066345</f>
        <v>10.410663449999999</v>
      </c>
      <c r="CW542">
        <f>9.011167631</f>
        <v>9.0111676309999993</v>
      </c>
      <c r="CX542">
        <f>3.661877838</f>
        <v>3.6618778380000001</v>
      </c>
      <c r="CY542">
        <f>1.519830576</f>
        <v>1.5198305759999999</v>
      </c>
      <c r="CZ542">
        <f>-0.996002678</f>
        <v>-0.99600267799999997</v>
      </c>
      <c r="DA542">
        <f>0.672681937</f>
        <v>0.67268193700000001</v>
      </c>
      <c r="DB542">
        <f>2.637797146</f>
        <v>2.637797146</v>
      </c>
      <c r="DC542">
        <f>8.890879011</f>
        <v>8.8908790110000009</v>
      </c>
      <c r="DD542">
        <f>15.26992703</f>
        <v>15.26992703</v>
      </c>
      <c r="DE542">
        <f>16.68047281</f>
        <v>16.680472810000001</v>
      </c>
      <c r="DF542">
        <f>17.16672781</f>
        <v>17.166727810000001</v>
      </c>
      <c r="DG542">
        <f>14.36285573</f>
        <v>14.36285573</v>
      </c>
      <c r="DH542">
        <f>12.86149071</f>
        <v>12.86149071</v>
      </c>
      <c r="DI542">
        <f>11.95093062</f>
        <v>11.950930619999999</v>
      </c>
      <c r="DJ542">
        <f>13.70320726</f>
        <v>13.703207259999999</v>
      </c>
      <c r="DK542">
        <f>13.77330436</f>
        <v>13.773304359999999</v>
      </c>
      <c r="DL542">
        <f>14.5946477</f>
        <v>14.594647699999999</v>
      </c>
      <c r="DM542">
        <f>15.64494818</f>
        <v>15.64494818</v>
      </c>
      <c r="DN542">
        <f>12.84102961</f>
        <v>12.84102961</v>
      </c>
      <c r="DO542">
        <f>15.45977536</f>
        <v>15.45977536</v>
      </c>
      <c r="DP542">
        <f>14.01793741</f>
        <v>14.01793741</v>
      </c>
      <c r="DQ542">
        <f>14.25164803</f>
        <v>14.25164803</v>
      </c>
      <c r="DR542">
        <f>15.4890046</f>
        <v>15.489004599999999</v>
      </c>
      <c r="DS542">
        <f>16.71729767</f>
        <v>16.717297670000001</v>
      </c>
      <c r="DT542">
        <f>16.71916256</f>
        <v>16.719162560000001</v>
      </c>
      <c r="DU542">
        <f>15.1740432</f>
        <v>15.1740432</v>
      </c>
    </row>
    <row r="543" spans="1:125" x14ac:dyDescent="0.25">
      <c r="A543" t="str">
        <f>"    Brilliance China Automotive Holdings Ltd"</f>
        <v xml:space="preserve">    Brilliance China Automotive Holdings Ltd</v>
      </c>
      <c r="B543" t="str">
        <f>"1114 HK Equity"</f>
        <v>1114 HK Equity</v>
      </c>
      <c r="C543" t="str">
        <f t="shared" si="39"/>
        <v>RX076</v>
      </c>
      <c r="D543" t="str">
        <f t="shared" si="40"/>
        <v>EBIT_YIELD</v>
      </c>
      <c r="E543" t="str">
        <f t="shared" si="41"/>
        <v>Dynamic</v>
      </c>
      <c r="F543" t="str">
        <f ca="1">IF(AND(ISNUMBER($F$1202),$B$677=1),$F$1202,HLOOKUP(INDIRECT(ADDRESS(2,COLUMN())),OFFSET($BN$2,0,0,ROW()-1,60),ROW()-1,FALSE))</f>
        <v/>
      </c>
      <c r="G543" t="str">
        <f ca="1">IF(AND(ISNUMBER($G$1202),$B$677=1),$G$1202,HLOOKUP(INDIRECT(ADDRESS(2,COLUMN())),OFFSET($BN$2,0,0,ROW()-1,60),ROW()-1,FALSE))</f>
        <v/>
      </c>
      <c r="H543" t="str">
        <f ca="1">IF(AND(ISNUMBER($H$1202),$B$677=1),$H$1202,HLOOKUP(INDIRECT(ADDRESS(2,COLUMN())),OFFSET($BN$2,0,0,ROW()-1,60),ROW()-1,FALSE))</f>
        <v/>
      </c>
      <c r="I543" t="str">
        <f ca="1">IF(AND(ISNUMBER($I$1202),$B$677=1),$I$1202,HLOOKUP(INDIRECT(ADDRESS(2,COLUMN())),OFFSET($BN$2,0,0,ROW()-1,60),ROW()-1,FALSE))</f>
        <v/>
      </c>
      <c r="J543" t="str">
        <f ca="1">IF(AND(ISNUMBER($J$1202),$B$677=1),$J$1202,HLOOKUP(INDIRECT(ADDRESS(2,COLUMN())),OFFSET($BN$2,0,0,ROW()-1,60),ROW()-1,FALSE))</f>
        <v/>
      </c>
      <c r="K543" t="str">
        <f ca="1">IF(AND(ISNUMBER($K$1202),$B$677=1),$K$1202,HLOOKUP(INDIRECT(ADDRESS(2,COLUMN())),OFFSET($BN$2,0,0,ROW()-1,60),ROW()-1,FALSE))</f>
        <v/>
      </c>
      <c r="L543" t="str">
        <f ca="1">IF(AND(ISNUMBER($L$1202),$B$677=1),$L$1202,HLOOKUP(INDIRECT(ADDRESS(2,COLUMN())),OFFSET($BN$2,0,0,ROW()-1,60),ROW()-1,FALSE))</f>
        <v/>
      </c>
      <c r="M543" t="str">
        <f ca="1">IF(AND(ISNUMBER($M$1202),$B$677=1),$M$1202,HLOOKUP(INDIRECT(ADDRESS(2,COLUMN())),OFFSET($BN$2,0,0,ROW()-1,60),ROW()-1,FALSE))</f>
        <v/>
      </c>
      <c r="N543" t="str">
        <f ca="1">IF(AND(ISNUMBER($N$1202),$B$677=1),$N$1202,HLOOKUP(INDIRECT(ADDRESS(2,COLUMN())),OFFSET($BN$2,0,0,ROW()-1,60),ROW()-1,FALSE))</f>
        <v/>
      </c>
      <c r="O543" t="str">
        <f ca="1">IF(AND(ISNUMBER($O$1202),$B$677=1),$O$1202,HLOOKUP(INDIRECT(ADDRESS(2,COLUMN())),OFFSET($BN$2,0,0,ROW()-1,60),ROW()-1,FALSE))</f>
        <v/>
      </c>
      <c r="P543" t="str">
        <f ca="1">IF(AND(ISNUMBER($P$1202),$B$677=1),$P$1202,HLOOKUP(INDIRECT(ADDRESS(2,COLUMN())),OFFSET($BN$2,0,0,ROW()-1,60),ROW()-1,FALSE))</f>
        <v/>
      </c>
      <c r="Q543" t="str">
        <f ca="1">IF(AND(ISNUMBER($Q$1202),$B$677=1),$Q$1202,HLOOKUP(INDIRECT(ADDRESS(2,COLUMN())),OFFSET($BN$2,0,0,ROW()-1,60),ROW()-1,FALSE))</f>
        <v/>
      </c>
      <c r="R543" t="str">
        <f ca="1">IF(AND(ISNUMBER($R$1202),$B$677=1),$R$1202,HLOOKUP(INDIRECT(ADDRESS(2,COLUMN())),OFFSET($BN$2,0,0,ROW()-1,60),ROW()-1,FALSE))</f>
        <v/>
      </c>
      <c r="S543" t="str">
        <f ca="1">IF(AND(ISNUMBER($S$1202),$B$677=1),$S$1202,HLOOKUP(INDIRECT(ADDRESS(2,COLUMN())),OFFSET($BN$2,0,0,ROW()-1,60),ROW()-1,FALSE))</f>
        <v/>
      </c>
      <c r="T543" t="str">
        <f ca="1">IF(AND(ISNUMBER($T$1202),$B$677=1),$T$1202,HLOOKUP(INDIRECT(ADDRESS(2,COLUMN())),OFFSET($BN$2,0,0,ROW()-1,60),ROW()-1,FALSE))</f>
        <v/>
      </c>
      <c r="U543" t="str">
        <f ca="1">IF(AND(ISNUMBER($U$1202),$B$677=1),$U$1202,HLOOKUP(INDIRECT(ADDRESS(2,COLUMN())),OFFSET($BN$2,0,0,ROW()-1,60),ROW()-1,FALSE))</f>
        <v/>
      </c>
      <c r="V543" t="str">
        <f ca="1">IF(AND(ISNUMBER($V$1202),$B$677=1),$V$1202,HLOOKUP(INDIRECT(ADDRESS(2,COLUMN())),OFFSET($BN$2,0,0,ROW()-1,60),ROW()-1,FALSE))</f>
        <v/>
      </c>
      <c r="W543" t="str">
        <f ca="1">IF(AND(ISNUMBER($W$1202),$B$677=1),$W$1202,HLOOKUP(INDIRECT(ADDRESS(2,COLUMN())),OFFSET($BN$2,0,0,ROW()-1,60),ROW()-1,FALSE))</f>
        <v/>
      </c>
      <c r="X543" t="str">
        <f ca="1">IF(AND(ISNUMBER($X$1202),$B$677=1),$X$1202,HLOOKUP(INDIRECT(ADDRESS(2,COLUMN())),OFFSET($BN$2,0,0,ROW()-1,60),ROW()-1,FALSE))</f>
        <v/>
      </c>
      <c r="Y543" t="str">
        <f ca="1">IF(AND(ISNUMBER($Y$1202),$B$677=1),$Y$1202,HLOOKUP(INDIRECT(ADDRESS(2,COLUMN())),OFFSET($BN$2,0,0,ROW()-1,60),ROW()-1,FALSE))</f>
        <v/>
      </c>
      <c r="Z543" t="str">
        <f ca="1">IF(AND(ISNUMBER($Z$1202),$B$677=1),$Z$1202,HLOOKUP(INDIRECT(ADDRESS(2,COLUMN())),OFFSET($BN$2,0,0,ROW()-1,60),ROW()-1,FALSE))</f>
        <v/>
      </c>
      <c r="AA543" t="str">
        <f ca="1">IF(AND(ISNUMBER($AA$1202),$B$677=1),$AA$1202,HLOOKUP(INDIRECT(ADDRESS(2,COLUMN())),OFFSET($BN$2,0,0,ROW()-1,60),ROW()-1,FALSE))</f>
        <v/>
      </c>
      <c r="AB543" t="str">
        <f ca="1">IF(AND(ISNUMBER($AB$1202),$B$677=1),$AB$1202,HLOOKUP(INDIRECT(ADDRESS(2,COLUMN())),OFFSET($BN$2,0,0,ROW()-1,60),ROW()-1,FALSE))</f>
        <v/>
      </c>
      <c r="AC543" t="str">
        <f ca="1">IF(AND(ISNUMBER($AC$1202),$B$677=1),$AC$1202,HLOOKUP(INDIRECT(ADDRESS(2,COLUMN())),OFFSET($BN$2,0,0,ROW()-1,60),ROW()-1,FALSE))</f>
        <v/>
      </c>
      <c r="AD543" t="str">
        <f ca="1">IF(AND(ISNUMBER($AD$1202),$B$677=1),$AD$1202,HLOOKUP(INDIRECT(ADDRESS(2,COLUMN())),OFFSET($BN$2,0,0,ROW()-1,60),ROW()-1,FALSE))</f>
        <v/>
      </c>
      <c r="AE543" t="str">
        <f ca="1">IF(AND(ISNUMBER($AE$1202),$B$677=1),$AE$1202,HLOOKUP(INDIRECT(ADDRESS(2,COLUMN())),OFFSET($BN$2,0,0,ROW()-1,60),ROW()-1,FALSE))</f>
        <v/>
      </c>
      <c r="AF543" t="str">
        <f ca="1">IF(AND(ISNUMBER($AF$1202),$B$677=1),$AF$1202,HLOOKUP(INDIRECT(ADDRESS(2,COLUMN())),OFFSET($BN$2,0,0,ROW()-1,60),ROW()-1,FALSE))</f>
        <v/>
      </c>
      <c r="AG543" t="str">
        <f ca="1">IF(AND(ISNUMBER($AG$1202),$B$677=1),$AG$1202,HLOOKUP(INDIRECT(ADDRESS(2,COLUMN())),OFFSET($BN$2,0,0,ROW()-1,60),ROW()-1,FALSE))</f>
        <v/>
      </c>
      <c r="AH543" t="str">
        <f ca="1">IF(AND(ISNUMBER($AH$1202),$B$677=1),$AH$1202,HLOOKUP(INDIRECT(ADDRESS(2,COLUMN())),OFFSET($BN$2,0,0,ROW()-1,60),ROW()-1,FALSE))</f>
        <v/>
      </c>
      <c r="AI543" t="str">
        <f ca="1">IF(AND(ISNUMBER($AI$1202),$B$677=1),$AI$1202,HLOOKUP(INDIRECT(ADDRESS(2,COLUMN())),OFFSET($BN$2,0,0,ROW()-1,60),ROW()-1,FALSE))</f>
        <v/>
      </c>
      <c r="AJ543" t="str">
        <f ca="1">IF(AND(ISNUMBER($AJ$1202),$B$677=1),$AJ$1202,HLOOKUP(INDIRECT(ADDRESS(2,COLUMN())),OFFSET($BN$2,0,0,ROW()-1,60),ROW()-1,FALSE))</f>
        <v/>
      </c>
      <c r="AK543" t="str">
        <f ca="1">IF(AND(ISNUMBER($AK$1202),$B$677=1),$AK$1202,HLOOKUP(INDIRECT(ADDRESS(2,COLUMN())),OFFSET($BN$2,0,0,ROW()-1,60),ROW()-1,FALSE))</f>
        <v/>
      </c>
      <c r="AL543" t="str">
        <f ca="1">IF(AND(ISNUMBER($AL$1202),$B$677=1),$AL$1202,HLOOKUP(INDIRECT(ADDRESS(2,COLUMN())),OFFSET($BN$2,0,0,ROW()-1,60),ROW()-1,FALSE))</f>
        <v/>
      </c>
      <c r="AM543" t="str">
        <f ca="1">IF(AND(ISNUMBER($AM$1202),$B$677=1),$AM$1202,HLOOKUP(INDIRECT(ADDRESS(2,COLUMN())),OFFSET($BN$2,0,0,ROW()-1,60),ROW()-1,FALSE))</f>
        <v/>
      </c>
      <c r="AN543" t="str">
        <f ca="1">IF(AND(ISNUMBER($AN$1202),$B$677=1),$AN$1202,HLOOKUP(INDIRECT(ADDRESS(2,COLUMN())),OFFSET($BN$2,0,0,ROW()-1,60),ROW()-1,FALSE))</f>
        <v/>
      </c>
      <c r="AO543" t="str">
        <f ca="1">IF(AND(ISNUMBER($AO$1202),$B$677=1),$AO$1202,HLOOKUP(INDIRECT(ADDRESS(2,COLUMN())),OFFSET($BN$2,0,0,ROW()-1,60),ROW()-1,FALSE))</f>
        <v/>
      </c>
      <c r="AP543" t="str">
        <f ca="1">IF(AND(ISNUMBER($AP$1202),$B$677=1),$AP$1202,HLOOKUP(INDIRECT(ADDRESS(2,COLUMN())),OFFSET($BN$2,0,0,ROW()-1,60),ROW()-1,FALSE))</f>
        <v/>
      </c>
      <c r="AQ543" t="str">
        <f ca="1">IF(AND(ISNUMBER($AQ$1202),$B$677=1),$AQ$1202,HLOOKUP(INDIRECT(ADDRESS(2,COLUMN())),OFFSET($BN$2,0,0,ROW()-1,60),ROW()-1,FALSE))</f>
        <v/>
      </c>
      <c r="AR543" t="str">
        <f ca="1">IF(AND(ISNUMBER($AR$1202),$B$677=1),$AR$1202,HLOOKUP(INDIRECT(ADDRESS(2,COLUMN())),OFFSET($BN$2,0,0,ROW()-1,60),ROW()-1,FALSE))</f>
        <v/>
      </c>
      <c r="AS543" t="str">
        <f ca="1">IF(AND(ISNUMBER($AS$1202),$B$677=1),$AS$1202,HLOOKUP(INDIRECT(ADDRESS(2,COLUMN())),OFFSET($BN$2,0,0,ROW()-1,60),ROW()-1,FALSE))</f>
        <v/>
      </c>
      <c r="AT543" t="str">
        <f ca="1">IF(AND(ISNUMBER($AT$1202),$B$677=1),$AT$1202,HLOOKUP(INDIRECT(ADDRESS(2,COLUMN())),OFFSET($BN$2,0,0,ROW()-1,60),ROW()-1,FALSE))</f>
        <v/>
      </c>
      <c r="AU543" t="str">
        <f ca="1">IF(AND(ISNUMBER($AU$1202),$B$677=1),$AU$1202,HLOOKUP(INDIRECT(ADDRESS(2,COLUMN())),OFFSET($BN$2,0,0,ROW()-1,60),ROW()-1,FALSE))</f>
        <v/>
      </c>
      <c r="AV543" t="str">
        <f ca="1">IF(AND(ISNUMBER($AV$1202),$B$677=1),$AV$1202,HLOOKUP(INDIRECT(ADDRESS(2,COLUMN())),OFFSET($BN$2,0,0,ROW()-1,60),ROW()-1,FALSE))</f>
        <v/>
      </c>
      <c r="AW543" t="str">
        <f ca="1">IF(AND(ISNUMBER($AW$1202),$B$677=1),$AW$1202,HLOOKUP(INDIRECT(ADDRESS(2,COLUMN())),OFFSET($BN$2,0,0,ROW()-1,60),ROW()-1,FALSE))</f>
        <v/>
      </c>
      <c r="AX543" t="str">
        <f ca="1">IF(AND(ISNUMBER($AX$1202),$B$677=1),$AX$1202,HLOOKUP(INDIRECT(ADDRESS(2,COLUMN())),OFFSET($BN$2,0,0,ROW()-1,60),ROW()-1,FALSE))</f>
        <v/>
      </c>
      <c r="AY543" t="str">
        <f ca="1">IF(AND(ISNUMBER($AY$1202),$B$677=1),$AY$1202,HLOOKUP(INDIRECT(ADDRESS(2,COLUMN())),OFFSET($BN$2,0,0,ROW()-1,60),ROW()-1,FALSE))</f>
        <v/>
      </c>
      <c r="AZ543" t="str">
        <f ca="1">IF(AND(ISNUMBER($AZ$1202),$B$677=1),$AZ$1202,HLOOKUP(INDIRECT(ADDRESS(2,COLUMN())),OFFSET($BN$2,0,0,ROW()-1,60),ROW()-1,FALSE))</f>
        <v/>
      </c>
      <c r="BA543" t="str">
        <f ca="1">IF(AND(ISNUMBER($BA$1202),$B$677=1),$BA$1202,HLOOKUP(INDIRECT(ADDRESS(2,COLUMN())),OFFSET($BN$2,0,0,ROW()-1,60),ROW()-1,FALSE))</f>
        <v/>
      </c>
      <c r="BB543" t="str">
        <f ca="1">IF(AND(ISNUMBER($BB$1202),$B$677=1),$BB$1202,HLOOKUP(INDIRECT(ADDRESS(2,COLUMN())),OFFSET($BN$2,0,0,ROW()-1,60),ROW()-1,FALSE))</f>
        <v/>
      </c>
      <c r="BC543" t="str">
        <f ca="1">IF(AND(ISNUMBER($BC$1202),$B$677=1),$BC$1202,HLOOKUP(INDIRECT(ADDRESS(2,COLUMN())),OFFSET($BN$2,0,0,ROW()-1,60),ROW()-1,FALSE))</f>
        <v/>
      </c>
      <c r="BD543" t="str">
        <f ca="1">IF(AND(ISNUMBER($BD$1202),$B$677=1),$BD$1202,HLOOKUP(INDIRECT(ADDRESS(2,COLUMN())),OFFSET($BN$2,0,0,ROW()-1,60),ROW()-1,FALSE))</f>
        <v/>
      </c>
      <c r="BE543" t="str">
        <f ca="1">IF(AND(ISNUMBER($BE$1202),$B$677=1),$BE$1202,HLOOKUP(INDIRECT(ADDRESS(2,COLUMN())),OFFSET($BN$2,0,0,ROW()-1,60),ROW()-1,FALSE))</f>
        <v/>
      </c>
      <c r="BF543" t="str">
        <f ca="1">IF(AND(ISNUMBER($BF$1202),$B$677=1),$BF$1202,HLOOKUP(INDIRECT(ADDRESS(2,COLUMN())),OFFSET($BN$2,0,0,ROW()-1,60),ROW()-1,FALSE))</f>
        <v/>
      </c>
      <c r="BG543" t="str">
        <f ca="1">IF(AND(ISNUMBER($BG$1202),$B$677=1),$BG$1202,HLOOKUP(INDIRECT(ADDRESS(2,COLUMN())),OFFSET($BN$2,0,0,ROW()-1,60),ROW()-1,FALSE))</f>
        <v/>
      </c>
      <c r="BH543" t="str">
        <f ca="1">IF(AND(ISNUMBER($BH$1202),$B$677=1),$BH$1202,HLOOKUP(INDIRECT(ADDRESS(2,COLUMN())),OFFSET($BN$2,0,0,ROW()-1,60),ROW()-1,FALSE))</f>
        <v/>
      </c>
      <c r="BI543" t="str">
        <f ca="1">IF(AND(ISNUMBER($BI$1202),$B$677=1),$BI$1202,HLOOKUP(INDIRECT(ADDRESS(2,COLUMN())),OFFSET($BN$2,0,0,ROW()-1,60),ROW()-1,FALSE))</f>
        <v/>
      </c>
      <c r="BJ543" t="str">
        <f ca="1">IF(AND(ISNUMBER($BJ$1202),$B$677=1),$BJ$1202,HLOOKUP(INDIRECT(ADDRESS(2,COLUMN())),OFFSET($BN$2,0,0,ROW()-1,60),ROW()-1,FALSE))</f>
        <v/>
      </c>
      <c r="BK543" t="str">
        <f ca="1">IF(AND(ISNUMBER($BK$1202),$B$677=1),$BK$1202,HLOOKUP(INDIRECT(ADDRESS(2,COLUMN())),OFFSET($BN$2,0,0,ROW()-1,60),ROW()-1,FALSE))</f>
        <v/>
      </c>
      <c r="BL543" t="str">
        <f ca="1">IF(AND(ISNUMBER($BL$1202),$B$677=1),$BL$1202,HLOOKUP(INDIRECT(ADDRESS(2,COLUMN())),OFFSET($BN$2,0,0,ROW()-1,60),ROW()-1,FALSE))</f>
        <v/>
      </c>
      <c r="BM543" t="str">
        <f ca="1">IF(AND(ISNUMBER($BM$1202),$B$677=1),$BM$1202,HLOOKUP(INDIRECT(ADDRESS(2,COLUMN())),OFFSET($BN$2,0,0,ROW()-1,60),ROW()-1,FALSE))</f>
        <v/>
      </c>
      <c r="BN543" t="str">
        <f>""</f>
        <v/>
      </c>
      <c r="BO543" t="str">
        <f>""</f>
        <v/>
      </c>
      <c r="BP543" t="str">
        <f>""</f>
        <v/>
      </c>
      <c r="BQ543" t="str">
        <f>""</f>
        <v/>
      </c>
      <c r="BR543" t="str">
        <f>""</f>
        <v/>
      </c>
      <c r="BS543" t="str">
        <f>""</f>
        <v/>
      </c>
      <c r="BT543" t="str">
        <f>""</f>
        <v/>
      </c>
      <c r="BU543" t="str">
        <f>""</f>
        <v/>
      </c>
      <c r="BV543" t="str">
        <f>""</f>
        <v/>
      </c>
      <c r="BW543" t="str">
        <f>""</f>
        <v/>
      </c>
      <c r="BX543" t="str">
        <f>""</f>
        <v/>
      </c>
      <c r="BY543" t="str">
        <f>""</f>
        <v/>
      </c>
      <c r="BZ543" t="str">
        <f>""</f>
        <v/>
      </c>
      <c r="CA543" t="str">
        <f>""</f>
        <v/>
      </c>
      <c r="CB543" t="str">
        <f>""</f>
        <v/>
      </c>
      <c r="CC543" t="str">
        <f>""</f>
        <v/>
      </c>
      <c r="CD543" t="str">
        <f>""</f>
        <v/>
      </c>
      <c r="CE543" t="str">
        <f>""</f>
        <v/>
      </c>
      <c r="CF543" t="str">
        <f>""</f>
        <v/>
      </c>
      <c r="CG543" t="str">
        <f>""</f>
        <v/>
      </c>
      <c r="CH543" t="str">
        <f>""</f>
        <v/>
      </c>
      <c r="CI543" t="str">
        <f>""</f>
        <v/>
      </c>
      <c r="CJ543" t="str">
        <f>""</f>
        <v/>
      </c>
      <c r="CK543" t="str">
        <f>""</f>
        <v/>
      </c>
      <c r="CL543" t="str">
        <f>""</f>
        <v/>
      </c>
      <c r="CM543" t="str">
        <f>""</f>
        <v/>
      </c>
      <c r="CN543" t="str">
        <f>""</f>
        <v/>
      </c>
      <c r="CO543" t="str">
        <f>""</f>
        <v/>
      </c>
      <c r="CP543" t="str">
        <f>""</f>
        <v/>
      </c>
      <c r="CQ543" t="str">
        <f>""</f>
        <v/>
      </c>
      <c r="CR543" t="str">
        <f>""</f>
        <v/>
      </c>
      <c r="CS543" t="str">
        <f>""</f>
        <v/>
      </c>
      <c r="CT543" t="str">
        <f>""</f>
        <v/>
      </c>
      <c r="CU543" t="str">
        <f>""</f>
        <v/>
      </c>
      <c r="CV543" t="str">
        <f>""</f>
        <v/>
      </c>
      <c r="CW543" t="str">
        <f>""</f>
        <v/>
      </c>
      <c r="CX543" t="str">
        <f>""</f>
        <v/>
      </c>
      <c r="CY543" t="str">
        <f>""</f>
        <v/>
      </c>
      <c r="CZ543" t="str">
        <f>""</f>
        <v/>
      </c>
      <c r="DA543" t="str">
        <f>""</f>
        <v/>
      </c>
      <c r="DB543" t="str">
        <f>""</f>
        <v/>
      </c>
      <c r="DC543" t="str">
        <f>""</f>
        <v/>
      </c>
      <c r="DD543" t="str">
        <f>""</f>
        <v/>
      </c>
      <c r="DE543" t="str">
        <f>""</f>
        <v/>
      </c>
      <c r="DF543" t="str">
        <f>""</f>
        <v/>
      </c>
      <c r="DG543" t="str">
        <f>""</f>
        <v/>
      </c>
      <c r="DH543" t="str">
        <f>""</f>
        <v/>
      </c>
      <c r="DI543" t="str">
        <f>""</f>
        <v/>
      </c>
      <c r="DJ543" t="str">
        <f>""</f>
        <v/>
      </c>
      <c r="DK543" t="str">
        <f>""</f>
        <v/>
      </c>
      <c r="DL543" t="str">
        <f>""</f>
        <v/>
      </c>
      <c r="DM543" t="str">
        <f>""</f>
        <v/>
      </c>
      <c r="DN543" t="str">
        <f>""</f>
        <v/>
      </c>
      <c r="DO543" t="str">
        <f>""</f>
        <v/>
      </c>
      <c r="DP543" t="str">
        <f>""</f>
        <v/>
      </c>
      <c r="DQ543" t="str">
        <f>""</f>
        <v/>
      </c>
      <c r="DR543" t="str">
        <f>""</f>
        <v/>
      </c>
      <c r="DS543" t="str">
        <f>""</f>
        <v/>
      </c>
      <c r="DT543" t="str">
        <f>""</f>
        <v/>
      </c>
      <c r="DU543" t="str">
        <f>""</f>
        <v/>
      </c>
    </row>
    <row r="544" spans="1:125" x14ac:dyDescent="0.25">
      <c r="A544" t="str">
        <f>"    BYD Co Ltd"</f>
        <v xml:space="preserve">    BYD Co Ltd</v>
      </c>
      <c r="B544" t="str">
        <f>"1211 HK Equity"</f>
        <v>1211 HK Equity</v>
      </c>
      <c r="C544" t="str">
        <f t="shared" si="39"/>
        <v>RX076</v>
      </c>
      <c r="D544" t="str">
        <f t="shared" si="40"/>
        <v>EBIT_YIELD</v>
      </c>
      <c r="E544" t="str">
        <f t="shared" si="41"/>
        <v>Dynamic</v>
      </c>
      <c r="F544">
        <f ca="1">IF(AND(ISNUMBER($F$1203),$B$677=1),$F$1203,HLOOKUP(INDIRECT(ADDRESS(2,COLUMN())),OFFSET($BN$2,0,0,ROW()-1,60),ROW()-1,FALSE))</f>
        <v>5.1516976489999999</v>
      </c>
      <c r="G544">
        <f ca="1">IF(AND(ISNUMBER($G$1203),$B$677=1),$G$1203,HLOOKUP(INDIRECT(ADDRESS(2,COLUMN())),OFFSET($BN$2,0,0,ROW()-1,60),ROW()-1,FALSE))</f>
        <v>5.048275469</v>
      </c>
      <c r="H544">
        <f ca="1">IF(AND(ISNUMBER($H$1203),$B$677=1),$H$1203,HLOOKUP(INDIRECT(ADDRESS(2,COLUMN())),OFFSET($BN$2,0,0,ROW()-1,60),ROW()-1,FALSE))</f>
        <v>4.4891534569999996</v>
      </c>
      <c r="I544">
        <f ca="1">IF(AND(ISNUMBER($I$1203),$B$677=1),$I$1203,HLOOKUP(INDIRECT(ADDRESS(2,COLUMN())),OFFSET($BN$2,0,0,ROW()-1,60),ROW()-1,FALSE))</f>
        <v>5.7463687439999998</v>
      </c>
      <c r="J544">
        <f ca="1">IF(AND(ISNUMBER($J$1203),$B$677=1),$J$1203,HLOOKUP(INDIRECT(ADDRESS(2,COLUMN())),OFFSET($BN$2,0,0,ROW()-1,60),ROW()-1,FALSE))</f>
        <v>5.7790851869999997</v>
      </c>
      <c r="K544">
        <f ca="1">IF(AND(ISNUMBER($K$1203),$B$677=1),$K$1203,HLOOKUP(INDIRECT(ADDRESS(2,COLUMN())),OFFSET($BN$2,0,0,ROW()-1,60),ROW()-1,FALSE))</f>
        <v>5.1000536209999998</v>
      </c>
      <c r="L544">
        <f ca="1">IF(AND(ISNUMBER($L$1203),$B$677=1),$L$1203,HLOOKUP(INDIRECT(ADDRESS(2,COLUMN())),OFFSET($BN$2,0,0,ROW()-1,60),ROW()-1,FALSE))</f>
        <v>4.6883247749999999</v>
      </c>
      <c r="M544">
        <f ca="1">IF(AND(ISNUMBER($M$1203),$B$677=1),$M$1203,HLOOKUP(INDIRECT(ADDRESS(2,COLUMN())),OFFSET($BN$2,0,0,ROW()-1,60),ROW()-1,FALSE))</f>
        <v>6.9652507010000004</v>
      </c>
      <c r="N544">
        <f ca="1">IF(AND(ISNUMBER($N$1203),$B$677=1),$N$1203,HLOOKUP(INDIRECT(ADDRESS(2,COLUMN())),OFFSET($BN$2,0,0,ROW()-1,60),ROW()-1,FALSE))</f>
        <v>7.5761566089999999</v>
      </c>
      <c r="O544">
        <f ca="1">IF(AND(ISNUMBER($O$1203),$B$677=1),$O$1203,HLOOKUP(INDIRECT(ADDRESS(2,COLUMN())),OFFSET($BN$2,0,0,ROW()-1,60),ROW()-1,FALSE))</f>
        <v>8.2623659919999994</v>
      </c>
      <c r="P544">
        <f ca="1">IF(AND(ISNUMBER($P$1203),$B$677=1),$P$1203,HLOOKUP(INDIRECT(ADDRESS(2,COLUMN())),OFFSET($BN$2,0,0,ROW()-1,60),ROW()-1,FALSE))</f>
        <v>6.4418602930000004</v>
      </c>
      <c r="Q544">
        <f ca="1">IF(AND(ISNUMBER($Q$1203),$B$677=1),$Q$1203,HLOOKUP(INDIRECT(ADDRESS(2,COLUMN())),OFFSET($BN$2,0,0,ROW()-1,60),ROW()-1,FALSE))</f>
        <v>5.8489125880000001</v>
      </c>
      <c r="R544">
        <f ca="1">IF(AND(ISNUMBER($R$1203),$B$677=1),$R$1203,HLOOKUP(INDIRECT(ADDRESS(2,COLUMN())),OFFSET($BN$2,0,0,ROW()-1,60),ROW()-1,FALSE))</f>
        <v>4.6866990990000001</v>
      </c>
      <c r="S544">
        <f ca="1">IF(AND(ISNUMBER($S$1203),$B$677=1),$S$1203,HLOOKUP(INDIRECT(ADDRESS(2,COLUMN())),OFFSET($BN$2,0,0,ROW()-1,60),ROW()-1,FALSE))</f>
        <v>3.859376004</v>
      </c>
      <c r="T544">
        <f ca="1">IF(AND(ISNUMBER($T$1203),$B$677=1),$T$1203,HLOOKUP(INDIRECT(ADDRESS(2,COLUMN())),OFFSET($BN$2,0,0,ROW()-1,60),ROW()-1,FALSE))</f>
        <v>2.8806373010000001</v>
      </c>
      <c r="U544">
        <f ca="1">IF(AND(ISNUMBER($U$1203),$B$677=1),$U$1203,HLOOKUP(INDIRECT(ADDRESS(2,COLUMN())),OFFSET($BN$2,0,0,ROW()-1,60),ROW()-1,FALSE))</f>
        <v>1.465832241</v>
      </c>
      <c r="V544">
        <f ca="1">IF(AND(ISNUMBER($V$1203),$B$677=1),$V$1203,HLOOKUP(INDIRECT(ADDRESS(2,COLUMN())),OFFSET($BN$2,0,0,ROW()-1,60),ROW()-1,FALSE))</f>
        <v>1.7478417909999999</v>
      </c>
      <c r="W544">
        <f ca="1">IF(AND(ISNUMBER($W$1203),$B$677=1),$W$1203,HLOOKUP(INDIRECT(ADDRESS(2,COLUMN())),OFFSET($BN$2,0,0,ROW()-1,60),ROW()-1,FALSE))</f>
        <v>1.9829566300000001</v>
      </c>
      <c r="X544">
        <f ca="1">IF(AND(ISNUMBER($X$1203),$B$677=1),$X$1203,HLOOKUP(INDIRECT(ADDRESS(2,COLUMN())),OFFSET($BN$2,0,0,ROW()-1,60),ROW()-1,FALSE))</f>
        <v>0.99900089999999997</v>
      </c>
      <c r="Y544">
        <f ca="1">IF(AND(ISNUMBER($Y$1203),$B$677=1),$Y$1203,HLOOKUP(INDIRECT(ADDRESS(2,COLUMN())),OFFSET($BN$2,0,0,ROW()-1,60),ROW()-1,FALSE))</f>
        <v>1.724362253</v>
      </c>
      <c r="Z544">
        <f ca="1">IF(AND(ISNUMBER($Z$1203),$B$677=1),$Z$1203,HLOOKUP(INDIRECT(ADDRESS(2,COLUMN())),OFFSET($BN$2,0,0,ROW()-1,60),ROW()-1,FALSE))</f>
        <v>1.4042287979999999</v>
      </c>
      <c r="AA544">
        <f ca="1">IF(AND(ISNUMBER($AA$1203),$B$677=1),$AA$1203,HLOOKUP(INDIRECT(ADDRESS(2,COLUMN())),OFFSET($BN$2,0,0,ROW()-1,60),ROW()-1,FALSE))</f>
        <v>1.8836919940000001</v>
      </c>
      <c r="AB544">
        <f ca="1">IF(AND(ISNUMBER($AB$1203),$B$677=1),$AB$1203,HLOOKUP(INDIRECT(ADDRESS(2,COLUMN())),OFFSET($BN$2,0,0,ROW()-1,60),ROW()-1,FALSE))</f>
        <v>0.14839455700000001</v>
      </c>
      <c r="AC544">
        <f ca="1">IF(AND(ISNUMBER($AC$1203),$B$677=1),$AC$1203,HLOOKUP(INDIRECT(ADDRESS(2,COLUMN())),OFFSET($BN$2,0,0,ROW()-1,60),ROW()-1,FALSE))</f>
        <v>-0.29539542400000002</v>
      </c>
      <c r="AD544">
        <f ca="1">IF(AND(ISNUMBER($AD$1203),$B$677=1),$AD$1203,HLOOKUP(INDIRECT(ADDRESS(2,COLUMN())),OFFSET($BN$2,0,0,ROW()-1,60),ROW()-1,FALSE))</f>
        <v>-1.055128439</v>
      </c>
      <c r="AE544">
        <f ca="1">IF(AND(ISNUMBER($AE$1203),$B$677=1),$AE$1203,HLOOKUP(INDIRECT(ADDRESS(2,COLUMN())),OFFSET($BN$2,0,0,ROW()-1,60),ROW()-1,FALSE))</f>
        <v>-1.48266136</v>
      </c>
      <c r="AF544">
        <f ca="1">IF(AND(ISNUMBER($AF$1203),$B$677=1),$AF$1203,HLOOKUP(INDIRECT(ADDRESS(2,COLUMN())),OFFSET($BN$2,0,0,ROW()-1,60),ROW()-1,FALSE))</f>
        <v>4.3094045640000003</v>
      </c>
      <c r="AG544">
        <f ca="1">IF(AND(ISNUMBER($AG$1203),$B$677=1),$AG$1203,HLOOKUP(INDIRECT(ADDRESS(2,COLUMN())),OFFSET($BN$2,0,0,ROW()-1,60),ROW()-1,FALSE))</f>
        <v>4.661402753</v>
      </c>
      <c r="AH544" t="str">
        <f ca="1">IF(AND(ISNUMBER($AH$1203),$B$677=1),$AH$1203,HLOOKUP(INDIRECT(ADDRESS(2,COLUMN())),OFFSET($BN$2,0,0,ROW()-1,60),ROW()-1,FALSE))</f>
        <v/>
      </c>
      <c r="AI544" t="str">
        <f ca="1">IF(AND(ISNUMBER($AI$1203),$B$677=1),$AI$1203,HLOOKUP(INDIRECT(ADDRESS(2,COLUMN())),OFFSET($BN$2,0,0,ROW()-1,60),ROW()-1,FALSE))</f>
        <v/>
      </c>
      <c r="AJ544">
        <f ca="1">IF(AND(ISNUMBER($AJ$1203),$B$677=1),$AJ$1203,HLOOKUP(INDIRECT(ADDRESS(2,COLUMN())),OFFSET($BN$2,0,0,ROW()-1,60),ROW()-1,FALSE))</f>
        <v>13.929210230000001</v>
      </c>
      <c r="AK544">
        <f ca="1">IF(AND(ISNUMBER($AK$1203),$B$677=1),$AK$1203,HLOOKUP(INDIRECT(ADDRESS(2,COLUMN())),OFFSET($BN$2,0,0,ROW()-1,60),ROW()-1,FALSE))</f>
        <v>7.3072961760000004</v>
      </c>
      <c r="AL544">
        <f ca="1">IF(AND(ISNUMBER($AL$1203),$B$677=1),$AL$1203,HLOOKUP(INDIRECT(ADDRESS(2,COLUMN())),OFFSET($BN$2,0,0,ROW()-1,60),ROW()-1,FALSE))</f>
        <v>6.0836217299999999</v>
      </c>
      <c r="AM544">
        <f ca="1">IF(AND(ISNUMBER($AM$1203),$B$677=1),$AM$1203,HLOOKUP(INDIRECT(ADDRESS(2,COLUMN())),OFFSET($BN$2,0,0,ROW()-1,60),ROW()-1,FALSE))</f>
        <v>4.4081560279999996</v>
      </c>
      <c r="AN544">
        <f ca="1">IF(AND(ISNUMBER($AN$1203),$B$677=1),$AN$1203,HLOOKUP(INDIRECT(ADDRESS(2,COLUMN())),OFFSET($BN$2,0,0,ROW()-1,60),ROW()-1,FALSE))</f>
        <v>3.9867449179999999</v>
      </c>
      <c r="AO544">
        <f ca="1">IF(AND(ISNUMBER($AO$1203),$B$677=1),$AO$1203,HLOOKUP(INDIRECT(ADDRESS(2,COLUMN())),OFFSET($BN$2,0,0,ROW()-1,60),ROW()-1,FALSE))</f>
        <v>5.2694315610000002</v>
      </c>
      <c r="AP544" t="str">
        <f ca="1">IF(AND(ISNUMBER($AP$1203),$B$677=1),$AP$1203,HLOOKUP(INDIRECT(ADDRESS(2,COLUMN())),OFFSET($BN$2,0,0,ROW()-1,60),ROW()-1,FALSE))</f>
        <v/>
      </c>
      <c r="AQ544" t="str">
        <f ca="1">IF(AND(ISNUMBER($AQ$1203),$B$677=1),$AQ$1203,HLOOKUP(INDIRECT(ADDRESS(2,COLUMN())),OFFSET($BN$2,0,0,ROW()-1,60),ROW()-1,FALSE))</f>
        <v/>
      </c>
      <c r="AR544" t="str">
        <f ca="1">IF(AND(ISNUMBER($AR$1203),$B$677=1),$AR$1203,HLOOKUP(INDIRECT(ADDRESS(2,COLUMN())),OFFSET($BN$2,0,0,ROW()-1,60),ROW()-1,FALSE))</f>
        <v/>
      </c>
      <c r="AS544" t="str">
        <f ca="1">IF(AND(ISNUMBER($AS$1203),$B$677=1),$AS$1203,HLOOKUP(INDIRECT(ADDRESS(2,COLUMN())),OFFSET($BN$2,0,0,ROW()-1,60),ROW()-1,FALSE))</f>
        <v/>
      </c>
      <c r="AT544" t="str">
        <f ca="1">IF(AND(ISNUMBER($AT$1203),$B$677=1),$AT$1203,HLOOKUP(INDIRECT(ADDRESS(2,COLUMN())),OFFSET($BN$2,0,0,ROW()-1,60),ROW()-1,FALSE))</f>
        <v/>
      </c>
      <c r="AU544" t="str">
        <f ca="1">IF(AND(ISNUMBER($AU$1203),$B$677=1),$AU$1203,HLOOKUP(INDIRECT(ADDRESS(2,COLUMN())),OFFSET($BN$2,0,0,ROW()-1,60),ROW()-1,FALSE))</f>
        <v/>
      </c>
      <c r="AV544" t="str">
        <f ca="1">IF(AND(ISNUMBER($AV$1203),$B$677=1),$AV$1203,HLOOKUP(INDIRECT(ADDRESS(2,COLUMN())),OFFSET($BN$2,0,0,ROW()-1,60),ROW()-1,FALSE))</f>
        <v/>
      </c>
      <c r="AW544" t="str">
        <f ca="1">IF(AND(ISNUMBER($AW$1203),$B$677=1),$AW$1203,HLOOKUP(INDIRECT(ADDRESS(2,COLUMN())),OFFSET($BN$2,0,0,ROW()-1,60),ROW()-1,FALSE))</f>
        <v/>
      </c>
      <c r="AX544" t="str">
        <f ca="1">IF(AND(ISNUMBER($AX$1203),$B$677=1),$AX$1203,HLOOKUP(INDIRECT(ADDRESS(2,COLUMN())),OFFSET($BN$2,0,0,ROW()-1,60),ROW()-1,FALSE))</f>
        <v/>
      </c>
      <c r="AY544" t="str">
        <f ca="1">IF(AND(ISNUMBER($AY$1203),$B$677=1),$AY$1203,HLOOKUP(INDIRECT(ADDRESS(2,COLUMN())),OFFSET($BN$2,0,0,ROW()-1,60),ROW()-1,FALSE))</f>
        <v/>
      </c>
      <c r="AZ544" t="str">
        <f ca="1">IF(AND(ISNUMBER($AZ$1203),$B$677=1),$AZ$1203,HLOOKUP(INDIRECT(ADDRESS(2,COLUMN())),OFFSET($BN$2,0,0,ROW()-1,60),ROW()-1,FALSE))</f>
        <v/>
      </c>
      <c r="BA544" t="str">
        <f ca="1">IF(AND(ISNUMBER($BA$1203),$B$677=1),$BA$1203,HLOOKUP(INDIRECT(ADDRESS(2,COLUMN())),OFFSET($BN$2,0,0,ROW()-1,60),ROW()-1,FALSE))</f>
        <v/>
      </c>
      <c r="BB544" t="str">
        <f ca="1">IF(AND(ISNUMBER($BB$1203),$B$677=1),$BB$1203,HLOOKUP(INDIRECT(ADDRESS(2,COLUMN())),OFFSET($BN$2,0,0,ROW()-1,60),ROW()-1,FALSE))</f>
        <v/>
      </c>
      <c r="BC544" t="str">
        <f ca="1">IF(AND(ISNUMBER($BC$1203),$B$677=1),$BC$1203,HLOOKUP(INDIRECT(ADDRESS(2,COLUMN())),OFFSET($BN$2,0,0,ROW()-1,60),ROW()-1,FALSE))</f>
        <v/>
      </c>
      <c r="BD544" t="str">
        <f ca="1">IF(AND(ISNUMBER($BD$1203),$B$677=1),$BD$1203,HLOOKUP(INDIRECT(ADDRESS(2,COLUMN())),OFFSET($BN$2,0,0,ROW()-1,60),ROW()-1,FALSE))</f>
        <v/>
      </c>
      <c r="BE544" t="str">
        <f ca="1">IF(AND(ISNUMBER($BE$1203),$B$677=1),$BE$1203,HLOOKUP(INDIRECT(ADDRESS(2,COLUMN())),OFFSET($BN$2,0,0,ROW()-1,60),ROW()-1,FALSE))</f>
        <v/>
      </c>
      <c r="BF544" t="str">
        <f ca="1">IF(AND(ISNUMBER($BF$1203),$B$677=1),$BF$1203,HLOOKUP(INDIRECT(ADDRESS(2,COLUMN())),OFFSET($BN$2,0,0,ROW()-1,60),ROW()-1,FALSE))</f>
        <v/>
      </c>
      <c r="BG544" t="str">
        <f ca="1">IF(AND(ISNUMBER($BG$1203),$B$677=1),$BG$1203,HLOOKUP(INDIRECT(ADDRESS(2,COLUMN())),OFFSET($BN$2,0,0,ROW()-1,60),ROW()-1,FALSE))</f>
        <v/>
      </c>
      <c r="BH544" t="str">
        <f ca="1">IF(AND(ISNUMBER($BH$1203),$B$677=1),$BH$1203,HLOOKUP(INDIRECT(ADDRESS(2,COLUMN())),OFFSET($BN$2,0,0,ROW()-1,60),ROW()-1,FALSE))</f>
        <v/>
      </c>
      <c r="BI544" t="str">
        <f ca="1">IF(AND(ISNUMBER($BI$1203),$B$677=1),$BI$1203,HLOOKUP(INDIRECT(ADDRESS(2,COLUMN())),OFFSET($BN$2,0,0,ROW()-1,60),ROW()-1,FALSE))</f>
        <v/>
      </c>
      <c r="BJ544" t="str">
        <f ca="1">IF(AND(ISNUMBER($BJ$1203),$B$677=1),$BJ$1203,HLOOKUP(INDIRECT(ADDRESS(2,COLUMN())),OFFSET($BN$2,0,0,ROW()-1,60),ROW()-1,FALSE))</f>
        <v/>
      </c>
      <c r="BK544" t="str">
        <f ca="1">IF(AND(ISNUMBER($BK$1203),$B$677=1),$BK$1203,HLOOKUP(INDIRECT(ADDRESS(2,COLUMN())),OFFSET($BN$2,0,0,ROW()-1,60),ROW()-1,FALSE))</f>
        <v/>
      </c>
      <c r="BL544" t="str">
        <f ca="1">IF(AND(ISNUMBER($BL$1203),$B$677=1),$BL$1203,HLOOKUP(INDIRECT(ADDRESS(2,COLUMN())),OFFSET($BN$2,0,0,ROW()-1,60),ROW()-1,FALSE))</f>
        <v/>
      </c>
      <c r="BM544" t="str">
        <f ca="1">IF(AND(ISNUMBER($BM$1203),$B$677=1),$BM$1203,HLOOKUP(INDIRECT(ADDRESS(2,COLUMN())),OFFSET($BN$2,0,0,ROW()-1,60),ROW()-1,FALSE))</f>
        <v/>
      </c>
      <c r="BN544">
        <f>5.151697649</f>
        <v>5.1516976489999999</v>
      </c>
      <c r="BO544">
        <f>5.048275469</f>
        <v>5.048275469</v>
      </c>
      <c r="BP544">
        <f>4.489153457</f>
        <v>4.4891534569999996</v>
      </c>
      <c r="BQ544">
        <f>5.746368744</f>
        <v>5.7463687439999998</v>
      </c>
      <c r="BR544">
        <f>5.779085187</f>
        <v>5.7790851869999997</v>
      </c>
      <c r="BS544">
        <f>5.100053621</f>
        <v>5.1000536209999998</v>
      </c>
      <c r="BT544">
        <f>4.688324775</f>
        <v>4.6883247749999999</v>
      </c>
      <c r="BU544">
        <f>6.965250701</f>
        <v>6.9652507010000004</v>
      </c>
      <c r="BV544">
        <f>7.576156609</f>
        <v>7.5761566089999999</v>
      </c>
      <c r="BW544">
        <f>8.262365992</f>
        <v>8.2623659919999994</v>
      </c>
      <c r="BX544">
        <f>6.441860293</f>
        <v>6.4418602930000004</v>
      </c>
      <c r="BY544">
        <f>5.848912588</f>
        <v>5.8489125880000001</v>
      </c>
      <c r="BZ544">
        <f>4.686699099</f>
        <v>4.6866990990000001</v>
      </c>
      <c r="CA544">
        <f>3.859376004</f>
        <v>3.859376004</v>
      </c>
      <c r="CB544">
        <f>2.880637301</f>
        <v>2.8806373010000001</v>
      </c>
      <c r="CC544">
        <f>1.465832241</f>
        <v>1.465832241</v>
      </c>
      <c r="CD544">
        <f>1.747841791</f>
        <v>1.7478417909999999</v>
      </c>
      <c r="CE544">
        <f>1.98295663</f>
        <v>1.9829566300000001</v>
      </c>
      <c r="CF544">
        <f>0.9990009</f>
        <v>0.99900089999999997</v>
      </c>
      <c r="CG544">
        <f>1.724362253</f>
        <v>1.724362253</v>
      </c>
      <c r="CH544">
        <f>1.404228798</f>
        <v>1.4042287979999999</v>
      </c>
      <c r="CI544">
        <f>1.883691994</f>
        <v>1.8836919940000001</v>
      </c>
      <c r="CJ544">
        <f>0.148394557</f>
        <v>0.14839455700000001</v>
      </c>
      <c r="CK544">
        <f>-0.295395424</f>
        <v>-0.29539542400000002</v>
      </c>
      <c r="CL544">
        <f>-1.055128439</f>
        <v>-1.055128439</v>
      </c>
      <c r="CM544">
        <f>-1.48266136</f>
        <v>-1.48266136</v>
      </c>
      <c r="CN544">
        <f>4.309404564</f>
        <v>4.3094045640000003</v>
      </c>
      <c r="CO544">
        <f>4.661402753</f>
        <v>4.661402753</v>
      </c>
      <c r="CP544" t="str">
        <f>""</f>
        <v/>
      </c>
      <c r="CQ544" t="str">
        <f>""</f>
        <v/>
      </c>
      <c r="CR544">
        <f>13.92921023</f>
        <v>13.929210230000001</v>
      </c>
      <c r="CS544">
        <f>7.307296176</f>
        <v>7.3072961760000004</v>
      </c>
      <c r="CT544">
        <f>6.08362173</f>
        <v>6.0836217299999999</v>
      </c>
      <c r="CU544">
        <f>4.408156028</f>
        <v>4.4081560279999996</v>
      </c>
      <c r="CV544">
        <f>3.986744918</f>
        <v>3.9867449179999999</v>
      </c>
      <c r="CW544">
        <f>5.269431561</f>
        <v>5.2694315610000002</v>
      </c>
      <c r="CX544" t="str">
        <f>""</f>
        <v/>
      </c>
      <c r="CY544" t="str">
        <f>""</f>
        <v/>
      </c>
      <c r="CZ544" t="str">
        <f>""</f>
        <v/>
      </c>
      <c r="DA544" t="str">
        <f>""</f>
        <v/>
      </c>
      <c r="DB544" t="str">
        <f>""</f>
        <v/>
      </c>
      <c r="DC544" t="str">
        <f>""</f>
        <v/>
      </c>
      <c r="DD544" t="str">
        <f>""</f>
        <v/>
      </c>
      <c r="DE544" t="str">
        <f>""</f>
        <v/>
      </c>
      <c r="DF544" t="str">
        <f>""</f>
        <v/>
      </c>
      <c r="DG544" t="str">
        <f>""</f>
        <v/>
      </c>
      <c r="DH544" t="str">
        <f>""</f>
        <v/>
      </c>
      <c r="DI544" t="str">
        <f>""</f>
        <v/>
      </c>
      <c r="DJ544" t="str">
        <f>""</f>
        <v/>
      </c>
      <c r="DK544" t="str">
        <f>""</f>
        <v/>
      </c>
      <c r="DL544" t="str">
        <f>""</f>
        <v/>
      </c>
      <c r="DM544" t="str">
        <f>""</f>
        <v/>
      </c>
      <c r="DN544" t="str">
        <f>""</f>
        <v/>
      </c>
      <c r="DO544" t="str">
        <f>""</f>
        <v/>
      </c>
      <c r="DP544" t="str">
        <f>""</f>
        <v/>
      </c>
      <c r="DQ544" t="str">
        <f>""</f>
        <v/>
      </c>
      <c r="DR544" t="str">
        <f>""</f>
        <v/>
      </c>
      <c r="DS544" t="str">
        <f>""</f>
        <v/>
      </c>
      <c r="DT544" t="str">
        <f>""</f>
        <v/>
      </c>
      <c r="DU544" t="str">
        <f>""</f>
        <v/>
      </c>
    </row>
    <row r="545" spans="1:125" x14ac:dyDescent="0.25">
      <c r="A545" t="str">
        <f>"    Chongqing Changan Automobile Co Ltd"</f>
        <v xml:space="preserve">    Chongqing Changan Automobile Co Ltd</v>
      </c>
      <c r="B545" t="str">
        <f>"200625 CH Equity"</f>
        <v>200625 CH Equity</v>
      </c>
      <c r="C545" t="str">
        <f t="shared" si="39"/>
        <v>RX076</v>
      </c>
      <c r="D545" t="str">
        <f t="shared" si="40"/>
        <v>EBIT_YIELD</v>
      </c>
      <c r="E545" t="str">
        <f t="shared" si="41"/>
        <v>Dynamic</v>
      </c>
      <c r="F545">
        <f ca="1">IF(AND(ISNUMBER($F$1204),$B$677=1),$F$1204,HLOOKUP(INDIRECT(ADDRESS(2,COLUMN())),OFFSET($BN$2,0,0,ROW()-1,60),ROW()-1,FALSE))</f>
        <v>-2.6059075040000002</v>
      </c>
      <c r="G545">
        <f ca="1">IF(AND(ISNUMBER($G$1204),$B$677=1),$G$1204,HLOOKUP(INDIRECT(ADDRESS(2,COLUMN())),OFFSET($BN$2,0,0,ROW()-1,60),ROW()-1,FALSE))</f>
        <v>-3.1486699909999998</v>
      </c>
      <c r="H545">
        <f ca="1">IF(AND(ISNUMBER($H$1204),$B$677=1),$H$1204,HLOOKUP(INDIRECT(ADDRESS(2,COLUMN())),OFFSET($BN$2,0,0,ROW()-1,60),ROW()-1,FALSE))</f>
        <v>-1.73997957</v>
      </c>
      <c r="I545">
        <f ca="1">IF(AND(ISNUMBER($I$1204),$B$677=1),$I$1204,HLOOKUP(INDIRECT(ADDRESS(2,COLUMN())),OFFSET($BN$2,0,0,ROW()-1,60),ROW()-1,FALSE))</f>
        <v>-2.4924071579999998</v>
      </c>
      <c r="J545">
        <f ca="1">IF(AND(ISNUMBER($J$1204),$B$677=1),$J$1204,HLOOKUP(INDIRECT(ADDRESS(2,COLUMN())),OFFSET($BN$2,0,0,ROW()-1,60),ROW()-1,FALSE))</f>
        <v>-0.81563963900000003</v>
      </c>
      <c r="K545">
        <f ca="1">IF(AND(ISNUMBER($K$1204),$B$677=1),$K$1204,HLOOKUP(INDIRECT(ADDRESS(2,COLUMN())),OFFSET($BN$2,0,0,ROW()-1,60),ROW()-1,FALSE))</f>
        <v>-0.78557995199999997</v>
      </c>
      <c r="L545">
        <f ca="1">IF(AND(ISNUMBER($L$1204),$B$677=1),$L$1204,HLOOKUP(INDIRECT(ADDRESS(2,COLUMN())),OFFSET($BN$2,0,0,ROW()-1,60),ROW()-1,FALSE))</f>
        <v>-0.85236293799999996</v>
      </c>
      <c r="M545">
        <f ca="1">IF(AND(ISNUMBER($M$1204),$B$677=1),$M$1204,HLOOKUP(INDIRECT(ADDRESS(2,COLUMN())),OFFSET($BN$2,0,0,ROW()-1,60),ROW()-1,FALSE))</f>
        <v>0.49914961499999999</v>
      </c>
      <c r="N545">
        <f ca="1">IF(AND(ISNUMBER($N$1204),$B$677=1),$N$1204,HLOOKUP(INDIRECT(ADDRESS(2,COLUMN())),OFFSET($BN$2,0,0,ROW()-1,60),ROW()-1,FALSE))</f>
        <v>-0.94336618999999999</v>
      </c>
      <c r="O545">
        <f ca="1">IF(AND(ISNUMBER($O$1204),$B$677=1),$O$1204,HLOOKUP(INDIRECT(ADDRESS(2,COLUMN())),OFFSET($BN$2,0,0,ROW()-1,60),ROW()-1,FALSE))</f>
        <v>-1.057334961</v>
      </c>
      <c r="P545">
        <f ca="1">IF(AND(ISNUMBER($P$1204),$B$677=1),$P$1204,HLOOKUP(INDIRECT(ADDRESS(2,COLUMN())),OFFSET($BN$2,0,0,ROW()-1,60),ROW()-1,FALSE))</f>
        <v>-0.704105592</v>
      </c>
      <c r="Q545">
        <f ca="1">IF(AND(ISNUMBER($Q$1204),$B$677=1),$Q$1204,HLOOKUP(INDIRECT(ADDRESS(2,COLUMN())),OFFSET($BN$2,0,0,ROW()-1,60),ROW()-1,FALSE))</f>
        <v>-0.30120172899999997</v>
      </c>
      <c r="R545">
        <f ca="1">IF(AND(ISNUMBER($R$1204),$B$677=1),$R$1204,HLOOKUP(INDIRECT(ADDRESS(2,COLUMN())),OFFSET($BN$2,0,0,ROW()-1,60),ROW()-1,FALSE))</f>
        <v>-0.19956416900000001</v>
      </c>
      <c r="S545">
        <f ca="1">IF(AND(ISNUMBER($S$1204),$B$677=1),$S$1204,HLOOKUP(INDIRECT(ADDRESS(2,COLUMN())),OFFSET($BN$2,0,0,ROW()-1,60),ROW()-1,FALSE))</f>
        <v>-9.1030399999999997E-2</v>
      </c>
      <c r="T545">
        <f ca="1">IF(AND(ISNUMBER($T$1204),$B$677=1),$T$1204,HLOOKUP(INDIRECT(ADDRESS(2,COLUMN())),OFFSET($BN$2,0,0,ROW()-1,60),ROW()-1,FALSE))</f>
        <v>-0.63535820600000004</v>
      </c>
      <c r="U545">
        <f ca="1">IF(AND(ISNUMBER($U$1204),$B$677=1),$U$1204,HLOOKUP(INDIRECT(ADDRESS(2,COLUMN())),OFFSET($BN$2,0,0,ROW()-1,60),ROW()-1,FALSE))</f>
        <v>-0.59587126499999998</v>
      </c>
      <c r="V545">
        <f ca="1">IF(AND(ISNUMBER($V$1204),$B$677=1),$V$1204,HLOOKUP(INDIRECT(ADDRESS(2,COLUMN())),OFFSET($BN$2,0,0,ROW()-1,60),ROW()-1,FALSE))</f>
        <v>-1.1313846219999999</v>
      </c>
      <c r="W545">
        <f ca="1">IF(AND(ISNUMBER($W$1204),$B$677=1),$W$1204,HLOOKUP(INDIRECT(ADDRESS(2,COLUMN())),OFFSET($BN$2,0,0,ROW()-1,60),ROW()-1,FALSE))</f>
        <v>-1.375010909</v>
      </c>
      <c r="X545">
        <f ca="1">IF(AND(ISNUMBER($X$1204),$B$677=1),$X$1204,HLOOKUP(INDIRECT(ADDRESS(2,COLUMN())),OFFSET($BN$2,0,0,ROW()-1,60),ROW()-1,FALSE))</f>
        <v>-1.809970809</v>
      </c>
      <c r="Y545">
        <f ca="1">IF(AND(ISNUMBER($Y$1204),$B$677=1),$Y$1204,HLOOKUP(INDIRECT(ADDRESS(2,COLUMN())),OFFSET($BN$2,0,0,ROW()-1,60),ROW()-1,FALSE))</f>
        <v>-2.5653076029999999</v>
      </c>
      <c r="Z545">
        <f ca="1">IF(AND(ISNUMBER($Z$1204),$B$677=1),$Z$1204,HLOOKUP(INDIRECT(ADDRESS(2,COLUMN())),OFFSET($BN$2,0,0,ROW()-1,60),ROW()-1,FALSE))</f>
        <v>-3.2684430359999999</v>
      </c>
      <c r="AA545">
        <f ca="1">IF(AND(ISNUMBER($AA$1204),$B$677=1),$AA$1204,HLOOKUP(INDIRECT(ADDRESS(2,COLUMN())),OFFSET($BN$2,0,0,ROW()-1,60),ROW()-1,FALSE))</f>
        <v>-2.3674241399999998</v>
      </c>
      <c r="AB545">
        <f ca="1">IF(AND(ISNUMBER($AB$1204),$B$677=1),$AB$1204,HLOOKUP(INDIRECT(ADDRESS(2,COLUMN())),OFFSET($BN$2,0,0,ROW()-1,60),ROW()-1,FALSE))</f>
        <v>-3.0300260090000002</v>
      </c>
      <c r="AC545">
        <f ca="1">IF(AND(ISNUMBER($AC$1204),$B$677=1),$AC$1204,HLOOKUP(INDIRECT(ADDRESS(2,COLUMN())),OFFSET($BN$2,0,0,ROW()-1,60),ROW()-1,FALSE))</f>
        <v>-3.2615192390000001</v>
      </c>
      <c r="AD545">
        <f ca="1">IF(AND(ISNUMBER($AD$1204),$B$677=1),$AD$1204,HLOOKUP(INDIRECT(ADDRESS(2,COLUMN())),OFFSET($BN$2,0,0,ROW()-1,60),ROW()-1,FALSE))</f>
        <v>-2.684115426</v>
      </c>
      <c r="AE545">
        <f ca="1">IF(AND(ISNUMBER($AE$1204),$B$677=1),$AE$1204,HLOOKUP(INDIRECT(ADDRESS(2,COLUMN())),OFFSET($BN$2,0,0,ROW()-1,60),ROW()-1,FALSE))</f>
        <v>-5.5956226979999997</v>
      </c>
      <c r="AF545">
        <f ca="1">IF(AND(ISNUMBER($AF$1204),$B$677=1),$AF$1204,HLOOKUP(INDIRECT(ADDRESS(2,COLUMN())),OFFSET($BN$2,0,0,ROW()-1,60),ROW()-1,FALSE))</f>
        <v>-10.971479820000001</v>
      </c>
      <c r="AG545">
        <f ca="1">IF(AND(ISNUMBER($AG$1204),$B$677=1),$AG$1204,HLOOKUP(INDIRECT(ADDRESS(2,COLUMN())),OFFSET($BN$2,0,0,ROW()-1,60),ROW()-1,FALSE))</f>
        <v>-11.399788040000001</v>
      </c>
      <c r="AH545">
        <f ca="1">IF(AND(ISNUMBER($AH$1204),$B$677=1),$AH$1204,HLOOKUP(INDIRECT(ADDRESS(2,COLUMN())),OFFSET($BN$2,0,0,ROW()-1,60),ROW()-1,FALSE))</f>
        <v>-12.1932873</v>
      </c>
      <c r="AI545">
        <f ca="1">IF(AND(ISNUMBER($AI$1204),$B$677=1),$AI$1204,HLOOKUP(INDIRECT(ADDRESS(2,COLUMN())),OFFSET($BN$2,0,0,ROW()-1,60),ROW()-1,FALSE))</f>
        <v>-10.461584800000001</v>
      </c>
      <c r="AJ545">
        <f ca="1">IF(AND(ISNUMBER($AJ$1204),$B$677=1),$AJ$1204,HLOOKUP(INDIRECT(ADDRESS(2,COLUMN())),OFFSET($BN$2,0,0,ROW()-1,60),ROW()-1,FALSE))</f>
        <v>-5.7251074879999999</v>
      </c>
      <c r="AK545">
        <f ca="1">IF(AND(ISNUMBER($AK$1204),$B$677=1),$AK$1204,HLOOKUP(INDIRECT(ADDRESS(2,COLUMN())),OFFSET($BN$2,0,0,ROW()-1,60),ROW()-1,FALSE))</f>
        <v>-1.6107762809999999</v>
      </c>
      <c r="AL545">
        <f ca="1">IF(AND(ISNUMBER($AL$1204),$B$677=1),$AL$1204,HLOOKUP(INDIRECT(ADDRESS(2,COLUMN())),OFFSET($BN$2,0,0,ROW()-1,60),ROW()-1,FALSE))</f>
        <v>1.1877491229999999</v>
      </c>
      <c r="AM545">
        <f ca="1">IF(AND(ISNUMBER($AM$1204),$B$677=1),$AM$1204,HLOOKUP(INDIRECT(ADDRESS(2,COLUMN())),OFFSET($BN$2,0,0,ROW()-1,60),ROW()-1,FALSE))</f>
        <v>2.256081295</v>
      </c>
      <c r="AN545">
        <f ca="1">IF(AND(ISNUMBER($AN$1204),$B$677=1),$AN$1204,HLOOKUP(INDIRECT(ADDRESS(2,COLUMN())),OFFSET($BN$2,0,0,ROW()-1,60),ROW()-1,FALSE))</f>
        <v>2.7579006160000001</v>
      </c>
      <c r="AO545">
        <f ca="1">IF(AND(ISNUMBER($AO$1204),$B$677=1),$AO$1204,HLOOKUP(INDIRECT(ADDRESS(2,COLUMN())),OFFSET($BN$2,0,0,ROW()-1,60),ROW()-1,FALSE))</f>
        <v>5.9227604539999996</v>
      </c>
      <c r="AP545">
        <f ca="1">IF(AND(ISNUMBER($AP$1204),$B$677=1),$AP$1204,HLOOKUP(INDIRECT(ADDRESS(2,COLUMN())),OFFSET($BN$2,0,0,ROW()-1,60),ROW()-1,FALSE))</f>
        <v>4.1791004330000003</v>
      </c>
      <c r="AQ545">
        <f ca="1">IF(AND(ISNUMBER($AQ$1204),$B$677=1),$AQ$1204,HLOOKUP(INDIRECT(ADDRESS(2,COLUMN())),OFFSET($BN$2,0,0,ROW()-1,60),ROW()-1,FALSE))</f>
        <v>1.9786137589999999</v>
      </c>
      <c r="AR545">
        <f ca="1">IF(AND(ISNUMBER($AR$1204),$B$677=1),$AR$1204,HLOOKUP(INDIRECT(ADDRESS(2,COLUMN())),OFFSET($BN$2,0,0,ROW()-1,60),ROW()-1,FALSE))</f>
        <v>-0.64885321299999998</v>
      </c>
      <c r="AS545">
        <f ca="1">IF(AND(ISNUMBER($AS$1204),$B$677=1),$AS$1204,HLOOKUP(INDIRECT(ADDRESS(2,COLUMN())),OFFSET($BN$2,0,0,ROW()-1,60),ROW()-1,FALSE))</f>
        <v>-2.532155918</v>
      </c>
      <c r="AT545">
        <f ca="1">IF(AND(ISNUMBER($AT$1204),$B$677=1),$AT$1204,HLOOKUP(INDIRECT(ADDRESS(2,COLUMN())),OFFSET($BN$2,0,0,ROW()-1,60),ROW()-1,FALSE))</f>
        <v>-4.8205592880000001</v>
      </c>
      <c r="AU545">
        <f ca="1">IF(AND(ISNUMBER($AU$1204),$B$677=1),$AU$1204,HLOOKUP(INDIRECT(ADDRESS(2,COLUMN())),OFFSET($BN$2,0,0,ROW()-1,60),ROW()-1,FALSE))</f>
        <v>-2.5970904930000001</v>
      </c>
      <c r="AV545">
        <f ca="1">IF(AND(ISNUMBER($AV$1204),$B$677=1),$AV$1204,HLOOKUP(INDIRECT(ADDRESS(2,COLUMN())),OFFSET($BN$2,0,0,ROW()-1,60),ROW()-1,FALSE))</f>
        <v>-2.3539275069999999</v>
      </c>
      <c r="AW545">
        <f ca="1">IF(AND(ISNUMBER($AW$1204),$B$677=1),$AW$1204,HLOOKUP(INDIRECT(ADDRESS(2,COLUMN())),OFFSET($BN$2,0,0,ROW()-1,60),ROW()-1,FALSE))</f>
        <v>-1.559375422</v>
      </c>
      <c r="AX545">
        <f ca="1">IF(AND(ISNUMBER($AX$1204),$B$677=1),$AX$1204,HLOOKUP(INDIRECT(ADDRESS(2,COLUMN())),OFFSET($BN$2,0,0,ROW()-1,60),ROW()-1,FALSE))</f>
        <v>-1.43926354</v>
      </c>
      <c r="AY545">
        <f ca="1">IF(AND(ISNUMBER($AY$1204),$B$677=1),$AY$1204,HLOOKUP(INDIRECT(ADDRESS(2,COLUMN())),OFFSET($BN$2,0,0,ROW()-1,60),ROW()-1,FALSE))</f>
        <v>-1.0783189900000001</v>
      </c>
      <c r="AZ545">
        <f ca="1">IF(AND(ISNUMBER($AZ$1204),$B$677=1),$AZ$1204,HLOOKUP(INDIRECT(ADDRESS(2,COLUMN())),OFFSET($BN$2,0,0,ROW()-1,60),ROW()-1,FALSE))</f>
        <v>0.20663793799999999</v>
      </c>
      <c r="BA545">
        <f ca="1">IF(AND(ISNUMBER($BA$1204),$B$677=1),$BA$1204,HLOOKUP(INDIRECT(ADDRESS(2,COLUMN())),OFFSET($BN$2,0,0,ROW()-1,60),ROW()-1,FALSE))</f>
        <v>1.5975335900000001</v>
      </c>
      <c r="BB545">
        <f ca="1">IF(AND(ISNUMBER($BB$1204),$B$677=1),$BB$1204,HLOOKUP(INDIRECT(ADDRESS(2,COLUMN())),OFFSET($BN$2,0,0,ROW()-1,60),ROW()-1,FALSE))</f>
        <v>4.0423314489999997</v>
      </c>
      <c r="BC545">
        <f ca="1">IF(AND(ISNUMBER($BC$1204),$B$677=1),$BC$1204,HLOOKUP(INDIRECT(ADDRESS(2,COLUMN())),OFFSET($BN$2,0,0,ROW()-1,60),ROW()-1,FALSE))</f>
        <v>7.617462916</v>
      </c>
      <c r="BD545">
        <f ca="1">IF(AND(ISNUMBER($BD$1204),$B$677=1),$BD$1204,HLOOKUP(INDIRECT(ADDRESS(2,COLUMN())),OFFSET($BN$2,0,0,ROW()-1,60),ROW()-1,FALSE))</f>
        <v>9.7796631319999996</v>
      </c>
      <c r="BE545">
        <f ca="1">IF(AND(ISNUMBER($BE$1204),$B$677=1),$BE$1204,HLOOKUP(INDIRECT(ADDRESS(2,COLUMN())),OFFSET($BN$2,0,0,ROW()-1,60),ROW()-1,FALSE))</f>
        <v>6.3357900740000002</v>
      </c>
      <c r="BF545">
        <f ca="1">IF(AND(ISNUMBER($BF$1204),$B$677=1),$BF$1204,HLOOKUP(INDIRECT(ADDRESS(2,COLUMN())),OFFSET($BN$2,0,0,ROW()-1,60),ROW()-1,FALSE))</f>
        <v>4.5087488359999996</v>
      </c>
      <c r="BG545">
        <f ca="1">IF(AND(ISNUMBER($BG$1204),$B$677=1),$BG$1204,HLOOKUP(INDIRECT(ADDRESS(2,COLUMN())),OFFSET($BN$2,0,0,ROW()-1,60),ROW()-1,FALSE))</f>
        <v>7.3554500760000003</v>
      </c>
      <c r="BH545">
        <f ca="1">IF(AND(ISNUMBER($BH$1204),$B$677=1),$BH$1204,HLOOKUP(INDIRECT(ADDRESS(2,COLUMN())),OFFSET($BN$2,0,0,ROW()-1,60),ROW()-1,FALSE))</f>
        <v>7.6588684489999999</v>
      </c>
      <c r="BI545" t="str">
        <f ca="1">IF(AND(ISNUMBER($BI$1204),$B$677=1),$BI$1204,HLOOKUP(INDIRECT(ADDRESS(2,COLUMN())),OFFSET($BN$2,0,0,ROW()-1,60),ROW()-1,FALSE))</f>
        <v/>
      </c>
      <c r="BJ545" t="str">
        <f ca="1">IF(AND(ISNUMBER($BJ$1204),$B$677=1),$BJ$1204,HLOOKUP(INDIRECT(ADDRESS(2,COLUMN())),OFFSET($BN$2,0,0,ROW()-1,60),ROW()-1,FALSE))</f>
        <v/>
      </c>
      <c r="BK545" t="str">
        <f ca="1">IF(AND(ISNUMBER($BK$1204),$B$677=1),$BK$1204,HLOOKUP(INDIRECT(ADDRESS(2,COLUMN())),OFFSET($BN$2,0,0,ROW()-1,60),ROW()-1,FALSE))</f>
        <v/>
      </c>
      <c r="BL545" t="str">
        <f ca="1">IF(AND(ISNUMBER($BL$1204),$B$677=1),$BL$1204,HLOOKUP(INDIRECT(ADDRESS(2,COLUMN())),OFFSET($BN$2,0,0,ROW()-1,60),ROW()-1,FALSE))</f>
        <v/>
      </c>
      <c r="BM545" t="str">
        <f ca="1">IF(AND(ISNUMBER($BM$1204),$B$677=1),$BM$1204,HLOOKUP(INDIRECT(ADDRESS(2,COLUMN())),OFFSET($BN$2,0,0,ROW()-1,60),ROW()-1,FALSE))</f>
        <v/>
      </c>
      <c r="BN545">
        <f>-2.605907504</f>
        <v>-2.6059075040000002</v>
      </c>
      <c r="BO545">
        <f>-3.148669991</f>
        <v>-3.1486699909999998</v>
      </c>
      <c r="BP545">
        <f>-1.73997957</f>
        <v>-1.73997957</v>
      </c>
      <c r="BQ545">
        <f>-2.492407158</f>
        <v>-2.4924071579999998</v>
      </c>
      <c r="BR545">
        <f>-0.815639639</f>
        <v>-0.81563963900000003</v>
      </c>
      <c r="BS545">
        <f>-0.785579952</f>
        <v>-0.78557995199999997</v>
      </c>
      <c r="BT545">
        <f>-0.852362938</f>
        <v>-0.85236293799999996</v>
      </c>
      <c r="BU545">
        <f>0.499149615</f>
        <v>0.49914961499999999</v>
      </c>
      <c r="BV545">
        <f>-0.94336619</f>
        <v>-0.94336618999999999</v>
      </c>
      <c r="BW545">
        <f>-1.057334961</f>
        <v>-1.057334961</v>
      </c>
      <c r="BX545">
        <f>-0.704105592</f>
        <v>-0.704105592</v>
      </c>
      <c r="BY545">
        <f>-0.301201729</f>
        <v>-0.30120172899999997</v>
      </c>
      <c r="BZ545">
        <f>-0.199564169</f>
        <v>-0.19956416900000001</v>
      </c>
      <c r="CA545">
        <f>-0.0910304</f>
        <v>-9.1030399999999997E-2</v>
      </c>
      <c r="CB545">
        <f>-0.635358206</f>
        <v>-0.63535820600000004</v>
      </c>
      <c r="CC545">
        <f>-0.595871265</f>
        <v>-0.59587126499999998</v>
      </c>
      <c r="CD545">
        <f>-1.131384622</f>
        <v>-1.1313846219999999</v>
      </c>
      <c r="CE545">
        <f>-1.375010909</f>
        <v>-1.375010909</v>
      </c>
      <c r="CF545">
        <f>-1.809970809</f>
        <v>-1.809970809</v>
      </c>
      <c r="CG545">
        <f>-2.565307603</f>
        <v>-2.5653076029999999</v>
      </c>
      <c r="CH545">
        <f>-3.268443036</f>
        <v>-3.2684430359999999</v>
      </c>
      <c r="CI545">
        <f>-2.36742414</f>
        <v>-2.3674241399999998</v>
      </c>
      <c r="CJ545">
        <f>-3.030026009</f>
        <v>-3.0300260090000002</v>
      </c>
      <c r="CK545">
        <f>-3.261519239</f>
        <v>-3.2615192390000001</v>
      </c>
      <c r="CL545">
        <f>-2.684115426</f>
        <v>-2.684115426</v>
      </c>
      <c r="CM545">
        <f>-5.595622698</f>
        <v>-5.5956226979999997</v>
      </c>
      <c r="CN545">
        <f>-10.97147982</f>
        <v>-10.971479820000001</v>
      </c>
      <c r="CO545">
        <f>-11.39978804</f>
        <v>-11.399788040000001</v>
      </c>
      <c r="CP545">
        <f>-12.1932873</f>
        <v>-12.1932873</v>
      </c>
      <c r="CQ545">
        <f>-10.4615848</f>
        <v>-10.461584800000001</v>
      </c>
      <c r="CR545">
        <f>-5.725107488</f>
        <v>-5.7251074879999999</v>
      </c>
      <c r="CS545">
        <f>-1.610776281</f>
        <v>-1.6107762809999999</v>
      </c>
      <c r="CT545">
        <f>1.187749123</f>
        <v>1.1877491229999999</v>
      </c>
      <c r="CU545">
        <f>2.256081295</f>
        <v>2.256081295</v>
      </c>
      <c r="CV545">
        <f>2.757900616</f>
        <v>2.7579006160000001</v>
      </c>
      <c r="CW545">
        <f>5.922760454</f>
        <v>5.9227604539999996</v>
      </c>
      <c r="CX545">
        <f>4.179100433</f>
        <v>4.1791004330000003</v>
      </c>
      <c r="CY545">
        <f>1.978613759</f>
        <v>1.9786137589999999</v>
      </c>
      <c r="CZ545">
        <f>-0.648853213</f>
        <v>-0.64885321299999998</v>
      </c>
      <c r="DA545">
        <f>-2.532155918</f>
        <v>-2.532155918</v>
      </c>
      <c r="DB545">
        <f>-4.820559288</f>
        <v>-4.8205592880000001</v>
      </c>
      <c r="DC545">
        <f>-2.597090493</f>
        <v>-2.5970904930000001</v>
      </c>
      <c r="DD545">
        <f>-2.353927507</f>
        <v>-2.3539275069999999</v>
      </c>
      <c r="DE545">
        <f>-1.559375422</f>
        <v>-1.559375422</v>
      </c>
      <c r="DF545">
        <f>-1.43926354</f>
        <v>-1.43926354</v>
      </c>
      <c r="DG545">
        <f>-1.07831899</f>
        <v>-1.0783189900000001</v>
      </c>
      <c r="DH545">
        <f>0.206637938</f>
        <v>0.20663793799999999</v>
      </c>
      <c r="DI545">
        <f>1.59753359</f>
        <v>1.5975335900000001</v>
      </c>
      <c r="DJ545">
        <f>4.042331449</f>
        <v>4.0423314489999997</v>
      </c>
      <c r="DK545">
        <f>7.617462916</f>
        <v>7.617462916</v>
      </c>
      <c r="DL545">
        <f>9.779663132</f>
        <v>9.7796631319999996</v>
      </c>
      <c r="DM545">
        <f>6.335790074</f>
        <v>6.3357900740000002</v>
      </c>
      <c r="DN545">
        <f>4.508748836</f>
        <v>4.5087488359999996</v>
      </c>
      <c r="DO545">
        <f>7.355450076</f>
        <v>7.3554500760000003</v>
      </c>
      <c r="DP545">
        <f>7.658868449</f>
        <v>7.6588684489999999</v>
      </c>
      <c r="DQ545" t="str">
        <f>""</f>
        <v/>
      </c>
      <c r="DR545" t="str">
        <f>""</f>
        <v/>
      </c>
      <c r="DS545" t="str">
        <f>""</f>
        <v/>
      </c>
      <c r="DT545" t="str">
        <f>""</f>
        <v/>
      </c>
      <c r="DU545" t="str">
        <f>""</f>
        <v/>
      </c>
    </row>
    <row r="546" spans="1:125" x14ac:dyDescent="0.25">
      <c r="A546" t="str">
        <f>"    Daihatsu Motor Co Ltd"</f>
        <v xml:space="preserve">    Daihatsu Motor Co Ltd</v>
      </c>
      <c r="B546" t="str">
        <f>"7262 JP Equity"</f>
        <v>7262 JP Equity</v>
      </c>
      <c r="C546" t="str">
        <f t="shared" si="39"/>
        <v>RX076</v>
      </c>
      <c r="D546" t="str">
        <f t="shared" si="40"/>
        <v>EBIT_YIELD</v>
      </c>
      <c r="E546" t="str">
        <f t="shared" si="41"/>
        <v>Dynamic</v>
      </c>
      <c r="F546" t="str">
        <f ca="1">IF(AND(ISNUMBER($F$1205),$B$677=1),$F$1205,HLOOKUP(INDIRECT(ADDRESS(2,COLUMN())),OFFSET($BN$2,0,0,ROW()-1,60),ROW()-1,FALSE))</f>
        <v/>
      </c>
      <c r="G546" t="str">
        <f ca="1">IF(AND(ISNUMBER($G$1205),$B$677=1),$G$1205,HLOOKUP(INDIRECT(ADDRESS(2,COLUMN())),OFFSET($BN$2,0,0,ROW()-1,60),ROW()-1,FALSE))</f>
        <v/>
      </c>
      <c r="H546" t="str">
        <f ca="1">IF(AND(ISNUMBER($H$1205),$B$677=1),$H$1205,HLOOKUP(INDIRECT(ADDRESS(2,COLUMN())),OFFSET($BN$2,0,0,ROW()-1,60),ROW()-1,FALSE))</f>
        <v/>
      </c>
      <c r="I546" t="str">
        <f ca="1">IF(AND(ISNUMBER($I$1205),$B$677=1),$I$1205,HLOOKUP(INDIRECT(ADDRESS(2,COLUMN())),OFFSET($BN$2,0,0,ROW()-1,60),ROW()-1,FALSE))</f>
        <v/>
      </c>
      <c r="J546" t="str">
        <f ca="1">IF(AND(ISNUMBER($J$1205),$B$677=1),$J$1205,HLOOKUP(INDIRECT(ADDRESS(2,COLUMN())),OFFSET($BN$2,0,0,ROW()-1,60),ROW()-1,FALSE))</f>
        <v/>
      </c>
      <c r="K546" t="str">
        <f ca="1">IF(AND(ISNUMBER($K$1205),$B$677=1),$K$1205,HLOOKUP(INDIRECT(ADDRESS(2,COLUMN())),OFFSET($BN$2,0,0,ROW()-1,60),ROW()-1,FALSE))</f>
        <v/>
      </c>
      <c r="L546" t="str">
        <f ca="1">IF(AND(ISNUMBER($L$1205),$B$677=1),$L$1205,HLOOKUP(INDIRECT(ADDRESS(2,COLUMN())),OFFSET($BN$2,0,0,ROW()-1,60),ROW()-1,FALSE))</f>
        <v/>
      </c>
      <c r="M546" t="str">
        <f ca="1">IF(AND(ISNUMBER($M$1205),$B$677=1),$M$1205,HLOOKUP(INDIRECT(ADDRESS(2,COLUMN())),OFFSET($BN$2,0,0,ROW()-1,60),ROW()-1,FALSE))</f>
        <v/>
      </c>
      <c r="N546" t="str">
        <f ca="1">IF(AND(ISNUMBER($N$1205),$B$677=1),$N$1205,HLOOKUP(INDIRECT(ADDRESS(2,COLUMN())),OFFSET($BN$2,0,0,ROW()-1,60),ROW()-1,FALSE))</f>
        <v/>
      </c>
      <c r="O546" t="str">
        <f ca="1">IF(AND(ISNUMBER($O$1205),$B$677=1),$O$1205,HLOOKUP(INDIRECT(ADDRESS(2,COLUMN())),OFFSET($BN$2,0,0,ROW()-1,60),ROW()-1,FALSE))</f>
        <v/>
      </c>
      <c r="P546">
        <f ca="1">IF(AND(ISNUMBER($P$1205),$B$677=1),$P$1205,HLOOKUP(INDIRECT(ADDRESS(2,COLUMN())),OFFSET($BN$2,0,0,ROW()-1,60),ROW()-1,FALSE))</f>
        <v>13.122923139999999</v>
      </c>
      <c r="Q546">
        <f ca="1">IF(AND(ISNUMBER($Q$1205),$B$677=1),$Q$1205,HLOOKUP(INDIRECT(ADDRESS(2,COLUMN())),OFFSET($BN$2,0,0,ROW()-1,60),ROW()-1,FALSE))</f>
        <v>14.78932608</v>
      </c>
      <c r="R546">
        <f ca="1">IF(AND(ISNUMBER($R$1205),$B$677=1),$R$1205,HLOOKUP(INDIRECT(ADDRESS(2,COLUMN())),OFFSET($BN$2,0,0,ROW()-1,60),ROW()-1,FALSE))</f>
        <v>12.336871629999999</v>
      </c>
      <c r="S546">
        <f ca="1">IF(AND(ISNUMBER($S$1205),$B$677=1),$S$1205,HLOOKUP(INDIRECT(ADDRESS(2,COLUMN())),OFFSET($BN$2,0,0,ROW()-1,60),ROW()-1,FALSE))</f>
        <v>15.17882685</v>
      </c>
      <c r="T546">
        <f ca="1">IF(AND(ISNUMBER($T$1205),$B$677=1),$T$1205,HLOOKUP(INDIRECT(ADDRESS(2,COLUMN())),OFFSET($BN$2,0,0,ROW()-1,60),ROW()-1,FALSE))</f>
        <v>17.62350601</v>
      </c>
      <c r="U546">
        <f ca="1">IF(AND(ISNUMBER($U$1205),$B$677=1),$U$1205,HLOOKUP(INDIRECT(ADDRESS(2,COLUMN())),OFFSET($BN$2,0,0,ROW()-1,60),ROW()-1,FALSE))</f>
        <v>13.680128010000001</v>
      </c>
      <c r="V546">
        <f ca="1">IF(AND(ISNUMBER($V$1205),$B$677=1),$V$1205,HLOOKUP(INDIRECT(ADDRESS(2,COLUMN())),OFFSET($BN$2,0,0,ROW()-1,60),ROW()-1,FALSE))</f>
        <v>14.121472089999999</v>
      </c>
      <c r="W546">
        <f ca="1">IF(AND(ISNUMBER($W$1205),$B$677=1),$W$1205,HLOOKUP(INDIRECT(ADDRESS(2,COLUMN())),OFFSET($BN$2,0,0,ROW()-1,60),ROW()-1,FALSE))</f>
        <v>15.130047709999999</v>
      </c>
      <c r="X546">
        <f ca="1">IF(AND(ISNUMBER($X$1205),$B$677=1),$X$1205,HLOOKUP(INDIRECT(ADDRESS(2,COLUMN())),OFFSET($BN$2,0,0,ROW()-1,60),ROW()-1,FALSE))</f>
        <v>15.30805531</v>
      </c>
      <c r="Y546">
        <f ca="1">IF(AND(ISNUMBER($Y$1205),$B$677=1),$Y$1205,HLOOKUP(INDIRECT(ADDRESS(2,COLUMN())),OFFSET($BN$2,0,0,ROW()-1,60),ROW()-1,FALSE))</f>
        <v>16.76307955</v>
      </c>
      <c r="Z546">
        <f ca="1">IF(AND(ISNUMBER($Z$1205),$B$677=1),$Z$1205,HLOOKUP(INDIRECT(ADDRESS(2,COLUMN())),OFFSET($BN$2,0,0,ROW()-1,60),ROW()-1,FALSE))</f>
        <v>18.88920186</v>
      </c>
      <c r="AA546">
        <f ca="1">IF(AND(ISNUMBER($AA$1205),$B$677=1),$AA$1205,HLOOKUP(INDIRECT(ADDRESS(2,COLUMN())),OFFSET($BN$2,0,0,ROW()-1,60),ROW()-1,FALSE))</f>
        <v>17.85390443</v>
      </c>
      <c r="AB546">
        <f ca="1">IF(AND(ISNUMBER($AB$1205),$B$677=1),$AB$1205,HLOOKUP(INDIRECT(ADDRESS(2,COLUMN())),OFFSET($BN$2,0,0,ROW()-1,60),ROW()-1,FALSE))</f>
        <v>16.006627959999999</v>
      </c>
      <c r="AC546">
        <f ca="1">IF(AND(ISNUMBER($AC$1205),$B$677=1),$AC$1205,HLOOKUP(INDIRECT(ADDRESS(2,COLUMN())),OFFSET($BN$2,0,0,ROW()-1,60),ROW()-1,FALSE))</f>
        <v>17.28351632</v>
      </c>
      <c r="AD546">
        <f ca="1">IF(AND(ISNUMBER($AD$1205),$B$677=1),$AD$1205,HLOOKUP(INDIRECT(ADDRESS(2,COLUMN())),OFFSET($BN$2,0,0,ROW()-1,60),ROW()-1,FALSE))</f>
        <v>15.9950492</v>
      </c>
      <c r="AE546">
        <f ca="1">IF(AND(ISNUMBER($AE$1205),$B$677=1),$AE$1205,HLOOKUP(INDIRECT(ADDRESS(2,COLUMN())),OFFSET($BN$2,0,0,ROW()-1,60),ROW()-1,FALSE))</f>
        <v>19.166266660000002</v>
      </c>
      <c r="AF546">
        <f ca="1">IF(AND(ISNUMBER($AF$1205),$B$677=1),$AF$1205,HLOOKUP(INDIRECT(ADDRESS(2,COLUMN())),OFFSET($BN$2,0,0,ROW()-1,60),ROW()-1,FALSE))</f>
        <v>26.523442630000002</v>
      </c>
      <c r="AG546">
        <f ca="1">IF(AND(ISNUMBER($AG$1205),$B$677=1),$AG$1205,HLOOKUP(INDIRECT(ADDRESS(2,COLUMN())),OFFSET($BN$2,0,0,ROW()-1,60),ROW()-1,FALSE))</f>
        <v>23.015506349999999</v>
      </c>
      <c r="AH546">
        <f ca="1">IF(AND(ISNUMBER($AH$1205),$B$677=1),$AH$1205,HLOOKUP(INDIRECT(ADDRESS(2,COLUMN())),OFFSET($BN$2,0,0,ROW()-1,60),ROW()-1,FALSE))</f>
        <v>17.872661269999998</v>
      </c>
      <c r="AI546">
        <f ca="1">IF(AND(ISNUMBER($AI$1205),$B$677=1),$AI$1205,HLOOKUP(INDIRECT(ADDRESS(2,COLUMN())),OFFSET($BN$2,0,0,ROW()-1,60),ROW()-1,FALSE))</f>
        <v>17.366988710000001</v>
      </c>
      <c r="AJ546">
        <f ca="1">IF(AND(ISNUMBER($AJ$1205),$B$677=1),$AJ$1205,HLOOKUP(INDIRECT(ADDRESS(2,COLUMN())),OFFSET($BN$2,0,0,ROW()-1,60),ROW()-1,FALSE))</f>
        <v>15.44504989</v>
      </c>
      <c r="AK546">
        <f ca="1">IF(AND(ISNUMBER($AK$1205),$B$677=1),$AK$1205,HLOOKUP(INDIRECT(ADDRESS(2,COLUMN())),OFFSET($BN$2,0,0,ROW()-1,60),ROW()-1,FALSE))</f>
        <v>14.789648639999999</v>
      </c>
      <c r="AL546">
        <f ca="1">IF(AND(ISNUMBER($AL$1205),$B$677=1),$AL$1205,HLOOKUP(INDIRECT(ADDRESS(2,COLUMN())),OFFSET($BN$2,0,0,ROW()-1,60),ROW()-1,FALSE))</f>
        <v>20.031130399999999</v>
      </c>
      <c r="AM546">
        <f ca="1">IF(AND(ISNUMBER($AM$1205),$B$677=1),$AM$1205,HLOOKUP(INDIRECT(ADDRESS(2,COLUMN())),OFFSET($BN$2,0,0,ROW()-1,60),ROW()-1,FALSE))</f>
        <v>16.347152300000001</v>
      </c>
      <c r="AN546">
        <f ca="1">IF(AND(ISNUMBER($AN$1205),$B$677=1),$AN$1205,HLOOKUP(INDIRECT(ADDRESS(2,COLUMN())),OFFSET($BN$2,0,0,ROW()-1,60),ROW()-1,FALSE))</f>
        <v>17.308198340000001</v>
      </c>
      <c r="AO546">
        <f ca="1">IF(AND(ISNUMBER($AO$1205),$B$677=1),$AO$1205,HLOOKUP(INDIRECT(ADDRESS(2,COLUMN())),OFFSET($BN$2,0,0,ROW()-1,60),ROW()-1,FALSE))</f>
        <v>19.92603196</v>
      </c>
      <c r="AP546">
        <f ca="1">IF(AND(ISNUMBER($AP$1205),$B$677=1),$AP$1205,HLOOKUP(INDIRECT(ADDRESS(2,COLUMN())),OFFSET($BN$2,0,0,ROW()-1,60),ROW()-1,FALSE))</f>
        <v>10.697754440000001</v>
      </c>
      <c r="AQ546">
        <f ca="1">IF(AND(ISNUMBER($AQ$1205),$B$677=1),$AQ$1205,HLOOKUP(INDIRECT(ADDRESS(2,COLUMN())),OFFSET($BN$2,0,0,ROW()-1,60),ROW()-1,FALSE))</f>
        <v>7.8498906389999998</v>
      </c>
      <c r="AR546">
        <f ca="1">IF(AND(ISNUMBER($AR$1205),$B$677=1),$AR$1205,HLOOKUP(INDIRECT(ADDRESS(2,COLUMN())),OFFSET($BN$2,0,0,ROW()-1,60),ROW()-1,FALSE))</f>
        <v>5.4665988030000001</v>
      </c>
      <c r="AS546">
        <f ca="1">IF(AND(ISNUMBER($AS$1205),$B$677=1),$AS$1205,HLOOKUP(INDIRECT(ADDRESS(2,COLUMN())),OFFSET($BN$2,0,0,ROW()-1,60),ROW()-1,FALSE))</f>
        <v>6.4469169490000002</v>
      </c>
      <c r="AT546">
        <f ca="1">IF(AND(ISNUMBER($AT$1205),$B$677=1),$AT$1205,HLOOKUP(INDIRECT(ADDRESS(2,COLUMN())),OFFSET($BN$2,0,0,ROW()-1,60),ROW()-1,FALSE))</f>
        <v>11.639255260000001</v>
      </c>
      <c r="AU546">
        <f ca="1">IF(AND(ISNUMBER($AU$1205),$B$677=1),$AU$1205,HLOOKUP(INDIRECT(ADDRESS(2,COLUMN())),OFFSET($BN$2,0,0,ROW()-1,60),ROW()-1,FALSE))</f>
        <v>17.43533944</v>
      </c>
      <c r="AV546">
        <f ca="1">IF(AND(ISNUMBER($AV$1205),$B$677=1),$AV$1205,HLOOKUP(INDIRECT(ADDRESS(2,COLUMN())),OFFSET($BN$2,0,0,ROW()-1,60),ROW()-1,FALSE))</f>
        <v>13.9905299</v>
      </c>
      <c r="AW546">
        <f ca="1">IF(AND(ISNUMBER($AW$1205),$B$677=1),$AW$1205,HLOOKUP(INDIRECT(ADDRESS(2,COLUMN())),OFFSET($BN$2,0,0,ROW()-1,60),ROW()-1,FALSE))</f>
        <v>13.107195709999999</v>
      </c>
      <c r="AX546">
        <f ca="1">IF(AND(ISNUMBER($AX$1205),$B$677=1),$AX$1205,HLOOKUP(INDIRECT(ADDRESS(2,COLUMN())),OFFSET($BN$2,0,0,ROW()-1,60),ROW()-1,FALSE))</f>
        <v>12.7726962</v>
      </c>
      <c r="AY546">
        <f ca="1">IF(AND(ISNUMBER($AY$1205),$B$677=1),$AY$1205,HLOOKUP(INDIRECT(ADDRESS(2,COLUMN())),OFFSET($BN$2,0,0,ROW()-1,60),ROW()-1,FALSE))</f>
        <v>14.054385999999999</v>
      </c>
      <c r="AZ546">
        <f ca="1">IF(AND(ISNUMBER($AZ$1205),$B$677=1),$AZ$1205,HLOOKUP(INDIRECT(ADDRESS(2,COLUMN())),OFFSET($BN$2,0,0,ROW()-1,60),ROW()-1,FALSE))</f>
        <v>11.644679549999999</v>
      </c>
      <c r="BA546">
        <f ca="1">IF(AND(ISNUMBER($BA$1205),$B$677=1),$BA$1205,HLOOKUP(INDIRECT(ADDRESS(2,COLUMN())),OFFSET($BN$2,0,0,ROW()-1,60),ROW()-1,FALSE))</f>
        <v>12.263274729999999</v>
      </c>
      <c r="BB546">
        <f ca="1">IF(AND(ISNUMBER($BB$1205),$B$677=1),$BB$1205,HLOOKUP(INDIRECT(ADDRESS(2,COLUMN())),OFFSET($BN$2,0,0,ROW()-1,60),ROW()-1,FALSE))</f>
        <v>11.352152500000001</v>
      </c>
      <c r="BC546">
        <f ca="1">IF(AND(ISNUMBER($BC$1205),$B$677=1),$BC$1205,HLOOKUP(INDIRECT(ADDRESS(2,COLUMN())),OFFSET($BN$2,0,0,ROW()-1,60),ROW()-1,FALSE))</f>
        <v>10.479995130000001</v>
      </c>
      <c r="BD546">
        <f ca="1">IF(AND(ISNUMBER($BD$1205),$B$677=1),$BD$1205,HLOOKUP(INDIRECT(ADDRESS(2,COLUMN())),OFFSET($BN$2,0,0,ROW()-1,60),ROW()-1,FALSE))</f>
        <v>10.82806677</v>
      </c>
      <c r="BE546">
        <f ca="1">IF(AND(ISNUMBER($BE$1205),$B$677=1),$BE$1205,HLOOKUP(INDIRECT(ADDRESS(2,COLUMN())),OFFSET($BN$2,0,0,ROW()-1,60),ROW()-1,FALSE))</f>
        <v>11.388754820000001</v>
      </c>
      <c r="BF546">
        <f ca="1">IF(AND(ISNUMBER($BF$1205),$B$677=1),$BF$1205,HLOOKUP(INDIRECT(ADDRESS(2,COLUMN())),OFFSET($BN$2,0,0,ROW()-1,60),ROW()-1,FALSE))</f>
        <v>9.4202523459999998</v>
      </c>
      <c r="BG546" t="str">
        <f ca="1">IF(AND(ISNUMBER($BG$1205),$B$677=1),$BG$1205,HLOOKUP(INDIRECT(ADDRESS(2,COLUMN())),OFFSET($BN$2,0,0,ROW()-1,60),ROW()-1,FALSE))</f>
        <v/>
      </c>
      <c r="BH546" t="str">
        <f ca="1">IF(AND(ISNUMBER($BH$1205),$B$677=1),$BH$1205,HLOOKUP(INDIRECT(ADDRESS(2,COLUMN())),OFFSET($BN$2,0,0,ROW()-1,60),ROW()-1,FALSE))</f>
        <v/>
      </c>
      <c r="BI546" t="str">
        <f ca="1">IF(AND(ISNUMBER($BI$1205),$B$677=1),$BI$1205,HLOOKUP(INDIRECT(ADDRESS(2,COLUMN())),OFFSET($BN$2,0,0,ROW()-1,60),ROW()-1,FALSE))</f>
        <v/>
      </c>
      <c r="BJ546" t="str">
        <f ca="1">IF(AND(ISNUMBER($BJ$1205),$B$677=1),$BJ$1205,HLOOKUP(INDIRECT(ADDRESS(2,COLUMN())),OFFSET($BN$2,0,0,ROW()-1,60),ROW()-1,FALSE))</f>
        <v/>
      </c>
      <c r="BK546" t="str">
        <f ca="1">IF(AND(ISNUMBER($BK$1205),$B$677=1),$BK$1205,HLOOKUP(INDIRECT(ADDRESS(2,COLUMN())),OFFSET($BN$2,0,0,ROW()-1,60),ROW()-1,FALSE))</f>
        <v/>
      </c>
      <c r="BL546" t="str">
        <f ca="1">IF(AND(ISNUMBER($BL$1205),$B$677=1),$BL$1205,HLOOKUP(INDIRECT(ADDRESS(2,COLUMN())),OFFSET($BN$2,0,0,ROW()-1,60),ROW()-1,FALSE))</f>
        <v/>
      </c>
      <c r="BM546" t="str">
        <f ca="1">IF(AND(ISNUMBER($BM$1205),$B$677=1),$BM$1205,HLOOKUP(INDIRECT(ADDRESS(2,COLUMN())),OFFSET($BN$2,0,0,ROW()-1,60),ROW()-1,FALSE))</f>
        <v/>
      </c>
      <c r="BN546" t="str">
        <f>""</f>
        <v/>
      </c>
      <c r="BO546" t="str">
        <f>""</f>
        <v/>
      </c>
      <c r="BP546" t="str">
        <f>""</f>
        <v/>
      </c>
      <c r="BQ546" t="str">
        <f>""</f>
        <v/>
      </c>
      <c r="BR546" t="str">
        <f>""</f>
        <v/>
      </c>
      <c r="BS546" t="str">
        <f>""</f>
        <v/>
      </c>
      <c r="BT546" t="str">
        <f>""</f>
        <v/>
      </c>
      <c r="BU546" t="str">
        <f>""</f>
        <v/>
      </c>
      <c r="BV546" t="str">
        <f>""</f>
        <v/>
      </c>
      <c r="BW546" t="str">
        <f>""</f>
        <v/>
      </c>
      <c r="BX546">
        <f>13.12292314</f>
        <v>13.122923139999999</v>
      </c>
      <c r="BY546">
        <f>14.78932608</f>
        <v>14.78932608</v>
      </c>
      <c r="BZ546">
        <f>12.33687163</f>
        <v>12.336871629999999</v>
      </c>
      <c r="CA546">
        <f>15.17882685</f>
        <v>15.17882685</v>
      </c>
      <c r="CB546">
        <f>17.62350601</f>
        <v>17.62350601</v>
      </c>
      <c r="CC546">
        <f>13.68012801</f>
        <v>13.680128010000001</v>
      </c>
      <c r="CD546">
        <f>14.12147209</f>
        <v>14.121472089999999</v>
      </c>
      <c r="CE546">
        <f>15.13004771</f>
        <v>15.130047709999999</v>
      </c>
      <c r="CF546">
        <f>15.30805531</f>
        <v>15.30805531</v>
      </c>
      <c r="CG546">
        <f>16.76307955</f>
        <v>16.76307955</v>
      </c>
      <c r="CH546">
        <f>18.88920186</f>
        <v>18.88920186</v>
      </c>
      <c r="CI546">
        <f>17.85390443</f>
        <v>17.85390443</v>
      </c>
      <c r="CJ546">
        <f>16.00662796</f>
        <v>16.006627959999999</v>
      </c>
      <c r="CK546">
        <f>17.28351632</f>
        <v>17.28351632</v>
      </c>
      <c r="CL546">
        <f>15.9950492</f>
        <v>15.9950492</v>
      </c>
      <c r="CM546">
        <f>19.16626666</f>
        <v>19.166266660000002</v>
      </c>
      <c r="CN546">
        <f>26.52344263</f>
        <v>26.523442630000002</v>
      </c>
      <c r="CO546">
        <f>23.01550635</f>
        <v>23.015506349999999</v>
      </c>
      <c r="CP546">
        <f>17.87266127</f>
        <v>17.872661269999998</v>
      </c>
      <c r="CQ546">
        <f>17.36698871</f>
        <v>17.366988710000001</v>
      </c>
      <c r="CR546">
        <f>15.44504989</f>
        <v>15.44504989</v>
      </c>
      <c r="CS546">
        <f>14.78964864</f>
        <v>14.789648639999999</v>
      </c>
      <c r="CT546">
        <f>20.0311304</f>
        <v>20.031130399999999</v>
      </c>
      <c r="CU546">
        <f>16.3471523</f>
        <v>16.347152300000001</v>
      </c>
      <c r="CV546">
        <f>17.30819834</f>
        <v>17.308198340000001</v>
      </c>
      <c r="CW546">
        <f>19.92603196</f>
        <v>19.92603196</v>
      </c>
      <c r="CX546">
        <f>10.69775444</f>
        <v>10.697754440000001</v>
      </c>
      <c r="CY546">
        <f>7.849890639</f>
        <v>7.8498906389999998</v>
      </c>
      <c r="CZ546">
        <f>5.466598803</f>
        <v>5.4665988030000001</v>
      </c>
      <c r="DA546">
        <f>6.446916949</f>
        <v>6.4469169490000002</v>
      </c>
      <c r="DB546">
        <f>11.63925526</f>
        <v>11.639255260000001</v>
      </c>
      <c r="DC546">
        <f>17.43533944</f>
        <v>17.43533944</v>
      </c>
      <c r="DD546">
        <f>13.9905299</f>
        <v>13.9905299</v>
      </c>
      <c r="DE546">
        <f>13.10719571</f>
        <v>13.107195709999999</v>
      </c>
      <c r="DF546">
        <f>12.7726962</f>
        <v>12.7726962</v>
      </c>
      <c r="DG546">
        <f>14.054386</f>
        <v>14.054385999999999</v>
      </c>
      <c r="DH546">
        <f>11.64467955</f>
        <v>11.644679549999999</v>
      </c>
      <c r="DI546">
        <f>12.26327473</f>
        <v>12.263274729999999</v>
      </c>
      <c r="DJ546">
        <f>11.3521525</f>
        <v>11.352152500000001</v>
      </c>
      <c r="DK546">
        <f>10.47999513</f>
        <v>10.479995130000001</v>
      </c>
      <c r="DL546">
        <f>10.82806677</f>
        <v>10.82806677</v>
      </c>
      <c r="DM546">
        <f>11.38875482</f>
        <v>11.388754820000001</v>
      </c>
      <c r="DN546">
        <f>9.420252346</f>
        <v>9.4202523459999998</v>
      </c>
      <c r="DO546" t="str">
        <f>""</f>
        <v/>
      </c>
      <c r="DP546" t="str">
        <f>""</f>
        <v/>
      </c>
      <c r="DQ546" t="str">
        <f>""</f>
        <v/>
      </c>
      <c r="DR546" t="str">
        <f>""</f>
        <v/>
      </c>
      <c r="DS546" t="str">
        <f>""</f>
        <v/>
      </c>
      <c r="DT546" t="str">
        <f>""</f>
        <v/>
      </c>
      <c r="DU546" t="str">
        <f>""</f>
        <v/>
      </c>
    </row>
    <row r="547" spans="1:125" x14ac:dyDescent="0.25">
      <c r="A547" t="str">
        <f>"    Daimler AG"</f>
        <v xml:space="preserve">    Daimler AG</v>
      </c>
      <c r="B547" t="str">
        <f>"DAI GR Equity"</f>
        <v>DAI GR Equity</v>
      </c>
      <c r="C547" t="str">
        <f t="shared" si="39"/>
        <v>RX076</v>
      </c>
      <c r="D547" t="str">
        <f t="shared" si="40"/>
        <v>EBIT_YIELD</v>
      </c>
      <c r="E547" t="str">
        <f t="shared" si="41"/>
        <v>Dynamic</v>
      </c>
      <c r="F547">
        <f ca="1">IF(AND(ISNUMBER($F$1206),$B$677=1),$F$1206,HLOOKUP(INDIRECT(ADDRESS(2,COLUMN())),OFFSET($BN$2,0,0,ROW()-1,60),ROW()-1,FALSE))</f>
        <v>18.37293931</v>
      </c>
      <c r="G547">
        <f ca="1">IF(AND(ISNUMBER($G$1206),$B$677=1),$G$1206,HLOOKUP(INDIRECT(ADDRESS(2,COLUMN())),OFFSET($BN$2,0,0,ROW()-1,60),ROW()-1,FALSE))</f>
        <v>20.902169900000001</v>
      </c>
      <c r="H547">
        <f ca="1">IF(AND(ISNUMBER($H$1206),$B$677=1),$H$1206,HLOOKUP(INDIRECT(ADDRESS(2,COLUMN())),OFFSET($BN$2,0,0,ROW()-1,60),ROW()-1,FALSE))</f>
        <v>18.449366569999999</v>
      </c>
      <c r="I547">
        <f ca="1">IF(AND(ISNUMBER($I$1206),$B$677=1),$I$1206,HLOOKUP(INDIRECT(ADDRESS(2,COLUMN())),OFFSET($BN$2,0,0,ROW()-1,60),ROW()-1,FALSE))</f>
        <v>20.478796920000001</v>
      </c>
      <c r="J547">
        <f ca="1">IF(AND(ISNUMBER($J$1206),$B$677=1),$J$1206,HLOOKUP(INDIRECT(ADDRESS(2,COLUMN())),OFFSET($BN$2,0,0,ROW()-1,60),ROW()-1,FALSE))</f>
        <v>17.393732249999999</v>
      </c>
      <c r="K547">
        <f ca="1">IF(AND(ISNUMBER($K$1206),$B$677=1),$K$1206,HLOOKUP(INDIRECT(ADDRESS(2,COLUMN())),OFFSET($BN$2,0,0,ROW()-1,60),ROW()-1,FALSE))</f>
        <v>17.242781529999998</v>
      </c>
      <c r="L547">
        <f ca="1">IF(AND(ISNUMBER($L$1206),$B$677=1),$L$1206,HLOOKUP(INDIRECT(ADDRESS(2,COLUMN())),OFFSET($BN$2,0,0,ROW()-1,60),ROW()-1,FALSE))</f>
        <v>17.994086979999999</v>
      </c>
      <c r="M547">
        <f ca="1">IF(AND(ISNUMBER($M$1206),$B$677=1),$M$1206,HLOOKUP(INDIRECT(ADDRESS(2,COLUMN())),OFFSET($BN$2,0,0,ROW()-1,60),ROW()-1,FALSE))</f>
        <v>20.146528230000001</v>
      </c>
      <c r="N547">
        <f ca="1">IF(AND(ISNUMBER($N$1206),$B$677=1),$N$1206,HLOOKUP(INDIRECT(ADDRESS(2,COLUMN())),OFFSET($BN$2,0,0,ROW()-1,60),ROW()-1,FALSE))</f>
        <v>17.28936663</v>
      </c>
      <c r="O547">
        <f ca="1">IF(AND(ISNUMBER($O$1206),$B$677=1),$O$1206,HLOOKUP(INDIRECT(ADDRESS(2,COLUMN())),OFFSET($BN$2,0,0,ROW()-1,60),ROW()-1,FALSE))</f>
        <v>16.026434089999999</v>
      </c>
      <c r="P547">
        <f ca="1">IF(AND(ISNUMBER($P$1206),$B$677=1),$P$1206,HLOOKUP(INDIRECT(ADDRESS(2,COLUMN())),OFFSET($BN$2,0,0,ROW()-1,60),ROW()-1,FALSE))</f>
        <v>17.609061759999999</v>
      </c>
      <c r="Q547">
        <f ca="1">IF(AND(ISNUMBER($Q$1206),$B$677=1),$Q$1206,HLOOKUP(INDIRECT(ADDRESS(2,COLUMN())),OFFSET($BN$2,0,0,ROW()-1,60),ROW()-1,FALSE))</f>
        <v>19.656166750000001</v>
      </c>
      <c r="R547">
        <f ca="1">IF(AND(ISNUMBER($R$1206),$B$677=1),$R$1206,HLOOKUP(INDIRECT(ADDRESS(2,COLUMN())),OFFSET($BN$2,0,0,ROW()-1,60),ROW()-1,FALSE))</f>
        <v>16.996033959999998</v>
      </c>
      <c r="S547">
        <f ca="1">IF(AND(ISNUMBER($S$1206),$B$677=1),$S$1206,HLOOKUP(INDIRECT(ADDRESS(2,COLUMN())),OFFSET($BN$2,0,0,ROW()-1,60),ROW()-1,FALSE))</f>
        <v>15.36115079</v>
      </c>
      <c r="T547">
        <f ca="1">IF(AND(ISNUMBER($T$1206),$B$677=1),$T$1206,HLOOKUP(INDIRECT(ADDRESS(2,COLUMN())),OFFSET($BN$2,0,0,ROW()-1,60),ROW()-1,FALSE))</f>
        <v>17.321552789999998</v>
      </c>
      <c r="U547">
        <f ca="1">IF(AND(ISNUMBER($U$1206),$B$677=1),$U$1206,HLOOKUP(INDIRECT(ADDRESS(2,COLUMN())),OFFSET($BN$2,0,0,ROW()-1,60),ROW()-1,FALSE))</f>
        <v>12.82641117</v>
      </c>
      <c r="V547">
        <f ca="1">IF(AND(ISNUMBER($V$1206),$B$677=1),$V$1206,HLOOKUP(INDIRECT(ADDRESS(2,COLUMN())),OFFSET($BN$2,0,0,ROW()-1,60),ROW()-1,FALSE))</f>
        <v>10.59748237</v>
      </c>
      <c r="W547">
        <f ca="1">IF(AND(ISNUMBER($W$1206),$B$677=1),$W$1206,HLOOKUP(INDIRECT(ADDRESS(2,COLUMN())),OFFSET($BN$2,0,0,ROW()-1,60),ROW()-1,FALSE))</f>
        <v>12.73173927</v>
      </c>
      <c r="X547">
        <f ca="1">IF(AND(ISNUMBER($X$1206),$B$677=1),$X$1206,HLOOKUP(INDIRECT(ADDRESS(2,COLUMN())),OFFSET($BN$2,0,0,ROW()-1,60),ROW()-1,FALSE))</f>
        <v>15.10593458</v>
      </c>
      <c r="Y547">
        <f ca="1">IF(AND(ISNUMBER($Y$1206),$B$677=1),$Y$1206,HLOOKUP(INDIRECT(ADDRESS(2,COLUMN())),OFFSET($BN$2,0,0,ROW()-1,60),ROW()-1,FALSE))</f>
        <v>12.681965529999999</v>
      </c>
      <c r="Z547">
        <f ca="1">IF(AND(ISNUMBER($Z$1206),$B$677=1),$Z$1206,HLOOKUP(INDIRECT(ADDRESS(2,COLUMN())),OFFSET($BN$2,0,0,ROW()-1,60),ROW()-1,FALSE))</f>
        <v>12.14156507</v>
      </c>
      <c r="AA547">
        <f ca="1">IF(AND(ISNUMBER($AA$1206),$B$677=1),$AA$1206,HLOOKUP(INDIRECT(ADDRESS(2,COLUMN())),OFFSET($BN$2,0,0,ROW()-1,60),ROW()-1,FALSE))</f>
        <v>11.62238436</v>
      </c>
      <c r="AB547">
        <f ca="1">IF(AND(ISNUMBER($AB$1206),$B$677=1),$AB$1206,HLOOKUP(INDIRECT(ADDRESS(2,COLUMN())),OFFSET($BN$2,0,0,ROW()-1,60),ROW()-1,FALSE))</f>
        <v>11.298014630000001</v>
      </c>
      <c r="AC547">
        <f ca="1">IF(AND(ISNUMBER($AC$1206),$B$677=1),$AC$1206,HLOOKUP(INDIRECT(ADDRESS(2,COLUMN())),OFFSET($BN$2,0,0,ROW()-1,60),ROW()-1,FALSE))</f>
        <v>13.514087809999999</v>
      </c>
      <c r="AD547">
        <f ca="1">IF(AND(ISNUMBER($AD$1206),$B$677=1),$AD$1206,HLOOKUP(INDIRECT(ADDRESS(2,COLUMN())),OFFSET($BN$2,0,0,ROW()-1,60),ROW()-1,FALSE))</f>
        <v>15.233728770000001</v>
      </c>
      <c r="AE547">
        <f ca="1">IF(AND(ISNUMBER($AE$1206),$B$677=1),$AE$1206,HLOOKUP(INDIRECT(ADDRESS(2,COLUMN())),OFFSET($BN$2,0,0,ROW()-1,60),ROW()-1,FALSE))</f>
        <v>18.341540890000001</v>
      </c>
      <c r="AF547">
        <f ca="1">IF(AND(ISNUMBER($AF$1206),$B$677=1),$AF$1206,HLOOKUP(INDIRECT(ADDRESS(2,COLUMN())),OFFSET($BN$2,0,0,ROW()-1,60),ROW()-1,FALSE))</f>
        <v>21.030833529999999</v>
      </c>
      <c r="AG547">
        <f ca="1">IF(AND(ISNUMBER($AG$1206),$B$677=1),$AG$1206,HLOOKUP(INDIRECT(ADDRESS(2,COLUMN())),OFFSET($BN$2,0,0,ROW()-1,60),ROW()-1,FALSE))</f>
        <v>22.723749049999999</v>
      </c>
      <c r="AH547">
        <f ca="1">IF(AND(ISNUMBER($AH$1206),$B$677=1),$AH$1206,HLOOKUP(INDIRECT(ADDRESS(2,COLUMN())),OFFSET($BN$2,0,0,ROW()-1,60),ROW()-1,FALSE))</f>
        <v>18.279547709999999</v>
      </c>
      <c r="AI547">
        <f ca="1">IF(AND(ISNUMBER($AI$1206),$B$677=1),$AI$1206,HLOOKUP(INDIRECT(ADDRESS(2,COLUMN())),OFFSET($BN$2,0,0,ROW()-1,60),ROW()-1,FALSE))</f>
        <v>24.033280990000002</v>
      </c>
      <c r="AJ547">
        <f ca="1">IF(AND(ISNUMBER($AJ$1206),$B$677=1),$AJ$1206,HLOOKUP(INDIRECT(ADDRESS(2,COLUMN())),OFFSET($BN$2,0,0,ROW()-1,60),ROW()-1,FALSE))</f>
        <v>22.866251429999998</v>
      </c>
      <c r="AK547">
        <f ca="1">IF(AND(ISNUMBER($AK$1206),$B$677=1),$AK$1206,HLOOKUP(INDIRECT(ADDRESS(2,COLUMN())),OFFSET($BN$2,0,0,ROW()-1,60),ROW()-1,FALSE))</f>
        <v>15.55687738</v>
      </c>
      <c r="AL547">
        <f ca="1">IF(AND(ISNUMBER($AL$1206),$B$677=1),$AL$1206,HLOOKUP(INDIRECT(ADDRESS(2,COLUMN())),OFFSET($BN$2,0,0,ROW()-1,60),ROW()-1,FALSE))</f>
        <v>15.09379113</v>
      </c>
      <c r="AM547">
        <f ca="1">IF(AND(ISNUMBER($AM$1206),$B$677=1),$AM$1206,HLOOKUP(INDIRECT(ADDRESS(2,COLUMN())),OFFSET($BN$2,0,0,ROW()-1,60),ROW()-1,FALSE))</f>
        <v>13.614061939999999</v>
      </c>
      <c r="AN547">
        <f ca="1">IF(AND(ISNUMBER($AN$1206),$B$677=1),$AN$1206,HLOOKUP(INDIRECT(ADDRESS(2,COLUMN())),OFFSET($BN$2,0,0,ROW()-1,60),ROW()-1,FALSE))</f>
        <v>13.298279089999999</v>
      </c>
      <c r="AO547">
        <f ca="1">IF(AND(ISNUMBER($AO$1206),$B$677=1),$AO$1206,HLOOKUP(INDIRECT(ADDRESS(2,COLUMN())),OFFSET($BN$2,0,0,ROW()-1,60),ROW()-1,FALSE))</f>
        <v>10.57576461</v>
      </c>
      <c r="AP547">
        <f ca="1">IF(AND(ISNUMBER($AP$1206),$B$677=1),$AP$1206,HLOOKUP(INDIRECT(ADDRESS(2,COLUMN())),OFFSET($BN$2,0,0,ROW()-1,60),ROW()-1,FALSE))</f>
        <v>6.2953678890000004</v>
      </c>
      <c r="AQ547">
        <f ca="1">IF(AND(ISNUMBER($AQ$1206),$B$677=1),$AQ$1206,HLOOKUP(INDIRECT(ADDRESS(2,COLUMN())),OFFSET($BN$2,0,0,ROW()-1,60),ROW()-1,FALSE))</f>
        <v>-0.91800546699999996</v>
      </c>
      <c r="AR547">
        <f ca="1">IF(AND(ISNUMBER($AR$1206),$B$677=1),$AR$1206,HLOOKUP(INDIRECT(ADDRESS(2,COLUMN())),OFFSET($BN$2,0,0,ROW()-1,60),ROW()-1,FALSE))</f>
        <v>-4.5586570919999998</v>
      </c>
      <c r="AS547">
        <f ca="1">IF(AND(ISNUMBER($AS$1206),$B$677=1),$AS$1206,HLOOKUP(INDIRECT(ADDRESS(2,COLUMN())),OFFSET($BN$2,0,0,ROW()-1,60),ROW()-1,FALSE))</f>
        <v>-3.1019333599999999</v>
      </c>
      <c r="AT547">
        <f ca="1">IF(AND(ISNUMBER($AT$1206),$B$677=1),$AT$1206,HLOOKUP(INDIRECT(ADDRESS(2,COLUMN())),OFFSET($BN$2,0,0,ROW()-1,60),ROW()-1,FALSE))</f>
        <v>10.693535069999999</v>
      </c>
      <c r="AU547">
        <f ca="1">IF(AND(ISNUMBER($AU$1206),$B$677=1),$AU$1206,HLOOKUP(INDIRECT(ADDRESS(2,COLUMN())),OFFSET($BN$2,0,0,ROW()-1,60),ROW()-1,FALSE))</f>
        <v>21.839326010000001</v>
      </c>
      <c r="AV547">
        <f ca="1">IF(AND(ISNUMBER($AV$1206),$B$677=1),$AV$1206,HLOOKUP(INDIRECT(ADDRESS(2,COLUMN())),OFFSET($BN$2,0,0,ROW()-1,60),ROW()-1,FALSE))</f>
        <v>25.92597971</v>
      </c>
      <c r="AW547">
        <f ca="1">IF(AND(ISNUMBER($AW$1206),$B$677=1),$AW$1206,HLOOKUP(INDIRECT(ADDRESS(2,COLUMN())),OFFSET($BN$2,0,0,ROW()-1,60),ROW()-1,FALSE))</f>
        <v>25.226315549999999</v>
      </c>
      <c r="AX547">
        <f ca="1">IF(AND(ISNUMBER($AX$1206),$B$677=1),$AX$1206,HLOOKUP(INDIRECT(ADDRESS(2,COLUMN())),OFFSET($BN$2,0,0,ROW()-1,60),ROW()-1,FALSE))</f>
        <v>17.47417935</v>
      </c>
      <c r="AY547">
        <f ca="1">IF(AND(ISNUMBER($AY$1206),$B$677=1),$AY$1206,HLOOKUP(INDIRECT(ADDRESS(2,COLUMN())),OFFSET($BN$2,0,0,ROW()-1,60),ROW()-1,FALSE))</f>
        <v>13.03115393</v>
      </c>
      <c r="AZ547">
        <f ca="1">IF(AND(ISNUMBER($AZ$1206),$B$677=1),$AZ$1206,HLOOKUP(INDIRECT(ADDRESS(2,COLUMN())),OFFSET($BN$2,0,0,ROW()-1,60),ROW()-1,FALSE))</f>
        <v>8.1189300319999997</v>
      </c>
      <c r="BA547">
        <f ca="1">IF(AND(ISNUMBER($BA$1206),$B$677=1),$BA$1206,HLOOKUP(INDIRECT(ADDRESS(2,COLUMN())),OFFSET($BN$2,0,0,ROW()-1,60),ROW()-1,FALSE))</f>
        <v>8.1129267489999997</v>
      </c>
      <c r="BB547">
        <f ca="1">IF(AND(ISNUMBER($BB$1206),$B$677=1),$BB$1206,HLOOKUP(INDIRECT(ADDRESS(2,COLUMN())),OFFSET($BN$2,0,0,ROW()-1,60),ROW()-1,FALSE))</f>
        <v>7.7933222229999997</v>
      </c>
      <c r="BC547">
        <f ca="1">IF(AND(ISNUMBER($BC$1206),$B$677=1),$BC$1206,HLOOKUP(INDIRECT(ADDRESS(2,COLUMN())),OFFSET($BN$2,0,0,ROW()-1,60),ROW()-1,FALSE))</f>
        <v>9.4262041100000005</v>
      </c>
      <c r="BD547">
        <f ca="1">IF(AND(ISNUMBER($BD$1206),$B$677=1),$BD$1206,HLOOKUP(INDIRECT(ADDRESS(2,COLUMN())),OFFSET($BN$2,0,0,ROW()-1,60),ROW()-1,FALSE))</f>
        <v>8.4522636599999998</v>
      </c>
      <c r="BE547">
        <f ca="1">IF(AND(ISNUMBER($BE$1206),$B$677=1),$BE$1206,HLOOKUP(INDIRECT(ADDRESS(2,COLUMN())),OFFSET($BN$2,0,0,ROW()-1,60),ROW()-1,FALSE))</f>
        <v>7.6886366419999996</v>
      </c>
      <c r="BF547">
        <f ca="1">IF(AND(ISNUMBER($BF$1206),$B$677=1),$BF$1206,HLOOKUP(INDIRECT(ADDRESS(2,COLUMN())),OFFSET($BN$2,0,0,ROW()-1,60),ROW()-1,FALSE))</f>
        <v>6.5368445749999999</v>
      </c>
      <c r="BG547">
        <f ca="1">IF(AND(ISNUMBER($BG$1206),$B$677=1),$BG$1206,HLOOKUP(INDIRECT(ADDRESS(2,COLUMN())),OFFSET($BN$2,0,0,ROW()-1,60),ROW()-1,FALSE))</f>
        <v>4.7602129570000002</v>
      </c>
      <c r="BH547">
        <f ca="1">IF(AND(ISNUMBER($BH$1206),$B$677=1),$BH$1206,HLOOKUP(INDIRECT(ADDRESS(2,COLUMN())),OFFSET($BN$2,0,0,ROW()-1,60),ROW()-1,FALSE))</f>
        <v>8.2485063499999995</v>
      </c>
      <c r="BI547">
        <f ca="1">IF(AND(ISNUMBER($BI$1206),$B$677=1),$BI$1206,HLOOKUP(INDIRECT(ADDRESS(2,COLUMN())),OFFSET($BN$2,0,0,ROW()-1,60),ROW()-1,FALSE))</f>
        <v>9.0424057720000004</v>
      </c>
      <c r="BJ547">
        <f ca="1">IF(AND(ISNUMBER($BJ$1206),$B$677=1),$BJ$1206,HLOOKUP(INDIRECT(ADDRESS(2,COLUMN())),OFFSET($BN$2,0,0,ROW()-1,60),ROW()-1,FALSE))</f>
        <v>9.6801644339999999</v>
      </c>
      <c r="BK547">
        <f ca="1">IF(AND(ISNUMBER($BK$1206),$B$677=1),$BK$1206,HLOOKUP(INDIRECT(ADDRESS(2,COLUMN())),OFFSET($BN$2,0,0,ROW()-1,60),ROW()-1,FALSE))</f>
        <v>12.79230123</v>
      </c>
      <c r="BL547">
        <f ca="1">IF(AND(ISNUMBER($BL$1206),$B$677=1),$BL$1206,HLOOKUP(INDIRECT(ADDRESS(2,COLUMN())),OFFSET($BN$2,0,0,ROW()-1,60),ROW()-1,FALSE))</f>
        <v>16.771744930000001</v>
      </c>
      <c r="BM547">
        <f ca="1">IF(AND(ISNUMBER($BM$1206),$B$677=1),$BM$1206,HLOOKUP(INDIRECT(ADDRESS(2,COLUMN())),OFFSET($BN$2,0,0,ROW()-1,60),ROW()-1,FALSE))</f>
        <v>14.79970121</v>
      </c>
      <c r="BN547">
        <f>18.37293931</f>
        <v>18.37293931</v>
      </c>
      <c r="BO547">
        <f>20.9021699</f>
        <v>20.902169900000001</v>
      </c>
      <c r="BP547">
        <f>18.44936657</f>
        <v>18.449366569999999</v>
      </c>
      <c r="BQ547">
        <f>20.47879692</f>
        <v>20.478796920000001</v>
      </c>
      <c r="BR547">
        <f>17.39373225</f>
        <v>17.393732249999999</v>
      </c>
      <c r="BS547">
        <f>17.24278153</f>
        <v>17.242781529999998</v>
      </c>
      <c r="BT547">
        <f>17.99408698</f>
        <v>17.994086979999999</v>
      </c>
      <c r="BU547">
        <f>20.14652823</f>
        <v>20.146528230000001</v>
      </c>
      <c r="BV547">
        <f>17.28936663</f>
        <v>17.28936663</v>
      </c>
      <c r="BW547">
        <f>16.02643409</f>
        <v>16.026434089999999</v>
      </c>
      <c r="BX547">
        <f>17.60906176</f>
        <v>17.609061759999999</v>
      </c>
      <c r="BY547">
        <f>19.65616675</f>
        <v>19.656166750000001</v>
      </c>
      <c r="BZ547">
        <f>16.99603396</f>
        <v>16.996033959999998</v>
      </c>
      <c r="CA547">
        <f>15.36115079</f>
        <v>15.36115079</v>
      </c>
      <c r="CB547">
        <f>17.32155279</f>
        <v>17.321552789999998</v>
      </c>
      <c r="CC547">
        <f>12.82641117</f>
        <v>12.82641117</v>
      </c>
      <c r="CD547">
        <f>10.59748237</f>
        <v>10.59748237</v>
      </c>
      <c r="CE547">
        <f>12.73173927</f>
        <v>12.73173927</v>
      </c>
      <c r="CF547">
        <f>15.10593458</f>
        <v>15.10593458</v>
      </c>
      <c r="CG547">
        <f>12.68196553</f>
        <v>12.681965529999999</v>
      </c>
      <c r="CH547">
        <f>12.14156507</f>
        <v>12.14156507</v>
      </c>
      <c r="CI547">
        <f>11.62238436</f>
        <v>11.62238436</v>
      </c>
      <c r="CJ547">
        <f>11.29801463</f>
        <v>11.298014630000001</v>
      </c>
      <c r="CK547">
        <f>13.51408781</f>
        <v>13.514087809999999</v>
      </c>
      <c r="CL547">
        <f>15.23372877</f>
        <v>15.233728770000001</v>
      </c>
      <c r="CM547">
        <f>18.34154089</f>
        <v>18.341540890000001</v>
      </c>
      <c r="CN547">
        <f>21.03083353</f>
        <v>21.030833529999999</v>
      </c>
      <c r="CO547">
        <f>22.72374905</f>
        <v>22.723749049999999</v>
      </c>
      <c r="CP547">
        <f>18.27954771</f>
        <v>18.279547709999999</v>
      </c>
      <c r="CQ547">
        <f>24.03328099</f>
        <v>24.033280990000002</v>
      </c>
      <c r="CR547">
        <f>22.86625143</f>
        <v>22.866251429999998</v>
      </c>
      <c r="CS547">
        <f>15.55687738</f>
        <v>15.55687738</v>
      </c>
      <c r="CT547">
        <f>15.09379113</f>
        <v>15.09379113</v>
      </c>
      <c r="CU547">
        <f>13.61406194</f>
        <v>13.614061939999999</v>
      </c>
      <c r="CV547">
        <f>13.29827909</f>
        <v>13.298279089999999</v>
      </c>
      <c r="CW547">
        <f>10.57576461</f>
        <v>10.57576461</v>
      </c>
      <c r="CX547">
        <f>6.295367889</f>
        <v>6.2953678890000004</v>
      </c>
      <c r="CY547">
        <f>-0.918005467</f>
        <v>-0.91800546699999996</v>
      </c>
      <c r="CZ547">
        <f>-4.558657092</f>
        <v>-4.5586570919999998</v>
      </c>
      <c r="DA547">
        <f>-3.10193336</f>
        <v>-3.1019333599999999</v>
      </c>
      <c r="DB547">
        <f>10.69353507</f>
        <v>10.693535069999999</v>
      </c>
      <c r="DC547">
        <f>21.83932601</f>
        <v>21.839326010000001</v>
      </c>
      <c r="DD547">
        <f>25.92597971</f>
        <v>25.92597971</v>
      </c>
      <c r="DE547">
        <f>25.22631555</f>
        <v>25.226315549999999</v>
      </c>
      <c r="DF547">
        <f>17.47417935</f>
        <v>17.47417935</v>
      </c>
      <c r="DG547">
        <f>13.03115393</f>
        <v>13.03115393</v>
      </c>
      <c r="DH547">
        <f>8.118930032</f>
        <v>8.1189300319999997</v>
      </c>
      <c r="DI547">
        <f>8.112926749</f>
        <v>8.1129267489999997</v>
      </c>
      <c r="DJ547">
        <f>7.793322223</f>
        <v>7.7933222229999997</v>
      </c>
      <c r="DK547">
        <f>9.42620411</f>
        <v>9.4262041100000005</v>
      </c>
      <c r="DL547">
        <f>8.45226366</f>
        <v>8.4522636599999998</v>
      </c>
      <c r="DM547">
        <f>7.688636642</f>
        <v>7.6886366419999996</v>
      </c>
      <c r="DN547">
        <f>6.536844575</f>
        <v>6.5368445749999999</v>
      </c>
      <c r="DO547">
        <f>4.760212957</f>
        <v>4.7602129570000002</v>
      </c>
      <c r="DP547">
        <f>8.24850635</f>
        <v>8.2485063499999995</v>
      </c>
      <c r="DQ547">
        <f>9.042405772</f>
        <v>9.0424057720000004</v>
      </c>
      <c r="DR547">
        <f>9.680164434</f>
        <v>9.6801644339999999</v>
      </c>
      <c r="DS547">
        <f>12.79230123</f>
        <v>12.79230123</v>
      </c>
      <c r="DT547">
        <f>16.77174493</f>
        <v>16.771744930000001</v>
      </c>
      <c r="DU547">
        <f>14.79970121</f>
        <v>14.79970121</v>
      </c>
    </row>
    <row r="548" spans="1:125" x14ac:dyDescent="0.25">
      <c r="A548" t="str">
        <f>"    Dongfeng Motor Group Co Ltd"</f>
        <v xml:space="preserve">    Dongfeng Motor Group Co Ltd</v>
      </c>
      <c r="B548" t="str">
        <f>"489 HK Equity"</f>
        <v>489 HK Equity</v>
      </c>
      <c r="C548" t="str">
        <f t="shared" si="39"/>
        <v>RX076</v>
      </c>
      <c r="D548" t="str">
        <f t="shared" si="40"/>
        <v>EBIT_YIELD</v>
      </c>
      <c r="E548" t="str">
        <f t="shared" si="41"/>
        <v>Dynamic</v>
      </c>
      <c r="F548" t="str">
        <f ca="1">IF(AND(ISNUMBER($F$1207),$B$677=1),$F$1207,HLOOKUP(INDIRECT(ADDRESS(2,COLUMN())),OFFSET($BN$2,0,0,ROW()-1,60),ROW()-1,FALSE))</f>
        <v/>
      </c>
      <c r="G548" t="str">
        <f ca="1">IF(AND(ISNUMBER($G$1207),$B$677=1),$G$1207,HLOOKUP(INDIRECT(ADDRESS(2,COLUMN())),OFFSET($BN$2,0,0,ROW()-1,60),ROW()-1,FALSE))</f>
        <v/>
      </c>
      <c r="H548" t="str">
        <f ca="1">IF(AND(ISNUMBER($H$1207),$B$677=1),$H$1207,HLOOKUP(INDIRECT(ADDRESS(2,COLUMN())),OFFSET($BN$2,0,0,ROW()-1,60),ROW()-1,FALSE))</f>
        <v/>
      </c>
      <c r="I548" t="str">
        <f ca="1">IF(AND(ISNUMBER($I$1207),$B$677=1),$I$1207,HLOOKUP(INDIRECT(ADDRESS(2,COLUMN())),OFFSET($BN$2,0,0,ROW()-1,60),ROW()-1,FALSE))</f>
        <v/>
      </c>
      <c r="J548" t="str">
        <f ca="1">IF(AND(ISNUMBER($J$1207),$B$677=1),$J$1207,HLOOKUP(INDIRECT(ADDRESS(2,COLUMN())),OFFSET($BN$2,0,0,ROW()-1,60),ROW()-1,FALSE))</f>
        <v/>
      </c>
      <c r="K548" t="str">
        <f ca="1">IF(AND(ISNUMBER($K$1207),$B$677=1),$K$1207,HLOOKUP(INDIRECT(ADDRESS(2,COLUMN())),OFFSET($BN$2,0,0,ROW()-1,60),ROW()-1,FALSE))</f>
        <v/>
      </c>
      <c r="L548" t="str">
        <f ca="1">IF(AND(ISNUMBER($L$1207),$B$677=1),$L$1207,HLOOKUP(INDIRECT(ADDRESS(2,COLUMN())),OFFSET($BN$2,0,0,ROW()-1,60),ROW()-1,FALSE))</f>
        <v/>
      </c>
      <c r="M548" t="str">
        <f ca="1">IF(AND(ISNUMBER($M$1207),$B$677=1),$M$1207,HLOOKUP(INDIRECT(ADDRESS(2,COLUMN())),OFFSET($BN$2,0,0,ROW()-1,60),ROW()-1,FALSE))</f>
        <v/>
      </c>
      <c r="N548" t="str">
        <f ca="1">IF(AND(ISNUMBER($N$1207),$B$677=1),$N$1207,HLOOKUP(INDIRECT(ADDRESS(2,COLUMN())),OFFSET($BN$2,0,0,ROW()-1,60),ROW()-1,FALSE))</f>
        <v/>
      </c>
      <c r="O548" t="str">
        <f ca="1">IF(AND(ISNUMBER($O$1207),$B$677=1),$O$1207,HLOOKUP(INDIRECT(ADDRESS(2,COLUMN())),OFFSET($BN$2,0,0,ROW()-1,60),ROW()-1,FALSE))</f>
        <v/>
      </c>
      <c r="P548" t="str">
        <f ca="1">IF(AND(ISNUMBER($P$1207),$B$677=1),$P$1207,HLOOKUP(INDIRECT(ADDRESS(2,COLUMN())),OFFSET($BN$2,0,0,ROW()-1,60),ROW()-1,FALSE))</f>
        <v/>
      </c>
      <c r="Q548" t="str">
        <f ca="1">IF(AND(ISNUMBER($Q$1207),$B$677=1),$Q$1207,HLOOKUP(INDIRECT(ADDRESS(2,COLUMN())),OFFSET($BN$2,0,0,ROW()-1,60),ROW()-1,FALSE))</f>
        <v/>
      </c>
      <c r="R548" t="str">
        <f ca="1">IF(AND(ISNUMBER($R$1207),$B$677=1),$R$1207,HLOOKUP(INDIRECT(ADDRESS(2,COLUMN())),OFFSET($BN$2,0,0,ROW()-1,60),ROW()-1,FALSE))</f>
        <v/>
      </c>
      <c r="S548" t="str">
        <f ca="1">IF(AND(ISNUMBER($S$1207),$B$677=1),$S$1207,HLOOKUP(INDIRECT(ADDRESS(2,COLUMN())),OFFSET($BN$2,0,0,ROW()-1,60),ROW()-1,FALSE))</f>
        <v/>
      </c>
      <c r="T548" t="str">
        <f ca="1">IF(AND(ISNUMBER($T$1207),$B$677=1),$T$1207,HLOOKUP(INDIRECT(ADDRESS(2,COLUMN())),OFFSET($BN$2,0,0,ROW()-1,60),ROW()-1,FALSE))</f>
        <v/>
      </c>
      <c r="U548" t="str">
        <f ca="1">IF(AND(ISNUMBER($U$1207),$B$677=1),$U$1207,HLOOKUP(INDIRECT(ADDRESS(2,COLUMN())),OFFSET($BN$2,0,0,ROW()-1,60),ROW()-1,FALSE))</f>
        <v/>
      </c>
      <c r="V548" t="str">
        <f ca="1">IF(AND(ISNUMBER($V$1207),$B$677=1),$V$1207,HLOOKUP(INDIRECT(ADDRESS(2,COLUMN())),OFFSET($BN$2,0,0,ROW()-1,60),ROW()-1,FALSE))</f>
        <v/>
      </c>
      <c r="W548" t="str">
        <f ca="1">IF(AND(ISNUMBER($W$1207),$B$677=1),$W$1207,HLOOKUP(INDIRECT(ADDRESS(2,COLUMN())),OFFSET($BN$2,0,0,ROW()-1,60),ROW()-1,FALSE))</f>
        <v/>
      </c>
      <c r="X548" t="str">
        <f ca="1">IF(AND(ISNUMBER($X$1207),$B$677=1),$X$1207,HLOOKUP(INDIRECT(ADDRESS(2,COLUMN())),OFFSET($BN$2,0,0,ROW()-1,60),ROW()-1,FALSE))</f>
        <v/>
      </c>
      <c r="Y548" t="str">
        <f ca="1">IF(AND(ISNUMBER($Y$1207),$B$677=1),$Y$1207,HLOOKUP(INDIRECT(ADDRESS(2,COLUMN())),OFFSET($BN$2,0,0,ROW()-1,60),ROW()-1,FALSE))</f>
        <v/>
      </c>
      <c r="Z548" t="str">
        <f ca="1">IF(AND(ISNUMBER($Z$1207),$B$677=1),$Z$1207,HLOOKUP(INDIRECT(ADDRESS(2,COLUMN())),OFFSET($BN$2,0,0,ROW()-1,60),ROW()-1,FALSE))</f>
        <v/>
      </c>
      <c r="AA548" t="str">
        <f ca="1">IF(AND(ISNUMBER($AA$1207),$B$677=1),$AA$1207,HLOOKUP(INDIRECT(ADDRESS(2,COLUMN())),OFFSET($BN$2,0,0,ROW()-1,60),ROW()-1,FALSE))</f>
        <v/>
      </c>
      <c r="AB548" t="str">
        <f ca="1">IF(AND(ISNUMBER($AB$1207),$B$677=1),$AB$1207,HLOOKUP(INDIRECT(ADDRESS(2,COLUMN())),OFFSET($BN$2,0,0,ROW()-1,60),ROW()-1,FALSE))</f>
        <v/>
      </c>
      <c r="AC548" t="str">
        <f ca="1">IF(AND(ISNUMBER($AC$1207),$B$677=1),$AC$1207,HLOOKUP(INDIRECT(ADDRESS(2,COLUMN())),OFFSET($BN$2,0,0,ROW()-1,60),ROW()-1,FALSE))</f>
        <v/>
      </c>
      <c r="AD548" t="str">
        <f ca="1">IF(AND(ISNUMBER($AD$1207),$B$677=1),$AD$1207,HLOOKUP(INDIRECT(ADDRESS(2,COLUMN())),OFFSET($BN$2,0,0,ROW()-1,60),ROW()-1,FALSE))</f>
        <v/>
      </c>
      <c r="AE548" t="str">
        <f ca="1">IF(AND(ISNUMBER($AE$1207),$B$677=1),$AE$1207,HLOOKUP(INDIRECT(ADDRESS(2,COLUMN())),OFFSET($BN$2,0,0,ROW()-1,60),ROW()-1,FALSE))</f>
        <v/>
      </c>
      <c r="AF548" t="str">
        <f ca="1">IF(AND(ISNUMBER($AF$1207),$B$677=1),$AF$1207,HLOOKUP(INDIRECT(ADDRESS(2,COLUMN())),OFFSET($BN$2,0,0,ROW()-1,60),ROW()-1,FALSE))</f>
        <v/>
      </c>
      <c r="AG548" t="str">
        <f ca="1">IF(AND(ISNUMBER($AG$1207),$B$677=1),$AG$1207,HLOOKUP(INDIRECT(ADDRESS(2,COLUMN())),OFFSET($BN$2,0,0,ROW()-1,60),ROW()-1,FALSE))</f>
        <v/>
      </c>
      <c r="AH548" t="str">
        <f ca="1">IF(AND(ISNUMBER($AH$1207),$B$677=1),$AH$1207,HLOOKUP(INDIRECT(ADDRESS(2,COLUMN())),OFFSET($BN$2,0,0,ROW()-1,60),ROW()-1,FALSE))</f>
        <v/>
      </c>
      <c r="AI548" t="str">
        <f ca="1">IF(AND(ISNUMBER($AI$1207),$B$677=1),$AI$1207,HLOOKUP(INDIRECT(ADDRESS(2,COLUMN())),OFFSET($BN$2,0,0,ROW()-1,60),ROW()-1,FALSE))</f>
        <v/>
      </c>
      <c r="AJ548" t="str">
        <f ca="1">IF(AND(ISNUMBER($AJ$1207),$B$677=1),$AJ$1207,HLOOKUP(INDIRECT(ADDRESS(2,COLUMN())),OFFSET($BN$2,0,0,ROW()-1,60),ROW()-1,FALSE))</f>
        <v/>
      </c>
      <c r="AK548" t="str">
        <f ca="1">IF(AND(ISNUMBER($AK$1207),$B$677=1),$AK$1207,HLOOKUP(INDIRECT(ADDRESS(2,COLUMN())),OFFSET($BN$2,0,0,ROW()-1,60),ROW()-1,FALSE))</f>
        <v/>
      </c>
      <c r="AL548" t="str">
        <f ca="1">IF(AND(ISNUMBER($AL$1207),$B$677=1),$AL$1207,HLOOKUP(INDIRECT(ADDRESS(2,COLUMN())),OFFSET($BN$2,0,0,ROW()-1,60),ROW()-1,FALSE))</f>
        <v/>
      </c>
      <c r="AM548" t="str">
        <f ca="1">IF(AND(ISNUMBER($AM$1207),$B$677=1),$AM$1207,HLOOKUP(INDIRECT(ADDRESS(2,COLUMN())),OFFSET($BN$2,0,0,ROW()-1,60),ROW()-1,FALSE))</f>
        <v/>
      </c>
      <c r="AN548" t="str">
        <f ca="1">IF(AND(ISNUMBER($AN$1207),$B$677=1),$AN$1207,HLOOKUP(INDIRECT(ADDRESS(2,COLUMN())),OFFSET($BN$2,0,0,ROW()-1,60),ROW()-1,FALSE))</f>
        <v/>
      </c>
      <c r="AO548" t="str">
        <f ca="1">IF(AND(ISNUMBER($AO$1207),$B$677=1),$AO$1207,HLOOKUP(INDIRECT(ADDRESS(2,COLUMN())),OFFSET($BN$2,0,0,ROW()-1,60),ROW()-1,FALSE))</f>
        <v/>
      </c>
      <c r="AP548" t="str">
        <f ca="1">IF(AND(ISNUMBER($AP$1207),$B$677=1),$AP$1207,HLOOKUP(INDIRECT(ADDRESS(2,COLUMN())),OFFSET($BN$2,0,0,ROW()-1,60),ROW()-1,FALSE))</f>
        <v/>
      </c>
      <c r="AQ548" t="str">
        <f ca="1">IF(AND(ISNUMBER($AQ$1207),$B$677=1),$AQ$1207,HLOOKUP(INDIRECT(ADDRESS(2,COLUMN())),OFFSET($BN$2,0,0,ROW()-1,60),ROW()-1,FALSE))</f>
        <v/>
      </c>
      <c r="AR548" t="str">
        <f ca="1">IF(AND(ISNUMBER($AR$1207),$B$677=1),$AR$1207,HLOOKUP(INDIRECT(ADDRESS(2,COLUMN())),OFFSET($BN$2,0,0,ROW()-1,60),ROW()-1,FALSE))</f>
        <v/>
      </c>
      <c r="AS548" t="str">
        <f ca="1">IF(AND(ISNUMBER($AS$1207),$B$677=1),$AS$1207,HLOOKUP(INDIRECT(ADDRESS(2,COLUMN())),OFFSET($BN$2,0,0,ROW()-1,60),ROW()-1,FALSE))</f>
        <v/>
      </c>
      <c r="AT548" t="str">
        <f ca="1">IF(AND(ISNUMBER($AT$1207),$B$677=1),$AT$1207,HLOOKUP(INDIRECT(ADDRESS(2,COLUMN())),OFFSET($BN$2,0,0,ROW()-1,60),ROW()-1,FALSE))</f>
        <v/>
      </c>
      <c r="AU548" t="str">
        <f ca="1">IF(AND(ISNUMBER($AU$1207),$B$677=1),$AU$1207,HLOOKUP(INDIRECT(ADDRESS(2,COLUMN())),OFFSET($BN$2,0,0,ROW()-1,60),ROW()-1,FALSE))</f>
        <v/>
      </c>
      <c r="AV548" t="str">
        <f ca="1">IF(AND(ISNUMBER($AV$1207),$B$677=1),$AV$1207,HLOOKUP(INDIRECT(ADDRESS(2,COLUMN())),OFFSET($BN$2,0,0,ROW()-1,60),ROW()-1,FALSE))</f>
        <v/>
      </c>
      <c r="AW548" t="str">
        <f ca="1">IF(AND(ISNUMBER($AW$1207),$B$677=1),$AW$1207,HLOOKUP(INDIRECT(ADDRESS(2,COLUMN())),OFFSET($BN$2,0,0,ROW()-1,60),ROW()-1,FALSE))</f>
        <v/>
      </c>
      <c r="AX548" t="str">
        <f ca="1">IF(AND(ISNUMBER($AX$1207),$B$677=1),$AX$1207,HLOOKUP(INDIRECT(ADDRESS(2,COLUMN())),OFFSET($BN$2,0,0,ROW()-1,60),ROW()-1,FALSE))</f>
        <v/>
      </c>
      <c r="AY548" t="str">
        <f ca="1">IF(AND(ISNUMBER($AY$1207),$B$677=1),$AY$1207,HLOOKUP(INDIRECT(ADDRESS(2,COLUMN())),OFFSET($BN$2,0,0,ROW()-1,60),ROW()-1,FALSE))</f>
        <v/>
      </c>
      <c r="AZ548" t="str">
        <f ca="1">IF(AND(ISNUMBER($AZ$1207),$B$677=1),$AZ$1207,HLOOKUP(INDIRECT(ADDRESS(2,COLUMN())),OFFSET($BN$2,0,0,ROW()-1,60),ROW()-1,FALSE))</f>
        <v/>
      </c>
      <c r="BA548" t="str">
        <f ca="1">IF(AND(ISNUMBER($BA$1207),$B$677=1),$BA$1207,HLOOKUP(INDIRECT(ADDRESS(2,COLUMN())),OFFSET($BN$2,0,0,ROW()-1,60),ROW()-1,FALSE))</f>
        <v/>
      </c>
      <c r="BB548" t="str">
        <f ca="1">IF(AND(ISNUMBER($BB$1207),$B$677=1),$BB$1207,HLOOKUP(INDIRECT(ADDRESS(2,COLUMN())),OFFSET($BN$2,0,0,ROW()-1,60),ROW()-1,FALSE))</f>
        <v/>
      </c>
      <c r="BC548" t="str">
        <f ca="1">IF(AND(ISNUMBER($BC$1207),$B$677=1),$BC$1207,HLOOKUP(INDIRECT(ADDRESS(2,COLUMN())),OFFSET($BN$2,0,0,ROW()-1,60),ROW()-1,FALSE))</f>
        <v/>
      </c>
      <c r="BD548" t="str">
        <f ca="1">IF(AND(ISNUMBER($BD$1207),$B$677=1),$BD$1207,HLOOKUP(INDIRECT(ADDRESS(2,COLUMN())),OFFSET($BN$2,0,0,ROW()-1,60),ROW()-1,FALSE))</f>
        <v/>
      </c>
      <c r="BE548" t="str">
        <f ca="1">IF(AND(ISNUMBER($BE$1207),$B$677=1),$BE$1207,HLOOKUP(INDIRECT(ADDRESS(2,COLUMN())),OFFSET($BN$2,0,0,ROW()-1,60),ROW()-1,FALSE))</f>
        <v/>
      </c>
      <c r="BF548" t="str">
        <f ca="1">IF(AND(ISNUMBER($BF$1207),$B$677=1),$BF$1207,HLOOKUP(INDIRECT(ADDRESS(2,COLUMN())),OFFSET($BN$2,0,0,ROW()-1,60),ROW()-1,FALSE))</f>
        <v/>
      </c>
      <c r="BG548" t="str">
        <f ca="1">IF(AND(ISNUMBER($BG$1207),$B$677=1),$BG$1207,HLOOKUP(INDIRECT(ADDRESS(2,COLUMN())),OFFSET($BN$2,0,0,ROW()-1,60),ROW()-1,FALSE))</f>
        <v/>
      </c>
      <c r="BH548" t="str">
        <f ca="1">IF(AND(ISNUMBER($BH$1207),$B$677=1),$BH$1207,HLOOKUP(INDIRECT(ADDRESS(2,COLUMN())),OFFSET($BN$2,0,0,ROW()-1,60),ROW()-1,FALSE))</f>
        <v/>
      </c>
      <c r="BI548" t="str">
        <f ca="1">IF(AND(ISNUMBER($BI$1207),$B$677=1),$BI$1207,HLOOKUP(INDIRECT(ADDRESS(2,COLUMN())),OFFSET($BN$2,0,0,ROW()-1,60),ROW()-1,FALSE))</f>
        <v/>
      </c>
      <c r="BJ548" t="str">
        <f ca="1">IF(AND(ISNUMBER($BJ$1207),$B$677=1),$BJ$1207,HLOOKUP(INDIRECT(ADDRESS(2,COLUMN())),OFFSET($BN$2,0,0,ROW()-1,60),ROW()-1,FALSE))</f>
        <v/>
      </c>
      <c r="BK548" t="str">
        <f ca="1">IF(AND(ISNUMBER($BK$1207),$B$677=1),$BK$1207,HLOOKUP(INDIRECT(ADDRESS(2,COLUMN())),OFFSET($BN$2,0,0,ROW()-1,60),ROW()-1,FALSE))</f>
        <v/>
      </c>
      <c r="BL548" t="str">
        <f ca="1">IF(AND(ISNUMBER($BL$1207),$B$677=1),$BL$1207,HLOOKUP(INDIRECT(ADDRESS(2,COLUMN())),OFFSET($BN$2,0,0,ROW()-1,60),ROW()-1,FALSE))</f>
        <v/>
      </c>
      <c r="BM548" t="str">
        <f ca="1">IF(AND(ISNUMBER($BM$1207),$B$677=1),$BM$1207,HLOOKUP(INDIRECT(ADDRESS(2,COLUMN())),OFFSET($BN$2,0,0,ROW()-1,60),ROW()-1,FALSE))</f>
        <v/>
      </c>
      <c r="BN548" t="str">
        <f>""</f>
        <v/>
      </c>
      <c r="BO548" t="str">
        <f>""</f>
        <v/>
      </c>
      <c r="BP548" t="str">
        <f>""</f>
        <v/>
      </c>
      <c r="BQ548" t="str">
        <f>""</f>
        <v/>
      </c>
      <c r="BR548" t="str">
        <f>""</f>
        <v/>
      </c>
      <c r="BS548" t="str">
        <f>""</f>
        <v/>
      </c>
      <c r="BT548" t="str">
        <f>""</f>
        <v/>
      </c>
      <c r="BU548" t="str">
        <f>""</f>
        <v/>
      </c>
      <c r="BV548" t="str">
        <f>""</f>
        <v/>
      </c>
      <c r="BW548" t="str">
        <f>""</f>
        <v/>
      </c>
      <c r="BX548" t="str">
        <f>""</f>
        <v/>
      </c>
      <c r="BY548" t="str">
        <f>""</f>
        <v/>
      </c>
      <c r="BZ548" t="str">
        <f>""</f>
        <v/>
      </c>
      <c r="CA548" t="str">
        <f>""</f>
        <v/>
      </c>
      <c r="CB548" t="str">
        <f>""</f>
        <v/>
      </c>
      <c r="CC548" t="str">
        <f>""</f>
        <v/>
      </c>
      <c r="CD548" t="str">
        <f>""</f>
        <v/>
      </c>
      <c r="CE548" t="str">
        <f>""</f>
        <v/>
      </c>
      <c r="CF548" t="str">
        <f>""</f>
        <v/>
      </c>
      <c r="CG548" t="str">
        <f>""</f>
        <v/>
      </c>
      <c r="CH548" t="str">
        <f>""</f>
        <v/>
      </c>
      <c r="CI548" t="str">
        <f>""</f>
        <v/>
      </c>
      <c r="CJ548" t="str">
        <f>""</f>
        <v/>
      </c>
      <c r="CK548" t="str">
        <f>""</f>
        <v/>
      </c>
      <c r="CL548" t="str">
        <f>""</f>
        <v/>
      </c>
      <c r="CM548" t="str">
        <f>""</f>
        <v/>
      </c>
      <c r="CN548" t="str">
        <f>""</f>
        <v/>
      </c>
      <c r="CO548" t="str">
        <f>""</f>
        <v/>
      </c>
      <c r="CP548" t="str">
        <f>""</f>
        <v/>
      </c>
      <c r="CQ548" t="str">
        <f>""</f>
        <v/>
      </c>
      <c r="CR548" t="str">
        <f>""</f>
        <v/>
      </c>
      <c r="CS548" t="str">
        <f>""</f>
        <v/>
      </c>
      <c r="CT548" t="str">
        <f>""</f>
        <v/>
      </c>
      <c r="CU548" t="str">
        <f>""</f>
        <v/>
      </c>
      <c r="CV548" t="str">
        <f>""</f>
        <v/>
      </c>
      <c r="CW548" t="str">
        <f>""</f>
        <v/>
      </c>
      <c r="CX548" t="str">
        <f>""</f>
        <v/>
      </c>
      <c r="CY548" t="str">
        <f>""</f>
        <v/>
      </c>
      <c r="CZ548" t="str">
        <f>""</f>
        <v/>
      </c>
      <c r="DA548" t="str">
        <f>""</f>
        <v/>
      </c>
      <c r="DB548" t="str">
        <f>""</f>
        <v/>
      </c>
      <c r="DC548" t="str">
        <f>""</f>
        <v/>
      </c>
      <c r="DD548" t="str">
        <f>""</f>
        <v/>
      </c>
      <c r="DE548" t="str">
        <f>""</f>
        <v/>
      </c>
      <c r="DF548" t="str">
        <f>""</f>
        <v/>
      </c>
      <c r="DG548" t="str">
        <f>""</f>
        <v/>
      </c>
      <c r="DH548" t="str">
        <f>""</f>
        <v/>
      </c>
      <c r="DI548" t="str">
        <f>""</f>
        <v/>
      </c>
      <c r="DJ548" t="str">
        <f>""</f>
        <v/>
      </c>
      <c r="DK548" t="str">
        <f>""</f>
        <v/>
      </c>
      <c r="DL548" t="str">
        <f>""</f>
        <v/>
      </c>
      <c r="DM548" t="str">
        <f>""</f>
        <v/>
      </c>
      <c r="DN548" t="str">
        <f>""</f>
        <v/>
      </c>
      <c r="DO548" t="str">
        <f>""</f>
        <v/>
      </c>
      <c r="DP548" t="str">
        <f>""</f>
        <v/>
      </c>
      <c r="DQ548" t="str">
        <f>""</f>
        <v/>
      </c>
      <c r="DR548" t="str">
        <f>""</f>
        <v/>
      </c>
      <c r="DS548" t="str">
        <f>""</f>
        <v/>
      </c>
      <c r="DT548" t="str">
        <f>""</f>
        <v/>
      </c>
      <c r="DU548" t="str">
        <f>""</f>
        <v/>
      </c>
    </row>
    <row r="549" spans="1:125" x14ac:dyDescent="0.25">
      <c r="A549" t="str">
        <f>"    DRB-Hicom Bhd"</f>
        <v xml:space="preserve">    DRB-Hicom Bhd</v>
      </c>
      <c r="B549" t="str">
        <f>"DRB MK Equity"</f>
        <v>DRB MK Equity</v>
      </c>
      <c r="C549" t="str">
        <f t="shared" si="39"/>
        <v>RX076</v>
      </c>
      <c r="D549" t="str">
        <f t="shared" si="40"/>
        <v>EBIT_YIELD</v>
      </c>
      <c r="E549" t="str">
        <f t="shared" si="41"/>
        <v>Dynamic</v>
      </c>
      <c r="F549" t="str">
        <f ca="1">IF(AND(ISNUMBER($F$1208),$B$677=1),$F$1208,HLOOKUP(INDIRECT(ADDRESS(2,COLUMN())),OFFSET($BN$2,0,0,ROW()-1,60),ROW()-1,FALSE))</f>
        <v/>
      </c>
      <c r="G549">
        <f ca="1">IF(AND(ISNUMBER($G$1208),$B$677=1),$G$1208,HLOOKUP(INDIRECT(ADDRESS(2,COLUMN())),OFFSET($BN$2,0,0,ROW()-1,60),ROW()-1,FALSE))</f>
        <v>-17.694354570000002</v>
      </c>
      <c r="H549">
        <f ca="1">IF(AND(ISNUMBER($H$1208),$B$677=1),$H$1208,HLOOKUP(INDIRECT(ADDRESS(2,COLUMN())),OFFSET($BN$2,0,0,ROW()-1,60),ROW()-1,FALSE))</f>
        <v>-13.69885515</v>
      </c>
      <c r="I549">
        <f ca="1">IF(AND(ISNUMBER($I$1208),$B$677=1),$I$1208,HLOOKUP(INDIRECT(ADDRESS(2,COLUMN())),OFFSET($BN$2,0,0,ROW()-1,60),ROW()-1,FALSE))</f>
        <v>7.8886671760000002</v>
      </c>
      <c r="J549">
        <f ca="1">IF(AND(ISNUMBER($J$1208),$B$677=1),$J$1208,HLOOKUP(INDIRECT(ADDRESS(2,COLUMN())),OFFSET($BN$2,0,0,ROW()-1,60),ROW()-1,FALSE))</f>
        <v>6.252085127</v>
      </c>
      <c r="K549">
        <f ca="1">IF(AND(ISNUMBER($K$1208),$B$677=1),$K$1208,HLOOKUP(INDIRECT(ADDRESS(2,COLUMN())),OFFSET($BN$2,0,0,ROW()-1,60),ROW()-1,FALSE))</f>
        <v>6.2137070139999997</v>
      </c>
      <c r="L549">
        <f ca="1">IF(AND(ISNUMBER($L$1208),$B$677=1),$L$1208,HLOOKUP(INDIRECT(ADDRESS(2,COLUMN())),OFFSET($BN$2,0,0,ROW()-1,60),ROW()-1,FALSE))</f>
        <v>31.181625629999999</v>
      </c>
      <c r="M549">
        <f ca="1">IF(AND(ISNUMBER($M$1208),$B$677=1),$M$1208,HLOOKUP(INDIRECT(ADDRESS(2,COLUMN())),OFFSET($BN$2,0,0,ROW()-1,60),ROW()-1,FALSE))</f>
        <v>-1.423269291</v>
      </c>
      <c r="N549">
        <f ca="1">IF(AND(ISNUMBER($N$1208),$B$677=1),$N$1208,HLOOKUP(INDIRECT(ADDRESS(2,COLUMN())),OFFSET($BN$2,0,0,ROW()-1,60),ROW()-1,FALSE))</f>
        <v>-3.0690199169999999</v>
      </c>
      <c r="O549">
        <f ca="1">IF(AND(ISNUMBER($O$1208),$B$677=1),$O$1208,HLOOKUP(INDIRECT(ADDRESS(2,COLUMN())),OFFSET($BN$2,0,0,ROW()-1,60),ROW()-1,FALSE))</f>
        <v>-19.520268000000002</v>
      </c>
      <c r="P549">
        <f ca="1">IF(AND(ISNUMBER($P$1208),$B$677=1),$P$1208,HLOOKUP(INDIRECT(ADDRESS(2,COLUMN())),OFFSET($BN$2,0,0,ROW()-1,60),ROW()-1,FALSE))</f>
        <v>-35.143273100000002</v>
      </c>
      <c r="Q549">
        <f ca="1">IF(AND(ISNUMBER($Q$1208),$B$677=1),$Q$1208,HLOOKUP(INDIRECT(ADDRESS(2,COLUMN())),OFFSET($BN$2,0,0,ROW()-1,60),ROW()-1,FALSE))</f>
        <v>-42.48711703</v>
      </c>
      <c r="R549">
        <f ca="1">IF(AND(ISNUMBER($R$1208),$B$677=1),$R$1208,HLOOKUP(INDIRECT(ADDRESS(2,COLUMN())),OFFSET($BN$2,0,0,ROW()-1,60),ROW()-1,FALSE))</f>
        <v>-32.153427690000001</v>
      </c>
      <c r="S549">
        <f ca="1">IF(AND(ISNUMBER($S$1208),$B$677=1),$S$1208,HLOOKUP(INDIRECT(ADDRESS(2,COLUMN())),OFFSET($BN$2,0,0,ROW()-1,60),ROW()-1,FALSE))</f>
        <v>1.379518126</v>
      </c>
      <c r="T549">
        <f ca="1">IF(AND(ISNUMBER($T$1208),$B$677=1),$T$1208,HLOOKUP(INDIRECT(ADDRESS(2,COLUMN())),OFFSET($BN$2,0,0,ROW()-1,60),ROW()-1,FALSE))</f>
        <v>7.830763535</v>
      </c>
      <c r="U549">
        <f ca="1">IF(AND(ISNUMBER($U$1208),$B$677=1),$U$1208,HLOOKUP(INDIRECT(ADDRESS(2,COLUMN())),OFFSET($BN$2,0,0,ROW()-1,60),ROW()-1,FALSE))</f>
        <v>10.94329089</v>
      </c>
      <c r="V549">
        <f ca="1">IF(AND(ISNUMBER($V$1208),$B$677=1),$V$1208,HLOOKUP(INDIRECT(ADDRESS(2,COLUMN())),OFFSET($BN$2,0,0,ROW()-1,60),ROW()-1,FALSE))</f>
        <v>13.064172749999999</v>
      </c>
      <c r="W549">
        <f ca="1">IF(AND(ISNUMBER($W$1208),$B$677=1),$W$1208,HLOOKUP(INDIRECT(ADDRESS(2,COLUMN())),OFFSET($BN$2,0,0,ROW()-1,60),ROW()-1,FALSE))</f>
        <v>23.454991369999998</v>
      </c>
      <c r="X549">
        <f ca="1">IF(AND(ISNUMBER($X$1208),$B$677=1),$X$1208,HLOOKUP(INDIRECT(ADDRESS(2,COLUMN())),OFFSET($BN$2,0,0,ROW()-1,60),ROW()-1,FALSE))</f>
        <v>19.354866399999999</v>
      </c>
      <c r="Y549">
        <f ca="1">IF(AND(ISNUMBER($Y$1208),$B$677=1),$Y$1208,HLOOKUP(INDIRECT(ADDRESS(2,COLUMN())),OFFSET($BN$2,0,0,ROW()-1,60),ROW()-1,FALSE))</f>
        <v>21.51892213</v>
      </c>
      <c r="Z549">
        <f ca="1">IF(AND(ISNUMBER($Z$1208),$B$677=1),$Z$1208,HLOOKUP(INDIRECT(ADDRESS(2,COLUMN())),OFFSET($BN$2,0,0,ROW()-1,60),ROW()-1,FALSE))</f>
        <v>18.572152540000001</v>
      </c>
      <c r="AA549">
        <f ca="1">IF(AND(ISNUMBER($AA$1208),$B$677=1),$AA$1208,HLOOKUP(INDIRECT(ADDRESS(2,COLUMN())),OFFSET($BN$2,0,0,ROW()-1,60),ROW()-1,FALSE))</f>
        <v>16.683351470000002</v>
      </c>
      <c r="AB549">
        <f ca="1">IF(AND(ISNUMBER($AB$1208),$B$677=1),$AB$1208,HLOOKUP(INDIRECT(ADDRESS(2,COLUMN())),OFFSET($BN$2,0,0,ROW()-1,60),ROW()-1,FALSE))</f>
        <v>15.43206269</v>
      </c>
      <c r="AC549">
        <f ca="1">IF(AND(ISNUMBER($AC$1208),$B$677=1),$AC$1208,HLOOKUP(INDIRECT(ADDRESS(2,COLUMN())),OFFSET($BN$2,0,0,ROW()-1,60),ROW()-1,FALSE))</f>
        <v>13.854260379999999</v>
      </c>
      <c r="AD549">
        <f ca="1">IF(AND(ISNUMBER($AD$1208),$B$677=1),$AD$1208,HLOOKUP(INDIRECT(ADDRESS(2,COLUMN())),OFFSET($BN$2,0,0,ROW()-1,60),ROW()-1,FALSE))</f>
        <v>13.812096159999999</v>
      </c>
      <c r="AE549">
        <f ca="1">IF(AND(ISNUMBER($AE$1208),$B$677=1),$AE$1208,HLOOKUP(INDIRECT(ADDRESS(2,COLUMN())),OFFSET($BN$2,0,0,ROW()-1,60),ROW()-1,FALSE))</f>
        <v>32.445629570000001</v>
      </c>
      <c r="AF549">
        <f ca="1">IF(AND(ISNUMBER($AF$1208),$B$677=1),$AF$1208,HLOOKUP(INDIRECT(ADDRESS(2,COLUMN())),OFFSET($BN$2,0,0,ROW()-1,60),ROW()-1,FALSE))</f>
        <v>39.794427730000002</v>
      </c>
      <c r="AG549">
        <f ca="1">IF(AND(ISNUMBER($AG$1208),$B$677=1),$AG$1208,HLOOKUP(INDIRECT(ADDRESS(2,COLUMN())),OFFSET($BN$2,0,0,ROW()-1,60),ROW()-1,FALSE))</f>
        <v>35.690366210000001</v>
      </c>
      <c r="AH549">
        <f ca="1">IF(AND(ISNUMBER($AH$1208),$B$677=1),$AH$1208,HLOOKUP(INDIRECT(ADDRESS(2,COLUMN())),OFFSET($BN$2,0,0,ROW()-1,60),ROW()-1,FALSE))</f>
        <v>36.59451636</v>
      </c>
      <c r="AI549">
        <f ca="1">IF(AND(ISNUMBER($AI$1208),$B$677=1),$AI$1208,HLOOKUP(INDIRECT(ADDRESS(2,COLUMN())),OFFSET($BN$2,0,0,ROW()-1,60),ROW()-1,FALSE))</f>
        <v>12.13278</v>
      </c>
      <c r="AJ549">
        <f ca="1">IF(AND(ISNUMBER($AJ$1208),$B$677=1),$AJ$1208,HLOOKUP(INDIRECT(ADDRESS(2,COLUMN())),OFFSET($BN$2,0,0,ROW()-1,60),ROW()-1,FALSE))</f>
        <v>14.72677423</v>
      </c>
      <c r="AK549">
        <f ca="1">IF(AND(ISNUMBER($AK$1208),$B$677=1),$AK$1208,HLOOKUP(INDIRECT(ADDRESS(2,COLUMN())),OFFSET($BN$2,0,0,ROW()-1,60),ROW()-1,FALSE))</f>
        <v>11.47836322</v>
      </c>
      <c r="AL549">
        <f ca="1">IF(AND(ISNUMBER($AL$1208),$B$677=1),$AL$1208,HLOOKUP(INDIRECT(ADDRESS(2,COLUMN())),OFFSET($BN$2,0,0,ROW()-1,60),ROW()-1,FALSE))</f>
        <v>12.38427525</v>
      </c>
      <c r="AM549">
        <f ca="1">IF(AND(ISNUMBER($AM$1208),$B$677=1),$AM$1208,HLOOKUP(INDIRECT(ADDRESS(2,COLUMN())),OFFSET($BN$2,0,0,ROW()-1,60),ROW()-1,FALSE))</f>
        <v>14.51592948</v>
      </c>
      <c r="AN549">
        <f ca="1">IF(AND(ISNUMBER($AN$1208),$B$677=1),$AN$1208,HLOOKUP(INDIRECT(ADDRESS(2,COLUMN())),OFFSET($BN$2,0,0,ROW()-1,60),ROW()-1,FALSE))</f>
        <v>23.164216289999999</v>
      </c>
      <c r="AO549">
        <f ca="1">IF(AND(ISNUMBER($AO$1208),$B$677=1),$AO$1208,HLOOKUP(INDIRECT(ADDRESS(2,COLUMN())),OFFSET($BN$2,0,0,ROW()-1,60),ROW()-1,FALSE))</f>
        <v>24.046755220000001</v>
      </c>
      <c r="AP549">
        <f ca="1">IF(AND(ISNUMBER($AP$1208),$B$677=1),$AP$1208,HLOOKUP(INDIRECT(ADDRESS(2,COLUMN())),OFFSET($BN$2,0,0,ROW()-1,60),ROW()-1,FALSE))</f>
        <v>17.221651810000001</v>
      </c>
      <c r="AQ549">
        <f ca="1">IF(AND(ISNUMBER($AQ$1208),$B$677=1),$AQ$1208,HLOOKUP(INDIRECT(ADDRESS(2,COLUMN())),OFFSET($BN$2,0,0,ROW()-1,60),ROW()-1,FALSE))</f>
        <v>11.64310296</v>
      </c>
      <c r="AR549">
        <f ca="1">IF(AND(ISNUMBER($AR$1208),$B$677=1),$AR$1208,HLOOKUP(INDIRECT(ADDRESS(2,COLUMN())),OFFSET($BN$2,0,0,ROW()-1,60),ROW()-1,FALSE))</f>
        <v>10.16000109</v>
      </c>
      <c r="AS549">
        <f ca="1">IF(AND(ISNUMBER($AS$1208),$B$677=1),$AS$1208,HLOOKUP(INDIRECT(ADDRESS(2,COLUMN())),OFFSET($BN$2,0,0,ROW()-1,60),ROW()-1,FALSE))</f>
        <v>14.7645926</v>
      </c>
      <c r="AT549">
        <f ca="1">IF(AND(ISNUMBER($AT$1208),$B$677=1),$AT$1208,HLOOKUP(INDIRECT(ADDRESS(2,COLUMN())),OFFSET($BN$2,0,0,ROW()-1,60),ROW()-1,FALSE))</f>
        <v>105.5797213</v>
      </c>
      <c r="AU549">
        <f ca="1">IF(AND(ISNUMBER($AU$1208),$B$677=1),$AU$1208,HLOOKUP(INDIRECT(ADDRESS(2,COLUMN())),OFFSET($BN$2,0,0,ROW()-1,60),ROW()-1,FALSE))</f>
        <v>111.26303710000001</v>
      </c>
      <c r="AV549">
        <f ca="1">IF(AND(ISNUMBER($AV$1208),$B$677=1),$AV$1208,HLOOKUP(INDIRECT(ADDRESS(2,COLUMN())),OFFSET($BN$2,0,0,ROW()-1,60),ROW()-1,FALSE))</f>
        <v>102.5514168</v>
      </c>
      <c r="AW549">
        <f ca="1">IF(AND(ISNUMBER($AW$1208),$B$677=1),$AW$1208,HLOOKUP(INDIRECT(ADDRESS(2,COLUMN())),OFFSET($BN$2,0,0,ROW()-1,60),ROW()-1,FALSE))</f>
        <v>92.431560619999999</v>
      </c>
      <c r="AX549">
        <f ca="1">IF(AND(ISNUMBER($AX$1208),$B$677=1),$AX$1208,HLOOKUP(INDIRECT(ADDRESS(2,COLUMN())),OFFSET($BN$2,0,0,ROW()-1,60),ROW()-1,FALSE))</f>
        <v>26.57391522</v>
      </c>
      <c r="AY549">
        <f ca="1">IF(AND(ISNUMBER($AY$1208),$B$677=1),$AY$1208,HLOOKUP(INDIRECT(ADDRESS(2,COLUMN())),OFFSET($BN$2,0,0,ROW()-1,60),ROW()-1,FALSE))</f>
        <v>30.534766059999999</v>
      </c>
      <c r="AZ549">
        <f ca="1">IF(AND(ISNUMBER($AZ$1208),$B$677=1),$AZ$1208,HLOOKUP(INDIRECT(ADDRESS(2,COLUMN())),OFFSET($BN$2,0,0,ROW()-1,60),ROW()-1,FALSE))</f>
        <v>19.614008009999999</v>
      </c>
      <c r="BA549">
        <f ca="1">IF(AND(ISNUMBER($BA$1208),$B$677=1),$BA$1208,HLOOKUP(INDIRECT(ADDRESS(2,COLUMN())),OFFSET($BN$2,0,0,ROW()-1,60),ROW()-1,FALSE))</f>
        <v>20.679909550000001</v>
      </c>
      <c r="BB549">
        <f ca="1">IF(AND(ISNUMBER($BB$1208),$B$677=1),$BB$1208,HLOOKUP(INDIRECT(ADDRESS(2,COLUMN())),OFFSET($BN$2,0,0,ROW()-1,60),ROW()-1,FALSE))</f>
        <v>17.47493347</v>
      </c>
      <c r="BC549">
        <f ca="1">IF(AND(ISNUMBER($BC$1208),$B$677=1),$BC$1208,HLOOKUP(INDIRECT(ADDRESS(2,COLUMN())),OFFSET($BN$2,0,0,ROW()-1,60),ROW()-1,FALSE))</f>
        <v>-1.8266530459999999</v>
      </c>
      <c r="BD549">
        <f ca="1">IF(AND(ISNUMBER($BD$1208),$B$677=1),$BD$1208,HLOOKUP(INDIRECT(ADDRESS(2,COLUMN())),OFFSET($BN$2,0,0,ROW()-1,60),ROW()-1,FALSE))</f>
        <v>-20.08143883</v>
      </c>
      <c r="BE549">
        <f ca="1">IF(AND(ISNUMBER($BE$1208),$B$677=1),$BE$1208,HLOOKUP(INDIRECT(ADDRESS(2,COLUMN())),OFFSET($BN$2,0,0,ROW()-1,60),ROW()-1,FALSE))</f>
        <v>-20.52023372</v>
      </c>
      <c r="BF549">
        <f ca="1">IF(AND(ISNUMBER($BF$1208),$B$677=1),$BF$1208,HLOOKUP(INDIRECT(ADDRESS(2,COLUMN())),OFFSET($BN$2,0,0,ROW()-1,60),ROW()-1,FALSE))</f>
        <v>-15.916371440000001</v>
      </c>
      <c r="BG549">
        <f ca="1">IF(AND(ISNUMBER($BG$1208),$B$677=1),$BG$1208,HLOOKUP(INDIRECT(ADDRESS(2,COLUMN())),OFFSET($BN$2,0,0,ROW()-1,60),ROW()-1,FALSE))</f>
        <v>-7.7102081350000002</v>
      </c>
      <c r="BH549">
        <f ca="1">IF(AND(ISNUMBER($BH$1208),$B$677=1),$BH$1208,HLOOKUP(INDIRECT(ADDRESS(2,COLUMN())),OFFSET($BN$2,0,0,ROW()-1,60),ROW()-1,FALSE))</f>
        <v>8.8761896060000005</v>
      </c>
      <c r="BI549">
        <f ca="1">IF(AND(ISNUMBER($BI$1208),$B$677=1),$BI$1208,HLOOKUP(INDIRECT(ADDRESS(2,COLUMN())),OFFSET($BN$2,0,0,ROW()-1,60),ROW()-1,FALSE))</f>
        <v>12.927567639999999</v>
      </c>
      <c r="BJ549">
        <f ca="1">IF(AND(ISNUMBER($BJ$1208),$B$677=1),$BJ$1208,HLOOKUP(INDIRECT(ADDRESS(2,COLUMN())),OFFSET($BN$2,0,0,ROW()-1,60),ROW()-1,FALSE))</f>
        <v>10.05578038</v>
      </c>
      <c r="BK549">
        <f ca="1">IF(AND(ISNUMBER($BK$1208),$B$677=1),$BK$1208,HLOOKUP(INDIRECT(ADDRESS(2,COLUMN())),OFFSET($BN$2,0,0,ROW()-1,60),ROW()-1,FALSE))</f>
        <v>10.2204908</v>
      </c>
      <c r="BL549">
        <f ca="1">IF(AND(ISNUMBER($BL$1208),$B$677=1),$BL$1208,HLOOKUP(INDIRECT(ADDRESS(2,COLUMN())),OFFSET($BN$2,0,0,ROW()-1,60),ROW()-1,FALSE))</f>
        <v>10.830868819999999</v>
      </c>
      <c r="BM549">
        <f ca="1">IF(AND(ISNUMBER($BM$1208),$B$677=1),$BM$1208,HLOOKUP(INDIRECT(ADDRESS(2,COLUMN())),OFFSET($BN$2,0,0,ROW()-1,60),ROW()-1,FALSE))</f>
        <v>12.8319302</v>
      </c>
      <c r="BN549" t="str">
        <f>""</f>
        <v/>
      </c>
      <c r="BO549">
        <f>-17.69435457</f>
        <v>-17.694354570000002</v>
      </c>
      <c r="BP549">
        <f>-13.69885515</f>
        <v>-13.69885515</v>
      </c>
      <c r="BQ549">
        <f>7.888667176</f>
        <v>7.8886671760000002</v>
      </c>
      <c r="BR549">
        <f>6.252085127</f>
        <v>6.252085127</v>
      </c>
      <c r="BS549">
        <f>6.213707014</f>
        <v>6.2137070139999997</v>
      </c>
      <c r="BT549">
        <f>31.18162563</f>
        <v>31.181625629999999</v>
      </c>
      <c r="BU549">
        <f>-1.423269291</f>
        <v>-1.423269291</v>
      </c>
      <c r="BV549">
        <f>-3.069019917</f>
        <v>-3.0690199169999999</v>
      </c>
      <c r="BW549">
        <f>-19.520268</f>
        <v>-19.520268000000002</v>
      </c>
      <c r="BX549">
        <f>-35.1432731</f>
        <v>-35.143273100000002</v>
      </c>
      <c r="BY549">
        <f>-42.48711703</f>
        <v>-42.48711703</v>
      </c>
      <c r="BZ549">
        <f>-32.15342769</f>
        <v>-32.153427690000001</v>
      </c>
      <c r="CA549">
        <f>1.379518126</f>
        <v>1.379518126</v>
      </c>
      <c r="CB549">
        <f>7.830763535</f>
        <v>7.830763535</v>
      </c>
      <c r="CC549">
        <f>10.94329089</f>
        <v>10.94329089</v>
      </c>
      <c r="CD549">
        <f>13.06417275</f>
        <v>13.064172749999999</v>
      </c>
      <c r="CE549">
        <f>23.45499137</f>
        <v>23.454991369999998</v>
      </c>
      <c r="CF549">
        <f>19.3548664</f>
        <v>19.354866399999999</v>
      </c>
      <c r="CG549">
        <f>21.51892213</f>
        <v>21.51892213</v>
      </c>
      <c r="CH549">
        <f>18.57215254</f>
        <v>18.572152540000001</v>
      </c>
      <c r="CI549">
        <f>16.68335147</f>
        <v>16.683351470000002</v>
      </c>
      <c r="CJ549">
        <f>15.43206269</f>
        <v>15.43206269</v>
      </c>
      <c r="CK549">
        <f>13.85426038</f>
        <v>13.854260379999999</v>
      </c>
      <c r="CL549">
        <f>13.81209616</f>
        <v>13.812096159999999</v>
      </c>
      <c r="CM549">
        <f>32.44562957</f>
        <v>32.445629570000001</v>
      </c>
      <c r="CN549">
        <f>39.79442773</f>
        <v>39.794427730000002</v>
      </c>
      <c r="CO549">
        <f>35.69036621</f>
        <v>35.690366210000001</v>
      </c>
      <c r="CP549">
        <f>36.59451636</f>
        <v>36.59451636</v>
      </c>
      <c r="CQ549">
        <f>12.13278</f>
        <v>12.13278</v>
      </c>
      <c r="CR549">
        <f>14.72677423</f>
        <v>14.72677423</v>
      </c>
      <c r="CS549">
        <f>11.47836322</f>
        <v>11.47836322</v>
      </c>
      <c r="CT549">
        <f>12.38427525</f>
        <v>12.38427525</v>
      </c>
      <c r="CU549">
        <f>14.51592948</f>
        <v>14.51592948</v>
      </c>
      <c r="CV549">
        <f>23.16421629</f>
        <v>23.164216289999999</v>
      </c>
      <c r="CW549">
        <f>24.04675522</f>
        <v>24.046755220000001</v>
      </c>
      <c r="CX549">
        <f>17.22165181</f>
        <v>17.221651810000001</v>
      </c>
      <c r="CY549">
        <f>11.64310296</f>
        <v>11.64310296</v>
      </c>
      <c r="CZ549">
        <f>10.16000109</f>
        <v>10.16000109</v>
      </c>
      <c r="DA549">
        <f>14.7645926</f>
        <v>14.7645926</v>
      </c>
      <c r="DB549">
        <f>105.5797213</f>
        <v>105.5797213</v>
      </c>
      <c r="DC549">
        <f>111.2630371</f>
        <v>111.26303710000001</v>
      </c>
      <c r="DD549">
        <f>102.5514168</f>
        <v>102.5514168</v>
      </c>
      <c r="DE549">
        <f>92.43156062</f>
        <v>92.431560619999999</v>
      </c>
      <c r="DF549">
        <f>26.57391522</f>
        <v>26.57391522</v>
      </c>
      <c r="DG549">
        <f>30.53476606</f>
        <v>30.534766059999999</v>
      </c>
      <c r="DH549">
        <f>19.61400801</f>
        <v>19.614008009999999</v>
      </c>
      <c r="DI549">
        <f>20.67990955</f>
        <v>20.679909550000001</v>
      </c>
      <c r="DJ549">
        <f>17.47493347</f>
        <v>17.47493347</v>
      </c>
      <c r="DK549">
        <f>-1.826653046</f>
        <v>-1.8266530459999999</v>
      </c>
      <c r="DL549">
        <f>-20.08143883</f>
        <v>-20.08143883</v>
      </c>
      <c r="DM549">
        <f>-20.52023372</f>
        <v>-20.52023372</v>
      </c>
      <c r="DN549">
        <f>-15.91637144</f>
        <v>-15.916371440000001</v>
      </c>
      <c r="DO549">
        <f>-7.710208135</f>
        <v>-7.7102081350000002</v>
      </c>
      <c r="DP549">
        <f>8.876189606</f>
        <v>8.8761896060000005</v>
      </c>
      <c r="DQ549">
        <f>12.92756764</f>
        <v>12.927567639999999</v>
      </c>
      <c r="DR549">
        <f>10.05578038</f>
        <v>10.05578038</v>
      </c>
      <c r="DS549">
        <f>10.2204908</f>
        <v>10.2204908</v>
      </c>
      <c r="DT549">
        <f>10.83086882</f>
        <v>10.830868819999999</v>
      </c>
      <c r="DU549">
        <f>12.8319302</f>
        <v>12.8319302</v>
      </c>
    </row>
    <row r="550" spans="1:125" x14ac:dyDescent="0.25">
      <c r="A550" t="str">
        <f>"    FAW CAR Co Ltd"</f>
        <v xml:space="preserve">    FAW CAR Co Ltd</v>
      </c>
      <c r="B550" t="str">
        <f>"000800 CH Equity"</f>
        <v>000800 CH Equity</v>
      </c>
      <c r="C550" t="str">
        <f t="shared" si="39"/>
        <v>RX076</v>
      </c>
      <c r="D550" t="str">
        <f t="shared" si="40"/>
        <v>EBIT_YIELD</v>
      </c>
      <c r="E550" t="str">
        <f t="shared" si="41"/>
        <v>Dynamic</v>
      </c>
      <c r="F550">
        <f ca="1">IF(AND(ISNUMBER($F$1209),$B$677=1),$F$1209,HLOOKUP(INDIRECT(ADDRESS(2,COLUMN())),OFFSET($BN$2,0,0,ROW()-1,60),ROW()-1,FALSE))</f>
        <v>-2.9598529220000001</v>
      </c>
      <c r="G550">
        <f ca="1">IF(AND(ISNUMBER($G$1209),$B$677=1),$G$1209,HLOOKUP(INDIRECT(ADDRESS(2,COLUMN())),OFFSET($BN$2,0,0,ROW()-1,60),ROW()-1,FALSE))</f>
        <v>-3.599216921</v>
      </c>
      <c r="H550">
        <f ca="1">IF(AND(ISNUMBER($H$1209),$B$677=1),$H$1209,HLOOKUP(INDIRECT(ADDRESS(2,COLUMN())),OFFSET($BN$2,0,0,ROW()-1,60),ROW()-1,FALSE))</f>
        <v>-3.6156018240000001</v>
      </c>
      <c r="I550">
        <f ca="1">IF(AND(ISNUMBER($I$1209),$B$677=1),$I$1209,HLOOKUP(INDIRECT(ADDRESS(2,COLUMN())),OFFSET($BN$2,0,0,ROW()-1,60),ROW()-1,FALSE))</f>
        <v>-2.4417749770000001</v>
      </c>
      <c r="J550">
        <f ca="1">IF(AND(ISNUMBER($J$1209),$B$677=1),$J$1209,HLOOKUP(INDIRECT(ADDRESS(2,COLUMN())),OFFSET($BN$2,0,0,ROW()-1,60),ROW()-1,FALSE))</f>
        <v>-0.29692343700000001</v>
      </c>
      <c r="K550">
        <f ca="1">IF(AND(ISNUMBER($K$1209),$B$677=1),$K$1209,HLOOKUP(INDIRECT(ADDRESS(2,COLUMN())),OFFSET($BN$2,0,0,ROW()-1,60),ROW()-1,FALSE))</f>
        <v>0.83296211399999998</v>
      </c>
      <c r="L550">
        <f ca="1">IF(AND(ISNUMBER($L$1209),$B$677=1),$L$1209,HLOOKUP(INDIRECT(ADDRESS(2,COLUMN())),OFFSET($BN$2,0,0,ROW()-1,60),ROW()-1,FALSE))</f>
        <v>0.36986962699999998</v>
      </c>
      <c r="M550">
        <f ca="1">IF(AND(ISNUMBER($M$1209),$B$677=1),$M$1209,HLOOKUP(INDIRECT(ADDRESS(2,COLUMN())),OFFSET($BN$2,0,0,ROW()-1,60),ROW()-1,FALSE))</f>
        <v>1.4945883250000001</v>
      </c>
      <c r="N550">
        <f ca="1">IF(AND(ISNUMBER($N$1209),$B$677=1),$N$1209,HLOOKUP(INDIRECT(ADDRESS(2,COLUMN())),OFFSET($BN$2,0,0,ROW()-1,60),ROW()-1,FALSE))</f>
        <v>-2.4140259940000002</v>
      </c>
      <c r="O550">
        <f ca="1">IF(AND(ISNUMBER($O$1209),$B$677=1),$O$1209,HLOOKUP(INDIRECT(ADDRESS(2,COLUMN())),OFFSET($BN$2,0,0,ROW()-1,60),ROW()-1,FALSE))</f>
        <v>-6.9087112370000003</v>
      </c>
      <c r="P550">
        <f ca="1">IF(AND(ISNUMBER($P$1209),$B$677=1),$P$1209,HLOOKUP(INDIRECT(ADDRESS(2,COLUMN())),OFFSET($BN$2,0,0,ROW()-1,60),ROW()-1,FALSE))</f>
        <v>-5.8018722450000002</v>
      </c>
      <c r="Q550">
        <f ca="1">IF(AND(ISNUMBER($Q$1209),$B$677=1),$Q$1209,HLOOKUP(INDIRECT(ADDRESS(2,COLUMN())),OFFSET($BN$2,0,0,ROW()-1,60),ROW()-1,FALSE))</f>
        <v>-7.2973914969999996</v>
      </c>
      <c r="R550">
        <f ca="1">IF(AND(ISNUMBER($R$1209),$B$677=1),$R$1209,HLOOKUP(INDIRECT(ADDRESS(2,COLUMN())),OFFSET($BN$2,0,0,ROW()-1,60),ROW()-1,FALSE))</f>
        <v>-2.8447531939999999</v>
      </c>
      <c r="S550">
        <f ca="1">IF(AND(ISNUMBER($S$1209),$B$677=1),$S$1209,HLOOKUP(INDIRECT(ADDRESS(2,COLUMN())),OFFSET($BN$2,0,0,ROW()-1,60),ROW()-1,FALSE))</f>
        <v>-2.7091823000000001E-2</v>
      </c>
      <c r="T550">
        <f ca="1">IF(AND(ISNUMBER($T$1209),$B$677=1),$T$1209,HLOOKUP(INDIRECT(ADDRESS(2,COLUMN())),OFFSET($BN$2,0,0,ROW()-1,60),ROW()-1,FALSE))</f>
        <v>-0.46146842100000002</v>
      </c>
      <c r="U550">
        <f ca="1">IF(AND(ISNUMBER($U$1209),$B$677=1),$U$1209,HLOOKUP(INDIRECT(ADDRESS(2,COLUMN())),OFFSET($BN$2,0,0,ROW()-1,60),ROW()-1,FALSE))</f>
        <v>-6.9218421000000002E-2</v>
      </c>
      <c r="V550">
        <f ca="1">IF(AND(ISNUMBER($V$1209),$B$677=1),$V$1209,HLOOKUP(INDIRECT(ADDRESS(2,COLUMN())),OFFSET($BN$2,0,0,ROW()-1,60),ROW()-1,FALSE))</f>
        <v>-0.33497090899999998</v>
      </c>
      <c r="W550">
        <f ca="1">IF(AND(ISNUMBER($W$1209),$B$677=1),$W$1209,HLOOKUP(INDIRECT(ADDRESS(2,COLUMN())),OFFSET($BN$2,0,0,ROW()-1,60),ROW()-1,FALSE))</f>
        <v>-0.15587928300000001</v>
      </c>
      <c r="X550">
        <f ca="1">IF(AND(ISNUMBER($X$1209),$B$677=1),$X$1209,HLOOKUP(INDIRECT(ADDRESS(2,COLUMN())),OFFSET($BN$2,0,0,ROW()-1,60),ROW()-1,FALSE))</f>
        <v>1.6289407069999999</v>
      </c>
      <c r="Y550">
        <f ca="1">IF(AND(ISNUMBER($Y$1209),$B$677=1),$Y$1209,HLOOKUP(INDIRECT(ADDRESS(2,COLUMN())),OFFSET($BN$2,0,0,ROW()-1,60),ROW()-1,FALSE))</f>
        <v>3.8731084930000002</v>
      </c>
      <c r="Z550">
        <f ca="1">IF(AND(ISNUMBER($Z$1209),$B$677=1),$Z$1209,HLOOKUP(INDIRECT(ADDRESS(2,COLUMN())),OFFSET($BN$2,0,0,ROW()-1,60),ROW()-1,FALSE))</f>
        <v>5.5379597130000002</v>
      </c>
      <c r="AA550">
        <f ca="1">IF(AND(ISNUMBER($AA$1209),$B$677=1),$AA$1209,HLOOKUP(INDIRECT(ADDRESS(2,COLUMN())),OFFSET($BN$2,0,0,ROW()-1,60),ROW()-1,FALSE))</f>
        <v>5.2705698219999997</v>
      </c>
      <c r="AB550">
        <f ca="1">IF(AND(ISNUMBER($AB$1209),$B$677=1),$AB$1209,HLOOKUP(INDIRECT(ADDRESS(2,COLUMN())),OFFSET($BN$2,0,0,ROW()-1,60),ROW()-1,FALSE))</f>
        <v>1.096256999</v>
      </c>
      <c r="AC550">
        <f ca="1">IF(AND(ISNUMBER($AC$1209),$B$677=1),$AC$1209,HLOOKUP(INDIRECT(ADDRESS(2,COLUMN())),OFFSET($BN$2,0,0,ROW()-1,60),ROW()-1,FALSE))</f>
        <v>-1.3200455719999999</v>
      </c>
      <c r="AD550">
        <f ca="1">IF(AND(ISNUMBER($AD$1209),$B$677=1),$AD$1209,HLOOKUP(INDIRECT(ADDRESS(2,COLUMN())),OFFSET($BN$2,0,0,ROW()-1,60),ROW()-1,FALSE))</f>
        <v>-5.6349839990000001</v>
      </c>
      <c r="AE550">
        <f ca="1">IF(AND(ISNUMBER($AE$1209),$B$677=1),$AE$1209,HLOOKUP(INDIRECT(ADDRESS(2,COLUMN())),OFFSET($BN$2,0,0,ROW()-1,60),ROW()-1,FALSE))</f>
        <v>-8.2279419100000002</v>
      </c>
      <c r="AF550">
        <f ca="1">IF(AND(ISNUMBER($AF$1209),$B$677=1),$AF$1209,HLOOKUP(INDIRECT(ADDRESS(2,COLUMN())),OFFSET($BN$2,0,0,ROW()-1,60),ROW()-1,FALSE))</f>
        <v>-10.7245182</v>
      </c>
      <c r="AG550">
        <f ca="1">IF(AND(ISNUMBER($AG$1209),$B$677=1),$AG$1209,HLOOKUP(INDIRECT(ADDRESS(2,COLUMN())),OFFSET($BN$2,0,0,ROW()-1,60),ROW()-1,FALSE))</f>
        <v>-5.7843244660000002</v>
      </c>
      <c r="AH550">
        <f ca="1">IF(AND(ISNUMBER($AH$1209),$B$677=1),$AH$1209,HLOOKUP(INDIRECT(ADDRESS(2,COLUMN())),OFFSET($BN$2,0,0,ROW()-1,60),ROW()-1,FALSE))</f>
        <v>-2.5023668039999998</v>
      </c>
      <c r="AI550">
        <f ca="1">IF(AND(ISNUMBER($AI$1209),$B$677=1),$AI$1209,HLOOKUP(INDIRECT(ADDRESS(2,COLUMN())),OFFSET($BN$2,0,0,ROW()-1,60),ROW()-1,FALSE))</f>
        <v>0.42654847699999998</v>
      </c>
      <c r="AJ550">
        <f ca="1">IF(AND(ISNUMBER($AJ$1209),$B$677=1),$AJ$1209,HLOOKUP(INDIRECT(ADDRESS(2,COLUMN())),OFFSET($BN$2,0,0,ROW()-1,60),ROW()-1,FALSE))</f>
        <v>4.25453042</v>
      </c>
      <c r="AK550">
        <f ca="1">IF(AND(ISNUMBER($AK$1209),$B$677=1),$AK$1209,HLOOKUP(INDIRECT(ADDRESS(2,COLUMN())),OFFSET($BN$2,0,0,ROW()-1,60),ROW()-1,FALSE))</f>
        <v>6.264595548</v>
      </c>
      <c r="AL550">
        <f ca="1">IF(AND(ISNUMBER($AL$1209),$B$677=1),$AL$1209,HLOOKUP(INDIRECT(ADDRESS(2,COLUMN())),OFFSET($BN$2,0,0,ROW()-1,60),ROW()-1,FALSE))</f>
        <v>6.3915933679999997</v>
      </c>
      <c r="AM550">
        <f ca="1">IF(AND(ISNUMBER($AM$1209),$B$677=1),$AM$1209,HLOOKUP(INDIRECT(ADDRESS(2,COLUMN())),OFFSET($BN$2,0,0,ROW()-1,60),ROW()-1,FALSE))</f>
        <v>8.1414084879999997</v>
      </c>
      <c r="AN550">
        <f ca="1">IF(AND(ISNUMBER($AN$1209),$B$677=1),$AN$1209,HLOOKUP(INDIRECT(ADDRESS(2,COLUMN())),OFFSET($BN$2,0,0,ROW()-1,60),ROW()-1,FALSE))</f>
        <v>9.4497935420000001</v>
      </c>
      <c r="AO550">
        <f ca="1">IF(AND(ISNUMBER($AO$1209),$B$677=1),$AO$1209,HLOOKUP(INDIRECT(ADDRESS(2,COLUMN())),OFFSET($BN$2,0,0,ROW()-1,60),ROW()-1,FALSE))</f>
        <v>11.095867739999999</v>
      </c>
      <c r="AP550">
        <f ca="1">IF(AND(ISNUMBER($AP$1209),$B$677=1),$AP$1209,HLOOKUP(INDIRECT(ADDRESS(2,COLUMN())),OFFSET($BN$2,0,0,ROW()-1,60),ROW()-1,FALSE))</f>
        <v>6.5268880730000003</v>
      </c>
      <c r="AQ550">
        <f ca="1">IF(AND(ISNUMBER($AQ$1209),$B$677=1),$AQ$1209,HLOOKUP(INDIRECT(ADDRESS(2,COLUMN())),OFFSET($BN$2,0,0,ROW()-1,60),ROW()-1,FALSE))</f>
        <v>4.2746747430000003</v>
      </c>
      <c r="AR550">
        <f ca="1">IF(AND(ISNUMBER($AR$1209),$B$677=1),$AR$1209,HLOOKUP(INDIRECT(ADDRESS(2,COLUMN())),OFFSET($BN$2,0,0,ROW()-1,60),ROW()-1,FALSE))</f>
        <v>4.0273375380000003</v>
      </c>
      <c r="AS550">
        <f ca="1">IF(AND(ISNUMBER($AS$1209),$B$677=1),$AS$1209,HLOOKUP(INDIRECT(ADDRESS(2,COLUMN())),OFFSET($BN$2,0,0,ROW()-1,60),ROW()-1,FALSE))</f>
        <v>4.4604664989999998</v>
      </c>
      <c r="AT550">
        <f ca="1">IF(AND(ISNUMBER($AT$1209),$B$677=1),$AT$1209,HLOOKUP(INDIRECT(ADDRESS(2,COLUMN())),OFFSET($BN$2,0,0,ROW()-1,60),ROW()-1,FALSE))</f>
        <v>4.6082694450000004</v>
      </c>
      <c r="AU550">
        <f ca="1">IF(AND(ISNUMBER($AU$1209),$B$677=1),$AU$1209,HLOOKUP(INDIRECT(ADDRESS(2,COLUMN())),OFFSET($BN$2,0,0,ROW()-1,60),ROW()-1,FALSE))</f>
        <v>9.5824072119999997</v>
      </c>
      <c r="AV550">
        <f ca="1">IF(AND(ISNUMBER($AV$1209),$B$677=1),$AV$1209,HLOOKUP(INDIRECT(ADDRESS(2,COLUMN())),OFFSET($BN$2,0,0,ROW()-1,60),ROW()-1,FALSE))</f>
        <v>9.6755360990000003</v>
      </c>
      <c r="AW550">
        <f ca="1">IF(AND(ISNUMBER($AW$1209),$B$677=1),$AW$1209,HLOOKUP(INDIRECT(ADDRESS(2,COLUMN())),OFFSET($BN$2,0,0,ROW()-1,60),ROW()-1,FALSE))</f>
        <v>8.0877451110000003</v>
      </c>
      <c r="AX550">
        <f ca="1">IF(AND(ISNUMBER($AX$1209),$B$677=1),$AX$1209,HLOOKUP(INDIRECT(ADDRESS(2,COLUMN())),OFFSET($BN$2,0,0,ROW()-1,60),ROW()-1,FALSE))</f>
        <v>4.8460158660000001</v>
      </c>
      <c r="AY550">
        <f ca="1">IF(AND(ISNUMBER($AY$1209),$B$677=1),$AY$1209,HLOOKUP(INDIRECT(ADDRESS(2,COLUMN())),OFFSET($BN$2,0,0,ROW()-1,60),ROW()-1,FALSE))</f>
        <v>2.022780714</v>
      </c>
      <c r="AZ550">
        <f ca="1">IF(AND(ISNUMBER($AZ$1209),$B$677=1),$AZ$1209,HLOOKUP(INDIRECT(ADDRESS(2,COLUMN())),OFFSET($BN$2,0,0,ROW()-1,60),ROW()-1,FALSE))</f>
        <v>1.6811550449999999</v>
      </c>
      <c r="BA550">
        <f ca="1">IF(AND(ISNUMBER($BA$1209),$B$677=1),$BA$1209,HLOOKUP(INDIRECT(ADDRESS(2,COLUMN())),OFFSET($BN$2,0,0,ROW()-1,60),ROW()-1,FALSE))</f>
        <v>1.347838968</v>
      </c>
      <c r="BB550">
        <f ca="1">IF(AND(ISNUMBER($BB$1209),$B$677=1),$BB$1209,HLOOKUP(INDIRECT(ADDRESS(2,COLUMN())),OFFSET($BN$2,0,0,ROW()-1,60),ROW()-1,FALSE))</f>
        <v>1.559972763</v>
      </c>
      <c r="BC550">
        <f ca="1">IF(AND(ISNUMBER($BC$1209),$B$677=1),$BC$1209,HLOOKUP(INDIRECT(ADDRESS(2,COLUMN())),OFFSET($BN$2,0,0,ROW()-1,60),ROW()-1,FALSE))</f>
        <v>3.4992937409999998</v>
      </c>
      <c r="BD550">
        <f ca="1">IF(AND(ISNUMBER($BD$1209),$B$677=1),$BD$1209,HLOOKUP(INDIRECT(ADDRESS(2,COLUMN())),OFFSET($BN$2,0,0,ROW()-1,60),ROW()-1,FALSE))</f>
        <v>7.5469857339999997</v>
      </c>
      <c r="BE550">
        <f ca="1">IF(AND(ISNUMBER($BE$1209),$B$677=1),$BE$1209,HLOOKUP(INDIRECT(ADDRESS(2,COLUMN())),OFFSET($BN$2,0,0,ROW()-1,60),ROW()-1,FALSE))</f>
        <v>8.6695227169999995</v>
      </c>
      <c r="BF550">
        <f ca="1">IF(AND(ISNUMBER($BF$1209),$B$677=1),$BF$1209,HLOOKUP(INDIRECT(ADDRESS(2,COLUMN())),OFFSET($BN$2,0,0,ROW()-1,60),ROW()-1,FALSE))</f>
        <v>7.4567137240000001</v>
      </c>
      <c r="BG550">
        <f ca="1">IF(AND(ISNUMBER($BG$1209),$B$677=1),$BG$1209,HLOOKUP(INDIRECT(ADDRESS(2,COLUMN())),OFFSET($BN$2,0,0,ROW()-1,60),ROW()-1,FALSE))</f>
        <v>8.1498057050000003</v>
      </c>
      <c r="BH550">
        <f ca="1">IF(AND(ISNUMBER($BH$1209),$B$677=1),$BH$1209,HLOOKUP(INDIRECT(ADDRESS(2,COLUMN())),OFFSET($BN$2,0,0,ROW()-1,60),ROW()-1,FALSE))</f>
        <v>3.7046023039999998</v>
      </c>
      <c r="BI550">
        <f ca="1">IF(AND(ISNUMBER($BI$1209),$B$677=1),$BI$1209,HLOOKUP(INDIRECT(ADDRESS(2,COLUMN())),OFFSET($BN$2,0,0,ROW()-1,60),ROW()-1,FALSE))</f>
        <v>2.1794731820000002</v>
      </c>
      <c r="BJ550">
        <f ca="1">IF(AND(ISNUMBER($BJ$1209),$B$677=1),$BJ$1209,HLOOKUP(INDIRECT(ADDRESS(2,COLUMN())),OFFSET($BN$2,0,0,ROW()-1,60),ROW()-1,FALSE))</f>
        <v>2.7878582669999998</v>
      </c>
      <c r="BK550">
        <f ca="1">IF(AND(ISNUMBER($BK$1209),$B$677=1),$BK$1209,HLOOKUP(INDIRECT(ADDRESS(2,COLUMN())),OFFSET($BN$2,0,0,ROW()-1,60),ROW()-1,FALSE))</f>
        <v>5.808303284</v>
      </c>
      <c r="BL550">
        <f ca="1">IF(AND(ISNUMBER($BL$1209),$B$677=1),$BL$1209,HLOOKUP(INDIRECT(ADDRESS(2,COLUMN())),OFFSET($BN$2,0,0,ROW()-1,60),ROW()-1,FALSE))</f>
        <v>6.876013382</v>
      </c>
      <c r="BM550">
        <f ca="1">IF(AND(ISNUMBER($BM$1209),$B$677=1),$BM$1209,HLOOKUP(INDIRECT(ADDRESS(2,COLUMN())),OFFSET($BN$2,0,0,ROW()-1,60),ROW()-1,FALSE))</f>
        <v>8.4732700259999998</v>
      </c>
      <c r="BN550">
        <f>-2.959852922</f>
        <v>-2.9598529220000001</v>
      </c>
      <c r="BO550">
        <f>-3.599216921</f>
        <v>-3.599216921</v>
      </c>
      <c r="BP550">
        <f>-3.615601824</f>
        <v>-3.6156018240000001</v>
      </c>
      <c r="BQ550">
        <f>-2.441774977</f>
        <v>-2.4417749770000001</v>
      </c>
      <c r="BR550">
        <f>-0.296923437</f>
        <v>-0.29692343700000001</v>
      </c>
      <c r="BS550">
        <f>0.832962114</f>
        <v>0.83296211399999998</v>
      </c>
      <c r="BT550">
        <f>0.369869627</f>
        <v>0.36986962699999998</v>
      </c>
      <c r="BU550">
        <f>1.494588325</f>
        <v>1.4945883250000001</v>
      </c>
      <c r="BV550">
        <f>-2.414025994</f>
        <v>-2.4140259940000002</v>
      </c>
      <c r="BW550">
        <f>-6.908711237</f>
        <v>-6.9087112370000003</v>
      </c>
      <c r="BX550">
        <f>-5.801872245</f>
        <v>-5.8018722450000002</v>
      </c>
      <c r="BY550">
        <f>-7.297391497</f>
        <v>-7.2973914969999996</v>
      </c>
      <c r="BZ550">
        <f>-2.844753194</f>
        <v>-2.8447531939999999</v>
      </c>
      <c r="CA550">
        <f>-0.027091823</f>
        <v>-2.7091823000000001E-2</v>
      </c>
      <c r="CB550">
        <f>-0.461468421</f>
        <v>-0.46146842100000002</v>
      </c>
      <c r="CC550">
        <f>-0.069218421</f>
        <v>-6.9218421000000002E-2</v>
      </c>
      <c r="CD550">
        <f>-0.334970909</f>
        <v>-0.33497090899999998</v>
      </c>
      <c r="CE550">
        <f>-0.155879283</f>
        <v>-0.15587928300000001</v>
      </c>
      <c r="CF550">
        <f>1.628940707</f>
        <v>1.6289407069999999</v>
      </c>
      <c r="CG550">
        <f>3.873108493</f>
        <v>3.8731084930000002</v>
      </c>
      <c r="CH550">
        <f>5.537959713</f>
        <v>5.5379597130000002</v>
      </c>
      <c r="CI550">
        <f>5.270569822</f>
        <v>5.2705698219999997</v>
      </c>
      <c r="CJ550">
        <f>1.096256999</f>
        <v>1.096256999</v>
      </c>
      <c r="CK550">
        <f>-1.320045572</f>
        <v>-1.3200455719999999</v>
      </c>
      <c r="CL550">
        <f>-5.634983999</f>
        <v>-5.6349839990000001</v>
      </c>
      <c r="CM550">
        <f>-8.22794191</f>
        <v>-8.2279419100000002</v>
      </c>
      <c r="CN550">
        <f>-10.7245182</f>
        <v>-10.7245182</v>
      </c>
      <c r="CO550">
        <f>-5.784324466</f>
        <v>-5.7843244660000002</v>
      </c>
      <c r="CP550">
        <f>-2.502366804</f>
        <v>-2.5023668039999998</v>
      </c>
      <c r="CQ550">
        <f>0.426548477</f>
        <v>0.42654847699999998</v>
      </c>
      <c r="CR550">
        <f>4.25453042</f>
        <v>4.25453042</v>
      </c>
      <c r="CS550">
        <f>6.264595548</f>
        <v>6.264595548</v>
      </c>
      <c r="CT550">
        <f>6.391593368</f>
        <v>6.3915933679999997</v>
      </c>
      <c r="CU550">
        <f>8.141408488</f>
        <v>8.1414084879999997</v>
      </c>
      <c r="CV550">
        <f>9.449793542</f>
        <v>9.4497935420000001</v>
      </c>
      <c r="CW550">
        <f>11.09586774</f>
        <v>11.095867739999999</v>
      </c>
      <c r="CX550">
        <f>6.526888073</f>
        <v>6.5268880730000003</v>
      </c>
      <c r="CY550">
        <f>4.274674743</f>
        <v>4.2746747430000003</v>
      </c>
      <c r="CZ550">
        <f>4.027337538</f>
        <v>4.0273375380000003</v>
      </c>
      <c r="DA550">
        <f>4.460466499</f>
        <v>4.4604664989999998</v>
      </c>
      <c r="DB550">
        <f>4.608269445</f>
        <v>4.6082694450000004</v>
      </c>
      <c r="DC550">
        <f>9.582407212</f>
        <v>9.5824072119999997</v>
      </c>
      <c r="DD550">
        <f>9.675536099</f>
        <v>9.6755360990000003</v>
      </c>
      <c r="DE550">
        <f>8.087745111</f>
        <v>8.0877451110000003</v>
      </c>
      <c r="DF550">
        <f>4.846015866</f>
        <v>4.8460158660000001</v>
      </c>
      <c r="DG550">
        <f>2.022780714</f>
        <v>2.022780714</v>
      </c>
      <c r="DH550">
        <f>1.681155045</f>
        <v>1.6811550449999999</v>
      </c>
      <c r="DI550">
        <f>1.347838968</f>
        <v>1.347838968</v>
      </c>
      <c r="DJ550">
        <f>1.559972763</f>
        <v>1.559972763</v>
      </c>
      <c r="DK550">
        <f>3.499293741</f>
        <v>3.4992937409999998</v>
      </c>
      <c r="DL550">
        <f>7.546985734</f>
        <v>7.5469857339999997</v>
      </c>
      <c r="DM550">
        <f>8.669522717</f>
        <v>8.6695227169999995</v>
      </c>
      <c r="DN550">
        <f>7.456713724</f>
        <v>7.4567137240000001</v>
      </c>
      <c r="DO550">
        <f>8.149805705</f>
        <v>8.1498057050000003</v>
      </c>
      <c r="DP550">
        <f>3.704602304</f>
        <v>3.7046023039999998</v>
      </c>
      <c r="DQ550">
        <f>2.179473182</f>
        <v>2.1794731820000002</v>
      </c>
      <c r="DR550">
        <f>2.787858267</f>
        <v>2.7878582669999998</v>
      </c>
      <c r="DS550">
        <f>5.808303284</f>
        <v>5.808303284</v>
      </c>
      <c r="DT550">
        <f>6.876013382</f>
        <v>6.876013382</v>
      </c>
      <c r="DU550">
        <f>8.473270026</f>
        <v>8.4732700259999998</v>
      </c>
    </row>
    <row r="551" spans="1:125" x14ac:dyDescent="0.25">
      <c r="A551" t="str">
        <f>"    Fiat Chrysler Automobiles NV"</f>
        <v xml:space="preserve">    Fiat Chrysler Automobiles NV</v>
      </c>
      <c r="B551" t="str">
        <f>"FCAU US Equity"</f>
        <v>FCAU US Equity</v>
      </c>
      <c r="C551" t="str">
        <f t="shared" si="39"/>
        <v>RX076</v>
      </c>
      <c r="D551" t="str">
        <f t="shared" si="40"/>
        <v>EBIT_YIELD</v>
      </c>
      <c r="E551" t="str">
        <f t="shared" si="41"/>
        <v>Dynamic</v>
      </c>
      <c r="F551">
        <f ca="1">IF(AND(ISNUMBER($F$1210),$B$677=1),$F$1210,HLOOKUP(INDIRECT(ADDRESS(2,COLUMN())),OFFSET($BN$2,0,0,ROW()-1,60),ROW()-1,FALSE))</f>
        <v>25.305140600000001</v>
      </c>
      <c r="G551">
        <f ca="1">IF(AND(ISNUMBER($G$1210),$B$677=1),$G$1210,HLOOKUP(INDIRECT(ADDRESS(2,COLUMN())),OFFSET($BN$2,0,0,ROW()-1,60),ROW()-1,FALSE))</f>
        <v>26.420077599999999</v>
      </c>
      <c r="H551">
        <f ca="1">IF(AND(ISNUMBER($H$1210),$B$677=1),$H$1210,HLOOKUP(INDIRECT(ADDRESS(2,COLUMN())),OFFSET($BN$2,0,0,ROW()-1,60),ROW()-1,FALSE))</f>
        <v>22.838526259999998</v>
      </c>
      <c r="I551">
        <f ca="1">IF(AND(ISNUMBER($I$1210),$B$677=1),$I$1210,HLOOKUP(INDIRECT(ADDRESS(2,COLUMN())),OFFSET($BN$2,0,0,ROW()-1,60),ROW()-1,FALSE))</f>
        <v>23.697295830000002</v>
      </c>
      <c r="J551">
        <f ca="1">IF(AND(ISNUMBER($J$1210),$B$677=1),$J$1210,HLOOKUP(INDIRECT(ADDRESS(2,COLUMN())),OFFSET($BN$2,0,0,ROW()-1,60),ROW()-1,FALSE))</f>
        <v>27.813298020000001</v>
      </c>
      <c r="K551">
        <f ca="1">IF(AND(ISNUMBER($K$1210),$B$677=1),$K$1210,HLOOKUP(INDIRECT(ADDRESS(2,COLUMN())),OFFSET($BN$2,0,0,ROW()-1,60),ROW()-1,FALSE))</f>
        <v>31.12076836</v>
      </c>
      <c r="L551">
        <f ca="1">IF(AND(ISNUMBER($L$1210),$B$677=1),$L$1210,HLOOKUP(INDIRECT(ADDRESS(2,COLUMN())),OFFSET($BN$2,0,0,ROW()-1,60),ROW()-1,FALSE))</f>
        <v>31.09434984</v>
      </c>
      <c r="M551">
        <f ca="1">IF(AND(ISNUMBER($M$1210),$B$677=1),$M$1210,HLOOKUP(INDIRECT(ADDRESS(2,COLUMN())),OFFSET($BN$2,0,0,ROW()-1,60),ROW()-1,FALSE))</f>
        <v>48.784556670000001</v>
      </c>
      <c r="N551">
        <f ca="1">IF(AND(ISNUMBER($N$1210),$B$677=1),$N$1210,HLOOKUP(INDIRECT(ADDRESS(2,COLUMN())),OFFSET($BN$2,0,0,ROW()-1,60),ROW()-1,FALSE))</f>
        <v>34.293259450000001</v>
      </c>
      <c r="O551">
        <f ca="1">IF(AND(ISNUMBER($O$1210),$B$677=1),$O$1210,HLOOKUP(INDIRECT(ADDRESS(2,COLUMN())),OFFSET($BN$2,0,0,ROW()-1,60),ROW()-1,FALSE))</f>
        <v>39.147359719999997</v>
      </c>
      <c r="P551">
        <f ca="1">IF(AND(ISNUMBER($P$1210),$B$677=1),$P$1210,HLOOKUP(INDIRECT(ADDRESS(2,COLUMN())),OFFSET($BN$2,0,0,ROW()-1,60),ROW()-1,FALSE))</f>
        <v>48.568265240000002</v>
      </c>
      <c r="Q551">
        <f ca="1">IF(AND(ISNUMBER($Q$1210),$B$677=1),$Q$1210,HLOOKUP(INDIRECT(ADDRESS(2,COLUMN())),OFFSET($BN$2,0,0,ROW()-1,60),ROW()-1,FALSE))</f>
        <v>36.74445995</v>
      </c>
      <c r="R551">
        <f ca="1">IF(AND(ISNUMBER($R$1210),$B$677=1),$R$1210,HLOOKUP(INDIRECT(ADDRESS(2,COLUMN())),OFFSET($BN$2,0,0,ROW()-1,60),ROW()-1,FALSE))</f>
        <v>30.398546530000001</v>
      </c>
      <c r="S551">
        <f ca="1">IF(AND(ISNUMBER($S$1210),$B$677=1),$S$1210,HLOOKUP(INDIRECT(ADDRESS(2,COLUMN())),OFFSET($BN$2,0,0,ROW()-1,60),ROW()-1,FALSE))</f>
        <v>20.659930419999998</v>
      </c>
      <c r="T551">
        <f ca="1">IF(AND(ISNUMBER($T$1210),$B$677=1),$T$1210,HLOOKUP(INDIRECT(ADDRESS(2,COLUMN())),OFFSET($BN$2,0,0,ROW()-1,60),ROW()-1,FALSE))</f>
        <v>25.498241669999999</v>
      </c>
      <c r="U551">
        <f ca="1">IF(AND(ISNUMBER($U$1210),$B$677=1),$U$1210,HLOOKUP(INDIRECT(ADDRESS(2,COLUMN())),OFFSET($BN$2,0,0,ROW()-1,60),ROW()-1,FALSE))</f>
        <v>30.304481330000002</v>
      </c>
      <c r="V551">
        <f ca="1">IF(AND(ISNUMBER($V$1210),$B$677=1),$V$1210,HLOOKUP(INDIRECT(ADDRESS(2,COLUMN())),OFFSET($BN$2,0,0,ROW()-1,60),ROW()-1,FALSE))</f>
        <v>25.754819850000001</v>
      </c>
      <c r="W551">
        <f ca="1">IF(AND(ISNUMBER($W$1210),$B$677=1),$W$1210,HLOOKUP(INDIRECT(ADDRESS(2,COLUMN())),OFFSET($BN$2,0,0,ROW()-1,60),ROW()-1,FALSE))</f>
        <v>37.084664119999999</v>
      </c>
      <c r="X551" t="str">
        <f ca="1">IF(AND(ISNUMBER($X$1210),$B$677=1),$X$1210,HLOOKUP(INDIRECT(ADDRESS(2,COLUMN())),OFFSET($BN$2,0,0,ROW()-1,60),ROW()-1,FALSE))</f>
        <v/>
      </c>
      <c r="Y551" t="str">
        <f ca="1">IF(AND(ISNUMBER($Y$1210),$B$677=1),$Y$1210,HLOOKUP(INDIRECT(ADDRESS(2,COLUMN())),OFFSET($BN$2,0,0,ROW()-1,60),ROW()-1,FALSE))</f>
        <v/>
      </c>
      <c r="Z551" t="str">
        <f ca="1">IF(AND(ISNUMBER($Z$1210),$B$677=1),$Z$1210,HLOOKUP(INDIRECT(ADDRESS(2,COLUMN())),OFFSET($BN$2,0,0,ROW()-1,60),ROW()-1,FALSE))</f>
        <v/>
      </c>
      <c r="AA551" t="str">
        <f ca="1">IF(AND(ISNUMBER($AA$1210),$B$677=1),$AA$1210,HLOOKUP(INDIRECT(ADDRESS(2,COLUMN())),OFFSET($BN$2,0,0,ROW()-1,60),ROW()-1,FALSE))</f>
        <v/>
      </c>
      <c r="AB551" t="str">
        <f ca="1">IF(AND(ISNUMBER($AB$1210),$B$677=1),$AB$1210,HLOOKUP(INDIRECT(ADDRESS(2,COLUMN())),OFFSET($BN$2,0,0,ROW()-1,60),ROW()-1,FALSE))</f>
        <v/>
      </c>
      <c r="AC551" t="str">
        <f ca="1">IF(AND(ISNUMBER($AC$1210),$B$677=1),$AC$1210,HLOOKUP(INDIRECT(ADDRESS(2,COLUMN())),OFFSET($BN$2,0,0,ROW()-1,60),ROW()-1,FALSE))</f>
        <v/>
      </c>
      <c r="AD551" t="str">
        <f ca="1">IF(AND(ISNUMBER($AD$1210),$B$677=1),$AD$1210,HLOOKUP(INDIRECT(ADDRESS(2,COLUMN())),OFFSET($BN$2,0,0,ROW()-1,60),ROW()-1,FALSE))</f>
        <v/>
      </c>
      <c r="AE551" t="str">
        <f ca="1">IF(AND(ISNUMBER($AE$1210),$B$677=1),$AE$1210,HLOOKUP(INDIRECT(ADDRESS(2,COLUMN())),OFFSET($BN$2,0,0,ROW()-1,60),ROW()-1,FALSE))</f>
        <v/>
      </c>
      <c r="AF551" t="str">
        <f ca="1">IF(AND(ISNUMBER($AF$1210),$B$677=1),$AF$1210,HLOOKUP(INDIRECT(ADDRESS(2,COLUMN())),OFFSET($BN$2,0,0,ROW()-1,60),ROW()-1,FALSE))</f>
        <v/>
      </c>
      <c r="AG551" t="str">
        <f ca="1">IF(AND(ISNUMBER($AG$1210),$B$677=1),$AG$1210,HLOOKUP(INDIRECT(ADDRESS(2,COLUMN())),OFFSET($BN$2,0,0,ROW()-1,60),ROW()-1,FALSE))</f>
        <v/>
      </c>
      <c r="AH551" t="str">
        <f ca="1">IF(AND(ISNUMBER($AH$1210),$B$677=1),$AH$1210,HLOOKUP(INDIRECT(ADDRESS(2,COLUMN())),OFFSET($BN$2,0,0,ROW()-1,60),ROW()-1,FALSE))</f>
        <v/>
      </c>
      <c r="AI551" t="str">
        <f ca="1">IF(AND(ISNUMBER($AI$1210),$B$677=1),$AI$1210,HLOOKUP(INDIRECT(ADDRESS(2,COLUMN())),OFFSET($BN$2,0,0,ROW()-1,60),ROW()-1,FALSE))</f>
        <v/>
      </c>
      <c r="AJ551" t="str">
        <f ca="1">IF(AND(ISNUMBER($AJ$1210),$B$677=1),$AJ$1210,HLOOKUP(INDIRECT(ADDRESS(2,COLUMN())),OFFSET($BN$2,0,0,ROW()-1,60),ROW()-1,FALSE))</f>
        <v/>
      </c>
      <c r="AK551" t="str">
        <f ca="1">IF(AND(ISNUMBER($AK$1210),$B$677=1),$AK$1210,HLOOKUP(INDIRECT(ADDRESS(2,COLUMN())),OFFSET($BN$2,0,0,ROW()-1,60),ROW()-1,FALSE))</f>
        <v/>
      </c>
      <c r="AL551" t="str">
        <f ca="1">IF(AND(ISNUMBER($AL$1210),$B$677=1),$AL$1210,HLOOKUP(INDIRECT(ADDRESS(2,COLUMN())),OFFSET($BN$2,0,0,ROW()-1,60),ROW()-1,FALSE))</f>
        <v/>
      </c>
      <c r="AM551" t="str">
        <f ca="1">IF(AND(ISNUMBER($AM$1210),$B$677=1),$AM$1210,HLOOKUP(INDIRECT(ADDRESS(2,COLUMN())),OFFSET($BN$2,0,0,ROW()-1,60),ROW()-1,FALSE))</f>
        <v/>
      </c>
      <c r="AN551" t="str">
        <f ca="1">IF(AND(ISNUMBER($AN$1210),$B$677=1),$AN$1210,HLOOKUP(INDIRECT(ADDRESS(2,COLUMN())),OFFSET($BN$2,0,0,ROW()-1,60),ROW()-1,FALSE))</f>
        <v/>
      </c>
      <c r="AO551" t="str">
        <f ca="1">IF(AND(ISNUMBER($AO$1210),$B$677=1),$AO$1210,HLOOKUP(INDIRECT(ADDRESS(2,COLUMN())),OFFSET($BN$2,0,0,ROW()-1,60),ROW()-1,FALSE))</f>
        <v/>
      </c>
      <c r="AP551" t="str">
        <f ca="1">IF(AND(ISNUMBER($AP$1210),$B$677=1),$AP$1210,HLOOKUP(INDIRECT(ADDRESS(2,COLUMN())),OFFSET($BN$2,0,0,ROW()-1,60),ROW()-1,FALSE))</f>
        <v/>
      </c>
      <c r="AQ551" t="str">
        <f ca="1">IF(AND(ISNUMBER($AQ$1210),$B$677=1),$AQ$1210,HLOOKUP(INDIRECT(ADDRESS(2,COLUMN())),OFFSET($BN$2,0,0,ROW()-1,60),ROW()-1,FALSE))</f>
        <v/>
      </c>
      <c r="AR551" t="str">
        <f ca="1">IF(AND(ISNUMBER($AR$1210),$B$677=1),$AR$1210,HLOOKUP(INDIRECT(ADDRESS(2,COLUMN())),OFFSET($BN$2,0,0,ROW()-1,60),ROW()-1,FALSE))</f>
        <v/>
      </c>
      <c r="AS551" t="str">
        <f ca="1">IF(AND(ISNUMBER($AS$1210),$B$677=1),$AS$1210,HLOOKUP(INDIRECT(ADDRESS(2,COLUMN())),OFFSET($BN$2,0,0,ROW()-1,60),ROW()-1,FALSE))</f>
        <v/>
      </c>
      <c r="AT551" t="str">
        <f ca="1">IF(AND(ISNUMBER($AT$1210),$B$677=1),$AT$1210,HLOOKUP(INDIRECT(ADDRESS(2,COLUMN())),OFFSET($BN$2,0,0,ROW()-1,60),ROW()-1,FALSE))</f>
        <v/>
      </c>
      <c r="AU551" t="str">
        <f ca="1">IF(AND(ISNUMBER($AU$1210),$B$677=1),$AU$1210,HLOOKUP(INDIRECT(ADDRESS(2,COLUMN())),OFFSET($BN$2,0,0,ROW()-1,60),ROW()-1,FALSE))</f>
        <v/>
      </c>
      <c r="AV551" t="str">
        <f ca="1">IF(AND(ISNUMBER($AV$1210),$B$677=1),$AV$1210,HLOOKUP(INDIRECT(ADDRESS(2,COLUMN())),OFFSET($BN$2,0,0,ROW()-1,60),ROW()-1,FALSE))</f>
        <v/>
      </c>
      <c r="AW551" t="str">
        <f ca="1">IF(AND(ISNUMBER($AW$1210),$B$677=1),$AW$1210,HLOOKUP(INDIRECT(ADDRESS(2,COLUMN())),OFFSET($BN$2,0,0,ROW()-1,60),ROW()-1,FALSE))</f>
        <v/>
      </c>
      <c r="AX551" t="str">
        <f ca="1">IF(AND(ISNUMBER($AX$1210),$B$677=1),$AX$1210,HLOOKUP(INDIRECT(ADDRESS(2,COLUMN())),OFFSET($BN$2,0,0,ROW()-1,60),ROW()-1,FALSE))</f>
        <v/>
      </c>
      <c r="AY551" t="str">
        <f ca="1">IF(AND(ISNUMBER($AY$1210),$B$677=1),$AY$1210,HLOOKUP(INDIRECT(ADDRESS(2,COLUMN())),OFFSET($BN$2,0,0,ROW()-1,60),ROW()-1,FALSE))</f>
        <v/>
      </c>
      <c r="AZ551" t="str">
        <f ca="1">IF(AND(ISNUMBER($AZ$1210),$B$677=1),$AZ$1210,HLOOKUP(INDIRECT(ADDRESS(2,COLUMN())),OFFSET($BN$2,0,0,ROW()-1,60),ROW()-1,FALSE))</f>
        <v/>
      </c>
      <c r="BA551" t="str">
        <f ca="1">IF(AND(ISNUMBER($BA$1210),$B$677=1),$BA$1210,HLOOKUP(INDIRECT(ADDRESS(2,COLUMN())),OFFSET($BN$2,0,0,ROW()-1,60),ROW()-1,FALSE))</f>
        <v/>
      </c>
      <c r="BB551" t="str">
        <f ca="1">IF(AND(ISNUMBER($BB$1210),$B$677=1),$BB$1210,HLOOKUP(INDIRECT(ADDRESS(2,COLUMN())),OFFSET($BN$2,0,0,ROW()-1,60),ROW()-1,FALSE))</f>
        <v/>
      </c>
      <c r="BC551" t="str">
        <f ca="1">IF(AND(ISNUMBER($BC$1210),$B$677=1),$BC$1210,HLOOKUP(INDIRECT(ADDRESS(2,COLUMN())),OFFSET($BN$2,0,0,ROW()-1,60),ROW()-1,FALSE))</f>
        <v/>
      </c>
      <c r="BD551" t="str">
        <f ca="1">IF(AND(ISNUMBER($BD$1210),$B$677=1),$BD$1210,HLOOKUP(INDIRECT(ADDRESS(2,COLUMN())),OFFSET($BN$2,0,0,ROW()-1,60),ROW()-1,FALSE))</f>
        <v/>
      </c>
      <c r="BE551" t="str">
        <f ca="1">IF(AND(ISNUMBER($BE$1210),$B$677=1),$BE$1210,HLOOKUP(INDIRECT(ADDRESS(2,COLUMN())),OFFSET($BN$2,0,0,ROW()-1,60),ROW()-1,FALSE))</f>
        <v/>
      </c>
      <c r="BF551" t="str">
        <f ca="1">IF(AND(ISNUMBER($BF$1210),$B$677=1),$BF$1210,HLOOKUP(INDIRECT(ADDRESS(2,COLUMN())),OFFSET($BN$2,0,0,ROW()-1,60),ROW()-1,FALSE))</f>
        <v/>
      </c>
      <c r="BG551" t="str">
        <f ca="1">IF(AND(ISNUMBER($BG$1210),$B$677=1),$BG$1210,HLOOKUP(INDIRECT(ADDRESS(2,COLUMN())),OFFSET($BN$2,0,0,ROW()-1,60),ROW()-1,FALSE))</f>
        <v/>
      </c>
      <c r="BH551" t="str">
        <f ca="1">IF(AND(ISNUMBER($BH$1210),$B$677=1),$BH$1210,HLOOKUP(INDIRECT(ADDRESS(2,COLUMN())),OFFSET($BN$2,0,0,ROW()-1,60),ROW()-1,FALSE))</f>
        <v/>
      </c>
      <c r="BI551" t="str">
        <f ca="1">IF(AND(ISNUMBER($BI$1210),$B$677=1),$BI$1210,HLOOKUP(INDIRECT(ADDRESS(2,COLUMN())),OFFSET($BN$2,0,0,ROW()-1,60),ROW()-1,FALSE))</f>
        <v/>
      </c>
      <c r="BJ551" t="str">
        <f ca="1">IF(AND(ISNUMBER($BJ$1210),$B$677=1),$BJ$1210,HLOOKUP(INDIRECT(ADDRESS(2,COLUMN())),OFFSET($BN$2,0,0,ROW()-1,60),ROW()-1,FALSE))</f>
        <v/>
      </c>
      <c r="BK551" t="str">
        <f ca="1">IF(AND(ISNUMBER($BK$1210),$B$677=1),$BK$1210,HLOOKUP(INDIRECT(ADDRESS(2,COLUMN())),OFFSET($BN$2,0,0,ROW()-1,60),ROW()-1,FALSE))</f>
        <v/>
      </c>
      <c r="BL551" t="str">
        <f ca="1">IF(AND(ISNUMBER($BL$1210),$B$677=1),$BL$1210,HLOOKUP(INDIRECT(ADDRESS(2,COLUMN())),OFFSET($BN$2,0,0,ROW()-1,60),ROW()-1,FALSE))</f>
        <v/>
      </c>
      <c r="BM551" t="str">
        <f ca="1">IF(AND(ISNUMBER($BM$1210),$B$677=1),$BM$1210,HLOOKUP(INDIRECT(ADDRESS(2,COLUMN())),OFFSET($BN$2,0,0,ROW()-1,60),ROW()-1,FALSE))</f>
        <v/>
      </c>
      <c r="BN551">
        <f>25.3051406</f>
        <v>25.305140600000001</v>
      </c>
      <c r="BO551">
        <f>26.4200776</f>
        <v>26.420077599999999</v>
      </c>
      <c r="BP551">
        <f>22.83852626</f>
        <v>22.838526259999998</v>
      </c>
      <c r="BQ551">
        <f>23.69729583</f>
        <v>23.697295830000002</v>
      </c>
      <c r="BR551">
        <f>27.81329802</f>
        <v>27.813298020000001</v>
      </c>
      <c r="BS551">
        <f>31.12076836</f>
        <v>31.12076836</v>
      </c>
      <c r="BT551">
        <f>31.09434984</f>
        <v>31.09434984</v>
      </c>
      <c r="BU551">
        <f>48.78455667</f>
        <v>48.784556670000001</v>
      </c>
      <c r="BV551">
        <f>34.29325945</f>
        <v>34.293259450000001</v>
      </c>
      <c r="BW551">
        <f>39.14735972</f>
        <v>39.147359719999997</v>
      </c>
      <c r="BX551">
        <f>48.56826524</f>
        <v>48.568265240000002</v>
      </c>
      <c r="BY551">
        <f>36.74445995</f>
        <v>36.74445995</v>
      </c>
      <c r="BZ551">
        <f>30.39854653</f>
        <v>30.398546530000001</v>
      </c>
      <c r="CA551">
        <f>20.65993042</f>
        <v>20.659930419999998</v>
      </c>
      <c r="CB551">
        <f>25.49824167</f>
        <v>25.498241669999999</v>
      </c>
      <c r="CC551">
        <f>30.30448133</f>
        <v>30.304481330000002</v>
      </c>
      <c r="CD551">
        <f>25.75481985</f>
        <v>25.754819850000001</v>
      </c>
      <c r="CE551">
        <f>37.08466412</f>
        <v>37.084664119999999</v>
      </c>
      <c r="CF551" t="str">
        <f>""</f>
        <v/>
      </c>
      <c r="CG551" t="str">
        <f>""</f>
        <v/>
      </c>
      <c r="CH551" t="str">
        <f>""</f>
        <v/>
      </c>
      <c r="CI551" t="str">
        <f>""</f>
        <v/>
      </c>
      <c r="CJ551" t="str">
        <f>""</f>
        <v/>
      </c>
      <c r="CK551" t="str">
        <f>""</f>
        <v/>
      </c>
      <c r="CL551" t="str">
        <f>""</f>
        <v/>
      </c>
      <c r="CM551" t="str">
        <f>""</f>
        <v/>
      </c>
      <c r="CN551" t="str">
        <f>""</f>
        <v/>
      </c>
      <c r="CO551" t="str">
        <f>""</f>
        <v/>
      </c>
      <c r="CP551" t="str">
        <f>""</f>
        <v/>
      </c>
      <c r="CQ551" t="str">
        <f>""</f>
        <v/>
      </c>
      <c r="CR551" t="str">
        <f>""</f>
        <v/>
      </c>
      <c r="CS551" t="str">
        <f>""</f>
        <v/>
      </c>
      <c r="CT551" t="str">
        <f>""</f>
        <v/>
      </c>
      <c r="CU551" t="str">
        <f>""</f>
        <v/>
      </c>
      <c r="CV551" t="str">
        <f>""</f>
        <v/>
      </c>
      <c r="CW551" t="str">
        <f>""</f>
        <v/>
      </c>
      <c r="CX551" t="str">
        <f>""</f>
        <v/>
      </c>
      <c r="CY551" t="str">
        <f>""</f>
        <v/>
      </c>
      <c r="CZ551" t="str">
        <f>""</f>
        <v/>
      </c>
      <c r="DA551" t="str">
        <f>""</f>
        <v/>
      </c>
      <c r="DB551" t="str">
        <f>""</f>
        <v/>
      </c>
      <c r="DC551" t="str">
        <f>""</f>
        <v/>
      </c>
      <c r="DD551" t="str">
        <f>""</f>
        <v/>
      </c>
      <c r="DE551" t="str">
        <f>""</f>
        <v/>
      </c>
      <c r="DF551" t="str">
        <f>""</f>
        <v/>
      </c>
      <c r="DG551" t="str">
        <f>""</f>
        <v/>
      </c>
      <c r="DH551" t="str">
        <f>""</f>
        <v/>
      </c>
      <c r="DI551" t="str">
        <f>""</f>
        <v/>
      </c>
      <c r="DJ551" t="str">
        <f>""</f>
        <v/>
      </c>
      <c r="DK551" t="str">
        <f>""</f>
        <v/>
      </c>
      <c r="DL551" t="str">
        <f>""</f>
        <v/>
      </c>
      <c r="DM551" t="str">
        <f>""</f>
        <v/>
      </c>
      <c r="DN551" t="str">
        <f>""</f>
        <v/>
      </c>
      <c r="DO551" t="str">
        <f>""</f>
        <v/>
      </c>
      <c r="DP551" t="str">
        <f>""</f>
        <v/>
      </c>
      <c r="DQ551" t="str">
        <f>""</f>
        <v/>
      </c>
      <c r="DR551" t="str">
        <f>""</f>
        <v/>
      </c>
      <c r="DS551" t="str">
        <f>""</f>
        <v/>
      </c>
      <c r="DT551" t="str">
        <f>""</f>
        <v/>
      </c>
      <c r="DU551" t="str">
        <f>""</f>
        <v/>
      </c>
    </row>
    <row r="552" spans="1:125" x14ac:dyDescent="0.25">
      <c r="A552" t="str">
        <f>"    Ford Motor Co"</f>
        <v xml:space="preserve">    Ford Motor Co</v>
      </c>
      <c r="B552" t="str">
        <f>"F US Equity"</f>
        <v>F US Equity</v>
      </c>
      <c r="C552" t="str">
        <f t="shared" si="39"/>
        <v>RX076</v>
      </c>
      <c r="D552" t="str">
        <f t="shared" si="40"/>
        <v>EBIT_YIELD</v>
      </c>
      <c r="E552" t="str">
        <f t="shared" si="41"/>
        <v>Dynamic</v>
      </c>
      <c r="F552">
        <f ca="1">IF(AND(ISNUMBER($F$1211),$B$677=1),$F$1211,HLOOKUP(INDIRECT(ADDRESS(2,COLUMN())),OFFSET($BN$2,0,0,ROW()-1,60),ROW()-1,FALSE))</f>
        <v>9.2533717180000004</v>
      </c>
      <c r="G552">
        <f ca="1">IF(AND(ISNUMBER($G$1211),$B$677=1),$G$1211,HLOOKUP(INDIRECT(ADDRESS(2,COLUMN())),OFFSET($BN$2,0,0,ROW()-1,60),ROW()-1,FALSE))</f>
        <v>10.535538259999999</v>
      </c>
      <c r="H552">
        <f ca="1">IF(AND(ISNUMBER($H$1211),$B$677=1),$H$1211,HLOOKUP(INDIRECT(ADDRESS(2,COLUMN())),OFFSET($BN$2,0,0,ROW()-1,60),ROW()-1,FALSE))</f>
        <v>9.3497061640000005</v>
      </c>
      <c r="I552">
        <f ca="1">IF(AND(ISNUMBER($I$1211),$B$677=1),$I$1211,HLOOKUP(INDIRECT(ADDRESS(2,COLUMN())),OFFSET($BN$2,0,0,ROW()-1,60),ROW()-1,FALSE))</f>
        <v>8.1192665670000004</v>
      </c>
      <c r="J552">
        <f ca="1">IF(AND(ISNUMBER($J$1211),$B$677=1),$J$1211,HLOOKUP(INDIRECT(ADDRESS(2,COLUMN())),OFFSET($BN$2,0,0,ROW()-1,60),ROW()-1,FALSE))</f>
        <v>10.304146790000001</v>
      </c>
      <c r="K552">
        <f ca="1">IF(AND(ISNUMBER($K$1211),$B$677=1),$K$1211,HLOOKUP(INDIRECT(ADDRESS(2,COLUMN())),OFFSET($BN$2,0,0,ROW()-1,60),ROW()-1,FALSE))</f>
        <v>9.8304657899999999</v>
      </c>
      <c r="L552">
        <f ca="1">IF(AND(ISNUMBER($L$1211),$B$677=1),$L$1211,HLOOKUP(INDIRECT(ADDRESS(2,COLUMN())),OFFSET($BN$2,0,0,ROW()-1,60),ROW()-1,FALSE))</f>
        <v>9.1814548519999999</v>
      </c>
      <c r="M552">
        <f ca="1">IF(AND(ISNUMBER($M$1211),$B$677=1),$M$1211,HLOOKUP(INDIRECT(ADDRESS(2,COLUMN())),OFFSET($BN$2,0,0,ROW()-1,60),ROW()-1,FALSE))</f>
        <v>9.2896129159999994</v>
      </c>
      <c r="N552">
        <f ca="1">IF(AND(ISNUMBER($N$1211),$B$677=1),$N$1211,HLOOKUP(INDIRECT(ADDRESS(2,COLUMN())),OFFSET($BN$2,0,0,ROW()-1,60),ROW()-1,FALSE))</f>
        <v>10.373987059999999</v>
      </c>
      <c r="O552">
        <f ca="1">IF(AND(ISNUMBER($O$1211),$B$677=1),$O$1211,HLOOKUP(INDIRECT(ADDRESS(2,COLUMN())),OFFSET($BN$2,0,0,ROW()-1,60),ROW()-1,FALSE))</f>
        <v>12.009094729999999</v>
      </c>
      <c r="P552">
        <f ca="1">IF(AND(ISNUMBER($P$1211),$B$677=1),$P$1211,HLOOKUP(INDIRECT(ADDRESS(2,COLUMN())),OFFSET($BN$2,0,0,ROW()-1,60),ROW()-1,FALSE))</f>
        <v>12.26750676</v>
      </c>
      <c r="Q552">
        <f ca="1">IF(AND(ISNUMBER($Q$1211),$B$677=1),$Q$1211,HLOOKUP(INDIRECT(ADDRESS(2,COLUMN())),OFFSET($BN$2,0,0,ROW()-1,60),ROW()-1,FALSE))</f>
        <v>15.545717310000001</v>
      </c>
      <c r="R552">
        <f ca="1">IF(AND(ISNUMBER($R$1211),$B$677=1),$R$1211,HLOOKUP(INDIRECT(ADDRESS(2,COLUMN())),OFFSET($BN$2,0,0,ROW()-1,60),ROW()-1,FALSE))</f>
        <v>15.27525561</v>
      </c>
      <c r="S552">
        <f ca="1">IF(AND(ISNUMBER($S$1211),$B$677=1),$S$1211,HLOOKUP(INDIRECT(ADDRESS(2,COLUMN())),OFFSET($BN$2,0,0,ROW()-1,60),ROW()-1,FALSE))</f>
        <v>12.476063809999999</v>
      </c>
      <c r="T552">
        <f ca="1">IF(AND(ISNUMBER($T$1211),$B$677=1),$T$1211,HLOOKUP(INDIRECT(ADDRESS(2,COLUMN())),OFFSET($BN$2,0,0,ROW()-1,60),ROW()-1,FALSE))</f>
        <v>6.7816485660000003</v>
      </c>
      <c r="U552">
        <f ca="1">IF(AND(ISNUMBER($U$1211),$B$677=1),$U$1211,HLOOKUP(INDIRECT(ADDRESS(2,COLUMN())),OFFSET($BN$2,0,0,ROW()-1,60),ROW()-1,FALSE))</f>
        <v>2.5485868549999999</v>
      </c>
      <c r="V552">
        <f ca="1">IF(AND(ISNUMBER($V$1211),$B$677=1),$V$1211,HLOOKUP(INDIRECT(ADDRESS(2,COLUMN())),OFFSET($BN$2,0,0,ROW()-1,60),ROW()-1,FALSE))</f>
        <v>1.2310969270000001</v>
      </c>
      <c r="W552">
        <f ca="1">IF(AND(ISNUMBER($W$1211),$B$677=1),$W$1211,HLOOKUP(INDIRECT(ADDRESS(2,COLUMN())),OFFSET($BN$2,0,0,ROW()-1,60),ROW()-1,FALSE))</f>
        <v>0.51433184399999998</v>
      </c>
      <c r="X552">
        <f ca="1">IF(AND(ISNUMBER($X$1211),$B$677=1),$X$1211,HLOOKUP(INDIRECT(ADDRESS(2,COLUMN())),OFFSET($BN$2,0,0,ROW()-1,60),ROW()-1,FALSE))</f>
        <v>6.4039685669999997</v>
      </c>
      <c r="Y552">
        <f ca="1">IF(AND(ISNUMBER($Y$1211),$B$677=1),$Y$1211,HLOOKUP(INDIRECT(ADDRESS(2,COLUMN())),OFFSET($BN$2,0,0,ROW()-1,60),ROW()-1,FALSE))</f>
        <v>7.259160971</v>
      </c>
      <c r="Z552">
        <f ca="1">IF(AND(ISNUMBER($Z$1211),$B$677=1),$Z$1211,HLOOKUP(INDIRECT(ADDRESS(2,COLUMN())),OFFSET($BN$2,0,0,ROW()-1,60),ROW()-1,FALSE))</f>
        <v>7.2731810709999998</v>
      </c>
      <c r="AA552">
        <f ca="1">IF(AND(ISNUMBER($AA$1211),$B$677=1),$AA$1211,HLOOKUP(INDIRECT(ADDRESS(2,COLUMN())),OFFSET($BN$2,0,0,ROW()-1,60),ROW()-1,FALSE))</f>
        <v>9.02592718</v>
      </c>
      <c r="AB552">
        <f ca="1">IF(AND(ISNUMBER($AB$1211),$B$677=1),$AB$1211,HLOOKUP(INDIRECT(ADDRESS(2,COLUMN())),OFFSET($BN$2,0,0,ROW()-1,60),ROW()-1,FALSE))</f>
        <v>8.3504573680000007</v>
      </c>
      <c r="AC552">
        <f ca="1">IF(AND(ISNUMBER($AC$1211),$B$677=1),$AC$1211,HLOOKUP(INDIRECT(ADDRESS(2,COLUMN())),OFFSET($BN$2,0,0,ROW()-1,60),ROW()-1,FALSE))</f>
        <v>9.3387978260000004</v>
      </c>
      <c r="AD552">
        <f ca="1">IF(AND(ISNUMBER($AD$1211),$B$677=1),$AD$1211,HLOOKUP(INDIRECT(ADDRESS(2,COLUMN())),OFFSET($BN$2,0,0,ROW()-1,60),ROW()-1,FALSE))</f>
        <v>11.36143605</v>
      </c>
      <c r="AE552">
        <f ca="1">IF(AND(ISNUMBER($AE$1211),$B$677=1),$AE$1211,HLOOKUP(INDIRECT(ADDRESS(2,COLUMN())),OFFSET($BN$2,0,0,ROW()-1,60),ROW()-1,FALSE))</f>
        <v>11.74658144</v>
      </c>
      <c r="AF552">
        <f ca="1">IF(AND(ISNUMBER($AF$1211),$B$677=1),$AF$1211,HLOOKUP(INDIRECT(ADDRESS(2,COLUMN())),OFFSET($BN$2,0,0,ROW()-1,60),ROW()-1,FALSE))</f>
        <v>17.463087659999999</v>
      </c>
      <c r="AG552">
        <f ca="1">IF(AND(ISNUMBER($AG$1211),$B$677=1),$AG$1211,HLOOKUP(INDIRECT(ADDRESS(2,COLUMN())),OFFSET($BN$2,0,0,ROW()-1,60),ROW()-1,FALSE))</f>
        <v>17.602267130000001</v>
      </c>
      <c r="AH552">
        <f ca="1">IF(AND(ISNUMBER($AH$1211),$B$677=1),$AH$1211,HLOOKUP(INDIRECT(ADDRESS(2,COLUMN())),OFFSET($BN$2,0,0,ROW()-1,60),ROW()-1,FALSE))</f>
        <v>15.313742380000001</v>
      </c>
      <c r="AI552">
        <f ca="1">IF(AND(ISNUMBER($AI$1211),$B$677=1),$AI$1211,HLOOKUP(INDIRECT(ADDRESS(2,COLUMN())),OFFSET($BN$2,0,0,ROW()-1,60),ROW()-1,FALSE))</f>
        <v>20.03998859</v>
      </c>
      <c r="AJ552">
        <f ca="1">IF(AND(ISNUMBER($AJ$1211),$B$677=1),$AJ$1211,HLOOKUP(INDIRECT(ADDRESS(2,COLUMN())),OFFSET($BN$2,0,0,ROW()-1,60),ROW()-1,FALSE))</f>
        <v>22.796141500000001</v>
      </c>
      <c r="AK552">
        <f ca="1">IF(AND(ISNUMBER($AK$1211),$B$677=1),$AK$1211,HLOOKUP(INDIRECT(ADDRESS(2,COLUMN())),OFFSET($BN$2,0,0,ROW()-1,60),ROW()-1,FALSE))</f>
        <v>17.02204691</v>
      </c>
      <c r="AL552">
        <f ca="1">IF(AND(ISNUMBER($AL$1211),$B$677=1),$AL$1211,HLOOKUP(INDIRECT(ADDRESS(2,COLUMN())),OFFSET($BN$2,0,0,ROW()-1,60),ROW()-1,FALSE))</f>
        <v>17.59415984</v>
      </c>
      <c r="AM552">
        <f ca="1">IF(AND(ISNUMBER($AM$1211),$B$677=1),$AM$1211,HLOOKUP(INDIRECT(ADDRESS(2,COLUMN())),OFFSET($BN$2,0,0,ROW()-1,60),ROW()-1,FALSE))</f>
        <v>15.23376987</v>
      </c>
      <c r="AN552">
        <f ca="1">IF(AND(ISNUMBER($AN$1211),$B$677=1),$AN$1211,HLOOKUP(INDIRECT(ADDRESS(2,COLUMN())),OFFSET($BN$2,0,0,ROW()-1,60),ROW()-1,FALSE))</f>
        <v>20.08180003</v>
      </c>
      <c r="AO552">
        <f ca="1">IF(AND(ISNUMBER($AO$1211),$B$677=1),$AO$1211,HLOOKUP(INDIRECT(ADDRESS(2,COLUMN())),OFFSET($BN$2,0,0,ROW()-1,60),ROW()-1,FALSE))</f>
        <v>21.745467390000002</v>
      </c>
      <c r="AP552">
        <f ca="1">IF(AND(ISNUMBER($AP$1211),$B$677=1),$AP$1211,HLOOKUP(INDIRECT(ADDRESS(2,COLUMN())),OFFSET($BN$2,0,0,ROW()-1,60),ROW()-1,FALSE))</f>
        <v>6.5012597850000002</v>
      </c>
      <c r="AQ552">
        <f ca="1">IF(AND(ISNUMBER($AQ$1211),$B$677=1),$AQ$1211,HLOOKUP(INDIRECT(ADDRESS(2,COLUMN())),OFFSET($BN$2,0,0,ROW()-1,60),ROW()-1,FALSE))</f>
        <v>-9.1428054809999999</v>
      </c>
      <c r="AR552">
        <f ca="1">IF(AND(ISNUMBER($AR$1211),$B$677=1),$AR$1211,HLOOKUP(INDIRECT(ADDRESS(2,COLUMN())),OFFSET($BN$2,0,0,ROW()-1,60),ROW()-1,FALSE))</f>
        <v>-43.424659040000002</v>
      </c>
      <c r="AS552">
        <f ca="1">IF(AND(ISNUMBER($AS$1211),$B$677=1),$AS$1211,HLOOKUP(INDIRECT(ADDRESS(2,COLUMN())),OFFSET($BN$2,0,0,ROW()-1,60),ROW()-1,FALSE))</f>
        <v>-57.778072690000002</v>
      </c>
      <c r="AT552">
        <f ca="1">IF(AND(ISNUMBER($AT$1211),$B$677=1),$AT$1211,HLOOKUP(INDIRECT(ADDRESS(2,COLUMN())),OFFSET($BN$2,0,0,ROW()-1,60),ROW()-1,FALSE))</f>
        <v>-264.05277640000003</v>
      </c>
      <c r="AU552">
        <f ca="1">IF(AND(ISNUMBER($AU$1211),$B$677=1),$AU$1211,HLOOKUP(INDIRECT(ADDRESS(2,COLUMN())),OFFSET($BN$2,0,0,ROW()-1,60),ROW()-1,FALSE))</f>
        <v>-248.85152980000001</v>
      </c>
      <c r="AV552">
        <f ca="1">IF(AND(ISNUMBER($AV$1211),$B$677=1),$AV$1211,HLOOKUP(INDIRECT(ADDRESS(2,COLUMN())),OFFSET($BN$2,0,0,ROW()-1,60),ROW()-1,FALSE))</f>
        <v>-92.510961069999993</v>
      </c>
      <c r="AW552">
        <f ca="1">IF(AND(ISNUMBER($AW$1211),$B$677=1),$AW$1211,HLOOKUP(INDIRECT(ADDRESS(2,COLUMN())),OFFSET($BN$2,0,0,ROW()-1,60),ROW()-1,FALSE))</f>
        <v>-92.71556717</v>
      </c>
      <c r="AX552">
        <f ca="1">IF(AND(ISNUMBER($AX$1211),$B$677=1),$AX$1211,HLOOKUP(INDIRECT(ADDRESS(2,COLUMN())),OFFSET($BN$2,0,0,ROW()-1,60),ROW()-1,FALSE))</f>
        <v>-2.3749096600000001</v>
      </c>
      <c r="AY552">
        <f ca="1">IF(AND(ISNUMBER($AY$1211),$B$677=1),$AY$1211,HLOOKUP(INDIRECT(ADDRESS(2,COLUMN())),OFFSET($BN$2,0,0,ROW()-1,60),ROW()-1,FALSE))</f>
        <v>-3.561374094</v>
      </c>
      <c r="AZ552">
        <f ca="1">IF(AND(ISNUMBER($AZ$1211),$B$677=1),$AZ$1211,HLOOKUP(INDIRECT(ADDRESS(2,COLUMN())),OFFSET($BN$2,0,0,ROW()-1,60),ROW()-1,FALSE))</f>
        <v>-27.03936242</v>
      </c>
      <c r="BA552">
        <f ca="1">IF(AND(ISNUMBER($BA$1211),$B$677=1),$BA$1211,HLOOKUP(INDIRECT(ADDRESS(2,COLUMN())),OFFSET($BN$2,0,0,ROW()-1,60),ROW()-1,FALSE))</f>
        <v>-67.179310920000006</v>
      </c>
      <c r="BB552">
        <f ca="1">IF(AND(ISNUMBER($BB$1211),$B$677=1),$BB$1211,HLOOKUP(INDIRECT(ADDRESS(2,COLUMN())),OFFSET($BN$2,0,0,ROW()-1,60),ROW()-1,FALSE))</f>
        <v>-91.248329530000007</v>
      </c>
      <c r="BC552">
        <f ca="1">IF(AND(ISNUMBER($BC$1211),$B$677=1),$BC$1211,HLOOKUP(INDIRECT(ADDRESS(2,COLUMN())),OFFSET($BN$2,0,0,ROW()-1,60),ROW()-1,FALSE))</f>
        <v>-113.1904088</v>
      </c>
      <c r="BD552">
        <f ca="1">IF(AND(ISNUMBER($BD$1211),$B$677=1),$BD$1211,HLOOKUP(INDIRECT(ADDRESS(2,COLUMN())),OFFSET($BN$2,0,0,ROW()-1,60),ROW()-1,FALSE))</f>
        <v>-73.040262979999994</v>
      </c>
      <c r="BE552">
        <f ca="1">IF(AND(ISNUMBER($BE$1211),$B$677=1),$BE$1211,HLOOKUP(INDIRECT(ADDRESS(2,COLUMN())),OFFSET($BN$2,0,0,ROW()-1,60),ROW()-1,FALSE))</f>
        <v>-38.305719230000001</v>
      </c>
      <c r="BF552">
        <f ca="1">IF(AND(ISNUMBER($BF$1211),$B$677=1),$BF$1211,HLOOKUP(INDIRECT(ADDRESS(2,COLUMN())),OFFSET($BN$2,0,0,ROW()-1,60),ROW()-1,FALSE))</f>
        <v>-26.42258795</v>
      </c>
      <c r="BG552">
        <f ca="1">IF(AND(ISNUMBER($BG$1211),$B$677=1),$BG$1211,HLOOKUP(INDIRECT(ADDRESS(2,COLUMN())),OFFSET($BN$2,0,0,ROW()-1,60),ROW()-1,FALSE))</f>
        <v>-2.6936553810000001</v>
      </c>
      <c r="BH552">
        <f ca="1">IF(AND(ISNUMBER($BH$1211),$B$677=1),$BH$1211,HLOOKUP(INDIRECT(ADDRESS(2,COLUMN())),OFFSET($BN$2,0,0,ROW()-1,60),ROW()-1,FALSE))</f>
        <v>-1.7460465249999999</v>
      </c>
      <c r="BI552">
        <f ca="1">IF(AND(ISNUMBER($BI$1211),$B$677=1),$BI$1211,HLOOKUP(INDIRECT(ADDRESS(2,COLUMN())),OFFSET($BN$2,0,0,ROW()-1,60),ROW()-1,FALSE))</f>
        <v>6.7422799940000004</v>
      </c>
      <c r="BJ552">
        <f ca="1">IF(AND(ISNUMBER($BJ$1211),$B$677=1),$BJ$1211,HLOOKUP(INDIRECT(ADDRESS(2,COLUMN())),OFFSET($BN$2,0,0,ROW()-1,60),ROW()-1,FALSE))</f>
        <v>12.889610429999999</v>
      </c>
      <c r="BK552">
        <f ca="1">IF(AND(ISNUMBER($BK$1211),$B$677=1),$BK$1211,HLOOKUP(INDIRECT(ADDRESS(2,COLUMN())),OFFSET($BN$2,0,0,ROW()-1,60),ROW()-1,FALSE))</f>
        <v>16.797303159999998</v>
      </c>
      <c r="BL552">
        <f ca="1">IF(AND(ISNUMBER($BL$1211),$B$677=1),$BL$1211,HLOOKUP(INDIRECT(ADDRESS(2,COLUMN())),OFFSET($BN$2,0,0,ROW()-1,60),ROW()-1,FALSE))</f>
        <v>14.8466331</v>
      </c>
      <c r="BM552">
        <f ca="1">IF(AND(ISNUMBER($BM$1211),$B$677=1),$BM$1211,HLOOKUP(INDIRECT(ADDRESS(2,COLUMN())),OFFSET($BN$2,0,0,ROW()-1,60),ROW()-1,FALSE))</f>
        <v>12.288048890000001</v>
      </c>
      <c r="BN552">
        <f>9.253371718</f>
        <v>9.2533717180000004</v>
      </c>
      <c r="BO552">
        <f>10.53553826</f>
        <v>10.535538259999999</v>
      </c>
      <c r="BP552">
        <f>9.349706164</f>
        <v>9.3497061640000005</v>
      </c>
      <c r="BQ552">
        <f>8.119266567</f>
        <v>8.1192665670000004</v>
      </c>
      <c r="BR552">
        <f>10.30414679</f>
        <v>10.304146790000001</v>
      </c>
      <c r="BS552">
        <f>9.83046579</f>
        <v>9.8304657899999999</v>
      </c>
      <c r="BT552">
        <f>9.181454852</f>
        <v>9.1814548519999999</v>
      </c>
      <c r="BU552">
        <f>9.289612916</f>
        <v>9.2896129159999994</v>
      </c>
      <c r="BV552">
        <f>10.37398706</f>
        <v>10.373987059999999</v>
      </c>
      <c r="BW552">
        <f>12.00909473</f>
        <v>12.009094729999999</v>
      </c>
      <c r="BX552">
        <f>12.26750676</f>
        <v>12.26750676</v>
      </c>
      <c r="BY552">
        <f>15.54571731</f>
        <v>15.545717310000001</v>
      </c>
      <c r="BZ552">
        <f>15.27525561</f>
        <v>15.27525561</v>
      </c>
      <c r="CA552">
        <f>12.47606381</f>
        <v>12.476063809999999</v>
      </c>
      <c r="CB552">
        <f>6.781648566</f>
        <v>6.7816485660000003</v>
      </c>
      <c r="CC552">
        <f>2.548586855</f>
        <v>2.5485868549999999</v>
      </c>
      <c r="CD552">
        <f>1.231096927</f>
        <v>1.2310969270000001</v>
      </c>
      <c r="CE552">
        <f>0.514331844</f>
        <v>0.51433184399999998</v>
      </c>
      <c r="CF552">
        <f>6.403968567</f>
        <v>6.4039685669999997</v>
      </c>
      <c r="CG552">
        <f>7.259160971</f>
        <v>7.259160971</v>
      </c>
      <c r="CH552">
        <f>7.273181071</f>
        <v>7.2731810709999998</v>
      </c>
      <c r="CI552">
        <f>9.02592718</f>
        <v>9.02592718</v>
      </c>
      <c r="CJ552">
        <f>8.350457368</f>
        <v>8.3504573680000007</v>
      </c>
      <c r="CK552">
        <f>9.338797826</f>
        <v>9.3387978260000004</v>
      </c>
      <c r="CL552">
        <f>11.36143605</f>
        <v>11.36143605</v>
      </c>
      <c r="CM552">
        <f>11.74658144</f>
        <v>11.74658144</v>
      </c>
      <c r="CN552">
        <f>17.46308766</f>
        <v>17.463087659999999</v>
      </c>
      <c r="CO552">
        <f>17.60226713</f>
        <v>17.602267130000001</v>
      </c>
      <c r="CP552">
        <f>15.31374238</f>
        <v>15.313742380000001</v>
      </c>
      <c r="CQ552">
        <f>20.03998859</f>
        <v>20.03998859</v>
      </c>
      <c r="CR552">
        <f>22.7961415</f>
        <v>22.796141500000001</v>
      </c>
      <c r="CS552">
        <f>17.02204691</f>
        <v>17.02204691</v>
      </c>
      <c r="CT552">
        <f>17.59415984</f>
        <v>17.59415984</v>
      </c>
      <c r="CU552">
        <f>15.23376987</f>
        <v>15.23376987</v>
      </c>
      <c r="CV552">
        <f>20.08180003</f>
        <v>20.08180003</v>
      </c>
      <c r="CW552">
        <f>21.74546739</f>
        <v>21.745467390000002</v>
      </c>
      <c r="CX552">
        <f>6.501259785</f>
        <v>6.5012597850000002</v>
      </c>
      <c r="CY552">
        <f>-9.142805481</f>
        <v>-9.1428054809999999</v>
      </c>
      <c r="CZ552">
        <f>-43.42465904</f>
        <v>-43.424659040000002</v>
      </c>
      <c r="DA552">
        <f>-57.77807269</f>
        <v>-57.778072690000002</v>
      </c>
      <c r="DB552">
        <f>-264.0527764</f>
        <v>-264.05277640000003</v>
      </c>
      <c r="DC552">
        <f>-248.8515298</f>
        <v>-248.85152980000001</v>
      </c>
      <c r="DD552">
        <f>-92.51096107</f>
        <v>-92.510961069999993</v>
      </c>
      <c r="DE552">
        <f>-92.71556717</f>
        <v>-92.71556717</v>
      </c>
      <c r="DF552">
        <f>-2.37490966</f>
        <v>-2.3749096600000001</v>
      </c>
      <c r="DG552">
        <f>-3.561374094</f>
        <v>-3.561374094</v>
      </c>
      <c r="DH552">
        <f>-27.03936242</f>
        <v>-27.03936242</v>
      </c>
      <c r="DI552">
        <f>-67.17931092</f>
        <v>-67.179310920000006</v>
      </c>
      <c r="DJ552">
        <f>-91.24832953</f>
        <v>-91.248329530000007</v>
      </c>
      <c r="DK552">
        <f>-113.1904088</f>
        <v>-113.1904088</v>
      </c>
      <c r="DL552">
        <f>-73.04026298</f>
        <v>-73.040262979999994</v>
      </c>
      <c r="DM552">
        <f>-38.30571923</f>
        <v>-38.305719230000001</v>
      </c>
      <c r="DN552">
        <f>-26.42258795</f>
        <v>-26.42258795</v>
      </c>
      <c r="DO552">
        <f>-2.693655381</f>
        <v>-2.6936553810000001</v>
      </c>
      <c r="DP552">
        <f>-1.746046525</f>
        <v>-1.7460465249999999</v>
      </c>
      <c r="DQ552">
        <f>6.742279994</f>
        <v>6.7422799940000004</v>
      </c>
      <c r="DR552">
        <f>12.88961043</f>
        <v>12.889610429999999</v>
      </c>
      <c r="DS552">
        <f>16.79730316</f>
        <v>16.797303159999998</v>
      </c>
      <c r="DT552">
        <f>14.8466331</f>
        <v>14.8466331</v>
      </c>
      <c r="DU552">
        <f>12.28804889</f>
        <v>12.288048890000001</v>
      </c>
    </row>
    <row r="553" spans="1:125" x14ac:dyDescent="0.25">
      <c r="A553" t="str">
        <f>"    Ford Otomotiv Sanayi AS"</f>
        <v xml:space="preserve">    Ford Otomotiv Sanayi AS</v>
      </c>
      <c r="B553" t="str">
        <f>"FROTOTRY EO Equity"</f>
        <v>FROTOTRY EO Equity</v>
      </c>
      <c r="C553" t="str">
        <f t="shared" si="39"/>
        <v>RX076</v>
      </c>
      <c r="D553" t="str">
        <f t="shared" si="40"/>
        <v>EBIT_YIELD</v>
      </c>
      <c r="E553" t="str">
        <f t="shared" si="41"/>
        <v>Dynamic</v>
      </c>
      <c r="F553">
        <f ca="1">IF(AND(ISNUMBER($F$1212),$B$677=1),$F$1212,HLOOKUP(INDIRECT(ADDRESS(2,COLUMN())),OFFSET($BN$2,0,0,ROW()-1,60),ROW()-1,FALSE))</f>
        <v>12.19057108</v>
      </c>
      <c r="G553">
        <f ca="1">IF(AND(ISNUMBER($G$1212),$B$677=1),$G$1212,HLOOKUP(INDIRECT(ADDRESS(2,COLUMN())),OFFSET($BN$2,0,0,ROW()-1,60),ROW()-1,FALSE))</f>
        <v>13.446199910000001</v>
      </c>
      <c r="H553">
        <f ca="1">IF(AND(ISNUMBER($H$1212),$B$677=1),$H$1212,HLOOKUP(INDIRECT(ADDRESS(2,COLUMN())),OFFSET($BN$2,0,0,ROW()-1,60),ROW()-1,FALSE))</f>
        <v>9.0087389439999992</v>
      </c>
      <c r="I553">
        <f ca="1">IF(AND(ISNUMBER($I$1212),$B$677=1),$I$1212,HLOOKUP(INDIRECT(ADDRESS(2,COLUMN())),OFFSET($BN$2,0,0,ROW()-1,60),ROW()-1,FALSE))</f>
        <v>9.3796485220000001</v>
      </c>
      <c r="J553">
        <f ca="1">IF(AND(ISNUMBER($J$1212),$B$677=1),$J$1212,HLOOKUP(INDIRECT(ADDRESS(2,COLUMN())),OFFSET($BN$2,0,0,ROW()-1,60),ROW()-1,FALSE))</f>
        <v>8.0170954069999993</v>
      </c>
      <c r="K553">
        <f ca="1">IF(AND(ISNUMBER($K$1212),$B$677=1),$K$1212,HLOOKUP(INDIRECT(ADDRESS(2,COLUMN())),OFFSET($BN$2,0,0,ROW()-1,60),ROW()-1,FALSE))</f>
        <v>7.5232113680000001</v>
      </c>
      <c r="L553">
        <f ca="1">IF(AND(ISNUMBER($L$1212),$B$677=1),$L$1212,HLOOKUP(INDIRECT(ADDRESS(2,COLUMN())),OFFSET($BN$2,0,0,ROW()-1,60),ROW()-1,FALSE))</f>
        <v>9.3930512949999994</v>
      </c>
      <c r="M553">
        <f ca="1">IF(AND(ISNUMBER($M$1212),$B$677=1),$M$1212,HLOOKUP(INDIRECT(ADDRESS(2,COLUMN())),OFFSET($BN$2,0,0,ROW()-1,60),ROW()-1,FALSE))</f>
        <v>8.5336873660000006</v>
      </c>
      <c r="N553">
        <f ca="1">IF(AND(ISNUMBER($N$1212),$B$677=1),$N$1212,HLOOKUP(INDIRECT(ADDRESS(2,COLUMN())),OFFSET($BN$2,0,0,ROW()-1,60),ROW()-1,FALSE))</f>
        <v>9.6664159299999994</v>
      </c>
      <c r="O553">
        <f ca="1">IF(AND(ISNUMBER($O$1212),$B$677=1),$O$1212,HLOOKUP(INDIRECT(ADDRESS(2,COLUMN())),OFFSET($BN$2,0,0,ROW()-1,60),ROW()-1,FALSE))</f>
        <v>10.575207020000001</v>
      </c>
      <c r="P553">
        <f ca="1">IF(AND(ISNUMBER($P$1212),$B$677=1),$P$1212,HLOOKUP(INDIRECT(ADDRESS(2,COLUMN())),OFFSET($BN$2,0,0,ROW()-1,60),ROW()-1,FALSE))</f>
        <v>10.10011562</v>
      </c>
      <c r="Q553">
        <f ca="1">IF(AND(ISNUMBER($Q$1212),$B$677=1),$Q$1212,HLOOKUP(INDIRECT(ADDRESS(2,COLUMN())),OFFSET($BN$2,0,0,ROW()-1,60),ROW()-1,FALSE))</f>
        <v>10.320620659999999</v>
      </c>
      <c r="R553">
        <f ca="1">IF(AND(ISNUMBER($R$1212),$B$677=1),$R$1212,HLOOKUP(INDIRECT(ADDRESS(2,COLUMN())),OFFSET($BN$2,0,0,ROW()-1,60),ROW()-1,FALSE))</f>
        <v>8.1177238589999998</v>
      </c>
      <c r="S553">
        <f ca="1">IF(AND(ISNUMBER($S$1212),$B$677=1),$S$1212,HLOOKUP(INDIRECT(ADDRESS(2,COLUMN())),OFFSET($BN$2,0,0,ROW()-1,60),ROW()-1,FALSE))</f>
        <v>9.5597983299999996</v>
      </c>
      <c r="T553">
        <f ca="1">IF(AND(ISNUMBER($T$1212),$B$677=1),$T$1212,HLOOKUP(INDIRECT(ADDRESS(2,COLUMN())),OFFSET($BN$2,0,0,ROW()-1,60),ROW()-1,FALSE))</f>
        <v>7.6637758700000003</v>
      </c>
      <c r="U553">
        <f ca="1">IF(AND(ISNUMBER($U$1212),$B$677=1),$U$1212,HLOOKUP(INDIRECT(ADDRESS(2,COLUMN())),OFFSET($BN$2,0,0,ROW()-1,60),ROW()-1,FALSE))</f>
        <v>6.0546600269999997</v>
      </c>
      <c r="V553">
        <f ca="1">IF(AND(ISNUMBER($V$1212),$B$677=1),$V$1212,HLOOKUP(INDIRECT(ADDRESS(2,COLUMN())),OFFSET($BN$2,0,0,ROW()-1,60),ROW()-1,FALSE))</f>
        <v>5.4433035869999999</v>
      </c>
      <c r="W553">
        <f ca="1">IF(AND(ISNUMBER($W$1212),$B$677=1),$W$1212,HLOOKUP(INDIRECT(ADDRESS(2,COLUMN())),OFFSET($BN$2,0,0,ROW()-1,60),ROW()-1,FALSE))</f>
        <v>4.7283976269999997</v>
      </c>
      <c r="X553">
        <f ca="1">IF(AND(ISNUMBER($X$1212),$B$677=1),$X$1212,HLOOKUP(INDIRECT(ADDRESS(2,COLUMN())),OFFSET($BN$2,0,0,ROW()-1,60),ROW()-1,FALSE))</f>
        <v>5.686645349</v>
      </c>
      <c r="Y553">
        <f ca="1">IF(AND(ISNUMBER($Y$1212),$B$677=1),$Y$1212,HLOOKUP(INDIRECT(ADDRESS(2,COLUMN())),OFFSET($BN$2,0,0,ROW()-1,60),ROW()-1,FALSE))</f>
        <v>5.4912592450000002</v>
      </c>
      <c r="Z553">
        <f ca="1">IF(AND(ISNUMBER($Z$1212),$B$677=1),$Z$1212,HLOOKUP(INDIRECT(ADDRESS(2,COLUMN())),OFFSET($BN$2,0,0,ROW()-1,60),ROW()-1,FALSE))</f>
        <v>7.5538479369999996</v>
      </c>
      <c r="AA553">
        <f ca="1">IF(AND(ISNUMBER($AA$1212),$B$677=1),$AA$1212,HLOOKUP(INDIRECT(ADDRESS(2,COLUMN())),OFFSET($BN$2,0,0,ROW()-1,60),ROW()-1,FALSE))</f>
        <v>7.6308817869999999</v>
      </c>
      <c r="AB553">
        <f ca="1">IF(AND(ISNUMBER($AB$1212),$B$677=1),$AB$1212,HLOOKUP(INDIRECT(ADDRESS(2,COLUMN())),OFFSET($BN$2,0,0,ROW()-1,60),ROW()-1,FALSE))</f>
        <v>6.5494911729999998</v>
      </c>
      <c r="AC553">
        <f ca="1">IF(AND(ISNUMBER($AC$1212),$B$677=1),$AC$1212,HLOOKUP(INDIRECT(ADDRESS(2,COLUMN())),OFFSET($BN$2,0,0,ROW()-1,60),ROW()-1,FALSE))</f>
        <v>6.7221196279999997</v>
      </c>
      <c r="AD553">
        <f ca="1">IF(AND(ISNUMBER($AD$1212),$B$677=1),$AD$1212,HLOOKUP(INDIRECT(ADDRESS(2,COLUMN())),OFFSET($BN$2,0,0,ROW()-1,60),ROW()-1,FALSE))</f>
        <v>6.7151916600000003</v>
      </c>
      <c r="AE553">
        <f ca="1">IF(AND(ISNUMBER($AE$1212),$B$677=1),$AE$1212,HLOOKUP(INDIRECT(ADDRESS(2,COLUMN())),OFFSET($BN$2,0,0,ROW()-1,60),ROW()-1,FALSE))</f>
        <v>8.7857428770000006</v>
      </c>
      <c r="AF553">
        <f ca="1">IF(AND(ISNUMBER($AF$1212),$B$677=1),$AF$1212,HLOOKUP(INDIRECT(ADDRESS(2,COLUMN())),OFFSET($BN$2,0,0,ROW()-1,60),ROW()-1,FALSE))</f>
        <v>9.9329381839999993</v>
      </c>
      <c r="AG553">
        <f ca="1">IF(AND(ISNUMBER($AG$1212),$B$677=1),$AG$1212,HLOOKUP(INDIRECT(ADDRESS(2,COLUMN())),OFFSET($BN$2,0,0,ROW()-1,60),ROW()-1,FALSE))</f>
        <v>12.458729030000001</v>
      </c>
      <c r="AH553">
        <f ca="1">IF(AND(ISNUMBER($AH$1212),$B$677=1),$AH$1212,HLOOKUP(INDIRECT(ADDRESS(2,COLUMN())),OFFSET($BN$2,0,0,ROW()-1,60),ROW()-1,FALSE))</f>
        <v>12.679319550000001</v>
      </c>
      <c r="AI553">
        <f ca="1">IF(AND(ISNUMBER($AI$1212),$B$677=1),$AI$1212,HLOOKUP(INDIRECT(ADDRESS(2,COLUMN())),OFFSET($BN$2,0,0,ROW()-1,60),ROW()-1,FALSE))</f>
        <v>13.58119598</v>
      </c>
      <c r="AJ553">
        <f ca="1">IF(AND(ISNUMBER($AJ$1212),$B$677=1),$AJ$1212,HLOOKUP(INDIRECT(ADDRESS(2,COLUMN())),OFFSET($BN$2,0,0,ROW()-1,60),ROW()-1,FALSE))</f>
        <v>17.382541710000002</v>
      </c>
      <c r="AK553">
        <f ca="1">IF(AND(ISNUMBER($AK$1212),$B$677=1),$AK$1212,HLOOKUP(INDIRECT(ADDRESS(2,COLUMN())),OFFSET($BN$2,0,0,ROW()-1,60),ROW()-1,FALSE))</f>
        <v>14.946701089999999</v>
      </c>
      <c r="AL553">
        <f ca="1">IF(AND(ISNUMBER($AL$1212),$B$677=1),$AL$1212,HLOOKUP(INDIRECT(ADDRESS(2,COLUMN())),OFFSET($BN$2,0,0,ROW()-1,60),ROW()-1,FALSE))</f>
        <v>13.049845039999999</v>
      </c>
      <c r="AM553">
        <f ca="1">IF(AND(ISNUMBER($AM$1212),$B$677=1),$AM$1212,HLOOKUP(INDIRECT(ADDRESS(2,COLUMN())),OFFSET($BN$2,0,0,ROW()-1,60),ROW()-1,FALSE))</f>
        <v>13.32270376</v>
      </c>
      <c r="AN553">
        <f ca="1">IF(AND(ISNUMBER($AN$1212),$B$677=1),$AN$1212,HLOOKUP(INDIRECT(ADDRESS(2,COLUMN())),OFFSET($BN$2,0,0,ROW()-1,60),ROW()-1,FALSE))</f>
        <v>11.657906090000001</v>
      </c>
      <c r="AO553">
        <f ca="1">IF(AND(ISNUMBER($AO$1212),$B$677=1),$AO$1212,HLOOKUP(INDIRECT(ADDRESS(2,COLUMN())),OFFSET($BN$2,0,0,ROW()-1,60),ROW()-1,FALSE))</f>
        <v>13.7389647</v>
      </c>
      <c r="AP553">
        <f ca="1">IF(AND(ISNUMBER($AP$1212),$B$677=1),$AP$1212,HLOOKUP(INDIRECT(ADDRESS(2,COLUMN())),OFFSET($BN$2,0,0,ROW()-1,60),ROW()-1,FALSE))</f>
        <v>11.713245580000001</v>
      </c>
      <c r="AQ553">
        <f ca="1">IF(AND(ISNUMBER($AQ$1212),$B$677=1),$AQ$1212,HLOOKUP(INDIRECT(ADDRESS(2,COLUMN())),OFFSET($BN$2,0,0,ROW()-1,60),ROW()-1,FALSE))</f>
        <v>12.26163756</v>
      </c>
      <c r="AR553">
        <f ca="1">IF(AND(ISNUMBER($AR$1212),$B$677=1),$AR$1212,HLOOKUP(INDIRECT(ADDRESS(2,COLUMN())),OFFSET($BN$2,0,0,ROW()-1,60),ROW()-1,FALSE))</f>
        <v>10.259649639999999</v>
      </c>
      <c r="AS553">
        <f ca="1">IF(AND(ISNUMBER($AS$1212),$B$677=1),$AS$1212,HLOOKUP(INDIRECT(ADDRESS(2,COLUMN())),OFFSET($BN$2,0,0,ROW()-1,60),ROW()-1,FALSE))</f>
        <v>16.03241993</v>
      </c>
      <c r="AT553">
        <f ca="1">IF(AND(ISNUMBER($AT$1212),$B$677=1),$AT$1212,HLOOKUP(INDIRECT(ADDRESS(2,COLUMN())),OFFSET($BN$2,0,0,ROW()-1,60),ROW()-1,FALSE))</f>
        <v>25.918843089999999</v>
      </c>
      <c r="AU553">
        <f ca="1">IF(AND(ISNUMBER($AU$1212),$B$677=1),$AU$1212,HLOOKUP(INDIRECT(ADDRESS(2,COLUMN())),OFFSET($BN$2,0,0,ROW()-1,60),ROW()-1,FALSE))</f>
        <v>39.147439759999997</v>
      </c>
      <c r="AV553">
        <f ca="1">IF(AND(ISNUMBER($AV$1212),$B$677=1),$AV$1212,HLOOKUP(INDIRECT(ADDRESS(2,COLUMN())),OFFSET($BN$2,0,0,ROW()-1,60),ROW()-1,FALSE))</f>
        <v>29.948379289999998</v>
      </c>
      <c r="AW553">
        <f ca="1">IF(AND(ISNUMBER($AW$1212),$B$677=1),$AW$1212,HLOOKUP(INDIRECT(ADDRESS(2,COLUMN())),OFFSET($BN$2,0,0,ROW()-1,60),ROW()-1,FALSE))</f>
        <v>25.138176300000001</v>
      </c>
      <c r="AX553">
        <f ca="1">IF(AND(ISNUMBER($AX$1212),$B$677=1),$AX$1212,HLOOKUP(INDIRECT(ADDRESS(2,COLUMN())),OFFSET($BN$2,0,0,ROW()-1,60),ROW()-1,FALSE))</f>
        <v>20.625960809999999</v>
      </c>
      <c r="AY553">
        <f ca="1">IF(AND(ISNUMBER($AY$1212),$B$677=1),$AY$1212,HLOOKUP(INDIRECT(ADDRESS(2,COLUMN())),OFFSET($BN$2,0,0,ROW()-1,60),ROW()-1,FALSE))</f>
        <v>15.25842969</v>
      </c>
      <c r="AZ553">
        <f ca="1">IF(AND(ISNUMBER($AZ$1212),$B$677=1),$AZ$1212,HLOOKUP(INDIRECT(ADDRESS(2,COLUMN())),OFFSET($BN$2,0,0,ROW()-1,60),ROW()-1,FALSE))</f>
        <v>12.8625443</v>
      </c>
      <c r="BA553">
        <f ca="1">IF(AND(ISNUMBER($BA$1212),$B$677=1),$BA$1212,HLOOKUP(INDIRECT(ADDRESS(2,COLUMN())),OFFSET($BN$2,0,0,ROW()-1,60),ROW()-1,FALSE))</f>
        <v>12.337019489999999</v>
      </c>
      <c r="BB553">
        <f ca="1">IF(AND(ISNUMBER($BB$1212),$B$677=1),$BB$1212,HLOOKUP(INDIRECT(ADDRESS(2,COLUMN())),OFFSET($BN$2,0,0,ROW()-1,60),ROW()-1,FALSE))</f>
        <v>12.97203889</v>
      </c>
      <c r="BC553">
        <f ca="1">IF(AND(ISNUMBER($BC$1212),$B$677=1),$BC$1212,HLOOKUP(INDIRECT(ADDRESS(2,COLUMN())),OFFSET($BN$2,0,0,ROW()-1,60),ROW()-1,FALSE))</f>
        <v>14.229111169999999</v>
      </c>
      <c r="BD553">
        <f ca="1">IF(AND(ISNUMBER($BD$1212),$B$677=1),$BD$1212,HLOOKUP(INDIRECT(ADDRESS(2,COLUMN())),OFFSET($BN$2,0,0,ROW()-1,60),ROW()-1,FALSE))</f>
        <v>17.19383912</v>
      </c>
      <c r="BE553">
        <f ca="1">IF(AND(ISNUMBER($BE$1212),$B$677=1),$BE$1212,HLOOKUP(INDIRECT(ADDRESS(2,COLUMN())),OFFSET($BN$2,0,0,ROW()-1,60),ROW()-1,FALSE))</f>
        <v>16.580891739999998</v>
      </c>
      <c r="BF553">
        <f ca="1">IF(AND(ISNUMBER($BF$1212),$B$677=1),$BF$1212,HLOOKUP(INDIRECT(ADDRESS(2,COLUMN())),OFFSET($BN$2,0,0,ROW()-1,60),ROW()-1,FALSE))</f>
        <v>13.77042226</v>
      </c>
      <c r="BG553">
        <f ca="1">IF(AND(ISNUMBER($BG$1212),$B$677=1),$BG$1212,HLOOKUP(INDIRECT(ADDRESS(2,COLUMN())),OFFSET($BN$2,0,0,ROW()-1,60),ROW()-1,FALSE))</f>
        <v>12.994409940000001</v>
      </c>
      <c r="BH553">
        <f ca="1">IF(AND(ISNUMBER($BH$1212),$B$677=1),$BH$1212,HLOOKUP(INDIRECT(ADDRESS(2,COLUMN())),OFFSET($BN$2,0,0,ROW()-1,60),ROW()-1,FALSE))</f>
        <v>13.88134634</v>
      </c>
      <c r="BI553">
        <f ca="1">IF(AND(ISNUMBER($BI$1212),$B$677=1),$BI$1212,HLOOKUP(INDIRECT(ADDRESS(2,COLUMN())),OFFSET($BN$2,0,0,ROW()-1,60),ROW()-1,FALSE))</f>
        <v>13.94414787</v>
      </c>
      <c r="BJ553">
        <f ca="1">IF(AND(ISNUMBER($BJ$1212),$B$677=1),$BJ$1212,HLOOKUP(INDIRECT(ADDRESS(2,COLUMN())),OFFSET($BN$2,0,0,ROW()-1,60),ROW()-1,FALSE))</f>
        <v>15.213333309999999</v>
      </c>
      <c r="BK553">
        <f ca="1">IF(AND(ISNUMBER($BK$1212),$B$677=1),$BK$1212,HLOOKUP(INDIRECT(ADDRESS(2,COLUMN())),OFFSET($BN$2,0,0,ROW()-1,60),ROW()-1,FALSE))</f>
        <v>15.567089960000001</v>
      </c>
      <c r="BL553">
        <f ca="1">IF(AND(ISNUMBER($BL$1212),$B$677=1),$BL$1212,HLOOKUP(INDIRECT(ADDRESS(2,COLUMN())),OFFSET($BN$2,0,0,ROW()-1,60),ROW()-1,FALSE))</f>
        <v>15.845552059999999</v>
      </c>
      <c r="BM553">
        <f ca="1">IF(AND(ISNUMBER($BM$1212),$B$677=1),$BM$1212,HLOOKUP(INDIRECT(ADDRESS(2,COLUMN())),OFFSET($BN$2,0,0,ROW()-1,60),ROW()-1,FALSE))</f>
        <v>28.764082800000001</v>
      </c>
      <c r="BN553">
        <f>12.19057108</f>
        <v>12.19057108</v>
      </c>
      <c r="BO553">
        <f>13.44619991</f>
        <v>13.446199910000001</v>
      </c>
      <c r="BP553">
        <f>9.008738944</f>
        <v>9.0087389439999992</v>
      </c>
      <c r="BQ553">
        <f>9.379648522</f>
        <v>9.3796485220000001</v>
      </c>
      <c r="BR553">
        <f>8.017095407</f>
        <v>8.0170954069999993</v>
      </c>
      <c r="BS553">
        <f>7.523211368</f>
        <v>7.5232113680000001</v>
      </c>
      <c r="BT553">
        <f>9.393051295</f>
        <v>9.3930512949999994</v>
      </c>
      <c r="BU553">
        <f>8.533687366</f>
        <v>8.5336873660000006</v>
      </c>
      <c r="BV553">
        <f>9.66641593</f>
        <v>9.6664159299999994</v>
      </c>
      <c r="BW553">
        <f>10.57520702</f>
        <v>10.575207020000001</v>
      </c>
      <c r="BX553">
        <f>10.10011562</f>
        <v>10.10011562</v>
      </c>
      <c r="BY553">
        <f>10.32062066</f>
        <v>10.320620659999999</v>
      </c>
      <c r="BZ553">
        <f>8.117723859</f>
        <v>8.1177238589999998</v>
      </c>
      <c r="CA553">
        <f>9.55979833</f>
        <v>9.5597983299999996</v>
      </c>
      <c r="CB553">
        <f>7.66377587</f>
        <v>7.6637758700000003</v>
      </c>
      <c r="CC553">
        <f>6.054660027</f>
        <v>6.0546600269999997</v>
      </c>
      <c r="CD553">
        <f>5.443303587</f>
        <v>5.4433035869999999</v>
      </c>
      <c r="CE553">
        <f>4.728397627</f>
        <v>4.7283976269999997</v>
      </c>
      <c r="CF553">
        <f>5.686645349</f>
        <v>5.686645349</v>
      </c>
      <c r="CG553">
        <f>5.491259245</f>
        <v>5.4912592450000002</v>
      </c>
      <c r="CH553">
        <f>7.553847937</f>
        <v>7.5538479369999996</v>
      </c>
      <c r="CI553">
        <f>7.630881787</f>
        <v>7.6308817869999999</v>
      </c>
      <c r="CJ553">
        <f>6.549491173</f>
        <v>6.5494911729999998</v>
      </c>
      <c r="CK553">
        <f>6.722119628</f>
        <v>6.7221196279999997</v>
      </c>
      <c r="CL553">
        <f>6.71519166</f>
        <v>6.7151916600000003</v>
      </c>
      <c r="CM553">
        <f>8.785742877</f>
        <v>8.7857428770000006</v>
      </c>
      <c r="CN553">
        <f>9.932938184</f>
        <v>9.9329381839999993</v>
      </c>
      <c r="CO553">
        <f>12.45872903</f>
        <v>12.458729030000001</v>
      </c>
      <c r="CP553">
        <f>12.67931955</f>
        <v>12.679319550000001</v>
      </c>
      <c r="CQ553">
        <f>13.58119598</f>
        <v>13.58119598</v>
      </c>
      <c r="CR553">
        <f>17.38254171</f>
        <v>17.382541710000002</v>
      </c>
      <c r="CS553">
        <f>14.94670109</f>
        <v>14.946701089999999</v>
      </c>
      <c r="CT553">
        <f>13.04984504</f>
        <v>13.049845039999999</v>
      </c>
      <c r="CU553">
        <f>13.32270376</f>
        <v>13.32270376</v>
      </c>
      <c r="CV553">
        <f>11.65790609</f>
        <v>11.657906090000001</v>
      </c>
      <c r="CW553">
        <f>13.7389647</f>
        <v>13.7389647</v>
      </c>
      <c r="CX553">
        <f>11.71324558</f>
        <v>11.713245580000001</v>
      </c>
      <c r="CY553">
        <f>12.26163756</f>
        <v>12.26163756</v>
      </c>
      <c r="CZ553">
        <f>10.25964964</f>
        <v>10.259649639999999</v>
      </c>
      <c r="DA553">
        <f>16.03241993</f>
        <v>16.03241993</v>
      </c>
      <c r="DB553">
        <f>25.91884309</f>
        <v>25.918843089999999</v>
      </c>
      <c r="DC553">
        <f>39.14743976</f>
        <v>39.147439759999997</v>
      </c>
      <c r="DD553">
        <f>29.94837929</f>
        <v>29.948379289999998</v>
      </c>
      <c r="DE553">
        <f>25.1381763</f>
        <v>25.138176300000001</v>
      </c>
      <c r="DF553">
        <f>20.62596081</f>
        <v>20.625960809999999</v>
      </c>
      <c r="DG553">
        <f>15.25842969</f>
        <v>15.25842969</v>
      </c>
      <c r="DH553">
        <f>12.8625443</f>
        <v>12.8625443</v>
      </c>
      <c r="DI553">
        <f>12.33701949</f>
        <v>12.337019489999999</v>
      </c>
      <c r="DJ553">
        <f>12.97203889</f>
        <v>12.97203889</v>
      </c>
      <c r="DK553">
        <f>14.22911117</f>
        <v>14.229111169999999</v>
      </c>
      <c r="DL553">
        <f>17.19383912</f>
        <v>17.19383912</v>
      </c>
      <c r="DM553">
        <f>16.58089174</f>
        <v>16.580891739999998</v>
      </c>
      <c r="DN553">
        <f>13.77042226</f>
        <v>13.77042226</v>
      </c>
      <c r="DO553">
        <f>12.99440994</f>
        <v>12.994409940000001</v>
      </c>
      <c r="DP553">
        <f>13.88134634</f>
        <v>13.88134634</v>
      </c>
      <c r="DQ553">
        <f>13.94414787</f>
        <v>13.94414787</v>
      </c>
      <c r="DR553">
        <f>15.21333331</f>
        <v>15.213333309999999</v>
      </c>
      <c r="DS553">
        <f>15.56708996</f>
        <v>15.567089960000001</v>
      </c>
      <c r="DT553">
        <f>15.84555206</f>
        <v>15.845552059999999</v>
      </c>
      <c r="DU553">
        <f>28.7640828</f>
        <v>28.764082800000001</v>
      </c>
    </row>
    <row r="554" spans="1:125" x14ac:dyDescent="0.25">
      <c r="A554" t="str">
        <f>"    GAZ PJSC"</f>
        <v xml:space="preserve">    GAZ PJSC</v>
      </c>
      <c r="B554" t="str">
        <f>"GAZA RM Equity"</f>
        <v>GAZA RM Equity</v>
      </c>
      <c r="C554" t="str">
        <f t="shared" si="39"/>
        <v>RX076</v>
      </c>
      <c r="D554" t="str">
        <f t="shared" si="40"/>
        <v>EBIT_YIELD</v>
      </c>
      <c r="E554" t="str">
        <f t="shared" si="41"/>
        <v>Dynamic</v>
      </c>
      <c r="F554" t="str">
        <f ca="1">IF(AND(ISNUMBER($F$1213),$B$677=1),$F$1213,HLOOKUP(INDIRECT(ADDRESS(2,COLUMN())),OFFSET($BN$2,0,0,ROW()-1,60),ROW()-1,FALSE))</f>
        <v/>
      </c>
      <c r="G554" t="str">
        <f ca="1">IF(AND(ISNUMBER($G$1213),$B$677=1),$G$1213,HLOOKUP(INDIRECT(ADDRESS(2,COLUMN())),OFFSET($BN$2,0,0,ROW()-1,60),ROW()-1,FALSE))</f>
        <v/>
      </c>
      <c r="H554" t="str">
        <f ca="1">IF(AND(ISNUMBER($H$1213),$B$677=1),$H$1213,HLOOKUP(INDIRECT(ADDRESS(2,COLUMN())),OFFSET($BN$2,0,0,ROW()-1,60),ROW()-1,FALSE))</f>
        <v/>
      </c>
      <c r="I554" t="str">
        <f ca="1">IF(AND(ISNUMBER($I$1213),$B$677=1),$I$1213,HLOOKUP(INDIRECT(ADDRESS(2,COLUMN())),OFFSET($BN$2,0,0,ROW()-1,60),ROW()-1,FALSE))</f>
        <v/>
      </c>
      <c r="J554" t="str">
        <f ca="1">IF(AND(ISNUMBER($J$1213),$B$677=1),$J$1213,HLOOKUP(INDIRECT(ADDRESS(2,COLUMN())),OFFSET($BN$2,0,0,ROW()-1,60),ROW()-1,FALSE))</f>
        <v/>
      </c>
      <c r="K554" t="str">
        <f ca="1">IF(AND(ISNUMBER($K$1213),$B$677=1),$K$1213,HLOOKUP(INDIRECT(ADDRESS(2,COLUMN())),OFFSET($BN$2,0,0,ROW()-1,60),ROW()-1,FALSE))</f>
        <v/>
      </c>
      <c r="L554" t="str">
        <f ca="1">IF(AND(ISNUMBER($L$1213),$B$677=1),$L$1213,HLOOKUP(INDIRECT(ADDRESS(2,COLUMN())),OFFSET($BN$2,0,0,ROW()-1,60),ROW()-1,FALSE))</f>
        <v/>
      </c>
      <c r="M554" t="str">
        <f ca="1">IF(AND(ISNUMBER($M$1213),$B$677=1),$M$1213,HLOOKUP(INDIRECT(ADDRESS(2,COLUMN())),OFFSET($BN$2,0,0,ROW()-1,60),ROW()-1,FALSE))</f>
        <v/>
      </c>
      <c r="N554" t="str">
        <f ca="1">IF(AND(ISNUMBER($N$1213),$B$677=1),$N$1213,HLOOKUP(INDIRECT(ADDRESS(2,COLUMN())),OFFSET($BN$2,0,0,ROW()-1,60),ROW()-1,FALSE))</f>
        <v/>
      </c>
      <c r="O554" t="str">
        <f ca="1">IF(AND(ISNUMBER($O$1213),$B$677=1),$O$1213,HLOOKUP(INDIRECT(ADDRESS(2,COLUMN())),OFFSET($BN$2,0,0,ROW()-1,60),ROW()-1,FALSE))</f>
        <v/>
      </c>
      <c r="P554" t="str">
        <f ca="1">IF(AND(ISNUMBER($P$1213),$B$677=1),$P$1213,HLOOKUP(INDIRECT(ADDRESS(2,COLUMN())),OFFSET($BN$2,0,0,ROW()-1,60),ROW()-1,FALSE))</f>
        <v/>
      </c>
      <c r="Q554" t="str">
        <f ca="1">IF(AND(ISNUMBER($Q$1213),$B$677=1),$Q$1213,HLOOKUP(INDIRECT(ADDRESS(2,COLUMN())),OFFSET($BN$2,0,0,ROW()-1,60),ROW()-1,FALSE))</f>
        <v/>
      </c>
      <c r="R554" t="str">
        <f ca="1">IF(AND(ISNUMBER($R$1213),$B$677=1),$R$1213,HLOOKUP(INDIRECT(ADDRESS(2,COLUMN())),OFFSET($BN$2,0,0,ROW()-1,60),ROW()-1,FALSE))</f>
        <v/>
      </c>
      <c r="S554" t="str">
        <f ca="1">IF(AND(ISNUMBER($S$1213),$B$677=1),$S$1213,HLOOKUP(INDIRECT(ADDRESS(2,COLUMN())),OFFSET($BN$2,0,0,ROW()-1,60),ROW()-1,FALSE))</f>
        <v/>
      </c>
      <c r="T554" t="str">
        <f ca="1">IF(AND(ISNUMBER($T$1213),$B$677=1),$T$1213,HLOOKUP(INDIRECT(ADDRESS(2,COLUMN())),OFFSET($BN$2,0,0,ROW()-1,60),ROW()-1,FALSE))</f>
        <v/>
      </c>
      <c r="U554" t="str">
        <f ca="1">IF(AND(ISNUMBER($U$1213),$B$677=1),$U$1213,HLOOKUP(INDIRECT(ADDRESS(2,COLUMN())),OFFSET($BN$2,0,0,ROW()-1,60),ROW()-1,FALSE))</f>
        <v/>
      </c>
      <c r="V554" t="str">
        <f ca="1">IF(AND(ISNUMBER($V$1213),$B$677=1),$V$1213,HLOOKUP(INDIRECT(ADDRESS(2,COLUMN())),OFFSET($BN$2,0,0,ROW()-1,60),ROW()-1,FALSE))</f>
        <v/>
      </c>
      <c r="W554" t="str">
        <f ca="1">IF(AND(ISNUMBER($W$1213),$B$677=1),$W$1213,HLOOKUP(INDIRECT(ADDRESS(2,COLUMN())),OFFSET($BN$2,0,0,ROW()-1,60),ROW()-1,FALSE))</f>
        <v/>
      </c>
      <c r="X554" t="str">
        <f ca="1">IF(AND(ISNUMBER($X$1213),$B$677=1),$X$1213,HLOOKUP(INDIRECT(ADDRESS(2,COLUMN())),OFFSET($BN$2,0,0,ROW()-1,60),ROW()-1,FALSE))</f>
        <v/>
      </c>
      <c r="Y554" t="str">
        <f ca="1">IF(AND(ISNUMBER($Y$1213),$B$677=1),$Y$1213,HLOOKUP(INDIRECT(ADDRESS(2,COLUMN())),OFFSET($BN$2,0,0,ROW()-1,60),ROW()-1,FALSE))</f>
        <v/>
      </c>
      <c r="Z554" t="str">
        <f ca="1">IF(AND(ISNUMBER($Z$1213),$B$677=1),$Z$1213,HLOOKUP(INDIRECT(ADDRESS(2,COLUMN())),OFFSET($BN$2,0,0,ROW()-1,60),ROW()-1,FALSE))</f>
        <v/>
      </c>
      <c r="AA554" t="str">
        <f ca="1">IF(AND(ISNUMBER($AA$1213),$B$677=1),$AA$1213,HLOOKUP(INDIRECT(ADDRESS(2,COLUMN())),OFFSET($BN$2,0,0,ROW()-1,60),ROW()-1,FALSE))</f>
        <v/>
      </c>
      <c r="AB554" t="str">
        <f ca="1">IF(AND(ISNUMBER($AB$1213),$B$677=1),$AB$1213,HLOOKUP(INDIRECT(ADDRESS(2,COLUMN())),OFFSET($BN$2,0,0,ROW()-1,60),ROW()-1,FALSE))</f>
        <v/>
      </c>
      <c r="AC554" t="str">
        <f ca="1">IF(AND(ISNUMBER($AC$1213),$B$677=1),$AC$1213,HLOOKUP(INDIRECT(ADDRESS(2,COLUMN())),OFFSET($BN$2,0,0,ROW()-1,60),ROW()-1,FALSE))</f>
        <v/>
      </c>
      <c r="AD554" t="str">
        <f ca="1">IF(AND(ISNUMBER($AD$1213),$B$677=1),$AD$1213,HLOOKUP(INDIRECT(ADDRESS(2,COLUMN())),OFFSET($BN$2,0,0,ROW()-1,60),ROW()-1,FALSE))</f>
        <v/>
      </c>
      <c r="AE554" t="str">
        <f ca="1">IF(AND(ISNUMBER($AE$1213),$B$677=1),$AE$1213,HLOOKUP(INDIRECT(ADDRESS(2,COLUMN())),OFFSET($BN$2,0,0,ROW()-1,60),ROW()-1,FALSE))</f>
        <v/>
      </c>
      <c r="AF554" t="str">
        <f ca="1">IF(AND(ISNUMBER($AF$1213),$B$677=1),$AF$1213,HLOOKUP(INDIRECT(ADDRESS(2,COLUMN())),OFFSET($BN$2,0,0,ROW()-1,60),ROW()-1,FALSE))</f>
        <v/>
      </c>
      <c r="AG554" t="str">
        <f ca="1">IF(AND(ISNUMBER($AG$1213),$B$677=1),$AG$1213,HLOOKUP(INDIRECT(ADDRESS(2,COLUMN())),OFFSET($BN$2,0,0,ROW()-1,60),ROW()-1,FALSE))</f>
        <v/>
      </c>
      <c r="AH554" t="str">
        <f ca="1">IF(AND(ISNUMBER($AH$1213),$B$677=1),$AH$1213,HLOOKUP(INDIRECT(ADDRESS(2,COLUMN())),OFFSET($BN$2,0,0,ROW()-1,60),ROW()-1,FALSE))</f>
        <v/>
      </c>
      <c r="AI554" t="str">
        <f ca="1">IF(AND(ISNUMBER($AI$1213),$B$677=1),$AI$1213,HLOOKUP(INDIRECT(ADDRESS(2,COLUMN())),OFFSET($BN$2,0,0,ROW()-1,60),ROW()-1,FALSE))</f>
        <v/>
      </c>
      <c r="AJ554" t="str">
        <f ca="1">IF(AND(ISNUMBER($AJ$1213),$B$677=1),$AJ$1213,HLOOKUP(INDIRECT(ADDRESS(2,COLUMN())),OFFSET($BN$2,0,0,ROW()-1,60),ROW()-1,FALSE))</f>
        <v/>
      </c>
      <c r="AK554" t="str">
        <f ca="1">IF(AND(ISNUMBER($AK$1213),$B$677=1),$AK$1213,HLOOKUP(INDIRECT(ADDRESS(2,COLUMN())),OFFSET($BN$2,0,0,ROW()-1,60),ROW()-1,FALSE))</f>
        <v/>
      </c>
      <c r="AL554" t="str">
        <f ca="1">IF(AND(ISNUMBER($AL$1213),$B$677=1),$AL$1213,HLOOKUP(INDIRECT(ADDRESS(2,COLUMN())),OFFSET($BN$2,0,0,ROW()-1,60),ROW()-1,FALSE))</f>
        <v/>
      </c>
      <c r="AM554" t="str">
        <f ca="1">IF(AND(ISNUMBER($AM$1213),$B$677=1),$AM$1213,HLOOKUP(INDIRECT(ADDRESS(2,COLUMN())),OFFSET($BN$2,0,0,ROW()-1,60),ROW()-1,FALSE))</f>
        <v/>
      </c>
      <c r="AN554" t="str">
        <f ca="1">IF(AND(ISNUMBER($AN$1213),$B$677=1),$AN$1213,HLOOKUP(INDIRECT(ADDRESS(2,COLUMN())),OFFSET($BN$2,0,0,ROW()-1,60),ROW()-1,FALSE))</f>
        <v/>
      </c>
      <c r="AO554" t="str">
        <f ca="1">IF(AND(ISNUMBER($AO$1213),$B$677=1),$AO$1213,HLOOKUP(INDIRECT(ADDRESS(2,COLUMN())),OFFSET($BN$2,0,0,ROW()-1,60),ROW()-1,FALSE))</f>
        <v/>
      </c>
      <c r="AP554" t="str">
        <f ca="1">IF(AND(ISNUMBER($AP$1213),$B$677=1),$AP$1213,HLOOKUP(INDIRECT(ADDRESS(2,COLUMN())),OFFSET($BN$2,0,0,ROW()-1,60),ROW()-1,FALSE))</f>
        <v/>
      </c>
      <c r="AQ554" t="str">
        <f ca="1">IF(AND(ISNUMBER($AQ$1213),$B$677=1),$AQ$1213,HLOOKUP(INDIRECT(ADDRESS(2,COLUMN())),OFFSET($BN$2,0,0,ROW()-1,60),ROW()-1,FALSE))</f>
        <v/>
      </c>
      <c r="AR554" t="str">
        <f ca="1">IF(AND(ISNUMBER($AR$1213),$B$677=1),$AR$1213,HLOOKUP(INDIRECT(ADDRESS(2,COLUMN())),OFFSET($BN$2,0,0,ROW()-1,60),ROW()-1,FALSE))</f>
        <v/>
      </c>
      <c r="AS554" t="str">
        <f ca="1">IF(AND(ISNUMBER($AS$1213),$B$677=1),$AS$1213,HLOOKUP(INDIRECT(ADDRESS(2,COLUMN())),OFFSET($BN$2,0,0,ROW()-1,60),ROW()-1,FALSE))</f>
        <v/>
      </c>
      <c r="AT554" t="str">
        <f ca="1">IF(AND(ISNUMBER($AT$1213),$B$677=1),$AT$1213,HLOOKUP(INDIRECT(ADDRESS(2,COLUMN())),OFFSET($BN$2,0,0,ROW()-1,60),ROW()-1,FALSE))</f>
        <v/>
      </c>
      <c r="AU554" t="str">
        <f ca="1">IF(AND(ISNUMBER($AU$1213),$B$677=1),$AU$1213,HLOOKUP(INDIRECT(ADDRESS(2,COLUMN())),OFFSET($BN$2,0,0,ROW()-1,60),ROW()-1,FALSE))</f>
        <v/>
      </c>
      <c r="AV554" t="str">
        <f ca="1">IF(AND(ISNUMBER($AV$1213),$B$677=1),$AV$1213,HLOOKUP(INDIRECT(ADDRESS(2,COLUMN())),OFFSET($BN$2,0,0,ROW()-1,60),ROW()-1,FALSE))</f>
        <v/>
      </c>
      <c r="AW554" t="str">
        <f ca="1">IF(AND(ISNUMBER($AW$1213),$B$677=1),$AW$1213,HLOOKUP(INDIRECT(ADDRESS(2,COLUMN())),OFFSET($BN$2,0,0,ROW()-1,60),ROW()-1,FALSE))</f>
        <v/>
      </c>
      <c r="AX554" t="str">
        <f ca="1">IF(AND(ISNUMBER($AX$1213),$B$677=1),$AX$1213,HLOOKUP(INDIRECT(ADDRESS(2,COLUMN())),OFFSET($BN$2,0,0,ROW()-1,60),ROW()-1,FALSE))</f>
        <v/>
      </c>
      <c r="AY554" t="str">
        <f ca="1">IF(AND(ISNUMBER($AY$1213),$B$677=1),$AY$1213,HLOOKUP(INDIRECT(ADDRESS(2,COLUMN())),OFFSET($BN$2,0,0,ROW()-1,60),ROW()-1,FALSE))</f>
        <v/>
      </c>
      <c r="AZ554" t="str">
        <f ca="1">IF(AND(ISNUMBER($AZ$1213),$B$677=1),$AZ$1213,HLOOKUP(INDIRECT(ADDRESS(2,COLUMN())),OFFSET($BN$2,0,0,ROW()-1,60),ROW()-1,FALSE))</f>
        <v/>
      </c>
      <c r="BA554" t="str">
        <f ca="1">IF(AND(ISNUMBER($BA$1213),$B$677=1),$BA$1213,HLOOKUP(INDIRECT(ADDRESS(2,COLUMN())),OFFSET($BN$2,0,0,ROW()-1,60),ROW()-1,FALSE))</f>
        <v/>
      </c>
      <c r="BB554" t="str">
        <f ca="1">IF(AND(ISNUMBER($BB$1213),$B$677=1),$BB$1213,HLOOKUP(INDIRECT(ADDRESS(2,COLUMN())),OFFSET($BN$2,0,0,ROW()-1,60),ROW()-1,FALSE))</f>
        <v/>
      </c>
      <c r="BC554" t="str">
        <f ca="1">IF(AND(ISNUMBER($BC$1213),$B$677=1),$BC$1213,HLOOKUP(INDIRECT(ADDRESS(2,COLUMN())),OFFSET($BN$2,0,0,ROW()-1,60),ROW()-1,FALSE))</f>
        <v/>
      </c>
      <c r="BD554" t="str">
        <f ca="1">IF(AND(ISNUMBER($BD$1213),$B$677=1),$BD$1213,HLOOKUP(INDIRECT(ADDRESS(2,COLUMN())),OFFSET($BN$2,0,0,ROW()-1,60),ROW()-1,FALSE))</f>
        <v/>
      </c>
      <c r="BE554" t="str">
        <f ca="1">IF(AND(ISNUMBER($BE$1213),$B$677=1),$BE$1213,HLOOKUP(INDIRECT(ADDRESS(2,COLUMN())),OFFSET($BN$2,0,0,ROW()-1,60),ROW()-1,FALSE))</f>
        <v/>
      </c>
      <c r="BF554" t="str">
        <f ca="1">IF(AND(ISNUMBER($BF$1213),$B$677=1),$BF$1213,HLOOKUP(INDIRECT(ADDRESS(2,COLUMN())),OFFSET($BN$2,0,0,ROW()-1,60),ROW()-1,FALSE))</f>
        <v/>
      </c>
      <c r="BG554" t="str">
        <f ca="1">IF(AND(ISNUMBER($BG$1213),$B$677=1),$BG$1213,HLOOKUP(INDIRECT(ADDRESS(2,COLUMN())),OFFSET($BN$2,0,0,ROW()-1,60),ROW()-1,FALSE))</f>
        <v/>
      </c>
      <c r="BH554" t="str">
        <f ca="1">IF(AND(ISNUMBER($BH$1213),$B$677=1),$BH$1213,HLOOKUP(INDIRECT(ADDRESS(2,COLUMN())),OFFSET($BN$2,0,0,ROW()-1,60),ROW()-1,FALSE))</f>
        <v/>
      </c>
      <c r="BI554" t="str">
        <f ca="1">IF(AND(ISNUMBER($BI$1213),$B$677=1),$BI$1213,HLOOKUP(INDIRECT(ADDRESS(2,COLUMN())),OFFSET($BN$2,0,0,ROW()-1,60),ROW()-1,FALSE))</f>
        <v/>
      </c>
      <c r="BJ554" t="str">
        <f ca="1">IF(AND(ISNUMBER($BJ$1213),$B$677=1),$BJ$1213,HLOOKUP(INDIRECT(ADDRESS(2,COLUMN())),OFFSET($BN$2,0,0,ROW()-1,60),ROW()-1,FALSE))</f>
        <v/>
      </c>
      <c r="BK554" t="str">
        <f ca="1">IF(AND(ISNUMBER($BK$1213),$B$677=1),$BK$1213,HLOOKUP(INDIRECT(ADDRESS(2,COLUMN())),OFFSET($BN$2,0,0,ROW()-1,60),ROW()-1,FALSE))</f>
        <v/>
      </c>
      <c r="BL554" t="str">
        <f ca="1">IF(AND(ISNUMBER($BL$1213),$B$677=1),$BL$1213,HLOOKUP(INDIRECT(ADDRESS(2,COLUMN())),OFFSET($BN$2,0,0,ROW()-1,60),ROW()-1,FALSE))</f>
        <v/>
      </c>
      <c r="BM554" t="str">
        <f ca="1">IF(AND(ISNUMBER($BM$1213),$B$677=1),$BM$1213,HLOOKUP(INDIRECT(ADDRESS(2,COLUMN())),OFFSET($BN$2,0,0,ROW()-1,60),ROW()-1,FALSE))</f>
        <v/>
      </c>
      <c r="BN554" t="str">
        <f>""</f>
        <v/>
      </c>
      <c r="BO554" t="str">
        <f>""</f>
        <v/>
      </c>
      <c r="BP554" t="str">
        <f>""</f>
        <v/>
      </c>
      <c r="BQ554" t="str">
        <f>""</f>
        <v/>
      </c>
      <c r="BR554" t="str">
        <f>""</f>
        <v/>
      </c>
      <c r="BS554" t="str">
        <f>""</f>
        <v/>
      </c>
      <c r="BT554" t="str">
        <f>""</f>
        <v/>
      </c>
      <c r="BU554" t="str">
        <f>""</f>
        <v/>
      </c>
      <c r="BV554" t="str">
        <f>""</f>
        <v/>
      </c>
      <c r="BW554" t="str">
        <f>""</f>
        <v/>
      </c>
      <c r="BX554" t="str">
        <f>""</f>
        <v/>
      </c>
      <c r="BY554" t="str">
        <f>""</f>
        <v/>
      </c>
      <c r="BZ554" t="str">
        <f>""</f>
        <v/>
      </c>
      <c r="CA554" t="str">
        <f>""</f>
        <v/>
      </c>
      <c r="CB554" t="str">
        <f>""</f>
        <v/>
      </c>
      <c r="CC554" t="str">
        <f>""</f>
        <v/>
      </c>
      <c r="CD554" t="str">
        <f>""</f>
        <v/>
      </c>
      <c r="CE554" t="str">
        <f>""</f>
        <v/>
      </c>
      <c r="CF554" t="str">
        <f>""</f>
        <v/>
      </c>
      <c r="CG554" t="str">
        <f>""</f>
        <v/>
      </c>
      <c r="CH554" t="str">
        <f>""</f>
        <v/>
      </c>
      <c r="CI554" t="str">
        <f>""</f>
        <v/>
      </c>
      <c r="CJ554" t="str">
        <f>""</f>
        <v/>
      </c>
      <c r="CK554" t="str">
        <f>""</f>
        <v/>
      </c>
      <c r="CL554" t="str">
        <f>""</f>
        <v/>
      </c>
      <c r="CM554" t="str">
        <f>""</f>
        <v/>
      </c>
      <c r="CN554" t="str">
        <f>""</f>
        <v/>
      </c>
      <c r="CO554" t="str">
        <f>""</f>
        <v/>
      </c>
      <c r="CP554" t="str">
        <f>""</f>
        <v/>
      </c>
      <c r="CQ554" t="str">
        <f>""</f>
        <v/>
      </c>
      <c r="CR554" t="str">
        <f>""</f>
        <v/>
      </c>
      <c r="CS554" t="str">
        <f>""</f>
        <v/>
      </c>
      <c r="CT554" t="str">
        <f>""</f>
        <v/>
      </c>
      <c r="CU554" t="str">
        <f>""</f>
        <v/>
      </c>
      <c r="CV554" t="str">
        <f>""</f>
        <v/>
      </c>
      <c r="CW554" t="str">
        <f>""</f>
        <v/>
      </c>
      <c r="CX554" t="str">
        <f>""</f>
        <v/>
      </c>
      <c r="CY554" t="str">
        <f>""</f>
        <v/>
      </c>
      <c r="CZ554" t="str">
        <f>""</f>
        <v/>
      </c>
      <c r="DA554" t="str">
        <f>""</f>
        <v/>
      </c>
      <c r="DB554" t="str">
        <f>""</f>
        <v/>
      </c>
      <c r="DC554" t="str">
        <f>""</f>
        <v/>
      </c>
      <c r="DD554" t="str">
        <f>""</f>
        <v/>
      </c>
      <c r="DE554" t="str">
        <f>""</f>
        <v/>
      </c>
      <c r="DF554" t="str">
        <f>""</f>
        <v/>
      </c>
      <c r="DG554" t="str">
        <f>""</f>
        <v/>
      </c>
      <c r="DH554" t="str">
        <f>""</f>
        <v/>
      </c>
      <c r="DI554" t="str">
        <f>""</f>
        <v/>
      </c>
      <c r="DJ554" t="str">
        <f>""</f>
        <v/>
      </c>
      <c r="DK554" t="str">
        <f>""</f>
        <v/>
      </c>
      <c r="DL554" t="str">
        <f>""</f>
        <v/>
      </c>
      <c r="DM554" t="str">
        <f>""</f>
        <v/>
      </c>
      <c r="DN554" t="str">
        <f>""</f>
        <v/>
      </c>
      <c r="DO554" t="str">
        <f>""</f>
        <v/>
      </c>
      <c r="DP554" t="str">
        <f>""</f>
        <v/>
      </c>
      <c r="DQ554" t="str">
        <f>""</f>
        <v/>
      </c>
      <c r="DR554" t="str">
        <f>""</f>
        <v/>
      </c>
      <c r="DS554" t="str">
        <f>""</f>
        <v/>
      </c>
      <c r="DT554" t="str">
        <f>""</f>
        <v/>
      </c>
      <c r="DU554" t="str">
        <f>""</f>
        <v/>
      </c>
    </row>
    <row r="555" spans="1:125" x14ac:dyDescent="0.25">
      <c r="A555" t="str">
        <f>"    Geely Automobile Holdings Ltd"</f>
        <v xml:space="preserve">    Geely Automobile Holdings Ltd</v>
      </c>
      <c r="B555" t="str">
        <f>"175 HK Equity"</f>
        <v>175 HK Equity</v>
      </c>
      <c r="C555" t="str">
        <f t="shared" si="39"/>
        <v>RX076</v>
      </c>
      <c r="D555" t="str">
        <f t="shared" si="40"/>
        <v>EBIT_YIELD</v>
      </c>
      <c r="E555" t="str">
        <f t="shared" si="41"/>
        <v>Dynamic</v>
      </c>
      <c r="F555" t="str">
        <f ca="1">IF(AND(ISNUMBER($F$1214),$B$677=1),$F$1214,HLOOKUP(INDIRECT(ADDRESS(2,COLUMN())),OFFSET($BN$2,0,0,ROW()-1,60),ROW()-1,FALSE))</f>
        <v/>
      </c>
      <c r="G555" t="str">
        <f ca="1">IF(AND(ISNUMBER($G$1214),$B$677=1),$G$1214,HLOOKUP(INDIRECT(ADDRESS(2,COLUMN())),OFFSET($BN$2,0,0,ROW()-1,60),ROW()-1,FALSE))</f>
        <v/>
      </c>
      <c r="H555" t="str">
        <f ca="1">IF(AND(ISNUMBER($H$1214),$B$677=1),$H$1214,HLOOKUP(INDIRECT(ADDRESS(2,COLUMN())),OFFSET($BN$2,0,0,ROW()-1,60),ROW()-1,FALSE))</f>
        <v/>
      </c>
      <c r="I555" t="str">
        <f ca="1">IF(AND(ISNUMBER($I$1214),$B$677=1),$I$1214,HLOOKUP(INDIRECT(ADDRESS(2,COLUMN())),OFFSET($BN$2,0,0,ROW()-1,60),ROW()-1,FALSE))</f>
        <v/>
      </c>
      <c r="J555" t="str">
        <f ca="1">IF(AND(ISNUMBER($J$1214),$B$677=1),$J$1214,HLOOKUP(INDIRECT(ADDRESS(2,COLUMN())),OFFSET($BN$2,0,0,ROW()-1,60),ROW()-1,FALSE))</f>
        <v/>
      </c>
      <c r="K555" t="str">
        <f ca="1">IF(AND(ISNUMBER($K$1214),$B$677=1),$K$1214,HLOOKUP(INDIRECT(ADDRESS(2,COLUMN())),OFFSET($BN$2,0,0,ROW()-1,60),ROW()-1,FALSE))</f>
        <v/>
      </c>
      <c r="L555" t="str">
        <f ca="1">IF(AND(ISNUMBER($L$1214),$B$677=1),$L$1214,HLOOKUP(INDIRECT(ADDRESS(2,COLUMN())),OFFSET($BN$2,0,0,ROW()-1,60),ROW()-1,FALSE))</f>
        <v/>
      </c>
      <c r="M555" t="str">
        <f ca="1">IF(AND(ISNUMBER($M$1214),$B$677=1),$M$1214,HLOOKUP(INDIRECT(ADDRESS(2,COLUMN())),OFFSET($BN$2,0,0,ROW()-1,60),ROW()-1,FALSE))</f>
        <v/>
      </c>
      <c r="N555" t="str">
        <f ca="1">IF(AND(ISNUMBER($N$1214),$B$677=1),$N$1214,HLOOKUP(INDIRECT(ADDRESS(2,COLUMN())),OFFSET($BN$2,0,0,ROW()-1,60),ROW()-1,FALSE))</f>
        <v/>
      </c>
      <c r="O555" t="str">
        <f ca="1">IF(AND(ISNUMBER($O$1214),$B$677=1),$O$1214,HLOOKUP(INDIRECT(ADDRESS(2,COLUMN())),OFFSET($BN$2,0,0,ROW()-1,60),ROW()-1,FALSE))</f>
        <v/>
      </c>
      <c r="P555" t="str">
        <f ca="1">IF(AND(ISNUMBER($P$1214),$B$677=1),$P$1214,HLOOKUP(INDIRECT(ADDRESS(2,COLUMN())),OFFSET($BN$2,0,0,ROW()-1,60),ROW()-1,FALSE))</f>
        <v/>
      </c>
      <c r="Q555" t="str">
        <f ca="1">IF(AND(ISNUMBER($Q$1214),$B$677=1),$Q$1214,HLOOKUP(INDIRECT(ADDRESS(2,COLUMN())),OFFSET($BN$2,0,0,ROW()-1,60),ROW()-1,FALSE))</f>
        <v/>
      </c>
      <c r="R555" t="str">
        <f ca="1">IF(AND(ISNUMBER($R$1214),$B$677=1),$R$1214,HLOOKUP(INDIRECT(ADDRESS(2,COLUMN())),OFFSET($BN$2,0,0,ROW()-1,60),ROW()-1,FALSE))</f>
        <v/>
      </c>
      <c r="S555" t="str">
        <f ca="1">IF(AND(ISNUMBER($S$1214),$B$677=1),$S$1214,HLOOKUP(INDIRECT(ADDRESS(2,COLUMN())),OFFSET($BN$2,0,0,ROW()-1,60),ROW()-1,FALSE))</f>
        <v/>
      </c>
      <c r="T555" t="str">
        <f ca="1">IF(AND(ISNUMBER($T$1214),$B$677=1),$T$1214,HLOOKUP(INDIRECT(ADDRESS(2,COLUMN())),OFFSET($BN$2,0,0,ROW()-1,60),ROW()-1,FALSE))</f>
        <v/>
      </c>
      <c r="U555" t="str">
        <f ca="1">IF(AND(ISNUMBER($U$1214),$B$677=1),$U$1214,HLOOKUP(INDIRECT(ADDRESS(2,COLUMN())),OFFSET($BN$2,0,0,ROW()-1,60),ROW()-1,FALSE))</f>
        <v/>
      </c>
      <c r="V555" t="str">
        <f ca="1">IF(AND(ISNUMBER($V$1214),$B$677=1),$V$1214,HLOOKUP(INDIRECT(ADDRESS(2,COLUMN())),OFFSET($BN$2,0,0,ROW()-1,60),ROW()-1,FALSE))</f>
        <v/>
      </c>
      <c r="W555" t="str">
        <f ca="1">IF(AND(ISNUMBER($W$1214),$B$677=1),$W$1214,HLOOKUP(INDIRECT(ADDRESS(2,COLUMN())),OFFSET($BN$2,0,0,ROW()-1,60),ROW()-1,FALSE))</f>
        <v/>
      </c>
      <c r="X555" t="str">
        <f ca="1">IF(AND(ISNUMBER($X$1214),$B$677=1),$X$1214,HLOOKUP(INDIRECT(ADDRESS(2,COLUMN())),OFFSET($BN$2,0,0,ROW()-1,60),ROW()-1,FALSE))</f>
        <v/>
      </c>
      <c r="Y555" t="str">
        <f ca="1">IF(AND(ISNUMBER($Y$1214),$B$677=1),$Y$1214,HLOOKUP(INDIRECT(ADDRESS(2,COLUMN())),OFFSET($BN$2,0,0,ROW()-1,60),ROW()-1,FALSE))</f>
        <v/>
      </c>
      <c r="Z555" t="str">
        <f ca="1">IF(AND(ISNUMBER($Z$1214),$B$677=1),$Z$1214,HLOOKUP(INDIRECT(ADDRESS(2,COLUMN())),OFFSET($BN$2,0,0,ROW()-1,60),ROW()-1,FALSE))</f>
        <v/>
      </c>
      <c r="AA555" t="str">
        <f ca="1">IF(AND(ISNUMBER($AA$1214),$B$677=1),$AA$1214,HLOOKUP(INDIRECT(ADDRESS(2,COLUMN())),OFFSET($BN$2,0,0,ROW()-1,60),ROW()-1,FALSE))</f>
        <v/>
      </c>
      <c r="AB555" t="str">
        <f ca="1">IF(AND(ISNUMBER($AB$1214),$B$677=1),$AB$1214,HLOOKUP(INDIRECT(ADDRESS(2,COLUMN())),OFFSET($BN$2,0,0,ROW()-1,60),ROW()-1,FALSE))</f>
        <v/>
      </c>
      <c r="AC555" t="str">
        <f ca="1">IF(AND(ISNUMBER($AC$1214),$B$677=1),$AC$1214,HLOOKUP(INDIRECT(ADDRESS(2,COLUMN())),OFFSET($BN$2,0,0,ROW()-1,60),ROW()-1,FALSE))</f>
        <v/>
      </c>
      <c r="AD555" t="str">
        <f ca="1">IF(AND(ISNUMBER($AD$1214),$B$677=1),$AD$1214,HLOOKUP(INDIRECT(ADDRESS(2,COLUMN())),OFFSET($BN$2,0,0,ROW()-1,60),ROW()-1,FALSE))</f>
        <v/>
      </c>
      <c r="AE555" t="str">
        <f ca="1">IF(AND(ISNUMBER($AE$1214),$B$677=1),$AE$1214,HLOOKUP(INDIRECT(ADDRESS(2,COLUMN())),OFFSET($BN$2,0,0,ROW()-1,60),ROW()-1,FALSE))</f>
        <v/>
      </c>
      <c r="AF555" t="str">
        <f ca="1">IF(AND(ISNUMBER($AF$1214),$B$677=1),$AF$1214,HLOOKUP(INDIRECT(ADDRESS(2,COLUMN())),OFFSET($BN$2,0,0,ROW()-1,60),ROW()-1,FALSE))</f>
        <v/>
      </c>
      <c r="AG555" t="str">
        <f ca="1">IF(AND(ISNUMBER($AG$1214),$B$677=1),$AG$1214,HLOOKUP(INDIRECT(ADDRESS(2,COLUMN())),OFFSET($BN$2,0,0,ROW()-1,60),ROW()-1,FALSE))</f>
        <v/>
      </c>
      <c r="AH555" t="str">
        <f ca="1">IF(AND(ISNUMBER($AH$1214),$B$677=1),$AH$1214,HLOOKUP(INDIRECT(ADDRESS(2,COLUMN())),OFFSET($BN$2,0,0,ROW()-1,60),ROW()-1,FALSE))</f>
        <v/>
      </c>
      <c r="AI555" t="str">
        <f ca="1">IF(AND(ISNUMBER($AI$1214),$B$677=1),$AI$1214,HLOOKUP(INDIRECT(ADDRESS(2,COLUMN())),OFFSET($BN$2,0,0,ROW()-1,60),ROW()-1,FALSE))</f>
        <v/>
      </c>
      <c r="AJ555" t="str">
        <f ca="1">IF(AND(ISNUMBER($AJ$1214),$B$677=1),$AJ$1214,HLOOKUP(INDIRECT(ADDRESS(2,COLUMN())),OFFSET($BN$2,0,0,ROW()-1,60),ROW()-1,FALSE))</f>
        <v/>
      </c>
      <c r="AK555" t="str">
        <f ca="1">IF(AND(ISNUMBER($AK$1214),$B$677=1),$AK$1214,HLOOKUP(INDIRECT(ADDRESS(2,COLUMN())),OFFSET($BN$2,0,0,ROW()-1,60),ROW()-1,FALSE))</f>
        <v/>
      </c>
      <c r="AL555" t="str">
        <f ca="1">IF(AND(ISNUMBER($AL$1214),$B$677=1),$AL$1214,HLOOKUP(INDIRECT(ADDRESS(2,COLUMN())),OFFSET($BN$2,0,0,ROW()-1,60),ROW()-1,FALSE))</f>
        <v/>
      </c>
      <c r="AM555" t="str">
        <f ca="1">IF(AND(ISNUMBER($AM$1214),$B$677=1),$AM$1214,HLOOKUP(INDIRECT(ADDRESS(2,COLUMN())),OFFSET($BN$2,0,0,ROW()-1,60),ROW()-1,FALSE))</f>
        <v/>
      </c>
      <c r="AN555" t="str">
        <f ca="1">IF(AND(ISNUMBER($AN$1214),$B$677=1),$AN$1214,HLOOKUP(INDIRECT(ADDRESS(2,COLUMN())),OFFSET($BN$2,0,0,ROW()-1,60),ROW()-1,FALSE))</f>
        <v/>
      </c>
      <c r="AO555" t="str">
        <f ca="1">IF(AND(ISNUMBER($AO$1214),$B$677=1),$AO$1214,HLOOKUP(INDIRECT(ADDRESS(2,COLUMN())),OFFSET($BN$2,0,0,ROW()-1,60),ROW()-1,FALSE))</f>
        <v/>
      </c>
      <c r="AP555" t="str">
        <f ca="1">IF(AND(ISNUMBER($AP$1214),$B$677=1),$AP$1214,HLOOKUP(INDIRECT(ADDRESS(2,COLUMN())),OFFSET($BN$2,0,0,ROW()-1,60),ROW()-1,FALSE))</f>
        <v/>
      </c>
      <c r="AQ555" t="str">
        <f ca="1">IF(AND(ISNUMBER($AQ$1214),$B$677=1),$AQ$1214,HLOOKUP(INDIRECT(ADDRESS(2,COLUMN())),OFFSET($BN$2,0,0,ROW()-1,60),ROW()-1,FALSE))</f>
        <v/>
      </c>
      <c r="AR555" t="str">
        <f ca="1">IF(AND(ISNUMBER($AR$1214),$B$677=1),$AR$1214,HLOOKUP(INDIRECT(ADDRESS(2,COLUMN())),OFFSET($BN$2,0,0,ROW()-1,60),ROW()-1,FALSE))</f>
        <v/>
      </c>
      <c r="AS555" t="str">
        <f ca="1">IF(AND(ISNUMBER($AS$1214),$B$677=1),$AS$1214,HLOOKUP(INDIRECT(ADDRESS(2,COLUMN())),OFFSET($BN$2,0,0,ROW()-1,60),ROW()-1,FALSE))</f>
        <v/>
      </c>
      <c r="AT555" t="str">
        <f ca="1">IF(AND(ISNUMBER($AT$1214),$B$677=1),$AT$1214,HLOOKUP(INDIRECT(ADDRESS(2,COLUMN())),OFFSET($BN$2,0,0,ROW()-1,60),ROW()-1,FALSE))</f>
        <v/>
      </c>
      <c r="AU555" t="str">
        <f ca="1">IF(AND(ISNUMBER($AU$1214),$B$677=1),$AU$1214,HLOOKUP(INDIRECT(ADDRESS(2,COLUMN())),OFFSET($BN$2,0,0,ROW()-1,60),ROW()-1,FALSE))</f>
        <v/>
      </c>
      <c r="AV555" t="str">
        <f ca="1">IF(AND(ISNUMBER($AV$1214),$B$677=1),$AV$1214,HLOOKUP(INDIRECT(ADDRESS(2,COLUMN())),OFFSET($BN$2,0,0,ROW()-1,60),ROW()-1,FALSE))</f>
        <v/>
      </c>
      <c r="AW555" t="str">
        <f ca="1">IF(AND(ISNUMBER($AW$1214),$B$677=1),$AW$1214,HLOOKUP(INDIRECT(ADDRESS(2,COLUMN())),OFFSET($BN$2,0,0,ROW()-1,60),ROW()-1,FALSE))</f>
        <v/>
      </c>
      <c r="AX555" t="str">
        <f ca="1">IF(AND(ISNUMBER($AX$1214),$B$677=1),$AX$1214,HLOOKUP(INDIRECT(ADDRESS(2,COLUMN())),OFFSET($BN$2,0,0,ROW()-1,60),ROW()-1,FALSE))</f>
        <v/>
      </c>
      <c r="AY555" t="str">
        <f ca="1">IF(AND(ISNUMBER($AY$1214),$B$677=1),$AY$1214,HLOOKUP(INDIRECT(ADDRESS(2,COLUMN())),OFFSET($BN$2,0,0,ROW()-1,60),ROW()-1,FALSE))</f>
        <v/>
      </c>
      <c r="AZ555" t="str">
        <f ca="1">IF(AND(ISNUMBER($AZ$1214),$B$677=1),$AZ$1214,HLOOKUP(INDIRECT(ADDRESS(2,COLUMN())),OFFSET($BN$2,0,0,ROW()-1,60),ROW()-1,FALSE))</f>
        <v/>
      </c>
      <c r="BA555" t="str">
        <f ca="1">IF(AND(ISNUMBER($BA$1214),$B$677=1),$BA$1214,HLOOKUP(INDIRECT(ADDRESS(2,COLUMN())),OFFSET($BN$2,0,0,ROW()-1,60),ROW()-1,FALSE))</f>
        <v/>
      </c>
      <c r="BB555" t="str">
        <f ca="1">IF(AND(ISNUMBER($BB$1214),$B$677=1),$BB$1214,HLOOKUP(INDIRECT(ADDRESS(2,COLUMN())),OFFSET($BN$2,0,0,ROW()-1,60),ROW()-1,FALSE))</f>
        <v/>
      </c>
      <c r="BC555" t="str">
        <f ca="1">IF(AND(ISNUMBER($BC$1214),$B$677=1),$BC$1214,HLOOKUP(INDIRECT(ADDRESS(2,COLUMN())),OFFSET($BN$2,0,0,ROW()-1,60),ROW()-1,FALSE))</f>
        <v/>
      </c>
      <c r="BD555" t="str">
        <f ca="1">IF(AND(ISNUMBER($BD$1214),$B$677=1),$BD$1214,HLOOKUP(INDIRECT(ADDRESS(2,COLUMN())),OFFSET($BN$2,0,0,ROW()-1,60),ROW()-1,FALSE))</f>
        <v/>
      </c>
      <c r="BE555" t="str">
        <f ca="1">IF(AND(ISNUMBER($BE$1214),$B$677=1),$BE$1214,HLOOKUP(INDIRECT(ADDRESS(2,COLUMN())),OFFSET($BN$2,0,0,ROW()-1,60),ROW()-1,FALSE))</f>
        <v/>
      </c>
      <c r="BF555" t="str">
        <f ca="1">IF(AND(ISNUMBER($BF$1214),$B$677=1),$BF$1214,HLOOKUP(INDIRECT(ADDRESS(2,COLUMN())),OFFSET($BN$2,0,0,ROW()-1,60),ROW()-1,FALSE))</f>
        <v/>
      </c>
      <c r="BG555" t="str">
        <f ca="1">IF(AND(ISNUMBER($BG$1214),$B$677=1),$BG$1214,HLOOKUP(INDIRECT(ADDRESS(2,COLUMN())),OFFSET($BN$2,0,0,ROW()-1,60),ROW()-1,FALSE))</f>
        <v/>
      </c>
      <c r="BH555" t="str">
        <f ca="1">IF(AND(ISNUMBER($BH$1214),$B$677=1),$BH$1214,HLOOKUP(INDIRECT(ADDRESS(2,COLUMN())),OFFSET($BN$2,0,0,ROW()-1,60),ROW()-1,FALSE))</f>
        <v/>
      </c>
      <c r="BI555" t="str">
        <f ca="1">IF(AND(ISNUMBER($BI$1214),$B$677=1),$BI$1214,HLOOKUP(INDIRECT(ADDRESS(2,COLUMN())),OFFSET($BN$2,0,0,ROW()-1,60),ROW()-1,FALSE))</f>
        <v/>
      </c>
      <c r="BJ555" t="str">
        <f ca="1">IF(AND(ISNUMBER($BJ$1214),$B$677=1),$BJ$1214,HLOOKUP(INDIRECT(ADDRESS(2,COLUMN())),OFFSET($BN$2,0,0,ROW()-1,60),ROW()-1,FALSE))</f>
        <v/>
      </c>
      <c r="BK555" t="str">
        <f ca="1">IF(AND(ISNUMBER($BK$1214),$B$677=1),$BK$1214,HLOOKUP(INDIRECT(ADDRESS(2,COLUMN())),OFFSET($BN$2,0,0,ROW()-1,60),ROW()-1,FALSE))</f>
        <v/>
      </c>
      <c r="BL555" t="str">
        <f ca="1">IF(AND(ISNUMBER($BL$1214),$B$677=1),$BL$1214,HLOOKUP(INDIRECT(ADDRESS(2,COLUMN())),OFFSET($BN$2,0,0,ROW()-1,60),ROW()-1,FALSE))</f>
        <v/>
      </c>
      <c r="BM555" t="str">
        <f ca="1">IF(AND(ISNUMBER($BM$1214),$B$677=1),$BM$1214,HLOOKUP(INDIRECT(ADDRESS(2,COLUMN())),OFFSET($BN$2,0,0,ROW()-1,60),ROW()-1,FALSE))</f>
        <v/>
      </c>
      <c r="BN555" t="str">
        <f>""</f>
        <v/>
      </c>
      <c r="BO555" t="str">
        <f>""</f>
        <v/>
      </c>
      <c r="BP555" t="str">
        <f>""</f>
        <v/>
      </c>
      <c r="BQ555" t="str">
        <f>""</f>
        <v/>
      </c>
      <c r="BR555" t="str">
        <f>""</f>
        <v/>
      </c>
      <c r="BS555" t="str">
        <f>""</f>
        <v/>
      </c>
      <c r="BT555" t="str">
        <f>""</f>
        <v/>
      </c>
      <c r="BU555" t="str">
        <f>""</f>
        <v/>
      </c>
      <c r="BV555" t="str">
        <f>""</f>
        <v/>
      </c>
      <c r="BW555" t="str">
        <f>""</f>
        <v/>
      </c>
      <c r="BX555" t="str">
        <f>""</f>
        <v/>
      </c>
      <c r="BY555" t="str">
        <f>""</f>
        <v/>
      </c>
      <c r="BZ555" t="str">
        <f>""</f>
        <v/>
      </c>
      <c r="CA555" t="str">
        <f>""</f>
        <v/>
      </c>
      <c r="CB555" t="str">
        <f>""</f>
        <v/>
      </c>
      <c r="CC555" t="str">
        <f>""</f>
        <v/>
      </c>
      <c r="CD555" t="str">
        <f>""</f>
        <v/>
      </c>
      <c r="CE555" t="str">
        <f>""</f>
        <v/>
      </c>
      <c r="CF555" t="str">
        <f>""</f>
        <v/>
      </c>
      <c r="CG555" t="str">
        <f>""</f>
        <v/>
      </c>
      <c r="CH555" t="str">
        <f>""</f>
        <v/>
      </c>
      <c r="CI555" t="str">
        <f>""</f>
        <v/>
      </c>
      <c r="CJ555" t="str">
        <f>""</f>
        <v/>
      </c>
      <c r="CK555" t="str">
        <f>""</f>
        <v/>
      </c>
      <c r="CL555" t="str">
        <f>""</f>
        <v/>
      </c>
      <c r="CM555" t="str">
        <f>""</f>
        <v/>
      </c>
      <c r="CN555" t="str">
        <f>""</f>
        <v/>
      </c>
      <c r="CO555" t="str">
        <f>""</f>
        <v/>
      </c>
      <c r="CP555" t="str">
        <f>""</f>
        <v/>
      </c>
      <c r="CQ555" t="str">
        <f>""</f>
        <v/>
      </c>
      <c r="CR555" t="str">
        <f>""</f>
        <v/>
      </c>
      <c r="CS555" t="str">
        <f>""</f>
        <v/>
      </c>
      <c r="CT555" t="str">
        <f>""</f>
        <v/>
      </c>
      <c r="CU555" t="str">
        <f>""</f>
        <v/>
      </c>
      <c r="CV555" t="str">
        <f>""</f>
        <v/>
      </c>
      <c r="CW555" t="str">
        <f>""</f>
        <v/>
      </c>
      <c r="CX555" t="str">
        <f>""</f>
        <v/>
      </c>
      <c r="CY555" t="str">
        <f>""</f>
        <v/>
      </c>
      <c r="CZ555" t="str">
        <f>""</f>
        <v/>
      </c>
      <c r="DA555" t="str">
        <f>""</f>
        <v/>
      </c>
      <c r="DB555" t="str">
        <f>""</f>
        <v/>
      </c>
      <c r="DC555" t="str">
        <f>""</f>
        <v/>
      </c>
      <c r="DD555" t="str">
        <f>""</f>
        <v/>
      </c>
      <c r="DE555" t="str">
        <f>""</f>
        <v/>
      </c>
      <c r="DF555" t="str">
        <f>""</f>
        <v/>
      </c>
      <c r="DG555" t="str">
        <f>""</f>
        <v/>
      </c>
      <c r="DH555" t="str">
        <f>""</f>
        <v/>
      </c>
      <c r="DI555" t="str">
        <f>""</f>
        <v/>
      </c>
      <c r="DJ555" t="str">
        <f>""</f>
        <v/>
      </c>
      <c r="DK555" t="str">
        <f>""</f>
        <v/>
      </c>
      <c r="DL555" t="str">
        <f>""</f>
        <v/>
      </c>
      <c r="DM555" t="str">
        <f>""</f>
        <v/>
      </c>
      <c r="DN555" t="str">
        <f>""</f>
        <v/>
      </c>
      <c r="DO555" t="str">
        <f>""</f>
        <v/>
      </c>
      <c r="DP555" t="str">
        <f>""</f>
        <v/>
      </c>
      <c r="DQ555" t="str">
        <f>""</f>
        <v/>
      </c>
      <c r="DR555" t="str">
        <f>""</f>
        <v/>
      </c>
      <c r="DS555" t="str">
        <f>""</f>
        <v/>
      </c>
      <c r="DT555" t="str">
        <f>""</f>
        <v/>
      </c>
      <c r="DU555" t="str">
        <f>""</f>
        <v/>
      </c>
    </row>
    <row r="556" spans="1:125" x14ac:dyDescent="0.25">
      <c r="A556" t="str">
        <f>"    General Motors Co"</f>
        <v xml:space="preserve">    General Motors Co</v>
      </c>
      <c r="B556" t="str">
        <f>"GM US Equity"</f>
        <v>GM US Equity</v>
      </c>
      <c r="C556" t="str">
        <f t="shared" si="39"/>
        <v>RX076</v>
      </c>
      <c r="D556" t="str">
        <f t="shared" si="40"/>
        <v>EBIT_YIELD</v>
      </c>
      <c r="E556" t="str">
        <f t="shared" si="41"/>
        <v>Dynamic</v>
      </c>
      <c r="F556">
        <f ca="1">IF(AND(ISNUMBER($F$1215),$B$677=1),$F$1215,HLOOKUP(INDIRECT(ADDRESS(2,COLUMN())),OFFSET($BN$2,0,0,ROW()-1,60),ROW()-1,FALSE))</f>
        <v>8.0196932420000007</v>
      </c>
      <c r="G556">
        <f ca="1">IF(AND(ISNUMBER($G$1215),$B$677=1),$G$1215,HLOOKUP(INDIRECT(ADDRESS(2,COLUMN())),OFFSET($BN$2,0,0,ROW()-1,60),ROW()-1,FALSE))</f>
        <v>9.4162470650000003</v>
      </c>
      <c r="H556">
        <f ca="1">IF(AND(ISNUMBER($H$1215),$B$677=1),$H$1215,HLOOKUP(INDIRECT(ADDRESS(2,COLUMN())),OFFSET($BN$2,0,0,ROW()-1,60),ROW()-1,FALSE))</f>
        <v>12.25475516</v>
      </c>
      <c r="I556">
        <f ca="1">IF(AND(ISNUMBER($I$1215),$B$677=1),$I$1215,HLOOKUP(INDIRECT(ADDRESS(2,COLUMN())),OFFSET($BN$2,0,0,ROW()-1,60),ROW()-1,FALSE))</f>
        <v>10.34671795</v>
      </c>
      <c r="J556">
        <f ca="1">IF(AND(ISNUMBER($J$1215),$B$677=1),$J$1215,HLOOKUP(INDIRECT(ADDRESS(2,COLUMN())),OFFSET($BN$2,0,0,ROW()-1,60),ROW()-1,FALSE))</f>
        <v>12.55776356</v>
      </c>
      <c r="K556">
        <f ca="1">IF(AND(ISNUMBER($K$1215),$B$677=1),$K$1215,HLOOKUP(INDIRECT(ADDRESS(2,COLUMN())),OFFSET($BN$2,0,0,ROW()-1,60),ROW()-1,FALSE))</f>
        <v>14.40365972</v>
      </c>
      <c r="L556">
        <f ca="1">IF(AND(ISNUMBER($L$1215),$B$677=1),$L$1215,HLOOKUP(INDIRECT(ADDRESS(2,COLUMN())),OFFSET($BN$2,0,0,ROW()-1,60),ROW()-1,FALSE))</f>
        <v>11.52715004</v>
      </c>
      <c r="M556">
        <f ca="1">IF(AND(ISNUMBER($M$1215),$B$677=1),$M$1215,HLOOKUP(INDIRECT(ADDRESS(2,COLUMN())),OFFSET($BN$2,0,0,ROW()-1,60),ROW()-1,FALSE))</f>
        <v>16.01767388</v>
      </c>
      <c r="N556">
        <f ca="1">IF(AND(ISNUMBER($N$1215),$B$677=1),$N$1215,HLOOKUP(INDIRECT(ADDRESS(2,COLUMN())),OFFSET($BN$2,0,0,ROW()-1,60),ROW()-1,FALSE))</f>
        <v>16.913088210000002</v>
      </c>
      <c r="O556">
        <f ca="1">IF(AND(ISNUMBER($O$1215),$B$677=1),$O$1215,HLOOKUP(INDIRECT(ADDRESS(2,COLUMN())),OFFSET($BN$2,0,0,ROW()-1,60),ROW()-1,FALSE))</f>
        <v>15.900512989999999</v>
      </c>
      <c r="P556">
        <f ca="1">IF(AND(ISNUMBER($P$1215),$B$677=1),$P$1215,HLOOKUP(INDIRECT(ADDRESS(2,COLUMN())),OFFSET($BN$2,0,0,ROW()-1,60),ROW()-1,FALSE))</f>
        <v>20.216184720000001</v>
      </c>
      <c r="Q556">
        <f ca="1">IF(AND(ISNUMBER($Q$1215),$B$677=1),$Q$1215,HLOOKUP(INDIRECT(ADDRESS(2,COLUMN())),OFFSET($BN$2,0,0,ROW()-1,60),ROW()-1,FALSE))</f>
        <v>17.752392950000001</v>
      </c>
      <c r="R556">
        <f ca="1">IF(AND(ISNUMBER($R$1215),$B$677=1),$R$1215,HLOOKUP(INDIRECT(ADDRESS(2,COLUMN())),OFFSET($BN$2,0,0,ROW()-1,60),ROW()-1,FALSE))</f>
        <v>12.44367836</v>
      </c>
      <c r="S556">
        <f ca="1">IF(AND(ISNUMBER($S$1215),$B$677=1),$S$1215,HLOOKUP(INDIRECT(ADDRESS(2,COLUMN())),OFFSET($BN$2,0,0,ROW()-1,60),ROW()-1,FALSE))</f>
        <v>9.1184224720000007</v>
      </c>
      <c r="T556">
        <f ca="1">IF(AND(ISNUMBER($T$1215),$B$677=1),$T$1215,HLOOKUP(INDIRECT(ADDRESS(2,COLUMN())),OFFSET($BN$2,0,0,ROW()-1,60),ROW()-1,FALSE))</f>
        <v>9.0487644730000003</v>
      </c>
      <c r="U556">
        <f ca="1">IF(AND(ISNUMBER($U$1215),$B$677=1),$U$1215,HLOOKUP(INDIRECT(ADDRESS(2,COLUMN())),OFFSET($BN$2,0,0,ROW()-1,60),ROW()-1,FALSE))</f>
        <v>8.5370305579999997</v>
      </c>
      <c r="V556">
        <f ca="1">IF(AND(ISNUMBER($V$1215),$B$677=1),$V$1215,HLOOKUP(INDIRECT(ADDRESS(2,COLUMN())),OFFSET($BN$2,0,0,ROW()-1,60),ROW()-1,FALSE))</f>
        <v>4.6545714489999996</v>
      </c>
      <c r="W556">
        <f ca="1">IF(AND(ISNUMBER($W$1215),$B$677=1),$W$1215,HLOOKUP(INDIRECT(ADDRESS(2,COLUMN())),OFFSET($BN$2,0,0,ROW()-1,60),ROW()-1,FALSE))</f>
        <v>2.7002952210000002</v>
      </c>
      <c r="X556">
        <f ca="1">IF(AND(ISNUMBER($X$1215),$B$677=1),$X$1215,HLOOKUP(INDIRECT(ADDRESS(2,COLUMN())),OFFSET($BN$2,0,0,ROW()-1,60),ROW()-1,FALSE))</f>
        <v>0.769832348</v>
      </c>
      <c r="Y556">
        <f ca="1">IF(AND(ISNUMBER($Y$1215),$B$677=1),$Y$1215,HLOOKUP(INDIRECT(ADDRESS(2,COLUMN())),OFFSET($BN$2,0,0,ROW()-1,60),ROW()-1,FALSE))</f>
        <v>3.0645284479999999</v>
      </c>
      <c r="Z556">
        <f ca="1">IF(AND(ISNUMBER($Z$1215),$B$677=1),$Z$1215,HLOOKUP(INDIRECT(ADDRESS(2,COLUMN())),OFFSET($BN$2,0,0,ROW()-1,60),ROW()-1,FALSE))</f>
        <v>7.779963231</v>
      </c>
      <c r="AA556">
        <f ca="1">IF(AND(ISNUMBER($AA$1215),$B$677=1),$AA$1215,HLOOKUP(INDIRECT(ADDRESS(2,COLUMN())),OFFSET($BN$2,0,0,ROW()-1,60),ROW()-1,FALSE))</f>
        <v>9.0872448919999993</v>
      </c>
      <c r="AB556">
        <f ca="1">IF(AND(ISNUMBER($AB$1215),$B$677=1),$AB$1215,HLOOKUP(INDIRECT(ADDRESS(2,COLUMN())),OFFSET($BN$2,0,0,ROW()-1,60),ROW()-1,FALSE))</f>
        <v>-52.22037418</v>
      </c>
      <c r="AC556">
        <f ca="1">IF(AND(ISNUMBER($AC$1215),$B$677=1),$AC$1215,HLOOKUP(INDIRECT(ADDRESS(2,COLUMN())),OFFSET($BN$2,0,0,ROW()-1,60),ROW()-1,FALSE))</f>
        <v>-58.21181361</v>
      </c>
      <c r="AD556">
        <f ca="1">IF(AND(ISNUMBER($AD$1215),$B$677=1),$AD$1215,HLOOKUP(INDIRECT(ADDRESS(2,COLUMN())),OFFSET($BN$2,0,0,ROW()-1,60),ROW()-1,FALSE))</f>
        <v>-70.101625909999996</v>
      </c>
      <c r="AE556">
        <f ca="1">IF(AND(ISNUMBER($AE$1215),$B$677=1),$AE$1215,HLOOKUP(INDIRECT(ADDRESS(2,COLUMN())),OFFSET($BN$2,0,0,ROW()-1,60),ROW()-1,FALSE))</f>
        <v>-67.872577640000003</v>
      </c>
      <c r="AF556">
        <f ca="1">IF(AND(ISNUMBER($AF$1215),$B$677=1),$AF$1215,HLOOKUP(INDIRECT(ADDRESS(2,COLUMN())),OFFSET($BN$2,0,0,ROW()-1,60),ROW()-1,FALSE))</f>
        <v>13.63287161</v>
      </c>
      <c r="AG556">
        <f ca="1">IF(AND(ISNUMBER($AG$1215),$B$677=1),$AG$1215,HLOOKUP(INDIRECT(ADDRESS(2,COLUMN())),OFFSET($BN$2,0,0,ROW()-1,60),ROW()-1,FALSE))</f>
        <v>16.41312967</v>
      </c>
      <c r="AH556">
        <f ca="1">IF(AND(ISNUMBER($AH$1215),$B$677=1),$AH$1215,HLOOKUP(INDIRECT(ADDRESS(2,COLUMN())),OFFSET($BN$2,0,0,ROW()-1,60),ROW()-1,FALSE))</f>
        <v>14.442997050000001</v>
      </c>
      <c r="AI556">
        <f ca="1">IF(AND(ISNUMBER($AI$1215),$B$677=1),$AI$1215,HLOOKUP(INDIRECT(ADDRESS(2,COLUMN())),OFFSET($BN$2,0,0,ROW()-1,60),ROW()-1,FALSE))</f>
        <v>18.26356685</v>
      </c>
      <c r="AJ556">
        <f ca="1">IF(AND(ISNUMBER($AJ$1215),$B$677=1),$AJ$1215,HLOOKUP(INDIRECT(ADDRESS(2,COLUMN())),OFFSET($BN$2,0,0,ROW()-1,60),ROW()-1,FALSE))</f>
        <v>17.846966250000001</v>
      </c>
      <c r="AK556">
        <f ca="1">IF(AND(ISNUMBER($AK$1215),$B$677=1),$AK$1215,HLOOKUP(INDIRECT(ADDRESS(2,COLUMN())),OFFSET($BN$2,0,0,ROW()-1,60),ROW()-1,FALSE))</f>
        <v>11.85981928</v>
      </c>
      <c r="AL556">
        <f ca="1">IF(AND(ISNUMBER($AL$1215),$B$677=1),$AL$1215,HLOOKUP(INDIRECT(ADDRESS(2,COLUMN())),OFFSET($BN$2,0,0,ROW()-1,60),ROW()-1,FALSE))</f>
        <v>10.443881319999999</v>
      </c>
      <c r="AM556">
        <f ca="1">IF(AND(ISNUMBER($AM$1215),$B$677=1),$AM$1215,HLOOKUP(INDIRECT(ADDRESS(2,COLUMN())),OFFSET($BN$2,0,0,ROW()-1,60),ROW()-1,FALSE))</f>
        <v>9.2378883980000008</v>
      </c>
      <c r="AN556" t="str">
        <f ca="1">IF(AND(ISNUMBER($AN$1215),$B$677=1),$AN$1215,HLOOKUP(INDIRECT(ADDRESS(2,COLUMN())),OFFSET($BN$2,0,0,ROW()-1,60),ROW()-1,FALSE))</f>
        <v/>
      </c>
      <c r="AO556" t="str">
        <f ca="1">IF(AND(ISNUMBER($AO$1215),$B$677=1),$AO$1215,HLOOKUP(INDIRECT(ADDRESS(2,COLUMN())),OFFSET($BN$2,0,0,ROW()-1,60),ROW()-1,FALSE))</f>
        <v/>
      </c>
      <c r="AP556" t="str">
        <f ca="1">IF(AND(ISNUMBER($AP$1215),$B$677=1),$AP$1215,HLOOKUP(INDIRECT(ADDRESS(2,COLUMN())),OFFSET($BN$2,0,0,ROW()-1,60),ROW()-1,FALSE))</f>
        <v/>
      </c>
      <c r="AQ556" t="str">
        <f ca="1">IF(AND(ISNUMBER($AQ$1215),$B$677=1),$AQ$1215,HLOOKUP(INDIRECT(ADDRESS(2,COLUMN())),OFFSET($BN$2,0,0,ROW()-1,60),ROW()-1,FALSE))</f>
        <v/>
      </c>
      <c r="AR556" t="str">
        <f ca="1">IF(AND(ISNUMBER($AR$1215),$B$677=1),$AR$1215,HLOOKUP(INDIRECT(ADDRESS(2,COLUMN())),OFFSET($BN$2,0,0,ROW()-1,60),ROW()-1,FALSE))</f>
        <v/>
      </c>
      <c r="AS556" t="str">
        <f ca="1">IF(AND(ISNUMBER($AS$1215),$B$677=1),$AS$1215,HLOOKUP(INDIRECT(ADDRESS(2,COLUMN())),OFFSET($BN$2,0,0,ROW()-1,60),ROW()-1,FALSE))</f>
        <v/>
      </c>
      <c r="AT556" t="str">
        <f ca="1">IF(AND(ISNUMBER($AT$1215),$B$677=1),$AT$1215,HLOOKUP(INDIRECT(ADDRESS(2,COLUMN())),OFFSET($BN$2,0,0,ROW()-1,60),ROW()-1,FALSE))</f>
        <v/>
      </c>
      <c r="AU556" t="str">
        <f ca="1">IF(AND(ISNUMBER($AU$1215),$B$677=1),$AU$1215,HLOOKUP(INDIRECT(ADDRESS(2,COLUMN())),OFFSET($BN$2,0,0,ROW()-1,60),ROW()-1,FALSE))</f>
        <v/>
      </c>
      <c r="AV556" t="str">
        <f ca="1">IF(AND(ISNUMBER($AV$1215),$B$677=1),$AV$1215,HLOOKUP(INDIRECT(ADDRESS(2,COLUMN())),OFFSET($BN$2,0,0,ROW()-1,60),ROW()-1,FALSE))</f>
        <v/>
      </c>
      <c r="AW556" t="str">
        <f ca="1">IF(AND(ISNUMBER($AW$1215),$B$677=1),$AW$1215,HLOOKUP(INDIRECT(ADDRESS(2,COLUMN())),OFFSET($BN$2,0,0,ROW()-1,60),ROW()-1,FALSE))</f>
        <v/>
      </c>
      <c r="AX556" t="str">
        <f ca="1">IF(AND(ISNUMBER($AX$1215),$B$677=1),$AX$1215,HLOOKUP(INDIRECT(ADDRESS(2,COLUMN())),OFFSET($BN$2,0,0,ROW()-1,60),ROW()-1,FALSE))</f>
        <v/>
      </c>
      <c r="AY556" t="str">
        <f ca="1">IF(AND(ISNUMBER($AY$1215),$B$677=1),$AY$1215,HLOOKUP(INDIRECT(ADDRESS(2,COLUMN())),OFFSET($BN$2,0,0,ROW()-1,60),ROW()-1,FALSE))</f>
        <v/>
      </c>
      <c r="AZ556" t="str">
        <f ca="1">IF(AND(ISNUMBER($AZ$1215),$B$677=1),$AZ$1215,HLOOKUP(INDIRECT(ADDRESS(2,COLUMN())),OFFSET($BN$2,0,0,ROW()-1,60),ROW()-1,FALSE))</f>
        <v/>
      </c>
      <c r="BA556" t="str">
        <f ca="1">IF(AND(ISNUMBER($BA$1215),$B$677=1),$BA$1215,HLOOKUP(INDIRECT(ADDRESS(2,COLUMN())),OFFSET($BN$2,0,0,ROW()-1,60),ROW()-1,FALSE))</f>
        <v/>
      </c>
      <c r="BB556" t="str">
        <f ca="1">IF(AND(ISNUMBER($BB$1215),$B$677=1),$BB$1215,HLOOKUP(INDIRECT(ADDRESS(2,COLUMN())),OFFSET($BN$2,0,0,ROW()-1,60),ROW()-1,FALSE))</f>
        <v/>
      </c>
      <c r="BC556" t="str">
        <f ca="1">IF(AND(ISNUMBER($BC$1215),$B$677=1),$BC$1215,HLOOKUP(INDIRECT(ADDRESS(2,COLUMN())),OFFSET($BN$2,0,0,ROW()-1,60),ROW()-1,FALSE))</f>
        <v/>
      </c>
      <c r="BD556" t="str">
        <f ca="1">IF(AND(ISNUMBER($BD$1215),$B$677=1),$BD$1215,HLOOKUP(INDIRECT(ADDRESS(2,COLUMN())),OFFSET($BN$2,0,0,ROW()-1,60),ROW()-1,FALSE))</f>
        <v/>
      </c>
      <c r="BE556" t="str">
        <f ca="1">IF(AND(ISNUMBER($BE$1215),$B$677=1),$BE$1215,HLOOKUP(INDIRECT(ADDRESS(2,COLUMN())),OFFSET($BN$2,0,0,ROW()-1,60),ROW()-1,FALSE))</f>
        <v/>
      </c>
      <c r="BF556" t="str">
        <f ca="1">IF(AND(ISNUMBER($BF$1215),$B$677=1),$BF$1215,HLOOKUP(INDIRECT(ADDRESS(2,COLUMN())),OFFSET($BN$2,0,0,ROW()-1,60),ROW()-1,FALSE))</f>
        <v/>
      </c>
      <c r="BG556" t="str">
        <f ca="1">IF(AND(ISNUMBER($BG$1215),$B$677=1),$BG$1215,HLOOKUP(INDIRECT(ADDRESS(2,COLUMN())),OFFSET($BN$2,0,0,ROW()-1,60),ROW()-1,FALSE))</f>
        <v/>
      </c>
      <c r="BH556" t="str">
        <f ca="1">IF(AND(ISNUMBER($BH$1215),$B$677=1),$BH$1215,HLOOKUP(INDIRECT(ADDRESS(2,COLUMN())),OFFSET($BN$2,0,0,ROW()-1,60),ROW()-1,FALSE))</f>
        <v/>
      </c>
      <c r="BI556" t="str">
        <f ca="1">IF(AND(ISNUMBER($BI$1215),$B$677=1),$BI$1215,HLOOKUP(INDIRECT(ADDRESS(2,COLUMN())),OFFSET($BN$2,0,0,ROW()-1,60),ROW()-1,FALSE))</f>
        <v/>
      </c>
      <c r="BJ556" t="str">
        <f ca="1">IF(AND(ISNUMBER($BJ$1215),$B$677=1),$BJ$1215,HLOOKUP(INDIRECT(ADDRESS(2,COLUMN())),OFFSET($BN$2,0,0,ROW()-1,60),ROW()-1,FALSE))</f>
        <v/>
      </c>
      <c r="BK556" t="str">
        <f ca="1">IF(AND(ISNUMBER($BK$1215),$B$677=1),$BK$1215,HLOOKUP(INDIRECT(ADDRESS(2,COLUMN())),OFFSET($BN$2,0,0,ROW()-1,60),ROW()-1,FALSE))</f>
        <v/>
      </c>
      <c r="BL556" t="str">
        <f ca="1">IF(AND(ISNUMBER($BL$1215),$B$677=1),$BL$1215,HLOOKUP(INDIRECT(ADDRESS(2,COLUMN())),OFFSET($BN$2,0,0,ROW()-1,60),ROW()-1,FALSE))</f>
        <v/>
      </c>
      <c r="BM556" t="str">
        <f ca="1">IF(AND(ISNUMBER($BM$1215),$B$677=1),$BM$1215,HLOOKUP(INDIRECT(ADDRESS(2,COLUMN())),OFFSET($BN$2,0,0,ROW()-1,60),ROW()-1,FALSE))</f>
        <v/>
      </c>
      <c r="BN556">
        <f>8.019693242</f>
        <v>8.0196932420000007</v>
      </c>
      <c r="BO556">
        <f>9.416247065</f>
        <v>9.4162470650000003</v>
      </c>
      <c r="BP556">
        <f>12.25475516</f>
        <v>12.25475516</v>
      </c>
      <c r="BQ556">
        <f>10.34671795</f>
        <v>10.34671795</v>
      </c>
      <c r="BR556">
        <f>12.55776356</f>
        <v>12.55776356</v>
      </c>
      <c r="BS556">
        <f>14.40365972</f>
        <v>14.40365972</v>
      </c>
      <c r="BT556">
        <f>11.52715004</f>
        <v>11.52715004</v>
      </c>
      <c r="BU556">
        <f>16.01767388</f>
        <v>16.01767388</v>
      </c>
      <c r="BV556">
        <f>16.91308821</f>
        <v>16.913088210000002</v>
      </c>
      <c r="BW556">
        <f>15.90051299</f>
        <v>15.900512989999999</v>
      </c>
      <c r="BX556">
        <f>20.21618472</f>
        <v>20.216184720000001</v>
      </c>
      <c r="BY556">
        <f>17.75239295</f>
        <v>17.752392950000001</v>
      </c>
      <c r="BZ556">
        <f>12.44367836</f>
        <v>12.44367836</v>
      </c>
      <c r="CA556">
        <f>9.118422472</f>
        <v>9.1184224720000007</v>
      </c>
      <c r="CB556">
        <f>9.048764473</f>
        <v>9.0487644730000003</v>
      </c>
      <c r="CC556">
        <f>8.537030558</f>
        <v>8.5370305579999997</v>
      </c>
      <c r="CD556">
        <f>4.654571449</f>
        <v>4.6545714489999996</v>
      </c>
      <c r="CE556">
        <f>2.700295221</f>
        <v>2.7002952210000002</v>
      </c>
      <c r="CF556">
        <f>0.769832348</f>
        <v>0.769832348</v>
      </c>
      <c r="CG556">
        <f>3.064528448</f>
        <v>3.0645284479999999</v>
      </c>
      <c r="CH556">
        <f>7.779963231</f>
        <v>7.779963231</v>
      </c>
      <c r="CI556">
        <f>9.087244892</f>
        <v>9.0872448919999993</v>
      </c>
      <c r="CJ556">
        <f>-52.22037418</f>
        <v>-52.22037418</v>
      </c>
      <c r="CK556">
        <f>-58.21181361</f>
        <v>-58.21181361</v>
      </c>
      <c r="CL556">
        <f>-70.10162591</f>
        <v>-70.101625909999996</v>
      </c>
      <c r="CM556">
        <f>-67.87257764</f>
        <v>-67.872577640000003</v>
      </c>
      <c r="CN556">
        <f>13.63287161</f>
        <v>13.63287161</v>
      </c>
      <c r="CO556">
        <f>16.41312967</f>
        <v>16.41312967</v>
      </c>
      <c r="CP556">
        <f>14.44299705</f>
        <v>14.442997050000001</v>
      </c>
      <c r="CQ556">
        <f>18.26356685</f>
        <v>18.26356685</v>
      </c>
      <c r="CR556">
        <f>17.84696625</f>
        <v>17.846966250000001</v>
      </c>
      <c r="CS556">
        <f>11.85981928</f>
        <v>11.85981928</v>
      </c>
      <c r="CT556">
        <f>10.44388132</f>
        <v>10.443881319999999</v>
      </c>
      <c r="CU556">
        <f>9.237888398</f>
        <v>9.2378883980000008</v>
      </c>
      <c r="CV556" t="str">
        <f>""</f>
        <v/>
      </c>
      <c r="CW556" t="str">
        <f>""</f>
        <v/>
      </c>
      <c r="CX556" t="str">
        <f>""</f>
        <v/>
      </c>
      <c r="CY556" t="str">
        <f>""</f>
        <v/>
      </c>
      <c r="CZ556" t="str">
        <f>""</f>
        <v/>
      </c>
      <c r="DA556" t="str">
        <f>""</f>
        <v/>
      </c>
      <c r="DB556" t="str">
        <f>""</f>
        <v/>
      </c>
      <c r="DC556" t="str">
        <f>""</f>
        <v/>
      </c>
      <c r="DD556" t="str">
        <f>""</f>
        <v/>
      </c>
      <c r="DE556" t="str">
        <f>""</f>
        <v/>
      </c>
      <c r="DF556" t="str">
        <f>""</f>
        <v/>
      </c>
      <c r="DG556" t="str">
        <f>""</f>
        <v/>
      </c>
      <c r="DH556" t="str">
        <f>""</f>
        <v/>
      </c>
      <c r="DI556" t="str">
        <f>""</f>
        <v/>
      </c>
      <c r="DJ556" t="str">
        <f>""</f>
        <v/>
      </c>
      <c r="DK556" t="str">
        <f>""</f>
        <v/>
      </c>
      <c r="DL556" t="str">
        <f>""</f>
        <v/>
      </c>
      <c r="DM556" t="str">
        <f>""</f>
        <v/>
      </c>
      <c r="DN556" t="str">
        <f>""</f>
        <v/>
      </c>
      <c r="DO556" t="str">
        <f>""</f>
        <v/>
      </c>
      <c r="DP556" t="str">
        <f>""</f>
        <v/>
      </c>
      <c r="DQ556" t="str">
        <f>""</f>
        <v/>
      </c>
      <c r="DR556" t="str">
        <f>""</f>
        <v/>
      </c>
      <c r="DS556" t="str">
        <f>""</f>
        <v/>
      </c>
      <c r="DT556" t="str">
        <f>""</f>
        <v/>
      </c>
      <c r="DU556" t="str">
        <f>""</f>
        <v/>
      </c>
    </row>
    <row r="557" spans="1:125" x14ac:dyDescent="0.25">
      <c r="A557" t="str">
        <f>"    Great Wall Motor Co Ltd"</f>
        <v xml:space="preserve">    Great Wall Motor Co Ltd</v>
      </c>
      <c r="B557" t="str">
        <f>"2333 HK Equity"</f>
        <v>2333 HK Equity</v>
      </c>
      <c r="C557" t="str">
        <f t="shared" si="39"/>
        <v>RX076</v>
      </c>
      <c r="D557" t="str">
        <f t="shared" si="40"/>
        <v>EBIT_YIELD</v>
      </c>
      <c r="E557" t="str">
        <f t="shared" si="41"/>
        <v>Dynamic</v>
      </c>
      <c r="F557">
        <f ca="1">IF(AND(ISNUMBER($F$1216),$B$677=1),$F$1216,HLOOKUP(INDIRECT(ADDRESS(2,COLUMN())),OFFSET($BN$2,0,0,ROW()-1,60),ROW()-1,FALSE))</f>
        <v>14.66135025</v>
      </c>
      <c r="G557">
        <f ca="1">IF(AND(ISNUMBER($G$1216),$B$677=1),$G$1216,HLOOKUP(INDIRECT(ADDRESS(2,COLUMN())),OFFSET($BN$2,0,0,ROW()-1,60),ROW()-1,FALSE))</f>
        <v>20.801635449999999</v>
      </c>
      <c r="H557">
        <f ca="1">IF(AND(ISNUMBER($H$1216),$B$677=1),$H$1216,HLOOKUP(INDIRECT(ADDRESS(2,COLUMN())),OFFSET($BN$2,0,0,ROW()-1,60),ROW()-1,FALSE))</f>
        <v>18.72688338</v>
      </c>
      <c r="I557">
        <f ca="1">IF(AND(ISNUMBER($I$1216),$B$677=1),$I$1216,HLOOKUP(INDIRECT(ADDRESS(2,COLUMN())),OFFSET($BN$2,0,0,ROW()-1,60),ROW()-1,FALSE))</f>
        <v>16.64006646</v>
      </c>
      <c r="J557">
        <f ca="1">IF(AND(ISNUMBER($J$1216),$B$677=1),$J$1216,HLOOKUP(INDIRECT(ADDRESS(2,COLUMN())),OFFSET($BN$2,0,0,ROW()-1,60),ROW()-1,FALSE))</f>
        <v>10.75693291</v>
      </c>
      <c r="K557">
        <f ca="1">IF(AND(ISNUMBER($K$1216),$B$677=1),$K$1216,HLOOKUP(INDIRECT(ADDRESS(2,COLUMN())),OFFSET($BN$2,0,0,ROW()-1,60),ROW()-1,FALSE))</f>
        <v>8.6194585359999998</v>
      </c>
      <c r="L557">
        <f ca="1">IF(AND(ISNUMBER($L$1216),$B$677=1),$L$1216,HLOOKUP(INDIRECT(ADDRESS(2,COLUMN())),OFFSET($BN$2,0,0,ROW()-1,60),ROW()-1,FALSE))</f>
        <v>9.4076752290000005</v>
      </c>
      <c r="M557">
        <f ca="1">IF(AND(ISNUMBER($M$1216),$B$677=1),$M$1216,HLOOKUP(INDIRECT(ADDRESS(2,COLUMN())),OFFSET($BN$2,0,0,ROW()-1,60),ROW()-1,FALSE))</f>
        <v>12.101856099999999</v>
      </c>
      <c r="N557">
        <f ca="1">IF(AND(ISNUMBER($N$1216),$B$677=1),$N$1216,HLOOKUP(INDIRECT(ADDRESS(2,COLUMN())),OFFSET($BN$2,0,0,ROW()-1,60),ROW()-1,FALSE))</f>
        <v>16.271600970000001</v>
      </c>
      <c r="O557">
        <f ca="1">IF(AND(ISNUMBER($O$1216),$B$677=1),$O$1216,HLOOKUP(INDIRECT(ADDRESS(2,COLUMN())),OFFSET($BN$2,0,0,ROW()-1,60),ROW()-1,FALSE))</f>
        <v>20.67293699</v>
      </c>
      <c r="P557">
        <f ca="1">IF(AND(ISNUMBER($P$1216),$B$677=1),$P$1216,HLOOKUP(INDIRECT(ADDRESS(2,COLUMN())),OFFSET($BN$2,0,0,ROW()-1,60),ROW()-1,FALSE))</f>
        <v>17.573772340000001</v>
      </c>
      <c r="Q557">
        <f ca="1">IF(AND(ISNUMBER($Q$1216),$B$677=1),$Q$1216,HLOOKUP(INDIRECT(ADDRESS(2,COLUMN())),OFFSET($BN$2,0,0,ROW()-1,60),ROW()-1,FALSE))</f>
        <v>18.618031200000001</v>
      </c>
      <c r="R557">
        <f ca="1">IF(AND(ISNUMBER($R$1216),$B$677=1),$R$1216,HLOOKUP(INDIRECT(ADDRESS(2,COLUMN())),OFFSET($BN$2,0,0,ROW()-1,60),ROW()-1,FALSE))</f>
        <v>19.25791418</v>
      </c>
      <c r="S557">
        <f ca="1">IF(AND(ISNUMBER($S$1216),$B$677=1),$S$1216,HLOOKUP(INDIRECT(ADDRESS(2,COLUMN())),OFFSET($BN$2,0,0,ROW()-1,60),ROW()-1,FALSE))</f>
        <v>13.51127469</v>
      </c>
      <c r="T557">
        <f ca="1">IF(AND(ISNUMBER($T$1216),$B$677=1),$T$1216,HLOOKUP(INDIRECT(ADDRESS(2,COLUMN())),OFFSET($BN$2,0,0,ROW()-1,60),ROW()-1,FALSE))</f>
        <v>15.403104620000001</v>
      </c>
      <c r="U557">
        <f ca="1">IF(AND(ISNUMBER($U$1216),$B$677=1),$U$1216,HLOOKUP(INDIRECT(ADDRESS(2,COLUMN())),OFFSET($BN$2,0,0,ROW()-1,60),ROW()-1,FALSE))</f>
        <v>11.061459040000001</v>
      </c>
      <c r="V557">
        <f ca="1">IF(AND(ISNUMBER($V$1216),$B$677=1),$V$1216,HLOOKUP(INDIRECT(ADDRESS(2,COLUMN())),OFFSET($BN$2,0,0,ROW()-1,60),ROW()-1,FALSE))</f>
        <v>7.3176395159999998</v>
      </c>
      <c r="W557">
        <f ca="1">IF(AND(ISNUMBER($W$1216),$B$677=1),$W$1216,HLOOKUP(INDIRECT(ADDRESS(2,COLUMN())),OFFSET($BN$2,0,0,ROW()-1,60),ROW()-1,FALSE))</f>
        <v>8.4558223649999995</v>
      </c>
      <c r="X557">
        <f ca="1">IF(AND(ISNUMBER($X$1216),$B$677=1),$X$1216,HLOOKUP(INDIRECT(ADDRESS(2,COLUMN())),OFFSET($BN$2,0,0,ROW()-1,60),ROW()-1,FALSE))</f>
        <v>12.25461451</v>
      </c>
      <c r="Y557">
        <f ca="1">IF(AND(ISNUMBER($Y$1216),$B$677=1),$Y$1216,HLOOKUP(INDIRECT(ADDRESS(2,COLUMN())),OFFSET($BN$2,0,0,ROW()-1,60),ROW()-1,FALSE))</f>
        <v>13.34323141</v>
      </c>
      <c r="Z557">
        <f ca="1">IF(AND(ISNUMBER($Z$1216),$B$677=1),$Z$1216,HLOOKUP(INDIRECT(ADDRESS(2,COLUMN())),OFFSET($BN$2,0,0,ROW()-1,60),ROW()-1,FALSE))</f>
        <v>10.18564827</v>
      </c>
      <c r="AA557">
        <f ca="1">IF(AND(ISNUMBER($AA$1216),$B$677=1),$AA$1216,HLOOKUP(INDIRECT(ADDRESS(2,COLUMN())),OFFSET($BN$2,0,0,ROW()-1,60),ROW()-1,FALSE))</f>
        <v>9.3710681480000009</v>
      </c>
      <c r="AB557">
        <f ca="1">IF(AND(ISNUMBER($AB$1216),$B$677=1),$AB$1216,HLOOKUP(INDIRECT(ADDRESS(2,COLUMN())),OFFSET($BN$2,0,0,ROW()-1,60),ROW()-1,FALSE))</f>
        <v>9.2248943029999992</v>
      </c>
      <c r="AC557">
        <f ca="1">IF(AND(ISNUMBER($AC$1216),$B$677=1),$AC$1216,HLOOKUP(INDIRECT(ADDRESS(2,COLUMN())),OFFSET($BN$2,0,0,ROW()-1,60),ROW()-1,FALSE))</f>
        <v>10.67183824</v>
      </c>
      <c r="AD557">
        <f ca="1">IF(AND(ISNUMBER($AD$1216),$B$677=1),$AD$1216,HLOOKUP(INDIRECT(ADDRESS(2,COLUMN())),OFFSET($BN$2,0,0,ROW()-1,60),ROW()-1,FALSE))</f>
        <v>11.673595000000001</v>
      </c>
      <c r="AE557">
        <f ca="1">IF(AND(ISNUMBER($AE$1216),$B$677=1),$AE$1216,HLOOKUP(INDIRECT(ADDRESS(2,COLUMN())),OFFSET($BN$2,0,0,ROW()-1,60),ROW()-1,FALSE))</f>
        <v>10.92728221</v>
      </c>
      <c r="AF557" t="str">
        <f ca="1">IF(AND(ISNUMBER($AF$1216),$B$677=1),$AF$1216,HLOOKUP(INDIRECT(ADDRESS(2,COLUMN())),OFFSET($BN$2,0,0,ROW()-1,60),ROW()-1,FALSE))</f>
        <v/>
      </c>
      <c r="AG557" t="str">
        <f ca="1">IF(AND(ISNUMBER($AG$1216),$B$677=1),$AG$1216,HLOOKUP(INDIRECT(ADDRESS(2,COLUMN())),OFFSET($BN$2,0,0,ROW()-1,60),ROW()-1,FALSE))</f>
        <v/>
      </c>
      <c r="AH557" t="str">
        <f ca="1">IF(AND(ISNUMBER($AH$1216),$B$677=1),$AH$1216,HLOOKUP(INDIRECT(ADDRESS(2,COLUMN())),OFFSET($BN$2,0,0,ROW()-1,60),ROW()-1,FALSE))</f>
        <v/>
      </c>
      <c r="AI557" t="str">
        <f ca="1">IF(AND(ISNUMBER($AI$1216),$B$677=1),$AI$1216,HLOOKUP(INDIRECT(ADDRESS(2,COLUMN())),OFFSET($BN$2,0,0,ROW()-1,60),ROW()-1,FALSE))</f>
        <v/>
      </c>
      <c r="AJ557" t="str">
        <f ca="1">IF(AND(ISNUMBER($AJ$1216),$B$677=1),$AJ$1216,HLOOKUP(INDIRECT(ADDRESS(2,COLUMN())),OFFSET($BN$2,0,0,ROW()-1,60),ROW()-1,FALSE))</f>
        <v/>
      </c>
      <c r="AK557" t="str">
        <f ca="1">IF(AND(ISNUMBER($AK$1216),$B$677=1),$AK$1216,HLOOKUP(INDIRECT(ADDRESS(2,COLUMN())),OFFSET($BN$2,0,0,ROW()-1,60),ROW()-1,FALSE))</f>
        <v/>
      </c>
      <c r="AL557" t="str">
        <f ca="1">IF(AND(ISNUMBER($AL$1216),$B$677=1),$AL$1216,HLOOKUP(INDIRECT(ADDRESS(2,COLUMN())),OFFSET($BN$2,0,0,ROW()-1,60),ROW()-1,FALSE))</f>
        <v/>
      </c>
      <c r="AM557" t="str">
        <f ca="1">IF(AND(ISNUMBER($AM$1216),$B$677=1),$AM$1216,HLOOKUP(INDIRECT(ADDRESS(2,COLUMN())),OFFSET($BN$2,0,0,ROW()-1,60),ROW()-1,FALSE))</f>
        <v/>
      </c>
      <c r="AN557" t="str">
        <f ca="1">IF(AND(ISNUMBER($AN$1216),$B$677=1),$AN$1216,HLOOKUP(INDIRECT(ADDRESS(2,COLUMN())),OFFSET($BN$2,0,0,ROW()-1,60),ROW()-1,FALSE))</f>
        <v/>
      </c>
      <c r="AO557" t="str">
        <f ca="1">IF(AND(ISNUMBER($AO$1216),$B$677=1),$AO$1216,HLOOKUP(INDIRECT(ADDRESS(2,COLUMN())),OFFSET($BN$2,0,0,ROW()-1,60),ROW()-1,FALSE))</f>
        <v/>
      </c>
      <c r="AP557" t="str">
        <f ca="1">IF(AND(ISNUMBER($AP$1216),$B$677=1),$AP$1216,HLOOKUP(INDIRECT(ADDRESS(2,COLUMN())),OFFSET($BN$2,0,0,ROW()-1,60),ROW()-1,FALSE))</f>
        <v/>
      </c>
      <c r="AQ557" t="str">
        <f ca="1">IF(AND(ISNUMBER($AQ$1216),$B$677=1),$AQ$1216,HLOOKUP(INDIRECT(ADDRESS(2,COLUMN())),OFFSET($BN$2,0,0,ROW()-1,60),ROW()-1,FALSE))</f>
        <v/>
      </c>
      <c r="AR557" t="str">
        <f ca="1">IF(AND(ISNUMBER($AR$1216),$B$677=1),$AR$1216,HLOOKUP(INDIRECT(ADDRESS(2,COLUMN())),OFFSET($BN$2,0,0,ROW()-1,60),ROW()-1,FALSE))</f>
        <v/>
      </c>
      <c r="AS557" t="str">
        <f ca="1">IF(AND(ISNUMBER($AS$1216),$B$677=1),$AS$1216,HLOOKUP(INDIRECT(ADDRESS(2,COLUMN())),OFFSET($BN$2,0,0,ROW()-1,60),ROW()-1,FALSE))</f>
        <v/>
      </c>
      <c r="AT557" t="str">
        <f ca="1">IF(AND(ISNUMBER($AT$1216),$B$677=1),$AT$1216,HLOOKUP(INDIRECT(ADDRESS(2,COLUMN())),OFFSET($BN$2,0,0,ROW()-1,60),ROW()-1,FALSE))</f>
        <v/>
      </c>
      <c r="AU557" t="str">
        <f ca="1">IF(AND(ISNUMBER($AU$1216),$B$677=1),$AU$1216,HLOOKUP(INDIRECT(ADDRESS(2,COLUMN())),OFFSET($BN$2,0,0,ROW()-1,60),ROW()-1,FALSE))</f>
        <v/>
      </c>
      <c r="AV557" t="str">
        <f ca="1">IF(AND(ISNUMBER($AV$1216),$B$677=1),$AV$1216,HLOOKUP(INDIRECT(ADDRESS(2,COLUMN())),OFFSET($BN$2,0,0,ROW()-1,60),ROW()-1,FALSE))</f>
        <v/>
      </c>
      <c r="AW557" t="str">
        <f ca="1">IF(AND(ISNUMBER($AW$1216),$B$677=1),$AW$1216,HLOOKUP(INDIRECT(ADDRESS(2,COLUMN())),OFFSET($BN$2,0,0,ROW()-1,60),ROW()-1,FALSE))</f>
        <v/>
      </c>
      <c r="AX557" t="str">
        <f ca="1">IF(AND(ISNUMBER($AX$1216),$B$677=1),$AX$1216,HLOOKUP(INDIRECT(ADDRESS(2,COLUMN())),OFFSET($BN$2,0,0,ROW()-1,60),ROW()-1,FALSE))</f>
        <v/>
      </c>
      <c r="AY557" t="str">
        <f ca="1">IF(AND(ISNUMBER($AY$1216),$B$677=1),$AY$1216,HLOOKUP(INDIRECT(ADDRESS(2,COLUMN())),OFFSET($BN$2,0,0,ROW()-1,60),ROW()-1,FALSE))</f>
        <v/>
      </c>
      <c r="AZ557" t="str">
        <f ca="1">IF(AND(ISNUMBER($AZ$1216),$B$677=1),$AZ$1216,HLOOKUP(INDIRECT(ADDRESS(2,COLUMN())),OFFSET($BN$2,0,0,ROW()-1,60),ROW()-1,FALSE))</f>
        <v/>
      </c>
      <c r="BA557" t="str">
        <f ca="1">IF(AND(ISNUMBER($BA$1216),$B$677=1),$BA$1216,HLOOKUP(INDIRECT(ADDRESS(2,COLUMN())),OFFSET($BN$2,0,0,ROW()-1,60),ROW()-1,FALSE))</f>
        <v/>
      </c>
      <c r="BB557" t="str">
        <f ca="1">IF(AND(ISNUMBER($BB$1216),$B$677=1),$BB$1216,HLOOKUP(INDIRECT(ADDRESS(2,COLUMN())),OFFSET($BN$2,0,0,ROW()-1,60),ROW()-1,FALSE))</f>
        <v/>
      </c>
      <c r="BC557" t="str">
        <f ca="1">IF(AND(ISNUMBER($BC$1216),$B$677=1),$BC$1216,HLOOKUP(INDIRECT(ADDRESS(2,COLUMN())),OFFSET($BN$2,0,0,ROW()-1,60),ROW()-1,FALSE))</f>
        <v/>
      </c>
      <c r="BD557" t="str">
        <f ca="1">IF(AND(ISNUMBER($BD$1216),$B$677=1),$BD$1216,HLOOKUP(INDIRECT(ADDRESS(2,COLUMN())),OFFSET($BN$2,0,0,ROW()-1,60),ROW()-1,FALSE))</f>
        <v/>
      </c>
      <c r="BE557" t="str">
        <f ca="1">IF(AND(ISNUMBER($BE$1216),$B$677=1),$BE$1216,HLOOKUP(INDIRECT(ADDRESS(2,COLUMN())),OFFSET($BN$2,0,0,ROW()-1,60),ROW()-1,FALSE))</f>
        <v/>
      </c>
      <c r="BF557" t="str">
        <f ca="1">IF(AND(ISNUMBER($BF$1216),$B$677=1),$BF$1216,HLOOKUP(INDIRECT(ADDRESS(2,COLUMN())),OFFSET($BN$2,0,0,ROW()-1,60),ROW()-1,FALSE))</f>
        <v/>
      </c>
      <c r="BG557" t="str">
        <f ca="1">IF(AND(ISNUMBER($BG$1216),$B$677=1),$BG$1216,HLOOKUP(INDIRECT(ADDRESS(2,COLUMN())),OFFSET($BN$2,0,0,ROW()-1,60),ROW()-1,FALSE))</f>
        <v/>
      </c>
      <c r="BH557" t="str">
        <f ca="1">IF(AND(ISNUMBER($BH$1216),$B$677=1),$BH$1216,HLOOKUP(INDIRECT(ADDRESS(2,COLUMN())),OFFSET($BN$2,0,0,ROW()-1,60),ROW()-1,FALSE))</f>
        <v/>
      </c>
      <c r="BI557" t="str">
        <f ca="1">IF(AND(ISNUMBER($BI$1216),$B$677=1),$BI$1216,HLOOKUP(INDIRECT(ADDRESS(2,COLUMN())),OFFSET($BN$2,0,0,ROW()-1,60),ROW()-1,FALSE))</f>
        <v/>
      </c>
      <c r="BJ557" t="str">
        <f ca="1">IF(AND(ISNUMBER($BJ$1216),$B$677=1),$BJ$1216,HLOOKUP(INDIRECT(ADDRESS(2,COLUMN())),OFFSET($BN$2,0,0,ROW()-1,60),ROW()-1,FALSE))</f>
        <v/>
      </c>
      <c r="BK557" t="str">
        <f ca="1">IF(AND(ISNUMBER($BK$1216),$B$677=1),$BK$1216,HLOOKUP(INDIRECT(ADDRESS(2,COLUMN())),OFFSET($BN$2,0,0,ROW()-1,60),ROW()-1,FALSE))</f>
        <v/>
      </c>
      <c r="BL557" t="str">
        <f ca="1">IF(AND(ISNUMBER($BL$1216),$B$677=1),$BL$1216,HLOOKUP(INDIRECT(ADDRESS(2,COLUMN())),OFFSET($BN$2,0,0,ROW()-1,60),ROW()-1,FALSE))</f>
        <v/>
      </c>
      <c r="BM557" t="str">
        <f ca="1">IF(AND(ISNUMBER($BM$1216),$B$677=1),$BM$1216,HLOOKUP(INDIRECT(ADDRESS(2,COLUMN())),OFFSET($BN$2,0,0,ROW()-1,60),ROW()-1,FALSE))</f>
        <v/>
      </c>
      <c r="BN557">
        <f>14.66135025</f>
        <v>14.66135025</v>
      </c>
      <c r="BO557">
        <f>20.80163545</f>
        <v>20.801635449999999</v>
      </c>
      <c r="BP557">
        <f>18.72688338</f>
        <v>18.72688338</v>
      </c>
      <c r="BQ557">
        <f>16.64006646</f>
        <v>16.64006646</v>
      </c>
      <c r="BR557">
        <f>10.75693291</f>
        <v>10.75693291</v>
      </c>
      <c r="BS557">
        <f>8.619458536</f>
        <v>8.6194585359999998</v>
      </c>
      <c r="BT557">
        <f>9.407675229</f>
        <v>9.4076752290000005</v>
      </c>
      <c r="BU557">
        <f>12.1018561</f>
        <v>12.101856099999999</v>
      </c>
      <c r="BV557">
        <f>16.27160097</f>
        <v>16.271600970000001</v>
      </c>
      <c r="BW557">
        <f>20.67293699</f>
        <v>20.67293699</v>
      </c>
      <c r="BX557">
        <f>17.57377234</f>
        <v>17.573772340000001</v>
      </c>
      <c r="BY557">
        <f>18.6180312</f>
        <v>18.618031200000001</v>
      </c>
      <c r="BZ557">
        <f>19.25791418</f>
        <v>19.25791418</v>
      </c>
      <c r="CA557">
        <f>13.51127469</f>
        <v>13.51127469</v>
      </c>
      <c r="CB557">
        <f>15.40310462</f>
        <v>15.403104620000001</v>
      </c>
      <c r="CC557">
        <f>11.06145904</f>
        <v>11.061459040000001</v>
      </c>
      <c r="CD557">
        <f>7.317639516</f>
        <v>7.3176395159999998</v>
      </c>
      <c r="CE557">
        <f>8.455822365</f>
        <v>8.4558223649999995</v>
      </c>
      <c r="CF557">
        <f>12.25461451</f>
        <v>12.25461451</v>
      </c>
      <c r="CG557">
        <f>13.34323141</f>
        <v>13.34323141</v>
      </c>
      <c r="CH557">
        <f>10.18564827</f>
        <v>10.18564827</v>
      </c>
      <c r="CI557">
        <f>9.371068148</f>
        <v>9.3710681480000009</v>
      </c>
      <c r="CJ557">
        <f>9.224894303</f>
        <v>9.2248943029999992</v>
      </c>
      <c r="CK557">
        <f>10.67183824</f>
        <v>10.67183824</v>
      </c>
      <c r="CL557">
        <f>11.673595</f>
        <v>11.673595000000001</v>
      </c>
      <c r="CM557">
        <f>10.92728221</f>
        <v>10.92728221</v>
      </c>
      <c r="CN557" t="str">
        <f>""</f>
        <v/>
      </c>
      <c r="CO557" t="str">
        <f>""</f>
        <v/>
      </c>
      <c r="CP557" t="str">
        <f>""</f>
        <v/>
      </c>
      <c r="CQ557" t="str">
        <f>""</f>
        <v/>
      </c>
      <c r="CR557" t="str">
        <f>""</f>
        <v/>
      </c>
      <c r="CS557" t="str">
        <f>""</f>
        <v/>
      </c>
      <c r="CT557" t="str">
        <f>""</f>
        <v/>
      </c>
      <c r="CU557" t="str">
        <f>""</f>
        <v/>
      </c>
      <c r="CV557" t="str">
        <f>""</f>
        <v/>
      </c>
      <c r="CW557" t="str">
        <f>""</f>
        <v/>
      </c>
      <c r="CX557" t="str">
        <f>""</f>
        <v/>
      </c>
      <c r="CY557" t="str">
        <f>""</f>
        <v/>
      </c>
      <c r="CZ557" t="str">
        <f>""</f>
        <v/>
      </c>
      <c r="DA557" t="str">
        <f>""</f>
        <v/>
      </c>
      <c r="DB557" t="str">
        <f>""</f>
        <v/>
      </c>
      <c r="DC557" t="str">
        <f>""</f>
        <v/>
      </c>
      <c r="DD557" t="str">
        <f>""</f>
        <v/>
      </c>
      <c r="DE557" t="str">
        <f>""</f>
        <v/>
      </c>
      <c r="DF557" t="str">
        <f>""</f>
        <v/>
      </c>
      <c r="DG557" t="str">
        <f>""</f>
        <v/>
      </c>
      <c r="DH557" t="str">
        <f>""</f>
        <v/>
      </c>
      <c r="DI557" t="str">
        <f>""</f>
        <v/>
      </c>
      <c r="DJ557" t="str">
        <f>""</f>
        <v/>
      </c>
      <c r="DK557" t="str">
        <f>""</f>
        <v/>
      </c>
      <c r="DL557" t="str">
        <f>""</f>
        <v/>
      </c>
      <c r="DM557" t="str">
        <f>""</f>
        <v/>
      </c>
      <c r="DN557" t="str">
        <f>""</f>
        <v/>
      </c>
      <c r="DO557" t="str">
        <f>""</f>
        <v/>
      </c>
      <c r="DP557" t="str">
        <f>""</f>
        <v/>
      </c>
      <c r="DQ557" t="str">
        <f>""</f>
        <v/>
      </c>
      <c r="DR557" t="str">
        <f>""</f>
        <v/>
      </c>
      <c r="DS557" t="str">
        <f>""</f>
        <v/>
      </c>
      <c r="DT557" t="str">
        <f>""</f>
        <v/>
      </c>
      <c r="DU557" t="str">
        <f>""</f>
        <v/>
      </c>
    </row>
    <row r="558" spans="1:125" x14ac:dyDescent="0.25">
      <c r="A558" t="str">
        <f>"    Guangzhou Automobile Group Co Ltd"</f>
        <v xml:space="preserve">    Guangzhou Automobile Group Co Ltd</v>
      </c>
      <c r="B558" t="str">
        <f>"2238 HK Equity"</f>
        <v>2238 HK Equity</v>
      </c>
      <c r="C558" t="str">
        <f t="shared" si="39"/>
        <v>RX076</v>
      </c>
      <c r="D558" t="str">
        <f t="shared" si="40"/>
        <v>EBIT_YIELD</v>
      </c>
      <c r="E558" t="str">
        <f t="shared" si="41"/>
        <v>Dynamic</v>
      </c>
      <c r="F558">
        <f ca="1">IF(AND(ISNUMBER($F$1217),$B$677=1),$F$1217,HLOOKUP(INDIRECT(ADDRESS(2,COLUMN())),OFFSET($BN$2,0,0,ROW()-1,60),ROW()-1,FALSE))</f>
        <v>3.9124832810000001</v>
      </c>
      <c r="G558">
        <f ca="1">IF(AND(ISNUMBER($G$1217),$B$677=1),$G$1217,HLOOKUP(INDIRECT(ADDRESS(2,COLUMN())),OFFSET($BN$2,0,0,ROW()-1,60),ROW()-1,FALSE))</f>
        <v>4.8260282239999999</v>
      </c>
      <c r="H558">
        <f ca="1">IF(AND(ISNUMBER($H$1217),$B$677=1),$H$1217,HLOOKUP(INDIRECT(ADDRESS(2,COLUMN())),OFFSET($BN$2,0,0,ROW()-1,60),ROW()-1,FALSE))</f>
        <v>4.349546954</v>
      </c>
      <c r="I558">
        <f ca="1">IF(AND(ISNUMBER($I$1217),$B$677=1),$I$1217,HLOOKUP(INDIRECT(ADDRESS(2,COLUMN())),OFFSET($BN$2,0,0,ROW()-1,60),ROW()-1,FALSE))</f>
        <v>6.2235886459999996</v>
      </c>
      <c r="J558">
        <f ca="1">IF(AND(ISNUMBER($J$1217),$B$677=1),$J$1217,HLOOKUP(INDIRECT(ADDRESS(2,COLUMN())),OFFSET($BN$2,0,0,ROW()-1,60),ROW()-1,FALSE))</f>
        <v>4.8105171750000002</v>
      </c>
      <c r="K558">
        <f ca="1">IF(AND(ISNUMBER($K$1217),$B$677=1),$K$1217,HLOOKUP(INDIRECT(ADDRESS(2,COLUMN())),OFFSET($BN$2,0,0,ROW()-1,60),ROW()-1,FALSE))</f>
        <v>3.8686388709999999</v>
      </c>
      <c r="L558">
        <f ca="1">IF(AND(ISNUMBER($L$1217),$B$677=1),$L$1217,HLOOKUP(INDIRECT(ADDRESS(2,COLUMN())),OFFSET($BN$2,0,0,ROW()-1,60),ROW()-1,FALSE))</f>
        <v>2.943173174</v>
      </c>
      <c r="M558">
        <f ca="1">IF(AND(ISNUMBER($M$1217),$B$677=1),$M$1217,HLOOKUP(INDIRECT(ADDRESS(2,COLUMN())),OFFSET($BN$2,0,0,ROW()-1,60),ROW()-1,FALSE))</f>
        <v>2.9884333789999999</v>
      </c>
      <c r="N558">
        <f ca="1">IF(AND(ISNUMBER($N$1217),$B$677=1),$N$1217,HLOOKUP(INDIRECT(ADDRESS(2,COLUMN())),OFFSET($BN$2,0,0,ROW()-1,60),ROW()-1,FALSE))</f>
        <v>3.3752598680000001</v>
      </c>
      <c r="O558">
        <f ca="1">IF(AND(ISNUMBER($O$1217),$B$677=1),$O$1217,HLOOKUP(INDIRECT(ADDRESS(2,COLUMN())),OFFSET($BN$2,0,0,ROW()-1,60),ROW()-1,FALSE))</f>
        <v>2.4292774869999998</v>
      </c>
      <c r="P558">
        <f ca="1">IF(AND(ISNUMBER($P$1217),$B$677=1),$P$1217,HLOOKUP(INDIRECT(ADDRESS(2,COLUMN())),OFFSET($BN$2,0,0,ROW()-1,60),ROW()-1,FALSE))</f>
        <v>3.3651981129999999</v>
      </c>
      <c r="Q558">
        <f ca="1">IF(AND(ISNUMBER($Q$1217),$B$677=1),$Q$1217,HLOOKUP(INDIRECT(ADDRESS(2,COLUMN())),OFFSET($BN$2,0,0,ROW()-1,60),ROW()-1,FALSE))</f>
        <v>2.48043893</v>
      </c>
      <c r="R558">
        <f ca="1">IF(AND(ISNUMBER($R$1217),$B$677=1),$R$1217,HLOOKUP(INDIRECT(ADDRESS(2,COLUMN())),OFFSET($BN$2,0,0,ROW()-1,60),ROW()-1,FALSE))</f>
        <v>1.419984272</v>
      </c>
      <c r="S558">
        <f ca="1">IF(AND(ISNUMBER($S$1217),$B$677=1),$S$1217,HLOOKUP(INDIRECT(ADDRESS(2,COLUMN())),OFFSET($BN$2,0,0,ROW()-1,60),ROW()-1,FALSE))</f>
        <v>-1.3143649310000001</v>
      </c>
      <c r="T558">
        <f ca="1">IF(AND(ISNUMBER($T$1217),$B$677=1),$T$1217,HLOOKUP(INDIRECT(ADDRESS(2,COLUMN())),OFFSET($BN$2,0,0,ROW()-1,60),ROW()-1,FALSE))</f>
        <v>-3.6595336679999999</v>
      </c>
      <c r="U558">
        <f ca="1">IF(AND(ISNUMBER($U$1217),$B$677=1),$U$1217,HLOOKUP(INDIRECT(ADDRESS(2,COLUMN())),OFFSET($BN$2,0,0,ROW()-1,60),ROW()-1,FALSE))</f>
        <v>-3.552053935</v>
      </c>
      <c r="V558">
        <f ca="1">IF(AND(ISNUMBER($V$1217),$B$677=1),$V$1217,HLOOKUP(INDIRECT(ADDRESS(2,COLUMN())),OFFSET($BN$2,0,0,ROW()-1,60),ROW()-1,FALSE))</f>
        <v>-3.2217391150000001</v>
      </c>
      <c r="W558">
        <f ca="1">IF(AND(ISNUMBER($W$1217),$B$677=1),$W$1217,HLOOKUP(INDIRECT(ADDRESS(2,COLUMN())),OFFSET($BN$2,0,0,ROW()-1,60),ROW()-1,FALSE))</f>
        <v>-3.3395618869999999</v>
      </c>
      <c r="X558">
        <f ca="1">IF(AND(ISNUMBER($X$1217),$B$677=1),$X$1217,HLOOKUP(INDIRECT(ADDRESS(2,COLUMN())),OFFSET($BN$2,0,0,ROW()-1,60),ROW()-1,FALSE))</f>
        <v>-2.0436705009999998</v>
      </c>
      <c r="Y558">
        <f ca="1">IF(AND(ISNUMBER($Y$1217),$B$677=1),$Y$1217,HLOOKUP(INDIRECT(ADDRESS(2,COLUMN())),OFFSET($BN$2,0,0,ROW()-1,60),ROW()-1,FALSE))</f>
        <v>-1.385245834</v>
      </c>
      <c r="Z558">
        <f ca="1">IF(AND(ISNUMBER($Z$1217),$B$677=1),$Z$1217,HLOOKUP(INDIRECT(ADDRESS(2,COLUMN())),OFFSET($BN$2,0,0,ROW()-1,60),ROW()-1,FALSE))</f>
        <v>-1.501496537</v>
      </c>
      <c r="AA558">
        <f ca="1">IF(AND(ISNUMBER($AA$1217),$B$677=1),$AA$1217,HLOOKUP(INDIRECT(ADDRESS(2,COLUMN())),OFFSET($BN$2,0,0,ROW()-1,60),ROW()-1,FALSE))</f>
        <v>-1.9604750550000001</v>
      </c>
      <c r="AB558">
        <f ca="1">IF(AND(ISNUMBER($AB$1217),$B$677=1),$AB$1217,HLOOKUP(INDIRECT(ADDRESS(2,COLUMN())),OFFSET($BN$2,0,0,ROW()-1,60),ROW()-1,FALSE))</f>
        <v>-2.6392843319999999</v>
      </c>
      <c r="AC558">
        <f ca="1">IF(AND(ISNUMBER($AC$1217),$B$677=1),$AC$1217,HLOOKUP(INDIRECT(ADDRESS(2,COLUMN())),OFFSET($BN$2,0,0,ROW()-1,60),ROW()-1,FALSE))</f>
        <v>-3.6406850899999998</v>
      </c>
      <c r="AD558">
        <f ca="1">IF(AND(ISNUMBER($AD$1217),$B$677=1),$AD$1217,HLOOKUP(INDIRECT(ADDRESS(2,COLUMN())),OFFSET($BN$2,0,0,ROW()-1,60),ROW()-1,FALSE))</f>
        <v>-4.8765369700000001</v>
      </c>
      <c r="AE558">
        <f ca="1">IF(AND(ISNUMBER($AE$1217),$B$677=1),$AE$1217,HLOOKUP(INDIRECT(ADDRESS(2,COLUMN())),OFFSET($BN$2,0,0,ROW()-1,60),ROW()-1,FALSE))</f>
        <v>-4.2034272230000003</v>
      </c>
      <c r="AF558">
        <f ca="1">IF(AND(ISNUMBER($AF$1217),$B$677=1),$AF$1217,HLOOKUP(INDIRECT(ADDRESS(2,COLUMN())),OFFSET($BN$2,0,0,ROW()-1,60),ROW()-1,FALSE))</f>
        <v>-6.0470223949999999</v>
      </c>
      <c r="AG558">
        <f ca="1">IF(AND(ISNUMBER($AG$1217),$B$677=1),$AG$1217,HLOOKUP(INDIRECT(ADDRESS(2,COLUMN())),OFFSET($BN$2,0,0,ROW()-1,60),ROW()-1,FALSE))</f>
        <v>-5.1971523819999996</v>
      </c>
      <c r="AH558">
        <f ca="1">IF(AND(ISNUMBER($AH$1217),$B$677=1),$AH$1217,HLOOKUP(INDIRECT(ADDRESS(2,COLUMN())),OFFSET($BN$2,0,0,ROW()-1,60),ROW()-1,FALSE))</f>
        <v>-4.2677695419999999</v>
      </c>
      <c r="AI558">
        <f ca="1">IF(AND(ISNUMBER($AI$1217),$B$677=1),$AI$1217,HLOOKUP(INDIRECT(ADDRESS(2,COLUMN())),OFFSET($BN$2,0,0,ROW()-1,60),ROW()-1,FALSE))</f>
        <v>-4.2684767480000003</v>
      </c>
      <c r="AJ558">
        <f ca="1">IF(AND(ISNUMBER($AJ$1217),$B$677=1),$AJ$1217,HLOOKUP(INDIRECT(ADDRESS(2,COLUMN())),OFFSET($BN$2,0,0,ROW()-1,60),ROW()-1,FALSE))</f>
        <v>-3.5112336059999998</v>
      </c>
      <c r="AK558">
        <f ca="1">IF(AND(ISNUMBER($AK$1217),$B$677=1),$AK$1217,HLOOKUP(INDIRECT(ADDRESS(2,COLUMN())),OFFSET($BN$2,0,0,ROW()-1,60),ROW()-1,FALSE))</f>
        <v>-2.0119092470000002</v>
      </c>
      <c r="AL558">
        <f ca="1">IF(AND(ISNUMBER($AL$1217),$B$677=1),$AL$1217,HLOOKUP(INDIRECT(ADDRESS(2,COLUMN())),OFFSET($BN$2,0,0,ROW()-1,60),ROW()-1,FALSE))</f>
        <v>-1.2570413140000001</v>
      </c>
      <c r="AM558">
        <f ca="1">IF(AND(ISNUMBER($AM$1217),$B$677=1),$AM$1217,HLOOKUP(INDIRECT(ADDRESS(2,COLUMN())),OFFSET($BN$2,0,0,ROW()-1,60),ROW()-1,FALSE))</f>
        <v>-1.0942838459999999</v>
      </c>
      <c r="AN558">
        <f ca="1">IF(AND(ISNUMBER($AN$1217),$B$677=1),$AN$1217,HLOOKUP(INDIRECT(ADDRESS(2,COLUMN())),OFFSET($BN$2,0,0,ROW()-1,60),ROW()-1,FALSE))</f>
        <v>-0.82927151200000004</v>
      </c>
      <c r="AO558" t="str">
        <f ca="1">IF(AND(ISNUMBER($AO$1217),$B$677=1),$AO$1217,HLOOKUP(INDIRECT(ADDRESS(2,COLUMN())),OFFSET($BN$2,0,0,ROW()-1,60),ROW()-1,FALSE))</f>
        <v/>
      </c>
      <c r="AP558" t="str">
        <f ca="1">IF(AND(ISNUMBER($AP$1217),$B$677=1),$AP$1217,HLOOKUP(INDIRECT(ADDRESS(2,COLUMN())),OFFSET($BN$2,0,0,ROW()-1,60),ROW()-1,FALSE))</f>
        <v/>
      </c>
      <c r="AQ558" t="str">
        <f ca="1">IF(AND(ISNUMBER($AQ$1217),$B$677=1),$AQ$1217,HLOOKUP(INDIRECT(ADDRESS(2,COLUMN())),OFFSET($BN$2,0,0,ROW()-1,60),ROW()-1,FALSE))</f>
        <v/>
      </c>
      <c r="AR558" t="str">
        <f ca="1">IF(AND(ISNUMBER($AR$1217),$B$677=1),$AR$1217,HLOOKUP(INDIRECT(ADDRESS(2,COLUMN())),OFFSET($BN$2,0,0,ROW()-1,60),ROW()-1,FALSE))</f>
        <v/>
      </c>
      <c r="AS558" t="str">
        <f ca="1">IF(AND(ISNUMBER($AS$1217),$B$677=1),$AS$1217,HLOOKUP(INDIRECT(ADDRESS(2,COLUMN())),OFFSET($BN$2,0,0,ROW()-1,60),ROW()-1,FALSE))</f>
        <v/>
      </c>
      <c r="AT558" t="str">
        <f ca="1">IF(AND(ISNUMBER($AT$1217),$B$677=1),$AT$1217,HLOOKUP(INDIRECT(ADDRESS(2,COLUMN())),OFFSET($BN$2,0,0,ROW()-1,60),ROW()-1,FALSE))</f>
        <v/>
      </c>
      <c r="AU558" t="str">
        <f ca="1">IF(AND(ISNUMBER($AU$1217),$B$677=1),$AU$1217,HLOOKUP(INDIRECT(ADDRESS(2,COLUMN())),OFFSET($BN$2,0,0,ROW()-1,60),ROW()-1,FALSE))</f>
        <v/>
      </c>
      <c r="AV558" t="str">
        <f ca="1">IF(AND(ISNUMBER($AV$1217),$B$677=1),$AV$1217,HLOOKUP(INDIRECT(ADDRESS(2,COLUMN())),OFFSET($BN$2,0,0,ROW()-1,60),ROW()-1,FALSE))</f>
        <v/>
      </c>
      <c r="AW558" t="str">
        <f ca="1">IF(AND(ISNUMBER($AW$1217),$B$677=1),$AW$1217,HLOOKUP(INDIRECT(ADDRESS(2,COLUMN())),OFFSET($BN$2,0,0,ROW()-1,60),ROW()-1,FALSE))</f>
        <v/>
      </c>
      <c r="AX558" t="str">
        <f ca="1">IF(AND(ISNUMBER($AX$1217),$B$677=1),$AX$1217,HLOOKUP(INDIRECT(ADDRESS(2,COLUMN())),OFFSET($BN$2,0,0,ROW()-1,60),ROW()-1,FALSE))</f>
        <v/>
      </c>
      <c r="AY558" t="str">
        <f ca="1">IF(AND(ISNUMBER($AY$1217),$B$677=1),$AY$1217,HLOOKUP(INDIRECT(ADDRESS(2,COLUMN())),OFFSET($BN$2,0,0,ROW()-1,60),ROW()-1,FALSE))</f>
        <v/>
      </c>
      <c r="AZ558" t="str">
        <f ca="1">IF(AND(ISNUMBER($AZ$1217),$B$677=1),$AZ$1217,HLOOKUP(INDIRECT(ADDRESS(2,COLUMN())),OFFSET($BN$2,0,0,ROW()-1,60),ROW()-1,FALSE))</f>
        <v/>
      </c>
      <c r="BA558" t="str">
        <f ca="1">IF(AND(ISNUMBER($BA$1217),$B$677=1),$BA$1217,HLOOKUP(INDIRECT(ADDRESS(2,COLUMN())),OFFSET($BN$2,0,0,ROW()-1,60),ROW()-1,FALSE))</f>
        <v/>
      </c>
      <c r="BB558" t="str">
        <f ca="1">IF(AND(ISNUMBER($BB$1217),$B$677=1),$BB$1217,HLOOKUP(INDIRECT(ADDRESS(2,COLUMN())),OFFSET($BN$2,0,0,ROW()-1,60),ROW()-1,FALSE))</f>
        <v/>
      </c>
      <c r="BC558" t="str">
        <f ca="1">IF(AND(ISNUMBER($BC$1217),$B$677=1),$BC$1217,HLOOKUP(INDIRECT(ADDRESS(2,COLUMN())),OFFSET($BN$2,0,0,ROW()-1,60),ROW()-1,FALSE))</f>
        <v/>
      </c>
      <c r="BD558" t="str">
        <f ca="1">IF(AND(ISNUMBER($BD$1217),$B$677=1),$BD$1217,HLOOKUP(INDIRECT(ADDRESS(2,COLUMN())),OFFSET($BN$2,0,0,ROW()-1,60),ROW()-1,FALSE))</f>
        <v/>
      </c>
      <c r="BE558" t="str">
        <f ca="1">IF(AND(ISNUMBER($BE$1217),$B$677=1),$BE$1217,HLOOKUP(INDIRECT(ADDRESS(2,COLUMN())),OFFSET($BN$2,0,0,ROW()-1,60),ROW()-1,FALSE))</f>
        <v/>
      </c>
      <c r="BF558" t="str">
        <f ca="1">IF(AND(ISNUMBER($BF$1217),$B$677=1),$BF$1217,HLOOKUP(INDIRECT(ADDRESS(2,COLUMN())),OFFSET($BN$2,0,0,ROW()-1,60),ROW()-1,FALSE))</f>
        <v/>
      </c>
      <c r="BG558" t="str">
        <f ca="1">IF(AND(ISNUMBER($BG$1217),$B$677=1),$BG$1217,HLOOKUP(INDIRECT(ADDRESS(2,COLUMN())),OFFSET($BN$2,0,0,ROW()-1,60),ROW()-1,FALSE))</f>
        <v/>
      </c>
      <c r="BH558" t="str">
        <f ca="1">IF(AND(ISNUMBER($BH$1217),$B$677=1),$BH$1217,HLOOKUP(INDIRECT(ADDRESS(2,COLUMN())),OFFSET($BN$2,0,0,ROW()-1,60),ROW()-1,FALSE))</f>
        <v/>
      </c>
      <c r="BI558" t="str">
        <f ca="1">IF(AND(ISNUMBER($BI$1217),$B$677=1),$BI$1217,HLOOKUP(INDIRECT(ADDRESS(2,COLUMN())),OFFSET($BN$2,0,0,ROW()-1,60),ROW()-1,FALSE))</f>
        <v/>
      </c>
      <c r="BJ558" t="str">
        <f ca="1">IF(AND(ISNUMBER($BJ$1217),$B$677=1),$BJ$1217,HLOOKUP(INDIRECT(ADDRESS(2,COLUMN())),OFFSET($BN$2,0,0,ROW()-1,60),ROW()-1,FALSE))</f>
        <v/>
      </c>
      <c r="BK558" t="str">
        <f ca="1">IF(AND(ISNUMBER($BK$1217),$B$677=1),$BK$1217,HLOOKUP(INDIRECT(ADDRESS(2,COLUMN())),OFFSET($BN$2,0,0,ROW()-1,60),ROW()-1,FALSE))</f>
        <v/>
      </c>
      <c r="BL558" t="str">
        <f ca="1">IF(AND(ISNUMBER($BL$1217),$B$677=1),$BL$1217,HLOOKUP(INDIRECT(ADDRESS(2,COLUMN())),OFFSET($BN$2,0,0,ROW()-1,60),ROW()-1,FALSE))</f>
        <v/>
      </c>
      <c r="BM558" t="str">
        <f ca="1">IF(AND(ISNUMBER($BM$1217),$B$677=1),$BM$1217,HLOOKUP(INDIRECT(ADDRESS(2,COLUMN())),OFFSET($BN$2,0,0,ROW()-1,60),ROW()-1,FALSE))</f>
        <v/>
      </c>
      <c r="BN558">
        <f>3.912483281</f>
        <v>3.9124832810000001</v>
      </c>
      <c r="BO558">
        <f>4.826028224</f>
        <v>4.8260282239999999</v>
      </c>
      <c r="BP558">
        <f>4.349546954</f>
        <v>4.349546954</v>
      </c>
      <c r="BQ558">
        <f>6.223588646</f>
        <v>6.2235886459999996</v>
      </c>
      <c r="BR558">
        <f>4.810517175</f>
        <v>4.8105171750000002</v>
      </c>
      <c r="BS558">
        <f>3.868638871</f>
        <v>3.8686388709999999</v>
      </c>
      <c r="BT558">
        <f>2.943173174</f>
        <v>2.943173174</v>
      </c>
      <c r="BU558">
        <f>2.988433379</f>
        <v>2.9884333789999999</v>
      </c>
      <c r="BV558">
        <f>3.375259868</f>
        <v>3.3752598680000001</v>
      </c>
      <c r="BW558">
        <f>2.429277487</f>
        <v>2.4292774869999998</v>
      </c>
      <c r="BX558">
        <f>3.365198113</f>
        <v>3.3651981129999999</v>
      </c>
      <c r="BY558">
        <f>2.48043893</f>
        <v>2.48043893</v>
      </c>
      <c r="BZ558">
        <f>1.419984272</f>
        <v>1.419984272</v>
      </c>
      <c r="CA558">
        <f>-1.314364931</f>
        <v>-1.3143649310000001</v>
      </c>
      <c r="CB558">
        <f>-3.659533668</f>
        <v>-3.6595336679999999</v>
      </c>
      <c r="CC558">
        <f>-3.552053935</f>
        <v>-3.552053935</v>
      </c>
      <c r="CD558">
        <f>-3.221739115</f>
        <v>-3.2217391150000001</v>
      </c>
      <c r="CE558">
        <f>-3.339561887</f>
        <v>-3.3395618869999999</v>
      </c>
      <c r="CF558">
        <f>-2.043670501</f>
        <v>-2.0436705009999998</v>
      </c>
      <c r="CG558">
        <f>-1.385245834</f>
        <v>-1.385245834</v>
      </c>
      <c r="CH558">
        <f>-1.501496537</f>
        <v>-1.501496537</v>
      </c>
      <c r="CI558">
        <f>-1.960475055</f>
        <v>-1.9604750550000001</v>
      </c>
      <c r="CJ558">
        <f>-2.639284332</f>
        <v>-2.6392843319999999</v>
      </c>
      <c r="CK558">
        <f>-3.64068509</f>
        <v>-3.6406850899999998</v>
      </c>
      <c r="CL558">
        <f>-4.87653697</f>
        <v>-4.8765369700000001</v>
      </c>
      <c r="CM558">
        <f>-4.203427223</f>
        <v>-4.2034272230000003</v>
      </c>
      <c r="CN558">
        <f>-6.047022395</f>
        <v>-6.0470223949999999</v>
      </c>
      <c r="CO558">
        <f>-5.197152382</f>
        <v>-5.1971523819999996</v>
      </c>
      <c r="CP558">
        <f>-4.267769542</f>
        <v>-4.2677695419999999</v>
      </c>
      <c r="CQ558">
        <f>-4.268476748</f>
        <v>-4.2684767480000003</v>
      </c>
      <c r="CR558">
        <f>-3.511233606</f>
        <v>-3.5112336059999998</v>
      </c>
      <c r="CS558">
        <f>-2.011909247</f>
        <v>-2.0119092470000002</v>
      </c>
      <c r="CT558">
        <f>-1.257041314</f>
        <v>-1.2570413140000001</v>
      </c>
      <c r="CU558">
        <f>-1.094283846</f>
        <v>-1.0942838459999999</v>
      </c>
      <c r="CV558">
        <f>-0.829271512</f>
        <v>-0.82927151200000004</v>
      </c>
      <c r="CW558" t="str">
        <f>""</f>
        <v/>
      </c>
      <c r="CX558" t="str">
        <f>""</f>
        <v/>
      </c>
      <c r="CY558" t="str">
        <f>""</f>
        <v/>
      </c>
      <c r="CZ558" t="str">
        <f>""</f>
        <v/>
      </c>
      <c r="DA558" t="str">
        <f>""</f>
        <v/>
      </c>
      <c r="DB558" t="str">
        <f>""</f>
        <v/>
      </c>
      <c r="DC558" t="str">
        <f>""</f>
        <v/>
      </c>
      <c r="DD558" t="str">
        <f>""</f>
        <v/>
      </c>
      <c r="DE558" t="str">
        <f>""</f>
        <v/>
      </c>
      <c r="DF558" t="str">
        <f>""</f>
        <v/>
      </c>
      <c r="DG558" t="str">
        <f>""</f>
        <v/>
      </c>
      <c r="DH558" t="str">
        <f>""</f>
        <v/>
      </c>
      <c r="DI558" t="str">
        <f>""</f>
        <v/>
      </c>
      <c r="DJ558" t="str">
        <f>""</f>
        <v/>
      </c>
      <c r="DK558" t="str">
        <f>""</f>
        <v/>
      </c>
      <c r="DL558" t="str">
        <f>""</f>
        <v/>
      </c>
      <c r="DM558" t="str">
        <f>""</f>
        <v/>
      </c>
      <c r="DN558" t="str">
        <f>""</f>
        <v/>
      </c>
      <c r="DO558" t="str">
        <f>""</f>
        <v/>
      </c>
      <c r="DP558" t="str">
        <f>""</f>
        <v/>
      </c>
      <c r="DQ558" t="str">
        <f>""</f>
        <v/>
      </c>
      <c r="DR558" t="str">
        <f>""</f>
        <v/>
      </c>
      <c r="DS558" t="str">
        <f>""</f>
        <v/>
      </c>
      <c r="DT558" t="str">
        <f>""</f>
        <v/>
      </c>
      <c r="DU558" t="str">
        <f>""</f>
        <v/>
      </c>
    </row>
    <row r="559" spans="1:125" x14ac:dyDescent="0.25">
      <c r="A559" t="str">
        <f>"    Honda Motor Co Ltd"</f>
        <v xml:space="preserve">    Honda Motor Co Ltd</v>
      </c>
      <c r="B559" t="str">
        <f>"7267 JP Equity"</f>
        <v>7267 JP Equity</v>
      </c>
      <c r="C559" t="str">
        <f t="shared" si="39"/>
        <v>RX076</v>
      </c>
      <c r="D559" t="str">
        <f t="shared" si="40"/>
        <v>EBIT_YIELD</v>
      </c>
      <c r="E559" t="str">
        <f t="shared" si="41"/>
        <v>Dynamic</v>
      </c>
      <c r="F559">
        <f ca="1">IF(AND(ISNUMBER($F$1218),$B$677=1),$F$1218,HLOOKUP(INDIRECT(ADDRESS(2,COLUMN())),OFFSET($BN$2,0,0,ROW()-1,60),ROW()-1,FALSE))</f>
        <v>14.67234594</v>
      </c>
      <c r="G559">
        <f ca="1">IF(AND(ISNUMBER($G$1218),$B$677=1),$G$1218,HLOOKUP(INDIRECT(ADDRESS(2,COLUMN())),OFFSET($BN$2,0,0,ROW()-1,60),ROW()-1,FALSE))</f>
        <v>15.840760420000001</v>
      </c>
      <c r="H559">
        <f ca="1">IF(AND(ISNUMBER($H$1218),$B$677=1),$H$1218,HLOOKUP(INDIRECT(ADDRESS(2,COLUMN())),OFFSET($BN$2,0,0,ROW()-1,60),ROW()-1,FALSE))</f>
        <v>15.142681850000001</v>
      </c>
      <c r="I559">
        <f ca="1">IF(AND(ISNUMBER($I$1218),$B$677=1),$I$1218,HLOOKUP(INDIRECT(ADDRESS(2,COLUMN())),OFFSET($BN$2,0,0,ROW()-1,60),ROW()-1,FALSE))</f>
        <v>14.874019199999999</v>
      </c>
      <c r="J559">
        <f ca="1">IF(AND(ISNUMBER($J$1218),$B$677=1),$J$1218,HLOOKUP(INDIRECT(ADDRESS(2,COLUMN())),OFFSET($BN$2,0,0,ROW()-1,60),ROW()-1,FALSE))</f>
        <v>12.689594469999999</v>
      </c>
      <c r="K559">
        <f ca="1">IF(AND(ISNUMBER($K$1218),$B$677=1),$K$1218,HLOOKUP(INDIRECT(ADDRESS(2,COLUMN())),OFFSET($BN$2,0,0,ROW()-1,60),ROW()-1,FALSE))</f>
        <v>12.16481583</v>
      </c>
      <c r="L559">
        <f ca="1">IF(AND(ISNUMBER($L$1218),$B$677=1),$L$1218,HLOOKUP(INDIRECT(ADDRESS(2,COLUMN())),OFFSET($BN$2,0,0,ROW()-1,60),ROW()-1,FALSE))</f>
        <v>12.787970100000001</v>
      </c>
      <c r="M559">
        <f ca="1">IF(AND(ISNUMBER($M$1218),$B$677=1),$M$1218,HLOOKUP(INDIRECT(ADDRESS(2,COLUMN())),OFFSET($BN$2,0,0,ROW()-1,60),ROW()-1,FALSE))</f>
        <v>15.26711375</v>
      </c>
      <c r="N559">
        <f ca="1">IF(AND(ISNUMBER($N$1218),$B$677=1),$N$1218,HLOOKUP(INDIRECT(ADDRESS(2,COLUMN())),OFFSET($BN$2,0,0,ROW()-1,60),ROW()-1,FALSE))</f>
        <v>13.92032867</v>
      </c>
      <c r="O559">
        <f ca="1">IF(AND(ISNUMBER($O$1218),$B$677=1),$O$1218,HLOOKUP(INDIRECT(ADDRESS(2,COLUMN())),OFFSET($BN$2,0,0,ROW()-1,60),ROW()-1,FALSE))</f>
        <v>10.378543110000001</v>
      </c>
      <c r="P559">
        <f ca="1">IF(AND(ISNUMBER($P$1218),$B$677=1),$P$1218,HLOOKUP(INDIRECT(ADDRESS(2,COLUMN())),OFFSET($BN$2,0,0,ROW()-1,60),ROW()-1,FALSE))</f>
        <v>11.41739797</v>
      </c>
      <c r="Q559">
        <f ca="1">IF(AND(ISNUMBER($Q$1218),$B$677=1),$Q$1218,HLOOKUP(INDIRECT(ADDRESS(2,COLUMN())),OFFSET($BN$2,0,0,ROW()-1,60),ROW()-1,FALSE))</f>
        <v>11.45146482</v>
      </c>
      <c r="R559">
        <f ca="1">IF(AND(ISNUMBER($R$1218),$B$677=1),$R$1218,HLOOKUP(INDIRECT(ADDRESS(2,COLUMN())),OFFSET($BN$2,0,0,ROW()-1,60),ROW()-1,FALSE))</f>
        <v>9.0505069430000002</v>
      </c>
      <c r="S559">
        <f ca="1">IF(AND(ISNUMBER($S$1218),$B$677=1),$S$1218,HLOOKUP(INDIRECT(ADDRESS(2,COLUMN())),OFFSET($BN$2,0,0,ROW()-1,60),ROW()-1,FALSE))</f>
        <v>9.6374762759999992</v>
      </c>
      <c r="T559">
        <f ca="1">IF(AND(ISNUMBER($T$1218),$B$677=1),$T$1218,HLOOKUP(INDIRECT(ADDRESS(2,COLUMN())),OFFSET($BN$2,0,0,ROW()-1,60),ROW()-1,FALSE))</f>
        <v>11.38343587</v>
      </c>
      <c r="U559">
        <f ca="1">IF(AND(ISNUMBER($U$1218),$B$677=1),$U$1218,HLOOKUP(INDIRECT(ADDRESS(2,COLUMN())),OFFSET($BN$2,0,0,ROW()-1,60),ROW()-1,FALSE))</f>
        <v>10.227564770000001</v>
      </c>
      <c r="V559">
        <f ca="1">IF(AND(ISNUMBER($V$1218),$B$677=1),$V$1218,HLOOKUP(INDIRECT(ADDRESS(2,COLUMN())),OFFSET($BN$2,0,0,ROW()-1,60),ROW()-1,FALSE))</f>
        <v>9.9006503200000004</v>
      </c>
      <c r="W559">
        <f ca="1">IF(AND(ISNUMBER($W$1218),$B$677=1),$W$1218,HLOOKUP(INDIRECT(ADDRESS(2,COLUMN())),OFFSET($BN$2,0,0,ROW()-1,60),ROW()-1,FALSE))</f>
        <v>11.79878369</v>
      </c>
      <c r="X559">
        <f ca="1">IF(AND(ISNUMBER($X$1218),$B$677=1),$X$1218,HLOOKUP(INDIRECT(ADDRESS(2,COLUMN())),OFFSET($BN$2,0,0,ROW()-1,60),ROW()-1,FALSE))</f>
        <v>11.219209940000001</v>
      </c>
      <c r="Y559">
        <f ca="1">IF(AND(ISNUMBER($Y$1218),$B$677=1),$Y$1218,HLOOKUP(INDIRECT(ADDRESS(2,COLUMN())),OFFSET($BN$2,0,0,ROW()-1,60),ROW()-1,FALSE))</f>
        <v>12.09192206</v>
      </c>
      <c r="Z559">
        <f ca="1">IF(AND(ISNUMBER($Z$1218),$B$677=1),$Z$1218,HLOOKUP(INDIRECT(ADDRESS(2,COLUMN())),OFFSET($BN$2,0,0,ROW()-1,60),ROW()-1,FALSE))</f>
        <v>11.45547983</v>
      </c>
      <c r="AA559">
        <f ca="1">IF(AND(ISNUMBER($AA$1218),$B$677=1),$AA$1218,HLOOKUP(INDIRECT(ADDRESS(2,COLUMN())),OFFSET($BN$2,0,0,ROW()-1,60),ROW()-1,FALSE))</f>
        <v>9.2386275789999992</v>
      </c>
      <c r="AB559">
        <f ca="1">IF(AND(ISNUMBER($AB$1218),$B$677=1),$AB$1218,HLOOKUP(INDIRECT(ADDRESS(2,COLUMN())),OFFSET($BN$2,0,0,ROW()-1,60),ROW()-1,FALSE))</f>
        <v>9.2748517360000005</v>
      </c>
      <c r="AC559">
        <f ca="1">IF(AND(ISNUMBER($AC$1218),$B$677=1),$AC$1218,HLOOKUP(INDIRECT(ADDRESS(2,COLUMN())),OFFSET($BN$2,0,0,ROW()-1,60),ROW()-1,FALSE))</f>
        <v>8.3379160369999994</v>
      </c>
      <c r="AD559">
        <f ca="1">IF(AND(ISNUMBER($AD$1218),$B$677=1),$AD$1218,HLOOKUP(INDIRECT(ADDRESS(2,COLUMN())),OFFSET($BN$2,0,0,ROW()-1,60),ROW()-1,FALSE))</f>
        <v>8.5031268820000001</v>
      </c>
      <c r="AE559">
        <f ca="1">IF(AND(ISNUMBER($AE$1218),$B$677=1),$AE$1218,HLOOKUP(INDIRECT(ADDRESS(2,COLUMN())),OFFSET($BN$2,0,0,ROW()-1,60),ROW()-1,FALSE))</f>
        <v>9.1879981659999999</v>
      </c>
      <c r="AF559">
        <f ca="1">IF(AND(ISNUMBER($AF$1218),$B$677=1),$AF$1218,HLOOKUP(INDIRECT(ADDRESS(2,COLUMN())),OFFSET($BN$2,0,0,ROW()-1,60),ROW()-1,FALSE))</f>
        <v>10.02645238</v>
      </c>
      <c r="AG559">
        <f ca="1">IF(AND(ISNUMBER($AG$1218),$B$677=1),$AG$1218,HLOOKUP(INDIRECT(ADDRESS(2,COLUMN())),OFFSET($BN$2,0,0,ROW()-1,60),ROW()-1,FALSE))</f>
        <v>7.7666009699999998</v>
      </c>
      <c r="AH559">
        <f ca="1">IF(AND(ISNUMBER($AH$1218),$B$677=1),$AH$1218,HLOOKUP(INDIRECT(ADDRESS(2,COLUMN())),OFFSET($BN$2,0,0,ROW()-1,60),ROW()-1,FALSE))</f>
        <v>4.0817644550000001</v>
      </c>
      <c r="AI559">
        <f ca="1">IF(AND(ISNUMBER($AI$1218),$B$677=1),$AI$1218,HLOOKUP(INDIRECT(ADDRESS(2,COLUMN())),OFFSET($BN$2,0,0,ROW()-1,60),ROW()-1,FALSE))</f>
        <v>3.9128265330000001</v>
      </c>
      <c r="AJ559">
        <f ca="1">IF(AND(ISNUMBER($AJ$1218),$B$677=1),$AJ$1218,HLOOKUP(INDIRECT(ADDRESS(2,COLUMN())),OFFSET($BN$2,0,0,ROW()-1,60),ROW()-1,FALSE))</f>
        <v>5.9596578869999997</v>
      </c>
      <c r="AK559">
        <f ca="1">IF(AND(ISNUMBER($AK$1218),$B$677=1),$AK$1218,HLOOKUP(INDIRECT(ADDRESS(2,COLUMN())),OFFSET($BN$2,0,0,ROW()-1,60),ROW()-1,FALSE))</f>
        <v>6.429768148</v>
      </c>
      <c r="AL559">
        <f ca="1">IF(AND(ISNUMBER($AL$1218),$B$677=1),$AL$1218,HLOOKUP(INDIRECT(ADDRESS(2,COLUMN())),OFFSET($BN$2,0,0,ROW()-1,60),ROW()-1,FALSE))</f>
        <v>10.08390692</v>
      </c>
      <c r="AM559">
        <f ca="1">IF(AND(ISNUMBER($AM$1218),$B$677=1),$AM$1218,HLOOKUP(INDIRECT(ADDRESS(2,COLUMN())),OFFSET($BN$2,0,0,ROW()-1,60),ROW()-1,FALSE))</f>
        <v>10.651545329999999</v>
      </c>
      <c r="AN559">
        <f ca="1">IF(AND(ISNUMBER($AN$1218),$B$677=1),$AN$1218,HLOOKUP(INDIRECT(ADDRESS(2,COLUMN())),OFFSET($BN$2,0,0,ROW()-1,60),ROW()-1,FALSE))</f>
        <v>12.495954230000001</v>
      </c>
      <c r="AO559">
        <f ca="1">IF(AND(ISNUMBER($AO$1218),$B$677=1),$AO$1218,HLOOKUP(INDIRECT(ADDRESS(2,COLUMN())),OFFSET($BN$2,0,0,ROW()-1,60),ROW()-1,FALSE))</f>
        <v>12.163783390000001</v>
      </c>
      <c r="AP559">
        <f ca="1">IF(AND(ISNUMBER($AP$1218),$B$677=1),$AP$1218,HLOOKUP(INDIRECT(ADDRESS(2,COLUMN())),OFFSET($BN$2,0,0,ROW()-1,60),ROW()-1,FALSE))</f>
        <v>6.074827215</v>
      </c>
      <c r="AQ559">
        <f ca="1">IF(AND(ISNUMBER($AQ$1218),$B$677=1),$AQ$1218,HLOOKUP(INDIRECT(ADDRESS(2,COLUMN())),OFFSET($BN$2,0,0,ROW()-1,60),ROW()-1,FALSE))</f>
        <v>-0.271628229</v>
      </c>
      <c r="AR559">
        <f ca="1">IF(AND(ISNUMBER($AR$1218),$B$677=1),$AR$1218,HLOOKUP(INDIRECT(ADDRESS(2,COLUMN())),OFFSET($BN$2,0,0,ROW()-1,60),ROW()-1,FALSE))</f>
        <v>-1.790682924</v>
      </c>
      <c r="AS559">
        <f ca="1">IF(AND(ISNUMBER($AS$1218),$B$677=1),$AS$1218,HLOOKUP(INDIRECT(ADDRESS(2,COLUMN())),OFFSET($BN$2,0,0,ROW()-1,60),ROW()-1,FALSE))</f>
        <v>-0.13532265900000001</v>
      </c>
      <c r="AT559">
        <f ca="1">IF(AND(ISNUMBER($AT$1218),$B$677=1),$AT$1218,HLOOKUP(INDIRECT(ADDRESS(2,COLUMN())),OFFSET($BN$2,0,0,ROW()-1,60),ROW()-1,FALSE))</f>
        <v>4.5148258639999996</v>
      </c>
      <c r="AU559">
        <f ca="1">IF(AND(ISNUMBER($AU$1218),$B$677=1),$AU$1218,HLOOKUP(INDIRECT(ADDRESS(2,COLUMN())),OFFSET($BN$2,0,0,ROW()-1,60),ROW()-1,FALSE))</f>
        <v>18.551148269999999</v>
      </c>
      <c r="AV559">
        <f ca="1">IF(AND(ISNUMBER($AV$1218),$B$677=1),$AV$1218,HLOOKUP(INDIRECT(ADDRESS(2,COLUMN())),OFFSET($BN$2,0,0,ROW()-1,60),ROW()-1,FALSE))</f>
        <v>14.543472530000001</v>
      </c>
      <c r="AW559">
        <f ca="1">IF(AND(ISNUMBER($AW$1218),$B$677=1),$AW$1218,HLOOKUP(INDIRECT(ADDRESS(2,COLUMN())),OFFSET($BN$2,0,0,ROW()-1,60),ROW()-1,FALSE))</f>
        <v>14.54704613</v>
      </c>
      <c r="AX559">
        <f ca="1">IF(AND(ISNUMBER($AX$1218),$B$677=1),$AX$1218,HLOOKUP(INDIRECT(ADDRESS(2,COLUMN())),OFFSET($BN$2,0,0,ROW()-1,60),ROW()-1,FALSE))</f>
        <v>18.457255069999999</v>
      </c>
      <c r="AY559">
        <f ca="1">IF(AND(ISNUMBER($AY$1218),$B$677=1),$AY$1218,HLOOKUP(INDIRECT(ADDRESS(2,COLUMN())),OFFSET($BN$2,0,0,ROW()-1,60),ROW()-1,FALSE))</f>
        <v>15.18185652</v>
      </c>
      <c r="AZ559">
        <f ca="1">IF(AND(ISNUMBER($AZ$1218),$B$677=1),$AZ$1218,HLOOKUP(INDIRECT(ADDRESS(2,COLUMN())),OFFSET($BN$2,0,0,ROW()-1,60),ROW()-1,FALSE))</f>
        <v>13.718177900000001</v>
      </c>
      <c r="BA559">
        <f ca="1">IF(AND(ISNUMBER($BA$1218),$B$677=1),$BA$1218,HLOOKUP(INDIRECT(ADDRESS(2,COLUMN())),OFFSET($BN$2,0,0,ROW()-1,60),ROW()-1,FALSE))</f>
        <v>10.6101338</v>
      </c>
      <c r="BB559">
        <f ca="1">IF(AND(ISNUMBER($BB$1218),$B$677=1),$BB$1218,HLOOKUP(INDIRECT(ADDRESS(2,COLUMN())),OFFSET($BN$2,0,0,ROW()-1,60),ROW()-1,FALSE))</f>
        <v>11.359204950000001</v>
      </c>
      <c r="BC559">
        <f ca="1">IF(AND(ISNUMBER($BC$1218),$B$677=1),$BC$1218,HLOOKUP(INDIRECT(ADDRESS(2,COLUMN())),OFFSET($BN$2,0,0,ROW()-1,60),ROW()-1,FALSE))</f>
        <v>10.972542949999999</v>
      </c>
      <c r="BD559">
        <f ca="1">IF(AND(ISNUMBER($BD$1218),$B$677=1),$BD$1218,HLOOKUP(INDIRECT(ADDRESS(2,COLUMN())),OFFSET($BN$2,0,0,ROW()-1,60),ROW()-1,FALSE))</f>
        <v>12.8282761</v>
      </c>
      <c r="BE559">
        <f ca="1">IF(AND(ISNUMBER($BE$1218),$B$677=1),$BE$1218,HLOOKUP(INDIRECT(ADDRESS(2,COLUMN())),OFFSET($BN$2,0,0,ROW()-1,60),ROW()-1,FALSE))</f>
        <v>13.54611351</v>
      </c>
      <c r="BF559">
        <f ca="1">IF(AND(ISNUMBER($BF$1218),$B$677=1),$BF$1218,HLOOKUP(INDIRECT(ADDRESS(2,COLUMN())),OFFSET($BN$2,0,0,ROW()-1,60),ROW()-1,FALSE))</f>
        <v>12.964626900000001</v>
      </c>
      <c r="BG559">
        <f ca="1">IF(AND(ISNUMBER($BG$1218),$B$677=1),$BG$1218,HLOOKUP(INDIRECT(ADDRESS(2,COLUMN())),OFFSET($BN$2,0,0,ROW()-1,60),ROW()-1,FALSE))</f>
        <v>10.76023007</v>
      </c>
      <c r="BH559">
        <f ca="1">IF(AND(ISNUMBER($BH$1218),$B$677=1),$BH$1218,HLOOKUP(INDIRECT(ADDRESS(2,COLUMN())),OFFSET($BN$2,0,0,ROW()-1,60),ROW()-1,FALSE))</f>
        <v>10.61110197</v>
      </c>
      <c r="BI559">
        <f ca="1">IF(AND(ISNUMBER($BI$1218),$B$677=1),$BI$1218,HLOOKUP(INDIRECT(ADDRESS(2,COLUMN())),OFFSET($BN$2,0,0,ROW()-1,60),ROW()-1,FALSE))</f>
        <v>12.60562567</v>
      </c>
      <c r="BJ559">
        <f ca="1">IF(AND(ISNUMBER($BJ$1218),$B$677=1),$BJ$1218,HLOOKUP(INDIRECT(ADDRESS(2,COLUMN())),OFFSET($BN$2,0,0,ROW()-1,60),ROW()-1,FALSE))</f>
        <v>12.57888307</v>
      </c>
      <c r="BK559">
        <f ca="1">IF(AND(ISNUMBER($BK$1218),$B$677=1),$BK$1218,HLOOKUP(INDIRECT(ADDRESS(2,COLUMN())),OFFSET($BN$2,0,0,ROW()-1,60),ROW()-1,FALSE))</f>
        <v>12.605073600000001</v>
      </c>
      <c r="BL559">
        <f ca="1">IF(AND(ISNUMBER($BL$1218),$B$677=1),$BL$1218,HLOOKUP(INDIRECT(ADDRESS(2,COLUMN())),OFFSET($BN$2,0,0,ROW()-1,60),ROW()-1,FALSE))</f>
        <v>12.535929449999999</v>
      </c>
      <c r="BM559">
        <f ca="1">IF(AND(ISNUMBER($BM$1218),$B$677=1),$BM$1218,HLOOKUP(INDIRECT(ADDRESS(2,COLUMN())),OFFSET($BN$2,0,0,ROW()-1,60),ROW()-1,FALSE))</f>
        <v>12.22583661</v>
      </c>
      <c r="BN559">
        <f>14.67234594</f>
        <v>14.67234594</v>
      </c>
      <c r="BO559">
        <f>15.84076042</f>
        <v>15.840760420000001</v>
      </c>
      <c r="BP559">
        <f>15.14268185</f>
        <v>15.142681850000001</v>
      </c>
      <c r="BQ559">
        <f>14.8740192</f>
        <v>14.874019199999999</v>
      </c>
      <c r="BR559">
        <f>12.68959447</f>
        <v>12.689594469999999</v>
      </c>
      <c r="BS559">
        <f>12.16481583</f>
        <v>12.16481583</v>
      </c>
      <c r="BT559">
        <f>12.7879701</f>
        <v>12.787970100000001</v>
      </c>
      <c r="BU559">
        <f>15.26711375</f>
        <v>15.26711375</v>
      </c>
      <c r="BV559">
        <f>13.92032867</f>
        <v>13.92032867</v>
      </c>
      <c r="BW559">
        <f>10.37854311</f>
        <v>10.378543110000001</v>
      </c>
      <c r="BX559">
        <f>11.41739797</f>
        <v>11.41739797</v>
      </c>
      <c r="BY559">
        <f>11.45146482</f>
        <v>11.45146482</v>
      </c>
      <c r="BZ559">
        <f>9.050506943</f>
        <v>9.0505069430000002</v>
      </c>
      <c r="CA559">
        <f>9.637476276</f>
        <v>9.6374762759999992</v>
      </c>
      <c r="CB559">
        <f>11.38343587</f>
        <v>11.38343587</v>
      </c>
      <c r="CC559">
        <f>10.22756477</f>
        <v>10.227564770000001</v>
      </c>
      <c r="CD559">
        <f>9.90065032</f>
        <v>9.9006503200000004</v>
      </c>
      <c r="CE559">
        <f>11.79878369</f>
        <v>11.79878369</v>
      </c>
      <c r="CF559">
        <f>11.21920994</f>
        <v>11.219209940000001</v>
      </c>
      <c r="CG559">
        <f>12.09192206</f>
        <v>12.09192206</v>
      </c>
      <c r="CH559">
        <f>11.45547983</f>
        <v>11.45547983</v>
      </c>
      <c r="CI559">
        <f>9.238627579</f>
        <v>9.2386275789999992</v>
      </c>
      <c r="CJ559">
        <f>9.274851736</f>
        <v>9.2748517360000005</v>
      </c>
      <c r="CK559">
        <f>8.337916037</f>
        <v>8.3379160369999994</v>
      </c>
      <c r="CL559">
        <f>8.503126882</f>
        <v>8.5031268820000001</v>
      </c>
      <c r="CM559">
        <f>9.187998166</f>
        <v>9.1879981659999999</v>
      </c>
      <c r="CN559">
        <f>10.02645238</f>
        <v>10.02645238</v>
      </c>
      <c r="CO559">
        <f>7.76660097</f>
        <v>7.7666009699999998</v>
      </c>
      <c r="CP559">
        <f>4.081764455</f>
        <v>4.0817644550000001</v>
      </c>
      <c r="CQ559">
        <f>3.912826533</f>
        <v>3.9128265330000001</v>
      </c>
      <c r="CR559">
        <f>5.959657887</f>
        <v>5.9596578869999997</v>
      </c>
      <c r="CS559">
        <f>6.429768148</f>
        <v>6.429768148</v>
      </c>
      <c r="CT559">
        <f>10.08390692</f>
        <v>10.08390692</v>
      </c>
      <c r="CU559">
        <f>10.65154533</f>
        <v>10.651545329999999</v>
      </c>
      <c r="CV559">
        <f>12.49595423</f>
        <v>12.495954230000001</v>
      </c>
      <c r="CW559">
        <f>12.16378339</f>
        <v>12.163783390000001</v>
      </c>
      <c r="CX559">
        <f>6.074827215</f>
        <v>6.074827215</v>
      </c>
      <c r="CY559">
        <f>-0.271628229</f>
        <v>-0.271628229</v>
      </c>
      <c r="CZ559">
        <f>-1.790682924</f>
        <v>-1.790682924</v>
      </c>
      <c r="DA559">
        <f>-0.135322659</f>
        <v>-0.13532265900000001</v>
      </c>
      <c r="DB559">
        <f>4.514825864</f>
        <v>4.5148258639999996</v>
      </c>
      <c r="DC559">
        <f>18.55114827</f>
        <v>18.551148269999999</v>
      </c>
      <c r="DD559">
        <f>14.54347253</f>
        <v>14.543472530000001</v>
      </c>
      <c r="DE559">
        <f>14.54704613</f>
        <v>14.54704613</v>
      </c>
      <c r="DF559">
        <f>18.45725507</f>
        <v>18.457255069999999</v>
      </c>
      <c r="DG559">
        <f>15.18185652</f>
        <v>15.18185652</v>
      </c>
      <c r="DH559">
        <f>13.7181779</f>
        <v>13.718177900000001</v>
      </c>
      <c r="DI559">
        <f>10.6101338</f>
        <v>10.6101338</v>
      </c>
      <c r="DJ559">
        <f>11.35920495</f>
        <v>11.359204950000001</v>
      </c>
      <c r="DK559">
        <f>10.97254295</f>
        <v>10.972542949999999</v>
      </c>
      <c r="DL559">
        <f>12.8282761</f>
        <v>12.8282761</v>
      </c>
      <c r="DM559">
        <f>13.54611351</f>
        <v>13.54611351</v>
      </c>
      <c r="DN559">
        <f>12.9646269</f>
        <v>12.964626900000001</v>
      </c>
      <c r="DO559">
        <f>10.76023007</f>
        <v>10.76023007</v>
      </c>
      <c r="DP559">
        <f>10.61110197</f>
        <v>10.61110197</v>
      </c>
      <c r="DQ559">
        <f>12.60562567</f>
        <v>12.60562567</v>
      </c>
      <c r="DR559">
        <f>12.57888307</f>
        <v>12.57888307</v>
      </c>
      <c r="DS559">
        <f>12.6050736</f>
        <v>12.605073600000001</v>
      </c>
      <c r="DT559">
        <f>12.53592945</f>
        <v>12.535929449999999</v>
      </c>
      <c r="DU559">
        <f>12.22583661</f>
        <v>12.22583661</v>
      </c>
    </row>
    <row r="560" spans="1:125" x14ac:dyDescent="0.25">
      <c r="A560" t="str">
        <f>"    Hyundai Motor Co"</f>
        <v xml:space="preserve">    Hyundai Motor Co</v>
      </c>
      <c r="B560" t="str">
        <f>"005380 KS Equity"</f>
        <v>005380 KS Equity</v>
      </c>
      <c r="C560" t="str">
        <f t="shared" si="39"/>
        <v>RX076</v>
      </c>
      <c r="D560" t="str">
        <f t="shared" si="40"/>
        <v>EBIT_YIELD</v>
      </c>
      <c r="E560" t="str">
        <f t="shared" si="41"/>
        <v>Dynamic</v>
      </c>
      <c r="F560" t="str">
        <f ca="1">IF(AND(ISNUMBER($F$1219),$B$677=1),$F$1219,HLOOKUP(INDIRECT(ADDRESS(2,COLUMN())),OFFSET($BN$2,0,0,ROW()-1,60),ROW()-1,FALSE))</f>
        <v/>
      </c>
      <c r="G560">
        <f ca="1">IF(AND(ISNUMBER($G$1219),$B$677=1),$G$1219,HLOOKUP(INDIRECT(ADDRESS(2,COLUMN())),OFFSET($BN$2,0,0,ROW()-1,60),ROW()-1,FALSE))</f>
        <v>11.0180439</v>
      </c>
      <c r="H560">
        <f ca="1">IF(AND(ISNUMBER($H$1219),$B$677=1),$H$1219,HLOOKUP(INDIRECT(ADDRESS(2,COLUMN())),OFFSET($BN$2,0,0,ROW()-1,60),ROW()-1,FALSE))</f>
        <v>10.08214828</v>
      </c>
      <c r="I560">
        <f ca="1">IF(AND(ISNUMBER($I$1219),$B$677=1),$I$1219,HLOOKUP(INDIRECT(ADDRESS(2,COLUMN())),OFFSET($BN$2,0,0,ROW()-1,60),ROW()-1,FALSE))</f>
        <v>13.913842929999999</v>
      </c>
      <c r="J560">
        <f ca="1">IF(AND(ISNUMBER($J$1219),$B$677=1),$J$1219,HLOOKUP(INDIRECT(ADDRESS(2,COLUMN())),OFFSET($BN$2,0,0,ROW()-1,60),ROW()-1,FALSE))</f>
        <v>13.479954599999999</v>
      </c>
      <c r="K560">
        <f ca="1">IF(AND(ISNUMBER($K$1219),$B$677=1),$K$1219,HLOOKUP(INDIRECT(ADDRESS(2,COLUMN())),OFFSET($BN$2,0,0,ROW()-1,60),ROW()-1,FALSE))</f>
        <v>14.16287221</v>
      </c>
      <c r="L560">
        <f ca="1">IF(AND(ISNUMBER($L$1219),$B$677=1),$L$1219,HLOOKUP(INDIRECT(ADDRESS(2,COLUMN())),OFFSET($BN$2,0,0,ROW()-1,60),ROW()-1,FALSE))</f>
        <v>15.47216032</v>
      </c>
      <c r="M560">
        <f ca="1">IF(AND(ISNUMBER($M$1219),$B$677=1),$M$1219,HLOOKUP(INDIRECT(ADDRESS(2,COLUMN())),OFFSET($BN$2,0,0,ROW()-1,60),ROW()-1,FALSE))</f>
        <v>14.18700016</v>
      </c>
      <c r="N560">
        <f ca="1">IF(AND(ISNUMBER($N$1219),$B$677=1),$N$1219,HLOOKUP(INDIRECT(ADDRESS(2,COLUMN())),OFFSET($BN$2,0,0,ROW()-1,60),ROW()-1,FALSE))</f>
        <v>15.646988500000001</v>
      </c>
      <c r="O560">
        <f ca="1">IF(AND(ISNUMBER($O$1219),$B$677=1),$O$1219,HLOOKUP(INDIRECT(ADDRESS(2,COLUMN())),OFFSET($BN$2,0,0,ROW()-1,60),ROW()-1,FALSE))</f>
        <v>17.18943853</v>
      </c>
      <c r="P560">
        <f ca="1">IF(AND(ISNUMBER($P$1219),$B$677=1),$P$1219,HLOOKUP(INDIRECT(ADDRESS(2,COLUMN())),OFFSET($BN$2,0,0,ROW()-1,60),ROW()-1,FALSE))</f>
        <v>20.278735520000001</v>
      </c>
      <c r="Q560">
        <f ca="1">IF(AND(ISNUMBER($Q$1219),$B$677=1),$Q$1219,HLOOKUP(INDIRECT(ADDRESS(2,COLUMN())),OFFSET($BN$2,0,0,ROW()-1,60),ROW()-1,FALSE))</f>
        <v>21.83178741</v>
      </c>
      <c r="R560">
        <f ca="1">IF(AND(ISNUMBER($R$1219),$B$677=1),$R$1219,HLOOKUP(INDIRECT(ADDRESS(2,COLUMN())),OFFSET($BN$2,0,0,ROW()-1,60),ROW()-1,FALSE))</f>
        <v>19.36311779</v>
      </c>
      <c r="S560">
        <f ca="1">IF(AND(ISNUMBER($S$1219),$B$677=1),$S$1219,HLOOKUP(INDIRECT(ADDRESS(2,COLUMN())),OFFSET($BN$2,0,0,ROW()-1,60),ROW()-1,FALSE))</f>
        <v>20.601220040000001</v>
      </c>
      <c r="T560">
        <f ca="1">IF(AND(ISNUMBER($T$1219),$B$677=1),$T$1219,HLOOKUP(INDIRECT(ADDRESS(2,COLUMN())),OFFSET($BN$2,0,0,ROW()-1,60),ROW()-1,FALSE))</f>
        <v>19.72584123</v>
      </c>
      <c r="U560">
        <f ca="1">IF(AND(ISNUMBER($U$1219),$B$677=1),$U$1219,HLOOKUP(INDIRECT(ADDRESS(2,COLUMN())),OFFSET($BN$2,0,0,ROW()-1,60),ROW()-1,FALSE))</f>
        <v>24.239550170000001</v>
      </c>
      <c r="V560">
        <f ca="1">IF(AND(ISNUMBER($V$1219),$B$677=1),$V$1219,HLOOKUP(INDIRECT(ADDRESS(2,COLUMN())),OFFSET($BN$2,0,0,ROW()-1,60),ROW()-1,FALSE))</f>
        <v>20.465183039999999</v>
      </c>
      <c r="W560">
        <f ca="1">IF(AND(ISNUMBER($W$1219),$B$677=1),$W$1219,HLOOKUP(INDIRECT(ADDRESS(2,COLUMN())),OFFSET($BN$2,0,0,ROW()-1,60),ROW()-1,FALSE))</f>
        <v>21.352718920000001</v>
      </c>
      <c r="X560">
        <f ca="1">IF(AND(ISNUMBER($X$1219),$B$677=1),$X$1219,HLOOKUP(INDIRECT(ADDRESS(2,COLUMN())),OFFSET($BN$2,0,0,ROW()-1,60),ROW()-1,FALSE))</f>
        <v>19.326453789999999</v>
      </c>
      <c r="Y560">
        <f ca="1">IF(AND(ISNUMBER($Y$1219),$B$677=1),$Y$1219,HLOOKUP(INDIRECT(ADDRESS(2,COLUMN())),OFFSET($BN$2,0,0,ROW()-1,60),ROW()-1,FALSE))</f>
        <v>16.794737980000001</v>
      </c>
      <c r="Z560">
        <f ca="1">IF(AND(ISNUMBER($Z$1219),$B$677=1),$Z$1219,HLOOKUP(INDIRECT(ADDRESS(2,COLUMN())),OFFSET($BN$2,0,0,ROW()-1,60),ROW()-1,FALSE))</f>
        <v>15.963968960000001</v>
      </c>
      <c r="AA560">
        <f ca="1">IF(AND(ISNUMBER($AA$1219),$B$677=1),$AA$1219,HLOOKUP(INDIRECT(ADDRESS(2,COLUMN())),OFFSET($BN$2,0,0,ROW()-1,60),ROW()-1,FALSE))</f>
        <v>16.801597300000001</v>
      </c>
      <c r="AB560">
        <f ca="1">IF(AND(ISNUMBER($AB$1219),$B$677=1),$AB$1219,HLOOKUP(INDIRECT(ADDRESS(2,COLUMN())),OFFSET($BN$2,0,0,ROW()-1,60),ROW()-1,FALSE))</f>
        <v>15.501946889999999</v>
      </c>
      <c r="AC560">
        <f ca="1">IF(AND(ISNUMBER($AC$1219),$B$677=1),$AC$1219,HLOOKUP(INDIRECT(ADDRESS(2,COLUMN())),OFFSET($BN$2,0,0,ROW()-1,60),ROW()-1,FALSE))</f>
        <v>17.132150809999999</v>
      </c>
      <c r="AD560">
        <f ca="1">IF(AND(ISNUMBER($AD$1219),$B$677=1),$AD$1219,HLOOKUP(INDIRECT(ADDRESS(2,COLUMN())),OFFSET($BN$2,0,0,ROW()-1,60),ROW()-1,FALSE))</f>
        <v>17.52418071</v>
      </c>
      <c r="AE560">
        <f ca="1">IF(AND(ISNUMBER($AE$1219),$B$677=1),$AE$1219,HLOOKUP(INDIRECT(ADDRESS(2,COLUMN())),OFFSET($BN$2,0,0,ROW()-1,60),ROW()-1,FALSE))</f>
        <v>18.45131761</v>
      </c>
      <c r="AF560">
        <f ca="1">IF(AND(ISNUMBER($AF$1219),$B$677=1),$AF$1219,HLOOKUP(INDIRECT(ADDRESS(2,COLUMN())),OFFSET($BN$2,0,0,ROW()-1,60),ROW()-1,FALSE))</f>
        <v>16.41924787</v>
      </c>
      <c r="AG560">
        <f ca="1">IF(AND(ISNUMBER($AG$1219),$B$677=1),$AG$1219,HLOOKUP(INDIRECT(ADDRESS(2,COLUMN())),OFFSET($BN$2,0,0,ROW()-1,60),ROW()-1,FALSE))</f>
        <v>18.093738470000002</v>
      </c>
      <c r="AH560">
        <f ca="1">IF(AND(ISNUMBER($AH$1219),$B$677=1),$AH$1219,HLOOKUP(INDIRECT(ADDRESS(2,COLUMN())),OFFSET($BN$2,0,0,ROW()-1,60),ROW()-1,FALSE))</f>
        <v>17.159496130000001</v>
      </c>
      <c r="AI560">
        <f ca="1">IF(AND(ISNUMBER($AI$1219),$B$677=1),$AI$1219,HLOOKUP(INDIRECT(ADDRESS(2,COLUMN())),OFFSET($BN$2,0,0,ROW()-1,60),ROW()-1,FALSE))</f>
        <v>17.944527820000001</v>
      </c>
      <c r="AJ560">
        <f ca="1">IF(AND(ISNUMBER($AJ$1219),$B$677=1),$AJ$1219,HLOOKUP(INDIRECT(ADDRESS(2,COLUMN())),OFFSET($BN$2,0,0,ROW()-1,60),ROW()-1,FALSE))</f>
        <v>16.40436532</v>
      </c>
      <c r="AK560">
        <f ca="1">IF(AND(ISNUMBER($AK$1219),$B$677=1),$AK$1219,HLOOKUP(INDIRECT(ADDRESS(2,COLUMN())),OFFSET($BN$2,0,0,ROW()-1,60),ROW()-1,FALSE))</f>
        <v>13.780988580000001</v>
      </c>
      <c r="AL560">
        <f ca="1">IF(AND(ISNUMBER($AL$1219),$B$677=1),$AL$1219,HLOOKUP(INDIRECT(ADDRESS(2,COLUMN())),OFFSET($BN$2,0,0,ROW()-1,60),ROW()-1,FALSE))</f>
        <v>15.115346840000001</v>
      </c>
      <c r="AM560">
        <f ca="1">IF(AND(ISNUMBER($AM$1219),$B$677=1),$AM$1219,HLOOKUP(INDIRECT(ADDRESS(2,COLUMN())),OFFSET($BN$2,0,0,ROW()-1,60),ROW()-1,FALSE))</f>
        <v>16.23150021</v>
      </c>
      <c r="AN560" t="str">
        <f ca="1">IF(AND(ISNUMBER($AN$1219),$B$677=1),$AN$1219,HLOOKUP(INDIRECT(ADDRESS(2,COLUMN())),OFFSET($BN$2,0,0,ROW()-1,60),ROW()-1,FALSE))</f>
        <v/>
      </c>
      <c r="AO560" t="str">
        <f ca="1">IF(AND(ISNUMBER($AO$1219),$B$677=1),$AO$1219,HLOOKUP(INDIRECT(ADDRESS(2,COLUMN())),OFFSET($BN$2,0,0,ROW()-1,60),ROW()-1,FALSE))</f>
        <v/>
      </c>
      <c r="AP560" t="str">
        <f ca="1">IF(AND(ISNUMBER($AP$1219),$B$677=1),$AP$1219,HLOOKUP(INDIRECT(ADDRESS(2,COLUMN())),OFFSET($BN$2,0,0,ROW()-1,60),ROW()-1,FALSE))</f>
        <v/>
      </c>
      <c r="AQ560" t="str">
        <f ca="1">IF(AND(ISNUMBER($AQ$1219),$B$677=1),$AQ$1219,HLOOKUP(INDIRECT(ADDRESS(2,COLUMN())),OFFSET($BN$2,0,0,ROW()-1,60),ROW()-1,FALSE))</f>
        <v/>
      </c>
      <c r="AR560" t="str">
        <f ca="1">IF(AND(ISNUMBER($AR$1219),$B$677=1),$AR$1219,HLOOKUP(INDIRECT(ADDRESS(2,COLUMN())),OFFSET($BN$2,0,0,ROW()-1,60),ROW()-1,FALSE))</f>
        <v/>
      </c>
      <c r="AS560" t="str">
        <f ca="1">IF(AND(ISNUMBER($AS$1219),$B$677=1),$AS$1219,HLOOKUP(INDIRECT(ADDRESS(2,COLUMN())),OFFSET($BN$2,0,0,ROW()-1,60),ROW()-1,FALSE))</f>
        <v/>
      </c>
      <c r="AT560" t="str">
        <f ca="1">IF(AND(ISNUMBER($AT$1219),$B$677=1),$AT$1219,HLOOKUP(INDIRECT(ADDRESS(2,COLUMN())),OFFSET($BN$2,0,0,ROW()-1,60),ROW()-1,FALSE))</f>
        <v/>
      </c>
      <c r="AU560" t="str">
        <f ca="1">IF(AND(ISNUMBER($AU$1219),$B$677=1),$AU$1219,HLOOKUP(INDIRECT(ADDRESS(2,COLUMN())),OFFSET($BN$2,0,0,ROW()-1,60),ROW()-1,FALSE))</f>
        <v/>
      </c>
      <c r="AV560" t="str">
        <f ca="1">IF(AND(ISNUMBER($AV$1219),$B$677=1),$AV$1219,HLOOKUP(INDIRECT(ADDRESS(2,COLUMN())),OFFSET($BN$2,0,0,ROW()-1,60),ROW()-1,FALSE))</f>
        <v/>
      </c>
      <c r="AW560" t="str">
        <f ca="1">IF(AND(ISNUMBER($AW$1219),$B$677=1),$AW$1219,HLOOKUP(INDIRECT(ADDRESS(2,COLUMN())),OFFSET($BN$2,0,0,ROW()-1,60),ROW()-1,FALSE))</f>
        <v/>
      </c>
      <c r="AX560" t="str">
        <f ca="1">IF(AND(ISNUMBER($AX$1219),$B$677=1),$AX$1219,HLOOKUP(INDIRECT(ADDRESS(2,COLUMN())),OFFSET($BN$2,0,0,ROW()-1,60),ROW()-1,FALSE))</f>
        <v/>
      </c>
      <c r="AY560" t="str">
        <f ca="1">IF(AND(ISNUMBER($AY$1219),$B$677=1),$AY$1219,HLOOKUP(INDIRECT(ADDRESS(2,COLUMN())),OFFSET($BN$2,0,0,ROW()-1,60),ROW()-1,FALSE))</f>
        <v/>
      </c>
      <c r="AZ560" t="str">
        <f ca="1">IF(AND(ISNUMBER($AZ$1219),$B$677=1),$AZ$1219,HLOOKUP(INDIRECT(ADDRESS(2,COLUMN())),OFFSET($BN$2,0,0,ROW()-1,60),ROW()-1,FALSE))</f>
        <v/>
      </c>
      <c r="BA560" t="str">
        <f ca="1">IF(AND(ISNUMBER($BA$1219),$B$677=1),$BA$1219,HLOOKUP(INDIRECT(ADDRESS(2,COLUMN())),OFFSET($BN$2,0,0,ROW()-1,60),ROW()-1,FALSE))</f>
        <v/>
      </c>
      <c r="BB560" t="str">
        <f ca="1">IF(AND(ISNUMBER($BB$1219),$B$677=1),$BB$1219,HLOOKUP(INDIRECT(ADDRESS(2,COLUMN())),OFFSET($BN$2,0,0,ROW()-1,60),ROW()-1,FALSE))</f>
        <v/>
      </c>
      <c r="BC560" t="str">
        <f ca="1">IF(AND(ISNUMBER($BC$1219),$B$677=1),$BC$1219,HLOOKUP(INDIRECT(ADDRESS(2,COLUMN())),OFFSET($BN$2,0,0,ROW()-1,60),ROW()-1,FALSE))</f>
        <v/>
      </c>
      <c r="BD560" t="str">
        <f ca="1">IF(AND(ISNUMBER($BD$1219),$B$677=1),$BD$1219,HLOOKUP(INDIRECT(ADDRESS(2,COLUMN())),OFFSET($BN$2,0,0,ROW()-1,60),ROW()-1,FALSE))</f>
        <v/>
      </c>
      <c r="BE560" t="str">
        <f ca="1">IF(AND(ISNUMBER($BE$1219),$B$677=1),$BE$1219,HLOOKUP(INDIRECT(ADDRESS(2,COLUMN())),OFFSET($BN$2,0,0,ROW()-1,60),ROW()-1,FALSE))</f>
        <v/>
      </c>
      <c r="BF560" t="str">
        <f ca="1">IF(AND(ISNUMBER($BF$1219),$B$677=1),$BF$1219,HLOOKUP(INDIRECT(ADDRESS(2,COLUMN())),OFFSET($BN$2,0,0,ROW()-1,60),ROW()-1,FALSE))</f>
        <v/>
      </c>
      <c r="BG560" t="str">
        <f ca="1">IF(AND(ISNUMBER($BG$1219),$B$677=1),$BG$1219,HLOOKUP(INDIRECT(ADDRESS(2,COLUMN())),OFFSET($BN$2,0,0,ROW()-1,60),ROW()-1,FALSE))</f>
        <v/>
      </c>
      <c r="BH560" t="str">
        <f ca="1">IF(AND(ISNUMBER($BH$1219),$B$677=1),$BH$1219,HLOOKUP(INDIRECT(ADDRESS(2,COLUMN())),OFFSET($BN$2,0,0,ROW()-1,60),ROW()-1,FALSE))</f>
        <v/>
      </c>
      <c r="BI560" t="str">
        <f ca="1">IF(AND(ISNUMBER($BI$1219),$B$677=1),$BI$1219,HLOOKUP(INDIRECT(ADDRESS(2,COLUMN())),OFFSET($BN$2,0,0,ROW()-1,60),ROW()-1,FALSE))</f>
        <v/>
      </c>
      <c r="BJ560" t="str">
        <f ca="1">IF(AND(ISNUMBER($BJ$1219),$B$677=1),$BJ$1219,HLOOKUP(INDIRECT(ADDRESS(2,COLUMN())),OFFSET($BN$2,0,0,ROW()-1,60),ROW()-1,FALSE))</f>
        <v/>
      </c>
      <c r="BK560" t="str">
        <f ca="1">IF(AND(ISNUMBER($BK$1219),$B$677=1),$BK$1219,HLOOKUP(INDIRECT(ADDRESS(2,COLUMN())),OFFSET($BN$2,0,0,ROW()-1,60),ROW()-1,FALSE))</f>
        <v/>
      </c>
      <c r="BL560" t="str">
        <f ca="1">IF(AND(ISNUMBER($BL$1219),$B$677=1),$BL$1219,HLOOKUP(INDIRECT(ADDRESS(2,COLUMN())),OFFSET($BN$2,0,0,ROW()-1,60),ROW()-1,FALSE))</f>
        <v/>
      </c>
      <c r="BM560" t="str">
        <f ca="1">IF(AND(ISNUMBER($BM$1219),$B$677=1),$BM$1219,HLOOKUP(INDIRECT(ADDRESS(2,COLUMN())),OFFSET($BN$2,0,0,ROW()-1,60),ROW()-1,FALSE))</f>
        <v/>
      </c>
      <c r="BN560" t="str">
        <f>""</f>
        <v/>
      </c>
      <c r="BO560">
        <f>11.0180439</f>
        <v>11.0180439</v>
      </c>
      <c r="BP560">
        <f>10.08214828</f>
        <v>10.08214828</v>
      </c>
      <c r="BQ560">
        <f>13.91384293</f>
        <v>13.913842929999999</v>
      </c>
      <c r="BR560">
        <f>13.4799546</f>
        <v>13.479954599999999</v>
      </c>
      <c r="BS560">
        <f>14.16287221</f>
        <v>14.16287221</v>
      </c>
      <c r="BT560">
        <f>15.47216032</f>
        <v>15.47216032</v>
      </c>
      <c r="BU560">
        <f>14.18700016</f>
        <v>14.18700016</v>
      </c>
      <c r="BV560">
        <f>15.6469885</f>
        <v>15.646988500000001</v>
      </c>
      <c r="BW560">
        <f>17.18943853</f>
        <v>17.18943853</v>
      </c>
      <c r="BX560">
        <f>20.27873552</f>
        <v>20.278735520000001</v>
      </c>
      <c r="BY560">
        <f>21.83178741</f>
        <v>21.83178741</v>
      </c>
      <c r="BZ560">
        <f>19.36311779</f>
        <v>19.36311779</v>
      </c>
      <c r="CA560">
        <f>20.60122004</f>
        <v>20.601220040000001</v>
      </c>
      <c r="CB560">
        <f>19.72584123</f>
        <v>19.72584123</v>
      </c>
      <c r="CC560">
        <f>24.23955017</f>
        <v>24.239550170000001</v>
      </c>
      <c r="CD560">
        <f>20.46518304</f>
        <v>20.465183039999999</v>
      </c>
      <c r="CE560">
        <f>21.35271892</f>
        <v>21.352718920000001</v>
      </c>
      <c r="CF560">
        <f>19.32645379</f>
        <v>19.326453789999999</v>
      </c>
      <c r="CG560">
        <f>16.79473798</f>
        <v>16.794737980000001</v>
      </c>
      <c r="CH560">
        <f>15.96396896</f>
        <v>15.963968960000001</v>
      </c>
      <c r="CI560">
        <f>16.8015973</f>
        <v>16.801597300000001</v>
      </c>
      <c r="CJ560">
        <f>15.50194689</f>
        <v>15.501946889999999</v>
      </c>
      <c r="CK560">
        <f>17.13215081</f>
        <v>17.132150809999999</v>
      </c>
      <c r="CL560">
        <f>17.52418071</f>
        <v>17.52418071</v>
      </c>
      <c r="CM560">
        <f>18.45131761</f>
        <v>18.45131761</v>
      </c>
      <c r="CN560">
        <f>16.41924787</f>
        <v>16.41924787</v>
      </c>
      <c r="CO560">
        <f>18.09373847</f>
        <v>18.093738470000002</v>
      </c>
      <c r="CP560">
        <f>17.15949613</f>
        <v>17.159496130000001</v>
      </c>
      <c r="CQ560">
        <f>17.94452782</f>
        <v>17.944527820000001</v>
      </c>
      <c r="CR560">
        <f>16.40436532</f>
        <v>16.40436532</v>
      </c>
      <c r="CS560">
        <f>13.78098858</f>
        <v>13.780988580000001</v>
      </c>
      <c r="CT560">
        <f>15.11534684</f>
        <v>15.115346840000001</v>
      </c>
      <c r="CU560">
        <f>16.23150021</f>
        <v>16.23150021</v>
      </c>
      <c r="CV560" t="str">
        <f>""</f>
        <v/>
      </c>
      <c r="CW560" t="str">
        <f>""</f>
        <v/>
      </c>
      <c r="CX560" t="str">
        <f>""</f>
        <v/>
      </c>
      <c r="CY560" t="str">
        <f>""</f>
        <v/>
      </c>
      <c r="CZ560" t="str">
        <f>""</f>
        <v/>
      </c>
      <c r="DA560" t="str">
        <f>""</f>
        <v/>
      </c>
      <c r="DB560" t="str">
        <f>""</f>
        <v/>
      </c>
      <c r="DC560" t="str">
        <f>""</f>
        <v/>
      </c>
      <c r="DD560" t="str">
        <f>""</f>
        <v/>
      </c>
      <c r="DE560" t="str">
        <f>""</f>
        <v/>
      </c>
      <c r="DF560" t="str">
        <f>""</f>
        <v/>
      </c>
      <c r="DG560" t="str">
        <f>""</f>
        <v/>
      </c>
      <c r="DH560" t="str">
        <f>""</f>
        <v/>
      </c>
      <c r="DI560" t="str">
        <f>""</f>
        <v/>
      </c>
      <c r="DJ560" t="str">
        <f>""</f>
        <v/>
      </c>
      <c r="DK560" t="str">
        <f>""</f>
        <v/>
      </c>
      <c r="DL560" t="str">
        <f>""</f>
        <v/>
      </c>
      <c r="DM560" t="str">
        <f>""</f>
        <v/>
      </c>
      <c r="DN560" t="str">
        <f>""</f>
        <v/>
      </c>
      <c r="DO560" t="str">
        <f>""</f>
        <v/>
      </c>
      <c r="DP560" t="str">
        <f>""</f>
        <v/>
      </c>
      <c r="DQ560" t="str">
        <f>""</f>
        <v/>
      </c>
      <c r="DR560" t="str">
        <f>""</f>
        <v/>
      </c>
      <c r="DS560" t="str">
        <f>""</f>
        <v/>
      </c>
      <c r="DT560" t="str">
        <f>""</f>
        <v/>
      </c>
      <c r="DU560" t="str">
        <f>""</f>
        <v/>
      </c>
    </row>
    <row r="561" spans="1:125" x14ac:dyDescent="0.25">
      <c r="A561" t="str">
        <f>"    Kia Motors Corp"</f>
        <v xml:space="preserve">    Kia Motors Corp</v>
      </c>
      <c r="B561" t="str">
        <f>"000270 KS Equity"</f>
        <v>000270 KS Equity</v>
      </c>
      <c r="C561" t="str">
        <f t="shared" si="39"/>
        <v>RX076</v>
      </c>
      <c r="D561" t="str">
        <f t="shared" si="40"/>
        <v>EBIT_YIELD</v>
      </c>
      <c r="E561" t="str">
        <f t="shared" si="41"/>
        <v>Dynamic</v>
      </c>
      <c r="F561" t="str">
        <f ca="1">IF(AND(ISNUMBER($F$1220),$B$677=1),$F$1220,HLOOKUP(INDIRECT(ADDRESS(2,COLUMN())),OFFSET($BN$2,0,0,ROW()-1,60),ROW()-1,FALSE))</f>
        <v/>
      </c>
      <c r="G561">
        <f ca="1">IF(AND(ISNUMBER($G$1220),$B$677=1),$G$1220,HLOOKUP(INDIRECT(ADDRESS(2,COLUMN())),OFFSET($BN$2,0,0,ROW()-1,60),ROW()-1,FALSE))</f>
        <v>8.1348278589999996</v>
      </c>
      <c r="H561">
        <f ca="1">IF(AND(ISNUMBER($H$1220),$B$677=1),$H$1220,HLOOKUP(INDIRECT(ADDRESS(2,COLUMN())),OFFSET($BN$2,0,0,ROW()-1,60),ROW()-1,FALSE))</f>
        <v>7.6597168299999998</v>
      </c>
      <c r="I561">
        <f ca="1">IF(AND(ISNUMBER($I$1220),$B$677=1),$I$1220,HLOOKUP(INDIRECT(ADDRESS(2,COLUMN())),OFFSET($BN$2,0,0,ROW()-1,60),ROW()-1,FALSE))</f>
        <v>4.3142911450000003</v>
      </c>
      <c r="J561">
        <f ca="1">IF(AND(ISNUMBER($J$1220),$B$677=1),$J$1220,HLOOKUP(INDIRECT(ADDRESS(2,COLUMN())),OFFSET($BN$2,0,0,ROW()-1,60),ROW()-1,FALSE))</f>
        <v>4.7077814790000003</v>
      </c>
      <c r="K561">
        <f ca="1">IF(AND(ISNUMBER($K$1220),$B$677=1),$K$1220,HLOOKUP(INDIRECT(ADDRESS(2,COLUMN())),OFFSET($BN$2,0,0,ROW()-1,60),ROW()-1,FALSE))</f>
        <v>4.9308783480000002</v>
      </c>
      <c r="L561">
        <f ca="1">IF(AND(ISNUMBER($L$1220),$B$677=1),$L$1220,HLOOKUP(INDIRECT(ADDRESS(2,COLUMN())),OFFSET($BN$2,0,0,ROW()-1,60),ROW()-1,FALSE))</f>
        <v>7.0140191439999997</v>
      </c>
      <c r="M561">
        <f ca="1">IF(AND(ISNUMBER($M$1220),$B$677=1),$M$1220,HLOOKUP(INDIRECT(ADDRESS(2,COLUMN())),OFFSET($BN$2,0,0,ROW()-1,60),ROW()-1,FALSE))</f>
        <v>12.025040110000001</v>
      </c>
      <c r="N561">
        <f ca="1">IF(AND(ISNUMBER($N$1220),$B$677=1),$N$1220,HLOOKUP(INDIRECT(ADDRESS(2,COLUMN())),OFFSET($BN$2,0,0,ROW()-1,60),ROW()-1,FALSE))</f>
        <v>14.868720789999999</v>
      </c>
      <c r="O561">
        <f ca="1">IF(AND(ISNUMBER($O$1220),$B$677=1),$O$1220,HLOOKUP(INDIRECT(ADDRESS(2,COLUMN())),OFFSET($BN$2,0,0,ROW()-1,60),ROW()-1,FALSE))</f>
        <v>15.63241045</v>
      </c>
      <c r="P561">
        <f ca="1">IF(AND(ISNUMBER($P$1220),$B$677=1),$P$1220,HLOOKUP(INDIRECT(ADDRESS(2,COLUMN())),OFFSET($BN$2,0,0,ROW()-1,60),ROW()-1,FALSE))</f>
        <v>14.4703251</v>
      </c>
      <c r="Q561">
        <f ca="1">IF(AND(ISNUMBER($Q$1220),$B$677=1),$Q$1220,HLOOKUP(INDIRECT(ADDRESS(2,COLUMN())),OFFSET($BN$2,0,0,ROW()-1,60),ROW()-1,FALSE))</f>
        <v>15.001171360000001</v>
      </c>
      <c r="R561">
        <f ca="1">IF(AND(ISNUMBER($R$1220),$B$677=1),$R$1220,HLOOKUP(INDIRECT(ADDRESS(2,COLUMN())),OFFSET($BN$2,0,0,ROW()-1,60),ROW()-1,FALSE))</f>
        <v>12.79592982</v>
      </c>
      <c r="S561">
        <f ca="1">IF(AND(ISNUMBER($S$1220),$B$677=1),$S$1220,HLOOKUP(INDIRECT(ADDRESS(2,COLUMN())),OFFSET($BN$2,0,0,ROW()-1,60),ROW()-1,FALSE))</f>
        <v>11.152705299999999</v>
      </c>
      <c r="T561">
        <f ca="1">IF(AND(ISNUMBER($T$1220),$B$677=1),$T$1220,HLOOKUP(INDIRECT(ADDRESS(2,COLUMN())),OFFSET($BN$2,0,0,ROW()-1,60),ROW()-1,FALSE))</f>
        <v>10.852800909999999</v>
      </c>
      <c r="U561">
        <f ca="1">IF(AND(ISNUMBER($U$1220),$B$677=1),$U$1220,HLOOKUP(INDIRECT(ADDRESS(2,COLUMN())),OFFSET($BN$2,0,0,ROW()-1,60),ROW()-1,FALSE))</f>
        <v>12.19860373</v>
      </c>
      <c r="V561">
        <f ca="1">IF(AND(ISNUMBER($V$1220),$B$677=1),$V$1220,HLOOKUP(INDIRECT(ADDRESS(2,COLUMN())),OFFSET($BN$2,0,0,ROW()-1,60),ROW()-1,FALSE))</f>
        <v>12.83991537</v>
      </c>
      <c r="W561">
        <f ca="1">IF(AND(ISNUMBER($W$1220),$B$677=1),$W$1220,HLOOKUP(INDIRECT(ADDRESS(2,COLUMN())),OFFSET($BN$2,0,0,ROW()-1,60),ROW()-1,FALSE))</f>
        <v>12.14739196</v>
      </c>
      <c r="X561">
        <f ca="1">IF(AND(ISNUMBER($X$1220),$B$677=1),$X$1220,HLOOKUP(INDIRECT(ADDRESS(2,COLUMN())),OFFSET($BN$2,0,0,ROW()-1,60),ROW()-1,FALSE))</f>
        <v>12.52072235</v>
      </c>
      <c r="Y561">
        <f ca="1">IF(AND(ISNUMBER($Y$1220),$B$677=1),$Y$1220,HLOOKUP(INDIRECT(ADDRESS(2,COLUMN())),OFFSET($BN$2,0,0,ROW()-1,60),ROW()-1,FALSE))</f>
        <v>12.44574025</v>
      </c>
      <c r="Z561">
        <f ca="1">IF(AND(ISNUMBER($Z$1220),$B$677=1),$Z$1220,HLOOKUP(INDIRECT(ADDRESS(2,COLUMN())),OFFSET($BN$2,0,0,ROW()-1,60),ROW()-1,FALSE))</f>
        <v>13.36771834</v>
      </c>
      <c r="AA561">
        <f ca="1">IF(AND(ISNUMBER($AA$1220),$B$677=1),$AA$1220,HLOOKUP(INDIRECT(ADDRESS(2,COLUMN())),OFFSET($BN$2,0,0,ROW()-1,60),ROW()-1,FALSE))</f>
        <v>13.99081851</v>
      </c>
      <c r="AB561">
        <f ca="1">IF(AND(ISNUMBER($AB$1220),$B$677=1),$AB$1220,HLOOKUP(INDIRECT(ADDRESS(2,COLUMN())),OFFSET($BN$2,0,0,ROW()-1,60),ROW()-1,FALSE))</f>
        <v>11.083348989999999</v>
      </c>
      <c r="AC561">
        <f ca="1">IF(AND(ISNUMBER($AC$1220),$B$677=1),$AC$1220,HLOOKUP(INDIRECT(ADDRESS(2,COLUMN())),OFFSET($BN$2,0,0,ROW()-1,60),ROW()-1,FALSE))</f>
        <v>12.072200240000001</v>
      </c>
      <c r="AD561">
        <f ca="1">IF(AND(ISNUMBER($AD$1220),$B$677=1),$AD$1220,HLOOKUP(INDIRECT(ADDRESS(2,COLUMN())),OFFSET($BN$2,0,0,ROW()-1,60),ROW()-1,FALSE))</f>
        <v>13.952489440000001</v>
      </c>
      <c r="AE561">
        <f ca="1">IF(AND(ISNUMBER($AE$1220),$B$677=1),$AE$1220,HLOOKUP(INDIRECT(ADDRESS(2,COLUMN())),OFFSET($BN$2,0,0,ROW()-1,60),ROW()-1,FALSE))</f>
        <v>15.4030383</v>
      </c>
      <c r="AF561">
        <f ca="1">IF(AND(ISNUMBER($AF$1220),$B$677=1),$AF$1220,HLOOKUP(INDIRECT(ADDRESS(2,COLUMN())),OFFSET($BN$2,0,0,ROW()-1,60),ROW()-1,FALSE))</f>
        <v>14.095845580000001</v>
      </c>
      <c r="AG561">
        <f ca="1">IF(AND(ISNUMBER($AG$1220),$B$677=1),$AG$1220,HLOOKUP(INDIRECT(ADDRESS(2,COLUMN())),OFFSET($BN$2,0,0,ROW()-1,60),ROW()-1,FALSE))</f>
        <v>13.326407469999999</v>
      </c>
      <c r="AH561">
        <f ca="1">IF(AND(ISNUMBER($AH$1220),$B$677=1),$AH$1220,HLOOKUP(INDIRECT(ADDRESS(2,COLUMN())),OFFSET($BN$2,0,0,ROW()-1,60),ROW()-1,FALSE))</f>
        <v>12.76110746</v>
      </c>
      <c r="AI561">
        <f ca="1">IF(AND(ISNUMBER($AI$1220),$B$677=1),$AI$1220,HLOOKUP(INDIRECT(ADDRESS(2,COLUMN())),OFFSET($BN$2,0,0,ROW()-1,60),ROW()-1,FALSE))</f>
        <v>13.17002482</v>
      </c>
      <c r="AJ561">
        <f ca="1">IF(AND(ISNUMBER($AJ$1220),$B$677=1),$AJ$1220,HLOOKUP(INDIRECT(ADDRESS(2,COLUMN())),OFFSET($BN$2,0,0,ROW()-1,60),ROW()-1,FALSE))</f>
        <v>11.615145930000001</v>
      </c>
      <c r="AK561">
        <f ca="1">IF(AND(ISNUMBER($AK$1220),$B$677=1),$AK$1220,HLOOKUP(INDIRECT(ADDRESS(2,COLUMN())),OFFSET($BN$2,0,0,ROW()-1,60),ROW()-1,FALSE))</f>
        <v>10.92181491</v>
      </c>
      <c r="AL561">
        <f ca="1">IF(AND(ISNUMBER($AL$1220),$B$677=1),$AL$1220,HLOOKUP(INDIRECT(ADDRESS(2,COLUMN())),OFFSET($BN$2,0,0,ROW()-1,60),ROW()-1,FALSE))</f>
        <v>10.18435524</v>
      </c>
      <c r="AM561">
        <f ca="1">IF(AND(ISNUMBER($AM$1220),$B$677=1),$AM$1220,HLOOKUP(INDIRECT(ADDRESS(2,COLUMN())),OFFSET($BN$2,0,0,ROW()-1,60),ROW()-1,FALSE))</f>
        <v>11.97384196</v>
      </c>
      <c r="AN561" t="str">
        <f ca="1">IF(AND(ISNUMBER($AN$1220),$B$677=1),$AN$1220,HLOOKUP(INDIRECT(ADDRESS(2,COLUMN())),OFFSET($BN$2,0,0,ROW()-1,60),ROW()-1,FALSE))</f>
        <v/>
      </c>
      <c r="AO561" t="str">
        <f ca="1">IF(AND(ISNUMBER($AO$1220),$B$677=1),$AO$1220,HLOOKUP(INDIRECT(ADDRESS(2,COLUMN())),OFFSET($BN$2,0,0,ROW()-1,60),ROW()-1,FALSE))</f>
        <v/>
      </c>
      <c r="AP561" t="str">
        <f ca="1">IF(AND(ISNUMBER($AP$1220),$B$677=1),$AP$1220,HLOOKUP(INDIRECT(ADDRESS(2,COLUMN())),OFFSET($BN$2,0,0,ROW()-1,60),ROW()-1,FALSE))</f>
        <v/>
      </c>
      <c r="AQ561" t="str">
        <f ca="1">IF(AND(ISNUMBER($AQ$1220),$B$677=1),$AQ$1220,HLOOKUP(INDIRECT(ADDRESS(2,COLUMN())),OFFSET($BN$2,0,0,ROW()-1,60),ROW()-1,FALSE))</f>
        <v/>
      </c>
      <c r="AR561" t="str">
        <f ca="1">IF(AND(ISNUMBER($AR$1220),$B$677=1),$AR$1220,HLOOKUP(INDIRECT(ADDRESS(2,COLUMN())),OFFSET($BN$2,0,0,ROW()-1,60),ROW()-1,FALSE))</f>
        <v/>
      </c>
      <c r="AS561" t="str">
        <f ca="1">IF(AND(ISNUMBER($AS$1220),$B$677=1),$AS$1220,HLOOKUP(INDIRECT(ADDRESS(2,COLUMN())),OFFSET($BN$2,0,0,ROW()-1,60),ROW()-1,FALSE))</f>
        <v/>
      </c>
      <c r="AT561" t="str">
        <f ca="1">IF(AND(ISNUMBER($AT$1220),$B$677=1),$AT$1220,HLOOKUP(INDIRECT(ADDRESS(2,COLUMN())),OFFSET($BN$2,0,0,ROW()-1,60),ROW()-1,FALSE))</f>
        <v/>
      </c>
      <c r="AU561" t="str">
        <f ca="1">IF(AND(ISNUMBER($AU$1220),$B$677=1),$AU$1220,HLOOKUP(INDIRECT(ADDRESS(2,COLUMN())),OFFSET($BN$2,0,0,ROW()-1,60),ROW()-1,FALSE))</f>
        <v/>
      </c>
      <c r="AV561" t="str">
        <f ca="1">IF(AND(ISNUMBER($AV$1220),$B$677=1),$AV$1220,HLOOKUP(INDIRECT(ADDRESS(2,COLUMN())),OFFSET($BN$2,0,0,ROW()-1,60),ROW()-1,FALSE))</f>
        <v/>
      </c>
      <c r="AW561" t="str">
        <f ca="1">IF(AND(ISNUMBER($AW$1220),$B$677=1),$AW$1220,HLOOKUP(INDIRECT(ADDRESS(2,COLUMN())),OFFSET($BN$2,0,0,ROW()-1,60),ROW()-1,FALSE))</f>
        <v/>
      </c>
      <c r="AX561" t="str">
        <f ca="1">IF(AND(ISNUMBER($AX$1220),$B$677=1),$AX$1220,HLOOKUP(INDIRECT(ADDRESS(2,COLUMN())),OFFSET($BN$2,0,0,ROW()-1,60),ROW()-1,FALSE))</f>
        <v/>
      </c>
      <c r="AY561" t="str">
        <f ca="1">IF(AND(ISNUMBER($AY$1220),$B$677=1),$AY$1220,HLOOKUP(INDIRECT(ADDRESS(2,COLUMN())),OFFSET($BN$2,0,0,ROW()-1,60),ROW()-1,FALSE))</f>
        <v/>
      </c>
      <c r="AZ561" t="str">
        <f ca="1">IF(AND(ISNUMBER($AZ$1220),$B$677=1),$AZ$1220,HLOOKUP(INDIRECT(ADDRESS(2,COLUMN())),OFFSET($BN$2,0,0,ROW()-1,60),ROW()-1,FALSE))</f>
        <v/>
      </c>
      <c r="BA561" t="str">
        <f ca="1">IF(AND(ISNUMBER($BA$1220),$B$677=1),$BA$1220,HLOOKUP(INDIRECT(ADDRESS(2,COLUMN())),OFFSET($BN$2,0,0,ROW()-1,60),ROW()-1,FALSE))</f>
        <v/>
      </c>
      <c r="BB561" t="str">
        <f ca="1">IF(AND(ISNUMBER($BB$1220),$B$677=1),$BB$1220,HLOOKUP(INDIRECT(ADDRESS(2,COLUMN())),OFFSET($BN$2,0,0,ROW()-1,60),ROW()-1,FALSE))</f>
        <v/>
      </c>
      <c r="BC561" t="str">
        <f ca="1">IF(AND(ISNUMBER($BC$1220),$B$677=1),$BC$1220,HLOOKUP(INDIRECT(ADDRESS(2,COLUMN())),OFFSET($BN$2,0,0,ROW()-1,60),ROW()-1,FALSE))</f>
        <v/>
      </c>
      <c r="BD561" t="str">
        <f ca="1">IF(AND(ISNUMBER($BD$1220),$B$677=1),$BD$1220,HLOOKUP(INDIRECT(ADDRESS(2,COLUMN())),OFFSET($BN$2,0,0,ROW()-1,60),ROW()-1,FALSE))</f>
        <v/>
      </c>
      <c r="BE561" t="str">
        <f ca="1">IF(AND(ISNUMBER($BE$1220),$B$677=1),$BE$1220,HLOOKUP(INDIRECT(ADDRESS(2,COLUMN())),OFFSET($BN$2,0,0,ROW()-1,60),ROW()-1,FALSE))</f>
        <v/>
      </c>
      <c r="BF561" t="str">
        <f ca="1">IF(AND(ISNUMBER($BF$1220),$B$677=1),$BF$1220,HLOOKUP(INDIRECT(ADDRESS(2,COLUMN())),OFFSET($BN$2,0,0,ROW()-1,60),ROW()-1,FALSE))</f>
        <v/>
      </c>
      <c r="BG561" t="str">
        <f ca="1">IF(AND(ISNUMBER($BG$1220),$B$677=1),$BG$1220,HLOOKUP(INDIRECT(ADDRESS(2,COLUMN())),OFFSET($BN$2,0,0,ROW()-1,60),ROW()-1,FALSE))</f>
        <v/>
      </c>
      <c r="BH561" t="str">
        <f ca="1">IF(AND(ISNUMBER($BH$1220),$B$677=1),$BH$1220,HLOOKUP(INDIRECT(ADDRESS(2,COLUMN())),OFFSET($BN$2,0,0,ROW()-1,60),ROW()-1,FALSE))</f>
        <v/>
      </c>
      <c r="BI561" t="str">
        <f ca="1">IF(AND(ISNUMBER($BI$1220),$B$677=1),$BI$1220,HLOOKUP(INDIRECT(ADDRESS(2,COLUMN())),OFFSET($BN$2,0,0,ROW()-1,60),ROW()-1,FALSE))</f>
        <v/>
      </c>
      <c r="BJ561" t="str">
        <f ca="1">IF(AND(ISNUMBER($BJ$1220),$B$677=1),$BJ$1220,HLOOKUP(INDIRECT(ADDRESS(2,COLUMN())),OFFSET($BN$2,0,0,ROW()-1,60),ROW()-1,FALSE))</f>
        <v/>
      </c>
      <c r="BK561" t="str">
        <f ca="1">IF(AND(ISNUMBER($BK$1220),$B$677=1),$BK$1220,HLOOKUP(INDIRECT(ADDRESS(2,COLUMN())),OFFSET($BN$2,0,0,ROW()-1,60),ROW()-1,FALSE))</f>
        <v/>
      </c>
      <c r="BL561" t="str">
        <f ca="1">IF(AND(ISNUMBER($BL$1220),$B$677=1),$BL$1220,HLOOKUP(INDIRECT(ADDRESS(2,COLUMN())),OFFSET($BN$2,0,0,ROW()-1,60),ROW()-1,FALSE))</f>
        <v/>
      </c>
      <c r="BM561" t="str">
        <f ca="1">IF(AND(ISNUMBER($BM$1220),$B$677=1),$BM$1220,HLOOKUP(INDIRECT(ADDRESS(2,COLUMN())),OFFSET($BN$2,0,0,ROW()-1,60),ROW()-1,FALSE))</f>
        <v/>
      </c>
      <c r="BN561" t="str">
        <f>""</f>
        <v/>
      </c>
      <c r="BO561">
        <f>8.134827859</f>
        <v>8.1348278589999996</v>
      </c>
      <c r="BP561">
        <f>7.65971683</f>
        <v>7.6597168299999998</v>
      </c>
      <c r="BQ561">
        <f>4.314291145</f>
        <v>4.3142911450000003</v>
      </c>
      <c r="BR561">
        <f>4.707781479</f>
        <v>4.7077814790000003</v>
      </c>
      <c r="BS561">
        <f>4.930878348</f>
        <v>4.9308783480000002</v>
      </c>
      <c r="BT561">
        <f>7.014019144</f>
        <v>7.0140191439999997</v>
      </c>
      <c r="BU561">
        <f>12.02504011</f>
        <v>12.025040110000001</v>
      </c>
      <c r="BV561">
        <f>14.86872079</f>
        <v>14.868720789999999</v>
      </c>
      <c r="BW561">
        <f>15.63241045</f>
        <v>15.63241045</v>
      </c>
      <c r="BX561">
        <f>14.4703251</f>
        <v>14.4703251</v>
      </c>
      <c r="BY561">
        <f>15.00117136</f>
        <v>15.001171360000001</v>
      </c>
      <c r="BZ561">
        <f>12.79592982</f>
        <v>12.79592982</v>
      </c>
      <c r="CA561">
        <f>11.1527053</f>
        <v>11.152705299999999</v>
      </c>
      <c r="CB561">
        <f>10.85280091</f>
        <v>10.852800909999999</v>
      </c>
      <c r="CC561">
        <f>12.19860373</f>
        <v>12.19860373</v>
      </c>
      <c r="CD561">
        <f>12.83991537</f>
        <v>12.83991537</v>
      </c>
      <c r="CE561">
        <f>12.14739196</f>
        <v>12.14739196</v>
      </c>
      <c r="CF561">
        <f>12.52072235</f>
        <v>12.52072235</v>
      </c>
      <c r="CG561">
        <f>12.44574025</f>
        <v>12.44574025</v>
      </c>
      <c r="CH561">
        <f>13.36771834</f>
        <v>13.36771834</v>
      </c>
      <c r="CI561">
        <f>13.99081851</f>
        <v>13.99081851</v>
      </c>
      <c r="CJ561">
        <f>11.08334899</f>
        <v>11.083348989999999</v>
      </c>
      <c r="CK561">
        <f>12.07220024</f>
        <v>12.072200240000001</v>
      </c>
      <c r="CL561">
        <f>13.95248944</f>
        <v>13.952489440000001</v>
      </c>
      <c r="CM561">
        <f>15.4030383</f>
        <v>15.4030383</v>
      </c>
      <c r="CN561">
        <f>14.09584558</f>
        <v>14.095845580000001</v>
      </c>
      <c r="CO561">
        <f>13.32640747</f>
        <v>13.326407469999999</v>
      </c>
      <c r="CP561">
        <f>12.76110746</f>
        <v>12.76110746</v>
      </c>
      <c r="CQ561">
        <f>13.17002482</f>
        <v>13.17002482</v>
      </c>
      <c r="CR561">
        <f>11.61514593</f>
        <v>11.615145930000001</v>
      </c>
      <c r="CS561">
        <f>10.92181491</f>
        <v>10.92181491</v>
      </c>
      <c r="CT561">
        <f>10.18435524</f>
        <v>10.18435524</v>
      </c>
      <c r="CU561">
        <f>11.97384196</f>
        <v>11.97384196</v>
      </c>
      <c r="CV561" t="str">
        <f>""</f>
        <v/>
      </c>
      <c r="CW561" t="str">
        <f>""</f>
        <v/>
      </c>
      <c r="CX561" t="str">
        <f>""</f>
        <v/>
      </c>
      <c r="CY561" t="str">
        <f>""</f>
        <v/>
      </c>
      <c r="CZ561" t="str">
        <f>""</f>
        <v/>
      </c>
      <c r="DA561" t="str">
        <f>""</f>
        <v/>
      </c>
      <c r="DB561" t="str">
        <f>""</f>
        <v/>
      </c>
      <c r="DC561" t="str">
        <f>""</f>
        <v/>
      </c>
      <c r="DD561" t="str">
        <f>""</f>
        <v/>
      </c>
      <c r="DE561" t="str">
        <f>""</f>
        <v/>
      </c>
      <c r="DF561" t="str">
        <f>""</f>
        <v/>
      </c>
      <c r="DG561" t="str">
        <f>""</f>
        <v/>
      </c>
      <c r="DH561" t="str">
        <f>""</f>
        <v/>
      </c>
      <c r="DI561" t="str">
        <f>""</f>
        <v/>
      </c>
      <c r="DJ561" t="str">
        <f>""</f>
        <v/>
      </c>
      <c r="DK561" t="str">
        <f>""</f>
        <v/>
      </c>
      <c r="DL561" t="str">
        <f>""</f>
        <v/>
      </c>
      <c r="DM561" t="str">
        <f>""</f>
        <v/>
      </c>
      <c r="DN561" t="str">
        <f>""</f>
        <v/>
      </c>
      <c r="DO561" t="str">
        <f>""</f>
        <v/>
      </c>
      <c r="DP561" t="str">
        <f>""</f>
        <v/>
      </c>
      <c r="DQ561" t="str">
        <f>""</f>
        <v/>
      </c>
      <c r="DR561" t="str">
        <f>""</f>
        <v/>
      </c>
      <c r="DS561" t="str">
        <f>""</f>
        <v/>
      </c>
      <c r="DT561" t="str">
        <f>""</f>
        <v/>
      </c>
      <c r="DU561" t="str">
        <f>""</f>
        <v/>
      </c>
    </row>
    <row r="562" spans="1:125" x14ac:dyDescent="0.25">
      <c r="A562" t="str">
        <f>"    Mazda Motor Corp"</f>
        <v xml:space="preserve">    Mazda Motor Corp</v>
      </c>
      <c r="B562" t="str">
        <f>"7261 JP Equity"</f>
        <v>7261 JP Equity</v>
      </c>
      <c r="C562" t="str">
        <f t="shared" si="39"/>
        <v>RX076</v>
      </c>
      <c r="D562" t="str">
        <f t="shared" si="40"/>
        <v>EBIT_YIELD</v>
      </c>
      <c r="E562" t="str">
        <f t="shared" si="41"/>
        <v>Dynamic</v>
      </c>
      <c r="F562">
        <f ca="1">IF(AND(ISNUMBER($F$1221),$B$677=1),$F$1221,HLOOKUP(INDIRECT(ADDRESS(2,COLUMN())),OFFSET($BN$2,0,0,ROW()-1,60),ROW()-1,FALSE))</f>
        <v>12.215685880000001</v>
      </c>
      <c r="G562">
        <f ca="1">IF(AND(ISNUMBER($G$1221),$B$677=1),$G$1221,HLOOKUP(INDIRECT(ADDRESS(2,COLUMN())),OFFSET($BN$2,0,0,ROW()-1,60),ROW()-1,FALSE))</f>
        <v>13.846237779999999</v>
      </c>
      <c r="H562">
        <f ca="1">IF(AND(ISNUMBER($H$1221),$B$677=1),$H$1221,HLOOKUP(INDIRECT(ADDRESS(2,COLUMN())),OFFSET($BN$2,0,0,ROW()-1,60),ROW()-1,FALSE))</f>
        <v>11.79472762</v>
      </c>
      <c r="I562">
        <f ca="1">IF(AND(ISNUMBER($I$1221),$B$677=1),$I$1221,HLOOKUP(INDIRECT(ADDRESS(2,COLUMN())),OFFSET($BN$2,0,0,ROW()-1,60),ROW()-1,FALSE))</f>
        <v>16.58283892</v>
      </c>
      <c r="J562">
        <f ca="1">IF(AND(ISNUMBER($J$1221),$B$677=1),$J$1221,HLOOKUP(INDIRECT(ADDRESS(2,COLUMN())),OFFSET($BN$2,0,0,ROW()-1,60),ROW()-1,FALSE))</f>
        <v>17.048681380000001</v>
      </c>
      <c r="K562">
        <f ca="1">IF(AND(ISNUMBER($K$1221),$B$677=1),$K$1221,HLOOKUP(INDIRECT(ADDRESS(2,COLUMN())),OFFSET($BN$2,0,0,ROW()-1,60),ROW()-1,FALSE))</f>
        <v>14.350572700000001</v>
      </c>
      <c r="L562">
        <f ca="1">IF(AND(ISNUMBER($L$1221),$B$677=1),$L$1221,HLOOKUP(INDIRECT(ADDRESS(2,COLUMN())),OFFSET($BN$2,0,0,ROW()-1,60),ROW()-1,FALSE))</f>
        <v>11.040065240000001</v>
      </c>
      <c r="M562">
        <f ca="1">IF(AND(ISNUMBER($M$1221),$B$677=1),$M$1221,HLOOKUP(INDIRECT(ADDRESS(2,COLUMN())),OFFSET($BN$2,0,0,ROW()-1,60),ROW()-1,FALSE))</f>
        <v>12.0741171</v>
      </c>
      <c r="N562">
        <f ca="1">IF(AND(ISNUMBER($N$1221),$B$677=1),$N$1221,HLOOKUP(INDIRECT(ADDRESS(2,COLUMN())),OFFSET($BN$2,0,0,ROW()-1,60),ROW()-1,FALSE))</f>
        <v>13.115605889999999</v>
      </c>
      <c r="O562">
        <f ca="1">IF(AND(ISNUMBER($O$1221),$B$677=1),$O$1221,HLOOKUP(INDIRECT(ADDRESS(2,COLUMN())),OFFSET($BN$2,0,0,ROW()-1,60),ROW()-1,FALSE))</f>
        <v>13.591975659999999</v>
      </c>
      <c r="P562">
        <f ca="1">IF(AND(ISNUMBER($P$1221),$B$677=1),$P$1221,HLOOKUP(INDIRECT(ADDRESS(2,COLUMN())),OFFSET($BN$2,0,0,ROW()-1,60),ROW()-1,FALSE))</f>
        <v>20.665865950000001</v>
      </c>
      <c r="Q562">
        <f ca="1">IF(AND(ISNUMBER($Q$1221),$B$677=1),$Q$1221,HLOOKUP(INDIRECT(ADDRESS(2,COLUMN())),OFFSET($BN$2,0,0,ROW()-1,60),ROW()-1,FALSE))</f>
        <v>27.80406515</v>
      </c>
      <c r="R562">
        <f ca="1">IF(AND(ISNUMBER($R$1221),$B$677=1),$R$1221,HLOOKUP(INDIRECT(ADDRESS(2,COLUMN())),OFFSET($BN$2,0,0,ROW()-1,60),ROW()-1,FALSE))</f>
        <v>21.719850210000001</v>
      </c>
      <c r="S562">
        <f ca="1">IF(AND(ISNUMBER($S$1221),$B$677=1),$S$1221,HLOOKUP(INDIRECT(ADDRESS(2,COLUMN())),OFFSET($BN$2,0,0,ROW()-1,60),ROW()-1,FALSE))</f>
        <v>14.862969229999999</v>
      </c>
      <c r="T562">
        <f ca="1">IF(AND(ISNUMBER($T$1221),$B$677=1),$T$1221,HLOOKUP(INDIRECT(ADDRESS(2,COLUMN())),OFFSET($BN$2,0,0,ROW()-1,60),ROW()-1,FALSE))</f>
        <v>20.001457779999999</v>
      </c>
      <c r="U562">
        <f ca="1">IF(AND(ISNUMBER($U$1221),$B$677=1),$U$1221,HLOOKUP(INDIRECT(ADDRESS(2,COLUMN())),OFFSET($BN$2,0,0,ROW()-1,60),ROW()-1,FALSE))</f>
        <v>13.939257570000001</v>
      </c>
      <c r="V562">
        <f ca="1">IF(AND(ISNUMBER($V$1221),$B$677=1),$V$1221,HLOOKUP(INDIRECT(ADDRESS(2,COLUMN())),OFFSET($BN$2,0,0,ROW()-1,60),ROW()-1,FALSE))</f>
        <v>13.91462061</v>
      </c>
      <c r="W562">
        <f ca="1">IF(AND(ISNUMBER($W$1221),$B$677=1),$W$1221,HLOOKUP(INDIRECT(ADDRESS(2,COLUMN())),OFFSET($BN$2,0,0,ROW()-1,60),ROW()-1,FALSE))</f>
        <v>11.97131871</v>
      </c>
      <c r="X562">
        <f ca="1">IF(AND(ISNUMBER($X$1221),$B$677=1),$X$1221,HLOOKUP(INDIRECT(ADDRESS(2,COLUMN())),OFFSET($BN$2,0,0,ROW()-1,60),ROW()-1,FALSE))</f>
        <v>12.90809636</v>
      </c>
      <c r="Y562">
        <f ca="1">IF(AND(ISNUMBER($Y$1221),$B$677=1),$Y$1221,HLOOKUP(INDIRECT(ADDRESS(2,COLUMN())),OFFSET($BN$2,0,0,ROW()-1,60),ROW()-1,FALSE))</f>
        <v>14.22608511</v>
      </c>
      <c r="Z562">
        <f ca="1">IF(AND(ISNUMBER($Z$1221),$B$677=1),$Z$1221,HLOOKUP(INDIRECT(ADDRESS(2,COLUMN())),OFFSET($BN$2,0,0,ROW()-1,60),ROW()-1,FALSE))</f>
        <v>13.302922089999999</v>
      </c>
      <c r="AA562">
        <f ca="1">IF(AND(ISNUMBER($AA$1221),$B$677=1),$AA$1221,HLOOKUP(INDIRECT(ADDRESS(2,COLUMN())),OFFSET($BN$2,0,0,ROW()-1,60),ROW()-1,FALSE))</f>
        <v>9.7714126280000002</v>
      </c>
      <c r="AB562">
        <f ca="1">IF(AND(ISNUMBER($AB$1221),$B$677=1),$AB$1221,HLOOKUP(INDIRECT(ADDRESS(2,COLUMN())),OFFSET($BN$2,0,0,ROW()-1,60),ROW()-1,FALSE))</f>
        <v>8.9126738470000006</v>
      </c>
      <c r="AC562">
        <f ca="1">IF(AND(ISNUMBER($AC$1221),$B$677=1),$AC$1221,HLOOKUP(INDIRECT(ADDRESS(2,COLUMN())),OFFSET($BN$2,0,0,ROW()-1,60),ROW()-1,FALSE))</f>
        <v>7.5850224839999996</v>
      </c>
      <c r="AD562">
        <f ca="1">IF(AND(ISNUMBER($AD$1221),$B$677=1),$AD$1221,HLOOKUP(INDIRECT(ADDRESS(2,COLUMN())),OFFSET($BN$2,0,0,ROW()-1,60),ROW()-1,FALSE))</f>
        <v>6.4212841970000003</v>
      </c>
      <c r="AE562">
        <f ca="1">IF(AND(ISNUMBER($AE$1221),$B$677=1),$AE$1221,HLOOKUP(INDIRECT(ADDRESS(2,COLUMN())),OFFSET($BN$2,0,0,ROW()-1,60),ROW()-1,FALSE))</f>
        <v>7.9450610949999998</v>
      </c>
      <c r="AF562">
        <f ca="1">IF(AND(ISNUMBER($AF$1221),$B$677=1),$AF$1221,HLOOKUP(INDIRECT(ADDRESS(2,COLUMN())),OFFSET($BN$2,0,0,ROW()-1,60),ROW()-1,FALSE))</f>
        <v>-8.0746843909999999</v>
      </c>
      <c r="AG562">
        <f ca="1">IF(AND(ISNUMBER($AG$1221),$B$677=1),$AG$1221,HLOOKUP(INDIRECT(ADDRESS(2,COLUMN())),OFFSET($BN$2,0,0,ROW()-1,60),ROW()-1,FALSE))</f>
        <v>-9.1266544369999991</v>
      </c>
      <c r="AH562">
        <f ca="1">IF(AND(ISNUMBER($AH$1221),$B$677=1),$AH$1221,HLOOKUP(INDIRECT(ADDRESS(2,COLUMN())),OFFSET($BN$2,0,0,ROW()-1,60),ROW()-1,FALSE))</f>
        <v>-16.144332949999999</v>
      </c>
      <c r="AI562">
        <f ca="1">IF(AND(ISNUMBER($AI$1221),$B$677=1),$AI$1221,HLOOKUP(INDIRECT(ADDRESS(2,COLUMN())),OFFSET($BN$2,0,0,ROW()-1,60),ROW()-1,FALSE))</f>
        <v>-18.142056230000001</v>
      </c>
      <c r="AJ562">
        <f ca="1">IF(AND(ISNUMBER($AJ$1221),$B$677=1),$AJ$1221,HLOOKUP(INDIRECT(ADDRESS(2,COLUMN())),OFFSET($BN$2,0,0,ROW()-1,60),ROW()-1,FALSE))</f>
        <v>-3.567894838</v>
      </c>
      <c r="AK562">
        <f ca="1">IF(AND(ISNUMBER($AK$1221),$B$677=1),$AK$1221,HLOOKUP(INDIRECT(ADDRESS(2,COLUMN())),OFFSET($BN$2,0,0,ROW()-1,60),ROW()-1,FALSE))</f>
        <v>-1.5038678889999999</v>
      </c>
      <c r="AL562">
        <f ca="1">IF(AND(ISNUMBER($AL$1221),$B$677=1),$AL$1221,HLOOKUP(INDIRECT(ADDRESS(2,COLUMN())),OFFSET($BN$2,0,0,ROW()-1,60),ROW()-1,FALSE))</f>
        <v>7.3577113350000003</v>
      </c>
      <c r="AM562">
        <f ca="1">IF(AND(ISNUMBER($AM$1221),$B$677=1),$AM$1221,HLOOKUP(INDIRECT(ADDRESS(2,COLUMN())),OFFSET($BN$2,0,0,ROW()-1,60),ROW()-1,FALSE))</f>
        <v>8.2316765380000003</v>
      </c>
      <c r="AN562">
        <f ca="1">IF(AND(ISNUMBER($AN$1221),$B$677=1),$AN$1221,HLOOKUP(INDIRECT(ADDRESS(2,COLUMN())),OFFSET($BN$2,0,0,ROW()-1,60),ROW()-1,FALSE))</f>
        <v>12.60199283</v>
      </c>
      <c r="AO562">
        <f ca="1">IF(AND(ISNUMBER($AO$1221),$B$677=1),$AO$1221,HLOOKUP(INDIRECT(ADDRESS(2,COLUMN())),OFFSET($BN$2,0,0,ROW()-1,60),ROW()-1,FALSE))</f>
        <v>12.650042689999999</v>
      </c>
      <c r="AP562">
        <f ca="1">IF(AND(ISNUMBER($AP$1221),$B$677=1),$AP$1221,HLOOKUP(INDIRECT(ADDRESS(2,COLUMN())),OFFSET($BN$2,0,0,ROW()-1,60),ROW()-1,FALSE))</f>
        <v>0.62067242099999997</v>
      </c>
      <c r="AQ562">
        <f ca="1">IF(AND(ISNUMBER($AQ$1221),$B$677=1),$AQ$1221,HLOOKUP(INDIRECT(ADDRESS(2,COLUMN())),OFFSET($BN$2,0,0,ROW()-1,60),ROW()-1,FALSE))</f>
        <v>-27.986605440000002</v>
      </c>
      <c r="AR562">
        <f ca="1">IF(AND(ISNUMBER($AR$1221),$B$677=1),$AR$1221,HLOOKUP(INDIRECT(ADDRESS(2,COLUMN())),OFFSET($BN$2,0,0,ROW()-1,60),ROW()-1,FALSE))</f>
        <v>-41.794415870000002</v>
      </c>
      <c r="AS562">
        <f ca="1">IF(AND(ISNUMBER($AS$1221),$B$677=1),$AS$1221,HLOOKUP(INDIRECT(ADDRESS(2,COLUMN())),OFFSET($BN$2,0,0,ROW()-1,60),ROW()-1,FALSE))</f>
        <v>-26.506466570000001</v>
      </c>
      <c r="AT562">
        <f ca="1">IF(AND(ISNUMBER($AT$1221),$B$677=1),$AT$1221,HLOOKUP(INDIRECT(ADDRESS(2,COLUMN())),OFFSET($BN$2,0,0,ROW()-1,60),ROW()-1,FALSE))</f>
        <v>-14.68740972</v>
      </c>
      <c r="AU562">
        <f ca="1">IF(AND(ISNUMBER($AU$1221),$B$677=1),$AU$1221,HLOOKUP(INDIRECT(ADDRESS(2,COLUMN())),OFFSET($BN$2,0,0,ROW()-1,60),ROW()-1,FALSE))</f>
        <v>42.48812659</v>
      </c>
      <c r="AV562">
        <f ca="1">IF(AND(ISNUMBER($AV$1221),$B$677=1),$AV$1221,HLOOKUP(INDIRECT(ADDRESS(2,COLUMN())),OFFSET($BN$2,0,0,ROW()-1,60),ROW()-1,FALSE))</f>
        <v>25.432372959999999</v>
      </c>
      <c r="AW562">
        <f ca="1">IF(AND(ISNUMBER($AW$1221),$B$677=1),$AW$1221,HLOOKUP(INDIRECT(ADDRESS(2,COLUMN())),OFFSET($BN$2,0,0,ROW()-1,60),ROW()-1,FALSE))</f>
        <v>20.37973105</v>
      </c>
      <c r="AX562">
        <f ca="1">IF(AND(ISNUMBER($AX$1221),$B$677=1),$AX$1221,HLOOKUP(INDIRECT(ADDRESS(2,COLUMN())),OFFSET($BN$2,0,0,ROW()-1,60),ROW()-1,FALSE))</f>
        <v>32.614988789999998</v>
      </c>
      <c r="AY562">
        <f ca="1">IF(AND(ISNUMBER($AY$1221),$B$677=1),$AY$1221,HLOOKUP(INDIRECT(ADDRESS(2,COLUMN())),OFFSET($BN$2,0,0,ROW()-1,60),ROW()-1,FALSE))</f>
        <v>20.33287086</v>
      </c>
      <c r="AZ562">
        <f ca="1">IF(AND(ISNUMBER($AZ$1221),$B$677=1),$AZ$1221,HLOOKUP(INDIRECT(ADDRESS(2,COLUMN())),OFFSET($BN$2,0,0,ROW()-1,60),ROW()-1,FALSE))</f>
        <v>19.808995830000001</v>
      </c>
      <c r="BA562">
        <f ca="1">IF(AND(ISNUMBER($BA$1221),$B$677=1),$BA$1221,HLOOKUP(INDIRECT(ADDRESS(2,COLUMN())),OFFSET($BN$2,0,0,ROW()-1,60),ROW()-1,FALSE))</f>
        <v>16.31796057</v>
      </c>
      <c r="BB562">
        <f ca="1">IF(AND(ISNUMBER($BB$1221),$B$677=1),$BB$1221,HLOOKUP(INDIRECT(ADDRESS(2,COLUMN())),OFFSET($BN$2,0,0,ROW()-1,60),ROW()-1,FALSE))</f>
        <v>17.326366929999999</v>
      </c>
      <c r="BC562">
        <f ca="1">IF(AND(ISNUMBER($BC$1221),$B$677=1),$BC$1221,HLOOKUP(INDIRECT(ADDRESS(2,COLUMN())),OFFSET($BN$2,0,0,ROW()-1,60),ROW()-1,FALSE))</f>
        <v>12.98428895</v>
      </c>
      <c r="BD562">
        <f ca="1">IF(AND(ISNUMBER($BD$1221),$B$677=1),$BD$1221,HLOOKUP(INDIRECT(ADDRESS(2,COLUMN())),OFFSET($BN$2,0,0,ROW()-1,60),ROW()-1,FALSE))</f>
        <v>14.670724440000001</v>
      </c>
      <c r="BE562">
        <f ca="1">IF(AND(ISNUMBER($BE$1221),$B$677=1),$BE$1221,HLOOKUP(INDIRECT(ADDRESS(2,COLUMN())),OFFSET($BN$2,0,0,ROW()-1,60),ROW()-1,FALSE))</f>
        <v>13.52869065</v>
      </c>
      <c r="BF562">
        <f ca="1">IF(AND(ISNUMBER($BF$1221),$B$677=1),$BF$1221,HLOOKUP(INDIRECT(ADDRESS(2,COLUMN())),OFFSET($BN$2,0,0,ROW()-1,60),ROW()-1,FALSE))</f>
        <v>13.229970339999999</v>
      </c>
      <c r="BG562">
        <f ca="1">IF(AND(ISNUMBER($BG$1221),$B$677=1),$BG$1221,HLOOKUP(INDIRECT(ADDRESS(2,COLUMN())),OFFSET($BN$2,0,0,ROW()-1,60),ROW()-1,FALSE))</f>
        <v>15.0029919</v>
      </c>
      <c r="BH562">
        <f ca="1">IF(AND(ISNUMBER($BH$1221),$B$677=1),$BH$1221,HLOOKUP(INDIRECT(ADDRESS(2,COLUMN())),OFFSET($BN$2,0,0,ROW()-1,60),ROW()-1,FALSE))</f>
        <v>14.41577618</v>
      </c>
      <c r="BI562">
        <f ca="1">IF(AND(ISNUMBER($BI$1221),$B$677=1),$BI$1221,HLOOKUP(INDIRECT(ADDRESS(2,COLUMN())),OFFSET($BN$2,0,0,ROW()-1,60),ROW()-1,FALSE))</f>
        <v>16.907074260000002</v>
      </c>
      <c r="BJ562">
        <f ca="1">IF(AND(ISNUMBER($BJ$1221),$B$677=1),$BJ$1221,HLOOKUP(INDIRECT(ADDRESS(2,COLUMN())),OFFSET($BN$2,0,0,ROW()-1,60),ROW()-1,FALSE))</f>
        <v>18.633050170000001</v>
      </c>
      <c r="BK562" t="str">
        <f ca="1">IF(AND(ISNUMBER($BK$1221),$B$677=1),$BK$1221,HLOOKUP(INDIRECT(ADDRESS(2,COLUMN())),OFFSET($BN$2,0,0,ROW()-1,60),ROW()-1,FALSE))</f>
        <v/>
      </c>
      <c r="BL562" t="str">
        <f ca="1">IF(AND(ISNUMBER($BL$1221),$B$677=1),$BL$1221,HLOOKUP(INDIRECT(ADDRESS(2,COLUMN())),OFFSET($BN$2,0,0,ROW()-1,60),ROW()-1,FALSE))</f>
        <v/>
      </c>
      <c r="BM562" t="str">
        <f ca="1">IF(AND(ISNUMBER($BM$1221),$B$677=1),$BM$1221,HLOOKUP(INDIRECT(ADDRESS(2,COLUMN())),OFFSET($BN$2,0,0,ROW()-1,60),ROW()-1,FALSE))</f>
        <v/>
      </c>
      <c r="BN562">
        <f>12.21568588</f>
        <v>12.215685880000001</v>
      </c>
      <c r="BO562">
        <f>13.84623778</f>
        <v>13.846237779999999</v>
      </c>
      <c r="BP562">
        <f>11.79472762</f>
        <v>11.79472762</v>
      </c>
      <c r="BQ562">
        <f>16.58283892</f>
        <v>16.58283892</v>
      </c>
      <c r="BR562">
        <f>17.04868138</f>
        <v>17.048681380000001</v>
      </c>
      <c r="BS562">
        <f>14.3505727</f>
        <v>14.350572700000001</v>
      </c>
      <c r="BT562">
        <f>11.04006524</f>
        <v>11.040065240000001</v>
      </c>
      <c r="BU562">
        <f>12.0741171</f>
        <v>12.0741171</v>
      </c>
      <c r="BV562">
        <f>13.11560589</f>
        <v>13.115605889999999</v>
      </c>
      <c r="BW562">
        <f>13.59197566</f>
        <v>13.591975659999999</v>
      </c>
      <c r="BX562">
        <f>20.66586595</f>
        <v>20.665865950000001</v>
      </c>
      <c r="BY562">
        <f>27.80406515</f>
        <v>27.80406515</v>
      </c>
      <c r="BZ562">
        <f>21.71985021</f>
        <v>21.719850210000001</v>
      </c>
      <c r="CA562">
        <f>14.86296923</f>
        <v>14.862969229999999</v>
      </c>
      <c r="CB562">
        <f>20.00145778</f>
        <v>20.001457779999999</v>
      </c>
      <c r="CC562">
        <f>13.93925757</f>
        <v>13.939257570000001</v>
      </c>
      <c r="CD562">
        <f>13.91462061</f>
        <v>13.91462061</v>
      </c>
      <c r="CE562">
        <f>11.97131871</f>
        <v>11.97131871</v>
      </c>
      <c r="CF562">
        <f>12.90809636</f>
        <v>12.90809636</v>
      </c>
      <c r="CG562">
        <f>14.22608511</f>
        <v>14.22608511</v>
      </c>
      <c r="CH562">
        <f>13.30292209</f>
        <v>13.302922089999999</v>
      </c>
      <c r="CI562">
        <f>9.771412628</f>
        <v>9.7714126280000002</v>
      </c>
      <c r="CJ562">
        <f>8.912673847</f>
        <v>8.9126738470000006</v>
      </c>
      <c r="CK562">
        <f>7.585022484</f>
        <v>7.5850224839999996</v>
      </c>
      <c r="CL562">
        <f>6.421284197</f>
        <v>6.4212841970000003</v>
      </c>
      <c r="CM562">
        <f>7.945061095</f>
        <v>7.9450610949999998</v>
      </c>
      <c r="CN562">
        <f>-8.074684391</f>
        <v>-8.0746843909999999</v>
      </c>
      <c r="CO562">
        <f>-9.126654437</f>
        <v>-9.1266544369999991</v>
      </c>
      <c r="CP562">
        <f>-16.14433295</f>
        <v>-16.144332949999999</v>
      </c>
      <c r="CQ562">
        <f>-18.14205623</f>
        <v>-18.142056230000001</v>
      </c>
      <c r="CR562">
        <f>-3.567894838</f>
        <v>-3.567894838</v>
      </c>
      <c r="CS562">
        <f>-1.503867889</f>
        <v>-1.5038678889999999</v>
      </c>
      <c r="CT562">
        <f>7.357711335</f>
        <v>7.3577113350000003</v>
      </c>
      <c r="CU562">
        <f>8.231676538</f>
        <v>8.2316765380000003</v>
      </c>
      <c r="CV562">
        <f>12.60199283</f>
        <v>12.60199283</v>
      </c>
      <c r="CW562">
        <f>12.65004269</f>
        <v>12.650042689999999</v>
      </c>
      <c r="CX562">
        <f>0.620672421</f>
        <v>0.62067242099999997</v>
      </c>
      <c r="CY562">
        <f>-27.98660544</f>
        <v>-27.986605440000002</v>
      </c>
      <c r="CZ562">
        <f>-41.79441587</f>
        <v>-41.794415870000002</v>
      </c>
      <c r="DA562">
        <f>-26.50646657</f>
        <v>-26.506466570000001</v>
      </c>
      <c r="DB562">
        <f>-14.68740972</f>
        <v>-14.68740972</v>
      </c>
      <c r="DC562">
        <f>42.48812659</f>
        <v>42.48812659</v>
      </c>
      <c r="DD562">
        <f>25.43237296</f>
        <v>25.432372959999999</v>
      </c>
      <c r="DE562">
        <f>20.37973105</f>
        <v>20.37973105</v>
      </c>
      <c r="DF562">
        <f>32.61498879</f>
        <v>32.614988789999998</v>
      </c>
      <c r="DG562">
        <f>20.33287086</f>
        <v>20.33287086</v>
      </c>
      <c r="DH562">
        <f>19.80899583</f>
        <v>19.808995830000001</v>
      </c>
      <c r="DI562">
        <f>16.31796057</f>
        <v>16.31796057</v>
      </c>
      <c r="DJ562">
        <f>17.32636693</f>
        <v>17.326366929999999</v>
      </c>
      <c r="DK562">
        <f>12.98428895</f>
        <v>12.98428895</v>
      </c>
      <c r="DL562">
        <f>14.67072444</f>
        <v>14.670724440000001</v>
      </c>
      <c r="DM562">
        <f>13.52869065</f>
        <v>13.52869065</v>
      </c>
      <c r="DN562">
        <f>13.22997034</f>
        <v>13.229970339999999</v>
      </c>
      <c r="DO562">
        <f>15.0029919</f>
        <v>15.0029919</v>
      </c>
      <c r="DP562">
        <f>14.41577618</f>
        <v>14.41577618</v>
      </c>
      <c r="DQ562">
        <f>16.90707426</f>
        <v>16.907074260000002</v>
      </c>
      <c r="DR562">
        <f>18.63305017</f>
        <v>18.633050170000001</v>
      </c>
      <c r="DS562" t="str">
        <f>""</f>
        <v/>
      </c>
      <c r="DT562" t="str">
        <f>""</f>
        <v/>
      </c>
      <c r="DU562" t="str">
        <f>""</f>
        <v/>
      </c>
    </row>
    <row r="563" spans="1:125" x14ac:dyDescent="0.25">
      <c r="A563" t="str">
        <f>"    Mitsubishi Motors Corp"</f>
        <v xml:space="preserve">    Mitsubishi Motors Corp</v>
      </c>
      <c r="B563" t="str">
        <f>"7211 JP Equity"</f>
        <v>7211 JP Equity</v>
      </c>
      <c r="C563" t="str">
        <f t="shared" si="39"/>
        <v>RX076</v>
      </c>
      <c r="D563" t="str">
        <f t="shared" si="40"/>
        <v>EBIT_YIELD</v>
      </c>
      <c r="E563" t="str">
        <f t="shared" si="41"/>
        <v>Dynamic</v>
      </c>
      <c r="F563">
        <f ca="1">IF(AND(ISNUMBER($F$1222),$B$677=1),$F$1222,HLOOKUP(INDIRECT(ADDRESS(2,COLUMN())),OFFSET($BN$2,0,0,ROW()-1,60),ROW()-1,FALSE))</f>
        <v>12.79222566</v>
      </c>
      <c r="G563">
        <f ca="1">IF(AND(ISNUMBER($G$1222),$B$677=1),$G$1222,HLOOKUP(INDIRECT(ADDRESS(2,COLUMN())),OFFSET($BN$2,0,0,ROW()-1,60),ROW()-1,FALSE))</f>
        <v>13.238466089999999</v>
      </c>
      <c r="H563">
        <f ca="1">IF(AND(ISNUMBER($H$1222),$B$677=1),$H$1222,HLOOKUP(INDIRECT(ADDRESS(2,COLUMN())),OFFSET($BN$2,0,0,ROW()-1,60),ROW()-1,FALSE))</f>
        <v>9.2795357099999993</v>
      </c>
      <c r="I563">
        <f ca="1">IF(AND(ISNUMBER($I$1222),$B$677=1),$I$1222,HLOOKUP(INDIRECT(ADDRESS(2,COLUMN())),OFFSET($BN$2,0,0,ROW()-1,60),ROW()-1,FALSE))</f>
        <v>8.0334669240000007</v>
      </c>
      <c r="J563">
        <f ca="1">IF(AND(ISNUMBER($J$1222),$B$677=1),$J$1222,HLOOKUP(INDIRECT(ADDRESS(2,COLUMN())),OFFSET($BN$2,0,0,ROW()-1,60),ROW()-1,FALSE))</f>
        <v>8.6601915320000007</v>
      </c>
      <c r="K563">
        <f ca="1">IF(AND(ISNUMBER($K$1222),$B$677=1),$K$1222,HLOOKUP(INDIRECT(ADDRESS(2,COLUMN())),OFFSET($BN$2,0,0,ROW()-1,60),ROW()-1,FALSE))</f>
        <v>7.6677900509999999</v>
      </c>
      <c r="L563">
        <f ca="1">IF(AND(ISNUMBER($L$1222),$B$677=1),$L$1222,HLOOKUP(INDIRECT(ADDRESS(2,COLUMN())),OFFSET($BN$2,0,0,ROW()-1,60),ROW()-1,FALSE))</f>
        <v>6.1591163250000003</v>
      </c>
      <c r="M563">
        <f ca="1">IF(AND(ISNUMBER($M$1222),$B$677=1),$M$1222,HLOOKUP(INDIRECT(ADDRESS(2,COLUMN())),OFFSET($BN$2,0,0,ROW()-1,60),ROW()-1,FALSE))</f>
        <v>0.287322507</v>
      </c>
      <c r="N563">
        <f ca="1">IF(AND(ISNUMBER($N$1222),$B$677=1),$N$1222,HLOOKUP(INDIRECT(ADDRESS(2,COLUMN())),OFFSET($BN$2,0,0,ROW()-1,60),ROW()-1,FALSE))</f>
        <v>-1.0485392870000001</v>
      </c>
      <c r="O563">
        <f ca="1">IF(AND(ISNUMBER($O$1222),$B$677=1),$O$1222,HLOOKUP(INDIRECT(ADDRESS(2,COLUMN())),OFFSET($BN$2,0,0,ROW()-1,60),ROW()-1,FALSE))</f>
        <v>1.6332943820000001</v>
      </c>
      <c r="P563">
        <f ca="1">IF(AND(ISNUMBER($P$1222),$B$677=1),$P$1222,HLOOKUP(INDIRECT(ADDRESS(2,COLUMN())),OFFSET($BN$2,0,0,ROW()-1,60),ROW()-1,FALSE))</f>
        <v>10.47757021</v>
      </c>
      <c r="Q563">
        <f ca="1">IF(AND(ISNUMBER($Q$1222),$B$677=1),$Q$1222,HLOOKUP(INDIRECT(ADDRESS(2,COLUMN())),OFFSET($BN$2,0,0,ROW()-1,60),ROW()-1,FALSE))</f>
        <v>26.963176929999999</v>
      </c>
      <c r="R563">
        <f ca="1">IF(AND(ISNUMBER($R$1222),$B$677=1),$R$1222,HLOOKUP(INDIRECT(ADDRESS(2,COLUMN())),OFFSET($BN$2,0,0,ROW()-1,60),ROW()-1,FALSE))</f>
        <v>16.691254409999999</v>
      </c>
      <c r="S563">
        <f ca="1">IF(AND(ISNUMBER($S$1222),$B$677=1),$S$1222,HLOOKUP(INDIRECT(ADDRESS(2,COLUMN())),OFFSET($BN$2,0,0,ROW()-1,60),ROW()-1,FALSE))</f>
        <v>13.540258250000001</v>
      </c>
      <c r="T563">
        <f ca="1">IF(AND(ISNUMBER($T$1222),$B$677=1),$T$1222,HLOOKUP(INDIRECT(ADDRESS(2,COLUMN())),OFFSET($BN$2,0,0,ROW()-1,60),ROW()-1,FALSE))</f>
        <v>14.681623399999999</v>
      </c>
      <c r="U563">
        <f ca="1">IF(AND(ISNUMBER($U$1222),$B$677=1),$U$1222,HLOOKUP(INDIRECT(ADDRESS(2,COLUMN())),OFFSET($BN$2,0,0,ROW()-1,60),ROW()-1,FALSE))</f>
        <v>12.06066511</v>
      </c>
      <c r="V563">
        <f ca="1">IF(AND(ISNUMBER($V$1222),$B$677=1),$V$1222,HLOOKUP(INDIRECT(ADDRESS(2,COLUMN())),OFFSET($BN$2,0,0,ROW()-1,60),ROW()-1,FALSE))</f>
        <v>12.737476389999999</v>
      </c>
      <c r="W563">
        <f ca="1">IF(AND(ISNUMBER($W$1222),$B$677=1),$W$1222,HLOOKUP(INDIRECT(ADDRESS(2,COLUMN())),OFFSET($BN$2,0,0,ROW()-1,60),ROW()-1,FALSE))</f>
        <v>12.24094992</v>
      </c>
      <c r="X563">
        <f ca="1">IF(AND(ISNUMBER($X$1222),$B$677=1),$X$1222,HLOOKUP(INDIRECT(ADDRESS(2,COLUMN())),OFFSET($BN$2,0,0,ROW()-1,60),ROW()-1,FALSE))</f>
        <v>12.78565311</v>
      </c>
      <c r="Y563">
        <f ca="1">IF(AND(ISNUMBER($Y$1222),$B$677=1),$Y$1222,HLOOKUP(INDIRECT(ADDRESS(2,COLUMN())),OFFSET($BN$2,0,0,ROW()-1,60),ROW()-1,FALSE))</f>
        <v>17.387529579999999</v>
      </c>
      <c r="Z563">
        <f ca="1">IF(AND(ISNUMBER($Z$1222),$B$677=1),$Z$1222,HLOOKUP(INDIRECT(ADDRESS(2,COLUMN())),OFFSET($BN$2,0,0,ROW()-1,60),ROW()-1,FALSE))</f>
        <v>17.491904259999998</v>
      </c>
      <c r="AA563">
        <f ca="1">IF(AND(ISNUMBER($AA$1222),$B$677=1),$AA$1222,HLOOKUP(INDIRECT(ADDRESS(2,COLUMN())),OFFSET($BN$2,0,0,ROW()-1,60),ROW()-1,FALSE))</f>
        <v>17.662637270000001</v>
      </c>
      <c r="AB563">
        <f ca="1">IF(AND(ISNUMBER($AB$1222),$B$677=1),$AB$1222,HLOOKUP(INDIRECT(ADDRESS(2,COLUMN())),OFFSET($BN$2,0,0,ROW()-1,60),ROW()-1,FALSE))</f>
        <v>13.24720814</v>
      </c>
      <c r="AC563">
        <f ca="1">IF(AND(ISNUMBER($AC$1222),$B$677=1),$AC$1222,HLOOKUP(INDIRECT(ADDRESS(2,COLUMN())),OFFSET($BN$2,0,0,ROW()-1,60),ROW()-1,FALSE))</f>
        <v>8.5013192679999996</v>
      </c>
      <c r="AD563">
        <f ca="1">IF(AND(ISNUMBER($AD$1222),$B$677=1),$AD$1222,HLOOKUP(INDIRECT(ADDRESS(2,COLUMN())),OFFSET($BN$2,0,0,ROW()-1,60),ROW()-1,FALSE))</f>
        <v>11.897147990000001</v>
      </c>
      <c r="AE563">
        <f ca="1">IF(AND(ISNUMBER($AE$1222),$B$677=1),$AE$1222,HLOOKUP(INDIRECT(ADDRESS(2,COLUMN())),OFFSET($BN$2,0,0,ROW()-1,60),ROW()-1,FALSE))</f>
        <v>13.27253494</v>
      </c>
      <c r="AF563">
        <f ca="1">IF(AND(ISNUMBER($AF$1222),$B$677=1),$AF$1222,HLOOKUP(INDIRECT(ADDRESS(2,COLUMN())),OFFSET($BN$2,0,0,ROW()-1,60),ROW()-1,FALSE))</f>
        <v>15.08769023</v>
      </c>
      <c r="AG563">
        <f ca="1">IF(AND(ISNUMBER($AG$1222),$B$677=1),$AG$1222,HLOOKUP(INDIRECT(ADDRESS(2,COLUMN())),OFFSET($BN$2,0,0,ROW()-1,60),ROW()-1,FALSE))</f>
        <v>14.98249816</v>
      </c>
      <c r="AH563">
        <f ca="1">IF(AND(ISNUMBER($AH$1222),$B$677=1),$AH$1222,HLOOKUP(INDIRECT(ADDRESS(2,COLUMN())),OFFSET($BN$2,0,0,ROW()-1,60),ROW()-1,FALSE))</f>
        <v>12.231849520000001</v>
      </c>
      <c r="AI563">
        <f ca="1">IF(AND(ISNUMBER($AI$1222),$B$677=1),$AI$1222,HLOOKUP(INDIRECT(ADDRESS(2,COLUMN())),OFFSET($BN$2,0,0,ROW()-1,60),ROW()-1,FALSE))</f>
        <v>13.05874758</v>
      </c>
      <c r="AJ563">
        <f ca="1">IF(AND(ISNUMBER($AJ$1222),$B$677=1),$AJ$1222,HLOOKUP(INDIRECT(ADDRESS(2,COLUMN())),OFFSET($BN$2,0,0,ROW()-1,60),ROW()-1,FALSE))</f>
        <v>11.85220647</v>
      </c>
      <c r="AK563">
        <f ca="1">IF(AND(ISNUMBER($AK$1222),$B$677=1),$AK$1222,HLOOKUP(INDIRECT(ADDRESS(2,COLUMN())),OFFSET($BN$2,0,0,ROW()-1,60),ROW()-1,FALSE))</f>
        <v>10.373294270000001</v>
      </c>
      <c r="AL563">
        <f ca="1">IF(AND(ISNUMBER($AL$1222),$B$677=1),$AL$1222,HLOOKUP(INDIRECT(ADDRESS(2,COLUMN())),OFFSET($BN$2,0,0,ROW()-1,60),ROW()-1,FALSE))</f>
        <v>7.0050689049999999</v>
      </c>
      <c r="AM563">
        <f ca="1">IF(AND(ISNUMBER($AM$1222),$B$677=1),$AM$1222,HLOOKUP(INDIRECT(ADDRESS(2,COLUMN())),OFFSET($BN$2,0,0,ROW()-1,60),ROW()-1,FALSE))</f>
        <v>7.0419611809999996</v>
      </c>
      <c r="AN563">
        <f ca="1">IF(AND(ISNUMBER($AN$1222),$B$677=1),$AN$1222,HLOOKUP(INDIRECT(ADDRESS(2,COLUMN())),OFFSET($BN$2,0,0,ROW()-1,60),ROW()-1,FALSE))</f>
        <v>8.7148070020000006</v>
      </c>
      <c r="AO563">
        <f ca="1">IF(AND(ISNUMBER($AO$1222),$B$677=1),$AO$1222,HLOOKUP(INDIRECT(ADDRESS(2,COLUMN())),OFFSET($BN$2,0,0,ROW()-1,60),ROW()-1,FALSE))</f>
        <v>6.1523280229999999</v>
      </c>
      <c r="AP563">
        <f ca="1">IF(AND(ISNUMBER($AP$1222),$B$677=1),$AP$1222,HLOOKUP(INDIRECT(ADDRESS(2,COLUMN())),OFFSET($BN$2,0,0,ROW()-1,60),ROW()-1,FALSE))</f>
        <v>1.9026769990000001</v>
      </c>
      <c r="AQ563">
        <f ca="1">IF(AND(ISNUMBER($AQ$1222),$B$677=1),$AQ$1222,HLOOKUP(INDIRECT(ADDRESS(2,COLUMN())),OFFSET($BN$2,0,0,ROW()-1,60),ROW()-1,FALSE))</f>
        <v>-5.1317745160000001</v>
      </c>
      <c r="AR563">
        <f ca="1">IF(AND(ISNUMBER($AR$1222),$B$677=1),$AR$1222,HLOOKUP(INDIRECT(ADDRESS(2,COLUMN())),OFFSET($BN$2,0,0,ROW()-1,60),ROW()-1,FALSE))</f>
        <v>-6.6465568770000001</v>
      </c>
      <c r="AS563">
        <f ca="1">IF(AND(ISNUMBER($AS$1222),$B$677=1),$AS$1222,HLOOKUP(INDIRECT(ADDRESS(2,COLUMN())),OFFSET($BN$2,0,0,ROW()-1,60),ROW()-1,FALSE))</f>
        <v>-3.567635256</v>
      </c>
      <c r="AT563">
        <f ca="1">IF(AND(ISNUMBER($AT$1222),$B$677=1),$AT$1222,HLOOKUP(INDIRECT(ADDRESS(2,COLUMN())),OFFSET($BN$2,0,0,ROW()-1,60),ROW()-1,FALSE))</f>
        <v>0.53580623999999999</v>
      </c>
      <c r="AU563">
        <f ca="1">IF(AND(ISNUMBER($AU$1222),$B$677=1),$AU$1222,HLOOKUP(INDIRECT(ADDRESS(2,COLUMN())),OFFSET($BN$2,0,0,ROW()-1,60),ROW()-1,FALSE))</f>
        <v>11.294329039999999</v>
      </c>
      <c r="AV563">
        <f ca="1">IF(AND(ISNUMBER($AV$1222),$B$677=1),$AV$1222,HLOOKUP(INDIRECT(ADDRESS(2,COLUMN())),OFFSET($BN$2,0,0,ROW()-1,60),ROW()-1,FALSE))</f>
        <v>11.93718741</v>
      </c>
      <c r="AW563">
        <f ca="1">IF(AND(ISNUMBER($AW$1222),$B$677=1),$AW$1222,HLOOKUP(INDIRECT(ADDRESS(2,COLUMN())),OFFSET($BN$2,0,0,ROW()-1,60),ROW()-1,FALSE))</f>
        <v>10.54253258</v>
      </c>
      <c r="AX563">
        <f ca="1">IF(AND(ISNUMBER($AX$1222),$B$677=1),$AX$1222,HLOOKUP(INDIRECT(ADDRESS(2,COLUMN())),OFFSET($BN$2,0,0,ROW()-1,60),ROW()-1,FALSE))</f>
        <v>11.988536910000001</v>
      </c>
      <c r="AY563">
        <f ca="1">IF(AND(ISNUMBER($AY$1222),$B$677=1),$AY$1222,HLOOKUP(INDIRECT(ADDRESS(2,COLUMN())),OFFSET($BN$2,0,0,ROW()-1,60),ROW()-1,FALSE))</f>
        <v>8.2690651820000003</v>
      </c>
      <c r="AZ563">
        <f ca="1">IF(AND(ISNUMBER($AZ$1222),$B$677=1),$AZ$1222,HLOOKUP(INDIRECT(ADDRESS(2,COLUMN())),OFFSET($BN$2,0,0,ROW()-1,60),ROW()-1,FALSE))</f>
        <v>6.7289439809999996</v>
      </c>
      <c r="BA563">
        <f ca="1">IF(AND(ISNUMBER($BA$1222),$B$677=1),$BA$1222,HLOOKUP(INDIRECT(ADDRESS(2,COLUMN())),OFFSET($BN$2,0,0,ROW()-1,60),ROW()-1,FALSE))</f>
        <v>5.17100969</v>
      </c>
      <c r="BB563">
        <f ca="1">IF(AND(ISNUMBER($BB$1222),$B$677=1),$BB$1222,HLOOKUP(INDIRECT(ADDRESS(2,COLUMN())),OFFSET($BN$2,0,0,ROW()-1,60),ROW()-1,FALSE))</f>
        <v>3.9894698549999998</v>
      </c>
      <c r="BC563">
        <f ca="1">IF(AND(ISNUMBER($BC$1222),$B$677=1),$BC$1222,HLOOKUP(INDIRECT(ADDRESS(2,COLUMN())),OFFSET($BN$2,0,0,ROW()-1,60),ROW()-1,FALSE))</f>
        <v>2.919962205</v>
      </c>
      <c r="BD563">
        <f ca="1">IF(AND(ISNUMBER($BD$1222),$B$677=1),$BD$1222,HLOOKUP(INDIRECT(ADDRESS(2,COLUMN())),OFFSET($BN$2,0,0,ROW()-1,60),ROW()-1,FALSE))</f>
        <v>2.0109475809999999</v>
      </c>
      <c r="BE563">
        <f ca="1">IF(AND(ISNUMBER($BE$1222),$B$677=1),$BE$1222,HLOOKUP(INDIRECT(ADDRESS(2,COLUMN())),OFFSET($BN$2,0,0,ROW()-1,60),ROW()-1,FALSE))</f>
        <v>1.091128138</v>
      </c>
      <c r="BF563">
        <f ca="1">IF(AND(ISNUMBER($BF$1222),$B$677=1),$BF$1222,HLOOKUP(INDIRECT(ADDRESS(2,COLUMN())),OFFSET($BN$2,0,0,ROW()-1,60),ROW()-1,FALSE))</f>
        <v>0.12896211699999999</v>
      </c>
      <c r="BG563">
        <f ca="1">IF(AND(ISNUMBER($BG$1222),$B$677=1),$BG$1222,HLOOKUP(INDIRECT(ADDRESS(2,COLUMN())),OFFSET($BN$2,0,0,ROW()-1,60),ROW()-1,FALSE))</f>
        <v>-5.3286215370000001</v>
      </c>
      <c r="BH563">
        <f ca="1">IF(AND(ISNUMBER($BH$1222),$B$677=1),$BH$1222,HLOOKUP(INDIRECT(ADDRESS(2,COLUMN())),OFFSET($BN$2,0,0,ROW()-1,60),ROW()-1,FALSE))</f>
        <v>-9.3893986229999999</v>
      </c>
      <c r="BI563">
        <f ca="1">IF(AND(ISNUMBER($BI$1222),$B$677=1),$BI$1222,HLOOKUP(INDIRECT(ADDRESS(2,COLUMN())),OFFSET($BN$2,0,0,ROW()-1,60),ROW()-1,FALSE))</f>
        <v>-28.792576530000002</v>
      </c>
      <c r="BJ563">
        <f ca="1">IF(AND(ISNUMBER($BJ$1222),$B$677=1),$BJ$1222,HLOOKUP(INDIRECT(ADDRESS(2,COLUMN())),OFFSET($BN$2,0,0,ROW()-1,60),ROW()-1,FALSE))</f>
        <v>-41.459874290000002</v>
      </c>
      <c r="BK563">
        <f ca="1">IF(AND(ISNUMBER($BK$1222),$B$677=1),$BK$1222,HLOOKUP(INDIRECT(ADDRESS(2,COLUMN())),OFFSET($BN$2,0,0,ROW()-1,60),ROW()-1,FALSE))</f>
        <v>-48.45169885</v>
      </c>
      <c r="BL563">
        <f ca="1">IF(AND(ISNUMBER($BL$1222),$B$677=1),$BL$1222,HLOOKUP(INDIRECT(ADDRESS(2,COLUMN())),OFFSET($BN$2,0,0,ROW()-1,60),ROW()-1,FALSE))</f>
        <v>-47.887478549999997</v>
      </c>
      <c r="BM563">
        <f ca="1">IF(AND(ISNUMBER($BM$1222),$B$677=1),$BM$1222,HLOOKUP(INDIRECT(ADDRESS(2,COLUMN())),OFFSET($BN$2,0,0,ROW()-1,60),ROW()-1,FALSE))</f>
        <v>-32.693819380000001</v>
      </c>
      <c r="BN563">
        <f>12.79222566</f>
        <v>12.79222566</v>
      </c>
      <c r="BO563">
        <f>13.23846609</f>
        <v>13.238466089999999</v>
      </c>
      <c r="BP563">
        <f>9.27953571</f>
        <v>9.2795357099999993</v>
      </c>
      <c r="BQ563">
        <f>8.033466924</f>
        <v>8.0334669240000007</v>
      </c>
      <c r="BR563">
        <f>8.660191532</f>
        <v>8.6601915320000007</v>
      </c>
      <c r="BS563">
        <f>7.667790051</f>
        <v>7.6677900509999999</v>
      </c>
      <c r="BT563">
        <f>6.159116325</f>
        <v>6.1591163250000003</v>
      </c>
      <c r="BU563">
        <f>0.287322507</f>
        <v>0.287322507</v>
      </c>
      <c r="BV563">
        <f>-1.048539287</f>
        <v>-1.0485392870000001</v>
      </c>
      <c r="BW563">
        <f>1.633294382</f>
        <v>1.6332943820000001</v>
      </c>
      <c r="BX563">
        <f>10.47757021</f>
        <v>10.47757021</v>
      </c>
      <c r="BY563">
        <f>26.96317693</f>
        <v>26.963176929999999</v>
      </c>
      <c r="BZ563">
        <f>16.69125441</f>
        <v>16.691254409999999</v>
      </c>
      <c r="CA563">
        <f>13.54025825</f>
        <v>13.540258250000001</v>
      </c>
      <c r="CB563">
        <f>14.6816234</f>
        <v>14.681623399999999</v>
      </c>
      <c r="CC563">
        <f>12.06066511</f>
        <v>12.06066511</v>
      </c>
      <c r="CD563">
        <f>12.73747639</f>
        <v>12.737476389999999</v>
      </c>
      <c r="CE563">
        <f>12.24094992</f>
        <v>12.24094992</v>
      </c>
      <c r="CF563">
        <f>12.78565311</f>
        <v>12.78565311</v>
      </c>
      <c r="CG563">
        <f>17.38752958</f>
        <v>17.387529579999999</v>
      </c>
      <c r="CH563">
        <f>17.49190426</f>
        <v>17.491904259999998</v>
      </c>
      <c r="CI563">
        <f>17.66263727</f>
        <v>17.662637270000001</v>
      </c>
      <c r="CJ563">
        <f>13.24720814</f>
        <v>13.24720814</v>
      </c>
      <c r="CK563">
        <f>8.501319268</f>
        <v>8.5013192679999996</v>
      </c>
      <c r="CL563">
        <f>11.89714799</f>
        <v>11.897147990000001</v>
      </c>
      <c r="CM563">
        <f>13.27253494</f>
        <v>13.27253494</v>
      </c>
      <c r="CN563">
        <f>15.08769023</f>
        <v>15.08769023</v>
      </c>
      <c r="CO563">
        <f>14.98249816</f>
        <v>14.98249816</v>
      </c>
      <c r="CP563">
        <f>12.23184952</f>
        <v>12.231849520000001</v>
      </c>
      <c r="CQ563">
        <f>13.05874758</f>
        <v>13.05874758</v>
      </c>
      <c r="CR563">
        <f>11.85220647</f>
        <v>11.85220647</v>
      </c>
      <c r="CS563">
        <f>10.37329427</f>
        <v>10.373294270000001</v>
      </c>
      <c r="CT563">
        <f>7.005068905</f>
        <v>7.0050689049999999</v>
      </c>
      <c r="CU563">
        <f>7.041961181</f>
        <v>7.0419611809999996</v>
      </c>
      <c r="CV563">
        <f>8.714807002</f>
        <v>8.7148070020000006</v>
      </c>
      <c r="CW563">
        <f>6.152328023</f>
        <v>6.1523280229999999</v>
      </c>
      <c r="CX563">
        <f>1.902676999</f>
        <v>1.9026769990000001</v>
      </c>
      <c r="CY563">
        <f>-5.131774516</f>
        <v>-5.1317745160000001</v>
      </c>
      <c r="CZ563">
        <f>-6.646556877</f>
        <v>-6.6465568770000001</v>
      </c>
      <c r="DA563">
        <f>-3.567635256</f>
        <v>-3.567635256</v>
      </c>
      <c r="DB563">
        <f>0.53580624</f>
        <v>0.53580623999999999</v>
      </c>
      <c r="DC563">
        <f>11.29432904</f>
        <v>11.294329039999999</v>
      </c>
      <c r="DD563">
        <f>11.93718741</f>
        <v>11.93718741</v>
      </c>
      <c r="DE563">
        <f>10.54253258</f>
        <v>10.54253258</v>
      </c>
      <c r="DF563">
        <f>11.98853691</f>
        <v>11.988536910000001</v>
      </c>
      <c r="DG563">
        <f>8.269065182</f>
        <v>8.2690651820000003</v>
      </c>
      <c r="DH563">
        <f>6.728943981</f>
        <v>6.7289439809999996</v>
      </c>
      <c r="DI563">
        <f>5.17100969</f>
        <v>5.17100969</v>
      </c>
      <c r="DJ563">
        <f>3.989469855</f>
        <v>3.9894698549999998</v>
      </c>
      <c r="DK563">
        <f>2.919962205</f>
        <v>2.919962205</v>
      </c>
      <c r="DL563">
        <f>2.010947581</f>
        <v>2.0109475809999999</v>
      </c>
      <c r="DM563">
        <f>1.091128138</f>
        <v>1.091128138</v>
      </c>
      <c r="DN563">
        <f>0.128962117</f>
        <v>0.12896211699999999</v>
      </c>
      <c r="DO563">
        <f>-5.328621537</f>
        <v>-5.3286215370000001</v>
      </c>
      <c r="DP563">
        <f>-9.389398623</f>
        <v>-9.3893986229999999</v>
      </c>
      <c r="DQ563">
        <f>-28.79257653</f>
        <v>-28.792576530000002</v>
      </c>
      <c r="DR563">
        <f>-41.45987429</f>
        <v>-41.459874290000002</v>
      </c>
      <c r="DS563">
        <f>-48.45169885</f>
        <v>-48.45169885</v>
      </c>
      <c r="DT563">
        <f>-47.88747855</f>
        <v>-47.887478549999997</v>
      </c>
      <c r="DU563">
        <f>-32.69381938</f>
        <v>-32.693819380000001</v>
      </c>
    </row>
    <row r="564" spans="1:125" x14ac:dyDescent="0.25">
      <c r="A564" t="str">
        <f>"    Nissan Motor Co Ltd"</f>
        <v xml:space="preserve">    Nissan Motor Co Ltd</v>
      </c>
      <c r="B564" t="str">
        <f>"7201 JP Equity"</f>
        <v>7201 JP Equity</v>
      </c>
      <c r="C564" t="str">
        <f t="shared" si="39"/>
        <v>RX076</v>
      </c>
      <c r="D564" t="str">
        <f t="shared" si="40"/>
        <v>EBIT_YIELD</v>
      </c>
      <c r="E564" t="str">
        <f t="shared" si="41"/>
        <v>Dynamic</v>
      </c>
      <c r="F564">
        <f ca="1">IF(AND(ISNUMBER($F$1223),$B$677=1),$F$1223,HLOOKUP(INDIRECT(ADDRESS(2,COLUMN())),OFFSET($BN$2,0,0,ROW()-1,60),ROW()-1,FALSE))</f>
        <v>14.14431358</v>
      </c>
      <c r="G564">
        <f ca="1">IF(AND(ISNUMBER($G$1223),$B$677=1),$G$1223,HLOOKUP(INDIRECT(ADDRESS(2,COLUMN())),OFFSET($BN$2,0,0,ROW()-1,60),ROW()-1,FALSE))</f>
        <v>15.225663470000001</v>
      </c>
      <c r="H564">
        <f ca="1">IF(AND(ISNUMBER($H$1223),$B$677=1),$H$1223,HLOOKUP(INDIRECT(ADDRESS(2,COLUMN())),OFFSET($BN$2,0,0,ROW()-1,60),ROW()-1,FALSE))</f>
        <v>12.10028692</v>
      </c>
      <c r="I564">
        <f ca="1">IF(AND(ISNUMBER($I$1223),$B$677=1),$I$1223,HLOOKUP(INDIRECT(ADDRESS(2,COLUMN())),OFFSET($BN$2,0,0,ROW()-1,60),ROW()-1,FALSE))</f>
        <v>12.58546011</v>
      </c>
      <c r="J564">
        <f ca="1">IF(AND(ISNUMBER($J$1223),$B$677=1),$J$1223,HLOOKUP(INDIRECT(ADDRESS(2,COLUMN())),OFFSET($BN$2,0,0,ROW()-1,60),ROW()-1,FALSE))</f>
        <v>13.311333429999999</v>
      </c>
      <c r="K564">
        <f ca="1">IF(AND(ISNUMBER($K$1223),$B$677=1),$K$1223,HLOOKUP(INDIRECT(ADDRESS(2,COLUMN())),OFFSET($BN$2,0,0,ROW()-1,60),ROW()-1,FALSE))</f>
        <v>13.71440014</v>
      </c>
      <c r="L564">
        <f ca="1">IF(AND(ISNUMBER($L$1223),$B$677=1),$L$1223,HLOOKUP(INDIRECT(ADDRESS(2,COLUMN())),OFFSET($BN$2,0,0,ROW()-1,60),ROW()-1,FALSE))</f>
        <v>15.664079490000001</v>
      </c>
      <c r="M564">
        <f ca="1">IF(AND(ISNUMBER($M$1223),$B$677=1),$M$1223,HLOOKUP(INDIRECT(ADDRESS(2,COLUMN())),OFFSET($BN$2,0,0,ROW()-1,60),ROW()-1,FALSE))</f>
        <v>16.321661819999999</v>
      </c>
      <c r="N564">
        <f ca="1">IF(AND(ISNUMBER($N$1223),$B$677=1),$N$1223,HLOOKUP(INDIRECT(ADDRESS(2,COLUMN())),OFFSET($BN$2,0,0,ROW()-1,60),ROW()-1,FALSE))</f>
        <v>17.324736470000001</v>
      </c>
      <c r="O564">
        <f ca="1">IF(AND(ISNUMBER($O$1223),$B$677=1),$O$1223,HLOOKUP(INDIRECT(ADDRESS(2,COLUMN())),OFFSET($BN$2,0,0,ROW()-1,60),ROW()-1,FALSE))</f>
        <v>14.81749829</v>
      </c>
      <c r="P564">
        <f ca="1">IF(AND(ISNUMBER($P$1223),$B$677=1),$P$1223,HLOOKUP(INDIRECT(ADDRESS(2,COLUMN())),OFFSET($BN$2,0,0,ROW()-1,60),ROW()-1,FALSE))</f>
        <v>18.168791590000001</v>
      </c>
      <c r="Q564">
        <f ca="1">IF(AND(ISNUMBER($Q$1223),$B$677=1),$Q$1223,HLOOKUP(INDIRECT(ADDRESS(2,COLUMN())),OFFSET($BN$2,0,0,ROW()-1,60),ROW()-1,FALSE))</f>
        <v>20.241880259999999</v>
      </c>
      <c r="R564">
        <f ca="1">IF(AND(ISNUMBER($R$1223),$B$677=1),$R$1223,HLOOKUP(INDIRECT(ADDRESS(2,COLUMN())),OFFSET($BN$2,0,0,ROW()-1,60),ROW()-1,FALSE))</f>
        <v>18.175791050000001</v>
      </c>
      <c r="S564">
        <f ca="1">IF(AND(ISNUMBER($S$1223),$B$677=1),$S$1223,HLOOKUP(INDIRECT(ADDRESS(2,COLUMN())),OFFSET($BN$2,0,0,ROW()-1,60),ROW()-1,FALSE))</f>
        <v>14.152213290000001</v>
      </c>
      <c r="T564">
        <f ca="1">IF(AND(ISNUMBER($T$1223),$B$677=1),$T$1223,HLOOKUP(INDIRECT(ADDRESS(2,COLUMN())),OFFSET($BN$2,0,0,ROW()-1,60),ROW()-1,FALSE))</f>
        <v>15.754370249999999</v>
      </c>
      <c r="U564">
        <f ca="1">IF(AND(ISNUMBER($U$1223),$B$677=1),$U$1223,HLOOKUP(INDIRECT(ADDRESS(2,COLUMN())),OFFSET($BN$2,0,0,ROW()-1,60),ROW()-1,FALSE))</f>
        <v>12.35899094</v>
      </c>
      <c r="V564">
        <f ca="1">IF(AND(ISNUMBER($V$1223),$B$677=1),$V$1223,HLOOKUP(INDIRECT(ADDRESS(2,COLUMN())),OFFSET($BN$2,0,0,ROW()-1,60),ROW()-1,FALSE))</f>
        <v>11.48911472</v>
      </c>
      <c r="W564">
        <f ca="1">IF(AND(ISNUMBER($W$1223),$B$677=1),$W$1223,HLOOKUP(INDIRECT(ADDRESS(2,COLUMN())),OFFSET($BN$2,0,0,ROW()-1,60),ROW()-1,FALSE))</f>
        <v>13.89406211</v>
      </c>
      <c r="X564">
        <f ca="1">IF(AND(ISNUMBER($X$1223),$B$677=1),$X$1223,HLOOKUP(INDIRECT(ADDRESS(2,COLUMN())),OFFSET($BN$2,0,0,ROW()-1,60),ROW()-1,FALSE))</f>
        <v>12.0152298</v>
      </c>
      <c r="Y564">
        <f ca="1">IF(AND(ISNUMBER($Y$1223),$B$677=1),$Y$1223,HLOOKUP(INDIRECT(ADDRESS(2,COLUMN())),OFFSET($BN$2,0,0,ROW()-1,60),ROW()-1,FALSE))</f>
        <v>12.732710490000001</v>
      </c>
      <c r="Z564">
        <f ca="1">IF(AND(ISNUMBER($Z$1223),$B$677=1),$Z$1223,HLOOKUP(INDIRECT(ADDRESS(2,COLUMN())),OFFSET($BN$2,0,0,ROW()-1,60),ROW()-1,FALSE))</f>
        <v>12.924020820000001</v>
      </c>
      <c r="AA564">
        <f ca="1">IF(AND(ISNUMBER($AA$1223),$B$677=1),$AA$1223,HLOOKUP(INDIRECT(ADDRESS(2,COLUMN())),OFFSET($BN$2,0,0,ROW()-1,60),ROW()-1,FALSE))</f>
        <v>12.550199750000001</v>
      </c>
      <c r="AB564">
        <f ca="1">IF(AND(ISNUMBER($AB$1223),$B$677=1),$AB$1223,HLOOKUP(INDIRECT(ADDRESS(2,COLUMN())),OFFSET($BN$2,0,0,ROW()-1,60),ROW()-1,FALSE))</f>
        <v>10.49785612</v>
      </c>
      <c r="AC564">
        <f ca="1">IF(AND(ISNUMBER($AC$1223),$B$677=1),$AC$1223,HLOOKUP(INDIRECT(ADDRESS(2,COLUMN())),OFFSET($BN$2,0,0,ROW()-1,60),ROW()-1,FALSE))</f>
        <v>10.898076229999999</v>
      </c>
      <c r="AD564">
        <f ca="1">IF(AND(ISNUMBER($AD$1223),$B$677=1),$AD$1223,HLOOKUP(INDIRECT(ADDRESS(2,COLUMN())),OFFSET($BN$2,0,0,ROW()-1,60),ROW()-1,FALSE))</f>
        <v>11.56892966</v>
      </c>
      <c r="AE564">
        <f ca="1">IF(AND(ISNUMBER($AE$1223),$B$677=1),$AE$1223,HLOOKUP(INDIRECT(ADDRESS(2,COLUMN())),OFFSET($BN$2,0,0,ROW()-1,60),ROW()-1,FALSE))</f>
        <v>11.559999449999999</v>
      </c>
      <c r="AF564">
        <f ca="1">IF(AND(ISNUMBER($AF$1223),$B$677=1),$AF$1223,HLOOKUP(INDIRECT(ADDRESS(2,COLUMN())),OFFSET($BN$2,0,0,ROW()-1,60),ROW()-1,FALSE))</f>
        <v>16.671209390000001</v>
      </c>
      <c r="AG564">
        <f ca="1">IF(AND(ISNUMBER($AG$1223),$B$677=1),$AG$1223,HLOOKUP(INDIRECT(ADDRESS(2,COLUMN())),OFFSET($BN$2,0,0,ROW()-1,60),ROW()-1,FALSE))</f>
        <v>15.44994807</v>
      </c>
      <c r="AH564">
        <f ca="1">IF(AND(ISNUMBER($AH$1223),$B$677=1),$AH$1223,HLOOKUP(INDIRECT(ADDRESS(2,COLUMN())),OFFSET($BN$2,0,0,ROW()-1,60),ROW()-1,FALSE))</f>
        <v>14.81829085</v>
      </c>
      <c r="AI564">
        <f ca="1">IF(AND(ISNUMBER($AI$1223),$B$677=1),$AI$1223,HLOOKUP(INDIRECT(ADDRESS(2,COLUMN())),OFFSET($BN$2,0,0,ROW()-1,60),ROW()-1,FALSE))</f>
        <v>17.842229209999999</v>
      </c>
      <c r="AJ564">
        <f ca="1">IF(AND(ISNUMBER($AJ$1223),$B$677=1),$AJ$1223,HLOOKUP(INDIRECT(ADDRESS(2,COLUMN())),OFFSET($BN$2,0,0,ROW()-1,60),ROW()-1,FALSE))</f>
        <v>17.67078691</v>
      </c>
      <c r="AK564">
        <f ca="1">IF(AND(ISNUMBER($AK$1223),$B$677=1),$AK$1223,HLOOKUP(INDIRECT(ADDRESS(2,COLUMN())),OFFSET($BN$2,0,0,ROW()-1,60),ROW()-1,FALSE))</f>
        <v>14.7594206</v>
      </c>
      <c r="AL564">
        <f ca="1">IF(AND(ISNUMBER($AL$1223),$B$677=1),$AL$1223,HLOOKUP(INDIRECT(ADDRESS(2,COLUMN())),OFFSET($BN$2,0,0,ROW()-1,60),ROW()-1,FALSE))</f>
        <v>17.440641169999999</v>
      </c>
      <c r="AM564">
        <f ca="1">IF(AND(ISNUMBER($AM$1223),$B$677=1),$AM$1223,HLOOKUP(INDIRECT(ADDRESS(2,COLUMN())),OFFSET($BN$2,0,0,ROW()-1,60),ROW()-1,FALSE))</f>
        <v>16.532948090000001</v>
      </c>
      <c r="AN564">
        <f ca="1">IF(AND(ISNUMBER($AN$1223),$B$677=1),$AN$1223,HLOOKUP(INDIRECT(ADDRESS(2,COLUMN())),OFFSET($BN$2,0,0,ROW()-1,60),ROW()-1,FALSE))</f>
        <v>18.30485972</v>
      </c>
      <c r="AO564">
        <f ca="1">IF(AND(ISNUMBER($AO$1223),$B$677=1),$AO$1223,HLOOKUP(INDIRECT(ADDRESS(2,COLUMN())),OFFSET($BN$2,0,0,ROW()-1,60),ROW()-1,FALSE))</f>
        <v>18.208758100000001</v>
      </c>
      <c r="AP564">
        <f ca="1">IF(AND(ISNUMBER($AP$1223),$B$677=1),$AP$1223,HLOOKUP(INDIRECT(ADDRESS(2,COLUMN())),OFFSET($BN$2,0,0,ROW()-1,60),ROW()-1,FALSE))</f>
        <v>9.5443294390000002</v>
      </c>
      <c r="AQ564">
        <f ca="1">IF(AND(ISNUMBER($AQ$1223),$B$677=1),$AQ$1223,HLOOKUP(INDIRECT(ADDRESS(2,COLUMN())),OFFSET($BN$2,0,0,ROW()-1,60),ROW()-1,FALSE))</f>
        <v>-4.7002493999999999E-2</v>
      </c>
      <c r="AR564">
        <f ca="1">IF(AND(ISNUMBER($AR$1223),$B$677=1),$AR$1223,HLOOKUP(INDIRECT(ADDRESS(2,COLUMN())),OFFSET($BN$2,0,0,ROW()-1,60),ROW()-1,FALSE))</f>
        <v>-9.4923793130000007</v>
      </c>
      <c r="AS564">
        <f ca="1">IF(AND(ISNUMBER($AS$1223),$B$677=1),$AS$1223,HLOOKUP(INDIRECT(ADDRESS(2,COLUMN())),OFFSET($BN$2,0,0,ROW()-1,60),ROW()-1,FALSE))</f>
        <v>-8.6404741410000003</v>
      </c>
      <c r="AT564">
        <f ca="1">IF(AND(ISNUMBER($AT$1223),$B$677=1),$AT$1223,HLOOKUP(INDIRECT(ADDRESS(2,COLUMN())),OFFSET($BN$2,0,0,ROW()-1,60),ROW()-1,FALSE))</f>
        <v>-9.6728075209999993</v>
      </c>
      <c r="AU564">
        <f ca="1">IF(AND(ISNUMBER($AU$1223),$B$677=1),$AU$1223,HLOOKUP(INDIRECT(ADDRESS(2,COLUMN())),OFFSET($BN$2,0,0,ROW()-1,60),ROW()-1,FALSE))</f>
        <v>23.2845087</v>
      </c>
      <c r="AV564">
        <f ca="1">IF(AND(ISNUMBER($AV$1223),$B$677=1),$AV$1223,HLOOKUP(INDIRECT(ADDRESS(2,COLUMN())),OFFSET($BN$2,0,0,ROW()-1,60),ROW()-1,FALSE))</f>
        <v>21.616918649999999</v>
      </c>
      <c r="AW564">
        <f ca="1">IF(AND(ISNUMBER($AW$1223),$B$677=1),$AW$1223,HLOOKUP(INDIRECT(ADDRESS(2,COLUMN())),OFFSET($BN$2,0,0,ROW()-1,60),ROW()-1,FALSE))</f>
        <v>20.138984399999998</v>
      </c>
      <c r="AX564">
        <f ca="1">IF(AND(ISNUMBER($AX$1223),$B$677=1),$AX$1223,HLOOKUP(INDIRECT(ADDRESS(2,COLUMN())),OFFSET($BN$2,0,0,ROW()-1,60),ROW()-1,FALSE))</f>
        <v>23.435827669999998</v>
      </c>
      <c r="AY564">
        <f ca="1">IF(AND(ISNUMBER($AY$1223),$B$677=1),$AY$1223,HLOOKUP(INDIRECT(ADDRESS(2,COLUMN())),OFFSET($BN$2,0,0,ROW()-1,60),ROW()-1,FALSE))</f>
        <v>16.336250769999999</v>
      </c>
      <c r="AZ564">
        <f ca="1">IF(AND(ISNUMBER($AZ$1223),$B$677=1),$AZ$1223,HLOOKUP(INDIRECT(ADDRESS(2,COLUMN())),OFFSET($BN$2,0,0,ROW()-1,60),ROW()-1,FALSE))</f>
        <v>16.846781889999999</v>
      </c>
      <c r="BA564">
        <f ca="1">IF(AND(ISNUMBER($BA$1223),$B$677=1),$BA$1223,HLOOKUP(INDIRECT(ADDRESS(2,COLUMN())),OFFSET($BN$2,0,0,ROW()-1,60),ROW()-1,FALSE))</f>
        <v>14.23791215</v>
      </c>
      <c r="BB564">
        <f ca="1">IF(AND(ISNUMBER($BB$1223),$B$677=1),$BB$1223,HLOOKUP(INDIRECT(ADDRESS(2,COLUMN())),OFFSET($BN$2,0,0,ROW()-1,60),ROW()-1,FALSE))</f>
        <v>14.99262193</v>
      </c>
      <c r="BC564">
        <f ca="1">IF(AND(ISNUMBER($BC$1223),$B$677=1),$BC$1223,HLOOKUP(INDIRECT(ADDRESS(2,COLUMN())),OFFSET($BN$2,0,0,ROW()-1,60),ROW()-1,FALSE))</f>
        <v>13.15974875</v>
      </c>
      <c r="BD564">
        <f ca="1">IF(AND(ISNUMBER($BD$1223),$B$677=1),$BD$1223,HLOOKUP(INDIRECT(ADDRESS(2,COLUMN())),OFFSET($BN$2,0,0,ROW()-1,60),ROW()-1,FALSE))</f>
        <v>14.940048109999999</v>
      </c>
      <c r="BE564">
        <f ca="1">IF(AND(ISNUMBER($BE$1223),$B$677=1),$BE$1223,HLOOKUP(INDIRECT(ADDRESS(2,COLUMN())),OFFSET($BN$2,0,0,ROW()-1,60),ROW()-1,FALSE))</f>
        <v>16.04615145</v>
      </c>
      <c r="BF564">
        <f ca="1">IF(AND(ISNUMBER($BF$1223),$B$677=1),$BF$1223,HLOOKUP(INDIRECT(ADDRESS(2,COLUMN())),OFFSET($BN$2,0,0,ROW()-1,60),ROW()-1,FALSE))</f>
        <v>15.296108950000001</v>
      </c>
      <c r="BG564">
        <f ca="1">IF(AND(ISNUMBER($BG$1223),$B$677=1),$BG$1223,HLOOKUP(INDIRECT(ADDRESS(2,COLUMN())),OFFSET($BN$2,0,0,ROW()-1,60),ROW()-1,FALSE))</f>
        <v>18.080707839999999</v>
      </c>
      <c r="BH564">
        <f ca="1">IF(AND(ISNUMBER($BH$1223),$B$677=1),$BH$1223,HLOOKUP(INDIRECT(ADDRESS(2,COLUMN())),OFFSET($BN$2,0,0,ROW()-1,60),ROW()-1,FALSE))</f>
        <v>16.452932069999999</v>
      </c>
      <c r="BI564">
        <f ca="1">IF(AND(ISNUMBER($BI$1223),$B$677=1),$BI$1223,HLOOKUP(INDIRECT(ADDRESS(2,COLUMN())),OFFSET($BN$2,0,0,ROW()-1,60),ROW()-1,FALSE))</f>
        <v>19.652936180000001</v>
      </c>
      <c r="BJ564">
        <f ca="1">IF(AND(ISNUMBER($BJ$1223),$B$677=1),$BJ$1223,HLOOKUP(INDIRECT(ADDRESS(2,COLUMN())),OFFSET($BN$2,0,0,ROW()-1,60),ROW()-1,FALSE))</f>
        <v>19.162803700000001</v>
      </c>
      <c r="BK564" t="str">
        <f ca="1">IF(AND(ISNUMBER($BK$1223),$B$677=1),$BK$1223,HLOOKUP(INDIRECT(ADDRESS(2,COLUMN())),OFFSET($BN$2,0,0,ROW()-1,60),ROW()-1,FALSE))</f>
        <v/>
      </c>
      <c r="BL564" t="str">
        <f ca="1">IF(AND(ISNUMBER($BL$1223),$B$677=1),$BL$1223,HLOOKUP(INDIRECT(ADDRESS(2,COLUMN())),OFFSET($BN$2,0,0,ROW()-1,60),ROW()-1,FALSE))</f>
        <v/>
      </c>
      <c r="BM564" t="str">
        <f ca="1">IF(AND(ISNUMBER($BM$1223),$B$677=1),$BM$1223,HLOOKUP(INDIRECT(ADDRESS(2,COLUMN())),OFFSET($BN$2,0,0,ROW()-1,60),ROW()-1,FALSE))</f>
        <v/>
      </c>
      <c r="BN564">
        <f>14.14431358</f>
        <v>14.14431358</v>
      </c>
      <c r="BO564">
        <f>15.22566347</f>
        <v>15.225663470000001</v>
      </c>
      <c r="BP564">
        <f>12.10028692</f>
        <v>12.10028692</v>
      </c>
      <c r="BQ564">
        <f>12.58546011</f>
        <v>12.58546011</v>
      </c>
      <c r="BR564">
        <f>13.31133343</f>
        <v>13.311333429999999</v>
      </c>
      <c r="BS564">
        <f>13.71440014</f>
        <v>13.71440014</v>
      </c>
      <c r="BT564">
        <f>15.66407949</f>
        <v>15.664079490000001</v>
      </c>
      <c r="BU564">
        <f>16.32166182</f>
        <v>16.321661819999999</v>
      </c>
      <c r="BV564">
        <f>17.32473647</f>
        <v>17.324736470000001</v>
      </c>
      <c r="BW564">
        <f>14.81749829</f>
        <v>14.81749829</v>
      </c>
      <c r="BX564">
        <f>18.16879159</f>
        <v>18.168791590000001</v>
      </c>
      <c r="BY564">
        <f>20.24188026</f>
        <v>20.241880259999999</v>
      </c>
      <c r="BZ564">
        <f>18.17579105</f>
        <v>18.175791050000001</v>
      </c>
      <c r="CA564">
        <f>14.15221329</f>
        <v>14.152213290000001</v>
      </c>
      <c r="CB564">
        <f>15.75437025</f>
        <v>15.754370249999999</v>
      </c>
      <c r="CC564">
        <f>12.35899094</f>
        <v>12.35899094</v>
      </c>
      <c r="CD564">
        <f>11.48911472</f>
        <v>11.48911472</v>
      </c>
      <c r="CE564">
        <f>13.89406211</f>
        <v>13.89406211</v>
      </c>
      <c r="CF564">
        <f>12.0152298</f>
        <v>12.0152298</v>
      </c>
      <c r="CG564">
        <f>12.73271049</f>
        <v>12.732710490000001</v>
      </c>
      <c r="CH564">
        <f>12.92402082</f>
        <v>12.924020820000001</v>
      </c>
      <c r="CI564">
        <f>12.55019975</f>
        <v>12.550199750000001</v>
      </c>
      <c r="CJ564">
        <f>10.49785612</f>
        <v>10.49785612</v>
      </c>
      <c r="CK564">
        <f>10.89807623</f>
        <v>10.898076229999999</v>
      </c>
      <c r="CL564">
        <f>11.56892966</f>
        <v>11.56892966</v>
      </c>
      <c r="CM564">
        <f>11.55999945</f>
        <v>11.559999449999999</v>
      </c>
      <c r="CN564">
        <f>16.67120939</f>
        <v>16.671209390000001</v>
      </c>
      <c r="CO564">
        <f>15.44994807</f>
        <v>15.44994807</v>
      </c>
      <c r="CP564">
        <f>14.81829085</f>
        <v>14.81829085</v>
      </c>
      <c r="CQ564">
        <f>17.84222921</f>
        <v>17.842229209999999</v>
      </c>
      <c r="CR564">
        <f>17.67078691</f>
        <v>17.67078691</v>
      </c>
      <c r="CS564">
        <f>14.7594206</f>
        <v>14.7594206</v>
      </c>
      <c r="CT564">
        <f>17.44064117</f>
        <v>17.440641169999999</v>
      </c>
      <c r="CU564">
        <f>16.53294809</f>
        <v>16.532948090000001</v>
      </c>
      <c r="CV564">
        <f>18.30485972</f>
        <v>18.30485972</v>
      </c>
      <c r="CW564">
        <f>18.2087581</f>
        <v>18.208758100000001</v>
      </c>
      <c r="CX564">
        <f>9.544329439</f>
        <v>9.5443294390000002</v>
      </c>
      <c r="CY564">
        <f>-0.047002494</f>
        <v>-4.7002493999999999E-2</v>
      </c>
      <c r="CZ564">
        <f>-9.492379313</f>
        <v>-9.4923793130000007</v>
      </c>
      <c r="DA564">
        <f>-8.640474141</f>
        <v>-8.6404741410000003</v>
      </c>
      <c r="DB564">
        <f>-9.672807521</f>
        <v>-9.6728075209999993</v>
      </c>
      <c r="DC564">
        <f>23.2845087</f>
        <v>23.2845087</v>
      </c>
      <c r="DD564">
        <f>21.61691865</f>
        <v>21.616918649999999</v>
      </c>
      <c r="DE564">
        <f>20.1389844</f>
        <v>20.138984399999998</v>
      </c>
      <c r="DF564">
        <f>23.43582767</f>
        <v>23.435827669999998</v>
      </c>
      <c r="DG564">
        <f>16.33625077</f>
        <v>16.336250769999999</v>
      </c>
      <c r="DH564">
        <f>16.84678189</f>
        <v>16.846781889999999</v>
      </c>
      <c r="DI564">
        <f>14.23791215</f>
        <v>14.23791215</v>
      </c>
      <c r="DJ564">
        <f>14.99262193</f>
        <v>14.99262193</v>
      </c>
      <c r="DK564">
        <f>13.15974875</f>
        <v>13.15974875</v>
      </c>
      <c r="DL564">
        <f>14.94004811</f>
        <v>14.940048109999999</v>
      </c>
      <c r="DM564">
        <f>16.04615145</f>
        <v>16.04615145</v>
      </c>
      <c r="DN564">
        <f>15.29610895</f>
        <v>15.296108950000001</v>
      </c>
      <c r="DO564">
        <f>18.08070784</f>
        <v>18.080707839999999</v>
      </c>
      <c r="DP564">
        <f>16.45293207</f>
        <v>16.452932069999999</v>
      </c>
      <c r="DQ564">
        <f>19.65293618</f>
        <v>19.652936180000001</v>
      </c>
      <c r="DR564">
        <f>19.1628037</f>
        <v>19.162803700000001</v>
      </c>
      <c r="DS564" t="str">
        <f>""</f>
        <v/>
      </c>
      <c r="DT564" t="str">
        <f>""</f>
        <v/>
      </c>
      <c r="DU564" t="str">
        <f>""</f>
        <v/>
      </c>
    </row>
    <row r="565" spans="1:125" x14ac:dyDescent="0.25">
      <c r="A565" t="str">
        <f>"    Peugeot SA"</f>
        <v xml:space="preserve">    Peugeot SA</v>
      </c>
      <c r="B565" t="str">
        <f>"UG FP Equity"</f>
        <v>UG FP Equity</v>
      </c>
      <c r="C565" t="str">
        <f t="shared" si="39"/>
        <v>RX076</v>
      </c>
      <c r="D565" t="str">
        <f t="shared" si="40"/>
        <v>EBIT_YIELD</v>
      </c>
      <c r="E565" t="str">
        <f t="shared" si="41"/>
        <v>Dynamic</v>
      </c>
      <c r="F565" t="str">
        <f ca="1">IF(AND(ISNUMBER($F$1224),$B$677=1),$F$1224,HLOOKUP(INDIRECT(ADDRESS(2,COLUMN())),OFFSET($BN$2,0,0,ROW()-1,60),ROW()-1,FALSE))</f>
        <v/>
      </c>
      <c r="G565" t="str">
        <f ca="1">IF(AND(ISNUMBER($G$1224),$B$677=1),$G$1224,HLOOKUP(INDIRECT(ADDRESS(2,COLUMN())),OFFSET($BN$2,0,0,ROW()-1,60),ROW()-1,FALSE))</f>
        <v/>
      </c>
      <c r="H565" t="str">
        <f ca="1">IF(AND(ISNUMBER($H$1224),$B$677=1),$H$1224,HLOOKUP(INDIRECT(ADDRESS(2,COLUMN())),OFFSET($BN$2,0,0,ROW()-1,60),ROW()-1,FALSE))</f>
        <v/>
      </c>
      <c r="I565" t="str">
        <f ca="1">IF(AND(ISNUMBER($I$1224),$B$677=1),$I$1224,HLOOKUP(INDIRECT(ADDRESS(2,COLUMN())),OFFSET($BN$2,0,0,ROW()-1,60),ROW()-1,FALSE))</f>
        <v/>
      </c>
      <c r="J565" t="str">
        <f ca="1">IF(AND(ISNUMBER($J$1224),$B$677=1),$J$1224,HLOOKUP(INDIRECT(ADDRESS(2,COLUMN())),OFFSET($BN$2,0,0,ROW()-1,60),ROW()-1,FALSE))</f>
        <v/>
      </c>
      <c r="K565" t="str">
        <f ca="1">IF(AND(ISNUMBER($K$1224),$B$677=1),$K$1224,HLOOKUP(INDIRECT(ADDRESS(2,COLUMN())),OFFSET($BN$2,0,0,ROW()-1,60),ROW()-1,FALSE))</f>
        <v/>
      </c>
      <c r="L565" t="str">
        <f ca="1">IF(AND(ISNUMBER($L$1224),$B$677=1),$L$1224,HLOOKUP(INDIRECT(ADDRESS(2,COLUMN())),OFFSET($BN$2,0,0,ROW()-1,60),ROW()-1,FALSE))</f>
        <v/>
      </c>
      <c r="M565" t="str">
        <f ca="1">IF(AND(ISNUMBER($M$1224),$B$677=1),$M$1224,HLOOKUP(INDIRECT(ADDRESS(2,COLUMN())),OFFSET($BN$2,0,0,ROW()-1,60),ROW()-1,FALSE))</f>
        <v/>
      </c>
      <c r="N565" t="str">
        <f ca="1">IF(AND(ISNUMBER($N$1224),$B$677=1),$N$1224,HLOOKUP(INDIRECT(ADDRESS(2,COLUMN())),OFFSET($BN$2,0,0,ROW()-1,60),ROW()-1,FALSE))</f>
        <v/>
      </c>
      <c r="O565" t="str">
        <f ca="1">IF(AND(ISNUMBER($O$1224),$B$677=1),$O$1224,HLOOKUP(INDIRECT(ADDRESS(2,COLUMN())),OFFSET($BN$2,0,0,ROW()-1,60),ROW()-1,FALSE))</f>
        <v/>
      </c>
      <c r="P565" t="str">
        <f ca="1">IF(AND(ISNUMBER($P$1224),$B$677=1),$P$1224,HLOOKUP(INDIRECT(ADDRESS(2,COLUMN())),OFFSET($BN$2,0,0,ROW()-1,60),ROW()-1,FALSE))</f>
        <v/>
      </c>
      <c r="Q565" t="str">
        <f ca="1">IF(AND(ISNUMBER($Q$1224),$B$677=1),$Q$1224,HLOOKUP(INDIRECT(ADDRESS(2,COLUMN())),OFFSET($BN$2,0,0,ROW()-1,60),ROW()-1,FALSE))</f>
        <v/>
      </c>
      <c r="R565" t="str">
        <f ca="1">IF(AND(ISNUMBER($R$1224),$B$677=1),$R$1224,HLOOKUP(INDIRECT(ADDRESS(2,COLUMN())),OFFSET($BN$2,0,0,ROW()-1,60),ROW()-1,FALSE))</f>
        <v/>
      </c>
      <c r="S565" t="str">
        <f ca="1">IF(AND(ISNUMBER($S$1224),$B$677=1),$S$1224,HLOOKUP(INDIRECT(ADDRESS(2,COLUMN())),OFFSET($BN$2,0,0,ROW()-1,60),ROW()-1,FALSE))</f>
        <v/>
      </c>
      <c r="T565" t="str">
        <f ca="1">IF(AND(ISNUMBER($T$1224),$B$677=1),$T$1224,HLOOKUP(INDIRECT(ADDRESS(2,COLUMN())),OFFSET($BN$2,0,0,ROW()-1,60),ROW()-1,FALSE))</f>
        <v/>
      </c>
      <c r="U565" t="str">
        <f ca="1">IF(AND(ISNUMBER($U$1224),$B$677=1),$U$1224,HLOOKUP(INDIRECT(ADDRESS(2,COLUMN())),OFFSET($BN$2,0,0,ROW()-1,60),ROW()-1,FALSE))</f>
        <v/>
      </c>
      <c r="V565" t="str">
        <f ca="1">IF(AND(ISNUMBER($V$1224),$B$677=1),$V$1224,HLOOKUP(INDIRECT(ADDRESS(2,COLUMN())),OFFSET($BN$2,0,0,ROW()-1,60),ROW()-1,FALSE))</f>
        <v/>
      </c>
      <c r="W565" t="str">
        <f ca="1">IF(AND(ISNUMBER($W$1224),$B$677=1),$W$1224,HLOOKUP(INDIRECT(ADDRESS(2,COLUMN())),OFFSET($BN$2,0,0,ROW()-1,60),ROW()-1,FALSE))</f>
        <v/>
      </c>
      <c r="X565" t="str">
        <f ca="1">IF(AND(ISNUMBER($X$1224),$B$677=1),$X$1224,HLOOKUP(INDIRECT(ADDRESS(2,COLUMN())),OFFSET($BN$2,0,0,ROW()-1,60),ROW()-1,FALSE))</f>
        <v/>
      </c>
      <c r="Y565" t="str">
        <f ca="1">IF(AND(ISNUMBER($Y$1224),$B$677=1),$Y$1224,HLOOKUP(INDIRECT(ADDRESS(2,COLUMN())),OFFSET($BN$2,0,0,ROW()-1,60),ROW()-1,FALSE))</f>
        <v/>
      </c>
      <c r="Z565" t="str">
        <f ca="1">IF(AND(ISNUMBER($Z$1224),$B$677=1),$Z$1224,HLOOKUP(INDIRECT(ADDRESS(2,COLUMN())),OFFSET($BN$2,0,0,ROW()-1,60),ROW()-1,FALSE))</f>
        <v/>
      </c>
      <c r="AA565" t="str">
        <f ca="1">IF(AND(ISNUMBER($AA$1224),$B$677=1),$AA$1224,HLOOKUP(INDIRECT(ADDRESS(2,COLUMN())),OFFSET($BN$2,0,0,ROW()-1,60),ROW()-1,FALSE))</f>
        <v/>
      </c>
      <c r="AB565" t="str">
        <f ca="1">IF(AND(ISNUMBER($AB$1224),$B$677=1),$AB$1224,HLOOKUP(INDIRECT(ADDRESS(2,COLUMN())),OFFSET($BN$2,0,0,ROW()-1,60),ROW()-1,FALSE))</f>
        <v/>
      </c>
      <c r="AC565" t="str">
        <f ca="1">IF(AND(ISNUMBER($AC$1224),$B$677=1),$AC$1224,HLOOKUP(INDIRECT(ADDRESS(2,COLUMN())),OFFSET($BN$2,0,0,ROW()-1,60),ROW()-1,FALSE))</f>
        <v/>
      </c>
      <c r="AD565" t="str">
        <f ca="1">IF(AND(ISNUMBER($AD$1224),$B$677=1),$AD$1224,HLOOKUP(INDIRECT(ADDRESS(2,COLUMN())),OFFSET($BN$2,0,0,ROW()-1,60),ROW()-1,FALSE))</f>
        <v/>
      </c>
      <c r="AE565" t="str">
        <f ca="1">IF(AND(ISNUMBER($AE$1224),$B$677=1),$AE$1224,HLOOKUP(INDIRECT(ADDRESS(2,COLUMN())),OFFSET($BN$2,0,0,ROW()-1,60),ROW()-1,FALSE))</f>
        <v/>
      </c>
      <c r="AF565" t="str">
        <f ca="1">IF(AND(ISNUMBER($AF$1224),$B$677=1),$AF$1224,HLOOKUP(INDIRECT(ADDRESS(2,COLUMN())),OFFSET($BN$2,0,0,ROW()-1,60),ROW()-1,FALSE))</f>
        <v/>
      </c>
      <c r="AG565" t="str">
        <f ca="1">IF(AND(ISNUMBER($AG$1224),$B$677=1),$AG$1224,HLOOKUP(INDIRECT(ADDRESS(2,COLUMN())),OFFSET($BN$2,0,0,ROW()-1,60),ROW()-1,FALSE))</f>
        <v/>
      </c>
      <c r="AH565" t="str">
        <f ca="1">IF(AND(ISNUMBER($AH$1224),$B$677=1),$AH$1224,HLOOKUP(INDIRECT(ADDRESS(2,COLUMN())),OFFSET($BN$2,0,0,ROW()-1,60),ROW()-1,FALSE))</f>
        <v/>
      </c>
      <c r="AI565" t="str">
        <f ca="1">IF(AND(ISNUMBER($AI$1224),$B$677=1),$AI$1224,HLOOKUP(INDIRECT(ADDRESS(2,COLUMN())),OFFSET($BN$2,0,0,ROW()-1,60),ROW()-1,FALSE))</f>
        <v/>
      </c>
      <c r="AJ565" t="str">
        <f ca="1">IF(AND(ISNUMBER($AJ$1224),$B$677=1),$AJ$1224,HLOOKUP(INDIRECT(ADDRESS(2,COLUMN())),OFFSET($BN$2,0,0,ROW()-1,60),ROW()-1,FALSE))</f>
        <v/>
      </c>
      <c r="AK565" t="str">
        <f ca="1">IF(AND(ISNUMBER($AK$1224),$B$677=1),$AK$1224,HLOOKUP(INDIRECT(ADDRESS(2,COLUMN())),OFFSET($BN$2,0,0,ROW()-1,60),ROW()-1,FALSE))</f>
        <v/>
      </c>
      <c r="AL565" t="str">
        <f ca="1">IF(AND(ISNUMBER($AL$1224),$B$677=1),$AL$1224,HLOOKUP(INDIRECT(ADDRESS(2,COLUMN())),OFFSET($BN$2,0,0,ROW()-1,60),ROW()-1,FALSE))</f>
        <v/>
      </c>
      <c r="AM565" t="str">
        <f ca="1">IF(AND(ISNUMBER($AM$1224),$B$677=1),$AM$1224,HLOOKUP(INDIRECT(ADDRESS(2,COLUMN())),OFFSET($BN$2,0,0,ROW()-1,60),ROW()-1,FALSE))</f>
        <v/>
      </c>
      <c r="AN565" t="str">
        <f ca="1">IF(AND(ISNUMBER($AN$1224),$B$677=1),$AN$1224,HLOOKUP(INDIRECT(ADDRESS(2,COLUMN())),OFFSET($BN$2,0,0,ROW()-1,60),ROW()-1,FALSE))</f>
        <v/>
      </c>
      <c r="AO565" t="str">
        <f ca="1">IF(AND(ISNUMBER($AO$1224),$B$677=1),$AO$1224,HLOOKUP(INDIRECT(ADDRESS(2,COLUMN())),OFFSET($BN$2,0,0,ROW()-1,60),ROW()-1,FALSE))</f>
        <v/>
      </c>
      <c r="AP565" t="str">
        <f ca="1">IF(AND(ISNUMBER($AP$1224),$B$677=1),$AP$1224,HLOOKUP(INDIRECT(ADDRESS(2,COLUMN())),OFFSET($BN$2,0,0,ROW()-1,60),ROW()-1,FALSE))</f>
        <v/>
      </c>
      <c r="AQ565" t="str">
        <f ca="1">IF(AND(ISNUMBER($AQ$1224),$B$677=1),$AQ$1224,HLOOKUP(INDIRECT(ADDRESS(2,COLUMN())),OFFSET($BN$2,0,0,ROW()-1,60),ROW()-1,FALSE))</f>
        <v/>
      </c>
      <c r="AR565" t="str">
        <f ca="1">IF(AND(ISNUMBER($AR$1224),$B$677=1),$AR$1224,HLOOKUP(INDIRECT(ADDRESS(2,COLUMN())),OFFSET($BN$2,0,0,ROW()-1,60),ROW()-1,FALSE))</f>
        <v/>
      </c>
      <c r="AS565" t="str">
        <f ca="1">IF(AND(ISNUMBER($AS$1224),$B$677=1),$AS$1224,HLOOKUP(INDIRECT(ADDRESS(2,COLUMN())),OFFSET($BN$2,0,0,ROW()-1,60),ROW()-1,FALSE))</f>
        <v/>
      </c>
      <c r="AT565" t="str">
        <f ca="1">IF(AND(ISNUMBER($AT$1224),$B$677=1),$AT$1224,HLOOKUP(INDIRECT(ADDRESS(2,COLUMN())),OFFSET($BN$2,0,0,ROW()-1,60),ROW()-1,FALSE))</f>
        <v/>
      </c>
      <c r="AU565" t="str">
        <f ca="1">IF(AND(ISNUMBER($AU$1224),$B$677=1),$AU$1224,HLOOKUP(INDIRECT(ADDRESS(2,COLUMN())),OFFSET($BN$2,0,0,ROW()-1,60),ROW()-1,FALSE))</f>
        <v/>
      </c>
      <c r="AV565" t="str">
        <f ca="1">IF(AND(ISNUMBER($AV$1224),$B$677=1),$AV$1224,HLOOKUP(INDIRECT(ADDRESS(2,COLUMN())),OFFSET($BN$2,0,0,ROW()-1,60),ROW()-1,FALSE))</f>
        <v/>
      </c>
      <c r="AW565" t="str">
        <f ca="1">IF(AND(ISNUMBER($AW$1224),$B$677=1),$AW$1224,HLOOKUP(INDIRECT(ADDRESS(2,COLUMN())),OFFSET($BN$2,0,0,ROW()-1,60),ROW()-1,FALSE))</f>
        <v/>
      </c>
      <c r="AX565" t="str">
        <f ca="1">IF(AND(ISNUMBER($AX$1224),$B$677=1),$AX$1224,HLOOKUP(INDIRECT(ADDRESS(2,COLUMN())),OFFSET($BN$2,0,0,ROW()-1,60),ROW()-1,FALSE))</f>
        <v/>
      </c>
      <c r="AY565" t="str">
        <f ca="1">IF(AND(ISNUMBER($AY$1224),$B$677=1),$AY$1224,HLOOKUP(INDIRECT(ADDRESS(2,COLUMN())),OFFSET($BN$2,0,0,ROW()-1,60),ROW()-1,FALSE))</f>
        <v/>
      </c>
      <c r="AZ565" t="str">
        <f ca="1">IF(AND(ISNUMBER($AZ$1224),$B$677=1),$AZ$1224,HLOOKUP(INDIRECT(ADDRESS(2,COLUMN())),OFFSET($BN$2,0,0,ROW()-1,60),ROW()-1,FALSE))</f>
        <v/>
      </c>
      <c r="BA565" t="str">
        <f ca="1">IF(AND(ISNUMBER($BA$1224),$B$677=1),$BA$1224,HLOOKUP(INDIRECT(ADDRESS(2,COLUMN())),OFFSET($BN$2,0,0,ROW()-1,60),ROW()-1,FALSE))</f>
        <v/>
      </c>
      <c r="BB565" t="str">
        <f ca="1">IF(AND(ISNUMBER($BB$1224),$B$677=1),$BB$1224,HLOOKUP(INDIRECT(ADDRESS(2,COLUMN())),OFFSET($BN$2,0,0,ROW()-1,60),ROW()-1,FALSE))</f>
        <v/>
      </c>
      <c r="BC565" t="str">
        <f ca="1">IF(AND(ISNUMBER($BC$1224),$B$677=1),$BC$1224,HLOOKUP(INDIRECT(ADDRESS(2,COLUMN())),OFFSET($BN$2,0,0,ROW()-1,60),ROW()-1,FALSE))</f>
        <v/>
      </c>
      <c r="BD565" t="str">
        <f ca="1">IF(AND(ISNUMBER($BD$1224),$B$677=1),$BD$1224,HLOOKUP(INDIRECT(ADDRESS(2,COLUMN())),OFFSET($BN$2,0,0,ROW()-1,60),ROW()-1,FALSE))</f>
        <v/>
      </c>
      <c r="BE565" t="str">
        <f ca="1">IF(AND(ISNUMBER($BE$1224),$B$677=1),$BE$1224,HLOOKUP(INDIRECT(ADDRESS(2,COLUMN())),OFFSET($BN$2,0,0,ROW()-1,60),ROW()-1,FALSE))</f>
        <v/>
      </c>
      <c r="BF565" t="str">
        <f ca="1">IF(AND(ISNUMBER($BF$1224),$B$677=1),$BF$1224,HLOOKUP(INDIRECT(ADDRESS(2,COLUMN())),OFFSET($BN$2,0,0,ROW()-1,60),ROW()-1,FALSE))</f>
        <v/>
      </c>
      <c r="BG565" t="str">
        <f ca="1">IF(AND(ISNUMBER($BG$1224),$B$677=1),$BG$1224,HLOOKUP(INDIRECT(ADDRESS(2,COLUMN())),OFFSET($BN$2,0,0,ROW()-1,60),ROW()-1,FALSE))</f>
        <v/>
      </c>
      <c r="BH565" t="str">
        <f ca="1">IF(AND(ISNUMBER($BH$1224),$B$677=1),$BH$1224,HLOOKUP(INDIRECT(ADDRESS(2,COLUMN())),OFFSET($BN$2,0,0,ROW()-1,60),ROW()-1,FALSE))</f>
        <v/>
      </c>
      <c r="BI565" t="str">
        <f ca="1">IF(AND(ISNUMBER($BI$1224),$B$677=1),$BI$1224,HLOOKUP(INDIRECT(ADDRESS(2,COLUMN())),OFFSET($BN$2,0,0,ROW()-1,60),ROW()-1,FALSE))</f>
        <v/>
      </c>
      <c r="BJ565" t="str">
        <f ca="1">IF(AND(ISNUMBER($BJ$1224),$B$677=1),$BJ$1224,HLOOKUP(INDIRECT(ADDRESS(2,COLUMN())),OFFSET($BN$2,0,0,ROW()-1,60),ROW()-1,FALSE))</f>
        <v/>
      </c>
      <c r="BK565" t="str">
        <f ca="1">IF(AND(ISNUMBER($BK$1224),$B$677=1),$BK$1224,HLOOKUP(INDIRECT(ADDRESS(2,COLUMN())),OFFSET($BN$2,0,0,ROW()-1,60),ROW()-1,FALSE))</f>
        <v/>
      </c>
      <c r="BL565" t="str">
        <f ca="1">IF(AND(ISNUMBER($BL$1224),$B$677=1),$BL$1224,HLOOKUP(INDIRECT(ADDRESS(2,COLUMN())),OFFSET($BN$2,0,0,ROW()-1,60),ROW()-1,FALSE))</f>
        <v/>
      </c>
      <c r="BM565" t="str">
        <f ca="1">IF(AND(ISNUMBER($BM$1224),$B$677=1),$BM$1224,HLOOKUP(INDIRECT(ADDRESS(2,COLUMN())),OFFSET($BN$2,0,0,ROW()-1,60),ROW()-1,FALSE))</f>
        <v/>
      </c>
      <c r="BN565" t="str">
        <f>""</f>
        <v/>
      </c>
      <c r="BO565" t="str">
        <f>""</f>
        <v/>
      </c>
      <c r="BP565" t="str">
        <f>""</f>
        <v/>
      </c>
      <c r="BQ565" t="str">
        <f>""</f>
        <v/>
      </c>
      <c r="BR565" t="str">
        <f>""</f>
        <v/>
      </c>
      <c r="BS565" t="str">
        <f>""</f>
        <v/>
      </c>
      <c r="BT565" t="str">
        <f>""</f>
        <v/>
      </c>
      <c r="BU565" t="str">
        <f>""</f>
        <v/>
      </c>
      <c r="BV565" t="str">
        <f>""</f>
        <v/>
      </c>
      <c r="BW565" t="str">
        <f>""</f>
        <v/>
      </c>
      <c r="BX565" t="str">
        <f>""</f>
        <v/>
      </c>
      <c r="BY565" t="str">
        <f>""</f>
        <v/>
      </c>
      <c r="BZ565" t="str">
        <f>""</f>
        <v/>
      </c>
      <c r="CA565" t="str">
        <f>""</f>
        <v/>
      </c>
      <c r="CB565" t="str">
        <f>""</f>
        <v/>
      </c>
      <c r="CC565" t="str">
        <f>""</f>
        <v/>
      </c>
      <c r="CD565" t="str">
        <f>""</f>
        <v/>
      </c>
      <c r="CE565" t="str">
        <f>""</f>
        <v/>
      </c>
      <c r="CF565" t="str">
        <f>""</f>
        <v/>
      </c>
      <c r="CG565" t="str">
        <f>""</f>
        <v/>
      </c>
      <c r="CH565" t="str">
        <f>""</f>
        <v/>
      </c>
      <c r="CI565" t="str">
        <f>""</f>
        <v/>
      </c>
      <c r="CJ565" t="str">
        <f>""</f>
        <v/>
      </c>
      <c r="CK565" t="str">
        <f>""</f>
        <v/>
      </c>
      <c r="CL565" t="str">
        <f>""</f>
        <v/>
      </c>
      <c r="CM565" t="str">
        <f>""</f>
        <v/>
      </c>
      <c r="CN565" t="str">
        <f>""</f>
        <v/>
      </c>
      <c r="CO565" t="str">
        <f>""</f>
        <v/>
      </c>
      <c r="CP565" t="str">
        <f>""</f>
        <v/>
      </c>
      <c r="CQ565" t="str">
        <f>""</f>
        <v/>
      </c>
      <c r="CR565" t="str">
        <f>""</f>
        <v/>
      </c>
      <c r="CS565" t="str">
        <f>""</f>
        <v/>
      </c>
      <c r="CT565" t="str">
        <f>""</f>
        <v/>
      </c>
      <c r="CU565" t="str">
        <f>""</f>
        <v/>
      </c>
      <c r="CV565" t="str">
        <f>""</f>
        <v/>
      </c>
      <c r="CW565" t="str">
        <f>""</f>
        <v/>
      </c>
      <c r="CX565" t="str">
        <f>""</f>
        <v/>
      </c>
      <c r="CY565" t="str">
        <f>""</f>
        <v/>
      </c>
      <c r="CZ565" t="str">
        <f>""</f>
        <v/>
      </c>
      <c r="DA565" t="str">
        <f>""</f>
        <v/>
      </c>
      <c r="DB565" t="str">
        <f>""</f>
        <v/>
      </c>
      <c r="DC565" t="str">
        <f>""</f>
        <v/>
      </c>
      <c r="DD565" t="str">
        <f>""</f>
        <v/>
      </c>
      <c r="DE565" t="str">
        <f>""</f>
        <v/>
      </c>
      <c r="DF565" t="str">
        <f>""</f>
        <v/>
      </c>
      <c r="DG565" t="str">
        <f>""</f>
        <v/>
      </c>
      <c r="DH565" t="str">
        <f>""</f>
        <v/>
      </c>
      <c r="DI565" t="str">
        <f>""</f>
        <v/>
      </c>
      <c r="DJ565" t="str">
        <f>""</f>
        <v/>
      </c>
      <c r="DK565" t="str">
        <f>""</f>
        <v/>
      </c>
      <c r="DL565" t="str">
        <f>""</f>
        <v/>
      </c>
      <c r="DM565" t="str">
        <f>""</f>
        <v/>
      </c>
      <c r="DN565" t="str">
        <f>""</f>
        <v/>
      </c>
      <c r="DO565" t="str">
        <f>""</f>
        <v/>
      </c>
      <c r="DP565" t="str">
        <f>""</f>
        <v/>
      </c>
      <c r="DQ565" t="str">
        <f>""</f>
        <v/>
      </c>
      <c r="DR565" t="str">
        <f>""</f>
        <v/>
      </c>
      <c r="DS565" t="str">
        <f>""</f>
        <v/>
      </c>
      <c r="DT565" t="str">
        <f>""</f>
        <v/>
      </c>
      <c r="DU565" t="str">
        <f>""</f>
        <v/>
      </c>
    </row>
    <row r="566" spans="1:125" x14ac:dyDescent="0.25">
      <c r="A566" t="str">
        <f>"    Renault SA"</f>
        <v xml:space="preserve">    Renault SA</v>
      </c>
      <c r="B566" t="str">
        <f>"RNO FP Equity"</f>
        <v>RNO FP Equity</v>
      </c>
      <c r="C566" t="str">
        <f t="shared" si="39"/>
        <v>RX076</v>
      </c>
      <c r="D566" t="str">
        <f t="shared" si="40"/>
        <v>EBIT_YIELD</v>
      </c>
      <c r="E566" t="str">
        <f t="shared" si="41"/>
        <v>Dynamic</v>
      </c>
      <c r="F566" t="str">
        <f ca="1">IF(AND(ISNUMBER($F$1225),$B$677=1),$F$1225,HLOOKUP(INDIRECT(ADDRESS(2,COLUMN())),OFFSET($BN$2,0,0,ROW()-1,60),ROW()-1,FALSE))</f>
        <v/>
      </c>
      <c r="G566" t="str">
        <f ca="1">IF(AND(ISNUMBER($G$1225),$B$677=1),$G$1225,HLOOKUP(INDIRECT(ADDRESS(2,COLUMN())),OFFSET($BN$2,0,0,ROW()-1,60),ROW()-1,FALSE))</f>
        <v/>
      </c>
      <c r="H566" t="str">
        <f ca="1">IF(AND(ISNUMBER($H$1225),$B$677=1),$H$1225,HLOOKUP(INDIRECT(ADDRESS(2,COLUMN())),OFFSET($BN$2,0,0,ROW()-1,60),ROW()-1,FALSE))</f>
        <v/>
      </c>
      <c r="I566" t="str">
        <f ca="1">IF(AND(ISNUMBER($I$1225),$B$677=1),$I$1225,HLOOKUP(INDIRECT(ADDRESS(2,COLUMN())),OFFSET($BN$2,0,0,ROW()-1,60),ROW()-1,FALSE))</f>
        <v/>
      </c>
      <c r="J566" t="str">
        <f ca="1">IF(AND(ISNUMBER($J$1225),$B$677=1),$J$1225,HLOOKUP(INDIRECT(ADDRESS(2,COLUMN())),OFFSET($BN$2,0,0,ROW()-1,60),ROW()-1,FALSE))</f>
        <v/>
      </c>
      <c r="K566" t="str">
        <f ca="1">IF(AND(ISNUMBER($K$1225),$B$677=1),$K$1225,HLOOKUP(INDIRECT(ADDRESS(2,COLUMN())),OFFSET($BN$2,0,0,ROW()-1,60),ROW()-1,FALSE))</f>
        <v/>
      </c>
      <c r="L566" t="str">
        <f ca="1">IF(AND(ISNUMBER($L$1225),$B$677=1),$L$1225,HLOOKUP(INDIRECT(ADDRESS(2,COLUMN())),OFFSET($BN$2,0,0,ROW()-1,60),ROW()-1,FALSE))</f>
        <v/>
      </c>
      <c r="M566" t="str">
        <f ca="1">IF(AND(ISNUMBER($M$1225),$B$677=1),$M$1225,HLOOKUP(INDIRECT(ADDRESS(2,COLUMN())),OFFSET($BN$2,0,0,ROW()-1,60),ROW()-1,FALSE))</f>
        <v/>
      </c>
      <c r="N566" t="str">
        <f ca="1">IF(AND(ISNUMBER($N$1225),$B$677=1),$N$1225,HLOOKUP(INDIRECT(ADDRESS(2,COLUMN())),OFFSET($BN$2,0,0,ROW()-1,60),ROW()-1,FALSE))</f>
        <v/>
      </c>
      <c r="O566" t="str">
        <f ca="1">IF(AND(ISNUMBER($O$1225),$B$677=1),$O$1225,HLOOKUP(INDIRECT(ADDRESS(2,COLUMN())),OFFSET($BN$2,0,0,ROW()-1,60),ROW()-1,FALSE))</f>
        <v/>
      </c>
      <c r="P566" t="str">
        <f ca="1">IF(AND(ISNUMBER($P$1225),$B$677=1),$P$1225,HLOOKUP(INDIRECT(ADDRESS(2,COLUMN())),OFFSET($BN$2,0,0,ROW()-1,60),ROW()-1,FALSE))</f>
        <v/>
      </c>
      <c r="Q566" t="str">
        <f ca="1">IF(AND(ISNUMBER($Q$1225),$B$677=1),$Q$1225,HLOOKUP(INDIRECT(ADDRESS(2,COLUMN())),OFFSET($BN$2,0,0,ROW()-1,60),ROW()-1,FALSE))</f>
        <v/>
      </c>
      <c r="R566" t="str">
        <f ca="1">IF(AND(ISNUMBER($R$1225),$B$677=1),$R$1225,HLOOKUP(INDIRECT(ADDRESS(2,COLUMN())),OFFSET($BN$2,0,0,ROW()-1,60),ROW()-1,FALSE))</f>
        <v/>
      </c>
      <c r="S566" t="str">
        <f ca="1">IF(AND(ISNUMBER($S$1225),$B$677=1),$S$1225,HLOOKUP(INDIRECT(ADDRESS(2,COLUMN())),OFFSET($BN$2,0,0,ROW()-1,60),ROW()-1,FALSE))</f>
        <v/>
      </c>
      <c r="T566" t="str">
        <f ca="1">IF(AND(ISNUMBER($T$1225),$B$677=1),$T$1225,HLOOKUP(INDIRECT(ADDRESS(2,COLUMN())),OFFSET($BN$2,0,0,ROW()-1,60),ROW()-1,FALSE))</f>
        <v/>
      </c>
      <c r="U566" t="str">
        <f ca="1">IF(AND(ISNUMBER($U$1225),$B$677=1),$U$1225,HLOOKUP(INDIRECT(ADDRESS(2,COLUMN())),OFFSET($BN$2,0,0,ROW()-1,60),ROW()-1,FALSE))</f>
        <v/>
      </c>
      <c r="V566" t="str">
        <f ca="1">IF(AND(ISNUMBER($V$1225),$B$677=1),$V$1225,HLOOKUP(INDIRECT(ADDRESS(2,COLUMN())),OFFSET($BN$2,0,0,ROW()-1,60),ROW()-1,FALSE))</f>
        <v/>
      </c>
      <c r="W566" t="str">
        <f ca="1">IF(AND(ISNUMBER($W$1225),$B$677=1),$W$1225,HLOOKUP(INDIRECT(ADDRESS(2,COLUMN())),OFFSET($BN$2,0,0,ROW()-1,60),ROW()-1,FALSE))</f>
        <v/>
      </c>
      <c r="X566" t="str">
        <f ca="1">IF(AND(ISNUMBER($X$1225),$B$677=1),$X$1225,HLOOKUP(INDIRECT(ADDRESS(2,COLUMN())),OFFSET($BN$2,0,0,ROW()-1,60),ROW()-1,FALSE))</f>
        <v/>
      </c>
      <c r="Y566" t="str">
        <f ca="1">IF(AND(ISNUMBER($Y$1225),$B$677=1),$Y$1225,HLOOKUP(INDIRECT(ADDRESS(2,COLUMN())),OFFSET($BN$2,0,0,ROW()-1,60),ROW()-1,FALSE))</f>
        <v/>
      </c>
      <c r="Z566" t="str">
        <f ca="1">IF(AND(ISNUMBER($Z$1225),$B$677=1),$Z$1225,HLOOKUP(INDIRECT(ADDRESS(2,COLUMN())),OFFSET($BN$2,0,0,ROW()-1,60),ROW()-1,FALSE))</f>
        <v/>
      </c>
      <c r="AA566" t="str">
        <f ca="1">IF(AND(ISNUMBER($AA$1225),$B$677=1),$AA$1225,HLOOKUP(INDIRECT(ADDRESS(2,COLUMN())),OFFSET($BN$2,0,0,ROW()-1,60),ROW()-1,FALSE))</f>
        <v/>
      </c>
      <c r="AB566" t="str">
        <f ca="1">IF(AND(ISNUMBER($AB$1225),$B$677=1),$AB$1225,HLOOKUP(INDIRECT(ADDRESS(2,COLUMN())),OFFSET($BN$2,0,0,ROW()-1,60),ROW()-1,FALSE))</f>
        <v/>
      </c>
      <c r="AC566" t="str">
        <f ca="1">IF(AND(ISNUMBER($AC$1225),$B$677=1),$AC$1225,HLOOKUP(INDIRECT(ADDRESS(2,COLUMN())),OFFSET($BN$2,0,0,ROW()-1,60),ROW()-1,FALSE))</f>
        <v/>
      </c>
      <c r="AD566" t="str">
        <f ca="1">IF(AND(ISNUMBER($AD$1225),$B$677=1),$AD$1225,HLOOKUP(INDIRECT(ADDRESS(2,COLUMN())),OFFSET($BN$2,0,0,ROW()-1,60),ROW()-1,FALSE))</f>
        <v/>
      </c>
      <c r="AE566" t="str">
        <f ca="1">IF(AND(ISNUMBER($AE$1225),$B$677=1),$AE$1225,HLOOKUP(INDIRECT(ADDRESS(2,COLUMN())),OFFSET($BN$2,0,0,ROW()-1,60),ROW()-1,FALSE))</f>
        <v/>
      </c>
      <c r="AF566" t="str">
        <f ca="1">IF(AND(ISNUMBER($AF$1225),$B$677=1),$AF$1225,HLOOKUP(INDIRECT(ADDRESS(2,COLUMN())),OFFSET($BN$2,0,0,ROW()-1,60),ROW()-1,FALSE))</f>
        <v/>
      </c>
      <c r="AG566" t="str">
        <f ca="1">IF(AND(ISNUMBER($AG$1225),$B$677=1),$AG$1225,HLOOKUP(INDIRECT(ADDRESS(2,COLUMN())),OFFSET($BN$2,0,0,ROW()-1,60),ROW()-1,FALSE))</f>
        <v/>
      </c>
      <c r="AH566" t="str">
        <f ca="1">IF(AND(ISNUMBER($AH$1225),$B$677=1),$AH$1225,HLOOKUP(INDIRECT(ADDRESS(2,COLUMN())),OFFSET($BN$2,0,0,ROW()-1,60),ROW()-1,FALSE))</f>
        <v/>
      </c>
      <c r="AI566" t="str">
        <f ca="1">IF(AND(ISNUMBER($AI$1225),$B$677=1),$AI$1225,HLOOKUP(INDIRECT(ADDRESS(2,COLUMN())),OFFSET($BN$2,0,0,ROW()-1,60),ROW()-1,FALSE))</f>
        <v/>
      </c>
      <c r="AJ566" t="str">
        <f ca="1">IF(AND(ISNUMBER($AJ$1225),$B$677=1),$AJ$1225,HLOOKUP(INDIRECT(ADDRESS(2,COLUMN())),OFFSET($BN$2,0,0,ROW()-1,60),ROW()-1,FALSE))</f>
        <v/>
      </c>
      <c r="AK566" t="str">
        <f ca="1">IF(AND(ISNUMBER($AK$1225),$B$677=1),$AK$1225,HLOOKUP(INDIRECT(ADDRESS(2,COLUMN())),OFFSET($BN$2,0,0,ROW()-1,60),ROW()-1,FALSE))</f>
        <v/>
      </c>
      <c r="AL566" t="str">
        <f ca="1">IF(AND(ISNUMBER($AL$1225),$B$677=1),$AL$1225,HLOOKUP(INDIRECT(ADDRESS(2,COLUMN())),OFFSET($BN$2,0,0,ROW()-1,60),ROW()-1,FALSE))</f>
        <v/>
      </c>
      <c r="AM566" t="str">
        <f ca="1">IF(AND(ISNUMBER($AM$1225),$B$677=1),$AM$1225,HLOOKUP(INDIRECT(ADDRESS(2,COLUMN())),OFFSET($BN$2,0,0,ROW()-1,60),ROW()-1,FALSE))</f>
        <v/>
      </c>
      <c r="AN566" t="str">
        <f ca="1">IF(AND(ISNUMBER($AN$1225),$B$677=1),$AN$1225,HLOOKUP(INDIRECT(ADDRESS(2,COLUMN())),OFFSET($BN$2,0,0,ROW()-1,60),ROW()-1,FALSE))</f>
        <v/>
      </c>
      <c r="AO566" t="str">
        <f ca="1">IF(AND(ISNUMBER($AO$1225),$B$677=1),$AO$1225,HLOOKUP(INDIRECT(ADDRESS(2,COLUMN())),OFFSET($BN$2,0,0,ROW()-1,60),ROW()-1,FALSE))</f>
        <v/>
      </c>
      <c r="AP566" t="str">
        <f ca="1">IF(AND(ISNUMBER($AP$1225),$B$677=1),$AP$1225,HLOOKUP(INDIRECT(ADDRESS(2,COLUMN())),OFFSET($BN$2,0,0,ROW()-1,60),ROW()-1,FALSE))</f>
        <v/>
      </c>
      <c r="AQ566" t="str">
        <f ca="1">IF(AND(ISNUMBER($AQ$1225),$B$677=1),$AQ$1225,HLOOKUP(INDIRECT(ADDRESS(2,COLUMN())),OFFSET($BN$2,0,0,ROW()-1,60),ROW()-1,FALSE))</f>
        <v/>
      </c>
      <c r="AR566" t="str">
        <f ca="1">IF(AND(ISNUMBER($AR$1225),$B$677=1),$AR$1225,HLOOKUP(INDIRECT(ADDRESS(2,COLUMN())),OFFSET($BN$2,0,0,ROW()-1,60),ROW()-1,FALSE))</f>
        <v/>
      </c>
      <c r="AS566" t="str">
        <f ca="1">IF(AND(ISNUMBER($AS$1225),$B$677=1),$AS$1225,HLOOKUP(INDIRECT(ADDRESS(2,COLUMN())),OFFSET($BN$2,0,0,ROW()-1,60),ROW()-1,FALSE))</f>
        <v/>
      </c>
      <c r="AT566" t="str">
        <f ca="1">IF(AND(ISNUMBER($AT$1225),$B$677=1),$AT$1225,HLOOKUP(INDIRECT(ADDRESS(2,COLUMN())),OFFSET($BN$2,0,0,ROW()-1,60),ROW()-1,FALSE))</f>
        <v/>
      </c>
      <c r="AU566" t="str">
        <f ca="1">IF(AND(ISNUMBER($AU$1225),$B$677=1),$AU$1225,HLOOKUP(INDIRECT(ADDRESS(2,COLUMN())),OFFSET($BN$2,0,0,ROW()-1,60),ROW()-1,FALSE))</f>
        <v/>
      </c>
      <c r="AV566" t="str">
        <f ca="1">IF(AND(ISNUMBER($AV$1225),$B$677=1),$AV$1225,HLOOKUP(INDIRECT(ADDRESS(2,COLUMN())),OFFSET($BN$2,0,0,ROW()-1,60),ROW()-1,FALSE))</f>
        <v/>
      </c>
      <c r="AW566" t="str">
        <f ca="1">IF(AND(ISNUMBER($AW$1225),$B$677=1),$AW$1225,HLOOKUP(INDIRECT(ADDRESS(2,COLUMN())),OFFSET($BN$2,0,0,ROW()-1,60),ROW()-1,FALSE))</f>
        <v/>
      </c>
      <c r="AX566" t="str">
        <f ca="1">IF(AND(ISNUMBER($AX$1225),$B$677=1),$AX$1225,HLOOKUP(INDIRECT(ADDRESS(2,COLUMN())),OFFSET($BN$2,0,0,ROW()-1,60),ROW()-1,FALSE))</f>
        <v/>
      </c>
      <c r="AY566" t="str">
        <f ca="1">IF(AND(ISNUMBER($AY$1225),$B$677=1),$AY$1225,HLOOKUP(INDIRECT(ADDRESS(2,COLUMN())),OFFSET($BN$2,0,0,ROW()-1,60),ROW()-1,FALSE))</f>
        <v/>
      </c>
      <c r="AZ566" t="str">
        <f ca="1">IF(AND(ISNUMBER($AZ$1225),$B$677=1),$AZ$1225,HLOOKUP(INDIRECT(ADDRESS(2,COLUMN())),OFFSET($BN$2,0,0,ROW()-1,60),ROW()-1,FALSE))</f>
        <v/>
      </c>
      <c r="BA566" t="str">
        <f ca="1">IF(AND(ISNUMBER($BA$1225),$B$677=1),$BA$1225,HLOOKUP(INDIRECT(ADDRESS(2,COLUMN())),OFFSET($BN$2,0,0,ROW()-1,60),ROW()-1,FALSE))</f>
        <v/>
      </c>
      <c r="BB566" t="str">
        <f ca="1">IF(AND(ISNUMBER($BB$1225),$B$677=1),$BB$1225,HLOOKUP(INDIRECT(ADDRESS(2,COLUMN())),OFFSET($BN$2,0,0,ROW()-1,60),ROW()-1,FALSE))</f>
        <v/>
      </c>
      <c r="BC566" t="str">
        <f ca="1">IF(AND(ISNUMBER($BC$1225),$B$677=1),$BC$1225,HLOOKUP(INDIRECT(ADDRESS(2,COLUMN())),OFFSET($BN$2,0,0,ROW()-1,60),ROW()-1,FALSE))</f>
        <v/>
      </c>
      <c r="BD566" t="str">
        <f ca="1">IF(AND(ISNUMBER($BD$1225),$B$677=1),$BD$1225,HLOOKUP(INDIRECT(ADDRESS(2,COLUMN())),OFFSET($BN$2,0,0,ROW()-1,60),ROW()-1,FALSE))</f>
        <v/>
      </c>
      <c r="BE566" t="str">
        <f ca="1">IF(AND(ISNUMBER($BE$1225),$B$677=1),$BE$1225,HLOOKUP(INDIRECT(ADDRESS(2,COLUMN())),OFFSET($BN$2,0,0,ROW()-1,60),ROW()-1,FALSE))</f>
        <v/>
      </c>
      <c r="BF566" t="str">
        <f ca="1">IF(AND(ISNUMBER($BF$1225),$B$677=1),$BF$1225,HLOOKUP(INDIRECT(ADDRESS(2,COLUMN())),OFFSET($BN$2,0,0,ROW()-1,60),ROW()-1,FALSE))</f>
        <v/>
      </c>
      <c r="BG566" t="str">
        <f ca="1">IF(AND(ISNUMBER($BG$1225),$B$677=1),$BG$1225,HLOOKUP(INDIRECT(ADDRESS(2,COLUMN())),OFFSET($BN$2,0,0,ROW()-1,60),ROW()-1,FALSE))</f>
        <v/>
      </c>
      <c r="BH566" t="str">
        <f ca="1">IF(AND(ISNUMBER($BH$1225),$B$677=1),$BH$1225,HLOOKUP(INDIRECT(ADDRESS(2,COLUMN())),OFFSET($BN$2,0,0,ROW()-1,60),ROW()-1,FALSE))</f>
        <v/>
      </c>
      <c r="BI566" t="str">
        <f ca="1">IF(AND(ISNUMBER($BI$1225),$B$677=1),$BI$1225,HLOOKUP(INDIRECT(ADDRESS(2,COLUMN())),OFFSET($BN$2,0,0,ROW()-1,60),ROW()-1,FALSE))</f>
        <v/>
      </c>
      <c r="BJ566" t="str">
        <f ca="1">IF(AND(ISNUMBER($BJ$1225),$B$677=1),$BJ$1225,HLOOKUP(INDIRECT(ADDRESS(2,COLUMN())),OFFSET($BN$2,0,0,ROW()-1,60),ROW()-1,FALSE))</f>
        <v/>
      </c>
      <c r="BK566" t="str">
        <f ca="1">IF(AND(ISNUMBER($BK$1225),$B$677=1),$BK$1225,HLOOKUP(INDIRECT(ADDRESS(2,COLUMN())),OFFSET($BN$2,0,0,ROW()-1,60),ROW()-1,FALSE))</f>
        <v/>
      </c>
      <c r="BL566" t="str">
        <f ca="1">IF(AND(ISNUMBER($BL$1225),$B$677=1),$BL$1225,HLOOKUP(INDIRECT(ADDRESS(2,COLUMN())),OFFSET($BN$2,0,0,ROW()-1,60),ROW()-1,FALSE))</f>
        <v/>
      </c>
      <c r="BM566" t="str">
        <f ca="1">IF(AND(ISNUMBER($BM$1225),$B$677=1),$BM$1225,HLOOKUP(INDIRECT(ADDRESS(2,COLUMN())),OFFSET($BN$2,0,0,ROW()-1,60),ROW()-1,FALSE))</f>
        <v/>
      </c>
      <c r="BN566" t="str">
        <f>""</f>
        <v/>
      </c>
      <c r="BO566" t="str">
        <f>""</f>
        <v/>
      </c>
      <c r="BP566" t="str">
        <f>""</f>
        <v/>
      </c>
      <c r="BQ566" t="str">
        <f>""</f>
        <v/>
      </c>
      <c r="BR566" t="str">
        <f>""</f>
        <v/>
      </c>
      <c r="BS566" t="str">
        <f>""</f>
        <v/>
      </c>
      <c r="BT566" t="str">
        <f>""</f>
        <v/>
      </c>
      <c r="BU566" t="str">
        <f>""</f>
        <v/>
      </c>
      <c r="BV566" t="str">
        <f>""</f>
        <v/>
      </c>
      <c r="BW566" t="str">
        <f>""</f>
        <v/>
      </c>
      <c r="BX566" t="str">
        <f>""</f>
        <v/>
      </c>
      <c r="BY566" t="str">
        <f>""</f>
        <v/>
      </c>
      <c r="BZ566" t="str">
        <f>""</f>
        <v/>
      </c>
      <c r="CA566" t="str">
        <f>""</f>
        <v/>
      </c>
      <c r="CB566" t="str">
        <f>""</f>
        <v/>
      </c>
      <c r="CC566" t="str">
        <f>""</f>
        <v/>
      </c>
      <c r="CD566" t="str">
        <f>""</f>
        <v/>
      </c>
      <c r="CE566" t="str">
        <f>""</f>
        <v/>
      </c>
      <c r="CF566" t="str">
        <f>""</f>
        <v/>
      </c>
      <c r="CG566" t="str">
        <f>""</f>
        <v/>
      </c>
      <c r="CH566" t="str">
        <f>""</f>
        <v/>
      </c>
      <c r="CI566" t="str">
        <f>""</f>
        <v/>
      </c>
      <c r="CJ566" t="str">
        <f>""</f>
        <v/>
      </c>
      <c r="CK566" t="str">
        <f>""</f>
        <v/>
      </c>
      <c r="CL566" t="str">
        <f>""</f>
        <v/>
      </c>
      <c r="CM566" t="str">
        <f>""</f>
        <v/>
      </c>
      <c r="CN566" t="str">
        <f>""</f>
        <v/>
      </c>
      <c r="CO566" t="str">
        <f>""</f>
        <v/>
      </c>
      <c r="CP566" t="str">
        <f>""</f>
        <v/>
      </c>
      <c r="CQ566" t="str">
        <f>""</f>
        <v/>
      </c>
      <c r="CR566" t="str">
        <f>""</f>
        <v/>
      </c>
      <c r="CS566" t="str">
        <f>""</f>
        <v/>
      </c>
      <c r="CT566" t="str">
        <f>""</f>
        <v/>
      </c>
      <c r="CU566" t="str">
        <f>""</f>
        <v/>
      </c>
      <c r="CV566" t="str">
        <f>""</f>
        <v/>
      </c>
      <c r="CW566" t="str">
        <f>""</f>
        <v/>
      </c>
      <c r="CX566" t="str">
        <f>""</f>
        <v/>
      </c>
      <c r="CY566" t="str">
        <f>""</f>
        <v/>
      </c>
      <c r="CZ566" t="str">
        <f>""</f>
        <v/>
      </c>
      <c r="DA566" t="str">
        <f>""</f>
        <v/>
      </c>
      <c r="DB566" t="str">
        <f>""</f>
        <v/>
      </c>
      <c r="DC566" t="str">
        <f>""</f>
        <v/>
      </c>
      <c r="DD566" t="str">
        <f>""</f>
        <v/>
      </c>
      <c r="DE566" t="str">
        <f>""</f>
        <v/>
      </c>
      <c r="DF566" t="str">
        <f>""</f>
        <v/>
      </c>
      <c r="DG566" t="str">
        <f>""</f>
        <v/>
      </c>
      <c r="DH566" t="str">
        <f>""</f>
        <v/>
      </c>
      <c r="DI566" t="str">
        <f>""</f>
        <v/>
      </c>
      <c r="DJ566" t="str">
        <f>""</f>
        <v/>
      </c>
      <c r="DK566" t="str">
        <f>""</f>
        <v/>
      </c>
      <c r="DL566" t="str">
        <f>""</f>
        <v/>
      </c>
      <c r="DM566" t="str">
        <f>""</f>
        <v/>
      </c>
      <c r="DN566" t="str">
        <f>""</f>
        <v/>
      </c>
      <c r="DO566" t="str">
        <f>""</f>
        <v/>
      </c>
      <c r="DP566" t="str">
        <f>""</f>
        <v/>
      </c>
      <c r="DQ566" t="str">
        <f>""</f>
        <v/>
      </c>
      <c r="DR566" t="str">
        <f>""</f>
        <v/>
      </c>
      <c r="DS566" t="str">
        <f>""</f>
        <v/>
      </c>
      <c r="DT566" t="str">
        <f>""</f>
        <v/>
      </c>
      <c r="DU566" t="str">
        <f>""</f>
        <v/>
      </c>
    </row>
    <row r="567" spans="1:125" x14ac:dyDescent="0.25">
      <c r="A567" t="str">
        <f>"    SAIC Motor Corp Ltd"</f>
        <v xml:space="preserve">    SAIC Motor Corp Ltd</v>
      </c>
      <c r="B567" t="str">
        <f>"600104 CH Equity"</f>
        <v>600104 CH Equity</v>
      </c>
      <c r="C567" t="str">
        <f t="shared" si="39"/>
        <v>RX076</v>
      </c>
      <c r="D567" t="str">
        <f t="shared" si="40"/>
        <v>EBIT_YIELD</v>
      </c>
      <c r="E567" t="str">
        <f t="shared" si="41"/>
        <v>Dynamic</v>
      </c>
      <c r="F567">
        <f ca="1">IF(AND(ISNUMBER($F$1226),$B$677=1),$F$1226,HLOOKUP(INDIRECT(ADDRESS(2,COLUMN())),OFFSET($BN$2,0,0,ROW()-1,60),ROW()-1,FALSE))</f>
        <v>8.6440304720000007</v>
      </c>
      <c r="G567">
        <f ca="1">IF(AND(ISNUMBER($G$1226),$B$677=1),$G$1226,HLOOKUP(INDIRECT(ADDRESS(2,COLUMN())),OFFSET($BN$2,0,0,ROW()-1,60),ROW()-1,FALSE))</f>
        <v>9.2079829659999994</v>
      </c>
      <c r="H567">
        <f ca="1">IF(AND(ISNUMBER($H$1226),$B$677=1),$H$1226,HLOOKUP(INDIRECT(ADDRESS(2,COLUMN())),OFFSET($BN$2,0,0,ROW()-1,60),ROW()-1,FALSE))</f>
        <v>7.3791137530000004</v>
      </c>
      <c r="I567">
        <f ca="1">IF(AND(ISNUMBER($I$1226),$B$677=1),$I$1226,HLOOKUP(INDIRECT(ADDRESS(2,COLUMN())),OFFSET($BN$2,0,0,ROW()-1,60),ROW()-1,FALSE))</f>
        <v>6.8234766589999998</v>
      </c>
      <c r="J567">
        <f ca="1">IF(AND(ISNUMBER($J$1226),$B$677=1),$J$1226,HLOOKUP(INDIRECT(ADDRESS(2,COLUMN())),OFFSET($BN$2,0,0,ROW()-1,60),ROW()-1,FALSE))</f>
        <v>6.4764164559999999</v>
      </c>
      <c r="K567">
        <f ca="1">IF(AND(ISNUMBER($K$1226),$B$677=1),$K$1226,HLOOKUP(INDIRECT(ADDRESS(2,COLUMN())),OFFSET($BN$2,0,0,ROW()-1,60),ROW()-1,FALSE))</f>
        <v>6.2988358580000003</v>
      </c>
      <c r="L567">
        <f ca="1">IF(AND(ISNUMBER($L$1226),$B$677=1),$L$1226,HLOOKUP(INDIRECT(ADDRESS(2,COLUMN())),OFFSET($BN$2,0,0,ROW()-1,60),ROW()-1,FALSE))</f>
        <v>5.4557427980000002</v>
      </c>
      <c r="M567">
        <f ca="1">IF(AND(ISNUMBER($M$1226),$B$677=1),$M$1226,HLOOKUP(INDIRECT(ADDRESS(2,COLUMN())),OFFSET($BN$2,0,0,ROW()-1,60),ROW()-1,FALSE))</f>
        <v>5.278973594</v>
      </c>
      <c r="N567">
        <f ca="1">IF(AND(ISNUMBER($N$1226),$B$677=1),$N$1226,HLOOKUP(INDIRECT(ADDRESS(2,COLUMN())),OFFSET($BN$2,0,0,ROW()-1,60),ROW()-1,FALSE))</f>
        <v>6.1486757580000004</v>
      </c>
      <c r="O567">
        <f ca="1">IF(AND(ISNUMBER($O$1226),$B$677=1),$O$1226,HLOOKUP(INDIRECT(ADDRESS(2,COLUMN())),OFFSET($BN$2,0,0,ROW()-1,60),ROW()-1,FALSE))</f>
        <v>6.8304048000000002</v>
      </c>
      <c r="P567">
        <f ca="1">IF(AND(ISNUMBER($P$1226),$B$677=1),$P$1226,HLOOKUP(INDIRECT(ADDRESS(2,COLUMN())),OFFSET($BN$2,0,0,ROW()-1,60),ROW()-1,FALSE))</f>
        <v>6.2730610880000004</v>
      </c>
      <c r="Q567">
        <f ca="1">IF(AND(ISNUMBER($Q$1226),$B$677=1),$Q$1226,HLOOKUP(INDIRECT(ADDRESS(2,COLUMN())),OFFSET($BN$2,0,0,ROW()-1,60),ROW()-1,FALSE))</f>
        <v>6.6181058210000003</v>
      </c>
      <c r="R567">
        <f ca="1">IF(AND(ISNUMBER($R$1226),$B$677=1),$R$1226,HLOOKUP(INDIRECT(ADDRESS(2,COLUMN())),OFFSET($BN$2,0,0,ROW()-1,60),ROW()-1,FALSE))</f>
        <v>6.6829992819999999</v>
      </c>
      <c r="S567">
        <f ca="1">IF(AND(ISNUMBER($S$1226),$B$677=1),$S$1226,HLOOKUP(INDIRECT(ADDRESS(2,COLUMN())),OFFSET($BN$2,0,0,ROW()-1,60),ROW()-1,FALSE))</f>
        <v>5.8462122699999997</v>
      </c>
      <c r="T567">
        <f ca="1">IF(AND(ISNUMBER($T$1226),$B$677=1),$T$1226,HLOOKUP(INDIRECT(ADDRESS(2,COLUMN())),OFFSET($BN$2,0,0,ROW()-1,60),ROW()-1,FALSE))</f>
        <v>7.3052167649999999</v>
      </c>
      <c r="U567">
        <f ca="1">IF(AND(ISNUMBER($U$1226),$B$677=1),$U$1226,HLOOKUP(INDIRECT(ADDRESS(2,COLUMN())),OFFSET($BN$2,0,0,ROW()-1,60),ROW()-1,FALSE))</f>
        <v>4.8937721730000003</v>
      </c>
      <c r="V567">
        <f ca="1">IF(AND(ISNUMBER($V$1226),$B$677=1),$V$1226,HLOOKUP(INDIRECT(ADDRESS(2,COLUMN())),OFFSET($BN$2,0,0,ROW()-1,60),ROW()-1,FALSE))</f>
        <v>4.202962243</v>
      </c>
      <c r="W567">
        <f ca="1">IF(AND(ISNUMBER($W$1226),$B$677=1),$W$1226,HLOOKUP(INDIRECT(ADDRESS(2,COLUMN())),OFFSET($BN$2,0,0,ROW()-1,60),ROW()-1,FALSE))</f>
        <v>5.209752387</v>
      </c>
      <c r="X567">
        <f ca="1">IF(AND(ISNUMBER($X$1226),$B$677=1),$X$1226,HLOOKUP(INDIRECT(ADDRESS(2,COLUMN())),OFFSET($BN$2,0,0,ROW()-1,60),ROW()-1,FALSE))</f>
        <v>8.0236053770000009</v>
      </c>
      <c r="Y567">
        <f ca="1">IF(AND(ISNUMBER($Y$1226),$B$677=1),$Y$1226,HLOOKUP(INDIRECT(ADDRESS(2,COLUMN())),OFFSET($BN$2,0,0,ROW()-1,60),ROW()-1,FALSE))</f>
        <v>9.5190740250000001</v>
      </c>
      <c r="Z567">
        <f ca="1">IF(AND(ISNUMBER($Z$1226),$B$677=1),$Z$1226,HLOOKUP(INDIRECT(ADDRESS(2,COLUMN())),OFFSET($BN$2,0,0,ROW()-1,60),ROW()-1,FALSE))</f>
        <v>10.20327749</v>
      </c>
      <c r="AA567">
        <f ca="1">IF(AND(ISNUMBER($AA$1226),$B$677=1),$AA$1226,HLOOKUP(INDIRECT(ADDRESS(2,COLUMN())),OFFSET($BN$2,0,0,ROW()-1,60),ROW()-1,FALSE))</f>
        <v>9.2774032389999999</v>
      </c>
      <c r="AB567">
        <f ca="1">IF(AND(ISNUMBER($AB$1226),$B$677=1),$AB$1226,HLOOKUP(INDIRECT(ADDRESS(2,COLUMN())),OFFSET($BN$2,0,0,ROW()-1,60),ROW()-1,FALSE))</f>
        <v>9.2244461300000005</v>
      </c>
      <c r="AC567">
        <f ca="1">IF(AND(ISNUMBER($AC$1226),$B$677=1),$AC$1226,HLOOKUP(INDIRECT(ADDRESS(2,COLUMN())),OFFSET($BN$2,0,0,ROW()-1,60),ROW()-1,FALSE))</f>
        <v>10.752252370000001</v>
      </c>
      <c r="AD567">
        <f ca="1">IF(AND(ISNUMBER($AD$1226),$B$677=1),$AD$1226,HLOOKUP(INDIRECT(ADDRESS(2,COLUMN())),OFFSET($BN$2,0,0,ROW()-1,60),ROW()-1,FALSE))</f>
        <v>12.19089106</v>
      </c>
      <c r="AE567">
        <f ca="1">IF(AND(ISNUMBER($AE$1226),$B$677=1),$AE$1226,HLOOKUP(INDIRECT(ADDRESS(2,COLUMN())),OFFSET($BN$2,0,0,ROW()-1,60),ROW()-1,FALSE))</f>
        <v>12.22859549</v>
      </c>
      <c r="AF567">
        <f ca="1">IF(AND(ISNUMBER($AF$1226),$B$677=1),$AF$1226,HLOOKUP(INDIRECT(ADDRESS(2,COLUMN())),OFFSET($BN$2,0,0,ROW()-1,60),ROW()-1,FALSE))</f>
        <v>20.299584979999999</v>
      </c>
      <c r="AG567">
        <f ca="1">IF(AND(ISNUMBER($AG$1226),$B$677=1),$AG$1226,HLOOKUP(INDIRECT(ADDRESS(2,COLUMN())),OFFSET($BN$2,0,0,ROW()-1,60),ROW()-1,FALSE))</f>
        <v>21.269574299999999</v>
      </c>
      <c r="AH567">
        <f ca="1">IF(AND(ISNUMBER($AH$1226),$B$677=1),$AH$1226,HLOOKUP(INDIRECT(ADDRESS(2,COLUMN())),OFFSET($BN$2,0,0,ROW()-1,60),ROW()-1,FALSE))</f>
        <v>21.75748424</v>
      </c>
      <c r="AI567">
        <f ca="1">IF(AND(ISNUMBER($AI$1226),$B$677=1),$AI$1226,HLOOKUP(INDIRECT(ADDRESS(2,COLUMN())),OFFSET($BN$2,0,0,ROW()-1,60),ROW()-1,FALSE))</f>
        <v>24.180780339999998</v>
      </c>
      <c r="AJ567">
        <f ca="1">IF(AND(ISNUMBER($AJ$1226),$B$677=1),$AJ$1226,HLOOKUP(INDIRECT(ADDRESS(2,COLUMN())),OFFSET($BN$2,0,0,ROW()-1,60),ROW()-1,FALSE))</f>
        <v>20.925296379999999</v>
      </c>
      <c r="AK567">
        <f ca="1">IF(AND(ISNUMBER($AK$1226),$B$677=1),$AK$1226,HLOOKUP(INDIRECT(ADDRESS(2,COLUMN())),OFFSET($BN$2,0,0,ROW()-1,60),ROW()-1,FALSE))</f>
        <v>17.570633430000001</v>
      </c>
      <c r="AL567">
        <f ca="1">IF(AND(ISNUMBER($AL$1226),$B$677=1),$AL$1226,HLOOKUP(INDIRECT(ADDRESS(2,COLUMN())),OFFSET($BN$2,0,0,ROW()-1,60),ROW()-1,FALSE))</f>
        <v>14.43307549</v>
      </c>
      <c r="AM567">
        <f ca="1">IF(AND(ISNUMBER($AM$1226),$B$677=1),$AM$1226,HLOOKUP(INDIRECT(ADDRESS(2,COLUMN())),OFFSET($BN$2,0,0,ROW()-1,60),ROW()-1,FALSE))</f>
        <v>18.139662319999999</v>
      </c>
      <c r="AN567">
        <f ca="1">IF(AND(ISNUMBER($AN$1226),$B$677=1),$AN$1226,HLOOKUP(INDIRECT(ADDRESS(2,COLUMN())),OFFSET($BN$2,0,0,ROW()-1,60),ROW()-1,FALSE))</f>
        <v>10.20399999</v>
      </c>
      <c r="AO567">
        <f ca="1">IF(AND(ISNUMBER($AO$1226),$B$677=1),$AO$1226,HLOOKUP(INDIRECT(ADDRESS(2,COLUMN())),OFFSET($BN$2,0,0,ROW()-1,60),ROW()-1,FALSE))</f>
        <v>9.0736852349999992</v>
      </c>
      <c r="AP567">
        <f ca="1">IF(AND(ISNUMBER($AP$1226),$B$677=1),$AP$1226,HLOOKUP(INDIRECT(ADDRESS(2,COLUMN())),OFFSET($BN$2,0,0,ROW()-1,60),ROW()-1,FALSE))</f>
        <v>2.96336472</v>
      </c>
      <c r="AQ567">
        <f ca="1">IF(AND(ISNUMBER($AQ$1226),$B$677=1),$AQ$1226,HLOOKUP(INDIRECT(ADDRESS(2,COLUMN())),OFFSET($BN$2,0,0,ROW()-1,60),ROW()-1,FALSE))</f>
        <v>0.38265131400000002</v>
      </c>
      <c r="AR567">
        <f ca="1">IF(AND(ISNUMBER($AR$1226),$B$677=1),$AR$1226,HLOOKUP(INDIRECT(ADDRESS(2,COLUMN())),OFFSET($BN$2,0,0,ROW()-1,60),ROW()-1,FALSE))</f>
        <v>-0.19522683399999999</v>
      </c>
      <c r="AS567">
        <f ca="1">IF(AND(ISNUMBER($AS$1226),$B$677=1),$AS$1226,HLOOKUP(INDIRECT(ADDRESS(2,COLUMN())),OFFSET($BN$2,0,0,ROW()-1,60),ROW()-1,FALSE))</f>
        <v>-1.2549652339999999</v>
      </c>
      <c r="AT567">
        <f ca="1">IF(AND(ISNUMBER($AT$1226),$B$677=1),$AT$1226,HLOOKUP(INDIRECT(ADDRESS(2,COLUMN())),OFFSET($BN$2,0,0,ROW()-1,60),ROW()-1,FALSE))</f>
        <v>-1.781160246</v>
      </c>
      <c r="AU567">
        <f ca="1">IF(AND(ISNUMBER($AU$1226),$B$677=1),$AU$1226,HLOOKUP(INDIRECT(ADDRESS(2,COLUMN())),OFFSET($BN$2,0,0,ROW()-1,60),ROW()-1,FALSE))</f>
        <v>-3.753379786</v>
      </c>
      <c r="AV567">
        <f ca="1">IF(AND(ISNUMBER($AV$1226),$B$677=1),$AV$1226,HLOOKUP(INDIRECT(ADDRESS(2,COLUMN())),OFFSET($BN$2,0,0,ROW()-1,60),ROW()-1,FALSE))</f>
        <v>-2.3059547829999998</v>
      </c>
      <c r="AW567">
        <f ca="1">IF(AND(ISNUMBER($AW$1226),$B$677=1),$AW$1226,HLOOKUP(INDIRECT(ADDRESS(2,COLUMN())),OFFSET($BN$2,0,0,ROW()-1,60),ROW()-1,FALSE))</f>
        <v>-1.386788339</v>
      </c>
      <c r="AX567">
        <f ca="1">IF(AND(ISNUMBER($AX$1226),$B$677=1),$AX$1226,HLOOKUP(INDIRECT(ADDRESS(2,COLUMN())),OFFSET($BN$2,0,0,ROW()-1,60),ROW()-1,FALSE))</f>
        <v>-0.19857951500000001</v>
      </c>
      <c r="AY567">
        <f ca="1">IF(AND(ISNUMBER($AY$1226),$B$677=1),$AY$1226,HLOOKUP(INDIRECT(ADDRESS(2,COLUMN())),OFFSET($BN$2,0,0,ROW()-1,60),ROW()-1,FALSE))</f>
        <v>-8.2242398999999994E-2</v>
      </c>
      <c r="AZ567">
        <f ca="1">IF(AND(ISNUMBER($AZ$1226),$B$677=1),$AZ$1226,HLOOKUP(INDIRECT(ADDRESS(2,COLUMN())),OFFSET($BN$2,0,0,ROW()-1,60),ROW()-1,FALSE))</f>
        <v>0.17601803699999999</v>
      </c>
      <c r="BA567">
        <f ca="1">IF(AND(ISNUMBER($BA$1226),$B$677=1),$BA$1226,HLOOKUP(INDIRECT(ADDRESS(2,COLUMN())),OFFSET($BN$2,0,0,ROW()-1,60),ROW()-1,FALSE))</f>
        <v>0.16673676600000001</v>
      </c>
      <c r="BB567">
        <f ca="1">IF(AND(ISNUMBER($BB$1226),$B$677=1),$BB$1226,HLOOKUP(INDIRECT(ADDRESS(2,COLUMN())),OFFSET($BN$2,0,0,ROW()-1,60),ROW()-1,FALSE))</f>
        <v>-0.29177723700000002</v>
      </c>
      <c r="BC567">
        <f ca="1">IF(AND(ISNUMBER($BC$1226),$B$677=1),$BC$1226,HLOOKUP(INDIRECT(ADDRESS(2,COLUMN())),OFFSET($BN$2,0,0,ROW()-1,60),ROW()-1,FALSE))</f>
        <v>-0.42482462399999998</v>
      </c>
      <c r="BD567">
        <f ca="1">IF(AND(ISNUMBER($BD$1226),$B$677=1),$BD$1226,HLOOKUP(INDIRECT(ADDRESS(2,COLUMN())),OFFSET($BN$2,0,0,ROW()-1,60),ROW()-1,FALSE))</f>
        <v>-0.17315474</v>
      </c>
      <c r="BE567">
        <f ca="1">IF(AND(ISNUMBER($BE$1226),$B$677=1),$BE$1226,HLOOKUP(INDIRECT(ADDRESS(2,COLUMN())),OFFSET($BN$2,0,0,ROW()-1,60),ROW()-1,FALSE))</f>
        <v>0.39405777199999997</v>
      </c>
      <c r="BF567">
        <f ca="1">IF(AND(ISNUMBER($BF$1226),$B$677=1),$BF$1226,HLOOKUP(INDIRECT(ADDRESS(2,COLUMN())),OFFSET($BN$2,0,0,ROW()-1,60),ROW()-1,FALSE))</f>
        <v>1.0856067</v>
      </c>
      <c r="BG567">
        <f ca="1">IF(AND(ISNUMBER($BG$1226),$B$677=1),$BG$1226,HLOOKUP(INDIRECT(ADDRESS(2,COLUMN())),OFFSET($BN$2,0,0,ROW()-1,60),ROW()-1,FALSE))</f>
        <v>1.793144214</v>
      </c>
      <c r="BH567">
        <f ca="1">IF(AND(ISNUMBER($BH$1226),$B$677=1),$BH$1226,HLOOKUP(INDIRECT(ADDRESS(2,COLUMN())),OFFSET($BN$2,0,0,ROW()-1,60),ROW()-1,FALSE))</f>
        <v>1.9890181709999999</v>
      </c>
      <c r="BI567">
        <f ca="1">IF(AND(ISNUMBER($BI$1226),$B$677=1),$BI$1226,HLOOKUP(INDIRECT(ADDRESS(2,COLUMN())),OFFSET($BN$2,0,0,ROW()-1,60),ROW()-1,FALSE))</f>
        <v>2.3868218049999999</v>
      </c>
      <c r="BJ567">
        <f ca="1">IF(AND(ISNUMBER($BJ$1226),$B$677=1),$BJ$1226,HLOOKUP(INDIRECT(ADDRESS(2,COLUMN())),OFFSET($BN$2,0,0,ROW()-1,60),ROW()-1,FALSE))</f>
        <v>3.152356224</v>
      </c>
      <c r="BK567">
        <f ca="1">IF(AND(ISNUMBER($BK$1226),$B$677=1),$BK$1226,HLOOKUP(INDIRECT(ADDRESS(2,COLUMN())),OFFSET($BN$2,0,0,ROW()-1,60),ROW()-1,FALSE))</f>
        <v>3.5130014219999999</v>
      </c>
      <c r="BL567">
        <f ca="1">IF(AND(ISNUMBER($BL$1226),$B$677=1),$BL$1226,HLOOKUP(INDIRECT(ADDRESS(2,COLUMN())),OFFSET($BN$2,0,0,ROW()-1,60),ROW()-1,FALSE))</f>
        <v>1.789231891</v>
      </c>
      <c r="BM567">
        <f ca="1">IF(AND(ISNUMBER($BM$1226),$B$677=1),$BM$1226,HLOOKUP(INDIRECT(ADDRESS(2,COLUMN())),OFFSET($BN$2,0,0,ROW()-1,60),ROW()-1,FALSE))</f>
        <v>1.175522186</v>
      </c>
      <c r="BN567">
        <f>8.644030472</f>
        <v>8.6440304720000007</v>
      </c>
      <c r="BO567">
        <f>9.207982966</f>
        <v>9.2079829659999994</v>
      </c>
      <c r="BP567">
        <f>7.379113753</f>
        <v>7.3791137530000004</v>
      </c>
      <c r="BQ567">
        <f>6.823476659</f>
        <v>6.8234766589999998</v>
      </c>
      <c r="BR567">
        <f>6.476416456</f>
        <v>6.4764164559999999</v>
      </c>
      <c r="BS567">
        <f>6.298835858</f>
        <v>6.2988358580000003</v>
      </c>
      <c r="BT567">
        <f>5.455742798</f>
        <v>5.4557427980000002</v>
      </c>
      <c r="BU567">
        <f>5.278973594</f>
        <v>5.278973594</v>
      </c>
      <c r="BV567">
        <f>6.148675758</f>
        <v>6.1486757580000004</v>
      </c>
      <c r="BW567">
        <f>6.8304048</f>
        <v>6.8304048000000002</v>
      </c>
      <c r="BX567">
        <f>6.273061088</f>
        <v>6.2730610880000004</v>
      </c>
      <c r="BY567">
        <f>6.618105821</f>
        <v>6.6181058210000003</v>
      </c>
      <c r="BZ567">
        <f>6.682999282</f>
        <v>6.6829992819999999</v>
      </c>
      <c r="CA567">
        <f>5.84621227</f>
        <v>5.8462122699999997</v>
      </c>
      <c r="CB567">
        <f>7.305216765</f>
        <v>7.3052167649999999</v>
      </c>
      <c r="CC567">
        <f>4.893772173</f>
        <v>4.8937721730000003</v>
      </c>
      <c r="CD567">
        <f>4.202962243</f>
        <v>4.202962243</v>
      </c>
      <c r="CE567">
        <f>5.209752387</f>
        <v>5.209752387</v>
      </c>
      <c r="CF567">
        <f>8.023605377</f>
        <v>8.0236053770000009</v>
      </c>
      <c r="CG567">
        <f>9.519074025</f>
        <v>9.5190740250000001</v>
      </c>
      <c r="CH567">
        <f>10.20327749</f>
        <v>10.20327749</v>
      </c>
      <c r="CI567">
        <f>9.277403239</f>
        <v>9.2774032389999999</v>
      </c>
      <c r="CJ567">
        <f>9.22444613</f>
        <v>9.2244461300000005</v>
      </c>
      <c r="CK567">
        <f>10.75225237</f>
        <v>10.752252370000001</v>
      </c>
      <c r="CL567">
        <f>12.19089106</f>
        <v>12.19089106</v>
      </c>
      <c r="CM567">
        <f>12.22859549</f>
        <v>12.22859549</v>
      </c>
      <c r="CN567">
        <f>20.29958498</f>
        <v>20.299584979999999</v>
      </c>
      <c r="CO567">
        <f>21.2695743</f>
        <v>21.269574299999999</v>
      </c>
      <c r="CP567">
        <f>21.75748424</f>
        <v>21.75748424</v>
      </c>
      <c r="CQ567">
        <f>24.18078034</f>
        <v>24.180780339999998</v>
      </c>
      <c r="CR567">
        <f>20.92529638</f>
        <v>20.925296379999999</v>
      </c>
      <c r="CS567">
        <f>17.57063343</f>
        <v>17.570633430000001</v>
      </c>
      <c r="CT567">
        <f>14.43307549</f>
        <v>14.43307549</v>
      </c>
      <c r="CU567">
        <f>18.13966232</f>
        <v>18.139662319999999</v>
      </c>
      <c r="CV567">
        <f>10.20399999</f>
        <v>10.20399999</v>
      </c>
      <c r="CW567">
        <f>9.073685235</f>
        <v>9.0736852349999992</v>
      </c>
      <c r="CX567">
        <f>2.96336472</f>
        <v>2.96336472</v>
      </c>
      <c r="CY567">
        <f>0.382651314</f>
        <v>0.38265131400000002</v>
      </c>
      <c r="CZ567">
        <f>-0.195226834</f>
        <v>-0.19522683399999999</v>
      </c>
      <c r="DA567">
        <f>-1.254965234</f>
        <v>-1.2549652339999999</v>
      </c>
      <c r="DB567">
        <f>-1.781160246</f>
        <v>-1.781160246</v>
      </c>
      <c r="DC567">
        <f>-3.753379786</f>
        <v>-3.753379786</v>
      </c>
      <c r="DD567">
        <f>-2.305954783</f>
        <v>-2.3059547829999998</v>
      </c>
      <c r="DE567">
        <f>-1.386788339</f>
        <v>-1.386788339</v>
      </c>
      <c r="DF567">
        <f>-0.198579515</f>
        <v>-0.19857951500000001</v>
      </c>
      <c r="DG567">
        <f>-0.082242399</f>
        <v>-8.2242398999999994E-2</v>
      </c>
      <c r="DH567">
        <f>0.176018037</f>
        <v>0.17601803699999999</v>
      </c>
      <c r="DI567">
        <f>0.166736766</f>
        <v>0.16673676600000001</v>
      </c>
      <c r="DJ567">
        <f>-0.291777237</f>
        <v>-0.29177723700000002</v>
      </c>
      <c r="DK567">
        <f>-0.424824624</f>
        <v>-0.42482462399999998</v>
      </c>
      <c r="DL567">
        <f>-0.17315474</f>
        <v>-0.17315474</v>
      </c>
      <c r="DM567">
        <f>0.394057772</f>
        <v>0.39405777199999997</v>
      </c>
      <c r="DN567">
        <f>1.0856067</f>
        <v>1.0856067</v>
      </c>
      <c r="DO567">
        <f>1.793144214</f>
        <v>1.793144214</v>
      </c>
      <c r="DP567">
        <f>1.989018171</f>
        <v>1.9890181709999999</v>
      </c>
      <c r="DQ567">
        <f>2.386821805</f>
        <v>2.3868218049999999</v>
      </c>
      <c r="DR567">
        <f>3.152356224</f>
        <v>3.152356224</v>
      </c>
      <c r="DS567">
        <f>3.513001422</f>
        <v>3.5130014219999999</v>
      </c>
      <c r="DT567">
        <f>1.789231891</f>
        <v>1.789231891</v>
      </c>
      <c r="DU567">
        <f>1.175522186</f>
        <v>1.175522186</v>
      </c>
    </row>
    <row r="568" spans="1:125" x14ac:dyDescent="0.25">
      <c r="A568" t="str">
        <f>"    Sanyang Motor Co Ltd"</f>
        <v xml:space="preserve">    Sanyang Motor Co Ltd</v>
      </c>
      <c r="B568" t="str">
        <f>"2206 TT Equity"</f>
        <v>2206 TT Equity</v>
      </c>
      <c r="C568" t="str">
        <f t="shared" si="39"/>
        <v>RX076</v>
      </c>
      <c r="D568" t="str">
        <f t="shared" si="40"/>
        <v>EBIT_YIELD</v>
      </c>
      <c r="E568" t="str">
        <f t="shared" si="41"/>
        <v>Dynamic</v>
      </c>
      <c r="F568">
        <f ca="1">IF(AND(ISNUMBER($F$1227),$B$677=1),$F$1227,HLOOKUP(INDIRECT(ADDRESS(2,COLUMN())),OFFSET($BN$2,0,0,ROW()-1,60),ROW()-1,FALSE))</f>
        <v>0.45244499300000002</v>
      </c>
      <c r="G568">
        <f ca="1">IF(AND(ISNUMBER($G$1227),$B$677=1),$G$1227,HLOOKUP(INDIRECT(ADDRESS(2,COLUMN())),OFFSET($BN$2,0,0,ROW()-1,60),ROW()-1,FALSE))</f>
        <v>0.45357610599999998</v>
      </c>
      <c r="H568">
        <f ca="1">IF(AND(ISNUMBER($H$1227),$B$677=1),$H$1227,HLOOKUP(INDIRECT(ADDRESS(2,COLUMN())),OFFSET($BN$2,0,0,ROW()-1,60),ROW()-1,FALSE))</f>
        <v>0.44251327400000001</v>
      </c>
      <c r="I568">
        <f ca="1">IF(AND(ISNUMBER($I$1227),$B$677=1),$I$1227,HLOOKUP(INDIRECT(ADDRESS(2,COLUMN())),OFFSET($BN$2,0,0,ROW()-1,60),ROW()-1,FALSE))</f>
        <v>1.23312686</v>
      </c>
      <c r="J568">
        <f ca="1">IF(AND(ISNUMBER($J$1227),$B$677=1),$J$1227,HLOOKUP(INDIRECT(ADDRESS(2,COLUMN())),OFFSET($BN$2,0,0,ROW()-1,60),ROW()-1,FALSE))</f>
        <v>2.6522849239999999</v>
      </c>
      <c r="K568">
        <f ca="1">IF(AND(ISNUMBER($K$1227),$B$677=1),$K$1227,HLOOKUP(INDIRECT(ADDRESS(2,COLUMN())),OFFSET($BN$2,0,0,ROW()-1,60),ROW()-1,FALSE))</f>
        <v>2.0430809179999998</v>
      </c>
      <c r="L568">
        <f ca="1">IF(AND(ISNUMBER($L$1227),$B$677=1),$L$1227,HLOOKUP(INDIRECT(ADDRESS(2,COLUMN())),OFFSET($BN$2,0,0,ROW()-1,60),ROW()-1,FALSE))</f>
        <v>4.3262949160000002</v>
      </c>
      <c r="M568">
        <f ca="1">IF(AND(ISNUMBER($M$1227),$B$677=1),$M$1227,HLOOKUP(INDIRECT(ADDRESS(2,COLUMN())),OFFSET($BN$2,0,0,ROW()-1,60),ROW()-1,FALSE))</f>
        <v>4.0214346010000002</v>
      </c>
      <c r="N568">
        <f ca="1">IF(AND(ISNUMBER($N$1227),$B$677=1),$N$1227,HLOOKUP(INDIRECT(ADDRESS(2,COLUMN())),OFFSET($BN$2,0,0,ROW()-1,60),ROW()-1,FALSE))</f>
        <v>3.3000771520000001</v>
      </c>
      <c r="O568">
        <f ca="1">IF(AND(ISNUMBER($O$1227),$B$677=1),$O$1227,HLOOKUP(INDIRECT(ADDRESS(2,COLUMN())),OFFSET($BN$2,0,0,ROW()-1,60),ROW()-1,FALSE))</f>
        <v>2.3337793329999998</v>
      </c>
      <c r="P568">
        <f ca="1">IF(AND(ISNUMBER($P$1227),$B$677=1),$P$1227,HLOOKUP(INDIRECT(ADDRESS(2,COLUMN())),OFFSET($BN$2,0,0,ROW()-1,60),ROW()-1,FALSE))</f>
        <v>-2.1236279339999999</v>
      </c>
      <c r="Q568">
        <f ca="1">IF(AND(ISNUMBER($Q$1227),$B$677=1),$Q$1227,HLOOKUP(INDIRECT(ADDRESS(2,COLUMN())),OFFSET($BN$2,0,0,ROW()-1,60),ROW()-1,FALSE))</f>
        <v>-1.874769803</v>
      </c>
      <c r="R568">
        <f ca="1">IF(AND(ISNUMBER($R$1227),$B$677=1),$R$1227,HLOOKUP(INDIRECT(ADDRESS(2,COLUMN())),OFFSET($BN$2,0,0,ROW()-1,60),ROW()-1,FALSE))</f>
        <v>-2.4748707740000002</v>
      </c>
      <c r="S568">
        <f ca="1">IF(AND(ISNUMBER($S$1227),$B$677=1),$S$1227,HLOOKUP(INDIRECT(ADDRESS(2,COLUMN())),OFFSET($BN$2,0,0,ROW()-1,60),ROW()-1,FALSE))</f>
        <v>-2.188216014</v>
      </c>
      <c r="T568">
        <f ca="1">IF(AND(ISNUMBER($T$1227),$B$677=1),$T$1227,HLOOKUP(INDIRECT(ADDRESS(2,COLUMN())),OFFSET($BN$2,0,0,ROW()-1,60),ROW()-1,FALSE))</f>
        <v>-0.49864583899999998</v>
      </c>
      <c r="U568">
        <f ca="1">IF(AND(ISNUMBER($U$1227),$B$677=1),$U$1227,HLOOKUP(INDIRECT(ADDRESS(2,COLUMN())),OFFSET($BN$2,0,0,ROW()-1,60),ROW()-1,FALSE))</f>
        <v>-2.105553054</v>
      </c>
      <c r="V568">
        <f ca="1">IF(AND(ISNUMBER($V$1227),$B$677=1),$V$1227,HLOOKUP(INDIRECT(ADDRESS(2,COLUMN())),OFFSET($BN$2,0,0,ROW()-1,60),ROW()-1,FALSE))</f>
        <v>-2.6908942279999999</v>
      </c>
      <c r="W568">
        <f ca="1">IF(AND(ISNUMBER($W$1227),$B$677=1),$W$1227,HLOOKUP(INDIRECT(ADDRESS(2,COLUMN())),OFFSET($BN$2,0,0,ROW()-1,60),ROW()-1,FALSE))</f>
        <v>-3.3518157020000001</v>
      </c>
      <c r="X568">
        <f ca="1">IF(AND(ISNUMBER($X$1227),$B$677=1),$X$1227,HLOOKUP(INDIRECT(ADDRESS(2,COLUMN())),OFFSET($BN$2,0,0,ROW()-1,60),ROW()-1,FALSE))</f>
        <v>-4.3418142829999997</v>
      </c>
      <c r="Y568">
        <f ca="1">IF(AND(ISNUMBER($Y$1227),$B$677=1),$Y$1227,HLOOKUP(INDIRECT(ADDRESS(2,COLUMN())),OFFSET($BN$2,0,0,ROW()-1,60),ROW()-1,FALSE))</f>
        <v>-4.0044901590000004</v>
      </c>
      <c r="Z568">
        <f ca="1">IF(AND(ISNUMBER($Z$1227),$B$677=1),$Z$1227,HLOOKUP(INDIRECT(ADDRESS(2,COLUMN())),OFFSET($BN$2,0,0,ROW()-1,60),ROW()-1,FALSE))</f>
        <v>-2.655579151</v>
      </c>
      <c r="AA568">
        <f ca="1">IF(AND(ISNUMBER($AA$1227),$B$677=1),$AA$1227,HLOOKUP(INDIRECT(ADDRESS(2,COLUMN())),OFFSET($BN$2,0,0,ROW()-1,60),ROW()-1,FALSE))</f>
        <v>-2.1955872589999998</v>
      </c>
      <c r="AB568">
        <f ca="1">IF(AND(ISNUMBER($AB$1227),$B$677=1),$AB$1227,HLOOKUP(INDIRECT(ADDRESS(2,COLUMN())),OFFSET($BN$2,0,0,ROW()-1,60),ROW()-1,FALSE))</f>
        <v>-1.29077248</v>
      </c>
      <c r="AC568">
        <f ca="1">IF(AND(ISNUMBER($AC$1227),$B$677=1),$AC$1227,HLOOKUP(INDIRECT(ADDRESS(2,COLUMN())),OFFSET($BN$2,0,0,ROW()-1,60),ROW()-1,FALSE))</f>
        <v>-0.99865063099999996</v>
      </c>
      <c r="AD568">
        <f ca="1">IF(AND(ISNUMBER($AD$1227),$B$677=1),$AD$1227,HLOOKUP(INDIRECT(ADDRESS(2,COLUMN())),OFFSET($BN$2,0,0,ROW()-1,60),ROW()-1,FALSE))</f>
        <v>0.15605981999999999</v>
      </c>
      <c r="AE568">
        <f ca="1">IF(AND(ISNUMBER($AE$1227),$B$677=1),$AE$1227,HLOOKUP(INDIRECT(ADDRESS(2,COLUMN())),OFFSET($BN$2,0,0,ROW()-1,60),ROW()-1,FALSE))</f>
        <v>1.3972753760000001</v>
      </c>
      <c r="AF568">
        <f ca="1">IF(AND(ISNUMBER($AF$1227),$B$677=1),$AF$1227,HLOOKUP(INDIRECT(ADDRESS(2,COLUMN())),OFFSET($BN$2,0,0,ROW()-1,60),ROW()-1,FALSE))</f>
        <v>1.1413388179999999</v>
      </c>
      <c r="AG568">
        <f ca="1">IF(AND(ISNUMBER($AG$1227),$B$677=1),$AG$1227,HLOOKUP(INDIRECT(ADDRESS(2,COLUMN())),OFFSET($BN$2,0,0,ROW()-1,60),ROW()-1,FALSE))</f>
        <v>3.2318116469999998</v>
      </c>
      <c r="AH568">
        <f ca="1">IF(AND(ISNUMBER($AH$1227),$B$677=1),$AH$1227,HLOOKUP(INDIRECT(ADDRESS(2,COLUMN())),OFFSET($BN$2,0,0,ROW()-1,60),ROW()-1,FALSE))</f>
        <v>4.9733441100000002</v>
      </c>
      <c r="AI568">
        <f ca="1">IF(AND(ISNUMBER($AI$1227),$B$677=1),$AI$1227,HLOOKUP(INDIRECT(ADDRESS(2,COLUMN())),OFFSET($BN$2,0,0,ROW()-1,60),ROW()-1,FALSE))</f>
        <v>8.2610726260000007</v>
      </c>
      <c r="AJ568">
        <f ca="1">IF(AND(ISNUMBER($AJ$1227),$B$677=1),$AJ$1227,HLOOKUP(INDIRECT(ADDRESS(2,COLUMN())),OFFSET($BN$2,0,0,ROW()-1,60),ROW()-1,FALSE))</f>
        <v>8.9637032879999996</v>
      </c>
      <c r="AK568">
        <f ca="1">IF(AND(ISNUMBER($AK$1227),$B$677=1),$AK$1227,HLOOKUP(INDIRECT(ADDRESS(2,COLUMN())),OFFSET($BN$2,0,0,ROW()-1,60),ROW()-1,FALSE))</f>
        <v>7.8024005450000002</v>
      </c>
      <c r="AL568">
        <f ca="1">IF(AND(ISNUMBER($AL$1227),$B$677=1),$AL$1227,HLOOKUP(INDIRECT(ADDRESS(2,COLUMN())),OFFSET($BN$2,0,0,ROW()-1,60),ROW()-1,FALSE))</f>
        <v>5.9449147409999998</v>
      </c>
      <c r="AM568">
        <f ca="1">IF(AND(ISNUMBER($AM$1227),$B$677=1),$AM$1227,HLOOKUP(INDIRECT(ADDRESS(2,COLUMN())),OFFSET($BN$2,0,0,ROW()-1,60),ROW()-1,FALSE))</f>
        <v>3.817520601</v>
      </c>
      <c r="AN568">
        <f ca="1">IF(AND(ISNUMBER($AN$1227),$B$677=1),$AN$1227,HLOOKUP(INDIRECT(ADDRESS(2,COLUMN())),OFFSET($BN$2,0,0,ROW()-1,60),ROW()-1,FALSE))</f>
        <v>6.626346174</v>
      </c>
      <c r="AO568">
        <f ca="1">IF(AND(ISNUMBER($AO$1227),$B$677=1),$AO$1227,HLOOKUP(INDIRECT(ADDRESS(2,COLUMN())),OFFSET($BN$2,0,0,ROW()-1,60),ROW()-1,FALSE))</f>
        <v>8.7880246480000004</v>
      </c>
      <c r="AP568">
        <f ca="1">IF(AND(ISNUMBER($AP$1227),$B$677=1),$AP$1227,HLOOKUP(INDIRECT(ADDRESS(2,COLUMN())),OFFSET($BN$2,0,0,ROW()-1,60),ROW()-1,FALSE))</f>
        <v>7.1435430899999997</v>
      </c>
      <c r="AQ568">
        <f ca="1">IF(AND(ISNUMBER($AQ$1227),$B$677=1),$AQ$1227,HLOOKUP(INDIRECT(ADDRESS(2,COLUMN())),OFFSET($BN$2,0,0,ROW()-1,60),ROW()-1,FALSE))</f>
        <v>1.2259561800000001</v>
      </c>
      <c r="AR568">
        <f ca="1">IF(AND(ISNUMBER($AR$1227),$B$677=1),$AR$1227,HLOOKUP(INDIRECT(ADDRESS(2,COLUMN())),OFFSET($BN$2,0,0,ROW()-1,60),ROW()-1,FALSE))</f>
        <v>-3.304319043</v>
      </c>
      <c r="AS568">
        <f ca="1">IF(AND(ISNUMBER($AS$1227),$B$677=1),$AS$1227,HLOOKUP(INDIRECT(ADDRESS(2,COLUMN())),OFFSET($BN$2,0,0,ROW()-1,60),ROW()-1,FALSE))</f>
        <v>-6.560106427</v>
      </c>
      <c r="AT568">
        <f ca="1">IF(AND(ISNUMBER($AT$1227),$B$677=1),$AT$1227,HLOOKUP(INDIRECT(ADDRESS(2,COLUMN())),OFFSET($BN$2,0,0,ROW()-1,60),ROW()-1,FALSE))</f>
        <v>-9.3815655160000002</v>
      </c>
      <c r="AU568">
        <f ca="1">IF(AND(ISNUMBER($AU$1227),$B$677=1),$AU$1227,HLOOKUP(INDIRECT(ADDRESS(2,COLUMN())),OFFSET($BN$2,0,0,ROW()-1,60),ROW()-1,FALSE))</f>
        <v>1.1941701300000001</v>
      </c>
      <c r="AV568" t="str">
        <f ca="1">IF(AND(ISNUMBER($AV$1227),$B$677=1),$AV$1227,HLOOKUP(INDIRECT(ADDRESS(2,COLUMN())),OFFSET($BN$2,0,0,ROW()-1,60),ROW()-1,FALSE))</f>
        <v/>
      </c>
      <c r="AW568" t="str">
        <f ca="1">IF(AND(ISNUMBER($AW$1227),$B$677=1),$AW$1227,HLOOKUP(INDIRECT(ADDRESS(2,COLUMN())),OFFSET($BN$2,0,0,ROW()-1,60),ROW()-1,FALSE))</f>
        <v/>
      </c>
      <c r="AX568" t="str">
        <f ca="1">IF(AND(ISNUMBER($AX$1227),$B$677=1),$AX$1227,HLOOKUP(INDIRECT(ADDRESS(2,COLUMN())),OFFSET($BN$2,0,0,ROW()-1,60),ROW()-1,FALSE))</f>
        <v/>
      </c>
      <c r="AY568" t="str">
        <f ca="1">IF(AND(ISNUMBER($AY$1227),$B$677=1),$AY$1227,HLOOKUP(INDIRECT(ADDRESS(2,COLUMN())),OFFSET($BN$2,0,0,ROW()-1,60),ROW()-1,FALSE))</f>
        <v/>
      </c>
      <c r="AZ568" t="str">
        <f ca="1">IF(AND(ISNUMBER($AZ$1227),$B$677=1),$AZ$1227,HLOOKUP(INDIRECT(ADDRESS(2,COLUMN())),OFFSET($BN$2,0,0,ROW()-1,60),ROW()-1,FALSE))</f>
        <v/>
      </c>
      <c r="BA568" t="str">
        <f ca="1">IF(AND(ISNUMBER($BA$1227),$B$677=1),$BA$1227,HLOOKUP(INDIRECT(ADDRESS(2,COLUMN())),OFFSET($BN$2,0,0,ROW()-1,60),ROW()-1,FALSE))</f>
        <v/>
      </c>
      <c r="BB568" t="str">
        <f ca="1">IF(AND(ISNUMBER($BB$1227),$B$677=1),$BB$1227,HLOOKUP(INDIRECT(ADDRESS(2,COLUMN())),OFFSET($BN$2,0,0,ROW()-1,60),ROW()-1,FALSE))</f>
        <v/>
      </c>
      <c r="BC568" t="str">
        <f ca="1">IF(AND(ISNUMBER($BC$1227),$B$677=1),$BC$1227,HLOOKUP(INDIRECT(ADDRESS(2,COLUMN())),OFFSET($BN$2,0,0,ROW()-1,60),ROW()-1,FALSE))</f>
        <v/>
      </c>
      <c r="BD568" t="str">
        <f ca="1">IF(AND(ISNUMBER($BD$1227),$B$677=1),$BD$1227,HLOOKUP(INDIRECT(ADDRESS(2,COLUMN())),OFFSET($BN$2,0,0,ROW()-1,60),ROW()-1,FALSE))</f>
        <v/>
      </c>
      <c r="BE568" t="str">
        <f ca="1">IF(AND(ISNUMBER($BE$1227),$B$677=1),$BE$1227,HLOOKUP(INDIRECT(ADDRESS(2,COLUMN())),OFFSET($BN$2,0,0,ROW()-1,60),ROW()-1,FALSE))</f>
        <v/>
      </c>
      <c r="BF568" t="str">
        <f ca="1">IF(AND(ISNUMBER($BF$1227),$B$677=1),$BF$1227,HLOOKUP(INDIRECT(ADDRESS(2,COLUMN())),OFFSET($BN$2,0,0,ROW()-1,60),ROW()-1,FALSE))</f>
        <v/>
      </c>
      <c r="BG568" t="str">
        <f ca="1">IF(AND(ISNUMBER($BG$1227),$B$677=1),$BG$1227,HLOOKUP(INDIRECT(ADDRESS(2,COLUMN())),OFFSET($BN$2,0,0,ROW()-1,60),ROW()-1,FALSE))</f>
        <v/>
      </c>
      <c r="BH568" t="str">
        <f ca="1">IF(AND(ISNUMBER($BH$1227),$B$677=1),$BH$1227,HLOOKUP(INDIRECT(ADDRESS(2,COLUMN())),OFFSET($BN$2,0,0,ROW()-1,60),ROW()-1,FALSE))</f>
        <v/>
      </c>
      <c r="BI568" t="str">
        <f ca="1">IF(AND(ISNUMBER($BI$1227),$B$677=1),$BI$1227,HLOOKUP(INDIRECT(ADDRESS(2,COLUMN())),OFFSET($BN$2,0,0,ROW()-1,60),ROW()-1,FALSE))</f>
        <v/>
      </c>
      <c r="BJ568" t="str">
        <f ca="1">IF(AND(ISNUMBER($BJ$1227),$B$677=1),$BJ$1227,HLOOKUP(INDIRECT(ADDRESS(2,COLUMN())),OFFSET($BN$2,0,0,ROW()-1,60),ROW()-1,FALSE))</f>
        <v/>
      </c>
      <c r="BK568" t="str">
        <f ca="1">IF(AND(ISNUMBER($BK$1227),$B$677=1),$BK$1227,HLOOKUP(INDIRECT(ADDRESS(2,COLUMN())),OFFSET($BN$2,0,0,ROW()-1,60),ROW()-1,FALSE))</f>
        <v/>
      </c>
      <c r="BL568" t="str">
        <f ca="1">IF(AND(ISNUMBER($BL$1227),$B$677=1),$BL$1227,HLOOKUP(INDIRECT(ADDRESS(2,COLUMN())),OFFSET($BN$2,0,0,ROW()-1,60),ROW()-1,FALSE))</f>
        <v/>
      </c>
      <c r="BM568" t="str">
        <f ca="1">IF(AND(ISNUMBER($BM$1227),$B$677=1),$BM$1227,HLOOKUP(INDIRECT(ADDRESS(2,COLUMN())),OFFSET($BN$2,0,0,ROW()-1,60),ROW()-1,FALSE))</f>
        <v/>
      </c>
      <c r="BN568">
        <f>0.452444993</f>
        <v>0.45244499300000002</v>
      </c>
      <c r="BO568">
        <f>0.453576106</f>
        <v>0.45357610599999998</v>
      </c>
      <c r="BP568">
        <f>0.442513274</f>
        <v>0.44251327400000001</v>
      </c>
      <c r="BQ568">
        <f>1.23312686</f>
        <v>1.23312686</v>
      </c>
      <c r="BR568">
        <f>2.652284924</f>
        <v>2.6522849239999999</v>
      </c>
      <c r="BS568">
        <f>2.043080918</f>
        <v>2.0430809179999998</v>
      </c>
      <c r="BT568">
        <f>4.326294916</f>
        <v>4.3262949160000002</v>
      </c>
      <c r="BU568">
        <f>4.021434601</f>
        <v>4.0214346010000002</v>
      </c>
      <c r="BV568">
        <f>3.300077152</f>
        <v>3.3000771520000001</v>
      </c>
      <c r="BW568">
        <f>2.333779333</f>
        <v>2.3337793329999998</v>
      </c>
      <c r="BX568">
        <f>-2.123627934</f>
        <v>-2.1236279339999999</v>
      </c>
      <c r="BY568">
        <f>-1.874769803</f>
        <v>-1.874769803</v>
      </c>
      <c r="BZ568">
        <f>-2.474870774</f>
        <v>-2.4748707740000002</v>
      </c>
      <c r="CA568">
        <f>-2.188216014</f>
        <v>-2.188216014</v>
      </c>
      <c r="CB568">
        <f>-0.498645839</f>
        <v>-0.49864583899999998</v>
      </c>
      <c r="CC568">
        <f>-2.105553054</f>
        <v>-2.105553054</v>
      </c>
      <c r="CD568">
        <f>-2.690894228</f>
        <v>-2.6908942279999999</v>
      </c>
      <c r="CE568">
        <f>-3.351815702</f>
        <v>-3.3518157020000001</v>
      </c>
      <c r="CF568">
        <f>-4.341814283</f>
        <v>-4.3418142829999997</v>
      </c>
      <c r="CG568">
        <f>-4.004490159</f>
        <v>-4.0044901590000004</v>
      </c>
      <c r="CH568">
        <f>-2.655579151</f>
        <v>-2.655579151</v>
      </c>
      <c r="CI568">
        <f>-2.195587259</f>
        <v>-2.1955872589999998</v>
      </c>
      <c r="CJ568">
        <f>-1.29077248</f>
        <v>-1.29077248</v>
      </c>
      <c r="CK568">
        <f>-0.998650631</f>
        <v>-0.99865063099999996</v>
      </c>
      <c r="CL568">
        <f>0.15605982</f>
        <v>0.15605981999999999</v>
      </c>
      <c r="CM568">
        <f>1.397275376</f>
        <v>1.3972753760000001</v>
      </c>
      <c r="CN568">
        <f>1.141338818</f>
        <v>1.1413388179999999</v>
      </c>
      <c r="CO568">
        <f>3.231811647</f>
        <v>3.2318116469999998</v>
      </c>
      <c r="CP568">
        <f>4.97334411</f>
        <v>4.9733441100000002</v>
      </c>
      <c r="CQ568">
        <f>8.261072626</f>
        <v>8.2610726260000007</v>
      </c>
      <c r="CR568">
        <f>8.963703288</f>
        <v>8.9637032879999996</v>
      </c>
      <c r="CS568">
        <f>7.802400545</f>
        <v>7.8024005450000002</v>
      </c>
      <c r="CT568">
        <f>5.944914741</f>
        <v>5.9449147409999998</v>
      </c>
      <c r="CU568">
        <f>3.817520601</f>
        <v>3.817520601</v>
      </c>
      <c r="CV568">
        <f>6.626346174</f>
        <v>6.626346174</v>
      </c>
      <c r="CW568">
        <f>8.788024648</f>
        <v>8.7880246480000004</v>
      </c>
      <c r="CX568">
        <f>7.14354309</f>
        <v>7.1435430899999997</v>
      </c>
      <c r="CY568">
        <f>1.22595618</f>
        <v>1.2259561800000001</v>
      </c>
      <c r="CZ568">
        <f>-3.304319043</f>
        <v>-3.304319043</v>
      </c>
      <c r="DA568">
        <f>-6.560106427</f>
        <v>-6.560106427</v>
      </c>
      <c r="DB568">
        <f>-9.381565516</f>
        <v>-9.3815655160000002</v>
      </c>
      <c r="DC568">
        <f>1.19417013</f>
        <v>1.1941701300000001</v>
      </c>
      <c r="DD568" t="str">
        <f>""</f>
        <v/>
      </c>
      <c r="DE568" t="str">
        <f>""</f>
        <v/>
      </c>
      <c r="DF568" t="str">
        <f>""</f>
        <v/>
      </c>
      <c r="DG568" t="str">
        <f>""</f>
        <v/>
      </c>
      <c r="DH568" t="str">
        <f>""</f>
        <v/>
      </c>
      <c r="DI568" t="str">
        <f>""</f>
        <v/>
      </c>
      <c r="DJ568" t="str">
        <f>""</f>
        <v/>
      </c>
      <c r="DK568" t="str">
        <f>""</f>
        <v/>
      </c>
      <c r="DL568" t="str">
        <f>""</f>
        <v/>
      </c>
      <c r="DM568" t="str">
        <f>""</f>
        <v/>
      </c>
      <c r="DN568" t="str">
        <f>""</f>
        <v/>
      </c>
      <c r="DO568" t="str">
        <f>""</f>
        <v/>
      </c>
      <c r="DP568" t="str">
        <f>""</f>
        <v/>
      </c>
      <c r="DQ568" t="str">
        <f>""</f>
        <v/>
      </c>
      <c r="DR568" t="str">
        <f>""</f>
        <v/>
      </c>
      <c r="DS568" t="str">
        <f>""</f>
        <v/>
      </c>
      <c r="DT568" t="str">
        <f>""</f>
        <v/>
      </c>
      <c r="DU568" t="str">
        <f>""</f>
        <v/>
      </c>
    </row>
    <row r="569" spans="1:125" x14ac:dyDescent="0.25">
      <c r="A569" t="str">
        <f>"    Sollers PJSC"</f>
        <v xml:space="preserve">    Sollers PJSC</v>
      </c>
      <c r="B569" t="str">
        <f>"SVAV RM Equity"</f>
        <v>SVAV RM Equity</v>
      </c>
      <c r="C569" t="str">
        <f t="shared" si="39"/>
        <v>RX076</v>
      </c>
      <c r="D569" t="str">
        <f t="shared" si="40"/>
        <v>EBIT_YIELD</v>
      </c>
      <c r="E569" t="str">
        <f t="shared" si="41"/>
        <v>Dynamic</v>
      </c>
      <c r="F569" t="str">
        <f ca="1">IF(AND(ISNUMBER($F$1228),$B$677=1),$F$1228,HLOOKUP(INDIRECT(ADDRESS(2,COLUMN())),OFFSET($BN$2,0,0,ROW()-1,60),ROW()-1,FALSE))</f>
        <v/>
      </c>
      <c r="G569" t="str">
        <f ca="1">IF(AND(ISNUMBER($G$1228),$B$677=1),$G$1228,HLOOKUP(INDIRECT(ADDRESS(2,COLUMN())),OFFSET($BN$2,0,0,ROW()-1,60),ROW()-1,FALSE))</f>
        <v/>
      </c>
      <c r="H569" t="str">
        <f ca="1">IF(AND(ISNUMBER($H$1228),$B$677=1),$H$1228,HLOOKUP(INDIRECT(ADDRESS(2,COLUMN())),OFFSET($BN$2,0,0,ROW()-1,60),ROW()-1,FALSE))</f>
        <v/>
      </c>
      <c r="I569" t="str">
        <f ca="1">IF(AND(ISNUMBER($I$1228),$B$677=1),$I$1228,HLOOKUP(INDIRECT(ADDRESS(2,COLUMN())),OFFSET($BN$2,0,0,ROW()-1,60),ROW()-1,FALSE))</f>
        <v/>
      </c>
      <c r="J569" t="str">
        <f ca="1">IF(AND(ISNUMBER($J$1228),$B$677=1),$J$1228,HLOOKUP(INDIRECT(ADDRESS(2,COLUMN())),OFFSET($BN$2,0,0,ROW()-1,60),ROW()-1,FALSE))</f>
        <v/>
      </c>
      <c r="K569" t="str">
        <f ca="1">IF(AND(ISNUMBER($K$1228),$B$677=1),$K$1228,HLOOKUP(INDIRECT(ADDRESS(2,COLUMN())),OFFSET($BN$2,0,0,ROW()-1,60),ROW()-1,FALSE))</f>
        <v/>
      </c>
      <c r="L569" t="str">
        <f ca="1">IF(AND(ISNUMBER($L$1228),$B$677=1),$L$1228,HLOOKUP(INDIRECT(ADDRESS(2,COLUMN())),OFFSET($BN$2,0,0,ROW()-1,60),ROW()-1,FALSE))</f>
        <v/>
      </c>
      <c r="M569" t="str">
        <f ca="1">IF(AND(ISNUMBER($M$1228),$B$677=1),$M$1228,HLOOKUP(INDIRECT(ADDRESS(2,COLUMN())),OFFSET($BN$2,0,0,ROW()-1,60),ROW()-1,FALSE))</f>
        <v/>
      </c>
      <c r="N569" t="str">
        <f ca="1">IF(AND(ISNUMBER($N$1228),$B$677=1),$N$1228,HLOOKUP(INDIRECT(ADDRESS(2,COLUMN())),OFFSET($BN$2,0,0,ROW()-1,60),ROW()-1,FALSE))</f>
        <v/>
      </c>
      <c r="O569" t="str">
        <f ca="1">IF(AND(ISNUMBER($O$1228),$B$677=1),$O$1228,HLOOKUP(INDIRECT(ADDRESS(2,COLUMN())),OFFSET($BN$2,0,0,ROW()-1,60),ROW()-1,FALSE))</f>
        <v/>
      </c>
      <c r="P569" t="str">
        <f ca="1">IF(AND(ISNUMBER($P$1228),$B$677=1),$P$1228,HLOOKUP(INDIRECT(ADDRESS(2,COLUMN())),OFFSET($BN$2,0,0,ROW()-1,60),ROW()-1,FALSE))</f>
        <v/>
      </c>
      <c r="Q569" t="str">
        <f ca="1">IF(AND(ISNUMBER($Q$1228),$B$677=1),$Q$1228,HLOOKUP(INDIRECT(ADDRESS(2,COLUMN())),OFFSET($BN$2,0,0,ROW()-1,60),ROW()-1,FALSE))</f>
        <v/>
      </c>
      <c r="R569" t="str">
        <f ca="1">IF(AND(ISNUMBER($R$1228),$B$677=1),$R$1228,HLOOKUP(INDIRECT(ADDRESS(2,COLUMN())),OFFSET($BN$2,0,0,ROW()-1,60),ROW()-1,FALSE))</f>
        <v/>
      </c>
      <c r="S569" t="str">
        <f ca="1">IF(AND(ISNUMBER($S$1228),$B$677=1),$S$1228,HLOOKUP(INDIRECT(ADDRESS(2,COLUMN())),OFFSET($BN$2,0,0,ROW()-1,60),ROW()-1,FALSE))</f>
        <v/>
      </c>
      <c r="T569" t="str">
        <f ca="1">IF(AND(ISNUMBER($T$1228),$B$677=1),$T$1228,HLOOKUP(INDIRECT(ADDRESS(2,COLUMN())),OFFSET($BN$2,0,0,ROW()-1,60),ROW()-1,FALSE))</f>
        <v/>
      </c>
      <c r="U569" t="str">
        <f ca="1">IF(AND(ISNUMBER($U$1228),$B$677=1),$U$1228,HLOOKUP(INDIRECT(ADDRESS(2,COLUMN())),OFFSET($BN$2,0,0,ROW()-1,60),ROW()-1,FALSE))</f>
        <v/>
      </c>
      <c r="V569" t="str">
        <f ca="1">IF(AND(ISNUMBER($V$1228),$B$677=1),$V$1228,HLOOKUP(INDIRECT(ADDRESS(2,COLUMN())),OFFSET($BN$2,0,0,ROW()-1,60),ROW()-1,FALSE))</f>
        <v/>
      </c>
      <c r="W569" t="str">
        <f ca="1">IF(AND(ISNUMBER($W$1228),$B$677=1),$W$1228,HLOOKUP(INDIRECT(ADDRESS(2,COLUMN())),OFFSET($BN$2,0,0,ROW()-1,60),ROW()-1,FALSE))</f>
        <v/>
      </c>
      <c r="X569" t="str">
        <f ca="1">IF(AND(ISNUMBER($X$1228),$B$677=1),$X$1228,HLOOKUP(INDIRECT(ADDRESS(2,COLUMN())),OFFSET($BN$2,0,0,ROW()-1,60),ROW()-1,FALSE))</f>
        <v/>
      </c>
      <c r="Y569" t="str">
        <f ca="1">IF(AND(ISNUMBER($Y$1228),$B$677=1),$Y$1228,HLOOKUP(INDIRECT(ADDRESS(2,COLUMN())),OFFSET($BN$2,0,0,ROW()-1,60),ROW()-1,FALSE))</f>
        <v/>
      </c>
      <c r="Z569" t="str">
        <f ca="1">IF(AND(ISNUMBER($Z$1228),$B$677=1),$Z$1228,HLOOKUP(INDIRECT(ADDRESS(2,COLUMN())),OFFSET($BN$2,0,0,ROW()-1,60),ROW()-1,FALSE))</f>
        <v/>
      </c>
      <c r="AA569" t="str">
        <f ca="1">IF(AND(ISNUMBER($AA$1228),$B$677=1),$AA$1228,HLOOKUP(INDIRECT(ADDRESS(2,COLUMN())),OFFSET($BN$2,0,0,ROW()-1,60),ROW()-1,FALSE))</f>
        <v/>
      </c>
      <c r="AB569" t="str">
        <f ca="1">IF(AND(ISNUMBER($AB$1228),$B$677=1),$AB$1228,HLOOKUP(INDIRECT(ADDRESS(2,COLUMN())),OFFSET($BN$2,0,0,ROW()-1,60),ROW()-1,FALSE))</f>
        <v/>
      </c>
      <c r="AC569" t="str">
        <f ca="1">IF(AND(ISNUMBER($AC$1228),$B$677=1),$AC$1228,HLOOKUP(INDIRECT(ADDRESS(2,COLUMN())),OFFSET($BN$2,0,0,ROW()-1,60),ROW()-1,FALSE))</f>
        <v/>
      </c>
      <c r="AD569" t="str">
        <f ca="1">IF(AND(ISNUMBER($AD$1228),$B$677=1),$AD$1228,HLOOKUP(INDIRECT(ADDRESS(2,COLUMN())),OFFSET($BN$2,0,0,ROW()-1,60),ROW()-1,FALSE))</f>
        <v/>
      </c>
      <c r="AE569" t="str">
        <f ca="1">IF(AND(ISNUMBER($AE$1228),$B$677=1),$AE$1228,HLOOKUP(INDIRECT(ADDRESS(2,COLUMN())),OFFSET($BN$2,0,0,ROW()-1,60),ROW()-1,FALSE))</f>
        <v/>
      </c>
      <c r="AF569" t="str">
        <f ca="1">IF(AND(ISNUMBER($AF$1228),$B$677=1),$AF$1228,HLOOKUP(INDIRECT(ADDRESS(2,COLUMN())),OFFSET($BN$2,0,0,ROW()-1,60),ROW()-1,FALSE))</f>
        <v/>
      </c>
      <c r="AG569" t="str">
        <f ca="1">IF(AND(ISNUMBER($AG$1228),$B$677=1),$AG$1228,HLOOKUP(INDIRECT(ADDRESS(2,COLUMN())),OFFSET($BN$2,0,0,ROW()-1,60),ROW()-1,FALSE))</f>
        <v/>
      </c>
      <c r="AH569" t="str">
        <f ca="1">IF(AND(ISNUMBER($AH$1228),$B$677=1),$AH$1228,HLOOKUP(INDIRECT(ADDRESS(2,COLUMN())),OFFSET($BN$2,0,0,ROW()-1,60),ROW()-1,FALSE))</f>
        <v/>
      </c>
      <c r="AI569" t="str">
        <f ca="1">IF(AND(ISNUMBER($AI$1228),$B$677=1),$AI$1228,HLOOKUP(INDIRECT(ADDRESS(2,COLUMN())),OFFSET($BN$2,0,0,ROW()-1,60),ROW()-1,FALSE))</f>
        <v/>
      </c>
      <c r="AJ569" t="str">
        <f ca="1">IF(AND(ISNUMBER($AJ$1228),$B$677=1),$AJ$1228,HLOOKUP(INDIRECT(ADDRESS(2,COLUMN())),OFFSET($BN$2,0,0,ROW()-1,60),ROW()-1,FALSE))</f>
        <v/>
      </c>
      <c r="AK569" t="str">
        <f ca="1">IF(AND(ISNUMBER($AK$1228),$B$677=1),$AK$1228,HLOOKUP(INDIRECT(ADDRESS(2,COLUMN())),OFFSET($BN$2,0,0,ROW()-1,60),ROW()-1,FALSE))</f>
        <v/>
      </c>
      <c r="AL569" t="str">
        <f ca="1">IF(AND(ISNUMBER($AL$1228),$B$677=1),$AL$1228,HLOOKUP(INDIRECT(ADDRESS(2,COLUMN())),OFFSET($BN$2,0,0,ROW()-1,60),ROW()-1,FALSE))</f>
        <v/>
      </c>
      <c r="AM569" t="str">
        <f ca="1">IF(AND(ISNUMBER($AM$1228),$B$677=1),$AM$1228,HLOOKUP(INDIRECT(ADDRESS(2,COLUMN())),OFFSET($BN$2,0,0,ROW()-1,60),ROW()-1,FALSE))</f>
        <v/>
      </c>
      <c r="AN569" t="str">
        <f ca="1">IF(AND(ISNUMBER($AN$1228),$B$677=1),$AN$1228,HLOOKUP(INDIRECT(ADDRESS(2,COLUMN())),OFFSET($BN$2,0,0,ROW()-1,60),ROW()-1,FALSE))</f>
        <v/>
      </c>
      <c r="AO569" t="str">
        <f ca="1">IF(AND(ISNUMBER($AO$1228),$B$677=1),$AO$1228,HLOOKUP(INDIRECT(ADDRESS(2,COLUMN())),OFFSET($BN$2,0,0,ROW()-1,60),ROW()-1,FALSE))</f>
        <v/>
      </c>
      <c r="AP569" t="str">
        <f ca="1">IF(AND(ISNUMBER($AP$1228),$B$677=1),$AP$1228,HLOOKUP(INDIRECT(ADDRESS(2,COLUMN())),OFFSET($BN$2,0,0,ROW()-1,60),ROW()-1,FALSE))</f>
        <v/>
      </c>
      <c r="AQ569" t="str">
        <f ca="1">IF(AND(ISNUMBER($AQ$1228),$B$677=1),$AQ$1228,HLOOKUP(INDIRECT(ADDRESS(2,COLUMN())),OFFSET($BN$2,0,0,ROW()-1,60),ROW()-1,FALSE))</f>
        <v/>
      </c>
      <c r="AR569" t="str">
        <f ca="1">IF(AND(ISNUMBER($AR$1228),$B$677=1),$AR$1228,HLOOKUP(INDIRECT(ADDRESS(2,COLUMN())),OFFSET($BN$2,0,0,ROW()-1,60),ROW()-1,FALSE))</f>
        <v/>
      </c>
      <c r="AS569" t="str">
        <f ca="1">IF(AND(ISNUMBER($AS$1228),$B$677=1),$AS$1228,HLOOKUP(INDIRECT(ADDRESS(2,COLUMN())),OFFSET($BN$2,0,0,ROW()-1,60),ROW()-1,FALSE))</f>
        <v/>
      </c>
      <c r="AT569" t="str">
        <f ca="1">IF(AND(ISNUMBER($AT$1228),$B$677=1),$AT$1228,HLOOKUP(INDIRECT(ADDRESS(2,COLUMN())),OFFSET($BN$2,0,0,ROW()-1,60),ROW()-1,FALSE))</f>
        <v/>
      </c>
      <c r="AU569" t="str">
        <f ca="1">IF(AND(ISNUMBER($AU$1228),$B$677=1),$AU$1228,HLOOKUP(INDIRECT(ADDRESS(2,COLUMN())),OFFSET($BN$2,0,0,ROW()-1,60),ROW()-1,FALSE))</f>
        <v/>
      </c>
      <c r="AV569" t="str">
        <f ca="1">IF(AND(ISNUMBER($AV$1228),$B$677=1),$AV$1228,HLOOKUP(INDIRECT(ADDRESS(2,COLUMN())),OFFSET($BN$2,0,0,ROW()-1,60),ROW()-1,FALSE))</f>
        <v/>
      </c>
      <c r="AW569" t="str">
        <f ca="1">IF(AND(ISNUMBER($AW$1228),$B$677=1),$AW$1228,HLOOKUP(INDIRECT(ADDRESS(2,COLUMN())),OFFSET($BN$2,0,0,ROW()-1,60),ROW()-1,FALSE))</f>
        <v/>
      </c>
      <c r="AX569" t="str">
        <f ca="1">IF(AND(ISNUMBER($AX$1228),$B$677=1),$AX$1228,HLOOKUP(INDIRECT(ADDRESS(2,COLUMN())),OFFSET($BN$2,0,0,ROW()-1,60),ROW()-1,FALSE))</f>
        <v/>
      </c>
      <c r="AY569" t="str">
        <f ca="1">IF(AND(ISNUMBER($AY$1228),$B$677=1),$AY$1228,HLOOKUP(INDIRECT(ADDRESS(2,COLUMN())),OFFSET($BN$2,0,0,ROW()-1,60),ROW()-1,FALSE))</f>
        <v/>
      </c>
      <c r="AZ569" t="str">
        <f ca="1">IF(AND(ISNUMBER($AZ$1228),$B$677=1),$AZ$1228,HLOOKUP(INDIRECT(ADDRESS(2,COLUMN())),OFFSET($BN$2,0,0,ROW()-1,60),ROW()-1,FALSE))</f>
        <v/>
      </c>
      <c r="BA569" t="str">
        <f ca="1">IF(AND(ISNUMBER($BA$1228),$B$677=1),$BA$1228,HLOOKUP(INDIRECT(ADDRESS(2,COLUMN())),OFFSET($BN$2,0,0,ROW()-1,60),ROW()-1,FALSE))</f>
        <v/>
      </c>
      <c r="BB569" t="str">
        <f ca="1">IF(AND(ISNUMBER($BB$1228),$B$677=1),$BB$1228,HLOOKUP(INDIRECT(ADDRESS(2,COLUMN())),OFFSET($BN$2,0,0,ROW()-1,60),ROW()-1,FALSE))</f>
        <v/>
      </c>
      <c r="BC569" t="str">
        <f ca="1">IF(AND(ISNUMBER($BC$1228),$B$677=1),$BC$1228,HLOOKUP(INDIRECT(ADDRESS(2,COLUMN())),OFFSET($BN$2,0,0,ROW()-1,60),ROW()-1,FALSE))</f>
        <v/>
      </c>
      <c r="BD569" t="str">
        <f ca="1">IF(AND(ISNUMBER($BD$1228),$B$677=1),$BD$1228,HLOOKUP(INDIRECT(ADDRESS(2,COLUMN())),OFFSET($BN$2,0,0,ROW()-1,60),ROW()-1,FALSE))</f>
        <v/>
      </c>
      <c r="BE569" t="str">
        <f ca="1">IF(AND(ISNUMBER($BE$1228),$B$677=1),$BE$1228,HLOOKUP(INDIRECT(ADDRESS(2,COLUMN())),OFFSET($BN$2,0,0,ROW()-1,60),ROW()-1,FALSE))</f>
        <v/>
      </c>
      <c r="BF569" t="str">
        <f ca="1">IF(AND(ISNUMBER($BF$1228),$B$677=1),$BF$1228,HLOOKUP(INDIRECT(ADDRESS(2,COLUMN())),OFFSET($BN$2,0,0,ROW()-1,60),ROW()-1,FALSE))</f>
        <v/>
      </c>
      <c r="BG569" t="str">
        <f ca="1">IF(AND(ISNUMBER($BG$1228),$B$677=1),$BG$1228,HLOOKUP(INDIRECT(ADDRESS(2,COLUMN())),OFFSET($BN$2,0,0,ROW()-1,60),ROW()-1,FALSE))</f>
        <v/>
      </c>
      <c r="BH569" t="str">
        <f ca="1">IF(AND(ISNUMBER($BH$1228),$B$677=1),$BH$1228,HLOOKUP(INDIRECT(ADDRESS(2,COLUMN())),OFFSET($BN$2,0,0,ROW()-1,60),ROW()-1,FALSE))</f>
        <v/>
      </c>
      <c r="BI569" t="str">
        <f ca="1">IF(AND(ISNUMBER($BI$1228),$B$677=1),$BI$1228,HLOOKUP(INDIRECT(ADDRESS(2,COLUMN())),OFFSET($BN$2,0,0,ROW()-1,60),ROW()-1,FALSE))</f>
        <v/>
      </c>
      <c r="BJ569" t="str">
        <f ca="1">IF(AND(ISNUMBER($BJ$1228),$B$677=1),$BJ$1228,HLOOKUP(INDIRECT(ADDRESS(2,COLUMN())),OFFSET($BN$2,0,0,ROW()-1,60),ROW()-1,FALSE))</f>
        <v/>
      </c>
      <c r="BK569" t="str">
        <f ca="1">IF(AND(ISNUMBER($BK$1228),$B$677=1),$BK$1228,HLOOKUP(INDIRECT(ADDRESS(2,COLUMN())),OFFSET($BN$2,0,0,ROW()-1,60),ROW()-1,FALSE))</f>
        <v/>
      </c>
      <c r="BL569" t="str">
        <f ca="1">IF(AND(ISNUMBER($BL$1228),$B$677=1),$BL$1228,HLOOKUP(INDIRECT(ADDRESS(2,COLUMN())),OFFSET($BN$2,0,0,ROW()-1,60),ROW()-1,FALSE))</f>
        <v/>
      </c>
      <c r="BM569" t="str">
        <f ca="1">IF(AND(ISNUMBER($BM$1228),$B$677=1),$BM$1228,HLOOKUP(INDIRECT(ADDRESS(2,COLUMN())),OFFSET($BN$2,0,0,ROW()-1,60),ROW()-1,FALSE))</f>
        <v/>
      </c>
      <c r="BN569" t="str">
        <f>""</f>
        <v/>
      </c>
      <c r="BO569" t="str">
        <f>""</f>
        <v/>
      </c>
      <c r="BP569" t="str">
        <f>""</f>
        <v/>
      </c>
      <c r="BQ569" t="str">
        <f>""</f>
        <v/>
      </c>
      <c r="BR569" t="str">
        <f>""</f>
        <v/>
      </c>
      <c r="BS569" t="str">
        <f>""</f>
        <v/>
      </c>
      <c r="BT569" t="str">
        <f>""</f>
        <v/>
      </c>
      <c r="BU569" t="str">
        <f>""</f>
        <v/>
      </c>
      <c r="BV569" t="str">
        <f>""</f>
        <v/>
      </c>
      <c r="BW569" t="str">
        <f>""</f>
        <v/>
      </c>
      <c r="BX569" t="str">
        <f>""</f>
        <v/>
      </c>
      <c r="BY569" t="str">
        <f>""</f>
        <v/>
      </c>
      <c r="BZ569" t="str">
        <f>""</f>
        <v/>
      </c>
      <c r="CA569" t="str">
        <f>""</f>
        <v/>
      </c>
      <c r="CB569" t="str">
        <f>""</f>
        <v/>
      </c>
      <c r="CC569" t="str">
        <f>""</f>
        <v/>
      </c>
      <c r="CD569" t="str">
        <f>""</f>
        <v/>
      </c>
      <c r="CE569" t="str">
        <f>""</f>
        <v/>
      </c>
      <c r="CF569" t="str">
        <f>""</f>
        <v/>
      </c>
      <c r="CG569" t="str">
        <f>""</f>
        <v/>
      </c>
      <c r="CH569" t="str">
        <f>""</f>
        <v/>
      </c>
      <c r="CI569" t="str">
        <f>""</f>
        <v/>
      </c>
      <c r="CJ569" t="str">
        <f>""</f>
        <v/>
      </c>
      <c r="CK569" t="str">
        <f>""</f>
        <v/>
      </c>
      <c r="CL569" t="str">
        <f>""</f>
        <v/>
      </c>
      <c r="CM569" t="str">
        <f>""</f>
        <v/>
      </c>
      <c r="CN569" t="str">
        <f>""</f>
        <v/>
      </c>
      <c r="CO569" t="str">
        <f>""</f>
        <v/>
      </c>
      <c r="CP569" t="str">
        <f>""</f>
        <v/>
      </c>
      <c r="CQ569" t="str">
        <f>""</f>
        <v/>
      </c>
      <c r="CR569" t="str">
        <f>""</f>
        <v/>
      </c>
      <c r="CS569" t="str">
        <f>""</f>
        <v/>
      </c>
      <c r="CT569" t="str">
        <f>""</f>
        <v/>
      </c>
      <c r="CU569" t="str">
        <f>""</f>
        <v/>
      </c>
      <c r="CV569" t="str">
        <f>""</f>
        <v/>
      </c>
      <c r="CW569" t="str">
        <f>""</f>
        <v/>
      </c>
      <c r="CX569" t="str">
        <f>""</f>
        <v/>
      </c>
      <c r="CY569" t="str">
        <f>""</f>
        <v/>
      </c>
      <c r="CZ569" t="str">
        <f>""</f>
        <v/>
      </c>
      <c r="DA569" t="str">
        <f>""</f>
        <v/>
      </c>
      <c r="DB569" t="str">
        <f>""</f>
        <v/>
      </c>
      <c r="DC569" t="str">
        <f>""</f>
        <v/>
      </c>
      <c r="DD569" t="str">
        <f>""</f>
        <v/>
      </c>
      <c r="DE569" t="str">
        <f>""</f>
        <v/>
      </c>
      <c r="DF569" t="str">
        <f>""</f>
        <v/>
      </c>
      <c r="DG569" t="str">
        <f>""</f>
        <v/>
      </c>
      <c r="DH569" t="str">
        <f>""</f>
        <v/>
      </c>
      <c r="DI569" t="str">
        <f>""</f>
        <v/>
      </c>
      <c r="DJ569" t="str">
        <f>""</f>
        <v/>
      </c>
      <c r="DK569" t="str">
        <f>""</f>
        <v/>
      </c>
      <c r="DL569" t="str">
        <f>""</f>
        <v/>
      </c>
      <c r="DM569" t="str">
        <f>""</f>
        <v/>
      </c>
      <c r="DN569" t="str">
        <f>""</f>
        <v/>
      </c>
      <c r="DO569" t="str">
        <f>""</f>
        <v/>
      </c>
      <c r="DP569" t="str">
        <f>""</f>
        <v/>
      </c>
      <c r="DQ569" t="str">
        <f>""</f>
        <v/>
      </c>
      <c r="DR569" t="str">
        <f>""</f>
        <v/>
      </c>
      <c r="DS569" t="str">
        <f>""</f>
        <v/>
      </c>
      <c r="DT569" t="str">
        <f>""</f>
        <v/>
      </c>
      <c r="DU569" t="str">
        <f>""</f>
        <v/>
      </c>
    </row>
    <row r="570" spans="1:125" x14ac:dyDescent="0.25">
      <c r="A570" t="str">
        <f>"    Ssangyong Motor Co"</f>
        <v xml:space="preserve">    Ssangyong Motor Co</v>
      </c>
      <c r="B570" t="str">
        <f>"003620 KS Equity"</f>
        <v>003620 KS Equity</v>
      </c>
      <c r="C570" t="str">
        <f t="shared" si="39"/>
        <v>RX076</v>
      </c>
      <c r="D570" t="str">
        <f t="shared" si="40"/>
        <v>EBIT_YIELD</v>
      </c>
      <c r="E570" t="str">
        <f t="shared" si="41"/>
        <v>Dynamic</v>
      </c>
      <c r="F570" t="str">
        <f ca="1">IF(AND(ISNUMBER($F$1229),$B$677=1),$F$1229,HLOOKUP(INDIRECT(ADDRESS(2,COLUMN())),OFFSET($BN$2,0,0,ROW()-1,60),ROW()-1,FALSE))</f>
        <v/>
      </c>
      <c r="G570">
        <f ca="1">IF(AND(ISNUMBER($G$1229),$B$677=1),$G$1229,HLOOKUP(INDIRECT(ADDRESS(2,COLUMN())),OFFSET($BN$2,0,0,ROW()-1,60),ROW()-1,FALSE))</f>
        <v>-15.902373150000001</v>
      </c>
      <c r="H570">
        <f ca="1">IF(AND(ISNUMBER($H$1229),$B$677=1),$H$1229,HLOOKUP(INDIRECT(ADDRESS(2,COLUMN())),OFFSET($BN$2,0,0,ROW()-1,60),ROW()-1,FALSE))</f>
        <v>-13.725158860000001</v>
      </c>
      <c r="I570">
        <f ca="1">IF(AND(ISNUMBER($I$1229),$B$677=1),$I$1229,HLOOKUP(INDIRECT(ADDRESS(2,COLUMN())),OFFSET($BN$2,0,0,ROW()-1,60),ROW()-1,FALSE))</f>
        <v>-12.991335469999999</v>
      </c>
      <c r="J570">
        <f ca="1">IF(AND(ISNUMBER($J$1229),$B$677=1),$J$1229,HLOOKUP(INDIRECT(ADDRESS(2,COLUMN())),OFFSET($BN$2,0,0,ROW()-1,60),ROW()-1,FALSE))</f>
        <v>-11.83265797</v>
      </c>
      <c r="K570">
        <f ca="1">IF(AND(ISNUMBER($K$1229),$B$677=1),$K$1229,HLOOKUP(INDIRECT(ADDRESS(2,COLUMN())),OFFSET($BN$2,0,0,ROW()-1,60),ROW()-1,FALSE))</f>
        <v>-9.2515001800000007</v>
      </c>
      <c r="L570">
        <f ca="1">IF(AND(ISNUMBER($L$1229),$B$677=1),$L$1229,HLOOKUP(INDIRECT(ADDRESS(2,COLUMN())),OFFSET($BN$2,0,0,ROW()-1,60),ROW()-1,FALSE))</f>
        <v>-4.4232440720000001</v>
      </c>
      <c r="M570">
        <f ca="1">IF(AND(ISNUMBER($M$1229),$B$677=1),$M$1229,HLOOKUP(INDIRECT(ADDRESS(2,COLUMN())),OFFSET($BN$2,0,0,ROW()-1,60),ROW()-1,FALSE))</f>
        <v>-2.2850450590000002</v>
      </c>
      <c r="N570">
        <f ca="1">IF(AND(ISNUMBER($N$1229),$B$677=1),$N$1229,HLOOKUP(INDIRECT(ADDRESS(2,COLUMN())),OFFSET($BN$2,0,0,ROW()-1,60),ROW()-1,FALSE))</f>
        <v>0.40826498100000003</v>
      </c>
      <c r="O570">
        <f ca="1">IF(AND(ISNUMBER($O$1229),$B$677=1),$O$1229,HLOOKUP(INDIRECT(ADDRESS(2,COLUMN())),OFFSET($BN$2,0,0,ROW()-1,60),ROW()-1,FALSE))</f>
        <v>2.5863598900000002</v>
      </c>
      <c r="P570">
        <f ca="1">IF(AND(ISNUMBER($P$1229),$B$677=1),$P$1229,HLOOKUP(INDIRECT(ADDRESS(2,COLUMN())),OFFSET($BN$2,0,0,ROW()-1,60),ROW()-1,FALSE))</f>
        <v>3.8742450370000001</v>
      </c>
      <c r="Q570">
        <f ca="1">IF(AND(ISNUMBER($Q$1229),$B$677=1),$Q$1229,HLOOKUP(INDIRECT(ADDRESS(2,COLUMN())),OFFSET($BN$2,0,0,ROW()-1,60),ROW()-1,FALSE))</f>
        <v>4.7537007439999996</v>
      </c>
      <c r="R570">
        <f ca="1">IF(AND(ISNUMBER($R$1229),$B$677=1),$R$1229,HLOOKUP(INDIRECT(ADDRESS(2,COLUMN())),OFFSET($BN$2,0,0,ROW()-1,60),ROW()-1,FALSE))</f>
        <v>0.56994576799999996</v>
      </c>
      <c r="S570">
        <f ca="1">IF(AND(ISNUMBER($S$1229),$B$677=1),$S$1229,HLOOKUP(INDIRECT(ADDRESS(2,COLUMN())),OFFSET($BN$2,0,0,ROW()-1,60),ROW()-1,FALSE))</f>
        <v>-3.3711091390000001</v>
      </c>
      <c r="T570">
        <f ca="1">IF(AND(ISNUMBER($T$1229),$B$677=1),$T$1229,HLOOKUP(INDIRECT(ADDRESS(2,COLUMN())),OFFSET($BN$2,0,0,ROW()-1,60),ROW()-1,FALSE))</f>
        <v>-7.4946466750000003</v>
      </c>
      <c r="U570">
        <f ca="1">IF(AND(ISNUMBER($U$1229),$B$677=1),$U$1229,HLOOKUP(INDIRECT(ADDRESS(2,COLUMN())),OFFSET($BN$2,0,0,ROW()-1,60),ROW()-1,FALSE))</f>
        <v>-9.5978990409999998</v>
      </c>
      <c r="V570">
        <f ca="1">IF(AND(ISNUMBER($V$1229),$B$677=1),$V$1229,HLOOKUP(INDIRECT(ADDRESS(2,COLUMN())),OFFSET($BN$2,0,0,ROW()-1,60),ROW()-1,FALSE))</f>
        <v>-8.867545367</v>
      </c>
      <c r="W570">
        <f ca="1">IF(AND(ISNUMBER($W$1229),$B$677=1),$W$1229,HLOOKUP(INDIRECT(ADDRESS(2,COLUMN())),OFFSET($BN$2,0,0,ROW()-1,60),ROW()-1,FALSE))</f>
        <v>-6.055697544</v>
      </c>
      <c r="X570">
        <f ca="1">IF(AND(ISNUMBER($X$1229),$B$677=1),$X$1229,HLOOKUP(INDIRECT(ADDRESS(2,COLUMN())),OFFSET($BN$2,0,0,ROW()-1,60),ROW()-1,FALSE))</f>
        <v>-4.4393925620000001</v>
      </c>
      <c r="Y570">
        <f ca="1">IF(AND(ISNUMBER($Y$1229),$B$677=1),$Y$1229,HLOOKUP(INDIRECT(ADDRESS(2,COLUMN())),OFFSET($BN$2,0,0,ROW()-1,60),ROW()-1,FALSE))</f>
        <v>-0.92731739599999996</v>
      </c>
      <c r="Z570">
        <f ca="1">IF(AND(ISNUMBER($Z$1229),$B$677=1),$Z$1229,HLOOKUP(INDIRECT(ADDRESS(2,COLUMN())),OFFSET($BN$2,0,0,ROW()-1,60),ROW()-1,FALSE))</f>
        <v>0.70578672399999998</v>
      </c>
      <c r="AA570">
        <f ca="1">IF(AND(ISNUMBER($AA$1229),$B$677=1),$AA$1229,HLOOKUP(INDIRECT(ADDRESS(2,COLUMN())),OFFSET($BN$2,0,0,ROW()-1,60),ROW()-1,FALSE))</f>
        <v>-1.044491093</v>
      </c>
      <c r="AB570">
        <f ca="1">IF(AND(ISNUMBER($AB$1229),$B$677=1),$AB$1229,HLOOKUP(INDIRECT(ADDRESS(2,COLUMN())),OFFSET($BN$2,0,0,ROW()-1,60),ROW()-1,FALSE))</f>
        <v>-4.3082589520000001</v>
      </c>
      <c r="AC570">
        <f ca="1">IF(AND(ISNUMBER($AC$1229),$B$677=1),$AC$1229,HLOOKUP(INDIRECT(ADDRESS(2,COLUMN())),OFFSET($BN$2,0,0,ROW()-1,60),ROW()-1,FALSE))</f>
        <v>-5.7863346739999999</v>
      </c>
      <c r="AD570">
        <f ca="1">IF(AND(ISNUMBER($AD$1229),$B$677=1),$AD$1229,HLOOKUP(INDIRECT(ADDRESS(2,COLUMN())),OFFSET($BN$2,0,0,ROW()-1,60),ROW()-1,FALSE))</f>
        <v>-11.490220539999999</v>
      </c>
      <c r="AE570">
        <f ca="1">IF(AND(ISNUMBER($AE$1229),$B$677=1),$AE$1229,HLOOKUP(INDIRECT(ADDRESS(2,COLUMN())),OFFSET($BN$2,0,0,ROW()-1,60),ROW()-1,FALSE))</f>
        <v>-14.97822912</v>
      </c>
      <c r="AF570" t="str">
        <f ca="1">IF(AND(ISNUMBER($AF$1229),$B$677=1),$AF$1229,HLOOKUP(INDIRECT(ADDRESS(2,COLUMN())),OFFSET($BN$2,0,0,ROW()-1,60),ROW()-1,FALSE))</f>
        <v/>
      </c>
      <c r="AG570" t="str">
        <f ca="1">IF(AND(ISNUMBER($AG$1229),$B$677=1),$AG$1229,HLOOKUP(INDIRECT(ADDRESS(2,COLUMN())),OFFSET($BN$2,0,0,ROW()-1,60),ROW()-1,FALSE))</f>
        <v/>
      </c>
      <c r="AH570" t="str">
        <f ca="1">IF(AND(ISNUMBER($AH$1229),$B$677=1),$AH$1229,HLOOKUP(INDIRECT(ADDRESS(2,COLUMN())),OFFSET($BN$2,0,0,ROW()-1,60),ROW()-1,FALSE))</f>
        <v/>
      </c>
      <c r="AI570" t="str">
        <f ca="1">IF(AND(ISNUMBER($AI$1229),$B$677=1),$AI$1229,HLOOKUP(INDIRECT(ADDRESS(2,COLUMN())),OFFSET($BN$2,0,0,ROW()-1,60),ROW()-1,FALSE))</f>
        <v/>
      </c>
      <c r="AJ570" t="str">
        <f ca="1">IF(AND(ISNUMBER($AJ$1229),$B$677=1),$AJ$1229,HLOOKUP(INDIRECT(ADDRESS(2,COLUMN())),OFFSET($BN$2,0,0,ROW()-1,60),ROW()-1,FALSE))</f>
        <v/>
      </c>
      <c r="AK570" t="str">
        <f ca="1">IF(AND(ISNUMBER($AK$1229),$B$677=1),$AK$1229,HLOOKUP(INDIRECT(ADDRESS(2,COLUMN())),OFFSET($BN$2,0,0,ROW()-1,60),ROW()-1,FALSE))</f>
        <v/>
      </c>
      <c r="AL570" t="str">
        <f ca="1">IF(AND(ISNUMBER($AL$1229),$B$677=1),$AL$1229,HLOOKUP(INDIRECT(ADDRESS(2,COLUMN())),OFFSET($BN$2,0,0,ROW()-1,60),ROW()-1,FALSE))</f>
        <v/>
      </c>
      <c r="AM570" t="str">
        <f ca="1">IF(AND(ISNUMBER($AM$1229),$B$677=1),$AM$1229,HLOOKUP(INDIRECT(ADDRESS(2,COLUMN())),OFFSET($BN$2,0,0,ROW()-1,60),ROW()-1,FALSE))</f>
        <v/>
      </c>
      <c r="AN570" t="str">
        <f ca="1">IF(AND(ISNUMBER($AN$1229),$B$677=1),$AN$1229,HLOOKUP(INDIRECT(ADDRESS(2,COLUMN())),OFFSET($BN$2,0,0,ROW()-1,60),ROW()-1,FALSE))</f>
        <v/>
      </c>
      <c r="AO570" t="str">
        <f ca="1">IF(AND(ISNUMBER($AO$1229),$B$677=1),$AO$1229,HLOOKUP(INDIRECT(ADDRESS(2,COLUMN())),OFFSET($BN$2,0,0,ROW()-1,60),ROW()-1,FALSE))</f>
        <v/>
      </c>
      <c r="AP570" t="str">
        <f ca="1">IF(AND(ISNUMBER($AP$1229),$B$677=1),$AP$1229,HLOOKUP(INDIRECT(ADDRESS(2,COLUMN())),OFFSET($BN$2,0,0,ROW()-1,60),ROW()-1,FALSE))</f>
        <v/>
      </c>
      <c r="AQ570" t="str">
        <f ca="1">IF(AND(ISNUMBER($AQ$1229),$B$677=1),$AQ$1229,HLOOKUP(INDIRECT(ADDRESS(2,COLUMN())),OFFSET($BN$2,0,0,ROW()-1,60),ROW()-1,FALSE))</f>
        <v/>
      </c>
      <c r="AR570" t="str">
        <f ca="1">IF(AND(ISNUMBER($AR$1229),$B$677=1),$AR$1229,HLOOKUP(INDIRECT(ADDRESS(2,COLUMN())),OFFSET($BN$2,0,0,ROW()-1,60),ROW()-1,FALSE))</f>
        <v/>
      </c>
      <c r="AS570" t="str">
        <f ca="1">IF(AND(ISNUMBER($AS$1229),$B$677=1),$AS$1229,HLOOKUP(INDIRECT(ADDRESS(2,COLUMN())),OFFSET($BN$2,0,0,ROW()-1,60),ROW()-1,FALSE))</f>
        <v/>
      </c>
      <c r="AT570" t="str">
        <f ca="1">IF(AND(ISNUMBER($AT$1229),$B$677=1),$AT$1229,HLOOKUP(INDIRECT(ADDRESS(2,COLUMN())),OFFSET($BN$2,0,0,ROW()-1,60),ROW()-1,FALSE))</f>
        <v/>
      </c>
      <c r="AU570" t="str">
        <f ca="1">IF(AND(ISNUMBER($AU$1229),$B$677=1),$AU$1229,HLOOKUP(INDIRECT(ADDRESS(2,COLUMN())),OFFSET($BN$2,0,0,ROW()-1,60),ROW()-1,FALSE))</f>
        <v/>
      </c>
      <c r="AV570" t="str">
        <f ca="1">IF(AND(ISNUMBER($AV$1229),$B$677=1),$AV$1229,HLOOKUP(INDIRECT(ADDRESS(2,COLUMN())),OFFSET($BN$2,0,0,ROW()-1,60),ROW()-1,FALSE))</f>
        <v/>
      </c>
      <c r="AW570" t="str">
        <f ca="1">IF(AND(ISNUMBER($AW$1229),$B$677=1),$AW$1229,HLOOKUP(INDIRECT(ADDRESS(2,COLUMN())),OFFSET($BN$2,0,0,ROW()-1,60),ROW()-1,FALSE))</f>
        <v/>
      </c>
      <c r="AX570" t="str">
        <f ca="1">IF(AND(ISNUMBER($AX$1229),$B$677=1),$AX$1229,HLOOKUP(INDIRECT(ADDRESS(2,COLUMN())),OFFSET($BN$2,0,0,ROW()-1,60),ROW()-1,FALSE))</f>
        <v/>
      </c>
      <c r="AY570" t="str">
        <f ca="1">IF(AND(ISNUMBER($AY$1229),$B$677=1),$AY$1229,HLOOKUP(INDIRECT(ADDRESS(2,COLUMN())),OFFSET($BN$2,0,0,ROW()-1,60),ROW()-1,FALSE))</f>
        <v/>
      </c>
      <c r="AZ570" t="str">
        <f ca="1">IF(AND(ISNUMBER($AZ$1229),$B$677=1),$AZ$1229,HLOOKUP(INDIRECT(ADDRESS(2,COLUMN())),OFFSET($BN$2,0,0,ROW()-1,60),ROW()-1,FALSE))</f>
        <v/>
      </c>
      <c r="BA570" t="str">
        <f ca="1">IF(AND(ISNUMBER($BA$1229),$B$677=1),$BA$1229,HLOOKUP(INDIRECT(ADDRESS(2,COLUMN())),OFFSET($BN$2,0,0,ROW()-1,60),ROW()-1,FALSE))</f>
        <v/>
      </c>
      <c r="BB570" t="str">
        <f ca="1">IF(AND(ISNUMBER($BB$1229),$B$677=1),$BB$1229,HLOOKUP(INDIRECT(ADDRESS(2,COLUMN())),OFFSET($BN$2,0,0,ROW()-1,60),ROW()-1,FALSE))</f>
        <v/>
      </c>
      <c r="BC570" t="str">
        <f ca="1">IF(AND(ISNUMBER($BC$1229),$B$677=1),$BC$1229,HLOOKUP(INDIRECT(ADDRESS(2,COLUMN())),OFFSET($BN$2,0,0,ROW()-1,60),ROW()-1,FALSE))</f>
        <v/>
      </c>
      <c r="BD570" t="str">
        <f ca="1">IF(AND(ISNUMBER($BD$1229),$B$677=1),$BD$1229,HLOOKUP(INDIRECT(ADDRESS(2,COLUMN())),OFFSET($BN$2,0,0,ROW()-1,60),ROW()-1,FALSE))</f>
        <v/>
      </c>
      <c r="BE570" t="str">
        <f ca="1">IF(AND(ISNUMBER($BE$1229),$B$677=1),$BE$1229,HLOOKUP(INDIRECT(ADDRESS(2,COLUMN())),OFFSET($BN$2,0,0,ROW()-1,60),ROW()-1,FALSE))</f>
        <v/>
      </c>
      <c r="BF570" t="str">
        <f ca="1">IF(AND(ISNUMBER($BF$1229),$B$677=1),$BF$1229,HLOOKUP(INDIRECT(ADDRESS(2,COLUMN())),OFFSET($BN$2,0,0,ROW()-1,60),ROW()-1,FALSE))</f>
        <v/>
      </c>
      <c r="BG570" t="str">
        <f ca="1">IF(AND(ISNUMBER($BG$1229),$B$677=1),$BG$1229,HLOOKUP(INDIRECT(ADDRESS(2,COLUMN())),OFFSET($BN$2,0,0,ROW()-1,60),ROW()-1,FALSE))</f>
        <v/>
      </c>
      <c r="BH570" t="str">
        <f ca="1">IF(AND(ISNUMBER($BH$1229),$B$677=1),$BH$1229,HLOOKUP(INDIRECT(ADDRESS(2,COLUMN())),OFFSET($BN$2,0,0,ROW()-1,60),ROW()-1,FALSE))</f>
        <v/>
      </c>
      <c r="BI570" t="str">
        <f ca="1">IF(AND(ISNUMBER($BI$1229),$B$677=1),$BI$1229,HLOOKUP(INDIRECT(ADDRESS(2,COLUMN())),OFFSET($BN$2,0,0,ROW()-1,60),ROW()-1,FALSE))</f>
        <v/>
      </c>
      <c r="BJ570" t="str">
        <f ca="1">IF(AND(ISNUMBER($BJ$1229),$B$677=1),$BJ$1229,HLOOKUP(INDIRECT(ADDRESS(2,COLUMN())),OFFSET($BN$2,0,0,ROW()-1,60),ROW()-1,FALSE))</f>
        <v/>
      </c>
      <c r="BK570" t="str">
        <f ca="1">IF(AND(ISNUMBER($BK$1229),$B$677=1),$BK$1229,HLOOKUP(INDIRECT(ADDRESS(2,COLUMN())),OFFSET($BN$2,0,0,ROW()-1,60),ROW()-1,FALSE))</f>
        <v/>
      </c>
      <c r="BL570" t="str">
        <f ca="1">IF(AND(ISNUMBER($BL$1229),$B$677=1),$BL$1229,HLOOKUP(INDIRECT(ADDRESS(2,COLUMN())),OFFSET($BN$2,0,0,ROW()-1,60),ROW()-1,FALSE))</f>
        <v/>
      </c>
      <c r="BM570" t="str">
        <f ca="1">IF(AND(ISNUMBER($BM$1229),$B$677=1),$BM$1229,HLOOKUP(INDIRECT(ADDRESS(2,COLUMN())),OFFSET($BN$2,0,0,ROW()-1,60),ROW()-1,FALSE))</f>
        <v/>
      </c>
      <c r="BN570" t="str">
        <f>""</f>
        <v/>
      </c>
      <c r="BO570">
        <f>-15.90237315</f>
        <v>-15.902373150000001</v>
      </c>
      <c r="BP570">
        <f>-13.72515886</f>
        <v>-13.725158860000001</v>
      </c>
      <c r="BQ570">
        <f>-12.99133547</f>
        <v>-12.991335469999999</v>
      </c>
      <c r="BR570">
        <f>-11.83265797</f>
        <v>-11.83265797</v>
      </c>
      <c r="BS570">
        <f>-9.25150018</f>
        <v>-9.2515001800000007</v>
      </c>
      <c r="BT570">
        <f>-4.423244072</f>
        <v>-4.4232440720000001</v>
      </c>
      <c r="BU570">
        <f>-2.285045059</f>
        <v>-2.2850450590000002</v>
      </c>
      <c r="BV570">
        <f>0.408264981</f>
        <v>0.40826498100000003</v>
      </c>
      <c r="BW570">
        <f>2.58635989</f>
        <v>2.5863598900000002</v>
      </c>
      <c r="BX570">
        <f>3.874245037</f>
        <v>3.8742450370000001</v>
      </c>
      <c r="BY570">
        <f>4.753700744</f>
        <v>4.7537007439999996</v>
      </c>
      <c r="BZ570">
        <f>0.569945768</f>
        <v>0.56994576799999996</v>
      </c>
      <c r="CA570">
        <f>-3.371109139</f>
        <v>-3.3711091390000001</v>
      </c>
      <c r="CB570">
        <f>-7.494646675</f>
        <v>-7.4946466750000003</v>
      </c>
      <c r="CC570">
        <f>-9.597899041</f>
        <v>-9.5978990409999998</v>
      </c>
      <c r="CD570">
        <f>-8.867545367</f>
        <v>-8.867545367</v>
      </c>
      <c r="CE570">
        <f>-6.055697544</f>
        <v>-6.055697544</v>
      </c>
      <c r="CF570">
        <f>-4.439392562</f>
        <v>-4.4393925620000001</v>
      </c>
      <c r="CG570">
        <f>-0.927317396</f>
        <v>-0.92731739599999996</v>
      </c>
      <c r="CH570">
        <f>0.705786724</f>
        <v>0.70578672399999998</v>
      </c>
      <c r="CI570">
        <f>-1.044491093</f>
        <v>-1.044491093</v>
      </c>
      <c r="CJ570">
        <f>-4.308258952</f>
        <v>-4.3082589520000001</v>
      </c>
      <c r="CK570">
        <f>-5.786334674</f>
        <v>-5.7863346739999999</v>
      </c>
      <c r="CL570">
        <f>-11.49022054</f>
        <v>-11.490220539999999</v>
      </c>
      <c r="CM570">
        <f>-14.97822912</f>
        <v>-14.97822912</v>
      </c>
      <c r="CN570" t="str">
        <f>""</f>
        <v/>
      </c>
      <c r="CO570" t="str">
        <f>""</f>
        <v/>
      </c>
      <c r="CP570" t="str">
        <f>""</f>
        <v/>
      </c>
      <c r="CQ570" t="str">
        <f>""</f>
        <v/>
      </c>
      <c r="CR570" t="str">
        <f>""</f>
        <v/>
      </c>
      <c r="CS570" t="str">
        <f>""</f>
        <v/>
      </c>
      <c r="CT570" t="str">
        <f>""</f>
        <v/>
      </c>
      <c r="CU570" t="str">
        <f>""</f>
        <v/>
      </c>
      <c r="CV570" t="str">
        <f>""</f>
        <v/>
      </c>
      <c r="CW570" t="str">
        <f>""</f>
        <v/>
      </c>
      <c r="CX570" t="str">
        <f>""</f>
        <v/>
      </c>
      <c r="CY570" t="str">
        <f>""</f>
        <v/>
      </c>
      <c r="CZ570" t="str">
        <f>""</f>
        <v/>
      </c>
      <c r="DA570" t="str">
        <f>""</f>
        <v/>
      </c>
      <c r="DB570" t="str">
        <f>""</f>
        <v/>
      </c>
      <c r="DC570" t="str">
        <f>""</f>
        <v/>
      </c>
      <c r="DD570" t="str">
        <f>""</f>
        <v/>
      </c>
      <c r="DE570" t="str">
        <f>""</f>
        <v/>
      </c>
      <c r="DF570" t="str">
        <f>""</f>
        <v/>
      </c>
      <c r="DG570" t="str">
        <f>""</f>
        <v/>
      </c>
      <c r="DH570" t="str">
        <f>""</f>
        <v/>
      </c>
      <c r="DI570" t="str">
        <f>""</f>
        <v/>
      </c>
      <c r="DJ570" t="str">
        <f>""</f>
        <v/>
      </c>
      <c r="DK570" t="str">
        <f>""</f>
        <v/>
      </c>
      <c r="DL570" t="str">
        <f>""</f>
        <v/>
      </c>
      <c r="DM570" t="str">
        <f>""</f>
        <v/>
      </c>
      <c r="DN570" t="str">
        <f>""</f>
        <v/>
      </c>
      <c r="DO570" t="str">
        <f>""</f>
        <v/>
      </c>
      <c r="DP570" t="str">
        <f>""</f>
        <v/>
      </c>
      <c r="DQ570" t="str">
        <f>""</f>
        <v/>
      </c>
      <c r="DR570" t="str">
        <f>""</f>
        <v/>
      </c>
      <c r="DS570" t="str">
        <f>""</f>
        <v/>
      </c>
      <c r="DT570" t="str">
        <f>""</f>
        <v/>
      </c>
      <c r="DU570" t="str">
        <f>""</f>
        <v/>
      </c>
    </row>
    <row r="571" spans="1:125" x14ac:dyDescent="0.25">
      <c r="A571" t="str">
        <f>"    Subaru Corp"</f>
        <v xml:space="preserve">    Subaru Corp</v>
      </c>
      <c r="B571" t="str">
        <f>"7270 JP Equity"</f>
        <v>7270 JP Equity</v>
      </c>
      <c r="C571" t="str">
        <f t="shared" si="39"/>
        <v>RX076</v>
      </c>
      <c r="D571" t="str">
        <f t="shared" si="40"/>
        <v>EBIT_YIELD</v>
      </c>
      <c r="E571" t="str">
        <f t="shared" si="41"/>
        <v>Dynamic</v>
      </c>
      <c r="F571">
        <f ca="1">IF(AND(ISNUMBER($F$1230),$B$677=1),$F$1230,HLOOKUP(INDIRECT(ADDRESS(2,COLUMN())),OFFSET($BN$2,0,0,ROW()-1,60),ROW()-1,FALSE))</f>
        <v>10.40864307</v>
      </c>
      <c r="G571">
        <f ca="1">IF(AND(ISNUMBER($G$1230),$B$677=1),$G$1230,HLOOKUP(INDIRECT(ADDRESS(2,COLUMN())),OFFSET($BN$2,0,0,ROW()-1,60),ROW()-1,FALSE))</f>
        <v>12.53447611</v>
      </c>
      <c r="H571">
        <f ca="1">IF(AND(ISNUMBER($H$1230),$B$677=1),$H$1230,HLOOKUP(INDIRECT(ADDRESS(2,COLUMN())),OFFSET($BN$2,0,0,ROW()-1,60),ROW()-1,FALSE))</f>
        <v>8.3338325139999991</v>
      </c>
      <c r="I571">
        <f ca="1">IF(AND(ISNUMBER($I$1230),$B$677=1),$I$1230,HLOOKUP(INDIRECT(ADDRESS(2,COLUMN())),OFFSET($BN$2,0,0,ROW()-1,60),ROW()-1,FALSE))</f>
        <v>12.847663300000001</v>
      </c>
      <c r="J571">
        <f ca="1">IF(AND(ISNUMBER($J$1230),$B$677=1),$J$1230,HLOOKUP(INDIRECT(ADDRESS(2,COLUMN())),OFFSET($BN$2,0,0,ROW()-1,60),ROW()-1,FALSE))</f>
        <v>14.19287639</v>
      </c>
      <c r="K571">
        <f ca="1">IF(AND(ISNUMBER($K$1230),$B$677=1),$K$1230,HLOOKUP(INDIRECT(ADDRESS(2,COLUMN())),OFFSET($BN$2,0,0,ROW()-1,60),ROW()-1,FALSE))</f>
        <v>14.93526516</v>
      </c>
      <c r="L571">
        <f ca="1">IF(AND(ISNUMBER($L$1230),$B$677=1),$L$1230,HLOOKUP(INDIRECT(ADDRESS(2,COLUMN())),OFFSET($BN$2,0,0,ROW()-1,60),ROW()-1,FALSE))</f>
        <v>13.30693988</v>
      </c>
      <c r="M571">
        <f ca="1">IF(AND(ISNUMBER($M$1230),$B$677=1),$M$1230,HLOOKUP(INDIRECT(ADDRESS(2,COLUMN())),OFFSET($BN$2,0,0,ROW()-1,60),ROW()-1,FALSE))</f>
        <v>14.731422569999999</v>
      </c>
      <c r="N571">
        <f ca="1">IF(AND(ISNUMBER($N$1230),$B$677=1),$N$1230,HLOOKUP(INDIRECT(ADDRESS(2,COLUMN())),OFFSET($BN$2,0,0,ROW()-1,60),ROW()-1,FALSE))</f>
        <v>13.03418381</v>
      </c>
      <c r="O571">
        <f ca="1">IF(AND(ISNUMBER($O$1230),$B$677=1),$O$1230,HLOOKUP(INDIRECT(ADDRESS(2,COLUMN())),OFFSET($BN$2,0,0,ROW()-1,60),ROW()-1,FALSE))</f>
        <v>11.797069860000001</v>
      </c>
      <c r="P571">
        <f ca="1">IF(AND(ISNUMBER($P$1230),$B$677=1),$P$1230,HLOOKUP(INDIRECT(ADDRESS(2,COLUMN())),OFFSET($BN$2,0,0,ROW()-1,60),ROW()-1,FALSE))</f>
        <v>16.72514177</v>
      </c>
      <c r="Q571">
        <f ca="1">IF(AND(ISNUMBER($Q$1230),$B$677=1),$Q$1230,HLOOKUP(INDIRECT(ADDRESS(2,COLUMN())),OFFSET($BN$2,0,0,ROW()-1,60),ROW()-1,FALSE))</f>
        <v>19.634776299999999</v>
      </c>
      <c r="R571">
        <f ca="1">IF(AND(ISNUMBER($R$1230),$B$677=1),$R$1230,HLOOKUP(INDIRECT(ADDRESS(2,COLUMN())),OFFSET($BN$2,0,0,ROW()-1,60),ROW()-1,FALSE))</f>
        <v>18.232980260000001</v>
      </c>
      <c r="S571">
        <f ca="1">IF(AND(ISNUMBER($S$1230),$B$677=1),$S$1230,HLOOKUP(INDIRECT(ADDRESS(2,COLUMN())),OFFSET($BN$2,0,0,ROW()-1,60),ROW()-1,FALSE))</f>
        <v>13.985194699999999</v>
      </c>
      <c r="T571">
        <f ca="1">IF(AND(ISNUMBER($T$1230),$B$677=1),$T$1230,HLOOKUP(INDIRECT(ADDRESS(2,COLUMN())),OFFSET($BN$2,0,0,ROW()-1,60),ROW()-1,FALSE))</f>
        <v>15.63197641</v>
      </c>
      <c r="U571">
        <f ca="1">IF(AND(ISNUMBER($U$1230),$B$677=1),$U$1230,HLOOKUP(INDIRECT(ADDRESS(2,COLUMN())),OFFSET($BN$2,0,0,ROW()-1,60),ROW()-1,FALSE))</f>
        <v>13.60254892</v>
      </c>
      <c r="V571">
        <f ca="1">IF(AND(ISNUMBER($V$1230),$B$677=1),$V$1230,HLOOKUP(INDIRECT(ADDRESS(2,COLUMN())),OFFSET($BN$2,0,0,ROW()-1,60),ROW()-1,FALSE))</f>
        <v>13.582991959999999</v>
      </c>
      <c r="W571">
        <f ca="1">IF(AND(ISNUMBER($W$1230),$B$677=1),$W$1230,HLOOKUP(INDIRECT(ADDRESS(2,COLUMN())),OFFSET($BN$2,0,0,ROW()-1,60),ROW()-1,FALSE))</f>
        <v>12.01806054</v>
      </c>
      <c r="X571">
        <f ca="1">IF(AND(ISNUMBER($X$1230),$B$677=1),$X$1230,HLOOKUP(INDIRECT(ADDRESS(2,COLUMN())),OFFSET($BN$2,0,0,ROW()-1,60),ROW()-1,FALSE))</f>
        <v>12.773443820000001</v>
      </c>
      <c r="Y571">
        <f ca="1">IF(AND(ISNUMBER($Y$1230),$B$677=1),$Y$1230,HLOOKUP(INDIRECT(ADDRESS(2,COLUMN())),OFFSET($BN$2,0,0,ROW()-1,60),ROW()-1,FALSE))</f>
        <v>15.32999019</v>
      </c>
      <c r="Z571">
        <f ca="1">IF(AND(ISNUMBER($Z$1230),$B$677=1),$Z$1230,HLOOKUP(INDIRECT(ADDRESS(2,COLUMN())),OFFSET($BN$2,0,0,ROW()-1,60),ROW()-1,FALSE))</f>
        <v>14.98421959</v>
      </c>
      <c r="AA571">
        <f ca="1">IF(AND(ISNUMBER($AA$1230),$B$677=1),$AA$1230,HLOOKUP(INDIRECT(ADDRESS(2,COLUMN())),OFFSET($BN$2,0,0,ROW()-1,60),ROW()-1,FALSE))</f>
        <v>11.91680397</v>
      </c>
      <c r="AB571">
        <f ca="1">IF(AND(ISNUMBER($AB$1230),$B$677=1),$AB$1230,HLOOKUP(INDIRECT(ADDRESS(2,COLUMN())),OFFSET($BN$2,0,0,ROW()-1,60),ROW()-1,FALSE))</f>
        <v>10.773570339999999</v>
      </c>
      <c r="AC571">
        <f ca="1">IF(AND(ISNUMBER($AC$1230),$B$677=1),$AC$1230,HLOOKUP(INDIRECT(ADDRESS(2,COLUMN())),OFFSET($BN$2,0,0,ROW()-1,60),ROW()-1,FALSE))</f>
        <v>9.0512984939999992</v>
      </c>
      <c r="AD571">
        <f ca="1">IF(AND(ISNUMBER($AD$1230),$B$677=1),$AD$1230,HLOOKUP(INDIRECT(ADDRESS(2,COLUMN())),OFFSET($BN$2,0,0,ROW()-1,60),ROW()-1,FALSE))</f>
        <v>10.560184639999999</v>
      </c>
      <c r="AE571">
        <f ca="1">IF(AND(ISNUMBER($AE$1230),$B$677=1),$AE$1230,HLOOKUP(INDIRECT(ADDRESS(2,COLUMN())),OFFSET($BN$2,0,0,ROW()-1,60),ROW()-1,FALSE))</f>
        <v>10.65444943</v>
      </c>
      <c r="AF571">
        <f ca="1">IF(AND(ISNUMBER($AF$1230),$B$677=1),$AF$1230,HLOOKUP(INDIRECT(ADDRESS(2,COLUMN())),OFFSET($BN$2,0,0,ROW()-1,60),ROW()-1,FALSE))</f>
        <v>13.53591102</v>
      </c>
      <c r="AG571">
        <f ca="1">IF(AND(ISNUMBER($AG$1230),$B$677=1),$AG$1230,HLOOKUP(INDIRECT(ADDRESS(2,COLUMN())),OFFSET($BN$2,0,0,ROW()-1,60),ROW()-1,FALSE))</f>
        <v>10.182675830000001</v>
      </c>
      <c r="AH571">
        <f ca="1">IF(AND(ISNUMBER($AH$1230),$B$677=1),$AH$1230,HLOOKUP(INDIRECT(ADDRESS(2,COLUMN())),OFFSET($BN$2,0,0,ROW()-1,60),ROW()-1,FALSE))</f>
        <v>8.4704600709999998</v>
      </c>
      <c r="AI571">
        <f ca="1">IF(AND(ISNUMBER($AI$1230),$B$677=1),$AI$1230,HLOOKUP(INDIRECT(ADDRESS(2,COLUMN())),OFFSET($BN$2,0,0,ROW()-1,60),ROW()-1,FALSE))</f>
        <v>10.61290981</v>
      </c>
      <c r="AJ571">
        <f ca="1">IF(AND(ISNUMBER($AJ$1230),$B$677=1),$AJ$1230,HLOOKUP(INDIRECT(ADDRESS(2,COLUMN())),OFFSET($BN$2,0,0,ROW()-1,60),ROW()-1,FALSE))</f>
        <v>12.74877736</v>
      </c>
      <c r="AK571">
        <f ca="1">IF(AND(ISNUMBER($AK$1230),$B$677=1),$AK$1230,HLOOKUP(INDIRECT(ADDRESS(2,COLUMN())),OFFSET($BN$2,0,0,ROW()-1,60),ROW()-1,FALSE))</f>
        <v>14.864265749999999</v>
      </c>
      <c r="AL571">
        <f ca="1">IF(AND(ISNUMBER($AL$1230),$B$677=1),$AL$1230,HLOOKUP(INDIRECT(ADDRESS(2,COLUMN())),OFFSET($BN$2,0,0,ROW()-1,60),ROW()-1,FALSE))</f>
        <v>20.11822982</v>
      </c>
      <c r="AM571">
        <f ca="1">IF(AND(ISNUMBER($AM$1230),$B$677=1),$AM$1230,HLOOKUP(INDIRECT(ADDRESS(2,COLUMN())),OFFSET($BN$2,0,0,ROW()-1,60),ROW()-1,FALSE))</f>
        <v>19.731018939999998</v>
      </c>
      <c r="AN571">
        <f ca="1">IF(AND(ISNUMBER($AN$1230),$B$677=1),$AN$1230,HLOOKUP(INDIRECT(ADDRESS(2,COLUMN())),OFFSET($BN$2,0,0,ROW()-1,60),ROW()-1,FALSE))</f>
        <v>23.171576850000001</v>
      </c>
      <c r="AO571">
        <f ca="1">IF(AND(ISNUMBER($AO$1230),$B$677=1),$AO$1230,HLOOKUP(INDIRECT(ADDRESS(2,COLUMN())),OFFSET($BN$2,0,0,ROW()-1,60),ROW()-1,FALSE))</f>
        <v>18.618919980000001</v>
      </c>
      <c r="AP571">
        <f ca="1">IF(AND(ISNUMBER($AP$1230),$B$677=1),$AP$1230,HLOOKUP(INDIRECT(ADDRESS(2,COLUMN())),OFFSET($BN$2,0,0,ROW()-1,60),ROW()-1,FALSE))</f>
        <v>7.2463091039999998</v>
      </c>
      <c r="AQ571">
        <f ca="1">IF(AND(ISNUMBER($AQ$1230),$B$677=1),$AQ$1230,HLOOKUP(INDIRECT(ADDRESS(2,COLUMN())),OFFSET($BN$2,0,0,ROW()-1,60),ROW()-1,FALSE))</f>
        <v>-3.395825425</v>
      </c>
      <c r="AR571">
        <f ca="1">IF(AND(ISNUMBER($AR$1230),$B$677=1),$AR$1230,HLOOKUP(INDIRECT(ADDRESS(2,COLUMN())),OFFSET($BN$2,0,0,ROW()-1,60),ROW()-1,FALSE))</f>
        <v>-13.110736380000001</v>
      </c>
      <c r="AS571">
        <f ca="1">IF(AND(ISNUMBER($AS$1230),$B$677=1),$AS$1230,HLOOKUP(INDIRECT(ADDRESS(2,COLUMN())),OFFSET($BN$2,0,0,ROW()-1,60),ROW()-1,FALSE))</f>
        <v>-10.42298444</v>
      </c>
      <c r="AT571">
        <f ca="1">IF(AND(ISNUMBER($AT$1230),$B$677=1),$AT$1230,HLOOKUP(INDIRECT(ADDRESS(2,COLUMN())),OFFSET($BN$2,0,0,ROW()-1,60),ROW()-1,FALSE))</f>
        <v>-2.0222923640000001</v>
      </c>
      <c r="AU571">
        <f ca="1">IF(AND(ISNUMBER($AU$1230),$B$677=1),$AU$1230,HLOOKUP(INDIRECT(ADDRESS(2,COLUMN())),OFFSET($BN$2,0,0,ROW()-1,60),ROW()-1,FALSE))</f>
        <v>11.020595139999999</v>
      </c>
      <c r="AV571">
        <f ca="1">IF(AND(ISNUMBER($AV$1230),$B$677=1),$AV$1230,HLOOKUP(INDIRECT(ADDRESS(2,COLUMN())),OFFSET($BN$2,0,0,ROW()-1,60),ROW()-1,FALSE))</f>
        <v>11.86354291</v>
      </c>
      <c r="AW571">
        <f ca="1">IF(AND(ISNUMBER($AW$1230),$B$677=1),$AW$1230,HLOOKUP(INDIRECT(ADDRESS(2,COLUMN())),OFFSET($BN$2,0,0,ROW()-1,60),ROW()-1,FALSE))</f>
        <v>13.041100180000001</v>
      </c>
      <c r="AX571">
        <f ca="1">IF(AND(ISNUMBER($AX$1230),$B$677=1),$AX$1230,HLOOKUP(INDIRECT(ADDRESS(2,COLUMN())),OFFSET($BN$2,0,0,ROW()-1,60),ROW()-1,FALSE))</f>
        <v>15.27176416</v>
      </c>
      <c r="AY571">
        <f ca="1">IF(AND(ISNUMBER($AY$1230),$B$677=1),$AY$1230,HLOOKUP(INDIRECT(ADDRESS(2,COLUMN())),OFFSET($BN$2,0,0,ROW()-1,60),ROW()-1,FALSE))</f>
        <v>13.022377949999999</v>
      </c>
      <c r="AZ571">
        <f ca="1">IF(AND(ISNUMBER($AZ$1230),$B$677=1),$AZ$1230,HLOOKUP(INDIRECT(ADDRESS(2,COLUMN())),OFFSET($BN$2,0,0,ROW()-1,60),ROW()-1,FALSE))</f>
        <v>13.44062252</v>
      </c>
      <c r="BA571">
        <f ca="1">IF(AND(ISNUMBER($BA$1230),$B$677=1),$BA$1230,HLOOKUP(INDIRECT(ADDRESS(2,COLUMN())),OFFSET($BN$2,0,0,ROW()-1,60),ROW()-1,FALSE))</f>
        <v>9.5921985129999996</v>
      </c>
      <c r="BB571">
        <f ca="1">IF(AND(ISNUMBER($BB$1230),$B$677=1),$BB$1230,HLOOKUP(INDIRECT(ADDRESS(2,COLUMN())),OFFSET($BN$2,0,0,ROW()-1,60),ROW()-1,FALSE))</f>
        <v>10.909417850000001</v>
      </c>
      <c r="BC571">
        <f ca="1">IF(AND(ISNUMBER($BC$1230),$B$677=1),$BC$1230,HLOOKUP(INDIRECT(ADDRESS(2,COLUMN())),OFFSET($BN$2,0,0,ROW()-1,60),ROW()-1,FALSE))</f>
        <v>12.880261989999999</v>
      </c>
      <c r="BD571">
        <f ca="1">IF(AND(ISNUMBER($BD$1230),$B$677=1),$BD$1230,HLOOKUP(INDIRECT(ADDRESS(2,COLUMN())),OFFSET($BN$2,0,0,ROW()-1,60),ROW()-1,FALSE))</f>
        <v>12.206266100000001</v>
      </c>
      <c r="BE571">
        <f ca="1">IF(AND(ISNUMBER($BE$1230),$B$677=1),$BE$1230,HLOOKUP(INDIRECT(ADDRESS(2,COLUMN())),OFFSET($BN$2,0,0,ROW()-1,60),ROW()-1,FALSE))</f>
        <v>13.84747151</v>
      </c>
      <c r="BF571">
        <f ca="1">IF(AND(ISNUMBER($BF$1230),$B$677=1),$BF$1230,HLOOKUP(INDIRECT(ADDRESS(2,COLUMN())),OFFSET($BN$2,0,0,ROW()-1,60),ROW()-1,FALSE))</f>
        <v>11.42812034</v>
      </c>
      <c r="BG571">
        <f ca="1">IF(AND(ISNUMBER($BG$1230),$B$677=1),$BG$1230,HLOOKUP(INDIRECT(ADDRESS(2,COLUMN())),OFFSET($BN$2,0,0,ROW()-1,60),ROW()-1,FALSE))</f>
        <v>10.96701616</v>
      </c>
      <c r="BH571">
        <f ca="1">IF(AND(ISNUMBER($BH$1230),$B$677=1),$BH$1230,HLOOKUP(INDIRECT(ADDRESS(2,COLUMN())),OFFSET($BN$2,0,0,ROW()-1,60),ROW()-1,FALSE))</f>
        <v>10.99086997</v>
      </c>
      <c r="BI571">
        <f ca="1">IF(AND(ISNUMBER($BI$1230),$B$677=1),$BI$1230,HLOOKUP(INDIRECT(ADDRESS(2,COLUMN())),OFFSET($BN$2,0,0,ROW()-1,60),ROW()-1,FALSE))</f>
        <v>11.96348096</v>
      </c>
      <c r="BJ571">
        <f ca="1">IF(AND(ISNUMBER($BJ$1230),$B$677=1),$BJ$1230,HLOOKUP(INDIRECT(ADDRESS(2,COLUMN())),OFFSET($BN$2,0,0,ROW()-1,60),ROW()-1,FALSE))</f>
        <v>10.268867090000001</v>
      </c>
      <c r="BK571" t="str">
        <f ca="1">IF(AND(ISNUMBER($BK$1230),$B$677=1),$BK$1230,HLOOKUP(INDIRECT(ADDRESS(2,COLUMN())),OFFSET($BN$2,0,0,ROW()-1,60),ROW()-1,FALSE))</f>
        <v/>
      </c>
      <c r="BL571" t="str">
        <f ca="1">IF(AND(ISNUMBER($BL$1230),$B$677=1),$BL$1230,HLOOKUP(INDIRECT(ADDRESS(2,COLUMN())),OFFSET($BN$2,0,0,ROW()-1,60),ROW()-1,FALSE))</f>
        <v/>
      </c>
      <c r="BM571" t="str">
        <f ca="1">IF(AND(ISNUMBER($BM$1230),$B$677=1),$BM$1230,HLOOKUP(INDIRECT(ADDRESS(2,COLUMN())),OFFSET($BN$2,0,0,ROW()-1,60),ROW()-1,FALSE))</f>
        <v/>
      </c>
      <c r="BN571">
        <f>10.40864307</f>
        <v>10.40864307</v>
      </c>
      <c r="BO571">
        <f>12.53447611</f>
        <v>12.53447611</v>
      </c>
      <c r="BP571">
        <f>8.333832514</f>
        <v>8.3338325139999991</v>
      </c>
      <c r="BQ571">
        <f>12.8476633</f>
        <v>12.847663300000001</v>
      </c>
      <c r="BR571">
        <f>14.19287639</f>
        <v>14.19287639</v>
      </c>
      <c r="BS571">
        <f>14.93526516</f>
        <v>14.93526516</v>
      </c>
      <c r="BT571">
        <f>13.30693988</f>
        <v>13.30693988</v>
      </c>
      <c r="BU571">
        <f>14.73142257</f>
        <v>14.731422569999999</v>
      </c>
      <c r="BV571">
        <f>13.03418381</f>
        <v>13.03418381</v>
      </c>
      <c r="BW571">
        <f>11.79706986</f>
        <v>11.797069860000001</v>
      </c>
      <c r="BX571">
        <f>16.72514177</f>
        <v>16.72514177</v>
      </c>
      <c r="BY571">
        <f>19.6347763</f>
        <v>19.634776299999999</v>
      </c>
      <c r="BZ571">
        <f>18.23298026</f>
        <v>18.232980260000001</v>
      </c>
      <c r="CA571">
        <f>13.9851947</f>
        <v>13.985194699999999</v>
      </c>
      <c r="CB571">
        <f>15.63197641</f>
        <v>15.63197641</v>
      </c>
      <c r="CC571">
        <f>13.60254892</f>
        <v>13.60254892</v>
      </c>
      <c r="CD571">
        <f>13.58299196</f>
        <v>13.582991959999999</v>
      </c>
      <c r="CE571">
        <f>12.01806054</f>
        <v>12.01806054</v>
      </c>
      <c r="CF571">
        <f>12.77344382</f>
        <v>12.773443820000001</v>
      </c>
      <c r="CG571">
        <f>15.32999019</f>
        <v>15.32999019</v>
      </c>
      <c r="CH571">
        <f>14.98421959</f>
        <v>14.98421959</v>
      </c>
      <c r="CI571">
        <f>11.91680397</f>
        <v>11.91680397</v>
      </c>
      <c r="CJ571">
        <f>10.77357034</f>
        <v>10.773570339999999</v>
      </c>
      <c r="CK571">
        <f>9.051298494</f>
        <v>9.0512984939999992</v>
      </c>
      <c r="CL571">
        <f>10.56018464</f>
        <v>10.560184639999999</v>
      </c>
      <c r="CM571">
        <f>10.65444943</f>
        <v>10.65444943</v>
      </c>
      <c r="CN571">
        <f>13.53591102</f>
        <v>13.53591102</v>
      </c>
      <c r="CO571">
        <f>10.18267583</f>
        <v>10.182675830000001</v>
      </c>
      <c r="CP571">
        <f>8.470460071</f>
        <v>8.4704600709999998</v>
      </c>
      <c r="CQ571">
        <f>10.61290981</f>
        <v>10.61290981</v>
      </c>
      <c r="CR571">
        <f>12.74877736</f>
        <v>12.74877736</v>
      </c>
      <c r="CS571">
        <f>14.86426575</f>
        <v>14.864265749999999</v>
      </c>
      <c r="CT571">
        <f>20.11822982</f>
        <v>20.11822982</v>
      </c>
      <c r="CU571">
        <f>19.73101894</f>
        <v>19.731018939999998</v>
      </c>
      <c r="CV571">
        <f>23.17157685</f>
        <v>23.171576850000001</v>
      </c>
      <c r="CW571">
        <f>18.61891998</f>
        <v>18.618919980000001</v>
      </c>
      <c r="CX571">
        <f>7.246309104</f>
        <v>7.2463091039999998</v>
      </c>
      <c r="CY571">
        <f>-3.395825425</f>
        <v>-3.395825425</v>
      </c>
      <c r="CZ571">
        <f>-13.11073638</f>
        <v>-13.110736380000001</v>
      </c>
      <c r="DA571">
        <f>-10.42298444</f>
        <v>-10.42298444</v>
      </c>
      <c r="DB571">
        <f>-2.022292364</f>
        <v>-2.0222923640000001</v>
      </c>
      <c r="DC571">
        <f>11.02059514</f>
        <v>11.020595139999999</v>
      </c>
      <c r="DD571">
        <f>11.86354291</f>
        <v>11.86354291</v>
      </c>
      <c r="DE571">
        <f>13.04110018</f>
        <v>13.041100180000001</v>
      </c>
      <c r="DF571">
        <f>15.27176416</f>
        <v>15.27176416</v>
      </c>
      <c r="DG571">
        <f>13.02237795</f>
        <v>13.022377949999999</v>
      </c>
      <c r="DH571">
        <f>13.44062252</f>
        <v>13.44062252</v>
      </c>
      <c r="DI571">
        <f>9.592198513</f>
        <v>9.5921985129999996</v>
      </c>
      <c r="DJ571">
        <f>10.90941785</f>
        <v>10.909417850000001</v>
      </c>
      <c r="DK571">
        <f>12.88026199</f>
        <v>12.880261989999999</v>
      </c>
      <c r="DL571">
        <f>12.2062661</f>
        <v>12.206266100000001</v>
      </c>
      <c r="DM571">
        <f>13.84747151</f>
        <v>13.84747151</v>
      </c>
      <c r="DN571">
        <f>11.42812034</f>
        <v>11.42812034</v>
      </c>
      <c r="DO571">
        <f>10.96701616</f>
        <v>10.96701616</v>
      </c>
      <c r="DP571">
        <f>10.99086997</f>
        <v>10.99086997</v>
      </c>
      <c r="DQ571">
        <f>11.96348096</f>
        <v>11.96348096</v>
      </c>
      <c r="DR571">
        <f>10.26886709</f>
        <v>10.268867090000001</v>
      </c>
      <c r="DS571" t="str">
        <f>""</f>
        <v/>
      </c>
      <c r="DT571" t="str">
        <f>""</f>
        <v/>
      </c>
      <c r="DU571" t="str">
        <f>""</f>
        <v/>
      </c>
    </row>
    <row r="572" spans="1:125" x14ac:dyDescent="0.25">
      <c r="A572" t="str">
        <f>"    Suzuki Motor Corp"</f>
        <v xml:space="preserve">    Suzuki Motor Corp</v>
      </c>
      <c r="B572" t="str">
        <f>"7269 JP Equity"</f>
        <v>7269 JP Equity</v>
      </c>
      <c r="C572" t="str">
        <f t="shared" si="39"/>
        <v>RX076</v>
      </c>
      <c r="D572" t="str">
        <f t="shared" si="40"/>
        <v>EBIT_YIELD</v>
      </c>
      <c r="E572" t="str">
        <f t="shared" si="41"/>
        <v>Dynamic</v>
      </c>
      <c r="F572">
        <f ca="1">IF(AND(ISNUMBER($F$1231),$B$677=1),$F$1231,HLOOKUP(INDIRECT(ADDRESS(2,COLUMN())),OFFSET($BN$2,0,0,ROW()-1,60),ROW()-1,FALSE))</f>
        <v>14.405075220000001</v>
      </c>
      <c r="G572">
        <f ca="1">IF(AND(ISNUMBER($G$1231),$B$677=1),$G$1231,HLOOKUP(INDIRECT(ADDRESS(2,COLUMN())),OFFSET($BN$2,0,0,ROW()-1,60),ROW()-1,FALSE))</f>
        <v>14.95105526</v>
      </c>
      <c r="H572">
        <f ca="1">IF(AND(ISNUMBER($H$1231),$B$677=1),$H$1231,HLOOKUP(INDIRECT(ADDRESS(2,COLUMN())),OFFSET($BN$2,0,0,ROW()-1,60),ROW()-1,FALSE))</f>
        <v>13.875352250000001</v>
      </c>
      <c r="I572">
        <f ca="1">IF(AND(ISNUMBER($I$1231),$B$677=1),$I$1231,HLOOKUP(INDIRECT(ADDRESS(2,COLUMN())),OFFSET($BN$2,0,0,ROW()-1,60),ROW()-1,FALSE))</f>
        <v>15.01681518</v>
      </c>
      <c r="J572">
        <f ca="1">IF(AND(ISNUMBER($J$1231),$B$677=1),$J$1231,HLOOKUP(INDIRECT(ADDRESS(2,COLUMN())),OFFSET($BN$2,0,0,ROW()-1,60),ROW()-1,FALSE))</f>
        <v>14.79741508</v>
      </c>
      <c r="K572">
        <f ca="1">IF(AND(ISNUMBER($K$1231),$B$677=1),$K$1231,HLOOKUP(INDIRECT(ADDRESS(2,COLUMN())),OFFSET($BN$2,0,0,ROW()-1,60),ROW()-1,FALSE))</f>
        <v>12.45841927</v>
      </c>
      <c r="L572">
        <f ca="1">IF(AND(ISNUMBER($L$1231),$B$677=1),$L$1231,HLOOKUP(INDIRECT(ADDRESS(2,COLUMN())),OFFSET($BN$2,0,0,ROW()-1,60),ROW()-1,FALSE))</f>
        <v>12.444428009999999</v>
      </c>
      <c r="M572">
        <f ca="1">IF(AND(ISNUMBER($M$1231),$B$677=1),$M$1231,HLOOKUP(INDIRECT(ADDRESS(2,COLUMN())),OFFSET($BN$2,0,0,ROW()-1,60),ROW()-1,FALSE))</f>
        <v>12.44206016</v>
      </c>
      <c r="N572">
        <f ca="1">IF(AND(ISNUMBER($N$1231),$B$677=1),$N$1231,HLOOKUP(INDIRECT(ADDRESS(2,COLUMN())),OFFSET($BN$2,0,0,ROW()-1,60),ROW()-1,FALSE))</f>
        <v>13.0774667</v>
      </c>
      <c r="O572">
        <f ca="1">IF(AND(ISNUMBER($O$1231),$B$677=1),$O$1231,HLOOKUP(INDIRECT(ADDRESS(2,COLUMN())),OFFSET($BN$2,0,0,ROW()-1,60),ROW()-1,FALSE))</f>
        <v>11.92352932</v>
      </c>
      <c r="P572">
        <f ca="1">IF(AND(ISNUMBER($P$1231),$B$677=1),$P$1231,HLOOKUP(INDIRECT(ADDRESS(2,COLUMN())),OFFSET($BN$2,0,0,ROW()-1,60),ROW()-1,FALSE))</f>
        <v>14.07787598</v>
      </c>
      <c r="Q572">
        <f ca="1">IF(AND(ISNUMBER($Q$1231),$B$677=1),$Q$1231,HLOOKUP(INDIRECT(ADDRESS(2,COLUMN())),OFFSET($BN$2,0,0,ROW()-1,60),ROW()-1,FALSE))</f>
        <v>15.70776408</v>
      </c>
      <c r="R572">
        <f ca="1">IF(AND(ISNUMBER($R$1231),$B$677=1),$R$1231,HLOOKUP(INDIRECT(ADDRESS(2,COLUMN())),OFFSET($BN$2,0,0,ROW()-1,60),ROW()-1,FALSE))</f>
        <v>13.176795179999999</v>
      </c>
      <c r="S572">
        <f ca="1">IF(AND(ISNUMBER($S$1231),$B$677=1),$S$1231,HLOOKUP(INDIRECT(ADDRESS(2,COLUMN())),OFFSET($BN$2,0,0,ROW()-1,60),ROW()-1,FALSE))</f>
        <v>9.8391194899999999</v>
      </c>
      <c r="T572">
        <f ca="1">IF(AND(ISNUMBER($T$1231),$B$677=1),$T$1231,HLOOKUP(INDIRECT(ADDRESS(2,COLUMN())),OFFSET($BN$2,0,0,ROW()-1,60),ROW()-1,FALSE))</f>
        <v>9.3936656359999997</v>
      </c>
      <c r="U572">
        <f ca="1">IF(AND(ISNUMBER($U$1231),$B$677=1),$U$1231,HLOOKUP(INDIRECT(ADDRESS(2,COLUMN())),OFFSET($BN$2,0,0,ROW()-1,60),ROW()-1,FALSE))</f>
        <v>7.9178824800000003</v>
      </c>
      <c r="V572">
        <f ca="1">IF(AND(ISNUMBER($V$1231),$B$677=1),$V$1231,HLOOKUP(INDIRECT(ADDRESS(2,COLUMN())),OFFSET($BN$2,0,0,ROW()-1,60),ROW()-1,FALSE))</f>
        <v>8.8537690419999997</v>
      </c>
      <c r="W572">
        <f ca="1">IF(AND(ISNUMBER($W$1231),$B$677=1),$W$1231,HLOOKUP(INDIRECT(ADDRESS(2,COLUMN())),OFFSET($BN$2,0,0,ROW()-1,60),ROW()-1,FALSE))</f>
        <v>9.2185251739999998</v>
      </c>
      <c r="X572">
        <f ca="1">IF(AND(ISNUMBER($X$1231),$B$677=1),$X$1231,HLOOKUP(INDIRECT(ADDRESS(2,COLUMN())),OFFSET($BN$2,0,0,ROW()-1,60),ROW()-1,FALSE))</f>
        <v>9.2171389379999997</v>
      </c>
      <c r="Y572">
        <f ca="1">IF(AND(ISNUMBER($Y$1231),$B$677=1),$Y$1231,HLOOKUP(INDIRECT(ADDRESS(2,COLUMN())),OFFSET($BN$2,0,0,ROW()-1,60),ROW()-1,FALSE))</f>
        <v>10.93130906</v>
      </c>
      <c r="Z572">
        <f ca="1">IF(AND(ISNUMBER($Z$1231),$B$677=1),$Z$1231,HLOOKUP(INDIRECT(ADDRESS(2,COLUMN())),OFFSET($BN$2,0,0,ROW()-1,60),ROW()-1,FALSE))</f>
        <v>12.42324215</v>
      </c>
      <c r="AA572">
        <f ca="1">IF(AND(ISNUMBER($AA$1231),$B$677=1),$AA$1231,HLOOKUP(INDIRECT(ADDRESS(2,COLUMN())),OFFSET($BN$2,0,0,ROW()-1,60),ROW()-1,FALSE))</f>
        <v>11.750392270000001</v>
      </c>
      <c r="AB572">
        <f ca="1">IF(AND(ISNUMBER($AB$1231),$B$677=1),$AB$1231,HLOOKUP(INDIRECT(ADDRESS(2,COLUMN())),OFFSET($BN$2,0,0,ROW()-1,60),ROW()-1,FALSE))</f>
        <v>12.78774845</v>
      </c>
      <c r="AC572">
        <f ca="1">IF(AND(ISNUMBER($AC$1231),$B$677=1),$AC$1231,HLOOKUP(INDIRECT(ADDRESS(2,COLUMN())),OFFSET($BN$2,0,0,ROW()-1,60),ROW()-1,FALSE))</f>
        <v>11.926509830000001</v>
      </c>
      <c r="AD572">
        <f ca="1">IF(AND(ISNUMBER($AD$1231),$B$677=1),$AD$1231,HLOOKUP(INDIRECT(ADDRESS(2,COLUMN())),OFFSET($BN$2,0,0,ROW()-1,60),ROW()-1,FALSE))</f>
        <v>12.20780882</v>
      </c>
      <c r="AE572">
        <f ca="1">IF(AND(ISNUMBER($AE$1231),$B$677=1),$AE$1231,HLOOKUP(INDIRECT(ADDRESS(2,COLUMN())),OFFSET($BN$2,0,0,ROW()-1,60),ROW()-1,FALSE))</f>
        <v>9.8974228639999993</v>
      </c>
      <c r="AF572">
        <f ca="1">IF(AND(ISNUMBER($AF$1231),$B$677=1),$AF$1231,HLOOKUP(INDIRECT(ADDRESS(2,COLUMN())),OFFSET($BN$2,0,0,ROW()-1,60),ROW()-1,FALSE))</f>
        <v>14.204093200000001</v>
      </c>
      <c r="AG572">
        <f ca="1">IF(AND(ISNUMBER($AG$1231),$B$677=1),$AG$1231,HLOOKUP(INDIRECT(ADDRESS(2,COLUMN())),OFFSET($BN$2,0,0,ROW()-1,60),ROW()-1,FALSE))</f>
        <v>14.22794319</v>
      </c>
      <c r="AH572">
        <f ca="1">IF(AND(ISNUMBER($AH$1231),$B$677=1),$AH$1231,HLOOKUP(INDIRECT(ADDRESS(2,COLUMN())),OFFSET($BN$2,0,0,ROW()-1,60),ROW()-1,FALSE))</f>
        <v>10.75753461</v>
      </c>
      <c r="AI572">
        <f ca="1">IF(AND(ISNUMBER($AI$1231),$B$677=1),$AI$1231,HLOOKUP(INDIRECT(ADDRESS(2,COLUMN())),OFFSET($BN$2,0,0,ROW()-1,60),ROW()-1,FALSE))</f>
        <v>11.442184709999999</v>
      </c>
      <c r="AJ572">
        <f ca="1">IF(AND(ISNUMBER($AJ$1231),$B$677=1),$AJ$1231,HLOOKUP(INDIRECT(ADDRESS(2,COLUMN())),OFFSET($BN$2,0,0,ROW()-1,60),ROW()-1,FALSE))</f>
        <v>10.647393989999999</v>
      </c>
      <c r="AK572">
        <f ca="1">IF(AND(ISNUMBER($AK$1231),$B$677=1),$AK$1231,HLOOKUP(INDIRECT(ADDRESS(2,COLUMN())),OFFSET($BN$2,0,0,ROW()-1,60),ROW()-1,FALSE))</f>
        <v>9.9314750889999992</v>
      </c>
      <c r="AL572">
        <f ca="1">IF(AND(ISNUMBER($AL$1231),$B$677=1),$AL$1231,HLOOKUP(INDIRECT(ADDRESS(2,COLUMN())),OFFSET($BN$2,0,0,ROW()-1,60),ROW()-1,FALSE))</f>
        <v>10.26922905</v>
      </c>
      <c r="AM572">
        <f ca="1">IF(AND(ISNUMBER($AM$1231),$B$677=1),$AM$1231,HLOOKUP(INDIRECT(ADDRESS(2,COLUMN())),OFFSET($BN$2,0,0,ROW()-1,60),ROW()-1,FALSE))</f>
        <v>10.995901079999999</v>
      </c>
      <c r="AN572">
        <f ca="1">IF(AND(ISNUMBER($AN$1231),$B$677=1),$AN$1231,HLOOKUP(INDIRECT(ADDRESS(2,COLUMN())),OFFSET($BN$2,0,0,ROW()-1,60),ROW()-1,FALSE))</f>
        <v>12.48020307</v>
      </c>
      <c r="AO572">
        <f ca="1">IF(AND(ISNUMBER($AO$1231),$B$677=1),$AO$1231,HLOOKUP(INDIRECT(ADDRESS(2,COLUMN())),OFFSET($BN$2,0,0,ROW()-1,60),ROW()-1,FALSE))</f>
        <v>12.00401169</v>
      </c>
      <c r="AP572">
        <f ca="1">IF(AND(ISNUMBER($AP$1231),$B$677=1),$AP$1231,HLOOKUP(INDIRECT(ADDRESS(2,COLUMN())),OFFSET($BN$2,0,0,ROW()-1,60),ROW()-1,FALSE))</f>
        <v>8.2144975989999995</v>
      </c>
      <c r="AQ572">
        <f ca="1">IF(AND(ISNUMBER($AQ$1231),$B$677=1),$AQ$1231,HLOOKUP(INDIRECT(ADDRESS(2,COLUMN())),OFFSET($BN$2,0,0,ROW()-1,60),ROW()-1,FALSE))</f>
        <v>6.0799050790000004</v>
      </c>
      <c r="AR572">
        <f ca="1">IF(AND(ISNUMBER($AR$1231),$B$677=1),$AR$1231,HLOOKUP(INDIRECT(ADDRESS(2,COLUMN())),OFFSET($BN$2,0,0,ROW()-1,60),ROW()-1,FALSE))</f>
        <v>5.2655064060000001</v>
      </c>
      <c r="AS572">
        <f ca="1">IF(AND(ISNUMBER($AS$1231),$B$677=1),$AS$1231,HLOOKUP(INDIRECT(ADDRESS(2,COLUMN())),OFFSET($BN$2,0,0,ROW()-1,60),ROW()-1,FALSE))</f>
        <v>5.1823578939999999</v>
      </c>
      <c r="AT572">
        <f ca="1">IF(AND(ISNUMBER($AT$1231),$B$677=1),$AT$1231,HLOOKUP(INDIRECT(ADDRESS(2,COLUMN())),OFFSET($BN$2,0,0,ROW()-1,60),ROW()-1,FALSE))</f>
        <v>10.534126049999999</v>
      </c>
      <c r="AU572">
        <f ca="1">IF(AND(ISNUMBER($AU$1231),$B$677=1),$AU$1231,HLOOKUP(INDIRECT(ADDRESS(2,COLUMN())),OFFSET($BN$2,0,0,ROW()-1,60),ROW()-1,FALSE))</f>
        <v>17.863170820000001</v>
      </c>
      <c r="AV572">
        <f ca="1">IF(AND(ISNUMBER($AV$1231),$B$677=1),$AV$1231,HLOOKUP(INDIRECT(ADDRESS(2,COLUMN())),OFFSET($BN$2,0,0,ROW()-1,60),ROW()-1,FALSE))</f>
        <v>15.18263615</v>
      </c>
      <c r="AW572">
        <f ca="1">IF(AND(ISNUMBER($AW$1231),$B$677=1),$AW$1231,HLOOKUP(INDIRECT(ADDRESS(2,COLUMN())),OFFSET($BN$2,0,0,ROW()-1,60),ROW()-1,FALSE))</f>
        <v>12.60649972</v>
      </c>
      <c r="AX572">
        <f ca="1">IF(AND(ISNUMBER($AX$1231),$B$677=1),$AX$1231,HLOOKUP(INDIRECT(ADDRESS(2,COLUMN())),OFFSET($BN$2,0,0,ROW()-1,60),ROW()-1,FALSE))</f>
        <v>13.172628250000001</v>
      </c>
      <c r="AY572">
        <f ca="1">IF(AND(ISNUMBER($AY$1231),$B$677=1),$AY$1231,HLOOKUP(INDIRECT(ADDRESS(2,COLUMN())),OFFSET($BN$2,0,0,ROW()-1,60),ROW()-1,FALSE))</f>
        <v>9.949823726</v>
      </c>
      <c r="AZ572">
        <f ca="1">IF(AND(ISNUMBER($AZ$1231),$B$677=1),$AZ$1231,HLOOKUP(INDIRECT(ADDRESS(2,COLUMN())),OFFSET($BN$2,0,0,ROW()-1,60),ROW()-1,FALSE))</f>
        <v>9.4432295659999994</v>
      </c>
      <c r="BA572">
        <f ca="1">IF(AND(ISNUMBER($BA$1231),$B$677=1),$BA$1231,HLOOKUP(INDIRECT(ADDRESS(2,COLUMN())),OFFSET($BN$2,0,0,ROW()-1,60),ROW()-1,FALSE))</f>
        <v>8.9429654210000002</v>
      </c>
      <c r="BB572">
        <f ca="1">IF(AND(ISNUMBER($BB$1231),$B$677=1),$BB$1231,HLOOKUP(INDIRECT(ADDRESS(2,COLUMN())),OFFSET($BN$2,0,0,ROW()-1,60),ROW()-1,FALSE))</f>
        <v>9.8088788660000006</v>
      </c>
      <c r="BC572">
        <f ca="1">IF(AND(ISNUMBER($BC$1231),$B$677=1),$BC$1231,HLOOKUP(INDIRECT(ADDRESS(2,COLUMN())),OFFSET($BN$2,0,0,ROW()-1,60),ROW()-1,FALSE))</f>
        <v>8.3330591340000009</v>
      </c>
      <c r="BD572">
        <f ca="1">IF(AND(ISNUMBER($BD$1231),$B$677=1),$BD$1231,HLOOKUP(INDIRECT(ADDRESS(2,COLUMN())),OFFSET($BN$2,0,0,ROW()-1,60),ROW()-1,FALSE))</f>
        <v>8.8038211420000003</v>
      </c>
      <c r="BE572">
        <f ca="1">IF(AND(ISNUMBER($BE$1231),$B$677=1),$BE$1231,HLOOKUP(INDIRECT(ADDRESS(2,COLUMN())),OFFSET($BN$2,0,0,ROW()-1,60),ROW()-1,FALSE))</f>
        <v>9.7190525470000004</v>
      </c>
      <c r="BF572">
        <f ca="1">IF(AND(ISNUMBER($BF$1231),$B$677=1),$BF$1231,HLOOKUP(INDIRECT(ADDRESS(2,COLUMN())),OFFSET($BN$2,0,0,ROW()-1,60),ROW()-1,FALSE))</f>
        <v>8.053232027</v>
      </c>
      <c r="BG572">
        <f ca="1">IF(AND(ISNUMBER($BG$1231),$B$677=1),$BG$1231,HLOOKUP(INDIRECT(ADDRESS(2,COLUMN())),OFFSET($BN$2,0,0,ROW()-1,60),ROW()-1,FALSE))</f>
        <v>9.6453604039999998</v>
      </c>
      <c r="BH572">
        <f ca="1">IF(AND(ISNUMBER($BH$1231),$B$677=1),$BH$1231,HLOOKUP(INDIRECT(ADDRESS(2,COLUMN())),OFFSET($BN$2,0,0,ROW()-1,60),ROW()-1,FALSE))</f>
        <v>9.8815526029999994</v>
      </c>
      <c r="BI572">
        <f ca="1">IF(AND(ISNUMBER($BI$1231),$B$677=1),$BI$1231,HLOOKUP(INDIRECT(ADDRESS(2,COLUMN())),OFFSET($BN$2,0,0,ROW()-1,60),ROW()-1,FALSE))</f>
        <v>11.72214355</v>
      </c>
      <c r="BJ572">
        <f ca="1">IF(AND(ISNUMBER($BJ$1231),$B$677=1),$BJ$1231,HLOOKUP(INDIRECT(ADDRESS(2,COLUMN())),OFFSET($BN$2,0,0,ROW()-1,60),ROW()-1,FALSE))</f>
        <v>10.500005890000001</v>
      </c>
      <c r="BK572">
        <f ca="1">IF(AND(ISNUMBER($BK$1231),$B$677=1),$BK$1231,HLOOKUP(INDIRECT(ADDRESS(2,COLUMN())),OFFSET($BN$2,0,0,ROW()-1,60),ROW()-1,FALSE))</f>
        <v>10.736448640000001</v>
      </c>
      <c r="BL572">
        <f ca="1">IF(AND(ISNUMBER($BL$1231),$B$677=1),$BL$1231,HLOOKUP(INDIRECT(ADDRESS(2,COLUMN())),OFFSET($BN$2,0,0,ROW()-1,60),ROW()-1,FALSE))</f>
        <v>10.49984443</v>
      </c>
      <c r="BM572">
        <f ca="1">IF(AND(ISNUMBER($BM$1231),$B$677=1),$BM$1231,HLOOKUP(INDIRECT(ADDRESS(2,COLUMN())),OFFSET($BN$2,0,0,ROW()-1,60),ROW()-1,FALSE))</f>
        <v>9.5169593359999993</v>
      </c>
      <c r="BN572">
        <f>14.40507522</f>
        <v>14.405075220000001</v>
      </c>
      <c r="BO572">
        <f>14.95105526</f>
        <v>14.95105526</v>
      </c>
      <c r="BP572">
        <f>13.87535225</f>
        <v>13.875352250000001</v>
      </c>
      <c r="BQ572">
        <f>15.01681518</f>
        <v>15.01681518</v>
      </c>
      <c r="BR572">
        <f>14.79741508</f>
        <v>14.79741508</v>
      </c>
      <c r="BS572">
        <f>12.45841927</f>
        <v>12.45841927</v>
      </c>
      <c r="BT572">
        <f>12.44442801</f>
        <v>12.444428009999999</v>
      </c>
      <c r="BU572">
        <f>12.44206016</f>
        <v>12.44206016</v>
      </c>
      <c r="BV572">
        <f>13.0774667</f>
        <v>13.0774667</v>
      </c>
      <c r="BW572">
        <f>11.92352932</f>
        <v>11.92352932</v>
      </c>
      <c r="BX572">
        <f>14.07787598</f>
        <v>14.07787598</v>
      </c>
      <c r="BY572">
        <f>15.70776408</f>
        <v>15.70776408</v>
      </c>
      <c r="BZ572">
        <f>13.17679518</f>
        <v>13.176795179999999</v>
      </c>
      <c r="CA572">
        <f>9.83911949</f>
        <v>9.8391194899999999</v>
      </c>
      <c r="CB572">
        <f>9.393665636</f>
        <v>9.3936656359999997</v>
      </c>
      <c r="CC572">
        <f>7.91788248</f>
        <v>7.9178824800000003</v>
      </c>
      <c r="CD572">
        <f>8.853769042</f>
        <v>8.8537690419999997</v>
      </c>
      <c r="CE572">
        <f>9.218525174</f>
        <v>9.2185251739999998</v>
      </c>
      <c r="CF572">
        <f>9.217138938</f>
        <v>9.2171389379999997</v>
      </c>
      <c r="CG572">
        <f>10.93130906</f>
        <v>10.93130906</v>
      </c>
      <c r="CH572">
        <f>12.42324215</f>
        <v>12.42324215</v>
      </c>
      <c r="CI572">
        <f>11.75039227</f>
        <v>11.750392270000001</v>
      </c>
      <c r="CJ572">
        <f>12.78774845</f>
        <v>12.78774845</v>
      </c>
      <c r="CK572">
        <f>11.92650983</f>
        <v>11.926509830000001</v>
      </c>
      <c r="CL572">
        <f>12.20780882</f>
        <v>12.20780882</v>
      </c>
      <c r="CM572">
        <f>9.897422864</f>
        <v>9.8974228639999993</v>
      </c>
      <c r="CN572">
        <f>14.2040932</f>
        <v>14.204093200000001</v>
      </c>
      <c r="CO572">
        <f>14.22794319</f>
        <v>14.22794319</v>
      </c>
      <c r="CP572">
        <f>10.75753461</f>
        <v>10.75753461</v>
      </c>
      <c r="CQ572">
        <f>11.44218471</f>
        <v>11.442184709999999</v>
      </c>
      <c r="CR572">
        <f>10.64739399</f>
        <v>10.647393989999999</v>
      </c>
      <c r="CS572">
        <f>9.931475089</f>
        <v>9.9314750889999992</v>
      </c>
      <c r="CT572">
        <f>10.26922905</f>
        <v>10.26922905</v>
      </c>
      <c r="CU572">
        <f>10.99590108</f>
        <v>10.995901079999999</v>
      </c>
      <c r="CV572">
        <f>12.48020307</f>
        <v>12.48020307</v>
      </c>
      <c r="CW572">
        <f>12.00401169</f>
        <v>12.00401169</v>
      </c>
      <c r="CX572">
        <f>8.214497599</f>
        <v>8.2144975989999995</v>
      </c>
      <c r="CY572">
        <f>6.079905079</f>
        <v>6.0799050790000004</v>
      </c>
      <c r="CZ572">
        <f>5.265506406</f>
        <v>5.2655064060000001</v>
      </c>
      <c r="DA572">
        <f>5.182357894</f>
        <v>5.1823578939999999</v>
      </c>
      <c r="DB572">
        <f>10.53412605</f>
        <v>10.534126049999999</v>
      </c>
      <c r="DC572">
        <f>17.86317082</f>
        <v>17.863170820000001</v>
      </c>
      <c r="DD572">
        <f>15.18263615</f>
        <v>15.18263615</v>
      </c>
      <c r="DE572">
        <f>12.60649972</f>
        <v>12.60649972</v>
      </c>
      <c r="DF572">
        <f>13.17262825</f>
        <v>13.172628250000001</v>
      </c>
      <c r="DG572">
        <f>9.949823726</f>
        <v>9.949823726</v>
      </c>
      <c r="DH572">
        <f>9.443229566</f>
        <v>9.4432295659999994</v>
      </c>
      <c r="DI572">
        <f>8.942965421</f>
        <v>8.9429654210000002</v>
      </c>
      <c r="DJ572">
        <f>9.808878866</f>
        <v>9.8088788660000006</v>
      </c>
      <c r="DK572">
        <f>8.333059134</f>
        <v>8.3330591340000009</v>
      </c>
      <c r="DL572">
        <f>8.803821142</f>
        <v>8.8038211420000003</v>
      </c>
      <c r="DM572">
        <f>9.719052547</f>
        <v>9.7190525470000004</v>
      </c>
      <c r="DN572">
        <f>8.053232027</f>
        <v>8.053232027</v>
      </c>
      <c r="DO572">
        <f>9.645360404</f>
        <v>9.6453604039999998</v>
      </c>
      <c r="DP572">
        <f>9.881552603</f>
        <v>9.8815526029999994</v>
      </c>
      <c r="DQ572">
        <f>11.72214355</f>
        <v>11.72214355</v>
      </c>
      <c r="DR572">
        <f>10.50000589</f>
        <v>10.500005890000001</v>
      </c>
      <c r="DS572">
        <f>10.73644864</f>
        <v>10.736448640000001</v>
      </c>
      <c r="DT572">
        <f>10.49984443</f>
        <v>10.49984443</v>
      </c>
      <c r="DU572">
        <f>9.516959336</f>
        <v>9.5169593359999993</v>
      </c>
    </row>
    <row r="573" spans="1:125" x14ac:dyDescent="0.25">
      <c r="A573" t="str">
        <f>"    Tata Motors Ltd"</f>
        <v xml:space="preserve">    Tata Motors Ltd</v>
      </c>
      <c r="B573" t="str">
        <f>"TTMT IN Equity"</f>
        <v>TTMT IN Equity</v>
      </c>
      <c r="C573" t="str">
        <f t="shared" si="39"/>
        <v>RX076</v>
      </c>
      <c r="D573" t="str">
        <f t="shared" si="40"/>
        <v>EBIT_YIELD</v>
      </c>
      <c r="E573" t="str">
        <f t="shared" si="41"/>
        <v>Dynamic</v>
      </c>
      <c r="F573">
        <f ca="1">IF(AND(ISNUMBER($F$1232),$B$677=1),$F$1232,HLOOKUP(INDIRECT(ADDRESS(2,COLUMN())),OFFSET($BN$2,0,0,ROW()-1,60),ROW()-1,FALSE))</f>
        <v>7.4120203480000004</v>
      </c>
      <c r="G573">
        <f ca="1">IF(AND(ISNUMBER($G$1232),$B$677=1),$G$1232,HLOOKUP(INDIRECT(ADDRESS(2,COLUMN())),OFFSET($BN$2,0,0,ROW()-1,60),ROW()-1,FALSE))</f>
        <v>7.4806899050000002</v>
      </c>
      <c r="H573">
        <f ca="1">IF(AND(ISNUMBER($H$1232),$B$677=1),$H$1232,HLOOKUP(INDIRECT(ADDRESS(2,COLUMN())),OFFSET($BN$2,0,0,ROW()-1,60),ROW()-1,FALSE))</f>
        <v>10.21289419</v>
      </c>
      <c r="I573">
        <f ca="1">IF(AND(ISNUMBER($I$1232),$B$677=1),$I$1232,HLOOKUP(INDIRECT(ADDRESS(2,COLUMN())),OFFSET($BN$2,0,0,ROW()-1,60),ROW()-1,FALSE))</f>
        <v>11.583166029999999</v>
      </c>
      <c r="J573">
        <f ca="1">IF(AND(ISNUMBER($J$1232),$B$677=1),$J$1232,HLOOKUP(INDIRECT(ADDRESS(2,COLUMN())),OFFSET($BN$2,0,0,ROW()-1,60),ROW()-1,FALSE))</f>
        <v>10.32438936</v>
      </c>
      <c r="K573">
        <f ca="1">IF(AND(ISNUMBER($K$1232),$B$677=1),$K$1232,HLOOKUP(INDIRECT(ADDRESS(2,COLUMN())),OFFSET($BN$2,0,0,ROW()-1,60),ROW()-1,FALSE))</f>
        <v>8.9939316270000003</v>
      </c>
      <c r="L573">
        <f ca="1">IF(AND(ISNUMBER($L$1232),$B$677=1),$L$1232,HLOOKUP(INDIRECT(ADDRESS(2,COLUMN())),OFFSET($BN$2,0,0,ROW()-1,60),ROW()-1,FALSE))</f>
        <v>8.96802046</v>
      </c>
      <c r="M573">
        <f ca="1">IF(AND(ISNUMBER($M$1232),$B$677=1),$M$1232,HLOOKUP(INDIRECT(ADDRESS(2,COLUMN())),OFFSET($BN$2,0,0,ROW()-1,60),ROW()-1,FALSE))</f>
        <v>7.0836350450000003</v>
      </c>
      <c r="N573">
        <f ca="1">IF(AND(ISNUMBER($N$1232),$B$677=1),$N$1232,HLOOKUP(INDIRECT(ADDRESS(2,COLUMN())),OFFSET($BN$2,0,0,ROW()-1,60),ROW()-1,FALSE))</f>
        <v>9.1287771240000009</v>
      </c>
      <c r="O573">
        <f ca="1">IF(AND(ISNUMBER($O$1232),$B$677=1),$O$1232,HLOOKUP(INDIRECT(ADDRESS(2,COLUMN())),OFFSET($BN$2,0,0,ROW()-1,60),ROW()-1,FALSE))</f>
        <v>10.038148</v>
      </c>
      <c r="P573">
        <f ca="1">IF(AND(ISNUMBER($P$1232),$B$677=1),$P$1232,HLOOKUP(INDIRECT(ADDRESS(2,COLUMN())),OFFSET($BN$2,0,0,ROW()-1,60),ROW()-1,FALSE))</f>
        <v>10.280296290000001</v>
      </c>
      <c r="Q573">
        <f ca="1">IF(AND(ISNUMBER($Q$1232),$B$677=1),$Q$1232,HLOOKUP(INDIRECT(ADDRESS(2,COLUMN())),OFFSET($BN$2,0,0,ROW()-1,60),ROW()-1,FALSE))</f>
        <v>12.183254440000001</v>
      </c>
      <c r="R573">
        <f ca="1">IF(AND(ISNUMBER($R$1232),$B$677=1),$R$1232,HLOOKUP(INDIRECT(ADDRESS(2,COLUMN())),OFFSET($BN$2,0,0,ROW()-1,60),ROW()-1,FALSE))</f>
        <v>16.724696040000001</v>
      </c>
      <c r="S573">
        <f ca="1">IF(AND(ISNUMBER($S$1232),$B$677=1),$S$1232,HLOOKUP(INDIRECT(ADDRESS(2,COLUMN())),OFFSET($BN$2,0,0,ROW()-1,60),ROW()-1,FALSE))</f>
        <v>14.223128340000001</v>
      </c>
      <c r="T573">
        <f ca="1">IF(AND(ISNUMBER($T$1232),$B$677=1),$T$1232,HLOOKUP(INDIRECT(ADDRESS(2,COLUMN())),OFFSET($BN$2,0,0,ROW()-1,60),ROW()-1,FALSE))</f>
        <v>21.01287795</v>
      </c>
      <c r="U573">
        <f ca="1">IF(AND(ISNUMBER($U$1232),$B$677=1),$U$1232,HLOOKUP(INDIRECT(ADDRESS(2,COLUMN())),OFFSET($BN$2,0,0,ROW()-1,60),ROW()-1,FALSE))</f>
        <v>17.481035469999998</v>
      </c>
      <c r="V573">
        <f ca="1">IF(AND(ISNUMBER($V$1232),$B$677=1),$V$1232,HLOOKUP(INDIRECT(ADDRESS(2,COLUMN())),OFFSET($BN$2,0,0,ROW()-1,60),ROW()-1,FALSE))</f>
        <v>14.52706096</v>
      </c>
      <c r="W573">
        <f ca="1">IF(AND(ISNUMBER($W$1232),$B$677=1),$W$1232,HLOOKUP(INDIRECT(ADDRESS(2,COLUMN())),OFFSET($BN$2,0,0,ROW()-1,60),ROW()-1,FALSE))</f>
        <v>17.601048769999998</v>
      </c>
      <c r="X573">
        <f ca="1">IF(AND(ISNUMBER($X$1232),$B$677=1),$X$1232,HLOOKUP(INDIRECT(ADDRESS(2,COLUMN())),OFFSET($BN$2,0,0,ROW()-1,60),ROW()-1,FALSE))</f>
        <v>17.606966719999999</v>
      </c>
      <c r="Y573">
        <f ca="1">IF(AND(ISNUMBER($Y$1232),$B$677=1),$Y$1232,HLOOKUP(INDIRECT(ADDRESS(2,COLUMN())),OFFSET($BN$2,0,0,ROW()-1,60),ROW()-1,FALSE))</f>
        <v>20.180534720000001</v>
      </c>
      <c r="Z573">
        <f ca="1">IF(AND(ISNUMBER($Z$1232),$B$677=1),$Z$1232,HLOOKUP(INDIRECT(ADDRESS(2,COLUMN())),OFFSET($BN$2,0,0,ROW()-1,60),ROW()-1,FALSE))</f>
        <v>18.508187119999999</v>
      </c>
      <c r="AA573">
        <f ca="1">IF(AND(ISNUMBER($AA$1232),$B$677=1),$AA$1232,HLOOKUP(INDIRECT(ADDRESS(2,COLUMN())),OFFSET($BN$2,0,0,ROW()-1,60),ROW()-1,FALSE))</f>
        <v>18.480953580000001</v>
      </c>
      <c r="AB573">
        <f ca="1">IF(AND(ISNUMBER($AB$1232),$B$677=1),$AB$1232,HLOOKUP(INDIRECT(ADDRESS(2,COLUMN())),OFFSET($BN$2,0,0,ROW()-1,60),ROW()-1,FALSE))</f>
        <v>17.670985989999998</v>
      </c>
      <c r="AC573">
        <f ca="1">IF(AND(ISNUMBER($AC$1232),$B$677=1),$AC$1232,HLOOKUP(INDIRECT(ADDRESS(2,COLUMN())),OFFSET($BN$2,0,0,ROW()-1,60),ROW()-1,FALSE))</f>
        <v>18.527107220000001</v>
      </c>
      <c r="AD573">
        <f ca="1">IF(AND(ISNUMBER($AD$1232),$B$677=1),$AD$1232,HLOOKUP(INDIRECT(ADDRESS(2,COLUMN())),OFFSET($BN$2,0,0,ROW()-1,60),ROW()-1,FALSE))</f>
        <v>19.753234089999999</v>
      </c>
      <c r="AE573">
        <f ca="1">IF(AND(ISNUMBER($AE$1232),$B$677=1),$AE$1232,HLOOKUP(INDIRECT(ADDRESS(2,COLUMN())),OFFSET($BN$2,0,0,ROW()-1,60),ROW()-1,FALSE))</f>
        <v>16.777679320000001</v>
      </c>
      <c r="AF573">
        <f ca="1">IF(AND(ISNUMBER($AF$1232),$B$677=1),$AF$1232,HLOOKUP(INDIRECT(ADDRESS(2,COLUMN())),OFFSET($BN$2,0,0,ROW()-1,60),ROW()-1,FALSE))</f>
        <v>21.543416820000001</v>
      </c>
      <c r="AG573">
        <f ca="1">IF(AND(ISNUMBER($AG$1232),$B$677=1),$AG$1232,HLOOKUP(INDIRECT(ADDRESS(2,COLUMN())),OFFSET($BN$2,0,0,ROW()-1,60),ROW()-1,FALSE))</f>
        <v>23.062495699999999</v>
      </c>
      <c r="AH573">
        <f ca="1">IF(AND(ISNUMBER($AH$1232),$B$677=1),$AH$1232,HLOOKUP(INDIRECT(ADDRESS(2,COLUMN())),OFFSET($BN$2,0,0,ROW()-1,60),ROW()-1,FALSE))</f>
        <v>19.07368086</v>
      </c>
      <c r="AI573">
        <f ca="1">IF(AND(ISNUMBER($AI$1232),$B$677=1),$AI$1232,HLOOKUP(INDIRECT(ADDRESS(2,COLUMN())),OFFSET($BN$2,0,0,ROW()-1,60),ROW()-1,FALSE))</f>
        <v>23.430138889999998</v>
      </c>
      <c r="AJ573">
        <f ca="1">IF(AND(ISNUMBER($AJ$1232),$B$677=1),$AJ$1232,HLOOKUP(INDIRECT(ADDRESS(2,COLUMN())),OFFSET($BN$2,0,0,ROW()-1,60),ROW()-1,FALSE))</f>
        <v>23.086632569999999</v>
      </c>
      <c r="AK573">
        <f ca="1">IF(AND(ISNUMBER($AK$1232),$B$677=1),$AK$1232,HLOOKUP(INDIRECT(ADDRESS(2,COLUMN())),OFFSET($BN$2,0,0,ROW()-1,60),ROW()-1,FALSE))</f>
        <v>18.220712599999999</v>
      </c>
      <c r="AL573">
        <f ca="1">IF(AND(ISNUMBER($AL$1232),$B$677=1),$AL$1232,HLOOKUP(INDIRECT(ADDRESS(2,COLUMN())),OFFSET($BN$2,0,0,ROW()-1,60),ROW()-1,FALSE))</f>
        <v>14.60359667</v>
      </c>
      <c r="AM573">
        <f ca="1">IF(AND(ISNUMBER($AM$1232),$B$677=1),$AM$1232,HLOOKUP(INDIRECT(ADDRESS(2,COLUMN())),OFFSET($BN$2,0,0,ROW()-1,60),ROW()-1,FALSE))</f>
        <v>12.367279119999999</v>
      </c>
      <c r="AN573">
        <f ca="1">IF(AND(ISNUMBER($AN$1232),$B$677=1),$AN$1232,HLOOKUP(INDIRECT(ADDRESS(2,COLUMN())),OFFSET($BN$2,0,0,ROW()-1,60),ROW()-1,FALSE))</f>
        <v>12.724104329999999</v>
      </c>
      <c r="AO573">
        <f ca="1">IF(AND(ISNUMBER($AO$1232),$B$677=1),$AO$1232,HLOOKUP(INDIRECT(ADDRESS(2,COLUMN())),OFFSET($BN$2,0,0,ROW()-1,60),ROW()-1,FALSE))</f>
        <v>12.80919622</v>
      </c>
      <c r="AP573">
        <f ca="1">IF(AND(ISNUMBER($AP$1232),$B$677=1),$AP$1232,HLOOKUP(INDIRECT(ADDRESS(2,COLUMN())),OFFSET($BN$2,0,0,ROW()-1,60),ROW()-1,FALSE))</f>
        <v>5.7162306799999998</v>
      </c>
      <c r="AQ573">
        <f ca="1">IF(AND(ISNUMBER($AQ$1232),$B$677=1),$AQ$1232,HLOOKUP(INDIRECT(ADDRESS(2,COLUMN())),OFFSET($BN$2,0,0,ROW()-1,60),ROW()-1,FALSE))</f>
        <v>2.4032528430000002</v>
      </c>
      <c r="AR573">
        <f ca="1">IF(AND(ISNUMBER($AR$1232),$B$677=1),$AR$1232,HLOOKUP(INDIRECT(ADDRESS(2,COLUMN())),OFFSET($BN$2,0,0,ROW()-1,60),ROW()-1,FALSE))</f>
        <v>-6.5619578289999998</v>
      </c>
      <c r="AS573">
        <f ca="1">IF(AND(ISNUMBER($AS$1232),$B$677=1),$AS$1232,HLOOKUP(INDIRECT(ADDRESS(2,COLUMN())),OFFSET($BN$2,0,0,ROW()-1,60),ROW()-1,FALSE))</f>
        <v>-10.31108946</v>
      </c>
      <c r="AT573">
        <f ca="1">IF(AND(ISNUMBER($AT$1232),$B$677=1),$AT$1232,HLOOKUP(INDIRECT(ADDRESS(2,COLUMN())),OFFSET($BN$2,0,0,ROW()-1,60),ROW()-1,FALSE))</f>
        <v>5.5090873660000002</v>
      </c>
      <c r="AU573" t="str">
        <f ca="1">IF(AND(ISNUMBER($AU$1232),$B$677=1),$AU$1232,HLOOKUP(INDIRECT(ADDRESS(2,COLUMN())),OFFSET($BN$2,0,0,ROW()-1,60),ROW()-1,FALSE))</f>
        <v/>
      </c>
      <c r="AV573" t="str">
        <f ca="1">IF(AND(ISNUMBER($AV$1232),$B$677=1),$AV$1232,HLOOKUP(INDIRECT(ADDRESS(2,COLUMN())),OFFSET($BN$2,0,0,ROW()-1,60),ROW()-1,FALSE))</f>
        <v/>
      </c>
      <c r="AW573" t="str">
        <f ca="1">IF(AND(ISNUMBER($AW$1232),$B$677=1),$AW$1232,HLOOKUP(INDIRECT(ADDRESS(2,COLUMN())),OFFSET($BN$2,0,0,ROW()-1,60),ROW()-1,FALSE))</f>
        <v/>
      </c>
      <c r="AX573" t="str">
        <f ca="1">IF(AND(ISNUMBER($AX$1232),$B$677=1),$AX$1232,HLOOKUP(INDIRECT(ADDRESS(2,COLUMN())),OFFSET($BN$2,0,0,ROW()-1,60),ROW()-1,FALSE))</f>
        <v/>
      </c>
      <c r="AY573" t="str">
        <f ca="1">IF(AND(ISNUMBER($AY$1232),$B$677=1),$AY$1232,HLOOKUP(INDIRECT(ADDRESS(2,COLUMN())),OFFSET($BN$2,0,0,ROW()-1,60),ROW()-1,FALSE))</f>
        <v/>
      </c>
      <c r="AZ573" t="str">
        <f ca="1">IF(AND(ISNUMBER($AZ$1232),$B$677=1),$AZ$1232,HLOOKUP(INDIRECT(ADDRESS(2,COLUMN())),OFFSET($BN$2,0,0,ROW()-1,60),ROW()-1,FALSE))</f>
        <v/>
      </c>
      <c r="BA573" t="str">
        <f ca="1">IF(AND(ISNUMBER($BA$1232),$B$677=1),$BA$1232,HLOOKUP(INDIRECT(ADDRESS(2,COLUMN())),OFFSET($BN$2,0,0,ROW()-1,60),ROW()-1,FALSE))</f>
        <v/>
      </c>
      <c r="BB573" t="str">
        <f ca="1">IF(AND(ISNUMBER($BB$1232),$B$677=1),$BB$1232,HLOOKUP(INDIRECT(ADDRESS(2,COLUMN())),OFFSET($BN$2,0,0,ROW()-1,60),ROW()-1,FALSE))</f>
        <v/>
      </c>
      <c r="BC573" t="str">
        <f ca="1">IF(AND(ISNUMBER($BC$1232),$B$677=1),$BC$1232,HLOOKUP(INDIRECT(ADDRESS(2,COLUMN())),OFFSET($BN$2,0,0,ROW()-1,60),ROW()-1,FALSE))</f>
        <v/>
      </c>
      <c r="BD573" t="str">
        <f ca="1">IF(AND(ISNUMBER($BD$1232),$B$677=1),$BD$1232,HLOOKUP(INDIRECT(ADDRESS(2,COLUMN())),OFFSET($BN$2,0,0,ROW()-1,60),ROW()-1,FALSE))</f>
        <v/>
      </c>
      <c r="BE573" t="str">
        <f ca="1">IF(AND(ISNUMBER($BE$1232),$B$677=1),$BE$1232,HLOOKUP(INDIRECT(ADDRESS(2,COLUMN())),OFFSET($BN$2,0,0,ROW()-1,60),ROW()-1,FALSE))</f>
        <v/>
      </c>
      <c r="BF573" t="str">
        <f ca="1">IF(AND(ISNUMBER($BF$1232),$B$677=1),$BF$1232,HLOOKUP(INDIRECT(ADDRESS(2,COLUMN())),OFFSET($BN$2,0,0,ROW()-1,60),ROW()-1,FALSE))</f>
        <v/>
      </c>
      <c r="BG573" t="str">
        <f ca="1">IF(AND(ISNUMBER($BG$1232),$B$677=1),$BG$1232,HLOOKUP(INDIRECT(ADDRESS(2,COLUMN())),OFFSET($BN$2,0,0,ROW()-1,60),ROW()-1,FALSE))</f>
        <v/>
      </c>
      <c r="BH573" t="str">
        <f ca="1">IF(AND(ISNUMBER($BH$1232),$B$677=1),$BH$1232,HLOOKUP(INDIRECT(ADDRESS(2,COLUMN())),OFFSET($BN$2,0,0,ROW()-1,60),ROW()-1,FALSE))</f>
        <v/>
      </c>
      <c r="BI573" t="str">
        <f ca="1">IF(AND(ISNUMBER($BI$1232),$B$677=1),$BI$1232,HLOOKUP(INDIRECT(ADDRESS(2,COLUMN())),OFFSET($BN$2,0,0,ROW()-1,60),ROW()-1,FALSE))</f>
        <v/>
      </c>
      <c r="BJ573" t="str">
        <f ca="1">IF(AND(ISNUMBER($BJ$1232),$B$677=1),$BJ$1232,HLOOKUP(INDIRECT(ADDRESS(2,COLUMN())),OFFSET($BN$2,0,0,ROW()-1,60),ROW()-1,FALSE))</f>
        <v/>
      </c>
      <c r="BK573" t="str">
        <f ca="1">IF(AND(ISNUMBER($BK$1232),$B$677=1),$BK$1232,HLOOKUP(INDIRECT(ADDRESS(2,COLUMN())),OFFSET($BN$2,0,0,ROW()-1,60),ROW()-1,FALSE))</f>
        <v/>
      </c>
      <c r="BL573" t="str">
        <f ca="1">IF(AND(ISNUMBER($BL$1232),$B$677=1),$BL$1232,HLOOKUP(INDIRECT(ADDRESS(2,COLUMN())),OFFSET($BN$2,0,0,ROW()-1,60),ROW()-1,FALSE))</f>
        <v/>
      </c>
      <c r="BM573" t="str">
        <f ca="1">IF(AND(ISNUMBER($BM$1232),$B$677=1),$BM$1232,HLOOKUP(INDIRECT(ADDRESS(2,COLUMN())),OFFSET($BN$2,0,0,ROW()-1,60),ROW()-1,FALSE))</f>
        <v/>
      </c>
      <c r="BN573">
        <f>7.412020348</f>
        <v>7.4120203480000004</v>
      </c>
      <c r="BO573">
        <f>7.480689905</f>
        <v>7.4806899050000002</v>
      </c>
      <c r="BP573">
        <f>10.21289419</f>
        <v>10.21289419</v>
      </c>
      <c r="BQ573">
        <f>11.58316603</f>
        <v>11.583166029999999</v>
      </c>
      <c r="BR573">
        <f>10.32438936</f>
        <v>10.32438936</v>
      </c>
      <c r="BS573">
        <f>8.993931627</f>
        <v>8.9939316270000003</v>
      </c>
      <c r="BT573">
        <f>8.96802046</f>
        <v>8.96802046</v>
      </c>
      <c r="BU573">
        <f>7.083635045</f>
        <v>7.0836350450000003</v>
      </c>
      <c r="BV573">
        <f>9.128777124</f>
        <v>9.1287771240000009</v>
      </c>
      <c r="BW573">
        <f>10.038148</f>
        <v>10.038148</v>
      </c>
      <c r="BX573">
        <f>10.28029629</f>
        <v>10.280296290000001</v>
      </c>
      <c r="BY573">
        <f>12.18325444</f>
        <v>12.183254440000001</v>
      </c>
      <c r="BZ573">
        <f>16.72469604</f>
        <v>16.724696040000001</v>
      </c>
      <c r="CA573">
        <f>14.22312834</f>
        <v>14.223128340000001</v>
      </c>
      <c r="CB573">
        <f>21.01287795</f>
        <v>21.01287795</v>
      </c>
      <c r="CC573">
        <f>17.48103547</f>
        <v>17.481035469999998</v>
      </c>
      <c r="CD573">
        <f>14.52706096</f>
        <v>14.52706096</v>
      </c>
      <c r="CE573">
        <f>17.60104877</f>
        <v>17.601048769999998</v>
      </c>
      <c r="CF573">
        <f>17.60696672</f>
        <v>17.606966719999999</v>
      </c>
      <c r="CG573">
        <f>20.18053472</f>
        <v>20.180534720000001</v>
      </c>
      <c r="CH573">
        <f>18.50818712</f>
        <v>18.508187119999999</v>
      </c>
      <c r="CI573">
        <f>18.48095358</f>
        <v>18.480953580000001</v>
      </c>
      <c r="CJ573">
        <f>17.67098599</f>
        <v>17.670985989999998</v>
      </c>
      <c r="CK573">
        <f>18.52710722</f>
        <v>18.527107220000001</v>
      </c>
      <c r="CL573">
        <f>19.75323409</f>
        <v>19.753234089999999</v>
      </c>
      <c r="CM573">
        <f>16.77767932</f>
        <v>16.777679320000001</v>
      </c>
      <c r="CN573">
        <f>21.54341682</f>
        <v>21.543416820000001</v>
      </c>
      <c r="CO573">
        <f>23.0624957</f>
        <v>23.062495699999999</v>
      </c>
      <c r="CP573">
        <f>19.07368086</f>
        <v>19.07368086</v>
      </c>
      <c r="CQ573">
        <f>23.43013889</f>
        <v>23.430138889999998</v>
      </c>
      <c r="CR573">
        <f>23.08663257</f>
        <v>23.086632569999999</v>
      </c>
      <c r="CS573">
        <f>18.2207126</f>
        <v>18.220712599999999</v>
      </c>
      <c r="CT573">
        <f>14.60359667</f>
        <v>14.60359667</v>
      </c>
      <c r="CU573">
        <f>12.36727912</f>
        <v>12.367279119999999</v>
      </c>
      <c r="CV573">
        <f>12.72410433</f>
        <v>12.724104329999999</v>
      </c>
      <c r="CW573">
        <f>12.80919622</f>
        <v>12.80919622</v>
      </c>
      <c r="CX573">
        <f>5.71623068</f>
        <v>5.7162306799999998</v>
      </c>
      <c r="CY573">
        <f>2.403252843</f>
        <v>2.4032528430000002</v>
      </c>
      <c r="CZ573">
        <f>-6.561957829</f>
        <v>-6.5619578289999998</v>
      </c>
      <c r="DA573">
        <f>-10.31108946</f>
        <v>-10.31108946</v>
      </c>
      <c r="DB573">
        <f>5.509087366</f>
        <v>5.5090873660000002</v>
      </c>
      <c r="DC573" t="str">
        <f>""</f>
        <v/>
      </c>
      <c r="DD573" t="str">
        <f>""</f>
        <v/>
      </c>
      <c r="DE573" t="str">
        <f>""</f>
        <v/>
      </c>
      <c r="DF573" t="str">
        <f>""</f>
        <v/>
      </c>
      <c r="DG573" t="str">
        <f>""</f>
        <v/>
      </c>
      <c r="DH573" t="str">
        <f>""</f>
        <v/>
      </c>
      <c r="DI573" t="str">
        <f>""</f>
        <v/>
      </c>
      <c r="DJ573" t="str">
        <f>""</f>
        <v/>
      </c>
      <c r="DK573" t="str">
        <f>""</f>
        <v/>
      </c>
      <c r="DL573" t="str">
        <f>""</f>
        <v/>
      </c>
      <c r="DM573" t="str">
        <f>""</f>
        <v/>
      </c>
      <c r="DN573" t="str">
        <f>""</f>
        <v/>
      </c>
      <c r="DO573" t="str">
        <f>""</f>
        <v/>
      </c>
      <c r="DP573" t="str">
        <f>""</f>
        <v/>
      </c>
      <c r="DQ573" t="str">
        <f>""</f>
        <v/>
      </c>
      <c r="DR573" t="str">
        <f>""</f>
        <v/>
      </c>
      <c r="DS573" t="str">
        <f>""</f>
        <v/>
      </c>
      <c r="DT573" t="str">
        <f>""</f>
        <v/>
      </c>
      <c r="DU573" t="str">
        <f>""</f>
        <v/>
      </c>
    </row>
    <row r="574" spans="1:125" x14ac:dyDescent="0.25">
      <c r="A574" t="str">
        <f>"    Tesla Inc"</f>
        <v xml:space="preserve">    Tesla Inc</v>
      </c>
      <c r="B574" t="str">
        <f>"TSLA US Equity"</f>
        <v>TSLA US Equity</v>
      </c>
      <c r="C574" t="str">
        <f t="shared" si="39"/>
        <v>RX076</v>
      </c>
      <c r="D574" t="str">
        <f t="shared" si="40"/>
        <v>EBIT_YIELD</v>
      </c>
      <c r="E574" t="str">
        <f t="shared" si="41"/>
        <v>Dynamic</v>
      </c>
      <c r="F574">
        <f ca="1">IF(AND(ISNUMBER($F$1233),$B$677=1),$F$1233,HLOOKUP(INDIRECT(ADDRESS(2,COLUMN())),OFFSET($BN$2,0,0,ROW()-1,60),ROW()-1,FALSE))</f>
        <v>-0.79527867100000005</v>
      </c>
      <c r="G574">
        <f ca="1">IF(AND(ISNUMBER($G$1233),$B$677=1),$G$1233,HLOOKUP(INDIRECT(ADDRESS(2,COLUMN())),OFFSET($BN$2,0,0,ROW()-1,60),ROW()-1,FALSE))</f>
        <v>-0.70373677400000001</v>
      </c>
      <c r="H574">
        <f ca="1">IF(AND(ISNUMBER($H$1233),$B$677=1),$H$1233,HLOOKUP(INDIRECT(ADDRESS(2,COLUMN())),OFFSET($BN$2,0,0,ROW()-1,60),ROW()-1,FALSE))</f>
        <v>-3.1346726180000002</v>
      </c>
      <c r="I574">
        <f ca="1">IF(AND(ISNUMBER($I$1233),$B$677=1),$I$1233,HLOOKUP(INDIRECT(ADDRESS(2,COLUMN())),OFFSET($BN$2,0,0,ROW()-1,60),ROW()-1,FALSE))</f>
        <v>-4.0645009969999997</v>
      </c>
      <c r="J574">
        <f ca="1">IF(AND(ISNUMBER($J$1233),$B$677=1),$J$1233,HLOOKUP(INDIRECT(ADDRESS(2,COLUMN())),OFFSET($BN$2,0,0,ROW()-1,60),ROW()-1,FALSE))</f>
        <v>-4.4121737420000002</v>
      </c>
      <c r="K574">
        <f ca="1">IF(AND(ISNUMBER($K$1233),$B$677=1),$K$1233,HLOOKUP(INDIRECT(ADDRESS(2,COLUMN())),OFFSET($BN$2,0,0,ROW()-1,60),ROW()-1,FALSE))</f>
        <v>-3.148007115</v>
      </c>
      <c r="L574">
        <f ca="1">IF(AND(ISNUMBER($L$1233),$B$677=1),$L$1233,HLOOKUP(INDIRECT(ADDRESS(2,COLUMN())),OFFSET($BN$2,0,0,ROW()-1,60),ROW()-1,FALSE))</f>
        <v>-2.3359615979999999</v>
      </c>
      <c r="M574">
        <f ca="1">IF(AND(ISNUMBER($M$1233),$B$677=1),$M$1233,HLOOKUP(INDIRECT(ADDRESS(2,COLUMN())),OFFSET($BN$2,0,0,ROW()-1,60),ROW()-1,FALSE))</f>
        <v>-1.159385508</v>
      </c>
      <c r="N574">
        <f ca="1">IF(AND(ISNUMBER($N$1233),$B$677=1),$N$1233,HLOOKUP(INDIRECT(ADDRESS(2,COLUMN())),OFFSET($BN$2,0,0,ROW()-1,60),ROW()-1,FALSE))</f>
        <v>-1.593504407</v>
      </c>
      <c r="O574">
        <f ca="1">IF(AND(ISNUMBER($O$1233),$B$677=1),$O$1233,HLOOKUP(INDIRECT(ADDRESS(2,COLUMN())),OFFSET($BN$2,0,0,ROW()-1,60),ROW()-1,FALSE))</f>
        <v>-2.207441915</v>
      </c>
      <c r="P574">
        <f ca="1">IF(AND(ISNUMBER($P$1233),$B$677=1),$P$1233,HLOOKUP(INDIRECT(ADDRESS(2,COLUMN())),OFFSET($BN$2,0,0,ROW()-1,60),ROW()-1,FALSE))</f>
        <v>-2.4420309329999998</v>
      </c>
      <c r="Q574">
        <f ca="1">IF(AND(ISNUMBER($Q$1233),$B$677=1),$Q$1233,HLOOKUP(INDIRECT(ADDRESS(2,COLUMN())),OFFSET($BN$2,0,0,ROW()-1,60),ROW()-1,FALSE))</f>
        <v>-3.2884986509999998</v>
      </c>
      <c r="R574">
        <f ca="1">IF(AND(ISNUMBER($R$1233),$B$677=1),$R$1233,HLOOKUP(INDIRECT(ADDRESS(2,COLUMN())),OFFSET($BN$2,0,0,ROW()-1,60),ROW()-1,FALSE))</f>
        <v>-2.8827459430000002</v>
      </c>
      <c r="S574">
        <f ca="1">IF(AND(ISNUMBER($S$1233),$B$677=1),$S$1233,HLOOKUP(INDIRECT(ADDRESS(2,COLUMN())),OFFSET($BN$2,0,0,ROW()-1,60),ROW()-1,FALSE))</f>
        <v>-2.3191490579999998</v>
      </c>
      <c r="T574">
        <f ca="1">IF(AND(ISNUMBER($T$1233),$B$677=1),$T$1233,HLOOKUP(INDIRECT(ADDRESS(2,COLUMN())),OFFSET($BN$2,0,0,ROW()-1,60),ROW()-1,FALSE))</f>
        <v>-1.6814668559999999</v>
      </c>
      <c r="U574">
        <f ca="1">IF(AND(ISNUMBER($U$1233),$B$677=1),$U$1233,HLOOKUP(INDIRECT(ADDRESS(2,COLUMN())),OFFSET($BN$2,0,0,ROW()-1,60),ROW()-1,FALSE))</f>
        <v>-1.1430509550000001</v>
      </c>
      <c r="V574">
        <f ca="1">IF(AND(ISNUMBER($V$1233),$B$677=1),$V$1233,HLOOKUP(INDIRECT(ADDRESS(2,COLUMN())),OFFSET($BN$2,0,0,ROW()-1,60),ROW()-1,FALSE))</f>
        <v>-1.035338426</v>
      </c>
      <c r="W574">
        <f ca="1">IF(AND(ISNUMBER($W$1233),$B$677=1),$W$1233,HLOOKUP(INDIRECT(ADDRESS(2,COLUMN())),OFFSET($BN$2,0,0,ROW()-1,60),ROW()-1,FALSE))</f>
        <v>-0.67312039300000004</v>
      </c>
      <c r="X574">
        <f ca="1">IF(AND(ISNUMBER($X$1233),$B$677=1),$X$1233,HLOOKUP(INDIRECT(ADDRESS(2,COLUMN())),OFFSET($BN$2,0,0,ROW()-1,60),ROW()-1,FALSE))</f>
        <v>-0.415975812</v>
      </c>
      <c r="Y574">
        <f ca="1">IF(AND(ISNUMBER($Y$1233),$B$677=1),$Y$1233,HLOOKUP(INDIRECT(ADDRESS(2,COLUMN())),OFFSET($BN$2,0,0,ROW()-1,60),ROW()-1,FALSE))</f>
        <v>-0.39446816299999998</v>
      </c>
      <c r="Z574">
        <f ca="1">IF(AND(ISNUMBER($Z$1233),$B$677=1),$Z$1233,HLOOKUP(INDIRECT(ADDRESS(2,COLUMN())),OFFSET($BN$2,0,0,ROW()-1,60),ROW()-1,FALSE))</f>
        <v>-0.39113279299999998</v>
      </c>
      <c r="AA574">
        <f ca="1">IF(AND(ISNUMBER($AA$1233),$B$677=1),$AA$1233,HLOOKUP(INDIRECT(ADDRESS(2,COLUMN())),OFFSET($BN$2,0,0,ROW()-1,60),ROW()-1,FALSE))</f>
        <v>-0.33763981900000001</v>
      </c>
      <c r="AB574">
        <f ca="1">IF(AND(ISNUMBER($AB$1233),$B$677=1),$AB$1233,HLOOKUP(INDIRECT(ADDRESS(2,COLUMN())),OFFSET($BN$2,0,0,ROW()-1,60),ROW()-1,FALSE))</f>
        <v>-0.61956473000000001</v>
      </c>
      <c r="AC574">
        <f ca="1">IF(AND(ISNUMBER($AC$1233),$B$677=1),$AC$1233,HLOOKUP(INDIRECT(ADDRESS(2,COLUMN())),OFFSET($BN$2,0,0,ROW()-1,60),ROW()-1,FALSE))</f>
        <v>-1.8394532370000001</v>
      </c>
      <c r="AD574">
        <f ca="1">IF(AND(ISNUMBER($AD$1233),$B$677=1),$AD$1233,HLOOKUP(INDIRECT(ADDRESS(2,COLUMN())),OFFSET($BN$2,0,0,ROW()-1,60),ROW()-1,FALSE))</f>
        <v>-7.6113207589999998</v>
      </c>
      <c r="AE574">
        <f ca="1">IF(AND(ISNUMBER($AE$1233),$B$677=1),$AE$1233,HLOOKUP(INDIRECT(ADDRESS(2,COLUMN())),OFFSET($BN$2,0,0,ROW()-1,60),ROW()-1,FALSE))</f>
        <v>-10.872018629999999</v>
      </c>
      <c r="AF574">
        <f ca="1">IF(AND(ISNUMBER($AF$1233),$B$677=1),$AF$1233,HLOOKUP(INDIRECT(ADDRESS(2,COLUMN())),OFFSET($BN$2,0,0,ROW()-1,60),ROW()-1,FALSE))</f>
        <v>-12.49554242</v>
      </c>
      <c r="AG574">
        <f ca="1">IF(AND(ISNUMBER($AG$1233),$B$677=1),$AG$1233,HLOOKUP(INDIRECT(ADDRESS(2,COLUMN())),OFFSET($BN$2,0,0,ROW()-1,60),ROW()-1,FALSE))</f>
        <v>-10.38893712</v>
      </c>
      <c r="AH574">
        <f ca="1">IF(AND(ISNUMBER($AH$1233),$B$677=1),$AH$1233,HLOOKUP(INDIRECT(ADDRESS(2,COLUMN())),OFFSET($BN$2,0,0,ROW()-1,60),ROW()-1,FALSE))</f>
        <v>-7.633467499</v>
      </c>
      <c r="AI574">
        <f ca="1">IF(AND(ISNUMBER($AI$1233),$B$677=1),$AI$1233,HLOOKUP(INDIRECT(ADDRESS(2,COLUMN())),OFFSET($BN$2,0,0,ROW()-1,60),ROW()-1,FALSE))</f>
        <v>-8.7289902020000003</v>
      </c>
      <c r="AJ574">
        <f ca="1">IF(AND(ISNUMBER($AJ$1233),$B$677=1),$AJ$1233,HLOOKUP(INDIRECT(ADDRESS(2,COLUMN())),OFFSET($BN$2,0,0,ROW()-1,60),ROW()-1,FALSE))</f>
        <v>-9.2898444740000006</v>
      </c>
      <c r="AK574">
        <f ca="1">IF(AND(ISNUMBER($AK$1233),$B$677=1),$AK$1233,HLOOKUP(INDIRECT(ADDRESS(2,COLUMN())),OFFSET($BN$2,0,0,ROW()-1,60),ROW()-1,FALSE))</f>
        <v>-7.0590873309999997</v>
      </c>
      <c r="AL574">
        <f ca="1">IF(AND(ISNUMBER($AL$1233),$B$677=1),$AL$1233,HLOOKUP(INDIRECT(ADDRESS(2,COLUMN())),OFFSET($BN$2,0,0,ROW()-1,60),ROW()-1,FALSE))</f>
        <v>-20.030844099999999</v>
      </c>
      <c r="AM574">
        <f ca="1">IF(AND(ISNUMBER($AM$1233),$B$677=1),$AM$1233,HLOOKUP(INDIRECT(ADDRESS(2,COLUMN())),OFFSET($BN$2,0,0,ROW()-1,60),ROW()-1,FALSE))</f>
        <v>-32.375459460000002</v>
      </c>
      <c r="AN574">
        <f ca="1">IF(AND(ISNUMBER($AN$1233),$B$677=1),$AN$1233,HLOOKUP(INDIRECT(ADDRESS(2,COLUMN())),OFFSET($BN$2,0,0,ROW()-1,60),ROW()-1,FALSE))</f>
        <v>-55.566408930000001</v>
      </c>
      <c r="AO574" t="str">
        <f ca="1">IF(AND(ISNUMBER($AO$1233),$B$677=1),$AO$1233,HLOOKUP(INDIRECT(ADDRESS(2,COLUMN())),OFFSET($BN$2,0,0,ROW()-1,60),ROW()-1,FALSE))</f>
        <v/>
      </c>
      <c r="AP574" t="str">
        <f ca="1">IF(AND(ISNUMBER($AP$1233),$B$677=1),$AP$1233,HLOOKUP(INDIRECT(ADDRESS(2,COLUMN())),OFFSET($BN$2,0,0,ROW()-1,60),ROW()-1,FALSE))</f>
        <v/>
      </c>
      <c r="AQ574" t="str">
        <f ca="1">IF(AND(ISNUMBER($AQ$1233),$B$677=1),$AQ$1233,HLOOKUP(INDIRECT(ADDRESS(2,COLUMN())),OFFSET($BN$2,0,0,ROW()-1,60),ROW()-1,FALSE))</f>
        <v/>
      </c>
      <c r="AR574" t="str">
        <f ca="1">IF(AND(ISNUMBER($AR$1233),$B$677=1),$AR$1233,HLOOKUP(INDIRECT(ADDRESS(2,COLUMN())),OFFSET($BN$2,0,0,ROW()-1,60),ROW()-1,FALSE))</f>
        <v/>
      </c>
      <c r="AS574" t="str">
        <f ca="1">IF(AND(ISNUMBER($AS$1233),$B$677=1),$AS$1233,HLOOKUP(INDIRECT(ADDRESS(2,COLUMN())),OFFSET($BN$2,0,0,ROW()-1,60),ROW()-1,FALSE))</f>
        <v/>
      </c>
      <c r="AT574" t="str">
        <f ca="1">IF(AND(ISNUMBER($AT$1233),$B$677=1),$AT$1233,HLOOKUP(INDIRECT(ADDRESS(2,COLUMN())),OFFSET($BN$2,0,0,ROW()-1,60),ROW()-1,FALSE))</f>
        <v/>
      </c>
      <c r="AU574" t="str">
        <f ca="1">IF(AND(ISNUMBER($AU$1233),$B$677=1),$AU$1233,HLOOKUP(INDIRECT(ADDRESS(2,COLUMN())),OFFSET($BN$2,0,0,ROW()-1,60),ROW()-1,FALSE))</f>
        <v/>
      </c>
      <c r="AV574" t="str">
        <f ca="1">IF(AND(ISNUMBER($AV$1233),$B$677=1),$AV$1233,HLOOKUP(INDIRECT(ADDRESS(2,COLUMN())),OFFSET($BN$2,0,0,ROW()-1,60),ROW()-1,FALSE))</f>
        <v/>
      </c>
      <c r="AW574" t="str">
        <f ca="1">IF(AND(ISNUMBER($AW$1233),$B$677=1),$AW$1233,HLOOKUP(INDIRECT(ADDRESS(2,COLUMN())),OFFSET($BN$2,0,0,ROW()-1,60),ROW()-1,FALSE))</f>
        <v/>
      </c>
      <c r="AX574" t="str">
        <f ca="1">IF(AND(ISNUMBER($AX$1233),$B$677=1),$AX$1233,HLOOKUP(INDIRECT(ADDRESS(2,COLUMN())),OFFSET($BN$2,0,0,ROW()-1,60),ROW()-1,FALSE))</f>
        <v/>
      </c>
      <c r="AY574" t="str">
        <f ca="1">IF(AND(ISNUMBER($AY$1233),$B$677=1),$AY$1233,HLOOKUP(INDIRECT(ADDRESS(2,COLUMN())),OFFSET($BN$2,0,0,ROW()-1,60),ROW()-1,FALSE))</f>
        <v/>
      </c>
      <c r="AZ574" t="str">
        <f ca="1">IF(AND(ISNUMBER($AZ$1233),$B$677=1),$AZ$1233,HLOOKUP(INDIRECT(ADDRESS(2,COLUMN())),OFFSET($BN$2,0,0,ROW()-1,60),ROW()-1,FALSE))</f>
        <v/>
      </c>
      <c r="BA574" t="str">
        <f ca="1">IF(AND(ISNUMBER($BA$1233),$B$677=1),$BA$1233,HLOOKUP(INDIRECT(ADDRESS(2,COLUMN())),OFFSET($BN$2,0,0,ROW()-1,60),ROW()-1,FALSE))</f>
        <v/>
      </c>
      <c r="BB574" t="str">
        <f ca="1">IF(AND(ISNUMBER($BB$1233),$B$677=1),$BB$1233,HLOOKUP(INDIRECT(ADDRESS(2,COLUMN())),OFFSET($BN$2,0,0,ROW()-1,60),ROW()-1,FALSE))</f>
        <v/>
      </c>
      <c r="BC574" t="str">
        <f ca="1">IF(AND(ISNUMBER($BC$1233),$B$677=1),$BC$1233,HLOOKUP(INDIRECT(ADDRESS(2,COLUMN())),OFFSET($BN$2,0,0,ROW()-1,60),ROW()-1,FALSE))</f>
        <v/>
      </c>
      <c r="BD574" t="str">
        <f ca="1">IF(AND(ISNUMBER($BD$1233),$B$677=1),$BD$1233,HLOOKUP(INDIRECT(ADDRESS(2,COLUMN())),OFFSET($BN$2,0,0,ROW()-1,60),ROW()-1,FALSE))</f>
        <v/>
      </c>
      <c r="BE574" t="str">
        <f ca="1">IF(AND(ISNUMBER($BE$1233),$B$677=1),$BE$1233,HLOOKUP(INDIRECT(ADDRESS(2,COLUMN())),OFFSET($BN$2,0,0,ROW()-1,60),ROW()-1,FALSE))</f>
        <v/>
      </c>
      <c r="BF574" t="str">
        <f ca="1">IF(AND(ISNUMBER($BF$1233),$B$677=1),$BF$1233,HLOOKUP(INDIRECT(ADDRESS(2,COLUMN())),OFFSET($BN$2,0,0,ROW()-1,60),ROW()-1,FALSE))</f>
        <v/>
      </c>
      <c r="BG574" t="str">
        <f ca="1">IF(AND(ISNUMBER($BG$1233),$B$677=1),$BG$1233,HLOOKUP(INDIRECT(ADDRESS(2,COLUMN())),OFFSET($BN$2,0,0,ROW()-1,60),ROW()-1,FALSE))</f>
        <v/>
      </c>
      <c r="BH574" t="str">
        <f ca="1">IF(AND(ISNUMBER($BH$1233),$B$677=1),$BH$1233,HLOOKUP(INDIRECT(ADDRESS(2,COLUMN())),OFFSET($BN$2,0,0,ROW()-1,60),ROW()-1,FALSE))</f>
        <v/>
      </c>
      <c r="BI574" t="str">
        <f ca="1">IF(AND(ISNUMBER($BI$1233),$B$677=1),$BI$1233,HLOOKUP(INDIRECT(ADDRESS(2,COLUMN())),OFFSET($BN$2,0,0,ROW()-1,60),ROW()-1,FALSE))</f>
        <v/>
      </c>
      <c r="BJ574" t="str">
        <f ca="1">IF(AND(ISNUMBER($BJ$1233),$B$677=1),$BJ$1233,HLOOKUP(INDIRECT(ADDRESS(2,COLUMN())),OFFSET($BN$2,0,0,ROW()-1,60),ROW()-1,FALSE))</f>
        <v/>
      </c>
      <c r="BK574" t="str">
        <f ca="1">IF(AND(ISNUMBER($BK$1233),$B$677=1),$BK$1233,HLOOKUP(INDIRECT(ADDRESS(2,COLUMN())),OFFSET($BN$2,0,0,ROW()-1,60),ROW()-1,FALSE))</f>
        <v/>
      </c>
      <c r="BL574" t="str">
        <f ca="1">IF(AND(ISNUMBER($BL$1233),$B$677=1),$BL$1233,HLOOKUP(INDIRECT(ADDRESS(2,COLUMN())),OFFSET($BN$2,0,0,ROW()-1,60),ROW()-1,FALSE))</f>
        <v/>
      </c>
      <c r="BM574" t="str">
        <f ca="1">IF(AND(ISNUMBER($BM$1233),$B$677=1),$BM$1233,HLOOKUP(INDIRECT(ADDRESS(2,COLUMN())),OFFSET($BN$2,0,0,ROW()-1,60),ROW()-1,FALSE))</f>
        <v/>
      </c>
      <c r="BN574">
        <f>-0.795278671</f>
        <v>-0.79527867100000005</v>
      </c>
      <c r="BO574">
        <f>-0.703736774</f>
        <v>-0.70373677400000001</v>
      </c>
      <c r="BP574">
        <f>-3.134672618</f>
        <v>-3.1346726180000002</v>
      </c>
      <c r="BQ574">
        <f>-4.064500997</f>
        <v>-4.0645009969999997</v>
      </c>
      <c r="BR574">
        <f>-4.412173742</f>
        <v>-4.4121737420000002</v>
      </c>
      <c r="BS574">
        <f>-3.148007115</f>
        <v>-3.148007115</v>
      </c>
      <c r="BT574">
        <f>-2.335961598</f>
        <v>-2.3359615979999999</v>
      </c>
      <c r="BU574">
        <f>-1.159385508</f>
        <v>-1.159385508</v>
      </c>
      <c r="BV574">
        <f>-1.593504407</f>
        <v>-1.593504407</v>
      </c>
      <c r="BW574">
        <f>-2.207441915</f>
        <v>-2.207441915</v>
      </c>
      <c r="BX574">
        <f>-2.442030933</f>
        <v>-2.4420309329999998</v>
      </c>
      <c r="BY574">
        <f>-3.288498651</f>
        <v>-3.2884986509999998</v>
      </c>
      <c r="BZ574">
        <f>-2.882745943</f>
        <v>-2.8827459430000002</v>
      </c>
      <c r="CA574">
        <f>-2.319149058</f>
        <v>-2.3191490579999998</v>
      </c>
      <c r="CB574">
        <f>-1.681466856</f>
        <v>-1.6814668559999999</v>
      </c>
      <c r="CC574">
        <f>-1.143050955</f>
        <v>-1.1430509550000001</v>
      </c>
      <c r="CD574">
        <f>-1.035338426</f>
        <v>-1.035338426</v>
      </c>
      <c r="CE574">
        <f>-0.673120393</f>
        <v>-0.67312039300000004</v>
      </c>
      <c r="CF574">
        <f>-0.415975812</f>
        <v>-0.415975812</v>
      </c>
      <c r="CG574">
        <f>-0.394468163</f>
        <v>-0.39446816299999998</v>
      </c>
      <c r="CH574">
        <f>-0.391132793</f>
        <v>-0.39113279299999998</v>
      </c>
      <c r="CI574">
        <f>-0.337639819</f>
        <v>-0.33763981900000001</v>
      </c>
      <c r="CJ574">
        <f>-0.61956473</f>
        <v>-0.61956473000000001</v>
      </c>
      <c r="CK574">
        <f>-1.839453237</f>
        <v>-1.8394532370000001</v>
      </c>
      <c r="CL574">
        <f>-7.611320759</f>
        <v>-7.6113207589999998</v>
      </c>
      <c r="CM574">
        <f>-10.87201863</f>
        <v>-10.872018629999999</v>
      </c>
      <c r="CN574">
        <f>-12.49554242</f>
        <v>-12.49554242</v>
      </c>
      <c r="CO574">
        <f>-10.38893712</f>
        <v>-10.38893712</v>
      </c>
      <c r="CP574">
        <f>-7.633467499</f>
        <v>-7.633467499</v>
      </c>
      <c r="CQ574">
        <f>-8.728990202</f>
        <v>-8.7289902020000003</v>
      </c>
      <c r="CR574">
        <f>-9.289844474</f>
        <v>-9.2898444740000006</v>
      </c>
      <c r="CS574">
        <f>-7.059087331</f>
        <v>-7.0590873309999997</v>
      </c>
      <c r="CT574">
        <f>-20.0308441</f>
        <v>-20.030844099999999</v>
      </c>
      <c r="CU574">
        <f>-32.37545946</f>
        <v>-32.375459460000002</v>
      </c>
      <c r="CV574">
        <f>-55.56640893</f>
        <v>-55.566408930000001</v>
      </c>
      <c r="CW574" t="str">
        <f>""</f>
        <v/>
      </c>
      <c r="CX574" t="str">
        <f>""</f>
        <v/>
      </c>
      <c r="CY574" t="str">
        <f>""</f>
        <v/>
      </c>
      <c r="CZ574" t="str">
        <f>""</f>
        <v/>
      </c>
      <c r="DA574" t="str">
        <f>""</f>
        <v/>
      </c>
      <c r="DB574" t="str">
        <f>""</f>
        <v/>
      </c>
      <c r="DC574" t="str">
        <f>""</f>
        <v/>
      </c>
      <c r="DD574" t="str">
        <f>""</f>
        <v/>
      </c>
      <c r="DE574" t="str">
        <f>""</f>
        <v/>
      </c>
      <c r="DF574" t="str">
        <f>""</f>
        <v/>
      </c>
      <c r="DG574" t="str">
        <f>""</f>
        <v/>
      </c>
      <c r="DH574" t="str">
        <f>""</f>
        <v/>
      </c>
      <c r="DI574" t="str">
        <f>""</f>
        <v/>
      </c>
      <c r="DJ574" t="str">
        <f>""</f>
        <v/>
      </c>
      <c r="DK574" t="str">
        <f>""</f>
        <v/>
      </c>
      <c r="DL574" t="str">
        <f>""</f>
        <v/>
      </c>
      <c r="DM574" t="str">
        <f>""</f>
        <v/>
      </c>
      <c r="DN574" t="str">
        <f>""</f>
        <v/>
      </c>
      <c r="DO574" t="str">
        <f>""</f>
        <v/>
      </c>
      <c r="DP574" t="str">
        <f>""</f>
        <v/>
      </c>
      <c r="DQ574" t="str">
        <f>""</f>
        <v/>
      </c>
      <c r="DR574" t="str">
        <f>""</f>
        <v/>
      </c>
      <c r="DS574" t="str">
        <f>""</f>
        <v/>
      </c>
      <c r="DT574" t="str">
        <f>""</f>
        <v/>
      </c>
      <c r="DU574" t="str">
        <f>""</f>
        <v/>
      </c>
    </row>
    <row r="575" spans="1:125" x14ac:dyDescent="0.25">
      <c r="A575" t="str">
        <f>"    Tianjin Faw Xiali Automobile Co Ltd"</f>
        <v xml:space="preserve">    Tianjin Faw Xiali Automobile Co Ltd</v>
      </c>
      <c r="B575" t="str">
        <f>"000927 CH Equity"</f>
        <v>000927 CH Equity</v>
      </c>
      <c r="C575" t="str">
        <f t="shared" si="39"/>
        <v>RX076</v>
      </c>
      <c r="D575" t="str">
        <f t="shared" si="40"/>
        <v>EBIT_YIELD</v>
      </c>
      <c r="E575" t="str">
        <f t="shared" si="41"/>
        <v>Dynamic</v>
      </c>
      <c r="F575">
        <f ca="1">IF(AND(ISNUMBER($F$1234),$B$677=1),$F$1234,HLOOKUP(INDIRECT(ADDRESS(2,COLUMN())),OFFSET($BN$2,0,0,ROW()-1,60),ROW()-1,FALSE))</f>
        <v>-27.18024552</v>
      </c>
      <c r="G575">
        <f ca="1">IF(AND(ISNUMBER($G$1234),$B$677=1),$G$1234,HLOOKUP(INDIRECT(ADDRESS(2,COLUMN())),OFFSET($BN$2,0,0,ROW()-1,60),ROW()-1,FALSE))</f>
        <v>-31.580856699999998</v>
      </c>
      <c r="H575">
        <f ca="1">IF(AND(ISNUMBER($H$1234),$B$677=1),$H$1234,HLOOKUP(INDIRECT(ADDRESS(2,COLUMN())),OFFSET($BN$2,0,0,ROW()-1,60),ROW()-1,FALSE))</f>
        <v>-29.7843409</v>
      </c>
      <c r="I575">
        <f ca="1">IF(AND(ISNUMBER($I$1234),$B$677=1),$I$1234,HLOOKUP(INDIRECT(ADDRESS(2,COLUMN())),OFFSET($BN$2,0,0,ROW()-1,60),ROW()-1,FALSE))</f>
        <v>-27.116586559999998</v>
      </c>
      <c r="J575">
        <f ca="1">IF(AND(ISNUMBER($J$1234),$B$677=1),$J$1234,HLOOKUP(INDIRECT(ADDRESS(2,COLUMN())),OFFSET($BN$2,0,0,ROW()-1,60),ROW()-1,FALSE))</f>
        <v>-26.027801839999999</v>
      </c>
      <c r="K575">
        <f ca="1">IF(AND(ISNUMBER($K$1234),$B$677=1),$K$1234,HLOOKUP(INDIRECT(ADDRESS(2,COLUMN())),OFFSET($BN$2,0,0,ROW()-1,60),ROW()-1,FALSE))</f>
        <v>-23.850035940000001</v>
      </c>
      <c r="L575">
        <f ca="1">IF(AND(ISNUMBER($L$1234),$B$677=1),$L$1234,HLOOKUP(INDIRECT(ADDRESS(2,COLUMN())),OFFSET($BN$2,0,0,ROW()-1,60),ROW()-1,FALSE))</f>
        <v>-22.818134619999999</v>
      </c>
      <c r="M575">
        <f ca="1">IF(AND(ISNUMBER($M$1234),$B$677=1),$M$1234,HLOOKUP(INDIRECT(ADDRESS(2,COLUMN())),OFFSET($BN$2,0,0,ROW()-1,60),ROW()-1,FALSE))</f>
        <v>-23.856267200000001</v>
      </c>
      <c r="N575">
        <f ca="1">IF(AND(ISNUMBER($N$1234),$B$677=1),$N$1234,HLOOKUP(INDIRECT(ADDRESS(2,COLUMN())),OFFSET($BN$2,0,0,ROW()-1,60),ROW()-1,FALSE))</f>
        <v>-16.150549739999999</v>
      </c>
      <c r="O575">
        <f ca="1">IF(AND(ISNUMBER($O$1234),$B$677=1),$O$1234,HLOOKUP(INDIRECT(ADDRESS(2,COLUMN())),OFFSET($BN$2,0,0,ROW()-1,60),ROW()-1,FALSE))</f>
        <v>-20.413329789999999</v>
      </c>
      <c r="P575">
        <f ca="1">IF(AND(ISNUMBER($P$1234),$B$677=1),$P$1234,HLOOKUP(INDIRECT(ADDRESS(2,COLUMN())),OFFSET($BN$2,0,0,ROW()-1,60),ROW()-1,FALSE))</f>
        <v>-24.505657060000001</v>
      </c>
      <c r="Q575">
        <f ca="1">IF(AND(ISNUMBER($Q$1234),$B$677=1),$Q$1234,HLOOKUP(INDIRECT(ADDRESS(2,COLUMN())),OFFSET($BN$2,0,0,ROW()-1,60),ROW()-1,FALSE))</f>
        <v>-22.850154750000002</v>
      </c>
      <c r="R575">
        <f ca="1">IF(AND(ISNUMBER($R$1234),$B$677=1),$R$1234,HLOOKUP(INDIRECT(ADDRESS(2,COLUMN())),OFFSET($BN$2,0,0,ROW()-1,60),ROW()-1,FALSE))</f>
        <v>-17.71160798</v>
      </c>
      <c r="S575">
        <f ca="1">IF(AND(ISNUMBER($S$1234),$B$677=1),$S$1234,HLOOKUP(INDIRECT(ADDRESS(2,COLUMN())),OFFSET($BN$2,0,0,ROW()-1,60),ROW()-1,FALSE))</f>
        <v>-15.89355035</v>
      </c>
      <c r="T575">
        <f ca="1">IF(AND(ISNUMBER($T$1234),$B$677=1),$T$1234,HLOOKUP(INDIRECT(ADDRESS(2,COLUMN())),OFFSET($BN$2,0,0,ROW()-1,60),ROW()-1,FALSE))</f>
        <v>-19.63699415</v>
      </c>
      <c r="U575">
        <f ca="1">IF(AND(ISNUMBER($U$1234),$B$677=1),$U$1234,HLOOKUP(INDIRECT(ADDRESS(2,COLUMN())),OFFSET($BN$2,0,0,ROW()-1,60),ROW()-1,FALSE))</f>
        <v>-13.111657579999999</v>
      </c>
      <c r="V575">
        <f ca="1">IF(AND(ISNUMBER($V$1234),$B$677=1),$V$1234,HLOOKUP(INDIRECT(ADDRESS(2,COLUMN())),OFFSET($BN$2,0,0,ROW()-1,60),ROW()-1,FALSE))</f>
        <v>-15.20459965</v>
      </c>
      <c r="W575">
        <f ca="1">IF(AND(ISNUMBER($W$1234),$B$677=1),$W$1234,HLOOKUP(INDIRECT(ADDRESS(2,COLUMN())),OFFSET($BN$2,0,0,ROW()-1,60),ROW()-1,FALSE))</f>
        <v>-19.271020929999999</v>
      </c>
      <c r="X575">
        <f ca="1">IF(AND(ISNUMBER($X$1234),$B$677=1),$X$1234,HLOOKUP(INDIRECT(ADDRESS(2,COLUMN())),OFFSET($BN$2,0,0,ROW()-1,60),ROW()-1,FALSE))</f>
        <v>-21.35319561</v>
      </c>
      <c r="Y575">
        <f ca="1">IF(AND(ISNUMBER($Y$1234),$B$677=1),$Y$1234,HLOOKUP(INDIRECT(ADDRESS(2,COLUMN())),OFFSET($BN$2,0,0,ROW()-1,60),ROW()-1,FALSE))</f>
        <v>-27.594048900000001</v>
      </c>
      <c r="Z575">
        <f ca="1">IF(AND(ISNUMBER($Z$1234),$B$677=1),$Z$1234,HLOOKUP(INDIRECT(ADDRESS(2,COLUMN())),OFFSET($BN$2,0,0,ROW()-1,60),ROW()-1,FALSE))</f>
        <v>-27.14023444</v>
      </c>
      <c r="AA575">
        <f ca="1">IF(AND(ISNUMBER($AA$1234),$B$677=1),$AA$1234,HLOOKUP(INDIRECT(ADDRESS(2,COLUMN())),OFFSET($BN$2,0,0,ROW()-1,60),ROW()-1,FALSE))</f>
        <v>-27.52461885</v>
      </c>
      <c r="AB575">
        <f ca="1">IF(AND(ISNUMBER($AB$1234),$B$677=1),$AB$1234,HLOOKUP(INDIRECT(ADDRESS(2,COLUMN())),OFFSET($BN$2,0,0,ROW()-1,60),ROW()-1,FALSE))</f>
        <v>-20.272651329999999</v>
      </c>
      <c r="AC575">
        <f ca="1">IF(AND(ISNUMBER($AC$1234),$B$677=1),$AC$1234,HLOOKUP(INDIRECT(ADDRESS(2,COLUMN())),OFFSET($BN$2,0,0,ROW()-1,60),ROW()-1,FALSE))</f>
        <v>-21.187561680000002</v>
      </c>
      <c r="AD575">
        <f ca="1">IF(AND(ISNUMBER($AD$1234),$B$677=1),$AD$1234,HLOOKUP(INDIRECT(ADDRESS(2,COLUMN())),OFFSET($BN$2,0,0,ROW()-1,60),ROW()-1,FALSE))</f>
        <v>-16.67707695</v>
      </c>
      <c r="AE575">
        <f ca="1">IF(AND(ISNUMBER($AE$1234),$B$677=1),$AE$1234,HLOOKUP(INDIRECT(ADDRESS(2,COLUMN())),OFFSET($BN$2,0,0,ROW()-1,60),ROW()-1,FALSE))</f>
        <v>-15.62417374</v>
      </c>
      <c r="AF575">
        <f ca="1">IF(AND(ISNUMBER($AF$1234),$B$677=1),$AF$1234,HLOOKUP(INDIRECT(ADDRESS(2,COLUMN())),OFFSET($BN$2,0,0,ROW()-1,60),ROW()-1,FALSE))</f>
        <v>-19.267866699999999</v>
      </c>
      <c r="AG575">
        <f ca="1">IF(AND(ISNUMBER($AG$1234),$B$677=1),$AG$1234,HLOOKUP(INDIRECT(ADDRESS(2,COLUMN())),OFFSET($BN$2,0,0,ROW()-1,60),ROW()-1,FALSE))</f>
        <v>-12.373883169999999</v>
      </c>
      <c r="AH575">
        <f ca="1">IF(AND(ISNUMBER($AH$1234),$B$677=1),$AH$1234,HLOOKUP(INDIRECT(ADDRESS(2,COLUMN())),OFFSET($BN$2,0,0,ROW()-1,60),ROW()-1,FALSE))</f>
        <v>-11.49109194</v>
      </c>
      <c r="AI575">
        <f ca="1">IF(AND(ISNUMBER($AI$1234),$B$677=1),$AI$1234,HLOOKUP(INDIRECT(ADDRESS(2,COLUMN())),OFFSET($BN$2,0,0,ROW()-1,60),ROW()-1,FALSE))</f>
        <v>-11.221433149999999</v>
      </c>
      <c r="AJ575">
        <f ca="1">IF(AND(ISNUMBER($AJ$1234),$B$677=1),$AJ$1234,HLOOKUP(INDIRECT(ADDRESS(2,COLUMN())),OFFSET($BN$2,0,0,ROW()-1,60),ROW()-1,FALSE))</f>
        <v>-8.0551617449999995</v>
      </c>
      <c r="AK575">
        <f ca="1">IF(AND(ISNUMBER($AK$1234),$B$677=1),$AK$1234,HLOOKUP(INDIRECT(ADDRESS(2,COLUMN())),OFFSET($BN$2,0,0,ROW()-1,60),ROW()-1,FALSE))</f>
        <v>-8.0001365419999999</v>
      </c>
      <c r="AL575">
        <f ca="1">IF(AND(ISNUMBER($AL$1234),$B$677=1),$AL$1234,HLOOKUP(INDIRECT(ADDRESS(2,COLUMN())),OFFSET($BN$2,0,0,ROW()-1,60),ROW()-1,FALSE))</f>
        <v>-7.6853313859999997</v>
      </c>
      <c r="AM575">
        <f ca="1">IF(AND(ISNUMBER($AM$1234),$B$677=1),$AM$1234,HLOOKUP(INDIRECT(ADDRESS(2,COLUMN())),OFFSET($BN$2,0,0,ROW()-1,60),ROW()-1,FALSE))</f>
        <v>-7.2432624780000001</v>
      </c>
      <c r="AN575">
        <f ca="1">IF(AND(ISNUMBER($AN$1234),$B$677=1),$AN$1234,HLOOKUP(INDIRECT(ADDRESS(2,COLUMN())),OFFSET($BN$2,0,0,ROW()-1,60),ROW()-1,FALSE))</f>
        <v>-7.1245231489999998</v>
      </c>
      <c r="AO575">
        <f ca="1">IF(AND(ISNUMBER($AO$1234),$B$677=1),$AO$1234,HLOOKUP(INDIRECT(ADDRESS(2,COLUMN())),OFFSET($BN$2,0,0,ROW()-1,60),ROW()-1,FALSE))</f>
        <v>-7.7970809489999997</v>
      </c>
      <c r="AP575">
        <f ca="1">IF(AND(ISNUMBER($AP$1234),$B$677=1),$AP$1234,HLOOKUP(INDIRECT(ADDRESS(2,COLUMN())),OFFSET($BN$2,0,0,ROW()-1,60),ROW()-1,FALSE))</f>
        <v>-5.3997327759999996</v>
      </c>
      <c r="AQ575">
        <f ca="1">IF(AND(ISNUMBER($AQ$1234),$B$677=1),$AQ$1234,HLOOKUP(INDIRECT(ADDRESS(2,COLUMN())),OFFSET($BN$2,0,0,ROW()-1,60),ROW()-1,FALSE))</f>
        <v>-3.883366321</v>
      </c>
      <c r="AR575">
        <f ca="1">IF(AND(ISNUMBER($AR$1234),$B$677=1),$AR$1234,HLOOKUP(INDIRECT(ADDRESS(2,COLUMN())),OFFSET($BN$2,0,0,ROW()-1,60),ROW()-1,FALSE))</f>
        <v>-4.9438934970000004</v>
      </c>
      <c r="AS575">
        <f ca="1">IF(AND(ISNUMBER($AS$1234),$B$677=1),$AS$1234,HLOOKUP(INDIRECT(ADDRESS(2,COLUMN())),OFFSET($BN$2,0,0,ROW()-1,60),ROW()-1,FALSE))</f>
        <v>-3.5249987140000001</v>
      </c>
      <c r="AT575">
        <f ca="1">IF(AND(ISNUMBER($AT$1234),$B$677=1),$AT$1234,HLOOKUP(INDIRECT(ADDRESS(2,COLUMN())),OFFSET($BN$2,0,0,ROW()-1,60),ROW()-1,FALSE))</f>
        <v>-7.4709421440000003</v>
      </c>
      <c r="AU575">
        <f ca="1">IF(AND(ISNUMBER($AU$1234),$B$677=1),$AU$1234,HLOOKUP(INDIRECT(ADDRESS(2,COLUMN())),OFFSET($BN$2,0,0,ROW()-1,60),ROW()-1,FALSE))</f>
        <v>-11.75524933</v>
      </c>
      <c r="AV575">
        <f ca="1">IF(AND(ISNUMBER($AV$1234),$B$677=1),$AV$1234,HLOOKUP(INDIRECT(ADDRESS(2,COLUMN())),OFFSET($BN$2,0,0,ROW()-1,60),ROW()-1,FALSE))</f>
        <v>-17.399041879999999</v>
      </c>
      <c r="AW575">
        <f ca="1">IF(AND(ISNUMBER($AW$1234),$B$677=1),$AW$1234,HLOOKUP(INDIRECT(ADDRESS(2,COLUMN())),OFFSET($BN$2,0,0,ROW()-1,60),ROW()-1,FALSE))</f>
        <v>-14.01229801</v>
      </c>
      <c r="AX575">
        <f ca="1">IF(AND(ISNUMBER($AX$1234),$B$677=1),$AX$1234,HLOOKUP(INDIRECT(ADDRESS(2,COLUMN())),OFFSET($BN$2,0,0,ROW()-1,60),ROW()-1,FALSE))</f>
        <v>-5.7005368489999997</v>
      </c>
      <c r="AY575">
        <f ca="1">IF(AND(ISNUMBER($AY$1234),$B$677=1),$AY$1234,HLOOKUP(INDIRECT(ADDRESS(2,COLUMN())),OFFSET($BN$2,0,0,ROW()-1,60),ROW()-1,FALSE))</f>
        <v>-2.4722239799999999</v>
      </c>
      <c r="AZ575">
        <f ca="1">IF(AND(ISNUMBER($AZ$1234),$B$677=1),$AZ$1234,HLOOKUP(INDIRECT(ADDRESS(2,COLUMN())),OFFSET($BN$2,0,0,ROW()-1,60),ROW()-1,FALSE))</f>
        <v>-1.602494562</v>
      </c>
      <c r="BA575">
        <f ca="1">IF(AND(ISNUMBER($BA$1234),$B$677=1),$BA$1234,HLOOKUP(INDIRECT(ADDRESS(2,COLUMN())),OFFSET($BN$2,0,0,ROW()-1,60),ROW()-1,FALSE))</f>
        <v>0.541077111</v>
      </c>
      <c r="BB575">
        <f ca="1">IF(AND(ISNUMBER($BB$1234),$B$677=1),$BB$1234,HLOOKUP(INDIRECT(ADDRESS(2,COLUMN())),OFFSET($BN$2,0,0,ROW()-1,60),ROW()-1,FALSE))</f>
        <v>0.45234046500000002</v>
      </c>
      <c r="BC575">
        <f ca="1">IF(AND(ISNUMBER($BC$1234),$B$677=1),$BC$1234,HLOOKUP(INDIRECT(ADDRESS(2,COLUMN())),OFFSET($BN$2,0,0,ROW()-1,60),ROW()-1,FALSE))</f>
        <v>1.97169488</v>
      </c>
      <c r="BD575">
        <f ca="1">IF(AND(ISNUMBER($BD$1234),$B$677=1),$BD$1234,HLOOKUP(INDIRECT(ADDRESS(2,COLUMN())),OFFSET($BN$2,0,0,ROW()-1,60),ROW()-1,FALSE))</f>
        <v>2.796693527</v>
      </c>
      <c r="BE575">
        <f ca="1">IF(AND(ISNUMBER($BE$1234),$B$677=1),$BE$1234,HLOOKUP(INDIRECT(ADDRESS(2,COLUMN())),OFFSET($BN$2,0,0,ROW()-1,60),ROW()-1,FALSE))</f>
        <v>1.625064925</v>
      </c>
      <c r="BF575">
        <f ca="1">IF(AND(ISNUMBER($BF$1234),$B$677=1),$BF$1234,HLOOKUP(INDIRECT(ADDRESS(2,COLUMN())),OFFSET($BN$2,0,0,ROW()-1,60),ROW()-1,FALSE))</f>
        <v>-0.955295691</v>
      </c>
      <c r="BG575">
        <f ca="1">IF(AND(ISNUMBER($BG$1234),$B$677=1),$BG$1234,HLOOKUP(INDIRECT(ADDRESS(2,COLUMN())),OFFSET($BN$2,0,0,ROW()-1,60),ROW()-1,FALSE))</f>
        <v>2.6682628730000002</v>
      </c>
      <c r="BH575">
        <f ca="1">IF(AND(ISNUMBER($BH$1234),$B$677=1),$BH$1234,HLOOKUP(INDIRECT(ADDRESS(2,COLUMN())),OFFSET($BN$2,0,0,ROW()-1,60),ROW()-1,FALSE))</f>
        <v>0.98661405899999999</v>
      </c>
      <c r="BI575">
        <f ca="1">IF(AND(ISNUMBER($BI$1234),$B$677=1),$BI$1234,HLOOKUP(INDIRECT(ADDRESS(2,COLUMN())),OFFSET($BN$2,0,0,ROW()-1,60),ROW()-1,FALSE))</f>
        <v>-1.0936498290000001</v>
      </c>
      <c r="BJ575">
        <f ca="1">IF(AND(ISNUMBER($BJ$1234),$B$677=1),$BJ$1234,HLOOKUP(INDIRECT(ADDRESS(2,COLUMN())),OFFSET($BN$2,0,0,ROW()-1,60),ROW()-1,FALSE))</f>
        <v>-1.2891106489999999</v>
      </c>
      <c r="BK575">
        <f ca="1">IF(AND(ISNUMBER($BK$1234),$B$677=1),$BK$1234,HLOOKUP(INDIRECT(ADDRESS(2,COLUMN())),OFFSET($BN$2,0,0,ROW()-1,60),ROW()-1,FALSE))</f>
        <v>-1.63938531</v>
      </c>
      <c r="BL575">
        <f ca="1">IF(AND(ISNUMBER($BL$1234),$B$677=1),$BL$1234,HLOOKUP(INDIRECT(ADDRESS(2,COLUMN())),OFFSET($BN$2,0,0,ROW()-1,60),ROW()-1,FALSE))</f>
        <v>-1.294707064</v>
      </c>
      <c r="BM575">
        <f ca="1">IF(AND(ISNUMBER($BM$1234),$B$677=1),$BM$1234,HLOOKUP(INDIRECT(ADDRESS(2,COLUMN())),OFFSET($BN$2,0,0,ROW()-1,60),ROW()-1,FALSE))</f>
        <v>0.93330369800000001</v>
      </c>
      <c r="BN575">
        <f>-27.18024552</f>
        <v>-27.18024552</v>
      </c>
      <c r="BO575">
        <f>-31.5808567</f>
        <v>-31.580856699999998</v>
      </c>
      <c r="BP575">
        <f>-29.7843409</f>
        <v>-29.7843409</v>
      </c>
      <c r="BQ575">
        <f>-27.11658656</f>
        <v>-27.116586559999998</v>
      </c>
      <c r="BR575">
        <f>-26.02780184</f>
        <v>-26.027801839999999</v>
      </c>
      <c r="BS575">
        <f>-23.85003594</f>
        <v>-23.850035940000001</v>
      </c>
      <c r="BT575">
        <f>-22.81813462</f>
        <v>-22.818134619999999</v>
      </c>
      <c r="BU575">
        <f>-23.8562672</f>
        <v>-23.856267200000001</v>
      </c>
      <c r="BV575">
        <f>-16.15054974</f>
        <v>-16.150549739999999</v>
      </c>
      <c r="BW575">
        <f>-20.41332979</f>
        <v>-20.413329789999999</v>
      </c>
      <c r="BX575">
        <f>-24.50565706</f>
        <v>-24.505657060000001</v>
      </c>
      <c r="BY575">
        <f>-22.85015475</f>
        <v>-22.850154750000002</v>
      </c>
      <c r="BZ575">
        <f>-17.71160798</f>
        <v>-17.71160798</v>
      </c>
      <c r="CA575">
        <f>-15.89355035</f>
        <v>-15.89355035</v>
      </c>
      <c r="CB575">
        <f>-19.63699415</f>
        <v>-19.63699415</v>
      </c>
      <c r="CC575">
        <f>-13.11165758</f>
        <v>-13.111657579999999</v>
      </c>
      <c r="CD575">
        <f>-15.20459965</f>
        <v>-15.20459965</v>
      </c>
      <c r="CE575">
        <f>-19.27102093</f>
        <v>-19.271020929999999</v>
      </c>
      <c r="CF575">
        <f>-21.35319561</f>
        <v>-21.35319561</v>
      </c>
      <c r="CG575">
        <f>-27.5940489</f>
        <v>-27.594048900000001</v>
      </c>
      <c r="CH575">
        <f>-27.14023444</f>
        <v>-27.14023444</v>
      </c>
      <c r="CI575">
        <f>-27.52461885</f>
        <v>-27.52461885</v>
      </c>
      <c r="CJ575">
        <f>-20.27265133</f>
        <v>-20.272651329999999</v>
      </c>
      <c r="CK575">
        <f>-21.18756168</f>
        <v>-21.187561680000002</v>
      </c>
      <c r="CL575">
        <f>-16.67707695</f>
        <v>-16.67707695</v>
      </c>
      <c r="CM575">
        <f>-15.62417374</f>
        <v>-15.62417374</v>
      </c>
      <c r="CN575">
        <f>-19.2678667</f>
        <v>-19.267866699999999</v>
      </c>
      <c r="CO575">
        <f>-12.37388317</f>
        <v>-12.373883169999999</v>
      </c>
      <c r="CP575">
        <f>-11.49109194</f>
        <v>-11.49109194</v>
      </c>
      <c r="CQ575">
        <f>-11.22143315</f>
        <v>-11.221433149999999</v>
      </c>
      <c r="CR575">
        <f>-8.055161745</f>
        <v>-8.0551617449999995</v>
      </c>
      <c r="CS575">
        <f>-8.000136542</f>
        <v>-8.0001365419999999</v>
      </c>
      <c r="CT575">
        <f>-7.685331386</f>
        <v>-7.6853313859999997</v>
      </c>
      <c r="CU575">
        <f>-7.243262478</f>
        <v>-7.2432624780000001</v>
      </c>
      <c r="CV575">
        <f>-7.124523149</f>
        <v>-7.1245231489999998</v>
      </c>
      <c r="CW575">
        <f>-7.797080949</f>
        <v>-7.7970809489999997</v>
      </c>
      <c r="CX575">
        <f>-5.399732776</f>
        <v>-5.3997327759999996</v>
      </c>
      <c r="CY575">
        <f>-3.883366321</f>
        <v>-3.883366321</v>
      </c>
      <c r="CZ575">
        <f>-4.943893497</f>
        <v>-4.9438934970000004</v>
      </c>
      <c r="DA575">
        <f>-3.524998714</f>
        <v>-3.5249987140000001</v>
      </c>
      <c r="DB575">
        <f>-7.470942144</f>
        <v>-7.4709421440000003</v>
      </c>
      <c r="DC575">
        <f>-11.75524933</f>
        <v>-11.75524933</v>
      </c>
      <c r="DD575">
        <f>-17.39904188</f>
        <v>-17.399041879999999</v>
      </c>
      <c r="DE575">
        <f>-14.01229801</f>
        <v>-14.01229801</v>
      </c>
      <c r="DF575">
        <f>-5.700536849</f>
        <v>-5.7005368489999997</v>
      </c>
      <c r="DG575">
        <f>-2.47222398</f>
        <v>-2.4722239799999999</v>
      </c>
      <c r="DH575">
        <f>-1.602494562</f>
        <v>-1.602494562</v>
      </c>
      <c r="DI575">
        <f>0.541077111</f>
        <v>0.541077111</v>
      </c>
      <c r="DJ575">
        <f>0.452340465</f>
        <v>0.45234046500000002</v>
      </c>
      <c r="DK575">
        <f>1.97169488</f>
        <v>1.97169488</v>
      </c>
      <c r="DL575">
        <f>2.796693527</f>
        <v>2.796693527</v>
      </c>
      <c r="DM575">
        <f>1.625064925</f>
        <v>1.625064925</v>
      </c>
      <c r="DN575">
        <f>-0.955295691</f>
        <v>-0.955295691</v>
      </c>
      <c r="DO575">
        <f>2.668262873</f>
        <v>2.6682628730000002</v>
      </c>
      <c r="DP575">
        <f>0.986614059</f>
        <v>0.98661405899999999</v>
      </c>
      <c r="DQ575">
        <f>-1.093649829</f>
        <v>-1.0936498290000001</v>
      </c>
      <c r="DR575">
        <f>-1.289110649</f>
        <v>-1.2891106489999999</v>
      </c>
      <c r="DS575">
        <f>-1.63938531</f>
        <v>-1.63938531</v>
      </c>
      <c r="DT575">
        <f>-1.294707064</f>
        <v>-1.294707064</v>
      </c>
      <c r="DU575">
        <f>0.933303698</f>
        <v>0.93330369800000001</v>
      </c>
    </row>
    <row r="576" spans="1:125" x14ac:dyDescent="0.25">
      <c r="A576" t="str">
        <f>"    Tofas Turk Otomobil Fabrikasi AS"</f>
        <v xml:space="preserve">    Tofas Turk Otomobil Fabrikasi AS</v>
      </c>
      <c r="B576" t="str">
        <f>"TOASOTRY EO Equity"</f>
        <v>TOASOTRY EO Equity</v>
      </c>
      <c r="C576" t="str">
        <f t="shared" si="39"/>
        <v>RX076</v>
      </c>
      <c r="D576" t="str">
        <f t="shared" si="40"/>
        <v>EBIT_YIELD</v>
      </c>
      <c r="E576" t="str">
        <f t="shared" si="41"/>
        <v>Dynamic</v>
      </c>
      <c r="F576">
        <f ca="1">IF(AND(ISNUMBER($F$1235),$B$677=1),$F$1235,HLOOKUP(INDIRECT(ADDRESS(2,COLUMN())),OFFSET($BN$2,0,0,ROW()-1,60),ROW()-1,FALSE))</f>
        <v>17.466539940000001</v>
      </c>
      <c r="G576">
        <f ca="1">IF(AND(ISNUMBER($G$1235),$B$677=1),$G$1235,HLOOKUP(INDIRECT(ADDRESS(2,COLUMN())),OFFSET($BN$2,0,0,ROW()-1,60),ROW()-1,FALSE))</f>
        <v>20.670461469999999</v>
      </c>
      <c r="H576">
        <f ca="1">IF(AND(ISNUMBER($H$1235),$B$677=1),$H$1235,HLOOKUP(INDIRECT(ADDRESS(2,COLUMN())),OFFSET($BN$2,0,0,ROW()-1,60),ROW()-1,FALSE))</f>
        <v>3.5338914109999999</v>
      </c>
      <c r="I576">
        <f ca="1">IF(AND(ISNUMBER($I$1235),$B$677=1),$I$1235,HLOOKUP(INDIRECT(ADDRESS(2,COLUMN())),OFFSET($BN$2,0,0,ROW()-1,60),ROW()-1,FALSE))</f>
        <v>1.075004252</v>
      </c>
      <c r="J576">
        <f ca="1">IF(AND(ISNUMBER($J$1235),$B$677=1),$J$1235,HLOOKUP(INDIRECT(ADDRESS(2,COLUMN())),OFFSET($BN$2,0,0,ROW()-1,60),ROW()-1,FALSE))</f>
        <v>-6.0286315950000002</v>
      </c>
      <c r="K576">
        <f ca="1">IF(AND(ISNUMBER($K$1235),$B$677=1),$K$1235,HLOOKUP(INDIRECT(ADDRESS(2,COLUMN())),OFFSET($BN$2,0,0,ROW()-1,60),ROW()-1,FALSE))</f>
        <v>-5.2957175860000003</v>
      </c>
      <c r="L576">
        <f ca="1">IF(AND(ISNUMBER($L$1235),$B$677=1),$L$1235,HLOOKUP(INDIRECT(ADDRESS(2,COLUMN())),OFFSET($BN$2,0,0,ROW()-1,60),ROW()-1,FALSE))</f>
        <v>8.5908679330000002</v>
      </c>
      <c r="M576">
        <f ca="1">IF(AND(ISNUMBER($M$1235),$B$677=1),$M$1235,HLOOKUP(INDIRECT(ADDRESS(2,COLUMN())),OFFSET($BN$2,0,0,ROW()-1,60),ROW()-1,FALSE))</f>
        <v>8.4212872900000004</v>
      </c>
      <c r="N576">
        <f ca="1">IF(AND(ISNUMBER($N$1235),$B$677=1),$N$1235,HLOOKUP(INDIRECT(ADDRESS(2,COLUMN())),OFFSET($BN$2,0,0,ROW()-1,60),ROW()-1,FALSE))</f>
        <v>7.0157972590000002</v>
      </c>
      <c r="O576">
        <f ca="1">IF(AND(ISNUMBER($O$1235),$B$677=1),$O$1235,HLOOKUP(INDIRECT(ADDRESS(2,COLUMN())),OFFSET($BN$2,0,0,ROW()-1,60),ROW()-1,FALSE))</f>
        <v>6.8796104649999998</v>
      </c>
      <c r="P576">
        <f ca="1">IF(AND(ISNUMBER($P$1235),$B$677=1),$P$1235,HLOOKUP(INDIRECT(ADDRESS(2,COLUMN())),OFFSET($BN$2,0,0,ROW()-1,60),ROW()-1,FALSE))</f>
        <v>6.5913424349999996</v>
      </c>
      <c r="Q576">
        <f ca="1">IF(AND(ISNUMBER($Q$1235),$B$677=1),$Q$1235,HLOOKUP(INDIRECT(ADDRESS(2,COLUMN())),OFFSET($BN$2,0,0,ROW()-1,60),ROW()-1,FALSE))</f>
        <v>6.1971911930000001</v>
      </c>
      <c r="R576">
        <f ca="1">IF(AND(ISNUMBER($R$1235),$B$677=1),$R$1235,HLOOKUP(INDIRECT(ADDRESS(2,COLUMN())),OFFSET($BN$2,0,0,ROW()-1,60),ROW()-1,FALSE))</f>
        <v>6.197629053</v>
      </c>
      <c r="S576">
        <f ca="1">IF(AND(ISNUMBER($S$1235),$B$677=1),$S$1235,HLOOKUP(INDIRECT(ADDRESS(2,COLUMN())),OFFSET($BN$2,0,0,ROW()-1,60),ROW()-1,FALSE))</f>
        <v>7.4437256590000001</v>
      </c>
      <c r="T576">
        <f ca="1">IF(AND(ISNUMBER($T$1235),$B$677=1),$T$1235,HLOOKUP(INDIRECT(ADDRESS(2,COLUMN())),OFFSET($BN$2,0,0,ROW()-1,60),ROW()-1,FALSE))</f>
        <v>7.5497380749999996</v>
      </c>
      <c r="U576">
        <f ca="1">IF(AND(ISNUMBER($U$1235),$B$677=1),$U$1235,HLOOKUP(INDIRECT(ADDRESS(2,COLUMN())),OFFSET($BN$2,0,0,ROW()-1,60),ROW()-1,FALSE))</f>
        <v>6.557988989</v>
      </c>
      <c r="V576">
        <f ca="1">IF(AND(ISNUMBER($V$1235),$B$677=1),$V$1235,HLOOKUP(INDIRECT(ADDRESS(2,COLUMN())),OFFSET($BN$2,0,0,ROW()-1,60),ROW()-1,FALSE))</f>
        <v>6.8761649709999997</v>
      </c>
      <c r="W576">
        <f ca="1">IF(AND(ISNUMBER($W$1235),$B$677=1),$W$1235,HLOOKUP(INDIRECT(ADDRESS(2,COLUMN())),OFFSET($BN$2,0,0,ROW()-1,60),ROW()-1,FALSE))</f>
        <v>6.5722131920000004</v>
      </c>
      <c r="X576">
        <f ca="1">IF(AND(ISNUMBER($X$1235),$B$677=1),$X$1235,HLOOKUP(INDIRECT(ADDRESS(2,COLUMN())),OFFSET($BN$2,0,0,ROW()-1,60),ROW()-1,FALSE))</f>
        <v>7.9539844239999997</v>
      </c>
      <c r="Y576">
        <f ca="1">IF(AND(ISNUMBER($Y$1235),$B$677=1),$Y$1235,HLOOKUP(INDIRECT(ADDRESS(2,COLUMN())),OFFSET($BN$2,0,0,ROW()-1,60),ROW()-1,FALSE))</f>
        <v>7.9719544669999998</v>
      </c>
      <c r="Z576">
        <f ca="1">IF(AND(ISNUMBER($Z$1235),$B$677=1),$Z$1235,HLOOKUP(INDIRECT(ADDRESS(2,COLUMN())),OFFSET($BN$2,0,0,ROW()-1,60),ROW()-1,FALSE))</f>
        <v>8.5011852500000007</v>
      </c>
      <c r="AA576">
        <f ca="1">IF(AND(ISNUMBER($AA$1235),$B$677=1),$AA$1235,HLOOKUP(INDIRECT(ADDRESS(2,COLUMN())),OFFSET($BN$2,0,0,ROW()-1,60),ROW()-1,FALSE))</f>
        <v>7.3853134889999996</v>
      </c>
      <c r="AB576">
        <f ca="1">IF(AND(ISNUMBER($AB$1235),$B$677=1),$AB$1235,HLOOKUP(INDIRECT(ADDRESS(2,COLUMN())),OFFSET($BN$2,0,0,ROW()-1,60),ROW()-1,FALSE))</f>
        <v>8.7134309729999995</v>
      </c>
      <c r="AC576">
        <f ca="1">IF(AND(ISNUMBER($AC$1235),$B$677=1),$AC$1235,HLOOKUP(INDIRECT(ADDRESS(2,COLUMN())),OFFSET($BN$2,0,0,ROW()-1,60),ROW()-1,FALSE))</f>
        <v>8.4980747030000003</v>
      </c>
      <c r="AD576">
        <f ca="1">IF(AND(ISNUMBER($AD$1235),$B$677=1),$AD$1235,HLOOKUP(INDIRECT(ADDRESS(2,COLUMN())),OFFSET($BN$2,0,0,ROW()-1,60),ROW()-1,FALSE))</f>
        <v>7.9501148879999999</v>
      </c>
      <c r="AE576">
        <f ca="1">IF(AND(ISNUMBER($AE$1235),$B$677=1),$AE$1235,HLOOKUP(INDIRECT(ADDRESS(2,COLUMN())),OFFSET($BN$2,0,0,ROW()-1,60),ROW()-1,FALSE))</f>
        <v>9.5406506499999999</v>
      </c>
      <c r="AF576">
        <f ca="1">IF(AND(ISNUMBER($AF$1235),$B$677=1),$AF$1235,HLOOKUP(INDIRECT(ADDRESS(2,COLUMN())),OFFSET($BN$2,0,0,ROW()-1,60),ROW()-1,FALSE))</f>
        <v>10.204383180000001</v>
      </c>
      <c r="AG576">
        <f ca="1">IF(AND(ISNUMBER($AG$1235),$B$677=1),$AG$1235,HLOOKUP(INDIRECT(ADDRESS(2,COLUMN())),OFFSET($BN$2,0,0,ROW()-1,60),ROW()-1,FALSE))</f>
        <v>12.79193791</v>
      </c>
      <c r="AH576">
        <f ca="1">IF(AND(ISNUMBER($AH$1235),$B$677=1),$AH$1235,HLOOKUP(INDIRECT(ADDRESS(2,COLUMN())),OFFSET($BN$2,0,0,ROW()-1,60),ROW()-1,FALSE))</f>
        <v>13.11679773</v>
      </c>
      <c r="AI576">
        <f ca="1">IF(AND(ISNUMBER($AI$1235),$B$677=1),$AI$1235,HLOOKUP(INDIRECT(ADDRESS(2,COLUMN())),OFFSET($BN$2,0,0,ROW()-1,60),ROW()-1,FALSE))</f>
        <v>16.537634990000001</v>
      </c>
      <c r="AJ576">
        <f ca="1">IF(AND(ISNUMBER($AJ$1235),$B$677=1),$AJ$1235,HLOOKUP(INDIRECT(ADDRESS(2,COLUMN())),OFFSET($BN$2,0,0,ROW()-1,60),ROW()-1,FALSE))</f>
        <v>14.9697589</v>
      </c>
      <c r="AK576">
        <f ca="1">IF(AND(ISNUMBER($AK$1235),$B$677=1),$AK$1235,HLOOKUP(INDIRECT(ADDRESS(2,COLUMN())),OFFSET($BN$2,0,0,ROW()-1,60),ROW()-1,FALSE))</f>
        <v>11.901243150000001</v>
      </c>
      <c r="AL576">
        <f ca="1">IF(AND(ISNUMBER($AL$1235),$B$677=1),$AL$1235,HLOOKUP(INDIRECT(ADDRESS(2,COLUMN())),OFFSET($BN$2,0,0,ROW()-1,60),ROW()-1,FALSE))</f>
        <v>9.0813072940000001</v>
      </c>
      <c r="AM576">
        <f ca="1">IF(AND(ISNUMBER($AM$1235),$B$677=1),$AM$1235,HLOOKUP(INDIRECT(ADDRESS(2,COLUMN())),OFFSET($BN$2,0,0,ROW()-1,60),ROW()-1,FALSE))</f>
        <v>9.7519347219999997</v>
      </c>
      <c r="AN576">
        <f ca="1">IF(AND(ISNUMBER($AN$1235),$B$677=1),$AN$1235,HLOOKUP(INDIRECT(ADDRESS(2,COLUMN())),OFFSET($BN$2,0,0,ROW()-1,60),ROW()-1,FALSE))</f>
        <v>8.6028534279999995</v>
      </c>
      <c r="AO576">
        <f ca="1">IF(AND(ISNUMBER($AO$1235),$B$677=1),$AO$1235,HLOOKUP(INDIRECT(ADDRESS(2,COLUMN())),OFFSET($BN$2,0,0,ROW()-1,60),ROW()-1,FALSE))</f>
        <v>12.92981479</v>
      </c>
      <c r="AP576">
        <f ca="1">IF(AND(ISNUMBER($AP$1235),$B$677=1),$AP$1235,HLOOKUP(INDIRECT(ADDRESS(2,COLUMN())),OFFSET($BN$2,0,0,ROW()-1,60),ROW()-1,FALSE))</f>
        <v>11.385859590000001</v>
      </c>
      <c r="AQ576">
        <f ca="1">IF(AND(ISNUMBER($AQ$1235),$B$677=1),$AQ$1235,HLOOKUP(INDIRECT(ADDRESS(2,COLUMN())),OFFSET($BN$2,0,0,ROW()-1,60),ROW()-1,FALSE))</f>
        <v>11.827796490000001</v>
      </c>
      <c r="AR576">
        <f ca="1">IF(AND(ISNUMBER($AR$1235),$B$677=1),$AR$1235,HLOOKUP(INDIRECT(ADDRESS(2,COLUMN())),OFFSET($BN$2,0,0,ROW()-1,60),ROW()-1,FALSE))</f>
        <v>13.32057414</v>
      </c>
      <c r="AS576">
        <f ca="1">IF(AND(ISNUMBER($AS$1235),$B$677=1),$AS$1235,HLOOKUP(INDIRECT(ADDRESS(2,COLUMN())),OFFSET($BN$2,0,0,ROW()-1,60),ROW()-1,FALSE))</f>
        <v>16.893851810000001</v>
      </c>
      <c r="AT576">
        <f ca="1">IF(AND(ISNUMBER($AT$1235),$B$677=1),$AT$1235,HLOOKUP(INDIRECT(ADDRESS(2,COLUMN())),OFFSET($BN$2,0,0,ROW()-1,60),ROW()-1,FALSE))</f>
        <v>35.618356329999997</v>
      </c>
      <c r="AU576">
        <f ca="1">IF(AND(ISNUMBER($AU$1235),$B$677=1),$AU$1235,HLOOKUP(INDIRECT(ADDRESS(2,COLUMN())),OFFSET($BN$2,0,0,ROW()-1,60),ROW()-1,FALSE))</f>
        <v>47.059826989999998</v>
      </c>
      <c r="AV576">
        <f ca="1">IF(AND(ISNUMBER($AV$1235),$B$677=1),$AV$1235,HLOOKUP(INDIRECT(ADDRESS(2,COLUMN())),OFFSET($BN$2,0,0,ROW()-1,60),ROW()-1,FALSE))</f>
        <v>18.67037363</v>
      </c>
      <c r="AW576">
        <f ca="1">IF(AND(ISNUMBER($AW$1235),$B$677=1),$AW$1235,HLOOKUP(INDIRECT(ADDRESS(2,COLUMN())),OFFSET($BN$2,0,0,ROW()-1,60),ROW()-1,FALSE))</f>
        <v>13.47309007</v>
      </c>
      <c r="AX576">
        <f ca="1">IF(AND(ISNUMBER($AX$1235),$B$677=1),$AX$1235,HLOOKUP(INDIRECT(ADDRESS(2,COLUMN())),OFFSET($BN$2,0,0,ROW()-1,60),ROW()-1,FALSE))</f>
        <v>8.0377211020000008</v>
      </c>
      <c r="AY576">
        <f ca="1">IF(AND(ISNUMBER($AY$1235),$B$677=1),$AY$1235,HLOOKUP(INDIRECT(ADDRESS(2,COLUMN())),OFFSET($BN$2,0,0,ROW()-1,60),ROW()-1,FALSE))</f>
        <v>4.2959675409999996</v>
      </c>
      <c r="AZ576">
        <f ca="1">IF(AND(ISNUMBER($AZ$1235),$B$677=1),$AZ$1235,HLOOKUP(INDIRECT(ADDRESS(2,COLUMN())),OFFSET($BN$2,0,0,ROW()-1,60),ROW()-1,FALSE))</f>
        <v>3.8779835519999999</v>
      </c>
      <c r="BA576">
        <f ca="1">IF(AND(ISNUMBER($BA$1235),$B$677=1),$BA$1235,HLOOKUP(INDIRECT(ADDRESS(2,COLUMN())),OFFSET($BN$2,0,0,ROW()-1,60),ROW()-1,FALSE))</f>
        <v>2.4606299530000002</v>
      </c>
      <c r="BB576">
        <f ca="1">IF(AND(ISNUMBER($BB$1235),$B$677=1),$BB$1235,HLOOKUP(INDIRECT(ADDRESS(2,COLUMN())),OFFSET($BN$2,0,0,ROW()-1,60),ROW()-1,FALSE))</f>
        <v>3.7200000520000001</v>
      </c>
      <c r="BC576">
        <f ca="1">IF(AND(ISNUMBER($BC$1235),$B$677=1),$BC$1235,HLOOKUP(INDIRECT(ADDRESS(2,COLUMN())),OFFSET($BN$2,0,0,ROW()-1,60),ROW()-1,FALSE))</f>
        <v>3.2384490480000001</v>
      </c>
      <c r="BD576">
        <f ca="1">IF(AND(ISNUMBER($BD$1235),$B$677=1),$BD$1235,HLOOKUP(INDIRECT(ADDRESS(2,COLUMN())),OFFSET($BN$2,0,0,ROW()-1,60),ROW()-1,FALSE))</f>
        <v>3.2232512830000002</v>
      </c>
      <c r="BE576">
        <f ca="1">IF(AND(ISNUMBER($BE$1235),$B$677=1),$BE$1235,HLOOKUP(INDIRECT(ADDRESS(2,COLUMN())),OFFSET($BN$2,0,0,ROW()-1,60),ROW()-1,FALSE))</f>
        <v>3.42400964</v>
      </c>
      <c r="BF576">
        <f ca="1">IF(AND(ISNUMBER($BF$1235),$B$677=1),$BF$1235,HLOOKUP(INDIRECT(ADDRESS(2,COLUMN())),OFFSET($BN$2,0,0,ROW()-1,60),ROW()-1,FALSE))</f>
        <v>1.507943737</v>
      </c>
      <c r="BG576">
        <f ca="1">IF(AND(ISNUMBER($BG$1235),$B$677=1),$BG$1235,HLOOKUP(INDIRECT(ADDRESS(2,COLUMN())),OFFSET($BN$2,0,0,ROW()-1,60),ROW()-1,FALSE))</f>
        <v>0.96607035100000005</v>
      </c>
      <c r="BH576">
        <f ca="1">IF(AND(ISNUMBER($BH$1235),$B$677=1),$BH$1235,HLOOKUP(INDIRECT(ADDRESS(2,COLUMN())),OFFSET($BN$2,0,0,ROW()-1,60),ROW()-1,FALSE))</f>
        <v>-3.8955546509999999</v>
      </c>
      <c r="BI576">
        <f ca="1">IF(AND(ISNUMBER($BI$1235),$B$677=1),$BI$1235,HLOOKUP(INDIRECT(ADDRESS(2,COLUMN())),OFFSET($BN$2,0,0,ROW()-1,60),ROW()-1,FALSE))</f>
        <v>-5.8993077710000001</v>
      </c>
      <c r="BJ576">
        <f ca="1">IF(AND(ISNUMBER($BJ$1235),$B$677=1),$BJ$1235,HLOOKUP(INDIRECT(ADDRESS(2,COLUMN())),OFFSET($BN$2,0,0,ROW()-1,60),ROW()-1,FALSE))</f>
        <v>-2.400596272</v>
      </c>
      <c r="BK576">
        <f ca="1">IF(AND(ISNUMBER($BK$1235),$B$677=1),$BK$1235,HLOOKUP(INDIRECT(ADDRESS(2,COLUMN())),OFFSET($BN$2,0,0,ROW()-1,60),ROW()-1,FALSE))</f>
        <v>1.589635967</v>
      </c>
      <c r="BL576">
        <f ca="1">IF(AND(ISNUMBER($BL$1235),$B$677=1),$BL$1235,HLOOKUP(INDIRECT(ADDRESS(2,COLUMN())),OFFSET($BN$2,0,0,ROW()-1,60),ROW()-1,FALSE))</f>
        <v>2.6714816410000002</v>
      </c>
      <c r="BM576">
        <f ca="1">IF(AND(ISNUMBER($BM$1235),$B$677=1),$BM$1235,HLOOKUP(INDIRECT(ADDRESS(2,COLUMN())),OFFSET($BN$2,0,0,ROW()-1,60),ROW()-1,FALSE))</f>
        <v>5.5409500200000004</v>
      </c>
      <c r="BN576">
        <f>17.46653994</f>
        <v>17.466539940000001</v>
      </c>
      <c r="BO576">
        <f>20.67046147</f>
        <v>20.670461469999999</v>
      </c>
      <c r="BP576">
        <f>3.533891411</f>
        <v>3.5338914109999999</v>
      </c>
      <c r="BQ576">
        <f>1.075004252</f>
        <v>1.075004252</v>
      </c>
      <c r="BR576">
        <f>-6.028631595</f>
        <v>-6.0286315950000002</v>
      </c>
      <c r="BS576">
        <f>-5.295717586</f>
        <v>-5.2957175860000003</v>
      </c>
      <c r="BT576">
        <f>8.590867933</f>
        <v>8.5908679330000002</v>
      </c>
      <c r="BU576">
        <f>8.42128729</f>
        <v>8.4212872900000004</v>
      </c>
      <c r="BV576">
        <f>7.015797259</f>
        <v>7.0157972590000002</v>
      </c>
      <c r="BW576">
        <f>6.879610465</f>
        <v>6.8796104649999998</v>
      </c>
      <c r="BX576">
        <f>6.591342435</f>
        <v>6.5913424349999996</v>
      </c>
      <c r="BY576">
        <f>6.197191193</f>
        <v>6.1971911930000001</v>
      </c>
      <c r="BZ576">
        <f>6.197629053</f>
        <v>6.197629053</v>
      </c>
      <c r="CA576">
        <f>7.443725659</f>
        <v>7.4437256590000001</v>
      </c>
      <c r="CB576">
        <f>7.549738075</f>
        <v>7.5497380749999996</v>
      </c>
      <c r="CC576">
        <f>6.557988989</f>
        <v>6.557988989</v>
      </c>
      <c r="CD576">
        <f>6.876164971</f>
        <v>6.8761649709999997</v>
      </c>
      <c r="CE576">
        <f>6.572213192</f>
        <v>6.5722131920000004</v>
      </c>
      <c r="CF576">
        <f>7.953984424</f>
        <v>7.9539844239999997</v>
      </c>
      <c r="CG576">
        <f>7.971954467</f>
        <v>7.9719544669999998</v>
      </c>
      <c r="CH576">
        <f>8.50118525</f>
        <v>8.5011852500000007</v>
      </c>
      <c r="CI576">
        <f>7.385313489</f>
        <v>7.3853134889999996</v>
      </c>
      <c r="CJ576">
        <f>8.713430973</f>
        <v>8.7134309729999995</v>
      </c>
      <c r="CK576">
        <f>8.498074703</f>
        <v>8.4980747030000003</v>
      </c>
      <c r="CL576">
        <f>7.950114888</f>
        <v>7.9501148879999999</v>
      </c>
      <c r="CM576">
        <f>9.54065065</f>
        <v>9.5406506499999999</v>
      </c>
      <c r="CN576">
        <f>10.20438318</f>
        <v>10.204383180000001</v>
      </c>
      <c r="CO576">
        <f>12.79193791</f>
        <v>12.79193791</v>
      </c>
      <c r="CP576">
        <f>13.11679773</f>
        <v>13.11679773</v>
      </c>
      <c r="CQ576">
        <f>16.53763499</f>
        <v>16.537634990000001</v>
      </c>
      <c r="CR576">
        <f>14.9697589</f>
        <v>14.9697589</v>
      </c>
      <c r="CS576">
        <f>11.90124315</f>
        <v>11.901243150000001</v>
      </c>
      <c r="CT576">
        <f>9.081307294</f>
        <v>9.0813072940000001</v>
      </c>
      <c r="CU576">
        <f>9.751934722</f>
        <v>9.7519347219999997</v>
      </c>
      <c r="CV576">
        <f>8.602853428</f>
        <v>8.6028534279999995</v>
      </c>
      <c r="CW576">
        <f>12.92981479</f>
        <v>12.92981479</v>
      </c>
      <c r="CX576">
        <f>11.38585959</f>
        <v>11.385859590000001</v>
      </c>
      <c r="CY576">
        <f>11.82779649</f>
        <v>11.827796490000001</v>
      </c>
      <c r="CZ576">
        <f>13.32057414</f>
        <v>13.32057414</v>
      </c>
      <c r="DA576">
        <f>16.89385181</f>
        <v>16.893851810000001</v>
      </c>
      <c r="DB576">
        <f>35.61835633</f>
        <v>35.618356329999997</v>
      </c>
      <c r="DC576">
        <f>47.05982699</f>
        <v>47.059826989999998</v>
      </c>
      <c r="DD576">
        <f>18.67037363</f>
        <v>18.67037363</v>
      </c>
      <c r="DE576">
        <f>13.47309007</f>
        <v>13.47309007</v>
      </c>
      <c r="DF576">
        <f>8.037721102</f>
        <v>8.0377211020000008</v>
      </c>
      <c r="DG576">
        <f>4.295967541</f>
        <v>4.2959675409999996</v>
      </c>
      <c r="DH576">
        <f>3.877983552</f>
        <v>3.8779835519999999</v>
      </c>
      <c r="DI576">
        <f>2.460629953</f>
        <v>2.4606299530000002</v>
      </c>
      <c r="DJ576">
        <f>3.720000052</f>
        <v>3.7200000520000001</v>
      </c>
      <c r="DK576">
        <f>3.238449048</f>
        <v>3.2384490480000001</v>
      </c>
      <c r="DL576">
        <f>3.223251283</f>
        <v>3.2232512830000002</v>
      </c>
      <c r="DM576">
        <f>3.42400964</f>
        <v>3.42400964</v>
      </c>
      <c r="DN576">
        <f>1.507943737</f>
        <v>1.507943737</v>
      </c>
      <c r="DO576">
        <f>0.966070351</f>
        <v>0.96607035100000005</v>
      </c>
      <c r="DP576">
        <f>-3.895554651</f>
        <v>-3.8955546509999999</v>
      </c>
      <c r="DQ576">
        <f>-5.899307771</f>
        <v>-5.8993077710000001</v>
      </c>
      <c r="DR576">
        <f>-2.400596272</f>
        <v>-2.400596272</v>
      </c>
      <c r="DS576">
        <f>1.589635967</f>
        <v>1.589635967</v>
      </c>
      <c r="DT576">
        <f>2.671481641</f>
        <v>2.6714816410000002</v>
      </c>
      <c r="DU576">
        <f>5.54095002</f>
        <v>5.5409500200000004</v>
      </c>
    </row>
    <row r="577" spans="1:125" x14ac:dyDescent="0.25">
      <c r="A577" t="str">
        <f>"    Toyota Motor Corp"</f>
        <v xml:space="preserve">    Toyota Motor Corp</v>
      </c>
      <c r="B577" t="str">
        <f>"7203 JP Equity"</f>
        <v>7203 JP Equity</v>
      </c>
      <c r="C577" t="str">
        <f t="shared" si="39"/>
        <v>RX076</v>
      </c>
      <c r="D577" t="str">
        <f t="shared" si="40"/>
        <v>EBIT_YIELD</v>
      </c>
      <c r="E577" t="str">
        <f t="shared" si="41"/>
        <v>Dynamic</v>
      </c>
      <c r="F577">
        <f ca="1">IF(AND(ISNUMBER($F$1236),$B$677=1),$F$1236,HLOOKUP(INDIRECT(ADDRESS(2,COLUMN())),OFFSET($BN$2,0,0,ROW()-1,60),ROW()-1,FALSE))</f>
        <v>13.20813976</v>
      </c>
      <c r="G577">
        <f ca="1">IF(AND(ISNUMBER($G$1236),$B$677=1),$G$1236,HLOOKUP(INDIRECT(ADDRESS(2,COLUMN())),OFFSET($BN$2,0,0,ROW()-1,60),ROW()-1,FALSE))</f>
        <v>13.855557170000001</v>
      </c>
      <c r="H577">
        <f ca="1">IF(AND(ISNUMBER($H$1236),$B$677=1),$H$1236,HLOOKUP(INDIRECT(ADDRESS(2,COLUMN())),OFFSET($BN$2,0,0,ROW()-1,60),ROW()-1,FALSE))</f>
        <v>12.41049196</v>
      </c>
      <c r="I577">
        <f ca="1">IF(AND(ISNUMBER($I$1236),$B$677=1),$I$1236,HLOOKUP(INDIRECT(ADDRESS(2,COLUMN())),OFFSET($BN$2,0,0,ROW()-1,60),ROW()-1,FALSE))</f>
        <v>11.94008676</v>
      </c>
      <c r="J577">
        <f ca="1">IF(AND(ISNUMBER($J$1236),$B$677=1),$J$1236,HLOOKUP(INDIRECT(ADDRESS(2,COLUMN())),OFFSET($BN$2,0,0,ROW()-1,60),ROW()-1,FALSE))</f>
        <v>11.93398947</v>
      </c>
      <c r="K577">
        <f ca="1">IF(AND(ISNUMBER($K$1236),$B$677=1),$K$1236,HLOOKUP(INDIRECT(ADDRESS(2,COLUMN())),OFFSET($BN$2,0,0,ROW()-1,60),ROW()-1,FALSE))</f>
        <v>10.346924059999999</v>
      </c>
      <c r="L577">
        <f ca="1">IF(AND(ISNUMBER($L$1236),$B$677=1),$L$1236,HLOOKUP(INDIRECT(ADDRESS(2,COLUMN())),OFFSET($BN$2,0,0,ROW()-1,60),ROW()-1,FALSE))</f>
        <v>9.8884401919999991</v>
      </c>
      <c r="M577">
        <f ca="1">IF(AND(ISNUMBER($M$1236),$B$677=1),$M$1236,HLOOKUP(INDIRECT(ADDRESS(2,COLUMN())),OFFSET($BN$2,0,0,ROW()-1,60),ROW()-1,FALSE))</f>
        <v>10.92701761</v>
      </c>
      <c r="N577">
        <f ca="1">IF(AND(ISNUMBER($N$1236),$B$677=1),$N$1236,HLOOKUP(INDIRECT(ADDRESS(2,COLUMN())),OFFSET($BN$2,0,0,ROW()-1,60),ROW()-1,FALSE))</f>
        <v>10.962507609999999</v>
      </c>
      <c r="O577">
        <f ca="1">IF(AND(ISNUMBER($O$1236),$B$677=1),$O$1236,HLOOKUP(INDIRECT(ADDRESS(2,COLUMN())),OFFSET($BN$2,0,0,ROW()-1,60),ROW()-1,FALSE))</f>
        <v>10.094001090000001</v>
      </c>
      <c r="P577">
        <f ca="1">IF(AND(ISNUMBER($P$1236),$B$677=1),$P$1236,HLOOKUP(INDIRECT(ADDRESS(2,COLUMN())),OFFSET($BN$2,0,0,ROW()-1,60),ROW()-1,FALSE))</f>
        <v>13.5185709</v>
      </c>
      <c r="Q577">
        <f ca="1">IF(AND(ISNUMBER($Q$1236),$B$677=1),$Q$1236,HLOOKUP(INDIRECT(ADDRESS(2,COLUMN())),OFFSET($BN$2,0,0,ROW()-1,60),ROW()-1,FALSE))</f>
        <v>17.562164589999998</v>
      </c>
      <c r="R577">
        <f ca="1">IF(AND(ISNUMBER($R$1236),$B$677=1),$R$1236,HLOOKUP(INDIRECT(ADDRESS(2,COLUMN())),OFFSET($BN$2,0,0,ROW()-1,60),ROW()-1,FALSE))</f>
        <v>15.38971722</v>
      </c>
      <c r="S577">
        <f ca="1">IF(AND(ISNUMBER($S$1236),$B$677=1),$S$1236,HLOOKUP(INDIRECT(ADDRESS(2,COLUMN())),OFFSET($BN$2,0,0,ROW()-1,60),ROW()-1,FALSE))</f>
        <v>12.537523419999999</v>
      </c>
      <c r="T577">
        <f ca="1">IF(AND(ISNUMBER($T$1236),$B$677=1),$T$1236,HLOOKUP(INDIRECT(ADDRESS(2,COLUMN())),OFFSET($BN$2,0,0,ROW()-1,60),ROW()-1,FALSE))</f>
        <v>13.58678205</v>
      </c>
      <c r="U577">
        <f ca="1">IF(AND(ISNUMBER($U$1236),$B$677=1),$U$1236,HLOOKUP(INDIRECT(ADDRESS(2,COLUMN())),OFFSET($BN$2,0,0,ROW()-1,60),ROW()-1,FALSE))</f>
        <v>10.878525529999999</v>
      </c>
      <c r="V577">
        <f ca="1">IF(AND(ISNUMBER($V$1236),$B$677=1),$V$1236,HLOOKUP(INDIRECT(ADDRESS(2,COLUMN())),OFFSET($BN$2,0,0,ROW()-1,60),ROW()-1,FALSE))</f>
        <v>10.38610753</v>
      </c>
      <c r="W577">
        <f ca="1">IF(AND(ISNUMBER($W$1236),$B$677=1),$W$1236,HLOOKUP(INDIRECT(ADDRESS(2,COLUMN())),OFFSET($BN$2,0,0,ROW()-1,60),ROW()-1,FALSE))</f>
        <v>10.66676316</v>
      </c>
      <c r="X577">
        <f ca="1">IF(AND(ISNUMBER($X$1236),$B$677=1),$X$1236,HLOOKUP(INDIRECT(ADDRESS(2,COLUMN())),OFFSET($BN$2,0,0,ROW()-1,60),ROW()-1,FALSE))</f>
        <v>11.67061988</v>
      </c>
      <c r="Y577">
        <f ca="1">IF(AND(ISNUMBER($Y$1236),$B$677=1),$Y$1236,HLOOKUP(INDIRECT(ADDRESS(2,COLUMN())),OFFSET($BN$2,0,0,ROW()-1,60),ROW()-1,FALSE))</f>
        <v>12.03917137</v>
      </c>
      <c r="Z577">
        <f ca="1">IF(AND(ISNUMBER($Z$1236),$B$677=1),$Z$1236,HLOOKUP(INDIRECT(ADDRESS(2,COLUMN())),OFFSET($BN$2,0,0,ROW()-1,60),ROW()-1,FALSE))</f>
        <v>12.415214049999999</v>
      </c>
      <c r="AA577">
        <f ca="1">IF(AND(ISNUMBER($AA$1236),$B$677=1),$AA$1236,HLOOKUP(INDIRECT(ADDRESS(2,COLUMN())),OFFSET($BN$2,0,0,ROW()-1,60),ROW()-1,FALSE))</f>
        <v>11.594025439999999</v>
      </c>
      <c r="AB577">
        <f ca="1">IF(AND(ISNUMBER($AB$1236),$B$677=1),$AB$1236,HLOOKUP(INDIRECT(ADDRESS(2,COLUMN())),OFFSET($BN$2,0,0,ROW()-1,60),ROW()-1,FALSE))</f>
        <v>9.4776237499999993</v>
      </c>
      <c r="AC577">
        <f ca="1">IF(AND(ISNUMBER($AC$1236),$B$677=1),$AC$1236,HLOOKUP(INDIRECT(ADDRESS(2,COLUMN())),OFFSET($BN$2,0,0,ROW()-1,60),ROW()-1,FALSE))</f>
        <v>8.5969404540000003</v>
      </c>
      <c r="AD577">
        <f ca="1">IF(AND(ISNUMBER($AD$1236),$B$677=1),$AD$1236,HLOOKUP(INDIRECT(ADDRESS(2,COLUMN())),OFFSET($BN$2,0,0,ROW()-1,60),ROW()-1,FALSE))</f>
        <v>8.5819815879999997</v>
      </c>
      <c r="AE577">
        <f ca="1">IF(AND(ISNUMBER($AE$1236),$B$677=1),$AE$1236,HLOOKUP(INDIRECT(ADDRESS(2,COLUMN())),OFFSET($BN$2,0,0,ROW()-1,60),ROW()-1,FALSE))</f>
        <v>8.3341205639999991</v>
      </c>
      <c r="AF577">
        <f ca="1">IF(AND(ISNUMBER($AF$1236),$B$677=1),$AF$1236,HLOOKUP(INDIRECT(ADDRESS(2,COLUMN())),OFFSET($BN$2,0,0,ROW()-1,60),ROW()-1,FALSE))</f>
        <v>11.25402158</v>
      </c>
      <c r="AG577">
        <f ca="1">IF(AND(ISNUMBER($AG$1236),$B$677=1),$AG$1236,HLOOKUP(INDIRECT(ADDRESS(2,COLUMN())),OFFSET($BN$2,0,0,ROW()-1,60),ROW()-1,FALSE))</f>
        <v>8.1068796699999996</v>
      </c>
      <c r="AH577">
        <f ca="1">IF(AND(ISNUMBER($AH$1236),$B$677=1),$AH$1236,HLOOKUP(INDIRECT(ADDRESS(2,COLUMN())),OFFSET($BN$2,0,0,ROW()-1,60),ROW()-1,FALSE))</f>
        <v>3.1558886429999999</v>
      </c>
      <c r="AI577">
        <f ca="1">IF(AND(ISNUMBER($AI$1236),$B$677=1),$AI$1236,HLOOKUP(INDIRECT(ADDRESS(2,COLUMN())),OFFSET($BN$2,0,0,ROW()-1,60),ROW()-1,FALSE))</f>
        <v>2.0290859640000001</v>
      </c>
      <c r="AJ577">
        <f ca="1">IF(AND(ISNUMBER($AJ$1236),$B$677=1),$AJ$1236,HLOOKUP(INDIRECT(ADDRESS(2,COLUMN())),OFFSET($BN$2,0,0,ROW()-1,60),ROW()-1,FALSE))</f>
        <v>1.3356835250000001</v>
      </c>
      <c r="AK577">
        <f ca="1">IF(AND(ISNUMBER($AK$1236),$B$677=1),$AK$1236,HLOOKUP(INDIRECT(ADDRESS(2,COLUMN())),OFFSET($BN$2,0,0,ROW()-1,60),ROW()-1,FALSE))</f>
        <v>1.4585200039999999</v>
      </c>
      <c r="AL577">
        <f ca="1">IF(AND(ISNUMBER($AL$1236),$B$677=1),$AL$1236,HLOOKUP(INDIRECT(ADDRESS(2,COLUMN())),OFFSET($BN$2,0,0,ROW()-1,60),ROW()-1,FALSE))</f>
        <v>4.4575226729999997</v>
      </c>
      <c r="AM577">
        <f ca="1">IF(AND(ISNUMBER($AM$1236),$B$677=1),$AM$1236,HLOOKUP(INDIRECT(ADDRESS(2,COLUMN())),OFFSET($BN$2,0,0,ROW()-1,60),ROW()-1,FALSE))</f>
        <v>5.1244464130000003</v>
      </c>
      <c r="AN577">
        <f ca="1">IF(AND(ISNUMBER($AN$1236),$B$677=1),$AN$1236,HLOOKUP(INDIRECT(ADDRESS(2,COLUMN())),OFFSET($BN$2,0,0,ROW()-1,60),ROW()-1,FALSE))</f>
        <v>6.4615338940000004</v>
      </c>
      <c r="AO577">
        <f ca="1">IF(AND(ISNUMBER($AO$1236),$B$677=1),$AO$1236,HLOOKUP(INDIRECT(ADDRESS(2,COLUMN())),OFFSET($BN$2,0,0,ROW()-1,60),ROW()-1,FALSE))</f>
        <v>5.7360894199999999</v>
      </c>
      <c r="AP577">
        <f ca="1">IF(AND(ISNUMBER($AP$1236),$B$677=1),$AP$1236,HLOOKUP(INDIRECT(ADDRESS(2,COLUMN())),OFFSET($BN$2,0,0,ROW()-1,60),ROW()-1,FALSE))</f>
        <v>1.2560138940000001</v>
      </c>
      <c r="AQ577">
        <f ca="1">IF(AND(ISNUMBER($AQ$1236),$B$677=1),$AQ$1236,HLOOKUP(INDIRECT(ADDRESS(2,COLUMN())),OFFSET($BN$2,0,0,ROW()-1,60),ROW()-1,FALSE))</f>
        <v>-5.1799135679999999</v>
      </c>
      <c r="AR577">
        <f ca="1">IF(AND(ISNUMBER($AR$1236),$B$677=1),$AR$1236,HLOOKUP(INDIRECT(ADDRESS(2,COLUMN())),OFFSET($BN$2,0,0,ROW()-1,60),ROW()-1,FALSE))</f>
        <v>-10.538984559999999</v>
      </c>
      <c r="AS577">
        <f ca="1">IF(AND(ISNUMBER($AS$1236),$B$677=1),$AS$1236,HLOOKUP(INDIRECT(ADDRESS(2,COLUMN())),OFFSET($BN$2,0,0,ROW()-1,60),ROW()-1,FALSE))</f>
        <v>-9.2851239430000003</v>
      </c>
      <c r="AT577">
        <f ca="1">IF(AND(ISNUMBER($AT$1236),$B$677=1),$AT$1236,HLOOKUP(INDIRECT(ADDRESS(2,COLUMN())),OFFSET($BN$2,0,0,ROW()-1,60),ROW()-1,FALSE))</f>
        <v>-4.7312213209999996</v>
      </c>
      <c r="AU577">
        <f ca="1">IF(AND(ISNUMBER($AU$1236),$B$677=1),$AU$1236,HLOOKUP(INDIRECT(ADDRESS(2,COLUMN())),OFFSET($BN$2,0,0,ROW()-1,60),ROW()-1,FALSE))</f>
        <v>6.853429942</v>
      </c>
      <c r="AV577">
        <f ca="1">IF(AND(ISNUMBER($AV$1236),$B$677=1),$AV$1236,HLOOKUP(INDIRECT(ADDRESS(2,COLUMN())),OFFSET($BN$2,0,0,ROW()-1,60),ROW()-1,FALSE))</f>
        <v>11.41783581</v>
      </c>
      <c r="AW577">
        <f ca="1">IF(AND(ISNUMBER($AW$1236),$B$677=1),$AW$1236,HLOOKUP(INDIRECT(ADDRESS(2,COLUMN())),OFFSET($BN$2,0,0,ROW()-1,60),ROW()-1,FALSE))</f>
        <v>12.643024049999999</v>
      </c>
      <c r="AX577">
        <f ca="1">IF(AND(ISNUMBER($AX$1236),$B$677=1),$AX$1236,HLOOKUP(INDIRECT(ADDRESS(2,COLUMN())),OFFSET($BN$2,0,0,ROW()-1,60),ROW()-1,FALSE))</f>
        <v>14.36596984</v>
      </c>
      <c r="AY577">
        <f ca="1">IF(AND(ISNUMBER($AY$1236),$B$677=1),$AY$1236,HLOOKUP(INDIRECT(ADDRESS(2,COLUMN())),OFFSET($BN$2,0,0,ROW()-1,60),ROW()-1,FALSE))</f>
        <v>12.69880341</v>
      </c>
      <c r="AZ577">
        <f ca="1">IF(AND(ISNUMBER($AZ$1236),$B$677=1),$AZ$1236,HLOOKUP(INDIRECT(ADDRESS(2,COLUMN())),OFFSET($BN$2,0,0,ROW()-1,60),ROW()-1,FALSE))</f>
        <v>11.164338689999999</v>
      </c>
      <c r="BA577">
        <f ca="1">IF(AND(ISNUMBER($BA$1236),$B$677=1),$BA$1236,HLOOKUP(INDIRECT(ADDRESS(2,COLUMN())),OFFSET($BN$2,0,0,ROW()-1,60),ROW()-1,FALSE))</f>
        <v>9.6196765850000006</v>
      </c>
      <c r="BB577">
        <f ca="1">IF(AND(ISNUMBER($BB$1236),$B$677=1),$BB$1236,HLOOKUP(INDIRECT(ADDRESS(2,COLUMN())),OFFSET($BN$2,0,0,ROW()-1,60),ROW()-1,FALSE))</f>
        <v>9.2405423019999997</v>
      </c>
      <c r="BC577">
        <f ca="1">IF(AND(ISNUMBER($BC$1236),$B$677=1),$BC$1236,HLOOKUP(INDIRECT(ADDRESS(2,COLUMN())),OFFSET($BN$2,0,0,ROW()-1,60),ROW()-1,FALSE))</f>
        <v>8.7877802410000001</v>
      </c>
      <c r="BD577">
        <f ca="1">IF(AND(ISNUMBER($BD$1236),$B$677=1),$BD$1236,HLOOKUP(INDIRECT(ADDRESS(2,COLUMN())),OFFSET($BN$2,0,0,ROW()-1,60),ROW()-1,FALSE))</f>
        <v>10.41019322</v>
      </c>
      <c r="BE577">
        <f ca="1">IF(AND(ISNUMBER($BE$1236),$B$677=1),$BE$1236,HLOOKUP(INDIRECT(ADDRESS(2,COLUMN())),OFFSET($BN$2,0,0,ROW()-1,60),ROW()-1,FALSE))</f>
        <v>10.216684669999999</v>
      </c>
      <c r="BF577">
        <f ca="1">IF(AND(ISNUMBER($BF$1236),$B$677=1),$BF$1236,HLOOKUP(INDIRECT(ADDRESS(2,COLUMN())),OFFSET($BN$2,0,0,ROW()-1,60),ROW()-1,FALSE))</f>
        <v>8.9772005959999994</v>
      </c>
      <c r="BG577">
        <f ca="1">IF(AND(ISNUMBER($BG$1236),$B$677=1),$BG$1236,HLOOKUP(INDIRECT(ADDRESS(2,COLUMN())),OFFSET($BN$2,0,0,ROW()-1,60),ROW()-1,FALSE))</f>
        <v>8.3075390470000006</v>
      </c>
      <c r="BH577">
        <f ca="1">IF(AND(ISNUMBER($BH$1236),$B$677=1),$BH$1236,HLOOKUP(INDIRECT(ADDRESS(2,COLUMN())),OFFSET($BN$2,0,0,ROW()-1,60),ROW()-1,FALSE))</f>
        <v>9.4045238439999999</v>
      </c>
      <c r="BI577">
        <f ca="1">IF(AND(ISNUMBER($BI$1236),$B$677=1),$BI$1236,HLOOKUP(INDIRECT(ADDRESS(2,COLUMN())),OFFSET($BN$2,0,0,ROW()-1,60),ROW()-1,FALSE))</f>
        <v>12.373051090000001</v>
      </c>
      <c r="BJ577">
        <f ca="1">IF(AND(ISNUMBER($BJ$1236),$B$677=1),$BJ$1236,HLOOKUP(INDIRECT(ADDRESS(2,COLUMN())),OFFSET($BN$2,0,0,ROW()-1,60),ROW()-1,FALSE))</f>
        <v>12.58221225</v>
      </c>
      <c r="BK577" t="str">
        <f ca="1">IF(AND(ISNUMBER($BK$1236),$B$677=1),$BK$1236,HLOOKUP(INDIRECT(ADDRESS(2,COLUMN())),OFFSET($BN$2,0,0,ROW()-1,60),ROW()-1,FALSE))</f>
        <v/>
      </c>
      <c r="BL577" t="str">
        <f ca="1">IF(AND(ISNUMBER($BL$1236),$B$677=1),$BL$1236,HLOOKUP(INDIRECT(ADDRESS(2,COLUMN())),OFFSET($BN$2,0,0,ROW()-1,60),ROW()-1,FALSE))</f>
        <v/>
      </c>
      <c r="BM577" t="str">
        <f ca="1">IF(AND(ISNUMBER($BM$1236),$B$677=1),$BM$1236,HLOOKUP(INDIRECT(ADDRESS(2,COLUMN())),OFFSET($BN$2,0,0,ROW()-1,60),ROW()-1,FALSE))</f>
        <v/>
      </c>
      <c r="BN577">
        <f>13.20813976</f>
        <v>13.20813976</v>
      </c>
      <c r="BO577">
        <f>13.85555717</f>
        <v>13.855557170000001</v>
      </c>
      <c r="BP577">
        <f>12.41049196</f>
        <v>12.41049196</v>
      </c>
      <c r="BQ577">
        <f>11.94008676</f>
        <v>11.94008676</v>
      </c>
      <c r="BR577">
        <f>11.93398947</f>
        <v>11.93398947</v>
      </c>
      <c r="BS577">
        <f>10.34692406</f>
        <v>10.346924059999999</v>
      </c>
      <c r="BT577">
        <f>9.888440192</f>
        <v>9.8884401919999991</v>
      </c>
      <c r="BU577">
        <f>10.92701761</f>
        <v>10.92701761</v>
      </c>
      <c r="BV577">
        <f>10.96250761</f>
        <v>10.962507609999999</v>
      </c>
      <c r="BW577">
        <f>10.09400109</f>
        <v>10.094001090000001</v>
      </c>
      <c r="BX577">
        <f>13.5185709</f>
        <v>13.5185709</v>
      </c>
      <c r="BY577">
        <f>17.56216459</f>
        <v>17.562164589999998</v>
      </c>
      <c r="BZ577">
        <f>15.38971722</f>
        <v>15.38971722</v>
      </c>
      <c r="CA577">
        <f>12.53752342</f>
        <v>12.537523419999999</v>
      </c>
      <c r="CB577">
        <f>13.58678205</f>
        <v>13.58678205</v>
      </c>
      <c r="CC577">
        <f>10.87852553</f>
        <v>10.878525529999999</v>
      </c>
      <c r="CD577">
        <f>10.38610753</f>
        <v>10.38610753</v>
      </c>
      <c r="CE577">
        <f>10.66676316</f>
        <v>10.66676316</v>
      </c>
      <c r="CF577">
        <f>11.67061988</f>
        <v>11.67061988</v>
      </c>
      <c r="CG577">
        <f>12.03917137</f>
        <v>12.03917137</v>
      </c>
      <c r="CH577">
        <f>12.41521405</f>
        <v>12.415214049999999</v>
      </c>
      <c r="CI577">
        <f>11.59402544</f>
        <v>11.594025439999999</v>
      </c>
      <c r="CJ577">
        <f>9.47762375</f>
        <v>9.4776237499999993</v>
      </c>
      <c r="CK577">
        <f>8.596940454</f>
        <v>8.5969404540000003</v>
      </c>
      <c r="CL577">
        <f>8.581981588</f>
        <v>8.5819815879999997</v>
      </c>
      <c r="CM577">
        <f>8.334120564</f>
        <v>8.3341205639999991</v>
      </c>
      <c r="CN577">
        <f>11.25402158</f>
        <v>11.25402158</v>
      </c>
      <c r="CO577">
        <f>8.10687967</f>
        <v>8.1068796699999996</v>
      </c>
      <c r="CP577">
        <f>3.155888643</f>
        <v>3.1558886429999999</v>
      </c>
      <c r="CQ577">
        <f>2.029085964</f>
        <v>2.0290859640000001</v>
      </c>
      <c r="CR577">
        <f>1.335683525</f>
        <v>1.3356835250000001</v>
      </c>
      <c r="CS577">
        <f>1.458520004</f>
        <v>1.4585200039999999</v>
      </c>
      <c r="CT577">
        <f>4.457522673</f>
        <v>4.4575226729999997</v>
      </c>
      <c r="CU577">
        <f>5.124446413</f>
        <v>5.1244464130000003</v>
      </c>
      <c r="CV577">
        <f>6.461533894</f>
        <v>6.4615338940000004</v>
      </c>
      <c r="CW577">
        <f>5.73608942</f>
        <v>5.7360894199999999</v>
      </c>
      <c r="CX577">
        <f>1.256013894</f>
        <v>1.2560138940000001</v>
      </c>
      <c r="CY577">
        <f>-5.179913568</f>
        <v>-5.1799135679999999</v>
      </c>
      <c r="CZ577">
        <f>-10.53898456</f>
        <v>-10.538984559999999</v>
      </c>
      <c r="DA577">
        <f>-9.285123943</f>
        <v>-9.2851239430000003</v>
      </c>
      <c r="DB577">
        <f>-4.731221321</f>
        <v>-4.7312213209999996</v>
      </c>
      <c r="DC577">
        <f>6.853429942</f>
        <v>6.853429942</v>
      </c>
      <c r="DD577">
        <f>11.41783581</f>
        <v>11.41783581</v>
      </c>
      <c r="DE577">
        <f>12.64302405</f>
        <v>12.643024049999999</v>
      </c>
      <c r="DF577">
        <f>14.36596984</f>
        <v>14.36596984</v>
      </c>
      <c r="DG577">
        <f>12.69880341</f>
        <v>12.69880341</v>
      </c>
      <c r="DH577">
        <f>11.16433869</f>
        <v>11.164338689999999</v>
      </c>
      <c r="DI577">
        <f>9.619676585</f>
        <v>9.6196765850000006</v>
      </c>
      <c r="DJ577">
        <f>9.240542302</f>
        <v>9.2405423019999997</v>
      </c>
      <c r="DK577">
        <f>8.787780241</f>
        <v>8.7877802410000001</v>
      </c>
      <c r="DL577">
        <f>10.41019322</f>
        <v>10.41019322</v>
      </c>
      <c r="DM577">
        <f>10.21668467</f>
        <v>10.216684669999999</v>
      </c>
      <c r="DN577">
        <f>8.977200596</f>
        <v>8.9772005959999994</v>
      </c>
      <c r="DO577">
        <f>8.307539047</f>
        <v>8.3075390470000006</v>
      </c>
      <c r="DP577">
        <f>9.404523844</f>
        <v>9.4045238439999999</v>
      </c>
      <c r="DQ577">
        <f>12.37305109</f>
        <v>12.373051090000001</v>
      </c>
      <c r="DR577">
        <f>12.58221225</f>
        <v>12.58221225</v>
      </c>
      <c r="DS577" t="str">
        <f>""</f>
        <v/>
      </c>
      <c r="DT577" t="str">
        <f>""</f>
        <v/>
      </c>
      <c r="DU577" t="str">
        <f>""</f>
        <v/>
      </c>
    </row>
    <row r="578" spans="1:125" x14ac:dyDescent="0.25">
      <c r="A578" t="str">
        <f>"    Volkswagen AG"</f>
        <v xml:space="preserve">    Volkswagen AG</v>
      </c>
      <c r="B578" t="str">
        <f>"VOW GR Equity"</f>
        <v>VOW GR Equity</v>
      </c>
      <c r="C578" t="str">
        <f t="shared" si="39"/>
        <v>RX076</v>
      </c>
      <c r="D578" t="str">
        <f t="shared" si="40"/>
        <v>EBIT_YIELD</v>
      </c>
      <c r="E578" t="str">
        <f t="shared" si="41"/>
        <v>Dynamic</v>
      </c>
      <c r="F578" t="str">
        <f ca="1">IF(AND(ISNUMBER($F$1237),$B$677=1),$F$1237,HLOOKUP(INDIRECT(ADDRESS(2,COLUMN())),OFFSET($BN$2,0,0,ROW()-1,60),ROW()-1,FALSE))</f>
        <v/>
      </c>
      <c r="G578">
        <f ca="1">IF(AND(ISNUMBER($G$1237),$B$677=1),$G$1237,HLOOKUP(INDIRECT(ADDRESS(2,COLUMN())),OFFSET($BN$2,0,0,ROW()-1,60),ROW()-1,FALSE))</f>
        <v>20.447376980000001</v>
      </c>
      <c r="H578">
        <f ca="1">IF(AND(ISNUMBER($H$1237),$B$677=1),$H$1237,HLOOKUP(INDIRECT(ADDRESS(2,COLUMN())),OFFSET($BN$2,0,0,ROW()-1,60),ROW()-1,FALSE))</f>
        <v>18.776526350000001</v>
      </c>
      <c r="I578">
        <f ca="1">IF(AND(ISNUMBER($I$1237),$B$677=1),$I$1237,HLOOKUP(INDIRECT(ADDRESS(2,COLUMN())),OFFSET($BN$2,0,0,ROW()-1,60),ROW()-1,FALSE))</f>
        <v>18.41448316</v>
      </c>
      <c r="J578">
        <f ca="1">IF(AND(ISNUMBER($J$1237),$B$677=1),$J$1237,HLOOKUP(INDIRECT(ADDRESS(2,COLUMN())),OFFSET($BN$2,0,0,ROW()-1,60),ROW()-1,FALSE))</f>
        <v>16.73135456</v>
      </c>
      <c r="K578">
        <f ca="1">IF(AND(ISNUMBER($K$1237),$B$677=1),$K$1237,HLOOKUP(INDIRECT(ADDRESS(2,COLUMN())),OFFSET($BN$2,0,0,ROW()-1,60),ROW()-1,FALSE))</f>
        <v>16.340585350000001</v>
      </c>
      <c r="L578">
        <f ca="1">IF(AND(ISNUMBER($L$1237),$B$677=1),$L$1237,HLOOKUP(INDIRECT(ADDRESS(2,COLUMN())),OFFSET($BN$2,0,0,ROW()-1,60),ROW()-1,FALSE))</f>
        <v>12.688858059999999</v>
      </c>
      <c r="M578">
        <f ca="1">IF(AND(ISNUMBER($M$1237),$B$677=1),$M$1237,HLOOKUP(INDIRECT(ADDRESS(2,COLUMN())),OFFSET($BN$2,0,0,ROW()-1,60),ROW()-1,FALSE))</f>
        <v>15.64812457</v>
      </c>
      <c r="N578">
        <f ca="1">IF(AND(ISNUMBER($N$1237),$B$677=1),$N$1237,HLOOKUP(INDIRECT(ADDRESS(2,COLUMN())),OFFSET($BN$2,0,0,ROW()-1,60),ROW()-1,FALSE))</f>
        <v>11.472522680000001</v>
      </c>
      <c r="O578">
        <f ca="1">IF(AND(ISNUMBER($O$1237),$B$677=1),$O$1237,HLOOKUP(INDIRECT(ADDRESS(2,COLUMN())),OFFSET($BN$2,0,0,ROW()-1,60),ROW()-1,FALSE))</f>
        <v>10.361275150000001</v>
      </c>
      <c r="P578">
        <f ca="1">IF(AND(ISNUMBER($P$1237),$B$677=1),$P$1237,HLOOKUP(INDIRECT(ADDRESS(2,COLUMN())),OFFSET($BN$2,0,0,ROW()-1,60),ROW()-1,FALSE))</f>
        <v>1.9197148470000001</v>
      </c>
      <c r="Q578">
        <f ca="1">IF(AND(ISNUMBER($Q$1237),$B$677=1),$Q$1237,HLOOKUP(INDIRECT(ADDRESS(2,COLUMN())),OFFSET($BN$2,0,0,ROW()-1,60),ROW()-1,FALSE))</f>
        <v>-9.0700201299999996</v>
      </c>
      <c r="R578">
        <f ca="1">IF(AND(ISNUMBER($R$1237),$B$677=1),$R$1237,HLOOKUP(INDIRECT(ADDRESS(2,COLUMN())),OFFSET($BN$2,0,0,ROW()-1,60),ROW()-1,FALSE))</f>
        <v>-6.1943155140000004</v>
      </c>
      <c r="S578">
        <f ca="1">IF(AND(ISNUMBER($S$1237),$B$677=1),$S$1237,HLOOKUP(INDIRECT(ADDRESS(2,COLUMN())),OFFSET($BN$2,0,0,ROW()-1,60),ROW()-1,FALSE))</f>
        <v>-5.7044657770000002</v>
      </c>
      <c r="T578">
        <f ca="1">IF(AND(ISNUMBER($T$1237),$B$677=1),$T$1237,HLOOKUP(INDIRECT(ADDRESS(2,COLUMN())),OFFSET($BN$2,0,0,ROW()-1,60),ROW()-1,FALSE))</f>
        <v>12.371742729999999</v>
      </c>
      <c r="U578">
        <f ca="1">IF(AND(ISNUMBER($U$1237),$B$677=1),$U$1237,HLOOKUP(INDIRECT(ADDRESS(2,COLUMN())),OFFSET($BN$2,0,0,ROW()-1,60),ROW()-1,FALSE))</f>
        <v>12.81427581</v>
      </c>
      <c r="V578">
        <f ca="1">IF(AND(ISNUMBER($V$1237),$B$677=1),$V$1237,HLOOKUP(INDIRECT(ADDRESS(2,COLUMN())),OFFSET($BN$2,0,0,ROW()-1,60),ROW()-1,FALSE))</f>
        <v>11.04037278</v>
      </c>
      <c r="W578">
        <f ca="1">IF(AND(ISNUMBER($W$1237),$B$677=1),$W$1237,HLOOKUP(INDIRECT(ADDRESS(2,COLUMN())),OFFSET($BN$2,0,0,ROW()-1,60),ROW()-1,FALSE))</f>
        <v>14.20799701</v>
      </c>
      <c r="X578">
        <f ca="1">IF(AND(ISNUMBER($X$1237),$B$677=1),$X$1237,HLOOKUP(INDIRECT(ADDRESS(2,COLUMN())),OFFSET($BN$2,0,0,ROW()-1,60),ROW()-1,FALSE))</f>
        <v>15.52851343</v>
      </c>
      <c r="Y578">
        <f ca="1">IF(AND(ISNUMBER($Y$1237),$B$677=1),$Y$1237,HLOOKUP(INDIRECT(ADDRESS(2,COLUMN())),OFFSET($BN$2,0,0,ROW()-1,60),ROW()-1,FALSE))</f>
        <v>13.069524789999999</v>
      </c>
      <c r="Z578">
        <f ca="1">IF(AND(ISNUMBER($Z$1237),$B$677=1),$Z$1237,HLOOKUP(INDIRECT(ADDRESS(2,COLUMN())),OFFSET($BN$2,0,0,ROW()-1,60),ROW()-1,FALSE))</f>
        <v>13.5639596</v>
      </c>
      <c r="AA578">
        <f ca="1">IF(AND(ISNUMBER($AA$1237),$B$677=1),$AA$1237,HLOOKUP(INDIRECT(ADDRESS(2,COLUMN())),OFFSET($BN$2,0,0,ROW()-1,60),ROW()-1,FALSE))</f>
        <v>12.19157351</v>
      </c>
      <c r="AB578">
        <f ca="1">IF(AND(ISNUMBER($AB$1237),$B$677=1),$AB$1237,HLOOKUP(INDIRECT(ADDRESS(2,COLUMN())),OFFSET($BN$2,0,0,ROW()-1,60),ROW()-1,FALSE))</f>
        <v>13.835353080000001</v>
      </c>
      <c r="AC578">
        <f ca="1">IF(AND(ISNUMBER($AC$1237),$B$677=1),$AC$1237,HLOOKUP(INDIRECT(ADDRESS(2,COLUMN())),OFFSET($BN$2,0,0,ROW()-1,60),ROW()-1,FALSE))</f>
        <v>15.026905490000001</v>
      </c>
      <c r="AD578">
        <f ca="1">IF(AND(ISNUMBER($AD$1237),$B$677=1),$AD$1237,HLOOKUP(INDIRECT(ADDRESS(2,COLUMN())),OFFSET($BN$2,0,0,ROW()-1,60),ROW()-1,FALSE))</f>
        <v>15.460775699999999</v>
      </c>
      <c r="AE578">
        <f ca="1">IF(AND(ISNUMBER($AE$1237),$B$677=1),$AE$1237,HLOOKUP(INDIRECT(ADDRESS(2,COLUMN())),OFFSET($BN$2,0,0,ROW()-1,60),ROW()-1,FALSE))</f>
        <v>15.115330289999999</v>
      </c>
      <c r="AF578">
        <f ca="1">IF(AND(ISNUMBER($AF$1237),$B$677=1),$AF$1237,HLOOKUP(INDIRECT(ADDRESS(2,COLUMN())),OFFSET($BN$2,0,0,ROW()-1,60),ROW()-1,FALSE))</f>
        <v>18.37784156</v>
      </c>
      <c r="AG578">
        <f ca="1">IF(AND(ISNUMBER($AG$1237),$B$677=1),$AG$1237,HLOOKUP(INDIRECT(ADDRESS(2,COLUMN())),OFFSET($BN$2,0,0,ROW()-1,60),ROW()-1,FALSE))</f>
        <v>21.388405160000001</v>
      </c>
      <c r="AH578">
        <f ca="1">IF(AND(ISNUMBER($AH$1237),$B$677=1),$AH$1237,HLOOKUP(INDIRECT(ADDRESS(2,COLUMN())),OFFSET($BN$2,0,0,ROW()-1,60),ROW()-1,FALSE))</f>
        <v>20.460432260000001</v>
      </c>
      <c r="AI578">
        <f ca="1">IF(AND(ISNUMBER($AI$1237),$B$677=1),$AI$1237,HLOOKUP(INDIRECT(ADDRESS(2,COLUMN())),OFFSET($BN$2,0,0,ROW()-1,60),ROW()-1,FALSE))</f>
        <v>23.377699140000001</v>
      </c>
      <c r="AJ578">
        <f ca="1">IF(AND(ISNUMBER($AJ$1237),$B$677=1),$AJ$1237,HLOOKUP(INDIRECT(ADDRESS(2,COLUMN())),OFFSET($BN$2,0,0,ROW()-1,60),ROW()-1,FALSE))</f>
        <v>25.847205280000001</v>
      </c>
      <c r="AK578">
        <f ca="1">IF(AND(ISNUMBER($AK$1237),$B$677=1),$AK$1237,HLOOKUP(INDIRECT(ADDRESS(2,COLUMN())),OFFSET($BN$2,0,0,ROW()-1,60),ROW()-1,FALSE))</f>
        <v>17.547546440000001</v>
      </c>
      <c r="AL578">
        <f ca="1">IF(AND(ISNUMBER($AL$1237),$B$677=1),$AL$1237,HLOOKUP(INDIRECT(ADDRESS(2,COLUMN())),OFFSET($BN$2,0,0,ROW()-1,60),ROW()-1,FALSE))</f>
        <v>18.261919890000001</v>
      </c>
      <c r="AM578">
        <f ca="1">IF(AND(ISNUMBER($AM$1237),$B$677=1),$AM$1237,HLOOKUP(INDIRECT(ADDRESS(2,COLUMN())),OFFSET($BN$2,0,0,ROW()-1,60),ROW()-1,FALSE))</f>
        <v>14.75082098</v>
      </c>
      <c r="AN578">
        <f ca="1">IF(AND(ISNUMBER($AN$1237),$B$677=1),$AN$1237,HLOOKUP(INDIRECT(ADDRESS(2,COLUMN())),OFFSET($BN$2,0,0,ROW()-1,60),ROW()-1,FALSE))</f>
        <v>14.216259429999999</v>
      </c>
      <c r="AO578">
        <f ca="1">IF(AND(ISNUMBER($AO$1237),$B$677=1),$AO$1237,HLOOKUP(INDIRECT(ADDRESS(2,COLUMN())),OFFSET($BN$2,0,0,ROW()-1,60),ROW()-1,FALSE))</f>
        <v>11.36581661</v>
      </c>
      <c r="AP578">
        <f ca="1">IF(AND(ISNUMBER($AP$1237),$B$677=1),$AP$1237,HLOOKUP(INDIRECT(ADDRESS(2,COLUMN())),OFFSET($BN$2,0,0,ROW()-1,60),ROW()-1,FALSE))</f>
        <v>8.2905629459999997</v>
      </c>
      <c r="AQ578">
        <f ca="1">IF(AND(ISNUMBER($AQ$1237),$B$677=1),$AQ$1237,HLOOKUP(INDIRECT(ADDRESS(2,COLUMN())),OFFSET($BN$2,0,0,ROW()-1,60),ROW()-1,FALSE))</f>
        <v>6.0201603950000004</v>
      </c>
      <c r="AR578">
        <f ca="1">IF(AND(ISNUMBER($AR$1237),$B$677=1),$AR$1237,HLOOKUP(INDIRECT(ADDRESS(2,COLUMN())),OFFSET($BN$2,0,0,ROW()-1,60),ROW()-1,FALSE))</f>
        <v>7.2745140250000002</v>
      </c>
      <c r="AS578">
        <f ca="1">IF(AND(ISNUMBER($AS$1237),$B$677=1),$AS$1237,HLOOKUP(INDIRECT(ADDRESS(2,COLUMN())),OFFSET($BN$2,0,0,ROW()-1,60),ROW()-1,FALSE))</f>
        <v>4.6576289170000003</v>
      </c>
      <c r="AT578">
        <f ca="1">IF(AND(ISNUMBER($AT$1237),$B$677=1),$AT$1237,HLOOKUP(INDIRECT(ADDRESS(2,COLUMN())),OFFSET($BN$2,0,0,ROW()-1,60),ROW()-1,FALSE))</f>
        <v>6.2108768029999997</v>
      </c>
      <c r="AU578">
        <f ca="1">IF(AND(ISNUMBER($AU$1237),$B$677=1),$AU$1237,HLOOKUP(INDIRECT(ADDRESS(2,COLUMN())),OFFSET($BN$2,0,0,ROW()-1,60),ROW()-1,FALSE))</f>
        <v>6.7168706189999998</v>
      </c>
      <c r="AV578">
        <f ca="1">IF(AND(ISNUMBER($AV$1237),$B$677=1),$AV$1237,HLOOKUP(INDIRECT(ADDRESS(2,COLUMN())),OFFSET($BN$2,0,0,ROW()-1,60),ROW()-1,FALSE))</f>
        <v>6.4645078539999998</v>
      </c>
      <c r="AW578">
        <f ca="1">IF(AND(ISNUMBER($AW$1237),$B$677=1),$AW$1237,HLOOKUP(INDIRECT(ADDRESS(2,COLUMN())),OFFSET($BN$2,0,0,ROW()-1,60),ROW()-1,FALSE))</f>
        <v>9.8344177429999995</v>
      </c>
      <c r="AX578">
        <f ca="1">IF(AND(ISNUMBER($AX$1237),$B$677=1),$AX$1237,HLOOKUP(INDIRECT(ADDRESS(2,COLUMN())),OFFSET($BN$2,0,0,ROW()-1,60),ROW()-1,FALSE))</f>
        <v>9.2666238389999993</v>
      </c>
      <c r="AY578">
        <f ca="1">IF(AND(ISNUMBER($AY$1237),$B$677=1),$AY$1237,HLOOKUP(INDIRECT(ADDRESS(2,COLUMN())),OFFSET($BN$2,0,0,ROW()-1,60),ROW()-1,FALSE))</f>
        <v>10.56724902</v>
      </c>
      <c r="AZ578">
        <f ca="1">IF(AND(ISNUMBER($AZ$1237),$B$677=1),$AZ$1237,HLOOKUP(INDIRECT(ADDRESS(2,COLUMN())),OFFSET($BN$2,0,0,ROW()-1,60),ROW()-1,FALSE))</f>
        <v>9.1105922800000005</v>
      </c>
      <c r="BA578">
        <f ca="1">IF(AND(ISNUMBER($BA$1237),$B$677=1),$BA$1237,HLOOKUP(INDIRECT(ADDRESS(2,COLUMN())),OFFSET($BN$2,0,0,ROW()-1,60),ROW()-1,FALSE))</f>
        <v>11.38580415</v>
      </c>
      <c r="BB578">
        <f ca="1">IF(AND(ISNUMBER($BB$1237),$B$677=1),$BB$1237,HLOOKUP(INDIRECT(ADDRESS(2,COLUMN())),OFFSET($BN$2,0,0,ROW()-1,60),ROW()-1,FALSE))</f>
        <v>11.793439149999999</v>
      </c>
      <c r="BC578">
        <f ca="1">IF(AND(ISNUMBER($BC$1237),$B$677=1),$BC$1237,HLOOKUP(INDIRECT(ADDRESS(2,COLUMN())),OFFSET($BN$2,0,0,ROW()-1,60),ROW()-1,FALSE))</f>
        <v>14.435924610000001</v>
      </c>
      <c r="BD578">
        <f ca="1">IF(AND(ISNUMBER($BD$1237),$B$677=1),$BD$1237,HLOOKUP(INDIRECT(ADDRESS(2,COLUMN())),OFFSET($BN$2,0,0,ROW()-1,60),ROW()-1,FALSE))</f>
        <v>16.694993570000001</v>
      </c>
      <c r="BE578">
        <f ca="1">IF(AND(ISNUMBER($BE$1237),$B$677=1),$BE$1237,HLOOKUP(INDIRECT(ADDRESS(2,COLUMN())),OFFSET($BN$2,0,0,ROW()-1,60),ROW()-1,FALSE))</f>
        <v>18.215204140000001</v>
      </c>
      <c r="BF578">
        <f ca="1">IF(AND(ISNUMBER($BF$1237),$B$677=1),$BF$1237,HLOOKUP(INDIRECT(ADDRESS(2,COLUMN())),OFFSET($BN$2,0,0,ROW()-1,60),ROW()-1,FALSE))</f>
        <v>12.86664802</v>
      </c>
      <c r="BG578">
        <f ca="1">IF(AND(ISNUMBER($BG$1237),$B$677=1),$BG$1237,HLOOKUP(INDIRECT(ADDRESS(2,COLUMN())),OFFSET($BN$2,0,0,ROW()-1,60),ROW()-1,FALSE))</f>
        <v>16.301361499999999</v>
      </c>
      <c r="BH578">
        <f ca="1">IF(AND(ISNUMBER($BH$1237),$B$677=1),$BH$1237,HLOOKUP(INDIRECT(ADDRESS(2,COLUMN())),OFFSET($BN$2,0,0,ROW()-1,60),ROW()-1,FALSE))</f>
        <v>12.45242197</v>
      </c>
      <c r="BI578">
        <f ca="1">IF(AND(ISNUMBER($BI$1237),$B$677=1),$BI$1237,HLOOKUP(INDIRECT(ADDRESS(2,COLUMN())),OFFSET($BN$2,0,0,ROW()-1,60),ROW()-1,FALSE))</f>
        <v>16.039305550000002</v>
      </c>
      <c r="BJ578">
        <f ca="1">IF(AND(ISNUMBER($BJ$1237),$B$677=1),$BJ$1237,HLOOKUP(INDIRECT(ADDRESS(2,COLUMN())),OFFSET($BN$2,0,0,ROW()-1,60),ROW()-1,FALSE))</f>
        <v>14.004601129999999</v>
      </c>
      <c r="BK578">
        <f ca="1">IF(AND(ISNUMBER($BK$1237),$B$677=1),$BK$1237,HLOOKUP(INDIRECT(ADDRESS(2,COLUMN())),OFFSET($BN$2,0,0,ROW()-1,60),ROW()-1,FALSE))</f>
        <v>14.312801909999999</v>
      </c>
      <c r="BL578">
        <f ca="1">IF(AND(ISNUMBER($BL$1237),$B$677=1),$BL$1237,HLOOKUP(INDIRECT(ADDRESS(2,COLUMN())),OFFSET($BN$2,0,0,ROW()-1,60),ROW()-1,FALSE))</f>
        <v>10.880199169999999</v>
      </c>
      <c r="BM578">
        <f ca="1">IF(AND(ISNUMBER($BM$1237),$B$677=1),$BM$1237,HLOOKUP(INDIRECT(ADDRESS(2,COLUMN())),OFFSET($BN$2,0,0,ROW()-1,60),ROW()-1,FALSE))</f>
        <v>10.594786709999999</v>
      </c>
      <c r="BN578" t="str">
        <f>""</f>
        <v/>
      </c>
      <c r="BO578">
        <f>20.44737698</f>
        <v>20.447376980000001</v>
      </c>
      <c r="BP578">
        <f>18.77652635</f>
        <v>18.776526350000001</v>
      </c>
      <c r="BQ578">
        <f>18.41448316</f>
        <v>18.41448316</v>
      </c>
      <c r="BR578">
        <f>16.73135456</f>
        <v>16.73135456</v>
      </c>
      <c r="BS578">
        <f>16.34058535</f>
        <v>16.340585350000001</v>
      </c>
      <c r="BT578">
        <f>12.68885806</f>
        <v>12.688858059999999</v>
      </c>
      <c r="BU578">
        <f>15.64812457</f>
        <v>15.64812457</v>
      </c>
      <c r="BV578">
        <f>11.47252268</f>
        <v>11.472522680000001</v>
      </c>
      <c r="BW578">
        <f>10.36127515</f>
        <v>10.361275150000001</v>
      </c>
      <c r="BX578">
        <f>1.919714847</f>
        <v>1.9197148470000001</v>
      </c>
      <c r="BY578">
        <f>-9.07002013</f>
        <v>-9.0700201299999996</v>
      </c>
      <c r="BZ578">
        <f>-6.194315514</f>
        <v>-6.1943155140000004</v>
      </c>
      <c r="CA578">
        <f>-5.704465777</f>
        <v>-5.7044657770000002</v>
      </c>
      <c r="CB578">
        <f>12.37174273</f>
        <v>12.371742729999999</v>
      </c>
      <c r="CC578">
        <f>12.81427581</f>
        <v>12.81427581</v>
      </c>
      <c r="CD578">
        <f>11.04037278</f>
        <v>11.04037278</v>
      </c>
      <c r="CE578">
        <f>14.20799701</f>
        <v>14.20799701</v>
      </c>
      <c r="CF578">
        <f>15.52851343</f>
        <v>15.52851343</v>
      </c>
      <c r="CG578">
        <f>13.06952479</f>
        <v>13.069524789999999</v>
      </c>
      <c r="CH578">
        <f>13.5639596</f>
        <v>13.5639596</v>
      </c>
      <c r="CI578">
        <f>12.19157351</f>
        <v>12.19157351</v>
      </c>
      <c r="CJ578">
        <f>13.83535308</f>
        <v>13.835353080000001</v>
      </c>
      <c r="CK578">
        <f>15.02690549</f>
        <v>15.026905490000001</v>
      </c>
      <c r="CL578">
        <f>15.4607757</f>
        <v>15.460775699999999</v>
      </c>
      <c r="CM578">
        <f>15.11533029</f>
        <v>15.115330289999999</v>
      </c>
      <c r="CN578">
        <f>18.37784156</f>
        <v>18.37784156</v>
      </c>
      <c r="CO578">
        <f>21.38840516</f>
        <v>21.388405160000001</v>
      </c>
      <c r="CP578">
        <f>20.46043226</f>
        <v>20.460432260000001</v>
      </c>
      <c r="CQ578">
        <f>23.37769914</f>
        <v>23.377699140000001</v>
      </c>
      <c r="CR578">
        <f>25.84720528</f>
        <v>25.847205280000001</v>
      </c>
      <c r="CS578">
        <f>17.54754644</f>
        <v>17.547546440000001</v>
      </c>
      <c r="CT578">
        <f>18.26191989</f>
        <v>18.261919890000001</v>
      </c>
      <c r="CU578">
        <f>14.75082098</f>
        <v>14.75082098</v>
      </c>
      <c r="CV578">
        <f>14.21625943</f>
        <v>14.216259429999999</v>
      </c>
      <c r="CW578">
        <f>11.36581661</f>
        <v>11.36581661</v>
      </c>
      <c r="CX578">
        <f>8.290562946</f>
        <v>8.2905629459999997</v>
      </c>
      <c r="CY578">
        <f>6.020160395</f>
        <v>6.0201603950000004</v>
      </c>
      <c r="CZ578">
        <f>7.274514025</f>
        <v>7.2745140250000002</v>
      </c>
      <c r="DA578">
        <f>4.657628917</f>
        <v>4.6576289170000003</v>
      </c>
      <c r="DB578">
        <f>6.210876803</f>
        <v>6.2108768029999997</v>
      </c>
      <c r="DC578">
        <f>6.716870619</f>
        <v>6.7168706189999998</v>
      </c>
      <c r="DD578">
        <f>6.464507854</f>
        <v>6.4645078539999998</v>
      </c>
      <c r="DE578">
        <f>9.834417743</f>
        <v>9.8344177429999995</v>
      </c>
      <c r="DF578">
        <f>9.266623839</f>
        <v>9.2666238389999993</v>
      </c>
      <c r="DG578">
        <f>10.56724902</f>
        <v>10.56724902</v>
      </c>
      <c r="DH578">
        <f>9.11059228</f>
        <v>9.1105922800000005</v>
      </c>
      <c r="DI578">
        <f>11.38580415</f>
        <v>11.38580415</v>
      </c>
      <c r="DJ578">
        <f>11.79343915</f>
        <v>11.793439149999999</v>
      </c>
      <c r="DK578">
        <f>14.43592461</f>
        <v>14.435924610000001</v>
      </c>
      <c r="DL578">
        <f>16.69499357</f>
        <v>16.694993570000001</v>
      </c>
      <c r="DM578">
        <f>18.21520414</f>
        <v>18.215204140000001</v>
      </c>
      <c r="DN578">
        <f>12.86664802</f>
        <v>12.86664802</v>
      </c>
      <c r="DO578">
        <f>16.3013615</f>
        <v>16.301361499999999</v>
      </c>
      <c r="DP578">
        <f>12.45242197</f>
        <v>12.45242197</v>
      </c>
      <c r="DQ578">
        <f>16.03930555</f>
        <v>16.039305550000002</v>
      </c>
      <c r="DR578">
        <f>14.00460113</f>
        <v>14.004601129999999</v>
      </c>
      <c r="DS578">
        <f>14.31280191</f>
        <v>14.312801909999999</v>
      </c>
      <c r="DT578">
        <f>10.88019917</f>
        <v>10.880199169999999</v>
      </c>
      <c r="DU578">
        <f>10.59478671</f>
        <v>10.594786709999999</v>
      </c>
    </row>
    <row r="579" spans="1:125" x14ac:dyDescent="0.25">
      <c r="A579" t="str">
        <f>"    Yulon Motor Co Ltd"</f>
        <v xml:space="preserve">    Yulon Motor Co Ltd</v>
      </c>
      <c r="B579" t="str">
        <f>"2201 TT Equity"</f>
        <v>2201 TT Equity</v>
      </c>
      <c r="C579" t="str">
        <f t="shared" si="39"/>
        <v>RX076</v>
      </c>
      <c r="D579" t="str">
        <f t="shared" si="40"/>
        <v>EBIT_YIELD</v>
      </c>
      <c r="E579" t="str">
        <f t="shared" si="41"/>
        <v>Dynamic</v>
      </c>
      <c r="F579">
        <f ca="1">IF(AND(ISNUMBER($F$1238),$B$677=1),$F$1238,HLOOKUP(INDIRECT(ADDRESS(2,COLUMN())),OFFSET($BN$2,0,0,ROW()-1,60),ROW()-1,FALSE))</f>
        <v>7.6102377839999997</v>
      </c>
      <c r="G579">
        <f ca="1">IF(AND(ISNUMBER($G$1238),$B$677=1),$G$1238,HLOOKUP(INDIRECT(ADDRESS(2,COLUMN())),OFFSET($BN$2,0,0,ROW()-1,60),ROW()-1,FALSE))</f>
        <v>7.9238464840000002</v>
      </c>
      <c r="H579">
        <f ca="1">IF(AND(ISNUMBER($H$1238),$B$677=1),$H$1238,HLOOKUP(INDIRECT(ADDRESS(2,COLUMN())),OFFSET($BN$2,0,0,ROW()-1,60),ROW()-1,FALSE))</f>
        <v>6.6458067290000002</v>
      </c>
      <c r="I579">
        <f ca="1">IF(AND(ISNUMBER($I$1238),$B$677=1),$I$1238,HLOOKUP(INDIRECT(ADDRESS(2,COLUMN())),OFFSET($BN$2,0,0,ROW()-1,60),ROW()-1,FALSE))</f>
        <v>6.2148487399999999</v>
      </c>
      <c r="J579">
        <f ca="1">IF(AND(ISNUMBER($J$1238),$B$677=1),$J$1238,HLOOKUP(INDIRECT(ADDRESS(2,COLUMN())),OFFSET($BN$2,0,0,ROW()-1,60),ROW()-1,FALSE))</f>
        <v>5.3435762320000002</v>
      </c>
      <c r="K579">
        <f ca="1">IF(AND(ISNUMBER($K$1238),$B$677=1),$K$1238,HLOOKUP(INDIRECT(ADDRESS(2,COLUMN())),OFFSET($BN$2,0,0,ROW()-1,60),ROW()-1,FALSE))</f>
        <v>5.3905772699999996</v>
      </c>
      <c r="L579">
        <f ca="1">IF(AND(ISNUMBER($L$1238),$B$677=1),$L$1238,HLOOKUP(INDIRECT(ADDRESS(2,COLUMN())),OFFSET($BN$2,0,0,ROW()-1,60),ROW()-1,FALSE))</f>
        <v>6.716114696</v>
      </c>
      <c r="M579">
        <f ca="1">IF(AND(ISNUMBER($M$1238),$B$677=1),$M$1238,HLOOKUP(INDIRECT(ADDRESS(2,COLUMN())),OFFSET($BN$2,0,0,ROW()-1,60),ROW()-1,FALSE))</f>
        <v>6.1337144400000003</v>
      </c>
      <c r="N579">
        <f ca="1">IF(AND(ISNUMBER($N$1238),$B$677=1),$N$1238,HLOOKUP(INDIRECT(ADDRESS(2,COLUMN())),OFFSET($BN$2,0,0,ROW()-1,60),ROW()-1,FALSE))</f>
        <v>7.2228904969999999</v>
      </c>
      <c r="O579">
        <f ca="1">IF(AND(ISNUMBER($O$1238),$B$677=1),$O$1238,HLOOKUP(INDIRECT(ADDRESS(2,COLUMN())),OFFSET($BN$2,0,0,ROW()-1,60),ROW()-1,FALSE))</f>
        <v>5.5815981629999998</v>
      </c>
      <c r="P579">
        <f ca="1">IF(AND(ISNUMBER($P$1238),$B$677=1),$P$1238,HLOOKUP(INDIRECT(ADDRESS(2,COLUMN())),OFFSET($BN$2,0,0,ROW()-1,60),ROW()-1,FALSE))</f>
        <v>1.8957530570000001</v>
      </c>
      <c r="Q579">
        <f ca="1">IF(AND(ISNUMBER($Q$1238),$B$677=1),$Q$1238,HLOOKUP(INDIRECT(ADDRESS(2,COLUMN())),OFFSET($BN$2,0,0,ROW()-1,60),ROW()-1,FALSE))</f>
        <v>1.285532879</v>
      </c>
      <c r="R579">
        <f ca="1">IF(AND(ISNUMBER($R$1238),$B$677=1),$R$1238,HLOOKUP(INDIRECT(ADDRESS(2,COLUMN())),OFFSET($BN$2,0,0,ROW()-1,60),ROW()-1,FALSE))</f>
        <v>0.41126647</v>
      </c>
      <c r="S579">
        <f ca="1">IF(AND(ISNUMBER($S$1238),$B$677=1),$S$1238,HLOOKUP(INDIRECT(ADDRESS(2,COLUMN())),OFFSET($BN$2,0,0,ROW()-1,60),ROW()-1,FALSE))</f>
        <v>0.63868515699999995</v>
      </c>
      <c r="T579">
        <f ca="1">IF(AND(ISNUMBER($T$1238),$B$677=1),$T$1238,HLOOKUP(INDIRECT(ADDRESS(2,COLUMN())),OFFSET($BN$2,0,0,ROW()-1,60),ROW()-1,FALSE))</f>
        <v>-0.44764067000000002</v>
      </c>
      <c r="U579">
        <f ca="1">IF(AND(ISNUMBER($U$1238),$B$677=1),$U$1238,HLOOKUP(INDIRECT(ADDRESS(2,COLUMN())),OFFSET($BN$2,0,0,ROW()-1,60),ROW()-1,FALSE))</f>
        <v>1.078025231</v>
      </c>
      <c r="V579">
        <f ca="1">IF(AND(ISNUMBER($V$1238),$B$677=1),$V$1238,HLOOKUP(INDIRECT(ADDRESS(2,COLUMN())),OFFSET($BN$2,0,0,ROW()-1,60),ROW()-1,FALSE))</f>
        <v>0.95301832099999995</v>
      </c>
      <c r="W579">
        <f ca="1">IF(AND(ISNUMBER($W$1238),$B$677=1),$W$1238,HLOOKUP(INDIRECT(ADDRESS(2,COLUMN())),OFFSET($BN$2,0,0,ROW()-1,60),ROW()-1,FALSE))</f>
        <v>0.600362901</v>
      </c>
      <c r="X579">
        <f ca="1">IF(AND(ISNUMBER($X$1238),$B$677=1),$X$1238,HLOOKUP(INDIRECT(ADDRESS(2,COLUMN())),OFFSET($BN$2,0,0,ROW()-1,60),ROW()-1,FALSE))</f>
        <v>1.3838064480000001</v>
      </c>
      <c r="Y579">
        <f ca="1">IF(AND(ISNUMBER($Y$1238),$B$677=1),$Y$1238,HLOOKUP(INDIRECT(ADDRESS(2,COLUMN())),OFFSET($BN$2,0,0,ROW()-1,60),ROW()-1,FALSE))</f>
        <v>-0.62544220399999995</v>
      </c>
      <c r="Z579">
        <f ca="1">IF(AND(ISNUMBER($Z$1238),$B$677=1),$Z$1238,HLOOKUP(INDIRECT(ADDRESS(2,COLUMN())),OFFSET($BN$2,0,0,ROW()-1,60),ROW()-1,FALSE))</f>
        <v>-0.58748402600000005</v>
      </c>
      <c r="AA579">
        <f ca="1">IF(AND(ISNUMBER($AA$1238),$B$677=1),$AA$1238,HLOOKUP(INDIRECT(ADDRESS(2,COLUMN())),OFFSET($BN$2,0,0,ROW()-1,60),ROW()-1,FALSE))</f>
        <v>-0.47341655199999999</v>
      </c>
      <c r="AB579">
        <f ca="1">IF(AND(ISNUMBER($AB$1238),$B$677=1),$AB$1238,HLOOKUP(INDIRECT(ADDRESS(2,COLUMN())),OFFSET($BN$2,0,0,ROW()-1,60),ROW()-1,FALSE))</f>
        <v>2.898293E-2</v>
      </c>
      <c r="AC579">
        <f ca="1">IF(AND(ISNUMBER($AC$1238),$B$677=1),$AC$1238,HLOOKUP(INDIRECT(ADDRESS(2,COLUMN())),OFFSET($BN$2,0,0,ROW()-1,60),ROW()-1,FALSE))</f>
        <v>0.88289652399999996</v>
      </c>
      <c r="AD579">
        <f ca="1">IF(AND(ISNUMBER($AD$1238),$B$677=1),$AD$1238,HLOOKUP(INDIRECT(ADDRESS(2,COLUMN())),OFFSET($BN$2,0,0,ROW()-1,60),ROW()-1,FALSE))</f>
        <v>0.91877719000000002</v>
      </c>
      <c r="AE579">
        <f ca="1">IF(AND(ISNUMBER($AE$1238),$B$677=1),$AE$1238,HLOOKUP(INDIRECT(ADDRESS(2,COLUMN())),OFFSET($BN$2,0,0,ROW()-1,60),ROW()-1,FALSE))</f>
        <v>1.135617009</v>
      </c>
      <c r="AF579">
        <f ca="1">IF(AND(ISNUMBER($AF$1238),$B$677=1),$AF$1238,HLOOKUP(INDIRECT(ADDRESS(2,COLUMN())),OFFSET($BN$2,0,0,ROW()-1,60),ROW()-1,FALSE))</f>
        <v>1.749007797</v>
      </c>
      <c r="AG579">
        <f ca="1">IF(AND(ISNUMBER($AG$1238),$B$677=1),$AG$1238,HLOOKUP(INDIRECT(ADDRESS(2,COLUMN())),OFFSET($BN$2,0,0,ROW()-1,60),ROW()-1,FALSE))</f>
        <v>2.099518132</v>
      </c>
      <c r="AH579">
        <f ca="1">IF(AND(ISNUMBER($AH$1238),$B$677=1),$AH$1238,HLOOKUP(INDIRECT(ADDRESS(2,COLUMN())),OFFSET($BN$2,0,0,ROW()-1,60),ROW()-1,FALSE))</f>
        <v>2.0075493610000001</v>
      </c>
      <c r="AI579">
        <f ca="1">IF(AND(ISNUMBER($AI$1238),$B$677=1),$AI$1238,HLOOKUP(INDIRECT(ADDRESS(2,COLUMN())),OFFSET($BN$2,0,0,ROW()-1,60),ROW()-1,FALSE))</f>
        <v>2.501979274</v>
      </c>
      <c r="AJ579">
        <f ca="1">IF(AND(ISNUMBER($AJ$1238),$B$677=1),$AJ$1238,HLOOKUP(INDIRECT(ADDRESS(2,COLUMN())),OFFSET($BN$2,0,0,ROW()-1,60),ROW()-1,FALSE))</f>
        <v>2.5370667660000001</v>
      </c>
      <c r="AK579">
        <f ca="1">IF(AND(ISNUMBER($AK$1238),$B$677=1),$AK$1238,HLOOKUP(INDIRECT(ADDRESS(2,COLUMN())),OFFSET($BN$2,0,0,ROW()-1,60),ROW()-1,FALSE))</f>
        <v>2.2988834420000002</v>
      </c>
      <c r="AL579">
        <f ca="1">IF(AND(ISNUMBER($AL$1238),$B$677=1),$AL$1238,HLOOKUP(INDIRECT(ADDRESS(2,COLUMN())),OFFSET($BN$2,0,0,ROW()-1,60),ROW()-1,FALSE))</f>
        <v>3.4000923209999998</v>
      </c>
      <c r="AM579">
        <f ca="1">IF(AND(ISNUMBER($AM$1238),$B$677=1),$AM$1238,HLOOKUP(INDIRECT(ADDRESS(2,COLUMN())),OFFSET($BN$2,0,0,ROW()-1,60),ROW()-1,FALSE))</f>
        <v>2.506110504</v>
      </c>
      <c r="AN579">
        <f ca="1">IF(AND(ISNUMBER($AN$1238),$B$677=1),$AN$1238,HLOOKUP(INDIRECT(ADDRESS(2,COLUMN())),OFFSET($BN$2,0,0,ROW()-1,60),ROW()-1,FALSE))</f>
        <v>2.3741966670000001</v>
      </c>
      <c r="AO579">
        <f ca="1">IF(AND(ISNUMBER($AO$1238),$B$677=1),$AO$1238,HLOOKUP(INDIRECT(ADDRESS(2,COLUMN())),OFFSET($BN$2,0,0,ROW()-1,60),ROW()-1,FALSE))</f>
        <v>4.1142072929999998</v>
      </c>
      <c r="AP579">
        <f ca="1">IF(AND(ISNUMBER($AP$1238),$B$677=1),$AP$1238,HLOOKUP(INDIRECT(ADDRESS(2,COLUMN())),OFFSET($BN$2,0,0,ROW()-1,60),ROW()-1,FALSE))</f>
        <v>3.1432654699999998</v>
      </c>
      <c r="AQ579">
        <f ca="1">IF(AND(ISNUMBER($AQ$1238),$B$677=1),$AQ$1238,HLOOKUP(INDIRECT(ADDRESS(2,COLUMN())),OFFSET($BN$2,0,0,ROW()-1,60),ROW()-1,FALSE))</f>
        <v>2.2556235039999999</v>
      </c>
      <c r="AR579">
        <f ca="1">IF(AND(ISNUMBER($AR$1238),$B$677=1),$AR$1238,HLOOKUP(INDIRECT(ADDRESS(2,COLUMN())),OFFSET($BN$2,0,0,ROW()-1,60),ROW()-1,FALSE))</f>
        <v>1.7982017459999999</v>
      </c>
      <c r="AS579">
        <f ca="1">IF(AND(ISNUMBER($AS$1238),$B$677=1),$AS$1238,HLOOKUP(INDIRECT(ADDRESS(2,COLUMN())),OFFSET($BN$2,0,0,ROW()-1,60),ROW()-1,FALSE))</f>
        <v>0.836818167</v>
      </c>
      <c r="AT579">
        <f ca="1">IF(AND(ISNUMBER($AT$1238),$B$677=1),$AT$1238,HLOOKUP(INDIRECT(ADDRESS(2,COLUMN())),OFFSET($BN$2,0,0,ROW()-1,60),ROW()-1,FALSE))</f>
        <v>-0.62447127099999999</v>
      </c>
      <c r="AU579">
        <f ca="1">IF(AND(ISNUMBER($AU$1238),$B$677=1),$AU$1238,HLOOKUP(INDIRECT(ADDRESS(2,COLUMN())),OFFSET($BN$2,0,0,ROW()-1,60),ROW()-1,FALSE))</f>
        <v>-0.76151150199999995</v>
      </c>
      <c r="AV579" t="str">
        <f ca="1">IF(AND(ISNUMBER($AV$1238),$B$677=1),$AV$1238,HLOOKUP(INDIRECT(ADDRESS(2,COLUMN())),OFFSET($BN$2,0,0,ROW()-1,60),ROW()-1,FALSE))</f>
        <v/>
      </c>
      <c r="AW579" t="str">
        <f ca="1">IF(AND(ISNUMBER($AW$1238),$B$677=1),$AW$1238,HLOOKUP(INDIRECT(ADDRESS(2,COLUMN())),OFFSET($BN$2,0,0,ROW()-1,60),ROW()-1,FALSE))</f>
        <v/>
      </c>
      <c r="AX579" t="str">
        <f ca="1">IF(AND(ISNUMBER($AX$1238),$B$677=1),$AX$1238,HLOOKUP(INDIRECT(ADDRESS(2,COLUMN())),OFFSET($BN$2,0,0,ROW()-1,60),ROW()-1,FALSE))</f>
        <v/>
      </c>
      <c r="AY579" t="str">
        <f ca="1">IF(AND(ISNUMBER($AY$1238),$B$677=1),$AY$1238,HLOOKUP(INDIRECT(ADDRESS(2,COLUMN())),OFFSET($BN$2,0,0,ROW()-1,60),ROW()-1,FALSE))</f>
        <v/>
      </c>
      <c r="AZ579" t="str">
        <f ca="1">IF(AND(ISNUMBER($AZ$1238),$B$677=1),$AZ$1238,HLOOKUP(INDIRECT(ADDRESS(2,COLUMN())),OFFSET($BN$2,0,0,ROW()-1,60),ROW()-1,FALSE))</f>
        <v/>
      </c>
      <c r="BA579" t="str">
        <f ca="1">IF(AND(ISNUMBER($BA$1238),$B$677=1),$BA$1238,HLOOKUP(INDIRECT(ADDRESS(2,COLUMN())),OFFSET($BN$2,0,0,ROW()-1,60),ROW()-1,FALSE))</f>
        <v/>
      </c>
      <c r="BB579" t="str">
        <f ca="1">IF(AND(ISNUMBER($BB$1238),$B$677=1),$BB$1238,HLOOKUP(INDIRECT(ADDRESS(2,COLUMN())),OFFSET($BN$2,0,0,ROW()-1,60),ROW()-1,FALSE))</f>
        <v/>
      </c>
      <c r="BC579" t="str">
        <f ca="1">IF(AND(ISNUMBER($BC$1238),$B$677=1),$BC$1238,HLOOKUP(INDIRECT(ADDRESS(2,COLUMN())),OFFSET($BN$2,0,0,ROW()-1,60),ROW()-1,FALSE))</f>
        <v/>
      </c>
      <c r="BD579" t="str">
        <f ca="1">IF(AND(ISNUMBER($BD$1238),$B$677=1),$BD$1238,HLOOKUP(INDIRECT(ADDRESS(2,COLUMN())),OFFSET($BN$2,0,0,ROW()-1,60),ROW()-1,FALSE))</f>
        <v/>
      </c>
      <c r="BE579" t="str">
        <f ca="1">IF(AND(ISNUMBER($BE$1238),$B$677=1),$BE$1238,HLOOKUP(INDIRECT(ADDRESS(2,COLUMN())),OFFSET($BN$2,0,0,ROW()-1,60),ROW()-1,FALSE))</f>
        <v/>
      </c>
      <c r="BF579" t="str">
        <f ca="1">IF(AND(ISNUMBER($BF$1238),$B$677=1),$BF$1238,HLOOKUP(INDIRECT(ADDRESS(2,COLUMN())),OFFSET($BN$2,0,0,ROW()-1,60),ROW()-1,FALSE))</f>
        <v/>
      </c>
      <c r="BG579" t="str">
        <f ca="1">IF(AND(ISNUMBER($BG$1238),$B$677=1),$BG$1238,HLOOKUP(INDIRECT(ADDRESS(2,COLUMN())),OFFSET($BN$2,0,0,ROW()-1,60),ROW()-1,FALSE))</f>
        <v/>
      </c>
      <c r="BH579" t="str">
        <f ca="1">IF(AND(ISNUMBER($BH$1238),$B$677=1),$BH$1238,HLOOKUP(INDIRECT(ADDRESS(2,COLUMN())),OFFSET($BN$2,0,0,ROW()-1,60),ROW()-1,FALSE))</f>
        <v/>
      </c>
      <c r="BI579" t="str">
        <f ca="1">IF(AND(ISNUMBER($BI$1238),$B$677=1),$BI$1238,HLOOKUP(INDIRECT(ADDRESS(2,COLUMN())),OFFSET($BN$2,0,0,ROW()-1,60),ROW()-1,FALSE))</f>
        <v/>
      </c>
      <c r="BJ579" t="str">
        <f ca="1">IF(AND(ISNUMBER($BJ$1238),$B$677=1),$BJ$1238,HLOOKUP(INDIRECT(ADDRESS(2,COLUMN())),OFFSET($BN$2,0,0,ROW()-1,60),ROW()-1,FALSE))</f>
        <v/>
      </c>
      <c r="BK579" t="str">
        <f ca="1">IF(AND(ISNUMBER($BK$1238),$B$677=1),$BK$1238,HLOOKUP(INDIRECT(ADDRESS(2,COLUMN())),OFFSET($BN$2,0,0,ROW()-1,60),ROW()-1,FALSE))</f>
        <v/>
      </c>
      <c r="BL579" t="str">
        <f ca="1">IF(AND(ISNUMBER($BL$1238),$B$677=1),$BL$1238,HLOOKUP(INDIRECT(ADDRESS(2,COLUMN())),OFFSET($BN$2,0,0,ROW()-1,60),ROW()-1,FALSE))</f>
        <v/>
      </c>
      <c r="BM579" t="str">
        <f ca="1">IF(AND(ISNUMBER($BM$1238),$B$677=1),$BM$1238,HLOOKUP(INDIRECT(ADDRESS(2,COLUMN())),OFFSET($BN$2,0,0,ROW()-1,60),ROW()-1,FALSE))</f>
        <v/>
      </c>
      <c r="BN579">
        <f>7.610237784</f>
        <v>7.6102377839999997</v>
      </c>
      <c r="BO579">
        <f>7.923846484</f>
        <v>7.9238464840000002</v>
      </c>
      <c r="BP579">
        <f>6.645806729</f>
        <v>6.6458067290000002</v>
      </c>
      <c r="BQ579">
        <f>6.21484874</f>
        <v>6.2148487399999999</v>
      </c>
      <c r="BR579">
        <f>5.343576232</f>
        <v>5.3435762320000002</v>
      </c>
      <c r="BS579">
        <f>5.39057727</f>
        <v>5.3905772699999996</v>
      </c>
      <c r="BT579">
        <f>6.716114696</f>
        <v>6.716114696</v>
      </c>
      <c r="BU579">
        <f>6.13371444</f>
        <v>6.1337144400000003</v>
      </c>
      <c r="BV579">
        <f>7.222890497</f>
        <v>7.2228904969999999</v>
      </c>
      <c r="BW579">
        <f>5.581598163</f>
        <v>5.5815981629999998</v>
      </c>
      <c r="BX579">
        <f>1.895753057</f>
        <v>1.8957530570000001</v>
      </c>
      <c r="BY579">
        <f>1.285532879</f>
        <v>1.285532879</v>
      </c>
      <c r="BZ579">
        <f>0.41126647</f>
        <v>0.41126647</v>
      </c>
      <c r="CA579">
        <f>0.638685157</f>
        <v>0.63868515699999995</v>
      </c>
      <c r="CB579">
        <f>-0.44764067</f>
        <v>-0.44764067000000002</v>
      </c>
      <c r="CC579">
        <f>1.078025231</f>
        <v>1.078025231</v>
      </c>
      <c r="CD579">
        <f>0.953018321</f>
        <v>0.95301832099999995</v>
      </c>
      <c r="CE579">
        <f>0.600362901</f>
        <v>0.600362901</v>
      </c>
      <c r="CF579">
        <f>1.383806448</f>
        <v>1.3838064480000001</v>
      </c>
      <c r="CG579">
        <f>-0.625442204</f>
        <v>-0.62544220399999995</v>
      </c>
      <c r="CH579">
        <f>-0.587484026</f>
        <v>-0.58748402600000005</v>
      </c>
      <c r="CI579">
        <f>-0.473416552</f>
        <v>-0.47341655199999999</v>
      </c>
      <c r="CJ579">
        <f>0.02898293</f>
        <v>2.898293E-2</v>
      </c>
      <c r="CK579">
        <f>0.882896524</f>
        <v>0.88289652399999996</v>
      </c>
      <c r="CL579">
        <f>0.91877719</f>
        <v>0.91877719000000002</v>
      </c>
      <c r="CM579">
        <f>1.135617009</f>
        <v>1.135617009</v>
      </c>
      <c r="CN579">
        <f>1.749007797</f>
        <v>1.749007797</v>
      </c>
      <c r="CO579">
        <f>2.099518132</f>
        <v>2.099518132</v>
      </c>
      <c r="CP579">
        <f>2.007549361</f>
        <v>2.0075493610000001</v>
      </c>
      <c r="CQ579">
        <f>2.501979274</f>
        <v>2.501979274</v>
      </c>
      <c r="CR579">
        <f>2.537066766</f>
        <v>2.5370667660000001</v>
      </c>
      <c r="CS579">
        <f>2.298883442</f>
        <v>2.2988834420000002</v>
      </c>
      <c r="CT579">
        <f>3.400092321</f>
        <v>3.4000923209999998</v>
      </c>
      <c r="CU579">
        <f>2.506110504</f>
        <v>2.506110504</v>
      </c>
      <c r="CV579">
        <f>2.374196667</f>
        <v>2.3741966670000001</v>
      </c>
      <c r="CW579">
        <f>4.114207293</f>
        <v>4.1142072929999998</v>
      </c>
      <c r="CX579">
        <f>3.14326547</f>
        <v>3.1432654699999998</v>
      </c>
      <c r="CY579">
        <f>2.255623504</f>
        <v>2.2556235039999999</v>
      </c>
      <c r="CZ579">
        <f>1.798201746</f>
        <v>1.7982017459999999</v>
      </c>
      <c r="DA579">
        <f>0.836818167</f>
        <v>0.836818167</v>
      </c>
      <c r="DB579">
        <f>-0.624471271</f>
        <v>-0.62447127099999999</v>
      </c>
      <c r="DC579">
        <f>-0.761511502</f>
        <v>-0.76151150199999995</v>
      </c>
      <c r="DD579" t="str">
        <f>""</f>
        <v/>
      </c>
      <c r="DE579" t="str">
        <f>""</f>
        <v/>
      </c>
      <c r="DF579" t="str">
        <f>""</f>
        <v/>
      </c>
      <c r="DG579" t="str">
        <f>""</f>
        <v/>
      </c>
      <c r="DH579" t="str">
        <f>""</f>
        <v/>
      </c>
      <c r="DI579" t="str">
        <f>""</f>
        <v/>
      </c>
      <c r="DJ579" t="str">
        <f>""</f>
        <v/>
      </c>
      <c r="DK579" t="str">
        <f>""</f>
        <v/>
      </c>
      <c r="DL579" t="str">
        <f>""</f>
        <v/>
      </c>
      <c r="DM579" t="str">
        <f>""</f>
        <v/>
      </c>
      <c r="DN579" t="str">
        <f>""</f>
        <v/>
      </c>
      <c r="DO579" t="str">
        <f>""</f>
        <v/>
      </c>
      <c r="DP579" t="str">
        <f>""</f>
        <v/>
      </c>
      <c r="DQ579" t="str">
        <f>""</f>
        <v/>
      </c>
      <c r="DR579" t="str">
        <f>""</f>
        <v/>
      </c>
      <c r="DS579" t="str">
        <f>""</f>
        <v/>
      </c>
      <c r="DT579" t="str">
        <f>""</f>
        <v/>
      </c>
      <c r="DU579" t="str">
        <f>""</f>
        <v/>
      </c>
    </row>
    <row r="580" spans="1:125" x14ac:dyDescent="0.25">
      <c r="A580" t="str">
        <f>"Free Cash Flow Yield"</f>
        <v>Free Cash Flow Yield</v>
      </c>
      <c r="B580" t="str">
        <f>""</f>
        <v/>
      </c>
      <c r="E580" t="str">
        <f>"Average"</f>
        <v>Average</v>
      </c>
      <c r="F580">
        <f ca="1">IF(ISERROR(IF(AVERAGE($F$581:$F$620) = 0, "", AVERAGE($F$581:$F$620))), "", (IF(AVERAGE($F$581:$F$620) = 0, "", AVERAGE($F$581:$F$620))))</f>
        <v>-2.0109039015454542</v>
      </c>
      <c r="G580">
        <f ca="1">IF(ISERROR(IF(AVERAGE($G$581:$G$620) = 0, "", AVERAGE($G$581:$G$620))), "", (IF(AVERAGE($G$581:$G$620) = 0, "", AVERAGE($G$581:$G$620))))</f>
        <v>2.1691519128148138</v>
      </c>
      <c r="H580">
        <f ca="1">IF(ISERROR(IF(AVERAGE($H$581:$H$620) = 0, "", AVERAGE($H$581:$H$620))), "", (IF(AVERAGE($H$581:$H$620) = 0, "", AVERAGE($H$581:$H$620))))</f>
        <v>1.3347840622222222</v>
      </c>
      <c r="I580">
        <f ca="1">IF(ISERROR(IF(AVERAGE($I$581:$I$620) = 0, "", AVERAGE($I$581:$I$620))), "", (IF(AVERAGE($I$581:$I$620) = 0, "", AVERAGE($I$581:$I$620))))</f>
        <v>0.54717368439285807</v>
      </c>
      <c r="J580">
        <f ca="1">IF(ISERROR(IF(AVERAGE($J$581:$J$620) = 0, "", AVERAGE($J$581:$J$620))), "", (IF(AVERAGE($J$581:$J$620) = 0, "", AVERAGE($J$581:$J$620))))</f>
        <v>1.4828924640357133</v>
      </c>
      <c r="K580">
        <f ca="1">IF(ISERROR(IF(AVERAGE($K$581:$K$620) = 0, "", AVERAGE($K$581:$K$620))), "", (IF(AVERAGE($K$581:$K$620) = 0, "", AVERAGE($K$581:$K$620))))</f>
        <v>1.808039036821427</v>
      </c>
      <c r="L580">
        <f ca="1">IF(ISERROR(IF(AVERAGE($L$581:$L$620) = 0, "", AVERAGE($L$581:$L$620))), "", (IF(AVERAGE($L$581:$L$620) = 0, "", AVERAGE($L$581:$L$620))))</f>
        <v>1.2711417435714283</v>
      </c>
      <c r="M580">
        <f ca="1">IF(ISERROR(IF(AVERAGE($M$581:$M$620) = 0, "", AVERAGE($M$581:$M$620))), "", (IF(AVERAGE($M$581:$M$620) = 0, "", AVERAGE($M$581:$M$620))))</f>
        <v>1.6938412516071426</v>
      </c>
      <c r="N580">
        <f ca="1">IF(ISERROR(IF(AVERAGE($N$581:$N$620) = 0, "", AVERAGE($N$581:$N$620))), "", (IF(AVERAGE($N$581:$N$620) = 0, "", AVERAGE($N$581:$N$620))))</f>
        <v>4.7719194764642863</v>
      </c>
      <c r="O580">
        <f ca="1">IF(ISERROR(IF(AVERAGE($O$581:$O$620) = 0, "", AVERAGE($O$581:$O$620))), "", (IF(AVERAGE($O$581:$O$620) = 0, "", AVERAGE($O$581:$O$620))))</f>
        <v>1.3544176969642856</v>
      </c>
      <c r="P580">
        <f ca="1">IF(ISERROR(IF(AVERAGE($P$581:$P$620) = 0, "", AVERAGE($P$581:$P$620))), "", (IF(AVERAGE($P$581:$P$620) = 0, "", AVERAGE($P$581:$P$620))))</f>
        <v>5.085761400814814</v>
      </c>
      <c r="Q580">
        <f ca="1">IF(ISERROR(IF(AVERAGE($Q$581:$Q$620) = 0, "", AVERAGE($Q$581:$Q$620))), "", (IF(AVERAGE($Q$581:$Q$620) = 0, "", AVERAGE($Q$581:$Q$620))))</f>
        <v>6.4101064316666676</v>
      </c>
      <c r="R580">
        <f ca="1">IF(ISERROR(IF(AVERAGE($R$581:$R$620) = 0, "", AVERAGE($R$581:$R$620))), "", (IF(AVERAGE($R$581:$R$620) = 0, "", AVERAGE($R$581:$R$620))))</f>
        <v>0.45318272837037066</v>
      </c>
      <c r="S580">
        <f ca="1">IF(ISERROR(IF(AVERAGE($S$581:$S$620) = 0, "", AVERAGE($S$581:$S$620))), "", (IF(AVERAGE($S$581:$S$620) = 0, "", AVERAGE($S$581:$S$620))))</f>
        <v>-0.63196919042857203</v>
      </c>
      <c r="T580">
        <f ca="1">IF(ISERROR(IF(AVERAGE($T$581:$T$620) = 0, "", AVERAGE($T$581:$T$620))), "", (IF(AVERAGE($T$581:$T$620) = 0, "", AVERAGE($T$581:$T$620))))</f>
        <v>-2.5135154618571436</v>
      </c>
      <c r="U580">
        <f ca="1">IF(ISERROR(IF(AVERAGE($U$581:$U$620) = 0, "", AVERAGE($U$581:$U$620))), "", (IF(AVERAGE($U$581:$U$620) = 0, "", AVERAGE($U$581:$U$620))))</f>
        <v>-3.1345829308214292</v>
      </c>
      <c r="V580">
        <f ca="1">IF(ISERROR(IF(AVERAGE($V$581:$V$620) = 0, "", AVERAGE($V$581:$V$620))), "", (IF(AVERAGE($V$581:$V$620) = 0, "", AVERAGE($V$581:$V$620))))</f>
        <v>-1.3044528186785715</v>
      </c>
      <c r="W580">
        <f ca="1">IF(ISERROR(IF(AVERAGE($W$581:$W$620) = 0, "", AVERAGE($W$581:$W$620))), "", (IF(AVERAGE($W$581:$W$620) = 0, "", AVERAGE($W$581:$W$620))))</f>
        <v>7.9985242571428986E-2</v>
      </c>
      <c r="X580">
        <f ca="1">IF(ISERROR(IF(AVERAGE($X$581:$X$620) = 0, "", AVERAGE($X$581:$X$620))), "", (IF(AVERAGE($X$581:$X$620) = 0, "", AVERAGE($X$581:$X$620))))</f>
        <v>-1.1839809488148147</v>
      </c>
      <c r="Y580">
        <f ca="1">IF(ISERROR(IF(AVERAGE($Y$581:$Y$620) = 0, "", AVERAGE($Y$581:$Y$620))), "", (IF(AVERAGE($Y$581:$Y$620) = 0, "", AVERAGE($Y$581:$Y$620))))</f>
        <v>-1.1862006695185185</v>
      </c>
      <c r="Z580">
        <f ca="1">IF(ISERROR(IF(AVERAGE($Z$581:$Z$620) = 0, "", AVERAGE($Z$581:$Z$620))), "", (IF(AVERAGE($Z$581:$Z$620) = 0, "", AVERAGE($Z$581:$Z$620))))</f>
        <v>-0.12006541159259256</v>
      </c>
      <c r="AA580">
        <f ca="1">IF(ISERROR(IF(AVERAGE($AA$581:$AA$620) = 0, "", AVERAGE($AA$581:$AA$620))), "", (IF(AVERAGE($AA$581:$AA$620) = 0, "", AVERAGE($AA$581:$AA$620))))</f>
        <v>3.4635746160740744</v>
      </c>
      <c r="AB580">
        <f ca="1">IF(ISERROR(IF(AVERAGE($AB$581:$AB$620) = 0, "", AVERAGE($AB$581:$AB$620))), "", (IF(AVERAGE($AB$581:$AB$620) = 0, "", AVERAGE($AB$581:$AB$620))))</f>
        <v>4.7563444754814803</v>
      </c>
      <c r="AC580">
        <f ca="1">IF(ISERROR(IF(AVERAGE($AC$581:$AC$620) = 0, "", AVERAGE($AC$581:$AC$620))), "", (IF(AVERAGE($AC$581:$AC$620) = 0, "", AVERAGE($AC$581:$AC$620))))</f>
        <v>4.6745435075555557</v>
      </c>
      <c r="AD580">
        <f ca="1">IF(ISERROR(IF(AVERAGE($AD$581:$AD$620) = 0, "", AVERAGE($AD$581:$AD$620))), "", (IF(AVERAGE($AD$581:$AD$620) = 0, "", AVERAGE($AD$581:$AD$620))))</f>
        <v>1.3872948617777776</v>
      </c>
      <c r="AE580">
        <f ca="1">IF(ISERROR(IF(AVERAGE($AE$581:$AE$620) = 0, "", AVERAGE($AE$581:$AE$620))), "", (IF(AVERAGE($AE$581:$AE$620) = 0, "", AVERAGE($AE$581:$AE$620))))</f>
        <v>-0.78274509651851876</v>
      </c>
      <c r="AF580">
        <f ca="1">IF(ISERROR(IF(AVERAGE($AF$581:$AF$620) = 0, "", AVERAGE($AF$581:$AF$620))), "", (IF(AVERAGE($AF$581:$AF$620) = 0, "", AVERAGE($AF$581:$AF$620))))</f>
        <v>-1.8133733339199987</v>
      </c>
      <c r="AG580">
        <f ca="1">IF(ISERROR(IF(AVERAGE($AG$581:$AG$620) = 0, "", AVERAGE($AG$581:$AG$620))), "", (IF(AVERAGE($AG$581:$AG$620) = 0, "", AVERAGE($AG$581:$AG$620))))</f>
        <v>-3.1231874597999991</v>
      </c>
      <c r="AH580">
        <f ca="1">IF(ISERROR(IF(AVERAGE($AH$581:$AH$620) = 0, "", AVERAGE($AH$581:$AH$620))), "", (IF(AVERAGE($AH$581:$AH$620) = 0, "", AVERAGE($AH$581:$AH$620))))</f>
        <v>-1.9366042794583329</v>
      </c>
      <c r="AI580">
        <f ca="1">IF(ISERROR(IF(AVERAGE($AI$581:$AI$620) = 0, "", AVERAGE($AI$581:$AI$620))), "", (IF(AVERAGE($AI$581:$AI$620) = 0, "", AVERAGE($AI$581:$AI$620))))</f>
        <v>-1.3516247209166661</v>
      </c>
      <c r="AJ580">
        <f ca="1">IF(ISERROR(IF(AVERAGE($AJ$581:$AJ$620) = 0, "", AVERAGE($AJ$581:$AJ$620))), "", (IF(AVERAGE($AJ$581:$AJ$620) = 0, "", AVERAGE($AJ$581:$AJ$620))))</f>
        <v>-5.4184276594166674</v>
      </c>
      <c r="AK580">
        <f ca="1">IF(ISERROR(IF(AVERAGE($AK$581:$AK$620) = 0, "", AVERAGE($AK$581:$AK$620))), "", (IF(AVERAGE($AK$581:$AK$620) = 0, "", AVERAGE($AK$581:$AK$620))))</f>
        <v>1.3146691157307691</v>
      </c>
      <c r="AL580">
        <f ca="1">IF(ISERROR(IF(AVERAGE($AL$581:$AL$620) = 0, "", AVERAGE($AL$581:$AL$620))), "", (IF(AVERAGE($AL$581:$AL$620) = 0, "", AVERAGE($AL$581:$AL$620))))</f>
        <v>4.0669167071923082</v>
      </c>
      <c r="AM580">
        <f ca="1">IF(ISERROR(IF(AVERAGE($AM$581:$AM$620) = 0, "", AVERAGE($AM$581:$AM$620))), "", (IF(AVERAGE($AM$581:$AM$620) = 0, "", AVERAGE($AM$581:$AM$620))))</f>
        <v>3.7845276220384609</v>
      </c>
      <c r="AN580">
        <f ca="1">IF(ISERROR(IF(AVERAGE($AN$581:$AN$620) = 0, "", AVERAGE($AN$581:$AN$620))), "", (IF(AVERAGE($AN$581:$AN$620) = 0, "", AVERAGE($AN$581:$AN$620))))</f>
        <v>8.6244470221739125</v>
      </c>
      <c r="AO580">
        <f ca="1">IF(ISERROR(IF(AVERAGE($AO$581:$AO$620) = 0, "", AVERAGE($AO$581:$AO$620))), "", (IF(AVERAGE($AO$581:$AO$620) = 0, "", AVERAGE($AO$581:$AO$620))))</f>
        <v>21.193373531714286</v>
      </c>
      <c r="AP580">
        <f ca="1">IF(ISERROR(IF(AVERAGE($AP$581:$AP$620) = 0, "", AVERAGE($AP$581:$AP$620))), "", (IF(AVERAGE($AP$581:$AP$620) = 0, "", AVERAGE($AP$581:$AP$620))))</f>
        <v>21.273201341619053</v>
      </c>
      <c r="AQ580">
        <f ca="1">IF(ISERROR(IF(AVERAGE($AQ$581:$AQ$620) = 0, "", AVERAGE($AQ$581:$AQ$620))), "", (IF(AVERAGE($AQ$581:$AQ$620) = 0, "", AVERAGE($AQ$581:$AQ$620))))</f>
        <v>10.871671088190476</v>
      </c>
      <c r="AR580">
        <f ca="1">IF(ISERROR(IF(AVERAGE($AR$581:$AR$620) = 0, "", AVERAGE($AR$581:$AR$620))), "", (IF(AVERAGE($AR$581:$AR$620) = 0, "", AVERAGE($AR$581:$AR$620))))</f>
        <v>-3.1045725241904769</v>
      </c>
      <c r="AS580">
        <f ca="1">IF(ISERROR(IF(AVERAGE($AS$581:$AS$620) = 0, "", AVERAGE($AS$581:$AS$620))), "", (IF(AVERAGE($AS$581:$AS$620) = 0, "", AVERAGE($AS$581:$AS$620))))</f>
        <v>-8.1986233699523794</v>
      </c>
      <c r="AT580">
        <f ca="1">IF(ISERROR(IF(AVERAGE($AT$581:$AT$620) = 0, "", AVERAGE($AT$581:$AT$620))), "", (IF(AVERAGE($AT$581:$AT$620) = 0, "", AVERAGE($AT$581:$AT$620))))</f>
        <v>-23.673450330380948</v>
      </c>
      <c r="AU580">
        <f ca="1">IF(ISERROR(IF(AVERAGE($AU$581:$AU$620) = 0, "", AVERAGE($AU$581:$AU$620))), "", (IF(AVERAGE($AU$581:$AU$620) = 0, "", AVERAGE($AU$581:$AU$620))))</f>
        <v>-15.725374646937501</v>
      </c>
      <c r="AV580">
        <f ca="1">IF(ISERROR(IF(AVERAGE($AV$581:$AV$620) = 0, "", AVERAGE($AV$581:$AV$620))), "", (IF(AVERAGE($AV$581:$AV$620) = 0, "", AVERAGE($AV$581:$AV$620))))</f>
        <v>8.6481425677142845</v>
      </c>
      <c r="AW580">
        <f ca="1">IF(ISERROR(IF(AVERAGE($AW$581:$AW$620) = 0, "", AVERAGE($AW$581:$AW$620))), "", (IF(AVERAGE($AW$581:$AW$620) = 0, "", AVERAGE($AW$581:$AW$620))))</f>
        <v>8.2465674176428561</v>
      </c>
      <c r="AX580">
        <f ca="1">IF(ISERROR(IF(AVERAGE($AX$581:$AX$620) = 0, "", AVERAGE($AX$581:$AX$620))), "", (IF(AVERAGE($AX$581:$AX$620) = 0, "", AVERAGE($AX$581:$AX$620))))</f>
        <v>12.509747469785713</v>
      </c>
      <c r="AY580">
        <f ca="1">IF(ISERROR(IF(AVERAGE($AY$581:$AY$620) = 0, "", AVERAGE($AY$581:$AY$620))), "", (IF(AVERAGE($AY$581:$AY$620) = 0, "", AVERAGE($AY$581:$AY$620))))</f>
        <v>10.819299958928571</v>
      </c>
      <c r="AZ580">
        <f ca="1">IF(ISERROR(IF(AVERAGE($AZ$581:$AZ$620) = 0, "", AVERAGE($AZ$581:$AZ$620))), "", (IF(AVERAGE($AZ$581:$AZ$620) = 0, "", AVERAGE($AZ$581:$AZ$620))))</f>
        <v>4.6390728260714287</v>
      </c>
      <c r="BA580">
        <f ca="1">IF(ISERROR(IF(AVERAGE($BA$581:$BA$620) = 0, "", AVERAGE($BA$581:$BA$620))), "", (IF(AVERAGE($BA$581:$BA$620) = 0, "", AVERAGE($BA$581:$BA$620))))</f>
        <v>4.4750319187142864</v>
      </c>
      <c r="BB580">
        <f ca="1">IF(ISERROR(IF(AVERAGE($BB$581:$BB$620) = 0, "", AVERAGE($BB$581:$BB$620))), "", (IF(AVERAGE($BB$581:$BB$620) = 0, "", AVERAGE($BB$581:$BB$620))))</f>
        <v>4.3138337767142856</v>
      </c>
      <c r="BC580">
        <f ca="1">IF(ISERROR(IF(AVERAGE($BC$581:$BC$620) = 0, "", AVERAGE($BC$581:$BC$620))), "", (IF(AVERAGE($BC$581:$BC$620) = 0, "", AVERAGE($BC$581:$BC$620))))</f>
        <v>4.6611440891428577</v>
      </c>
      <c r="BD580">
        <f ca="1">IF(ISERROR(IF(AVERAGE($BD$581:$BD$620) = 0, "", AVERAGE($BD$581:$BD$620))), "", (IF(AVERAGE($BD$581:$BD$620) = 0, "", AVERAGE($BD$581:$BD$620))))</f>
        <v>6.6592304756428566</v>
      </c>
      <c r="BE580">
        <f ca="1">IF(ISERROR(IF(AVERAGE($BE$581:$BE$620) = 0, "", AVERAGE($BE$581:$BE$620))), "", (IF(AVERAGE($BE$581:$BE$620) = 0, "", AVERAGE($BE$581:$BE$620))))</f>
        <v>8.4211853029999997</v>
      </c>
      <c r="BF580">
        <f ca="1">IF(ISERROR(IF(AVERAGE($BF$581:$BF$620) = 0, "", AVERAGE($BF$581:$BF$620))), "", (IF(AVERAGE($BF$581:$BF$620) = 0, "", AVERAGE($BF$581:$BF$620))))</f>
        <v>5.6979439827857146</v>
      </c>
      <c r="BG580">
        <f ca="1">IF(ISERROR(IF(AVERAGE($BG$581:$BG$620) = 0, "", AVERAGE($BG$581:$BG$620))), "", (IF(AVERAGE($BG$581:$BG$620) = 0, "", AVERAGE($BG$581:$BG$620))))</f>
        <v>9.8723638999999999</v>
      </c>
      <c r="BH580">
        <f ca="1">IF(ISERROR(IF(AVERAGE($BH$581:$BH$620) = 0, "", AVERAGE($BH$581:$BH$620))), "", (IF(AVERAGE($BH$581:$BH$620) = 0, "", AVERAGE($BH$581:$BH$620))))</f>
        <v>9.7044516730999995</v>
      </c>
      <c r="BI580">
        <f ca="1">IF(ISERROR(IF(AVERAGE($BI$581:$BI$620) = 0, "", AVERAGE($BI$581:$BI$620))), "", (IF(AVERAGE($BI$581:$BI$620) = 0, "", AVERAGE($BI$581:$BI$620))))</f>
        <v>11.027852760666667</v>
      </c>
      <c r="BJ580">
        <f ca="1">IF(ISERROR(IF(AVERAGE($BJ$581:$BJ$620) = 0, "", AVERAGE($BJ$581:$BJ$620))), "", (IF(AVERAGE($BJ$581:$BJ$620) = 0, "", AVERAGE($BJ$581:$BJ$620))))</f>
        <v>9.8910207213333319</v>
      </c>
      <c r="BK580">
        <f ca="1">IF(ISERROR(IF(AVERAGE($BK$581:$BK$620) = 0, "", AVERAGE($BK$581:$BK$620))), "", (IF(AVERAGE($BK$581:$BK$620) = 0, "", AVERAGE($BK$581:$BK$620))))</f>
        <v>3.9116569704999984</v>
      </c>
      <c r="BL580">
        <f ca="1">IF(ISERROR(IF(AVERAGE($BL$581:$BL$620) = 0, "", AVERAGE($BL$581:$BL$620))), "", (IF(AVERAGE($BL$581:$BL$620) = 0, "", AVERAGE($BL$581:$BL$620))))</f>
        <v>0.67659788342857097</v>
      </c>
      <c r="BM580">
        <f ca="1">IF(ISERROR(IF(AVERAGE($BM$581:$BM$620) = 0, "", AVERAGE($BM$581:$BM$620))), "", (IF(AVERAGE($BM$581:$BM$620) = 0, "", AVERAGE($BM$581:$BM$620))))</f>
        <v>4.724710223142857</v>
      </c>
      <c r="BN580">
        <f>-2.0109039</f>
        <v>-2.0109039000000002</v>
      </c>
      <c r="BO580">
        <f>2.169151912</f>
        <v>2.1691519119999998</v>
      </c>
      <c r="BP580">
        <f>1.334784061</f>
        <v>1.3347840609999999</v>
      </c>
      <c r="BQ580">
        <f>0.547173684</f>
        <v>0.54717368399999999</v>
      </c>
      <c r="BR580">
        <f>1.482892464</f>
        <v>1.4828924640000001</v>
      </c>
      <c r="BS580">
        <f>1.808039037</f>
        <v>1.8080390369999999</v>
      </c>
      <c r="BT580">
        <f>1.271141744</f>
        <v>1.2711417439999999</v>
      </c>
      <c r="BU580">
        <f>1.693841252</f>
        <v>1.6938412519999999</v>
      </c>
      <c r="BV580">
        <f>4.771919477</f>
        <v>4.771919477</v>
      </c>
      <c r="BW580">
        <f>1.354417696</f>
        <v>1.3544176960000001</v>
      </c>
      <c r="BX580">
        <f>5.085761401</f>
        <v>5.0857614010000001</v>
      </c>
      <c r="BY580">
        <f>6.410106431</f>
        <v>6.410106431</v>
      </c>
      <c r="BZ580">
        <f>0.453182729</f>
        <v>0.45318272900000001</v>
      </c>
      <c r="CA580">
        <f>-0.631969191</f>
        <v>-0.63196919100000004</v>
      </c>
      <c r="CB580">
        <f>-2.513515462</f>
        <v>-2.513515462</v>
      </c>
      <c r="CC580">
        <f>-3.134582931</f>
        <v>-3.1345829310000002</v>
      </c>
      <c r="CD580">
        <f>-1.304452819</f>
        <v>-1.304452819</v>
      </c>
      <c r="CE580">
        <f>0.079985243</f>
        <v>7.9985242999999998E-2</v>
      </c>
      <c r="CF580">
        <f>-1.183980949</f>
        <v>-1.1839809489999999</v>
      </c>
      <c r="CG580">
        <f>-1.18620067</f>
        <v>-1.1862006700000001</v>
      </c>
      <c r="CH580">
        <f>-0.120065411</f>
        <v>-0.120065411</v>
      </c>
      <c r="CI580">
        <f>3.463574616</f>
        <v>3.4635746159999998</v>
      </c>
      <c r="CJ580">
        <f>4.756344476</f>
        <v>4.7563444759999998</v>
      </c>
      <c r="CK580">
        <f>4.674543508</f>
        <v>4.6745435080000002</v>
      </c>
      <c r="CL580">
        <f>1.387294861</f>
        <v>1.387294861</v>
      </c>
      <c r="CM580">
        <f>-0.782745096</f>
        <v>-0.78274509599999997</v>
      </c>
      <c r="CN580">
        <f>-1.813373334</f>
        <v>-1.813373334</v>
      </c>
      <c r="CO580">
        <f>-3.12318746</f>
        <v>-3.12318746</v>
      </c>
      <c r="CP580">
        <f>-1.93660428</f>
        <v>-1.9366042800000001</v>
      </c>
      <c r="CQ580">
        <f>-1.35162472</f>
        <v>-1.35162472</v>
      </c>
      <c r="CR580">
        <f>-5.418427659</f>
        <v>-5.4184276589999998</v>
      </c>
      <c r="CS580">
        <f>1.314669116</f>
        <v>1.3146691159999999</v>
      </c>
      <c r="CT580">
        <f>4.066916707</f>
        <v>4.0669167069999999</v>
      </c>
      <c r="CU580">
        <f>3.784527621</f>
        <v>3.7845276210000001</v>
      </c>
      <c r="CV580">
        <f>8.624447022</f>
        <v>8.624447022</v>
      </c>
      <c r="CW580">
        <f>21.19337353</f>
        <v>21.193373529999999</v>
      </c>
      <c r="CX580">
        <f>21.27320134</f>
        <v>21.27320134</v>
      </c>
      <c r="CY580">
        <f>10.87167109</f>
        <v>10.87167109</v>
      </c>
      <c r="CZ580">
        <f>-3.104572524</f>
        <v>-3.1045725239999999</v>
      </c>
      <c r="DA580">
        <f>-8.198623372</f>
        <v>-8.1986233720000001</v>
      </c>
      <c r="DB580">
        <f>-23.67345033</f>
        <v>-23.673450330000001</v>
      </c>
      <c r="DC580">
        <f>-15.72537465</f>
        <v>-15.725374649999999</v>
      </c>
      <c r="DD580">
        <f>8.648142568</f>
        <v>8.6481425680000008</v>
      </c>
      <c r="DE580">
        <f>8.246567418</f>
        <v>8.2465674179999997</v>
      </c>
      <c r="DF580">
        <f>12.50974747</f>
        <v>12.509747470000001</v>
      </c>
      <c r="DG580">
        <f>10.81929996</f>
        <v>10.81929996</v>
      </c>
      <c r="DH580">
        <f>4.639072826</f>
        <v>4.6390728259999996</v>
      </c>
      <c r="DI580">
        <f>4.475031918</f>
        <v>4.475031918</v>
      </c>
      <c r="DJ580">
        <f>4.313833777</f>
        <v>4.3138337770000001</v>
      </c>
      <c r="DK580">
        <f>4.66114409</f>
        <v>4.6611440899999996</v>
      </c>
      <c r="DL580">
        <f>6.659230476</f>
        <v>6.6592304760000003</v>
      </c>
      <c r="DM580">
        <f>8.421185304</f>
        <v>8.4211853039999998</v>
      </c>
      <c r="DN580">
        <f>5.697943983</f>
        <v>5.697943983</v>
      </c>
      <c r="DO580">
        <f>9.8723639</f>
        <v>9.8723638999999999</v>
      </c>
      <c r="DP580">
        <f>9.704451673</f>
        <v>9.7044516729999994</v>
      </c>
      <c r="DQ580">
        <f>11.02785276</f>
        <v>11.02785276</v>
      </c>
      <c r="DR580">
        <f>9.891020722</f>
        <v>9.8910207220000004</v>
      </c>
      <c r="DS580">
        <f>3.911656971</f>
        <v>3.9116569710000002</v>
      </c>
      <c r="DT580">
        <f>0.676597883</f>
        <v>0.67659788300000001</v>
      </c>
      <c r="DU580">
        <f>4.724710224</f>
        <v>4.7247102239999998</v>
      </c>
    </row>
    <row r="581" spans="1:125" x14ac:dyDescent="0.25">
      <c r="A581" t="str">
        <f>"    AUDI AG"</f>
        <v xml:space="preserve">    AUDI AG</v>
      </c>
      <c r="B581" t="str">
        <f>"NSU GR Equity"</f>
        <v>NSU GR Equity</v>
      </c>
      <c r="C581" t="str">
        <f t="shared" ref="C581:C620" si="42">"RX072"</f>
        <v>RX072</v>
      </c>
      <c r="D581" t="str">
        <f t="shared" ref="D581:D620" si="43">"FREE_CASH_FLOW_YIELD"</f>
        <v>FREE_CASH_FLOW_YIELD</v>
      </c>
      <c r="E581" t="str">
        <f t="shared" ref="E581:E620" si="44">"Dynamic"</f>
        <v>Dynamic</v>
      </c>
      <c r="F581" t="str">
        <f ca="1">IF(AND(ISNUMBER($F$1239),$B$677=1),$F$1239,HLOOKUP(INDIRECT(ADDRESS(2,COLUMN())),OFFSET($BN$2,0,0,ROW()-1,60),ROW()-1,FALSE))</f>
        <v/>
      </c>
      <c r="G581" t="str">
        <f ca="1">IF(AND(ISNUMBER($G$1239),$B$677=1),$G$1239,HLOOKUP(INDIRECT(ADDRESS(2,COLUMN())),OFFSET($BN$2,0,0,ROW()-1,60),ROW()-1,FALSE))</f>
        <v/>
      </c>
      <c r="H581" t="str">
        <f ca="1">IF(AND(ISNUMBER($H$1239),$B$677=1),$H$1239,HLOOKUP(INDIRECT(ADDRESS(2,COLUMN())),OFFSET($BN$2,0,0,ROW()-1,60),ROW()-1,FALSE))</f>
        <v/>
      </c>
      <c r="I581" t="str">
        <f ca="1">IF(AND(ISNUMBER($I$1239),$B$677=1),$I$1239,HLOOKUP(INDIRECT(ADDRESS(2,COLUMN())),OFFSET($BN$2,0,0,ROW()-1,60),ROW()-1,FALSE))</f>
        <v/>
      </c>
      <c r="J581" t="str">
        <f ca="1">IF(AND(ISNUMBER($J$1239),$B$677=1),$J$1239,HLOOKUP(INDIRECT(ADDRESS(2,COLUMN())),OFFSET($BN$2,0,0,ROW()-1,60),ROW()-1,FALSE))</f>
        <v/>
      </c>
      <c r="K581" t="str">
        <f ca="1">IF(AND(ISNUMBER($K$1239),$B$677=1),$K$1239,HLOOKUP(INDIRECT(ADDRESS(2,COLUMN())),OFFSET($BN$2,0,0,ROW()-1,60),ROW()-1,FALSE))</f>
        <v/>
      </c>
      <c r="L581" t="str">
        <f ca="1">IF(AND(ISNUMBER($L$1239),$B$677=1),$L$1239,HLOOKUP(INDIRECT(ADDRESS(2,COLUMN())),OFFSET($BN$2,0,0,ROW()-1,60),ROW()-1,FALSE))</f>
        <v/>
      </c>
      <c r="M581" t="str">
        <f ca="1">IF(AND(ISNUMBER($M$1239),$B$677=1),$M$1239,HLOOKUP(INDIRECT(ADDRESS(2,COLUMN())),OFFSET($BN$2,0,0,ROW()-1,60),ROW()-1,FALSE))</f>
        <v/>
      </c>
      <c r="N581" t="str">
        <f ca="1">IF(AND(ISNUMBER($N$1239),$B$677=1),$N$1239,HLOOKUP(INDIRECT(ADDRESS(2,COLUMN())),OFFSET($BN$2,0,0,ROW()-1,60),ROW()-1,FALSE))</f>
        <v/>
      </c>
      <c r="O581" t="str">
        <f ca="1">IF(AND(ISNUMBER($O$1239),$B$677=1),$O$1239,HLOOKUP(INDIRECT(ADDRESS(2,COLUMN())),OFFSET($BN$2,0,0,ROW()-1,60),ROW()-1,FALSE))</f>
        <v/>
      </c>
      <c r="P581" t="str">
        <f ca="1">IF(AND(ISNUMBER($P$1239),$B$677=1),$P$1239,HLOOKUP(INDIRECT(ADDRESS(2,COLUMN())),OFFSET($BN$2,0,0,ROW()-1,60),ROW()-1,FALSE))</f>
        <v/>
      </c>
      <c r="Q581" t="str">
        <f ca="1">IF(AND(ISNUMBER($Q$1239),$B$677=1),$Q$1239,HLOOKUP(INDIRECT(ADDRESS(2,COLUMN())),OFFSET($BN$2,0,0,ROW()-1,60),ROW()-1,FALSE))</f>
        <v/>
      </c>
      <c r="R581" t="str">
        <f ca="1">IF(AND(ISNUMBER($R$1239),$B$677=1),$R$1239,HLOOKUP(INDIRECT(ADDRESS(2,COLUMN())),OFFSET($BN$2,0,0,ROW()-1,60),ROW()-1,FALSE))</f>
        <v/>
      </c>
      <c r="S581" t="str">
        <f ca="1">IF(AND(ISNUMBER($S$1239),$B$677=1),$S$1239,HLOOKUP(INDIRECT(ADDRESS(2,COLUMN())),OFFSET($BN$2,0,0,ROW()-1,60),ROW()-1,FALSE))</f>
        <v/>
      </c>
      <c r="T581" t="str">
        <f ca="1">IF(AND(ISNUMBER($T$1239),$B$677=1),$T$1239,HLOOKUP(INDIRECT(ADDRESS(2,COLUMN())),OFFSET($BN$2,0,0,ROW()-1,60),ROW()-1,FALSE))</f>
        <v/>
      </c>
      <c r="U581" t="str">
        <f ca="1">IF(AND(ISNUMBER($U$1239),$B$677=1),$U$1239,HLOOKUP(INDIRECT(ADDRESS(2,COLUMN())),OFFSET($BN$2,0,0,ROW()-1,60),ROW()-1,FALSE))</f>
        <v/>
      </c>
      <c r="V581" t="str">
        <f ca="1">IF(AND(ISNUMBER($V$1239),$B$677=1),$V$1239,HLOOKUP(INDIRECT(ADDRESS(2,COLUMN())),OFFSET($BN$2,0,0,ROW()-1,60),ROW()-1,FALSE))</f>
        <v/>
      </c>
      <c r="W581" t="str">
        <f ca="1">IF(AND(ISNUMBER($W$1239),$B$677=1),$W$1239,HLOOKUP(INDIRECT(ADDRESS(2,COLUMN())),OFFSET($BN$2,0,0,ROW()-1,60),ROW()-1,FALSE))</f>
        <v/>
      </c>
      <c r="X581" t="str">
        <f ca="1">IF(AND(ISNUMBER($X$1239),$B$677=1),$X$1239,HLOOKUP(INDIRECT(ADDRESS(2,COLUMN())),OFFSET($BN$2,0,0,ROW()-1,60),ROW()-1,FALSE))</f>
        <v/>
      </c>
      <c r="Y581" t="str">
        <f ca="1">IF(AND(ISNUMBER($Y$1239),$B$677=1),$Y$1239,HLOOKUP(INDIRECT(ADDRESS(2,COLUMN())),OFFSET($BN$2,0,0,ROW()-1,60),ROW()-1,FALSE))</f>
        <v/>
      </c>
      <c r="Z581" t="str">
        <f ca="1">IF(AND(ISNUMBER($Z$1239),$B$677=1),$Z$1239,HLOOKUP(INDIRECT(ADDRESS(2,COLUMN())),OFFSET($BN$2,0,0,ROW()-1,60),ROW()-1,FALSE))</f>
        <v/>
      </c>
      <c r="AA581" t="str">
        <f ca="1">IF(AND(ISNUMBER($AA$1239),$B$677=1),$AA$1239,HLOOKUP(INDIRECT(ADDRESS(2,COLUMN())),OFFSET($BN$2,0,0,ROW()-1,60),ROW()-1,FALSE))</f>
        <v/>
      </c>
      <c r="AB581" t="str">
        <f ca="1">IF(AND(ISNUMBER($AB$1239),$B$677=1),$AB$1239,HLOOKUP(INDIRECT(ADDRESS(2,COLUMN())),OFFSET($BN$2,0,0,ROW()-1,60),ROW()-1,FALSE))</f>
        <v/>
      </c>
      <c r="AC581" t="str">
        <f ca="1">IF(AND(ISNUMBER($AC$1239),$B$677=1),$AC$1239,HLOOKUP(INDIRECT(ADDRESS(2,COLUMN())),OFFSET($BN$2,0,0,ROW()-1,60),ROW()-1,FALSE))</f>
        <v/>
      </c>
      <c r="AD581" t="str">
        <f ca="1">IF(AND(ISNUMBER($AD$1239),$B$677=1),$AD$1239,HLOOKUP(INDIRECT(ADDRESS(2,COLUMN())),OFFSET($BN$2,0,0,ROW()-1,60),ROW()-1,FALSE))</f>
        <v/>
      </c>
      <c r="AE581" t="str">
        <f ca="1">IF(AND(ISNUMBER($AE$1239),$B$677=1),$AE$1239,HLOOKUP(INDIRECT(ADDRESS(2,COLUMN())),OFFSET($BN$2,0,0,ROW()-1,60),ROW()-1,FALSE))</f>
        <v/>
      </c>
      <c r="AF581" t="str">
        <f ca="1">IF(AND(ISNUMBER($AF$1239),$B$677=1),$AF$1239,HLOOKUP(INDIRECT(ADDRESS(2,COLUMN())),OFFSET($BN$2,0,0,ROW()-1,60),ROW()-1,FALSE))</f>
        <v/>
      </c>
      <c r="AG581" t="str">
        <f ca="1">IF(AND(ISNUMBER($AG$1239),$B$677=1),$AG$1239,HLOOKUP(INDIRECT(ADDRESS(2,COLUMN())),OFFSET($BN$2,0,0,ROW()-1,60),ROW()-1,FALSE))</f>
        <v/>
      </c>
      <c r="AH581" t="str">
        <f ca="1">IF(AND(ISNUMBER($AH$1239),$B$677=1),$AH$1239,HLOOKUP(INDIRECT(ADDRESS(2,COLUMN())),OFFSET($BN$2,0,0,ROW()-1,60),ROW()-1,FALSE))</f>
        <v/>
      </c>
      <c r="AI581" t="str">
        <f ca="1">IF(AND(ISNUMBER($AI$1239),$B$677=1),$AI$1239,HLOOKUP(INDIRECT(ADDRESS(2,COLUMN())),OFFSET($BN$2,0,0,ROW()-1,60),ROW()-1,FALSE))</f>
        <v/>
      </c>
      <c r="AJ581" t="str">
        <f ca="1">IF(AND(ISNUMBER($AJ$1239),$B$677=1),$AJ$1239,HLOOKUP(INDIRECT(ADDRESS(2,COLUMN())),OFFSET($BN$2,0,0,ROW()-1,60),ROW()-1,FALSE))</f>
        <v/>
      </c>
      <c r="AK581" t="str">
        <f ca="1">IF(AND(ISNUMBER($AK$1239),$B$677=1),$AK$1239,HLOOKUP(INDIRECT(ADDRESS(2,COLUMN())),OFFSET($BN$2,0,0,ROW()-1,60),ROW()-1,FALSE))</f>
        <v/>
      </c>
      <c r="AL581" t="str">
        <f ca="1">IF(AND(ISNUMBER($AL$1239),$B$677=1),$AL$1239,HLOOKUP(INDIRECT(ADDRESS(2,COLUMN())),OFFSET($BN$2,0,0,ROW()-1,60),ROW()-1,FALSE))</f>
        <v/>
      </c>
      <c r="AM581" t="str">
        <f ca="1">IF(AND(ISNUMBER($AM$1239),$B$677=1),$AM$1239,HLOOKUP(INDIRECT(ADDRESS(2,COLUMN())),OFFSET($BN$2,0,0,ROW()-1,60),ROW()-1,FALSE))</f>
        <v/>
      </c>
      <c r="AN581" t="str">
        <f ca="1">IF(AND(ISNUMBER($AN$1239),$B$677=1),$AN$1239,HLOOKUP(INDIRECT(ADDRESS(2,COLUMN())),OFFSET($BN$2,0,0,ROW()-1,60),ROW()-1,FALSE))</f>
        <v/>
      </c>
      <c r="AO581" t="str">
        <f ca="1">IF(AND(ISNUMBER($AO$1239),$B$677=1),$AO$1239,HLOOKUP(INDIRECT(ADDRESS(2,COLUMN())),OFFSET($BN$2,0,0,ROW()-1,60),ROW()-1,FALSE))</f>
        <v/>
      </c>
      <c r="AP581" t="str">
        <f ca="1">IF(AND(ISNUMBER($AP$1239),$B$677=1),$AP$1239,HLOOKUP(INDIRECT(ADDRESS(2,COLUMN())),OFFSET($BN$2,0,0,ROW()-1,60),ROW()-1,FALSE))</f>
        <v/>
      </c>
      <c r="AQ581" t="str">
        <f ca="1">IF(AND(ISNUMBER($AQ$1239),$B$677=1),$AQ$1239,HLOOKUP(INDIRECT(ADDRESS(2,COLUMN())),OFFSET($BN$2,0,0,ROW()-1,60),ROW()-1,FALSE))</f>
        <v/>
      </c>
      <c r="AR581" t="str">
        <f ca="1">IF(AND(ISNUMBER($AR$1239),$B$677=1),$AR$1239,HLOOKUP(INDIRECT(ADDRESS(2,COLUMN())),OFFSET($BN$2,0,0,ROW()-1,60),ROW()-1,FALSE))</f>
        <v/>
      </c>
      <c r="AS581" t="str">
        <f ca="1">IF(AND(ISNUMBER($AS$1239),$B$677=1),$AS$1239,HLOOKUP(INDIRECT(ADDRESS(2,COLUMN())),OFFSET($BN$2,0,0,ROW()-1,60),ROW()-1,FALSE))</f>
        <v/>
      </c>
      <c r="AT581" t="str">
        <f ca="1">IF(AND(ISNUMBER($AT$1239),$B$677=1),$AT$1239,HLOOKUP(INDIRECT(ADDRESS(2,COLUMN())),OFFSET($BN$2,0,0,ROW()-1,60),ROW()-1,FALSE))</f>
        <v/>
      </c>
      <c r="AU581" t="str">
        <f ca="1">IF(AND(ISNUMBER($AU$1239),$B$677=1),$AU$1239,HLOOKUP(INDIRECT(ADDRESS(2,COLUMN())),OFFSET($BN$2,0,0,ROW()-1,60),ROW()-1,FALSE))</f>
        <v/>
      </c>
      <c r="AV581" t="str">
        <f ca="1">IF(AND(ISNUMBER($AV$1239),$B$677=1),$AV$1239,HLOOKUP(INDIRECT(ADDRESS(2,COLUMN())),OFFSET($BN$2,0,0,ROW()-1,60),ROW()-1,FALSE))</f>
        <v/>
      </c>
      <c r="AW581" t="str">
        <f ca="1">IF(AND(ISNUMBER($AW$1239),$B$677=1),$AW$1239,HLOOKUP(INDIRECT(ADDRESS(2,COLUMN())),OFFSET($BN$2,0,0,ROW()-1,60),ROW()-1,FALSE))</f>
        <v/>
      </c>
      <c r="AX581" t="str">
        <f ca="1">IF(AND(ISNUMBER($AX$1239),$B$677=1),$AX$1239,HLOOKUP(INDIRECT(ADDRESS(2,COLUMN())),OFFSET($BN$2,0,0,ROW()-1,60),ROW()-1,FALSE))</f>
        <v/>
      </c>
      <c r="AY581" t="str">
        <f ca="1">IF(AND(ISNUMBER($AY$1239),$B$677=1),$AY$1239,HLOOKUP(INDIRECT(ADDRESS(2,COLUMN())),OFFSET($BN$2,0,0,ROW()-1,60),ROW()-1,FALSE))</f>
        <v/>
      </c>
      <c r="AZ581" t="str">
        <f ca="1">IF(AND(ISNUMBER($AZ$1239),$B$677=1),$AZ$1239,HLOOKUP(INDIRECT(ADDRESS(2,COLUMN())),OFFSET($BN$2,0,0,ROW()-1,60),ROW()-1,FALSE))</f>
        <v/>
      </c>
      <c r="BA581" t="str">
        <f ca="1">IF(AND(ISNUMBER($BA$1239),$B$677=1),$BA$1239,HLOOKUP(INDIRECT(ADDRESS(2,COLUMN())),OFFSET($BN$2,0,0,ROW()-1,60),ROW()-1,FALSE))</f>
        <v/>
      </c>
      <c r="BB581" t="str">
        <f ca="1">IF(AND(ISNUMBER($BB$1239),$B$677=1),$BB$1239,HLOOKUP(INDIRECT(ADDRESS(2,COLUMN())),OFFSET($BN$2,0,0,ROW()-1,60),ROW()-1,FALSE))</f>
        <v/>
      </c>
      <c r="BC581" t="str">
        <f ca="1">IF(AND(ISNUMBER($BC$1239),$B$677=1),$BC$1239,HLOOKUP(INDIRECT(ADDRESS(2,COLUMN())),OFFSET($BN$2,0,0,ROW()-1,60),ROW()-1,FALSE))</f>
        <v/>
      </c>
      <c r="BD581" t="str">
        <f ca="1">IF(AND(ISNUMBER($BD$1239),$B$677=1),$BD$1239,HLOOKUP(INDIRECT(ADDRESS(2,COLUMN())),OFFSET($BN$2,0,0,ROW()-1,60),ROW()-1,FALSE))</f>
        <v/>
      </c>
      <c r="BE581" t="str">
        <f ca="1">IF(AND(ISNUMBER($BE$1239),$B$677=1),$BE$1239,HLOOKUP(INDIRECT(ADDRESS(2,COLUMN())),OFFSET($BN$2,0,0,ROW()-1,60),ROW()-1,FALSE))</f>
        <v/>
      </c>
      <c r="BF581" t="str">
        <f ca="1">IF(AND(ISNUMBER($BF$1239),$B$677=1),$BF$1239,HLOOKUP(INDIRECT(ADDRESS(2,COLUMN())),OFFSET($BN$2,0,0,ROW()-1,60),ROW()-1,FALSE))</f>
        <v/>
      </c>
      <c r="BG581" t="str">
        <f ca="1">IF(AND(ISNUMBER($BG$1239),$B$677=1),$BG$1239,HLOOKUP(INDIRECT(ADDRESS(2,COLUMN())),OFFSET($BN$2,0,0,ROW()-1,60),ROW()-1,FALSE))</f>
        <v/>
      </c>
      <c r="BH581" t="str">
        <f ca="1">IF(AND(ISNUMBER($BH$1239),$B$677=1),$BH$1239,HLOOKUP(INDIRECT(ADDRESS(2,COLUMN())),OFFSET($BN$2,0,0,ROW()-1,60),ROW()-1,FALSE))</f>
        <v/>
      </c>
      <c r="BI581" t="str">
        <f ca="1">IF(AND(ISNUMBER($BI$1239),$B$677=1),$BI$1239,HLOOKUP(INDIRECT(ADDRESS(2,COLUMN())),OFFSET($BN$2,0,0,ROW()-1,60),ROW()-1,FALSE))</f>
        <v/>
      </c>
      <c r="BJ581" t="str">
        <f ca="1">IF(AND(ISNUMBER($BJ$1239),$B$677=1),$BJ$1239,HLOOKUP(INDIRECT(ADDRESS(2,COLUMN())),OFFSET($BN$2,0,0,ROW()-1,60),ROW()-1,FALSE))</f>
        <v/>
      </c>
      <c r="BK581" t="str">
        <f ca="1">IF(AND(ISNUMBER($BK$1239),$B$677=1),$BK$1239,HLOOKUP(INDIRECT(ADDRESS(2,COLUMN())),OFFSET($BN$2,0,0,ROW()-1,60),ROW()-1,FALSE))</f>
        <v/>
      </c>
      <c r="BL581" t="str">
        <f ca="1">IF(AND(ISNUMBER($BL$1239),$B$677=1),$BL$1239,HLOOKUP(INDIRECT(ADDRESS(2,COLUMN())),OFFSET($BN$2,0,0,ROW()-1,60),ROW()-1,FALSE))</f>
        <v/>
      </c>
      <c r="BM581" t="str">
        <f ca="1">IF(AND(ISNUMBER($BM$1239),$B$677=1),$BM$1239,HLOOKUP(INDIRECT(ADDRESS(2,COLUMN())),OFFSET($BN$2,0,0,ROW()-1,60),ROW()-1,FALSE))</f>
        <v/>
      </c>
      <c r="BN581" t="str">
        <f>""</f>
        <v/>
      </c>
      <c r="BO581" t="str">
        <f>""</f>
        <v/>
      </c>
      <c r="BP581" t="str">
        <f>""</f>
        <v/>
      </c>
      <c r="BQ581" t="str">
        <f>""</f>
        <v/>
      </c>
      <c r="BR581" t="str">
        <f>""</f>
        <v/>
      </c>
      <c r="BS581" t="str">
        <f>""</f>
        <v/>
      </c>
      <c r="BT581" t="str">
        <f>""</f>
        <v/>
      </c>
      <c r="BU581" t="str">
        <f>""</f>
        <v/>
      </c>
      <c r="BV581" t="str">
        <f>""</f>
        <v/>
      </c>
      <c r="BW581" t="str">
        <f>""</f>
        <v/>
      </c>
      <c r="BX581" t="str">
        <f>""</f>
        <v/>
      </c>
      <c r="BY581" t="str">
        <f>""</f>
        <v/>
      </c>
      <c r="BZ581" t="str">
        <f>""</f>
        <v/>
      </c>
      <c r="CA581" t="str">
        <f>""</f>
        <v/>
      </c>
      <c r="CB581" t="str">
        <f>""</f>
        <v/>
      </c>
      <c r="CC581" t="str">
        <f>""</f>
        <v/>
      </c>
      <c r="CD581" t="str">
        <f>""</f>
        <v/>
      </c>
      <c r="CE581" t="str">
        <f>""</f>
        <v/>
      </c>
      <c r="CF581" t="str">
        <f>""</f>
        <v/>
      </c>
      <c r="CG581" t="str">
        <f>""</f>
        <v/>
      </c>
      <c r="CH581" t="str">
        <f>""</f>
        <v/>
      </c>
      <c r="CI581" t="str">
        <f>""</f>
        <v/>
      </c>
      <c r="CJ581" t="str">
        <f>""</f>
        <v/>
      </c>
      <c r="CK581" t="str">
        <f>""</f>
        <v/>
      </c>
      <c r="CL581" t="str">
        <f>""</f>
        <v/>
      </c>
      <c r="CM581" t="str">
        <f>""</f>
        <v/>
      </c>
      <c r="CN581" t="str">
        <f>""</f>
        <v/>
      </c>
      <c r="CO581" t="str">
        <f>""</f>
        <v/>
      </c>
      <c r="CP581" t="str">
        <f>""</f>
        <v/>
      </c>
      <c r="CQ581" t="str">
        <f>""</f>
        <v/>
      </c>
      <c r="CR581" t="str">
        <f>""</f>
        <v/>
      </c>
      <c r="CS581" t="str">
        <f>""</f>
        <v/>
      </c>
      <c r="CT581" t="str">
        <f>""</f>
        <v/>
      </c>
      <c r="CU581" t="str">
        <f>""</f>
        <v/>
      </c>
      <c r="CV581" t="str">
        <f>""</f>
        <v/>
      </c>
      <c r="CW581" t="str">
        <f>""</f>
        <v/>
      </c>
      <c r="CX581" t="str">
        <f>""</f>
        <v/>
      </c>
      <c r="CY581" t="str">
        <f>""</f>
        <v/>
      </c>
      <c r="CZ581" t="str">
        <f>""</f>
        <v/>
      </c>
      <c r="DA581" t="str">
        <f>""</f>
        <v/>
      </c>
      <c r="DB581" t="str">
        <f>""</f>
        <v/>
      </c>
      <c r="DC581" t="str">
        <f>""</f>
        <v/>
      </c>
      <c r="DD581" t="str">
        <f>""</f>
        <v/>
      </c>
      <c r="DE581" t="str">
        <f>""</f>
        <v/>
      </c>
      <c r="DF581" t="str">
        <f>""</f>
        <v/>
      </c>
      <c r="DG581" t="str">
        <f>""</f>
        <v/>
      </c>
      <c r="DH581" t="str">
        <f>""</f>
        <v/>
      </c>
      <c r="DI581" t="str">
        <f>""</f>
        <v/>
      </c>
      <c r="DJ581" t="str">
        <f>""</f>
        <v/>
      </c>
      <c r="DK581" t="str">
        <f>""</f>
        <v/>
      </c>
      <c r="DL581" t="str">
        <f>""</f>
        <v/>
      </c>
      <c r="DM581" t="str">
        <f>""</f>
        <v/>
      </c>
      <c r="DN581" t="str">
        <f>""</f>
        <v/>
      </c>
      <c r="DO581" t="str">
        <f>""</f>
        <v/>
      </c>
      <c r="DP581" t="str">
        <f>""</f>
        <v/>
      </c>
      <c r="DQ581" t="str">
        <f>""</f>
        <v/>
      </c>
      <c r="DR581" t="str">
        <f>""</f>
        <v/>
      </c>
      <c r="DS581" t="str">
        <f>""</f>
        <v/>
      </c>
      <c r="DT581" t="str">
        <f>""</f>
        <v/>
      </c>
      <c r="DU581" t="str">
        <f>""</f>
        <v/>
      </c>
    </row>
    <row r="582" spans="1:125" x14ac:dyDescent="0.25">
      <c r="A582" t="str">
        <f>"    Avtovaz PJSC"</f>
        <v xml:space="preserve">    Avtovaz PJSC</v>
      </c>
      <c r="B582" t="str">
        <f>"AVAZ RM Equity"</f>
        <v>AVAZ RM Equity</v>
      </c>
      <c r="C582" t="str">
        <f t="shared" si="42"/>
        <v>RX072</v>
      </c>
      <c r="D582" t="str">
        <f t="shared" si="43"/>
        <v>FREE_CASH_FLOW_YIELD</v>
      </c>
      <c r="E582" t="str">
        <f t="shared" si="44"/>
        <v>Dynamic</v>
      </c>
      <c r="F582" t="str">
        <f ca="1">IF(AND(ISNUMBER($F$1240),$B$677=1),$F$1240,HLOOKUP(INDIRECT(ADDRESS(2,COLUMN())),OFFSET($BN$2,0,0,ROW()-1,60),ROW()-1,FALSE))</f>
        <v/>
      </c>
      <c r="G582" t="str">
        <f ca="1">IF(AND(ISNUMBER($G$1240),$B$677=1),$G$1240,HLOOKUP(INDIRECT(ADDRESS(2,COLUMN())),OFFSET($BN$2,0,0,ROW()-1,60),ROW()-1,FALSE))</f>
        <v/>
      </c>
      <c r="H582" t="str">
        <f ca="1">IF(AND(ISNUMBER($H$1240),$B$677=1),$H$1240,HLOOKUP(INDIRECT(ADDRESS(2,COLUMN())),OFFSET($BN$2,0,0,ROW()-1,60),ROW()-1,FALSE))</f>
        <v/>
      </c>
      <c r="I582" t="str">
        <f ca="1">IF(AND(ISNUMBER($I$1240),$B$677=1),$I$1240,HLOOKUP(INDIRECT(ADDRESS(2,COLUMN())),OFFSET($BN$2,0,0,ROW()-1,60),ROW()-1,FALSE))</f>
        <v/>
      </c>
      <c r="J582" t="str">
        <f ca="1">IF(AND(ISNUMBER($J$1240),$B$677=1),$J$1240,HLOOKUP(INDIRECT(ADDRESS(2,COLUMN())),OFFSET($BN$2,0,0,ROW()-1,60),ROW()-1,FALSE))</f>
        <v/>
      </c>
      <c r="K582" t="str">
        <f ca="1">IF(AND(ISNUMBER($K$1240),$B$677=1),$K$1240,HLOOKUP(INDIRECT(ADDRESS(2,COLUMN())),OFFSET($BN$2,0,0,ROW()-1,60),ROW()-1,FALSE))</f>
        <v/>
      </c>
      <c r="L582" t="str">
        <f ca="1">IF(AND(ISNUMBER($L$1240),$B$677=1),$L$1240,HLOOKUP(INDIRECT(ADDRESS(2,COLUMN())),OFFSET($BN$2,0,0,ROW()-1,60),ROW()-1,FALSE))</f>
        <v/>
      </c>
      <c r="M582" t="str">
        <f ca="1">IF(AND(ISNUMBER($M$1240),$B$677=1),$M$1240,HLOOKUP(INDIRECT(ADDRESS(2,COLUMN())),OFFSET($BN$2,0,0,ROW()-1,60),ROW()-1,FALSE))</f>
        <v/>
      </c>
      <c r="N582" t="str">
        <f ca="1">IF(AND(ISNUMBER($N$1240),$B$677=1),$N$1240,HLOOKUP(INDIRECT(ADDRESS(2,COLUMN())),OFFSET($BN$2,0,0,ROW()-1,60),ROW()-1,FALSE))</f>
        <v/>
      </c>
      <c r="O582" t="str">
        <f ca="1">IF(AND(ISNUMBER($O$1240),$B$677=1),$O$1240,HLOOKUP(INDIRECT(ADDRESS(2,COLUMN())),OFFSET($BN$2,0,0,ROW()-1,60),ROW()-1,FALSE))</f>
        <v/>
      </c>
      <c r="P582" t="str">
        <f ca="1">IF(AND(ISNUMBER($P$1240),$B$677=1),$P$1240,HLOOKUP(INDIRECT(ADDRESS(2,COLUMN())),OFFSET($BN$2,0,0,ROW()-1,60),ROW()-1,FALSE))</f>
        <v/>
      </c>
      <c r="Q582" t="str">
        <f ca="1">IF(AND(ISNUMBER($Q$1240),$B$677=1),$Q$1240,HLOOKUP(INDIRECT(ADDRESS(2,COLUMN())),OFFSET($BN$2,0,0,ROW()-1,60),ROW()-1,FALSE))</f>
        <v/>
      </c>
      <c r="R582" t="str">
        <f ca="1">IF(AND(ISNUMBER($R$1240),$B$677=1),$R$1240,HLOOKUP(INDIRECT(ADDRESS(2,COLUMN())),OFFSET($BN$2,0,0,ROW()-1,60),ROW()-1,FALSE))</f>
        <v/>
      </c>
      <c r="S582" t="str">
        <f ca="1">IF(AND(ISNUMBER($S$1240),$B$677=1),$S$1240,HLOOKUP(INDIRECT(ADDRESS(2,COLUMN())),OFFSET($BN$2,0,0,ROW()-1,60),ROW()-1,FALSE))</f>
        <v/>
      </c>
      <c r="T582" t="str">
        <f ca="1">IF(AND(ISNUMBER($T$1240),$B$677=1),$T$1240,HLOOKUP(INDIRECT(ADDRESS(2,COLUMN())),OFFSET($BN$2,0,0,ROW()-1,60),ROW()-1,FALSE))</f>
        <v/>
      </c>
      <c r="U582" t="str">
        <f ca="1">IF(AND(ISNUMBER($U$1240),$B$677=1),$U$1240,HLOOKUP(INDIRECT(ADDRESS(2,COLUMN())),OFFSET($BN$2,0,0,ROW()-1,60),ROW()-1,FALSE))</f>
        <v/>
      </c>
      <c r="V582" t="str">
        <f ca="1">IF(AND(ISNUMBER($V$1240),$B$677=1),$V$1240,HLOOKUP(INDIRECT(ADDRESS(2,COLUMN())),OFFSET($BN$2,0,0,ROW()-1,60),ROW()-1,FALSE))</f>
        <v/>
      </c>
      <c r="W582" t="str">
        <f ca="1">IF(AND(ISNUMBER($W$1240),$B$677=1),$W$1240,HLOOKUP(INDIRECT(ADDRESS(2,COLUMN())),OFFSET($BN$2,0,0,ROW()-1,60),ROW()-1,FALSE))</f>
        <v/>
      </c>
      <c r="X582" t="str">
        <f ca="1">IF(AND(ISNUMBER($X$1240),$B$677=1),$X$1240,HLOOKUP(INDIRECT(ADDRESS(2,COLUMN())),OFFSET($BN$2,0,0,ROW()-1,60),ROW()-1,FALSE))</f>
        <v/>
      </c>
      <c r="Y582" t="str">
        <f ca="1">IF(AND(ISNUMBER($Y$1240),$B$677=1),$Y$1240,HLOOKUP(INDIRECT(ADDRESS(2,COLUMN())),OFFSET($BN$2,0,0,ROW()-1,60),ROW()-1,FALSE))</f>
        <v/>
      </c>
      <c r="Z582" t="str">
        <f ca="1">IF(AND(ISNUMBER($Z$1240),$B$677=1),$Z$1240,HLOOKUP(INDIRECT(ADDRESS(2,COLUMN())),OFFSET($BN$2,0,0,ROW()-1,60),ROW()-1,FALSE))</f>
        <v/>
      </c>
      <c r="AA582" t="str">
        <f ca="1">IF(AND(ISNUMBER($AA$1240),$B$677=1),$AA$1240,HLOOKUP(INDIRECT(ADDRESS(2,COLUMN())),OFFSET($BN$2,0,0,ROW()-1,60),ROW()-1,FALSE))</f>
        <v/>
      </c>
      <c r="AB582" t="str">
        <f ca="1">IF(AND(ISNUMBER($AB$1240),$B$677=1),$AB$1240,HLOOKUP(INDIRECT(ADDRESS(2,COLUMN())),OFFSET($BN$2,0,0,ROW()-1,60),ROW()-1,FALSE))</f>
        <v/>
      </c>
      <c r="AC582" t="str">
        <f ca="1">IF(AND(ISNUMBER($AC$1240),$B$677=1),$AC$1240,HLOOKUP(INDIRECT(ADDRESS(2,COLUMN())),OFFSET($BN$2,0,0,ROW()-1,60),ROW()-1,FALSE))</f>
        <v/>
      </c>
      <c r="AD582" t="str">
        <f ca="1">IF(AND(ISNUMBER($AD$1240),$B$677=1),$AD$1240,HLOOKUP(INDIRECT(ADDRESS(2,COLUMN())),OFFSET($BN$2,0,0,ROW()-1,60),ROW()-1,FALSE))</f>
        <v/>
      </c>
      <c r="AE582" t="str">
        <f ca="1">IF(AND(ISNUMBER($AE$1240),$B$677=1),$AE$1240,HLOOKUP(INDIRECT(ADDRESS(2,COLUMN())),OFFSET($BN$2,0,0,ROW()-1,60),ROW()-1,FALSE))</f>
        <v/>
      </c>
      <c r="AF582" t="str">
        <f ca="1">IF(AND(ISNUMBER($AF$1240),$B$677=1),$AF$1240,HLOOKUP(INDIRECT(ADDRESS(2,COLUMN())),OFFSET($BN$2,0,0,ROW()-1,60),ROW()-1,FALSE))</f>
        <v/>
      </c>
      <c r="AG582" t="str">
        <f ca="1">IF(AND(ISNUMBER($AG$1240),$B$677=1),$AG$1240,HLOOKUP(INDIRECT(ADDRESS(2,COLUMN())),OFFSET($BN$2,0,0,ROW()-1,60),ROW()-1,FALSE))</f>
        <v/>
      </c>
      <c r="AH582" t="str">
        <f ca="1">IF(AND(ISNUMBER($AH$1240),$B$677=1),$AH$1240,HLOOKUP(INDIRECT(ADDRESS(2,COLUMN())),OFFSET($BN$2,0,0,ROW()-1,60),ROW()-1,FALSE))</f>
        <v/>
      </c>
      <c r="AI582" t="str">
        <f ca="1">IF(AND(ISNUMBER($AI$1240),$B$677=1),$AI$1240,HLOOKUP(INDIRECT(ADDRESS(2,COLUMN())),OFFSET($BN$2,0,0,ROW()-1,60),ROW()-1,FALSE))</f>
        <v/>
      </c>
      <c r="AJ582" t="str">
        <f ca="1">IF(AND(ISNUMBER($AJ$1240),$B$677=1),$AJ$1240,HLOOKUP(INDIRECT(ADDRESS(2,COLUMN())),OFFSET($BN$2,0,0,ROW()-1,60),ROW()-1,FALSE))</f>
        <v/>
      </c>
      <c r="AK582" t="str">
        <f ca="1">IF(AND(ISNUMBER($AK$1240),$B$677=1),$AK$1240,HLOOKUP(INDIRECT(ADDRESS(2,COLUMN())),OFFSET($BN$2,0,0,ROW()-1,60),ROW()-1,FALSE))</f>
        <v/>
      </c>
      <c r="AL582" t="str">
        <f ca="1">IF(AND(ISNUMBER($AL$1240),$B$677=1),$AL$1240,HLOOKUP(INDIRECT(ADDRESS(2,COLUMN())),OFFSET($BN$2,0,0,ROW()-1,60),ROW()-1,FALSE))</f>
        <v/>
      </c>
      <c r="AM582" t="str">
        <f ca="1">IF(AND(ISNUMBER($AM$1240),$B$677=1),$AM$1240,HLOOKUP(INDIRECT(ADDRESS(2,COLUMN())),OFFSET($BN$2,0,0,ROW()-1,60),ROW()-1,FALSE))</f>
        <v/>
      </c>
      <c r="AN582" t="str">
        <f ca="1">IF(AND(ISNUMBER($AN$1240),$B$677=1),$AN$1240,HLOOKUP(INDIRECT(ADDRESS(2,COLUMN())),OFFSET($BN$2,0,0,ROW()-1,60),ROW()-1,FALSE))</f>
        <v/>
      </c>
      <c r="AO582" t="str">
        <f ca="1">IF(AND(ISNUMBER($AO$1240),$B$677=1),$AO$1240,HLOOKUP(INDIRECT(ADDRESS(2,COLUMN())),OFFSET($BN$2,0,0,ROW()-1,60),ROW()-1,FALSE))</f>
        <v/>
      </c>
      <c r="AP582" t="str">
        <f ca="1">IF(AND(ISNUMBER($AP$1240),$B$677=1),$AP$1240,HLOOKUP(INDIRECT(ADDRESS(2,COLUMN())),OFFSET($BN$2,0,0,ROW()-1,60),ROW()-1,FALSE))</f>
        <v/>
      </c>
      <c r="AQ582" t="str">
        <f ca="1">IF(AND(ISNUMBER($AQ$1240),$B$677=1),$AQ$1240,HLOOKUP(INDIRECT(ADDRESS(2,COLUMN())),OFFSET($BN$2,0,0,ROW()-1,60),ROW()-1,FALSE))</f>
        <v/>
      </c>
      <c r="AR582" t="str">
        <f ca="1">IF(AND(ISNUMBER($AR$1240),$B$677=1),$AR$1240,HLOOKUP(INDIRECT(ADDRESS(2,COLUMN())),OFFSET($BN$2,0,0,ROW()-1,60),ROW()-1,FALSE))</f>
        <v/>
      </c>
      <c r="AS582" t="str">
        <f ca="1">IF(AND(ISNUMBER($AS$1240),$B$677=1),$AS$1240,HLOOKUP(INDIRECT(ADDRESS(2,COLUMN())),OFFSET($BN$2,0,0,ROW()-1,60),ROW()-1,FALSE))</f>
        <v/>
      </c>
      <c r="AT582" t="str">
        <f ca="1">IF(AND(ISNUMBER($AT$1240),$B$677=1),$AT$1240,HLOOKUP(INDIRECT(ADDRESS(2,COLUMN())),OFFSET($BN$2,0,0,ROW()-1,60),ROW()-1,FALSE))</f>
        <v/>
      </c>
      <c r="AU582" t="str">
        <f ca="1">IF(AND(ISNUMBER($AU$1240),$B$677=1),$AU$1240,HLOOKUP(INDIRECT(ADDRESS(2,COLUMN())),OFFSET($BN$2,0,0,ROW()-1,60),ROW()-1,FALSE))</f>
        <v/>
      </c>
      <c r="AV582" t="str">
        <f ca="1">IF(AND(ISNUMBER($AV$1240),$B$677=1),$AV$1240,HLOOKUP(INDIRECT(ADDRESS(2,COLUMN())),OFFSET($BN$2,0,0,ROW()-1,60),ROW()-1,FALSE))</f>
        <v/>
      </c>
      <c r="AW582" t="str">
        <f ca="1">IF(AND(ISNUMBER($AW$1240),$B$677=1),$AW$1240,HLOOKUP(INDIRECT(ADDRESS(2,COLUMN())),OFFSET($BN$2,0,0,ROW()-1,60),ROW()-1,FALSE))</f>
        <v/>
      </c>
      <c r="AX582" t="str">
        <f ca="1">IF(AND(ISNUMBER($AX$1240),$B$677=1),$AX$1240,HLOOKUP(INDIRECT(ADDRESS(2,COLUMN())),OFFSET($BN$2,0,0,ROW()-1,60),ROW()-1,FALSE))</f>
        <v/>
      </c>
      <c r="AY582" t="str">
        <f ca="1">IF(AND(ISNUMBER($AY$1240),$B$677=1),$AY$1240,HLOOKUP(INDIRECT(ADDRESS(2,COLUMN())),OFFSET($BN$2,0,0,ROW()-1,60),ROW()-1,FALSE))</f>
        <v/>
      </c>
      <c r="AZ582" t="str">
        <f ca="1">IF(AND(ISNUMBER($AZ$1240),$B$677=1),$AZ$1240,HLOOKUP(INDIRECT(ADDRESS(2,COLUMN())),OFFSET($BN$2,0,0,ROW()-1,60),ROW()-1,FALSE))</f>
        <v/>
      </c>
      <c r="BA582" t="str">
        <f ca="1">IF(AND(ISNUMBER($BA$1240),$B$677=1),$BA$1240,HLOOKUP(INDIRECT(ADDRESS(2,COLUMN())),OFFSET($BN$2,0,0,ROW()-1,60),ROW()-1,FALSE))</f>
        <v/>
      </c>
      <c r="BB582" t="str">
        <f ca="1">IF(AND(ISNUMBER($BB$1240),$B$677=1),$BB$1240,HLOOKUP(INDIRECT(ADDRESS(2,COLUMN())),OFFSET($BN$2,0,0,ROW()-1,60),ROW()-1,FALSE))</f>
        <v/>
      </c>
      <c r="BC582" t="str">
        <f ca="1">IF(AND(ISNUMBER($BC$1240),$B$677=1),$BC$1240,HLOOKUP(INDIRECT(ADDRESS(2,COLUMN())),OFFSET($BN$2,0,0,ROW()-1,60),ROW()-1,FALSE))</f>
        <v/>
      </c>
      <c r="BD582" t="str">
        <f ca="1">IF(AND(ISNUMBER($BD$1240),$B$677=1),$BD$1240,HLOOKUP(INDIRECT(ADDRESS(2,COLUMN())),OFFSET($BN$2,0,0,ROW()-1,60),ROW()-1,FALSE))</f>
        <v/>
      </c>
      <c r="BE582" t="str">
        <f ca="1">IF(AND(ISNUMBER($BE$1240),$B$677=1),$BE$1240,HLOOKUP(INDIRECT(ADDRESS(2,COLUMN())),OFFSET($BN$2,0,0,ROW()-1,60),ROW()-1,FALSE))</f>
        <v/>
      </c>
      <c r="BF582" t="str">
        <f ca="1">IF(AND(ISNUMBER($BF$1240),$B$677=1),$BF$1240,HLOOKUP(INDIRECT(ADDRESS(2,COLUMN())),OFFSET($BN$2,0,0,ROW()-1,60),ROW()-1,FALSE))</f>
        <v/>
      </c>
      <c r="BG582" t="str">
        <f ca="1">IF(AND(ISNUMBER($BG$1240),$B$677=1),$BG$1240,HLOOKUP(INDIRECT(ADDRESS(2,COLUMN())),OFFSET($BN$2,0,0,ROW()-1,60),ROW()-1,FALSE))</f>
        <v/>
      </c>
      <c r="BH582" t="str">
        <f ca="1">IF(AND(ISNUMBER($BH$1240),$B$677=1),$BH$1240,HLOOKUP(INDIRECT(ADDRESS(2,COLUMN())),OFFSET($BN$2,0,0,ROW()-1,60),ROW()-1,FALSE))</f>
        <v/>
      </c>
      <c r="BI582" t="str">
        <f ca="1">IF(AND(ISNUMBER($BI$1240),$B$677=1),$BI$1240,HLOOKUP(INDIRECT(ADDRESS(2,COLUMN())),OFFSET($BN$2,0,0,ROW()-1,60),ROW()-1,FALSE))</f>
        <v/>
      </c>
      <c r="BJ582" t="str">
        <f ca="1">IF(AND(ISNUMBER($BJ$1240),$B$677=1),$BJ$1240,HLOOKUP(INDIRECT(ADDRESS(2,COLUMN())),OFFSET($BN$2,0,0,ROW()-1,60),ROW()-1,FALSE))</f>
        <v/>
      </c>
      <c r="BK582" t="str">
        <f ca="1">IF(AND(ISNUMBER($BK$1240),$B$677=1),$BK$1240,HLOOKUP(INDIRECT(ADDRESS(2,COLUMN())),OFFSET($BN$2,0,0,ROW()-1,60),ROW()-1,FALSE))</f>
        <v/>
      </c>
      <c r="BL582" t="str">
        <f ca="1">IF(AND(ISNUMBER($BL$1240),$B$677=1),$BL$1240,HLOOKUP(INDIRECT(ADDRESS(2,COLUMN())),OFFSET($BN$2,0,0,ROW()-1,60),ROW()-1,FALSE))</f>
        <v/>
      </c>
      <c r="BM582" t="str">
        <f ca="1">IF(AND(ISNUMBER($BM$1240),$B$677=1),$BM$1240,HLOOKUP(INDIRECT(ADDRESS(2,COLUMN())),OFFSET($BN$2,0,0,ROW()-1,60),ROW()-1,FALSE))</f>
        <v/>
      </c>
      <c r="BN582" t="str">
        <f>""</f>
        <v/>
      </c>
      <c r="BO582" t="str">
        <f>""</f>
        <v/>
      </c>
      <c r="BP582" t="str">
        <f>""</f>
        <v/>
      </c>
      <c r="BQ582" t="str">
        <f>""</f>
        <v/>
      </c>
      <c r="BR582" t="str">
        <f>""</f>
        <v/>
      </c>
      <c r="BS582" t="str">
        <f>""</f>
        <v/>
      </c>
      <c r="BT582" t="str">
        <f>""</f>
        <v/>
      </c>
      <c r="BU582" t="str">
        <f>""</f>
        <v/>
      </c>
      <c r="BV582" t="str">
        <f>""</f>
        <v/>
      </c>
      <c r="BW582" t="str">
        <f>""</f>
        <v/>
      </c>
      <c r="BX582" t="str">
        <f>""</f>
        <v/>
      </c>
      <c r="BY582" t="str">
        <f>""</f>
        <v/>
      </c>
      <c r="BZ582" t="str">
        <f>""</f>
        <v/>
      </c>
      <c r="CA582" t="str">
        <f>""</f>
        <v/>
      </c>
      <c r="CB582" t="str">
        <f>""</f>
        <v/>
      </c>
      <c r="CC582" t="str">
        <f>""</f>
        <v/>
      </c>
      <c r="CD582" t="str">
        <f>""</f>
        <v/>
      </c>
      <c r="CE582" t="str">
        <f>""</f>
        <v/>
      </c>
      <c r="CF582" t="str">
        <f>""</f>
        <v/>
      </c>
      <c r="CG582" t="str">
        <f>""</f>
        <v/>
      </c>
      <c r="CH582" t="str">
        <f>""</f>
        <v/>
      </c>
      <c r="CI582" t="str">
        <f>""</f>
        <v/>
      </c>
      <c r="CJ582" t="str">
        <f>""</f>
        <v/>
      </c>
      <c r="CK582" t="str">
        <f>""</f>
        <v/>
      </c>
      <c r="CL582" t="str">
        <f>""</f>
        <v/>
      </c>
      <c r="CM582" t="str">
        <f>""</f>
        <v/>
      </c>
      <c r="CN582" t="str">
        <f>""</f>
        <v/>
      </c>
      <c r="CO582" t="str">
        <f>""</f>
        <v/>
      </c>
      <c r="CP582" t="str">
        <f>""</f>
        <v/>
      </c>
      <c r="CQ582" t="str">
        <f>""</f>
        <v/>
      </c>
      <c r="CR582" t="str">
        <f>""</f>
        <v/>
      </c>
      <c r="CS582" t="str">
        <f>""</f>
        <v/>
      </c>
      <c r="CT582" t="str">
        <f>""</f>
        <v/>
      </c>
      <c r="CU582" t="str">
        <f>""</f>
        <v/>
      </c>
      <c r="CV582" t="str">
        <f>""</f>
        <v/>
      </c>
      <c r="CW582" t="str">
        <f>""</f>
        <v/>
      </c>
      <c r="CX582" t="str">
        <f>""</f>
        <v/>
      </c>
      <c r="CY582" t="str">
        <f>""</f>
        <v/>
      </c>
      <c r="CZ582" t="str">
        <f>""</f>
        <v/>
      </c>
      <c r="DA582" t="str">
        <f>""</f>
        <v/>
      </c>
      <c r="DB582" t="str">
        <f>""</f>
        <v/>
      </c>
      <c r="DC582" t="str">
        <f>""</f>
        <v/>
      </c>
      <c r="DD582" t="str">
        <f>""</f>
        <v/>
      </c>
      <c r="DE582" t="str">
        <f>""</f>
        <v/>
      </c>
      <c r="DF582" t="str">
        <f>""</f>
        <v/>
      </c>
      <c r="DG582" t="str">
        <f>""</f>
        <v/>
      </c>
      <c r="DH582" t="str">
        <f>""</f>
        <v/>
      </c>
      <c r="DI582" t="str">
        <f>""</f>
        <v/>
      </c>
      <c r="DJ582" t="str">
        <f>""</f>
        <v/>
      </c>
      <c r="DK582" t="str">
        <f>""</f>
        <v/>
      </c>
      <c r="DL582" t="str">
        <f>""</f>
        <v/>
      </c>
      <c r="DM582" t="str">
        <f>""</f>
        <v/>
      </c>
      <c r="DN582" t="str">
        <f>""</f>
        <v/>
      </c>
      <c r="DO582" t="str">
        <f>""</f>
        <v/>
      </c>
      <c r="DP582" t="str">
        <f>""</f>
        <v/>
      </c>
      <c r="DQ582" t="str">
        <f>""</f>
        <v/>
      </c>
      <c r="DR582" t="str">
        <f>""</f>
        <v/>
      </c>
      <c r="DS582" t="str">
        <f>""</f>
        <v/>
      </c>
      <c r="DT582" t="str">
        <f>""</f>
        <v/>
      </c>
      <c r="DU582" t="str">
        <f>""</f>
        <v/>
      </c>
    </row>
    <row r="583" spans="1:125" x14ac:dyDescent="0.25">
      <c r="A583" t="str">
        <f>"    Bayerische Motoren Werke AG"</f>
        <v xml:space="preserve">    Bayerische Motoren Werke AG</v>
      </c>
      <c r="B583" t="str">
        <f>"BMW GR Equity"</f>
        <v>BMW GR Equity</v>
      </c>
      <c r="C583" t="str">
        <f t="shared" si="42"/>
        <v>RX072</v>
      </c>
      <c r="D583" t="str">
        <f t="shared" si="43"/>
        <v>FREE_CASH_FLOW_YIELD</v>
      </c>
      <c r="E583" t="str">
        <f t="shared" si="44"/>
        <v>Dynamic</v>
      </c>
      <c r="F583">
        <f ca="1">IF(AND(ISNUMBER($F$1241),$B$677=1),$F$1241,HLOOKUP(INDIRECT(ADDRESS(2,COLUMN())),OFFSET($BN$2,0,0,ROW()-1,60),ROW()-1,FALSE))</f>
        <v>-7.4401647090000003</v>
      </c>
      <c r="G583">
        <f ca="1">IF(AND(ISNUMBER($G$1241),$B$677=1),$G$1241,HLOOKUP(INDIRECT(ADDRESS(2,COLUMN())),OFFSET($BN$2,0,0,ROW()-1,60),ROW()-1,FALSE))</f>
        <v>-7.6885209850000003</v>
      </c>
      <c r="H583">
        <f ca="1">IF(AND(ISNUMBER($H$1241),$B$677=1),$H$1241,HLOOKUP(INDIRECT(ADDRESS(2,COLUMN())),OFFSET($BN$2,0,0,ROW()-1,60),ROW()-1,FALSE))</f>
        <v>-7.0139152730000003</v>
      </c>
      <c r="I583">
        <f ca="1">IF(AND(ISNUMBER($I$1241),$B$677=1),$I$1241,HLOOKUP(INDIRECT(ADDRESS(2,COLUMN())),OFFSET($BN$2,0,0,ROW()-1,60),ROW()-1,FALSE))</f>
        <v>-4.8264599700000002</v>
      </c>
      <c r="J583">
        <f ca="1">IF(AND(ISNUMBER($J$1241),$B$677=1),$J$1241,HLOOKUP(INDIRECT(ADDRESS(2,COLUMN())),OFFSET($BN$2,0,0,ROW()-1,60),ROW()-1,FALSE))</f>
        <v>-5.1650424140000002</v>
      </c>
      <c r="K583">
        <f ca="1">IF(AND(ISNUMBER($K$1241),$B$677=1),$K$1241,HLOOKUP(INDIRECT(ADDRESS(2,COLUMN())),OFFSET($BN$2,0,0,ROW()-1,60),ROW()-1,FALSE))</f>
        <v>-5.3788522319999998</v>
      </c>
      <c r="L583">
        <f ca="1">IF(AND(ISNUMBER($L$1241),$B$677=1),$L$1241,HLOOKUP(INDIRECT(ADDRESS(2,COLUMN())),OFFSET($BN$2,0,0,ROW()-1,60),ROW()-1,FALSE))</f>
        <v>-1.8289731849999999</v>
      </c>
      <c r="M583">
        <f ca="1">IF(AND(ISNUMBER($M$1241),$B$677=1),$M$1241,HLOOKUP(INDIRECT(ADDRESS(2,COLUMN())),OFFSET($BN$2,0,0,ROW()-1,60),ROW()-1,FALSE))</f>
        <v>-5.1062735540000004</v>
      </c>
      <c r="N583">
        <f ca="1">IF(AND(ISNUMBER($N$1241),$B$677=1),$N$1241,HLOOKUP(INDIRECT(ADDRESS(2,COLUMN())),OFFSET($BN$2,0,0,ROW()-1,60),ROW()-1,FALSE))</f>
        <v>-4.8013057549999996</v>
      </c>
      <c r="O583">
        <f ca="1">IF(AND(ISNUMBER($O$1241),$B$677=1),$O$1241,HLOOKUP(INDIRECT(ADDRESS(2,COLUMN())),OFFSET($BN$2,0,0,ROW()-1,60),ROW()-1,FALSE))</f>
        <v>-4.7485561440000001</v>
      </c>
      <c r="P583">
        <f ca="1">IF(AND(ISNUMBER($P$1241),$B$677=1),$P$1241,HLOOKUP(INDIRECT(ADDRESS(2,COLUMN())),OFFSET($BN$2,0,0,ROW()-1,60),ROW()-1,FALSE))</f>
        <v>-8.6001642220000001</v>
      </c>
      <c r="Q583">
        <f ca="1">IF(AND(ISNUMBER($Q$1241),$B$677=1),$Q$1241,HLOOKUP(INDIRECT(ADDRESS(2,COLUMN())),OFFSET($BN$2,0,0,ROW()-1,60),ROW()-1,FALSE))</f>
        <v>-9.8789789020000001</v>
      </c>
      <c r="R583">
        <f ca="1">IF(AND(ISNUMBER($R$1241),$B$677=1),$R$1241,HLOOKUP(INDIRECT(ADDRESS(2,COLUMN())),OFFSET($BN$2,0,0,ROW()-1,60),ROW()-1,FALSE))</f>
        <v>-11.64729977</v>
      </c>
      <c r="S583">
        <f ca="1">IF(AND(ISNUMBER($S$1241),$B$677=1),$S$1241,HLOOKUP(INDIRECT(ADDRESS(2,COLUMN())),OFFSET($BN$2,0,0,ROW()-1,60),ROW()-1,FALSE))</f>
        <v>-8.1022176360000007</v>
      </c>
      <c r="T583">
        <f ca="1">IF(AND(ISNUMBER($T$1241),$B$677=1),$T$1241,HLOOKUP(INDIRECT(ADDRESS(2,COLUMN())),OFFSET($BN$2,0,0,ROW()-1,60),ROW()-1,FALSE))</f>
        <v>-8.7305553860000007</v>
      </c>
      <c r="U583">
        <f ca="1">IF(AND(ISNUMBER($U$1241),$B$677=1),$U$1241,HLOOKUP(INDIRECT(ADDRESS(2,COLUMN())),OFFSET($BN$2,0,0,ROW()-1,60),ROW()-1,FALSE))</f>
        <v>-6.2313123859999999</v>
      </c>
      <c r="V583">
        <f ca="1">IF(AND(ISNUMBER($V$1241),$B$677=1),$V$1241,HLOOKUP(INDIRECT(ADDRESS(2,COLUMN())),OFFSET($BN$2,0,0,ROW()-1,60),ROW()-1,FALSE))</f>
        <v>-4.3267912690000001</v>
      </c>
      <c r="W583">
        <f ca="1">IF(AND(ISNUMBER($W$1241),$B$677=1),$W$1241,HLOOKUP(INDIRECT(ADDRESS(2,COLUMN())),OFFSET($BN$2,0,0,ROW()-1,60),ROW()-1,FALSE))</f>
        <v>-5.6355236849999999</v>
      </c>
      <c r="X583">
        <f ca="1">IF(AND(ISNUMBER($X$1241),$B$677=1),$X$1241,HLOOKUP(INDIRECT(ADDRESS(2,COLUMN())),OFFSET($BN$2,0,0,ROW()-1,60),ROW()-1,FALSE))</f>
        <v>-5.0203877920000002</v>
      </c>
      <c r="Y583">
        <f ca="1">IF(AND(ISNUMBER($Y$1241),$B$677=1),$Y$1241,HLOOKUP(INDIRECT(ADDRESS(2,COLUMN())),OFFSET($BN$2,0,0,ROW()-1,60),ROW()-1,FALSE))</f>
        <v>-5.3644059930000001</v>
      </c>
      <c r="Z583">
        <f ca="1">IF(AND(ISNUMBER($Z$1241),$B$677=1),$Z$1241,HLOOKUP(INDIRECT(ADDRESS(2,COLUMN())),OFFSET($BN$2,0,0,ROW()-1,60),ROW()-1,FALSE))</f>
        <v>-3.3025453979999999</v>
      </c>
      <c r="AA583">
        <f ca="1">IF(AND(ISNUMBER($AA$1241),$B$677=1),$AA$1241,HLOOKUP(INDIRECT(ADDRESS(2,COLUMN())),OFFSET($BN$2,0,0,ROW()-1,60),ROW()-1,FALSE))</f>
        <v>-4.7689500349999996</v>
      </c>
      <c r="AB583">
        <f ca="1">IF(AND(ISNUMBER($AB$1241),$B$677=1),$AB$1241,HLOOKUP(INDIRECT(ADDRESS(2,COLUMN())),OFFSET($BN$2,0,0,ROW()-1,60),ROW()-1,FALSE))</f>
        <v>-3.824280195</v>
      </c>
      <c r="AC583">
        <f ca="1">IF(AND(ISNUMBER($AC$1241),$B$677=1),$AC$1241,HLOOKUP(INDIRECT(ADDRESS(2,COLUMN())),OFFSET($BN$2,0,0,ROW()-1,60),ROW()-1,FALSE))</f>
        <v>-5.5536887009999996</v>
      </c>
      <c r="AD583">
        <f ca="1">IF(AND(ISNUMBER($AD$1241),$B$677=1),$AD$1241,HLOOKUP(INDIRECT(ADDRESS(2,COLUMN())),OFFSET($BN$2,0,0,ROW()-1,60),ROW()-1,FALSE))</f>
        <v>-5.4711707729999999</v>
      </c>
      <c r="AE583">
        <f ca="1">IF(AND(ISNUMBER($AE$1241),$B$677=1),$AE$1241,HLOOKUP(INDIRECT(ADDRESS(2,COLUMN())),OFFSET($BN$2,0,0,ROW()-1,60),ROW()-1,FALSE))</f>
        <v>-0.460151054</v>
      </c>
      <c r="AF583">
        <f ca="1">IF(AND(ISNUMBER($AF$1241),$B$677=1),$AF$1241,HLOOKUP(INDIRECT(ADDRESS(2,COLUMN())),OFFSET($BN$2,0,0,ROW()-1,60),ROW()-1,FALSE))</f>
        <v>-5.219221213</v>
      </c>
      <c r="AG583">
        <f ca="1">IF(AND(ISNUMBER($AG$1241),$B$677=1),$AG$1241,HLOOKUP(INDIRECT(ADDRESS(2,COLUMN())),OFFSET($BN$2,0,0,ROW()-1,60),ROW()-1,FALSE))</f>
        <v>1.9906337190000001</v>
      </c>
      <c r="AH583">
        <f ca="1">IF(AND(ISNUMBER($AH$1241),$B$677=1),$AH$1241,HLOOKUP(INDIRECT(ADDRESS(2,COLUMN())),OFFSET($BN$2,0,0,ROW()-1,60),ROW()-1,FALSE))</f>
        <v>4.5646521670000002</v>
      </c>
      <c r="AI583">
        <f ca="1">IF(AND(ISNUMBER($AI$1241),$B$677=1),$AI$1241,HLOOKUP(INDIRECT(ADDRESS(2,COLUMN())),OFFSET($BN$2,0,0,ROW()-1,60),ROW()-1,FALSE))</f>
        <v>5.9125251040000002</v>
      </c>
      <c r="AJ583">
        <f ca="1">IF(AND(ISNUMBER($AJ$1241),$B$677=1),$AJ$1241,HLOOKUP(INDIRECT(ADDRESS(2,COLUMN())),OFFSET($BN$2,0,0,ROW()-1,60),ROW()-1,FALSE))</f>
        <v>-2.9319528730000002</v>
      </c>
      <c r="AK583">
        <f ca="1">IF(AND(ISNUMBER($AK$1241),$B$677=1),$AK$1241,HLOOKUP(INDIRECT(ADDRESS(2,COLUMN())),OFFSET($BN$2,0,0,ROW()-1,60),ROW()-1,FALSE))</f>
        <v>-0.43421705599999999</v>
      </c>
      <c r="AL583">
        <f ca="1">IF(AND(ISNUMBER($AL$1241),$B$677=1),$AL$1241,HLOOKUP(INDIRECT(ADDRESS(2,COLUMN())),OFFSET($BN$2,0,0,ROW()-1,60),ROW()-1,FALSE))</f>
        <v>3.2556797149999999</v>
      </c>
      <c r="AM583">
        <f ca="1">IF(AND(ISNUMBER($AM$1241),$B$677=1),$AM$1241,HLOOKUP(INDIRECT(ADDRESS(2,COLUMN())),OFFSET($BN$2,0,0,ROW()-1,60),ROW()-1,FALSE))</f>
        <v>2.304750683</v>
      </c>
      <c r="AN583">
        <f ca="1">IF(AND(ISNUMBER($AN$1241),$B$677=1),$AN$1241,HLOOKUP(INDIRECT(ADDRESS(2,COLUMN())),OFFSET($BN$2,0,0,ROW()-1,60),ROW()-1,FALSE))</f>
        <v>24.384354550000001</v>
      </c>
      <c r="AO583">
        <f ca="1">IF(AND(ISNUMBER($AO$1241),$B$677=1),$AO$1241,HLOOKUP(INDIRECT(ADDRESS(2,COLUMN())),OFFSET($BN$2,0,0,ROW()-1,60),ROW()-1,FALSE))</f>
        <v>28.36162191</v>
      </c>
      <c r="AP583">
        <f ca="1">IF(AND(ISNUMBER($AP$1241),$B$677=1),$AP$1241,HLOOKUP(INDIRECT(ADDRESS(2,COLUMN())),OFFSET($BN$2,0,0,ROW()-1,60),ROW()-1,FALSE))</f>
        <v>27.994127750000001</v>
      </c>
      <c r="AQ583">
        <f ca="1">IF(AND(ISNUMBER($AQ$1241),$B$677=1),$AQ$1241,HLOOKUP(INDIRECT(ADDRESS(2,COLUMN())),OFFSET($BN$2,0,0,ROW()-1,60),ROW()-1,FALSE))</f>
        <v>31.62790579</v>
      </c>
      <c r="AR583">
        <f ca="1">IF(AND(ISNUMBER($AR$1241),$B$677=1),$AR$1241,HLOOKUP(INDIRECT(ADDRESS(2,COLUMN())),OFFSET($BN$2,0,0,ROW()-1,60),ROW()-1,FALSE))</f>
        <v>24.743957179999999</v>
      </c>
      <c r="AS583">
        <f ca="1">IF(AND(ISNUMBER($AS$1241),$B$677=1),$AS$1241,HLOOKUP(INDIRECT(ADDRESS(2,COLUMN())),OFFSET($BN$2,0,0,ROW()-1,60),ROW()-1,FALSE))</f>
        <v>56.618992390000003</v>
      </c>
      <c r="AT583">
        <f ca="1">IF(AND(ISNUMBER($AT$1241),$B$677=1),$AT$1241,HLOOKUP(INDIRECT(ADDRESS(2,COLUMN())),OFFSET($BN$2,0,0,ROW()-1,60),ROW()-1,FALSE))</f>
        <v>78.897996489999997</v>
      </c>
      <c r="AU583">
        <f ca="1">IF(AND(ISNUMBER($AU$1241),$B$677=1),$AU$1241,HLOOKUP(INDIRECT(ADDRESS(2,COLUMN())),OFFSET($BN$2,0,0,ROW()-1,60),ROW()-1,FALSE))</f>
        <v>76.097914509999995</v>
      </c>
      <c r="AV583">
        <f ca="1">IF(AND(ISNUMBER($AV$1241),$B$677=1),$AV$1241,HLOOKUP(INDIRECT(ADDRESS(2,COLUMN())),OFFSET($BN$2,0,0,ROW()-1,60),ROW()-1,FALSE))</f>
        <v>71.544372679999995</v>
      </c>
      <c r="AW583">
        <f ca="1">IF(AND(ISNUMBER($AW$1241),$B$677=1),$AW$1241,HLOOKUP(INDIRECT(ADDRESS(2,COLUMN())),OFFSET($BN$2,0,0,ROW()-1,60),ROW()-1,FALSE))</f>
        <v>41.406774030000001</v>
      </c>
      <c r="AX583">
        <f ca="1">IF(AND(ISNUMBER($AX$1241),$B$677=1),$AX$1241,HLOOKUP(INDIRECT(ADDRESS(2,COLUMN())),OFFSET($BN$2,0,0,ROW()-1,60),ROW()-1,FALSE))</f>
        <v>31.118617109999999</v>
      </c>
      <c r="AY583">
        <f ca="1">IF(AND(ISNUMBER($AY$1241),$B$677=1),$AY$1241,HLOOKUP(INDIRECT(ADDRESS(2,COLUMN())),OFFSET($BN$2,0,0,ROW()-1,60),ROW()-1,FALSE))</f>
        <v>26.959169119999999</v>
      </c>
      <c r="AZ583">
        <f ca="1">IF(AND(ISNUMBER($AZ$1241),$B$677=1),$AZ$1241,HLOOKUP(INDIRECT(ADDRESS(2,COLUMN())),OFFSET($BN$2,0,0,ROW()-1,60),ROW()-1,FALSE))</f>
        <v>16.49050137</v>
      </c>
      <c r="BA583">
        <f ca="1">IF(AND(ISNUMBER($BA$1241),$B$677=1),$BA$1241,HLOOKUP(INDIRECT(ADDRESS(2,COLUMN())),OFFSET($BN$2,0,0,ROW()-1,60),ROW()-1,FALSE))</f>
        <v>15.24488187</v>
      </c>
      <c r="BB583">
        <f ca="1">IF(AND(ISNUMBER($BB$1241),$B$677=1),$BB$1241,HLOOKUP(INDIRECT(ADDRESS(2,COLUMN())),OFFSET($BN$2,0,0,ROW()-1,60),ROW()-1,FALSE))</f>
        <v>18.908346340000001</v>
      </c>
      <c r="BC583">
        <f ca="1">IF(AND(ISNUMBER($BC$1241),$B$677=1),$BC$1241,HLOOKUP(INDIRECT(ADDRESS(2,COLUMN())),OFFSET($BN$2,0,0,ROW()-1,60),ROW()-1,FALSE))</f>
        <v>19.8085199</v>
      </c>
      <c r="BD583">
        <f ca="1">IF(AND(ISNUMBER($BD$1241),$B$677=1),$BD$1241,HLOOKUP(INDIRECT(ADDRESS(2,COLUMN())),OFFSET($BN$2,0,0,ROW()-1,60),ROW()-1,FALSE))</f>
        <v>21.708180729999999</v>
      </c>
      <c r="BE583">
        <f ca="1">IF(AND(ISNUMBER($BE$1241),$B$677=1),$BE$1241,HLOOKUP(INDIRECT(ADDRESS(2,COLUMN())),OFFSET($BN$2,0,0,ROW()-1,60),ROW()-1,FALSE))</f>
        <v>28.907382200000001</v>
      </c>
      <c r="BF583">
        <f ca="1">IF(AND(ISNUMBER($BF$1241),$B$677=1),$BF$1241,HLOOKUP(INDIRECT(ADDRESS(2,COLUMN())),OFFSET($BN$2,0,0,ROW()-1,60),ROW()-1,FALSE))</f>
        <v>22.54582473</v>
      </c>
      <c r="BG583">
        <f ca="1">IF(AND(ISNUMBER($BG$1241),$B$677=1),$BG$1241,HLOOKUP(INDIRECT(ADDRESS(2,COLUMN())),OFFSET($BN$2,0,0,ROW()-1,60),ROW()-1,FALSE))</f>
        <v>27.337756370000001</v>
      </c>
      <c r="BH583" t="str">
        <f ca="1">IF(AND(ISNUMBER($BH$1241),$B$677=1),$BH$1241,HLOOKUP(INDIRECT(ADDRESS(2,COLUMN())),OFFSET($BN$2,0,0,ROW()-1,60),ROW()-1,FALSE))</f>
        <v/>
      </c>
      <c r="BI583" t="str">
        <f ca="1">IF(AND(ISNUMBER($BI$1241),$B$677=1),$BI$1241,HLOOKUP(INDIRECT(ADDRESS(2,COLUMN())),OFFSET($BN$2,0,0,ROW()-1,60),ROW()-1,FALSE))</f>
        <v/>
      </c>
      <c r="BJ583" t="str">
        <f ca="1">IF(AND(ISNUMBER($BJ$1241),$B$677=1),$BJ$1241,HLOOKUP(INDIRECT(ADDRESS(2,COLUMN())),OFFSET($BN$2,0,0,ROW()-1,60),ROW()-1,FALSE))</f>
        <v/>
      </c>
      <c r="BK583" t="str">
        <f ca="1">IF(AND(ISNUMBER($BK$1241),$B$677=1),$BK$1241,HLOOKUP(INDIRECT(ADDRESS(2,COLUMN())),OFFSET($BN$2,0,0,ROW()-1,60),ROW()-1,FALSE))</f>
        <v/>
      </c>
      <c r="BL583" t="str">
        <f ca="1">IF(AND(ISNUMBER($BL$1241),$B$677=1),$BL$1241,HLOOKUP(INDIRECT(ADDRESS(2,COLUMN())),OFFSET($BN$2,0,0,ROW()-1,60),ROW()-1,FALSE))</f>
        <v/>
      </c>
      <c r="BM583" t="str">
        <f ca="1">IF(AND(ISNUMBER($BM$1241),$B$677=1),$BM$1241,HLOOKUP(INDIRECT(ADDRESS(2,COLUMN())),OFFSET($BN$2,0,0,ROW()-1,60),ROW()-1,FALSE))</f>
        <v/>
      </c>
      <c r="BN583">
        <f>-7.440164709</f>
        <v>-7.4401647090000003</v>
      </c>
      <c r="BO583">
        <f>-7.688520985</f>
        <v>-7.6885209850000003</v>
      </c>
      <c r="BP583">
        <f>-7.013915273</f>
        <v>-7.0139152730000003</v>
      </c>
      <c r="BQ583">
        <f>-4.82645997</f>
        <v>-4.8264599700000002</v>
      </c>
      <c r="BR583">
        <f>-5.165042414</f>
        <v>-5.1650424140000002</v>
      </c>
      <c r="BS583">
        <f>-5.378852232</f>
        <v>-5.3788522319999998</v>
      </c>
      <c r="BT583">
        <f>-1.828973185</f>
        <v>-1.8289731849999999</v>
      </c>
      <c r="BU583">
        <f>-5.106273554</f>
        <v>-5.1062735540000004</v>
      </c>
      <c r="BV583">
        <f>-4.801305755</f>
        <v>-4.8013057549999996</v>
      </c>
      <c r="BW583">
        <f>-4.748556144</f>
        <v>-4.7485561440000001</v>
      </c>
      <c r="BX583">
        <f>-8.600164222</f>
        <v>-8.6001642220000001</v>
      </c>
      <c r="BY583">
        <f>-9.878978902</f>
        <v>-9.8789789020000001</v>
      </c>
      <c r="BZ583">
        <f>-11.64729977</f>
        <v>-11.64729977</v>
      </c>
      <c r="CA583">
        <f>-8.102217636</f>
        <v>-8.1022176360000007</v>
      </c>
      <c r="CB583">
        <f>-8.730555386</f>
        <v>-8.7305553860000007</v>
      </c>
      <c r="CC583">
        <f>-6.231312386</f>
        <v>-6.2313123859999999</v>
      </c>
      <c r="CD583">
        <f>-4.326791269</f>
        <v>-4.3267912690000001</v>
      </c>
      <c r="CE583">
        <f>-5.635523685</f>
        <v>-5.6355236849999999</v>
      </c>
      <c r="CF583">
        <f>-5.020387792</f>
        <v>-5.0203877920000002</v>
      </c>
      <c r="CG583">
        <f>-5.364405993</f>
        <v>-5.3644059930000001</v>
      </c>
      <c r="CH583">
        <f>-3.302545398</f>
        <v>-3.3025453979999999</v>
      </c>
      <c r="CI583">
        <f>-4.768950035</f>
        <v>-4.7689500349999996</v>
      </c>
      <c r="CJ583">
        <f>-3.824280195</f>
        <v>-3.824280195</v>
      </c>
      <c r="CK583">
        <f>-5.553688701</f>
        <v>-5.5536887009999996</v>
      </c>
      <c r="CL583">
        <f>-5.471170773</f>
        <v>-5.4711707729999999</v>
      </c>
      <c r="CM583">
        <f>-0.460151054</f>
        <v>-0.460151054</v>
      </c>
      <c r="CN583">
        <f>-5.219221213</f>
        <v>-5.219221213</v>
      </c>
      <c r="CO583">
        <f>1.990633719</f>
        <v>1.9906337190000001</v>
      </c>
      <c r="CP583">
        <f>4.564652167</f>
        <v>4.5646521670000002</v>
      </c>
      <c r="CQ583">
        <f>5.912525104</f>
        <v>5.9125251040000002</v>
      </c>
      <c r="CR583">
        <f>-2.931952873</f>
        <v>-2.9319528730000002</v>
      </c>
      <c r="CS583">
        <f>-0.434217056</f>
        <v>-0.43421705599999999</v>
      </c>
      <c r="CT583">
        <f>3.255679715</f>
        <v>3.2556797149999999</v>
      </c>
      <c r="CU583">
        <f>2.304750683</f>
        <v>2.304750683</v>
      </c>
      <c r="CV583">
        <f>24.38435455</f>
        <v>24.384354550000001</v>
      </c>
      <c r="CW583">
        <f>28.36162191</f>
        <v>28.36162191</v>
      </c>
      <c r="CX583">
        <f>27.99412775</f>
        <v>27.994127750000001</v>
      </c>
      <c r="CY583">
        <f>31.62790579</f>
        <v>31.62790579</v>
      </c>
      <c r="CZ583">
        <f>24.74395718</f>
        <v>24.743957179999999</v>
      </c>
      <c r="DA583">
        <f>56.61899239</f>
        <v>56.618992390000003</v>
      </c>
      <c r="DB583">
        <f>78.89799649</f>
        <v>78.897996489999997</v>
      </c>
      <c r="DC583">
        <f>76.09791451</f>
        <v>76.097914509999995</v>
      </c>
      <c r="DD583">
        <f>71.54437268</f>
        <v>71.544372679999995</v>
      </c>
      <c r="DE583">
        <f>41.40677403</f>
        <v>41.406774030000001</v>
      </c>
      <c r="DF583">
        <f>31.11861711</f>
        <v>31.118617109999999</v>
      </c>
      <c r="DG583">
        <f>26.95916912</f>
        <v>26.959169119999999</v>
      </c>
      <c r="DH583">
        <f>16.49050137</f>
        <v>16.49050137</v>
      </c>
      <c r="DI583">
        <f>15.24488187</f>
        <v>15.24488187</v>
      </c>
      <c r="DJ583">
        <f>18.90834634</f>
        <v>18.908346340000001</v>
      </c>
      <c r="DK583">
        <f>19.8085199</f>
        <v>19.8085199</v>
      </c>
      <c r="DL583">
        <f>21.70818073</f>
        <v>21.708180729999999</v>
      </c>
      <c r="DM583">
        <f>28.9073822</f>
        <v>28.907382200000001</v>
      </c>
      <c r="DN583">
        <f>22.54582473</f>
        <v>22.54582473</v>
      </c>
      <c r="DO583">
        <f>27.33775637</f>
        <v>27.337756370000001</v>
      </c>
      <c r="DP583" t="str">
        <f>""</f>
        <v/>
      </c>
      <c r="DQ583" t="str">
        <f>""</f>
        <v/>
      </c>
      <c r="DR583" t="str">
        <f>""</f>
        <v/>
      </c>
      <c r="DS583" t="str">
        <f>""</f>
        <v/>
      </c>
      <c r="DT583" t="str">
        <f>""</f>
        <v/>
      </c>
      <c r="DU583" t="str">
        <f>""</f>
        <v/>
      </c>
    </row>
    <row r="584" spans="1:125" x14ac:dyDescent="0.25">
      <c r="A584" t="str">
        <f>"    Brilliance China Automotive Holdings Ltd"</f>
        <v xml:space="preserve">    Brilliance China Automotive Holdings Ltd</v>
      </c>
      <c r="B584" t="str">
        <f>"1114 HK Equity"</f>
        <v>1114 HK Equity</v>
      </c>
      <c r="C584" t="str">
        <f t="shared" si="42"/>
        <v>RX072</v>
      </c>
      <c r="D584" t="str">
        <f t="shared" si="43"/>
        <v>FREE_CASH_FLOW_YIELD</v>
      </c>
      <c r="E584" t="str">
        <f t="shared" si="44"/>
        <v>Dynamic</v>
      </c>
      <c r="F584" t="str">
        <f ca="1">IF(AND(ISNUMBER($F$1242),$B$677=1),$F$1242,HLOOKUP(INDIRECT(ADDRESS(2,COLUMN())),OFFSET($BN$2,0,0,ROW()-1,60),ROW()-1,FALSE))</f>
        <v/>
      </c>
      <c r="G584" t="str">
        <f ca="1">IF(AND(ISNUMBER($G$1242),$B$677=1),$G$1242,HLOOKUP(INDIRECT(ADDRESS(2,COLUMN())),OFFSET($BN$2,0,0,ROW()-1,60),ROW()-1,FALSE))</f>
        <v/>
      </c>
      <c r="H584" t="str">
        <f ca="1">IF(AND(ISNUMBER($H$1242),$B$677=1),$H$1242,HLOOKUP(INDIRECT(ADDRESS(2,COLUMN())),OFFSET($BN$2,0,0,ROW()-1,60),ROW()-1,FALSE))</f>
        <v/>
      </c>
      <c r="I584" t="str">
        <f ca="1">IF(AND(ISNUMBER($I$1242),$B$677=1),$I$1242,HLOOKUP(INDIRECT(ADDRESS(2,COLUMN())),OFFSET($BN$2,0,0,ROW()-1,60),ROW()-1,FALSE))</f>
        <v/>
      </c>
      <c r="J584" t="str">
        <f ca="1">IF(AND(ISNUMBER($J$1242),$B$677=1),$J$1242,HLOOKUP(INDIRECT(ADDRESS(2,COLUMN())),OFFSET($BN$2,0,0,ROW()-1,60),ROW()-1,FALSE))</f>
        <v/>
      </c>
      <c r="K584" t="str">
        <f ca="1">IF(AND(ISNUMBER($K$1242),$B$677=1),$K$1242,HLOOKUP(INDIRECT(ADDRESS(2,COLUMN())),OFFSET($BN$2,0,0,ROW()-1,60),ROW()-1,FALSE))</f>
        <v/>
      </c>
      <c r="L584" t="str">
        <f ca="1">IF(AND(ISNUMBER($L$1242),$B$677=1),$L$1242,HLOOKUP(INDIRECT(ADDRESS(2,COLUMN())),OFFSET($BN$2,0,0,ROW()-1,60),ROW()-1,FALSE))</f>
        <v/>
      </c>
      <c r="M584" t="str">
        <f ca="1">IF(AND(ISNUMBER($M$1242),$B$677=1),$M$1242,HLOOKUP(INDIRECT(ADDRESS(2,COLUMN())),OFFSET($BN$2,0,0,ROW()-1,60),ROW()-1,FALSE))</f>
        <v/>
      </c>
      <c r="N584" t="str">
        <f ca="1">IF(AND(ISNUMBER($N$1242),$B$677=1),$N$1242,HLOOKUP(INDIRECT(ADDRESS(2,COLUMN())),OFFSET($BN$2,0,0,ROW()-1,60),ROW()-1,FALSE))</f>
        <v/>
      </c>
      <c r="O584" t="str">
        <f ca="1">IF(AND(ISNUMBER($O$1242),$B$677=1),$O$1242,HLOOKUP(INDIRECT(ADDRESS(2,COLUMN())),OFFSET($BN$2,0,0,ROW()-1,60),ROW()-1,FALSE))</f>
        <v/>
      </c>
      <c r="P584" t="str">
        <f ca="1">IF(AND(ISNUMBER($P$1242),$B$677=1),$P$1242,HLOOKUP(INDIRECT(ADDRESS(2,COLUMN())),OFFSET($BN$2,0,0,ROW()-1,60),ROW()-1,FALSE))</f>
        <v/>
      </c>
      <c r="Q584" t="str">
        <f ca="1">IF(AND(ISNUMBER($Q$1242),$B$677=1),$Q$1242,HLOOKUP(INDIRECT(ADDRESS(2,COLUMN())),OFFSET($BN$2,0,0,ROW()-1,60),ROW()-1,FALSE))</f>
        <v/>
      </c>
      <c r="R584" t="str">
        <f ca="1">IF(AND(ISNUMBER($R$1242),$B$677=1),$R$1242,HLOOKUP(INDIRECT(ADDRESS(2,COLUMN())),OFFSET($BN$2,0,0,ROW()-1,60),ROW()-1,FALSE))</f>
        <v/>
      </c>
      <c r="S584" t="str">
        <f ca="1">IF(AND(ISNUMBER($S$1242),$B$677=1),$S$1242,HLOOKUP(INDIRECT(ADDRESS(2,COLUMN())),OFFSET($BN$2,0,0,ROW()-1,60),ROW()-1,FALSE))</f>
        <v/>
      </c>
      <c r="T584" t="str">
        <f ca="1">IF(AND(ISNUMBER($T$1242),$B$677=1),$T$1242,HLOOKUP(INDIRECT(ADDRESS(2,COLUMN())),OFFSET($BN$2,0,0,ROW()-1,60),ROW()-1,FALSE))</f>
        <v/>
      </c>
      <c r="U584" t="str">
        <f ca="1">IF(AND(ISNUMBER($U$1242),$B$677=1),$U$1242,HLOOKUP(INDIRECT(ADDRESS(2,COLUMN())),OFFSET($BN$2,0,0,ROW()-1,60),ROW()-1,FALSE))</f>
        <v/>
      </c>
      <c r="V584" t="str">
        <f ca="1">IF(AND(ISNUMBER($V$1242),$B$677=1),$V$1242,HLOOKUP(INDIRECT(ADDRESS(2,COLUMN())),OFFSET($BN$2,0,0,ROW()-1,60),ROW()-1,FALSE))</f>
        <v/>
      </c>
      <c r="W584" t="str">
        <f ca="1">IF(AND(ISNUMBER($W$1242),$B$677=1),$W$1242,HLOOKUP(INDIRECT(ADDRESS(2,COLUMN())),OFFSET($BN$2,0,0,ROW()-1,60),ROW()-1,FALSE))</f>
        <v/>
      </c>
      <c r="X584" t="str">
        <f ca="1">IF(AND(ISNUMBER($X$1242),$B$677=1),$X$1242,HLOOKUP(INDIRECT(ADDRESS(2,COLUMN())),OFFSET($BN$2,0,0,ROW()-1,60),ROW()-1,FALSE))</f>
        <v/>
      </c>
      <c r="Y584" t="str">
        <f ca="1">IF(AND(ISNUMBER($Y$1242),$B$677=1),$Y$1242,HLOOKUP(INDIRECT(ADDRESS(2,COLUMN())),OFFSET($BN$2,0,0,ROW()-1,60),ROW()-1,FALSE))</f>
        <v/>
      </c>
      <c r="Z584" t="str">
        <f ca="1">IF(AND(ISNUMBER($Z$1242),$B$677=1),$Z$1242,HLOOKUP(INDIRECT(ADDRESS(2,COLUMN())),OFFSET($BN$2,0,0,ROW()-1,60),ROW()-1,FALSE))</f>
        <v/>
      </c>
      <c r="AA584" t="str">
        <f ca="1">IF(AND(ISNUMBER($AA$1242),$B$677=1),$AA$1242,HLOOKUP(INDIRECT(ADDRESS(2,COLUMN())),OFFSET($BN$2,0,0,ROW()-1,60),ROW()-1,FALSE))</f>
        <v/>
      </c>
      <c r="AB584" t="str">
        <f ca="1">IF(AND(ISNUMBER($AB$1242),$B$677=1),$AB$1242,HLOOKUP(INDIRECT(ADDRESS(2,COLUMN())),OFFSET($BN$2,0,0,ROW()-1,60),ROW()-1,FALSE))</f>
        <v/>
      </c>
      <c r="AC584" t="str">
        <f ca="1">IF(AND(ISNUMBER($AC$1242),$B$677=1),$AC$1242,HLOOKUP(INDIRECT(ADDRESS(2,COLUMN())),OFFSET($BN$2,0,0,ROW()-1,60),ROW()-1,FALSE))</f>
        <v/>
      </c>
      <c r="AD584" t="str">
        <f ca="1">IF(AND(ISNUMBER($AD$1242),$B$677=1),$AD$1242,HLOOKUP(INDIRECT(ADDRESS(2,COLUMN())),OFFSET($BN$2,0,0,ROW()-1,60),ROW()-1,FALSE))</f>
        <v/>
      </c>
      <c r="AE584" t="str">
        <f ca="1">IF(AND(ISNUMBER($AE$1242),$B$677=1),$AE$1242,HLOOKUP(INDIRECT(ADDRESS(2,COLUMN())),OFFSET($BN$2,0,0,ROW()-1,60),ROW()-1,FALSE))</f>
        <v/>
      </c>
      <c r="AF584" t="str">
        <f ca="1">IF(AND(ISNUMBER($AF$1242),$B$677=1),$AF$1242,HLOOKUP(INDIRECT(ADDRESS(2,COLUMN())),OFFSET($BN$2,0,0,ROW()-1,60),ROW()-1,FALSE))</f>
        <v/>
      </c>
      <c r="AG584" t="str">
        <f ca="1">IF(AND(ISNUMBER($AG$1242),$B$677=1),$AG$1242,HLOOKUP(INDIRECT(ADDRESS(2,COLUMN())),OFFSET($BN$2,0,0,ROW()-1,60),ROW()-1,FALSE))</f>
        <v/>
      </c>
      <c r="AH584" t="str">
        <f ca="1">IF(AND(ISNUMBER($AH$1242),$B$677=1),$AH$1242,HLOOKUP(INDIRECT(ADDRESS(2,COLUMN())),OFFSET($BN$2,0,0,ROW()-1,60),ROW()-1,FALSE))</f>
        <v/>
      </c>
      <c r="AI584" t="str">
        <f ca="1">IF(AND(ISNUMBER($AI$1242),$B$677=1),$AI$1242,HLOOKUP(INDIRECT(ADDRESS(2,COLUMN())),OFFSET($BN$2,0,0,ROW()-1,60),ROW()-1,FALSE))</f>
        <v/>
      </c>
      <c r="AJ584" t="str">
        <f ca="1">IF(AND(ISNUMBER($AJ$1242),$B$677=1),$AJ$1242,HLOOKUP(INDIRECT(ADDRESS(2,COLUMN())),OFFSET($BN$2,0,0,ROW()-1,60),ROW()-1,FALSE))</f>
        <v/>
      </c>
      <c r="AK584" t="str">
        <f ca="1">IF(AND(ISNUMBER($AK$1242),$B$677=1),$AK$1242,HLOOKUP(INDIRECT(ADDRESS(2,COLUMN())),OFFSET($BN$2,0,0,ROW()-1,60),ROW()-1,FALSE))</f>
        <v/>
      </c>
      <c r="AL584" t="str">
        <f ca="1">IF(AND(ISNUMBER($AL$1242),$B$677=1),$AL$1242,HLOOKUP(INDIRECT(ADDRESS(2,COLUMN())),OFFSET($BN$2,0,0,ROW()-1,60),ROW()-1,FALSE))</f>
        <v/>
      </c>
      <c r="AM584" t="str">
        <f ca="1">IF(AND(ISNUMBER($AM$1242),$B$677=1),$AM$1242,HLOOKUP(INDIRECT(ADDRESS(2,COLUMN())),OFFSET($BN$2,0,0,ROW()-1,60),ROW()-1,FALSE))</f>
        <v/>
      </c>
      <c r="AN584" t="str">
        <f ca="1">IF(AND(ISNUMBER($AN$1242),$B$677=1),$AN$1242,HLOOKUP(INDIRECT(ADDRESS(2,COLUMN())),OFFSET($BN$2,0,0,ROW()-1,60),ROW()-1,FALSE))</f>
        <v/>
      </c>
      <c r="AO584" t="str">
        <f ca="1">IF(AND(ISNUMBER($AO$1242),$B$677=1),$AO$1242,HLOOKUP(INDIRECT(ADDRESS(2,COLUMN())),OFFSET($BN$2,0,0,ROW()-1,60),ROW()-1,FALSE))</f>
        <v/>
      </c>
      <c r="AP584" t="str">
        <f ca="1">IF(AND(ISNUMBER($AP$1242),$B$677=1),$AP$1242,HLOOKUP(INDIRECT(ADDRESS(2,COLUMN())),OFFSET($BN$2,0,0,ROW()-1,60),ROW()-1,FALSE))</f>
        <v/>
      </c>
      <c r="AQ584" t="str">
        <f ca="1">IF(AND(ISNUMBER($AQ$1242),$B$677=1),$AQ$1242,HLOOKUP(INDIRECT(ADDRESS(2,COLUMN())),OFFSET($BN$2,0,0,ROW()-1,60),ROW()-1,FALSE))</f>
        <v/>
      </c>
      <c r="AR584" t="str">
        <f ca="1">IF(AND(ISNUMBER($AR$1242),$B$677=1),$AR$1242,HLOOKUP(INDIRECT(ADDRESS(2,COLUMN())),OFFSET($BN$2,0,0,ROW()-1,60),ROW()-1,FALSE))</f>
        <v/>
      </c>
      <c r="AS584" t="str">
        <f ca="1">IF(AND(ISNUMBER($AS$1242),$B$677=1),$AS$1242,HLOOKUP(INDIRECT(ADDRESS(2,COLUMN())),OFFSET($BN$2,0,0,ROW()-1,60),ROW()-1,FALSE))</f>
        <v/>
      </c>
      <c r="AT584" t="str">
        <f ca="1">IF(AND(ISNUMBER($AT$1242),$B$677=1),$AT$1242,HLOOKUP(INDIRECT(ADDRESS(2,COLUMN())),OFFSET($BN$2,0,0,ROW()-1,60),ROW()-1,FALSE))</f>
        <v/>
      </c>
      <c r="AU584" t="str">
        <f ca="1">IF(AND(ISNUMBER($AU$1242),$B$677=1),$AU$1242,HLOOKUP(INDIRECT(ADDRESS(2,COLUMN())),OFFSET($BN$2,0,0,ROW()-1,60),ROW()-1,FALSE))</f>
        <v/>
      </c>
      <c r="AV584" t="str">
        <f ca="1">IF(AND(ISNUMBER($AV$1242),$B$677=1),$AV$1242,HLOOKUP(INDIRECT(ADDRESS(2,COLUMN())),OFFSET($BN$2,0,0,ROW()-1,60),ROW()-1,FALSE))</f>
        <v/>
      </c>
      <c r="AW584" t="str">
        <f ca="1">IF(AND(ISNUMBER($AW$1242),$B$677=1),$AW$1242,HLOOKUP(INDIRECT(ADDRESS(2,COLUMN())),OFFSET($BN$2,0,0,ROW()-1,60),ROW()-1,FALSE))</f>
        <v/>
      </c>
      <c r="AX584" t="str">
        <f ca="1">IF(AND(ISNUMBER($AX$1242),$B$677=1),$AX$1242,HLOOKUP(INDIRECT(ADDRESS(2,COLUMN())),OFFSET($BN$2,0,0,ROW()-1,60),ROW()-1,FALSE))</f>
        <v/>
      </c>
      <c r="AY584" t="str">
        <f ca="1">IF(AND(ISNUMBER($AY$1242),$B$677=1),$AY$1242,HLOOKUP(INDIRECT(ADDRESS(2,COLUMN())),OFFSET($BN$2,0,0,ROW()-1,60),ROW()-1,FALSE))</f>
        <v/>
      </c>
      <c r="AZ584" t="str">
        <f ca="1">IF(AND(ISNUMBER($AZ$1242),$B$677=1),$AZ$1242,HLOOKUP(INDIRECT(ADDRESS(2,COLUMN())),OFFSET($BN$2,0,0,ROW()-1,60),ROW()-1,FALSE))</f>
        <v/>
      </c>
      <c r="BA584" t="str">
        <f ca="1">IF(AND(ISNUMBER($BA$1242),$B$677=1),$BA$1242,HLOOKUP(INDIRECT(ADDRESS(2,COLUMN())),OFFSET($BN$2,0,0,ROW()-1,60),ROW()-1,FALSE))</f>
        <v/>
      </c>
      <c r="BB584" t="str">
        <f ca="1">IF(AND(ISNUMBER($BB$1242),$B$677=1),$BB$1242,HLOOKUP(INDIRECT(ADDRESS(2,COLUMN())),OFFSET($BN$2,0,0,ROW()-1,60),ROW()-1,FALSE))</f>
        <v/>
      </c>
      <c r="BC584" t="str">
        <f ca="1">IF(AND(ISNUMBER($BC$1242),$B$677=1),$BC$1242,HLOOKUP(INDIRECT(ADDRESS(2,COLUMN())),OFFSET($BN$2,0,0,ROW()-1,60),ROW()-1,FALSE))</f>
        <v/>
      </c>
      <c r="BD584" t="str">
        <f ca="1">IF(AND(ISNUMBER($BD$1242),$B$677=1),$BD$1242,HLOOKUP(INDIRECT(ADDRESS(2,COLUMN())),OFFSET($BN$2,0,0,ROW()-1,60),ROW()-1,FALSE))</f>
        <v/>
      </c>
      <c r="BE584" t="str">
        <f ca="1">IF(AND(ISNUMBER($BE$1242),$B$677=1),$BE$1242,HLOOKUP(INDIRECT(ADDRESS(2,COLUMN())),OFFSET($BN$2,0,0,ROW()-1,60),ROW()-1,FALSE))</f>
        <v/>
      </c>
      <c r="BF584" t="str">
        <f ca="1">IF(AND(ISNUMBER($BF$1242),$B$677=1),$BF$1242,HLOOKUP(INDIRECT(ADDRESS(2,COLUMN())),OFFSET($BN$2,0,0,ROW()-1,60),ROW()-1,FALSE))</f>
        <v/>
      </c>
      <c r="BG584" t="str">
        <f ca="1">IF(AND(ISNUMBER($BG$1242),$B$677=1),$BG$1242,HLOOKUP(INDIRECT(ADDRESS(2,COLUMN())),OFFSET($BN$2,0,0,ROW()-1,60),ROW()-1,FALSE))</f>
        <v/>
      </c>
      <c r="BH584" t="str">
        <f ca="1">IF(AND(ISNUMBER($BH$1242),$B$677=1),$BH$1242,HLOOKUP(INDIRECT(ADDRESS(2,COLUMN())),OFFSET($BN$2,0,0,ROW()-1,60),ROW()-1,FALSE))</f>
        <v/>
      </c>
      <c r="BI584" t="str">
        <f ca="1">IF(AND(ISNUMBER($BI$1242),$B$677=1),$BI$1242,HLOOKUP(INDIRECT(ADDRESS(2,COLUMN())),OFFSET($BN$2,0,0,ROW()-1,60),ROW()-1,FALSE))</f>
        <v/>
      </c>
      <c r="BJ584" t="str">
        <f ca="1">IF(AND(ISNUMBER($BJ$1242),$B$677=1),$BJ$1242,HLOOKUP(INDIRECT(ADDRESS(2,COLUMN())),OFFSET($BN$2,0,0,ROW()-1,60),ROW()-1,FALSE))</f>
        <v/>
      </c>
      <c r="BK584" t="str">
        <f ca="1">IF(AND(ISNUMBER($BK$1242),$B$677=1),$BK$1242,HLOOKUP(INDIRECT(ADDRESS(2,COLUMN())),OFFSET($BN$2,0,0,ROW()-1,60),ROW()-1,FALSE))</f>
        <v/>
      </c>
      <c r="BL584" t="str">
        <f ca="1">IF(AND(ISNUMBER($BL$1242),$B$677=1),$BL$1242,HLOOKUP(INDIRECT(ADDRESS(2,COLUMN())),OFFSET($BN$2,0,0,ROW()-1,60),ROW()-1,FALSE))</f>
        <v/>
      </c>
      <c r="BM584" t="str">
        <f ca="1">IF(AND(ISNUMBER($BM$1242),$B$677=1),$BM$1242,HLOOKUP(INDIRECT(ADDRESS(2,COLUMN())),OFFSET($BN$2,0,0,ROW()-1,60),ROW()-1,FALSE))</f>
        <v/>
      </c>
      <c r="BN584" t="str">
        <f>""</f>
        <v/>
      </c>
      <c r="BO584" t="str">
        <f>""</f>
        <v/>
      </c>
      <c r="BP584" t="str">
        <f>""</f>
        <v/>
      </c>
      <c r="BQ584" t="str">
        <f>""</f>
        <v/>
      </c>
      <c r="BR584" t="str">
        <f>""</f>
        <v/>
      </c>
      <c r="BS584" t="str">
        <f>""</f>
        <v/>
      </c>
      <c r="BT584" t="str">
        <f>""</f>
        <v/>
      </c>
      <c r="BU584" t="str">
        <f>""</f>
        <v/>
      </c>
      <c r="BV584" t="str">
        <f>""</f>
        <v/>
      </c>
      <c r="BW584" t="str">
        <f>""</f>
        <v/>
      </c>
      <c r="BX584" t="str">
        <f>""</f>
        <v/>
      </c>
      <c r="BY584" t="str">
        <f>""</f>
        <v/>
      </c>
      <c r="BZ584" t="str">
        <f>""</f>
        <v/>
      </c>
      <c r="CA584" t="str">
        <f>""</f>
        <v/>
      </c>
      <c r="CB584" t="str">
        <f>""</f>
        <v/>
      </c>
      <c r="CC584" t="str">
        <f>""</f>
        <v/>
      </c>
      <c r="CD584" t="str">
        <f>""</f>
        <v/>
      </c>
      <c r="CE584" t="str">
        <f>""</f>
        <v/>
      </c>
      <c r="CF584" t="str">
        <f>""</f>
        <v/>
      </c>
      <c r="CG584" t="str">
        <f>""</f>
        <v/>
      </c>
      <c r="CH584" t="str">
        <f>""</f>
        <v/>
      </c>
      <c r="CI584" t="str">
        <f>""</f>
        <v/>
      </c>
      <c r="CJ584" t="str">
        <f>""</f>
        <v/>
      </c>
      <c r="CK584" t="str">
        <f>""</f>
        <v/>
      </c>
      <c r="CL584" t="str">
        <f>""</f>
        <v/>
      </c>
      <c r="CM584" t="str">
        <f>""</f>
        <v/>
      </c>
      <c r="CN584" t="str">
        <f>""</f>
        <v/>
      </c>
      <c r="CO584" t="str">
        <f>""</f>
        <v/>
      </c>
      <c r="CP584" t="str">
        <f>""</f>
        <v/>
      </c>
      <c r="CQ584" t="str">
        <f>""</f>
        <v/>
      </c>
      <c r="CR584" t="str">
        <f>""</f>
        <v/>
      </c>
      <c r="CS584" t="str">
        <f>""</f>
        <v/>
      </c>
      <c r="CT584" t="str">
        <f>""</f>
        <v/>
      </c>
      <c r="CU584" t="str">
        <f>""</f>
        <v/>
      </c>
      <c r="CV584" t="str">
        <f>""</f>
        <v/>
      </c>
      <c r="CW584" t="str">
        <f>""</f>
        <v/>
      </c>
      <c r="CX584" t="str">
        <f>""</f>
        <v/>
      </c>
      <c r="CY584" t="str">
        <f>""</f>
        <v/>
      </c>
      <c r="CZ584" t="str">
        <f>""</f>
        <v/>
      </c>
      <c r="DA584" t="str">
        <f>""</f>
        <v/>
      </c>
      <c r="DB584" t="str">
        <f>""</f>
        <v/>
      </c>
      <c r="DC584" t="str">
        <f>""</f>
        <v/>
      </c>
      <c r="DD584" t="str">
        <f>""</f>
        <v/>
      </c>
      <c r="DE584" t="str">
        <f>""</f>
        <v/>
      </c>
      <c r="DF584" t="str">
        <f>""</f>
        <v/>
      </c>
      <c r="DG584" t="str">
        <f>""</f>
        <v/>
      </c>
      <c r="DH584" t="str">
        <f>""</f>
        <v/>
      </c>
      <c r="DI584" t="str">
        <f>""</f>
        <v/>
      </c>
      <c r="DJ584" t="str">
        <f>""</f>
        <v/>
      </c>
      <c r="DK584" t="str">
        <f>""</f>
        <v/>
      </c>
      <c r="DL584" t="str">
        <f>""</f>
        <v/>
      </c>
      <c r="DM584" t="str">
        <f>""</f>
        <v/>
      </c>
      <c r="DN584" t="str">
        <f>""</f>
        <v/>
      </c>
      <c r="DO584" t="str">
        <f>""</f>
        <v/>
      </c>
      <c r="DP584" t="str">
        <f>""</f>
        <v/>
      </c>
      <c r="DQ584" t="str">
        <f>""</f>
        <v/>
      </c>
      <c r="DR584" t="str">
        <f>""</f>
        <v/>
      </c>
      <c r="DS584" t="str">
        <f>""</f>
        <v/>
      </c>
      <c r="DT584" t="str">
        <f>""</f>
        <v/>
      </c>
      <c r="DU584" t="str">
        <f>""</f>
        <v/>
      </c>
    </row>
    <row r="585" spans="1:125" x14ac:dyDescent="0.25">
      <c r="A585" t="str">
        <f>"    BYD Co Ltd"</f>
        <v xml:space="preserve">    BYD Co Ltd</v>
      </c>
      <c r="B585" t="str">
        <f>"1211 HK Equity"</f>
        <v>1211 HK Equity</v>
      </c>
      <c r="C585" t="str">
        <f t="shared" si="42"/>
        <v>RX072</v>
      </c>
      <c r="D585" t="str">
        <f t="shared" si="43"/>
        <v>FREE_CASH_FLOW_YIELD</v>
      </c>
      <c r="E585" t="str">
        <f t="shared" si="44"/>
        <v>Dynamic</v>
      </c>
      <c r="F585">
        <f ca="1">IF(AND(ISNUMBER($F$1243),$B$677=1),$F$1243,HLOOKUP(INDIRECT(ADDRESS(2,COLUMN())),OFFSET($BN$2,0,0,ROW()-1,60),ROW()-1,FALSE))</f>
        <v>-6.9575312890000003</v>
      </c>
      <c r="G585">
        <f ca="1">IF(AND(ISNUMBER($G$1243),$B$677=1),$G$1243,HLOOKUP(INDIRECT(ADDRESS(2,COLUMN())),OFFSET($BN$2,0,0,ROW()-1,60),ROW()-1,FALSE))</f>
        <v>-6.8178563509999996</v>
      </c>
      <c r="H585">
        <f ca="1">IF(AND(ISNUMBER($H$1243),$B$677=1),$H$1243,HLOOKUP(INDIRECT(ADDRESS(2,COLUMN())),OFFSET($BN$2,0,0,ROW()-1,60),ROW()-1,FALSE))</f>
        <v>-6.0627443169999999</v>
      </c>
      <c r="I585">
        <f ca="1">IF(AND(ISNUMBER($I$1243),$B$677=1),$I$1243,HLOOKUP(INDIRECT(ADDRESS(2,COLUMN())),OFFSET($BN$2,0,0,ROW()-1,60),ROW()-1,FALSE))</f>
        <v>-9.9165253569999994</v>
      </c>
      <c r="J585">
        <f ca="1">IF(AND(ISNUMBER($J$1243),$B$677=1),$J$1243,HLOOKUP(INDIRECT(ADDRESS(2,COLUMN())),OFFSET($BN$2,0,0,ROW()-1,60),ROW()-1,FALSE))</f>
        <v>-7.1034797909999998</v>
      </c>
      <c r="K585">
        <f ca="1">IF(AND(ISNUMBER($K$1243),$B$677=1),$K$1243,HLOOKUP(INDIRECT(ADDRESS(2,COLUMN())),OFFSET($BN$2,0,0,ROW()-1,60),ROW()-1,FALSE))</f>
        <v>-6.9713115280000002</v>
      </c>
      <c r="L585">
        <f ca="1">IF(AND(ISNUMBER($L$1243),$B$677=1),$L$1243,HLOOKUP(INDIRECT(ADDRESS(2,COLUMN())),OFFSET($BN$2,0,0,ROW()-1,60),ROW()-1,FALSE))</f>
        <v>-8.8373148060000002</v>
      </c>
      <c r="M585">
        <f ca="1">IF(AND(ISNUMBER($M$1243),$B$677=1),$M$1243,HLOOKUP(INDIRECT(ADDRESS(2,COLUMN())),OFFSET($BN$2,0,0,ROW()-1,60),ROW()-1,FALSE))</f>
        <v>-17.536227289999999</v>
      </c>
      <c r="N585">
        <f ca="1">IF(AND(ISNUMBER($N$1243),$B$677=1),$N$1243,HLOOKUP(INDIRECT(ADDRESS(2,COLUMN())),OFFSET($BN$2,0,0,ROW()-1,60),ROW()-1,FALSE))</f>
        <v>-18.628386880000001</v>
      </c>
      <c r="O585">
        <f ca="1">IF(AND(ISNUMBER($O$1243),$B$677=1),$O$1243,HLOOKUP(INDIRECT(ADDRESS(2,COLUMN())),OFFSET($BN$2,0,0,ROW()-1,60),ROW()-1,FALSE))</f>
        <v>-18.127723799999998</v>
      </c>
      <c r="P585">
        <f ca="1">IF(AND(ISNUMBER($P$1243),$B$677=1),$P$1243,HLOOKUP(INDIRECT(ADDRESS(2,COLUMN())),OFFSET($BN$2,0,0,ROW()-1,60),ROW()-1,FALSE))</f>
        <v>-11.177523040000001</v>
      </c>
      <c r="Q585">
        <f ca="1">IF(AND(ISNUMBER($Q$1243),$B$677=1),$Q$1243,HLOOKUP(INDIRECT(ADDRESS(2,COLUMN())),OFFSET($BN$2,0,0,ROW()-1,60),ROW()-1,FALSE))</f>
        <v>-15.780564160000001</v>
      </c>
      <c r="R585">
        <f ca="1">IF(AND(ISNUMBER($R$1243),$B$677=1),$R$1243,HLOOKUP(INDIRECT(ADDRESS(2,COLUMN())),OFFSET($BN$2,0,0,ROW()-1,60),ROW()-1,FALSE))</f>
        <v>-17.082334719999999</v>
      </c>
      <c r="S585">
        <f ca="1">IF(AND(ISNUMBER($S$1243),$B$677=1),$S$1243,HLOOKUP(INDIRECT(ADDRESS(2,COLUMN())),OFFSET($BN$2,0,0,ROW()-1,60),ROW()-1,FALSE))</f>
        <v>-11.534558880000001</v>
      </c>
      <c r="T585">
        <f ca="1">IF(AND(ISNUMBER($T$1243),$B$677=1),$T$1243,HLOOKUP(INDIRECT(ADDRESS(2,COLUMN())),OFFSET($BN$2,0,0,ROW()-1,60),ROW()-1,FALSE))</f>
        <v>-15.532225220000001</v>
      </c>
      <c r="U585">
        <f ca="1">IF(AND(ISNUMBER($U$1243),$B$677=1),$U$1243,HLOOKUP(INDIRECT(ADDRESS(2,COLUMN())),OFFSET($BN$2,0,0,ROW()-1,60),ROW()-1,FALSE))</f>
        <v>-9.2942118929999999</v>
      </c>
      <c r="V585">
        <f ca="1">IF(AND(ISNUMBER($V$1243),$B$677=1),$V$1243,HLOOKUP(INDIRECT(ADDRESS(2,COLUMN())),OFFSET($BN$2,0,0,ROW()-1,60),ROW()-1,FALSE))</f>
        <v>-8.3910324000000003</v>
      </c>
      <c r="W585">
        <f ca="1">IF(AND(ISNUMBER($W$1243),$B$677=1),$W$1243,HLOOKUP(INDIRECT(ADDRESS(2,COLUMN())),OFFSET($BN$2,0,0,ROW()-1,60),ROW()-1,FALSE))</f>
        <v>-17.348382999999998</v>
      </c>
      <c r="X585">
        <f ca="1">IF(AND(ISNUMBER($X$1243),$B$677=1),$X$1243,HLOOKUP(INDIRECT(ADDRESS(2,COLUMN())),OFFSET($BN$2,0,0,ROW()-1,60),ROW()-1,FALSE))</f>
        <v>-10.19162867</v>
      </c>
      <c r="Y585">
        <f ca="1">IF(AND(ISNUMBER($Y$1243),$B$677=1),$Y$1243,HLOOKUP(INDIRECT(ADDRESS(2,COLUMN())),OFFSET($BN$2,0,0,ROW()-1,60),ROW()-1,FALSE))</f>
        <v>-10.26885066</v>
      </c>
      <c r="Z585">
        <f ca="1">IF(AND(ISNUMBER($Z$1243),$B$677=1),$Z$1243,HLOOKUP(INDIRECT(ADDRESS(2,COLUMN())),OFFSET($BN$2,0,0,ROW()-1,60),ROW()-1,FALSE))</f>
        <v>-7.0117774319999997</v>
      </c>
      <c r="AA585">
        <f ca="1">IF(AND(ISNUMBER($AA$1243),$B$677=1),$AA$1243,HLOOKUP(INDIRECT(ADDRESS(2,COLUMN())),OFFSET($BN$2,0,0,ROW()-1,60),ROW()-1,FALSE))</f>
        <v>-6.5444963779999998</v>
      </c>
      <c r="AB585">
        <f ca="1">IF(AND(ISNUMBER($AB$1243),$B$677=1),$AB$1243,HLOOKUP(INDIRECT(ADDRESS(2,COLUMN())),OFFSET($BN$2,0,0,ROW()-1,60),ROW()-1,FALSE))</f>
        <v>-3.6105785589999999</v>
      </c>
      <c r="AC585">
        <f ca="1">IF(AND(ISNUMBER($AC$1243),$B$677=1),$AC$1243,HLOOKUP(INDIRECT(ADDRESS(2,COLUMN())),OFFSET($BN$2,0,0,ROW()-1,60),ROW()-1,FALSE))</f>
        <v>-4.9806239259999998</v>
      </c>
      <c r="AD585">
        <f ca="1">IF(AND(ISNUMBER($AD$1243),$B$677=1),$AD$1243,HLOOKUP(INDIRECT(ADDRESS(2,COLUMN())),OFFSET($BN$2,0,0,ROW()-1,60),ROW()-1,FALSE))</f>
        <v>-5.1455915230000002</v>
      </c>
      <c r="AE585">
        <f ca="1">IF(AND(ISNUMBER($AE$1243),$B$677=1),$AE$1243,HLOOKUP(INDIRECT(ADDRESS(2,COLUMN())),OFFSET($BN$2,0,0,ROW()-1,60),ROW()-1,FALSE))</f>
        <v>9.1838601000000006E-2</v>
      </c>
      <c r="AF585">
        <f ca="1">IF(AND(ISNUMBER($AF$1243),$B$677=1),$AF$1243,HLOOKUP(INDIRECT(ADDRESS(2,COLUMN())),OFFSET($BN$2,0,0,ROW()-1,60),ROW()-1,FALSE))</f>
        <v>-5.17043974</v>
      </c>
      <c r="AG585">
        <f ca="1">IF(AND(ISNUMBER($AG$1243),$B$677=1),$AG$1243,HLOOKUP(INDIRECT(ADDRESS(2,COLUMN())),OFFSET($BN$2,0,0,ROW()-1,60),ROW()-1,FALSE))</f>
        <v>-6.0825327590000002</v>
      </c>
      <c r="AH585" t="str">
        <f ca="1">IF(AND(ISNUMBER($AH$1243),$B$677=1),$AH$1243,HLOOKUP(INDIRECT(ADDRESS(2,COLUMN())),OFFSET($BN$2,0,0,ROW()-1,60),ROW()-1,FALSE))</f>
        <v/>
      </c>
      <c r="AI585" t="str">
        <f ca="1">IF(AND(ISNUMBER($AI$1243),$B$677=1),$AI$1243,HLOOKUP(INDIRECT(ADDRESS(2,COLUMN())),OFFSET($BN$2,0,0,ROW()-1,60),ROW()-1,FALSE))</f>
        <v/>
      </c>
      <c r="AJ585" t="str">
        <f ca="1">IF(AND(ISNUMBER($AJ$1243),$B$677=1),$AJ$1243,HLOOKUP(INDIRECT(ADDRESS(2,COLUMN())),OFFSET($BN$2,0,0,ROW()-1,60),ROW()-1,FALSE))</f>
        <v/>
      </c>
      <c r="AK585" t="str">
        <f ca="1">IF(AND(ISNUMBER($AK$1243),$B$677=1),$AK$1243,HLOOKUP(INDIRECT(ADDRESS(2,COLUMN())),OFFSET($BN$2,0,0,ROW()-1,60),ROW()-1,FALSE))</f>
        <v/>
      </c>
      <c r="AL585" t="str">
        <f ca="1">IF(AND(ISNUMBER($AL$1243),$B$677=1),$AL$1243,HLOOKUP(INDIRECT(ADDRESS(2,COLUMN())),OFFSET($BN$2,0,0,ROW()-1,60),ROW()-1,FALSE))</f>
        <v/>
      </c>
      <c r="AM585" t="str">
        <f ca="1">IF(AND(ISNUMBER($AM$1243),$B$677=1),$AM$1243,HLOOKUP(INDIRECT(ADDRESS(2,COLUMN())),OFFSET($BN$2,0,0,ROW()-1,60),ROW()-1,FALSE))</f>
        <v/>
      </c>
      <c r="AN585" t="str">
        <f ca="1">IF(AND(ISNUMBER($AN$1243),$B$677=1),$AN$1243,HLOOKUP(INDIRECT(ADDRESS(2,COLUMN())),OFFSET($BN$2,0,0,ROW()-1,60),ROW()-1,FALSE))</f>
        <v/>
      </c>
      <c r="AO585" t="str">
        <f ca="1">IF(AND(ISNUMBER($AO$1243),$B$677=1),$AO$1243,HLOOKUP(INDIRECT(ADDRESS(2,COLUMN())),OFFSET($BN$2,0,0,ROW()-1,60),ROW()-1,FALSE))</f>
        <v/>
      </c>
      <c r="AP585" t="str">
        <f ca="1">IF(AND(ISNUMBER($AP$1243),$B$677=1),$AP$1243,HLOOKUP(INDIRECT(ADDRESS(2,COLUMN())),OFFSET($BN$2,0,0,ROW()-1,60),ROW()-1,FALSE))</f>
        <v/>
      </c>
      <c r="AQ585" t="str">
        <f ca="1">IF(AND(ISNUMBER($AQ$1243),$B$677=1),$AQ$1243,HLOOKUP(INDIRECT(ADDRESS(2,COLUMN())),OFFSET($BN$2,0,0,ROW()-1,60),ROW()-1,FALSE))</f>
        <v/>
      </c>
      <c r="AR585" t="str">
        <f ca="1">IF(AND(ISNUMBER($AR$1243),$B$677=1),$AR$1243,HLOOKUP(INDIRECT(ADDRESS(2,COLUMN())),OFFSET($BN$2,0,0,ROW()-1,60),ROW()-1,FALSE))</f>
        <v/>
      </c>
      <c r="AS585" t="str">
        <f ca="1">IF(AND(ISNUMBER($AS$1243),$B$677=1),$AS$1243,HLOOKUP(INDIRECT(ADDRESS(2,COLUMN())),OFFSET($BN$2,0,0,ROW()-1,60),ROW()-1,FALSE))</f>
        <v/>
      </c>
      <c r="AT585" t="str">
        <f ca="1">IF(AND(ISNUMBER($AT$1243),$B$677=1),$AT$1243,HLOOKUP(INDIRECT(ADDRESS(2,COLUMN())),OFFSET($BN$2,0,0,ROW()-1,60),ROW()-1,FALSE))</f>
        <v/>
      </c>
      <c r="AU585" t="str">
        <f ca="1">IF(AND(ISNUMBER($AU$1243),$B$677=1),$AU$1243,HLOOKUP(INDIRECT(ADDRESS(2,COLUMN())),OFFSET($BN$2,0,0,ROW()-1,60),ROW()-1,FALSE))</f>
        <v/>
      </c>
      <c r="AV585" t="str">
        <f ca="1">IF(AND(ISNUMBER($AV$1243),$B$677=1),$AV$1243,HLOOKUP(INDIRECT(ADDRESS(2,COLUMN())),OFFSET($BN$2,0,0,ROW()-1,60),ROW()-1,FALSE))</f>
        <v/>
      </c>
      <c r="AW585" t="str">
        <f ca="1">IF(AND(ISNUMBER($AW$1243),$B$677=1),$AW$1243,HLOOKUP(INDIRECT(ADDRESS(2,COLUMN())),OFFSET($BN$2,0,0,ROW()-1,60),ROW()-1,FALSE))</f>
        <v/>
      </c>
      <c r="AX585" t="str">
        <f ca="1">IF(AND(ISNUMBER($AX$1243),$B$677=1),$AX$1243,HLOOKUP(INDIRECT(ADDRESS(2,COLUMN())),OFFSET($BN$2,0,0,ROW()-1,60),ROW()-1,FALSE))</f>
        <v/>
      </c>
      <c r="AY585" t="str">
        <f ca="1">IF(AND(ISNUMBER($AY$1243),$B$677=1),$AY$1243,HLOOKUP(INDIRECT(ADDRESS(2,COLUMN())),OFFSET($BN$2,0,0,ROW()-1,60),ROW()-1,FALSE))</f>
        <v/>
      </c>
      <c r="AZ585" t="str">
        <f ca="1">IF(AND(ISNUMBER($AZ$1243),$B$677=1),$AZ$1243,HLOOKUP(INDIRECT(ADDRESS(2,COLUMN())),OFFSET($BN$2,0,0,ROW()-1,60),ROW()-1,FALSE))</f>
        <v/>
      </c>
      <c r="BA585" t="str">
        <f ca="1">IF(AND(ISNUMBER($BA$1243),$B$677=1),$BA$1243,HLOOKUP(INDIRECT(ADDRESS(2,COLUMN())),OFFSET($BN$2,0,0,ROW()-1,60),ROW()-1,FALSE))</f>
        <v/>
      </c>
      <c r="BB585" t="str">
        <f ca="1">IF(AND(ISNUMBER($BB$1243),$B$677=1),$BB$1243,HLOOKUP(INDIRECT(ADDRESS(2,COLUMN())),OFFSET($BN$2,0,0,ROW()-1,60),ROW()-1,FALSE))</f>
        <v/>
      </c>
      <c r="BC585" t="str">
        <f ca="1">IF(AND(ISNUMBER($BC$1243),$B$677=1),$BC$1243,HLOOKUP(INDIRECT(ADDRESS(2,COLUMN())),OFFSET($BN$2,0,0,ROW()-1,60),ROW()-1,FALSE))</f>
        <v/>
      </c>
      <c r="BD585" t="str">
        <f ca="1">IF(AND(ISNUMBER($BD$1243),$B$677=1),$BD$1243,HLOOKUP(INDIRECT(ADDRESS(2,COLUMN())),OFFSET($BN$2,0,0,ROW()-1,60),ROW()-1,FALSE))</f>
        <v/>
      </c>
      <c r="BE585" t="str">
        <f ca="1">IF(AND(ISNUMBER($BE$1243),$B$677=1),$BE$1243,HLOOKUP(INDIRECT(ADDRESS(2,COLUMN())),OFFSET($BN$2,0,0,ROW()-1,60),ROW()-1,FALSE))</f>
        <v/>
      </c>
      <c r="BF585" t="str">
        <f ca="1">IF(AND(ISNUMBER($BF$1243),$B$677=1),$BF$1243,HLOOKUP(INDIRECT(ADDRESS(2,COLUMN())),OFFSET($BN$2,0,0,ROW()-1,60),ROW()-1,FALSE))</f>
        <v/>
      </c>
      <c r="BG585" t="str">
        <f ca="1">IF(AND(ISNUMBER($BG$1243),$B$677=1),$BG$1243,HLOOKUP(INDIRECT(ADDRESS(2,COLUMN())),OFFSET($BN$2,0,0,ROW()-1,60),ROW()-1,FALSE))</f>
        <v/>
      </c>
      <c r="BH585" t="str">
        <f ca="1">IF(AND(ISNUMBER($BH$1243),$B$677=1),$BH$1243,HLOOKUP(INDIRECT(ADDRESS(2,COLUMN())),OFFSET($BN$2,0,0,ROW()-1,60),ROW()-1,FALSE))</f>
        <v/>
      </c>
      <c r="BI585" t="str">
        <f ca="1">IF(AND(ISNUMBER($BI$1243),$B$677=1),$BI$1243,HLOOKUP(INDIRECT(ADDRESS(2,COLUMN())),OFFSET($BN$2,0,0,ROW()-1,60),ROW()-1,FALSE))</f>
        <v/>
      </c>
      <c r="BJ585" t="str">
        <f ca="1">IF(AND(ISNUMBER($BJ$1243),$B$677=1),$BJ$1243,HLOOKUP(INDIRECT(ADDRESS(2,COLUMN())),OFFSET($BN$2,0,0,ROW()-1,60),ROW()-1,FALSE))</f>
        <v/>
      </c>
      <c r="BK585" t="str">
        <f ca="1">IF(AND(ISNUMBER($BK$1243),$B$677=1),$BK$1243,HLOOKUP(INDIRECT(ADDRESS(2,COLUMN())),OFFSET($BN$2,0,0,ROW()-1,60),ROW()-1,FALSE))</f>
        <v/>
      </c>
      <c r="BL585" t="str">
        <f ca="1">IF(AND(ISNUMBER($BL$1243),$B$677=1),$BL$1243,HLOOKUP(INDIRECT(ADDRESS(2,COLUMN())),OFFSET($BN$2,0,0,ROW()-1,60),ROW()-1,FALSE))</f>
        <v/>
      </c>
      <c r="BM585" t="str">
        <f ca="1">IF(AND(ISNUMBER($BM$1243),$B$677=1),$BM$1243,HLOOKUP(INDIRECT(ADDRESS(2,COLUMN())),OFFSET($BN$2,0,0,ROW()-1,60),ROW()-1,FALSE))</f>
        <v/>
      </c>
      <c r="BN585">
        <f>-6.957531289</f>
        <v>-6.9575312890000003</v>
      </c>
      <c r="BO585">
        <f>-6.817856351</f>
        <v>-6.8178563509999996</v>
      </c>
      <c r="BP585">
        <f>-6.062744317</f>
        <v>-6.0627443169999999</v>
      </c>
      <c r="BQ585">
        <f>-9.916525357</f>
        <v>-9.9165253569999994</v>
      </c>
      <c r="BR585">
        <f>-7.103479791</f>
        <v>-7.1034797909999998</v>
      </c>
      <c r="BS585">
        <f>-6.971311528</f>
        <v>-6.9713115280000002</v>
      </c>
      <c r="BT585">
        <f>-8.837314806</f>
        <v>-8.8373148060000002</v>
      </c>
      <c r="BU585">
        <f>-17.53622729</f>
        <v>-17.536227289999999</v>
      </c>
      <c r="BV585">
        <f>-18.62838688</f>
        <v>-18.628386880000001</v>
      </c>
      <c r="BW585">
        <f>-18.1277238</f>
        <v>-18.127723799999998</v>
      </c>
      <c r="BX585">
        <f>-11.17752304</f>
        <v>-11.177523040000001</v>
      </c>
      <c r="BY585">
        <f>-15.78056416</f>
        <v>-15.780564160000001</v>
      </c>
      <c r="BZ585">
        <f>-17.08233472</f>
        <v>-17.082334719999999</v>
      </c>
      <c r="CA585">
        <f>-11.53455888</f>
        <v>-11.534558880000001</v>
      </c>
      <c r="CB585">
        <f>-15.53222522</f>
        <v>-15.532225220000001</v>
      </c>
      <c r="CC585">
        <f>-9.294211893</f>
        <v>-9.2942118929999999</v>
      </c>
      <c r="CD585">
        <f>-8.3910324</f>
        <v>-8.3910324000000003</v>
      </c>
      <c r="CE585">
        <f>-17.348383</f>
        <v>-17.348382999999998</v>
      </c>
      <c r="CF585">
        <f>-10.19162867</f>
        <v>-10.19162867</v>
      </c>
      <c r="CG585">
        <f>-10.26885066</f>
        <v>-10.26885066</v>
      </c>
      <c r="CH585">
        <f>-7.011777432</f>
        <v>-7.0117774319999997</v>
      </c>
      <c r="CI585">
        <f>-6.544496378</f>
        <v>-6.5444963779999998</v>
      </c>
      <c r="CJ585">
        <f>-3.610578559</f>
        <v>-3.6105785589999999</v>
      </c>
      <c r="CK585">
        <f>-4.980623926</f>
        <v>-4.9806239259999998</v>
      </c>
      <c r="CL585">
        <f>-5.145591523</f>
        <v>-5.1455915230000002</v>
      </c>
      <c r="CM585">
        <f>0.091838601</f>
        <v>9.1838601000000006E-2</v>
      </c>
      <c r="CN585">
        <f>-5.17043974</f>
        <v>-5.17043974</v>
      </c>
      <c r="CO585">
        <f>-6.082532759</f>
        <v>-6.0825327590000002</v>
      </c>
      <c r="CP585" t="str">
        <f>""</f>
        <v/>
      </c>
      <c r="CQ585" t="str">
        <f>""</f>
        <v/>
      </c>
      <c r="CR585" t="str">
        <f>""</f>
        <v/>
      </c>
      <c r="CS585" t="str">
        <f>""</f>
        <v/>
      </c>
      <c r="CT585" t="str">
        <f>""</f>
        <v/>
      </c>
      <c r="CU585" t="str">
        <f>""</f>
        <v/>
      </c>
      <c r="CV585" t="str">
        <f>""</f>
        <v/>
      </c>
      <c r="CW585" t="str">
        <f>""</f>
        <v/>
      </c>
      <c r="CX585" t="str">
        <f>""</f>
        <v/>
      </c>
      <c r="CY585" t="str">
        <f>""</f>
        <v/>
      </c>
      <c r="CZ585" t="str">
        <f>""</f>
        <v/>
      </c>
      <c r="DA585" t="str">
        <f>""</f>
        <v/>
      </c>
      <c r="DB585" t="str">
        <f>""</f>
        <v/>
      </c>
      <c r="DC585" t="str">
        <f>""</f>
        <v/>
      </c>
      <c r="DD585" t="str">
        <f>""</f>
        <v/>
      </c>
      <c r="DE585" t="str">
        <f>""</f>
        <v/>
      </c>
      <c r="DF585" t="str">
        <f>""</f>
        <v/>
      </c>
      <c r="DG585" t="str">
        <f>""</f>
        <v/>
      </c>
      <c r="DH585" t="str">
        <f>""</f>
        <v/>
      </c>
      <c r="DI585" t="str">
        <f>""</f>
        <v/>
      </c>
      <c r="DJ585" t="str">
        <f>""</f>
        <v/>
      </c>
      <c r="DK585" t="str">
        <f>""</f>
        <v/>
      </c>
      <c r="DL585" t="str">
        <f>""</f>
        <v/>
      </c>
      <c r="DM585" t="str">
        <f>""</f>
        <v/>
      </c>
      <c r="DN585" t="str">
        <f>""</f>
        <v/>
      </c>
      <c r="DO585" t="str">
        <f>""</f>
        <v/>
      </c>
      <c r="DP585" t="str">
        <f>""</f>
        <v/>
      </c>
      <c r="DQ585" t="str">
        <f>""</f>
        <v/>
      </c>
      <c r="DR585" t="str">
        <f>""</f>
        <v/>
      </c>
      <c r="DS585" t="str">
        <f>""</f>
        <v/>
      </c>
      <c r="DT585" t="str">
        <f>""</f>
        <v/>
      </c>
      <c r="DU585" t="str">
        <f>""</f>
        <v/>
      </c>
    </row>
    <row r="586" spans="1:125" x14ac:dyDescent="0.25">
      <c r="A586" t="str">
        <f>"    Chongqing Changan Automobile Co Ltd"</f>
        <v xml:space="preserve">    Chongqing Changan Automobile Co Ltd</v>
      </c>
      <c r="B586" t="str">
        <f>"200625 CH Equity"</f>
        <v>200625 CH Equity</v>
      </c>
      <c r="C586" t="str">
        <f t="shared" si="42"/>
        <v>RX072</v>
      </c>
      <c r="D586" t="str">
        <f t="shared" si="43"/>
        <v>FREE_CASH_FLOW_YIELD</v>
      </c>
      <c r="E586" t="str">
        <f t="shared" si="44"/>
        <v>Dynamic</v>
      </c>
      <c r="F586">
        <f ca="1">IF(AND(ISNUMBER($F$1244),$B$677=1),$F$1244,HLOOKUP(INDIRECT(ADDRESS(2,COLUMN())),OFFSET($BN$2,0,0,ROW()-1,60),ROW()-1,FALSE))</f>
        <v>-24.267585759999999</v>
      </c>
      <c r="G586">
        <f ca="1">IF(AND(ISNUMBER($G$1244),$B$677=1),$G$1244,HLOOKUP(INDIRECT(ADDRESS(2,COLUMN())),OFFSET($BN$2,0,0,ROW()-1,60),ROW()-1,FALSE))</f>
        <v>-29.322076450000001</v>
      </c>
      <c r="H586">
        <f ca="1">IF(AND(ISNUMBER($H$1244),$B$677=1),$H$1244,HLOOKUP(INDIRECT(ADDRESS(2,COLUMN())),OFFSET($BN$2,0,0,ROW()-1,60),ROW()-1,FALSE))</f>
        <v>-16.203607909999999</v>
      </c>
      <c r="I586">
        <f ca="1">IF(AND(ISNUMBER($I$1244),$B$677=1),$I$1244,HLOOKUP(INDIRECT(ADDRESS(2,COLUMN())),OFFSET($BN$2,0,0,ROW()-1,60),ROW()-1,FALSE))</f>
        <v>-6.8430894990000004</v>
      </c>
      <c r="J586">
        <f ca="1">IF(AND(ISNUMBER($J$1244),$B$677=1),$J$1244,HLOOKUP(INDIRECT(ADDRESS(2,COLUMN())),OFFSET($BN$2,0,0,ROW()-1,60),ROW()-1,FALSE))</f>
        <v>4.0215555619999996</v>
      </c>
      <c r="K586">
        <f ca="1">IF(AND(ISNUMBER($K$1244),$B$677=1),$K$1244,HLOOKUP(INDIRECT(ADDRESS(2,COLUMN())),OFFSET($BN$2,0,0,ROW()-1,60),ROW()-1,FALSE))</f>
        <v>11.420570870000001</v>
      </c>
      <c r="L586">
        <f ca="1">IF(AND(ISNUMBER($L$1244),$B$677=1),$L$1244,HLOOKUP(INDIRECT(ADDRESS(2,COLUMN())),OFFSET($BN$2,0,0,ROW()-1,60),ROW()-1,FALSE))</f>
        <v>7.366238858</v>
      </c>
      <c r="M586">
        <f ca="1">IF(AND(ISNUMBER($M$1244),$B$677=1),$M$1244,HLOOKUP(INDIRECT(ADDRESS(2,COLUMN())),OFFSET($BN$2,0,0,ROW()-1,60),ROW()-1,FALSE))</f>
        <v>20.37677867</v>
      </c>
      <c r="N586">
        <f ca="1">IF(AND(ISNUMBER($N$1244),$B$677=1),$N$1244,HLOOKUP(INDIRECT(ADDRESS(2,COLUMN())),OFFSET($BN$2,0,0,ROW()-1,60),ROW()-1,FALSE))</f>
        <v>23.06033759</v>
      </c>
      <c r="O586">
        <f ca="1">IF(AND(ISNUMBER($O$1244),$B$677=1),$O$1244,HLOOKUP(INDIRECT(ADDRESS(2,COLUMN())),OFFSET($BN$2,0,0,ROW()-1,60),ROW()-1,FALSE))</f>
        <v>15.83842606</v>
      </c>
      <c r="P586">
        <f ca="1">IF(AND(ISNUMBER($P$1244),$B$677=1),$P$1244,HLOOKUP(INDIRECT(ADDRESS(2,COLUMN())),OFFSET($BN$2,0,0,ROW()-1,60),ROW()-1,FALSE))</f>
        <v>16.741672470000001</v>
      </c>
      <c r="Q586">
        <f ca="1">IF(AND(ISNUMBER($Q$1244),$B$677=1),$Q$1244,HLOOKUP(INDIRECT(ADDRESS(2,COLUMN())),OFFSET($BN$2,0,0,ROW()-1,60),ROW()-1,FALSE))</f>
        <v>27.095453559999999</v>
      </c>
      <c r="R586">
        <f ca="1">IF(AND(ISNUMBER($R$1244),$B$677=1),$R$1244,HLOOKUP(INDIRECT(ADDRESS(2,COLUMN())),OFFSET($BN$2,0,0,ROW()-1,60),ROW()-1,FALSE))</f>
        <v>15.907053100000001</v>
      </c>
      <c r="S586">
        <f ca="1">IF(AND(ISNUMBER($S$1244),$B$677=1),$S$1244,HLOOKUP(INDIRECT(ADDRESS(2,COLUMN())),OFFSET($BN$2,0,0,ROW()-1,60),ROW()-1,FALSE))</f>
        <v>15.942165960000001</v>
      </c>
      <c r="T586">
        <f ca="1">IF(AND(ISNUMBER($T$1244),$B$677=1),$T$1244,HLOOKUP(INDIRECT(ADDRESS(2,COLUMN())),OFFSET($BN$2,0,0,ROW()-1,60),ROW()-1,FALSE))</f>
        <v>23.462792820000001</v>
      </c>
      <c r="U586">
        <f ca="1">IF(AND(ISNUMBER($U$1244),$B$677=1),$U$1244,HLOOKUP(INDIRECT(ADDRESS(2,COLUMN())),OFFSET($BN$2,0,0,ROW()-1,60),ROW()-1,FALSE))</f>
        <v>10.28482917</v>
      </c>
      <c r="V586">
        <f ca="1">IF(AND(ISNUMBER($V$1244),$B$677=1),$V$1244,HLOOKUP(INDIRECT(ADDRESS(2,COLUMN())),OFFSET($BN$2,0,0,ROW()-1,60),ROW()-1,FALSE))</f>
        <v>11.34264911</v>
      </c>
      <c r="W586">
        <f ca="1">IF(AND(ISNUMBER($W$1244),$B$677=1),$W$1244,HLOOKUP(INDIRECT(ADDRESS(2,COLUMN())),OFFSET($BN$2,0,0,ROW()-1,60),ROW()-1,FALSE))</f>
        <v>13.78511423</v>
      </c>
      <c r="X586">
        <f ca="1">IF(AND(ISNUMBER($X$1244),$B$677=1),$X$1244,HLOOKUP(INDIRECT(ADDRESS(2,COLUMN())),OFFSET($BN$2,0,0,ROW()-1,60),ROW()-1,FALSE))</f>
        <v>9.5743028809999995</v>
      </c>
      <c r="Y586">
        <f ca="1">IF(AND(ISNUMBER($Y$1244),$B$677=1),$Y$1244,HLOOKUP(INDIRECT(ADDRESS(2,COLUMN())),OFFSET($BN$2,0,0,ROW()-1,60),ROW()-1,FALSE))</f>
        <v>5.9384707399999996</v>
      </c>
      <c r="Z586">
        <f ca="1">IF(AND(ISNUMBER($Z$1244),$B$677=1),$Z$1244,HLOOKUP(INDIRECT(ADDRESS(2,COLUMN())),OFFSET($BN$2,0,0,ROW()-1,60),ROW()-1,FALSE))</f>
        <v>-1.354288516</v>
      </c>
      <c r="AA586">
        <f ca="1">IF(AND(ISNUMBER($AA$1244),$B$677=1),$AA$1244,HLOOKUP(INDIRECT(ADDRESS(2,COLUMN())),OFFSET($BN$2,0,0,ROW()-1,60),ROW()-1,FALSE))</f>
        <v>3.8353405700000001</v>
      </c>
      <c r="AB586">
        <f ca="1">IF(AND(ISNUMBER($AB$1244),$B$677=1),$AB$1244,HLOOKUP(INDIRECT(ADDRESS(2,COLUMN())),OFFSET($BN$2,0,0,ROW()-1,60),ROW()-1,FALSE))</f>
        <v>4.9087873569999996</v>
      </c>
      <c r="AC586">
        <f ca="1">IF(AND(ISNUMBER($AC$1244),$B$677=1),$AC$1244,HLOOKUP(INDIRECT(ADDRESS(2,COLUMN())),OFFSET($BN$2,0,0,ROW()-1,60),ROW()-1,FALSE))</f>
        <v>8.8306584210000008</v>
      </c>
      <c r="AD586">
        <f ca="1">IF(AND(ISNUMBER($AD$1244),$B$677=1),$AD$1244,HLOOKUP(INDIRECT(ADDRESS(2,COLUMN())),OFFSET($BN$2,0,0,ROW()-1,60),ROW()-1,FALSE))</f>
        <v>-4.0966539000000003E-2</v>
      </c>
      <c r="AE586">
        <f ca="1">IF(AND(ISNUMBER($AE$1244),$B$677=1),$AE$1244,HLOOKUP(INDIRECT(ADDRESS(2,COLUMN())),OFFSET($BN$2,0,0,ROW()-1,60),ROW()-1,FALSE))</f>
        <v>-15.93263093</v>
      </c>
      <c r="AF586">
        <f ca="1">IF(AND(ISNUMBER($AF$1244),$B$677=1),$AF$1244,HLOOKUP(INDIRECT(ADDRESS(2,COLUMN())),OFFSET($BN$2,0,0,ROW()-1,60),ROW()-1,FALSE))</f>
        <v>-58.874724100000002</v>
      </c>
      <c r="AG586">
        <f ca="1">IF(AND(ISNUMBER($AG$1244),$B$677=1),$AG$1244,HLOOKUP(INDIRECT(ADDRESS(2,COLUMN())),OFFSET($BN$2,0,0,ROW()-1,60),ROW()-1,FALSE))</f>
        <v>-53.475264320000001</v>
      </c>
      <c r="AH586">
        <f ca="1">IF(AND(ISNUMBER($AH$1244),$B$677=1),$AH$1244,HLOOKUP(INDIRECT(ADDRESS(2,COLUMN())),OFFSET($BN$2,0,0,ROW()-1,60),ROW()-1,FALSE))</f>
        <v>-48.172679680000002</v>
      </c>
      <c r="AI586">
        <f ca="1">IF(AND(ISNUMBER($AI$1244),$B$677=1),$AI$1244,HLOOKUP(INDIRECT(ADDRESS(2,COLUMN())),OFFSET($BN$2,0,0,ROW()-1,60),ROW()-1,FALSE))</f>
        <v>-35.616653700000001</v>
      </c>
      <c r="AJ586">
        <f ca="1">IF(AND(ISNUMBER($AJ$1244),$B$677=1),$AJ$1244,HLOOKUP(INDIRECT(ADDRESS(2,COLUMN())),OFFSET($BN$2,0,0,ROW()-1,60),ROW()-1,FALSE))</f>
        <v>-31.466623949999999</v>
      </c>
      <c r="AK586">
        <f ca="1">IF(AND(ISNUMBER($AK$1244),$B$677=1),$AK$1244,HLOOKUP(INDIRECT(ADDRESS(2,COLUMN())),OFFSET($BN$2,0,0,ROW()-1,60),ROW()-1,FALSE))</f>
        <v>-5.1631216230000003</v>
      </c>
      <c r="AL586">
        <f ca="1">IF(AND(ISNUMBER($AL$1244),$B$677=1),$AL$1244,HLOOKUP(INDIRECT(ADDRESS(2,COLUMN())),OFFSET($BN$2,0,0,ROW()-1,60),ROW()-1,FALSE))</f>
        <v>18.55789364</v>
      </c>
      <c r="AM586">
        <f ca="1">IF(AND(ISNUMBER($AM$1244),$B$677=1),$AM$1244,HLOOKUP(INDIRECT(ADDRESS(2,COLUMN())),OFFSET($BN$2,0,0,ROW()-1,60),ROW()-1,FALSE))</f>
        <v>13.2299773</v>
      </c>
      <c r="AN586">
        <f ca="1">IF(AND(ISNUMBER($AN$1244),$B$677=1),$AN$1244,HLOOKUP(INDIRECT(ADDRESS(2,COLUMN())),OFFSET($BN$2,0,0,ROW()-1,60),ROW()-1,FALSE))</f>
        <v>22.62498858</v>
      </c>
      <c r="AO586">
        <f ca="1">IF(AND(ISNUMBER($AO$1244),$B$677=1),$AO$1244,HLOOKUP(INDIRECT(ADDRESS(2,COLUMN())),OFFSET($BN$2,0,0,ROW()-1,60),ROW()-1,FALSE))</f>
        <v>38.23745933</v>
      </c>
      <c r="AP586">
        <f ca="1">IF(AND(ISNUMBER($AP$1244),$B$677=1),$AP$1244,HLOOKUP(INDIRECT(ADDRESS(2,COLUMN())),OFFSET($BN$2,0,0,ROW()-1,60),ROW()-1,FALSE))</f>
        <v>13.00675801</v>
      </c>
      <c r="AQ586">
        <f ca="1">IF(AND(ISNUMBER($AQ$1244),$B$677=1),$AQ$1244,HLOOKUP(INDIRECT(ADDRESS(2,COLUMN())),OFFSET($BN$2,0,0,ROW()-1,60),ROW()-1,FALSE))</f>
        <v>13.043805069999999</v>
      </c>
      <c r="AR586">
        <f ca="1">IF(AND(ISNUMBER($AR$1244),$B$677=1),$AR$1244,HLOOKUP(INDIRECT(ADDRESS(2,COLUMN())),OFFSET($BN$2,0,0,ROW()-1,60),ROW()-1,FALSE))</f>
        <v>24.48024796</v>
      </c>
      <c r="AS586">
        <f ca="1">IF(AND(ISNUMBER($AS$1244),$B$677=1),$AS$1244,HLOOKUP(INDIRECT(ADDRESS(2,COLUMN())),OFFSET($BN$2,0,0,ROW()-1,60),ROW()-1,FALSE))</f>
        <v>17.73161627</v>
      </c>
      <c r="AT586">
        <f ca="1">IF(AND(ISNUMBER($AT$1244),$B$677=1),$AT$1244,HLOOKUP(INDIRECT(ADDRESS(2,COLUMN())),OFFSET($BN$2,0,0,ROW()-1,60),ROW()-1,FALSE))</f>
        <v>19.524973710000001</v>
      </c>
      <c r="AU586">
        <f ca="1">IF(AND(ISNUMBER($AU$1244),$B$677=1),$AU$1244,HLOOKUP(INDIRECT(ADDRESS(2,COLUMN())),OFFSET($BN$2,0,0,ROW()-1,60),ROW()-1,FALSE))</f>
        <v>6.8226754039999999</v>
      </c>
      <c r="AV586">
        <f ca="1">IF(AND(ISNUMBER($AV$1244),$B$677=1),$AV$1244,HLOOKUP(INDIRECT(ADDRESS(2,COLUMN())),OFFSET($BN$2,0,0,ROW()-1,60),ROW()-1,FALSE))</f>
        <v>6.1838751299999997</v>
      </c>
      <c r="AW586">
        <f ca="1">IF(AND(ISNUMBER($AW$1244),$B$677=1),$AW$1244,HLOOKUP(INDIRECT(ADDRESS(2,COLUMN())),OFFSET($BN$2,0,0,ROW()-1,60),ROW()-1,FALSE))</f>
        <v>-4.84630926</v>
      </c>
      <c r="AX586">
        <f ca="1">IF(AND(ISNUMBER($AX$1244),$B$677=1),$AX$1244,HLOOKUP(INDIRECT(ADDRESS(2,COLUMN())),OFFSET($BN$2,0,0,ROW()-1,60),ROW()-1,FALSE))</f>
        <v>9.9194769999999995E-3</v>
      </c>
      <c r="AY586">
        <f ca="1">IF(AND(ISNUMBER($AY$1244),$B$677=1),$AY$1244,HLOOKUP(INDIRECT(ADDRESS(2,COLUMN())),OFFSET($BN$2,0,0,ROW()-1,60),ROW()-1,FALSE))</f>
        <v>5.4938001270000001</v>
      </c>
      <c r="AZ586">
        <f ca="1">IF(AND(ISNUMBER($AZ$1244),$B$677=1),$AZ$1244,HLOOKUP(INDIRECT(ADDRESS(2,COLUMN())),OFFSET($BN$2,0,0,ROW()-1,60),ROW()-1,FALSE))</f>
        <v>8.7319421439999996</v>
      </c>
      <c r="BA586">
        <f ca="1">IF(AND(ISNUMBER($BA$1244),$B$677=1),$BA$1244,HLOOKUP(INDIRECT(ADDRESS(2,COLUMN())),OFFSET($BN$2,0,0,ROW()-1,60),ROW()-1,FALSE))</f>
        <v>12.683788160000001</v>
      </c>
      <c r="BB586">
        <f ca="1">IF(AND(ISNUMBER($BB$1244),$B$677=1),$BB$1244,HLOOKUP(INDIRECT(ADDRESS(2,COLUMN())),OFFSET($BN$2,0,0,ROW()-1,60),ROW()-1,FALSE))</f>
        <v>1.3605570259999999</v>
      </c>
      <c r="BC586">
        <f ca="1">IF(AND(ISNUMBER($BC$1244),$B$677=1),$BC$1244,HLOOKUP(INDIRECT(ADDRESS(2,COLUMN())),OFFSET($BN$2,0,0,ROW()-1,60),ROW()-1,FALSE))</f>
        <v>-7.3720038419999998</v>
      </c>
      <c r="BD586">
        <f ca="1">IF(AND(ISNUMBER($BD$1244),$B$677=1),$BD$1244,HLOOKUP(INDIRECT(ADDRESS(2,COLUMN())),OFFSET($BN$2,0,0,ROW()-1,60),ROW()-1,FALSE))</f>
        <v>-16.341465240000002</v>
      </c>
      <c r="BE586">
        <f ca="1">IF(AND(ISNUMBER($BE$1244),$B$677=1),$BE$1244,HLOOKUP(INDIRECT(ADDRESS(2,COLUMN())),OFFSET($BN$2,0,0,ROW()-1,60),ROW()-1,FALSE))</f>
        <v>-24.74331359</v>
      </c>
      <c r="BF586">
        <f ca="1">IF(AND(ISNUMBER($BF$1244),$B$677=1),$BF$1244,HLOOKUP(INDIRECT(ADDRESS(2,COLUMN())),OFFSET($BN$2,0,0,ROW()-1,60),ROW()-1,FALSE))</f>
        <v>-29.13276368</v>
      </c>
      <c r="BG586">
        <f ca="1">IF(AND(ISNUMBER($BG$1244),$B$677=1),$BG$1244,HLOOKUP(INDIRECT(ADDRESS(2,COLUMN())),OFFSET($BN$2,0,0,ROW()-1,60),ROW()-1,FALSE))</f>
        <v>-12.62493366</v>
      </c>
      <c r="BH586">
        <f ca="1">IF(AND(ISNUMBER($BH$1244),$B$677=1),$BH$1244,HLOOKUP(INDIRECT(ADDRESS(2,COLUMN())),OFFSET($BN$2,0,0,ROW()-1,60),ROW()-1,FALSE))</f>
        <v>-10.8952417</v>
      </c>
      <c r="BI586" t="str">
        <f ca="1">IF(AND(ISNUMBER($BI$1244),$B$677=1),$BI$1244,HLOOKUP(INDIRECT(ADDRESS(2,COLUMN())),OFFSET($BN$2,0,0,ROW()-1,60),ROW()-1,FALSE))</f>
        <v/>
      </c>
      <c r="BJ586" t="str">
        <f ca="1">IF(AND(ISNUMBER($BJ$1244),$B$677=1),$BJ$1244,HLOOKUP(INDIRECT(ADDRESS(2,COLUMN())),OFFSET($BN$2,0,0,ROW()-1,60),ROW()-1,FALSE))</f>
        <v/>
      </c>
      <c r="BK586" t="str">
        <f ca="1">IF(AND(ISNUMBER($BK$1244),$B$677=1),$BK$1244,HLOOKUP(INDIRECT(ADDRESS(2,COLUMN())),OFFSET($BN$2,0,0,ROW()-1,60),ROW()-1,FALSE))</f>
        <v/>
      </c>
      <c r="BL586" t="str">
        <f ca="1">IF(AND(ISNUMBER($BL$1244),$B$677=1),$BL$1244,HLOOKUP(INDIRECT(ADDRESS(2,COLUMN())),OFFSET($BN$2,0,0,ROW()-1,60),ROW()-1,FALSE))</f>
        <v/>
      </c>
      <c r="BM586" t="str">
        <f ca="1">IF(AND(ISNUMBER($BM$1244),$B$677=1),$BM$1244,HLOOKUP(INDIRECT(ADDRESS(2,COLUMN())),OFFSET($BN$2,0,0,ROW()-1,60),ROW()-1,FALSE))</f>
        <v/>
      </c>
      <c r="BN586">
        <f>-24.26758576</f>
        <v>-24.267585759999999</v>
      </c>
      <c r="BO586">
        <f>-29.32207645</f>
        <v>-29.322076450000001</v>
      </c>
      <c r="BP586">
        <f>-16.20360791</f>
        <v>-16.203607909999999</v>
      </c>
      <c r="BQ586">
        <f>-6.843089499</f>
        <v>-6.8430894990000004</v>
      </c>
      <c r="BR586">
        <f>4.021555562</f>
        <v>4.0215555619999996</v>
      </c>
      <c r="BS586">
        <f>11.42057087</f>
        <v>11.420570870000001</v>
      </c>
      <c r="BT586">
        <f>7.366238858</f>
        <v>7.366238858</v>
      </c>
      <c r="BU586">
        <f>20.37677867</f>
        <v>20.37677867</v>
      </c>
      <c r="BV586">
        <f>23.06033759</f>
        <v>23.06033759</v>
      </c>
      <c r="BW586">
        <f>15.83842606</f>
        <v>15.83842606</v>
      </c>
      <c r="BX586">
        <f>16.74167247</f>
        <v>16.741672470000001</v>
      </c>
      <c r="BY586">
        <f>27.09545356</f>
        <v>27.095453559999999</v>
      </c>
      <c r="BZ586">
        <f>15.9070531</f>
        <v>15.907053100000001</v>
      </c>
      <c r="CA586">
        <f>15.94216596</f>
        <v>15.942165960000001</v>
      </c>
      <c r="CB586">
        <f>23.46279282</f>
        <v>23.462792820000001</v>
      </c>
      <c r="CC586">
        <f>10.28482917</f>
        <v>10.28482917</v>
      </c>
      <c r="CD586">
        <f>11.34264911</f>
        <v>11.34264911</v>
      </c>
      <c r="CE586">
        <f>13.78511423</f>
        <v>13.78511423</v>
      </c>
      <c r="CF586">
        <f>9.574302881</f>
        <v>9.5743028809999995</v>
      </c>
      <c r="CG586">
        <f>5.93847074</f>
        <v>5.9384707399999996</v>
      </c>
      <c r="CH586">
        <f>-1.354288516</f>
        <v>-1.354288516</v>
      </c>
      <c r="CI586">
        <f>3.83534057</f>
        <v>3.8353405700000001</v>
      </c>
      <c r="CJ586">
        <f>4.908787357</f>
        <v>4.9087873569999996</v>
      </c>
      <c r="CK586">
        <f>8.830658421</f>
        <v>8.8306584210000008</v>
      </c>
      <c r="CL586">
        <f>-0.040966539</f>
        <v>-4.0966539000000003E-2</v>
      </c>
      <c r="CM586">
        <f>-15.93263093</f>
        <v>-15.93263093</v>
      </c>
      <c r="CN586">
        <f>-58.8747241</f>
        <v>-58.874724100000002</v>
      </c>
      <c r="CO586">
        <f>-53.47526432</f>
        <v>-53.475264320000001</v>
      </c>
      <c r="CP586">
        <f>-48.17267968</f>
        <v>-48.172679680000002</v>
      </c>
      <c r="CQ586">
        <f>-35.6166537</f>
        <v>-35.616653700000001</v>
      </c>
      <c r="CR586">
        <f>-31.46662395</f>
        <v>-31.466623949999999</v>
      </c>
      <c r="CS586">
        <f>-5.163121623</f>
        <v>-5.1631216230000003</v>
      </c>
      <c r="CT586">
        <f>18.55789364</f>
        <v>18.55789364</v>
      </c>
      <c r="CU586">
        <f>13.2299773</f>
        <v>13.2299773</v>
      </c>
      <c r="CV586">
        <f>22.62498858</f>
        <v>22.62498858</v>
      </c>
      <c r="CW586">
        <f>38.23745933</f>
        <v>38.23745933</v>
      </c>
      <c r="CX586">
        <f>13.00675801</f>
        <v>13.00675801</v>
      </c>
      <c r="CY586">
        <f>13.04380507</f>
        <v>13.043805069999999</v>
      </c>
      <c r="CZ586">
        <f>24.48024796</f>
        <v>24.48024796</v>
      </c>
      <c r="DA586">
        <f>17.73161627</f>
        <v>17.73161627</v>
      </c>
      <c r="DB586">
        <f>19.52497371</f>
        <v>19.524973710000001</v>
      </c>
      <c r="DC586">
        <f>6.822675404</f>
        <v>6.8226754039999999</v>
      </c>
      <c r="DD586">
        <f>6.18387513</f>
        <v>6.1838751299999997</v>
      </c>
      <c r="DE586">
        <f>-4.84630926</f>
        <v>-4.84630926</v>
      </c>
      <c r="DF586">
        <f>0.009919477</f>
        <v>9.9194769999999995E-3</v>
      </c>
      <c r="DG586">
        <f>5.493800127</f>
        <v>5.4938001270000001</v>
      </c>
      <c r="DH586">
        <f>8.731942144</f>
        <v>8.7319421439999996</v>
      </c>
      <c r="DI586">
        <f>12.68378816</f>
        <v>12.683788160000001</v>
      </c>
      <c r="DJ586">
        <f>1.360557026</f>
        <v>1.3605570259999999</v>
      </c>
      <c r="DK586">
        <f>-7.372003842</f>
        <v>-7.3720038419999998</v>
      </c>
      <c r="DL586">
        <f>-16.34146524</f>
        <v>-16.341465240000002</v>
      </c>
      <c r="DM586">
        <f>-24.74331359</f>
        <v>-24.74331359</v>
      </c>
      <c r="DN586">
        <f>-29.13276368</f>
        <v>-29.13276368</v>
      </c>
      <c r="DO586">
        <f>-12.62493366</f>
        <v>-12.62493366</v>
      </c>
      <c r="DP586">
        <f>-10.8952417</f>
        <v>-10.8952417</v>
      </c>
      <c r="DQ586" t="str">
        <f>""</f>
        <v/>
      </c>
      <c r="DR586" t="str">
        <f>""</f>
        <v/>
      </c>
      <c r="DS586" t="str">
        <f>""</f>
        <v/>
      </c>
      <c r="DT586" t="str">
        <f>""</f>
        <v/>
      </c>
      <c r="DU586" t="str">
        <f>""</f>
        <v/>
      </c>
    </row>
    <row r="587" spans="1:125" x14ac:dyDescent="0.25">
      <c r="A587" t="str">
        <f>"    Daihatsu Motor Co Ltd"</f>
        <v xml:space="preserve">    Daihatsu Motor Co Ltd</v>
      </c>
      <c r="B587" t="str">
        <f>"7262 JP Equity"</f>
        <v>7262 JP Equity</v>
      </c>
      <c r="C587" t="str">
        <f t="shared" si="42"/>
        <v>RX072</v>
      </c>
      <c r="D587" t="str">
        <f t="shared" si="43"/>
        <v>FREE_CASH_FLOW_YIELD</v>
      </c>
      <c r="E587" t="str">
        <f t="shared" si="44"/>
        <v>Dynamic</v>
      </c>
      <c r="F587" t="str">
        <f ca="1">IF(AND(ISNUMBER($F$1245),$B$677=1),$F$1245,HLOOKUP(INDIRECT(ADDRESS(2,COLUMN())),OFFSET($BN$2,0,0,ROW()-1,60),ROW()-1,FALSE))</f>
        <v/>
      </c>
      <c r="G587" t="str">
        <f ca="1">IF(AND(ISNUMBER($G$1245),$B$677=1),$G$1245,HLOOKUP(INDIRECT(ADDRESS(2,COLUMN())),OFFSET($BN$2,0,0,ROW()-1,60),ROW()-1,FALSE))</f>
        <v/>
      </c>
      <c r="H587" t="str">
        <f ca="1">IF(AND(ISNUMBER($H$1245),$B$677=1),$H$1245,HLOOKUP(INDIRECT(ADDRESS(2,COLUMN())),OFFSET($BN$2,0,0,ROW()-1,60),ROW()-1,FALSE))</f>
        <v/>
      </c>
      <c r="I587" t="str">
        <f ca="1">IF(AND(ISNUMBER($I$1245),$B$677=1),$I$1245,HLOOKUP(INDIRECT(ADDRESS(2,COLUMN())),OFFSET($BN$2,0,0,ROW()-1,60),ROW()-1,FALSE))</f>
        <v/>
      </c>
      <c r="J587" t="str">
        <f ca="1">IF(AND(ISNUMBER($J$1245),$B$677=1),$J$1245,HLOOKUP(INDIRECT(ADDRESS(2,COLUMN())),OFFSET($BN$2,0,0,ROW()-1,60),ROW()-1,FALSE))</f>
        <v/>
      </c>
      <c r="K587" t="str">
        <f ca="1">IF(AND(ISNUMBER($K$1245),$B$677=1),$K$1245,HLOOKUP(INDIRECT(ADDRESS(2,COLUMN())),OFFSET($BN$2,0,0,ROW()-1,60),ROW()-1,FALSE))</f>
        <v/>
      </c>
      <c r="L587" t="str">
        <f ca="1">IF(AND(ISNUMBER($L$1245),$B$677=1),$L$1245,HLOOKUP(INDIRECT(ADDRESS(2,COLUMN())),OFFSET($BN$2,0,0,ROW()-1,60),ROW()-1,FALSE))</f>
        <v/>
      </c>
      <c r="M587" t="str">
        <f ca="1">IF(AND(ISNUMBER($M$1245),$B$677=1),$M$1245,HLOOKUP(INDIRECT(ADDRESS(2,COLUMN())),OFFSET($BN$2,0,0,ROW()-1,60),ROW()-1,FALSE))</f>
        <v/>
      </c>
      <c r="N587" t="str">
        <f ca="1">IF(AND(ISNUMBER($N$1245),$B$677=1),$N$1245,HLOOKUP(INDIRECT(ADDRESS(2,COLUMN())),OFFSET($BN$2,0,0,ROW()-1,60),ROW()-1,FALSE))</f>
        <v/>
      </c>
      <c r="O587" t="str">
        <f ca="1">IF(AND(ISNUMBER($O$1245),$B$677=1),$O$1245,HLOOKUP(INDIRECT(ADDRESS(2,COLUMN())),OFFSET($BN$2,0,0,ROW()-1,60),ROW()-1,FALSE))</f>
        <v/>
      </c>
      <c r="P587" t="str">
        <f ca="1">IF(AND(ISNUMBER($P$1245),$B$677=1),$P$1245,HLOOKUP(INDIRECT(ADDRESS(2,COLUMN())),OFFSET($BN$2,0,0,ROW()-1,60),ROW()-1,FALSE))</f>
        <v/>
      </c>
      <c r="Q587" t="str">
        <f ca="1">IF(AND(ISNUMBER($Q$1245),$B$677=1),$Q$1245,HLOOKUP(INDIRECT(ADDRESS(2,COLUMN())),OFFSET($BN$2,0,0,ROW()-1,60),ROW()-1,FALSE))</f>
        <v/>
      </c>
      <c r="R587" t="str">
        <f ca="1">IF(AND(ISNUMBER($R$1245),$B$677=1),$R$1245,HLOOKUP(INDIRECT(ADDRESS(2,COLUMN())),OFFSET($BN$2,0,0,ROW()-1,60),ROW()-1,FALSE))</f>
        <v/>
      </c>
      <c r="S587" t="str">
        <f ca="1">IF(AND(ISNUMBER($S$1245),$B$677=1),$S$1245,HLOOKUP(INDIRECT(ADDRESS(2,COLUMN())),OFFSET($BN$2,0,0,ROW()-1,60),ROW()-1,FALSE))</f>
        <v/>
      </c>
      <c r="T587" t="str">
        <f ca="1">IF(AND(ISNUMBER($T$1245),$B$677=1),$T$1245,HLOOKUP(INDIRECT(ADDRESS(2,COLUMN())),OFFSET($BN$2,0,0,ROW()-1,60),ROW()-1,FALSE))</f>
        <v/>
      </c>
      <c r="U587" t="str">
        <f ca="1">IF(AND(ISNUMBER($U$1245),$B$677=1),$U$1245,HLOOKUP(INDIRECT(ADDRESS(2,COLUMN())),OFFSET($BN$2,0,0,ROW()-1,60),ROW()-1,FALSE))</f>
        <v/>
      </c>
      <c r="V587" t="str">
        <f ca="1">IF(AND(ISNUMBER($V$1245),$B$677=1),$V$1245,HLOOKUP(INDIRECT(ADDRESS(2,COLUMN())),OFFSET($BN$2,0,0,ROW()-1,60),ROW()-1,FALSE))</f>
        <v/>
      </c>
      <c r="W587" t="str">
        <f ca="1">IF(AND(ISNUMBER($W$1245),$B$677=1),$W$1245,HLOOKUP(INDIRECT(ADDRESS(2,COLUMN())),OFFSET($BN$2,0,0,ROW()-1,60),ROW()-1,FALSE))</f>
        <v/>
      </c>
      <c r="X587" t="str">
        <f ca="1">IF(AND(ISNUMBER($X$1245),$B$677=1),$X$1245,HLOOKUP(INDIRECT(ADDRESS(2,COLUMN())),OFFSET($BN$2,0,0,ROW()-1,60),ROW()-1,FALSE))</f>
        <v/>
      </c>
      <c r="Y587" t="str">
        <f ca="1">IF(AND(ISNUMBER($Y$1245),$B$677=1),$Y$1245,HLOOKUP(INDIRECT(ADDRESS(2,COLUMN())),OFFSET($BN$2,0,0,ROW()-1,60),ROW()-1,FALSE))</f>
        <v/>
      </c>
      <c r="Z587" t="str">
        <f ca="1">IF(AND(ISNUMBER($Z$1245),$B$677=1),$Z$1245,HLOOKUP(INDIRECT(ADDRESS(2,COLUMN())),OFFSET($BN$2,0,0,ROW()-1,60),ROW()-1,FALSE))</f>
        <v/>
      </c>
      <c r="AA587" t="str">
        <f ca="1">IF(AND(ISNUMBER($AA$1245),$B$677=1),$AA$1245,HLOOKUP(INDIRECT(ADDRESS(2,COLUMN())),OFFSET($BN$2,0,0,ROW()-1,60),ROW()-1,FALSE))</f>
        <v/>
      </c>
      <c r="AB587" t="str">
        <f ca="1">IF(AND(ISNUMBER($AB$1245),$B$677=1),$AB$1245,HLOOKUP(INDIRECT(ADDRESS(2,COLUMN())),OFFSET($BN$2,0,0,ROW()-1,60),ROW()-1,FALSE))</f>
        <v/>
      </c>
      <c r="AC587" t="str">
        <f ca="1">IF(AND(ISNUMBER($AC$1245),$B$677=1),$AC$1245,HLOOKUP(INDIRECT(ADDRESS(2,COLUMN())),OFFSET($BN$2,0,0,ROW()-1,60),ROW()-1,FALSE))</f>
        <v/>
      </c>
      <c r="AD587" t="str">
        <f ca="1">IF(AND(ISNUMBER($AD$1245),$B$677=1),$AD$1245,HLOOKUP(INDIRECT(ADDRESS(2,COLUMN())),OFFSET($BN$2,0,0,ROW()-1,60),ROW()-1,FALSE))</f>
        <v/>
      </c>
      <c r="AE587" t="str">
        <f ca="1">IF(AND(ISNUMBER($AE$1245),$B$677=1),$AE$1245,HLOOKUP(INDIRECT(ADDRESS(2,COLUMN())),OFFSET($BN$2,0,0,ROW()-1,60),ROW()-1,FALSE))</f>
        <v/>
      </c>
      <c r="AF587" t="str">
        <f ca="1">IF(AND(ISNUMBER($AF$1245),$B$677=1),$AF$1245,HLOOKUP(INDIRECT(ADDRESS(2,COLUMN())),OFFSET($BN$2,0,0,ROW()-1,60),ROW()-1,FALSE))</f>
        <v/>
      </c>
      <c r="AG587" t="str">
        <f ca="1">IF(AND(ISNUMBER($AG$1245),$B$677=1),$AG$1245,HLOOKUP(INDIRECT(ADDRESS(2,COLUMN())),OFFSET($BN$2,0,0,ROW()-1,60),ROW()-1,FALSE))</f>
        <v/>
      </c>
      <c r="AH587" t="str">
        <f ca="1">IF(AND(ISNUMBER($AH$1245),$B$677=1),$AH$1245,HLOOKUP(INDIRECT(ADDRESS(2,COLUMN())),OFFSET($BN$2,0,0,ROW()-1,60),ROW()-1,FALSE))</f>
        <v/>
      </c>
      <c r="AI587" t="str">
        <f ca="1">IF(AND(ISNUMBER($AI$1245),$B$677=1),$AI$1245,HLOOKUP(INDIRECT(ADDRESS(2,COLUMN())),OFFSET($BN$2,0,0,ROW()-1,60),ROW()-1,FALSE))</f>
        <v/>
      </c>
      <c r="AJ587" t="str">
        <f ca="1">IF(AND(ISNUMBER($AJ$1245),$B$677=1),$AJ$1245,HLOOKUP(INDIRECT(ADDRESS(2,COLUMN())),OFFSET($BN$2,0,0,ROW()-1,60),ROW()-1,FALSE))</f>
        <v/>
      </c>
      <c r="AK587">
        <f ca="1">IF(AND(ISNUMBER($AK$1245),$B$677=1),$AK$1245,HLOOKUP(INDIRECT(ADDRESS(2,COLUMN())),OFFSET($BN$2,0,0,ROW()-1,60),ROW()-1,FALSE))</f>
        <v>18.293499229999998</v>
      </c>
      <c r="AL587">
        <f ca="1">IF(AND(ISNUMBER($AL$1245),$B$677=1),$AL$1245,HLOOKUP(INDIRECT(ADDRESS(2,COLUMN())),OFFSET($BN$2,0,0,ROW()-1,60),ROW()-1,FALSE))</f>
        <v>20.270766890000001</v>
      </c>
      <c r="AM587">
        <f ca="1">IF(AND(ISNUMBER($AM$1245),$B$677=1),$AM$1245,HLOOKUP(INDIRECT(ADDRESS(2,COLUMN())),OFFSET($BN$2,0,0,ROW()-1,60),ROW()-1,FALSE))</f>
        <v>24.398834109999999</v>
      </c>
      <c r="AN587">
        <f ca="1">IF(AND(ISNUMBER($AN$1245),$B$677=1),$AN$1245,HLOOKUP(INDIRECT(ADDRESS(2,COLUMN())),OFFSET($BN$2,0,0,ROW()-1,60),ROW()-1,FALSE))</f>
        <v>33.329912559999997</v>
      </c>
      <c r="AO587">
        <f ca="1">IF(AND(ISNUMBER($AO$1245),$B$677=1),$AO$1245,HLOOKUP(INDIRECT(ADDRESS(2,COLUMN())),OFFSET($BN$2,0,0,ROW()-1,60),ROW()-1,FALSE))</f>
        <v>38.797413519999999</v>
      </c>
      <c r="AP587">
        <f ca="1">IF(AND(ISNUMBER($AP$1245),$B$677=1),$AP$1245,HLOOKUP(INDIRECT(ADDRESS(2,COLUMN())),OFFSET($BN$2,0,0,ROW()-1,60),ROW()-1,FALSE))</f>
        <v>22.330125890000001</v>
      </c>
      <c r="AQ587">
        <f ca="1">IF(AND(ISNUMBER($AQ$1245),$B$677=1),$AQ$1245,HLOOKUP(INDIRECT(ADDRESS(2,COLUMN())),OFFSET($BN$2,0,0,ROW()-1,60),ROW()-1,FALSE))</f>
        <v>6.49362437</v>
      </c>
      <c r="AR587">
        <f ca="1">IF(AND(ISNUMBER($AR$1245),$B$677=1),$AR$1245,HLOOKUP(INDIRECT(ADDRESS(2,COLUMN())),OFFSET($BN$2,0,0,ROW()-1,60),ROW()-1,FALSE))</f>
        <v>-5.5393275959999997</v>
      </c>
      <c r="AS587">
        <f ca="1">IF(AND(ISNUMBER($AS$1245),$B$677=1),$AS$1245,HLOOKUP(INDIRECT(ADDRESS(2,COLUMN())),OFFSET($BN$2,0,0,ROW()-1,60),ROW()-1,FALSE))</f>
        <v>-6.7087907429999998</v>
      </c>
      <c r="AT587">
        <f ca="1">IF(AND(ISNUMBER($AT$1245),$B$677=1),$AT$1245,HLOOKUP(INDIRECT(ADDRESS(2,COLUMN())),OFFSET($BN$2,0,0,ROW()-1,60),ROW()-1,FALSE))</f>
        <v>-3.3893640270000001</v>
      </c>
      <c r="AU587">
        <f ca="1">IF(AND(ISNUMBER($AU$1245),$B$677=1),$AU$1245,HLOOKUP(INDIRECT(ADDRESS(2,COLUMN())),OFFSET($BN$2,0,0,ROW()-1,60),ROW()-1,FALSE))</f>
        <v>2.3284991389999998</v>
      </c>
      <c r="AV587">
        <f ca="1">IF(AND(ISNUMBER($AV$1245),$B$677=1),$AV$1245,HLOOKUP(INDIRECT(ADDRESS(2,COLUMN())),OFFSET($BN$2,0,0,ROW()-1,60),ROW()-1,FALSE))</f>
        <v>-2.8350076830000002</v>
      </c>
      <c r="AW587">
        <f ca="1">IF(AND(ISNUMBER($AW$1245),$B$677=1),$AW$1245,HLOOKUP(INDIRECT(ADDRESS(2,COLUMN())),OFFSET($BN$2,0,0,ROW()-1,60),ROW()-1,FALSE))</f>
        <v>-2.641609586</v>
      </c>
      <c r="AX587">
        <f ca="1">IF(AND(ISNUMBER($AX$1245),$B$677=1),$AX$1245,HLOOKUP(INDIRECT(ADDRESS(2,COLUMN())),OFFSET($BN$2,0,0,ROW()-1,60),ROW()-1,FALSE))</f>
        <v>-4.2473922660000003</v>
      </c>
      <c r="AY587">
        <f ca="1">IF(AND(ISNUMBER($AY$1245),$B$677=1),$AY$1245,HLOOKUP(INDIRECT(ADDRESS(2,COLUMN())),OFFSET($BN$2,0,0,ROW()-1,60),ROW()-1,FALSE))</f>
        <v>-1.9746427559999999</v>
      </c>
      <c r="AZ587">
        <f ca="1">IF(AND(ISNUMBER($AZ$1245),$B$677=1),$AZ$1245,HLOOKUP(INDIRECT(ADDRESS(2,COLUMN())),OFFSET($BN$2,0,0,ROW()-1,60),ROW()-1,FALSE))</f>
        <v>-1.3416778460000001</v>
      </c>
      <c r="BA587">
        <f ca="1">IF(AND(ISNUMBER($BA$1245),$B$677=1),$BA$1245,HLOOKUP(INDIRECT(ADDRESS(2,COLUMN())),OFFSET($BN$2,0,0,ROW()-1,60),ROW()-1,FALSE))</f>
        <v>2.192592093</v>
      </c>
      <c r="BB587">
        <f ca="1">IF(AND(ISNUMBER($BB$1245),$B$677=1),$BB$1245,HLOOKUP(INDIRECT(ADDRESS(2,COLUMN())),OFFSET($BN$2,0,0,ROW()-1,60),ROW()-1,FALSE))</f>
        <v>1.5583740909999999</v>
      </c>
      <c r="BC587">
        <f ca="1">IF(AND(ISNUMBER($BC$1245),$B$677=1),$BC$1245,HLOOKUP(INDIRECT(ADDRESS(2,COLUMN())),OFFSET($BN$2,0,0,ROW()-1,60),ROW()-1,FALSE))</f>
        <v>-0.86838364400000001</v>
      </c>
      <c r="BD587">
        <f ca="1">IF(AND(ISNUMBER($BD$1245),$B$677=1),$BD$1245,HLOOKUP(INDIRECT(ADDRESS(2,COLUMN())),OFFSET($BN$2,0,0,ROW()-1,60),ROW()-1,FALSE))</f>
        <v>-0.70225421600000004</v>
      </c>
      <c r="BE587">
        <f ca="1">IF(AND(ISNUMBER($BE$1245),$B$677=1),$BE$1245,HLOOKUP(INDIRECT(ADDRESS(2,COLUMN())),OFFSET($BN$2,0,0,ROW()-1,60),ROW()-1,FALSE))</f>
        <v>-6.0357978570000004</v>
      </c>
      <c r="BF587">
        <f ca="1">IF(AND(ISNUMBER($BF$1245),$B$677=1),$BF$1245,HLOOKUP(INDIRECT(ADDRESS(2,COLUMN())),OFFSET($BN$2,0,0,ROW()-1,60),ROW()-1,FALSE))</f>
        <v>-3.2341684989999999</v>
      </c>
      <c r="BG587" t="str">
        <f ca="1">IF(AND(ISNUMBER($BG$1245),$B$677=1),$BG$1245,HLOOKUP(INDIRECT(ADDRESS(2,COLUMN())),OFFSET($BN$2,0,0,ROW()-1,60),ROW()-1,FALSE))</f>
        <v/>
      </c>
      <c r="BH587" t="str">
        <f ca="1">IF(AND(ISNUMBER($BH$1245),$B$677=1),$BH$1245,HLOOKUP(INDIRECT(ADDRESS(2,COLUMN())),OFFSET($BN$2,0,0,ROW()-1,60),ROW()-1,FALSE))</f>
        <v/>
      </c>
      <c r="BI587" t="str">
        <f ca="1">IF(AND(ISNUMBER($BI$1245),$B$677=1),$BI$1245,HLOOKUP(INDIRECT(ADDRESS(2,COLUMN())),OFFSET($BN$2,0,0,ROW()-1,60),ROW()-1,FALSE))</f>
        <v/>
      </c>
      <c r="BJ587" t="str">
        <f ca="1">IF(AND(ISNUMBER($BJ$1245),$B$677=1),$BJ$1245,HLOOKUP(INDIRECT(ADDRESS(2,COLUMN())),OFFSET($BN$2,0,0,ROW()-1,60),ROW()-1,FALSE))</f>
        <v/>
      </c>
      <c r="BK587" t="str">
        <f ca="1">IF(AND(ISNUMBER($BK$1245),$B$677=1),$BK$1245,HLOOKUP(INDIRECT(ADDRESS(2,COLUMN())),OFFSET($BN$2,0,0,ROW()-1,60),ROW()-1,FALSE))</f>
        <v/>
      </c>
      <c r="BL587" t="str">
        <f ca="1">IF(AND(ISNUMBER($BL$1245),$B$677=1),$BL$1245,HLOOKUP(INDIRECT(ADDRESS(2,COLUMN())),OFFSET($BN$2,0,0,ROW()-1,60),ROW()-1,FALSE))</f>
        <v/>
      </c>
      <c r="BM587" t="str">
        <f ca="1">IF(AND(ISNUMBER($BM$1245),$B$677=1),$BM$1245,HLOOKUP(INDIRECT(ADDRESS(2,COLUMN())),OFFSET($BN$2,0,0,ROW()-1,60),ROW()-1,FALSE))</f>
        <v/>
      </c>
      <c r="BN587" t="str">
        <f>""</f>
        <v/>
      </c>
      <c r="BO587" t="str">
        <f>""</f>
        <v/>
      </c>
      <c r="BP587" t="str">
        <f>""</f>
        <v/>
      </c>
      <c r="BQ587" t="str">
        <f>""</f>
        <v/>
      </c>
      <c r="BR587" t="str">
        <f>""</f>
        <v/>
      </c>
      <c r="BS587" t="str">
        <f>""</f>
        <v/>
      </c>
      <c r="BT587" t="str">
        <f>""</f>
        <v/>
      </c>
      <c r="BU587" t="str">
        <f>""</f>
        <v/>
      </c>
      <c r="BV587" t="str">
        <f>""</f>
        <v/>
      </c>
      <c r="BW587" t="str">
        <f>""</f>
        <v/>
      </c>
      <c r="BX587" t="str">
        <f>""</f>
        <v/>
      </c>
      <c r="BY587" t="str">
        <f>""</f>
        <v/>
      </c>
      <c r="BZ587" t="str">
        <f>""</f>
        <v/>
      </c>
      <c r="CA587" t="str">
        <f>""</f>
        <v/>
      </c>
      <c r="CB587" t="str">
        <f>""</f>
        <v/>
      </c>
      <c r="CC587" t="str">
        <f>""</f>
        <v/>
      </c>
      <c r="CD587" t="str">
        <f>""</f>
        <v/>
      </c>
      <c r="CE587" t="str">
        <f>""</f>
        <v/>
      </c>
      <c r="CF587" t="str">
        <f>""</f>
        <v/>
      </c>
      <c r="CG587" t="str">
        <f>""</f>
        <v/>
      </c>
      <c r="CH587" t="str">
        <f>""</f>
        <v/>
      </c>
      <c r="CI587" t="str">
        <f>""</f>
        <v/>
      </c>
      <c r="CJ587" t="str">
        <f>""</f>
        <v/>
      </c>
      <c r="CK587" t="str">
        <f>""</f>
        <v/>
      </c>
      <c r="CL587" t="str">
        <f>""</f>
        <v/>
      </c>
      <c r="CM587" t="str">
        <f>""</f>
        <v/>
      </c>
      <c r="CN587" t="str">
        <f>""</f>
        <v/>
      </c>
      <c r="CO587" t="str">
        <f>""</f>
        <v/>
      </c>
      <c r="CP587" t="str">
        <f>""</f>
        <v/>
      </c>
      <c r="CQ587" t="str">
        <f>""</f>
        <v/>
      </c>
      <c r="CR587" t="str">
        <f>""</f>
        <v/>
      </c>
      <c r="CS587">
        <f>18.29349923</f>
        <v>18.293499229999998</v>
      </c>
      <c r="CT587">
        <f>20.27076689</f>
        <v>20.270766890000001</v>
      </c>
      <c r="CU587">
        <f>24.39883411</f>
        <v>24.398834109999999</v>
      </c>
      <c r="CV587">
        <f>33.32991256</f>
        <v>33.329912559999997</v>
      </c>
      <c r="CW587">
        <f>38.79741352</f>
        <v>38.797413519999999</v>
      </c>
      <c r="CX587">
        <f>22.33012589</f>
        <v>22.330125890000001</v>
      </c>
      <c r="CY587">
        <f>6.49362437</f>
        <v>6.49362437</v>
      </c>
      <c r="CZ587">
        <f>-5.539327596</f>
        <v>-5.5393275959999997</v>
      </c>
      <c r="DA587">
        <f>-6.708790743</f>
        <v>-6.7087907429999998</v>
      </c>
      <c r="DB587">
        <f>-3.389364027</f>
        <v>-3.3893640270000001</v>
      </c>
      <c r="DC587">
        <f>2.328499139</f>
        <v>2.3284991389999998</v>
      </c>
      <c r="DD587">
        <f>-2.835007683</f>
        <v>-2.8350076830000002</v>
      </c>
      <c r="DE587">
        <f>-2.641609586</f>
        <v>-2.641609586</v>
      </c>
      <c r="DF587">
        <f>-4.247392266</f>
        <v>-4.2473922660000003</v>
      </c>
      <c r="DG587">
        <f>-1.974642756</f>
        <v>-1.9746427559999999</v>
      </c>
      <c r="DH587">
        <f>-1.341677846</f>
        <v>-1.3416778460000001</v>
      </c>
      <c r="DI587">
        <f>2.192592093</f>
        <v>2.192592093</v>
      </c>
      <c r="DJ587">
        <f>1.558374091</f>
        <v>1.5583740909999999</v>
      </c>
      <c r="DK587">
        <f>-0.868383644</f>
        <v>-0.86838364400000001</v>
      </c>
      <c r="DL587">
        <f>-0.702254216</f>
        <v>-0.70225421600000004</v>
      </c>
      <c r="DM587">
        <f>-6.035797857</f>
        <v>-6.0357978570000004</v>
      </c>
      <c r="DN587">
        <f>-3.234168499</f>
        <v>-3.2341684989999999</v>
      </c>
      <c r="DO587" t="str">
        <f>""</f>
        <v/>
      </c>
      <c r="DP587" t="str">
        <f>""</f>
        <v/>
      </c>
      <c r="DQ587" t="str">
        <f>""</f>
        <v/>
      </c>
      <c r="DR587" t="str">
        <f>""</f>
        <v/>
      </c>
      <c r="DS587" t="str">
        <f>""</f>
        <v/>
      </c>
      <c r="DT587" t="str">
        <f>""</f>
        <v/>
      </c>
      <c r="DU587" t="str">
        <f>""</f>
        <v/>
      </c>
    </row>
    <row r="588" spans="1:125" x14ac:dyDescent="0.25">
      <c r="A588" t="str">
        <f>"    Daimler AG"</f>
        <v xml:space="preserve">    Daimler AG</v>
      </c>
      <c r="B588" t="str">
        <f>"DAI GR Equity"</f>
        <v>DAI GR Equity</v>
      </c>
      <c r="C588" t="str">
        <f t="shared" si="42"/>
        <v>RX072</v>
      </c>
      <c r="D588" t="str">
        <f t="shared" si="43"/>
        <v>FREE_CASH_FLOW_YIELD</v>
      </c>
      <c r="E588" t="str">
        <f t="shared" si="44"/>
        <v>Dynamic</v>
      </c>
      <c r="F588">
        <f ca="1">IF(AND(ISNUMBER($F$1246),$B$677=1),$F$1246,HLOOKUP(INDIRECT(ADDRESS(2,COLUMN())),OFFSET($BN$2,0,0,ROW()-1,60),ROW()-1,FALSE))</f>
        <v>-12.86964802</v>
      </c>
      <c r="G588">
        <f ca="1">IF(AND(ISNUMBER($G$1246),$B$677=1),$G$1246,HLOOKUP(INDIRECT(ADDRESS(2,COLUMN())),OFFSET($BN$2,0,0,ROW()-1,60),ROW()-1,FALSE))</f>
        <v>-14.641292010000001</v>
      </c>
      <c r="H588">
        <f ca="1">IF(AND(ISNUMBER($H$1246),$B$677=1),$H$1246,HLOOKUP(INDIRECT(ADDRESS(2,COLUMN())),OFFSET($BN$2,0,0,ROW()-1,60),ROW()-1,FALSE))</f>
        <v>-23.762344250000002</v>
      </c>
      <c r="I588">
        <f ca="1">IF(AND(ISNUMBER($I$1246),$B$677=1),$I$1246,HLOOKUP(INDIRECT(ADDRESS(2,COLUMN())),OFFSET($BN$2,0,0,ROW()-1,60),ROW()-1,FALSE))</f>
        <v>-17.196221090000002</v>
      </c>
      <c r="J588">
        <f ca="1">IF(AND(ISNUMBER($J$1246),$B$677=1),$J$1246,HLOOKUP(INDIRECT(ADDRESS(2,COLUMN())),OFFSET($BN$2,0,0,ROW()-1,60),ROW()-1,FALSE))</f>
        <v>-13.075736190000001</v>
      </c>
      <c r="K588">
        <f ca="1">IF(AND(ISNUMBER($K$1246),$B$677=1),$K$1246,HLOOKUP(INDIRECT(ADDRESS(2,COLUMN())),OFFSET($BN$2,0,0,ROW()-1,60),ROW()-1,FALSE))</f>
        <v>-11.08502249</v>
      </c>
      <c r="L588">
        <f ca="1">IF(AND(ISNUMBER($L$1246),$B$677=1),$L$1246,HLOOKUP(INDIRECT(ADDRESS(2,COLUMN())),OFFSET($BN$2,0,0,ROW()-1,60),ROW()-1,FALSE))</f>
        <v>-2.8858834240000002</v>
      </c>
      <c r="M588">
        <f ca="1">IF(AND(ISNUMBER($M$1246),$B$677=1),$M$1246,HLOOKUP(INDIRECT(ADDRESS(2,COLUMN())),OFFSET($BN$2,0,0,ROW()-1,60),ROW()-1,FALSE))</f>
        <v>-3.727240208</v>
      </c>
      <c r="N588">
        <f ca="1">IF(AND(ISNUMBER($N$1246),$B$677=1),$N$1246,HLOOKUP(INDIRECT(ADDRESS(2,COLUMN())),OFFSET($BN$2,0,0,ROW()-1,60),ROW()-1,FALSE))</f>
        <v>-2.079486385</v>
      </c>
      <c r="O588">
        <f ca="1">IF(AND(ISNUMBER($O$1246),$B$677=1),$O$1246,HLOOKUP(INDIRECT(ADDRESS(2,COLUMN())),OFFSET($BN$2,0,0,ROW()-1,60),ROW()-1,FALSE))</f>
        <v>-2.878810181</v>
      </c>
      <c r="P588">
        <f ca="1">IF(AND(ISNUMBER($P$1246),$B$677=1),$P$1246,HLOOKUP(INDIRECT(ADDRESS(2,COLUMN())),OFFSET($BN$2,0,0,ROW()-1,60),ROW()-1,FALSE))</f>
        <v>-5.3271738019999999</v>
      </c>
      <c r="Q588">
        <f ca="1">IF(AND(ISNUMBER($Q$1246),$B$677=1),$Q$1246,HLOOKUP(INDIRECT(ADDRESS(2,COLUMN())),OFFSET($BN$2,0,0,ROW()-1,60),ROW()-1,FALSE))</f>
        <v>-6.2595067340000003</v>
      </c>
      <c r="R588">
        <f ca="1">IF(AND(ISNUMBER($R$1246),$B$677=1),$R$1246,HLOOKUP(INDIRECT(ADDRESS(2,COLUMN())),OFFSET($BN$2,0,0,ROW()-1,60),ROW()-1,FALSE))</f>
        <v>-7.7623718820000001</v>
      </c>
      <c r="S588">
        <f ca="1">IF(AND(ISNUMBER($S$1246),$B$677=1),$S$1246,HLOOKUP(INDIRECT(ADDRESS(2,COLUMN())),OFFSET($BN$2,0,0,ROW()-1,60),ROW()-1,FALSE))</f>
        <v>-5.8473342830000004</v>
      </c>
      <c r="T588">
        <f ca="1">IF(AND(ISNUMBER($T$1246),$B$677=1),$T$1246,HLOOKUP(INDIRECT(ADDRESS(2,COLUMN())),OFFSET($BN$2,0,0,ROW()-1,60),ROW()-1,FALSE))</f>
        <v>-11.312357280000001</v>
      </c>
      <c r="U588">
        <f ca="1">IF(AND(ISNUMBER($U$1246),$B$677=1),$U$1246,HLOOKUP(INDIRECT(ADDRESS(2,COLUMN())),OFFSET($BN$2,0,0,ROW()-1,60),ROW()-1,FALSE))</f>
        <v>-7.6712658759999997</v>
      </c>
      <c r="V588">
        <f ca="1">IF(AND(ISNUMBER($V$1246),$B$677=1),$V$1246,HLOOKUP(INDIRECT(ADDRESS(2,COLUMN())),OFFSET($BN$2,0,0,ROW()-1,60),ROW()-1,FALSE))</f>
        <v>-6.1617385220000003</v>
      </c>
      <c r="W588">
        <f ca="1">IF(AND(ISNUMBER($W$1246),$B$677=1),$W$1246,HLOOKUP(INDIRECT(ADDRESS(2,COLUMN())),OFFSET($BN$2,0,0,ROW()-1,60),ROW()-1,FALSE))</f>
        <v>-8.2917586609999994</v>
      </c>
      <c r="X588">
        <f ca="1">IF(AND(ISNUMBER($X$1246),$B$677=1),$X$1246,HLOOKUP(INDIRECT(ADDRESS(2,COLUMN())),OFFSET($BN$2,0,0,ROW()-1,60),ROW()-1,FALSE))</f>
        <v>-2.4962079840000002</v>
      </c>
      <c r="Y588">
        <f ca="1">IF(AND(ISNUMBER($Y$1246),$B$677=1),$Y$1246,HLOOKUP(INDIRECT(ADDRESS(2,COLUMN())),OFFSET($BN$2,0,0,ROW()-1,60),ROW()-1,FALSE))</f>
        <v>-2.2055091089999999</v>
      </c>
      <c r="Z588">
        <f ca="1">IF(AND(ISNUMBER($Z$1246),$B$677=1),$Z$1246,HLOOKUP(INDIRECT(ADDRESS(2,COLUMN())),OFFSET($BN$2,0,0,ROW()-1,60),ROW()-1,FALSE))</f>
        <v>-0.56491292800000004</v>
      </c>
      <c r="AA588">
        <f ca="1">IF(AND(ISNUMBER($AA$1246),$B$677=1),$AA$1246,HLOOKUP(INDIRECT(ADDRESS(2,COLUMN())),OFFSET($BN$2,0,0,ROW()-1,60),ROW()-1,FALSE))</f>
        <v>-2.5131011440000002</v>
      </c>
      <c r="AB588">
        <f ca="1">IF(AND(ISNUMBER($AB$1246),$B$677=1),$AB$1246,HLOOKUP(INDIRECT(ADDRESS(2,COLUMN())),OFFSET($BN$2,0,0,ROW()-1,60),ROW()-1,FALSE))</f>
        <v>-3.5752639610000001</v>
      </c>
      <c r="AC588">
        <f ca="1">IF(AND(ISNUMBER($AC$1246),$B$677=1),$AC$1246,HLOOKUP(INDIRECT(ADDRESS(2,COLUMN())),OFFSET($BN$2,0,0,ROW()-1,60),ROW()-1,FALSE))</f>
        <v>-8.3595656189999996</v>
      </c>
      <c r="AD588">
        <f ca="1">IF(AND(ISNUMBER($AD$1246),$B$677=1),$AD$1246,HLOOKUP(INDIRECT(ADDRESS(2,COLUMN())),OFFSET($BN$2,0,0,ROW()-1,60),ROW()-1,FALSE))</f>
        <v>-11.053424939999999</v>
      </c>
      <c r="AE588">
        <f ca="1">IF(AND(ISNUMBER($AE$1246),$B$677=1),$AE$1246,HLOOKUP(INDIRECT(ADDRESS(2,COLUMN())),OFFSET($BN$2,0,0,ROW()-1,60),ROW()-1,FALSE))</f>
        <v>-13.44638501</v>
      </c>
      <c r="AF588">
        <f ca="1">IF(AND(ISNUMBER($AF$1246),$B$677=1),$AF$1246,HLOOKUP(INDIRECT(ADDRESS(2,COLUMN())),OFFSET($BN$2,0,0,ROW()-1,60),ROW()-1,FALSE))</f>
        <v>-15.564564989999999</v>
      </c>
      <c r="AG588">
        <f ca="1">IF(AND(ISNUMBER($AG$1246),$B$677=1),$AG$1246,HLOOKUP(INDIRECT(ADDRESS(2,COLUMN())),OFFSET($BN$2,0,0,ROW()-1,60),ROW()-1,FALSE))</f>
        <v>-15.2518388</v>
      </c>
      <c r="AH588">
        <f ca="1">IF(AND(ISNUMBER($AH$1246),$B$677=1),$AH$1246,HLOOKUP(INDIRECT(ADDRESS(2,COLUMN())),OFFSET($BN$2,0,0,ROW()-1,60),ROW()-1,FALSE))</f>
        <v>-10.505517599999999</v>
      </c>
      <c r="AI588">
        <f ca="1">IF(AND(ISNUMBER($AI$1246),$B$677=1),$AI$1246,HLOOKUP(INDIRECT(ADDRESS(2,COLUMN())),OFFSET($BN$2,0,0,ROW()-1,60),ROW()-1,FALSE))</f>
        <v>-13.42154611</v>
      </c>
      <c r="AJ588">
        <f ca="1">IF(AND(ISNUMBER($AJ$1246),$B$677=1),$AJ$1246,HLOOKUP(INDIRECT(ADDRESS(2,COLUMN())),OFFSET($BN$2,0,0,ROW()-1,60),ROW()-1,FALSE))</f>
        <v>-9.7290852569999995</v>
      </c>
      <c r="AK588">
        <f ca="1">IF(AND(ISNUMBER($AK$1246),$B$677=1),$AK$1246,HLOOKUP(INDIRECT(ADDRESS(2,COLUMN())),OFFSET($BN$2,0,0,ROW()-1,60),ROW()-1,FALSE))</f>
        <v>0.478043416</v>
      </c>
      <c r="AL588">
        <f ca="1">IF(AND(ISNUMBER($AL$1246),$B$677=1),$AL$1246,HLOOKUP(INDIRECT(ADDRESS(2,COLUMN())),OFFSET($BN$2,0,0,ROW()-1,60),ROW()-1,FALSE))</f>
        <v>4.5508556689999997</v>
      </c>
      <c r="AM588">
        <f ca="1">IF(AND(ISNUMBER($AM$1246),$B$677=1),$AM$1246,HLOOKUP(INDIRECT(ADDRESS(2,COLUMN())),OFFSET($BN$2,0,0,ROW()-1,60),ROW()-1,FALSE))</f>
        <v>9.1940142300000005</v>
      </c>
      <c r="AN588">
        <f ca="1">IF(AND(ISNUMBER($AN$1246),$B$677=1),$AN$1246,HLOOKUP(INDIRECT(ADDRESS(2,COLUMN())),OFFSET($BN$2,0,0,ROW()-1,60),ROW()-1,FALSE))</f>
        <v>13.691009599999999</v>
      </c>
      <c r="AO588">
        <f ca="1">IF(AND(ISNUMBER($AO$1246),$B$677=1),$AO$1246,HLOOKUP(INDIRECT(ADDRESS(2,COLUMN())),OFFSET($BN$2,0,0,ROW()-1,60),ROW()-1,FALSE))</f>
        <v>15.17043795</v>
      </c>
      <c r="AP588">
        <f ca="1">IF(AND(ISNUMBER($AP$1246),$B$677=1),$AP$1246,HLOOKUP(INDIRECT(ADDRESS(2,COLUMN())),OFFSET($BN$2,0,0,ROW()-1,60),ROW()-1,FALSE))</f>
        <v>22.14215415</v>
      </c>
      <c r="AQ588">
        <f ca="1">IF(AND(ISNUMBER($AQ$1246),$B$677=1),$AQ$1246,HLOOKUP(INDIRECT(ADDRESS(2,COLUMN())),OFFSET($BN$2,0,0,ROW()-1,60),ROW()-1,FALSE))</f>
        <v>22.809892380000001</v>
      </c>
      <c r="AR588">
        <f ca="1">IF(AND(ISNUMBER($AR$1246),$B$677=1),$AR$1246,HLOOKUP(INDIRECT(ADDRESS(2,COLUMN())),OFFSET($BN$2,0,0,ROW()-1,60),ROW()-1,FALSE))</f>
        <v>15.22788699</v>
      </c>
      <c r="AS588">
        <f ca="1">IF(AND(ISNUMBER($AS$1246),$B$677=1),$AS$1246,HLOOKUP(INDIRECT(ADDRESS(2,COLUMN())),OFFSET($BN$2,0,0,ROW()-1,60),ROW()-1,FALSE))</f>
        <v>10.87383971</v>
      </c>
      <c r="AT588">
        <f ca="1">IF(AND(ISNUMBER($AT$1246),$B$677=1),$AT$1246,HLOOKUP(INDIRECT(ADDRESS(2,COLUMN())),OFFSET($BN$2,0,0,ROW()-1,60),ROW()-1,FALSE))</f>
        <v>1.9839506819999999</v>
      </c>
      <c r="AU588">
        <f ca="1">IF(AND(ISNUMBER($AU$1246),$B$677=1),$AU$1246,HLOOKUP(INDIRECT(ADDRESS(2,COLUMN())),OFFSET($BN$2,0,0,ROW()-1,60),ROW()-1,FALSE))</f>
        <v>-1.594989335</v>
      </c>
      <c r="AV588">
        <f ca="1">IF(AND(ISNUMBER($AV$1246),$B$677=1),$AV$1246,HLOOKUP(INDIRECT(ADDRESS(2,COLUMN())),OFFSET($BN$2,0,0,ROW()-1,60),ROW()-1,FALSE))</f>
        <v>5.6769300960000004</v>
      </c>
      <c r="AW588">
        <f ca="1">IF(AND(ISNUMBER($AW$1246),$B$677=1),$AW$1246,HLOOKUP(INDIRECT(ADDRESS(2,COLUMN())),OFFSET($BN$2,0,0,ROW()-1,60),ROW()-1,FALSE))</f>
        <v>6.0687427019999998</v>
      </c>
      <c r="AX588">
        <f ca="1">IF(AND(ISNUMBER($AX$1246),$B$677=1),$AX$1246,HLOOKUP(INDIRECT(ADDRESS(2,COLUMN())),OFFSET($BN$2,0,0,ROW()-1,60),ROW()-1,FALSE))</f>
        <v>0.132717528</v>
      </c>
      <c r="AY588">
        <f ca="1">IF(AND(ISNUMBER($AY$1246),$B$677=1),$AY$1246,HLOOKUP(INDIRECT(ADDRESS(2,COLUMN())),OFFSET($BN$2,0,0,ROW()-1,60),ROW()-1,FALSE))</f>
        <v>2.0498468459999999</v>
      </c>
      <c r="AZ588">
        <f ca="1">IF(AND(ISNUMBER($AZ$1246),$B$677=1),$AZ$1246,HLOOKUP(INDIRECT(ADDRESS(2,COLUMN())),OFFSET($BN$2,0,0,ROW()-1,60),ROW()-1,FALSE))</f>
        <v>-0.25664906199999998</v>
      </c>
      <c r="BA588">
        <f ca="1">IF(AND(ISNUMBER($BA$1246),$B$677=1),$BA$1246,HLOOKUP(INDIRECT(ADDRESS(2,COLUMN())),OFFSET($BN$2,0,0,ROW()-1,60),ROW()-1,FALSE))</f>
        <v>-3.591313709</v>
      </c>
      <c r="BB588">
        <f ca="1">IF(AND(ISNUMBER($BB$1246),$B$677=1),$BB$1246,HLOOKUP(INDIRECT(ADDRESS(2,COLUMN())),OFFSET($BN$2,0,0,ROW()-1,60),ROW()-1,FALSE))</f>
        <v>-5.7138252600000001</v>
      </c>
      <c r="BC588">
        <f ca="1">IF(AND(ISNUMBER($BC$1246),$B$677=1),$BC$1246,HLOOKUP(INDIRECT(ADDRESS(2,COLUMN())),OFFSET($BN$2,0,0,ROW()-1,60),ROW()-1,FALSE))</f>
        <v>-15.30667714</v>
      </c>
      <c r="BD588">
        <f ca="1">IF(AND(ISNUMBER($BD$1246),$B$677=1),$BD$1246,HLOOKUP(INDIRECT(ADDRESS(2,COLUMN())),OFFSET($BN$2,0,0,ROW()-1,60),ROW()-1,FALSE))</f>
        <v>-28.694886220000001</v>
      </c>
      <c r="BE588">
        <f ca="1">IF(AND(ISNUMBER($BE$1246),$B$677=1),$BE$1246,HLOOKUP(INDIRECT(ADDRESS(2,COLUMN())),OFFSET($BN$2,0,0,ROW()-1,60),ROW()-1,FALSE))</f>
        <v>-30.425140670000001</v>
      </c>
      <c r="BF588">
        <f ca="1">IF(AND(ISNUMBER($BF$1246),$B$677=1),$BF$1246,HLOOKUP(INDIRECT(ADDRESS(2,COLUMN())),OFFSET($BN$2,0,0,ROW()-1,60),ROW()-1,FALSE))</f>
        <v>-27.793582839999999</v>
      </c>
      <c r="BG588">
        <f ca="1">IF(AND(ISNUMBER($BG$1246),$B$677=1),$BG$1246,HLOOKUP(INDIRECT(ADDRESS(2,COLUMN())),OFFSET($BN$2,0,0,ROW()-1,60),ROW()-1,FALSE))</f>
        <v>-33.74791725</v>
      </c>
      <c r="BH588">
        <f ca="1">IF(AND(ISNUMBER($BH$1246),$B$677=1),$BH$1246,HLOOKUP(INDIRECT(ADDRESS(2,COLUMN())),OFFSET($BN$2,0,0,ROW()-1,60),ROW()-1,FALSE))</f>
        <v>-33.159506380000003</v>
      </c>
      <c r="BI588">
        <f ca="1">IF(AND(ISNUMBER($BI$1246),$B$677=1),$BI$1246,HLOOKUP(INDIRECT(ADDRESS(2,COLUMN())),OFFSET($BN$2,0,0,ROW()-1,60),ROW()-1,FALSE))</f>
        <v>-60.353106609999998</v>
      </c>
      <c r="BJ588">
        <f ca="1">IF(AND(ISNUMBER($BJ$1246),$B$677=1),$BJ$1246,HLOOKUP(INDIRECT(ADDRESS(2,COLUMN())),OFFSET($BN$2,0,0,ROW()-1,60),ROW()-1,FALSE))</f>
        <v>-55.368976320000002</v>
      </c>
      <c r="BK588">
        <f ca="1">IF(AND(ISNUMBER($BK$1246),$B$677=1),$BK$1246,HLOOKUP(INDIRECT(ADDRESS(2,COLUMN())),OFFSET($BN$2,0,0,ROW()-1,60),ROW()-1,FALSE))</f>
        <v>-50.634437650000002</v>
      </c>
      <c r="BL588">
        <f ca="1">IF(AND(ISNUMBER($BL$1246),$B$677=1),$BL$1246,HLOOKUP(INDIRECT(ADDRESS(2,COLUMN())),OFFSET($BN$2,0,0,ROW()-1,60),ROW()-1,FALSE))</f>
        <v>-46.249378360000001</v>
      </c>
      <c r="BM588">
        <f ca="1">IF(AND(ISNUMBER($BM$1246),$B$677=1),$BM$1246,HLOOKUP(INDIRECT(ADDRESS(2,COLUMN())),OFFSET($BN$2,0,0,ROW()-1,60),ROW()-1,FALSE))</f>
        <v>-26.340979069999999</v>
      </c>
      <c r="BN588">
        <f>-12.86964802</f>
        <v>-12.86964802</v>
      </c>
      <c r="BO588">
        <f>-14.64129201</f>
        <v>-14.641292010000001</v>
      </c>
      <c r="BP588">
        <f>-23.76234425</f>
        <v>-23.762344250000002</v>
      </c>
      <c r="BQ588">
        <f>-17.19622109</f>
        <v>-17.196221090000002</v>
      </c>
      <c r="BR588">
        <f>-13.07573619</f>
        <v>-13.075736190000001</v>
      </c>
      <c r="BS588">
        <f>-11.08502249</f>
        <v>-11.08502249</v>
      </c>
      <c r="BT588">
        <f>-2.885883424</f>
        <v>-2.8858834240000002</v>
      </c>
      <c r="BU588">
        <f>-3.727240208</f>
        <v>-3.727240208</v>
      </c>
      <c r="BV588">
        <f>-2.079486385</f>
        <v>-2.079486385</v>
      </c>
      <c r="BW588">
        <f>-2.878810181</f>
        <v>-2.878810181</v>
      </c>
      <c r="BX588">
        <f>-5.327173802</f>
        <v>-5.3271738019999999</v>
      </c>
      <c r="BY588">
        <f>-6.259506734</f>
        <v>-6.2595067340000003</v>
      </c>
      <c r="BZ588">
        <f>-7.762371882</f>
        <v>-7.7623718820000001</v>
      </c>
      <c r="CA588">
        <f>-5.847334283</f>
        <v>-5.8473342830000004</v>
      </c>
      <c r="CB588">
        <f>-11.31235728</f>
        <v>-11.312357280000001</v>
      </c>
      <c r="CC588">
        <f>-7.671265876</f>
        <v>-7.6712658759999997</v>
      </c>
      <c r="CD588">
        <f>-6.161738522</f>
        <v>-6.1617385220000003</v>
      </c>
      <c r="CE588">
        <f>-8.291758661</f>
        <v>-8.2917586609999994</v>
      </c>
      <c r="CF588">
        <f>-2.496207984</f>
        <v>-2.4962079840000002</v>
      </c>
      <c r="CG588">
        <f>-2.205509109</f>
        <v>-2.2055091089999999</v>
      </c>
      <c r="CH588">
        <f>-0.564912928</f>
        <v>-0.56491292800000004</v>
      </c>
      <c r="CI588">
        <f>-2.513101144</f>
        <v>-2.5131011440000002</v>
      </c>
      <c r="CJ588">
        <f>-3.575263961</f>
        <v>-3.5752639610000001</v>
      </c>
      <c r="CK588">
        <f>-8.359565619</f>
        <v>-8.3595656189999996</v>
      </c>
      <c r="CL588">
        <f>-11.05342494</f>
        <v>-11.053424939999999</v>
      </c>
      <c r="CM588">
        <f>-13.44638501</f>
        <v>-13.44638501</v>
      </c>
      <c r="CN588">
        <f>-15.56456499</f>
        <v>-15.564564989999999</v>
      </c>
      <c r="CO588">
        <f>-15.2518388</f>
        <v>-15.2518388</v>
      </c>
      <c r="CP588">
        <f>-10.5055176</f>
        <v>-10.505517599999999</v>
      </c>
      <c r="CQ588">
        <f>-13.42154611</f>
        <v>-13.42154611</v>
      </c>
      <c r="CR588">
        <f>-9.729085257</f>
        <v>-9.7290852569999995</v>
      </c>
      <c r="CS588">
        <f>0.478043416</f>
        <v>0.478043416</v>
      </c>
      <c r="CT588">
        <f>4.550855669</f>
        <v>4.5508556689999997</v>
      </c>
      <c r="CU588">
        <f>9.19401423</f>
        <v>9.1940142300000005</v>
      </c>
      <c r="CV588">
        <f>13.6910096</f>
        <v>13.691009599999999</v>
      </c>
      <c r="CW588">
        <f>15.17043795</f>
        <v>15.17043795</v>
      </c>
      <c r="CX588">
        <f>22.14215415</f>
        <v>22.14215415</v>
      </c>
      <c r="CY588">
        <f>22.80989238</f>
        <v>22.809892380000001</v>
      </c>
      <c r="CZ588">
        <f>15.22788699</f>
        <v>15.22788699</v>
      </c>
      <c r="DA588">
        <f>10.87383971</f>
        <v>10.87383971</v>
      </c>
      <c r="DB588">
        <f>1.983950682</f>
        <v>1.9839506819999999</v>
      </c>
      <c r="DC588">
        <f>-1.594989335</f>
        <v>-1.594989335</v>
      </c>
      <c r="DD588">
        <f>5.676930096</f>
        <v>5.6769300960000004</v>
      </c>
      <c r="DE588">
        <f>6.068742702</f>
        <v>6.0687427019999998</v>
      </c>
      <c r="DF588">
        <f>0.132717528</f>
        <v>0.132717528</v>
      </c>
      <c r="DG588">
        <f>2.049846846</f>
        <v>2.0498468459999999</v>
      </c>
      <c r="DH588">
        <f>-0.256649062</f>
        <v>-0.25664906199999998</v>
      </c>
      <c r="DI588">
        <f>-3.591313709</f>
        <v>-3.591313709</v>
      </c>
      <c r="DJ588">
        <f>-5.71382526</f>
        <v>-5.7138252600000001</v>
      </c>
      <c r="DK588">
        <f>-15.30667714</f>
        <v>-15.30667714</v>
      </c>
      <c r="DL588">
        <f>-28.69488622</f>
        <v>-28.694886220000001</v>
      </c>
      <c r="DM588">
        <f>-30.42514067</f>
        <v>-30.425140670000001</v>
      </c>
      <c r="DN588">
        <f>-27.79358284</f>
        <v>-27.793582839999999</v>
      </c>
      <c r="DO588">
        <f>-33.74791725</f>
        <v>-33.74791725</v>
      </c>
      <c r="DP588">
        <f>-33.15950638</f>
        <v>-33.159506380000003</v>
      </c>
      <c r="DQ588">
        <f>-60.35310661</f>
        <v>-60.353106609999998</v>
      </c>
      <c r="DR588">
        <f>-55.36897632</f>
        <v>-55.368976320000002</v>
      </c>
      <c r="DS588">
        <f>-50.63443765</f>
        <v>-50.634437650000002</v>
      </c>
      <c r="DT588">
        <f>-46.24937836</f>
        <v>-46.249378360000001</v>
      </c>
      <c r="DU588">
        <f>-26.34097907</f>
        <v>-26.340979069999999</v>
      </c>
    </row>
    <row r="589" spans="1:125" x14ac:dyDescent="0.25">
      <c r="A589" t="str">
        <f>"    Dongfeng Motor Group Co Ltd"</f>
        <v xml:space="preserve">    Dongfeng Motor Group Co Ltd</v>
      </c>
      <c r="B589" t="str">
        <f>"489 HK Equity"</f>
        <v>489 HK Equity</v>
      </c>
      <c r="C589" t="str">
        <f t="shared" si="42"/>
        <v>RX072</v>
      </c>
      <c r="D589" t="str">
        <f t="shared" si="43"/>
        <v>FREE_CASH_FLOW_YIELD</v>
      </c>
      <c r="E589" t="str">
        <f t="shared" si="44"/>
        <v>Dynamic</v>
      </c>
      <c r="F589" t="str">
        <f ca="1">IF(AND(ISNUMBER($F$1247),$B$677=1),$F$1247,HLOOKUP(INDIRECT(ADDRESS(2,COLUMN())),OFFSET($BN$2,0,0,ROW()-1,60),ROW()-1,FALSE))</f>
        <v/>
      </c>
      <c r="G589" t="str">
        <f ca="1">IF(AND(ISNUMBER($G$1247),$B$677=1),$G$1247,HLOOKUP(INDIRECT(ADDRESS(2,COLUMN())),OFFSET($BN$2,0,0,ROW()-1,60),ROW()-1,FALSE))</f>
        <v/>
      </c>
      <c r="H589" t="str">
        <f ca="1">IF(AND(ISNUMBER($H$1247),$B$677=1),$H$1247,HLOOKUP(INDIRECT(ADDRESS(2,COLUMN())),OFFSET($BN$2,0,0,ROW()-1,60),ROW()-1,FALSE))</f>
        <v/>
      </c>
      <c r="I589" t="str">
        <f ca="1">IF(AND(ISNUMBER($I$1247),$B$677=1),$I$1247,HLOOKUP(INDIRECT(ADDRESS(2,COLUMN())),OFFSET($BN$2,0,0,ROW()-1,60),ROW()-1,FALSE))</f>
        <v/>
      </c>
      <c r="J589" t="str">
        <f ca="1">IF(AND(ISNUMBER($J$1247),$B$677=1),$J$1247,HLOOKUP(INDIRECT(ADDRESS(2,COLUMN())),OFFSET($BN$2,0,0,ROW()-1,60),ROW()-1,FALSE))</f>
        <v/>
      </c>
      <c r="K589" t="str">
        <f ca="1">IF(AND(ISNUMBER($K$1247),$B$677=1),$K$1247,HLOOKUP(INDIRECT(ADDRESS(2,COLUMN())),OFFSET($BN$2,0,0,ROW()-1,60),ROW()-1,FALSE))</f>
        <v/>
      </c>
      <c r="L589" t="str">
        <f ca="1">IF(AND(ISNUMBER($L$1247),$B$677=1),$L$1247,HLOOKUP(INDIRECT(ADDRESS(2,COLUMN())),OFFSET($BN$2,0,0,ROW()-1,60),ROW()-1,FALSE))</f>
        <v/>
      </c>
      <c r="M589" t="str">
        <f ca="1">IF(AND(ISNUMBER($M$1247),$B$677=1),$M$1247,HLOOKUP(INDIRECT(ADDRESS(2,COLUMN())),OFFSET($BN$2,0,0,ROW()-1,60),ROW()-1,FALSE))</f>
        <v/>
      </c>
      <c r="N589" t="str">
        <f ca="1">IF(AND(ISNUMBER($N$1247),$B$677=1),$N$1247,HLOOKUP(INDIRECT(ADDRESS(2,COLUMN())),OFFSET($BN$2,0,0,ROW()-1,60),ROW()-1,FALSE))</f>
        <v/>
      </c>
      <c r="O589" t="str">
        <f ca="1">IF(AND(ISNUMBER($O$1247),$B$677=1),$O$1247,HLOOKUP(INDIRECT(ADDRESS(2,COLUMN())),OFFSET($BN$2,0,0,ROW()-1,60),ROW()-1,FALSE))</f>
        <v/>
      </c>
      <c r="P589" t="str">
        <f ca="1">IF(AND(ISNUMBER($P$1247),$B$677=1),$P$1247,HLOOKUP(INDIRECT(ADDRESS(2,COLUMN())),OFFSET($BN$2,0,0,ROW()-1,60),ROW()-1,FALSE))</f>
        <v/>
      </c>
      <c r="Q589" t="str">
        <f ca="1">IF(AND(ISNUMBER($Q$1247),$B$677=1),$Q$1247,HLOOKUP(INDIRECT(ADDRESS(2,COLUMN())),OFFSET($BN$2,0,0,ROW()-1,60),ROW()-1,FALSE))</f>
        <v/>
      </c>
      <c r="R589" t="str">
        <f ca="1">IF(AND(ISNUMBER($R$1247),$B$677=1),$R$1247,HLOOKUP(INDIRECT(ADDRESS(2,COLUMN())),OFFSET($BN$2,0,0,ROW()-1,60),ROW()-1,FALSE))</f>
        <v/>
      </c>
      <c r="S589" t="str">
        <f ca="1">IF(AND(ISNUMBER($S$1247),$B$677=1),$S$1247,HLOOKUP(INDIRECT(ADDRESS(2,COLUMN())),OFFSET($BN$2,0,0,ROW()-1,60),ROW()-1,FALSE))</f>
        <v/>
      </c>
      <c r="T589" t="str">
        <f ca="1">IF(AND(ISNUMBER($T$1247),$B$677=1),$T$1247,HLOOKUP(INDIRECT(ADDRESS(2,COLUMN())),OFFSET($BN$2,0,0,ROW()-1,60),ROW()-1,FALSE))</f>
        <v/>
      </c>
      <c r="U589" t="str">
        <f ca="1">IF(AND(ISNUMBER($U$1247),$B$677=1),$U$1247,HLOOKUP(INDIRECT(ADDRESS(2,COLUMN())),OFFSET($BN$2,0,0,ROW()-1,60),ROW()-1,FALSE))</f>
        <v/>
      </c>
      <c r="V589" t="str">
        <f ca="1">IF(AND(ISNUMBER($V$1247),$B$677=1),$V$1247,HLOOKUP(INDIRECT(ADDRESS(2,COLUMN())),OFFSET($BN$2,0,0,ROW()-1,60),ROW()-1,FALSE))</f>
        <v/>
      </c>
      <c r="W589" t="str">
        <f ca="1">IF(AND(ISNUMBER($W$1247),$B$677=1),$W$1247,HLOOKUP(INDIRECT(ADDRESS(2,COLUMN())),OFFSET($BN$2,0,0,ROW()-1,60),ROW()-1,FALSE))</f>
        <v/>
      </c>
      <c r="X589" t="str">
        <f ca="1">IF(AND(ISNUMBER($X$1247),$B$677=1),$X$1247,HLOOKUP(INDIRECT(ADDRESS(2,COLUMN())),OFFSET($BN$2,0,0,ROW()-1,60),ROW()-1,FALSE))</f>
        <v/>
      </c>
      <c r="Y589" t="str">
        <f ca="1">IF(AND(ISNUMBER($Y$1247),$B$677=1),$Y$1247,HLOOKUP(INDIRECT(ADDRESS(2,COLUMN())),OFFSET($BN$2,0,0,ROW()-1,60),ROW()-1,FALSE))</f>
        <v/>
      </c>
      <c r="Z589" t="str">
        <f ca="1">IF(AND(ISNUMBER($Z$1247),$B$677=1),$Z$1247,HLOOKUP(INDIRECT(ADDRESS(2,COLUMN())),OFFSET($BN$2,0,0,ROW()-1,60),ROW()-1,FALSE))</f>
        <v/>
      </c>
      <c r="AA589" t="str">
        <f ca="1">IF(AND(ISNUMBER($AA$1247),$B$677=1),$AA$1247,HLOOKUP(INDIRECT(ADDRESS(2,COLUMN())),OFFSET($BN$2,0,0,ROW()-1,60),ROW()-1,FALSE))</f>
        <v/>
      </c>
      <c r="AB589" t="str">
        <f ca="1">IF(AND(ISNUMBER($AB$1247),$B$677=1),$AB$1247,HLOOKUP(INDIRECT(ADDRESS(2,COLUMN())),OFFSET($BN$2,0,0,ROW()-1,60),ROW()-1,FALSE))</f>
        <v/>
      </c>
      <c r="AC589" t="str">
        <f ca="1">IF(AND(ISNUMBER($AC$1247),$B$677=1),$AC$1247,HLOOKUP(INDIRECT(ADDRESS(2,COLUMN())),OFFSET($BN$2,0,0,ROW()-1,60),ROW()-1,FALSE))</f>
        <v/>
      </c>
      <c r="AD589" t="str">
        <f ca="1">IF(AND(ISNUMBER($AD$1247),$B$677=1),$AD$1247,HLOOKUP(INDIRECT(ADDRESS(2,COLUMN())),OFFSET($BN$2,0,0,ROW()-1,60),ROW()-1,FALSE))</f>
        <v/>
      </c>
      <c r="AE589" t="str">
        <f ca="1">IF(AND(ISNUMBER($AE$1247),$B$677=1),$AE$1247,HLOOKUP(INDIRECT(ADDRESS(2,COLUMN())),OFFSET($BN$2,0,0,ROW()-1,60),ROW()-1,FALSE))</f>
        <v/>
      </c>
      <c r="AF589" t="str">
        <f ca="1">IF(AND(ISNUMBER($AF$1247),$B$677=1),$AF$1247,HLOOKUP(INDIRECT(ADDRESS(2,COLUMN())),OFFSET($BN$2,0,0,ROW()-1,60),ROW()-1,FALSE))</f>
        <v/>
      </c>
      <c r="AG589" t="str">
        <f ca="1">IF(AND(ISNUMBER($AG$1247),$B$677=1),$AG$1247,HLOOKUP(INDIRECT(ADDRESS(2,COLUMN())),OFFSET($BN$2,0,0,ROW()-1,60),ROW()-1,FALSE))</f>
        <v/>
      </c>
      <c r="AH589" t="str">
        <f ca="1">IF(AND(ISNUMBER($AH$1247),$B$677=1),$AH$1247,HLOOKUP(INDIRECT(ADDRESS(2,COLUMN())),OFFSET($BN$2,0,0,ROW()-1,60),ROW()-1,FALSE))</f>
        <v/>
      </c>
      <c r="AI589" t="str">
        <f ca="1">IF(AND(ISNUMBER($AI$1247),$B$677=1),$AI$1247,HLOOKUP(INDIRECT(ADDRESS(2,COLUMN())),OFFSET($BN$2,0,0,ROW()-1,60),ROW()-1,FALSE))</f>
        <v/>
      </c>
      <c r="AJ589" t="str">
        <f ca="1">IF(AND(ISNUMBER($AJ$1247),$B$677=1),$AJ$1247,HLOOKUP(INDIRECT(ADDRESS(2,COLUMN())),OFFSET($BN$2,0,0,ROW()-1,60),ROW()-1,FALSE))</f>
        <v/>
      </c>
      <c r="AK589" t="str">
        <f ca="1">IF(AND(ISNUMBER($AK$1247),$B$677=1),$AK$1247,HLOOKUP(INDIRECT(ADDRESS(2,COLUMN())),OFFSET($BN$2,0,0,ROW()-1,60),ROW()-1,FALSE))</f>
        <v/>
      </c>
      <c r="AL589" t="str">
        <f ca="1">IF(AND(ISNUMBER($AL$1247),$B$677=1),$AL$1247,HLOOKUP(INDIRECT(ADDRESS(2,COLUMN())),OFFSET($BN$2,0,0,ROW()-1,60),ROW()-1,FALSE))</f>
        <v/>
      </c>
      <c r="AM589" t="str">
        <f ca="1">IF(AND(ISNUMBER($AM$1247),$B$677=1),$AM$1247,HLOOKUP(INDIRECT(ADDRESS(2,COLUMN())),OFFSET($BN$2,0,0,ROW()-1,60),ROW()-1,FALSE))</f>
        <v/>
      </c>
      <c r="AN589" t="str">
        <f ca="1">IF(AND(ISNUMBER($AN$1247),$B$677=1),$AN$1247,HLOOKUP(INDIRECT(ADDRESS(2,COLUMN())),OFFSET($BN$2,0,0,ROW()-1,60),ROW()-1,FALSE))</f>
        <v/>
      </c>
      <c r="AO589" t="str">
        <f ca="1">IF(AND(ISNUMBER($AO$1247),$B$677=1),$AO$1247,HLOOKUP(INDIRECT(ADDRESS(2,COLUMN())),OFFSET($BN$2,0,0,ROW()-1,60),ROW()-1,FALSE))</f>
        <v/>
      </c>
      <c r="AP589" t="str">
        <f ca="1">IF(AND(ISNUMBER($AP$1247),$B$677=1),$AP$1247,HLOOKUP(INDIRECT(ADDRESS(2,COLUMN())),OFFSET($BN$2,0,0,ROW()-1,60),ROW()-1,FALSE))</f>
        <v/>
      </c>
      <c r="AQ589" t="str">
        <f ca="1">IF(AND(ISNUMBER($AQ$1247),$B$677=1),$AQ$1247,HLOOKUP(INDIRECT(ADDRESS(2,COLUMN())),OFFSET($BN$2,0,0,ROW()-1,60),ROW()-1,FALSE))</f>
        <v/>
      </c>
      <c r="AR589" t="str">
        <f ca="1">IF(AND(ISNUMBER($AR$1247),$B$677=1),$AR$1247,HLOOKUP(INDIRECT(ADDRESS(2,COLUMN())),OFFSET($BN$2,0,0,ROW()-1,60),ROW()-1,FALSE))</f>
        <v/>
      </c>
      <c r="AS589" t="str">
        <f ca="1">IF(AND(ISNUMBER($AS$1247),$B$677=1),$AS$1247,HLOOKUP(INDIRECT(ADDRESS(2,COLUMN())),OFFSET($BN$2,0,0,ROW()-1,60),ROW()-1,FALSE))</f>
        <v/>
      </c>
      <c r="AT589" t="str">
        <f ca="1">IF(AND(ISNUMBER($AT$1247),$B$677=1),$AT$1247,HLOOKUP(INDIRECT(ADDRESS(2,COLUMN())),OFFSET($BN$2,0,0,ROW()-1,60),ROW()-1,FALSE))</f>
        <v/>
      </c>
      <c r="AU589" t="str">
        <f ca="1">IF(AND(ISNUMBER($AU$1247),$B$677=1),$AU$1247,HLOOKUP(INDIRECT(ADDRESS(2,COLUMN())),OFFSET($BN$2,0,0,ROW()-1,60),ROW()-1,FALSE))</f>
        <v/>
      </c>
      <c r="AV589" t="str">
        <f ca="1">IF(AND(ISNUMBER($AV$1247),$B$677=1),$AV$1247,HLOOKUP(INDIRECT(ADDRESS(2,COLUMN())),OFFSET($BN$2,0,0,ROW()-1,60),ROW()-1,FALSE))</f>
        <v/>
      </c>
      <c r="AW589" t="str">
        <f ca="1">IF(AND(ISNUMBER($AW$1247),$B$677=1),$AW$1247,HLOOKUP(INDIRECT(ADDRESS(2,COLUMN())),OFFSET($BN$2,0,0,ROW()-1,60),ROW()-1,FALSE))</f>
        <v/>
      </c>
      <c r="AX589" t="str">
        <f ca="1">IF(AND(ISNUMBER($AX$1247),$B$677=1),$AX$1247,HLOOKUP(INDIRECT(ADDRESS(2,COLUMN())),OFFSET($BN$2,0,0,ROW()-1,60),ROW()-1,FALSE))</f>
        <v/>
      </c>
      <c r="AY589" t="str">
        <f ca="1">IF(AND(ISNUMBER($AY$1247),$B$677=1),$AY$1247,HLOOKUP(INDIRECT(ADDRESS(2,COLUMN())),OFFSET($BN$2,0,0,ROW()-1,60),ROW()-1,FALSE))</f>
        <v/>
      </c>
      <c r="AZ589" t="str">
        <f ca="1">IF(AND(ISNUMBER($AZ$1247),$B$677=1),$AZ$1247,HLOOKUP(INDIRECT(ADDRESS(2,COLUMN())),OFFSET($BN$2,0,0,ROW()-1,60),ROW()-1,FALSE))</f>
        <v/>
      </c>
      <c r="BA589" t="str">
        <f ca="1">IF(AND(ISNUMBER($BA$1247),$B$677=1),$BA$1247,HLOOKUP(INDIRECT(ADDRESS(2,COLUMN())),OFFSET($BN$2,0,0,ROW()-1,60),ROW()-1,FALSE))</f>
        <v/>
      </c>
      <c r="BB589" t="str">
        <f ca="1">IF(AND(ISNUMBER($BB$1247),$B$677=1),$BB$1247,HLOOKUP(INDIRECT(ADDRESS(2,COLUMN())),OFFSET($BN$2,0,0,ROW()-1,60),ROW()-1,FALSE))</f>
        <v/>
      </c>
      <c r="BC589" t="str">
        <f ca="1">IF(AND(ISNUMBER($BC$1247),$B$677=1),$BC$1247,HLOOKUP(INDIRECT(ADDRESS(2,COLUMN())),OFFSET($BN$2,0,0,ROW()-1,60),ROW()-1,FALSE))</f>
        <v/>
      </c>
      <c r="BD589" t="str">
        <f ca="1">IF(AND(ISNUMBER($BD$1247),$B$677=1),$BD$1247,HLOOKUP(INDIRECT(ADDRESS(2,COLUMN())),OFFSET($BN$2,0,0,ROW()-1,60),ROW()-1,FALSE))</f>
        <v/>
      </c>
      <c r="BE589" t="str">
        <f ca="1">IF(AND(ISNUMBER($BE$1247),$B$677=1),$BE$1247,HLOOKUP(INDIRECT(ADDRESS(2,COLUMN())),OFFSET($BN$2,0,0,ROW()-1,60),ROW()-1,FALSE))</f>
        <v/>
      </c>
      <c r="BF589" t="str">
        <f ca="1">IF(AND(ISNUMBER($BF$1247),$B$677=1),$BF$1247,HLOOKUP(INDIRECT(ADDRESS(2,COLUMN())),OFFSET($BN$2,0,0,ROW()-1,60),ROW()-1,FALSE))</f>
        <v/>
      </c>
      <c r="BG589" t="str">
        <f ca="1">IF(AND(ISNUMBER($BG$1247),$B$677=1),$BG$1247,HLOOKUP(INDIRECT(ADDRESS(2,COLUMN())),OFFSET($BN$2,0,0,ROW()-1,60),ROW()-1,FALSE))</f>
        <v/>
      </c>
      <c r="BH589" t="str">
        <f ca="1">IF(AND(ISNUMBER($BH$1247),$B$677=1),$BH$1247,HLOOKUP(INDIRECT(ADDRESS(2,COLUMN())),OFFSET($BN$2,0,0,ROW()-1,60),ROW()-1,FALSE))</f>
        <v/>
      </c>
      <c r="BI589" t="str">
        <f ca="1">IF(AND(ISNUMBER($BI$1247),$B$677=1),$BI$1247,HLOOKUP(INDIRECT(ADDRESS(2,COLUMN())),OFFSET($BN$2,0,0,ROW()-1,60),ROW()-1,FALSE))</f>
        <v/>
      </c>
      <c r="BJ589" t="str">
        <f ca="1">IF(AND(ISNUMBER($BJ$1247),$B$677=1),$BJ$1247,HLOOKUP(INDIRECT(ADDRESS(2,COLUMN())),OFFSET($BN$2,0,0,ROW()-1,60),ROW()-1,FALSE))</f>
        <v/>
      </c>
      <c r="BK589" t="str">
        <f ca="1">IF(AND(ISNUMBER($BK$1247),$B$677=1),$BK$1247,HLOOKUP(INDIRECT(ADDRESS(2,COLUMN())),OFFSET($BN$2,0,0,ROW()-1,60),ROW()-1,FALSE))</f>
        <v/>
      </c>
      <c r="BL589" t="str">
        <f ca="1">IF(AND(ISNUMBER($BL$1247),$B$677=1),$BL$1247,HLOOKUP(INDIRECT(ADDRESS(2,COLUMN())),OFFSET($BN$2,0,0,ROW()-1,60),ROW()-1,FALSE))</f>
        <v/>
      </c>
      <c r="BM589" t="str">
        <f ca="1">IF(AND(ISNUMBER($BM$1247),$B$677=1),$BM$1247,HLOOKUP(INDIRECT(ADDRESS(2,COLUMN())),OFFSET($BN$2,0,0,ROW()-1,60),ROW()-1,FALSE))</f>
        <v/>
      </c>
      <c r="BN589" t="str">
        <f>""</f>
        <v/>
      </c>
      <c r="BO589" t="str">
        <f>""</f>
        <v/>
      </c>
      <c r="BP589" t="str">
        <f>""</f>
        <v/>
      </c>
      <c r="BQ589" t="str">
        <f>""</f>
        <v/>
      </c>
      <c r="BR589" t="str">
        <f>""</f>
        <v/>
      </c>
      <c r="BS589" t="str">
        <f>""</f>
        <v/>
      </c>
      <c r="BT589" t="str">
        <f>""</f>
        <v/>
      </c>
      <c r="BU589" t="str">
        <f>""</f>
        <v/>
      </c>
      <c r="BV589" t="str">
        <f>""</f>
        <v/>
      </c>
      <c r="BW589" t="str">
        <f>""</f>
        <v/>
      </c>
      <c r="BX589" t="str">
        <f>""</f>
        <v/>
      </c>
      <c r="BY589" t="str">
        <f>""</f>
        <v/>
      </c>
      <c r="BZ589" t="str">
        <f>""</f>
        <v/>
      </c>
      <c r="CA589" t="str">
        <f>""</f>
        <v/>
      </c>
      <c r="CB589" t="str">
        <f>""</f>
        <v/>
      </c>
      <c r="CC589" t="str">
        <f>""</f>
        <v/>
      </c>
      <c r="CD589" t="str">
        <f>""</f>
        <v/>
      </c>
      <c r="CE589" t="str">
        <f>""</f>
        <v/>
      </c>
      <c r="CF589" t="str">
        <f>""</f>
        <v/>
      </c>
      <c r="CG589" t="str">
        <f>""</f>
        <v/>
      </c>
      <c r="CH589" t="str">
        <f>""</f>
        <v/>
      </c>
      <c r="CI589" t="str">
        <f>""</f>
        <v/>
      </c>
      <c r="CJ589" t="str">
        <f>""</f>
        <v/>
      </c>
      <c r="CK589" t="str">
        <f>""</f>
        <v/>
      </c>
      <c r="CL589" t="str">
        <f>""</f>
        <v/>
      </c>
      <c r="CM589" t="str">
        <f>""</f>
        <v/>
      </c>
      <c r="CN589" t="str">
        <f>""</f>
        <v/>
      </c>
      <c r="CO589" t="str">
        <f>""</f>
        <v/>
      </c>
      <c r="CP589" t="str">
        <f>""</f>
        <v/>
      </c>
      <c r="CQ589" t="str">
        <f>""</f>
        <v/>
      </c>
      <c r="CR589" t="str">
        <f>""</f>
        <v/>
      </c>
      <c r="CS589" t="str">
        <f>""</f>
        <v/>
      </c>
      <c r="CT589" t="str">
        <f>""</f>
        <v/>
      </c>
      <c r="CU589" t="str">
        <f>""</f>
        <v/>
      </c>
      <c r="CV589" t="str">
        <f>""</f>
        <v/>
      </c>
      <c r="CW589" t="str">
        <f>""</f>
        <v/>
      </c>
      <c r="CX589" t="str">
        <f>""</f>
        <v/>
      </c>
      <c r="CY589" t="str">
        <f>""</f>
        <v/>
      </c>
      <c r="CZ589" t="str">
        <f>""</f>
        <v/>
      </c>
      <c r="DA589" t="str">
        <f>""</f>
        <v/>
      </c>
      <c r="DB589" t="str">
        <f>""</f>
        <v/>
      </c>
      <c r="DC589" t="str">
        <f>""</f>
        <v/>
      </c>
      <c r="DD589" t="str">
        <f>""</f>
        <v/>
      </c>
      <c r="DE589" t="str">
        <f>""</f>
        <v/>
      </c>
      <c r="DF589" t="str">
        <f>""</f>
        <v/>
      </c>
      <c r="DG589" t="str">
        <f>""</f>
        <v/>
      </c>
      <c r="DH589" t="str">
        <f>""</f>
        <v/>
      </c>
      <c r="DI589" t="str">
        <f>""</f>
        <v/>
      </c>
      <c r="DJ589" t="str">
        <f>""</f>
        <v/>
      </c>
      <c r="DK589" t="str">
        <f>""</f>
        <v/>
      </c>
      <c r="DL589" t="str">
        <f>""</f>
        <v/>
      </c>
      <c r="DM589" t="str">
        <f>""</f>
        <v/>
      </c>
      <c r="DN589" t="str">
        <f>""</f>
        <v/>
      </c>
      <c r="DO589" t="str">
        <f>""</f>
        <v/>
      </c>
      <c r="DP589" t="str">
        <f>""</f>
        <v/>
      </c>
      <c r="DQ589" t="str">
        <f>""</f>
        <v/>
      </c>
      <c r="DR589" t="str">
        <f>""</f>
        <v/>
      </c>
      <c r="DS589" t="str">
        <f>""</f>
        <v/>
      </c>
      <c r="DT589" t="str">
        <f>""</f>
        <v/>
      </c>
      <c r="DU589" t="str">
        <f>""</f>
        <v/>
      </c>
    </row>
    <row r="590" spans="1:125" x14ac:dyDescent="0.25">
      <c r="A590" t="str">
        <f>"    DRB-Hicom Bhd"</f>
        <v xml:space="preserve">    DRB-Hicom Bhd</v>
      </c>
      <c r="B590" t="str">
        <f>"DRB MK Equity"</f>
        <v>DRB MK Equity</v>
      </c>
      <c r="C590" t="str">
        <f t="shared" si="42"/>
        <v>RX072</v>
      </c>
      <c r="D590" t="str">
        <f t="shared" si="43"/>
        <v>FREE_CASH_FLOW_YIELD</v>
      </c>
      <c r="E590" t="str">
        <f t="shared" si="44"/>
        <v>Dynamic</v>
      </c>
      <c r="F590" t="str">
        <f ca="1">IF(AND(ISNUMBER($F$1248),$B$677=1),$F$1248,HLOOKUP(INDIRECT(ADDRESS(2,COLUMN())),OFFSET($BN$2,0,0,ROW()-1,60),ROW()-1,FALSE))</f>
        <v/>
      </c>
      <c r="G590">
        <f ca="1">IF(AND(ISNUMBER($G$1248),$B$677=1),$G$1248,HLOOKUP(INDIRECT(ADDRESS(2,COLUMN())),OFFSET($BN$2,0,0,ROW()-1,60),ROW()-1,FALSE))</f>
        <v>50.258507950000002</v>
      </c>
      <c r="H590">
        <f ca="1">IF(AND(ISNUMBER($H$1248),$B$677=1),$H$1248,HLOOKUP(INDIRECT(ADDRESS(2,COLUMN())),OFFSET($BN$2,0,0,ROW()-1,60),ROW()-1,FALSE))</f>
        <v>38.909812610000003</v>
      </c>
      <c r="I590">
        <f ca="1">IF(AND(ISNUMBER($I$1248),$B$677=1),$I$1248,HLOOKUP(INDIRECT(ADDRESS(2,COLUMN())),OFFSET($BN$2,0,0,ROW()-1,60),ROW()-1,FALSE))</f>
        <v>14.605196429999999</v>
      </c>
      <c r="J590">
        <f ca="1">IF(AND(ISNUMBER($J$1248),$B$677=1),$J$1248,HLOOKUP(INDIRECT(ADDRESS(2,COLUMN())),OFFSET($BN$2,0,0,ROW()-1,60),ROW()-1,FALSE))</f>
        <v>5.8609760409999998</v>
      </c>
      <c r="K590">
        <f ca="1">IF(AND(ISNUMBER($K$1248),$B$677=1),$K$1248,HLOOKUP(INDIRECT(ADDRESS(2,COLUMN())),OFFSET($BN$2,0,0,ROW()-1,60),ROW()-1,FALSE))</f>
        <v>12.498559459999999</v>
      </c>
      <c r="L590">
        <f ca="1">IF(AND(ISNUMBER($L$1248),$B$677=1),$L$1248,HLOOKUP(INDIRECT(ADDRESS(2,COLUMN())),OFFSET($BN$2,0,0,ROW()-1,60),ROW()-1,FALSE))</f>
        <v>-28.4495665</v>
      </c>
      <c r="M590">
        <f ca="1">IF(AND(ISNUMBER($M$1248),$B$677=1),$M$1248,HLOOKUP(INDIRECT(ADDRESS(2,COLUMN())),OFFSET($BN$2,0,0,ROW()-1,60),ROW()-1,FALSE))</f>
        <v>-43.513733469999998</v>
      </c>
      <c r="N590">
        <f ca="1">IF(AND(ISNUMBER($N$1248),$B$677=1),$N$1248,HLOOKUP(INDIRECT(ADDRESS(2,COLUMN())),OFFSET($BN$2,0,0,ROW()-1,60),ROW()-1,FALSE))</f>
        <v>-21.679811780000001</v>
      </c>
      <c r="O590">
        <f ca="1">IF(AND(ISNUMBER($O$1248),$B$677=1),$O$1248,HLOOKUP(INDIRECT(ADDRESS(2,COLUMN())),OFFSET($BN$2,0,0,ROW()-1,60),ROW()-1,FALSE))</f>
        <v>-77.179902659999996</v>
      </c>
      <c r="P590">
        <f ca="1">IF(AND(ISNUMBER($P$1248),$B$677=1),$P$1248,HLOOKUP(INDIRECT(ADDRESS(2,COLUMN())),OFFSET($BN$2,0,0,ROW()-1,60),ROW()-1,FALSE))</f>
        <v>-26.157201090000001</v>
      </c>
      <c r="Q590">
        <f ca="1">IF(AND(ISNUMBER($Q$1248),$B$677=1),$Q$1248,HLOOKUP(INDIRECT(ADDRESS(2,COLUMN())),OFFSET($BN$2,0,0,ROW()-1,60),ROW()-1,FALSE))</f>
        <v>7.8049866049999999</v>
      </c>
      <c r="R590">
        <f ca="1">IF(AND(ISNUMBER($R$1248),$B$677=1),$R$1248,HLOOKUP(INDIRECT(ADDRESS(2,COLUMN())),OFFSET($BN$2,0,0,ROW()-1,60),ROW()-1,FALSE))</f>
        <v>-61.360106109999997</v>
      </c>
      <c r="S590">
        <f ca="1">IF(AND(ISNUMBER($S$1248),$B$677=1),$S$1248,HLOOKUP(INDIRECT(ADDRESS(2,COLUMN())),OFFSET($BN$2,0,0,ROW()-1,60),ROW()-1,FALSE))</f>
        <v>-62.427345870000003</v>
      </c>
      <c r="T590">
        <f ca="1">IF(AND(ISNUMBER($T$1248),$B$677=1),$T$1248,HLOOKUP(INDIRECT(ADDRESS(2,COLUMN())),OFFSET($BN$2,0,0,ROW()-1,60),ROW()-1,FALSE))</f>
        <v>-90.1956402</v>
      </c>
      <c r="U590">
        <f ca="1">IF(AND(ISNUMBER($U$1248),$B$677=1),$U$1248,HLOOKUP(INDIRECT(ADDRESS(2,COLUMN())),OFFSET($BN$2,0,0,ROW()-1,60),ROW()-1,FALSE))</f>
        <v>-60.624198380000003</v>
      </c>
      <c r="V590">
        <f ca="1">IF(AND(ISNUMBER($V$1248),$B$677=1),$V$1248,HLOOKUP(INDIRECT(ADDRESS(2,COLUMN())),OFFSET($BN$2,0,0,ROW()-1,60),ROW()-1,FALSE))</f>
        <v>-1.7893504929999999</v>
      </c>
      <c r="W590">
        <f ca="1">IF(AND(ISNUMBER($W$1248),$B$677=1),$W$1248,HLOOKUP(INDIRECT(ADDRESS(2,COLUMN())),OFFSET($BN$2,0,0,ROW()-1,60),ROW()-1,FALSE))</f>
        <v>9.8252974529999992</v>
      </c>
      <c r="X590">
        <f ca="1">IF(AND(ISNUMBER($X$1248),$B$677=1),$X$1248,HLOOKUP(INDIRECT(ADDRESS(2,COLUMN())),OFFSET($BN$2,0,0,ROW()-1,60),ROW()-1,FALSE))</f>
        <v>-24.036202200000002</v>
      </c>
      <c r="Y590">
        <f ca="1">IF(AND(ISNUMBER($Y$1248),$B$677=1),$Y$1248,HLOOKUP(INDIRECT(ADDRESS(2,COLUMN())),OFFSET($BN$2,0,0,ROW()-1,60),ROW()-1,FALSE))</f>
        <v>-24.16751721</v>
      </c>
      <c r="Z590">
        <f ca="1">IF(AND(ISNUMBER($Z$1248),$B$677=1),$Z$1248,HLOOKUP(INDIRECT(ADDRESS(2,COLUMN())),OFFSET($BN$2,0,0,ROW()-1,60),ROW()-1,FALSE))</f>
        <v>-52.562154159999999</v>
      </c>
      <c r="AA590">
        <f ca="1">IF(AND(ISNUMBER($AA$1248),$B$677=1),$AA$1248,HLOOKUP(INDIRECT(ADDRESS(2,COLUMN())),OFFSET($BN$2,0,0,ROW()-1,60),ROW()-1,FALSE))</f>
        <v>16.593031490000001</v>
      </c>
      <c r="AB590">
        <f ca="1">IF(AND(ISNUMBER($AB$1248),$B$677=1),$AB$1248,HLOOKUP(INDIRECT(ADDRESS(2,COLUMN())),OFFSET($BN$2,0,0,ROW()-1,60),ROW()-1,FALSE))</f>
        <v>51.740230410000002</v>
      </c>
      <c r="AC590">
        <f ca="1">IF(AND(ISNUMBER($AC$1248),$B$677=1),$AC$1248,HLOOKUP(INDIRECT(ADDRESS(2,COLUMN())),OFFSET($BN$2,0,0,ROW()-1,60),ROW()-1,FALSE))</f>
        <v>39.334051959999996</v>
      </c>
      <c r="AD590">
        <f ca="1">IF(AND(ISNUMBER($AD$1248),$B$677=1),$AD$1248,HLOOKUP(INDIRECT(ADDRESS(2,COLUMN())),OFFSET($BN$2,0,0,ROW()-1,60),ROW()-1,FALSE))</f>
        <v>-8.4418817260000001</v>
      </c>
      <c r="AE590">
        <f ca="1">IF(AND(ISNUMBER($AE$1248),$B$677=1),$AE$1248,HLOOKUP(INDIRECT(ADDRESS(2,COLUMN())),OFFSET($BN$2,0,0,ROW()-1,60),ROW()-1,FALSE))</f>
        <v>-35.570321079999999</v>
      </c>
      <c r="AF590">
        <f ca="1">IF(AND(ISNUMBER($AF$1248),$B$677=1),$AF$1248,HLOOKUP(INDIRECT(ADDRESS(2,COLUMN())),OFFSET($BN$2,0,0,ROW()-1,60),ROW()-1,FALSE))</f>
        <v>-10.12507162</v>
      </c>
      <c r="AG590">
        <f ca="1">IF(AND(ISNUMBER($AG$1248),$B$677=1),$AG$1248,HLOOKUP(INDIRECT(ADDRESS(2,COLUMN())),OFFSET($BN$2,0,0,ROW()-1,60),ROW()-1,FALSE))</f>
        <v>-49.02935188</v>
      </c>
      <c r="AH590">
        <f ca="1">IF(AND(ISNUMBER($AH$1248),$B$677=1),$AH$1248,HLOOKUP(INDIRECT(ADDRESS(2,COLUMN())),OFFSET($BN$2,0,0,ROW()-1,60),ROW()-1,FALSE))</f>
        <v>-14.345460279999999</v>
      </c>
      <c r="AI590">
        <f ca="1">IF(AND(ISNUMBER($AI$1248),$B$677=1),$AI$1248,HLOOKUP(INDIRECT(ADDRESS(2,COLUMN())),OFFSET($BN$2,0,0,ROW()-1,60),ROW()-1,FALSE))</f>
        <v>-26.52870523</v>
      </c>
      <c r="AJ590">
        <f ca="1">IF(AND(ISNUMBER($AJ$1248),$B$677=1),$AJ$1248,HLOOKUP(INDIRECT(ADDRESS(2,COLUMN())),OFFSET($BN$2,0,0,ROW()-1,60),ROW()-1,FALSE))</f>
        <v>-111.0044312</v>
      </c>
      <c r="AK590">
        <f ca="1">IF(AND(ISNUMBER($AK$1248),$B$677=1),$AK$1248,HLOOKUP(INDIRECT(ADDRESS(2,COLUMN())),OFFSET($BN$2,0,0,ROW()-1,60),ROW()-1,FALSE))</f>
        <v>-63.705164250000003</v>
      </c>
      <c r="AL590">
        <f ca="1">IF(AND(ISNUMBER($AL$1248),$B$677=1),$AL$1248,HLOOKUP(INDIRECT(ADDRESS(2,COLUMN())),OFFSET($BN$2,0,0,ROW()-1,60),ROW()-1,FALSE))</f>
        <v>-42.253844540000003</v>
      </c>
      <c r="AM590">
        <f ca="1">IF(AND(ISNUMBER($AM$1248),$B$677=1),$AM$1248,HLOOKUP(INDIRECT(ADDRESS(2,COLUMN())),OFFSET($BN$2,0,0,ROW()-1,60),ROW()-1,FALSE))</f>
        <v>-69.781632040000005</v>
      </c>
      <c r="AN590">
        <f ca="1">IF(AND(ISNUMBER($AN$1248),$B$677=1),$AN$1248,HLOOKUP(INDIRECT(ADDRESS(2,COLUMN())),OFFSET($BN$2,0,0,ROW()-1,60),ROW()-1,FALSE))</f>
        <v>-61.854102730000001</v>
      </c>
      <c r="AO590">
        <f ca="1">IF(AND(ISNUMBER($AO$1248),$B$677=1),$AO$1248,HLOOKUP(INDIRECT(ADDRESS(2,COLUMN())),OFFSET($BN$2,0,0,ROW()-1,60),ROW()-1,FALSE))</f>
        <v>45.458133770000003</v>
      </c>
      <c r="AP590">
        <f ca="1">IF(AND(ISNUMBER($AP$1248),$B$677=1),$AP$1248,HLOOKUP(INDIRECT(ADDRESS(2,COLUMN())),OFFSET($BN$2,0,0,ROW()-1,60),ROW()-1,FALSE))</f>
        <v>101.770172</v>
      </c>
      <c r="AQ590">
        <f ca="1">IF(AND(ISNUMBER($AQ$1248),$B$677=1),$AQ$1248,HLOOKUP(INDIRECT(ADDRESS(2,COLUMN())),OFFSET($BN$2,0,0,ROW()-1,60),ROW()-1,FALSE))</f>
        <v>-43.536445749999999</v>
      </c>
      <c r="AR590">
        <f ca="1">IF(AND(ISNUMBER($AR$1248),$B$677=1),$AR$1248,HLOOKUP(INDIRECT(ADDRESS(2,COLUMN())),OFFSET($BN$2,0,0,ROW()-1,60),ROW()-1,FALSE))</f>
        <v>-52.280855619999997</v>
      </c>
      <c r="AS590">
        <f ca="1">IF(AND(ISNUMBER($AS$1248),$B$677=1),$AS$1248,HLOOKUP(INDIRECT(ADDRESS(2,COLUMN())),OFFSET($BN$2,0,0,ROW()-1,60),ROW()-1,FALSE))</f>
        <v>-107.1206899</v>
      </c>
      <c r="AT590">
        <f ca="1">IF(AND(ISNUMBER($AT$1248),$B$677=1),$AT$1248,HLOOKUP(INDIRECT(ADDRESS(2,COLUMN())),OFFSET($BN$2,0,0,ROW()-1,60),ROW()-1,FALSE))</f>
        <v>-201.02150739999999</v>
      </c>
      <c r="AU590">
        <f ca="1">IF(AND(ISNUMBER($AU$1248),$B$677=1),$AU$1248,HLOOKUP(INDIRECT(ADDRESS(2,COLUMN())),OFFSET($BN$2,0,0,ROW()-1,60),ROW()-1,FALSE))</f>
        <v>-1.4345998369999999</v>
      </c>
      <c r="AV590">
        <f ca="1">IF(AND(ISNUMBER($AV$1248),$B$677=1),$AV$1248,HLOOKUP(INDIRECT(ADDRESS(2,COLUMN())),OFFSET($BN$2,0,0,ROW()-1,60),ROW()-1,FALSE))</f>
        <v>-3.9560083389999998</v>
      </c>
      <c r="AW590">
        <f ca="1">IF(AND(ISNUMBER($AW$1248),$B$677=1),$AW$1248,HLOOKUP(INDIRECT(ADDRESS(2,COLUMN())),OFFSET($BN$2,0,0,ROW()-1,60),ROW()-1,FALSE))</f>
        <v>2.9907907219999998</v>
      </c>
      <c r="AX590">
        <f ca="1">IF(AND(ISNUMBER($AX$1248),$B$677=1),$AX$1248,HLOOKUP(INDIRECT(ADDRESS(2,COLUMN())),OFFSET($BN$2,0,0,ROW()-1,60),ROW()-1,FALSE))</f>
        <v>44.586499789999998</v>
      </c>
      <c r="AY590">
        <f ca="1">IF(AND(ISNUMBER($AY$1248),$B$677=1),$AY$1248,HLOOKUP(INDIRECT(ADDRESS(2,COLUMN())),OFFSET($BN$2,0,0,ROW()-1,60),ROW()-1,FALSE))</f>
        <v>40.413892279999999</v>
      </c>
      <c r="AZ590">
        <f ca="1">IF(AND(ISNUMBER($AZ$1248),$B$677=1),$AZ$1248,HLOOKUP(INDIRECT(ADDRESS(2,COLUMN())),OFFSET($BN$2,0,0,ROW()-1,60),ROW()-1,FALSE))</f>
        <v>45.268298369999997</v>
      </c>
      <c r="BA590">
        <f ca="1">IF(AND(ISNUMBER($BA$1248),$B$677=1),$BA$1248,HLOOKUP(INDIRECT(ADDRESS(2,COLUMN())),OFFSET($BN$2,0,0,ROW()-1,60),ROW()-1,FALSE))</f>
        <v>40.7426569</v>
      </c>
      <c r="BB590">
        <f ca="1">IF(AND(ISNUMBER($BB$1248),$B$677=1),$BB$1248,HLOOKUP(INDIRECT(ADDRESS(2,COLUMN())),OFFSET($BN$2,0,0,ROW()-1,60),ROW()-1,FALSE))</f>
        <v>27.599120809999999</v>
      </c>
      <c r="BC590">
        <f ca="1">IF(AND(ISNUMBER($BC$1248),$B$677=1),$BC$1248,HLOOKUP(INDIRECT(ADDRESS(2,COLUMN())),OFFSET($BN$2,0,0,ROW()-1,60),ROW()-1,FALSE))</f>
        <v>34.092224190000003</v>
      </c>
      <c r="BD590">
        <f ca="1">IF(AND(ISNUMBER($BD$1248),$B$677=1),$BD$1248,HLOOKUP(INDIRECT(ADDRESS(2,COLUMN())),OFFSET($BN$2,0,0,ROW()-1,60),ROW()-1,FALSE))</f>
        <v>19.074399719999999</v>
      </c>
      <c r="BE590">
        <f ca="1">IF(AND(ISNUMBER($BE$1248),$B$677=1),$BE$1248,HLOOKUP(INDIRECT(ADDRESS(2,COLUMN())),OFFSET($BN$2,0,0,ROW()-1,60),ROW()-1,FALSE))</f>
        <v>7.7679818479999998</v>
      </c>
      <c r="BF590">
        <f ca="1">IF(AND(ISNUMBER($BF$1248),$B$677=1),$BF$1248,HLOOKUP(INDIRECT(ADDRESS(2,COLUMN())),OFFSET($BN$2,0,0,ROW()-1,60),ROW()-1,FALSE))</f>
        <v>12.93300103</v>
      </c>
      <c r="BG590">
        <f ca="1">IF(AND(ISNUMBER($BG$1248),$B$677=1),$BG$1248,HLOOKUP(INDIRECT(ADDRESS(2,COLUMN())),OFFSET($BN$2,0,0,ROW()-1,60),ROW()-1,FALSE))</f>
        <v>16.99321278</v>
      </c>
      <c r="BH590">
        <f ca="1">IF(AND(ISNUMBER($BH$1248),$B$677=1),$BH$1248,HLOOKUP(INDIRECT(ADDRESS(2,COLUMN())),OFFSET($BN$2,0,0,ROW()-1,60),ROW()-1,FALSE))</f>
        <v>29.7582916</v>
      </c>
      <c r="BI590">
        <f ca="1">IF(AND(ISNUMBER($BI$1248),$B$677=1),$BI$1248,HLOOKUP(INDIRECT(ADDRESS(2,COLUMN())),OFFSET($BN$2,0,0,ROW()-1,60),ROW()-1,FALSE))</f>
        <v>42.432046819999997</v>
      </c>
      <c r="BJ590">
        <f ca="1">IF(AND(ISNUMBER($BJ$1248),$B$677=1),$BJ$1248,HLOOKUP(INDIRECT(ADDRESS(2,COLUMN())),OFFSET($BN$2,0,0,ROW()-1,60),ROW()-1,FALSE))</f>
        <v>35.066141090000002</v>
      </c>
      <c r="BK590">
        <f ca="1">IF(AND(ISNUMBER($BK$1248),$B$677=1),$BK$1248,HLOOKUP(INDIRECT(ADDRESS(2,COLUMN())),OFFSET($BN$2,0,0,ROW()-1,60),ROW()-1,FALSE))</f>
        <v>25.311659030000001</v>
      </c>
      <c r="BL590">
        <f ca="1">IF(AND(ISNUMBER($BL$1248),$B$677=1),$BL$1248,HLOOKUP(INDIRECT(ADDRESS(2,COLUMN())),OFFSET($BN$2,0,0,ROW()-1,60),ROW()-1,FALSE))</f>
        <v>19.732444739999998</v>
      </c>
      <c r="BM590">
        <f ca="1">IF(AND(ISNUMBER($BM$1248),$B$677=1),$BM$1248,HLOOKUP(INDIRECT(ADDRESS(2,COLUMN())),OFFSET($BN$2,0,0,ROW()-1,60),ROW()-1,FALSE))</f>
        <v>16.19911274</v>
      </c>
      <c r="BN590" t="str">
        <f>""</f>
        <v/>
      </c>
      <c r="BO590">
        <f>50.25850795</f>
        <v>50.258507950000002</v>
      </c>
      <c r="BP590">
        <f>38.90981261</f>
        <v>38.909812610000003</v>
      </c>
      <c r="BQ590">
        <f>14.60519643</f>
        <v>14.605196429999999</v>
      </c>
      <c r="BR590">
        <f>5.860976041</f>
        <v>5.8609760409999998</v>
      </c>
      <c r="BS590">
        <f>12.49855946</f>
        <v>12.498559459999999</v>
      </c>
      <c r="BT590">
        <f>-28.4495665</f>
        <v>-28.4495665</v>
      </c>
      <c r="BU590">
        <f>-43.51373347</f>
        <v>-43.513733469999998</v>
      </c>
      <c r="BV590">
        <f>-21.67981178</f>
        <v>-21.679811780000001</v>
      </c>
      <c r="BW590">
        <f>-77.17990266</f>
        <v>-77.179902659999996</v>
      </c>
      <c r="BX590">
        <f>-26.15720109</f>
        <v>-26.157201090000001</v>
      </c>
      <c r="BY590">
        <f>7.804986605</f>
        <v>7.8049866049999999</v>
      </c>
      <c r="BZ590">
        <f>-61.36010611</f>
        <v>-61.360106109999997</v>
      </c>
      <c r="CA590">
        <f>-62.42734587</f>
        <v>-62.427345870000003</v>
      </c>
      <c r="CB590">
        <f>-90.1956402</f>
        <v>-90.1956402</v>
      </c>
      <c r="CC590">
        <f>-60.62419838</f>
        <v>-60.624198380000003</v>
      </c>
      <c r="CD590">
        <f>-1.789350493</f>
        <v>-1.7893504929999999</v>
      </c>
      <c r="CE590">
        <f>9.825297453</f>
        <v>9.8252974529999992</v>
      </c>
      <c r="CF590">
        <f>-24.0362022</f>
        <v>-24.036202200000002</v>
      </c>
      <c r="CG590">
        <f>-24.16751721</f>
        <v>-24.16751721</v>
      </c>
      <c r="CH590">
        <f>-52.56215416</f>
        <v>-52.562154159999999</v>
      </c>
      <c r="CI590">
        <f>16.59303149</f>
        <v>16.593031490000001</v>
      </c>
      <c r="CJ590">
        <f>51.74023041</f>
        <v>51.740230410000002</v>
      </c>
      <c r="CK590">
        <f>39.33405196</f>
        <v>39.334051959999996</v>
      </c>
      <c r="CL590">
        <f>-8.441881726</f>
        <v>-8.4418817260000001</v>
      </c>
      <c r="CM590">
        <f>-35.57032108</f>
        <v>-35.570321079999999</v>
      </c>
      <c r="CN590">
        <f>-10.12507162</f>
        <v>-10.12507162</v>
      </c>
      <c r="CO590">
        <f>-49.02935188</f>
        <v>-49.02935188</v>
      </c>
      <c r="CP590">
        <f>-14.34546028</f>
        <v>-14.345460279999999</v>
      </c>
      <c r="CQ590">
        <f>-26.52870523</f>
        <v>-26.52870523</v>
      </c>
      <c r="CR590">
        <f>-111.0044312</f>
        <v>-111.0044312</v>
      </c>
      <c r="CS590">
        <f>-63.70516425</f>
        <v>-63.705164250000003</v>
      </c>
      <c r="CT590">
        <f>-42.25384454</f>
        <v>-42.253844540000003</v>
      </c>
      <c r="CU590">
        <f>-69.78163204</f>
        <v>-69.781632040000005</v>
      </c>
      <c r="CV590">
        <f>-61.85410273</f>
        <v>-61.854102730000001</v>
      </c>
      <c r="CW590">
        <f>45.45813377</f>
        <v>45.458133770000003</v>
      </c>
      <c r="CX590">
        <f>101.770172</f>
        <v>101.770172</v>
      </c>
      <c r="CY590">
        <f>-43.53644575</f>
        <v>-43.536445749999999</v>
      </c>
      <c r="CZ590">
        <f>-52.28085562</f>
        <v>-52.280855619999997</v>
      </c>
      <c r="DA590">
        <f>-107.1206899</f>
        <v>-107.1206899</v>
      </c>
      <c r="DB590">
        <f>-201.0215074</f>
        <v>-201.02150739999999</v>
      </c>
      <c r="DC590">
        <f>-1.434599837</f>
        <v>-1.4345998369999999</v>
      </c>
      <c r="DD590">
        <f>-3.956008339</f>
        <v>-3.9560083389999998</v>
      </c>
      <c r="DE590">
        <f>2.990790722</f>
        <v>2.9907907219999998</v>
      </c>
      <c r="DF590">
        <f>44.58649979</f>
        <v>44.586499789999998</v>
      </c>
      <c r="DG590">
        <f>40.41389228</f>
        <v>40.413892279999999</v>
      </c>
      <c r="DH590">
        <f>45.26829837</f>
        <v>45.268298369999997</v>
      </c>
      <c r="DI590">
        <f>40.7426569</f>
        <v>40.7426569</v>
      </c>
      <c r="DJ590">
        <f>27.59912081</f>
        <v>27.599120809999999</v>
      </c>
      <c r="DK590">
        <f>34.09222419</f>
        <v>34.092224190000003</v>
      </c>
      <c r="DL590">
        <f>19.07439972</f>
        <v>19.074399719999999</v>
      </c>
      <c r="DM590">
        <f>7.767981848</f>
        <v>7.7679818479999998</v>
      </c>
      <c r="DN590">
        <f>12.93300103</f>
        <v>12.93300103</v>
      </c>
      <c r="DO590">
        <f>16.99321278</f>
        <v>16.99321278</v>
      </c>
      <c r="DP590">
        <f>29.7582916</f>
        <v>29.7582916</v>
      </c>
      <c r="DQ590">
        <f>42.43204682</f>
        <v>42.432046819999997</v>
      </c>
      <c r="DR590">
        <f>35.06614109</f>
        <v>35.066141090000002</v>
      </c>
      <c r="DS590">
        <f>25.31165903</f>
        <v>25.311659030000001</v>
      </c>
      <c r="DT590">
        <f>19.73244474</f>
        <v>19.732444739999998</v>
      </c>
      <c r="DU590">
        <f>16.19911274</f>
        <v>16.19911274</v>
      </c>
    </row>
    <row r="591" spans="1:125" x14ac:dyDescent="0.25">
      <c r="A591" t="str">
        <f>"    FAW CAR Co Ltd"</f>
        <v xml:space="preserve">    FAW CAR Co Ltd</v>
      </c>
      <c r="B591" t="str">
        <f>"000800 CH Equity"</f>
        <v>000800 CH Equity</v>
      </c>
      <c r="C591" t="str">
        <f t="shared" si="42"/>
        <v>RX072</v>
      </c>
      <c r="D591" t="str">
        <f t="shared" si="43"/>
        <v>FREE_CASH_FLOW_YIELD</v>
      </c>
      <c r="E591" t="str">
        <f t="shared" si="44"/>
        <v>Dynamic</v>
      </c>
      <c r="F591">
        <f ca="1">IF(AND(ISNUMBER($F$1249),$B$677=1),$F$1249,HLOOKUP(INDIRECT(ADDRESS(2,COLUMN())),OFFSET($BN$2,0,0,ROW()-1,60),ROW()-1,FALSE))</f>
        <v>8.0598647680000006</v>
      </c>
      <c r="G591">
        <f ca="1">IF(AND(ISNUMBER($G$1249),$B$677=1),$G$1249,HLOOKUP(INDIRECT(ADDRESS(2,COLUMN())),OFFSET($BN$2,0,0,ROW()-1,60),ROW()-1,FALSE))</f>
        <v>9.8008929580000004</v>
      </c>
      <c r="H591">
        <f ca="1">IF(AND(ISNUMBER($H$1249),$B$677=1),$H$1249,HLOOKUP(INDIRECT(ADDRESS(2,COLUMN())),OFFSET($BN$2,0,0,ROW()-1,60),ROW()-1,FALSE))</f>
        <v>9.8455100729999998</v>
      </c>
      <c r="I591">
        <f ca="1">IF(AND(ISNUMBER($I$1249),$B$677=1),$I$1249,HLOOKUP(INDIRECT(ADDRESS(2,COLUMN())),OFFSET($BN$2,0,0,ROW()-1,60),ROW()-1,FALSE))</f>
        <v>17.68248578</v>
      </c>
      <c r="J591">
        <f ca="1">IF(AND(ISNUMBER($J$1249),$B$677=1),$J$1249,HLOOKUP(INDIRECT(ADDRESS(2,COLUMN())),OFFSET($BN$2,0,0,ROW()-1,60),ROW()-1,FALSE))</f>
        <v>12.47799625</v>
      </c>
      <c r="K591">
        <f ca="1">IF(AND(ISNUMBER($K$1249),$B$677=1),$K$1249,HLOOKUP(INDIRECT(ADDRESS(2,COLUMN())),OFFSET($BN$2,0,0,ROW()-1,60),ROW()-1,FALSE))</f>
        <v>11.462236969999999</v>
      </c>
      <c r="L591">
        <f ca="1">IF(AND(ISNUMBER($L$1249),$B$677=1),$L$1249,HLOOKUP(INDIRECT(ADDRESS(2,COLUMN())),OFFSET($BN$2,0,0,ROW()-1,60),ROW()-1,FALSE))</f>
        <v>9.0527385149999997</v>
      </c>
      <c r="M591">
        <f ca="1">IF(AND(ISNUMBER($M$1249),$B$677=1),$M$1249,HLOOKUP(INDIRECT(ADDRESS(2,COLUMN())),OFFSET($BN$2,0,0,ROW()-1,60),ROW()-1,FALSE))</f>
        <v>5.0403500440000002</v>
      </c>
      <c r="N591">
        <f ca="1">IF(AND(ISNUMBER($N$1249),$B$677=1),$N$1249,HLOOKUP(INDIRECT(ADDRESS(2,COLUMN())),OFFSET($BN$2,0,0,ROW()-1,60),ROW()-1,FALSE))</f>
        <v>5.0233885430000003</v>
      </c>
      <c r="O591">
        <f ca="1">IF(AND(ISNUMBER($O$1249),$B$677=1),$O$1249,HLOOKUP(INDIRECT(ADDRESS(2,COLUMN())),OFFSET($BN$2,0,0,ROW()-1,60),ROW()-1,FALSE))</f>
        <v>-1.3185616630000001</v>
      </c>
      <c r="P591">
        <f ca="1">IF(AND(ISNUMBER($P$1249),$B$677=1),$P$1249,HLOOKUP(INDIRECT(ADDRESS(2,COLUMN())),OFFSET($BN$2,0,0,ROW()-1,60),ROW()-1,FALSE))</f>
        <v>-4.0960313959999999</v>
      </c>
      <c r="Q591">
        <f ca="1">IF(AND(ISNUMBER($Q$1249),$B$677=1),$Q$1249,HLOOKUP(INDIRECT(ADDRESS(2,COLUMN())),OFFSET($BN$2,0,0,ROW()-1,60),ROW()-1,FALSE))</f>
        <v>-2.023926178</v>
      </c>
      <c r="R591">
        <f ca="1">IF(AND(ISNUMBER($R$1249),$B$677=1),$R$1249,HLOOKUP(INDIRECT(ADDRESS(2,COLUMN())),OFFSET($BN$2,0,0,ROW()-1,60),ROW()-1,FALSE))</f>
        <v>-2.1647434959999998</v>
      </c>
      <c r="S591">
        <f ca="1">IF(AND(ISNUMBER($S$1249),$B$677=1),$S$1249,HLOOKUP(INDIRECT(ADDRESS(2,COLUMN())),OFFSET($BN$2,0,0,ROW()-1,60),ROW()-1,FALSE))</f>
        <v>1.067184355</v>
      </c>
      <c r="T591">
        <f ca="1">IF(AND(ISNUMBER($T$1249),$B$677=1),$T$1249,HLOOKUP(INDIRECT(ADDRESS(2,COLUMN())),OFFSET($BN$2,0,0,ROW()-1,60),ROW()-1,FALSE))</f>
        <v>-2.7414198550000002</v>
      </c>
      <c r="U591">
        <f ca="1">IF(AND(ISNUMBER($U$1249),$B$677=1),$U$1249,HLOOKUP(INDIRECT(ADDRESS(2,COLUMN())),OFFSET($BN$2,0,0,ROW()-1,60),ROW()-1,FALSE))</f>
        <v>-1.65956481</v>
      </c>
      <c r="V591">
        <f ca="1">IF(AND(ISNUMBER($V$1249),$B$677=1),$V$1249,HLOOKUP(INDIRECT(ADDRESS(2,COLUMN())),OFFSET($BN$2,0,0,ROW()-1,60),ROW()-1,FALSE))</f>
        <v>-1.5384200240000001</v>
      </c>
      <c r="W591">
        <f ca="1">IF(AND(ISNUMBER($W$1249),$B$677=1),$W$1249,HLOOKUP(INDIRECT(ADDRESS(2,COLUMN())),OFFSET($BN$2,0,0,ROW()-1,60),ROW()-1,FALSE))</f>
        <v>-2.274674225</v>
      </c>
      <c r="X591">
        <f ca="1">IF(AND(ISNUMBER($X$1249),$B$677=1),$X$1249,HLOOKUP(INDIRECT(ADDRESS(2,COLUMN())),OFFSET($BN$2,0,0,ROW()-1,60),ROW()-1,FALSE))</f>
        <v>-1.599768187</v>
      </c>
      <c r="Y591">
        <f ca="1">IF(AND(ISNUMBER($Y$1249),$B$677=1),$Y$1249,HLOOKUP(INDIRECT(ADDRESS(2,COLUMN())),OFFSET($BN$2,0,0,ROW()-1,60),ROW()-1,FALSE))</f>
        <v>-0.175453421</v>
      </c>
      <c r="Z591">
        <f ca="1">IF(AND(ISNUMBER($Z$1249),$B$677=1),$Z$1249,HLOOKUP(INDIRECT(ADDRESS(2,COLUMN())),OFFSET($BN$2,0,0,ROW()-1,60),ROW()-1,FALSE))</f>
        <v>2.6562559970000001</v>
      </c>
      <c r="AA591">
        <f ca="1">IF(AND(ISNUMBER($AA$1249),$B$677=1),$AA$1249,HLOOKUP(INDIRECT(ADDRESS(2,COLUMN())),OFFSET($BN$2,0,0,ROW()-1,60),ROW()-1,FALSE))</f>
        <v>-8.8882811000000006E-2</v>
      </c>
      <c r="AB591">
        <f ca="1">IF(AND(ISNUMBER($AB$1249),$B$677=1),$AB$1249,HLOOKUP(INDIRECT(ADDRESS(2,COLUMN())),OFFSET($BN$2,0,0,ROW()-1,60),ROW()-1,FALSE))</f>
        <v>-0.72961900400000002</v>
      </c>
      <c r="AC591">
        <f ca="1">IF(AND(ISNUMBER($AC$1249),$B$677=1),$AC$1249,HLOOKUP(INDIRECT(ADDRESS(2,COLUMN())),OFFSET($BN$2,0,0,ROW()-1,60),ROW()-1,FALSE))</f>
        <v>-8.834223862</v>
      </c>
      <c r="AD591">
        <f ca="1">IF(AND(ISNUMBER($AD$1249),$B$677=1),$AD$1249,HLOOKUP(INDIRECT(ADDRESS(2,COLUMN())),OFFSET($BN$2,0,0,ROW()-1,60),ROW()-1,FALSE))</f>
        <v>-11.71641273</v>
      </c>
      <c r="AE591">
        <f ca="1">IF(AND(ISNUMBER($AE$1249),$B$677=1),$AE$1249,HLOOKUP(INDIRECT(ADDRESS(2,COLUMN())),OFFSET($BN$2,0,0,ROW()-1,60),ROW()-1,FALSE))</f>
        <v>-7.5962856160000003</v>
      </c>
      <c r="AF591">
        <f ca="1">IF(AND(ISNUMBER($AF$1249),$B$677=1),$AF$1249,HLOOKUP(INDIRECT(ADDRESS(2,COLUMN())),OFFSET($BN$2,0,0,ROW()-1,60),ROW()-1,FALSE))</f>
        <v>-3.4443335390000001</v>
      </c>
      <c r="AG591">
        <f ca="1">IF(AND(ISNUMBER($AG$1249),$B$677=1),$AG$1249,HLOOKUP(INDIRECT(ADDRESS(2,COLUMN())),OFFSET($BN$2,0,0,ROW()-1,60),ROW()-1,FALSE))</f>
        <v>-0.50999330899999995</v>
      </c>
      <c r="AH591">
        <f ca="1">IF(AND(ISNUMBER($AH$1249),$B$677=1),$AH$1249,HLOOKUP(INDIRECT(ADDRESS(2,COLUMN())),OFFSET($BN$2,0,0,ROW()-1,60),ROW()-1,FALSE))</f>
        <v>-5.5270591260000002</v>
      </c>
      <c r="AI591">
        <f ca="1">IF(AND(ISNUMBER($AI$1249),$B$677=1),$AI$1249,HLOOKUP(INDIRECT(ADDRESS(2,COLUMN())),OFFSET($BN$2,0,0,ROW()-1,60),ROW()-1,FALSE))</f>
        <v>-16.84483921</v>
      </c>
      <c r="AJ591">
        <f ca="1">IF(AND(ISNUMBER($AJ$1249),$B$677=1),$AJ$1249,HLOOKUP(INDIRECT(ADDRESS(2,COLUMN())),OFFSET($BN$2,0,0,ROW()-1,60),ROW()-1,FALSE))</f>
        <v>-23.10202743</v>
      </c>
      <c r="AK591">
        <f ca="1">IF(AND(ISNUMBER($AK$1249),$B$677=1),$AK$1249,HLOOKUP(INDIRECT(ADDRESS(2,COLUMN())),OFFSET($BN$2,0,0,ROW()-1,60),ROW()-1,FALSE))</f>
        <v>-7.1049460050000004</v>
      </c>
      <c r="AL591">
        <f ca="1">IF(AND(ISNUMBER($AL$1249),$B$677=1),$AL$1249,HLOOKUP(INDIRECT(ADDRESS(2,COLUMN())),OFFSET($BN$2,0,0,ROW()-1,60),ROW()-1,FALSE))</f>
        <v>-5.4840946730000004</v>
      </c>
      <c r="AM591">
        <f ca="1">IF(AND(ISNUMBER($AM$1249),$B$677=1),$AM$1249,HLOOKUP(INDIRECT(ADDRESS(2,COLUMN())),OFFSET($BN$2,0,0,ROW()-1,60),ROW()-1,FALSE))</f>
        <v>4.7179533779999998</v>
      </c>
      <c r="AN591">
        <f ca="1">IF(AND(ISNUMBER($AN$1249),$B$677=1),$AN$1249,HLOOKUP(INDIRECT(ADDRESS(2,COLUMN())),OFFSET($BN$2,0,0,ROW()-1,60),ROW()-1,FALSE))</f>
        <v>7.0743330870000003</v>
      </c>
      <c r="AO591">
        <f ca="1">IF(AND(ISNUMBER($AO$1249),$B$677=1),$AO$1249,HLOOKUP(INDIRECT(ADDRESS(2,COLUMN())),OFFSET($BN$2,0,0,ROW()-1,60),ROW()-1,FALSE))</f>
        <v>3.6733505129999999</v>
      </c>
      <c r="AP591">
        <f ca="1">IF(AND(ISNUMBER($AP$1249),$B$677=1),$AP$1249,HLOOKUP(INDIRECT(ADDRESS(2,COLUMN())),OFFSET($BN$2,0,0,ROW()-1,60),ROW()-1,FALSE))</f>
        <v>3.4498844700000002</v>
      </c>
      <c r="AQ591">
        <f ca="1">IF(AND(ISNUMBER($AQ$1249),$B$677=1),$AQ$1249,HLOOKUP(INDIRECT(ADDRESS(2,COLUMN())),OFFSET($BN$2,0,0,ROW()-1,60),ROW()-1,FALSE))</f>
        <v>3.0054238350000002</v>
      </c>
      <c r="AR591">
        <f ca="1">IF(AND(ISNUMBER($AR$1249),$B$677=1),$AR$1249,HLOOKUP(INDIRECT(ADDRESS(2,COLUMN())),OFFSET($BN$2,0,0,ROW()-1,60),ROW()-1,FALSE))</f>
        <v>8.3762173840000003</v>
      </c>
      <c r="AS591">
        <f ca="1">IF(AND(ISNUMBER($AS$1249),$B$677=1),$AS$1249,HLOOKUP(INDIRECT(ADDRESS(2,COLUMN())),OFFSET($BN$2,0,0,ROW()-1,60),ROW()-1,FALSE))</f>
        <v>6.5936575099999999</v>
      </c>
      <c r="AT591">
        <f ca="1">IF(AND(ISNUMBER($AT$1249),$B$677=1),$AT$1249,HLOOKUP(INDIRECT(ADDRESS(2,COLUMN())),OFFSET($BN$2,0,0,ROW()-1,60),ROW()-1,FALSE))</f>
        <v>5.1274631060000004</v>
      </c>
      <c r="AU591">
        <f ca="1">IF(AND(ISNUMBER($AU$1249),$B$677=1),$AU$1249,HLOOKUP(INDIRECT(ADDRESS(2,COLUMN())),OFFSET($BN$2,0,0,ROW()-1,60),ROW()-1,FALSE))</f>
        <v>3.4892664519999999</v>
      </c>
      <c r="AV591">
        <f ca="1">IF(AND(ISNUMBER($AV$1249),$B$677=1),$AV$1249,HLOOKUP(INDIRECT(ADDRESS(2,COLUMN())),OFFSET($BN$2,0,0,ROW()-1,60),ROW()-1,FALSE))</f>
        <v>-1.585713218</v>
      </c>
      <c r="AW591">
        <f ca="1">IF(AND(ISNUMBER($AW$1249),$B$677=1),$AW$1249,HLOOKUP(INDIRECT(ADDRESS(2,COLUMN())),OFFSET($BN$2,0,0,ROW()-1,60),ROW()-1,FALSE))</f>
        <v>0.49202559699999998</v>
      </c>
      <c r="AX591">
        <f ca="1">IF(AND(ISNUMBER($AX$1249),$B$677=1),$AX$1249,HLOOKUP(INDIRECT(ADDRESS(2,COLUMN())),OFFSET($BN$2,0,0,ROW()-1,60),ROW()-1,FALSE))</f>
        <v>1.34291345</v>
      </c>
      <c r="AY591">
        <f ca="1">IF(AND(ISNUMBER($AY$1249),$B$677=1),$AY$1249,HLOOKUP(INDIRECT(ADDRESS(2,COLUMN())),OFFSET($BN$2,0,0,ROW()-1,60),ROW()-1,FALSE))</f>
        <v>-0.50236431699999995</v>
      </c>
      <c r="AZ591">
        <f ca="1">IF(AND(ISNUMBER($AZ$1249),$B$677=1),$AZ$1249,HLOOKUP(INDIRECT(ADDRESS(2,COLUMN())),OFFSET($BN$2,0,0,ROW()-1,60),ROW()-1,FALSE))</f>
        <v>0.99391976900000001</v>
      </c>
      <c r="BA591">
        <f ca="1">IF(AND(ISNUMBER($BA$1249),$B$677=1),$BA$1249,HLOOKUP(INDIRECT(ADDRESS(2,COLUMN())),OFFSET($BN$2,0,0,ROW()-1,60),ROW()-1,FALSE))</f>
        <v>1.9946935779999999</v>
      </c>
      <c r="BB591">
        <f ca="1">IF(AND(ISNUMBER($BB$1249),$B$677=1),$BB$1249,HLOOKUP(INDIRECT(ADDRESS(2,COLUMN())),OFFSET($BN$2,0,0,ROW()-1,60),ROW()-1,FALSE))</f>
        <v>-1.2460857949999999</v>
      </c>
      <c r="BC591">
        <f ca="1">IF(AND(ISNUMBER($BC$1249),$B$677=1),$BC$1249,HLOOKUP(INDIRECT(ADDRESS(2,COLUMN())),OFFSET($BN$2,0,0,ROW()-1,60),ROW()-1,FALSE))</f>
        <v>-2.7951899729999998</v>
      </c>
      <c r="BD591">
        <f ca="1">IF(AND(ISNUMBER($BD$1249),$B$677=1),$BD$1249,HLOOKUP(INDIRECT(ADDRESS(2,COLUMN())),OFFSET($BN$2,0,0,ROW()-1,60),ROW()-1,FALSE))</f>
        <v>-6.8967350549999997</v>
      </c>
      <c r="BE591">
        <f ca="1">IF(AND(ISNUMBER($BE$1249),$B$677=1),$BE$1249,HLOOKUP(INDIRECT(ADDRESS(2,COLUMN())),OFFSET($BN$2,0,0,ROW()-1,60),ROW()-1,FALSE))</f>
        <v>23.187270659999999</v>
      </c>
      <c r="BF591">
        <f ca="1">IF(AND(ISNUMBER($BF$1249),$B$677=1),$BF$1249,HLOOKUP(INDIRECT(ADDRESS(2,COLUMN())),OFFSET($BN$2,0,0,ROW()-1,60),ROW()-1,FALSE))</f>
        <v>42.438910509999999</v>
      </c>
      <c r="BG591">
        <f ca="1">IF(AND(ISNUMBER($BG$1249),$B$677=1),$BG$1249,HLOOKUP(INDIRECT(ADDRESS(2,COLUMN())),OFFSET($BN$2,0,0,ROW()-1,60),ROW()-1,FALSE))</f>
        <v>46.383552829999999</v>
      </c>
      <c r="BH591">
        <f ca="1">IF(AND(ISNUMBER($BH$1249),$B$677=1),$BH$1249,HLOOKUP(INDIRECT(ADDRESS(2,COLUMN())),OFFSET($BN$2,0,0,ROW()-1,60),ROW()-1,FALSE))</f>
        <v>37.05984849</v>
      </c>
      <c r="BI591">
        <f ca="1">IF(AND(ISNUMBER($BI$1249),$B$677=1),$BI$1249,HLOOKUP(INDIRECT(ADDRESS(2,COLUMN())),OFFSET($BN$2,0,0,ROW()-1,60),ROW()-1,FALSE))</f>
        <v>18.685845560000001</v>
      </c>
      <c r="BJ591">
        <f ca="1">IF(AND(ISNUMBER($BJ$1249),$B$677=1),$BJ$1249,HLOOKUP(INDIRECT(ADDRESS(2,COLUMN())),OFFSET($BN$2,0,0,ROW()-1,60),ROW()-1,FALSE))</f>
        <v>-18.43574276</v>
      </c>
      <c r="BK591">
        <f ca="1">IF(AND(ISNUMBER($BK$1249),$B$677=1),$BK$1249,HLOOKUP(INDIRECT(ADDRESS(2,COLUMN())),OFFSET($BN$2,0,0,ROW()-1,60),ROW()-1,FALSE))</f>
        <v>-48.87071924</v>
      </c>
      <c r="BL591">
        <f ca="1">IF(AND(ISNUMBER($BL$1249),$B$677=1),$BL$1249,HLOOKUP(INDIRECT(ADDRESS(2,COLUMN())),OFFSET($BN$2,0,0,ROW()-1,60),ROW()-1,FALSE))</f>
        <v>-18.334748279999999</v>
      </c>
      <c r="BM591">
        <f ca="1">IF(AND(ISNUMBER($BM$1249),$B$677=1),$BM$1249,HLOOKUP(INDIRECT(ADDRESS(2,COLUMN())),OFFSET($BN$2,0,0,ROW()-1,60),ROW()-1,FALSE))</f>
        <v>-0.69855050500000004</v>
      </c>
      <c r="BN591">
        <f>8.059864768</f>
        <v>8.0598647680000006</v>
      </c>
      <c r="BO591">
        <f>9.800892958</f>
        <v>9.8008929580000004</v>
      </c>
      <c r="BP591">
        <f>9.845510073</f>
        <v>9.8455100729999998</v>
      </c>
      <c r="BQ591">
        <f>17.68248578</f>
        <v>17.68248578</v>
      </c>
      <c r="BR591">
        <f>12.47799625</f>
        <v>12.47799625</v>
      </c>
      <c r="BS591">
        <f>11.46223697</f>
        <v>11.462236969999999</v>
      </c>
      <c r="BT591">
        <f>9.052738515</f>
        <v>9.0527385149999997</v>
      </c>
      <c r="BU591">
        <f>5.040350044</f>
        <v>5.0403500440000002</v>
      </c>
      <c r="BV591">
        <f>5.023388543</f>
        <v>5.0233885430000003</v>
      </c>
      <c r="BW591">
        <f>-1.318561663</f>
        <v>-1.3185616630000001</v>
      </c>
      <c r="BX591">
        <f>-4.096031396</f>
        <v>-4.0960313959999999</v>
      </c>
      <c r="BY591">
        <f>-2.023926178</f>
        <v>-2.023926178</v>
      </c>
      <c r="BZ591">
        <f>-2.164743496</f>
        <v>-2.1647434959999998</v>
      </c>
      <c r="CA591">
        <f>1.067184355</f>
        <v>1.067184355</v>
      </c>
      <c r="CB591">
        <f>-2.741419855</f>
        <v>-2.7414198550000002</v>
      </c>
      <c r="CC591">
        <f>-1.65956481</f>
        <v>-1.65956481</v>
      </c>
      <c r="CD591">
        <f>-1.538420024</f>
        <v>-1.5384200240000001</v>
      </c>
      <c r="CE591">
        <f>-2.274674225</f>
        <v>-2.274674225</v>
      </c>
      <c r="CF591">
        <f>-1.599768187</f>
        <v>-1.599768187</v>
      </c>
      <c r="CG591">
        <f>-0.175453421</f>
        <v>-0.175453421</v>
      </c>
      <c r="CH591">
        <f>2.656255997</f>
        <v>2.6562559970000001</v>
      </c>
      <c r="CI591">
        <f>-0.088882811</f>
        <v>-8.8882811000000006E-2</v>
      </c>
      <c r="CJ591">
        <f>-0.729619004</f>
        <v>-0.72961900400000002</v>
      </c>
      <c r="CK591">
        <f>-8.834223862</f>
        <v>-8.834223862</v>
      </c>
      <c r="CL591">
        <f>-11.71641273</f>
        <v>-11.71641273</v>
      </c>
      <c r="CM591">
        <f>-7.596285616</f>
        <v>-7.5962856160000003</v>
      </c>
      <c r="CN591">
        <f>-3.444333539</f>
        <v>-3.4443335390000001</v>
      </c>
      <c r="CO591">
        <f>-0.509993309</f>
        <v>-0.50999330899999995</v>
      </c>
      <c r="CP591">
        <f>-5.527059126</f>
        <v>-5.5270591260000002</v>
      </c>
      <c r="CQ591">
        <f>-16.84483921</f>
        <v>-16.84483921</v>
      </c>
      <c r="CR591">
        <f>-23.10202743</f>
        <v>-23.10202743</v>
      </c>
      <c r="CS591">
        <f>-7.104946005</f>
        <v>-7.1049460050000004</v>
      </c>
      <c r="CT591">
        <f>-5.484094673</f>
        <v>-5.4840946730000004</v>
      </c>
      <c r="CU591">
        <f>4.717953378</f>
        <v>4.7179533779999998</v>
      </c>
      <c r="CV591">
        <f>7.074333087</f>
        <v>7.0743330870000003</v>
      </c>
      <c r="CW591">
        <f>3.673350513</f>
        <v>3.6733505129999999</v>
      </c>
      <c r="CX591">
        <f>3.44988447</f>
        <v>3.4498844700000002</v>
      </c>
      <c r="CY591">
        <f>3.005423835</f>
        <v>3.0054238350000002</v>
      </c>
      <c r="CZ591">
        <f>8.376217384</f>
        <v>8.3762173840000003</v>
      </c>
      <c r="DA591">
        <f>6.59365751</f>
        <v>6.5936575099999999</v>
      </c>
      <c r="DB591">
        <f>5.127463106</f>
        <v>5.1274631060000004</v>
      </c>
      <c r="DC591">
        <f>3.489266452</f>
        <v>3.4892664519999999</v>
      </c>
      <c r="DD591">
        <f>-1.585713218</f>
        <v>-1.585713218</v>
      </c>
      <c r="DE591">
        <f>0.492025597</f>
        <v>0.49202559699999998</v>
      </c>
      <c r="DF591">
        <f>1.34291345</f>
        <v>1.34291345</v>
      </c>
      <c r="DG591">
        <f>-0.502364317</f>
        <v>-0.50236431699999995</v>
      </c>
      <c r="DH591">
        <f>0.993919769</f>
        <v>0.99391976900000001</v>
      </c>
      <c r="DI591">
        <f>1.994693578</f>
        <v>1.9946935779999999</v>
      </c>
      <c r="DJ591">
        <f>-1.246085795</f>
        <v>-1.2460857949999999</v>
      </c>
      <c r="DK591">
        <f>-2.795189973</f>
        <v>-2.7951899729999998</v>
      </c>
      <c r="DL591">
        <f>-6.896735055</f>
        <v>-6.8967350549999997</v>
      </c>
      <c r="DM591">
        <f>23.18727066</f>
        <v>23.187270659999999</v>
      </c>
      <c r="DN591">
        <f>42.43891051</f>
        <v>42.438910509999999</v>
      </c>
      <c r="DO591">
        <f>46.38355283</f>
        <v>46.383552829999999</v>
      </c>
      <c r="DP591">
        <f>37.05984849</f>
        <v>37.05984849</v>
      </c>
      <c r="DQ591">
        <f>18.68584556</f>
        <v>18.685845560000001</v>
      </c>
      <c r="DR591">
        <f>-18.43574276</f>
        <v>-18.43574276</v>
      </c>
      <c r="DS591">
        <f>-48.87071924</f>
        <v>-48.87071924</v>
      </c>
      <c r="DT591">
        <f>-18.33474828</f>
        <v>-18.334748279999999</v>
      </c>
      <c r="DU591">
        <f>-0.698550505</f>
        <v>-0.69855050500000004</v>
      </c>
    </row>
    <row r="592" spans="1:125" x14ac:dyDescent="0.25">
      <c r="A592" t="str">
        <f>"    Fiat Chrysler Automobiles NV"</f>
        <v xml:space="preserve">    Fiat Chrysler Automobiles NV</v>
      </c>
      <c r="B592" t="str">
        <f>"FCAU US Equity"</f>
        <v>FCAU US Equity</v>
      </c>
      <c r="C592" t="str">
        <f t="shared" si="42"/>
        <v>RX072</v>
      </c>
      <c r="D592" t="str">
        <f t="shared" si="43"/>
        <v>FREE_CASH_FLOW_YIELD</v>
      </c>
      <c r="E592" t="str">
        <f t="shared" si="44"/>
        <v>Dynamic</v>
      </c>
      <c r="F592">
        <f ca="1">IF(AND(ISNUMBER($F$1250),$B$677=1),$F$1250,HLOOKUP(INDIRECT(ADDRESS(2,COLUMN())),OFFSET($BN$2,0,0,ROW()-1,60),ROW()-1,FALSE))</f>
        <v>22.315221640000001</v>
      </c>
      <c r="G592">
        <f ca="1">IF(AND(ISNUMBER($G$1250),$B$677=1),$G$1250,HLOOKUP(INDIRECT(ADDRESS(2,COLUMN())),OFFSET($BN$2,0,0,ROW()-1,60),ROW()-1,FALSE))</f>
        <v>23.298423700000001</v>
      </c>
      <c r="H592">
        <f ca="1">IF(AND(ISNUMBER($H$1250),$B$677=1),$H$1250,HLOOKUP(INDIRECT(ADDRESS(2,COLUMN())),OFFSET($BN$2,0,0,ROW()-1,60),ROW()-1,FALSE))</f>
        <v>17.118246970000001</v>
      </c>
      <c r="I592">
        <f ca="1">IF(AND(ISNUMBER($I$1250),$B$677=1),$I$1250,HLOOKUP(INDIRECT(ADDRESS(2,COLUMN())),OFFSET($BN$2,0,0,ROW()-1,60),ROW()-1,FALSE))</f>
        <v>18.857599740000001</v>
      </c>
      <c r="J592">
        <f ca="1">IF(AND(ISNUMBER($J$1250),$B$677=1),$J$1250,HLOOKUP(INDIRECT(ADDRESS(2,COLUMN())),OFFSET($BN$2,0,0,ROW()-1,60),ROW()-1,FALSE))</f>
        <v>15.275129809999999</v>
      </c>
      <c r="K592">
        <f ca="1">IF(AND(ISNUMBER($K$1250),$B$677=1),$K$1250,HLOOKUP(INDIRECT(ADDRESS(2,COLUMN())),OFFSET($BN$2,0,0,ROW()-1,60),ROW()-1,FALSE))</f>
        <v>9.9697927029999995</v>
      </c>
      <c r="L592">
        <f ca="1">IF(AND(ISNUMBER($L$1250),$B$677=1),$L$1250,HLOOKUP(INDIRECT(ADDRESS(2,COLUMN())),OFFSET($BN$2,0,0,ROW()-1,60),ROW()-1,FALSE))</f>
        <v>11.37538389</v>
      </c>
      <c r="M592">
        <f ca="1">IF(AND(ISNUMBER($M$1250),$B$677=1),$M$1250,HLOOKUP(INDIRECT(ADDRESS(2,COLUMN())),OFFSET($BN$2,0,0,ROW()-1,60),ROW()-1,FALSE))</f>
        <v>7.604968833</v>
      </c>
      <c r="N592">
        <f ca="1">IF(AND(ISNUMBER($N$1250),$B$677=1),$N$1250,HLOOKUP(INDIRECT(ADDRESS(2,COLUMN())),OFFSET($BN$2,0,0,ROW()-1,60),ROW()-1,FALSE))</f>
        <v>14.103358269999999</v>
      </c>
      <c r="O592">
        <f ca="1">IF(AND(ISNUMBER($O$1250),$B$677=1),$O$1250,HLOOKUP(INDIRECT(ADDRESS(2,COLUMN())),OFFSET($BN$2,0,0,ROW()-1,60),ROW()-1,FALSE))</f>
        <v>13.56713341</v>
      </c>
      <c r="P592">
        <f ca="1">IF(AND(ISNUMBER($P$1250),$B$677=1),$P$1250,HLOOKUP(INDIRECT(ADDRESS(2,COLUMN())),OFFSET($BN$2,0,0,ROW()-1,60),ROW()-1,FALSE))</f>
        <v>15.311634359999999</v>
      </c>
      <c r="Q592">
        <f ca="1">IF(AND(ISNUMBER($Q$1250),$B$677=1),$Q$1250,HLOOKUP(INDIRECT(ADDRESS(2,COLUMN())),OFFSET($BN$2,0,0,ROW()-1,60),ROW()-1,FALSE))</f>
        <v>21.332691749999999</v>
      </c>
      <c r="R592">
        <f ca="1">IF(AND(ISNUMBER($R$1250),$B$677=1),$R$1250,HLOOKUP(INDIRECT(ADDRESS(2,COLUMN())),OFFSET($BN$2,0,0,ROW()-1,60),ROW()-1,FALSE))</f>
        <v>8.6619054450000004</v>
      </c>
      <c r="S592">
        <f ca="1">IF(AND(ISNUMBER($S$1250),$B$677=1),$S$1250,HLOOKUP(INDIRECT(ADDRESS(2,COLUMN())),OFFSET($BN$2,0,0,ROW()-1,60),ROW()-1,FALSE))</f>
        <v>7.3148141889999998</v>
      </c>
      <c r="T592">
        <f ca="1">IF(AND(ISNUMBER($T$1250),$B$677=1),$T$1250,HLOOKUP(INDIRECT(ADDRESS(2,COLUMN())),OFFSET($BN$2,0,0,ROW()-1,60),ROW()-1,FALSE))</f>
        <v>8.7967244210000004</v>
      </c>
      <c r="U592">
        <f ca="1">IF(AND(ISNUMBER($U$1250),$B$677=1),$U$1250,HLOOKUP(INDIRECT(ADDRESS(2,COLUMN())),OFFSET($BN$2,0,0,ROW()-1,60),ROW()-1,FALSE))</f>
        <v>-2.5420652210000001</v>
      </c>
      <c r="V592">
        <f ca="1">IF(AND(ISNUMBER($V$1250),$B$677=1),$V$1250,HLOOKUP(INDIRECT(ADDRESS(2,COLUMN())),OFFSET($BN$2,0,0,ROW()-1,60),ROW()-1,FALSE))</f>
        <v>-3.7406852069999998</v>
      </c>
      <c r="W592">
        <f ca="1">IF(AND(ISNUMBER($W$1250),$B$677=1),$W$1250,HLOOKUP(INDIRECT(ADDRESS(2,COLUMN())),OFFSET($BN$2,0,0,ROW()-1,60),ROW()-1,FALSE))</f>
        <v>4.4774441700000001</v>
      </c>
      <c r="X592" t="str">
        <f ca="1">IF(AND(ISNUMBER($X$1250),$B$677=1),$X$1250,HLOOKUP(INDIRECT(ADDRESS(2,COLUMN())),OFFSET($BN$2,0,0,ROW()-1,60),ROW()-1,FALSE))</f>
        <v/>
      </c>
      <c r="Y592" t="str">
        <f ca="1">IF(AND(ISNUMBER($Y$1250),$B$677=1),$Y$1250,HLOOKUP(INDIRECT(ADDRESS(2,COLUMN())),OFFSET($BN$2,0,0,ROW()-1,60),ROW()-1,FALSE))</f>
        <v/>
      </c>
      <c r="Z592" t="str">
        <f ca="1">IF(AND(ISNUMBER($Z$1250),$B$677=1),$Z$1250,HLOOKUP(INDIRECT(ADDRESS(2,COLUMN())),OFFSET($BN$2,0,0,ROW()-1,60),ROW()-1,FALSE))</f>
        <v/>
      </c>
      <c r="AA592" t="str">
        <f ca="1">IF(AND(ISNUMBER($AA$1250),$B$677=1),$AA$1250,HLOOKUP(INDIRECT(ADDRESS(2,COLUMN())),OFFSET($BN$2,0,0,ROW()-1,60),ROW()-1,FALSE))</f>
        <v/>
      </c>
      <c r="AB592" t="str">
        <f ca="1">IF(AND(ISNUMBER($AB$1250),$B$677=1),$AB$1250,HLOOKUP(INDIRECT(ADDRESS(2,COLUMN())),OFFSET($BN$2,0,0,ROW()-1,60),ROW()-1,FALSE))</f>
        <v/>
      </c>
      <c r="AC592" t="str">
        <f ca="1">IF(AND(ISNUMBER($AC$1250),$B$677=1),$AC$1250,HLOOKUP(INDIRECT(ADDRESS(2,COLUMN())),OFFSET($BN$2,0,0,ROW()-1,60),ROW()-1,FALSE))</f>
        <v/>
      </c>
      <c r="AD592" t="str">
        <f ca="1">IF(AND(ISNUMBER($AD$1250),$B$677=1),$AD$1250,HLOOKUP(INDIRECT(ADDRESS(2,COLUMN())),OFFSET($BN$2,0,0,ROW()-1,60),ROW()-1,FALSE))</f>
        <v/>
      </c>
      <c r="AE592" t="str">
        <f ca="1">IF(AND(ISNUMBER($AE$1250),$B$677=1),$AE$1250,HLOOKUP(INDIRECT(ADDRESS(2,COLUMN())),OFFSET($BN$2,0,0,ROW()-1,60),ROW()-1,FALSE))</f>
        <v/>
      </c>
      <c r="AF592" t="str">
        <f ca="1">IF(AND(ISNUMBER($AF$1250),$B$677=1),$AF$1250,HLOOKUP(INDIRECT(ADDRESS(2,COLUMN())),OFFSET($BN$2,0,0,ROW()-1,60),ROW()-1,FALSE))</f>
        <v/>
      </c>
      <c r="AG592" t="str">
        <f ca="1">IF(AND(ISNUMBER($AG$1250),$B$677=1),$AG$1250,HLOOKUP(INDIRECT(ADDRESS(2,COLUMN())),OFFSET($BN$2,0,0,ROW()-1,60),ROW()-1,FALSE))</f>
        <v/>
      </c>
      <c r="AH592" t="str">
        <f ca="1">IF(AND(ISNUMBER($AH$1250),$B$677=1),$AH$1250,HLOOKUP(INDIRECT(ADDRESS(2,COLUMN())),OFFSET($BN$2,0,0,ROW()-1,60),ROW()-1,FALSE))</f>
        <v/>
      </c>
      <c r="AI592" t="str">
        <f ca="1">IF(AND(ISNUMBER($AI$1250),$B$677=1),$AI$1250,HLOOKUP(INDIRECT(ADDRESS(2,COLUMN())),OFFSET($BN$2,0,0,ROW()-1,60),ROW()-1,FALSE))</f>
        <v/>
      </c>
      <c r="AJ592" t="str">
        <f ca="1">IF(AND(ISNUMBER($AJ$1250),$B$677=1),$AJ$1250,HLOOKUP(INDIRECT(ADDRESS(2,COLUMN())),OFFSET($BN$2,0,0,ROW()-1,60),ROW()-1,FALSE))</f>
        <v/>
      </c>
      <c r="AK592" t="str">
        <f ca="1">IF(AND(ISNUMBER($AK$1250),$B$677=1),$AK$1250,HLOOKUP(INDIRECT(ADDRESS(2,COLUMN())),OFFSET($BN$2,0,0,ROW()-1,60),ROW()-1,FALSE))</f>
        <v/>
      </c>
      <c r="AL592" t="str">
        <f ca="1">IF(AND(ISNUMBER($AL$1250),$B$677=1),$AL$1250,HLOOKUP(INDIRECT(ADDRESS(2,COLUMN())),OFFSET($BN$2,0,0,ROW()-1,60),ROW()-1,FALSE))</f>
        <v/>
      </c>
      <c r="AM592" t="str">
        <f ca="1">IF(AND(ISNUMBER($AM$1250),$B$677=1),$AM$1250,HLOOKUP(INDIRECT(ADDRESS(2,COLUMN())),OFFSET($BN$2,0,0,ROW()-1,60),ROW()-1,FALSE))</f>
        <v/>
      </c>
      <c r="AN592" t="str">
        <f ca="1">IF(AND(ISNUMBER($AN$1250),$B$677=1),$AN$1250,HLOOKUP(INDIRECT(ADDRESS(2,COLUMN())),OFFSET($BN$2,0,0,ROW()-1,60),ROW()-1,FALSE))</f>
        <v/>
      </c>
      <c r="AO592" t="str">
        <f ca="1">IF(AND(ISNUMBER($AO$1250),$B$677=1),$AO$1250,HLOOKUP(INDIRECT(ADDRESS(2,COLUMN())),OFFSET($BN$2,0,0,ROW()-1,60),ROW()-1,FALSE))</f>
        <v/>
      </c>
      <c r="AP592" t="str">
        <f ca="1">IF(AND(ISNUMBER($AP$1250),$B$677=1),$AP$1250,HLOOKUP(INDIRECT(ADDRESS(2,COLUMN())),OFFSET($BN$2,0,0,ROW()-1,60),ROW()-1,FALSE))</f>
        <v/>
      </c>
      <c r="AQ592" t="str">
        <f ca="1">IF(AND(ISNUMBER($AQ$1250),$B$677=1),$AQ$1250,HLOOKUP(INDIRECT(ADDRESS(2,COLUMN())),OFFSET($BN$2,0,0,ROW()-1,60),ROW()-1,FALSE))</f>
        <v/>
      </c>
      <c r="AR592" t="str">
        <f ca="1">IF(AND(ISNUMBER($AR$1250),$B$677=1),$AR$1250,HLOOKUP(INDIRECT(ADDRESS(2,COLUMN())),OFFSET($BN$2,0,0,ROW()-1,60),ROW()-1,FALSE))</f>
        <v/>
      </c>
      <c r="AS592" t="str">
        <f ca="1">IF(AND(ISNUMBER($AS$1250),$B$677=1),$AS$1250,HLOOKUP(INDIRECT(ADDRESS(2,COLUMN())),OFFSET($BN$2,0,0,ROW()-1,60),ROW()-1,FALSE))</f>
        <v/>
      </c>
      <c r="AT592" t="str">
        <f ca="1">IF(AND(ISNUMBER($AT$1250),$B$677=1),$AT$1250,HLOOKUP(INDIRECT(ADDRESS(2,COLUMN())),OFFSET($BN$2,0,0,ROW()-1,60),ROW()-1,FALSE))</f>
        <v/>
      </c>
      <c r="AU592" t="str">
        <f ca="1">IF(AND(ISNUMBER($AU$1250),$B$677=1),$AU$1250,HLOOKUP(INDIRECT(ADDRESS(2,COLUMN())),OFFSET($BN$2,0,0,ROW()-1,60),ROW()-1,FALSE))</f>
        <v/>
      </c>
      <c r="AV592" t="str">
        <f ca="1">IF(AND(ISNUMBER($AV$1250),$B$677=1),$AV$1250,HLOOKUP(INDIRECT(ADDRESS(2,COLUMN())),OFFSET($BN$2,0,0,ROW()-1,60),ROW()-1,FALSE))</f>
        <v/>
      </c>
      <c r="AW592" t="str">
        <f ca="1">IF(AND(ISNUMBER($AW$1250),$B$677=1),$AW$1250,HLOOKUP(INDIRECT(ADDRESS(2,COLUMN())),OFFSET($BN$2,0,0,ROW()-1,60),ROW()-1,FALSE))</f>
        <v/>
      </c>
      <c r="AX592" t="str">
        <f ca="1">IF(AND(ISNUMBER($AX$1250),$B$677=1),$AX$1250,HLOOKUP(INDIRECT(ADDRESS(2,COLUMN())),OFFSET($BN$2,0,0,ROW()-1,60),ROW()-1,FALSE))</f>
        <v/>
      </c>
      <c r="AY592" t="str">
        <f ca="1">IF(AND(ISNUMBER($AY$1250),$B$677=1),$AY$1250,HLOOKUP(INDIRECT(ADDRESS(2,COLUMN())),OFFSET($BN$2,0,0,ROW()-1,60),ROW()-1,FALSE))</f>
        <v/>
      </c>
      <c r="AZ592" t="str">
        <f ca="1">IF(AND(ISNUMBER($AZ$1250),$B$677=1),$AZ$1250,HLOOKUP(INDIRECT(ADDRESS(2,COLUMN())),OFFSET($BN$2,0,0,ROW()-1,60),ROW()-1,FALSE))</f>
        <v/>
      </c>
      <c r="BA592" t="str">
        <f ca="1">IF(AND(ISNUMBER($BA$1250),$B$677=1),$BA$1250,HLOOKUP(INDIRECT(ADDRESS(2,COLUMN())),OFFSET($BN$2,0,0,ROW()-1,60),ROW()-1,FALSE))</f>
        <v/>
      </c>
      <c r="BB592" t="str">
        <f ca="1">IF(AND(ISNUMBER($BB$1250),$B$677=1),$BB$1250,HLOOKUP(INDIRECT(ADDRESS(2,COLUMN())),OFFSET($BN$2,0,0,ROW()-1,60),ROW()-1,FALSE))</f>
        <v/>
      </c>
      <c r="BC592" t="str">
        <f ca="1">IF(AND(ISNUMBER($BC$1250),$B$677=1),$BC$1250,HLOOKUP(INDIRECT(ADDRESS(2,COLUMN())),OFFSET($BN$2,0,0,ROW()-1,60),ROW()-1,FALSE))</f>
        <v/>
      </c>
      <c r="BD592" t="str">
        <f ca="1">IF(AND(ISNUMBER($BD$1250),$B$677=1),$BD$1250,HLOOKUP(INDIRECT(ADDRESS(2,COLUMN())),OFFSET($BN$2,0,0,ROW()-1,60),ROW()-1,FALSE))</f>
        <v/>
      </c>
      <c r="BE592" t="str">
        <f ca="1">IF(AND(ISNUMBER($BE$1250),$B$677=1),$BE$1250,HLOOKUP(INDIRECT(ADDRESS(2,COLUMN())),OFFSET($BN$2,0,0,ROW()-1,60),ROW()-1,FALSE))</f>
        <v/>
      </c>
      <c r="BF592" t="str">
        <f ca="1">IF(AND(ISNUMBER($BF$1250),$B$677=1),$BF$1250,HLOOKUP(INDIRECT(ADDRESS(2,COLUMN())),OFFSET($BN$2,0,0,ROW()-1,60),ROW()-1,FALSE))</f>
        <v/>
      </c>
      <c r="BG592" t="str">
        <f ca="1">IF(AND(ISNUMBER($BG$1250),$B$677=1),$BG$1250,HLOOKUP(INDIRECT(ADDRESS(2,COLUMN())),OFFSET($BN$2,0,0,ROW()-1,60),ROW()-1,FALSE))</f>
        <v/>
      </c>
      <c r="BH592" t="str">
        <f ca="1">IF(AND(ISNUMBER($BH$1250),$B$677=1),$BH$1250,HLOOKUP(INDIRECT(ADDRESS(2,COLUMN())),OFFSET($BN$2,0,0,ROW()-1,60),ROW()-1,FALSE))</f>
        <v/>
      </c>
      <c r="BI592" t="str">
        <f ca="1">IF(AND(ISNUMBER($BI$1250),$B$677=1),$BI$1250,HLOOKUP(INDIRECT(ADDRESS(2,COLUMN())),OFFSET($BN$2,0,0,ROW()-1,60),ROW()-1,FALSE))</f>
        <v/>
      </c>
      <c r="BJ592" t="str">
        <f ca="1">IF(AND(ISNUMBER($BJ$1250),$B$677=1),$BJ$1250,HLOOKUP(INDIRECT(ADDRESS(2,COLUMN())),OFFSET($BN$2,0,0,ROW()-1,60),ROW()-1,FALSE))</f>
        <v/>
      </c>
      <c r="BK592" t="str">
        <f ca="1">IF(AND(ISNUMBER($BK$1250),$B$677=1),$BK$1250,HLOOKUP(INDIRECT(ADDRESS(2,COLUMN())),OFFSET($BN$2,0,0,ROW()-1,60),ROW()-1,FALSE))</f>
        <v/>
      </c>
      <c r="BL592" t="str">
        <f ca="1">IF(AND(ISNUMBER($BL$1250),$B$677=1),$BL$1250,HLOOKUP(INDIRECT(ADDRESS(2,COLUMN())),OFFSET($BN$2,0,0,ROW()-1,60),ROW()-1,FALSE))</f>
        <v/>
      </c>
      <c r="BM592" t="str">
        <f ca="1">IF(AND(ISNUMBER($BM$1250),$B$677=1),$BM$1250,HLOOKUP(INDIRECT(ADDRESS(2,COLUMN())),OFFSET($BN$2,0,0,ROW()-1,60),ROW()-1,FALSE))</f>
        <v/>
      </c>
      <c r="BN592">
        <f>22.31522164</f>
        <v>22.315221640000001</v>
      </c>
      <c r="BO592">
        <f>23.2984237</f>
        <v>23.298423700000001</v>
      </c>
      <c r="BP592">
        <f>17.11824697</f>
        <v>17.118246970000001</v>
      </c>
      <c r="BQ592">
        <f>18.85759974</f>
        <v>18.857599740000001</v>
      </c>
      <c r="BR592">
        <f>15.27512981</f>
        <v>15.275129809999999</v>
      </c>
      <c r="BS592">
        <f>9.969792703</f>
        <v>9.9697927029999995</v>
      </c>
      <c r="BT592">
        <f>11.37538389</f>
        <v>11.37538389</v>
      </c>
      <c r="BU592">
        <f>7.604968833</f>
        <v>7.604968833</v>
      </c>
      <c r="BV592">
        <f>14.10335827</f>
        <v>14.103358269999999</v>
      </c>
      <c r="BW592">
        <f>13.56713341</f>
        <v>13.56713341</v>
      </c>
      <c r="BX592">
        <f>15.31163436</f>
        <v>15.311634359999999</v>
      </c>
      <c r="BY592">
        <f>21.33269175</f>
        <v>21.332691749999999</v>
      </c>
      <c r="BZ592">
        <f>8.661905445</f>
        <v>8.6619054450000004</v>
      </c>
      <c r="CA592">
        <f>7.314814189</f>
        <v>7.3148141889999998</v>
      </c>
      <c r="CB592">
        <f>8.796724421</f>
        <v>8.7967244210000004</v>
      </c>
      <c r="CC592">
        <f>-2.542065221</f>
        <v>-2.5420652210000001</v>
      </c>
      <c r="CD592">
        <f>-3.740685207</f>
        <v>-3.7406852069999998</v>
      </c>
      <c r="CE592">
        <f>4.47744417</f>
        <v>4.4774441700000001</v>
      </c>
      <c r="CF592" t="str">
        <f>""</f>
        <v/>
      </c>
      <c r="CG592" t="str">
        <f>""</f>
        <v/>
      </c>
      <c r="CH592" t="str">
        <f>""</f>
        <v/>
      </c>
      <c r="CI592" t="str">
        <f>""</f>
        <v/>
      </c>
      <c r="CJ592" t="str">
        <f>""</f>
        <v/>
      </c>
      <c r="CK592" t="str">
        <f>""</f>
        <v/>
      </c>
      <c r="CL592" t="str">
        <f>""</f>
        <v/>
      </c>
      <c r="CM592" t="str">
        <f>""</f>
        <v/>
      </c>
      <c r="CN592" t="str">
        <f>""</f>
        <v/>
      </c>
      <c r="CO592" t="str">
        <f>""</f>
        <v/>
      </c>
      <c r="CP592" t="str">
        <f>""</f>
        <v/>
      </c>
      <c r="CQ592" t="str">
        <f>""</f>
        <v/>
      </c>
      <c r="CR592" t="str">
        <f>""</f>
        <v/>
      </c>
      <c r="CS592" t="str">
        <f>""</f>
        <v/>
      </c>
      <c r="CT592" t="str">
        <f>""</f>
        <v/>
      </c>
      <c r="CU592" t="str">
        <f>""</f>
        <v/>
      </c>
      <c r="CV592" t="str">
        <f>""</f>
        <v/>
      </c>
      <c r="CW592" t="str">
        <f>""</f>
        <v/>
      </c>
      <c r="CX592" t="str">
        <f>""</f>
        <v/>
      </c>
      <c r="CY592" t="str">
        <f>""</f>
        <v/>
      </c>
      <c r="CZ592" t="str">
        <f>""</f>
        <v/>
      </c>
      <c r="DA592" t="str">
        <f>""</f>
        <v/>
      </c>
      <c r="DB592" t="str">
        <f>""</f>
        <v/>
      </c>
      <c r="DC592" t="str">
        <f>""</f>
        <v/>
      </c>
      <c r="DD592" t="str">
        <f>""</f>
        <v/>
      </c>
      <c r="DE592" t="str">
        <f>""</f>
        <v/>
      </c>
      <c r="DF592" t="str">
        <f>""</f>
        <v/>
      </c>
      <c r="DG592" t="str">
        <f>""</f>
        <v/>
      </c>
      <c r="DH592" t="str">
        <f>""</f>
        <v/>
      </c>
      <c r="DI592" t="str">
        <f>""</f>
        <v/>
      </c>
      <c r="DJ592" t="str">
        <f>""</f>
        <v/>
      </c>
      <c r="DK592" t="str">
        <f>""</f>
        <v/>
      </c>
      <c r="DL592" t="str">
        <f>""</f>
        <v/>
      </c>
      <c r="DM592" t="str">
        <f>""</f>
        <v/>
      </c>
      <c r="DN592" t="str">
        <f>""</f>
        <v/>
      </c>
      <c r="DO592" t="str">
        <f>""</f>
        <v/>
      </c>
      <c r="DP592" t="str">
        <f>""</f>
        <v/>
      </c>
      <c r="DQ592" t="str">
        <f>""</f>
        <v/>
      </c>
      <c r="DR592" t="str">
        <f>""</f>
        <v/>
      </c>
      <c r="DS592" t="str">
        <f>""</f>
        <v/>
      </c>
      <c r="DT592" t="str">
        <f>""</f>
        <v/>
      </c>
      <c r="DU592" t="str">
        <f>""</f>
        <v/>
      </c>
    </row>
    <row r="593" spans="1:125" x14ac:dyDescent="0.25">
      <c r="A593" t="str">
        <f>"    Ford Motor Co"</f>
        <v xml:space="preserve">    Ford Motor Co</v>
      </c>
      <c r="B593" t="str">
        <f>"F US Equity"</f>
        <v>F US Equity</v>
      </c>
      <c r="C593" t="str">
        <f t="shared" si="42"/>
        <v>RX072</v>
      </c>
      <c r="D593" t="str">
        <f t="shared" si="43"/>
        <v>FREE_CASH_FLOW_YIELD</v>
      </c>
      <c r="E593" t="str">
        <f t="shared" si="44"/>
        <v>Dynamic</v>
      </c>
      <c r="F593">
        <f ca="1">IF(AND(ISNUMBER($F$1251),$B$677=1),$F$1251,HLOOKUP(INDIRECT(ADDRESS(2,COLUMN())),OFFSET($BN$2,0,0,ROW()-1,60),ROW()-1,FALSE))</f>
        <v>20.89391796</v>
      </c>
      <c r="G593">
        <f ca="1">IF(AND(ISNUMBER($G$1251),$B$677=1),$G$1251,HLOOKUP(INDIRECT(ADDRESS(2,COLUMN())),OFFSET($BN$2,0,0,ROW()-1,60),ROW()-1,FALSE))</f>
        <v>23.789022939999999</v>
      </c>
      <c r="H593">
        <f ca="1">IF(AND(ISNUMBER($H$1251),$B$677=1),$H$1251,HLOOKUP(INDIRECT(ADDRESS(2,COLUMN())),OFFSET($BN$2,0,0,ROW()-1,60),ROW()-1,FALSE))</f>
        <v>24.55370907</v>
      </c>
      <c r="I593">
        <f ca="1">IF(AND(ISNUMBER($I$1251),$B$677=1),$I$1251,HLOOKUP(INDIRECT(ADDRESS(2,COLUMN())),OFFSET($BN$2,0,0,ROW()-1,60),ROW()-1,FALSE))</f>
        <v>20.815299589999999</v>
      </c>
      <c r="J593">
        <f ca="1">IF(AND(ISNUMBER($J$1251),$B$677=1),$J$1251,HLOOKUP(INDIRECT(ADDRESS(2,COLUMN())),OFFSET($BN$2,0,0,ROW()-1,60),ROW()-1,FALSE))</f>
        <v>23.05226356</v>
      </c>
      <c r="K593">
        <f ca="1">IF(AND(ISNUMBER($K$1251),$B$677=1),$K$1251,HLOOKUP(INDIRECT(ADDRESS(2,COLUMN())),OFFSET($BN$2,0,0,ROW()-1,60),ROW()-1,FALSE))</f>
        <v>22.250374659999999</v>
      </c>
      <c r="L593">
        <f ca="1">IF(AND(ISNUMBER($L$1251),$B$677=1),$L$1251,HLOOKUP(INDIRECT(ADDRESS(2,COLUMN())),OFFSET($BN$2,0,0,ROW()-1,60),ROW()-1,FALSE))</f>
        <v>22.552839930000001</v>
      </c>
      <c r="M593">
        <f ca="1">IF(AND(ISNUMBER($M$1251),$B$677=1),$M$1251,HLOOKUP(INDIRECT(ADDRESS(2,COLUMN())),OFFSET($BN$2,0,0,ROW()-1,60),ROW()-1,FALSE))</f>
        <v>24.411211049999999</v>
      </c>
      <c r="N593">
        <f ca="1">IF(AND(ISNUMBER($N$1251),$B$677=1),$N$1251,HLOOKUP(INDIRECT(ADDRESS(2,COLUMN())),OFFSET($BN$2,0,0,ROW()-1,60),ROW()-1,FALSE))</f>
        <v>27.779403009999999</v>
      </c>
      <c r="O593">
        <f ca="1">IF(AND(ISNUMBER($O$1251),$B$677=1),$O$1251,HLOOKUP(INDIRECT(ADDRESS(2,COLUMN())),OFFSET($BN$2,0,0,ROW()-1,60),ROW()-1,FALSE))</f>
        <v>26.682088419999999</v>
      </c>
      <c r="P593">
        <f ca="1">IF(AND(ISNUMBER($P$1251),$B$677=1),$P$1251,HLOOKUP(INDIRECT(ADDRESS(2,COLUMN())),OFFSET($BN$2,0,0,ROW()-1,60),ROW()-1,FALSE))</f>
        <v>25.96482782</v>
      </c>
      <c r="Q593">
        <f ca="1">IF(AND(ISNUMBER($Q$1251),$B$677=1),$Q$1251,HLOOKUP(INDIRECT(ADDRESS(2,COLUMN())),OFFSET($BN$2,0,0,ROW()-1,60),ROW()-1,FALSE))</f>
        <v>27.29589739</v>
      </c>
      <c r="R593">
        <f ca="1">IF(AND(ISNUMBER($R$1251),$B$677=1),$R$1251,HLOOKUP(INDIRECT(ADDRESS(2,COLUMN())),OFFSET($BN$2,0,0,ROW()-1,60),ROW()-1,FALSE))</f>
        <v>20.031401760000001</v>
      </c>
      <c r="S593">
        <f ca="1">IF(AND(ISNUMBER($S$1251),$B$677=1),$S$1251,HLOOKUP(INDIRECT(ADDRESS(2,COLUMN())),OFFSET($BN$2,0,0,ROW()-1,60),ROW()-1,FALSE))</f>
        <v>16.13919473</v>
      </c>
      <c r="T593">
        <f ca="1">IF(AND(ISNUMBER($T$1251),$B$677=1),$T$1251,HLOOKUP(INDIRECT(ADDRESS(2,COLUMN())),OFFSET($BN$2,0,0,ROW()-1,60),ROW()-1,FALSE))</f>
        <v>16.208940290000001</v>
      </c>
      <c r="U593">
        <f ca="1">IF(AND(ISNUMBER($U$1251),$B$677=1),$U$1251,HLOOKUP(INDIRECT(ADDRESS(2,COLUMN())),OFFSET($BN$2,0,0,ROW()-1,60),ROW()-1,FALSE))</f>
        <v>9.9829178719999998</v>
      </c>
      <c r="V593">
        <f ca="1">IF(AND(ISNUMBER($V$1251),$B$677=1),$V$1251,HLOOKUP(INDIRECT(ADDRESS(2,COLUMN())),OFFSET($BN$2,0,0,ROW()-1,60),ROW()-1,FALSE))</f>
        <v>9.1142123559999995</v>
      </c>
      <c r="W593">
        <f ca="1">IF(AND(ISNUMBER($W$1251),$B$677=1),$W$1251,HLOOKUP(INDIRECT(ADDRESS(2,COLUMN())),OFFSET($BN$2,0,0,ROW()-1,60),ROW()-1,FALSE))</f>
        <v>11.58923178</v>
      </c>
      <c r="X593">
        <f ca="1">IF(AND(ISNUMBER($X$1251),$B$677=1),$X$1251,HLOOKUP(INDIRECT(ADDRESS(2,COLUMN())),OFFSET($BN$2,0,0,ROW()-1,60),ROW()-1,FALSE))</f>
        <v>9.3368460550000005</v>
      </c>
      <c r="Y593">
        <f ca="1">IF(AND(ISNUMBER($Y$1251),$B$677=1),$Y$1251,HLOOKUP(INDIRECT(ADDRESS(2,COLUMN())),OFFSET($BN$2,0,0,ROW()-1,60),ROW()-1,FALSE))</f>
        <v>8.0310168740000005</v>
      </c>
      <c r="Z593">
        <f ca="1">IF(AND(ISNUMBER($Z$1251),$B$677=1),$Z$1251,HLOOKUP(INDIRECT(ADDRESS(2,COLUMN())),OFFSET($BN$2,0,0,ROW()-1,60),ROW()-1,FALSE))</f>
        <v>9.3779116420000008</v>
      </c>
      <c r="AA593">
        <f ca="1">IF(AND(ISNUMBER($AA$1251),$B$677=1),$AA$1251,HLOOKUP(INDIRECT(ADDRESS(2,COLUMN())),OFFSET($BN$2,0,0,ROW()-1,60),ROW()-1,FALSE))</f>
        <v>6.4297333710000002</v>
      </c>
      <c r="AB593">
        <f ca="1">IF(AND(ISNUMBER($AB$1251),$B$677=1),$AB$1251,HLOOKUP(INDIRECT(ADDRESS(2,COLUMN())),OFFSET($BN$2,0,0,ROW()-1,60),ROW()-1,FALSE))</f>
        <v>7.4283428010000003</v>
      </c>
      <c r="AC593">
        <f ca="1">IF(AND(ISNUMBER($AC$1251),$B$677=1),$AC$1251,HLOOKUP(INDIRECT(ADDRESS(2,COLUMN())),OFFSET($BN$2,0,0,ROW()-1,60),ROW()-1,FALSE))</f>
        <v>6.9956199459999997</v>
      </c>
      <c r="AD593">
        <f ca="1">IF(AND(ISNUMBER($AD$1251),$B$677=1),$AD$1251,HLOOKUP(INDIRECT(ADDRESS(2,COLUMN())),OFFSET($BN$2,0,0,ROW()-1,60),ROW()-1,FALSE))</f>
        <v>5.6740741000000003</v>
      </c>
      <c r="AE593">
        <f ca="1">IF(AND(ISNUMBER($AE$1251),$B$677=1),$AE$1251,HLOOKUP(INDIRECT(ADDRESS(2,COLUMN())),OFFSET($BN$2,0,0,ROW()-1,60),ROW()-1,FALSE))</f>
        <v>7.2107636319999999</v>
      </c>
      <c r="AF593">
        <f ca="1">IF(AND(ISNUMBER($AF$1251),$B$677=1),$AF$1251,HLOOKUP(INDIRECT(ADDRESS(2,COLUMN())),OFFSET($BN$2,0,0,ROW()-1,60),ROW()-1,FALSE))</f>
        <v>12.701532930000001</v>
      </c>
      <c r="AG593">
        <f ca="1">IF(AND(ISNUMBER($AG$1251),$B$677=1),$AG$1251,HLOOKUP(INDIRECT(ADDRESS(2,COLUMN())),OFFSET($BN$2,0,0,ROW()-1,60),ROW()-1,FALSE))</f>
        <v>12.65897571</v>
      </c>
      <c r="AH593">
        <f ca="1">IF(AND(ISNUMBER($AH$1251),$B$677=1),$AH$1251,HLOOKUP(INDIRECT(ADDRESS(2,COLUMN())),OFFSET($BN$2,0,0,ROW()-1,60),ROW()-1,FALSE))</f>
        <v>11.52108144</v>
      </c>
      <c r="AI593">
        <f ca="1">IF(AND(ISNUMBER($AI$1251),$B$677=1),$AI$1251,HLOOKUP(INDIRECT(ADDRESS(2,COLUMN())),OFFSET($BN$2,0,0,ROW()-1,60),ROW()-1,FALSE))</f>
        <v>18.352570849999999</v>
      </c>
      <c r="AJ593">
        <f ca="1">IF(AND(ISNUMBER($AJ$1251),$B$677=1),$AJ$1251,HLOOKUP(INDIRECT(ADDRESS(2,COLUMN())),OFFSET($BN$2,0,0,ROW()-1,60),ROW()-1,FALSE))</f>
        <v>21.26256815</v>
      </c>
      <c r="AK593">
        <f ca="1">IF(AND(ISNUMBER($AK$1251),$B$677=1),$AK$1251,HLOOKUP(INDIRECT(ADDRESS(2,COLUMN())),OFFSET($BN$2,0,0,ROW()-1,60),ROW()-1,FALSE))</f>
        <v>17.329914209999998</v>
      </c>
      <c r="AL593">
        <f ca="1">IF(AND(ISNUMBER($AL$1251),$B$677=1),$AL$1251,HLOOKUP(INDIRECT(ADDRESS(2,COLUMN())),OFFSET($BN$2,0,0,ROW()-1,60),ROW()-1,FALSE))</f>
        <v>15.26039156</v>
      </c>
      <c r="AM593">
        <f ca="1">IF(AND(ISNUMBER($AM$1251),$B$677=1),$AM$1251,HLOOKUP(INDIRECT(ADDRESS(2,COLUMN())),OFFSET($BN$2,0,0,ROW()-1,60),ROW()-1,FALSE))</f>
        <v>10.515150609999999</v>
      </c>
      <c r="AN593">
        <f ca="1">IF(AND(ISNUMBER($AN$1251),$B$677=1),$AN$1251,HLOOKUP(INDIRECT(ADDRESS(2,COLUMN())),OFFSET($BN$2,0,0,ROW()-1,60),ROW()-1,FALSE))</f>
        <v>28.340699579999999</v>
      </c>
      <c r="AO593">
        <f ca="1">IF(AND(ISNUMBER($AO$1251),$B$677=1),$AO$1251,HLOOKUP(INDIRECT(ADDRESS(2,COLUMN())),OFFSET($BN$2,0,0,ROW()-1,60),ROW()-1,FALSE))</f>
        <v>39.134983949999999</v>
      </c>
      <c r="AP593">
        <f ca="1">IF(AND(ISNUMBER($AP$1251),$B$677=1),$AP$1251,HLOOKUP(INDIRECT(ADDRESS(2,COLUMN())),OFFSET($BN$2,0,0,ROW()-1,60),ROW()-1,FALSE))</f>
        <v>25.52876114</v>
      </c>
      <c r="AQ593">
        <f ca="1">IF(AND(ISNUMBER($AQ$1251),$B$677=1),$AQ$1251,HLOOKUP(INDIRECT(ADDRESS(2,COLUMN())),OFFSET($BN$2,0,0,ROW()-1,60),ROW()-1,FALSE))</f>
        <v>22.508023659999999</v>
      </c>
      <c r="AR593">
        <f ca="1">IF(AND(ISNUMBER($AR$1251),$B$677=1),$AR$1251,HLOOKUP(INDIRECT(ADDRESS(2,COLUMN())),OFFSET($BN$2,0,0,ROW()-1,60),ROW()-1,FALSE))</f>
        <v>-69.299250169999993</v>
      </c>
      <c r="AS593">
        <f ca="1">IF(AND(ISNUMBER($AS$1251),$B$677=1),$AS$1251,HLOOKUP(INDIRECT(ADDRESS(2,COLUMN())),OFFSET($BN$2,0,0,ROW()-1,60),ROW()-1,FALSE))</f>
        <v>-84.606092329999996</v>
      </c>
      <c r="AT593">
        <f ca="1">IF(AND(ISNUMBER($AT$1251),$B$677=1),$AT$1251,HLOOKUP(INDIRECT(ADDRESS(2,COLUMN())),OFFSET($BN$2,0,0,ROW()-1,60),ROW()-1,FALSE))</f>
        <v>-211.9499501</v>
      </c>
      <c r="AU593">
        <f ca="1">IF(AND(ISNUMBER($AU$1251),$B$677=1),$AU$1251,HLOOKUP(INDIRECT(ADDRESS(2,COLUMN())),OFFSET($BN$2,0,0,ROW()-1,60),ROW()-1,FALSE))</f>
        <v>-181.38337480000001</v>
      </c>
      <c r="AV593">
        <f ca="1">IF(AND(ISNUMBER($AV$1251),$B$677=1),$AV$1251,HLOOKUP(INDIRECT(ADDRESS(2,COLUMN())),OFFSET($BN$2,0,0,ROW()-1,60),ROW()-1,FALSE))</f>
        <v>41.665137049999998</v>
      </c>
      <c r="AW593">
        <f ca="1">IF(AND(ISNUMBER($AW$1251),$B$677=1),$AW$1251,HLOOKUP(INDIRECT(ADDRESS(2,COLUMN())),OFFSET($BN$2,0,0,ROW()-1,60),ROW()-1,FALSE))</f>
        <v>61.28456173</v>
      </c>
      <c r="AX593">
        <f ca="1">IF(AND(ISNUMBER($AX$1251),$B$677=1),$AX$1251,HLOOKUP(INDIRECT(ADDRESS(2,COLUMN())),OFFSET($BN$2,0,0,ROW()-1,60),ROW()-1,FALSE))</f>
        <v>86.545594640000004</v>
      </c>
      <c r="AY593">
        <f ca="1">IF(AND(ISNUMBER($AY$1251),$B$677=1),$AY$1251,HLOOKUP(INDIRECT(ADDRESS(2,COLUMN())),OFFSET($BN$2,0,0,ROW()-1,60),ROW()-1,FALSE))</f>
        <v>68.545766819999997</v>
      </c>
      <c r="AZ593">
        <f ca="1">IF(AND(ISNUMBER($AZ$1251),$B$677=1),$AZ$1251,HLOOKUP(INDIRECT(ADDRESS(2,COLUMN())),OFFSET($BN$2,0,0,ROW()-1,60),ROW()-1,FALSE))</f>
        <v>-13.72135686</v>
      </c>
      <c r="BA593">
        <f ca="1">IF(AND(ISNUMBER($BA$1251),$B$677=1),$BA$1251,HLOOKUP(INDIRECT(ADDRESS(2,COLUMN())),OFFSET($BN$2,0,0,ROW()-1,60),ROW()-1,FALSE))</f>
        <v>-32.153645339999997</v>
      </c>
      <c r="BB593">
        <f ca="1">IF(AND(ISNUMBER($BB$1251),$B$677=1),$BB$1251,HLOOKUP(INDIRECT(ADDRESS(2,COLUMN())),OFFSET($BN$2,0,0,ROW()-1,60),ROW()-1,FALSE))</f>
        <v>-10.600410950000001</v>
      </c>
      <c r="BC593">
        <f ca="1">IF(AND(ISNUMBER($BC$1251),$B$677=1),$BC$1251,HLOOKUP(INDIRECT(ADDRESS(2,COLUMN())),OFFSET($BN$2,0,0,ROW()-1,60),ROW()-1,FALSE))</f>
        <v>-26.028746340000001</v>
      </c>
      <c r="BD593">
        <f ca="1">IF(AND(ISNUMBER($BD$1251),$B$677=1),$BD$1251,HLOOKUP(INDIRECT(ADDRESS(2,COLUMN())),OFFSET($BN$2,0,0,ROW()-1,60),ROW()-1,FALSE))</f>
        <v>31.723748069999999</v>
      </c>
      <c r="BE593">
        <f ca="1">IF(AND(ISNUMBER($BE$1251),$B$677=1),$BE$1251,HLOOKUP(INDIRECT(ADDRESS(2,COLUMN())),OFFSET($BN$2,0,0,ROW()-1,60),ROW()-1,FALSE))</f>
        <v>34.98575933</v>
      </c>
      <c r="BF593">
        <f ca="1">IF(AND(ISNUMBER($BF$1251),$B$677=1),$BF$1251,HLOOKUP(INDIRECT(ADDRESS(2,COLUMN())),OFFSET($BN$2,0,0,ROW()-1,60),ROW()-1,FALSE))</f>
        <v>-14.129234869999999</v>
      </c>
      <c r="BG593">
        <f ca="1">IF(AND(ISNUMBER($BG$1251),$B$677=1),$BG$1251,HLOOKUP(INDIRECT(ADDRESS(2,COLUMN())),OFFSET($BN$2,0,0,ROW()-1,60),ROW()-1,FALSE))</f>
        <v>11.261596219999999</v>
      </c>
      <c r="BH593">
        <f ca="1">IF(AND(ISNUMBER($BH$1251),$B$677=1),$BH$1251,HLOOKUP(INDIRECT(ADDRESS(2,COLUMN())),OFFSET($BN$2,0,0,ROW()-1,60),ROW()-1,FALSE))</f>
        <v>37.269640789999997</v>
      </c>
      <c r="BI593">
        <f ca="1">IF(AND(ISNUMBER($BI$1251),$B$677=1),$BI$1251,HLOOKUP(INDIRECT(ADDRESS(2,COLUMN())),OFFSET($BN$2,0,0,ROW()-1,60),ROW()-1,FALSE))</f>
        <v>66.902986889999994</v>
      </c>
      <c r="BJ593">
        <f ca="1">IF(AND(ISNUMBER($BJ$1251),$B$677=1),$BJ$1251,HLOOKUP(INDIRECT(ADDRESS(2,COLUMN())),OFFSET($BN$2,0,0,ROW()-1,60),ROW()-1,FALSE))</f>
        <v>84.528624249999993</v>
      </c>
      <c r="BK593">
        <f ca="1">IF(AND(ISNUMBER($BK$1251),$B$677=1),$BK$1251,HLOOKUP(INDIRECT(ADDRESS(2,COLUMN())),OFFSET($BN$2,0,0,ROW()-1,60),ROW()-1,FALSE))</f>
        <v>73.562107209999994</v>
      </c>
      <c r="BL593">
        <f ca="1">IF(AND(ISNUMBER($BL$1251),$B$677=1),$BL$1251,HLOOKUP(INDIRECT(ADDRESS(2,COLUMN())),OFFSET($BN$2,0,0,ROW()-1,60),ROW()-1,FALSE))</f>
        <v>44.977342309999997</v>
      </c>
      <c r="BM593">
        <f ca="1">IF(AND(ISNUMBER($BM$1251),$B$677=1),$BM$1251,HLOOKUP(INDIRECT(ADDRESS(2,COLUMN())),OFFSET($BN$2,0,0,ROW()-1,60),ROW()-1,FALSE))</f>
        <v>39.184505479999999</v>
      </c>
      <c r="BN593">
        <f>20.89391796</f>
        <v>20.89391796</v>
      </c>
      <c r="BO593">
        <f>23.78902294</f>
        <v>23.789022939999999</v>
      </c>
      <c r="BP593">
        <f>24.55370907</f>
        <v>24.55370907</v>
      </c>
      <c r="BQ593">
        <f>20.81529959</f>
        <v>20.815299589999999</v>
      </c>
      <c r="BR593">
        <f>23.05226356</f>
        <v>23.05226356</v>
      </c>
      <c r="BS593">
        <f>22.25037466</f>
        <v>22.250374659999999</v>
      </c>
      <c r="BT593">
        <f>22.55283993</f>
        <v>22.552839930000001</v>
      </c>
      <c r="BU593">
        <f>24.41121105</f>
        <v>24.411211049999999</v>
      </c>
      <c r="BV593">
        <f>27.77940301</f>
        <v>27.779403009999999</v>
      </c>
      <c r="BW593">
        <f>26.68208842</f>
        <v>26.682088419999999</v>
      </c>
      <c r="BX593">
        <f>25.96482782</f>
        <v>25.96482782</v>
      </c>
      <c r="BY593">
        <f>27.29589739</f>
        <v>27.29589739</v>
      </c>
      <c r="BZ593">
        <f>20.03140176</f>
        <v>20.031401760000001</v>
      </c>
      <c r="CA593">
        <f>16.13919473</f>
        <v>16.13919473</v>
      </c>
      <c r="CB593">
        <f>16.20894029</f>
        <v>16.208940290000001</v>
      </c>
      <c r="CC593">
        <f>9.982917872</f>
        <v>9.9829178719999998</v>
      </c>
      <c r="CD593">
        <f>9.114212356</f>
        <v>9.1142123559999995</v>
      </c>
      <c r="CE593">
        <f>11.58923178</f>
        <v>11.58923178</v>
      </c>
      <c r="CF593">
        <f>9.336846055</f>
        <v>9.3368460550000005</v>
      </c>
      <c r="CG593">
        <f>8.031016874</f>
        <v>8.0310168740000005</v>
      </c>
      <c r="CH593">
        <f>9.377911642</f>
        <v>9.3779116420000008</v>
      </c>
      <c r="CI593">
        <f>6.429733371</f>
        <v>6.4297333710000002</v>
      </c>
      <c r="CJ593">
        <f>7.428342801</f>
        <v>7.4283428010000003</v>
      </c>
      <c r="CK593">
        <f>6.995619946</f>
        <v>6.9956199459999997</v>
      </c>
      <c r="CL593">
        <f>5.6740741</f>
        <v>5.6740741000000003</v>
      </c>
      <c r="CM593">
        <f>7.210763632</f>
        <v>7.2107636319999999</v>
      </c>
      <c r="CN593">
        <f>12.70153293</f>
        <v>12.701532930000001</v>
      </c>
      <c r="CO593">
        <f>12.65897571</f>
        <v>12.65897571</v>
      </c>
      <c r="CP593">
        <f>11.52108144</f>
        <v>11.52108144</v>
      </c>
      <c r="CQ593">
        <f>18.35257085</f>
        <v>18.352570849999999</v>
      </c>
      <c r="CR593">
        <f>21.26256815</f>
        <v>21.26256815</v>
      </c>
      <c r="CS593">
        <f>17.32991421</f>
        <v>17.329914209999998</v>
      </c>
      <c r="CT593">
        <f>15.26039156</f>
        <v>15.26039156</v>
      </c>
      <c r="CU593">
        <f>10.51515061</f>
        <v>10.515150609999999</v>
      </c>
      <c r="CV593">
        <f>28.34069958</f>
        <v>28.340699579999999</v>
      </c>
      <c r="CW593">
        <f>39.13498395</f>
        <v>39.134983949999999</v>
      </c>
      <c r="CX593">
        <f>25.52876114</f>
        <v>25.52876114</v>
      </c>
      <c r="CY593">
        <f>22.50802366</f>
        <v>22.508023659999999</v>
      </c>
      <c r="CZ593">
        <f>-69.29925017</f>
        <v>-69.299250169999993</v>
      </c>
      <c r="DA593">
        <f>-84.60609233</f>
        <v>-84.606092329999996</v>
      </c>
      <c r="DB593">
        <f>-211.9499501</f>
        <v>-211.9499501</v>
      </c>
      <c r="DC593">
        <f>-181.3833748</f>
        <v>-181.38337480000001</v>
      </c>
      <c r="DD593">
        <f>41.66513705</f>
        <v>41.665137049999998</v>
      </c>
      <c r="DE593">
        <f>61.28456173</f>
        <v>61.28456173</v>
      </c>
      <c r="DF593">
        <f>86.54559464</f>
        <v>86.545594640000004</v>
      </c>
      <c r="DG593">
        <f>68.54576682</f>
        <v>68.545766819999997</v>
      </c>
      <c r="DH593">
        <f>-13.72135686</f>
        <v>-13.72135686</v>
      </c>
      <c r="DI593">
        <f>-32.15364534</f>
        <v>-32.153645339999997</v>
      </c>
      <c r="DJ593">
        <f>-10.60041095</f>
        <v>-10.600410950000001</v>
      </c>
      <c r="DK593">
        <f>-26.02874634</f>
        <v>-26.028746340000001</v>
      </c>
      <c r="DL593">
        <f>31.72374807</f>
        <v>31.723748069999999</v>
      </c>
      <c r="DM593">
        <f>34.98575933</f>
        <v>34.98575933</v>
      </c>
      <c r="DN593">
        <f>-14.12923487</f>
        <v>-14.129234869999999</v>
      </c>
      <c r="DO593">
        <f>11.26159622</f>
        <v>11.261596219999999</v>
      </c>
      <c r="DP593">
        <f>37.26964079</f>
        <v>37.269640789999997</v>
      </c>
      <c r="DQ593">
        <f>66.90298689</f>
        <v>66.902986889999994</v>
      </c>
      <c r="DR593">
        <f>84.52862425</f>
        <v>84.528624249999993</v>
      </c>
      <c r="DS593">
        <f>73.56210721</f>
        <v>73.562107209999994</v>
      </c>
      <c r="DT593">
        <f>44.97734231</f>
        <v>44.977342309999997</v>
      </c>
      <c r="DU593">
        <f>39.18450548</f>
        <v>39.184505479999999</v>
      </c>
    </row>
    <row r="594" spans="1:125" x14ac:dyDescent="0.25">
      <c r="A594" t="str">
        <f>"    Ford Otomotiv Sanayi AS"</f>
        <v xml:space="preserve">    Ford Otomotiv Sanayi AS</v>
      </c>
      <c r="B594" t="str">
        <f>"FROTOTRY EO Equity"</f>
        <v>FROTOTRY EO Equity</v>
      </c>
      <c r="C594" t="str">
        <f t="shared" si="42"/>
        <v>RX072</v>
      </c>
      <c r="D594" t="str">
        <f t="shared" si="43"/>
        <v>FREE_CASH_FLOW_YIELD</v>
      </c>
      <c r="E594" t="str">
        <f t="shared" si="44"/>
        <v>Dynamic</v>
      </c>
      <c r="F594">
        <f ca="1">IF(AND(ISNUMBER($F$1252),$B$677=1),$F$1252,HLOOKUP(INDIRECT(ADDRESS(2,COLUMN())),OFFSET($BN$2,0,0,ROW()-1,60),ROW()-1,FALSE))</f>
        <v>6.919173647</v>
      </c>
      <c r="G594">
        <f ca="1">IF(AND(ISNUMBER($G$1252),$B$677=1),$G$1252,HLOOKUP(INDIRECT(ADDRESS(2,COLUMN())),OFFSET($BN$2,0,0,ROW()-1,60),ROW()-1,FALSE))</f>
        <v>7.6318485330000003</v>
      </c>
      <c r="H594">
        <f ca="1">IF(AND(ISNUMBER($H$1252),$B$677=1),$H$1252,HLOOKUP(INDIRECT(ADDRESS(2,COLUMN())),OFFSET($BN$2,0,0,ROW()-1,60),ROW()-1,FALSE))</f>
        <v>7.3784279279999998</v>
      </c>
      <c r="I594">
        <f ca="1">IF(AND(ISNUMBER($I$1252),$B$677=1),$I$1252,HLOOKUP(INDIRECT(ADDRESS(2,COLUMN())),OFFSET($BN$2,0,0,ROW()-1,60),ROW()-1,FALSE))</f>
        <v>7.1524588380000003</v>
      </c>
      <c r="J594">
        <f ca="1">IF(AND(ISNUMBER($J$1252),$B$677=1),$J$1252,HLOOKUP(INDIRECT(ADDRESS(2,COLUMN())),OFFSET($BN$2,0,0,ROW()-1,60),ROW()-1,FALSE))</f>
        <v>7.004870446</v>
      </c>
      <c r="K594">
        <f ca="1">IF(AND(ISNUMBER($K$1252),$B$677=1),$K$1252,HLOOKUP(INDIRECT(ADDRESS(2,COLUMN())),OFFSET($BN$2,0,0,ROW()-1,60),ROW()-1,FALSE))</f>
        <v>7.5090691170000001</v>
      </c>
      <c r="L594">
        <f ca="1">IF(AND(ISNUMBER($L$1252),$B$677=1),$L$1252,HLOOKUP(INDIRECT(ADDRESS(2,COLUMN())),OFFSET($BN$2,0,0,ROW()-1,60),ROW()-1,FALSE))</f>
        <v>10.50573997</v>
      </c>
      <c r="M594">
        <f ca="1">IF(AND(ISNUMBER($M$1252),$B$677=1),$M$1252,HLOOKUP(INDIRECT(ADDRESS(2,COLUMN())),OFFSET($BN$2,0,0,ROW()-1,60),ROW()-1,FALSE))</f>
        <v>12.32712343</v>
      </c>
      <c r="N594">
        <f ca="1">IF(AND(ISNUMBER($N$1252),$B$677=1),$N$1252,HLOOKUP(INDIRECT(ADDRESS(2,COLUMN())),OFFSET($BN$2,0,0,ROW()-1,60),ROW()-1,FALSE))</f>
        <v>12.73056717</v>
      </c>
      <c r="O594">
        <f ca="1">IF(AND(ISNUMBER($O$1252),$B$677=1),$O$1252,HLOOKUP(INDIRECT(ADDRESS(2,COLUMN())),OFFSET($BN$2,0,0,ROW()-1,60),ROW()-1,FALSE))</f>
        <v>10.900534840000001</v>
      </c>
      <c r="P594">
        <f ca="1">IF(AND(ISNUMBER($P$1252),$B$677=1),$P$1252,HLOOKUP(INDIRECT(ADDRESS(2,COLUMN())),OFFSET($BN$2,0,0,ROW()-1,60),ROW()-1,FALSE))</f>
        <v>7.2812141449999999</v>
      </c>
      <c r="Q594">
        <f ca="1">IF(AND(ISNUMBER($Q$1252),$B$677=1),$Q$1252,HLOOKUP(INDIRECT(ADDRESS(2,COLUMN())),OFFSET($BN$2,0,0,ROW()-1,60),ROW()-1,FALSE))</f>
        <v>11.07037165</v>
      </c>
      <c r="R594">
        <f ca="1">IF(AND(ISNUMBER($R$1252),$B$677=1),$R$1252,HLOOKUP(INDIRECT(ADDRESS(2,COLUMN())),OFFSET($BN$2,0,0,ROW()-1,60),ROW()-1,FALSE))</f>
        <v>5.9163706280000001</v>
      </c>
      <c r="S594">
        <f ca="1">IF(AND(ISNUMBER($S$1252),$B$677=1),$S$1252,HLOOKUP(INDIRECT(ADDRESS(2,COLUMN())),OFFSET($BN$2,0,0,ROW()-1,60),ROW()-1,FALSE))</f>
        <v>8.7929552839999996</v>
      </c>
      <c r="T594">
        <f ca="1">IF(AND(ISNUMBER($T$1252),$B$677=1),$T$1252,HLOOKUP(INDIRECT(ADDRESS(2,COLUMN())),OFFSET($BN$2,0,0,ROW()-1,60),ROW()-1,FALSE))</f>
        <v>5.9595084089999997</v>
      </c>
      <c r="U594">
        <f ca="1">IF(AND(ISNUMBER($U$1252),$B$677=1),$U$1252,HLOOKUP(INDIRECT(ADDRESS(2,COLUMN())),OFFSET($BN$2,0,0,ROW()-1,60),ROW()-1,FALSE))</f>
        <v>-2.811197817</v>
      </c>
      <c r="V594">
        <f ca="1">IF(AND(ISNUMBER($V$1252),$B$677=1),$V$1252,HLOOKUP(INDIRECT(ADDRESS(2,COLUMN())),OFFSET($BN$2,0,0,ROW()-1,60),ROW()-1,FALSE))</f>
        <v>-0.51051546000000003</v>
      </c>
      <c r="W594">
        <f ca="1">IF(AND(ISNUMBER($W$1252),$B$677=1),$W$1252,HLOOKUP(INDIRECT(ADDRESS(2,COLUMN())),OFFSET($BN$2,0,0,ROW()-1,60),ROW()-1,FALSE))</f>
        <v>0.54786968800000002</v>
      </c>
      <c r="X594">
        <f ca="1">IF(AND(ISNUMBER($X$1252),$B$677=1),$X$1252,HLOOKUP(INDIRECT(ADDRESS(2,COLUMN())),OFFSET($BN$2,0,0,ROW()-1,60),ROW()-1,FALSE))</f>
        <v>-8.268859784</v>
      </c>
      <c r="Y594">
        <f ca="1">IF(AND(ISNUMBER($Y$1252),$B$677=1),$Y$1252,HLOOKUP(INDIRECT(ADDRESS(2,COLUMN())),OFFSET($BN$2,0,0,ROW()-1,60),ROW()-1,FALSE))</f>
        <v>-3.3257331570000002</v>
      </c>
      <c r="Z594">
        <f ca="1">IF(AND(ISNUMBER($Z$1252),$B$677=1),$Z$1252,HLOOKUP(INDIRECT(ADDRESS(2,COLUMN())),OFFSET($BN$2,0,0,ROW()-1,60),ROW()-1,FALSE))</f>
        <v>-6.6800012649999996</v>
      </c>
      <c r="AA594">
        <f ca="1">IF(AND(ISNUMBER($AA$1252),$B$677=1),$AA$1252,HLOOKUP(INDIRECT(ADDRESS(2,COLUMN())),OFFSET($BN$2,0,0,ROW()-1,60),ROW()-1,FALSE))</f>
        <v>-1.2958657E-2</v>
      </c>
      <c r="AB594">
        <f ca="1">IF(AND(ISNUMBER($AB$1252),$B$677=1),$AB$1252,HLOOKUP(INDIRECT(ADDRESS(2,COLUMN())),OFFSET($BN$2,0,0,ROW()-1,60),ROW()-1,FALSE))</f>
        <v>4.5149805360000004</v>
      </c>
      <c r="AC594">
        <f ca="1">IF(AND(ISNUMBER($AC$1252),$B$677=1),$AC$1252,HLOOKUP(INDIRECT(ADDRESS(2,COLUMN())),OFFSET($BN$2,0,0,ROW()-1,60),ROW()-1,FALSE))</f>
        <v>1.75955453</v>
      </c>
      <c r="AD594">
        <f ca="1">IF(AND(ISNUMBER($AD$1252),$B$677=1),$AD$1252,HLOOKUP(INDIRECT(ADDRESS(2,COLUMN())),OFFSET($BN$2,0,0,ROW()-1,60),ROW()-1,FALSE))</f>
        <v>1.866066936</v>
      </c>
      <c r="AE594">
        <f ca="1">IF(AND(ISNUMBER($AE$1252),$B$677=1),$AE$1252,HLOOKUP(INDIRECT(ADDRESS(2,COLUMN())),OFFSET($BN$2,0,0,ROW()-1,60),ROW()-1,FALSE))</f>
        <v>-0.44465599900000002</v>
      </c>
      <c r="AF594">
        <f ca="1">IF(AND(ISNUMBER($AF$1252),$B$677=1),$AF$1252,HLOOKUP(INDIRECT(ADDRESS(2,COLUMN())),OFFSET($BN$2,0,0,ROW()-1,60),ROW()-1,FALSE))</f>
        <v>-0.70499842899999998</v>
      </c>
      <c r="AG594">
        <f ca="1">IF(AND(ISNUMBER($AG$1252),$B$677=1),$AG$1252,HLOOKUP(INDIRECT(ADDRESS(2,COLUMN())),OFFSET($BN$2,0,0,ROW()-1,60),ROW()-1,FALSE))</f>
        <v>4.3307914260000002</v>
      </c>
      <c r="AH594">
        <f ca="1">IF(AND(ISNUMBER($AH$1252),$B$677=1),$AH$1252,HLOOKUP(INDIRECT(ADDRESS(2,COLUMN())),OFFSET($BN$2,0,0,ROW()-1,60),ROW()-1,FALSE))</f>
        <v>5.0335645470000001</v>
      </c>
      <c r="AI594">
        <f ca="1">IF(AND(ISNUMBER($AI$1252),$B$677=1),$AI$1252,HLOOKUP(INDIRECT(ADDRESS(2,COLUMN())),OFFSET($BN$2,0,0,ROW()-1,60),ROW()-1,FALSE))</f>
        <v>10.60127363</v>
      </c>
      <c r="AJ594">
        <f ca="1">IF(AND(ISNUMBER($AJ$1252),$B$677=1),$AJ$1252,HLOOKUP(INDIRECT(ADDRESS(2,COLUMN())),OFFSET($BN$2,0,0,ROW()-1,60),ROW()-1,FALSE))</f>
        <v>11.599864930000001</v>
      </c>
      <c r="AK594">
        <f ca="1">IF(AND(ISNUMBER($AK$1252),$B$677=1),$AK$1252,HLOOKUP(INDIRECT(ADDRESS(2,COLUMN())),OFFSET($BN$2,0,0,ROW()-1,60),ROW()-1,FALSE))</f>
        <v>13.14442639</v>
      </c>
      <c r="AL594">
        <f ca="1">IF(AND(ISNUMBER($AL$1252),$B$677=1),$AL$1252,HLOOKUP(INDIRECT(ADDRESS(2,COLUMN())),OFFSET($BN$2,0,0,ROW()-1,60),ROW()-1,FALSE))</f>
        <v>12.83417627</v>
      </c>
      <c r="AM594">
        <f ca="1">IF(AND(ISNUMBER($AM$1252),$B$677=1),$AM$1252,HLOOKUP(INDIRECT(ADDRESS(2,COLUMN())),OFFSET($BN$2,0,0,ROW()-1,60),ROW()-1,FALSE))</f>
        <v>8.7280504259999994</v>
      </c>
      <c r="AN594">
        <f ca="1">IF(AND(ISNUMBER($AN$1252),$B$677=1),$AN$1252,HLOOKUP(INDIRECT(ADDRESS(2,COLUMN())),OFFSET($BN$2,0,0,ROW()-1,60),ROW()-1,FALSE))</f>
        <v>13.32651536</v>
      </c>
      <c r="AO594">
        <f ca="1">IF(AND(ISNUMBER($AO$1252),$B$677=1),$AO$1252,HLOOKUP(INDIRECT(ADDRESS(2,COLUMN())),OFFSET($BN$2,0,0,ROW()-1,60),ROW()-1,FALSE))</f>
        <v>10.49426967</v>
      </c>
      <c r="AP594">
        <f ca="1">IF(AND(ISNUMBER($AP$1252),$B$677=1),$AP$1252,HLOOKUP(INDIRECT(ADDRESS(2,COLUMN())),OFFSET($BN$2,0,0,ROW()-1,60),ROW()-1,FALSE))</f>
        <v>12.753724829999999</v>
      </c>
      <c r="AQ594">
        <f ca="1">IF(AND(ISNUMBER($AQ$1252),$B$677=1),$AQ$1252,HLOOKUP(INDIRECT(ADDRESS(2,COLUMN())),OFFSET($BN$2,0,0,ROW()-1,60),ROW()-1,FALSE))</f>
        <v>15.433962490000001</v>
      </c>
      <c r="AR594">
        <f ca="1">IF(AND(ISNUMBER($AR$1252),$B$677=1),$AR$1252,HLOOKUP(INDIRECT(ADDRESS(2,COLUMN())),OFFSET($BN$2,0,0,ROW()-1,60),ROW()-1,FALSE))</f>
        <v>8.5066313000000005</v>
      </c>
      <c r="AS594">
        <f ca="1">IF(AND(ISNUMBER($AS$1252),$B$677=1),$AS$1252,HLOOKUP(INDIRECT(ADDRESS(2,COLUMN())),OFFSET($BN$2,0,0,ROW()-1,60),ROW()-1,FALSE))</f>
        <v>33.834289249999998</v>
      </c>
      <c r="AT594">
        <f ca="1">IF(AND(ISNUMBER($AT$1252),$B$677=1),$AT$1252,HLOOKUP(INDIRECT(ADDRESS(2,COLUMN())),OFFSET($BN$2,0,0,ROW()-1,60),ROW()-1,FALSE))</f>
        <v>41.004073409999997</v>
      </c>
      <c r="AU594">
        <f ca="1">IF(AND(ISNUMBER($AU$1252),$B$677=1),$AU$1252,HLOOKUP(INDIRECT(ADDRESS(2,COLUMN())),OFFSET($BN$2,0,0,ROW()-1,60),ROW()-1,FALSE))</f>
        <v>29.616551829999999</v>
      </c>
      <c r="AV594">
        <f ca="1">IF(AND(ISNUMBER($AV$1252),$B$677=1),$AV$1252,HLOOKUP(INDIRECT(ADDRESS(2,COLUMN())),OFFSET($BN$2,0,0,ROW()-1,60),ROW()-1,FALSE))</f>
        <v>31.346403519999999</v>
      </c>
      <c r="AW594">
        <f ca="1">IF(AND(ISNUMBER($AW$1252),$B$677=1),$AW$1252,HLOOKUP(INDIRECT(ADDRESS(2,COLUMN())),OFFSET($BN$2,0,0,ROW()-1,60),ROW()-1,FALSE))</f>
        <v>18.103007059999999</v>
      </c>
      <c r="AX594">
        <f ca="1">IF(AND(ISNUMBER($AX$1252),$B$677=1),$AX$1252,HLOOKUP(INDIRECT(ADDRESS(2,COLUMN())),OFFSET($BN$2,0,0,ROW()-1,60),ROW()-1,FALSE))</f>
        <v>19.898284189999998</v>
      </c>
      <c r="AY594">
        <f ca="1">IF(AND(ISNUMBER($AY$1252),$B$677=1),$AY$1252,HLOOKUP(INDIRECT(ADDRESS(2,COLUMN())),OFFSET($BN$2,0,0,ROW()-1,60),ROW()-1,FALSE))</f>
        <v>13.620443160000001</v>
      </c>
      <c r="AZ594">
        <f ca="1">IF(AND(ISNUMBER($AZ$1252),$B$677=1),$AZ$1252,HLOOKUP(INDIRECT(ADDRESS(2,COLUMN())),OFFSET($BN$2,0,0,ROW()-1,60),ROW()-1,FALSE))</f>
        <v>9.5941236770000007</v>
      </c>
      <c r="BA594">
        <f ca="1">IF(AND(ISNUMBER($BA$1252),$B$677=1),$BA$1252,HLOOKUP(INDIRECT(ADDRESS(2,COLUMN())),OFFSET($BN$2,0,0,ROW()-1,60),ROW()-1,FALSE))</f>
        <v>6.6348222579999998</v>
      </c>
      <c r="BB594">
        <f ca="1">IF(AND(ISNUMBER($BB$1252),$B$677=1),$BB$1252,HLOOKUP(INDIRECT(ADDRESS(2,COLUMN())),OFFSET($BN$2,0,0,ROW()-1,60),ROW()-1,FALSE))</f>
        <v>4.2286010879999996</v>
      </c>
      <c r="BC594">
        <f ca="1">IF(AND(ISNUMBER($BC$1252),$B$677=1),$BC$1252,HLOOKUP(INDIRECT(ADDRESS(2,COLUMN())),OFFSET($BN$2,0,0,ROW()-1,60),ROW()-1,FALSE))</f>
        <v>8.6139587080000002</v>
      </c>
      <c r="BD594">
        <f ca="1">IF(AND(ISNUMBER($BD$1252),$B$677=1),$BD$1252,HLOOKUP(INDIRECT(ADDRESS(2,COLUMN())),OFFSET($BN$2,0,0,ROW()-1,60),ROW()-1,FALSE))</f>
        <v>7.9597511990000003</v>
      </c>
      <c r="BE594">
        <f ca="1">IF(AND(ISNUMBER($BE$1252),$B$677=1),$BE$1252,HLOOKUP(INDIRECT(ADDRESS(2,COLUMN())),OFFSET($BN$2,0,0,ROW()-1,60),ROW()-1,FALSE))</f>
        <v>10.503177669999999</v>
      </c>
      <c r="BF594">
        <f ca="1">IF(AND(ISNUMBER($BF$1252),$B$677=1),$BF$1252,HLOOKUP(INDIRECT(ADDRESS(2,COLUMN())),OFFSET($BN$2,0,0,ROW()-1,60),ROW()-1,FALSE))</f>
        <v>14.23244268</v>
      </c>
      <c r="BG594">
        <f ca="1">IF(AND(ISNUMBER($BG$1252),$B$677=1),$BG$1252,HLOOKUP(INDIRECT(ADDRESS(2,COLUMN())),OFFSET($BN$2,0,0,ROW()-1,60),ROW()-1,FALSE))</f>
        <v>10.713452480000001</v>
      </c>
      <c r="BH594" t="str">
        <f ca="1">IF(AND(ISNUMBER($BH$1252),$B$677=1),$BH$1252,HLOOKUP(INDIRECT(ADDRESS(2,COLUMN())),OFFSET($BN$2,0,0,ROW()-1,60),ROW()-1,FALSE))</f>
        <v/>
      </c>
      <c r="BI594" t="str">
        <f ca="1">IF(AND(ISNUMBER($BI$1252),$B$677=1),$BI$1252,HLOOKUP(INDIRECT(ADDRESS(2,COLUMN())),OFFSET($BN$2,0,0,ROW()-1,60),ROW()-1,FALSE))</f>
        <v/>
      </c>
      <c r="BJ594" t="str">
        <f ca="1">IF(AND(ISNUMBER($BJ$1252),$B$677=1),$BJ$1252,HLOOKUP(INDIRECT(ADDRESS(2,COLUMN())),OFFSET($BN$2,0,0,ROW()-1,60),ROW()-1,FALSE))</f>
        <v/>
      </c>
      <c r="BK594" t="str">
        <f ca="1">IF(AND(ISNUMBER($BK$1252),$B$677=1),$BK$1252,HLOOKUP(INDIRECT(ADDRESS(2,COLUMN())),OFFSET($BN$2,0,0,ROW()-1,60),ROW()-1,FALSE))</f>
        <v/>
      </c>
      <c r="BL594" t="str">
        <f ca="1">IF(AND(ISNUMBER($BL$1252),$B$677=1),$BL$1252,HLOOKUP(INDIRECT(ADDRESS(2,COLUMN())),OFFSET($BN$2,0,0,ROW()-1,60),ROW()-1,FALSE))</f>
        <v/>
      </c>
      <c r="BM594" t="str">
        <f ca="1">IF(AND(ISNUMBER($BM$1252),$B$677=1),$BM$1252,HLOOKUP(INDIRECT(ADDRESS(2,COLUMN())),OFFSET($BN$2,0,0,ROW()-1,60),ROW()-1,FALSE))</f>
        <v/>
      </c>
      <c r="BN594">
        <f>6.919173647</f>
        <v>6.919173647</v>
      </c>
      <c r="BO594">
        <f>7.631848533</f>
        <v>7.6318485330000003</v>
      </c>
      <c r="BP594">
        <f>7.378427928</f>
        <v>7.3784279279999998</v>
      </c>
      <c r="BQ594">
        <f>7.152458838</f>
        <v>7.1524588380000003</v>
      </c>
      <c r="BR594">
        <f>7.004870446</f>
        <v>7.004870446</v>
      </c>
      <c r="BS594">
        <f>7.509069117</f>
        <v>7.5090691170000001</v>
      </c>
      <c r="BT594">
        <f>10.50573997</f>
        <v>10.50573997</v>
      </c>
      <c r="BU594">
        <f>12.32712343</f>
        <v>12.32712343</v>
      </c>
      <c r="BV594">
        <f>12.73056717</f>
        <v>12.73056717</v>
      </c>
      <c r="BW594">
        <f>10.90053484</f>
        <v>10.900534840000001</v>
      </c>
      <c r="BX594">
        <f>7.281214145</f>
        <v>7.2812141449999999</v>
      </c>
      <c r="BY594">
        <f>11.07037165</f>
        <v>11.07037165</v>
      </c>
      <c r="BZ594">
        <f>5.916370628</f>
        <v>5.9163706280000001</v>
      </c>
      <c r="CA594">
        <f>8.792955284</f>
        <v>8.7929552839999996</v>
      </c>
      <c r="CB594">
        <f>5.959508409</f>
        <v>5.9595084089999997</v>
      </c>
      <c r="CC594">
        <f>-2.811197817</f>
        <v>-2.811197817</v>
      </c>
      <c r="CD594">
        <f>-0.51051546</f>
        <v>-0.51051546000000003</v>
      </c>
      <c r="CE594">
        <f>0.547869688</f>
        <v>0.54786968800000002</v>
      </c>
      <c r="CF594">
        <f>-8.268859784</f>
        <v>-8.268859784</v>
      </c>
      <c r="CG594">
        <f>-3.325733157</f>
        <v>-3.3257331570000002</v>
      </c>
      <c r="CH594">
        <f>-6.680001265</f>
        <v>-6.6800012649999996</v>
      </c>
      <c r="CI594">
        <f>-0.012958657</f>
        <v>-1.2958657E-2</v>
      </c>
      <c r="CJ594">
        <f>4.514980536</f>
        <v>4.5149805360000004</v>
      </c>
      <c r="CK594">
        <f>1.75955453</f>
        <v>1.75955453</v>
      </c>
      <c r="CL594">
        <f>1.866066936</f>
        <v>1.866066936</v>
      </c>
      <c r="CM594">
        <f>-0.444655999</f>
        <v>-0.44465599900000002</v>
      </c>
      <c r="CN594">
        <f>-0.704998429</f>
        <v>-0.70499842899999998</v>
      </c>
      <c r="CO594">
        <f>4.330791426</f>
        <v>4.3307914260000002</v>
      </c>
      <c r="CP594">
        <f>5.033564547</f>
        <v>5.0335645470000001</v>
      </c>
      <c r="CQ594">
        <f>10.60127363</f>
        <v>10.60127363</v>
      </c>
      <c r="CR594">
        <f>11.59986493</f>
        <v>11.599864930000001</v>
      </c>
      <c r="CS594">
        <f>13.14442639</f>
        <v>13.14442639</v>
      </c>
      <c r="CT594">
        <f>12.83417627</f>
        <v>12.83417627</v>
      </c>
      <c r="CU594">
        <f>8.728050426</f>
        <v>8.7280504259999994</v>
      </c>
      <c r="CV594">
        <f>13.32651536</f>
        <v>13.32651536</v>
      </c>
      <c r="CW594">
        <f>10.49426967</f>
        <v>10.49426967</v>
      </c>
      <c r="CX594">
        <f>12.75372483</f>
        <v>12.753724829999999</v>
      </c>
      <c r="CY594">
        <f>15.43396249</f>
        <v>15.433962490000001</v>
      </c>
      <c r="CZ594">
        <f>8.5066313</f>
        <v>8.5066313000000005</v>
      </c>
      <c r="DA594">
        <f>33.83428925</f>
        <v>33.834289249999998</v>
      </c>
      <c r="DB594">
        <f>41.00407341</f>
        <v>41.004073409999997</v>
      </c>
      <c r="DC594">
        <f>29.61655183</f>
        <v>29.616551829999999</v>
      </c>
      <c r="DD594">
        <f>31.34640352</f>
        <v>31.346403519999999</v>
      </c>
      <c r="DE594">
        <f>18.10300706</f>
        <v>18.103007059999999</v>
      </c>
      <c r="DF594">
        <f>19.89828419</f>
        <v>19.898284189999998</v>
      </c>
      <c r="DG594">
        <f>13.62044316</f>
        <v>13.620443160000001</v>
      </c>
      <c r="DH594">
        <f>9.594123677</f>
        <v>9.5941236770000007</v>
      </c>
      <c r="DI594">
        <f>6.634822258</f>
        <v>6.6348222579999998</v>
      </c>
      <c r="DJ594">
        <f>4.228601088</f>
        <v>4.2286010879999996</v>
      </c>
      <c r="DK594">
        <f>8.613958708</f>
        <v>8.6139587080000002</v>
      </c>
      <c r="DL594">
        <f>7.959751199</f>
        <v>7.9597511990000003</v>
      </c>
      <c r="DM594">
        <f>10.50317767</f>
        <v>10.503177669999999</v>
      </c>
      <c r="DN594">
        <f>14.23244268</f>
        <v>14.23244268</v>
      </c>
      <c r="DO594">
        <f>10.71345248</f>
        <v>10.713452480000001</v>
      </c>
      <c r="DP594" t="str">
        <f>""</f>
        <v/>
      </c>
      <c r="DQ594" t="str">
        <f>""</f>
        <v/>
      </c>
      <c r="DR594" t="str">
        <f>""</f>
        <v/>
      </c>
      <c r="DS594" t="str">
        <f>""</f>
        <v/>
      </c>
      <c r="DT594" t="str">
        <f>""</f>
        <v/>
      </c>
      <c r="DU594" t="str">
        <f>""</f>
        <v/>
      </c>
    </row>
    <row r="595" spans="1:125" x14ac:dyDescent="0.25">
      <c r="A595" t="str">
        <f>"    GAZ PJSC"</f>
        <v xml:space="preserve">    GAZ PJSC</v>
      </c>
      <c r="B595" t="str">
        <f>"GAZA RM Equity"</f>
        <v>GAZA RM Equity</v>
      </c>
      <c r="C595" t="str">
        <f t="shared" si="42"/>
        <v>RX072</v>
      </c>
      <c r="D595" t="str">
        <f t="shared" si="43"/>
        <v>FREE_CASH_FLOW_YIELD</v>
      </c>
      <c r="E595" t="str">
        <f t="shared" si="44"/>
        <v>Dynamic</v>
      </c>
      <c r="F595" t="str">
        <f ca="1">IF(AND(ISNUMBER($F$1253),$B$677=1),$F$1253,HLOOKUP(INDIRECT(ADDRESS(2,COLUMN())),OFFSET($BN$2,0,0,ROW()-1,60),ROW()-1,FALSE))</f>
        <v/>
      </c>
      <c r="G595" t="str">
        <f ca="1">IF(AND(ISNUMBER($G$1253),$B$677=1),$G$1253,HLOOKUP(INDIRECT(ADDRESS(2,COLUMN())),OFFSET($BN$2,0,0,ROW()-1,60),ROW()-1,FALSE))</f>
        <v/>
      </c>
      <c r="H595" t="str">
        <f ca="1">IF(AND(ISNUMBER($H$1253),$B$677=1),$H$1253,HLOOKUP(INDIRECT(ADDRESS(2,COLUMN())),OFFSET($BN$2,0,0,ROW()-1,60),ROW()-1,FALSE))</f>
        <v/>
      </c>
      <c r="I595" t="str">
        <f ca="1">IF(AND(ISNUMBER($I$1253),$B$677=1),$I$1253,HLOOKUP(INDIRECT(ADDRESS(2,COLUMN())),OFFSET($BN$2,0,0,ROW()-1,60),ROW()-1,FALSE))</f>
        <v/>
      </c>
      <c r="J595" t="str">
        <f ca="1">IF(AND(ISNUMBER($J$1253),$B$677=1),$J$1253,HLOOKUP(INDIRECT(ADDRESS(2,COLUMN())),OFFSET($BN$2,0,0,ROW()-1,60),ROW()-1,FALSE))</f>
        <v/>
      </c>
      <c r="K595" t="str">
        <f ca="1">IF(AND(ISNUMBER($K$1253),$B$677=1),$K$1253,HLOOKUP(INDIRECT(ADDRESS(2,COLUMN())),OFFSET($BN$2,0,0,ROW()-1,60),ROW()-1,FALSE))</f>
        <v/>
      </c>
      <c r="L595" t="str">
        <f ca="1">IF(AND(ISNUMBER($L$1253),$B$677=1),$L$1253,HLOOKUP(INDIRECT(ADDRESS(2,COLUMN())),OFFSET($BN$2,0,0,ROW()-1,60),ROW()-1,FALSE))</f>
        <v/>
      </c>
      <c r="M595" t="str">
        <f ca="1">IF(AND(ISNUMBER($M$1253),$B$677=1),$M$1253,HLOOKUP(INDIRECT(ADDRESS(2,COLUMN())),OFFSET($BN$2,0,0,ROW()-1,60),ROW()-1,FALSE))</f>
        <v/>
      </c>
      <c r="N595" t="str">
        <f ca="1">IF(AND(ISNUMBER($N$1253),$B$677=1),$N$1253,HLOOKUP(INDIRECT(ADDRESS(2,COLUMN())),OFFSET($BN$2,0,0,ROW()-1,60),ROW()-1,FALSE))</f>
        <v/>
      </c>
      <c r="O595" t="str">
        <f ca="1">IF(AND(ISNUMBER($O$1253),$B$677=1),$O$1253,HLOOKUP(INDIRECT(ADDRESS(2,COLUMN())),OFFSET($BN$2,0,0,ROW()-1,60),ROW()-1,FALSE))</f>
        <v/>
      </c>
      <c r="P595" t="str">
        <f ca="1">IF(AND(ISNUMBER($P$1253),$B$677=1),$P$1253,HLOOKUP(INDIRECT(ADDRESS(2,COLUMN())),OFFSET($BN$2,0,0,ROW()-1,60),ROW()-1,FALSE))</f>
        <v/>
      </c>
      <c r="Q595" t="str">
        <f ca="1">IF(AND(ISNUMBER($Q$1253),$B$677=1),$Q$1253,HLOOKUP(INDIRECT(ADDRESS(2,COLUMN())),OFFSET($BN$2,0,0,ROW()-1,60),ROW()-1,FALSE))</f>
        <v/>
      </c>
      <c r="R595" t="str">
        <f ca="1">IF(AND(ISNUMBER($R$1253),$B$677=1),$R$1253,HLOOKUP(INDIRECT(ADDRESS(2,COLUMN())),OFFSET($BN$2,0,0,ROW()-1,60),ROW()-1,FALSE))</f>
        <v/>
      </c>
      <c r="S595" t="str">
        <f ca="1">IF(AND(ISNUMBER($S$1253),$B$677=1),$S$1253,HLOOKUP(INDIRECT(ADDRESS(2,COLUMN())),OFFSET($BN$2,0,0,ROW()-1,60),ROW()-1,FALSE))</f>
        <v/>
      </c>
      <c r="T595" t="str">
        <f ca="1">IF(AND(ISNUMBER($T$1253),$B$677=1),$T$1253,HLOOKUP(INDIRECT(ADDRESS(2,COLUMN())),OFFSET($BN$2,0,0,ROW()-1,60),ROW()-1,FALSE))</f>
        <v/>
      </c>
      <c r="U595" t="str">
        <f ca="1">IF(AND(ISNUMBER($U$1253),$B$677=1),$U$1253,HLOOKUP(INDIRECT(ADDRESS(2,COLUMN())),OFFSET($BN$2,0,0,ROW()-1,60),ROW()-1,FALSE))</f>
        <v/>
      </c>
      <c r="V595" t="str">
        <f ca="1">IF(AND(ISNUMBER($V$1253),$B$677=1),$V$1253,HLOOKUP(INDIRECT(ADDRESS(2,COLUMN())),OFFSET($BN$2,0,0,ROW()-1,60),ROW()-1,FALSE))</f>
        <v/>
      </c>
      <c r="W595" t="str">
        <f ca="1">IF(AND(ISNUMBER($W$1253),$B$677=1),$W$1253,HLOOKUP(INDIRECT(ADDRESS(2,COLUMN())),OFFSET($BN$2,0,0,ROW()-1,60),ROW()-1,FALSE))</f>
        <v/>
      </c>
      <c r="X595" t="str">
        <f ca="1">IF(AND(ISNUMBER($X$1253),$B$677=1),$X$1253,HLOOKUP(INDIRECT(ADDRESS(2,COLUMN())),OFFSET($BN$2,0,0,ROW()-1,60),ROW()-1,FALSE))</f>
        <v/>
      </c>
      <c r="Y595" t="str">
        <f ca="1">IF(AND(ISNUMBER($Y$1253),$B$677=1),$Y$1253,HLOOKUP(INDIRECT(ADDRESS(2,COLUMN())),OFFSET($BN$2,0,0,ROW()-1,60),ROW()-1,FALSE))</f>
        <v/>
      </c>
      <c r="Z595" t="str">
        <f ca="1">IF(AND(ISNUMBER($Z$1253),$B$677=1),$Z$1253,HLOOKUP(INDIRECT(ADDRESS(2,COLUMN())),OFFSET($BN$2,0,0,ROW()-1,60),ROW()-1,FALSE))</f>
        <v/>
      </c>
      <c r="AA595" t="str">
        <f ca="1">IF(AND(ISNUMBER($AA$1253),$B$677=1),$AA$1253,HLOOKUP(INDIRECT(ADDRESS(2,COLUMN())),OFFSET($BN$2,0,0,ROW()-1,60),ROW()-1,FALSE))</f>
        <v/>
      </c>
      <c r="AB595" t="str">
        <f ca="1">IF(AND(ISNUMBER($AB$1253),$B$677=1),$AB$1253,HLOOKUP(INDIRECT(ADDRESS(2,COLUMN())),OFFSET($BN$2,0,0,ROW()-1,60),ROW()-1,FALSE))</f>
        <v/>
      </c>
      <c r="AC595" t="str">
        <f ca="1">IF(AND(ISNUMBER($AC$1253),$B$677=1),$AC$1253,HLOOKUP(INDIRECT(ADDRESS(2,COLUMN())),OFFSET($BN$2,0,0,ROW()-1,60),ROW()-1,FALSE))</f>
        <v/>
      </c>
      <c r="AD595" t="str">
        <f ca="1">IF(AND(ISNUMBER($AD$1253),$B$677=1),$AD$1253,HLOOKUP(INDIRECT(ADDRESS(2,COLUMN())),OFFSET($BN$2,0,0,ROW()-1,60),ROW()-1,FALSE))</f>
        <v/>
      </c>
      <c r="AE595" t="str">
        <f ca="1">IF(AND(ISNUMBER($AE$1253),$B$677=1),$AE$1253,HLOOKUP(INDIRECT(ADDRESS(2,COLUMN())),OFFSET($BN$2,0,0,ROW()-1,60),ROW()-1,FALSE))</f>
        <v/>
      </c>
      <c r="AF595" t="str">
        <f ca="1">IF(AND(ISNUMBER($AF$1253),$B$677=1),$AF$1253,HLOOKUP(INDIRECT(ADDRESS(2,COLUMN())),OFFSET($BN$2,0,0,ROW()-1,60),ROW()-1,FALSE))</f>
        <v/>
      </c>
      <c r="AG595" t="str">
        <f ca="1">IF(AND(ISNUMBER($AG$1253),$B$677=1),$AG$1253,HLOOKUP(INDIRECT(ADDRESS(2,COLUMN())),OFFSET($BN$2,0,0,ROW()-1,60),ROW()-1,FALSE))</f>
        <v/>
      </c>
      <c r="AH595" t="str">
        <f ca="1">IF(AND(ISNUMBER($AH$1253),$B$677=1),$AH$1253,HLOOKUP(INDIRECT(ADDRESS(2,COLUMN())),OFFSET($BN$2,0,0,ROW()-1,60),ROW()-1,FALSE))</f>
        <v/>
      </c>
      <c r="AI595" t="str">
        <f ca="1">IF(AND(ISNUMBER($AI$1253),$B$677=1),$AI$1253,HLOOKUP(INDIRECT(ADDRESS(2,COLUMN())),OFFSET($BN$2,0,0,ROW()-1,60),ROW()-1,FALSE))</f>
        <v/>
      </c>
      <c r="AJ595" t="str">
        <f ca="1">IF(AND(ISNUMBER($AJ$1253),$B$677=1),$AJ$1253,HLOOKUP(INDIRECT(ADDRESS(2,COLUMN())),OFFSET($BN$2,0,0,ROW()-1,60),ROW()-1,FALSE))</f>
        <v/>
      </c>
      <c r="AK595" t="str">
        <f ca="1">IF(AND(ISNUMBER($AK$1253),$B$677=1),$AK$1253,HLOOKUP(INDIRECT(ADDRESS(2,COLUMN())),OFFSET($BN$2,0,0,ROW()-1,60),ROW()-1,FALSE))</f>
        <v/>
      </c>
      <c r="AL595" t="str">
        <f ca="1">IF(AND(ISNUMBER($AL$1253),$B$677=1),$AL$1253,HLOOKUP(INDIRECT(ADDRESS(2,COLUMN())),OFFSET($BN$2,0,0,ROW()-1,60),ROW()-1,FALSE))</f>
        <v/>
      </c>
      <c r="AM595" t="str">
        <f ca="1">IF(AND(ISNUMBER($AM$1253),$B$677=1),$AM$1253,HLOOKUP(INDIRECT(ADDRESS(2,COLUMN())),OFFSET($BN$2,0,0,ROW()-1,60),ROW()-1,FALSE))</f>
        <v/>
      </c>
      <c r="AN595" t="str">
        <f ca="1">IF(AND(ISNUMBER($AN$1253),$B$677=1),$AN$1253,HLOOKUP(INDIRECT(ADDRESS(2,COLUMN())),OFFSET($BN$2,0,0,ROW()-1,60),ROW()-1,FALSE))</f>
        <v/>
      </c>
      <c r="AO595" t="str">
        <f ca="1">IF(AND(ISNUMBER($AO$1253),$B$677=1),$AO$1253,HLOOKUP(INDIRECT(ADDRESS(2,COLUMN())),OFFSET($BN$2,0,0,ROW()-1,60),ROW()-1,FALSE))</f>
        <v/>
      </c>
      <c r="AP595" t="str">
        <f ca="1">IF(AND(ISNUMBER($AP$1253),$B$677=1),$AP$1253,HLOOKUP(INDIRECT(ADDRESS(2,COLUMN())),OFFSET($BN$2,0,0,ROW()-1,60),ROW()-1,FALSE))</f>
        <v/>
      </c>
      <c r="AQ595" t="str">
        <f ca="1">IF(AND(ISNUMBER($AQ$1253),$B$677=1),$AQ$1253,HLOOKUP(INDIRECT(ADDRESS(2,COLUMN())),OFFSET($BN$2,0,0,ROW()-1,60),ROW()-1,FALSE))</f>
        <v/>
      </c>
      <c r="AR595" t="str">
        <f ca="1">IF(AND(ISNUMBER($AR$1253),$B$677=1),$AR$1253,HLOOKUP(INDIRECT(ADDRESS(2,COLUMN())),OFFSET($BN$2,0,0,ROW()-1,60),ROW()-1,FALSE))</f>
        <v/>
      </c>
      <c r="AS595" t="str">
        <f ca="1">IF(AND(ISNUMBER($AS$1253),$B$677=1),$AS$1253,HLOOKUP(INDIRECT(ADDRESS(2,COLUMN())),OFFSET($BN$2,0,0,ROW()-1,60),ROW()-1,FALSE))</f>
        <v/>
      </c>
      <c r="AT595" t="str">
        <f ca="1">IF(AND(ISNUMBER($AT$1253),$B$677=1),$AT$1253,HLOOKUP(INDIRECT(ADDRESS(2,COLUMN())),OFFSET($BN$2,0,0,ROW()-1,60),ROW()-1,FALSE))</f>
        <v/>
      </c>
      <c r="AU595" t="str">
        <f ca="1">IF(AND(ISNUMBER($AU$1253),$B$677=1),$AU$1253,HLOOKUP(INDIRECT(ADDRESS(2,COLUMN())),OFFSET($BN$2,0,0,ROW()-1,60),ROW()-1,FALSE))</f>
        <v/>
      </c>
      <c r="AV595" t="str">
        <f ca="1">IF(AND(ISNUMBER($AV$1253),$B$677=1),$AV$1253,HLOOKUP(INDIRECT(ADDRESS(2,COLUMN())),OFFSET($BN$2,0,0,ROW()-1,60),ROW()-1,FALSE))</f>
        <v/>
      </c>
      <c r="AW595" t="str">
        <f ca="1">IF(AND(ISNUMBER($AW$1253),$B$677=1),$AW$1253,HLOOKUP(INDIRECT(ADDRESS(2,COLUMN())),OFFSET($BN$2,0,0,ROW()-1,60),ROW()-1,FALSE))</f>
        <v/>
      </c>
      <c r="AX595" t="str">
        <f ca="1">IF(AND(ISNUMBER($AX$1253),$B$677=1),$AX$1253,HLOOKUP(INDIRECT(ADDRESS(2,COLUMN())),OFFSET($BN$2,0,0,ROW()-1,60),ROW()-1,FALSE))</f>
        <v/>
      </c>
      <c r="AY595" t="str">
        <f ca="1">IF(AND(ISNUMBER($AY$1253),$B$677=1),$AY$1253,HLOOKUP(INDIRECT(ADDRESS(2,COLUMN())),OFFSET($BN$2,0,0,ROW()-1,60),ROW()-1,FALSE))</f>
        <v/>
      </c>
      <c r="AZ595" t="str">
        <f ca="1">IF(AND(ISNUMBER($AZ$1253),$B$677=1),$AZ$1253,HLOOKUP(INDIRECT(ADDRESS(2,COLUMN())),OFFSET($BN$2,0,0,ROW()-1,60),ROW()-1,FALSE))</f>
        <v/>
      </c>
      <c r="BA595" t="str">
        <f ca="1">IF(AND(ISNUMBER($BA$1253),$B$677=1),$BA$1253,HLOOKUP(INDIRECT(ADDRESS(2,COLUMN())),OFFSET($BN$2,0,0,ROW()-1,60),ROW()-1,FALSE))</f>
        <v/>
      </c>
      <c r="BB595" t="str">
        <f ca="1">IF(AND(ISNUMBER($BB$1253),$B$677=1),$BB$1253,HLOOKUP(INDIRECT(ADDRESS(2,COLUMN())),OFFSET($BN$2,0,0,ROW()-1,60),ROW()-1,FALSE))</f>
        <v/>
      </c>
      <c r="BC595" t="str">
        <f ca="1">IF(AND(ISNUMBER($BC$1253),$B$677=1),$BC$1253,HLOOKUP(INDIRECT(ADDRESS(2,COLUMN())),OFFSET($BN$2,0,0,ROW()-1,60),ROW()-1,FALSE))</f>
        <v/>
      </c>
      <c r="BD595" t="str">
        <f ca="1">IF(AND(ISNUMBER($BD$1253),$B$677=1),$BD$1253,HLOOKUP(INDIRECT(ADDRESS(2,COLUMN())),OFFSET($BN$2,0,0,ROW()-1,60),ROW()-1,FALSE))</f>
        <v/>
      </c>
      <c r="BE595" t="str">
        <f ca="1">IF(AND(ISNUMBER($BE$1253),$B$677=1),$BE$1253,HLOOKUP(INDIRECT(ADDRESS(2,COLUMN())),OFFSET($BN$2,0,0,ROW()-1,60),ROW()-1,FALSE))</f>
        <v/>
      </c>
      <c r="BF595" t="str">
        <f ca="1">IF(AND(ISNUMBER($BF$1253),$B$677=1),$BF$1253,HLOOKUP(INDIRECT(ADDRESS(2,COLUMN())),OFFSET($BN$2,0,0,ROW()-1,60),ROW()-1,FALSE))</f>
        <v/>
      </c>
      <c r="BG595" t="str">
        <f ca="1">IF(AND(ISNUMBER($BG$1253),$B$677=1),$BG$1253,HLOOKUP(INDIRECT(ADDRESS(2,COLUMN())),OFFSET($BN$2,0,0,ROW()-1,60),ROW()-1,FALSE))</f>
        <v/>
      </c>
      <c r="BH595" t="str">
        <f ca="1">IF(AND(ISNUMBER($BH$1253),$B$677=1),$BH$1253,HLOOKUP(INDIRECT(ADDRESS(2,COLUMN())),OFFSET($BN$2,0,0,ROW()-1,60),ROW()-1,FALSE))</f>
        <v/>
      </c>
      <c r="BI595" t="str">
        <f ca="1">IF(AND(ISNUMBER($BI$1253),$B$677=1),$BI$1253,HLOOKUP(INDIRECT(ADDRESS(2,COLUMN())),OFFSET($BN$2,0,0,ROW()-1,60),ROW()-1,FALSE))</f>
        <v/>
      </c>
      <c r="BJ595" t="str">
        <f ca="1">IF(AND(ISNUMBER($BJ$1253),$B$677=1),$BJ$1253,HLOOKUP(INDIRECT(ADDRESS(2,COLUMN())),OFFSET($BN$2,0,0,ROW()-1,60),ROW()-1,FALSE))</f>
        <v/>
      </c>
      <c r="BK595" t="str">
        <f ca="1">IF(AND(ISNUMBER($BK$1253),$B$677=1),$BK$1253,HLOOKUP(INDIRECT(ADDRESS(2,COLUMN())),OFFSET($BN$2,0,0,ROW()-1,60),ROW()-1,FALSE))</f>
        <v/>
      </c>
      <c r="BL595" t="str">
        <f ca="1">IF(AND(ISNUMBER($BL$1253),$B$677=1),$BL$1253,HLOOKUP(INDIRECT(ADDRESS(2,COLUMN())),OFFSET($BN$2,0,0,ROW()-1,60),ROW()-1,FALSE))</f>
        <v/>
      </c>
      <c r="BM595" t="str">
        <f ca="1">IF(AND(ISNUMBER($BM$1253),$B$677=1),$BM$1253,HLOOKUP(INDIRECT(ADDRESS(2,COLUMN())),OFFSET($BN$2,0,0,ROW()-1,60),ROW()-1,FALSE))</f>
        <v/>
      </c>
      <c r="BN595" t="str">
        <f>""</f>
        <v/>
      </c>
      <c r="BO595" t="str">
        <f>""</f>
        <v/>
      </c>
      <c r="BP595" t="str">
        <f>""</f>
        <v/>
      </c>
      <c r="BQ595" t="str">
        <f>""</f>
        <v/>
      </c>
      <c r="BR595" t="str">
        <f>""</f>
        <v/>
      </c>
      <c r="BS595" t="str">
        <f>""</f>
        <v/>
      </c>
      <c r="BT595" t="str">
        <f>""</f>
        <v/>
      </c>
      <c r="BU595" t="str">
        <f>""</f>
        <v/>
      </c>
      <c r="BV595" t="str">
        <f>""</f>
        <v/>
      </c>
      <c r="BW595" t="str">
        <f>""</f>
        <v/>
      </c>
      <c r="BX595" t="str">
        <f>""</f>
        <v/>
      </c>
      <c r="BY595" t="str">
        <f>""</f>
        <v/>
      </c>
      <c r="BZ595" t="str">
        <f>""</f>
        <v/>
      </c>
      <c r="CA595" t="str">
        <f>""</f>
        <v/>
      </c>
      <c r="CB595" t="str">
        <f>""</f>
        <v/>
      </c>
      <c r="CC595" t="str">
        <f>""</f>
        <v/>
      </c>
      <c r="CD595" t="str">
        <f>""</f>
        <v/>
      </c>
      <c r="CE595" t="str">
        <f>""</f>
        <v/>
      </c>
      <c r="CF595" t="str">
        <f>""</f>
        <v/>
      </c>
      <c r="CG595" t="str">
        <f>""</f>
        <v/>
      </c>
      <c r="CH595" t="str">
        <f>""</f>
        <v/>
      </c>
      <c r="CI595" t="str">
        <f>""</f>
        <v/>
      </c>
      <c r="CJ595" t="str">
        <f>""</f>
        <v/>
      </c>
      <c r="CK595" t="str">
        <f>""</f>
        <v/>
      </c>
      <c r="CL595" t="str">
        <f>""</f>
        <v/>
      </c>
      <c r="CM595" t="str">
        <f>""</f>
        <v/>
      </c>
      <c r="CN595" t="str">
        <f>""</f>
        <v/>
      </c>
      <c r="CO595" t="str">
        <f>""</f>
        <v/>
      </c>
      <c r="CP595" t="str">
        <f>""</f>
        <v/>
      </c>
      <c r="CQ595" t="str">
        <f>""</f>
        <v/>
      </c>
      <c r="CR595" t="str">
        <f>""</f>
        <v/>
      </c>
      <c r="CS595" t="str">
        <f>""</f>
        <v/>
      </c>
      <c r="CT595" t="str">
        <f>""</f>
        <v/>
      </c>
      <c r="CU595" t="str">
        <f>""</f>
        <v/>
      </c>
      <c r="CV595" t="str">
        <f>""</f>
        <v/>
      </c>
      <c r="CW595" t="str">
        <f>""</f>
        <v/>
      </c>
      <c r="CX595" t="str">
        <f>""</f>
        <v/>
      </c>
      <c r="CY595" t="str">
        <f>""</f>
        <v/>
      </c>
      <c r="CZ595" t="str">
        <f>""</f>
        <v/>
      </c>
      <c r="DA595" t="str">
        <f>""</f>
        <v/>
      </c>
      <c r="DB595" t="str">
        <f>""</f>
        <v/>
      </c>
      <c r="DC595" t="str">
        <f>""</f>
        <v/>
      </c>
      <c r="DD595" t="str">
        <f>""</f>
        <v/>
      </c>
      <c r="DE595" t="str">
        <f>""</f>
        <v/>
      </c>
      <c r="DF595" t="str">
        <f>""</f>
        <v/>
      </c>
      <c r="DG595" t="str">
        <f>""</f>
        <v/>
      </c>
      <c r="DH595" t="str">
        <f>""</f>
        <v/>
      </c>
      <c r="DI595" t="str">
        <f>""</f>
        <v/>
      </c>
      <c r="DJ595" t="str">
        <f>""</f>
        <v/>
      </c>
      <c r="DK595" t="str">
        <f>""</f>
        <v/>
      </c>
      <c r="DL595" t="str">
        <f>""</f>
        <v/>
      </c>
      <c r="DM595" t="str">
        <f>""</f>
        <v/>
      </c>
      <c r="DN595" t="str">
        <f>""</f>
        <v/>
      </c>
      <c r="DO595" t="str">
        <f>""</f>
        <v/>
      </c>
      <c r="DP595" t="str">
        <f>""</f>
        <v/>
      </c>
      <c r="DQ595" t="str">
        <f>""</f>
        <v/>
      </c>
      <c r="DR595" t="str">
        <f>""</f>
        <v/>
      </c>
      <c r="DS595" t="str">
        <f>""</f>
        <v/>
      </c>
      <c r="DT595" t="str">
        <f>""</f>
        <v/>
      </c>
      <c r="DU595" t="str">
        <f>""</f>
        <v/>
      </c>
    </row>
    <row r="596" spans="1:125" x14ac:dyDescent="0.25">
      <c r="A596" t="str">
        <f>"    Geely Automobile Holdings Ltd"</f>
        <v xml:space="preserve">    Geely Automobile Holdings Ltd</v>
      </c>
      <c r="B596" t="str">
        <f>"175 HK Equity"</f>
        <v>175 HK Equity</v>
      </c>
      <c r="C596" t="str">
        <f t="shared" si="42"/>
        <v>RX072</v>
      </c>
      <c r="D596" t="str">
        <f t="shared" si="43"/>
        <v>FREE_CASH_FLOW_YIELD</v>
      </c>
      <c r="E596" t="str">
        <f t="shared" si="44"/>
        <v>Dynamic</v>
      </c>
      <c r="F596" t="str">
        <f ca="1">IF(AND(ISNUMBER($F$1254),$B$677=1),$F$1254,HLOOKUP(INDIRECT(ADDRESS(2,COLUMN())),OFFSET($BN$2,0,0,ROW()-1,60),ROW()-1,FALSE))</f>
        <v/>
      </c>
      <c r="G596" t="str">
        <f ca="1">IF(AND(ISNUMBER($G$1254),$B$677=1),$G$1254,HLOOKUP(INDIRECT(ADDRESS(2,COLUMN())),OFFSET($BN$2,0,0,ROW()-1,60),ROW()-1,FALSE))</f>
        <v/>
      </c>
      <c r="H596" t="str">
        <f ca="1">IF(AND(ISNUMBER($H$1254),$B$677=1),$H$1254,HLOOKUP(INDIRECT(ADDRESS(2,COLUMN())),OFFSET($BN$2,0,0,ROW()-1,60),ROW()-1,FALSE))</f>
        <v/>
      </c>
      <c r="I596" t="str">
        <f ca="1">IF(AND(ISNUMBER($I$1254),$B$677=1),$I$1254,HLOOKUP(INDIRECT(ADDRESS(2,COLUMN())),OFFSET($BN$2,0,0,ROW()-1,60),ROW()-1,FALSE))</f>
        <v/>
      </c>
      <c r="J596" t="str">
        <f ca="1">IF(AND(ISNUMBER($J$1254),$B$677=1),$J$1254,HLOOKUP(INDIRECT(ADDRESS(2,COLUMN())),OFFSET($BN$2,0,0,ROW()-1,60),ROW()-1,FALSE))</f>
        <v/>
      </c>
      <c r="K596" t="str">
        <f ca="1">IF(AND(ISNUMBER($K$1254),$B$677=1),$K$1254,HLOOKUP(INDIRECT(ADDRESS(2,COLUMN())),OFFSET($BN$2,0,0,ROW()-1,60),ROW()-1,FALSE))</f>
        <v/>
      </c>
      <c r="L596" t="str">
        <f ca="1">IF(AND(ISNUMBER($L$1254),$B$677=1),$L$1254,HLOOKUP(INDIRECT(ADDRESS(2,COLUMN())),OFFSET($BN$2,0,0,ROW()-1,60),ROW()-1,FALSE))</f>
        <v/>
      </c>
      <c r="M596" t="str">
        <f ca="1">IF(AND(ISNUMBER($M$1254),$B$677=1),$M$1254,HLOOKUP(INDIRECT(ADDRESS(2,COLUMN())),OFFSET($BN$2,0,0,ROW()-1,60),ROW()-1,FALSE))</f>
        <v/>
      </c>
      <c r="N596" t="str">
        <f ca="1">IF(AND(ISNUMBER($N$1254),$B$677=1),$N$1254,HLOOKUP(INDIRECT(ADDRESS(2,COLUMN())),OFFSET($BN$2,0,0,ROW()-1,60),ROW()-1,FALSE))</f>
        <v/>
      </c>
      <c r="O596" t="str">
        <f ca="1">IF(AND(ISNUMBER($O$1254),$B$677=1),$O$1254,HLOOKUP(INDIRECT(ADDRESS(2,COLUMN())),OFFSET($BN$2,0,0,ROW()-1,60),ROW()-1,FALSE))</f>
        <v/>
      </c>
      <c r="P596" t="str">
        <f ca="1">IF(AND(ISNUMBER($P$1254),$B$677=1),$P$1254,HLOOKUP(INDIRECT(ADDRESS(2,COLUMN())),OFFSET($BN$2,0,0,ROW()-1,60),ROW()-1,FALSE))</f>
        <v/>
      </c>
      <c r="Q596" t="str">
        <f ca="1">IF(AND(ISNUMBER($Q$1254),$B$677=1),$Q$1254,HLOOKUP(INDIRECT(ADDRESS(2,COLUMN())),OFFSET($BN$2,0,0,ROW()-1,60),ROW()-1,FALSE))</f>
        <v/>
      </c>
      <c r="R596" t="str">
        <f ca="1">IF(AND(ISNUMBER($R$1254),$B$677=1),$R$1254,HLOOKUP(INDIRECT(ADDRESS(2,COLUMN())),OFFSET($BN$2,0,0,ROW()-1,60),ROW()-1,FALSE))</f>
        <v/>
      </c>
      <c r="S596" t="str">
        <f ca="1">IF(AND(ISNUMBER($S$1254),$B$677=1),$S$1254,HLOOKUP(INDIRECT(ADDRESS(2,COLUMN())),OFFSET($BN$2,0,0,ROW()-1,60),ROW()-1,FALSE))</f>
        <v/>
      </c>
      <c r="T596" t="str">
        <f ca="1">IF(AND(ISNUMBER($T$1254),$B$677=1),$T$1254,HLOOKUP(INDIRECT(ADDRESS(2,COLUMN())),OFFSET($BN$2,0,0,ROW()-1,60),ROW()-1,FALSE))</f>
        <v/>
      </c>
      <c r="U596" t="str">
        <f ca="1">IF(AND(ISNUMBER($U$1254),$B$677=1),$U$1254,HLOOKUP(INDIRECT(ADDRESS(2,COLUMN())),OFFSET($BN$2,0,0,ROW()-1,60),ROW()-1,FALSE))</f>
        <v/>
      </c>
      <c r="V596" t="str">
        <f ca="1">IF(AND(ISNUMBER($V$1254),$B$677=1),$V$1254,HLOOKUP(INDIRECT(ADDRESS(2,COLUMN())),OFFSET($BN$2,0,0,ROW()-1,60),ROW()-1,FALSE))</f>
        <v/>
      </c>
      <c r="W596" t="str">
        <f ca="1">IF(AND(ISNUMBER($W$1254),$B$677=1),$W$1254,HLOOKUP(INDIRECT(ADDRESS(2,COLUMN())),OFFSET($BN$2,0,0,ROW()-1,60),ROW()-1,FALSE))</f>
        <v/>
      </c>
      <c r="X596" t="str">
        <f ca="1">IF(AND(ISNUMBER($X$1254),$B$677=1),$X$1254,HLOOKUP(INDIRECT(ADDRESS(2,COLUMN())),OFFSET($BN$2,0,0,ROW()-1,60),ROW()-1,FALSE))</f>
        <v/>
      </c>
      <c r="Y596" t="str">
        <f ca="1">IF(AND(ISNUMBER($Y$1254),$B$677=1),$Y$1254,HLOOKUP(INDIRECT(ADDRESS(2,COLUMN())),OFFSET($BN$2,0,0,ROW()-1,60),ROW()-1,FALSE))</f>
        <v/>
      </c>
      <c r="Z596" t="str">
        <f ca="1">IF(AND(ISNUMBER($Z$1254),$B$677=1),$Z$1254,HLOOKUP(INDIRECT(ADDRESS(2,COLUMN())),OFFSET($BN$2,0,0,ROW()-1,60),ROW()-1,FALSE))</f>
        <v/>
      </c>
      <c r="AA596" t="str">
        <f ca="1">IF(AND(ISNUMBER($AA$1254),$B$677=1),$AA$1254,HLOOKUP(INDIRECT(ADDRESS(2,COLUMN())),OFFSET($BN$2,0,0,ROW()-1,60),ROW()-1,FALSE))</f>
        <v/>
      </c>
      <c r="AB596" t="str">
        <f ca="1">IF(AND(ISNUMBER($AB$1254),$B$677=1),$AB$1254,HLOOKUP(INDIRECT(ADDRESS(2,COLUMN())),OFFSET($BN$2,0,0,ROW()-1,60),ROW()-1,FALSE))</f>
        <v/>
      </c>
      <c r="AC596" t="str">
        <f ca="1">IF(AND(ISNUMBER($AC$1254),$B$677=1),$AC$1254,HLOOKUP(INDIRECT(ADDRESS(2,COLUMN())),OFFSET($BN$2,0,0,ROW()-1,60),ROW()-1,FALSE))</f>
        <v/>
      </c>
      <c r="AD596" t="str">
        <f ca="1">IF(AND(ISNUMBER($AD$1254),$B$677=1),$AD$1254,HLOOKUP(INDIRECT(ADDRESS(2,COLUMN())),OFFSET($BN$2,0,0,ROW()-1,60),ROW()-1,FALSE))</f>
        <v/>
      </c>
      <c r="AE596" t="str">
        <f ca="1">IF(AND(ISNUMBER($AE$1254),$B$677=1),$AE$1254,HLOOKUP(INDIRECT(ADDRESS(2,COLUMN())),OFFSET($BN$2,0,0,ROW()-1,60),ROW()-1,FALSE))</f>
        <v/>
      </c>
      <c r="AF596" t="str">
        <f ca="1">IF(AND(ISNUMBER($AF$1254),$B$677=1),$AF$1254,HLOOKUP(INDIRECT(ADDRESS(2,COLUMN())),OFFSET($BN$2,0,0,ROW()-1,60),ROW()-1,FALSE))</f>
        <v/>
      </c>
      <c r="AG596" t="str">
        <f ca="1">IF(AND(ISNUMBER($AG$1254),$B$677=1),$AG$1254,HLOOKUP(INDIRECT(ADDRESS(2,COLUMN())),OFFSET($BN$2,0,0,ROW()-1,60),ROW()-1,FALSE))</f>
        <v/>
      </c>
      <c r="AH596" t="str">
        <f ca="1">IF(AND(ISNUMBER($AH$1254),$B$677=1),$AH$1254,HLOOKUP(INDIRECT(ADDRESS(2,COLUMN())),OFFSET($BN$2,0,0,ROW()-1,60),ROW()-1,FALSE))</f>
        <v/>
      </c>
      <c r="AI596" t="str">
        <f ca="1">IF(AND(ISNUMBER($AI$1254),$B$677=1),$AI$1254,HLOOKUP(INDIRECT(ADDRESS(2,COLUMN())),OFFSET($BN$2,0,0,ROW()-1,60),ROW()-1,FALSE))</f>
        <v/>
      </c>
      <c r="AJ596" t="str">
        <f ca="1">IF(AND(ISNUMBER($AJ$1254),$B$677=1),$AJ$1254,HLOOKUP(INDIRECT(ADDRESS(2,COLUMN())),OFFSET($BN$2,0,0,ROW()-1,60),ROW()-1,FALSE))</f>
        <v/>
      </c>
      <c r="AK596" t="str">
        <f ca="1">IF(AND(ISNUMBER($AK$1254),$B$677=1),$AK$1254,HLOOKUP(INDIRECT(ADDRESS(2,COLUMN())),OFFSET($BN$2,0,0,ROW()-1,60),ROW()-1,FALSE))</f>
        <v/>
      </c>
      <c r="AL596" t="str">
        <f ca="1">IF(AND(ISNUMBER($AL$1254),$B$677=1),$AL$1254,HLOOKUP(INDIRECT(ADDRESS(2,COLUMN())),OFFSET($BN$2,0,0,ROW()-1,60),ROW()-1,FALSE))</f>
        <v/>
      </c>
      <c r="AM596" t="str">
        <f ca="1">IF(AND(ISNUMBER($AM$1254),$B$677=1),$AM$1254,HLOOKUP(INDIRECT(ADDRESS(2,COLUMN())),OFFSET($BN$2,0,0,ROW()-1,60),ROW()-1,FALSE))</f>
        <v/>
      </c>
      <c r="AN596" t="str">
        <f ca="1">IF(AND(ISNUMBER($AN$1254),$B$677=1),$AN$1254,HLOOKUP(INDIRECT(ADDRESS(2,COLUMN())),OFFSET($BN$2,0,0,ROW()-1,60),ROW()-1,FALSE))</f>
        <v/>
      </c>
      <c r="AO596" t="str">
        <f ca="1">IF(AND(ISNUMBER($AO$1254),$B$677=1),$AO$1254,HLOOKUP(INDIRECT(ADDRESS(2,COLUMN())),OFFSET($BN$2,0,0,ROW()-1,60),ROW()-1,FALSE))</f>
        <v/>
      </c>
      <c r="AP596" t="str">
        <f ca="1">IF(AND(ISNUMBER($AP$1254),$B$677=1),$AP$1254,HLOOKUP(INDIRECT(ADDRESS(2,COLUMN())),OFFSET($BN$2,0,0,ROW()-1,60),ROW()-1,FALSE))</f>
        <v/>
      </c>
      <c r="AQ596" t="str">
        <f ca="1">IF(AND(ISNUMBER($AQ$1254),$B$677=1),$AQ$1254,HLOOKUP(INDIRECT(ADDRESS(2,COLUMN())),OFFSET($BN$2,0,0,ROW()-1,60),ROW()-1,FALSE))</f>
        <v/>
      </c>
      <c r="AR596" t="str">
        <f ca="1">IF(AND(ISNUMBER($AR$1254),$B$677=1),$AR$1254,HLOOKUP(INDIRECT(ADDRESS(2,COLUMN())),OFFSET($BN$2,0,0,ROW()-1,60),ROW()-1,FALSE))</f>
        <v/>
      </c>
      <c r="AS596" t="str">
        <f ca="1">IF(AND(ISNUMBER($AS$1254),$B$677=1),$AS$1254,HLOOKUP(INDIRECT(ADDRESS(2,COLUMN())),OFFSET($BN$2,0,0,ROW()-1,60),ROW()-1,FALSE))</f>
        <v/>
      </c>
      <c r="AT596" t="str">
        <f ca="1">IF(AND(ISNUMBER($AT$1254),$B$677=1),$AT$1254,HLOOKUP(INDIRECT(ADDRESS(2,COLUMN())),OFFSET($BN$2,0,0,ROW()-1,60),ROW()-1,FALSE))</f>
        <v/>
      </c>
      <c r="AU596" t="str">
        <f ca="1">IF(AND(ISNUMBER($AU$1254),$B$677=1),$AU$1254,HLOOKUP(INDIRECT(ADDRESS(2,COLUMN())),OFFSET($BN$2,0,0,ROW()-1,60),ROW()-1,FALSE))</f>
        <v/>
      </c>
      <c r="AV596" t="str">
        <f ca="1">IF(AND(ISNUMBER($AV$1254),$B$677=1),$AV$1254,HLOOKUP(INDIRECT(ADDRESS(2,COLUMN())),OFFSET($BN$2,0,0,ROW()-1,60),ROW()-1,FALSE))</f>
        <v/>
      </c>
      <c r="AW596" t="str">
        <f ca="1">IF(AND(ISNUMBER($AW$1254),$B$677=1),$AW$1254,HLOOKUP(INDIRECT(ADDRESS(2,COLUMN())),OFFSET($BN$2,0,0,ROW()-1,60),ROW()-1,FALSE))</f>
        <v/>
      </c>
      <c r="AX596" t="str">
        <f ca="1">IF(AND(ISNUMBER($AX$1254),$B$677=1),$AX$1254,HLOOKUP(INDIRECT(ADDRESS(2,COLUMN())),OFFSET($BN$2,0,0,ROW()-1,60),ROW()-1,FALSE))</f>
        <v/>
      </c>
      <c r="AY596" t="str">
        <f ca="1">IF(AND(ISNUMBER($AY$1254),$B$677=1),$AY$1254,HLOOKUP(INDIRECT(ADDRESS(2,COLUMN())),OFFSET($BN$2,0,0,ROW()-1,60),ROW()-1,FALSE))</f>
        <v/>
      </c>
      <c r="AZ596" t="str">
        <f ca="1">IF(AND(ISNUMBER($AZ$1254),$B$677=1),$AZ$1254,HLOOKUP(INDIRECT(ADDRESS(2,COLUMN())),OFFSET($BN$2,0,0,ROW()-1,60),ROW()-1,FALSE))</f>
        <v/>
      </c>
      <c r="BA596" t="str">
        <f ca="1">IF(AND(ISNUMBER($BA$1254),$B$677=1),$BA$1254,HLOOKUP(INDIRECT(ADDRESS(2,COLUMN())),OFFSET($BN$2,0,0,ROW()-1,60),ROW()-1,FALSE))</f>
        <v/>
      </c>
      <c r="BB596" t="str">
        <f ca="1">IF(AND(ISNUMBER($BB$1254),$B$677=1),$BB$1254,HLOOKUP(INDIRECT(ADDRESS(2,COLUMN())),OFFSET($BN$2,0,0,ROW()-1,60),ROW()-1,FALSE))</f>
        <v/>
      </c>
      <c r="BC596" t="str">
        <f ca="1">IF(AND(ISNUMBER($BC$1254),$B$677=1),$BC$1254,HLOOKUP(INDIRECT(ADDRESS(2,COLUMN())),OFFSET($BN$2,0,0,ROW()-1,60),ROW()-1,FALSE))</f>
        <v/>
      </c>
      <c r="BD596" t="str">
        <f ca="1">IF(AND(ISNUMBER($BD$1254),$B$677=1),$BD$1254,HLOOKUP(INDIRECT(ADDRESS(2,COLUMN())),OFFSET($BN$2,0,0,ROW()-1,60),ROW()-1,FALSE))</f>
        <v/>
      </c>
      <c r="BE596" t="str">
        <f ca="1">IF(AND(ISNUMBER($BE$1254),$B$677=1),$BE$1254,HLOOKUP(INDIRECT(ADDRESS(2,COLUMN())),OFFSET($BN$2,0,0,ROW()-1,60),ROW()-1,FALSE))</f>
        <v/>
      </c>
      <c r="BF596" t="str">
        <f ca="1">IF(AND(ISNUMBER($BF$1254),$B$677=1),$BF$1254,HLOOKUP(INDIRECT(ADDRESS(2,COLUMN())),OFFSET($BN$2,0,0,ROW()-1,60),ROW()-1,FALSE))</f>
        <v/>
      </c>
      <c r="BG596" t="str">
        <f ca="1">IF(AND(ISNUMBER($BG$1254),$B$677=1),$BG$1254,HLOOKUP(INDIRECT(ADDRESS(2,COLUMN())),OFFSET($BN$2,0,0,ROW()-1,60),ROW()-1,FALSE))</f>
        <v/>
      </c>
      <c r="BH596" t="str">
        <f ca="1">IF(AND(ISNUMBER($BH$1254),$B$677=1),$BH$1254,HLOOKUP(INDIRECT(ADDRESS(2,COLUMN())),OFFSET($BN$2,0,0,ROW()-1,60),ROW()-1,FALSE))</f>
        <v/>
      </c>
      <c r="BI596" t="str">
        <f ca="1">IF(AND(ISNUMBER($BI$1254),$B$677=1),$BI$1254,HLOOKUP(INDIRECT(ADDRESS(2,COLUMN())),OFFSET($BN$2,0,0,ROW()-1,60),ROW()-1,FALSE))</f>
        <v/>
      </c>
      <c r="BJ596" t="str">
        <f ca="1">IF(AND(ISNUMBER($BJ$1254),$B$677=1),$BJ$1254,HLOOKUP(INDIRECT(ADDRESS(2,COLUMN())),OFFSET($BN$2,0,0,ROW()-1,60),ROW()-1,FALSE))</f>
        <v/>
      </c>
      <c r="BK596" t="str">
        <f ca="1">IF(AND(ISNUMBER($BK$1254),$B$677=1),$BK$1254,HLOOKUP(INDIRECT(ADDRESS(2,COLUMN())),OFFSET($BN$2,0,0,ROW()-1,60),ROW()-1,FALSE))</f>
        <v/>
      </c>
      <c r="BL596" t="str">
        <f ca="1">IF(AND(ISNUMBER($BL$1254),$B$677=1),$BL$1254,HLOOKUP(INDIRECT(ADDRESS(2,COLUMN())),OFFSET($BN$2,0,0,ROW()-1,60),ROW()-1,FALSE))</f>
        <v/>
      </c>
      <c r="BM596" t="str">
        <f ca="1">IF(AND(ISNUMBER($BM$1254),$B$677=1),$BM$1254,HLOOKUP(INDIRECT(ADDRESS(2,COLUMN())),OFFSET($BN$2,0,0,ROW()-1,60),ROW()-1,FALSE))</f>
        <v/>
      </c>
      <c r="BN596" t="str">
        <f>""</f>
        <v/>
      </c>
      <c r="BO596" t="str">
        <f>""</f>
        <v/>
      </c>
      <c r="BP596" t="str">
        <f>""</f>
        <v/>
      </c>
      <c r="BQ596" t="str">
        <f>""</f>
        <v/>
      </c>
      <c r="BR596" t="str">
        <f>""</f>
        <v/>
      </c>
      <c r="BS596" t="str">
        <f>""</f>
        <v/>
      </c>
      <c r="BT596" t="str">
        <f>""</f>
        <v/>
      </c>
      <c r="BU596" t="str">
        <f>""</f>
        <v/>
      </c>
      <c r="BV596" t="str">
        <f>""</f>
        <v/>
      </c>
      <c r="BW596" t="str">
        <f>""</f>
        <v/>
      </c>
      <c r="BX596" t="str">
        <f>""</f>
        <v/>
      </c>
      <c r="BY596" t="str">
        <f>""</f>
        <v/>
      </c>
      <c r="BZ596" t="str">
        <f>""</f>
        <v/>
      </c>
      <c r="CA596" t="str">
        <f>""</f>
        <v/>
      </c>
      <c r="CB596" t="str">
        <f>""</f>
        <v/>
      </c>
      <c r="CC596" t="str">
        <f>""</f>
        <v/>
      </c>
      <c r="CD596" t="str">
        <f>""</f>
        <v/>
      </c>
      <c r="CE596" t="str">
        <f>""</f>
        <v/>
      </c>
      <c r="CF596" t="str">
        <f>""</f>
        <v/>
      </c>
      <c r="CG596" t="str">
        <f>""</f>
        <v/>
      </c>
      <c r="CH596" t="str">
        <f>""</f>
        <v/>
      </c>
      <c r="CI596" t="str">
        <f>""</f>
        <v/>
      </c>
      <c r="CJ596" t="str">
        <f>""</f>
        <v/>
      </c>
      <c r="CK596" t="str">
        <f>""</f>
        <v/>
      </c>
      <c r="CL596" t="str">
        <f>""</f>
        <v/>
      </c>
      <c r="CM596" t="str">
        <f>""</f>
        <v/>
      </c>
      <c r="CN596" t="str">
        <f>""</f>
        <v/>
      </c>
      <c r="CO596" t="str">
        <f>""</f>
        <v/>
      </c>
      <c r="CP596" t="str">
        <f>""</f>
        <v/>
      </c>
      <c r="CQ596" t="str">
        <f>""</f>
        <v/>
      </c>
      <c r="CR596" t="str">
        <f>""</f>
        <v/>
      </c>
      <c r="CS596" t="str">
        <f>""</f>
        <v/>
      </c>
      <c r="CT596" t="str">
        <f>""</f>
        <v/>
      </c>
      <c r="CU596" t="str">
        <f>""</f>
        <v/>
      </c>
      <c r="CV596" t="str">
        <f>""</f>
        <v/>
      </c>
      <c r="CW596" t="str">
        <f>""</f>
        <v/>
      </c>
      <c r="CX596" t="str">
        <f>""</f>
        <v/>
      </c>
      <c r="CY596" t="str">
        <f>""</f>
        <v/>
      </c>
      <c r="CZ596" t="str">
        <f>""</f>
        <v/>
      </c>
      <c r="DA596" t="str">
        <f>""</f>
        <v/>
      </c>
      <c r="DB596" t="str">
        <f>""</f>
        <v/>
      </c>
      <c r="DC596" t="str">
        <f>""</f>
        <v/>
      </c>
      <c r="DD596" t="str">
        <f>""</f>
        <v/>
      </c>
      <c r="DE596" t="str">
        <f>""</f>
        <v/>
      </c>
      <c r="DF596" t="str">
        <f>""</f>
        <v/>
      </c>
      <c r="DG596" t="str">
        <f>""</f>
        <v/>
      </c>
      <c r="DH596" t="str">
        <f>""</f>
        <v/>
      </c>
      <c r="DI596" t="str">
        <f>""</f>
        <v/>
      </c>
      <c r="DJ596" t="str">
        <f>""</f>
        <v/>
      </c>
      <c r="DK596" t="str">
        <f>""</f>
        <v/>
      </c>
      <c r="DL596" t="str">
        <f>""</f>
        <v/>
      </c>
      <c r="DM596" t="str">
        <f>""</f>
        <v/>
      </c>
      <c r="DN596" t="str">
        <f>""</f>
        <v/>
      </c>
      <c r="DO596" t="str">
        <f>""</f>
        <v/>
      </c>
      <c r="DP596" t="str">
        <f>""</f>
        <v/>
      </c>
      <c r="DQ596" t="str">
        <f>""</f>
        <v/>
      </c>
      <c r="DR596" t="str">
        <f>""</f>
        <v/>
      </c>
      <c r="DS596" t="str">
        <f>""</f>
        <v/>
      </c>
      <c r="DT596" t="str">
        <f>""</f>
        <v/>
      </c>
      <c r="DU596" t="str">
        <f>""</f>
        <v/>
      </c>
    </row>
    <row r="597" spans="1:125" x14ac:dyDescent="0.25">
      <c r="A597" t="str">
        <f>"    General Motors Co"</f>
        <v xml:space="preserve">    General Motors Co</v>
      </c>
      <c r="B597" t="str">
        <f>"GM US Equity"</f>
        <v>GM US Equity</v>
      </c>
      <c r="C597" t="str">
        <f t="shared" si="42"/>
        <v>RX072</v>
      </c>
      <c r="D597" t="str">
        <f t="shared" si="43"/>
        <v>FREE_CASH_FLOW_YIELD</v>
      </c>
      <c r="E597" t="str">
        <f t="shared" si="44"/>
        <v>Dynamic</v>
      </c>
      <c r="F597">
        <f ca="1">IF(AND(ISNUMBER($F$1255),$B$677=1),$F$1255,HLOOKUP(INDIRECT(ADDRESS(2,COLUMN())),OFFSET($BN$2,0,0,ROW()-1,60),ROW()-1,FALSE))</f>
        <v>11.70054882</v>
      </c>
      <c r="G597">
        <f ca="1">IF(AND(ISNUMBER($G$1255),$B$677=1),$G$1255,HLOOKUP(INDIRECT(ADDRESS(2,COLUMN())),OFFSET($BN$2,0,0,ROW()-1,60),ROW()-1,FALSE))</f>
        <v>13.738088879999999</v>
      </c>
      <c r="H597">
        <f ca="1">IF(AND(ISNUMBER($H$1255),$B$677=1),$H$1255,HLOOKUP(INDIRECT(ADDRESS(2,COLUMN())),OFFSET($BN$2,0,0,ROW()-1,60),ROW()-1,FALSE))</f>
        <v>15.67981458</v>
      </c>
      <c r="I597">
        <f ca="1">IF(AND(ISNUMBER($I$1255),$B$677=1),$I$1255,HLOOKUP(INDIRECT(ADDRESS(2,COLUMN())),OFFSET($BN$2,0,0,ROW()-1,60),ROW()-1,FALSE))</f>
        <v>12.025635660000001</v>
      </c>
      <c r="J597">
        <f ca="1">IF(AND(ISNUMBER($J$1255),$B$677=1),$J$1255,HLOOKUP(INDIRECT(ADDRESS(2,COLUMN())),OFFSET($BN$2,0,0,ROW()-1,60),ROW()-1,FALSE))</f>
        <v>12.76121448</v>
      </c>
      <c r="K597">
        <f ca="1">IF(AND(ISNUMBER($K$1255),$B$677=1),$K$1255,HLOOKUP(INDIRECT(ADDRESS(2,COLUMN())),OFFSET($BN$2,0,0,ROW()-1,60),ROW()-1,FALSE))</f>
        <v>14.978102959999999</v>
      </c>
      <c r="L597">
        <f ca="1">IF(AND(ISNUMBER($L$1255),$B$677=1),$L$1255,HLOOKUP(INDIRECT(ADDRESS(2,COLUMN())),OFFSET($BN$2,0,0,ROW()-1,60),ROW()-1,FALSE))</f>
        <v>9.636713919</v>
      </c>
      <c r="M597">
        <f ca="1">IF(AND(ISNUMBER($M$1255),$B$677=1),$M$1255,HLOOKUP(INDIRECT(ADDRESS(2,COLUMN())),OFFSET($BN$2,0,0,ROW()-1,60),ROW()-1,FALSE))</f>
        <v>17.93382252</v>
      </c>
      <c r="N597">
        <f ca="1">IF(AND(ISNUMBER($N$1255),$B$677=1),$N$1255,HLOOKUP(INDIRECT(ADDRESS(2,COLUMN())),OFFSET($BN$2,0,0,ROW()-1,60),ROW()-1,FALSE))</f>
        <v>20.035331169999999</v>
      </c>
      <c r="O597">
        <f ca="1">IF(AND(ISNUMBER($O$1255),$B$677=1),$O$1255,HLOOKUP(INDIRECT(ADDRESS(2,COLUMN())),OFFSET($BN$2,0,0,ROW()-1,60),ROW()-1,FALSE))</f>
        <v>15.298459019999999</v>
      </c>
      <c r="P597">
        <f ca="1">IF(AND(ISNUMBER($P$1255),$B$677=1),$P$1255,HLOOKUP(INDIRECT(ADDRESS(2,COLUMN())),OFFSET($BN$2,0,0,ROW()-1,60),ROW()-1,FALSE))</f>
        <v>12.508014409999999</v>
      </c>
      <c r="Q597">
        <f ca="1">IF(AND(ISNUMBER($Q$1255),$B$677=1),$Q$1255,HLOOKUP(INDIRECT(ADDRESS(2,COLUMN())),OFFSET($BN$2,0,0,ROW()-1,60),ROW()-1,FALSE))</f>
        <v>7.2111356960000004</v>
      </c>
      <c r="R597">
        <f ca="1">IF(AND(ISNUMBER($R$1255),$B$677=1),$R$1255,HLOOKUP(INDIRECT(ADDRESS(2,COLUMN())),OFFSET($BN$2,0,0,ROW()-1,60),ROW()-1,FALSE))</f>
        <v>5.311737924</v>
      </c>
      <c r="S597">
        <f ca="1">IF(AND(ISNUMBER($S$1255),$B$677=1),$S$1255,HLOOKUP(INDIRECT(ADDRESS(2,COLUMN())),OFFSET($BN$2,0,0,ROW()-1,60),ROW()-1,FALSE))</f>
        <v>7.0797438369999997</v>
      </c>
      <c r="T597">
        <f ca="1">IF(AND(ISNUMBER($T$1255),$B$677=1),$T$1255,HLOOKUP(INDIRECT(ADDRESS(2,COLUMN())),OFFSET($BN$2,0,0,ROW()-1,60),ROW()-1,FALSE))</f>
        <v>11.129732690000001</v>
      </c>
      <c r="U597">
        <f ca="1">IF(AND(ISNUMBER($U$1255),$B$677=1),$U$1255,HLOOKUP(INDIRECT(ADDRESS(2,COLUMN())),OFFSET($BN$2,0,0,ROW()-1,60),ROW()-1,FALSE))</f>
        <v>6.1499359680000003</v>
      </c>
      <c r="V597">
        <f ca="1">IF(AND(ISNUMBER($V$1255),$B$677=1),$V$1255,HLOOKUP(INDIRECT(ADDRESS(2,COLUMN())),OFFSET($BN$2,0,0,ROW()-1,60),ROW()-1,FALSE))</f>
        <v>2.403157067</v>
      </c>
      <c r="W597">
        <f ca="1">IF(AND(ISNUMBER($W$1255),$B$677=1),$W$1255,HLOOKUP(INDIRECT(ADDRESS(2,COLUMN())),OFFSET($BN$2,0,0,ROW()-1,60),ROW()-1,FALSE))</f>
        <v>5.2920185890000004</v>
      </c>
      <c r="X597">
        <f ca="1">IF(AND(ISNUMBER($X$1255),$B$677=1),$X$1255,HLOOKUP(INDIRECT(ADDRESS(2,COLUMN())),OFFSET($BN$2,0,0,ROW()-1,60),ROW()-1,FALSE))</f>
        <v>6.2944405970000004</v>
      </c>
      <c r="Y597">
        <f ca="1">IF(AND(ISNUMBER($Y$1255),$B$677=1),$Y$1255,HLOOKUP(INDIRECT(ADDRESS(2,COLUMN())),OFFSET($BN$2,0,0,ROW()-1,60),ROW()-1,FALSE))</f>
        <v>10.32505594</v>
      </c>
      <c r="Z597">
        <f ca="1">IF(AND(ISNUMBER($Z$1255),$B$677=1),$Z$1255,HLOOKUP(INDIRECT(ADDRESS(2,COLUMN())),OFFSET($BN$2,0,0,ROW()-1,60),ROW()-1,FALSE))</f>
        <v>13.31335479</v>
      </c>
      <c r="AA597">
        <f ca="1">IF(AND(ISNUMBER($AA$1255),$B$677=1),$AA$1255,HLOOKUP(INDIRECT(ADDRESS(2,COLUMN())),OFFSET($BN$2,0,0,ROW()-1,60),ROW()-1,FALSE))</f>
        <v>8.8785547999999999</v>
      </c>
      <c r="AB597">
        <f ca="1">IF(AND(ISNUMBER($AB$1255),$B$677=1),$AB$1255,HLOOKUP(INDIRECT(ADDRESS(2,COLUMN())),OFFSET($BN$2,0,0,ROW()-1,60),ROW()-1,FALSE))</f>
        <v>5.3316561560000002</v>
      </c>
      <c r="AC597">
        <f ca="1">IF(AND(ISNUMBER($AC$1255),$B$677=1),$AC$1255,HLOOKUP(INDIRECT(ADDRESS(2,COLUMN())),OFFSET($BN$2,0,0,ROW()-1,60),ROW()-1,FALSE))</f>
        <v>4.3635226830000002</v>
      </c>
      <c r="AD597">
        <f ca="1">IF(AND(ISNUMBER($AD$1255),$B$677=1),$AD$1255,HLOOKUP(INDIRECT(ADDRESS(2,COLUMN())),OFFSET($BN$2,0,0,ROW()-1,60),ROW()-1,FALSE))</f>
        <v>1.6878512779999999</v>
      </c>
      <c r="AE597">
        <f ca="1">IF(AND(ISNUMBER($AE$1255),$B$677=1),$AE$1255,HLOOKUP(INDIRECT(ADDRESS(2,COLUMN())),OFFSET($BN$2,0,0,ROW()-1,60),ROW()-1,FALSE))</f>
        <v>5.577046266</v>
      </c>
      <c r="AF597">
        <f ca="1">IF(AND(ISNUMBER($AF$1255),$B$677=1),$AF$1255,HLOOKUP(INDIRECT(ADDRESS(2,COLUMN())),OFFSET($BN$2,0,0,ROW()-1,60),ROW()-1,FALSE))</f>
        <v>8.6385950769999997</v>
      </c>
      <c r="AG597">
        <f ca="1">IF(AND(ISNUMBER($AG$1255),$B$677=1),$AG$1255,HLOOKUP(INDIRECT(ADDRESS(2,COLUMN())),OFFSET($BN$2,0,0,ROW()-1,60),ROW()-1,FALSE))</f>
        <v>6.8146605029999998</v>
      </c>
      <c r="AH597">
        <f ca="1">IF(AND(ISNUMBER($AH$1255),$B$677=1),$AH$1255,HLOOKUP(INDIRECT(ADDRESS(2,COLUMN())),OFFSET($BN$2,0,0,ROW()-1,60),ROW()-1,FALSE))</f>
        <v>10.646925449999999</v>
      </c>
      <c r="AI597">
        <f ca="1">IF(AND(ISNUMBER($AI$1255),$B$677=1),$AI$1255,HLOOKUP(INDIRECT(ADDRESS(2,COLUMN())),OFFSET($BN$2,0,0,ROW()-1,60),ROW()-1,FALSE))</f>
        <v>6.3149250270000001</v>
      </c>
      <c r="AJ597">
        <f ca="1">IF(AND(ISNUMBER($AJ$1255),$B$677=1),$AJ$1255,HLOOKUP(INDIRECT(ADDRESS(2,COLUMN())),OFFSET($BN$2,0,0,ROW()-1,60),ROW()-1,FALSE))</f>
        <v>-3.8287629999999998E-3</v>
      </c>
      <c r="AK597">
        <f ca="1">IF(AND(ISNUMBER($AK$1255),$B$677=1),$AK$1255,HLOOKUP(INDIRECT(ADDRESS(2,COLUMN())),OFFSET($BN$2,0,0,ROW()-1,60),ROW()-1,FALSE))</f>
        <v>2.0204208960000001</v>
      </c>
      <c r="AL597">
        <f ca="1">IF(AND(ISNUMBER($AL$1255),$B$677=1),$AL$1255,HLOOKUP(INDIRECT(ADDRESS(2,COLUMN())),OFFSET($BN$2,0,0,ROW()-1,60),ROW()-1,FALSE))</f>
        <v>-0.25992777</v>
      </c>
      <c r="AM597">
        <f ca="1">IF(AND(ISNUMBER($AM$1255),$B$677=1),$AM$1255,HLOOKUP(INDIRECT(ADDRESS(2,COLUMN())),OFFSET($BN$2,0,0,ROW()-1,60),ROW()-1,FALSE))</f>
        <v>4.6726315840000003</v>
      </c>
      <c r="AN597" t="str">
        <f ca="1">IF(AND(ISNUMBER($AN$1255),$B$677=1),$AN$1255,HLOOKUP(INDIRECT(ADDRESS(2,COLUMN())),OFFSET($BN$2,0,0,ROW()-1,60),ROW()-1,FALSE))</f>
        <v/>
      </c>
      <c r="AO597" t="str">
        <f ca="1">IF(AND(ISNUMBER($AO$1255),$B$677=1),$AO$1255,HLOOKUP(INDIRECT(ADDRESS(2,COLUMN())),OFFSET($BN$2,0,0,ROW()-1,60),ROW()-1,FALSE))</f>
        <v/>
      </c>
      <c r="AP597" t="str">
        <f ca="1">IF(AND(ISNUMBER($AP$1255),$B$677=1),$AP$1255,HLOOKUP(INDIRECT(ADDRESS(2,COLUMN())),OFFSET($BN$2,0,0,ROW()-1,60),ROW()-1,FALSE))</f>
        <v/>
      </c>
      <c r="AQ597" t="str">
        <f ca="1">IF(AND(ISNUMBER($AQ$1255),$B$677=1),$AQ$1255,HLOOKUP(INDIRECT(ADDRESS(2,COLUMN())),OFFSET($BN$2,0,0,ROW()-1,60),ROW()-1,FALSE))</f>
        <v/>
      </c>
      <c r="AR597" t="str">
        <f ca="1">IF(AND(ISNUMBER($AR$1255),$B$677=1),$AR$1255,HLOOKUP(INDIRECT(ADDRESS(2,COLUMN())),OFFSET($BN$2,0,0,ROW()-1,60),ROW()-1,FALSE))</f>
        <v/>
      </c>
      <c r="AS597" t="str">
        <f ca="1">IF(AND(ISNUMBER($AS$1255),$B$677=1),$AS$1255,HLOOKUP(INDIRECT(ADDRESS(2,COLUMN())),OFFSET($BN$2,0,0,ROW()-1,60),ROW()-1,FALSE))</f>
        <v/>
      </c>
      <c r="AT597" t="str">
        <f ca="1">IF(AND(ISNUMBER($AT$1255),$B$677=1),$AT$1255,HLOOKUP(INDIRECT(ADDRESS(2,COLUMN())),OFFSET($BN$2,0,0,ROW()-1,60),ROW()-1,FALSE))</f>
        <v/>
      </c>
      <c r="AU597" t="str">
        <f ca="1">IF(AND(ISNUMBER($AU$1255),$B$677=1),$AU$1255,HLOOKUP(INDIRECT(ADDRESS(2,COLUMN())),OFFSET($BN$2,0,0,ROW()-1,60),ROW()-1,FALSE))</f>
        <v/>
      </c>
      <c r="AV597" t="str">
        <f ca="1">IF(AND(ISNUMBER($AV$1255),$B$677=1),$AV$1255,HLOOKUP(INDIRECT(ADDRESS(2,COLUMN())),OFFSET($BN$2,0,0,ROW()-1,60),ROW()-1,FALSE))</f>
        <v/>
      </c>
      <c r="AW597" t="str">
        <f ca="1">IF(AND(ISNUMBER($AW$1255),$B$677=1),$AW$1255,HLOOKUP(INDIRECT(ADDRESS(2,COLUMN())),OFFSET($BN$2,0,0,ROW()-1,60),ROW()-1,FALSE))</f>
        <v/>
      </c>
      <c r="AX597" t="str">
        <f ca="1">IF(AND(ISNUMBER($AX$1255),$B$677=1),$AX$1255,HLOOKUP(INDIRECT(ADDRESS(2,COLUMN())),OFFSET($BN$2,0,0,ROW()-1,60),ROW()-1,FALSE))</f>
        <v/>
      </c>
      <c r="AY597" t="str">
        <f ca="1">IF(AND(ISNUMBER($AY$1255),$B$677=1),$AY$1255,HLOOKUP(INDIRECT(ADDRESS(2,COLUMN())),OFFSET($BN$2,0,0,ROW()-1,60),ROW()-1,FALSE))</f>
        <v/>
      </c>
      <c r="AZ597" t="str">
        <f ca="1">IF(AND(ISNUMBER($AZ$1255),$B$677=1),$AZ$1255,HLOOKUP(INDIRECT(ADDRESS(2,COLUMN())),OFFSET($BN$2,0,0,ROW()-1,60),ROW()-1,FALSE))</f>
        <v/>
      </c>
      <c r="BA597" t="str">
        <f ca="1">IF(AND(ISNUMBER($BA$1255),$B$677=1),$BA$1255,HLOOKUP(INDIRECT(ADDRESS(2,COLUMN())),OFFSET($BN$2,0,0,ROW()-1,60),ROW()-1,FALSE))</f>
        <v/>
      </c>
      <c r="BB597" t="str">
        <f ca="1">IF(AND(ISNUMBER($BB$1255),$B$677=1),$BB$1255,HLOOKUP(INDIRECT(ADDRESS(2,COLUMN())),OFFSET($BN$2,0,0,ROW()-1,60),ROW()-1,FALSE))</f>
        <v/>
      </c>
      <c r="BC597" t="str">
        <f ca="1">IF(AND(ISNUMBER($BC$1255),$B$677=1),$BC$1255,HLOOKUP(INDIRECT(ADDRESS(2,COLUMN())),OFFSET($BN$2,0,0,ROW()-1,60),ROW()-1,FALSE))</f>
        <v/>
      </c>
      <c r="BD597" t="str">
        <f ca="1">IF(AND(ISNUMBER($BD$1255),$B$677=1),$BD$1255,HLOOKUP(INDIRECT(ADDRESS(2,COLUMN())),OFFSET($BN$2,0,0,ROW()-1,60),ROW()-1,FALSE))</f>
        <v/>
      </c>
      <c r="BE597" t="str">
        <f ca="1">IF(AND(ISNUMBER($BE$1255),$B$677=1),$BE$1255,HLOOKUP(INDIRECT(ADDRESS(2,COLUMN())),OFFSET($BN$2,0,0,ROW()-1,60),ROW()-1,FALSE))</f>
        <v/>
      </c>
      <c r="BF597" t="str">
        <f ca="1">IF(AND(ISNUMBER($BF$1255),$B$677=1),$BF$1255,HLOOKUP(INDIRECT(ADDRESS(2,COLUMN())),OFFSET($BN$2,0,0,ROW()-1,60),ROW()-1,FALSE))</f>
        <v/>
      </c>
      <c r="BG597" t="str">
        <f ca="1">IF(AND(ISNUMBER($BG$1255),$B$677=1),$BG$1255,HLOOKUP(INDIRECT(ADDRESS(2,COLUMN())),OFFSET($BN$2,0,0,ROW()-1,60),ROW()-1,FALSE))</f>
        <v/>
      </c>
      <c r="BH597" t="str">
        <f ca="1">IF(AND(ISNUMBER($BH$1255),$B$677=1),$BH$1255,HLOOKUP(INDIRECT(ADDRESS(2,COLUMN())),OFFSET($BN$2,0,0,ROW()-1,60),ROW()-1,FALSE))</f>
        <v/>
      </c>
      <c r="BI597" t="str">
        <f ca="1">IF(AND(ISNUMBER($BI$1255),$B$677=1),$BI$1255,HLOOKUP(INDIRECT(ADDRESS(2,COLUMN())),OFFSET($BN$2,0,0,ROW()-1,60),ROW()-1,FALSE))</f>
        <v/>
      </c>
      <c r="BJ597" t="str">
        <f ca="1">IF(AND(ISNUMBER($BJ$1255),$B$677=1),$BJ$1255,HLOOKUP(INDIRECT(ADDRESS(2,COLUMN())),OFFSET($BN$2,0,0,ROW()-1,60),ROW()-1,FALSE))</f>
        <v/>
      </c>
      <c r="BK597" t="str">
        <f ca="1">IF(AND(ISNUMBER($BK$1255),$B$677=1),$BK$1255,HLOOKUP(INDIRECT(ADDRESS(2,COLUMN())),OFFSET($BN$2,0,0,ROW()-1,60),ROW()-1,FALSE))</f>
        <v/>
      </c>
      <c r="BL597" t="str">
        <f ca="1">IF(AND(ISNUMBER($BL$1255),$B$677=1),$BL$1255,HLOOKUP(INDIRECT(ADDRESS(2,COLUMN())),OFFSET($BN$2,0,0,ROW()-1,60),ROW()-1,FALSE))</f>
        <v/>
      </c>
      <c r="BM597" t="str">
        <f ca="1">IF(AND(ISNUMBER($BM$1255),$B$677=1),$BM$1255,HLOOKUP(INDIRECT(ADDRESS(2,COLUMN())),OFFSET($BN$2,0,0,ROW()-1,60),ROW()-1,FALSE))</f>
        <v/>
      </c>
      <c r="BN597">
        <f>11.70054882</f>
        <v>11.70054882</v>
      </c>
      <c r="BO597">
        <f>13.73808888</f>
        <v>13.738088879999999</v>
      </c>
      <c r="BP597">
        <f>15.67981458</f>
        <v>15.67981458</v>
      </c>
      <c r="BQ597">
        <f>12.02563566</f>
        <v>12.025635660000001</v>
      </c>
      <c r="BR597">
        <f>12.76121448</f>
        <v>12.76121448</v>
      </c>
      <c r="BS597">
        <f>14.97810296</f>
        <v>14.978102959999999</v>
      </c>
      <c r="BT597">
        <f>9.636713919</f>
        <v>9.636713919</v>
      </c>
      <c r="BU597">
        <f>17.93382252</f>
        <v>17.93382252</v>
      </c>
      <c r="BV597">
        <f>20.03533117</f>
        <v>20.035331169999999</v>
      </c>
      <c r="BW597">
        <f>15.29845902</f>
        <v>15.298459019999999</v>
      </c>
      <c r="BX597">
        <f>12.50801441</f>
        <v>12.508014409999999</v>
      </c>
      <c r="BY597">
        <f>7.211135696</f>
        <v>7.2111356960000004</v>
      </c>
      <c r="BZ597">
        <f>5.311737924</f>
        <v>5.311737924</v>
      </c>
      <c r="CA597">
        <f>7.079743837</f>
        <v>7.0797438369999997</v>
      </c>
      <c r="CB597">
        <f>11.12973269</f>
        <v>11.129732690000001</v>
      </c>
      <c r="CC597">
        <f>6.149935968</f>
        <v>6.1499359680000003</v>
      </c>
      <c r="CD597">
        <f>2.403157067</f>
        <v>2.403157067</v>
      </c>
      <c r="CE597">
        <f>5.292018589</f>
        <v>5.2920185890000004</v>
      </c>
      <c r="CF597">
        <f>6.294440597</f>
        <v>6.2944405970000004</v>
      </c>
      <c r="CG597">
        <f>10.32505594</f>
        <v>10.32505594</v>
      </c>
      <c r="CH597">
        <f>13.31335479</f>
        <v>13.31335479</v>
      </c>
      <c r="CI597">
        <f>8.8785548</f>
        <v>8.8785547999999999</v>
      </c>
      <c r="CJ597">
        <f>5.331656156</f>
        <v>5.3316561560000002</v>
      </c>
      <c r="CK597">
        <f>4.363522683</f>
        <v>4.3635226830000002</v>
      </c>
      <c r="CL597">
        <f>1.687851278</f>
        <v>1.6878512779999999</v>
      </c>
      <c r="CM597">
        <f>5.577046266</f>
        <v>5.577046266</v>
      </c>
      <c r="CN597">
        <f>8.638595077</f>
        <v>8.6385950769999997</v>
      </c>
      <c r="CO597">
        <f>6.814660503</f>
        <v>6.8146605029999998</v>
      </c>
      <c r="CP597">
        <f>10.64692545</f>
        <v>10.646925449999999</v>
      </c>
      <c r="CQ597">
        <f>6.314925027</f>
        <v>6.3149250270000001</v>
      </c>
      <c r="CR597">
        <f>-0.003828763</f>
        <v>-3.8287629999999998E-3</v>
      </c>
      <c r="CS597">
        <f>2.020420896</f>
        <v>2.0204208960000001</v>
      </c>
      <c r="CT597">
        <f>-0.25992777</f>
        <v>-0.25992777</v>
      </c>
      <c r="CU597">
        <f>4.672631584</f>
        <v>4.6726315840000003</v>
      </c>
      <c r="CV597" t="str">
        <f>""</f>
        <v/>
      </c>
      <c r="CW597" t="str">
        <f>""</f>
        <v/>
      </c>
      <c r="CX597" t="str">
        <f>""</f>
        <v/>
      </c>
      <c r="CY597" t="str">
        <f>""</f>
        <v/>
      </c>
      <c r="CZ597" t="str">
        <f>""</f>
        <v/>
      </c>
      <c r="DA597" t="str">
        <f>""</f>
        <v/>
      </c>
      <c r="DB597" t="str">
        <f>""</f>
        <v/>
      </c>
      <c r="DC597" t="str">
        <f>""</f>
        <v/>
      </c>
      <c r="DD597" t="str">
        <f>""</f>
        <v/>
      </c>
      <c r="DE597" t="str">
        <f>""</f>
        <v/>
      </c>
      <c r="DF597" t="str">
        <f>""</f>
        <v/>
      </c>
      <c r="DG597" t="str">
        <f>""</f>
        <v/>
      </c>
      <c r="DH597" t="str">
        <f>""</f>
        <v/>
      </c>
      <c r="DI597" t="str">
        <f>""</f>
        <v/>
      </c>
      <c r="DJ597" t="str">
        <f>""</f>
        <v/>
      </c>
      <c r="DK597" t="str">
        <f>""</f>
        <v/>
      </c>
      <c r="DL597" t="str">
        <f>""</f>
        <v/>
      </c>
      <c r="DM597" t="str">
        <f>""</f>
        <v/>
      </c>
      <c r="DN597" t="str">
        <f>""</f>
        <v/>
      </c>
      <c r="DO597" t="str">
        <f>""</f>
        <v/>
      </c>
      <c r="DP597" t="str">
        <f>""</f>
        <v/>
      </c>
      <c r="DQ597" t="str">
        <f>""</f>
        <v/>
      </c>
      <c r="DR597" t="str">
        <f>""</f>
        <v/>
      </c>
      <c r="DS597" t="str">
        <f>""</f>
        <v/>
      </c>
      <c r="DT597" t="str">
        <f>""</f>
        <v/>
      </c>
      <c r="DU597" t="str">
        <f>""</f>
        <v/>
      </c>
    </row>
    <row r="598" spans="1:125" x14ac:dyDescent="0.25">
      <c r="A598" t="str">
        <f>"    Great Wall Motor Co Ltd"</f>
        <v xml:space="preserve">    Great Wall Motor Co Ltd</v>
      </c>
      <c r="B598" t="str">
        <f>"2333 HK Equity"</f>
        <v>2333 HK Equity</v>
      </c>
      <c r="C598" t="str">
        <f t="shared" si="42"/>
        <v>RX072</v>
      </c>
      <c r="D598" t="str">
        <f t="shared" si="43"/>
        <v>FREE_CASH_FLOW_YIELD</v>
      </c>
      <c r="E598" t="str">
        <f t="shared" si="44"/>
        <v>Dynamic</v>
      </c>
      <c r="F598">
        <f ca="1">IF(AND(ISNUMBER($F$1256),$B$677=1),$F$1256,HLOOKUP(INDIRECT(ADDRESS(2,COLUMN())),OFFSET($BN$2,0,0,ROW()-1,60),ROW()-1,FALSE))</f>
        <v>0.333276195</v>
      </c>
      <c r="G598">
        <f ca="1">IF(AND(ISNUMBER($G$1256),$B$677=1),$G$1256,HLOOKUP(INDIRECT(ADDRESS(2,COLUMN())),OFFSET($BN$2,0,0,ROW()-1,60),ROW()-1,FALSE))</f>
        <v>0.47285480600000002</v>
      </c>
      <c r="H598">
        <f ca="1">IF(AND(ISNUMBER($H$1256),$B$677=1),$H$1256,HLOOKUP(INDIRECT(ADDRESS(2,COLUMN())),OFFSET($BN$2,0,0,ROW()-1,60),ROW()-1,FALSE))</f>
        <v>0.42569233699999998</v>
      </c>
      <c r="I598">
        <f ca="1">IF(AND(ISNUMBER($I$1256),$B$677=1),$I$1256,HLOOKUP(INDIRECT(ADDRESS(2,COLUMN())),OFFSET($BN$2,0,0,ROW()-1,60),ROW()-1,FALSE))</f>
        <v>-5.5956736720000002</v>
      </c>
      <c r="J598">
        <f ca="1">IF(AND(ISNUMBER($J$1256),$B$677=1),$J$1256,HLOOKUP(INDIRECT(ADDRESS(2,COLUMN())),OFFSET($BN$2,0,0,ROW()-1,60),ROW()-1,FALSE))</f>
        <v>-8.3404089839999997</v>
      </c>
      <c r="K598">
        <f ca="1">IF(AND(ISNUMBER($K$1256),$B$677=1),$K$1256,HLOOKUP(INDIRECT(ADDRESS(2,COLUMN())),OFFSET($BN$2,0,0,ROW()-1,60),ROW()-1,FALSE))</f>
        <v>-12.701926370000001</v>
      </c>
      <c r="L598">
        <f ca="1">IF(AND(ISNUMBER($L$1256),$B$677=1),$L$1256,HLOOKUP(INDIRECT(ADDRESS(2,COLUMN())),OFFSET($BN$2,0,0,ROW()-1,60),ROW()-1,FALSE))</f>
        <v>-1.425465413</v>
      </c>
      <c r="M598">
        <f ca="1">IF(AND(ISNUMBER($M$1256),$B$677=1),$M$1256,HLOOKUP(INDIRECT(ADDRESS(2,COLUMN())),OFFSET($BN$2,0,0,ROW()-1,60),ROW()-1,FALSE))</f>
        <v>5.4049472039999999</v>
      </c>
      <c r="N598">
        <f ca="1">IF(AND(ISNUMBER($N$1256),$B$677=1),$N$1256,HLOOKUP(INDIRECT(ADDRESS(2,COLUMN())),OFFSET($BN$2,0,0,ROW()-1,60),ROW()-1,FALSE))</f>
        <v>-6.7719018889999996</v>
      </c>
      <c r="O598">
        <f ca="1">IF(AND(ISNUMBER($O$1256),$B$677=1),$O$1256,HLOOKUP(INDIRECT(ADDRESS(2,COLUMN())),OFFSET($BN$2,0,0,ROW()-1,60),ROW()-1,FALSE))</f>
        <v>0.75680270800000005</v>
      </c>
      <c r="P598">
        <f ca="1">IF(AND(ISNUMBER($P$1256),$B$677=1),$P$1256,HLOOKUP(INDIRECT(ADDRESS(2,COLUMN())),OFFSET($BN$2,0,0,ROW()-1,60),ROW()-1,FALSE))</f>
        <v>2.3325583640000001</v>
      </c>
      <c r="Q598">
        <f ca="1">IF(AND(ISNUMBER($Q$1256),$B$677=1),$Q$1256,HLOOKUP(INDIRECT(ADDRESS(2,COLUMN())),OFFSET($BN$2,0,0,ROW()-1,60),ROW()-1,FALSE))</f>
        <v>1.6203742510000001</v>
      </c>
      <c r="R598">
        <f ca="1">IF(AND(ISNUMBER($R$1256),$B$677=1),$R$1256,HLOOKUP(INDIRECT(ADDRESS(2,COLUMN())),OFFSET($BN$2,0,0,ROW()-1,60),ROW()-1,FALSE))</f>
        <v>3.5893936009999998</v>
      </c>
      <c r="S598">
        <f ca="1">IF(AND(ISNUMBER($S$1256),$B$677=1),$S$1256,HLOOKUP(INDIRECT(ADDRESS(2,COLUMN())),OFFSET($BN$2,0,0,ROW()-1,60),ROW()-1,FALSE))</f>
        <v>5.1038938060000003</v>
      </c>
      <c r="T598">
        <f ca="1">IF(AND(ISNUMBER($T$1256),$B$677=1),$T$1256,HLOOKUP(INDIRECT(ADDRESS(2,COLUMN())),OFFSET($BN$2,0,0,ROW()-1,60),ROW()-1,FALSE))</f>
        <v>5.3925232239999996</v>
      </c>
      <c r="U598">
        <f ca="1">IF(AND(ISNUMBER($U$1256),$B$677=1),$U$1256,HLOOKUP(INDIRECT(ADDRESS(2,COLUMN())),OFFSET($BN$2,0,0,ROW()-1,60),ROW()-1,FALSE))</f>
        <v>0.934234008</v>
      </c>
      <c r="V598">
        <f ca="1">IF(AND(ISNUMBER($V$1256),$B$677=1),$V$1256,HLOOKUP(INDIRECT(ADDRESS(2,COLUMN())),OFFSET($BN$2,0,0,ROW()-1,60),ROW()-1,FALSE))</f>
        <v>-2.5113373659999998</v>
      </c>
      <c r="W598">
        <f ca="1">IF(AND(ISNUMBER($W$1256),$B$677=1),$W$1256,HLOOKUP(INDIRECT(ADDRESS(2,COLUMN())),OFFSET($BN$2,0,0,ROW()-1,60),ROW()-1,FALSE))</f>
        <v>-3.3761860220000002</v>
      </c>
      <c r="X598">
        <f ca="1">IF(AND(ISNUMBER($X$1256),$B$677=1),$X$1256,HLOOKUP(INDIRECT(ADDRESS(2,COLUMN())),OFFSET($BN$2,0,0,ROW()-1,60),ROW()-1,FALSE))</f>
        <v>-3.6497632609999999</v>
      </c>
      <c r="Y598">
        <f ca="1">IF(AND(ISNUMBER($Y$1256),$B$677=1),$Y$1256,HLOOKUP(INDIRECT(ADDRESS(2,COLUMN())),OFFSET($BN$2,0,0,ROW()-1,60),ROW()-1,FALSE))</f>
        <v>-1.1708114780000001</v>
      </c>
      <c r="Z598">
        <f ca="1">IF(AND(ISNUMBER($Z$1256),$B$677=1),$Z$1256,HLOOKUP(INDIRECT(ADDRESS(2,COLUMN())),OFFSET($BN$2,0,0,ROW()-1,60),ROW()-1,FALSE))</f>
        <v>1.6218008159999999</v>
      </c>
      <c r="AA598">
        <f ca="1">IF(AND(ISNUMBER($AA$1256),$B$677=1),$AA$1256,HLOOKUP(INDIRECT(ADDRESS(2,COLUMN())),OFFSET($BN$2,0,0,ROW()-1,60),ROW()-1,FALSE))</f>
        <v>1.9228405399999999</v>
      </c>
      <c r="AB598">
        <f ca="1">IF(AND(ISNUMBER($AB$1256),$B$677=1),$AB$1256,HLOOKUP(INDIRECT(ADDRESS(2,COLUMN())),OFFSET($BN$2,0,0,ROW()-1,60),ROW()-1,FALSE))</f>
        <v>2.5952931509999999</v>
      </c>
      <c r="AC598">
        <f ca="1">IF(AND(ISNUMBER($AC$1256),$B$677=1),$AC$1256,HLOOKUP(INDIRECT(ADDRESS(2,COLUMN())),OFFSET($BN$2,0,0,ROW()-1,60),ROW()-1,FALSE))</f>
        <v>2.8666078220000002</v>
      </c>
      <c r="AD598">
        <f ca="1">IF(AND(ISNUMBER($AD$1256),$B$677=1),$AD$1256,HLOOKUP(INDIRECT(ADDRESS(2,COLUMN())),OFFSET($BN$2,0,0,ROW()-1,60),ROW()-1,FALSE))</f>
        <v>-0.169606964</v>
      </c>
      <c r="AE598">
        <f ca="1">IF(AND(ISNUMBER($AE$1256),$B$677=1),$AE$1256,HLOOKUP(INDIRECT(ADDRESS(2,COLUMN())),OFFSET($BN$2,0,0,ROW()-1,60),ROW()-1,FALSE))</f>
        <v>-1.6782293290000001</v>
      </c>
      <c r="AF598" t="str">
        <f ca="1">IF(AND(ISNUMBER($AF$1256),$B$677=1),$AF$1256,HLOOKUP(INDIRECT(ADDRESS(2,COLUMN())),OFFSET($BN$2,0,0,ROW()-1,60),ROW()-1,FALSE))</f>
        <v/>
      </c>
      <c r="AG598" t="str">
        <f ca="1">IF(AND(ISNUMBER($AG$1256),$B$677=1),$AG$1256,HLOOKUP(INDIRECT(ADDRESS(2,COLUMN())),OFFSET($BN$2,0,0,ROW()-1,60),ROW()-1,FALSE))</f>
        <v/>
      </c>
      <c r="AH598" t="str">
        <f ca="1">IF(AND(ISNUMBER($AH$1256),$B$677=1),$AH$1256,HLOOKUP(INDIRECT(ADDRESS(2,COLUMN())),OFFSET($BN$2,0,0,ROW()-1,60),ROW()-1,FALSE))</f>
        <v/>
      </c>
      <c r="AI598" t="str">
        <f ca="1">IF(AND(ISNUMBER($AI$1256),$B$677=1),$AI$1256,HLOOKUP(INDIRECT(ADDRESS(2,COLUMN())),OFFSET($BN$2,0,0,ROW()-1,60),ROW()-1,FALSE))</f>
        <v/>
      </c>
      <c r="AJ598" t="str">
        <f ca="1">IF(AND(ISNUMBER($AJ$1256),$B$677=1),$AJ$1256,HLOOKUP(INDIRECT(ADDRESS(2,COLUMN())),OFFSET($BN$2,0,0,ROW()-1,60),ROW()-1,FALSE))</f>
        <v/>
      </c>
      <c r="AK598" t="str">
        <f ca="1">IF(AND(ISNUMBER($AK$1256),$B$677=1),$AK$1256,HLOOKUP(INDIRECT(ADDRESS(2,COLUMN())),OFFSET($BN$2,0,0,ROW()-1,60),ROW()-1,FALSE))</f>
        <v/>
      </c>
      <c r="AL598" t="str">
        <f ca="1">IF(AND(ISNUMBER($AL$1256),$B$677=1),$AL$1256,HLOOKUP(INDIRECT(ADDRESS(2,COLUMN())),OFFSET($BN$2,0,0,ROW()-1,60),ROW()-1,FALSE))</f>
        <v/>
      </c>
      <c r="AM598" t="str">
        <f ca="1">IF(AND(ISNUMBER($AM$1256),$B$677=1),$AM$1256,HLOOKUP(INDIRECT(ADDRESS(2,COLUMN())),OFFSET($BN$2,0,0,ROW()-1,60),ROW()-1,FALSE))</f>
        <v/>
      </c>
      <c r="AN598" t="str">
        <f ca="1">IF(AND(ISNUMBER($AN$1256),$B$677=1),$AN$1256,HLOOKUP(INDIRECT(ADDRESS(2,COLUMN())),OFFSET($BN$2,0,0,ROW()-1,60),ROW()-1,FALSE))</f>
        <v/>
      </c>
      <c r="AO598" t="str">
        <f ca="1">IF(AND(ISNUMBER($AO$1256),$B$677=1),$AO$1256,HLOOKUP(INDIRECT(ADDRESS(2,COLUMN())),OFFSET($BN$2,0,0,ROW()-1,60),ROW()-1,FALSE))</f>
        <v/>
      </c>
      <c r="AP598" t="str">
        <f ca="1">IF(AND(ISNUMBER($AP$1256),$B$677=1),$AP$1256,HLOOKUP(INDIRECT(ADDRESS(2,COLUMN())),OFFSET($BN$2,0,0,ROW()-1,60),ROW()-1,FALSE))</f>
        <v/>
      </c>
      <c r="AQ598" t="str">
        <f ca="1">IF(AND(ISNUMBER($AQ$1256),$B$677=1),$AQ$1256,HLOOKUP(INDIRECT(ADDRESS(2,COLUMN())),OFFSET($BN$2,0,0,ROW()-1,60),ROW()-1,FALSE))</f>
        <v/>
      </c>
      <c r="AR598" t="str">
        <f ca="1">IF(AND(ISNUMBER($AR$1256),$B$677=1),$AR$1256,HLOOKUP(INDIRECT(ADDRESS(2,COLUMN())),OFFSET($BN$2,0,0,ROW()-1,60),ROW()-1,FALSE))</f>
        <v/>
      </c>
      <c r="AS598" t="str">
        <f ca="1">IF(AND(ISNUMBER($AS$1256),$B$677=1),$AS$1256,HLOOKUP(INDIRECT(ADDRESS(2,COLUMN())),OFFSET($BN$2,0,0,ROW()-1,60),ROW()-1,FALSE))</f>
        <v/>
      </c>
      <c r="AT598" t="str">
        <f ca="1">IF(AND(ISNUMBER($AT$1256),$B$677=1),$AT$1256,HLOOKUP(INDIRECT(ADDRESS(2,COLUMN())),OFFSET($BN$2,0,0,ROW()-1,60),ROW()-1,FALSE))</f>
        <v/>
      </c>
      <c r="AU598" t="str">
        <f ca="1">IF(AND(ISNUMBER($AU$1256),$B$677=1),$AU$1256,HLOOKUP(INDIRECT(ADDRESS(2,COLUMN())),OFFSET($BN$2,0,0,ROW()-1,60),ROW()-1,FALSE))</f>
        <v/>
      </c>
      <c r="AV598" t="str">
        <f ca="1">IF(AND(ISNUMBER($AV$1256),$B$677=1),$AV$1256,HLOOKUP(INDIRECT(ADDRESS(2,COLUMN())),OFFSET($BN$2,0,0,ROW()-1,60),ROW()-1,FALSE))</f>
        <v/>
      </c>
      <c r="AW598" t="str">
        <f ca="1">IF(AND(ISNUMBER($AW$1256),$B$677=1),$AW$1256,HLOOKUP(INDIRECT(ADDRESS(2,COLUMN())),OFFSET($BN$2,0,0,ROW()-1,60),ROW()-1,FALSE))</f>
        <v/>
      </c>
      <c r="AX598" t="str">
        <f ca="1">IF(AND(ISNUMBER($AX$1256),$B$677=1),$AX$1256,HLOOKUP(INDIRECT(ADDRESS(2,COLUMN())),OFFSET($BN$2,0,0,ROW()-1,60),ROW()-1,FALSE))</f>
        <v/>
      </c>
      <c r="AY598" t="str">
        <f ca="1">IF(AND(ISNUMBER($AY$1256),$B$677=1),$AY$1256,HLOOKUP(INDIRECT(ADDRESS(2,COLUMN())),OFFSET($BN$2,0,0,ROW()-1,60),ROW()-1,FALSE))</f>
        <v/>
      </c>
      <c r="AZ598" t="str">
        <f ca="1">IF(AND(ISNUMBER($AZ$1256),$B$677=1),$AZ$1256,HLOOKUP(INDIRECT(ADDRESS(2,COLUMN())),OFFSET($BN$2,0,0,ROW()-1,60),ROW()-1,FALSE))</f>
        <v/>
      </c>
      <c r="BA598" t="str">
        <f ca="1">IF(AND(ISNUMBER($BA$1256),$B$677=1),$BA$1256,HLOOKUP(INDIRECT(ADDRESS(2,COLUMN())),OFFSET($BN$2,0,0,ROW()-1,60),ROW()-1,FALSE))</f>
        <v/>
      </c>
      <c r="BB598" t="str">
        <f ca="1">IF(AND(ISNUMBER($BB$1256),$B$677=1),$BB$1256,HLOOKUP(INDIRECT(ADDRESS(2,COLUMN())),OFFSET($BN$2,0,0,ROW()-1,60),ROW()-1,FALSE))</f>
        <v/>
      </c>
      <c r="BC598" t="str">
        <f ca="1">IF(AND(ISNUMBER($BC$1256),$B$677=1),$BC$1256,HLOOKUP(INDIRECT(ADDRESS(2,COLUMN())),OFFSET($BN$2,0,0,ROW()-1,60),ROW()-1,FALSE))</f>
        <v/>
      </c>
      <c r="BD598" t="str">
        <f ca="1">IF(AND(ISNUMBER($BD$1256),$B$677=1),$BD$1256,HLOOKUP(INDIRECT(ADDRESS(2,COLUMN())),OFFSET($BN$2,0,0,ROW()-1,60),ROW()-1,FALSE))</f>
        <v/>
      </c>
      <c r="BE598" t="str">
        <f ca="1">IF(AND(ISNUMBER($BE$1256),$B$677=1),$BE$1256,HLOOKUP(INDIRECT(ADDRESS(2,COLUMN())),OFFSET($BN$2,0,0,ROW()-1,60),ROW()-1,FALSE))</f>
        <v/>
      </c>
      <c r="BF598" t="str">
        <f ca="1">IF(AND(ISNUMBER($BF$1256),$B$677=1),$BF$1256,HLOOKUP(INDIRECT(ADDRESS(2,COLUMN())),OFFSET($BN$2,0,0,ROW()-1,60),ROW()-1,FALSE))</f>
        <v/>
      </c>
      <c r="BG598" t="str">
        <f ca="1">IF(AND(ISNUMBER($BG$1256),$B$677=1),$BG$1256,HLOOKUP(INDIRECT(ADDRESS(2,COLUMN())),OFFSET($BN$2,0,0,ROW()-1,60),ROW()-1,FALSE))</f>
        <v/>
      </c>
      <c r="BH598" t="str">
        <f ca="1">IF(AND(ISNUMBER($BH$1256),$B$677=1),$BH$1256,HLOOKUP(INDIRECT(ADDRESS(2,COLUMN())),OFFSET($BN$2,0,0,ROW()-1,60),ROW()-1,FALSE))</f>
        <v/>
      </c>
      <c r="BI598" t="str">
        <f ca="1">IF(AND(ISNUMBER($BI$1256),$B$677=1),$BI$1256,HLOOKUP(INDIRECT(ADDRESS(2,COLUMN())),OFFSET($BN$2,0,0,ROW()-1,60),ROW()-1,FALSE))</f>
        <v/>
      </c>
      <c r="BJ598" t="str">
        <f ca="1">IF(AND(ISNUMBER($BJ$1256),$B$677=1),$BJ$1256,HLOOKUP(INDIRECT(ADDRESS(2,COLUMN())),OFFSET($BN$2,0,0,ROW()-1,60),ROW()-1,FALSE))</f>
        <v/>
      </c>
      <c r="BK598" t="str">
        <f ca="1">IF(AND(ISNUMBER($BK$1256),$B$677=1),$BK$1256,HLOOKUP(INDIRECT(ADDRESS(2,COLUMN())),OFFSET($BN$2,0,0,ROW()-1,60),ROW()-1,FALSE))</f>
        <v/>
      </c>
      <c r="BL598" t="str">
        <f ca="1">IF(AND(ISNUMBER($BL$1256),$B$677=1),$BL$1256,HLOOKUP(INDIRECT(ADDRESS(2,COLUMN())),OFFSET($BN$2,0,0,ROW()-1,60),ROW()-1,FALSE))</f>
        <v/>
      </c>
      <c r="BM598" t="str">
        <f ca="1">IF(AND(ISNUMBER($BM$1256),$B$677=1),$BM$1256,HLOOKUP(INDIRECT(ADDRESS(2,COLUMN())),OFFSET($BN$2,0,0,ROW()-1,60),ROW()-1,FALSE))</f>
        <v/>
      </c>
      <c r="BN598">
        <f>0.333276195</f>
        <v>0.333276195</v>
      </c>
      <c r="BO598">
        <f>0.472854806</f>
        <v>0.47285480600000002</v>
      </c>
      <c r="BP598">
        <f>0.425692337</f>
        <v>0.42569233699999998</v>
      </c>
      <c r="BQ598">
        <f>-5.595673672</f>
        <v>-5.5956736720000002</v>
      </c>
      <c r="BR598">
        <f>-8.340408984</f>
        <v>-8.3404089839999997</v>
      </c>
      <c r="BS598">
        <f>-12.70192637</f>
        <v>-12.701926370000001</v>
      </c>
      <c r="BT598">
        <f>-1.425465413</f>
        <v>-1.425465413</v>
      </c>
      <c r="BU598">
        <f>5.404947204</f>
        <v>5.4049472039999999</v>
      </c>
      <c r="BV598">
        <f>-6.771901889</f>
        <v>-6.7719018889999996</v>
      </c>
      <c r="BW598">
        <f>0.756802708</f>
        <v>0.75680270800000005</v>
      </c>
      <c r="BX598">
        <f>2.332558364</f>
        <v>2.3325583640000001</v>
      </c>
      <c r="BY598">
        <f>1.620374251</f>
        <v>1.6203742510000001</v>
      </c>
      <c r="BZ598">
        <f>3.589393601</f>
        <v>3.5893936009999998</v>
      </c>
      <c r="CA598">
        <f>5.103893806</f>
        <v>5.1038938060000003</v>
      </c>
      <c r="CB598">
        <f>5.392523224</f>
        <v>5.3925232239999996</v>
      </c>
      <c r="CC598">
        <f>0.934234008</f>
        <v>0.934234008</v>
      </c>
      <c r="CD598">
        <f>-2.511337366</f>
        <v>-2.5113373659999998</v>
      </c>
      <c r="CE598">
        <f>-3.376186022</f>
        <v>-3.3761860220000002</v>
      </c>
      <c r="CF598">
        <f>-3.649763261</f>
        <v>-3.6497632609999999</v>
      </c>
      <c r="CG598">
        <f>-1.170811478</f>
        <v>-1.1708114780000001</v>
      </c>
      <c r="CH598">
        <f>1.621800816</f>
        <v>1.6218008159999999</v>
      </c>
      <c r="CI598">
        <f>1.92284054</f>
        <v>1.9228405399999999</v>
      </c>
      <c r="CJ598">
        <f>2.595293151</f>
        <v>2.5952931509999999</v>
      </c>
      <c r="CK598">
        <f>2.866607822</f>
        <v>2.8666078220000002</v>
      </c>
      <c r="CL598">
        <f>-0.169606964</f>
        <v>-0.169606964</v>
      </c>
      <c r="CM598">
        <f>-1.678229329</f>
        <v>-1.6782293290000001</v>
      </c>
      <c r="CN598" t="str">
        <f>""</f>
        <v/>
      </c>
      <c r="CO598" t="str">
        <f>""</f>
        <v/>
      </c>
      <c r="CP598" t="str">
        <f>""</f>
        <v/>
      </c>
      <c r="CQ598" t="str">
        <f>""</f>
        <v/>
      </c>
      <c r="CR598" t="str">
        <f>""</f>
        <v/>
      </c>
      <c r="CS598" t="str">
        <f>""</f>
        <v/>
      </c>
      <c r="CT598" t="str">
        <f>""</f>
        <v/>
      </c>
      <c r="CU598" t="str">
        <f>""</f>
        <v/>
      </c>
      <c r="CV598" t="str">
        <f>""</f>
        <v/>
      </c>
      <c r="CW598" t="str">
        <f>""</f>
        <v/>
      </c>
      <c r="CX598" t="str">
        <f>""</f>
        <v/>
      </c>
      <c r="CY598" t="str">
        <f>""</f>
        <v/>
      </c>
      <c r="CZ598" t="str">
        <f>""</f>
        <v/>
      </c>
      <c r="DA598" t="str">
        <f>""</f>
        <v/>
      </c>
      <c r="DB598" t="str">
        <f>""</f>
        <v/>
      </c>
      <c r="DC598" t="str">
        <f>""</f>
        <v/>
      </c>
      <c r="DD598" t="str">
        <f>""</f>
        <v/>
      </c>
      <c r="DE598" t="str">
        <f>""</f>
        <v/>
      </c>
      <c r="DF598" t="str">
        <f>""</f>
        <v/>
      </c>
      <c r="DG598" t="str">
        <f>""</f>
        <v/>
      </c>
      <c r="DH598" t="str">
        <f>""</f>
        <v/>
      </c>
      <c r="DI598" t="str">
        <f>""</f>
        <v/>
      </c>
      <c r="DJ598" t="str">
        <f>""</f>
        <v/>
      </c>
      <c r="DK598" t="str">
        <f>""</f>
        <v/>
      </c>
      <c r="DL598" t="str">
        <f>""</f>
        <v/>
      </c>
      <c r="DM598" t="str">
        <f>""</f>
        <v/>
      </c>
      <c r="DN598" t="str">
        <f>""</f>
        <v/>
      </c>
      <c r="DO598" t="str">
        <f>""</f>
        <v/>
      </c>
      <c r="DP598" t="str">
        <f>""</f>
        <v/>
      </c>
      <c r="DQ598" t="str">
        <f>""</f>
        <v/>
      </c>
      <c r="DR598" t="str">
        <f>""</f>
        <v/>
      </c>
      <c r="DS598" t="str">
        <f>""</f>
        <v/>
      </c>
      <c r="DT598" t="str">
        <f>""</f>
        <v/>
      </c>
      <c r="DU598" t="str">
        <f>""</f>
        <v/>
      </c>
    </row>
    <row r="599" spans="1:125" x14ac:dyDescent="0.25">
      <c r="A599" t="str">
        <f>"    Guangzhou Automobile Group Co Ltd"</f>
        <v xml:space="preserve">    Guangzhou Automobile Group Co Ltd</v>
      </c>
      <c r="B599" t="str">
        <f>"2238 HK Equity"</f>
        <v>2238 HK Equity</v>
      </c>
      <c r="C599" t="str">
        <f t="shared" si="42"/>
        <v>RX072</v>
      </c>
      <c r="D599" t="str">
        <f t="shared" si="43"/>
        <v>FREE_CASH_FLOW_YIELD</v>
      </c>
      <c r="E599" t="str">
        <f t="shared" si="44"/>
        <v>Dynamic</v>
      </c>
      <c r="F599">
        <f ca="1">IF(AND(ISNUMBER($F$1257),$B$677=1),$F$1257,HLOOKUP(INDIRECT(ADDRESS(2,COLUMN())),OFFSET($BN$2,0,0,ROW()-1,60),ROW()-1,FALSE))</f>
        <v>-9.2628716999999999E-2</v>
      </c>
      <c r="G599">
        <f ca="1">IF(AND(ISNUMBER($G$1257),$B$677=1),$G$1257,HLOOKUP(INDIRECT(ADDRESS(2,COLUMN())),OFFSET($BN$2,0,0,ROW()-1,60),ROW()-1,FALSE))</f>
        <v>-0.114257052</v>
      </c>
      <c r="H599">
        <f ca="1">IF(AND(ISNUMBER($H$1257),$B$677=1),$H$1257,HLOOKUP(INDIRECT(ADDRESS(2,COLUMN())),OFFSET($BN$2,0,0,ROW()-1,60),ROW()-1,FALSE))</f>
        <v>-0.10297627500000001</v>
      </c>
      <c r="I599">
        <f ca="1">IF(AND(ISNUMBER($I$1257),$B$677=1),$I$1257,HLOOKUP(INDIRECT(ADDRESS(2,COLUMN())),OFFSET($BN$2,0,0,ROW()-1,60),ROW()-1,FALSE))</f>
        <v>5.0122580210000001</v>
      </c>
      <c r="J599">
        <f ca="1">IF(AND(ISNUMBER($J$1257),$B$677=1),$J$1257,HLOOKUP(INDIRECT(ADDRESS(2,COLUMN())),OFFSET($BN$2,0,0,ROW()-1,60),ROW()-1,FALSE))</f>
        <v>7.803770933</v>
      </c>
      <c r="K599">
        <f ca="1">IF(AND(ISNUMBER($K$1257),$B$677=1),$K$1257,HLOOKUP(INDIRECT(ADDRESS(2,COLUMN())),OFFSET($BN$2,0,0,ROW()-1,60),ROW()-1,FALSE))</f>
        <v>11.18568818</v>
      </c>
      <c r="L599">
        <f ca="1">IF(AND(ISNUMBER($L$1257),$B$677=1),$L$1257,HLOOKUP(INDIRECT(ADDRESS(2,COLUMN())),OFFSET($BN$2,0,0,ROW()-1,60),ROW()-1,FALSE))</f>
        <v>1.895180485</v>
      </c>
      <c r="M599">
        <f ca="1">IF(AND(ISNUMBER($M$1257),$B$677=1),$M$1257,HLOOKUP(INDIRECT(ADDRESS(2,COLUMN())),OFFSET($BN$2,0,0,ROW()-1,60),ROW()-1,FALSE))</f>
        <v>6.5424057260000001</v>
      </c>
      <c r="N599">
        <f ca="1">IF(AND(ISNUMBER($N$1257),$B$677=1),$N$1257,HLOOKUP(INDIRECT(ADDRESS(2,COLUMN())),OFFSET($BN$2,0,0,ROW()-1,60),ROW()-1,FALSE))</f>
        <v>9.5568296640000003</v>
      </c>
      <c r="O599">
        <f ca="1">IF(AND(ISNUMBER($O$1257),$B$677=1),$O$1257,HLOOKUP(INDIRECT(ADDRESS(2,COLUMN())),OFFSET($BN$2,0,0,ROW()-1,60),ROW()-1,FALSE))</f>
        <v>8.8369839219999999</v>
      </c>
      <c r="P599">
        <f ca="1">IF(AND(ISNUMBER($P$1257),$B$677=1),$P$1257,HLOOKUP(INDIRECT(ADDRESS(2,COLUMN())),OFFSET($BN$2,0,0,ROW()-1,60),ROW()-1,FALSE))</f>
        <v>14.2958237</v>
      </c>
      <c r="Q599">
        <f ca="1">IF(AND(ISNUMBER($Q$1257),$B$677=1),$Q$1257,HLOOKUP(INDIRECT(ADDRESS(2,COLUMN())),OFFSET($BN$2,0,0,ROW()-1,60),ROW()-1,FALSE))</f>
        <v>14.15847935</v>
      </c>
      <c r="R599">
        <f ca="1">IF(AND(ISNUMBER($R$1257),$B$677=1),$R$1257,HLOOKUP(INDIRECT(ADDRESS(2,COLUMN())),OFFSET($BN$2,0,0,ROW()-1,60),ROW()-1,FALSE))</f>
        <v>13.20102389</v>
      </c>
      <c r="S599">
        <f ca="1">IF(AND(ISNUMBER($S$1257),$B$677=1),$S$1257,HLOOKUP(INDIRECT(ADDRESS(2,COLUMN())),OFFSET($BN$2,0,0,ROW()-1,60),ROW()-1,FALSE))</f>
        <v>11.91826579</v>
      </c>
      <c r="T599">
        <f ca="1">IF(AND(ISNUMBER($T$1257),$B$677=1),$T$1257,HLOOKUP(INDIRECT(ADDRESS(2,COLUMN())),OFFSET($BN$2,0,0,ROW()-1,60),ROW()-1,FALSE))</f>
        <v>11.918109640000001</v>
      </c>
      <c r="U599">
        <f ca="1">IF(AND(ISNUMBER($U$1257),$B$677=1),$U$1257,HLOOKUP(INDIRECT(ADDRESS(2,COLUMN())),OFFSET($BN$2,0,0,ROW()-1,60),ROW()-1,FALSE))</f>
        <v>4.9178102690000003</v>
      </c>
      <c r="V599">
        <f ca="1">IF(AND(ISNUMBER($V$1257),$B$677=1),$V$1257,HLOOKUP(INDIRECT(ADDRESS(2,COLUMN())),OFFSET($BN$2,0,0,ROW()-1,60),ROW()-1,FALSE))</f>
        <v>2.3267201819999999</v>
      </c>
      <c r="W599">
        <f ca="1">IF(AND(ISNUMBER($W$1257),$B$677=1),$W$1257,HLOOKUP(INDIRECT(ADDRESS(2,COLUMN())),OFFSET($BN$2,0,0,ROW()-1,60),ROW()-1,FALSE))</f>
        <v>3.3827717320000001</v>
      </c>
      <c r="X599">
        <f ca="1">IF(AND(ISNUMBER($X$1257),$B$677=1),$X$1257,HLOOKUP(INDIRECT(ADDRESS(2,COLUMN())),OFFSET($BN$2,0,0,ROW()-1,60),ROW()-1,FALSE))</f>
        <v>-1.3940241879999999</v>
      </c>
      <c r="Y599">
        <f ca="1">IF(AND(ISNUMBER($Y$1257),$B$677=1),$Y$1257,HLOOKUP(INDIRECT(ADDRESS(2,COLUMN())),OFFSET($BN$2,0,0,ROW()-1,60),ROW()-1,FALSE))</f>
        <v>0.328017218</v>
      </c>
      <c r="Z599">
        <f ca="1">IF(AND(ISNUMBER($Z$1257),$B$677=1),$Z$1257,HLOOKUP(INDIRECT(ADDRESS(2,COLUMN())),OFFSET($BN$2,0,0,ROW()-1,60),ROW()-1,FALSE))</f>
        <v>2.459851402</v>
      </c>
      <c r="AA599">
        <f ca="1">IF(AND(ISNUMBER($AA$1257),$B$677=1),$AA$1257,HLOOKUP(INDIRECT(ADDRESS(2,COLUMN())),OFFSET($BN$2,0,0,ROW()-1,60),ROW()-1,FALSE))</f>
        <v>4.0911030549999996</v>
      </c>
      <c r="AB599">
        <f ca="1">IF(AND(ISNUMBER($AB$1257),$B$677=1),$AB$1257,HLOOKUP(INDIRECT(ADDRESS(2,COLUMN())),OFFSET($BN$2,0,0,ROW()-1,60),ROW()-1,FALSE))</f>
        <v>5.8039511939999997</v>
      </c>
      <c r="AC599">
        <f ca="1">IF(AND(ISNUMBER($AC$1257),$B$677=1),$AC$1257,HLOOKUP(INDIRECT(ADDRESS(2,COLUMN())),OFFSET($BN$2,0,0,ROW()-1,60),ROW()-1,FALSE))</f>
        <v>5.6373016820000004</v>
      </c>
      <c r="AD599">
        <f ca="1">IF(AND(ISNUMBER($AD$1257),$B$677=1),$AD$1257,HLOOKUP(INDIRECT(ADDRESS(2,COLUMN())),OFFSET($BN$2,0,0,ROW()-1,60),ROW()-1,FALSE))</f>
        <v>4.4548698829999998</v>
      </c>
      <c r="AE599">
        <f ca="1">IF(AND(ISNUMBER($AE$1257),$B$677=1),$AE$1257,HLOOKUP(INDIRECT(ADDRESS(2,COLUMN())),OFFSET($BN$2,0,0,ROW()-1,60),ROW()-1,FALSE))</f>
        <v>3.2870271579999999</v>
      </c>
      <c r="AF599">
        <f ca="1">IF(AND(ISNUMBER($AF$1257),$B$677=1),$AF$1257,HLOOKUP(INDIRECT(ADDRESS(2,COLUMN())),OFFSET($BN$2,0,0,ROW()-1,60),ROW()-1,FALSE))</f>
        <v>10.36947393</v>
      </c>
      <c r="AG599">
        <f ca="1">IF(AND(ISNUMBER($AG$1257),$B$677=1),$AG$1257,HLOOKUP(INDIRECT(ADDRESS(2,COLUMN())),OFFSET($BN$2,0,0,ROW()-1,60),ROW()-1,FALSE))</f>
        <v>6.4847225640000001</v>
      </c>
      <c r="AH599">
        <f ca="1">IF(AND(ISNUMBER($AH$1257),$B$677=1),$AH$1257,HLOOKUP(INDIRECT(ADDRESS(2,COLUMN())),OFFSET($BN$2,0,0,ROW()-1,60),ROW()-1,FALSE))</f>
        <v>6.2636681669999996</v>
      </c>
      <c r="AI599">
        <f ca="1">IF(AND(ISNUMBER($AI$1257),$B$677=1),$AI$1257,HLOOKUP(INDIRECT(ADDRESS(2,COLUMN())),OFFSET($BN$2,0,0,ROW()-1,60),ROW()-1,FALSE))</f>
        <v>9.6792703539999998</v>
      </c>
      <c r="AJ599">
        <f ca="1">IF(AND(ISNUMBER($AJ$1257),$B$677=1),$AJ$1257,HLOOKUP(INDIRECT(ADDRESS(2,COLUMN())),OFFSET($BN$2,0,0,ROW()-1,60),ROW()-1,FALSE))</f>
        <v>2.4684600919999999</v>
      </c>
      <c r="AK599">
        <f ca="1">IF(AND(ISNUMBER($AK$1257),$B$677=1),$AK$1257,HLOOKUP(INDIRECT(ADDRESS(2,COLUMN())),OFFSET($BN$2,0,0,ROW()-1,60),ROW()-1,FALSE))</f>
        <v>9.3681909349999994</v>
      </c>
      <c r="AL599">
        <f ca="1">IF(AND(ISNUMBER($AL$1257),$B$677=1),$AL$1257,HLOOKUP(INDIRECT(ADDRESS(2,COLUMN())),OFFSET($BN$2,0,0,ROW()-1,60),ROW()-1,FALSE))</f>
        <v>7.3030580430000001</v>
      </c>
      <c r="AM599">
        <f ca="1">IF(AND(ISNUMBER($AM$1257),$B$677=1),$AM$1257,HLOOKUP(INDIRECT(ADDRESS(2,COLUMN())),OFFSET($BN$2,0,0,ROW()-1,60),ROW()-1,FALSE))</f>
        <v>4.7561067299999999</v>
      </c>
      <c r="AN599">
        <f ca="1">IF(AND(ISNUMBER($AN$1257),$B$677=1),$AN$1257,HLOOKUP(INDIRECT(ADDRESS(2,COLUMN())),OFFSET($BN$2,0,0,ROW()-1,60),ROW()-1,FALSE))</f>
        <v>10.460763569999999</v>
      </c>
      <c r="AO599" t="str">
        <f ca="1">IF(AND(ISNUMBER($AO$1257),$B$677=1),$AO$1257,HLOOKUP(INDIRECT(ADDRESS(2,COLUMN())),OFFSET($BN$2,0,0,ROW()-1,60),ROW()-1,FALSE))</f>
        <v/>
      </c>
      <c r="AP599" t="str">
        <f ca="1">IF(AND(ISNUMBER($AP$1257),$B$677=1),$AP$1257,HLOOKUP(INDIRECT(ADDRESS(2,COLUMN())),OFFSET($BN$2,0,0,ROW()-1,60),ROW()-1,FALSE))</f>
        <v/>
      </c>
      <c r="AQ599" t="str">
        <f ca="1">IF(AND(ISNUMBER($AQ$1257),$B$677=1),$AQ$1257,HLOOKUP(INDIRECT(ADDRESS(2,COLUMN())),OFFSET($BN$2,0,0,ROW()-1,60),ROW()-1,FALSE))</f>
        <v/>
      </c>
      <c r="AR599" t="str">
        <f ca="1">IF(AND(ISNUMBER($AR$1257),$B$677=1),$AR$1257,HLOOKUP(INDIRECT(ADDRESS(2,COLUMN())),OFFSET($BN$2,0,0,ROW()-1,60),ROW()-1,FALSE))</f>
        <v/>
      </c>
      <c r="AS599" t="str">
        <f ca="1">IF(AND(ISNUMBER($AS$1257),$B$677=1),$AS$1257,HLOOKUP(INDIRECT(ADDRESS(2,COLUMN())),OFFSET($BN$2,0,0,ROW()-1,60),ROW()-1,FALSE))</f>
        <v/>
      </c>
      <c r="AT599" t="str">
        <f ca="1">IF(AND(ISNUMBER($AT$1257),$B$677=1),$AT$1257,HLOOKUP(INDIRECT(ADDRESS(2,COLUMN())),OFFSET($BN$2,0,0,ROW()-1,60),ROW()-1,FALSE))</f>
        <v/>
      </c>
      <c r="AU599" t="str">
        <f ca="1">IF(AND(ISNUMBER($AU$1257),$B$677=1),$AU$1257,HLOOKUP(INDIRECT(ADDRESS(2,COLUMN())),OFFSET($BN$2,0,0,ROW()-1,60),ROW()-1,FALSE))</f>
        <v/>
      </c>
      <c r="AV599" t="str">
        <f ca="1">IF(AND(ISNUMBER($AV$1257),$B$677=1),$AV$1257,HLOOKUP(INDIRECT(ADDRESS(2,COLUMN())),OFFSET($BN$2,0,0,ROW()-1,60),ROW()-1,FALSE))</f>
        <v/>
      </c>
      <c r="AW599" t="str">
        <f ca="1">IF(AND(ISNUMBER($AW$1257),$B$677=1),$AW$1257,HLOOKUP(INDIRECT(ADDRESS(2,COLUMN())),OFFSET($BN$2,0,0,ROW()-1,60),ROW()-1,FALSE))</f>
        <v/>
      </c>
      <c r="AX599" t="str">
        <f ca="1">IF(AND(ISNUMBER($AX$1257),$B$677=1),$AX$1257,HLOOKUP(INDIRECT(ADDRESS(2,COLUMN())),OFFSET($BN$2,0,0,ROW()-1,60),ROW()-1,FALSE))</f>
        <v/>
      </c>
      <c r="AY599" t="str">
        <f ca="1">IF(AND(ISNUMBER($AY$1257),$B$677=1),$AY$1257,HLOOKUP(INDIRECT(ADDRESS(2,COLUMN())),OFFSET($BN$2,0,0,ROW()-1,60),ROW()-1,FALSE))</f>
        <v/>
      </c>
      <c r="AZ599" t="str">
        <f ca="1">IF(AND(ISNUMBER($AZ$1257),$B$677=1),$AZ$1257,HLOOKUP(INDIRECT(ADDRESS(2,COLUMN())),OFFSET($BN$2,0,0,ROW()-1,60),ROW()-1,FALSE))</f>
        <v/>
      </c>
      <c r="BA599" t="str">
        <f ca="1">IF(AND(ISNUMBER($BA$1257),$B$677=1),$BA$1257,HLOOKUP(INDIRECT(ADDRESS(2,COLUMN())),OFFSET($BN$2,0,0,ROW()-1,60),ROW()-1,FALSE))</f>
        <v/>
      </c>
      <c r="BB599" t="str">
        <f ca="1">IF(AND(ISNUMBER($BB$1257),$B$677=1),$BB$1257,HLOOKUP(INDIRECT(ADDRESS(2,COLUMN())),OFFSET($BN$2,0,0,ROW()-1,60),ROW()-1,FALSE))</f>
        <v/>
      </c>
      <c r="BC599" t="str">
        <f ca="1">IF(AND(ISNUMBER($BC$1257),$B$677=1),$BC$1257,HLOOKUP(INDIRECT(ADDRESS(2,COLUMN())),OFFSET($BN$2,0,0,ROW()-1,60),ROW()-1,FALSE))</f>
        <v/>
      </c>
      <c r="BD599" t="str">
        <f ca="1">IF(AND(ISNUMBER($BD$1257),$B$677=1),$BD$1257,HLOOKUP(INDIRECT(ADDRESS(2,COLUMN())),OFFSET($BN$2,0,0,ROW()-1,60),ROW()-1,FALSE))</f>
        <v/>
      </c>
      <c r="BE599" t="str">
        <f ca="1">IF(AND(ISNUMBER($BE$1257),$B$677=1),$BE$1257,HLOOKUP(INDIRECT(ADDRESS(2,COLUMN())),OFFSET($BN$2,0,0,ROW()-1,60),ROW()-1,FALSE))</f>
        <v/>
      </c>
      <c r="BF599" t="str">
        <f ca="1">IF(AND(ISNUMBER($BF$1257),$B$677=1),$BF$1257,HLOOKUP(INDIRECT(ADDRESS(2,COLUMN())),OFFSET($BN$2,0,0,ROW()-1,60),ROW()-1,FALSE))</f>
        <v/>
      </c>
      <c r="BG599" t="str">
        <f ca="1">IF(AND(ISNUMBER($BG$1257),$B$677=1),$BG$1257,HLOOKUP(INDIRECT(ADDRESS(2,COLUMN())),OFFSET($BN$2,0,0,ROW()-1,60),ROW()-1,FALSE))</f>
        <v/>
      </c>
      <c r="BH599" t="str">
        <f ca="1">IF(AND(ISNUMBER($BH$1257),$B$677=1),$BH$1257,HLOOKUP(INDIRECT(ADDRESS(2,COLUMN())),OFFSET($BN$2,0,0,ROW()-1,60),ROW()-1,FALSE))</f>
        <v/>
      </c>
      <c r="BI599" t="str">
        <f ca="1">IF(AND(ISNUMBER($BI$1257),$B$677=1),$BI$1257,HLOOKUP(INDIRECT(ADDRESS(2,COLUMN())),OFFSET($BN$2,0,0,ROW()-1,60),ROW()-1,FALSE))</f>
        <v/>
      </c>
      <c r="BJ599" t="str">
        <f ca="1">IF(AND(ISNUMBER($BJ$1257),$B$677=1),$BJ$1257,HLOOKUP(INDIRECT(ADDRESS(2,COLUMN())),OFFSET($BN$2,0,0,ROW()-1,60),ROW()-1,FALSE))</f>
        <v/>
      </c>
      <c r="BK599" t="str">
        <f ca="1">IF(AND(ISNUMBER($BK$1257),$B$677=1),$BK$1257,HLOOKUP(INDIRECT(ADDRESS(2,COLUMN())),OFFSET($BN$2,0,0,ROW()-1,60),ROW()-1,FALSE))</f>
        <v/>
      </c>
      <c r="BL599" t="str">
        <f ca="1">IF(AND(ISNUMBER($BL$1257),$B$677=1),$BL$1257,HLOOKUP(INDIRECT(ADDRESS(2,COLUMN())),OFFSET($BN$2,0,0,ROW()-1,60),ROW()-1,FALSE))</f>
        <v/>
      </c>
      <c r="BM599" t="str">
        <f ca="1">IF(AND(ISNUMBER($BM$1257),$B$677=1),$BM$1257,HLOOKUP(INDIRECT(ADDRESS(2,COLUMN())),OFFSET($BN$2,0,0,ROW()-1,60),ROW()-1,FALSE))</f>
        <v/>
      </c>
      <c r="BN599">
        <f>-0.092628717</f>
        <v>-9.2628716999999999E-2</v>
      </c>
      <c r="BO599">
        <f>-0.114257052</f>
        <v>-0.114257052</v>
      </c>
      <c r="BP599">
        <f>-0.102976275</f>
        <v>-0.10297627500000001</v>
      </c>
      <c r="BQ599">
        <f>5.012258021</f>
        <v>5.0122580210000001</v>
      </c>
      <c r="BR599">
        <f>7.803770933</f>
        <v>7.803770933</v>
      </c>
      <c r="BS599">
        <f>11.18568818</f>
        <v>11.18568818</v>
      </c>
      <c r="BT599">
        <f>1.895180485</f>
        <v>1.895180485</v>
      </c>
      <c r="BU599">
        <f>6.542405726</f>
        <v>6.5424057260000001</v>
      </c>
      <c r="BV599">
        <f>9.556829664</f>
        <v>9.5568296640000003</v>
      </c>
      <c r="BW599">
        <f>8.836983922</f>
        <v>8.8369839219999999</v>
      </c>
      <c r="BX599">
        <f>14.2958237</f>
        <v>14.2958237</v>
      </c>
      <c r="BY599">
        <f>14.15847935</f>
        <v>14.15847935</v>
      </c>
      <c r="BZ599">
        <f>13.20102389</f>
        <v>13.20102389</v>
      </c>
      <c r="CA599">
        <f>11.91826579</f>
        <v>11.91826579</v>
      </c>
      <c r="CB599">
        <f>11.91810964</f>
        <v>11.918109640000001</v>
      </c>
      <c r="CC599">
        <f>4.917810269</f>
        <v>4.9178102690000003</v>
      </c>
      <c r="CD599">
        <f>2.326720182</f>
        <v>2.3267201819999999</v>
      </c>
      <c r="CE599">
        <f>3.382771732</f>
        <v>3.3827717320000001</v>
      </c>
      <c r="CF599">
        <f>-1.394024188</f>
        <v>-1.3940241879999999</v>
      </c>
      <c r="CG599">
        <f>0.328017218</f>
        <v>0.328017218</v>
      </c>
      <c r="CH599">
        <f>2.459851402</f>
        <v>2.459851402</v>
      </c>
      <c r="CI599">
        <f>4.091103055</f>
        <v>4.0911030549999996</v>
      </c>
      <c r="CJ599">
        <f>5.803951194</f>
        <v>5.8039511939999997</v>
      </c>
      <c r="CK599">
        <f>5.637301682</f>
        <v>5.6373016820000004</v>
      </c>
      <c r="CL599">
        <f>4.454869883</f>
        <v>4.4548698829999998</v>
      </c>
      <c r="CM599">
        <f>3.287027158</f>
        <v>3.2870271579999999</v>
      </c>
      <c r="CN599">
        <f>10.36947393</f>
        <v>10.36947393</v>
      </c>
      <c r="CO599">
        <f>6.484722564</f>
        <v>6.4847225640000001</v>
      </c>
      <c r="CP599">
        <f>6.263668167</f>
        <v>6.2636681669999996</v>
      </c>
      <c r="CQ599">
        <f>9.679270354</f>
        <v>9.6792703539999998</v>
      </c>
      <c r="CR599">
        <f>2.468460092</f>
        <v>2.4684600919999999</v>
      </c>
      <c r="CS599">
        <f>9.368190935</f>
        <v>9.3681909349999994</v>
      </c>
      <c r="CT599">
        <f>7.303058043</f>
        <v>7.3030580430000001</v>
      </c>
      <c r="CU599">
        <f>4.75610673</f>
        <v>4.7561067299999999</v>
      </c>
      <c r="CV599">
        <f>10.46076357</f>
        <v>10.460763569999999</v>
      </c>
      <c r="CW599" t="str">
        <f>""</f>
        <v/>
      </c>
      <c r="CX599" t="str">
        <f>""</f>
        <v/>
      </c>
      <c r="CY599" t="str">
        <f>""</f>
        <v/>
      </c>
      <c r="CZ599" t="str">
        <f>""</f>
        <v/>
      </c>
      <c r="DA599" t="str">
        <f>""</f>
        <v/>
      </c>
      <c r="DB599" t="str">
        <f>""</f>
        <v/>
      </c>
      <c r="DC599" t="str">
        <f>""</f>
        <v/>
      </c>
      <c r="DD599" t="str">
        <f>""</f>
        <v/>
      </c>
      <c r="DE599" t="str">
        <f>""</f>
        <v/>
      </c>
      <c r="DF599" t="str">
        <f>""</f>
        <v/>
      </c>
      <c r="DG599" t="str">
        <f>""</f>
        <v/>
      </c>
      <c r="DH599" t="str">
        <f>""</f>
        <v/>
      </c>
      <c r="DI599" t="str">
        <f>""</f>
        <v/>
      </c>
      <c r="DJ599" t="str">
        <f>""</f>
        <v/>
      </c>
      <c r="DK599" t="str">
        <f>""</f>
        <v/>
      </c>
      <c r="DL599" t="str">
        <f>""</f>
        <v/>
      </c>
      <c r="DM599" t="str">
        <f>""</f>
        <v/>
      </c>
      <c r="DN599" t="str">
        <f>""</f>
        <v/>
      </c>
      <c r="DO599" t="str">
        <f>""</f>
        <v/>
      </c>
      <c r="DP599" t="str">
        <f>""</f>
        <v/>
      </c>
      <c r="DQ599" t="str">
        <f>""</f>
        <v/>
      </c>
      <c r="DR599" t="str">
        <f>""</f>
        <v/>
      </c>
      <c r="DS599" t="str">
        <f>""</f>
        <v/>
      </c>
      <c r="DT599" t="str">
        <f>""</f>
        <v/>
      </c>
      <c r="DU599" t="str">
        <f>""</f>
        <v/>
      </c>
    </row>
    <row r="600" spans="1:125" x14ac:dyDescent="0.25">
      <c r="A600" t="str">
        <f>"    Honda Motor Co Ltd"</f>
        <v xml:space="preserve">    Honda Motor Co Ltd</v>
      </c>
      <c r="B600" t="str">
        <f>"7267 JP Equity"</f>
        <v>7267 JP Equity</v>
      </c>
      <c r="C600" t="str">
        <f t="shared" si="42"/>
        <v>RX072</v>
      </c>
      <c r="D600" t="str">
        <f t="shared" si="43"/>
        <v>FREE_CASH_FLOW_YIELD</v>
      </c>
      <c r="E600" t="str">
        <f t="shared" si="44"/>
        <v>Dynamic</v>
      </c>
      <c r="F600">
        <f ca="1">IF(AND(ISNUMBER($F$1258),$B$677=1),$F$1258,HLOOKUP(INDIRECT(ADDRESS(2,COLUMN())),OFFSET($BN$2,0,0,ROW()-1,60),ROW()-1,FALSE))</f>
        <v>8.115530047</v>
      </c>
      <c r="G600">
        <f ca="1">IF(AND(ISNUMBER($G$1258),$B$677=1),$G$1258,HLOOKUP(INDIRECT(ADDRESS(2,COLUMN())),OFFSET($BN$2,0,0,ROW()-1,60),ROW()-1,FALSE))</f>
        <v>8.7618004480000007</v>
      </c>
      <c r="H600">
        <f ca="1">IF(AND(ISNUMBER($H$1258),$B$677=1),$H$1258,HLOOKUP(INDIRECT(ADDRESS(2,COLUMN())),OFFSET($BN$2,0,0,ROW()-1,60),ROW()-1,FALSE))</f>
        <v>8.0132444829999994</v>
      </c>
      <c r="I600">
        <f ca="1">IF(AND(ISNUMBER($I$1258),$B$677=1),$I$1258,HLOOKUP(INDIRECT(ADDRESS(2,COLUMN())),OFFSET($BN$2,0,0,ROW()-1,60),ROW()-1,FALSE))</f>
        <v>10.14007426</v>
      </c>
      <c r="J600">
        <f ca="1">IF(AND(ISNUMBER($J$1258),$B$677=1),$J$1258,HLOOKUP(INDIRECT(ADDRESS(2,COLUMN())),OFFSET($BN$2,0,0,ROW()-1,60),ROW()-1,FALSE))</f>
        <v>8.7287203830000006</v>
      </c>
      <c r="K600">
        <f ca="1">IF(AND(ISNUMBER($K$1258),$B$677=1),$K$1258,HLOOKUP(INDIRECT(ADDRESS(2,COLUMN())),OFFSET($BN$2,0,0,ROW()-1,60),ROW()-1,FALSE))</f>
        <v>8.9255834279999995</v>
      </c>
      <c r="L600">
        <f ca="1">IF(AND(ISNUMBER($L$1258),$B$677=1),$L$1258,HLOOKUP(INDIRECT(ADDRESS(2,COLUMN())),OFFSET($BN$2,0,0,ROW()-1,60),ROW()-1,FALSE))</f>
        <v>7.8950789930000003</v>
      </c>
      <c r="M600">
        <f ca="1">IF(AND(ISNUMBER($M$1258),$B$677=1),$M$1258,HLOOKUP(INDIRECT(ADDRESS(2,COLUMN())),OFFSET($BN$2,0,0,ROW()-1,60),ROW()-1,FALSE))</f>
        <v>7.3136576040000003</v>
      </c>
      <c r="N600">
        <f ca="1">IF(AND(ISNUMBER($N$1258),$B$677=1),$N$1258,HLOOKUP(INDIRECT(ADDRESS(2,COLUMN())),OFFSET($BN$2,0,0,ROW()-1,60),ROW()-1,FALSE))</f>
        <v>6.4731280260000004</v>
      </c>
      <c r="O600">
        <f ca="1">IF(AND(ISNUMBER($O$1258),$B$677=1),$O$1258,HLOOKUP(INDIRECT(ADDRESS(2,COLUMN())),OFFSET($BN$2,0,0,ROW()-1,60),ROW()-1,FALSE))</f>
        <v>5.7951523680000001</v>
      </c>
      <c r="P600">
        <f ca="1">IF(AND(ISNUMBER($P$1258),$B$677=1),$P$1258,HLOOKUP(INDIRECT(ADDRESS(2,COLUMN())),OFFSET($BN$2,0,0,ROW()-1,60),ROW()-1,FALSE))</f>
        <v>10.319932700000001</v>
      </c>
      <c r="Q600">
        <f ca="1">IF(AND(ISNUMBER($Q$1258),$B$677=1),$Q$1258,HLOOKUP(INDIRECT(ADDRESS(2,COLUMN())),OFFSET($BN$2,0,0,ROW()-1,60),ROW()-1,FALSE))</f>
        <v>12.210504780000001</v>
      </c>
      <c r="R600">
        <f ca="1">IF(AND(ISNUMBER($R$1258),$B$677=1),$R$1258,HLOOKUP(INDIRECT(ADDRESS(2,COLUMN())),OFFSET($BN$2,0,0,ROW()-1,60),ROW()-1,FALSE))</f>
        <v>13.589341020000001</v>
      </c>
      <c r="S600">
        <f ca="1">IF(AND(ISNUMBER($S$1258),$B$677=1),$S$1258,HLOOKUP(INDIRECT(ADDRESS(2,COLUMN())),OFFSET($BN$2,0,0,ROW()-1,60),ROW()-1,FALSE))</f>
        <v>10.52143176</v>
      </c>
      <c r="T600">
        <f ca="1">IF(AND(ISNUMBER($T$1258),$B$677=1),$T$1258,HLOOKUP(INDIRECT(ADDRESS(2,COLUMN())),OFFSET($BN$2,0,0,ROW()-1,60),ROW()-1,FALSE))</f>
        <v>11.38304503</v>
      </c>
      <c r="U600">
        <f ca="1">IF(AND(ISNUMBER($U$1258),$B$677=1),$U$1258,HLOOKUP(INDIRECT(ADDRESS(2,COLUMN())),OFFSET($BN$2,0,0,ROW()-1,60),ROW()-1,FALSE))</f>
        <v>9.0018402900000005</v>
      </c>
      <c r="V600">
        <f ca="1">IF(AND(ISNUMBER($V$1258),$B$677=1),$V$1258,HLOOKUP(INDIRECT(ADDRESS(2,COLUMN())),OFFSET($BN$2,0,0,ROW()-1,60),ROW()-1,FALSE))</f>
        <v>5.3094465780000002</v>
      </c>
      <c r="W600">
        <f ca="1">IF(AND(ISNUMBER($W$1258),$B$677=1),$W$1258,HLOOKUP(INDIRECT(ADDRESS(2,COLUMN())),OFFSET($BN$2,0,0,ROW()-1,60),ROW()-1,FALSE))</f>
        <v>3.2905602940000001</v>
      </c>
      <c r="X600">
        <f ca="1">IF(AND(ISNUMBER($X$1258),$B$677=1),$X$1258,HLOOKUP(INDIRECT(ADDRESS(2,COLUMN())),OFFSET($BN$2,0,0,ROW()-1,60),ROW()-1,FALSE))</f>
        <v>2.595234161</v>
      </c>
      <c r="Y600">
        <f ca="1">IF(AND(ISNUMBER($Y$1258),$B$677=1),$Y$1258,HLOOKUP(INDIRECT(ADDRESS(2,COLUMN())),OFFSET($BN$2,0,0,ROW()-1,60),ROW()-1,FALSE))</f>
        <v>5.4613097599999998</v>
      </c>
      <c r="Z600">
        <f ca="1">IF(AND(ISNUMBER($Z$1258),$B$677=1),$Z$1258,HLOOKUP(INDIRECT(ADDRESS(2,COLUMN())),OFFSET($BN$2,0,0,ROW()-1,60),ROW()-1,FALSE))</f>
        <v>7.3617089590000004</v>
      </c>
      <c r="AA600">
        <f ca="1">IF(AND(ISNUMBER($AA$1258),$B$677=1),$AA$1258,HLOOKUP(INDIRECT(ADDRESS(2,COLUMN())),OFFSET($BN$2,0,0,ROW()-1,60),ROW()-1,FALSE))</f>
        <v>6.1584261150000001</v>
      </c>
      <c r="AB600">
        <f ca="1">IF(AND(ISNUMBER($AB$1258),$B$677=1),$AB$1258,HLOOKUP(INDIRECT(ADDRESS(2,COLUMN())),OFFSET($BN$2,0,0,ROW()-1,60),ROW()-1,FALSE))</f>
        <v>7.2624138450000002</v>
      </c>
      <c r="AC600">
        <f ca="1">IF(AND(ISNUMBER($AC$1258),$B$677=1),$AC$1258,HLOOKUP(INDIRECT(ADDRESS(2,COLUMN())),OFFSET($BN$2,0,0,ROW()-1,60),ROW()-1,FALSE))</f>
        <v>3.4135233829999998</v>
      </c>
      <c r="AD600">
        <f ca="1">IF(AND(ISNUMBER($AD$1258),$B$677=1),$AD$1258,HLOOKUP(INDIRECT(ADDRESS(2,COLUMN())),OFFSET($BN$2,0,0,ROW()-1,60),ROW()-1,FALSE))</f>
        <v>2.7136001649999999</v>
      </c>
      <c r="AE600">
        <f ca="1">IF(AND(ISNUMBER($AE$1258),$B$677=1),$AE$1258,HLOOKUP(INDIRECT(ADDRESS(2,COLUMN())),OFFSET($BN$2,0,0,ROW()-1,60),ROW()-1,FALSE))</f>
        <v>2.5488193849999998</v>
      </c>
      <c r="AF600">
        <f ca="1">IF(AND(ISNUMBER($AF$1258),$B$677=1),$AF$1258,HLOOKUP(INDIRECT(ADDRESS(2,COLUMN())),OFFSET($BN$2,0,0,ROW()-1,60),ROW()-1,FALSE))</f>
        <v>0.51260290399999997</v>
      </c>
      <c r="AG600">
        <f ca="1">IF(AND(ISNUMBER($AG$1258),$B$677=1),$AG$1258,HLOOKUP(INDIRECT(ADDRESS(2,COLUMN())),OFFSET($BN$2,0,0,ROW()-1,60),ROW()-1,FALSE))</f>
        <v>5.1007118599999997</v>
      </c>
      <c r="AH600">
        <f ca="1">IF(AND(ISNUMBER($AH$1258),$B$677=1),$AH$1258,HLOOKUP(INDIRECT(ADDRESS(2,COLUMN())),OFFSET($BN$2,0,0,ROW()-1,60),ROW()-1,FALSE))</f>
        <v>6.0020606709999997</v>
      </c>
      <c r="AI600">
        <f ca="1">IF(AND(ISNUMBER($AI$1258),$B$677=1),$AI$1258,HLOOKUP(INDIRECT(ADDRESS(2,COLUMN())),OFFSET($BN$2,0,0,ROW()-1,60),ROW()-1,FALSE))</f>
        <v>10.828739649999999</v>
      </c>
      <c r="AJ600">
        <f ca="1">IF(AND(ISNUMBER($AJ$1258),$B$677=1),$AJ$1258,HLOOKUP(INDIRECT(ADDRESS(2,COLUMN())),OFFSET($BN$2,0,0,ROW()-1,60),ROW()-1,FALSE))</f>
        <v>13.295842220000001</v>
      </c>
      <c r="AK600">
        <f ca="1">IF(AND(ISNUMBER($AK$1258),$B$677=1),$AK$1258,HLOOKUP(INDIRECT(ADDRESS(2,COLUMN())),OFFSET($BN$2,0,0,ROW()-1,60),ROW()-1,FALSE))</f>
        <v>10.70184291</v>
      </c>
      <c r="AL600">
        <f ca="1">IF(AND(ISNUMBER($AL$1258),$B$677=1),$AL$1258,HLOOKUP(INDIRECT(ADDRESS(2,COLUMN())),OFFSET($BN$2,0,0,ROW()-1,60),ROW()-1,FALSE))</f>
        <v>13.31426501</v>
      </c>
      <c r="AM600">
        <f ca="1">IF(AND(ISNUMBER($AM$1258),$B$677=1),$AM$1258,HLOOKUP(INDIRECT(ADDRESS(2,COLUMN())),OFFSET($BN$2,0,0,ROW()-1,60),ROW()-1,FALSE))</f>
        <v>13.817071260000001</v>
      </c>
      <c r="AN600">
        <f ca="1">IF(AND(ISNUMBER($AN$1258),$B$677=1),$AN$1258,HLOOKUP(INDIRECT(ADDRESS(2,COLUMN())),OFFSET($BN$2,0,0,ROW()-1,60),ROW()-1,FALSE))</f>
        <v>17.30133249</v>
      </c>
      <c r="AO600">
        <f ca="1">IF(AND(ISNUMBER($AO$1258),$B$677=1),$AO$1258,HLOOKUP(INDIRECT(ADDRESS(2,COLUMN())),OFFSET($BN$2,0,0,ROW()-1,60),ROW()-1,FALSE))</f>
        <v>24.607051899999998</v>
      </c>
      <c r="AP600">
        <f ca="1">IF(AND(ISNUMBER($AP$1258),$B$677=1),$AP$1258,HLOOKUP(INDIRECT(ADDRESS(2,COLUMN())),OFFSET($BN$2,0,0,ROW()-1,60),ROW()-1,FALSE))</f>
        <v>19.23569715</v>
      </c>
      <c r="AQ600">
        <f ca="1">IF(AND(ISNUMBER($AQ$1258),$B$677=1),$AQ$1258,HLOOKUP(INDIRECT(ADDRESS(2,COLUMN())),OFFSET($BN$2,0,0,ROW()-1,60),ROW()-1,FALSE))</f>
        <v>13.087134130000001</v>
      </c>
      <c r="AR600">
        <f ca="1">IF(AND(ISNUMBER($AR$1258),$B$677=1),$AR$1258,HLOOKUP(INDIRECT(ADDRESS(2,COLUMN())),OFFSET($BN$2,0,0,ROW()-1,60),ROW()-1,FALSE))</f>
        <v>6.8985270720000003</v>
      </c>
      <c r="AS600">
        <f ca="1">IF(AND(ISNUMBER($AS$1258),$B$677=1),$AS$1258,HLOOKUP(INDIRECT(ADDRESS(2,COLUMN())),OFFSET($BN$2,0,0,ROW()-1,60),ROW()-1,FALSE))</f>
        <v>-2.626689968</v>
      </c>
      <c r="AT600">
        <f ca="1">IF(AND(ISNUMBER($AT$1258),$B$677=1),$AT$1258,HLOOKUP(INDIRECT(ADDRESS(2,COLUMN())),OFFSET($BN$2,0,0,ROW()-1,60),ROW()-1,FALSE))</f>
        <v>-5.9881150769999998</v>
      </c>
      <c r="AU600">
        <f ca="1">IF(AND(ISNUMBER($AU$1258),$B$677=1),$AU$1258,HLOOKUP(INDIRECT(ADDRESS(2,COLUMN())),OFFSET($BN$2,0,0,ROW()-1,60),ROW()-1,FALSE))</f>
        <v>-1.9627909240000001</v>
      </c>
      <c r="AV600">
        <f ca="1">IF(AND(ISNUMBER($AV$1258),$B$677=1),$AV$1258,HLOOKUP(INDIRECT(ADDRESS(2,COLUMN())),OFFSET($BN$2,0,0,ROW()-1,60),ROW()-1,FALSE))</f>
        <v>0.62107938799999995</v>
      </c>
      <c r="AW600">
        <f ca="1">IF(AND(ISNUMBER($AW$1258),$B$677=1),$AW$1258,HLOOKUP(INDIRECT(ADDRESS(2,COLUMN())),OFFSET($BN$2,0,0,ROW()-1,60),ROW()-1,FALSE))</f>
        <v>-0.54043190399999996</v>
      </c>
      <c r="AX600">
        <f ca="1">IF(AND(ISNUMBER($AX$1258),$B$677=1),$AX$1258,HLOOKUP(INDIRECT(ADDRESS(2,COLUMN())),OFFSET($BN$2,0,0,ROW()-1,60),ROW()-1,FALSE))</f>
        <v>-2.318912391</v>
      </c>
      <c r="AY600">
        <f ca="1">IF(AND(ISNUMBER($AY$1258),$B$677=1),$AY$1258,HLOOKUP(INDIRECT(ADDRESS(2,COLUMN())),OFFSET($BN$2,0,0,ROW()-1,60),ROW()-1,FALSE))</f>
        <v>-2.183368303</v>
      </c>
      <c r="AZ600">
        <f ca="1">IF(AND(ISNUMBER($AZ$1258),$B$677=1),$AZ$1258,HLOOKUP(INDIRECT(ADDRESS(2,COLUMN())),OFFSET($BN$2,0,0,ROW()-1,60),ROW()-1,FALSE))</f>
        <v>-3.0568027240000002</v>
      </c>
      <c r="BA600">
        <f ca="1">IF(AND(ISNUMBER($BA$1258),$B$677=1),$BA$1258,HLOOKUP(INDIRECT(ADDRESS(2,COLUMN())),OFFSET($BN$2,0,0,ROW()-1,60),ROW()-1,FALSE))</f>
        <v>-0.61243859599999995</v>
      </c>
      <c r="BB600">
        <f ca="1">IF(AND(ISNUMBER($BB$1258),$B$677=1),$BB$1258,HLOOKUP(INDIRECT(ADDRESS(2,COLUMN())),OFFSET($BN$2,0,0,ROW()-1,60),ROW()-1,FALSE))</f>
        <v>-0.80719735599999998</v>
      </c>
      <c r="BC600">
        <f ca="1">IF(AND(ISNUMBER($BC$1258),$B$677=1),$BC$1258,HLOOKUP(INDIRECT(ADDRESS(2,COLUMN())),OFFSET($BN$2,0,0,ROW()-1,60),ROW()-1,FALSE))</f>
        <v>1.021155939</v>
      </c>
      <c r="BD600">
        <f ca="1">IF(AND(ISNUMBER($BD$1258),$B$677=1),$BD$1258,HLOOKUP(INDIRECT(ADDRESS(2,COLUMN())),OFFSET($BN$2,0,0,ROW()-1,60),ROW()-1,FALSE))</f>
        <v>2.3031052110000001</v>
      </c>
      <c r="BE600">
        <f ca="1">IF(AND(ISNUMBER($BE$1258),$B$677=1),$BE$1258,HLOOKUP(INDIRECT(ADDRESS(2,COLUMN())),OFFSET($BN$2,0,0,ROW()-1,60),ROW()-1,FALSE))</f>
        <v>2.1514905149999999</v>
      </c>
      <c r="BF600">
        <f ca="1">IF(AND(ISNUMBER($BF$1258),$B$677=1),$BF$1258,HLOOKUP(INDIRECT(ADDRESS(2,COLUMN())),OFFSET($BN$2,0,0,ROW()-1,60),ROW()-1,FALSE))</f>
        <v>1.8006036320000001</v>
      </c>
      <c r="BG600">
        <f ca="1">IF(AND(ISNUMBER($BG$1258),$B$677=1),$BG$1258,HLOOKUP(INDIRECT(ADDRESS(2,COLUMN())),OFFSET($BN$2,0,0,ROW()-1,60),ROW()-1,FALSE))</f>
        <v>2.5302260780000001</v>
      </c>
      <c r="BH600">
        <f ca="1">IF(AND(ISNUMBER($BH$1258),$B$677=1),$BH$1258,HLOOKUP(INDIRECT(ADDRESS(2,COLUMN())),OFFSET($BN$2,0,0,ROW()-1,60),ROW()-1,FALSE))</f>
        <v>5.6675994430000003</v>
      </c>
      <c r="BI600">
        <f ca="1">IF(AND(ISNUMBER($BI$1258),$B$677=1),$BI$1258,HLOOKUP(INDIRECT(ADDRESS(2,COLUMN())),OFFSET($BN$2,0,0,ROW()-1,60),ROW()-1,FALSE))</f>
        <v>6.8564397899999996</v>
      </c>
      <c r="BJ600">
        <f ca="1">IF(AND(ISNUMBER($BJ$1258),$B$677=1),$BJ$1258,HLOOKUP(INDIRECT(ADDRESS(2,COLUMN())),OFFSET($BN$2,0,0,ROW()-1,60),ROW()-1,FALSE))</f>
        <v>7.4436990129999998</v>
      </c>
      <c r="BK600" t="str">
        <f ca="1">IF(AND(ISNUMBER($BK$1258),$B$677=1),$BK$1258,HLOOKUP(INDIRECT(ADDRESS(2,COLUMN())),OFFSET($BN$2,0,0,ROW()-1,60),ROW()-1,FALSE))</f>
        <v/>
      </c>
      <c r="BL600" t="str">
        <f ca="1">IF(AND(ISNUMBER($BL$1258),$B$677=1),$BL$1258,HLOOKUP(INDIRECT(ADDRESS(2,COLUMN())),OFFSET($BN$2,0,0,ROW()-1,60),ROW()-1,FALSE))</f>
        <v/>
      </c>
      <c r="BM600" t="str">
        <f ca="1">IF(AND(ISNUMBER($BM$1258),$B$677=1),$BM$1258,HLOOKUP(INDIRECT(ADDRESS(2,COLUMN())),OFFSET($BN$2,0,0,ROW()-1,60),ROW()-1,FALSE))</f>
        <v/>
      </c>
      <c r="BN600">
        <f>8.115530047</f>
        <v>8.115530047</v>
      </c>
      <c r="BO600">
        <f>8.761800448</f>
        <v>8.7618004480000007</v>
      </c>
      <c r="BP600">
        <f>8.013244483</f>
        <v>8.0132444829999994</v>
      </c>
      <c r="BQ600">
        <f>10.14007426</f>
        <v>10.14007426</v>
      </c>
      <c r="BR600">
        <f>8.728720383</f>
        <v>8.7287203830000006</v>
      </c>
      <c r="BS600">
        <f>8.925583428</f>
        <v>8.9255834279999995</v>
      </c>
      <c r="BT600">
        <f>7.895078993</f>
        <v>7.8950789930000003</v>
      </c>
      <c r="BU600">
        <f>7.313657604</f>
        <v>7.3136576040000003</v>
      </c>
      <c r="BV600">
        <f>6.473128026</f>
        <v>6.4731280260000004</v>
      </c>
      <c r="BW600">
        <f>5.795152368</f>
        <v>5.7951523680000001</v>
      </c>
      <c r="BX600">
        <f>10.3199327</f>
        <v>10.319932700000001</v>
      </c>
      <c r="BY600">
        <f>12.21050478</f>
        <v>12.210504780000001</v>
      </c>
      <c r="BZ600">
        <f>13.58934102</f>
        <v>13.589341020000001</v>
      </c>
      <c r="CA600">
        <f>10.52143176</f>
        <v>10.52143176</v>
      </c>
      <c r="CB600">
        <f>11.38304503</f>
        <v>11.38304503</v>
      </c>
      <c r="CC600">
        <f>9.00184029</f>
        <v>9.0018402900000005</v>
      </c>
      <c r="CD600">
        <f>5.309446578</f>
        <v>5.3094465780000002</v>
      </c>
      <c r="CE600">
        <f>3.290560294</f>
        <v>3.2905602940000001</v>
      </c>
      <c r="CF600">
        <f>2.595234161</f>
        <v>2.595234161</v>
      </c>
      <c r="CG600">
        <f>5.46130976</f>
        <v>5.4613097599999998</v>
      </c>
      <c r="CH600">
        <f>7.361708959</f>
        <v>7.3617089590000004</v>
      </c>
      <c r="CI600">
        <f>6.158426115</f>
        <v>6.1584261150000001</v>
      </c>
      <c r="CJ600">
        <f>7.262413845</f>
        <v>7.2624138450000002</v>
      </c>
      <c r="CK600">
        <f>3.413523383</f>
        <v>3.4135233829999998</v>
      </c>
      <c r="CL600">
        <f>2.713600165</f>
        <v>2.7136001649999999</v>
      </c>
      <c r="CM600">
        <f>2.548819385</f>
        <v>2.5488193849999998</v>
      </c>
      <c r="CN600">
        <f>0.512602904</f>
        <v>0.51260290399999997</v>
      </c>
      <c r="CO600">
        <f>5.10071186</f>
        <v>5.1007118599999997</v>
      </c>
      <c r="CP600">
        <f>6.002060671</f>
        <v>6.0020606709999997</v>
      </c>
      <c r="CQ600">
        <f>10.82873965</f>
        <v>10.828739649999999</v>
      </c>
      <c r="CR600">
        <f>13.29584222</f>
        <v>13.295842220000001</v>
      </c>
      <c r="CS600">
        <f>10.70184291</f>
        <v>10.70184291</v>
      </c>
      <c r="CT600">
        <f>13.31426501</f>
        <v>13.31426501</v>
      </c>
      <c r="CU600">
        <f>13.81707126</f>
        <v>13.817071260000001</v>
      </c>
      <c r="CV600">
        <f>17.30133249</f>
        <v>17.30133249</v>
      </c>
      <c r="CW600">
        <f>24.6070519</f>
        <v>24.607051899999998</v>
      </c>
      <c r="CX600">
        <f>19.23569715</f>
        <v>19.23569715</v>
      </c>
      <c r="CY600">
        <f>13.08713413</f>
        <v>13.087134130000001</v>
      </c>
      <c r="CZ600">
        <f>6.898527072</f>
        <v>6.8985270720000003</v>
      </c>
      <c r="DA600">
        <f>-2.626689968</f>
        <v>-2.626689968</v>
      </c>
      <c r="DB600">
        <f>-5.988115077</f>
        <v>-5.9881150769999998</v>
      </c>
      <c r="DC600">
        <f>-1.962790924</f>
        <v>-1.9627909240000001</v>
      </c>
      <c r="DD600">
        <f>0.621079388</f>
        <v>0.62107938799999995</v>
      </c>
      <c r="DE600">
        <f>-0.540431904</f>
        <v>-0.54043190399999996</v>
      </c>
      <c r="DF600">
        <f>-2.318912391</f>
        <v>-2.318912391</v>
      </c>
      <c r="DG600">
        <f>-2.183368303</f>
        <v>-2.183368303</v>
      </c>
      <c r="DH600">
        <f>-3.056802724</f>
        <v>-3.0568027240000002</v>
      </c>
      <c r="DI600">
        <f>-0.612438596</f>
        <v>-0.61243859599999995</v>
      </c>
      <c r="DJ600">
        <f>-0.807197356</f>
        <v>-0.80719735599999998</v>
      </c>
      <c r="DK600">
        <f>1.021155939</f>
        <v>1.021155939</v>
      </c>
      <c r="DL600">
        <f>2.303105211</f>
        <v>2.3031052110000001</v>
      </c>
      <c r="DM600">
        <f>2.151490515</f>
        <v>2.1514905149999999</v>
      </c>
      <c r="DN600">
        <f>1.800603632</f>
        <v>1.8006036320000001</v>
      </c>
      <c r="DO600">
        <f>2.530226078</f>
        <v>2.5302260780000001</v>
      </c>
      <c r="DP600">
        <f>5.667599443</f>
        <v>5.6675994430000003</v>
      </c>
      <c r="DQ600">
        <f>6.85643979</f>
        <v>6.8564397899999996</v>
      </c>
      <c r="DR600">
        <f>7.443699013</f>
        <v>7.4436990129999998</v>
      </c>
      <c r="DS600" t="str">
        <f>""</f>
        <v/>
      </c>
      <c r="DT600" t="str">
        <f>""</f>
        <v/>
      </c>
      <c r="DU600" t="str">
        <f>""</f>
        <v/>
      </c>
    </row>
    <row r="601" spans="1:125" x14ac:dyDescent="0.25">
      <c r="A601" t="str">
        <f>"    Hyundai Motor Co"</f>
        <v xml:space="preserve">    Hyundai Motor Co</v>
      </c>
      <c r="B601" t="str">
        <f>"005380 KS Equity"</f>
        <v>005380 KS Equity</v>
      </c>
      <c r="C601" t="str">
        <f t="shared" si="42"/>
        <v>RX072</v>
      </c>
      <c r="D601" t="str">
        <f t="shared" si="43"/>
        <v>FREE_CASH_FLOW_YIELD</v>
      </c>
      <c r="E601" t="str">
        <f t="shared" si="44"/>
        <v>Dynamic</v>
      </c>
      <c r="F601" t="str">
        <f ca="1">IF(AND(ISNUMBER($F$1259),$B$677=1),$F$1259,HLOOKUP(INDIRECT(ADDRESS(2,COLUMN())),OFFSET($BN$2,0,0,ROW()-1,60),ROW()-1,FALSE))</f>
        <v/>
      </c>
      <c r="G601">
        <f ca="1">IF(AND(ISNUMBER($G$1259),$B$677=1),$G$1259,HLOOKUP(INDIRECT(ADDRESS(2,COLUMN())),OFFSET($BN$2,0,0,ROW()-1,60),ROW()-1,FALSE))</f>
        <v>8.2000465449999993</v>
      </c>
      <c r="H601">
        <f ca="1">IF(AND(ISNUMBER($H$1259),$B$677=1),$H$1259,HLOOKUP(INDIRECT(ADDRESS(2,COLUMN())),OFFSET($BN$2,0,0,ROW()-1,60),ROW()-1,FALSE))</f>
        <v>7.5035174939999996</v>
      </c>
      <c r="I601">
        <f ca="1">IF(AND(ISNUMBER($I$1259),$B$677=1),$I$1259,HLOOKUP(INDIRECT(ADDRESS(2,COLUMN())),OFFSET($BN$2,0,0,ROW()-1,60),ROW()-1,FALSE))</f>
        <v>5.8761903459999996</v>
      </c>
      <c r="J601">
        <f ca="1">IF(AND(ISNUMBER($J$1259),$B$677=1),$J$1259,HLOOKUP(INDIRECT(ADDRESS(2,COLUMN())),OFFSET($BN$2,0,0,ROW()-1,60),ROW()-1,FALSE))</f>
        <v>3.1600406909999998</v>
      </c>
      <c r="K601">
        <f ca="1">IF(AND(ISNUMBER($K$1259),$B$677=1),$K$1259,HLOOKUP(INDIRECT(ADDRESS(2,COLUMN())),OFFSET($BN$2,0,0,ROW()-1,60),ROW()-1,FALSE))</f>
        <v>2.685407927</v>
      </c>
      <c r="L601">
        <f ca="1">IF(AND(ISNUMBER($L$1259),$B$677=1),$L$1259,HLOOKUP(INDIRECT(ADDRESS(2,COLUMN())),OFFSET($BN$2,0,0,ROW()-1,60),ROW()-1,FALSE))</f>
        <v>-0.78660225100000003</v>
      </c>
      <c r="M601">
        <f ca="1">IF(AND(ISNUMBER($M$1259),$B$677=1),$M$1259,HLOOKUP(INDIRECT(ADDRESS(2,COLUMN())),OFFSET($BN$2,0,0,ROW()-1,60),ROW()-1,FALSE))</f>
        <v>-0.53911626499999998</v>
      </c>
      <c r="N601">
        <f ca="1">IF(AND(ISNUMBER($N$1259),$B$677=1),$N$1259,HLOOKUP(INDIRECT(ADDRESS(2,COLUMN())),OFFSET($BN$2,0,0,ROW()-1,60),ROW()-1,FALSE))</f>
        <v>0.183057424</v>
      </c>
      <c r="O601">
        <f ca="1">IF(AND(ISNUMBER($O$1259),$B$677=1),$O$1259,HLOOKUP(INDIRECT(ADDRESS(2,COLUMN())),OFFSET($BN$2,0,0,ROW()-1,60),ROW()-1,FALSE))</f>
        <v>-6.5403816900000002</v>
      </c>
      <c r="P601">
        <f ca="1">IF(AND(ISNUMBER($P$1259),$B$677=1),$P$1259,HLOOKUP(INDIRECT(ADDRESS(2,COLUMN())),OFFSET($BN$2,0,0,ROW()-1,60),ROW()-1,FALSE))</f>
        <v>-12.36963347</v>
      </c>
      <c r="Q601">
        <f ca="1">IF(AND(ISNUMBER($Q$1259),$B$677=1),$Q$1259,HLOOKUP(INDIRECT(ADDRESS(2,COLUMN())),OFFSET($BN$2,0,0,ROW()-1,60),ROW()-1,FALSE))</f>
        <v>-21.059001179999999</v>
      </c>
      <c r="R601">
        <f ca="1">IF(AND(ISNUMBER($R$1259),$B$677=1),$R$1259,HLOOKUP(INDIRECT(ADDRESS(2,COLUMN())),OFFSET($BN$2,0,0,ROW()-1,60),ROW()-1,FALSE))</f>
        <v>-24.11056031</v>
      </c>
      <c r="S601">
        <f ca="1">IF(AND(ISNUMBER($S$1259),$B$677=1),$S$1259,HLOOKUP(INDIRECT(ADDRESS(2,COLUMN())),OFFSET($BN$2,0,0,ROW()-1,60),ROW()-1,FALSE))</f>
        <v>-22.33874153</v>
      </c>
      <c r="T601">
        <f ca="1">IF(AND(ISNUMBER($T$1259),$B$677=1),$T$1259,HLOOKUP(INDIRECT(ADDRESS(2,COLUMN())),OFFSET($BN$2,0,0,ROW()-1,60),ROW()-1,FALSE))</f>
        <v>-24.442946079999999</v>
      </c>
      <c r="U601">
        <f ca="1">IF(AND(ISNUMBER($U$1259),$B$677=1),$U$1259,HLOOKUP(INDIRECT(ADDRESS(2,COLUMN())),OFFSET($BN$2,0,0,ROW()-1,60),ROW()-1,FALSE))</f>
        <v>-21.58674345</v>
      </c>
      <c r="V601">
        <f ca="1">IF(AND(ISNUMBER($V$1259),$B$677=1),$V$1259,HLOOKUP(INDIRECT(ADDRESS(2,COLUMN())),OFFSET($BN$2,0,0,ROW()-1,60),ROW()-1,FALSE))</f>
        <v>-11.111082440000001</v>
      </c>
      <c r="W601">
        <f ca="1">IF(AND(ISNUMBER($W$1259),$B$677=1),$W$1259,HLOOKUP(INDIRECT(ADDRESS(2,COLUMN())),OFFSET($BN$2,0,0,ROW()-1,60),ROW()-1,FALSE))</f>
        <v>-3.4949585110000001</v>
      </c>
      <c r="X601">
        <f ca="1">IF(AND(ISNUMBER($X$1259),$B$677=1),$X$1259,HLOOKUP(INDIRECT(ADDRESS(2,COLUMN())),OFFSET($BN$2,0,0,ROW()-1,60),ROW()-1,FALSE))</f>
        <v>-5.2559216610000004</v>
      </c>
      <c r="Y601">
        <f ca="1">IF(AND(ISNUMBER($Y$1259),$B$677=1),$Y$1259,HLOOKUP(INDIRECT(ADDRESS(2,COLUMN())),OFFSET($BN$2,0,0,ROW()-1,60),ROW()-1,FALSE))</f>
        <v>-6.3370664259999998</v>
      </c>
      <c r="Z601">
        <f ca="1">IF(AND(ISNUMBER($Z$1259),$B$677=1),$Z$1259,HLOOKUP(INDIRECT(ADDRESS(2,COLUMN())),OFFSET($BN$2,0,0,ROW()-1,60),ROW()-1,FALSE))</f>
        <v>-2.1935258379999998</v>
      </c>
      <c r="AA601">
        <f ca="1">IF(AND(ISNUMBER($AA$1259),$B$677=1),$AA$1259,HLOOKUP(INDIRECT(ADDRESS(2,COLUMN())),OFFSET($BN$2,0,0,ROW()-1,60),ROW()-1,FALSE))</f>
        <v>-3.965519859</v>
      </c>
      <c r="AB601">
        <f ca="1">IF(AND(ISNUMBER($AB$1259),$B$677=1),$AB$1259,HLOOKUP(INDIRECT(ADDRESS(2,COLUMN())),OFFSET($BN$2,0,0,ROW()-1,60),ROW()-1,FALSE))</f>
        <v>2.8879820220000001</v>
      </c>
      <c r="AC601">
        <f ca="1">IF(AND(ISNUMBER($AC$1259),$B$677=1),$AC$1259,HLOOKUP(INDIRECT(ADDRESS(2,COLUMN())),OFFSET($BN$2,0,0,ROW()-1,60),ROW()-1,FALSE))</f>
        <v>8.1288216539999993</v>
      </c>
      <c r="AD601">
        <f ca="1">IF(AND(ISNUMBER($AD$1259),$B$677=1),$AD$1259,HLOOKUP(INDIRECT(ADDRESS(2,COLUMN())),OFFSET($BN$2,0,0,ROW()-1,60),ROW()-1,FALSE))</f>
        <v>4.7636969860000002</v>
      </c>
      <c r="AE601">
        <f ca="1">IF(AND(ISNUMBER($AE$1259),$B$677=1),$AE$1259,HLOOKUP(INDIRECT(ADDRESS(2,COLUMN())),OFFSET($BN$2,0,0,ROW()-1,60),ROW()-1,FALSE))</f>
        <v>5.1167310109999997</v>
      </c>
      <c r="AF601">
        <f ca="1">IF(AND(ISNUMBER($AF$1259),$B$677=1),$AF$1259,HLOOKUP(INDIRECT(ADDRESS(2,COLUMN())),OFFSET($BN$2,0,0,ROW()-1,60),ROW()-1,FALSE))</f>
        <v>5.5141587850000002</v>
      </c>
      <c r="AG601">
        <f ca="1">IF(AND(ISNUMBER($AG$1259),$B$677=1),$AG$1259,HLOOKUP(INDIRECT(ADDRESS(2,COLUMN())),OFFSET($BN$2,0,0,ROW()-1,60),ROW()-1,FALSE))</f>
        <v>2.8220261870000001</v>
      </c>
      <c r="AH601">
        <f ca="1">IF(AND(ISNUMBER($AH$1259),$B$677=1),$AH$1259,HLOOKUP(INDIRECT(ADDRESS(2,COLUMN())),OFFSET($BN$2,0,0,ROW()-1,60),ROW()-1,FALSE))</f>
        <v>3.4783564980000001</v>
      </c>
      <c r="AI601">
        <f ca="1">IF(AND(ISNUMBER($AI$1259),$B$677=1),$AI$1259,HLOOKUP(INDIRECT(ADDRESS(2,COLUMN())),OFFSET($BN$2,0,0,ROW()-1,60),ROW()-1,FALSE))</f>
        <v>2.7642482720000001</v>
      </c>
      <c r="AJ601">
        <f ca="1">IF(AND(ISNUMBER($AJ$1259),$B$677=1),$AJ$1259,HLOOKUP(INDIRECT(ADDRESS(2,COLUMN())),OFFSET($BN$2,0,0,ROW()-1,60),ROW()-1,FALSE))</f>
        <v>2.832269733</v>
      </c>
      <c r="AK601">
        <f ca="1">IF(AND(ISNUMBER($AK$1259),$B$677=1),$AK$1259,HLOOKUP(INDIRECT(ADDRESS(2,COLUMN())),OFFSET($BN$2,0,0,ROW()-1,60),ROW()-1,FALSE))</f>
        <v>2.8747104380000001</v>
      </c>
      <c r="AL601">
        <f ca="1">IF(AND(ISNUMBER($AL$1259),$B$677=1),$AL$1259,HLOOKUP(INDIRECT(ADDRESS(2,COLUMN())),OFFSET($BN$2,0,0,ROW()-1,60),ROW()-1,FALSE))</f>
        <v>4.77056871</v>
      </c>
      <c r="AM601">
        <f ca="1">IF(AND(ISNUMBER($AM$1259),$B$677=1),$AM$1259,HLOOKUP(INDIRECT(ADDRESS(2,COLUMN())),OFFSET($BN$2,0,0,ROW()-1,60),ROW()-1,FALSE))</f>
        <v>6.4207634139999996</v>
      </c>
      <c r="AN601" t="str">
        <f ca="1">IF(AND(ISNUMBER($AN$1259),$B$677=1),$AN$1259,HLOOKUP(INDIRECT(ADDRESS(2,COLUMN())),OFFSET($BN$2,0,0,ROW()-1,60),ROW()-1,FALSE))</f>
        <v/>
      </c>
      <c r="AO601" t="str">
        <f ca="1">IF(AND(ISNUMBER($AO$1259),$B$677=1),$AO$1259,HLOOKUP(INDIRECT(ADDRESS(2,COLUMN())),OFFSET($BN$2,0,0,ROW()-1,60),ROW()-1,FALSE))</f>
        <v/>
      </c>
      <c r="AP601" t="str">
        <f ca="1">IF(AND(ISNUMBER($AP$1259),$B$677=1),$AP$1259,HLOOKUP(INDIRECT(ADDRESS(2,COLUMN())),OFFSET($BN$2,0,0,ROW()-1,60),ROW()-1,FALSE))</f>
        <v/>
      </c>
      <c r="AQ601" t="str">
        <f ca="1">IF(AND(ISNUMBER($AQ$1259),$B$677=1),$AQ$1259,HLOOKUP(INDIRECT(ADDRESS(2,COLUMN())),OFFSET($BN$2,0,0,ROW()-1,60),ROW()-1,FALSE))</f>
        <v/>
      </c>
      <c r="AR601" t="str">
        <f ca="1">IF(AND(ISNUMBER($AR$1259),$B$677=1),$AR$1259,HLOOKUP(INDIRECT(ADDRESS(2,COLUMN())),OFFSET($BN$2,0,0,ROW()-1,60),ROW()-1,FALSE))</f>
        <v/>
      </c>
      <c r="AS601" t="str">
        <f ca="1">IF(AND(ISNUMBER($AS$1259),$B$677=1),$AS$1259,HLOOKUP(INDIRECT(ADDRESS(2,COLUMN())),OFFSET($BN$2,0,0,ROW()-1,60),ROW()-1,FALSE))</f>
        <v/>
      </c>
      <c r="AT601" t="str">
        <f ca="1">IF(AND(ISNUMBER($AT$1259),$B$677=1),$AT$1259,HLOOKUP(INDIRECT(ADDRESS(2,COLUMN())),OFFSET($BN$2,0,0,ROW()-1,60),ROW()-1,FALSE))</f>
        <v/>
      </c>
      <c r="AU601" t="str">
        <f ca="1">IF(AND(ISNUMBER($AU$1259),$B$677=1),$AU$1259,HLOOKUP(INDIRECT(ADDRESS(2,COLUMN())),OFFSET($BN$2,0,0,ROW()-1,60),ROW()-1,FALSE))</f>
        <v/>
      </c>
      <c r="AV601" t="str">
        <f ca="1">IF(AND(ISNUMBER($AV$1259),$B$677=1),$AV$1259,HLOOKUP(INDIRECT(ADDRESS(2,COLUMN())),OFFSET($BN$2,0,0,ROW()-1,60),ROW()-1,FALSE))</f>
        <v/>
      </c>
      <c r="AW601" t="str">
        <f ca="1">IF(AND(ISNUMBER($AW$1259),$B$677=1),$AW$1259,HLOOKUP(INDIRECT(ADDRESS(2,COLUMN())),OFFSET($BN$2,0,0,ROW()-1,60),ROW()-1,FALSE))</f>
        <v/>
      </c>
      <c r="AX601" t="str">
        <f ca="1">IF(AND(ISNUMBER($AX$1259),$B$677=1),$AX$1259,HLOOKUP(INDIRECT(ADDRESS(2,COLUMN())),OFFSET($BN$2,0,0,ROW()-1,60),ROW()-1,FALSE))</f>
        <v/>
      </c>
      <c r="AY601" t="str">
        <f ca="1">IF(AND(ISNUMBER($AY$1259),$B$677=1),$AY$1259,HLOOKUP(INDIRECT(ADDRESS(2,COLUMN())),OFFSET($BN$2,0,0,ROW()-1,60),ROW()-1,FALSE))</f>
        <v/>
      </c>
      <c r="AZ601" t="str">
        <f ca="1">IF(AND(ISNUMBER($AZ$1259),$B$677=1),$AZ$1259,HLOOKUP(INDIRECT(ADDRESS(2,COLUMN())),OFFSET($BN$2,0,0,ROW()-1,60),ROW()-1,FALSE))</f>
        <v/>
      </c>
      <c r="BA601" t="str">
        <f ca="1">IF(AND(ISNUMBER($BA$1259),$B$677=1),$BA$1259,HLOOKUP(INDIRECT(ADDRESS(2,COLUMN())),OFFSET($BN$2,0,0,ROW()-1,60),ROW()-1,FALSE))</f>
        <v/>
      </c>
      <c r="BB601" t="str">
        <f ca="1">IF(AND(ISNUMBER($BB$1259),$B$677=1),$BB$1259,HLOOKUP(INDIRECT(ADDRESS(2,COLUMN())),OFFSET($BN$2,0,0,ROW()-1,60),ROW()-1,FALSE))</f>
        <v/>
      </c>
      <c r="BC601" t="str">
        <f ca="1">IF(AND(ISNUMBER($BC$1259),$B$677=1),$BC$1259,HLOOKUP(INDIRECT(ADDRESS(2,COLUMN())),OFFSET($BN$2,0,0,ROW()-1,60),ROW()-1,FALSE))</f>
        <v/>
      </c>
      <c r="BD601" t="str">
        <f ca="1">IF(AND(ISNUMBER($BD$1259),$B$677=1),$BD$1259,HLOOKUP(INDIRECT(ADDRESS(2,COLUMN())),OFFSET($BN$2,0,0,ROW()-1,60),ROW()-1,FALSE))</f>
        <v/>
      </c>
      <c r="BE601" t="str">
        <f ca="1">IF(AND(ISNUMBER($BE$1259),$B$677=1),$BE$1259,HLOOKUP(INDIRECT(ADDRESS(2,COLUMN())),OFFSET($BN$2,0,0,ROW()-1,60),ROW()-1,FALSE))</f>
        <v/>
      </c>
      <c r="BF601" t="str">
        <f ca="1">IF(AND(ISNUMBER($BF$1259),$B$677=1),$BF$1259,HLOOKUP(INDIRECT(ADDRESS(2,COLUMN())),OFFSET($BN$2,0,0,ROW()-1,60),ROW()-1,FALSE))</f>
        <v/>
      </c>
      <c r="BG601" t="str">
        <f ca="1">IF(AND(ISNUMBER($BG$1259),$B$677=1),$BG$1259,HLOOKUP(INDIRECT(ADDRESS(2,COLUMN())),OFFSET($BN$2,0,0,ROW()-1,60),ROW()-1,FALSE))</f>
        <v/>
      </c>
      <c r="BH601" t="str">
        <f ca="1">IF(AND(ISNUMBER($BH$1259),$B$677=1),$BH$1259,HLOOKUP(INDIRECT(ADDRESS(2,COLUMN())),OFFSET($BN$2,0,0,ROW()-1,60),ROW()-1,FALSE))</f>
        <v/>
      </c>
      <c r="BI601" t="str">
        <f ca="1">IF(AND(ISNUMBER($BI$1259),$B$677=1),$BI$1259,HLOOKUP(INDIRECT(ADDRESS(2,COLUMN())),OFFSET($BN$2,0,0,ROW()-1,60),ROW()-1,FALSE))</f>
        <v/>
      </c>
      <c r="BJ601" t="str">
        <f ca="1">IF(AND(ISNUMBER($BJ$1259),$B$677=1),$BJ$1259,HLOOKUP(INDIRECT(ADDRESS(2,COLUMN())),OFFSET($BN$2,0,0,ROW()-1,60),ROW()-1,FALSE))</f>
        <v/>
      </c>
      <c r="BK601" t="str">
        <f ca="1">IF(AND(ISNUMBER($BK$1259),$B$677=1),$BK$1259,HLOOKUP(INDIRECT(ADDRESS(2,COLUMN())),OFFSET($BN$2,0,0,ROW()-1,60),ROW()-1,FALSE))</f>
        <v/>
      </c>
      <c r="BL601" t="str">
        <f ca="1">IF(AND(ISNUMBER($BL$1259),$B$677=1),$BL$1259,HLOOKUP(INDIRECT(ADDRESS(2,COLUMN())),OFFSET($BN$2,0,0,ROW()-1,60),ROW()-1,FALSE))</f>
        <v/>
      </c>
      <c r="BM601" t="str">
        <f ca="1">IF(AND(ISNUMBER($BM$1259),$B$677=1),$BM$1259,HLOOKUP(INDIRECT(ADDRESS(2,COLUMN())),OFFSET($BN$2,0,0,ROW()-1,60),ROW()-1,FALSE))</f>
        <v/>
      </c>
      <c r="BN601" t="str">
        <f>""</f>
        <v/>
      </c>
      <c r="BO601">
        <f>8.200046545</f>
        <v>8.2000465449999993</v>
      </c>
      <c r="BP601">
        <f>7.503517494</f>
        <v>7.5035174939999996</v>
      </c>
      <c r="BQ601">
        <f>5.876190346</f>
        <v>5.8761903459999996</v>
      </c>
      <c r="BR601">
        <f>3.160040691</f>
        <v>3.1600406909999998</v>
      </c>
      <c r="BS601">
        <f>2.685407927</f>
        <v>2.685407927</v>
      </c>
      <c r="BT601">
        <f>-0.786602251</f>
        <v>-0.78660225100000003</v>
      </c>
      <c r="BU601">
        <f>-0.539116265</f>
        <v>-0.53911626499999998</v>
      </c>
      <c r="BV601">
        <f>0.183057424</f>
        <v>0.183057424</v>
      </c>
      <c r="BW601">
        <f>-6.54038169</f>
        <v>-6.5403816900000002</v>
      </c>
      <c r="BX601">
        <f>-12.36963347</f>
        <v>-12.36963347</v>
      </c>
      <c r="BY601">
        <f>-21.05900118</f>
        <v>-21.059001179999999</v>
      </c>
      <c r="BZ601">
        <f>-24.11056031</f>
        <v>-24.11056031</v>
      </c>
      <c r="CA601">
        <f>-22.33874153</f>
        <v>-22.33874153</v>
      </c>
      <c r="CB601">
        <f>-24.44294608</f>
        <v>-24.442946079999999</v>
      </c>
      <c r="CC601">
        <f>-21.58674345</f>
        <v>-21.58674345</v>
      </c>
      <c r="CD601">
        <f>-11.11108244</f>
        <v>-11.111082440000001</v>
      </c>
      <c r="CE601">
        <f>-3.494958511</f>
        <v>-3.4949585110000001</v>
      </c>
      <c r="CF601">
        <f>-5.255921661</f>
        <v>-5.2559216610000004</v>
      </c>
      <c r="CG601">
        <f>-6.337066426</f>
        <v>-6.3370664259999998</v>
      </c>
      <c r="CH601">
        <f>-2.193525838</f>
        <v>-2.1935258379999998</v>
      </c>
      <c r="CI601">
        <f>-3.965519859</f>
        <v>-3.965519859</v>
      </c>
      <c r="CJ601">
        <f>2.887982022</f>
        <v>2.8879820220000001</v>
      </c>
      <c r="CK601">
        <f>8.128821654</f>
        <v>8.1288216539999993</v>
      </c>
      <c r="CL601">
        <f>4.763696986</f>
        <v>4.7636969860000002</v>
      </c>
      <c r="CM601">
        <f>5.116731011</f>
        <v>5.1167310109999997</v>
      </c>
      <c r="CN601">
        <f>5.514158785</f>
        <v>5.5141587850000002</v>
      </c>
      <c r="CO601">
        <f>2.822026187</f>
        <v>2.8220261870000001</v>
      </c>
      <c r="CP601">
        <f>3.478356498</f>
        <v>3.4783564980000001</v>
      </c>
      <c r="CQ601">
        <f>2.764248272</f>
        <v>2.7642482720000001</v>
      </c>
      <c r="CR601">
        <f>2.832269733</f>
        <v>2.832269733</v>
      </c>
      <c r="CS601">
        <f>2.874710438</f>
        <v>2.8747104380000001</v>
      </c>
      <c r="CT601">
        <f>4.77056871</f>
        <v>4.77056871</v>
      </c>
      <c r="CU601">
        <f>6.420763414</f>
        <v>6.4207634139999996</v>
      </c>
      <c r="CV601" t="str">
        <f>""</f>
        <v/>
      </c>
      <c r="CW601" t="str">
        <f>""</f>
        <v/>
      </c>
      <c r="CX601" t="str">
        <f>""</f>
        <v/>
      </c>
      <c r="CY601" t="str">
        <f>""</f>
        <v/>
      </c>
      <c r="CZ601" t="str">
        <f>""</f>
        <v/>
      </c>
      <c r="DA601" t="str">
        <f>""</f>
        <v/>
      </c>
      <c r="DB601" t="str">
        <f>""</f>
        <v/>
      </c>
      <c r="DC601" t="str">
        <f>""</f>
        <v/>
      </c>
      <c r="DD601" t="str">
        <f>""</f>
        <v/>
      </c>
      <c r="DE601" t="str">
        <f>""</f>
        <v/>
      </c>
      <c r="DF601" t="str">
        <f>""</f>
        <v/>
      </c>
      <c r="DG601" t="str">
        <f>""</f>
        <v/>
      </c>
      <c r="DH601" t="str">
        <f>""</f>
        <v/>
      </c>
      <c r="DI601" t="str">
        <f>""</f>
        <v/>
      </c>
      <c r="DJ601" t="str">
        <f>""</f>
        <v/>
      </c>
      <c r="DK601" t="str">
        <f>""</f>
        <v/>
      </c>
      <c r="DL601" t="str">
        <f>""</f>
        <v/>
      </c>
      <c r="DM601" t="str">
        <f>""</f>
        <v/>
      </c>
      <c r="DN601" t="str">
        <f>""</f>
        <v/>
      </c>
      <c r="DO601" t="str">
        <f>""</f>
        <v/>
      </c>
      <c r="DP601" t="str">
        <f>""</f>
        <v/>
      </c>
      <c r="DQ601" t="str">
        <f>""</f>
        <v/>
      </c>
      <c r="DR601" t="str">
        <f>""</f>
        <v/>
      </c>
      <c r="DS601" t="str">
        <f>""</f>
        <v/>
      </c>
      <c r="DT601" t="str">
        <f>""</f>
        <v/>
      </c>
      <c r="DU601" t="str">
        <f>""</f>
        <v/>
      </c>
    </row>
    <row r="602" spans="1:125" x14ac:dyDescent="0.25">
      <c r="A602" t="str">
        <f>"    Kia Motors Corp"</f>
        <v xml:space="preserve">    Kia Motors Corp</v>
      </c>
      <c r="B602" t="str">
        <f>"000270 KS Equity"</f>
        <v>000270 KS Equity</v>
      </c>
      <c r="C602" t="str">
        <f t="shared" si="42"/>
        <v>RX072</v>
      </c>
      <c r="D602" t="str">
        <f t="shared" si="43"/>
        <v>FREE_CASH_FLOW_YIELD</v>
      </c>
      <c r="E602" t="str">
        <f t="shared" si="44"/>
        <v>Dynamic</v>
      </c>
      <c r="F602" t="str">
        <f ca="1">IF(AND(ISNUMBER($F$1260),$B$677=1),$F$1260,HLOOKUP(INDIRECT(ADDRESS(2,COLUMN())),OFFSET($BN$2,0,0,ROW()-1,60),ROW()-1,FALSE))</f>
        <v/>
      </c>
      <c r="G602">
        <f ca="1">IF(AND(ISNUMBER($G$1260),$B$677=1),$G$1260,HLOOKUP(INDIRECT(ADDRESS(2,COLUMN())),OFFSET($BN$2,0,0,ROW()-1,60),ROW()-1,FALSE))</f>
        <v>17.492331069999999</v>
      </c>
      <c r="H602">
        <f ca="1">IF(AND(ISNUMBER($H$1260),$B$677=1),$H$1260,HLOOKUP(INDIRECT(ADDRESS(2,COLUMN())),OFFSET($BN$2,0,0,ROW()-1,60),ROW()-1,FALSE))</f>
        <v>16.470699199999999</v>
      </c>
      <c r="I602">
        <f ca="1">IF(AND(ISNUMBER($I$1260),$B$677=1),$I$1260,HLOOKUP(INDIRECT(ADDRESS(2,COLUMN())),OFFSET($BN$2,0,0,ROW()-1,60),ROW()-1,FALSE))</f>
        <v>22.241702419999999</v>
      </c>
      <c r="J602">
        <f ca="1">IF(AND(ISNUMBER($J$1260),$B$677=1),$J$1260,HLOOKUP(INDIRECT(ADDRESS(2,COLUMN())),OFFSET($BN$2,0,0,ROW()-1,60),ROW()-1,FALSE))</f>
        <v>14.133980960000001</v>
      </c>
      <c r="K602">
        <f ca="1">IF(AND(ISNUMBER($K$1260),$B$677=1),$K$1260,HLOOKUP(INDIRECT(ADDRESS(2,COLUMN())),OFFSET($BN$2,0,0,ROW()-1,60),ROW()-1,FALSE))</f>
        <v>6.7358775179999997</v>
      </c>
      <c r="L602">
        <f ca="1">IF(AND(ISNUMBER($L$1260),$B$677=1),$L$1260,HLOOKUP(INDIRECT(ADDRESS(2,COLUMN())),OFFSET($BN$2,0,0,ROW()-1,60),ROW()-1,FALSE))</f>
        <v>6.5959299649999998</v>
      </c>
      <c r="M602">
        <f ca="1">IF(AND(ISNUMBER($M$1260),$B$677=1),$M$1260,HLOOKUP(INDIRECT(ADDRESS(2,COLUMN())),OFFSET($BN$2,0,0,ROW()-1,60),ROW()-1,FALSE))</f>
        <v>2.917327749</v>
      </c>
      <c r="N602">
        <f ca="1">IF(AND(ISNUMBER($N$1260),$B$677=1),$N$1260,HLOOKUP(INDIRECT(ADDRESS(2,COLUMN())),OFFSET($BN$2,0,0,ROW()-1,60),ROW()-1,FALSE))</f>
        <v>16.319214720000002</v>
      </c>
      <c r="O602">
        <f ca="1">IF(AND(ISNUMBER($O$1260),$B$677=1),$O$1260,HLOOKUP(INDIRECT(ADDRESS(2,COLUMN())),OFFSET($BN$2,0,0,ROW()-1,60),ROW()-1,FALSE))</f>
        <v>10.95019514</v>
      </c>
      <c r="P602">
        <f ca="1">IF(AND(ISNUMBER($P$1260),$B$677=1),$P$1260,HLOOKUP(INDIRECT(ADDRESS(2,COLUMN())),OFFSET($BN$2,0,0,ROW()-1,60),ROW()-1,FALSE))</f>
        <v>11.45048998</v>
      </c>
      <c r="Q602">
        <f ca="1">IF(AND(ISNUMBER($Q$1260),$B$677=1),$Q$1260,HLOOKUP(INDIRECT(ADDRESS(2,COLUMN())),OFFSET($BN$2,0,0,ROW()-1,60),ROW()-1,FALSE))</f>
        <v>9.5432802080000005</v>
      </c>
      <c r="R602">
        <f ca="1">IF(AND(ISNUMBER($R$1260),$B$677=1),$R$1260,HLOOKUP(INDIRECT(ADDRESS(2,COLUMN())),OFFSET($BN$2,0,0,ROW()-1,60),ROW()-1,FALSE))</f>
        <v>-3.096662926</v>
      </c>
      <c r="S602">
        <f ca="1">IF(AND(ISNUMBER($S$1260),$B$677=1),$S$1260,HLOOKUP(INDIRECT(ADDRESS(2,COLUMN())),OFFSET($BN$2,0,0,ROW()-1,60),ROW()-1,FALSE))</f>
        <v>-2.5383309970000001</v>
      </c>
      <c r="T602">
        <f ca="1">IF(AND(ISNUMBER($T$1260),$B$677=1),$T$1260,HLOOKUP(INDIRECT(ADDRESS(2,COLUMN())),OFFSET($BN$2,0,0,ROW()-1,60),ROW()-1,FALSE))</f>
        <v>0.105449289</v>
      </c>
      <c r="U602">
        <f ca="1">IF(AND(ISNUMBER($U$1260),$B$677=1),$U$1260,HLOOKUP(INDIRECT(ADDRESS(2,COLUMN())),OFFSET($BN$2,0,0,ROW()-1,60),ROW()-1,FALSE))</f>
        <v>1.2115773359999999</v>
      </c>
      <c r="V602">
        <f ca="1">IF(AND(ISNUMBER($V$1260),$B$677=1),$V$1260,HLOOKUP(INDIRECT(ADDRESS(2,COLUMN())),OFFSET($BN$2,0,0,ROW()-1,60),ROW()-1,FALSE))</f>
        <v>8.2039181000000003E-2</v>
      </c>
      <c r="W602">
        <f ca="1">IF(AND(ISNUMBER($W$1260),$B$677=1),$W$1260,HLOOKUP(INDIRECT(ADDRESS(2,COLUMN())),OFFSET($BN$2,0,0,ROW()-1,60),ROW()-1,FALSE))</f>
        <v>4.4107502749999998</v>
      </c>
      <c r="X602">
        <f ca="1">IF(AND(ISNUMBER($X$1260),$B$677=1),$X$1260,HLOOKUP(INDIRECT(ADDRESS(2,COLUMN())),OFFSET($BN$2,0,0,ROW()-1,60),ROW()-1,FALSE))</f>
        <v>9.1267875220000008</v>
      </c>
      <c r="Y602">
        <f ca="1">IF(AND(ISNUMBER($Y$1260),$B$677=1),$Y$1260,HLOOKUP(INDIRECT(ADDRESS(2,COLUMN())),OFFSET($BN$2,0,0,ROW()-1,60),ROW()-1,FALSE))</f>
        <v>8.1440347160000002</v>
      </c>
      <c r="Z602">
        <f ca="1">IF(AND(ISNUMBER($Z$1260),$B$677=1),$Z$1260,HLOOKUP(INDIRECT(ADDRESS(2,COLUMN())),OFFSET($BN$2,0,0,ROW()-1,60),ROW()-1,FALSE))</f>
        <v>14.65153256</v>
      </c>
      <c r="AA602">
        <f ca="1">IF(AND(ISNUMBER($AA$1260),$B$677=1),$AA$1260,HLOOKUP(INDIRECT(ADDRESS(2,COLUMN())),OFFSET($BN$2,0,0,ROW()-1,60),ROW()-1,FALSE))</f>
        <v>15.775848720000001</v>
      </c>
      <c r="AB602">
        <f ca="1">IF(AND(ISNUMBER($AB$1260),$B$677=1),$AB$1260,HLOOKUP(INDIRECT(ADDRESS(2,COLUMN())),OFFSET($BN$2,0,0,ROW()-1,60),ROW()-1,FALSE))</f>
        <v>9.2683696730000005</v>
      </c>
      <c r="AC602">
        <f ca="1">IF(AND(ISNUMBER($AC$1260),$B$677=1),$AC$1260,HLOOKUP(INDIRECT(ADDRESS(2,COLUMN())),OFFSET($BN$2,0,0,ROW()-1,60),ROW()-1,FALSE))</f>
        <v>10.61464922</v>
      </c>
      <c r="AD602">
        <f ca="1">IF(AND(ISNUMBER($AD$1260),$B$677=1),$AD$1260,HLOOKUP(INDIRECT(ADDRESS(2,COLUMN())),OFFSET($BN$2,0,0,ROW()-1,60),ROW()-1,FALSE))</f>
        <v>9.7243398709999997</v>
      </c>
      <c r="AE602">
        <f ca="1">IF(AND(ISNUMBER($AE$1260),$B$677=1),$AE$1260,HLOOKUP(INDIRECT(ADDRESS(2,COLUMN())),OFFSET($BN$2,0,0,ROW()-1,60),ROW()-1,FALSE))</f>
        <v>12.11547884</v>
      </c>
      <c r="AF602">
        <f ca="1">IF(AND(ISNUMBER($AF$1260),$B$677=1),$AF$1260,HLOOKUP(INDIRECT(ADDRESS(2,COLUMN())),OFFSET($BN$2,0,0,ROW()-1,60),ROW()-1,FALSE))</f>
        <v>13.089906109999999</v>
      </c>
      <c r="AG602">
        <f ca="1">IF(AND(ISNUMBER($AG$1260),$B$677=1),$AG$1260,HLOOKUP(INDIRECT(ADDRESS(2,COLUMN())),OFFSET($BN$2,0,0,ROW()-1,60),ROW()-1,FALSE))</f>
        <v>12.60938554</v>
      </c>
      <c r="AH602">
        <f ca="1">IF(AND(ISNUMBER($AH$1260),$B$677=1),$AH$1260,HLOOKUP(INDIRECT(ADDRESS(2,COLUMN())),OFFSET($BN$2,0,0,ROW()-1,60),ROW()-1,FALSE))</f>
        <v>11.19916826</v>
      </c>
      <c r="AI602">
        <f ca="1">IF(AND(ISNUMBER($AI$1260),$B$677=1),$AI$1260,HLOOKUP(INDIRECT(ADDRESS(2,COLUMN())),OFFSET($BN$2,0,0,ROW()-1,60),ROW()-1,FALSE))</f>
        <v>12.379413680000001</v>
      </c>
      <c r="AJ602">
        <f ca="1">IF(AND(ISNUMBER($AJ$1260),$B$677=1),$AJ$1260,HLOOKUP(INDIRECT(ADDRESS(2,COLUMN())),OFFSET($BN$2,0,0,ROW()-1,60),ROW()-1,FALSE))</f>
        <v>12.81555139</v>
      </c>
      <c r="AK602">
        <f ca="1">IF(AND(ISNUMBER($AK$1260),$B$677=1),$AK$1260,HLOOKUP(INDIRECT(ADDRESS(2,COLUMN())),OFFSET($BN$2,0,0,ROW()-1,60),ROW()-1,FALSE))</f>
        <v>13.30101333</v>
      </c>
      <c r="AL602">
        <f ca="1">IF(AND(ISNUMBER($AL$1260),$B$677=1),$AL$1260,HLOOKUP(INDIRECT(ADDRESS(2,COLUMN())),OFFSET($BN$2,0,0,ROW()-1,60),ROW()-1,FALSE))</f>
        <v>16.34584637</v>
      </c>
      <c r="AM602">
        <f ca="1">IF(AND(ISNUMBER($AM$1260),$B$677=1),$AM$1260,HLOOKUP(INDIRECT(ADDRESS(2,COLUMN())),OFFSET($BN$2,0,0,ROW()-1,60),ROW()-1,FALSE))</f>
        <v>22.018204000000001</v>
      </c>
      <c r="AN602" t="str">
        <f ca="1">IF(AND(ISNUMBER($AN$1260),$B$677=1),$AN$1260,HLOOKUP(INDIRECT(ADDRESS(2,COLUMN())),OFFSET($BN$2,0,0,ROW()-1,60),ROW()-1,FALSE))</f>
        <v/>
      </c>
      <c r="AO602" t="str">
        <f ca="1">IF(AND(ISNUMBER($AO$1260),$B$677=1),$AO$1260,HLOOKUP(INDIRECT(ADDRESS(2,COLUMN())),OFFSET($BN$2,0,0,ROW()-1,60),ROW()-1,FALSE))</f>
        <v/>
      </c>
      <c r="AP602" t="str">
        <f ca="1">IF(AND(ISNUMBER($AP$1260),$B$677=1),$AP$1260,HLOOKUP(INDIRECT(ADDRESS(2,COLUMN())),OFFSET($BN$2,0,0,ROW()-1,60),ROW()-1,FALSE))</f>
        <v/>
      </c>
      <c r="AQ602" t="str">
        <f ca="1">IF(AND(ISNUMBER($AQ$1260),$B$677=1),$AQ$1260,HLOOKUP(INDIRECT(ADDRESS(2,COLUMN())),OFFSET($BN$2,0,0,ROW()-1,60),ROW()-1,FALSE))</f>
        <v/>
      </c>
      <c r="AR602" t="str">
        <f ca="1">IF(AND(ISNUMBER($AR$1260),$B$677=1),$AR$1260,HLOOKUP(INDIRECT(ADDRESS(2,COLUMN())),OFFSET($BN$2,0,0,ROW()-1,60),ROW()-1,FALSE))</f>
        <v/>
      </c>
      <c r="AS602" t="str">
        <f ca="1">IF(AND(ISNUMBER($AS$1260),$B$677=1),$AS$1260,HLOOKUP(INDIRECT(ADDRESS(2,COLUMN())),OFFSET($BN$2,0,0,ROW()-1,60),ROW()-1,FALSE))</f>
        <v/>
      </c>
      <c r="AT602" t="str">
        <f ca="1">IF(AND(ISNUMBER($AT$1260),$B$677=1),$AT$1260,HLOOKUP(INDIRECT(ADDRESS(2,COLUMN())),OFFSET($BN$2,0,0,ROW()-1,60),ROW()-1,FALSE))</f>
        <v/>
      </c>
      <c r="AU602" t="str">
        <f ca="1">IF(AND(ISNUMBER($AU$1260),$B$677=1),$AU$1260,HLOOKUP(INDIRECT(ADDRESS(2,COLUMN())),OFFSET($BN$2,0,0,ROW()-1,60),ROW()-1,FALSE))</f>
        <v/>
      </c>
      <c r="AV602" t="str">
        <f ca="1">IF(AND(ISNUMBER($AV$1260),$B$677=1),$AV$1260,HLOOKUP(INDIRECT(ADDRESS(2,COLUMN())),OFFSET($BN$2,0,0,ROW()-1,60),ROW()-1,FALSE))</f>
        <v/>
      </c>
      <c r="AW602" t="str">
        <f ca="1">IF(AND(ISNUMBER($AW$1260),$B$677=1),$AW$1260,HLOOKUP(INDIRECT(ADDRESS(2,COLUMN())),OFFSET($BN$2,0,0,ROW()-1,60),ROW()-1,FALSE))</f>
        <v/>
      </c>
      <c r="AX602" t="str">
        <f ca="1">IF(AND(ISNUMBER($AX$1260),$B$677=1),$AX$1260,HLOOKUP(INDIRECT(ADDRESS(2,COLUMN())),OFFSET($BN$2,0,0,ROW()-1,60),ROW()-1,FALSE))</f>
        <v/>
      </c>
      <c r="AY602" t="str">
        <f ca="1">IF(AND(ISNUMBER($AY$1260),$B$677=1),$AY$1260,HLOOKUP(INDIRECT(ADDRESS(2,COLUMN())),OFFSET($BN$2,0,0,ROW()-1,60),ROW()-1,FALSE))</f>
        <v/>
      </c>
      <c r="AZ602" t="str">
        <f ca="1">IF(AND(ISNUMBER($AZ$1260),$B$677=1),$AZ$1260,HLOOKUP(INDIRECT(ADDRESS(2,COLUMN())),OFFSET($BN$2,0,0,ROW()-1,60),ROW()-1,FALSE))</f>
        <v/>
      </c>
      <c r="BA602" t="str">
        <f ca="1">IF(AND(ISNUMBER($BA$1260),$B$677=1),$BA$1260,HLOOKUP(INDIRECT(ADDRESS(2,COLUMN())),OFFSET($BN$2,0,0,ROW()-1,60),ROW()-1,FALSE))</f>
        <v/>
      </c>
      <c r="BB602" t="str">
        <f ca="1">IF(AND(ISNUMBER($BB$1260),$B$677=1),$BB$1260,HLOOKUP(INDIRECT(ADDRESS(2,COLUMN())),OFFSET($BN$2,0,0,ROW()-1,60),ROW()-1,FALSE))</f>
        <v/>
      </c>
      <c r="BC602" t="str">
        <f ca="1">IF(AND(ISNUMBER($BC$1260),$B$677=1),$BC$1260,HLOOKUP(INDIRECT(ADDRESS(2,COLUMN())),OFFSET($BN$2,0,0,ROW()-1,60),ROW()-1,FALSE))</f>
        <v/>
      </c>
      <c r="BD602" t="str">
        <f ca="1">IF(AND(ISNUMBER($BD$1260),$B$677=1),$BD$1260,HLOOKUP(INDIRECT(ADDRESS(2,COLUMN())),OFFSET($BN$2,0,0,ROW()-1,60),ROW()-1,FALSE))</f>
        <v/>
      </c>
      <c r="BE602" t="str">
        <f ca="1">IF(AND(ISNUMBER($BE$1260),$B$677=1),$BE$1260,HLOOKUP(INDIRECT(ADDRESS(2,COLUMN())),OFFSET($BN$2,0,0,ROW()-1,60),ROW()-1,FALSE))</f>
        <v/>
      </c>
      <c r="BF602" t="str">
        <f ca="1">IF(AND(ISNUMBER($BF$1260),$B$677=1),$BF$1260,HLOOKUP(INDIRECT(ADDRESS(2,COLUMN())),OFFSET($BN$2,0,0,ROW()-1,60),ROW()-1,FALSE))</f>
        <v/>
      </c>
      <c r="BG602" t="str">
        <f ca="1">IF(AND(ISNUMBER($BG$1260),$B$677=1),$BG$1260,HLOOKUP(INDIRECT(ADDRESS(2,COLUMN())),OFFSET($BN$2,0,0,ROW()-1,60),ROW()-1,FALSE))</f>
        <v/>
      </c>
      <c r="BH602" t="str">
        <f ca="1">IF(AND(ISNUMBER($BH$1260),$B$677=1),$BH$1260,HLOOKUP(INDIRECT(ADDRESS(2,COLUMN())),OFFSET($BN$2,0,0,ROW()-1,60),ROW()-1,FALSE))</f>
        <v/>
      </c>
      <c r="BI602" t="str">
        <f ca="1">IF(AND(ISNUMBER($BI$1260),$B$677=1),$BI$1260,HLOOKUP(INDIRECT(ADDRESS(2,COLUMN())),OFFSET($BN$2,0,0,ROW()-1,60),ROW()-1,FALSE))</f>
        <v/>
      </c>
      <c r="BJ602" t="str">
        <f ca="1">IF(AND(ISNUMBER($BJ$1260),$B$677=1),$BJ$1260,HLOOKUP(INDIRECT(ADDRESS(2,COLUMN())),OFFSET($BN$2,0,0,ROW()-1,60),ROW()-1,FALSE))</f>
        <v/>
      </c>
      <c r="BK602" t="str">
        <f ca="1">IF(AND(ISNUMBER($BK$1260),$B$677=1),$BK$1260,HLOOKUP(INDIRECT(ADDRESS(2,COLUMN())),OFFSET($BN$2,0,0,ROW()-1,60),ROW()-1,FALSE))</f>
        <v/>
      </c>
      <c r="BL602" t="str">
        <f ca="1">IF(AND(ISNUMBER($BL$1260),$B$677=1),$BL$1260,HLOOKUP(INDIRECT(ADDRESS(2,COLUMN())),OFFSET($BN$2,0,0,ROW()-1,60),ROW()-1,FALSE))</f>
        <v/>
      </c>
      <c r="BM602" t="str">
        <f ca="1">IF(AND(ISNUMBER($BM$1260),$B$677=1),$BM$1260,HLOOKUP(INDIRECT(ADDRESS(2,COLUMN())),OFFSET($BN$2,0,0,ROW()-1,60),ROW()-1,FALSE))</f>
        <v/>
      </c>
      <c r="BN602" t="str">
        <f>""</f>
        <v/>
      </c>
      <c r="BO602">
        <f>17.49233107</f>
        <v>17.492331069999999</v>
      </c>
      <c r="BP602">
        <f>16.4706992</f>
        <v>16.470699199999999</v>
      </c>
      <c r="BQ602">
        <f>22.24170242</f>
        <v>22.241702419999999</v>
      </c>
      <c r="BR602">
        <f>14.13398096</f>
        <v>14.133980960000001</v>
      </c>
      <c r="BS602">
        <f>6.735877518</f>
        <v>6.7358775179999997</v>
      </c>
      <c r="BT602">
        <f>6.595929965</f>
        <v>6.5959299649999998</v>
      </c>
      <c r="BU602">
        <f>2.917327749</f>
        <v>2.917327749</v>
      </c>
      <c r="BV602">
        <f>16.31921472</f>
        <v>16.319214720000002</v>
      </c>
      <c r="BW602">
        <f>10.95019514</f>
        <v>10.95019514</v>
      </c>
      <c r="BX602">
        <f>11.45048998</f>
        <v>11.45048998</v>
      </c>
      <c r="BY602">
        <f>9.543280208</f>
        <v>9.5432802080000005</v>
      </c>
      <c r="BZ602">
        <f>-3.096662926</f>
        <v>-3.096662926</v>
      </c>
      <c r="CA602">
        <f>-2.538330997</f>
        <v>-2.5383309970000001</v>
      </c>
      <c r="CB602">
        <f>0.105449289</f>
        <v>0.105449289</v>
      </c>
      <c r="CC602">
        <f>1.211577336</f>
        <v>1.2115773359999999</v>
      </c>
      <c r="CD602">
        <f>0.082039181</f>
        <v>8.2039181000000003E-2</v>
      </c>
      <c r="CE602">
        <f>4.410750275</f>
        <v>4.4107502749999998</v>
      </c>
      <c r="CF602">
        <f>9.126787522</f>
        <v>9.1267875220000008</v>
      </c>
      <c r="CG602">
        <f>8.144034716</f>
        <v>8.1440347160000002</v>
      </c>
      <c r="CH602">
        <f>14.65153256</f>
        <v>14.65153256</v>
      </c>
      <c r="CI602">
        <f>15.77584872</f>
        <v>15.775848720000001</v>
      </c>
      <c r="CJ602">
        <f>9.268369673</f>
        <v>9.2683696730000005</v>
      </c>
      <c r="CK602">
        <f>10.61464922</f>
        <v>10.61464922</v>
      </c>
      <c r="CL602">
        <f>9.724339871</f>
        <v>9.7243398709999997</v>
      </c>
      <c r="CM602">
        <f>12.11547884</f>
        <v>12.11547884</v>
      </c>
      <c r="CN602">
        <f>13.08990611</f>
        <v>13.089906109999999</v>
      </c>
      <c r="CO602">
        <f>12.60938554</f>
        <v>12.60938554</v>
      </c>
      <c r="CP602">
        <f>11.19916826</f>
        <v>11.19916826</v>
      </c>
      <c r="CQ602">
        <f>12.37941368</f>
        <v>12.379413680000001</v>
      </c>
      <c r="CR602">
        <f>12.81555139</f>
        <v>12.81555139</v>
      </c>
      <c r="CS602">
        <f>13.30101333</f>
        <v>13.30101333</v>
      </c>
      <c r="CT602">
        <f>16.34584637</f>
        <v>16.34584637</v>
      </c>
      <c r="CU602">
        <f>22.018204</f>
        <v>22.018204000000001</v>
      </c>
      <c r="CV602" t="str">
        <f>""</f>
        <v/>
      </c>
      <c r="CW602" t="str">
        <f>""</f>
        <v/>
      </c>
      <c r="CX602" t="str">
        <f>""</f>
        <v/>
      </c>
      <c r="CY602" t="str">
        <f>""</f>
        <v/>
      </c>
      <c r="CZ602" t="str">
        <f>""</f>
        <v/>
      </c>
      <c r="DA602" t="str">
        <f>""</f>
        <v/>
      </c>
      <c r="DB602" t="str">
        <f>""</f>
        <v/>
      </c>
      <c r="DC602" t="str">
        <f>""</f>
        <v/>
      </c>
      <c r="DD602" t="str">
        <f>""</f>
        <v/>
      </c>
      <c r="DE602" t="str">
        <f>""</f>
        <v/>
      </c>
      <c r="DF602" t="str">
        <f>""</f>
        <v/>
      </c>
      <c r="DG602" t="str">
        <f>""</f>
        <v/>
      </c>
      <c r="DH602" t="str">
        <f>""</f>
        <v/>
      </c>
      <c r="DI602" t="str">
        <f>""</f>
        <v/>
      </c>
      <c r="DJ602" t="str">
        <f>""</f>
        <v/>
      </c>
      <c r="DK602" t="str">
        <f>""</f>
        <v/>
      </c>
      <c r="DL602" t="str">
        <f>""</f>
        <v/>
      </c>
      <c r="DM602" t="str">
        <f>""</f>
        <v/>
      </c>
      <c r="DN602" t="str">
        <f>""</f>
        <v/>
      </c>
      <c r="DO602" t="str">
        <f>""</f>
        <v/>
      </c>
      <c r="DP602" t="str">
        <f>""</f>
        <v/>
      </c>
      <c r="DQ602" t="str">
        <f>""</f>
        <v/>
      </c>
      <c r="DR602" t="str">
        <f>""</f>
        <v/>
      </c>
      <c r="DS602" t="str">
        <f>""</f>
        <v/>
      </c>
      <c r="DT602" t="str">
        <f>""</f>
        <v/>
      </c>
      <c r="DU602" t="str">
        <f>""</f>
        <v/>
      </c>
    </row>
    <row r="603" spans="1:125" x14ac:dyDescent="0.25">
      <c r="A603" t="str">
        <f>"    Mazda Motor Corp"</f>
        <v xml:space="preserve">    Mazda Motor Corp</v>
      </c>
      <c r="B603" t="str">
        <f>"7261 JP Equity"</f>
        <v>7261 JP Equity</v>
      </c>
      <c r="C603" t="str">
        <f t="shared" si="42"/>
        <v>RX072</v>
      </c>
      <c r="D603" t="str">
        <f t="shared" si="43"/>
        <v>FREE_CASH_FLOW_YIELD</v>
      </c>
      <c r="E603" t="str">
        <f t="shared" si="44"/>
        <v>Dynamic</v>
      </c>
      <c r="F603">
        <f ca="1">IF(AND(ISNUMBER($F$1261),$B$677=1),$F$1261,HLOOKUP(INDIRECT(ADDRESS(2,COLUMN())),OFFSET($BN$2,0,0,ROW()-1,60),ROW()-1,FALSE))</f>
        <v>8.2242060830000003</v>
      </c>
      <c r="G603">
        <f ca="1">IF(AND(ISNUMBER($G$1261),$B$677=1),$G$1261,HLOOKUP(INDIRECT(ADDRESS(2,COLUMN())),OFFSET($BN$2,0,0,ROW()-1,60),ROW()-1,FALSE))</f>
        <v>9.3219745599999992</v>
      </c>
      <c r="H603">
        <f ca="1">IF(AND(ISNUMBER($H$1261),$B$677=1),$H$1261,HLOOKUP(INDIRECT(ADDRESS(2,COLUMN())),OFFSET($BN$2,0,0,ROW()-1,60),ROW()-1,FALSE))</f>
        <v>11.37602292</v>
      </c>
      <c r="I603">
        <f ca="1">IF(AND(ISNUMBER($I$1261),$B$677=1),$I$1261,HLOOKUP(INDIRECT(ADDRESS(2,COLUMN())),OFFSET($BN$2,0,0,ROW()-1,60),ROW()-1,FALSE))</f>
        <v>12.44212052</v>
      </c>
      <c r="J603">
        <f ca="1">IF(AND(ISNUMBER($J$1261),$B$677=1),$J$1261,HLOOKUP(INDIRECT(ADDRESS(2,COLUMN())),OFFSET($BN$2,0,0,ROW()-1,60),ROW()-1,FALSE))</f>
        <v>13.900778730000001</v>
      </c>
      <c r="K603">
        <f ca="1">IF(AND(ISNUMBER($K$1261),$B$677=1),$K$1261,HLOOKUP(INDIRECT(ADDRESS(2,COLUMN())),OFFSET($BN$2,0,0,ROW()-1,60),ROW()-1,FALSE))</f>
        <v>11.71909979</v>
      </c>
      <c r="L603">
        <f ca="1">IF(AND(ISNUMBER($L$1261),$B$677=1),$L$1261,HLOOKUP(INDIRECT(ADDRESS(2,COLUMN())),OFFSET($BN$2,0,0,ROW()-1,60),ROW()-1,FALSE))</f>
        <v>7.856769302</v>
      </c>
      <c r="M603">
        <f ca="1">IF(AND(ISNUMBER($M$1261),$B$677=1),$M$1261,HLOOKUP(INDIRECT(ADDRESS(2,COLUMN())),OFFSET($BN$2,0,0,ROW()-1,60),ROW()-1,FALSE))</f>
        <v>8.2662320220000005</v>
      </c>
      <c r="N603">
        <f ca="1">IF(AND(ISNUMBER($N$1261),$B$677=1),$N$1261,HLOOKUP(INDIRECT(ADDRESS(2,COLUMN())),OFFSET($BN$2,0,0,ROW()-1,60),ROW()-1,FALSE))</f>
        <v>8.5340396510000005</v>
      </c>
      <c r="O603">
        <f ca="1">IF(AND(ISNUMBER($O$1261),$B$677=1),$O$1261,HLOOKUP(INDIRECT(ADDRESS(2,COLUMN())),OFFSET($BN$2,0,0,ROW()-1,60),ROW()-1,FALSE))</f>
        <v>8.5010047259999997</v>
      </c>
      <c r="P603">
        <f ca="1">IF(AND(ISNUMBER($P$1261),$B$677=1),$P$1261,HLOOKUP(INDIRECT(ADDRESS(2,COLUMN())),OFFSET($BN$2,0,0,ROW()-1,60),ROW()-1,FALSE))</f>
        <v>13.90800859</v>
      </c>
      <c r="Q603">
        <f ca="1">IF(AND(ISNUMBER($Q$1261),$B$677=1),$Q$1261,HLOOKUP(INDIRECT(ADDRESS(2,COLUMN())),OFFSET($BN$2,0,0,ROW()-1,60),ROW()-1,FALSE))</f>
        <v>18.706337770000001</v>
      </c>
      <c r="R603">
        <f ca="1">IF(AND(ISNUMBER($R$1261),$B$677=1),$R$1261,HLOOKUP(INDIRECT(ADDRESS(2,COLUMN())),OFFSET($BN$2,0,0,ROW()-1,60),ROW()-1,FALSE))</f>
        <v>17.610146749999998</v>
      </c>
      <c r="S603">
        <f ca="1">IF(AND(ISNUMBER($S$1261),$B$677=1),$S$1261,HLOOKUP(INDIRECT(ADDRESS(2,COLUMN())),OFFSET($BN$2,0,0,ROW()-1,60),ROW()-1,FALSE))</f>
        <v>11.83358949</v>
      </c>
      <c r="T603">
        <f ca="1">IF(AND(ISNUMBER($T$1261),$B$677=1),$T$1261,HLOOKUP(INDIRECT(ADDRESS(2,COLUMN())),OFFSET($BN$2,0,0,ROW()-1,60),ROW()-1,FALSE))</f>
        <v>13.621899600000001</v>
      </c>
      <c r="U603">
        <f ca="1">IF(AND(ISNUMBER($U$1261),$B$677=1),$U$1261,HLOOKUP(INDIRECT(ADDRESS(2,COLUMN())),OFFSET($BN$2,0,0,ROW()-1,60),ROW()-1,FALSE))</f>
        <v>8.1268690170000006</v>
      </c>
      <c r="V603">
        <f ca="1">IF(AND(ISNUMBER($V$1261),$B$677=1),$V$1261,HLOOKUP(INDIRECT(ADDRESS(2,COLUMN())),OFFSET($BN$2,0,0,ROW()-1,60),ROW()-1,FALSE))</f>
        <v>5.5613094890000001</v>
      </c>
      <c r="W603">
        <f ca="1">IF(AND(ISNUMBER($W$1261),$B$677=1),$W$1261,HLOOKUP(INDIRECT(ADDRESS(2,COLUMN())),OFFSET($BN$2,0,0,ROW()-1,60),ROW()-1,FALSE))</f>
        <v>3.555943171</v>
      </c>
      <c r="X603">
        <f ca="1">IF(AND(ISNUMBER($X$1261),$B$677=1),$X$1261,HLOOKUP(INDIRECT(ADDRESS(2,COLUMN())),OFFSET($BN$2,0,0,ROW()-1,60),ROW()-1,FALSE))</f>
        <v>5.2629676400000003</v>
      </c>
      <c r="Y603">
        <f ca="1">IF(AND(ISNUMBER($Y$1261),$B$677=1),$Y$1261,HLOOKUP(INDIRECT(ADDRESS(2,COLUMN())),OFFSET($BN$2,0,0,ROW()-1,60),ROW()-1,FALSE))</f>
        <v>4.1515903319999996</v>
      </c>
      <c r="Z603">
        <f ca="1">IF(AND(ISNUMBER($Z$1261),$B$677=1),$Z$1261,HLOOKUP(INDIRECT(ADDRESS(2,COLUMN())),OFFSET($BN$2,0,0,ROW()-1,60),ROW()-1,FALSE))</f>
        <v>1.866231975</v>
      </c>
      <c r="AA603">
        <f ca="1">IF(AND(ISNUMBER($AA$1261),$B$677=1),$AA$1261,HLOOKUP(INDIRECT(ADDRESS(2,COLUMN())),OFFSET($BN$2,0,0,ROW()-1,60),ROW()-1,FALSE))</f>
        <v>2.0184391530000001</v>
      </c>
      <c r="AB603">
        <f ca="1">IF(AND(ISNUMBER($AB$1261),$B$677=1),$AB$1261,HLOOKUP(INDIRECT(ADDRESS(2,COLUMN())),OFFSET($BN$2,0,0,ROW()-1,60),ROW()-1,FALSE))</f>
        <v>-0.87647294499999995</v>
      </c>
      <c r="AC603">
        <f ca="1">IF(AND(ISNUMBER($AC$1261),$B$677=1),$AC$1261,HLOOKUP(INDIRECT(ADDRESS(2,COLUMN())),OFFSET($BN$2,0,0,ROW()-1,60),ROW()-1,FALSE))</f>
        <v>-1.5148489570000001</v>
      </c>
      <c r="AD603">
        <f ca="1">IF(AND(ISNUMBER($AD$1261),$B$677=1),$AD$1261,HLOOKUP(INDIRECT(ADDRESS(2,COLUMN())),OFFSET($BN$2,0,0,ROW()-1,60),ROW()-1,FALSE))</f>
        <v>-2.48416332</v>
      </c>
      <c r="AE603">
        <f ca="1">IF(AND(ISNUMBER($AE$1261),$B$677=1),$AE$1261,HLOOKUP(INDIRECT(ADDRESS(2,COLUMN())),OFFSET($BN$2,0,0,ROW()-1,60),ROW()-1,FALSE))</f>
        <v>-0.812546082</v>
      </c>
      <c r="AF603">
        <f ca="1">IF(AND(ISNUMBER($AF$1261),$B$677=1),$AF$1261,HLOOKUP(INDIRECT(ADDRESS(2,COLUMN())),OFFSET($BN$2,0,0,ROW()-1,60),ROW()-1,FALSE))</f>
        <v>-37.371209389999997</v>
      </c>
      <c r="AG603">
        <f ca="1">IF(AND(ISNUMBER($AG$1261),$B$677=1),$AG$1261,HLOOKUP(INDIRECT(ADDRESS(2,COLUMN())),OFFSET($BN$2,0,0,ROW()-1,60),ROW()-1,FALSE))</f>
        <v>-29.767678910000001</v>
      </c>
      <c r="AH603">
        <f ca="1">IF(AND(ISNUMBER($AH$1261),$B$677=1),$AH$1261,HLOOKUP(INDIRECT(ADDRESS(2,COLUMN())),OFFSET($BN$2,0,0,ROW()-1,60),ROW()-1,FALSE))</f>
        <v>-31.21255193</v>
      </c>
      <c r="AI603">
        <f ca="1">IF(AND(ISNUMBER($AI$1261),$B$677=1),$AI$1261,HLOOKUP(INDIRECT(ADDRESS(2,COLUMN())),OFFSET($BN$2,0,0,ROW()-1,60),ROW()-1,FALSE))</f>
        <v>-34.04025584</v>
      </c>
      <c r="AJ603">
        <f ca="1">IF(AND(ISNUMBER($AJ$1261),$B$677=1),$AJ$1261,HLOOKUP(INDIRECT(ADDRESS(2,COLUMN())),OFFSET($BN$2,0,0,ROW()-1,60),ROW()-1,FALSE))</f>
        <v>-24.79489302</v>
      </c>
      <c r="AK603">
        <f ca="1">IF(AND(ISNUMBER($AK$1261),$B$677=1),$AK$1261,HLOOKUP(INDIRECT(ADDRESS(2,COLUMN())),OFFSET($BN$2,0,0,ROW()-1,60),ROW()-1,FALSE))</f>
        <v>-17.443123230000001</v>
      </c>
      <c r="AL603">
        <f ca="1">IF(AND(ISNUMBER($AL$1261),$B$677=1),$AL$1261,HLOOKUP(INDIRECT(ADDRESS(2,COLUMN())),OFFSET($BN$2,0,0,ROW()-1,60),ROW()-1,FALSE))</f>
        <v>-5.2183930109999999</v>
      </c>
      <c r="AM603">
        <f ca="1">IF(AND(ISNUMBER($AM$1261),$B$677=1),$AM$1261,HLOOKUP(INDIRECT(ADDRESS(2,COLUMN())),OFFSET($BN$2,0,0,ROW()-1,60),ROW()-1,FALSE))</f>
        <v>0.62945736100000005</v>
      </c>
      <c r="AN603">
        <f ca="1">IF(AND(ISNUMBER($AN$1261),$B$677=1),$AN$1261,HLOOKUP(INDIRECT(ADDRESS(2,COLUMN())),OFFSET($BN$2,0,0,ROW()-1,60),ROW()-1,FALSE))</f>
        <v>23.780217820000001</v>
      </c>
      <c r="AO603">
        <f ca="1">IF(AND(ISNUMBER($AO$1261),$B$677=1),$AO$1261,HLOOKUP(INDIRECT(ADDRESS(2,COLUMN())),OFFSET($BN$2,0,0,ROW()-1,60),ROW()-1,FALSE))</f>
        <v>29.93195485</v>
      </c>
      <c r="AP603">
        <f ca="1">IF(AND(ISNUMBER($AP$1261),$B$677=1),$AP$1261,HLOOKUP(INDIRECT(ADDRESS(2,COLUMN())),OFFSET($BN$2,0,0,ROW()-1,60),ROW()-1,FALSE))</f>
        <v>21.022146110000001</v>
      </c>
      <c r="AQ603">
        <f ca="1">IF(AND(ISNUMBER($AQ$1261),$B$677=1),$AQ$1261,HLOOKUP(INDIRECT(ADDRESS(2,COLUMN())),OFFSET($BN$2,0,0,ROW()-1,60),ROW()-1,FALSE))</f>
        <v>36.062666630000002</v>
      </c>
      <c r="AR603">
        <f ca="1">IF(AND(ISNUMBER($AR$1261),$B$677=1),$AR$1261,HLOOKUP(INDIRECT(ADDRESS(2,COLUMN())),OFFSET($BN$2,0,0,ROW()-1,60),ROW()-1,FALSE))</f>
        <v>-31.10584935</v>
      </c>
      <c r="AS603">
        <f ca="1">IF(AND(ISNUMBER($AS$1261),$B$677=1),$AS$1261,HLOOKUP(INDIRECT(ADDRESS(2,COLUMN())),OFFSET($BN$2,0,0,ROW()-1,60),ROW()-1,FALSE))</f>
        <v>-33.290257879999999</v>
      </c>
      <c r="AT603">
        <f ca="1">IF(AND(ISNUMBER($AT$1261),$B$677=1),$AT$1261,HLOOKUP(INDIRECT(ADDRESS(2,COLUMN())),OFFSET($BN$2,0,0,ROW()-1,60),ROW()-1,FALSE))</f>
        <v>-51.444235949999999</v>
      </c>
      <c r="AU603" t="str">
        <f ca="1">IF(AND(ISNUMBER($AU$1261),$B$677=1),$AU$1261,HLOOKUP(INDIRECT(ADDRESS(2,COLUMN())),OFFSET($BN$2,0,0,ROW()-1,60),ROW()-1,FALSE))</f>
        <v/>
      </c>
      <c r="AV603" t="str">
        <f ca="1">IF(AND(ISNUMBER($AV$1261),$B$677=1),$AV$1261,HLOOKUP(INDIRECT(ADDRESS(2,COLUMN())),OFFSET($BN$2,0,0,ROW()-1,60),ROW()-1,FALSE))</f>
        <v/>
      </c>
      <c r="AW603" t="str">
        <f ca="1">IF(AND(ISNUMBER($AW$1261),$B$677=1),$AW$1261,HLOOKUP(INDIRECT(ADDRESS(2,COLUMN())),OFFSET($BN$2,0,0,ROW()-1,60),ROW()-1,FALSE))</f>
        <v/>
      </c>
      <c r="AX603" t="str">
        <f ca="1">IF(AND(ISNUMBER($AX$1261),$B$677=1),$AX$1261,HLOOKUP(INDIRECT(ADDRESS(2,COLUMN())),OFFSET($BN$2,0,0,ROW()-1,60),ROW()-1,FALSE))</f>
        <v/>
      </c>
      <c r="AY603" t="str">
        <f ca="1">IF(AND(ISNUMBER($AY$1261),$B$677=1),$AY$1261,HLOOKUP(INDIRECT(ADDRESS(2,COLUMN())),OFFSET($BN$2,0,0,ROW()-1,60),ROW()-1,FALSE))</f>
        <v/>
      </c>
      <c r="AZ603" t="str">
        <f ca="1">IF(AND(ISNUMBER($AZ$1261),$B$677=1),$AZ$1261,HLOOKUP(INDIRECT(ADDRESS(2,COLUMN())),OFFSET($BN$2,0,0,ROW()-1,60),ROW()-1,FALSE))</f>
        <v/>
      </c>
      <c r="BA603" t="str">
        <f ca="1">IF(AND(ISNUMBER($BA$1261),$B$677=1),$BA$1261,HLOOKUP(INDIRECT(ADDRESS(2,COLUMN())),OFFSET($BN$2,0,0,ROW()-1,60),ROW()-1,FALSE))</f>
        <v/>
      </c>
      <c r="BB603" t="str">
        <f ca="1">IF(AND(ISNUMBER($BB$1261),$B$677=1),$BB$1261,HLOOKUP(INDIRECT(ADDRESS(2,COLUMN())),OFFSET($BN$2,0,0,ROW()-1,60),ROW()-1,FALSE))</f>
        <v/>
      </c>
      <c r="BC603" t="str">
        <f ca="1">IF(AND(ISNUMBER($BC$1261),$B$677=1),$BC$1261,HLOOKUP(INDIRECT(ADDRESS(2,COLUMN())),OFFSET($BN$2,0,0,ROW()-1,60),ROW()-1,FALSE))</f>
        <v/>
      </c>
      <c r="BD603" t="str">
        <f ca="1">IF(AND(ISNUMBER($BD$1261),$B$677=1),$BD$1261,HLOOKUP(INDIRECT(ADDRESS(2,COLUMN())),OFFSET($BN$2,0,0,ROW()-1,60),ROW()-1,FALSE))</f>
        <v/>
      </c>
      <c r="BE603" t="str">
        <f ca="1">IF(AND(ISNUMBER($BE$1261),$B$677=1),$BE$1261,HLOOKUP(INDIRECT(ADDRESS(2,COLUMN())),OFFSET($BN$2,0,0,ROW()-1,60),ROW()-1,FALSE))</f>
        <v/>
      </c>
      <c r="BF603" t="str">
        <f ca="1">IF(AND(ISNUMBER($BF$1261),$B$677=1),$BF$1261,HLOOKUP(INDIRECT(ADDRESS(2,COLUMN())),OFFSET($BN$2,0,0,ROW()-1,60),ROW()-1,FALSE))</f>
        <v/>
      </c>
      <c r="BG603" t="str">
        <f ca="1">IF(AND(ISNUMBER($BG$1261),$B$677=1),$BG$1261,HLOOKUP(INDIRECT(ADDRESS(2,COLUMN())),OFFSET($BN$2,0,0,ROW()-1,60),ROW()-1,FALSE))</f>
        <v/>
      </c>
      <c r="BH603" t="str">
        <f ca="1">IF(AND(ISNUMBER($BH$1261),$B$677=1),$BH$1261,HLOOKUP(INDIRECT(ADDRESS(2,COLUMN())),OFFSET($BN$2,0,0,ROW()-1,60),ROW()-1,FALSE))</f>
        <v/>
      </c>
      <c r="BI603" t="str">
        <f ca="1">IF(AND(ISNUMBER($BI$1261),$B$677=1),$BI$1261,HLOOKUP(INDIRECT(ADDRESS(2,COLUMN())),OFFSET($BN$2,0,0,ROW()-1,60),ROW()-1,FALSE))</f>
        <v/>
      </c>
      <c r="BJ603" t="str">
        <f ca="1">IF(AND(ISNUMBER($BJ$1261),$B$677=1),$BJ$1261,HLOOKUP(INDIRECT(ADDRESS(2,COLUMN())),OFFSET($BN$2,0,0,ROW()-1,60),ROW()-1,FALSE))</f>
        <v/>
      </c>
      <c r="BK603" t="str">
        <f ca="1">IF(AND(ISNUMBER($BK$1261),$B$677=1),$BK$1261,HLOOKUP(INDIRECT(ADDRESS(2,COLUMN())),OFFSET($BN$2,0,0,ROW()-1,60),ROW()-1,FALSE))</f>
        <v/>
      </c>
      <c r="BL603" t="str">
        <f ca="1">IF(AND(ISNUMBER($BL$1261),$B$677=1),$BL$1261,HLOOKUP(INDIRECT(ADDRESS(2,COLUMN())),OFFSET($BN$2,0,0,ROW()-1,60),ROW()-1,FALSE))</f>
        <v/>
      </c>
      <c r="BM603" t="str">
        <f ca="1">IF(AND(ISNUMBER($BM$1261),$B$677=1),$BM$1261,HLOOKUP(INDIRECT(ADDRESS(2,COLUMN())),OFFSET($BN$2,0,0,ROW()-1,60),ROW()-1,FALSE))</f>
        <v/>
      </c>
      <c r="BN603">
        <f>8.224206083</f>
        <v>8.2242060830000003</v>
      </c>
      <c r="BO603">
        <f>9.32197456</f>
        <v>9.3219745599999992</v>
      </c>
      <c r="BP603">
        <f>11.37602292</f>
        <v>11.37602292</v>
      </c>
      <c r="BQ603">
        <f>12.44212052</f>
        <v>12.44212052</v>
      </c>
      <c r="BR603">
        <f>13.90077873</f>
        <v>13.900778730000001</v>
      </c>
      <c r="BS603">
        <f>11.71909979</f>
        <v>11.71909979</v>
      </c>
      <c r="BT603">
        <f>7.856769302</f>
        <v>7.856769302</v>
      </c>
      <c r="BU603">
        <f>8.266232022</f>
        <v>8.2662320220000005</v>
      </c>
      <c r="BV603">
        <f>8.534039651</f>
        <v>8.5340396510000005</v>
      </c>
      <c r="BW603">
        <f>8.501004726</f>
        <v>8.5010047259999997</v>
      </c>
      <c r="BX603">
        <f>13.90800859</f>
        <v>13.90800859</v>
      </c>
      <c r="BY603">
        <f>18.70633777</f>
        <v>18.706337770000001</v>
      </c>
      <c r="BZ603">
        <f>17.61014675</f>
        <v>17.610146749999998</v>
      </c>
      <c r="CA603">
        <f>11.83358949</f>
        <v>11.83358949</v>
      </c>
      <c r="CB603">
        <f>13.6218996</f>
        <v>13.621899600000001</v>
      </c>
      <c r="CC603">
        <f>8.126869017</f>
        <v>8.1268690170000006</v>
      </c>
      <c r="CD603">
        <f>5.561309489</f>
        <v>5.5613094890000001</v>
      </c>
      <c r="CE603">
        <f>3.555943171</f>
        <v>3.555943171</v>
      </c>
      <c r="CF603">
        <f>5.26296764</f>
        <v>5.2629676400000003</v>
      </c>
      <c r="CG603">
        <f>4.151590332</f>
        <v>4.1515903319999996</v>
      </c>
      <c r="CH603">
        <f>1.866231975</f>
        <v>1.866231975</v>
      </c>
      <c r="CI603">
        <f>2.018439153</f>
        <v>2.0184391530000001</v>
      </c>
      <c r="CJ603">
        <f>-0.876472945</f>
        <v>-0.87647294499999995</v>
      </c>
      <c r="CK603">
        <f>-1.514848957</f>
        <v>-1.5148489570000001</v>
      </c>
      <c r="CL603">
        <f>-2.48416332</f>
        <v>-2.48416332</v>
      </c>
      <c r="CM603">
        <f>-0.812546082</f>
        <v>-0.812546082</v>
      </c>
      <c r="CN603">
        <f>-37.37120939</f>
        <v>-37.371209389999997</v>
      </c>
      <c r="CO603">
        <f>-29.76767891</f>
        <v>-29.767678910000001</v>
      </c>
      <c r="CP603">
        <f>-31.21255193</f>
        <v>-31.21255193</v>
      </c>
      <c r="CQ603">
        <f>-34.04025584</f>
        <v>-34.04025584</v>
      </c>
      <c r="CR603">
        <f>-24.79489302</f>
        <v>-24.79489302</v>
      </c>
      <c r="CS603">
        <f>-17.44312323</f>
        <v>-17.443123230000001</v>
      </c>
      <c r="CT603">
        <f>-5.218393011</f>
        <v>-5.2183930109999999</v>
      </c>
      <c r="CU603">
        <f>0.629457361</f>
        <v>0.62945736100000005</v>
      </c>
      <c r="CV603">
        <f>23.78021782</f>
        <v>23.780217820000001</v>
      </c>
      <c r="CW603">
        <f>29.93195485</f>
        <v>29.93195485</v>
      </c>
      <c r="CX603">
        <f>21.02214611</f>
        <v>21.022146110000001</v>
      </c>
      <c r="CY603">
        <f>36.06266663</f>
        <v>36.062666630000002</v>
      </c>
      <c r="CZ603">
        <f>-31.10584935</f>
        <v>-31.10584935</v>
      </c>
      <c r="DA603">
        <f>-33.29025788</f>
        <v>-33.290257879999999</v>
      </c>
      <c r="DB603">
        <f>-51.44423595</f>
        <v>-51.444235949999999</v>
      </c>
      <c r="DC603" t="str">
        <f>""</f>
        <v/>
      </c>
      <c r="DD603" t="str">
        <f>""</f>
        <v/>
      </c>
      <c r="DE603" t="str">
        <f>""</f>
        <v/>
      </c>
      <c r="DF603" t="str">
        <f>""</f>
        <v/>
      </c>
      <c r="DG603" t="str">
        <f>""</f>
        <v/>
      </c>
      <c r="DH603" t="str">
        <f>""</f>
        <v/>
      </c>
      <c r="DI603" t="str">
        <f>""</f>
        <v/>
      </c>
      <c r="DJ603" t="str">
        <f>""</f>
        <v/>
      </c>
      <c r="DK603" t="str">
        <f>""</f>
        <v/>
      </c>
      <c r="DL603" t="str">
        <f>""</f>
        <v/>
      </c>
      <c r="DM603" t="str">
        <f>""</f>
        <v/>
      </c>
      <c r="DN603" t="str">
        <f>""</f>
        <v/>
      </c>
      <c r="DO603" t="str">
        <f>""</f>
        <v/>
      </c>
      <c r="DP603" t="str">
        <f>""</f>
        <v/>
      </c>
      <c r="DQ603" t="str">
        <f>""</f>
        <v/>
      </c>
      <c r="DR603" t="str">
        <f>""</f>
        <v/>
      </c>
      <c r="DS603" t="str">
        <f>""</f>
        <v/>
      </c>
      <c r="DT603" t="str">
        <f>""</f>
        <v/>
      </c>
      <c r="DU603" t="str">
        <f>""</f>
        <v/>
      </c>
    </row>
    <row r="604" spans="1:125" x14ac:dyDescent="0.25">
      <c r="A604" t="str">
        <f>"    Mitsubishi Motors Corp"</f>
        <v xml:space="preserve">    Mitsubishi Motors Corp</v>
      </c>
      <c r="B604" t="str">
        <f>"7211 JP Equity"</f>
        <v>7211 JP Equity</v>
      </c>
      <c r="C604" t="str">
        <f t="shared" si="42"/>
        <v>RX072</v>
      </c>
      <c r="D604" t="str">
        <f t="shared" si="43"/>
        <v>FREE_CASH_FLOW_YIELD</v>
      </c>
      <c r="E604" t="str">
        <f t="shared" si="44"/>
        <v>Dynamic</v>
      </c>
      <c r="F604" t="str">
        <f ca="1">IF(AND(ISNUMBER($F$1262),$B$677=1),$F$1262,HLOOKUP(INDIRECT(ADDRESS(2,COLUMN())),OFFSET($BN$2,0,0,ROW()-1,60),ROW()-1,FALSE))</f>
        <v/>
      </c>
      <c r="G604" t="str">
        <f ca="1">IF(AND(ISNUMBER($G$1262),$B$677=1),$G$1262,HLOOKUP(INDIRECT(ADDRESS(2,COLUMN())),OFFSET($BN$2,0,0,ROW()-1,60),ROW()-1,FALSE))</f>
        <v/>
      </c>
      <c r="H604" t="str">
        <f ca="1">IF(AND(ISNUMBER($H$1262),$B$677=1),$H$1262,HLOOKUP(INDIRECT(ADDRESS(2,COLUMN())),OFFSET($BN$2,0,0,ROW()-1,60),ROW()-1,FALSE))</f>
        <v/>
      </c>
      <c r="I604" t="str">
        <f ca="1">IF(AND(ISNUMBER($I$1262),$B$677=1),$I$1262,HLOOKUP(INDIRECT(ADDRESS(2,COLUMN())),OFFSET($BN$2,0,0,ROW()-1,60),ROW()-1,FALSE))</f>
        <v/>
      </c>
      <c r="J604" t="str">
        <f ca="1">IF(AND(ISNUMBER($J$1262),$B$677=1),$J$1262,HLOOKUP(INDIRECT(ADDRESS(2,COLUMN())),OFFSET($BN$2,0,0,ROW()-1,60),ROW()-1,FALSE))</f>
        <v/>
      </c>
      <c r="K604" t="str">
        <f ca="1">IF(AND(ISNUMBER($K$1262),$B$677=1),$K$1262,HLOOKUP(INDIRECT(ADDRESS(2,COLUMN())),OFFSET($BN$2,0,0,ROW()-1,60),ROW()-1,FALSE))</f>
        <v/>
      </c>
      <c r="L604" t="str">
        <f ca="1">IF(AND(ISNUMBER($L$1262),$B$677=1),$L$1262,HLOOKUP(INDIRECT(ADDRESS(2,COLUMN())),OFFSET($BN$2,0,0,ROW()-1,60),ROW()-1,FALSE))</f>
        <v/>
      </c>
      <c r="M604" t="str">
        <f ca="1">IF(AND(ISNUMBER($M$1262),$B$677=1),$M$1262,HLOOKUP(INDIRECT(ADDRESS(2,COLUMN())),OFFSET($BN$2,0,0,ROW()-1,60),ROW()-1,FALSE))</f>
        <v/>
      </c>
      <c r="N604" t="str">
        <f ca="1">IF(AND(ISNUMBER($N$1262),$B$677=1),$N$1262,HLOOKUP(INDIRECT(ADDRESS(2,COLUMN())),OFFSET($BN$2,0,0,ROW()-1,60),ROW()-1,FALSE))</f>
        <v/>
      </c>
      <c r="O604" t="str">
        <f ca="1">IF(AND(ISNUMBER($O$1262),$B$677=1),$O$1262,HLOOKUP(INDIRECT(ADDRESS(2,COLUMN())),OFFSET($BN$2,0,0,ROW()-1,60),ROW()-1,FALSE))</f>
        <v/>
      </c>
      <c r="P604" t="str">
        <f ca="1">IF(AND(ISNUMBER($P$1262),$B$677=1),$P$1262,HLOOKUP(INDIRECT(ADDRESS(2,COLUMN())),OFFSET($BN$2,0,0,ROW()-1,60),ROW()-1,FALSE))</f>
        <v/>
      </c>
      <c r="Q604" t="str">
        <f ca="1">IF(AND(ISNUMBER($Q$1262),$B$677=1),$Q$1262,HLOOKUP(INDIRECT(ADDRESS(2,COLUMN())),OFFSET($BN$2,0,0,ROW()-1,60),ROW()-1,FALSE))</f>
        <v/>
      </c>
      <c r="R604" t="str">
        <f ca="1">IF(AND(ISNUMBER($R$1262),$B$677=1),$R$1262,HLOOKUP(INDIRECT(ADDRESS(2,COLUMN())),OFFSET($BN$2,0,0,ROW()-1,60),ROW()-1,FALSE))</f>
        <v/>
      </c>
      <c r="S604" t="str">
        <f ca="1">IF(AND(ISNUMBER($S$1262),$B$677=1),$S$1262,HLOOKUP(INDIRECT(ADDRESS(2,COLUMN())),OFFSET($BN$2,0,0,ROW()-1,60),ROW()-1,FALSE))</f>
        <v/>
      </c>
      <c r="T604" t="str">
        <f ca="1">IF(AND(ISNUMBER($T$1262),$B$677=1),$T$1262,HLOOKUP(INDIRECT(ADDRESS(2,COLUMN())),OFFSET($BN$2,0,0,ROW()-1,60),ROW()-1,FALSE))</f>
        <v/>
      </c>
      <c r="U604" t="str">
        <f ca="1">IF(AND(ISNUMBER($U$1262),$B$677=1),$U$1262,HLOOKUP(INDIRECT(ADDRESS(2,COLUMN())),OFFSET($BN$2,0,0,ROW()-1,60),ROW()-1,FALSE))</f>
        <v/>
      </c>
      <c r="V604" t="str">
        <f ca="1">IF(AND(ISNUMBER($V$1262),$B$677=1),$V$1262,HLOOKUP(INDIRECT(ADDRESS(2,COLUMN())),OFFSET($BN$2,0,0,ROW()-1,60),ROW()-1,FALSE))</f>
        <v/>
      </c>
      <c r="W604" t="str">
        <f ca="1">IF(AND(ISNUMBER($W$1262),$B$677=1),$W$1262,HLOOKUP(INDIRECT(ADDRESS(2,COLUMN())),OFFSET($BN$2,0,0,ROW()-1,60),ROW()-1,FALSE))</f>
        <v/>
      </c>
      <c r="X604" t="str">
        <f ca="1">IF(AND(ISNUMBER($X$1262),$B$677=1),$X$1262,HLOOKUP(INDIRECT(ADDRESS(2,COLUMN())),OFFSET($BN$2,0,0,ROW()-1,60),ROW()-1,FALSE))</f>
        <v/>
      </c>
      <c r="Y604" t="str">
        <f ca="1">IF(AND(ISNUMBER($Y$1262),$B$677=1),$Y$1262,HLOOKUP(INDIRECT(ADDRESS(2,COLUMN())),OFFSET($BN$2,0,0,ROW()-1,60),ROW()-1,FALSE))</f>
        <v/>
      </c>
      <c r="Z604" t="str">
        <f ca="1">IF(AND(ISNUMBER($Z$1262),$B$677=1),$Z$1262,HLOOKUP(INDIRECT(ADDRESS(2,COLUMN())),OFFSET($BN$2,0,0,ROW()-1,60),ROW()-1,FALSE))</f>
        <v/>
      </c>
      <c r="AA604" t="str">
        <f ca="1">IF(AND(ISNUMBER($AA$1262),$B$677=1),$AA$1262,HLOOKUP(INDIRECT(ADDRESS(2,COLUMN())),OFFSET($BN$2,0,0,ROW()-1,60),ROW()-1,FALSE))</f>
        <v/>
      </c>
      <c r="AB604" t="str">
        <f ca="1">IF(AND(ISNUMBER($AB$1262),$B$677=1),$AB$1262,HLOOKUP(INDIRECT(ADDRESS(2,COLUMN())),OFFSET($BN$2,0,0,ROW()-1,60),ROW()-1,FALSE))</f>
        <v/>
      </c>
      <c r="AC604" t="str">
        <f ca="1">IF(AND(ISNUMBER($AC$1262),$B$677=1),$AC$1262,HLOOKUP(INDIRECT(ADDRESS(2,COLUMN())),OFFSET($BN$2,0,0,ROW()-1,60),ROW()-1,FALSE))</f>
        <v/>
      </c>
      <c r="AD604" t="str">
        <f ca="1">IF(AND(ISNUMBER($AD$1262),$B$677=1),$AD$1262,HLOOKUP(INDIRECT(ADDRESS(2,COLUMN())),OFFSET($BN$2,0,0,ROW()-1,60),ROW()-1,FALSE))</f>
        <v/>
      </c>
      <c r="AE604" t="str">
        <f ca="1">IF(AND(ISNUMBER($AE$1262),$B$677=1),$AE$1262,HLOOKUP(INDIRECT(ADDRESS(2,COLUMN())),OFFSET($BN$2,0,0,ROW()-1,60),ROW()-1,FALSE))</f>
        <v/>
      </c>
      <c r="AF604" t="str">
        <f ca="1">IF(AND(ISNUMBER($AF$1262),$B$677=1),$AF$1262,HLOOKUP(INDIRECT(ADDRESS(2,COLUMN())),OFFSET($BN$2,0,0,ROW()-1,60),ROW()-1,FALSE))</f>
        <v/>
      </c>
      <c r="AG604" t="str">
        <f ca="1">IF(AND(ISNUMBER($AG$1262),$B$677=1),$AG$1262,HLOOKUP(INDIRECT(ADDRESS(2,COLUMN())),OFFSET($BN$2,0,0,ROW()-1,60),ROW()-1,FALSE))</f>
        <v/>
      </c>
      <c r="AH604" t="str">
        <f ca="1">IF(AND(ISNUMBER($AH$1262),$B$677=1),$AH$1262,HLOOKUP(INDIRECT(ADDRESS(2,COLUMN())),OFFSET($BN$2,0,0,ROW()-1,60),ROW()-1,FALSE))</f>
        <v/>
      </c>
      <c r="AI604" t="str">
        <f ca="1">IF(AND(ISNUMBER($AI$1262),$B$677=1),$AI$1262,HLOOKUP(INDIRECT(ADDRESS(2,COLUMN())),OFFSET($BN$2,0,0,ROW()-1,60),ROW()-1,FALSE))</f>
        <v/>
      </c>
      <c r="AJ604" t="str">
        <f ca="1">IF(AND(ISNUMBER($AJ$1262),$B$677=1),$AJ$1262,HLOOKUP(INDIRECT(ADDRESS(2,COLUMN())),OFFSET($BN$2,0,0,ROW()-1,60),ROW()-1,FALSE))</f>
        <v/>
      </c>
      <c r="AK604">
        <f ca="1">IF(AND(ISNUMBER($AK$1262),$B$677=1),$AK$1262,HLOOKUP(INDIRECT(ADDRESS(2,COLUMN())),OFFSET($BN$2,0,0,ROW()-1,60),ROW()-1,FALSE))</f>
        <v>9.3137966720000005</v>
      </c>
      <c r="AL604">
        <f ca="1">IF(AND(ISNUMBER($AL$1262),$B$677=1),$AL$1262,HLOOKUP(INDIRECT(ADDRESS(2,COLUMN())),OFFSET($BN$2,0,0,ROW()-1,60),ROW()-1,FALSE))</f>
        <v>8.9485497439999993</v>
      </c>
      <c r="AM604">
        <f ca="1">IF(AND(ISNUMBER($AM$1262),$B$677=1),$AM$1262,HLOOKUP(INDIRECT(ADDRESS(2,COLUMN())),OFFSET($BN$2,0,0,ROW()-1,60),ROW()-1,FALSE))</f>
        <v>14.766281729999999</v>
      </c>
      <c r="AN604">
        <f ca="1">IF(AND(ISNUMBER($AN$1262),$B$677=1),$AN$1262,HLOOKUP(INDIRECT(ADDRESS(2,COLUMN())),OFFSET($BN$2,0,0,ROW()-1,60),ROW()-1,FALSE))</f>
        <v>19.47160118</v>
      </c>
      <c r="AO604">
        <f ca="1">IF(AND(ISNUMBER($AO$1262),$B$677=1),$AO$1262,HLOOKUP(INDIRECT(ADDRESS(2,COLUMN())),OFFSET($BN$2,0,0,ROW()-1,60),ROW()-1,FALSE))</f>
        <v>14.745292940000001</v>
      </c>
      <c r="AP604">
        <f ca="1">IF(AND(ISNUMBER($AP$1262),$B$677=1),$AP$1262,HLOOKUP(INDIRECT(ADDRESS(2,COLUMN())),OFFSET($BN$2,0,0,ROW()-1,60),ROW()-1,FALSE))</f>
        <v>8.0244623389999994</v>
      </c>
      <c r="AQ604">
        <f ca="1">IF(AND(ISNUMBER($AQ$1262),$B$677=1),$AQ$1262,HLOOKUP(INDIRECT(ADDRESS(2,COLUMN())),OFFSET($BN$2,0,0,ROW()-1,60),ROW()-1,FALSE))</f>
        <v>-9.5011929169999991</v>
      </c>
      <c r="AR604">
        <f ca="1">IF(AND(ISNUMBER($AR$1262),$B$677=1),$AR$1262,HLOOKUP(INDIRECT(ADDRESS(2,COLUMN())),OFFSET($BN$2,0,0,ROW()-1,60),ROW()-1,FALSE))</f>
        <v>-22.204330240000001</v>
      </c>
      <c r="AS604">
        <f ca="1">IF(AND(ISNUMBER($AS$1262),$B$677=1),$AS$1262,HLOOKUP(INDIRECT(ADDRESS(2,COLUMN())),OFFSET($BN$2,0,0,ROW()-1,60),ROW()-1,FALSE))</f>
        <v>-21.433643979999999</v>
      </c>
      <c r="AT604">
        <f ca="1">IF(AND(ISNUMBER($AT$1262),$B$677=1),$AT$1262,HLOOKUP(INDIRECT(ADDRESS(2,COLUMN())),OFFSET($BN$2,0,0,ROW()-1,60),ROW()-1,FALSE))</f>
        <v>-27.11740442</v>
      </c>
      <c r="AU604" t="str">
        <f ca="1">IF(AND(ISNUMBER($AU$1262),$B$677=1),$AU$1262,HLOOKUP(INDIRECT(ADDRESS(2,COLUMN())),OFFSET($BN$2,0,0,ROW()-1,60),ROW()-1,FALSE))</f>
        <v/>
      </c>
      <c r="AV604" t="str">
        <f ca="1">IF(AND(ISNUMBER($AV$1262),$B$677=1),$AV$1262,HLOOKUP(INDIRECT(ADDRESS(2,COLUMN())),OFFSET($BN$2,0,0,ROW()-1,60),ROW()-1,FALSE))</f>
        <v/>
      </c>
      <c r="AW604" t="str">
        <f ca="1">IF(AND(ISNUMBER($AW$1262),$B$677=1),$AW$1262,HLOOKUP(INDIRECT(ADDRESS(2,COLUMN())),OFFSET($BN$2,0,0,ROW()-1,60),ROW()-1,FALSE))</f>
        <v/>
      </c>
      <c r="AX604" t="str">
        <f ca="1">IF(AND(ISNUMBER($AX$1262),$B$677=1),$AX$1262,HLOOKUP(INDIRECT(ADDRESS(2,COLUMN())),OFFSET($BN$2,0,0,ROW()-1,60),ROW()-1,FALSE))</f>
        <v/>
      </c>
      <c r="AY604" t="str">
        <f ca="1">IF(AND(ISNUMBER($AY$1262),$B$677=1),$AY$1262,HLOOKUP(INDIRECT(ADDRESS(2,COLUMN())),OFFSET($BN$2,0,0,ROW()-1,60),ROW()-1,FALSE))</f>
        <v/>
      </c>
      <c r="AZ604" t="str">
        <f ca="1">IF(AND(ISNUMBER($AZ$1262),$B$677=1),$AZ$1262,HLOOKUP(INDIRECT(ADDRESS(2,COLUMN())),OFFSET($BN$2,0,0,ROW()-1,60),ROW()-1,FALSE))</f>
        <v/>
      </c>
      <c r="BA604" t="str">
        <f ca="1">IF(AND(ISNUMBER($BA$1262),$B$677=1),$BA$1262,HLOOKUP(INDIRECT(ADDRESS(2,COLUMN())),OFFSET($BN$2,0,0,ROW()-1,60),ROW()-1,FALSE))</f>
        <v/>
      </c>
      <c r="BB604" t="str">
        <f ca="1">IF(AND(ISNUMBER($BB$1262),$B$677=1),$BB$1262,HLOOKUP(INDIRECT(ADDRESS(2,COLUMN())),OFFSET($BN$2,0,0,ROW()-1,60),ROW()-1,FALSE))</f>
        <v/>
      </c>
      <c r="BC604" t="str">
        <f ca="1">IF(AND(ISNUMBER($BC$1262),$B$677=1),$BC$1262,HLOOKUP(INDIRECT(ADDRESS(2,COLUMN())),OFFSET($BN$2,0,0,ROW()-1,60),ROW()-1,FALSE))</f>
        <v/>
      </c>
      <c r="BD604" t="str">
        <f ca="1">IF(AND(ISNUMBER($BD$1262),$B$677=1),$BD$1262,HLOOKUP(INDIRECT(ADDRESS(2,COLUMN())),OFFSET($BN$2,0,0,ROW()-1,60),ROW()-1,FALSE))</f>
        <v/>
      </c>
      <c r="BE604" t="str">
        <f ca="1">IF(AND(ISNUMBER($BE$1262),$B$677=1),$BE$1262,HLOOKUP(INDIRECT(ADDRESS(2,COLUMN())),OFFSET($BN$2,0,0,ROW()-1,60),ROW()-1,FALSE))</f>
        <v/>
      </c>
      <c r="BF604" t="str">
        <f ca="1">IF(AND(ISNUMBER($BF$1262),$B$677=1),$BF$1262,HLOOKUP(INDIRECT(ADDRESS(2,COLUMN())),OFFSET($BN$2,0,0,ROW()-1,60),ROW()-1,FALSE))</f>
        <v/>
      </c>
      <c r="BG604" t="str">
        <f ca="1">IF(AND(ISNUMBER($BG$1262),$B$677=1),$BG$1262,HLOOKUP(INDIRECT(ADDRESS(2,COLUMN())),OFFSET($BN$2,0,0,ROW()-1,60),ROW()-1,FALSE))</f>
        <v/>
      </c>
      <c r="BH604" t="str">
        <f ca="1">IF(AND(ISNUMBER($BH$1262),$B$677=1),$BH$1262,HLOOKUP(INDIRECT(ADDRESS(2,COLUMN())),OFFSET($BN$2,0,0,ROW()-1,60),ROW()-1,FALSE))</f>
        <v/>
      </c>
      <c r="BI604" t="str">
        <f ca="1">IF(AND(ISNUMBER($BI$1262),$B$677=1),$BI$1262,HLOOKUP(INDIRECT(ADDRESS(2,COLUMN())),OFFSET($BN$2,0,0,ROW()-1,60),ROW()-1,FALSE))</f>
        <v/>
      </c>
      <c r="BJ604" t="str">
        <f ca="1">IF(AND(ISNUMBER($BJ$1262),$B$677=1),$BJ$1262,HLOOKUP(INDIRECT(ADDRESS(2,COLUMN())),OFFSET($BN$2,0,0,ROW()-1,60),ROW()-1,FALSE))</f>
        <v/>
      </c>
      <c r="BK604" t="str">
        <f ca="1">IF(AND(ISNUMBER($BK$1262),$B$677=1),$BK$1262,HLOOKUP(INDIRECT(ADDRESS(2,COLUMN())),OFFSET($BN$2,0,0,ROW()-1,60),ROW()-1,FALSE))</f>
        <v/>
      </c>
      <c r="BL604" t="str">
        <f ca="1">IF(AND(ISNUMBER($BL$1262),$B$677=1),$BL$1262,HLOOKUP(INDIRECT(ADDRESS(2,COLUMN())),OFFSET($BN$2,0,0,ROW()-1,60),ROW()-1,FALSE))</f>
        <v/>
      </c>
      <c r="BM604" t="str">
        <f ca="1">IF(AND(ISNUMBER($BM$1262),$B$677=1),$BM$1262,HLOOKUP(INDIRECT(ADDRESS(2,COLUMN())),OFFSET($BN$2,0,0,ROW()-1,60),ROW()-1,FALSE))</f>
        <v/>
      </c>
      <c r="BN604" t="str">
        <f>""</f>
        <v/>
      </c>
      <c r="BO604" t="str">
        <f>""</f>
        <v/>
      </c>
      <c r="BP604" t="str">
        <f>""</f>
        <v/>
      </c>
      <c r="BQ604" t="str">
        <f>""</f>
        <v/>
      </c>
      <c r="BR604" t="str">
        <f>""</f>
        <v/>
      </c>
      <c r="BS604" t="str">
        <f>""</f>
        <v/>
      </c>
      <c r="BT604" t="str">
        <f>""</f>
        <v/>
      </c>
      <c r="BU604" t="str">
        <f>""</f>
        <v/>
      </c>
      <c r="BV604" t="str">
        <f>""</f>
        <v/>
      </c>
      <c r="BW604" t="str">
        <f>""</f>
        <v/>
      </c>
      <c r="BX604" t="str">
        <f>""</f>
        <v/>
      </c>
      <c r="BY604" t="str">
        <f>""</f>
        <v/>
      </c>
      <c r="BZ604" t="str">
        <f>""</f>
        <v/>
      </c>
      <c r="CA604" t="str">
        <f>""</f>
        <v/>
      </c>
      <c r="CB604" t="str">
        <f>""</f>
        <v/>
      </c>
      <c r="CC604" t="str">
        <f>""</f>
        <v/>
      </c>
      <c r="CD604" t="str">
        <f>""</f>
        <v/>
      </c>
      <c r="CE604" t="str">
        <f>""</f>
        <v/>
      </c>
      <c r="CF604" t="str">
        <f>""</f>
        <v/>
      </c>
      <c r="CG604" t="str">
        <f>""</f>
        <v/>
      </c>
      <c r="CH604" t="str">
        <f>""</f>
        <v/>
      </c>
      <c r="CI604" t="str">
        <f>""</f>
        <v/>
      </c>
      <c r="CJ604" t="str">
        <f>""</f>
        <v/>
      </c>
      <c r="CK604" t="str">
        <f>""</f>
        <v/>
      </c>
      <c r="CL604" t="str">
        <f>""</f>
        <v/>
      </c>
      <c r="CM604" t="str">
        <f>""</f>
        <v/>
      </c>
      <c r="CN604" t="str">
        <f>""</f>
        <v/>
      </c>
      <c r="CO604" t="str">
        <f>""</f>
        <v/>
      </c>
      <c r="CP604" t="str">
        <f>""</f>
        <v/>
      </c>
      <c r="CQ604" t="str">
        <f>""</f>
        <v/>
      </c>
      <c r="CR604" t="str">
        <f>""</f>
        <v/>
      </c>
      <c r="CS604">
        <f>9.313796672</f>
        <v>9.3137966720000005</v>
      </c>
      <c r="CT604">
        <f>8.948549744</f>
        <v>8.9485497439999993</v>
      </c>
      <c r="CU604">
        <f>14.76628173</f>
        <v>14.766281729999999</v>
      </c>
      <c r="CV604">
        <f>19.47160118</f>
        <v>19.47160118</v>
      </c>
      <c r="CW604">
        <f>14.74529294</f>
        <v>14.745292940000001</v>
      </c>
      <c r="CX604">
        <f>8.024462339</f>
        <v>8.0244623389999994</v>
      </c>
      <c r="CY604">
        <f>-9.501192917</f>
        <v>-9.5011929169999991</v>
      </c>
      <c r="CZ604">
        <f>-22.20433024</f>
        <v>-22.204330240000001</v>
      </c>
      <c r="DA604">
        <f>-21.43364398</f>
        <v>-21.433643979999999</v>
      </c>
      <c r="DB604">
        <f>-27.11740442</f>
        <v>-27.11740442</v>
      </c>
      <c r="DC604" t="str">
        <f>""</f>
        <v/>
      </c>
      <c r="DD604" t="str">
        <f>""</f>
        <v/>
      </c>
      <c r="DE604" t="str">
        <f>""</f>
        <v/>
      </c>
      <c r="DF604" t="str">
        <f>""</f>
        <v/>
      </c>
      <c r="DG604" t="str">
        <f>""</f>
        <v/>
      </c>
      <c r="DH604" t="str">
        <f>""</f>
        <v/>
      </c>
      <c r="DI604" t="str">
        <f>""</f>
        <v/>
      </c>
      <c r="DJ604" t="str">
        <f>""</f>
        <v/>
      </c>
      <c r="DK604" t="str">
        <f>""</f>
        <v/>
      </c>
      <c r="DL604" t="str">
        <f>""</f>
        <v/>
      </c>
      <c r="DM604" t="str">
        <f>""</f>
        <v/>
      </c>
      <c r="DN604" t="str">
        <f>""</f>
        <v/>
      </c>
      <c r="DO604" t="str">
        <f>""</f>
        <v/>
      </c>
      <c r="DP604" t="str">
        <f>""</f>
        <v/>
      </c>
      <c r="DQ604" t="str">
        <f>""</f>
        <v/>
      </c>
      <c r="DR604" t="str">
        <f>""</f>
        <v/>
      </c>
      <c r="DS604" t="str">
        <f>""</f>
        <v/>
      </c>
      <c r="DT604" t="str">
        <f>""</f>
        <v/>
      </c>
      <c r="DU604" t="str">
        <f>""</f>
        <v/>
      </c>
    </row>
    <row r="605" spans="1:125" x14ac:dyDescent="0.25">
      <c r="A605" t="str">
        <f>"    Nissan Motor Co Ltd"</f>
        <v xml:space="preserve">    Nissan Motor Co Ltd</v>
      </c>
      <c r="B605" t="str">
        <f>"7201 JP Equity"</f>
        <v>7201 JP Equity</v>
      </c>
      <c r="C605" t="str">
        <f t="shared" si="42"/>
        <v>RX072</v>
      </c>
      <c r="D605" t="str">
        <f t="shared" si="43"/>
        <v>FREE_CASH_FLOW_YIELD</v>
      </c>
      <c r="E605" t="str">
        <f t="shared" si="44"/>
        <v>Dynamic</v>
      </c>
      <c r="F605">
        <f ca="1">IF(AND(ISNUMBER($F$1263),$B$677=1),$F$1263,HLOOKUP(INDIRECT(ADDRESS(2,COLUMN())),OFFSET($BN$2,0,0,ROW()-1,60),ROW()-1,FALSE))</f>
        <v>31.750038740000001</v>
      </c>
      <c r="G605">
        <f ca="1">IF(AND(ISNUMBER($G$1263),$B$677=1),$G$1263,HLOOKUP(INDIRECT(ADDRESS(2,COLUMN())),OFFSET($BN$2,0,0,ROW()-1,60),ROW()-1,FALSE))</f>
        <v>34.177367609999997</v>
      </c>
      <c r="H605">
        <f ca="1">IF(AND(ISNUMBER($H$1263),$B$677=1),$H$1263,HLOOKUP(INDIRECT(ADDRESS(2,COLUMN())),OFFSET($BN$2,0,0,ROW()-1,60),ROW()-1,FALSE))</f>
        <v>20.721022130000001</v>
      </c>
      <c r="I605">
        <f ca="1">IF(AND(ISNUMBER($I$1263),$B$677=1),$I$1263,HLOOKUP(INDIRECT(ADDRESS(2,COLUMN())),OFFSET($BN$2,0,0,ROW()-1,60),ROW()-1,FALSE))</f>
        <v>21.141629510000001</v>
      </c>
      <c r="J605">
        <f ca="1">IF(AND(ISNUMBER($J$1263),$B$677=1),$J$1263,HLOOKUP(INDIRECT(ADDRESS(2,COLUMN())),OFFSET($BN$2,0,0,ROW()-1,60),ROW()-1,FALSE))</f>
        <v>15.57620625</v>
      </c>
      <c r="K605">
        <f ca="1">IF(AND(ISNUMBER($K$1263),$B$677=1),$K$1263,HLOOKUP(INDIRECT(ADDRESS(2,COLUMN())),OFFSET($BN$2,0,0,ROW()-1,60),ROW()-1,FALSE))</f>
        <v>9.4096603660000007</v>
      </c>
      <c r="L605">
        <f ca="1">IF(AND(ISNUMBER($L$1263),$B$677=1),$L$1263,HLOOKUP(INDIRECT(ADDRESS(2,COLUMN())),OFFSET($BN$2,0,0,ROW()-1,60),ROW()-1,FALSE))</f>
        <v>15.214168450000001</v>
      </c>
      <c r="M605">
        <f ca="1">IF(AND(ISNUMBER($M$1263),$B$677=1),$M$1263,HLOOKUP(INDIRECT(ADDRESS(2,COLUMN())),OFFSET($BN$2,0,0,ROW()-1,60),ROW()-1,FALSE))</f>
        <v>14.53894519</v>
      </c>
      <c r="N605">
        <f ca="1">IF(AND(ISNUMBER($N$1263),$B$677=1),$N$1263,HLOOKUP(INDIRECT(ADDRESS(2,COLUMN())),OFFSET($BN$2,0,0,ROW()-1,60),ROW()-1,FALSE))</f>
        <v>19.471382770000002</v>
      </c>
      <c r="O605">
        <f ca="1">IF(AND(ISNUMBER($O$1263),$B$677=1),$O$1263,HLOOKUP(INDIRECT(ADDRESS(2,COLUMN())),OFFSET($BN$2,0,0,ROW()-1,60),ROW()-1,FALSE))</f>
        <v>15.10497299</v>
      </c>
      <c r="P605">
        <f ca="1">IF(AND(ISNUMBER($P$1263),$B$677=1),$P$1263,HLOOKUP(INDIRECT(ADDRESS(2,COLUMN())),OFFSET($BN$2,0,0,ROW()-1,60),ROW()-1,FALSE))</f>
        <v>15.73647266</v>
      </c>
      <c r="Q605">
        <f ca="1">IF(AND(ISNUMBER($Q$1263),$B$677=1),$Q$1263,HLOOKUP(INDIRECT(ADDRESS(2,COLUMN())),OFFSET($BN$2,0,0,ROW()-1,60),ROW()-1,FALSE))</f>
        <v>16.238646240000001</v>
      </c>
      <c r="R605">
        <f ca="1">IF(AND(ISNUMBER($R$1263),$B$677=1),$R$1263,HLOOKUP(INDIRECT(ADDRESS(2,COLUMN())),OFFSET($BN$2,0,0,ROW()-1,60),ROW()-1,FALSE))</f>
        <v>9.0782360799999999</v>
      </c>
      <c r="S605">
        <f ca="1">IF(AND(ISNUMBER($S$1263),$B$677=1),$S$1263,HLOOKUP(INDIRECT(ADDRESS(2,COLUMN())),OFFSET($BN$2,0,0,ROW()-1,60),ROW()-1,FALSE))</f>
        <v>5.222489414</v>
      </c>
      <c r="T605">
        <f ca="1">IF(AND(ISNUMBER($T$1263),$B$677=1),$T$1263,HLOOKUP(INDIRECT(ADDRESS(2,COLUMN())),OFFSET($BN$2,0,0,ROW()-1,60),ROW()-1,FALSE))</f>
        <v>5.3157208550000004</v>
      </c>
      <c r="U605">
        <f ca="1">IF(AND(ISNUMBER($U$1263),$B$677=1),$U$1263,HLOOKUP(INDIRECT(ADDRESS(2,COLUMN())),OFFSET($BN$2,0,0,ROW()-1,60),ROW()-1,FALSE))</f>
        <v>5.5895793810000001</v>
      </c>
      <c r="V605">
        <f ca="1">IF(AND(ISNUMBER($V$1263),$B$677=1),$V$1263,HLOOKUP(INDIRECT(ADDRESS(2,COLUMN())),OFFSET($BN$2,0,0,ROW()-1,60),ROW()-1,FALSE))</f>
        <v>3.4963441579999999</v>
      </c>
      <c r="W605">
        <f ca="1">IF(AND(ISNUMBER($W$1263),$B$677=1),$W$1263,HLOOKUP(INDIRECT(ADDRESS(2,COLUMN())),OFFSET($BN$2,0,0,ROW()-1,60),ROW()-1,FALSE))</f>
        <v>7.999336349</v>
      </c>
      <c r="X605">
        <f ca="1">IF(AND(ISNUMBER($X$1263),$B$677=1),$X$1263,HLOOKUP(INDIRECT(ADDRESS(2,COLUMN())),OFFSET($BN$2,0,0,ROW()-1,60),ROW()-1,FALSE))</f>
        <v>4.9885185859999996</v>
      </c>
      <c r="Y605">
        <f ca="1">IF(AND(ISNUMBER($Y$1263),$B$677=1),$Y$1263,HLOOKUP(INDIRECT(ADDRESS(2,COLUMN())),OFFSET($BN$2,0,0,ROW()-1,60),ROW()-1,FALSE))</f>
        <v>2.5967781059999999</v>
      </c>
      <c r="Z605">
        <f ca="1">IF(AND(ISNUMBER($Z$1263),$B$677=1),$Z$1263,HLOOKUP(INDIRECT(ADDRESS(2,COLUMN())),OFFSET($BN$2,0,0,ROW()-1,60),ROW()-1,FALSE))</f>
        <v>4.5721206739999998</v>
      </c>
      <c r="AA605">
        <f ca="1">IF(AND(ISNUMBER($AA$1263),$B$677=1),$AA$1263,HLOOKUP(INDIRECT(ADDRESS(2,COLUMN())),OFFSET($BN$2,0,0,ROW()-1,60),ROW()-1,FALSE))</f>
        <v>2.9274651189999998</v>
      </c>
      <c r="AB605">
        <f ca="1">IF(AND(ISNUMBER($AB$1263),$B$677=1),$AB$1263,HLOOKUP(INDIRECT(ADDRESS(2,COLUMN())),OFFSET($BN$2,0,0,ROW()-1,60),ROW()-1,FALSE))</f>
        <v>3.1295610470000002</v>
      </c>
      <c r="AC605">
        <f ca="1">IF(AND(ISNUMBER($AC$1263),$B$677=1),$AC$1263,HLOOKUP(INDIRECT(ADDRESS(2,COLUMN())),OFFSET($BN$2,0,0,ROW()-1,60),ROW()-1,FALSE))</f>
        <v>-0.21665087599999999</v>
      </c>
      <c r="AD605">
        <f ca="1">IF(AND(ISNUMBER($AD$1263),$B$677=1),$AD$1263,HLOOKUP(INDIRECT(ADDRESS(2,COLUMN())),OFFSET($BN$2,0,0,ROW()-1,60),ROW()-1,FALSE))</f>
        <v>-1.14535524</v>
      </c>
      <c r="AE605">
        <f ca="1">IF(AND(ISNUMBER($AE$1263),$B$677=1),$AE$1263,HLOOKUP(INDIRECT(ADDRESS(2,COLUMN())),OFFSET($BN$2,0,0,ROW()-1,60),ROW()-1,FALSE))</f>
        <v>-4.2608834770000001</v>
      </c>
      <c r="AF605">
        <f ca="1">IF(AND(ISNUMBER($AF$1263),$B$677=1),$AF$1263,HLOOKUP(INDIRECT(ADDRESS(2,COLUMN())),OFFSET($BN$2,0,0,ROW()-1,60),ROW()-1,FALSE))</f>
        <v>-1.870512776</v>
      </c>
      <c r="AG605">
        <f ca="1">IF(AND(ISNUMBER($AG$1263),$B$677=1),$AG$1263,HLOOKUP(INDIRECT(ADDRESS(2,COLUMN())),OFFSET($BN$2,0,0,ROW()-1,60),ROW()-1,FALSE))</f>
        <v>2.4115017029999999</v>
      </c>
      <c r="AH605">
        <f ca="1">IF(AND(ISNUMBER($AH$1263),$B$677=1),$AH$1263,HLOOKUP(INDIRECT(ADDRESS(2,COLUMN())),OFFSET($BN$2,0,0,ROW()-1,60),ROW()-1,FALSE))</f>
        <v>8.0301184889999995</v>
      </c>
      <c r="AI605">
        <f ca="1">IF(AND(ISNUMBER($AI$1263),$B$677=1),$AI$1263,HLOOKUP(INDIRECT(ADDRESS(2,COLUMN())),OFFSET($BN$2,0,0,ROW()-1,60),ROW()-1,FALSE))</f>
        <v>9.6901035790000005</v>
      </c>
      <c r="AJ605">
        <f ca="1">IF(AND(ISNUMBER($AJ$1263),$B$677=1),$AJ$1263,HLOOKUP(INDIRECT(ADDRESS(2,COLUMN())),OFFSET($BN$2,0,0,ROW()-1,60),ROW()-1,FALSE))</f>
        <v>13.014617660000001</v>
      </c>
      <c r="AK605">
        <f ca="1">IF(AND(ISNUMBER($AK$1263),$B$677=1),$AK$1263,HLOOKUP(INDIRECT(ADDRESS(2,COLUMN())),OFFSET($BN$2,0,0,ROW()-1,60),ROW()-1,FALSE))</f>
        <v>10.451777010000001</v>
      </c>
      <c r="AL605">
        <f ca="1">IF(AND(ISNUMBER($AL$1263),$B$677=1),$AL$1263,HLOOKUP(INDIRECT(ADDRESS(2,COLUMN())),OFFSET($BN$2,0,0,ROW()-1,60),ROW()-1,FALSE))</f>
        <v>12.513995789999999</v>
      </c>
      <c r="AM605">
        <f ca="1">IF(AND(ISNUMBER($AM$1263),$B$677=1),$AM$1263,HLOOKUP(INDIRECT(ADDRESS(2,COLUMN())),OFFSET($BN$2,0,0,ROW()-1,60),ROW()-1,FALSE))</f>
        <v>13.281452010000001</v>
      </c>
      <c r="AN605">
        <f ca="1">IF(AND(ISNUMBER($AN$1263),$B$677=1),$AN$1263,HLOOKUP(INDIRECT(ADDRESS(2,COLUMN())),OFFSET($BN$2,0,0,ROW()-1,60),ROW()-1,FALSE))</f>
        <v>15.78310357</v>
      </c>
      <c r="AO605">
        <f ca="1">IF(AND(ISNUMBER($AO$1263),$B$677=1),$AO$1263,HLOOKUP(INDIRECT(ADDRESS(2,COLUMN())),OFFSET($BN$2,0,0,ROW()-1,60),ROW()-1,FALSE))</f>
        <v>30.665787999999999</v>
      </c>
      <c r="AP605">
        <f ca="1">IF(AND(ISNUMBER($AP$1263),$B$677=1),$AP$1263,HLOOKUP(INDIRECT(ADDRESS(2,COLUMN())),OFFSET($BN$2,0,0,ROW()-1,60),ROW()-1,FALSE))</f>
        <v>27.619148209999999</v>
      </c>
      <c r="AQ605">
        <f ca="1">IF(AND(ISNUMBER($AQ$1263),$B$677=1),$AQ$1263,HLOOKUP(INDIRECT(ADDRESS(2,COLUMN())),OFFSET($BN$2,0,0,ROW()-1,60),ROW()-1,FALSE))</f>
        <v>32.688624599999997</v>
      </c>
      <c r="AR605">
        <f ca="1">IF(AND(ISNUMBER($AR$1263),$B$677=1),$AR$1263,HLOOKUP(INDIRECT(ADDRESS(2,COLUMN())),OFFSET($BN$2,0,0,ROW()-1,60),ROW()-1,FALSE))</f>
        <v>41.360710480000002</v>
      </c>
      <c r="AS605">
        <f ca="1">IF(AND(ISNUMBER($AS$1263),$B$677=1),$AS$1263,HLOOKUP(INDIRECT(ADDRESS(2,COLUMN())),OFFSET($BN$2,0,0,ROW()-1,60),ROW()-1,FALSE))</f>
        <v>34.122517680000001</v>
      </c>
      <c r="AT605">
        <f ca="1">IF(AND(ISNUMBER($AT$1263),$B$677=1),$AT$1263,HLOOKUP(INDIRECT(ADDRESS(2,COLUMN())),OFFSET($BN$2,0,0,ROW()-1,60),ROW()-1,FALSE))</f>
        <v>35.396950750000002</v>
      </c>
      <c r="AU605" t="str">
        <f ca="1">IF(AND(ISNUMBER($AU$1263),$B$677=1),$AU$1263,HLOOKUP(INDIRECT(ADDRESS(2,COLUMN())),OFFSET($BN$2,0,0,ROW()-1,60),ROW()-1,FALSE))</f>
        <v/>
      </c>
      <c r="AV605" t="str">
        <f ca="1">IF(AND(ISNUMBER($AV$1263),$B$677=1),$AV$1263,HLOOKUP(INDIRECT(ADDRESS(2,COLUMN())),OFFSET($BN$2,0,0,ROW()-1,60),ROW()-1,FALSE))</f>
        <v/>
      </c>
      <c r="AW605" t="str">
        <f ca="1">IF(AND(ISNUMBER($AW$1263),$B$677=1),$AW$1263,HLOOKUP(INDIRECT(ADDRESS(2,COLUMN())),OFFSET($BN$2,0,0,ROW()-1,60),ROW()-1,FALSE))</f>
        <v/>
      </c>
      <c r="AX605" t="str">
        <f ca="1">IF(AND(ISNUMBER($AX$1263),$B$677=1),$AX$1263,HLOOKUP(INDIRECT(ADDRESS(2,COLUMN())),OFFSET($BN$2,0,0,ROW()-1,60),ROW()-1,FALSE))</f>
        <v/>
      </c>
      <c r="AY605" t="str">
        <f ca="1">IF(AND(ISNUMBER($AY$1263),$B$677=1),$AY$1263,HLOOKUP(INDIRECT(ADDRESS(2,COLUMN())),OFFSET($BN$2,0,0,ROW()-1,60),ROW()-1,FALSE))</f>
        <v/>
      </c>
      <c r="AZ605" t="str">
        <f ca="1">IF(AND(ISNUMBER($AZ$1263),$B$677=1),$AZ$1263,HLOOKUP(INDIRECT(ADDRESS(2,COLUMN())),OFFSET($BN$2,0,0,ROW()-1,60),ROW()-1,FALSE))</f>
        <v/>
      </c>
      <c r="BA605" t="str">
        <f ca="1">IF(AND(ISNUMBER($BA$1263),$B$677=1),$BA$1263,HLOOKUP(INDIRECT(ADDRESS(2,COLUMN())),OFFSET($BN$2,0,0,ROW()-1,60),ROW()-1,FALSE))</f>
        <v/>
      </c>
      <c r="BB605" t="str">
        <f ca="1">IF(AND(ISNUMBER($BB$1263),$B$677=1),$BB$1263,HLOOKUP(INDIRECT(ADDRESS(2,COLUMN())),OFFSET($BN$2,0,0,ROW()-1,60),ROW()-1,FALSE))</f>
        <v/>
      </c>
      <c r="BC605" t="str">
        <f ca="1">IF(AND(ISNUMBER($BC$1263),$B$677=1),$BC$1263,HLOOKUP(INDIRECT(ADDRESS(2,COLUMN())),OFFSET($BN$2,0,0,ROW()-1,60),ROW()-1,FALSE))</f>
        <v/>
      </c>
      <c r="BD605" t="str">
        <f ca="1">IF(AND(ISNUMBER($BD$1263),$B$677=1),$BD$1263,HLOOKUP(INDIRECT(ADDRESS(2,COLUMN())),OFFSET($BN$2,0,0,ROW()-1,60),ROW()-1,FALSE))</f>
        <v/>
      </c>
      <c r="BE605" t="str">
        <f ca="1">IF(AND(ISNUMBER($BE$1263),$B$677=1),$BE$1263,HLOOKUP(INDIRECT(ADDRESS(2,COLUMN())),OFFSET($BN$2,0,0,ROW()-1,60),ROW()-1,FALSE))</f>
        <v/>
      </c>
      <c r="BF605" t="str">
        <f ca="1">IF(AND(ISNUMBER($BF$1263),$B$677=1),$BF$1263,HLOOKUP(INDIRECT(ADDRESS(2,COLUMN())),OFFSET($BN$2,0,0,ROW()-1,60),ROW()-1,FALSE))</f>
        <v/>
      </c>
      <c r="BG605" t="str">
        <f ca="1">IF(AND(ISNUMBER($BG$1263),$B$677=1),$BG$1263,HLOOKUP(INDIRECT(ADDRESS(2,COLUMN())),OFFSET($BN$2,0,0,ROW()-1,60),ROW()-1,FALSE))</f>
        <v/>
      </c>
      <c r="BH605" t="str">
        <f ca="1">IF(AND(ISNUMBER($BH$1263),$B$677=1),$BH$1263,HLOOKUP(INDIRECT(ADDRESS(2,COLUMN())),OFFSET($BN$2,0,0,ROW()-1,60),ROW()-1,FALSE))</f>
        <v/>
      </c>
      <c r="BI605" t="str">
        <f ca="1">IF(AND(ISNUMBER($BI$1263),$B$677=1),$BI$1263,HLOOKUP(INDIRECT(ADDRESS(2,COLUMN())),OFFSET($BN$2,0,0,ROW()-1,60),ROW()-1,FALSE))</f>
        <v/>
      </c>
      <c r="BJ605" t="str">
        <f ca="1">IF(AND(ISNUMBER($BJ$1263),$B$677=1),$BJ$1263,HLOOKUP(INDIRECT(ADDRESS(2,COLUMN())),OFFSET($BN$2,0,0,ROW()-1,60),ROW()-1,FALSE))</f>
        <v/>
      </c>
      <c r="BK605" t="str">
        <f ca="1">IF(AND(ISNUMBER($BK$1263),$B$677=1),$BK$1263,HLOOKUP(INDIRECT(ADDRESS(2,COLUMN())),OFFSET($BN$2,0,0,ROW()-1,60),ROW()-1,FALSE))</f>
        <v/>
      </c>
      <c r="BL605" t="str">
        <f ca="1">IF(AND(ISNUMBER($BL$1263),$B$677=1),$BL$1263,HLOOKUP(INDIRECT(ADDRESS(2,COLUMN())),OFFSET($BN$2,0,0,ROW()-1,60),ROW()-1,FALSE))</f>
        <v/>
      </c>
      <c r="BM605" t="str">
        <f ca="1">IF(AND(ISNUMBER($BM$1263),$B$677=1),$BM$1263,HLOOKUP(INDIRECT(ADDRESS(2,COLUMN())),OFFSET($BN$2,0,0,ROW()-1,60),ROW()-1,FALSE))</f>
        <v/>
      </c>
      <c r="BN605">
        <f>31.75003874</f>
        <v>31.750038740000001</v>
      </c>
      <c r="BO605">
        <f>34.17736761</f>
        <v>34.177367609999997</v>
      </c>
      <c r="BP605">
        <f>20.72102213</f>
        <v>20.721022130000001</v>
      </c>
      <c r="BQ605">
        <f>21.14162951</f>
        <v>21.141629510000001</v>
      </c>
      <c r="BR605">
        <f>15.57620625</f>
        <v>15.57620625</v>
      </c>
      <c r="BS605">
        <f>9.409660366</f>
        <v>9.4096603660000007</v>
      </c>
      <c r="BT605">
        <f>15.21416845</f>
        <v>15.214168450000001</v>
      </c>
      <c r="BU605">
        <f>14.53894519</f>
        <v>14.53894519</v>
      </c>
      <c r="BV605">
        <f>19.47138277</f>
        <v>19.471382770000002</v>
      </c>
      <c r="BW605">
        <f>15.10497299</f>
        <v>15.10497299</v>
      </c>
      <c r="BX605">
        <f>15.73647266</f>
        <v>15.73647266</v>
      </c>
      <c r="BY605">
        <f>16.23864624</f>
        <v>16.238646240000001</v>
      </c>
      <c r="BZ605">
        <f>9.07823608</f>
        <v>9.0782360799999999</v>
      </c>
      <c r="CA605">
        <f>5.222489414</f>
        <v>5.222489414</v>
      </c>
      <c r="CB605">
        <f>5.315720855</f>
        <v>5.3157208550000004</v>
      </c>
      <c r="CC605">
        <f>5.589579381</f>
        <v>5.5895793810000001</v>
      </c>
      <c r="CD605">
        <f>3.496344158</f>
        <v>3.4963441579999999</v>
      </c>
      <c r="CE605">
        <f>7.999336349</f>
        <v>7.999336349</v>
      </c>
      <c r="CF605">
        <f>4.988518586</f>
        <v>4.9885185859999996</v>
      </c>
      <c r="CG605">
        <f>2.596778106</f>
        <v>2.5967781059999999</v>
      </c>
      <c r="CH605">
        <f>4.572120674</f>
        <v>4.5721206739999998</v>
      </c>
      <c r="CI605">
        <f>2.927465119</f>
        <v>2.9274651189999998</v>
      </c>
      <c r="CJ605">
        <f>3.129561047</f>
        <v>3.1295610470000002</v>
      </c>
      <c r="CK605">
        <f>-0.216650876</f>
        <v>-0.21665087599999999</v>
      </c>
      <c r="CL605">
        <f>-1.14535524</f>
        <v>-1.14535524</v>
      </c>
      <c r="CM605">
        <f>-4.260883477</f>
        <v>-4.2608834770000001</v>
      </c>
      <c r="CN605">
        <f>-1.870512776</f>
        <v>-1.870512776</v>
      </c>
      <c r="CO605">
        <f>2.411501703</f>
        <v>2.4115017029999999</v>
      </c>
      <c r="CP605">
        <f>8.030118489</f>
        <v>8.0301184889999995</v>
      </c>
      <c r="CQ605">
        <f>9.690103579</f>
        <v>9.6901035790000005</v>
      </c>
      <c r="CR605">
        <f>13.01461766</f>
        <v>13.014617660000001</v>
      </c>
      <c r="CS605">
        <f>10.45177701</f>
        <v>10.451777010000001</v>
      </c>
      <c r="CT605">
        <f>12.51399579</f>
        <v>12.513995789999999</v>
      </c>
      <c r="CU605">
        <f>13.28145201</f>
        <v>13.281452010000001</v>
      </c>
      <c r="CV605">
        <f>15.78310357</f>
        <v>15.78310357</v>
      </c>
      <c r="CW605">
        <f>30.665788</f>
        <v>30.665787999999999</v>
      </c>
      <c r="CX605">
        <f>27.61914821</f>
        <v>27.619148209999999</v>
      </c>
      <c r="CY605">
        <f>32.6886246</f>
        <v>32.688624599999997</v>
      </c>
      <c r="CZ605">
        <f>41.36071048</f>
        <v>41.360710480000002</v>
      </c>
      <c r="DA605">
        <f>34.12251768</f>
        <v>34.122517680000001</v>
      </c>
      <c r="DB605">
        <f>35.39695075</f>
        <v>35.396950750000002</v>
      </c>
      <c r="DC605" t="str">
        <f>""</f>
        <v/>
      </c>
      <c r="DD605" t="str">
        <f>""</f>
        <v/>
      </c>
      <c r="DE605" t="str">
        <f>""</f>
        <v/>
      </c>
      <c r="DF605" t="str">
        <f>""</f>
        <v/>
      </c>
      <c r="DG605" t="str">
        <f>""</f>
        <v/>
      </c>
      <c r="DH605" t="str">
        <f>""</f>
        <v/>
      </c>
      <c r="DI605" t="str">
        <f>""</f>
        <v/>
      </c>
      <c r="DJ605" t="str">
        <f>""</f>
        <v/>
      </c>
      <c r="DK605" t="str">
        <f>""</f>
        <v/>
      </c>
      <c r="DL605" t="str">
        <f>""</f>
        <v/>
      </c>
      <c r="DM605" t="str">
        <f>""</f>
        <v/>
      </c>
      <c r="DN605" t="str">
        <f>""</f>
        <v/>
      </c>
      <c r="DO605" t="str">
        <f>""</f>
        <v/>
      </c>
      <c r="DP605" t="str">
        <f>""</f>
        <v/>
      </c>
      <c r="DQ605" t="str">
        <f>""</f>
        <v/>
      </c>
      <c r="DR605" t="str">
        <f>""</f>
        <v/>
      </c>
      <c r="DS605" t="str">
        <f>""</f>
        <v/>
      </c>
      <c r="DT605" t="str">
        <f>""</f>
        <v/>
      </c>
      <c r="DU605" t="str">
        <f>""</f>
        <v/>
      </c>
    </row>
    <row r="606" spans="1:125" x14ac:dyDescent="0.25">
      <c r="A606" t="str">
        <f>"    Peugeot SA"</f>
        <v xml:space="preserve">    Peugeot SA</v>
      </c>
      <c r="B606" t="str">
        <f>"UG FP Equity"</f>
        <v>UG FP Equity</v>
      </c>
      <c r="C606" t="str">
        <f t="shared" si="42"/>
        <v>RX072</v>
      </c>
      <c r="D606" t="str">
        <f t="shared" si="43"/>
        <v>FREE_CASH_FLOW_YIELD</v>
      </c>
      <c r="E606" t="str">
        <f t="shared" si="44"/>
        <v>Dynamic</v>
      </c>
      <c r="F606" t="str">
        <f ca="1">IF(AND(ISNUMBER($F$1264),$B$677=1),$F$1264,HLOOKUP(INDIRECT(ADDRESS(2,COLUMN())),OFFSET($BN$2,0,0,ROW()-1,60),ROW()-1,FALSE))</f>
        <v/>
      </c>
      <c r="G606" t="str">
        <f ca="1">IF(AND(ISNUMBER($G$1264),$B$677=1),$G$1264,HLOOKUP(INDIRECT(ADDRESS(2,COLUMN())),OFFSET($BN$2,0,0,ROW()-1,60),ROW()-1,FALSE))</f>
        <v/>
      </c>
      <c r="H606" t="str">
        <f ca="1">IF(AND(ISNUMBER($H$1264),$B$677=1),$H$1264,HLOOKUP(INDIRECT(ADDRESS(2,COLUMN())),OFFSET($BN$2,0,0,ROW()-1,60),ROW()-1,FALSE))</f>
        <v/>
      </c>
      <c r="I606" t="str">
        <f ca="1">IF(AND(ISNUMBER($I$1264),$B$677=1),$I$1264,HLOOKUP(INDIRECT(ADDRESS(2,COLUMN())),OFFSET($BN$2,0,0,ROW()-1,60),ROW()-1,FALSE))</f>
        <v/>
      </c>
      <c r="J606" t="str">
        <f ca="1">IF(AND(ISNUMBER($J$1264),$B$677=1),$J$1264,HLOOKUP(INDIRECT(ADDRESS(2,COLUMN())),OFFSET($BN$2,0,0,ROW()-1,60),ROW()-1,FALSE))</f>
        <v/>
      </c>
      <c r="K606" t="str">
        <f ca="1">IF(AND(ISNUMBER($K$1264),$B$677=1),$K$1264,HLOOKUP(INDIRECT(ADDRESS(2,COLUMN())),OFFSET($BN$2,0,0,ROW()-1,60),ROW()-1,FALSE))</f>
        <v/>
      </c>
      <c r="L606" t="str">
        <f ca="1">IF(AND(ISNUMBER($L$1264),$B$677=1),$L$1264,HLOOKUP(INDIRECT(ADDRESS(2,COLUMN())),OFFSET($BN$2,0,0,ROW()-1,60),ROW()-1,FALSE))</f>
        <v/>
      </c>
      <c r="M606" t="str">
        <f ca="1">IF(AND(ISNUMBER($M$1264),$B$677=1),$M$1264,HLOOKUP(INDIRECT(ADDRESS(2,COLUMN())),OFFSET($BN$2,0,0,ROW()-1,60),ROW()-1,FALSE))</f>
        <v/>
      </c>
      <c r="N606" t="str">
        <f ca="1">IF(AND(ISNUMBER($N$1264),$B$677=1),$N$1264,HLOOKUP(INDIRECT(ADDRESS(2,COLUMN())),OFFSET($BN$2,0,0,ROW()-1,60),ROW()-1,FALSE))</f>
        <v/>
      </c>
      <c r="O606" t="str">
        <f ca="1">IF(AND(ISNUMBER($O$1264),$B$677=1),$O$1264,HLOOKUP(INDIRECT(ADDRESS(2,COLUMN())),OFFSET($BN$2,0,0,ROW()-1,60),ROW()-1,FALSE))</f>
        <v/>
      </c>
      <c r="P606" t="str">
        <f ca="1">IF(AND(ISNUMBER($P$1264),$B$677=1),$P$1264,HLOOKUP(INDIRECT(ADDRESS(2,COLUMN())),OFFSET($BN$2,0,0,ROW()-1,60),ROW()-1,FALSE))</f>
        <v/>
      </c>
      <c r="Q606" t="str">
        <f ca="1">IF(AND(ISNUMBER($Q$1264),$B$677=1),$Q$1264,HLOOKUP(INDIRECT(ADDRESS(2,COLUMN())),OFFSET($BN$2,0,0,ROW()-1,60),ROW()-1,FALSE))</f>
        <v/>
      </c>
      <c r="R606" t="str">
        <f ca="1">IF(AND(ISNUMBER($R$1264),$B$677=1),$R$1264,HLOOKUP(INDIRECT(ADDRESS(2,COLUMN())),OFFSET($BN$2,0,0,ROW()-1,60),ROW()-1,FALSE))</f>
        <v/>
      </c>
      <c r="S606" t="str">
        <f ca="1">IF(AND(ISNUMBER($S$1264),$B$677=1),$S$1264,HLOOKUP(INDIRECT(ADDRESS(2,COLUMN())),OFFSET($BN$2,0,0,ROW()-1,60),ROW()-1,FALSE))</f>
        <v/>
      </c>
      <c r="T606" t="str">
        <f ca="1">IF(AND(ISNUMBER($T$1264),$B$677=1),$T$1264,HLOOKUP(INDIRECT(ADDRESS(2,COLUMN())),OFFSET($BN$2,0,0,ROW()-1,60),ROW()-1,FALSE))</f>
        <v/>
      </c>
      <c r="U606" t="str">
        <f ca="1">IF(AND(ISNUMBER($U$1264),$B$677=1),$U$1264,HLOOKUP(INDIRECT(ADDRESS(2,COLUMN())),OFFSET($BN$2,0,0,ROW()-1,60),ROW()-1,FALSE))</f>
        <v/>
      </c>
      <c r="V606" t="str">
        <f ca="1">IF(AND(ISNUMBER($V$1264),$B$677=1),$V$1264,HLOOKUP(INDIRECT(ADDRESS(2,COLUMN())),OFFSET($BN$2,0,0,ROW()-1,60),ROW()-1,FALSE))</f>
        <v/>
      </c>
      <c r="W606" t="str">
        <f ca="1">IF(AND(ISNUMBER($W$1264),$B$677=1),$W$1264,HLOOKUP(INDIRECT(ADDRESS(2,COLUMN())),OFFSET($BN$2,0,0,ROW()-1,60),ROW()-1,FALSE))</f>
        <v/>
      </c>
      <c r="X606" t="str">
        <f ca="1">IF(AND(ISNUMBER($X$1264),$B$677=1),$X$1264,HLOOKUP(INDIRECT(ADDRESS(2,COLUMN())),OFFSET($BN$2,0,0,ROW()-1,60),ROW()-1,FALSE))</f>
        <v/>
      </c>
      <c r="Y606" t="str">
        <f ca="1">IF(AND(ISNUMBER($Y$1264),$B$677=1),$Y$1264,HLOOKUP(INDIRECT(ADDRESS(2,COLUMN())),OFFSET($BN$2,0,0,ROW()-1,60),ROW()-1,FALSE))</f>
        <v/>
      </c>
      <c r="Z606" t="str">
        <f ca="1">IF(AND(ISNUMBER($Z$1264),$B$677=1),$Z$1264,HLOOKUP(INDIRECT(ADDRESS(2,COLUMN())),OFFSET($BN$2,0,0,ROW()-1,60),ROW()-1,FALSE))</f>
        <v/>
      </c>
      <c r="AA606" t="str">
        <f ca="1">IF(AND(ISNUMBER($AA$1264),$B$677=1),$AA$1264,HLOOKUP(INDIRECT(ADDRESS(2,COLUMN())),OFFSET($BN$2,0,0,ROW()-1,60),ROW()-1,FALSE))</f>
        <v/>
      </c>
      <c r="AB606" t="str">
        <f ca="1">IF(AND(ISNUMBER($AB$1264),$B$677=1),$AB$1264,HLOOKUP(INDIRECT(ADDRESS(2,COLUMN())),OFFSET($BN$2,0,0,ROW()-1,60),ROW()-1,FALSE))</f>
        <v/>
      </c>
      <c r="AC606" t="str">
        <f ca="1">IF(AND(ISNUMBER($AC$1264),$B$677=1),$AC$1264,HLOOKUP(INDIRECT(ADDRESS(2,COLUMN())),OFFSET($BN$2,0,0,ROW()-1,60),ROW()-1,FALSE))</f>
        <v/>
      </c>
      <c r="AD606" t="str">
        <f ca="1">IF(AND(ISNUMBER($AD$1264),$B$677=1),$AD$1264,HLOOKUP(INDIRECT(ADDRESS(2,COLUMN())),OFFSET($BN$2,0,0,ROW()-1,60),ROW()-1,FALSE))</f>
        <v/>
      </c>
      <c r="AE606" t="str">
        <f ca="1">IF(AND(ISNUMBER($AE$1264),$B$677=1),$AE$1264,HLOOKUP(INDIRECT(ADDRESS(2,COLUMN())),OFFSET($BN$2,0,0,ROW()-1,60),ROW()-1,FALSE))</f>
        <v/>
      </c>
      <c r="AF606" t="str">
        <f ca="1">IF(AND(ISNUMBER($AF$1264),$B$677=1),$AF$1264,HLOOKUP(INDIRECT(ADDRESS(2,COLUMN())),OFFSET($BN$2,0,0,ROW()-1,60),ROW()-1,FALSE))</f>
        <v/>
      </c>
      <c r="AG606" t="str">
        <f ca="1">IF(AND(ISNUMBER($AG$1264),$B$677=1),$AG$1264,HLOOKUP(INDIRECT(ADDRESS(2,COLUMN())),OFFSET($BN$2,0,0,ROW()-1,60),ROW()-1,FALSE))</f>
        <v/>
      </c>
      <c r="AH606" t="str">
        <f ca="1">IF(AND(ISNUMBER($AH$1264),$B$677=1),$AH$1264,HLOOKUP(INDIRECT(ADDRESS(2,COLUMN())),OFFSET($BN$2,0,0,ROW()-1,60),ROW()-1,FALSE))</f>
        <v/>
      </c>
      <c r="AI606" t="str">
        <f ca="1">IF(AND(ISNUMBER($AI$1264),$B$677=1),$AI$1264,HLOOKUP(INDIRECT(ADDRESS(2,COLUMN())),OFFSET($BN$2,0,0,ROW()-1,60),ROW()-1,FALSE))</f>
        <v/>
      </c>
      <c r="AJ606" t="str">
        <f ca="1">IF(AND(ISNUMBER($AJ$1264),$B$677=1),$AJ$1264,HLOOKUP(INDIRECT(ADDRESS(2,COLUMN())),OFFSET($BN$2,0,0,ROW()-1,60),ROW()-1,FALSE))</f>
        <v/>
      </c>
      <c r="AK606" t="str">
        <f ca="1">IF(AND(ISNUMBER($AK$1264),$B$677=1),$AK$1264,HLOOKUP(INDIRECT(ADDRESS(2,COLUMN())),OFFSET($BN$2,0,0,ROW()-1,60),ROW()-1,FALSE))</f>
        <v/>
      </c>
      <c r="AL606" t="str">
        <f ca="1">IF(AND(ISNUMBER($AL$1264),$B$677=1),$AL$1264,HLOOKUP(INDIRECT(ADDRESS(2,COLUMN())),OFFSET($BN$2,0,0,ROW()-1,60),ROW()-1,FALSE))</f>
        <v/>
      </c>
      <c r="AM606" t="str">
        <f ca="1">IF(AND(ISNUMBER($AM$1264),$B$677=1),$AM$1264,HLOOKUP(INDIRECT(ADDRESS(2,COLUMN())),OFFSET($BN$2,0,0,ROW()-1,60),ROW()-1,FALSE))</f>
        <v/>
      </c>
      <c r="AN606" t="str">
        <f ca="1">IF(AND(ISNUMBER($AN$1264),$B$677=1),$AN$1264,HLOOKUP(INDIRECT(ADDRESS(2,COLUMN())),OFFSET($BN$2,0,0,ROW()-1,60),ROW()-1,FALSE))</f>
        <v/>
      </c>
      <c r="AO606" t="str">
        <f ca="1">IF(AND(ISNUMBER($AO$1264),$B$677=1),$AO$1264,HLOOKUP(INDIRECT(ADDRESS(2,COLUMN())),OFFSET($BN$2,0,0,ROW()-1,60),ROW()-1,FALSE))</f>
        <v/>
      </c>
      <c r="AP606" t="str">
        <f ca="1">IF(AND(ISNUMBER($AP$1264),$B$677=1),$AP$1264,HLOOKUP(INDIRECT(ADDRESS(2,COLUMN())),OFFSET($BN$2,0,0,ROW()-1,60),ROW()-1,FALSE))</f>
        <v/>
      </c>
      <c r="AQ606" t="str">
        <f ca="1">IF(AND(ISNUMBER($AQ$1264),$B$677=1),$AQ$1264,HLOOKUP(INDIRECT(ADDRESS(2,COLUMN())),OFFSET($BN$2,0,0,ROW()-1,60),ROW()-1,FALSE))</f>
        <v/>
      </c>
      <c r="AR606" t="str">
        <f ca="1">IF(AND(ISNUMBER($AR$1264),$B$677=1),$AR$1264,HLOOKUP(INDIRECT(ADDRESS(2,COLUMN())),OFFSET($BN$2,0,0,ROW()-1,60),ROW()-1,FALSE))</f>
        <v/>
      </c>
      <c r="AS606" t="str">
        <f ca="1">IF(AND(ISNUMBER($AS$1264),$B$677=1),$AS$1264,HLOOKUP(INDIRECT(ADDRESS(2,COLUMN())),OFFSET($BN$2,0,0,ROW()-1,60),ROW()-1,FALSE))</f>
        <v/>
      </c>
      <c r="AT606" t="str">
        <f ca="1">IF(AND(ISNUMBER($AT$1264),$B$677=1),$AT$1264,HLOOKUP(INDIRECT(ADDRESS(2,COLUMN())),OFFSET($BN$2,0,0,ROW()-1,60),ROW()-1,FALSE))</f>
        <v/>
      </c>
      <c r="AU606" t="str">
        <f ca="1">IF(AND(ISNUMBER($AU$1264),$B$677=1),$AU$1264,HLOOKUP(INDIRECT(ADDRESS(2,COLUMN())),OFFSET($BN$2,0,0,ROW()-1,60),ROW()-1,FALSE))</f>
        <v/>
      </c>
      <c r="AV606" t="str">
        <f ca="1">IF(AND(ISNUMBER($AV$1264),$B$677=1),$AV$1264,HLOOKUP(INDIRECT(ADDRESS(2,COLUMN())),OFFSET($BN$2,0,0,ROW()-1,60),ROW()-1,FALSE))</f>
        <v/>
      </c>
      <c r="AW606" t="str">
        <f ca="1">IF(AND(ISNUMBER($AW$1264),$B$677=1),$AW$1264,HLOOKUP(INDIRECT(ADDRESS(2,COLUMN())),OFFSET($BN$2,0,0,ROW()-1,60),ROW()-1,FALSE))</f>
        <v/>
      </c>
      <c r="AX606" t="str">
        <f ca="1">IF(AND(ISNUMBER($AX$1264),$B$677=1),$AX$1264,HLOOKUP(INDIRECT(ADDRESS(2,COLUMN())),OFFSET($BN$2,0,0,ROW()-1,60),ROW()-1,FALSE))</f>
        <v/>
      </c>
      <c r="AY606" t="str">
        <f ca="1">IF(AND(ISNUMBER($AY$1264),$B$677=1),$AY$1264,HLOOKUP(INDIRECT(ADDRESS(2,COLUMN())),OFFSET($BN$2,0,0,ROW()-1,60),ROW()-1,FALSE))</f>
        <v/>
      </c>
      <c r="AZ606" t="str">
        <f ca="1">IF(AND(ISNUMBER($AZ$1264),$B$677=1),$AZ$1264,HLOOKUP(INDIRECT(ADDRESS(2,COLUMN())),OFFSET($BN$2,0,0,ROW()-1,60),ROW()-1,FALSE))</f>
        <v/>
      </c>
      <c r="BA606" t="str">
        <f ca="1">IF(AND(ISNUMBER($BA$1264),$B$677=1),$BA$1264,HLOOKUP(INDIRECT(ADDRESS(2,COLUMN())),OFFSET($BN$2,0,0,ROW()-1,60),ROW()-1,FALSE))</f>
        <v/>
      </c>
      <c r="BB606" t="str">
        <f ca="1">IF(AND(ISNUMBER($BB$1264),$B$677=1),$BB$1264,HLOOKUP(INDIRECT(ADDRESS(2,COLUMN())),OFFSET($BN$2,0,0,ROW()-1,60),ROW()-1,FALSE))</f>
        <v/>
      </c>
      <c r="BC606" t="str">
        <f ca="1">IF(AND(ISNUMBER($BC$1264),$B$677=1),$BC$1264,HLOOKUP(INDIRECT(ADDRESS(2,COLUMN())),OFFSET($BN$2,0,0,ROW()-1,60),ROW()-1,FALSE))</f>
        <v/>
      </c>
      <c r="BD606" t="str">
        <f ca="1">IF(AND(ISNUMBER($BD$1264),$B$677=1),$BD$1264,HLOOKUP(INDIRECT(ADDRESS(2,COLUMN())),OFFSET($BN$2,0,0,ROW()-1,60),ROW()-1,FALSE))</f>
        <v/>
      </c>
      <c r="BE606" t="str">
        <f ca="1">IF(AND(ISNUMBER($BE$1264),$B$677=1),$BE$1264,HLOOKUP(INDIRECT(ADDRESS(2,COLUMN())),OFFSET($BN$2,0,0,ROW()-1,60),ROW()-1,FALSE))</f>
        <v/>
      </c>
      <c r="BF606" t="str">
        <f ca="1">IF(AND(ISNUMBER($BF$1264),$B$677=1),$BF$1264,HLOOKUP(INDIRECT(ADDRESS(2,COLUMN())),OFFSET($BN$2,0,0,ROW()-1,60),ROW()-1,FALSE))</f>
        <v/>
      </c>
      <c r="BG606" t="str">
        <f ca="1">IF(AND(ISNUMBER($BG$1264),$B$677=1),$BG$1264,HLOOKUP(INDIRECT(ADDRESS(2,COLUMN())),OFFSET($BN$2,0,0,ROW()-1,60),ROW()-1,FALSE))</f>
        <v/>
      </c>
      <c r="BH606" t="str">
        <f ca="1">IF(AND(ISNUMBER($BH$1264),$B$677=1),$BH$1264,HLOOKUP(INDIRECT(ADDRESS(2,COLUMN())),OFFSET($BN$2,0,0,ROW()-1,60),ROW()-1,FALSE))</f>
        <v/>
      </c>
      <c r="BI606" t="str">
        <f ca="1">IF(AND(ISNUMBER($BI$1264),$B$677=1),$BI$1264,HLOOKUP(INDIRECT(ADDRESS(2,COLUMN())),OFFSET($BN$2,0,0,ROW()-1,60),ROW()-1,FALSE))</f>
        <v/>
      </c>
      <c r="BJ606" t="str">
        <f ca="1">IF(AND(ISNUMBER($BJ$1264),$B$677=1),$BJ$1264,HLOOKUP(INDIRECT(ADDRESS(2,COLUMN())),OFFSET($BN$2,0,0,ROW()-1,60),ROW()-1,FALSE))</f>
        <v/>
      </c>
      <c r="BK606" t="str">
        <f ca="1">IF(AND(ISNUMBER($BK$1264),$B$677=1),$BK$1264,HLOOKUP(INDIRECT(ADDRESS(2,COLUMN())),OFFSET($BN$2,0,0,ROW()-1,60),ROW()-1,FALSE))</f>
        <v/>
      </c>
      <c r="BL606" t="str">
        <f ca="1">IF(AND(ISNUMBER($BL$1264),$B$677=1),$BL$1264,HLOOKUP(INDIRECT(ADDRESS(2,COLUMN())),OFFSET($BN$2,0,0,ROW()-1,60),ROW()-1,FALSE))</f>
        <v/>
      </c>
      <c r="BM606" t="str">
        <f ca="1">IF(AND(ISNUMBER($BM$1264),$B$677=1),$BM$1264,HLOOKUP(INDIRECT(ADDRESS(2,COLUMN())),OFFSET($BN$2,0,0,ROW()-1,60),ROW()-1,FALSE))</f>
        <v/>
      </c>
      <c r="BN606" t="str">
        <f>""</f>
        <v/>
      </c>
      <c r="BO606" t="str">
        <f>""</f>
        <v/>
      </c>
      <c r="BP606" t="str">
        <f>""</f>
        <v/>
      </c>
      <c r="BQ606" t="str">
        <f>""</f>
        <v/>
      </c>
      <c r="BR606" t="str">
        <f>""</f>
        <v/>
      </c>
      <c r="BS606" t="str">
        <f>""</f>
        <v/>
      </c>
      <c r="BT606" t="str">
        <f>""</f>
        <v/>
      </c>
      <c r="BU606" t="str">
        <f>""</f>
        <v/>
      </c>
      <c r="BV606" t="str">
        <f>""</f>
        <v/>
      </c>
      <c r="BW606" t="str">
        <f>""</f>
        <v/>
      </c>
      <c r="BX606" t="str">
        <f>""</f>
        <v/>
      </c>
      <c r="BY606" t="str">
        <f>""</f>
        <v/>
      </c>
      <c r="BZ606" t="str">
        <f>""</f>
        <v/>
      </c>
      <c r="CA606" t="str">
        <f>""</f>
        <v/>
      </c>
      <c r="CB606" t="str">
        <f>""</f>
        <v/>
      </c>
      <c r="CC606" t="str">
        <f>""</f>
        <v/>
      </c>
      <c r="CD606" t="str">
        <f>""</f>
        <v/>
      </c>
      <c r="CE606" t="str">
        <f>""</f>
        <v/>
      </c>
      <c r="CF606" t="str">
        <f>""</f>
        <v/>
      </c>
      <c r="CG606" t="str">
        <f>""</f>
        <v/>
      </c>
      <c r="CH606" t="str">
        <f>""</f>
        <v/>
      </c>
      <c r="CI606" t="str">
        <f>""</f>
        <v/>
      </c>
      <c r="CJ606" t="str">
        <f>""</f>
        <v/>
      </c>
      <c r="CK606" t="str">
        <f>""</f>
        <v/>
      </c>
      <c r="CL606" t="str">
        <f>""</f>
        <v/>
      </c>
      <c r="CM606" t="str">
        <f>""</f>
        <v/>
      </c>
      <c r="CN606" t="str">
        <f>""</f>
        <v/>
      </c>
      <c r="CO606" t="str">
        <f>""</f>
        <v/>
      </c>
      <c r="CP606" t="str">
        <f>""</f>
        <v/>
      </c>
      <c r="CQ606" t="str">
        <f>""</f>
        <v/>
      </c>
      <c r="CR606" t="str">
        <f>""</f>
        <v/>
      </c>
      <c r="CS606" t="str">
        <f>""</f>
        <v/>
      </c>
      <c r="CT606" t="str">
        <f>""</f>
        <v/>
      </c>
      <c r="CU606" t="str">
        <f>""</f>
        <v/>
      </c>
      <c r="CV606" t="str">
        <f>""</f>
        <v/>
      </c>
      <c r="CW606" t="str">
        <f>""</f>
        <v/>
      </c>
      <c r="CX606" t="str">
        <f>""</f>
        <v/>
      </c>
      <c r="CY606" t="str">
        <f>""</f>
        <v/>
      </c>
      <c r="CZ606" t="str">
        <f>""</f>
        <v/>
      </c>
      <c r="DA606" t="str">
        <f>""</f>
        <v/>
      </c>
      <c r="DB606" t="str">
        <f>""</f>
        <v/>
      </c>
      <c r="DC606" t="str">
        <f>""</f>
        <v/>
      </c>
      <c r="DD606" t="str">
        <f>""</f>
        <v/>
      </c>
      <c r="DE606" t="str">
        <f>""</f>
        <v/>
      </c>
      <c r="DF606" t="str">
        <f>""</f>
        <v/>
      </c>
      <c r="DG606" t="str">
        <f>""</f>
        <v/>
      </c>
      <c r="DH606" t="str">
        <f>""</f>
        <v/>
      </c>
      <c r="DI606" t="str">
        <f>""</f>
        <v/>
      </c>
      <c r="DJ606" t="str">
        <f>""</f>
        <v/>
      </c>
      <c r="DK606" t="str">
        <f>""</f>
        <v/>
      </c>
      <c r="DL606" t="str">
        <f>""</f>
        <v/>
      </c>
      <c r="DM606" t="str">
        <f>""</f>
        <v/>
      </c>
      <c r="DN606" t="str">
        <f>""</f>
        <v/>
      </c>
      <c r="DO606" t="str">
        <f>""</f>
        <v/>
      </c>
      <c r="DP606" t="str">
        <f>""</f>
        <v/>
      </c>
      <c r="DQ606" t="str">
        <f>""</f>
        <v/>
      </c>
      <c r="DR606" t="str">
        <f>""</f>
        <v/>
      </c>
      <c r="DS606" t="str">
        <f>""</f>
        <v/>
      </c>
      <c r="DT606" t="str">
        <f>""</f>
        <v/>
      </c>
      <c r="DU606" t="str">
        <f>""</f>
        <v/>
      </c>
    </row>
    <row r="607" spans="1:125" x14ac:dyDescent="0.25">
      <c r="A607" t="str">
        <f>"    Renault SA"</f>
        <v xml:space="preserve">    Renault SA</v>
      </c>
      <c r="B607" t="str">
        <f>"RNO FP Equity"</f>
        <v>RNO FP Equity</v>
      </c>
      <c r="C607" t="str">
        <f t="shared" si="42"/>
        <v>RX072</v>
      </c>
      <c r="D607" t="str">
        <f t="shared" si="43"/>
        <v>FREE_CASH_FLOW_YIELD</v>
      </c>
      <c r="E607" t="str">
        <f t="shared" si="44"/>
        <v>Dynamic</v>
      </c>
      <c r="F607" t="str">
        <f ca="1">IF(AND(ISNUMBER($F$1265),$B$677=1),$F$1265,HLOOKUP(INDIRECT(ADDRESS(2,COLUMN())),OFFSET($BN$2,0,0,ROW()-1,60),ROW()-1,FALSE))</f>
        <v/>
      </c>
      <c r="G607" t="str">
        <f ca="1">IF(AND(ISNUMBER($G$1265),$B$677=1),$G$1265,HLOOKUP(INDIRECT(ADDRESS(2,COLUMN())),OFFSET($BN$2,0,0,ROW()-1,60),ROW()-1,FALSE))</f>
        <v/>
      </c>
      <c r="H607" t="str">
        <f ca="1">IF(AND(ISNUMBER($H$1265),$B$677=1),$H$1265,HLOOKUP(INDIRECT(ADDRESS(2,COLUMN())),OFFSET($BN$2,0,0,ROW()-1,60),ROW()-1,FALSE))</f>
        <v/>
      </c>
      <c r="I607" t="str">
        <f ca="1">IF(AND(ISNUMBER($I$1265),$B$677=1),$I$1265,HLOOKUP(INDIRECT(ADDRESS(2,COLUMN())),OFFSET($BN$2,0,0,ROW()-1,60),ROW()-1,FALSE))</f>
        <v/>
      </c>
      <c r="J607" t="str">
        <f ca="1">IF(AND(ISNUMBER($J$1265),$B$677=1),$J$1265,HLOOKUP(INDIRECT(ADDRESS(2,COLUMN())),OFFSET($BN$2,0,0,ROW()-1,60),ROW()-1,FALSE))</f>
        <v/>
      </c>
      <c r="K607" t="str">
        <f ca="1">IF(AND(ISNUMBER($K$1265),$B$677=1),$K$1265,HLOOKUP(INDIRECT(ADDRESS(2,COLUMN())),OFFSET($BN$2,0,0,ROW()-1,60),ROW()-1,FALSE))</f>
        <v/>
      </c>
      <c r="L607" t="str">
        <f ca="1">IF(AND(ISNUMBER($L$1265),$B$677=1),$L$1265,HLOOKUP(INDIRECT(ADDRESS(2,COLUMN())),OFFSET($BN$2,0,0,ROW()-1,60),ROW()-1,FALSE))</f>
        <v/>
      </c>
      <c r="M607" t="str">
        <f ca="1">IF(AND(ISNUMBER($M$1265),$B$677=1),$M$1265,HLOOKUP(INDIRECT(ADDRESS(2,COLUMN())),OFFSET($BN$2,0,0,ROW()-1,60),ROW()-1,FALSE))</f>
        <v/>
      </c>
      <c r="N607" t="str">
        <f ca="1">IF(AND(ISNUMBER($N$1265),$B$677=1),$N$1265,HLOOKUP(INDIRECT(ADDRESS(2,COLUMN())),OFFSET($BN$2,0,0,ROW()-1,60),ROW()-1,FALSE))</f>
        <v/>
      </c>
      <c r="O607" t="str">
        <f ca="1">IF(AND(ISNUMBER($O$1265),$B$677=1),$O$1265,HLOOKUP(INDIRECT(ADDRESS(2,COLUMN())),OFFSET($BN$2,0,0,ROW()-1,60),ROW()-1,FALSE))</f>
        <v/>
      </c>
      <c r="P607" t="str">
        <f ca="1">IF(AND(ISNUMBER($P$1265),$B$677=1),$P$1265,HLOOKUP(INDIRECT(ADDRESS(2,COLUMN())),OFFSET($BN$2,0,0,ROW()-1,60),ROW()-1,FALSE))</f>
        <v/>
      </c>
      <c r="Q607" t="str">
        <f ca="1">IF(AND(ISNUMBER($Q$1265),$B$677=1),$Q$1265,HLOOKUP(INDIRECT(ADDRESS(2,COLUMN())),OFFSET($BN$2,0,0,ROW()-1,60),ROW()-1,FALSE))</f>
        <v/>
      </c>
      <c r="R607" t="str">
        <f ca="1">IF(AND(ISNUMBER($R$1265),$B$677=1),$R$1265,HLOOKUP(INDIRECT(ADDRESS(2,COLUMN())),OFFSET($BN$2,0,0,ROW()-1,60),ROW()-1,FALSE))</f>
        <v/>
      </c>
      <c r="S607" t="str">
        <f ca="1">IF(AND(ISNUMBER($S$1265),$B$677=1),$S$1265,HLOOKUP(INDIRECT(ADDRESS(2,COLUMN())),OFFSET($BN$2,0,0,ROW()-1,60),ROW()-1,FALSE))</f>
        <v/>
      </c>
      <c r="T607" t="str">
        <f ca="1">IF(AND(ISNUMBER($T$1265),$B$677=1),$T$1265,HLOOKUP(INDIRECT(ADDRESS(2,COLUMN())),OFFSET($BN$2,0,0,ROW()-1,60),ROW()-1,FALSE))</f>
        <v/>
      </c>
      <c r="U607" t="str">
        <f ca="1">IF(AND(ISNUMBER($U$1265),$B$677=1),$U$1265,HLOOKUP(INDIRECT(ADDRESS(2,COLUMN())),OFFSET($BN$2,0,0,ROW()-1,60),ROW()-1,FALSE))</f>
        <v/>
      </c>
      <c r="V607" t="str">
        <f ca="1">IF(AND(ISNUMBER($V$1265),$B$677=1),$V$1265,HLOOKUP(INDIRECT(ADDRESS(2,COLUMN())),OFFSET($BN$2,0,0,ROW()-1,60),ROW()-1,FALSE))</f>
        <v/>
      </c>
      <c r="W607" t="str">
        <f ca="1">IF(AND(ISNUMBER($W$1265),$B$677=1),$W$1265,HLOOKUP(INDIRECT(ADDRESS(2,COLUMN())),OFFSET($BN$2,0,0,ROW()-1,60),ROW()-1,FALSE))</f>
        <v/>
      </c>
      <c r="X607" t="str">
        <f ca="1">IF(AND(ISNUMBER($X$1265),$B$677=1),$X$1265,HLOOKUP(INDIRECT(ADDRESS(2,COLUMN())),OFFSET($BN$2,0,0,ROW()-1,60),ROW()-1,FALSE))</f>
        <v/>
      </c>
      <c r="Y607" t="str">
        <f ca="1">IF(AND(ISNUMBER($Y$1265),$B$677=1),$Y$1265,HLOOKUP(INDIRECT(ADDRESS(2,COLUMN())),OFFSET($BN$2,0,0,ROW()-1,60),ROW()-1,FALSE))</f>
        <v/>
      </c>
      <c r="Z607" t="str">
        <f ca="1">IF(AND(ISNUMBER($Z$1265),$B$677=1),$Z$1265,HLOOKUP(INDIRECT(ADDRESS(2,COLUMN())),OFFSET($BN$2,0,0,ROW()-1,60),ROW()-1,FALSE))</f>
        <v/>
      </c>
      <c r="AA607" t="str">
        <f ca="1">IF(AND(ISNUMBER($AA$1265),$B$677=1),$AA$1265,HLOOKUP(INDIRECT(ADDRESS(2,COLUMN())),OFFSET($BN$2,0,0,ROW()-1,60),ROW()-1,FALSE))</f>
        <v/>
      </c>
      <c r="AB607" t="str">
        <f ca="1">IF(AND(ISNUMBER($AB$1265),$B$677=1),$AB$1265,HLOOKUP(INDIRECT(ADDRESS(2,COLUMN())),OFFSET($BN$2,0,0,ROW()-1,60),ROW()-1,FALSE))</f>
        <v/>
      </c>
      <c r="AC607" t="str">
        <f ca="1">IF(AND(ISNUMBER($AC$1265),$B$677=1),$AC$1265,HLOOKUP(INDIRECT(ADDRESS(2,COLUMN())),OFFSET($BN$2,0,0,ROW()-1,60),ROW()-1,FALSE))</f>
        <v/>
      </c>
      <c r="AD607" t="str">
        <f ca="1">IF(AND(ISNUMBER($AD$1265),$B$677=1),$AD$1265,HLOOKUP(INDIRECT(ADDRESS(2,COLUMN())),OFFSET($BN$2,0,0,ROW()-1,60),ROW()-1,FALSE))</f>
        <v/>
      </c>
      <c r="AE607" t="str">
        <f ca="1">IF(AND(ISNUMBER($AE$1265),$B$677=1),$AE$1265,HLOOKUP(INDIRECT(ADDRESS(2,COLUMN())),OFFSET($BN$2,0,0,ROW()-1,60),ROW()-1,FALSE))</f>
        <v/>
      </c>
      <c r="AF607" t="str">
        <f ca="1">IF(AND(ISNUMBER($AF$1265),$B$677=1),$AF$1265,HLOOKUP(INDIRECT(ADDRESS(2,COLUMN())),OFFSET($BN$2,0,0,ROW()-1,60),ROW()-1,FALSE))</f>
        <v/>
      </c>
      <c r="AG607" t="str">
        <f ca="1">IF(AND(ISNUMBER($AG$1265),$B$677=1),$AG$1265,HLOOKUP(INDIRECT(ADDRESS(2,COLUMN())),OFFSET($BN$2,0,0,ROW()-1,60),ROW()-1,FALSE))</f>
        <v/>
      </c>
      <c r="AH607" t="str">
        <f ca="1">IF(AND(ISNUMBER($AH$1265),$B$677=1),$AH$1265,HLOOKUP(INDIRECT(ADDRESS(2,COLUMN())),OFFSET($BN$2,0,0,ROW()-1,60),ROW()-1,FALSE))</f>
        <v/>
      </c>
      <c r="AI607" t="str">
        <f ca="1">IF(AND(ISNUMBER($AI$1265),$B$677=1),$AI$1265,HLOOKUP(INDIRECT(ADDRESS(2,COLUMN())),OFFSET($BN$2,0,0,ROW()-1,60),ROW()-1,FALSE))</f>
        <v/>
      </c>
      <c r="AJ607" t="str">
        <f ca="1">IF(AND(ISNUMBER($AJ$1265),$B$677=1),$AJ$1265,HLOOKUP(INDIRECT(ADDRESS(2,COLUMN())),OFFSET($BN$2,0,0,ROW()-1,60),ROW()-1,FALSE))</f>
        <v/>
      </c>
      <c r="AK607" t="str">
        <f ca="1">IF(AND(ISNUMBER($AK$1265),$B$677=1),$AK$1265,HLOOKUP(INDIRECT(ADDRESS(2,COLUMN())),OFFSET($BN$2,0,0,ROW()-1,60),ROW()-1,FALSE))</f>
        <v/>
      </c>
      <c r="AL607" t="str">
        <f ca="1">IF(AND(ISNUMBER($AL$1265),$B$677=1),$AL$1265,HLOOKUP(INDIRECT(ADDRESS(2,COLUMN())),OFFSET($BN$2,0,0,ROW()-1,60),ROW()-1,FALSE))</f>
        <v/>
      </c>
      <c r="AM607" t="str">
        <f ca="1">IF(AND(ISNUMBER($AM$1265),$B$677=1),$AM$1265,HLOOKUP(INDIRECT(ADDRESS(2,COLUMN())),OFFSET($BN$2,0,0,ROW()-1,60),ROW()-1,FALSE))</f>
        <v/>
      </c>
      <c r="AN607" t="str">
        <f ca="1">IF(AND(ISNUMBER($AN$1265),$B$677=1),$AN$1265,HLOOKUP(INDIRECT(ADDRESS(2,COLUMN())),OFFSET($BN$2,0,0,ROW()-1,60),ROW()-1,FALSE))</f>
        <v/>
      </c>
      <c r="AO607" t="str">
        <f ca="1">IF(AND(ISNUMBER($AO$1265),$B$677=1),$AO$1265,HLOOKUP(INDIRECT(ADDRESS(2,COLUMN())),OFFSET($BN$2,0,0,ROW()-1,60),ROW()-1,FALSE))</f>
        <v/>
      </c>
      <c r="AP607" t="str">
        <f ca="1">IF(AND(ISNUMBER($AP$1265),$B$677=1),$AP$1265,HLOOKUP(INDIRECT(ADDRESS(2,COLUMN())),OFFSET($BN$2,0,0,ROW()-1,60),ROW()-1,FALSE))</f>
        <v/>
      </c>
      <c r="AQ607" t="str">
        <f ca="1">IF(AND(ISNUMBER($AQ$1265),$B$677=1),$AQ$1265,HLOOKUP(INDIRECT(ADDRESS(2,COLUMN())),OFFSET($BN$2,0,0,ROW()-1,60),ROW()-1,FALSE))</f>
        <v/>
      </c>
      <c r="AR607" t="str">
        <f ca="1">IF(AND(ISNUMBER($AR$1265),$B$677=1),$AR$1265,HLOOKUP(INDIRECT(ADDRESS(2,COLUMN())),OFFSET($BN$2,0,0,ROW()-1,60),ROW()-1,FALSE))</f>
        <v/>
      </c>
      <c r="AS607" t="str">
        <f ca="1">IF(AND(ISNUMBER($AS$1265),$B$677=1),$AS$1265,HLOOKUP(INDIRECT(ADDRESS(2,COLUMN())),OFFSET($BN$2,0,0,ROW()-1,60),ROW()-1,FALSE))</f>
        <v/>
      </c>
      <c r="AT607" t="str">
        <f ca="1">IF(AND(ISNUMBER($AT$1265),$B$677=1),$AT$1265,HLOOKUP(INDIRECT(ADDRESS(2,COLUMN())),OFFSET($BN$2,0,0,ROW()-1,60),ROW()-1,FALSE))</f>
        <v/>
      </c>
      <c r="AU607" t="str">
        <f ca="1">IF(AND(ISNUMBER($AU$1265),$B$677=1),$AU$1265,HLOOKUP(INDIRECT(ADDRESS(2,COLUMN())),OFFSET($BN$2,0,0,ROW()-1,60),ROW()-1,FALSE))</f>
        <v/>
      </c>
      <c r="AV607" t="str">
        <f ca="1">IF(AND(ISNUMBER($AV$1265),$B$677=1),$AV$1265,HLOOKUP(INDIRECT(ADDRESS(2,COLUMN())),OFFSET($BN$2,0,0,ROW()-1,60),ROW()-1,FALSE))</f>
        <v/>
      </c>
      <c r="AW607" t="str">
        <f ca="1">IF(AND(ISNUMBER($AW$1265),$B$677=1),$AW$1265,HLOOKUP(INDIRECT(ADDRESS(2,COLUMN())),OFFSET($BN$2,0,0,ROW()-1,60),ROW()-1,FALSE))</f>
        <v/>
      </c>
      <c r="AX607" t="str">
        <f ca="1">IF(AND(ISNUMBER($AX$1265),$B$677=1),$AX$1265,HLOOKUP(INDIRECT(ADDRESS(2,COLUMN())),OFFSET($BN$2,0,0,ROW()-1,60),ROW()-1,FALSE))</f>
        <v/>
      </c>
      <c r="AY607" t="str">
        <f ca="1">IF(AND(ISNUMBER($AY$1265),$B$677=1),$AY$1265,HLOOKUP(INDIRECT(ADDRESS(2,COLUMN())),OFFSET($BN$2,0,0,ROW()-1,60),ROW()-1,FALSE))</f>
        <v/>
      </c>
      <c r="AZ607" t="str">
        <f ca="1">IF(AND(ISNUMBER($AZ$1265),$B$677=1),$AZ$1265,HLOOKUP(INDIRECT(ADDRESS(2,COLUMN())),OFFSET($BN$2,0,0,ROW()-1,60),ROW()-1,FALSE))</f>
        <v/>
      </c>
      <c r="BA607" t="str">
        <f ca="1">IF(AND(ISNUMBER($BA$1265),$B$677=1),$BA$1265,HLOOKUP(INDIRECT(ADDRESS(2,COLUMN())),OFFSET($BN$2,0,0,ROW()-1,60),ROW()-1,FALSE))</f>
        <v/>
      </c>
      <c r="BB607" t="str">
        <f ca="1">IF(AND(ISNUMBER($BB$1265),$B$677=1),$BB$1265,HLOOKUP(INDIRECT(ADDRESS(2,COLUMN())),OFFSET($BN$2,0,0,ROW()-1,60),ROW()-1,FALSE))</f>
        <v/>
      </c>
      <c r="BC607" t="str">
        <f ca="1">IF(AND(ISNUMBER($BC$1265),$B$677=1),$BC$1265,HLOOKUP(INDIRECT(ADDRESS(2,COLUMN())),OFFSET($BN$2,0,0,ROW()-1,60),ROW()-1,FALSE))</f>
        <v/>
      </c>
      <c r="BD607" t="str">
        <f ca="1">IF(AND(ISNUMBER($BD$1265),$B$677=1),$BD$1265,HLOOKUP(INDIRECT(ADDRESS(2,COLUMN())),OFFSET($BN$2,0,0,ROW()-1,60),ROW()-1,FALSE))</f>
        <v/>
      </c>
      <c r="BE607" t="str">
        <f ca="1">IF(AND(ISNUMBER($BE$1265),$B$677=1),$BE$1265,HLOOKUP(INDIRECT(ADDRESS(2,COLUMN())),OFFSET($BN$2,0,0,ROW()-1,60),ROW()-1,FALSE))</f>
        <v/>
      </c>
      <c r="BF607" t="str">
        <f ca="1">IF(AND(ISNUMBER($BF$1265),$B$677=1),$BF$1265,HLOOKUP(INDIRECT(ADDRESS(2,COLUMN())),OFFSET($BN$2,0,0,ROW()-1,60),ROW()-1,FALSE))</f>
        <v/>
      </c>
      <c r="BG607" t="str">
        <f ca="1">IF(AND(ISNUMBER($BG$1265),$B$677=1),$BG$1265,HLOOKUP(INDIRECT(ADDRESS(2,COLUMN())),OFFSET($BN$2,0,0,ROW()-1,60),ROW()-1,FALSE))</f>
        <v/>
      </c>
      <c r="BH607" t="str">
        <f ca="1">IF(AND(ISNUMBER($BH$1265),$B$677=1),$BH$1265,HLOOKUP(INDIRECT(ADDRESS(2,COLUMN())),OFFSET($BN$2,0,0,ROW()-1,60),ROW()-1,FALSE))</f>
        <v/>
      </c>
      <c r="BI607" t="str">
        <f ca="1">IF(AND(ISNUMBER($BI$1265),$B$677=1),$BI$1265,HLOOKUP(INDIRECT(ADDRESS(2,COLUMN())),OFFSET($BN$2,0,0,ROW()-1,60),ROW()-1,FALSE))</f>
        <v/>
      </c>
      <c r="BJ607" t="str">
        <f ca="1">IF(AND(ISNUMBER($BJ$1265),$B$677=1),$BJ$1265,HLOOKUP(INDIRECT(ADDRESS(2,COLUMN())),OFFSET($BN$2,0,0,ROW()-1,60),ROW()-1,FALSE))</f>
        <v/>
      </c>
      <c r="BK607" t="str">
        <f ca="1">IF(AND(ISNUMBER($BK$1265),$B$677=1),$BK$1265,HLOOKUP(INDIRECT(ADDRESS(2,COLUMN())),OFFSET($BN$2,0,0,ROW()-1,60),ROW()-1,FALSE))</f>
        <v/>
      </c>
      <c r="BL607" t="str">
        <f ca="1">IF(AND(ISNUMBER($BL$1265),$B$677=1),$BL$1265,HLOOKUP(INDIRECT(ADDRESS(2,COLUMN())),OFFSET($BN$2,0,0,ROW()-1,60),ROW()-1,FALSE))</f>
        <v/>
      </c>
      <c r="BM607" t="str">
        <f ca="1">IF(AND(ISNUMBER($BM$1265),$B$677=1),$BM$1265,HLOOKUP(INDIRECT(ADDRESS(2,COLUMN())),OFFSET($BN$2,0,0,ROW()-1,60),ROW()-1,FALSE))</f>
        <v/>
      </c>
      <c r="BN607" t="str">
        <f>""</f>
        <v/>
      </c>
      <c r="BO607" t="str">
        <f>""</f>
        <v/>
      </c>
      <c r="BP607" t="str">
        <f>""</f>
        <v/>
      </c>
      <c r="BQ607" t="str">
        <f>""</f>
        <v/>
      </c>
      <c r="BR607" t="str">
        <f>""</f>
        <v/>
      </c>
      <c r="BS607" t="str">
        <f>""</f>
        <v/>
      </c>
      <c r="BT607" t="str">
        <f>""</f>
        <v/>
      </c>
      <c r="BU607" t="str">
        <f>""</f>
        <v/>
      </c>
      <c r="BV607" t="str">
        <f>""</f>
        <v/>
      </c>
      <c r="BW607" t="str">
        <f>""</f>
        <v/>
      </c>
      <c r="BX607" t="str">
        <f>""</f>
        <v/>
      </c>
      <c r="BY607" t="str">
        <f>""</f>
        <v/>
      </c>
      <c r="BZ607" t="str">
        <f>""</f>
        <v/>
      </c>
      <c r="CA607" t="str">
        <f>""</f>
        <v/>
      </c>
      <c r="CB607" t="str">
        <f>""</f>
        <v/>
      </c>
      <c r="CC607" t="str">
        <f>""</f>
        <v/>
      </c>
      <c r="CD607" t="str">
        <f>""</f>
        <v/>
      </c>
      <c r="CE607" t="str">
        <f>""</f>
        <v/>
      </c>
      <c r="CF607" t="str">
        <f>""</f>
        <v/>
      </c>
      <c r="CG607" t="str">
        <f>""</f>
        <v/>
      </c>
      <c r="CH607" t="str">
        <f>""</f>
        <v/>
      </c>
      <c r="CI607" t="str">
        <f>""</f>
        <v/>
      </c>
      <c r="CJ607" t="str">
        <f>""</f>
        <v/>
      </c>
      <c r="CK607" t="str">
        <f>""</f>
        <v/>
      </c>
      <c r="CL607" t="str">
        <f>""</f>
        <v/>
      </c>
      <c r="CM607" t="str">
        <f>""</f>
        <v/>
      </c>
      <c r="CN607" t="str">
        <f>""</f>
        <v/>
      </c>
      <c r="CO607" t="str">
        <f>""</f>
        <v/>
      </c>
      <c r="CP607" t="str">
        <f>""</f>
        <v/>
      </c>
      <c r="CQ607" t="str">
        <f>""</f>
        <v/>
      </c>
      <c r="CR607" t="str">
        <f>""</f>
        <v/>
      </c>
      <c r="CS607" t="str">
        <f>""</f>
        <v/>
      </c>
      <c r="CT607" t="str">
        <f>""</f>
        <v/>
      </c>
      <c r="CU607" t="str">
        <f>""</f>
        <v/>
      </c>
      <c r="CV607" t="str">
        <f>""</f>
        <v/>
      </c>
      <c r="CW607" t="str">
        <f>""</f>
        <v/>
      </c>
      <c r="CX607" t="str">
        <f>""</f>
        <v/>
      </c>
      <c r="CY607" t="str">
        <f>""</f>
        <v/>
      </c>
      <c r="CZ607" t="str">
        <f>""</f>
        <v/>
      </c>
      <c r="DA607" t="str">
        <f>""</f>
        <v/>
      </c>
      <c r="DB607" t="str">
        <f>""</f>
        <v/>
      </c>
      <c r="DC607" t="str">
        <f>""</f>
        <v/>
      </c>
      <c r="DD607" t="str">
        <f>""</f>
        <v/>
      </c>
      <c r="DE607" t="str">
        <f>""</f>
        <v/>
      </c>
      <c r="DF607" t="str">
        <f>""</f>
        <v/>
      </c>
      <c r="DG607" t="str">
        <f>""</f>
        <v/>
      </c>
      <c r="DH607" t="str">
        <f>""</f>
        <v/>
      </c>
      <c r="DI607" t="str">
        <f>""</f>
        <v/>
      </c>
      <c r="DJ607" t="str">
        <f>""</f>
        <v/>
      </c>
      <c r="DK607" t="str">
        <f>""</f>
        <v/>
      </c>
      <c r="DL607" t="str">
        <f>""</f>
        <v/>
      </c>
      <c r="DM607" t="str">
        <f>""</f>
        <v/>
      </c>
      <c r="DN607" t="str">
        <f>""</f>
        <v/>
      </c>
      <c r="DO607" t="str">
        <f>""</f>
        <v/>
      </c>
      <c r="DP607" t="str">
        <f>""</f>
        <v/>
      </c>
      <c r="DQ607" t="str">
        <f>""</f>
        <v/>
      </c>
      <c r="DR607" t="str">
        <f>""</f>
        <v/>
      </c>
      <c r="DS607" t="str">
        <f>""</f>
        <v/>
      </c>
      <c r="DT607" t="str">
        <f>""</f>
        <v/>
      </c>
      <c r="DU607" t="str">
        <f>""</f>
        <v/>
      </c>
    </row>
    <row r="608" spans="1:125" x14ac:dyDescent="0.25">
      <c r="A608" t="str">
        <f>"    SAIC Motor Corp Ltd"</f>
        <v xml:space="preserve">    SAIC Motor Corp Ltd</v>
      </c>
      <c r="B608" t="str">
        <f>"600104 CH Equity"</f>
        <v>600104 CH Equity</v>
      </c>
      <c r="C608" t="str">
        <f t="shared" si="42"/>
        <v>RX072</v>
      </c>
      <c r="D608" t="str">
        <f t="shared" si="43"/>
        <v>FREE_CASH_FLOW_YIELD</v>
      </c>
      <c r="E608" t="str">
        <f t="shared" si="44"/>
        <v>Dynamic</v>
      </c>
      <c r="F608">
        <f ca="1">IF(AND(ISNUMBER($F$1266),$B$677=1),$F$1266,HLOOKUP(INDIRECT(ADDRESS(2,COLUMN())),OFFSET($BN$2,0,0,ROW()-1,60),ROW()-1,FALSE))</f>
        <v>-15.17037668</v>
      </c>
      <c r="G608">
        <f ca="1">IF(AND(ISNUMBER($G$1266),$B$677=1),$G$1266,HLOOKUP(INDIRECT(ADDRESS(2,COLUMN())),OFFSET($BN$2,0,0,ROW()-1,60),ROW()-1,FALSE))</f>
        <v>-16.160120039999999</v>
      </c>
      <c r="H608">
        <f ca="1">IF(AND(ISNUMBER($H$1266),$B$677=1),$H$1266,HLOOKUP(INDIRECT(ADDRESS(2,COLUMN())),OFFSET($BN$2,0,0,ROW()-1,60),ROW()-1,FALSE))</f>
        <v>-12.95043274</v>
      </c>
      <c r="I608">
        <f ca="1">IF(AND(ISNUMBER($I$1266),$B$677=1),$I$1266,HLOOKUP(INDIRECT(ADDRESS(2,COLUMN())),OFFSET($BN$2,0,0,ROW()-1,60),ROW()-1,FALSE))</f>
        <v>-5.7262993790000003</v>
      </c>
      <c r="J608">
        <f ca="1">IF(AND(ISNUMBER($J$1266),$B$677=1),$J$1266,HLOOKUP(INDIRECT(ADDRESS(2,COLUMN())),OFFSET($BN$2,0,0,ROW()-1,60),ROW()-1,FALSE))</f>
        <v>2.9373477549999998</v>
      </c>
      <c r="K608">
        <f ca="1">IF(AND(ISNUMBER($K$1266),$B$677=1),$K$1266,HLOOKUP(INDIRECT(ADDRESS(2,COLUMN())),OFFSET($BN$2,0,0,ROW()-1,60),ROW()-1,FALSE))</f>
        <v>7.0436252589999997</v>
      </c>
      <c r="L608">
        <f ca="1">IF(AND(ISNUMBER($L$1266),$B$677=1),$L$1266,HLOOKUP(INDIRECT(ADDRESS(2,COLUMN())),OFFSET($BN$2,0,0,ROW()-1,60),ROW()-1,FALSE))</f>
        <v>6.5019213239999996</v>
      </c>
      <c r="M608">
        <f ca="1">IF(AND(ISNUMBER($M$1266),$B$677=1),$M$1266,HLOOKUP(INDIRECT(ADDRESS(2,COLUMN())),OFFSET($BN$2,0,0,ROW()-1,60),ROW()-1,FALSE))</f>
        <v>10.69766933</v>
      </c>
      <c r="N608">
        <f ca="1">IF(AND(ISNUMBER($N$1266),$B$677=1),$N$1266,HLOOKUP(INDIRECT(ADDRESS(2,COLUMN())),OFFSET($BN$2,0,0,ROW()-1,60),ROW()-1,FALSE))</f>
        <v>7.4776083760000001</v>
      </c>
      <c r="O608">
        <f ca="1">IF(AND(ISNUMBER($O$1266),$B$677=1),$O$1266,HLOOKUP(INDIRECT(ADDRESS(2,COLUMN())),OFFSET($BN$2,0,0,ROW()-1,60),ROW()-1,FALSE))</f>
        <v>8.622061983</v>
      </c>
      <c r="P608">
        <f ca="1">IF(AND(ISNUMBER($P$1266),$B$677=1),$P$1266,HLOOKUP(INDIRECT(ADDRESS(2,COLUMN())),OFFSET($BN$2,0,0,ROW()-1,60),ROW()-1,FALSE))</f>
        <v>20.27250458</v>
      </c>
      <c r="Q608">
        <f ca="1">IF(AND(ISNUMBER($Q$1266),$B$677=1),$Q$1266,HLOOKUP(INDIRECT(ADDRESS(2,COLUMN())),OFFSET($BN$2,0,0,ROW()-1,60),ROW()-1,FALSE))</f>
        <v>16.311237009999999</v>
      </c>
      <c r="R608">
        <f ca="1">IF(AND(ISNUMBER($R$1266),$B$677=1),$R$1266,HLOOKUP(INDIRECT(ADDRESS(2,COLUMN())),OFFSET($BN$2,0,0,ROW()-1,60),ROW()-1,FALSE))</f>
        <v>14.666551930000001</v>
      </c>
      <c r="S608">
        <f ca="1">IF(AND(ISNUMBER($S$1266),$B$677=1),$S$1266,HLOOKUP(INDIRECT(ADDRESS(2,COLUMN())),OFFSET($BN$2,0,0,ROW()-1,60),ROW()-1,FALSE))</f>
        <v>16.140432279999999</v>
      </c>
      <c r="T608">
        <f ca="1">IF(AND(ISNUMBER($T$1266),$B$677=1),$T$1266,HLOOKUP(INDIRECT(ADDRESS(2,COLUMN())),OFFSET($BN$2,0,0,ROW()-1,60),ROW()-1,FALSE))</f>
        <v>12.714917120000001</v>
      </c>
      <c r="U608">
        <f ca="1">IF(AND(ISNUMBER($U$1266),$B$677=1),$U$1266,HLOOKUP(INDIRECT(ADDRESS(2,COLUMN())),OFFSET($BN$2,0,0,ROW()-1,60),ROW()-1,FALSE))</f>
        <v>3.560117274</v>
      </c>
      <c r="V608">
        <f ca="1">IF(AND(ISNUMBER($V$1266),$B$677=1),$V$1266,HLOOKUP(INDIRECT(ADDRESS(2,COLUMN())),OFFSET($BN$2,0,0,ROW()-1,60),ROW()-1,FALSE))</f>
        <v>3.5391122679999998</v>
      </c>
      <c r="W608">
        <f ca="1">IF(AND(ISNUMBER($W$1266),$B$677=1),$W$1266,HLOOKUP(INDIRECT(ADDRESS(2,COLUMN())),OFFSET($BN$2,0,0,ROW()-1,60),ROW()-1,FALSE))</f>
        <v>7.7972202560000001</v>
      </c>
      <c r="X608">
        <f ca="1">IF(AND(ISNUMBER($X$1266),$B$677=1),$X$1266,HLOOKUP(INDIRECT(ADDRESS(2,COLUMN())),OFFSET($BN$2,0,0,ROW()-1,60),ROW()-1,FALSE))</f>
        <v>7.8804312520000002</v>
      </c>
      <c r="Y608">
        <f ca="1">IF(AND(ISNUMBER($Y$1266),$B$677=1),$Y$1266,HLOOKUP(INDIRECT(ADDRESS(2,COLUMN())),OFFSET($BN$2,0,0,ROW()-1,60),ROW()-1,FALSE))</f>
        <v>8.7376005059999997</v>
      </c>
      <c r="Z608">
        <f ca="1">IF(AND(ISNUMBER($Z$1266),$B$677=1),$Z$1266,HLOOKUP(INDIRECT(ADDRESS(2,COLUMN())),OFFSET($BN$2,0,0,ROW()-1,60),ROW()-1,FALSE))</f>
        <v>5.170032945</v>
      </c>
      <c r="AA608">
        <f ca="1">IF(AND(ISNUMBER($AA$1266),$B$677=1),$AA$1266,HLOOKUP(INDIRECT(ADDRESS(2,COLUMN())),OFFSET($BN$2,0,0,ROW()-1,60),ROW()-1,FALSE))</f>
        <v>11.480292439999999</v>
      </c>
      <c r="AB608">
        <f ca="1">IF(AND(ISNUMBER($AB$1266),$B$677=1),$AB$1266,HLOOKUP(INDIRECT(ADDRESS(2,COLUMN())),OFFSET($BN$2,0,0,ROW()-1,60),ROW()-1,FALSE))</f>
        <v>2.6422166960000002</v>
      </c>
      <c r="AC608">
        <f ca="1">IF(AND(ISNUMBER($AC$1266),$B$677=1),$AC$1266,HLOOKUP(INDIRECT(ADDRESS(2,COLUMN())),OFFSET($BN$2,0,0,ROW()-1,60),ROW()-1,FALSE))</f>
        <v>16.383404509999998</v>
      </c>
      <c r="AD608">
        <f ca="1">IF(AND(ISNUMBER($AD$1266),$B$677=1),$AD$1266,HLOOKUP(INDIRECT(ADDRESS(2,COLUMN())),OFFSET($BN$2,0,0,ROW()-1,60),ROW()-1,FALSE))</f>
        <v>19.976278900000001</v>
      </c>
      <c r="AE608">
        <f ca="1">IF(AND(ISNUMBER($AE$1266),$B$677=1),$AE$1266,HLOOKUP(INDIRECT(ADDRESS(2,COLUMN())),OFFSET($BN$2,0,0,ROW()-1,60),ROW()-1,FALSE))</f>
        <v>9.6989181549999994</v>
      </c>
      <c r="AF608">
        <f ca="1">IF(AND(ISNUMBER($AF$1266),$B$677=1),$AF$1266,HLOOKUP(INDIRECT(ADDRESS(2,COLUMN())),OFFSET($BN$2,0,0,ROW()-1,60),ROW()-1,FALSE))</f>
        <v>24.6878551</v>
      </c>
      <c r="AG608">
        <f ca="1">IF(AND(ISNUMBER($AG$1266),$B$677=1),$AG$1266,HLOOKUP(INDIRECT(ADDRESS(2,COLUMN())),OFFSET($BN$2,0,0,ROW()-1,60),ROW()-1,FALSE))</f>
        <v>24.341954019999999</v>
      </c>
      <c r="AH608">
        <f ca="1">IF(AND(ISNUMBER($AH$1266),$B$677=1),$AH$1266,HLOOKUP(INDIRECT(ADDRESS(2,COLUMN())),OFFSET($BN$2,0,0,ROW()-1,60),ROW()-1,FALSE))</f>
        <v>16.841392219999999</v>
      </c>
      <c r="AI608">
        <f ca="1">IF(AND(ISNUMBER($AI$1266),$B$677=1),$AI$1266,HLOOKUP(INDIRECT(ADDRESS(2,COLUMN())),OFFSET($BN$2,0,0,ROW()-1,60),ROW()-1,FALSE))</f>
        <v>17.369431550000002</v>
      </c>
      <c r="AJ608">
        <f ca="1">IF(AND(ISNUMBER($AJ$1266),$B$677=1),$AJ$1266,HLOOKUP(INDIRECT(ADDRESS(2,COLUMN())),OFFSET($BN$2,0,0,ROW()-1,60),ROW()-1,FALSE))</f>
        <v>23.152621150000002</v>
      </c>
      <c r="AK608">
        <f ca="1">IF(AND(ISNUMBER($AK$1266),$B$677=1),$AK$1266,HLOOKUP(INDIRECT(ADDRESS(2,COLUMN())),OFFSET($BN$2,0,0,ROW()-1,60),ROW()-1,FALSE))</f>
        <v>15.41565793</v>
      </c>
      <c r="AL608">
        <f ca="1">IF(AND(ISNUMBER($AL$1266),$B$677=1),$AL$1266,HLOOKUP(INDIRECT(ADDRESS(2,COLUMN())),OFFSET($BN$2,0,0,ROW()-1,60),ROW()-1,FALSE))</f>
        <v>14.36647591</v>
      </c>
      <c r="AM608">
        <f ca="1">IF(AND(ISNUMBER($AM$1266),$B$677=1),$AM$1266,HLOOKUP(INDIRECT(ADDRESS(2,COLUMN())),OFFSET($BN$2,0,0,ROW()-1,60),ROW()-1,FALSE))</f>
        <v>18.05595916</v>
      </c>
      <c r="AN608">
        <f ca="1">IF(AND(ISNUMBER($AN$1266),$B$677=1),$AN$1266,HLOOKUP(INDIRECT(ADDRESS(2,COLUMN())),OFFSET($BN$2,0,0,ROW()-1,60),ROW()-1,FALSE))</f>
        <v>10.108039679999999</v>
      </c>
      <c r="AO608">
        <f ca="1">IF(AND(ISNUMBER($AO$1266),$B$677=1),$AO$1266,HLOOKUP(INDIRECT(ADDRESS(2,COLUMN())),OFFSET($BN$2,0,0,ROW()-1,60),ROW()-1,FALSE))</f>
        <v>11.34093541</v>
      </c>
      <c r="AP608">
        <f ca="1">IF(AND(ISNUMBER($AP$1266),$B$677=1),$AP$1266,HLOOKUP(INDIRECT(ADDRESS(2,COLUMN())),OFFSET($BN$2,0,0,ROW()-1,60),ROW()-1,FALSE))</f>
        <v>19.277899900000001</v>
      </c>
      <c r="AQ608">
        <f ca="1">IF(AND(ISNUMBER($AQ$1266),$B$677=1),$AQ$1266,HLOOKUP(INDIRECT(ADDRESS(2,COLUMN())),OFFSET($BN$2,0,0,ROW()-1,60),ROW()-1,FALSE))</f>
        <v>12.51462579</v>
      </c>
      <c r="AR608">
        <f ca="1">IF(AND(ISNUMBER($AR$1266),$B$677=1),$AR$1266,HLOOKUP(INDIRECT(ADDRESS(2,COLUMN())),OFFSET($BN$2,0,0,ROW()-1,60),ROW()-1,FALSE))</f>
        <v>4.8761572000000003E-2</v>
      </c>
      <c r="AS608">
        <f ca="1">IF(AND(ISNUMBER($AS$1266),$B$677=1),$AS$1266,HLOOKUP(INDIRECT(ADDRESS(2,COLUMN())),OFFSET($BN$2,0,0,ROW()-1,60),ROW()-1,FALSE))</f>
        <v>-5.7440401230000004</v>
      </c>
      <c r="AT608">
        <f ca="1">IF(AND(ISNUMBER($AT$1266),$B$677=1),$AT$1266,HLOOKUP(INDIRECT(ADDRESS(2,COLUMN())),OFFSET($BN$2,0,0,ROW()-1,60),ROW()-1,FALSE))</f>
        <v>-14.190580389999999</v>
      </c>
      <c r="AU608">
        <f ca="1">IF(AND(ISNUMBER($AU$1266),$B$677=1),$AU$1266,HLOOKUP(INDIRECT(ADDRESS(2,COLUMN())),OFFSET($BN$2,0,0,ROW()-1,60),ROW()-1,FALSE))</f>
        <v>-7.28867771</v>
      </c>
      <c r="AV608">
        <f ca="1">IF(AND(ISNUMBER($AV$1266),$B$677=1),$AV$1266,HLOOKUP(INDIRECT(ADDRESS(2,COLUMN())),OFFSET($BN$2,0,0,ROW()-1,60),ROW()-1,FALSE))</f>
        <v>14.04423497</v>
      </c>
      <c r="AW608">
        <f ca="1">IF(AND(ISNUMBER($AW$1266),$B$677=1),$AW$1266,HLOOKUP(INDIRECT(ADDRESS(2,COLUMN())),OFFSET($BN$2,0,0,ROW()-1,60),ROW()-1,FALSE))</f>
        <v>10.779162790000001</v>
      </c>
      <c r="AX608">
        <f ca="1">IF(AND(ISNUMBER($AX$1266),$B$677=1),$AX$1266,HLOOKUP(INDIRECT(ADDRESS(2,COLUMN())),OFFSET($BN$2,0,0,ROW()-1,60),ROW()-1,FALSE))</f>
        <v>7.5470231569999999</v>
      </c>
      <c r="AY608">
        <f ca="1">IF(AND(ISNUMBER($AY$1266),$B$677=1),$AY$1266,HLOOKUP(INDIRECT(ADDRESS(2,COLUMN())),OFFSET($BN$2,0,0,ROW()-1,60),ROW()-1,FALSE))</f>
        <v>-0.45901043600000002</v>
      </c>
      <c r="AZ608">
        <f ca="1">IF(AND(ISNUMBER($AZ$1266),$B$677=1),$AZ$1266,HLOOKUP(INDIRECT(ADDRESS(2,COLUMN())),OFFSET($BN$2,0,0,ROW()-1,60),ROW()-1,FALSE))</f>
        <v>4.162380787</v>
      </c>
      <c r="BA608">
        <f ca="1">IF(AND(ISNUMBER($BA$1266),$B$677=1),$BA$1266,HLOOKUP(INDIRECT(ADDRESS(2,COLUMN())),OFFSET($BN$2,0,0,ROW()-1,60),ROW()-1,FALSE))</f>
        <v>9.5886812339999992</v>
      </c>
      <c r="BB608">
        <f ca="1">IF(AND(ISNUMBER($BB$1266),$B$677=1),$BB$1266,HLOOKUP(INDIRECT(ADDRESS(2,COLUMN())),OFFSET($BN$2,0,0,ROW()-1,60),ROW()-1,FALSE))</f>
        <v>11.42440618</v>
      </c>
      <c r="BC608">
        <f ca="1">IF(AND(ISNUMBER($BC$1266),$B$677=1),$BC$1266,HLOOKUP(INDIRECT(ADDRESS(2,COLUMN())),OFFSET($BN$2,0,0,ROW()-1,60),ROW()-1,FALSE))</f>
        <v>15.159161449999999</v>
      </c>
      <c r="BD608">
        <f ca="1">IF(AND(ISNUMBER($BD$1266),$B$677=1),$BD$1266,HLOOKUP(INDIRECT(ADDRESS(2,COLUMN())),OFFSET($BN$2,0,0,ROW()-1,60),ROW()-1,FALSE))</f>
        <v>6.0846453980000001</v>
      </c>
      <c r="BE608">
        <f ca="1">IF(AND(ISNUMBER($BE$1266),$B$677=1),$BE$1266,HLOOKUP(INDIRECT(ADDRESS(2,COLUMN())),OFFSET($BN$2,0,0,ROW()-1,60),ROW()-1,FALSE))</f>
        <v>10.948307679999999</v>
      </c>
      <c r="BF608">
        <f ca="1">IF(AND(ISNUMBER($BF$1266),$B$677=1),$BF$1266,HLOOKUP(INDIRECT(ADDRESS(2,COLUMN())),OFFSET($BN$2,0,0,ROW()-1,60),ROW()-1,FALSE))</f>
        <v>10.265668399999999</v>
      </c>
      <c r="BG608">
        <f ca="1">IF(AND(ISNUMBER($BG$1266),$B$677=1),$BG$1266,HLOOKUP(INDIRECT(ADDRESS(2,COLUMN())),OFFSET($BN$2,0,0,ROW()-1,60),ROW()-1,FALSE))</f>
        <v>9.2717772249999992</v>
      </c>
      <c r="BH608">
        <f ca="1">IF(AND(ISNUMBER($BH$1266),$B$677=1),$BH$1266,HLOOKUP(INDIRECT(ADDRESS(2,COLUMN())),OFFSET($BN$2,0,0,ROW()-1,60),ROW()-1,FALSE))</f>
        <v>-1.9492463470000001</v>
      </c>
      <c r="BI608">
        <f ca="1">IF(AND(ISNUMBER($BI$1266),$B$677=1),$BI$1266,HLOOKUP(INDIRECT(ADDRESS(2,COLUMN())),OFFSET($BN$2,0,0,ROW()-1,60),ROW()-1,FALSE))</f>
        <v>-2.3390956169999999</v>
      </c>
      <c r="BJ608">
        <f ca="1">IF(AND(ISNUMBER($BJ$1266),$B$677=1),$BJ$1266,HLOOKUP(INDIRECT(ADDRESS(2,COLUMN())),OFFSET($BN$2,0,0,ROW()-1,60),ROW()-1,FALSE))</f>
        <v>5.147275102</v>
      </c>
      <c r="BK608">
        <f ca="1">IF(AND(ISNUMBER($BK$1266),$B$677=1),$BK$1266,HLOOKUP(INDIRECT(ADDRESS(2,COLUMN())),OFFSET($BN$2,0,0,ROW()-1,60),ROW()-1,FALSE))</f>
        <v>3.5018708510000001</v>
      </c>
      <c r="BL608">
        <f ca="1">IF(AND(ISNUMBER($BL$1266),$B$677=1),$BL$1266,HLOOKUP(INDIRECT(ADDRESS(2,COLUMN())),OFFSET($BN$2,0,0,ROW()-1,60),ROW()-1,FALSE))</f>
        <v>1.4427921939999999</v>
      </c>
      <c r="BM608">
        <f ca="1">IF(AND(ISNUMBER($BM$1266),$B$677=1),$BM$1266,HLOOKUP(INDIRECT(ADDRESS(2,COLUMN())),OFFSET($BN$2,0,0,ROW()-1,60),ROW()-1,FALSE))</f>
        <v>2.0666025349999999</v>
      </c>
      <c r="BN608">
        <f>-15.17037668</f>
        <v>-15.17037668</v>
      </c>
      <c r="BO608">
        <f>-16.16012004</f>
        <v>-16.160120039999999</v>
      </c>
      <c r="BP608">
        <f>-12.95043274</f>
        <v>-12.95043274</v>
      </c>
      <c r="BQ608">
        <f>-5.726299379</f>
        <v>-5.7262993790000003</v>
      </c>
      <c r="BR608">
        <f>2.937347755</f>
        <v>2.9373477549999998</v>
      </c>
      <c r="BS608">
        <f>7.043625259</f>
        <v>7.0436252589999997</v>
      </c>
      <c r="BT608">
        <f>6.501921324</f>
        <v>6.5019213239999996</v>
      </c>
      <c r="BU608">
        <f>10.69766933</f>
        <v>10.69766933</v>
      </c>
      <c r="BV608">
        <f>7.477608376</f>
        <v>7.4776083760000001</v>
      </c>
      <c r="BW608">
        <f>8.622061983</f>
        <v>8.622061983</v>
      </c>
      <c r="BX608">
        <f>20.27250458</f>
        <v>20.27250458</v>
      </c>
      <c r="BY608">
        <f>16.31123701</f>
        <v>16.311237009999999</v>
      </c>
      <c r="BZ608">
        <f>14.66655193</f>
        <v>14.666551930000001</v>
      </c>
      <c r="CA608">
        <f>16.14043228</f>
        <v>16.140432279999999</v>
      </c>
      <c r="CB608">
        <f>12.71491712</f>
        <v>12.714917120000001</v>
      </c>
      <c r="CC608">
        <f>3.560117274</f>
        <v>3.560117274</v>
      </c>
      <c r="CD608">
        <f>3.539112268</f>
        <v>3.5391122679999998</v>
      </c>
      <c r="CE608">
        <f>7.797220256</f>
        <v>7.7972202560000001</v>
      </c>
      <c r="CF608">
        <f>7.880431252</f>
        <v>7.8804312520000002</v>
      </c>
      <c r="CG608">
        <f>8.737600506</f>
        <v>8.7376005059999997</v>
      </c>
      <c r="CH608">
        <f>5.170032945</f>
        <v>5.170032945</v>
      </c>
      <c r="CI608">
        <f>11.48029244</f>
        <v>11.480292439999999</v>
      </c>
      <c r="CJ608">
        <f>2.642216696</f>
        <v>2.6422166960000002</v>
      </c>
      <c r="CK608">
        <f>16.38340451</f>
        <v>16.383404509999998</v>
      </c>
      <c r="CL608">
        <f>19.9762789</f>
        <v>19.976278900000001</v>
      </c>
      <c r="CM608">
        <f>9.698918155</f>
        <v>9.6989181549999994</v>
      </c>
      <c r="CN608">
        <f>24.6878551</f>
        <v>24.6878551</v>
      </c>
      <c r="CO608">
        <f>24.34195402</f>
        <v>24.341954019999999</v>
      </c>
      <c r="CP608">
        <f>16.84139222</f>
        <v>16.841392219999999</v>
      </c>
      <c r="CQ608">
        <f>17.36943155</f>
        <v>17.369431550000002</v>
      </c>
      <c r="CR608">
        <f>23.15262115</f>
        <v>23.152621150000002</v>
      </c>
      <c r="CS608">
        <f>15.41565793</f>
        <v>15.41565793</v>
      </c>
      <c r="CT608">
        <f>14.36647591</f>
        <v>14.36647591</v>
      </c>
      <c r="CU608">
        <f>18.05595916</f>
        <v>18.05595916</v>
      </c>
      <c r="CV608">
        <f>10.10803968</f>
        <v>10.108039679999999</v>
      </c>
      <c r="CW608">
        <f>11.34093541</f>
        <v>11.34093541</v>
      </c>
      <c r="CX608">
        <f>19.2778999</f>
        <v>19.277899900000001</v>
      </c>
      <c r="CY608">
        <f>12.51462579</f>
        <v>12.51462579</v>
      </c>
      <c r="CZ608">
        <f>0.048761572</f>
        <v>4.8761572000000003E-2</v>
      </c>
      <c r="DA608">
        <f>-5.744040123</f>
        <v>-5.7440401230000004</v>
      </c>
      <c r="DB608">
        <f>-14.19058039</f>
        <v>-14.190580389999999</v>
      </c>
      <c r="DC608">
        <f>-7.28867771</f>
        <v>-7.28867771</v>
      </c>
      <c r="DD608">
        <f>14.04423497</f>
        <v>14.04423497</v>
      </c>
      <c r="DE608">
        <f>10.77916279</f>
        <v>10.779162790000001</v>
      </c>
      <c r="DF608">
        <f>7.547023157</f>
        <v>7.5470231569999999</v>
      </c>
      <c r="DG608">
        <f>-0.459010436</f>
        <v>-0.45901043600000002</v>
      </c>
      <c r="DH608">
        <f>4.162380787</f>
        <v>4.162380787</v>
      </c>
      <c r="DI608">
        <f>9.588681234</f>
        <v>9.5886812339999992</v>
      </c>
      <c r="DJ608">
        <f>11.42440618</f>
        <v>11.42440618</v>
      </c>
      <c r="DK608">
        <f>15.15916145</f>
        <v>15.159161449999999</v>
      </c>
      <c r="DL608">
        <f>6.084645398</f>
        <v>6.0846453980000001</v>
      </c>
      <c r="DM608">
        <f>10.94830768</f>
        <v>10.948307679999999</v>
      </c>
      <c r="DN608">
        <f>10.2656684</f>
        <v>10.265668399999999</v>
      </c>
      <c r="DO608">
        <f>9.271777225</f>
        <v>9.2717772249999992</v>
      </c>
      <c r="DP608">
        <f>-1.949246347</f>
        <v>-1.9492463470000001</v>
      </c>
      <c r="DQ608">
        <f>-2.339095617</f>
        <v>-2.3390956169999999</v>
      </c>
      <c r="DR608">
        <f>5.147275102</f>
        <v>5.147275102</v>
      </c>
      <c r="DS608">
        <f>3.501870851</f>
        <v>3.5018708510000001</v>
      </c>
      <c r="DT608">
        <f>1.442792194</f>
        <v>1.4427921939999999</v>
      </c>
      <c r="DU608">
        <f>2.066602535</f>
        <v>2.0666025349999999</v>
      </c>
    </row>
    <row r="609" spans="1:125" x14ac:dyDescent="0.25">
      <c r="A609" t="str">
        <f>"    Sanyang Motor Co Ltd"</f>
        <v xml:space="preserve">    Sanyang Motor Co Ltd</v>
      </c>
      <c r="B609" t="str">
        <f>"2206 TT Equity"</f>
        <v>2206 TT Equity</v>
      </c>
      <c r="C609" t="str">
        <f t="shared" si="42"/>
        <v>RX072</v>
      </c>
      <c r="D609" t="str">
        <f t="shared" si="43"/>
        <v>FREE_CASH_FLOW_YIELD</v>
      </c>
      <c r="E609" t="str">
        <f t="shared" si="44"/>
        <v>Dynamic</v>
      </c>
      <c r="F609">
        <f ca="1">IF(AND(ISNUMBER($F$1267),$B$677=1),$F$1267,HLOOKUP(INDIRECT(ADDRESS(2,COLUMN())),OFFSET($BN$2,0,0,ROW()-1,60),ROW()-1,FALSE))</f>
        <v>-7.8151137860000004</v>
      </c>
      <c r="G609">
        <f ca="1">IF(AND(ISNUMBER($G$1267),$B$677=1),$G$1267,HLOOKUP(INDIRECT(ADDRESS(2,COLUMN())),OFFSET($BN$2,0,0,ROW()-1,60),ROW()-1,FALSE))</f>
        <v>-7.8346515700000001</v>
      </c>
      <c r="H609">
        <f ca="1">IF(AND(ISNUMBER($H$1267),$B$677=1),$H$1267,HLOOKUP(INDIRECT(ADDRESS(2,COLUMN())),OFFSET($BN$2,0,0,ROW()-1,60),ROW()-1,FALSE))</f>
        <v>-7.6435625079999996</v>
      </c>
      <c r="I609">
        <f ca="1">IF(AND(ISNUMBER($I$1267),$B$677=1),$I$1267,HLOOKUP(INDIRECT(ADDRESS(2,COLUMN())),OFFSET($BN$2,0,0,ROW()-1,60),ROW()-1,FALSE))</f>
        <v>-1.491778539</v>
      </c>
      <c r="J609">
        <f ca="1">IF(AND(ISNUMBER($J$1267),$B$677=1),$J$1267,HLOOKUP(INDIRECT(ADDRESS(2,COLUMN())),OFFSET($BN$2,0,0,ROW()-1,60),ROW()-1,FALSE))</f>
        <v>-0.80292131099999997</v>
      </c>
      <c r="K609">
        <f ca="1">IF(AND(ISNUMBER($K$1267),$B$677=1),$K$1267,HLOOKUP(INDIRECT(ADDRESS(2,COLUMN())),OFFSET($BN$2,0,0,ROW()-1,60),ROW()-1,FALSE))</f>
        <v>6.6742801839999997</v>
      </c>
      <c r="L609">
        <f ca="1">IF(AND(ISNUMBER($L$1267),$B$677=1),$L$1267,HLOOKUP(INDIRECT(ADDRESS(2,COLUMN())),OFFSET($BN$2,0,0,ROW()-1,60),ROW()-1,FALSE))</f>
        <v>18.127385990000001</v>
      </c>
      <c r="M609">
        <f ca="1">IF(AND(ISNUMBER($M$1267),$B$677=1),$M$1267,HLOOKUP(INDIRECT(ADDRESS(2,COLUMN())),OFFSET($BN$2,0,0,ROW()-1,60),ROW()-1,FALSE))</f>
        <v>15.254875029999999</v>
      </c>
      <c r="N609">
        <f ca="1">IF(AND(ISNUMBER($N$1267),$B$677=1),$N$1267,HLOOKUP(INDIRECT(ADDRESS(2,COLUMN())),OFFSET($BN$2,0,0,ROW()-1,60),ROW()-1,FALSE))</f>
        <v>20.38834889</v>
      </c>
      <c r="O609">
        <f ca="1">IF(AND(ISNUMBER($O$1267),$B$677=1),$O$1267,HLOOKUP(INDIRECT(ADDRESS(2,COLUMN())),OFFSET($BN$2,0,0,ROW()-1,60),ROW()-1,FALSE))</f>
        <v>18.873799760000001</v>
      </c>
      <c r="P609">
        <f ca="1">IF(AND(ISNUMBER($P$1267),$B$677=1),$P$1267,HLOOKUP(INDIRECT(ADDRESS(2,COLUMN())),OFFSET($BN$2,0,0,ROW()-1,60),ROW()-1,FALSE))</f>
        <v>16.69427245</v>
      </c>
      <c r="Q609">
        <f ca="1">IF(AND(ISNUMBER($Q$1267),$B$677=1),$Q$1267,HLOOKUP(INDIRECT(ADDRESS(2,COLUMN())),OFFSET($BN$2,0,0,ROW()-1,60),ROW()-1,FALSE))</f>
        <v>9.0727520330000004</v>
      </c>
      <c r="R609">
        <f ca="1">IF(AND(ISNUMBER($R$1267),$B$677=1),$R$1267,HLOOKUP(INDIRECT(ADDRESS(2,COLUMN())),OFFSET($BN$2,0,0,ROW()-1,60),ROW()-1,FALSE))</f>
        <v>6.8419647570000004</v>
      </c>
      <c r="S609">
        <f ca="1">IF(AND(ISNUMBER($S$1267),$B$677=1),$S$1267,HLOOKUP(INDIRECT(ADDRESS(2,COLUMN())),OFFSET($BN$2,0,0,ROW()-1,60),ROW()-1,FALSE))</f>
        <v>-6.2101558519999998</v>
      </c>
      <c r="T609">
        <f ca="1">IF(AND(ISNUMBER($T$1267),$B$677=1),$T$1267,HLOOKUP(INDIRECT(ADDRESS(2,COLUMN())),OFFSET($BN$2,0,0,ROW()-1,60),ROW()-1,FALSE))</f>
        <v>-10.757790740000001</v>
      </c>
      <c r="U609">
        <f ca="1">IF(AND(ISNUMBER($U$1267),$B$677=1),$U$1267,HLOOKUP(INDIRECT(ADDRESS(2,COLUMN())),OFFSET($BN$2,0,0,ROW()-1,60),ROW()-1,FALSE))</f>
        <v>-5.7955652779999998</v>
      </c>
      <c r="V609">
        <f ca="1">IF(AND(ISNUMBER($V$1267),$B$677=1),$V$1267,HLOOKUP(INDIRECT(ADDRESS(2,COLUMN())),OFFSET($BN$2,0,0,ROW()-1,60),ROW()-1,FALSE))</f>
        <v>-6.6909136389999997</v>
      </c>
      <c r="W609">
        <f ca="1">IF(AND(ISNUMBER($W$1267),$B$677=1),$W$1267,HLOOKUP(INDIRECT(ADDRESS(2,COLUMN())),OFFSET($BN$2,0,0,ROW()-1,60),ROW()-1,FALSE))</f>
        <v>-4.2610691300000001</v>
      </c>
      <c r="X609">
        <f ca="1">IF(AND(ISNUMBER($X$1267),$B$677=1),$X$1267,HLOOKUP(INDIRECT(ADDRESS(2,COLUMN())),OFFSET($BN$2,0,0,ROW()-1,60),ROW()-1,FALSE))</f>
        <v>-8.1299768829999994</v>
      </c>
      <c r="Y609">
        <f ca="1">IF(AND(ISNUMBER($Y$1267),$B$677=1),$Y$1267,HLOOKUP(INDIRECT(ADDRESS(2,COLUMN())),OFFSET($BN$2,0,0,ROW()-1,60),ROW()-1,FALSE))</f>
        <v>-6.538415788</v>
      </c>
      <c r="Z609">
        <f ca="1">IF(AND(ISNUMBER($Z$1267),$B$677=1),$Z$1267,HLOOKUP(INDIRECT(ADDRESS(2,COLUMN())),OFFSET($BN$2,0,0,ROW()-1,60),ROW()-1,FALSE))</f>
        <v>-7.3334504110000003</v>
      </c>
      <c r="AA609">
        <f ca="1">IF(AND(ISNUMBER($AA$1267),$B$677=1),$AA$1267,HLOOKUP(INDIRECT(ADDRESS(2,COLUMN())),OFFSET($BN$2,0,0,ROW()-1,60),ROW()-1,FALSE))</f>
        <v>-5.3909935920000001</v>
      </c>
      <c r="AB609">
        <f ca="1">IF(AND(ISNUMBER($AB$1267),$B$677=1),$AB$1267,HLOOKUP(INDIRECT(ADDRESS(2,COLUMN())),OFFSET($BN$2,0,0,ROW()-1,60),ROW()-1,FALSE))</f>
        <v>-2.8498555250000002</v>
      </c>
      <c r="AC609">
        <f ca="1">IF(AND(ISNUMBER($AC$1267),$B$677=1),$AC$1267,HLOOKUP(INDIRECT(ADDRESS(2,COLUMN())),OFFSET($BN$2,0,0,ROW()-1,60),ROW()-1,FALSE))</f>
        <v>-7.2095805999999998E-2</v>
      </c>
      <c r="AD609">
        <f ca="1">IF(AND(ISNUMBER($AD$1267),$B$677=1),$AD$1267,HLOOKUP(INDIRECT(ADDRESS(2,COLUMN())),OFFSET($BN$2,0,0,ROW()-1,60),ROW()-1,FALSE))</f>
        <v>2.309106152</v>
      </c>
      <c r="AE609">
        <f ca="1">IF(AND(ISNUMBER($AE$1267),$B$677=1),$AE$1267,HLOOKUP(INDIRECT(ADDRESS(2,COLUMN())),OFFSET($BN$2,0,0,ROW()-1,60),ROW()-1,FALSE))</f>
        <v>1.6334248549999999</v>
      </c>
      <c r="AF609">
        <f ca="1">IF(AND(ISNUMBER($AF$1267),$B$677=1),$AF$1267,HLOOKUP(INDIRECT(ADDRESS(2,COLUMN())),OFFSET($BN$2,0,0,ROW()-1,60),ROW()-1,FALSE))</f>
        <v>-2.0513993789999998</v>
      </c>
      <c r="AG609">
        <f ca="1">IF(AND(ISNUMBER($AG$1267),$B$677=1),$AG$1267,HLOOKUP(INDIRECT(ADDRESS(2,COLUMN())),OFFSET($BN$2,0,0,ROW()-1,60),ROW()-1,FALSE))</f>
        <v>-8.94830462</v>
      </c>
      <c r="AH609">
        <f ca="1">IF(AND(ISNUMBER($AH$1267),$B$677=1),$AH$1267,HLOOKUP(INDIRECT(ADDRESS(2,COLUMN())),OFFSET($BN$2,0,0,ROW()-1,60),ROW()-1,FALSE))</f>
        <v>-3.9371794489999998</v>
      </c>
      <c r="AI609">
        <f ca="1">IF(AND(ISNUMBER($AI$1267),$B$677=1),$AI$1267,HLOOKUP(INDIRECT(ADDRESS(2,COLUMN())),OFFSET($BN$2,0,0,ROW()-1,60),ROW()-1,FALSE))</f>
        <v>4.1407021000000002E-2</v>
      </c>
      <c r="AJ609">
        <f ca="1">IF(AND(ISNUMBER($AJ$1267),$B$677=1),$AJ$1267,HLOOKUP(INDIRECT(ADDRESS(2,COLUMN())),OFFSET($BN$2,0,0,ROW()-1,60),ROW()-1,FALSE))</f>
        <v>-0.65635732899999999</v>
      </c>
      <c r="AK609">
        <f ca="1">IF(AND(ISNUMBER($AK$1267),$B$677=1),$AK$1267,HLOOKUP(INDIRECT(ADDRESS(2,COLUMN())),OFFSET($BN$2,0,0,ROW()-1,60),ROW()-1,FALSE))</f>
        <v>7.5750458460000001</v>
      </c>
      <c r="AL609">
        <f ca="1">IF(AND(ISNUMBER($AL$1267),$B$677=1),$AL$1267,HLOOKUP(INDIRECT(ADDRESS(2,COLUMN())),OFFSET($BN$2,0,0,ROW()-1,60),ROW()-1,FALSE))</f>
        <v>-2.503174665</v>
      </c>
      <c r="AM609">
        <f ca="1">IF(AND(ISNUMBER($AM$1267),$B$677=1),$AM$1267,HLOOKUP(INDIRECT(ADDRESS(2,COLUMN())),OFFSET($BN$2,0,0,ROW()-1,60),ROW()-1,FALSE))</f>
        <v>-8.5749533420000006</v>
      </c>
      <c r="AN609">
        <f ca="1">IF(AND(ISNUMBER($AN$1267),$B$677=1),$AN$1267,HLOOKUP(INDIRECT(ADDRESS(2,COLUMN())),OFFSET($BN$2,0,0,ROW()-1,60),ROW()-1,FALSE))</f>
        <v>-5.3051112629999997</v>
      </c>
      <c r="AO609">
        <f ca="1">IF(AND(ISNUMBER($AO$1267),$B$677=1),$AO$1267,HLOOKUP(INDIRECT(ADDRESS(2,COLUMN())),OFFSET($BN$2,0,0,ROW()-1,60),ROW()-1,FALSE))</f>
        <v>3.6230353640000001</v>
      </c>
      <c r="AP609">
        <f ca="1">IF(AND(ISNUMBER($AP$1267),$B$677=1),$AP$1267,HLOOKUP(INDIRECT(ADDRESS(2,COLUMN())),OFFSET($BN$2,0,0,ROW()-1,60),ROW()-1,FALSE))</f>
        <v>13.640172209999999</v>
      </c>
      <c r="AQ609">
        <f ca="1">IF(AND(ISNUMBER($AQ$1267),$B$677=1),$AQ$1267,HLOOKUP(INDIRECT(ADDRESS(2,COLUMN())),OFFSET($BN$2,0,0,ROW()-1,60),ROW()-1,FALSE))</f>
        <v>11.22937349</v>
      </c>
      <c r="AR609">
        <f ca="1">IF(AND(ISNUMBER($AR$1267),$B$677=1),$AR$1267,HLOOKUP(INDIRECT(ADDRESS(2,COLUMN())),OFFSET($BN$2,0,0,ROW()-1,60),ROW()-1,FALSE))</f>
        <v>12.123440629999999</v>
      </c>
      <c r="AS609">
        <f ca="1">IF(AND(ISNUMBER($AS$1267),$B$677=1),$AS$1267,HLOOKUP(INDIRECT(ADDRESS(2,COLUMN())),OFFSET($BN$2,0,0,ROW()-1,60),ROW()-1,FALSE))</f>
        <v>-5.8239494350000003</v>
      </c>
      <c r="AT609">
        <f ca="1">IF(AND(ISNUMBER($AT$1267),$B$677=1),$AT$1267,HLOOKUP(INDIRECT(ADDRESS(2,COLUMN())),OFFSET($BN$2,0,0,ROW()-1,60),ROW()-1,FALSE))</f>
        <v>-8.7461276439999995</v>
      </c>
      <c r="AU609">
        <f ca="1">IF(AND(ISNUMBER($AU$1267),$B$677=1),$AU$1267,HLOOKUP(INDIRECT(ADDRESS(2,COLUMN())),OFFSET($BN$2,0,0,ROW()-1,60),ROW()-1,FALSE))</f>
        <v>-23.189304580000002</v>
      </c>
      <c r="AV609" t="str">
        <f ca="1">IF(AND(ISNUMBER($AV$1267),$B$677=1),$AV$1267,HLOOKUP(INDIRECT(ADDRESS(2,COLUMN())),OFFSET($BN$2,0,0,ROW()-1,60),ROW()-1,FALSE))</f>
        <v/>
      </c>
      <c r="AW609" t="str">
        <f ca="1">IF(AND(ISNUMBER($AW$1267),$B$677=1),$AW$1267,HLOOKUP(INDIRECT(ADDRESS(2,COLUMN())),OFFSET($BN$2,0,0,ROW()-1,60),ROW()-1,FALSE))</f>
        <v/>
      </c>
      <c r="AX609" t="str">
        <f ca="1">IF(AND(ISNUMBER($AX$1267),$B$677=1),$AX$1267,HLOOKUP(INDIRECT(ADDRESS(2,COLUMN())),OFFSET($BN$2,0,0,ROW()-1,60),ROW()-1,FALSE))</f>
        <v/>
      </c>
      <c r="AY609" t="str">
        <f ca="1">IF(AND(ISNUMBER($AY$1267),$B$677=1),$AY$1267,HLOOKUP(INDIRECT(ADDRESS(2,COLUMN())),OFFSET($BN$2,0,0,ROW()-1,60),ROW()-1,FALSE))</f>
        <v/>
      </c>
      <c r="AZ609" t="str">
        <f ca="1">IF(AND(ISNUMBER($AZ$1267),$B$677=1),$AZ$1267,HLOOKUP(INDIRECT(ADDRESS(2,COLUMN())),OFFSET($BN$2,0,0,ROW()-1,60),ROW()-1,FALSE))</f>
        <v/>
      </c>
      <c r="BA609" t="str">
        <f ca="1">IF(AND(ISNUMBER($BA$1267),$B$677=1),$BA$1267,HLOOKUP(INDIRECT(ADDRESS(2,COLUMN())),OFFSET($BN$2,0,0,ROW()-1,60),ROW()-1,FALSE))</f>
        <v/>
      </c>
      <c r="BB609" t="str">
        <f ca="1">IF(AND(ISNUMBER($BB$1267),$B$677=1),$BB$1267,HLOOKUP(INDIRECT(ADDRESS(2,COLUMN())),OFFSET($BN$2,0,0,ROW()-1,60),ROW()-1,FALSE))</f>
        <v/>
      </c>
      <c r="BC609" t="str">
        <f ca="1">IF(AND(ISNUMBER($BC$1267),$B$677=1),$BC$1267,HLOOKUP(INDIRECT(ADDRESS(2,COLUMN())),OFFSET($BN$2,0,0,ROW()-1,60),ROW()-1,FALSE))</f>
        <v/>
      </c>
      <c r="BD609" t="str">
        <f ca="1">IF(AND(ISNUMBER($BD$1267),$B$677=1),$BD$1267,HLOOKUP(INDIRECT(ADDRESS(2,COLUMN())),OFFSET($BN$2,0,0,ROW()-1,60),ROW()-1,FALSE))</f>
        <v/>
      </c>
      <c r="BE609" t="str">
        <f ca="1">IF(AND(ISNUMBER($BE$1267),$B$677=1),$BE$1267,HLOOKUP(INDIRECT(ADDRESS(2,COLUMN())),OFFSET($BN$2,0,0,ROW()-1,60),ROW()-1,FALSE))</f>
        <v/>
      </c>
      <c r="BF609" t="str">
        <f ca="1">IF(AND(ISNUMBER($BF$1267),$B$677=1),$BF$1267,HLOOKUP(INDIRECT(ADDRESS(2,COLUMN())),OFFSET($BN$2,0,0,ROW()-1,60),ROW()-1,FALSE))</f>
        <v/>
      </c>
      <c r="BG609" t="str">
        <f ca="1">IF(AND(ISNUMBER($BG$1267),$B$677=1),$BG$1267,HLOOKUP(INDIRECT(ADDRESS(2,COLUMN())),OFFSET($BN$2,0,0,ROW()-1,60),ROW()-1,FALSE))</f>
        <v/>
      </c>
      <c r="BH609" t="str">
        <f ca="1">IF(AND(ISNUMBER($BH$1267),$B$677=1),$BH$1267,HLOOKUP(INDIRECT(ADDRESS(2,COLUMN())),OFFSET($BN$2,0,0,ROW()-1,60),ROW()-1,FALSE))</f>
        <v/>
      </c>
      <c r="BI609" t="str">
        <f ca="1">IF(AND(ISNUMBER($BI$1267),$B$677=1),$BI$1267,HLOOKUP(INDIRECT(ADDRESS(2,COLUMN())),OFFSET($BN$2,0,0,ROW()-1,60),ROW()-1,FALSE))</f>
        <v/>
      </c>
      <c r="BJ609" t="str">
        <f ca="1">IF(AND(ISNUMBER($BJ$1267),$B$677=1),$BJ$1267,HLOOKUP(INDIRECT(ADDRESS(2,COLUMN())),OFFSET($BN$2,0,0,ROW()-1,60),ROW()-1,FALSE))</f>
        <v/>
      </c>
      <c r="BK609" t="str">
        <f ca="1">IF(AND(ISNUMBER($BK$1267),$B$677=1),$BK$1267,HLOOKUP(INDIRECT(ADDRESS(2,COLUMN())),OFFSET($BN$2,0,0,ROW()-1,60),ROW()-1,FALSE))</f>
        <v/>
      </c>
      <c r="BL609" t="str">
        <f ca="1">IF(AND(ISNUMBER($BL$1267),$B$677=1),$BL$1267,HLOOKUP(INDIRECT(ADDRESS(2,COLUMN())),OFFSET($BN$2,0,0,ROW()-1,60),ROW()-1,FALSE))</f>
        <v/>
      </c>
      <c r="BM609" t="str">
        <f ca="1">IF(AND(ISNUMBER($BM$1267),$B$677=1),$BM$1267,HLOOKUP(INDIRECT(ADDRESS(2,COLUMN())),OFFSET($BN$2,0,0,ROW()-1,60),ROW()-1,FALSE))</f>
        <v/>
      </c>
      <c r="BN609">
        <f>-7.815113786</f>
        <v>-7.8151137860000004</v>
      </c>
      <c r="BO609">
        <f>-7.83465157</f>
        <v>-7.8346515700000001</v>
      </c>
      <c r="BP609">
        <f>-7.643562508</f>
        <v>-7.6435625079999996</v>
      </c>
      <c r="BQ609">
        <f>-1.491778539</f>
        <v>-1.491778539</v>
      </c>
      <c r="BR609">
        <f>-0.802921311</f>
        <v>-0.80292131099999997</v>
      </c>
      <c r="BS609">
        <f>6.674280184</f>
        <v>6.6742801839999997</v>
      </c>
      <c r="BT609">
        <f>18.12738599</f>
        <v>18.127385990000001</v>
      </c>
      <c r="BU609">
        <f>15.25487503</f>
        <v>15.254875029999999</v>
      </c>
      <c r="BV609">
        <f>20.38834889</f>
        <v>20.38834889</v>
      </c>
      <c r="BW609">
        <f>18.87379976</f>
        <v>18.873799760000001</v>
      </c>
      <c r="BX609">
        <f>16.69427245</f>
        <v>16.69427245</v>
      </c>
      <c r="BY609">
        <f>9.072752033</f>
        <v>9.0727520330000004</v>
      </c>
      <c r="BZ609">
        <f>6.841964757</f>
        <v>6.8419647570000004</v>
      </c>
      <c r="CA609">
        <f>-6.210155852</f>
        <v>-6.2101558519999998</v>
      </c>
      <c r="CB609">
        <f>-10.75779074</f>
        <v>-10.757790740000001</v>
      </c>
      <c r="CC609">
        <f>-5.795565278</f>
        <v>-5.7955652779999998</v>
      </c>
      <c r="CD609">
        <f>-6.690913639</f>
        <v>-6.6909136389999997</v>
      </c>
      <c r="CE609">
        <f>-4.26106913</f>
        <v>-4.2610691300000001</v>
      </c>
      <c r="CF609">
        <f>-8.129976883</f>
        <v>-8.1299768829999994</v>
      </c>
      <c r="CG609">
        <f>-6.538415788</f>
        <v>-6.538415788</v>
      </c>
      <c r="CH609">
        <f>-7.333450411</f>
        <v>-7.3334504110000003</v>
      </c>
      <c r="CI609">
        <f>-5.390993592</f>
        <v>-5.3909935920000001</v>
      </c>
      <c r="CJ609">
        <f>-2.849855525</f>
        <v>-2.8498555250000002</v>
      </c>
      <c r="CK609">
        <f>-0.072095806</f>
        <v>-7.2095805999999998E-2</v>
      </c>
      <c r="CL609">
        <f>2.309106152</f>
        <v>2.309106152</v>
      </c>
      <c r="CM609">
        <f>1.633424855</f>
        <v>1.6334248549999999</v>
      </c>
      <c r="CN609">
        <f>-2.051399379</f>
        <v>-2.0513993789999998</v>
      </c>
      <c r="CO609">
        <f>-8.94830462</f>
        <v>-8.94830462</v>
      </c>
      <c r="CP609">
        <f>-3.937179449</f>
        <v>-3.9371794489999998</v>
      </c>
      <c r="CQ609">
        <f>0.041407021</f>
        <v>4.1407021000000002E-2</v>
      </c>
      <c r="CR609">
        <f>-0.656357329</f>
        <v>-0.65635732899999999</v>
      </c>
      <c r="CS609">
        <f>7.575045846</f>
        <v>7.5750458460000001</v>
      </c>
      <c r="CT609">
        <f>-2.503174665</f>
        <v>-2.503174665</v>
      </c>
      <c r="CU609">
        <f>-8.574953342</f>
        <v>-8.5749533420000006</v>
      </c>
      <c r="CV609">
        <f>-5.305111263</f>
        <v>-5.3051112629999997</v>
      </c>
      <c r="CW609">
        <f>3.623035364</f>
        <v>3.6230353640000001</v>
      </c>
      <c r="CX609">
        <f>13.64017221</f>
        <v>13.640172209999999</v>
      </c>
      <c r="CY609">
        <f>11.22937349</f>
        <v>11.22937349</v>
      </c>
      <c r="CZ609">
        <f>12.12344063</f>
        <v>12.123440629999999</v>
      </c>
      <c r="DA609">
        <f>-5.823949435</f>
        <v>-5.8239494350000003</v>
      </c>
      <c r="DB609">
        <f>-8.746127644</f>
        <v>-8.7461276439999995</v>
      </c>
      <c r="DC609">
        <f>-23.18930458</f>
        <v>-23.189304580000002</v>
      </c>
      <c r="DD609" t="str">
        <f>""</f>
        <v/>
      </c>
      <c r="DE609" t="str">
        <f>""</f>
        <v/>
      </c>
      <c r="DF609" t="str">
        <f>""</f>
        <v/>
      </c>
      <c r="DG609" t="str">
        <f>""</f>
        <v/>
      </c>
      <c r="DH609" t="str">
        <f>""</f>
        <v/>
      </c>
      <c r="DI609" t="str">
        <f>""</f>
        <v/>
      </c>
      <c r="DJ609" t="str">
        <f>""</f>
        <v/>
      </c>
      <c r="DK609" t="str">
        <f>""</f>
        <v/>
      </c>
      <c r="DL609" t="str">
        <f>""</f>
        <v/>
      </c>
      <c r="DM609" t="str">
        <f>""</f>
        <v/>
      </c>
      <c r="DN609" t="str">
        <f>""</f>
        <v/>
      </c>
      <c r="DO609" t="str">
        <f>""</f>
        <v/>
      </c>
      <c r="DP609" t="str">
        <f>""</f>
        <v/>
      </c>
      <c r="DQ609" t="str">
        <f>""</f>
        <v/>
      </c>
      <c r="DR609" t="str">
        <f>""</f>
        <v/>
      </c>
      <c r="DS609" t="str">
        <f>""</f>
        <v/>
      </c>
      <c r="DT609" t="str">
        <f>""</f>
        <v/>
      </c>
      <c r="DU609" t="str">
        <f>""</f>
        <v/>
      </c>
    </row>
    <row r="610" spans="1:125" x14ac:dyDescent="0.25">
      <c r="A610" t="str">
        <f>"    Sollers PJSC"</f>
        <v xml:space="preserve">    Sollers PJSC</v>
      </c>
      <c r="B610" t="str">
        <f>"SVAV RM Equity"</f>
        <v>SVAV RM Equity</v>
      </c>
      <c r="C610" t="str">
        <f t="shared" si="42"/>
        <v>RX072</v>
      </c>
      <c r="D610" t="str">
        <f t="shared" si="43"/>
        <v>FREE_CASH_FLOW_YIELD</v>
      </c>
      <c r="E610" t="str">
        <f t="shared" si="44"/>
        <v>Dynamic</v>
      </c>
      <c r="F610" t="str">
        <f ca="1">IF(AND(ISNUMBER($F$1268),$B$677=1),$F$1268,HLOOKUP(INDIRECT(ADDRESS(2,COLUMN())),OFFSET($BN$2,0,0,ROW()-1,60),ROW()-1,FALSE))</f>
        <v/>
      </c>
      <c r="G610" t="str">
        <f ca="1">IF(AND(ISNUMBER($G$1268),$B$677=1),$G$1268,HLOOKUP(INDIRECT(ADDRESS(2,COLUMN())),OFFSET($BN$2,0,0,ROW()-1,60),ROW()-1,FALSE))</f>
        <v/>
      </c>
      <c r="H610" t="str">
        <f ca="1">IF(AND(ISNUMBER($H$1268),$B$677=1),$H$1268,HLOOKUP(INDIRECT(ADDRESS(2,COLUMN())),OFFSET($BN$2,0,0,ROW()-1,60),ROW()-1,FALSE))</f>
        <v/>
      </c>
      <c r="I610" t="str">
        <f ca="1">IF(AND(ISNUMBER($I$1268),$B$677=1),$I$1268,HLOOKUP(INDIRECT(ADDRESS(2,COLUMN())),OFFSET($BN$2,0,0,ROW()-1,60),ROW()-1,FALSE))</f>
        <v/>
      </c>
      <c r="J610" t="str">
        <f ca="1">IF(AND(ISNUMBER($J$1268),$B$677=1),$J$1268,HLOOKUP(INDIRECT(ADDRESS(2,COLUMN())),OFFSET($BN$2,0,0,ROW()-1,60),ROW()-1,FALSE))</f>
        <v/>
      </c>
      <c r="K610" t="str">
        <f ca="1">IF(AND(ISNUMBER($K$1268),$B$677=1),$K$1268,HLOOKUP(INDIRECT(ADDRESS(2,COLUMN())),OFFSET($BN$2,0,0,ROW()-1,60),ROW()-1,FALSE))</f>
        <v/>
      </c>
      <c r="L610" t="str">
        <f ca="1">IF(AND(ISNUMBER($L$1268),$B$677=1),$L$1268,HLOOKUP(INDIRECT(ADDRESS(2,COLUMN())),OFFSET($BN$2,0,0,ROW()-1,60),ROW()-1,FALSE))</f>
        <v/>
      </c>
      <c r="M610" t="str">
        <f ca="1">IF(AND(ISNUMBER($M$1268),$B$677=1),$M$1268,HLOOKUP(INDIRECT(ADDRESS(2,COLUMN())),OFFSET($BN$2,0,0,ROW()-1,60),ROW()-1,FALSE))</f>
        <v/>
      </c>
      <c r="N610" t="str">
        <f ca="1">IF(AND(ISNUMBER($N$1268),$B$677=1),$N$1268,HLOOKUP(INDIRECT(ADDRESS(2,COLUMN())),OFFSET($BN$2,0,0,ROW()-1,60),ROW()-1,FALSE))</f>
        <v/>
      </c>
      <c r="O610" t="str">
        <f ca="1">IF(AND(ISNUMBER($O$1268),$B$677=1),$O$1268,HLOOKUP(INDIRECT(ADDRESS(2,COLUMN())),OFFSET($BN$2,0,0,ROW()-1,60),ROW()-1,FALSE))</f>
        <v/>
      </c>
      <c r="P610" t="str">
        <f ca="1">IF(AND(ISNUMBER($P$1268),$B$677=1),$P$1268,HLOOKUP(INDIRECT(ADDRESS(2,COLUMN())),OFFSET($BN$2,0,0,ROW()-1,60),ROW()-1,FALSE))</f>
        <v/>
      </c>
      <c r="Q610" t="str">
        <f ca="1">IF(AND(ISNUMBER($Q$1268),$B$677=1),$Q$1268,HLOOKUP(INDIRECT(ADDRESS(2,COLUMN())),OFFSET($BN$2,0,0,ROW()-1,60),ROW()-1,FALSE))</f>
        <v/>
      </c>
      <c r="R610" t="str">
        <f ca="1">IF(AND(ISNUMBER($R$1268),$B$677=1),$R$1268,HLOOKUP(INDIRECT(ADDRESS(2,COLUMN())),OFFSET($BN$2,0,0,ROW()-1,60),ROW()-1,FALSE))</f>
        <v/>
      </c>
      <c r="S610" t="str">
        <f ca="1">IF(AND(ISNUMBER($S$1268),$B$677=1),$S$1268,HLOOKUP(INDIRECT(ADDRESS(2,COLUMN())),OFFSET($BN$2,0,0,ROW()-1,60),ROW()-1,FALSE))</f>
        <v/>
      </c>
      <c r="T610" t="str">
        <f ca="1">IF(AND(ISNUMBER($T$1268),$B$677=1),$T$1268,HLOOKUP(INDIRECT(ADDRESS(2,COLUMN())),OFFSET($BN$2,0,0,ROW()-1,60),ROW()-1,FALSE))</f>
        <v/>
      </c>
      <c r="U610" t="str">
        <f ca="1">IF(AND(ISNUMBER($U$1268),$B$677=1),$U$1268,HLOOKUP(INDIRECT(ADDRESS(2,COLUMN())),OFFSET($BN$2,0,0,ROW()-1,60),ROW()-1,FALSE))</f>
        <v/>
      </c>
      <c r="V610" t="str">
        <f ca="1">IF(AND(ISNUMBER($V$1268),$B$677=1),$V$1268,HLOOKUP(INDIRECT(ADDRESS(2,COLUMN())),OFFSET($BN$2,0,0,ROW()-1,60),ROW()-1,FALSE))</f>
        <v/>
      </c>
      <c r="W610" t="str">
        <f ca="1">IF(AND(ISNUMBER($W$1268),$B$677=1),$W$1268,HLOOKUP(INDIRECT(ADDRESS(2,COLUMN())),OFFSET($BN$2,0,0,ROW()-1,60),ROW()-1,FALSE))</f>
        <v/>
      </c>
      <c r="X610" t="str">
        <f ca="1">IF(AND(ISNUMBER($X$1268),$B$677=1),$X$1268,HLOOKUP(INDIRECT(ADDRESS(2,COLUMN())),OFFSET($BN$2,0,0,ROW()-1,60),ROW()-1,FALSE))</f>
        <v/>
      </c>
      <c r="Y610" t="str">
        <f ca="1">IF(AND(ISNUMBER($Y$1268),$B$677=1),$Y$1268,HLOOKUP(INDIRECT(ADDRESS(2,COLUMN())),OFFSET($BN$2,0,0,ROW()-1,60),ROW()-1,FALSE))</f>
        <v/>
      </c>
      <c r="Z610" t="str">
        <f ca="1">IF(AND(ISNUMBER($Z$1268),$B$677=1),$Z$1268,HLOOKUP(INDIRECT(ADDRESS(2,COLUMN())),OFFSET($BN$2,0,0,ROW()-1,60),ROW()-1,FALSE))</f>
        <v/>
      </c>
      <c r="AA610" t="str">
        <f ca="1">IF(AND(ISNUMBER($AA$1268),$B$677=1),$AA$1268,HLOOKUP(INDIRECT(ADDRESS(2,COLUMN())),OFFSET($BN$2,0,0,ROW()-1,60),ROW()-1,FALSE))</f>
        <v/>
      </c>
      <c r="AB610" t="str">
        <f ca="1">IF(AND(ISNUMBER($AB$1268),$B$677=1),$AB$1268,HLOOKUP(INDIRECT(ADDRESS(2,COLUMN())),OFFSET($BN$2,0,0,ROW()-1,60),ROW()-1,FALSE))</f>
        <v/>
      </c>
      <c r="AC610" t="str">
        <f ca="1">IF(AND(ISNUMBER($AC$1268),$B$677=1),$AC$1268,HLOOKUP(INDIRECT(ADDRESS(2,COLUMN())),OFFSET($BN$2,0,0,ROW()-1,60),ROW()-1,FALSE))</f>
        <v/>
      </c>
      <c r="AD610" t="str">
        <f ca="1">IF(AND(ISNUMBER($AD$1268),$B$677=1),$AD$1268,HLOOKUP(INDIRECT(ADDRESS(2,COLUMN())),OFFSET($BN$2,0,0,ROW()-1,60),ROW()-1,FALSE))</f>
        <v/>
      </c>
      <c r="AE610" t="str">
        <f ca="1">IF(AND(ISNUMBER($AE$1268),$B$677=1),$AE$1268,HLOOKUP(INDIRECT(ADDRESS(2,COLUMN())),OFFSET($BN$2,0,0,ROW()-1,60),ROW()-1,FALSE))</f>
        <v/>
      </c>
      <c r="AF610" t="str">
        <f ca="1">IF(AND(ISNUMBER($AF$1268),$B$677=1),$AF$1268,HLOOKUP(INDIRECT(ADDRESS(2,COLUMN())),OFFSET($BN$2,0,0,ROW()-1,60),ROW()-1,FALSE))</f>
        <v/>
      </c>
      <c r="AG610" t="str">
        <f ca="1">IF(AND(ISNUMBER($AG$1268),$B$677=1),$AG$1268,HLOOKUP(INDIRECT(ADDRESS(2,COLUMN())),OFFSET($BN$2,0,0,ROW()-1,60),ROW()-1,FALSE))</f>
        <v/>
      </c>
      <c r="AH610" t="str">
        <f ca="1">IF(AND(ISNUMBER($AH$1268),$B$677=1),$AH$1268,HLOOKUP(INDIRECT(ADDRESS(2,COLUMN())),OFFSET($BN$2,0,0,ROW()-1,60),ROW()-1,FALSE))</f>
        <v/>
      </c>
      <c r="AI610" t="str">
        <f ca="1">IF(AND(ISNUMBER($AI$1268),$B$677=1),$AI$1268,HLOOKUP(INDIRECT(ADDRESS(2,COLUMN())),OFFSET($BN$2,0,0,ROW()-1,60),ROW()-1,FALSE))</f>
        <v/>
      </c>
      <c r="AJ610" t="str">
        <f ca="1">IF(AND(ISNUMBER($AJ$1268),$B$677=1),$AJ$1268,HLOOKUP(INDIRECT(ADDRESS(2,COLUMN())),OFFSET($BN$2,0,0,ROW()-1,60),ROW()-1,FALSE))</f>
        <v/>
      </c>
      <c r="AK610" t="str">
        <f ca="1">IF(AND(ISNUMBER($AK$1268),$B$677=1),$AK$1268,HLOOKUP(INDIRECT(ADDRESS(2,COLUMN())),OFFSET($BN$2,0,0,ROW()-1,60),ROW()-1,FALSE))</f>
        <v/>
      </c>
      <c r="AL610" t="str">
        <f ca="1">IF(AND(ISNUMBER($AL$1268),$B$677=1),$AL$1268,HLOOKUP(INDIRECT(ADDRESS(2,COLUMN())),OFFSET($BN$2,0,0,ROW()-1,60),ROW()-1,FALSE))</f>
        <v/>
      </c>
      <c r="AM610" t="str">
        <f ca="1">IF(AND(ISNUMBER($AM$1268),$B$677=1),$AM$1268,HLOOKUP(INDIRECT(ADDRESS(2,COLUMN())),OFFSET($BN$2,0,0,ROW()-1,60),ROW()-1,FALSE))</f>
        <v/>
      </c>
      <c r="AN610" t="str">
        <f ca="1">IF(AND(ISNUMBER($AN$1268),$B$677=1),$AN$1268,HLOOKUP(INDIRECT(ADDRESS(2,COLUMN())),OFFSET($BN$2,0,0,ROW()-1,60),ROW()-1,FALSE))</f>
        <v/>
      </c>
      <c r="AO610" t="str">
        <f ca="1">IF(AND(ISNUMBER($AO$1268),$B$677=1),$AO$1268,HLOOKUP(INDIRECT(ADDRESS(2,COLUMN())),OFFSET($BN$2,0,0,ROW()-1,60),ROW()-1,FALSE))</f>
        <v/>
      </c>
      <c r="AP610" t="str">
        <f ca="1">IF(AND(ISNUMBER($AP$1268),$B$677=1),$AP$1268,HLOOKUP(INDIRECT(ADDRESS(2,COLUMN())),OFFSET($BN$2,0,0,ROW()-1,60),ROW()-1,FALSE))</f>
        <v/>
      </c>
      <c r="AQ610" t="str">
        <f ca="1">IF(AND(ISNUMBER($AQ$1268),$B$677=1),$AQ$1268,HLOOKUP(INDIRECT(ADDRESS(2,COLUMN())),OFFSET($BN$2,0,0,ROW()-1,60),ROW()-1,FALSE))</f>
        <v/>
      </c>
      <c r="AR610" t="str">
        <f ca="1">IF(AND(ISNUMBER($AR$1268),$B$677=1),$AR$1268,HLOOKUP(INDIRECT(ADDRESS(2,COLUMN())),OFFSET($BN$2,0,0,ROW()-1,60),ROW()-1,FALSE))</f>
        <v/>
      </c>
      <c r="AS610" t="str">
        <f ca="1">IF(AND(ISNUMBER($AS$1268),$B$677=1),$AS$1268,HLOOKUP(INDIRECT(ADDRESS(2,COLUMN())),OFFSET($BN$2,0,0,ROW()-1,60),ROW()-1,FALSE))</f>
        <v/>
      </c>
      <c r="AT610" t="str">
        <f ca="1">IF(AND(ISNUMBER($AT$1268),$B$677=1),$AT$1268,HLOOKUP(INDIRECT(ADDRESS(2,COLUMN())),OFFSET($BN$2,0,0,ROW()-1,60),ROW()-1,FALSE))</f>
        <v/>
      </c>
      <c r="AU610" t="str">
        <f ca="1">IF(AND(ISNUMBER($AU$1268),$B$677=1),$AU$1268,HLOOKUP(INDIRECT(ADDRESS(2,COLUMN())),OFFSET($BN$2,0,0,ROW()-1,60),ROW()-1,FALSE))</f>
        <v/>
      </c>
      <c r="AV610" t="str">
        <f ca="1">IF(AND(ISNUMBER($AV$1268),$B$677=1),$AV$1268,HLOOKUP(INDIRECT(ADDRESS(2,COLUMN())),OFFSET($BN$2,0,0,ROW()-1,60),ROW()-1,FALSE))</f>
        <v/>
      </c>
      <c r="AW610" t="str">
        <f ca="1">IF(AND(ISNUMBER($AW$1268),$B$677=1),$AW$1268,HLOOKUP(INDIRECT(ADDRESS(2,COLUMN())),OFFSET($BN$2,0,0,ROW()-1,60),ROW()-1,FALSE))</f>
        <v/>
      </c>
      <c r="AX610" t="str">
        <f ca="1">IF(AND(ISNUMBER($AX$1268),$B$677=1),$AX$1268,HLOOKUP(INDIRECT(ADDRESS(2,COLUMN())),OFFSET($BN$2,0,0,ROW()-1,60),ROW()-1,FALSE))</f>
        <v/>
      </c>
      <c r="AY610" t="str">
        <f ca="1">IF(AND(ISNUMBER($AY$1268),$B$677=1),$AY$1268,HLOOKUP(INDIRECT(ADDRESS(2,COLUMN())),OFFSET($BN$2,0,0,ROW()-1,60),ROW()-1,FALSE))</f>
        <v/>
      </c>
      <c r="AZ610" t="str">
        <f ca="1">IF(AND(ISNUMBER($AZ$1268),$B$677=1),$AZ$1268,HLOOKUP(INDIRECT(ADDRESS(2,COLUMN())),OFFSET($BN$2,0,0,ROW()-1,60),ROW()-1,FALSE))</f>
        <v/>
      </c>
      <c r="BA610" t="str">
        <f ca="1">IF(AND(ISNUMBER($BA$1268),$B$677=1),$BA$1268,HLOOKUP(INDIRECT(ADDRESS(2,COLUMN())),OFFSET($BN$2,0,0,ROW()-1,60),ROW()-1,FALSE))</f>
        <v/>
      </c>
      <c r="BB610" t="str">
        <f ca="1">IF(AND(ISNUMBER($BB$1268),$B$677=1),$BB$1268,HLOOKUP(INDIRECT(ADDRESS(2,COLUMN())),OFFSET($BN$2,0,0,ROW()-1,60),ROW()-1,FALSE))</f>
        <v/>
      </c>
      <c r="BC610" t="str">
        <f ca="1">IF(AND(ISNUMBER($BC$1268),$B$677=1),$BC$1268,HLOOKUP(INDIRECT(ADDRESS(2,COLUMN())),OFFSET($BN$2,0,0,ROW()-1,60),ROW()-1,FALSE))</f>
        <v/>
      </c>
      <c r="BD610" t="str">
        <f ca="1">IF(AND(ISNUMBER($BD$1268),$B$677=1),$BD$1268,HLOOKUP(INDIRECT(ADDRESS(2,COLUMN())),OFFSET($BN$2,0,0,ROW()-1,60),ROW()-1,FALSE))</f>
        <v/>
      </c>
      <c r="BE610" t="str">
        <f ca="1">IF(AND(ISNUMBER($BE$1268),$B$677=1),$BE$1268,HLOOKUP(INDIRECT(ADDRESS(2,COLUMN())),OFFSET($BN$2,0,0,ROW()-1,60),ROW()-1,FALSE))</f>
        <v/>
      </c>
      <c r="BF610" t="str">
        <f ca="1">IF(AND(ISNUMBER($BF$1268),$B$677=1),$BF$1268,HLOOKUP(INDIRECT(ADDRESS(2,COLUMN())),OFFSET($BN$2,0,0,ROW()-1,60),ROW()-1,FALSE))</f>
        <v/>
      </c>
      <c r="BG610" t="str">
        <f ca="1">IF(AND(ISNUMBER($BG$1268),$B$677=1),$BG$1268,HLOOKUP(INDIRECT(ADDRESS(2,COLUMN())),OFFSET($BN$2,0,0,ROW()-1,60),ROW()-1,FALSE))</f>
        <v/>
      </c>
      <c r="BH610" t="str">
        <f ca="1">IF(AND(ISNUMBER($BH$1268),$B$677=1),$BH$1268,HLOOKUP(INDIRECT(ADDRESS(2,COLUMN())),OFFSET($BN$2,0,0,ROW()-1,60),ROW()-1,FALSE))</f>
        <v/>
      </c>
      <c r="BI610" t="str">
        <f ca="1">IF(AND(ISNUMBER($BI$1268),$B$677=1),$BI$1268,HLOOKUP(INDIRECT(ADDRESS(2,COLUMN())),OFFSET($BN$2,0,0,ROW()-1,60),ROW()-1,FALSE))</f>
        <v/>
      </c>
      <c r="BJ610" t="str">
        <f ca="1">IF(AND(ISNUMBER($BJ$1268),$B$677=1),$BJ$1268,HLOOKUP(INDIRECT(ADDRESS(2,COLUMN())),OFFSET($BN$2,0,0,ROW()-1,60),ROW()-1,FALSE))</f>
        <v/>
      </c>
      <c r="BK610" t="str">
        <f ca="1">IF(AND(ISNUMBER($BK$1268),$B$677=1),$BK$1268,HLOOKUP(INDIRECT(ADDRESS(2,COLUMN())),OFFSET($BN$2,0,0,ROW()-1,60),ROW()-1,FALSE))</f>
        <v/>
      </c>
      <c r="BL610" t="str">
        <f ca="1">IF(AND(ISNUMBER($BL$1268),$B$677=1),$BL$1268,HLOOKUP(INDIRECT(ADDRESS(2,COLUMN())),OFFSET($BN$2,0,0,ROW()-1,60),ROW()-1,FALSE))</f>
        <v/>
      </c>
      <c r="BM610" t="str">
        <f ca="1">IF(AND(ISNUMBER($BM$1268),$B$677=1),$BM$1268,HLOOKUP(INDIRECT(ADDRESS(2,COLUMN())),OFFSET($BN$2,0,0,ROW()-1,60),ROW()-1,FALSE))</f>
        <v/>
      </c>
      <c r="BN610" t="str">
        <f>""</f>
        <v/>
      </c>
      <c r="BO610" t="str">
        <f>""</f>
        <v/>
      </c>
      <c r="BP610" t="str">
        <f>""</f>
        <v/>
      </c>
      <c r="BQ610" t="str">
        <f>""</f>
        <v/>
      </c>
      <c r="BR610" t="str">
        <f>""</f>
        <v/>
      </c>
      <c r="BS610" t="str">
        <f>""</f>
        <v/>
      </c>
      <c r="BT610" t="str">
        <f>""</f>
        <v/>
      </c>
      <c r="BU610" t="str">
        <f>""</f>
        <v/>
      </c>
      <c r="BV610" t="str">
        <f>""</f>
        <v/>
      </c>
      <c r="BW610" t="str">
        <f>""</f>
        <v/>
      </c>
      <c r="BX610" t="str">
        <f>""</f>
        <v/>
      </c>
      <c r="BY610" t="str">
        <f>""</f>
        <v/>
      </c>
      <c r="BZ610" t="str">
        <f>""</f>
        <v/>
      </c>
      <c r="CA610" t="str">
        <f>""</f>
        <v/>
      </c>
      <c r="CB610" t="str">
        <f>""</f>
        <v/>
      </c>
      <c r="CC610" t="str">
        <f>""</f>
        <v/>
      </c>
      <c r="CD610" t="str">
        <f>""</f>
        <v/>
      </c>
      <c r="CE610" t="str">
        <f>""</f>
        <v/>
      </c>
      <c r="CF610" t="str">
        <f>""</f>
        <v/>
      </c>
      <c r="CG610" t="str">
        <f>""</f>
        <v/>
      </c>
      <c r="CH610" t="str">
        <f>""</f>
        <v/>
      </c>
      <c r="CI610" t="str">
        <f>""</f>
        <v/>
      </c>
      <c r="CJ610" t="str">
        <f>""</f>
        <v/>
      </c>
      <c r="CK610" t="str">
        <f>""</f>
        <v/>
      </c>
      <c r="CL610" t="str">
        <f>""</f>
        <v/>
      </c>
      <c r="CM610" t="str">
        <f>""</f>
        <v/>
      </c>
      <c r="CN610" t="str">
        <f>""</f>
        <v/>
      </c>
      <c r="CO610" t="str">
        <f>""</f>
        <v/>
      </c>
      <c r="CP610" t="str">
        <f>""</f>
        <v/>
      </c>
      <c r="CQ610" t="str">
        <f>""</f>
        <v/>
      </c>
      <c r="CR610" t="str">
        <f>""</f>
        <v/>
      </c>
      <c r="CS610" t="str">
        <f>""</f>
        <v/>
      </c>
      <c r="CT610" t="str">
        <f>""</f>
        <v/>
      </c>
      <c r="CU610" t="str">
        <f>""</f>
        <v/>
      </c>
      <c r="CV610" t="str">
        <f>""</f>
        <v/>
      </c>
      <c r="CW610" t="str">
        <f>""</f>
        <v/>
      </c>
      <c r="CX610" t="str">
        <f>""</f>
        <v/>
      </c>
      <c r="CY610" t="str">
        <f>""</f>
        <v/>
      </c>
      <c r="CZ610" t="str">
        <f>""</f>
        <v/>
      </c>
      <c r="DA610" t="str">
        <f>""</f>
        <v/>
      </c>
      <c r="DB610" t="str">
        <f>""</f>
        <v/>
      </c>
      <c r="DC610" t="str">
        <f>""</f>
        <v/>
      </c>
      <c r="DD610" t="str">
        <f>""</f>
        <v/>
      </c>
      <c r="DE610" t="str">
        <f>""</f>
        <v/>
      </c>
      <c r="DF610" t="str">
        <f>""</f>
        <v/>
      </c>
      <c r="DG610" t="str">
        <f>""</f>
        <v/>
      </c>
      <c r="DH610" t="str">
        <f>""</f>
        <v/>
      </c>
      <c r="DI610" t="str">
        <f>""</f>
        <v/>
      </c>
      <c r="DJ610" t="str">
        <f>""</f>
        <v/>
      </c>
      <c r="DK610" t="str">
        <f>""</f>
        <v/>
      </c>
      <c r="DL610" t="str">
        <f>""</f>
        <v/>
      </c>
      <c r="DM610" t="str">
        <f>""</f>
        <v/>
      </c>
      <c r="DN610" t="str">
        <f>""</f>
        <v/>
      </c>
      <c r="DO610" t="str">
        <f>""</f>
        <v/>
      </c>
      <c r="DP610" t="str">
        <f>""</f>
        <v/>
      </c>
      <c r="DQ610" t="str">
        <f>""</f>
        <v/>
      </c>
      <c r="DR610" t="str">
        <f>""</f>
        <v/>
      </c>
      <c r="DS610" t="str">
        <f>""</f>
        <v/>
      </c>
      <c r="DT610" t="str">
        <f>""</f>
        <v/>
      </c>
      <c r="DU610" t="str">
        <f>""</f>
        <v/>
      </c>
    </row>
    <row r="611" spans="1:125" x14ac:dyDescent="0.25">
      <c r="A611" t="str">
        <f>"    Ssangyong Motor Co"</f>
        <v xml:space="preserve">    Ssangyong Motor Co</v>
      </c>
      <c r="B611" t="str">
        <f>"003620 KS Equity"</f>
        <v>003620 KS Equity</v>
      </c>
      <c r="C611" t="str">
        <f t="shared" si="42"/>
        <v>RX072</v>
      </c>
      <c r="D611" t="str">
        <f t="shared" si="43"/>
        <v>FREE_CASH_FLOW_YIELD</v>
      </c>
      <c r="E611" t="str">
        <f t="shared" si="44"/>
        <v>Dynamic</v>
      </c>
      <c r="F611" t="str">
        <f ca="1">IF(AND(ISNUMBER($F$1269),$B$677=1),$F$1269,HLOOKUP(INDIRECT(ADDRESS(2,COLUMN())),OFFSET($BN$2,0,0,ROW()-1,60),ROW()-1,FALSE))</f>
        <v/>
      </c>
      <c r="G611">
        <f ca="1">IF(AND(ISNUMBER($G$1269),$B$677=1),$G$1269,HLOOKUP(INDIRECT(ADDRESS(2,COLUMN())),OFFSET($BN$2,0,0,ROW()-1,60),ROW()-1,FALSE))</f>
        <v>32.176849369999999</v>
      </c>
      <c r="H611">
        <f ca="1">IF(AND(ISNUMBER($H$1269),$B$677=1),$H$1269,HLOOKUP(INDIRECT(ADDRESS(2,COLUMN())),OFFSET($BN$2,0,0,ROW()-1,60),ROW()-1,FALSE))</f>
        <v>27.771475689999999</v>
      </c>
      <c r="I611">
        <f ca="1">IF(AND(ISNUMBER($I$1269),$B$677=1),$I$1269,HLOOKUP(INDIRECT(ADDRESS(2,COLUMN())),OFFSET($BN$2,0,0,ROW()-1,60),ROW()-1,FALSE))</f>
        <v>-1.558685066</v>
      </c>
      <c r="J611">
        <f ca="1">IF(AND(ISNUMBER($J$1269),$B$677=1),$J$1269,HLOOKUP(INDIRECT(ADDRESS(2,COLUMN())),OFFSET($BN$2,0,0,ROW()-1,60),ROW()-1,FALSE))</f>
        <v>14.673095010000001</v>
      </c>
      <c r="K611">
        <f ca="1">IF(AND(ISNUMBER($K$1269),$B$677=1),$K$1269,HLOOKUP(INDIRECT(ADDRESS(2,COLUMN())),OFFSET($BN$2,0,0,ROW()-1,60),ROW()-1,FALSE))</f>
        <v>6.609641549</v>
      </c>
      <c r="L611">
        <f ca="1">IF(AND(ISNUMBER($L$1269),$B$677=1),$L$1269,HLOOKUP(INDIRECT(ADDRESS(2,COLUMN())),OFFSET($BN$2,0,0,ROW()-1,60),ROW()-1,FALSE))</f>
        <v>12.580316059999999</v>
      </c>
      <c r="M611">
        <f ca="1">IF(AND(ISNUMBER($M$1269),$B$677=1),$M$1269,HLOOKUP(INDIRECT(ADDRESS(2,COLUMN())),OFFSET($BN$2,0,0,ROW()-1,60),ROW()-1,FALSE))</f>
        <v>12.86884689</v>
      </c>
      <c r="N611">
        <f ca="1">IF(AND(ISNUMBER($N$1269),$B$677=1),$N$1269,HLOOKUP(INDIRECT(ADDRESS(2,COLUMN())),OFFSET($BN$2,0,0,ROW()-1,60),ROW()-1,FALSE))</f>
        <v>18.05544591</v>
      </c>
      <c r="O611">
        <f ca="1">IF(AND(ISNUMBER($O$1269),$B$677=1),$O$1269,HLOOKUP(INDIRECT(ADDRESS(2,COLUMN())),OFFSET($BN$2,0,0,ROW()-1,60),ROW()-1,FALSE))</f>
        <v>10.795056499999999</v>
      </c>
      <c r="P611">
        <f ca="1">IF(AND(ISNUMBER($P$1269),$B$677=1),$P$1269,HLOOKUP(INDIRECT(ADDRESS(2,COLUMN())),OFFSET($BN$2,0,0,ROW()-1,60),ROW()-1,FALSE))</f>
        <v>8.40674323</v>
      </c>
      <c r="Q611">
        <f ca="1">IF(AND(ISNUMBER($Q$1269),$B$677=1),$Q$1269,HLOOKUP(INDIRECT(ADDRESS(2,COLUMN())),OFFSET($BN$2,0,0,ROW()-1,60),ROW()-1,FALSE))</f>
        <v>13.00314801</v>
      </c>
      <c r="R611">
        <f ca="1">IF(AND(ISNUMBER($R$1269),$B$677=1),$R$1269,HLOOKUP(INDIRECT(ADDRESS(2,COLUMN())),OFFSET($BN$2,0,0,ROW()-1,60),ROW()-1,FALSE))</f>
        <v>-6.8947516120000003</v>
      </c>
      <c r="S611">
        <f ca="1">IF(AND(ISNUMBER($S$1269),$B$677=1),$S$1269,HLOOKUP(INDIRECT(ADDRESS(2,COLUMN())),OFFSET($BN$2,0,0,ROW()-1,60),ROW()-1,FALSE))</f>
        <v>4.7446254229999996</v>
      </c>
      <c r="T611">
        <f ca="1">IF(AND(ISNUMBER($T$1269),$B$677=1),$T$1269,HLOOKUP(INDIRECT(ADDRESS(2,COLUMN())),OFFSET($BN$2,0,0,ROW()-1,60),ROW()-1,FALSE))</f>
        <v>-3.472980846</v>
      </c>
      <c r="U611">
        <f ca="1">IF(AND(ISNUMBER($U$1269),$B$677=1),$U$1269,HLOOKUP(INDIRECT(ADDRESS(2,COLUMN())),OFFSET($BN$2,0,0,ROW()-1,60),ROW()-1,FALSE))</f>
        <v>-9.1111111269999991</v>
      </c>
      <c r="V611">
        <f ca="1">IF(AND(ISNUMBER($V$1269),$B$677=1),$V$1269,HLOOKUP(INDIRECT(ADDRESS(2,COLUMN())),OFFSET($BN$2,0,0,ROW()-1,60),ROW()-1,FALSE))</f>
        <v>-7.9828728959999999</v>
      </c>
      <c r="W611">
        <f ca="1">IF(AND(ISNUMBER($W$1269),$B$677=1),$W$1269,HLOOKUP(INDIRECT(ADDRESS(2,COLUMN())),OFFSET($BN$2,0,0,ROW()-1,60),ROW()-1,FALSE))</f>
        <v>-9.0933199519999999</v>
      </c>
      <c r="X611">
        <f ca="1">IF(AND(ISNUMBER($X$1269),$B$677=1),$X$1269,HLOOKUP(INDIRECT(ADDRESS(2,COLUMN())),OFFSET($BN$2,0,0,ROW()-1,60),ROW()-1,FALSE))</f>
        <v>-4.0564467369999999</v>
      </c>
      <c r="Y611">
        <f ca="1">IF(AND(ISNUMBER($Y$1269),$B$677=1),$Y$1269,HLOOKUP(INDIRECT(ADDRESS(2,COLUMN())),OFFSET($BN$2,0,0,ROW()-1,60),ROW()-1,FALSE))</f>
        <v>-12.309983519999999</v>
      </c>
      <c r="Z611">
        <f ca="1">IF(AND(ISNUMBER($Z$1269),$B$677=1),$Z$1269,HLOOKUP(INDIRECT(ADDRESS(2,COLUMN())),OFFSET($BN$2,0,0,ROW()-1,60),ROW()-1,FALSE))</f>
        <v>1.3195963500000001</v>
      </c>
      <c r="AA611">
        <f ca="1">IF(AND(ISNUMBER($AA$1269),$B$677=1),$AA$1269,HLOOKUP(INDIRECT(ADDRESS(2,COLUMN())),OFFSET($BN$2,0,0,ROW()-1,60),ROW()-1,FALSE))</f>
        <v>13.423992030000001</v>
      </c>
      <c r="AB611">
        <f ca="1">IF(AND(ISNUMBER($AB$1269),$B$677=1),$AB$1269,HLOOKUP(INDIRECT(ADDRESS(2,COLUMN())),OFFSET($BN$2,0,0,ROW()-1,60),ROW()-1,FALSE))</f>
        <v>4.8454050349999997</v>
      </c>
      <c r="AC611">
        <f ca="1">IF(AND(ISNUMBER($AC$1269),$B$677=1),$AC$1269,HLOOKUP(INDIRECT(ADDRESS(2,COLUMN())),OFFSET($BN$2,0,0,ROW()-1,60),ROW()-1,FALSE))</f>
        <v>18.78655303</v>
      </c>
      <c r="AD611">
        <f ca="1">IF(AND(ISNUMBER($AD$1269),$B$677=1),$AD$1269,HLOOKUP(INDIRECT(ADDRESS(2,COLUMN())),OFFSET($BN$2,0,0,ROW()-1,60),ROW()-1,FALSE))</f>
        <v>11.32120035</v>
      </c>
      <c r="AE611">
        <f ca="1">IF(AND(ISNUMBER($AE$1269),$B$677=1),$AE$1269,HLOOKUP(INDIRECT(ADDRESS(2,COLUMN())),OFFSET($BN$2,0,0,ROW()-1,60),ROW()-1,FALSE))</f>
        <v>4.4486275869999998</v>
      </c>
      <c r="AF611" t="str">
        <f ca="1">IF(AND(ISNUMBER($AF$1269),$B$677=1),$AF$1269,HLOOKUP(INDIRECT(ADDRESS(2,COLUMN())),OFFSET($BN$2,0,0,ROW()-1,60),ROW()-1,FALSE))</f>
        <v/>
      </c>
      <c r="AG611" t="str">
        <f ca="1">IF(AND(ISNUMBER($AG$1269),$B$677=1),$AG$1269,HLOOKUP(INDIRECT(ADDRESS(2,COLUMN())),OFFSET($BN$2,0,0,ROW()-1,60),ROW()-1,FALSE))</f>
        <v/>
      </c>
      <c r="AH611" t="str">
        <f ca="1">IF(AND(ISNUMBER($AH$1269),$B$677=1),$AH$1269,HLOOKUP(INDIRECT(ADDRESS(2,COLUMN())),OFFSET($BN$2,0,0,ROW()-1,60),ROW()-1,FALSE))</f>
        <v/>
      </c>
      <c r="AI611" t="str">
        <f ca="1">IF(AND(ISNUMBER($AI$1269),$B$677=1),$AI$1269,HLOOKUP(INDIRECT(ADDRESS(2,COLUMN())),OFFSET($BN$2,0,0,ROW()-1,60),ROW()-1,FALSE))</f>
        <v/>
      </c>
      <c r="AJ611" t="str">
        <f ca="1">IF(AND(ISNUMBER($AJ$1269),$B$677=1),$AJ$1269,HLOOKUP(INDIRECT(ADDRESS(2,COLUMN())),OFFSET($BN$2,0,0,ROW()-1,60),ROW()-1,FALSE))</f>
        <v/>
      </c>
      <c r="AK611" t="str">
        <f ca="1">IF(AND(ISNUMBER($AK$1269),$B$677=1),$AK$1269,HLOOKUP(INDIRECT(ADDRESS(2,COLUMN())),OFFSET($BN$2,0,0,ROW()-1,60),ROW()-1,FALSE))</f>
        <v/>
      </c>
      <c r="AL611" t="str">
        <f ca="1">IF(AND(ISNUMBER($AL$1269),$B$677=1),$AL$1269,HLOOKUP(INDIRECT(ADDRESS(2,COLUMN())),OFFSET($BN$2,0,0,ROW()-1,60),ROW()-1,FALSE))</f>
        <v/>
      </c>
      <c r="AM611" t="str">
        <f ca="1">IF(AND(ISNUMBER($AM$1269),$B$677=1),$AM$1269,HLOOKUP(INDIRECT(ADDRESS(2,COLUMN())),OFFSET($BN$2,0,0,ROW()-1,60),ROW()-1,FALSE))</f>
        <v/>
      </c>
      <c r="AN611" t="str">
        <f ca="1">IF(AND(ISNUMBER($AN$1269),$B$677=1),$AN$1269,HLOOKUP(INDIRECT(ADDRESS(2,COLUMN())),OFFSET($BN$2,0,0,ROW()-1,60),ROW()-1,FALSE))</f>
        <v/>
      </c>
      <c r="AO611" t="str">
        <f ca="1">IF(AND(ISNUMBER($AO$1269),$B$677=1),$AO$1269,HLOOKUP(INDIRECT(ADDRESS(2,COLUMN())),OFFSET($BN$2,0,0,ROW()-1,60),ROW()-1,FALSE))</f>
        <v/>
      </c>
      <c r="AP611" t="str">
        <f ca="1">IF(AND(ISNUMBER($AP$1269),$B$677=1),$AP$1269,HLOOKUP(INDIRECT(ADDRESS(2,COLUMN())),OFFSET($BN$2,0,0,ROW()-1,60),ROW()-1,FALSE))</f>
        <v/>
      </c>
      <c r="AQ611" t="str">
        <f ca="1">IF(AND(ISNUMBER($AQ$1269),$B$677=1),$AQ$1269,HLOOKUP(INDIRECT(ADDRESS(2,COLUMN())),OFFSET($BN$2,0,0,ROW()-1,60),ROW()-1,FALSE))</f>
        <v/>
      </c>
      <c r="AR611" t="str">
        <f ca="1">IF(AND(ISNUMBER($AR$1269),$B$677=1),$AR$1269,HLOOKUP(INDIRECT(ADDRESS(2,COLUMN())),OFFSET($BN$2,0,0,ROW()-1,60),ROW()-1,FALSE))</f>
        <v/>
      </c>
      <c r="AS611" t="str">
        <f ca="1">IF(AND(ISNUMBER($AS$1269),$B$677=1),$AS$1269,HLOOKUP(INDIRECT(ADDRESS(2,COLUMN())),OFFSET($BN$2,0,0,ROW()-1,60),ROW()-1,FALSE))</f>
        <v/>
      </c>
      <c r="AT611" t="str">
        <f ca="1">IF(AND(ISNUMBER($AT$1269),$B$677=1),$AT$1269,HLOOKUP(INDIRECT(ADDRESS(2,COLUMN())),OFFSET($BN$2,0,0,ROW()-1,60),ROW()-1,FALSE))</f>
        <v/>
      </c>
      <c r="AU611" t="str">
        <f ca="1">IF(AND(ISNUMBER($AU$1269),$B$677=1),$AU$1269,HLOOKUP(INDIRECT(ADDRESS(2,COLUMN())),OFFSET($BN$2,0,0,ROW()-1,60),ROW()-1,FALSE))</f>
        <v/>
      </c>
      <c r="AV611" t="str">
        <f ca="1">IF(AND(ISNUMBER($AV$1269),$B$677=1),$AV$1269,HLOOKUP(INDIRECT(ADDRESS(2,COLUMN())),OFFSET($BN$2,0,0,ROW()-1,60),ROW()-1,FALSE))</f>
        <v/>
      </c>
      <c r="AW611" t="str">
        <f ca="1">IF(AND(ISNUMBER($AW$1269),$B$677=1),$AW$1269,HLOOKUP(INDIRECT(ADDRESS(2,COLUMN())),OFFSET($BN$2,0,0,ROW()-1,60),ROW()-1,FALSE))</f>
        <v/>
      </c>
      <c r="AX611" t="str">
        <f ca="1">IF(AND(ISNUMBER($AX$1269),$B$677=1),$AX$1269,HLOOKUP(INDIRECT(ADDRESS(2,COLUMN())),OFFSET($BN$2,0,0,ROW()-1,60),ROW()-1,FALSE))</f>
        <v/>
      </c>
      <c r="AY611" t="str">
        <f ca="1">IF(AND(ISNUMBER($AY$1269),$B$677=1),$AY$1269,HLOOKUP(INDIRECT(ADDRESS(2,COLUMN())),OFFSET($BN$2,0,0,ROW()-1,60),ROW()-1,FALSE))</f>
        <v/>
      </c>
      <c r="AZ611" t="str">
        <f ca="1">IF(AND(ISNUMBER($AZ$1269),$B$677=1),$AZ$1269,HLOOKUP(INDIRECT(ADDRESS(2,COLUMN())),OFFSET($BN$2,0,0,ROW()-1,60),ROW()-1,FALSE))</f>
        <v/>
      </c>
      <c r="BA611" t="str">
        <f ca="1">IF(AND(ISNUMBER($BA$1269),$B$677=1),$BA$1269,HLOOKUP(INDIRECT(ADDRESS(2,COLUMN())),OFFSET($BN$2,0,0,ROW()-1,60),ROW()-1,FALSE))</f>
        <v/>
      </c>
      <c r="BB611" t="str">
        <f ca="1">IF(AND(ISNUMBER($BB$1269),$B$677=1),$BB$1269,HLOOKUP(INDIRECT(ADDRESS(2,COLUMN())),OFFSET($BN$2,0,0,ROW()-1,60),ROW()-1,FALSE))</f>
        <v/>
      </c>
      <c r="BC611" t="str">
        <f ca="1">IF(AND(ISNUMBER($BC$1269),$B$677=1),$BC$1269,HLOOKUP(INDIRECT(ADDRESS(2,COLUMN())),OFFSET($BN$2,0,0,ROW()-1,60),ROW()-1,FALSE))</f>
        <v/>
      </c>
      <c r="BD611" t="str">
        <f ca="1">IF(AND(ISNUMBER($BD$1269),$B$677=1),$BD$1269,HLOOKUP(INDIRECT(ADDRESS(2,COLUMN())),OFFSET($BN$2,0,0,ROW()-1,60),ROW()-1,FALSE))</f>
        <v/>
      </c>
      <c r="BE611" t="str">
        <f ca="1">IF(AND(ISNUMBER($BE$1269),$B$677=1),$BE$1269,HLOOKUP(INDIRECT(ADDRESS(2,COLUMN())),OFFSET($BN$2,0,0,ROW()-1,60),ROW()-1,FALSE))</f>
        <v/>
      </c>
      <c r="BF611" t="str">
        <f ca="1">IF(AND(ISNUMBER($BF$1269),$B$677=1),$BF$1269,HLOOKUP(INDIRECT(ADDRESS(2,COLUMN())),OFFSET($BN$2,0,0,ROW()-1,60),ROW()-1,FALSE))</f>
        <v/>
      </c>
      <c r="BG611" t="str">
        <f ca="1">IF(AND(ISNUMBER($BG$1269),$B$677=1),$BG$1269,HLOOKUP(INDIRECT(ADDRESS(2,COLUMN())),OFFSET($BN$2,0,0,ROW()-1,60),ROW()-1,FALSE))</f>
        <v/>
      </c>
      <c r="BH611" t="str">
        <f ca="1">IF(AND(ISNUMBER($BH$1269),$B$677=1),$BH$1269,HLOOKUP(INDIRECT(ADDRESS(2,COLUMN())),OFFSET($BN$2,0,0,ROW()-1,60),ROW()-1,FALSE))</f>
        <v/>
      </c>
      <c r="BI611" t="str">
        <f ca="1">IF(AND(ISNUMBER($BI$1269),$B$677=1),$BI$1269,HLOOKUP(INDIRECT(ADDRESS(2,COLUMN())),OFFSET($BN$2,0,0,ROW()-1,60),ROW()-1,FALSE))</f>
        <v/>
      </c>
      <c r="BJ611" t="str">
        <f ca="1">IF(AND(ISNUMBER($BJ$1269),$B$677=1),$BJ$1269,HLOOKUP(INDIRECT(ADDRESS(2,COLUMN())),OFFSET($BN$2,0,0,ROW()-1,60),ROW()-1,FALSE))</f>
        <v/>
      </c>
      <c r="BK611" t="str">
        <f ca="1">IF(AND(ISNUMBER($BK$1269),$B$677=1),$BK$1269,HLOOKUP(INDIRECT(ADDRESS(2,COLUMN())),OFFSET($BN$2,0,0,ROW()-1,60),ROW()-1,FALSE))</f>
        <v/>
      </c>
      <c r="BL611" t="str">
        <f ca="1">IF(AND(ISNUMBER($BL$1269),$B$677=1),$BL$1269,HLOOKUP(INDIRECT(ADDRESS(2,COLUMN())),OFFSET($BN$2,0,0,ROW()-1,60),ROW()-1,FALSE))</f>
        <v/>
      </c>
      <c r="BM611" t="str">
        <f ca="1">IF(AND(ISNUMBER($BM$1269),$B$677=1),$BM$1269,HLOOKUP(INDIRECT(ADDRESS(2,COLUMN())),OFFSET($BN$2,0,0,ROW()-1,60),ROW()-1,FALSE))</f>
        <v/>
      </c>
      <c r="BN611" t="str">
        <f>""</f>
        <v/>
      </c>
      <c r="BO611">
        <f>32.17684937</f>
        <v>32.176849369999999</v>
      </c>
      <c r="BP611">
        <f>27.77147569</f>
        <v>27.771475689999999</v>
      </c>
      <c r="BQ611">
        <f>-1.558685066</f>
        <v>-1.558685066</v>
      </c>
      <c r="BR611">
        <f>14.67309501</f>
        <v>14.673095010000001</v>
      </c>
      <c r="BS611">
        <f>6.609641549</f>
        <v>6.609641549</v>
      </c>
      <c r="BT611">
        <f>12.58031606</f>
        <v>12.580316059999999</v>
      </c>
      <c r="BU611">
        <f>12.86884689</f>
        <v>12.86884689</v>
      </c>
      <c r="BV611">
        <f>18.05544591</f>
        <v>18.05544591</v>
      </c>
      <c r="BW611">
        <f>10.7950565</f>
        <v>10.795056499999999</v>
      </c>
      <c r="BX611">
        <f>8.40674323</f>
        <v>8.40674323</v>
      </c>
      <c r="BY611">
        <f>13.00314801</f>
        <v>13.00314801</v>
      </c>
      <c r="BZ611">
        <f>-6.894751612</f>
        <v>-6.8947516120000003</v>
      </c>
      <c r="CA611">
        <f>4.744625423</f>
        <v>4.7446254229999996</v>
      </c>
      <c r="CB611">
        <f>-3.472980846</f>
        <v>-3.472980846</v>
      </c>
      <c r="CC611">
        <f>-9.111111127</f>
        <v>-9.1111111269999991</v>
      </c>
      <c r="CD611">
        <f>-7.982872896</f>
        <v>-7.9828728959999999</v>
      </c>
      <c r="CE611">
        <f>-9.093319952</f>
        <v>-9.0933199519999999</v>
      </c>
      <c r="CF611">
        <f>-4.056446737</f>
        <v>-4.0564467369999999</v>
      </c>
      <c r="CG611">
        <f>-12.30998352</f>
        <v>-12.309983519999999</v>
      </c>
      <c r="CH611">
        <f>1.31959635</f>
        <v>1.3195963500000001</v>
      </c>
      <c r="CI611">
        <f>13.42399203</f>
        <v>13.423992030000001</v>
      </c>
      <c r="CJ611">
        <f>4.845405035</f>
        <v>4.8454050349999997</v>
      </c>
      <c r="CK611">
        <f>18.78655303</f>
        <v>18.78655303</v>
      </c>
      <c r="CL611">
        <f>11.32120035</f>
        <v>11.32120035</v>
      </c>
      <c r="CM611">
        <f>4.448627587</f>
        <v>4.4486275869999998</v>
      </c>
      <c r="CN611" t="str">
        <f>""</f>
        <v/>
      </c>
      <c r="CO611" t="str">
        <f>""</f>
        <v/>
      </c>
      <c r="CP611" t="str">
        <f>""</f>
        <v/>
      </c>
      <c r="CQ611" t="str">
        <f>""</f>
        <v/>
      </c>
      <c r="CR611" t="str">
        <f>""</f>
        <v/>
      </c>
      <c r="CS611" t="str">
        <f>""</f>
        <v/>
      </c>
      <c r="CT611" t="str">
        <f>""</f>
        <v/>
      </c>
      <c r="CU611" t="str">
        <f>""</f>
        <v/>
      </c>
      <c r="CV611" t="str">
        <f>""</f>
        <v/>
      </c>
      <c r="CW611" t="str">
        <f>""</f>
        <v/>
      </c>
      <c r="CX611" t="str">
        <f>""</f>
        <v/>
      </c>
      <c r="CY611" t="str">
        <f>""</f>
        <v/>
      </c>
      <c r="CZ611" t="str">
        <f>""</f>
        <v/>
      </c>
      <c r="DA611" t="str">
        <f>""</f>
        <v/>
      </c>
      <c r="DB611" t="str">
        <f>""</f>
        <v/>
      </c>
      <c r="DC611" t="str">
        <f>""</f>
        <v/>
      </c>
      <c r="DD611" t="str">
        <f>""</f>
        <v/>
      </c>
      <c r="DE611" t="str">
        <f>""</f>
        <v/>
      </c>
      <c r="DF611" t="str">
        <f>""</f>
        <v/>
      </c>
      <c r="DG611" t="str">
        <f>""</f>
        <v/>
      </c>
      <c r="DH611" t="str">
        <f>""</f>
        <v/>
      </c>
      <c r="DI611" t="str">
        <f>""</f>
        <v/>
      </c>
      <c r="DJ611" t="str">
        <f>""</f>
        <v/>
      </c>
      <c r="DK611" t="str">
        <f>""</f>
        <v/>
      </c>
      <c r="DL611" t="str">
        <f>""</f>
        <v/>
      </c>
      <c r="DM611" t="str">
        <f>""</f>
        <v/>
      </c>
      <c r="DN611" t="str">
        <f>""</f>
        <v/>
      </c>
      <c r="DO611" t="str">
        <f>""</f>
        <v/>
      </c>
      <c r="DP611" t="str">
        <f>""</f>
        <v/>
      </c>
      <c r="DQ611" t="str">
        <f>""</f>
        <v/>
      </c>
      <c r="DR611" t="str">
        <f>""</f>
        <v/>
      </c>
      <c r="DS611" t="str">
        <f>""</f>
        <v/>
      </c>
      <c r="DT611" t="str">
        <f>""</f>
        <v/>
      </c>
      <c r="DU611" t="str">
        <f>""</f>
        <v/>
      </c>
    </row>
    <row r="612" spans="1:125" x14ac:dyDescent="0.25">
      <c r="A612" t="str">
        <f>"    Subaru Corp"</f>
        <v xml:space="preserve">    Subaru Corp</v>
      </c>
      <c r="B612" t="str">
        <f>"7270 JP Equity"</f>
        <v>7270 JP Equity</v>
      </c>
      <c r="C612" t="str">
        <f t="shared" si="42"/>
        <v>RX072</v>
      </c>
      <c r="D612" t="str">
        <f t="shared" si="43"/>
        <v>FREE_CASH_FLOW_YIELD</v>
      </c>
      <c r="E612" t="str">
        <f t="shared" si="44"/>
        <v>Dynamic</v>
      </c>
      <c r="F612">
        <f ca="1">IF(AND(ISNUMBER($F$1270),$B$677=1),$F$1270,HLOOKUP(INDIRECT(ADDRESS(2,COLUMN())),OFFSET($BN$2,0,0,ROW()-1,60),ROW()-1,FALSE))</f>
        <v>2.8426454830000001</v>
      </c>
      <c r="G612">
        <f ca="1">IF(AND(ISNUMBER($G$1270),$B$677=1),$G$1270,HLOOKUP(INDIRECT(ADDRESS(2,COLUMN())),OFFSET($BN$2,0,0,ROW()-1,60),ROW()-1,FALSE))</f>
        <v>3.423219687</v>
      </c>
      <c r="H612">
        <f ca="1">IF(AND(ISNUMBER($H$1270),$B$677=1),$H$1270,HLOOKUP(INDIRECT(ADDRESS(2,COLUMN())),OFFSET($BN$2,0,0,ROW()-1,60),ROW()-1,FALSE))</f>
        <v>2.6342043429999999</v>
      </c>
      <c r="I612">
        <f ca="1">IF(AND(ISNUMBER($I$1270),$B$677=1),$I$1270,HLOOKUP(INDIRECT(ADDRESS(2,COLUMN())),OFFSET($BN$2,0,0,ROW()-1,60),ROW()-1,FALSE))</f>
        <v>4.217518944</v>
      </c>
      <c r="J612">
        <f ca="1">IF(AND(ISNUMBER($J$1270),$B$677=1),$J$1270,HLOOKUP(INDIRECT(ADDRESS(2,COLUMN())),OFFSET($BN$2,0,0,ROW()-1,60),ROW()-1,FALSE))</f>
        <v>8.0943346290000004</v>
      </c>
      <c r="K612">
        <f ca="1">IF(AND(ISNUMBER($K$1270),$B$677=1),$K$1270,HLOOKUP(INDIRECT(ADDRESS(2,COLUMN())),OFFSET($BN$2,0,0,ROW()-1,60),ROW()-1,FALSE))</f>
        <v>8.8914135210000005</v>
      </c>
      <c r="L612">
        <f ca="1">IF(AND(ISNUMBER($L$1270),$B$677=1),$L$1270,HLOOKUP(INDIRECT(ADDRESS(2,COLUMN())),OFFSET($BN$2,0,0,ROW()-1,60),ROW()-1,FALSE))</f>
        <v>5.8497247430000003</v>
      </c>
      <c r="M612">
        <f ca="1">IF(AND(ISNUMBER($M$1270),$B$677=1),$M$1270,HLOOKUP(INDIRECT(ADDRESS(2,COLUMN())),OFFSET($BN$2,0,0,ROW()-1,60),ROW()-1,FALSE))</f>
        <v>8.6936705449999998</v>
      </c>
      <c r="N612">
        <f ca="1">IF(AND(ISNUMBER($N$1270),$B$677=1),$N$1270,HLOOKUP(INDIRECT(ADDRESS(2,COLUMN())),OFFSET($BN$2,0,0,ROW()-1,60),ROW()-1,FALSE))</f>
        <v>5.7581029409999998</v>
      </c>
      <c r="O612">
        <f ca="1">IF(AND(ISNUMBER($O$1270),$B$677=1),$O$1270,HLOOKUP(INDIRECT(ADDRESS(2,COLUMN())),OFFSET($BN$2,0,0,ROW()-1,60),ROW()-1,FALSE))</f>
        <v>6.2748409430000001</v>
      </c>
      <c r="P612">
        <f ca="1">IF(AND(ISNUMBER($P$1270),$B$677=1),$P$1270,HLOOKUP(INDIRECT(ADDRESS(2,COLUMN())),OFFSET($BN$2,0,0,ROW()-1,60),ROW()-1,FALSE))</f>
        <v>13.400741119999999</v>
      </c>
      <c r="Q612">
        <f ca="1">IF(AND(ISNUMBER($Q$1270),$B$677=1),$Q$1270,HLOOKUP(INDIRECT(ADDRESS(2,COLUMN())),OFFSET($BN$2,0,0,ROW()-1,60),ROW()-1,FALSE))</f>
        <v>16.112101809999999</v>
      </c>
      <c r="R612">
        <f ca="1">IF(AND(ISNUMBER($R$1270),$B$677=1),$R$1270,HLOOKUP(INDIRECT(ADDRESS(2,COLUMN())),OFFSET($BN$2,0,0,ROW()-1,60),ROW()-1,FALSE))</f>
        <v>15.71639347</v>
      </c>
      <c r="S612">
        <f ca="1">IF(AND(ISNUMBER($S$1270),$B$677=1),$S$1270,HLOOKUP(INDIRECT(ADDRESS(2,COLUMN())),OFFSET($BN$2,0,0,ROW()-1,60),ROW()-1,FALSE))</f>
        <v>11.38918237</v>
      </c>
      <c r="T612">
        <f ca="1">IF(AND(ISNUMBER($T$1270),$B$677=1),$T$1270,HLOOKUP(INDIRECT(ADDRESS(2,COLUMN())),OFFSET($BN$2,0,0,ROW()-1,60),ROW()-1,FALSE))</f>
        <v>10.28654824</v>
      </c>
      <c r="U612">
        <f ca="1">IF(AND(ISNUMBER($U$1270),$B$677=1),$U$1270,HLOOKUP(INDIRECT(ADDRESS(2,COLUMN())),OFFSET($BN$2,0,0,ROW()-1,60),ROW()-1,FALSE))</f>
        <v>8.4766486249999993</v>
      </c>
      <c r="V612">
        <f ca="1">IF(AND(ISNUMBER($V$1270),$B$677=1),$V$1270,HLOOKUP(INDIRECT(ADDRESS(2,COLUMN())),OFFSET($BN$2,0,0,ROW()-1,60),ROW()-1,FALSE))</f>
        <v>6.304258087</v>
      </c>
      <c r="W612">
        <f ca="1">IF(AND(ISNUMBER($W$1270),$B$677=1),$W$1270,HLOOKUP(INDIRECT(ADDRESS(2,COLUMN())),OFFSET($BN$2,0,0,ROW()-1,60),ROW()-1,FALSE))</f>
        <v>5.1061994300000002</v>
      </c>
      <c r="X612">
        <f ca="1">IF(AND(ISNUMBER($X$1270),$B$677=1),$X$1270,HLOOKUP(INDIRECT(ADDRESS(2,COLUMN())),OFFSET($BN$2,0,0,ROW()-1,60),ROW()-1,FALSE))</f>
        <v>7.221708102</v>
      </c>
      <c r="Y612">
        <f ca="1">IF(AND(ISNUMBER($Y$1270),$B$677=1),$Y$1270,HLOOKUP(INDIRECT(ADDRESS(2,COLUMN())),OFFSET($BN$2,0,0,ROW()-1,60),ROW()-1,FALSE))</f>
        <v>8.0726975200000002</v>
      </c>
      <c r="Z612">
        <f ca="1">IF(AND(ISNUMBER($Z$1270),$B$677=1),$Z$1270,HLOOKUP(INDIRECT(ADDRESS(2,COLUMN())),OFFSET($BN$2,0,0,ROW()-1,60),ROW()-1,FALSE))</f>
        <v>11.27249977</v>
      </c>
      <c r="AA612">
        <f ca="1">IF(AND(ISNUMBER($AA$1270),$B$677=1),$AA$1270,HLOOKUP(INDIRECT(ADDRESS(2,COLUMN())),OFFSET($BN$2,0,0,ROW()-1,60),ROW()-1,FALSE))</f>
        <v>8.5614684130000001</v>
      </c>
      <c r="AB612">
        <f ca="1">IF(AND(ISNUMBER($AB$1270),$B$677=1),$AB$1270,HLOOKUP(INDIRECT(ADDRESS(2,COLUMN())),OFFSET($BN$2,0,0,ROW()-1,60),ROW()-1,FALSE))</f>
        <v>6.6946317930000001</v>
      </c>
      <c r="AC612">
        <f ca="1">IF(AND(ISNUMBER($AC$1270),$B$677=1),$AC$1270,HLOOKUP(INDIRECT(ADDRESS(2,COLUMN())),OFFSET($BN$2,0,0,ROW()-1,60),ROW()-1,FALSE))</f>
        <v>6.8698186459999997</v>
      </c>
      <c r="AD612">
        <f ca="1">IF(AND(ISNUMBER($AD$1270),$B$677=1),$AD$1270,HLOOKUP(INDIRECT(ADDRESS(2,COLUMN())),OFFSET($BN$2,0,0,ROW()-1,60),ROW()-1,FALSE))</f>
        <v>9.2222594559999997</v>
      </c>
      <c r="AE612">
        <f ca="1">IF(AND(ISNUMBER($AE$1270),$B$677=1),$AE$1270,HLOOKUP(INDIRECT(ADDRESS(2,COLUMN())),OFFSET($BN$2,0,0,ROW()-1,60),ROW()-1,FALSE))</f>
        <v>13.5660396</v>
      </c>
      <c r="AF612">
        <f ca="1">IF(AND(ISNUMBER($AF$1270),$B$677=1),$AF$1270,HLOOKUP(INDIRECT(ADDRESS(2,COLUMN())),OFFSET($BN$2,0,0,ROW()-1,60),ROW()-1,FALSE))</f>
        <v>23.647265340000001</v>
      </c>
      <c r="AG612">
        <f ca="1">IF(AND(ISNUMBER($AG$1270),$B$677=1),$AG$1270,HLOOKUP(INDIRECT(ADDRESS(2,COLUMN())),OFFSET($BN$2,0,0,ROW()-1,60),ROW()-1,FALSE))</f>
        <v>12.23104624</v>
      </c>
      <c r="AH612">
        <f ca="1">IF(AND(ISNUMBER($AH$1270),$B$677=1),$AH$1270,HLOOKUP(INDIRECT(ADDRESS(2,COLUMN())),OFFSET($BN$2,0,0,ROW()-1,60),ROW()-1,FALSE))</f>
        <v>1.1173064880000001</v>
      </c>
      <c r="AI612">
        <f ca="1">IF(AND(ISNUMBER($AI$1270),$B$677=1),$AI$1270,HLOOKUP(INDIRECT(ADDRESS(2,COLUMN())),OFFSET($BN$2,0,0,ROW()-1,60),ROW()-1,FALSE))</f>
        <v>3.371268347</v>
      </c>
      <c r="AJ612">
        <f ca="1">IF(AND(ISNUMBER($AJ$1270),$B$677=1),$AJ$1270,HLOOKUP(INDIRECT(ADDRESS(2,COLUMN())),OFFSET($BN$2,0,0,ROW()-1,60),ROW()-1,FALSE))</f>
        <v>-0.93526410000000004</v>
      </c>
      <c r="AK612">
        <f ca="1">IF(AND(ISNUMBER($AK$1270),$B$677=1),$AK$1270,HLOOKUP(INDIRECT(ADDRESS(2,COLUMN())),OFFSET($BN$2,0,0,ROW()-1,60),ROW()-1,FALSE))</f>
        <v>8.5754318299999994</v>
      </c>
      <c r="AL612">
        <f ca="1">IF(AND(ISNUMBER($AL$1270),$B$677=1),$AL$1270,HLOOKUP(INDIRECT(ADDRESS(2,COLUMN())),OFFSET($BN$2,0,0,ROW()-1,60),ROW()-1,FALSE))</f>
        <v>22.372981060000001</v>
      </c>
      <c r="AM612">
        <f ca="1">IF(AND(ISNUMBER($AM$1270),$B$677=1),$AM$1270,HLOOKUP(INDIRECT(ADDRESS(2,COLUMN())),OFFSET($BN$2,0,0,ROW()-1,60),ROW()-1,FALSE))</f>
        <v>21.46026827</v>
      </c>
      <c r="AN612">
        <f ca="1">IF(AND(ISNUMBER($AN$1270),$B$677=1),$AN$1270,HLOOKUP(INDIRECT(ADDRESS(2,COLUMN())),OFFSET($BN$2,0,0,ROW()-1,60),ROW()-1,FALSE))</f>
        <v>29.48103021</v>
      </c>
      <c r="AO612">
        <f ca="1">IF(AND(ISNUMBER($AO$1270),$B$677=1),$AO$1270,HLOOKUP(INDIRECT(ADDRESS(2,COLUMN())),OFFSET($BN$2,0,0,ROW()-1,60),ROW()-1,FALSE))</f>
        <v>34.702905639999997</v>
      </c>
      <c r="AP612">
        <f ca="1">IF(AND(ISNUMBER($AP$1270),$B$677=1),$AP$1270,HLOOKUP(INDIRECT(ADDRESS(2,COLUMN())),OFFSET($BN$2,0,0,ROW()-1,60),ROW()-1,FALSE))</f>
        <v>32.790711399999999</v>
      </c>
      <c r="AQ612">
        <f ca="1">IF(AND(ISNUMBER($AQ$1270),$B$677=1),$AQ$1270,HLOOKUP(INDIRECT(ADDRESS(2,COLUMN())),OFFSET($BN$2,0,0,ROW()-1,60),ROW()-1,FALSE))</f>
        <v>5.3839689780000004</v>
      </c>
      <c r="AR612">
        <f ca="1">IF(AND(ISNUMBER($AR$1270),$B$677=1),$AR$1270,HLOOKUP(INDIRECT(ADDRESS(2,COLUMN())),OFFSET($BN$2,0,0,ROW()-1,60),ROW()-1,FALSE))</f>
        <v>-2.2774672740000002</v>
      </c>
      <c r="AS612">
        <f ca="1">IF(AND(ISNUMBER($AS$1270),$B$677=1),$AS$1270,HLOOKUP(INDIRECT(ADDRESS(2,COLUMN())),OFFSET($BN$2,0,0,ROW()-1,60),ROW()-1,FALSE))</f>
        <v>-15.725996589999999</v>
      </c>
      <c r="AT612">
        <f ca="1">IF(AND(ISNUMBER($AT$1270),$B$677=1),$AT$1270,HLOOKUP(INDIRECT(ADDRESS(2,COLUMN())),OFFSET($BN$2,0,0,ROW()-1,60),ROW()-1,FALSE))</f>
        <v>-34.992325940000001</v>
      </c>
      <c r="AU612" t="str">
        <f ca="1">IF(AND(ISNUMBER($AU$1270),$B$677=1),$AU$1270,HLOOKUP(INDIRECT(ADDRESS(2,COLUMN())),OFFSET($BN$2,0,0,ROW()-1,60),ROW()-1,FALSE))</f>
        <v/>
      </c>
      <c r="AV612" t="str">
        <f ca="1">IF(AND(ISNUMBER($AV$1270),$B$677=1),$AV$1270,HLOOKUP(INDIRECT(ADDRESS(2,COLUMN())),OFFSET($BN$2,0,0,ROW()-1,60),ROW()-1,FALSE))</f>
        <v/>
      </c>
      <c r="AW612" t="str">
        <f ca="1">IF(AND(ISNUMBER($AW$1270),$B$677=1),$AW$1270,HLOOKUP(INDIRECT(ADDRESS(2,COLUMN())),OFFSET($BN$2,0,0,ROW()-1,60),ROW()-1,FALSE))</f>
        <v/>
      </c>
      <c r="AX612" t="str">
        <f ca="1">IF(AND(ISNUMBER($AX$1270),$B$677=1),$AX$1270,HLOOKUP(INDIRECT(ADDRESS(2,COLUMN())),OFFSET($BN$2,0,0,ROW()-1,60),ROW()-1,FALSE))</f>
        <v/>
      </c>
      <c r="AY612" t="str">
        <f ca="1">IF(AND(ISNUMBER($AY$1270),$B$677=1),$AY$1270,HLOOKUP(INDIRECT(ADDRESS(2,COLUMN())),OFFSET($BN$2,0,0,ROW()-1,60),ROW()-1,FALSE))</f>
        <v/>
      </c>
      <c r="AZ612" t="str">
        <f ca="1">IF(AND(ISNUMBER($AZ$1270),$B$677=1),$AZ$1270,HLOOKUP(INDIRECT(ADDRESS(2,COLUMN())),OFFSET($BN$2,0,0,ROW()-1,60),ROW()-1,FALSE))</f>
        <v/>
      </c>
      <c r="BA612" t="str">
        <f ca="1">IF(AND(ISNUMBER($BA$1270),$B$677=1),$BA$1270,HLOOKUP(INDIRECT(ADDRESS(2,COLUMN())),OFFSET($BN$2,0,0,ROW()-1,60),ROW()-1,FALSE))</f>
        <v/>
      </c>
      <c r="BB612" t="str">
        <f ca="1">IF(AND(ISNUMBER($BB$1270),$B$677=1),$BB$1270,HLOOKUP(INDIRECT(ADDRESS(2,COLUMN())),OFFSET($BN$2,0,0,ROW()-1,60),ROW()-1,FALSE))</f>
        <v/>
      </c>
      <c r="BC612" t="str">
        <f ca="1">IF(AND(ISNUMBER($BC$1270),$B$677=1),$BC$1270,HLOOKUP(INDIRECT(ADDRESS(2,COLUMN())),OFFSET($BN$2,0,0,ROW()-1,60),ROW()-1,FALSE))</f>
        <v/>
      </c>
      <c r="BD612" t="str">
        <f ca="1">IF(AND(ISNUMBER($BD$1270),$B$677=1),$BD$1270,HLOOKUP(INDIRECT(ADDRESS(2,COLUMN())),OFFSET($BN$2,0,0,ROW()-1,60),ROW()-1,FALSE))</f>
        <v/>
      </c>
      <c r="BE612" t="str">
        <f ca="1">IF(AND(ISNUMBER($BE$1270),$B$677=1),$BE$1270,HLOOKUP(INDIRECT(ADDRESS(2,COLUMN())),OFFSET($BN$2,0,0,ROW()-1,60),ROW()-1,FALSE))</f>
        <v/>
      </c>
      <c r="BF612" t="str">
        <f ca="1">IF(AND(ISNUMBER($BF$1270),$B$677=1),$BF$1270,HLOOKUP(INDIRECT(ADDRESS(2,COLUMN())),OFFSET($BN$2,0,0,ROW()-1,60),ROW()-1,FALSE))</f>
        <v/>
      </c>
      <c r="BG612" t="str">
        <f ca="1">IF(AND(ISNUMBER($BG$1270),$B$677=1),$BG$1270,HLOOKUP(INDIRECT(ADDRESS(2,COLUMN())),OFFSET($BN$2,0,0,ROW()-1,60),ROW()-1,FALSE))</f>
        <v/>
      </c>
      <c r="BH612" t="str">
        <f ca="1">IF(AND(ISNUMBER($BH$1270),$B$677=1),$BH$1270,HLOOKUP(INDIRECT(ADDRESS(2,COLUMN())),OFFSET($BN$2,0,0,ROW()-1,60),ROW()-1,FALSE))</f>
        <v/>
      </c>
      <c r="BI612" t="str">
        <f ca="1">IF(AND(ISNUMBER($BI$1270),$B$677=1),$BI$1270,HLOOKUP(INDIRECT(ADDRESS(2,COLUMN())),OFFSET($BN$2,0,0,ROW()-1,60),ROW()-1,FALSE))</f>
        <v/>
      </c>
      <c r="BJ612" t="str">
        <f ca="1">IF(AND(ISNUMBER($BJ$1270),$B$677=1),$BJ$1270,HLOOKUP(INDIRECT(ADDRESS(2,COLUMN())),OFFSET($BN$2,0,0,ROW()-1,60),ROW()-1,FALSE))</f>
        <v/>
      </c>
      <c r="BK612" t="str">
        <f ca="1">IF(AND(ISNUMBER($BK$1270),$B$677=1),$BK$1270,HLOOKUP(INDIRECT(ADDRESS(2,COLUMN())),OFFSET($BN$2,0,0,ROW()-1,60),ROW()-1,FALSE))</f>
        <v/>
      </c>
      <c r="BL612" t="str">
        <f ca="1">IF(AND(ISNUMBER($BL$1270),$B$677=1),$BL$1270,HLOOKUP(INDIRECT(ADDRESS(2,COLUMN())),OFFSET($BN$2,0,0,ROW()-1,60),ROW()-1,FALSE))</f>
        <v/>
      </c>
      <c r="BM612" t="str">
        <f ca="1">IF(AND(ISNUMBER($BM$1270),$B$677=1),$BM$1270,HLOOKUP(INDIRECT(ADDRESS(2,COLUMN())),OFFSET($BN$2,0,0,ROW()-1,60),ROW()-1,FALSE))</f>
        <v/>
      </c>
      <c r="BN612">
        <f>2.842645483</f>
        <v>2.8426454830000001</v>
      </c>
      <c r="BO612">
        <f>3.423219687</f>
        <v>3.423219687</v>
      </c>
      <c r="BP612">
        <f>2.634204343</f>
        <v>2.6342043429999999</v>
      </c>
      <c r="BQ612">
        <f>4.217518944</f>
        <v>4.217518944</v>
      </c>
      <c r="BR612">
        <f>8.094334629</f>
        <v>8.0943346290000004</v>
      </c>
      <c r="BS612">
        <f>8.891413521</f>
        <v>8.8914135210000005</v>
      </c>
      <c r="BT612">
        <f>5.849724743</f>
        <v>5.8497247430000003</v>
      </c>
      <c r="BU612">
        <f>8.693670545</f>
        <v>8.6936705449999998</v>
      </c>
      <c r="BV612">
        <f>5.758102941</f>
        <v>5.7581029409999998</v>
      </c>
      <c r="BW612">
        <f>6.274840943</f>
        <v>6.2748409430000001</v>
      </c>
      <c r="BX612">
        <f>13.40074112</f>
        <v>13.400741119999999</v>
      </c>
      <c r="BY612">
        <f>16.11210181</f>
        <v>16.112101809999999</v>
      </c>
      <c r="BZ612">
        <f>15.71639347</f>
        <v>15.71639347</v>
      </c>
      <c r="CA612">
        <f>11.38918237</f>
        <v>11.38918237</v>
      </c>
      <c r="CB612">
        <f>10.28654824</f>
        <v>10.28654824</v>
      </c>
      <c r="CC612">
        <f>8.476648625</f>
        <v>8.4766486249999993</v>
      </c>
      <c r="CD612">
        <f>6.304258087</f>
        <v>6.304258087</v>
      </c>
      <c r="CE612">
        <f>5.10619943</f>
        <v>5.1061994300000002</v>
      </c>
      <c r="CF612">
        <f>7.221708102</f>
        <v>7.221708102</v>
      </c>
      <c r="CG612">
        <f>8.07269752</f>
        <v>8.0726975200000002</v>
      </c>
      <c r="CH612">
        <f>11.27249977</f>
        <v>11.27249977</v>
      </c>
      <c r="CI612">
        <f>8.561468413</f>
        <v>8.5614684130000001</v>
      </c>
      <c r="CJ612">
        <f>6.694631793</f>
        <v>6.6946317930000001</v>
      </c>
      <c r="CK612">
        <f>6.869818646</f>
        <v>6.8698186459999997</v>
      </c>
      <c r="CL612">
        <f>9.222259456</f>
        <v>9.2222594559999997</v>
      </c>
      <c r="CM612">
        <f>13.5660396</f>
        <v>13.5660396</v>
      </c>
      <c r="CN612">
        <f>23.64726534</f>
        <v>23.647265340000001</v>
      </c>
      <c r="CO612">
        <f>12.23104624</f>
        <v>12.23104624</v>
      </c>
      <c r="CP612">
        <f>1.117306488</f>
        <v>1.1173064880000001</v>
      </c>
      <c r="CQ612">
        <f>3.371268347</f>
        <v>3.371268347</v>
      </c>
      <c r="CR612">
        <f>-0.9352641</f>
        <v>-0.93526410000000004</v>
      </c>
      <c r="CS612">
        <f>8.57543183</f>
        <v>8.5754318299999994</v>
      </c>
      <c r="CT612">
        <f>22.37298106</f>
        <v>22.372981060000001</v>
      </c>
      <c r="CU612">
        <f>21.46026827</f>
        <v>21.46026827</v>
      </c>
      <c r="CV612">
        <f>29.48103021</f>
        <v>29.48103021</v>
      </c>
      <c r="CW612">
        <f>34.70290564</f>
        <v>34.702905639999997</v>
      </c>
      <c r="CX612">
        <f>32.7907114</f>
        <v>32.790711399999999</v>
      </c>
      <c r="CY612">
        <f>5.383968978</f>
        <v>5.3839689780000004</v>
      </c>
      <c r="CZ612">
        <f>-2.277467274</f>
        <v>-2.2774672740000002</v>
      </c>
      <c r="DA612">
        <f>-15.72599659</f>
        <v>-15.725996589999999</v>
      </c>
      <c r="DB612">
        <f>-34.99232594</f>
        <v>-34.992325940000001</v>
      </c>
      <c r="DC612" t="str">
        <f>""</f>
        <v/>
      </c>
      <c r="DD612" t="str">
        <f>""</f>
        <v/>
      </c>
      <c r="DE612" t="str">
        <f>""</f>
        <v/>
      </c>
      <c r="DF612" t="str">
        <f>""</f>
        <v/>
      </c>
      <c r="DG612" t="str">
        <f>""</f>
        <v/>
      </c>
      <c r="DH612" t="str">
        <f>""</f>
        <v/>
      </c>
      <c r="DI612" t="str">
        <f>""</f>
        <v/>
      </c>
      <c r="DJ612" t="str">
        <f>""</f>
        <v/>
      </c>
      <c r="DK612" t="str">
        <f>""</f>
        <v/>
      </c>
      <c r="DL612" t="str">
        <f>""</f>
        <v/>
      </c>
      <c r="DM612" t="str">
        <f>""</f>
        <v/>
      </c>
      <c r="DN612" t="str">
        <f>""</f>
        <v/>
      </c>
      <c r="DO612" t="str">
        <f>""</f>
        <v/>
      </c>
      <c r="DP612" t="str">
        <f>""</f>
        <v/>
      </c>
      <c r="DQ612" t="str">
        <f>""</f>
        <v/>
      </c>
      <c r="DR612" t="str">
        <f>""</f>
        <v/>
      </c>
      <c r="DS612" t="str">
        <f>""</f>
        <v/>
      </c>
      <c r="DT612" t="str">
        <f>""</f>
        <v/>
      </c>
      <c r="DU612" t="str">
        <f>""</f>
        <v/>
      </c>
    </row>
    <row r="613" spans="1:125" x14ac:dyDescent="0.25">
      <c r="A613" t="str">
        <f>"    Suzuki Motor Corp"</f>
        <v xml:space="preserve">    Suzuki Motor Corp</v>
      </c>
      <c r="B613" t="str">
        <f>"7269 JP Equity"</f>
        <v>7269 JP Equity</v>
      </c>
      <c r="C613" t="str">
        <f t="shared" si="42"/>
        <v>RX072</v>
      </c>
      <c r="D613" t="str">
        <f t="shared" si="43"/>
        <v>FREE_CASH_FLOW_YIELD</v>
      </c>
      <c r="E613" t="str">
        <f t="shared" si="44"/>
        <v>Dynamic</v>
      </c>
      <c r="F613">
        <f ca="1">IF(AND(ISNUMBER($F$1271),$B$677=1),$F$1271,HLOOKUP(INDIRECT(ADDRESS(2,COLUMN())),OFFSET($BN$2,0,0,ROW()-1,60),ROW()-1,FALSE))</f>
        <v>6.4124007809999997</v>
      </c>
      <c r="G613">
        <f ca="1">IF(AND(ISNUMBER($G$1271),$B$677=1),$G$1271,HLOOKUP(INDIRECT(ADDRESS(2,COLUMN())),OFFSET($BN$2,0,0,ROW()-1,60),ROW()-1,FALSE))</f>
        <v>6.6554430959999999</v>
      </c>
      <c r="H613">
        <f ca="1">IF(AND(ISNUMBER($H$1271),$B$677=1),$H$1271,HLOOKUP(INDIRECT(ADDRESS(2,COLUMN())),OFFSET($BN$2,0,0,ROW()-1,60),ROW()-1,FALSE))</f>
        <v>6.7075881180000003</v>
      </c>
      <c r="I613">
        <f ca="1">IF(AND(ISNUMBER($I$1271),$B$677=1),$I$1271,HLOOKUP(INDIRECT(ADDRESS(2,COLUMN())),OFFSET($BN$2,0,0,ROW()-1,60),ROW()-1,FALSE))</f>
        <v>9.7765880729999992</v>
      </c>
      <c r="J613">
        <f ca="1">IF(AND(ISNUMBER($J$1271),$B$677=1),$J$1271,HLOOKUP(INDIRECT(ADDRESS(2,COLUMN())),OFFSET($BN$2,0,0,ROW()-1,60),ROW()-1,FALSE))</f>
        <v>9.4631494160000003</v>
      </c>
      <c r="K613">
        <f ca="1">IF(AND(ISNUMBER($K$1271),$B$677=1),$K$1271,HLOOKUP(INDIRECT(ADDRESS(2,COLUMN())),OFFSET($BN$2,0,0,ROW()-1,60),ROW()-1,FALSE))</f>
        <v>7.0001893209999997</v>
      </c>
      <c r="L613">
        <f ca="1">IF(AND(ISNUMBER($L$1271),$B$677=1),$L$1271,HLOOKUP(INDIRECT(ADDRESS(2,COLUMN())),OFFSET($BN$2,0,0,ROW()-1,60),ROW()-1,FALSE))</f>
        <v>8.5990974090000005</v>
      </c>
      <c r="M613">
        <f ca="1">IF(AND(ISNUMBER($M$1271),$B$677=1),$M$1271,HLOOKUP(INDIRECT(ADDRESS(2,COLUMN())),OFFSET($BN$2,0,0,ROW()-1,60),ROW()-1,FALSE))</f>
        <v>4.9632504009999998</v>
      </c>
      <c r="N613">
        <f ca="1">IF(AND(ISNUMBER($N$1271),$B$677=1),$N$1271,HLOOKUP(INDIRECT(ADDRESS(2,COLUMN())),OFFSET($BN$2,0,0,ROW()-1,60),ROW()-1,FALSE))</f>
        <v>8.5453642629999997</v>
      </c>
      <c r="O613">
        <f ca="1">IF(AND(ISNUMBER($O$1271),$B$677=1),$O$1271,HLOOKUP(INDIRECT(ADDRESS(2,COLUMN())),OFFSET($BN$2,0,0,ROW()-1,60),ROW()-1,FALSE))</f>
        <v>10.758607639999999</v>
      </c>
      <c r="P613">
        <f ca="1">IF(AND(ISNUMBER($P$1271),$B$677=1),$P$1271,HLOOKUP(INDIRECT(ADDRESS(2,COLUMN())),OFFSET($BN$2,0,0,ROW()-1,60),ROW()-1,FALSE))</f>
        <v>14.2856465</v>
      </c>
      <c r="Q613">
        <f ca="1">IF(AND(ISNUMBER($Q$1271),$B$677=1),$Q$1271,HLOOKUP(INDIRECT(ADDRESS(2,COLUMN())),OFFSET($BN$2,0,0,ROW()-1,60),ROW()-1,FALSE))</f>
        <v>13.31634612</v>
      </c>
      <c r="R613">
        <f ca="1">IF(AND(ISNUMBER($R$1271),$B$677=1),$R$1271,HLOOKUP(INDIRECT(ADDRESS(2,COLUMN())),OFFSET($BN$2,0,0,ROW()-1,60),ROW()-1,FALSE))</f>
        <v>9.5586586259999997</v>
      </c>
      <c r="S613">
        <f ca="1">IF(AND(ISNUMBER($S$1271),$B$677=1),$S$1271,HLOOKUP(INDIRECT(ADDRESS(2,COLUMN())),OFFSET($BN$2,0,0,ROW()-1,60),ROW()-1,FALSE))</f>
        <v>5.9032226669999996</v>
      </c>
      <c r="T613">
        <f ca="1">IF(AND(ISNUMBER($T$1271),$B$677=1),$T$1271,HLOOKUP(INDIRECT(ADDRESS(2,COLUMN())),OFFSET($BN$2,0,0,ROW()-1,60),ROW()-1,FALSE))</f>
        <v>3.0501650389999999</v>
      </c>
      <c r="U613">
        <f ca="1">IF(AND(ISNUMBER($U$1271),$B$677=1),$U$1271,HLOOKUP(INDIRECT(ADDRESS(2,COLUMN())),OFFSET($BN$2,0,0,ROW()-1,60),ROW()-1,FALSE))</f>
        <v>5.3264003029999998</v>
      </c>
      <c r="V613">
        <f ca="1">IF(AND(ISNUMBER($V$1271),$B$677=1),$V$1271,HLOOKUP(INDIRECT(ADDRESS(2,COLUMN())),OFFSET($BN$2,0,0,ROW()-1,60),ROW()-1,FALSE))</f>
        <v>3.0763511779999999</v>
      </c>
      <c r="W613">
        <f ca="1">IF(AND(ISNUMBER($W$1271),$B$677=1),$W$1271,HLOOKUP(INDIRECT(ADDRESS(2,COLUMN())),OFFSET($BN$2,0,0,ROW()-1,60),ROW()-1,FALSE))</f>
        <v>1.270696813</v>
      </c>
      <c r="X613">
        <f ca="1">IF(AND(ISNUMBER($X$1271),$B$677=1),$X$1271,HLOOKUP(INDIRECT(ADDRESS(2,COLUMN())),OFFSET($BN$2,0,0,ROW()-1,60),ROW()-1,FALSE))</f>
        <v>2.6789381809999999</v>
      </c>
      <c r="Y613">
        <f ca="1">IF(AND(ISNUMBER($Y$1271),$B$677=1),$Y$1271,HLOOKUP(INDIRECT(ADDRESS(2,COLUMN())),OFFSET($BN$2,0,0,ROW()-1,60),ROW()-1,FALSE))</f>
        <v>4.3771226810000003</v>
      </c>
      <c r="Z613">
        <f ca="1">IF(AND(ISNUMBER($Z$1271),$B$677=1),$Z$1271,HLOOKUP(INDIRECT(ADDRESS(2,COLUMN())),OFFSET($BN$2,0,0,ROW()-1,60),ROW()-1,FALSE))</f>
        <v>7.8197350280000002</v>
      </c>
      <c r="AA613">
        <f ca="1">IF(AND(ISNUMBER($AA$1271),$B$677=1),$AA$1271,HLOOKUP(INDIRECT(ADDRESS(2,COLUMN())),OFFSET($BN$2,0,0,ROW()-1,60),ROW()-1,FALSE))</f>
        <v>8.2426483850000007</v>
      </c>
      <c r="AB613">
        <f ca="1">IF(AND(ISNUMBER($AB$1271),$B$677=1),$AB$1271,HLOOKUP(INDIRECT(ADDRESS(2,COLUMN())),OFFSET($BN$2,0,0,ROW()-1,60),ROW()-1,FALSE))</f>
        <v>5.759257045</v>
      </c>
      <c r="AC613">
        <f ca="1">IF(AND(ISNUMBER($AC$1271),$B$677=1),$AC$1271,HLOOKUP(INDIRECT(ADDRESS(2,COLUMN())),OFFSET($BN$2,0,0,ROW()-1,60),ROW()-1,FALSE))</f>
        <v>1.4273700570000001</v>
      </c>
      <c r="AD613">
        <f ca="1">IF(AND(ISNUMBER($AD$1271),$B$677=1),$AD$1271,HLOOKUP(INDIRECT(ADDRESS(2,COLUMN())),OFFSET($BN$2,0,0,ROW()-1,60),ROW()-1,FALSE))</f>
        <v>2.206406903</v>
      </c>
      <c r="AE613">
        <f ca="1">IF(AND(ISNUMBER($AE$1271),$B$677=1),$AE$1271,HLOOKUP(INDIRECT(ADDRESS(2,COLUMN())),OFFSET($BN$2,0,0,ROW()-1,60),ROW()-1,FALSE))</f>
        <v>0.34721921300000003</v>
      </c>
      <c r="AF613">
        <f ca="1">IF(AND(ISNUMBER($AF$1271),$B$677=1),$AF$1271,HLOOKUP(INDIRECT(ADDRESS(2,COLUMN())),OFFSET($BN$2,0,0,ROW()-1,60),ROW()-1,FALSE))</f>
        <v>5.5447915730000004</v>
      </c>
      <c r="AG613">
        <f ca="1">IF(AND(ISNUMBER($AG$1271),$B$677=1),$AG$1271,HLOOKUP(INDIRECT(ADDRESS(2,COLUMN())),OFFSET($BN$2,0,0,ROW()-1,60),ROW()-1,FALSE))</f>
        <v>12.714950290000001</v>
      </c>
      <c r="AH613">
        <f ca="1">IF(AND(ISNUMBER($AH$1271),$B$677=1),$AH$1271,HLOOKUP(INDIRECT(ADDRESS(2,COLUMN())),OFFSET($BN$2,0,0,ROW()-1,60),ROW()-1,FALSE))</f>
        <v>9.6938992890000009</v>
      </c>
      <c r="AI613">
        <f ca="1">IF(AND(ISNUMBER($AI$1271),$B$677=1),$AI$1271,HLOOKUP(INDIRECT(ADDRESS(2,COLUMN())),OFFSET($BN$2,0,0,ROW()-1,60),ROW()-1,FALSE))</f>
        <v>14.21008331</v>
      </c>
      <c r="AJ613">
        <f ca="1">IF(AND(ISNUMBER($AJ$1271),$B$677=1),$AJ$1271,HLOOKUP(INDIRECT(ADDRESS(2,COLUMN())),OFFSET($BN$2,0,0,ROW()-1,60),ROW()-1,FALSE))</f>
        <v>5.829394132</v>
      </c>
      <c r="AK613">
        <f ca="1">IF(AND(ISNUMBER($AK$1271),$B$677=1),$AK$1271,HLOOKUP(INDIRECT(ADDRESS(2,COLUMN())),OFFSET($BN$2,0,0,ROW()-1,60),ROW()-1,FALSE))</f>
        <v>2.84289433</v>
      </c>
      <c r="AL613">
        <f ca="1">IF(AND(ISNUMBER($AL$1271),$B$677=1),$AL$1271,HLOOKUP(INDIRECT(ADDRESS(2,COLUMN())),OFFSET($BN$2,0,0,ROW()-1,60),ROW()-1,FALSE))</f>
        <v>9.2635260119999998</v>
      </c>
      <c r="AM613">
        <f ca="1">IF(AND(ISNUMBER($AM$1271),$B$677=1),$AM$1271,HLOOKUP(INDIRECT(ADDRESS(2,COLUMN())),OFFSET($BN$2,0,0,ROW()-1,60),ROW()-1,FALSE))</f>
        <v>9.5837493649999992</v>
      </c>
      <c r="AN613">
        <f ca="1">IF(AND(ISNUMBER($AN$1271),$B$677=1),$AN$1271,HLOOKUP(INDIRECT(ADDRESS(2,COLUMN())),OFFSET($BN$2,0,0,ROW()-1,60),ROW()-1,FALSE))</f>
        <v>25.269111479999999</v>
      </c>
      <c r="AO613">
        <f ca="1">IF(AND(ISNUMBER($AO$1271),$B$677=1),$AO$1271,HLOOKUP(INDIRECT(ADDRESS(2,COLUMN())),OFFSET($BN$2,0,0,ROW()-1,60),ROW()-1,FALSE))</f>
        <v>31.512941690000002</v>
      </c>
      <c r="AP613">
        <f ca="1">IF(AND(ISNUMBER($AP$1271),$B$677=1),$AP$1271,HLOOKUP(INDIRECT(ADDRESS(2,COLUMN())),OFFSET($BN$2,0,0,ROW()-1,60),ROW()-1,FALSE))</f>
        <v>20.644938239999998</v>
      </c>
      <c r="AQ613">
        <f ca="1">IF(AND(ISNUMBER($AQ$1271),$B$677=1),$AQ$1271,HLOOKUP(INDIRECT(ADDRESS(2,COLUMN())),OFFSET($BN$2,0,0,ROW()-1,60),ROW()-1,FALSE))</f>
        <v>9.7516400720000007</v>
      </c>
      <c r="AR613">
        <f ca="1">IF(AND(ISNUMBER($AR$1271),$B$677=1),$AR$1271,HLOOKUP(INDIRECT(ADDRESS(2,COLUMN())),OFFSET($BN$2,0,0,ROW()-1,60),ROW()-1,FALSE))</f>
        <v>-11.3669308</v>
      </c>
      <c r="AS613">
        <f ca="1">IF(AND(ISNUMBER($AS$1271),$B$677=1),$AS$1271,HLOOKUP(INDIRECT(ADDRESS(2,COLUMN())),OFFSET($BN$2,0,0,ROW()-1,60),ROW()-1,FALSE))</f>
        <v>-19.876335149999999</v>
      </c>
      <c r="AT613">
        <f ca="1">IF(AND(ISNUMBER($AT$1271),$B$677=1),$AT$1271,HLOOKUP(INDIRECT(ADDRESS(2,COLUMN())),OFFSET($BN$2,0,0,ROW()-1,60),ROW()-1,FALSE))</f>
        <v>-23.623184210000002</v>
      </c>
      <c r="AU613">
        <f ca="1">IF(AND(ISNUMBER($AU$1271),$B$677=1),$AU$1271,HLOOKUP(INDIRECT(ADDRESS(2,COLUMN())),OFFSET($BN$2,0,0,ROW()-1,60),ROW()-1,FALSE))</f>
        <v>-31.521175110000001</v>
      </c>
      <c r="AV613">
        <f ca="1">IF(AND(ISNUMBER($AV$1271),$B$677=1),$AV$1271,HLOOKUP(INDIRECT(ADDRESS(2,COLUMN())),OFFSET($BN$2,0,0,ROW()-1,60),ROW()-1,FALSE))</f>
        <v>-3.9714338310000001</v>
      </c>
      <c r="AW613">
        <f ca="1">IF(AND(ISNUMBER($AW$1271),$B$677=1),$AW$1271,HLOOKUP(INDIRECT(ADDRESS(2,COLUMN())),OFFSET($BN$2,0,0,ROW()-1,60),ROW()-1,FALSE))</f>
        <v>-3.348933282</v>
      </c>
      <c r="AX613">
        <f ca="1">IF(AND(ISNUMBER($AX$1271),$B$677=1),$AX$1271,HLOOKUP(INDIRECT(ADDRESS(2,COLUMN())),OFFSET($BN$2,0,0,ROW()-1,60),ROW()-1,FALSE))</f>
        <v>-1.885962565</v>
      </c>
      <c r="AY613">
        <f ca="1">IF(AND(ISNUMBER($AY$1271),$B$677=1),$AY$1271,HLOOKUP(INDIRECT(ADDRESS(2,COLUMN())),OFFSET($BN$2,0,0,ROW()-1,60),ROW()-1,FALSE))</f>
        <v>1.1131569809999999</v>
      </c>
      <c r="AZ613">
        <f ca="1">IF(AND(ISNUMBER($AZ$1271),$B$677=1),$AZ$1271,HLOOKUP(INDIRECT(ADDRESS(2,COLUMN())),OFFSET($BN$2,0,0,ROW()-1,60),ROW()-1,FALSE))</f>
        <v>1.111087033</v>
      </c>
      <c r="BA613">
        <f ca="1">IF(AND(ISNUMBER($BA$1271),$B$677=1),$BA$1271,HLOOKUP(INDIRECT(ADDRESS(2,COLUMN())),OFFSET($BN$2,0,0,ROW()-1,60),ROW()-1,FALSE))</f>
        <v>1.8825260370000001</v>
      </c>
      <c r="BB613">
        <f ca="1">IF(AND(ISNUMBER($BB$1271),$B$677=1),$BB$1271,HLOOKUP(INDIRECT(ADDRESS(2,COLUMN())),OFFSET($BN$2,0,0,ROW()-1,60),ROW()-1,FALSE))</f>
        <v>2.1594201220000002</v>
      </c>
      <c r="BC613">
        <f ca="1">IF(AND(ISNUMBER($BC$1271),$B$677=1),$BC$1271,HLOOKUP(INDIRECT(ADDRESS(2,COLUMN())),OFFSET($BN$2,0,0,ROW()-1,60),ROW()-1,FALSE))</f>
        <v>3.8153812829999998</v>
      </c>
      <c r="BD613">
        <f ca="1">IF(AND(ISNUMBER($BD$1271),$B$677=1),$BD$1271,HLOOKUP(INDIRECT(ADDRESS(2,COLUMN())),OFFSET($BN$2,0,0,ROW()-1,60),ROW()-1,FALSE))</f>
        <v>4.4210320640000003</v>
      </c>
      <c r="BE613">
        <f ca="1">IF(AND(ISNUMBER($BE$1271),$B$677=1),$BE$1271,HLOOKUP(INDIRECT(ADDRESS(2,COLUMN())),OFFSET($BN$2,0,0,ROW()-1,60),ROW()-1,FALSE))</f>
        <v>6.7886118199999999</v>
      </c>
      <c r="BF613">
        <f ca="1">IF(AND(ISNUMBER($BF$1271),$B$677=1),$BF$1271,HLOOKUP(INDIRECT(ADDRESS(2,COLUMN())),OFFSET($BN$2,0,0,ROW()-1,60),ROW()-1,FALSE))</f>
        <v>5.5602693849999998</v>
      </c>
      <c r="BG613">
        <f ca="1">IF(AND(ISNUMBER($BG$1271),$B$677=1),$BG$1271,HLOOKUP(INDIRECT(ADDRESS(2,COLUMN())),OFFSET($BN$2,0,0,ROW()-1,60),ROW()-1,FALSE))</f>
        <v>4.2794427739999996</v>
      </c>
      <c r="BH613">
        <f ca="1">IF(AND(ISNUMBER($BH$1271),$B$677=1),$BH$1271,HLOOKUP(INDIRECT(ADDRESS(2,COLUMN())),OFFSET($BN$2,0,0,ROW()-1,60),ROW()-1,FALSE))</f>
        <v>5.6174110949999996</v>
      </c>
      <c r="BI613">
        <f ca="1">IF(AND(ISNUMBER($BI$1271),$B$677=1),$BI$1271,HLOOKUP(INDIRECT(ADDRESS(2,COLUMN())),OFFSET($BN$2,0,0,ROW()-1,60),ROW()-1,FALSE))</f>
        <v>8.1770445299999999</v>
      </c>
      <c r="BJ613">
        <f ca="1">IF(AND(ISNUMBER($BJ$1271),$B$677=1),$BJ$1271,HLOOKUP(INDIRECT(ADDRESS(2,COLUMN())),OFFSET($BN$2,0,0,ROW()-1,60),ROW()-1,FALSE))</f>
        <v>8.0605241759999995</v>
      </c>
      <c r="BK613">
        <f ca="1">IF(AND(ISNUMBER($BK$1271),$B$677=1),$BK$1271,HLOOKUP(INDIRECT(ADDRESS(2,COLUMN())),OFFSET($BN$2,0,0,ROW()-1,60),ROW()-1,FALSE))</f>
        <v>9.0784323049999998</v>
      </c>
      <c r="BL613">
        <f ca="1">IF(AND(ISNUMBER($BL$1271),$B$677=1),$BL$1271,HLOOKUP(INDIRECT(ADDRESS(2,COLUMN())),OFFSET($BN$2,0,0,ROW()-1,60),ROW()-1,FALSE))</f>
        <v>9.2084177930000006</v>
      </c>
      <c r="BM613">
        <f ca="1">IF(AND(ISNUMBER($BM$1271),$B$677=1),$BM$1271,HLOOKUP(INDIRECT(ADDRESS(2,COLUMN())),OFFSET($BN$2,0,0,ROW()-1,60),ROW()-1,FALSE))</f>
        <v>6.6431627329999996</v>
      </c>
      <c r="BN613">
        <f>6.412400781</f>
        <v>6.4124007809999997</v>
      </c>
      <c r="BO613">
        <f>6.655443096</f>
        <v>6.6554430959999999</v>
      </c>
      <c r="BP613">
        <f>6.707588118</f>
        <v>6.7075881180000003</v>
      </c>
      <c r="BQ613">
        <f>9.776588073</f>
        <v>9.7765880729999992</v>
      </c>
      <c r="BR613">
        <f>9.463149416</f>
        <v>9.4631494160000003</v>
      </c>
      <c r="BS613">
        <f>7.000189321</f>
        <v>7.0001893209999997</v>
      </c>
      <c r="BT613">
        <f>8.599097409</f>
        <v>8.5990974090000005</v>
      </c>
      <c r="BU613">
        <f>4.963250401</f>
        <v>4.9632504009999998</v>
      </c>
      <c r="BV613">
        <f>8.545364263</f>
        <v>8.5453642629999997</v>
      </c>
      <c r="BW613">
        <f>10.75860764</f>
        <v>10.758607639999999</v>
      </c>
      <c r="BX613">
        <f>14.2856465</f>
        <v>14.2856465</v>
      </c>
      <c r="BY613">
        <f>13.31634612</f>
        <v>13.31634612</v>
      </c>
      <c r="BZ613">
        <f>9.558658626</f>
        <v>9.5586586259999997</v>
      </c>
      <c r="CA613">
        <f>5.903222667</f>
        <v>5.9032226669999996</v>
      </c>
      <c r="CB613">
        <f>3.050165039</f>
        <v>3.0501650389999999</v>
      </c>
      <c r="CC613">
        <f>5.326400303</f>
        <v>5.3264003029999998</v>
      </c>
      <c r="CD613">
        <f>3.076351178</f>
        <v>3.0763511779999999</v>
      </c>
      <c r="CE613">
        <f>1.270696813</f>
        <v>1.270696813</v>
      </c>
      <c r="CF613">
        <f>2.678938181</f>
        <v>2.6789381809999999</v>
      </c>
      <c r="CG613">
        <f>4.377122681</f>
        <v>4.3771226810000003</v>
      </c>
      <c r="CH613">
        <f>7.819735028</f>
        <v>7.8197350280000002</v>
      </c>
      <c r="CI613">
        <f>8.242648385</f>
        <v>8.2426483850000007</v>
      </c>
      <c r="CJ613">
        <f>5.759257045</f>
        <v>5.759257045</v>
      </c>
      <c r="CK613">
        <f>1.427370057</f>
        <v>1.4273700570000001</v>
      </c>
      <c r="CL613">
        <f>2.206406903</f>
        <v>2.206406903</v>
      </c>
      <c r="CM613">
        <f>0.347219213</f>
        <v>0.34721921300000003</v>
      </c>
      <c r="CN613">
        <f>5.544791573</f>
        <v>5.5447915730000004</v>
      </c>
      <c r="CO613">
        <f>12.71495029</f>
        <v>12.714950290000001</v>
      </c>
      <c r="CP613">
        <f>9.693899289</f>
        <v>9.6938992890000009</v>
      </c>
      <c r="CQ613">
        <f>14.21008331</f>
        <v>14.21008331</v>
      </c>
      <c r="CR613">
        <f>5.829394132</f>
        <v>5.829394132</v>
      </c>
      <c r="CS613">
        <f>2.84289433</f>
        <v>2.84289433</v>
      </c>
      <c r="CT613">
        <f>9.263526012</f>
        <v>9.2635260119999998</v>
      </c>
      <c r="CU613">
        <f>9.583749365</f>
        <v>9.5837493649999992</v>
      </c>
      <c r="CV613">
        <f>25.26911148</f>
        <v>25.269111479999999</v>
      </c>
      <c r="CW613">
        <f>31.51294169</f>
        <v>31.512941690000002</v>
      </c>
      <c r="CX613">
        <f>20.64493824</f>
        <v>20.644938239999998</v>
      </c>
      <c r="CY613">
        <f>9.751640072</f>
        <v>9.7516400720000007</v>
      </c>
      <c r="CZ613">
        <f>-11.3669308</f>
        <v>-11.3669308</v>
      </c>
      <c r="DA613">
        <f>-19.87633515</f>
        <v>-19.876335149999999</v>
      </c>
      <c r="DB613">
        <f>-23.62318421</f>
        <v>-23.623184210000002</v>
      </c>
      <c r="DC613">
        <f>-31.52117511</f>
        <v>-31.521175110000001</v>
      </c>
      <c r="DD613">
        <f>-3.971433831</f>
        <v>-3.9714338310000001</v>
      </c>
      <c r="DE613">
        <f>-3.348933282</f>
        <v>-3.348933282</v>
      </c>
      <c r="DF613">
        <f>-1.885962565</f>
        <v>-1.885962565</v>
      </c>
      <c r="DG613">
        <f>1.113156981</f>
        <v>1.1131569809999999</v>
      </c>
      <c r="DH613">
        <f>1.111087033</f>
        <v>1.111087033</v>
      </c>
      <c r="DI613">
        <f>1.882526037</f>
        <v>1.8825260370000001</v>
      </c>
      <c r="DJ613">
        <f>2.159420122</f>
        <v>2.1594201220000002</v>
      </c>
      <c r="DK613">
        <f>3.815381283</f>
        <v>3.8153812829999998</v>
      </c>
      <c r="DL613">
        <f>4.421032064</f>
        <v>4.4210320640000003</v>
      </c>
      <c r="DM613">
        <f>6.78861182</f>
        <v>6.7886118199999999</v>
      </c>
      <c r="DN613">
        <f>5.560269385</f>
        <v>5.5602693849999998</v>
      </c>
      <c r="DO613">
        <f>4.279442774</f>
        <v>4.2794427739999996</v>
      </c>
      <c r="DP613">
        <f>5.617411095</f>
        <v>5.6174110949999996</v>
      </c>
      <c r="DQ613">
        <f>8.17704453</f>
        <v>8.1770445299999999</v>
      </c>
      <c r="DR613">
        <f>8.060524176</f>
        <v>8.0605241759999995</v>
      </c>
      <c r="DS613">
        <f>9.078432305</f>
        <v>9.0784323049999998</v>
      </c>
      <c r="DT613">
        <f>9.208417793</f>
        <v>9.2084177930000006</v>
      </c>
      <c r="DU613">
        <f>6.643162733</f>
        <v>6.6431627329999996</v>
      </c>
    </row>
    <row r="614" spans="1:125" x14ac:dyDescent="0.25">
      <c r="A614" t="str">
        <f>"    Tata Motors Ltd"</f>
        <v xml:space="preserve">    Tata Motors Ltd</v>
      </c>
      <c r="B614" t="str">
        <f>"TTMT IN Equity"</f>
        <v>TTMT IN Equity</v>
      </c>
      <c r="C614" t="str">
        <f t="shared" si="42"/>
        <v>RX072</v>
      </c>
      <c r="D614" t="str">
        <f t="shared" si="43"/>
        <v>FREE_CASH_FLOW_YIELD</v>
      </c>
      <c r="E614" t="str">
        <f t="shared" si="44"/>
        <v>Dynamic</v>
      </c>
      <c r="F614" t="str">
        <f ca="1">IF(AND(ISNUMBER($F$1272),$B$677=1),$F$1272,HLOOKUP(INDIRECT(ADDRESS(2,COLUMN())),OFFSET($BN$2,0,0,ROW()-1,60),ROW()-1,FALSE))</f>
        <v/>
      </c>
      <c r="G614" t="str">
        <f ca="1">IF(AND(ISNUMBER($G$1272),$B$677=1),$G$1272,HLOOKUP(INDIRECT(ADDRESS(2,COLUMN())),OFFSET($BN$2,0,0,ROW()-1,60),ROW()-1,FALSE))</f>
        <v/>
      </c>
      <c r="H614" t="str">
        <f ca="1">IF(AND(ISNUMBER($H$1272),$B$677=1),$H$1272,HLOOKUP(INDIRECT(ADDRESS(2,COLUMN())),OFFSET($BN$2,0,0,ROW()-1,60),ROW()-1,FALSE))</f>
        <v/>
      </c>
      <c r="I614" t="str">
        <f ca="1">IF(AND(ISNUMBER($I$1272),$B$677=1),$I$1272,HLOOKUP(INDIRECT(ADDRESS(2,COLUMN())),OFFSET($BN$2,0,0,ROW()-1,60),ROW()-1,FALSE))</f>
        <v/>
      </c>
      <c r="J614" t="str">
        <f ca="1">IF(AND(ISNUMBER($J$1272),$B$677=1),$J$1272,HLOOKUP(INDIRECT(ADDRESS(2,COLUMN())),OFFSET($BN$2,0,0,ROW()-1,60),ROW()-1,FALSE))</f>
        <v/>
      </c>
      <c r="K614" t="str">
        <f ca="1">IF(AND(ISNUMBER($K$1272),$B$677=1),$K$1272,HLOOKUP(INDIRECT(ADDRESS(2,COLUMN())),OFFSET($BN$2,0,0,ROW()-1,60),ROW()-1,FALSE))</f>
        <v/>
      </c>
      <c r="L614" t="str">
        <f ca="1">IF(AND(ISNUMBER($L$1272),$B$677=1),$L$1272,HLOOKUP(INDIRECT(ADDRESS(2,COLUMN())),OFFSET($BN$2,0,0,ROW()-1,60),ROW()-1,FALSE))</f>
        <v/>
      </c>
      <c r="M614" t="str">
        <f ca="1">IF(AND(ISNUMBER($M$1272),$B$677=1),$M$1272,HLOOKUP(INDIRECT(ADDRESS(2,COLUMN())),OFFSET($BN$2,0,0,ROW()-1,60),ROW()-1,FALSE))</f>
        <v/>
      </c>
      <c r="N614" t="str">
        <f ca="1">IF(AND(ISNUMBER($N$1272),$B$677=1),$N$1272,HLOOKUP(INDIRECT(ADDRESS(2,COLUMN())),OFFSET($BN$2,0,0,ROW()-1,60),ROW()-1,FALSE))</f>
        <v/>
      </c>
      <c r="O614" t="str">
        <f ca="1">IF(AND(ISNUMBER($O$1272),$B$677=1),$O$1272,HLOOKUP(INDIRECT(ADDRESS(2,COLUMN())),OFFSET($BN$2,0,0,ROW()-1,60),ROW()-1,FALSE))</f>
        <v/>
      </c>
      <c r="P614" t="str">
        <f ca="1">IF(AND(ISNUMBER($P$1272),$B$677=1),$P$1272,HLOOKUP(INDIRECT(ADDRESS(2,COLUMN())),OFFSET($BN$2,0,0,ROW()-1,60),ROW()-1,FALSE))</f>
        <v/>
      </c>
      <c r="Q614" t="str">
        <f ca="1">IF(AND(ISNUMBER($Q$1272),$B$677=1),$Q$1272,HLOOKUP(INDIRECT(ADDRESS(2,COLUMN())),OFFSET($BN$2,0,0,ROW()-1,60),ROW()-1,FALSE))</f>
        <v/>
      </c>
      <c r="R614" t="str">
        <f ca="1">IF(AND(ISNUMBER($R$1272),$B$677=1),$R$1272,HLOOKUP(INDIRECT(ADDRESS(2,COLUMN())),OFFSET($BN$2,0,0,ROW()-1,60),ROW()-1,FALSE))</f>
        <v/>
      </c>
      <c r="S614" t="str">
        <f ca="1">IF(AND(ISNUMBER($S$1272),$B$677=1),$S$1272,HLOOKUP(INDIRECT(ADDRESS(2,COLUMN())),OFFSET($BN$2,0,0,ROW()-1,60),ROW()-1,FALSE))</f>
        <v/>
      </c>
      <c r="T614" t="str">
        <f ca="1">IF(AND(ISNUMBER($T$1272),$B$677=1),$T$1272,HLOOKUP(INDIRECT(ADDRESS(2,COLUMN())),OFFSET($BN$2,0,0,ROW()-1,60),ROW()-1,FALSE))</f>
        <v/>
      </c>
      <c r="U614" t="str">
        <f ca="1">IF(AND(ISNUMBER($U$1272),$B$677=1),$U$1272,HLOOKUP(INDIRECT(ADDRESS(2,COLUMN())),OFFSET($BN$2,0,0,ROW()-1,60),ROW()-1,FALSE))</f>
        <v/>
      </c>
      <c r="V614" t="str">
        <f ca="1">IF(AND(ISNUMBER($V$1272),$B$677=1),$V$1272,HLOOKUP(INDIRECT(ADDRESS(2,COLUMN())),OFFSET($BN$2,0,0,ROW()-1,60),ROW()-1,FALSE))</f>
        <v/>
      </c>
      <c r="W614" t="str">
        <f ca="1">IF(AND(ISNUMBER($W$1272),$B$677=1),$W$1272,HLOOKUP(INDIRECT(ADDRESS(2,COLUMN())),OFFSET($BN$2,0,0,ROW()-1,60),ROW()-1,FALSE))</f>
        <v/>
      </c>
      <c r="X614" t="str">
        <f ca="1">IF(AND(ISNUMBER($X$1272),$B$677=1),$X$1272,HLOOKUP(INDIRECT(ADDRESS(2,COLUMN())),OFFSET($BN$2,0,0,ROW()-1,60),ROW()-1,FALSE))</f>
        <v/>
      </c>
      <c r="Y614" t="str">
        <f ca="1">IF(AND(ISNUMBER($Y$1272),$B$677=1),$Y$1272,HLOOKUP(INDIRECT(ADDRESS(2,COLUMN())),OFFSET($BN$2,0,0,ROW()-1,60),ROW()-1,FALSE))</f>
        <v/>
      </c>
      <c r="Z614" t="str">
        <f ca="1">IF(AND(ISNUMBER($Z$1272),$B$677=1),$Z$1272,HLOOKUP(INDIRECT(ADDRESS(2,COLUMN())),OFFSET($BN$2,0,0,ROW()-1,60),ROW()-1,FALSE))</f>
        <v/>
      </c>
      <c r="AA614" t="str">
        <f ca="1">IF(AND(ISNUMBER($AA$1272),$B$677=1),$AA$1272,HLOOKUP(INDIRECT(ADDRESS(2,COLUMN())),OFFSET($BN$2,0,0,ROW()-1,60),ROW()-1,FALSE))</f>
        <v/>
      </c>
      <c r="AB614" t="str">
        <f ca="1">IF(AND(ISNUMBER($AB$1272),$B$677=1),$AB$1272,HLOOKUP(INDIRECT(ADDRESS(2,COLUMN())),OFFSET($BN$2,0,0,ROW()-1,60),ROW()-1,FALSE))</f>
        <v/>
      </c>
      <c r="AC614" t="str">
        <f ca="1">IF(AND(ISNUMBER($AC$1272),$B$677=1),$AC$1272,HLOOKUP(INDIRECT(ADDRESS(2,COLUMN())),OFFSET($BN$2,0,0,ROW()-1,60),ROW()-1,FALSE))</f>
        <v/>
      </c>
      <c r="AD614" t="str">
        <f ca="1">IF(AND(ISNUMBER($AD$1272),$B$677=1),$AD$1272,HLOOKUP(INDIRECT(ADDRESS(2,COLUMN())),OFFSET($BN$2,0,0,ROW()-1,60),ROW()-1,FALSE))</f>
        <v/>
      </c>
      <c r="AE614" t="str">
        <f ca="1">IF(AND(ISNUMBER($AE$1272),$B$677=1),$AE$1272,HLOOKUP(INDIRECT(ADDRESS(2,COLUMN())),OFFSET($BN$2,0,0,ROW()-1,60),ROW()-1,FALSE))</f>
        <v/>
      </c>
      <c r="AF614" t="str">
        <f ca="1">IF(AND(ISNUMBER($AF$1272),$B$677=1),$AF$1272,HLOOKUP(INDIRECT(ADDRESS(2,COLUMN())),OFFSET($BN$2,0,0,ROW()-1,60),ROW()-1,FALSE))</f>
        <v/>
      </c>
      <c r="AG614" t="str">
        <f ca="1">IF(AND(ISNUMBER($AG$1272),$B$677=1),$AG$1272,HLOOKUP(INDIRECT(ADDRESS(2,COLUMN())),OFFSET($BN$2,0,0,ROW()-1,60),ROW()-1,FALSE))</f>
        <v/>
      </c>
      <c r="AH614" t="str">
        <f ca="1">IF(AND(ISNUMBER($AH$1272),$B$677=1),$AH$1272,HLOOKUP(INDIRECT(ADDRESS(2,COLUMN())),OFFSET($BN$2,0,0,ROW()-1,60),ROW()-1,FALSE))</f>
        <v/>
      </c>
      <c r="AI614" t="str">
        <f ca="1">IF(AND(ISNUMBER($AI$1272),$B$677=1),$AI$1272,HLOOKUP(INDIRECT(ADDRESS(2,COLUMN())),OFFSET($BN$2,0,0,ROW()-1,60),ROW()-1,FALSE))</f>
        <v/>
      </c>
      <c r="AJ614" t="str">
        <f ca="1">IF(AND(ISNUMBER($AJ$1272),$B$677=1),$AJ$1272,HLOOKUP(INDIRECT(ADDRESS(2,COLUMN())),OFFSET($BN$2,0,0,ROW()-1,60),ROW()-1,FALSE))</f>
        <v/>
      </c>
      <c r="AK614" t="str">
        <f ca="1">IF(AND(ISNUMBER($AK$1272),$B$677=1),$AK$1272,HLOOKUP(INDIRECT(ADDRESS(2,COLUMN())),OFFSET($BN$2,0,0,ROW()-1,60),ROW()-1,FALSE))</f>
        <v/>
      </c>
      <c r="AL614" t="str">
        <f ca="1">IF(AND(ISNUMBER($AL$1272),$B$677=1),$AL$1272,HLOOKUP(INDIRECT(ADDRESS(2,COLUMN())),OFFSET($BN$2,0,0,ROW()-1,60),ROW()-1,FALSE))</f>
        <v/>
      </c>
      <c r="AM614" t="str">
        <f ca="1">IF(AND(ISNUMBER($AM$1272),$B$677=1),$AM$1272,HLOOKUP(INDIRECT(ADDRESS(2,COLUMN())),OFFSET($BN$2,0,0,ROW()-1,60),ROW()-1,FALSE))</f>
        <v/>
      </c>
      <c r="AN614" t="str">
        <f ca="1">IF(AND(ISNUMBER($AN$1272),$B$677=1),$AN$1272,HLOOKUP(INDIRECT(ADDRESS(2,COLUMN())),OFFSET($BN$2,0,0,ROW()-1,60),ROW()-1,FALSE))</f>
        <v/>
      </c>
      <c r="AO614" t="str">
        <f ca="1">IF(AND(ISNUMBER($AO$1272),$B$677=1),$AO$1272,HLOOKUP(INDIRECT(ADDRESS(2,COLUMN())),OFFSET($BN$2,0,0,ROW()-1,60),ROW()-1,FALSE))</f>
        <v/>
      </c>
      <c r="AP614" t="str">
        <f ca="1">IF(AND(ISNUMBER($AP$1272),$B$677=1),$AP$1272,HLOOKUP(INDIRECT(ADDRESS(2,COLUMN())),OFFSET($BN$2,0,0,ROW()-1,60),ROW()-1,FALSE))</f>
        <v/>
      </c>
      <c r="AQ614" t="str">
        <f ca="1">IF(AND(ISNUMBER($AQ$1272),$B$677=1),$AQ$1272,HLOOKUP(INDIRECT(ADDRESS(2,COLUMN())),OFFSET($BN$2,0,0,ROW()-1,60),ROW()-1,FALSE))</f>
        <v/>
      </c>
      <c r="AR614" t="str">
        <f ca="1">IF(AND(ISNUMBER($AR$1272),$B$677=1),$AR$1272,HLOOKUP(INDIRECT(ADDRESS(2,COLUMN())),OFFSET($BN$2,0,0,ROW()-1,60),ROW()-1,FALSE))</f>
        <v/>
      </c>
      <c r="AS614" t="str">
        <f ca="1">IF(AND(ISNUMBER($AS$1272),$B$677=1),$AS$1272,HLOOKUP(INDIRECT(ADDRESS(2,COLUMN())),OFFSET($BN$2,0,0,ROW()-1,60),ROW()-1,FALSE))</f>
        <v/>
      </c>
      <c r="AT614" t="str">
        <f ca="1">IF(AND(ISNUMBER($AT$1272),$B$677=1),$AT$1272,HLOOKUP(INDIRECT(ADDRESS(2,COLUMN())),OFFSET($BN$2,0,0,ROW()-1,60),ROW()-1,FALSE))</f>
        <v/>
      </c>
      <c r="AU614" t="str">
        <f ca="1">IF(AND(ISNUMBER($AU$1272),$B$677=1),$AU$1272,HLOOKUP(INDIRECT(ADDRESS(2,COLUMN())),OFFSET($BN$2,0,0,ROW()-1,60),ROW()-1,FALSE))</f>
        <v/>
      </c>
      <c r="AV614" t="str">
        <f ca="1">IF(AND(ISNUMBER($AV$1272),$B$677=1),$AV$1272,HLOOKUP(INDIRECT(ADDRESS(2,COLUMN())),OFFSET($BN$2,0,0,ROW()-1,60),ROW()-1,FALSE))</f>
        <v/>
      </c>
      <c r="AW614" t="str">
        <f ca="1">IF(AND(ISNUMBER($AW$1272),$B$677=1),$AW$1272,HLOOKUP(INDIRECT(ADDRESS(2,COLUMN())),OFFSET($BN$2,0,0,ROW()-1,60),ROW()-1,FALSE))</f>
        <v/>
      </c>
      <c r="AX614" t="str">
        <f ca="1">IF(AND(ISNUMBER($AX$1272),$B$677=1),$AX$1272,HLOOKUP(INDIRECT(ADDRESS(2,COLUMN())),OFFSET($BN$2,0,0,ROW()-1,60),ROW()-1,FALSE))</f>
        <v/>
      </c>
      <c r="AY614" t="str">
        <f ca="1">IF(AND(ISNUMBER($AY$1272),$B$677=1),$AY$1272,HLOOKUP(INDIRECT(ADDRESS(2,COLUMN())),OFFSET($BN$2,0,0,ROW()-1,60),ROW()-1,FALSE))</f>
        <v/>
      </c>
      <c r="AZ614" t="str">
        <f ca="1">IF(AND(ISNUMBER($AZ$1272),$B$677=1),$AZ$1272,HLOOKUP(INDIRECT(ADDRESS(2,COLUMN())),OFFSET($BN$2,0,0,ROW()-1,60),ROW()-1,FALSE))</f>
        <v/>
      </c>
      <c r="BA614" t="str">
        <f ca="1">IF(AND(ISNUMBER($BA$1272),$B$677=1),$BA$1272,HLOOKUP(INDIRECT(ADDRESS(2,COLUMN())),OFFSET($BN$2,0,0,ROW()-1,60),ROW()-1,FALSE))</f>
        <v/>
      </c>
      <c r="BB614" t="str">
        <f ca="1">IF(AND(ISNUMBER($BB$1272),$B$677=1),$BB$1272,HLOOKUP(INDIRECT(ADDRESS(2,COLUMN())),OFFSET($BN$2,0,0,ROW()-1,60),ROW()-1,FALSE))</f>
        <v/>
      </c>
      <c r="BC614" t="str">
        <f ca="1">IF(AND(ISNUMBER($BC$1272),$B$677=1),$BC$1272,HLOOKUP(INDIRECT(ADDRESS(2,COLUMN())),OFFSET($BN$2,0,0,ROW()-1,60),ROW()-1,FALSE))</f>
        <v/>
      </c>
      <c r="BD614" t="str">
        <f ca="1">IF(AND(ISNUMBER($BD$1272),$B$677=1),$BD$1272,HLOOKUP(INDIRECT(ADDRESS(2,COLUMN())),OFFSET($BN$2,0,0,ROW()-1,60),ROW()-1,FALSE))</f>
        <v/>
      </c>
      <c r="BE614" t="str">
        <f ca="1">IF(AND(ISNUMBER($BE$1272),$B$677=1),$BE$1272,HLOOKUP(INDIRECT(ADDRESS(2,COLUMN())),OFFSET($BN$2,0,0,ROW()-1,60),ROW()-1,FALSE))</f>
        <v/>
      </c>
      <c r="BF614" t="str">
        <f ca="1">IF(AND(ISNUMBER($BF$1272),$B$677=1),$BF$1272,HLOOKUP(INDIRECT(ADDRESS(2,COLUMN())),OFFSET($BN$2,0,0,ROW()-1,60),ROW()-1,FALSE))</f>
        <v/>
      </c>
      <c r="BG614" t="str">
        <f ca="1">IF(AND(ISNUMBER($BG$1272),$B$677=1),$BG$1272,HLOOKUP(INDIRECT(ADDRESS(2,COLUMN())),OFFSET($BN$2,0,0,ROW()-1,60),ROW()-1,FALSE))</f>
        <v/>
      </c>
      <c r="BH614" t="str">
        <f ca="1">IF(AND(ISNUMBER($BH$1272),$B$677=1),$BH$1272,HLOOKUP(INDIRECT(ADDRESS(2,COLUMN())),OFFSET($BN$2,0,0,ROW()-1,60),ROW()-1,FALSE))</f>
        <v/>
      </c>
      <c r="BI614" t="str">
        <f ca="1">IF(AND(ISNUMBER($BI$1272),$B$677=1),$BI$1272,HLOOKUP(INDIRECT(ADDRESS(2,COLUMN())),OFFSET($BN$2,0,0,ROW()-1,60),ROW()-1,FALSE))</f>
        <v/>
      </c>
      <c r="BJ614" t="str">
        <f ca="1">IF(AND(ISNUMBER($BJ$1272),$B$677=1),$BJ$1272,HLOOKUP(INDIRECT(ADDRESS(2,COLUMN())),OFFSET($BN$2,0,0,ROW()-1,60),ROW()-1,FALSE))</f>
        <v/>
      </c>
      <c r="BK614" t="str">
        <f ca="1">IF(AND(ISNUMBER($BK$1272),$B$677=1),$BK$1272,HLOOKUP(INDIRECT(ADDRESS(2,COLUMN())),OFFSET($BN$2,0,0,ROW()-1,60),ROW()-1,FALSE))</f>
        <v/>
      </c>
      <c r="BL614" t="str">
        <f ca="1">IF(AND(ISNUMBER($BL$1272),$B$677=1),$BL$1272,HLOOKUP(INDIRECT(ADDRESS(2,COLUMN())),OFFSET($BN$2,0,0,ROW()-1,60),ROW()-1,FALSE))</f>
        <v/>
      </c>
      <c r="BM614" t="str">
        <f ca="1">IF(AND(ISNUMBER($BM$1272),$B$677=1),$BM$1272,HLOOKUP(INDIRECT(ADDRESS(2,COLUMN())),OFFSET($BN$2,0,0,ROW()-1,60),ROW()-1,FALSE))</f>
        <v/>
      </c>
      <c r="BN614" t="str">
        <f>""</f>
        <v/>
      </c>
      <c r="BO614" t="str">
        <f>""</f>
        <v/>
      </c>
      <c r="BP614" t="str">
        <f>""</f>
        <v/>
      </c>
      <c r="BQ614" t="str">
        <f>""</f>
        <v/>
      </c>
      <c r="BR614" t="str">
        <f>""</f>
        <v/>
      </c>
      <c r="BS614" t="str">
        <f>""</f>
        <v/>
      </c>
      <c r="BT614" t="str">
        <f>""</f>
        <v/>
      </c>
      <c r="BU614" t="str">
        <f>""</f>
        <v/>
      </c>
      <c r="BV614" t="str">
        <f>""</f>
        <v/>
      </c>
      <c r="BW614" t="str">
        <f>""</f>
        <v/>
      </c>
      <c r="BX614" t="str">
        <f>""</f>
        <v/>
      </c>
      <c r="BY614" t="str">
        <f>""</f>
        <v/>
      </c>
      <c r="BZ614" t="str">
        <f>""</f>
        <v/>
      </c>
      <c r="CA614" t="str">
        <f>""</f>
        <v/>
      </c>
      <c r="CB614" t="str">
        <f>""</f>
        <v/>
      </c>
      <c r="CC614" t="str">
        <f>""</f>
        <v/>
      </c>
      <c r="CD614" t="str">
        <f>""</f>
        <v/>
      </c>
      <c r="CE614" t="str">
        <f>""</f>
        <v/>
      </c>
      <c r="CF614" t="str">
        <f>""</f>
        <v/>
      </c>
      <c r="CG614" t="str">
        <f>""</f>
        <v/>
      </c>
      <c r="CH614" t="str">
        <f>""</f>
        <v/>
      </c>
      <c r="CI614" t="str">
        <f>""</f>
        <v/>
      </c>
      <c r="CJ614" t="str">
        <f>""</f>
        <v/>
      </c>
      <c r="CK614" t="str">
        <f>""</f>
        <v/>
      </c>
      <c r="CL614" t="str">
        <f>""</f>
        <v/>
      </c>
      <c r="CM614" t="str">
        <f>""</f>
        <v/>
      </c>
      <c r="CN614" t="str">
        <f>""</f>
        <v/>
      </c>
      <c r="CO614" t="str">
        <f>""</f>
        <v/>
      </c>
      <c r="CP614" t="str">
        <f>""</f>
        <v/>
      </c>
      <c r="CQ614" t="str">
        <f>""</f>
        <v/>
      </c>
      <c r="CR614" t="str">
        <f>""</f>
        <v/>
      </c>
      <c r="CS614" t="str">
        <f>""</f>
        <v/>
      </c>
      <c r="CT614" t="str">
        <f>""</f>
        <v/>
      </c>
      <c r="CU614" t="str">
        <f>""</f>
        <v/>
      </c>
      <c r="CV614" t="str">
        <f>""</f>
        <v/>
      </c>
      <c r="CW614" t="str">
        <f>""</f>
        <v/>
      </c>
      <c r="CX614" t="str">
        <f>""</f>
        <v/>
      </c>
      <c r="CY614" t="str">
        <f>""</f>
        <v/>
      </c>
      <c r="CZ614" t="str">
        <f>""</f>
        <v/>
      </c>
      <c r="DA614" t="str">
        <f>""</f>
        <v/>
      </c>
      <c r="DB614" t="str">
        <f>""</f>
        <v/>
      </c>
      <c r="DC614" t="str">
        <f>""</f>
        <v/>
      </c>
      <c r="DD614" t="str">
        <f>""</f>
        <v/>
      </c>
      <c r="DE614" t="str">
        <f>""</f>
        <v/>
      </c>
      <c r="DF614" t="str">
        <f>""</f>
        <v/>
      </c>
      <c r="DG614" t="str">
        <f>""</f>
        <v/>
      </c>
      <c r="DH614" t="str">
        <f>""</f>
        <v/>
      </c>
      <c r="DI614" t="str">
        <f>""</f>
        <v/>
      </c>
      <c r="DJ614" t="str">
        <f>""</f>
        <v/>
      </c>
      <c r="DK614" t="str">
        <f>""</f>
        <v/>
      </c>
      <c r="DL614" t="str">
        <f>""</f>
        <v/>
      </c>
      <c r="DM614" t="str">
        <f>""</f>
        <v/>
      </c>
      <c r="DN614" t="str">
        <f>""</f>
        <v/>
      </c>
      <c r="DO614" t="str">
        <f>""</f>
        <v/>
      </c>
      <c r="DP614" t="str">
        <f>""</f>
        <v/>
      </c>
      <c r="DQ614" t="str">
        <f>""</f>
        <v/>
      </c>
      <c r="DR614" t="str">
        <f>""</f>
        <v/>
      </c>
      <c r="DS614" t="str">
        <f>""</f>
        <v/>
      </c>
      <c r="DT614" t="str">
        <f>""</f>
        <v/>
      </c>
      <c r="DU614" t="str">
        <f>""</f>
        <v/>
      </c>
    </row>
    <row r="615" spans="1:125" x14ac:dyDescent="0.25">
      <c r="A615" t="str">
        <f>"    Tesla Inc"</f>
        <v xml:space="preserve">    Tesla Inc</v>
      </c>
      <c r="B615" t="str">
        <f>"TSLA US Equity"</f>
        <v>TSLA US Equity</v>
      </c>
      <c r="C615" t="str">
        <f t="shared" si="42"/>
        <v>RX072</v>
      </c>
      <c r="D615" t="str">
        <f t="shared" si="43"/>
        <v>FREE_CASH_FLOW_YIELD</v>
      </c>
      <c r="E615" t="str">
        <f t="shared" si="44"/>
        <v>Dynamic</v>
      </c>
      <c r="F615">
        <f ca="1">IF(AND(ISNUMBER($F$1273),$B$677=1),$F$1273,HLOOKUP(INDIRECT(ADDRESS(2,COLUMN())),OFFSET($BN$2,0,0,ROW()-1,60),ROW()-1,FALSE))</f>
        <v>-4.5959997000000002E-2</v>
      </c>
      <c r="G615">
        <f ca="1">IF(AND(ISNUMBER($G$1273),$B$677=1),$G$1273,HLOOKUP(INDIRECT(ADDRESS(2,COLUMN())),OFFSET($BN$2,0,0,ROW()-1,60),ROW()-1,FALSE))</f>
        <v>-4.0669693E-2</v>
      </c>
      <c r="H615">
        <f ca="1">IF(AND(ISNUMBER($H$1273),$B$677=1),$H$1273,HLOOKUP(INDIRECT(ADDRESS(2,COLUMN())),OFFSET($BN$2,0,0,ROW()-1,60),ROW()-1,FALSE))</f>
        <v>-2.6692413099999999</v>
      </c>
      <c r="I615">
        <f ca="1">IF(AND(ISNUMBER($I$1273),$B$677=1),$I$1273,HLOOKUP(INDIRECT(ADDRESS(2,COLUMN())),OFFSET($BN$2,0,0,ROW()-1,60),ROW()-1,FALSE))</f>
        <v>-5.8503411180000002</v>
      </c>
      <c r="J615">
        <f ca="1">IF(AND(ISNUMBER($J$1273),$B$677=1),$J$1273,HLOOKUP(INDIRECT(ADDRESS(2,COLUMN())),OFFSET($BN$2,0,0,ROW()-1,60),ROW()-1,FALSE))</f>
        <v>-8.7787289840000007</v>
      </c>
      <c r="K615">
        <f ca="1">IF(AND(ISNUMBER($K$1273),$B$677=1),$K$1273,HLOOKUP(INDIRECT(ADDRESS(2,COLUMN())),OFFSET($BN$2,0,0,ROW()-1,60),ROW()-1,FALSE))</f>
        <v>-6.7353261350000002</v>
      </c>
      <c r="L615">
        <f ca="1">IF(AND(ISNUMBER($L$1273),$B$677=1),$L$1273,HLOOKUP(INDIRECT(ADDRESS(2,COLUMN())),OFFSET($BN$2,0,0,ROW()-1,60),ROW()-1,FALSE))</f>
        <v>-7.4998098640000004</v>
      </c>
      <c r="M615">
        <f ca="1">IF(AND(ISNUMBER($M$1273),$B$677=1),$M$1273,HLOOKUP(INDIRECT(ADDRESS(2,COLUMN())),OFFSET($BN$2,0,0,ROW()-1,60),ROW()-1,FALSE))</f>
        <v>-4.4053600360000003</v>
      </c>
      <c r="N615">
        <f ca="1">IF(AND(ISNUMBER($N$1273),$B$677=1),$N$1273,HLOOKUP(INDIRECT(ADDRESS(2,COLUMN())),OFFSET($BN$2,0,0,ROW()-1,60),ROW()-1,FALSE))</f>
        <v>-3.5734747979999999</v>
      </c>
      <c r="O615">
        <f ca="1">IF(AND(ISNUMBER($O$1273),$B$677=1),$O$1273,HLOOKUP(INDIRECT(ADDRESS(2,COLUMN())),OFFSET($BN$2,0,0,ROW()-1,60),ROW()-1,FALSE))</f>
        <v>-4.5026248539999996</v>
      </c>
      <c r="P615">
        <f ca="1">IF(AND(ISNUMBER($P$1273),$B$677=1),$P$1273,HLOOKUP(INDIRECT(ADDRESS(2,COLUMN())),OFFSET($BN$2,0,0,ROW()-1,60),ROW()-1,FALSE))</f>
        <v>-3.2985855019999999</v>
      </c>
      <c r="Q615">
        <f ca="1">IF(AND(ISNUMBER($Q$1273),$B$677=1),$Q$1273,HLOOKUP(INDIRECT(ADDRESS(2,COLUMN())),OFFSET($BN$2,0,0,ROW()-1,60),ROW()-1,FALSE))</f>
        <v>-5.9023866859999998</v>
      </c>
      <c r="R615">
        <f ca="1">IF(AND(ISNUMBER($R$1273),$B$677=1),$R$1273,HLOOKUP(INDIRECT(ADDRESS(2,COLUMN())),OFFSET($BN$2,0,0,ROW()-1,60),ROW()-1,FALSE))</f>
        <v>-6.9440609919999998</v>
      </c>
      <c r="S615">
        <f ca="1">IF(AND(ISNUMBER($S$1273),$B$677=1),$S$1273,HLOOKUP(INDIRECT(ADDRESS(2,COLUMN())),OFFSET($BN$2,0,0,ROW()-1,60),ROW()-1,FALSE))</f>
        <v>-7.0283920889999996</v>
      </c>
      <c r="T615">
        <f ca="1">IF(AND(ISNUMBER($T$1273),$B$677=1),$T$1273,HLOOKUP(INDIRECT(ADDRESS(2,COLUMN())),OFFSET($BN$2,0,0,ROW()-1,60),ROW()-1,FALSE))</f>
        <v>-6.8963544959999998</v>
      </c>
      <c r="U615">
        <f ca="1">IF(AND(ISNUMBER($U$1273),$B$677=1),$U$1273,HLOOKUP(INDIRECT(ADDRESS(2,COLUMN())),OFFSET($BN$2,0,0,ROW()-1,60),ROW()-1,FALSE))</f>
        <v>-5.595968075</v>
      </c>
      <c r="V615">
        <f ca="1">IF(AND(ISNUMBER($V$1273),$B$677=1),$V$1273,HLOOKUP(INDIRECT(ADDRESS(2,COLUMN())),OFFSET($BN$2,0,0,ROW()-1,60),ROW()-1,FALSE))</f>
        <v>-6.3555069939999997</v>
      </c>
      <c r="W615">
        <f ca="1">IF(AND(ISNUMBER($W$1273),$B$677=1),$W$1273,HLOOKUP(INDIRECT(ADDRESS(2,COLUMN())),OFFSET($BN$2,0,0,ROW()-1,60),ROW()-1,FALSE))</f>
        <v>-3.6966783849999998</v>
      </c>
      <c r="X615">
        <f ca="1">IF(AND(ISNUMBER($X$1273),$B$677=1),$X$1273,HLOOKUP(INDIRECT(ADDRESS(2,COLUMN())),OFFSET($BN$2,0,0,ROW()-1,60),ROW()-1,FALSE))</f>
        <v>-1.744227864</v>
      </c>
      <c r="Y615">
        <f ca="1">IF(AND(ISNUMBER($Y$1273),$B$677=1),$Y$1273,HLOOKUP(INDIRECT(ADDRESS(2,COLUMN())),OFFSET($BN$2,0,0,ROW()-1,60),ROW()-1,FALSE))</f>
        <v>-0.62519150999999995</v>
      </c>
      <c r="Z615">
        <f ca="1">IF(AND(ISNUMBER($Z$1273),$B$677=1),$Z$1273,HLOOKUP(INDIRECT(ADDRESS(2,COLUMN())),OFFSET($BN$2,0,0,ROW()-1,60),ROW()-1,FALSE))</f>
        <v>-0.321539042</v>
      </c>
      <c r="AA615">
        <f ca="1">IF(AND(ISNUMBER($AA$1273),$B$677=1),$AA$1273,HLOOKUP(INDIRECT(ADDRESS(2,COLUMN())),OFFSET($BN$2,0,0,ROW()-1,60),ROW()-1,FALSE))</f>
        <v>2.5862756000000001E-2</v>
      </c>
      <c r="AB615">
        <f ca="1">IF(AND(ISNUMBER($AB$1273),$B$677=1),$AB$1273,HLOOKUP(INDIRECT(ADDRESS(2,COLUMN())),OFFSET($BN$2,0,0,ROW()-1,60),ROW()-1,FALSE))</f>
        <v>-0.62910014299999995</v>
      </c>
      <c r="AC615">
        <f ca="1">IF(AND(ISNUMBER($AC$1273),$B$677=1),$AC$1273,HLOOKUP(INDIRECT(ADDRESS(2,COLUMN())),OFFSET($BN$2,0,0,ROW()-1,60),ROW()-1,FALSE))</f>
        <v>-2.7921194749999998</v>
      </c>
      <c r="AD615">
        <f ca="1">IF(AND(ISNUMBER($AD$1273),$B$677=1),$AD$1273,HLOOKUP(INDIRECT(ADDRESS(2,COLUMN())),OFFSET($BN$2,0,0,ROW()-1,60),ROW()-1,FALSE))</f>
        <v>-9.3618434649999998</v>
      </c>
      <c r="AE615">
        <f ca="1">IF(AND(ISNUMBER($AE$1273),$B$677=1),$AE$1273,HLOOKUP(INDIRECT(ADDRESS(2,COLUMN())),OFFSET($BN$2,0,0,ROW()-1,60),ROW()-1,FALSE))</f>
        <v>-13.96340315</v>
      </c>
      <c r="AF615">
        <f ca="1">IF(AND(ISNUMBER($AF$1273),$B$677=1),$AF$1273,HLOOKUP(INDIRECT(ADDRESS(2,COLUMN())),OFFSET($BN$2,0,0,ROW()-1,60),ROW()-1,FALSE))</f>
        <v>-15.765355209999999</v>
      </c>
      <c r="AG615">
        <f ca="1">IF(AND(ISNUMBER($AG$1273),$B$677=1),$AG$1273,HLOOKUP(INDIRECT(ADDRESS(2,COLUMN())),OFFSET($BN$2,0,0,ROW()-1,60),ROW()-1,FALSE))</f>
        <v>-12.578594089999999</v>
      </c>
      <c r="AH615">
        <f ca="1">IF(AND(ISNUMBER($AH$1273),$B$677=1),$AH$1273,HLOOKUP(INDIRECT(ADDRESS(2,COLUMN())),OFFSET($BN$2,0,0,ROW()-1,60),ROW()-1,FALSE))</f>
        <v>-9.558853053</v>
      </c>
      <c r="AI615">
        <f ca="1">IF(AND(ISNUMBER($AI$1273),$B$677=1),$AI$1273,HLOOKUP(INDIRECT(ADDRESS(2,COLUMN())),OFFSET($BN$2,0,0,ROW()-1,60),ROW()-1,FALSE))</f>
        <v>-10.86436183</v>
      </c>
      <c r="AJ615">
        <f ca="1">IF(AND(ISNUMBER($AJ$1273),$B$677=1),$AJ$1273,HLOOKUP(INDIRECT(ADDRESS(2,COLUMN())),OFFSET($BN$2,0,0,ROW()-1,60),ROW()-1,FALSE))</f>
        <v>-11.7643846</v>
      </c>
      <c r="AK615">
        <f ca="1">IF(AND(ISNUMBER($AK$1273),$B$677=1),$AK$1273,HLOOKUP(INDIRECT(ADDRESS(2,COLUMN())),OFFSET($BN$2,0,0,ROW()-1,60),ROW()-1,FALSE))</f>
        <v>-8.7028325720000002</v>
      </c>
      <c r="AL615">
        <f ca="1">IF(AND(ISNUMBER($AL$1273),$B$677=1),$AL$1273,HLOOKUP(INDIRECT(ADDRESS(2,COLUMN())),OFFSET($BN$2,0,0,ROW()-1,60),ROW()-1,FALSE))</f>
        <v>-22.58690065</v>
      </c>
      <c r="AM615">
        <f ca="1">IF(AND(ISNUMBER($AM$1273),$B$677=1),$AM$1273,HLOOKUP(INDIRECT(ADDRESS(2,COLUMN())),OFFSET($BN$2,0,0,ROW()-1,60),ROW()-1,FALSE))</f>
        <v>-37.889542990000002</v>
      </c>
      <c r="AN615">
        <f ca="1">IF(AND(ISNUMBER($AN$1273),$B$677=1),$AN$1273,HLOOKUP(INDIRECT(ADDRESS(2,COLUMN())),OFFSET($BN$2,0,0,ROW()-1,60),ROW()-1,FALSE))</f>
        <v>-71.344903299999999</v>
      </c>
      <c r="AO615" t="str">
        <f ca="1">IF(AND(ISNUMBER($AO$1273),$B$677=1),$AO$1273,HLOOKUP(INDIRECT(ADDRESS(2,COLUMN())),OFFSET($BN$2,0,0,ROW()-1,60),ROW()-1,FALSE))</f>
        <v/>
      </c>
      <c r="AP615" t="str">
        <f ca="1">IF(AND(ISNUMBER($AP$1273),$B$677=1),$AP$1273,HLOOKUP(INDIRECT(ADDRESS(2,COLUMN())),OFFSET($BN$2,0,0,ROW()-1,60),ROW()-1,FALSE))</f>
        <v/>
      </c>
      <c r="AQ615" t="str">
        <f ca="1">IF(AND(ISNUMBER($AQ$1273),$B$677=1),$AQ$1273,HLOOKUP(INDIRECT(ADDRESS(2,COLUMN())),OFFSET($BN$2,0,0,ROW()-1,60),ROW()-1,FALSE))</f>
        <v/>
      </c>
      <c r="AR615" t="str">
        <f ca="1">IF(AND(ISNUMBER($AR$1273),$B$677=1),$AR$1273,HLOOKUP(INDIRECT(ADDRESS(2,COLUMN())),OFFSET($BN$2,0,0,ROW()-1,60),ROW()-1,FALSE))</f>
        <v/>
      </c>
      <c r="AS615" t="str">
        <f ca="1">IF(AND(ISNUMBER($AS$1273),$B$677=1),$AS$1273,HLOOKUP(INDIRECT(ADDRESS(2,COLUMN())),OFFSET($BN$2,0,0,ROW()-1,60),ROW()-1,FALSE))</f>
        <v/>
      </c>
      <c r="AT615" t="str">
        <f ca="1">IF(AND(ISNUMBER($AT$1273),$B$677=1),$AT$1273,HLOOKUP(INDIRECT(ADDRESS(2,COLUMN())),OFFSET($BN$2,0,0,ROW()-1,60),ROW()-1,FALSE))</f>
        <v/>
      </c>
      <c r="AU615" t="str">
        <f ca="1">IF(AND(ISNUMBER($AU$1273),$B$677=1),$AU$1273,HLOOKUP(INDIRECT(ADDRESS(2,COLUMN())),OFFSET($BN$2,0,0,ROW()-1,60),ROW()-1,FALSE))</f>
        <v/>
      </c>
      <c r="AV615" t="str">
        <f ca="1">IF(AND(ISNUMBER($AV$1273),$B$677=1),$AV$1273,HLOOKUP(INDIRECT(ADDRESS(2,COLUMN())),OFFSET($BN$2,0,0,ROW()-1,60),ROW()-1,FALSE))</f>
        <v/>
      </c>
      <c r="AW615" t="str">
        <f ca="1">IF(AND(ISNUMBER($AW$1273),$B$677=1),$AW$1273,HLOOKUP(INDIRECT(ADDRESS(2,COLUMN())),OFFSET($BN$2,0,0,ROW()-1,60),ROW()-1,FALSE))</f>
        <v/>
      </c>
      <c r="AX615" t="str">
        <f ca="1">IF(AND(ISNUMBER($AX$1273),$B$677=1),$AX$1273,HLOOKUP(INDIRECT(ADDRESS(2,COLUMN())),OFFSET($BN$2,0,0,ROW()-1,60),ROW()-1,FALSE))</f>
        <v/>
      </c>
      <c r="AY615" t="str">
        <f ca="1">IF(AND(ISNUMBER($AY$1273),$B$677=1),$AY$1273,HLOOKUP(INDIRECT(ADDRESS(2,COLUMN())),OFFSET($BN$2,0,0,ROW()-1,60),ROW()-1,FALSE))</f>
        <v/>
      </c>
      <c r="AZ615" t="str">
        <f ca="1">IF(AND(ISNUMBER($AZ$1273),$B$677=1),$AZ$1273,HLOOKUP(INDIRECT(ADDRESS(2,COLUMN())),OFFSET($BN$2,0,0,ROW()-1,60),ROW()-1,FALSE))</f>
        <v/>
      </c>
      <c r="BA615" t="str">
        <f ca="1">IF(AND(ISNUMBER($BA$1273),$B$677=1),$BA$1273,HLOOKUP(INDIRECT(ADDRESS(2,COLUMN())),OFFSET($BN$2,0,0,ROW()-1,60),ROW()-1,FALSE))</f>
        <v/>
      </c>
      <c r="BB615" t="str">
        <f ca="1">IF(AND(ISNUMBER($BB$1273),$B$677=1),$BB$1273,HLOOKUP(INDIRECT(ADDRESS(2,COLUMN())),OFFSET($BN$2,0,0,ROW()-1,60),ROW()-1,FALSE))</f>
        <v/>
      </c>
      <c r="BC615" t="str">
        <f ca="1">IF(AND(ISNUMBER($BC$1273),$B$677=1),$BC$1273,HLOOKUP(INDIRECT(ADDRESS(2,COLUMN())),OFFSET($BN$2,0,0,ROW()-1,60),ROW()-1,FALSE))</f>
        <v/>
      </c>
      <c r="BD615" t="str">
        <f ca="1">IF(AND(ISNUMBER($BD$1273),$B$677=1),$BD$1273,HLOOKUP(INDIRECT(ADDRESS(2,COLUMN())),OFFSET($BN$2,0,0,ROW()-1,60),ROW()-1,FALSE))</f>
        <v/>
      </c>
      <c r="BE615" t="str">
        <f ca="1">IF(AND(ISNUMBER($BE$1273),$B$677=1),$BE$1273,HLOOKUP(INDIRECT(ADDRESS(2,COLUMN())),OFFSET($BN$2,0,0,ROW()-1,60),ROW()-1,FALSE))</f>
        <v/>
      </c>
      <c r="BF615" t="str">
        <f ca="1">IF(AND(ISNUMBER($BF$1273),$B$677=1),$BF$1273,HLOOKUP(INDIRECT(ADDRESS(2,COLUMN())),OFFSET($BN$2,0,0,ROW()-1,60),ROW()-1,FALSE))</f>
        <v/>
      </c>
      <c r="BG615" t="str">
        <f ca="1">IF(AND(ISNUMBER($BG$1273),$B$677=1),$BG$1273,HLOOKUP(INDIRECT(ADDRESS(2,COLUMN())),OFFSET($BN$2,0,0,ROW()-1,60),ROW()-1,FALSE))</f>
        <v/>
      </c>
      <c r="BH615" t="str">
        <f ca="1">IF(AND(ISNUMBER($BH$1273),$B$677=1),$BH$1273,HLOOKUP(INDIRECT(ADDRESS(2,COLUMN())),OFFSET($BN$2,0,0,ROW()-1,60),ROW()-1,FALSE))</f>
        <v/>
      </c>
      <c r="BI615" t="str">
        <f ca="1">IF(AND(ISNUMBER($BI$1273),$B$677=1),$BI$1273,HLOOKUP(INDIRECT(ADDRESS(2,COLUMN())),OFFSET($BN$2,0,0,ROW()-1,60),ROW()-1,FALSE))</f>
        <v/>
      </c>
      <c r="BJ615" t="str">
        <f ca="1">IF(AND(ISNUMBER($BJ$1273),$B$677=1),$BJ$1273,HLOOKUP(INDIRECT(ADDRESS(2,COLUMN())),OFFSET($BN$2,0,0,ROW()-1,60),ROW()-1,FALSE))</f>
        <v/>
      </c>
      <c r="BK615" t="str">
        <f ca="1">IF(AND(ISNUMBER($BK$1273),$B$677=1),$BK$1273,HLOOKUP(INDIRECT(ADDRESS(2,COLUMN())),OFFSET($BN$2,0,0,ROW()-1,60),ROW()-1,FALSE))</f>
        <v/>
      </c>
      <c r="BL615" t="str">
        <f ca="1">IF(AND(ISNUMBER($BL$1273),$B$677=1),$BL$1273,HLOOKUP(INDIRECT(ADDRESS(2,COLUMN())),OFFSET($BN$2,0,0,ROW()-1,60),ROW()-1,FALSE))</f>
        <v/>
      </c>
      <c r="BM615" t="str">
        <f ca="1">IF(AND(ISNUMBER($BM$1273),$B$677=1),$BM$1273,HLOOKUP(INDIRECT(ADDRESS(2,COLUMN())),OFFSET($BN$2,0,0,ROW()-1,60),ROW()-1,FALSE))</f>
        <v/>
      </c>
      <c r="BN615">
        <f>-0.045959997</f>
        <v>-4.5959997000000002E-2</v>
      </c>
      <c r="BO615">
        <f>-0.040669693</f>
        <v>-4.0669693E-2</v>
      </c>
      <c r="BP615">
        <f>-2.66924131</f>
        <v>-2.6692413099999999</v>
      </c>
      <c r="BQ615">
        <f>-5.850341118</f>
        <v>-5.8503411180000002</v>
      </c>
      <c r="BR615">
        <f>-8.778728984</f>
        <v>-8.7787289840000007</v>
      </c>
      <c r="BS615">
        <f>-6.735326135</f>
        <v>-6.7353261350000002</v>
      </c>
      <c r="BT615">
        <f>-7.499809864</f>
        <v>-7.4998098640000004</v>
      </c>
      <c r="BU615">
        <f>-4.405360036</f>
        <v>-4.4053600360000003</v>
      </c>
      <c r="BV615">
        <f>-3.573474798</f>
        <v>-3.5734747979999999</v>
      </c>
      <c r="BW615">
        <f>-4.502624854</f>
        <v>-4.5026248539999996</v>
      </c>
      <c r="BX615">
        <f>-3.298585502</f>
        <v>-3.2985855019999999</v>
      </c>
      <c r="BY615">
        <f>-5.902386686</f>
        <v>-5.9023866859999998</v>
      </c>
      <c r="BZ615">
        <f>-6.944060992</f>
        <v>-6.9440609919999998</v>
      </c>
      <c r="CA615">
        <f>-7.028392089</f>
        <v>-7.0283920889999996</v>
      </c>
      <c r="CB615">
        <f>-6.896354496</f>
        <v>-6.8963544959999998</v>
      </c>
      <c r="CC615">
        <f>-5.595968075</f>
        <v>-5.595968075</v>
      </c>
      <c r="CD615">
        <f>-6.355506994</f>
        <v>-6.3555069939999997</v>
      </c>
      <c r="CE615">
        <f>-3.696678385</f>
        <v>-3.6966783849999998</v>
      </c>
      <c r="CF615">
        <f>-1.744227864</f>
        <v>-1.744227864</v>
      </c>
      <c r="CG615">
        <f>-0.62519151</f>
        <v>-0.62519150999999995</v>
      </c>
      <c r="CH615">
        <f>-0.321539042</f>
        <v>-0.321539042</v>
      </c>
      <c r="CI615">
        <f>0.025862756</f>
        <v>2.5862756000000001E-2</v>
      </c>
      <c r="CJ615">
        <f>-0.629100143</f>
        <v>-0.62910014299999995</v>
      </c>
      <c r="CK615">
        <f>-2.792119475</f>
        <v>-2.7921194749999998</v>
      </c>
      <c r="CL615">
        <f>-9.361843465</f>
        <v>-9.3618434649999998</v>
      </c>
      <c r="CM615">
        <f>-13.96340315</f>
        <v>-13.96340315</v>
      </c>
      <c r="CN615">
        <f>-15.76535521</f>
        <v>-15.765355209999999</v>
      </c>
      <c r="CO615">
        <f>-12.57859409</f>
        <v>-12.578594089999999</v>
      </c>
      <c r="CP615">
        <f>-9.558853053</f>
        <v>-9.558853053</v>
      </c>
      <c r="CQ615">
        <f>-10.86436183</f>
        <v>-10.86436183</v>
      </c>
      <c r="CR615">
        <f>-11.7643846</f>
        <v>-11.7643846</v>
      </c>
      <c r="CS615">
        <f>-8.702832572</f>
        <v>-8.7028325720000002</v>
      </c>
      <c r="CT615">
        <f>-22.58690065</f>
        <v>-22.58690065</v>
      </c>
      <c r="CU615">
        <f>-37.88954299</f>
        <v>-37.889542990000002</v>
      </c>
      <c r="CV615">
        <f>-71.3449033</f>
        <v>-71.344903299999999</v>
      </c>
      <c r="CW615" t="str">
        <f>""</f>
        <v/>
      </c>
      <c r="CX615" t="str">
        <f>""</f>
        <v/>
      </c>
      <c r="CY615" t="str">
        <f>""</f>
        <v/>
      </c>
      <c r="CZ615" t="str">
        <f>""</f>
        <v/>
      </c>
      <c r="DA615" t="str">
        <f>""</f>
        <v/>
      </c>
      <c r="DB615" t="str">
        <f>""</f>
        <v/>
      </c>
      <c r="DC615" t="str">
        <f>""</f>
        <v/>
      </c>
      <c r="DD615" t="str">
        <f>""</f>
        <v/>
      </c>
      <c r="DE615" t="str">
        <f>""</f>
        <v/>
      </c>
      <c r="DF615" t="str">
        <f>""</f>
        <v/>
      </c>
      <c r="DG615" t="str">
        <f>""</f>
        <v/>
      </c>
      <c r="DH615" t="str">
        <f>""</f>
        <v/>
      </c>
      <c r="DI615" t="str">
        <f>""</f>
        <v/>
      </c>
      <c r="DJ615" t="str">
        <f>""</f>
        <v/>
      </c>
      <c r="DK615" t="str">
        <f>""</f>
        <v/>
      </c>
      <c r="DL615" t="str">
        <f>""</f>
        <v/>
      </c>
      <c r="DM615" t="str">
        <f>""</f>
        <v/>
      </c>
      <c r="DN615" t="str">
        <f>""</f>
        <v/>
      </c>
      <c r="DO615" t="str">
        <f>""</f>
        <v/>
      </c>
      <c r="DP615" t="str">
        <f>""</f>
        <v/>
      </c>
      <c r="DQ615" t="str">
        <f>""</f>
        <v/>
      </c>
      <c r="DR615" t="str">
        <f>""</f>
        <v/>
      </c>
      <c r="DS615" t="str">
        <f>""</f>
        <v/>
      </c>
      <c r="DT615" t="str">
        <f>""</f>
        <v/>
      </c>
      <c r="DU615" t="str">
        <f>""</f>
        <v/>
      </c>
    </row>
    <row r="616" spans="1:125" x14ac:dyDescent="0.25">
      <c r="A616" t="str">
        <f>"    Tianjin Faw Xiali Automobile Co Ltd"</f>
        <v xml:space="preserve">    Tianjin Faw Xiali Automobile Co Ltd</v>
      </c>
      <c r="B616" t="str">
        <f>"000927 CH Equity"</f>
        <v>000927 CH Equity</v>
      </c>
      <c r="C616" t="str">
        <f t="shared" si="42"/>
        <v>RX072</v>
      </c>
      <c r="D616" t="str">
        <f t="shared" si="43"/>
        <v>FREE_CASH_FLOW_YIELD</v>
      </c>
      <c r="E616" t="str">
        <f t="shared" si="44"/>
        <v>Dynamic</v>
      </c>
      <c r="F616" t="str">
        <f ca="1">IF(AND(ISNUMBER($F$1274),$B$677=1),$F$1274,HLOOKUP(INDIRECT(ADDRESS(2,COLUMN())),OFFSET($BN$2,0,0,ROW()-1,60),ROW()-1,FALSE))</f>
        <v/>
      </c>
      <c r="G616" t="str">
        <f ca="1">IF(AND(ISNUMBER($G$1274),$B$677=1),$G$1274,HLOOKUP(INDIRECT(ADDRESS(2,COLUMN())),OFFSET($BN$2,0,0,ROW()-1,60),ROW()-1,FALSE))</f>
        <v/>
      </c>
      <c r="H616" t="str">
        <f ca="1">IF(AND(ISNUMBER($H$1274),$B$677=1),$H$1274,HLOOKUP(INDIRECT(ADDRESS(2,COLUMN())),OFFSET($BN$2,0,0,ROW()-1,60),ROW()-1,FALSE))</f>
        <v/>
      </c>
      <c r="I616">
        <f ca="1">IF(AND(ISNUMBER($I$1274),$B$677=1),$I$1274,HLOOKUP(INDIRECT(ADDRESS(2,COLUMN())),OFFSET($BN$2,0,0,ROW()-1,60),ROW()-1,FALSE))</f>
        <v>-29.55589238</v>
      </c>
      <c r="J616">
        <f ca="1">IF(AND(ISNUMBER($J$1274),$B$677=1),$J$1274,HLOOKUP(INDIRECT(ADDRESS(2,COLUMN())),OFFSET($BN$2,0,0,ROW()-1,60),ROW()-1,FALSE))</f>
        <v>-27.735948270000002</v>
      </c>
      <c r="K616">
        <f ca="1">IF(AND(ISNUMBER($K$1274),$B$677=1),$K$1274,HLOOKUP(INDIRECT(ADDRESS(2,COLUMN())),OFFSET($BN$2,0,0,ROW()-1,60),ROW()-1,FALSE))</f>
        <v>-25.535816830000002</v>
      </c>
      <c r="L616">
        <f ca="1">IF(AND(ISNUMBER($L$1274),$B$677=1),$L$1274,HLOOKUP(INDIRECT(ADDRESS(2,COLUMN())),OFFSET($BN$2,0,0,ROW()-1,60),ROW()-1,FALSE))</f>
        <v>-20.483506250000001</v>
      </c>
      <c r="M616">
        <f ca="1">IF(AND(ISNUMBER($M$1274),$B$677=1),$M$1274,HLOOKUP(INDIRECT(ADDRESS(2,COLUMN())),OFFSET($BN$2,0,0,ROW()-1,60),ROW()-1,FALSE))</f>
        <v>-26.65177036</v>
      </c>
      <c r="N616">
        <f ca="1">IF(AND(ISNUMBER($N$1274),$B$677=1),$N$1274,HLOOKUP(INDIRECT(ADDRESS(2,COLUMN())),OFFSET($BN$2,0,0,ROW()-1,60),ROW()-1,FALSE))</f>
        <v>-14.504468040000001</v>
      </c>
      <c r="O616">
        <f ca="1">IF(AND(ISNUMBER($O$1274),$B$677=1),$O$1274,HLOOKUP(INDIRECT(ADDRESS(2,COLUMN())),OFFSET($BN$2,0,0,ROW()-1,60),ROW()-1,FALSE))</f>
        <v>-19.420638799999999</v>
      </c>
      <c r="P616">
        <f ca="1">IF(AND(ISNUMBER($P$1274),$B$677=1),$P$1274,HLOOKUP(INDIRECT(ADDRESS(2,COLUMN())),OFFSET($BN$2,0,0,ROW()-1,60),ROW()-1,FALSE))</f>
        <v>-24.15380935</v>
      </c>
      <c r="Q616">
        <f ca="1">IF(AND(ISNUMBER($Q$1274),$B$677=1),$Q$1274,HLOOKUP(INDIRECT(ADDRESS(2,COLUMN())),OFFSET($BN$2,0,0,ROW()-1,60),ROW()-1,FALSE))</f>
        <v>-22.734675840000001</v>
      </c>
      <c r="R616">
        <f ca="1">IF(AND(ISNUMBER($R$1274),$B$677=1),$R$1274,HLOOKUP(INDIRECT(ADDRESS(2,COLUMN())),OFFSET($BN$2,0,0,ROW()-1,60),ROW()-1,FALSE))</f>
        <v>-20.603290040000001</v>
      </c>
      <c r="S616">
        <f ca="1">IF(AND(ISNUMBER($S$1274),$B$677=1),$S$1274,HLOOKUP(INDIRECT(ADDRESS(2,COLUMN())),OFFSET($BN$2,0,0,ROW()-1,60),ROW()-1,FALSE))</f>
        <v>-14.64053983</v>
      </c>
      <c r="T616">
        <f ca="1">IF(AND(ISNUMBER($T$1274),$B$677=1),$T$1274,HLOOKUP(INDIRECT(ADDRESS(2,COLUMN())),OFFSET($BN$2,0,0,ROW()-1,60),ROW()-1,FALSE))</f>
        <v>-10.20932644</v>
      </c>
      <c r="U616">
        <f ca="1">IF(AND(ISNUMBER($U$1274),$B$677=1),$U$1274,HLOOKUP(INDIRECT(ADDRESS(2,COLUMN())),OFFSET($BN$2,0,0,ROW()-1,60),ROW()-1,FALSE))</f>
        <v>-6.8167862899999996</v>
      </c>
      <c r="V616">
        <f ca="1">IF(AND(ISNUMBER($V$1274),$B$677=1),$V$1274,HLOOKUP(INDIRECT(ADDRESS(2,COLUMN())),OFFSET($BN$2,0,0,ROW()-1,60),ROW()-1,FALSE))</f>
        <v>-3.90411975</v>
      </c>
      <c r="W616">
        <f ca="1">IF(AND(ISNUMBER($W$1274),$B$677=1),$W$1274,HLOOKUP(INDIRECT(ADDRESS(2,COLUMN())),OFFSET($BN$2,0,0,ROW()-1,60),ROW()-1,FALSE))</f>
        <v>-6.8083321569999997</v>
      </c>
      <c r="X616">
        <f ca="1">IF(AND(ISNUMBER($X$1274),$B$677=1),$X$1274,HLOOKUP(INDIRECT(ADDRESS(2,COLUMN())),OFFSET($BN$2,0,0,ROW()-1,60),ROW()-1,FALSE))</f>
        <v>-11.046144849999999</v>
      </c>
      <c r="Y616">
        <f ca="1">IF(AND(ISNUMBER($Y$1274),$B$677=1),$Y$1274,HLOOKUP(INDIRECT(ADDRESS(2,COLUMN())),OFFSET($BN$2,0,0,ROW()-1,60),ROW()-1,FALSE))</f>
        <v>-24.243100649999999</v>
      </c>
      <c r="Z616">
        <f ca="1">IF(AND(ISNUMBER($Z$1274),$B$677=1),$Z$1274,HLOOKUP(INDIRECT(ADDRESS(2,COLUMN())),OFFSET($BN$2,0,0,ROW()-1,60),ROW()-1,FALSE))</f>
        <v>-13.665684629999999</v>
      </c>
      <c r="AA616">
        <f ca="1">IF(AND(ISNUMBER($AA$1274),$B$677=1),$AA$1274,HLOOKUP(INDIRECT(ADDRESS(2,COLUMN())),OFFSET($BN$2,0,0,ROW()-1,60),ROW()-1,FALSE))</f>
        <v>-10.303095170000001</v>
      </c>
      <c r="AB616">
        <f ca="1">IF(AND(ISNUMBER($AB$1274),$B$677=1),$AB$1274,HLOOKUP(INDIRECT(ADDRESS(2,COLUMN())),OFFSET($BN$2,0,0,ROW()-1,60),ROW()-1,FALSE))</f>
        <v>-5.3680968460000003</v>
      </c>
      <c r="AC616">
        <f ca="1">IF(AND(ISNUMBER($AC$1274),$B$677=1),$AC$1274,HLOOKUP(INDIRECT(ADDRESS(2,COLUMN())),OFFSET($BN$2,0,0,ROW()-1,60),ROW()-1,FALSE))</f>
        <v>3.171970907</v>
      </c>
      <c r="AD616">
        <f ca="1">IF(AND(ISNUMBER($AD$1274),$B$677=1),$AD$1274,HLOOKUP(INDIRECT(ADDRESS(2,COLUMN())),OFFSET($BN$2,0,0,ROW()-1,60),ROW()-1,FALSE))</f>
        <v>-2.1419199999999999E-2</v>
      </c>
      <c r="AE616">
        <f ca="1">IF(AND(ISNUMBER($AE$1274),$B$677=1),$AE$1274,HLOOKUP(INDIRECT(ADDRESS(2,COLUMN())),OFFSET($BN$2,0,0,ROW()-1,60),ROW()-1,FALSE))</f>
        <v>-1.963405944</v>
      </c>
      <c r="AF616">
        <f ca="1">IF(AND(ISNUMBER($AF$1274),$B$677=1),$AF$1274,HLOOKUP(INDIRECT(ADDRESS(2,COLUMN())),OFFSET($BN$2,0,0,ROW()-1,60),ROW()-1,FALSE))</f>
        <v>-6.9654291280000002</v>
      </c>
      <c r="AG616">
        <f ca="1">IF(AND(ISNUMBER($AG$1274),$B$677=1),$AG$1274,HLOOKUP(INDIRECT(ADDRESS(2,COLUMN())),OFFSET($BN$2,0,0,ROW()-1,60),ROW()-1,FALSE))</f>
        <v>-6.0767238910000003</v>
      </c>
      <c r="AH616">
        <f ca="1">IF(AND(ISNUMBER($AH$1274),$B$677=1),$AH$1274,HLOOKUP(INDIRECT(ADDRESS(2,COLUMN())),OFFSET($BN$2,0,0,ROW()-1,60),ROW()-1,FALSE))</f>
        <v>-3.246523168</v>
      </c>
      <c r="AI616">
        <f ca="1">IF(AND(ISNUMBER($AI$1274),$B$677=1),$AI$1274,HLOOKUP(INDIRECT(ADDRESS(2,COLUMN())),OFFSET($BN$2,0,0,ROW()-1,60),ROW()-1,FALSE))</f>
        <v>-3.4438920340000001</v>
      </c>
      <c r="AJ616">
        <f ca="1">IF(AND(ISNUMBER($AJ$1274),$B$677=1),$AJ$1274,HLOOKUP(INDIRECT(ADDRESS(2,COLUMN())),OFFSET($BN$2,0,0,ROW()-1,60),ROW()-1,FALSE))</f>
        <v>-6.3499200440000001</v>
      </c>
      <c r="AK616">
        <f ca="1">IF(AND(ISNUMBER($AK$1274),$B$677=1),$AK$1274,HLOOKUP(INDIRECT(ADDRESS(2,COLUMN())),OFFSET($BN$2,0,0,ROW()-1,60),ROW()-1,FALSE))</f>
        <v>-7.537656363</v>
      </c>
      <c r="AL616">
        <f ca="1">IF(AND(ISNUMBER($AL$1274),$B$677=1),$AL$1274,HLOOKUP(INDIRECT(ADDRESS(2,COLUMN())),OFFSET($BN$2,0,0,ROW()-1,60),ROW()-1,FALSE))</f>
        <v>-13.39930408</v>
      </c>
      <c r="AM616">
        <f ca="1">IF(AND(ISNUMBER($AM$1274),$B$677=1),$AM$1274,HLOOKUP(INDIRECT(ADDRESS(2,COLUMN())),OFFSET($BN$2,0,0,ROW()-1,60),ROW()-1,FALSE))</f>
        <v>-10.05719654</v>
      </c>
      <c r="AN616">
        <f ca="1">IF(AND(ISNUMBER($AN$1274),$B$677=1),$AN$1274,HLOOKUP(INDIRECT(ADDRESS(2,COLUMN())),OFFSET($BN$2,0,0,ROW()-1,60),ROW()-1,FALSE))</f>
        <v>-8.2939344540000004</v>
      </c>
      <c r="AO616">
        <f ca="1">IF(AND(ISNUMBER($AO$1274),$B$677=1),$AO$1274,HLOOKUP(INDIRECT(ADDRESS(2,COLUMN())),OFFSET($BN$2,0,0,ROW()-1,60),ROW()-1,FALSE))</f>
        <v>0.85562732900000005</v>
      </c>
      <c r="AP616">
        <f ca="1">IF(AND(ISNUMBER($AP$1274),$B$677=1),$AP$1274,HLOOKUP(INDIRECT(ADDRESS(2,COLUMN())),OFFSET($BN$2,0,0,ROW()-1,60),ROW()-1,FALSE))</f>
        <v>0.68137175500000002</v>
      </c>
      <c r="AQ616">
        <f ca="1">IF(AND(ISNUMBER($AQ$1274),$B$677=1),$AQ$1274,HLOOKUP(INDIRECT(ADDRESS(2,COLUMN())),OFFSET($BN$2,0,0,ROW()-1,60),ROW()-1,FALSE))</f>
        <v>0.287932774</v>
      </c>
      <c r="AR616">
        <f ca="1">IF(AND(ISNUMBER($AR$1274),$B$677=1),$AR$1274,HLOOKUP(INDIRECT(ADDRESS(2,COLUMN())),OFFSET($BN$2,0,0,ROW()-1,60),ROW()-1,FALSE))</f>
        <v>5.0414035869999996</v>
      </c>
      <c r="AS616">
        <f ca="1">IF(AND(ISNUMBER($AS$1274),$B$677=1),$AS$1274,HLOOKUP(INDIRECT(ADDRESS(2,COLUMN())),OFFSET($BN$2,0,0,ROW()-1,60),ROW()-1,FALSE))</f>
        <v>-5.1462030280000004</v>
      </c>
      <c r="AT616">
        <f ca="1">IF(AND(ISNUMBER($AT$1274),$B$677=1),$AT$1274,HLOOKUP(INDIRECT(ADDRESS(2,COLUMN())),OFFSET($BN$2,0,0,ROW()-1,60),ROW()-1,FALSE))</f>
        <v>-7.7065494719999998</v>
      </c>
      <c r="AU616">
        <f ca="1">IF(AND(ISNUMBER($AU$1274),$B$677=1),$AU$1274,HLOOKUP(INDIRECT(ADDRESS(2,COLUMN())),OFFSET($BN$2,0,0,ROW()-1,60),ROW()-1,FALSE))</f>
        <v>-10.265613589999999</v>
      </c>
      <c r="AV616">
        <f ca="1">IF(AND(ISNUMBER($AV$1274),$B$677=1),$AV$1274,HLOOKUP(INDIRECT(ADDRESS(2,COLUMN())),OFFSET($BN$2,0,0,ROW()-1,60),ROW()-1,FALSE))</f>
        <v>-10.363555099999999</v>
      </c>
      <c r="AW616">
        <f ca="1">IF(AND(ISNUMBER($AW$1274),$B$677=1),$AW$1274,HLOOKUP(INDIRECT(ADDRESS(2,COLUMN())),OFFSET($BN$2,0,0,ROW()-1,60),ROW()-1,FALSE))</f>
        <v>-4.0344867009999996</v>
      </c>
      <c r="AX616">
        <f ca="1">IF(AND(ISNUMBER($AX$1274),$B$677=1),$AX$1274,HLOOKUP(INDIRECT(ADDRESS(2,COLUMN())),OFFSET($BN$2,0,0,ROW()-1,60),ROW()-1,FALSE))</f>
        <v>-0.16110255800000001</v>
      </c>
      <c r="AY616">
        <f ca="1">IF(AND(ISNUMBER($AY$1274),$B$677=1),$AY$1274,HLOOKUP(INDIRECT(ADDRESS(2,COLUMN())),OFFSET($BN$2,0,0,ROW()-1,60),ROW()-1,FALSE))</f>
        <v>-0.14859530700000001</v>
      </c>
      <c r="AZ616">
        <f ca="1">IF(AND(ISNUMBER($AZ$1274),$B$677=1),$AZ$1274,HLOOKUP(INDIRECT(ADDRESS(2,COLUMN())),OFFSET($BN$2,0,0,ROW()-1,60),ROW()-1,FALSE))</f>
        <v>-0.32138698300000001</v>
      </c>
      <c r="BA616">
        <f ca="1">IF(AND(ISNUMBER($BA$1274),$B$677=1),$BA$1274,HLOOKUP(INDIRECT(ADDRESS(2,COLUMN())),OFFSET($BN$2,0,0,ROW()-1,60),ROW()-1,FALSE))</f>
        <v>9.1728128570000003</v>
      </c>
      <c r="BB616">
        <f ca="1">IF(AND(ISNUMBER($BB$1274),$B$677=1),$BB$1274,HLOOKUP(INDIRECT(ADDRESS(2,COLUMN())),OFFSET($BN$2,0,0,ROW()-1,60),ROW()-1,FALSE))</f>
        <v>7.6684715480000003</v>
      </c>
      <c r="BC616">
        <f ca="1">IF(AND(ISNUMBER($BC$1274),$B$677=1),$BC$1274,HLOOKUP(INDIRECT(ADDRESS(2,COLUMN())),OFFSET($BN$2,0,0,ROW()-1,60),ROW()-1,FALSE))</f>
        <v>19.242965550000001</v>
      </c>
      <c r="BD616">
        <f ca="1">IF(AND(ISNUMBER($BD$1274),$B$677=1),$BD$1274,HLOOKUP(INDIRECT(ADDRESS(2,COLUMN())),OFFSET($BN$2,0,0,ROW()-1,60),ROW()-1,FALSE))</f>
        <v>27.294627460000001</v>
      </c>
      <c r="BE616">
        <f ca="1">IF(AND(ISNUMBER($BE$1274),$B$677=1),$BE$1274,HLOOKUP(INDIRECT(ADDRESS(2,COLUMN())),OFFSET($BN$2,0,0,ROW()-1,60),ROW()-1,FALSE))</f>
        <v>10.639361750000001</v>
      </c>
      <c r="BF616">
        <f ca="1">IF(AND(ISNUMBER($BF$1274),$B$677=1),$BF$1274,HLOOKUP(INDIRECT(ADDRESS(2,COLUMN())),OFFSET($BN$2,0,0,ROW()-1,60),ROW()-1,FALSE))</f>
        <v>13.15449252</v>
      </c>
      <c r="BG616">
        <f ca="1">IF(AND(ISNUMBER($BG$1274),$B$677=1),$BG$1274,HLOOKUP(INDIRECT(ADDRESS(2,COLUMN())),OFFSET($BN$2,0,0,ROW()-1,60),ROW()-1,FALSE))</f>
        <v>16.221893550000001</v>
      </c>
      <c r="BH616">
        <f ca="1">IF(AND(ISNUMBER($BH$1274),$B$677=1),$BH$1274,HLOOKUP(INDIRECT(ADDRESS(2,COLUMN())),OFFSET($BN$2,0,0,ROW()-1,60),ROW()-1,FALSE))</f>
        <v>15.753869160000001</v>
      </c>
      <c r="BI616">
        <f ca="1">IF(AND(ISNUMBER($BI$1274),$B$677=1),$BI$1274,HLOOKUP(INDIRECT(ADDRESS(2,COLUMN())),OFFSET($BN$2,0,0,ROW()-1,60),ROW()-1,FALSE))</f>
        <v>5.2115862630000001</v>
      </c>
      <c r="BJ616">
        <f ca="1">IF(AND(ISNUMBER($BJ$1274),$B$677=1),$BJ$1274,HLOOKUP(INDIRECT(ADDRESS(2,COLUMN())),OFFSET($BN$2,0,0,ROW()-1,60),ROW()-1,FALSE))</f>
        <v>6.1430187009999999</v>
      </c>
      <c r="BK616">
        <f ca="1">IF(AND(ISNUMBER($BK$1274),$B$677=1),$BK$1274,HLOOKUP(INDIRECT(ADDRESS(2,COLUMN())),OFFSET($BN$2,0,0,ROW()-1,60),ROW()-1,FALSE))</f>
        <v>9.3937198E-2</v>
      </c>
      <c r="BL616">
        <f ca="1">IF(AND(ISNUMBER($BL$1274),$B$677=1),$BL$1274,HLOOKUP(INDIRECT(ADDRESS(2,COLUMN())),OFFSET($BN$2,0,0,ROW()-1,60),ROW()-1,FALSE))</f>
        <v>-6.0406852129999997</v>
      </c>
      <c r="BM616">
        <f ca="1">IF(AND(ISNUMBER($BM$1274),$B$677=1),$BM$1274,HLOOKUP(INDIRECT(ADDRESS(2,COLUMN())),OFFSET($BN$2,0,0,ROW()-1,60),ROW()-1,FALSE))</f>
        <v>-3.980882351</v>
      </c>
      <c r="BN616" t="str">
        <f>""</f>
        <v/>
      </c>
      <c r="BO616" t="str">
        <f>""</f>
        <v/>
      </c>
      <c r="BP616" t="str">
        <f>""</f>
        <v/>
      </c>
      <c r="BQ616">
        <f>-29.55589238</f>
        <v>-29.55589238</v>
      </c>
      <c r="BR616">
        <f>-27.73594827</f>
        <v>-27.735948270000002</v>
      </c>
      <c r="BS616">
        <f>-25.53581683</f>
        <v>-25.535816830000002</v>
      </c>
      <c r="BT616">
        <f>-20.48350625</f>
        <v>-20.483506250000001</v>
      </c>
      <c r="BU616">
        <f>-26.65177036</f>
        <v>-26.65177036</v>
      </c>
      <c r="BV616">
        <f>-14.50446804</f>
        <v>-14.504468040000001</v>
      </c>
      <c r="BW616">
        <f>-19.4206388</f>
        <v>-19.420638799999999</v>
      </c>
      <c r="BX616">
        <f>-24.15380935</f>
        <v>-24.15380935</v>
      </c>
      <c r="BY616">
        <f>-22.73467584</f>
        <v>-22.734675840000001</v>
      </c>
      <c r="BZ616">
        <f>-20.60329004</f>
        <v>-20.603290040000001</v>
      </c>
      <c r="CA616">
        <f>-14.64053983</f>
        <v>-14.64053983</v>
      </c>
      <c r="CB616">
        <f>-10.20932644</f>
        <v>-10.20932644</v>
      </c>
      <c r="CC616">
        <f>-6.81678629</f>
        <v>-6.8167862899999996</v>
      </c>
      <c r="CD616">
        <f>-3.90411975</f>
        <v>-3.90411975</v>
      </c>
      <c r="CE616">
        <f>-6.808332157</f>
        <v>-6.8083321569999997</v>
      </c>
      <c r="CF616">
        <f>-11.04614485</f>
        <v>-11.046144849999999</v>
      </c>
      <c r="CG616">
        <f>-24.24310065</f>
        <v>-24.243100649999999</v>
      </c>
      <c r="CH616">
        <f>-13.66568463</f>
        <v>-13.665684629999999</v>
      </c>
      <c r="CI616">
        <f>-10.30309517</f>
        <v>-10.303095170000001</v>
      </c>
      <c r="CJ616">
        <f>-5.368096846</f>
        <v>-5.3680968460000003</v>
      </c>
      <c r="CK616">
        <f>3.171970907</f>
        <v>3.171970907</v>
      </c>
      <c r="CL616">
        <f>-0.0214192</f>
        <v>-2.1419199999999999E-2</v>
      </c>
      <c r="CM616">
        <f>-1.963405944</f>
        <v>-1.963405944</v>
      </c>
      <c r="CN616">
        <f>-6.965429128</f>
        <v>-6.9654291280000002</v>
      </c>
      <c r="CO616">
        <f>-6.076723891</f>
        <v>-6.0767238910000003</v>
      </c>
      <c r="CP616">
        <f>-3.246523168</f>
        <v>-3.246523168</v>
      </c>
      <c r="CQ616">
        <f>-3.443892034</f>
        <v>-3.4438920340000001</v>
      </c>
      <c r="CR616">
        <f>-6.349920044</f>
        <v>-6.3499200440000001</v>
      </c>
      <c r="CS616">
        <f>-7.537656363</f>
        <v>-7.537656363</v>
      </c>
      <c r="CT616">
        <f>-13.39930408</f>
        <v>-13.39930408</v>
      </c>
      <c r="CU616">
        <f>-10.05719654</f>
        <v>-10.05719654</v>
      </c>
      <c r="CV616">
        <f>-8.293934454</f>
        <v>-8.2939344540000004</v>
      </c>
      <c r="CW616">
        <f>0.855627329</f>
        <v>0.85562732900000005</v>
      </c>
      <c r="CX616">
        <f>0.681371755</f>
        <v>0.68137175500000002</v>
      </c>
      <c r="CY616">
        <f>0.287932774</f>
        <v>0.287932774</v>
      </c>
      <c r="CZ616">
        <f>5.041403587</f>
        <v>5.0414035869999996</v>
      </c>
      <c r="DA616">
        <f>-5.146203028</f>
        <v>-5.1462030280000004</v>
      </c>
      <c r="DB616">
        <f>-7.706549472</f>
        <v>-7.7065494719999998</v>
      </c>
      <c r="DC616">
        <f>-10.26561359</f>
        <v>-10.265613589999999</v>
      </c>
      <c r="DD616">
        <f>-10.3635551</f>
        <v>-10.363555099999999</v>
      </c>
      <c r="DE616">
        <f>-4.034486701</f>
        <v>-4.0344867009999996</v>
      </c>
      <c r="DF616">
        <f>-0.161102558</f>
        <v>-0.16110255800000001</v>
      </c>
      <c r="DG616">
        <f>-0.148595307</f>
        <v>-0.14859530700000001</v>
      </c>
      <c r="DH616">
        <f>-0.321386983</f>
        <v>-0.32138698300000001</v>
      </c>
      <c r="DI616">
        <f>9.172812857</f>
        <v>9.1728128570000003</v>
      </c>
      <c r="DJ616">
        <f>7.668471548</f>
        <v>7.6684715480000003</v>
      </c>
      <c r="DK616">
        <f>19.24296555</f>
        <v>19.242965550000001</v>
      </c>
      <c r="DL616">
        <f>27.29462746</f>
        <v>27.294627460000001</v>
      </c>
      <c r="DM616">
        <f>10.63936175</f>
        <v>10.639361750000001</v>
      </c>
      <c r="DN616">
        <f>13.15449252</f>
        <v>13.15449252</v>
      </c>
      <c r="DO616">
        <f>16.22189355</f>
        <v>16.221893550000001</v>
      </c>
      <c r="DP616">
        <f>15.75386916</f>
        <v>15.753869160000001</v>
      </c>
      <c r="DQ616">
        <f>5.211586263</f>
        <v>5.2115862630000001</v>
      </c>
      <c r="DR616">
        <f>6.143018701</f>
        <v>6.1430187009999999</v>
      </c>
      <c r="DS616">
        <f>0.093937198</f>
        <v>9.3937198E-2</v>
      </c>
      <c r="DT616">
        <f>-6.040685213</f>
        <v>-6.0406852129999997</v>
      </c>
      <c r="DU616">
        <f>-3.980882351</f>
        <v>-3.980882351</v>
      </c>
    </row>
    <row r="617" spans="1:125" x14ac:dyDescent="0.25">
      <c r="A617" t="str">
        <f>"    Tofas Turk Otomobil Fabrikasi AS"</f>
        <v xml:space="preserve">    Tofas Turk Otomobil Fabrikasi AS</v>
      </c>
      <c r="B617" t="str">
        <f>"TOASOTRY EO Equity"</f>
        <v>TOASOTRY EO Equity</v>
      </c>
      <c r="C617" t="str">
        <f t="shared" si="42"/>
        <v>RX072</v>
      </c>
      <c r="D617" t="str">
        <f t="shared" si="43"/>
        <v>FREE_CASH_FLOW_YIELD</v>
      </c>
      <c r="E617" t="str">
        <f t="shared" si="44"/>
        <v>Dynamic</v>
      </c>
      <c r="F617">
        <f ca="1">IF(AND(ISNUMBER($F$1275),$B$677=1),$F$1275,HLOOKUP(INDIRECT(ADDRESS(2,COLUMN())),OFFSET($BN$2,0,0,ROW()-1,60),ROW()-1,FALSE))</f>
        <v>10.46003953</v>
      </c>
      <c r="G617">
        <f ca="1">IF(AND(ISNUMBER($G$1275),$B$677=1),$G$1275,HLOOKUP(INDIRECT(ADDRESS(2,COLUMN())),OFFSET($BN$2,0,0,ROW()-1,60),ROW()-1,FALSE))</f>
        <v>12.378745009999999</v>
      </c>
      <c r="H617">
        <f ca="1">IF(AND(ISNUMBER($H$1275),$B$677=1),$H$1275,HLOOKUP(INDIRECT(ADDRESS(2,COLUMN())),OFFSET($BN$2,0,0,ROW()-1,60),ROW()-1,FALSE))</f>
        <v>-0.96137535900000004</v>
      </c>
      <c r="I617">
        <f ca="1">IF(AND(ISNUMBER($I$1275),$B$677=1),$I$1275,HLOOKUP(INDIRECT(ADDRESS(2,COLUMN())),OFFSET($BN$2,0,0,ROW()-1,60),ROW()-1,FALSE))</f>
        <v>9.3972150540000001</v>
      </c>
      <c r="J617">
        <f ca="1">IF(AND(ISNUMBER($J$1275),$B$677=1),$J$1275,HLOOKUP(INDIRECT(ADDRESS(2,COLUMN())),OFFSET($BN$2,0,0,ROW()-1,60),ROW()-1,FALSE))</f>
        <v>6.9318712610000004</v>
      </c>
      <c r="K617">
        <f ca="1">IF(AND(ISNUMBER($K$1275),$B$677=1),$K$1275,HLOOKUP(INDIRECT(ADDRESS(2,COLUMN())),OFFSET($BN$2,0,0,ROW()-1,60),ROW()-1,FALSE))</f>
        <v>4.6326530330000004</v>
      </c>
      <c r="L617">
        <f ca="1">IF(AND(ISNUMBER($L$1275),$B$677=1),$L$1275,HLOOKUP(INDIRECT(ADDRESS(2,COLUMN())),OFFSET($BN$2,0,0,ROW()-1,60),ROW()-1,FALSE))</f>
        <v>10.591282550000001</v>
      </c>
      <c r="M617">
        <f ca="1">IF(AND(ISNUMBER($M$1275),$B$677=1),$M$1275,HLOOKUP(INDIRECT(ADDRESS(2,COLUMN())),OFFSET($BN$2,0,0,ROW()-1,60),ROW()-1,FALSE))</f>
        <v>11.06272686</v>
      </c>
      <c r="N617">
        <f ca="1">IF(AND(ISNUMBER($N$1275),$B$677=1),$N$1275,HLOOKUP(INDIRECT(ADDRESS(2,COLUMN())),OFFSET($BN$2,0,0,ROW()-1,60),ROW()-1,FALSE))</f>
        <v>11.274283629999999</v>
      </c>
      <c r="O617">
        <f ca="1">IF(AND(ISNUMBER($O$1275),$B$677=1),$O$1275,HLOOKUP(INDIRECT(ADDRESS(2,COLUMN())),OFFSET($BN$2,0,0,ROW()-1,60),ROW()-1,FALSE))</f>
        <v>2.7494238599999998</v>
      </c>
      <c r="P617">
        <f ca="1">IF(AND(ISNUMBER($P$1275),$B$677=1),$P$1275,HLOOKUP(INDIRECT(ADDRESS(2,COLUMN())),OFFSET($BN$2,0,0,ROW()-1,60),ROW()-1,FALSE))</f>
        <v>0.54632879899999998</v>
      </c>
      <c r="Q617">
        <f ca="1">IF(AND(ISNUMBER($Q$1275),$B$677=1),$Q$1275,HLOOKUP(INDIRECT(ADDRESS(2,COLUMN())),OFFSET($BN$2,0,0,ROW()-1,60),ROW()-1,FALSE))</f>
        <v>-3.620177569</v>
      </c>
      <c r="R617">
        <f ca="1">IF(AND(ISNUMBER($R$1275),$B$677=1),$R$1275,HLOOKUP(INDIRECT(ADDRESS(2,COLUMN())),OFFSET($BN$2,0,0,ROW()-1,60),ROW()-1,FALSE))</f>
        <v>-0.52291348199999999</v>
      </c>
      <c r="S617">
        <f ca="1">IF(AND(ISNUMBER($S$1275),$B$677=1),$S$1275,HLOOKUP(INDIRECT(ADDRESS(2,COLUMN())),OFFSET($BN$2,0,0,ROW()-1,60),ROW()-1,FALSE))</f>
        <v>0.86712394999999998</v>
      </c>
      <c r="T617">
        <f ca="1">IF(AND(ISNUMBER($T$1275),$B$677=1),$T$1275,HLOOKUP(INDIRECT(ADDRESS(2,COLUMN())),OFFSET($BN$2,0,0,ROW()-1,60),ROW()-1,FALSE))</f>
        <v>-9.2223177399999994</v>
      </c>
      <c r="U617">
        <f ca="1">IF(AND(ISNUMBER($U$1275),$B$677=1),$U$1275,HLOOKUP(INDIRECT(ADDRESS(2,COLUMN())),OFFSET($BN$2,0,0,ROW()-1,60),ROW()-1,FALSE))</f>
        <v>-6.42278708</v>
      </c>
      <c r="V617">
        <f ca="1">IF(AND(ISNUMBER($V$1275),$B$677=1),$V$1275,HLOOKUP(INDIRECT(ADDRESS(2,COLUMN())),OFFSET($BN$2,0,0,ROW()-1,60),ROW()-1,FALSE))</f>
        <v>-9.033054108</v>
      </c>
      <c r="W617">
        <f ca="1">IF(AND(ISNUMBER($W$1275),$B$677=1),$W$1275,HLOOKUP(INDIRECT(ADDRESS(2,COLUMN())),OFFSET($BN$2,0,0,ROW()-1,60),ROW()-1,FALSE))</f>
        <v>-1.9425580570000001</v>
      </c>
      <c r="X617">
        <f ca="1">IF(AND(ISNUMBER($X$1275),$B$677=1),$X$1275,HLOOKUP(INDIRECT(ADDRESS(2,COLUMN())),OFFSET($BN$2,0,0,ROW()-1,60),ROW()-1,FALSE))</f>
        <v>3.7057499530000002</v>
      </c>
      <c r="Y617">
        <f ca="1">IF(AND(ISNUMBER($Y$1275),$B$677=1),$Y$1275,HLOOKUP(INDIRECT(ADDRESS(2,COLUMN())),OFFSET($BN$2,0,0,ROW()-1,60),ROW()-1,FALSE))</f>
        <v>2.9305855240000001</v>
      </c>
      <c r="Z617">
        <f ca="1">IF(AND(ISNUMBER($Z$1275),$B$677=1),$Z$1275,HLOOKUP(INDIRECT(ADDRESS(2,COLUMN())),OFFSET($BN$2,0,0,ROW()-1,60),ROW()-1,FALSE))</f>
        <v>5.0525926600000002</v>
      </c>
      <c r="AA617">
        <f ca="1">IF(AND(ISNUMBER($AA$1275),$B$677=1),$AA$1275,HLOOKUP(INDIRECT(ADDRESS(2,COLUMN())),OFFSET($BN$2,0,0,ROW()-1,60),ROW()-1,FALSE))</f>
        <v>11.509342950000001</v>
      </c>
      <c r="AB617">
        <f ca="1">IF(AND(ISNUMBER($AB$1275),$B$677=1),$AB$1275,HLOOKUP(INDIRECT(ADDRESS(2,COLUMN())),OFFSET($BN$2,0,0,ROW()-1,60),ROW()-1,FALSE))</f>
        <v>14.86061746</v>
      </c>
      <c r="AC617">
        <f ca="1">IF(AND(ISNUMBER($AC$1275),$B$677=1),$AC$1275,HLOOKUP(INDIRECT(ADDRESS(2,COLUMN())),OFFSET($BN$2,0,0,ROW()-1,60),ROW()-1,FALSE))</f>
        <v>13.93175057</v>
      </c>
      <c r="AD617">
        <f ca="1">IF(AND(ISNUMBER($AD$1275),$B$677=1),$AD$1275,HLOOKUP(INDIRECT(ADDRESS(2,COLUMN())),OFFSET($BN$2,0,0,ROW()-1,60),ROW()-1,FALSE))</f>
        <v>18.906375749999999</v>
      </c>
      <c r="AE617">
        <f ca="1">IF(AND(ISNUMBER($AE$1275),$B$677=1),$AE$1275,HLOOKUP(INDIRECT(ADDRESS(2,COLUMN())),OFFSET($BN$2,0,0,ROW()-1,60),ROW()-1,FALSE))</f>
        <v>12.687158269999999</v>
      </c>
      <c r="AF617">
        <f ca="1">IF(AND(ISNUMBER($AF$1275),$B$677=1),$AF$1275,HLOOKUP(INDIRECT(ADDRESS(2,COLUMN())),OFFSET($BN$2,0,0,ROW()-1,60),ROW()-1,FALSE))</f>
        <v>12.815418899999999</v>
      </c>
      <c r="AG617">
        <f ca="1">IF(AND(ISNUMBER($AG$1275),$B$677=1),$AG$1275,HLOOKUP(INDIRECT(ADDRESS(2,COLUMN())),OFFSET($BN$2,0,0,ROW()-1,60),ROW()-1,FALSE))</f>
        <v>9.0598964899999999</v>
      </c>
      <c r="AH617">
        <f ca="1">IF(AND(ISNUMBER($AH$1275),$B$677=1),$AH$1275,HLOOKUP(INDIRECT(ADDRESS(2,COLUMN())),OFFSET($BN$2,0,0,ROW()-1,60),ROW()-1,FALSE))</f>
        <v>-7.1279791159999997</v>
      </c>
      <c r="AI617">
        <f ca="1">IF(AND(ISNUMBER($AI$1275),$B$677=1),$AI$1275,HLOOKUP(INDIRECT(ADDRESS(2,COLUMN())),OFFSET($BN$2,0,0,ROW()-1,60),ROW()-1,FALSE))</f>
        <v>-7.9421961659999996</v>
      </c>
      <c r="AJ617">
        <f ca="1">IF(AND(ISNUMBER($AJ$1275),$B$677=1),$AJ$1275,HLOOKUP(INDIRECT(ADDRESS(2,COLUMN())),OFFSET($BN$2,0,0,ROW()-1,60),ROW()-1,FALSE))</f>
        <v>-8.3163554790000003</v>
      </c>
      <c r="AK617">
        <f ca="1">IF(AND(ISNUMBER($AK$1275),$B$677=1),$AK$1275,HLOOKUP(INDIRECT(ADDRESS(2,COLUMN())),OFFSET($BN$2,0,0,ROW()-1,60),ROW()-1,FALSE))</f>
        <v>-0.75672976800000002</v>
      </c>
      <c r="AL617">
        <f ca="1">IF(AND(ISNUMBER($AL$1275),$B$677=1),$AL$1275,HLOOKUP(INDIRECT(ADDRESS(2,COLUMN())),OFFSET($BN$2,0,0,ROW()-1,60),ROW()-1,FALSE))</f>
        <v>-0.20600913700000001</v>
      </c>
      <c r="AM617">
        <f ca="1">IF(AND(ISNUMBER($AM$1275),$B$677=1),$AM$1275,HLOOKUP(INDIRECT(ADDRESS(2,COLUMN())),OFFSET($BN$2,0,0,ROW()-1,60),ROW()-1,FALSE))</f>
        <v>5.308819153</v>
      </c>
      <c r="AN617">
        <f ca="1">IF(AND(ISNUMBER($AN$1275),$B$677=1),$AN$1275,HLOOKUP(INDIRECT(ADDRESS(2,COLUMN())),OFFSET($BN$2,0,0,ROW()-1,60),ROW()-1,FALSE))</f>
        <v>11.01669328</v>
      </c>
      <c r="AO617">
        <f ca="1">IF(AND(ISNUMBER($AO$1275),$B$677=1),$AO$1275,HLOOKUP(INDIRECT(ADDRESS(2,COLUMN())),OFFSET($BN$2,0,0,ROW()-1,60),ROW()-1,FALSE))</f>
        <v>12.108777659999999</v>
      </c>
      <c r="AP617">
        <f ca="1">IF(AND(ISNUMBER($AP$1275),$B$677=1),$AP$1275,HLOOKUP(INDIRECT(ADDRESS(2,COLUMN())),OFFSET($BN$2,0,0,ROW()-1,60),ROW()-1,FALSE))</f>
        <v>24.100105469999999</v>
      </c>
      <c r="AQ617">
        <f ca="1">IF(AND(ISNUMBER($AQ$1275),$B$677=1),$AQ$1275,HLOOKUP(INDIRECT(ADDRESS(2,COLUMN())),OFFSET($BN$2,0,0,ROW()-1,60),ROW()-1,FALSE))</f>
        <v>17.98042409</v>
      </c>
      <c r="AR617">
        <f ca="1">IF(AND(ISNUMBER($AR$1275),$B$677=1),$AR$1275,HLOOKUP(INDIRECT(ADDRESS(2,COLUMN())),OFFSET($BN$2,0,0,ROW()-1,60),ROW()-1,FALSE))</f>
        <v>-4.2322958660000003</v>
      </c>
      <c r="AS617">
        <f ca="1">IF(AND(ISNUMBER($AS$1275),$B$677=1),$AS$1275,HLOOKUP(INDIRECT(ADDRESS(2,COLUMN())),OFFSET($BN$2,0,0,ROW()-1,60),ROW()-1,FALSE))</f>
        <v>-14.54051793</v>
      </c>
      <c r="AT617">
        <f ca="1">IF(AND(ISNUMBER($AT$1275),$B$677=1),$AT$1275,HLOOKUP(INDIRECT(ADDRESS(2,COLUMN())),OFFSET($BN$2,0,0,ROW()-1,60),ROW()-1,FALSE))</f>
        <v>-71.762737950000002</v>
      </c>
      <c r="AU617">
        <f ca="1">IF(AND(ISNUMBER($AU$1275),$B$677=1),$AU$1275,HLOOKUP(INDIRECT(ADDRESS(2,COLUMN())),OFFSET($BN$2,0,0,ROW()-1,60),ROW()-1,FALSE))</f>
        <v>-102.84626</v>
      </c>
      <c r="AV617">
        <f ca="1">IF(AND(ISNUMBER($AV$1275),$B$677=1),$AV$1275,HLOOKUP(INDIRECT(ADDRESS(2,COLUMN())),OFFSET($BN$2,0,0,ROW()-1,60),ROW()-1,FALSE))</f>
        <v>-30.853656470000001</v>
      </c>
      <c r="AW617">
        <f ca="1">IF(AND(ISNUMBER($AW$1275),$B$677=1),$AW$1275,HLOOKUP(INDIRECT(ADDRESS(2,COLUMN())),OFFSET($BN$2,0,0,ROW()-1,60),ROW()-1,FALSE))</f>
        <v>-16.619719360000001</v>
      </c>
      <c r="AX617">
        <f ca="1">IF(AND(ISNUMBER($AX$1275),$B$677=1),$AX$1275,HLOOKUP(INDIRECT(ADDRESS(2,COLUMN())),OFFSET($BN$2,0,0,ROW()-1,60),ROW()-1,FALSE))</f>
        <v>-16.78772142</v>
      </c>
      <c r="AY617">
        <f ca="1">IF(AND(ISNUMBER($AY$1275),$B$677=1),$AY$1275,HLOOKUP(INDIRECT(ADDRESS(2,COLUMN())),OFFSET($BN$2,0,0,ROW()-1,60),ROW()-1,FALSE))</f>
        <v>-15.24839066</v>
      </c>
      <c r="AZ617">
        <f ca="1">IF(AND(ISNUMBER($AZ$1275),$B$677=1),$AZ$1275,HLOOKUP(INDIRECT(ADDRESS(2,COLUMN())),OFFSET($BN$2,0,0,ROW()-1,60),ROW()-1,FALSE))</f>
        <v>-16.69709091</v>
      </c>
      <c r="BA617">
        <f ca="1">IF(AND(ISNUMBER($BA$1275),$B$677=1),$BA$1275,HLOOKUP(INDIRECT(ADDRESS(2,COLUMN())),OFFSET($BN$2,0,0,ROW()-1,60),ROW()-1,FALSE))</f>
        <v>-19.076125789999999</v>
      </c>
      <c r="BB617">
        <f ca="1">IF(AND(ISNUMBER($BB$1275),$B$677=1),$BB$1275,HLOOKUP(INDIRECT(ADDRESS(2,COLUMN())),OFFSET($BN$2,0,0,ROW()-1,60),ROW()-1,FALSE))</f>
        <v>-12.81592399</v>
      </c>
      <c r="BC617">
        <f ca="1">IF(AND(ISNUMBER($BC$1275),$B$677=1),$BC$1275,HLOOKUP(INDIRECT(ADDRESS(2,COLUMN())),OFFSET($BN$2,0,0,ROW()-1,60),ROW()-1,FALSE))</f>
        <v>-5.9968567129999997</v>
      </c>
      <c r="BD617">
        <f ca="1">IF(AND(ISNUMBER($BD$1275),$B$677=1),$BD$1275,HLOOKUP(INDIRECT(ADDRESS(2,COLUMN())),OFFSET($BN$2,0,0,ROW()-1,60),ROW()-1,FALSE))</f>
        <v>-4.150984792</v>
      </c>
      <c r="BE617">
        <f ca="1">IF(AND(ISNUMBER($BE$1275),$B$677=1),$BE$1275,HLOOKUP(INDIRECT(ADDRESS(2,COLUMN())),OFFSET($BN$2,0,0,ROW()-1,60),ROW()-1,FALSE))</f>
        <v>8.4604839559999991</v>
      </c>
      <c r="BF617">
        <f ca="1">IF(AND(ISNUMBER($BF$1275),$B$677=1),$BF$1275,HLOOKUP(INDIRECT(ADDRESS(2,COLUMN())),OFFSET($BN$2,0,0,ROW()-1,60),ROW()-1,FALSE))</f>
        <v>6.6982637309999999</v>
      </c>
      <c r="BG617">
        <f ca="1">IF(AND(ISNUMBER($BG$1275),$B$677=1),$BG$1275,HLOOKUP(INDIRECT(ADDRESS(2,COLUMN())),OFFSET($BN$2,0,0,ROW()-1,60),ROW()-1,FALSE))</f>
        <v>7.9625366030000002</v>
      </c>
      <c r="BH617" t="str">
        <f ca="1">IF(AND(ISNUMBER($BH$1275),$B$677=1),$BH$1275,HLOOKUP(INDIRECT(ADDRESS(2,COLUMN())),OFFSET($BN$2,0,0,ROW()-1,60),ROW()-1,FALSE))</f>
        <v/>
      </c>
      <c r="BI617" t="str">
        <f ca="1">IF(AND(ISNUMBER($BI$1275),$B$677=1),$BI$1275,HLOOKUP(INDIRECT(ADDRESS(2,COLUMN())),OFFSET($BN$2,0,0,ROW()-1,60),ROW()-1,FALSE))</f>
        <v/>
      </c>
      <c r="BJ617" t="str">
        <f ca="1">IF(AND(ISNUMBER($BJ$1275),$B$677=1),$BJ$1275,HLOOKUP(INDIRECT(ADDRESS(2,COLUMN())),OFFSET($BN$2,0,0,ROW()-1,60),ROW()-1,FALSE))</f>
        <v/>
      </c>
      <c r="BK617" t="str">
        <f ca="1">IF(AND(ISNUMBER($BK$1275),$B$677=1),$BK$1275,HLOOKUP(INDIRECT(ADDRESS(2,COLUMN())),OFFSET($BN$2,0,0,ROW()-1,60),ROW()-1,FALSE))</f>
        <v/>
      </c>
      <c r="BL617" t="str">
        <f ca="1">IF(AND(ISNUMBER($BL$1275),$B$677=1),$BL$1275,HLOOKUP(INDIRECT(ADDRESS(2,COLUMN())),OFFSET($BN$2,0,0,ROW()-1,60),ROW()-1,FALSE))</f>
        <v/>
      </c>
      <c r="BM617" t="str">
        <f ca="1">IF(AND(ISNUMBER($BM$1275),$B$677=1),$BM$1275,HLOOKUP(INDIRECT(ADDRESS(2,COLUMN())),OFFSET($BN$2,0,0,ROW()-1,60),ROW()-1,FALSE))</f>
        <v/>
      </c>
      <c r="BN617">
        <f>10.46003953</f>
        <v>10.46003953</v>
      </c>
      <c r="BO617">
        <f>12.37874501</f>
        <v>12.378745009999999</v>
      </c>
      <c r="BP617">
        <f>-0.961375359</f>
        <v>-0.96137535900000004</v>
      </c>
      <c r="BQ617">
        <f>9.397215054</f>
        <v>9.3972150540000001</v>
      </c>
      <c r="BR617">
        <f>6.931871261</f>
        <v>6.9318712610000004</v>
      </c>
      <c r="BS617">
        <f>4.632653033</f>
        <v>4.6326530330000004</v>
      </c>
      <c r="BT617">
        <f>10.59128255</f>
        <v>10.591282550000001</v>
      </c>
      <c r="BU617">
        <f>11.06272686</f>
        <v>11.06272686</v>
      </c>
      <c r="BV617">
        <f>11.27428363</f>
        <v>11.274283629999999</v>
      </c>
      <c r="BW617">
        <f>2.74942386</f>
        <v>2.7494238599999998</v>
      </c>
      <c r="BX617">
        <f>0.546328799</f>
        <v>0.54632879899999998</v>
      </c>
      <c r="BY617">
        <f>-3.620177569</f>
        <v>-3.620177569</v>
      </c>
      <c r="BZ617">
        <f>-0.522913482</f>
        <v>-0.52291348199999999</v>
      </c>
      <c r="CA617">
        <f>0.86712395</f>
        <v>0.86712394999999998</v>
      </c>
      <c r="CB617">
        <f>-9.22231774</f>
        <v>-9.2223177399999994</v>
      </c>
      <c r="CC617">
        <f>-6.42278708</f>
        <v>-6.42278708</v>
      </c>
      <c r="CD617">
        <f>-9.033054108</f>
        <v>-9.033054108</v>
      </c>
      <c r="CE617">
        <f>-1.942558057</f>
        <v>-1.9425580570000001</v>
      </c>
      <c r="CF617">
        <f>3.705749953</f>
        <v>3.7057499530000002</v>
      </c>
      <c r="CG617">
        <f>2.930585524</f>
        <v>2.9305855240000001</v>
      </c>
      <c r="CH617">
        <f>5.05259266</f>
        <v>5.0525926600000002</v>
      </c>
      <c r="CI617">
        <f>11.50934295</f>
        <v>11.509342950000001</v>
      </c>
      <c r="CJ617">
        <f>14.86061746</f>
        <v>14.86061746</v>
      </c>
      <c r="CK617">
        <f>13.93175057</f>
        <v>13.93175057</v>
      </c>
      <c r="CL617">
        <f>18.90637575</f>
        <v>18.906375749999999</v>
      </c>
      <c r="CM617">
        <f>12.68715827</f>
        <v>12.687158269999999</v>
      </c>
      <c r="CN617">
        <f>12.8154189</f>
        <v>12.815418899999999</v>
      </c>
      <c r="CO617">
        <f>9.05989649</f>
        <v>9.0598964899999999</v>
      </c>
      <c r="CP617">
        <f>-7.127979116</f>
        <v>-7.1279791159999997</v>
      </c>
      <c r="CQ617">
        <f>-7.942196166</f>
        <v>-7.9421961659999996</v>
      </c>
      <c r="CR617">
        <f>-8.316355479</f>
        <v>-8.3163554790000003</v>
      </c>
      <c r="CS617">
        <f>-0.756729768</f>
        <v>-0.75672976800000002</v>
      </c>
      <c r="CT617">
        <f>-0.206009137</f>
        <v>-0.20600913700000001</v>
      </c>
      <c r="CU617">
        <f>5.308819153</f>
        <v>5.308819153</v>
      </c>
      <c r="CV617">
        <f>11.01669328</f>
        <v>11.01669328</v>
      </c>
      <c r="CW617">
        <f>12.10877766</f>
        <v>12.108777659999999</v>
      </c>
      <c r="CX617">
        <f>24.10010547</f>
        <v>24.100105469999999</v>
      </c>
      <c r="CY617">
        <f>17.98042409</f>
        <v>17.98042409</v>
      </c>
      <c r="CZ617">
        <f>-4.232295866</f>
        <v>-4.2322958660000003</v>
      </c>
      <c r="DA617">
        <f>-14.54051793</f>
        <v>-14.54051793</v>
      </c>
      <c r="DB617">
        <f>-71.76273795</f>
        <v>-71.762737950000002</v>
      </c>
      <c r="DC617">
        <f>-102.84626</f>
        <v>-102.84626</v>
      </c>
      <c r="DD617">
        <f>-30.85365647</f>
        <v>-30.853656470000001</v>
      </c>
      <c r="DE617">
        <f>-16.61971936</f>
        <v>-16.619719360000001</v>
      </c>
      <c r="DF617">
        <f>-16.78772142</f>
        <v>-16.78772142</v>
      </c>
      <c r="DG617">
        <f>-15.24839066</f>
        <v>-15.24839066</v>
      </c>
      <c r="DH617">
        <f>-16.69709091</f>
        <v>-16.69709091</v>
      </c>
      <c r="DI617">
        <f>-19.07612579</f>
        <v>-19.076125789999999</v>
      </c>
      <c r="DJ617">
        <f>-12.81592399</f>
        <v>-12.81592399</v>
      </c>
      <c r="DK617">
        <f>-5.996856713</f>
        <v>-5.9968567129999997</v>
      </c>
      <c r="DL617">
        <f>-4.150984792</f>
        <v>-4.150984792</v>
      </c>
      <c r="DM617">
        <f>8.460483956</f>
        <v>8.4604839559999991</v>
      </c>
      <c r="DN617">
        <f>6.698263731</f>
        <v>6.6982637309999999</v>
      </c>
      <c r="DO617">
        <f>7.962536603</f>
        <v>7.9625366030000002</v>
      </c>
      <c r="DP617" t="str">
        <f>""</f>
        <v/>
      </c>
      <c r="DQ617" t="str">
        <f>""</f>
        <v/>
      </c>
      <c r="DR617" t="str">
        <f>""</f>
        <v/>
      </c>
      <c r="DS617" t="str">
        <f>""</f>
        <v/>
      </c>
      <c r="DT617" t="str">
        <f>""</f>
        <v/>
      </c>
      <c r="DU617" t="str">
        <f>""</f>
        <v/>
      </c>
    </row>
    <row r="618" spans="1:125" x14ac:dyDescent="0.25">
      <c r="A618" t="str">
        <f>"    Toyota Motor Corp"</f>
        <v xml:space="preserve">    Toyota Motor Corp</v>
      </c>
      <c r="B618" t="str">
        <f>"7203 JP Equity"</f>
        <v>7203 JP Equity</v>
      </c>
      <c r="C618" t="str">
        <f t="shared" si="42"/>
        <v>RX072</v>
      </c>
      <c r="D618" t="str">
        <f t="shared" si="43"/>
        <v>FREE_CASH_FLOW_YIELD</v>
      </c>
      <c r="E618" t="str">
        <f t="shared" si="44"/>
        <v>Dynamic</v>
      </c>
      <c r="F618">
        <f ca="1">IF(AND(ISNUMBER($F$1276),$B$677=1),$F$1276,HLOOKUP(INDIRECT(ADDRESS(2,COLUMN())),OFFSET($BN$2,0,0,ROW()-1,60),ROW()-1,FALSE))</f>
        <v>14.19611053</v>
      </c>
      <c r="G618">
        <f ca="1">IF(AND(ISNUMBER($G$1276),$B$677=1),$G$1276,HLOOKUP(INDIRECT(ADDRESS(2,COLUMN())),OFFSET($BN$2,0,0,ROW()-1,60),ROW()-1,FALSE))</f>
        <v>14.891954849999999</v>
      </c>
      <c r="H618">
        <f ca="1">IF(AND(ISNUMBER($H$1276),$B$677=1),$H$1276,HLOOKUP(INDIRECT(ADDRESS(2,COLUMN())),OFFSET($BN$2,0,0,ROW()-1,60),ROW()-1,FALSE))</f>
        <v>12.43657425</v>
      </c>
      <c r="I618">
        <f ca="1">IF(AND(ISNUMBER($I$1276),$B$677=1),$I$1276,HLOOKUP(INDIRECT(ADDRESS(2,COLUMN())),OFFSET($BN$2,0,0,ROW()-1,60),ROW()-1,FALSE))</f>
        <v>12.029697000000001</v>
      </c>
      <c r="J618">
        <f ca="1">IF(AND(ISNUMBER($J$1276),$B$677=1),$J$1276,HLOOKUP(INDIRECT(ADDRESS(2,COLUMN())),OFFSET($BN$2,0,0,ROW()-1,60),ROW()-1,FALSE))</f>
        <v>14.51608892</v>
      </c>
      <c r="K618">
        <f ca="1">IF(AND(ISNUMBER($K$1276),$B$677=1),$K$1276,HLOOKUP(INDIRECT(ADDRESS(2,COLUMN())),OFFSET($BN$2,0,0,ROW()-1,60),ROW()-1,FALSE))</f>
        <v>13.386714059999999</v>
      </c>
      <c r="L618">
        <f ca="1">IF(AND(ISNUMBER($L$1276),$B$677=1),$L$1276,HLOOKUP(INDIRECT(ADDRESS(2,COLUMN())),OFFSET($BN$2,0,0,ROW()-1,60),ROW()-1,FALSE))</f>
        <v>13.37351937</v>
      </c>
      <c r="M618">
        <f ca="1">IF(AND(ISNUMBER($M$1276),$B$677=1),$M$1276,HLOOKUP(INDIRECT(ADDRESS(2,COLUMN())),OFFSET($BN$2,0,0,ROW()-1,60),ROW()-1,FALSE))</f>
        <v>12.210434100000001</v>
      </c>
      <c r="N618">
        <f ca="1">IF(AND(ISNUMBER($N$1276),$B$677=1),$N$1276,HLOOKUP(INDIRECT(ADDRESS(2,COLUMN())),OFFSET($BN$2,0,0,ROW()-1,60),ROW()-1,FALSE))</f>
        <v>12.057932470000001</v>
      </c>
      <c r="O618">
        <f ca="1">IF(AND(ISNUMBER($O$1276),$B$677=1),$O$1276,HLOOKUP(INDIRECT(ADDRESS(2,COLUMN())),OFFSET($BN$2,0,0,ROW()-1,60),ROW()-1,FALSE))</f>
        <v>11.23747519</v>
      </c>
      <c r="P618">
        <f ca="1">IF(AND(ISNUMBER($P$1276),$B$677=1),$P$1276,HLOOKUP(INDIRECT(ADDRESS(2,COLUMN())),OFFSET($BN$2,0,0,ROW()-1,60),ROW()-1,FALSE))</f>
        <v>16.017836859999999</v>
      </c>
      <c r="Q618">
        <f ca="1">IF(AND(ISNUMBER($Q$1276),$B$677=1),$Q$1276,HLOOKUP(INDIRECT(ADDRESS(2,COLUMN())),OFFSET($BN$2,0,0,ROW()-1,60),ROW()-1,FALSE))</f>
        <v>21.021381309999999</v>
      </c>
      <c r="R618">
        <f ca="1">IF(AND(ISNUMBER($R$1276),$B$677=1),$R$1276,HLOOKUP(INDIRECT(ADDRESS(2,COLUMN())),OFFSET($BN$2,0,0,ROW()-1,60),ROW()-1,FALSE))</f>
        <v>17.202617060000001</v>
      </c>
      <c r="S618">
        <f ca="1">IF(AND(ISNUMBER($S$1276),$B$677=1),$S$1276,HLOOKUP(INDIRECT(ADDRESS(2,COLUMN())),OFFSET($BN$2,0,0,ROW()-1,60),ROW()-1,FALSE))</f>
        <v>13.147011989999999</v>
      </c>
      <c r="T618">
        <f ca="1">IF(AND(ISNUMBER($T$1276),$B$677=1),$T$1276,HLOOKUP(INDIRECT(ADDRESS(2,COLUMN())),OFFSET($BN$2,0,0,ROW()-1,60),ROW()-1,FALSE))</f>
        <v>12.268720009999999</v>
      </c>
      <c r="U618">
        <f ca="1">IF(AND(ISNUMBER($U$1276),$B$677=1),$U$1276,HLOOKUP(INDIRECT(ADDRESS(2,COLUMN())),OFFSET($BN$2,0,0,ROW()-1,60),ROW()-1,FALSE))</f>
        <v>10.34179269</v>
      </c>
      <c r="V618">
        <f ca="1">IF(AND(ISNUMBER($V$1276),$B$677=1),$V$1276,HLOOKUP(INDIRECT(ADDRESS(2,COLUMN())),OFFSET($BN$2,0,0,ROW()-1,60),ROW()-1,FALSE))</f>
        <v>9.5953524310000002</v>
      </c>
      <c r="W618">
        <f ca="1">IF(AND(ISNUMBER($W$1276),$B$677=1),$W$1276,HLOOKUP(INDIRECT(ADDRESS(2,COLUMN())),OFFSET($BN$2,0,0,ROW()-1,60),ROW()-1,FALSE))</f>
        <v>9.1896121480000001</v>
      </c>
      <c r="X618">
        <f ca="1">IF(AND(ISNUMBER($X$1276),$B$677=1),$X$1276,HLOOKUP(INDIRECT(ADDRESS(2,COLUMN())),OFFSET($BN$2,0,0,ROW()-1,60),ROW()-1,FALSE))</f>
        <v>11.418293179999999</v>
      </c>
      <c r="Y618">
        <f ca="1">IF(AND(ISNUMBER($Y$1276),$B$677=1),$Y$1276,HLOOKUP(INDIRECT(ADDRESS(2,COLUMN())),OFFSET($BN$2,0,0,ROW()-1,60),ROW()-1,FALSE))</f>
        <v>12.951167659999999</v>
      </c>
      <c r="Z618">
        <f ca="1">IF(AND(ISNUMBER($Z$1276),$B$677=1),$Z$1276,HLOOKUP(INDIRECT(ADDRESS(2,COLUMN())),OFFSET($BN$2,0,0,ROW()-1,60),ROW()-1,FALSE))</f>
        <v>14.49456827</v>
      </c>
      <c r="AA618">
        <f ca="1">IF(AND(ISNUMBER($AA$1276),$B$677=1),$AA$1276,HLOOKUP(INDIRECT(ADDRESS(2,COLUMN())),OFFSET($BN$2,0,0,ROW()-1,60),ROW()-1,FALSE))</f>
        <v>12.19485751</v>
      </c>
      <c r="AB618">
        <f ca="1">IF(AND(ISNUMBER($AB$1276),$B$677=1),$AB$1276,HLOOKUP(INDIRECT(ADDRESS(2,COLUMN())),OFFSET($BN$2,0,0,ROW()-1,60),ROW()-1,FALSE))</f>
        <v>11.182338530000001</v>
      </c>
      <c r="AC618">
        <f ca="1">IF(AND(ISNUMBER($AC$1276),$B$677=1),$AC$1276,HLOOKUP(INDIRECT(ADDRESS(2,COLUMN())),OFFSET($BN$2,0,0,ROW()-1,60),ROW()-1,FALSE))</f>
        <v>9.8414314279999999</v>
      </c>
      <c r="AD618">
        <f ca="1">IF(AND(ISNUMBER($AD$1276),$B$677=1),$AD$1276,HLOOKUP(INDIRECT(ADDRESS(2,COLUMN())),OFFSET($BN$2,0,0,ROW()-1,60),ROW()-1,FALSE))</f>
        <v>10.37447057</v>
      </c>
      <c r="AE618">
        <f ca="1">IF(AND(ISNUMBER($AE$1276),$B$677=1),$AE$1276,HLOOKUP(INDIRECT(ADDRESS(2,COLUMN())),OFFSET($BN$2,0,0,ROW()-1,60),ROW()-1,FALSE))</f>
        <v>12.607989910000001</v>
      </c>
      <c r="AF618">
        <f ca="1">IF(AND(ISNUMBER($AF$1276),$B$677=1),$AF$1276,HLOOKUP(INDIRECT(ADDRESS(2,COLUMN())),OFFSET($BN$2,0,0,ROW()-1,60),ROW()-1,FALSE))</f>
        <v>14.95729253</v>
      </c>
      <c r="AG618">
        <f ca="1">IF(AND(ISNUMBER($AG$1276),$B$677=1),$AG$1276,HLOOKUP(INDIRECT(ADDRESS(2,COLUMN())),OFFSET($BN$2,0,0,ROW()-1,60),ROW()-1,FALSE))</f>
        <v>10.94832759</v>
      </c>
      <c r="AH618">
        <f ca="1">IF(AND(ISNUMBER($AH$1276),$B$677=1),$AH$1276,HLOOKUP(INDIRECT(ADDRESS(2,COLUMN())),OFFSET($BN$2,0,0,ROW()-1,60),ROW()-1,FALSE))</f>
        <v>6.4742683769999996</v>
      </c>
      <c r="AI618">
        <f ca="1">IF(AND(ISNUMBER($AI$1276),$B$677=1),$AI$1276,HLOOKUP(INDIRECT(ADDRESS(2,COLUMN())),OFFSET($BN$2,0,0,ROW()-1,60),ROW()-1,FALSE))</f>
        <v>8.5453095379999997</v>
      </c>
      <c r="AJ618">
        <f ca="1">IF(AND(ISNUMBER($AJ$1276),$B$677=1),$AJ$1276,HLOOKUP(INDIRECT(ADDRESS(2,COLUMN())),OFFSET($BN$2,0,0,ROW()-1,60),ROW()-1,FALSE))</f>
        <v>7.4732729850000004</v>
      </c>
      <c r="AK618">
        <f ca="1">IF(AND(ISNUMBER($AK$1276),$B$677=1),$AK$1276,HLOOKUP(INDIRECT(ADDRESS(2,COLUMN())),OFFSET($BN$2,0,0,ROW()-1,60),ROW()-1,FALSE))</f>
        <v>8.991853721</v>
      </c>
      <c r="AL618">
        <f ca="1">IF(AND(ISNUMBER($AL$1276),$B$677=1),$AL$1276,HLOOKUP(INDIRECT(ADDRESS(2,COLUMN())),OFFSET($BN$2,0,0,ROW()-1,60),ROW()-1,FALSE))</f>
        <v>13.2760192</v>
      </c>
      <c r="AM618">
        <f ca="1">IF(AND(ISNUMBER($AM$1276),$B$677=1),$AM$1276,HLOOKUP(INDIRECT(ADDRESS(2,COLUMN())),OFFSET($BN$2,0,0,ROW()-1,60),ROW()-1,FALSE))</f>
        <v>13.538650609999999</v>
      </c>
      <c r="AN618">
        <f ca="1">IF(AND(ISNUMBER($AN$1276),$B$677=1),$AN$1276,HLOOKUP(INDIRECT(ADDRESS(2,COLUMN())),OFFSET($BN$2,0,0,ROW()-1,60),ROW()-1,FALSE))</f>
        <v>17.638196789999999</v>
      </c>
      <c r="AO618">
        <f ca="1">IF(AND(ISNUMBER($AO$1276),$B$677=1),$AO$1276,HLOOKUP(INDIRECT(ADDRESS(2,COLUMN())),OFFSET($BN$2,0,0,ROW()-1,60),ROW()-1,FALSE))</f>
        <v>23.14010408</v>
      </c>
      <c r="AP618">
        <f ca="1">IF(AND(ISNUMBER($AP$1276),$B$677=1),$AP$1276,HLOOKUP(INDIRECT(ADDRESS(2,COLUMN())),OFFSET($BN$2,0,0,ROW()-1,60),ROW()-1,FALSE))</f>
        <v>16.637813170000001</v>
      </c>
      <c r="AQ618">
        <f ca="1">IF(AND(ISNUMBER($AQ$1276),$B$677=1),$AQ$1276,HLOOKUP(INDIRECT(ADDRESS(2,COLUMN())),OFFSET($BN$2,0,0,ROW()-1,60),ROW()-1,FALSE))</f>
        <v>13.078187700000001</v>
      </c>
      <c r="AR618">
        <f ca="1">IF(AND(ISNUMBER($AR$1276),$B$677=1),$AR$1276,HLOOKUP(INDIRECT(ADDRESS(2,COLUMN())),OFFSET($BN$2,0,0,ROW()-1,60),ROW()-1,FALSE))</f>
        <v>4.816754822</v>
      </c>
      <c r="AS618">
        <f ca="1">IF(AND(ISNUMBER($AS$1276),$B$677=1),$AS$1276,HLOOKUP(INDIRECT(ADDRESS(2,COLUMN())),OFFSET($BN$2,0,0,ROW()-1,60),ROW()-1,FALSE))</f>
        <v>-1.086678144</v>
      </c>
      <c r="AT618">
        <f ca="1">IF(AND(ISNUMBER($AT$1276),$B$677=1),$AT$1276,HLOOKUP(INDIRECT(ADDRESS(2,COLUMN())),OFFSET($BN$2,0,0,ROW()-1,60),ROW()-1,FALSE))</f>
        <v>1.1208132449999999</v>
      </c>
      <c r="AU618" t="str">
        <f ca="1">IF(AND(ISNUMBER($AU$1276),$B$677=1),$AU$1276,HLOOKUP(INDIRECT(ADDRESS(2,COLUMN())),OFFSET($BN$2,0,0,ROW()-1,60),ROW()-1,FALSE))</f>
        <v/>
      </c>
      <c r="AV618" t="str">
        <f ca="1">IF(AND(ISNUMBER($AV$1276),$B$677=1),$AV$1276,HLOOKUP(INDIRECT(ADDRESS(2,COLUMN())),OFFSET($BN$2,0,0,ROW()-1,60),ROW()-1,FALSE))</f>
        <v/>
      </c>
      <c r="AW618" t="str">
        <f ca="1">IF(AND(ISNUMBER($AW$1276),$B$677=1),$AW$1276,HLOOKUP(INDIRECT(ADDRESS(2,COLUMN())),OFFSET($BN$2,0,0,ROW()-1,60),ROW()-1,FALSE))</f>
        <v/>
      </c>
      <c r="AX618" t="str">
        <f ca="1">IF(AND(ISNUMBER($AX$1276),$B$677=1),$AX$1276,HLOOKUP(INDIRECT(ADDRESS(2,COLUMN())),OFFSET($BN$2,0,0,ROW()-1,60),ROW()-1,FALSE))</f>
        <v/>
      </c>
      <c r="AY618" t="str">
        <f ca="1">IF(AND(ISNUMBER($AY$1276),$B$677=1),$AY$1276,HLOOKUP(INDIRECT(ADDRESS(2,COLUMN())),OFFSET($BN$2,0,0,ROW()-1,60),ROW()-1,FALSE))</f>
        <v/>
      </c>
      <c r="AZ618" t="str">
        <f ca="1">IF(AND(ISNUMBER($AZ$1276),$B$677=1),$AZ$1276,HLOOKUP(INDIRECT(ADDRESS(2,COLUMN())),OFFSET($BN$2,0,0,ROW()-1,60),ROW()-1,FALSE))</f>
        <v/>
      </c>
      <c r="BA618" t="str">
        <f ca="1">IF(AND(ISNUMBER($BA$1276),$B$677=1),$BA$1276,HLOOKUP(INDIRECT(ADDRESS(2,COLUMN())),OFFSET($BN$2,0,0,ROW()-1,60),ROW()-1,FALSE))</f>
        <v/>
      </c>
      <c r="BB618" t="str">
        <f ca="1">IF(AND(ISNUMBER($BB$1276),$B$677=1),$BB$1276,HLOOKUP(INDIRECT(ADDRESS(2,COLUMN())),OFFSET($BN$2,0,0,ROW()-1,60),ROW()-1,FALSE))</f>
        <v/>
      </c>
      <c r="BC618" t="str">
        <f ca="1">IF(AND(ISNUMBER($BC$1276),$B$677=1),$BC$1276,HLOOKUP(INDIRECT(ADDRESS(2,COLUMN())),OFFSET($BN$2,0,0,ROW()-1,60),ROW()-1,FALSE))</f>
        <v/>
      </c>
      <c r="BD618" t="str">
        <f ca="1">IF(AND(ISNUMBER($BD$1276),$B$677=1),$BD$1276,HLOOKUP(INDIRECT(ADDRESS(2,COLUMN())),OFFSET($BN$2,0,0,ROW()-1,60),ROW()-1,FALSE))</f>
        <v/>
      </c>
      <c r="BE618" t="str">
        <f ca="1">IF(AND(ISNUMBER($BE$1276),$B$677=1),$BE$1276,HLOOKUP(INDIRECT(ADDRESS(2,COLUMN())),OFFSET($BN$2,0,0,ROW()-1,60),ROW()-1,FALSE))</f>
        <v/>
      </c>
      <c r="BF618" t="str">
        <f ca="1">IF(AND(ISNUMBER($BF$1276),$B$677=1),$BF$1276,HLOOKUP(INDIRECT(ADDRESS(2,COLUMN())),OFFSET($BN$2,0,0,ROW()-1,60),ROW()-1,FALSE))</f>
        <v/>
      </c>
      <c r="BG618" t="str">
        <f ca="1">IF(AND(ISNUMBER($BG$1276),$B$677=1),$BG$1276,HLOOKUP(INDIRECT(ADDRESS(2,COLUMN())),OFFSET($BN$2,0,0,ROW()-1,60),ROW()-1,FALSE))</f>
        <v/>
      </c>
      <c r="BH618" t="str">
        <f ca="1">IF(AND(ISNUMBER($BH$1276),$B$677=1),$BH$1276,HLOOKUP(INDIRECT(ADDRESS(2,COLUMN())),OFFSET($BN$2,0,0,ROW()-1,60),ROW()-1,FALSE))</f>
        <v/>
      </c>
      <c r="BI618" t="str">
        <f ca="1">IF(AND(ISNUMBER($BI$1276),$B$677=1),$BI$1276,HLOOKUP(INDIRECT(ADDRESS(2,COLUMN())),OFFSET($BN$2,0,0,ROW()-1,60),ROW()-1,FALSE))</f>
        <v/>
      </c>
      <c r="BJ618" t="str">
        <f ca="1">IF(AND(ISNUMBER($BJ$1276),$B$677=1),$BJ$1276,HLOOKUP(INDIRECT(ADDRESS(2,COLUMN())),OFFSET($BN$2,0,0,ROW()-1,60),ROW()-1,FALSE))</f>
        <v/>
      </c>
      <c r="BK618" t="str">
        <f ca="1">IF(AND(ISNUMBER($BK$1276),$B$677=1),$BK$1276,HLOOKUP(INDIRECT(ADDRESS(2,COLUMN())),OFFSET($BN$2,0,0,ROW()-1,60),ROW()-1,FALSE))</f>
        <v/>
      </c>
      <c r="BL618" t="str">
        <f ca="1">IF(AND(ISNUMBER($BL$1276),$B$677=1),$BL$1276,HLOOKUP(INDIRECT(ADDRESS(2,COLUMN())),OFFSET($BN$2,0,0,ROW()-1,60),ROW()-1,FALSE))</f>
        <v/>
      </c>
      <c r="BM618" t="str">
        <f ca="1">IF(AND(ISNUMBER($BM$1276),$B$677=1),$BM$1276,HLOOKUP(INDIRECT(ADDRESS(2,COLUMN())),OFFSET($BN$2,0,0,ROW()-1,60),ROW()-1,FALSE))</f>
        <v/>
      </c>
      <c r="BN618">
        <f>14.19611053</f>
        <v>14.19611053</v>
      </c>
      <c r="BO618">
        <f>14.89195485</f>
        <v>14.891954849999999</v>
      </c>
      <c r="BP618">
        <f>12.43657425</f>
        <v>12.43657425</v>
      </c>
      <c r="BQ618">
        <f>12.029697</f>
        <v>12.029697000000001</v>
      </c>
      <c r="BR618">
        <f>14.51608892</f>
        <v>14.51608892</v>
      </c>
      <c r="BS618">
        <f>13.38671406</f>
        <v>13.386714059999999</v>
      </c>
      <c r="BT618">
        <f>13.37351937</f>
        <v>13.37351937</v>
      </c>
      <c r="BU618">
        <f>12.2104341</f>
        <v>12.210434100000001</v>
      </c>
      <c r="BV618">
        <f>12.05793247</f>
        <v>12.057932470000001</v>
      </c>
      <c r="BW618">
        <f>11.23747519</f>
        <v>11.23747519</v>
      </c>
      <c r="BX618">
        <f>16.01783686</f>
        <v>16.017836859999999</v>
      </c>
      <c r="BY618">
        <f>21.02138131</f>
        <v>21.021381309999999</v>
      </c>
      <c r="BZ618">
        <f>17.20261706</f>
        <v>17.202617060000001</v>
      </c>
      <c r="CA618">
        <f>13.14701199</f>
        <v>13.147011989999999</v>
      </c>
      <c r="CB618">
        <f>12.26872001</f>
        <v>12.268720009999999</v>
      </c>
      <c r="CC618">
        <f>10.34179269</f>
        <v>10.34179269</v>
      </c>
      <c r="CD618">
        <f>9.595352431</f>
        <v>9.5953524310000002</v>
      </c>
      <c r="CE618">
        <f>9.189612148</f>
        <v>9.1896121480000001</v>
      </c>
      <c r="CF618">
        <f>11.41829318</f>
        <v>11.418293179999999</v>
      </c>
      <c r="CG618">
        <f>12.95116766</f>
        <v>12.951167659999999</v>
      </c>
      <c r="CH618">
        <f>14.49456827</f>
        <v>14.49456827</v>
      </c>
      <c r="CI618">
        <f>12.19485751</f>
        <v>12.19485751</v>
      </c>
      <c r="CJ618">
        <f>11.18233853</f>
        <v>11.182338530000001</v>
      </c>
      <c r="CK618">
        <f>9.841431428</f>
        <v>9.8414314279999999</v>
      </c>
      <c r="CL618">
        <f>10.37447057</f>
        <v>10.37447057</v>
      </c>
      <c r="CM618">
        <f>12.60798991</f>
        <v>12.607989910000001</v>
      </c>
      <c r="CN618">
        <f>14.95729253</f>
        <v>14.95729253</v>
      </c>
      <c r="CO618">
        <f>10.94832759</f>
        <v>10.94832759</v>
      </c>
      <c r="CP618">
        <f>6.474268377</f>
        <v>6.4742683769999996</v>
      </c>
      <c r="CQ618">
        <f>8.545309538</f>
        <v>8.5453095379999997</v>
      </c>
      <c r="CR618">
        <f>7.473272985</f>
        <v>7.4732729850000004</v>
      </c>
      <c r="CS618">
        <f>8.991853721</f>
        <v>8.991853721</v>
      </c>
      <c r="CT618">
        <f>13.2760192</f>
        <v>13.2760192</v>
      </c>
      <c r="CU618">
        <f>13.53865061</f>
        <v>13.538650609999999</v>
      </c>
      <c r="CV618">
        <f>17.63819679</f>
        <v>17.638196789999999</v>
      </c>
      <c r="CW618">
        <f>23.14010408</f>
        <v>23.14010408</v>
      </c>
      <c r="CX618">
        <f>16.63781317</f>
        <v>16.637813170000001</v>
      </c>
      <c r="CY618">
        <f>13.0781877</f>
        <v>13.078187700000001</v>
      </c>
      <c r="CZ618">
        <f>4.816754822</f>
        <v>4.816754822</v>
      </c>
      <c r="DA618">
        <f>-1.086678144</f>
        <v>-1.086678144</v>
      </c>
      <c r="DB618">
        <f>1.120813245</f>
        <v>1.1208132449999999</v>
      </c>
      <c r="DC618" t="str">
        <f>""</f>
        <v/>
      </c>
      <c r="DD618" t="str">
        <f>""</f>
        <v/>
      </c>
      <c r="DE618" t="str">
        <f>""</f>
        <v/>
      </c>
      <c r="DF618" t="str">
        <f>""</f>
        <v/>
      </c>
      <c r="DG618" t="str">
        <f>""</f>
        <v/>
      </c>
      <c r="DH618" t="str">
        <f>""</f>
        <v/>
      </c>
      <c r="DI618" t="str">
        <f>""</f>
        <v/>
      </c>
      <c r="DJ618" t="str">
        <f>""</f>
        <v/>
      </c>
      <c r="DK618" t="str">
        <f>""</f>
        <v/>
      </c>
      <c r="DL618" t="str">
        <f>""</f>
        <v/>
      </c>
      <c r="DM618" t="str">
        <f>""</f>
        <v/>
      </c>
      <c r="DN618" t="str">
        <f>""</f>
        <v/>
      </c>
      <c r="DO618" t="str">
        <f>""</f>
        <v/>
      </c>
      <c r="DP618" t="str">
        <f>""</f>
        <v/>
      </c>
      <c r="DQ618" t="str">
        <f>""</f>
        <v/>
      </c>
      <c r="DR618" t="str">
        <f>""</f>
        <v/>
      </c>
      <c r="DS618" t="str">
        <f>""</f>
        <v/>
      </c>
      <c r="DT618" t="str">
        <f>""</f>
        <v/>
      </c>
      <c r="DU618" t="str">
        <f>""</f>
        <v/>
      </c>
    </row>
    <row r="619" spans="1:125" x14ac:dyDescent="0.25">
      <c r="A619" t="str">
        <f>"    Volkswagen AG"</f>
        <v xml:space="preserve">    Volkswagen AG</v>
      </c>
      <c r="B619" t="str">
        <f>"VOW GR Equity"</f>
        <v>VOW GR Equity</v>
      </c>
      <c r="C619" t="str">
        <f t="shared" si="42"/>
        <v>RX072</v>
      </c>
      <c r="D619" t="str">
        <f t="shared" si="43"/>
        <v>FREE_CASH_FLOW_YIELD</v>
      </c>
      <c r="E619" t="str">
        <f t="shared" si="44"/>
        <v>Dynamic</v>
      </c>
      <c r="F619" t="str">
        <f ca="1">IF(AND(ISNUMBER($F$1277),$B$677=1),$F$1277,HLOOKUP(INDIRECT(ADDRESS(2,COLUMN())),OFFSET($BN$2,0,0,ROW()-1,60),ROW()-1,FALSE))</f>
        <v/>
      </c>
      <c r="G619">
        <f ca="1">IF(AND(ISNUMBER($G$1277),$B$677=1),$G$1277,HLOOKUP(INDIRECT(ADDRESS(2,COLUMN())),OFFSET($BN$2,0,0,ROW()-1,60),ROW()-1,FALSE))</f>
        <v>-8.4595857159999994</v>
      </c>
      <c r="H619">
        <f ca="1">IF(AND(ISNUMBER($H$1277),$B$677=1),$H$1277,HLOOKUP(INDIRECT(ADDRESS(2,COLUMN())),OFFSET($BN$2,0,0,ROW()-1,60),ROW()-1,FALSE))</f>
        <v>-7.7683134740000002</v>
      </c>
      <c r="I619">
        <f ca="1">IF(AND(ISNUMBER($I$1277),$B$677=1),$I$1277,HLOOKUP(INDIRECT(ADDRESS(2,COLUMN())),OFFSET($BN$2,0,0,ROW()-1,60),ROW()-1,FALSE))</f>
        <v>-9.2651311930000002</v>
      </c>
      <c r="J619">
        <f ca="1">IF(AND(ISNUMBER($J$1277),$B$677=1),$J$1277,HLOOKUP(INDIRECT(ADDRESS(2,COLUMN())),OFFSET($BN$2,0,0,ROW()-1,60),ROW()-1,FALSE))</f>
        <v>-12.936437120000001</v>
      </c>
      <c r="K619">
        <f ca="1">IF(AND(ISNUMBER($K$1277),$B$677=1),$K$1277,HLOOKUP(INDIRECT(ADDRESS(2,COLUMN())),OFFSET($BN$2,0,0,ROW()-1,60),ROW()-1,FALSE))</f>
        <v>-17.06543843</v>
      </c>
      <c r="L619">
        <f ca="1">IF(AND(ISNUMBER($L$1277),$B$677=1),$L$1277,HLOOKUP(INDIRECT(ADDRESS(2,COLUMN())),OFFSET($BN$2,0,0,ROW()-1,60),ROW()-1,FALSE))</f>
        <v>-24.038554869999999</v>
      </c>
      <c r="M619">
        <f ca="1">IF(AND(ISNUMBER($M$1277),$B$677=1),$M$1277,HLOOKUP(INDIRECT(ADDRESS(2,COLUMN())),OFFSET($BN$2,0,0,ROW()-1,60),ROW()-1,FALSE))</f>
        <v>-20.943240200000002</v>
      </c>
      <c r="N619">
        <f ca="1">IF(AND(ISNUMBER($N$1277),$B$677=1),$N$1277,HLOOKUP(INDIRECT(ADDRESS(2,COLUMN())),OFFSET($BN$2,0,0,ROW()-1,60),ROW()-1,FALSE))</f>
        <v>-8.5101410899999994</v>
      </c>
      <c r="O619">
        <f ca="1">IF(AND(ISNUMBER($O$1277),$B$677=1),$O$1277,HLOOKUP(INDIRECT(ADDRESS(2,COLUMN())),OFFSET($BN$2,0,0,ROW()-1,60),ROW()-1,FALSE))</f>
        <v>-5.429727883</v>
      </c>
      <c r="P619">
        <f ca="1">IF(AND(ISNUMBER($P$1277),$B$677=1),$P$1277,HLOOKUP(INDIRECT(ADDRESS(2,COLUMN())),OFFSET($BN$2,0,0,ROW()-1,60),ROW()-1,FALSE))</f>
        <v>-2.979043044</v>
      </c>
      <c r="Q619">
        <f ca="1">IF(AND(ISNUMBER($Q$1277),$B$677=1),$Q$1277,HLOOKUP(INDIRECT(ADDRESS(2,COLUMN())),OFFSET($BN$2,0,0,ROW()-1,60),ROW()-1,FALSE))</f>
        <v>-2.793034639</v>
      </c>
      <c r="R619">
        <f ca="1">IF(AND(ISNUMBER($R$1277),$B$677=1),$R$1277,HLOOKUP(INDIRECT(ADDRESS(2,COLUMN())),OFFSET($BN$2,0,0,ROW()-1,60),ROW()-1,FALSE))</f>
        <v>-2.4577670349999998</v>
      </c>
      <c r="S619">
        <f ca="1">IF(AND(ISNUMBER($S$1277),$B$677=1),$S$1277,HLOOKUP(INDIRECT(ADDRESS(2,COLUMN())),OFFSET($BN$2,0,0,ROW()-1,60),ROW()-1,FALSE))</f>
        <v>0.65303018000000002</v>
      </c>
      <c r="T619">
        <f ca="1">IF(AND(ISNUMBER($T$1277),$B$677=1),$T$1277,HLOOKUP(INDIRECT(ADDRESS(2,COLUMN())),OFFSET($BN$2,0,0,ROW()-1,60),ROW()-1,FALSE))</f>
        <v>3.2700596239999999</v>
      </c>
      <c r="U619">
        <f ca="1">IF(AND(ISNUMBER($U$1277),$B$677=1),$U$1277,HLOOKUP(INDIRECT(ADDRESS(2,COLUMN())),OFFSET($BN$2,0,0,ROW()-1,60),ROW()-1,FALSE))</f>
        <v>1.756803997</v>
      </c>
      <c r="V619">
        <f ca="1">IF(AND(ISNUMBER($V$1277),$B$677=1),$V$1277,HLOOKUP(INDIRECT(ADDRESS(2,COLUMN())),OFFSET($BN$2,0,0,ROW()-1,60),ROW()-1,FALSE))</f>
        <v>0.13776571000000001</v>
      </c>
      <c r="W619">
        <f ca="1">IF(AND(ISNUMBER($W$1277),$B$677=1),$W$1277,HLOOKUP(INDIRECT(ADDRESS(2,COLUMN())),OFFSET($BN$2,0,0,ROW()-1,60),ROW()-1,FALSE))</f>
        <v>-1.3698986710000001</v>
      </c>
      <c r="X619">
        <f ca="1">IF(AND(ISNUMBER($X$1277),$B$677=1),$X$1277,HLOOKUP(INDIRECT(ADDRESS(2,COLUMN())),OFFSET($BN$2,0,0,ROW()-1,60),ROW()-1,FALSE))</f>
        <v>-1.3220551570000001</v>
      </c>
      <c r="Y619">
        <f ca="1">IF(AND(ISNUMBER($Y$1277),$B$677=1),$Y$1277,HLOOKUP(INDIRECT(ADDRESS(2,COLUMN())),OFFSET($BN$2,0,0,ROW()-1,60),ROW()-1,FALSE))</f>
        <v>-0.17546794199999999</v>
      </c>
      <c r="Z619">
        <f ca="1">IF(AND(ISNUMBER($Z$1277),$B$677=1),$Z$1277,HLOOKUP(INDIRECT(ADDRESS(2,COLUMN())),OFFSET($BN$2,0,0,ROW()-1,60),ROW()-1,FALSE))</f>
        <v>0.22669397899999999</v>
      </c>
      <c r="AA619">
        <f ca="1">IF(AND(ISNUMBER($AA$1277),$B$677=1),$AA$1277,HLOOKUP(INDIRECT(ADDRESS(2,COLUMN())),OFFSET($BN$2,0,0,ROW()-1,60),ROW()-1,FALSE))</f>
        <v>1.2718934799999999</v>
      </c>
      <c r="AB619">
        <f ca="1">IF(AND(ISNUMBER($AB$1277),$B$677=1),$AB$1277,HLOOKUP(INDIRECT(ADDRESS(2,COLUMN())),OFFSET($BN$2,0,0,ROW()-1,60),ROW()-1,FALSE))</f>
        <v>1.06162673</v>
      </c>
      <c r="AC619">
        <f ca="1">IF(AND(ISNUMBER($AC$1277),$B$677=1),$AC$1277,HLOOKUP(INDIRECT(ADDRESS(2,COLUMN())),OFFSET($BN$2,0,0,ROW()-1,60),ROW()-1,FALSE))</f>
        <v>-1.7242911970000001</v>
      </c>
      <c r="AD619">
        <f ca="1">IF(AND(ISNUMBER($AD$1277),$B$677=1),$AD$1277,HLOOKUP(INDIRECT(ADDRESS(2,COLUMN())),OFFSET($BN$2,0,0,ROW()-1,60),ROW()-1,FALSE))</f>
        <v>-3.1486159800000002</v>
      </c>
      <c r="AE619">
        <f ca="1">IF(AND(ISNUMBER($AE$1277),$B$677=1),$AE$1277,HLOOKUP(INDIRECT(ADDRESS(2,COLUMN())),OFFSET($BN$2,0,0,ROW()-1,60),ROW()-1,FALSE))</f>
        <v>-4.2574461279999998</v>
      </c>
      <c r="AF619">
        <f ca="1">IF(AND(ISNUMBER($AF$1277),$B$677=1),$AF$1277,HLOOKUP(INDIRECT(ADDRESS(2,COLUMN())),OFFSET($BN$2,0,0,ROW()-1,60),ROW()-1,FALSE))</f>
        <v>-3.7262699929999998</v>
      </c>
      <c r="AG619">
        <f ca="1">IF(AND(ISNUMBER($AG$1277),$B$677=1),$AG$1277,HLOOKUP(INDIRECT(ADDRESS(2,COLUMN())),OFFSET($BN$2,0,0,ROW()-1,60),ROW()-1,FALSE))</f>
        <v>-3.2597228079999998</v>
      </c>
      <c r="AH619">
        <f ca="1">IF(AND(ISNUMBER($AH$1277),$B$677=1),$AH$1277,HLOOKUP(INDIRECT(ADDRESS(2,COLUMN())),OFFSET($BN$2,0,0,ROW()-1,60),ROW()-1,FALSE))</f>
        <v>-2.4944799980000001</v>
      </c>
      <c r="AI619">
        <f ca="1">IF(AND(ISNUMBER($AI$1277),$B$677=1),$AI$1277,HLOOKUP(INDIRECT(ADDRESS(2,COLUMN())),OFFSET($BN$2,0,0,ROW()-1,60),ROW()-1,FALSE))</f>
        <v>0.85710974600000001</v>
      </c>
      <c r="AJ619">
        <f ca="1">IF(AND(ISNUMBER($AJ$1277),$B$677=1),$AJ$1277,HLOOKUP(INDIRECT(ADDRESS(2,COLUMN())),OFFSET($BN$2,0,0,ROW()-1,60),ROW()-1,FALSE))</f>
        <v>2.3338702769999999</v>
      </c>
      <c r="AK619">
        <f ca="1">IF(AND(ISNUMBER($AK$1277),$B$677=1),$AK$1277,HLOOKUP(INDIRECT(ADDRESS(2,COLUMN())),OFFSET($BN$2,0,0,ROW()-1,60),ROW()-1,FALSE))</f>
        <v>3.542044674</v>
      </c>
      <c r="AL619">
        <f ca="1">IF(AND(ISNUMBER($AL$1277),$B$677=1),$AL$1277,HLOOKUP(INDIRECT(ADDRESS(2,COLUMN())),OFFSET($BN$2,0,0,ROW()-1,60),ROW()-1,FALSE))</f>
        <v>9.9480620979999994</v>
      </c>
      <c r="AM619">
        <f ca="1">IF(AND(ISNUMBER($AM$1277),$B$677=1),$AM$1277,HLOOKUP(INDIRECT(ADDRESS(2,COLUMN())),OFFSET($BN$2,0,0,ROW()-1,60),ROW()-1,FALSE))</f>
        <v>12.26834803</v>
      </c>
      <c r="AN619">
        <f ca="1">IF(AND(ISNUMBER($AN$1277),$B$677=1),$AN$1277,HLOOKUP(INDIRECT(ADDRESS(2,COLUMN())),OFFSET($BN$2,0,0,ROW()-1,60),ROW()-1,FALSE))</f>
        <v>21.775273510000002</v>
      </c>
      <c r="AO619">
        <f ca="1">IF(AND(ISNUMBER($AO$1277),$B$677=1),$AO$1277,HLOOKUP(INDIRECT(ADDRESS(2,COLUMN())),OFFSET($BN$2,0,0,ROW()-1,60),ROW()-1,FALSE))</f>
        <v>23.760471370000001</v>
      </c>
      <c r="AP619">
        <f ca="1">IF(AND(ISNUMBER($AP$1277),$B$677=1),$AP$1277,HLOOKUP(INDIRECT(ADDRESS(2,COLUMN())),OFFSET($BN$2,0,0,ROW()-1,60),ROW()-1,FALSE))</f>
        <v>25.252529549999998</v>
      </c>
      <c r="AQ619">
        <f ca="1">IF(AND(ISNUMBER($AQ$1277),$B$677=1),$AQ$1277,HLOOKUP(INDIRECT(ADDRESS(2,COLUMN())),OFFSET($BN$2,0,0,ROW()-1,60),ROW()-1,FALSE))</f>
        <v>21.998026540000001</v>
      </c>
      <c r="AR619">
        <f ca="1">IF(AND(ISNUMBER($AR$1277),$B$677=1),$AR$1277,HLOOKUP(INDIRECT(ADDRESS(2,COLUMN())),OFFSET($BN$2,0,0,ROW()-1,60),ROW()-1,FALSE))</f>
        <v>2.5886943310000001</v>
      </c>
      <c r="AS619">
        <f ca="1">IF(AND(ISNUMBER($AS$1277),$B$677=1),$AS$1277,HLOOKUP(INDIRECT(ADDRESS(2,COLUMN())),OFFSET($BN$2,0,0,ROW()-1,60),ROW()-1,FALSE))</f>
        <v>1.193047062</v>
      </c>
      <c r="AT619">
        <f ca="1">IF(AND(ISNUMBER($AT$1277),$B$677=1),$AT$1277,HLOOKUP(INDIRECT(ADDRESS(2,COLUMN())),OFFSET($BN$2,0,0,ROW()-1,60),ROW()-1,FALSE))</f>
        <v>-0.26439509100000003</v>
      </c>
      <c r="AU619">
        <f ca="1">IF(AND(ISNUMBER($AU$1277),$B$677=1),$AU$1277,HLOOKUP(INDIRECT(ADDRESS(2,COLUMN())),OFFSET($BN$2,0,0,ROW()-1,60),ROW()-1,FALSE))</f>
        <v>-1.364324377</v>
      </c>
      <c r="AV619">
        <f ca="1">IF(AND(ISNUMBER($AV$1277),$B$677=1),$AV$1277,HLOOKUP(INDIRECT(ADDRESS(2,COLUMN())),OFFSET($BN$2,0,0,ROW()-1,60),ROW()-1,FALSE))</f>
        <v>3.5573377549999998</v>
      </c>
      <c r="AW619">
        <f ca="1">IF(AND(ISNUMBER($AW$1277),$B$677=1),$AW$1277,HLOOKUP(INDIRECT(ADDRESS(2,COLUMN())),OFFSET($BN$2,0,0,ROW()-1,60),ROW()-1,FALSE))</f>
        <v>6.3583693090000004</v>
      </c>
      <c r="AX619">
        <f ca="1">IF(AND(ISNUMBER($AX$1277),$B$677=1),$AX$1277,HLOOKUP(INDIRECT(ADDRESS(2,COLUMN())),OFFSET($BN$2,0,0,ROW()-1,60),ROW()-1,FALSE))</f>
        <v>9.3559864350000002</v>
      </c>
      <c r="AY619">
        <f ca="1">IF(AND(ISNUMBER($AY$1277),$B$677=1),$AY$1277,HLOOKUP(INDIRECT(ADDRESS(2,COLUMN())),OFFSET($BN$2,0,0,ROW()-1,60),ROW()-1,FALSE))</f>
        <v>13.790495870000001</v>
      </c>
      <c r="AZ619">
        <f ca="1">IF(AND(ISNUMBER($AZ$1277),$B$677=1),$AZ$1277,HLOOKUP(INDIRECT(ADDRESS(2,COLUMN())),OFFSET($BN$2,0,0,ROW()-1,60),ROW()-1,FALSE))</f>
        <v>13.9897308</v>
      </c>
      <c r="BA619">
        <f ca="1">IF(AND(ISNUMBER($BA$1277),$B$677=1),$BA$1277,HLOOKUP(INDIRECT(ADDRESS(2,COLUMN())),OFFSET($BN$2,0,0,ROW()-1,60),ROW()-1,FALSE))</f>
        <v>17.946515309999999</v>
      </c>
      <c r="BB619">
        <f ca="1">IF(AND(ISNUMBER($BB$1277),$B$677=1),$BB$1277,HLOOKUP(INDIRECT(ADDRESS(2,COLUMN())),OFFSET($BN$2,0,0,ROW()-1,60),ROW()-1,FALSE))</f>
        <v>16.669819019999998</v>
      </c>
      <c r="BC619">
        <f ca="1">IF(AND(ISNUMBER($BC$1277),$B$677=1),$BC$1277,HLOOKUP(INDIRECT(ADDRESS(2,COLUMN())),OFFSET($BN$2,0,0,ROW()-1,60),ROW()-1,FALSE))</f>
        <v>21.870507880000002</v>
      </c>
      <c r="BD619">
        <f ca="1">IF(AND(ISNUMBER($BD$1277),$B$677=1),$BD$1277,HLOOKUP(INDIRECT(ADDRESS(2,COLUMN())),OFFSET($BN$2,0,0,ROW()-1,60),ROW()-1,FALSE))</f>
        <v>29.44606233</v>
      </c>
      <c r="BE619">
        <f ca="1">IF(AND(ISNUMBER($BE$1277),$B$677=1),$BE$1277,HLOOKUP(INDIRECT(ADDRESS(2,COLUMN())),OFFSET($BN$2,0,0,ROW()-1,60),ROW()-1,FALSE))</f>
        <v>34.761018929999999</v>
      </c>
      <c r="BF619">
        <f ca="1">IF(AND(ISNUMBER($BF$1277),$B$677=1),$BF$1277,HLOOKUP(INDIRECT(ADDRESS(2,COLUMN())),OFFSET($BN$2,0,0,ROW()-1,60),ROW()-1,FALSE))</f>
        <v>24.431489030000002</v>
      </c>
      <c r="BG619">
        <f ca="1">IF(AND(ISNUMBER($BG$1277),$B$677=1),$BG$1277,HLOOKUP(INDIRECT(ADDRESS(2,COLUMN())),OFFSET($BN$2,0,0,ROW()-1,60),ROW()-1,FALSE))</f>
        <v>21.758134699999999</v>
      </c>
      <c r="BH619">
        <f ca="1">IF(AND(ISNUMBER($BH$1277),$B$677=1),$BH$1277,HLOOKUP(INDIRECT(ADDRESS(2,COLUMN())),OFFSET($BN$2,0,0,ROW()-1,60),ROW()-1,FALSE))</f>
        <v>11.921850579999999</v>
      </c>
      <c r="BI619">
        <f ca="1">IF(AND(ISNUMBER($BI$1277),$B$677=1),$BI$1277,HLOOKUP(INDIRECT(ADDRESS(2,COLUMN())),OFFSET($BN$2,0,0,ROW()-1,60),ROW()-1,FALSE))</f>
        <v>13.67692722</v>
      </c>
      <c r="BJ619">
        <f ca="1">IF(AND(ISNUMBER($BJ$1277),$B$677=1),$BJ$1277,HLOOKUP(INDIRECT(ADDRESS(2,COLUMN())),OFFSET($BN$2,0,0,ROW()-1,60),ROW()-1,FALSE))</f>
        <v>16.434623240000001</v>
      </c>
      <c r="BK619">
        <f ca="1">IF(AND(ISNUMBER($BK$1277),$B$677=1),$BK$1277,HLOOKUP(INDIRECT(ADDRESS(2,COLUMN())),OFFSET($BN$2,0,0,ROW()-1,60),ROW()-1,FALSE))</f>
        <v>19.25040606</v>
      </c>
      <c r="BL619" t="str">
        <f ca="1">IF(AND(ISNUMBER($BL$1277),$B$677=1),$BL$1277,HLOOKUP(INDIRECT(ADDRESS(2,COLUMN())),OFFSET($BN$2,0,0,ROW()-1,60),ROW()-1,FALSE))</f>
        <v/>
      </c>
      <c r="BM619" t="str">
        <f ca="1">IF(AND(ISNUMBER($BM$1277),$B$677=1),$BM$1277,HLOOKUP(INDIRECT(ADDRESS(2,COLUMN())),OFFSET($BN$2,0,0,ROW()-1,60),ROW()-1,FALSE))</f>
        <v/>
      </c>
      <c r="BN619" t="str">
        <f>""</f>
        <v/>
      </c>
      <c r="BO619">
        <f>-8.459585716</f>
        <v>-8.4595857159999994</v>
      </c>
      <c r="BP619">
        <f>-7.768313474</f>
        <v>-7.7683134740000002</v>
      </c>
      <c r="BQ619">
        <f>-9.265131193</f>
        <v>-9.2651311930000002</v>
      </c>
      <c r="BR619">
        <f>-12.93643712</f>
        <v>-12.936437120000001</v>
      </c>
      <c r="BS619">
        <f>-17.06543843</f>
        <v>-17.06543843</v>
      </c>
      <c r="BT619">
        <f>-24.03855487</f>
        <v>-24.038554869999999</v>
      </c>
      <c r="BU619">
        <f>-20.9432402</f>
        <v>-20.943240200000002</v>
      </c>
      <c r="BV619">
        <f>-8.51014109</f>
        <v>-8.5101410899999994</v>
      </c>
      <c r="BW619">
        <f>-5.429727883</f>
        <v>-5.429727883</v>
      </c>
      <c r="BX619">
        <f>-2.979043044</f>
        <v>-2.979043044</v>
      </c>
      <c r="BY619">
        <f>-2.793034639</f>
        <v>-2.793034639</v>
      </c>
      <c r="BZ619">
        <f>-2.457767035</f>
        <v>-2.4577670349999998</v>
      </c>
      <c r="CA619">
        <f>0.65303018</f>
        <v>0.65303018000000002</v>
      </c>
      <c r="CB619">
        <f>3.270059624</f>
        <v>3.2700596239999999</v>
      </c>
      <c r="CC619">
        <f>1.756803997</f>
        <v>1.756803997</v>
      </c>
      <c r="CD619">
        <f>0.13776571</f>
        <v>0.13776571000000001</v>
      </c>
      <c r="CE619">
        <f>-1.369898671</f>
        <v>-1.3698986710000001</v>
      </c>
      <c r="CF619">
        <f>-1.322055157</f>
        <v>-1.3220551570000001</v>
      </c>
      <c r="CG619">
        <f>-0.175467942</f>
        <v>-0.17546794199999999</v>
      </c>
      <c r="CH619">
        <f>0.226693979</f>
        <v>0.22669397899999999</v>
      </c>
      <c r="CI619">
        <f>1.27189348</f>
        <v>1.2718934799999999</v>
      </c>
      <c r="CJ619">
        <f>1.06162673</f>
        <v>1.06162673</v>
      </c>
      <c r="CK619">
        <f>-1.724291197</f>
        <v>-1.7242911970000001</v>
      </c>
      <c r="CL619">
        <f>-3.14861598</f>
        <v>-3.1486159800000002</v>
      </c>
      <c r="CM619">
        <f>-4.257446128</f>
        <v>-4.2574461279999998</v>
      </c>
      <c r="CN619">
        <f>-3.726269993</f>
        <v>-3.7262699929999998</v>
      </c>
      <c r="CO619">
        <f>-3.259722808</f>
        <v>-3.2597228079999998</v>
      </c>
      <c r="CP619">
        <f>-2.494479998</f>
        <v>-2.4944799980000001</v>
      </c>
      <c r="CQ619">
        <f>0.857109746</f>
        <v>0.85710974600000001</v>
      </c>
      <c r="CR619">
        <f>2.333870277</f>
        <v>2.3338702769999999</v>
      </c>
      <c r="CS619">
        <f>3.542044674</f>
        <v>3.542044674</v>
      </c>
      <c r="CT619">
        <f>9.948062098</f>
        <v>9.9480620979999994</v>
      </c>
      <c r="CU619">
        <f>12.26834803</f>
        <v>12.26834803</v>
      </c>
      <c r="CV619">
        <f>21.77527351</f>
        <v>21.775273510000002</v>
      </c>
      <c r="CW619">
        <f>23.76047137</f>
        <v>23.760471370000001</v>
      </c>
      <c r="CX619">
        <f>25.25252955</f>
        <v>25.252529549999998</v>
      </c>
      <c r="CY619">
        <f>21.99802654</f>
        <v>21.998026540000001</v>
      </c>
      <c r="CZ619">
        <f>2.588694331</f>
        <v>2.5886943310000001</v>
      </c>
      <c r="DA619">
        <f>1.193047062</f>
        <v>1.193047062</v>
      </c>
      <c r="DB619">
        <f>-0.264395091</f>
        <v>-0.26439509100000003</v>
      </c>
      <c r="DC619">
        <f>-1.364324377</f>
        <v>-1.364324377</v>
      </c>
      <c r="DD619">
        <f>3.557337755</f>
        <v>3.5573377549999998</v>
      </c>
      <c r="DE619">
        <f>6.358369309</f>
        <v>6.3583693090000004</v>
      </c>
      <c r="DF619">
        <f>9.355986435</f>
        <v>9.3559864350000002</v>
      </c>
      <c r="DG619">
        <f>13.79049587</f>
        <v>13.790495870000001</v>
      </c>
      <c r="DH619">
        <f>13.9897308</f>
        <v>13.9897308</v>
      </c>
      <c r="DI619">
        <f>17.94651531</f>
        <v>17.946515309999999</v>
      </c>
      <c r="DJ619">
        <f>16.66981902</f>
        <v>16.669819019999998</v>
      </c>
      <c r="DK619">
        <f>21.87050788</f>
        <v>21.870507880000002</v>
      </c>
      <c r="DL619">
        <f>29.44606233</f>
        <v>29.44606233</v>
      </c>
      <c r="DM619">
        <f>34.76101893</f>
        <v>34.761018929999999</v>
      </c>
      <c r="DN619">
        <f>24.43148903</f>
        <v>24.431489030000002</v>
      </c>
      <c r="DO619">
        <f>21.7581347</f>
        <v>21.758134699999999</v>
      </c>
      <c r="DP619">
        <f>11.92185058</f>
        <v>11.921850579999999</v>
      </c>
      <c r="DQ619">
        <f>13.67692722</f>
        <v>13.67692722</v>
      </c>
      <c r="DR619">
        <f>16.43462324</f>
        <v>16.434623240000001</v>
      </c>
      <c r="DS619">
        <f>19.25040606</f>
        <v>19.25040606</v>
      </c>
      <c r="DT619" t="str">
        <f>""</f>
        <v/>
      </c>
      <c r="DU619" t="str">
        <f>""</f>
        <v/>
      </c>
    </row>
    <row r="620" spans="1:125" x14ac:dyDescent="0.25">
      <c r="A620" t="str">
        <f>"    Yulon Motor Co Ltd"</f>
        <v xml:space="preserve">    Yulon Motor Co Ltd</v>
      </c>
      <c r="B620" t="str">
        <f>"2201 TT Equity"</f>
        <v>2201 TT Equity</v>
      </c>
      <c r="C620" t="str">
        <f t="shared" si="42"/>
        <v>RX072</v>
      </c>
      <c r="D620" t="str">
        <f t="shared" si="43"/>
        <v>FREE_CASH_FLOW_YIELD</v>
      </c>
      <c r="E620" t="str">
        <f t="shared" si="44"/>
        <v>Dynamic</v>
      </c>
      <c r="F620">
        <f ca="1">IF(AND(ISNUMBER($F$1278),$B$677=1),$F$1278,HLOOKUP(INDIRECT(ADDRESS(2,COLUMN())),OFFSET($BN$2,0,0,ROW()-1,60),ROW()-1,FALSE))</f>
        <v>-121.8038511</v>
      </c>
      <c r="G620">
        <f ca="1">IF(AND(ISNUMBER($G$1278),$B$677=1),$G$1278,HLOOKUP(INDIRECT(ADDRESS(2,COLUMN())),OFFSET($BN$2,0,0,ROW()-1,60),ROW()-1,FALSE))</f>
        <v>-126.8232405</v>
      </c>
      <c r="H620">
        <f ca="1">IF(AND(ISNUMBER($H$1278),$B$677=1),$H$1278,HLOOKUP(INDIRECT(ADDRESS(2,COLUMN())),OFFSET($BN$2,0,0,ROW()-1,60),ROW()-1,FALSE))</f>
        <v>-106.3678791</v>
      </c>
      <c r="I620">
        <f ca="1">IF(AND(ISNUMBER($I$1278),$B$677=1),$I$1278,HLOOKUP(INDIRECT(ADDRESS(2,COLUMN())),OFFSET($BN$2,0,0,ROW()-1,60),ROW()-1,FALSE))</f>
        <v>-90.266709759999998</v>
      </c>
      <c r="J620">
        <f ca="1">IF(AND(ISNUMBER($J$1278),$B$677=1),$J$1278,HLOOKUP(INDIRECT(ADDRESS(2,COLUMN())),OFFSET($BN$2,0,0,ROW()-1,60),ROW()-1,FALSE))</f>
        <v>-74.913699030000004</v>
      </c>
      <c r="K620">
        <f ca="1">IF(AND(ISNUMBER($K$1278),$B$677=1),$K$1278,HLOOKUP(INDIRECT(ADDRESS(2,COLUMN())),OFFSET($BN$2,0,0,ROW()-1,60),ROW()-1,FALSE))</f>
        <v>-58.889753829999997</v>
      </c>
      <c r="L620">
        <f ca="1">IF(AND(ISNUMBER($L$1278),$B$677=1),$L$1278,HLOOKUP(INDIRECT(ADDRESS(2,COLUMN())),OFFSET($BN$2,0,0,ROW()-1,60),ROW()-1,FALSE))</f>
        <v>-53.742384340000001</v>
      </c>
      <c r="M620">
        <f ca="1">IF(AND(ISNUMBER($M$1278),$B$677=1),$M$1278,HLOOKUP(INDIRECT(ADDRESS(2,COLUMN())),OFFSET($BN$2,0,0,ROW()-1,60),ROW()-1,FALSE))</f>
        <v>-38.578726770000003</v>
      </c>
      <c r="N620">
        <f ca="1">IF(AND(ISNUMBER($N$1278),$B$677=1),$N$1278,HLOOKUP(INDIRECT(ADDRESS(2,COLUMN())),OFFSET($BN$2,0,0,ROW()-1,60),ROW()-1,FALSE))</f>
        <v>-32.664402529999997</v>
      </c>
      <c r="O620">
        <f ca="1">IF(AND(ISNUMBER($O$1278),$B$677=1),$O$1278,HLOOKUP(INDIRECT(ADDRESS(2,COLUMN())),OFFSET($BN$2,0,0,ROW()-1,60),ROW()-1,FALSE))</f>
        <v>-23.472396289999999</v>
      </c>
      <c r="P620" t="str">
        <f ca="1">IF(AND(ISNUMBER($P$1278),$B$677=1),$P$1278,HLOOKUP(INDIRECT(ADDRESS(2,COLUMN())),OFFSET($BN$2,0,0,ROW()-1,60),ROW()-1,FALSE))</f>
        <v/>
      </c>
      <c r="Q620" t="str">
        <f ca="1">IF(AND(ISNUMBER($Q$1278),$B$677=1),$Q$1278,HLOOKUP(INDIRECT(ADDRESS(2,COLUMN())),OFFSET($BN$2,0,0,ROW()-1,60),ROW()-1,FALSE))</f>
        <v/>
      </c>
      <c r="R620" t="str">
        <f ca="1">IF(AND(ISNUMBER($R$1278),$B$677=1),$R$1278,HLOOKUP(INDIRECT(ADDRESS(2,COLUMN())),OFFSET($BN$2,0,0,ROW()-1,60),ROW()-1,FALSE))</f>
        <v/>
      </c>
      <c r="S620">
        <f ca="1">IF(AND(ISNUMBER($S$1278),$B$677=1),$S$1278,HLOOKUP(INDIRECT(ADDRESS(2,COLUMN())),OFFSET($BN$2,0,0,ROW()-1,60),ROW()-1,FALSE))</f>
        <v>-30.80787784</v>
      </c>
      <c r="T620">
        <f ca="1">IF(AND(ISNUMBER($T$1278),$B$677=1),$T$1278,HLOOKUP(INDIRECT(ADDRESS(2,COLUMN())),OFFSET($BN$2,0,0,ROW()-1,60),ROW()-1,FALSE))</f>
        <v>-31.74937495</v>
      </c>
      <c r="U620">
        <f ca="1">IF(AND(ISNUMBER($U$1278),$B$677=1),$U$1278,HLOOKUP(INDIRECT(ADDRESS(2,COLUMN())),OFFSET($BN$2,0,0,ROW()-1,60),ROW()-1,FALSE))</f>
        <v>-27.266900580000001</v>
      </c>
      <c r="V620">
        <f ca="1">IF(AND(ISNUMBER($V$1278),$B$677=1),$V$1278,HLOOKUP(INDIRECT(ADDRESS(2,COLUMN())),OFFSET($BN$2,0,0,ROW()-1,60),ROW()-1,FALSE))</f>
        <v>-24.76597615</v>
      </c>
      <c r="W620">
        <f ca="1">IF(AND(ISNUMBER($W$1278),$B$677=1),$W$1278,HLOOKUP(INDIRECT(ADDRESS(2,COLUMN())),OFFSET($BN$2,0,0,ROW()-1,60),ROW()-1,FALSE))</f>
        <v>-21.687139129999998</v>
      </c>
      <c r="X620">
        <f ca="1">IF(AND(ISNUMBER($X$1278),$B$677=1),$X$1278,HLOOKUP(INDIRECT(ADDRESS(2,COLUMN())),OFFSET($BN$2,0,0,ROW()-1,60),ROW()-1,FALSE))</f>
        <v>-23.840088510000001</v>
      </c>
      <c r="Y620">
        <f ca="1">IF(AND(ISNUMBER($Y$1278),$B$677=1),$Y$1278,HLOOKUP(INDIRECT(ADDRESS(2,COLUMN())),OFFSET($BN$2,0,0,ROW()-1,60),ROW()-1,FALSE))</f>
        <v>-17.165358789999999</v>
      </c>
      <c r="Z620">
        <f ca="1">IF(AND(ISNUMBER($Z$1278),$B$677=1),$Z$1278,HLOOKUP(INDIRECT(ADDRESS(2,COLUMN())),OFFSET($BN$2,0,0,ROW()-1,60),ROW()-1,FALSE))</f>
        <v>-11.488374309999999</v>
      </c>
      <c r="AA620">
        <f ca="1">IF(AND(ISNUMBER($AA$1278),$B$677=1),$AA$1278,HLOOKUP(INDIRECT(ADDRESS(2,COLUMN())),OFFSET($BN$2,0,0,ROW()-1,60),ROW()-1,FALSE))</f>
        <v>-8.2366286169999992</v>
      </c>
      <c r="AB620">
        <f ca="1">IF(AND(ISNUMBER($AB$1278),$B$677=1),$AB$1278,HLOOKUP(INDIRECT(ADDRESS(2,COLUMN())),OFFSET($BN$2,0,0,ROW()-1,60),ROW()-1,FALSE))</f>
        <v>-2.0330934649999999</v>
      </c>
      <c r="AC620">
        <f ca="1">IF(AND(ISNUMBER($AC$1278),$B$677=1),$AC$1278,HLOOKUP(INDIRECT(ADDRESS(2,COLUMN())),OFFSET($BN$2,0,0,ROW()-1,60),ROW()-1,FALSE))</f>
        <v>-2.0958273260000002</v>
      </c>
      <c r="AD620">
        <f ca="1">IF(AND(ISNUMBER($AD$1278),$B$677=1),$AD$1278,HLOOKUP(INDIRECT(ADDRESS(2,COLUMN())),OFFSET($BN$2,0,0,ROW()-1,60),ROW()-1,FALSE))</f>
        <v>-9.5431836319999999</v>
      </c>
      <c r="AE620">
        <f ca="1">IF(AND(ISNUMBER($AE$1278),$B$677=1),$AE$1278,HLOOKUP(INDIRECT(ADDRESS(2,COLUMN())),OFFSET($BN$2,0,0,ROW()-1,60),ROW()-1,FALSE))</f>
        <v>-11.684856290000001</v>
      </c>
      <c r="AF620">
        <f ca="1">IF(AND(ISNUMBER($AF$1278),$B$677=1),$AF$1278,HLOOKUP(INDIRECT(ADDRESS(2,COLUMN())),OFFSET($BN$2,0,0,ROW()-1,60),ROW()-1,FALSE))</f>
        <v>-10.95969702</v>
      </c>
      <c r="AG620">
        <f ca="1">IF(AND(ISNUMBER($AG$1278),$B$677=1),$AG$1278,HLOOKUP(INDIRECT(ADDRESS(2,COLUMN())),OFFSET($BN$2,0,0,ROW()-1,60),ROW()-1,FALSE))</f>
        <v>-17.619264950000002</v>
      </c>
      <c r="AH620">
        <f ca="1">IF(AND(ISNUMBER($AH$1278),$B$677=1),$AH$1278,HLOOKUP(INDIRECT(ADDRESS(2,COLUMN())),OFFSET($BN$2,0,0,ROW()-1,60),ROW()-1,FALSE))</f>
        <v>-11.21668137</v>
      </c>
      <c r="AI620">
        <f ca="1">IF(AND(ISNUMBER($AI$1278),$B$677=1),$AI$1278,HLOOKUP(INDIRECT(ADDRESS(2,COLUMN())),OFFSET($BN$2,0,0,ROW()-1,60),ROW()-1,FALSE))</f>
        <v>-14.654222839999999</v>
      </c>
      <c r="AJ620">
        <f ca="1">IF(AND(ISNUMBER($AJ$1278),$B$677=1),$AJ$1278,HLOOKUP(INDIRECT(ADDRESS(2,COLUMN())),OFFSET($BN$2,0,0,ROW()-1,60),ROW()-1,FALSE))</f>
        <v>-15.0654725</v>
      </c>
      <c r="AK620">
        <f ca="1">IF(AND(ISNUMBER($AK$1278),$B$677=1),$AK$1278,HLOOKUP(INDIRECT(ADDRESS(2,COLUMN())),OFFSET($BN$2,0,0,ROW()-1,60),ROW()-1,FALSE))</f>
        <v>-9.1913758919999999</v>
      </c>
      <c r="AL620">
        <f ca="1">IF(AND(ISNUMBER($AL$1278),$B$677=1),$AL$1278,HLOOKUP(INDIRECT(ADDRESS(2,COLUMN())),OFFSET($BN$2,0,0,ROW()-1,60),ROW()-1,FALSE))</f>
        <v>-9.5016287780000006</v>
      </c>
      <c r="AM620">
        <f ca="1">IF(AND(ISNUMBER($AM$1278),$B$677=1),$AM$1278,HLOOKUP(INDIRECT(ADDRESS(2,COLUMN())),OFFSET($BN$2,0,0,ROW()-1,60),ROW()-1,FALSE))</f>
        <v>-8.9654503289999994</v>
      </c>
      <c r="AN620">
        <f ca="1">IF(AND(ISNUMBER($AN$1278),$B$677=1),$AN$1278,HLOOKUP(INDIRECT(ADDRESS(2,COLUMN())),OFFSET($BN$2,0,0,ROW()-1,60),ROW()-1,FALSE))</f>
        <v>0.30315636000000001</v>
      </c>
      <c r="AO620">
        <f ca="1">IF(AND(ISNUMBER($AO$1278),$B$677=1),$AO$1278,HLOOKUP(INDIRECT(ADDRESS(2,COLUMN())),OFFSET($BN$2,0,0,ROW()-1,60),ROW()-1,FALSE))</f>
        <v>-15.26171268</v>
      </c>
      <c r="AP620">
        <f ca="1">IF(AND(ISNUMBER($AP$1278),$B$677=1),$AP$1278,HLOOKUP(INDIRECT(ADDRESS(2,COLUMN())),OFFSET($BN$2,0,0,ROW()-1,60),ROW()-1,FALSE))</f>
        <v>-11.16547557</v>
      </c>
      <c r="AQ620">
        <f ca="1">IF(AND(ISNUMBER($AQ$1278),$B$677=1),$AQ$1278,HLOOKUP(INDIRECT(ADDRESS(2,COLUMN())),OFFSET($BN$2,0,0,ROW()-1,60),ROW()-1,FALSE))</f>
        <v>-7.6425108699999997</v>
      </c>
      <c r="AR620">
        <f ca="1">IF(AND(ISNUMBER($AR$1278),$B$677=1),$AR$1278,HLOOKUP(INDIRECT(ADDRESS(2,COLUMN())),OFFSET($BN$2,0,0,ROW()-1,60),ROW()-1,FALSE))</f>
        <v>-21.1029494</v>
      </c>
      <c r="AS620">
        <f ca="1">IF(AND(ISNUMBER($AS$1278),$B$677=1),$AS$1278,HLOOKUP(INDIRECT(ADDRESS(2,COLUMN())),OFFSET($BN$2,0,0,ROW()-1,60),ROW()-1,FALSE))</f>
        <v>-9.4091654400000007</v>
      </c>
      <c r="AT620">
        <f ca="1">IF(AND(ISNUMBER($AT$1278),$B$677=1),$AT$1278,HLOOKUP(INDIRECT(ADDRESS(2,COLUMN())),OFFSET($BN$2,0,0,ROW()-1,60),ROW()-1,FALSE))</f>
        <v>-18.00220066</v>
      </c>
      <c r="AU620">
        <f ca="1">IF(AND(ISNUMBER($AU$1278),$B$677=1),$AU$1278,HLOOKUP(INDIRECT(ADDRESS(2,COLUMN())),OFFSET($BN$2,0,0,ROW()-1,60),ROW()-1,FALSE))</f>
        <v>-7.1097914229999999</v>
      </c>
      <c r="AV620" t="str">
        <f ca="1">IF(AND(ISNUMBER($AV$1278),$B$677=1),$AV$1278,HLOOKUP(INDIRECT(ADDRESS(2,COLUMN())),OFFSET($BN$2,0,0,ROW()-1,60),ROW()-1,FALSE))</f>
        <v/>
      </c>
      <c r="AW620" t="str">
        <f ca="1">IF(AND(ISNUMBER($AW$1278),$B$677=1),$AW$1278,HLOOKUP(INDIRECT(ADDRESS(2,COLUMN())),OFFSET($BN$2,0,0,ROW()-1,60),ROW()-1,FALSE))</f>
        <v/>
      </c>
      <c r="AX620" t="str">
        <f ca="1">IF(AND(ISNUMBER($AX$1278),$B$677=1),$AX$1278,HLOOKUP(INDIRECT(ADDRESS(2,COLUMN())),OFFSET($BN$2,0,0,ROW()-1,60),ROW()-1,FALSE))</f>
        <v/>
      </c>
      <c r="AY620" t="str">
        <f ca="1">IF(AND(ISNUMBER($AY$1278),$B$677=1),$AY$1278,HLOOKUP(INDIRECT(ADDRESS(2,COLUMN())),OFFSET($BN$2,0,0,ROW()-1,60),ROW()-1,FALSE))</f>
        <v/>
      </c>
      <c r="AZ620" t="str">
        <f ca="1">IF(AND(ISNUMBER($AZ$1278),$B$677=1),$AZ$1278,HLOOKUP(INDIRECT(ADDRESS(2,COLUMN())),OFFSET($BN$2,0,0,ROW()-1,60),ROW()-1,FALSE))</f>
        <v/>
      </c>
      <c r="BA620" t="str">
        <f ca="1">IF(AND(ISNUMBER($BA$1278),$B$677=1),$BA$1278,HLOOKUP(INDIRECT(ADDRESS(2,COLUMN())),OFFSET($BN$2,0,0,ROW()-1,60),ROW()-1,FALSE))</f>
        <v/>
      </c>
      <c r="BB620" t="str">
        <f ca="1">IF(AND(ISNUMBER($BB$1278),$B$677=1),$BB$1278,HLOOKUP(INDIRECT(ADDRESS(2,COLUMN())),OFFSET($BN$2,0,0,ROW()-1,60),ROW()-1,FALSE))</f>
        <v/>
      </c>
      <c r="BC620" t="str">
        <f ca="1">IF(AND(ISNUMBER($BC$1278),$B$677=1),$BC$1278,HLOOKUP(INDIRECT(ADDRESS(2,COLUMN())),OFFSET($BN$2,0,0,ROW()-1,60),ROW()-1,FALSE))</f>
        <v/>
      </c>
      <c r="BD620" t="str">
        <f ca="1">IF(AND(ISNUMBER($BD$1278),$B$677=1),$BD$1278,HLOOKUP(INDIRECT(ADDRESS(2,COLUMN())),OFFSET($BN$2,0,0,ROW()-1,60),ROW()-1,FALSE))</f>
        <v/>
      </c>
      <c r="BE620" t="str">
        <f ca="1">IF(AND(ISNUMBER($BE$1278),$B$677=1),$BE$1278,HLOOKUP(INDIRECT(ADDRESS(2,COLUMN())),OFFSET($BN$2,0,0,ROW()-1,60),ROW()-1,FALSE))</f>
        <v/>
      </c>
      <c r="BF620" t="str">
        <f ca="1">IF(AND(ISNUMBER($BF$1278),$B$677=1),$BF$1278,HLOOKUP(INDIRECT(ADDRESS(2,COLUMN())),OFFSET($BN$2,0,0,ROW()-1,60),ROW()-1,FALSE))</f>
        <v/>
      </c>
      <c r="BG620" t="str">
        <f ca="1">IF(AND(ISNUMBER($BG$1278),$B$677=1),$BG$1278,HLOOKUP(INDIRECT(ADDRESS(2,COLUMN())),OFFSET($BN$2,0,0,ROW()-1,60),ROW()-1,FALSE))</f>
        <v/>
      </c>
      <c r="BH620" t="str">
        <f ca="1">IF(AND(ISNUMBER($BH$1278),$B$677=1),$BH$1278,HLOOKUP(INDIRECT(ADDRESS(2,COLUMN())),OFFSET($BN$2,0,0,ROW()-1,60),ROW()-1,FALSE))</f>
        <v/>
      </c>
      <c r="BI620" t="str">
        <f ca="1">IF(AND(ISNUMBER($BI$1278),$B$677=1),$BI$1278,HLOOKUP(INDIRECT(ADDRESS(2,COLUMN())),OFFSET($BN$2,0,0,ROW()-1,60),ROW()-1,FALSE))</f>
        <v/>
      </c>
      <c r="BJ620" t="str">
        <f ca="1">IF(AND(ISNUMBER($BJ$1278),$B$677=1),$BJ$1278,HLOOKUP(INDIRECT(ADDRESS(2,COLUMN())),OFFSET($BN$2,0,0,ROW()-1,60),ROW()-1,FALSE))</f>
        <v/>
      </c>
      <c r="BK620" t="str">
        <f ca="1">IF(AND(ISNUMBER($BK$1278),$B$677=1),$BK$1278,HLOOKUP(INDIRECT(ADDRESS(2,COLUMN())),OFFSET($BN$2,0,0,ROW()-1,60),ROW()-1,FALSE))</f>
        <v/>
      </c>
      <c r="BL620" t="str">
        <f ca="1">IF(AND(ISNUMBER($BL$1278),$B$677=1),$BL$1278,HLOOKUP(INDIRECT(ADDRESS(2,COLUMN())),OFFSET($BN$2,0,0,ROW()-1,60),ROW()-1,FALSE))</f>
        <v/>
      </c>
      <c r="BM620" t="str">
        <f ca="1">IF(AND(ISNUMBER($BM$1278),$B$677=1),$BM$1278,HLOOKUP(INDIRECT(ADDRESS(2,COLUMN())),OFFSET($BN$2,0,0,ROW()-1,60),ROW()-1,FALSE))</f>
        <v/>
      </c>
      <c r="BN620">
        <f>-121.8038511</f>
        <v>-121.8038511</v>
      </c>
      <c r="BO620">
        <f>-126.8232405</f>
        <v>-126.8232405</v>
      </c>
      <c r="BP620">
        <f>-106.3678791</f>
        <v>-106.3678791</v>
      </c>
      <c r="BQ620">
        <f>-90.26670976</f>
        <v>-90.266709759999998</v>
      </c>
      <c r="BR620">
        <f>-74.91369903</f>
        <v>-74.913699030000004</v>
      </c>
      <c r="BS620">
        <f>-58.88975383</f>
        <v>-58.889753829999997</v>
      </c>
      <c r="BT620">
        <f>-53.74238434</f>
        <v>-53.742384340000001</v>
      </c>
      <c r="BU620">
        <f>-38.57872677</f>
        <v>-38.578726770000003</v>
      </c>
      <c r="BV620">
        <f>-32.66440253</f>
        <v>-32.664402529999997</v>
      </c>
      <c r="BW620">
        <f>-23.47239629</f>
        <v>-23.472396289999999</v>
      </c>
      <c r="BX620" t="str">
        <f>""</f>
        <v/>
      </c>
      <c r="BY620" t="str">
        <f>""</f>
        <v/>
      </c>
      <c r="BZ620" t="str">
        <f>""</f>
        <v/>
      </c>
      <c r="CA620">
        <f>-30.80787784</f>
        <v>-30.80787784</v>
      </c>
      <c r="CB620">
        <f>-31.74937495</f>
        <v>-31.74937495</v>
      </c>
      <c r="CC620">
        <f>-27.26690058</f>
        <v>-27.266900580000001</v>
      </c>
      <c r="CD620">
        <f>-24.76597615</f>
        <v>-24.76597615</v>
      </c>
      <c r="CE620">
        <f>-21.68713913</f>
        <v>-21.687139129999998</v>
      </c>
      <c r="CF620">
        <f>-23.84008851</f>
        <v>-23.840088510000001</v>
      </c>
      <c r="CG620">
        <f>-17.16535879</f>
        <v>-17.165358789999999</v>
      </c>
      <c r="CH620">
        <f>-11.48837431</f>
        <v>-11.488374309999999</v>
      </c>
      <c r="CI620">
        <f>-8.236628617</f>
        <v>-8.2366286169999992</v>
      </c>
      <c r="CJ620">
        <f>-2.033093465</f>
        <v>-2.0330934649999999</v>
      </c>
      <c r="CK620">
        <f>-2.095827326</f>
        <v>-2.0958273260000002</v>
      </c>
      <c r="CL620">
        <f>-9.543183632</f>
        <v>-9.5431836319999999</v>
      </c>
      <c r="CM620">
        <f>-11.68485629</f>
        <v>-11.684856290000001</v>
      </c>
      <c r="CN620">
        <f>-10.95969702</f>
        <v>-10.95969702</v>
      </c>
      <c r="CO620">
        <f>-17.61926495</f>
        <v>-17.619264950000002</v>
      </c>
      <c r="CP620">
        <f>-11.21668137</f>
        <v>-11.21668137</v>
      </c>
      <c r="CQ620">
        <f>-14.65422284</f>
        <v>-14.654222839999999</v>
      </c>
      <c r="CR620">
        <f>-15.0654725</f>
        <v>-15.0654725</v>
      </c>
      <c r="CS620">
        <f>-9.191375892</f>
        <v>-9.1913758919999999</v>
      </c>
      <c r="CT620">
        <f>-9.501628778</f>
        <v>-9.5016287780000006</v>
      </c>
      <c r="CU620">
        <f>-8.965450329</f>
        <v>-8.9654503289999994</v>
      </c>
      <c r="CV620">
        <f>0.30315636</f>
        <v>0.30315636000000001</v>
      </c>
      <c r="CW620">
        <f>-15.26171268</f>
        <v>-15.26171268</v>
      </c>
      <c r="CX620">
        <f>-11.16547557</f>
        <v>-11.16547557</v>
      </c>
      <c r="CY620">
        <f>-7.64251087</f>
        <v>-7.6425108699999997</v>
      </c>
      <c r="CZ620">
        <f>-21.1029494</f>
        <v>-21.1029494</v>
      </c>
      <c r="DA620">
        <f>-9.40916544</f>
        <v>-9.4091654400000007</v>
      </c>
      <c r="DB620">
        <f>-18.00220066</f>
        <v>-18.00220066</v>
      </c>
      <c r="DC620">
        <f>-7.109791423</f>
        <v>-7.1097914229999999</v>
      </c>
      <c r="DD620" t="str">
        <f>""</f>
        <v/>
      </c>
      <c r="DE620" t="str">
        <f>""</f>
        <v/>
      </c>
      <c r="DF620" t="str">
        <f>""</f>
        <v/>
      </c>
      <c r="DG620" t="str">
        <f>""</f>
        <v/>
      </c>
      <c r="DH620" t="str">
        <f>""</f>
        <v/>
      </c>
      <c r="DI620" t="str">
        <f>""</f>
        <v/>
      </c>
      <c r="DJ620" t="str">
        <f>""</f>
        <v/>
      </c>
      <c r="DK620" t="str">
        <f>""</f>
        <v/>
      </c>
      <c r="DL620" t="str">
        <f>""</f>
        <v/>
      </c>
      <c r="DM620" t="str">
        <f>""</f>
        <v/>
      </c>
      <c r="DN620" t="str">
        <f>""</f>
        <v/>
      </c>
      <c r="DO620" t="str">
        <f>""</f>
        <v/>
      </c>
      <c r="DP620" t="str">
        <f>""</f>
        <v/>
      </c>
      <c r="DQ620" t="str">
        <f>""</f>
        <v/>
      </c>
      <c r="DR620" t="str">
        <f>""</f>
        <v/>
      </c>
      <c r="DS620" t="str">
        <f>""</f>
        <v/>
      </c>
      <c r="DT620" t="str">
        <f>""</f>
        <v/>
      </c>
      <c r="DU620" t="str">
        <f>""</f>
        <v/>
      </c>
    </row>
    <row r="621" spans="1:125" x14ac:dyDescent="0.25">
      <c r="A621" t="str">
        <f>"T12m Free Cash Flow Yield"</f>
        <v>T12m Free Cash Flow Yield</v>
      </c>
      <c r="B621" t="str">
        <f>""</f>
        <v/>
      </c>
      <c r="E621" t="str">
        <f>"Average"</f>
        <v>Average</v>
      </c>
      <c r="F621">
        <f ca="1">IF(ISERROR(IF(AVERAGE($F$622:$F$661) = 0, "", AVERAGE($F$622:$F$661))), "", (IF(AVERAGE($F$622:$F$661) = 0, "", AVERAGE($F$622:$F$661))))</f>
        <v>-1.2921922168636366</v>
      </c>
      <c r="G621">
        <f ca="1">IF(ISERROR(IF(AVERAGE($G$622:$G$661) = 0, "", AVERAGE($G$622:$G$661))), "", (IF(AVERAGE($G$622:$G$661) = 0, "", AVERAGE($G$622:$G$661))))</f>
        <v>2.7818406204814807</v>
      </c>
      <c r="H621">
        <f ca="1">IF(ISERROR(IF(AVERAGE($H$622:$H$661) = 0, "", AVERAGE($H$622:$H$661))), "", (IF(AVERAGE($H$622:$H$661) = 0, "", AVERAGE($H$622:$H$661))))</f>
        <v>1.5198856237407403</v>
      </c>
      <c r="I621">
        <f ca="1">IF(ISERROR(IF(AVERAGE($I$622:$I$661) = 0, "", AVERAGE($I$622:$I$661))), "", (IF(AVERAGE($I$622:$I$661) = 0, "", AVERAGE($I$622:$I$661))))</f>
        <v>0.66206154278571461</v>
      </c>
      <c r="J621">
        <f ca="1">IF(ISERROR(IF(AVERAGE($J$622:$J$661) = 0, "", AVERAGE($J$622:$J$661))), "", (IF(AVERAGE($J$622:$J$661) = 0, "", AVERAGE($J$622:$J$661))))</f>
        <v>1.4525623663571419</v>
      </c>
      <c r="K621">
        <f ca="1">IF(ISERROR(IF(AVERAGE($K$622:$K$661) = 0, "", AVERAGE($K$622:$K$661))), "", (IF(AVERAGE($K$622:$K$661) = 0, "", AVERAGE($K$622:$K$661))))</f>
        <v>1.6570786106785713</v>
      </c>
      <c r="L621">
        <f ca="1">IF(ISERROR(IF(AVERAGE($L$622:$L$661) = 0, "", AVERAGE($L$622:$L$661))), "", (IF(AVERAGE($L$622:$L$661) = 0, "", AVERAGE($L$622:$L$661))))</f>
        <v>1.1795812019999994</v>
      </c>
      <c r="M621">
        <f ca="1">IF(ISERROR(IF(AVERAGE($M$622:$M$661) = 0, "", AVERAGE($M$622:$M$661))), "", (IF(AVERAGE($M$622:$M$661) = 0, "", AVERAGE($M$622:$M$661))))</f>
        <v>1.3390623900714285</v>
      </c>
      <c r="N621">
        <f ca="1">IF(ISERROR(IF(AVERAGE($N$622:$N$661) = 0, "", AVERAGE($N$622:$N$661))), "", (IF(AVERAGE($N$622:$N$661) = 0, "", AVERAGE($N$622:$N$661))))</f>
        <v>4.4335560751785712</v>
      </c>
      <c r="O621">
        <f ca="1">IF(ISERROR(IF(AVERAGE($O$622:$O$661) = 0, "", AVERAGE($O$622:$O$661))), "", (IF(AVERAGE($O$622:$O$661) = 0, "", AVERAGE($O$622:$O$661))))</f>
        <v>1.1342709562500002</v>
      </c>
      <c r="P621">
        <f ca="1">IF(ISERROR(IF(AVERAGE($P$622:$P$661) = 0, "", AVERAGE($P$622:$P$661))), "", (IF(AVERAGE($P$622:$P$661) = 0, "", AVERAGE($P$622:$P$661))))</f>
        <v>4.7107624162962969</v>
      </c>
      <c r="Q621">
        <f ca="1">IF(ISERROR(IF(AVERAGE($Q$622:$Q$661) = 0, "", AVERAGE($Q$622:$Q$661))), "", (IF(AVERAGE($Q$622:$Q$661) = 0, "", AVERAGE($Q$622:$Q$661))))</f>
        <v>5.9981030138888878</v>
      </c>
      <c r="R621">
        <f ca="1">IF(ISERROR(IF(AVERAGE($R$622:$R$661) = 0, "", AVERAGE($R$622:$R$661))), "", (IF(AVERAGE($R$622:$R$661) = 0, "", AVERAGE($R$622:$R$661))))</f>
        <v>0.1936725305925929</v>
      </c>
      <c r="S621">
        <f ca="1">IF(ISERROR(IF(AVERAGE($S$622:$S$661) = 0, "", AVERAGE($S$622:$S$661))), "", (IF(AVERAGE($S$622:$S$661) = 0, "", AVERAGE($S$622:$S$661))))</f>
        <v>-0.89042603842857138</v>
      </c>
      <c r="T621">
        <f ca="1">IF(ISERROR(IF(AVERAGE($T$622:$T$661) = 0, "", AVERAGE($T$622:$T$661))), "", (IF(AVERAGE($T$622:$T$661) = 0, "", AVERAGE($T$622:$T$661))))</f>
        <v>-2.955423221321428</v>
      </c>
      <c r="U621">
        <f ca="1">IF(ISERROR(IF(AVERAGE($U$622:$U$661) = 0, "", AVERAGE($U$622:$U$661))), "", (IF(AVERAGE($U$622:$U$661) = 0, "", AVERAGE($U$622:$U$661))))</f>
        <v>-3.1387903767499998</v>
      </c>
      <c r="V621">
        <f ca="1">IF(ISERROR(IF(AVERAGE($V$622:$V$661) = 0, "", AVERAGE($V$622:$V$661))), "", (IF(AVERAGE($V$622:$V$661) = 0, "", AVERAGE($V$622:$V$661))))</f>
        <v>-1.1274696780714286</v>
      </c>
      <c r="W621">
        <f ca="1">IF(ISERROR(IF(AVERAGE($W$622:$W$661) = 0, "", AVERAGE($W$622:$W$661))), "", (IF(AVERAGE($W$622:$W$661) = 0, "", AVERAGE($W$622:$W$661))))</f>
        <v>0.14771191871428574</v>
      </c>
      <c r="X621">
        <f ca="1">IF(ISERROR(IF(AVERAGE($X$622:$X$661) = 0, "", AVERAGE($X$622:$X$661))), "", (IF(AVERAGE($X$622:$X$661) = 0, "", AVERAGE($X$622:$X$661))))</f>
        <v>-1.0806610141851851</v>
      </c>
      <c r="Y621">
        <f ca="1">IF(ISERROR(IF(AVERAGE($Y$622:$Y$661) = 0, "", AVERAGE($Y$622:$Y$661))), "", (IF(AVERAGE($Y$622:$Y$661) = 0, "", AVERAGE($Y$622:$Y$661))))</f>
        <v>-1.1152095927777781</v>
      </c>
      <c r="Z621">
        <f ca="1">IF(ISERROR(IF(AVERAGE($Z$622:$Z$661) = 0, "", AVERAGE($Z$622:$Z$661))), "", (IF(AVERAGE($Z$622:$Z$661) = 0, "", AVERAGE($Z$622:$Z$661))))</f>
        <v>-0.18535169618518529</v>
      </c>
      <c r="AA621">
        <f ca="1">IF(ISERROR(IF(AVERAGE($AA$622:$AA$661) = 0, "", AVERAGE($AA$622:$AA$661))), "", (IF(AVERAGE($AA$622:$AA$661) = 0, "", AVERAGE($AA$622:$AA$661))))</f>
        <v>3.281858009888889</v>
      </c>
      <c r="AB621">
        <f ca="1">IF(ISERROR(IF(AVERAGE($AB$622:$AB$661) = 0, "", AVERAGE($AB$622:$AB$661))), "", (IF(AVERAGE($AB$622:$AB$661) = 0, "", AVERAGE($AB$622:$AB$661))))</f>
        <v>4.6039828675185186</v>
      </c>
      <c r="AC621">
        <f ca="1">IF(ISERROR(IF(AVERAGE($AC$622:$AC$661) = 0, "", AVERAGE($AC$622:$AC$661))), "", (IF(AVERAGE($AC$622:$AC$661) = 0, "", AVERAGE($AC$622:$AC$661))))</f>
        <v>4.521315707592592</v>
      </c>
      <c r="AD621">
        <f ca="1">IF(ISERROR(IF(AVERAGE($AD$622:$AD$661) = 0, "", AVERAGE($AD$622:$AD$661))), "", (IF(AVERAGE($AD$622:$AD$661) = 0, "", AVERAGE($AD$622:$AD$661))))</f>
        <v>1.4209144650740742</v>
      </c>
      <c r="AE621">
        <f ca="1">IF(ISERROR(IF(AVERAGE($AE$622:$AE$661) = 0, "", AVERAGE($AE$622:$AE$661))), "", (IF(AVERAGE($AE$622:$AE$661) = 0, "", AVERAGE($AE$622:$AE$661))))</f>
        <v>-0.66557876962962936</v>
      </c>
      <c r="AF621">
        <f ca="1">IF(ISERROR(IF(AVERAGE($AF$622:$AF$661) = 0, "", AVERAGE($AF$622:$AF$661))), "", (IF(AVERAGE($AF$622:$AF$661) = 0, "", AVERAGE($AF$622:$AF$661))))</f>
        <v>-0.22281844140000018</v>
      </c>
      <c r="AG621">
        <f ca="1">IF(ISERROR(IF(AVERAGE($AG$622:$AG$661) = 0, "", AVERAGE($AG$622:$AG$661))), "", (IF(AVERAGE($AG$622:$AG$661) = 0, "", AVERAGE($AG$622:$AG$661))))</f>
        <v>-1.8821209073600007</v>
      </c>
      <c r="AH621">
        <f ca="1">IF(ISERROR(IF(AVERAGE($AH$622:$AH$661) = 0, "", AVERAGE($AH$622:$AH$661))), "", (IF(AVERAGE($AH$622:$AH$661) = 0, "", AVERAGE($AH$622:$AH$661))))</f>
        <v>-0.83395275749999964</v>
      </c>
      <c r="AI621">
        <f ca="1">IF(ISERROR(IF(AVERAGE($AI$622:$AI$661) = 0, "", AVERAGE($AI$622:$AI$661))), "", (IF(AVERAGE($AI$622:$AI$661) = 0, "", AVERAGE($AI$622:$AI$661))))</f>
        <v>-0.99088398220833351</v>
      </c>
      <c r="AJ621">
        <f ca="1">IF(ISERROR(IF(AVERAGE($AJ$622:$AJ$661) = 0, "", AVERAGE($AJ$622:$AJ$661))), "", (IF(AVERAGE($AJ$622:$AJ$661) = 0, "", AVERAGE($AJ$622:$AJ$661))))</f>
        <v>-4.7019481849166658</v>
      </c>
      <c r="AK621">
        <f ca="1">IF(ISERROR(IF(AVERAGE($AK$622:$AK$661) = 0, "", AVERAGE($AK$622:$AK$661))), "", (IF(AVERAGE($AK$622:$AK$661) = 0, "", AVERAGE($AK$622:$AK$661))))</f>
        <v>1.2809738430384612</v>
      </c>
      <c r="AL621">
        <f ca="1">IF(ISERROR(IF(AVERAGE($AL$622:$AL$661) = 0, "", AVERAGE($AL$622:$AL$661))), "", (IF(AVERAGE($AL$622:$AL$661) = 0, "", AVERAGE($AL$622:$AL$661))))</f>
        <v>3.9657779658461534</v>
      </c>
      <c r="AM621">
        <f ca="1">IF(ISERROR(IF(AVERAGE($AM$622:$AM$661) = 0, "", AVERAGE($AM$622:$AM$661))), "", (IF(AVERAGE($AM$622:$AM$661) = 0, "", AVERAGE($AM$622:$AM$661))))</f>
        <v>4.5225954882692303</v>
      </c>
      <c r="AN621">
        <f ca="1">IF(ISERROR(IF(AVERAGE($AN$622:$AN$661) = 0, "", AVERAGE($AN$622:$AN$661))), "", (IF(AVERAGE($AN$622:$AN$661) = 0, "", AVERAGE($AN$622:$AN$661))))</f>
        <v>10.53063220047826</v>
      </c>
      <c r="AO621">
        <f ca="1">IF(ISERROR(IF(AVERAGE($AO$622:$AO$661) = 0, "", AVERAGE($AO$622:$AO$661))), "", (IF(AVERAGE($AO$622:$AO$661) = 0, "", AVERAGE($AO$622:$AO$661))))</f>
        <v>19.591239291666668</v>
      </c>
      <c r="AP621">
        <f ca="1">IF(ISERROR(IF(AVERAGE($AP$622:$AP$661) = 0, "", AVERAGE($AP$622:$AP$661))), "", (IF(AVERAGE($AP$622:$AP$661) = 0, "", AVERAGE($AP$622:$AP$661))))</f>
        <v>20.536968163142859</v>
      </c>
      <c r="AQ621">
        <f ca="1">IF(ISERROR(IF(AVERAGE($AQ$622:$AQ$661) = 0, "", AVERAGE($AQ$622:$AQ$661))), "", (IF(AVERAGE($AQ$622:$AQ$661) = 0, "", AVERAGE($AQ$622:$AQ$661))))</f>
        <v>11.620945529571427</v>
      </c>
      <c r="AR621">
        <f ca="1">IF(ISERROR(IF(AVERAGE($AR$622:$AR$661) = 0, "", AVERAGE($AR$622:$AR$661))), "", (IF(AVERAGE($AR$622:$AR$661) = 0, "", AVERAGE($AR$622:$AR$661))))</f>
        <v>-1.3271181495238094</v>
      </c>
      <c r="AS621">
        <f ca="1">IF(ISERROR(IF(AVERAGE($AS$622:$AS$661) = 0, "", AVERAGE($AS$622:$AS$661))), "", (IF(AVERAGE($AS$622:$AS$661) = 0, "", AVERAGE($AS$622:$AS$661))))</f>
        <v>-6.3745588583809516</v>
      </c>
      <c r="AT621">
        <f ca="1">IF(ISERROR(IF(AVERAGE($AT$622:$AT$661) = 0, "", AVERAGE($AT$622:$AT$661))), "", (IF(AVERAGE($AT$622:$AT$661) = 0, "", AVERAGE($AT$622:$AT$661))))</f>
        <v>-21.034946510095239</v>
      </c>
      <c r="AU621">
        <f ca="1">IF(ISERROR(IF(AVERAGE($AU$622:$AU$661) = 0, "", AVERAGE($AU$622:$AU$661))), "", (IF(AVERAGE($AU$622:$AU$661) = 0, "", AVERAGE($AU$622:$AU$661))))</f>
        <v>-15.5449346046875</v>
      </c>
      <c r="AV621">
        <f ca="1">IF(ISERROR(IF(AVERAGE($AV$622:$AV$661) = 0, "", AVERAGE($AV$622:$AV$661))), "", (IF(AVERAGE($AV$622:$AV$661) = 0, "", AVERAGE($AV$622:$AV$661))))</f>
        <v>8.5057024690714282</v>
      </c>
      <c r="AW621">
        <f ca="1">IF(ISERROR(IF(AVERAGE($AW$622:$AW$661) = 0, "", AVERAGE($AW$622:$AW$661))), "", (IF(AVERAGE($AW$622:$AW$661) = 0, "", AVERAGE($AW$622:$AW$661))))</f>
        <v>8.1629379146428587</v>
      </c>
      <c r="AX621">
        <f ca="1">IF(ISERROR(IF(AVERAGE($AX$622:$AX$661) = 0, "", AVERAGE($AX$622:$AX$661))), "", (IF(AVERAGE($AX$622:$AX$661) = 0, "", AVERAGE($AX$622:$AX$661))))</f>
        <v>12.128864380785712</v>
      </c>
      <c r="AY621">
        <f ca="1">IF(ISERROR(IF(AVERAGE($AY$622:$AY$661) = 0, "", AVERAGE($AY$622:$AY$661))), "", (IF(AVERAGE($AY$622:$AY$661) = 0, "", AVERAGE($AY$622:$AY$661))))</f>
        <v>10.426033629214286</v>
      </c>
      <c r="AZ621">
        <f ca="1">IF(ISERROR(IF(AVERAGE($AZ$622:$AZ$661) = 0, "", AVERAGE($AZ$622:$AZ$661))), "", (IF(AVERAGE($AZ$622:$AZ$661) = 0, "", AVERAGE($AZ$622:$AZ$661))))</f>
        <v>4.5831046539285714</v>
      </c>
      <c r="BA621">
        <f ca="1">IF(ISERROR(IF(AVERAGE($BA$622:$BA$661) = 0, "", AVERAGE($BA$622:$BA$661))), "", (IF(AVERAGE($BA$622:$BA$661) = 0, "", AVERAGE($BA$622:$BA$661))))</f>
        <v>4.1065951432857144</v>
      </c>
      <c r="BB621">
        <f ca="1">IF(ISERROR(IF(AVERAGE($BB$622:$BB$661) = 0, "", AVERAGE($BB$622:$BB$661))), "", (IF(AVERAGE($BB$622:$BB$661) = 0, "", AVERAGE($BB$622:$BB$661))))</f>
        <v>4.3266520039285705</v>
      </c>
      <c r="BC621">
        <f ca="1">IF(ISERROR(IF(AVERAGE($BC$622:$BC$661) = 0, "", AVERAGE($BC$622:$BC$661))), "", (IF(AVERAGE($BC$622:$BC$661) = 0, "", AVERAGE($BC$622:$BC$661))))</f>
        <v>5.4627635925714282</v>
      </c>
      <c r="BD621">
        <f ca="1">IF(ISERROR(IF(AVERAGE($BD$622:$BD$661) = 0, "", AVERAGE($BD$622:$BD$661))), "", (IF(AVERAGE($BD$622:$BD$661) = 0, "", AVERAGE($BD$622:$BD$661))))</f>
        <v>7.0929590603571437</v>
      </c>
      <c r="BE621">
        <f ca="1">IF(ISERROR(IF(AVERAGE($BE$622:$BE$661) = 0, "", AVERAGE($BE$622:$BE$661))), "", (IF(AVERAGE($BE$622:$BE$661) = 0, "", AVERAGE($BE$622:$BE$661))))</f>
        <v>6.5330756162142851</v>
      </c>
      <c r="BF621">
        <f ca="1">IF(ISERROR(IF(AVERAGE($BF$622:$BF$661) = 0, "", AVERAGE($BF$622:$BF$661))), "", (IF(AVERAGE($BF$622:$BF$661) = 0, "", AVERAGE($BF$622:$BF$661))))</f>
        <v>4.759871529142857</v>
      </c>
      <c r="BG621">
        <f ca="1">IF(ISERROR(IF(AVERAGE($BG$622:$BG$661) = 0, "", AVERAGE($BG$622:$BG$661))), "", (IF(AVERAGE($BG$622:$BG$661) = 0, "", AVERAGE($BG$622:$BG$661))))</f>
        <v>9.3205674388571413</v>
      </c>
      <c r="BH621">
        <f ca="1">IF(ISERROR(IF(AVERAGE($BH$622:$BH$661) = 0, "", AVERAGE($BH$622:$BH$661))), "", (IF(AVERAGE($BH$622:$BH$661) = 0, "", AVERAGE($BH$622:$BH$661))))</f>
        <v>9.8402556123636362</v>
      </c>
      <c r="BI621">
        <f ca="1">IF(ISERROR(IF(AVERAGE($BI$622:$BI$661) = 0, "", AVERAGE($BI$622:$BI$661))), "", (IF(AVERAGE($BI$622:$BI$661) = 0, "", AVERAGE($BI$622:$BI$661))))</f>
        <v>11.524429334399999</v>
      </c>
      <c r="BJ621">
        <f ca="1">IF(ISERROR(IF(AVERAGE($BJ$622:$BJ$661) = 0, "", AVERAGE($BJ$622:$BJ$661))), "", (IF(AVERAGE($BJ$622:$BJ$661) = 0, "", AVERAGE($BJ$622:$BJ$661))))</f>
        <v>9.2944367840000019</v>
      </c>
      <c r="BK621">
        <f ca="1">IF(ISERROR(IF(AVERAGE($BK$622:$BK$661) = 0, "", AVERAGE($BK$622:$BK$661))), "", (IF(AVERAGE($BK$622:$BK$661) = 0, "", AVERAGE($BK$622:$BK$661))))</f>
        <v>3.7968536869999987</v>
      </c>
      <c r="BL621">
        <f ca="1">IF(ISERROR(IF(AVERAGE($BL$622:$BL$661) = 0, "", AVERAGE($BL$622:$BL$661))), "", (IF(AVERAGE($BL$622:$BL$661) = 0, "", AVERAGE($BL$622:$BL$661))))</f>
        <v>0.64305627999999893</v>
      </c>
      <c r="BM621">
        <f ca="1">IF(ISERROR(IF(AVERAGE($BM$622:$BM$661) = 0, "", AVERAGE($BM$622:$BM$661))), "", (IF(AVERAGE($BM$622:$BM$661) = 0, "", AVERAGE($BM$622:$BM$661))))</f>
        <v>5.1730606114285704</v>
      </c>
      <c r="BN621">
        <f>-1.292192218</f>
        <v>-1.2921922180000001</v>
      </c>
      <c r="BO621">
        <f>2.781840621</f>
        <v>2.7818406210000002</v>
      </c>
      <c r="BP621">
        <f>1.519885624</f>
        <v>1.519885624</v>
      </c>
      <c r="BQ621">
        <f>0.662061543</f>
        <v>0.66206154299999997</v>
      </c>
      <c r="BR621">
        <f>1.452562367</f>
        <v>1.4525623670000001</v>
      </c>
      <c r="BS621">
        <f>1.657078611</f>
        <v>1.657078611</v>
      </c>
      <c r="BT621">
        <f>1.179581202</f>
        <v>1.1795812020000001</v>
      </c>
      <c r="BU621">
        <f>1.33906239</f>
        <v>1.33906239</v>
      </c>
      <c r="BV621">
        <f>4.433556075</f>
        <v>4.4335560750000003</v>
      </c>
      <c r="BW621">
        <f>1.134270957</f>
        <v>1.134270957</v>
      </c>
      <c r="BX621">
        <f>4.710762416</f>
        <v>4.7107624159999997</v>
      </c>
      <c r="BY621">
        <f>5.998103014</f>
        <v>5.9981030139999998</v>
      </c>
      <c r="BZ621">
        <f>0.193672531</f>
        <v>0.19367253100000001</v>
      </c>
      <c r="CA621">
        <f>-0.890426038</f>
        <v>-0.89042603799999998</v>
      </c>
      <c r="CB621">
        <f>-2.955423222</f>
        <v>-2.9554232219999998</v>
      </c>
      <c r="CC621">
        <f>-3.138790377</f>
        <v>-3.1387903769999999</v>
      </c>
      <c r="CD621">
        <f>-1.127469678</f>
        <v>-1.127469678</v>
      </c>
      <c r="CE621">
        <f>0.147711918</f>
        <v>0.147711918</v>
      </c>
      <c r="CF621">
        <f>-1.080661014</f>
        <v>-1.0806610139999999</v>
      </c>
      <c r="CG621">
        <f>-1.115209593</f>
        <v>-1.1152095930000001</v>
      </c>
      <c r="CH621">
        <f>-0.185351697</f>
        <v>-0.18535169700000001</v>
      </c>
      <c r="CI621">
        <f>3.28185801</f>
        <v>3.2818580100000001</v>
      </c>
      <c r="CJ621">
        <f>4.603982867</f>
        <v>4.603982867</v>
      </c>
      <c r="CK621">
        <f>4.521315707</f>
        <v>4.5213157070000003</v>
      </c>
      <c r="CL621">
        <f>1.420914465</f>
        <v>1.4209144650000001</v>
      </c>
      <c r="CM621">
        <f>-0.66557877</f>
        <v>-0.66557876999999999</v>
      </c>
      <c r="CN621">
        <f>-0.222818441</f>
        <v>-0.22281844100000001</v>
      </c>
      <c r="CO621">
        <f>-1.882120907</f>
        <v>-1.882120907</v>
      </c>
      <c r="CP621">
        <f>-0.833952757</f>
        <v>-0.83395275700000004</v>
      </c>
      <c r="CQ621">
        <f>-0.990883982</f>
        <v>-0.99088398200000005</v>
      </c>
      <c r="CR621">
        <f>-4.701948186</f>
        <v>-4.7019481860000001</v>
      </c>
      <c r="CS621">
        <f>1.280973843</f>
        <v>1.2809738429999999</v>
      </c>
      <c r="CT621">
        <f>3.965777965</f>
        <v>3.965777965</v>
      </c>
      <c r="CU621">
        <f>4.522595489</f>
        <v>4.5225954890000004</v>
      </c>
      <c r="CV621">
        <f>10.5306322</f>
        <v>10.530632199999999</v>
      </c>
      <c r="CW621">
        <f>19.59123929</f>
        <v>19.591239290000001</v>
      </c>
      <c r="CX621">
        <f>20.53696816</f>
        <v>20.536968160000001</v>
      </c>
      <c r="CY621">
        <f>11.62094553</f>
        <v>11.62094553</v>
      </c>
      <c r="CZ621">
        <f>-1.32711815</f>
        <v>-1.32711815</v>
      </c>
      <c r="DA621">
        <f>-6.374558858</f>
        <v>-6.3745588580000003</v>
      </c>
      <c r="DB621">
        <f>-21.03494651</f>
        <v>-21.034946510000001</v>
      </c>
      <c r="DC621">
        <f>-15.5449346</f>
        <v>-15.544934599999999</v>
      </c>
      <c r="DD621">
        <f>8.505702469</f>
        <v>8.5057024689999992</v>
      </c>
      <c r="DE621">
        <f>8.162937914</f>
        <v>8.1629379140000005</v>
      </c>
      <c r="DF621">
        <f>12.12886438</f>
        <v>12.12886438</v>
      </c>
      <c r="DG621">
        <f>10.42603363</f>
        <v>10.426033629999999</v>
      </c>
      <c r="DH621">
        <f>4.583104654</f>
        <v>4.5831046539999996</v>
      </c>
      <c r="DI621">
        <f>4.106595143</f>
        <v>4.1065951429999998</v>
      </c>
      <c r="DJ621">
        <f>4.326652004</f>
        <v>4.3266520039999996</v>
      </c>
      <c r="DK621">
        <f>5.462763593</f>
        <v>5.462763593</v>
      </c>
      <c r="DL621">
        <f>7.092959062</f>
        <v>7.0929590620000003</v>
      </c>
      <c r="DM621">
        <f>6.533075616</f>
        <v>6.5330756159999996</v>
      </c>
      <c r="DN621">
        <f>4.759871529</f>
        <v>4.7598715289999998</v>
      </c>
      <c r="DO621">
        <f>9.320567439</f>
        <v>9.3205674389999995</v>
      </c>
      <c r="DP621">
        <f>9.840255614</f>
        <v>9.8402556140000002</v>
      </c>
      <c r="DQ621">
        <f>11.52442933</f>
        <v>11.52442933</v>
      </c>
      <c r="DR621">
        <f>9.294436783</f>
        <v>9.2944367830000001</v>
      </c>
      <c r="DS621">
        <f>3.796853687</f>
        <v>3.796853687</v>
      </c>
      <c r="DT621">
        <f>0.64305628</f>
        <v>0.64305628000000004</v>
      </c>
      <c r="DU621">
        <f>5.173060612</f>
        <v>5.1730606119999996</v>
      </c>
    </row>
    <row r="622" spans="1:125" x14ac:dyDescent="0.25">
      <c r="A622" t="str">
        <f>"    AUDI AG"</f>
        <v xml:space="preserve">    AUDI AG</v>
      </c>
      <c r="B622" t="str">
        <f>"NSU GR Equity"</f>
        <v>NSU GR Equity</v>
      </c>
      <c r="C622" t="str">
        <f t="shared" ref="C622:C661" si="45">"RX539"</f>
        <v>RX539</v>
      </c>
      <c r="D622" t="str">
        <f t="shared" ref="D622:D661" si="46">"T12_FCF_YIELD"</f>
        <v>T12_FCF_YIELD</v>
      </c>
      <c r="E622" t="str">
        <f t="shared" ref="E622:E661" si="47">"Dynamic"</f>
        <v>Dynamic</v>
      </c>
      <c r="F622" t="str">
        <f ca="1">IF(AND(ISNUMBER($F$1279),$B$677=1),$F$1279,HLOOKUP(INDIRECT(ADDRESS(2,COLUMN())),OFFSET($BN$2,0,0,ROW()-1,60),ROW()-1,FALSE))</f>
        <v/>
      </c>
      <c r="G622" t="str">
        <f ca="1">IF(AND(ISNUMBER($G$1279),$B$677=1),$G$1279,HLOOKUP(INDIRECT(ADDRESS(2,COLUMN())),OFFSET($BN$2,0,0,ROW()-1,60),ROW()-1,FALSE))</f>
        <v/>
      </c>
      <c r="H622" t="str">
        <f ca="1">IF(AND(ISNUMBER($H$1279),$B$677=1),$H$1279,HLOOKUP(INDIRECT(ADDRESS(2,COLUMN())),OFFSET($BN$2,0,0,ROW()-1,60),ROW()-1,FALSE))</f>
        <v/>
      </c>
      <c r="I622" t="str">
        <f ca="1">IF(AND(ISNUMBER($I$1279),$B$677=1),$I$1279,HLOOKUP(INDIRECT(ADDRESS(2,COLUMN())),OFFSET($BN$2,0,0,ROW()-1,60),ROW()-1,FALSE))</f>
        <v/>
      </c>
      <c r="J622" t="str">
        <f ca="1">IF(AND(ISNUMBER($J$1279),$B$677=1),$J$1279,HLOOKUP(INDIRECT(ADDRESS(2,COLUMN())),OFFSET($BN$2,0,0,ROW()-1,60),ROW()-1,FALSE))</f>
        <v/>
      </c>
      <c r="K622" t="str">
        <f ca="1">IF(AND(ISNUMBER($K$1279),$B$677=1),$K$1279,HLOOKUP(INDIRECT(ADDRESS(2,COLUMN())),OFFSET($BN$2,0,0,ROW()-1,60),ROW()-1,FALSE))</f>
        <v/>
      </c>
      <c r="L622" t="str">
        <f ca="1">IF(AND(ISNUMBER($L$1279),$B$677=1),$L$1279,HLOOKUP(INDIRECT(ADDRESS(2,COLUMN())),OFFSET($BN$2,0,0,ROW()-1,60),ROW()-1,FALSE))</f>
        <v/>
      </c>
      <c r="M622" t="str">
        <f ca="1">IF(AND(ISNUMBER($M$1279),$B$677=1),$M$1279,HLOOKUP(INDIRECT(ADDRESS(2,COLUMN())),OFFSET($BN$2,0,0,ROW()-1,60),ROW()-1,FALSE))</f>
        <v/>
      </c>
      <c r="N622" t="str">
        <f ca="1">IF(AND(ISNUMBER($N$1279),$B$677=1),$N$1279,HLOOKUP(INDIRECT(ADDRESS(2,COLUMN())),OFFSET($BN$2,0,0,ROW()-1,60),ROW()-1,FALSE))</f>
        <v/>
      </c>
      <c r="O622" t="str">
        <f ca="1">IF(AND(ISNUMBER($O$1279),$B$677=1),$O$1279,HLOOKUP(INDIRECT(ADDRESS(2,COLUMN())),OFFSET($BN$2,0,0,ROW()-1,60),ROW()-1,FALSE))</f>
        <v/>
      </c>
      <c r="P622" t="str">
        <f ca="1">IF(AND(ISNUMBER($P$1279),$B$677=1),$P$1279,HLOOKUP(INDIRECT(ADDRESS(2,COLUMN())),OFFSET($BN$2,0,0,ROW()-1,60),ROW()-1,FALSE))</f>
        <v/>
      </c>
      <c r="Q622" t="str">
        <f ca="1">IF(AND(ISNUMBER($Q$1279),$B$677=1),$Q$1279,HLOOKUP(INDIRECT(ADDRESS(2,COLUMN())),OFFSET($BN$2,0,0,ROW()-1,60),ROW()-1,FALSE))</f>
        <v/>
      </c>
      <c r="R622" t="str">
        <f ca="1">IF(AND(ISNUMBER($R$1279),$B$677=1),$R$1279,HLOOKUP(INDIRECT(ADDRESS(2,COLUMN())),OFFSET($BN$2,0,0,ROW()-1,60),ROW()-1,FALSE))</f>
        <v/>
      </c>
      <c r="S622" t="str">
        <f ca="1">IF(AND(ISNUMBER($S$1279),$B$677=1),$S$1279,HLOOKUP(INDIRECT(ADDRESS(2,COLUMN())),OFFSET($BN$2,0,0,ROW()-1,60),ROW()-1,FALSE))</f>
        <v/>
      </c>
      <c r="T622" t="str">
        <f ca="1">IF(AND(ISNUMBER($T$1279),$B$677=1),$T$1279,HLOOKUP(INDIRECT(ADDRESS(2,COLUMN())),OFFSET($BN$2,0,0,ROW()-1,60),ROW()-1,FALSE))</f>
        <v/>
      </c>
      <c r="U622" t="str">
        <f ca="1">IF(AND(ISNUMBER($U$1279),$B$677=1),$U$1279,HLOOKUP(INDIRECT(ADDRESS(2,COLUMN())),OFFSET($BN$2,0,0,ROW()-1,60),ROW()-1,FALSE))</f>
        <v/>
      </c>
      <c r="V622" t="str">
        <f ca="1">IF(AND(ISNUMBER($V$1279),$B$677=1),$V$1279,HLOOKUP(INDIRECT(ADDRESS(2,COLUMN())),OFFSET($BN$2,0,0,ROW()-1,60),ROW()-1,FALSE))</f>
        <v/>
      </c>
      <c r="W622" t="str">
        <f ca="1">IF(AND(ISNUMBER($W$1279),$B$677=1),$W$1279,HLOOKUP(INDIRECT(ADDRESS(2,COLUMN())),OFFSET($BN$2,0,0,ROW()-1,60),ROW()-1,FALSE))</f>
        <v/>
      </c>
      <c r="X622" t="str">
        <f ca="1">IF(AND(ISNUMBER($X$1279),$B$677=1),$X$1279,HLOOKUP(INDIRECT(ADDRESS(2,COLUMN())),OFFSET($BN$2,0,0,ROW()-1,60),ROW()-1,FALSE))</f>
        <v/>
      </c>
      <c r="Y622" t="str">
        <f ca="1">IF(AND(ISNUMBER($Y$1279),$B$677=1),$Y$1279,HLOOKUP(INDIRECT(ADDRESS(2,COLUMN())),OFFSET($BN$2,0,0,ROW()-1,60),ROW()-1,FALSE))</f>
        <v/>
      </c>
      <c r="Z622" t="str">
        <f ca="1">IF(AND(ISNUMBER($Z$1279),$B$677=1),$Z$1279,HLOOKUP(INDIRECT(ADDRESS(2,COLUMN())),OFFSET($BN$2,0,0,ROW()-1,60),ROW()-1,FALSE))</f>
        <v/>
      </c>
      <c r="AA622" t="str">
        <f ca="1">IF(AND(ISNUMBER($AA$1279),$B$677=1),$AA$1279,HLOOKUP(INDIRECT(ADDRESS(2,COLUMN())),OFFSET($BN$2,0,0,ROW()-1,60),ROW()-1,FALSE))</f>
        <v/>
      </c>
      <c r="AB622" t="str">
        <f ca="1">IF(AND(ISNUMBER($AB$1279),$B$677=1),$AB$1279,HLOOKUP(INDIRECT(ADDRESS(2,COLUMN())),OFFSET($BN$2,0,0,ROW()-1,60),ROW()-1,FALSE))</f>
        <v/>
      </c>
      <c r="AC622" t="str">
        <f ca="1">IF(AND(ISNUMBER($AC$1279),$B$677=1),$AC$1279,HLOOKUP(INDIRECT(ADDRESS(2,COLUMN())),OFFSET($BN$2,0,0,ROW()-1,60),ROW()-1,FALSE))</f>
        <v/>
      </c>
      <c r="AD622" t="str">
        <f ca="1">IF(AND(ISNUMBER($AD$1279),$B$677=1),$AD$1279,HLOOKUP(INDIRECT(ADDRESS(2,COLUMN())),OFFSET($BN$2,0,0,ROW()-1,60),ROW()-1,FALSE))</f>
        <v/>
      </c>
      <c r="AE622" t="str">
        <f ca="1">IF(AND(ISNUMBER($AE$1279),$B$677=1),$AE$1279,HLOOKUP(INDIRECT(ADDRESS(2,COLUMN())),OFFSET($BN$2,0,0,ROW()-1,60),ROW()-1,FALSE))</f>
        <v/>
      </c>
      <c r="AF622" t="str">
        <f ca="1">IF(AND(ISNUMBER($AF$1279),$B$677=1),$AF$1279,HLOOKUP(INDIRECT(ADDRESS(2,COLUMN())),OFFSET($BN$2,0,0,ROW()-1,60),ROW()-1,FALSE))</f>
        <v/>
      </c>
      <c r="AG622" t="str">
        <f ca="1">IF(AND(ISNUMBER($AG$1279),$B$677=1),$AG$1279,HLOOKUP(INDIRECT(ADDRESS(2,COLUMN())),OFFSET($BN$2,0,0,ROW()-1,60),ROW()-1,FALSE))</f>
        <v/>
      </c>
      <c r="AH622" t="str">
        <f ca="1">IF(AND(ISNUMBER($AH$1279),$B$677=1),$AH$1279,HLOOKUP(INDIRECT(ADDRESS(2,COLUMN())),OFFSET($BN$2,0,0,ROW()-1,60),ROW()-1,FALSE))</f>
        <v/>
      </c>
      <c r="AI622" t="str">
        <f ca="1">IF(AND(ISNUMBER($AI$1279),$B$677=1),$AI$1279,HLOOKUP(INDIRECT(ADDRESS(2,COLUMN())),OFFSET($BN$2,0,0,ROW()-1,60),ROW()-1,FALSE))</f>
        <v/>
      </c>
      <c r="AJ622" t="str">
        <f ca="1">IF(AND(ISNUMBER($AJ$1279),$B$677=1),$AJ$1279,HLOOKUP(INDIRECT(ADDRESS(2,COLUMN())),OFFSET($BN$2,0,0,ROW()-1,60),ROW()-1,FALSE))</f>
        <v/>
      </c>
      <c r="AK622" t="str">
        <f ca="1">IF(AND(ISNUMBER($AK$1279),$B$677=1),$AK$1279,HLOOKUP(INDIRECT(ADDRESS(2,COLUMN())),OFFSET($BN$2,0,0,ROW()-1,60),ROW()-1,FALSE))</f>
        <v/>
      </c>
      <c r="AL622" t="str">
        <f ca="1">IF(AND(ISNUMBER($AL$1279),$B$677=1),$AL$1279,HLOOKUP(INDIRECT(ADDRESS(2,COLUMN())),OFFSET($BN$2,0,0,ROW()-1,60),ROW()-1,FALSE))</f>
        <v/>
      </c>
      <c r="AM622" t="str">
        <f ca="1">IF(AND(ISNUMBER($AM$1279),$B$677=1),$AM$1279,HLOOKUP(INDIRECT(ADDRESS(2,COLUMN())),OFFSET($BN$2,0,0,ROW()-1,60),ROW()-1,FALSE))</f>
        <v/>
      </c>
      <c r="AN622" t="str">
        <f ca="1">IF(AND(ISNUMBER($AN$1279),$B$677=1),$AN$1279,HLOOKUP(INDIRECT(ADDRESS(2,COLUMN())),OFFSET($BN$2,0,0,ROW()-1,60),ROW()-1,FALSE))</f>
        <v/>
      </c>
      <c r="AO622" t="str">
        <f ca="1">IF(AND(ISNUMBER($AO$1279),$B$677=1),$AO$1279,HLOOKUP(INDIRECT(ADDRESS(2,COLUMN())),OFFSET($BN$2,0,0,ROW()-1,60),ROW()-1,FALSE))</f>
        <v/>
      </c>
      <c r="AP622" t="str">
        <f ca="1">IF(AND(ISNUMBER($AP$1279),$B$677=1),$AP$1279,HLOOKUP(INDIRECT(ADDRESS(2,COLUMN())),OFFSET($BN$2,0,0,ROW()-1,60),ROW()-1,FALSE))</f>
        <v/>
      </c>
      <c r="AQ622" t="str">
        <f ca="1">IF(AND(ISNUMBER($AQ$1279),$B$677=1),$AQ$1279,HLOOKUP(INDIRECT(ADDRESS(2,COLUMN())),OFFSET($BN$2,0,0,ROW()-1,60),ROW()-1,FALSE))</f>
        <v/>
      </c>
      <c r="AR622" t="str">
        <f ca="1">IF(AND(ISNUMBER($AR$1279),$B$677=1),$AR$1279,HLOOKUP(INDIRECT(ADDRESS(2,COLUMN())),OFFSET($BN$2,0,0,ROW()-1,60),ROW()-1,FALSE))</f>
        <v/>
      </c>
      <c r="AS622" t="str">
        <f ca="1">IF(AND(ISNUMBER($AS$1279),$B$677=1),$AS$1279,HLOOKUP(INDIRECT(ADDRESS(2,COLUMN())),OFFSET($BN$2,0,0,ROW()-1,60),ROW()-1,FALSE))</f>
        <v/>
      </c>
      <c r="AT622" t="str">
        <f ca="1">IF(AND(ISNUMBER($AT$1279),$B$677=1),$AT$1279,HLOOKUP(INDIRECT(ADDRESS(2,COLUMN())),OFFSET($BN$2,0,0,ROW()-1,60),ROW()-1,FALSE))</f>
        <v/>
      </c>
      <c r="AU622" t="str">
        <f ca="1">IF(AND(ISNUMBER($AU$1279),$B$677=1),$AU$1279,HLOOKUP(INDIRECT(ADDRESS(2,COLUMN())),OFFSET($BN$2,0,0,ROW()-1,60),ROW()-1,FALSE))</f>
        <v/>
      </c>
      <c r="AV622" t="str">
        <f ca="1">IF(AND(ISNUMBER($AV$1279),$B$677=1),$AV$1279,HLOOKUP(INDIRECT(ADDRESS(2,COLUMN())),OFFSET($BN$2,0,0,ROW()-1,60),ROW()-1,FALSE))</f>
        <v/>
      </c>
      <c r="AW622" t="str">
        <f ca="1">IF(AND(ISNUMBER($AW$1279),$B$677=1),$AW$1279,HLOOKUP(INDIRECT(ADDRESS(2,COLUMN())),OFFSET($BN$2,0,0,ROW()-1,60),ROW()-1,FALSE))</f>
        <v/>
      </c>
      <c r="AX622" t="str">
        <f ca="1">IF(AND(ISNUMBER($AX$1279),$B$677=1),$AX$1279,HLOOKUP(INDIRECT(ADDRESS(2,COLUMN())),OFFSET($BN$2,0,0,ROW()-1,60),ROW()-1,FALSE))</f>
        <v/>
      </c>
      <c r="AY622" t="str">
        <f ca="1">IF(AND(ISNUMBER($AY$1279),$B$677=1),$AY$1279,HLOOKUP(INDIRECT(ADDRESS(2,COLUMN())),OFFSET($BN$2,0,0,ROW()-1,60),ROW()-1,FALSE))</f>
        <v/>
      </c>
      <c r="AZ622" t="str">
        <f ca="1">IF(AND(ISNUMBER($AZ$1279),$B$677=1),$AZ$1279,HLOOKUP(INDIRECT(ADDRESS(2,COLUMN())),OFFSET($BN$2,0,0,ROW()-1,60),ROW()-1,FALSE))</f>
        <v/>
      </c>
      <c r="BA622" t="str">
        <f ca="1">IF(AND(ISNUMBER($BA$1279),$B$677=1),$BA$1279,HLOOKUP(INDIRECT(ADDRESS(2,COLUMN())),OFFSET($BN$2,0,0,ROW()-1,60),ROW()-1,FALSE))</f>
        <v/>
      </c>
      <c r="BB622" t="str">
        <f ca="1">IF(AND(ISNUMBER($BB$1279),$B$677=1),$BB$1279,HLOOKUP(INDIRECT(ADDRESS(2,COLUMN())),OFFSET($BN$2,0,0,ROW()-1,60),ROW()-1,FALSE))</f>
        <v/>
      </c>
      <c r="BC622" t="str">
        <f ca="1">IF(AND(ISNUMBER($BC$1279),$B$677=1),$BC$1279,HLOOKUP(INDIRECT(ADDRESS(2,COLUMN())),OFFSET($BN$2,0,0,ROW()-1,60),ROW()-1,FALSE))</f>
        <v/>
      </c>
      <c r="BD622" t="str">
        <f ca="1">IF(AND(ISNUMBER($BD$1279),$B$677=1),$BD$1279,HLOOKUP(INDIRECT(ADDRESS(2,COLUMN())),OFFSET($BN$2,0,0,ROW()-1,60),ROW()-1,FALSE))</f>
        <v/>
      </c>
      <c r="BE622" t="str">
        <f ca="1">IF(AND(ISNUMBER($BE$1279),$B$677=1),$BE$1279,HLOOKUP(INDIRECT(ADDRESS(2,COLUMN())),OFFSET($BN$2,0,0,ROW()-1,60),ROW()-1,FALSE))</f>
        <v/>
      </c>
      <c r="BF622" t="str">
        <f ca="1">IF(AND(ISNUMBER($BF$1279),$B$677=1),$BF$1279,HLOOKUP(INDIRECT(ADDRESS(2,COLUMN())),OFFSET($BN$2,0,0,ROW()-1,60),ROW()-1,FALSE))</f>
        <v/>
      </c>
      <c r="BG622" t="str">
        <f ca="1">IF(AND(ISNUMBER($BG$1279),$B$677=1),$BG$1279,HLOOKUP(INDIRECT(ADDRESS(2,COLUMN())),OFFSET($BN$2,0,0,ROW()-1,60),ROW()-1,FALSE))</f>
        <v/>
      </c>
      <c r="BH622" t="str">
        <f ca="1">IF(AND(ISNUMBER($BH$1279),$B$677=1),$BH$1279,HLOOKUP(INDIRECT(ADDRESS(2,COLUMN())),OFFSET($BN$2,0,0,ROW()-1,60),ROW()-1,FALSE))</f>
        <v/>
      </c>
      <c r="BI622" t="str">
        <f ca="1">IF(AND(ISNUMBER($BI$1279),$B$677=1),$BI$1279,HLOOKUP(INDIRECT(ADDRESS(2,COLUMN())),OFFSET($BN$2,0,0,ROW()-1,60),ROW()-1,FALSE))</f>
        <v/>
      </c>
      <c r="BJ622" t="str">
        <f ca="1">IF(AND(ISNUMBER($BJ$1279),$B$677=1),$BJ$1279,HLOOKUP(INDIRECT(ADDRESS(2,COLUMN())),OFFSET($BN$2,0,0,ROW()-1,60),ROW()-1,FALSE))</f>
        <v/>
      </c>
      <c r="BK622" t="str">
        <f ca="1">IF(AND(ISNUMBER($BK$1279),$B$677=1),$BK$1279,HLOOKUP(INDIRECT(ADDRESS(2,COLUMN())),OFFSET($BN$2,0,0,ROW()-1,60),ROW()-1,FALSE))</f>
        <v/>
      </c>
      <c r="BL622" t="str">
        <f ca="1">IF(AND(ISNUMBER($BL$1279),$B$677=1),$BL$1279,HLOOKUP(INDIRECT(ADDRESS(2,COLUMN())),OFFSET($BN$2,0,0,ROW()-1,60),ROW()-1,FALSE))</f>
        <v/>
      </c>
      <c r="BM622" t="str">
        <f ca="1">IF(AND(ISNUMBER($BM$1279),$B$677=1),$BM$1279,HLOOKUP(INDIRECT(ADDRESS(2,COLUMN())),OFFSET($BN$2,0,0,ROW()-1,60),ROW()-1,FALSE))</f>
        <v/>
      </c>
      <c r="BN622" t="str">
        <f>""</f>
        <v/>
      </c>
      <c r="BO622" t="str">
        <f>""</f>
        <v/>
      </c>
      <c r="BP622" t="str">
        <f>""</f>
        <v/>
      </c>
      <c r="BQ622" t="str">
        <f>""</f>
        <v/>
      </c>
      <c r="BR622" t="str">
        <f>""</f>
        <v/>
      </c>
      <c r="BS622" t="str">
        <f>""</f>
        <v/>
      </c>
      <c r="BT622" t="str">
        <f>""</f>
        <v/>
      </c>
      <c r="BU622" t="str">
        <f>""</f>
        <v/>
      </c>
      <c r="BV622" t="str">
        <f>""</f>
        <v/>
      </c>
      <c r="BW622" t="str">
        <f>""</f>
        <v/>
      </c>
      <c r="BX622" t="str">
        <f>""</f>
        <v/>
      </c>
      <c r="BY622" t="str">
        <f>""</f>
        <v/>
      </c>
      <c r="BZ622" t="str">
        <f>""</f>
        <v/>
      </c>
      <c r="CA622" t="str">
        <f>""</f>
        <v/>
      </c>
      <c r="CB622" t="str">
        <f>""</f>
        <v/>
      </c>
      <c r="CC622" t="str">
        <f>""</f>
        <v/>
      </c>
      <c r="CD622" t="str">
        <f>""</f>
        <v/>
      </c>
      <c r="CE622" t="str">
        <f>""</f>
        <v/>
      </c>
      <c r="CF622" t="str">
        <f>""</f>
        <v/>
      </c>
      <c r="CG622" t="str">
        <f>""</f>
        <v/>
      </c>
      <c r="CH622" t="str">
        <f>""</f>
        <v/>
      </c>
      <c r="CI622" t="str">
        <f>""</f>
        <v/>
      </c>
      <c r="CJ622" t="str">
        <f>""</f>
        <v/>
      </c>
      <c r="CK622" t="str">
        <f>""</f>
        <v/>
      </c>
      <c r="CL622" t="str">
        <f>""</f>
        <v/>
      </c>
      <c r="CM622" t="str">
        <f>""</f>
        <v/>
      </c>
      <c r="CN622" t="str">
        <f>""</f>
        <v/>
      </c>
      <c r="CO622" t="str">
        <f>""</f>
        <v/>
      </c>
      <c r="CP622" t="str">
        <f>""</f>
        <v/>
      </c>
      <c r="CQ622" t="str">
        <f>""</f>
        <v/>
      </c>
      <c r="CR622" t="str">
        <f>""</f>
        <v/>
      </c>
      <c r="CS622" t="str">
        <f>""</f>
        <v/>
      </c>
      <c r="CT622" t="str">
        <f>""</f>
        <v/>
      </c>
      <c r="CU622" t="str">
        <f>""</f>
        <v/>
      </c>
      <c r="CV622" t="str">
        <f>""</f>
        <v/>
      </c>
      <c r="CW622" t="str">
        <f>""</f>
        <v/>
      </c>
      <c r="CX622" t="str">
        <f>""</f>
        <v/>
      </c>
      <c r="CY622" t="str">
        <f>""</f>
        <v/>
      </c>
      <c r="CZ622" t="str">
        <f>""</f>
        <v/>
      </c>
      <c r="DA622" t="str">
        <f>""</f>
        <v/>
      </c>
      <c r="DB622" t="str">
        <f>""</f>
        <v/>
      </c>
      <c r="DC622" t="str">
        <f>""</f>
        <v/>
      </c>
      <c r="DD622" t="str">
        <f>""</f>
        <v/>
      </c>
      <c r="DE622" t="str">
        <f>""</f>
        <v/>
      </c>
      <c r="DF622" t="str">
        <f>""</f>
        <v/>
      </c>
      <c r="DG622" t="str">
        <f>""</f>
        <v/>
      </c>
      <c r="DH622" t="str">
        <f>""</f>
        <v/>
      </c>
      <c r="DI622" t="str">
        <f>""</f>
        <v/>
      </c>
      <c r="DJ622" t="str">
        <f>""</f>
        <v/>
      </c>
      <c r="DK622" t="str">
        <f>""</f>
        <v/>
      </c>
      <c r="DL622" t="str">
        <f>""</f>
        <v/>
      </c>
      <c r="DM622" t="str">
        <f>""</f>
        <v/>
      </c>
      <c r="DN622" t="str">
        <f>""</f>
        <v/>
      </c>
      <c r="DO622" t="str">
        <f>""</f>
        <v/>
      </c>
      <c r="DP622" t="str">
        <f>""</f>
        <v/>
      </c>
      <c r="DQ622" t="str">
        <f>""</f>
        <v/>
      </c>
      <c r="DR622" t="str">
        <f>""</f>
        <v/>
      </c>
      <c r="DS622" t="str">
        <f>""</f>
        <v/>
      </c>
      <c r="DT622" t="str">
        <f>""</f>
        <v/>
      </c>
      <c r="DU622" t="str">
        <f>""</f>
        <v/>
      </c>
    </row>
    <row r="623" spans="1:125" x14ac:dyDescent="0.25">
      <c r="A623" t="str">
        <f>"    Avtovaz PJSC"</f>
        <v xml:space="preserve">    Avtovaz PJSC</v>
      </c>
      <c r="B623" t="str">
        <f>"AVAZ RM Equity"</f>
        <v>AVAZ RM Equity</v>
      </c>
      <c r="C623" t="str">
        <f t="shared" si="45"/>
        <v>RX539</v>
      </c>
      <c r="D623" t="str">
        <f t="shared" si="46"/>
        <v>T12_FCF_YIELD</v>
      </c>
      <c r="E623" t="str">
        <f t="shared" si="47"/>
        <v>Dynamic</v>
      </c>
      <c r="F623" t="str">
        <f ca="1">IF(AND(ISNUMBER($F$1280),$B$677=1),$F$1280,HLOOKUP(INDIRECT(ADDRESS(2,COLUMN())),OFFSET($BN$2,0,0,ROW()-1,60),ROW()-1,FALSE))</f>
        <v/>
      </c>
      <c r="G623" t="str">
        <f ca="1">IF(AND(ISNUMBER($G$1280),$B$677=1),$G$1280,HLOOKUP(INDIRECT(ADDRESS(2,COLUMN())),OFFSET($BN$2,0,0,ROW()-1,60),ROW()-1,FALSE))</f>
        <v/>
      </c>
      <c r="H623" t="str">
        <f ca="1">IF(AND(ISNUMBER($H$1280),$B$677=1),$H$1280,HLOOKUP(INDIRECT(ADDRESS(2,COLUMN())),OFFSET($BN$2,0,0,ROW()-1,60),ROW()-1,FALSE))</f>
        <v/>
      </c>
      <c r="I623" t="str">
        <f ca="1">IF(AND(ISNUMBER($I$1280),$B$677=1),$I$1280,HLOOKUP(INDIRECT(ADDRESS(2,COLUMN())),OFFSET($BN$2,0,0,ROW()-1,60),ROW()-1,FALSE))</f>
        <v/>
      </c>
      <c r="J623" t="str">
        <f ca="1">IF(AND(ISNUMBER($J$1280),$B$677=1),$J$1280,HLOOKUP(INDIRECT(ADDRESS(2,COLUMN())),OFFSET($BN$2,0,0,ROW()-1,60),ROW()-1,FALSE))</f>
        <v/>
      </c>
      <c r="K623" t="str">
        <f ca="1">IF(AND(ISNUMBER($K$1280),$B$677=1),$K$1280,HLOOKUP(INDIRECT(ADDRESS(2,COLUMN())),OFFSET($BN$2,0,0,ROW()-1,60),ROW()-1,FALSE))</f>
        <v/>
      </c>
      <c r="L623" t="str">
        <f ca="1">IF(AND(ISNUMBER($L$1280),$B$677=1),$L$1280,HLOOKUP(INDIRECT(ADDRESS(2,COLUMN())),OFFSET($BN$2,0,0,ROW()-1,60),ROW()-1,FALSE))</f>
        <v/>
      </c>
      <c r="M623" t="str">
        <f ca="1">IF(AND(ISNUMBER($M$1280),$B$677=1),$M$1280,HLOOKUP(INDIRECT(ADDRESS(2,COLUMN())),OFFSET($BN$2,0,0,ROW()-1,60),ROW()-1,FALSE))</f>
        <v/>
      </c>
      <c r="N623" t="str">
        <f ca="1">IF(AND(ISNUMBER($N$1280),$B$677=1),$N$1280,HLOOKUP(INDIRECT(ADDRESS(2,COLUMN())),OFFSET($BN$2,0,0,ROW()-1,60),ROW()-1,FALSE))</f>
        <v/>
      </c>
      <c r="O623" t="str">
        <f ca="1">IF(AND(ISNUMBER($O$1280),$B$677=1),$O$1280,HLOOKUP(INDIRECT(ADDRESS(2,COLUMN())),OFFSET($BN$2,0,0,ROW()-1,60),ROW()-1,FALSE))</f>
        <v/>
      </c>
      <c r="P623" t="str">
        <f ca="1">IF(AND(ISNUMBER($P$1280),$B$677=1),$P$1280,HLOOKUP(INDIRECT(ADDRESS(2,COLUMN())),OFFSET($BN$2,0,0,ROW()-1,60),ROW()-1,FALSE))</f>
        <v/>
      </c>
      <c r="Q623" t="str">
        <f ca="1">IF(AND(ISNUMBER($Q$1280),$B$677=1),$Q$1280,HLOOKUP(INDIRECT(ADDRESS(2,COLUMN())),OFFSET($BN$2,0,0,ROW()-1,60),ROW()-1,FALSE))</f>
        <v/>
      </c>
      <c r="R623" t="str">
        <f ca="1">IF(AND(ISNUMBER($R$1280),$B$677=1),$R$1280,HLOOKUP(INDIRECT(ADDRESS(2,COLUMN())),OFFSET($BN$2,0,0,ROW()-1,60),ROW()-1,FALSE))</f>
        <v/>
      </c>
      <c r="S623" t="str">
        <f ca="1">IF(AND(ISNUMBER($S$1280),$B$677=1),$S$1280,HLOOKUP(INDIRECT(ADDRESS(2,COLUMN())),OFFSET($BN$2,0,0,ROW()-1,60),ROW()-1,FALSE))</f>
        <v/>
      </c>
      <c r="T623" t="str">
        <f ca="1">IF(AND(ISNUMBER($T$1280),$B$677=1),$T$1280,HLOOKUP(INDIRECT(ADDRESS(2,COLUMN())),OFFSET($BN$2,0,0,ROW()-1,60),ROW()-1,FALSE))</f>
        <v/>
      </c>
      <c r="U623" t="str">
        <f ca="1">IF(AND(ISNUMBER($U$1280),$B$677=1),$U$1280,HLOOKUP(INDIRECT(ADDRESS(2,COLUMN())),OFFSET($BN$2,0,0,ROW()-1,60),ROW()-1,FALSE))</f>
        <v/>
      </c>
      <c r="V623" t="str">
        <f ca="1">IF(AND(ISNUMBER($V$1280),$B$677=1),$V$1280,HLOOKUP(INDIRECT(ADDRESS(2,COLUMN())),OFFSET($BN$2,0,0,ROW()-1,60),ROW()-1,FALSE))</f>
        <v/>
      </c>
      <c r="W623" t="str">
        <f ca="1">IF(AND(ISNUMBER($W$1280),$B$677=1),$W$1280,HLOOKUP(INDIRECT(ADDRESS(2,COLUMN())),OFFSET($BN$2,0,0,ROW()-1,60),ROW()-1,FALSE))</f>
        <v/>
      </c>
      <c r="X623" t="str">
        <f ca="1">IF(AND(ISNUMBER($X$1280),$B$677=1),$X$1280,HLOOKUP(INDIRECT(ADDRESS(2,COLUMN())),OFFSET($BN$2,0,0,ROW()-1,60),ROW()-1,FALSE))</f>
        <v/>
      </c>
      <c r="Y623" t="str">
        <f ca="1">IF(AND(ISNUMBER($Y$1280),$B$677=1),$Y$1280,HLOOKUP(INDIRECT(ADDRESS(2,COLUMN())),OFFSET($BN$2,0,0,ROW()-1,60),ROW()-1,FALSE))</f>
        <v/>
      </c>
      <c r="Z623" t="str">
        <f ca="1">IF(AND(ISNUMBER($Z$1280),$B$677=1),$Z$1280,HLOOKUP(INDIRECT(ADDRESS(2,COLUMN())),OFFSET($BN$2,0,0,ROW()-1,60),ROW()-1,FALSE))</f>
        <v/>
      </c>
      <c r="AA623" t="str">
        <f ca="1">IF(AND(ISNUMBER($AA$1280),$B$677=1),$AA$1280,HLOOKUP(INDIRECT(ADDRESS(2,COLUMN())),OFFSET($BN$2,0,0,ROW()-1,60),ROW()-1,FALSE))</f>
        <v/>
      </c>
      <c r="AB623" t="str">
        <f ca="1">IF(AND(ISNUMBER($AB$1280),$B$677=1),$AB$1280,HLOOKUP(INDIRECT(ADDRESS(2,COLUMN())),OFFSET($BN$2,0,0,ROW()-1,60),ROW()-1,FALSE))</f>
        <v/>
      </c>
      <c r="AC623" t="str">
        <f ca="1">IF(AND(ISNUMBER($AC$1280),$B$677=1),$AC$1280,HLOOKUP(INDIRECT(ADDRESS(2,COLUMN())),OFFSET($BN$2,0,0,ROW()-1,60),ROW()-1,FALSE))</f>
        <v/>
      </c>
      <c r="AD623" t="str">
        <f ca="1">IF(AND(ISNUMBER($AD$1280),$B$677=1),$AD$1280,HLOOKUP(INDIRECT(ADDRESS(2,COLUMN())),OFFSET($BN$2,0,0,ROW()-1,60),ROW()-1,FALSE))</f>
        <v/>
      </c>
      <c r="AE623" t="str">
        <f ca="1">IF(AND(ISNUMBER($AE$1280),$B$677=1),$AE$1280,HLOOKUP(INDIRECT(ADDRESS(2,COLUMN())),OFFSET($BN$2,0,0,ROW()-1,60),ROW()-1,FALSE))</f>
        <v/>
      </c>
      <c r="AF623" t="str">
        <f ca="1">IF(AND(ISNUMBER($AF$1280),$B$677=1),$AF$1280,HLOOKUP(INDIRECT(ADDRESS(2,COLUMN())),OFFSET($BN$2,0,0,ROW()-1,60),ROW()-1,FALSE))</f>
        <v/>
      </c>
      <c r="AG623" t="str">
        <f ca="1">IF(AND(ISNUMBER($AG$1280),$B$677=1),$AG$1280,HLOOKUP(INDIRECT(ADDRESS(2,COLUMN())),OFFSET($BN$2,0,0,ROW()-1,60),ROW()-1,FALSE))</f>
        <v/>
      </c>
      <c r="AH623" t="str">
        <f ca="1">IF(AND(ISNUMBER($AH$1280),$B$677=1),$AH$1280,HLOOKUP(INDIRECT(ADDRESS(2,COLUMN())),OFFSET($BN$2,0,0,ROW()-1,60),ROW()-1,FALSE))</f>
        <v/>
      </c>
      <c r="AI623" t="str">
        <f ca="1">IF(AND(ISNUMBER($AI$1280),$B$677=1),$AI$1280,HLOOKUP(INDIRECT(ADDRESS(2,COLUMN())),OFFSET($BN$2,0,0,ROW()-1,60),ROW()-1,FALSE))</f>
        <v/>
      </c>
      <c r="AJ623" t="str">
        <f ca="1">IF(AND(ISNUMBER($AJ$1280),$B$677=1),$AJ$1280,HLOOKUP(INDIRECT(ADDRESS(2,COLUMN())),OFFSET($BN$2,0,0,ROW()-1,60),ROW()-1,FALSE))</f>
        <v/>
      </c>
      <c r="AK623" t="str">
        <f ca="1">IF(AND(ISNUMBER($AK$1280),$B$677=1),$AK$1280,HLOOKUP(INDIRECT(ADDRESS(2,COLUMN())),OFFSET($BN$2,0,0,ROW()-1,60),ROW()-1,FALSE))</f>
        <v/>
      </c>
      <c r="AL623" t="str">
        <f ca="1">IF(AND(ISNUMBER($AL$1280),$B$677=1),$AL$1280,HLOOKUP(INDIRECT(ADDRESS(2,COLUMN())),OFFSET($BN$2,0,0,ROW()-1,60),ROW()-1,FALSE))</f>
        <v/>
      </c>
      <c r="AM623" t="str">
        <f ca="1">IF(AND(ISNUMBER($AM$1280),$B$677=1),$AM$1280,HLOOKUP(INDIRECT(ADDRESS(2,COLUMN())),OFFSET($BN$2,0,0,ROW()-1,60),ROW()-1,FALSE))</f>
        <v/>
      </c>
      <c r="AN623" t="str">
        <f ca="1">IF(AND(ISNUMBER($AN$1280),$B$677=1),$AN$1280,HLOOKUP(INDIRECT(ADDRESS(2,COLUMN())),OFFSET($BN$2,0,0,ROW()-1,60),ROW()-1,FALSE))</f>
        <v/>
      </c>
      <c r="AO623" t="str">
        <f ca="1">IF(AND(ISNUMBER($AO$1280),$B$677=1),$AO$1280,HLOOKUP(INDIRECT(ADDRESS(2,COLUMN())),OFFSET($BN$2,0,0,ROW()-1,60),ROW()-1,FALSE))</f>
        <v/>
      </c>
      <c r="AP623" t="str">
        <f ca="1">IF(AND(ISNUMBER($AP$1280),$B$677=1),$AP$1280,HLOOKUP(INDIRECT(ADDRESS(2,COLUMN())),OFFSET($BN$2,0,0,ROW()-1,60),ROW()-1,FALSE))</f>
        <v/>
      </c>
      <c r="AQ623" t="str">
        <f ca="1">IF(AND(ISNUMBER($AQ$1280),$B$677=1),$AQ$1280,HLOOKUP(INDIRECT(ADDRESS(2,COLUMN())),OFFSET($BN$2,0,0,ROW()-1,60),ROW()-1,FALSE))</f>
        <v/>
      </c>
      <c r="AR623" t="str">
        <f ca="1">IF(AND(ISNUMBER($AR$1280),$B$677=1),$AR$1280,HLOOKUP(INDIRECT(ADDRESS(2,COLUMN())),OFFSET($BN$2,0,0,ROW()-1,60),ROW()-1,FALSE))</f>
        <v/>
      </c>
      <c r="AS623" t="str">
        <f ca="1">IF(AND(ISNUMBER($AS$1280),$B$677=1),$AS$1280,HLOOKUP(INDIRECT(ADDRESS(2,COLUMN())),OFFSET($BN$2,0,0,ROW()-1,60),ROW()-1,FALSE))</f>
        <v/>
      </c>
      <c r="AT623" t="str">
        <f ca="1">IF(AND(ISNUMBER($AT$1280),$B$677=1),$AT$1280,HLOOKUP(INDIRECT(ADDRESS(2,COLUMN())),OFFSET($BN$2,0,0,ROW()-1,60),ROW()-1,FALSE))</f>
        <v/>
      </c>
      <c r="AU623" t="str">
        <f ca="1">IF(AND(ISNUMBER($AU$1280),$B$677=1),$AU$1280,HLOOKUP(INDIRECT(ADDRESS(2,COLUMN())),OFFSET($BN$2,0,0,ROW()-1,60),ROW()-1,FALSE))</f>
        <v/>
      </c>
      <c r="AV623" t="str">
        <f ca="1">IF(AND(ISNUMBER($AV$1280),$B$677=1),$AV$1280,HLOOKUP(INDIRECT(ADDRESS(2,COLUMN())),OFFSET($BN$2,0,0,ROW()-1,60),ROW()-1,FALSE))</f>
        <v/>
      </c>
      <c r="AW623" t="str">
        <f ca="1">IF(AND(ISNUMBER($AW$1280),$B$677=1),$AW$1280,HLOOKUP(INDIRECT(ADDRESS(2,COLUMN())),OFFSET($BN$2,0,0,ROW()-1,60),ROW()-1,FALSE))</f>
        <v/>
      </c>
      <c r="AX623" t="str">
        <f ca="1">IF(AND(ISNUMBER($AX$1280),$B$677=1),$AX$1280,HLOOKUP(INDIRECT(ADDRESS(2,COLUMN())),OFFSET($BN$2,0,0,ROW()-1,60),ROW()-1,FALSE))</f>
        <v/>
      </c>
      <c r="AY623" t="str">
        <f ca="1">IF(AND(ISNUMBER($AY$1280),$B$677=1),$AY$1280,HLOOKUP(INDIRECT(ADDRESS(2,COLUMN())),OFFSET($BN$2,0,0,ROW()-1,60),ROW()-1,FALSE))</f>
        <v/>
      </c>
      <c r="AZ623" t="str">
        <f ca="1">IF(AND(ISNUMBER($AZ$1280),$B$677=1),$AZ$1280,HLOOKUP(INDIRECT(ADDRESS(2,COLUMN())),OFFSET($BN$2,0,0,ROW()-1,60),ROW()-1,FALSE))</f>
        <v/>
      </c>
      <c r="BA623" t="str">
        <f ca="1">IF(AND(ISNUMBER($BA$1280),$B$677=1),$BA$1280,HLOOKUP(INDIRECT(ADDRESS(2,COLUMN())),OFFSET($BN$2,0,0,ROW()-1,60),ROW()-1,FALSE))</f>
        <v/>
      </c>
      <c r="BB623" t="str">
        <f ca="1">IF(AND(ISNUMBER($BB$1280),$B$677=1),$BB$1280,HLOOKUP(INDIRECT(ADDRESS(2,COLUMN())),OFFSET($BN$2,0,0,ROW()-1,60),ROW()-1,FALSE))</f>
        <v/>
      </c>
      <c r="BC623" t="str">
        <f ca="1">IF(AND(ISNUMBER($BC$1280),$B$677=1),$BC$1280,HLOOKUP(INDIRECT(ADDRESS(2,COLUMN())),OFFSET($BN$2,0,0,ROW()-1,60),ROW()-1,FALSE))</f>
        <v/>
      </c>
      <c r="BD623" t="str">
        <f ca="1">IF(AND(ISNUMBER($BD$1280),$B$677=1),$BD$1280,HLOOKUP(INDIRECT(ADDRESS(2,COLUMN())),OFFSET($BN$2,0,0,ROW()-1,60),ROW()-1,FALSE))</f>
        <v/>
      </c>
      <c r="BE623" t="str">
        <f ca="1">IF(AND(ISNUMBER($BE$1280),$B$677=1),$BE$1280,HLOOKUP(INDIRECT(ADDRESS(2,COLUMN())),OFFSET($BN$2,0,0,ROW()-1,60),ROW()-1,FALSE))</f>
        <v/>
      </c>
      <c r="BF623" t="str">
        <f ca="1">IF(AND(ISNUMBER($BF$1280),$B$677=1),$BF$1280,HLOOKUP(INDIRECT(ADDRESS(2,COLUMN())),OFFSET($BN$2,0,0,ROW()-1,60),ROW()-1,FALSE))</f>
        <v/>
      </c>
      <c r="BG623" t="str">
        <f ca="1">IF(AND(ISNUMBER($BG$1280),$B$677=1),$BG$1280,HLOOKUP(INDIRECT(ADDRESS(2,COLUMN())),OFFSET($BN$2,0,0,ROW()-1,60),ROW()-1,FALSE))</f>
        <v/>
      </c>
      <c r="BH623" t="str">
        <f ca="1">IF(AND(ISNUMBER($BH$1280),$B$677=1),$BH$1280,HLOOKUP(INDIRECT(ADDRESS(2,COLUMN())),OFFSET($BN$2,0,0,ROW()-1,60),ROW()-1,FALSE))</f>
        <v/>
      </c>
      <c r="BI623" t="str">
        <f ca="1">IF(AND(ISNUMBER($BI$1280),$B$677=1),$BI$1280,HLOOKUP(INDIRECT(ADDRESS(2,COLUMN())),OFFSET($BN$2,0,0,ROW()-1,60),ROW()-1,FALSE))</f>
        <v/>
      </c>
      <c r="BJ623" t="str">
        <f ca="1">IF(AND(ISNUMBER($BJ$1280),$B$677=1),$BJ$1280,HLOOKUP(INDIRECT(ADDRESS(2,COLUMN())),OFFSET($BN$2,0,0,ROW()-1,60),ROW()-1,FALSE))</f>
        <v/>
      </c>
      <c r="BK623" t="str">
        <f ca="1">IF(AND(ISNUMBER($BK$1280),$B$677=1),$BK$1280,HLOOKUP(INDIRECT(ADDRESS(2,COLUMN())),OFFSET($BN$2,0,0,ROW()-1,60),ROW()-1,FALSE))</f>
        <v/>
      </c>
      <c r="BL623" t="str">
        <f ca="1">IF(AND(ISNUMBER($BL$1280),$B$677=1),$BL$1280,HLOOKUP(INDIRECT(ADDRESS(2,COLUMN())),OFFSET($BN$2,0,0,ROW()-1,60),ROW()-1,FALSE))</f>
        <v/>
      </c>
      <c r="BM623" t="str">
        <f ca="1">IF(AND(ISNUMBER($BM$1280),$B$677=1),$BM$1280,HLOOKUP(INDIRECT(ADDRESS(2,COLUMN())),OFFSET($BN$2,0,0,ROW()-1,60),ROW()-1,FALSE))</f>
        <v/>
      </c>
      <c r="BN623" t="str">
        <f>""</f>
        <v/>
      </c>
      <c r="BO623" t="str">
        <f>""</f>
        <v/>
      </c>
      <c r="BP623" t="str">
        <f>""</f>
        <v/>
      </c>
      <c r="BQ623" t="str">
        <f>""</f>
        <v/>
      </c>
      <c r="BR623" t="str">
        <f>""</f>
        <v/>
      </c>
      <c r="BS623" t="str">
        <f>""</f>
        <v/>
      </c>
      <c r="BT623" t="str">
        <f>""</f>
        <v/>
      </c>
      <c r="BU623" t="str">
        <f>""</f>
        <v/>
      </c>
      <c r="BV623" t="str">
        <f>""</f>
        <v/>
      </c>
      <c r="BW623" t="str">
        <f>""</f>
        <v/>
      </c>
      <c r="BX623" t="str">
        <f>""</f>
        <v/>
      </c>
      <c r="BY623" t="str">
        <f>""</f>
        <v/>
      </c>
      <c r="BZ623" t="str">
        <f>""</f>
        <v/>
      </c>
      <c r="CA623" t="str">
        <f>""</f>
        <v/>
      </c>
      <c r="CB623" t="str">
        <f>""</f>
        <v/>
      </c>
      <c r="CC623" t="str">
        <f>""</f>
        <v/>
      </c>
      <c r="CD623" t="str">
        <f>""</f>
        <v/>
      </c>
      <c r="CE623" t="str">
        <f>""</f>
        <v/>
      </c>
      <c r="CF623" t="str">
        <f>""</f>
        <v/>
      </c>
      <c r="CG623" t="str">
        <f>""</f>
        <v/>
      </c>
      <c r="CH623" t="str">
        <f>""</f>
        <v/>
      </c>
      <c r="CI623" t="str">
        <f>""</f>
        <v/>
      </c>
      <c r="CJ623" t="str">
        <f>""</f>
        <v/>
      </c>
      <c r="CK623" t="str">
        <f>""</f>
        <v/>
      </c>
      <c r="CL623" t="str">
        <f>""</f>
        <v/>
      </c>
      <c r="CM623" t="str">
        <f>""</f>
        <v/>
      </c>
      <c r="CN623" t="str">
        <f>""</f>
        <v/>
      </c>
      <c r="CO623" t="str">
        <f>""</f>
        <v/>
      </c>
      <c r="CP623" t="str">
        <f>""</f>
        <v/>
      </c>
      <c r="CQ623" t="str">
        <f>""</f>
        <v/>
      </c>
      <c r="CR623" t="str">
        <f>""</f>
        <v/>
      </c>
      <c r="CS623" t="str">
        <f>""</f>
        <v/>
      </c>
      <c r="CT623" t="str">
        <f>""</f>
        <v/>
      </c>
      <c r="CU623" t="str">
        <f>""</f>
        <v/>
      </c>
      <c r="CV623" t="str">
        <f>""</f>
        <v/>
      </c>
      <c r="CW623" t="str">
        <f>""</f>
        <v/>
      </c>
      <c r="CX623" t="str">
        <f>""</f>
        <v/>
      </c>
      <c r="CY623" t="str">
        <f>""</f>
        <v/>
      </c>
      <c r="CZ623" t="str">
        <f>""</f>
        <v/>
      </c>
      <c r="DA623" t="str">
        <f>""</f>
        <v/>
      </c>
      <c r="DB623" t="str">
        <f>""</f>
        <v/>
      </c>
      <c r="DC623" t="str">
        <f>""</f>
        <v/>
      </c>
      <c r="DD623" t="str">
        <f>""</f>
        <v/>
      </c>
      <c r="DE623" t="str">
        <f>""</f>
        <v/>
      </c>
      <c r="DF623" t="str">
        <f>""</f>
        <v/>
      </c>
      <c r="DG623" t="str">
        <f>""</f>
        <v/>
      </c>
      <c r="DH623" t="str">
        <f>""</f>
        <v/>
      </c>
      <c r="DI623" t="str">
        <f>""</f>
        <v/>
      </c>
      <c r="DJ623" t="str">
        <f>""</f>
        <v/>
      </c>
      <c r="DK623" t="str">
        <f>""</f>
        <v/>
      </c>
      <c r="DL623" t="str">
        <f>""</f>
        <v/>
      </c>
      <c r="DM623" t="str">
        <f>""</f>
        <v/>
      </c>
      <c r="DN623" t="str">
        <f>""</f>
        <v/>
      </c>
      <c r="DO623" t="str">
        <f>""</f>
        <v/>
      </c>
      <c r="DP623" t="str">
        <f>""</f>
        <v/>
      </c>
      <c r="DQ623" t="str">
        <f>""</f>
        <v/>
      </c>
      <c r="DR623" t="str">
        <f>""</f>
        <v/>
      </c>
      <c r="DS623" t="str">
        <f>""</f>
        <v/>
      </c>
      <c r="DT623" t="str">
        <f>""</f>
        <v/>
      </c>
      <c r="DU623" t="str">
        <f>""</f>
        <v/>
      </c>
    </row>
    <row r="624" spans="1:125" x14ac:dyDescent="0.25">
      <c r="A624" t="str">
        <f>"    Bayerische Motoren Werke AG"</f>
        <v xml:space="preserve">    Bayerische Motoren Werke AG</v>
      </c>
      <c r="B624" t="str">
        <f>"BMW GR Equity"</f>
        <v>BMW GR Equity</v>
      </c>
      <c r="C624" t="str">
        <f t="shared" si="45"/>
        <v>RX539</v>
      </c>
      <c r="D624" t="str">
        <f t="shared" si="46"/>
        <v>T12_FCF_YIELD</v>
      </c>
      <c r="E624" t="str">
        <f t="shared" si="47"/>
        <v>Dynamic</v>
      </c>
      <c r="F624">
        <f ca="1">IF(AND(ISNUMBER($F$1281),$B$677=1),$F$1281,HLOOKUP(INDIRECT(ADDRESS(2,COLUMN())),OFFSET($BN$2,0,0,ROW()-1,60),ROW()-1,FALSE))</f>
        <v>-7.5149097850000004</v>
      </c>
      <c r="G624">
        <f ca="1">IF(AND(ISNUMBER($G$1281),$B$677=1),$G$1281,HLOOKUP(INDIRECT(ADDRESS(2,COLUMN())),OFFSET($BN$2,0,0,ROW()-1,60),ROW()-1,FALSE))</f>
        <v>-7.762828474</v>
      </c>
      <c r="H624">
        <f ca="1">IF(AND(ISNUMBER($H$1281),$B$677=1),$H$1281,HLOOKUP(INDIRECT(ADDRESS(2,COLUMN())),OFFSET($BN$2,0,0,ROW()-1,60),ROW()-1,FALSE))</f>
        <v>-7.0869596250000004</v>
      </c>
      <c r="I624">
        <f ca="1">IF(AND(ISNUMBER($I$1281),$B$677=1),$I$1281,HLOOKUP(INDIRECT(ADDRESS(2,COLUMN())),OFFSET($BN$2,0,0,ROW()-1,60),ROW()-1,FALSE))</f>
        <v>-4.8715080999999998</v>
      </c>
      <c r="J624">
        <f ca="1">IF(AND(ISNUMBER($J$1281),$B$677=1),$J$1281,HLOOKUP(INDIRECT(ADDRESS(2,COLUMN())),OFFSET($BN$2,0,0,ROW()-1,60),ROW()-1,FALSE))</f>
        <v>-5.2263789420000002</v>
      </c>
      <c r="K624">
        <f ca="1">IF(AND(ISNUMBER($K$1281),$B$677=1),$K$1281,HLOOKUP(INDIRECT(ADDRESS(2,COLUMN())),OFFSET($BN$2,0,0,ROW()-1,60),ROW()-1,FALSE))</f>
        <v>-5.4429421040000001</v>
      </c>
      <c r="L624">
        <f ca="1">IF(AND(ISNUMBER($L$1281),$B$677=1),$L$1281,HLOOKUP(INDIRECT(ADDRESS(2,COLUMN())),OFFSET($BN$2,0,0,ROW()-1,60),ROW()-1,FALSE))</f>
        <v>-1.84668024</v>
      </c>
      <c r="M624">
        <f ca="1">IF(AND(ISNUMBER($M$1281),$B$677=1),$M$1281,HLOOKUP(INDIRECT(ADDRESS(2,COLUMN())),OFFSET($BN$2,0,0,ROW()-1,60),ROW()-1,FALSE))</f>
        <v>-5.1547571489999999</v>
      </c>
      <c r="N624">
        <f ca="1">IF(AND(ISNUMBER($N$1281),$B$677=1),$N$1281,HLOOKUP(INDIRECT(ADDRESS(2,COLUMN())),OFFSET($BN$2,0,0,ROW()-1,60),ROW()-1,FALSE))</f>
        <v>-4.8595272109999996</v>
      </c>
      <c r="O624">
        <f ca="1">IF(AND(ISNUMBER($O$1281),$B$677=1),$O$1281,HLOOKUP(INDIRECT(ADDRESS(2,COLUMN())),OFFSET($BN$2,0,0,ROW()-1,60),ROW()-1,FALSE))</f>
        <v>-4.8213160520000002</v>
      </c>
      <c r="P624">
        <f ca="1">IF(AND(ISNUMBER($P$1281),$B$677=1),$P$1281,HLOOKUP(INDIRECT(ADDRESS(2,COLUMN())),OFFSET($BN$2,0,0,ROW()-1,60),ROW()-1,FALSE))</f>
        <v>-8.6899671450000007</v>
      </c>
      <c r="Q624">
        <f ca="1">IF(AND(ISNUMBER($Q$1281),$B$677=1),$Q$1281,HLOOKUP(INDIRECT(ADDRESS(2,COLUMN())),OFFSET($BN$2,0,0,ROW()-1,60),ROW()-1,FALSE))</f>
        <v>-9.9808400329999998</v>
      </c>
      <c r="R624">
        <f ca="1">IF(AND(ISNUMBER($R$1281),$B$677=1),$R$1281,HLOOKUP(INDIRECT(ADDRESS(2,COLUMN())),OFFSET($BN$2,0,0,ROW()-1,60),ROW()-1,FALSE))</f>
        <v>-11.777525799999999</v>
      </c>
      <c r="S624">
        <f ca="1">IF(AND(ISNUMBER($S$1281),$B$677=1),$S$1281,HLOOKUP(INDIRECT(ADDRESS(2,COLUMN())),OFFSET($BN$2,0,0,ROW()-1,60),ROW()-1,FALSE))</f>
        <v>-8.2439564920000006</v>
      </c>
      <c r="T624">
        <f ca="1">IF(AND(ISNUMBER($T$1281),$B$677=1),$T$1281,HLOOKUP(INDIRECT(ADDRESS(2,COLUMN())),OFFSET($BN$2,0,0,ROW()-1,60),ROW()-1,FALSE))</f>
        <v>-8.894149767</v>
      </c>
      <c r="U624">
        <f ca="1">IF(AND(ISNUMBER($U$1281),$B$677=1),$U$1281,HLOOKUP(INDIRECT(ADDRESS(2,COLUMN())),OFFSET($BN$2,0,0,ROW()-1,60),ROW()-1,FALSE))</f>
        <v>-6.3503107349999999</v>
      </c>
      <c r="V624">
        <f ca="1">IF(AND(ISNUMBER($V$1281),$B$677=1),$V$1281,HLOOKUP(INDIRECT(ADDRESS(2,COLUMN())),OFFSET($BN$2,0,0,ROW()-1,60),ROW()-1,FALSE))</f>
        <v>-4.418938883</v>
      </c>
      <c r="W624">
        <f ca="1">IF(AND(ISNUMBER($W$1281),$B$677=1),$W$1281,HLOOKUP(INDIRECT(ADDRESS(2,COLUMN())),OFFSET($BN$2,0,0,ROW()-1,60),ROW()-1,FALSE))</f>
        <v>-5.7563547509999999</v>
      </c>
      <c r="X624">
        <f ca="1">IF(AND(ISNUMBER($X$1281),$B$677=1),$X$1281,HLOOKUP(INDIRECT(ADDRESS(2,COLUMN())),OFFSET($BN$2,0,0,ROW()-1,60),ROW()-1,FALSE))</f>
        <v>-5.1266478070000003</v>
      </c>
      <c r="Y624">
        <f ca="1">IF(AND(ISNUMBER($Y$1281),$B$677=1),$Y$1281,HLOOKUP(INDIRECT(ADDRESS(2,COLUMN())),OFFSET($BN$2,0,0,ROW()-1,60),ROW()-1,FALSE))</f>
        <v>-5.4771672669999996</v>
      </c>
      <c r="Z624">
        <f ca="1">IF(AND(ISNUMBER($Z$1281),$B$677=1),$Z$1281,HLOOKUP(INDIRECT(ADDRESS(2,COLUMN())),OFFSET($BN$2,0,0,ROW()-1,60),ROW()-1,FALSE))</f>
        <v>-3.374174977</v>
      </c>
      <c r="AA624">
        <f ca="1">IF(AND(ISNUMBER($AA$1281),$B$677=1),$AA$1281,HLOOKUP(INDIRECT(ADDRESS(2,COLUMN())),OFFSET($BN$2,0,0,ROW()-1,60),ROW()-1,FALSE))</f>
        <v>-4.8802565500000004</v>
      </c>
      <c r="AB624">
        <f ca="1">IF(AND(ISNUMBER($AB$1281),$B$677=1),$AB$1281,HLOOKUP(INDIRECT(ADDRESS(2,COLUMN())),OFFSET($BN$2,0,0,ROW()-1,60),ROW()-1,FALSE))</f>
        <v>-3.9030062210000001</v>
      </c>
      <c r="AC624">
        <f ca="1">IF(AND(ISNUMBER($AC$1281),$B$677=1),$AC$1281,HLOOKUP(INDIRECT(ADDRESS(2,COLUMN())),OFFSET($BN$2,0,0,ROW()-1,60),ROW()-1,FALSE))</f>
        <v>-5.6550916999999998</v>
      </c>
      <c r="AD624">
        <f ca="1">IF(AND(ISNUMBER($AD$1281),$B$677=1),$AD$1281,HLOOKUP(INDIRECT(ADDRESS(2,COLUMN())),OFFSET($BN$2,0,0,ROW()-1,60),ROW()-1,FALSE))</f>
        <v>-5.5938429809999999</v>
      </c>
      <c r="AE624">
        <f ca="1">IF(AND(ISNUMBER($AE$1281),$B$677=1),$AE$1281,HLOOKUP(INDIRECT(ADDRESS(2,COLUMN())),OFFSET($BN$2,0,0,ROW()-1,60),ROW()-1,FALSE))</f>
        <v>-0.47296182599999997</v>
      </c>
      <c r="AF624">
        <f ca="1">IF(AND(ISNUMBER($AF$1281),$B$677=1),$AF$1281,HLOOKUP(INDIRECT(ADDRESS(2,COLUMN())),OFFSET($BN$2,0,0,ROW()-1,60),ROW()-1,FALSE))</f>
        <v>-5.3457783509999999</v>
      </c>
      <c r="AG624">
        <f ca="1">IF(AND(ISNUMBER($AG$1281),$B$677=1),$AG$1281,HLOOKUP(INDIRECT(ADDRESS(2,COLUMN())),OFFSET($BN$2,0,0,ROW()-1,60),ROW()-1,FALSE))</f>
        <v>2.0462823129999999</v>
      </c>
      <c r="AH624">
        <f ca="1">IF(AND(ISNUMBER($AH$1281),$B$677=1),$AH$1281,HLOOKUP(INDIRECT(ADDRESS(2,COLUMN())),OFFSET($BN$2,0,0,ROW()-1,60),ROW()-1,FALSE))</f>
        <v>4.693440753</v>
      </c>
      <c r="AI624">
        <f ca="1">IF(AND(ISNUMBER($AI$1281),$B$677=1),$AI$1281,HLOOKUP(INDIRECT(ADDRESS(2,COLUMN())),OFFSET($BN$2,0,0,ROW()-1,60),ROW()-1,FALSE))</f>
        <v>6.0542392600000001</v>
      </c>
      <c r="AJ624">
        <f ca="1">IF(AND(ISNUMBER($AJ$1281),$B$677=1),$AJ$1281,HLOOKUP(INDIRECT(ADDRESS(2,COLUMN())),OFFSET($BN$2,0,0,ROW()-1,60),ROW()-1,FALSE))</f>
        <v>-2.9887870790000002</v>
      </c>
      <c r="AK624">
        <f ca="1">IF(AND(ISNUMBER($AK$1281),$B$677=1),$AK$1281,HLOOKUP(INDIRECT(ADDRESS(2,COLUMN())),OFFSET($BN$2,0,0,ROW()-1,60),ROW()-1,FALSE))</f>
        <v>-0.44123996900000001</v>
      </c>
      <c r="AL624">
        <f ca="1">IF(AND(ISNUMBER($AL$1281),$B$677=1),$AL$1281,HLOOKUP(INDIRECT(ADDRESS(2,COLUMN())),OFFSET($BN$2,0,0,ROW()-1,60),ROW()-1,FALSE))</f>
        <v>3.3450787900000001</v>
      </c>
      <c r="AM624">
        <f ca="1">IF(AND(ISNUMBER($AM$1281),$B$677=1),$AM$1281,HLOOKUP(INDIRECT(ADDRESS(2,COLUMN())),OFFSET($BN$2,0,0,ROW()-1,60),ROW()-1,FALSE))</f>
        <v>2.3696308319999999</v>
      </c>
      <c r="AN624">
        <f ca="1">IF(AND(ISNUMBER($AN$1281),$B$677=1),$AN$1281,HLOOKUP(INDIRECT(ADDRESS(2,COLUMN())),OFFSET($BN$2,0,0,ROW()-1,60),ROW()-1,FALSE))</f>
        <v>25.062466279999999</v>
      </c>
      <c r="AO624">
        <f ca="1">IF(AND(ISNUMBER($AO$1281),$B$677=1),$AO$1281,HLOOKUP(INDIRECT(ADDRESS(2,COLUMN())),OFFSET($BN$2,0,0,ROW()-1,60),ROW()-1,FALSE))</f>
        <v>29.012207979999999</v>
      </c>
      <c r="AP624">
        <f ca="1">IF(AND(ISNUMBER($AP$1281),$B$677=1),$AP$1281,HLOOKUP(INDIRECT(ADDRESS(2,COLUMN())),OFFSET($BN$2,0,0,ROW()-1,60),ROW()-1,FALSE))</f>
        <v>28.51736768</v>
      </c>
      <c r="AQ624">
        <f ca="1">IF(AND(ISNUMBER($AQ$1281),$B$677=1),$AQ$1281,HLOOKUP(INDIRECT(ADDRESS(2,COLUMN())),OFFSET($BN$2,0,0,ROW()-1,60),ROW()-1,FALSE))</f>
        <v>32.306968570000002</v>
      </c>
      <c r="AR624">
        <f ca="1">IF(AND(ISNUMBER($AR$1281),$B$677=1),$AR$1281,HLOOKUP(INDIRECT(ADDRESS(2,COLUMN())),OFFSET($BN$2,0,0,ROW()-1,60),ROW()-1,FALSE))</f>
        <v>25.35470347</v>
      </c>
      <c r="AS624">
        <f ca="1">IF(AND(ISNUMBER($AS$1281),$B$677=1),$AS$1281,HLOOKUP(INDIRECT(ADDRESS(2,COLUMN())),OFFSET($BN$2,0,0,ROW()-1,60),ROW()-1,FALSE))</f>
        <v>58.225258179999997</v>
      </c>
      <c r="AT624">
        <f ca="1">IF(AND(ISNUMBER($AT$1281),$B$677=1),$AT$1281,HLOOKUP(INDIRECT(ADDRESS(2,COLUMN())),OFFSET($BN$2,0,0,ROW()-1,60),ROW()-1,FALSE))</f>
        <v>81.408292250000002</v>
      </c>
      <c r="AU624">
        <f ca="1">IF(AND(ISNUMBER($AU$1281),$B$677=1),$AU$1281,HLOOKUP(INDIRECT(ADDRESS(2,COLUMN())),OFFSET($BN$2,0,0,ROW()-1,60),ROW()-1,FALSE))</f>
        <v>78.244740859999993</v>
      </c>
      <c r="AV624">
        <f ca="1">IF(AND(ISNUMBER($AV$1281),$B$677=1),$AV$1281,HLOOKUP(INDIRECT(ADDRESS(2,COLUMN())),OFFSET($BN$2,0,0,ROW()-1,60),ROW()-1,FALSE))</f>
        <v>72.775572560000001</v>
      </c>
      <c r="AW624">
        <f ca="1">IF(AND(ISNUMBER($AW$1281),$B$677=1),$AW$1281,HLOOKUP(INDIRECT(ADDRESS(2,COLUMN())),OFFSET($BN$2,0,0,ROW()-1,60),ROW()-1,FALSE))</f>
        <v>41.973931210000003</v>
      </c>
      <c r="AX624">
        <f ca="1">IF(AND(ISNUMBER($AX$1281),$B$677=1),$AX$1281,HLOOKUP(INDIRECT(ADDRESS(2,COLUMN())),OFFSET($BN$2,0,0,ROW()-1,60),ROW()-1,FALSE))</f>
        <v>31.60247459</v>
      </c>
      <c r="AY624">
        <f ca="1">IF(AND(ISNUMBER($AY$1281),$B$677=1),$AY$1281,HLOOKUP(INDIRECT(ADDRESS(2,COLUMN())),OFFSET($BN$2,0,0,ROW()-1,60),ROW()-1,FALSE))</f>
        <v>27.263029759999998</v>
      </c>
      <c r="AZ624">
        <f ca="1">IF(AND(ISNUMBER($AZ$1281),$B$677=1),$AZ$1281,HLOOKUP(INDIRECT(ADDRESS(2,COLUMN())),OFFSET($BN$2,0,0,ROW()-1,60),ROW()-1,FALSE))</f>
        <v>16.70500835</v>
      </c>
      <c r="BA624">
        <f ca="1">IF(AND(ISNUMBER($BA$1281),$B$677=1),$BA$1281,HLOOKUP(INDIRECT(ADDRESS(2,COLUMN())),OFFSET($BN$2,0,0,ROW()-1,60),ROW()-1,FALSE))</f>
        <v>15.41704223</v>
      </c>
      <c r="BB624">
        <f ca="1">IF(AND(ISNUMBER($BB$1281),$B$677=1),$BB$1281,HLOOKUP(INDIRECT(ADDRESS(2,COLUMN())),OFFSET($BN$2,0,0,ROW()-1,60),ROW()-1,FALSE))</f>
        <v>18.903019879999999</v>
      </c>
      <c r="BC624">
        <f ca="1">IF(AND(ISNUMBER($BC$1281),$B$677=1),$BC$1281,HLOOKUP(INDIRECT(ADDRESS(2,COLUMN())),OFFSET($BN$2,0,0,ROW()-1,60),ROW()-1,FALSE))</f>
        <v>19.82596032</v>
      </c>
      <c r="BD624">
        <f ca="1">IF(AND(ISNUMBER($BD$1281),$B$677=1),$BD$1281,HLOOKUP(INDIRECT(ADDRESS(2,COLUMN())),OFFSET($BN$2,0,0,ROW()-1,60),ROW()-1,FALSE))</f>
        <v>21.757115460000001</v>
      </c>
      <c r="BE624">
        <f ca="1">IF(AND(ISNUMBER($BE$1281),$B$677=1),$BE$1281,HLOOKUP(INDIRECT(ADDRESS(2,COLUMN())),OFFSET($BN$2,0,0,ROW()-1,60),ROW()-1,FALSE))</f>
        <v>28.458088870000001</v>
      </c>
      <c r="BF624">
        <f ca="1">IF(AND(ISNUMBER($BF$1281),$B$677=1),$BF$1281,HLOOKUP(INDIRECT(ADDRESS(2,COLUMN())),OFFSET($BN$2,0,0,ROW()-1,60),ROW()-1,FALSE))</f>
        <v>22.537933769999999</v>
      </c>
      <c r="BG624">
        <f ca="1">IF(AND(ISNUMBER($BG$1281),$B$677=1),$BG$1281,HLOOKUP(INDIRECT(ADDRESS(2,COLUMN())),OFFSET($BN$2,0,0,ROW()-1,60),ROW()-1,FALSE))</f>
        <v>27.54506937</v>
      </c>
      <c r="BH624" t="str">
        <f ca="1">IF(AND(ISNUMBER($BH$1281),$B$677=1),$BH$1281,HLOOKUP(INDIRECT(ADDRESS(2,COLUMN())),OFFSET($BN$2,0,0,ROW()-1,60),ROW()-1,FALSE))</f>
        <v/>
      </c>
      <c r="BI624" t="str">
        <f ca="1">IF(AND(ISNUMBER($BI$1281),$B$677=1),$BI$1281,HLOOKUP(INDIRECT(ADDRESS(2,COLUMN())),OFFSET($BN$2,0,0,ROW()-1,60),ROW()-1,FALSE))</f>
        <v/>
      </c>
      <c r="BJ624" t="str">
        <f ca="1">IF(AND(ISNUMBER($BJ$1281),$B$677=1),$BJ$1281,HLOOKUP(INDIRECT(ADDRESS(2,COLUMN())),OFFSET($BN$2,0,0,ROW()-1,60),ROW()-1,FALSE))</f>
        <v/>
      </c>
      <c r="BK624" t="str">
        <f ca="1">IF(AND(ISNUMBER($BK$1281),$B$677=1),$BK$1281,HLOOKUP(INDIRECT(ADDRESS(2,COLUMN())),OFFSET($BN$2,0,0,ROW()-1,60),ROW()-1,FALSE))</f>
        <v/>
      </c>
      <c r="BL624" t="str">
        <f ca="1">IF(AND(ISNUMBER($BL$1281),$B$677=1),$BL$1281,HLOOKUP(INDIRECT(ADDRESS(2,COLUMN())),OFFSET($BN$2,0,0,ROW()-1,60),ROW()-1,FALSE))</f>
        <v/>
      </c>
      <c r="BM624" t="str">
        <f ca="1">IF(AND(ISNUMBER($BM$1281),$B$677=1),$BM$1281,HLOOKUP(INDIRECT(ADDRESS(2,COLUMN())),OFFSET($BN$2,0,0,ROW()-1,60),ROW()-1,FALSE))</f>
        <v/>
      </c>
      <c r="BN624">
        <f>-7.514909785</f>
        <v>-7.5149097850000004</v>
      </c>
      <c r="BO624">
        <f>-7.762828474</f>
        <v>-7.762828474</v>
      </c>
      <c r="BP624">
        <f>-7.086959625</f>
        <v>-7.0869596250000004</v>
      </c>
      <c r="BQ624">
        <f>-4.8715081</f>
        <v>-4.8715080999999998</v>
      </c>
      <c r="BR624">
        <f>-5.226378942</f>
        <v>-5.2263789420000002</v>
      </c>
      <c r="BS624">
        <f>-5.442942104</f>
        <v>-5.4429421040000001</v>
      </c>
      <c r="BT624">
        <f>-1.84668024</f>
        <v>-1.84668024</v>
      </c>
      <c r="BU624">
        <f>-5.154757149</f>
        <v>-5.1547571489999999</v>
      </c>
      <c r="BV624">
        <f>-4.859527211</f>
        <v>-4.8595272109999996</v>
      </c>
      <c r="BW624">
        <f>-4.821316052</f>
        <v>-4.8213160520000002</v>
      </c>
      <c r="BX624">
        <f>-8.689967145</f>
        <v>-8.6899671450000007</v>
      </c>
      <c r="BY624">
        <f>-9.980840033</f>
        <v>-9.9808400329999998</v>
      </c>
      <c r="BZ624">
        <f>-11.7775258</f>
        <v>-11.777525799999999</v>
      </c>
      <c r="CA624">
        <f>-8.243956492</f>
        <v>-8.2439564920000006</v>
      </c>
      <c r="CB624">
        <f>-8.894149767</f>
        <v>-8.894149767</v>
      </c>
      <c r="CC624">
        <f>-6.350310735</f>
        <v>-6.3503107349999999</v>
      </c>
      <c r="CD624">
        <f>-4.418938883</f>
        <v>-4.418938883</v>
      </c>
      <c r="CE624">
        <f>-5.756354751</f>
        <v>-5.7563547509999999</v>
      </c>
      <c r="CF624">
        <f>-5.126647807</f>
        <v>-5.1266478070000003</v>
      </c>
      <c r="CG624">
        <f>-5.477167267</f>
        <v>-5.4771672669999996</v>
      </c>
      <c r="CH624">
        <f>-3.374174977</f>
        <v>-3.374174977</v>
      </c>
      <c r="CI624">
        <f>-4.88025655</f>
        <v>-4.8802565500000004</v>
      </c>
      <c r="CJ624">
        <f>-3.903006221</f>
        <v>-3.9030062210000001</v>
      </c>
      <c r="CK624">
        <f>-5.6550917</f>
        <v>-5.6550916999999998</v>
      </c>
      <c r="CL624">
        <f>-5.593842981</f>
        <v>-5.5938429809999999</v>
      </c>
      <c r="CM624">
        <f>-0.472961826</f>
        <v>-0.47296182599999997</v>
      </c>
      <c r="CN624">
        <f>-5.345778351</f>
        <v>-5.3457783509999999</v>
      </c>
      <c r="CO624">
        <f>2.046282313</f>
        <v>2.0462823129999999</v>
      </c>
      <c r="CP624">
        <f>4.693440753</f>
        <v>4.693440753</v>
      </c>
      <c r="CQ624">
        <f>6.05423926</f>
        <v>6.0542392600000001</v>
      </c>
      <c r="CR624">
        <f>-2.988787079</f>
        <v>-2.9887870790000002</v>
      </c>
      <c r="CS624">
        <f>-0.441239969</f>
        <v>-0.44123996900000001</v>
      </c>
      <c r="CT624">
        <f>3.34507879</f>
        <v>3.3450787900000001</v>
      </c>
      <c r="CU624">
        <f>2.369630832</f>
        <v>2.3696308319999999</v>
      </c>
      <c r="CV624">
        <f>25.06246628</f>
        <v>25.062466279999999</v>
      </c>
      <c r="CW624">
        <f>29.01220798</f>
        <v>29.012207979999999</v>
      </c>
      <c r="CX624">
        <f>28.51736768</f>
        <v>28.51736768</v>
      </c>
      <c r="CY624">
        <f>32.30696857</f>
        <v>32.306968570000002</v>
      </c>
      <c r="CZ624">
        <f>25.35470347</f>
        <v>25.35470347</v>
      </c>
      <c r="DA624">
        <f>58.22525818</f>
        <v>58.225258179999997</v>
      </c>
      <c r="DB624">
        <f>81.40829225</f>
        <v>81.408292250000002</v>
      </c>
      <c r="DC624">
        <f>78.24474086</f>
        <v>78.244740859999993</v>
      </c>
      <c r="DD624">
        <f>72.77557256</f>
        <v>72.775572560000001</v>
      </c>
      <c r="DE624">
        <f>41.97393121</f>
        <v>41.973931210000003</v>
      </c>
      <c r="DF624">
        <f>31.60247459</f>
        <v>31.60247459</v>
      </c>
      <c r="DG624">
        <f>27.26302976</f>
        <v>27.263029759999998</v>
      </c>
      <c r="DH624">
        <f>16.70500835</f>
        <v>16.70500835</v>
      </c>
      <c r="DI624">
        <f>15.41704223</f>
        <v>15.41704223</v>
      </c>
      <c r="DJ624">
        <f>18.90301988</f>
        <v>18.903019879999999</v>
      </c>
      <c r="DK624">
        <f>19.82596032</f>
        <v>19.82596032</v>
      </c>
      <c r="DL624">
        <f>21.75711546</f>
        <v>21.757115460000001</v>
      </c>
      <c r="DM624">
        <f>28.45808887</f>
        <v>28.458088870000001</v>
      </c>
      <c r="DN624">
        <f>22.53793377</f>
        <v>22.537933769999999</v>
      </c>
      <c r="DO624">
        <f>27.54506937</f>
        <v>27.54506937</v>
      </c>
      <c r="DP624" t="str">
        <f>""</f>
        <v/>
      </c>
      <c r="DQ624" t="str">
        <f>""</f>
        <v/>
      </c>
      <c r="DR624" t="str">
        <f>""</f>
        <v/>
      </c>
      <c r="DS624" t="str">
        <f>""</f>
        <v/>
      </c>
      <c r="DT624" t="str">
        <f>""</f>
        <v/>
      </c>
      <c r="DU624" t="str">
        <f>""</f>
        <v/>
      </c>
    </row>
    <row r="625" spans="1:125" x14ac:dyDescent="0.25">
      <c r="A625" t="str">
        <f>"    Brilliance China Automotive Holdings Ltd"</f>
        <v xml:space="preserve">    Brilliance China Automotive Holdings Ltd</v>
      </c>
      <c r="B625" t="str">
        <f>"1114 HK Equity"</f>
        <v>1114 HK Equity</v>
      </c>
      <c r="C625" t="str">
        <f t="shared" si="45"/>
        <v>RX539</v>
      </c>
      <c r="D625" t="str">
        <f t="shared" si="46"/>
        <v>T12_FCF_YIELD</v>
      </c>
      <c r="E625" t="str">
        <f t="shared" si="47"/>
        <v>Dynamic</v>
      </c>
      <c r="F625" t="str">
        <f ca="1">IF(AND(ISNUMBER($F$1282),$B$677=1),$F$1282,HLOOKUP(INDIRECT(ADDRESS(2,COLUMN())),OFFSET($BN$2,0,0,ROW()-1,60),ROW()-1,FALSE))</f>
        <v/>
      </c>
      <c r="G625" t="str">
        <f ca="1">IF(AND(ISNUMBER($G$1282),$B$677=1),$G$1282,HLOOKUP(INDIRECT(ADDRESS(2,COLUMN())),OFFSET($BN$2,0,0,ROW()-1,60),ROW()-1,FALSE))</f>
        <v/>
      </c>
      <c r="H625" t="str">
        <f ca="1">IF(AND(ISNUMBER($H$1282),$B$677=1),$H$1282,HLOOKUP(INDIRECT(ADDRESS(2,COLUMN())),OFFSET($BN$2,0,0,ROW()-1,60),ROW()-1,FALSE))</f>
        <v/>
      </c>
      <c r="I625" t="str">
        <f ca="1">IF(AND(ISNUMBER($I$1282),$B$677=1),$I$1282,HLOOKUP(INDIRECT(ADDRESS(2,COLUMN())),OFFSET($BN$2,0,0,ROW()-1,60),ROW()-1,FALSE))</f>
        <v/>
      </c>
      <c r="J625" t="str">
        <f ca="1">IF(AND(ISNUMBER($J$1282),$B$677=1),$J$1282,HLOOKUP(INDIRECT(ADDRESS(2,COLUMN())),OFFSET($BN$2,0,0,ROW()-1,60),ROW()-1,FALSE))</f>
        <v/>
      </c>
      <c r="K625" t="str">
        <f ca="1">IF(AND(ISNUMBER($K$1282),$B$677=1),$K$1282,HLOOKUP(INDIRECT(ADDRESS(2,COLUMN())),OFFSET($BN$2,0,0,ROW()-1,60),ROW()-1,FALSE))</f>
        <v/>
      </c>
      <c r="L625" t="str">
        <f ca="1">IF(AND(ISNUMBER($L$1282),$B$677=1),$L$1282,HLOOKUP(INDIRECT(ADDRESS(2,COLUMN())),OFFSET($BN$2,0,0,ROW()-1,60),ROW()-1,FALSE))</f>
        <v/>
      </c>
      <c r="M625" t="str">
        <f ca="1">IF(AND(ISNUMBER($M$1282),$B$677=1),$M$1282,HLOOKUP(INDIRECT(ADDRESS(2,COLUMN())),OFFSET($BN$2,0,0,ROW()-1,60),ROW()-1,FALSE))</f>
        <v/>
      </c>
      <c r="N625" t="str">
        <f ca="1">IF(AND(ISNUMBER($N$1282),$B$677=1),$N$1282,HLOOKUP(INDIRECT(ADDRESS(2,COLUMN())),OFFSET($BN$2,0,0,ROW()-1,60),ROW()-1,FALSE))</f>
        <v/>
      </c>
      <c r="O625" t="str">
        <f ca="1">IF(AND(ISNUMBER($O$1282),$B$677=1),$O$1282,HLOOKUP(INDIRECT(ADDRESS(2,COLUMN())),OFFSET($BN$2,0,0,ROW()-1,60),ROW()-1,FALSE))</f>
        <v/>
      </c>
      <c r="P625" t="str">
        <f ca="1">IF(AND(ISNUMBER($P$1282),$B$677=1),$P$1282,HLOOKUP(INDIRECT(ADDRESS(2,COLUMN())),OFFSET($BN$2,0,0,ROW()-1,60),ROW()-1,FALSE))</f>
        <v/>
      </c>
      <c r="Q625" t="str">
        <f ca="1">IF(AND(ISNUMBER($Q$1282),$B$677=1),$Q$1282,HLOOKUP(INDIRECT(ADDRESS(2,COLUMN())),OFFSET($BN$2,0,0,ROW()-1,60),ROW()-1,FALSE))</f>
        <v/>
      </c>
      <c r="R625" t="str">
        <f ca="1">IF(AND(ISNUMBER($R$1282),$B$677=1),$R$1282,HLOOKUP(INDIRECT(ADDRESS(2,COLUMN())),OFFSET($BN$2,0,0,ROW()-1,60),ROW()-1,FALSE))</f>
        <v/>
      </c>
      <c r="S625" t="str">
        <f ca="1">IF(AND(ISNUMBER($S$1282),$B$677=1),$S$1282,HLOOKUP(INDIRECT(ADDRESS(2,COLUMN())),OFFSET($BN$2,0,0,ROW()-1,60),ROW()-1,FALSE))</f>
        <v/>
      </c>
      <c r="T625" t="str">
        <f ca="1">IF(AND(ISNUMBER($T$1282),$B$677=1),$T$1282,HLOOKUP(INDIRECT(ADDRESS(2,COLUMN())),OFFSET($BN$2,0,0,ROW()-1,60),ROW()-1,FALSE))</f>
        <v/>
      </c>
      <c r="U625" t="str">
        <f ca="1">IF(AND(ISNUMBER($U$1282),$B$677=1),$U$1282,HLOOKUP(INDIRECT(ADDRESS(2,COLUMN())),OFFSET($BN$2,0,0,ROW()-1,60),ROW()-1,FALSE))</f>
        <v/>
      </c>
      <c r="V625" t="str">
        <f ca="1">IF(AND(ISNUMBER($V$1282),$B$677=1),$V$1282,HLOOKUP(INDIRECT(ADDRESS(2,COLUMN())),OFFSET($BN$2,0,0,ROW()-1,60),ROW()-1,FALSE))</f>
        <v/>
      </c>
      <c r="W625" t="str">
        <f ca="1">IF(AND(ISNUMBER($W$1282),$B$677=1),$W$1282,HLOOKUP(INDIRECT(ADDRESS(2,COLUMN())),OFFSET($BN$2,0,0,ROW()-1,60),ROW()-1,FALSE))</f>
        <v/>
      </c>
      <c r="X625" t="str">
        <f ca="1">IF(AND(ISNUMBER($X$1282),$B$677=1),$X$1282,HLOOKUP(INDIRECT(ADDRESS(2,COLUMN())),OFFSET($BN$2,0,0,ROW()-1,60),ROW()-1,FALSE))</f>
        <v/>
      </c>
      <c r="Y625" t="str">
        <f ca="1">IF(AND(ISNUMBER($Y$1282),$B$677=1),$Y$1282,HLOOKUP(INDIRECT(ADDRESS(2,COLUMN())),OFFSET($BN$2,0,0,ROW()-1,60),ROW()-1,FALSE))</f>
        <v/>
      </c>
      <c r="Z625" t="str">
        <f ca="1">IF(AND(ISNUMBER($Z$1282),$B$677=1),$Z$1282,HLOOKUP(INDIRECT(ADDRESS(2,COLUMN())),OFFSET($BN$2,0,0,ROW()-1,60),ROW()-1,FALSE))</f>
        <v/>
      </c>
      <c r="AA625" t="str">
        <f ca="1">IF(AND(ISNUMBER($AA$1282),$B$677=1),$AA$1282,HLOOKUP(INDIRECT(ADDRESS(2,COLUMN())),OFFSET($BN$2,0,0,ROW()-1,60),ROW()-1,FALSE))</f>
        <v/>
      </c>
      <c r="AB625" t="str">
        <f ca="1">IF(AND(ISNUMBER($AB$1282),$B$677=1),$AB$1282,HLOOKUP(INDIRECT(ADDRESS(2,COLUMN())),OFFSET($BN$2,0,0,ROW()-1,60),ROW()-1,FALSE))</f>
        <v/>
      </c>
      <c r="AC625" t="str">
        <f ca="1">IF(AND(ISNUMBER($AC$1282),$B$677=1),$AC$1282,HLOOKUP(INDIRECT(ADDRESS(2,COLUMN())),OFFSET($BN$2,0,0,ROW()-1,60),ROW()-1,FALSE))</f>
        <v/>
      </c>
      <c r="AD625" t="str">
        <f ca="1">IF(AND(ISNUMBER($AD$1282),$B$677=1),$AD$1282,HLOOKUP(INDIRECT(ADDRESS(2,COLUMN())),OFFSET($BN$2,0,0,ROW()-1,60),ROW()-1,FALSE))</f>
        <v/>
      </c>
      <c r="AE625" t="str">
        <f ca="1">IF(AND(ISNUMBER($AE$1282),$B$677=1),$AE$1282,HLOOKUP(INDIRECT(ADDRESS(2,COLUMN())),OFFSET($BN$2,0,0,ROW()-1,60),ROW()-1,FALSE))</f>
        <v/>
      </c>
      <c r="AF625" t="str">
        <f ca="1">IF(AND(ISNUMBER($AF$1282),$B$677=1),$AF$1282,HLOOKUP(INDIRECT(ADDRESS(2,COLUMN())),OFFSET($BN$2,0,0,ROW()-1,60),ROW()-1,FALSE))</f>
        <v/>
      </c>
      <c r="AG625" t="str">
        <f ca="1">IF(AND(ISNUMBER($AG$1282),$B$677=1),$AG$1282,HLOOKUP(INDIRECT(ADDRESS(2,COLUMN())),OFFSET($BN$2,0,0,ROW()-1,60),ROW()-1,FALSE))</f>
        <v/>
      </c>
      <c r="AH625" t="str">
        <f ca="1">IF(AND(ISNUMBER($AH$1282),$B$677=1),$AH$1282,HLOOKUP(INDIRECT(ADDRESS(2,COLUMN())),OFFSET($BN$2,0,0,ROW()-1,60),ROW()-1,FALSE))</f>
        <v/>
      </c>
      <c r="AI625" t="str">
        <f ca="1">IF(AND(ISNUMBER($AI$1282),$B$677=1),$AI$1282,HLOOKUP(INDIRECT(ADDRESS(2,COLUMN())),OFFSET($BN$2,0,0,ROW()-1,60),ROW()-1,FALSE))</f>
        <v/>
      </c>
      <c r="AJ625" t="str">
        <f ca="1">IF(AND(ISNUMBER($AJ$1282),$B$677=1),$AJ$1282,HLOOKUP(INDIRECT(ADDRESS(2,COLUMN())),OFFSET($BN$2,0,0,ROW()-1,60),ROW()-1,FALSE))</f>
        <v/>
      </c>
      <c r="AK625" t="str">
        <f ca="1">IF(AND(ISNUMBER($AK$1282),$B$677=1),$AK$1282,HLOOKUP(INDIRECT(ADDRESS(2,COLUMN())),OFFSET($BN$2,0,0,ROW()-1,60),ROW()-1,FALSE))</f>
        <v/>
      </c>
      <c r="AL625" t="str">
        <f ca="1">IF(AND(ISNUMBER($AL$1282),$B$677=1),$AL$1282,HLOOKUP(INDIRECT(ADDRESS(2,COLUMN())),OFFSET($BN$2,0,0,ROW()-1,60),ROW()-1,FALSE))</f>
        <v/>
      </c>
      <c r="AM625" t="str">
        <f ca="1">IF(AND(ISNUMBER($AM$1282),$B$677=1),$AM$1282,HLOOKUP(INDIRECT(ADDRESS(2,COLUMN())),OFFSET($BN$2,0,0,ROW()-1,60),ROW()-1,FALSE))</f>
        <v/>
      </c>
      <c r="AN625" t="str">
        <f ca="1">IF(AND(ISNUMBER($AN$1282),$B$677=1),$AN$1282,HLOOKUP(INDIRECT(ADDRESS(2,COLUMN())),OFFSET($BN$2,0,0,ROW()-1,60),ROW()-1,FALSE))</f>
        <v/>
      </c>
      <c r="AO625" t="str">
        <f ca="1">IF(AND(ISNUMBER($AO$1282),$B$677=1),$AO$1282,HLOOKUP(INDIRECT(ADDRESS(2,COLUMN())),OFFSET($BN$2,0,0,ROW()-1,60),ROW()-1,FALSE))</f>
        <v/>
      </c>
      <c r="AP625" t="str">
        <f ca="1">IF(AND(ISNUMBER($AP$1282),$B$677=1),$AP$1282,HLOOKUP(INDIRECT(ADDRESS(2,COLUMN())),OFFSET($BN$2,0,0,ROW()-1,60),ROW()-1,FALSE))</f>
        <v/>
      </c>
      <c r="AQ625" t="str">
        <f ca="1">IF(AND(ISNUMBER($AQ$1282),$B$677=1),$AQ$1282,HLOOKUP(INDIRECT(ADDRESS(2,COLUMN())),OFFSET($BN$2,0,0,ROW()-1,60),ROW()-1,FALSE))</f>
        <v/>
      </c>
      <c r="AR625" t="str">
        <f ca="1">IF(AND(ISNUMBER($AR$1282),$B$677=1),$AR$1282,HLOOKUP(INDIRECT(ADDRESS(2,COLUMN())),OFFSET($BN$2,0,0,ROW()-1,60),ROW()-1,FALSE))</f>
        <v/>
      </c>
      <c r="AS625" t="str">
        <f ca="1">IF(AND(ISNUMBER($AS$1282),$B$677=1),$AS$1282,HLOOKUP(INDIRECT(ADDRESS(2,COLUMN())),OFFSET($BN$2,0,0,ROW()-1,60),ROW()-1,FALSE))</f>
        <v/>
      </c>
      <c r="AT625" t="str">
        <f ca="1">IF(AND(ISNUMBER($AT$1282),$B$677=1),$AT$1282,HLOOKUP(INDIRECT(ADDRESS(2,COLUMN())),OFFSET($BN$2,0,0,ROW()-1,60),ROW()-1,FALSE))</f>
        <v/>
      </c>
      <c r="AU625" t="str">
        <f ca="1">IF(AND(ISNUMBER($AU$1282),$B$677=1),$AU$1282,HLOOKUP(INDIRECT(ADDRESS(2,COLUMN())),OFFSET($BN$2,0,0,ROW()-1,60),ROW()-1,FALSE))</f>
        <v/>
      </c>
      <c r="AV625" t="str">
        <f ca="1">IF(AND(ISNUMBER($AV$1282),$B$677=1),$AV$1282,HLOOKUP(INDIRECT(ADDRESS(2,COLUMN())),OFFSET($BN$2,0,0,ROW()-1,60),ROW()-1,FALSE))</f>
        <v/>
      </c>
      <c r="AW625" t="str">
        <f ca="1">IF(AND(ISNUMBER($AW$1282),$B$677=1),$AW$1282,HLOOKUP(INDIRECT(ADDRESS(2,COLUMN())),OFFSET($BN$2,0,0,ROW()-1,60),ROW()-1,FALSE))</f>
        <v/>
      </c>
      <c r="AX625" t="str">
        <f ca="1">IF(AND(ISNUMBER($AX$1282),$B$677=1),$AX$1282,HLOOKUP(INDIRECT(ADDRESS(2,COLUMN())),OFFSET($BN$2,0,0,ROW()-1,60),ROW()-1,FALSE))</f>
        <v/>
      </c>
      <c r="AY625" t="str">
        <f ca="1">IF(AND(ISNUMBER($AY$1282),$B$677=1),$AY$1282,HLOOKUP(INDIRECT(ADDRESS(2,COLUMN())),OFFSET($BN$2,0,0,ROW()-1,60),ROW()-1,FALSE))</f>
        <v/>
      </c>
      <c r="AZ625" t="str">
        <f ca="1">IF(AND(ISNUMBER($AZ$1282),$B$677=1),$AZ$1282,HLOOKUP(INDIRECT(ADDRESS(2,COLUMN())),OFFSET($BN$2,0,0,ROW()-1,60),ROW()-1,FALSE))</f>
        <v/>
      </c>
      <c r="BA625" t="str">
        <f ca="1">IF(AND(ISNUMBER($BA$1282),$B$677=1),$BA$1282,HLOOKUP(INDIRECT(ADDRESS(2,COLUMN())),OFFSET($BN$2,0,0,ROW()-1,60),ROW()-1,FALSE))</f>
        <v/>
      </c>
      <c r="BB625" t="str">
        <f ca="1">IF(AND(ISNUMBER($BB$1282),$B$677=1),$BB$1282,HLOOKUP(INDIRECT(ADDRESS(2,COLUMN())),OFFSET($BN$2,0,0,ROW()-1,60),ROW()-1,FALSE))</f>
        <v/>
      </c>
      <c r="BC625" t="str">
        <f ca="1">IF(AND(ISNUMBER($BC$1282),$B$677=1),$BC$1282,HLOOKUP(INDIRECT(ADDRESS(2,COLUMN())),OFFSET($BN$2,0,0,ROW()-1,60),ROW()-1,FALSE))</f>
        <v/>
      </c>
      <c r="BD625" t="str">
        <f ca="1">IF(AND(ISNUMBER($BD$1282),$B$677=1),$BD$1282,HLOOKUP(INDIRECT(ADDRESS(2,COLUMN())),OFFSET($BN$2,0,0,ROW()-1,60),ROW()-1,FALSE))</f>
        <v/>
      </c>
      <c r="BE625" t="str">
        <f ca="1">IF(AND(ISNUMBER($BE$1282),$B$677=1),$BE$1282,HLOOKUP(INDIRECT(ADDRESS(2,COLUMN())),OFFSET($BN$2,0,0,ROW()-1,60),ROW()-1,FALSE))</f>
        <v/>
      </c>
      <c r="BF625" t="str">
        <f ca="1">IF(AND(ISNUMBER($BF$1282),$B$677=1),$BF$1282,HLOOKUP(INDIRECT(ADDRESS(2,COLUMN())),OFFSET($BN$2,0,0,ROW()-1,60),ROW()-1,FALSE))</f>
        <v/>
      </c>
      <c r="BG625" t="str">
        <f ca="1">IF(AND(ISNUMBER($BG$1282),$B$677=1),$BG$1282,HLOOKUP(INDIRECT(ADDRESS(2,COLUMN())),OFFSET($BN$2,0,0,ROW()-1,60),ROW()-1,FALSE))</f>
        <v/>
      </c>
      <c r="BH625" t="str">
        <f ca="1">IF(AND(ISNUMBER($BH$1282),$B$677=1),$BH$1282,HLOOKUP(INDIRECT(ADDRESS(2,COLUMN())),OFFSET($BN$2,0,0,ROW()-1,60),ROW()-1,FALSE))</f>
        <v/>
      </c>
      <c r="BI625" t="str">
        <f ca="1">IF(AND(ISNUMBER($BI$1282),$B$677=1),$BI$1282,HLOOKUP(INDIRECT(ADDRESS(2,COLUMN())),OFFSET($BN$2,0,0,ROW()-1,60),ROW()-1,FALSE))</f>
        <v/>
      </c>
      <c r="BJ625" t="str">
        <f ca="1">IF(AND(ISNUMBER($BJ$1282),$B$677=1),$BJ$1282,HLOOKUP(INDIRECT(ADDRESS(2,COLUMN())),OFFSET($BN$2,0,0,ROW()-1,60),ROW()-1,FALSE))</f>
        <v/>
      </c>
      <c r="BK625" t="str">
        <f ca="1">IF(AND(ISNUMBER($BK$1282),$B$677=1),$BK$1282,HLOOKUP(INDIRECT(ADDRESS(2,COLUMN())),OFFSET($BN$2,0,0,ROW()-1,60),ROW()-1,FALSE))</f>
        <v/>
      </c>
      <c r="BL625" t="str">
        <f ca="1">IF(AND(ISNUMBER($BL$1282),$B$677=1),$BL$1282,HLOOKUP(INDIRECT(ADDRESS(2,COLUMN())),OFFSET($BN$2,0,0,ROW()-1,60),ROW()-1,FALSE))</f>
        <v/>
      </c>
      <c r="BM625" t="str">
        <f ca="1">IF(AND(ISNUMBER($BM$1282),$B$677=1),$BM$1282,HLOOKUP(INDIRECT(ADDRESS(2,COLUMN())),OFFSET($BN$2,0,0,ROW()-1,60),ROW()-1,FALSE))</f>
        <v/>
      </c>
      <c r="BN625" t="str">
        <f>""</f>
        <v/>
      </c>
      <c r="BO625" t="str">
        <f>""</f>
        <v/>
      </c>
      <c r="BP625" t="str">
        <f>""</f>
        <v/>
      </c>
      <c r="BQ625" t="str">
        <f>""</f>
        <v/>
      </c>
      <c r="BR625" t="str">
        <f>""</f>
        <v/>
      </c>
      <c r="BS625" t="str">
        <f>""</f>
        <v/>
      </c>
      <c r="BT625" t="str">
        <f>""</f>
        <v/>
      </c>
      <c r="BU625" t="str">
        <f>""</f>
        <v/>
      </c>
      <c r="BV625" t="str">
        <f>""</f>
        <v/>
      </c>
      <c r="BW625" t="str">
        <f>""</f>
        <v/>
      </c>
      <c r="BX625" t="str">
        <f>""</f>
        <v/>
      </c>
      <c r="BY625" t="str">
        <f>""</f>
        <v/>
      </c>
      <c r="BZ625" t="str">
        <f>""</f>
        <v/>
      </c>
      <c r="CA625" t="str">
        <f>""</f>
        <v/>
      </c>
      <c r="CB625" t="str">
        <f>""</f>
        <v/>
      </c>
      <c r="CC625" t="str">
        <f>""</f>
        <v/>
      </c>
      <c r="CD625" t="str">
        <f>""</f>
        <v/>
      </c>
      <c r="CE625" t="str">
        <f>""</f>
        <v/>
      </c>
      <c r="CF625" t="str">
        <f>""</f>
        <v/>
      </c>
      <c r="CG625" t="str">
        <f>""</f>
        <v/>
      </c>
      <c r="CH625" t="str">
        <f>""</f>
        <v/>
      </c>
      <c r="CI625" t="str">
        <f>""</f>
        <v/>
      </c>
      <c r="CJ625" t="str">
        <f>""</f>
        <v/>
      </c>
      <c r="CK625" t="str">
        <f>""</f>
        <v/>
      </c>
      <c r="CL625" t="str">
        <f>""</f>
        <v/>
      </c>
      <c r="CM625" t="str">
        <f>""</f>
        <v/>
      </c>
      <c r="CN625" t="str">
        <f>""</f>
        <v/>
      </c>
      <c r="CO625" t="str">
        <f>""</f>
        <v/>
      </c>
      <c r="CP625" t="str">
        <f>""</f>
        <v/>
      </c>
      <c r="CQ625" t="str">
        <f>""</f>
        <v/>
      </c>
      <c r="CR625" t="str">
        <f>""</f>
        <v/>
      </c>
      <c r="CS625" t="str">
        <f>""</f>
        <v/>
      </c>
      <c r="CT625" t="str">
        <f>""</f>
        <v/>
      </c>
      <c r="CU625" t="str">
        <f>""</f>
        <v/>
      </c>
      <c r="CV625" t="str">
        <f>""</f>
        <v/>
      </c>
      <c r="CW625" t="str">
        <f>""</f>
        <v/>
      </c>
      <c r="CX625" t="str">
        <f>""</f>
        <v/>
      </c>
      <c r="CY625" t="str">
        <f>""</f>
        <v/>
      </c>
      <c r="CZ625" t="str">
        <f>""</f>
        <v/>
      </c>
      <c r="DA625" t="str">
        <f>""</f>
        <v/>
      </c>
      <c r="DB625" t="str">
        <f>""</f>
        <v/>
      </c>
      <c r="DC625" t="str">
        <f>""</f>
        <v/>
      </c>
      <c r="DD625" t="str">
        <f>""</f>
        <v/>
      </c>
      <c r="DE625" t="str">
        <f>""</f>
        <v/>
      </c>
      <c r="DF625" t="str">
        <f>""</f>
        <v/>
      </c>
      <c r="DG625" t="str">
        <f>""</f>
        <v/>
      </c>
      <c r="DH625" t="str">
        <f>""</f>
        <v/>
      </c>
      <c r="DI625" t="str">
        <f>""</f>
        <v/>
      </c>
      <c r="DJ625" t="str">
        <f>""</f>
        <v/>
      </c>
      <c r="DK625" t="str">
        <f>""</f>
        <v/>
      </c>
      <c r="DL625" t="str">
        <f>""</f>
        <v/>
      </c>
      <c r="DM625" t="str">
        <f>""</f>
        <v/>
      </c>
      <c r="DN625" t="str">
        <f>""</f>
        <v/>
      </c>
      <c r="DO625" t="str">
        <f>""</f>
        <v/>
      </c>
      <c r="DP625" t="str">
        <f>""</f>
        <v/>
      </c>
      <c r="DQ625" t="str">
        <f>""</f>
        <v/>
      </c>
      <c r="DR625" t="str">
        <f>""</f>
        <v/>
      </c>
      <c r="DS625" t="str">
        <f>""</f>
        <v/>
      </c>
      <c r="DT625" t="str">
        <f>""</f>
        <v/>
      </c>
      <c r="DU625" t="str">
        <f>""</f>
        <v/>
      </c>
    </row>
    <row r="626" spans="1:125" x14ac:dyDescent="0.25">
      <c r="A626" t="str">
        <f>"    BYD Co Ltd"</f>
        <v xml:space="preserve">    BYD Co Ltd</v>
      </c>
      <c r="B626" t="str">
        <f>"1211 HK Equity"</f>
        <v>1211 HK Equity</v>
      </c>
      <c r="C626" t="str">
        <f t="shared" si="45"/>
        <v>RX539</v>
      </c>
      <c r="D626" t="str">
        <f t="shared" si="46"/>
        <v>T12_FCF_YIELD</v>
      </c>
      <c r="E626" t="str">
        <f t="shared" si="47"/>
        <v>Dynamic</v>
      </c>
      <c r="F626">
        <f ca="1">IF(AND(ISNUMBER($F$1283),$B$677=1),$F$1283,HLOOKUP(INDIRECT(ADDRESS(2,COLUMN())),OFFSET($BN$2,0,0,ROW()-1,60),ROW()-1,FALSE))</f>
        <v>-6.1165658189999998</v>
      </c>
      <c r="G626">
        <f ca="1">IF(AND(ISNUMBER($G$1283),$B$677=1),$G$1283,HLOOKUP(INDIRECT(ADDRESS(2,COLUMN())),OFFSET($BN$2,0,0,ROW()-1,60),ROW()-1,FALSE))</f>
        <v>-6.1538471860000001</v>
      </c>
      <c r="H626">
        <f ca="1">IF(AND(ISNUMBER($H$1283),$B$677=1),$H$1283,HLOOKUP(INDIRECT(ADDRESS(2,COLUMN())),OFFSET($BN$2,0,0,ROW()-1,60),ROW()-1,FALSE))</f>
        <v>-6.081709193</v>
      </c>
      <c r="I626">
        <f ca="1">IF(AND(ISNUMBER($I$1283),$B$677=1),$I$1283,HLOOKUP(INDIRECT(ADDRESS(2,COLUMN())),OFFSET($BN$2,0,0,ROW()-1,60),ROW()-1,FALSE))</f>
        <v>-8.8163238330000002</v>
      </c>
      <c r="J626">
        <f ca="1">IF(AND(ISNUMBER($J$1283),$B$677=1),$J$1283,HLOOKUP(INDIRECT(ADDRESS(2,COLUMN())),OFFSET($BN$2,0,0,ROW()-1,60),ROW()-1,FALSE))</f>
        <v>-6.5023354089999996</v>
      </c>
      <c r="K626">
        <f ca="1">IF(AND(ISNUMBER($K$1283),$B$677=1),$K$1283,HLOOKUP(INDIRECT(ADDRESS(2,COLUMN())),OFFSET($BN$2,0,0,ROW()-1,60),ROW()-1,FALSE))</f>
        <v>-6.3513087989999999</v>
      </c>
      <c r="L626">
        <f ca="1">IF(AND(ISNUMBER($L$1283),$B$677=1),$L$1283,HLOOKUP(INDIRECT(ADDRESS(2,COLUMN())),OFFSET($BN$2,0,0,ROW()-1,60),ROW()-1,FALSE))</f>
        <v>-8.2355733939999993</v>
      </c>
      <c r="M626">
        <f ca="1">IF(AND(ISNUMBER($M$1283),$B$677=1),$M$1283,HLOOKUP(INDIRECT(ADDRESS(2,COLUMN())),OFFSET($BN$2,0,0,ROW()-1,60),ROW()-1,FALSE))</f>
        <v>-15.30044841</v>
      </c>
      <c r="N626">
        <f ca="1">IF(AND(ISNUMBER($N$1283),$B$677=1),$N$1283,HLOOKUP(INDIRECT(ADDRESS(2,COLUMN())),OFFSET($BN$2,0,0,ROW()-1,60),ROW()-1,FALSE))</f>
        <v>-15.38856163</v>
      </c>
      <c r="O626">
        <f ca="1">IF(AND(ISNUMBER($O$1283),$B$677=1),$O$1283,HLOOKUP(INDIRECT(ADDRESS(2,COLUMN())),OFFSET($BN$2,0,0,ROW()-1,60),ROW()-1,FALSE))</f>
        <v>-13.779698120000001</v>
      </c>
      <c r="P626">
        <f ca="1">IF(AND(ISNUMBER($P$1283),$B$677=1),$P$1283,HLOOKUP(INDIRECT(ADDRESS(2,COLUMN())),OFFSET($BN$2,0,0,ROW()-1,60),ROW()-1,FALSE))</f>
        <v>-8.8068406509999999</v>
      </c>
      <c r="Q626">
        <f ca="1">IF(AND(ISNUMBER($Q$1283),$B$677=1),$Q$1283,HLOOKUP(INDIRECT(ADDRESS(2,COLUMN())),OFFSET($BN$2,0,0,ROW()-1,60),ROW()-1,FALSE))</f>
        <v>-11.819931090000001</v>
      </c>
      <c r="R626">
        <f ca="1">IF(AND(ISNUMBER($R$1283),$B$677=1),$R$1283,HLOOKUP(INDIRECT(ADDRESS(2,COLUMN())),OFFSET($BN$2,0,0,ROW()-1,60),ROW()-1,FALSE))</f>
        <v>-12.459446939999999</v>
      </c>
      <c r="S626">
        <f ca="1">IF(AND(ISNUMBER($S$1283),$B$677=1),$S$1283,HLOOKUP(INDIRECT(ADDRESS(2,COLUMN())),OFFSET($BN$2,0,0,ROW()-1,60),ROW()-1,FALSE))</f>
        <v>-7.6551071420000003</v>
      </c>
      <c r="T626">
        <f ca="1">IF(AND(ISNUMBER($T$1283),$B$677=1),$T$1283,HLOOKUP(INDIRECT(ADDRESS(2,COLUMN())),OFFSET($BN$2,0,0,ROW()-1,60),ROW()-1,FALSE))</f>
        <v>-10.34200886</v>
      </c>
      <c r="U626">
        <f ca="1">IF(AND(ISNUMBER($U$1283),$B$677=1),$U$1283,HLOOKUP(INDIRECT(ADDRESS(2,COLUMN())),OFFSET($BN$2,0,0,ROW()-1,60),ROW()-1,FALSE))</f>
        <v>-7.0981330639999998</v>
      </c>
      <c r="V626">
        <f ca="1">IF(AND(ISNUMBER($V$1283),$B$677=1),$V$1283,HLOOKUP(INDIRECT(ADDRESS(2,COLUMN())),OFFSET($BN$2,0,0,ROW()-1,60),ROW()-1,FALSE))</f>
        <v>-5.8619169099999997</v>
      </c>
      <c r="W626">
        <f ca="1">IF(AND(ISNUMBER($W$1283),$B$677=1),$W$1283,HLOOKUP(INDIRECT(ADDRESS(2,COLUMN())),OFFSET($BN$2,0,0,ROW()-1,60),ROW()-1,FALSE))</f>
        <v>-12.446802549999999</v>
      </c>
      <c r="X626">
        <f ca="1">IF(AND(ISNUMBER($X$1283),$B$677=1),$X$1283,HLOOKUP(INDIRECT(ADDRESS(2,COLUMN())),OFFSET($BN$2,0,0,ROW()-1,60),ROW()-1,FALSE))</f>
        <v>-8.798972805</v>
      </c>
      <c r="Y626">
        <f ca="1">IF(AND(ISNUMBER($Y$1283),$B$677=1),$Y$1283,HLOOKUP(INDIRECT(ADDRESS(2,COLUMN())),OFFSET($BN$2,0,0,ROW()-1,60),ROW()-1,FALSE))</f>
        <v>-8.0927965180000001</v>
      </c>
      <c r="Z626">
        <f ca="1">IF(AND(ISNUMBER($Z$1283),$B$677=1),$Z$1283,HLOOKUP(INDIRECT(ADDRESS(2,COLUMN())),OFFSET($BN$2,0,0,ROW()-1,60),ROW()-1,FALSE))</f>
        <v>-6.0093850250000003</v>
      </c>
      <c r="AA626">
        <f ca="1">IF(AND(ISNUMBER($AA$1283),$B$677=1),$AA$1283,HLOOKUP(INDIRECT(ADDRESS(2,COLUMN())),OFFSET($BN$2,0,0,ROW()-1,60),ROW()-1,FALSE))</f>
        <v>-5.5497062359999996</v>
      </c>
      <c r="AB626">
        <f ca="1">IF(AND(ISNUMBER($AB$1283),$B$677=1),$AB$1283,HLOOKUP(INDIRECT(ADDRESS(2,COLUMN())),OFFSET($BN$2,0,0,ROW()-1,60),ROW()-1,FALSE))</f>
        <v>-2.7933445639999999</v>
      </c>
      <c r="AC626">
        <f ca="1">IF(AND(ISNUMBER($AC$1283),$B$677=1),$AC$1283,HLOOKUP(INDIRECT(ADDRESS(2,COLUMN())),OFFSET($BN$2,0,0,ROW()-1,60),ROW()-1,FALSE))</f>
        <v>-3.7958327820000002</v>
      </c>
      <c r="AD626">
        <f ca="1">IF(AND(ISNUMBER($AD$1283),$B$677=1),$AD$1283,HLOOKUP(INDIRECT(ADDRESS(2,COLUMN())),OFFSET($BN$2,0,0,ROW()-1,60),ROW()-1,FALSE))</f>
        <v>-4.6921703199999998</v>
      </c>
      <c r="AE626">
        <f ca="1">IF(AND(ISNUMBER($AE$1283),$B$677=1),$AE$1283,HLOOKUP(INDIRECT(ADDRESS(2,COLUMN())),OFFSET($BN$2,0,0,ROW()-1,60),ROW()-1,FALSE))</f>
        <v>8.6771201000000006E-2</v>
      </c>
      <c r="AF626">
        <f ca="1">IF(AND(ISNUMBER($AF$1283),$B$677=1),$AF$1283,HLOOKUP(INDIRECT(ADDRESS(2,COLUMN())),OFFSET($BN$2,0,0,ROW()-1,60),ROW()-1,FALSE))</f>
        <v>-4.2968213510000002</v>
      </c>
      <c r="AG626">
        <f ca="1">IF(AND(ISNUMBER($AG$1283),$B$677=1),$AG$1283,HLOOKUP(INDIRECT(ADDRESS(2,COLUMN())),OFFSET($BN$2,0,0,ROW()-1,60),ROW()-1,FALSE))</f>
        <v>-4.2343746170000003</v>
      </c>
      <c r="AH626" t="str">
        <f ca="1">IF(AND(ISNUMBER($AH$1283),$B$677=1),$AH$1283,HLOOKUP(INDIRECT(ADDRESS(2,COLUMN())),OFFSET($BN$2,0,0,ROW()-1,60),ROW()-1,FALSE))</f>
        <v/>
      </c>
      <c r="AI626" t="str">
        <f ca="1">IF(AND(ISNUMBER($AI$1283),$B$677=1),$AI$1283,HLOOKUP(INDIRECT(ADDRESS(2,COLUMN())),OFFSET($BN$2,0,0,ROW()-1,60),ROW()-1,FALSE))</f>
        <v/>
      </c>
      <c r="AJ626" t="str">
        <f ca="1">IF(AND(ISNUMBER($AJ$1283),$B$677=1),$AJ$1283,HLOOKUP(INDIRECT(ADDRESS(2,COLUMN())),OFFSET($BN$2,0,0,ROW()-1,60),ROW()-1,FALSE))</f>
        <v/>
      </c>
      <c r="AK626" t="str">
        <f ca="1">IF(AND(ISNUMBER($AK$1283),$B$677=1),$AK$1283,HLOOKUP(INDIRECT(ADDRESS(2,COLUMN())),OFFSET($BN$2,0,0,ROW()-1,60),ROW()-1,FALSE))</f>
        <v/>
      </c>
      <c r="AL626" t="str">
        <f ca="1">IF(AND(ISNUMBER($AL$1283),$B$677=1),$AL$1283,HLOOKUP(INDIRECT(ADDRESS(2,COLUMN())),OFFSET($BN$2,0,0,ROW()-1,60),ROW()-1,FALSE))</f>
        <v/>
      </c>
      <c r="AM626" t="str">
        <f ca="1">IF(AND(ISNUMBER($AM$1283),$B$677=1),$AM$1283,HLOOKUP(INDIRECT(ADDRESS(2,COLUMN())),OFFSET($BN$2,0,0,ROW()-1,60),ROW()-1,FALSE))</f>
        <v/>
      </c>
      <c r="AN626" t="str">
        <f ca="1">IF(AND(ISNUMBER($AN$1283),$B$677=1),$AN$1283,HLOOKUP(INDIRECT(ADDRESS(2,COLUMN())),OFFSET($BN$2,0,0,ROW()-1,60),ROW()-1,FALSE))</f>
        <v/>
      </c>
      <c r="AO626" t="str">
        <f ca="1">IF(AND(ISNUMBER($AO$1283),$B$677=1),$AO$1283,HLOOKUP(INDIRECT(ADDRESS(2,COLUMN())),OFFSET($BN$2,0,0,ROW()-1,60),ROW()-1,FALSE))</f>
        <v/>
      </c>
      <c r="AP626" t="str">
        <f ca="1">IF(AND(ISNUMBER($AP$1283),$B$677=1),$AP$1283,HLOOKUP(INDIRECT(ADDRESS(2,COLUMN())),OFFSET($BN$2,0,0,ROW()-1,60),ROW()-1,FALSE))</f>
        <v/>
      </c>
      <c r="AQ626" t="str">
        <f ca="1">IF(AND(ISNUMBER($AQ$1283),$B$677=1),$AQ$1283,HLOOKUP(INDIRECT(ADDRESS(2,COLUMN())),OFFSET($BN$2,0,0,ROW()-1,60),ROW()-1,FALSE))</f>
        <v/>
      </c>
      <c r="AR626" t="str">
        <f ca="1">IF(AND(ISNUMBER($AR$1283),$B$677=1),$AR$1283,HLOOKUP(INDIRECT(ADDRESS(2,COLUMN())),OFFSET($BN$2,0,0,ROW()-1,60),ROW()-1,FALSE))</f>
        <v/>
      </c>
      <c r="AS626" t="str">
        <f ca="1">IF(AND(ISNUMBER($AS$1283),$B$677=1),$AS$1283,HLOOKUP(INDIRECT(ADDRESS(2,COLUMN())),OFFSET($BN$2,0,0,ROW()-1,60),ROW()-1,FALSE))</f>
        <v/>
      </c>
      <c r="AT626" t="str">
        <f ca="1">IF(AND(ISNUMBER($AT$1283),$B$677=1),$AT$1283,HLOOKUP(INDIRECT(ADDRESS(2,COLUMN())),OFFSET($BN$2,0,0,ROW()-1,60),ROW()-1,FALSE))</f>
        <v/>
      </c>
      <c r="AU626" t="str">
        <f ca="1">IF(AND(ISNUMBER($AU$1283),$B$677=1),$AU$1283,HLOOKUP(INDIRECT(ADDRESS(2,COLUMN())),OFFSET($BN$2,0,0,ROW()-1,60),ROW()-1,FALSE))</f>
        <v/>
      </c>
      <c r="AV626" t="str">
        <f ca="1">IF(AND(ISNUMBER($AV$1283),$B$677=1),$AV$1283,HLOOKUP(INDIRECT(ADDRESS(2,COLUMN())),OFFSET($BN$2,0,0,ROW()-1,60),ROW()-1,FALSE))</f>
        <v/>
      </c>
      <c r="AW626" t="str">
        <f ca="1">IF(AND(ISNUMBER($AW$1283),$B$677=1),$AW$1283,HLOOKUP(INDIRECT(ADDRESS(2,COLUMN())),OFFSET($BN$2,0,0,ROW()-1,60),ROW()-1,FALSE))</f>
        <v/>
      </c>
      <c r="AX626" t="str">
        <f ca="1">IF(AND(ISNUMBER($AX$1283),$B$677=1),$AX$1283,HLOOKUP(INDIRECT(ADDRESS(2,COLUMN())),OFFSET($BN$2,0,0,ROW()-1,60),ROW()-1,FALSE))</f>
        <v/>
      </c>
      <c r="AY626" t="str">
        <f ca="1">IF(AND(ISNUMBER($AY$1283),$B$677=1),$AY$1283,HLOOKUP(INDIRECT(ADDRESS(2,COLUMN())),OFFSET($BN$2,0,0,ROW()-1,60),ROW()-1,FALSE))</f>
        <v/>
      </c>
      <c r="AZ626" t="str">
        <f ca="1">IF(AND(ISNUMBER($AZ$1283),$B$677=1),$AZ$1283,HLOOKUP(INDIRECT(ADDRESS(2,COLUMN())),OFFSET($BN$2,0,0,ROW()-1,60),ROW()-1,FALSE))</f>
        <v/>
      </c>
      <c r="BA626" t="str">
        <f ca="1">IF(AND(ISNUMBER($BA$1283),$B$677=1),$BA$1283,HLOOKUP(INDIRECT(ADDRESS(2,COLUMN())),OFFSET($BN$2,0,0,ROW()-1,60),ROW()-1,FALSE))</f>
        <v/>
      </c>
      <c r="BB626" t="str">
        <f ca="1">IF(AND(ISNUMBER($BB$1283),$B$677=1),$BB$1283,HLOOKUP(INDIRECT(ADDRESS(2,COLUMN())),OFFSET($BN$2,0,0,ROW()-1,60),ROW()-1,FALSE))</f>
        <v/>
      </c>
      <c r="BC626" t="str">
        <f ca="1">IF(AND(ISNUMBER($BC$1283),$B$677=1),$BC$1283,HLOOKUP(INDIRECT(ADDRESS(2,COLUMN())),OFFSET($BN$2,0,0,ROW()-1,60),ROW()-1,FALSE))</f>
        <v/>
      </c>
      <c r="BD626" t="str">
        <f ca="1">IF(AND(ISNUMBER($BD$1283),$B$677=1),$BD$1283,HLOOKUP(INDIRECT(ADDRESS(2,COLUMN())),OFFSET($BN$2,0,0,ROW()-1,60),ROW()-1,FALSE))</f>
        <v/>
      </c>
      <c r="BE626" t="str">
        <f ca="1">IF(AND(ISNUMBER($BE$1283),$B$677=1),$BE$1283,HLOOKUP(INDIRECT(ADDRESS(2,COLUMN())),OFFSET($BN$2,0,0,ROW()-1,60),ROW()-1,FALSE))</f>
        <v/>
      </c>
      <c r="BF626" t="str">
        <f ca="1">IF(AND(ISNUMBER($BF$1283),$B$677=1),$BF$1283,HLOOKUP(INDIRECT(ADDRESS(2,COLUMN())),OFFSET($BN$2,0,0,ROW()-1,60),ROW()-1,FALSE))</f>
        <v/>
      </c>
      <c r="BG626" t="str">
        <f ca="1">IF(AND(ISNUMBER($BG$1283),$B$677=1),$BG$1283,HLOOKUP(INDIRECT(ADDRESS(2,COLUMN())),OFFSET($BN$2,0,0,ROW()-1,60),ROW()-1,FALSE))</f>
        <v/>
      </c>
      <c r="BH626" t="str">
        <f ca="1">IF(AND(ISNUMBER($BH$1283),$B$677=1),$BH$1283,HLOOKUP(INDIRECT(ADDRESS(2,COLUMN())),OFFSET($BN$2,0,0,ROW()-1,60),ROW()-1,FALSE))</f>
        <v/>
      </c>
      <c r="BI626" t="str">
        <f ca="1">IF(AND(ISNUMBER($BI$1283),$B$677=1),$BI$1283,HLOOKUP(INDIRECT(ADDRESS(2,COLUMN())),OFFSET($BN$2,0,0,ROW()-1,60),ROW()-1,FALSE))</f>
        <v/>
      </c>
      <c r="BJ626" t="str">
        <f ca="1">IF(AND(ISNUMBER($BJ$1283),$B$677=1),$BJ$1283,HLOOKUP(INDIRECT(ADDRESS(2,COLUMN())),OFFSET($BN$2,0,0,ROW()-1,60),ROW()-1,FALSE))</f>
        <v/>
      </c>
      <c r="BK626" t="str">
        <f ca="1">IF(AND(ISNUMBER($BK$1283),$B$677=1),$BK$1283,HLOOKUP(INDIRECT(ADDRESS(2,COLUMN())),OFFSET($BN$2,0,0,ROW()-1,60),ROW()-1,FALSE))</f>
        <v/>
      </c>
      <c r="BL626" t="str">
        <f ca="1">IF(AND(ISNUMBER($BL$1283),$B$677=1),$BL$1283,HLOOKUP(INDIRECT(ADDRESS(2,COLUMN())),OFFSET($BN$2,0,0,ROW()-1,60),ROW()-1,FALSE))</f>
        <v/>
      </c>
      <c r="BM626" t="str">
        <f ca="1">IF(AND(ISNUMBER($BM$1283),$B$677=1),$BM$1283,HLOOKUP(INDIRECT(ADDRESS(2,COLUMN())),OFFSET($BN$2,0,0,ROW()-1,60),ROW()-1,FALSE))</f>
        <v/>
      </c>
      <c r="BN626">
        <f>-6.116565819</f>
        <v>-6.1165658189999998</v>
      </c>
      <c r="BO626">
        <f>-6.153847186</f>
        <v>-6.1538471860000001</v>
      </c>
      <c r="BP626">
        <f>-6.081709193</f>
        <v>-6.081709193</v>
      </c>
      <c r="BQ626">
        <f>-8.816323833</f>
        <v>-8.8163238330000002</v>
      </c>
      <c r="BR626">
        <f>-6.502335409</f>
        <v>-6.5023354089999996</v>
      </c>
      <c r="BS626">
        <f>-6.351308799</f>
        <v>-6.3513087989999999</v>
      </c>
      <c r="BT626">
        <f>-8.235573394</f>
        <v>-8.2355733939999993</v>
      </c>
      <c r="BU626">
        <f>-15.30044841</f>
        <v>-15.30044841</v>
      </c>
      <c r="BV626">
        <f>-15.38856163</f>
        <v>-15.38856163</v>
      </c>
      <c r="BW626">
        <f>-13.77969812</f>
        <v>-13.779698120000001</v>
      </c>
      <c r="BX626">
        <f>-8.806840651</f>
        <v>-8.8068406509999999</v>
      </c>
      <c r="BY626">
        <f>-11.81993109</f>
        <v>-11.819931090000001</v>
      </c>
      <c r="BZ626">
        <f>-12.45944694</f>
        <v>-12.459446939999999</v>
      </c>
      <c r="CA626">
        <f>-7.655107142</f>
        <v>-7.6551071420000003</v>
      </c>
      <c r="CB626">
        <f>-10.34200886</f>
        <v>-10.34200886</v>
      </c>
      <c r="CC626">
        <f>-7.098133064</f>
        <v>-7.0981330639999998</v>
      </c>
      <c r="CD626">
        <f>-5.86191691</f>
        <v>-5.8619169099999997</v>
      </c>
      <c r="CE626">
        <f>-12.44680255</f>
        <v>-12.446802549999999</v>
      </c>
      <c r="CF626">
        <f>-8.798972805</f>
        <v>-8.798972805</v>
      </c>
      <c r="CG626">
        <f>-8.092796518</f>
        <v>-8.0927965180000001</v>
      </c>
      <c r="CH626">
        <f>-6.009385025</f>
        <v>-6.0093850250000003</v>
      </c>
      <c r="CI626">
        <f>-5.549706236</f>
        <v>-5.5497062359999996</v>
      </c>
      <c r="CJ626">
        <f>-2.793344564</f>
        <v>-2.7933445639999999</v>
      </c>
      <c r="CK626">
        <f>-3.795832782</f>
        <v>-3.7958327820000002</v>
      </c>
      <c r="CL626">
        <f>-4.69217032</f>
        <v>-4.6921703199999998</v>
      </c>
      <c r="CM626">
        <f>0.086771201</f>
        <v>8.6771201000000006E-2</v>
      </c>
      <c r="CN626">
        <f>-4.296821351</f>
        <v>-4.2968213510000002</v>
      </c>
      <c r="CO626">
        <f>-4.234374617</f>
        <v>-4.2343746170000003</v>
      </c>
      <c r="CP626" t="str">
        <f>""</f>
        <v/>
      </c>
      <c r="CQ626" t="str">
        <f>""</f>
        <v/>
      </c>
      <c r="CR626" t="str">
        <f>""</f>
        <v/>
      </c>
      <c r="CS626" t="str">
        <f>""</f>
        <v/>
      </c>
      <c r="CT626" t="str">
        <f>""</f>
        <v/>
      </c>
      <c r="CU626" t="str">
        <f>""</f>
        <v/>
      </c>
      <c r="CV626" t="str">
        <f>""</f>
        <v/>
      </c>
      <c r="CW626" t="str">
        <f>""</f>
        <v/>
      </c>
      <c r="CX626" t="str">
        <f>""</f>
        <v/>
      </c>
      <c r="CY626" t="str">
        <f>""</f>
        <v/>
      </c>
      <c r="CZ626" t="str">
        <f>""</f>
        <v/>
      </c>
      <c r="DA626" t="str">
        <f>""</f>
        <v/>
      </c>
      <c r="DB626" t="str">
        <f>""</f>
        <v/>
      </c>
      <c r="DC626" t="str">
        <f>""</f>
        <v/>
      </c>
      <c r="DD626" t="str">
        <f>""</f>
        <v/>
      </c>
      <c r="DE626" t="str">
        <f>""</f>
        <v/>
      </c>
      <c r="DF626" t="str">
        <f>""</f>
        <v/>
      </c>
      <c r="DG626" t="str">
        <f>""</f>
        <v/>
      </c>
      <c r="DH626" t="str">
        <f>""</f>
        <v/>
      </c>
      <c r="DI626" t="str">
        <f>""</f>
        <v/>
      </c>
      <c r="DJ626" t="str">
        <f>""</f>
        <v/>
      </c>
      <c r="DK626" t="str">
        <f>""</f>
        <v/>
      </c>
      <c r="DL626" t="str">
        <f>""</f>
        <v/>
      </c>
      <c r="DM626" t="str">
        <f>""</f>
        <v/>
      </c>
      <c r="DN626" t="str">
        <f>""</f>
        <v/>
      </c>
      <c r="DO626" t="str">
        <f>""</f>
        <v/>
      </c>
      <c r="DP626" t="str">
        <f>""</f>
        <v/>
      </c>
      <c r="DQ626" t="str">
        <f>""</f>
        <v/>
      </c>
      <c r="DR626" t="str">
        <f>""</f>
        <v/>
      </c>
      <c r="DS626" t="str">
        <f>""</f>
        <v/>
      </c>
      <c r="DT626" t="str">
        <f>""</f>
        <v/>
      </c>
      <c r="DU626" t="str">
        <f>""</f>
        <v/>
      </c>
    </row>
    <row r="627" spans="1:125" x14ac:dyDescent="0.25">
      <c r="A627" t="str">
        <f>"    Chongqing Changan Automobile Co Ltd"</f>
        <v xml:space="preserve">    Chongqing Changan Automobile Co Ltd</v>
      </c>
      <c r="B627" t="str">
        <f>"200625 CH Equity"</f>
        <v>200625 CH Equity</v>
      </c>
      <c r="C627" t="str">
        <f t="shared" si="45"/>
        <v>RX539</v>
      </c>
      <c r="D627" t="str">
        <f t="shared" si="46"/>
        <v>T12_FCF_YIELD</v>
      </c>
      <c r="E627" t="str">
        <f t="shared" si="47"/>
        <v>Dynamic</v>
      </c>
      <c r="F627">
        <f ca="1">IF(AND(ISNUMBER($F$1284),$B$677=1),$F$1284,HLOOKUP(INDIRECT(ADDRESS(2,COLUMN())),OFFSET($BN$2,0,0,ROW()-1,60),ROW()-1,FALSE))</f>
        <v>-11.61778808</v>
      </c>
      <c r="G627">
        <f ca="1">IF(AND(ISNUMBER($G$1284),$B$677=1),$G$1284,HLOOKUP(INDIRECT(ADDRESS(2,COLUMN())),OFFSET($BN$2,0,0,ROW()-1,60),ROW()-1,FALSE))</f>
        <v>-15.163579629999999</v>
      </c>
      <c r="H627">
        <f ca="1">IF(AND(ISNUMBER($H$1284),$B$677=1),$H$1284,HLOOKUP(INDIRECT(ADDRESS(2,COLUMN())),OFFSET($BN$2,0,0,ROW()-1,60),ROW()-1,FALSE))</f>
        <v>-12.925343229999999</v>
      </c>
      <c r="I627">
        <f ca="1">IF(AND(ISNUMBER($I$1284),$B$677=1),$I$1284,HLOOKUP(INDIRECT(ADDRESS(2,COLUMN())),OFFSET($BN$2,0,0,ROW()-1,60),ROW()-1,FALSE))</f>
        <v>-5.3474836039999998</v>
      </c>
      <c r="J627">
        <f ca="1">IF(AND(ISNUMBER($J$1284),$B$677=1),$J$1284,HLOOKUP(INDIRECT(ADDRESS(2,COLUMN())),OFFSET($BN$2,0,0,ROW()-1,60),ROW()-1,FALSE))</f>
        <v>2.5341954769999999</v>
      </c>
      <c r="K627">
        <f ca="1">IF(AND(ISNUMBER($K$1284),$B$677=1),$K$1284,HLOOKUP(INDIRECT(ADDRESS(2,COLUMN())),OFFSET($BN$2,0,0,ROW()-1,60),ROW()-1,FALSE))</f>
        <v>7.0648577919999997</v>
      </c>
      <c r="L627">
        <f ca="1">IF(AND(ISNUMBER($L$1284),$B$677=1),$L$1284,HLOOKUP(INDIRECT(ADDRESS(2,COLUMN())),OFFSET($BN$2,0,0,ROW()-1,60),ROW()-1,FALSE))</f>
        <v>4.9220353399999999</v>
      </c>
      <c r="M627">
        <f ca="1">IF(AND(ISNUMBER($M$1284),$B$677=1),$M$1284,HLOOKUP(INDIRECT(ADDRESS(2,COLUMN())),OFFSET($BN$2,0,0,ROW()-1,60),ROW()-1,FALSE))</f>
        <v>13.513281190000001</v>
      </c>
      <c r="N627">
        <f ca="1">IF(AND(ISNUMBER($N$1284),$B$677=1),$N$1284,HLOOKUP(INDIRECT(ADDRESS(2,COLUMN())),OFFSET($BN$2,0,0,ROW()-1,60),ROW()-1,FALSE))</f>
        <v>14.77811597</v>
      </c>
      <c r="O627">
        <f ca="1">IF(AND(ISNUMBER($O$1284),$B$677=1),$O$1284,HLOOKUP(INDIRECT(ADDRESS(2,COLUMN())),OFFSET($BN$2,0,0,ROW()-1,60),ROW()-1,FALSE))</f>
        <v>10.88525141</v>
      </c>
      <c r="P627">
        <f ca="1">IF(AND(ISNUMBER($P$1284),$B$677=1),$P$1284,HLOOKUP(INDIRECT(ADDRESS(2,COLUMN())),OFFSET($BN$2,0,0,ROW()-1,60),ROW()-1,FALSE))</f>
        <v>12.206115349999999</v>
      </c>
      <c r="Q627">
        <f ca="1">IF(AND(ISNUMBER($Q$1284),$B$677=1),$Q$1284,HLOOKUP(INDIRECT(ADDRESS(2,COLUMN())),OFFSET($BN$2,0,0,ROW()-1,60),ROW()-1,FALSE))</f>
        <v>19.580358449999999</v>
      </c>
      <c r="R627">
        <f ca="1">IF(AND(ISNUMBER($R$1284),$B$677=1),$R$1284,HLOOKUP(INDIRECT(ADDRESS(2,COLUMN())),OFFSET($BN$2,0,0,ROW()-1,60),ROW()-1,FALSE))</f>
        <v>12.77002471</v>
      </c>
      <c r="S627">
        <f ca="1">IF(AND(ISNUMBER($S$1284),$B$677=1),$S$1284,HLOOKUP(INDIRECT(ADDRESS(2,COLUMN())),OFFSET($BN$2,0,0,ROW()-1,60),ROW()-1,FALSE))</f>
        <v>13.86699716</v>
      </c>
      <c r="T627">
        <f ca="1">IF(AND(ISNUMBER($T$1284),$B$677=1),$T$1284,HLOOKUP(INDIRECT(ADDRESS(2,COLUMN())),OFFSET($BN$2,0,0,ROW()-1,60),ROW()-1,FALSE))</f>
        <v>18.01955083</v>
      </c>
      <c r="U627">
        <f ca="1">IF(AND(ISNUMBER($U$1284),$B$677=1),$U$1284,HLOOKUP(INDIRECT(ADDRESS(2,COLUMN())),OFFSET($BN$2,0,0,ROW()-1,60),ROW()-1,FALSE))</f>
        <v>8.102823248</v>
      </c>
      <c r="V627">
        <f ca="1">IF(AND(ISNUMBER($V$1284),$B$677=1),$V$1284,HLOOKUP(INDIRECT(ADDRESS(2,COLUMN())),OFFSET($BN$2,0,0,ROW()-1,60),ROW()-1,FALSE))</f>
        <v>12.51665609</v>
      </c>
      <c r="W627">
        <f ca="1">IF(AND(ISNUMBER($W$1284),$B$677=1),$W$1284,HLOOKUP(INDIRECT(ADDRESS(2,COLUMN())),OFFSET($BN$2,0,0,ROW()-1,60),ROW()-1,FALSE))</f>
        <v>12.13359625</v>
      </c>
      <c r="X627">
        <f ca="1">IF(AND(ISNUMBER($X$1284),$B$677=1),$X$1284,HLOOKUP(INDIRECT(ADDRESS(2,COLUMN())),OFFSET($BN$2,0,0,ROW()-1,60),ROW()-1,FALSE))</f>
        <v>9.2824479330000003</v>
      </c>
      <c r="Y627">
        <f ca="1">IF(AND(ISNUMBER($Y$1284),$B$677=1),$Y$1284,HLOOKUP(INDIRECT(ADDRESS(2,COLUMN())),OFFSET($BN$2,0,0,ROW()-1,60),ROW()-1,FALSE))</f>
        <v>5.9141908399999998</v>
      </c>
      <c r="Z627">
        <f ca="1">IF(AND(ISNUMBER($Z$1284),$B$677=1),$Z$1284,HLOOKUP(INDIRECT(ADDRESS(2,COLUMN())),OFFSET($BN$2,0,0,ROW()-1,60),ROW()-1,FALSE))</f>
        <v>-1.43922979</v>
      </c>
      <c r="AA627">
        <f ca="1">IF(AND(ISNUMBER($AA$1284),$B$677=1),$AA$1284,HLOOKUP(INDIRECT(ADDRESS(2,COLUMN())),OFFSET($BN$2,0,0,ROW()-1,60),ROW()-1,FALSE))</f>
        <v>0.67100821300000002</v>
      </c>
      <c r="AB627">
        <f ca="1">IF(AND(ISNUMBER($AB$1284),$B$677=1),$AB$1284,HLOOKUP(INDIRECT(ADDRESS(2,COLUMN())),OFFSET($BN$2,0,0,ROW()-1,60),ROW()-1,FALSE))</f>
        <v>4.535199779</v>
      </c>
      <c r="AC627">
        <f ca="1">IF(AND(ISNUMBER($AC$1284),$B$677=1),$AC$1284,HLOOKUP(INDIRECT(ADDRESS(2,COLUMN())),OFFSET($BN$2,0,0,ROW()-1,60),ROW()-1,FALSE))</f>
        <v>7.2224801230000004</v>
      </c>
      <c r="AD627">
        <f ca="1">IF(AND(ISNUMBER($AD$1284),$B$677=1),$AD$1284,HLOOKUP(INDIRECT(ADDRESS(2,COLUMN())),OFFSET($BN$2,0,0,ROW()-1,60),ROW()-1,FALSE))</f>
        <v>-2.8705284000000001E-2</v>
      </c>
      <c r="AE627">
        <f ca="1">IF(AND(ISNUMBER($AE$1284),$B$677=1),$AE$1284,HLOOKUP(INDIRECT(ADDRESS(2,COLUMN())),OFFSET($BN$2,0,0,ROW()-1,60),ROW()-1,FALSE))</f>
        <v>-9.3391907019999998</v>
      </c>
      <c r="AF627">
        <f ca="1">IF(AND(ISNUMBER($AF$1284),$B$677=1),$AF$1284,HLOOKUP(INDIRECT(ADDRESS(2,COLUMN())),OFFSET($BN$2,0,0,ROW()-1,60),ROW()-1,FALSE))</f>
        <v>-29.716539610000002</v>
      </c>
      <c r="AG627">
        <f ca="1">IF(AND(ISNUMBER($AG$1284),$B$677=1),$AG$1284,HLOOKUP(INDIRECT(ADDRESS(2,COLUMN())),OFFSET($BN$2,0,0,ROW()-1,60),ROW()-1,FALSE))</f>
        <v>-31.427280589999999</v>
      </c>
      <c r="AH627">
        <f ca="1">IF(AND(ISNUMBER($AH$1284),$B$677=1),$AH$1284,HLOOKUP(INDIRECT(ADDRESS(2,COLUMN())),OFFSET($BN$2,0,0,ROW()-1,60),ROW()-1,FALSE))</f>
        <v>-32.073050719999998</v>
      </c>
      <c r="AI627">
        <f ca="1">IF(AND(ISNUMBER($AI$1284),$B$677=1),$AI$1284,HLOOKUP(INDIRECT(ADDRESS(2,COLUMN())),OFFSET($BN$2,0,0,ROW()-1,60),ROW()-1,FALSE))</f>
        <v>-23.266568490000001</v>
      </c>
      <c r="AJ627">
        <f ca="1">IF(AND(ISNUMBER($AJ$1284),$B$677=1),$AJ$1284,HLOOKUP(INDIRECT(ADDRESS(2,COLUMN())),OFFSET($BN$2,0,0,ROW()-1,60),ROW()-1,FALSE))</f>
        <v>-12.725266059999999</v>
      </c>
      <c r="AK627">
        <f ca="1">IF(AND(ISNUMBER($AK$1284),$B$677=1),$AK$1284,HLOOKUP(INDIRECT(ADDRESS(2,COLUMN())),OFFSET($BN$2,0,0,ROW()-1,60),ROW()-1,FALSE))</f>
        <v>-2.2260479110000002</v>
      </c>
      <c r="AL627">
        <f ca="1">IF(AND(ISNUMBER($AL$1284),$B$677=1),$AL$1284,HLOOKUP(INDIRECT(ADDRESS(2,COLUMN())),OFFSET($BN$2,0,0,ROW()-1,60),ROW()-1,FALSE))</f>
        <v>10.20453416</v>
      </c>
      <c r="AM627">
        <f ca="1">IF(AND(ISNUMBER($AM$1284),$B$677=1),$AM$1284,HLOOKUP(INDIRECT(ADDRESS(2,COLUMN())),OFFSET($BN$2,0,0,ROW()-1,60),ROW()-1,FALSE))</f>
        <v>8.6809416210000006</v>
      </c>
      <c r="AN627">
        <f ca="1">IF(AND(ISNUMBER($AN$1284),$B$677=1),$AN$1284,HLOOKUP(INDIRECT(ADDRESS(2,COLUMN())),OFFSET($BN$2,0,0,ROW()-1,60),ROW()-1,FALSE))</f>
        <v>13.94713937</v>
      </c>
      <c r="AO627">
        <f ca="1">IF(AND(ISNUMBER($AO$1284),$B$677=1),$AO$1284,HLOOKUP(INDIRECT(ADDRESS(2,COLUMN())),OFFSET($BN$2,0,0,ROW()-1,60),ROW()-1,FALSE))</f>
        <v>19.921335670000001</v>
      </c>
      <c r="AP627">
        <f ca="1">IF(AND(ISNUMBER($AP$1284),$B$677=1),$AP$1284,HLOOKUP(INDIRECT(ADDRESS(2,COLUMN())),OFFSET($BN$2,0,0,ROW()-1,60),ROW()-1,FALSE))</f>
        <v>7.391398336</v>
      </c>
      <c r="AQ627">
        <f ca="1">IF(AND(ISNUMBER($AQ$1284),$B$677=1),$AQ$1284,HLOOKUP(INDIRECT(ADDRESS(2,COLUMN())),OFFSET($BN$2,0,0,ROW()-1,60),ROW()-1,FALSE))</f>
        <v>7.4181015769999998</v>
      </c>
      <c r="AR627">
        <f ca="1">IF(AND(ISNUMBER($AR$1284),$B$677=1),$AR$1284,HLOOKUP(INDIRECT(ADDRESS(2,COLUMN())),OFFSET($BN$2,0,0,ROW()-1,60),ROW()-1,FALSE))</f>
        <v>11.423493880000001</v>
      </c>
      <c r="AS627">
        <f ca="1">IF(AND(ISNUMBER($AS$1284),$B$677=1),$AS$1284,HLOOKUP(INDIRECT(ADDRESS(2,COLUMN())),OFFSET($BN$2,0,0,ROW()-1,60),ROW()-1,FALSE))</f>
        <v>8.1575125760000002</v>
      </c>
      <c r="AT627">
        <f ca="1">IF(AND(ISNUMBER($AT$1284),$B$677=1),$AT$1284,HLOOKUP(INDIRECT(ADDRESS(2,COLUMN())),OFFSET($BN$2,0,0,ROW()-1,60),ROW()-1,FALSE))</f>
        <v>8.3344141730000008</v>
      </c>
      <c r="AU627">
        <f ca="1">IF(AND(ISNUMBER($AU$1284),$B$677=1),$AU$1284,HLOOKUP(INDIRECT(ADDRESS(2,COLUMN())),OFFSET($BN$2,0,0,ROW()-1,60),ROW()-1,FALSE))</f>
        <v>3.2352718239999998</v>
      </c>
      <c r="AV627">
        <f ca="1">IF(AND(ISNUMBER($AV$1284),$B$677=1),$AV$1284,HLOOKUP(INDIRECT(ADDRESS(2,COLUMN())),OFFSET($BN$2,0,0,ROW()-1,60),ROW()-1,FALSE))</f>
        <v>2.970130519</v>
      </c>
      <c r="AW627">
        <f ca="1">IF(AND(ISNUMBER($AW$1284),$B$677=1),$AW$1284,HLOOKUP(INDIRECT(ADDRESS(2,COLUMN())),OFFSET($BN$2,0,0,ROW()-1,60),ROW()-1,FALSE))</f>
        <v>-2.9243739579999999</v>
      </c>
      <c r="AX627">
        <f ca="1">IF(AND(ISNUMBER($AX$1284),$B$677=1),$AX$1284,HLOOKUP(INDIRECT(ADDRESS(2,COLUMN())),OFFSET($BN$2,0,0,ROW()-1,60),ROW()-1,FALSE))</f>
        <v>5.4602369999999997E-3</v>
      </c>
      <c r="AY627">
        <f ca="1">IF(AND(ISNUMBER($AY$1284),$B$677=1),$AY$1284,HLOOKUP(INDIRECT(ADDRESS(2,COLUMN())),OFFSET($BN$2,0,0,ROW()-1,60),ROW()-1,FALSE))</f>
        <v>2.682286516</v>
      </c>
      <c r="AZ627">
        <f ca="1">IF(AND(ISNUMBER($AZ$1284),$B$677=1),$AZ$1284,HLOOKUP(INDIRECT(ADDRESS(2,COLUMN())),OFFSET($BN$2,0,0,ROW()-1,60),ROW()-1,FALSE))</f>
        <v>4.2394636920000002</v>
      </c>
      <c r="BA627">
        <f ca="1">IF(AND(ISNUMBER($BA$1284),$B$677=1),$BA$1284,HLOOKUP(INDIRECT(ADDRESS(2,COLUMN())),OFFSET($BN$2,0,0,ROW()-1,60),ROW()-1,FALSE))</f>
        <v>7.8056621320000001</v>
      </c>
      <c r="BB627">
        <f ca="1">IF(AND(ISNUMBER($BB$1284),$B$677=1),$BB$1284,HLOOKUP(INDIRECT(ADDRESS(2,COLUMN())),OFFSET($BN$2,0,0,ROW()-1,60),ROW()-1,FALSE))</f>
        <v>0.84485552500000005</v>
      </c>
      <c r="BC627">
        <f ca="1">IF(AND(ISNUMBER($BC$1284),$B$677=1),$BC$1284,HLOOKUP(INDIRECT(ADDRESS(2,COLUMN())),OFFSET($BN$2,0,0,ROW()-1,60),ROW()-1,FALSE))</f>
        <v>-5.8431381389999997</v>
      </c>
      <c r="BD627">
        <f ca="1">IF(AND(ISNUMBER($BD$1284),$B$677=1),$BD$1284,HLOOKUP(INDIRECT(ADDRESS(2,COLUMN())),OFFSET($BN$2,0,0,ROW()-1,60),ROW()-1,FALSE))</f>
        <v>-13.882986470000001</v>
      </c>
      <c r="BE627">
        <f ca="1">IF(AND(ISNUMBER($BE$1284),$B$677=1),$BE$1284,HLOOKUP(INDIRECT(ADDRESS(2,COLUMN())),OFFSET($BN$2,0,0,ROW()-1,60),ROW()-1,FALSE))</f>
        <v>-19.974951189999999</v>
      </c>
      <c r="BF627">
        <f ca="1">IF(AND(ISNUMBER($BF$1284),$B$677=1),$BF$1284,HLOOKUP(INDIRECT(ADDRESS(2,COLUMN())),OFFSET($BN$2,0,0,ROW()-1,60),ROW()-1,FALSE))</f>
        <v>-23.775617409999999</v>
      </c>
      <c r="BG627">
        <f ca="1">IF(AND(ISNUMBER($BG$1284),$B$677=1),$BG$1284,HLOOKUP(INDIRECT(ADDRESS(2,COLUMN())),OFFSET($BN$2,0,0,ROW()-1,60),ROW()-1,FALSE))</f>
        <v>-8.7536936030000003</v>
      </c>
      <c r="BH627">
        <f ca="1">IF(AND(ISNUMBER($BH$1284),$B$677=1),$BH$1284,HLOOKUP(INDIRECT(ADDRESS(2,COLUMN())),OFFSET($BN$2,0,0,ROW()-1,60),ROW()-1,FALSE))</f>
        <v>-8.7251871950000002</v>
      </c>
      <c r="BI627" t="str">
        <f ca="1">IF(AND(ISNUMBER($BI$1284),$B$677=1),$BI$1284,HLOOKUP(INDIRECT(ADDRESS(2,COLUMN())),OFFSET($BN$2,0,0,ROW()-1,60),ROW()-1,FALSE))</f>
        <v/>
      </c>
      <c r="BJ627" t="str">
        <f ca="1">IF(AND(ISNUMBER($BJ$1284),$B$677=1),$BJ$1284,HLOOKUP(INDIRECT(ADDRESS(2,COLUMN())),OFFSET($BN$2,0,0,ROW()-1,60),ROW()-1,FALSE))</f>
        <v/>
      </c>
      <c r="BK627" t="str">
        <f ca="1">IF(AND(ISNUMBER($BK$1284),$B$677=1),$BK$1284,HLOOKUP(INDIRECT(ADDRESS(2,COLUMN())),OFFSET($BN$2,0,0,ROW()-1,60),ROW()-1,FALSE))</f>
        <v/>
      </c>
      <c r="BL627" t="str">
        <f ca="1">IF(AND(ISNUMBER($BL$1284),$B$677=1),$BL$1284,HLOOKUP(INDIRECT(ADDRESS(2,COLUMN())),OFFSET($BN$2,0,0,ROW()-1,60),ROW()-1,FALSE))</f>
        <v/>
      </c>
      <c r="BM627" t="str">
        <f ca="1">IF(AND(ISNUMBER($BM$1284),$B$677=1),$BM$1284,HLOOKUP(INDIRECT(ADDRESS(2,COLUMN())),OFFSET($BN$2,0,0,ROW()-1,60),ROW()-1,FALSE))</f>
        <v/>
      </c>
      <c r="BN627">
        <f>-11.61778808</f>
        <v>-11.61778808</v>
      </c>
      <c r="BO627">
        <f>-15.16357963</f>
        <v>-15.163579629999999</v>
      </c>
      <c r="BP627">
        <f>-12.92534323</f>
        <v>-12.925343229999999</v>
      </c>
      <c r="BQ627">
        <f>-5.347483604</f>
        <v>-5.3474836039999998</v>
      </c>
      <c r="BR627">
        <f>2.534195477</f>
        <v>2.5341954769999999</v>
      </c>
      <c r="BS627">
        <f>7.064857792</f>
        <v>7.0648577919999997</v>
      </c>
      <c r="BT627">
        <f>4.92203534</f>
        <v>4.9220353399999999</v>
      </c>
      <c r="BU627">
        <f>13.51328119</f>
        <v>13.513281190000001</v>
      </c>
      <c r="BV627">
        <f>14.77811597</f>
        <v>14.77811597</v>
      </c>
      <c r="BW627">
        <f>10.88525141</f>
        <v>10.88525141</v>
      </c>
      <c r="BX627">
        <f>12.20611535</f>
        <v>12.206115349999999</v>
      </c>
      <c r="BY627">
        <f>19.58035845</f>
        <v>19.580358449999999</v>
      </c>
      <c r="BZ627">
        <f>12.77002471</f>
        <v>12.77002471</v>
      </c>
      <c r="CA627">
        <f>13.86699716</f>
        <v>13.86699716</v>
      </c>
      <c r="CB627">
        <f>18.01955083</f>
        <v>18.01955083</v>
      </c>
      <c r="CC627">
        <f>8.102823248</f>
        <v>8.102823248</v>
      </c>
      <c r="CD627">
        <f>12.51665609</f>
        <v>12.51665609</v>
      </c>
      <c r="CE627">
        <f>12.13359625</f>
        <v>12.13359625</v>
      </c>
      <c r="CF627">
        <f>9.282447933</f>
        <v>9.2824479330000003</v>
      </c>
      <c r="CG627">
        <f>5.91419084</f>
        <v>5.9141908399999998</v>
      </c>
      <c r="CH627">
        <f>-1.43922979</f>
        <v>-1.43922979</v>
      </c>
      <c r="CI627">
        <f>0.671008213</f>
        <v>0.67100821300000002</v>
      </c>
      <c r="CJ627">
        <f>4.535199779</f>
        <v>4.535199779</v>
      </c>
      <c r="CK627">
        <f>7.222480123</f>
        <v>7.2224801230000004</v>
      </c>
      <c r="CL627">
        <f>-0.028705284</f>
        <v>-2.8705284000000001E-2</v>
      </c>
      <c r="CM627">
        <f>-9.339190702</f>
        <v>-9.3391907019999998</v>
      </c>
      <c r="CN627">
        <f>-29.71653961</f>
        <v>-29.716539610000002</v>
      </c>
      <c r="CO627">
        <f>-31.42728059</f>
        <v>-31.427280589999999</v>
      </c>
      <c r="CP627">
        <f>-32.07305072</f>
        <v>-32.073050719999998</v>
      </c>
      <c r="CQ627">
        <f>-23.26656849</f>
        <v>-23.266568490000001</v>
      </c>
      <c r="CR627">
        <f>-12.72526606</f>
        <v>-12.725266059999999</v>
      </c>
      <c r="CS627">
        <f>-2.226047911</f>
        <v>-2.2260479110000002</v>
      </c>
      <c r="CT627">
        <f>10.20453416</f>
        <v>10.20453416</v>
      </c>
      <c r="CU627">
        <f>8.680941621</f>
        <v>8.6809416210000006</v>
      </c>
      <c r="CV627">
        <f>13.94713937</f>
        <v>13.94713937</v>
      </c>
      <c r="CW627">
        <f>19.92133567</f>
        <v>19.921335670000001</v>
      </c>
      <c r="CX627">
        <f>7.391398336</f>
        <v>7.391398336</v>
      </c>
      <c r="CY627">
        <f>7.418101577</f>
        <v>7.4181015769999998</v>
      </c>
      <c r="CZ627">
        <f>11.42349388</f>
        <v>11.423493880000001</v>
      </c>
      <c r="DA627">
        <f>8.157512576</f>
        <v>8.1575125760000002</v>
      </c>
      <c r="DB627">
        <f>8.334414173</f>
        <v>8.3344141730000008</v>
      </c>
      <c r="DC627">
        <f>3.235271824</f>
        <v>3.2352718239999998</v>
      </c>
      <c r="DD627">
        <f>2.970130519</f>
        <v>2.970130519</v>
      </c>
      <c r="DE627">
        <f>-2.924373958</f>
        <v>-2.9243739579999999</v>
      </c>
      <c r="DF627">
        <f>0.005460237</f>
        <v>5.4602369999999997E-3</v>
      </c>
      <c r="DG627">
        <f>2.682286516</f>
        <v>2.682286516</v>
      </c>
      <c r="DH627">
        <f>4.239463692</f>
        <v>4.2394636920000002</v>
      </c>
      <c r="DI627">
        <f>7.805662132</f>
        <v>7.8056621320000001</v>
      </c>
      <c r="DJ627">
        <f>0.844855525</f>
        <v>0.84485552500000005</v>
      </c>
      <c r="DK627">
        <f>-5.843138139</f>
        <v>-5.8431381389999997</v>
      </c>
      <c r="DL627">
        <f>-13.88298647</f>
        <v>-13.882986470000001</v>
      </c>
      <c r="DM627">
        <f>-19.97495119</f>
        <v>-19.974951189999999</v>
      </c>
      <c r="DN627">
        <f>-23.77561741</f>
        <v>-23.775617409999999</v>
      </c>
      <c r="DO627">
        <f>-8.753693603</f>
        <v>-8.7536936030000003</v>
      </c>
      <c r="DP627">
        <f>-8.725187195</f>
        <v>-8.7251871950000002</v>
      </c>
      <c r="DQ627" t="str">
        <f>""</f>
        <v/>
      </c>
      <c r="DR627" t="str">
        <f>""</f>
        <v/>
      </c>
      <c r="DS627" t="str">
        <f>""</f>
        <v/>
      </c>
      <c r="DT627" t="str">
        <f>""</f>
        <v/>
      </c>
      <c r="DU627" t="str">
        <f>""</f>
        <v/>
      </c>
    </row>
    <row r="628" spans="1:125" x14ac:dyDescent="0.25">
      <c r="A628" t="str">
        <f>"    Daihatsu Motor Co Ltd"</f>
        <v xml:space="preserve">    Daihatsu Motor Co Ltd</v>
      </c>
      <c r="B628" t="str">
        <f>"7262 JP Equity"</f>
        <v>7262 JP Equity</v>
      </c>
      <c r="C628" t="str">
        <f t="shared" si="45"/>
        <v>RX539</v>
      </c>
      <c r="D628" t="str">
        <f t="shared" si="46"/>
        <v>T12_FCF_YIELD</v>
      </c>
      <c r="E628" t="str">
        <f t="shared" si="47"/>
        <v>Dynamic</v>
      </c>
      <c r="F628" t="str">
        <f ca="1">IF(AND(ISNUMBER($F$1285),$B$677=1),$F$1285,HLOOKUP(INDIRECT(ADDRESS(2,COLUMN())),OFFSET($BN$2,0,0,ROW()-1,60),ROW()-1,FALSE))</f>
        <v/>
      </c>
      <c r="G628" t="str">
        <f ca="1">IF(AND(ISNUMBER($G$1285),$B$677=1),$G$1285,HLOOKUP(INDIRECT(ADDRESS(2,COLUMN())),OFFSET($BN$2,0,0,ROW()-1,60),ROW()-1,FALSE))</f>
        <v/>
      </c>
      <c r="H628" t="str">
        <f ca="1">IF(AND(ISNUMBER($H$1285),$B$677=1),$H$1285,HLOOKUP(INDIRECT(ADDRESS(2,COLUMN())),OFFSET($BN$2,0,0,ROW()-1,60),ROW()-1,FALSE))</f>
        <v/>
      </c>
      <c r="I628" t="str">
        <f ca="1">IF(AND(ISNUMBER($I$1285),$B$677=1),$I$1285,HLOOKUP(INDIRECT(ADDRESS(2,COLUMN())),OFFSET($BN$2,0,0,ROW()-1,60),ROW()-1,FALSE))</f>
        <v/>
      </c>
      <c r="J628" t="str">
        <f ca="1">IF(AND(ISNUMBER($J$1285),$B$677=1),$J$1285,HLOOKUP(INDIRECT(ADDRESS(2,COLUMN())),OFFSET($BN$2,0,0,ROW()-1,60),ROW()-1,FALSE))</f>
        <v/>
      </c>
      <c r="K628" t="str">
        <f ca="1">IF(AND(ISNUMBER($K$1285),$B$677=1),$K$1285,HLOOKUP(INDIRECT(ADDRESS(2,COLUMN())),OFFSET($BN$2,0,0,ROW()-1,60),ROW()-1,FALSE))</f>
        <v/>
      </c>
      <c r="L628" t="str">
        <f ca="1">IF(AND(ISNUMBER($L$1285),$B$677=1),$L$1285,HLOOKUP(INDIRECT(ADDRESS(2,COLUMN())),OFFSET($BN$2,0,0,ROW()-1,60),ROW()-1,FALSE))</f>
        <v/>
      </c>
      <c r="M628" t="str">
        <f ca="1">IF(AND(ISNUMBER($M$1285),$B$677=1),$M$1285,HLOOKUP(INDIRECT(ADDRESS(2,COLUMN())),OFFSET($BN$2,0,0,ROW()-1,60),ROW()-1,FALSE))</f>
        <v/>
      </c>
      <c r="N628" t="str">
        <f ca="1">IF(AND(ISNUMBER($N$1285),$B$677=1),$N$1285,HLOOKUP(INDIRECT(ADDRESS(2,COLUMN())),OFFSET($BN$2,0,0,ROW()-1,60),ROW()-1,FALSE))</f>
        <v/>
      </c>
      <c r="O628" t="str">
        <f ca="1">IF(AND(ISNUMBER($O$1285),$B$677=1),$O$1285,HLOOKUP(INDIRECT(ADDRESS(2,COLUMN())),OFFSET($BN$2,0,0,ROW()-1,60),ROW()-1,FALSE))</f>
        <v/>
      </c>
      <c r="P628" t="str">
        <f ca="1">IF(AND(ISNUMBER($P$1285),$B$677=1),$P$1285,HLOOKUP(INDIRECT(ADDRESS(2,COLUMN())),OFFSET($BN$2,0,0,ROW()-1,60),ROW()-1,FALSE))</f>
        <v/>
      </c>
      <c r="Q628" t="str">
        <f ca="1">IF(AND(ISNUMBER($Q$1285),$B$677=1),$Q$1285,HLOOKUP(INDIRECT(ADDRESS(2,COLUMN())),OFFSET($BN$2,0,0,ROW()-1,60),ROW()-1,FALSE))</f>
        <v/>
      </c>
      <c r="R628" t="str">
        <f ca="1">IF(AND(ISNUMBER($R$1285),$B$677=1),$R$1285,HLOOKUP(INDIRECT(ADDRESS(2,COLUMN())),OFFSET($BN$2,0,0,ROW()-1,60),ROW()-1,FALSE))</f>
        <v/>
      </c>
      <c r="S628" t="str">
        <f ca="1">IF(AND(ISNUMBER($S$1285),$B$677=1),$S$1285,HLOOKUP(INDIRECT(ADDRESS(2,COLUMN())),OFFSET($BN$2,0,0,ROW()-1,60),ROW()-1,FALSE))</f>
        <v/>
      </c>
      <c r="T628" t="str">
        <f ca="1">IF(AND(ISNUMBER($T$1285),$B$677=1),$T$1285,HLOOKUP(INDIRECT(ADDRESS(2,COLUMN())),OFFSET($BN$2,0,0,ROW()-1,60),ROW()-1,FALSE))</f>
        <v/>
      </c>
      <c r="U628" t="str">
        <f ca="1">IF(AND(ISNUMBER($U$1285),$B$677=1),$U$1285,HLOOKUP(INDIRECT(ADDRESS(2,COLUMN())),OFFSET($BN$2,0,0,ROW()-1,60),ROW()-1,FALSE))</f>
        <v/>
      </c>
      <c r="V628" t="str">
        <f ca="1">IF(AND(ISNUMBER($V$1285),$B$677=1),$V$1285,HLOOKUP(INDIRECT(ADDRESS(2,COLUMN())),OFFSET($BN$2,0,0,ROW()-1,60),ROW()-1,FALSE))</f>
        <v/>
      </c>
      <c r="W628" t="str">
        <f ca="1">IF(AND(ISNUMBER($W$1285),$B$677=1),$W$1285,HLOOKUP(INDIRECT(ADDRESS(2,COLUMN())),OFFSET($BN$2,0,0,ROW()-1,60),ROW()-1,FALSE))</f>
        <v/>
      </c>
      <c r="X628" t="str">
        <f ca="1">IF(AND(ISNUMBER($X$1285),$B$677=1),$X$1285,HLOOKUP(INDIRECT(ADDRESS(2,COLUMN())),OFFSET($BN$2,0,0,ROW()-1,60),ROW()-1,FALSE))</f>
        <v/>
      </c>
      <c r="Y628" t="str">
        <f ca="1">IF(AND(ISNUMBER($Y$1285),$B$677=1),$Y$1285,HLOOKUP(INDIRECT(ADDRESS(2,COLUMN())),OFFSET($BN$2,0,0,ROW()-1,60),ROW()-1,FALSE))</f>
        <v/>
      </c>
      <c r="Z628" t="str">
        <f ca="1">IF(AND(ISNUMBER($Z$1285),$B$677=1),$Z$1285,HLOOKUP(INDIRECT(ADDRESS(2,COLUMN())),OFFSET($BN$2,0,0,ROW()-1,60),ROW()-1,FALSE))</f>
        <v/>
      </c>
      <c r="AA628" t="str">
        <f ca="1">IF(AND(ISNUMBER($AA$1285),$B$677=1),$AA$1285,HLOOKUP(INDIRECT(ADDRESS(2,COLUMN())),OFFSET($BN$2,0,0,ROW()-1,60),ROW()-1,FALSE))</f>
        <v/>
      </c>
      <c r="AB628" t="str">
        <f ca="1">IF(AND(ISNUMBER($AB$1285),$B$677=1),$AB$1285,HLOOKUP(INDIRECT(ADDRESS(2,COLUMN())),OFFSET($BN$2,0,0,ROW()-1,60),ROW()-1,FALSE))</f>
        <v/>
      </c>
      <c r="AC628" t="str">
        <f ca="1">IF(AND(ISNUMBER($AC$1285),$B$677=1),$AC$1285,HLOOKUP(INDIRECT(ADDRESS(2,COLUMN())),OFFSET($BN$2,0,0,ROW()-1,60),ROW()-1,FALSE))</f>
        <v/>
      </c>
      <c r="AD628" t="str">
        <f ca="1">IF(AND(ISNUMBER($AD$1285),$B$677=1),$AD$1285,HLOOKUP(INDIRECT(ADDRESS(2,COLUMN())),OFFSET($BN$2,0,0,ROW()-1,60),ROW()-1,FALSE))</f>
        <v/>
      </c>
      <c r="AE628" t="str">
        <f ca="1">IF(AND(ISNUMBER($AE$1285),$B$677=1),$AE$1285,HLOOKUP(INDIRECT(ADDRESS(2,COLUMN())),OFFSET($BN$2,0,0,ROW()-1,60),ROW()-1,FALSE))</f>
        <v/>
      </c>
      <c r="AF628" t="str">
        <f ca="1">IF(AND(ISNUMBER($AF$1285),$B$677=1),$AF$1285,HLOOKUP(INDIRECT(ADDRESS(2,COLUMN())),OFFSET($BN$2,0,0,ROW()-1,60),ROW()-1,FALSE))</f>
        <v/>
      </c>
      <c r="AG628" t="str">
        <f ca="1">IF(AND(ISNUMBER($AG$1285),$B$677=1),$AG$1285,HLOOKUP(INDIRECT(ADDRESS(2,COLUMN())),OFFSET($BN$2,0,0,ROW()-1,60),ROW()-1,FALSE))</f>
        <v/>
      </c>
      <c r="AH628" t="str">
        <f ca="1">IF(AND(ISNUMBER($AH$1285),$B$677=1),$AH$1285,HLOOKUP(INDIRECT(ADDRESS(2,COLUMN())),OFFSET($BN$2,0,0,ROW()-1,60),ROW()-1,FALSE))</f>
        <v/>
      </c>
      <c r="AI628" t="str">
        <f ca="1">IF(AND(ISNUMBER($AI$1285),$B$677=1),$AI$1285,HLOOKUP(INDIRECT(ADDRESS(2,COLUMN())),OFFSET($BN$2,0,0,ROW()-1,60),ROW()-1,FALSE))</f>
        <v/>
      </c>
      <c r="AJ628" t="str">
        <f ca="1">IF(AND(ISNUMBER($AJ$1285),$B$677=1),$AJ$1285,HLOOKUP(INDIRECT(ADDRESS(2,COLUMN())),OFFSET($BN$2,0,0,ROW()-1,60),ROW()-1,FALSE))</f>
        <v/>
      </c>
      <c r="AK628">
        <f ca="1">IF(AND(ISNUMBER($AK$1285),$B$677=1),$AK$1285,HLOOKUP(INDIRECT(ADDRESS(2,COLUMN())),OFFSET($BN$2,0,0,ROW()-1,60),ROW()-1,FALSE))</f>
        <v>18.24812142</v>
      </c>
      <c r="AL628">
        <f ca="1">IF(AND(ISNUMBER($AL$1285),$B$677=1),$AL$1285,HLOOKUP(INDIRECT(ADDRESS(2,COLUMN())),OFFSET($BN$2,0,0,ROW()-1,60),ROW()-1,FALSE))</f>
        <v>20.220484379999998</v>
      </c>
      <c r="AM628">
        <f ca="1">IF(AND(ISNUMBER($AM$1285),$B$677=1),$AM$1285,HLOOKUP(INDIRECT(ADDRESS(2,COLUMN())),OFFSET($BN$2,0,0,ROW()-1,60),ROW()-1,FALSE))</f>
        <v>24.338436380000001</v>
      </c>
      <c r="AN628">
        <f ca="1">IF(AND(ISNUMBER($AN$1285),$B$677=1),$AN$1285,HLOOKUP(INDIRECT(ADDRESS(2,COLUMN())),OFFSET($BN$2,0,0,ROW()-1,60),ROW()-1,FALSE))</f>
        <v>33.246741800000002</v>
      </c>
      <c r="AO628">
        <f ca="1">IF(AND(ISNUMBER($AO$1285),$B$677=1),$AO$1285,HLOOKUP(INDIRECT(ADDRESS(2,COLUMN())),OFFSET($BN$2,0,0,ROW()-1,60),ROW()-1,FALSE))</f>
        <v>38.700232919999998</v>
      </c>
      <c r="AP628">
        <f ca="1">IF(AND(ISNUMBER($AP$1285),$B$677=1),$AP$1285,HLOOKUP(INDIRECT(ADDRESS(2,COLUMN())),OFFSET($BN$2,0,0,ROW()-1,60),ROW()-1,FALSE))</f>
        <v>22.275133950000001</v>
      </c>
      <c r="AQ628">
        <f ca="1">IF(AND(ISNUMBER($AQ$1285),$B$677=1),$AQ$1285,HLOOKUP(INDIRECT(ADDRESS(2,COLUMN())),OFFSET($BN$2,0,0,ROW()-1,60),ROW()-1,FALSE))</f>
        <v>6.4772786440000001</v>
      </c>
      <c r="AR628">
        <f ca="1">IF(AND(ISNUMBER($AR$1285),$B$677=1),$AR$1285,HLOOKUP(INDIRECT(ADDRESS(2,COLUMN())),OFFSET($BN$2,0,0,ROW()-1,60),ROW()-1,FALSE))</f>
        <v>-5.5258002270000004</v>
      </c>
      <c r="AS628">
        <f ca="1">IF(AND(ISNUMBER($AS$1285),$B$677=1),$AS$1285,HLOOKUP(INDIRECT(ADDRESS(2,COLUMN())),OFFSET($BN$2,0,0,ROW()-1,60),ROW()-1,FALSE))</f>
        <v>-6.6926264919999996</v>
      </c>
      <c r="AT628">
        <f ca="1">IF(AND(ISNUMBER($AT$1285),$B$677=1),$AT$1285,HLOOKUP(INDIRECT(ADDRESS(2,COLUMN())),OFFSET($BN$2,0,0,ROW()-1,60),ROW()-1,FALSE))</f>
        <v>-3.3803452279999999</v>
      </c>
      <c r="AU628">
        <f ca="1">IF(AND(ISNUMBER($AU$1285),$B$677=1),$AU$1285,HLOOKUP(INDIRECT(ADDRESS(2,COLUMN())),OFFSET($BN$2,0,0,ROW()-1,60),ROW()-1,FALSE))</f>
        <v>2.321810411</v>
      </c>
      <c r="AV628">
        <f ca="1">IF(AND(ISNUMBER($AV$1285),$B$677=1),$AV$1285,HLOOKUP(INDIRECT(ADDRESS(2,COLUMN())),OFFSET($BN$2,0,0,ROW()-1,60),ROW()-1,FALSE))</f>
        <v>-2.8306486139999998</v>
      </c>
      <c r="AW628">
        <f ca="1">IF(AND(ISNUMBER($AW$1285),$B$677=1),$AW$1285,HLOOKUP(INDIRECT(ADDRESS(2,COLUMN())),OFFSET($BN$2,0,0,ROW()-1,60),ROW()-1,FALSE))</f>
        <v>-2.6400629709999999</v>
      </c>
      <c r="AX628">
        <f ca="1">IF(AND(ISNUMBER($AX$1285),$B$677=1),$AX$1285,HLOOKUP(INDIRECT(ADDRESS(2,COLUMN())),OFFSET($BN$2,0,0,ROW()-1,60),ROW()-1,FALSE))</f>
        <v>-4.2384963850000004</v>
      </c>
      <c r="AY628">
        <f ca="1">IF(AND(ISNUMBER($AY$1285),$B$677=1),$AY$1285,HLOOKUP(INDIRECT(ADDRESS(2,COLUMN())),OFFSET($BN$2,0,0,ROW()-1,60),ROW()-1,FALSE))</f>
        <v>-1.973686007</v>
      </c>
      <c r="AZ628">
        <f ca="1">IF(AND(ISNUMBER($AZ$1285),$B$677=1),$AZ$1285,HLOOKUP(INDIRECT(ADDRESS(2,COLUMN())),OFFSET($BN$2,0,0,ROW()-1,60),ROW()-1,FALSE))</f>
        <v>-1.3407705750000001</v>
      </c>
      <c r="BA628">
        <f ca="1">IF(AND(ISNUMBER($BA$1285),$B$677=1),$BA$1285,HLOOKUP(INDIRECT(ADDRESS(2,COLUMN())),OFFSET($BN$2,0,0,ROW()-1,60),ROW()-1,FALSE))</f>
        <v>2.1889614540000002</v>
      </c>
      <c r="BB628">
        <f ca="1">IF(AND(ISNUMBER($BB$1285),$B$677=1),$BB$1285,HLOOKUP(INDIRECT(ADDRESS(2,COLUMN())),OFFSET($BN$2,0,0,ROW()-1,60),ROW()-1,FALSE))</f>
        <v>1.5577006870000001</v>
      </c>
      <c r="BC628">
        <f ca="1">IF(AND(ISNUMBER($BC$1285),$B$677=1),$BC$1285,HLOOKUP(INDIRECT(ADDRESS(2,COLUMN())),OFFSET($BN$2,0,0,ROW()-1,60),ROW()-1,FALSE))</f>
        <v>-0.86378527999999999</v>
      </c>
      <c r="BD628">
        <f ca="1">IF(AND(ISNUMBER($BD$1285),$B$677=1),$BD$1285,HLOOKUP(INDIRECT(ADDRESS(2,COLUMN())),OFFSET($BN$2,0,0,ROW()-1,60),ROW()-1,FALSE))</f>
        <v>-0.69890850900000001</v>
      </c>
      <c r="BE628">
        <f ca="1">IF(AND(ISNUMBER($BE$1285),$B$677=1),$BE$1285,HLOOKUP(INDIRECT(ADDRESS(2,COLUMN())),OFFSET($BN$2,0,0,ROW()-1,60),ROW()-1,FALSE))</f>
        <v>-6.0276736260000003</v>
      </c>
      <c r="BF628">
        <f ca="1">IF(AND(ISNUMBER($BF$1285),$B$677=1),$BF$1285,HLOOKUP(INDIRECT(ADDRESS(2,COLUMN())),OFFSET($BN$2,0,0,ROW()-1,60),ROW()-1,FALSE))</f>
        <v>-3.2297585889999998</v>
      </c>
      <c r="BG628">
        <f ca="1">IF(AND(ISNUMBER($BG$1285),$B$677=1),$BG$1285,HLOOKUP(INDIRECT(ADDRESS(2,COLUMN())),OFFSET($BN$2,0,0,ROW()-1,60),ROW()-1,FALSE))</f>
        <v>-1.9888655589999999</v>
      </c>
      <c r="BH628">
        <f ca="1">IF(AND(ISNUMBER($BH$1285),$B$677=1),$BH$1285,HLOOKUP(INDIRECT(ADDRESS(2,COLUMN())),OFFSET($BN$2,0,0,ROW()-1,60),ROW()-1,FALSE))</f>
        <v>2.1079357839999999</v>
      </c>
      <c r="BI628">
        <f ca="1">IF(AND(ISNUMBER($BI$1285),$B$677=1),$BI$1285,HLOOKUP(INDIRECT(ADDRESS(2,COLUMN())),OFFSET($BN$2,0,0,ROW()-1,60),ROW()-1,FALSE))</f>
        <v>6.8023616669999996</v>
      </c>
      <c r="BJ628">
        <f ca="1">IF(AND(ISNUMBER($BJ$1285),$B$677=1),$BJ$1285,HLOOKUP(INDIRECT(ADDRESS(2,COLUMN())),OFFSET($BN$2,0,0,ROW()-1,60),ROW()-1,FALSE))</f>
        <v>4.9273227469999998</v>
      </c>
      <c r="BK628" t="str">
        <f ca="1">IF(AND(ISNUMBER($BK$1285),$B$677=1),$BK$1285,HLOOKUP(INDIRECT(ADDRESS(2,COLUMN())),OFFSET($BN$2,0,0,ROW()-1,60),ROW()-1,FALSE))</f>
        <v/>
      </c>
      <c r="BL628" t="str">
        <f ca="1">IF(AND(ISNUMBER($BL$1285),$B$677=1),$BL$1285,HLOOKUP(INDIRECT(ADDRESS(2,COLUMN())),OFFSET($BN$2,0,0,ROW()-1,60),ROW()-1,FALSE))</f>
        <v/>
      </c>
      <c r="BM628" t="str">
        <f ca="1">IF(AND(ISNUMBER($BM$1285),$B$677=1),$BM$1285,HLOOKUP(INDIRECT(ADDRESS(2,COLUMN())),OFFSET($BN$2,0,0,ROW()-1,60),ROW()-1,FALSE))</f>
        <v/>
      </c>
      <c r="BN628" t="str">
        <f>""</f>
        <v/>
      </c>
      <c r="BO628" t="str">
        <f>""</f>
        <v/>
      </c>
      <c r="BP628" t="str">
        <f>""</f>
        <v/>
      </c>
      <c r="BQ628" t="str">
        <f>""</f>
        <v/>
      </c>
      <c r="BR628" t="str">
        <f>""</f>
        <v/>
      </c>
      <c r="BS628" t="str">
        <f>""</f>
        <v/>
      </c>
      <c r="BT628" t="str">
        <f>""</f>
        <v/>
      </c>
      <c r="BU628" t="str">
        <f>""</f>
        <v/>
      </c>
      <c r="BV628" t="str">
        <f>""</f>
        <v/>
      </c>
      <c r="BW628" t="str">
        <f>""</f>
        <v/>
      </c>
      <c r="BX628" t="str">
        <f>""</f>
        <v/>
      </c>
      <c r="BY628" t="str">
        <f>""</f>
        <v/>
      </c>
      <c r="BZ628" t="str">
        <f>""</f>
        <v/>
      </c>
      <c r="CA628" t="str">
        <f>""</f>
        <v/>
      </c>
      <c r="CB628" t="str">
        <f>""</f>
        <v/>
      </c>
      <c r="CC628" t="str">
        <f>""</f>
        <v/>
      </c>
      <c r="CD628" t="str">
        <f>""</f>
        <v/>
      </c>
      <c r="CE628" t="str">
        <f>""</f>
        <v/>
      </c>
      <c r="CF628" t="str">
        <f>""</f>
        <v/>
      </c>
      <c r="CG628" t="str">
        <f>""</f>
        <v/>
      </c>
      <c r="CH628" t="str">
        <f>""</f>
        <v/>
      </c>
      <c r="CI628" t="str">
        <f>""</f>
        <v/>
      </c>
      <c r="CJ628" t="str">
        <f>""</f>
        <v/>
      </c>
      <c r="CK628" t="str">
        <f>""</f>
        <v/>
      </c>
      <c r="CL628" t="str">
        <f>""</f>
        <v/>
      </c>
      <c r="CM628" t="str">
        <f>""</f>
        <v/>
      </c>
      <c r="CN628" t="str">
        <f>""</f>
        <v/>
      </c>
      <c r="CO628" t="str">
        <f>""</f>
        <v/>
      </c>
      <c r="CP628" t="str">
        <f>""</f>
        <v/>
      </c>
      <c r="CQ628" t="str">
        <f>""</f>
        <v/>
      </c>
      <c r="CR628" t="str">
        <f>""</f>
        <v/>
      </c>
      <c r="CS628">
        <f>18.24812142</f>
        <v>18.24812142</v>
      </c>
      <c r="CT628">
        <f>20.22048438</f>
        <v>20.220484379999998</v>
      </c>
      <c r="CU628">
        <f>24.33843638</f>
        <v>24.338436380000001</v>
      </c>
      <c r="CV628">
        <f>33.2467418</f>
        <v>33.246741800000002</v>
      </c>
      <c r="CW628">
        <f>38.70023292</f>
        <v>38.700232919999998</v>
      </c>
      <c r="CX628">
        <f>22.27513395</f>
        <v>22.275133950000001</v>
      </c>
      <c r="CY628">
        <f>6.477278644</f>
        <v>6.4772786440000001</v>
      </c>
      <c r="CZ628">
        <f>-5.525800227</f>
        <v>-5.5258002270000004</v>
      </c>
      <c r="DA628">
        <f>-6.692626492</f>
        <v>-6.6926264919999996</v>
      </c>
      <c r="DB628">
        <f>-3.380345228</f>
        <v>-3.3803452279999999</v>
      </c>
      <c r="DC628">
        <f>2.321810411</f>
        <v>2.321810411</v>
      </c>
      <c r="DD628">
        <f>-2.830648614</f>
        <v>-2.8306486139999998</v>
      </c>
      <c r="DE628">
        <f>-2.640062971</f>
        <v>-2.6400629709999999</v>
      </c>
      <c r="DF628">
        <f>-4.238496385</f>
        <v>-4.2384963850000004</v>
      </c>
      <c r="DG628">
        <f>-1.973686007</f>
        <v>-1.973686007</v>
      </c>
      <c r="DH628">
        <f>-1.340770575</f>
        <v>-1.3407705750000001</v>
      </c>
      <c r="DI628">
        <f>2.188961454</f>
        <v>2.1889614540000002</v>
      </c>
      <c r="DJ628">
        <f>1.557700687</f>
        <v>1.5577006870000001</v>
      </c>
      <c r="DK628">
        <f>-0.86378528</f>
        <v>-0.86378527999999999</v>
      </c>
      <c r="DL628">
        <f>-0.698908509</f>
        <v>-0.69890850900000001</v>
      </c>
      <c r="DM628">
        <f>-6.027673626</f>
        <v>-6.0276736260000003</v>
      </c>
      <c r="DN628">
        <f>-3.229758589</f>
        <v>-3.2297585889999998</v>
      </c>
      <c r="DO628">
        <f>-1.988865559</f>
        <v>-1.9888655589999999</v>
      </c>
      <c r="DP628">
        <f>2.107935784</f>
        <v>2.1079357839999999</v>
      </c>
      <c r="DQ628">
        <f>6.802361667</f>
        <v>6.8023616669999996</v>
      </c>
      <c r="DR628">
        <f>4.927322747</f>
        <v>4.9273227469999998</v>
      </c>
      <c r="DS628" t="str">
        <f>""</f>
        <v/>
      </c>
      <c r="DT628" t="str">
        <f>""</f>
        <v/>
      </c>
      <c r="DU628" t="str">
        <f>""</f>
        <v/>
      </c>
    </row>
    <row r="629" spans="1:125" x14ac:dyDescent="0.25">
      <c r="A629" t="str">
        <f>"    Daimler AG"</f>
        <v xml:space="preserve">    Daimler AG</v>
      </c>
      <c r="B629" t="str">
        <f>"DAI GR Equity"</f>
        <v>DAI GR Equity</v>
      </c>
      <c r="C629" t="str">
        <f t="shared" si="45"/>
        <v>RX539</v>
      </c>
      <c r="D629" t="str">
        <f t="shared" si="46"/>
        <v>T12_FCF_YIELD</v>
      </c>
      <c r="E629" t="str">
        <f t="shared" si="47"/>
        <v>Dynamic</v>
      </c>
      <c r="F629">
        <f ca="1">IF(AND(ISNUMBER($F$1286),$B$677=1),$F$1286,HLOOKUP(INDIRECT(ADDRESS(2,COLUMN())),OFFSET($BN$2,0,0,ROW()-1,60),ROW()-1,FALSE))</f>
        <v>-12.869197550000001</v>
      </c>
      <c r="G629">
        <f ca="1">IF(AND(ISNUMBER($G$1286),$B$677=1),$G$1286,HLOOKUP(INDIRECT(ADDRESS(2,COLUMN())),OFFSET($BN$2,0,0,ROW()-1,60),ROW()-1,FALSE))</f>
        <v>-14.64077953</v>
      </c>
      <c r="H629">
        <f ca="1">IF(AND(ISNUMBER($H$1286),$B$677=1),$H$1286,HLOOKUP(INDIRECT(ADDRESS(2,COLUMN())),OFFSET($BN$2,0,0,ROW()-1,60),ROW()-1,FALSE))</f>
        <v>-23.761512509999999</v>
      </c>
      <c r="I629">
        <f ca="1">IF(AND(ISNUMBER($I$1286),$B$677=1),$I$1286,HLOOKUP(INDIRECT(ADDRESS(2,COLUMN())),OFFSET($BN$2,0,0,ROW()-1,60),ROW()-1,FALSE))</f>
        <v>-17.195619180000001</v>
      </c>
      <c r="J629">
        <f ca="1">IF(AND(ISNUMBER($J$1286),$B$677=1),$J$1286,HLOOKUP(INDIRECT(ADDRESS(2,COLUMN())),OFFSET($BN$2,0,0,ROW()-1,60),ROW()-1,FALSE))</f>
        <v>-13.07527851</v>
      </c>
      <c r="K629">
        <f ca="1">IF(AND(ISNUMBER($K$1286),$B$677=1),$K$1286,HLOOKUP(INDIRECT(ADDRESS(2,COLUMN())),OFFSET($BN$2,0,0,ROW()-1,60),ROW()-1,FALSE))</f>
        <v>-11.084634489999999</v>
      </c>
      <c r="L629">
        <f ca="1">IF(AND(ISNUMBER($L$1286),$B$677=1),$L$1286,HLOOKUP(INDIRECT(ADDRESS(2,COLUMN())),OFFSET($BN$2,0,0,ROW()-1,60),ROW()-1,FALSE))</f>
        <v>-2.8857825319999999</v>
      </c>
      <c r="M629">
        <f ca="1">IF(AND(ISNUMBER($M$1286),$B$677=1),$M$1286,HLOOKUP(INDIRECT(ADDRESS(2,COLUMN())),OFFSET($BN$2,0,0,ROW()-1,60),ROW()-1,FALSE))</f>
        <v>-3.7271099009999999</v>
      </c>
      <c r="N629">
        <f ca="1">IF(AND(ISNUMBER($N$1286),$B$677=1),$N$1286,HLOOKUP(INDIRECT(ADDRESS(2,COLUMN())),OFFSET($BN$2,0,0,ROW()-1,60),ROW()-1,FALSE))</f>
        <v>-2.079413685</v>
      </c>
      <c r="O629">
        <f ca="1">IF(AND(ISNUMBER($O$1286),$B$677=1),$O$1286,HLOOKUP(INDIRECT(ADDRESS(2,COLUMN())),OFFSET($BN$2,0,0,ROW()-1,60),ROW()-1,FALSE))</f>
        <v>-2.878709535</v>
      </c>
      <c r="P629">
        <f ca="1">IF(AND(ISNUMBER($P$1286),$B$677=1),$P$1286,HLOOKUP(INDIRECT(ADDRESS(2,COLUMN())),OFFSET($BN$2,0,0,ROW()-1,60),ROW()-1,FALSE))</f>
        <v>-5.3269875600000001</v>
      </c>
      <c r="Q629">
        <f ca="1">IF(AND(ISNUMBER($Q$1286),$B$677=1),$Q$1286,HLOOKUP(INDIRECT(ADDRESS(2,COLUMN())),OFFSET($BN$2,0,0,ROW()-1,60),ROW()-1,FALSE))</f>
        <v>-6.2592878970000001</v>
      </c>
      <c r="R629">
        <f ca="1">IF(AND(ISNUMBER($R$1286),$B$677=1),$R$1286,HLOOKUP(INDIRECT(ADDRESS(2,COLUMN())),OFFSET($BN$2,0,0,ROW()-1,60),ROW()-1,FALSE))</f>
        <v>-7.7621005040000002</v>
      </c>
      <c r="S629">
        <f ca="1">IF(AND(ISNUMBER($S$1286),$B$677=1),$S$1286,HLOOKUP(INDIRECT(ADDRESS(2,COLUMN())),OFFSET($BN$2,0,0,ROW()-1,60),ROW()-1,FALSE))</f>
        <v>-5.8471298559999996</v>
      </c>
      <c r="T629">
        <f ca="1">IF(AND(ISNUMBER($T$1286),$B$677=1),$T$1286,HLOOKUP(INDIRECT(ADDRESS(2,COLUMN())),OFFSET($BN$2,0,0,ROW()-1,60),ROW()-1,FALSE))</f>
        <v>-11.31196179</v>
      </c>
      <c r="U629">
        <f ca="1">IF(AND(ISNUMBER($U$1286),$B$677=1),$U$1286,HLOOKUP(INDIRECT(ADDRESS(2,COLUMN())),OFFSET($BN$2,0,0,ROW()-1,60),ROW()-1,FALSE))</f>
        <v>-7.6709976820000003</v>
      </c>
      <c r="V629">
        <f ca="1">IF(AND(ISNUMBER($V$1286),$B$677=1),$V$1286,HLOOKUP(INDIRECT(ADDRESS(2,COLUMN())),OFFSET($BN$2,0,0,ROW()-1,60),ROW()-1,FALSE))</f>
        <v>-6.1615231030000004</v>
      </c>
      <c r="W629">
        <f ca="1">IF(AND(ISNUMBER($W$1286),$B$677=1),$W$1286,HLOOKUP(INDIRECT(ADDRESS(2,COLUMN())),OFFSET($BN$2,0,0,ROW()-1,60),ROW()-1,FALSE))</f>
        <v>-8.2914687750000002</v>
      </c>
      <c r="X629">
        <f ca="1">IF(AND(ISNUMBER($X$1286),$B$677=1),$X$1286,HLOOKUP(INDIRECT(ADDRESS(2,COLUMN())),OFFSET($BN$2,0,0,ROW()-1,60),ROW()-1,FALSE))</f>
        <v>-2.4958855120000001</v>
      </c>
      <c r="Y629">
        <f ca="1">IF(AND(ISNUMBER($Y$1286),$B$677=1),$Y$1286,HLOOKUP(INDIRECT(ADDRESS(2,COLUMN())),OFFSET($BN$2,0,0,ROW()-1,60),ROW()-1,FALSE))</f>
        <v>-2.2054611030000002</v>
      </c>
      <c r="Z629">
        <f ca="1">IF(AND(ISNUMBER($Z$1286),$B$677=1),$Z$1286,HLOOKUP(INDIRECT(ADDRESS(2,COLUMN())),OFFSET($BN$2,0,0,ROW()-1,60),ROW()-1,FALSE))</f>
        <v>-0.56513240499999995</v>
      </c>
      <c r="AA629">
        <f ca="1">IF(AND(ISNUMBER($AA$1286),$B$677=1),$AA$1286,HLOOKUP(INDIRECT(ADDRESS(2,COLUMN())),OFFSET($BN$2,0,0,ROW()-1,60),ROW()-1,FALSE))</f>
        <v>-2.5123563849999999</v>
      </c>
      <c r="AB629">
        <f ca="1">IF(AND(ISNUMBER($AB$1286),$B$677=1),$AB$1286,HLOOKUP(INDIRECT(ADDRESS(2,COLUMN())),OFFSET($BN$2,0,0,ROW()-1,60),ROW()-1,FALSE))</f>
        <v>-3.5658849589999999</v>
      </c>
      <c r="AC629">
        <f ca="1">IF(AND(ISNUMBER($AC$1286),$B$677=1),$AC$1286,HLOOKUP(INDIRECT(ADDRESS(2,COLUMN())),OFFSET($BN$2,0,0,ROW()-1,60),ROW()-1,FALSE))</f>
        <v>-8.3533332310000006</v>
      </c>
      <c r="AD629">
        <f ca="1">IF(AND(ISNUMBER($AD$1286),$B$677=1),$AD$1286,HLOOKUP(INDIRECT(ADDRESS(2,COLUMN())),OFFSET($BN$2,0,0,ROW()-1,60),ROW()-1,FALSE))</f>
        <v>-11.04452919</v>
      </c>
      <c r="AE629">
        <f ca="1">IF(AND(ISNUMBER($AE$1286),$B$677=1),$AE$1286,HLOOKUP(INDIRECT(ADDRESS(2,COLUMN())),OFFSET($BN$2,0,0,ROW()-1,60),ROW()-1,FALSE))</f>
        <v>-13.438253720000001</v>
      </c>
      <c r="AF629">
        <f ca="1">IF(AND(ISNUMBER($AF$1286),$B$677=1),$AF$1286,HLOOKUP(INDIRECT(ADDRESS(2,COLUMN())),OFFSET($BN$2,0,0,ROW()-1,60),ROW()-1,FALSE))</f>
        <v>-15.55604246</v>
      </c>
      <c r="AG629">
        <f ca="1">IF(AND(ISNUMBER($AG$1286),$B$677=1),$AG$1286,HLOOKUP(INDIRECT(ADDRESS(2,COLUMN())),OFFSET($BN$2,0,0,ROW()-1,60),ROW()-1,FALSE))</f>
        <v>-15.251496530000001</v>
      </c>
      <c r="AH629">
        <f ca="1">IF(AND(ISNUMBER($AH$1286),$B$677=1),$AH$1286,HLOOKUP(INDIRECT(ADDRESS(2,COLUMN())),OFFSET($BN$2,0,0,ROW()-1,60),ROW()-1,FALSE))</f>
        <v>-10.506461760000001</v>
      </c>
      <c r="AI629">
        <f ca="1">IF(AND(ISNUMBER($AI$1286),$B$677=1),$AI$1286,HLOOKUP(INDIRECT(ADDRESS(2,COLUMN())),OFFSET($BN$2,0,0,ROW()-1,60),ROW()-1,FALSE))</f>
        <v>-13.419940130000001</v>
      </c>
      <c r="AJ629">
        <f ca="1">IF(AND(ISNUMBER($AJ$1286),$B$677=1),$AJ$1286,HLOOKUP(INDIRECT(ADDRESS(2,COLUMN())),OFFSET($BN$2,0,0,ROW()-1,60),ROW()-1,FALSE))</f>
        <v>-9.7168703139999995</v>
      </c>
      <c r="AK629">
        <f ca="1">IF(AND(ISNUMBER($AK$1286),$B$677=1),$AK$1286,HLOOKUP(INDIRECT(ADDRESS(2,COLUMN())),OFFSET($BN$2,0,0,ROW()-1,60),ROW()-1,FALSE))</f>
        <v>0.46230863999999999</v>
      </c>
      <c r="AL629">
        <f ca="1">IF(AND(ISNUMBER($AL$1286),$B$677=1),$AL$1286,HLOOKUP(INDIRECT(ADDRESS(2,COLUMN())),OFFSET($BN$2,0,0,ROW()-1,60),ROW()-1,FALSE))</f>
        <v>4.4949163160000003</v>
      </c>
      <c r="AM629">
        <f ca="1">IF(AND(ISNUMBER($AM$1286),$B$677=1),$AM$1286,HLOOKUP(INDIRECT(ADDRESS(2,COLUMN())),OFFSET($BN$2,0,0,ROW()-1,60),ROW()-1,FALSE))</f>
        <v>9.0628766049999996</v>
      </c>
      <c r="AN629">
        <f ca="1">IF(AND(ISNUMBER($AN$1286),$B$677=1),$AN$1286,HLOOKUP(INDIRECT(ADDRESS(2,COLUMN())),OFFSET($BN$2,0,0,ROW()-1,60),ROW()-1,FALSE))</f>
        <v>13.5177288</v>
      </c>
      <c r="AO629">
        <f ca="1">IF(AND(ISNUMBER($AO$1286),$B$677=1),$AO$1286,HLOOKUP(INDIRECT(ADDRESS(2,COLUMN())),OFFSET($BN$2,0,0,ROW()-1,60),ROW()-1,FALSE))</f>
        <v>14.762031410000001</v>
      </c>
      <c r="AP629">
        <f ca="1">IF(AND(ISNUMBER($AP$1286),$B$677=1),$AP$1286,HLOOKUP(INDIRECT(ADDRESS(2,COLUMN())),OFFSET($BN$2,0,0,ROW()-1,60),ROW()-1,FALSE))</f>
        <v>21.36389235</v>
      </c>
      <c r="AQ629">
        <f ca="1">IF(AND(ISNUMBER($AQ$1286),$B$677=1),$AQ$1286,HLOOKUP(INDIRECT(ADDRESS(2,COLUMN())),OFFSET($BN$2,0,0,ROW()-1,60),ROW()-1,FALSE))</f>
        <v>21.611364049999999</v>
      </c>
      <c r="AR629">
        <f ca="1">IF(AND(ISNUMBER($AR$1286),$B$677=1),$AR$1286,HLOOKUP(INDIRECT(ADDRESS(2,COLUMN())),OFFSET($BN$2,0,0,ROW()-1,60),ROW()-1,FALSE))</f>
        <v>14.731576560000001</v>
      </c>
      <c r="AS629">
        <f ca="1">IF(AND(ISNUMBER($AS$1286),$B$677=1),$AS$1286,HLOOKUP(INDIRECT(ADDRESS(2,COLUMN())),OFFSET($BN$2,0,0,ROW()-1,60),ROW()-1,FALSE))</f>
        <v>10.50277299</v>
      </c>
      <c r="AT629">
        <f ca="1">IF(AND(ISNUMBER($AT$1286),$B$677=1),$AT$1286,HLOOKUP(INDIRECT(ADDRESS(2,COLUMN())),OFFSET($BN$2,0,0,ROW()-1,60),ROW()-1,FALSE))</f>
        <v>1.6801548900000001</v>
      </c>
      <c r="AU629">
        <f ca="1">IF(AND(ISNUMBER($AU$1286),$B$677=1),$AU$1286,HLOOKUP(INDIRECT(ADDRESS(2,COLUMN())),OFFSET($BN$2,0,0,ROW()-1,60),ROW()-1,FALSE))</f>
        <v>-1.3745607399999999</v>
      </c>
      <c r="AV629">
        <f ca="1">IF(AND(ISNUMBER($AV$1286),$B$677=1),$AV$1286,HLOOKUP(INDIRECT(ADDRESS(2,COLUMN())),OFFSET($BN$2,0,0,ROW()-1,60),ROW()-1,FALSE))</f>
        <v>5.7672086330000001</v>
      </c>
      <c r="AW629">
        <f ca="1">IF(AND(ISNUMBER($AW$1286),$B$677=1),$AW$1286,HLOOKUP(INDIRECT(ADDRESS(2,COLUMN())),OFFSET($BN$2,0,0,ROW()-1,60),ROW()-1,FALSE))</f>
        <v>6.2711082759999996</v>
      </c>
      <c r="AX629">
        <f ca="1">IF(AND(ISNUMBER($AX$1286),$B$677=1),$AX$1286,HLOOKUP(INDIRECT(ADDRESS(2,COLUMN())),OFFSET($BN$2,0,0,ROW()-1,60),ROW()-1,FALSE))</f>
        <v>5.8135306999999997E-2</v>
      </c>
      <c r="AY629">
        <f ca="1">IF(AND(ISNUMBER($AY$1286),$B$677=1),$AY$1286,HLOOKUP(INDIRECT(ADDRESS(2,COLUMN())),OFFSET($BN$2,0,0,ROW()-1,60),ROW()-1,FALSE))</f>
        <v>1.994205644</v>
      </c>
      <c r="AZ629">
        <f ca="1">IF(AND(ISNUMBER($AZ$1286),$B$677=1),$AZ$1286,HLOOKUP(INDIRECT(ADDRESS(2,COLUMN())),OFFSET($BN$2,0,0,ROW()-1,60),ROW()-1,FALSE))</f>
        <v>-0.24781104700000001</v>
      </c>
      <c r="BA629">
        <f ca="1">IF(AND(ISNUMBER($BA$1286),$B$677=1),$BA$1286,HLOOKUP(INDIRECT(ADDRESS(2,COLUMN())),OFFSET($BN$2,0,0,ROW()-1,60),ROW()-1,FALSE))</f>
        <v>-3.5885361100000002</v>
      </c>
      <c r="BB629">
        <f ca="1">IF(AND(ISNUMBER($BB$1286),$B$677=1),$BB$1286,HLOOKUP(INDIRECT(ADDRESS(2,COLUMN())),OFFSET($BN$2,0,0,ROW()-1,60),ROW()-1,FALSE))</f>
        <v>-5.6541099790000002</v>
      </c>
      <c r="BC629">
        <f ca="1">IF(AND(ISNUMBER($BC$1286),$B$677=1),$BC$1286,HLOOKUP(INDIRECT(ADDRESS(2,COLUMN())),OFFSET($BN$2,0,0,ROW()-1,60),ROW()-1,FALSE))</f>
        <v>-15.28105066</v>
      </c>
      <c r="BD629">
        <f ca="1">IF(AND(ISNUMBER($BD$1286),$B$677=1),$BD$1286,HLOOKUP(INDIRECT(ADDRESS(2,COLUMN())),OFFSET($BN$2,0,0,ROW()-1,60),ROW()-1,FALSE))</f>
        <v>-28.578291490000002</v>
      </c>
      <c r="BE629">
        <f ca="1">IF(AND(ISNUMBER($BE$1286),$B$677=1),$BE$1286,HLOOKUP(INDIRECT(ADDRESS(2,COLUMN())),OFFSET($BN$2,0,0,ROW()-1,60),ROW()-1,FALSE))</f>
        <v>-30.370426399999999</v>
      </c>
      <c r="BF629">
        <f ca="1">IF(AND(ISNUMBER($BF$1286),$B$677=1),$BF$1286,HLOOKUP(INDIRECT(ADDRESS(2,COLUMN())),OFFSET($BN$2,0,0,ROW()-1,60),ROW()-1,FALSE))</f>
        <v>-27.715434999999999</v>
      </c>
      <c r="BG629">
        <f ca="1">IF(AND(ISNUMBER($BG$1286),$B$677=1),$BG$1286,HLOOKUP(INDIRECT(ADDRESS(2,COLUMN())),OFFSET($BN$2,0,0,ROW()-1,60),ROW()-1,FALSE))</f>
        <v>-33.630780219999998</v>
      </c>
      <c r="BH629">
        <f ca="1">IF(AND(ISNUMBER($BH$1286),$B$677=1),$BH$1286,HLOOKUP(INDIRECT(ADDRESS(2,COLUMN())),OFFSET($BN$2,0,0,ROW()-1,60),ROW()-1,FALSE))</f>
        <v>-33.171439300000003</v>
      </c>
      <c r="BI629">
        <f ca="1">IF(AND(ISNUMBER($BI$1286),$B$677=1),$BI$1286,HLOOKUP(INDIRECT(ADDRESS(2,COLUMN())),OFFSET($BN$2,0,0,ROW()-1,60),ROW()-1,FALSE))</f>
        <v>-60.351059540000001</v>
      </c>
      <c r="BJ629">
        <f ca="1">IF(AND(ISNUMBER($BJ$1286),$B$677=1),$BJ$1286,HLOOKUP(INDIRECT(ADDRESS(2,COLUMN())),OFFSET($BN$2,0,0,ROW()-1,60),ROW()-1,FALSE))</f>
        <v>-55.367381999999999</v>
      </c>
      <c r="BK629">
        <f ca="1">IF(AND(ISNUMBER($BK$1286),$B$677=1),$BK$1286,HLOOKUP(INDIRECT(ADDRESS(2,COLUMN())),OFFSET($BN$2,0,0,ROW()-1,60),ROW()-1,FALSE))</f>
        <v>-50.632594730000001</v>
      </c>
      <c r="BL629">
        <f ca="1">IF(AND(ISNUMBER($BL$1286),$B$677=1),$BL$1286,HLOOKUP(INDIRECT(ADDRESS(2,COLUMN())),OFFSET($BN$2,0,0,ROW()-1,60),ROW()-1,FALSE))</f>
        <v>-46.247597900000002</v>
      </c>
      <c r="BM629">
        <f ca="1">IF(AND(ISNUMBER($BM$1286),$B$677=1),$BM$1286,HLOOKUP(INDIRECT(ADDRESS(2,COLUMN())),OFFSET($BN$2,0,0,ROW()-1,60),ROW()-1,FALSE))</f>
        <v>-26.339284660000001</v>
      </c>
      <c r="BN629">
        <f>-12.86919755</f>
        <v>-12.869197550000001</v>
      </c>
      <c r="BO629">
        <f>-14.64077953</f>
        <v>-14.64077953</v>
      </c>
      <c r="BP629">
        <f>-23.76151251</f>
        <v>-23.761512509999999</v>
      </c>
      <c r="BQ629">
        <f>-17.19561918</f>
        <v>-17.195619180000001</v>
      </c>
      <c r="BR629">
        <f>-13.07527851</f>
        <v>-13.07527851</v>
      </c>
      <c r="BS629">
        <f>-11.08463449</f>
        <v>-11.084634489999999</v>
      </c>
      <c r="BT629">
        <f>-2.885782532</f>
        <v>-2.8857825319999999</v>
      </c>
      <c r="BU629">
        <f>-3.727109901</f>
        <v>-3.7271099009999999</v>
      </c>
      <c r="BV629">
        <f>-2.079413685</f>
        <v>-2.079413685</v>
      </c>
      <c r="BW629">
        <f>-2.878709535</f>
        <v>-2.878709535</v>
      </c>
      <c r="BX629">
        <f>-5.32698756</f>
        <v>-5.3269875600000001</v>
      </c>
      <c r="BY629">
        <f>-6.259287897</f>
        <v>-6.2592878970000001</v>
      </c>
      <c r="BZ629">
        <f>-7.762100504</f>
        <v>-7.7621005040000002</v>
      </c>
      <c r="CA629">
        <f>-5.847129856</f>
        <v>-5.8471298559999996</v>
      </c>
      <c r="CB629">
        <f>-11.31196179</f>
        <v>-11.31196179</v>
      </c>
      <c r="CC629">
        <f>-7.670997682</f>
        <v>-7.6709976820000003</v>
      </c>
      <c r="CD629">
        <f>-6.161523103</f>
        <v>-6.1615231030000004</v>
      </c>
      <c r="CE629">
        <f>-8.291468775</f>
        <v>-8.2914687750000002</v>
      </c>
      <c r="CF629">
        <f>-2.495885512</f>
        <v>-2.4958855120000001</v>
      </c>
      <c r="CG629">
        <f>-2.205461103</f>
        <v>-2.2054611030000002</v>
      </c>
      <c r="CH629">
        <f>-0.565132405</f>
        <v>-0.56513240499999995</v>
      </c>
      <c r="CI629">
        <f>-2.512356385</f>
        <v>-2.5123563849999999</v>
      </c>
      <c r="CJ629">
        <f>-3.565884959</f>
        <v>-3.5658849589999999</v>
      </c>
      <c r="CK629">
        <f>-8.353333231</f>
        <v>-8.3533332310000006</v>
      </c>
      <c r="CL629">
        <f>-11.04452919</f>
        <v>-11.04452919</v>
      </c>
      <c r="CM629">
        <f>-13.43825372</f>
        <v>-13.438253720000001</v>
      </c>
      <c r="CN629">
        <f>-15.55604246</f>
        <v>-15.55604246</v>
      </c>
      <c r="CO629">
        <f>-15.25149653</f>
        <v>-15.251496530000001</v>
      </c>
      <c r="CP629">
        <f>-10.50646176</f>
        <v>-10.506461760000001</v>
      </c>
      <c r="CQ629">
        <f>-13.41994013</f>
        <v>-13.419940130000001</v>
      </c>
      <c r="CR629">
        <f>-9.716870314</f>
        <v>-9.7168703139999995</v>
      </c>
      <c r="CS629">
        <f>0.46230864</f>
        <v>0.46230863999999999</v>
      </c>
      <c r="CT629">
        <f>4.494916316</f>
        <v>4.4949163160000003</v>
      </c>
      <c r="CU629">
        <f>9.062876605</f>
        <v>9.0628766049999996</v>
      </c>
      <c r="CV629">
        <f>13.5177288</f>
        <v>13.5177288</v>
      </c>
      <c r="CW629">
        <f>14.76203141</f>
        <v>14.762031410000001</v>
      </c>
      <c r="CX629">
        <f>21.36389235</f>
        <v>21.36389235</v>
      </c>
      <c r="CY629">
        <f>21.61136405</f>
        <v>21.611364049999999</v>
      </c>
      <c r="CZ629">
        <f>14.73157656</f>
        <v>14.731576560000001</v>
      </c>
      <c r="DA629">
        <f>10.50277299</f>
        <v>10.50277299</v>
      </c>
      <c r="DB629">
        <f>1.68015489</f>
        <v>1.6801548900000001</v>
      </c>
      <c r="DC629">
        <f>-1.37456074</f>
        <v>-1.3745607399999999</v>
      </c>
      <c r="DD629">
        <f>5.767208633</f>
        <v>5.7672086330000001</v>
      </c>
      <c r="DE629">
        <f>6.271108276</f>
        <v>6.2711082759999996</v>
      </c>
      <c r="DF629">
        <f>0.058135307</f>
        <v>5.8135306999999997E-2</v>
      </c>
      <c r="DG629">
        <f>1.994205644</f>
        <v>1.994205644</v>
      </c>
      <c r="DH629">
        <f>-0.247811047</f>
        <v>-0.24781104700000001</v>
      </c>
      <c r="DI629">
        <f>-3.58853611</f>
        <v>-3.5885361100000002</v>
      </c>
      <c r="DJ629">
        <f>-5.654109979</f>
        <v>-5.6541099790000002</v>
      </c>
      <c r="DK629">
        <f>-15.28105066</f>
        <v>-15.28105066</v>
      </c>
      <c r="DL629">
        <f>-28.57829149</f>
        <v>-28.578291490000002</v>
      </c>
      <c r="DM629">
        <f>-30.3704264</f>
        <v>-30.370426399999999</v>
      </c>
      <c r="DN629">
        <f>-27.715435</f>
        <v>-27.715434999999999</v>
      </c>
      <c r="DO629">
        <f>-33.63078022</f>
        <v>-33.630780219999998</v>
      </c>
      <c r="DP629">
        <f>-33.1714393</f>
        <v>-33.171439300000003</v>
      </c>
      <c r="DQ629">
        <f>-60.35105954</f>
        <v>-60.351059540000001</v>
      </c>
      <c r="DR629">
        <f>-55.367382</f>
        <v>-55.367381999999999</v>
      </c>
      <c r="DS629">
        <f>-50.63259473</f>
        <v>-50.632594730000001</v>
      </c>
      <c r="DT629">
        <f>-46.2475979</f>
        <v>-46.247597900000002</v>
      </c>
      <c r="DU629">
        <f>-26.33928466</f>
        <v>-26.339284660000001</v>
      </c>
    </row>
    <row r="630" spans="1:125" x14ac:dyDescent="0.25">
      <c r="A630" t="str">
        <f>"    Dongfeng Motor Group Co Ltd"</f>
        <v xml:space="preserve">    Dongfeng Motor Group Co Ltd</v>
      </c>
      <c r="B630" t="str">
        <f>"489 HK Equity"</f>
        <v>489 HK Equity</v>
      </c>
      <c r="C630" t="str">
        <f t="shared" si="45"/>
        <v>RX539</v>
      </c>
      <c r="D630" t="str">
        <f t="shared" si="46"/>
        <v>T12_FCF_YIELD</v>
      </c>
      <c r="E630" t="str">
        <f t="shared" si="47"/>
        <v>Dynamic</v>
      </c>
      <c r="F630" t="str">
        <f ca="1">IF(AND(ISNUMBER($F$1287),$B$677=1),$F$1287,HLOOKUP(INDIRECT(ADDRESS(2,COLUMN())),OFFSET($BN$2,0,0,ROW()-1,60),ROW()-1,FALSE))</f>
        <v/>
      </c>
      <c r="G630" t="str">
        <f ca="1">IF(AND(ISNUMBER($G$1287),$B$677=1),$G$1287,HLOOKUP(INDIRECT(ADDRESS(2,COLUMN())),OFFSET($BN$2,0,0,ROW()-1,60),ROW()-1,FALSE))</f>
        <v/>
      </c>
      <c r="H630" t="str">
        <f ca="1">IF(AND(ISNUMBER($H$1287),$B$677=1),$H$1287,HLOOKUP(INDIRECT(ADDRESS(2,COLUMN())),OFFSET($BN$2,0,0,ROW()-1,60),ROW()-1,FALSE))</f>
        <v/>
      </c>
      <c r="I630" t="str">
        <f ca="1">IF(AND(ISNUMBER($I$1287),$B$677=1),$I$1287,HLOOKUP(INDIRECT(ADDRESS(2,COLUMN())),OFFSET($BN$2,0,0,ROW()-1,60),ROW()-1,FALSE))</f>
        <v/>
      </c>
      <c r="J630" t="str">
        <f ca="1">IF(AND(ISNUMBER($J$1287),$B$677=1),$J$1287,HLOOKUP(INDIRECT(ADDRESS(2,COLUMN())),OFFSET($BN$2,0,0,ROW()-1,60),ROW()-1,FALSE))</f>
        <v/>
      </c>
      <c r="K630" t="str">
        <f ca="1">IF(AND(ISNUMBER($K$1287),$B$677=1),$K$1287,HLOOKUP(INDIRECT(ADDRESS(2,COLUMN())),OFFSET($BN$2,0,0,ROW()-1,60),ROW()-1,FALSE))</f>
        <v/>
      </c>
      <c r="L630" t="str">
        <f ca="1">IF(AND(ISNUMBER($L$1287),$B$677=1),$L$1287,HLOOKUP(INDIRECT(ADDRESS(2,COLUMN())),OFFSET($BN$2,0,0,ROW()-1,60),ROW()-1,FALSE))</f>
        <v/>
      </c>
      <c r="M630" t="str">
        <f ca="1">IF(AND(ISNUMBER($M$1287),$B$677=1),$M$1287,HLOOKUP(INDIRECT(ADDRESS(2,COLUMN())),OFFSET($BN$2,0,0,ROW()-1,60),ROW()-1,FALSE))</f>
        <v/>
      </c>
      <c r="N630" t="str">
        <f ca="1">IF(AND(ISNUMBER($N$1287),$B$677=1),$N$1287,HLOOKUP(INDIRECT(ADDRESS(2,COLUMN())),OFFSET($BN$2,0,0,ROW()-1,60),ROW()-1,FALSE))</f>
        <v/>
      </c>
      <c r="O630" t="str">
        <f ca="1">IF(AND(ISNUMBER($O$1287),$B$677=1),$O$1287,HLOOKUP(INDIRECT(ADDRESS(2,COLUMN())),OFFSET($BN$2,0,0,ROW()-1,60),ROW()-1,FALSE))</f>
        <v/>
      </c>
      <c r="P630" t="str">
        <f ca="1">IF(AND(ISNUMBER($P$1287),$B$677=1),$P$1287,HLOOKUP(INDIRECT(ADDRESS(2,COLUMN())),OFFSET($BN$2,0,0,ROW()-1,60),ROW()-1,FALSE))</f>
        <v/>
      </c>
      <c r="Q630" t="str">
        <f ca="1">IF(AND(ISNUMBER($Q$1287),$B$677=1),$Q$1287,HLOOKUP(INDIRECT(ADDRESS(2,COLUMN())),OFFSET($BN$2,0,0,ROW()-1,60),ROW()-1,FALSE))</f>
        <v/>
      </c>
      <c r="R630" t="str">
        <f ca="1">IF(AND(ISNUMBER($R$1287),$B$677=1),$R$1287,HLOOKUP(INDIRECT(ADDRESS(2,COLUMN())),OFFSET($BN$2,0,0,ROW()-1,60),ROW()-1,FALSE))</f>
        <v/>
      </c>
      <c r="S630" t="str">
        <f ca="1">IF(AND(ISNUMBER($S$1287),$B$677=1),$S$1287,HLOOKUP(INDIRECT(ADDRESS(2,COLUMN())),OFFSET($BN$2,0,0,ROW()-1,60),ROW()-1,FALSE))</f>
        <v/>
      </c>
      <c r="T630" t="str">
        <f ca="1">IF(AND(ISNUMBER($T$1287),$B$677=1),$T$1287,HLOOKUP(INDIRECT(ADDRESS(2,COLUMN())),OFFSET($BN$2,0,0,ROW()-1,60),ROW()-1,FALSE))</f>
        <v/>
      </c>
      <c r="U630" t="str">
        <f ca="1">IF(AND(ISNUMBER($U$1287),$B$677=1),$U$1287,HLOOKUP(INDIRECT(ADDRESS(2,COLUMN())),OFFSET($BN$2,0,0,ROW()-1,60),ROW()-1,FALSE))</f>
        <v/>
      </c>
      <c r="V630" t="str">
        <f ca="1">IF(AND(ISNUMBER($V$1287),$B$677=1),$V$1287,HLOOKUP(INDIRECT(ADDRESS(2,COLUMN())),OFFSET($BN$2,0,0,ROW()-1,60),ROW()-1,FALSE))</f>
        <v/>
      </c>
      <c r="W630" t="str">
        <f ca="1">IF(AND(ISNUMBER($W$1287),$B$677=1),$W$1287,HLOOKUP(INDIRECT(ADDRESS(2,COLUMN())),OFFSET($BN$2,0,0,ROW()-1,60),ROW()-1,FALSE))</f>
        <v/>
      </c>
      <c r="X630" t="str">
        <f ca="1">IF(AND(ISNUMBER($X$1287),$B$677=1),$X$1287,HLOOKUP(INDIRECT(ADDRESS(2,COLUMN())),OFFSET($BN$2,0,0,ROW()-1,60),ROW()-1,FALSE))</f>
        <v/>
      </c>
      <c r="Y630" t="str">
        <f ca="1">IF(AND(ISNUMBER($Y$1287),$B$677=1),$Y$1287,HLOOKUP(INDIRECT(ADDRESS(2,COLUMN())),OFFSET($BN$2,0,0,ROW()-1,60),ROW()-1,FALSE))</f>
        <v/>
      </c>
      <c r="Z630" t="str">
        <f ca="1">IF(AND(ISNUMBER($Z$1287),$B$677=1),$Z$1287,HLOOKUP(INDIRECT(ADDRESS(2,COLUMN())),OFFSET($BN$2,0,0,ROW()-1,60),ROW()-1,FALSE))</f>
        <v/>
      </c>
      <c r="AA630" t="str">
        <f ca="1">IF(AND(ISNUMBER($AA$1287),$B$677=1),$AA$1287,HLOOKUP(INDIRECT(ADDRESS(2,COLUMN())),OFFSET($BN$2,0,0,ROW()-1,60),ROW()-1,FALSE))</f>
        <v/>
      </c>
      <c r="AB630" t="str">
        <f ca="1">IF(AND(ISNUMBER($AB$1287),$B$677=1),$AB$1287,HLOOKUP(INDIRECT(ADDRESS(2,COLUMN())),OFFSET($BN$2,0,0,ROW()-1,60),ROW()-1,FALSE))</f>
        <v/>
      </c>
      <c r="AC630" t="str">
        <f ca="1">IF(AND(ISNUMBER($AC$1287),$B$677=1),$AC$1287,HLOOKUP(INDIRECT(ADDRESS(2,COLUMN())),OFFSET($BN$2,0,0,ROW()-1,60),ROW()-1,FALSE))</f>
        <v/>
      </c>
      <c r="AD630" t="str">
        <f ca="1">IF(AND(ISNUMBER($AD$1287),$B$677=1),$AD$1287,HLOOKUP(INDIRECT(ADDRESS(2,COLUMN())),OFFSET($BN$2,0,0,ROW()-1,60),ROW()-1,FALSE))</f>
        <v/>
      </c>
      <c r="AE630" t="str">
        <f ca="1">IF(AND(ISNUMBER($AE$1287),$B$677=1),$AE$1287,HLOOKUP(INDIRECT(ADDRESS(2,COLUMN())),OFFSET($BN$2,0,0,ROW()-1,60),ROW()-1,FALSE))</f>
        <v/>
      </c>
      <c r="AF630" t="str">
        <f ca="1">IF(AND(ISNUMBER($AF$1287),$B$677=1),$AF$1287,HLOOKUP(INDIRECT(ADDRESS(2,COLUMN())),OFFSET($BN$2,0,0,ROW()-1,60),ROW()-1,FALSE))</f>
        <v/>
      </c>
      <c r="AG630" t="str">
        <f ca="1">IF(AND(ISNUMBER($AG$1287),$B$677=1),$AG$1287,HLOOKUP(INDIRECT(ADDRESS(2,COLUMN())),OFFSET($BN$2,0,0,ROW()-1,60),ROW()-1,FALSE))</f>
        <v/>
      </c>
      <c r="AH630" t="str">
        <f ca="1">IF(AND(ISNUMBER($AH$1287),$B$677=1),$AH$1287,HLOOKUP(INDIRECT(ADDRESS(2,COLUMN())),OFFSET($BN$2,0,0,ROW()-1,60),ROW()-1,FALSE))</f>
        <v/>
      </c>
      <c r="AI630" t="str">
        <f ca="1">IF(AND(ISNUMBER($AI$1287),$B$677=1),$AI$1287,HLOOKUP(INDIRECT(ADDRESS(2,COLUMN())),OFFSET($BN$2,0,0,ROW()-1,60),ROW()-1,FALSE))</f>
        <v/>
      </c>
      <c r="AJ630" t="str">
        <f ca="1">IF(AND(ISNUMBER($AJ$1287),$B$677=1),$AJ$1287,HLOOKUP(INDIRECT(ADDRESS(2,COLUMN())),OFFSET($BN$2,0,0,ROW()-1,60),ROW()-1,FALSE))</f>
        <v/>
      </c>
      <c r="AK630" t="str">
        <f ca="1">IF(AND(ISNUMBER($AK$1287),$B$677=1),$AK$1287,HLOOKUP(INDIRECT(ADDRESS(2,COLUMN())),OFFSET($BN$2,0,0,ROW()-1,60),ROW()-1,FALSE))</f>
        <v/>
      </c>
      <c r="AL630" t="str">
        <f ca="1">IF(AND(ISNUMBER($AL$1287),$B$677=1),$AL$1287,HLOOKUP(INDIRECT(ADDRESS(2,COLUMN())),OFFSET($BN$2,0,0,ROW()-1,60),ROW()-1,FALSE))</f>
        <v/>
      </c>
      <c r="AM630" t="str">
        <f ca="1">IF(AND(ISNUMBER($AM$1287),$B$677=1),$AM$1287,HLOOKUP(INDIRECT(ADDRESS(2,COLUMN())),OFFSET($BN$2,0,0,ROW()-1,60),ROW()-1,FALSE))</f>
        <v/>
      </c>
      <c r="AN630" t="str">
        <f ca="1">IF(AND(ISNUMBER($AN$1287),$B$677=1),$AN$1287,HLOOKUP(INDIRECT(ADDRESS(2,COLUMN())),OFFSET($BN$2,0,0,ROW()-1,60),ROW()-1,FALSE))</f>
        <v/>
      </c>
      <c r="AO630" t="str">
        <f ca="1">IF(AND(ISNUMBER($AO$1287),$B$677=1),$AO$1287,HLOOKUP(INDIRECT(ADDRESS(2,COLUMN())),OFFSET($BN$2,0,0,ROW()-1,60),ROW()-1,FALSE))</f>
        <v/>
      </c>
      <c r="AP630" t="str">
        <f ca="1">IF(AND(ISNUMBER($AP$1287),$B$677=1),$AP$1287,HLOOKUP(INDIRECT(ADDRESS(2,COLUMN())),OFFSET($BN$2,0,0,ROW()-1,60),ROW()-1,FALSE))</f>
        <v/>
      </c>
      <c r="AQ630" t="str">
        <f ca="1">IF(AND(ISNUMBER($AQ$1287),$B$677=1),$AQ$1287,HLOOKUP(INDIRECT(ADDRESS(2,COLUMN())),OFFSET($BN$2,0,0,ROW()-1,60),ROW()-1,FALSE))</f>
        <v/>
      </c>
      <c r="AR630" t="str">
        <f ca="1">IF(AND(ISNUMBER($AR$1287),$B$677=1),$AR$1287,HLOOKUP(INDIRECT(ADDRESS(2,COLUMN())),OFFSET($BN$2,0,0,ROW()-1,60),ROW()-1,FALSE))</f>
        <v/>
      </c>
      <c r="AS630" t="str">
        <f ca="1">IF(AND(ISNUMBER($AS$1287),$B$677=1),$AS$1287,HLOOKUP(INDIRECT(ADDRESS(2,COLUMN())),OFFSET($BN$2,0,0,ROW()-1,60),ROW()-1,FALSE))</f>
        <v/>
      </c>
      <c r="AT630" t="str">
        <f ca="1">IF(AND(ISNUMBER($AT$1287),$B$677=1),$AT$1287,HLOOKUP(INDIRECT(ADDRESS(2,COLUMN())),OFFSET($BN$2,0,0,ROW()-1,60),ROW()-1,FALSE))</f>
        <v/>
      </c>
      <c r="AU630" t="str">
        <f ca="1">IF(AND(ISNUMBER($AU$1287),$B$677=1),$AU$1287,HLOOKUP(INDIRECT(ADDRESS(2,COLUMN())),OFFSET($BN$2,0,0,ROW()-1,60),ROW()-1,FALSE))</f>
        <v/>
      </c>
      <c r="AV630" t="str">
        <f ca="1">IF(AND(ISNUMBER($AV$1287),$B$677=1),$AV$1287,HLOOKUP(INDIRECT(ADDRESS(2,COLUMN())),OFFSET($BN$2,0,0,ROW()-1,60),ROW()-1,FALSE))</f>
        <v/>
      </c>
      <c r="AW630" t="str">
        <f ca="1">IF(AND(ISNUMBER($AW$1287),$B$677=1),$AW$1287,HLOOKUP(INDIRECT(ADDRESS(2,COLUMN())),OFFSET($BN$2,0,0,ROW()-1,60),ROW()-1,FALSE))</f>
        <v/>
      </c>
      <c r="AX630" t="str">
        <f ca="1">IF(AND(ISNUMBER($AX$1287),$B$677=1),$AX$1287,HLOOKUP(INDIRECT(ADDRESS(2,COLUMN())),OFFSET($BN$2,0,0,ROW()-1,60),ROW()-1,FALSE))</f>
        <v/>
      </c>
      <c r="AY630" t="str">
        <f ca="1">IF(AND(ISNUMBER($AY$1287),$B$677=1),$AY$1287,HLOOKUP(INDIRECT(ADDRESS(2,COLUMN())),OFFSET($BN$2,0,0,ROW()-1,60),ROW()-1,FALSE))</f>
        <v/>
      </c>
      <c r="AZ630" t="str">
        <f ca="1">IF(AND(ISNUMBER($AZ$1287),$B$677=1),$AZ$1287,HLOOKUP(INDIRECT(ADDRESS(2,COLUMN())),OFFSET($BN$2,0,0,ROW()-1,60),ROW()-1,FALSE))</f>
        <v/>
      </c>
      <c r="BA630" t="str">
        <f ca="1">IF(AND(ISNUMBER($BA$1287),$B$677=1),$BA$1287,HLOOKUP(INDIRECT(ADDRESS(2,COLUMN())),OFFSET($BN$2,0,0,ROW()-1,60),ROW()-1,FALSE))</f>
        <v/>
      </c>
      <c r="BB630" t="str">
        <f ca="1">IF(AND(ISNUMBER($BB$1287),$B$677=1),$BB$1287,HLOOKUP(INDIRECT(ADDRESS(2,COLUMN())),OFFSET($BN$2,0,0,ROW()-1,60),ROW()-1,FALSE))</f>
        <v/>
      </c>
      <c r="BC630" t="str">
        <f ca="1">IF(AND(ISNUMBER($BC$1287),$B$677=1),$BC$1287,HLOOKUP(INDIRECT(ADDRESS(2,COLUMN())),OFFSET($BN$2,0,0,ROW()-1,60),ROW()-1,FALSE))</f>
        <v/>
      </c>
      <c r="BD630" t="str">
        <f ca="1">IF(AND(ISNUMBER($BD$1287),$B$677=1),$BD$1287,HLOOKUP(INDIRECT(ADDRESS(2,COLUMN())),OFFSET($BN$2,0,0,ROW()-1,60),ROW()-1,FALSE))</f>
        <v/>
      </c>
      <c r="BE630" t="str">
        <f ca="1">IF(AND(ISNUMBER($BE$1287),$B$677=1),$BE$1287,HLOOKUP(INDIRECT(ADDRESS(2,COLUMN())),OFFSET($BN$2,0,0,ROW()-1,60),ROW()-1,FALSE))</f>
        <v/>
      </c>
      <c r="BF630" t="str">
        <f ca="1">IF(AND(ISNUMBER($BF$1287),$B$677=1),$BF$1287,HLOOKUP(INDIRECT(ADDRESS(2,COLUMN())),OFFSET($BN$2,0,0,ROW()-1,60),ROW()-1,FALSE))</f>
        <v/>
      </c>
      <c r="BG630" t="str">
        <f ca="1">IF(AND(ISNUMBER($BG$1287),$B$677=1),$BG$1287,HLOOKUP(INDIRECT(ADDRESS(2,COLUMN())),OFFSET($BN$2,0,0,ROW()-1,60),ROW()-1,FALSE))</f>
        <v/>
      </c>
      <c r="BH630" t="str">
        <f ca="1">IF(AND(ISNUMBER($BH$1287),$B$677=1),$BH$1287,HLOOKUP(INDIRECT(ADDRESS(2,COLUMN())),OFFSET($BN$2,0,0,ROW()-1,60),ROW()-1,FALSE))</f>
        <v/>
      </c>
      <c r="BI630" t="str">
        <f ca="1">IF(AND(ISNUMBER($BI$1287),$B$677=1),$BI$1287,HLOOKUP(INDIRECT(ADDRESS(2,COLUMN())),OFFSET($BN$2,0,0,ROW()-1,60),ROW()-1,FALSE))</f>
        <v/>
      </c>
      <c r="BJ630" t="str">
        <f ca="1">IF(AND(ISNUMBER($BJ$1287),$B$677=1),$BJ$1287,HLOOKUP(INDIRECT(ADDRESS(2,COLUMN())),OFFSET($BN$2,0,0,ROW()-1,60),ROW()-1,FALSE))</f>
        <v/>
      </c>
      <c r="BK630" t="str">
        <f ca="1">IF(AND(ISNUMBER($BK$1287),$B$677=1),$BK$1287,HLOOKUP(INDIRECT(ADDRESS(2,COLUMN())),OFFSET($BN$2,0,0,ROW()-1,60),ROW()-1,FALSE))</f>
        <v/>
      </c>
      <c r="BL630" t="str">
        <f ca="1">IF(AND(ISNUMBER($BL$1287),$B$677=1),$BL$1287,HLOOKUP(INDIRECT(ADDRESS(2,COLUMN())),OFFSET($BN$2,0,0,ROW()-1,60),ROW()-1,FALSE))</f>
        <v/>
      </c>
      <c r="BM630" t="str">
        <f ca="1">IF(AND(ISNUMBER($BM$1287),$B$677=1),$BM$1287,HLOOKUP(INDIRECT(ADDRESS(2,COLUMN())),OFFSET($BN$2,0,0,ROW()-1,60),ROW()-1,FALSE))</f>
        <v/>
      </c>
      <c r="BN630" t="str">
        <f>""</f>
        <v/>
      </c>
      <c r="BO630" t="str">
        <f>""</f>
        <v/>
      </c>
      <c r="BP630" t="str">
        <f>""</f>
        <v/>
      </c>
      <c r="BQ630" t="str">
        <f>""</f>
        <v/>
      </c>
      <c r="BR630" t="str">
        <f>""</f>
        <v/>
      </c>
      <c r="BS630" t="str">
        <f>""</f>
        <v/>
      </c>
      <c r="BT630" t="str">
        <f>""</f>
        <v/>
      </c>
      <c r="BU630" t="str">
        <f>""</f>
        <v/>
      </c>
      <c r="BV630" t="str">
        <f>""</f>
        <v/>
      </c>
      <c r="BW630" t="str">
        <f>""</f>
        <v/>
      </c>
      <c r="BX630" t="str">
        <f>""</f>
        <v/>
      </c>
      <c r="BY630" t="str">
        <f>""</f>
        <v/>
      </c>
      <c r="BZ630" t="str">
        <f>""</f>
        <v/>
      </c>
      <c r="CA630" t="str">
        <f>""</f>
        <v/>
      </c>
      <c r="CB630" t="str">
        <f>""</f>
        <v/>
      </c>
      <c r="CC630" t="str">
        <f>""</f>
        <v/>
      </c>
      <c r="CD630" t="str">
        <f>""</f>
        <v/>
      </c>
      <c r="CE630" t="str">
        <f>""</f>
        <v/>
      </c>
      <c r="CF630" t="str">
        <f>""</f>
        <v/>
      </c>
      <c r="CG630" t="str">
        <f>""</f>
        <v/>
      </c>
      <c r="CH630" t="str">
        <f>""</f>
        <v/>
      </c>
      <c r="CI630" t="str">
        <f>""</f>
        <v/>
      </c>
      <c r="CJ630" t="str">
        <f>""</f>
        <v/>
      </c>
      <c r="CK630" t="str">
        <f>""</f>
        <v/>
      </c>
      <c r="CL630" t="str">
        <f>""</f>
        <v/>
      </c>
      <c r="CM630" t="str">
        <f>""</f>
        <v/>
      </c>
      <c r="CN630" t="str">
        <f>""</f>
        <v/>
      </c>
      <c r="CO630" t="str">
        <f>""</f>
        <v/>
      </c>
      <c r="CP630" t="str">
        <f>""</f>
        <v/>
      </c>
      <c r="CQ630" t="str">
        <f>""</f>
        <v/>
      </c>
      <c r="CR630" t="str">
        <f>""</f>
        <v/>
      </c>
      <c r="CS630" t="str">
        <f>""</f>
        <v/>
      </c>
      <c r="CT630" t="str">
        <f>""</f>
        <v/>
      </c>
      <c r="CU630" t="str">
        <f>""</f>
        <v/>
      </c>
      <c r="CV630" t="str">
        <f>""</f>
        <v/>
      </c>
      <c r="CW630" t="str">
        <f>""</f>
        <v/>
      </c>
      <c r="CX630" t="str">
        <f>""</f>
        <v/>
      </c>
      <c r="CY630" t="str">
        <f>""</f>
        <v/>
      </c>
      <c r="CZ630" t="str">
        <f>""</f>
        <v/>
      </c>
      <c r="DA630" t="str">
        <f>""</f>
        <v/>
      </c>
      <c r="DB630" t="str">
        <f>""</f>
        <v/>
      </c>
      <c r="DC630" t="str">
        <f>""</f>
        <v/>
      </c>
      <c r="DD630" t="str">
        <f>""</f>
        <v/>
      </c>
      <c r="DE630" t="str">
        <f>""</f>
        <v/>
      </c>
      <c r="DF630" t="str">
        <f>""</f>
        <v/>
      </c>
      <c r="DG630" t="str">
        <f>""</f>
        <v/>
      </c>
      <c r="DH630" t="str">
        <f>""</f>
        <v/>
      </c>
      <c r="DI630" t="str">
        <f>""</f>
        <v/>
      </c>
      <c r="DJ630" t="str">
        <f>""</f>
        <v/>
      </c>
      <c r="DK630" t="str">
        <f>""</f>
        <v/>
      </c>
      <c r="DL630" t="str">
        <f>""</f>
        <v/>
      </c>
      <c r="DM630" t="str">
        <f>""</f>
        <v/>
      </c>
      <c r="DN630" t="str">
        <f>""</f>
        <v/>
      </c>
      <c r="DO630" t="str">
        <f>""</f>
        <v/>
      </c>
      <c r="DP630" t="str">
        <f>""</f>
        <v/>
      </c>
      <c r="DQ630" t="str">
        <f>""</f>
        <v/>
      </c>
      <c r="DR630" t="str">
        <f>""</f>
        <v/>
      </c>
      <c r="DS630" t="str">
        <f>""</f>
        <v/>
      </c>
      <c r="DT630" t="str">
        <f>""</f>
        <v/>
      </c>
      <c r="DU630" t="str">
        <f>""</f>
        <v/>
      </c>
    </row>
    <row r="631" spans="1:125" x14ac:dyDescent="0.25">
      <c r="A631" t="str">
        <f>"    DRB-Hicom Bhd"</f>
        <v xml:space="preserve">    DRB-Hicom Bhd</v>
      </c>
      <c r="B631" t="str">
        <f>"DRB MK Equity"</f>
        <v>DRB MK Equity</v>
      </c>
      <c r="C631" t="str">
        <f t="shared" si="45"/>
        <v>RX539</v>
      </c>
      <c r="D631" t="str">
        <f t="shared" si="46"/>
        <v>T12_FCF_YIELD</v>
      </c>
      <c r="E631" t="str">
        <f t="shared" si="47"/>
        <v>Dynamic</v>
      </c>
      <c r="F631" t="str">
        <f ca="1">IF(AND(ISNUMBER($F$1288),$B$677=1),$F$1288,HLOOKUP(INDIRECT(ADDRESS(2,COLUMN())),OFFSET($BN$2,0,0,ROW()-1,60),ROW()-1,FALSE))</f>
        <v/>
      </c>
      <c r="G631">
        <f ca="1">IF(AND(ISNUMBER($G$1288),$B$677=1),$G$1288,HLOOKUP(INDIRECT(ADDRESS(2,COLUMN())),OFFSET($BN$2,0,0,ROW()-1,60),ROW()-1,FALSE))</f>
        <v>50.258506629999999</v>
      </c>
      <c r="H631">
        <f ca="1">IF(AND(ISNUMBER($H$1288),$B$677=1),$H$1288,HLOOKUP(INDIRECT(ADDRESS(2,COLUMN())),OFFSET($BN$2,0,0,ROW()-1,60),ROW()-1,FALSE))</f>
        <v>38.909811580000003</v>
      </c>
      <c r="I631">
        <f ca="1">IF(AND(ISNUMBER($I$1288),$B$677=1),$I$1288,HLOOKUP(INDIRECT(ADDRESS(2,COLUMN())),OFFSET($BN$2,0,0,ROW()-1,60),ROW()-1,FALSE))</f>
        <v>14.605196039999999</v>
      </c>
      <c r="J631">
        <f ca="1">IF(AND(ISNUMBER($J$1288),$B$677=1),$J$1288,HLOOKUP(INDIRECT(ADDRESS(2,COLUMN())),OFFSET($BN$2,0,0,ROW()-1,60),ROW()-1,FALSE))</f>
        <v>5.8609758860000003</v>
      </c>
      <c r="K631">
        <f ca="1">IF(AND(ISNUMBER($K$1288),$B$677=1),$K$1288,HLOOKUP(INDIRECT(ADDRESS(2,COLUMN())),OFFSET($BN$2,0,0,ROW()-1,60),ROW()-1,FALSE))</f>
        <v>12.49855913</v>
      </c>
      <c r="L631">
        <f ca="1">IF(AND(ISNUMBER($L$1288),$B$677=1),$L$1288,HLOOKUP(INDIRECT(ADDRESS(2,COLUMN())),OFFSET($BN$2,0,0,ROW()-1,60),ROW()-1,FALSE))</f>
        <v>-28.449565750000001</v>
      </c>
      <c r="M631">
        <f ca="1">IF(AND(ISNUMBER($M$1288),$B$677=1),$M$1288,HLOOKUP(INDIRECT(ADDRESS(2,COLUMN())),OFFSET($BN$2,0,0,ROW()-1,60),ROW()-1,FALSE))</f>
        <v>-43.513732109999999</v>
      </c>
      <c r="N631">
        <f ca="1">IF(AND(ISNUMBER($N$1288),$B$677=1),$N$1288,HLOOKUP(INDIRECT(ADDRESS(2,COLUMN())),OFFSET($BN$2,0,0,ROW()-1,60),ROW()-1,FALSE))</f>
        <v>-21.679811099999998</v>
      </c>
      <c r="O631">
        <f ca="1">IF(AND(ISNUMBER($O$1288),$B$677=1),$O$1288,HLOOKUP(INDIRECT(ADDRESS(2,COLUMN())),OFFSET($BN$2,0,0,ROW()-1,60),ROW()-1,FALSE))</f>
        <v>-77.179900239999995</v>
      </c>
      <c r="P631">
        <f ca="1">IF(AND(ISNUMBER($P$1288),$B$677=1),$P$1288,HLOOKUP(INDIRECT(ADDRESS(2,COLUMN())),OFFSET($BN$2,0,0,ROW()-1,60),ROW()-1,FALSE))</f>
        <v>-26.157200270000001</v>
      </c>
      <c r="Q631">
        <f ca="1">IF(AND(ISNUMBER($Q$1288),$B$677=1),$Q$1288,HLOOKUP(INDIRECT(ADDRESS(2,COLUMN())),OFFSET($BN$2,0,0,ROW()-1,60),ROW()-1,FALSE))</f>
        <v>7.80498636</v>
      </c>
      <c r="R631">
        <f ca="1">IF(AND(ISNUMBER($R$1288),$B$677=1),$R$1288,HLOOKUP(INDIRECT(ADDRESS(2,COLUMN())),OFFSET($BN$2,0,0,ROW()-1,60),ROW()-1,FALSE))</f>
        <v>-61.360104190000001</v>
      </c>
      <c r="S631">
        <f ca="1">IF(AND(ISNUMBER($S$1288),$B$677=1),$S$1288,HLOOKUP(INDIRECT(ADDRESS(2,COLUMN())),OFFSET($BN$2,0,0,ROW()-1,60),ROW()-1,FALSE))</f>
        <v>-62.427343909999998</v>
      </c>
      <c r="T631">
        <f ca="1">IF(AND(ISNUMBER($T$1288),$B$677=1),$T$1288,HLOOKUP(INDIRECT(ADDRESS(2,COLUMN())),OFFSET($BN$2,0,0,ROW()-1,60),ROW()-1,FALSE))</f>
        <v>-90.19563737</v>
      </c>
      <c r="U631">
        <f ca="1">IF(AND(ISNUMBER($U$1288),$B$677=1),$U$1288,HLOOKUP(INDIRECT(ADDRESS(2,COLUMN())),OFFSET($BN$2,0,0,ROW()-1,60),ROW()-1,FALSE))</f>
        <v>-60.624196480000002</v>
      </c>
      <c r="V631">
        <f ca="1">IF(AND(ISNUMBER($V$1288),$B$677=1),$V$1288,HLOOKUP(INDIRECT(ADDRESS(2,COLUMN())),OFFSET($BN$2,0,0,ROW()-1,60),ROW()-1,FALSE))</f>
        <v>-1.789350437</v>
      </c>
      <c r="W631">
        <f ca="1">IF(AND(ISNUMBER($W$1288),$B$677=1),$W$1288,HLOOKUP(INDIRECT(ADDRESS(2,COLUMN())),OFFSET($BN$2,0,0,ROW()-1,60),ROW()-1,FALSE))</f>
        <v>9.8252971450000004</v>
      </c>
      <c r="X631">
        <f ca="1">IF(AND(ISNUMBER($X$1288),$B$677=1),$X$1288,HLOOKUP(INDIRECT(ADDRESS(2,COLUMN())),OFFSET($BN$2,0,0,ROW()-1,60),ROW()-1,FALSE))</f>
        <v>-24.03620145</v>
      </c>
      <c r="Y631">
        <f ca="1">IF(AND(ISNUMBER($Y$1288),$B$677=1),$Y$1288,HLOOKUP(INDIRECT(ADDRESS(2,COLUMN())),OFFSET($BN$2,0,0,ROW()-1,60),ROW()-1,FALSE))</f>
        <v>-24.167516450000001</v>
      </c>
      <c r="Z631">
        <f ca="1">IF(AND(ISNUMBER($Z$1288),$B$677=1),$Z$1288,HLOOKUP(INDIRECT(ADDRESS(2,COLUMN())),OFFSET($BN$2,0,0,ROW()-1,60),ROW()-1,FALSE))</f>
        <v>-52.562152509999997</v>
      </c>
      <c r="AA631">
        <f ca="1">IF(AND(ISNUMBER($AA$1288),$B$677=1),$AA$1288,HLOOKUP(INDIRECT(ADDRESS(2,COLUMN())),OFFSET($BN$2,0,0,ROW()-1,60),ROW()-1,FALSE))</f>
        <v>16.593030970000001</v>
      </c>
      <c r="AB631">
        <f ca="1">IF(AND(ISNUMBER($AB$1288),$B$677=1),$AB$1288,HLOOKUP(INDIRECT(ADDRESS(2,COLUMN())),OFFSET($BN$2,0,0,ROW()-1,60),ROW()-1,FALSE))</f>
        <v>51.740228790000003</v>
      </c>
      <c r="AC631">
        <f ca="1">IF(AND(ISNUMBER($AC$1288),$B$677=1),$AC$1288,HLOOKUP(INDIRECT(ADDRESS(2,COLUMN())),OFFSET($BN$2,0,0,ROW()-1,60),ROW()-1,FALSE))</f>
        <v>39.334050730000001</v>
      </c>
      <c r="AD631">
        <f ca="1">IF(AND(ISNUMBER($AD$1288),$B$677=1),$AD$1288,HLOOKUP(INDIRECT(ADDRESS(2,COLUMN())),OFFSET($BN$2,0,0,ROW()-1,60),ROW()-1,FALSE))</f>
        <v>-8.4418814619999996</v>
      </c>
      <c r="AE631">
        <f ca="1">IF(AND(ISNUMBER($AE$1288),$B$677=1),$AE$1288,HLOOKUP(INDIRECT(ADDRESS(2,COLUMN())),OFFSET($BN$2,0,0,ROW()-1,60),ROW()-1,FALSE))</f>
        <v>-35.570319959999999</v>
      </c>
      <c r="AF631">
        <f ca="1">IF(AND(ISNUMBER($AF$1288),$B$677=1),$AF$1288,HLOOKUP(INDIRECT(ADDRESS(2,COLUMN())),OFFSET($BN$2,0,0,ROW()-1,60),ROW()-1,FALSE))</f>
        <v>-10.125071309999999</v>
      </c>
      <c r="AG631">
        <f ca="1">IF(AND(ISNUMBER($AG$1288),$B$677=1),$AG$1288,HLOOKUP(INDIRECT(ADDRESS(2,COLUMN())),OFFSET($BN$2,0,0,ROW()-1,60),ROW()-1,FALSE))</f>
        <v>-49.029350350000001</v>
      </c>
      <c r="AH631">
        <f ca="1">IF(AND(ISNUMBER($AH$1288),$B$677=1),$AH$1288,HLOOKUP(INDIRECT(ADDRESS(2,COLUMN())),OFFSET($BN$2,0,0,ROW()-1,60),ROW()-1,FALSE))</f>
        <v>-14.345459829999999</v>
      </c>
      <c r="AI631">
        <f ca="1">IF(AND(ISNUMBER($AI$1288),$B$677=1),$AI$1288,HLOOKUP(INDIRECT(ADDRESS(2,COLUMN())),OFFSET($BN$2,0,0,ROW()-1,60),ROW()-1,FALSE))</f>
        <v>-26.528704399999999</v>
      </c>
      <c r="AJ631">
        <f ca="1">IF(AND(ISNUMBER($AJ$1288),$B$677=1),$AJ$1288,HLOOKUP(INDIRECT(ADDRESS(2,COLUMN())),OFFSET($BN$2,0,0,ROW()-1,60),ROW()-1,FALSE))</f>
        <v>-111.00442769999999</v>
      </c>
      <c r="AK631">
        <f ca="1">IF(AND(ISNUMBER($AK$1288),$B$677=1),$AK$1288,HLOOKUP(INDIRECT(ADDRESS(2,COLUMN())),OFFSET($BN$2,0,0,ROW()-1,60),ROW()-1,FALSE))</f>
        <v>-63.705162250000001</v>
      </c>
      <c r="AL631">
        <f ca="1">IF(AND(ISNUMBER($AL$1288),$B$677=1),$AL$1288,HLOOKUP(INDIRECT(ADDRESS(2,COLUMN())),OFFSET($BN$2,0,0,ROW()-1,60),ROW()-1,FALSE))</f>
        <v>-42.253843209999999</v>
      </c>
      <c r="AM631">
        <f ca="1">IF(AND(ISNUMBER($AM$1288),$B$677=1),$AM$1288,HLOOKUP(INDIRECT(ADDRESS(2,COLUMN())),OFFSET($BN$2,0,0,ROW()-1,60),ROW()-1,FALSE))</f>
        <v>-69.781629859999995</v>
      </c>
      <c r="AN631">
        <f ca="1">IF(AND(ISNUMBER($AN$1288),$B$677=1),$AN$1288,HLOOKUP(INDIRECT(ADDRESS(2,COLUMN())),OFFSET($BN$2,0,0,ROW()-1,60),ROW()-1,FALSE))</f>
        <v>-61.854100789999997</v>
      </c>
      <c r="AO631">
        <f ca="1">IF(AND(ISNUMBER($AO$1288),$B$677=1),$AO$1288,HLOOKUP(INDIRECT(ADDRESS(2,COLUMN())),OFFSET($BN$2,0,0,ROW()-1,60),ROW()-1,FALSE))</f>
        <v>45.45813235</v>
      </c>
      <c r="AP631">
        <f ca="1">IF(AND(ISNUMBER($AP$1288),$B$677=1),$AP$1288,HLOOKUP(INDIRECT(ADDRESS(2,COLUMN())),OFFSET($BN$2,0,0,ROW()-1,60),ROW()-1,FALSE))</f>
        <v>101.77016879999999</v>
      </c>
      <c r="AQ631">
        <f ca="1">IF(AND(ISNUMBER($AQ$1288),$B$677=1),$AQ$1288,HLOOKUP(INDIRECT(ADDRESS(2,COLUMN())),OFFSET($BN$2,0,0,ROW()-1,60),ROW()-1,FALSE))</f>
        <v>-9.0362471719999995</v>
      </c>
      <c r="AR631">
        <f ca="1">IF(AND(ISNUMBER($AR$1288),$B$677=1),$AR$1288,HLOOKUP(INDIRECT(ADDRESS(2,COLUMN())),OFFSET($BN$2,0,0,ROW()-1,60),ROW()-1,FALSE))</f>
        <v>-21.978591479999999</v>
      </c>
      <c r="AS631">
        <f ca="1">IF(AND(ISNUMBER($AS$1288),$B$677=1),$AS$1288,HLOOKUP(INDIRECT(ADDRESS(2,COLUMN())),OFFSET($BN$2,0,0,ROW()-1,60),ROW()-1,FALSE))</f>
        <v>-83.686213019999997</v>
      </c>
      <c r="AT631">
        <f ca="1">IF(AND(ISNUMBER($AT$1288),$B$677=1),$AT$1288,HLOOKUP(INDIRECT(ADDRESS(2,COLUMN())),OFFSET($BN$2,0,0,ROW()-1,60),ROW()-1,FALSE))</f>
        <v>-140.97088790000001</v>
      </c>
      <c r="AU631">
        <f ca="1">IF(AND(ISNUMBER($AU$1288),$B$677=1),$AU$1288,HLOOKUP(INDIRECT(ADDRESS(2,COLUMN())),OFFSET($BN$2,0,0,ROW()-1,60),ROW()-1,FALSE))</f>
        <v>-0.86808127700000004</v>
      </c>
      <c r="AV631">
        <f ca="1">IF(AND(ISNUMBER($AV$1288),$B$677=1),$AV$1288,HLOOKUP(INDIRECT(ADDRESS(2,COLUMN())),OFFSET($BN$2,0,0,ROW()-1,60),ROW()-1,FALSE))</f>
        <v>-3.9560078810000001</v>
      </c>
      <c r="AW631">
        <f ca="1">IF(AND(ISNUMBER($AW$1288),$B$677=1),$AW$1288,HLOOKUP(INDIRECT(ADDRESS(2,COLUMN())),OFFSET($BN$2,0,0,ROW()-1,60),ROW()-1,FALSE))</f>
        <v>2.990790375</v>
      </c>
      <c r="AX631">
        <f ca="1">IF(AND(ISNUMBER($AX$1288),$B$677=1),$AX$1288,HLOOKUP(INDIRECT(ADDRESS(2,COLUMN())),OFFSET($BN$2,0,0,ROW()-1,60),ROW()-1,FALSE))</f>
        <v>44.586494620000003</v>
      </c>
      <c r="AY631">
        <f ca="1">IF(AND(ISNUMBER($AY$1288),$B$677=1),$AY$1288,HLOOKUP(INDIRECT(ADDRESS(2,COLUMN())),OFFSET($BN$2,0,0,ROW()-1,60),ROW()-1,FALSE))</f>
        <v>40.413887600000002</v>
      </c>
      <c r="AZ631">
        <f ca="1">IF(AND(ISNUMBER($AZ$1288),$B$677=1),$AZ$1288,HLOOKUP(INDIRECT(ADDRESS(2,COLUMN())),OFFSET($BN$2,0,0,ROW()-1,60),ROW()-1,FALSE))</f>
        <v>45.219447879999997</v>
      </c>
      <c r="BA631">
        <f ca="1">IF(AND(ISNUMBER($BA$1288),$B$677=1),$BA$1288,HLOOKUP(INDIRECT(ADDRESS(2,COLUMN())),OFFSET($BN$2,0,0,ROW()-1,60),ROW()-1,FALSE))</f>
        <v>40.635471389999999</v>
      </c>
      <c r="BB631">
        <f ca="1">IF(AND(ISNUMBER($BB$1288),$B$677=1),$BB$1288,HLOOKUP(INDIRECT(ADDRESS(2,COLUMN())),OFFSET($BN$2,0,0,ROW()-1,60),ROW()-1,FALSE))</f>
        <v>27.507516339999999</v>
      </c>
      <c r="BC631">
        <f ca="1">IF(AND(ISNUMBER($BC$1288),$B$677=1),$BC$1288,HLOOKUP(INDIRECT(ADDRESS(2,COLUMN())),OFFSET($BN$2,0,0,ROW()-1,60),ROW()-1,FALSE))</f>
        <v>33.724170579999999</v>
      </c>
      <c r="BD631">
        <f ca="1">IF(AND(ISNUMBER($BD$1288),$B$677=1),$BD$1288,HLOOKUP(INDIRECT(ADDRESS(2,COLUMN())),OFFSET($BN$2,0,0,ROW()-1,60),ROW()-1,FALSE))</f>
        <v>18.949591219999999</v>
      </c>
      <c r="BE631">
        <f ca="1">IF(AND(ISNUMBER($BE$1288),$B$677=1),$BE$1288,HLOOKUP(INDIRECT(ADDRESS(2,COLUMN())),OFFSET($BN$2,0,0,ROW()-1,60),ROW()-1,FALSE))</f>
        <v>7.6602399249999999</v>
      </c>
      <c r="BF631">
        <f ca="1">IF(AND(ISNUMBER($BF$1288),$B$677=1),$BF$1288,HLOOKUP(INDIRECT(ADDRESS(2,COLUMN())),OFFSET($BN$2,0,0,ROW()-1,60),ROW()-1,FALSE))</f>
        <v>12.81306843</v>
      </c>
      <c r="BG631">
        <f ca="1">IF(AND(ISNUMBER($BG$1288),$B$677=1),$BG$1288,HLOOKUP(INDIRECT(ADDRESS(2,COLUMN())),OFFSET($BN$2,0,0,ROW()-1,60),ROW()-1,FALSE))</f>
        <v>16.713598189999999</v>
      </c>
      <c r="BH631">
        <f ca="1">IF(AND(ISNUMBER($BH$1288),$B$677=1),$BH$1288,HLOOKUP(INDIRECT(ADDRESS(2,COLUMN())),OFFSET($BN$2,0,0,ROW()-1,60),ROW()-1,FALSE))</f>
        <v>29.6502768</v>
      </c>
      <c r="BI631">
        <f ca="1">IF(AND(ISNUMBER($BI$1288),$B$677=1),$BI$1288,HLOOKUP(INDIRECT(ADDRESS(2,COLUMN())),OFFSET($BN$2,0,0,ROW()-1,60),ROW()-1,FALSE))</f>
        <v>42.280450070000001</v>
      </c>
      <c r="BJ631">
        <f ca="1">IF(AND(ISNUMBER($BJ$1288),$B$677=1),$BJ$1288,HLOOKUP(INDIRECT(ADDRESS(2,COLUMN())),OFFSET($BN$2,0,0,ROW()-1,60),ROW()-1,FALSE))</f>
        <v>34.938428620000003</v>
      </c>
      <c r="BK631">
        <f ca="1">IF(AND(ISNUMBER($BK$1288),$B$677=1),$BK$1288,HLOOKUP(INDIRECT(ADDRESS(2,COLUMN())),OFFSET($BN$2,0,0,ROW()-1,60),ROW()-1,FALSE))</f>
        <v>25.18355468</v>
      </c>
      <c r="BL631">
        <f ca="1">IF(AND(ISNUMBER($BL$1288),$B$677=1),$BL$1288,HLOOKUP(INDIRECT(ADDRESS(2,COLUMN())),OFFSET($BN$2,0,0,ROW()-1,60),ROW()-1,FALSE))</f>
        <v>19.651670249999999</v>
      </c>
      <c r="BM631">
        <f ca="1">IF(AND(ISNUMBER($BM$1288),$B$677=1),$BM$1288,HLOOKUP(INDIRECT(ADDRESS(2,COLUMN())),OFFSET($BN$2,0,0,ROW()-1,60),ROW()-1,FALSE))</f>
        <v>16.11688406</v>
      </c>
      <c r="BN631" t="str">
        <f>""</f>
        <v/>
      </c>
      <c r="BO631">
        <f>50.25850663</f>
        <v>50.258506629999999</v>
      </c>
      <c r="BP631">
        <f>38.90981158</f>
        <v>38.909811580000003</v>
      </c>
      <c r="BQ631">
        <f>14.60519604</f>
        <v>14.605196039999999</v>
      </c>
      <c r="BR631">
        <f>5.860975886</f>
        <v>5.8609758860000003</v>
      </c>
      <c r="BS631">
        <f>12.49855913</f>
        <v>12.49855913</v>
      </c>
      <c r="BT631">
        <f>-28.44956575</f>
        <v>-28.449565750000001</v>
      </c>
      <c r="BU631">
        <f>-43.51373211</f>
        <v>-43.513732109999999</v>
      </c>
      <c r="BV631">
        <f>-21.6798111</f>
        <v>-21.679811099999998</v>
      </c>
      <c r="BW631">
        <f>-77.17990024</f>
        <v>-77.179900239999995</v>
      </c>
      <c r="BX631">
        <f>-26.15720027</f>
        <v>-26.157200270000001</v>
      </c>
      <c r="BY631">
        <f>7.80498636</f>
        <v>7.80498636</v>
      </c>
      <c r="BZ631">
        <f>-61.36010419</f>
        <v>-61.360104190000001</v>
      </c>
      <c r="CA631">
        <f>-62.42734391</f>
        <v>-62.427343909999998</v>
      </c>
      <c r="CB631">
        <f>-90.19563737</f>
        <v>-90.19563737</v>
      </c>
      <c r="CC631">
        <f>-60.62419648</f>
        <v>-60.624196480000002</v>
      </c>
      <c r="CD631">
        <f>-1.789350437</f>
        <v>-1.789350437</v>
      </c>
      <c r="CE631">
        <f>9.825297145</f>
        <v>9.8252971450000004</v>
      </c>
      <c r="CF631">
        <f>-24.03620145</f>
        <v>-24.03620145</v>
      </c>
      <c r="CG631">
        <f>-24.16751645</f>
        <v>-24.167516450000001</v>
      </c>
      <c r="CH631">
        <f>-52.56215251</f>
        <v>-52.562152509999997</v>
      </c>
      <c r="CI631">
        <f>16.59303097</f>
        <v>16.593030970000001</v>
      </c>
      <c r="CJ631">
        <f>51.74022879</f>
        <v>51.740228790000003</v>
      </c>
      <c r="CK631">
        <f>39.33405073</f>
        <v>39.334050730000001</v>
      </c>
      <c r="CL631">
        <f>-8.441881462</f>
        <v>-8.4418814619999996</v>
      </c>
      <c r="CM631">
        <f>-35.57031996</f>
        <v>-35.570319959999999</v>
      </c>
      <c r="CN631">
        <f>-10.12507131</f>
        <v>-10.125071309999999</v>
      </c>
      <c r="CO631">
        <f>-49.02935035</f>
        <v>-49.029350350000001</v>
      </c>
      <c r="CP631">
        <f>-14.34545983</f>
        <v>-14.345459829999999</v>
      </c>
      <c r="CQ631">
        <f>-26.5287044</f>
        <v>-26.528704399999999</v>
      </c>
      <c r="CR631">
        <f>-111.0044277</f>
        <v>-111.00442769999999</v>
      </c>
      <c r="CS631">
        <f>-63.70516225</f>
        <v>-63.705162250000001</v>
      </c>
      <c r="CT631">
        <f>-42.25384321</f>
        <v>-42.253843209999999</v>
      </c>
      <c r="CU631">
        <f>-69.78162986</f>
        <v>-69.781629859999995</v>
      </c>
      <c r="CV631">
        <f>-61.85410079</f>
        <v>-61.854100789999997</v>
      </c>
      <c r="CW631">
        <f>45.45813235</f>
        <v>45.45813235</v>
      </c>
      <c r="CX631">
        <f>101.7701688</f>
        <v>101.77016879999999</v>
      </c>
      <c r="CY631">
        <f>-9.036247172</f>
        <v>-9.0362471719999995</v>
      </c>
      <c r="CZ631">
        <f>-21.97859148</f>
        <v>-21.978591479999999</v>
      </c>
      <c r="DA631">
        <f>-83.68621302</f>
        <v>-83.686213019999997</v>
      </c>
      <c r="DB631">
        <f>-140.9708879</f>
        <v>-140.97088790000001</v>
      </c>
      <c r="DC631">
        <f>-0.868081277</f>
        <v>-0.86808127700000004</v>
      </c>
      <c r="DD631">
        <f>-3.956007881</f>
        <v>-3.9560078810000001</v>
      </c>
      <c r="DE631">
        <f>2.990790375</f>
        <v>2.990790375</v>
      </c>
      <c r="DF631">
        <f>44.58649462</f>
        <v>44.586494620000003</v>
      </c>
      <c r="DG631">
        <f>40.4138876</f>
        <v>40.413887600000002</v>
      </c>
      <c r="DH631">
        <f>45.21944788</f>
        <v>45.219447879999997</v>
      </c>
      <c r="DI631">
        <f>40.63547139</f>
        <v>40.635471389999999</v>
      </c>
      <c r="DJ631">
        <f>27.50751634</f>
        <v>27.507516339999999</v>
      </c>
      <c r="DK631">
        <f>33.72417058</f>
        <v>33.724170579999999</v>
      </c>
      <c r="DL631">
        <f>18.94959122</f>
        <v>18.949591219999999</v>
      </c>
      <c r="DM631">
        <f>7.660239925</f>
        <v>7.6602399249999999</v>
      </c>
      <c r="DN631">
        <f>12.81306843</f>
        <v>12.81306843</v>
      </c>
      <c r="DO631">
        <f>16.71359819</f>
        <v>16.713598189999999</v>
      </c>
      <c r="DP631">
        <f>29.6502768</f>
        <v>29.6502768</v>
      </c>
      <c r="DQ631">
        <f>42.28045007</f>
        <v>42.280450070000001</v>
      </c>
      <c r="DR631">
        <f>34.93842862</f>
        <v>34.938428620000003</v>
      </c>
      <c r="DS631">
        <f>25.18355468</f>
        <v>25.18355468</v>
      </c>
      <c r="DT631">
        <f>19.65167025</f>
        <v>19.651670249999999</v>
      </c>
      <c r="DU631">
        <f>16.11688406</f>
        <v>16.11688406</v>
      </c>
    </row>
    <row r="632" spans="1:125" x14ac:dyDescent="0.25">
      <c r="A632" t="str">
        <f>"    FAW CAR Co Ltd"</f>
        <v xml:space="preserve">    FAW CAR Co Ltd</v>
      </c>
      <c r="B632" t="str">
        <f>"000800 CH Equity"</f>
        <v>000800 CH Equity</v>
      </c>
      <c r="C632" t="str">
        <f t="shared" si="45"/>
        <v>RX539</v>
      </c>
      <c r="D632" t="str">
        <f t="shared" si="46"/>
        <v>T12_FCF_YIELD</v>
      </c>
      <c r="E632" t="str">
        <f t="shared" si="47"/>
        <v>Dynamic</v>
      </c>
      <c r="F632">
        <f ca="1">IF(AND(ISNUMBER($F$1289),$B$677=1),$F$1289,HLOOKUP(INDIRECT(ADDRESS(2,COLUMN())),OFFSET($BN$2,0,0,ROW()-1,60),ROW()-1,FALSE))</f>
        <v>8.0598647680000006</v>
      </c>
      <c r="G632">
        <f ca="1">IF(AND(ISNUMBER($G$1289),$B$677=1),$G$1289,HLOOKUP(INDIRECT(ADDRESS(2,COLUMN())),OFFSET($BN$2,0,0,ROW()-1,60),ROW()-1,FALSE))</f>
        <v>9.8008929580000004</v>
      </c>
      <c r="H632">
        <f ca="1">IF(AND(ISNUMBER($H$1289),$B$677=1),$H$1289,HLOOKUP(INDIRECT(ADDRESS(2,COLUMN())),OFFSET($BN$2,0,0,ROW()-1,60),ROW()-1,FALSE))</f>
        <v>9.8455100729999998</v>
      </c>
      <c r="I632">
        <f ca="1">IF(AND(ISNUMBER($I$1289),$B$677=1),$I$1289,HLOOKUP(INDIRECT(ADDRESS(2,COLUMN())),OFFSET($BN$2,0,0,ROW()-1,60),ROW()-1,FALSE))</f>
        <v>17.68248578</v>
      </c>
      <c r="J632">
        <f ca="1">IF(AND(ISNUMBER($J$1289),$B$677=1),$J$1289,HLOOKUP(INDIRECT(ADDRESS(2,COLUMN())),OFFSET($BN$2,0,0,ROW()-1,60),ROW()-1,FALSE))</f>
        <v>12.47799625</v>
      </c>
      <c r="K632">
        <f ca="1">IF(AND(ISNUMBER($K$1289),$B$677=1),$K$1289,HLOOKUP(INDIRECT(ADDRESS(2,COLUMN())),OFFSET($BN$2,0,0,ROW()-1,60),ROW()-1,FALSE))</f>
        <v>11.462236969999999</v>
      </c>
      <c r="L632">
        <f ca="1">IF(AND(ISNUMBER($L$1289),$B$677=1),$L$1289,HLOOKUP(INDIRECT(ADDRESS(2,COLUMN())),OFFSET($BN$2,0,0,ROW()-1,60),ROW()-1,FALSE))</f>
        <v>9.0527385149999997</v>
      </c>
      <c r="M632">
        <f ca="1">IF(AND(ISNUMBER($M$1289),$B$677=1),$M$1289,HLOOKUP(INDIRECT(ADDRESS(2,COLUMN())),OFFSET($BN$2,0,0,ROW()-1,60),ROW()-1,FALSE))</f>
        <v>5.0403500440000002</v>
      </c>
      <c r="N632">
        <f ca="1">IF(AND(ISNUMBER($N$1289),$B$677=1),$N$1289,HLOOKUP(INDIRECT(ADDRESS(2,COLUMN())),OFFSET($BN$2,0,0,ROW()-1,60),ROW()-1,FALSE))</f>
        <v>5.023256988</v>
      </c>
      <c r="O632">
        <f ca="1">IF(AND(ISNUMBER($O$1289),$B$677=1),$O$1289,HLOOKUP(INDIRECT(ADDRESS(2,COLUMN())),OFFSET($BN$2,0,0,ROW()-1,60),ROW()-1,FALSE))</f>
        <v>-1.3187039890000001</v>
      </c>
      <c r="P632">
        <f ca="1">IF(AND(ISNUMBER($P$1289),$B$677=1),$P$1289,HLOOKUP(INDIRECT(ADDRESS(2,COLUMN())),OFFSET($BN$2,0,0,ROW()-1,60),ROW()-1,FALSE))</f>
        <v>-4.0961791590000001</v>
      </c>
      <c r="Q632">
        <f ca="1">IF(AND(ISNUMBER($Q$1289),$B$677=1),$Q$1289,HLOOKUP(INDIRECT(ADDRESS(2,COLUMN())),OFFSET($BN$2,0,0,ROW()-1,60),ROW()-1,FALSE))</f>
        <v>-2.0240683719999999</v>
      </c>
      <c r="R632">
        <f ca="1">IF(AND(ISNUMBER($R$1289),$B$677=1),$R$1289,HLOOKUP(INDIRECT(ADDRESS(2,COLUMN())),OFFSET($BN$2,0,0,ROW()-1,60),ROW()-1,FALSE))</f>
        <v>-2.1647434959999998</v>
      </c>
      <c r="S632">
        <f ca="1">IF(AND(ISNUMBER($S$1289),$B$677=1),$S$1289,HLOOKUP(INDIRECT(ADDRESS(2,COLUMN())),OFFSET($BN$2,0,0,ROW()-1,60),ROW()-1,FALSE))</f>
        <v>1.067184355</v>
      </c>
      <c r="T632">
        <f ca="1">IF(AND(ISNUMBER($T$1289),$B$677=1),$T$1289,HLOOKUP(INDIRECT(ADDRESS(2,COLUMN())),OFFSET($BN$2,0,0,ROW()-1,60),ROW()-1,FALSE))</f>
        <v>-2.7414198550000002</v>
      </c>
      <c r="U632">
        <f ca="1">IF(AND(ISNUMBER($U$1289),$B$677=1),$U$1289,HLOOKUP(INDIRECT(ADDRESS(2,COLUMN())),OFFSET($BN$2,0,0,ROW()-1,60),ROW()-1,FALSE))</f>
        <v>-1.65956481</v>
      </c>
      <c r="V632">
        <f ca="1">IF(AND(ISNUMBER($V$1289),$B$677=1),$V$1289,HLOOKUP(INDIRECT(ADDRESS(2,COLUMN())),OFFSET($BN$2,0,0,ROW()-1,60),ROW()-1,FALSE))</f>
        <v>-1.5384200240000001</v>
      </c>
      <c r="W632">
        <f ca="1">IF(AND(ISNUMBER($W$1289),$B$677=1),$W$1289,HLOOKUP(INDIRECT(ADDRESS(2,COLUMN())),OFFSET($BN$2,0,0,ROW()-1,60),ROW()-1,FALSE))</f>
        <v>-2.274674225</v>
      </c>
      <c r="X632">
        <f ca="1">IF(AND(ISNUMBER($X$1289),$B$677=1),$X$1289,HLOOKUP(INDIRECT(ADDRESS(2,COLUMN())),OFFSET($BN$2,0,0,ROW()-1,60),ROW()-1,FALSE))</f>
        <v>-1.599768187</v>
      </c>
      <c r="Y632">
        <f ca="1">IF(AND(ISNUMBER($Y$1289),$B$677=1),$Y$1289,HLOOKUP(INDIRECT(ADDRESS(2,COLUMN())),OFFSET($BN$2,0,0,ROW()-1,60),ROW()-1,FALSE))</f>
        <v>-0.175453421</v>
      </c>
      <c r="Z632">
        <f ca="1">IF(AND(ISNUMBER($Z$1289),$B$677=1),$Z$1289,HLOOKUP(INDIRECT(ADDRESS(2,COLUMN())),OFFSET($BN$2,0,0,ROW()-1,60),ROW()-1,FALSE))</f>
        <v>2.6562559970000001</v>
      </c>
      <c r="AA632">
        <f ca="1">IF(AND(ISNUMBER($AA$1289),$B$677=1),$AA$1289,HLOOKUP(INDIRECT(ADDRESS(2,COLUMN())),OFFSET($BN$2,0,0,ROW()-1,60),ROW()-1,FALSE))</f>
        <v>-8.8882811000000006E-2</v>
      </c>
      <c r="AB632">
        <f ca="1">IF(AND(ISNUMBER($AB$1289),$B$677=1),$AB$1289,HLOOKUP(INDIRECT(ADDRESS(2,COLUMN())),OFFSET($BN$2,0,0,ROW()-1,60),ROW()-1,FALSE))</f>
        <v>-0.72961900400000002</v>
      </c>
      <c r="AC632">
        <f ca="1">IF(AND(ISNUMBER($AC$1289),$B$677=1),$AC$1289,HLOOKUP(INDIRECT(ADDRESS(2,COLUMN())),OFFSET($BN$2,0,0,ROW()-1,60),ROW()-1,FALSE))</f>
        <v>-8.834223862</v>
      </c>
      <c r="AD632">
        <f ca="1">IF(AND(ISNUMBER($AD$1289),$B$677=1),$AD$1289,HLOOKUP(INDIRECT(ADDRESS(2,COLUMN())),OFFSET($BN$2,0,0,ROW()-1,60),ROW()-1,FALSE))</f>
        <v>-11.71641273</v>
      </c>
      <c r="AE632">
        <f ca="1">IF(AND(ISNUMBER($AE$1289),$B$677=1),$AE$1289,HLOOKUP(INDIRECT(ADDRESS(2,COLUMN())),OFFSET($BN$2,0,0,ROW()-1,60),ROW()-1,FALSE))</f>
        <v>-7.5962856160000003</v>
      </c>
      <c r="AF632">
        <f ca="1">IF(AND(ISNUMBER($AF$1289),$B$677=1),$AF$1289,HLOOKUP(INDIRECT(ADDRESS(2,COLUMN())),OFFSET($BN$2,0,0,ROW()-1,60),ROW()-1,FALSE))</f>
        <v>-3.4443335390000001</v>
      </c>
      <c r="AG632">
        <f ca="1">IF(AND(ISNUMBER($AG$1289),$B$677=1),$AG$1289,HLOOKUP(INDIRECT(ADDRESS(2,COLUMN())),OFFSET($BN$2,0,0,ROW()-1,60),ROW()-1,FALSE))</f>
        <v>-0.50999330899999995</v>
      </c>
      <c r="AH632">
        <f ca="1">IF(AND(ISNUMBER($AH$1289),$B$677=1),$AH$1289,HLOOKUP(INDIRECT(ADDRESS(2,COLUMN())),OFFSET($BN$2,0,0,ROW()-1,60),ROW()-1,FALSE))</f>
        <v>-5.5270591260000002</v>
      </c>
      <c r="AI632">
        <f ca="1">IF(AND(ISNUMBER($AI$1289),$B$677=1),$AI$1289,HLOOKUP(INDIRECT(ADDRESS(2,COLUMN())),OFFSET($BN$2,0,0,ROW()-1,60),ROW()-1,FALSE))</f>
        <v>-16.84483921</v>
      </c>
      <c r="AJ632">
        <f ca="1">IF(AND(ISNUMBER($AJ$1289),$B$677=1),$AJ$1289,HLOOKUP(INDIRECT(ADDRESS(2,COLUMN())),OFFSET($BN$2,0,0,ROW()-1,60),ROW()-1,FALSE))</f>
        <v>-23.10202743</v>
      </c>
      <c r="AK632">
        <f ca="1">IF(AND(ISNUMBER($AK$1289),$B$677=1),$AK$1289,HLOOKUP(INDIRECT(ADDRESS(2,COLUMN())),OFFSET($BN$2,0,0,ROW()-1,60),ROW()-1,FALSE))</f>
        <v>-7.1049460050000004</v>
      </c>
      <c r="AL632">
        <f ca="1">IF(AND(ISNUMBER($AL$1289),$B$677=1),$AL$1289,HLOOKUP(INDIRECT(ADDRESS(2,COLUMN())),OFFSET($BN$2,0,0,ROW()-1,60),ROW()-1,FALSE))</f>
        <v>-5.4840946730000004</v>
      </c>
      <c r="AM632">
        <f ca="1">IF(AND(ISNUMBER($AM$1289),$B$677=1),$AM$1289,HLOOKUP(INDIRECT(ADDRESS(2,COLUMN())),OFFSET($BN$2,0,0,ROW()-1,60),ROW()-1,FALSE))</f>
        <v>4.7179533779999998</v>
      </c>
      <c r="AN632">
        <f ca="1">IF(AND(ISNUMBER($AN$1289),$B$677=1),$AN$1289,HLOOKUP(INDIRECT(ADDRESS(2,COLUMN())),OFFSET($BN$2,0,0,ROW()-1,60),ROW()-1,FALSE))</f>
        <v>7.0743330870000003</v>
      </c>
      <c r="AO632">
        <f ca="1">IF(AND(ISNUMBER($AO$1289),$B$677=1),$AO$1289,HLOOKUP(INDIRECT(ADDRESS(2,COLUMN())),OFFSET($BN$2,0,0,ROW()-1,60),ROW()-1,FALSE))</f>
        <v>3.6733505129999999</v>
      </c>
      <c r="AP632">
        <f ca="1">IF(AND(ISNUMBER($AP$1289),$B$677=1),$AP$1289,HLOOKUP(INDIRECT(ADDRESS(2,COLUMN())),OFFSET($BN$2,0,0,ROW()-1,60),ROW()-1,FALSE))</f>
        <v>3.4498844700000002</v>
      </c>
      <c r="AQ632">
        <f ca="1">IF(AND(ISNUMBER($AQ$1289),$B$677=1),$AQ$1289,HLOOKUP(INDIRECT(ADDRESS(2,COLUMN())),OFFSET($BN$2,0,0,ROW()-1,60),ROW()-1,FALSE))</f>
        <v>3.0054238350000002</v>
      </c>
      <c r="AR632">
        <f ca="1">IF(AND(ISNUMBER($AR$1289),$B$677=1),$AR$1289,HLOOKUP(INDIRECT(ADDRESS(2,COLUMN())),OFFSET($BN$2,0,0,ROW()-1,60),ROW()-1,FALSE))</f>
        <v>8.3762173840000003</v>
      </c>
      <c r="AS632">
        <f ca="1">IF(AND(ISNUMBER($AS$1289),$B$677=1),$AS$1289,HLOOKUP(INDIRECT(ADDRESS(2,COLUMN())),OFFSET($BN$2,0,0,ROW()-1,60),ROW()-1,FALSE))</f>
        <v>6.5936575099999999</v>
      </c>
      <c r="AT632">
        <f ca="1">IF(AND(ISNUMBER($AT$1289),$B$677=1),$AT$1289,HLOOKUP(INDIRECT(ADDRESS(2,COLUMN())),OFFSET($BN$2,0,0,ROW()-1,60),ROW()-1,FALSE))</f>
        <v>5.1274631060000004</v>
      </c>
      <c r="AU632">
        <f ca="1">IF(AND(ISNUMBER($AU$1289),$B$677=1),$AU$1289,HLOOKUP(INDIRECT(ADDRESS(2,COLUMN())),OFFSET($BN$2,0,0,ROW()-1,60),ROW()-1,FALSE))</f>
        <v>3.4892664519999999</v>
      </c>
      <c r="AV632">
        <f ca="1">IF(AND(ISNUMBER($AV$1289),$B$677=1),$AV$1289,HLOOKUP(INDIRECT(ADDRESS(2,COLUMN())),OFFSET($BN$2,0,0,ROW()-1,60),ROW()-1,FALSE))</f>
        <v>-1.585713218</v>
      </c>
      <c r="AW632">
        <f ca="1">IF(AND(ISNUMBER($AW$1289),$B$677=1),$AW$1289,HLOOKUP(INDIRECT(ADDRESS(2,COLUMN())),OFFSET($BN$2,0,0,ROW()-1,60),ROW()-1,FALSE))</f>
        <v>0.49202559699999998</v>
      </c>
      <c r="AX632">
        <f ca="1">IF(AND(ISNUMBER($AX$1289),$B$677=1),$AX$1289,HLOOKUP(INDIRECT(ADDRESS(2,COLUMN())),OFFSET($BN$2,0,0,ROW()-1,60),ROW()-1,FALSE))</f>
        <v>1.34291345</v>
      </c>
      <c r="AY632">
        <f ca="1">IF(AND(ISNUMBER($AY$1289),$B$677=1),$AY$1289,HLOOKUP(INDIRECT(ADDRESS(2,COLUMN())),OFFSET($BN$2,0,0,ROW()-1,60),ROW()-1,FALSE))</f>
        <v>-0.50236431699999995</v>
      </c>
      <c r="AZ632">
        <f ca="1">IF(AND(ISNUMBER($AZ$1289),$B$677=1),$AZ$1289,HLOOKUP(INDIRECT(ADDRESS(2,COLUMN())),OFFSET($BN$2,0,0,ROW()-1,60),ROW()-1,FALSE))</f>
        <v>0.99391976900000001</v>
      </c>
      <c r="BA632">
        <f ca="1">IF(AND(ISNUMBER($BA$1289),$B$677=1),$BA$1289,HLOOKUP(INDIRECT(ADDRESS(2,COLUMN())),OFFSET($BN$2,0,0,ROW()-1,60),ROW()-1,FALSE))</f>
        <v>2.522451717</v>
      </c>
      <c r="BB632">
        <f ca="1">IF(AND(ISNUMBER($BB$1289),$B$677=1),$BB$1289,HLOOKUP(INDIRECT(ADDRESS(2,COLUMN())),OFFSET($BN$2,0,0,ROW()-1,60),ROW()-1,FALSE))</f>
        <v>0.756287983</v>
      </c>
      <c r="BC632">
        <f ca="1">IF(AND(ISNUMBER($BC$1289),$B$677=1),$BC$1289,HLOOKUP(INDIRECT(ADDRESS(2,COLUMN())),OFFSET($BN$2,0,0,ROW()-1,60),ROW()-1,FALSE))</f>
        <v>-1.367754809</v>
      </c>
      <c r="BD632">
        <f ca="1">IF(AND(ISNUMBER($BD$1289),$B$677=1),$BD$1289,HLOOKUP(INDIRECT(ADDRESS(2,COLUMN())),OFFSET($BN$2,0,0,ROW()-1,60),ROW()-1,FALSE))</f>
        <v>-5.041069341</v>
      </c>
      <c r="BE632">
        <f ca="1">IF(AND(ISNUMBER($BE$1289),$B$677=1),$BE$1289,HLOOKUP(INDIRECT(ADDRESS(2,COLUMN())),OFFSET($BN$2,0,0,ROW()-1,60),ROW()-1,FALSE))</f>
        <v>-9.4700937100000004</v>
      </c>
      <c r="BF632">
        <f ca="1">IF(AND(ISNUMBER($BF$1289),$B$677=1),$BF$1289,HLOOKUP(INDIRECT(ADDRESS(2,COLUMN())),OFFSET($BN$2,0,0,ROW()-1,60),ROW()-1,FALSE))</f>
        <v>24.13924072</v>
      </c>
      <c r="BG632">
        <f ca="1">IF(AND(ISNUMBER($BG$1289),$B$677=1),$BG$1289,HLOOKUP(INDIRECT(ADDRESS(2,COLUMN())),OFFSET($BN$2,0,0,ROW()-1,60),ROW()-1,FALSE))</f>
        <v>46.383552829999999</v>
      </c>
      <c r="BH632">
        <f ca="1">IF(AND(ISNUMBER($BH$1289),$B$677=1),$BH$1289,HLOOKUP(INDIRECT(ADDRESS(2,COLUMN())),OFFSET($BN$2,0,0,ROW()-1,60),ROW()-1,FALSE))</f>
        <v>37.05984849</v>
      </c>
      <c r="BI632">
        <f ca="1">IF(AND(ISNUMBER($BI$1289),$B$677=1),$BI$1289,HLOOKUP(INDIRECT(ADDRESS(2,COLUMN())),OFFSET($BN$2,0,0,ROW()-1,60),ROW()-1,FALSE))</f>
        <v>18.685845560000001</v>
      </c>
      <c r="BJ632">
        <f ca="1">IF(AND(ISNUMBER($BJ$1289),$B$677=1),$BJ$1289,HLOOKUP(INDIRECT(ADDRESS(2,COLUMN())),OFFSET($BN$2,0,0,ROW()-1,60),ROW()-1,FALSE))</f>
        <v>-18.43574276</v>
      </c>
      <c r="BK632">
        <f ca="1">IF(AND(ISNUMBER($BK$1289),$B$677=1),$BK$1289,HLOOKUP(INDIRECT(ADDRESS(2,COLUMN())),OFFSET($BN$2,0,0,ROW()-1,60),ROW()-1,FALSE))</f>
        <v>-48.87071924</v>
      </c>
      <c r="BL632">
        <f ca="1">IF(AND(ISNUMBER($BL$1289),$B$677=1),$BL$1289,HLOOKUP(INDIRECT(ADDRESS(2,COLUMN())),OFFSET($BN$2,0,0,ROW()-1,60),ROW()-1,FALSE))</f>
        <v>-18.334748279999999</v>
      </c>
      <c r="BM632">
        <f ca="1">IF(AND(ISNUMBER($BM$1289),$B$677=1),$BM$1289,HLOOKUP(INDIRECT(ADDRESS(2,COLUMN())),OFFSET($BN$2,0,0,ROW()-1,60),ROW()-1,FALSE))</f>
        <v>-0.69855050500000004</v>
      </c>
      <c r="BN632">
        <f>8.059864768</f>
        <v>8.0598647680000006</v>
      </c>
      <c r="BO632">
        <f>9.800892958</f>
        <v>9.8008929580000004</v>
      </c>
      <c r="BP632">
        <f>9.845510073</f>
        <v>9.8455100729999998</v>
      </c>
      <c r="BQ632">
        <f>17.68248578</f>
        <v>17.68248578</v>
      </c>
      <c r="BR632">
        <f>12.47799625</f>
        <v>12.47799625</v>
      </c>
      <c r="BS632">
        <f>11.46223697</f>
        <v>11.462236969999999</v>
      </c>
      <c r="BT632">
        <f>9.052738515</f>
        <v>9.0527385149999997</v>
      </c>
      <c r="BU632">
        <f>5.040350044</f>
        <v>5.0403500440000002</v>
      </c>
      <c r="BV632">
        <f>5.023256988</f>
        <v>5.023256988</v>
      </c>
      <c r="BW632">
        <f>-1.318703989</f>
        <v>-1.3187039890000001</v>
      </c>
      <c r="BX632">
        <f>-4.096179159</f>
        <v>-4.0961791590000001</v>
      </c>
      <c r="BY632">
        <f>-2.024068372</f>
        <v>-2.0240683719999999</v>
      </c>
      <c r="BZ632">
        <f>-2.164743496</f>
        <v>-2.1647434959999998</v>
      </c>
      <c r="CA632">
        <f>1.067184355</f>
        <v>1.067184355</v>
      </c>
      <c r="CB632">
        <f>-2.741419855</f>
        <v>-2.7414198550000002</v>
      </c>
      <c r="CC632">
        <f>-1.65956481</f>
        <v>-1.65956481</v>
      </c>
      <c r="CD632">
        <f>-1.538420024</f>
        <v>-1.5384200240000001</v>
      </c>
      <c r="CE632">
        <f>-2.274674225</f>
        <v>-2.274674225</v>
      </c>
      <c r="CF632">
        <f>-1.599768187</f>
        <v>-1.599768187</v>
      </c>
      <c r="CG632">
        <f>-0.175453421</f>
        <v>-0.175453421</v>
      </c>
      <c r="CH632">
        <f>2.656255997</f>
        <v>2.6562559970000001</v>
      </c>
      <c r="CI632">
        <f>-0.088882811</f>
        <v>-8.8882811000000006E-2</v>
      </c>
      <c r="CJ632">
        <f>-0.729619004</f>
        <v>-0.72961900400000002</v>
      </c>
      <c r="CK632">
        <f>-8.834223862</f>
        <v>-8.834223862</v>
      </c>
      <c r="CL632">
        <f>-11.71641273</f>
        <v>-11.71641273</v>
      </c>
      <c r="CM632">
        <f>-7.596285616</f>
        <v>-7.5962856160000003</v>
      </c>
      <c r="CN632">
        <f>-3.444333539</f>
        <v>-3.4443335390000001</v>
      </c>
      <c r="CO632">
        <f>-0.509993309</f>
        <v>-0.50999330899999995</v>
      </c>
      <c r="CP632">
        <f>-5.527059126</f>
        <v>-5.5270591260000002</v>
      </c>
      <c r="CQ632">
        <f>-16.84483921</f>
        <v>-16.84483921</v>
      </c>
      <c r="CR632">
        <f>-23.10202743</f>
        <v>-23.10202743</v>
      </c>
      <c r="CS632">
        <f>-7.104946005</f>
        <v>-7.1049460050000004</v>
      </c>
      <c r="CT632">
        <f>-5.484094673</f>
        <v>-5.4840946730000004</v>
      </c>
      <c r="CU632">
        <f>4.717953378</f>
        <v>4.7179533779999998</v>
      </c>
      <c r="CV632">
        <f>7.074333087</f>
        <v>7.0743330870000003</v>
      </c>
      <c r="CW632">
        <f>3.673350513</f>
        <v>3.6733505129999999</v>
      </c>
      <c r="CX632">
        <f>3.44988447</f>
        <v>3.4498844700000002</v>
      </c>
      <c r="CY632">
        <f>3.005423835</f>
        <v>3.0054238350000002</v>
      </c>
      <c r="CZ632">
        <f>8.376217384</f>
        <v>8.3762173840000003</v>
      </c>
      <c r="DA632">
        <f>6.59365751</f>
        <v>6.5936575099999999</v>
      </c>
      <c r="DB632">
        <f>5.127463106</f>
        <v>5.1274631060000004</v>
      </c>
      <c r="DC632">
        <f>3.489266452</f>
        <v>3.4892664519999999</v>
      </c>
      <c r="DD632">
        <f>-1.585713218</f>
        <v>-1.585713218</v>
      </c>
      <c r="DE632">
        <f>0.492025597</f>
        <v>0.49202559699999998</v>
      </c>
      <c r="DF632">
        <f>1.34291345</f>
        <v>1.34291345</v>
      </c>
      <c r="DG632">
        <f>-0.502364317</f>
        <v>-0.50236431699999995</v>
      </c>
      <c r="DH632">
        <f>0.993919769</f>
        <v>0.99391976900000001</v>
      </c>
      <c r="DI632">
        <f>2.522451717</f>
        <v>2.522451717</v>
      </c>
      <c r="DJ632">
        <f>0.756287983</f>
        <v>0.756287983</v>
      </c>
      <c r="DK632">
        <f>-1.367754809</f>
        <v>-1.367754809</v>
      </c>
      <c r="DL632">
        <f>-5.041069341</f>
        <v>-5.041069341</v>
      </c>
      <c r="DM632">
        <f>-9.47009371</f>
        <v>-9.4700937100000004</v>
      </c>
      <c r="DN632">
        <f>24.13924072</f>
        <v>24.13924072</v>
      </c>
      <c r="DO632">
        <f>46.38355283</f>
        <v>46.383552829999999</v>
      </c>
      <c r="DP632">
        <f>37.05984849</f>
        <v>37.05984849</v>
      </c>
      <c r="DQ632">
        <f>18.68584556</f>
        <v>18.685845560000001</v>
      </c>
      <c r="DR632">
        <f>-18.43574276</f>
        <v>-18.43574276</v>
      </c>
      <c r="DS632">
        <f>-48.87071924</f>
        <v>-48.87071924</v>
      </c>
      <c r="DT632">
        <f>-18.33474828</f>
        <v>-18.334748279999999</v>
      </c>
      <c r="DU632">
        <f>-0.698550505</f>
        <v>-0.69855050500000004</v>
      </c>
    </row>
    <row r="633" spans="1:125" x14ac:dyDescent="0.25">
      <c r="A633" t="str">
        <f>"    Fiat Chrysler Automobiles NV"</f>
        <v xml:space="preserve">    Fiat Chrysler Automobiles NV</v>
      </c>
      <c r="B633" t="str">
        <f>"FCAU US Equity"</f>
        <v>FCAU US Equity</v>
      </c>
      <c r="C633" t="str">
        <f t="shared" si="45"/>
        <v>RX539</v>
      </c>
      <c r="D633" t="str">
        <f t="shared" si="46"/>
        <v>T12_FCF_YIELD</v>
      </c>
      <c r="E633" t="str">
        <f t="shared" si="47"/>
        <v>Dynamic</v>
      </c>
      <c r="F633">
        <f ca="1">IF(AND(ISNUMBER($F$1290),$B$677=1),$F$1290,HLOOKUP(INDIRECT(ADDRESS(2,COLUMN())),OFFSET($BN$2,0,0,ROW()-1,60),ROW()-1,FALSE))</f>
        <v>22.315272279999999</v>
      </c>
      <c r="G633">
        <f ca="1">IF(AND(ISNUMBER($G$1290),$B$677=1),$G$1290,HLOOKUP(INDIRECT(ADDRESS(2,COLUMN())),OFFSET($BN$2,0,0,ROW()-1,60),ROW()-1,FALSE))</f>
        <v>23.26976852</v>
      </c>
      <c r="H633">
        <f ca="1">IF(AND(ISNUMBER($H$1290),$B$677=1),$H$1290,HLOOKUP(INDIRECT(ADDRESS(2,COLUMN())),OFFSET($BN$2,0,0,ROW()-1,60),ROW()-1,FALSE))</f>
        <v>17.03732011</v>
      </c>
      <c r="I633">
        <f ca="1">IF(AND(ISNUMBER($I$1290),$B$677=1),$I$1290,HLOOKUP(INDIRECT(ADDRESS(2,COLUMN())),OFFSET($BN$2,0,0,ROW()-1,60),ROW()-1,FALSE))</f>
        <v>18.768565389999999</v>
      </c>
      <c r="J633">
        <f ca="1">IF(AND(ISNUMBER($J$1290),$B$677=1),$J$1290,HLOOKUP(INDIRECT(ADDRESS(2,COLUMN())),OFFSET($BN$2,0,0,ROW()-1,60),ROW()-1,FALSE))</f>
        <v>15.269124769999999</v>
      </c>
      <c r="K633">
        <f ca="1">IF(AND(ISNUMBER($K$1290),$B$677=1),$K$1290,HLOOKUP(INDIRECT(ADDRESS(2,COLUMN())),OFFSET($BN$2,0,0,ROW()-1,60),ROW()-1,FALSE))</f>
        <v>9.9763277180000003</v>
      </c>
      <c r="L633">
        <f ca="1">IF(AND(ISNUMBER($L$1290),$B$677=1),$L$1290,HLOOKUP(INDIRECT(ADDRESS(2,COLUMN())),OFFSET($BN$2,0,0,ROW()-1,60),ROW()-1,FALSE))</f>
        <v>11.257308220000001</v>
      </c>
      <c r="M633">
        <f ca="1">IF(AND(ISNUMBER($M$1290),$B$677=1),$M$1290,HLOOKUP(INDIRECT(ADDRESS(2,COLUMN())),OFFSET($BN$2,0,0,ROW()-1,60),ROW()-1,FALSE))</f>
        <v>7.5428126789999999</v>
      </c>
      <c r="N633">
        <f ca="1">IF(AND(ISNUMBER($N$1290),$B$677=1),$N$1290,HLOOKUP(INDIRECT(ADDRESS(2,COLUMN())),OFFSET($BN$2,0,0,ROW()-1,60),ROW()-1,FALSE))</f>
        <v>13.93732692</v>
      </c>
      <c r="O633">
        <f ca="1">IF(AND(ISNUMBER($O$1290),$B$677=1),$O$1290,HLOOKUP(INDIRECT(ADDRESS(2,COLUMN())),OFFSET($BN$2,0,0,ROW()-1,60),ROW()-1,FALSE))</f>
        <v>13.46469285</v>
      </c>
      <c r="P633">
        <f ca="1">IF(AND(ISNUMBER($P$1290),$B$677=1),$P$1290,HLOOKUP(INDIRECT(ADDRESS(2,COLUMN())),OFFSET($BN$2,0,0,ROW()-1,60),ROW()-1,FALSE))</f>
        <v>17.95099991</v>
      </c>
      <c r="Q633">
        <f ca="1">IF(AND(ISNUMBER($Q$1290),$B$677=1),$Q$1290,HLOOKUP(INDIRECT(ADDRESS(2,COLUMN())),OFFSET($BN$2,0,0,ROW()-1,60),ROW()-1,FALSE))</f>
        <v>25.02732078</v>
      </c>
      <c r="R633">
        <f ca="1">IF(AND(ISNUMBER($R$1290),$B$677=1),$R$1290,HLOOKUP(INDIRECT(ADDRESS(2,COLUMN())),OFFSET($BN$2,0,0,ROW()-1,60),ROW()-1,FALSE))</f>
        <v>10.1000946</v>
      </c>
      <c r="S633">
        <f ca="1">IF(AND(ISNUMBER($S$1290),$B$677=1),$S$1290,HLOOKUP(INDIRECT(ADDRESS(2,COLUMN())),OFFSET($BN$2,0,0,ROW()-1,60),ROW()-1,FALSE))</f>
        <v>5.6160347670000004</v>
      </c>
      <c r="T633">
        <f ca="1">IF(AND(ISNUMBER($T$1290),$B$677=1),$T$1290,HLOOKUP(INDIRECT(ADDRESS(2,COLUMN())),OFFSET($BN$2,0,0,ROW()-1,60),ROW()-1,FALSE))</f>
        <v>4.6365705740000003</v>
      </c>
      <c r="U633">
        <f ca="1">IF(AND(ISNUMBER($U$1290),$B$677=1),$U$1290,HLOOKUP(INDIRECT(ADDRESS(2,COLUMN())),OFFSET($BN$2,0,0,ROW()-1,60),ROW()-1,FALSE))</f>
        <v>-1.494773234</v>
      </c>
      <c r="V633">
        <f ca="1">IF(AND(ISNUMBER($V$1290),$B$677=1),$V$1290,HLOOKUP(INDIRECT(ADDRESS(2,COLUMN())),OFFSET($BN$2,0,0,ROW()-1,60),ROW()-1,FALSE))</f>
        <v>-3.213982052</v>
      </c>
      <c r="W633">
        <f ca="1">IF(AND(ISNUMBER($W$1290),$B$677=1),$W$1290,HLOOKUP(INDIRECT(ADDRESS(2,COLUMN())),OFFSET($BN$2,0,0,ROW()-1,60),ROW()-1,FALSE))</f>
        <v>2.968203935</v>
      </c>
      <c r="X633" t="str">
        <f ca="1">IF(AND(ISNUMBER($X$1290),$B$677=1),$X$1290,HLOOKUP(INDIRECT(ADDRESS(2,COLUMN())),OFFSET($BN$2,0,0,ROW()-1,60),ROW()-1,FALSE))</f>
        <v/>
      </c>
      <c r="Y633" t="str">
        <f ca="1">IF(AND(ISNUMBER($Y$1290),$B$677=1),$Y$1290,HLOOKUP(INDIRECT(ADDRESS(2,COLUMN())),OFFSET($BN$2,0,0,ROW()-1,60),ROW()-1,FALSE))</f>
        <v/>
      </c>
      <c r="Z633" t="str">
        <f ca="1">IF(AND(ISNUMBER($Z$1290),$B$677=1),$Z$1290,HLOOKUP(INDIRECT(ADDRESS(2,COLUMN())),OFFSET($BN$2,0,0,ROW()-1,60),ROW()-1,FALSE))</f>
        <v/>
      </c>
      <c r="AA633" t="str">
        <f ca="1">IF(AND(ISNUMBER($AA$1290),$B$677=1),$AA$1290,HLOOKUP(INDIRECT(ADDRESS(2,COLUMN())),OFFSET($BN$2,0,0,ROW()-1,60),ROW()-1,FALSE))</f>
        <v/>
      </c>
      <c r="AB633" t="str">
        <f ca="1">IF(AND(ISNUMBER($AB$1290),$B$677=1),$AB$1290,HLOOKUP(INDIRECT(ADDRESS(2,COLUMN())),OFFSET($BN$2,0,0,ROW()-1,60),ROW()-1,FALSE))</f>
        <v/>
      </c>
      <c r="AC633" t="str">
        <f ca="1">IF(AND(ISNUMBER($AC$1290),$B$677=1),$AC$1290,HLOOKUP(INDIRECT(ADDRESS(2,COLUMN())),OFFSET($BN$2,0,0,ROW()-1,60),ROW()-1,FALSE))</f>
        <v/>
      </c>
      <c r="AD633" t="str">
        <f ca="1">IF(AND(ISNUMBER($AD$1290),$B$677=1),$AD$1290,HLOOKUP(INDIRECT(ADDRESS(2,COLUMN())),OFFSET($BN$2,0,0,ROW()-1,60),ROW()-1,FALSE))</f>
        <v/>
      </c>
      <c r="AE633" t="str">
        <f ca="1">IF(AND(ISNUMBER($AE$1290),$B$677=1),$AE$1290,HLOOKUP(INDIRECT(ADDRESS(2,COLUMN())),OFFSET($BN$2,0,0,ROW()-1,60),ROW()-1,FALSE))</f>
        <v/>
      </c>
      <c r="AF633" t="str">
        <f ca="1">IF(AND(ISNUMBER($AF$1290),$B$677=1),$AF$1290,HLOOKUP(INDIRECT(ADDRESS(2,COLUMN())),OFFSET($BN$2,0,0,ROW()-1,60),ROW()-1,FALSE))</f>
        <v/>
      </c>
      <c r="AG633" t="str">
        <f ca="1">IF(AND(ISNUMBER($AG$1290),$B$677=1),$AG$1290,HLOOKUP(INDIRECT(ADDRESS(2,COLUMN())),OFFSET($BN$2,0,0,ROW()-1,60),ROW()-1,FALSE))</f>
        <v/>
      </c>
      <c r="AH633" t="str">
        <f ca="1">IF(AND(ISNUMBER($AH$1290),$B$677=1),$AH$1290,HLOOKUP(INDIRECT(ADDRESS(2,COLUMN())),OFFSET($BN$2,0,0,ROW()-1,60),ROW()-1,FALSE))</f>
        <v/>
      </c>
      <c r="AI633" t="str">
        <f ca="1">IF(AND(ISNUMBER($AI$1290),$B$677=1),$AI$1290,HLOOKUP(INDIRECT(ADDRESS(2,COLUMN())),OFFSET($BN$2,0,0,ROW()-1,60),ROW()-1,FALSE))</f>
        <v/>
      </c>
      <c r="AJ633" t="str">
        <f ca="1">IF(AND(ISNUMBER($AJ$1290),$B$677=1),$AJ$1290,HLOOKUP(INDIRECT(ADDRESS(2,COLUMN())),OFFSET($BN$2,0,0,ROW()-1,60),ROW()-1,FALSE))</f>
        <v/>
      </c>
      <c r="AK633" t="str">
        <f ca="1">IF(AND(ISNUMBER($AK$1290),$B$677=1),$AK$1290,HLOOKUP(INDIRECT(ADDRESS(2,COLUMN())),OFFSET($BN$2,0,0,ROW()-1,60),ROW()-1,FALSE))</f>
        <v/>
      </c>
      <c r="AL633" t="str">
        <f ca="1">IF(AND(ISNUMBER($AL$1290),$B$677=1),$AL$1290,HLOOKUP(INDIRECT(ADDRESS(2,COLUMN())),OFFSET($BN$2,0,0,ROW()-1,60),ROW()-1,FALSE))</f>
        <v/>
      </c>
      <c r="AM633" t="str">
        <f ca="1">IF(AND(ISNUMBER($AM$1290),$B$677=1),$AM$1290,HLOOKUP(INDIRECT(ADDRESS(2,COLUMN())),OFFSET($BN$2,0,0,ROW()-1,60),ROW()-1,FALSE))</f>
        <v/>
      </c>
      <c r="AN633" t="str">
        <f ca="1">IF(AND(ISNUMBER($AN$1290),$B$677=1),$AN$1290,HLOOKUP(INDIRECT(ADDRESS(2,COLUMN())),OFFSET($BN$2,0,0,ROW()-1,60),ROW()-1,FALSE))</f>
        <v/>
      </c>
      <c r="AO633" t="str">
        <f ca="1">IF(AND(ISNUMBER($AO$1290),$B$677=1),$AO$1290,HLOOKUP(INDIRECT(ADDRESS(2,COLUMN())),OFFSET($BN$2,0,0,ROW()-1,60),ROW()-1,FALSE))</f>
        <v/>
      </c>
      <c r="AP633" t="str">
        <f ca="1">IF(AND(ISNUMBER($AP$1290),$B$677=1),$AP$1290,HLOOKUP(INDIRECT(ADDRESS(2,COLUMN())),OFFSET($BN$2,0,0,ROW()-1,60),ROW()-1,FALSE))</f>
        <v/>
      </c>
      <c r="AQ633" t="str">
        <f ca="1">IF(AND(ISNUMBER($AQ$1290),$B$677=1),$AQ$1290,HLOOKUP(INDIRECT(ADDRESS(2,COLUMN())),OFFSET($BN$2,0,0,ROW()-1,60),ROW()-1,FALSE))</f>
        <v/>
      </c>
      <c r="AR633" t="str">
        <f ca="1">IF(AND(ISNUMBER($AR$1290),$B$677=1),$AR$1290,HLOOKUP(INDIRECT(ADDRESS(2,COLUMN())),OFFSET($BN$2,0,0,ROW()-1,60),ROW()-1,FALSE))</f>
        <v/>
      </c>
      <c r="AS633" t="str">
        <f ca="1">IF(AND(ISNUMBER($AS$1290),$B$677=1),$AS$1290,HLOOKUP(INDIRECT(ADDRESS(2,COLUMN())),OFFSET($BN$2,0,0,ROW()-1,60),ROW()-1,FALSE))</f>
        <v/>
      </c>
      <c r="AT633" t="str">
        <f ca="1">IF(AND(ISNUMBER($AT$1290),$B$677=1),$AT$1290,HLOOKUP(INDIRECT(ADDRESS(2,COLUMN())),OFFSET($BN$2,0,0,ROW()-1,60),ROW()-1,FALSE))</f>
        <v/>
      </c>
      <c r="AU633" t="str">
        <f ca="1">IF(AND(ISNUMBER($AU$1290),$B$677=1),$AU$1290,HLOOKUP(INDIRECT(ADDRESS(2,COLUMN())),OFFSET($BN$2,0,0,ROW()-1,60),ROW()-1,FALSE))</f>
        <v/>
      </c>
      <c r="AV633" t="str">
        <f ca="1">IF(AND(ISNUMBER($AV$1290),$B$677=1),$AV$1290,HLOOKUP(INDIRECT(ADDRESS(2,COLUMN())),OFFSET($BN$2,0,0,ROW()-1,60),ROW()-1,FALSE))</f>
        <v/>
      </c>
      <c r="AW633" t="str">
        <f ca="1">IF(AND(ISNUMBER($AW$1290),$B$677=1),$AW$1290,HLOOKUP(INDIRECT(ADDRESS(2,COLUMN())),OFFSET($BN$2,0,0,ROW()-1,60),ROW()-1,FALSE))</f>
        <v/>
      </c>
      <c r="AX633" t="str">
        <f ca="1">IF(AND(ISNUMBER($AX$1290),$B$677=1),$AX$1290,HLOOKUP(INDIRECT(ADDRESS(2,COLUMN())),OFFSET($BN$2,0,0,ROW()-1,60),ROW()-1,FALSE))</f>
        <v/>
      </c>
      <c r="AY633" t="str">
        <f ca="1">IF(AND(ISNUMBER($AY$1290),$B$677=1),$AY$1290,HLOOKUP(INDIRECT(ADDRESS(2,COLUMN())),OFFSET($BN$2,0,0,ROW()-1,60),ROW()-1,FALSE))</f>
        <v/>
      </c>
      <c r="AZ633" t="str">
        <f ca="1">IF(AND(ISNUMBER($AZ$1290),$B$677=1),$AZ$1290,HLOOKUP(INDIRECT(ADDRESS(2,COLUMN())),OFFSET($BN$2,0,0,ROW()-1,60),ROW()-1,FALSE))</f>
        <v/>
      </c>
      <c r="BA633" t="str">
        <f ca="1">IF(AND(ISNUMBER($BA$1290),$B$677=1),$BA$1290,HLOOKUP(INDIRECT(ADDRESS(2,COLUMN())),OFFSET($BN$2,0,0,ROW()-1,60),ROW()-1,FALSE))</f>
        <v/>
      </c>
      <c r="BB633" t="str">
        <f ca="1">IF(AND(ISNUMBER($BB$1290),$B$677=1),$BB$1290,HLOOKUP(INDIRECT(ADDRESS(2,COLUMN())),OFFSET($BN$2,0,0,ROW()-1,60),ROW()-1,FALSE))</f>
        <v/>
      </c>
      <c r="BC633" t="str">
        <f ca="1">IF(AND(ISNUMBER($BC$1290),$B$677=1),$BC$1290,HLOOKUP(INDIRECT(ADDRESS(2,COLUMN())),OFFSET($BN$2,0,0,ROW()-1,60),ROW()-1,FALSE))</f>
        <v/>
      </c>
      <c r="BD633" t="str">
        <f ca="1">IF(AND(ISNUMBER($BD$1290),$B$677=1),$BD$1290,HLOOKUP(INDIRECT(ADDRESS(2,COLUMN())),OFFSET($BN$2,0,0,ROW()-1,60),ROW()-1,FALSE))</f>
        <v/>
      </c>
      <c r="BE633" t="str">
        <f ca="1">IF(AND(ISNUMBER($BE$1290),$B$677=1),$BE$1290,HLOOKUP(INDIRECT(ADDRESS(2,COLUMN())),OFFSET($BN$2,0,0,ROW()-1,60),ROW()-1,FALSE))</f>
        <v/>
      </c>
      <c r="BF633" t="str">
        <f ca="1">IF(AND(ISNUMBER($BF$1290),$B$677=1),$BF$1290,HLOOKUP(INDIRECT(ADDRESS(2,COLUMN())),OFFSET($BN$2,0,0,ROW()-1,60),ROW()-1,FALSE))</f>
        <v/>
      </c>
      <c r="BG633" t="str">
        <f ca="1">IF(AND(ISNUMBER($BG$1290),$B$677=1),$BG$1290,HLOOKUP(INDIRECT(ADDRESS(2,COLUMN())),OFFSET($BN$2,0,0,ROW()-1,60),ROW()-1,FALSE))</f>
        <v/>
      </c>
      <c r="BH633" t="str">
        <f ca="1">IF(AND(ISNUMBER($BH$1290),$B$677=1),$BH$1290,HLOOKUP(INDIRECT(ADDRESS(2,COLUMN())),OFFSET($BN$2,0,0,ROW()-1,60),ROW()-1,FALSE))</f>
        <v/>
      </c>
      <c r="BI633" t="str">
        <f ca="1">IF(AND(ISNUMBER($BI$1290),$B$677=1),$BI$1290,HLOOKUP(INDIRECT(ADDRESS(2,COLUMN())),OFFSET($BN$2,0,0,ROW()-1,60),ROW()-1,FALSE))</f>
        <v/>
      </c>
      <c r="BJ633" t="str">
        <f ca="1">IF(AND(ISNUMBER($BJ$1290),$B$677=1),$BJ$1290,HLOOKUP(INDIRECT(ADDRESS(2,COLUMN())),OFFSET($BN$2,0,0,ROW()-1,60),ROW()-1,FALSE))</f>
        <v/>
      </c>
      <c r="BK633" t="str">
        <f ca="1">IF(AND(ISNUMBER($BK$1290),$B$677=1),$BK$1290,HLOOKUP(INDIRECT(ADDRESS(2,COLUMN())),OFFSET($BN$2,0,0,ROW()-1,60),ROW()-1,FALSE))</f>
        <v/>
      </c>
      <c r="BL633" t="str">
        <f ca="1">IF(AND(ISNUMBER($BL$1290),$B$677=1),$BL$1290,HLOOKUP(INDIRECT(ADDRESS(2,COLUMN())),OFFSET($BN$2,0,0,ROW()-1,60),ROW()-1,FALSE))</f>
        <v/>
      </c>
      <c r="BM633" t="str">
        <f ca="1">IF(AND(ISNUMBER($BM$1290),$B$677=1),$BM$1290,HLOOKUP(INDIRECT(ADDRESS(2,COLUMN())),OFFSET($BN$2,0,0,ROW()-1,60),ROW()-1,FALSE))</f>
        <v/>
      </c>
      <c r="BN633">
        <f>22.31527228</f>
        <v>22.315272279999999</v>
      </c>
      <c r="BO633">
        <f>23.26976852</f>
        <v>23.26976852</v>
      </c>
      <c r="BP633">
        <f>17.03732011</f>
        <v>17.03732011</v>
      </c>
      <c r="BQ633">
        <f>18.76856539</f>
        <v>18.768565389999999</v>
      </c>
      <c r="BR633">
        <f>15.26912477</f>
        <v>15.269124769999999</v>
      </c>
      <c r="BS633">
        <f>9.976327718</f>
        <v>9.9763277180000003</v>
      </c>
      <c r="BT633">
        <f>11.25730822</f>
        <v>11.257308220000001</v>
      </c>
      <c r="BU633">
        <f>7.542812679</f>
        <v>7.5428126789999999</v>
      </c>
      <c r="BV633">
        <f>13.93732692</f>
        <v>13.93732692</v>
      </c>
      <c r="BW633">
        <f>13.46469285</f>
        <v>13.46469285</v>
      </c>
      <c r="BX633">
        <f>17.95099991</f>
        <v>17.95099991</v>
      </c>
      <c r="BY633">
        <f>25.02732078</f>
        <v>25.02732078</v>
      </c>
      <c r="BZ633">
        <f>10.1000946</f>
        <v>10.1000946</v>
      </c>
      <c r="CA633">
        <f>5.616034767</f>
        <v>5.6160347670000004</v>
      </c>
      <c r="CB633">
        <f>4.636570574</f>
        <v>4.6365705740000003</v>
      </c>
      <c r="CC633">
        <f>-1.494773234</f>
        <v>-1.494773234</v>
      </c>
      <c r="CD633">
        <f>-3.213982052</f>
        <v>-3.213982052</v>
      </c>
      <c r="CE633">
        <f>2.968203935</f>
        <v>2.968203935</v>
      </c>
      <c r="CF633" t="str">
        <f>""</f>
        <v/>
      </c>
      <c r="CG633" t="str">
        <f>""</f>
        <v/>
      </c>
      <c r="CH633" t="str">
        <f>""</f>
        <v/>
      </c>
      <c r="CI633" t="str">
        <f>""</f>
        <v/>
      </c>
      <c r="CJ633" t="str">
        <f>""</f>
        <v/>
      </c>
      <c r="CK633" t="str">
        <f>""</f>
        <v/>
      </c>
      <c r="CL633" t="str">
        <f>""</f>
        <v/>
      </c>
      <c r="CM633" t="str">
        <f>""</f>
        <v/>
      </c>
      <c r="CN633" t="str">
        <f>""</f>
        <v/>
      </c>
      <c r="CO633" t="str">
        <f>""</f>
        <v/>
      </c>
      <c r="CP633" t="str">
        <f>""</f>
        <v/>
      </c>
      <c r="CQ633" t="str">
        <f>""</f>
        <v/>
      </c>
      <c r="CR633" t="str">
        <f>""</f>
        <v/>
      </c>
      <c r="CS633" t="str">
        <f>""</f>
        <v/>
      </c>
      <c r="CT633" t="str">
        <f>""</f>
        <v/>
      </c>
      <c r="CU633" t="str">
        <f>""</f>
        <v/>
      </c>
      <c r="CV633" t="str">
        <f>""</f>
        <v/>
      </c>
      <c r="CW633" t="str">
        <f>""</f>
        <v/>
      </c>
      <c r="CX633" t="str">
        <f>""</f>
        <v/>
      </c>
      <c r="CY633" t="str">
        <f>""</f>
        <v/>
      </c>
      <c r="CZ633" t="str">
        <f>""</f>
        <v/>
      </c>
      <c r="DA633" t="str">
        <f>""</f>
        <v/>
      </c>
      <c r="DB633" t="str">
        <f>""</f>
        <v/>
      </c>
      <c r="DC633" t="str">
        <f>""</f>
        <v/>
      </c>
      <c r="DD633" t="str">
        <f>""</f>
        <v/>
      </c>
      <c r="DE633" t="str">
        <f>""</f>
        <v/>
      </c>
      <c r="DF633" t="str">
        <f>""</f>
        <v/>
      </c>
      <c r="DG633" t="str">
        <f>""</f>
        <v/>
      </c>
      <c r="DH633" t="str">
        <f>""</f>
        <v/>
      </c>
      <c r="DI633" t="str">
        <f>""</f>
        <v/>
      </c>
      <c r="DJ633" t="str">
        <f>""</f>
        <v/>
      </c>
      <c r="DK633" t="str">
        <f>""</f>
        <v/>
      </c>
      <c r="DL633" t="str">
        <f>""</f>
        <v/>
      </c>
      <c r="DM633" t="str">
        <f>""</f>
        <v/>
      </c>
      <c r="DN633" t="str">
        <f>""</f>
        <v/>
      </c>
      <c r="DO633" t="str">
        <f>""</f>
        <v/>
      </c>
      <c r="DP633" t="str">
        <f>""</f>
        <v/>
      </c>
      <c r="DQ633" t="str">
        <f>""</f>
        <v/>
      </c>
      <c r="DR633" t="str">
        <f>""</f>
        <v/>
      </c>
      <c r="DS633" t="str">
        <f>""</f>
        <v/>
      </c>
      <c r="DT633" t="str">
        <f>""</f>
        <v/>
      </c>
      <c r="DU633" t="str">
        <f>""</f>
        <v/>
      </c>
    </row>
    <row r="634" spans="1:125" x14ac:dyDescent="0.25">
      <c r="A634" t="str">
        <f>"    Ford Motor Co"</f>
        <v xml:space="preserve">    Ford Motor Co</v>
      </c>
      <c r="B634" t="str">
        <f>"F US Equity"</f>
        <v>F US Equity</v>
      </c>
      <c r="C634" t="str">
        <f t="shared" si="45"/>
        <v>RX539</v>
      </c>
      <c r="D634" t="str">
        <f t="shared" si="46"/>
        <v>T12_FCF_YIELD</v>
      </c>
      <c r="E634" t="str">
        <f t="shared" si="47"/>
        <v>Dynamic</v>
      </c>
      <c r="F634">
        <f ca="1">IF(AND(ISNUMBER($F$1291),$B$677=1),$F$1291,HLOOKUP(INDIRECT(ADDRESS(2,COLUMN())),OFFSET($BN$2,0,0,ROW()-1,60),ROW()-1,FALSE))</f>
        <v>20.884082859999999</v>
      </c>
      <c r="G634">
        <f ca="1">IF(AND(ISNUMBER($G$1291),$B$677=1),$G$1291,HLOOKUP(INDIRECT(ADDRESS(2,COLUMN())),OFFSET($BN$2,0,0,ROW()-1,60),ROW()-1,FALSE))</f>
        <v>23.781700570000002</v>
      </c>
      <c r="H634">
        <f ca="1">IF(AND(ISNUMBER($H$1291),$B$677=1),$H$1291,HLOOKUP(INDIRECT(ADDRESS(2,COLUMN())),OFFSET($BN$2,0,0,ROW()-1,60),ROW()-1,FALSE))</f>
        <v>24.492804679999999</v>
      </c>
      <c r="I634">
        <f ca="1">IF(AND(ISNUMBER($I$1291),$B$677=1),$I$1291,HLOOKUP(INDIRECT(ADDRESS(2,COLUMN())),OFFSET($BN$2,0,0,ROW()-1,60),ROW()-1,FALSE))</f>
        <v>20.760114399999999</v>
      </c>
      <c r="J634">
        <f ca="1">IF(AND(ISNUMBER($J$1291),$B$677=1),$J$1291,HLOOKUP(INDIRECT(ADDRESS(2,COLUMN())),OFFSET($BN$2,0,0,ROW()-1,60),ROW()-1,FALSE))</f>
        <v>23.059763310000001</v>
      </c>
      <c r="K634">
        <f ca="1">IF(AND(ISNUMBER($K$1291),$B$677=1),$K$1291,HLOOKUP(INDIRECT(ADDRESS(2,COLUMN())),OFFSET($BN$2,0,0,ROW()-1,60),ROW()-1,FALSE))</f>
        <v>22.26586829</v>
      </c>
      <c r="L634">
        <f ca="1">IF(AND(ISNUMBER($L$1291),$B$677=1),$L$1291,HLOOKUP(INDIRECT(ADDRESS(2,COLUMN())),OFFSET($BN$2,0,0,ROW()-1,60),ROW()-1,FALSE))</f>
        <v>22.571664070000001</v>
      </c>
      <c r="M634">
        <f ca="1">IF(AND(ISNUMBER($M$1291),$B$677=1),$M$1291,HLOOKUP(INDIRECT(ADDRESS(2,COLUMN())),OFFSET($BN$2,0,0,ROW()-1,60),ROW()-1,FALSE))</f>
        <v>24.372494240000002</v>
      </c>
      <c r="N634">
        <f ca="1">IF(AND(ISNUMBER($N$1291),$B$677=1),$N$1291,HLOOKUP(INDIRECT(ADDRESS(2,COLUMN())),OFFSET($BN$2,0,0,ROW()-1,60),ROW()-1,FALSE))</f>
        <v>27.724265299999999</v>
      </c>
      <c r="O634">
        <f ca="1">IF(AND(ISNUMBER($O$1291),$B$677=1),$O$1291,HLOOKUP(INDIRECT(ADDRESS(2,COLUMN())),OFFSET($BN$2,0,0,ROW()-1,60),ROW()-1,FALSE))</f>
        <v>26.675707460000002</v>
      </c>
      <c r="P634">
        <f ca="1">IF(AND(ISNUMBER($P$1291),$B$677=1),$P$1291,HLOOKUP(INDIRECT(ADDRESS(2,COLUMN())),OFFSET($BN$2,0,0,ROW()-1,60),ROW()-1,FALSE))</f>
        <v>25.960747959999999</v>
      </c>
      <c r="Q634">
        <f ca="1">IF(AND(ISNUMBER($Q$1291),$B$677=1),$Q$1291,HLOOKUP(INDIRECT(ADDRESS(2,COLUMN())),OFFSET($BN$2,0,0,ROW()-1,60),ROW()-1,FALSE))</f>
        <v>27.28353757</v>
      </c>
      <c r="R634">
        <f ca="1">IF(AND(ISNUMBER($R$1291),$B$677=1),$R$1291,HLOOKUP(INDIRECT(ADDRESS(2,COLUMN())),OFFSET($BN$2,0,0,ROW()-1,60),ROW()-1,FALSE))</f>
        <v>19.97472999</v>
      </c>
      <c r="S634">
        <f ca="1">IF(AND(ISNUMBER($S$1291),$B$677=1),$S$1291,HLOOKUP(INDIRECT(ADDRESS(2,COLUMN())),OFFSET($BN$2,0,0,ROW()-1,60),ROW()-1,FALSE))</f>
        <v>16.148646580000001</v>
      </c>
      <c r="T634">
        <f ca="1">IF(AND(ISNUMBER($T$1291),$B$677=1),$T$1291,HLOOKUP(INDIRECT(ADDRESS(2,COLUMN())),OFFSET($BN$2,0,0,ROW()-1,60),ROW()-1,FALSE))</f>
        <v>16.221066960000002</v>
      </c>
      <c r="U634">
        <f ca="1">IF(AND(ISNUMBER($U$1291),$B$677=1),$U$1291,HLOOKUP(INDIRECT(ADDRESS(2,COLUMN())),OFFSET($BN$2,0,0,ROW()-1,60),ROW()-1,FALSE))</f>
        <v>9.8893755910000003</v>
      </c>
      <c r="V634">
        <f ca="1">IF(AND(ISNUMBER($V$1291),$B$677=1),$V$1291,HLOOKUP(INDIRECT(ADDRESS(2,COLUMN())),OFFSET($BN$2,0,0,ROW()-1,60),ROW()-1,FALSE))</f>
        <v>8.9877120490000006</v>
      </c>
      <c r="W634">
        <f ca="1">IF(AND(ISNUMBER($W$1291),$B$677=1),$W$1291,HLOOKUP(INDIRECT(ADDRESS(2,COLUMN())),OFFSET($BN$2,0,0,ROW()-1,60),ROW()-1,FALSE))</f>
        <v>11.80796337</v>
      </c>
      <c r="X634">
        <f ca="1">IF(AND(ISNUMBER($X$1291),$B$677=1),$X$1291,HLOOKUP(INDIRECT(ADDRESS(2,COLUMN())),OFFSET($BN$2,0,0,ROW()-1,60),ROW()-1,FALSE))</f>
        <v>9.4260355199999992</v>
      </c>
      <c r="Y634">
        <f ca="1">IF(AND(ISNUMBER($Y$1291),$B$677=1),$Y$1291,HLOOKUP(INDIRECT(ADDRESS(2,COLUMN())),OFFSET($BN$2,0,0,ROW()-1,60),ROW()-1,FALSE))</f>
        <v>8.0077553330000004</v>
      </c>
      <c r="Z634">
        <f ca="1">IF(AND(ISNUMBER($Z$1291),$B$677=1),$Z$1291,HLOOKUP(INDIRECT(ADDRESS(2,COLUMN())),OFFSET($BN$2,0,0,ROW()-1,60),ROW()-1,FALSE))</f>
        <v>9.34491725</v>
      </c>
      <c r="AA634">
        <f ca="1">IF(AND(ISNUMBER($AA$1291),$B$677=1),$AA$1291,HLOOKUP(INDIRECT(ADDRESS(2,COLUMN())),OFFSET($BN$2,0,0,ROW()-1,60),ROW()-1,FALSE))</f>
        <v>6.4111563020000002</v>
      </c>
      <c r="AB634">
        <f ca="1">IF(AND(ISNUMBER($AB$1291),$B$677=1),$AB$1291,HLOOKUP(INDIRECT(ADDRESS(2,COLUMN())),OFFSET($BN$2,0,0,ROW()-1,60),ROW()-1,FALSE))</f>
        <v>7.4448338749999996</v>
      </c>
      <c r="AC634">
        <f ca="1">IF(AND(ISNUMBER($AC$1291),$B$677=1),$AC$1291,HLOOKUP(INDIRECT(ADDRESS(2,COLUMN())),OFFSET($BN$2,0,0,ROW()-1,60),ROW()-1,FALSE))</f>
        <v>6.9653000110000001</v>
      </c>
      <c r="AD634">
        <f ca="1">IF(AND(ISNUMBER($AD$1291),$B$677=1),$AD$1291,HLOOKUP(INDIRECT(ADDRESS(2,COLUMN())),OFFSET($BN$2,0,0,ROW()-1,60),ROW()-1,FALSE))</f>
        <v>5.5334145729999999</v>
      </c>
      <c r="AE634">
        <f ca="1">IF(AND(ISNUMBER($AE$1291),$B$677=1),$AE$1291,HLOOKUP(INDIRECT(ADDRESS(2,COLUMN())),OFFSET($BN$2,0,0,ROW()-1,60),ROW()-1,FALSE))</f>
        <v>7.2042006629999999</v>
      </c>
      <c r="AF634">
        <f ca="1">IF(AND(ISNUMBER($AF$1291),$B$677=1),$AF$1291,HLOOKUP(INDIRECT(ADDRESS(2,COLUMN())),OFFSET($BN$2,0,0,ROW()-1,60),ROW()-1,FALSE))</f>
        <v>12.689495470000001</v>
      </c>
      <c r="AG634">
        <f ca="1">IF(AND(ISNUMBER($AG$1291),$B$677=1),$AG$1291,HLOOKUP(INDIRECT(ADDRESS(2,COLUMN())),OFFSET($BN$2,0,0,ROW()-1,60),ROW()-1,FALSE))</f>
        <v>12.62877273</v>
      </c>
      <c r="AH634">
        <f ca="1">IF(AND(ISNUMBER($AH$1291),$B$677=1),$AH$1291,HLOOKUP(INDIRECT(ADDRESS(2,COLUMN())),OFFSET($BN$2,0,0,ROW()-1,60),ROW()-1,FALSE))</f>
        <v>11.5197272</v>
      </c>
      <c r="AI634">
        <f ca="1">IF(AND(ISNUMBER($AI$1291),$B$677=1),$AI$1291,HLOOKUP(INDIRECT(ADDRESS(2,COLUMN())),OFFSET($BN$2,0,0,ROW()-1,60),ROW()-1,FALSE))</f>
        <v>18.293393859999998</v>
      </c>
      <c r="AJ634">
        <f ca="1">IF(AND(ISNUMBER($AJ$1291),$B$677=1),$AJ$1291,HLOOKUP(INDIRECT(ADDRESS(2,COLUMN())),OFFSET($BN$2,0,0,ROW()-1,60),ROW()-1,FALSE))</f>
        <v>21.042693499999999</v>
      </c>
      <c r="AK634">
        <f ca="1">IF(AND(ISNUMBER($AK$1291),$B$677=1),$AK$1291,HLOOKUP(INDIRECT(ADDRESS(2,COLUMN())),OFFSET($BN$2,0,0,ROW()-1,60),ROW()-1,FALSE))</f>
        <v>16.78215612</v>
      </c>
      <c r="AL634">
        <f ca="1">IF(AND(ISNUMBER($AL$1291),$B$677=1),$AL$1291,HLOOKUP(INDIRECT(ADDRESS(2,COLUMN())),OFFSET($BN$2,0,0,ROW()-1,60),ROW()-1,FALSE))</f>
        <v>14.38824155</v>
      </c>
      <c r="AM634">
        <f ca="1">IF(AND(ISNUMBER($AM$1291),$B$677=1),$AM$1291,HLOOKUP(INDIRECT(ADDRESS(2,COLUMN())),OFFSET($BN$2,0,0,ROW()-1,60),ROW()-1,FALSE))</f>
        <v>9.6466832220000001</v>
      </c>
      <c r="AN634">
        <f ca="1">IF(AND(ISNUMBER($AN$1291),$B$677=1),$AN$1291,HLOOKUP(INDIRECT(ADDRESS(2,COLUMN())),OFFSET($BN$2,0,0,ROW()-1,60),ROW()-1,FALSE))</f>
        <v>27.655002419999999</v>
      </c>
      <c r="AO634">
        <f ca="1">IF(AND(ISNUMBER($AO$1291),$B$677=1),$AO$1291,HLOOKUP(INDIRECT(ADDRESS(2,COLUMN())),OFFSET($BN$2,0,0,ROW()-1,60),ROW()-1,FALSE))</f>
        <v>38.097362580000002</v>
      </c>
      <c r="AP634">
        <f ca="1">IF(AND(ISNUMBER($AP$1291),$B$677=1),$AP$1291,HLOOKUP(INDIRECT(ADDRESS(2,COLUMN())),OFFSET($BN$2,0,0,ROW()-1,60),ROW()-1,FALSE))</f>
        <v>25.083197640000002</v>
      </c>
      <c r="AQ634">
        <f ca="1">IF(AND(ISNUMBER($AQ$1291),$B$677=1),$AQ$1291,HLOOKUP(INDIRECT(ADDRESS(2,COLUMN())),OFFSET($BN$2,0,0,ROW()-1,60),ROW()-1,FALSE))</f>
        <v>24.27806197</v>
      </c>
      <c r="AR634">
        <f ca="1">IF(AND(ISNUMBER($AR$1291),$B$677=1),$AR$1291,HLOOKUP(INDIRECT(ADDRESS(2,COLUMN())),OFFSET($BN$2,0,0,ROW()-1,60),ROW()-1,FALSE))</f>
        <v>-47.559794699999998</v>
      </c>
      <c r="AS634">
        <f ca="1">IF(AND(ISNUMBER($AS$1291),$B$677=1),$AS$1291,HLOOKUP(INDIRECT(ADDRESS(2,COLUMN())),OFFSET($BN$2,0,0,ROW()-1,60),ROW()-1,FALSE))</f>
        <v>-63.532849380000002</v>
      </c>
      <c r="AT634">
        <f ca="1">IF(AND(ISNUMBER($AT$1291),$B$677=1),$AT$1291,HLOOKUP(INDIRECT(ADDRESS(2,COLUMN())),OFFSET($BN$2,0,0,ROW()-1,60),ROW()-1,FALSE))</f>
        <v>-211.0808706</v>
      </c>
      <c r="AU634">
        <f ca="1">IF(AND(ISNUMBER($AU$1291),$B$677=1),$AU$1291,HLOOKUP(INDIRECT(ADDRESS(2,COLUMN())),OFFSET($BN$2,0,0,ROW()-1,60),ROW()-1,FALSE))</f>
        <v>-183.8595809</v>
      </c>
      <c r="AV634">
        <f ca="1">IF(AND(ISNUMBER($AV$1291),$B$677=1),$AV$1291,HLOOKUP(INDIRECT(ADDRESS(2,COLUMN())),OFFSET($BN$2,0,0,ROW()-1,60),ROW()-1,FALSE))</f>
        <v>40.147896600000003</v>
      </c>
      <c r="AW634">
        <f ca="1">IF(AND(ISNUMBER($AW$1291),$B$677=1),$AW$1291,HLOOKUP(INDIRECT(ADDRESS(2,COLUMN())),OFFSET($BN$2,0,0,ROW()-1,60),ROW()-1,FALSE))</f>
        <v>55.90679428</v>
      </c>
      <c r="AX634">
        <f ca="1">IF(AND(ISNUMBER($AX$1291),$B$677=1),$AX$1291,HLOOKUP(INDIRECT(ADDRESS(2,COLUMN())),OFFSET($BN$2,0,0,ROW()-1,60),ROW()-1,FALSE))</f>
        <v>79.324763090000005</v>
      </c>
      <c r="AY634">
        <f ca="1">IF(AND(ISNUMBER($AY$1291),$B$677=1),$AY$1291,HLOOKUP(INDIRECT(ADDRESS(2,COLUMN())),OFFSET($BN$2,0,0,ROW()-1,60),ROW()-1,FALSE))</f>
        <v>64.421938609999998</v>
      </c>
      <c r="AZ634">
        <f ca="1">IF(AND(ISNUMBER($AZ$1291),$B$677=1),$AZ$1291,HLOOKUP(INDIRECT(ADDRESS(2,COLUMN())),OFFSET($BN$2,0,0,ROW()-1,60),ROW()-1,FALSE))</f>
        <v>-11.14130649</v>
      </c>
      <c r="BA634">
        <f ca="1">IF(AND(ISNUMBER($BA$1291),$B$677=1),$BA$1291,HLOOKUP(INDIRECT(ADDRESS(2,COLUMN())),OFFSET($BN$2,0,0,ROW()-1,60),ROW()-1,FALSE))</f>
        <v>-32.189052029999999</v>
      </c>
      <c r="BB634">
        <f ca="1">IF(AND(ISNUMBER($BB$1291),$B$677=1),$BB$1291,HLOOKUP(INDIRECT(ADDRESS(2,COLUMN())),OFFSET($BN$2,0,0,ROW()-1,60),ROW()-1,FALSE))</f>
        <v>-10.84239245</v>
      </c>
      <c r="BC634">
        <f ca="1">IF(AND(ISNUMBER($BC$1291),$B$677=1),$BC$1291,HLOOKUP(INDIRECT(ADDRESS(2,COLUMN())),OFFSET($BN$2,0,0,ROW()-1,60),ROW()-1,FALSE))</f>
        <v>-26.188542550000001</v>
      </c>
      <c r="BD634">
        <f ca="1">IF(AND(ISNUMBER($BD$1291),$B$677=1),$BD$1291,HLOOKUP(INDIRECT(ADDRESS(2,COLUMN())),OFFSET($BN$2,0,0,ROW()-1,60),ROW()-1,FALSE))</f>
        <v>31.69403333</v>
      </c>
      <c r="BE634">
        <f ca="1">IF(AND(ISNUMBER($BE$1291),$B$677=1),$BE$1291,HLOOKUP(INDIRECT(ADDRESS(2,COLUMN())),OFFSET($BN$2,0,0,ROW()-1,60),ROW()-1,FALSE))</f>
        <v>35.114456429999997</v>
      </c>
      <c r="BF634">
        <f ca="1">IF(AND(ISNUMBER($BF$1291),$B$677=1),$BF$1291,HLOOKUP(INDIRECT(ADDRESS(2,COLUMN())),OFFSET($BN$2,0,0,ROW()-1,60),ROW()-1,FALSE))</f>
        <v>-14.10515915</v>
      </c>
      <c r="BG634">
        <f ca="1">IF(AND(ISNUMBER($BG$1291),$B$677=1),$BG$1291,HLOOKUP(INDIRECT(ADDRESS(2,COLUMN())),OFFSET($BN$2,0,0,ROW()-1,60),ROW()-1,FALSE))</f>
        <v>10.982679510000001</v>
      </c>
      <c r="BH634">
        <f ca="1">IF(AND(ISNUMBER($BH$1291),$B$677=1),$BH$1291,HLOOKUP(INDIRECT(ADDRESS(2,COLUMN())),OFFSET($BN$2,0,0,ROW()-1,60),ROW()-1,FALSE))</f>
        <v>36.74113775</v>
      </c>
      <c r="BI634">
        <f ca="1">IF(AND(ISNUMBER($BI$1291),$B$677=1),$BI$1291,HLOOKUP(INDIRECT(ADDRESS(2,COLUMN())),OFFSET($BN$2,0,0,ROW()-1,60),ROW()-1,FALSE))</f>
        <v>66.420046249999999</v>
      </c>
      <c r="BJ634">
        <f ca="1">IF(AND(ISNUMBER($BJ$1291),$B$677=1),$BJ$1291,HLOOKUP(INDIRECT(ADDRESS(2,COLUMN())),OFFSET($BN$2,0,0,ROW()-1,60),ROW()-1,FALSE))</f>
        <v>84.399893750000004</v>
      </c>
      <c r="BK634">
        <f ca="1">IF(AND(ISNUMBER($BK$1291),$B$677=1),$BK$1291,HLOOKUP(INDIRECT(ADDRESS(2,COLUMN())),OFFSET($BN$2,0,0,ROW()-1,60),ROW()-1,FALSE))</f>
        <v>73.541221969999995</v>
      </c>
      <c r="BL634">
        <f ca="1">IF(AND(ISNUMBER($BL$1291),$B$677=1),$BL$1291,HLOOKUP(INDIRECT(ADDRESS(2,COLUMN())),OFFSET($BN$2,0,0,ROW()-1,60),ROW()-1,FALSE))</f>
        <v>44.942318149999998</v>
      </c>
      <c r="BM634">
        <f ca="1">IF(AND(ISNUMBER($BM$1291),$B$677=1),$BM$1291,HLOOKUP(INDIRECT(ADDRESS(2,COLUMN())),OFFSET($BN$2,0,0,ROW()-1,60),ROW()-1,FALSE))</f>
        <v>39.19003275</v>
      </c>
      <c r="BN634">
        <f>20.88408286</f>
        <v>20.884082859999999</v>
      </c>
      <c r="BO634">
        <f>23.78170057</f>
        <v>23.781700570000002</v>
      </c>
      <c r="BP634">
        <f>24.49280468</f>
        <v>24.492804679999999</v>
      </c>
      <c r="BQ634">
        <f>20.7601144</f>
        <v>20.760114399999999</v>
      </c>
      <c r="BR634">
        <f>23.05976331</f>
        <v>23.059763310000001</v>
      </c>
      <c r="BS634">
        <f>22.26586829</f>
        <v>22.26586829</v>
      </c>
      <c r="BT634">
        <f>22.57166407</f>
        <v>22.571664070000001</v>
      </c>
      <c r="BU634">
        <f>24.37249424</f>
        <v>24.372494240000002</v>
      </c>
      <c r="BV634">
        <f>27.7242653</f>
        <v>27.724265299999999</v>
      </c>
      <c r="BW634">
        <f>26.67570746</f>
        <v>26.675707460000002</v>
      </c>
      <c r="BX634">
        <f>25.96074796</f>
        <v>25.960747959999999</v>
      </c>
      <c r="BY634">
        <f>27.28353757</f>
        <v>27.28353757</v>
      </c>
      <c r="BZ634">
        <f>19.97472999</f>
        <v>19.97472999</v>
      </c>
      <c r="CA634">
        <f>16.14864658</f>
        <v>16.148646580000001</v>
      </c>
      <c r="CB634">
        <f>16.22106696</f>
        <v>16.221066960000002</v>
      </c>
      <c r="CC634">
        <f>9.889375591</f>
        <v>9.8893755910000003</v>
      </c>
      <c r="CD634">
        <f>8.987712049</f>
        <v>8.9877120490000006</v>
      </c>
      <c r="CE634">
        <f>11.80796337</f>
        <v>11.80796337</v>
      </c>
      <c r="CF634">
        <f>9.42603552</f>
        <v>9.4260355199999992</v>
      </c>
      <c r="CG634">
        <f>8.007755333</f>
        <v>8.0077553330000004</v>
      </c>
      <c r="CH634">
        <f>9.34491725</f>
        <v>9.34491725</v>
      </c>
      <c r="CI634">
        <f>6.411156302</f>
        <v>6.4111563020000002</v>
      </c>
      <c r="CJ634">
        <f>7.444833875</f>
        <v>7.4448338749999996</v>
      </c>
      <c r="CK634">
        <f>6.965300011</f>
        <v>6.9653000110000001</v>
      </c>
      <c r="CL634">
        <f>5.533414573</f>
        <v>5.5334145729999999</v>
      </c>
      <c r="CM634">
        <f>7.204200663</f>
        <v>7.2042006629999999</v>
      </c>
      <c r="CN634">
        <f>12.68949547</f>
        <v>12.689495470000001</v>
      </c>
      <c r="CO634">
        <f>12.62877273</f>
        <v>12.62877273</v>
      </c>
      <c r="CP634">
        <f>11.5197272</f>
        <v>11.5197272</v>
      </c>
      <c r="CQ634">
        <f>18.29339386</f>
        <v>18.293393859999998</v>
      </c>
      <c r="CR634">
        <f>21.0426935</f>
        <v>21.042693499999999</v>
      </c>
      <c r="CS634">
        <f>16.78215612</f>
        <v>16.78215612</v>
      </c>
      <c r="CT634">
        <f>14.38824155</f>
        <v>14.38824155</v>
      </c>
      <c r="CU634">
        <f>9.646683222</f>
        <v>9.6466832220000001</v>
      </c>
      <c r="CV634">
        <f>27.65500242</f>
        <v>27.655002419999999</v>
      </c>
      <c r="CW634">
        <f>38.09736258</f>
        <v>38.097362580000002</v>
      </c>
      <c r="CX634">
        <f>25.08319764</f>
        <v>25.083197640000002</v>
      </c>
      <c r="CY634">
        <f>24.27806197</f>
        <v>24.27806197</v>
      </c>
      <c r="CZ634">
        <f>-47.5597947</f>
        <v>-47.559794699999998</v>
      </c>
      <c r="DA634">
        <f>-63.53284938</f>
        <v>-63.532849380000002</v>
      </c>
      <c r="DB634">
        <f>-211.0808706</f>
        <v>-211.0808706</v>
      </c>
      <c r="DC634">
        <f>-183.8595809</f>
        <v>-183.8595809</v>
      </c>
      <c r="DD634">
        <f>40.1478966</f>
        <v>40.147896600000003</v>
      </c>
      <c r="DE634">
        <f>55.90679428</f>
        <v>55.90679428</v>
      </c>
      <c r="DF634">
        <f>79.32476309</f>
        <v>79.324763090000005</v>
      </c>
      <c r="DG634">
        <f>64.42193861</f>
        <v>64.421938609999998</v>
      </c>
      <c r="DH634">
        <f>-11.14130649</f>
        <v>-11.14130649</v>
      </c>
      <c r="DI634">
        <f>-32.18905203</f>
        <v>-32.189052029999999</v>
      </c>
      <c r="DJ634">
        <f>-10.84239245</f>
        <v>-10.84239245</v>
      </c>
      <c r="DK634">
        <f>-26.18854255</f>
        <v>-26.188542550000001</v>
      </c>
      <c r="DL634">
        <f>31.69403333</f>
        <v>31.69403333</v>
      </c>
      <c r="DM634">
        <f>35.11445643</f>
        <v>35.114456429999997</v>
      </c>
      <c r="DN634">
        <f>-14.10515915</f>
        <v>-14.10515915</v>
      </c>
      <c r="DO634">
        <f>10.98267951</f>
        <v>10.982679510000001</v>
      </c>
      <c r="DP634">
        <f>36.74113775</f>
        <v>36.74113775</v>
      </c>
      <c r="DQ634">
        <f>66.42004625</f>
        <v>66.420046249999999</v>
      </c>
      <c r="DR634">
        <f>84.39989375</f>
        <v>84.399893750000004</v>
      </c>
      <c r="DS634">
        <f>73.54122197</f>
        <v>73.541221969999995</v>
      </c>
      <c r="DT634">
        <f>44.94231815</f>
        <v>44.942318149999998</v>
      </c>
      <c r="DU634">
        <f>39.19003275</f>
        <v>39.19003275</v>
      </c>
    </row>
    <row r="635" spans="1:125" x14ac:dyDescent="0.25">
      <c r="A635" t="str">
        <f>"    Ford Otomotiv Sanayi AS"</f>
        <v xml:space="preserve">    Ford Otomotiv Sanayi AS</v>
      </c>
      <c r="B635" t="str">
        <f>"FROTOTRY EO Equity"</f>
        <v>FROTOTRY EO Equity</v>
      </c>
      <c r="C635" t="str">
        <f t="shared" si="45"/>
        <v>RX539</v>
      </c>
      <c r="D635" t="str">
        <f t="shared" si="46"/>
        <v>T12_FCF_YIELD</v>
      </c>
      <c r="E635" t="str">
        <f t="shared" si="47"/>
        <v>Dynamic</v>
      </c>
      <c r="F635">
        <f ca="1">IF(AND(ISNUMBER($F$1292),$B$677=1),$F$1292,HLOOKUP(INDIRECT(ADDRESS(2,COLUMN())),OFFSET($BN$2,0,0,ROW()-1,60),ROW()-1,FALSE))</f>
        <v>6.9191737699999996</v>
      </c>
      <c r="G635">
        <f ca="1">IF(AND(ISNUMBER($G$1292),$B$677=1),$G$1292,HLOOKUP(INDIRECT(ADDRESS(2,COLUMN())),OFFSET($BN$2,0,0,ROW()-1,60),ROW()-1,FALSE))</f>
        <v>7.6318486679999999</v>
      </c>
      <c r="H635">
        <f ca="1">IF(AND(ISNUMBER($H$1292),$B$677=1),$H$1292,HLOOKUP(INDIRECT(ADDRESS(2,COLUMN())),OFFSET($BN$2,0,0,ROW()-1,60),ROW()-1,FALSE))</f>
        <v>7.3784279240000004</v>
      </c>
      <c r="I635">
        <f ca="1">IF(AND(ISNUMBER($I$1292),$B$677=1),$I$1292,HLOOKUP(INDIRECT(ADDRESS(2,COLUMN())),OFFSET($BN$2,0,0,ROW()-1,60),ROW()-1,FALSE))</f>
        <v>7.1524587899999998</v>
      </c>
      <c r="J635">
        <f ca="1">IF(AND(ISNUMBER($J$1292),$B$677=1),$J$1292,HLOOKUP(INDIRECT(ADDRESS(2,COLUMN())),OFFSET($BN$2,0,0,ROW()-1,60),ROW()-1,FALSE))</f>
        <v>7.0048703620000001</v>
      </c>
      <c r="K635">
        <f ca="1">IF(AND(ISNUMBER($K$1292),$B$677=1),$K$1292,HLOOKUP(INDIRECT(ADDRESS(2,COLUMN())),OFFSET($BN$2,0,0,ROW()-1,60),ROW()-1,FALSE))</f>
        <v>7.509069158</v>
      </c>
      <c r="L635">
        <f ca="1">IF(AND(ISNUMBER($L$1292),$B$677=1),$L$1292,HLOOKUP(INDIRECT(ADDRESS(2,COLUMN())),OFFSET($BN$2,0,0,ROW()-1,60),ROW()-1,FALSE))</f>
        <v>10.50573997</v>
      </c>
      <c r="M635">
        <f ca="1">IF(AND(ISNUMBER($M$1292),$B$677=1),$M$1292,HLOOKUP(INDIRECT(ADDRESS(2,COLUMN())),OFFSET($BN$2,0,0,ROW()-1,60),ROW()-1,FALSE))</f>
        <v>12.327123350000001</v>
      </c>
      <c r="N635">
        <f ca="1">IF(AND(ISNUMBER($N$1292),$B$677=1),$N$1292,HLOOKUP(INDIRECT(ADDRESS(2,COLUMN())),OFFSET($BN$2,0,0,ROW()-1,60),ROW()-1,FALSE))</f>
        <v>12.73056712</v>
      </c>
      <c r="O635">
        <f ca="1">IF(AND(ISNUMBER($O$1292),$B$677=1),$O$1292,HLOOKUP(INDIRECT(ADDRESS(2,COLUMN())),OFFSET($BN$2,0,0,ROW()-1,60),ROW()-1,FALSE))</f>
        <v>10.900534670000001</v>
      </c>
      <c r="P635">
        <f ca="1">IF(AND(ISNUMBER($P$1292),$B$677=1),$P$1292,HLOOKUP(INDIRECT(ADDRESS(2,COLUMN())),OFFSET($BN$2,0,0,ROW()-1,60),ROW()-1,FALSE))</f>
        <v>7.281214469</v>
      </c>
      <c r="Q635">
        <f ca="1">IF(AND(ISNUMBER($Q$1292),$B$677=1),$Q$1292,HLOOKUP(INDIRECT(ADDRESS(2,COLUMN())),OFFSET($BN$2,0,0,ROW()-1,60),ROW()-1,FALSE))</f>
        <v>11.07037169</v>
      </c>
      <c r="R635">
        <f ca="1">IF(AND(ISNUMBER($R$1292),$B$677=1),$R$1292,HLOOKUP(INDIRECT(ADDRESS(2,COLUMN())),OFFSET($BN$2,0,0,ROW()-1,60),ROW()-1,FALSE))</f>
        <v>5.9163706989999998</v>
      </c>
      <c r="S635">
        <f ca="1">IF(AND(ISNUMBER($S$1292),$B$677=1),$S$1292,HLOOKUP(INDIRECT(ADDRESS(2,COLUMN())),OFFSET($BN$2,0,0,ROW()-1,60),ROW()-1,FALSE))</f>
        <v>8.7929549789999992</v>
      </c>
      <c r="T635">
        <f ca="1">IF(AND(ISNUMBER($T$1292),$B$677=1),$T$1292,HLOOKUP(INDIRECT(ADDRESS(2,COLUMN())),OFFSET($BN$2,0,0,ROW()-1,60),ROW()-1,FALSE))</f>
        <v>5.9595084380000003</v>
      </c>
      <c r="U635">
        <f ca="1">IF(AND(ISNUMBER($U$1292),$B$677=1),$U$1292,HLOOKUP(INDIRECT(ADDRESS(2,COLUMN())),OFFSET($BN$2,0,0,ROW()-1,60),ROW()-1,FALSE))</f>
        <v>-2.8111976470000002</v>
      </c>
      <c r="V635">
        <f ca="1">IF(AND(ISNUMBER($V$1292),$B$677=1),$V$1292,HLOOKUP(INDIRECT(ADDRESS(2,COLUMN())),OFFSET($BN$2,0,0,ROW()-1,60),ROW()-1,FALSE))</f>
        <v>-0.51051530700000003</v>
      </c>
      <c r="W635">
        <f ca="1">IF(AND(ISNUMBER($W$1292),$B$677=1),$W$1292,HLOOKUP(INDIRECT(ADDRESS(2,COLUMN())),OFFSET($BN$2,0,0,ROW()-1,60),ROW()-1,FALSE))</f>
        <v>0.54786975699999996</v>
      </c>
      <c r="X635">
        <f ca="1">IF(AND(ISNUMBER($X$1292),$B$677=1),$X$1292,HLOOKUP(INDIRECT(ADDRESS(2,COLUMN())),OFFSET($BN$2,0,0,ROW()-1,60),ROW()-1,FALSE))</f>
        <v>-8.2688599069999995</v>
      </c>
      <c r="Y635">
        <f ca="1">IF(AND(ISNUMBER($Y$1292),$B$677=1),$Y$1292,HLOOKUP(INDIRECT(ADDRESS(2,COLUMN())),OFFSET($BN$2,0,0,ROW()-1,60),ROW()-1,FALSE))</f>
        <v>-3.325733316</v>
      </c>
      <c r="Z635">
        <f ca="1">IF(AND(ISNUMBER($Z$1292),$B$677=1),$Z$1292,HLOOKUP(INDIRECT(ADDRESS(2,COLUMN())),OFFSET($BN$2,0,0,ROW()-1,60),ROW()-1,FALSE))</f>
        <v>-6.6800014880000003</v>
      </c>
      <c r="AA635">
        <f ca="1">IF(AND(ISNUMBER($AA$1292),$B$677=1),$AA$1292,HLOOKUP(INDIRECT(ADDRESS(2,COLUMN())),OFFSET($BN$2,0,0,ROW()-1,60),ROW()-1,FALSE))</f>
        <v>-1.2959142999999999E-2</v>
      </c>
      <c r="AB635">
        <f ca="1">IF(AND(ISNUMBER($AB$1292),$B$677=1),$AB$1292,HLOOKUP(INDIRECT(ADDRESS(2,COLUMN())),OFFSET($BN$2,0,0,ROW()-1,60),ROW()-1,FALSE))</f>
        <v>4.51498008</v>
      </c>
      <c r="AC635">
        <f ca="1">IF(AND(ISNUMBER($AC$1292),$B$677=1),$AC$1292,HLOOKUP(INDIRECT(ADDRESS(2,COLUMN())),OFFSET($BN$2,0,0,ROW()-1,60),ROW()-1,FALSE))</f>
        <v>1.759553981</v>
      </c>
      <c r="AD635">
        <f ca="1">IF(AND(ISNUMBER($AD$1292),$B$677=1),$AD$1292,HLOOKUP(INDIRECT(ADDRESS(2,COLUMN())),OFFSET($BN$2,0,0,ROW()-1,60),ROW()-1,FALSE))</f>
        <v>1.8660668410000001</v>
      </c>
      <c r="AE635">
        <f ca="1">IF(AND(ISNUMBER($AE$1292),$B$677=1),$AE$1292,HLOOKUP(INDIRECT(ADDRESS(2,COLUMN())),OFFSET($BN$2,0,0,ROW()-1,60),ROW()-1,FALSE))</f>
        <v>-0.44465621399999999</v>
      </c>
      <c r="AF635">
        <f ca="1">IF(AND(ISNUMBER($AF$1292),$B$677=1),$AF$1292,HLOOKUP(INDIRECT(ADDRESS(2,COLUMN())),OFFSET($BN$2,0,0,ROW()-1,60),ROW()-1,FALSE))</f>
        <v>-0.70499851099999999</v>
      </c>
      <c r="AG635">
        <f ca="1">IF(AND(ISNUMBER($AG$1292),$B$677=1),$AG$1292,HLOOKUP(INDIRECT(ADDRESS(2,COLUMN())),OFFSET($BN$2,0,0,ROW()-1,60),ROW()-1,FALSE))</f>
        <v>4.3307912200000001</v>
      </c>
      <c r="AH635">
        <f ca="1">IF(AND(ISNUMBER($AH$1292),$B$677=1),$AH$1292,HLOOKUP(INDIRECT(ADDRESS(2,COLUMN())),OFFSET($BN$2,0,0,ROW()-1,60),ROW()-1,FALSE))</f>
        <v>5.0335643699999997</v>
      </c>
      <c r="AI635">
        <f ca="1">IF(AND(ISNUMBER($AI$1292),$B$677=1),$AI$1292,HLOOKUP(INDIRECT(ADDRESS(2,COLUMN())),OFFSET($BN$2,0,0,ROW()-1,60),ROW()-1,FALSE))</f>
        <v>10.601273470000001</v>
      </c>
      <c r="AJ635">
        <f ca="1">IF(AND(ISNUMBER($AJ$1292),$B$677=1),$AJ$1292,HLOOKUP(INDIRECT(ADDRESS(2,COLUMN())),OFFSET($BN$2,0,0,ROW()-1,60),ROW()-1,FALSE))</f>
        <v>11.59986475</v>
      </c>
      <c r="AK635">
        <f ca="1">IF(AND(ISNUMBER($AK$1292),$B$677=1),$AK$1292,HLOOKUP(INDIRECT(ADDRESS(2,COLUMN())),OFFSET($BN$2,0,0,ROW()-1,60),ROW()-1,FALSE))</f>
        <v>13.144426279999999</v>
      </c>
      <c r="AL635">
        <f ca="1">IF(AND(ISNUMBER($AL$1292),$B$677=1),$AL$1292,HLOOKUP(INDIRECT(ADDRESS(2,COLUMN())),OFFSET($BN$2,0,0,ROW()-1,60),ROW()-1,FALSE))</f>
        <v>12.834176169999999</v>
      </c>
      <c r="AM635">
        <f ca="1">IF(AND(ISNUMBER($AM$1292),$B$677=1),$AM$1292,HLOOKUP(INDIRECT(ADDRESS(2,COLUMN())),OFFSET($BN$2,0,0,ROW()-1,60),ROW()-1,FALSE))</f>
        <v>8.7280497520000004</v>
      </c>
      <c r="AN635">
        <f ca="1">IF(AND(ISNUMBER($AN$1292),$B$677=1),$AN$1292,HLOOKUP(INDIRECT(ADDRESS(2,COLUMN())),OFFSET($BN$2,0,0,ROW()-1,60),ROW()-1,FALSE))</f>
        <v>13.32651469</v>
      </c>
      <c r="AO635">
        <f ca="1">IF(AND(ISNUMBER($AO$1292),$B$677=1),$AO$1292,HLOOKUP(INDIRECT(ADDRESS(2,COLUMN())),OFFSET($BN$2,0,0,ROW()-1,60),ROW()-1,FALSE))</f>
        <v>10.494268780000001</v>
      </c>
      <c r="AP635">
        <f ca="1">IF(AND(ISNUMBER($AP$1292),$B$677=1),$AP$1292,HLOOKUP(INDIRECT(ADDRESS(2,COLUMN())),OFFSET($BN$2,0,0,ROW()-1,60),ROW()-1,FALSE))</f>
        <v>12.753724679999999</v>
      </c>
      <c r="AQ635">
        <f ca="1">IF(AND(ISNUMBER($AQ$1292),$B$677=1),$AQ$1292,HLOOKUP(INDIRECT(ADDRESS(2,COLUMN())),OFFSET($BN$2,0,0,ROW()-1,60),ROW()-1,FALSE))</f>
        <v>15.433961979999999</v>
      </c>
      <c r="AR635">
        <f ca="1">IF(AND(ISNUMBER($AR$1292),$B$677=1),$AR$1292,HLOOKUP(INDIRECT(ADDRESS(2,COLUMN())),OFFSET($BN$2,0,0,ROW()-1,60),ROW()-1,FALSE))</f>
        <v>8.5066309419999993</v>
      </c>
      <c r="AS635">
        <f ca="1">IF(AND(ISNUMBER($AS$1292),$B$677=1),$AS$1292,HLOOKUP(INDIRECT(ADDRESS(2,COLUMN())),OFFSET($BN$2,0,0,ROW()-1,60),ROW()-1,FALSE))</f>
        <v>33.834288800000003</v>
      </c>
      <c r="AT635">
        <f ca="1">IF(AND(ISNUMBER($AT$1292),$B$677=1),$AT$1292,HLOOKUP(INDIRECT(ADDRESS(2,COLUMN())),OFFSET($BN$2,0,0,ROW()-1,60),ROW()-1,FALSE))</f>
        <v>41.004073300000002</v>
      </c>
      <c r="AU635">
        <f ca="1">IF(AND(ISNUMBER($AU$1292),$B$677=1),$AU$1292,HLOOKUP(INDIRECT(ADDRESS(2,COLUMN())),OFFSET($BN$2,0,0,ROW()-1,60),ROW()-1,FALSE))</f>
        <v>29.61655219</v>
      </c>
      <c r="AV635">
        <f ca="1">IF(AND(ISNUMBER($AV$1292),$B$677=1),$AV$1292,HLOOKUP(INDIRECT(ADDRESS(2,COLUMN())),OFFSET($BN$2,0,0,ROW()-1,60),ROW()-1,FALSE))</f>
        <v>31.346403420000001</v>
      </c>
      <c r="AW635">
        <f ca="1">IF(AND(ISNUMBER($AW$1292),$B$677=1),$AW$1292,HLOOKUP(INDIRECT(ADDRESS(2,COLUMN())),OFFSET($BN$2,0,0,ROW()-1,60),ROW()-1,FALSE))</f>
        <v>18.10300754</v>
      </c>
      <c r="AX635">
        <f ca="1">IF(AND(ISNUMBER($AX$1292),$B$677=1),$AX$1292,HLOOKUP(INDIRECT(ADDRESS(2,COLUMN())),OFFSET($BN$2,0,0,ROW()-1,60),ROW()-1,FALSE))</f>
        <v>19.898284459999999</v>
      </c>
      <c r="AY635">
        <f ca="1">IF(AND(ISNUMBER($AY$1292),$B$677=1),$AY$1292,HLOOKUP(INDIRECT(ADDRESS(2,COLUMN())),OFFSET($BN$2,0,0,ROW()-1,60),ROW()-1,FALSE))</f>
        <v>13.62044341</v>
      </c>
      <c r="AZ635">
        <f ca="1">IF(AND(ISNUMBER($AZ$1292),$B$677=1),$AZ$1292,HLOOKUP(INDIRECT(ADDRESS(2,COLUMN())),OFFSET($BN$2,0,0,ROW()-1,60),ROW()-1,FALSE))</f>
        <v>9.5941237269999995</v>
      </c>
      <c r="BA635">
        <f ca="1">IF(AND(ISNUMBER($BA$1292),$B$677=1),$BA$1292,HLOOKUP(INDIRECT(ADDRESS(2,COLUMN())),OFFSET($BN$2,0,0,ROW()-1,60),ROW()-1,FALSE))</f>
        <v>6.6348223180000003</v>
      </c>
      <c r="BB635">
        <f ca="1">IF(AND(ISNUMBER($BB$1292),$B$677=1),$BB$1292,HLOOKUP(INDIRECT(ADDRESS(2,COLUMN())),OFFSET($BN$2,0,0,ROW()-1,60),ROW()-1,FALSE))</f>
        <v>4.2286011590000001</v>
      </c>
      <c r="BC635">
        <f ca="1">IF(AND(ISNUMBER($BC$1292),$B$677=1),$BC$1292,HLOOKUP(INDIRECT(ADDRESS(2,COLUMN())),OFFSET($BN$2,0,0,ROW()-1,60),ROW()-1,FALSE))</f>
        <v>8.6139588150000002</v>
      </c>
      <c r="BD635">
        <f ca="1">IF(AND(ISNUMBER($BD$1292),$B$677=1),$BD$1292,HLOOKUP(INDIRECT(ADDRESS(2,COLUMN())),OFFSET($BN$2,0,0,ROW()-1,60),ROW()-1,FALSE))</f>
        <v>7.959751282</v>
      </c>
      <c r="BE635">
        <f ca="1">IF(AND(ISNUMBER($BE$1292),$B$677=1),$BE$1292,HLOOKUP(INDIRECT(ADDRESS(2,COLUMN())),OFFSET($BN$2,0,0,ROW()-1,60),ROW()-1,FALSE))</f>
        <v>10.503177519999999</v>
      </c>
      <c r="BF635">
        <f ca="1">IF(AND(ISNUMBER($BF$1292),$B$677=1),$BF$1292,HLOOKUP(INDIRECT(ADDRESS(2,COLUMN())),OFFSET($BN$2,0,0,ROW()-1,60),ROW()-1,FALSE))</f>
        <v>14.232442280000001</v>
      </c>
      <c r="BG635">
        <f ca="1">IF(AND(ISNUMBER($BG$1292),$B$677=1),$BG$1292,HLOOKUP(INDIRECT(ADDRESS(2,COLUMN())),OFFSET($BN$2,0,0,ROW()-1,60),ROW()-1,FALSE))</f>
        <v>10.713451989999999</v>
      </c>
      <c r="BH635" t="str">
        <f ca="1">IF(AND(ISNUMBER($BH$1292),$B$677=1),$BH$1292,HLOOKUP(INDIRECT(ADDRESS(2,COLUMN())),OFFSET($BN$2,0,0,ROW()-1,60),ROW()-1,FALSE))</f>
        <v/>
      </c>
      <c r="BI635" t="str">
        <f ca="1">IF(AND(ISNUMBER($BI$1292),$B$677=1),$BI$1292,HLOOKUP(INDIRECT(ADDRESS(2,COLUMN())),OFFSET($BN$2,0,0,ROW()-1,60),ROW()-1,FALSE))</f>
        <v/>
      </c>
      <c r="BJ635" t="str">
        <f ca="1">IF(AND(ISNUMBER($BJ$1292),$B$677=1),$BJ$1292,HLOOKUP(INDIRECT(ADDRESS(2,COLUMN())),OFFSET($BN$2,0,0,ROW()-1,60),ROW()-1,FALSE))</f>
        <v/>
      </c>
      <c r="BK635" t="str">
        <f ca="1">IF(AND(ISNUMBER($BK$1292),$B$677=1),$BK$1292,HLOOKUP(INDIRECT(ADDRESS(2,COLUMN())),OFFSET($BN$2,0,0,ROW()-1,60),ROW()-1,FALSE))</f>
        <v/>
      </c>
      <c r="BL635" t="str">
        <f ca="1">IF(AND(ISNUMBER($BL$1292),$B$677=1),$BL$1292,HLOOKUP(INDIRECT(ADDRESS(2,COLUMN())),OFFSET($BN$2,0,0,ROW()-1,60),ROW()-1,FALSE))</f>
        <v/>
      </c>
      <c r="BM635" t="str">
        <f ca="1">IF(AND(ISNUMBER($BM$1292),$B$677=1),$BM$1292,HLOOKUP(INDIRECT(ADDRESS(2,COLUMN())),OFFSET($BN$2,0,0,ROW()-1,60),ROW()-1,FALSE))</f>
        <v/>
      </c>
      <c r="BN635">
        <f>6.91917377</f>
        <v>6.9191737699999996</v>
      </c>
      <c r="BO635">
        <f>7.631848668</f>
        <v>7.6318486679999999</v>
      </c>
      <c r="BP635">
        <f>7.378427924</f>
        <v>7.3784279240000004</v>
      </c>
      <c r="BQ635">
        <f>7.15245879</f>
        <v>7.1524587899999998</v>
      </c>
      <c r="BR635">
        <f>7.004870362</f>
        <v>7.0048703620000001</v>
      </c>
      <c r="BS635">
        <f>7.509069158</f>
        <v>7.509069158</v>
      </c>
      <c r="BT635">
        <f>10.50573997</f>
        <v>10.50573997</v>
      </c>
      <c r="BU635">
        <f>12.32712335</f>
        <v>12.327123350000001</v>
      </c>
      <c r="BV635">
        <f>12.73056712</f>
        <v>12.73056712</v>
      </c>
      <c r="BW635">
        <f>10.90053467</f>
        <v>10.900534670000001</v>
      </c>
      <c r="BX635">
        <f>7.281214469</f>
        <v>7.281214469</v>
      </c>
      <c r="BY635">
        <f>11.07037169</f>
        <v>11.07037169</v>
      </c>
      <c r="BZ635">
        <f>5.916370699</f>
        <v>5.9163706989999998</v>
      </c>
      <c r="CA635">
        <f>8.792954979</f>
        <v>8.7929549789999992</v>
      </c>
      <c r="CB635">
        <f>5.959508438</f>
        <v>5.9595084380000003</v>
      </c>
      <c r="CC635">
        <f>-2.811197647</f>
        <v>-2.8111976470000002</v>
      </c>
      <c r="CD635">
        <f>-0.510515307</f>
        <v>-0.51051530700000003</v>
      </c>
      <c r="CE635">
        <f>0.547869757</f>
        <v>0.54786975699999996</v>
      </c>
      <c r="CF635">
        <f>-8.268859907</f>
        <v>-8.2688599069999995</v>
      </c>
      <c r="CG635">
        <f>-3.325733316</f>
        <v>-3.325733316</v>
      </c>
      <c r="CH635">
        <f>-6.680001488</f>
        <v>-6.6800014880000003</v>
      </c>
      <c r="CI635">
        <f>-0.012959143</f>
        <v>-1.2959142999999999E-2</v>
      </c>
      <c r="CJ635">
        <f>4.51498008</f>
        <v>4.51498008</v>
      </c>
      <c r="CK635">
        <f>1.759553981</f>
        <v>1.759553981</v>
      </c>
      <c r="CL635">
        <f>1.866066841</f>
        <v>1.8660668410000001</v>
      </c>
      <c r="CM635">
        <f>-0.444656214</f>
        <v>-0.44465621399999999</v>
      </c>
      <c r="CN635">
        <f>-0.704998511</f>
        <v>-0.70499851099999999</v>
      </c>
      <c r="CO635">
        <f>4.33079122</f>
        <v>4.3307912200000001</v>
      </c>
      <c r="CP635">
        <f>5.03356437</f>
        <v>5.0335643699999997</v>
      </c>
      <c r="CQ635">
        <f>10.60127347</f>
        <v>10.601273470000001</v>
      </c>
      <c r="CR635">
        <f>11.59986475</f>
        <v>11.59986475</v>
      </c>
      <c r="CS635">
        <f>13.14442628</f>
        <v>13.144426279999999</v>
      </c>
      <c r="CT635">
        <f>12.83417617</f>
        <v>12.834176169999999</v>
      </c>
      <c r="CU635">
        <f>8.728049752</f>
        <v>8.7280497520000004</v>
      </c>
      <c r="CV635">
        <f>13.32651469</f>
        <v>13.32651469</v>
      </c>
      <c r="CW635">
        <f>10.49426878</f>
        <v>10.494268780000001</v>
      </c>
      <c r="CX635">
        <f>12.75372468</f>
        <v>12.753724679999999</v>
      </c>
      <c r="CY635">
        <f>15.43396198</f>
        <v>15.433961979999999</v>
      </c>
      <c r="CZ635">
        <f>8.506630942</f>
        <v>8.5066309419999993</v>
      </c>
      <c r="DA635">
        <f>33.8342888</f>
        <v>33.834288800000003</v>
      </c>
      <c r="DB635">
        <f>41.0040733</f>
        <v>41.004073300000002</v>
      </c>
      <c r="DC635">
        <f>29.61655219</f>
        <v>29.61655219</v>
      </c>
      <c r="DD635">
        <f>31.34640342</f>
        <v>31.346403420000001</v>
      </c>
      <c r="DE635">
        <f>18.10300754</f>
        <v>18.10300754</v>
      </c>
      <c r="DF635">
        <f>19.89828446</f>
        <v>19.898284459999999</v>
      </c>
      <c r="DG635">
        <f>13.62044341</f>
        <v>13.62044341</v>
      </c>
      <c r="DH635">
        <f>9.594123727</f>
        <v>9.5941237269999995</v>
      </c>
      <c r="DI635">
        <f>6.634822318</f>
        <v>6.6348223180000003</v>
      </c>
      <c r="DJ635">
        <f>4.228601159</f>
        <v>4.2286011590000001</v>
      </c>
      <c r="DK635">
        <f>8.613958815</f>
        <v>8.6139588150000002</v>
      </c>
      <c r="DL635">
        <f>7.959751282</f>
        <v>7.959751282</v>
      </c>
      <c r="DM635">
        <f>10.50317752</f>
        <v>10.503177519999999</v>
      </c>
      <c r="DN635">
        <f>14.23244228</f>
        <v>14.232442280000001</v>
      </c>
      <c r="DO635">
        <f>10.71345199</f>
        <v>10.713451989999999</v>
      </c>
      <c r="DP635" t="str">
        <f>""</f>
        <v/>
      </c>
      <c r="DQ635" t="str">
        <f>""</f>
        <v/>
      </c>
      <c r="DR635" t="str">
        <f>""</f>
        <v/>
      </c>
      <c r="DS635" t="str">
        <f>""</f>
        <v/>
      </c>
      <c r="DT635" t="str">
        <f>""</f>
        <v/>
      </c>
      <c r="DU635" t="str">
        <f>""</f>
        <v/>
      </c>
    </row>
    <row r="636" spans="1:125" x14ac:dyDescent="0.25">
      <c r="A636" t="str">
        <f>"    GAZ PJSC"</f>
        <v xml:space="preserve">    GAZ PJSC</v>
      </c>
      <c r="B636" t="str">
        <f>"GAZA RM Equity"</f>
        <v>GAZA RM Equity</v>
      </c>
      <c r="C636" t="str">
        <f t="shared" si="45"/>
        <v>RX539</v>
      </c>
      <c r="D636" t="str">
        <f t="shared" si="46"/>
        <v>T12_FCF_YIELD</v>
      </c>
      <c r="E636" t="str">
        <f t="shared" si="47"/>
        <v>Dynamic</v>
      </c>
      <c r="F636" t="str">
        <f ca="1">IF(AND(ISNUMBER($F$1293),$B$677=1),$F$1293,HLOOKUP(INDIRECT(ADDRESS(2,COLUMN())),OFFSET($BN$2,0,0,ROW()-1,60),ROW()-1,FALSE))</f>
        <v/>
      </c>
      <c r="G636" t="str">
        <f ca="1">IF(AND(ISNUMBER($G$1293),$B$677=1),$G$1293,HLOOKUP(INDIRECT(ADDRESS(2,COLUMN())),OFFSET($BN$2,0,0,ROW()-1,60),ROW()-1,FALSE))</f>
        <v/>
      </c>
      <c r="H636" t="str">
        <f ca="1">IF(AND(ISNUMBER($H$1293),$B$677=1),$H$1293,HLOOKUP(INDIRECT(ADDRESS(2,COLUMN())),OFFSET($BN$2,0,0,ROW()-1,60),ROW()-1,FALSE))</f>
        <v/>
      </c>
      <c r="I636" t="str">
        <f ca="1">IF(AND(ISNUMBER($I$1293),$B$677=1),$I$1293,HLOOKUP(INDIRECT(ADDRESS(2,COLUMN())),OFFSET($BN$2,0,0,ROW()-1,60),ROW()-1,FALSE))</f>
        <v/>
      </c>
      <c r="J636" t="str">
        <f ca="1">IF(AND(ISNUMBER($J$1293),$B$677=1),$J$1293,HLOOKUP(INDIRECT(ADDRESS(2,COLUMN())),OFFSET($BN$2,0,0,ROW()-1,60),ROW()-1,FALSE))</f>
        <v/>
      </c>
      <c r="K636" t="str">
        <f ca="1">IF(AND(ISNUMBER($K$1293),$B$677=1),$K$1293,HLOOKUP(INDIRECT(ADDRESS(2,COLUMN())),OFFSET($BN$2,0,0,ROW()-1,60),ROW()-1,FALSE))</f>
        <v/>
      </c>
      <c r="L636" t="str">
        <f ca="1">IF(AND(ISNUMBER($L$1293),$B$677=1),$L$1293,HLOOKUP(INDIRECT(ADDRESS(2,COLUMN())),OFFSET($BN$2,0,0,ROW()-1,60),ROW()-1,FALSE))</f>
        <v/>
      </c>
      <c r="M636" t="str">
        <f ca="1">IF(AND(ISNUMBER($M$1293),$B$677=1),$M$1293,HLOOKUP(INDIRECT(ADDRESS(2,COLUMN())),OFFSET($BN$2,0,0,ROW()-1,60),ROW()-1,FALSE))</f>
        <v/>
      </c>
      <c r="N636" t="str">
        <f ca="1">IF(AND(ISNUMBER($N$1293),$B$677=1),$N$1293,HLOOKUP(INDIRECT(ADDRESS(2,COLUMN())),OFFSET($BN$2,0,0,ROW()-1,60),ROW()-1,FALSE))</f>
        <v/>
      </c>
      <c r="O636" t="str">
        <f ca="1">IF(AND(ISNUMBER($O$1293),$B$677=1),$O$1293,HLOOKUP(INDIRECT(ADDRESS(2,COLUMN())),OFFSET($BN$2,0,0,ROW()-1,60),ROW()-1,FALSE))</f>
        <v/>
      </c>
      <c r="P636" t="str">
        <f ca="1">IF(AND(ISNUMBER($P$1293),$B$677=1),$P$1293,HLOOKUP(INDIRECT(ADDRESS(2,COLUMN())),OFFSET($BN$2,0,0,ROW()-1,60),ROW()-1,FALSE))</f>
        <v/>
      </c>
      <c r="Q636" t="str">
        <f ca="1">IF(AND(ISNUMBER($Q$1293),$B$677=1),$Q$1293,HLOOKUP(INDIRECT(ADDRESS(2,COLUMN())),OFFSET($BN$2,0,0,ROW()-1,60),ROW()-1,FALSE))</f>
        <v/>
      </c>
      <c r="R636" t="str">
        <f ca="1">IF(AND(ISNUMBER($R$1293),$B$677=1),$R$1293,HLOOKUP(INDIRECT(ADDRESS(2,COLUMN())),OFFSET($BN$2,0,0,ROW()-1,60),ROW()-1,FALSE))</f>
        <v/>
      </c>
      <c r="S636" t="str">
        <f ca="1">IF(AND(ISNUMBER($S$1293),$B$677=1),$S$1293,HLOOKUP(INDIRECT(ADDRESS(2,COLUMN())),OFFSET($BN$2,0,0,ROW()-1,60),ROW()-1,FALSE))</f>
        <v/>
      </c>
      <c r="T636" t="str">
        <f ca="1">IF(AND(ISNUMBER($T$1293),$B$677=1),$T$1293,HLOOKUP(INDIRECT(ADDRESS(2,COLUMN())),OFFSET($BN$2,0,0,ROW()-1,60),ROW()-1,FALSE))</f>
        <v/>
      </c>
      <c r="U636" t="str">
        <f ca="1">IF(AND(ISNUMBER($U$1293),$B$677=1),$U$1293,HLOOKUP(INDIRECT(ADDRESS(2,COLUMN())),OFFSET($BN$2,0,0,ROW()-1,60),ROW()-1,FALSE))</f>
        <v/>
      </c>
      <c r="V636" t="str">
        <f ca="1">IF(AND(ISNUMBER($V$1293),$B$677=1),$V$1293,HLOOKUP(INDIRECT(ADDRESS(2,COLUMN())),OFFSET($BN$2,0,0,ROW()-1,60),ROW()-1,FALSE))</f>
        <v/>
      </c>
      <c r="W636" t="str">
        <f ca="1">IF(AND(ISNUMBER($W$1293),$B$677=1),$W$1293,HLOOKUP(INDIRECT(ADDRESS(2,COLUMN())),OFFSET($BN$2,0,0,ROW()-1,60),ROW()-1,FALSE))</f>
        <v/>
      </c>
      <c r="X636" t="str">
        <f ca="1">IF(AND(ISNUMBER($X$1293),$B$677=1),$X$1293,HLOOKUP(INDIRECT(ADDRESS(2,COLUMN())),OFFSET($BN$2,0,0,ROW()-1,60),ROW()-1,FALSE))</f>
        <v/>
      </c>
      <c r="Y636" t="str">
        <f ca="1">IF(AND(ISNUMBER($Y$1293),$B$677=1),$Y$1293,HLOOKUP(INDIRECT(ADDRESS(2,COLUMN())),OFFSET($BN$2,0,0,ROW()-1,60),ROW()-1,FALSE))</f>
        <v/>
      </c>
      <c r="Z636" t="str">
        <f ca="1">IF(AND(ISNUMBER($Z$1293),$B$677=1),$Z$1293,HLOOKUP(INDIRECT(ADDRESS(2,COLUMN())),OFFSET($BN$2,0,0,ROW()-1,60),ROW()-1,FALSE))</f>
        <v/>
      </c>
      <c r="AA636" t="str">
        <f ca="1">IF(AND(ISNUMBER($AA$1293),$B$677=1),$AA$1293,HLOOKUP(INDIRECT(ADDRESS(2,COLUMN())),OFFSET($BN$2,0,0,ROW()-1,60),ROW()-1,FALSE))</f>
        <v/>
      </c>
      <c r="AB636" t="str">
        <f ca="1">IF(AND(ISNUMBER($AB$1293),$B$677=1),$AB$1293,HLOOKUP(INDIRECT(ADDRESS(2,COLUMN())),OFFSET($BN$2,0,0,ROW()-1,60),ROW()-1,FALSE))</f>
        <v/>
      </c>
      <c r="AC636" t="str">
        <f ca="1">IF(AND(ISNUMBER($AC$1293),$B$677=1),$AC$1293,HLOOKUP(INDIRECT(ADDRESS(2,COLUMN())),OFFSET($BN$2,0,0,ROW()-1,60),ROW()-1,FALSE))</f>
        <v/>
      </c>
      <c r="AD636" t="str">
        <f ca="1">IF(AND(ISNUMBER($AD$1293),$B$677=1),$AD$1293,HLOOKUP(INDIRECT(ADDRESS(2,COLUMN())),OFFSET($BN$2,0,0,ROW()-1,60),ROW()-1,FALSE))</f>
        <v/>
      </c>
      <c r="AE636" t="str">
        <f ca="1">IF(AND(ISNUMBER($AE$1293),$B$677=1),$AE$1293,HLOOKUP(INDIRECT(ADDRESS(2,COLUMN())),OFFSET($BN$2,0,0,ROW()-1,60),ROW()-1,FALSE))</f>
        <v/>
      </c>
      <c r="AF636" t="str">
        <f ca="1">IF(AND(ISNUMBER($AF$1293),$B$677=1),$AF$1293,HLOOKUP(INDIRECT(ADDRESS(2,COLUMN())),OFFSET($BN$2,0,0,ROW()-1,60),ROW()-1,FALSE))</f>
        <v/>
      </c>
      <c r="AG636" t="str">
        <f ca="1">IF(AND(ISNUMBER($AG$1293),$B$677=1),$AG$1293,HLOOKUP(INDIRECT(ADDRESS(2,COLUMN())),OFFSET($BN$2,0,0,ROW()-1,60),ROW()-1,FALSE))</f>
        <v/>
      </c>
      <c r="AH636" t="str">
        <f ca="1">IF(AND(ISNUMBER($AH$1293),$B$677=1),$AH$1293,HLOOKUP(INDIRECT(ADDRESS(2,COLUMN())),OFFSET($BN$2,0,0,ROW()-1,60),ROW()-1,FALSE))</f>
        <v/>
      </c>
      <c r="AI636" t="str">
        <f ca="1">IF(AND(ISNUMBER($AI$1293),$B$677=1),$AI$1293,HLOOKUP(INDIRECT(ADDRESS(2,COLUMN())),OFFSET($BN$2,0,0,ROW()-1,60),ROW()-1,FALSE))</f>
        <v/>
      </c>
      <c r="AJ636" t="str">
        <f ca="1">IF(AND(ISNUMBER($AJ$1293),$B$677=1),$AJ$1293,HLOOKUP(INDIRECT(ADDRESS(2,COLUMN())),OFFSET($BN$2,0,0,ROW()-1,60),ROW()-1,FALSE))</f>
        <v/>
      </c>
      <c r="AK636" t="str">
        <f ca="1">IF(AND(ISNUMBER($AK$1293),$B$677=1),$AK$1293,HLOOKUP(INDIRECT(ADDRESS(2,COLUMN())),OFFSET($BN$2,0,0,ROW()-1,60),ROW()-1,FALSE))</f>
        <v/>
      </c>
      <c r="AL636" t="str">
        <f ca="1">IF(AND(ISNUMBER($AL$1293),$B$677=1),$AL$1293,HLOOKUP(INDIRECT(ADDRESS(2,COLUMN())),OFFSET($BN$2,0,0,ROW()-1,60),ROW()-1,FALSE))</f>
        <v/>
      </c>
      <c r="AM636" t="str">
        <f ca="1">IF(AND(ISNUMBER($AM$1293),$B$677=1),$AM$1293,HLOOKUP(INDIRECT(ADDRESS(2,COLUMN())),OFFSET($BN$2,0,0,ROW()-1,60),ROW()-1,FALSE))</f>
        <v/>
      </c>
      <c r="AN636" t="str">
        <f ca="1">IF(AND(ISNUMBER($AN$1293),$B$677=1),$AN$1293,HLOOKUP(INDIRECT(ADDRESS(2,COLUMN())),OFFSET($BN$2,0,0,ROW()-1,60),ROW()-1,FALSE))</f>
        <v/>
      </c>
      <c r="AO636" t="str">
        <f ca="1">IF(AND(ISNUMBER($AO$1293),$B$677=1),$AO$1293,HLOOKUP(INDIRECT(ADDRESS(2,COLUMN())),OFFSET($BN$2,0,0,ROW()-1,60),ROW()-1,FALSE))</f>
        <v/>
      </c>
      <c r="AP636" t="str">
        <f ca="1">IF(AND(ISNUMBER($AP$1293),$B$677=1),$AP$1293,HLOOKUP(INDIRECT(ADDRESS(2,COLUMN())),OFFSET($BN$2,0,0,ROW()-1,60),ROW()-1,FALSE))</f>
        <v/>
      </c>
      <c r="AQ636" t="str">
        <f ca="1">IF(AND(ISNUMBER($AQ$1293),$B$677=1),$AQ$1293,HLOOKUP(INDIRECT(ADDRESS(2,COLUMN())),OFFSET($BN$2,0,0,ROW()-1,60),ROW()-1,FALSE))</f>
        <v/>
      </c>
      <c r="AR636" t="str">
        <f ca="1">IF(AND(ISNUMBER($AR$1293),$B$677=1),$AR$1293,HLOOKUP(INDIRECT(ADDRESS(2,COLUMN())),OFFSET($BN$2,0,0,ROW()-1,60),ROW()-1,FALSE))</f>
        <v/>
      </c>
      <c r="AS636" t="str">
        <f ca="1">IF(AND(ISNUMBER($AS$1293),$B$677=1),$AS$1293,HLOOKUP(INDIRECT(ADDRESS(2,COLUMN())),OFFSET($BN$2,0,0,ROW()-1,60),ROW()-1,FALSE))</f>
        <v/>
      </c>
      <c r="AT636" t="str">
        <f ca="1">IF(AND(ISNUMBER($AT$1293),$B$677=1),$AT$1293,HLOOKUP(INDIRECT(ADDRESS(2,COLUMN())),OFFSET($BN$2,0,0,ROW()-1,60),ROW()-1,FALSE))</f>
        <v/>
      </c>
      <c r="AU636" t="str">
        <f ca="1">IF(AND(ISNUMBER($AU$1293),$B$677=1),$AU$1293,HLOOKUP(INDIRECT(ADDRESS(2,COLUMN())),OFFSET($BN$2,0,0,ROW()-1,60),ROW()-1,FALSE))</f>
        <v/>
      </c>
      <c r="AV636" t="str">
        <f ca="1">IF(AND(ISNUMBER($AV$1293),$B$677=1),$AV$1293,HLOOKUP(INDIRECT(ADDRESS(2,COLUMN())),OFFSET($BN$2,0,0,ROW()-1,60),ROW()-1,FALSE))</f>
        <v/>
      </c>
      <c r="AW636" t="str">
        <f ca="1">IF(AND(ISNUMBER($AW$1293),$B$677=1),$AW$1293,HLOOKUP(INDIRECT(ADDRESS(2,COLUMN())),OFFSET($BN$2,0,0,ROW()-1,60),ROW()-1,FALSE))</f>
        <v/>
      </c>
      <c r="AX636" t="str">
        <f ca="1">IF(AND(ISNUMBER($AX$1293),$B$677=1),$AX$1293,HLOOKUP(INDIRECT(ADDRESS(2,COLUMN())),OFFSET($BN$2,0,0,ROW()-1,60),ROW()-1,FALSE))</f>
        <v/>
      </c>
      <c r="AY636" t="str">
        <f ca="1">IF(AND(ISNUMBER($AY$1293),$B$677=1),$AY$1293,HLOOKUP(INDIRECT(ADDRESS(2,COLUMN())),OFFSET($BN$2,0,0,ROW()-1,60),ROW()-1,FALSE))</f>
        <v/>
      </c>
      <c r="AZ636" t="str">
        <f ca="1">IF(AND(ISNUMBER($AZ$1293),$B$677=1),$AZ$1293,HLOOKUP(INDIRECT(ADDRESS(2,COLUMN())),OFFSET($BN$2,0,0,ROW()-1,60),ROW()-1,FALSE))</f>
        <v/>
      </c>
      <c r="BA636" t="str">
        <f ca="1">IF(AND(ISNUMBER($BA$1293),$B$677=1),$BA$1293,HLOOKUP(INDIRECT(ADDRESS(2,COLUMN())),OFFSET($BN$2,0,0,ROW()-1,60),ROW()-1,FALSE))</f>
        <v/>
      </c>
      <c r="BB636" t="str">
        <f ca="1">IF(AND(ISNUMBER($BB$1293),$B$677=1),$BB$1293,HLOOKUP(INDIRECT(ADDRESS(2,COLUMN())),OFFSET($BN$2,0,0,ROW()-1,60),ROW()-1,FALSE))</f>
        <v/>
      </c>
      <c r="BC636" t="str">
        <f ca="1">IF(AND(ISNUMBER($BC$1293),$B$677=1),$BC$1293,HLOOKUP(INDIRECT(ADDRESS(2,COLUMN())),OFFSET($BN$2,0,0,ROW()-1,60),ROW()-1,FALSE))</f>
        <v/>
      </c>
      <c r="BD636" t="str">
        <f ca="1">IF(AND(ISNUMBER($BD$1293),$B$677=1),$BD$1293,HLOOKUP(INDIRECT(ADDRESS(2,COLUMN())),OFFSET($BN$2,0,0,ROW()-1,60),ROW()-1,FALSE))</f>
        <v/>
      </c>
      <c r="BE636" t="str">
        <f ca="1">IF(AND(ISNUMBER($BE$1293),$B$677=1),$BE$1293,HLOOKUP(INDIRECT(ADDRESS(2,COLUMN())),OFFSET($BN$2,0,0,ROW()-1,60),ROW()-1,FALSE))</f>
        <v/>
      </c>
      <c r="BF636" t="str">
        <f ca="1">IF(AND(ISNUMBER($BF$1293),$B$677=1),$BF$1293,HLOOKUP(INDIRECT(ADDRESS(2,COLUMN())),OFFSET($BN$2,0,0,ROW()-1,60),ROW()-1,FALSE))</f>
        <v/>
      </c>
      <c r="BG636" t="str">
        <f ca="1">IF(AND(ISNUMBER($BG$1293),$B$677=1),$BG$1293,HLOOKUP(INDIRECT(ADDRESS(2,COLUMN())),OFFSET($BN$2,0,0,ROW()-1,60),ROW()-1,FALSE))</f>
        <v/>
      </c>
      <c r="BH636" t="str">
        <f ca="1">IF(AND(ISNUMBER($BH$1293),$B$677=1),$BH$1293,HLOOKUP(INDIRECT(ADDRESS(2,COLUMN())),OFFSET($BN$2,0,0,ROW()-1,60),ROW()-1,FALSE))</f>
        <v/>
      </c>
      <c r="BI636" t="str">
        <f ca="1">IF(AND(ISNUMBER($BI$1293),$B$677=1),$BI$1293,HLOOKUP(INDIRECT(ADDRESS(2,COLUMN())),OFFSET($BN$2,0,0,ROW()-1,60),ROW()-1,FALSE))</f>
        <v/>
      </c>
      <c r="BJ636" t="str">
        <f ca="1">IF(AND(ISNUMBER($BJ$1293),$B$677=1),$BJ$1293,HLOOKUP(INDIRECT(ADDRESS(2,COLUMN())),OFFSET($BN$2,0,0,ROW()-1,60),ROW()-1,FALSE))</f>
        <v/>
      </c>
      <c r="BK636" t="str">
        <f ca="1">IF(AND(ISNUMBER($BK$1293),$B$677=1),$BK$1293,HLOOKUP(INDIRECT(ADDRESS(2,COLUMN())),OFFSET($BN$2,0,0,ROW()-1,60),ROW()-1,FALSE))</f>
        <v/>
      </c>
      <c r="BL636" t="str">
        <f ca="1">IF(AND(ISNUMBER($BL$1293),$B$677=1),$BL$1293,HLOOKUP(INDIRECT(ADDRESS(2,COLUMN())),OFFSET($BN$2,0,0,ROW()-1,60),ROW()-1,FALSE))</f>
        <v/>
      </c>
      <c r="BM636" t="str">
        <f ca="1">IF(AND(ISNUMBER($BM$1293),$B$677=1),$BM$1293,HLOOKUP(INDIRECT(ADDRESS(2,COLUMN())),OFFSET($BN$2,0,0,ROW()-1,60),ROW()-1,FALSE))</f>
        <v/>
      </c>
      <c r="BN636" t="str">
        <f>""</f>
        <v/>
      </c>
      <c r="BO636" t="str">
        <f>""</f>
        <v/>
      </c>
      <c r="BP636" t="str">
        <f>""</f>
        <v/>
      </c>
      <c r="BQ636" t="str">
        <f>""</f>
        <v/>
      </c>
      <c r="BR636" t="str">
        <f>""</f>
        <v/>
      </c>
      <c r="BS636" t="str">
        <f>""</f>
        <v/>
      </c>
      <c r="BT636" t="str">
        <f>""</f>
        <v/>
      </c>
      <c r="BU636" t="str">
        <f>""</f>
        <v/>
      </c>
      <c r="BV636" t="str">
        <f>""</f>
        <v/>
      </c>
      <c r="BW636" t="str">
        <f>""</f>
        <v/>
      </c>
      <c r="BX636" t="str">
        <f>""</f>
        <v/>
      </c>
      <c r="BY636" t="str">
        <f>""</f>
        <v/>
      </c>
      <c r="BZ636" t="str">
        <f>""</f>
        <v/>
      </c>
      <c r="CA636" t="str">
        <f>""</f>
        <v/>
      </c>
      <c r="CB636" t="str">
        <f>""</f>
        <v/>
      </c>
      <c r="CC636" t="str">
        <f>""</f>
        <v/>
      </c>
      <c r="CD636" t="str">
        <f>""</f>
        <v/>
      </c>
      <c r="CE636" t="str">
        <f>""</f>
        <v/>
      </c>
      <c r="CF636" t="str">
        <f>""</f>
        <v/>
      </c>
      <c r="CG636" t="str">
        <f>""</f>
        <v/>
      </c>
      <c r="CH636" t="str">
        <f>""</f>
        <v/>
      </c>
      <c r="CI636" t="str">
        <f>""</f>
        <v/>
      </c>
      <c r="CJ636" t="str">
        <f>""</f>
        <v/>
      </c>
      <c r="CK636" t="str">
        <f>""</f>
        <v/>
      </c>
      <c r="CL636" t="str">
        <f>""</f>
        <v/>
      </c>
      <c r="CM636" t="str">
        <f>""</f>
        <v/>
      </c>
      <c r="CN636" t="str">
        <f>""</f>
        <v/>
      </c>
      <c r="CO636" t="str">
        <f>""</f>
        <v/>
      </c>
      <c r="CP636" t="str">
        <f>""</f>
        <v/>
      </c>
      <c r="CQ636" t="str">
        <f>""</f>
        <v/>
      </c>
      <c r="CR636" t="str">
        <f>""</f>
        <v/>
      </c>
      <c r="CS636" t="str">
        <f>""</f>
        <v/>
      </c>
      <c r="CT636" t="str">
        <f>""</f>
        <v/>
      </c>
      <c r="CU636" t="str">
        <f>""</f>
        <v/>
      </c>
      <c r="CV636" t="str">
        <f>""</f>
        <v/>
      </c>
      <c r="CW636" t="str">
        <f>""</f>
        <v/>
      </c>
      <c r="CX636" t="str">
        <f>""</f>
        <v/>
      </c>
      <c r="CY636" t="str">
        <f>""</f>
        <v/>
      </c>
      <c r="CZ636" t="str">
        <f>""</f>
        <v/>
      </c>
      <c r="DA636" t="str">
        <f>""</f>
        <v/>
      </c>
      <c r="DB636" t="str">
        <f>""</f>
        <v/>
      </c>
      <c r="DC636" t="str">
        <f>""</f>
        <v/>
      </c>
      <c r="DD636" t="str">
        <f>""</f>
        <v/>
      </c>
      <c r="DE636" t="str">
        <f>""</f>
        <v/>
      </c>
      <c r="DF636" t="str">
        <f>""</f>
        <v/>
      </c>
      <c r="DG636" t="str">
        <f>""</f>
        <v/>
      </c>
      <c r="DH636" t="str">
        <f>""</f>
        <v/>
      </c>
      <c r="DI636" t="str">
        <f>""</f>
        <v/>
      </c>
      <c r="DJ636" t="str">
        <f>""</f>
        <v/>
      </c>
      <c r="DK636" t="str">
        <f>""</f>
        <v/>
      </c>
      <c r="DL636" t="str">
        <f>""</f>
        <v/>
      </c>
      <c r="DM636" t="str">
        <f>""</f>
        <v/>
      </c>
      <c r="DN636" t="str">
        <f>""</f>
        <v/>
      </c>
      <c r="DO636" t="str">
        <f>""</f>
        <v/>
      </c>
      <c r="DP636" t="str">
        <f>""</f>
        <v/>
      </c>
      <c r="DQ636" t="str">
        <f>""</f>
        <v/>
      </c>
      <c r="DR636" t="str">
        <f>""</f>
        <v/>
      </c>
      <c r="DS636" t="str">
        <f>""</f>
        <v/>
      </c>
      <c r="DT636" t="str">
        <f>""</f>
        <v/>
      </c>
      <c r="DU636" t="str">
        <f>""</f>
        <v/>
      </c>
    </row>
    <row r="637" spans="1:125" x14ac:dyDescent="0.25">
      <c r="A637" t="str">
        <f>"    Geely Automobile Holdings Ltd"</f>
        <v xml:space="preserve">    Geely Automobile Holdings Ltd</v>
      </c>
      <c r="B637" t="str">
        <f>"175 HK Equity"</f>
        <v>175 HK Equity</v>
      </c>
      <c r="C637" t="str">
        <f t="shared" si="45"/>
        <v>RX539</v>
      </c>
      <c r="D637" t="str">
        <f t="shared" si="46"/>
        <v>T12_FCF_YIELD</v>
      </c>
      <c r="E637" t="str">
        <f t="shared" si="47"/>
        <v>Dynamic</v>
      </c>
      <c r="F637" t="str">
        <f ca="1">IF(AND(ISNUMBER($F$1294),$B$677=1),$F$1294,HLOOKUP(INDIRECT(ADDRESS(2,COLUMN())),OFFSET($BN$2,0,0,ROW()-1,60),ROW()-1,FALSE))</f>
        <v/>
      </c>
      <c r="G637" t="str">
        <f ca="1">IF(AND(ISNUMBER($G$1294),$B$677=1),$G$1294,HLOOKUP(INDIRECT(ADDRESS(2,COLUMN())),OFFSET($BN$2,0,0,ROW()-1,60),ROW()-1,FALSE))</f>
        <v/>
      </c>
      <c r="H637" t="str">
        <f ca="1">IF(AND(ISNUMBER($H$1294),$B$677=1),$H$1294,HLOOKUP(INDIRECT(ADDRESS(2,COLUMN())),OFFSET($BN$2,0,0,ROW()-1,60),ROW()-1,FALSE))</f>
        <v/>
      </c>
      <c r="I637" t="str">
        <f ca="1">IF(AND(ISNUMBER($I$1294),$B$677=1),$I$1294,HLOOKUP(INDIRECT(ADDRESS(2,COLUMN())),OFFSET($BN$2,0,0,ROW()-1,60),ROW()-1,FALSE))</f>
        <v/>
      </c>
      <c r="J637" t="str">
        <f ca="1">IF(AND(ISNUMBER($J$1294),$B$677=1),$J$1294,HLOOKUP(INDIRECT(ADDRESS(2,COLUMN())),OFFSET($BN$2,0,0,ROW()-1,60),ROW()-1,FALSE))</f>
        <v/>
      </c>
      <c r="K637" t="str">
        <f ca="1">IF(AND(ISNUMBER($K$1294),$B$677=1),$K$1294,HLOOKUP(INDIRECT(ADDRESS(2,COLUMN())),OFFSET($BN$2,0,0,ROW()-1,60),ROW()-1,FALSE))</f>
        <v/>
      </c>
      <c r="L637" t="str">
        <f ca="1">IF(AND(ISNUMBER($L$1294),$B$677=1),$L$1294,HLOOKUP(INDIRECT(ADDRESS(2,COLUMN())),OFFSET($BN$2,0,0,ROW()-1,60),ROW()-1,FALSE))</f>
        <v/>
      </c>
      <c r="M637" t="str">
        <f ca="1">IF(AND(ISNUMBER($M$1294),$B$677=1),$M$1294,HLOOKUP(INDIRECT(ADDRESS(2,COLUMN())),OFFSET($BN$2,0,0,ROW()-1,60),ROW()-1,FALSE))</f>
        <v/>
      </c>
      <c r="N637" t="str">
        <f ca="1">IF(AND(ISNUMBER($N$1294),$B$677=1),$N$1294,HLOOKUP(INDIRECT(ADDRESS(2,COLUMN())),OFFSET($BN$2,0,0,ROW()-1,60),ROW()-1,FALSE))</f>
        <v/>
      </c>
      <c r="O637" t="str">
        <f ca="1">IF(AND(ISNUMBER($O$1294),$B$677=1),$O$1294,HLOOKUP(INDIRECT(ADDRESS(2,COLUMN())),OFFSET($BN$2,0,0,ROW()-1,60),ROW()-1,FALSE))</f>
        <v/>
      </c>
      <c r="P637" t="str">
        <f ca="1">IF(AND(ISNUMBER($P$1294),$B$677=1),$P$1294,HLOOKUP(INDIRECT(ADDRESS(2,COLUMN())),OFFSET($BN$2,0,0,ROW()-1,60),ROW()-1,FALSE))</f>
        <v/>
      </c>
      <c r="Q637" t="str">
        <f ca="1">IF(AND(ISNUMBER($Q$1294),$B$677=1),$Q$1294,HLOOKUP(INDIRECT(ADDRESS(2,COLUMN())),OFFSET($BN$2,0,0,ROW()-1,60),ROW()-1,FALSE))</f>
        <v/>
      </c>
      <c r="R637" t="str">
        <f ca="1">IF(AND(ISNUMBER($R$1294),$B$677=1),$R$1294,HLOOKUP(INDIRECT(ADDRESS(2,COLUMN())),OFFSET($BN$2,0,0,ROW()-1,60),ROW()-1,FALSE))</f>
        <v/>
      </c>
      <c r="S637" t="str">
        <f ca="1">IF(AND(ISNUMBER($S$1294),$B$677=1),$S$1294,HLOOKUP(INDIRECT(ADDRESS(2,COLUMN())),OFFSET($BN$2,0,0,ROW()-1,60),ROW()-1,FALSE))</f>
        <v/>
      </c>
      <c r="T637" t="str">
        <f ca="1">IF(AND(ISNUMBER($T$1294),$B$677=1),$T$1294,HLOOKUP(INDIRECT(ADDRESS(2,COLUMN())),OFFSET($BN$2,0,0,ROW()-1,60),ROW()-1,FALSE))</f>
        <v/>
      </c>
      <c r="U637" t="str">
        <f ca="1">IF(AND(ISNUMBER($U$1294),$B$677=1),$U$1294,HLOOKUP(INDIRECT(ADDRESS(2,COLUMN())),OFFSET($BN$2,0,0,ROW()-1,60),ROW()-1,FALSE))</f>
        <v/>
      </c>
      <c r="V637" t="str">
        <f ca="1">IF(AND(ISNUMBER($V$1294),$B$677=1),$V$1294,HLOOKUP(INDIRECT(ADDRESS(2,COLUMN())),OFFSET($BN$2,0,0,ROW()-1,60),ROW()-1,FALSE))</f>
        <v/>
      </c>
      <c r="W637" t="str">
        <f ca="1">IF(AND(ISNUMBER($W$1294),$B$677=1),$W$1294,HLOOKUP(INDIRECT(ADDRESS(2,COLUMN())),OFFSET($BN$2,0,0,ROW()-1,60),ROW()-1,FALSE))</f>
        <v/>
      </c>
      <c r="X637" t="str">
        <f ca="1">IF(AND(ISNUMBER($X$1294),$B$677=1),$X$1294,HLOOKUP(INDIRECT(ADDRESS(2,COLUMN())),OFFSET($BN$2,0,0,ROW()-1,60),ROW()-1,FALSE))</f>
        <v/>
      </c>
      <c r="Y637" t="str">
        <f ca="1">IF(AND(ISNUMBER($Y$1294),$B$677=1),$Y$1294,HLOOKUP(INDIRECT(ADDRESS(2,COLUMN())),OFFSET($BN$2,0,0,ROW()-1,60),ROW()-1,FALSE))</f>
        <v/>
      </c>
      <c r="Z637" t="str">
        <f ca="1">IF(AND(ISNUMBER($Z$1294),$B$677=1),$Z$1294,HLOOKUP(INDIRECT(ADDRESS(2,COLUMN())),OFFSET($BN$2,0,0,ROW()-1,60),ROW()-1,FALSE))</f>
        <v/>
      </c>
      <c r="AA637" t="str">
        <f ca="1">IF(AND(ISNUMBER($AA$1294),$B$677=1),$AA$1294,HLOOKUP(INDIRECT(ADDRESS(2,COLUMN())),OFFSET($BN$2,0,0,ROW()-1,60),ROW()-1,FALSE))</f>
        <v/>
      </c>
      <c r="AB637" t="str">
        <f ca="1">IF(AND(ISNUMBER($AB$1294),$B$677=1),$AB$1294,HLOOKUP(INDIRECT(ADDRESS(2,COLUMN())),OFFSET($BN$2,0,0,ROW()-1,60),ROW()-1,FALSE))</f>
        <v/>
      </c>
      <c r="AC637" t="str">
        <f ca="1">IF(AND(ISNUMBER($AC$1294),$B$677=1),$AC$1294,HLOOKUP(INDIRECT(ADDRESS(2,COLUMN())),OFFSET($BN$2,0,0,ROW()-1,60),ROW()-1,FALSE))</f>
        <v/>
      </c>
      <c r="AD637" t="str">
        <f ca="1">IF(AND(ISNUMBER($AD$1294),$B$677=1),$AD$1294,HLOOKUP(INDIRECT(ADDRESS(2,COLUMN())),OFFSET($BN$2,0,0,ROW()-1,60),ROW()-1,FALSE))</f>
        <v/>
      </c>
      <c r="AE637" t="str">
        <f ca="1">IF(AND(ISNUMBER($AE$1294),$B$677=1),$AE$1294,HLOOKUP(INDIRECT(ADDRESS(2,COLUMN())),OFFSET($BN$2,0,0,ROW()-1,60),ROW()-1,FALSE))</f>
        <v/>
      </c>
      <c r="AF637" t="str">
        <f ca="1">IF(AND(ISNUMBER($AF$1294),$B$677=1),$AF$1294,HLOOKUP(INDIRECT(ADDRESS(2,COLUMN())),OFFSET($BN$2,0,0,ROW()-1,60),ROW()-1,FALSE))</f>
        <v/>
      </c>
      <c r="AG637" t="str">
        <f ca="1">IF(AND(ISNUMBER($AG$1294),$B$677=1),$AG$1294,HLOOKUP(INDIRECT(ADDRESS(2,COLUMN())),OFFSET($BN$2,0,0,ROW()-1,60),ROW()-1,FALSE))</f>
        <v/>
      </c>
      <c r="AH637" t="str">
        <f ca="1">IF(AND(ISNUMBER($AH$1294),$B$677=1),$AH$1294,HLOOKUP(INDIRECT(ADDRESS(2,COLUMN())),OFFSET($BN$2,0,0,ROW()-1,60),ROW()-1,FALSE))</f>
        <v/>
      </c>
      <c r="AI637" t="str">
        <f ca="1">IF(AND(ISNUMBER($AI$1294),$B$677=1),$AI$1294,HLOOKUP(INDIRECT(ADDRESS(2,COLUMN())),OFFSET($BN$2,0,0,ROW()-1,60),ROW()-1,FALSE))</f>
        <v/>
      </c>
      <c r="AJ637" t="str">
        <f ca="1">IF(AND(ISNUMBER($AJ$1294),$B$677=1),$AJ$1294,HLOOKUP(INDIRECT(ADDRESS(2,COLUMN())),OFFSET($BN$2,0,0,ROW()-1,60),ROW()-1,FALSE))</f>
        <v/>
      </c>
      <c r="AK637" t="str">
        <f ca="1">IF(AND(ISNUMBER($AK$1294),$B$677=1),$AK$1294,HLOOKUP(INDIRECT(ADDRESS(2,COLUMN())),OFFSET($BN$2,0,0,ROW()-1,60),ROW()-1,FALSE))</f>
        <v/>
      </c>
      <c r="AL637" t="str">
        <f ca="1">IF(AND(ISNUMBER($AL$1294),$B$677=1),$AL$1294,HLOOKUP(INDIRECT(ADDRESS(2,COLUMN())),OFFSET($BN$2,0,0,ROW()-1,60),ROW()-1,FALSE))</f>
        <v/>
      </c>
      <c r="AM637" t="str">
        <f ca="1">IF(AND(ISNUMBER($AM$1294),$B$677=1),$AM$1294,HLOOKUP(INDIRECT(ADDRESS(2,COLUMN())),OFFSET($BN$2,0,0,ROW()-1,60),ROW()-1,FALSE))</f>
        <v/>
      </c>
      <c r="AN637" t="str">
        <f ca="1">IF(AND(ISNUMBER($AN$1294),$B$677=1),$AN$1294,HLOOKUP(INDIRECT(ADDRESS(2,COLUMN())),OFFSET($BN$2,0,0,ROW()-1,60),ROW()-1,FALSE))</f>
        <v/>
      </c>
      <c r="AO637" t="str">
        <f ca="1">IF(AND(ISNUMBER($AO$1294),$B$677=1),$AO$1294,HLOOKUP(INDIRECT(ADDRESS(2,COLUMN())),OFFSET($BN$2,0,0,ROW()-1,60),ROW()-1,FALSE))</f>
        <v/>
      </c>
      <c r="AP637" t="str">
        <f ca="1">IF(AND(ISNUMBER($AP$1294),$B$677=1),$AP$1294,HLOOKUP(INDIRECT(ADDRESS(2,COLUMN())),OFFSET($BN$2,0,0,ROW()-1,60),ROW()-1,FALSE))</f>
        <v/>
      </c>
      <c r="AQ637" t="str">
        <f ca="1">IF(AND(ISNUMBER($AQ$1294),$B$677=1),$AQ$1294,HLOOKUP(INDIRECT(ADDRESS(2,COLUMN())),OFFSET($BN$2,0,0,ROW()-1,60),ROW()-1,FALSE))</f>
        <v/>
      </c>
      <c r="AR637" t="str">
        <f ca="1">IF(AND(ISNUMBER($AR$1294),$B$677=1),$AR$1294,HLOOKUP(INDIRECT(ADDRESS(2,COLUMN())),OFFSET($BN$2,0,0,ROW()-1,60),ROW()-1,FALSE))</f>
        <v/>
      </c>
      <c r="AS637" t="str">
        <f ca="1">IF(AND(ISNUMBER($AS$1294),$B$677=1),$AS$1294,HLOOKUP(INDIRECT(ADDRESS(2,COLUMN())),OFFSET($BN$2,0,0,ROW()-1,60),ROW()-1,FALSE))</f>
        <v/>
      </c>
      <c r="AT637" t="str">
        <f ca="1">IF(AND(ISNUMBER($AT$1294),$B$677=1),$AT$1294,HLOOKUP(INDIRECT(ADDRESS(2,COLUMN())),OFFSET($BN$2,0,0,ROW()-1,60),ROW()-1,FALSE))</f>
        <v/>
      </c>
      <c r="AU637" t="str">
        <f ca="1">IF(AND(ISNUMBER($AU$1294),$B$677=1),$AU$1294,HLOOKUP(INDIRECT(ADDRESS(2,COLUMN())),OFFSET($BN$2,0,0,ROW()-1,60),ROW()-1,FALSE))</f>
        <v/>
      </c>
      <c r="AV637" t="str">
        <f ca="1">IF(AND(ISNUMBER($AV$1294),$B$677=1),$AV$1294,HLOOKUP(INDIRECT(ADDRESS(2,COLUMN())),OFFSET($BN$2,0,0,ROW()-1,60),ROW()-1,FALSE))</f>
        <v/>
      </c>
      <c r="AW637" t="str">
        <f ca="1">IF(AND(ISNUMBER($AW$1294),$B$677=1),$AW$1294,HLOOKUP(INDIRECT(ADDRESS(2,COLUMN())),OFFSET($BN$2,0,0,ROW()-1,60),ROW()-1,FALSE))</f>
        <v/>
      </c>
      <c r="AX637" t="str">
        <f ca="1">IF(AND(ISNUMBER($AX$1294),$B$677=1),$AX$1294,HLOOKUP(INDIRECT(ADDRESS(2,COLUMN())),OFFSET($BN$2,0,0,ROW()-1,60),ROW()-1,FALSE))</f>
        <v/>
      </c>
      <c r="AY637" t="str">
        <f ca="1">IF(AND(ISNUMBER($AY$1294),$B$677=1),$AY$1294,HLOOKUP(INDIRECT(ADDRESS(2,COLUMN())),OFFSET($BN$2,0,0,ROW()-1,60),ROW()-1,FALSE))</f>
        <v/>
      </c>
      <c r="AZ637" t="str">
        <f ca="1">IF(AND(ISNUMBER($AZ$1294),$B$677=1),$AZ$1294,HLOOKUP(INDIRECT(ADDRESS(2,COLUMN())),OFFSET($BN$2,0,0,ROW()-1,60),ROW()-1,FALSE))</f>
        <v/>
      </c>
      <c r="BA637" t="str">
        <f ca="1">IF(AND(ISNUMBER($BA$1294),$B$677=1),$BA$1294,HLOOKUP(INDIRECT(ADDRESS(2,COLUMN())),OFFSET($BN$2,0,0,ROW()-1,60),ROW()-1,FALSE))</f>
        <v/>
      </c>
      <c r="BB637" t="str">
        <f ca="1">IF(AND(ISNUMBER($BB$1294),$B$677=1),$BB$1294,HLOOKUP(INDIRECT(ADDRESS(2,COLUMN())),OFFSET($BN$2,0,0,ROW()-1,60),ROW()-1,FALSE))</f>
        <v/>
      </c>
      <c r="BC637" t="str">
        <f ca="1">IF(AND(ISNUMBER($BC$1294),$B$677=1),$BC$1294,HLOOKUP(INDIRECT(ADDRESS(2,COLUMN())),OFFSET($BN$2,0,0,ROW()-1,60),ROW()-1,FALSE))</f>
        <v/>
      </c>
      <c r="BD637" t="str">
        <f ca="1">IF(AND(ISNUMBER($BD$1294),$B$677=1),$BD$1294,HLOOKUP(INDIRECT(ADDRESS(2,COLUMN())),OFFSET($BN$2,0,0,ROW()-1,60),ROW()-1,FALSE))</f>
        <v/>
      </c>
      <c r="BE637" t="str">
        <f ca="1">IF(AND(ISNUMBER($BE$1294),$B$677=1),$BE$1294,HLOOKUP(INDIRECT(ADDRESS(2,COLUMN())),OFFSET($BN$2,0,0,ROW()-1,60),ROW()-1,FALSE))</f>
        <v/>
      </c>
      <c r="BF637" t="str">
        <f ca="1">IF(AND(ISNUMBER($BF$1294),$B$677=1),$BF$1294,HLOOKUP(INDIRECT(ADDRESS(2,COLUMN())),OFFSET($BN$2,0,0,ROW()-1,60),ROW()-1,FALSE))</f>
        <v/>
      </c>
      <c r="BG637" t="str">
        <f ca="1">IF(AND(ISNUMBER($BG$1294),$B$677=1),$BG$1294,HLOOKUP(INDIRECT(ADDRESS(2,COLUMN())),OFFSET($BN$2,0,0,ROW()-1,60),ROW()-1,FALSE))</f>
        <v/>
      </c>
      <c r="BH637" t="str">
        <f ca="1">IF(AND(ISNUMBER($BH$1294),$B$677=1),$BH$1294,HLOOKUP(INDIRECT(ADDRESS(2,COLUMN())),OFFSET($BN$2,0,0,ROW()-1,60),ROW()-1,FALSE))</f>
        <v/>
      </c>
      <c r="BI637" t="str">
        <f ca="1">IF(AND(ISNUMBER($BI$1294),$B$677=1),$BI$1294,HLOOKUP(INDIRECT(ADDRESS(2,COLUMN())),OFFSET($BN$2,0,0,ROW()-1,60),ROW()-1,FALSE))</f>
        <v/>
      </c>
      <c r="BJ637" t="str">
        <f ca="1">IF(AND(ISNUMBER($BJ$1294),$B$677=1),$BJ$1294,HLOOKUP(INDIRECT(ADDRESS(2,COLUMN())),OFFSET($BN$2,0,0,ROW()-1,60),ROW()-1,FALSE))</f>
        <v/>
      </c>
      <c r="BK637" t="str">
        <f ca="1">IF(AND(ISNUMBER($BK$1294),$B$677=1),$BK$1294,HLOOKUP(INDIRECT(ADDRESS(2,COLUMN())),OFFSET($BN$2,0,0,ROW()-1,60),ROW()-1,FALSE))</f>
        <v/>
      </c>
      <c r="BL637" t="str">
        <f ca="1">IF(AND(ISNUMBER($BL$1294),$B$677=1),$BL$1294,HLOOKUP(INDIRECT(ADDRESS(2,COLUMN())),OFFSET($BN$2,0,0,ROW()-1,60),ROW()-1,FALSE))</f>
        <v/>
      </c>
      <c r="BM637" t="str">
        <f ca="1">IF(AND(ISNUMBER($BM$1294),$B$677=1),$BM$1294,HLOOKUP(INDIRECT(ADDRESS(2,COLUMN())),OFFSET($BN$2,0,0,ROW()-1,60),ROW()-1,FALSE))</f>
        <v/>
      </c>
      <c r="BN637" t="str">
        <f>""</f>
        <v/>
      </c>
      <c r="BO637" t="str">
        <f>""</f>
        <v/>
      </c>
      <c r="BP637" t="str">
        <f>""</f>
        <v/>
      </c>
      <c r="BQ637" t="str">
        <f>""</f>
        <v/>
      </c>
      <c r="BR637" t="str">
        <f>""</f>
        <v/>
      </c>
      <c r="BS637" t="str">
        <f>""</f>
        <v/>
      </c>
      <c r="BT637" t="str">
        <f>""</f>
        <v/>
      </c>
      <c r="BU637" t="str">
        <f>""</f>
        <v/>
      </c>
      <c r="BV637" t="str">
        <f>""</f>
        <v/>
      </c>
      <c r="BW637" t="str">
        <f>""</f>
        <v/>
      </c>
      <c r="BX637" t="str">
        <f>""</f>
        <v/>
      </c>
      <c r="BY637" t="str">
        <f>""</f>
        <v/>
      </c>
      <c r="BZ637" t="str">
        <f>""</f>
        <v/>
      </c>
      <c r="CA637" t="str">
        <f>""</f>
        <v/>
      </c>
      <c r="CB637" t="str">
        <f>""</f>
        <v/>
      </c>
      <c r="CC637" t="str">
        <f>""</f>
        <v/>
      </c>
      <c r="CD637" t="str">
        <f>""</f>
        <v/>
      </c>
      <c r="CE637" t="str">
        <f>""</f>
        <v/>
      </c>
      <c r="CF637" t="str">
        <f>""</f>
        <v/>
      </c>
      <c r="CG637" t="str">
        <f>""</f>
        <v/>
      </c>
      <c r="CH637" t="str">
        <f>""</f>
        <v/>
      </c>
      <c r="CI637" t="str">
        <f>""</f>
        <v/>
      </c>
      <c r="CJ637" t="str">
        <f>""</f>
        <v/>
      </c>
      <c r="CK637" t="str">
        <f>""</f>
        <v/>
      </c>
      <c r="CL637" t="str">
        <f>""</f>
        <v/>
      </c>
      <c r="CM637" t="str">
        <f>""</f>
        <v/>
      </c>
      <c r="CN637" t="str">
        <f>""</f>
        <v/>
      </c>
      <c r="CO637" t="str">
        <f>""</f>
        <v/>
      </c>
      <c r="CP637" t="str">
        <f>""</f>
        <v/>
      </c>
      <c r="CQ637" t="str">
        <f>""</f>
        <v/>
      </c>
      <c r="CR637" t="str">
        <f>""</f>
        <v/>
      </c>
      <c r="CS637" t="str">
        <f>""</f>
        <v/>
      </c>
      <c r="CT637" t="str">
        <f>""</f>
        <v/>
      </c>
      <c r="CU637" t="str">
        <f>""</f>
        <v/>
      </c>
      <c r="CV637" t="str">
        <f>""</f>
        <v/>
      </c>
      <c r="CW637" t="str">
        <f>""</f>
        <v/>
      </c>
      <c r="CX637" t="str">
        <f>""</f>
        <v/>
      </c>
      <c r="CY637" t="str">
        <f>""</f>
        <v/>
      </c>
      <c r="CZ637" t="str">
        <f>""</f>
        <v/>
      </c>
      <c r="DA637" t="str">
        <f>""</f>
        <v/>
      </c>
      <c r="DB637" t="str">
        <f>""</f>
        <v/>
      </c>
      <c r="DC637" t="str">
        <f>""</f>
        <v/>
      </c>
      <c r="DD637" t="str">
        <f>""</f>
        <v/>
      </c>
      <c r="DE637" t="str">
        <f>""</f>
        <v/>
      </c>
      <c r="DF637" t="str">
        <f>""</f>
        <v/>
      </c>
      <c r="DG637" t="str">
        <f>""</f>
        <v/>
      </c>
      <c r="DH637" t="str">
        <f>""</f>
        <v/>
      </c>
      <c r="DI637" t="str">
        <f>""</f>
        <v/>
      </c>
      <c r="DJ637" t="str">
        <f>""</f>
        <v/>
      </c>
      <c r="DK637" t="str">
        <f>""</f>
        <v/>
      </c>
      <c r="DL637" t="str">
        <f>""</f>
        <v/>
      </c>
      <c r="DM637" t="str">
        <f>""</f>
        <v/>
      </c>
      <c r="DN637" t="str">
        <f>""</f>
        <v/>
      </c>
      <c r="DO637" t="str">
        <f>""</f>
        <v/>
      </c>
      <c r="DP637" t="str">
        <f>""</f>
        <v/>
      </c>
      <c r="DQ637" t="str">
        <f>""</f>
        <v/>
      </c>
      <c r="DR637" t="str">
        <f>""</f>
        <v/>
      </c>
      <c r="DS637" t="str">
        <f>""</f>
        <v/>
      </c>
      <c r="DT637" t="str">
        <f>""</f>
        <v/>
      </c>
      <c r="DU637" t="str">
        <f>""</f>
        <v/>
      </c>
    </row>
    <row r="638" spans="1:125" x14ac:dyDescent="0.25">
      <c r="A638" t="str">
        <f>"    General Motors Co"</f>
        <v xml:space="preserve">    General Motors Co</v>
      </c>
      <c r="B638" t="str">
        <f>"GM US Equity"</f>
        <v>GM US Equity</v>
      </c>
      <c r="C638" t="str">
        <f t="shared" si="45"/>
        <v>RX539</v>
      </c>
      <c r="D638" t="str">
        <f t="shared" si="46"/>
        <v>T12_FCF_YIELD</v>
      </c>
      <c r="E638" t="str">
        <f t="shared" si="47"/>
        <v>Dynamic</v>
      </c>
      <c r="F638">
        <f ca="1">IF(AND(ISNUMBER($F$1295),$B$677=1),$F$1295,HLOOKUP(INDIRECT(ADDRESS(2,COLUMN())),OFFSET($BN$2,0,0,ROW()-1,60),ROW()-1,FALSE))</f>
        <v>11.73287268</v>
      </c>
      <c r="G638">
        <f ca="1">IF(AND(ISNUMBER($G$1295),$B$677=1),$G$1295,HLOOKUP(INDIRECT(ADDRESS(2,COLUMN())),OFFSET($BN$2,0,0,ROW()-1,60),ROW()-1,FALSE))</f>
        <v>13.75725548</v>
      </c>
      <c r="H638">
        <f ca="1">IF(AND(ISNUMBER($H$1295),$B$677=1),$H$1295,HLOOKUP(INDIRECT(ADDRESS(2,COLUMN())),OFFSET($BN$2,0,0,ROW()-1,60),ROW()-1,FALSE))</f>
        <v>15.686898729999999</v>
      </c>
      <c r="I638">
        <f ca="1">IF(AND(ISNUMBER($I$1295),$B$677=1),$I$1295,HLOOKUP(INDIRECT(ADDRESS(2,COLUMN())),OFFSET($BN$2,0,0,ROW()-1,60),ROW()-1,FALSE))</f>
        <v>12.072317310000001</v>
      </c>
      <c r="J638">
        <f ca="1">IF(AND(ISNUMBER($J$1295),$B$677=1),$J$1295,HLOOKUP(INDIRECT(ADDRESS(2,COLUMN())),OFFSET($BN$2,0,0,ROW()-1,60),ROW()-1,FALSE))</f>
        <v>13.24293677</v>
      </c>
      <c r="K638">
        <f ca="1">IF(AND(ISNUMBER($K$1295),$B$677=1),$K$1295,HLOOKUP(INDIRECT(ADDRESS(2,COLUMN())),OFFSET($BN$2,0,0,ROW()-1,60),ROW()-1,FALSE))</f>
        <v>15.243246340000001</v>
      </c>
      <c r="L638">
        <f ca="1">IF(AND(ISNUMBER($L$1295),$B$677=1),$L$1295,HLOOKUP(INDIRECT(ADDRESS(2,COLUMN())),OFFSET($BN$2,0,0,ROW()-1,60),ROW()-1,FALSE))</f>
        <v>9.8959809360000008</v>
      </c>
      <c r="M638">
        <f ca="1">IF(AND(ISNUMBER($M$1295),$B$677=1),$M$1295,HLOOKUP(INDIRECT(ADDRESS(2,COLUMN())),OFFSET($BN$2,0,0,ROW()-1,60),ROW()-1,FALSE))</f>
        <v>18.122575000000001</v>
      </c>
      <c r="N638">
        <f ca="1">IF(AND(ISNUMBER($N$1295),$B$677=1),$N$1295,HLOOKUP(INDIRECT(ADDRESS(2,COLUMN())),OFFSET($BN$2,0,0,ROW()-1,60),ROW()-1,FALSE))</f>
        <v>20.629425640000001</v>
      </c>
      <c r="O638">
        <f ca="1">IF(AND(ISNUMBER($O$1295),$B$677=1),$O$1295,HLOOKUP(INDIRECT(ADDRESS(2,COLUMN())),OFFSET($BN$2,0,0,ROW()-1,60),ROW()-1,FALSE))</f>
        <v>15.483500769999999</v>
      </c>
      <c r="P638">
        <f ca="1">IF(AND(ISNUMBER($P$1295),$B$677=1),$P$1295,HLOOKUP(INDIRECT(ADDRESS(2,COLUMN())),OFFSET($BN$2,0,0,ROW()-1,60),ROW()-1,FALSE))</f>
        <v>12.41176894</v>
      </c>
      <c r="Q638">
        <f ca="1">IF(AND(ISNUMBER($Q$1295),$B$677=1),$Q$1295,HLOOKUP(INDIRECT(ADDRESS(2,COLUMN())),OFFSET($BN$2,0,0,ROW()-1,60),ROW()-1,FALSE))</f>
        <v>7.3157763679999999</v>
      </c>
      <c r="R638">
        <f ca="1">IF(AND(ISNUMBER($R$1295),$B$677=1),$R$1295,HLOOKUP(INDIRECT(ADDRESS(2,COLUMN())),OFFSET($BN$2,0,0,ROW()-1,60),ROW()-1,FALSE))</f>
        <v>5.6300134430000002</v>
      </c>
      <c r="S638">
        <f ca="1">IF(AND(ISNUMBER($S$1295),$B$677=1),$S$1295,HLOOKUP(INDIRECT(ADDRESS(2,COLUMN())),OFFSET($BN$2,0,0,ROW()-1,60),ROW()-1,FALSE))</f>
        <v>7.2120141359999996</v>
      </c>
      <c r="T638">
        <f ca="1">IF(AND(ISNUMBER($T$1295),$B$677=1),$T$1295,HLOOKUP(INDIRECT(ADDRESS(2,COLUMN())),OFFSET($BN$2,0,0,ROW()-1,60),ROW()-1,FALSE))</f>
        <v>11.166815959999999</v>
      </c>
      <c r="U638">
        <f ca="1">IF(AND(ISNUMBER($U$1295),$B$677=1),$U$1295,HLOOKUP(INDIRECT(ADDRESS(2,COLUMN())),OFFSET($BN$2,0,0,ROW()-1,60),ROW()-1,FALSE))</f>
        <v>6.0875633889999996</v>
      </c>
      <c r="V638">
        <f ca="1">IF(AND(ISNUMBER($V$1295),$B$677=1),$V$1295,HLOOKUP(INDIRECT(ADDRESS(2,COLUMN())),OFFSET($BN$2,0,0,ROW()-1,60),ROW()-1,FALSE))</f>
        <v>2.391174892</v>
      </c>
      <c r="W638">
        <f ca="1">IF(AND(ISNUMBER($W$1295),$B$677=1),$W$1295,HLOOKUP(INDIRECT(ADDRESS(2,COLUMN())),OFFSET($BN$2,0,0,ROW()-1,60),ROW()-1,FALSE))</f>
        <v>5.295083462</v>
      </c>
      <c r="X638">
        <f ca="1">IF(AND(ISNUMBER($X$1295),$B$677=1),$X$1295,HLOOKUP(INDIRECT(ADDRESS(2,COLUMN())),OFFSET($BN$2,0,0,ROW()-1,60),ROW()-1,FALSE))</f>
        <v>6.005438914</v>
      </c>
      <c r="Y638">
        <f ca="1">IF(AND(ISNUMBER($Y$1295),$B$677=1),$Y$1295,HLOOKUP(INDIRECT(ADDRESS(2,COLUMN())),OFFSET($BN$2,0,0,ROW()-1,60),ROW()-1,FALSE))</f>
        <v>9.5628311739999994</v>
      </c>
      <c r="Z638">
        <f ca="1">IF(AND(ISNUMBER($Z$1295),$B$677=1),$Z$1295,HLOOKUP(INDIRECT(ADDRESS(2,COLUMN())),OFFSET($BN$2,0,0,ROW()-1,60),ROW()-1,FALSE))</f>
        <v>11.701278909999999</v>
      </c>
      <c r="AA638">
        <f ca="1">IF(AND(ISNUMBER($AA$1295),$B$677=1),$AA$1295,HLOOKUP(INDIRECT(ADDRESS(2,COLUMN())),OFFSET($BN$2,0,0,ROW()-1,60),ROW()-1,FALSE))</f>
        <v>8.9223811630000007</v>
      </c>
      <c r="AB638">
        <f ca="1">IF(AND(ISNUMBER($AB$1295),$B$677=1),$AB$1295,HLOOKUP(INDIRECT(ADDRESS(2,COLUMN())),OFFSET($BN$2,0,0,ROW()-1,60),ROW()-1,FALSE))</f>
        <v>5.0394238720000004</v>
      </c>
      <c r="AC638">
        <f ca="1">IF(AND(ISNUMBER($AC$1295),$B$677=1),$AC$1295,HLOOKUP(INDIRECT(ADDRESS(2,COLUMN())),OFFSET($BN$2,0,0,ROW()-1,60),ROW()-1,FALSE))</f>
        <v>4.4419407</v>
      </c>
      <c r="AD638">
        <f ca="1">IF(AND(ISNUMBER($AD$1295),$B$677=1),$AD$1295,HLOOKUP(INDIRECT(ADDRESS(2,COLUMN())),OFFSET($BN$2,0,0,ROW()-1,60),ROW()-1,FALSE))</f>
        <v>2.396456868</v>
      </c>
      <c r="AE638">
        <f ca="1">IF(AND(ISNUMBER($AE$1295),$B$677=1),$AE$1295,HLOOKUP(INDIRECT(ADDRESS(2,COLUMN())),OFFSET($BN$2,0,0,ROW()-1,60),ROW()-1,FALSE))</f>
        <v>5.6192525199999999</v>
      </c>
      <c r="AF638">
        <f ca="1">IF(AND(ISNUMBER($AF$1295),$B$677=1),$AF$1295,HLOOKUP(INDIRECT(ADDRESS(2,COLUMN())),OFFSET($BN$2,0,0,ROW()-1,60),ROW()-1,FALSE))</f>
        <v>8.6567293210000003</v>
      </c>
      <c r="AG638">
        <f ca="1">IF(AND(ISNUMBER($AG$1295),$B$677=1),$AG$1295,HLOOKUP(INDIRECT(ADDRESS(2,COLUMN())),OFFSET($BN$2,0,0,ROW()-1,60),ROW()-1,FALSE))</f>
        <v>6.8202435640000001</v>
      </c>
      <c r="AH638">
        <f ca="1">IF(AND(ISNUMBER($AH$1295),$B$677=1),$AH$1295,HLOOKUP(INDIRECT(ADDRESS(2,COLUMN())),OFFSET($BN$2,0,0,ROW()-1,60),ROW()-1,FALSE))</f>
        <v>10.25103601</v>
      </c>
      <c r="AI638">
        <f ca="1">IF(AND(ISNUMBER($AI$1295),$B$677=1),$AI$1295,HLOOKUP(INDIRECT(ADDRESS(2,COLUMN())),OFFSET($BN$2,0,0,ROW()-1,60),ROW()-1,FALSE))</f>
        <v>6.0320991859999999</v>
      </c>
      <c r="AJ638">
        <f ca="1">IF(AND(ISNUMBER($AJ$1295),$B$677=1),$AJ$1295,HLOOKUP(INDIRECT(ADDRESS(2,COLUMN())),OFFSET($BN$2,0,0,ROW()-1,60),ROW()-1,FALSE))</f>
        <v>6.9804837999999994E-2</v>
      </c>
      <c r="AK638">
        <f ca="1">IF(AND(ISNUMBER($AK$1295),$B$677=1),$AK$1295,HLOOKUP(INDIRECT(ADDRESS(2,COLUMN())),OFFSET($BN$2,0,0,ROW()-1,60),ROW()-1,FALSE))</f>
        <v>1.952075306</v>
      </c>
      <c r="AL638">
        <f ca="1">IF(AND(ISNUMBER($AL$1295),$B$677=1),$AL$1295,HLOOKUP(INDIRECT(ADDRESS(2,COLUMN())),OFFSET($BN$2,0,0,ROW()-1,60),ROW()-1,FALSE))</f>
        <v>-0.26636461299999997</v>
      </c>
      <c r="AM638">
        <f ca="1">IF(AND(ISNUMBER($AM$1295),$B$677=1),$AM$1295,HLOOKUP(INDIRECT(ADDRESS(2,COLUMN())),OFFSET($BN$2,0,0,ROW()-1,60),ROW()-1,FALSE))</f>
        <v>4.6663049379999997</v>
      </c>
      <c r="AN638" t="str">
        <f ca="1">IF(AND(ISNUMBER($AN$1295),$B$677=1),$AN$1295,HLOOKUP(INDIRECT(ADDRESS(2,COLUMN())),OFFSET($BN$2,0,0,ROW()-1,60),ROW()-1,FALSE))</f>
        <v/>
      </c>
      <c r="AO638" t="str">
        <f ca="1">IF(AND(ISNUMBER($AO$1295),$B$677=1),$AO$1295,HLOOKUP(INDIRECT(ADDRESS(2,COLUMN())),OFFSET($BN$2,0,0,ROW()-1,60),ROW()-1,FALSE))</f>
        <v/>
      </c>
      <c r="AP638" t="str">
        <f ca="1">IF(AND(ISNUMBER($AP$1295),$B$677=1),$AP$1295,HLOOKUP(INDIRECT(ADDRESS(2,COLUMN())),OFFSET($BN$2,0,0,ROW()-1,60),ROW()-1,FALSE))</f>
        <v/>
      </c>
      <c r="AQ638" t="str">
        <f ca="1">IF(AND(ISNUMBER($AQ$1295),$B$677=1),$AQ$1295,HLOOKUP(INDIRECT(ADDRESS(2,COLUMN())),OFFSET($BN$2,0,0,ROW()-1,60),ROW()-1,FALSE))</f>
        <v/>
      </c>
      <c r="AR638" t="str">
        <f ca="1">IF(AND(ISNUMBER($AR$1295),$B$677=1),$AR$1295,HLOOKUP(INDIRECT(ADDRESS(2,COLUMN())),OFFSET($BN$2,0,0,ROW()-1,60),ROW()-1,FALSE))</f>
        <v/>
      </c>
      <c r="AS638" t="str">
        <f ca="1">IF(AND(ISNUMBER($AS$1295),$B$677=1),$AS$1295,HLOOKUP(INDIRECT(ADDRESS(2,COLUMN())),OFFSET($BN$2,0,0,ROW()-1,60),ROW()-1,FALSE))</f>
        <v/>
      </c>
      <c r="AT638" t="str">
        <f ca="1">IF(AND(ISNUMBER($AT$1295),$B$677=1),$AT$1295,HLOOKUP(INDIRECT(ADDRESS(2,COLUMN())),OFFSET($BN$2,0,0,ROW()-1,60),ROW()-1,FALSE))</f>
        <v/>
      </c>
      <c r="AU638" t="str">
        <f ca="1">IF(AND(ISNUMBER($AU$1295),$B$677=1),$AU$1295,HLOOKUP(INDIRECT(ADDRESS(2,COLUMN())),OFFSET($BN$2,0,0,ROW()-1,60),ROW()-1,FALSE))</f>
        <v/>
      </c>
      <c r="AV638" t="str">
        <f ca="1">IF(AND(ISNUMBER($AV$1295),$B$677=1),$AV$1295,HLOOKUP(INDIRECT(ADDRESS(2,COLUMN())),OFFSET($BN$2,0,0,ROW()-1,60),ROW()-1,FALSE))</f>
        <v/>
      </c>
      <c r="AW638" t="str">
        <f ca="1">IF(AND(ISNUMBER($AW$1295),$B$677=1),$AW$1295,HLOOKUP(INDIRECT(ADDRESS(2,COLUMN())),OFFSET($BN$2,0,0,ROW()-1,60),ROW()-1,FALSE))</f>
        <v/>
      </c>
      <c r="AX638" t="str">
        <f ca="1">IF(AND(ISNUMBER($AX$1295),$B$677=1),$AX$1295,HLOOKUP(INDIRECT(ADDRESS(2,COLUMN())),OFFSET($BN$2,0,0,ROW()-1,60),ROW()-1,FALSE))</f>
        <v/>
      </c>
      <c r="AY638" t="str">
        <f ca="1">IF(AND(ISNUMBER($AY$1295),$B$677=1),$AY$1295,HLOOKUP(INDIRECT(ADDRESS(2,COLUMN())),OFFSET($BN$2,0,0,ROW()-1,60),ROW()-1,FALSE))</f>
        <v/>
      </c>
      <c r="AZ638" t="str">
        <f ca="1">IF(AND(ISNUMBER($AZ$1295),$B$677=1),$AZ$1295,HLOOKUP(INDIRECT(ADDRESS(2,COLUMN())),OFFSET($BN$2,0,0,ROW()-1,60),ROW()-1,FALSE))</f>
        <v/>
      </c>
      <c r="BA638" t="str">
        <f ca="1">IF(AND(ISNUMBER($BA$1295),$B$677=1),$BA$1295,HLOOKUP(INDIRECT(ADDRESS(2,COLUMN())),OFFSET($BN$2,0,0,ROW()-1,60),ROW()-1,FALSE))</f>
        <v/>
      </c>
      <c r="BB638" t="str">
        <f ca="1">IF(AND(ISNUMBER($BB$1295),$B$677=1),$BB$1295,HLOOKUP(INDIRECT(ADDRESS(2,COLUMN())),OFFSET($BN$2,0,0,ROW()-1,60),ROW()-1,FALSE))</f>
        <v/>
      </c>
      <c r="BC638" t="str">
        <f ca="1">IF(AND(ISNUMBER($BC$1295),$B$677=1),$BC$1295,HLOOKUP(INDIRECT(ADDRESS(2,COLUMN())),OFFSET($BN$2,0,0,ROW()-1,60),ROW()-1,FALSE))</f>
        <v/>
      </c>
      <c r="BD638" t="str">
        <f ca="1">IF(AND(ISNUMBER($BD$1295),$B$677=1),$BD$1295,HLOOKUP(INDIRECT(ADDRESS(2,COLUMN())),OFFSET($BN$2,0,0,ROW()-1,60),ROW()-1,FALSE))</f>
        <v/>
      </c>
      <c r="BE638" t="str">
        <f ca="1">IF(AND(ISNUMBER($BE$1295),$B$677=1),$BE$1295,HLOOKUP(INDIRECT(ADDRESS(2,COLUMN())),OFFSET($BN$2,0,0,ROW()-1,60),ROW()-1,FALSE))</f>
        <v/>
      </c>
      <c r="BF638" t="str">
        <f ca="1">IF(AND(ISNUMBER($BF$1295),$B$677=1),$BF$1295,HLOOKUP(INDIRECT(ADDRESS(2,COLUMN())),OFFSET($BN$2,0,0,ROW()-1,60),ROW()-1,FALSE))</f>
        <v/>
      </c>
      <c r="BG638" t="str">
        <f ca="1">IF(AND(ISNUMBER($BG$1295),$B$677=1),$BG$1295,HLOOKUP(INDIRECT(ADDRESS(2,COLUMN())),OFFSET($BN$2,0,0,ROW()-1,60),ROW()-1,FALSE))</f>
        <v/>
      </c>
      <c r="BH638" t="str">
        <f ca="1">IF(AND(ISNUMBER($BH$1295),$B$677=1),$BH$1295,HLOOKUP(INDIRECT(ADDRESS(2,COLUMN())),OFFSET($BN$2,0,0,ROW()-1,60),ROW()-1,FALSE))</f>
        <v/>
      </c>
      <c r="BI638" t="str">
        <f ca="1">IF(AND(ISNUMBER($BI$1295),$B$677=1),$BI$1295,HLOOKUP(INDIRECT(ADDRESS(2,COLUMN())),OFFSET($BN$2,0,0,ROW()-1,60),ROW()-1,FALSE))</f>
        <v/>
      </c>
      <c r="BJ638" t="str">
        <f ca="1">IF(AND(ISNUMBER($BJ$1295),$B$677=1),$BJ$1295,HLOOKUP(INDIRECT(ADDRESS(2,COLUMN())),OFFSET($BN$2,0,0,ROW()-1,60),ROW()-1,FALSE))</f>
        <v/>
      </c>
      <c r="BK638" t="str">
        <f ca="1">IF(AND(ISNUMBER($BK$1295),$B$677=1),$BK$1295,HLOOKUP(INDIRECT(ADDRESS(2,COLUMN())),OFFSET($BN$2,0,0,ROW()-1,60),ROW()-1,FALSE))</f>
        <v/>
      </c>
      <c r="BL638" t="str">
        <f ca="1">IF(AND(ISNUMBER($BL$1295),$B$677=1),$BL$1295,HLOOKUP(INDIRECT(ADDRESS(2,COLUMN())),OFFSET($BN$2,0,0,ROW()-1,60),ROW()-1,FALSE))</f>
        <v/>
      </c>
      <c r="BM638" t="str">
        <f ca="1">IF(AND(ISNUMBER($BM$1295),$B$677=1),$BM$1295,HLOOKUP(INDIRECT(ADDRESS(2,COLUMN())),OFFSET($BN$2,0,0,ROW()-1,60),ROW()-1,FALSE))</f>
        <v/>
      </c>
      <c r="BN638">
        <f>11.73287268</f>
        <v>11.73287268</v>
      </c>
      <c r="BO638">
        <f>13.75725548</f>
        <v>13.75725548</v>
      </c>
      <c r="BP638">
        <f>15.68689873</f>
        <v>15.686898729999999</v>
      </c>
      <c r="BQ638">
        <f>12.07231731</f>
        <v>12.072317310000001</v>
      </c>
      <c r="BR638">
        <f>13.24293677</f>
        <v>13.24293677</v>
      </c>
      <c r="BS638">
        <f>15.24324634</f>
        <v>15.243246340000001</v>
      </c>
      <c r="BT638">
        <f>9.895980936</f>
        <v>9.8959809360000008</v>
      </c>
      <c r="BU638">
        <f>18.122575</f>
        <v>18.122575000000001</v>
      </c>
      <c r="BV638">
        <f>20.62942564</f>
        <v>20.629425640000001</v>
      </c>
      <c r="BW638">
        <f>15.48350077</f>
        <v>15.483500769999999</v>
      </c>
      <c r="BX638">
        <f>12.41176894</f>
        <v>12.41176894</v>
      </c>
      <c r="BY638">
        <f>7.315776368</f>
        <v>7.3157763679999999</v>
      </c>
      <c r="BZ638">
        <f>5.630013443</f>
        <v>5.6300134430000002</v>
      </c>
      <c r="CA638">
        <f>7.212014136</f>
        <v>7.2120141359999996</v>
      </c>
      <c r="CB638">
        <f>11.16681596</f>
        <v>11.166815959999999</v>
      </c>
      <c r="CC638">
        <f>6.087563389</f>
        <v>6.0875633889999996</v>
      </c>
      <c r="CD638">
        <f>2.391174892</f>
        <v>2.391174892</v>
      </c>
      <c r="CE638">
        <f>5.295083462</f>
        <v>5.295083462</v>
      </c>
      <c r="CF638">
        <f>6.005438914</f>
        <v>6.005438914</v>
      </c>
      <c r="CG638">
        <f>9.562831174</f>
        <v>9.5628311739999994</v>
      </c>
      <c r="CH638">
        <f>11.70127891</f>
        <v>11.701278909999999</v>
      </c>
      <c r="CI638">
        <f>8.922381163</f>
        <v>8.9223811630000007</v>
      </c>
      <c r="CJ638">
        <f>5.039423872</f>
        <v>5.0394238720000004</v>
      </c>
      <c r="CK638">
        <f>4.4419407</f>
        <v>4.4419407</v>
      </c>
      <c r="CL638">
        <f>2.396456868</f>
        <v>2.396456868</v>
      </c>
      <c r="CM638">
        <f>5.61925252</f>
        <v>5.6192525199999999</v>
      </c>
      <c r="CN638">
        <f>8.656729321</f>
        <v>8.6567293210000003</v>
      </c>
      <c r="CO638">
        <f>6.820243564</f>
        <v>6.8202435640000001</v>
      </c>
      <c r="CP638">
        <f>10.25103601</f>
        <v>10.25103601</v>
      </c>
      <c r="CQ638">
        <f>6.032099186</f>
        <v>6.0320991859999999</v>
      </c>
      <c r="CR638">
        <f>0.069804838</f>
        <v>6.9804837999999994E-2</v>
      </c>
      <c r="CS638">
        <f>1.952075306</f>
        <v>1.952075306</v>
      </c>
      <c r="CT638">
        <f>-0.266364613</f>
        <v>-0.26636461299999997</v>
      </c>
      <c r="CU638">
        <f>4.666304938</f>
        <v>4.6663049379999997</v>
      </c>
      <c r="CV638" t="str">
        <f>""</f>
        <v/>
      </c>
      <c r="CW638" t="str">
        <f>""</f>
        <v/>
      </c>
      <c r="CX638" t="str">
        <f>""</f>
        <v/>
      </c>
      <c r="CY638" t="str">
        <f>""</f>
        <v/>
      </c>
      <c r="CZ638" t="str">
        <f>""</f>
        <v/>
      </c>
      <c r="DA638" t="str">
        <f>""</f>
        <v/>
      </c>
      <c r="DB638" t="str">
        <f>""</f>
        <v/>
      </c>
      <c r="DC638" t="str">
        <f>""</f>
        <v/>
      </c>
      <c r="DD638" t="str">
        <f>""</f>
        <v/>
      </c>
      <c r="DE638" t="str">
        <f>""</f>
        <v/>
      </c>
      <c r="DF638" t="str">
        <f>""</f>
        <v/>
      </c>
      <c r="DG638" t="str">
        <f>""</f>
        <v/>
      </c>
      <c r="DH638" t="str">
        <f>""</f>
        <v/>
      </c>
      <c r="DI638" t="str">
        <f>""</f>
        <v/>
      </c>
      <c r="DJ638" t="str">
        <f>""</f>
        <v/>
      </c>
      <c r="DK638" t="str">
        <f>""</f>
        <v/>
      </c>
      <c r="DL638" t="str">
        <f>""</f>
        <v/>
      </c>
      <c r="DM638" t="str">
        <f>""</f>
        <v/>
      </c>
      <c r="DN638" t="str">
        <f>""</f>
        <v/>
      </c>
      <c r="DO638" t="str">
        <f>""</f>
        <v/>
      </c>
      <c r="DP638" t="str">
        <f>""</f>
        <v/>
      </c>
      <c r="DQ638" t="str">
        <f>""</f>
        <v/>
      </c>
      <c r="DR638" t="str">
        <f>""</f>
        <v/>
      </c>
      <c r="DS638" t="str">
        <f>""</f>
        <v/>
      </c>
      <c r="DT638" t="str">
        <f>""</f>
        <v/>
      </c>
      <c r="DU638" t="str">
        <f>""</f>
        <v/>
      </c>
    </row>
    <row r="639" spans="1:125" x14ac:dyDescent="0.25">
      <c r="A639" t="str">
        <f>"    Great Wall Motor Co Ltd"</f>
        <v xml:space="preserve">    Great Wall Motor Co Ltd</v>
      </c>
      <c r="B639" t="str">
        <f>"2333 HK Equity"</f>
        <v>2333 HK Equity</v>
      </c>
      <c r="C639" t="str">
        <f t="shared" si="45"/>
        <v>RX539</v>
      </c>
      <c r="D639" t="str">
        <f t="shared" si="46"/>
        <v>T12_FCF_YIELD</v>
      </c>
      <c r="E639" t="str">
        <f t="shared" si="47"/>
        <v>Dynamic</v>
      </c>
      <c r="F639">
        <f ca="1">IF(AND(ISNUMBER($F$1296),$B$677=1),$F$1296,HLOOKUP(INDIRECT(ADDRESS(2,COLUMN())),OFFSET($BN$2,0,0,ROW()-1,60),ROW()-1,FALSE))</f>
        <v>0.25466044199999999</v>
      </c>
      <c r="G639">
        <f ca="1">IF(AND(ISNUMBER($G$1296),$B$677=1),$G$1296,HLOOKUP(INDIRECT(ADDRESS(2,COLUMN())),OFFSET($BN$2,0,0,ROW()-1,60),ROW()-1,FALSE))</f>
        <v>0.37020486699999999</v>
      </c>
      <c r="H639">
        <f ca="1">IF(AND(ISNUMBER($H$1296),$B$677=1),$H$1296,HLOOKUP(INDIRECT(ADDRESS(2,COLUMN())),OFFSET($BN$2,0,0,ROW()-1,60),ROW()-1,FALSE))</f>
        <v>0.27892716099999998</v>
      </c>
      <c r="I639">
        <f ca="1">IF(AND(ISNUMBER($I$1296),$B$677=1),$I$1296,HLOOKUP(INDIRECT(ADDRESS(2,COLUMN())),OFFSET($BN$2,0,0,ROW()-1,60),ROW()-1,FALSE))</f>
        <v>-3.4543078029999998</v>
      </c>
      <c r="J639">
        <f ca="1">IF(AND(ISNUMBER($J$1296),$B$677=1),$J$1296,HLOOKUP(INDIRECT(ADDRESS(2,COLUMN())),OFFSET($BN$2,0,0,ROW()-1,60),ROW()-1,FALSE))</f>
        <v>-5.452511254</v>
      </c>
      <c r="K639">
        <f ca="1">IF(AND(ISNUMBER($K$1296),$B$677=1),$K$1296,HLOOKUP(INDIRECT(ADDRESS(2,COLUMN())),OFFSET($BN$2,0,0,ROW()-1,60),ROW()-1,FALSE))</f>
        <v>-9.3565430989999996</v>
      </c>
      <c r="L639">
        <f ca="1">IF(AND(ISNUMBER($L$1296),$B$677=1),$L$1296,HLOOKUP(INDIRECT(ADDRESS(2,COLUMN())),OFFSET($BN$2,0,0,ROW()-1,60),ROW()-1,FALSE))</f>
        <v>-1.071564186</v>
      </c>
      <c r="M639">
        <f ca="1">IF(AND(ISNUMBER($M$1296),$B$677=1),$M$1296,HLOOKUP(INDIRECT(ADDRESS(2,COLUMN())),OFFSET($BN$2,0,0,ROW()-1,60),ROW()-1,FALSE))</f>
        <v>3.887841216</v>
      </c>
      <c r="N639">
        <f ca="1">IF(AND(ISNUMBER($N$1296),$B$677=1),$N$1296,HLOOKUP(INDIRECT(ADDRESS(2,COLUMN())),OFFSET($BN$2,0,0,ROW()-1,60),ROW()-1,FALSE))</f>
        <v>-4.8358509520000004</v>
      </c>
      <c r="O639">
        <f ca="1">IF(AND(ISNUMBER($O$1296),$B$677=1),$O$1296,HLOOKUP(INDIRECT(ADDRESS(2,COLUMN())),OFFSET($BN$2,0,0,ROW()-1,60),ROW()-1,FALSE))</f>
        <v>0.51595078800000005</v>
      </c>
      <c r="P639">
        <f ca="1">IF(AND(ISNUMBER($P$1296),$B$677=1),$P$1296,HLOOKUP(INDIRECT(ADDRESS(2,COLUMN())),OFFSET($BN$2,0,0,ROW()-1,60),ROW()-1,FALSE))</f>
        <v>1.634068922</v>
      </c>
      <c r="Q639">
        <f ca="1">IF(AND(ISNUMBER($Q$1296),$B$677=1),$Q$1296,HLOOKUP(INDIRECT(ADDRESS(2,COLUMN())),OFFSET($BN$2,0,0,ROW()-1,60),ROW()-1,FALSE))</f>
        <v>1.1985760080000001</v>
      </c>
      <c r="R639">
        <f ca="1">IF(AND(ISNUMBER($R$1296),$B$677=1),$R$1296,HLOOKUP(INDIRECT(ADDRESS(2,COLUMN())),OFFSET($BN$2,0,0,ROW()-1,60),ROW()-1,FALSE))</f>
        <v>2.4110585090000001</v>
      </c>
      <c r="S639">
        <f ca="1">IF(AND(ISNUMBER($S$1296),$B$677=1),$S$1296,HLOOKUP(INDIRECT(ADDRESS(2,COLUMN())),OFFSET($BN$2,0,0,ROW()-1,60),ROW()-1,FALSE))</f>
        <v>3.6678857589999998</v>
      </c>
      <c r="T639">
        <f ca="1">IF(AND(ISNUMBER($T$1296),$B$677=1),$T$1296,HLOOKUP(INDIRECT(ADDRESS(2,COLUMN())),OFFSET($BN$2,0,0,ROW()-1,60),ROW()-1,FALSE))</f>
        <v>3.9487104990000002</v>
      </c>
      <c r="U639">
        <f ca="1">IF(AND(ISNUMBER($U$1296),$B$677=1),$U$1296,HLOOKUP(INDIRECT(ADDRESS(2,COLUMN())),OFFSET($BN$2,0,0,ROW()-1,60),ROW()-1,FALSE))</f>
        <v>0.73683358499999996</v>
      </c>
      <c r="V639">
        <f ca="1">IF(AND(ISNUMBER($V$1296),$B$677=1),$V$1296,HLOOKUP(INDIRECT(ADDRESS(2,COLUMN())),OFFSET($BN$2,0,0,ROW()-1,60),ROW()-1,FALSE))</f>
        <v>-2.235922907</v>
      </c>
      <c r="W639">
        <f ca="1">IF(AND(ISNUMBER($W$1296),$B$677=1),$W$1296,HLOOKUP(INDIRECT(ADDRESS(2,COLUMN())),OFFSET($BN$2,0,0,ROW()-1,60),ROW()-1,FALSE))</f>
        <v>-3.0230016860000002</v>
      </c>
      <c r="X639">
        <f ca="1">IF(AND(ISNUMBER($X$1296),$B$677=1),$X$1296,HLOOKUP(INDIRECT(ADDRESS(2,COLUMN())),OFFSET($BN$2,0,0,ROW()-1,60),ROW()-1,FALSE))</f>
        <v>-3.0872656589999998</v>
      </c>
      <c r="Y639">
        <f ca="1">IF(AND(ISNUMBER($Y$1296),$B$677=1),$Y$1296,HLOOKUP(INDIRECT(ADDRESS(2,COLUMN())),OFFSET($BN$2,0,0,ROW()-1,60),ROW()-1,FALSE))</f>
        <v>-1.1000494780000001</v>
      </c>
      <c r="Z639">
        <f ca="1">IF(AND(ISNUMBER($Z$1296),$B$677=1),$Z$1296,HLOOKUP(INDIRECT(ADDRESS(2,COLUMN())),OFFSET($BN$2,0,0,ROW()-1,60),ROW()-1,FALSE))</f>
        <v>1.578839659</v>
      </c>
      <c r="AA639">
        <f ca="1">IF(AND(ISNUMBER($AA$1296),$B$677=1),$AA$1296,HLOOKUP(INDIRECT(ADDRESS(2,COLUMN())),OFFSET($BN$2,0,0,ROW()-1,60),ROW()-1,FALSE))</f>
        <v>1.6670669760000001</v>
      </c>
      <c r="AB639">
        <f ca="1">IF(AND(ISNUMBER($AB$1296),$B$677=1),$AB$1296,HLOOKUP(INDIRECT(ADDRESS(2,COLUMN())),OFFSET($BN$2,0,0,ROW()-1,60),ROW()-1,FALSE))</f>
        <v>1.9140083539999999</v>
      </c>
      <c r="AC639">
        <f ca="1">IF(AND(ISNUMBER($AC$1296),$B$677=1),$AC$1296,HLOOKUP(INDIRECT(ADDRESS(2,COLUMN())),OFFSET($BN$2,0,0,ROW()-1,60),ROW()-1,FALSE))</f>
        <v>2.343336307</v>
      </c>
      <c r="AD639">
        <f ca="1">IF(AND(ISNUMBER($AD$1296),$B$677=1),$AD$1296,HLOOKUP(INDIRECT(ADDRESS(2,COLUMN())),OFFSET($BN$2,0,0,ROW()-1,60),ROW()-1,FALSE))</f>
        <v>-0.12514423299999999</v>
      </c>
      <c r="AE639">
        <f ca="1">IF(AND(ISNUMBER($AE$1296),$B$677=1),$AE$1296,HLOOKUP(INDIRECT(ADDRESS(2,COLUMN())),OFFSET($BN$2,0,0,ROW()-1,60),ROW()-1,FALSE))</f>
        <v>-1.4781207730000001</v>
      </c>
      <c r="AF639" t="str">
        <f ca="1">IF(AND(ISNUMBER($AF$1296),$B$677=1),$AF$1296,HLOOKUP(INDIRECT(ADDRESS(2,COLUMN())),OFFSET($BN$2,0,0,ROW()-1,60),ROW()-1,FALSE))</f>
        <v/>
      </c>
      <c r="AG639" t="str">
        <f ca="1">IF(AND(ISNUMBER($AG$1296),$B$677=1),$AG$1296,HLOOKUP(INDIRECT(ADDRESS(2,COLUMN())),OFFSET($BN$2,0,0,ROW()-1,60),ROW()-1,FALSE))</f>
        <v/>
      </c>
      <c r="AH639" t="str">
        <f ca="1">IF(AND(ISNUMBER($AH$1296),$B$677=1),$AH$1296,HLOOKUP(INDIRECT(ADDRESS(2,COLUMN())),OFFSET($BN$2,0,0,ROW()-1,60),ROW()-1,FALSE))</f>
        <v/>
      </c>
      <c r="AI639" t="str">
        <f ca="1">IF(AND(ISNUMBER($AI$1296),$B$677=1),$AI$1296,HLOOKUP(INDIRECT(ADDRESS(2,COLUMN())),OFFSET($BN$2,0,0,ROW()-1,60),ROW()-1,FALSE))</f>
        <v/>
      </c>
      <c r="AJ639" t="str">
        <f ca="1">IF(AND(ISNUMBER($AJ$1296),$B$677=1),$AJ$1296,HLOOKUP(INDIRECT(ADDRESS(2,COLUMN())),OFFSET($BN$2,0,0,ROW()-1,60),ROW()-1,FALSE))</f>
        <v/>
      </c>
      <c r="AK639" t="str">
        <f ca="1">IF(AND(ISNUMBER($AK$1296),$B$677=1),$AK$1296,HLOOKUP(INDIRECT(ADDRESS(2,COLUMN())),OFFSET($BN$2,0,0,ROW()-1,60),ROW()-1,FALSE))</f>
        <v/>
      </c>
      <c r="AL639" t="str">
        <f ca="1">IF(AND(ISNUMBER($AL$1296),$B$677=1),$AL$1296,HLOOKUP(INDIRECT(ADDRESS(2,COLUMN())),OFFSET($BN$2,0,0,ROW()-1,60),ROW()-1,FALSE))</f>
        <v/>
      </c>
      <c r="AM639" t="str">
        <f ca="1">IF(AND(ISNUMBER($AM$1296),$B$677=1),$AM$1296,HLOOKUP(INDIRECT(ADDRESS(2,COLUMN())),OFFSET($BN$2,0,0,ROW()-1,60),ROW()-1,FALSE))</f>
        <v/>
      </c>
      <c r="AN639" t="str">
        <f ca="1">IF(AND(ISNUMBER($AN$1296),$B$677=1),$AN$1296,HLOOKUP(INDIRECT(ADDRESS(2,COLUMN())),OFFSET($BN$2,0,0,ROW()-1,60),ROW()-1,FALSE))</f>
        <v/>
      </c>
      <c r="AO639" t="str">
        <f ca="1">IF(AND(ISNUMBER($AO$1296),$B$677=1),$AO$1296,HLOOKUP(INDIRECT(ADDRESS(2,COLUMN())),OFFSET($BN$2,0,0,ROW()-1,60),ROW()-1,FALSE))</f>
        <v/>
      </c>
      <c r="AP639" t="str">
        <f ca="1">IF(AND(ISNUMBER($AP$1296),$B$677=1),$AP$1296,HLOOKUP(INDIRECT(ADDRESS(2,COLUMN())),OFFSET($BN$2,0,0,ROW()-1,60),ROW()-1,FALSE))</f>
        <v/>
      </c>
      <c r="AQ639" t="str">
        <f ca="1">IF(AND(ISNUMBER($AQ$1296),$B$677=1),$AQ$1296,HLOOKUP(INDIRECT(ADDRESS(2,COLUMN())),OFFSET($BN$2,0,0,ROW()-1,60),ROW()-1,FALSE))</f>
        <v/>
      </c>
      <c r="AR639" t="str">
        <f ca="1">IF(AND(ISNUMBER($AR$1296),$B$677=1),$AR$1296,HLOOKUP(INDIRECT(ADDRESS(2,COLUMN())),OFFSET($BN$2,0,0,ROW()-1,60),ROW()-1,FALSE))</f>
        <v/>
      </c>
      <c r="AS639" t="str">
        <f ca="1">IF(AND(ISNUMBER($AS$1296),$B$677=1),$AS$1296,HLOOKUP(INDIRECT(ADDRESS(2,COLUMN())),OFFSET($BN$2,0,0,ROW()-1,60),ROW()-1,FALSE))</f>
        <v/>
      </c>
      <c r="AT639" t="str">
        <f ca="1">IF(AND(ISNUMBER($AT$1296),$B$677=1),$AT$1296,HLOOKUP(INDIRECT(ADDRESS(2,COLUMN())),OFFSET($BN$2,0,0,ROW()-1,60),ROW()-1,FALSE))</f>
        <v/>
      </c>
      <c r="AU639" t="str">
        <f ca="1">IF(AND(ISNUMBER($AU$1296),$B$677=1),$AU$1296,HLOOKUP(INDIRECT(ADDRESS(2,COLUMN())),OFFSET($BN$2,0,0,ROW()-1,60),ROW()-1,FALSE))</f>
        <v/>
      </c>
      <c r="AV639" t="str">
        <f ca="1">IF(AND(ISNUMBER($AV$1296),$B$677=1),$AV$1296,HLOOKUP(INDIRECT(ADDRESS(2,COLUMN())),OFFSET($BN$2,0,0,ROW()-1,60),ROW()-1,FALSE))</f>
        <v/>
      </c>
      <c r="AW639" t="str">
        <f ca="1">IF(AND(ISNUMBER($AW$1296),$B$677=1),$AW$1296,HLOOKUP(INDIRECT(ADDRESS(2,COLUMN())),OFFSET($BN$2,0,0,ROW()-1,60),ROW()-1,FALSE))</f>
        <v/>
      </c>
      <c r="AX639" t="str">
        <f ca="1">IF(AND(ISNUMBER($AX$1296),$B$677=1),$AX$1296,HLOOKUP(INDIRECT(ADDRESS(2,COLUMN())),OFFSET($BN$2,0,0,ROW()-1,60),ROW()-1,FALSE))</f>
        <v/>
      </c>
      <c r="AY639" t="str">
        <f ca="1">IF(AND(ISNUMBER($AY$1296),$B$677=1),$AY$1296,HLOOKUP(INDIRECT(ADDRESS(2,COLUMN())),OFFSET($BN$2,0,0,ROW()-1,60),ROW()-1,FALSE))</f>
        <v/>
      </c>
      <c r="AZ639" t="str">
        <f ca="1">IF(AND(ISNUMBER($AZ$1296),$B$677=1),$AZ$1296,HLOOKUP(INDIRECT(ADDRESS(2,COLUMN())),OFFSET($BN$2,0,0,ROW()-1,60),ROW()-1,FALSE))</f>
        <v/>
      </c>
      <c r="BA639" t="str">
        <f ca="1">IF(AND(ISNUMBER($BA$1296),$B$677=1),$BA$1296,HLOOKUP(INDIRECT(ADDRESS(2,COLUMN())),OFFSET($BN$2,0,0,ROW()-1,60),ROW()-1,FALSE))</f>
        <v/>
      </c>
      <c r="BB639" t="str">
        <f ca="1">IF(AND(ISNUMBER($BB$1296),$B$677=1),$BB$1296,HLOOKUP(INDIRECT(ADDRESS(2,COLUMN())),OFFSET($BN$2,0,0,ROW()-1,60),ROW()-1,FALSE))</f>
        <v/>
      </c>
      <c r="BC639" t="str">
        <f ca="1">IF(AND(ISNUMBER($BC$1296),$B$677=1),$BC$1296,HLOOKUP(INDIRECT(ADDRESS(2,COLUMN())),OFFSET($BN$2,0,0,ROW()-1,60),ROW()-1,FALSE))</f>
        <v/>
      </c>
      <c r="BD639" t="str">
        <f ca="1">IF(AND(ISNUMBER($BD$1296),$B$677=1),$BD$1296,HLOOKUP(INDIRECT(ADDRESS(2,COLUMN())),OFFSET($BN$2,0,0,ROW()-1,60),ROW()-1,FALSE))</f>
        <v/>
      </c>
      <c r="BE639" t="str">
        <f ca="1">IF(AND(ISNUMBER($BE$1296),$B$677=1),$BE$1296,HLOOKUP(INDIRECT(ADDRESS(2,COLUMN())),OFFSET($BN$2,0,0,ROW()-1,60),ROW()-1,FALSE))</f>
        <v/>
      </c>
      <c r="BF639" t="str">
        <f ca="1">IF(AND(ISNUMBER($BF$1296),$B$677=1),$BF$1296,HLOOKUP(INDIRECT(ADDRESS(2,COLUMN())),OFFSET($BN$2,0,0,ROW()-1,60),ROW()-1,FALSE))</f>
        <v/>
      </c>
      <c r="BG639" t="str">
        <f ca="1">IF(AND(ISNUMBER($BG$1296),$B$677=1),$BG$1296,HLOOKUP(INDIRECT(ADDRESS(2,COLUMN())),OFFSET($BN$2,0,0,ROW()-1,60),ROW()-1,FALSE))</f>
        <v/>
      </c>
      <c r="BH639" t="str">
        <f ca="1">IF(AND(ISNUMBER($BH$1296),$B$677=1),$BH$1296,HLOOKUP(INDIRECT(ADDRESS(2,COLUMN())),OFFSET($BN$2,0,0,ROW()-1,60),ROW()-1,FALSE))</f>
        <v/>
      </c>
      <c r="BI639" t="str">
        <f ca="1">IF(AND(ISNUMBER($BI$1296),$B$677=1),$BI$1296,HLOOKUP(INDIRECT(ADDRESS(2,COLUMN())),OFFSET($BN$2,0,0,ROW()-1,60),ROW()-1,FALSE))</f>
        <v/>
      </c>
      <c r="BJ639" t="str">
        <f ca="1">IF(AND(ISNUMBER($BJ$1296),$B$677=1),$BJ$1296,HLOOKUP(INDIRECT(ADDRESS(2,COLUMN())),OFFSET($BN$2,0,0,ROW()-1,60),ROW()-1,FALSE))</f>
        <v/>
      </c>
      <c r="BK639" t="str">
        <f ca="1">IF(AND(ISNUMBER($BK$1296),$B$677=1),$BK$1296,HLOOKUP(INDIRECT(ADDRESS(2,COLUMN())),OFFSET($BN$2,0,0,ROW()-1,60),ROW()-1,FALSE))</f>
        <v/>
      </c>
      <c r="BL639" t="str">
        <f ca="1">IF(AND(ISNUMBER($BL$1296),$B$677=1),$BL$1296,HLOOKUP(INDIRECT(ADDRESS(2,COLUMN())),OFFSET($BN$2,0,0,ROW()-1,60),ROW()-1,FALSE))</f>
        <v/>
      </c>
      <c r="BM639" t="str">
        <f ca="1">IF(AND(ISNUMBER($BM$1296),$B$677=1),$BM$1296,HLOOKUP(INDIRECT(ADDRESS(2,COLUMN())),OFFSET($BN$2,0,0,ROW()-1,60),ROW()-1,FALSE))</f>
        <v/>
      </c>
      <c r="BN639">
        <f>0.254660442</f>
        <v>0.25466044199999999</v>
      </c>
      <c r="BO639">
        <f>0.370204867</f>
        <v>0.37020486699999999</v>
      </c>
      <c r="BP639">
        <f>0.278927161</f>
        <v>0.27892716099999998</v>
      </c>
      <c r="BQ639">
        <f>-3.454307803</f>
        <v>-3.4543078029999998</v>
      </c>
      <c r="BR639">
        <f>-5.452511254</f>
        <v>-5.452511254</v>
      </c>
      <c r="BS639">
        <f>-9.356543099</f>
        <v>-9.3565430989999996</v>
      </c>
      <c r="BT639">
        <f>-1.071564186</f>
        <v>-1.071564186</v>
      </c>
      <c r="BU639">
        <f>3.887841216</f>
        <v>3.887841216</v>
      </c>
      <c r="BV639">
        <f>-4.835850952</f>
        <v>-4.8358509520000004</v>
      </c>
      <c r="BW639">
        <f>0.515950788</f>
        <v>0.51595078800000005</v>
      </c>
      <c r="BX639">
        <f>1.634068922</f>
        <v>1.634068922</v>
      </c>
      <c r="BY639">
        <f>1.198576008</f>
        <v>1.1985760080000001</v>
      </c>
      <c r="BZ639">
        <f>2.411058509</f>
        <v>2.4110585090000001</v>
      </c>
      <c r="CA639">
        <f>3.667885759</f>
        <v>3.6678857589999998</v>
      </c>
      <c r="CB639">
        <f>3.948710499</f>
        <v>3.9487104990000002</v>
      </c>
      <c r="CC639">
        <f>0.736833585</f>
        <v>0.73683358499999996</v>
      </c>
      <c r="CD639">
        <f>-2.235922907</f>
        <v>-2.235922907</v>
      </c>
      <c r="CE639">
        <f>-3.023001686</f>
        <v>-3.0230016860000002</v>
      </c>
      <c r="CF639">
        <f>-3.087265659</f>
        <v>-3.0872656589999998</v>
      </c>
      <c r="CG639">
        <f>-1.100049478</f>
        <v>-1.1000494780000001</v>
      </c>
      <c r="CH639">
        <f>1.578839659</f>
        <v>1.578839659</v>
      </c>
      <c r="CI639">
        <f>1.667066976</f>
        <v>1.6670669760000001</v>
      </c>
      <c r="CJ639">
        <f>1.914008354</f>
        <v>1.9140083539999999</v>
      </c>
      <c r="CK639">
        <f>2.343336307</f>
        <v>2.343336307</v>
      </c>
      <c r="CL639">
        <f>-0.125144233</f>
        <v>-0.12514423299999999</v>
      </c>
      <c r="CM639">
        <f>-1.478120773</f>
        <v>-1.4781207730000001</v>
      </c>
      <c r="CN639" t="str">
        <f>""</f>
        <v/>
      </c>
      <c r="CO639" t="str">
        <f>""</f>
        <v/>
      </c>
      <c r="CP639" t="str">
        <f>""</f>
        <v/>
      </c>
      <c r="CQ639" t="str">
        <f>""</f>
        <v/>
      </c>
      <c r="CR639" t="str">
        <f>""</f>
        <v/>
      </c>
      <c r="CS639" t="str">
        <f>""</f>
        <v/>
      </c>
      <c r="CT639" t="str">
        <f>""</f>
        <v/>
      </c>
      <c r="CU639" t="str">
        <f>""</f>
        <v/>
      </c>
      <c r="CV639" t="str">
        <f>""</f>
        <v/>
      </c>
      <c r="CW639" t="str">
        <f>""</f>
        <v/>
      </c>
      <c r="CX639" t="str">
        <f>""</f>
        <v/>
      </c>
      <c r="CY639" t="str">
        <f>""</f>
        <v/>
      </c>
      <c r="CZ639" t="str">
        <f>""</f>
        <v/>
      </c>
      <c r="DA639" t="str">
        <f>""</f>
        <v/>
      </c>
      <c r="DB639" t="str">
        <f>""</f>
        <v/>
      </c>
      <c r="DC639" t="str">
        <f>""</f>
        <v/>
      </c>
      <c r="DD639" t="str">
        <f>""</f>
        <v/>
      </c>
      <c r="DE639" t="str">
        <f>""</f>
        <v/>
      </c>
      <c r="DF639" t="str">
        <f>""</f>
        <v/>
      </c>
      <c r="DG639" t="str">
        <f>""</f>
        <v/>
      </c>
      <c r="DH639" t="str">
        <f>""</f>
        <v/>
      </c>
      <c r="DI639" t="str">
        <f>""</f>
        <v/>
      </c>
      <c r="DJ639" t="str">
        <f>""</f>
        <v/>
      </c>
      <c r="DK639" t="str">
        <f>""</f>
        <v/>
      </c>
      <c r="DL639" t="str">
        <f>""</f>
        <v/>
      </c>
      <c r="DM639" t="str">
        <f>""</f>
        <v/>
      </c>
      <c r="DN639" t="str">
        <f>""</f>
        <v/>
      </c>
      <c r="DO639" t="str">
        <f>""</f>
        <v/>
      </c>
      <c r="DP639" t="str">
        <f>""</f>
        <v/>
      </c>
      <c r="DQ639" t="str">
        <f>""</f>
        <v/>
      </c>
      <c r="DR639" t="str">
        <f>""</f>
        <v/>
      </c>
      <c r="DS639" t="str">
        <f>""</f>
        <v/>
      </c>
      <c r="DT639" t="str">
        <f>""</f>
        <v/>
      </c>
      <c r="DU639" t="str">
        <f>""</f>
        <v/>
      </c>
    </row>
    <row r="640" spans="1:125" x14ac:dyDescent="0.25">
      <c r="A640" t="str">
        <f>"    Guangzhou Automobile Group Co Ltd"</f>
        <v xml:space="preserve">    Guangzhou Automobile Group Co Ltd</v>
      </c>
      <c r="B640" t="str">
        <f>"2238 HK Equity"</f>
        <v>2238 HK Equity</v>
      </c>
      <c r="C640" t="str">
        <f t="shared" si="45"/>
        <v>RX539</v>
      </c>
      <c r="D640" t="str">
        <f t="shared" si="46"/>
        <v>T12_FCF_YIELD</v>
      </c>
      <c r="E640" t="str">
        <f t="shared" si="47"/>
        <v>Dynamic</v>
      </c>
      <c r="F640">
        <f ca="1">IF(AND(ISNUMBER($F$1297),$B$677=1),$F$1297,HLOOKUP(INDIRECT(ADDRESS(2,COLUMN())),OFFSET($BN$2,0,0,ROW()-1,60),ROW()-1,FALSE))</f>
        <v>-0.75988037900000005</v>
      </c>
      <c r="G640">
        <f ca="1">IF(AND(ISNUMBER($G$1297),$B$677=1),$G$1297,HLOOKUP(INDIRECT(ADDRESS(2,COLUMN())),OFFSET($BN$2,0,0,ROW()-1,60),ROW()-1,FALSE))</f>
        <v>-0.90821038399999998</v>
      </c>
      <c r="H640">
        <f ca="1">IF(AND(ISNUMBER($H$1297),$B$677=1),$H$1297,HLOOKUP(INDIRECT(ADDRESS(2,COLUMN())),OFFSET($BN$2,0,0,ROW()-1,60),ROW()-1,FALSE))</f>
        <v>-0.84096652800000005</v>
      </c>
      <c r="I640">
        <f ca="1">IF(AND(ISNUMBER($I$1297),$B$677=1),$I$1297,HLOOKUP(INDIRECT(ADDRESS(2,COLUMN())),OFFSET($BN$2,0,0,ROW()-1,60),ROW()-1,FALSE))</f>
        <v>2.7023791400000001</v>
      </c>
      <c r="J640">
        <f ca="1">IF(AND(ISNUMBER($J$1297),$B$677=1),$J$1297,HLOOKUP(INDIRECT(ADDRESS(2,COLUMN())),OFFSET($BN$2,0,0,ROW()-1,60),ROW()-1,FALSE))</f>
        <v>4.2264905019999999</v>
      </c>
      <c r="K640">
        <f ca="1">IF(AND(ISNUMBER($K$1297),$B$677=1),$K$1297,HLOOKUP(INDIRECT(ADDRESS(2,COLUMN())),OFFSET($BN$2,0,0,ROW()-1,60),ROW()-1,FALSE))</f>
        <v>7.1979307439999998</v>
      </c>
      <c r="L640">
        <f ca="1">IF(AND(ISNUMBER($L$1297),$B$677=1),$L$1297,HLOOKUP(INDIRECT(ADDRESS(2,COLUMN())),OFFSET($BN$2,0,0,ROW()-1,60),ROW()-1,FALSE))</f>
        <v>1.2623960359999999</v>
      </c>
      <c r="M640">
        <f ca="1">IF(AND(ISNUMBER($M$1297),$B$677=1),$M$1297,HLOOKUP(INDIRECT(ADDRESS(2,COLUMN())),OFFSET($BN$2,0,0,ROW()-1,60),ROW()-1,FALSE))</f>
        <v>3.6399176870000001</v>
      </c>
      <c r="N640">
        <f ca="1">IF(AND(ISNUMBER($N$1297),$B$677=1),$N$1297,HLOOKUP(INDIRECT(ADDRESS(2,COLUMN())),OFFSET($BN$2,0,0,ROW()-1,60),ROW()-1,FALSE))</f>
        <v>4.9819806509999998</v>
      </c>
      <c r="O640">
        <f ca="1">IF(AND(ISNUMBER($O$1297),$B$677=1),$O$1297,HLOOKUP(INDIRECT(ADDRESS(2,COLUMN())),OFFSET($BN$2,0,0,ROW()-1,60),ROW()-1,FALSE))</f>
        <v>4.0872227099999998</v>
      </c>
      <c r="P640">
        <f ca="1">IF(AND(ISNUMBER($P$1297),$B$677=1),$P$1297,HLOOKUP(INDIRECT(ADDRESS(2,COLUMN())),OFFSET($BN$2,0,0,ROW()-1,60),ROW()-1,FALSE))</f>
        <v>6.9693553159999997</v>
      </c>
      <c r="Q640">
        <f ca="1">IF(AND(ISNUMBER($Q$1297),$B$677=1),$Q$1297,HLOOKUP(INDIRECT(ADDRESS(2,COLUMN())),OFFSET($BN$2,0,0,ROW()-1,60),ROW()-1,FALSE))</f>
        <v>6.192117079</v>
      </c>
      <c r="R640">
        <f ca="1">IF(AND(ISNUMBER($R$1297),$B$677=1),$R$1297,HLOOKUP(INDIRECT(ADDRESS(2,COLUMN())),OFFSET($BN$2,0,0,ROW()-1,60),ROW()-1,FALSE))</f>
        <v>5.5963569990000002</v>
      </c>
      <c r="S640">
        <f ca="1">IF(AND(ISNUMBER($S$1297),$B$677=1),$S$1297,HLOOKUP(INDIRECT(ADDRESS(2,COLUMN())),OFFSET($BN$2,0,0,ROW()-1,60),ROW()-1,FALSE))</f>
        <v>4.1043040030000002</v>
      </c>
      <c r="T640">
        <f ca="1">IF(AND(ISNUMBER($T$1297),$B$677=1),$T$1297,HLOOKUP(INDIRECT(ADDRESS(2,COLUMN())),OFFSET($BN$2,0,0,ROW()-1,60),ROW()-1,FALSE))</f>
        <v>4.5006505890000001</v>
      </c>
      <c r="U640">
        <f ca="1">IF(AND(ISNUMBER($U$1297),$B$677=1),$U$1297,HLOOKUP(INDIRECT(ADDRESS(2,COLUMN())),OFFSET($BN$2,0,0,ROW()-1,60),ROW()-1,FALSE))</f>
        <v>2.3504132750000002</v>
      </c>
      <c r="V640">
        <f ca="1">IF(AND(ISNUMBER($V$1297),$B$677=1),$V$1297,HLOOKUP(INDIRECT(ADDRESS(2,COLUMN())),OFFSET($BN$2,0,0,ROW()-1,60),ROW()-1,FALSE))</f>
        <v>1.6264933749999999</v>
      </c>
      <c r="W640">
        <f ca="1">IF(AND(ISNUMBER($W$1297),$B$677=1),$W$1297,HLOOKUP(INDIRECT(ADDRESS(2,COLUMN())),OFFSET($BN$2,0,0,ROW()-1,60),ROW()-1,FALSE))</f>
        <v>2.5029899819999999</v>
      </c>
      <c r="X640">
        <f ca="1">IF(AND(ISNUMBER($X$1297),$B$677=1),$X$1297,HLOOKUP(INDIRECT(ADDRESS(2,COLUMN())),OFFSET($BN$2,0,0,ROW()-1,60),ROW()-1,FALSE))</f>
        <v>-1.0891442060000001</v>
      </c>
      <c r="Y640">
        <f ca="1">IF(AND(ISNUMBER($Y$1297),$B$677=1),$Y$1297,HLOOKUP(INDIRECT(ADDRESS(2,COLUMN())),OFFSET($BN$2,0,0,ROW()-1,60),ROW()-1,FALSE))</f>
        <v>0.31810285799999999</v>
      </c>
      <c r="Z640">
        <f ca="1">IF(AND(ISNUMBER($Z$1297),$B$677=1),$Z$1297,HLOOKUP(INDIRECT(ADDRESS(2,COLUMN())),OFFSET($BN$2,0,0,ROW()-1,60),ROW()-1,FALSE))</f>
        <v>2.2926373610000002</v>
      </c>
      <c r="AA640">
        <f ca="1">IF(AND(ISNUMBER($AA$1297),$B$677=1),$AA$1297,HLOOKUP(INDIRECT(ADDRESS(2,COLUMN())),OFFSET($BN$2,0,0,ROW()-1,60),ROW()-1,FALSE))</f>
        <v>3.5248767409999999</v>
      </c>
      <c r="AB640">
        <f ca="1">IF(AND(ISNUMBER($AB$1297),$B$677=1),$AB$1297,HLOOKUP(INDIRECT(ADDRESS(2,COLUMN())),OFFSET($BN$2,0,0,ROW()-1,60),ROW()-1,FALSE))</f>
        <v>5.0669081489999996</v>
      </c>
      <c r="AC640">
        <f ca="1">IF(AND(ISNUMBER($AC$1297),$B$677=1),$AC$1297,HLOOKUP(INDIRECT(ADDRESS(2,COLUMN())),OFFSET($BN$2,0,0,ROW()-1,60),ROW()-1,FALSE))</f>
        <v>4.7920099169999997</v>
      </c>
      <c r="AD640">
        <f ca="1">IF(AND(ISNUMBER($AD$1297),$B$677=1),$AD$1297,HLOOKUP(INDIRECT(ADDRESS(2,COLUMN())),OFFSET($BN$2,0,0,ROW()-1,60),ROW()-1,FALSE))</f>
        <v>4.2128056279999999</v>
      </c>
      <c r="AE640">
        <f ca="1">IF(AND(ISNUMBER($AE$1297),$B$677=1),$AE$1297,HLOOKUP(INDIRECT(ADDRESS(2,COLUMN())),OFFSET($BN$2,0,0,ROW()-1,60),ROW()-1,FALSE))</f>
        <v>3.1188893160000002</v>
      </c>
      <c r="AF640">
        <f ca="1">IF(AND(ISNUMBER($AF$1297),$B$677=1),$AF$1297,HLOOKUP(INDIRECT(ADDRESS(2,COLUMN())),OFFSET($BN$2,0,0,ROW()-1,60),ROW()-1,FALSE))</f>
        <v>8.4391632130000005</v>
      </c>
      <c r="AG640">
        <f ca="1">IF(AND(ISNUMBER($AG$1297),$B$677=1),$AG$1297,HLOOKUP(INDIRECT(ADDRESS(2,COLUMN())),OFFSET($BN$2,0,0,ROW()-1,60),ROW()-1,FALSE))</f>
        <v>4.8976057749999997</v>
      </c>
      <c r="AH640">
        <f ca="1">IF(AND(ISNUMBER($AH$1297),$B$677=1),$AH$1297,HLOOKUP(INDIRECT(ADDRESS(2,COLUMN())),OFFSET($BN$2,0,0,ROW()-1,60),ROW()-1,FALSE))</f>
        <v>4.7966068929999999</v>
      </c>
      <c r="AI640">
        <f ca="1">IF(AND(ISNUMBER($AI$1297),$B$677=1),$AI$1297,HLOOKUP(INDIRECT(ADDRESS(2,COLUMN())),OFFSET($BN$2,0,0,ROW()-1,60),ROW()-1,FALSE))</f>
        <v>9.6536118959999992</v>
      </c>
      <c r="AJ640">
        <f ca="1">IF(AND(ISNUMBER($AJ$1297),$B$677=1),$AJ$1297,HLOOKUP(INDIRECT(ADDRESS(2,COLUMN())),OFFSET($BN$2,0,0,ROW()-1,60),ROW()-1,FALSE))</f>
        <v>2.447014679</v>
      </c>
      <c r="AK640">
        <f ca="1">IF(AND(ISNUMBER($AK$1297),$B$677=1),$AK$1297,HLOOKUP(INDIRECT(ADDRESS(2,COLUMN())),OFFSET($BN$2,0,0,ROW()-1,60),ROW()-1,FALSE))</f>
        <v>8.4131730349999998</v>
      </c>
      <c r="AL640">
        <f ca="1">IF(AND(ISNUMBER($AL$1297),$B$677=1),$AL$1297,HLOOKUP(INDIRECT(ADDRESS(2,COLUMN())),OFFSET($BN$2,0,0,ROW()-1,60),ROW()-1,FALSE))</f>
        <v>5.6243739350000004</v>
      </c>
      <c r="AM640">
        <f ca="1">IF(AND(ISNUMBER($AM$1297),$B$677=1),$AM$1297,HLOOKUP(INDIRECT(ADDRESS(2,COLUMN())),OFFSET($BN$2,0,0,ROW()-1,60),ROW()-1,FALSE))</f>
        <v>3.896275148</v>
      </c>
      <c r="AN640">
        <f ca="1">IF(AND(ISNUMBER($AN$1297),$B$677=1),$AN$1297,HLOOKUP(INDIRECT(ADDRESS(2,COLUMN())),OFFSET($BN$2,0,0,ROW()-1,60),ROW()-1,FALSE))</f>
        <v>7.2774300749999998</v>
      </c>
      <c r="AO640" t="str">
        <f ca="1">IF(AND(ISNUMBER($AO$1297),$B$677=1),$AO$1297,HLOOKUP(INDIRECT(ADDRESS(2,COLUMN())),OFFSET($BN$2,0,0,ROW()-1,60),ROW()-1,FALSE))</f>
        <v/>
      </c>
      <c r="AP640" t="str">
        <f ca="1">IF(AND(ISNUMBER($AP$1297),$B$677=1),$AP$1297,HLOOKUP(INDIRECT(ADDRESS(2,COLUMN())),OFFSET($BN$2,0,0,ROW()-1,60),ROW()-1,FALSE))</f>
        <v/>
      </c>
      <c r="AQ640" t="str">
        <f ca="1">IF(AND(ISNUMBER($AQ$1297),$B$677=1),$AQ$1297,HLOOKUP(INDIRECT(ADDRESS(2,COLUMN())),OFFSET($BN$2,0,0,ROW()-1,60),ROW()-1,FALSE))</f>
        <v/>
      </c>
      <c r="AR640" t="str">
        <f ca="1">IF(AND(ISNUMBER($AR$1297),$B$677=1),$AR$1297,HLOOKUP(INDIRECT(ADDRESS(2,COLUMN())),OFFSET($BN$2,0,0,ROW()-1,60),ROW()-1,FALSE))</f>
        <v/>
      </c>
      <c r="AS640" t="str">
        <f ca="1">IF(AND(ISNUMBER($AS$1297),$B$677=1),$AS$1297,HLOOKUP(INDIRECT(ADDRESS(2,COLUMN())),OFFSET($BN$2,0,0,ROW()-1,60),ROW()-1,FALSE))</f>
        <v/>
      </c>
      <c r="AT640" t="str">
        <f ca="1">IF(AND(ISNUMBER($AT$1297),$B$677=1),$AT$1297,HLOOKUP(INDIRECT(ADDRESS(2,COLUMN())),OFFSET($BN$2,0,0,ROW()-1,60),ROW()-1,FALSE))</f>
        <v/>
      </c>
      <c r="AU640" t="str">
        <f ca="1">IF(AND(ISNUMBER($AU$1297),$B$677=1),$AU$1297,HLOOKUP(INDIRECT(ADDRESS(2,COLUMN())),OFFSET($BN$2,0,0,ROW()-1,60),ROW()-1,FALSE))</f>
        <v/>
      </c>
      <c r="AV640" t="str">
        <f ca="1">IF(AND(ISNUMBER($AV$1297),$B$677=1),$AV$1297,HLOOKUP(INDIRECT(ADDRESS(2,COLUMN())),OFFSET($BN$2,0,0,ROW()-1,60),ROW()-1,FALSE))</f>
        <v/>
      </c>
      <c r="AW640" t="str">
        <f ca="1">IF(AND(ISNUMBER($AW$1297),$B$677=1),$AW$1297,HLOOKUP(INDIRECT(ADDRESS(2,COLUMN())),OFFSET($BN$2,0,0,ROW()-1,60),ROW()-1,FALSE))</f>
        <v/>
      </c>
      <c r="AX640" t="str">
        <f ca="1">IF(AND(ISNUMBER($AX$1297),$B$677=1),$AX$1297,HLOOKUP(INDIRECT(ADDRESS(2,COLUMN())),OFFSET($BN$2,0,0,ROW()-1,60),ROW()-1,FALSE))</f>
        <v/>
      </c>
      <c r="AY640" t="str">
        <f ca="1">IF(AND(ISNUMBER($AY$1297),$B$677=1),$AY$1297,HLOOKUP(INDIRECT(ADDRESS(2,COLUMN())),OFFSET($BN$2,0,0,ROW()-1,60),ROW()-1,FALSE))</f>
        <v/>
      </c>
      <c r="AZ640" t="str">
        <f ca="1">IF(AND(ISNUMBER($AZ$1297),$B$677=1),$AZ$1297,HLOOKUP(INDIRECT(ADDRESS(2,COLUMN())),OFFSET($BN$2,0,0,ROW()-1,60),ROW()-1,FALSE))</f>
        <v/>
      </c>
      <c r="BA640" t="str">
        <f ca="1">IF(AND(ISNUMBER($BA$1297),$B$677=1),$BA$1297,HLOOKUP(INDIRECT(ADDRESS(2,COLUMN())),OFFSET($BN$2,0,0,ROW()-1,60),ROW()-1,FALSE))</f>
        <v/>
      </c>
      <c r="BB640" t="str">
        <f ca="1">IF(AND(ISNUMBER($BB$1297),$B$677=1),$BB$1297,HLOOKUP(INDIRECT(ADDRESS(2,COLUMN())),OFFSET($BN$2,0,0,ROW()-1,60),ROW()-1,FALSE))</f>
        <v/>
      </c>
      <c r="BC640" t="str">
        <f ca="1">IF(AND(ISNUMBER($BC$1297),$B$677=1),$BC$1297,HLOOKUP(INDIRECT(ADDRESS(2,COLUMN())),OFFSET($BN$2,0,0,ROW()-1,60),ROW()-1,FALSE))</f>
        <v/>
      </c>
      <c r="BD640" t="str">
        <f ca="1">IF(AND(ISNUMBER($BD$1297),$B$677=1),$BD$1297,HLOOKUP(INDIRECT(ADDRESS(2,COLUMN())),OFFSET($BN$2,0,0,ROW()-1,60),ROW()-1,FALSE))</f>
        <v/>
      </c>
      <c r="BE640" t="str">
        <f ca="1">IF(AND(ISNUMBER($BE$1297),$B$677=1),$BE$1297,HLOOKUP(INDIRECT(ADDRESS(2,COLUMN())),OFFSET($BN$2,0,0,ROW()-1,60),ROW()-1,FALSE))</f>
        <v/>
      </c>
      <c r="BF640" t="str">
        <f ca="1">IF(AND(ISNUMBER($BF$1297),$B$677=1),$BF$1297,HLOOKUP(INDIRECT(ADDRESS(2,COLUMN())),OFFSET($BN$2,0,0,ROW()-1,60),ROW()-1,FALSE))</f>
        <v/>
      </c>
      <c r="BG640" t="str">
        <f ca="1">IF(AND(ISNUMBER($BG$1297),$B$677=1),$BG$1297,HLOOKUP(INDIRECT(ADDRESS(2,COLUMN())),OFFSET($BN$2,0,0,ROW()-1,60),ROW()-1,FALSE))</f>
        <v/>
      </c>
      <c r="BH640" t="str">
        <f ca="1">IF(AND(ISNUMBER($BH$1297),$B$677=1),$BH$1297,HLOOKUP(INDIRECT(ADDRESS(2,COLUMN())),OFFSET($BN$2,0,0,ROW()-1,60),ROW()-1,FALSE))</f>
        <v/>
      </c>
      <c r="BI640" t="str">
        <f ca="1">IF(AND(ISNUMBER($BI$1297),$B$677=1),$BI$1297,HLOOKUP(INDIRECT(ADDRESS(2,COLUMN())),OFFSET($BN$2,0,0,ROW()-1,60),ROW()-1,FALSE))</f>
        <v/>
      </c>
      <c r="BJ640" t="str">
        <f ca="1">IF(AND(ISNUMBER($BJ$1297),$B$677=1),$BJ$1297,HLOOKUP(INDIRECT(ADDRESS(2,COLUMN())),OFFSET($BN$2,0,0,ROW()-1,60),ROW()-1,FALSE))</f>
        <v/>
      </c>
      <c r="BK640" t="str">
        <f ca="1">IF(AND(ISNUMBER($BK$1297),$B$677=1),$BK$1297,HLOOKUP(INDIRECT(ADDRESS(2,COLUMN())),OFFSET($BN$2,0,0,ROW()-1,60),ROW()-1,FALSE))</f>
        <v/>
      </c>
      <c r="BL640" t="str">
        <f ca="1">IF(AND(ISNUMBER($BL$1297),$B$677=1),$BL$1297,HLOOKUP(INDIRECT(ADDRESS(2,COLUMN())),OFFSET($BN$2,0,0,ROW()-1,60),ROW()-1,FALSE))</f>
        <v/>
      </c>
      <c r="BM640" t="str">
        <f ca="1">IF(AND(ISNUMBER($BM$1297),$B$677=1),$BM$1297,HLOOKUP(INDIRECT(ADDRESS(2,COLUMN())),OFFSET($BN$2,0,0,ROW()-1,60),ROW()-1,FALSE))</f>
        <v/>
      </c>
      <c r="BN640">
        <f>-0.759880379</f>
        <v>-0.75988037900000005</v>
      </c>
      <c r="BO640">
        <f>-0.908210384</f>
        <v>-0.90821038399999998</v>
      </c>
      <c r="BP640">
        <f>-0.840966528</f>
        <v>-0.84096652800000005</v>
      </c>
      <c r="BQ640">
        <f>2.70237914</f>
        <v>2.7023791400000001</v>
      </c>
      <c r="BR640">
        <f>4.226490502</f>
        <v>4.2264905019999999</v>
      </c>
      <c r="BS640">
        <f>7.197930744</f>
        <v>7.1979307439999998</v>
      </c>
      <c r="BT640">
        <f>1.262396036</f>
        <v>1.2623960359999999</v>
      </c>
      <c r="BU640">
        <f>3.639917687</f>
        <v>3.6399176870000001</v>
      </c>
      <c r="BV640">
        <f>4.981980651</f>
        <v>4.9819806509999998</v>
      </c>
      <c r="BW640">
        <f>4.08722271</f>
        <v>4.0872227099999998</v>
      </c>
      <c r="BX640">
        <f>6.969355316</f>
        <v>6.9693553159999997</v>
      </c>
      <c r="BY640">
        <f>6.192117079</f>
        <v>6.192117079</v>
      </c>
      <c r="BZ640">
        <f>5.596356999</f>
        <v>5.5963569990000002</v>
      </c>
      <c r="CA640">
        <f>4.104304003</f>
        <v>4.1043040030000002</v>
      </c>
      <c r="CB640">
        <f>4.500650589</f>
        <v>4.5006505890000001</v>
      </c>
      <c r="CC640">
        <f>2.350413275</f>
        <v>2.3504132750000002</v>
      </c>
      <c r="CD640">
        <f>1.626493375</f>
        <v>1.6264933749999999</v>
      </c>
      <c r="CE640">
        <f>2.502989982</f>
        <v>2.5029899819999999</v>
      </c>
      <c r="CF640">
        <f>-1.089144206</f>
        <v>-1.0891442060000001</v>
      </c>
      <c r="CG640">
        <f>0.318102858</f>
        <v>0.31810285799999999</v>
      </c>
      <c r="CH640">
        <f>2.292637361</f>
        <v>2.2926373610000002</v>
      </c>
      <c r="CI640">
        <f>3.524876741</f>
        <v>3.5248767409999999</v>
      </c>
      <c r="CJ640">
        <f>5.066908149</f>
        <v>5.0669081489999996</v>
      </c>
      <c r="CK640">
        <f>4.792009917</f>
        <v>4.7920099169999997</v>
      </c>
      <c r="CL640">
        <f>4.212805628</f>
        <v>4.2128056279999999</v>
      </c>
      <c r="CM640">
        <f>3.118889316</f>
        <v>3.1188893160000002</v>
      </c>
      <c r="CN640">
        <f>8.439163213</f>
        <v>8.4391632130000005</v>
      </c>
      <c r="CO640">
        <f>4.897605775</f>
        <v>4.8976057749999997</v>
      </c>
      <c r="CP640">
        <f>4.796606893</f>
        <v>4.7966068929999999</v>
      </c>
      <c r="CQ640">
        <f>9.653611896</f>
        <v>9.6536118959999992</v>
      </c>
      <c r="CR640">
        <f>2.447014679</f>
        <v>2.447014679</v>
      </c>
      <c r="CS640">
        <f>8.413173035</f>
        <v>8.4131730349999998</v>
      </c>
      <c r="CT640">
        <f>5.624373935</f>
        <v>5.6243739350000004</v>
      </c>
      <c r="CU640">
        <f>3.896275148</f>
        <v>3.896275148</v>
      </c>
      <c r="CV640">
        <f>7.277430075</f>
        <v>7.2774300749999998</v>
      </c>
      <c r="CW640" t="str">
        <f>""</f>
        <v/>
      </c>
      <c r="CX640" t="str">
        <f>""</f>
        <v/>
      </c>
      <c r="CY640" t="str">
        <f>""</f>
        <v/>
      </c>
      <c r="CZ640" t="str">
        <f>""</f>
        <v/>
      </c>
      <c r="DA640" t="str">
        <f>""</f>
        <v/>
      </c>
      <c r="DB640" t="str">
        <f>""</f>
        <v/>
      </c>
      <c r="DC640" t="str">
        <f>""</f>
        <v/>
      </c>
      <c r="DD640" t="str">
        <f>""</f>
        <v/>
      </c>
      <c r="DE640" t="str">
        <f>""</f>
        <v/>
      </c>
      <c r="DF640" t="str">
        <f>""</f>
        <v/>
      </c>
      <c r="DG640" t="str">
        <f>""</f>
        <v/>
      </c>
      <c r="DH640" t="str">
        <f>""</f>
        <v/>
      </c>
      <c r="DI640" t="str">
        <f>""</f>
        <v/>
      </c>
      <c r="DJ640" t="str">
        <f>""</f>
        <v/>
      </c>
      <c r="DK640" t="str">
        <f>""</f>
        <v/>
      </c>
      <c r="DL640" t="str">
        <f>""</f>
        <v/>
      </c>
      <c r="DM640" t="str">
        <f>""</f>
        <v/>
      </c>
      <c r="DN640" t="str">
        <f>""</f>
        <v/>
      </c>
      <c r="DO640" t="str">
        <f>""</f>
        <v/>
      </c>
      <c r="DP640" t="str">
        <f>""</f>
        <v/>
      </c>
      <c r="DQ640" t="str">
        <f>""</f>
        <v/>
      </c>
      <c r="DR640" t="str">
        <f>""</f>
        <v/>
      </c>
      <c r="DS640" t="str">
        <f>""</f>
        <v/>
      </c>
      <c r="DT640" t="str">
        <f>""</f>
        <v/>
      </c>
      <c r="DU640" t="str">
        <f>""</f>
        <v/>
      </c>
    </row>
    <row r="641" spans="1:125" x14ac:dyDescent="0.25">
      <c r="A641" t="str">
        <f>"    Honda Motor Co Ltd"</f>
        <v xml:space="preserve">    Honda Motor Co Ltd</v>
      </c>
      <c r="B641" t="str">
        <f>"7267 JP Equity"</f>
        <v>7267 JP Equity</v>
      </c>
      <c r="C641" t="str">
        <f t="shared" si="45"/>
        <v>RX539</v>
      </c>
      <c r="D641" t="str">
        <f t="shared" si="46"/>
        <v>T12_FCF_YIELD</v>
      </c>
      <c r="E641" t="str">
        <f t="shared" si="47"/>
        <v>Dynamic</v>
      </c>
      <c r="F641">
        <f ca="1">IF(AND(ISNUMBER($F$1298),$B$677=1),$F$1298,HLOOKUP(INDIRECT(ADDRESS(2,COLUMN())),OFFSET($BN$2,0,0,ROW()-1,60),ROW()-1,FALSE))</f>
        <v>7.94853816</v>
      </c>
      <c r="G641">
        <f ca="1">IF(AND(ISNUMBER($G$1298),$B$677=1),$G$1298,HLOOKUP(INDIRECT(ADDRESS(2,COLUMN())),OFFSET($BN$2,0,0,ROW()-1,60),ROW()-1,FALSE))</f>
        <v>8.5815103649999998</v>
      </c>
      <c r="H641">
        <f ca="1">IF(AND(ISNUMBER($H$1298),$B$677=1),$H$1298,HLOOKUP(INDIRECT(ADDRESS(2,COLUMN())),OFFSET($BN$2,0,0,ROW()-1,60),ROW()-1,FALSE))</f>
        <v>7.8568073480000002</v>
      </c>
      <c r="I641">
        <f ca="1">IF(AND(ISNUMBER($I$1298),$B$677=1),$I$1298,HLOOKUP(INDIRECT(ADDRESS(2,COLUMN())),OFFSET($BN$2,0,0,ROW()-1,60),ROW()-1,FALSE))</f>
        <v>10.006827769999999</v>
      </c>
      <c r="J641">
        <f ca="1">IF(AND(ISNUMBER($J$1298),$B$677=1),$J$1298,HLOOKUP(INDIRECT(ADDRESS(2,COLUMN())),OFFSET($BN$2,0,0,ROW()-1,60),ROW()-1,FALSE))</f>
        <v>8.62859482</v>
      </c>
      <c r="K641">
        <f ca="1">IF(AND(ISNUMBER($K$1298),$B$677=1),$K$1298,HLOOKUP(INDIRECT(ADDRESS(2,COLUMN())),OFFSET($BN$2,0,0,ROW()-1,60),ROW()-1,FALSE))</f>
        <v>8.8758487600000002</v>
      </c>
      <c r="L641">
        <f ca="1">IF(AND(ISNUMBER($L$1298),$B$677=1),$L$1298,HLOOKUP(INDIRECT(ADDRESS(2,COLUMN())),OFFSET($BN$2,0,0,ROW()-1,60),ROW()-1,FALSE))</f>
        <v>7.8552049979999996</v>
      </c>
      <c r="M641">
        <f ca="1">IF(AND(ISNUMBER($M$1298),$B$677=1),$M$1298,HLOOKUP(INDIRECT(ADDRESS(2,COLUMN())),OFFSET($BN$2,0,0,ROW()-1,60),ROW()-1,FALSE))</f>
        <v>7.2767247289999997</v>
      </c>
      <c r="N641">
        <f ca="1">IF(AND(ISNUMBER($N$1298),$B$677=1),$N$1298,HLOOKUP(INDIRECT(ADDRESS(2,COLUMN())),OFFSET($BN$2,0,0,ROW()-1,60),ROW()-1,FALSE))</f>
        <v>6.4404409579999999</v>
      </c>
      <c r="O641">
        <f ca="1">IF(AND(ISNUMBER($O$1298),$B$677=1),$O$1298,HLOOKUP(INDIRECT(ADDRESS(2,COLUMN())),OFFSET($BN$2,0,0,ROW()-1,60),ROW()-1,FALSE))</f>
        <v>5.7658967539999999</v>
      </c>
      <c r="P641">
        <f ca="1">IF(AND(ISNUMBER($P$1298),$B$677=1),$P$1298,HLOOKUP(INDIRECT(ADDRESS(2,COLUMN())),OFFSET($BN$2,0,0,ROW()-1,60),ROW()-1,FALSE))</f>
        <v>10.2678335</v>
      </c>
      <c r="Q641">
        <f ca="1">IF(AND(ISNUMBER($Q$1298),$B$677=1),$Q$1298,HLOOKUP(INDIRECT(ADDRESS(2,COLUMN())),OFFSET($BN$2,0,0,ROW()-1,60),ROW()-1,FALSE))</f>
        <v>12.14886656</v>
      </c>
      <c r="R641">
        <f ca="1">IF(AND(ISNUMBER($R$1298),$B$677=1),$R$1298,HLOOKUP(INDIRECT(ADDRESS(2,COLUMN())),OFFSET($BN$2,0,0,ROW()-1,60),ROW()-1,FALSE))</f>
        <v>13.520747269999999</v>
      </c>
      <c r="S641">
        <f ca="1">IF(AND(ISNUMBER($S$1298),$B$677=1),$S$1298,HLOOKUP(INDIRECT(ADDRESS(2,COLUMN())),OFFSET($BN$2,0,0,ROW()-1,60),ROW()-1,FALSE))</f>
        <v>10.46833183</v>
      </c>
      <c r="T641">
        <f ca="1">IF(AND(ISNUMBER($T$1298),$B$677=1),$T$1298,HLOOKUP(INDIRECT(ADDRESS(2,COLUMN())),OFFSET($BN$2,0,0,ROW()-1,60),ROW()-1,FALSE))</f>
        <v>11.32559923</v>
      </c>
      <c r="U641">
        <f ca="1">IF(AND(ISNUMBER($U$1298),$B$677=1),$U$1298,HLOOKUP(INDIRECT(ADDRESS(2,COLUMN())),OFFSET($BN$2,0,0,ROW()-1,60),ROW()-1,FALSE))</f>
        <v>8.9564149969999995</v>
      </c>
      <c r="V641">
        <f ca="1">IF(AND(ISNUMBER($V$1298),$B$677=1),$V$1298,HLOOKUP(INDIRECT(ADDRESS(2,COLUMN())),OFFSET($BN$2,0,0,ROW()-1,60),ROW()-1,FALSE))</f>
        <v>5.2826551589999999</v>
      </c>
      <c r="W641">
        <f ca="1">IF(AND(ISNUMBER($W$1298),$B$677=1),$W$1298,HLOOKUP(INDIRECT(ADDRESS(2,COLUMN())),OFFSET($BN$2,0,0,ROW()-1,60),ROW()-1,FALSE))</f>
        <v>3.2739601010000001</v>
      </c>
      <c r="X641">
        <f ca="1">IF(AND(ISNUMBER($X$1298),$B$677=1),$X$1298,HLOOKUP(INDIRECT(ADDRESS(2,COLUMN())),OFFSET($BN$2,0,0,ROW()-1,60),ROW()-1,FALSE))</f>
        <v>2.5821435990000001</v>
      </c>
      <c r="Y641">
        <f ca="1">IF(AND(ISNUMBER($Y$1298),$B$677=1),$Y$1298,HLOOKUP(INDIRECT(ADDRESS(2,COLUMN())),OFFSET($BN$2,0,0,ROW()-1,60),ROW()-1,FALSE))</f>
        <v>5.4337720950000001</v>
      </c>
      <c r="Z641">
        <f ca="1">IF(AND(ISNUMBER($Z$1298),$B$677=1),$Z$1298,HLOOKUP(INDIRECT(ADDRESS(2,COLUMN())),OFFSET($BN$2,0,0,ROW()-1,60),ROW()-1,FALSE))</f>
        <v>7.3245890869999997</v>
      </c>
      <c r="AA641">
        <f ca="1">IF(AND(ISNUMBER($AA$1298),$B$677=1),$AA$1298,HLOOKUP(INDIRECT(ADDRESS(2,COLUMN())),OFFSET($BN$2,0,0,ROW()-1,60),ROW()-1,FALSE))</f>
        <v>6.1273781229999997</v>
      </c>
      <c r="AB641">
        <f ca="1">IF(AND(ISNUMBER($AB$1298),$B$677=1),$AB$1298,HLOOKUP(INDIRECT(ADDRESS(2,COLUMN())),OFFSET($BN$2,0,0,ROW()-1,60),ROW()-1,FALSE))</f>
        <v>7.2258016239999998</v>
      </c>
      <c r="AC641">
        <f ca="1">IF(AND(ISNUMBER($AC$1298),$B$677=1),$AC$1298,HLOOKUP(INDIRECT(ADDRESS(2,COLUMN())),OFFSET($BN$2,0,0,ROW()-1,60),ROW()-1,FALSE))</f>
        <v>3.396316578</v>
      </c>
      <c r="AD641">
        <f ca="1">IF(AND(ISNUMBER($AD$1298),$B$677=1),$AD$1298,HLOOKUP(INDIRECT(ADDRESS(2,COLUMN())),OFFSET($BN$2,0,0,ROW()-1,60),ROW()-1,FALSE))</f>
        <v>2.6999231369999999</v>
      </c>
      <c r="AE641">
        <f ca="1">IF(AND(ISNUMBER($AE$1298),$B$677=1),$AE$1298,HLOOKUP(INDIRECT(ADDRESS(2,COLUMN())),OFFSET($BN$2,0,0,ROW()-1,60),ROW()-1,FALSE))</f>
        <v>2.5359744989999999</v>
      </c>
      <c r="AF641">
        <f ca="1">IF(AND(ISNUMBER($AF$1298),$B$677=1),$AF$1298,HLOOKUP(INDIRECT(ADDRESS(2,COLUMN())),OFFSET($BN$2,0,0,ROW()-1,60),ROW()-1,FALSE))</f>
        <v>0.51001916000000003</v>
      </c>
      <c r="AG641">
        <f ca="1">IF(AND(ISNUMBER($AG$1298),$B$677=1),$AG$1298,HLOOKUP(INDIRECT(ADDRESS(2,COLUMN())),OFFSET($BN$2,0,0,ROW()-1,60),ROW()-1,FALSE))</f>
        <v>5.0750092699999998</v>
      </c>
      <c r="AH641">
        <f ca="1">IF(AND(ISNUMBER($AH$1298),$B$677=1),$AH$1298,HLOOKUP(INDIRECT(ADDRESS(2,COLUMN())),OFFSET($BN$2,0,0,ROW()-1,60),ROW()-1,FALSE))</f>
        <v>5.971817712</v>
      </c>
      <c r="AI641">
        <f ca="1">IF(AND(ISNUMBER($AI$1298),$B$677=1),$AI$1298,HLOOKUP(INDIRECT(ADDRESS(2,COLUMN())),OFFSET($BN$2,0,0,ROW()-1,60),ROW()-1,FALSE))</f>
        <v>10.775236599999999</v>
      </c>
      <c r="AJ641">
        <f ca="1">IF(AND(ISNUMBER($AJ$1298),$B$677=1),$AJ$1298,HLOOKUP(INDIRECT(ADDRESS(2,COLUMN())),OFFSET($BN$2,0,0,ROW()-1,60),ROW()-1,FALSE))</f>
        <v>13.22993087</v>
      </c>
      <c r="AK641">
        <f ca="1">IF(AND(ISNUMBER($AK$1298),$B$677=1),$AK$1298,HLOOKUP(INDIRECT(ADDRESS(2,COLUMN())),OFFSET($BN$2,0,0,ROW()-1,60),ROW()-1,FALSE))</f>
        <v>10.66015788</v>
      </c>
      <c r="AL641">
        <f ca="1">IF(AND(ISNUMBER($AL$1298),$B$677=1),$AL$1298,HLOOKUP(INDIRECT(ADDRESS(2,COLUMN())),OFFSET($BN$2,0,0,ROW()-1,60),ROW()-1,FALSE))</f>
        <v>13.289737049999999</v>
      </c>
      <c r="AM641">
        <f ca="1">IF(AND(ISNUMBER($AM$1298),$B$677=1),$AM$1298,HLOOKUP(INDIRECT(ADDRESS(2,COLUMN())),OFFSET($BN$2,0,0,ROW()-1,60),ROW()-1,FALSE))</f>
        <v>13.81645904</v>
      </c>
      <c r="AN641">
        <f ca="1">IF(AND(ISNUMBER($AN$1298),$B$677=1),$AN$1298,HLOOKUP(INDIRECT(ADDRESS(2,COLUMN())),OFFSET($BN$2,0,0,ROW()-1,60),ROW()-1,FALSE))</f>
        <v>17.306569069999998</v>
      </c>
      <c r="AO641">
        <f ca="1">IF(AND(ISNUMBER($AO$1298),$B$677=1),$AO$1298,HLOOKUP(INDIRECT(ADDRESS(2,COLUMN())),OFFSET($BN$2,0,0,ROW()-1,60),ROW()-1,FALSE))</f>
        <v>24.331626669999999</v>
      </c>
      <c r="AP641">
        <f ca="1">IF(AND(ISNUMBER($AP$1298),$B$677=1),$AP$1298,HLOOKUP(INDIRECT(ADDRESS(2,COLUMN())),OFFSET($BN$2,0,0,ROW()-1,60),ROW()-1,FALSE))</f>
        <v>19.02379238</v>
      </c>
      <c r="AQ641">
        <f ca="1">IF(AND(ISNUMBER($AQ$1298),$B$677=1),$AQ$1298,HLOOKUP(INDIRECT(ADDRESS(2,COLUMN())),OFFSET($BN$2,0,0,ROW()-1,60),ROW()-1,FALSE))</f>
        <v>12.942903449999999</v>
      </c>
      <c r="AR641">
        <f ca="1">IF(AND(ISNUMBER($AR$1298),$B$677=1),$AR$1298,HLOOKUP(INDIRECT(ADDRESS(2,COLUMN())),OFFSET($BN$2,0,0,ROW()-1,60),ROW()-1,FALSE))</f>
        <v>6.8226395039999996</v>
      </c>
      <c r="AS641">
        <f ca="1">IF(AND(ISNUMBER($AS$1298),$B$677=1),$AS$1298,HLOOKUP(INDIRECT(ADDRESS(2,COLUMN())),OFFSET($BN$2,0,0,ROW()-1,60),ROW()-1,FALSE))</f>
        <v>-2.5976083069999998</v>
      </c>
      <c r="AT641">
        <f ca="1">IF(AND(ISNUMBER($AT$1298),$B$677=1),$AT$1298,HLOOKUP(INDIRECT(ADDRESS(2,COLUMN())),OFFSET($BN$2,0,0,ROW()-1,60),ROW()-1,FALSE))</f>
        <v>-5.922105685</v>
      </c>
      <c r="AU641">
        <f ca="1">IF(AND(ISNUMBER($AU$1298),$B$677=1),$AU$1298,HLOOKUP(INDIRECT(ADDRESS(2,COLUMN())),OFFSET($BN$2,0,0,ROW()-1,60),ROW()-1,FALSE))</f>
        <v>-1.9413911850000001</v>
      </c>
      <c r="AV641">
        <f ca="1">IF(AND(ISNUMBER($AV$1298),$B$677=1),$AV$1298,HLOOKUP(INDIRECT(ADDRESS(2,COLUMN())),OFFSET($BN$2,0,0,ROW()-1,60),ROW()-1,FALSE))</f>
        <v>0.61460912899999998</v>
      </c>
      <c r="AW641">
        <f ca="1">IF(AND(ISNUMBER($AW$1298),$B$677=1),$AW$1298,HLOOKUP(INDIRECT(ADDRESS(2,COLUMN())),OFFSET($BN$2,0,0,ROW()-1,60),ROW()-1,FALSE))</f>
        <v>-0.53418538800000004</v>
      </c>
      <c r="AX641">
        <f ca="1">IF(AND(ISNUMBER($AX$1298),$B$677=1),$AX$1298,HLOOKUP(INDIRECT(ADDRESS(2,COLUMN())),OFFSET($BN$2,0,0,ROW()-1,60),ROW()-1,FALSE))</f>
        <v>-2.2905175070000001</v>
      </c>
      <c r="AY641">
        <f ca="1">IF(AND(ISNUMBER($AY$1298),$B$677=1),$AY$1298,HLOOKUP(INDIRECT(ADDRESS(2,COLUMN())),OFFSET($BN$2,0,0,ROW()-1,60),ROW()-1,FALSE))</f>
        <v>-2.1579638729999999</v>
      </c>
      <c r="AZ641">
        <f ca="1">IF(AND(ISNUMBER($AZ$1298),$B$677=1),$AZ$1298,HLOOKUP(INDIRECT(ADDRESS(2,COLUMN())),OFFSET($BN$2,0,0,ROW()-1,60),ROW()-1,FALSE))</f>
        <v>-3.0375700440000002</v>
      </c>
      <c r="BA641">
        <f ca="1">IF(AND(ISNUMBER($BA$1298),$B$677=1),$BA$1298,HLOOKUP(INDIRECT(ADDRESS(2,COLUMN())),OFFSET($BN$2,0,0,ROW()-1,60),ROW()-1,FALSE))</f>
        <v>-0.60958774599999999</v>
      </c>
      <c r="BB641">
        <f ca="1">IF(AND(ISNUMBER($BB$1298),$B$677=1),$BB$1298,HLOOKUP(INDIRECT(ADDRESS(2,COLUMN())),OFFSET($BN$2,0,0,ROW()-1,60),ROW()-1,FALSE))</f>
        <v>-0.79865860200000005</v>
      </c>
      <c r="BC641">
        <f ca="1">IF(AND(ISNUMBER($BC$1298),$B$677=1),$BC$1298,HLOOKUP(INDIRECT(ADDRESS(2,COLUMN())),OFFSET($BN$2,0,0,ROW()-1,60),ROW()-1,FALSE))</f>
        <v>1.024016005</v>
      </c>
      <c r="BD641">
        <f ca="1">IF(AND(ISNUMBER($BD$1298),$B$677=1),$BD$1298,HLOOKUP(INDIRECT(ADDRESS(2,COLUMN())),OFFSET($BN$2,0,0,ROW()-1,60),ROW()-1,FALSE))</f>
        <v>2.2841551920000001</v>
      </c>
      <c r="BE641">
        <f ca="1">IF(AND(ISNUMBER($BE$1298),$B$677=1),$BE$1298,HLOOKUP(INDIRECT(ADDRESS(2,COLUMN())),OFFSET($BN$2,0,0,ROW()-1,60),ROW()-1,FALSE))</f>
        <v>2.1470845700000001</v>
      </c>
      <c r="BF641">
        <f ca="1">IF(AND(ISNUMBER($BF$1298),$B$677=1),$BF$1298,HLOOKUP(INDIRECT(ADDRESS(2,COLUMN())),OFFSET($BN$2,0,0,ROW()-1,60),ROW()-1,FALSE))</f>
        <v>1.8035273999999999</v>
      </c>
      <c r="BG641">
        <f ca="1">IF(AND(ISNUMBER($BG$1298),$B$677=1),$BG$1298,HLOOKUP(INDIRECT(ADDRESS(2,COLUMN())),OFFSET($BN$2,0,0,ROW()-1,60),ROW()-1,FALSE))</f>
        <v>2.5371355470000001</v>
      </c>
      <c r="BH641">
        <f ca="1">IF(AND(ISNUMBER($BH$1298),$B$677=1),$BH$1298,HLOOKUP(INDIRECT(ADDRESS(2,COLUMN())),OFFSET($BN$2,0,0,ROW()-1,60),ROW()-1,FALSE))</f>
        <v>5.6542333070000002</v>
      </c>
      <c r="BI641">
        <f ca="1">IF(AND(ISNUMBER($BI$1298),$B$677=1),$BI$1298,HLOOKUP(INDIRECT(ADDRESS(2,COLUMN())),OFFSET($BN$2,0,0,ROW()-1,60),ROW()-1,FALSE))</f>
        <v>6.8697472050000004</v>
      </c>
      <c r="BJ641">
        <f ca="1">IF(AND(ISNUMBER($BJ$1298),$B$677=1),$BJ$1298,HLOOKUP(INDIRECT(ADDRESS(2,COLUMN())),OFFSET($BN$2,0,0,ROW()-1,60),ROW()-1,FALSE))</f>
        <v>7.4744300209999999</v>
      </c>
      <c r="BK641" t="str">
        <f ca="1">IF(AND(ISNUMBER($BK$1298),$B$677=1),$BK$1298,HLOOKUP(INDIRECT(ADDRESS(2,COLUMN())),OFFSET($BN$2,0,0,ROW()-1,60),ROW()-1,FALSE))</f>
        <v/>
      </c>
      <c r="BL641" t="str">
        <f ca="1">IF(AND(ISNUMBER($BL$1298),$B$677=1),$BL$1298,HLOOKUP(INDIRECT(ADDRESS(2,COLUMN())),OFFSET($BN$2,0,0,ROW()-1,60),ROW()-1,FALSE))</f>
        <v/>
      </c>
      <c r="BM641" t="str">
        <f ca="1">IF(AND(ISNUMBER($BM$1298),$B$677=1),$BM$1298,HLOOKUP(INDIRECT(ADDRESS(2,COLUMN())),OFFSET($BN$2,0,0,ROW()-1,60),ROW()-1,FALSE))</f>
        <v/>
      </c>
      <c r="BN641">
        <f>7.94853816</f>
        <v>7.94853816</v>
      </c>
      <c r="BO641">
        <f>8.581510365</f>
        <v>8.5815103649999998</v>
      </c>
      <c r="BP641">
        <f>7.856807348</f>
        <v>7.8568073480000002</v>
      </c>
      <c r="BQ641">
        <f>10.00682777</f>
        <v>10.006827769999999</v>
      </c>
      <c r="BR641">
        <f>8.62859482</f>
        <v>8.62859482</v>
      </c>
      <c r="BS641">
        <f>8.87584876</f>
        <v>8.8758487600000002</v>
      </c>
      <c r="BT641">
        <f>7.855204998</f>
        <v>7.8552049979999996</v>
      </c>
      <c r="BU641">
        <f>7.276724729</f>
        <v>7.2767247289999997</v>
      </c>
      <c r="BV641">
        <f>6.440440958</f>
        <v>6.4404409579999999</v>
      </c>
      <c r="BW641">
        <f>5.765896754</f>
        <v>5.7658967539999999</v>
      </c>
      <c r="BX641">
        <f>10.2678335</f>
        <v>10.2678335</v>
      </c>
      <c r="BY641">
        <f>12.14886656</f>
        <v>12.14886656</v>
      </c>
      <c r="BZ641">
        <f>13.52074727</f>
        <v>13.520747269999999</v>
      </c>
      <c r="CA641">
        <f>10.46833183</f>
        <v>10.46833183</v>
      </c>
      <c r="CB641">
        <f>11.32559923</f>
        <v>11.32559923</v>
      </c>
      <c r="CC641">
        <f>8.956414997</f>
        <v>8.9564149969999995</v>
      </c>
      <c r="CD641">
        <f>5.282655159</f>
        <v>5.2826551589999999</v>
      </c>
      <c r="CE641">
        <f>3.273960101</f>
        <v>3.2739601010000001</v>
      </c>
      <c r="CF641">
        <f>2.582143599</f>
        <v>2.5821435990000001</v>
      </c>
      <c r="CG641">
        <f>5.433772095</f>
        <v>5.4337720950000001</v>
      </c>
      <c r="CH641">
        <f>7.324589087</f>
        <v>7.3245890869999997</v>
      </c>
      <c r="CI641">
        <f>6.127378123</f>
        <v>6.1273781229999997</v>
      </c>
      <c r="CJ641">
        <f>7.225801624</f>
        <v>7.2258016239999998</v>
      </c>
      <c r="CK641">
        <f>3.396316578</f>
        <v>3.396316578</v>
      </c>
      <c r="CL641">
        <f>2.699923137</f>
        <v>2.6999231369999999</v>
      </c>
      <c r="CM641">
        <f>2.535974499</f>
        <v>2.5359744989999999</v>
      </c>
      <c r="CN641">
        <f>0.51001916</f>
        <v>0.51001916000000003</v>
      </c>
      <c r="CO641">
        <f>5.07500927</f>
        <v>5.0750092699999998</v>
      </c>
      <c r="CP641">
        <f>5.971817712</f>
        <v>5.971817712</v>
      </c>
      <c r="CQ641">
        <f>10.7752366</f>
        <v>10.775236599999999</v>
      </c>
      <c r="CR641">
        <f>13.22993087</f>
        <v>13.22993087</v>
      </c>
      <c r="CS641">
        <f>10.66015788</f>
        <v>10.66015788</v>
      </c>
      <c r="CT641">
        <f>13.28973705</f>
        <v>13.289737049999999</v>
      </c>
      <c r="CU641">
        <f>13.81645904</f>
        <v>13.81645904</v>
      </c>
      <c r="CV641">
        <f>17.30656907</f>
        <v>17.306569069999998</v>
      </c>
      <c r="CW641">
        <f>24.33162667</f>
        <v>24.331626669999999</v>
      </c>
      <c r="CX641">
        <f>19.02379238</f>
        <v>19.02379238</v>
      </c>
      <c r="CY641">
        <f>12.94290345</f>
        <v>12.942903449999999</v>
      </c>
      <c r="CZ641">
        <f>6.822639504</f>
        <v>6.8226395039999996</v>
      </c>
      <c r="DA641">
        <f>-2.597608307</f>
        <v>-2.5976083069999998</v>
      </c>
      <c r="DB641">
        <f>-5.922105685</f>
        <v>-5.922105685</v>
      </c>
      <c r="DC641">
        <f>-1.941391185</f>
        <v>-1.9413911850000001</v>
      </c>
      <c r="DD641">
        <f>0.614609129</f>
        <v>0.61460912899999998</v>
      </c>
      <c r="DE641">
        <f>-0.534185388</f>
        <v>-0.53418538800000004</v>
      </c>
      <c r="DF641">
        <f>-2.290517507</f>
        <v>-2.2905175070000001</v>
      </c>
      <c r="DG641">
        <f>-2.157963873</f>
        <v>-2.1579638729999999</v>
      </c>
      <c r="DH641">
        <f>-3.037570044</f>
        <v>-3.0375700440000002</v>
      </c>
      <c r="DI641">
        <f>-0.609587746</f>
        <v>-0.60958774599999999</v>
      </c>
      <c r="DJ641">
        <f>-0.798658602</f>
        <v>-0.79865860200000005</v>
      </c>
      <c r="DK641">
        <f>1.024016005</f>
        <v>1.024016005</v>
      </c>
      <c r="DL641">
        <f>2.284155192</f>
        <v>2.2841551920000001</v>
      </c>
      <c r="DM641">
        <f>2.14708457</f>
        <v>2.1470845700000001</v>
      </c>
      <c r="DN641">
        <f>1.8035274</f>
        <v>1.8035273999999999</v>
      </c>
      <c r="DO641">
        <f>2.537135547</f>
        <v>2.5371355470000001</v>
      </c>
      <c r="DP641">
        <f>5.654233307</f>
        <v>5.6542333070000002</v>
      </c>
      <c r="DQ641">
        <f>6.869747205</f>
        <v>6.8697472050000004</v>
      </c>
      <c r="DR641">
        <f>7.474430021</f>
        <v>7.4744300209999999</v>
      </c>
      <c r="DS641" t="str">
        <f>""</f>
        <v/>
      </c>
      <c r="DT641" t="str">
        <f>""</f>
        <v/>
      </c>
      <c r="DU641" t="str">
        <f>""</f>
        <v/>
      </c>
    </row>
    <row r="642" spans="1:125" x14ac:dyDescent="0.25">
      <c r="A642" t="str">
        <f>"    Hyundai Motor Co"</f>
        <v xml:space="preserve">    Hyundai Motor Co</v>
      </c>
      <c r="B642" t="str">
        <f>"005380 KS Equity"</f>
        <v>005380 KS Equity</v>
      </c>
      <c r="C642" t="str">
        <f t="shared" si="45"/>
        <v>RX539</v>
      </c>
      <c r="D642" t="str">
        <f t="shared" si="46"/>
        <v>T12_FCF_YIELD</v>
      </c>
      <c r="E642" t="str">
        <f t="shared" si="47"/>
        <v>Dynamic</v>
      </c>
      <c r="F642" t="str">
        <f ca="1">IF(AND(ISNUMBER($F$1299),$B$677=1),$F$1299,HLOOKUP(INDIRECT(ADDRESS(2,COLUMN())),OFFSET($BN$2,0,0,ROW()-1,60),ROW()-1,FALSE))</f>
        <v/>
      </c>
      <c r="G642">
        <f ca="1">IF(AND(ISNUMBER($G$1299),$B$677=1),$G$1299,HLOOKUP(INDIRECT(ADDRESS(2,COLUMN())),OFFSET($BN$2,0,0,ROW()-1,60),ROW()-1,FALSE))</f>
        <v>7.92839004</v>
      </c>
      <c r="H642">
        <f ca="1">IF(AND(ISNUMBER($H$1299),$B$677=1),$H$1299,HLOOKUP(INDIRECT(ADDRESS(2,COLUMN())),OFFSET($BN$2,0,0,ROW()-1,60),ROW()-1,FALSE))</f>
        <v>7.2549360600000004</v>
      </c>
      <c r="I642">
        <f ca="1">IF(AND(ISNUMBER($I$1299),$B$677=1),$I$1299,HLOOKUP(INDIRECT(ADDRESS(2,COLUMN())),OFFSET($BN$2,0,0,ROW()-1,60),ROW()-1,FALSE))</f>
        <v>5.5115667879999997</v>
      </c>
      <c r="J642">
        <f ca="1">IF(AND(ISNUMBER($J$1299),$B$677=1),$J$1299,HLOOKUP(INDIRECT(ADDRESS(2,COLUMN())),OFFSET($BN$2,0,0,ROW()-1,60),ROW()-1,FALSE))</f>
        <v>2.9703532469999998</v>
      </c>
      <c r="K642">
        <f ca="1">IF(AND(ISNUMBER($K$1299),$B$677=1),$K$1299,HLOOKUP(INDIRECT(ADDRESS(2,COLUMN())),OFFSET($BN$2,0,0,ROW()-1,60),ROW()-1,FALSE))</f>
        <v>2.5242112159999999</v>
      </c>
      <c r="L642">
        <f ca="1">IF(AND(ISNUMBER($L$1299),$B$677=1),$L$1299,HLOOKUP(INDIRECT(ADDRESS(2,COLUMN())),OFFSET($BN$2,0,0,ROW()-1,60),ROW()-1,FALSE))</f>
        <v>-0.73850711700000005</v>
      </c>
      <c r="M642">
        <f ca="1">IF(AND(ISNUMBER($M$1299),$B$677=1),$M$1299,HLOOKUP(INDIRECT(ADDRESS(2,COLUMN())),OFFSET($BN$2,0,0,ROW()-1,60),ROW()-1,FALSE))</f>
        <v>-0.50592732500000004</v>
      </c>
      <c r="N642">
        <f ca="1">IF(AND(ISNUMBER($N$1299),$B$677=1),$N$1299,HLOOKUP(INDIRECT(ADDRESS(2,COLUMN())),OFFSET($BN$2,0,0,ROW()-1,60),ROW()-1,FALSE))</f>
        <v>0.17290824699999999</v>
      </c>
      <c r="O642">
        <f ca="1">IF(AND(ISNUMBER($O$1299),$B$677=1),$O$1299,HLOOKUP(INDIRECT(ADDRESS(2,COLUMN())),OFFSET($BN$2,0,0,ROW()-1,60),ROW()-1,FALSE))</f>
        <v>-6.1386025550000003</v>
      </c>
      <c r="P642">
        <f ca="1">IF(AND(ISNUMBER($P$1299),$B$677=1),$P$1299,HLOOKUP(INDIRECT(ADDRESS(2,COLUMN())),OFFSET($BN$2,0,0,ROW()-1,60),ROW()-1,FALSE))</f>
        <v>-11.61860253</v>
      </c>
      <c r="Q642">
        <f ca="1">IF(AND(ISNUMBER($Q$1299),$B$677=1),$Q$1299,HLOOKUP(INDIRECT(ADDRESS(2,COLUMN())),OFFSET($BN$2,0,0,ROW()-1,60),ROW()-1,FALSE))</f>
        <v>-19.78695192</v>
      </c>
      <c r="R642">
        <f ca="1">IF(AND(ISNUMBER($R$1299),$B$677=1),$R$1299,HLOOKUP(INDIRECT(ADDRESS(2,COLUMN())),OFFSET($BN$2,0,0,ROW()-1,60),ROW()-1,FALSE))</f>
        <v>-22.656460559999999</v>
      </c>
      <c r="S642">
        <f ca="1">IF(AND(ISNUMBER($S$1299),$B$677=1),$S$1299,HLOOKUP(INDIRECT(ADDRESS(2,COLUMN())),OFFSET($BN$2,0,0,ROW()-1,60),ROW()-1,FALSE))</f>
        <v>-21.00262979</v>
      </c>
      <c r="T642">
        <f ca="1">IF(AND(ISNUMBER($T$1299),$B$677=1),$T$1299,HLOOKUP(INDIRECT(ADDRESS(2,COLUMN())),OFFSET($BN$2,0,0,ROW()-1,60),ROW()-1,FALSE))</f>
        <v>-23.068587310000002</v>
      </c>
      <c r="U642">
        <f ca="1">IF(AND(ISNUMBER($U$1299),$B$677=1),$U$1299,HLOOKUP(INDIRECT(ADDRESS(2,COLUMN())),OFFSET($BN$2,0,0,ROW()-1,60),ROW()-1,FALSE))</f>
        <v>-20.420927930000001</v>
      </c>
      <c r="V642">
        <f ca="1">IF(AND(ISNUMBER($V$1299),$B$677=1),$V$1299,HLOOKUP(INDIRECT(ADDRESS(2,COLUMN())),OFFSET($BN$2,0,0,ROW()-1,60),ROW()-1,FALSE))</f>
        <v>-10.521967220000001</v>
      </c>
      <c r="W642">
        <f ca="1">IF(AND(ISNUMBER($W$1299),$B$677=1),$W$1299,HLOOKUP(INDIRECT(ADDRESS(2,COLUMN())),OFFSET($BN$2,0,0,ROW()-1,60),ROW()-1,FALSE))</f>
        <v>-3.3120400189999999</v>
      </c>
      <c r="X642">
        <f ca="1">IF(AND(ISNUMBER($X$1299),$B$677=1),$X$1299,HLOOKUP(INDIRECT(ADDRESS(2,COLUMN())),OFFSET($BN$2,0,0,ROW()-1,60),ROW()-1,FALSE))</f>
        <v>-4.9932954340000002</v>
      </c>
      <c r="Y642">
        <f ca="1">IF(AND(ISNUMBER($Y$1299),$B$677=1),$Y$1299,HLOOKUP(INDIRECT(ADDRESS(2,COLUMN())),OFFSET($BN$2,0,0,ROW()-1,60),ROW()-1,FALSE))</f>
        <v>-6.0204179</v>
      </c>
      <c r="Z642">
        <f ca="1">IF(AND(ISNUMBER($Z$1299),$B$677=1),$Z$1299,HLOOKUP(INDIRECT(ADDRESS(2,COLUMN())),OFFSET($BN$2,0,0,ROW()-1,60),ROW()-1,FALSE))</f>
        <v>-2.083920435</v>
      </c>
      <c r="AA642">
        <f ca="1">IF(AND(ISNUMBER($AA$1299),$B$677=1),$AA$1299,HLOOKUP(INDIRECT(ADDRESS(2,COLUMN())),OFFSET($BN$2,0,0,ROW()-1,60),ROW()-1,FALSE))</f>
        <v>-3.7673720209999999</v>
      </c>
      <c r="AB642">
        <f ca="1">IF(AND(ISNUMBER($AB$1299),$B$677=1),$AB$1299,HLOOKUP(INDIRECT(ADDRESS(2,COLUMN())),OFFSET($BN$2,0,0,ROW()-1,60),ROW()-1,FALSE))</f>
        <v>2.7436762520000002</v>
      </c>
      <c r="AC642">
        <f ca="1">IF(AND(ISNUMBER($AC$1299),$B$677=1),$AC$1299,HLOOKUP(INDIRECT(ADDRESS(2,COLUMN())),OFFSET($BN$2,0,0,ROW()-1,60),ROW()-1,FALSE))</f>
        <v>7.7226432709999999</v>
      </c>
      <c r="AD642">
        <f ca="1">IF(AND(ISNUMBER($AD$1299),$B$677=1),$AD$1299,HLOOKUP(INDIRECT(ADDRESS(2,COLUMN())),OFFSET($BN$2,0,0,ROW()-1,60),ROW()-1,FALSE))</f>
        <v>4.5256654589999998</v>
      </c>
      <c r="AE642">
        <f ca="1">IF(AND(ISNUMBER($AE$1299),$B$677=1),$AE$1299,HLOOKUP(INDIRECT(ADDRESS(2,COLUMN())),OFFSET($BN$2,0,0,ROW()-1,60),ROW()-1,FALSE))</f>
        <v>4.8610591449999996</v>
      </c>
      <c r="AF642">
        <f ca="1">IF(AND(ISNUMBER($AF$1299),$B$677=1),$AF$1299,HLOOKUP(INDIRECT(ADDRESS(2,COLUMN())),OFFSET($BN$2,0,0,ROW()-1,60),ROW()-1,FALSE))</f>
        <v>5.2392394360000001</v>
      </c>
      <c r="AG642">
        <f ca="1">IF(AND(ISNUMBER($AG$1299),$B$677=1),$AG$1299,HLOOKUP(INDIRECT(ADDRESS(2,COLUMN())),OFFSET($BN$2,0,0,ROW()-1,60),ROW()-1,FALSE))</f>
        <v>2.6825151190000001</v>
      </c>
      <c r="AH642">
        <f ca="1">IF(AND(ISNUMBER($AH$1299),$B$677=1),$AH$1299,HLOOKUP(INDIRECT(ADDRESS(2,COLUMN())),OFFSET($BN$2,0,0,ROW()-1,60),ROW()-1,FALSE))</f>
        <v>3.306071099</v>
      </c>
      <c r="AI642">
        <f ca="1">IF(AND(ISNUMBER($AI$1299),$B$677=1),$AI$1299,HLOOKUP(INDIRECT(ADDRESS(2,COLUMN())),OFFSET($BN$2,0,0,ROW()-1,60),ROW()-1,FALSE))</f>
        <v>2.6278154840000001</v>
      </c>
      <c r="AJ642">
        <f ca="1">IF(AND(ISNUMBER($AJ$1299),$B$677=1),$AJ$1299,HLOOKUP(INDIRECT(ADDRESS(2,COLUMN())),OFFSET($BN$2,0,0,ROW()-1,60),ROW()-1,FALSE))</f>
        <v>2.6917181939999999</v>
      </c>
      <c r="AK642">
        <f ca="1">IF(AND(ISNUMBER($AK$1299),$B$677=1),$AK$1299,HLOOKUP(INDIRECT(ADDRESS(2,COLUMN())),OFFSET($BN$2,0,0,ROW()-1,60),ROW()-1,FALSE))</f>
        <v>2.7348577000000001</v>
      </c>
      <c r="AL642">
        <f ca="1">IF(AND(ISNUMBER($AL$1299),$B$677=1),$AL$1299,HLOOKUP(INDIRECT(ADDRESS(2,COLUMN())),OFFSET($BN$2,0,0,ROW()-1,60),ROW()-1,FALSE))</f>
        <v>4.5366738599999996</v>
      </c>
      <c r="AM642">
        <f ca="1">IF(AND(ISNUMBER($AM$1299),$B$677=1),$AM$1299,HLOOKUP(INDIRECT(ADDRESS(2,COLUMN())),OFFSET($BN$2,0,0,ROW()-1,60),ROW()-1,FALSE))</f>
        <v>6.1006217349999998</v>
      </c>
      <c r="AN642" t="str">
        <f ca="1">IF(AND(ISNUMBER($AN$1299),$B$677=1),$AN$1299,HLOOKUP(INDIRECT(ADDRESS(2,COLUMN())),OFFSET($BN$2,0,0,ROW()-1,60),ROW()-1,FALSE))</f>
        <v/>
      </c>
      <c r="AO642" t="str">
        <f ca="1">IF(AND(ISNUMBER($AO$1299),$B$677=1),$AO$1299,HLOOKUP(INDIRECT(ADDRESS(2,COLUMN())),OFFSET($BN$2,0,0,ROW()-1,60),ROW()-1,FALSE))</f>
        <v/>
      </c>
      <c r="AP642" t="str">
        <f ca="1">IF(AND(ISNUMBER($AP$1299),$B$677=1),$AP$1299,HLOOKUP(INDIRECT(ADDRESS(2,COLUMN())),OFFSET($BN$2,0,0,ROW()-1,60),ROW()-1,FALSE))</f>
        <v/>
      </c>
      <c r="AQ642" t="str">
        <f ca="1">IF(AND(ISNUMBER($AQ$1299),$B$677=1),$AQ$1299,HLOOKUP(INDIRECT(ADDRESS(2,COLUMN())),OFFSET($BN$2,0,0,ROW()-1,60),ROW()-1,FALSE))</f>
        <v/>
      </c>
      <c r="AR642" t="str">
        <f ca="1">IF(AND(ISNUMBER($AR$1299),$B$677=1),$AR$1299,HLOOKUP(INDIRECT(ADDRESS(2,COLUMN())),OFFSET($BN$2,0,0,ROW()-1,60),ROW()-1,FALSE))</f>
        <v/>
      </c>
      <c r="AS642" t="str">
        <f ca="1">IF(AND(ISNUMBER($AS$1299),$B$677=1),$AS$1299,HLOOKUP(INDIRECT(ADDRESS(2,COLUMN())),OFFSET($BN$2,0,0,ROW()-1,60),ROW()-1,FALSE))</f>
        <v/>
      </c>
      <c r="AT642" t="str">
        <f ca="1">IF(AND(ISNUMBER($AT$1299),$B$677=1),$AT$1299,HLOOKUP(INDIRECT(ADDRESS(2,COLUMN())),OFFSET($BN$2,0,0,ROW()-1,60),ROW()-1,FALSE))</f>
        <v/>
      </c>
      <c r="AU642" t="str">
        <f ca="1">IF(AND(ISNUMBER($AU$1299),$B$677=1),$AU$1299,HLOOKUP(INDIRECT(ADDRESS(2,COLUMN())),OFFSET($BN$2,0,0,ROW()-1,60),ROW()-1,FALSE))</f>
        <v/>
      </c>
      <c r="AV642" t="str">
        <f ca="1">IF(AND(ISNUMBER($AV$1299),$B$677=1),$AV$1299,HLOOKUP(INDIRECT(ADDRESS(2,COLUMN())),OFFSET($BN$2,0,0,ROW()-1,60),ROW()-1,FALSE))</f>
        <v/>
      </c>
      <c r="AW642" t="str">
        <f ca="1">IF(AND(ISNUMBER($AW$1299),$B$677=1),$AW$1299,HLOOKUP(INDIRECT(ADDRESS(2,COLUMN())),OFFSET($BN$2,0,0,ROW()-1,60),ROW()-1,FALSE))</f>
        <v/>
      </c>
      <c r="AX642" t="str">
        <f ca="1">IF(AND(ISNUMBER($AX$1299),$B$677=1),$AX$1299,HLOOKUP(INDIRECT(ADDRESS(2,COLUMN())),OFFSET($BN$2,0,0,ROW()-1,60),ROW()-1,FALSE))</f>
        <v/>
      </c>
      <c r="AY642" t="str">
        <f ca="1">IF(AND(ISNUMBER($AY$1299),$B$677=1),$AY$1299,HLOOKUP(INDIRECT(ADDRESS(2,COLUMN())),OFFSET($BN$2,0,0,ROW()-1,60),ROW()-1,FALSE))</f>
        <v/>
      </c>
      <c r="AZ642" t="str">
        <f ca="1">IF(AND(ISNUMBER($AZ$1299),$B$677=1),$AZ$1299,HLOOKUP(INDIRECT(ADDRESS(2,COLUMN())),OFFSET($BN$2,0,0,ROW()-1,60),ROW()-1,FALSE))</f>
        <v/>
      </c>
      <c r="BA642" t="str">
        <f ca="1">IF(AND(ISNUMBER($BA$1299),$B$677=1),$BA$1299,HLOOKUP(INDIRECT(ADDRESS(2,COLUMN())),OFFSET($BN$2,0,0,ROW()-1,60),ROW()-1,FALSE))</f>
        <v/>
      </c>
      <c r="BB642" t="str">
        <f ca="1">IF(AND(ISNUMBER($BB$1299),$B$677=1),$BB$1299,HLOOKUP(INDIRECT(ADDRESS(2,COLUMN())),OFFSET($BN$2,0,0,ROW()-1,60),ROW()-1,FALSE))</f>
        <v/>
      </c>
      <c r="BC642" t="str">
        <f ca="1">IF(AND(ISNUMBER($BC$1299),$B$677=1),$BC$1299,HLOOKUP(INDIRECT(ADDRESS(2,COLUMN())),OFFSET($BN$2,0,0,ROW()-1,60),ROW()-1,FALSE))</f>
        <v/>
      </c>
      <c r="BD642" t="str">
        <f ca="1">IF(AND(ISNUMBER($BD$1299),$B$677=1),$BD$1299,HLOOKUP(INDIRECT(ADDRESS(2,COLUMN())),OFFSET($BN$2,0,0,ROW()-1,60),ROW()-1,FALSE))</f>
        <v/>
      </c>
      <c r="BE642" t="str">
        <f ca="1">IF(AND(ISNUMBER($BE$1299),$B$677=1),$BE$1299,HLOOKUP(INDIRECT(ADDRESS(2,COLUMN())),OFFSET($BN$2,0,0,ROW()-1,60),ROW()-1,FALSE))</f>
        <v/>
      </c>
      <c r="BF642" t="str">
        <f ca="1">IF(AND(ISNUMBER($BF$1299),$B$677=1),$BF$1299,HLOOKUP(INDIRECT(ADDRESS(2,COLUMN())),OFFSET($BN$2,0,0,ROW()-1,60),ROW()-1,FALSE))</f>
        <v/>
      </c>
      <c r="BG642" t="str">
        <f ca="1">IF(AND(ISNUMBER($BG$1299),$B$677=1),$BG$1299,HLOOKUP(INDIRECT(ADDRESS(2,COLUMN())),OFFSET($BN$2,0,0,ROW()-1,60),ROW()-1,FALSE))</f>
        <v/>
      </c>
      <c r="BH642" t="str">
        <f ca="1">IF(AND(ISNUMBER($BH$1299),$B$677=1),$BH$1299,HLOOKUP(INDIRECT(ADDRESS(2,COLUMN())),OFFSET($BN$2,0,0,ROW()-1,60),ROW()-1,FALSE))</f>
        <v/>
      </c>
      <c r="BI642" t="str">
        <f ca="1">IF(AND(ISNUMBER($BI$1299),$B$677=1),$BI$1299,HLOOKUP(INDIRECT(ADDRESS(2,COLUMN())),OFFSET($BN$2,0,0,ROW()-1,60),ROW()-1,FALSE))</f>
        <v/>
      </c>
      <c r="BJ642" t="str">
        <f ca="1">IF(AND(ISNUMBER($BJ$1299),$B$677=1),$BJ$1299,HLOOKUP(INDIRECT(ADDRESS(2,COLUMN())),OFFSET($BN$2,0,0,ROW()-1,60),ROW()-1,FALSE))</f>
        <v/>
      </c>
      <c r="BK642" t="str">
        <f ca="1">IF(AND(ISNUMBER($BK$1299),$B$677=1),$BK$1299,HLOOKUP(INDIRECT(ADDRESS(2,COLUMN())),OFFSET($BN$2,0,0,ROW()-1,60),ROW()-1,FALSE))</f>
        <v/>
      </c>
      <c r="BL642" t="str">
        <f ca="1">IF(AND(ISNUMBER($BL$1299),$B$677=1),$BL$1299,HLOOKUP(INDIRECT(ADDRESS(2,COLUMN())),OFFSET($BN$2,0,0,ROW()-1,60),ROW()-1,FALSE))</f>
        <v/>
      </c>
      <c r="BM642" t="str">
        <f ca="1">IF(AND(ISNUMBER($BM$1299),$B$677=1),$BM$1299,HLOOKUP(INDIRECT(ADDRESS(2,COLUMN())),OFFSET($BN$2,0,0,ROW()-1,60),ROW()-1,FALSE))</f>
        <v/>
      </c>
      <c r="BN642" t="str">
        <f>""</f>
        <v/>
      </c>
      <c r="BO642">
        <f>7.92839004</f>
        <v>7.92839004</v>
      </c>
      <c r="BP642">
        <f>7.25493606</f>
        <v>7.2549360600000004</v>
      </c>
      <c r="BQ642">
        <f>5.511566788</f>
        <v>5.5115667879999997</v>
      </c>
      <c r="BR642">
        <f>2.970353247</f>
        <v>2.9703532469999998</v>
      </c>
      <c r="BS642">
        <f>2.524211216</f>
        <v>2.5242112159999999</v>
      </c>
      <c r="BT642">
        <f>-0.738507117</f>
        <v>-0.73850711700000005</v>
      </c>
      <c r="BU642">
        <f>-0.505927325</f>
        <v>-0.50592732500000004</v>
      </c>
      <c r="BV642">
        <f>0.172908247</f>
        <v>0.17290824699999999</v>
      </c>
      <c r="BW642">
        <f>-6.138602555</f>
        <v>-6.1386025550000003</v>
      </c>
      <c r="BX642">
        <f>-11.61860253</f>
        <v>-11.61860253</v>
      </c>
      <c r="BY642">
        <f>-19.78695192</f>
        <v>-19.78695192</v>
      </c>
      <c r="BZ642">
        <f>-22.65646056</f>
        <v>-22.656460559999999</v>
      </c>
      <c r="CA642">
        <f>-21.00262979</f>
        <v>-21.00262979</v>
      </c>
      <c r="CB642">
        <f>-23.06858731</f>
        <v>-23.068587310000002</v>
      </c>
      <c r="CC642">
        <f>-20.42092793</f>
        <v>-20.420927930000001</v>
      </c>
      <c r="CD642">
        <f>-10.52196722</f>
        <v>-10.521967220000001</v>
      </c>
      <c r="CE642">
        <f>-3.312040019</f>
        <v>-3.3120400189999999</v>
      </c>
      <c r="CF642">
        <f>-4.993295434</f>
        <v>-4.9932954340000002</v>
      </c>
      <c r="CG642">
        <f>-6.0204179</f>
        <v>-6.0204179</v>
      </c>
      <c r="CH642">
        <f>-2.083920435</f>
        <v>-2.083920435</v>
      </c>
      <c r="CI642">
        <f>-3.767372021</f>
        <v>-3.7673720209999999</v>
      </c>
      <c r="CJ642">
        <f>2.743676252</f>
        <v>2.7436762520000002</v>
      </c>
      <c r="CK642">
        <f>7.722643271</f>
        <v>7.7226432709999999</v>
      </c>
      <c r="CL642">
        <f>4.525665459</f>
        <v>4.5256654589999998</v>
      </c>
      <c r="CM642">
        <f>4.861059145</f>
        <v>4.8610591449999996</v>
      </c>
      <c r="CN642">
        <f>5.239239436</f>
        <v>5.2392394360000001</v>
      </c>
      <c r="CO642">
        <f>2.682515119</f>
        <v>2.6825151190000001</v>
      </c>
      <c r="CP642">
        <f>3.306071099</f>
        <v>3.306071099</v>
      </c>
      <c r="CQ642">
        <f>2.627815484</f>
        <v>2.6278154840000001</v>
      </c>
      <c r="CR642">
        <f>2.691718194</f>
        <v>2.6917181939999999</v>
      </c>
      <c r="CS642">
        <f>2.7348577</f>
        <v>2.7348577000000001</v>
      </c>
      <c r="CT642">
        <f>4.53667386</f>
        <v>4.5366738599999996</v>
      </c>
      <c r="CU642">
        <f>6.100621735</f>
        <v>6.1006217349999998</v>
      </c>
      <c r="CV642" t="str">
        <f>""</f>
        <v/>
      </c>
      <c r="CW642" t="str">
        <f>""</f>
        <v/>
      </c>
      <c r="CX642" t="str">
        <f>""</f>
        <v/>
      </c>
      <c r="CY642" t="str">
        <f>""</f>
        <v/>
      </c>
      <c r="CZ642" t="str">
        <f>""</f>
        <v/>
      </c>
      <c r="DA642" t="str">
        <f>""</f>
        <v/>
      </c>
      <c r="DB642" t="str">
        <f>""</f>
        <v/>
      </c>
      <c r="DC642" t="str">
        <f>""</f>
        <v/>
      </c>
      <c r="DD642" t="str">
        <f>""</f>
        <v/>
      </c>
      <c r="DE642" t="str">
        <f>""</f>
        <v/>
      </c>
      <c r="DF642" t="str">
        <f>""</f>
        <v/>
      </c>
      <c r="DG642" t="str">
        <f>""</f>
        <v/>
      </c>
      <c r="DH642" t="str">
        <f>""</f>
        <v/>
      </c>
      <c r="DI642" t="str">
        <f>""</f>
        <v/>
      </c>
      <c r="DJ642" t="str">
        <f>""</f>
        <v/>
      </c>
      <c r="DK642" t="str">
        <f>""</f>
        <v/>
      </c>
      <c r="DL642" t="str">
        <f>""</f>
        <v/>
      </c>
      <c r="DM642" t="str">
        <f>""</f>
        <v/>
      </c>
      <c r="DN642" t="str">
        <f>""</f>
        <v/>
      </c>
      <c r="DO642" t="str">
        <f>""</f>
        <v/>
      </c>
      <c r="DP642" t="str">
        <f>""</f>
        <v/>
      </c>
      <c r="DQ642" t="str">
        <f>""</f>
        <v/>
      </c>
      <c r="DR642" t="str">
        <f>""</f>
        <v/>
      </c>
      <c r="DS642" t="str">
        <f>""</f>
        <v/>
      </c>
      <c r="DT642" t="str">
        <f>""</f>
        <v/>
      </c>
      <c r="DU642" t="str">
        <f>""</f>
        <v/>
      </c>
    </row>
    <row r="643" spans="1:125" x14ac:dyDescent="0.25">
      <c r="A643" t="str">
        <f>"    Kia Motors Corp"</f>
        <v xml:space="preserve">    Kia Motors Corp</v>
      </c>
      <c r="B643" t="str">
        <f>"000270 KS Equity"</f>
        <v>000270 KS Equity</v>
      </c>
      <c r="C643" t="str">
        <f t="shared" si="45"/>
        <v>RX539</v>
      </c>
      <c r="D643" t="str">
        <f t="shared" si="46"/>
        <v>T12_FCF_YIELD</v>
      </c>
      <c r="E643" t="str">
        <f t="shared" si="47"/>
        <v>Dynamic</v>
      </c>
      <c r="F643" t="str">
        <f ca="1">IF(AND(ISNUMBER($F$1300),$B$677=1),$F$1300,HLOOKUP(INDIRECT(ADDRESS(2,COLUMN())),OFFSET($BN$2,0,0,ROW()-1,60),ROW()-1,FALSE))</f>
        <v/>
      </c>
      <c r="G643">
        <f ca="1">IF(AND(ISNUMBER($G$1300),$B$677=1),$G$1300,HLOOKUP(INDIRECT(ADDRESS(2,COLUMN())),OFFSET($BN$2,0,0,ROW()-1,60),ROW()-1,FALSE))</f>
        <v>17.301076779999999</v>
      </c>
      <c r="H643">
        <f ca="1">IF(AND(ISNUMBER($H$1300),$B$677=1),$H$1300,HLOOKUP(INDIRECT(ADDRESS(2,COLUMN())),OFFSET($BN$2,0,0,ROW()-1,60),ROW()-1,FALSE))</f>
        <v>16.290615030000001</v>
      </c>
      <c r="I643">
        <f ca="1">IF(AND(ISNUMBER($I$1300),$B$677=1),$I$1300,HLOOKUP(INDIRECT(ADDRESS(2,COLUMN())),OFFSET($BN$2,0,0,ROW()-1,60),ROW()-1,FALSE))</f>
        <v>21.998520360000001</v>
      </c>
      <c r="J643">
        <f ca="1">IF(AND(ISNUMBER($J$1300),$B$677=1),$J$1300,HLOOKUP(INDIRECT(ADDRESS(2,COLUMN())),OFFSET($BN$2,0,0,ROW()-1,60),ROW()-1,FALSE))</f>
        <v>13.979445549999999</v>
      </c>
      <c r="K643">
        <f ca="1">IF(AND(ISNUMBER($K$1300),$B$677=1),$K$1300,HLOOKUP(INDIRECT(ADDRESS(2,COLUMN())),OFFSET($BN$2,0,0,ROW()-1,60),ROW()-1,FALSE))</f>
        <v>6.6622300719999998</v>
      </c>
      <c r="L643">
        <f ca="1">IF(AND(ISNUMBER($L$1300),$B$677=1),$L$1300,HLOOKUP(INDIRECT(ADDRESS(2,COLUMN())),OFFSET($BN$2,0,0,ROW()-1,60),ROW()-1,FALSE))</f>
        <v>6.4667121679999999</v>
      </c>
      <c r="M643">
        <f ca="1">IF(AND(ISNUMBER($M$1300),$B$677=1),$M$1300,HLOOKUP(INDIRECT(ADDRESS(2,COLUMN())),OFFSET($BN$2,0,0,ROW()-1,60),ROW()-1,FALSE))</f>
        <v>2.8381234420000001</v>
      </c>
      <c r="N643">
        <f ca="1">IF(AND(ISNUMBER($N$1300),$B$677=1),$N$1300,HLOOKUP(INDIRECT(ADDRESS(2,COLUMN())),OFFSET($BN$2,0,0,ROW()-1,60),ROW()-1,FALSE))</f>
        <v>16.092019260000001</v>
      </c>
      <c r="O643">
        <f ca="1">IF(AND(ISNUMBER($O$1300),$B$677=1),$O$1300,HLOOKUP(INDIRECT(ADDRESS(2,COLUMN())),OFFSET($BN$2,0,0,ROW()-1,60),ROW()-1,FALSE))</f>
        <v>10.78748495</v>
      </c>
      <c r="P643">
        <f ca="1">IF(AND(ISNUMBER($P$1300),$B$677=1),$P$1300,HLOOKUP(INDIRECT(ADDRESS(2,COLUMN())),OFFSET($BN$2,0,0,ROW()-1,60),ROW()-1,FALSE))</f>
        <v>11.32813795</v>
      </c>
      <c r="Q643">
        <f ca="1">IF(AND(ISNUMBER($Q$1300),$B$677=1),$Q$1300,HLOOKUP(INDIRECT(ADDRESS(2,COLUMN())),OFFSET($BN$2,0,0,ROW()-1,60),ROW()-1,FALSE))</f>
        <v>9.4417123469999993</v>
      </c>
      <c r="R643">
        <f ca="1">IF(AND(ISNUMBER($R$1300),$B$677=1),$R$1300,HLOOKUP(INDIRECT(ADDRESS(2,COLUMN())),OFFSET($BN$2,0,0,ROW()-1,60),ROW()-1,FALSE))</f>
        <v>-3.0603273259999999</v>
      </c>
      <c r="S643">
        <f ca="1">IF(AND(ISNUMBER($S$1300),$B$677=1),$S$1300,HLOOKUP(INDIRECT(ADDRESS(2,COLUMN())),OFFSET($BN$2,0,0,ROW()-1,60),ROW()-1,FALSE))</f>
        <v>-2.5295899629999998</v>
      </c>
      <c r="T643">
        <f ca="1">IF(AND(ISNUMBER($T$1300),$B$677=1),$T$1300,HLOOKUP(INDIRECT(ADDRESS(2,COLUMN())),OFFSET($BN$2,0,0,ROW()-1,60),ROW()-1,FALSE))</f>
        <v>5.9790655999999998E-2</v>
      </c>
      <c r="U643">
        <f ca="1">IF(AND(ISNUMBER($U$1300),$B$677=1),$U$1300,HLOOKUP(INDIRECT(ADDRESS(2,COLUMN())),OFFSET($BN$2,0,0,ROW()-1,60),ROW()-1,FALSE))</f>
        <v>1.186698697</v>
      </c>
      <c r="V643">
        <f ca="1">IF(AND(ISNUMBER($V$1300),$B$677=1),$V$1300,HLOOKUP(INDIRECT(ADDRESS(2,COLUMN())),OFFSET($BN$2,0,0,ROW()-1,60),ROW()-1,FALSE))</f>
        <v>9.1232474999999993E-2</v>
      </c>
      <c r="W643">
        <f ca="1">IF(AND(ISNUMBER($W$1300),$B$677=1),$W$1300,HLOOKUP(INDIRECT(ADDRESS(2,COLUMN())),OFFSET($BN$2,0,0,ROW()-1,60),ROW()-1,FALSE))</f>
        <v>4.4066360539999998</v>
      </c>
      <c r="X643">
        <f ca="1">IF(AND(ISNUMBER($X$1300),$B$677=1),$X$1300,HLOOKUP(INDIRECT(ADDRESS(2,COLUMN())),OFFSET($BN$2,0,0,ROW()-1,60),ROW()-1,FALSE))</f>
        <v>9.1182743160000008</v>
      </c>
      <c r="Y643">
        <f ca="1">IF(AND(ISNUMBER($Y$1300),$B$677=1),$Y$1300,HLOOKUP(INDIRECT(ADDRESS(2,COLUMN())),OFFSET($BN$2,0,0,ROW()-1,60),ROW()-1,FALSE))</f>
        <v>8.1364381950000002</v>
      </c>
      <c r="Z643">
        <f ca="1">IF(AND(ISNUMBER($Z$1300),$B$677=1),$Z$1300,HLOOKUP(INDIRECT(ADDRESS(2,COLUMN())),OFFSET($BN$2,0,0,ROW()-1,60),ROW()-1,FALSE))</f>
        <v>14.63786604</v>
      </c>
      <c r="AA643">
        <f ca="1">IF(AND(ISNUMBER($AA$1300),$B$677=1),$AA$1300,HLOOKUP(INDIRECT(ADDRESS(2,COLUMN())),OFFSET($BN$2,0,0,ROW()-1,60),ROW()-1,FALSE))</f>
        <v>15.761133470000001</v>
      </c>
      <c r="AB643">
        <f ca="1">IF(AND(ISNUMBER($AB$1300),$B$677=1),$AB$1300,HLOOKUP(INDIRECT(ADDRESS(2,COLUMN())),OFFSET($BN$2,0,0,ROW()-1,60),ROW()-1,FALSE))</f>
        <v>9.259724404</v>
      </c>
      <c r="AC643">
        <f ca="1">IF(AND(ISNUMBER($AC$1300),$B$677=1),$AC$1300,HLOOKUP(INDIRECT(ADDRESS(2,COLUMN())),OFFSET($BN$2,0,0,ROW()-1,60),ROW()-1,FALSE))</f>
        <v>10.60474818</v>
      </c>
      <c r="AD643">
        <f ca="1">IF(AND(ISNUMBER($AD$1300),$B$677=1),$AD$1300,HLOOKUP(INDIRECT(ADDRESS(2,COLUMN())),OFFSET($BN$2,0,0,ROW()-1,60),ROW()-1,FALSE))</f>
        <v>9.7152700169999999</v>
      </c>
      <c r="AE643">
        <f ca="1">IF(AND(ISNUMBER($AE$1300),$B$677=1),$AE$1300,HLOOKUP(INDIRECT(ADDRESS(2,COLUMN())),OFFSET($BN$2,0,0,ROW()-1,60),ROW()-1,FALSE))</f>
        <v>12.09785932</v>
      </c>
      <c r="AF643">
        <f ca="1">IF(AND(ISNUMBER($AF$1300),$B$677=1),$AF$1300,HLOOKUP(INDIRECT(ADDRESS(2,COLUMN())),OFFSET($BN$2,0,0,ROW()-1,60),ROW()-1,FALSE))</f>
        <v>13.0596192</v>
      </c>
      <c r="AG643">
        <f ca="1">IF(AND(ISNUMBER($AG$1300),$B$677=1),$AG$1300,HLOOKUP(INDIRECT(ADDRESS(2,COLUMN())),OFFSET($BN$2,0,0,ROW()-1,60),ROW()-1,FALSE))</f>
        <v>12.527466649999999</v>
      </c>
      <c r="AH643">
        <f ca="1">IF(AND(ISNUMBER($AH$1300),$B$677=1),$AH$1300,HLOOKUP(INDIRECT(ADDRESS(2,COLUMN())),OFFSET($BN$2,0,0,ROW()-1,60),ROW()-1,FALSE))</f>
        <v>11.05763359</v>
      </c>
      <c r="AI643">
        <f ca="1">IF(AND(ISNUMBER($AI$1300),$B$677=1),$AI$1300,HLOOKUP(INDIRECT(ADDRESS(2,COLUMN())),OFFSET($BN$2,0,0,ROW()-1,60),ROW()-1,FALSE))</f>
        <v>12.209996629999999</v>
      </c>
      <c r="AJ643">
        <f ca="1">IF(AND(ISNUMBER($AJ$1300),$B$677=1),$AJ$1300,HLOOKUP(INDIRECT(ADDRESS(2,COLUMN())),OFFSET($BN$2,0,0,ROW()-1,60),ROW()-1,FALSE))</f>
        <v>12.739164990000001</v>
      </c>
      <c r="AK643">
        <f ca="1">IF(AND(ISNUMBER($AK$1300),$B$677=1),$AK$1300,HLOOKUP(INDIRECT(ADDRESS(2,COLUMN())),OFFSET($BN$2,0,0,ROW()-1,60),ROW()-1,FALSE))</f>
        <v>13.20552563</v>
      </c>
      <c r="AL643">
        <f ca="1">IF(AND(ISNUMBER($AL$1300),$B$677=1),$AL$1300,HLOOKUP(INDIRECT(ADDRESS(2,COLUMN())),OFFSET($BN$2,0,0,ROW()-1,60),ROW()-1,FALSE))</f>
        <v>16.150883319999998</v>
      </c>
      <c r="AM643">
        <f ca="1">IF(AND(ISNUMBER($AM$1300),$B$677=1),$AM$1300,HLOOKUP(INDIRECT(ADDRESS(2,COLUMN())),OFFSET($BN$2,0,0,ROW()-1,60),ROW()-1,FALSE))</f>
        <v>21.698968780000001</v>
      </c>
      <c r="AN643" t="str">
        <f ca="1">IF(AND(ISNUMBER($AN$1300),$B$677=1),$AN$1300,HLOOKUP(INDIRECT(ADDRESS(2,COLUMN())),OFFSET($BN$2,0,0,ROW()-1,60),ROW()-1,FALSE))</f>
        <v/>
      </c>
      <c r="AO643" t="str">
        <f ca="1">IF(AND(ISNUMBER($AO$1300),$B$677=1),$AO$1300,HLOOKUP(INDIRECT(ADDRESS(2,COLUMN())),OFFSET($BN$2,0,0,ROW()-1,60),ROW()-1,FALSE))</f>
        <v/>
      </c>
      <c r="AP643" t="str">
        <f ca="1">IF(AND(ISNUMBER($AP$1300),$B$677=1),$AP$1300,HLOOKUP(INDIRECT(ADDRESS(2,COLUMN())),OFFSET($BN$2,0,0,ROW()-1,60),ROW()-1,FALSE))</f>
        <v/>
      </c>
      <c r="AQ643" t="str">
        <f ca="1">IF(AND(ISNUMBER($AQ$1300),$B$677=1),$AQ$1300,HLOOKUP(INDIRECT(ADDRESS(2,COLUMN())),OFFSET($BN$2,0,0,ROW()-1,60),ROW()-1,FALSE))</f>
        <v/>
      </c>
      <c r="AR643" t="str">
        <f ca="1">IF(AND(ISNUMBER($AR$1300),$B$677=1),$AR$1300,HLOOKUP(INDIRECT(ADDRESS(2,COLUMN())),OFFSET($BN$2,0,0,ROW()-1,60),ROW()-1,FALSE))</f>
        <v/>
      </c>
      <c r="AS643" t="str">
        <f ca="1">IF(AND(ISNUMBER($AS$1300),$B$677=1),$AS$1300,HLOOKUP(INDIRECT(ADDRESS(2,COLUMN())),OFFSET($BN$2,0,0,ROW()-1,60),ROW()-1,FALSE))</f>
        <v/>
      </c>
      <c r="AT643" t="str">
        <f ca="1">IF(AND(ISNUMBER($AT$1300),$B$677=1),$AT$1300,HLOOKUP(INDIRECT(ADDRESS(2,COLUMN())),OFFSET($BN$2,0,0,ROW()-1,60),ROW()-1,FALSE))</f>
        <v/>
      </c>
      <c r="AU643" t="str">
        <f ca="1">IF(AND(ISNUMBER($AU$1300),$B$677=1),$AU$1300,HLOOKUP(INDIRECT(ADDRESS(2,COLUMN())),OFFSET($BN$2,0,0,ROW()-1,60),ROW()-1,FALSE))</f>
        <v/>
      </c>
      <c r="AV643" t="str">
        <f ca="1">IF(AND(ISNUMBER($AV$1300),$B$677=1),$AV$1300,HLOOKUP(INDIRECT(ADDRESS(2,COLUMN())),OFFSET($BN$2,0,0,ROW()-1,60),ROW()-1,FALSE))</f>
        <v/>
      </c>
      <c r="AW643" t="str">
        <f ca="1">IF(AND(ISNUMBER($AW$1300),$B$677=1),$AW$1300,HLOOKUP(INDIRECT(ADDRESS(2,COLUMN())),OFFSET($BN$2,0,0,ROW()-1,60),ROW()-1,FALSE))</f>
        <v/>
      </c>
      <c r="AX643" t="str">
        <f ca="1">IF(AND(ISNUMBER($AX$1300),$B$677=1),$AX$1300,HLOOKUP(INDIRECT(ADDRESS(2,COLUMN())),OFFSET($BN$2,0,0,ROW()-1,60),ROW()-1,FALSE))</f>
        <v/>
      </c>
      <c r="AY643" t="str">
        <f ca="1">IF(AND(ISNUMBER($AY$1300),$B$677=1),$AY$1300,HLOOKUP(INDIRECT(ADDRESS(2,COLUMN())),OFFSET($BN$2,0,0,ROW()-1,60),ROW()-1,FALSE))</f>
        <v/>
      </c>
      <c r="AZ643" t="str">
        <f ca="1">IF(AND(ISNUMBER($AZ$1300),$B$677=1),$AZ$1300,HLOOKUP(INDIRECT(ADDRESS(2,COLUMN())),OFFSET($BN$2,0,0,ROW()-1,60),ROW()-1,FALSE))</f>
        <v/>
      </c>
      <c r="BA643" t="str">
        <f ca="1">IF(AND(ISNUMBER($BA$1300),$B$677=1),$BA$1300,HLOOKUP(INDIRECT(ADDRESS(2,COLUMN())),OFFSET($BN$2,0,0,ROW()-1,60),ROW()-1,FALSE))</f>
        <v/>
      </c>
      <c r="BB643" t="str">
        <f ca="1">IF(AND(ISNUMBER($BB$1300),$B$677=1),$BB$1300,HLOOKUP(INDIRECT(ADDRESS(2,COLUMN())),OFFSET($BN$2,0,0,ROW()-1,60),ROW()-1,FALSE))</f>
        <v/>
      </c>
      <c r="BC643" t="str">
        <f ca="1">IF(AND(ISNUMBER($BC$1300),$B$677=1),$BC$1300,HLOOKUP(INDIRECT(ADDRESS(2,COLUMN())),OFFSET($BN$2,0,0,ROW()-1,60),ROW()-1,FALSE))</f>
        <v/>
      </c>
      <c r="BD643" t="str">
        <f ca="1">IF(AND(ISNUMBER($BD$1300),$B$677=1),$BD$1300,HLOOKUP(INDIRECT(ADDRESS(2,COLUMN())),OFFSET($BN$2,0,0,ROW()-1,60),ROW()-1,FALSE))</f>
        <v/>
      </c>
      <c r="BE643" t="str">
        <f ca="1">IF(AND(ISNUMBER($BE$1300),$B$677=1),$BE$1300,HLOOKUP(INDIRECT(ADDRESS(2,COLUMN())),OFFSET($BN$2,0,0,ROW()-1,60),ROW()-1,FALSE))</f>
        <v/>
      </c>
      <c r="BF643" t="str">
        <f ca="1">IF(AND(ISNUMBER($BF$1300),$B$677=1),$BF$1300,HLOOKUP(INDIRECT(ADDRESS(2,COLUMN())),OFFSET($BN$2,0,0,ROW()-1,60),ROW()-1,FALSE))</f>
        <v/>
      </c>
      <c r="BG643" t="str">
        <f ca="1">IF(AND(ISNUMBER($BG$1300),$B$677=1),$BG$1300,HLOOKUP(INDIRECT(ADDRESS(2,COLUMN())),OFFSET($BN$2,0,0,ROW()-1,60),ROW()-1,FALSE))</f>
        <v/>
      </c>
      <c r="BH643" t="str">
        <f ca="1">IF(AND(ISNUMBER($BH$1300),$B$677=1),$BH$1300,HLOOKUP(INDIRECT(ADDRESS(2,COLUMN())),OFFSET($BN$2,0,0,ROW()-1,60),ROW()-1,FALSE))</f>
        <v/>
      </c>
      <c r="BI643" t="str">
        <f ca="1">IF(AND(ISNUMBER($BI$1300),$B$677=1),$BI$1300,HLOOKUP(INDIRECT(ADDRESS(2,COLUMN())),OFFSET($BN$2,0,0,ROW()-1,60),ROW()-1,FALSE))</f>
        <v/>
      </c>
      <c r="BJ643" t="str">
        <f ca="1">IF(AND(ISNUMBER($BJ$1300),$B$677=1),$BJ$1300,HLOOKUP(INDIRECT(ADDRESS(2,COLUMN())),OFFSET($BN$2,0,0,ROW()-1,60),ROW()-1,FALSE))</f>
        <v/>
      </c>
      <c r="BK643" t="str">
        <f ca="1">IF(AND(ISNUMBER($BK$1300),$B$677=1),$BK$1300,HLOOKUP(INDIRECT(ADDRESS(2,COLUMN())),OFFSET($BN$2,0,0,ROW()-1,60),ROW()-1,FALSE))</f>
        <v/>
      </c>
      <c r="BL643" t="str">
        <f ca="1">IF(AND(ISNUMBER($BL$1300),$B$677=1),$BL$1300,HLOOKUP(INDIRECT(ADDRESS(2,COLUMN())),OFFSET($BN$2,0,0,ROW()-1,60),ROW()-1,FALSE))</f>
        <v/>
      </c>
      <c r="BM643" t="str">
        <f ca="1">IF(AND(ISNUMBER($BM$1300),$B$677=1),$BM$1300,HLOOKUP(INDIRECT(ADDRESS(2,COLUMN())),OFFSET($BN$2,0,0,ROW()-1,60),ROW()-1,FALSE))</f>
        <v/>
      </c>
      <c r="BN643" t="str">
        <f>""</f>
        <v/>
      </c>
      <c r="BO643">
        <f>17.30107678</f>
        <v>17.301076779999999</v>
      </c>
      <c r="BP643">
        <f>16.29061503</f>
        <v>16.290615030000001</v>
      </c>
      <c r="BQ643">
        <f>21.99852036</f>
        <v>21.998520360000001</v>
      </c>
      <c r="BR643">
        <f>13.97944555</f>
        <v>13.979445549999999</v>
      </c>
      <c r="BS643">
        <f>6.662230072</f>
        <v>6.6622300719999998</v>
      </c>
      <c r="BT643">
        <f>6.466712168</f>
        <v>6.4667121679999999</v>
      </c>
      <c r="BU643">
        <f>2.838123442</f>
        <v>2.8381234420000001</v>
      </c>
      <c r="BV643">
        <f>16.09201926</f>
        <v>16.092019260000001</v>
      </c>
      <c r="BW643">
        <f>10.78748495</f>
        <v>10.78748495</v>
      </c>
      <c r="BX643">
        <f>11.32813795</f>
        <v>11.32813795</v>
      </c>
      <c r="BY643">
        <f>9.441712347</f>
        <v>9.4417123469999993</v>
      </c>
      <c r="BZ643">
        <f>-3.060327326</f>
        <v>-3.0603273259999999</v>
      </c>
      <c r="CA643">
        <f>-2.529589963</f>
        <v>-2.5295899629999998</v>
      </c>
      <c r="CB643">
        <f>0.059790656</f>
        <v>5.9790655999999998E-2</v>
      </c>
      <c r="CC643">
        <f>1.186698697</f>
        <v>1.186698697</v>
      </c>
      <c r="CD643">
        <f>0.091232475</f>
        <v>9.1232474999999993E-2</v>
      </c>
      <c r="CE643">
        <f>4.406636054</f>
        <v>4.4066360539999998</v>
      </c>
      <c r="CF643">
        <f>9.118274316</f>
        <v>9.1182743160000008</v>
      </c>
      <c r="CG643">
        <f>8.136438195</f>
        <v>8.1364381950000002</v>
      </c>
      <c r="CH643">
        <f>14.63786604</f>
        <v>14.63786604</v>
      </c>
      <c r="CI643">
        <f>15.76113347</f>
        <v>15.761133470000001</v>
      </c>
      <c r="CJ643">
        <f>9.259724404</f>
        <v>9.259724404</v>
      </c>
      <c r="CK643">
        <f>10.60474818</f>
        <v>10.60474818</v>
      </c>
      <c r="CL643">
        <f>9.715270017</f>
        <v>9.7152700169999999</v>
      </c>
      <c r="CM643">
        <f>12.09785932</f>
        <v>12.09785932</v>
      </c>
      <c r="CN643">
        <f>13.0596192</f>
        <v>13.0596192</v>
      </c>
      <c r="CO643">
        <f>12.52746665</f>
        <v>12.527466649999999</v>
      </c>
      <c r="CP643">
        <f>11.05763359</f>
        <v>11.05763359</v>
      </c>
      <c r="CQ643">
        <f>12.20999663</f>
        <v>12.209996629999999</v>
      </c>
      <c r="CR643">
        <f>12.73916499</f>
        <v>12.739164990000001</v>
      </c>
      <c r="CS643">
        <f>13.20552563</f>
        <v>13.20552563</v>
      </c>
      <c r="CT643">
        <f>16.15088332</f>
        <v>16.150883319999998</v>
      </c>
      <c r="CU643">
        <f>21.69896878</f>
        <v>21.698968780000001</v>
      </c>
      <c r="CV643" t="str">
        <f>""</f>
        <v/>
      </c>
      <c r="CW643" t="str">
        <f>""</f>
        <v/>
      </c>
      <c r="CX643" t="str">
        <f>""</f>
        <v/>
      </c>
      <c r="CY643" t="str">
        <f>""</f>
        <v/>
      </c>
      <c r="CZ643" t="str">
        <f>""</f>
        <v/>
      </c>
      <c r="DA643" t="str">
        <f>""</f>
        <v/>
      </c>
      <c r="DB643" t="str">
        <f>""</f>
        <v/>
      </c>
      <c r="DC643" t="str">
        <f>""</f>
        <v/>
      </c>
      <c r="DD643" t="str">
        <f>""</f>
        <v/>
      </c>
      <c r="DE643" t="str">
        <f>""</f>
        <v/>
      </c>
      <c r="DF643" t="str">
        <f>""</f>
        <v/>
      </c>
      <c r="DG643" t="str">
        <f>""</f>
        <v/>
      </c>
      <c r="DH643" t="str">
        <f>""</f>
        <v/>
      </c>
      <c r="DI643" t="str">
        <f>""</f>
        <v/>
      </c>
      <c r="DJ643" t="str">
        <f>""</f>
        <v/>
      </c>
      <c r="DK643" t="str">
        <f>""</f>
        <v/>
      </c>
      <c r="DL643" t="str">
        <f>""</f>
        <v/>
      </c>
      <c r="DM643" t="str">
        <f>""</f>
        <v/>
      </c>
      <c r="DN643" t="str">
        <f>""</f>
        <v/>
      </c>
      <c r="DO643" t="str">
        <f>""</f>
        <v/>
      </c>
      <c r="DP643" t="str">
        <f>""</f>
        <v/>
      </c>
      <c r="DQ643" t="str">
        <f>""</f>
        <v/>
      </c>
      <c r="DR643" t="str">
        <f>""</f>
        <v/>
      </c>
      <c r="DS643" t="str">
        <f>""</f>
        <v/>
      </c>
      <c r="DT643" t="str">
        <f>""</f>
        <v/>
      </c>
      <c r="DU643" t="str">
        <f>""</f>
        <v/>
      </c>
    </row>
    <row r="644" spans="1:125" x14ac:dyDescent="0.25">
      <c r="A644" t="str">
        <f>"    Mazda Motor Corp"</f>
        <v xml:space="preserve">    Mazda Motor Corp</v>
      </c>
      <c r="B644" t="str">
        <f>"7261 JP Equity"</f>
        <v>7261 JP Equity</v>
      </c>
      <c r="C644" t="str">
        <f t="shared" si="45"/>
        <v>RX539</v>
      </c>
      <c r="D644" t="str">
        <f t="shared" si="46"/>
        <v>T12_FCF_YIELD</v>
      </c>
      <c r="E644" t="str">
        <f t="shared" si="47"/>
        <v>Dynamic</v>
      </c>
      <c r="F644">
        <f ca="1">IF(AND(ISNUMBER($F$1301),$B$677=1),$F$1301,HLOOKUP(INDIRECT(ADDRESS(2,COLUMN())),OFFSET($BN$2,0,0,ROW()-1,60),ROW()-1,FALSE))</f>
        <v>8.1727001920000006</v>
      </c>
      <c r="G644">
        <f ca="1">IF(AND(ISNUMBER($G$1301),$B$677=1),$G$1301,HLOOKUP(INDIRECT(ADDRESS(2,COLUMN())),OFFSET($BN$2,0,0,ROW()-1,60),ROW()-1,FALSE))</f>
        <v>9.2635936539999992</v>
      </c>
      <c r="H644">
        <f ca="1">IF(AND(ISNUMBER($H$1301),$B$677=1),$H$1301,HLOOKUP(INDIRECT(ADDRESS(2,COLUMN())),OFFSET($BN$2,0,0,ROW()-1,60),ROW()-1,FALSE))</f>
        <v>11.303456690000001</v>
      </c>
      <c r="I644">
        <f ca="1">IF(AND(ISNUMBER($I$1301),$B$677=1),$I$1301,HLOOKUP(INDIRECT(ADDRESS(2,COLUMN())),OFFSET($BN$2,0,0,ROW()-1,60),ROW()-1,FALSE))</f>
        <v>12.141121419999999</v>
      </c>
      <c r="J644">
        <f ca="1">IF(AND(ISNUMBER($J$1301),$B$677=1),$J$1301,HLOOKUP(INDIRECT(ADDRESS(2,COLUMN())),OFFSET($BN$2,0,0,ROW()-1,60),ROW()-1,FALSE))</f>
        <v>13.5862719</v>
      </c>
      <c r="K644">
        <f ca="1">IF(AND(ISNUMBER($K$1301),$B$677=1),$K$1301,HLOOKUP(INDIRECT(ADDRESS(2,COLUMN())),OFFSET($BN$2,0,0,ROW()-1,60),ROW()-1,FALSE))</f>
        <v>11.1219001</v>
      </c>
      <c r="L644">
        <f ca="1">IF(AND(ISNUMBER($L$1301),$B$677=1),$L$1301,HLOOKUP(INDIRECT(ADDRESS(2,COLUMN())),OFFSET($BN$2,0,0,ROW()-1,60),ROW()-1,FALSE))</f>
        <v>7.8298375260000004</v>
      </c>
      <c r="M644">
        <f ca="1">IF(AND(ISNUMBER($M$1301),$B$677=1),$M$1301,HLOOKUP(INDIRECT(ADDRESS(2,COLUMN())),OFFSET($BN$2,0,0,ROW()-1,60),ROW()-1,FALSE))</f>
        <v>8.2378914959999996</v>
      </c>
      <c r="N644">
        <f ca="1">IF(AND(ISNUMBER($N$1301),$B$677=1),$N$1301,HLOOKUP(INDIRECT(ADDRESS(2,COLUMN())),OFFSET($BN$2,0,0,ROW()-1,60),ROW()-1,FALSE))</f>
        <v>8.5047800880000004</v>
      </c>
      <c r="O644">
        <f ca="1">IF(AND(ISNUMBER($O$1301),$B$677=1),$O$1301,HLOOKUP(INDIRECT(ADDRESS(2,COLUMN())),OFFSET($BN$2,0,0,ROW()-1,60),ROW()-1,FALSE))</f>
        <v>8.4718591920000001</v>
      </c>
      <c r="P644">
        <f ca="1">IF(AND(ISNUMBER($P$1301),$B$677=1),$P$1301,HLOOKUP(INDIRECT(ADDRESS(2,COLUMN())),OFFSET($BN$2,0,0,ROW()-1,60),ROW()-1,FALSE))</f>
        <v>13.86031453</v>
      </c>
      <c r="Q644">
        <f ca="1">IF(AND(ISNUMBER($Q$1301),$B$677=1),$Q$1301,HLOOKUP(INDIRECT(ADDRESS(2,COLUMN())),OFFSET($BN$2,0,0,ROW()-1,60),ROW()-1,FALSE))</f>
        <v>18.642205629999999</v>
      </c>
      <c r="R644">
        <f ca="1">IF(AND(ISNUMBER($R$1301),$B$677=1),$R$1301,HLOOKUP(INDIRECT(ADDRESS(2,COLUMN())),OFFSET($BN$2,0,0,ROW()-1,60),ROW()-1,FALSE))</f>
        <v>17.54978182</v>
      </c>
      <c r="S644">
        <f ca="1">IF(AND(ISNUMBER($S$1301),$B$677=1),$S$1301,HLOOKUP(INDIRECT(ADDRESS(2,COLUMN())),OFFSET($BN$2,0,0,ROW()-1,60),ROW()-1,FALSE))</f>
        <v>11.793057429999999</v>
      </c>
      <c r="T644">
        <f ca="1">IF(AND(ISNUMBER($T$1301),$B$677=1),$T$1301,HLOOKUP(INDIRECT(ADDRESS(2,COLUMN())),OFFSET($BN$2,0,0,ROW()-1,60),ROW()-1,FALSE))</f>
        <v>13.57524621</v>
      </c>
      <c r="U644">
        <f ca="1">IF(AND(ISNUMBER($U$1301),$B$677=1),$U$1301,HLOOKUP(INDIRECT(ADDRESS(2,COLUMN())),OFFSET($BN$2,0,0,ROW()-1,60),ROW()-1,FALSE))</f>
        <v>8.0990535220000002</v>
      </c>
      <c r="V644">
        <f ca="1">IF(AND(ISNUMBER($V$1301),$B$677=1),$V$1301,HLOOKUP(INDIRECT(ADDRESS(2,COLUMN())),OFFSET($BN$2,0,0,ROW()-1,60),ROW()-1,FALSE))</f>
        <v>5.5422872109999997</v>
      </c>
      <c r="W644">
        <f ca="1">IF(AND(ISNUMBER($W$1301),$B$677=1),$W$1301,HLOOKUP(INDIRECT(ADDRESS(2,COLUMN())),OFFSET($BN$2,0,0,ROW()-1,60),ROW()-1,FALSE))</f>
        <v>3.5438040110000002</v>
      </c>
      <c r="X644">
        <f ca="1">IF(AND(ISNUMBER($X$1301),$B$677=1),$X$1301,HLOOKUP(INDIRECT(ADDRESS(2,COLUMN())),OFFSET($BN$2,0,0,ROW()-1,60),ROW()-1,FALSE))</f>
        <v>5.2449953139999996</v>
      </c>
      <c r="Y644">
        <f ca="1">IF(AND(ISNUMBER($Y$1301),$B$677=1),$Y$1301,HLOOKUP(INDIRECT(ADDRESS(2,COLUMN())),OFFSET($BN$2,0,0,ROW()-1,60),ROW()-1,FALSE))</f>
        <v>4.1374199989999996</v>
      </c>
      <c r="Z644">
        <f ca="1">IF(AND(ISNUMBER($Z$1301),$B$677=1),$Z$1301,HLOOKUP(INDIRECT(ADDRESS(2,COLUMN())),OFFSET($BN$2,0,0,ROW()-1,60),ROW()-1,FALSE))</f>
        <v>1.859847381</v>
      </c>
      <c r="AA644">
        <f ca="1">IF(AND(ISNUMBER($AA$1301),$B$677=1),$AA$1301,HLOOKUP(INDIRECT(ADDRESS(2,COLUMN())),OFFSET($BN$2,0,0,ROW()-1,60),ROW()-1,FALSE))</f>
        <v>2.011569401</v>
      </c>
      <c r="AB644">
        <f ca="1">IF(AND(ISNUMBER($AB$1301),$B$677=1),$AB$1301,HLOOKUP(INDIRECT(ADDRESS(2,COLUMN())),OFFSET($BN$2,0,0,ROW()-1,60),ROW()-1,FALSE))</f>
        <v>-0.87348408700000002</v>
      </c>
      <c r="AC644">
        <f ca="1">IF(AND(ISNUMBER($AC$1301),$B$677=1),$AC$1301,HLOOKUP(INDIRECT(ADDRESS(2,COLUMN())),OFFSET($BN$2,0,0,ROW()-1,60),ROW()-1,FALSE))</f>
        <v>-1.5096909540000001</v>
      </c>
      <c r="AD644">
        <f ca="1">IF(AND(ISNUMBER($AD$1301),$B$677=1),$AD$1301,HLOOKUP(INDIRECT(ADDRESS(2,COLUMN())),OFFSET($BN$2,0,0,ROW()-1,60),ROW()-1,FALSE))</f>
        <v>-2.4757213519999999</v>
      </c>
      <c r="AE644">
        <f ca="1">IF(AND(ISNUMBER($AE$1301),$B$677=1),$AE$1301,HLOOKUP(INDIRECT(ADDRESS(2,COLUMN())),OFFSET($BN$2,0,0,ROW()-1,60),ROW()-1,FALSE))</f>
        <v>-4.8163251520000001</v>
      </c>
      <c r="AF644">
        <f ca="1">IF(AND(ISNUMBER($AF$1301),$B$677=1),$AF$1301,HLOOKUP(INDIRECT(ADDRESS(2,COLUMN())),OFFSET($BN$2,0,0,ROW()-1,60),ROW()-1,FALSE))</f>
        <v>-25.52727543</v>
      </c>
      <c r="AG644">
        <f ca="1">IF(AND(ISNUMBER($AG$1301),$B$677=1),$AG$1301,HLOOKUP(INDIRECT(ADDRESS(2,COLUMN())),OFFSET($BN$2,0,0,ROW()-1,60),ROW()-1,FALSE))</f>
        <v>-18.852821989999999</v>
      </c>
      <c r="AH644">
        <f ca="1">IF(AND(ISNUMBER($AH$1301),$B$677=1),$AH$1301,HLOOKUP(INDIRECT(ADDRESS(2,COLUMN())),OFFSET($BN$2,0,0,ROW()-1,60),ROW()-1,FALSE))</f>
        <v>-16.284298849999999</v>
      </c>
      <c r="AI644">
        <f ca="1">IF(AND(ISNUMBER($AI$1301),$B$677=1),$AI$1301,HLOOKUP(INDIRECT(ADDRESS(2,COLUMN())),OFFSET($BN$2,0,0,ROW()-1,60),ROW()-1,FALSE))</f>
        <v>-33.845268730000001</v>
      </c>
      <c r="AJ644">
        <f ca="1">IF(AND(ISNUMBER($AJ$1301),$B$677=1),$AJ$1301,HLOOKUP(INDIRECT(ADDRESS(2,COLUMN())),OFFSET($BN$2,0,0,ROW()-1,60),ROW()-1,FALSE))</f>
        <v>-24.65307138</v>
      </c>
      <c r="AK644">
        <f ca="1">IF(AND(ISNUMBER($AK$1301),$B$677=1),$AK$1301,HLOOKUP(INDIRECT(ADDRESS(2,COLUMN())),OFFSET($BN$2,0,0,ROW()-1,60),ROW()-1,FALSE))</f>
        <v>-17.343359</v>
      </c>
      <c r="AL644">
        <f ca="1">IF(AND(ISNUMBER($AL$1301),$B$677=1),$AL$1301,HLOOKUP(INDIRECT(ADDRESS(2,COLUMN())),OFFSET($BN$2,0,0,ROW()-1,60),ROW()-1,FALSE))</f>
        <v>-5.188621639</v>
      </c>
      <c r="AM644">
        <f ca="1">IF(AND(ISNUMBER($AM$1301),$B$677=1),$AM$1301,HLOOKUP(INDIRECT(ADDRESS(2,COLUMN())),OFFSET($BN$2,0,0,ROW()-1,60),ROW()-1,FALSE))</f>
        <v>0.41607611700000002</v>
      </c>
      <c r="AN644">
        <f ca="1">IF(AND(ISNUMBER($AN$1301),$B$677=1),$AN$1301,HLOOKUP(INDIRECT(ADDRESS(2,COLUMN())),OFFSET($BN$2,0,0,ROW()-1,60),ROW()-1,FALSE))</f>
        <v>23.045870669999999</v>
      </c>
      <c r="AO644">
        <f ca="1">IF(AND(ISNUMBER($AO$1301),$B$677=1),$AO$1301,HLOOKUP(INDIRECT(ADDRESS(2,COLUMN())),OFFSET($BN$2,0,0,ROW()-1,60),ROW()-1,FALSE))</f>
        <v>27.324061589999999</v>
      </c>
      <c r="AP644">
        <f ca="1">IF(AND(ISNUMBER($AP$1301),$B$677=1),$AP$1301,HLOOKUP(INDIRECT(ADDRESS(2,COLUMN())),OFFSET($BN$2,0,0,ROW()-1,60),ROW()-1,FALSE))</f>
        <v>19.419131709999998</v>
      </c>
      <c r="AQ644">
        <f ca="1">IF(AND(ISNUMBER($AQ$1301),$B$677=1),$AQ$1301,HLOOKUP(INDIRECT(ADDRESS(2,COLUMN())),OFFSET($BN$2,0,0,ROW()-1,60),ROW()-1,FALSE))</f>
        <v>27.541064850000001</v>
      </c>
      <c r="AR644">
        <f ca="1">IF(AND(ISNUMBER($AR$1301),$B$677=1),$AR$1301,HLOOKUP(INDIRECT(ADDRESS(2,COLUMN())),OFFSET($BN$2,0,0,ROW()-1,60),ROW()-1,FALSE))</f>
        <v>-30.39663358</v>
      </c>
      <c r="AS644">
        <f ca="1">IF(AND(ISNUMBER($AS$1301),$B$677=1),$AS$1301,HLOOKUP(INDIRECT(ADDRESS(2,COLUMN())),OFFSET($BN$2,0,0,ROW()-1,60),ROW()-1,FALSE))</f>
        <v>-32.236610659999997</v>
      </c>
      <c r="AT644">
        <f ca="1">IF(AND(ISNUMBER($AT$1301),$B$677=1),$AT$1301,HLOOKUP(INDIRECT(ADDRESS(2,COLUMN())),OFFSET($BN$2,0,0,ROW()-1,60),ROW()-1,FALSE))</f>
        <v>-50.047812659999998</v>
      </c>
      <c r="AU644" t="str">
        <f ca="1">IF(AND(ISNUMBER($AU$1301),$B$677=1),$AU$1301,HLOOKUP(INDIRECT(ADDRESS(2,COLUMN())),OFFSET($BN$2,0,0,ROW()-1,60),ROW()-1,FALSE))</f>
        <v/>
      </c>
      <c r="AV644" t="str">
        <f ca="1">IF(AND(ISNUMBER($AV$1301),$B$677=1),$AV$1301,HLOOKUP(INDIRECT(ADDRESS(2,COLUMN())),OFFSET($BN$2,0,0,ROW()-1,60),ROW()-1,FALSE))</f>
        <v/>
      </c>
      <c r="AW644" t="str">
        <f ca="1">IF(AND(ISNUMBER($AW$1301),$B$677=1),$AW$1301,HLOOKUP(INDIRECT(ADDRESS(2,COLUMN())),OFFSET($BN$2,0,0,ROW()-1,60),ROW()-1,FALSE))</f>
        <v/>
      </c>
      <c r="AX644" t="str">
        <f ca="1">IF(AND(ISNUMBER($AX$1301),$B$677=1),$AX$1301,HLOOKUP(INDIRECT(ADDRESS(2,COLUMN())),OFFSET($BN$2,0,0,ROW()-1,60),ROW()-1,FALSE))</f>
        <v/>
      </c>
      <c r="AY644" t="str">
        <f ca="1">IF(AND(ISNUMBER($AY$1301),$B$677=1),$AY$1301,HLOOKUP(INDIRECT(ADDRESS(2,COLUMN())),OFFSET($BN$2,0,0,ROW()-1,60),ROW()-1,FALSE))</f>
        <v/>
      </c>
      <c r="AZ644" t="str">
        <f ca="1">IF(AND(ISNUMBER($AZ$1301),$B$677=1),$AZ$1301,HLOOKUP(INDIRECT(ADDRESS(2,COLUMN())),OFFSET($BN$2,0,0,ROW()-1,60),ROW()-1,FALSE))</f>
        <v/>
      </c>
      <c r="BA644" t="str">
        <f ca="1">IF(AND(ISNUMBER($BA$1301),$B$677=1),$BA$1301,HLOOKUP(INDIRECT(ADDRESS(2,COLUMN())),OFFSET($BN$2,0,0,ROW()-1,60),ROW()-1,FALSE))</f>
        <v/>
      </c>
      <c r="BB644" t="str">
        <f ca="1">IF(AND(ISNUMBER($BB$1301),$B$677=1),$BB$1301,HLOOKUP(INDIRECT(ADDRESS(2,COLUMN())),OFFSET($BN$2,0,0,ROW()-1,60),ROW()-1,FALSE))</f>
        <v/>
      </c>
      <c r="BC644" t="str">
        <f ca="1">IF(AND(ISNUMBER($BC$1301),$B$677=1),$BC$1301,HLOOKUP(INDIRECT(ADDRESS(2,COLUMN())),OFFSET($BN$2,0,0,ROW()-1,60),ROW()-1,FALSE))</f>
        <v/>
      </c>
      <c r="BD644" t="str">
        <f ca="1">IF(AND(ISNUMBER($BD$1301),$B$677=1),$BD$1301,HLOOKUP(INDIRECT(ADDRESS(2,COLUMN())),OFFSET($BN$2,0,0,ROW()-1,60),ROW()-1,FALSE))</f>
        <v/>
      </c>
      <c r="BE644" t="str">
        <f ca="1">IF(AND(ISNUMBER($BE$1301),$B$677=1),$BE$1301,HLOOKUP(INDIRECT(ADDRESS(2,COLUMN())),OFFSET($BN$2,0,0,ROW()-1,60),ROW()-1,FALSE))</f>
        <v/>
      </c>
      <c r="BF644" t="str">
        <f ca="1">IF(AND(ISNUMBER($BF$1301),$B$677=1),$BF$1301,HLOOKUP(INDIRECT(ADDRESS(2,COLUMN())),OFFSET($BN$2,0,0,ROW()-1,60),ROW()-1,FALSE))</f>
        <v/>
      </c>
      <c r="BG644" t="str">
        <f ca="1">IF(AND(ISNUMBER($BG$1301),$B$677=1),$BG$1301,HLOOKUP(INDIRECT(ADDRESS(2,COLUMN())),OFFSET($BN$2,0,0,ROW()-1,60),ROW()-1,FALSE))</f>
        <v/>
      </c>
      <c r="BH644" t="str">
        <f ca="1">IF(AND(ISNUMBER($BH$1301),$B$677=1),$BH$1301,HLOOKUP(INDIRECT(ADDRESS(2,COLUMN())),OFFSET($BN$2,0,0,ROW()-1,60),ROW()-1,FALSE))</f>
        <v/>
      </c>
      <c r="BI644" t="str">
        <f ca="1">IF(AND(ISNUMBER($BI$1301),$B$677=1),$BI$1301,HLOOKUP(INDIRECT(ADDRESS(2,COLUMN())),OFFSET($BN$2,0,0,ROW()-1,60),ROW()-1,FALSE))</f>
        <v/>
      </c>
      <c r="BJ644" t="str">
        <f ca="1">IF(AND(ISNUMBER($BJ$1301),$B$677=1),$BJ$1301,HLOOKUP(INDIRECT(ADDRESS(2,COLUMN())),OFFSET($BN$2,0,0,ROW()-1,60),ROW()-1,FALSE))</f>
        <v/>
      </c>
      <c r="BK644" t="str">
        <f ca="1">IF(AND(ISNUMBER($BK$1301),$B$677=1),$BK$1301,HLOOKUP(INDIRECT(ADDRESS(2,COLUMN())),OFFSET($BN$2,0,0,ROW()-1,60),ROW()-1,FALSE))</f>
        <v/>
      </c>
      <c r="BL644" t="str">
        <f ca="1">IF(AND(ISNUMBER($BL$1301),$B$677=1),$BL$1301,HLOOKUP(INDIRECT(ADDRESS(2,COLUMN())),OFFSET($BN$2,0,0,ROW()-1,60),ROW()-1,FALSE))</f>
        <v/>
      </c>
      <c r="BM644" t="str">
        <f ca="1">IF(AND(ISNUMBER($BM$1301),$B$677=1),$BM$1301,HLOOKUP(INDIRECT(ADDRESS(2,COLUMN())),OFFSET($BN$2,0,0,ROW()-1,60),ROW()-1,FALSE))</f>
        <v/>
      </c>
      <c r="BN644">
        <f>8.172700192</f>
        <v>8.1727001920000006</v>
      </c>
      <c r="BO644">
        <f>9.263593654</f>
        <v>9.2635936539999992</v>
      </c>
      <c r="BP644">
        <f>11.30345669</f>
        <v>11.303456690000001</v>
      </c>
      <c r="BQ644">
        <f>12.14112142</f>
        <v>12.141121419999999</v>
      </c>
      <c r="BR644">
        <f>13.5862719</f>
        <v>13.5862719</v>
      </c>
      <c r="BS644">
        <f>11.1219001</f>
        <v>11.1219001</v>
      </c>
      <c r="BT644">
        <f>7.829837526</f>
        <v>7.8298375260000004</v>
      </c>
      <c r="BU644">
        <f>8.237891496</f>
        <v>8.2378914959999996</v>
      </c>
      <c r="BV644">
        <f>8.504780088</f>
        <v>8.5047800880000004</v>
      </c>
      <c r="BW644">
        <f>8.471859192</f>
        <v>8.4718591920000001</v>
      </c>
      <c r="BX644">
        <f>13.86031453</f>
        <v>13.86031453</v>
      </c>
      <c r="BY644">
        <f>18.64220563</f>
        <v>18.642205629999999</v>
      </c>
      <c r="BZ644">
        <f>17.54978182</f>
        <v>17.54978182</v>
      </c>
      <c r="CA644">
        <f>11.79305743</f>
        <v>11.793057429999999</v>
      </c>
      <c r="CB644">
        <f>13.57524621</f>
        <v>13.57524621</v>
      </c>
      <c r="CC644">
        <f>8.099053522</f>
        <v>8.0990535220000002</v>
      </c>
      <c r="CD644">
        <f>5.542287211</f>
        <v>5.5422872109999997</v>
      </c>
      <c r="CE644">
        <f>3.543804011</f>
        <v>3.5438040110000002</v>
      </c>
      <c r="CF644">
        <f>5.244995314</f>
        <v>5.2449953139999996</v>
      </c>
      <c r="CG644">
        <f>4.137419999</f>
        <v>4.1374199989999996</v>
      </c>
      <c r="CH644">
        <f>1.859847381</f>
        <v>1.859847381</v>
      </c>
      <c r="CI644">
        <f>2.011569401</f>
        <v>2.011569401</v>
      </c>
      <c r="CJ644">
        <f>-0.873484087</f>
        <v>-0.87348408700000002</v>
      </c>
      <c r="CK644">
        <f>-1.509690954</f>
        <v>-1.5096909540000001</v>
      </c>
      <c r="CL644">
        <f>-2.475721352</f>
        <v>-2.4757213519999999</v>
      </c>
      <c r="CM644">
        <f>-4.816325152</f>
        <v>-4.8163251520000001</v>
      </c>
      <c r="CN644">
        <f>-25.52727543</f>
        <v>-25.52727543</v>
      </c>
      <c r="CO644">
        <f>-18.85282199</f>
        <v>-18.852821989999999</v>
      </c>
      <c r="CP644">
        <f>-16.28429885</f>
        <v>-16.284298849999999</v>
      </c>
      <c r="CQ644">
        <f>-33.84526873</f>
        <v>-33.845268730000001</v>
      </c>
      <c r="CR644">
        <f>-24.65307138</f>
        <v>-24.65307138</v>
      </c>
      <c r="CS644">
        <f>-17.343359</f>
        <v>-17.343359</v>
      </c>
      <c r="CT644">
        <f>-5.188621639</f>
        <v>-5.188621639</v>
      </c>
      <c r="CU644">
        <f>0.416076117</f>
        <v>0.41607611700000002</v>
      </c>
      <c r="CV644">
        <f>23.04587067</f>
        <v>23.045870669999999</v>
      </c>
      <c r="CW644">
        <f>27.32406159</f>
        <v>27.324061589999999</v>
      </c>
      <c r="CX644">
        <f>19.41913171</f>
        <v>19.419131709999998</v>
      </c>
      <c r="CY644">
        <f>27.54106485</f>
        <v>27.541064850000001</v>
      </c>
      <c r="CZ644">
        <f>-30.39663358</f>
        <v>-30.39663358</v>
      </c>
      <c r="DA644">
        <f>-32.23661066</f>
        <v>-32.236610659999997</v>
      </c>
      <c r="DB644">
        <f>-50.04781266</f>
        <v>-50.047812659999998</v>
      </c>
      <c r="DC644" t="str">
        <f>""</f>
        <v/>
      </c>
      <c r="DD644" t="str">
        <f>""</f>
        <v/>
      </c>
      <c r="DE644" t="str">
        <f>""</f>
        <v/>
      </c>
      <c r="DF644" t="str">
        <f>""</f>
        <v/>
      </c>
      <c r="DG644" t="str">
        <f>""</f>
        <v/>
      </c>
      <c r="DH644" t="str">
        <f>""</f>
        <v/>
      </c>
      <c r="DI644" t="str">
        <f>""</f>
        <v/>
      </c>
      <c r="DJ644" t="str">
        <f>""</f>
        <v/>
      </c>
      <c r="DK644" t="str">
        <f>""</f>
        <v/>
      </c>
      <c r="DL644" t="str">
        <f>""</f>
        <v/>
      </c>
      <c r="DM644" t="str">
        <f>""</f>
        <v/>
      </c>
      <c r="DN644" t="str">
        <f>""</f>
        <v/>
      </c>
      <c r="DO644" t="str">
        <f>""</f>
        <v/>
      </c>
      <c r="DP644" t="str">
        <f>""</f>
        <v/>
      </c>
      <c r="DQ644" t="str">
        <f>""</f>
        <v/>
      </c>
      <c r="DR644" t="str">
        <f>""</f>
        <v/>
      </c>
      <c r="DS644" t="str">
        <f>""</f>
        <v/>
      </c>
      <c r="DT644" t="str">
        <f>""</f>
        <v/>
      </c>
      <c r="DU644" t="str">
        <f>""</f>
        <v/>
      </c>
    </row>
    <row r="645" spans="1:125" x14ac:dyDescent="0.25">
      <c r="A645" t="str">
        <f>"    Mitsubishi Motors Corp"</f>
        <v xml:space="preserve">    Mitsubishi Motors Corp</v>
      </c>
      <c r="B645" t="str">
        <f>"7211 JP Equity"</f>
        <v>7211 JP Equity</v>
      </c>
      <c r="C645" t="str">
        <f t="shared" si="45"/>
        <v>RX539</v>
      </c>
      <c r="D645" t="str">
        <f t="shared" si="46"/>
        <v>T12_FCF_YIELD</v>
      </c>
      <c r="E645" t="str">
        <f t="shared" si="47"/>
        <v>Dynamic</v>
      </c>
      <c r="F645" t="str">
        <f ca="1">IF(AND(ISNUMBER($F$1302),$B$677=1),$F$1302,HLOOKUP(INDIRECT(ADDRESS(2,COLUMN())),OFFSET($BN$2,0,0,ROW()-1,60),ROW()-1,FALSE))</f>
        <v/>
      </c>
      <c r="G645" t="str">
        <f ca="1">IF(AND(ISNUMBER($G$1302),$B$677=1),$G$1302,HLOOKUP(INDIRECT(ADDRESS(2,COLUMN())),OFFSET($BN$2,0,0,ROW()-1,60),ROW()-1,FALSE))</f>
        <v/>
      </c>
      <c r="H645" t="str">
        <f ca="1">IF(AND(ISNUMBER($H$1302),$B$677=1),$H$1302,HLOOKUP(INDIRECT(ADDRESS(2,COLUMN())),OFFSET($BN$2,0,0,ROW()-1,60),ROW()-1,FALSE))</f>
        <v/>
      </c>
      <c r="I645" t="str">
        <f ca="1">IF(AND(ISNUMBER($I$1302),$B$677=1),$I$1302,HLOOKUP(INDIRECT(ADDRESS(2,COLUMN())),OFFSET($BN$2,0,0,ROW()-1,60),ROW()-1,FALSE))</f>
        <v/>
      </c>
      <c r="J645" t="str">
        <f ca="1">IF(AND(ISNUMBER($J$1302),$B$677=1),$J$1302,HLOOKUP(INDIRECT(ADDRESS(2,COLUMN())),OFFSET($BN$2,0,0,ROW()-1,60),ROW()-1,FALSE))</f>
        <v/>
      </c>
      <c r="K645" t="str">
        <f ca="1">IF(AND(ISNUMBER($K$1302),$B$677=1),$K$1302,HLOOKUP(INDIRECT(ADDRESS(2,COLUMN())),OFFSET($BN$2,0,0,ROW()-1,60),ROW()-1,FALSE))</f>
        <v/>
      </c>
      <c r="L645" t="str">
        <f ca="1">IF(AND(ISNUMBER($L$1302),$B$677=1),$L$1302,HLOOKUP(INDIRECT(ADDRESS(2,COLUMN())),OFFSET($BN$2,0,0,ROW()-1,60),ROW()-1,FALSE))</f>
        <v/>
      </c>
      <c r="M645" t="str">
        <f ca="1">IF(AND(ISNUMBER($M$1302),$B$677=1),$M$1302,HLOOKUP(INDIRECT(ADDRESS(2,COLUMN())),OFFSET($BN$2,0,0,ROW()-1,60),ROW()-1,FALSE))</f>
        <v/>
      </c>
      <c r="N645" t="str">
        <f ca="1">IF(AND(ISNUMBER($N$1302),$B$677=1),$N$1302,HLOOKUP(INDIRECT(ADDRESS(2,COLUMN())),OFFSET($BN$2,0,0,ROW()-1,60),ROW()-1,FALSE))</f>
        <v/>
      </c>
      <c r="O645" t="str">
        <f ca="1">IF(AND(ISNUMBER($O$1302),$B$677=1),$O$1302,HLOOKUP(INDIRECT(ADDRESS(2,COLUMN())),OFFSET($BN$2,0,0,ROW()-1,60),ROW()-1,FALSE))</f>
        <v/>
      </c>
      <c r="P645" t="str">
        <f ca="1">IF(AND(ISNUMBER($P$1302),$B$677=1),$P$1302,HLOOKUP(INDIRECT(ADDRESS(2,COLUMN())),OFFSET($BN$2,0,0,ROW()-1,60),ROW()-1,FALSE))</f>
        <v/>
      </c>
      <c r="Q645" t="str">
        <f ca="1">IF(AND(ISNUMBER($Q$1302),$B$677=1),$Q$1302,HLOOKUP(INDIRECT(ADDRESS(2,COLUMN())),OFFSET($BN$2,0,0,ROW()-1,60),ROW()-1,FALSE))</f>
        <v/>
      </c>
      <c r="R645" t="str">
        <f ca="1">IF(AND(ISNUMBER($R$1302),$B$677=1),$R$1302,HLOOKUP(INDIRECT(ADDRESS(2,COLUMN())),OFFSET($BN$2,0,0,ROW()-1,60),ROW()-1,FALSE))</f>
        <v/>
      </c>
      <c r="S645" t="str">
        <f ca="1">IF(AND(ISNUMBER($S$1302),$B$677=1),$S$1302,HLOOKUP(INDIRECT(ADDRESS(2,COLUMN())),OFFSET($BN$2,0,0,ROW()-1,60),ROW()-1,FALSE))</f>
        <v/>
      </c>
      <c r="T645" t="str">
        <f ca="1">IF(AND(ISNUMBER($T$1302),$B$677=1),$T$1302,HLOOKUP(INDIRECT(ADDRESS(2,COLUMN())),OFFSET($BN$2,0,0,ROW()-1,60),ROW()-1,FALSE))</f>
        <v/>
      </c>
      <c r="U645" t="str">
        <f ca="1">IF(AND(ISNUMBER($U$1302),$B$677=1),$U$1302,HLOOKUP(INDIRECT(ADDRESS(2,COLUMN())),OFFSET($BN$2,0,0,ROW()-1,60),ROW()-1,FALSE))</f>
        <v/>
      </c>
      <c r="V645" t="str">
        <f ca="1">IF(AND(ISNUMBER($V$1302),$B$677=1),$V$1302,HLOOKUP(INDIRECT(ADDRESS(2,COLUMN())),OFFSET($BN$2,0,0,ROW()-1,60),ROW()-1,FALSE))</f>
        <v/>
      </c>
      <c r="W645" t="str">
        <f ca="1">IF(AND(ISNUMBER($W$1302),$B$677=1),$W$1302,HLOOKUP(INDIRECT(ADDRESS(2,COLUMN())),OFFSET($BN$2,0,0,ROW()-1,60),ROW()-1,FALSE))</f>
        <v/>
      </c>
      <c r="X645" t="str">
        <f ca="1">IF(AND(ISNUMBER($X$1302),$B$677=1),$X$1302,HLOOKUP(INDIRECT(ADDRESS(2,COLUMN())),OFFSET($BN$2,0,0,ROW()-1,60),ROW()-1,FALSE))</f>
        <v/>
      </c>
      <c r="Y645" t="str">
        <f ca="1">IF(AND(ISNUMBER($Y$1302),$B$677=1),$Y$1302,HLOOKUP(INDIRECT(ADDRESS(2,COLUMN())),OFFSET($BN$2,0,0,ROW()-1,60),ROW()-1,FALSE))</f>
        <v/>
      </c>
      <c r="Z645" t="str">
        <f ca="1">IF(AND(ISNUMBER($Z$1302),$B$677=1),$Z$1302,HLOOKUP(INDIRECT(ADDRESS(2,COLUMN())),OFFSET($BN$2,0,0,ROW()-1,60),ROW()-1,FALSE))</f>
        <v/>
      </c>
      <c r="AA645" t="str">
        <f ca="1">IF(AND(ISNUMBER($AA$1302),$B$677=1),$AA$1302,HLOOKUP(INDIRECT(ADDRESS(2,COLUMN())),OFFSET($BN$2,0,0,ROW()-1,60),ROW()-1,FALSE))</f>
        <v/>
      </c>
      <c r="AB645" t="str">
        <f ca="1">IF(AND(ISNUMBER($AB$1302),$B$677=1),$AB$1302,HLOOKUP(INDIRECT(ADDRESS(2,COLUMN())),OFFSET($BN$2,0,0,ROW()-1,60),ROW()-1,FALSE))</f>
        <v/>
      </c>
      <c r="AC645" t="str">
        <f ca="1">IF(AND(ISNUMBER($AC$1302),$B$677=1),$AC$1302,HLOOKUP(INDIRECT(ADDRESS(2,COLUMN())),OFFSET($BN$2,0,0,ROW()-1,60),ROW()-1,FALSE))</f>
        <v/>
      </c>
      <c r="AD645" t="str">
        <f ca="1">IF(AND(ISNUMBER($AD$1302),$B$677=1),$AD$1302,HLOOKUP(INDIRECT(ADDRESS(2,COLUMN())),OFFSET($BN$2,0,0,ROW()-1,60),ROW()-1,FALSE))</f>
        <v/>
      </c>
      <c r="AE645" t="str">
        <f ca="1">IF(AND(ISNUMBER($AE$1302),$B$677=1),$AE$1302,HLOOKUP(INDIRECT(ADDRESS(2,COLUMN())),OFFSET($BN$2,0,0,ROW()-1,60),ROW()-1,FALSE))</f>
        <v/>
      </c>
      <c r="AF645" t="str">
        <f ca="1">IF(AND(ISNUMBER($AF$1302),$B$677=1),$AF$1302,HLOOKUP(INDIRECT(ADDRESS(2,COLUMN())),OFFSET($BN$2,0,0,ROW()-1,60),ROW()-1,FALSE))</f>
        <v/>
      </c>
      <c r="AG645" t="str">
        <f ca="1">IF(AND(ISNUMBER($AG$1302),$B$677=1),$AG$1302,HLOOKUP(INDIRECT(ADDRESS(2,COLUMN())),OFFSET($BN$2,0,0,ROW()-1,60),ROW()-1,FALSE))</f>
        <v/>
      </c>
      <c r="AH645" t="str">
        <f ca="1">IF(AND(ISNUMBER($AH$1302),$B$677=1),$AH$1302,HLOOKUP(INDIRECT(ADDRESS(2,COLUMN())),OFFSET($BN$2,0,0,ROW()-1,60),ROW()-1,FALSE))</f>
        <v/>
      </c>
      <c r="AI645" t="str">
        <f ca="1">IF(AND(ISNUMBER($AI$1302),$B$677=1),$AI$1302,HLOOKUP(INDIRECT(ADDRESS(2,COLUMN())),OFFSET($BN$2,0,0,ROW()-1,60),ROW()-1,FALSE))</f>
        <v/>
      </c>
      <c r="AJ645" t="str">
        <f ca="1">IF(AND(ISNUMBER($AJ$1302),$B$677=1),$AJ$1302,HLOOKUP(INDIRECT(ADDRESS(2,COLUMN())),OFFSET($BN$2,0,0,ROW()-1,60),ROW()-1,FALSE))</f>
        <v/>
      </c>
      <c r="AK645">
        <f ca="1">IF(AND(ISNUMBER($AK$1302),$B$677=1),$AK$1302,HLOOKUP(INDIRECT(ADDRESS(2,COLUMN())),OFFSET($BN$2,0,0,ROW()-1,60),ROW()-1,FALSE))</f>
        <v>9.3136460139999997</v>
      </c>
      <c r="AL645">
        <f ca="1">IF(AND(ISNUMBER($AL$1302),$B$677=1),$AL$1302,HLOOKUP(INDIRECT(ADDRESS(2,COLUMN())),OFFSET($BN$2,0,0,ROW()-1,60),ROW()-1,FALSE))</f>
        <v>8.9484049940000006</v>
      </c>
      <c r="AM645">
        <f ca="1">IF(AND(ISNUMBER($AM$1302),$B$677=1),$AM$1302,HLOOKUP(INDIRECT(ADDRESS(2,COLUMN())),OFFSET($BN$2,0,0,ROW()-1,60),ROW()-1,FALSE))</f>
        <v>14.766046100000001</v>
      </c>
      <c r="AN645">
        <f ca="1">IF(AND(ISNUMBER($AN$1302),$B$677=1),$AN$1302,HLOOKUP(INDIRECT(ADDRESS(2,COLUMN())),OFFSET($BN$2,0,0,ROW()-1,60),ROW()-1,FALSE))</f>
        <v>19.471294570000001</v>
      </c>
      <c r="AO645">
        <f ca="1">IF(AND(ISNUMBER($AO$1302),$B$677=1),$AO$1302,HLOOKUP(INDIRECT(ADDRESS(2,COLUMN())),OFFSET($BN$2,0,0,ROW()-1,60),ROW()-1,FALSE))</f>
        <v>14.74506242</v>
      </c>
      <c r="AP645">
        <f ca="1">IF(AND(ISNUMBER($AP$1302),$B$677=1),$AP$1302,HLOOKUP(INDIRECT(ADDRESS(2,COLUMN())),OFFSET($BN$2,0,0,ROW()-1,60),ROW()-1,FALSE))</f>
        <v>8.0243639350000002</v>
      </c>
      <c r="AQ645">
        <f ca="1">IF(AND(ISNUMBER($AQ$1302),$B$677=1),$AQ$1302,HLOOKUP(INDIRECT(ADDRESS(2,COLUMN())),OFFSET($BN$2,0,0,ROW()-1,60),ROW()-1,FALSE))</f>
        <v>-9.5009088560000006</v>
      </c>
      <c r="AR645">
        <f ca="1">IF(AND(ISNUMBER($AR$1302),$B$677=1),$AR$1302,HLOOKUP(INDIRECT(ADDRESS(2,COLUMN())),OFFSET($BN$2,0,0,ROW()-1,60),ROW()-1,FALSE))</f>
        <v>-22.203768069999999</v>
      </c>
      <c r="AS645">
        <f ca="1">IF(AND(ISNUMBER($AS$1302),$B$677=1),$AS$1302,HLOOKUP(INDIRECT(ADDRESS(2,COLUMN())),OFFSET($BN$2,0,0,ROW()-1,60),ROW()-1,FALSE))</f>
        <v>-21.43332367</v>
      </c>
      <c r="AT645">
        <f ca="1">IF(AND(ISNUMBER($AT$1302),$B$677=1),$AT$1302,HLOOKUP(INDIRECT(ADDRESS(2,COLUMN())),OFFSET($BN$2,0,0,ROW()-1,60),ROW()-1,FALSE))</f>
        <v>-27.116999069999999</v>
      </c>
      <c r="AU645" t="str">
        <f ca="1">IF(AND(ISNUMBER($AU$1302),$B$677=1),$AU$1302,HLOOKUP(INDIRECT(ADDRESS(2,COLUMN())),OFFSET($BN$2,0,0,ROW()-1,60),ROW()-1,FALSE))</f>
        <v/>
      </c>
      <c r="AV645" t="str">
        <f ca="1">IF(AND(ISNUMBER($AV$1302),$B$677=1),$AV$1302,HLOOKUP(INDIRECT(ADDRESS(2,COLUMN())),OFFSET($BN$2,0,0,ROW()-1,60),ROW()-1,FALSE))</f>
        <v/>
      </c>
      <c r="AW645" t="str">
        <f ca="1">IF(AND(ISNUMBER($AW$1302),$B$677=1),$AW$1302,HLOOKUP(INDIRECT(ADDRESS(2,COLUMN())),OFFSET($BN$2,0,0,ROW()-1,60),ROW()-1,FALSE))</f>
        <v/>
      </c>
      <c r="AX645" t="str">
        <f ca="1">IF(AND(ISNUMBER($AX$1302),$B$677=1),$AX$1302,HLOOKUP(INDIRECT(ADDRESS(2,COLUMN())),OFFSET($BN$2,0,0,ROW()-1,60),ROW()-1,FALSE))</f>
        <v/>
      </c>
      <c r="AY645" t="str">
        <f ca="1">IF(AND(ISNUMBER($AY$1302),$B$677=1),$AY$1302,HLOOKUP(INDIRECT(ADDRESS(2,COLUMN())),OFFSET($BN$2,0,0,ROW()-1,60),ROW()-1,FALSE))</f>
        <v/>
      </c>
      <c r="AZ645" t="str">
        <f ca="1">IF(AND(ISNUMBER($AZ$1302),$B$677=1),$AZ$1302,HLOOKUP(INDIRECT(ADDRESS(2,COLUMN())),OFFSET($BN$2,0,0,ROW()-1,60),ROW()-1,FALSE))</f>
        <v/>
      </c>
      <c r="BA645" t="str">
        <f ca="1">IF(AND(ISNUMBER($BA$1302),$B$677=1),$BA$1302,HLOOKUP(INDIRECT(ADDRESS(2,COLUMN())),OFFSET($BN$2,0,0,ROW()-1,60),ROW()-1,FALSE))</f>
        <v/>
      </c>
      <c r="BB645" t="str">
        <f ca="1">IF(AND(ISNUMBER($BB$1302),$B$677=1),$BB$1302,HLOOKUP(INDIRECT(ADDRESS(2,COLUMN())),OFFSET($BN$2,0,0,ROW()-1,60),ROW()-1,FALSE))</f>
        <v/>
      </c>
      <c r="BC645" t="str">
        <f ca="1">IF(AND(ISNUMBER($BC$1302),$B$677=1),$BC$1302,HLOOKUP(INDIRECT(ADDRESS(2,COLUMN())),OFFSET($BN$2,0,0,ROW()-1,60),ROW()-1,FALSE))</f>
        <v/>
      </c>
      <c r="BD645" t="str">
        <f ca="1">IF(AND(ISNUMBER($BD$1302),$B$677=1),$BD$1302,HLOOKUP(INDIRECT(ADDRESS(2,COLUMN())),OFFSET($BN$2,0,0,ROW()-1,60),ROW()-1,FALSE))</f>
        <v/>
      </c>
      <c r="BE645" t="str">
        <f ca="1">IF(AND(ISNUMBER($BE$1302),$B$677=1),$BE$1302,HLOOKUP(INDIRECT(ADDRESS(2,COLUMN())),OFFSET($BN$2,0,0,ROW()-1,60),ROW()-1,FALSE))</f>
        <v/>
      </c>
      <c r="BF645" t="str">
        <f ca="1">IF(AND(ISNUMBER($BF$1302),$B$677=1),$BF$1302,HLOOKUP(INDIRECT(ADDRESS(2,COLUMN())),OFFSET($BN$2,0,0,ROW()-1,60),ROW()-1,FALSE))</f>
        <v/>
      </c>
      <c r="BG645" t="str">
        <f ca="1">IF(AND(ISNUMBER($BG$1302),$B$677=1),$BG$1302,HLOOKUP(INDIRECT(ADDRESS(2,COLUMN())),OFFSET($BN$2,0,0,ROW()-1,60),ROW()-1,FALSE))</f>
        <v/>
      </c>
      <c r="BH645" t="str">
        <f ca="1">IF(AND(ISNUMBER($BH$1302),$B$677=1),$BH$1302,HLOOKUP(INDIRECT(ADDRESS(2,COLUMN())),OFFSET($BN$2,0,0,ROW()-1,60),ROW()-1,FALSE))</f>
        <v/>
      </c>
      <c r="BI645" t="str">
        <f ca="1">IF(AND(ISNUMBER($BI$1302),$B$677=1),$BI$1302,HLOOKUP(INDIRECT(ADDRESS(2,COLUMN())),OFFSET($BN$2,0,0,ROW()-1,60),ROW()-1,FALSE))</f>
        <v/>
      </c>
      <c r="BJ645" t="str">
        <f ca="1">IF(AND(ISNUMBER($BJ$1302),$B$677=1),$BJ$1302,HLOOKUP(INDIRECT(ADDRESS(2,COLUMN())),OFFSET($BN$2,0,0,ROW()-1,60),ROW()-1,FALSE))</f>
        <v/>
      </c>
      <c r="BK645" t="str">
        <f ca="1">IF(AND(ISNUMBER($BK$1302),$B$677=1),$BK$1302,HLOOKUP(INDIRECT(ADDRESS(2,COLUMN())),OFFSET($BN$2,0,0,ROW()-1,60),ROW()-1,FALSE))</f>
        <v/>
      </c>
      <c r="BL645" t="str">
        <f ca="1">IF(AND(ISNUMBER($BL$1302),$B$677=1),$BL$1302,HLOOKUP(INDIRECT(ADDRESS(2,COLUMN())),OFFSET($BN$2,0,0,ROW()-1,60),ROW()-1,FALSE))</f>
        <v/>
      </c>
      <c r="BM645" t="str">
        <f ca="1">IF(AND(ISNUMBER($BM$1302),$B$677=1),$BM$1302,HLOOKUP(INDIRECT(ADDRESS(2,COLUMN())),OFFSET($BN$2,0,0,ROW()-1,60),ROW()-1,FALSE))</f>
        <v/>
      </c>
      <c r="BN645" t="str">
        <f>""</f>
        <v/>
      </c>
      <c r="BO645" t="str">
        <f>""</f>
        <v/>
      </c>
      <c r="BP645" t="str">
        <f>""</f>
        <v/>
      </c>
      <c r="BQ645" t="str">
        <f>""</f>
        <v/>
      </c>
      <c r="BR645" t="str">
        <f>""</f>
        <v/>
      </c>
      <c r="BS645" t="str">
        <f>""</f>
        <v/>
      </c>
      <c r="BT645" t="str">
        <f>""</f>
        <v/>
      </c>
      <c r="BU645" t="str">
        <f>""</f>
        <v/>
      </c>
      <c r="BV645" t="str">
        <f>""</f>
        <v/>
      </c>
      <c r="BW645" t="str">
        <f>""</f>
        <v/>
      </c>
      <c r="BX645" t="str">
        <f>""</f>
        <v/>
      </c>
      <c r="BY645" t="str">
        <f>""</f>
        <v/>
      </c>
      <c r="BZ645" t="str">
        <f>""</f>
        <v/>
      </c>
      <c r="CA645" t="str">
        <f>""</f>
        <v/>
      </c>
      <c r="CB645" t="str">
        <f>""</f>
        <v/>
      </c>
      <c r="CC645" t="str">
        <f>""</f>
        <v/>
      </c>
      <c r="CD645" t="str">
        <f>""</f>
        <v/>
      </c>
      <c r="CE645" t="str">
        <f>""</f>
        <v/>
      </c>
      <c r="CF645" t="str">
        <f>""</f>
        <v/>
      </c>
      <c r="CG645" t="str">
        <f>""</f>
        <v/>
      </c>
      <c r="CH645" t="str">
        <f>""</f>
        <v/>
      </c>
      <c r="CI645" t="str">
        <f>""</f>
        <v/>
      </c>
      <c r="CJ645" t="str">
        <f>""</f>
        <v/>
      </c>
      <c r="CK645" t="str">
        <f>""</f>
        <v/>
      </c>
      <c r="CL645" t="str">
        <f>""</f>
        <v/>
      </c>
      <c r="CM645" t="str">
        <f>""</f>
        <v/>
      </c>
      <c r="CN645" t="str">
        <f>""</f>
        <v/>
      </c>
      <c r="CO645" t="str">
        <f>""</f>
        <v/>
      </c>
      <c r="CP645" t="str">
        <f>""</f>
        <v/>
      </c>
      <c r="CQ645" t="str">
        <f>""</f>
        <v/>
      </c>
      <c r="CR645" t="str">
        <f>""</f>
        <v/>
      </c>
      <c r="CS645">
        <f>9.313646014</f>
        <v>9.3136460139999997</v>
      </c>
      <c r="CT645">
        <f>8.948404994</f>
        <v>8.9484049940000006</v>
      </c>
      <c r="CU645">
        <f>14.7660461</f>
        <v>14.766046100000001</v>
      </c>
      <c r="CV645">
        <f>19.47129457</f>
        <v>19.471294570000001</v>
      </c>
      <c r="CW645">
        <f>14.74506242</f>
        <v>14.74506242</v>
      </c>
      <c r="CX645">
        <f>8.024363935</f>
        <v>8.0243639350000002</v>
      </c>
      <c r="CY645">
        <f>-9.500908856</f>
        <v>-9.5009088560000006</v>
      </c>
      <c r="CZ645">
        <f>-22.20376807</f>
        <v>-22.203768069999999</v>
      </c>
      <c r="DA645">
        <f>-21.43332367</f>
        <v>-21.43332367</v>
      </c>
      <c r="DB645">
        <f>-27.11699907</f>
        <v>-27.116999069999999</v>
      </c>
      <c r="DC645" t="str">
        <f>""</f>
        <v/>
      </c>
      <c r="DD645" t="str">
        <f>""</f>
        <v/>
      </c>
      <c r="DE645" t="str">
        <f>""</f>
        <v/>
      </c>
      <c r="DF645" t="str">
        <f>""</f>
        <v/>
      </c>
      <c r="DG645" t="str">
        <f>""</f>
        <v/>
      </c>
      <c r="DH645" t="str">
        <f>""</f>
        <v/>
      </c>
      <c r="DI645" t="str">
        <f>""</f>
        <v/>
      </c>
      <c r="DJ645" t="str">
        <f>""</f>
        <v/>
      </c>
      <c r="DK645" t="str">
        <f>""</f>
        <v/>
      </c>
      <c r="DL645" t="str">
        <f>""</f>
        <v/>
      </c>
      <c r="DM645" t="str">
        <f>""</f>
        <v/>
      </c>
      <c r="DN645" t="str">
        <f>""</f>
        <v/>
      </c>
      <c r="DO645" t="str">
        <f>""</f>
        <v/>
      </c>
      <c r="DP645" t="str">
        <f>""</f>
        <v/>
      </c>
      <c r="DQ645" t="str">
        <f>""</f>
        <v/>
      </c>
      <c r="DR645" t="str">
        <f>""</f>
        <v/>
      </c>
      <c r="DS645" t="str">
        <f>""</f>
        <v/>
      </c>
      <c r="DT645" t="str">
        <f>""</f>
        <v/>
      </c>
      <c r="DU645" t="str">
        <f>""</f>
        <v/>
      </c>
    </row>
    <row r="646" spans="1:125" x14ac:dyDescent="0.25">
      <c r="A646" t="str">
        <f>"    Nissan Motor Co Ltd"</f>
        <v xml:space="preserve">    Nissan Motor Co Ltd</v>
      </c>
      <c r="B646" t="str">
        <f>"7201 JP Equity"</f>
        <v>7201 JP Equity</v>
      </c>
      <c r="C646" t="str">
        <f t="shared" si="45"/>
        <v>RX539</v>
      </c>
      <c r="D646" t="str">
        <f t="shared" si="46"/>
        <v>T12_FCF_YIELD</v>
      </c>
      <c r="E646" t="str">
        <f t="shared" si="47"/>
        <v>Dynamic</v>
      </c>
      <c r="F646">
        <f ca="1">IF(AND(ISNUMBER($F$1303),$B$677=1),$F$1303,HLOOKUP(INDIRECT(ADDRESS(2,COLUMN())),OFFSET($BN$2,0,0,ROW()-1,60),ROW()-1,FALSE))</f>
        <v>29.418687250000001</v>
      </c>
      <c r="G646">
        <f ca="1">IF(AND(ISNUMBER($G$1303),$B$677=1),$G$1303,HLOOKUP(INDIRECT(ADDRESS(2,COLUMN())),OFFSET($BN$2,0,0,ROW()-1,60),ROW()-1,FALSE))</f>
        <v>31.667781479999999</v>
      </c>
      <c r="H646">
        <f ca="1">IF(AND(ISNUMBER($H$1303),$B$677=1),$H$1303,HLOOKUP(INDIRECT(ADDRESS(2,COLUMN())),OFFSET($BN$2,0,0,ROW()-1,60),ROW()-1,FALSE))</f>
        <v>19.197855520000001</v>
      </c>
      <c r="I646">
        <f ca="1">IF(AND(ISNUMBER($I$1303),$B$677=1),$I$1303,HLOOKUP(INDIRECT(ADDRESS(2,COLUMN())),OFFSET($BN$2,0,0,ROW()-1,60),ROW()-1,FALSE))</f>
        <v>19.587814000000002</v>
      </c>
      <c r="J646">
        <f ca="1">IF(AND(ISNUMBER($J$1303),$B$677=1),$J$1303,HLOOKUP(INDIRECT(ADDRESS(2,COLUMN())),OFFSET($BN$2,0,0,ROW()-1,60),ROW()-1,FALSE))</f>
        <v>14.43134545</v>
      </c>
      <c r="K646">
        <f ca="1">IF(AND(ISNUMBER($K$1303),$B$677=1),$K$1303,HLOOKUP(INDIRECT(ADDRESS(2,COLUMN())),OFFSET($BN$2,0,0,ROW()-1,60),ROW()-1,FALSE))</f>
        <v>8.7425626960000002</v>
      </c>
      <c r="L646">
        <f ca="1">IF(AND(ISNUMBER($L$1303),$B$677=1),$L$1303,HLOOKUP(INDIRECT(ADDRESS(2,COLUMN())),OFFSET($BN$2,0,0,ROW()-1,60),ROW()-1,FALSE))</f>
        <v>14.129928530000001</v>
      </c>
      <c r="M646">
        <f ca="1">IF(AND(ISNUMBER($M$1303),$B$677=1),$M$1303,HLOOKUP(INDIRECT(ADDRESS(2,COLUMN())),OFFSET($BN$2,0,0,ROW()-1,60),ROW()-1,FALSE))</f>
        <v>13.56733623</v>
      </c>
      <c r="N646">
        <f ca="1">IF(AND(ISNUMBER($N$1303),$B$677=1),$N$1303,HLOOKUP(INDIRECT(ADDRESS(2,COLUMN())),OFFSET($BN$2,0,0,ROW()-1,60),ROW()-1,FALSE))</f>
        <v>18.35664087</v>
      </c>
      <c r="O646">
        <f ca="1">IF(AND(ISNUMBER($O$1303),$B$677=1),$O$1303,HLOOKUP(INDIRECT(ADDRESS(2,COLUMN())),OFFSET($BN$2,0,0,ROW()-1,60),ROW()-1,FALSE))</f>
        <v>14.737160940000001</v>
      </c>
      <c r="P646">
        <f ca="1">IF(AND(ISNUMBER($P$1303),$B$677=1),$P$1303,HLOOKUP(INDIRECT(ADDRESS(2,COLUMN())),OFFSET($BN$2,0,0,ROW()-1,60),ROW()-1,FALSE))</f>
        <v>15.196319409999999</v>
      </c>
      <c r="Q646">
        <f ca="1">IF(AND(ISNUMBER($Q$1303),$B$677=1),$Q$1303,HLOOKUP(INDIRECT(ADDRESS(2,COLUMN())),OFFSET($BN$2,0,0,ROW()-1,60),ROW()-1,FALSE))</f>
        <v>15.402441769999999</v>
      </c>
      <c r="R646">
        <f ca="1">IF(AND(ISNUMBER($R$1303),$B$677=1),$R$1303,HLOOKUP(INDIRECT(ADDRESS(2,COLUMN())),OFFSET($BN$2,0,0,ROW()-1,60),ROW()-1,FALSE))</f>
        <v>8.4542021169999995</v>
      </c>
      <c r="S646">
        <f ca="1">IF(AND(ISNUMBER($S$1303),$B$677=1),$S$1303,HLOOKUP(INDIRECT(ADDRESS(2,COLUMN())),OFFSET($BN$2,0,0,ROW()-1,60),ROW()-1,FALSE))</f>
        <v>4.8435621710000003</v>
      </c>
      <c r="T646">
        <f ca="1">IF(AND(ISNUMBER($T$1303),$B$677=1),$T$1303,HLOOKUP(INDIRECT(ADDRESS(2,COLUMN())),OFFSET($BN$2,0,0,ROW()-1,60),ROW()-1,FALSE))</f>
        <v>4.9300977650000002</v>
      </c>
      <c r="U646">
        <f ca="1">IF(AND(ISNUMBER($U$1303),$B$677=1),$U$1303,HLOOKUP(INDIRECT(ADDRESS(2,COLUMN())),OFFSET($BN$2,0,0,ROW()-1,60),ROW()-1,FALSE))</f>
        <v>5.1841353149999998</v>
      </c>
      <c r="V646">
        <f ca="1">IF(AND(ISNUMBER($V$1303),$B$677=1),$V$1303,HLOOKUP(INDIRECT(ADDRESS(2,COLUMN())),OFFSET($BN$2,0,0,ROW()-1,60),ROW()-1,FALSE))</f>
        <v>3.243583353</v>
      </c>
      <c r="W646">
        <f ca="1">IF(AND(ISNUMBER($W$1303),$B$677=1),$W$1303,HLOOKUP(INDIRECT(ADDRESS(2,COLUMN())),OFFSET($BN$2,0,0,ROW()-1,60),ROW()-1,FALSE))</f>
        <v>7.4170703339999999</v>
      </c>
      <c r="X646">
        <f ca="1">IF(AND(ISNUMBER($X$1303),$B$677=1),$X$1303,HLOOKUP(INDIRECT(ADDRESS(2,COLUMN())),OFFSET($BN$2,0,0,ROW()-1,60),ROW()-1,FALSE))</f>
        <v>4.625872878</v>
      </c>
      <c r="Y646">
        <f ca="1">IF(AND(ISNUMBER($Y$1303),$B$677=1),$Y$1303,HLOOKUP(INDIRECT(ADDRESS(2,COLUMN())),OFFSET($BN$2,0,0,ROW()-1,60),ROW()-1,FALSE))</f>
        <v>2.4077391819999998</v>
      </c>
      <c r="Z646">
        <f ca="1">IF(AND(ISNUMBER($Z$1303),$B$677=1),$Z$1303,HLOOKUP(INDIRECT(ADDRESS(2,COLUMN())),OFFSET($BN$2,0,0,ROW()-1,60),ROW()-1,FALSE))</f>
        <v>4.2393011960000004</v>
      </c>
      <c r="AA646">
        <f ca="1">IF(AND(ISNUMBER($AA$1303),$B$677=1),$AA$1303,HLOOKUP(INDIRECT(ADDRESS(2,COLUMN())),OFFSET($BN$2,0,0,ROW()-1,60),ROW()-1,FALSE))</f>
        <v>2.7139770470000002</v>
      </c>
      <c r="AB646">
        <f ca="1">IF(AND(ISNUMBER($AB$1303),$B$677=1),$AB$1303,HLOOKUP(INDIRECT(ADDRESS(2,COLUMN())),OFFSET($BN$2,0,0,ROW()-1,60),ROW()-1,FALSE))</f>
        <v>2.9014807010000001</v>
      </c>
      <c r="AC646">
        <f ca="1">IF(AND(ISNUMBER($AC$1303),$B$677=1),$AC$1303,HLOOKUP(INDIRECT(ADDRESS(2,COLUMN())),OFFSET($BN$2,0,0,ROW()-1,60),ROW()-1,FALSE))</f>
        <v>-0.20091039599999999</v>
      </c>
      <c r="AD646">
        <f ca="1">IF(AND(ISNUMBER($AD$1303),$B$677=1),$AD$1303,HLOOKUP(INDIRECT(ADDRESS(2,COLUMN())),OFFSET($BN$2,0,0,ROW()-1,60),ROW()-1,FALSE))</f>
        <v>-1.061925521</v>
      </c>
      <c r="AE646">
        <f ca="1">IF(AND(ISNUMBER($AE$1303),$B$677=1),$AE$1303,HLOOKUP(INDIRECT(ADDRESS(2,COLUMN())),OFFSET($BN$2,0,0,ROW()-1,60),ROW()-1,FALSE))</f>
        <v>-3.9728062259999999</v>
      </c>
      <c r="AF646">
        <f ca="1">IF(AND(ISNUMBER($AF$1303),$B$677=1),$AF$1303,HLOOKUP(INDIRECT(ADDRESS(2,COLUMN())),OFFSET($BN$2,0,0,ROW()-1,60),ROW()-1,FALSE))</f>
        <v>-1.754163801</v>
      </c>
      <c r="AG646">
        <f ca="1">IF(AND(ISNUMBER($AG$1303),$B$677=1),$AG$1303,HLOOKUP(INDIRECT(ADDRESS(2,COLUMN())),OFFSET($BN$2,0,0,ROW()-1,60),ROW()-1,FALSE))</f>
        <v>2.2171258119999999</v>
      </c>
      <c r="AH646">
        <f ca="1">IF(AND(ISNUMBER($AH$1303),$B$677=1),$AH$1303,HLOOKUP(INDIRECT(ADDRESS(2,COLUMN())),OFFSET($BN$2,0,0,ROW()-1,60),ROW()-1,FALSE))</f>
        <v>7.4238650330000002</v>
      </c>
      <c r="AI646">
        <f ca="1">IF(AND(ISNUMBER($AI$1303),$B$677=1),$AI$1303,HLOOKUP(INDIRECT(ADDRESS(2,COLUMN())),OFFSET($BN$2,0,0,ROW()-1,60),ROW()-1,FALSE))</f>
        <v>8.9681251890000002</v>
      </c>
      <c r="AJ646">
        <f ca="1">IF(AND(ISNUMBER($AJ$1303),$B$677=1),$AJ$1303,HLOOKUP(INDIRECT(ADDRESS(2,COLUMN())),OFFSET($BN$2,0,0,ROW()-1,60),ROW()-1,FALSE))</f>
        <v>12.042303670000001</v>
      </c>
      <c r="AK646">
        <f ca="1">IF(AND(ISNUMBER($AK$1303),$B$677=1),$AK$1303,HLOOKUP(INDIRECT(ADDRESS(2,COLUMN())),OFFSET($BN$2,0,0,ROW()-1,60),ROW()-1,FALSE))</f>
        <v>9.6709727890000003</v>
      </c>
      <c r="AL646">
        <f ca="1">IF(AND(ISNUMBER($AL$1303),$B$677=1),$AL$1303,HLOOKUP(INDIRECT(ADDRESS(2,COLUMN())),OFFSET($BN$2,0,0,ROW()-1,60),ROW()-1,FALSE))</f>
        <v>11.556256830000001</v>
      </c>
      <c r="AM646">
        <f ca="1">IF(AND(ISNUMBER($AM$1303),$B$677=1),$AM$1303,HLOOKUP(INDIRECT(ADDRESS(2,COLUMN())),OFFSET($BN$2,0,0,ROW()-1,60),ROW()-1,FALSE))</f>
        <v>12.067718899999999</v>
      </c>
      <c r="AN646">
        <f ca="1">IF(AND(ISNUMBER($AN$1303),$B$677=1),$AN$1303,HLOOKUP(INDIRECT(ADDRESS(2,COLUMN())),OFFSET($BN$2,0,0,ROW()-1,60),ROW()-1,FALSE))</f>
        <v>14.31417006</v>
      </c>
      <c r="AO646">
        <f ca="1">IF(AND(ISNUMBER($AO$1303),$B$677=1),$AO$1303,HLOOKUP(INDIRECT(ADDRESS(2,COLUMN())),OFFSET($BN$2,0,0,ROW()-1,60),ROW()-1,FALSE))</f>
        <v>27.733036420000001</v>
      </c>
      <c r="AP646">
        <f ca="1">IF(AND(ISNUMBER($AP$1303),$B$677=1),$AP$1303,HLOOKUP(INDIRECT(ADDRESS(2,COLUMN())),OFFSET($BN$2,0,0,ROW()-1,60),ROW()-1,FALSE))</f>
        <v>24.895411540000001</v>
      </c>
      <c r="AQ646">
        <f ca="1">IF(AND(ISNUMBER($AQ$1303),$B$677=1),$AQ$1303,HLOOKUP(INDIRECT(ADDRESS(2,COLUMN())),OFFSET($BN$2,0,0,ROW()-1,60),ROW()-1,FALSE))</f>
        <v>29.454941890000001</v>
      </c>
      <c r="AR646">
        <f ca="1">IF(AND(ISNUMBER($AR$1303),$B$677=1),$AR$1303,HLOOKUP(INDIRECT(ADDRESS(2,COLUMN())),OFFSET($BN$2,0,0,ROW()-1,60),ROW()-1,FALSE))</f>
        <v>37.26706798</v>
      </c>
      <c r="AS646">
        <f ca="1">IF(AND(ISNUMBER($AS$1303),$B$677=1),$AS$1303,HLOOKUP(INDIRECT(ADDRESS(2,COLUMN())),OFFSET($BN$2,0,0,ROW()-1,60),ROW()-1,FALSE))</f>
        <v>30.74417549</v>
      </c>
      <c r="AT646">
        <f ca="1">IF(AND(ISNUMBER($AT$1303),$B$677=1),$AT$1303,HLOOKUP(INDIRECT(ADDRESS(2,COLUMN())),OFFSET($BN$2,0,0,ROW()-1,60),ROW()-1,FALSE))</f>
        <v>31.891539470000001</v>
      </c>
      <c r="AU646" t="str">
        <f ca="1">IF(AND(ISNUMBER($AU$1303),$B$677=1),$AU$1303,HLOOKUP(INDIRECT(ADDRESS(2,COLUMN())),OFFSET($BN$2,0,0,ROW()-1,60),ROW()-1,FALSE))</f>
        <v/>
      </c>
      <c r="AV646" t="str">
        <f ca="1">IF(AND(ISNUMBER($AV$1303),$B$677=1),$AV$1303,HLOOKUP(INDIRECT(ADDRESS(2,COLUMN())),OFFSET($BN$2,0,0,ROW()-1,60),ROW()-1,FALSE))</f>
        <v/>
      </c>
      <c r="AW646" t="str">
        <f ca="1">IF(AND(ISNUMBER($AW$1303),$B$677=1),$AW$1303,HLOOKUP(INDIRECT(ADDRESS(2,COLUMN())),OFFSET($BN$2,0,0,ROW()-1,60),ROW()-1,FALSE))</f>
        <v/>
      </c>
      <c r="AX646" t="str">
        <f ca="1">IF(AND(ISNUMBER($AX$1303),$B$677=1),$AX$1303,HLOOKUP(INDIRECT(ADDRESS(2,COLUMN())),OFFSET($BN$2,0,0,ROW()-1,60),ROW()-1,FALSE))</f>
        <v/>
      </c>
      <c r="AY646" t="str">
        <f ca="1">IF(AND(ISNUMBER($AY$1303),$B$677=1),$AY$1303,HLOOKUP(INDIRECT(ADDRESS(2,COLUMN())),OFFSET($BN$2,0,0,ROW()-1,60),ROW()-1,FALSE))</f>
        <v/>
      </c>
      <c r="AZ646" t="str">
        <f ca="1">IF(AND(ISNUMBER($AZ$1303),$B$677=1),$AZ$1303,HLOOKUP(INDIRECT(ADDRESS(2,COLUMN())),OFFSET($BN$2,0,0,ROW()-1,60),ROW()-1,FALSE))</f>
        <v/>
      </c>
      <c r="BA646" t="str">
        <f ca="1">IF(AND(ISNUMBER($BA$1303),$B$677=1),$BA$1303,HLOOKUP(INDIRECT(ADDRESS(2,COLUMN())),OFFSET($BN$2,0,0,ROW()-1,60),ROW()-1,FALSE))</f>
        <v/>
      </c>
      <c r="BB646" t="str">
        <f ca="1">IF(AND(ISNUMBER($BB$1303),$B$677=1),$BB$1303,HLOOKUP(INDIRECT(ADDRESS(2,COLUMN())),OFFSET($BN$2,0,0,ROW()-1,60),ROW()-1,FALSE))</f>
        <v/>
      </c>
      <c r="BC646" t="str">
        <f ca="1">IF(AND(ISNUMBER($BC$1303),$B$677=1),$BC$1303,HLOOKUP(INDIRECT(ADDRESS(2,COLUMN())),OFFSET($BN$2,0,0,ROW()-1,60),ROW()-1,FALSE))</f>
        <v/>
      </c>
      <c r="BD646" t="str">
        <f ca="1">IF(AND(ISNUMBER($BD$1303),$B$677=1),$BD$1303,HLOOKUP(INDIRECT(ADDRESS(2,COLUMN())),OFFSET($BN$2,0,0,ROW()-1,60),ROW()-1,FALSE))</f>
        <v/>
      </c>
      <c r="BE646" t="str">
        <f ca="1">IF(AND(ISNUMBER($BE$1303),$B$677=1),$BE$1303,HLOOKUP(INDIRECT(ADDRESS(2,COLUMN())),OFFSET($BN$2,0,0,ROW()-1,60),ROW()-1,FALSE))</f>
        <v/>
      </c>
      <c r="BF646" t="str">
        <f ca="1">IF(AND(ISNUMBER($BF$1303),$B$677=1),$BF$1303,HLOOKUP(INDIRECT(ADDRESS(2,COLUMN())),OFFSET($BN$2,0,0,ROW()-1,60),ROW()-1,FALSE))</f>
        <v/>
      </c>
      <c r="BG646" t="str">
        <f ca="1">IF(AND(ISNUMBER($BG$1303),$B$677=1),$BG$1303,HLOOKUP(INDIRECT(ADDRESS(2,COLUMN())),OFFSET($BN$2,0,0,ROW()-1,60),ROW()-1,FALSE))</f>
        <v/>
      </c>
      <c r="BH646" t="str">
        <f ca="1">IF(AND(ISNUMBER($BH$1303),$B$677=1),$BH$1303,HLOOKUP(INDIRECT(ADDRESS(2,COLUMN())),OFFSET($BN$2,0,0,ROW()-1,60),ROW()-1,FALSE))</f>
        <v/>
      </c>
      <c r="BI646" t="str">
        <f ca="1">IF(AND(ISNUMBER($BI$1303),$B$677=1),$BI$1303,HLOOKUP(INDIRECT(ADDRESS(2,COLUMN())),OFFSET($BN$2,0,0,ROW()-1,60),ROW()-1,FALSE))</f>
        <v/>
      </c>
      <c r="BJ646" t="str">
        <f ca="1">IF(AND(ISNUMBER($BJ$1303),$B$677=1),$BJ$1303,HLOOKUP(INDIRECT(ADDRESS(2,COLUMN())),OFFSET($BN$2,0,0,ROW()-1,60),ROW()-1,FALSE))</f>
        <v/>
      </c>
      <c r="BK646" t="str">
        <f ca="1">IF(AND(ISNUMBER($BK$1303),$B$677=1),$BK$1303,HLOOKUP(INDIRECT(ADDRESS(2,COLUMN())),OFFSET($BN$2,0,0,ROW()-1,60),ROW()-1,FALSE))</f>
        <v/>
      </c>
      <c r="BL646" t="str">
        <f ca="1">IF(AND(ISNUMBER($BL$1303),$B$677=1),$BL$1303,HLOOKUP(INDIRECT(ADDRESS(2,COLUMN())),OFFSET($BN$2,0,0,ROW()-1,60),ROW()-1,FALSE))</f>
        <v/>
      </c>
      <c r="BM646" t="str">
        <f ca="1">IF(AND(ISNUMBER($BM$1303),$B$677=1),$BM$1303,HLOOKUP(INDIRECT(ADDRESS(2,COLUMN())),OFFSET($BN$2,0,0,ROW()-1,60),ROW()-1,FALSE))</f>
        <v/>
      </c>
      <c r="BN646">
        <f>29.41868725</f>
        <v>29.418687250000001</v>
      </c>
      <c r="BO646">
        <f>31.66778148</f>
        <v>31.667781479999999</v>
      </c>
      <c r="BP646">
        <f>19.19785552</f>
        <v>19.197855520000001</v>
      </c>
      <c r="BQ646">
        <f>19.587814</f>
        <v>19.587814000000002</v>
      </c>
      <c r="BR646">
        <f>14.43134545</f>
        <v>14.43134545</v>
      </c>
      <c r="BS646">
        <f>8.742562696</f>
        <v>8.7425626960000002</v>
      </c>
      <c r="BT646">
        <f>14.12992853</f>
        <v>14.129928530000001</v>
      </c>
      <c r="BU646">
        <f>13.56733623</f>
        <v>13.56733623</v>
      </c>
      <c r="BV646">
        <f>18.35664087</f>
        <v>18.35664087</v>
      </c>
      <c r="BW646">
        <f>14.73716094</f>
        <v>14.737160940000001</v>
      </c>
      <c r="BX646">
        <f>15.19631941</f>
        <v>15.196319409999999</v>
      </c>
      <c r="BY646">
        <f>15.40244177</f>
        <v>15.402441769999999</v>
      </c>
      <c r="BZ646">
        <f>8.454202117</f>
        <v>8.4542021169999995</v>
      </c>
      <c r="CA646">
        <f>4.843562171</f>
        <v>4.8435621710000003</v>
      </c>
      <c r="CB646">
        <f>4.930097765</f>
        <v>4.9300977650000002</v>
      </c>
      <c r="CC646">
        <f>5.184135315</f>
        <v>5.1841353149999998</v>
      </c>
      <c r="CD646">
        <f>3.243583353</f>
        <v>3.243583353</v>
      </c>
      <c r="CE646">
        <f>7.417070334</f>
        <v>7.4170703339999999</v>
      </c>
      <c r="CF646">
        <f>4.625872878</f>
        <v>4.625872878</v>
      </c>
      <c r="CG646">
        <f>2.407739182</f>
        <v>2.4077391819999998</v>
      </c>
      <c r="CH646">
        <f>4.239301196</f>
        <v>4.2393011960000004</v>
      </c>
      <c r="CI646">
        <f>2.713977047</f>
        <v>2.7139770470000002</v>
      </c>
      <c r="CJ646">
        <f>2.901480701</f>
        <v>2.9014807010000001</v>
      </c>
      <c r="CK646">
        <f>-0.200910396</f>
        <v>-0.20091039599999999</v>
      </c>
      <c r="CL646">
        <f>-1.061925521</f>
        <v>-1.061925521</v>
      </c>
      <c r="CM646">
        <f>-3.972806226</f>
        <v>-3.9728062259999999</v>
      </c>
      <c r="CN646">
        <f>-1.754163801</f>
        <v>-1.754163801</v>
      </c>
      <c r="CO646">
        <f>2.217125812</f>
        <v>2.2171258119999999</v>
      </c>
      <c r="CP646">
        <f>7.423865033</f>
        <v>7.4238650330000002</v>
      </c>
      <c r="CQ646">
        <f>8.968125189</f>
        <v>8.9681251890000002</v>
      </c>
      <c r="CR646">
        <f>12.04230367</f>
        <v>12.042303670000001</v>
      </c>
      <c r="CS646">
        <f>9.670972789</f>
        <v>9.6709727890000003</v>
      </c>
      <c r="CT646">
        <f>11.55625683</f>
        <v>11.556256830000001</v>
      </c>
      <c r="CU646">
        <f>12.0677189</f>
        <v>12.067718899999999</v>
      </c>
      <c r="CV646">
        <f>14.31417006</f>
        <v>14.31417006</v>
      </c>
      <c r="CW646">
        <f>27.73303642</f>
        <v>27.733036420000001</v>
      </c>
      <c r="CX646">
        <f>24.89541154</f>
        <v>24.895411540000001</v>
      </c>
      <c r="CY646">
        <f>29.45494189</f>
        <v>29.454941890000001</v>
      </c>
      <c r="CZ646">
        <f>37.26706798</f>
        <v>37.26706798</v>
      </c>
      <c r="DA646">
        <f>30.74417549</f>
        <v>30.74417549</v>
      </c>
      <c r="DB646">
        <f>31.89153947</f>
        <v>31.891539470000001</v>
      </c>
      <c r="DC646" t="str">
        <f>""</f>
        <v/>
      </c>
      <c r="DD646" t="str">
        <f>""</f>
        <v/>
      </c>
      <c r="DE646" t="str">
        <f>""</f>
        <v/>
      </c>
      <c r="DF646" t="str">
        <f>""</f>
        <v/>
      </c>
      <c r="DG646" t="str">
        <f>""</f>
        <v/>
      </c>
      <c r="DH646" t="str">
        <f>""</f>
        <v/>
      </c>
      <c r="DI646" t="str">
        <f>""</f>
        <v/>
      </c>
      <c r="DJ646" t="str">
        <f>""</f>
        <v/>
      </c>
      <c r="DK646" t="str">
        <f>""</f>
        <v/>
      </c>
      <c r="DL646" t="str">
        <f>""</f>
        <v/>
      </c>
      <c r="DM646" t="str">
        <f>""</f>
        <v/>
      </c>
      <c r="DN646" t="str">
        <f>""</f>
        <v/>
      </c>
      <c r="DO646" t="str">
        <f>""</f>
        <v/>
      </c>
      <c r="DP646" t="str">
        <f>""</f>
        <v/>
      </c>
      <c r="DQ646" t="str">
        <f>""</f>
        <v/>
      </c>
      <c r="DR646" t="str">
        <f>""</f>
        <v/>
      </c>
      <c r="DS646" t="str">
        <f>""</f>
        <v/>
      </c>
      <c r="DT646" t="str">
        <f>""</f>
        <v/>
      </c>
      <c r="DU646" t="str">
        <f>""</f>
        <v/>
      </c>
    </row>
    <row r="647" spans="1:125" x14ac:dyDescent="0.25">
      <c r="A647" t="str">
        <f>"    Peugeot SA"</f>
        <v xml:space="preserve">    Peugeot SA</v>
      </c>
      <c r="B647" t="str">
        <f>"UG FP Equity"</f>
        <v>UG FP Equity</v>
      </c>
      <c r="C647" t="str">
        <f t="shared" si="45"/>
        <v>RX539</v>
      </c>
      <c r="D647" t="str">
        <f t="shared" si="46"/>
        <v>T12_FCF_YIELD</v>
      </c>
      <c r="E647" t="str">
        <f t="shared" si="47"/>
        <v>Dynamic</v>
      </c>
      <c r="F647" t="str">
        <f ca="1">IF(AND(ISNUMBER($F$1304),$B$677=1),$F$1304,HLOOKUP(INDIRECT(ADDRESS(2,COLUMN())),OFFSET($BN$2,0,0,ROW()-1,60),ROW()-1,FALSE))</f>
        <v/>
      </c>
      <c r="G647" t="str">
        <f ca="1">IF(AND(ISNUMBER($G$1304),$B$677=1),$G$1304,HLOOKUP(INDIRECT(ADDRESS(2,COLUMN())),OFFSET($BN$2,0,0,ROW()-1,60),ROW()-1,FALSE))</f>
        <v/>
      </c>
      <c r="H647" t="str">
        <f ca="1">IF(AND(ISNUMBER($H$1304),$B$677=1),$H$1304,HLOOKUP(INDIRECT(ADDRESS(2,COLUMN())),OFFSET($BN$2,0,0,ROW()-1,60),ROW()-1,FALSE))</f>
        <v/>
      </c>
      <c r="I647" t="str">
        <f ca="1">IF(AND(ISNUMBER($I$1304),$B$677=1),$I$1304,HLOOKUP(INDIRECT(ADDRESS(2,COLUMN())),OFFSET($BN$2,0,0,ROW()-1,60),ROW()-1,FALSE))</f>
        <v/>
      </c>
      <c r="J647" t="str">
        <f ca="1">IF(AND(ISNUMBER($J$1304),$B$677=1),$J$1304,HLOOKUP(INDIRECT(ADDRESS(2,COLUMN())),OFFSET($BN$2,0,0,ROW()-1,60),ROW()-1,FALSE))</f>
        <v/>
      </c>
      <c r="K647" t="str">
        <f ca="1">IF(AND(ISNUMBER($K$1304),$B$677=1),$K$1304,HLOOKUP(INDIRECT(ADDRESS(2,COLUMN())),OFFSET($BN$2,0,0,ROW()-1,60),ROW()-1,FALSE))</f>
        <v/>
      </c>
      <c r="L647" t="str">
        <f ca="1">IF(AND(ISNUMBER($L$1304),$B$677=1),$L$1304,HLOOKUP(INDIRECT(ADDRESS(2,COLUMN())),OFFSET($BN$2,0,0,ROW()-1,60),ROW()-1,FALSE))</f>
        <v/>
      </c>
      <c r="M647" t="str">
        <f ca="1">IF(AND(ISNUMBER($M$1304),$B$677=1),$M$1304,HLOOKUP(INDIRECT(ADDRESS(2,COLUMN())),OFFSET($BN$2,0,0,ROW()-1,60),ROW()-1,FALSE))</f>
        <v/>
      </c>
      <c r="N647" t="str">
        <f ca="1">IF(AND(ISNUMBER($N$1304),$B$677=1),$N$1304,HLOOKUP(INDIRECT(ADDRESS(2,COLUMN())),OFFSET($BN$2,0,0,ROW()-1,60),ROW()-1,FALSE))</f>
        <v/>
      </c>
      <c r="O647" t="str">
        <f ca="1">IF(AND(ISNUMBER($O$1304),$B$677=1),$O$1304,HLOOKUP(INDIRECT(ADDRESS(2,COLUMN())),OFFSET($BN$2,0,0,ROW()-1,60),ROW()-1,FALSE))</f>
        <v/>
      </c>
      <c r="P647" t="str">
        <f ca="1">IF(AND(ISNUMBER($P$1304),$B$677=1),$P$1304,HLOOKUP(INDIRECT(ADDRESS(2,COLUMN())),OFFSET($BN$2,0,0,ROW()-1,60),ROW()-1,FALSE))</f>
        <v/>
      </c>
      <c r="Q647" t="str">
        <f ca="1">IF(AND(ISNUMBER($Q$1304),$B$677=1),$Q$1304,HLOOKUP(INDIRECT(ADDRESS(2,COLUMN())),OFFSET($BN$2,0,0,ROW()-1,60),ROW()-1,FALSE))</f>
        <v/>
      </c>
      <c r="R647" t="str">
        <f ca="1">IF(AND(ISNUMBER($R$1304),$B$677=1),$R$1304,HLOOKUP(INDIRECT(ADDRESS(2,COLUMN())),OFFSET($BN$2,0,0,ROW()-1,60),ROW()-1,FALSE))</f>
        <v/>
      </c>
      <c r="S647" t="str">
        <f ca="1">IF(AND(ISNUMBER($S$1304),$B$677=1),$S$1304,HLOOKUP(INDIRECT(ADDRESS(2,COLUMN())),OFFSET($BN$2,0,0,ROW()-1,60),ROW()-1,FALSE))</f>
        <v/>
      </c>
      <c r="T647" t="str">
        <f ca="1">IF(AND(ISNUMBER($T$1304),$B$677=1),$T$1304,HLOOKUP(INDIRECT(ADDRESS(2,COLUMN())),OFFSET($BN$2,0,0,ROW()-1,60),ROW()-1,FALSE))</f>
        <v/>
      </c>
      <c r="U647" t="str">
        <f ca="1">IF(AND(ISNUMBER($U$1304),$B$677=1),$U$1304,HLOOKUP(INDIRECT(ADDRESS(2,COLUMN())),OFFSET($BN$2,0,0,ROW()-1,60),ROW()-1,FALSE))</f>
        <v/>
      </c>
      <c r="V647" t="str">
        <f ca="1">IF(AND(ISNUMBER($V$1304),$B$677=1),$V$1304,HLOOKUP(INDIRECT(ADDRESS(2,COLUMN())),OFFSET($BN$2,0,0,ROW()-1,60),ROW()-1,FALSE))</f>
        <v/>
      </c>
      <c r="W647" t="str">
        <f ca="1">IF(AND(ISNUMBER($W$1304),$B$677=1),$W$1304,HLOOKUP(INDIRECT(ADDRESS(2,COLUMN())),OFFSET($BN$2,0,0,ROW()-1,60),ROW()-1,FALSE))</f>
        <v/>
      </c>
      <c r="X647" t="str">
        <f ca="1">IF(AND(ISNUMBER($X$1304),$B$677=1),$X$1304,HLOOKUP(INDIRECT(ADDRESS(2,COLUMN())),OFFSET($BN$2,0,0,ROW()-1,60),ROW()-1,FALSE))</f>
        <v/>
      </c>
      <c r="Y647" t="str">
        <f ca="1">IF(AND(ISNUMBER($Y$1304),$B$677=1),$Y$1304,HLOOKUP(INDIRECT(ADDRESS(2,COLUMN())),OFFSET($BN$2,0,0,ROW()-1,60),ROW()-1,FALSE))</f>
        <v/>
      </c>
      <c r="Z647" t="str">
        <f ca="1">IF(AND(ISNUMBER($Z$1304),$B$677=1),$Z$1304,HLOOKUP(INDIRECT(ADDRESS(2,COLUMN())),OFFSET($BN$2,0,0,ROW()-1,60),ROW()-1,FALSE))</f>
        <v/>
      </c>
      <c r="AA647" t="str">
        <f ca="1">IF(AND(ISNUMBER($AA$1304),$B$677=1),$AA$1304,HLOOKUP(INDIRECT(ADDRESS(2,COLUMN())),OFFSET($BN$2,0,0,ROW()-1,60),ROW()-1,FALSE))</f>
        <v/>
      </c>
      <c r="AB647" t="str">
        <f ca="1">IF(AND(ISNUMBER($AB$1304),$B$677=1),$AB$1304,HLOOKUP(INDIRECT(ADDRESS(2,COLUMN())),OFFSET($BN$2,0,0,ROW()-1,60),ROW()-1,FALSE))</f>
        <v/>
      </c>
      <c r="AC647" t="str">
        <f ca="1">IF(AND(ISNUMBER($AC$1304),$B$677=1),$AC$1304,HLOOKUP(INDIRECT(ADDRESS(2,COLUMN())),OFFSET($BN$2,0,0,ROW()-1,60),ROW()-1,FALSE))</f>
        <v/>
      </c>
      <c r="AD647" t="str">
        <f ca="1">IF(AND(ISNUMBER($AD$1304),$B$677=1),$AD$1304,HLOOKUP(INDIRECT(ADDRESS(2,COLUMN())),OFFSET($BN$2,0,0,ROW()-1,60),ROW()-1,FALSE))</f>
        <v/>
      </c>
      <c r="AE647" t="str">
        <f ca="1">IF(AND(ISNUMBER($AE$1304),$B$677=1),$AE$1304,HLOOKUP(INDIRECT(ADDRESS(2,COLUMN())),OFFSET($BN$2,0,0,ROW()-1,60),ROW()-1,FALSE))</f>
        <v/>
      </c>
      <c r="AF647" t="str">
        <f ca="1">IF(AND(ISNUMBER($AF$1304),$B$677=1),$AF$1304,HLOOKUP(INDIRECT(ADDRESS(2,COLUMN())),OFFSET($BN$2,0,0,ROW()-1,60),ROW()-1,FALSE))</f>
        <v/>
      </c>
      <c r="AG647" t="str">
        <f ca="1">IF(AND(ISNUMBER($AG$1304),$B$677=1),$AG$1304,HLOOKUP(INDIRECT(ADDRESS(2,COLUMN())),OFFSET($BN$2,0,0,ROW()-1,60),ROW()-1,FALSE))</f>
        <v/>
      </c>
      <c r="AH647" t="str">
        <f ca="1">IF(AND(ISNUMBER($AH$1304),$B$677=1),$AH$1304,HLOOKUP(INDIRECT(ADDRESS(2,COLUMN())),OFFSET($BN$2,0,0,ROW()-1,60),ROW()-1,FALSE))</f>
        <v/>
      </c>
      <c r="AI647" t="str">
        <f ca="1">IF(AND(ISNUMBER($AI$1304),$B$677=1),$AI$1304,HLOOKUP(INDIRECT(ADDRESS(2,COLUMN())),OFFSET($BN$2,0,0,ROW()-1,60),ROW()-1,FALSE))</f>
        <v/>
      </c>
      <c r="AJ647" t="str">
        <f ca="1">IF(AND(ISNUMBER($AJ$1304),$B$677=1),$AJ$1304,HLOOKUP(INDIRECT(ADDRESS(2,COLUMN())),OFFSET($BN$2,0,0,ROW()-1,60),ROW()-1,FALSE))</f>
        <v/>
      </c>
      <c r="AK647" t="str">
        <f ca="1">IF(AND(ISNUMBER($AK$1304),$B$677=1),$AK$1304,HLOOKUP(INDIRECT(ADDRESS(2,COLUMN())),OFFSET($BN$2,0,0,ROW()-1,60),ROW()-1,FALSE))</f>
        <v/>
      </c>
      <c r="AL647" t="str">
        <f ca="1">IF(AND(ISNUMBER($AL$1304),$B$677=1),$AL$1304,HLOOKUP(INDIRECT(ADDRESS(2,COLUMN())),OFFSET($BN$2,0,0,ROW()-1,60),ROW()-1,FALSE))</f>
        <v/>
      </c>
      <c r="AM647" t="str">
        <f ca="1">IF(AND(ISNUMBER($AM$1304),$B$677=1),$AM$1304,HLOOKUP(INDIRECT(ADDRESS(2,COLUMN())),OFFSET($BN$2,0,0,ROW()-1,60),ROW()-1,FALSE))</f>
        <v/>
      </c>
      <c r="AN647" t="str">
        <f ca="1">IF(AND(ISNUMBER($AN$1304),$B$677=1),$AN$1304,HLOOKUP(INDIRECT(ADDRESS(2,COLUMN())),OFFSET($BN$2,0,0,ROW()-1,60),ROW()-1,FALSE))</f>
        <v/>
      </c>
      <c r="AO647" t="str">
        <f ca="1">IF(AND(ISNUMBER($AO$1304),$B$677=1),$AO$1304,HLOOKUP(INDIRECT(ADDRESS(2,COLUMN())),OFFSET($BN$2,0,0,ROW()-1,60),ROW()-1,FALSE))</f>
        <v/>
      </c>
      <c r="AP647" t="str">
        <f ca="1">IF(AND(ISNUMBER($AP$1304),$B$677=1),$AP$1304,HLOOKUP(INDIRECT(ADDRESS(2,COLUMN())),OFFSET($BN$2,0,0,ROW()-1,60),ROW()-1,FALSE))</f>
        <v/>
      </c>
      <c r="AQ647" t="str">
        <f ca="1">IF(AND(ISNUMBER($AQ$1304),$B$677=1),$AQ$1304,HLOOKUP(INDIRECT(ADDRESS(2,COLUMN())),OFFSET($BN$2,0,0,ROW()-1,60),ROW()-1,FALSE))</f>
        <v/>
      </c>
      <c r="AR647" t="str">
        <f ca="1">IF(AND(ISNUMBER($AR$1304),$B$677=1),$AR$1304,HLOOKUP(INDIRECT(ADDRESS(2,COLUMN())),OFFSET($BN$2,0,0,ROW()-1,60),ROW()-1,FALSE))</f>
        <v/>
      </c>
      <c r="AS647" t="str">
        <f ca="1">IF(AND(ISNUMBER($AS$1304),$B$677=1),$AS$1304,HLOOKUP(INDIRECT(ADDRESS(2,COLUMN())),OFFSET($BN$2,0,0,ROW()-1,60),ROW()-1,FALSE))</f>
        <v/>
      </c>
      <c r="AT647" t="str">
        <f ca="1">IF(AND(ISNUMBER($AT$1304),$B$677=1),$AT$1304,HLOOKUP(INDIRECT(ADDRESS(2,COLUMN())),OFFSET($BN$2,0,0,ROW()-1,60),ROW()-1,FALSE))</f>
        <v/>
      </c>
      <c r="AU647" t="str">
        <f ca="1">IF(AND(ISNUMBER($AU$1304),$B$677=1),$AU$1304,HLOOKUP(INDIRECT(ADDRESS(2,COLUMN())),OFFSET($BN$2,0,0,ROW()-1,60),ROW()-1,FALSE))</f>
        <v/>
      </c>
      <c r="AV647" t="str">
        <f ca="1">IF(AND(ISNUMBER($AV$1304),$B$677=1),$AV$1304,HLOOKUP(INDIRECT(ADDRESS(2,COLUMN())),OFFSET($BN$2,0,0,ROW()-1,60),ROW()-1,FALSE))</f>
        <v/>
      </c>
      <c r="AW647" t="str">
        <f ca="1">IF(AND(ISNUMBER($AW$1304),$B$677=1),$AW$1304,HLOOKUP(INDIRECT(ADDRESS(2,COLUMN())),OFFSET($BN$2,0,0,ROW()-1,60),ROW()-1,FALSE))</f>
        <v/>
      </c>
      <c r="AX647" t="str">
        <f ca="1">IF(AND(ISNUMBER($AX$1304),$B$677=1),$AX$1304,HLOOKUP(INDIRECT(ADDRESS(2,COLUMN())),OFFSET($BN$2,0,0,ROW()-1,60),ROW()-1,FALSE))</f>
        <v/>
      </c>
      <c r="AY647" t="str">
        <f ca="1">IF(AND(ISNUMBER($AY$1304),$B$677=1),$AY$1304,HLOOKUP(INDIRECT(ADDRESS(2,COLUMN())),OFFSET($BN$2,0,0,ROW()-1,60),ROW()-1,FALSE))</f>
        <v/>
      </c>
      <c r="AZ647" t="str">
        <f ca="1">IF(AND(ISNUMBER($AZ$1304),$B$677=1),$AZ$1304,HLOOKUP(INDIRECT(ADDRESS(2,COLUMN())),OFFSET($BN$2,0,0,ROW()-1,60),ROW()-1,FALSE))</f>
        <v/>
      </c>
      <c r="BA647" t="str">
        <f ca="1">IF(AND(ISNUMBER($BA$1304),$B$677=1),$BA$1304,HLOOKUP(INDIRECT(ADDRESS(2,COLUMN())),OFFSET($BN$2,0,0,ROW()-1,60),ROW()-1,FALSE))</f>
        <v/>
      </c>
      <c r="BB647" t="str">
        <f ca="1">IF(AND(ISNUMBER($BB$1304),$B$677=1),$BB$1304,HLOOKUP(INDIRECT(ADDRESS(2,COLUMN())),OFFSET($BN$2,0,0,ROW()-1,60),ROW()-1,FALSE))</f>
        <v/>
      </c>
      <c r="BC647" t="str">
        <f ca="1">IF(AND(ISNUMBER($BC$1304),$B$677=1),$BC$1304,HLOOKUP(INDIRECT(ADDRESS(2,COLUMN())),OFFSET($BN$2,0,0,ROW()-1,60),ROW()-1,FALSE))</f>
        <v/>
      </c>
      <c r="BD647" t="str">
        <f ca="1">IF(AND(ISNUMBER($BD$1304),$B$677=1),$BD$1304,HLOOKUP(INDIRECT(ADDRESS(2,COLUMN())),OFFSET($BN$2,0,0,ROW()-1,60),ROW()-1,FALSE))</f>
        <v/>
      </c>
      <c r="BE647" t="str">
        <f ca="1">IF(AND(ISNUMBER($BE$1304),$B$677=1),$BE$1304,HLOOKUP(INDIRECT(ADDRESS(2,COLUMN())),OFFSET($BN$2,0,0,ROW()-1,60),ROW()-1,FALSE))</f>
        <v/>
      </c>
      <c r="BF647" t="str">
        <f ca="1">IF(AND(ISNUMBER($BF$1304),$B$677=1),$BF$1304,HLOOKUP(INDIRECT(ADDRESS(2,COLUMN())),OFFSET($BN$2,0,0,ROW()-1,60),ROW()-1,FALSE))</f>
        <v/>
      </c>
      <c r="BG647" t="str">
        <f ca="1">IF(AND(ISNUMBER($BG$1304),$B$677=1),$BG$1304,HLOOKUP(INDIRECT(ADDRESS(2,COLUMN())),OFFSET($BN$2,0,0,ROW()-1,60),ROW()-1,FALSE))</f>
        <v/>
      </c>
      <c r="BH647" t="str">
        <f ca="1">IF(AND(ISNUMBER($BH$1304),$B$677=1),$BH$1304,HLOOKUP(INDIRECT(ADDRESS(2,COLUMN())),OFFSET($BN$2,0,0,ROW()-1,60),ROW()-1,FALSE))</f>
        <v/>
      </c>
      <c r="BI647" t="str">
        <f ca="1">IF(AND(ISNUMBER($BI$1304),$B$677=1),$BI$1304,HLOOKUP(INDIRECT(ADDRESS(2,COLUMN())),OFFSET($BN$2,0,0,ROW()-1,60),ROW()-1,FALSE))</f>
        <v/>
      </c>
      <c r="BJ647" t="str">
        <f ca="1">IF(AND(ISNUMBER($BJ$1304),$B$677=1),$BJ$1304,HLOOKUP(INDIRECT(ADDRESS(2,COLUMN())),OFFSET($BN$2,0,0,ROW()-1,60),ROW()-1,FALSE))</f>
        <v/>
      </c>
      <c r="BK647" t="str">
        <f ca="1">IF(AND(ISNUMBER($BK$1304),$B$677=1),$BK$1304,HLOOKUP(INDIRECT(ADDRESS(2,COLUMN())),OFFSET($BN$2,0,0,ROW()-1,60),ROW()-1,FALSE))</f>
        <v/>
      </c>
      <c r="BL647" t="str">
        <f ca="1">IF(AND(ISNUMBER($BL$1304),$B$677=1),$BL$1304,HLOOKUP(INDIRECT(ADDRESS(2,COLUMN())),OFFSET($BN$2,0,0,ROW()-1,60),ROW()-1,FALSE))</f>
        <v/>
      </c>
      <c r="BM647" t="str">
        <f ca="1">IF(AND(ISNUMBER($BM$1304),$B$677=1),$BM$1304,HLOOKUP(INDIRECT(ADDRESS(2,COLUMN())),OFFSET($BN$2,0,0,ROW()-1,60),ROW()-1,FALSE))</f>
        <v/>
      </c>
      <c r="BN647" t="str">
        <f>""</f>
        <v/>
      </c>
      <c r="BO647" t="str">
        <f>""</f>
        <v/>
      </c>
      <c r="BP647" t="str">
        <f>""</f>
        <v/>
      </c>
      <c r="BQ647" t="str">
        <f>""</f>
        <v/>
      </c>
      <c r="BR647" t="str">
        <f>""</f>
        <v/>
      </c>
      <c r="BS647" t="str">
        <f>""</f>
        <v/>
      </c>
      <c r="BT647" t="str">
        <f>""</f>
        <v/>
      </c>
      <c r="BU647" t="str">
        <f>""</f>
        <v/>
      </c>
      <c r="BV647" t="str">
        <f>""</f>
        <v/>
      </c>
      <c r="BW647" t="str">
        <f>""</f>
        <v/>
      </c>
      <c r="BX647" t="str">
        <f>""</f>
        <v/>
      </c>
      <c r="BY647" t="str">
        <f>""</f>
        <v/>
      </c>
      <c r="BZ647" t="str">
        <f>""</f>
        <v/>
      </c>
      <c r="CA647" t="str">
        <f>""</f>
        <v/>
      </c>
      <c r="CB647" t="str">
        <f>""</f>
        <v/>
      </c>
      <c r="CC647" t="str">
        <f>""</f>
        <v/>
      </c>
      <c r="CD647" t="str">
        <f>""</f>
        <v/>
      </c>
      <c r="CE647" t="str">
        <f>""</f>
        <v/>
      </c>
      <c r="CF647" t="str">
        <f>""</f>
        <v/>
      </c>
      <c r="CG647" t="str">
        <f>""</f>
        <v/>
      </c>
      <c r="CH647" t="str">
        <f>""</f>
        <v/>
      </c>
      <c r="CI647" t="str">
        <f>""</f>
        <v/>
      </c>
      <c r="CJ647" t="str">
        <f>""</f>
        <v/>
      </c>
      <c r="CK647" t="str">
        <f>""</f>
        <v/>
      </c>
      <c r="CL647" t="str">
        <f>""</f>
        <v/>
      </c>
      <c r="CM647" t="str">
        <f>""</f>
        <v/>
      </c>
      <c r="CN647" t="str">
        <f>""</f>
        <v/>
      </c>
      <c r="CO647" t="str">
        <f>""</f>
        <v/>
      </c>
      <c r="CP647" t="str">
        <f>""</f>
        <v/>
      </c>
      <c r="CQ647" t="str">
        <f>""</f>
        <v/>
      </c>
      <c r="CR647" t="str">
        <f>""</f>
        <v/>
      </c>
      <c r="CS647" t="str">
        <f>""</f>
        <v/>
      </c>
      <c r="CT647" t="str">
        <f>""</f>
        <v/>
      </c>
      <c r="CU647" t="str">
        <f>""</f>
        <v/>
      </c>
      <c r="CV647" t="str">
        <f>""</f>
        <v/>
      </c>
      <c r="CW647" t="str">
        <f>""</f>
        <v/>
      </c>
      <c r="CX647" t="str">
        <f>""</f>
        <v/>
      </c>
      <c r="CY647" t="str">
        <f>""</f>
        <v/>
      </c>
      <c r="CZ647" t="str">
        <f>""</f>
        <v/>
      </c>
      <c r="DA647" t="str">
        <f>""</f>
        <v/>
      </c>
      <c r="DB647" t="str">
        <f>""</f>
        <v/>
      </c>
      <c r="DC647" t="str">
        <f>""</f>
        <v/>
      </c>
      <c r="DD647" t="str">
        <f>""</f>
        <v/>
      </c>
      <c r="DE647" t="str">
        <f>""</f>
        <v/>
      </c>
      <c r="DF647" t="str">
        <f>""</f>
        <v/>
      </c>
      <c r="DG647" t="str">
        <f>""</f>
        <v/>
      </c>
      <c r="DH647" t="str">
        <f>""</f>
        <v/>
      </c>
      <c r="DI647" t="str">
        <f>""</f>
        <v/>
      </c>
      <c r="DJ647" t="str">
        <f>""</f>
        <v/>
      </c>
      <c r="DK647" t="str">
        <f>""</f>
        <v/>
      </c>
      <c r="DL647" t="str">
        <f>""</f>
        <v/>
      </c>
      <c r="DM647" t="str">
        <f>""</f>
        <v/>
      </c>
      <c r="DN647" t="str">
        <f>""</f>
        <v/>
      </c>
      <c r="DO647" t="str">
        <f>""</f>
        <v/>
      </c>
      <c r="DP647" t="str">
        <f>""</f>
        <v/>
      </c>
      <c r="DQ647" t="str">
        <f>""</f>
        <v/>
      </c>
      <c r="DR647" t="str">
        <f>""</f>
        <v/>
      </c>
      <c r="DS647" t="str">
        <f>""</f>
        <v/>
      </c>
      <c r="DT647" t="str">
        <f>""</f>
        <v/>
      </c>
      <c r="DU647" t="str">
        <f>""</f>
        <v/>
      </c>
    </row>
    <row r="648" spans="1:125" x14ac:dyDescent="0.25">
      <c r="A648" t="str">
        <f>"    Renault SA"</f>
        <v xml:space="preserve">    Renault SA</v>
      </c>
      <c r="B648" t="str">
        <f>"RNO FP Equity"</f>
        <v>RNO FP Equity</v>
      </c>
      <c r="C648" t="str">
        <f t="shared" si="45"/>
        <v>RX539</v>
      </c>
      <c r="D648" t="str">
        <f t="shared" si="46"/>
        <v>T12_FCF_YIELD</v>
      </c>
      <c r="E648" t="str">
        <f t="shared" si="47"/>
        <v>Dynamic</v>
      </c>
      <c r="F648" t="str">
        <f ca="1">IF(AND(ISNUMBER($F$1305),$B$677=1),$F$1305,HLOOKUP(INDIRECT(ADDRESS(2,COLUMN())),OFFSET($BN$2,0,0,ROW()-1,60),ROW()-1,FALSE))</f>
        <v/>
      </c>
      <c r="G648" t="str">
        <f ca="1">IF(AND(ISNUMBER($G$1305),$B$677=1),$G$1305,HLOOKUP(INDIRECT(ADDRESS(2,COLUMN())),OFFSET($BN$2,0,0,ROW()-1,60),ROW()-1,FALSE))</f>
        <v/>
      </c>
      <c r="H648" t="str">
        <f ca="1">IF(AND(ISNUMBER($H$1305),$B$677=1),$H$1305,HLOOKUP(INDIRECT(ADDRESS(2,COLUMN())),OFFSET($BN$2,0,0,ROW()-1,60),ROW()-1,FALSE))</f>
        <v/>
      </c>
      <c r="I648" t="str">
        <f ca="1">IF(AND(ISNUMBER($I$1305),$B$677=1),$I$1305,HLOOKUP(INDIRECT(ADDRESS(2,COLUMN())),OFFSET($BN$2,0,0,ROW()-1,60),ROW()-1,FALSE))</f>
        <v/>
      </c>
      <c r="J648" t="str">
        <f ca="1">IF(AND(ISNUMBER($J$1305),$B$677=1),$J$1305,HLOOKUP(INDIRECT(ADDRESS(2,COLUMN())),OFFSET($BN$2,0,0,ROW()-1,60),ROW()-1,FALSE))</f>
        <v/>
      </c>
      <c r="K648" t="str">
        <f ca="1">IF(AND(ISNUMBER($K$1305),$B$677=1),$K$1305,HLOOKUP(INDIRECT(ADDRESS(2,COLUMN())),OFFSET($BN$2,0,0,ROW()-1,60),ROW()-1,FALSE))</f>
        <v/>
      </c>
      <c r="L648" t="str">
        <f ca="1">IF(AND(ISNUMBER($L$1305),$B$677=1),$L$1305,HLOOKUP(INDIRECT(ADDRESS(2,COLUMN())),OFFSET($BN$2,0,0,ROW()-1,60),ROW()-1,FALSE))</f>
        <v/>
      </c>
      <c r="M648" t="str">
        <f ca="1">IF(AND(ISNUMBER($M$1305),$B$677=1),$M$1305,HLOOKUP(INDIRECT(ADDRESS(2,COLUMN())),OFFSET($BN$2,0,0,ROW()-1,60),ROW()-1,FALSE))</f>
        <v/>
      </c>
      <c r="N648" t="str">
        <f ca="1">IF(AND(ISNUMBER($N$1305),$B$677=1),$N$1305,HLOOKUP(INDIRECT(ADDRESS(2,COLUMN())),OFFSET($BN$2,0,0,ROW()-1,60),ROW()-1,FALSE))</f>
        <v/>
      </c>
      <c r="O648" t="str">
        <f ca="1">IF(AND(ISNUMBER($O$1305),$B$677=1),$O$1305,HLOOKUP(INDIRECT(ADDRESS(2,COLUMN())),OFFSET($BN$2,0,0,ROW()-1,60),ROW()-1,FALSE))</f>
        <v/>
      </c>
      <c r="P648" t="str">
        <f ca="1">IF(AND(ISNUMBER($P$1305),$B$677=1),$P$1305,HLOOKUP(INDIRECT(ADDRESS(2,COLUMN())),OFFSET($BN$2,0,0,ROW()-1,60),ROW()-1,FALSE))</f>
        <v/>
      </c>
      <c r="Q648" t="str">
        <f ca="1">IF(AND(ISNUMBER($Q$1305),$B$677=1),$Q$1305,HLOOKUP(INDIRECT(ADDRESS(2,COLUMN())),OFFSET($BN$2,0,0,ROW()-1,60),ROW()-1,FALSE))</f>
        <v/>
      </c>
      <c r="R648" t="str">
        <f ca="1">IF(AND(ISNUMBER($R$1305),$B$677=1),$R$1305,HLOOKUP(INDIRECT(ADDRESS(2,COLUMN())),OFFSET($BN$2,0,0,ROW()-1,60),ROW()-1,FALSE))</f>
        <v/>
      </c>
      <c r="S648" t="str">
        <f ca="1">IF(AND(ISNUMBER($S$1305),$B$677=1),$S$1305,HLOOKUP(INDIRECT(ADDRESS(2,COLUMN())),OFFSET($BN$2,0,0,ROW()-1,60),ROW()-1,FALSE))</f>
        <v/>
      </c>
      <c r="T648" t="str">
        <f ca="1">IF(AND(ISNUMBER($T$1305),$B$677=1),$T$1305,HLOOKUP(INDIRECT(ADDRESS(2,COLUMN())),OFFSET($BN$2,0,0,ROW()-1,60),ROW()-1,FALSE))</f>
        <v/>
      </c>
      <c r="U648" t="str">
        <f ca="1">IF(AND(ISNUMBER($U$1305),$B$677=1),$U$1305,HLOOKUP(INDIRECT(ADDRESS(2,COLUMN())),OFFSET($BN$2,0,0,ROW()-1,60),ROW()-1,FALSE))</f>
        <v/>
      </c>
      <c r="V648" t="str">
        <f ca="1">IF(AND(ISNUMBER($V$1305),$B$677=1),$V$1305,HLOOKUP(INDIRECT(ADDRESS(2,COLUMN())),OFFSET($BN$2,0,0,ROW()-1,60),ROW()-1,FALSE))</f>
        <v/>
      </c>
      <c r="W648" t="str">
        <f ca="1">IF(AND(ISNUMBER($W$1305),$B$677=1),$W$1305,HLOOKUP(INDIRECT(ADDRESS(2,COLUMN())),OFFSET($BN$2,0,0,ROW()-1,60),ROW()-1,FALSE))</f>
        <v/>
      </c>
      <c r="X648" t="str">
        <f ca="1">IF(AND(ISNUMBER($X$1305),$B$677=1),$X$1305,HLOOKUP(INDIRECT(ADDRESS(2,COLUMN())),OFFSET($BN$2,0,0,ROW()-1,60),ROW()-1,FALSE))</f>
        <v/>
      </c>
      <c r="Y648" t="str">
        <f ca="1">IF(AND(ISNUMBER($Y$1305),$B$677=1),$Y$1305,HLOOKUP(INDIRECT(ADDRESS(2,COLUMN())),OFFSET($BN$2,0,0,ROW()-1,60),ROW()-1,FALSE))</f>
        <v/>
      </c>
      <c r="Z648" t="str">
        <f ca="1">IF(AND(ISNUMBER($Z$1305),$B$677=1),$Z$1305,HLOOKUP(INDIRECT(ADDRESS(2,COLUMN())),OFFSET($BN$2,0,0,ROW()-1,60),ROW()-1,FALSE))</f>
        <v/>
      </c>
      <c r="AA648" t="str">
        <f ca="1">IF(AND(ISNUMBER($AA$1305),$B$677=1),$AA$1305,HLOOKUP(INDIRECT(ADDRESS(2,COLUMN())),OFFSET($BN$2,0,0,ROW()-1,60),ROW()-1,FALSE))</f>
        <v/>
      </c>
      <c r="AB648" t="str">
        <f ca="1">IF(AND(ISNUMBER($AB$1305),$B$677=1),$AB$1305,HLOOKUP(INDIRECT(ADDRESS(2,COLUMN())),OFFSET($BN$2,0,0,ROW()-1,60),ROW()-1,FALSE))</f>
        <v/>
      </c>
      <c r="AC648" t="str">
        <f ca="1">IF(AND(ISNUMBER($AC$1305),$B$677=1),$AC$1305,HLOOKUP(INDIRECT(ADDRESS(2,COLUMN())),OFFSET($BN$2,0,0,ROW()-1,60),ROW()-1,FALSE))</f>
        <v/>
      </c>
      <c r="AD648" t="str">
        <f ca="1">IF(AND(ISNUMBER($AD$1305),$B$677=1),$AD$1305,HLOOKUP(INDIRECT(ADDRESS(2,COLUMN())),OFFSET($BN$2,0,0,ROW()-1,60),ROW()-1,FALSE))</f>
        <v/>
      </c>
      <c r="AE648" t="str">
        <f ca="1">IF(AND(ISNUMBER($AE$1305),$B$677=1),$AE$1305,HLOOKUP(INDIRECT(ADDRESS(2,COLUMN())),OFFSET($BN$2,0,0,ROW()-1,60),ROW()-1,FALSE))</f>
        <v/>
      </c>
      <c r="AF648" t="str">
        <f ca="1">IF(AND(ISNUMBER($AF$1305),$B$677=1),$AF$1305,HLOOKUP(INDIRECT(ADDRESS(2,COLUMN())),OFFSET($BN$2,0,0,ROW()-1,60),ROW()-1,FALSE))</f>
        <v/>
      </c>
      <c r="AG648" t="str">
        <f ca="1">IF(AND(ISNUMBER($AG$1305),$B$677=1),$AG$1305,HLOOKUP(INDIRECT(ADDRESS(2,COLUMN())),OFFSET($BN$2,0,0,ROW()-1,60),ROW()-1,FALSE))</f>
        <v/>
      </c>
      <c r="AH648" t="str">
        <f ca="1">IF(AND(ISNUMBER($AH$1305),$B$677=1),$AH$1305,HLOOKUP(INDIRECT(ADDRESS(2,COLUMN())),OFFSET($BN$2,0,0,ROW()-1,60),ROW()-1,FALSE))</f>
        <v/>
      </c>
      <c r="AI648" t="str">
        <f ca="1">IF(AND(ISNUMBER($AI$1305),$B$677=1),$AI$1305,HLOOKUP(INDIRECT(ADDRESS(2,COLUMN())),OFFSET($BN$2,0,0,ROW()-1,60),ROW()-1,FALSE))</f>
        <v/>
      </c>
      <c r="AJ648" t="str">
        <f ca="1">IF(AND(ISNUMBER($AJ$1305),$B$677=1),$AJ$1305,HLOOKUP(INDIRECT(ADDRESS(2,COLUMN())),OFFSET($BN$2,0,0,ROW()-1,60),ROW()-1,FALSE))</f>
        <v/>
      </c>
      <c r="AK648" t="str">
        <f ca="1">IF(AND(ISNUMBER($AK$1305),$B$677=1),$AK$1305,HLOOKUP(INDIRECT(ADDRESS(2,COLUMN())),OFFSET($BN$2,0,0,ROW()-1,60),ROW()-1,FALSE))</f>
        <v/>
      </c>
      <c r="AL648" t="str">
        <f ca="1">IF(AND(ISNUMBER($AL$1305),$B$677=1),$AL$1305,HLOOKUP(INDIRECT(ADDRESS(2,COLUMN())),OFFSET($BN$2,0,0,ROW()-1,60),ROW()-1,FALSE))</f>
        <v/>
      </c>
      <c r="AM648" t="str">
        <f ca="1">IF(AND(ISNUMBER($AM$1305),$B$677=1),$AM$1305,HLOOKUP(INDIRECT(ADDRESS(2,COLUMN())),OFFSET($BN$2,0,0,ROW()-1,60),ROW()-1,FALSE))</f>
        <v/>
      </c>
      <c r="AN648" t="str">
        <f ca="1">IF(AND(ISNUMBER($AN$1305),$B$677=1),$AN$1305,HLOOKUP(INDIRECT(ADDRESS(2,COLUMN())),OFFSET($BN$2,0,0,ROW()-1,60),ROW()-1,FALSE))</f>
        <v/>
      </c>
      <c r="AO648" t="str">
        <f ca="1">IF(AND(ISNUMBER($AO$1305),$B$677=1),$AO$1305,HLOOKUP(INDIRECT(ADDRESS(2,COLUMN())),OFFSET($BN$2,0,0,ROW()-1,60),ROW()-1,FALSE))</f>
        <v/>
      </c>
      <c r="AP648" t="str">
        <f ca="1">IF(AND(ISNUMBER($AP$1305),$B$677=1),$AP$1305,HLOOKUP(INDIRECT(ADDRESS(2,COLUMN())),OFFSET($BN$2,0,0,ROW()-1,60),ROW()-1,FALSE))</f>
        <v/>
      </c>
      <c r="AQ648" t="str">
        <f ca="1">IF(AND(ISNUMBER($AQ$1305),$B$677=1),$AQ$1305,HLOOKUP(INDIRECT(ADDRESS(2,COLUMN())),OFFSET($BN$2,0,0,ROW()-1,60),ROW()-1,FALSE))</f>
        <v/>
      </c>
      <c r="AR648" t="str">
        <f ca="1">IF(AND(ISNUMBER($AR$1305),$B$677=1),$AR$1305,HLOOKUP(INDIRECT(ADDRESS(2,COLUMN())),OFFSET($BN$2,0,0,ROW()-1,60),ROW()-1,FALSE))</f>
        <v/>
      </c>
      <c r="AS648" t="str">
        <f ca="1">IF(AND(ISNUMBER($AS$1305),$B$677=1),$AS$1305,HLOOKUP(INDIRECT(ADDRESS(2,COLUMN())),OFFSET($BN$2,0,0,ROW()-1,60),ROW()-1,FALSE))</f>
        <v/>
      </c>
      <c r="AT648" t="str">
        <f ca="1">IF(AND(ISNUMBER($AT$1305),$B$677=1),$AT$1305,HLOOKUP(INDIRECT(ADDRESS(2,COLUMN())),OFFSET($BN$2,0,0,ROW()-1,60),ROW()-1,FALSE))</f>
        <v/>
      </c>
      <c r="AU648" t="str">
        <f ca="1">IF(AND(ISNUMBER($AU$1305),$B$677=1),$AU$1305,HLOOKUP(INDIRECT(ADDRESS(2,COLUMN())),OFFSET($BN$2,0,0,ROW()-1,60),ROW()-1,FALSE))</f>
        <v/>
      </c>
      <c r="AV648" t="str">
        <f ca="1">IF(AND(ISNUMBER($AV$1305),$B$677=1),$AV$1305,HLOOKUP(INDIRECT(ADDRESS(2,COLUMN())),OFFSET($BN$2,0,0,ROW()-1,60),ROW()-1,FALSE))</f>
        <v/>
      </c>
      <c r="AW648" t="str">
        <f ca="1">IF(AND(ISNUMBER($AW$1305),$B$677=1),$AW$1305,HLOOKUP(INDIRECT(ADDRESS(2,COLUMN())),OFFSET($BN$2,0,0,ROW()-1,60),ROW()-1,FALSE))</f>
        <v/>
      </c>
      <c r="AX648" t="str">
        <f ca="1">IF(AND(ISNUMBER($AX$1305),$B$677=1),$AX$1305,HLOOKUP(INDIRECT(ADDRESS(2,COLUMN())),OFFSET($BN$2,0,0,ROW()-1,60),ROW()-1,FALSE))</f>
        <v/>
      </c>
      <c r="AY648" t="str">
        <f ca="1">IF(AND(ISNUMBER($AY$1305),$B$677=1),$AY$1305,HLOOKUP(INDIRECT(ADDRESS(2,COLUMN())),OFFSET($BN$2,0,0,ROW()-1,60),ROW()-1,FALSE))</f>
        <v/>
      </c>
      <c r="AZ648" t="str">
        <f ca="1">IF(AND(ISNUMBER($AZ$1305),$B$677=1),$AZ$1305,HLOOKUP(INDIRECT(ADDRESS(2,COLUMN())),OFFSET($BN$2,0,0,ROW()-1,60),ROW()-1,FALSE))</f>
        <v/>
      </c>
      <c r="BA648" t="str">
        <f ca="1">IF(AND(ISNUMBER($BA$1305),$B$677=1),$BA$1305,HLOOKUP(INDIRECT(ADDRESS(2,COLUMN())),OFFSET($BN$2,0,0,ROW()-1,60),ROW()-1,FALSE))</f>
        <v/>
      </c>
      <c r="BB648" t="str">
        <f ca="1">IF(AND(ISNUMBER($BB$1305),$B$677=1),$BB$1305,HLOOKUP(INDIRECT(ADDRESS(2,COLUMN())),OFFSET($BN$2,0,0,ROW()-1,60),ROW()-1,FALSE))</f>
        <v/>
      </c>
      <c r="BC648" t="str">
        <f ca="1">IF(AND(ISNUMBER($BC$1305),$B$677=1),$BC$1305,HLOOKUP(INDIRECT(ADDRESS(2,COLUMN())),OFFSET($BN$2,0,0,ROW()-1,60),ROW()-1,FALSE))</f>
        <v/>
      </c>
      <c r="BD648" t="str">
        <f ca="1">IF(AND(ISNUMBER($BD$1305),$B$677=1),$BD$1305,HLOOKUP(INDIRECT(ADDRESS(2,COLUMN())),OFFSET($BN$2,0,0,ROW()-1,60),ROW()-1,FALSE))</f>
        <v/>
      </c>
      <c r="BE648" t="str">
        <f ca="1">IF(AND(ISNUMBER($BE$1305),$B$677=1),$BE$1305,HLOOKUP(INDIRECT(ADDRESS(2,COLUMN())),OFFSET($BN$2,0,0,ROW()-1,60),ROW()-1,FALSE))</f>
        <v/>
      </c>
      <c r="BF648" t="str">
        <f ca="1">IF(AND(ISNUMBER($BF$1305),$B$677=1),$BF$1305,HLOOKUP(INDIRECT(ADDRESS(2,COLUMN())),OFFSET($BN$2,0,0,ROW()-1,60),ROW()-1,FALSE))</f>
        <v/>
      </c>
      <c r="BG648" t="str">
        <f ca="1">IF(AND(ISNUMBER($BG$1305),$B$677=1),$BG$1305,HLOOKUP(INDIRECT(ADDRESS(2,COLUMN())),OFFSET($BN$2,0,0,ROW()-1,60),ROW()-1,FALSE))</f>
        <v/>
      </c>
      <c r="BH648" t="str">
        <f ca="1">IF(AND(ISNUMBER($BH$1305),$B$677=1),$BH$1305,HLOOKUP(INDIRECT(ADDRESS(2,COLUMN())),OFFSET($BN$2,0,0,ROW()-1,60),ROW()-1,FALSE))</f>
        <v/>
      </c>
      <c r="BI648" t="str">
        <f ca="1">IF(AND(ISNUMBER($BI$1305),$B$677=1),$BI$1305,HLOOKUP(INDIRECT(ADDRESS(2,COLUMN())),OFFSET($BN$2,0,0,ROW()-1,60),ROW()-1,FALSE))</f>
        <v/>
      </c>
      <c r="BJ648" t="str">
        <f ca="1">IF(AND(ISNUMBER($BJ$1305),$B$677=1),$BJ$1305,HLOOKUP(INDIRECT(ADDRESS(2,COLUMN())),OFFSET($BN$2,0,0,ROW()-1,60),ROW()-1,FALSE))</f>
        <v/>
      </c>
      <c r="BK648" t="str">
        <f ca="1">IF(AND(ISNUMBER($BK$1305),$B$677=1),$BK$1305,HLOOKUP(INDIRECT(ADDRESS(2,COLUMN())),OFFSET($BN$2,0,0,ROW()-1,60),ROW()-1,FALSE))</f>
        <v/>
      </c>
      <c r="BL648" t="str">
        <f ca="1">IF(AND(ISNUMBER($BL$1305),$B$677=1),$BL$1305,HLOOKUP(INDIRECT(ADDRESS(2,COLUMN())),OFFSET($BN$2,0,0,ROW()-1,60),ROW()-1,FALSE))</f>
        <v/>
      </c>
      <c r="BM648" t="str">
        <f ca="1">IF(AND(ISNUMBER($BM$1305),$B$677=1),$BM$1305,HLOOKUP(INDIRECT(ADDRESS(2,COLUMN())),OFFSET($BN$2,0,0,ROW()-1,60),ROW()-1,FALSE))</f>
        <v/>
      </c>
      <c r="BN648" t="str">
        <f>""</f>
        <v/>
      </c>
      <c r="BO648" t="str">
        <f>""</f>
        <v/>
      </c>
      <c r="BP648" t="str">
        <f>""</f>
        <v/>
      </c>
      <c r="BQ648" t="str">
        <f>""</f>
        <v/>
      </c>
      <c r="BR648" t="str">
        <f>""</f>
        <v/>
      </c>
      <c r="BS648" t="str">
        <f>""</f>
        <v/>
      </c>
      <c r="BT648" t="str">
        <f>""</f>
        <v/>
      </c>
      <c r="BU648" t="str">
        <f>""</f>
        <v/>
      </c>
      <c r="BV648" t="str">
        <f>""</f>
        <v/>
      </c>
      <c r="BW648" t="str">
        <f>""</f>
        <v/>
      </c>
      <c r="BX648" t="str">
        <f>""</f>
        <v/>
      </c>
      <c r="BY648" t="str">
        <f>""</f>
        <v/>
      </c>
      <c r="BZ648" t="str">
        <f>""</f>
        <v/>
      </c>
      <c r="CA648" t="str">
        <f>""</f>
        <v/>
      </c>
      <c r="CB648" t="str">
        <f>""</f>
        <v/>
      </c>
      <c r="CC648" t="str">
        <f>""</f>
        <v/>
      </c>
      <c r="CD648" t="str">
        <f>""</f>
        <v/>
      </c>
      <c r="CE648" t="str">
        <f>""</f>
        <v/>
      </c>
      <c r="CF648" t="str">
        <f>""</f>
        <v/>
      </c>
      <c r="CG648" t="str">
        <f>""</f>
        <v/>
      </c>
      <c r="CH648" t="str">
        <f>""</f>
        <v/>
      </c>
      <c r="CI648" t="str">
        <f>""</f>
        <v/>
      </c>
      <c r="CJ648" t="str">
        <f>""</f>
        <v/>
      </c>
      <c r="CK648" t="str">
        <f>""</f>
        <v/>
      </c>
      <c r="CL648" t="str">
        <f>""</f>
        <v/>
      </c>
      <c r="CM648" t="str">
        <f>""</f>
        <v/>
      </c>
      <c r="CN648" t="str">
        <f>""</f>
        <v/>
      </c>
      <c r="CO648" t="str">
        <f>""</f>
        <v/>
      </c>
      <c r="CP648" t="str">
        <f>""</f>
        <v/>
      </c>
      <c r="CQ648" t="str">
        <f>""</f>
        <v/>
      </c>
      <c r="CR648" t="str">
        <f>""</f>
        <v/>
      </c>
      <c r="CS648" t="str">
        <f>""</f>
        <v/>
      </c>
      <c r="CT648" t="str">
        <f>""</f>
        <v/>
      </c>
      <c r="CU648" t="str">
        <f>""</f>
        <v/>
      </c>
      <c r="CV648" t="str">
        <f>""</f>
        <v/>
      </c>
      <c r="CW648" t="str">
        <f>""</f>
        <v/>
      </c>
      <c r="CX648" t="str">
        <f>""</f>
        <v/>
      </c>
      <c r="CY648" t="str">
        <f>""</f>
        <v/>
      </c>
      <c r="CZ648" t="str">
        <f>""</f>
        <v/>
      </c>
      <c r="DA648" t="str">
        <f>""</f>
        <v/>
      </c>
      <c r="DB648" t="str">
        <f>""</f>
        <v/>
      </c>
      <c r="DC648" t="str">
        <f>""</f>
        <v/>
      </c>
      <c r="DD648" t="str">
        <f>""</f>
        <v/>
      </c>
      <c r="DE648" t="str">
        <f>""</f>
        <v/>
      </c>
      <c r="DF648" t="str">
        <f>""</f>
        <v/>
      </c>
      <c r="DG648" t="str">
        <f>""</f>
        <v/>
      </c>
      <c r="DH648" t="str">
        <f>""</f>
        <v/>
      </c>
      <c r="DI648" t="str">
        <f>""</f>
        <v/>
      </c>
      <c r="DJ648" t="str">
        <f>""</f>
        <v/>
      </c>
      <c r="DK648" t="str">
        <f>""</f>
        <v/>
      </c>
      <c r="DL648" t="str">
        <f>""</f>
        <v/>
      </c>
      <c r="DM648" t="str">
        <f>""</f>
        <v/>
      </c>
      <c r="DN648" t="str">
        <f>""</f>
        <v/>
      </c>
      <c r="DO648" t="str">
        <f>""</f>
        <v/>
      </c>
      <c r="DP648" t="str">
        <f>""</f>
        <v/>
      </c>
      <c r="DQ648" t="str">
        <f>""</f>
        <v/>
      </c>
      <c r="DR648" t="str">
        <f>""</f>
        <v/>
      </c>
      <c r="DS648" t="str">
        <f>""</f>
        <v/>
      </c>
      <c r="DT648" t="str">
        <f>""</f>
        <v/>
      </c>
      <c r="DU648" t="str">
        <f>""</f>
        <v/>
      </c>
    </row>
    <row r="649" spans="1:125" x14ac:dyDescent="0.25">
      <c r="A649" t="str">
        <f>"    SAIC Motor Corp Ltd"</f>
        <v xml:space="preserve">    SAIC Motor Corp Ltd</v>
      </c>
      <c r="B649" t="str">
        <f>"600104 CH Equity"</f>
        <v>600104 CH Equity</v>
      </c>
      <c r="C649" t="str">
        <f t="shared" si="45"/>
        <v>RX539</v>
      </c>
      <c r="D649" t="str">
        <f t="shared" si="46"/>
        <v>T12_FCF_YIELD</v>
      </c>
      <c r="E649" t="str">
        <f t="shared" si="47"/>
        <v>Dynamic</v>
      </c>
      <c r="F649">
        <f ca="1">IF(AND(ISNUMBER($F$1306),$B$677=1),$F$1306,HLOOKUP(INDIRECT(ADDRESS(2,COLUMN())),OFFSET($BN$2,0,0,ROW()-1,60),ROW()-1,FALSE))</f>
        <v>-15.17037668</v>
      </c>
      <c r="G649">
        <f ca="1">IF(AND(ISNUMBER($G$1306),$B$677=1),$G$1306,HLOOKUP(INDIRECT(ADDRESS(2,COLUMN())),OFFSET($BN$2,0,0,ROW()-1,60),ROW()-1,FALSE))</f>
        <v>-16.160120039999999</v>
      </c>
      <c r="H649">
        <f ca="1">IF(AND(ISNUMBER($H$1306),$B$677=1),$H$1306,HLOOKUP(INDIRECT(ADDRESS(2,COLUMN())),OFFSET($BN$2,0,0,ROW()-1,60),ROW()-1,FALSE))</f>
        <v>-12.95043274</v>
      </c>
      <c r="I649">
        <f ca="1">IF(AND(ISNUMBER($I$1306),$B$677=1),$I$1306,HLOOKUP(INDIRECT(ADDRESS(2,COLUMN())),OFFSET($BN$2,0,0,ROW()-1,60),ROW()-1,FALSE))</f>
        <v>-5.7262993790000003</v>
      </c>
      <c r="J649">
        <f ca="1">IF(AND(ISNUMBER($J$1306),$B$677=1),$J$1306,HLOOKUP(INDIRECT(ADDRESS(2,COLUMN())),OFFSET($BN$2,0,0,ROW()-1,60),ROW()-1,FALSE))</f>
        <v>2.9373477549999998</v>
      </c>
      <c r="K649">
        <f ca="1">IF(AND(ISNUMBER($K$1306),$B$677=1),$K$1306,HLOOKUP(INDIRECT(ADDRESS(2,COLUMN())),OFFSET($BN$2,0,0,ROW()-1,60),ROW()-1,FALSE))</f>
        <v>7.0939123339999997</v>
      </c>
      <c r="L649">
        <f ca="1">IF(AND(ISNUMBER($L$1306),$B$677=1),$L$1306,HLOOKUP(INDIRECT(ADDRESS(2,COLUMN())),OFFSET($BN$2,0,0,ROW()-1,60),ROW()-1,FALSE))</f>
        <v>6.6270368350000002</v>
      </c>
      <c r="M649">
        <f ca="1">IF(AND(ISNUMBER($M$1306),$B$677=1),$M$1306,HLOOKUP(INDIRECT(ADDRESS(2,COLUMN())),OFFSET($BN$2,0,0,ROW()-1,60),ROW()-1,FALSE))</f>
        <v>10.42865609</v>
      </c>
      <c r="N649">
        <f ca="1">IF(AND(ISNUMBER($N$1306),$B$677=1),$N$1306,HLOOKUP(INDIRECT(ADDRESS(2,COLUMN())),OFFSET($BN$2,0,0,ROW()-1,60),ROW()-1,FALSE))</f>
        <v>6.9349934119999999</v>
      </c>
      <c r="O649">
        <f ca="1">IF(AND(ISNUMBER($O$1306),$B$677=1),$O$1306,HLOOKUP(INDIRECT(ADDRESS(2,COLUMN())),OFFSET($BN$2,0,0,ROW()-1,60),ROW()-1,FALSE))</f>
        <v>8.6220621580000003</v>
      </c>
      <c r="P649">
        <f ca="1">IF(AND(ISNUMBER($P$1306),$B$677=1),$P$1306,HLOOKUP(INDIRECT(ADDRESS(2,COLUMN())),OFFSET($BN$2,0,0,ROW()-1,60),ROW()-1,FALSE))</f>
        <v>20.272504990000002</v>
      </c>
      <c r="Q649">
        <f ca="1">IF(AND(ISNUMBER($Q$1306),$B$677=1),$Q$1306,HLOOKUP(INDIRECT(ADDRESS(2,COLUMN())),OFFSET($BN$2,0,0,ROW()-1,60),ROW()-1,FALSE))</f>
        <v>16.311237340000002</v>
      </c>
      <c r="R649">
        <f ca="1">IF(AND(ISNUMBER($R$1306),$B$677=1),$R$1306,HLOOKUP(INDIRECT(ADDRESS(2,COLUMN())),OFFSET($BN$2,0,0,ROW()-1,60),ROW()-1,FALSE))</f>
        <v>14.66655222</v>
      </c>
      <c r="S649">
        <f ca="1">IF(AND(ISNUMBER($S$1306),$B$677=1),$S$1306,HLOOKUP(INDIRECT(ADDRESS(2,COLUMN())),OFFSET($BN$2,0,0,ROW()-1,60),ROW()-1,FALSE))</f>
        <v>16.1404326</v>
      </c>
      <c r="T649">
        <f ca="1">IF(AND(ISNUMBER($T$1306),$B$677=1),$T$1306,HLOOKUP(INDIRECT(ADDRESS(2,COLUMN())),OFFSET($BN$2,0,0,ROW()-1,60),ROW()-1,FALSE))</f>
        <v>12.714917379999999</v>
      </c>
      <c r="U649">
        <f ca="1">IF(AND(ISNUMBER($U$1306),$B$677=1),$U$1306,HLOOKUP(INDIRECT(ADDRESS(2,COLUMN())),OFFSET($BN$2,0,0,ROW()-1,60),ROW()-1,FALSE))</f>
        <v>3.5601173460000002</v>
      </c>
      <c r="V649">
        <f ca="1">IF(AND(ISNUMBER($V$1306),$B$677=1),$V$1306,HLOOKUP(INDIRECT(ADDRESS(2,COLUMN())),OFFSET($BN$2,0,0,ROW()-1,60),ROW()-1,FALSE))</f>
        <v>3.5391123389999999</v>
      </c>
      <c r="W649">
        <f ca="1">IF(AND(ISNUMBER($W$1306),$B$677=1),$W$1306,HLOOKUP(INDIRECT(ADDRESS(2,COLUMN())),OFFSET($BN$2,0,0,ROW()-1,60),ROW()-1,FALSE))</f>
        <v>7.7972204129999998</v>
      </c>
      <c r="X649">
        <f ca="1">IF(AND(ISNUMBER($X$1306),$B$677=1),$X$1306,HLOOKUP(INDIRECT(ADDRESS(2,COLUMN())),OFFSET($BN$2,0,0,ROW()-1,60),ROW()-1,FALSE))</f>
        <v>7.880431411</v>
      </c>
      <c r="Y649">
        <f ca="1">IF(AND(ISNUMBER($Y$1306),$B$677=1),$Y$1306,HLOOKUP(INDIRECT(ADDRESS(2,COLUMN())),OFFSET($BN$2,0,0,ROW()-1,60),ROW()-1,FALSE))</f>
        <v>8.7376006830000001</v>
      </c>
      <c r="Z649">
        <f ca="1">IF(AND(ISNUMBER($Z$1306),$B$677=1),$Z$1306,HLOOKUP(INDIRECT(ADDRESS(2,COLUMN())),OFFSET($BN$2,0,0,ROW()-1,60),ROW()-1,FALSE))</f>
        <v>5.1700330499999998</v>
      </c>
      <c r="AA649">
        <f ca="1">IF(AND(ISNUMBER($AA$1306),$B$677=1),$AA$1306,HLOOKUP(INDIRECT(ADDRESS(2,COLUMN())),OFFSET($BN$2,0,0,ROW()-1,60),ROW()-1,FALSE))</f>
        <v>11.48029268</v>
      </c>
      <c r="AB649">
        <f ca="1">IF(AND(ISNUMBER($AB$1306),$B$677=1),$AB$1306,HLOOKUP(INDIRECT(ADDRESS(2,COLUMN())),OFFSET($BN$2,0,0,ROW()-1,60),ROW()-1,FALSE))</f>
        <v>2.6422167490000001</v>
      </c>
      <c r="AC649">
        <f ca="1">IF(AND(ISNUMBER($AC$1306),$B$677=1),$AC$1306,HLOOKUP(INDIRECT(ADDRESS(2,COLUMN())),OFFSET($BN$2,0,0,ROW()-1,60),ROW()-1,FALSE))</f>
        <v>16.383404850000002</v>
      </c>
      <c r="AD649">
        <f ca="1">IF(AND(ISNUMBER($AD$1306),$B$677=1),$AD$1306,HLOOKUP(INDIRECT(ADDRESS(2,COLUMN())),OFFSET($BN$2,0,0,ROW()-1,60),ROW()-1,FALSE))</f>
        <v>19.976279300000002</v>
      </c>
      <c r="AE649">
        <f ca="1">IF(AND(ISNUMBER($AE$1306),$B$677=1),$AE$1306,HLOOKUP(INDIRECT(ADDRESS(2,COLUMN())),OFFSET($BN$2,0,0,ROW()-1,60),ROW()-1,FALSE))</f>
        <v>9.6989149139999995</v>
      </c>
      <c r="AF649">
        <f ca="1">IF(AND(ISNUMBER($AF$1306),$B$677=1),$AF$1306,HLOOKUP(INDIRECT(ADDRESS(2,COLUMN())),OFFSET($BN$2,0,0,ROW()-1,60),ROW()-1,FALSE))</f>
        <v>23.974243810000001</v>
      </c>
      <c r="AG649">
        <f ca="1">IF(AND(ISNUMBER($AG$1306),$B$677=1),$AG$1306,HLOOKUP(INDIRECT(ADDRESS(2,COLUMN())),OFFSET($BN$2,0,0,ROW()-1,60),ROW()-1,FALSE))</f>
        <v>21.903406929999999</v>
      </c>
      <c r="AH649">
        <f ca="1">IF(AND(ISNUMBER($AH$1306),$B$677=1),$AH$1306,HLOOKUP(INDIRECT(ADDRESS(2,COLUMN())),OFFSET($BN$2,0,0,ROW()-1,60),ROW()-1,FALSE))</f>
        <v>14.643608779999999</v>
      </c>
      <c r="AI649">
        <f ca="1">IF(AND(ISNUMBER($AI$1306),$B$677=1),$AI$1306,HLOOKUP(INDIRECT(ADDRESS(2,COLUMN())),OFFSET($BN$2,0,0,ROW()-1,60),ROW()-1,FALSE))</f>
        <v>14.850150859999999</v>
      </c>
      <c r="AJ649">
        <f ca="1">IF(AND(ISNUMBER($AJ$1306),$B$677=1),$AJ$1306,HLOOKUP(INDIRECT(ADDRESS(2,COLUMN())),OFFSET($BN$2,0,0,ROW()-1,60),ROW()-1,FALSE))</f>
        <v>22.641370649999999</v>
      </c>
      <c r="AK649">
        <f ca="1">IF(AND(ISNUMBER($AK$1306),$B$677=1),$AK$1306,HLOOKUP(INDIRECT(ADDRESS(2,COLUMN())),OFFSET($BN$2,0,0,ROW()-1,60),ROW()-1,FALSE))</f>
        <v>14.66903832</v>
      </c>
      <c r="AL649">
        <f ca="1">IF(AND(ISNUMBER($AL$1306),$B$677=1),$AL$1306,HLOOKUP(INDIRECT(ADDRESS(2,COLUMN())),OFFSET($BN$2,0,0,ROW()-1,60),ROW()-1,FALSE))</f>
        <v>10.401472849999999</v>
      </c>
      <c r="AM649">
        <f ca="1">IF(AND(ISNUMBER($AM$1306),$B$677=1),$AM$1306,HLOOKUP(INDIRECT(ADDRESS(2,COLUMN())),OFFSET($BN$2,0,0,ROW()-1,60),ROW()-1,FALSE))</f>
        <v>17.20352887</v>
      </c>
      <c r="AN649">
        <f ca="1">IF(AND(ISNUMBER($AN$1306),$B$677=1),$AN$1306,HLOOKUP(INDIRECT(ADDRESS(2,COLUMN())),OFFSET($BN$2,0,0,ROW()-1,60),ROW()-1,FALSE))</f>
        <v>10.10353724</v>
      </c>
      <c r="AO649">
        <f ca="1">IF(AND(ISNUMBER($AO$1306),$B$677=1),$AO$1306,HLOOKUP(INDIRECT(ADDRESS(2,COLUMN())),OFFSET($BN$2,0,0,ROW()-1,60),ROW()-1,FALSE))</f>
        <v>11.332630910000001</v>
      </c>
      <c r="AP649">
        <f ca="1">IF(AND(ISNUMBER($AP$1306),$B$677=1),$AP$1306,HLOOKUP(INDIRECT(ADDRESS(2,COLUMN())),OFFSET($BN$2,0,0,ROW()-1,60),ROW()-1,FALSE))</f>
        <v>19.269175319999999</v>
      </c>
      <c r="AQ649">
        <f ca="1">IF(AND(ISNUMBER($AQ$1306),$B$677=1),$AQ$1306,HLOOKUP(INDIRECT(ADDRESS(2,COLUMN())),OFFSET($BN$2,0,0,ROW()-1,60),ROW()-1,FALSE))</f>
        <v>12.514625390000001</v>
      </c>
      <c r="AR649">
        <f ca="1">IF(AND(ISNUMBER($AR$1306),$B$677=1),$AR$1306,HLOOKUP(INDIRECT(ADDRESS(2,COLUMN())),OFFSET($BN$2,0,0,ROW()-1,60),ROW()-1,FALSE))</f>
        <v>4.8761574000000002E-2</v>
      </c>
      <c r="AS649">
        <f ca="1">IF(AND(ISNUMBER($AS$1306),$B$677=1),$AS$1306,HLOOKUP(INDIRECT(ADDRESS(2,COLUMN())),OFFSET($BN$2,0,0,ROW()-1,60),ROW()-1,FALSE))</f>
        <v>-5.7440399409999996</v>
      </c>
      <c r="AT649">
        <f ca="1">IF(AND(ISNUMBER($AT$1306),$B$677=1),$AT$1306,HLOOKUP(INDIRECT(ADDRESS(2,COLUMN())),OFFSET($BN$2,0,0,ROW()-1,60),ROW()-1,FALSE))</f>
        <v>-14.190581</v>
      </c>
      <c r="AU649">
        <f ca="1">IF(AND(ISNUMBER($AU$1306),$B$677=1),$AU$1306,HLOOKUP(INDIRECT(ADDRESS(2,COLUMN())),OFFSET($BN$2,0,0,ROW()-1,60),ROW()-1,FALSE))</f>
        <v>-7.2886774799999996</v>
      </c>
      <c r="AV649">
        <f ca="1">IF(AND(ISNUMBER($AV$1306),$B$677=1),$AV$1306,HLOOKUP(INDIRECT(ADDRESS(2,COLUMN())),OFFSET($BN$2,0,0,ROW()-1,60),ROW()-1,FALSE))</f>
        <v>14.044233480000001</v>
      </c>
      <c r="AW649">
        <f ca="1">IF(AND(ISNUMBER($AW$1306),$B$677=1),$AW$1306,HLOOKUP(INDIRECT(ADDRESS(2,COLUMN())),OFFSET($BN$2,0,0,ROW()-1,60),ROW()-1,FALSE))</f>
        <v>10.779161650000001</v>
      </c>
      <c r="AX649">
        <f ca="1">IF(AND(ISNUMBER($AX$1306),$B$677=1),$AX$1306,HLOOKUP(INDIRECT(ADDRESS(2,COLUMN())),OFFSET($BN$2,0,0,ROW()-1,60),ROW()-1,FALSE))</f>
        <v>7.5470234810000001</v>
      </c>
      <c r="AY649">
        <f ca="1">IF(AND(ISNUMBER($AY$1306),$B$677=1),$AY$1306,HLOOKUP(INDIRECT(ADDRESS(2,COLUMN())),OFFSET($BN$2,0,0,ROW()-1,60),ROW()-1,FALSE))</f>
        <v>-0.45901042199999997</v>
      </c>
      <c r="AZ649">
        <f ca="1">IF(AND(ISNUMBER($AZ$1306),$B$677=1),$AZ$1306,HLOOKUP(INDIRECT(ADDRESS(2,COLUMN())),OFFSET($BN$2,0,0,ROW()-1,60),ROW()-1,FALSE))</f>
        <v>3.6379465450000001</v>
      </c>
      <c r="BA649">
        <f ca="1">IF(AND(ISNUMBER($BA$1306),$B$677=1),$BA$1306,HLOOKUP(INDIRECT(ADDRESS(2,COLUMN())),OFFSET($BN$2,0,0,ROW()-1,60),ROW()-1,FALSE))</f>
        <v>8.6585801759999992</v>
      </c>
      <c r="BB649">
        <f ca="1">IF(AND(ISNUMBER($BB$1306),$B$677=1),$BB$1306,HLOOKUP(INDIRECT(ADDRESS(2,COLUMN())),OFFSET($BN$2,0,0,ROW()-1,60),ROW()-1,FALSE))</f>
        <v>9.3946059769999994</v>
      </c>
      <c r="BC649">
        <f ca="1">IF(AND(ISNUMBER($BC$1306),$B$677=1),$BC$1306,HLOOKUP(INDIRECT(ADDRESS(2,COLUMN())),OFFSET($BN$2,0,0,ROW()-1,60),ROW()-1,FALSE))</f>
        <v>22.742756889999999</v>
      </c>
      <c r="BD649">
        <f ca="1">IF(AND(ISNUMBER($BD$1306),$B$677=1),$BD$1306,HLOOKUP(INDIRECT(ADDRESS(2,COLUMN())),OFFSET($BN$2,0,0,ROW()-1,60),ROW()-1,FALSE))</f>
        <v>6.0846455180000003</v>
      </c>
      <c r="BE649">
        <f ca="1">IF(AND(ISNUMBER($BE$1306),$B$677=1),$BE$1306,HLOOKUP(INDIRECT(ADDRESS(2,COLUMN())),OFFSET($BN$2,0,0,ROW()-1,60),ROW()-1,FALSE))</f>
        <v>10.94830778</v>
      </c>
      <c r="BF649">
        <f ca="1">IF(AND(ISNUMBER($BF$1306),$B$677=1),$BF$1306,HLOOKUP(INDIRECT(ADDRESS(2,COLUMN())),OFFSET($BN$2,0,0,ROW()-1,60),ROW()-1,FALSE))</f>
        <v>10.26566847</v>
      </c>
      <c r="BG649">
        <f ca="1">IF(AND(ISNUMBER($BG$1306),$B$677=1),$BG$1306,HLOOKUP(INDIRECT(ADDRESS(2,COLUMN())),OFFSET($BN$2,0,0,ROW()-1,60),ROW()-1,FALSE))</f>
        <v>9.2717772249999992</v>
      </c>
      <c r="BH649">
        <f ca="1">IF(AND(ISNUMBER($BH$1306),$B$677=1),$BH$1306,HLOOKUP(INDIRECT(ADDRESS(2,COLUMN())),OFFSET($BN$2,0,0,ROW()-1,60),ROW()-1,FALSE))</f>
        <v>6.1813526090000002</v>
      </c>
      <c r="BI649">
        <f ca="1">IF(AND(ISNUMBER($BI$1306),$B$677=1),$BI$1306,HLOOKUP(INDIRECT(ADDRESS(2,COLUMN())),OFFSET($BN$2,0,0,ROW()-1,60),ROW()-1,FALSE))</f>
        <v>-2.3390954769999999</v>
      </c>
      <c r="BJ649">
        <f ca="1">IF(AND(ISNUMBER($BJ$1306),$B$677=1),$BJ$1306,HLOOKUP(INDIRECT(ADDRESS(2,COLUMN())),OFFSET($BN$2,0,0,ROW()-1,60),ROW()-1,FALSE))</f>
        <v>5.1472752420000001</v>
      </c>
      <c r="BK649">
        <f ca="1">IF(AND(ISNUMBER($BK$1306),$B$677=1),$BK$1306,HLOOKUP(INDIRECT(ADDRESS(2,COLUMN())),OFFSET($BN$2,0,0,ROW()-1,60),ROW()-1,FALSE))</f>
        <v>3.501870958</v>
      </c>
      <c r="BL649">
        <f ca="1">IF(AND(ISNUMBER($BL$1306),$B$677=1),$BL$1306,HLOOKUP(INDIRECT(ADDRESS(2,COLUMN())),OFFSET($BN$2,0,0,ROW()-1,60),ROW()-1,FALSE))</f>
        <v>1.4427920620000001</v>
      </c>
      <c r="BM649">
        <f ca="1">IF(AND(ISNUMBER($BM$1306),$B$677=1),$BM$1306,HLOOKUP(INDIRECT(ADDRESS(2,COLUMN())),OFFSET($BN$2,0,0,ROW()-1,60),ROW()-1,FALSE))</f>
        <v>2.06660244</v>
      </c>
      <c r="BN649">
        <f>-15.17037668</f>
        <v>-15.17037668</v>
      </c>
      <c r="BO649">
        <f>-16.16012004</f>
        <v>-16.160120039999999</v>
      </c>
      <c r="BP649">
        <f>-12.95043274</f>
        <v>-12.95043274</v>
      </c>
      <c r="BQ649">
        <f>-5.726299379</f>
        <v>-5.7262993790000003</v>
      </c>
      <c r="BR649">
        <f>2.937347755</f>
        <v>2.9373477549999998</v>
      </c>
      <c r="BS649">
        <f>7.093912334</f>
        <v>7.0939123339999997</v>
      </c>
      <c r="BT649">
        <f>6.627036835</f>
        <v>6.6270368350000002</v>
      </c>
      <c r="BU649">
        <f>10.42865609</f>
        <v>10.42865609</v>
      </c>
      <c r="BV649">
        <f>6.934993412</f>
        <v>6.9349934119999999</v>
      </c>
      <c r="BW649">
        <f>8.622062158</f>
        <v>8.6220621580000003</v>
      </c>
      <c r="BX649">
        <f>20.27250499</f>
        <v>20.272504990000002</v>
      </c>
      <c r="BY649">
        <f>16.31123734</f>
        <v>16.311237340000002</v>
      </c>
      <c r="BZ649">
        <f>14.66655222</f>
        <v>14.66655222</v>
      </c>
      <c r="CA649">
        <f>16.1404326</f>
        <v>16.1404326</v>
      </c>
      <c r="CB649">
        <f>12.71491738</f>
        <v>12.714917379999999</v>
      </c>
      <c r="CC649">
        <f>3.560117346</f>
        <v>3.5601173460000002</v>
      </c>
      <c r="CD649">
        <f>3.539112339</f>
        <v>3.5391123389999999</v>
      </c>
      <c r="CE649">
        <f>7.797220413</f>
        <v>7.7972204129999998</v>
      </c>
      <c r="CF649">
        <f>7.880431411</f>
        <v>7.880431411</v>
      </c>
      <c r="CG649">
        <f>8.737600683</f>
        <v>8.7376006830000001</v>
      </c>
      <c r="CH649">
        <f>5.17003305</f>
        <v>5.1700330499999998</v>
      </c>
      <c r="CI649">
        <f>11.48029268</f>
        <v>11.48029268</v>
      </c>
      <c r="CJ649">
        <f>2.642216749</f>
        <v>2.6422167490000001</v>
      </c>
      <c r="CK649">
        <f>16.38340485</f>
        <v>16.383404850000002</v>
      </c>
      <c r="CL649">
        <f>19.9762793</f>
        <v>19.976279300000002</v>
      </c>
      <c r="CM649">
        <f>9.698914914</f>
        <v>9.6989149139999995</v>
      </c>
      <c r="CN649">
        <f>23.97424381</f>
        <v>23.974243810000001</v>
      </c>
      <c r="CO649">
        <f>21.90340693</f>
        <v>21.903406929999999</v>
      </c>
      <c r="CP649">
        <f>14.64360878</f>
        <v>14.643608779999999</v>
      </c>
      <c r="CQ649">
        <f>14.85015086</f>
        <v>14.850150859999999</v>
      </c>
      <c r="CR649">
        <f>22.64137065</f>
        <v>22.641370649999999</v>
      </c>
      <c r="CS649">
        <f>14.66903832</f>
        <v>14.66903832</v>
      </c>
      <c r="CT649">
        <f>10.40147285</f>
        <v>10.401472849999999</v>
      </c>
      <c r="CU649">
        <f>17.20352887</f>
        <v>17.20352887</v>
      </c>
      <c r="CV649">
        <f>10.10353724</f>
        <v>10.10353724</v>
      </c>
      <c r="CW649">
        <f>11.33263091</f>
        <v>11.332630910000001</v>
      </c>
      <c r="CX649">
        <f>19.26917532</f>
        <v>19.269175319999999</v>
      </c>
      <c r="CY649">
        <f>12.51462539</f>
        <v>12.514625390000001</v>
      </c>
      <c r="CZ649">
        <f>0.048761574</f>
        <v>4.8761574000000002E-2</v>
      </c>
      <c r="DA649">
        <f>-5.744039941</f>
        <v>-5.7440399409999996</v>
      </c>
      <c r="DB649">
        <f>-14.190581</f>
        <v>-14.190581</v>
      </c>
      <c r="DC649">
        <f>-7.28867748</f>
        <v>-7.2886774799999996</v>
      </c>
      <c r="DD649">
        <f>14.04423348</f>
        <v>14.044233480000001</v>
      </c>
      <c r="DE649">
        <f>10.77916165</f>
        <v>10.779161650000001</v>
      </c>
      <c r="DF649">
        <f>7.547023481</f>
        <v>7.5470234810000001</v>
      </c>
      <c r="DG649">
        <f>-0.459010422</f>
        <v>-0.45901042199999997</v>
      </c>
      <c r="DH649">
        <f>3.637946545</f>
        <v>3.6379465450000001</v>
      </c>
      <c r="DI649">
        <f>8.658580176</f>
        <v>8.6585801759999992</v>
      </c>
      <c r="DJ649">
        <f>9.394605977</f>
        <v>9.3946059769999994</v>
      </c>
      <c r="DK649">
        <f>22.74275689</f>
        <v>22.742756889999999</v>
      </c>
      <c r="DL649">
        <f>6.084645518</f>
        <v>6.0846455180000003</v>
      </c>
      <c r="DM649">
        <f>10.94830778</f>
        <v>10.94830778</v>
      </c>
      <c r="DN649">
        <f>10.26566847</f>
        <v>10.26566847</v>
      </c>
      <c r="DO649">
        <f>9.271777225</f>
        <v>9.2717772249999992</v>
      </c>
      <c r="DP649">
        <f>6.181352609</f>
        <v>6.1813526090000002</v>
      </c>
      <c r="DQ649">
        <f>-2.339095477</f>
        <v>-2.3390954769999999</v>
      </c>
      <c r="DR649">
        <f>5.147275242</f>
        <v>5.1472752420000001</v>
      </c>
      <c r="DS649">
        <f>3.501870958</f>
        <v>3.501870958</v>
      </c>
      <c r="DT649">
        <f>1.442792062</f>
        <v>1.4427920620000001</v>
      </c>
      <c r="DU649">
        <f>2.06660244</f>
        <v>2.06660244</v>
      </c>
    </row>
    <row r="650" spans="1:125" x14ac:dyDescent="0.25">
      <c r="A650" t="str">
        <f>"    Sanyang Motor Co Ltd"</f>
        <v xml:space="preserve">    Sanyang Motor Co Ltd</v>
      </c>
      <c r="B650" t="str">
        <f>"2206 TT Equity"</f>
        <v>2206 TT Equity</v>
      </c>
      <c r="C650" t="str">
        <f t="shared" si="45"/>
        <v>RX539</v>
      </c>
      <c r="D650" t="str">
        <f t="shared" si="46"/>
        <v>T12_FCF_YIELD</v>
      </c>
      <c r="E650" t="str">
        <f t="shared" si="47"/>
        <v>Dynamic</v>
      </c>
      <c r="F650">
        <f ca="1">IF(AND(ISNUMBER($F$1307),$B$677=1),$F$1307,HLOOKUP(INDIRECT(ADDRESS(2,COLUMN())),OFFSET($BN$2,0,0,ROW()-1,60),ROW()-1,FALSE))</f>
        <v>-7.5978966410000002</v>
      </c>
      <c r="G650">
        <f ca="1">IF(AND(ISNUMBER($G$1307),$B$677=1),$G$1307,HLOOKUP(INDIRECT(ADDRESS(2,COLUMN())),OFFSET($BN$2,0,0,ROW()-1,60),ROW()-1,FALSE))</f>
        <v>-7.6168913820000004</v>
      </c>
      <c r="H650">
        <f ca="1">IF(AND(ISNUMBER($H$1307),$B$677=1),$H$1307,HLOOKUP(INDIRECT(ADDRESS(2,COLUMN())),OFFSET($BN$2,0,0,ROW()-1,60),ROW()-1,FALSE))</f>
        <v>-7.4311135439999996</v>
      </c>
      <c r="I650">
        <f ca="1">IF(AND(ISNUMBER($I$1307),$B$677=1),$I$1307,HLOOKUP(INDIRECT(ADDRESS(2,COLUMN())),OFFSET($BN$2,0,0,ROW()-1,60),ROW()-1,FALSE))</f>
        <v>-1.377830245</v>
      </c>
      <c r="J650">
        <f ca="1">IF(AND(ISNUMBER($J$1307),$B$677=1),$J$1307,HLOOKUP(INDIRECT(ADDRESS(2,COLUMN())),OFFSET($BN$2,0,0,ROW()-1,60),ROW()-1,FALSE))</f>
        <v>-0.80387903999999999</v>
      </c>
      <c r="K650">
        <f ca="1">IF(AND(ISNUMBER($K$1307),$B$677=1),$K$1307,HLOOKUP(INDIRECT(ADDRESS(2,COLUMN())),OFFSET($BN$2,0,0,ROW()-1,60),ROW()-1,FALSE))</f>
        <v>6.5567619690000001</v>
      </c>
      <c r="L650">
        <f ca="1">IF(AND(ISNUMBER($L$1307),$B$677=1),$L$1307,HLOOKUP(INDIRECT(ADDRESS(2,COLUMN())),OFFSET($BN$2,0,0,ROW()-1,60),ROW()-1,FALSE))</f>
        <v>17.79990871</v>
      </c>
      <c r="M650">
        <f ca="1">IF(AND(ISNUMBER($M$1307),$B$677=1),$M$1307,HLOOKUP(INDIRECT(ADDRESS(2,COLUMN())),OFFSET($BN$2,0,0,ROW()-1,60),ROW()-1,FALSE))</f>
        <v>15.200090700000001</v>
      </c>
      <c r="N650">
        <f ca="1">IF(AND(ISNUMBER($N$1307),$B$677=1),$N$1307,HLOOKUP(INDIRECT(ADDRESS(2,COLUMN())),OFFSET($BN$2,0,0,ROW()-1,60),ROW()-1,FALSE))</f>
        <v>20.27181603</v>
      </c>
      <c r="O650">
        <f ca="1">IF(AND(ISNUMBER($O$1307),$B$677=1),$O$1307,HLOOKUP(INDIRECT(ADDRESS(2,COLUMN())),OFFSET($BN$2,0,0,ROW()-1,60),ROW()-1,FALSE))</f>
        <v>18.76540782</v>
      </c>
      <c r="P650">
        <f ca="1">IF(AND(ISNUMBER($P$1307),$B$677=1),$P$1307,HLOOKUP(INDIRECT(ADDRESS(2,COLUMN())),OFFSET($BN$2,0,0,ROW()-1,60),ROW()-1,FALSE))</f>
        <v>16.602660199999999</v>
      </c>
      <c r="Q650">
        <f ca="1">IF(AND(ISNUMBER($Q$1307),$B$677=1),$Q$1307,HLOOKUP(INDIRECT(ADDRESS(2,COLUMN())),OFFSET($BN$2,0,0,ROW()-1,60),ROW()-1,FALSE))</f>
        <v>8.960821481</v>
      </c>
      <c r="R650">
        <f ca="1">IF(AND(ISNUMBER($R$1307),$B$677=1),$R$1307,HLOOKUP(INDIRECT(ADDRESS(2,COLUMN())),OFFSET($BN$2,0,0,ROW()-1,60),ROW()-1,FALSE))</f>
        <v>6.7401339570000003</v>
      </c>
      <c r="S650">
        <f ca="1">IF(AND(ISNUMBER($S$1307),$B$677=1),$S$1307,HLOOKUP(INDIRECT(ADDRESS(2,COLUMN())),OFFSET($BN$2,0,0,ROW()-1,60),ROW()-1,FALSE))</f>
        <v>-6.4482526140000003</v>
      </c>
      <c r="T650">
        <f ca="1">IF(AND(ISNUMBER($T$1307),$B$677=1),$T$1307,HLOOKUP(INDIRECT(ADDRESS(2,COLUMN())),OFFSET($BN$2,0,0,ROW()-1,60),ROW()-1,FALSE))</f>
        <v>-10.69761308</v>
      </c>
      <c r="U650">
        <f ca="1">IF(AND(ISNUMBER($U$1307),$B$677=1),$U$1307,HLOOKUP(INDIRECT(ADDRESS(2,COLUMN())),OFFSET($BN$2,0,0,ROW()-1,60),ROW()-1,FALSE))</f>
        <v>-5.7862633299999997</v>
      </c>
      <c r="V650">
        <f ca="1">IF(AND(ISNUMBER($V$1307),$B$677=1),$V$1307,HLOOKUP(INDIRECT(ADDRESS(2,COLUMN())),OFFSET($BN$2,0,0,ROW()-1,60),ROW()-1,FALSE))</f>
        <v>-6.6208846680000004</v>
      </c>
      <c r="W650">
        <f ca="1">IF(AND(ISNUMBER($W$1307),$B$677=1),$W$1307,HLOOKUP(INDIRECT(ADDRESS(2,COLUMN())),OFFSET($BN$2,0,0,ROW()-1,60),ROW()-1,FALSE))</f>
        <v>-4.0367355549999999</v>
      </c>
      <c r="X650">
        <f ca="1">IF(AND(ISNUMBER($X$1307),$B$677=1),$X$1307,HLOOKUP(INDIRECT(ADDRESS(2,COLUMN())),OFFSET($BN$2,0,0,ROW()-1,60),ROW()-1,FALSE))</f>
        <v>-7.6920014669999999</v>
      </c>
      <c r="Y650">
        <f ca="1">IF(AND(ISNUMBER($Y$1307),$B$677=1),$Y$1307,HLOOKUP(INDIRECT(ADDRESS(2,COLUMN())),OFFSET($BN$2,0,0,ROW()-1,60),ROW()-1,FALSE))</f>
        <v>-6.2404722020000003</v>
      </c>
      <c r="Z650">
        <f ca="1">IF(AND(ISNUMBER($Z$1307),$B$677=1),$Z$1307,HLOOKUP(INDIRECT(ADDRESS(2,COLUMN())),OFFSET($BN$2,0,0,ROW()-1,60),ROW()-1,FALSE))</f>
        <v>-6.9652509050000004</v>
      </c>
      <c r="AA650">
        <f ca="1">IF(AND(ISNUMBER($AA$1307),$B$677=1),$AA$1307,HLOOKUP(INDIRECT(ADDRESS(2,COLUMN())),OFFSET($BN$2,0,0,ROW()-1,60),ROW()-1,FALSE))</f>
        <v>-5.0848422739999997</v>
      </c>
      <c r="AB650">
        <f ca="1">IF(AND(ISNUMBER($AB$1307),$B$677=1),$AB$1307,HLOOKUP(INDIRECT(ADDRESS(2,COLUMN())),OFFSET($BN$2,0,0,ROW()-1,60),ROW()-1,FALSE))</f>
        <v>-2.6528236500000002</v>
      </c>
      <c r="AC650">
        <f ca="1">IF(AND(ISNUMBER($AC$1307),$B$677=1),$AC$1307,HLOOKUP(INDIRECT(ADDRESS(2,COLUMN())),OFFSET($BN$2,0,0,ROW()-1,60),ROW()-1,FALSE))</f>
        <v>0.17877727800000001</v>
      </c>
      <c r="AD650">
        <f ca="1">IF(AND(ISNUMBER($AD$1307),$B$677=1),$AD$1307,HLOOKUP(INDIRECT(ADDRESS(2,COLUMN())),OFFSET($BN$2,0,0,ROW()-1,60),ROW()-1,FALSE))</f>
        <v>2.3042373</v>
      </c>
      <c r="AE650">
        <f ca="1">IF(AND(ISNUMBER($AE$1307),$B$677=1),$AE$1307,HLOOKUP(INDIRECT(ADDRESS(2,COLUMN())),OFFSET($BN$2,0,0,ROW()-1,60),ROW()-1,FALSE))</f>
        <v>1.649622865</v>
      </c>
      <c r="AF650">
        <f ca="1">IF(AND(ISNUMBER($AF$1307),$B$677=1),$AF$1307,HLOOKUP(INDIRECT(ADDRESS(2,COLUMN())),OFFSET($BN$2,0,0,ROW()-1,60),ROW()-1,FALSE))</f>
        <v>-1.9979966870000001</v>
      </c>
      <c r="AG650">
        <f ca="1">IF(AND(ISNUMBER($AG$1307),$B$677=1),$AG$1307,HLOOKUP(INDIRECT(ADDRESS(2,COLUMN())),OFFSET($BN$2,0,0,ROW()-1,60),ROW()-1,FALSE))</f>
        <v>-8.4810573550000008</v>
      </c>
      <c r="AH650">
        <f ca="1">IF(AND(ISNUMBER($AH$1307),$B$677=1),$AH$1307,HLOOKUP(INDIRECT(ADDRESS(2,COLUMN())),OFFSET($BN$2,0,0,ROW()-1,60),ROW()-1,FALSE))</f>
        <v>-3.609148759</v>
      </c>
      <c r="AI650">
        <f ca="1">IF(AND(ISNUMBER($AI$1307),$B$677=1),$AI$1307,HLOOKUP(INDIRECT(ADDRESS(2,COLUMN())),OFFSET($BN$2,0,0,ROW()-1,60),ROW()-1,FALSE))</f>
        <v>0.31522377600000001</v>
      </c>
      <c r="AJ650">
        <f ca="1">IF(AND(ISNUMBER($AJ$1307),$B$677=1),$AJ$1307,HLOOKUP(INDIRECT(ADDRESS(2,COLUMN())),OFFSET($BN$2,0,0,ROW()-1,60),ROW()-1,FALSE))</f>
        <v>-0.372486121</v>
      </c>
      <c r="AK650">
        <f ca="1">IF(AND(ISNUMBER($AK$1307),$B$677=1),$AK$1307,HLOOKUP(INDIRECT(ADDRESS(2,COLUMN())),OFFSET($BN$2,0,0,ROW()-1,60),ROW()-1,FALSE))</f>
        <v>7.3778537960000001</v>
      </c>
      <c r="AL650">
        <f ca="1">IF(AND(ISNUMBER($AL$1307),$B$677=1),$AL$1307,HLOOKUP(INDIRECT(ADDRESS(2,COLUMN())),OFFSET($BN$2,0,0,ROW()-1,60),ROW()-1,FALSE))</f>
        <v>-2.4380125320000001</v>
      </c>
      <c r="AM650">
        <f ca="1">IF(AND(ISNUMBER($AM$1307),$B$677=1),$AM$1307,HLOOKUP(INDIRECT(ADDRESS(2,COLUMN())),OFFSET($BN$2,0,0,ROW()-1,60),ROW()-1,FALSE))</f>
        <v>-8.3517319039999993</v>
      </c>
      <c r="AN650">
        <f ca="1">IF(AND(ISNUMBER($AN$1307),$B$677=1),$AN$1307,HLOOKUP(INDIRECT(ADDRESS(2,COLUMN())),OFFSET($BN$2,0,0,ROW()-1,60),ROW()-1,FALSE))</f>
        <v>-5.1064430920000001</v>
      </c>
      <c r="AO650">
        <f ca="1">IF(AND(ISNUMBER($AO$1307),$B$677=1),$AO$1307,HLOOKUP(INDIRECT(ADDRESS(2,COLUMN())),OFFSET($BN$2,0,0,ROW()-1,60),ROW()-1,FALSE))</f>
        <v>3.3949384560000002</v>
      </c>
      <c r="AP650">
        <f ca="1">IF(AND(ISNUMBER($AP$1307),$B$677=1),$AP$1307,HLOOKUP(INDIRECT(ADDRESS(2,COLUMN())),OFFSET($BN$2,0,0,ROW()-1,60),ROW()-1,FALSE))</f>
        <v>13.204523</v>
      </c>
      <c r="AQ650">
        <f ca="1">IF(AND(ISNUMBER($AQ$1307),$B$677=1),$AQ$1307,HLOOKUP(INDIRECT(ADDRESS(2,COLUMN())),OFFSET($BN$2,0,0,ROW()-1,60),ROW()-1,FALSE))</f>
        <v>10.939380119999999</v>
      </c>
      <c r="AR650">
        <f ca="1">IF(AND(ISNUMBER($AR$1307),$B$677=1),$AR$1307,HLOOKUP(INDIRECT(ADDRESS(2,COLUMN())),OFFSET($BN$2,0,0,ROW()-1,60),ROW()-1,FALSE))</f>
        <v>11.723230729999999</v>
      </c>
      <c r="AS650">
        <f ca="1">IF(AND(ISNUMBER($AS$1307),$B$677=1),$AS$1307,HLOOKUP(INDIRECT(ADDRESS(2,COLUMN())),OFFSET($BN$2,0,0,ROW()-1,60),ROW()-1,FALSE))</f>
        <v>-5.6622523769999997</v>
      </c>
      <c r="AT650">
        <f ca="1">IF(AND(ISNUMBER($AT$1307),$B$677=1),$AT$1307,HLOOKUP(INDIRECT(ADDRESS(2,COLUMN())),OFFSET($BN$2,0,0,ROW()-1,60),ROW()-1,FALSE))</f>
        <v>-8.5850776890000002</v>
      </c>
      <c r="AU650">
        <f ca="1">IF(AND(ISNUMBER($AU$1307),$B$677=1),$AU$1307,HLOOKUP(INDIRECT(ADDRESS(2,COLUMN())),OFFSET($BN$2,0,0,ROW()-1,60),ROW()-1,FALSE))</f>
        <v>-22.804351109999999</v>
      </c>
      <c r="AV650" t="str">
        <f ca="1">IF(AND(ISNUMBER($AV$1307),$B$677=1),$AV$1307,HLOOKUP(INDIRECT(ADDRESS(2,COLUMN())),OFFSET($BN$2,0,0,ROW()-1,60),ROW()-1,FALSE))</f>
        <v/>
      </c>
      <c r="AW650" t="str">
        <f ca="1">IF(AND(ISNUMBER($AW$1307),$B$677=1),$AW$1307,HLOOKUP(INDIRECT(ADDRESS(2,COLUMN())),OFFSET($BN$2,0,0,ROW()-1,60),ROW()-1,FALSE))</f>
        <v/>
      </c>
      <c r="AX650" t="str">
        <f ca="1">IF(AND(ISNUMBER($AX$1307),$B$677=1),$AX$1307,HLOOKUP(INDIRECT(ADDRESS(2,COLUMN())),OFFSET($BN$2,0,0,ROW()-1,60),ROW()-1,FALSE))</f>
        <v/>
      </c>
      <c r="AY650" t="str">
        <f ca="1">IF(AND(ISNUMBER($AY$1307),$B$677=1),$AY$1307,HLOOKUP(INDIRECT(ADDRESS(2,COLUMN())),OFFSET($BN$2,0,0,ROW()-1,60),ROW()-1,FALSE))</f>
        <v/>
      </c>
      <c r="AZ650" t="str">
        <f ca="1">IF(AND(ISNUMBER($AZ$1307),$B$677=1),$AZ$1307,HLOOKUP(INDIRECT(ADDRESS(2,COLUMN())),OFFSET($BN$2,0,0,ROW()-1,60),ROW()-1,FALSE))</f>
        <v/>
      </c>
      <c r="BA650" t="str">
        <f ca="1">IF(AND(ISNUMBER($BA$1307),$B$677=1),$BA$1307,HLOOKUP(INDIRECT(ADDRESS(2,COLUMN())),OFFSET($BN$2,0,0,ROW()-1,60),ROW()-1,FALSE))</f>
        <v/>
      </c>
      <c r="BB650" t="str">
        <f ca="1">IF(AND(ISNUMBER($BB$1307),$B$677=1),$BB$1307,HLOOKUP(INDIRECT(ADDRESS(2,COLUMN())),OFFSET($BN$2,0,0,ROW()-1,60),ROW()-1,FALSE))</f>
        <v/>
      </c>
      <c r="BC650" t="str">
        <f ca="1">IF(AND(ISNUMBER($BC$1307),$B$677=1),$BC$1307,HLOOKUP(INDIRECT(ADDRESS(2,COLUMN())),OFFSET($BN$2,0,0,ROW()-1,60),ROW()-1,FALSE))</f>
        <v/>
      </c>
      <c r="BD650" t="str">
        <f ca="1">IF(AND(ISNUMBER($BD$1307),$B$677=1),$BD$1307,HLOOKUP(INDIRECT(ADDRESS(2,COLUMN())),OFFSET($BN$2,0,0,ROW()-1,60),ROW()-1,FALSE))</f>
        <v/>
      </c>
      <c r="BE650" t="str">
        <f ca="1">IF(AND(ISNUMBER($BE$1307),$B$677=1),$BE$1307,HLOOKUP(INDIRECT(ADDRESS(2,COLUMN())),OFFSET($BN$2,0,0,ROW()-1,60),ROW()-1,FALSE))</f>
        <v/>
      </c>
      <c r="BF650" t="str">
        <f ca="1">IF(AND(ISNUMBER($BF$1307),$B$677=1),$BF$1307,HLOOKUP(INDIRECT(ADDRESS(2,COLUMN())),OFFSET($BN$2,0,0,ROW()-1,60),ROW()-1,FALSE))</f>
        <v/>
      </c>
      <c r="BG650" t="str">
        <f ca="1">IF(AND(ISNUMBER($BG$1307),$B$677=1),$BG$1307,HLOOKUP(INDIRECT(ADDRESS(2,COLUMN())),OFFSET($BN$2,0,0,ROW()-1,60),ROW()-1,FALSE))</f>
        <v/>
      </c>
      <c r="BH650" t="str">
        <f ca="1">IF(AND(ISNUMBER($BH$1307),$B$677=1),$BH$1307,HLOOKUP(INDIRECT(ADDRESS(2,COLUMN())),OFFSET($BN$2,0,0,ROW()-1,60),ROW()-1,FALSE))</f>
        <v/>
      </c>
      <c r="BI650" t="str">
        <f ca="1">IF(AND(ISNUMBER($BI$1307),$B$677=1),$BI$1307,HLOOKUP(INDIRECT(ADDRESS(2,COLUMN())),OFFSET($BN$2,0,0,ROW()-1,60),ROW()-1,FALSE))</f>
        <v/>
      </c>
      <c r="BJ650" t="str">
        <f ca="1">IF(AND(ISNUMBER($BJ$1307),$B$677=1),$BJ$1307,HLOOKUP(INDIRECT(ADDRESS(2,COLUMN())),OFFSET($BN$2,0,0,ROW()-1,60),ROW()-1,FALSE))</f>
        <v/>
      </c>
      <c r="BK650" t="str">
        <f ca="1">IF(AND(ISNUMBER($BK$1307),$B$677=1),$BK$1307,HLOOKUP(INDIRECT(ADDRESS(2,COLUMN())),OFFSET($BN$2,0,0,ROW()-1,60),ROW()-1,FALSE))</f>
        <v/>
      </c>
      <c r="BL650" t="str">
        <f ca="1">IF(AND(ISNUMBER($BL$1307),$B$677=1),$BL$1307,HLOOKUP(INDIRECT(ADDRESS(2,COLUMN())),OFFSET($BN$2,0,0,ROW()-1,60),ROW()-1,FALSE))</f>
        <v/>
      </c>
      <c r="BM650" t="str">
        <f ca="1">IF(AND(ISNUMBER($BM$1307),$B$677=1),$BM$1307,HLOOKUP(INDIRECT(ADDRESS(2,COLUMN())),OFFSET($BN$2,0,0,ROW()-1,60),ROW()-1,FALSE))</f>
        <v/>
      </c>
      <c r="BN650">
        <f>-7.597896641</f>
        <v>-7.5978966410000002</v>
      </c>
      <c r="BO650">
        <f>-7.616891382</f>
        <v>-7.6168913820000004</v>
      </c>
      <c r="BP650">
        <f>-7.431113544</f>
        <v>-7.4311135439999996</v>
      </c>
      <c r="BQ650">
        <f>-1.377830245</f>
        <v>-1.377830245</v>
      </c>
      <c r="BR650">
        <f>-0.80387904</f>
        <v>-0.80387903999999999</v>
      </c>
      <c r="BS650">
        <f>6.556761969</f>
        <v>6.5567619690000001</v>
      </c>
      <c r="BT650">
        <f>17.79990871</f>
        <v>17.79990871</v>
      </c>
      <c r="BU650">
        <f>15.2000907</f>
        <v>15.200090700000001</v>
      </c>
      <c r="BV650">
        <f>20.27181603</f>
        <v>20.27181603</v>
      </c>
      <c r="BW650">
        <f>18.76540782</f>
        <v>18.76540782</v>
      </c>
      <c r="BX650">
        <f>16.6026602</f>
        <v>16.602660199999999</v>
      </c>
      <c r="BY650">
        <f>8.960821481</f>
        <v>8.960821481</v>
      </c>
      <c r="BZ650">
        <f>6.740133957</f>
        <v>6.7401339570000003</v>
      </c>
      <c r="CA650">
        <f>-6.448252614</f>
        <v>-6.4482526140000003</v>
      </c>
      <c r="CB650">
        <f>-10.69761308</f>
        <v>-10.69761308</v>
      </c>
      <c r="CC650">
        <f>-5.78626333</f>
        <v>-5.7862633299999997</v>
      </c>
      <c r="CD650">
        <f>-6.620884668</f>
        <v>-6.6208846680000004</v>
      </c>
      <c r="CE650">
        <f>-4.036735555</f>
        <v>-4.0367355549999999</v>
      </c>
      <c r="CF650">
        <f>-7.692001467</f>
        <v>-7.6920014669999999</v>
      </c>
      <c r="CG650">
        <f>-6.240472202</f>
        <v>-6.2404722020000003</v>
      </c>
      <c r="CH650">
        <f>-6.965250905</f>
        <v>-6.9652509050000004</v>
      </c>
      <c r="CI650">
        <f>-5.084842274</f>
        <v>-5.0848422739999997</v>
      </c>
      <c r="CJ650">
        <f>-2.65282365</f>
        <v>-2.6528236500000002</v>
      </c>
      <c r="CK650">
        <f>0.178777278</f>
        <v>0.17877727800000001</v>
      </c>
      <c r="CL650">
        <f>2.3042373</f>
        <v>2.3042373</v>
      </c>
      <c r="CM650">
        <f>1.649622865</f>
        <v>1.649622865</v>
      </c>
      <c r="CN650">
        <f>-1.997996687</f>
        <v>-1.9979966870000001</v>
      </c>
      <c r="CO650">
        <f>-8.481057355</f>
        <v>-8.4810573550000008</v>
      </c>
      <c r="CP650">
        <f>-3.609148759</f>
        <v>-3.609148759</v>
      </c>
      <c r="CQ650">
        <f>0.315223776</f>
        <v>0.31522377600000001</v>
      </c>
      <c r="CR650">
        <f>-0.372486121</f>
        <v>-0.372486121</v>
      </c>
      <c r="CS650">
        <f>7.377853796</f>
        <v>7.3778537960000001</v>
      </c>
      <c r="CT650">
        <f>-2.438012532</f>
        <v>-2.4380125320000001</v>
      </c>
      <c r="CU650">
        <f>-8.351731904</f>
        <v>-8.3517319039999993</v>
      </c>
      <c r="CV650">
        <f>-5.106443092</f>
        <v>-5.1064430920000001</v>
      </c>
      <c r="CW650">
        <f>3.394938456</f>
        <v>3.3949384560000002</v>
      </c>
      <c r="CX650">
        <f>13.204523</f>
        <v>13.204523</v>
      </c>
      <c r="CY650">
        <f>10.93938012</f>
        <v>10.939380119999999</v>
      </c>
      <c r="CZ650">
        <f>11.72323073</f>
        <v>11.723230729999999</v>
      </c>
      <c r="DA650">
        <f>-5.662252377</f>
        <v>-5.6622523769999997</v>
      </c>
      <c r="DB650">
        <f>-8.585077689</f>
        <v>-8.5850776890000002</v>
      </c>
      <c r="DC650">
        <f>-22.80435111</f>
        <v>-22.804351109999999</v>
      </c>
      <c r="DD650" t="str">
        <f>""</f>
        <v/>
      </c>
      <c r="DE650" t="str">
        <f>""</f>
        <v/>
      </c>
      <c r="DF650" t="str">
        <f>""</f>
        <v/>
      </c>
      <c r="DG650" t="str">
        <f>""</f>
        <v/>
      </c>
      <c r="DH650" t="str">
        <f>""</f>
        <v/>
      </c>
      <c r="DI650" t="str">
        <f>""</f>
        <v/>
      </c>
      <c r="DJ650" t="str">
        <f>""</f>
        <v/>
      </c>
      <c r="DK650" t="str">
        <f>""</f>
        <v/>
      </c>
      <c r="DL650" t="str">
        <f>""</f>
        <v/>
      </c>
      <c r="DM650" t="str">
        <f>""</f>
        <v/>
      </c>
      <c r="DN650" t="str">
        <f>""</f>
        <v/>
      </c>
      <c r="DO650" t="str">
        <f>""</f>
        <v/>
      </c>
      <c r="DP650" t="str">
        <f>""</f>
        <v/>
      </c>
      <c r="DQ650" t="str">
        <f>""</f>
        <v/>
      </c>
      <c r="DR650" t="str">
        <f>""</f>
        <v/>
      </c>
      <c r="DS650" t="str">
        <f>""</f>
        <v/>
      </c>
      <c r="DT650" t="str">
        <f>""</f>
        <v/>
      </c>
      <c r="DU650" t="str">
        <f>""</f>
        <v/>
      </c>
    </row>
    <row r="651" spans="1:125" x14ac:dyDescent="0.25">
      <c r="A651" t="str">
        <f>"    Sollers PJSC"</f>
        <v xml:space="preserve">    Sollers PJSC</v>
      </c>
      <c r="B651" t="str">
        <f>"SVAV RM Equity"</f>
        <v>SVAV RM Equity</v>
      </c>
      <c r="C651" t="str">
        <f t="shared" si="45"/>
        <v>RX539</v>
      </c>
      <c r="D651" t="str">
        <f t="shared" si="46"/>
        <v>T12_FCF_YIELD</v>
      </c>
      <c r="E651" t="str">
        <f t="shared" si="47"/>
        <v>Dynamic</v>
      </c>
      <c r="F651" t="str">
        <f ca="1">IF(AND(ISNUMBER($F$1308),$B$677=1),$F$1308,HLOOKUP(INDIRECT(ADDRESS(2,COLUMN())),OFFSET($BN$2,0,0,ROW()-1,60),ROW()-1,FALSE))</f>
        <v/>
      </c>
      <c r="G651" t="str">
        <f ca="1">IF(AND(ISNUMBER($G$1308),$B$677=1),$G$1308,HLOOKUP(INDIRECT(ADDRESS(2,COLUMN())),OFFSET($BN$2,0,0,ROW()-1,60),ROW()-1,FALSE))</f>
        <v/>
      </c>
      <c r="H651" t="str">
        <f ca="1">IF(AND(ISNUMBER($H$1308),$B$677=1),$H$1308,HLOOKUP(INDIRECT(ADDRESS(2,COLUMN())),OFFSET($BN$2,0,0,ROW()-1,60),ROW()-1,FALSE))</f>
        <v/>
      </c>
      <c r="I651" t="str">
        <f ca="1">IF(AND(ISNUMBER($I$1308),$B$677=1),$I$1308,HLOOKUP(INDIRECT(ADDRESS(2,COLUMN())),OFFSET($BN$2,0,0,ROW()-1,60),ROW()-1,FALSE))</f>
        <v/>
      </c>
      <c r="J651" t="str">
        <f ca="1">IF(AND(ISNUMBER($J$1308),$B$677=1),$J$1308,HLOOKUP(INDIRECT(ADDRESS(2,COLUMN())),OFFSET($BN$2,0,0,ROW()-1,60),ROW()-1,FALSE))</f>
        <v/>
      </c>
      <c r="K651" t="str">
        <f ca="1">IF(AND(ISNUMBER($K$1308),$B$677=1),$K$1308,HLOOKUP(INDIRECT(ADDRESS(2,COLUMN())),OFFSET($BN$2,0,0,ROW()-1,60),ROW()-1,FALSE))</f>
        <v/>
      </c>
      <c r="L651" t="str">
        <f ca="1">IF(AND(ISNUMBER($L$1308),$B$677=1),$L$1308,HLOOKUP(INDIRECT(ADDRESS(2,COLUMN())),OFFSET($BN$2,0,0,ROW()-1,60),ROW()-1,FALSE))</f>
        <v/>
      </c>
      <c r="M651" t="str">
        <f ca="1">IF(AND(ISNUMBER($M$1308),$B$677=1),$M$1308,HLOOKUP(INDIRECT(ADDRESS(2,COLUMN())),OFFSET($BN$2,0,0,ROW()-1,60),ROW()-1,FALSE))</f>
        <v/>
      </c>
      <c r="N651" t="str">
        <f ca="1">IF(AND(ISNUMBER($N$1308),$B$677=1),$N$1308,HLOOKUP(INDIRECT(ADDRESS(2,COLUMN())),OFFSET($BN$2,0,0,ROW()-1,60),ROW()-1,FALSE))</f>
        <v/>
      </c>
      <c r="O651" t="str">
        <f ca="1">IF(AND(ISNUMBER($O$1308),$B$677=1),$O$1308,HLOOKUP(INDIRECT(ADDRESS(2,COLUMN())),OFFSET($BN$2,0,0,ROW()-1,60),ROW()-1,FALSE))</f>
        <v/>
      </c>
      <c r="P651" t="str">
        <f ca="1">IF(AND(ISNUMBER($P$1308),$B$677=1),$P$1308,HLOOKUP(INDIRECT(ADDRESS(2,COLUMN())),OFFSET($BN$2,0,0,ROW()-1,60),ROW()-1,FALSE))</f>
        <v/>
      </c>
      <c r="Q651" t="str">
        <f ca="1">IF(AND(ISNUMBER($Q$1308),$B$677=1),$Q$1308,HLOOKUP(INDIRECT(ADDRESS(2,COLUMN())),OFFSET($BN$2,0,0,ROW()-1,60),ROW()-1,FALSE))</f>
        <v/>
      </c>
      <c r="R651" t="str">
        <f ca="1">IF(AND(ISNUMBER($R$1308),$B$677=1),$R$1308,HLOOKUP(INDIRECT(ADDRESS(2,COLUMN())),OFFSET($BN$2,0,0,ROW()-1,60),ROW()-1,FALSE))</f>
        <v/>
      </c>
      <c r="S651" t="str">
        <f ca="1">IF(AND(ISNUMBER($S$1308),$B$677=1),$S$1308,HLOOKUP(INDIRECT(ADDRESS(2,COLUMN())),OFFSET($BN$2,0,0,ROW()-1,60),ROW()-1,FALSE))</f>
        <v/>
      </c>
      <c r="T651" t="str">
        <f ca="1">IF(AND(ISNUMBER($T$1308),$B$677=1),$T$1308,HLOOKUP(INDIRECT(ADDRESS(2,COLUMN())),OFFSET($BN$2,0,0,ROW()-1,60),ROW()-1,FALSE))</f>
        <v/>
      </c>
      <c r="U651" t="str">
        <f ca="1">IF(AND(ISNUMBER($U$1308),$B$677=1),$U$1308,HLOOKUP(INDIRECT(ADDRESS(2,COLUMN())),OFFSET($BN$2,0,0,ROW()-1,60),ROW()-1,FALSE))</f>
        <v/>
      </c>
      <c r="V651" t="str">
        <f ca="1">IF(AND(ISNUMBER($V$1308),$B$677=1),$V$1308,HLOOKUP(INDIRECT(ADDRESS(2,COLUMN())),OFFSET($BN$2,0,0,ROW()-1,60),ROW()-1,FALSE))</f>
        <v/>
      </c>
      <c r="W651" t="str">
        <f ca="1">IF(AND(ISNUMBER($W$1308),$B$677=1),$W$1308,HLOOKUP(INDIRECT(ADDRESS(2,COLUMN())),OFFSET($BN$2,0,0,ROW()-1,60),ROW()-1,FALSE))</f>
        <v/>
      </c>
      <c r="X651" t="str">
        <f ca="1">IF(AND(ISNUMBER($X$1308),$B$677=1),$X$1308,HLOOKUP(INDIRECT(ADDRESS(2,COLUMN())),OFFSET($BN$2,0,0,ROW()-1,60),ROW()-1,FALSE))</f>
        <v/>
      </c>
      <c r="Y651" t="str">
        <f ca="1">IF(AND(ISNUMBER($Y$1308),$B$677=1),$Y$1308,HLOOKUP(INDIRECT(ADDRESS(2,COLUMN())),OFFSET($BN$2,0,0,ROW()-1,60),ROW()-1,FALSE))</f>
        <v/>
      </c>
      <c r="Z651" t="str">
        <f ca="1">IF(AND(ISNUMBER($Z$1308),$B$677=1),$Z$1308,HLOOKUP(INDIRECT(ADDRESS(2,COLUMN())),OFFSET($BN$2,0,0,ROW()-1,60),ROW()-1,FALSE))</f>
        <v/>
      </c>
      <c r="AA651" t="str">
        <f ca="1">IF(AND(ISNUMBER($AA$1308),$B$677=1),$AA$1308,HLOOKUP(INDIRECT(ADDRESS(2,COLUMN())),OFFSET($BN$2,0,0,ROW()-1,60),ROW()-1,FALSE))</f>
        <v/>
      </c>
      <c r="AB651" t="str">
        <f ca="1">IF(AND(ISNUMBER($AB$1308),$B$677=1),$AB$1308,HLOOKUP(INDIRECT(ADDRESS(2,COLUMN())),OFFSET($BN$2,0,0,ROW()-1,60),ROW()-1,FALSE))</f>
        <v/>
      </c>
      <c r="AC651" t="str">
        <f ca="1">IF(AND(ISNUMBER($AC$1308),$B$677=1),$AC$1308,HLOOKUP(INDIRECT(ADDRESS(2,COLUMN())),OFFSET($BN$2,0,0,ROW()-1,60),ROW()-1,FALSE))</f>
        <v/>
      </c>
      <c r="AD651" t="str">
        <f ca="1">IF(AND(ISNUMBER($AD$1308),$B$677=1),$AD$1308,HLOOKUP(INDIRECT(ADDRESS(2,COLUMN())),OFFSET($BN$2,0,0,ROW()-1,60),ROW()-1,FALSE))</f>
        <v/>
      </c>
      <c r="AE651" t="str">
        <f ca="1">IF(AND(ISNUMBER($AE$1308),$B$677=1),$AE$1308,HLOOKUP(INDIRECT(ADDRESS(2,COLUMN())),OFFSET($BN$2,0,0,ROW()-1,60),ROW()-1,FALSE))</f>
        <v/>
      </c>
      <c r="AF651" t="str">
        <f ca="1">IF(AND(ISNUMBER($AF$1308),$B$677=1),$AF$1308,HLOOKUP(INDIRECT(ADDRESS(2,COLUMN())),OFFSET($BN$2,0,0,ROW()-1,60),ROW()-1,FALSE))</f>
        <v/>
      </c>
      <c r="AG651" t="str">
        <f ca="1">IF(AND(ISNUMBER($AG$1308),$B$677=1),$AG$1308,HLOOKUP(INDIRECT(ADDRESS(2,COLUMN())),OFFSET($BN$2,0,0,ROW()-1,60),ROW()-1,FALSE))</f>
        <v/>
      </c>
      <c r="AH651" t="str">
        <f ca="1">IF(AND(ISNUMBER($AH$1308),$B$677=1),$AH$1308,HLOOKUP(INDIRECT(ADDRESS(2,COLUMN())),OFFSET($BN$2,0,0,ROW()-1,60),ROW()-1,FALSE))</f>
        <v/>
      </c>
      <c r="AI651" t="str">
        <f ca="1">IF(AND(ISNUMBER($AI$1308),$B$677=1),$AI$1308,HLOOKUP(INDIRECT(ADDRESS(2,COLUMN())),OFFSET($BN$2,0,0,ROW()-1,60),ROW()-1,FALSE))</f>
        <v/>
      </c>
      <c r="AJ651" t="str">
        <f ca="1">IF(AND(ISNUMBER($AJ$1308),$B$677=1),$AJ$1308,HLOOKUP(INDIRECT(ADDRESS(2,COLUMN())),OFFSET($BN$2,0,0,ROW()-1,60),ROW()-1,FALSE))</f>
        <v/>
      </c>
      <c r="AK651" t="str">
        <f ca="1">IF(AND(ISNUMBER($AK$1308),$B$677=1),$AK$1308,HLOOKUP(INDIRECT(ADDRESS(2,COLUMN())),OFFSET($BN$2,0,0,ROW()-1,60),ROW()-1,FALSE))</f>
        <v/>
      </c>
      <c r="AL651" t="str">
        <f ca="1">IF(AND(ISNUMBER($AL$1308),$B$677=1),$AL$1308,HLOOKUP(INDIRECT(ADDRESS(2,COLUMN())),OFFSET($BN$2,0,0,ROW()-1,60),ROW()-1,FALSE))</f>
        <v/>
      </c>
      <c r="AM651" t="str">
        <f ca="1">IF(AND(ISNUMBER($AM$1308),$B$677=1),$AM$1308,HLOOKUP(INDIRECT(ADDRESS(2,COLUMN())),OFFSET($BN$2,0,0,ROW()-1,60),ROW()-1,FALSE))</f>
        <v/>
      </c>
      <c r="AN651" t="str">
        <f ca="1">IF(AND(ISNUMBER($AN$1308),$B$677=1),$AN$1308,HLOOKUP(INDIRECT(ADDRESS(2,COLUMN())),OFFSET($BN$2,0,0,ROW()-1,60),ROW()-1,FALSE))</f>
        <v/>
      </c>
      <c r="AO651" t="str">
        <f ca="1">IF(AND(ISNUMBER($AO$1308),$B$677=1),$AO$1308,HLOOKUP(INDIRECT(ADDRESS(2,COLUMN())),OFFSET($BN$2,0,0,ROW()-1,60),ROW()-1,FALSE))</f>
        <v/>
      </c>
      <c r="AP651" t="str">
        <f ca="1">IF(AND(ISNUMBER($AP$1308),$B$677=1),$AP$1308,HLOOKUP(INDIRECT(ADDRESS(2,COLUMN())),OFFSET($BN$2,0,0,ROW()-1,60),ROW()-1,FALSE))</f>
        <v/>
      </c>
      <c r="AQ651" t="str">
        <f ca="1">IF(AND(ISNUMBER($AQ$1308),$B$677=1),$AQ$1308,HLOOKUP(INDIRECT(ADDRESS(2,COLUMN())),OFFSET($BN$2,0,0,ROW()-1,60),ROW()-1,FALSE))</f>
        <v/>
      </c>
      <c r="AR651" t="str">
        <f ca="1">IF(AND(ISNUMBER($AR$1308),$B$677=1),$AR$1308,HLOOKUP(INDIRECT(ADDRESS(2,COLUMN())),OFFSET($BN$2,0,0,ROW()-1,60),ROW()-1,FALSE))</f>
        <v/>
      </c>
      <c r="AS651" t="str">
        <f ca="1">IF(AND(ISNUMBER($AS$1308),$B$677=1),$AS$1308,HLOOKUP(INDIRECT(ADDRESS(2,COLUMN())),OFFSET($BN$2,0,0,ROW()-1,60),ROW()-1,FALSE))</f>
        <v/>
      </c>
      <c r="AT651" t="str">
        <f ca="1">IF(AND(ISNUMBER($AT$1308),$B$677=1),$AT$1308,HLOOKUP(INDIRECT(ADDRESS(2,COLUMN())),OFFSET($BN$2,0,0,ROW()-1,60),ROW()-1,FALSE))</f>
        <v/>
      </c>
      <c r="AU651" t="str">
        <f ca="1">IF(AND(ISNUMBER($AU$1308),$B$677=1),$AU$1308,HLOOKUP(INDIRECT(ADDRESS(2,COLUMN())),OFFSET($BN$2,0,0,ROW()-1,60),ROW()-1,FALSE))</f>
        <v/>
      </c>
      <c r="AV651" t="str">
        <f ca="1">IF(AND(ISNUMBER($AV$1308),$B$677=1),$AV$1308,HLOOKUP(INDIRECT(ADDRESS(2,COLUMN())),OFFSET($BN$2,0,0,ROW()-1,60),ROW()-1,FALSE))</f>
        <v/>
      </c>
      <c r="AW651" t="str">
        <f ca="1">IF(AND(ISNUMBER($AW$1308),$B$677=1),$AW$1308,HLOOKUP(INDIRECT(ADDRESS(2,COLUMN())),OFFSET($BN$2,0,0,ROW()-1,60),ROW()-1,FALSE))</f>
        <v/>
      </c>
      <c r="AX651" t="str">
        <f ca="1">IF(AND(ISNUMBER($AX$1308),$B$677=1),$AX$1308,HLOOKUP(INDIRECT(ADDRESS(2,COLUMN())),OFFSET($BN$2,0,0,ROW()-1,60),ROW()-1,FALSE))</f>
        <v/>
      </c>
      <c r="AY651" t="str">
        <f ca="1">IF(AND(ISNUMBER($AY$1308),$B$677=1),$AY$1308,HLOOKUP(INDIRECT(ADDRESS(2,COLUMN())),OFFSET($BN$2,0,0,ROW()-1,60),ROW()-1,FALSE))</f>
        <v/>
      </c>
      <c r="AZ651" t="str">
        <f ca="1">IF(AND(ISNUMBER($AZ$1308),$B$677=1),$AZ$1308,HLOOKUP(INDIRECT(ADDRESS(2,COLUMN())),OFFSET($BN$2,0,0,ROW()-1,60),ROW()-1,FALSE))</f>
        <v/>
      </c>
      <c r="BA651" t="str">
        <f ca="1">IF(AND(ISNUMBER($BA$1308),$B$677=1),$BA$1308,HLOOKUP(INDIRECT(ADDRESS(2,COLUMN())),OFFSET($BN$2,0,0,ROW()-1,60),ROW()-1,FALSE))</f>
        <v/>
      </c>
      <c r="BB651" t="str">
        <f ca="1">IF(AND(ISNUMBER($BB$1308),$B$677=1),$BB$1308,HLOOKUP(INDIRECT(ADDRESS(2,COLUMN())),OFFSET($BN$2,0,0,ROW()-1,60),ROW()-1,FALSE))</f>
        <v/>
      </c>
      <c r="BC651" t="str">
        <f ca="1">IF(AND(ISNUMBER($BC$1308),$B$677=1),$BC$1308,HLOOKUP(INDIRECT(ADDRESS(2,COLUMN())),OFFSET($BN$2,0,0,ROW()-1,60),ROW()-1,FALSE))</f>
        <v/>
      </c>
      <c r="BD651" t="str">
        <f ca="1">IF(AND(ISNUMBER($BD$1308),$B$677=1),$BD$1308,HLOOKUP(INDIRECT(ADDRESS(2,COLUMN())),OFFSET($BN$2,0,0,ROW()-1,60),ROW()-1,FALSE))</f>
        <v/>
      </c>
      <c r="BE651" t="str">
        <f ca="1">IF(AND(ISNUMBER($BE$1308),$B$677=1),$BE$1308,HLOOKUP(INDIRECT(ADDRESS(2,COLUMN())),OFFSET($BN$2,0,0,ROW()-1,60),ROW()-1,FALSE))</f>
        <v/>
      </c>
      <c r="BF651" t="str">
        <f ca="1">IF(AND(ISNUMBER($BF$1308),$B$677=1),$BF$1308,HLOOKUP(INDIRECT(ADDRESS(2,COLUMN())),OFFSET($BN$2,0,0,ROW()-1,60),ROW()-1,FALSE))</f>
        <v/>
      </c>
      <c r="BG651" t="str">
        <f ca="1">IF(AND(ISNUMBER($BG$1308),$B$677=1),$BG$1308,HLOOKUP(INDIRECT(ADDRESS(2,COLUMN())),OFFSET($BN$2,0,0,ROW()-1,60),ROW()-1,FALSE))</f>
        <v/>
      </c>
      <c r="BH651" t="str">
        <f ca="1">IF(AND(ISNUMBER($BH$1308),$B$677=1),$BH$1308,HLOOKUP(INDIRECT(ADDRESS(2,COLUMN())),OFFSET($BN$2,0,0,ROW()-1,60),ROW()-1,FALSE))</f>
        <v/>
      </c>
      <c r="BI651" t="str">
        <f ca="1">IF(AND(ISNUMBER($BI$1308),$B$677=1),$BI$1308,HLOOKUP(INDIRECT(ADDRESS(2,COLUMN())),OFFSET($BN$2,0,0,ROW()-1,60),ROW()-1,FALSE))</f>
        <v/>
      </c>
      <c r="BJ651" t="str">
        <f ca="1">IF(AND(ISNUMBER($BJ$1308),$B$677=1),$BJ$1308,HLOOKUP(INDIRECT(ADDRESS(2,COLUMN())),OFFSET($BN$2,0,0,ROW()-1,60),ROW()-1,FALSE))</f>
        <v/>
      </c>
      <c r="BK651" t="str">
        <f ca="1">IF(AND(ISNUMBER($BK$1308),$B$677=1),$BK$1308,HLOOKUP(INDIRECT(ADDRESS(2,COLUMN())),OFFSET($BN$2,0,0,ROW()-1,60),ROW()-1,FALSE))</f>
        <v/>
      </c>
      <c r="BL651" t="str">
        <f ca="1">IF(AND(ISNUMBER($BL$1308),$B$677=1),$BL$1308,HLOOKUP(INDIRECT(ADDRESS(2,COLUMN())),OFFSET($BN$2,0,0,ROW()-1,60),ROW()-1,FALSE))</f>
        <v/>
      </c>
      <c r="BM651" t="str">
        <f ca="1">IF(AND(ISNUMBER($BM$1308),$B$677=1),$BM$1308,HLOOKUP(INDIRECT(ADDRESS(2,COLUMN())),OFFSET($BN$2,0,0,ROW()-1,60),ROW()-1,FALSE))</f>
        <v/>
      </c>
      <c r="BN651" t="str">
        <f>""</f>
        <v/>
      </c>
      <c r="BO651" t="str">
        <f>""</f>
        <v/>
      </c>
      <c r="BP651" t="str">
        <f>""</f>
        <v/>
      </c>
      <c r="BQ651" t="str">
        <f>""</f>
        <v/>
      </c>
      <c r="BR651" t="str">
        <f>""</f>
        <v/>
      </c>
      <c r="BS651" t="str">
        <f>""</f>
        <v/>
      </c>
      <c r="BT651" t="str">
        <f>""</f>
        <v/>
      </c>
      <c r="BU651" t="str">
        <f>""</f>
        <v/>
      </c>
      <c r="BV651" t="str">
        <f>""</f>
        <v/>
      </c>
      <c r="BW651" t="str">
        <f>""</f>
        <v/>
      </c>
      <c r="BX651" t="str">
        <f>""</f>
        <v/>
      </c>
      <c r="BY651" t="str">
        <f>""</f>
        <v/>
      </c>
      <c r="BZ651" t="str">
        <f>""</f>
        <v/>
      </c>
      <c r="CA651" t="str">
        <f>""</f>
        <v/>
      </c>
      <c r="CB651" t="str">
        <f>""</f>
        <v/>
      </c>
      <c r="CC651" t="str">
        <f>""</f>
        <v/>
      </c>
      <c r="CD651" t="str">
        <f>""</f>
        <v/>
      </c>
      <c r="CE651" t="str">
        <f>""</f>
        <v/>
      </c>
      <c r="CF651" t="str">
        <f>""</f>
        <v/>
      </c>
      <c r="CG651" t="str">
        <f>""</f>
        <v/>
      </c>
      <c r="CH651" t="str">
        <f>""</f>
        <v/>
      </c>
      <c r="CI651" t="str">
        <f>""</f>
        <v/>
      </c>
      <c r="CJ651" t="str">
        <f>""</f>
        <v/>
      </c>
      <c r="CK651" t="str">
        <f>""</f>
        <v/>
      </c>
      <c r="CL651" t="str">
        <f>""</f>
        <v/>
      </c>
      <c r="CM651" t="str">
        <f>""</f>
        <v/>
      </c>
      <c r="CN651" t="str">
        <f>""</f>
        <v/>
      </c>
      <c r="CO651" t="str">
        <f>""</f>
        <v/>
      </c>
      <c r="CP651" t="str">
        <f>""</f>
        <v/>
      </c>
      <c r="CQ651" t="str">
        <f>""</f>
        <v/>
      </c>
      <c r="CR651" t="str">
        <f>""</f>
        <v/>
      </c>
      <c r="CS651" t="str">
        <f>""</f>
        <v/>
      </c>
      <c r="CT651" t="str">
        <f>""</f>
        <v/>
      </c>
      <c r="CU651" t="str">
        <f>""</f>
        <v/>
      </c>
      <c r="CV651" t="str">
        <f>""</f>
        <v/>
      </c>
      <c r="CW651" t="str">
        <f>""</f>
        <v/>
      </c>
      <c r="CX651" t="str">
        <f>""</f>
        <v/>
      </c>
      <c r="CY651" t="str">
        <f>""</f>
        <v/>
      </c>
      <c r="CZ651" t="str">
        <f>""</f>
        <v/>
      </c>
      <c r="DA651" t="str">
        <f>""</f>
        <v/>
      </c>
      <c r="DB651" t="str">
        <f>""</f>
        <v/>
      </c>
      <c r="DC651" t="str">
        <f>""</f>
        <v/>
      </c>
      <c r="DD651" t="str">
        <f>""</f>
        <v/>
      </c>
      <c r="DE651" t="str">
        <f>""</f>
        <v/>
      </c>
      <c r="DF651" t="str">
        <f>""</f>
        <v/>
      </c>
      <c r="DG651" t="str">
        <f>""</f>
        <v/>
      </c>
      <c r="DH651" t="str">
        <f>""</f>
        <v/>
      </c>
      <c r="DI651" t="str">
        <f>""</f>
        <v/>
      </c>
      <c r="DJ651" t="str">
        <f>""</f>
        <v/>
      </c>
      <c r="DK651" t="str">
        <f>""</f>
        <v/>
      </c>
      <c r="DL651" t="str">
        <f>""</f>
        <v/>
      </c>
      <c r="DM651" t="str">
        <f>""</f>
        <v/>
      </c>
      <c r="DN651" t="str">
        <f>""</f>
        <v/>
      </c>
      <c r="DO651" t="str">
        <f>""</f>
        <v/>
      </c>
      <c r="DP651" t="str">
        <f>""</f>
        <v/>
      </c>
      <c r="DQ651" t="str">
        <f>""</f>
        <v/>
      </c>
      <c r="DR651" t="str">
        <f>""</f>
        <v/>
      </c>
      <c r="DS651" t="str">
        <f>""</f>
        <v/>
      </c>
      <c r="DT651" t="str">
        <f>""</f>
        <v/>
      </c>
      <c r="DU651" t="str">
        <f>""</f>
        <v/>
      </c>
    </row>
    <row r="652" spans="1:125" x14ac:dyDescent="0.25">
      <c r="A652" t="str">
        <f>"    Ssangyong Motor Co"</f>
        <v xml:space="preserve">    Ssangyong Motor Co</v>
      </c>
      <c r="B652" t="str">
        <f>"003620 KS Equity"</f>
        <v>003620 KS Equity</v>
      </c>
      <c r="C652" t="str">
        <f t="shared" si="45"/>
        <v>RX539</v>
      </c>
      <c r="D652" t="str">
        <f t="shared" si="46"/>
        <v>T12_FCF_YIELD</v>
      </c>
      <c r="E652" t="str">
        <f t="shared" si="47"/>
        <v>Dynamic</v>
      </c>
      <c r="F652" t="str">
        <f ca="1">IF(AND(ISNUMBER($F$1309),$B$677=1),$F$1309,HLOOKUP(INDIRECT(ADDRESS(2,COLUMN())),OFFSET($BN$2,0,0,ROW()-1,60),ROW()-1,FALSE))</f>
        <v/>
      </c>
      <c r="G652">
        <f ca="1">IF(AND(ISNUMBER($G$1309),$B$677=1),$G$1309,HLOOKUP(INDIRECT(ADDRESS(2,COLUMN())),OFFSET($BN$2,0,0,ROW()-1,60),ROW()-1,FALSE))</f>
        <v>32.176849369999999</v>
      </c>
      <c r="H652">
        <f ca="1">IF(AND(ISNUMBER($H$1309),$B$677=1),$H$1309,HLOOKUP(INDIRECT(ADDRESS(2,COLUMN())),OFFSET($BN$2,0,0,ROW()-1,60),ROW()-1,FALSE))</f>
        <v>27.771475689999999</v>
      </c>
      <c r="I652">
        <f ca="1">IF(AND(ISNUMBER($I$1309),$B$677=1),$I$1309,HLOOKUP(INDIRECT(ADDRESS(2,COLUMN())),OFFSET($BN$2,0,0,ROW()-1,60),ROW()-1,FALSE))</f>
        <v>-1.558685066</v>
      </c>
      <c r="J652">
        <f ca="1">IF(AND(ISNUMBER($J$1309),$B$677=1),$J$1309,HLOOKUP(INDIRECT(ADDRESS(2,COLUMN())),OFFSET($BN$2,0,0,ROW()-1,60),ROW()-1,FALSE))</f>
        <v>14.673095010000001</v>
      </c>
      <c r="K652">
        <f ca="1">IF(AND(ISNUMBER($K$1309),$B$677=1),$K$1309,HLOOKUP(INDIRECT(ADDRESS(2,COLUMN())),OFFSET($BN$2,0,0,ROW()-1,60),ROW()-1,FALSE))</f>
        <v>6.6365155629999997</v>
      </c>
      <c r="L652">
        <f ca="1">IF(AND(ISNUMBER($L$1309),$B$677=1),$L$1309,HLOOKUP(INDIRECT(ADDRESS(2,COLUMN())),OFFSET($BN$2,0,0,ROW()-1,60),ROW()-1,FALSE))</f>
        <v>12.47621998</v>
      </c>
      <c r="M652">
        <f ca="1">IF(AND(ISNUMBER($M$1309),$B$677=1),$M$1309,HLOOKUP(INDIRECT(ADDRESS(2,COLUMN())),OFFSET($BN$2,0,0,ROW()-1,60),ROW()-1,FALSE))</f>
        <v>12.82182888</v>
      </c>
      <c r="N652">
        <f ca="1">IF(AND(ISNUMBER($N$1309),$B$677=1),$N$1309,HLOOKUP(INDIRECT(ADDRESS(2,COLUMN())),OFFSET($BN$2,0,0,ROW()-1,60),ROW()-1,FALSE))</f>
        <v>17.953187339999999</v>
      </c>
      <c r="O652">
        <f ca="1">IF(AND(ISNUMBER($O$1309),$B$677=1),$O$1309,HLOOKUP(INDIRECT(ADDRESS(2,COLUMN())),OFFSET($BN$2,0,0,ROW()-1,60),ROW()-1,FALSE))</f>
        <v>10.79511591</v>
      </c>
      <c r="P652">
        <f ca="1">IF(AND(ISNUMBER($P$1309),$B$677=1),$P$1309,HLOOKUP(INDIRECT(ADDRESS(2,COLUMN())),OFFSET($BN$2,0,0,ROW()-1,60),ROW()-1,FALSE))</f>
        <v>8.4068026610000004</v>
      </c>
      <c r="Q652">
        <f ca="1">IF(AND(ISNUMBER($Q$1309),$B$677=1),$Q$1309,HLOOKUP(INDIRECT(ADDRESS(2,COLUMN())),OFFSET($BN$2,0,0,ROW()-1,60),ROW()-1,FALSE))</f>
        <v>13.00321499</v>
      </c>
      <c r="R652">
        <f ca="1">IF(AND(ISNUMBER($R$1309),$B$677=1),$R$1309,HLOOKUP(INDIRECT(ADDRESS(2,COLUMN())),OFFSET($BN$2,0,0,ROW()-1,60),ROW()-1,FALSE))</f>
        <v>-6.8917329650000001</v>
      </c>
      <c r="S652">
        <f ca="1">IF(AND(ISNUMBER($S$1309),$B$677=1),$S$1309,HLOOKUP(INDIRECT(ADDRESS(2,COLUMN())),OFFSET($BN$2,0,0,ROW()-1,60),ROW()-1,FALSE))</f>
        <v>4.744089239</v>
      </c>
      <c r="T652">
        <f ca="1">IF(AND(ISNUMBER($T$1309),$B$677=1),$T$1309,HLOOKUP(INDIRECT(ADDRESS(2,COLUMN())),OFFSET($BN$2,0,0,ROW()-1,60),ROW()-1,FALSE))</f>
        <v>-3.4738362679999999</v>
      </c>
      <c r="U652">
        <f ca="1">IF(AND(ISNUMBER($U$1309),$B$677=1),$U$1309,HLOOKUP(INDIRECT(ADDRESS(2,COLUMN())),OFFSET($BN$2,0,0,ROW()-1,60),ROW()-1,FALSE))</f>
        <v>-9.1107833429999996</v>
      </c>
      <c r="V652">
        <f ca="1">IF(AND(ISNUMBER($V$1309),$B$677=1),$V$1309,HLOOKUP(INDIRECT(ADDRESS(2,COLUMN())),OFFSET($BN$2,0,0,ROW()-1,60),ROW()-1,FALSE))</f>
        <v>-7.9816380679999996</v>
      </c>
      <c r="W652">
        <f ca="1">IF(AND(ISNUMBER($W$1309),$B$677=1),$W$1309,HLOOKUP(INDIRECT(ADDRESS(2,COLUMN())),OFFSET($BN$2,0,0,ROW()-1,60),ROW()-1,FALSE))</f>
        <v>-9.0915232849999992</v>
      </c>
      <c r="X652">
        <f ca="1">IF(AND(ISNUMBER($X$1309),$B$677=1),$X$1309,HLOOKUP(INDIRECT(ADDRESS(2,COLUMN())),OFFSET($BN$2,0,0,ROW()-1,60),ROW()-1,FALSE))</f>
        <v>-4.0546116980000004</v>
      </c>
      <c r="Y652">
        <f ca="1">IF(AND(ISNUMBER($Y$1309),$B$677=1),$Y$1309,HLOOKUP(INDIRECT(ADDRESS(2,COLUMN())),OFFSET($BN$2,0,0,ROW()-1,60),ROW()-1,FALSE))</f>
        <v>-12.30713772</v>
      </c>
      <c r="Z652">
        <f ca="1">IF(AND(ISNUMBER($Z$1309),$B$677=1),$Z$1309,HLOOKUP(INDIRECT(ADDRESS(2,COLUMN())),OFFSET($BN$2,0,0,ROW()-1,60),ROW()-1,FALSE))</f>
        <v>0.868510118</v>
      </c>
      <c r="AA652">
        <f ca="1">IF(AND(ISNUMBER($AA$1309),$B$677=1),$AA$1309,HLOOKUP(INDIRECT(ADDRESS(2,COLUMN())),OFFSET($BN$2,0,0,ROW()-1,60),ROW()-1,FALSE))</f>
        <v>11.754325959999999</v>
      </c>
      <c r="AB652">
        <f ca="1">IF(AND(ISNUMBER($AB$1309),$B$677=1),$AB$1309,HLOOKUP(INDIRECT(ADDRESS(2,COLUMN())),OFFSET($BN$2,0,0,ROW()-1,60),ROW()-1,FALSE))</f>
        <v>2.8803802759999999</v>
      </c>
      <c r="AC652">
        <f ca="1">IF(AND(ISNUMBER($AC$1309),$B$677=1),$AC$1309,HLOOKUP(INDIRECT(ADDRESS(2,COLUMN())),OFFSET($BN$2,0,0,ROW()-1,60),ROW()-1,FALSE))</f>
        <v>17.141459229999999</v>
      </c>
      <c r="AD652">
        <f ca="1">IF(AND(ISNUMBER($AD$1309),$B$677=1),$AD$1309,HLOOKUP(INDIRECT(ADDRESS(2,COLUMN())),OFFSET($BN$2,0,0,ROW()-1,60),ROW()-1,FALSE))</f>
        <v>11.281060159999999</v>
      </c>
      <c r="AE652">
        <f ca="1">IF(AND(ISNUMBER($AE$1309),$B$677=1),$AE$1309,HLOOKUP(INDIRECT(ADDRESS(2,COLUMN())),OFFSET($BN$2,0,0,ROW()-1,60),ROW()-1,FALSE))</f>
        <v>4.3391727260000001</v>
      </c>
      <c r="AF652" t="str">
        <f ca="1">IF(AND(ISNUMBER($AF$1309),$B$677=1),$AF$1309,HLOOKUP(INDIRECT(ADDRESS(2,COLUMN())),OFFSET($BN$2,0,0,ROW()-1,60),ROW()-1,FALSE))</f>
        <v/>
      </c>
      <c r="AG652" t="str">
        <f ca="1">IF(AND(ISNUMBER($AG$1309),$B$677=1),$AG$1309,HLOOKUP(INDIRECT(ADDRESS(2,COLUMN())),OFFSET($BN$2,0,0,ROW()-1,60),ROW()-1,FALSE))</f>
        <v/>
      </c>
      <c r="AH652" t="str">
        <f ca="1">IF(AND(ISNUMBER($AH$1309),$B$677=1),$AH$1309,HLOOKUP(INDIRECT(ADDRESS(2,COLUMN())),OFFSET($BN$2,0,0,ROW()-1,60),ROW()-1,FALSE))</f>
        <v/>
      </c>
      <c r="AI652" t="str">
        <f ca="1">IF(AND(ISNUMBER($AI$1309),$B$677=1),$AI$1309,HLOOKUP(INDIRECT(ADDRESS(2,COLUMN())),OFFSET($BN$2,0,0,ROW()-1,60),ROW()-1,FALSE))</f>
        <v/>
      </c>
      <c r="AJ652" t="str">
        <f ca="1">IF(AND(ISNUMBER($AJ$1309),$B$677=1),$AJ$1309,HLOOKUP(INDIRECT(ADDRESS(2,COLUMN())),OFFSET($BN$2,0,0,ROW()-1,60),ROW()-1,FALSE))</f>
        <v/>
      </c>
      <c r="AK652" t="str">
        <f ca="1">IF(AND(ISNUMBER($AK$1309),$B$677=1),$AK$1309,HLOOKUP(INDIRECT(ADDRESS(2,COLUMN())),OFFSET($BN$2,0,0,ROW()-1,60),ROW()-1,FALSE))</f>
        <v/>
      </c>
      <c r="AL652" t="str">
        <f ca="1">IF(AND(ISNUMBER($AL$1309),$B$677=1),$AL$1309,HLOOKUP(INDIRECT(ADDRESS(2,COLUMN())),OFFSET($BN$2,0,0,ROW()-1,60),ROW()-1,FALSE))</f>
        <v/>
      </c>
      <c r="AM652" t="str">
        <f ca="1">IF(AND(ISNUMBER($AM$1309),$B$677=1),$AM$1309,HLOOKUP(INDIRECT(ADDRESS(2,COLUMN())),OFFSET($BN$2,0,0,ROW()-1,60),ROW()-1,FALSE))</f>
        <v/>
      </c>
      <c r="AN652" t="str">
        <f ca="1">IF(AND(ISNUMBER($AN$1309),$B$677=1),$AN$1309,HLOOKUP(INDIRECT(ADDRESS(2,COLUMN())),OFFSET($BN$2,0,0,ROW()-1,60),ROW()-1,FALSE))</f>
        <v/>
      </c>
      <c r="AO652" t="str">
        <f ca="1">IF(AND(ISNUMBER($AO$1309),$B$677=1),$AO$1309,HLOOKUP(INDIRECT(ADDRESS(2,COLUMN())),OFFSET($BN$2,0,0,ROW()-1,60),ROW()-1,FALSE))</f>
        <v/>
      </c>
      <c r="AP652" t="str">
        <f ca="1">IF(AND(ISNUMBER($AP$1309),$B$677=1),$AP$1309,HLOOKUP(INDIRECT(ADDRESS(2,COLUMN())),OFFSET($BN$2,0,0,ROW()-1,60),ROW()-1,FALSE))</f>
        <v/>
      </c>
      <c r="AQ652" t="str">
        <f ca="1">IF(AND(ISNUMBER($AQ$1309),$B$677=1),$AQ$1309,HLOOKUP(INDIRECT(ADDRESS(2,COLUMN())),OFFSET($BN$2,0,0,ROW()-1,60),ROW()-1,FALSE))</f>
        <v/>
      </c>
      <c r="AR652" t="str">
        <f ca="1">IF(AND(ISNUMBER($AR$1309),$B$677=1),$AR$1309,HLOOKUP(INDIRECT(ADDRESS(2,COLUMN())),OFFSET($BN$2,0,0,ROW()-1,60),ROW()-1,FALSE))</f>
        <v/>
      </c>
      <c r="AS652" t="str">
        <f ca="1">IF(AND(ISNUMBER($AS$1309),$B$677=1),$AS$1309,HLOOKUP(INDIRECT(ADDRESS(2,COLUMN())),OFFSET($BN$2,0,0,ROW()-1,60),ROW()-1,FALSE))</f>
        <v/>
      </c>
      <c r="AT652" t="str">
        <f ca="1">IF(AND(ISNUMBER($AT$1309),$B$677=1),$AT$1309,HLOOKUP(INDIRECT(ADDRESS(2,COLUMN())),OFFSET($BN$2,0,0,ROW()-1,60),ROW()-1,FALSE))</f>
        <v/>
      </c>
      <c r="AU652" t="str">
        <f ca="1">IF(AND(ISNUMBER($AU$1309),$B$677=1),$AU$1309,HLOOKUP(INDIRECT(ADDRESS(2,COLUMN())),OFFSET($BN$2,0,0,ROW()-1,60),ROW()-1,FALSE))</f>
        <v/>
      </c>
      <c r="AV652" t="str">
        <f ca="1">IF(AND(ISNUMBER($AV$1309),$B$677=1),$AV$1309,HLOOKUP(INDIRECT(ADDRESS(2,COLUMN())),OFFSET($BN$2,0,0,ROW()-1,60),ROW()-1,FALSE))</f>
        <v/>
      </c>
      <c r="AW652" t="str">
        <f ca="1">IF(AND(ISNUMBER($AW$1309),$B$677=1),$AW$1309,HLOOKUP(INDIRECT(ADDRESS(2,COLUMN())),OFFSET($BN$2,0,0,ROW()-1,60),ROW()-1,FALSE))</f>
        <v/>
      </c>
      <c r="AX652" t="str">
        <f ca="1">IF(AND(ISNUMBER($AX$1309),$B$677=1),$AX$1309,HLOOKUP(INDIRECT(ADDRESS(2,COLUMN())),OFFSET($BN$2,0,0,ROW()-1,60),ROW()-1,FALSE))</f>
        <v/>
      </c>
      <c r="AY652" t="str">
        <f ca="1">IF(AND(ISNUMBER($AY$1309),$B$677=1),$AY$1309,HLOOKUP(INDIRECT(ADDRESS(2,COLUMN())),OFFSET($BN$2,0,0,ROW()-1,60),ROW()-1,FALSE))</f>
        <v/>
      </c>
      <c r="AZ652" t="str">
        <f ca="1">IF(AND(ISNUMBER($AZ$1309),$B$677=1),$AZ$1309,HLOOKUP(INDIRECT(ADDRESS(2,COLUMN())),OFFSET($BN$2,0,0,ROW()-1,60),ROW()-1,FALSE))</f>
        <v/>
      </c>
      <c r="BA652" t="str">
        <f ca="1">IF(AND(ISNUMBER($BA$1309),$B$677=1),$BA$1309,HLOOKUP(INDIRECT(ADDRESS(2,COLUMN())),OFFSET($BN$2,0,0,ROW()-1,60),ROW()-1,FALSE))</f>
        <v/>
      </c>
      <c r="BB652" t="str">
        <f ca="1">IF(AND(ISNUMBER($BB$1309),$B$677=1),$BB$1309,HLOOKUP(INDIRECT(ADDRESS(2,COLUMN())),OFFSET($BN$2,0,0,ROW()-1,60),ROW()-1,FALSE))</f>
        <v/>
      </c>
      <c r="BC652" t="str">
        <f ca="1">IF(AND(ISNUMBER($BC$1309),$B$677=1),$BC$1309,HLOOKUP(INDIRECT(ADDRESS(2,COLUMN())),OFFSET($BN$2,0,0,ROW()-1,60),ROW()-1,FALSE))</f>
        <v/>
      </c>
      <c r="BD652" t="str">
        <f ca="1">IF(AND(ISNUMBER($BD$1309),$B$677=1),$BD$1309,HLOOKUP(INDIRECT(ADDRESS(2,COLUMN())),OFFSET($BN$2,0,0,ROW()-1,60),ROW()-1,FALSE))</f>
        <v/>
      </c>
      <c r="BE652" t="str">
        <f ca="1">IF(AND(ISNUMBER($BE$1309),$B$677=1),$BE$1309,HLOOKUP(INDIRECT(ADDRESS(2,COLUMN())),OFFSET($BN$2,0,0,ROW()-1,60),ROW()-1,FALSE))</f>
        <v/>
      </c>
      <c r="BF652" t="str">
        <f ca="1">IF(AND(ISNUMBER($BF$1309),$B$677=1),$BF$1309,HLOOKUP(INDIRECT(ADDRESS(2,COLUMN())),OFFSET($BN$2,0,0,ROW()-1,60),ROW()-1,FALSE))</f>
        <v/>
      </c>
      <c r="BG652" t="str">
        <f ca="1">IF(AND(ISNUMBER($BG$1309),$B$677=1),$BG$1309,HLOOKUP(INDIRECT(ADDRESS(2,COLUMN())),OFFSET($BN$2,0,0,ROW()-1,60),ROW()-1,FALSE))</f>
        <v/>
      </c>
      <c r="BH652" t="str">
        <f ca="1">IF(AND(ISNUMBER($BH$1309),$B$677=1),$BH$1309,HLOOKUP(INDIRECT(ADDRESS(2,COLUMN())),OFFSET($BN$2,0,0,ROW()-1,60),ROW()-1,FALSE))</f>
        <v/>
      </c>
      <c r="BI652" t="str">
        <f ca="1">IF(AND(ISNUMBER($BI$1309),$B$677=1),$BI$1309,HLOOKUP(INDIRECT(ADDRESS(2,COLUMN())),OFFSET($BN$2,0,0,ROW()-1,60),ROW()-1,FALSE))</f>
        <v/>
      </c>
      <c r="BJ652" t="str">
        <f ca="1">IF(AND(ISNUMBER($BJ$1309),$B$677=1),$BJ$1309,HLOOKUP(INDIRECT(ADDRESS(2,COLUMN())),OFFSET($BN$2,0,0,ROW()-1,60),ROW()-1,FALSE))</f>
        <v/>
      </c>
      <c r="BK652" t="str">
        <f ca="1">IF(AND(ISNUMBER($BK$1309),$B$677=1),$BK$1309,HLOOKUP(INDIRECT(ADDRESS(2,COLUMN())),OFFSET($BN$2,0,0,ROW()-1,60),ROW()-1,FALSE))</f>
        <v/>
      </c>
      <c r="BL652" t="str">
        <f ca="1">IF(AND(ISNUMBER($BL$1309),$B$677=1),$BL$1309,HLOOKUP(INDIRECT(ADDRESS(2,COLUMN())),OFFSET($BN$2,0,0,ROW()-1,60),ROW()-1,FALSE))</f>
        <v/>
      </c>
      <c r="BM652" t="str">
        <f ca="1">IF(AND(ISNUMBER($BM$1309),$B$677=1),$BM$1309,HLOOKUP(INDIRECT(ADDRESS(2,COLUMN())),OFFSET($BN$2,0,0,ROW()-1,60),ROW()-1,FALSE))</f>
        <v/>
      </c>
      <c r="BN652" t="str">
        <f>""</f>
        <v/>
      </c>
      <c r="BO652">
        <f>32.17684937</f>
        <v>32.176849369999999</v>
      </c>
      <c r="BP652">
        <f>27.77147569</f>
        <v>27.771475689999999</v>
      </c>
      <c r="BQ652">
        <f>-1.558685066</f>
        <v>-1.558685066</v>
      </c>
      <c r="BR652">
        <f>14.67309501</f>
        <v>14.673095010000001</v>
      </c>
      <c r="BS652">
        <f>6.636515563</f>
        <v>6.6365155629999997</v>
      </c>
      <c r="BT652">
        <f>12.47621998</f>
        <v>12.47621998</v>
      </c>
      <c r="BU652">
        <f>12.82182888</f>
        <v>12.82182888</v>
      </c>
      <c r="BV652">
        <f>17.95318734</f>
        <v>17.953187339999999</v>
      </c>
      <c r="BW652">
        <f>10.79511591</f>
        <v>10.79511591</v>
      </c>
      <c r="BX652">
        <f>8.406802661</f>
        <v>8.4068026610000004</v>
      </c>
      <c r="BY652">
        <f>13.00321499</f>
        <v>13.00321499</v>
      </c>
      <c r="BZ652">
        <f>-6.891732965</f>
        <v>-6.8917329650000001</v>
      </c>
      <c r="CA652">
        <f>4.744089239</f>
        <v>4.744089239</v>
      </c>
      <c r="CB652">
        <f>-3.473836268</f>
        <v>-3.4738362679999999</v>
      </c>
      <c r="CC652">
        <f>-9.110783343</f>
        <v>-9.1107833429999996</v>
      </c>
      <c r="CD652">
        <f>-7.981638068</f>
        <v>-7.9816380679999996</v>
      </c>
      <c r="CE652">
        <f>-9.091523285</f>
        <v>-9.0915232849999992</v>
      </c>
      <c r="CF652">
        <f>-4.054611698</f>
        <v>-4.0546116980000004</v>
      </c>
      <c r="CG652">
        <f>-12.30713772</f>
        <v>-12.30713772</v>
      </c>
      <c r="CH652">
        <f>0.868510118</f>
        <v>0.868510118</v>
      </c>
      <c r="CI652">
        <f>11.75432596</f>
        <v>11.754325959999999</v>
      </c>
      <c r="CJ652">
        <f>2.880380276</f>
        <v>2.8803802759999999</v>
      </c>
      <c r="CK652">
        <f>17.14145923</f>
        <v>17.141459229999999</v>
      </c>
      <c r="CL652">
        <f>11.28106016</f>
        <v>11.281060159999999</v>
      </c>
      <c r="CM652">
        <f>4.339172726</f>
        <v>4.3391727260000001</v>
      </c>
      <c r="CN652" t="str">
        <f>""</f>
        <v/>
      </c>
      <c r="CO652" t="str">
        <f>""</f>
        <v/>
      </c>
      <c r="CP652" t="str">
        <f>""</f>
        <v/>
      </c>
      <c r="CQ652" t="str">
        <f>""</f>
        <v/>
      </c>
      <c r="CR652" t="str">
        <f>""</f>
        <v/>
      </c>
      <c r="CS652" t="str">
        <f>""</f>
        <v/>
      </c>
      <c r="CT652" t="str">
        <f>""</f>
        <v/>
      </c>
      <c r="CU652" t="str">
        <f>""</f>
        <v/>
      </c>
      <c r="CV652" t="str">
        <f>""</f>
        <v/>
      </c>
      <c r="CW652" t="str">
        <f>""</f>
        <v/>
      </c>
      <c r="CX652" t="str">
        <f>""</f>
        <v/>
      </c>
      <c r="CY652" t="str">
        <f>""</f>
        <v/>
      </c>
      <c r="CZ652" t="str">
        <f>""</f>
        <v/>
      </c>
      <c r="DA652" t="str">
        <f>""</f>
        <v/>
      </c>
      <c r="DB652" t="str">
        <f>""</f>
        <v/>
      </c>
      <c r="DC652" t="str">
        <f>""</f>
        <v/>
      </c>
      <c r="DD652" t="str">
        <f>""</f>
        <v/>
      </c>
      <c r="DE652" t="str">
        <f>""</f>
        <v/>
      </c>
      <c r="DF652" t="str">
        <f>""</f>
        <v/>
      </c>
      <c r="DG652" t="str">
        <f>""</f>
        <v/>
      </c>
      <c r="DH652" t="str">
        <f>""</f>
        <v/>
      </c>
      <c r="DI652" t="str">
        <f>""</f>
        <v/>
      </c>
      <c r="DJ652" t="str">
        <f>""</f>
        <v/>
      </c>
      <c r="DK652" t="str">
        <f>""</f>
        <v/>
      </c>
      <c r="DL652" t="str">
        <f>""</f>
        <v/>
      </c>
      <c r="DM652" t="str">
        <f>""</f>
        <v/>
      </c>
      <c r="DN652" t="str">
        <f>""</f>
        <v/>
      </c>
      <c r="DO652" t="str">
        <f>""</f>
        <v/>
      </c>
      <c r="DP652" t="str">
        <f>""</f>
        <v/>
      </c>
      <c r="DQ652" t="str">
        <f>""</f>
        <v/>
      </c>
      <c r="DR652" t="str">
        <f>""</f>
        <v/>
      </c>
      <c r="DS652" t="str">
        <f>""</f>
        <v/>
      </c>
      <c r="DT652" t="str">
        <f>""</f>
        <v/>
      </c>
      <c r="DU652" t="str">
        <f>""</f>
        <v/>
      </c>
    </row>
    <row r="653" spans="1:125" x14ac:dyDescent="0.25">
      <c r="A653" t="str">
        <f>"    Subaru Corp"</f>
        <v xml:space="preserve">    Subaru Corp</v>
      </c>
      <c r="B653" t="str">
        <f>"7270 JP Equity"</f>
        <v>7270 JP Equity</v>
      </c>
      <c r="C653" t="str">
        <f t="shared" si="45"/>
        <v>RX539</v>
      </c>
      <c r="D653" t="str">
        <f t="shared" si="46"/>
        <v>T12_FCF_YIELD</v>
      </c>
      <c r="E653" t="str">
        <f t="shared" si="47"/>
        <v>Dynamic</v>
      </c>
      <c r="F653">
        <f ca="1">IF(AND(ISNUMBER($F$1310),$B$677=1),$F$1310,HLOOKUP(INDIRECT(ADDRESS(2,COLUMN())),OFFSET($BN$2,0,0,ROW()-1,60),ROW()-1,FALSE))</f>
        <v>2.8335801219999999</v>
      </c>
      <c r="G653">
        <f ca="1">IF(AND(ISNUMBER($G$1310),$B$677=1),$G$1310,HLOOKUP(INDIRECT(ADDRESS(2,COLUMN())),OFFSET($BN$2,0,0,ROW()-1,60),ROW()-1,FALSE))</f>
        <v>3.4123028409999998</v>
      </c>
      <c r="H653">
        <f ca="1">IF(AND(ISNUMBER($H$1310),$B$677=1),$H$1310,HLOOKUP(INDIRECT(ADDRESS(2,COLUMN())),OFFSET($BN$2,0,0,ROW()-1,60),ROW()-1,FALSE))</f>
        <v>2.6257764689999998</v>
      </c>
      <c r="I653">
        <f ca="1">IF(AND(ISNUMBER($I$1310),$B$677=1),$I$1310,HLOOKUP(INDIRECT(ADDRESS(2,COLUMN())),OFFSET($BN$2,0,0,ROW()-1,60),ROW()-1,FALSE))</f>
        <v>4.2040364559999999</v>
      </c>
      <c r="J653">
        <f ca="1">IF(AND(ISNUMBER($J$1310),$B$677=1),$J$1310,HLOOKUP(INDIRECT(ADDRESS(2,COLUMN())),OFFSET($BN$2,0,0,ROW()-1,60),ROW()-1,FALSE))</f>
        <v>8.0682930299999995</v>
      </c>
      <c r="K653">
        <f ca="1">IF(AND(ISNUMBER($K$1310),$B$677=1),$K$1310,HLOOKUP(INDIRECT(ADDRESS(2,COLUMN())),OFFSET($BN$2,0,0,ROW()-1,60),ROW()-1,FALSE))</f>
        <v>8.8649418860000004</v>
      </c>
      <c r="L653">
        <f ca="1">IF(AND(ISNUMBER($L$1310),$B$677=1),$L$1310,HLOOKUP(INDIRECT(ADDRESS(2,COLUMN())),OFFSET($BN$2,0,0,ROW()-1,60),ROW()-1,FALSE))</f>
        <v>5.8311723000000004</v>
      </c>
      <c r="M653">
        <f ca="1">IF(AND(ISNUMBER($M$1310),$B$677=1),$M$1310,HLOOKUP(INDIRECT(ADDRESS(2,COLUMN())),OFFSET($BN$2,0,0,ROW()-1,60),ROW()-1,FALSE))</f>
        <v>8.6907387319999998</v>
      </c>
      <c r="N653">
        <f ca="1">IF(AND(ISNUMBER($N$1310),$B$677=1),$N$1310,HLOOKUP(INDIRECT(ADDRESS(2,COLUMN())),OFFSET($BN$2,0,0,ROW()-1,60),ROW()-1,FALSE))</f>
        <v>5.7827220329999998</v>
      </c>
      <c r="O653">
        <f ca="1">IF(AND(ISNUMBER($O$1310),$B$677=1),$O$1310,HLOOKUP(INDIRECT(ADDRESS(2,COLUMN())),OFFSET($BN$2,0,0,ROW()-1,60),ROW()-1,FALSE))</f>
        <v>6.35792205</v>
      </c>
      <c r="P653">
        <f ca="1">IF(AND(ISNUMBER($P$1310),$B$677=1),$P$1310,HLOOKUP(INDIRECT(ADDRESS(2,COLUMN())),OFFSET($BN$2,0,0,ROW()-1,60),ROW()-1,FALSE))</f>
        <v>13.56254659</v>
      </c>
      <c r="Q653">
        <f ca="1">IF(AND(ISNUMBER($Q$1310),$B$677=1),$Q$1310,HLOOKUP(INDIRECT(ADDRESS(2,COLUMN())),OFFSET($BN$2,0,0,ROW()-1,60),ROW()-1,FALSE))</f>
        <v>16.060922949999998</v>
      </c>
      <c r="R653">
        <f ca="1">IF(AND(ISNUMBER($R$1310),$B$677=1),$R$1310,HLOOKUP(INDIRECT(ADDRESS(2,COLUMN())),OFFSET($BN$2,0,0,ROW()-1,60),ROW()-1,FALSE))</f>
        <v>15.666483339999999</v>
      </c>
      <c r="S653">
        <f ca="1">IF(AND(ISNUMBER($S$1310),$B$677=1),$S$1310,HLOOKUP(INDIRECT(ADDRESS(2,COLUMN())),OFFSET($BN$2,0,0,ROW()-1,60),ROW()-1,FALSE))</f>
        <v>11.353037520000001</v>
      </c>
      <c r="T653">
        <f ca="1">IF(AND(ISNUMBER($T$1310),$B$677=1),$T$1310,HLOOKUP(INDIRECT(ADDRESS(2,COLUMN())),OFFSET($BN$2,0,0,ROW()-1,60),ROW()-1,FALSE))</f>
        <v>10.253907610000001</v>
      </c>
      <c r="U653">
        <f ca="1">IF(AND(ISNUMBER($U$1310),$B$677=1),$U$1310,HLOOKUP(INDIRECT(ADDRESS(2,COLUMN())),OFFSET($BN$2,0,0,ROW()-1,60),ROW()-1,FALSE))</f>
        <v>8.4497745989999995</v>
      </c>
      <c r="V653">
        <f ca="1">IF(AND(ISNUMBER($V$1310),$B$677=1),$V$1310,HLOOKUP(INDIRECT(ADDRESS(2,COLUMN())),OFFSET($BN$2,0,0,ROW()-1,60),ROW()-1,FALSE))</f>
        <v>6.2842752150000001</v>
      </c>
      <c r="W653">
        <f ca="1">IF(AND(ISNUMBER($W$1310),$B$677=1),$W$1310,HLOOKUP(INDIRECT(ADDRESS(2,COLUMN())),OFFSET($BN$2,0,0,ROW()-1,60),ROW()-1,FALSE))</f>
        <v>5.0900342380000003</v>
      </c>
      <c r="X653">
        <f ca="1">IF(AND(ISNUMBER($X$1310),$B$677=1),$X$1310,HLOOKUP(INDIRECT(ADDRESS(2,COLUMN())),OFFSET($BN$2,0,0,ROW()-1,60),ROW()-1,FALSE))</f>
        <v>7.1988603189999996</v>
      </c>
      <c r="Y653">
        <f ca="1">IF(AND(ISNUMBER($Y$1310),$B$677=1),$Y$1310,HLOOKUP(INDIRECT(ADDRESS(2,COLUMN())),OFFSET($BN$2,0,0,ROW()-1,60),ROW()-1,FALSE))</f>
        <v>8.047264728</v>
      </c>
      <c r="Z653">
        <f ca="1">IF(AND(ISNUMBER($Z$1310),$B$677=1),$Z$1310,HLOOKUP(INDIRECT(ADDRESS(2,COLUMN())),OFFSET($BN$2,0,0,ROW()-1,60),ROW()-1,FALSE))</f>
        <v>11.237045159999999</v>
      </c>
      <c r="AA653">
        <f ca="1">IF(AND(ISNUMBER($AA$1310),$B$677=1),$AA$1310,HLOOKUP(INDIRECT(ADDRESS(2,COLUMN())),OFFSET($BN$2,0,0,ROW()-1,60),ROW()-1,FALSE))</f>
        <v>8.5346583739999993</v>
      </c>
      <c r="AB653">
        <f ca="1">IF(AND(ISNUMBER($AB$1310),$B$677=1),$AB$1310,HLOOKUP(INDIRECT(ADDRESS(2,COLUMN())),OFFSET($BN$2,0,0,ROW()-1,60),ROW()-1,FALSE))</f>
        <v>6.6737009680000003</v>
      </c>
      <c r="AC653">
        <f ca="1">IF(AND(ISNUMBER($AC$1310),$B$677=1),$AC$1310,HLOOKUP(INDIRECT(ADDRESS(2,COLUMN())),OFFSET($BN$2,0,0,ROW()-1,60),ROW()-1,FALSE))</f>
        <v>6.8485199970000004</v>
      </c>
      <c r="AD653">
        <f ca="1">IF(AND(ISNUMBER($AD$1310),$B$677=1),$AD$1310,HLOOKUP(INDIRECT(ADDRESS(2,COLUMN())),OFFSET($BN$2,0,0,ROW()-1,60),ROW()-1,FALSE))</f>
        <v>9.1938298520000004</v>
      </c>
      <c r="AE653">
        <f ca="1">IF(AND(ISNUMBER($AE$1310),$B$677=1),$AE$1310,HLOOKUP(INDIRECT(ADDRESS(2,COLUMN())),OFFSET($BN$2,0,0,ROW()-1,60),ROW()-1,FALSE))</f>
        <v>13.52432423</v>
      </c>
      <c r="AF653">
        <f ca="1">IF(AND(ISNUMBER($AF$1310),$B$677=1),$AF$1310,HLOOKUP(INDIRECT(ADDRESS(2,COLUMN())),OFFSET($BN$2,0,0,ROW()-1,60),ROW()-1,FALSE))</f>
        <v>23.574548</v>
      </c>
      <c r="AG653">
        <f ca="1">IF(AND(ISNUMBER($AG$1310),$B$677=1),$AG$1310,HLOOKUP(INDIRECT(ADDRESS(2,COLUMN())),OFFSET($BN$2,0,0,ROW()-1,60),ROW()-1,FALSE))</f>
        <v>12.19345459</v>
      </c>
      <c r="AH653">
        <f ca="1">IF(AND(ISNUMBER($AH$1310),$B$677=1),$AH$1310,HLOOKUP(INDIRECT(ADDRESS(2,COLUMN())),OFFSET($BN$2,0,0,ROW()-1,60),ROW()-1,FALSE))</f>
        <v>1.115239149</v>
      </c>
      <c r="AI653">
        <f ca="1">IF(AND(ISNUMBER($AI$1310),$B$677=1),$AI$1310,HLOOKUP(INDIRECT(ADDRESS(2,COLUMN())),OFFSET($BN$2,0,0,ROW()-1,60),ROW()-1,FALSE))</f>
        <v>3.3560176890000002</v>
      </c>
      <c r="AJ653">
        <f ca="1">IF(AND(ISNUMBER($AJ$1310),$B$677=1),$AJ$1310,HLOOKUP(INDIRECT(ADDRESS(2,COLUMN())),OFFSET($BN$2,0,0,ROW()-1,60),ROW()-1,FALSE))</f>
        <v>-0.93152305700000004</v>
      </c>
      <c r="AK653">
        <f ca="1">IF(AND(ISNUMBER($AK$1310),$B$677=1),$AK$1310,HLOOKUP(INDIRECT(ADDRESS(2,COLUMN())),OFFSET($BN$2,0,0,ROW()-1,60),ROW()-1,FALSE))</f>
        <v>8.5367365779999993</v>
      </c>
      <c r="AL653">
        <f ca="1">IF(AND(ISNUMBER($AL$1310),$B$677=1),$AL$1310,HLOOKUP(INDIRECT(ADDRESS(2,COLUMN())),OFFSET($BN$2,0,0,ROW()-1,60),ROW()-1,FALSE))</f>
        <v>22.277269369999999</v>
      </c>
      <c r="AM653">
        <f ca="1">IF(AND(ISNUMBER($AM$1310),$B$677=1),$AM$1310,HLOOKUP(INDIRECT(ADDRESS(2,COLUMN())),OFFSET($BN$2,0,0,ROW()-1,60),ROW()-1,FALSE))</f>
        <v>21.353778899999998</v>
      </c>
      <c r="AN653">
        <f ca="1">IF(AND(ISNUMBER($AN$1310),$B$677=1),$AN$1310,HLOOKUP(INDIRECT(ADDRESS(2,COLUMN())),OFFSET($BN$2,0,0,ROW()-1,60),ROW()-1,FALSE))</f>
        <v>29.33914025</v>
      </c>
      <c r="AO653">
        <f ca="1">IF(AND(ISNUMBER($AO$1310),$B$677=1),$AO$1310,HLOOKUP(INDIRECT(ADDRESS(2,COLUMN())),OFFSET($BN$2,0,0,ROW()-1,60),ROW()-1,FALSE))</f>
        <v>34.53391019</v>
      </c>
      <c r="AP653">
        <f ca="1">IF(AND(ISNUMBER($AP$1310),$B$677=1),$AP$1310,HLOOKUP(INDIRECT(ADDRESS(2,COLUMN())),OFFSET($BN$2,0,0,ROW()-1,60),ROW()-1,FALSE))</f>
        <v>32.63254233</v>
      </c>
      <c r="AQ653">
        <f ca="1">IF(AND(ISNUMBER($AQ$1310),$B$677=1),$AQ$1310,HLOOKUP(INDIRECT(ADDRESS(2,COLUMN())),OFFSET($BN$2,0,0,ROW()-1,60),ROW()-1,FALSE))</f>
        <v>5.389316022</v>
      </c>
      <c r="AR653">
        <f ca="1">IF(AND(ISNUMBER($AR$1310),$B$677=1),$AR$1310,HLOOKUP(INDIRECT(ADDRESS(2,COLUMN())),OFFSET($BN$2,0,0,ROW()-1,60),ROW()-1,FALSE))</f>
        <v>-2.227507675</v>
      </c>
      <c r="AS653">
        <f ca="1">IF(AND(ISNUMBER($AS$1310),$B$677=1),$AS$1310,HLOOKUP(INDIRECT(ADDRESS(2,COLUMN())),OFFSET($BN$2,0,0,ROW()-1,60),ROW()-1,FALSE))</f>
        <v>-15.67426275</v>
      </c>
      <c r="AT653">
        <f ca="1">IF(AND(ISNUMBER($AT$1310),$B$677=1),$AT$1310,HLOOKUP(INDIRECT(ADDRESS(2,COLUMN())),OFFSET($BN$2,0,0,ROW()-1,60),ROW()-1,FALSE))</f>
        <v>-34.165363929999998</v>
      </c>
      <c r="AU653" t="str">
        <f ca="1">IF(AND(ISNUMBER($AU$1310),$B$677=1),$AU$1310,HLOOKUP(INDIRECT(ADDRESS(2,COLUMN())),OFFSET($BN$2,0,0,ROW()-1,60),ROW()-1,FALSE))</f>
        <v/>
      </c>
      <c r="AV653" t="str">
        <f ca="1">IF(AND(ISNUMBER($AV$1310),$B$677=1),$AV$1310,HLOOKUP(INDIRECT(ADDRESS(2,COLUMN())),OFFSET($BN$2,0,0,ROW()-1,60),ROW()-1,FALSE))</f>
        <v/>
      </c>
      <c r="AW653" t="str">
        <f ca="1">IF(AND(ISNUMBER($AW$1310),$B$677=1),$AW$1310,HLOOKUP(INDIRECT(ADDRESS(2,COLUMN())),OFFSET($BN$2,0,0,ROW()-1,60),ROW()-1,FALSE))</f>
        <v/>
      </c>
      <c r="AX653" t="str">
        <f ca="1">IF(AND(ISNUMBER($AX$1310),$B$677=1),$AX$1310,HLOOKUP(INDIRECT(ADDRESS(2,COLUMN())),OFFSET($BN$2,0,0,ROW()-1,60),ROW()-1,FALSE))</f>
        <v/>
      </c>
      <c r="AY653" t="str">
        <f ca="1">IF(AND(ISNUMBER($AY$1310),$B$677=1),$AY$1310,HLOOKUP(INDIRECT(ADDRESS(2,COLUMN())),OFFSET($BN$2,0,0,ROW()-1,60),ROW()-1,FALSE))</f>
        <v/>
      </c>
      <c r="AZ653" t="str">
        <f ca="1">IF(AND(ISNUMBER($AZ$1310),$B$677=1),$AZ$1310,HLOOKUP(INDIRECT(ADDRESS(2,COLUMN())),OFFSET($BN$2,0,0,ROW()-1,60),ROW()-1,FALSE))</f>
        <v/>
      </c>
      <c r="BA653" t="str">
        <f ca="1">IF(AND(ISNUMBER($BA$1310),$B$677=1),$BA$1310,HLOOKUP(INDIRECT(ADDRESS(2,COLUMN())),OFFSET($BN$2,0,0,ROW()-1,60),ROW()-1,FALSE))</f>
        <v/>
      </c>
      <c r="BB653" t="str">
        <f ca="1">IF(AND(ISNUMBER($BB$1310),$B$677=1),$BB$1310,HLOOKUP(INDIRECT(ADDRESS(2,COLUMN())),OFFSET($BN$2,0,0,ROW()-1,60),ROW()-1,FALSE))</f>
        <v/>
      </c>
      <c r="BC653" t="str">
        <f ca="1">IF(AND(ISNUMBER($BC$1310),$B$677=1),$BC$1310,HLOOKUP(INDIRECT(ADDRESS(2,COLUMN())),OFFSET($BN$2,0,0,ROW()-1,60),ROW()-1,FALSE))</f>
        <v/>
      </c>
      <c r="BD653" t="str">
        <f ca="1">IF(AND(ISNUMBER($BD$1310),$B$677=1),$BD$1310,HLOOKUP(INDIRECT(ADDRESS(2,COLUMN())),OFFSET($BN$2,0,0,ROW()-1,60),ROW()-1,FALSE))</f>
        <v/>
      </c>
      <c r="BE653" t="str">
        <f ca="1">IF(AND(ISNUMBER($BE$1310),$B$677=1),$BE$1310,HLOOKUP(INDIRECT(ADDRESS(2,COLUMN())),OFFSET($BN$2,0,0,ROW()-1,60),ROW()-1,FALSE))</f>
        <v/>
      </c>
      <c r="BF653" t="str">
        <f ca="1">IF(AND(ISNUMBER($BF$1310),$B$677=1),$BF$1310,HLOOKUP(INDIRECT(ADDRESS(2,COLUMN())),OFFSET($BN$2,0,0,ROW()-1,60),ROW()-1,FALSE))</f>
        <v/>
      </c>
      <c r="BG653" t="str">
        <f ca="1">IF(AND(ISNUMBER($BG$1310),$B$677=1),$BG$1310,HLOOKUP(INDIRECT(ADDRESS(2,COLUMN())),OFFSET($BN$2,0,0,ROW()-1,60),ROW()-1,FALSE))</f>
        <v/>
      </c>
      <c r="BH653" t="str">
        <f ca="1">IF(AND(ISNUMBER($BH$1310),$B$677=1),$BH$1310,HLOOKUP(INDIRECT(ADDRESS(2,COLUMN())),OFFSET($BN$2,0,0,ROW()-1,60),ROW()-1,FALSE))</f>
        <v/>
      </c>
      <c r="BI653" t="str">
        <f ca="1">IF(AND(ISNUMBER($BI$1310),$B$677=1),$BI$1310,HLOOKUP(INDIRECT(ADDRESS(2,COLUMN())),OFFSET($BN$2,0,0,ROW()-1,60),ROW()-1,FALSE))</f>
        <v/>
      </c>
      <c r="BJ653" t="str">
        <f ca="1">IF(AND(ISNUMBER($BJ$1310),$B$677=1),$BJ$1310,HLOOKUP(INDIRECT(ADDRESS(2,COLUMN())),OFFSET($BN$2,0,0,ROW()-1,60),ROW()-1,FALSE))</f>
        <v/>
      </c>
      <c r="BK653" t="str">
        <f ca="1">IF(AND(ISNUMBER($BK$1310),$B$677=1),$BK$1310,HLOOKUP(INDIRECT(ADDRESS(2,COLUMN())),OFFSET($BN$2,0,0,ROW()-1,60),ROW()-1,FALSE))</f>
        <v/>
      </c>
      <c r="BL653" t="str">
        <f ca="1">IF(AND(ISNUMBER($BL$1310),$B$677=1),$BL$1310,HLOOKUP(INDIRECT(ADDRESS(2,COLUMN())),OFFSET($BN$2,0,0,ROW()-1,60),ROW()-1,FALSE))</f>
        <v/>
      </c>
      <c r="BM653" t="str">
        <f ca="1">IF(AND(ISNUMBER($BM$1310),$B$677=1),$BM$1310,HLOOKUP(INDIRECT(ADDRESS(2,COLUMN())),OFFSET($BN$2,0,0,ROW()-1,60),ROW()-1,FALSE))</f>
        <v/>
      </c>
      <c r="BN653">
        <f>2.833580122</f>
        <v>2.8335801219999999</v>
      </c>
      <c r="BO653">
        <f>3.412302841</f>
        <v>3.4123028409999998</v>
      </c>
      <c r="BP653">
        <f>2.625776469</f>
        <v>2.6257764689999998</v>
      </c>
      <c r="BQ653">
        <f>4.204036456</f>
        <v>4.2040364559999999</v>
      </c>
      <c r="BR653">
        <f>8.06829303</f>
        <v>8.0682930299999995</v>
      </c>
      <c r="BS653">
        <f>8.864941886</f>
        <v>8.8649418860000004</v>
      </c>
      <c r="BT653">
        <f>5.8311723</f>
        <v>5.8311723000000004</v>
      </c>
      <c r="BU653">
        <f>8.690738732</f>
        <v>8.6907387319999998</v>
      </c>
      <c r="BV653">
        <f>5.782722033</f>
        <v>5.7827220329999998</v>
      </c>
      <c r="BW653">
        <f>6.35792205</f>
        <v>6.35792205</v>
      </c>
      <c r="BX653">
        <f>13.56254659</f>
        <v>13.56254659</v>
      </c>
      <c r="BY653">
        <f>16.06092295</f>
        <v>16.060922949999998</v>
      </c>
      <c r="BZ653">
        <f>15.66648334</f>
        <v>15.666483339999999</v>
      </c>
      <c r="CA653">
        <f>11.35303752</f>
        <v>11.353037520000001</v>
      </c>
      <c r="CB653">
        <f>10.25390761</f>
        <v>10.253907610000001</v>
      </c>
      <c r="CC653">
        <f>8.449774599</f>
        <v>8.4497745989999995</v>
      </c>
      <c r="CD653">
        <f>6.284275215</f>
        <v>6.2842752150000001</v>
      </c>
      <c r="CE653">
        <f>5.090034238</f>
        <v>5.0900342380000003</v>
      </c>
      <c r="CF653">
        <f>7.198860319</f>
        <v>7.1988603189999996</v>
      </c>
      <c r="CG653">
        <f>8.047264728</f>
        <v>8.047264728</v>
      </c>
      <c r="CH653">
        <f>11.23704516</f>
        <v>11.237045159999999</v>
      </c>
      <c r="CI653">
        <f>8.534658374</f>
        <v>8.5346583739999993</v>
      </c>
      <c r="CJ653">
        <f>6.673700968</f>
        <v>6.6737009680000003</v>
      </c>
      <c r="CK653">
        <f>6.848519997</f>
        <v>6.8485199970000004</v>
      </c>
      <c r="CL653">
        <f>9.193829852</f>
        <v>9.1938298520000004</v>
      </c>
      <c r="CM653">
        <f>13.52432423</f>
        <v>13.52432423</v>
      </c>
      <c r="CN653">
        <f>23.574548</f>
        <v>23.574548</v>
      </c>
      <c r="CO653">
        <f>12.19345459</f>
        <v>12.19345459</v>
      </c>
      <c r="CP653">
        <f>1.115239149</f>
        <v>1.115239149</v>
      </c>
      <c r="CQ653">
        <f>3.356017689</f>
        <v>3.3560176890000002</v>
      </c>
      <c r="CR653">
        <f>-0.931523057</f>
        <v>-0.93152305700000004</v>
      </c>
      <c r="CS653">
        <f>8.536736578</f>
        <v>8.5367365779999993</v>
      </c>
      <c r="CT653">
        <f>22.27726937</f>
        <v>22.277269369999999</v>
      </c>
      <c r="CU653">
        <f>21.3537789</f>
        <v>21.353778899999998</v>
      </c>
      <c r="CV653">
        <f>29.33914025</f>
        <v>29.33914025</v>
      </c>
      <c r="CW653">
        <f>34.53391019</f>
        <v>34.53391019</v>
      </c>
      <c r="CX653">
        <f>32.63254233</f>
        <v>32.63254233</v>
      </c>
      <c r="CY653">
        <f>5.389316022</f>
        <v>5.389316022</v>
      </c>
      <c r="CZ653">
        <f>-2.227507675</f>
        <v>-2.227507675</v>
      </c>
      <c r="DA653">
        <f>-15.67426275</f>
        <v>-15.67426275</v>
      </c>
      <c r="DB653">
        <f>-34.16536393</f>
        <v>-34.165363929999998</v>
      </c>
      <c r="DC653" t="str">
        <f>""</f>
        <v/>
      </c>
      <c r="DD653" t="str">
        <f>""</f>
        <v/>
      </c>
      <c r="DE653" t="str">
        <f>""</f>
        <v/>
      </c>
      <c r="DF653" t="str">
        <f>""</f>
        <v/>
      </c>
      <c r="DG653" t="str">
        <f>""</f>
        <v/>
      </c>
      <c r="DH653" t="str">
        <f>""</f>
        <v/>
      </c>
      <c r="DI653" t="str">
        <f>""</f>
        <v/>
      </c>
      <c r="DJ653" t="str">
        <f>""</f>
        <v/>
      </c>
      <c r="DK653" t="str">
        <f>""</f>
        <v/>
      </c>
      <c r="DL653" t="str">
        <f>""</f>
        <v/>
      </c>
      <c r="DM653" t="str">
        <f>""</f>
        <v/>
      </c>
      <c r="DN653" t="str">
        <f>""</f>
        <v/>
      </c>
      <c r="DO653" t="str">
        <f>""</f>
        <v/>
      </c>
      <c r="DP653" t="str">
        <f>""</f>
        <v/>
      </c>
      <c r="DQ653" t="str">
        <f>""</f>
        <v/>
      </c>
      <c r="DR653" t="str">
        <f>""</f>
        <v/>
      </c>
      <c r="DS653" t="str">
        <f>""</f>
        <v/>
      </c>
      <c r="DT653" t="str">
        <f>""</f>
        <v/>
      </c>
      <c r="DU653" t="str">
        <f>""</f>
        <v/>
      </c>
    </row>
    <row r="654" spans="1:125" x14ac:dyDescent="0.25">
      <c r="A654" t="str">
        <f>"    Suzuki Motor Corp"</f>
        <v xml:space="preserve">    Suzuki Motor Corp</v>
      </c>
      <c r="B654" t="str">
        <f>"7269 JP Equity"</f>
        <v>7269 JP Equity</v>
      </c>
      <c r="C654" t="str">
        <f t="shared" si="45"/>
        <v>RX539</v>
      </c>
      <c r="D654" t="str">
        <f t="shared" si="46"/>
        <v>T12_FCF_YIELD</v>
      </c>
      <c r="E654" t="str">
        <f t="shared" si="47"/>
        <v>Dynamic</v>
      </c>
      <c r="F654">
        <f ca="1">IF(AND(ISNUMBER($F$1311),$B$677=1),$F$1311,HLOOKUP(INDIRECT(ADDRESS(2,COLUMN())),OFFSET($BN$2,0,0,ROW()-1,60),ROW()-1,FALSE))</f>
        <v>5.7336217270000001</v>
      </c>
      <c r="G654">
        <f ca="1">IF(AND(ISNUMBER($G$1311),$B$677=1),$G$1311,HLOOKUP(INDIRECT(ADDRESS(2,COLUMN())),OFFSET($BN$2,0,0,ROW()-1,60),ROW()-1,FALSE))</f>
        <v>5.9509370109999997</v>
      </c>
      <c r="H654">
        <f ca="1">IF(AND(ISNUMBER($H$1311),$B$677=1),$H$1311,HLOOKUP(INDIRECT(ADDRESS(2,COLUMN())),OFFSET($BN$2,0,0,ROW()-1,60),ROW()-1,FALSE))</f>
        <v>6.0535132210000002</v>
      </c>
      <c r="I654">
        <f ca="1">IF(AND(ISNUMBER($I$1311),$B$677=1),$I$1311,HLOOKUP(INDIRECT(ADDRESS(2,COLUMN())),OFFSET($BN$2,0,0,ROW()-1,60),ROW()-1,FALSE))</f>
        <v>8.7889719250000002</v>
      </c>
      <c r="J654">
        <f ca="1">IF(AND(ISNUMBER($J$1311),$B$677=1),$J$1311,HLOOKUP(INDIRECT(ADDRESS(2,COLUMN())),OFFSET($BN$2,0,0,ROW()-1,60),ROW()-1,FALSE))</f>
        <v>8.5059226020000001</v>
      </c>
      <c r="K654">
        <f ca="1">IF(AND(ISNUMBER($K$1311),$B$677=1),$K$1311,HLOOKUP(INDIRECT(ADDRESS(2,COLUMN())),OFFSET($BN$2,0,0,ROW()-1,60),ROW()-1,FALSE))</f>
        <v>6.2902854619999999</v>
      </c>
      <c r="L654">
        <f ca="1">IF(AND(ISNUMBER($L$1311),$B$677=1),$L$1311,HLOOKUP(INDIRECT(ADDRESS(2,COLUMN())),OFFSET($BN$2,0,0,ROW()-1,60),ROW()-1,FALSE))</f>
        <v>7.7270484269999997</v>
      </c>
      <c r="M654">
        <f ca="1">IF(AND(ISNUMBER($M$1311),$B$677=1),$M$1311,HLOOKUP(INDIRECT(ADDRESS(2,COLUMN())),OFFSET($BN$2,0,0,ROW()-1,60),ROW()-1,FALSE))</f>
        <v>4.4600176539999996</v>
      </c>
      <c r="N654">
        <f ca="1">IF(AND(ISNUMBER($N$1311),$B$677=1),$N$1311,HLOOKUP(INDIRECT(ADDRESS(2,COLUMN())),OFFSET($BN$2,0,0,ROW()-1,60),ROW()-1,FALSE))</f>
        <v>7.6787188869999996</v>
      </c>
      <c r="O654">
        <f ca="1">IF(AND(ISNUMBER($O$1311),$B$677=1),$O$1311,HLOOKUP(INDIRECT(ADDRESS(2,COLUMN())),OFFSET($BN$2,0,0,ROW()-1,60),ROW()-1,FALSE))</f>
        <v>9.6671046260000004</v>
      </c>
      <c r="P654">
        <f ca="1">IF(AND(ISNUMBER($P$1311),$B$677=1),$P$1311,HLOOKUP(INDIRECT(ADDRESS(2,COLUMN())),OFFSET($BN$2,0,0,ROW()-1,60),ROW()-1,FALSE))</f>
        <v>12.87593347</v>
      </c>
      <c r="Q654">
        <f ca="1">IF(AND(ISNUMBER($Q$1311),$B$677=1),$Q$1311,HLOOKUP(INDIRECT(ADDRESS(2,COLUMN())),OFFSET($BN$2,0,0,ROW()-1,60),ROW()-1,FALSE))</f>
        <v>11.542502649999999</v>
      </c>
      <c r="R654">
        <f ca="1">IF(AND(ISNUMBER($R$1311),$B$677=1),$R$1311,HLOOKUP(INDIRECT(ADDRESS(2,COLUMN())),OFFSET($BN$2,0,0,ROW()-1,60),ROW()-1,FALSE))</f>
        <v>8.8961655190000002</v>
      </c>
      <c r="S654">
        <f ca="1">IF(AND(ISNUMBER($S$1311),$B$677=1),$S$1311,HLOOKUP(INDIRECT(ADDRESS(2,COLUMN())),OFFSET($BN$2,0,0,ROW()-1,60),ROW()-1,FALSE))</f>
        <v>5.6891307429999998</v>
      </c>
      <c r="T654">
        <f ca="1">IF(AND(ISNUMBER($T$1311),$B$677=1),$T$1311,HLOOKUP(INDIRECT(ADDRESS(2,COLUMN())),OFFSET($BN$2,0,0,ROW()-1,60),ROW()-1,FALSE))</f>
        <v>3.1737769490000001</v>
      </c>
      <c r="U654">
        <f ca="1">IF(AND(ISNUMBER($U$1311),$B$677=1),$U$1311,HLOOKUP(INDIRECT(ADDRESS(2,COLUMN())),OFFSET($BN$2,0,0,ROW()-1,60),ROW()-1,FALSE))</f>
        <v>5.3257196689999997</v>
      </c>
      <c r="V654">
        <f ca="1">IF(AND(ISNUMBER($V$1311),$B$677=1),$V$1311,HLOOKUP(INDIRECT(ADDRESS(2,COLUMN())),OFFSET($BN$2,0,0,ROW()-1,60),ROW()-1,FALSE))</f>
        <v>3.0759577290000002</v>
      </c>
      <c r="W654">
        <f ca="1">IF(AND(ISNUMBER($W$1311),$B$677=1),$W$1311,HLOOKUP(INDIRECT(ADDRESS(2,COLUMN())),OFFSET($BN$2,0,0,ROW()-1,60),ROW()-1,FALSE))</f>
        <v>1.2705339950000001</v>
      </c>
      <c r="X654">
        <f ca="1">IF(AND(ISNUMBER($X$1311),$B$677=1),$X$1311,HLOOKUP(INDIRECT(ADDRESS(2,COLUMN())),OFFSET($BN$2,0,0,ROW()-1,60),ROW()-1,FALSE))</f>
        <v>2.678596642</v>
      </c>
      <c r="Y654">
        <f ca="1">IF(AND(ISNUMBER($Y$1311),$B$677=1),$Y$1311,HLOOKUP(INDIRECT(ADDRESS(2,COLUMN())),OFFSET($BN$2,0,0,ROW()-1,60),ROW()-1,FALSE))</f>
        <v>4.3765231299999998</v>
      </c>
      <c r="Z654">
        <f ca="1">IF(AND(ISNUMBER($Z$1311),$B$677=1),$Z$1311,HLOOKUP(INDIRECT(ADDRESS(2,COLUMN())),OFFSET($BN$2,0,0,ROW()-1,60),ROW()-1,FALSE))</f>
        <v>7.8186579869999999</v>
      </c>
      <c r="AA654">
        <f ca="1">IF(AND(ISNUMBER($AA$1311),$B$677=1),$AA$1311,HLOOKUP(INDIRECT(ADDRESS(2,COLUMN())),OFFSET($BN$2,0,0,ROW()-1,60),ROW()-1,FALSE))</f>
        <v>8.2414318350000002</v>
      </c>
      <c r="AB654">
        <f ca="1">IF(AND(ISNUMBER($AB$1311),$B$677=1),$AB$1311,HLOOKUP(INDIRECT(ADDRESS(2,COLUMN())),OFFSET($BN$2,0,0,ROW()-1,60),ROW()-1,FALSE))</f>
        <v>5.758408931</v>
      </c>
      <c r="AC654">
        <f ca="1">IF(AND(ISNUMBER($AC$1311),$B$677=1),$AC$1311,HLOOKUP(INDIRECT(ADDRESS(2,COLUMN())),OFFSET($BN$2,0,0,ROW()-1,60),ROW()-1,FALSE))</f>
        <v>1.427151692</v>
      </c>
      <c r="AD654">
        <f ca="1">IF(AND(ISNUMBER($AD$1311),$B$677=1),$AD$1311,HLOOKUP(INDIRECT(ADDRESS(2,COLUMN())),OFFSET($BN$2,0,0,ROW()-1,60),ROW()-1,FALSE))</f>
        <v>2.2060657680000002</v>
      </c>
      <c r="AE654">
        <f ca="1">IF(AND(ISNUMBER($AE$1311),$B$677=1),$AE$1311,HLOOKUP(INDIRECT(ADDRESS(2,COLUMN())),OFFSET($BN$2,0,0,ROW()-1,60),ROW()-1,FALSE))</f>
        <v>0.34717472900000002</v>
      </c>
      <c r="AF654">
        <f ca="1">IF(AND(ISNUMBER($AF$1311),$B$677=1),$AF$1311,HLOOKUP(INDIRECT(ADDRESS(2,COLUMN())),OFFSET($BN$2,0,0,ROW()-1,60),ROW()-1,FALSE))</f>
        <v>5.5439693419999996</v>
      </c>
      <c r="AG654">
        <f ca="1">IF(AND(ISNUMBER($AG$1311),$B$677=1),$AG$1311,HLOOKUP(INDIRECT(ADDRESS(2,COLUMN())),OFFSET($BN$2,0,0,ROW()-1,60),ROW()-1,FALSE))</f>
        <v>12.713070979999999</v>
      </c>
      <c r="AH654">
        <f ca="1">IF(AND(ISNUMBER($AH$1311),$B$677=1),$AH$1311,HLOOKUP(INDIRECT(ADDRESS(2,COLUMN())),OFFSET($BN$2,0,0,ROW()-1,60),ROW()-1,FALSE))</f>
        <v>9.6924737810000003</v>
      </c>
      <c r="AI654">
        <f ca="1">IF(AND(ISNUMBER($AI$1311),$B$677=1),$AI$1311,HLOOKUP(INDIRECT(ADDRESS(2,COLUMN())),OFFSET($BN$2,0,0,ROW()-1,60),ROW()-1,FALSE))</f>
        <v>14.20709847</v>
      </c>
      <c r="AJ654">
        <f ca="1">IF(AND(ISNUMBER($AJ$1311),$B$677=1),$AJ$1311,HLOOKUP(INDIRECT(ADDRESS(2,COLUMN())),OFFSET($BN$2,0,0,ROW()-1,60),ROW()-1,FALSE))</f>
        <v>5.8276196210000002</v>
      </c>
      <c r="AK654">
        <f ca="1">IF(AND(ISNUMBER($AK$1311),$B$677=1),$AK$1311,HLOOKUP(INDIRECT(ADDRESS(2,COLUMN())),OFFSET($BN$2,0,0,ROW()-1,60),ROW()-1,FALSE))</f>
        <v>2.8416385260000001</v>
      </c>
      <c r="AL654">
        <f ca="1">IF(AND(ISNUMBER($AL$1311),$B$677=1),$AL$1311,HLOOKUP(INDIRECT(ADDRESS(2,COLUMN())),OFFSET($BN$2,0,0,ROW()-1,60),ROW()-1,FALSE))</f>
        <v>9.2170857359999996</v>
      </c>
      <c r="AM654">
        <f ca="1">IF(AND(ISNUMBER($AM$1311),$B$677=1),$AM$1311,HLOOKUP(INDIRECT(ADDRESS(2,COLUMN())),OFFSET($BN$2,0,0,ROW()-1,60),ROW()-1,FALSE))</f>
        <v>9.3112469820000001</v>
      </c>
      <c r="AN654">
        <f ca="1">IF(AND(ISNUMBER($AN$1311),$B$677=1),$AN$1311,HLOOKUP(INDIRECT(ADDRESS(2,COLUMN())),OFFSET($BN$2,0,0,ROW()-1,60),ROW()-1,FALSE))</f>
        <v>23.510883110000002</v>
      </c>
      <c r="AO654">
        <f ca="1">IF(AND(ISNUMBER($AO$1311),$B$677=1),$AO$1311,HLOOKUP(INDIRECT(ADDRESS(2,COLUMN())),OFFSET($BN$2,0,0,ROW()-1,60),ROW()-1,FALSE))</f>
        <v>27.758274780000001</v>
      </c>
      <c r="AP654">
        <f ca="1">IF(AND(ISNUMBER($AP$1311),$B$677=1),$AP$1311,HLOOKUP(INDIRECT(ADDRESS(2,COLUMN())),OFFSET($BN$2,0,0,ROW()-1,60),ROW()-1,FALSE))</f>
        <v>17.619302439999998</v>
      </c>
      <c r="AQ654">
        <f ca="1">IF(AND(ISNUMBER($AQ$1311),$B$677=1),$AQ$1311,HLOOKUP(INDIRECT(ADDRESS(2,COLUMN())),OFFSET($BN$2,0,0,ROW()-1,60),ROW()-1,FALSE))</f>
        <v>7.8034464479999999</v>
      </c>
      <c r="AR654">
        <f ca="1">IF(AND(ISNUMBER($AR$1311),$B$677=1),$AR$1311,HLOOKUP(INDIRECT(ADDRESS(2,COLUMN())),OFFSET($BN$2,0,0,ROW()-1,60),ROW()-1,FALSE))</f>
        <v>-9.3631882869999998</v>
      </c>
      <c r="AS654">
        <f ca="1">IF(AND(ISNUMBER($AS$1311),$B$677=1),$AS$1311,HLOOKUP(INDIRECT(ADDRESS(2,COLUMN())),OFFSET($BN$2,0,0,ROW()-1,60),ROW()-1,FALSE))</f>
        <v>-16.221981370000002</v>
      </c>
      <c r="AT654">
        <f ca="1">IF(AND(ISNUMBER($AT$1311),$B$677=1),$AT$1311,HLOOKUP(INDIRECT(ADDRESS(2,COLUMN())),OFFSET($BN$2,0,0,ROW()-1,60),ROW()-1,FALSE))</f>
        <v>-19.161011609999999</v>
      </c>
      <c r="AU654">
        <f ca="1">IF(AND(ISNUMBER($AU$1311),$B$677=1),$AU$1311,HLOOKUP(INDIRECT(ADDRESS(2,COLUMN())),OFFSET($BN$2,0,0,ROW()-1,60),ROW()-1,FALSE))</f>
        <v>-25.77199409</v>
      </c>
      <c r="AV654">
        <f ca="1">IF(AND(ISNUMBER($AV$1311),$B$677=1),$AV$1311,HLOOKUP(INDIRECT(ADDRESS(2,COLUMN())),OFFSET($BN$2,0,0,ROW()-1,60),ROW()-1,FALSE))</f>
        <v>-3.3009314769999998</v>
      </c>
      <c r="AW654">
        <f ca="1">IF(AND(ISNUMBER($AW$1311),$B$677=1),$AW$1311,HLOOKUP(INDIRECT(ADDRESS(2,COLUMN())),OFFSET($BN$2,0,0,ROW()-1,60),ROW()-1,FALSE))</f>
        <v>-2.7832429950000002</v>
      </c>
      <c r="AX654">
        <f ca="1">IF(AND(ISNUMBER($AX$1311),$B$677=1),$AX$1311,HLOOKUP(INDIRECT(ADDRESS(2,COLUMN())),OFFSET($BN$2,0,0,ROW()-1,60),ROW()-1,FALSE))</f>
        <v>-1.5687769359999999</v>
      </c>
      <c r="AY654">
        <f ca="1">IF(AND(ISNUMBER($AY$1311),$B$677=1),$AY$1311,HLOOKUP(INDIRECT(ADDRESS(2,COLUMN())),OFFSET($BN$2,0,0,ROW()-1,60),ROW()-1,FALSE))</f>
        <v>0.92523696600000005</v>
      </c>
      <c r="AZ654">
        <f ca="1">IF(AND(ISNUMBER($AZ$1311),$B$677=1),$AZ$1311,HLOOKUP(INDIRECT(ADDRESS(2,COLUMN())),OFFSET($BN$2,0,0,ROW()-1,60),ROW()-1,FALSE))</f>
        <v>0.94298101999999995</v>
      </c>
      <c r="BA654">
        <f ca="1">IF(AND(ISNUMBER($BA$1311),$B$677=1),$BA$1311,HLOOKUP(INDIRECT(ADDRESS(2,COLUMN())),OFFSET($BN$2,0,0,ROW()-1,60),ROW()-1,FALSE))</f>
        <v>1.59224772</v>
      </c>
      <c r="BB654">
        <f ca="1">IF(AND(ISNUMBER($BB$1311),$B$677=1),$BB$1311,HLOOKUP(INDIRECT(ADDRESS(2,COLUMN())),OFFSET($BN$2,0,0,ROW()-1,60),ROW()-1,FALSE))</f>
        <v>1.7542908189999999</v>
      </c>
      <c r="BC654">
        <f ca="1">IF(AND(ISNUMBER($BC$1311),$B$677=1),$BC$1311,HLOOKUP(INDIRECT(ADDRESS(2,COLUMN())),OFFSET($BN$2,0,0,ROW()-1,60),ROW()-1,FALSE))</f>
        <v>3.3012774189999998</v>
      </c>
      <c r="BD654">
        <f ca="1">IF(AND(ISNUMBER($BD$1311),$B$677=1),$BD$1311,HLOOKUP(INDIRECT(ADDRESS(2,COLUMN())),OFFSET($BN$2,0,0,ROW()-1,60),ROW()-1,FALSE))</f>
        <v>3.6446646189999998</v>
      </c>
      <c r="BE654">
        <f ca="1">IF(AND(ISNUMBER($BE$1311),$B$677=1),$BE$1311,HLOOKUP(INDIRECT(ADDRESS(2,COLUMN())),OFFSET($BN$2,0,0,ROW()-1,60),ROW()-1,FALSE))</f>
        <v>5.6978452879999999</v>
      </c>
      <c r="BF654">
        <f ca="1">IF(AND(ISNUMBER($BF$1311),$B$677=1),$BF$1311,HLOOKUP(INDIRECT(ADDRESS(2,COLUMN())),OFFSET($BN$2,0,0,ROW()-1,60),ROW()-1,FALSE))</f>
        <v>5.3323872259999998</v>
      </c>
      <c r="BG654">
        <f ca="1">IF(AND(ISNUMBER($BG$1311),$B$677=1),$BG$1311,HLOOKUP(INDIRECT(ADDRESS(2,COLUMN())),OFFSET($BN$2,0,0,ROW()-1,60),ROW()-1,FALSE))</f>
        <v>4.184336139</v>
      </c>
      <c r="BH654">
        <f ca="1">IF(AND(ISNUMBER($BH$1311),$B$677=1),$BH$1311,HLOOKUP(INDIRECT(ADDRESS(2,COLUMN())),OFFSET($BN$2,0,0,ROW()-1,60),ROW()-1,FALSE))</f>
        <v>5.4861578509999998</v>
      </c>
      <c r="BI654">
        <f ca="1">IF(AND(ISNUMBER($BI$1311),$B$677=1),$BI$1311,HLOOKUP(INDIRECT(ADDRESS(2,COLUMN())),OFFSET($BN$2,0,0,ROW()-1,60),ROW()-1,FALSE))</f>
        <v>8.0092287990000006</v>
      </c>
      <c r="BJ654">
        <f ca="1">IF(AND(ISNUMBER($BJ$1311),$B$677=1),$BJ$1311,HLOOKUP(INDIRECT(ADDRESS(2,COLUMN())),OFFSET($BN$2,0,0,ROW()-1,60),ROW()-1,FALSE))</f>
        <v>7.9565938259999998</v>
      </c>
      <c r="BK654">
        <f ca="1">IF(AND(ISNUMBER($BK$1311),$B$677=1),$BK$1311,HLOOKUP(INDIRECT(ADDRESS(2,COLUMN())),OFFSET($BN$2,0,0,ROW()-1,60),ROW()-1,FALSE))</f>
        <v>8.9620821900000003</v>
      </c>
      <c r="BL654">
        <f ca="1">IF(AND(ISNUMBER($BL$1311),$B$677=1),$BL$1311,HLOOKUP(INDIRECT(ADDRESS(2,COLUMN())),OFFSET($BN$2,0,0,ROW()-1,60),ROW()-1,FALSE))</f>
        <v>9.087659682</v>
      </c>
      <c r="BM654">
        <f ca="1">IF(AND(ISNUMBER($BM$1311),$B$677=1),$BM$1311,HLOOKUP(INDIRECT(ADDRESS(2,COLUMN())),OFFSET($BN$2,0,0,ROW()-1,60),ROW()-1,FALSE))</f>
        <v>6.5619480780000004</v>
      </c>
      <c r="BN654">
        <f>5.733621727</f>
        <v>5.7336217270000001</v>
      </c>
      <c r="BO654">
        <f>5.950937011</f>
        <v>5.9509370109999997</v>
      </c>
      <c r="BP654">
        <f>6.053513221</f>
        <v>6.0535132210000002</v>
      </c>
      <c r="BQ654">
        <f>8.788971925</f>
        <v>8.7889719250000002</v>
      </c>
      <c r="BR654">
        <f>8.505922602</f>
        <v>8.5059226020000001</v>
      </c>
      <c r="BS654">
        <f>6.290285462</f>
        <v>6.2902854619999999</v>
      </c>
      <c r="BT654">
        <f>7.727048427</f>
        <v>7.7270484269999997</v>
      </c>
      <c r="BU654">
        <f>4.460017654</f>
        <v>4.4600176539999996</v>
      </c>
      <c r="BV654">
        <f>7.678718887</f>
        <v>7.6787188869999996</v>
      </c>
      <c r="BW654">
        <f>9.667104626</f>
        <v>9.6671046260000004</v>
      </c>
      <c r="BX654">
        <f>12.87593347</f>
        <v>12.87593347</v>
      </c>
      <c r="BY654">
        <f>11.54250265</f>
        <v>11.542502649999999</v>
      </c>
      <c r="BZ654">
        <f>8.896165519</f>
        <v>8.8961655190000002</v>
      </c>
      <c r="CA654">
        <f>5.689130743</f>
        <v>5.6891307429999998</v>
      </c>
      <c r="CB654">
        <f>3.173776949</f>
        <v>3.1737769490000001</v>
      </c>
      <c r="CC654">
        <f>5.325719669</f>
        <v>5.3257196689999997</v>
      </c>
      <c r="CD654">
        <f>3.075957729</f>
        <v>3.0759577290000002</v>
      </c>
      <c r="CE654">
        <f>1.270533995</f>
        <v>1.2705339950000001</v>
      </c>
      <c r="CF654">
        <f>2.678596642</f>
        <v>2.678596642</v>
      </c>
      <c r="CG654">
        <f>4.37652313</f>
        <v>4.3765231299999998</v>
      </c>
      <c r="CH654">
        <f>7.818657987</f>
        <v>7.8186579869999999</v>
      </c>
      <c r="CI654">
        <f>8.241431835</f>
        <v>8.2414318350000002</v>
      </c>
      <c r="CJ654">
        <f>5.758408931</f>
        <v>5.758408931</v>
      </c>
      <c r="CK654">
        <f>1.427151692</f>
        <v>1.427151692</v>
      </c>
      <c r="CL654">
        <f>2.206065768</f>
        <v>2.2060657680000002</v>
      </c>
      <c r="CM654">
        <f>0.347174729</f>
        <v>0.34717472900000002</v>
      </c>
      <c r="CN654">
        <f>5.543969342</f>
        <v>5.5439693419999996</v>
      </c>
      <c r="CO654">
        <f>12.71307098</f>
        <v>12.713070979999999</v>
      </c>
      <c r="CP654">
        <f>9.692473781</f>
        <v>9.6924737810000003</v>
      </c>
      <c r="CQ654">
        <f>14.20709847</f>
        <v>14.20709847</v>
      </c>
      <c r="CR654">
        <f>5.827619621</f>
        <v>5.8276196210000002</v>
      </c>
      <c r="CS654">
        <f>2.841638526</f>
        <v>2.8416385260000001</v>
      </c>
      <c r="CT654">
        <f>9.217085736</f>
        <v>9.2170857359999996</v>
      </c>
      <c r="CU654">
        <f>9.311246982</f>
        <v>9.3112469820000001</v>
      </c>
      <c r="CV654">
        <f>23.51088311</f>
        <v>23.510883110000002</v>
      </c>
      <c r="CW654">
        <f>27.75827478</f>
        <v>27.758274780000001</v>
      </c>
      <c r="CX654">
        <f>17.61930244</f>
        <v>17.619302439999998</v>
      </c>
      <c r="CY654">
        <f>7.803446448</f>
        <v>7.8034464479999999</v>
      </c>
      <c r="CZ654">
        <f>-9.363188287</f>
        <v>-9.3631882869999998</v>
      </c>
      <c r="DA654">
        <f>-16.22198137</f>
        <v>-16.221981370000002</v>
      </c>
      <c r="DB654">
        <f>-19.16101161</f>
        <v>-19.161011609999999</v>
      </c>
      <c r="DC654">
        <f>-25.77199409</f>
        <v>-25.77199409</v>
      </c>
      <c r="DD654">
        <f>-3.300931477</f>
        <v>-3.3009314769999998</v>
      </c>
      <c r="DE654">
        <f>-2.783242995</f>
        <v>-2.7832429950000002</v>
      </c>
      <c r="DF654">
        <f>-1.568776936</f>
        <v>-1.5687769359999999</v>
      </c>
      <c r="DG654">
        <f>0.925236966</f>
        <v>0.92523696600000005</v>
      </c>
      <c r="DH654">
        <f>0.94298102</f>
        <v>0.94298101999999995</v>
      </c>
      <c r="DI654">
        <f>1.59224772</f>
        <v>1.59224772</v>
      </c>
      <c r="DJ654">
        <f>1.754290819</f>
        <v>1.7542908189999999</v>
      </c>
      <c r="DK654">
        <f>3.301277419</f>
        <v>3.3012774189999998</v>
      </c>
      <c r="DL654">
        <f>3.644664619</f>
        <v>3.6446646189999998</v>
      </c>
      <c r="DM654">
        <f>5.697845288</f>
        <v>5.6978452879999999</v>
      </c>
      <c r="DN654">
        <f>5.332387226</f>
        <v>5.3323872259999998</v>
      </c>
      <c r="DO654">
        <f>4.184336139</f>
        <v>4.184336139</v>
      </c>
      <c r="DP654">
        <f>5.486157851</f>
        <v>5.4861578509999998</v>
      </c>
      <c r="DQ654">
        <f>8.009228799</f>
        <v>8.0092287990000006</v>
      </c>
      <c r="DR654">
        <f>7.956593826</f>
        <v>7.9565938259999998</v>
      </c>
      <c r="DS654">
        <f>8.96208219</f>
        <v>8.9620821900000003</v>
      </c>
      <c r="DT654">
        <f>9.087659682</f>
        <v>9.087659682</v>
      </c>
      <c r="DU654">
        <f>6.561948078</f>
        <v>6.5619480780000004</v>
      </c>
    </row>
    <row r="655" spans="1:125" x14ac:dyDescent="0.25">
      <c r="A655" t="str">
        <f>"    Tata Motors Ltd"</f>
        <v xml:space="preserve">    Tata Motors Ltd</v>
      </c>
      <c r="B655" t="str">
        <f>"TTMT IN Equity"</f>
        <v>TTMT IN Equity</v>
      </c>
      <c r="C655" t="str">
        <f t="shared" si="45"/>
        <v>RX539</v>
      </c>
      <c r="D655" t="str">
        <f t="shared" si="46"/>
        <v>T12_FCF_YIELD</v>
      </c>
      <c r="E655" t="str">
        <f t="shared" si="47"/>
        <v>Dynamic</v>
      </c>
      <c r="F655" t="str">
        <f ca="1">IF(AND(ISNUMBER($F$1312),$B$677=1),$F$1312,HLOOKUP(INDIRECT(ADDRESS(2,COLUMN())),OFFSET($BN$2,0,0,ROW()-1,60),ROW()-1,FALSE))</f>
        <v/>
      </c>
      <c r="G655" t="str">
        <f ca="1">IF(AND(ISNUMBER($G$1312),$B$677=1),$G$1312,HLOOKUP(INDIRECT(ADDRESS(2,COLUMN())),OFFSET($BN$2,0,0,ROW()-1,60),ROW()-1,FALSE))</f>
        <v/>
      </c>
      <c r="H655" t="str">
        <f ca="1">IF(AND(ISNUMBER($H$1312),$B$677=1),$H$1312,HLOOKUP(INDIRECT(ADDRESS(2,COLUMN())),OFFSET($BN$2,0,0,ROW()-1,60),ROW()-1,FALSE))</f>
        <v/>
      </c>
      <c r="I655" t="str">
        <f ca="1">IF(AND(ISNUMBER($I$1312),$B$677=1),$I$1312,HLOOKUP(INDIRECT(ADDRESS(2,COLUMN())),OFFSET($BN$2,0,0,ROW()-1,60),ROW()-1,FALSE))</f>
        <v/>
      </c>
      <c r="J655" t="str">
        <f ca="1">IF(AND(ISNUMBER($J$1312),$B$677=1),$J$1312,HLOOKUP(INDIRECT(ADDRESS(2,COLUMN())),OFFSET($BN$2,0,0,ROW()-1,60),ROW()-1,FALSE))</f>
        <v/>
      </c>
      <c r="K655" t="str">
        <f ca="1">IF(AND(ISNUMBER($K$1312),$B$677=1),$K$1312,HLOOKUP(INDIRECT(ADDRESS(2,COLUMN())),OFFSET($BN$2,0,0,ROW()-1,60),ROW()-1,FALSE))</f>
        <v/>
      </c>
      <c r="L655" t="str">
        <f ca="1">IF(AND(ISNUMBER($L$1312),$B$677=1),$L$1312,HLOOKUP(INDIRECT(ADDRESS(2,COLUMN())),OFFSET($BN$2,0,0,ROW()-1,60),ROW()-1,FALSE))</f>
        <v/>
      </c>
      <c r="M655" t="str">
        <f ca="1">IF(AND(ISNUMBER($M$1312),$B$677=1),$M$1312,HLOOKUP(INDIRECT(ADDRESS(2,COLUMN())),OFFSET($BN$2,0,0,ROW()-1,60),ROW()-1,FALSE))</f>
        <v/>
      </c>
      <c r="N655" t="str">
        <f ca="1">IF(AND(ISNUMBER($N$1312),$B$677=1),$N$1312,HLOOKUP(INDIRECT(ADDRESS(2,COLUMN())),OFFSET($BN$2,0,0,ROW()-1,60),ROW()-1,FALSE))</f>
        <v/>
      </c>
      <c r="O655" t="str">
        <f ca="1">IF(AND(ISNUMBER($O$1312),$B$677=1),$O$1312,HLOOKUP(INDIRECT(ADDRESS(2,COLUMN())),OFFSET($BN$2,0,0,ROW()-1,60),ROW()-1,FALSE))</f>
        <v/>
      </c>
      <c r="P655" t="str">
        <f ca="1">IF(AND(ISNUMBER($P$1312),$B$677=1),$P$1312,HLOOKUP(INDIRECT(ADDRESS(2,COLUMN())),OFFSET($BN$2,0,0,ROW()-1,60),ROW()-1,FALSE))</f>
        <v/>
      </c>
      <c r="Q655" t="str">
        <f ca="1">IF(AND(ISNUMBER($Q$1312),$B$677=1),$Q$1312,HLOOKUP(INDIRECT(ADDRESS(2,COLUMN())),OFFSET($BN$2,0,0,ROW()-1,60),ROW()-1,FALSE))</f>
        <v/>
      </c>
      <c r="R655" t="str">
        <f ca="1">IF(AND(ISNUMBER($R$1312),$B$677=1),$R$1312,HLOOKUP(INDIRECT(ADDRESS(2,COLUMN())),OFFSET($BN$2,0,0,ROW()-1,60),ROW()-1,FALSE))</f>
        <v/>
      </c>
      <c r="S655" t="str">
        <f ca="1">IF(AND(ISNUMBER($S$1312),$B$677=1),$S$1312,HLOOKUP(INDIRECT(ADDRESS(2,COLUMN())),OFFSET($BN$2,0,0,ROW()-1,60),ROW()-1,FALSE))</f>
        <v/>
      </c>
      <c r="T655" t="str">
        <f ca="1">IF(AND(ISNUMBER($T$1312),$B$677=1),$T$1312,HLOOKUP(INDIRECT(ADDRESS(2,COLUMN())),OFFSET($BN$2,0,0,ROW()-1,60),ROW()-1,FALSE))</f>
        <v/>
      </c>
      <c r="U655" t="str">
        <f ca="1">IF(AND(ISNUMBER($U$1312),$B$677=1),$U$1312,HLOOKUP(INDIRECT(ADDRESS(2,COLUMN())),OFFSET($BN$2,0,0,ROW()-1,60),ROW()-1,FALSE))</f>
        <v/>
      </c>
      <c r="V655" t="str">
        <f ca="1">IF(AND(ISNUMBER($V$1312),$B$677=1),$V$1312,HLOOKUP(INDIRECT(ADDRESS(2,COLUMN())),OFFSET($BN$2,0,0,ROW()-1,60),ROW()-1,FALSE))</f>
        <v/>
      </c>
      <c r="W655" t="str">
        <f ca="1">IF(AND(ISNUMBER($W$1312),$B$677=1),$W$1312,HLOOKUP(INDIRECT(ADDRESS(2,COLUMN())),OFFSET($BN$2,0,0,ROW()-1,60),ROW()-1,FALSE))</f>
        <v/>
      </c>
      <c r="X655" t="str">
        <f ca="1">IF(AND(ISNUMBER($X$1312),$B$677=1),$X$1312,HLOOKUP(INDIRECT(ADDRESS(2,COLUMN())),OFFSET($BN$2,0,0,ROW()-1,60),ROW()-1,FALSE))</f>
        <v/>
      </c>
      <c r="Y655" t="str">
        <f ca="1">IF(AND(ISNUMBER($Y$1312),$B$677=1),$Y$1312,HLOOKUP(INDIRECT(ADDRESS(2,COLUMN())),OFFSET($BN$2,0,0,ROW()-1,60),ROW()-1,FALSE))</f>
        <v/>
      </c>
      <c r="Z655" t="str">
        <f ca="1">IF(AND(ISNUMBER($Z$1312),$B$677=1),$Z$1312,HLOOKUP(INDIRECT(ADDRESS(2,COLUMN())),OFFSET($BN$2,0,0,ROW()-1,60),ROW()-1,FALSE))</f>
        <v/>
      </c>
      <c r="AA655" t="str">
        <f ca="1">IF(AND(ISNUMBER($AA$1312),$B$677=1),$AA$1312,HLOOKUP(INDIRECT(ADDRESS(2,COLUMN())),OFFSET($BN$2,0,0,ROW()-1,60),ROW()-1,FALSE))</f>
        <v/>
      </c>
      <c r="AB655" t="str">
        <f ca="1">IF(AND(ISNUMBER($AB$1312),$B$677=1),$AB$1312,HLOOKUP(INDIRECT(ADDRESS(2,COLUMN())),OFFSET($BN$2,0,0,ROW()-1,60),ROW()-1,FALSE))</f>
        <v/>
      </c>
      <c r="AC655" t="str">
        <f ca="1">IF(AND(ISNUMBER($AC$1312),$B$677=1),$AC$1312,HLOOKUP(INDIRECT(ADDRESS(2,COLUMN())),OFFSET($BN$2,0,0,ROW()-1,60),ROW()-1,FALSE))</f>
        <v/>
      </c>
      <c r="AD655" t="str">
        <f ca="1">IF(AND(ISNUMBER($AD$1312),$B$677=1),$AD$1312,HLOOKUP(INDIRECT(ADDRESS(2,COLUMN())),OFFSET($BN$2,0,0,ROW()-1,60),ROW()-1,FALSE))</f>
        <v/>
      </c>
      <c r="AE655" t="str">
        <f ca="1">IF(AND(ISNUMBER($AE$1312),$B$677=1),$AE$1312,HLOOKUP(INDIRECT(ADDRESS(2,COLUMN())),OFFSET($BN$2,0,0,ROW()-1,60),ROW()-1,FALSE))</f>
        <v/>
      </c>
      <c r="AF655" t="str">
        <f ca="1">IF(AND(ISNUMBER($AF$1312),$B$677=1),$AF$1312,HLOOKUP(INDIRECT(ADDRESS(2,COLUMN())),OFFSET($BN$2,0,0,ROW()-1,60),ROW()-1,FALSE))</f>
        <v/>
      </c>
      <c r="AG655" t="str">
        <f ca="1">IF(AND(ISNUMBER($AG$1312),$B$677=1),$AG$1312,HLOOKUP(INDIRECT(ADDRESS(2,COLUMN())),OFFSET($BN$2,0,0,ROW()-1,60),ROW()-1,FALSE))</f>
        <v/>
      </c>
      <c r="AH655" t="str">
        <f ca="1">IF(AND(ISNUMBER($AH$1312),$B$677=1),$AH$1312,HLOOKUP(INDIRECT(ADDRESS(2,COLUMN())),OFFSET($BN$2,0,0,ROW()-1,60),ROW()-1,FALSE))</f>
        <v/>
      </c>
      <c r="AI655" t="str">
        <f ca="1">IF(AND(ISNUMBER($AI$1312),$B$677=1),$AI$1312,HLOOKUP(INDIRECT(ADDRESS(2,COLUMN())),OFFSET($BN$2,0,0,ROW()-1,60),ROW()-1,FALSE))</f>
        <v/>
      </c>
      <c r="AJ655" t="str">
        <f ca="1">IF(AND(ISNUMBER($AJ$1312),$B$677=1),$AJ$1312,HLOOKUP(INDIRECT(ADDRESS(2,COLUMN())),OFFSET($BN$2,0,0,ROW()-1,60),ROW()-1,FALSE))</f>
        <v/>
      </c>
      <c r="AK655" t="str">
        <f ca="1">IF(AND(ISNUMBER($AK$1312),$B$677=1),$AK$1312,HLOOKUP(INDIRECT(ADDRESS(2,COLUMN())),OFFSET($BN$2,0,0,ROW()-1,60),ROW()-1,FALSE))</f>
        <v/>
      </c>
      <c r="AL655" t="str">
        <f ca="1">IF(AND(ISNUMBER($AL$1312),$B$677=1),$AL$1312,HLOOKUP(INDIRECT(ADDRESS(2,COLUMN())),OFFSET($BN$2,0,0,ROW()-1,60),ROW()-1,FALSE))</f>
        <v/>
      </c>
      <c r="AM655" t="str">
        <f ca="1">IF(AND(ISNUMBER($AM$1312),$B$677=1),$AM$1312,HLOOKUP(INDIRECT(ADDRESS(2,COLUMN())),OFFSET($BN$2,0,0,ROW()-1,60),ROW()-1,FALSE))</f>
        <v/>
      </c>
      <c r="AN655" t="str">
        <f ca="1">IF(AND(ISNUMBER($AN$1312),$B$677=1),$AN$1312,HLOOKUP(INDIRECT(ADDRESS(2,COLUMN())),OFFSET($BN$2,0,0,ROW()-1,60),ROW()-1,FALSE))</f>
        <v/>
      </c>
      <c r="AO655" t="str">
        <f ca="1">IF(AND(ISNUMBER($AO$1312),$B$677=1),$AO$1312,HLOOKUP(INDIRECT(ADDRESS(2,COLUMN())),OFFSET($BN$2,0,0,ROW()-1,60),ROW()-1,FALSE))</f>
        <v/>
      </c>
      <c r="AP655" t="str">
        <f ca="1">IF(AND(ISNUMBER($AP$1312),$B$677=1),$AP$1312,HLOOKUP(INDIRECT(ADDRESS(2,COLUMN())),OFFSET($BN$2,0,0,ROW()-1,60),ROW()-1,FALSE))</f>
        <v/>
      </c>
      <c r="AQ655" t="str">
        <f ca="1">IF(AND(ISNUMBER($AQ$1312),$B$677=1),$AQ$1312,HLOOKUP(INDIRECT(ADDRESS(2,COLUMN())),OFFSET($BN$2,0,0,ROW()-1,60),ROW()-1,FALSE))</f>
        <v/>
      </c>
      <c r="AR655" t="str">
        <f ca="1">IF(AND(ISNUMBER($AR$1312),$B$677=1),$AR$1312,HLOOKUP(INDIRECT(ADDRESS(2,COLUMN())),OFFSET($BN$2,0,0,ROW()-1,60),ROW()-1,FALSE))</f>
        <v/>
      </c>
      <c r="AS655" t="str">
        <f ca="1">IF(AND(ISNUMBER($AS$1312),$B$677=1),$AS$1312,HLOOKUP(INDIRECT(ADDRESS(2,COLUMN())),OFFSET($BN$2,0,0,ROW()-1,60),ROW()-1,FALSE))</f>
        <v/>
      </c>
      <c r="AT655" t="str">
        <f ca="1">IF(AND(ISNUMBER($AT$1312),$B$677=1),$AT$1312,HLOOKUP(INDIRECT(ADDRESS(2,COLUMN())),OFFSET($BN$2,0,0,ROW()-1,60),ROW()-1,FALSE))</f>
        <v/>
      </c>
      <c r="AU655" t="str">
        <f ca="1">IF(AND(ISNUMBER($AU$1312),$B$677=1),$AU$1312,HLOOKUP(INDIRECT(ADDRESS(2,COLUMN())),OFFSET($BN$2,0,0,ROW()-1,60),ROW()-1,FALSE))</f>
        <v/>
      </c>
      <c r="AV655" t="str">
        <f ca="1">IF(AND(ISNUMBER($AV$1312),$B$677=1),$AV$1312,HLOOKUP(INDIRECT(ADDRESS(2,COLUMN())),OFFSET($BN$2,0,0,ROW()-1,60),ROW()-1,FALSE))</f>
        <v/>
      </c>
      <c r="AW655" t="str">
        <f ca="1">IF(AND(ISNUMBER($AW$1312),$B$677=1),$AW$1312,HLOOKUP(INDIRECT(ADDRESS(2,COLUMN())),OFFSET($BN$2,0,0,ROW()-1,60),ROW()-1,FALSE))</f>
        <v/>
      </c>
      <c r="AX655" t="str">
        <f ca="1">IF(AND(ISNUMBER($AX$1312),$B$677=1),$AX$1312,HLOOKUP(INDIRECT(ADDRESS(2,COLUMN())),OFFSET($BN$2,0,0,ROW()-1,60),ROW()-1,FALSE))</f>
        <v/>
      </c>
      <c r="AY655" t="str">
        <f ca="1">IF(AND(ISNUMBER($AY$1312),$B$677=1),$AY$1312,HLOOKUP(INDIRECT(ADDRESS(2,COLUMN())),OFFSET($BN$2,0,0,ROW()-1,60),ROW()-1,FALSE))</f>
        <v/>
      </c>
      <c r="AZ655" t="str">
        <f ca="1">IF(AND(ISNUMBER($AZ$1312),$B$677=1),$AZ$1312,HLOOKUP(INDIRECT(ADDRESS(2,COLUMN())),OFFSET($BN$2,0,0,ROW()-1,60),ROW()-1,FALSE))</f>
        <v/>
      </c>
      <c r="BA655" t="str">
        <f ca="1">IF(AND(ISNUMBER($BA$1312),$B$677=1),$BA$1312,HLOOKUP(INDIRECT(ADDRESS(2,COLUMN())),OFFSET($BN$2,0,0,ROW()-1,60),ROW()-1,FALSE))</f>
        <v/>
      </c>
      <c r="BB655" t="str">
        <f ca="1">IF(AND(ISNUMBER($BB$1312),$B$677=1),$BB$1312,HLOOKUP(INDIRECT(ADDRESS(2,COLUMN())),OFFSET($BN$2,0,0,ROW()-1,60),ROW()-1,FALSE))</f>
        <v/>
      </c>
      <c r="BC655" t="str">
        <f ca="1">IF(AND(ISNUMBER($BC$1312),$B$677=1),$BC$1312,HLOOKUP(INDIRECT(ADDRESS(2,COLUMN())),OFFSET($BN$2,0,0,ROW()-1,60),ROW()-1,FALSE))</f>
        <v/>
      </c>
      <c r="BD655" t="str">
        <f ca="1">IF(AND(ISNUMBER($BD$1312),$B$677=1),$BD$1312,HLOOKUP(INDIRECT(ADDRESS(2,COLUMN())),OFFSET($BN$2,0,0,ROW()-1,60),ROW()-1,FALSE))</f>
        <v/>
      </c>
      <c r="BE655" t="str">
        <f ca="1">IF(AND(ISNUMBER($BE$1312),$B$677=1),$BE$1312,HLOOKUP(INDIRECT(ADDRESS(2,COLUMN())),OFFSET($BN$2,0,0,ROW()-1,60),ROW()-1,FALSE))</f>
        <v/>
      </c>
      <c r="BF655" t="str">
        <f ca="1">IF(AND(ISNUMBER($BF$1312),$B$677=1),$BF$1312,HLOOKUP(INDIRECT(ADDRESS(2,COLUMN())),OFFSET($BN$2,0,0,ROW()-1,60),ROW()-1,FALSE))</f>
        <v/>
      </c>
      <c r="BG655" t="str">
        <f ca="1">IF(AND(ISNUMBER($BG$1312),$B$677=1),$BG$1312,HLOOKUP(INDIRECT(ADDRESS(2,COLUMN())),OFFSET($BN$2,0,0,ROW()-1,60),ROW()-1,FALSE))</f>
        <v/>
      </c>
      <c r="BH655" t="str">
        <f ca="1">IF(AND(ISNUMBER($BH$1312),$B$677=1),$BH$1312,HLOOKUP(INDIRECT(ADDRESS(2,COLUMN())),OFFSET($BN$2,0,0,ROW()-1,60),ROW()-1,FALSE))</f>
        <v/>
      </c>
      <c r="BI655" t="str">
        <f ca="1">IF(AND(ISNUMBER($BI$1312),$B$677=1),$BI$1312,HLOOKUP(INDIRECT(ADDRESS(2,COLUMN())),OFFSET($BN$2,0,0,ROW()-1,60),ROW()-1,FALSE))</f>
        <v/>
      </c>
      <c r="BJ655" t="str">
        <f ca="1">IF(AND(ISNUMBER($BJ$1312),$B$677=1),$BJ$1312,HLOOKUP(INDIRECT(ADDRESS(2,COLUMN())),OFFSET($BN$2,0,0,ROW()-1,60),ROW()-1,FALSE))</f>
        <v/>
      </c>
      <c r="BK655" t="str">
        <f ca="1">IF(AND(ISNUMBER($BK$1312),$B$677=1),$BK$1312,HLOOKUP(INDIRECT(ADDRESS(2,COLUMN())),OFFSET($BN$2,0,0,ROW()-1,60),ROW()-1,FALSE))</f>
        <v/>
      </c>
      <c r="BL655" t="str">
        <f ca="1">IF(AND(ISNUMBER($BL$1312),$B$677=1),$BL$1312,HLOOKUP(INDIRECT(ADDRESS(2,COLUMN())),OFFSET($BN$2,0,0,ROW()-1,60),ROW()-1,FALSE))</f>
        <v/>
      </c>
      <c r="BM655" t="str">
        <f ca="1">IF(AND(ISNUMBER($BM$1312),$B$677=1),$BM$1312,HLOOKUP(INDIRECT(ADDRESS(2,COLUMN())),OFFSET($BN$2,0,0,ROW()-1,60),ROW()-1,FALSE))</f>
        <v/>
      </c>
      <c r="BN655" t="str">
        <f>""</f>
        <v/>
      </c>
      <c r="BO655" t="str">
        <f>""</f>
        <v/>
      </c>
      <c r="BP655" t="str">
        <f>""</f>
        <v/>
      </c>
      <c r="BQ655" t="str">
        <f>""</f>
        <v/>
      </c>
      <c r="BR655" t="str">
        <f>""</f>
        <v/>
      </c>
      <c r="BS655" t="str">
        <f>""</f>
        <v/>
      </c>
      <c r="BT655" t="str">
        <f>""</f>
        <v/>
      </c>
      <c r="BU655" t="str">
        <f>""</f>
        <v/>
      </c>
      <c r="BV655" t="str">
        <f>""</f>
        <v/>
      </c>
      <c r="BW655" t="str">
        <f>""</f>
        <v/>
      </c>
      <c r="BX655" t="str">
        <f>""</f>
        <v/>
      </c>
      <c r="BY655" t="str">
        <f>""</f>
        <v/>
      </c>
      <c r="BZ655" t="str">
        <f>""</f>
        <v/>
      </c>
      <c r="CA655" t="str">
        <f>""</f>
        <v/>
      </c>
      <c r="CB655" t="str">
        <f>""</f>
        <v/>
      </c>
      <c r="CC655" t="str">
        <f>""</f>
        <v/>
      </c>
      <c r="CD655" t="str">
        <f>""</f>
        <v/>
      </c>
      <c r="CE655" t="str">
        <f>""</f>
        <v/>
      </c>
      <c r="CF655" t="str">
        <f>""</f>
        <v/>
      </c>
      <c r="CG655" t="str">
        <f>""</f>
        <v/>
      </c>
      <c r="CH655" t="str">
        <f>""</f>
        <v/>
      </c>
      <c r="CI655" t="str">
        <f>""</f>
        <v/>
      </c>
      <c r="CJ655" t="str">
        <f>""</f>
        <v/>
      </c>
      <c r="CK655" t="str">
        <f>""</f>
        <v/>
      </c>
      <c r="CL655" t="str">
        <f>""</f>
        <v/>
      </c>
      <c r="CM655" t="str">
        <f>""</f>
        <v/>
      </c>
      <c r="CN655" t="str">
        <f>""</f>
        <v/>
      </c>
      <c r="CO655" t="str">
        <f>""</f>
        <v/>
      </c>
      <c r="CP655" t="str">
        <f>""</f>
        <v/>
      </c>
      <c r="CQ655" t="str">
        <f>""</f>
        <v/>
      </c>
      <c r="CR655" t="str">
        <f>""</f>
        <v/>
      </c>
      <c r="CS655" t="str">
        <f>""</f>
        <v/>
      </c>
      <c r="CT655" t="str">
        <f>""</f>
        <v/>
      </c>
      <c r="CU655" t="str">
        <f>""</f>
        <v/>
      </c>
      <c r="CV655" t="str">
        <f>""</f>
        <v/>
      </c>
      <c r="CW655" t="str">
        <f>""</f>
        <v/>
      </c>
      <c r="CX655" t="str">
        <f>""</f>
        <v/>
      </c>
      <c r="CY655" t="str">
        <f>""</f>
        <v/>
      </c>
      <c r="CZ655" t="str">
        <f>""</f>
        <v/>
      </c>
      <c r="DA655" t="str">
        <f>""</f>
        <v/>
      </c>
      <c r="DB655" t="str">
        <f>""</f>
        <v/>
      </c>
      <c r="DC655" t="str">
        <f>""</f>
        <v/>
      </c>
      <c r="DD655" t="str">
        <f>""</f>
        <v/>
      </c>
      <c r="DE655" t="str">
        <f>""</f>
        <v/>
      </c>
      <c r="DF655" t="str">
        <f>""</f>
        <v/>
      </c>
      <c r="DG655" t="str">
        <f>""</f>
        <v/>
      </c>
      <c r="DH655" t="str">
        <f>""</f>
        <v/>
      </c>
      <c r="DI655" t="str">
        <f>""</f>
        <v/>
      </c>
      <c r="DJ655" t="str">
        <f>""</f>
        <v/>
      </c>
      <c r="DK655" t="str">
        <f>""</f>
        <v/>
      </c>
      <c r="DL655" t="str">
        <f>""</f>
        <v/>
      </c>
      <c r="DM655" t="str">
        <f>""</f>
        <v/>
      </c>
      <c r="DN655" t="str">
        <f>""</f>
        <v/>
      </c>
      <c r="DO655" t="str">
        <f>""</f>
        <v/>
      </c>
      <c r="DP655" t="str">
        <f>""</f>
        <v/>
      </c>
      <c r="DQ655" t="str">
        <f>""</f>
        <v/>
      </c>
      <c r="DR655" t="str">
        <f>""</f>
        <v/>
      </c>
      <c r="DS655" t="str">
        <f>""</f>
        <v/>
      </c>
      <c r="DT655" t="str">
        <f>""</f>
        <v/>
      </c>
      <c r="DU655" t="str">
        <f>""</f>
        <v/>
      </c>
    </row>
    <row r="656" spans="1:125" x14ac:dyDescent="0.25">
      <c r="A656" t="str">
        <f>"    Tesla Inc"</f>
        <v xml:space="preserve">    Tesla Inc</v>
      </c>
      <c r="B656" t="str">
        <f>"TSLA US Equity"</f>
        <v>TSLA US Equity</v>
      </c>
      <c r="C656" t="str">
        <f t="shared" si="45"/>
        <v>RX539</v>
      </c>
      <c r="D656" t="str">
        <f t="shared" si="46"/>
        <v>T12_FCF_YIELD</v>
      </c>
      <c r="E656" t="str">
        <f t="shared" si="47"/>
        <v>Dynamic</v>
      </c>
      <c r="F656">
        <f ca="1">IF(AND(ISNUMBER($F$1313),$B$677=1),$F$1313,HLOOKUP(INDIRECT(ADDRESS(2,COLUMN())),OFFSET($BN$2,0,0,ROW()-1,60),ROW()-1,FALSE))</f>
        <v>-5.7445980000000001E-3</v>
      </c>
      <c r="G656">
        <f ca="1">IF(AND(ISNUMBER($G$1313),$B$677=1),$G$1313,HLOOKUP(INDIRECT(ADDRESS(2,COLUMN())),OFFSET($BN$2,0,0,ROW()-1,60),ROW()-1,FALSE))</f>
        <v>-5.1126219999999998E-3</v>
      </c>
      <c r="H656">
        <f ca="1">IF(AND(ISNUMBER($H$1313),$B$677=1),$H$1313,HLOOKUP(INDIRECT(ADDRESS(2,COLUMN())),OFFSET($BN$2,0,0,ROW()-1,60),ROW()-1,FALSE))</f>
        <v>-2.6330663360000002</v>
      </c>
      <c r="I656">
        <f ca="1">IF(AND(ISNUMBER($I$1313),$B$677=1),$I$1313,HLOOKUP(INDIRECT(ADDRESS(2,COLUMN())),OFFSET($BN$2,0,0,ROW()-1,60),ROW()-1,FALSE))</f>
        <v>-5.8041693309999998</v>
      </c>
      <c r="J656">
        <f ca="1">IF(AND(ISNUMBER($J$1313),$B$677=1),$J$1313,HLOOKUP(INDIRECT(ADDRESS(2,COLUMN())),OFFSET($BN$2,0,0,ROW()-1,60),ROW()-1,FALSE))</f>
        <v>-8.6911360500000008</v>
      </c>
      <c r="K656">
        <f ca="1">IF(AND(ISNUMBER($K$1313),$B$677=1),$K$1313,HLOOKUP(INDIRECT(ADDRESS(2,COLUMN())),OFFSET($BN$2,0,0,ROW()-1,60),ROW()-1,FALSE))</f>
        <v>-6.6417416139999998</v>
      </c>
      <c r="L656">
        <f ca="1">IF(AND(ISNUMBER($L$1313),$B$677=1),$L$1313,HLOOKUP(INDIRECT(ADDRESS(2,COLUMN())),OFFSET($BN$2,0,0,ROW()-1,60),ROW()-1,FALSE))</f>
        <v>-7.3227590659999997</v>
      </c>
      <c r="M656">
        <f ca="1">IF(AND(ISNUMBER($M$1313),$B$677=1),$M$1313,HLOOKUP(INDIRECT(ADDRESS(2,COLUMN())),OFFSET($BN$2,0,0,ROW()-1,60),ROW()-1,FALSE))</f>
        <v>-4.3359295920000003</v>
      </c>
      <c r="N656">
        <f ca="1">IF(AND(ISNUMBER($N$1313),$B$677=1),$N$1313,HLOOKUP(INDIRECT(ADDRESS(2,COLUMN())),OFFSET($BN$2,0,0,ROW()-1,60),ROW()-1,FALSE))</f>
        <v>-3.4382145990000001</v>
      </c>
      <c r="O656">
        <f ca="1">IF(AND(ISNUMBER($O$1313),$B$677=1),$O$1313,HLOOKUP(INDIRECT(ADDRESS(2,COLUMN())),OFFSET($BN$2,0,0,ROW()-1,60),ROW()-1,FALSE))</f>
        <v>-4.0804961740000003</v>
      </c>
      <c r="P656">
        <f ca="1">IF(AND(ISNUMBER($P$1313),$B$677=1),$P$1313,HLOOKUP(INDIRECT(ADDRESS(2,COLUMN())),OFFSET($BN$2,0,0,ROW()-1,60),ROW()-1,FALSE))</f>
        <v>-2.8870990669999999</v>
      </c>
      <c r="Q656">
        <f ca="1">IF(AND(ISNUMBER($Q$1313),$B$677=1),$Q$1313,HLOOKUP(INDIRECT(ADDRESS(2,COLUMN())),OFFSET($BN$2,0,0,ROW()-1,60),ROW()-1,FALSE))</f>
        <v>-5.2701761200000004</v>
      </c>
      <c r="R656">
        <f ca="1">IF(AND(ISNUMBER($R$1313),$B$677=1),$R$1313,HLOOKUP(INDIRECT(ADDRESS(2,COLUMN())),OFFSET($BN$2,0,0,ROW()-1,60),ROW()-1,FALSE))</f>
        <v>-6.8153687459999999</v>
      </c>
      <c r="S656">
        <f ca="1">IF(AND(ISNUMBER($S$1313),$B$677=1),$S$1313,HLOOKUP(INDIRECT(ADDRESS(2,COLUMN())),OFFSET($BN$2,0,0,ROW()-1,60),ROW()-1,FALSE))</f>
        <v>-6.8704250719999997</v>
      </c>
      <c r="T656">
        <f ca="1">IF(AND(ISNUMBER($T$1313),$B$677=1),$T$1313,HLOOKUP(INDIRECT(ADDRESS(2,COLUMN())),OFFSET($BN$2,0,0,ROW()-1,60),ROW()-1,FALSE))</f>
        <v>-6.7178066489999999</v>
      </c>
      <c r="U656">
        <f ca="1">IF(AND(ISNUMBER($U$1313),$B$677=1),$U$1313,HLOOKUP(INDIRECT(ADDRESS(2,COLUMN())),OFFSET($BN$2,0,0,ROW()-1,60),ROW()-1,FALSE))</f>
        <v>-5.5730468379999998</v>
      </c>
      <c r="V656">
        <f ca="1">IF(AND(ISNUMBER($V$1313),$B$677=1),$V$1313,HLOOKUP(INDIRECT(ADDRESS(2,COLUMN())),OFFSET($BN$2,0,0,ROW()-1,60),ROW()-1,FALSE))</f>
        <v>-6.3367150939999997</v>
      </c>
      <c r="W656">
        <f ca="1">IF(AND(ISNUMBER($W$1313),$B$677=1),$W$1313,HLOOKUP(INDIRECT(ADDRESS(2,COLUMN())),OFFSET($BN$2,0,0,ROW()-1,60),ROW()-1,FALSE))</f>
        <v>-3.6836258270000002</v>
      </c>
      <c r="X656">
        <f ca="1">IF(AND(ISNUMBER($X$1313),$B$677=1),$X$1313,HLOOKUP(INDIRECT(ADDRESS(2,COLUMN())),OFFSET($BN$2,0,0,ROW()-1,60),ROW()-1,FALSE))</f>
        <v>-1.7444309849999999</v>
      </c>
      <c r="Y656">
        <f ca="1">IF(AND(ISNUMBER($Y$1313),$B$677=1),$Y$1313,HLOOKUP(INDIRECT(ADDRESS(2,COLUMN())),OFFSET($BN$2,0,0,ROW()-1,60),ROW()-1,FALSE))</f>
        <v>-0.62792130999999995</v>
      </c>
      <c r="Z656">
        <f ca="1">IF(AND(ISNUMBER($Z$1313),$B$677=1),$Z$1313,HLOOKUP(INDIRECT(ADDRESS(2,COLUMN())),OFFSET($BN$2,0,0,ROW()-1,60),ROW()-1,FALSE))</f>
        <v>-0.31209500600000001</v>
      </c>
      <c r="AA656">
        <f ca="1">IF(AND(ISNUMBER($AA$1313),$B$677=1),$AA$1313,HLOOKUP(INDIRECT(ADDRESS(2,COLUMN())),OFFSET($BN$2,0,0,ROW()-1,60),ROW()-1,FALSE))</f>
        <v>3.7588762999999997E-2</v>
      </c>
      <c r="AB656">
        <f ca="1">IF(AND(ISNUMBER($AB$1313),$B$677=1),$AB$1313,HLOOKUP(INDIRECT(ADDRESS(2,COLUMN())),OFFSET($BN$2,0,0,ROW()-1,60),ROW()-1,FALSE))</f>
        <v>-0.59257683999999999</v>
      </c>
      <c r="AC656">
        <f ca="1">IF(AND(ISNUMBER($AC$1313),$B$677=1),$AC$1313,HLOOKUP(INDIRECT(ADDRESS(2,COLUMN())),OFFSET($BN$2,0,0,ROW()-1,60),ROW()-1,FALSE))</f>
        <v>-2.5892180960000002</v>
      </c>
      <c r="AD656">
        <f ca="1">IF(AND(ISNUMBER($AD$1313),$B$677=1),$AD$1313,HLOOKUP(INDIRECT(ADDRESS(2,COLUMN())),OFFSET($BN$2,0,0,ROW()-1,60),ROW()-1,FALSE))</f>
        <v>-8.7779527300000009</v>
      </c>
      <c r="AE656">
        <f ca="1">IF(AND(ISNUMBER($AE$1313),$B$677=1),$AE$1313,HLOOKUP(INDIRECT(ADDRESS(2,COLUMN())),OFFSET($BN$2,0,0,ROW()-1,60),ROW()-1,FALSE))</f>
        <v>-13.11233709</v>
      </c>
      <c r="AF656">
        <f ca="1">IF(AND(ISNUMBER($AF$1313),$B$677=1),$AF$1313,HLOOKUP(INDIRECT(ADDRESS(2,COLUMN())),OFFSET($BN$2,0,0,ROW()-1,60),ROW()-1,FALSE))</f>
        <v>-14.70271827</v>
      </c>
      <c r="AG656">
        <f ca="1">IF(AND(ISNUMBER($AG$1313),$B$677=1),$AG$1313,HLOOKUP(INDIRECT(ADDRESS(2,COLUMN())),OFFSET($BN$2,0,0,ROW()-1,60),ROW()-1,FALSE))</f>
        <v>-12.515405489999999</v>
      </c>
      <c r="AH656">
        <f ca="1">IF(AND(ISNUMBER($AH$1313),$B$677=1),$AH$1313,HLOOKUP(INDIRECT(ADDRESS(2,COLUMN())),OFFSET($BN$2,0,0,ROW()-1,60),ROW()-1,FALSE))</f>
        <v>-9.409997164</v>
      </c>
      <c r="AI656">
        <f ca="1">IF(AND(ISNUMBER($AI$1313),$B$677=1),$AI$1313,HLOOKUP(INDIRECT(ADDRESS(2,COLUMN())),OFFSET($BN$2,0,0,ROW()-1,60),ROW()-1,FALSE))</f>
        <v>-10.48289093</v>
      </c>
      <c r="AJ656">
        <f ca="1">IF(AND(ISNUMBER($AJ$1313),$B$677=1),$AJ$1313,HLOOKUP(INDIRECT(ADDRESS(2,COLUMN())),OFFSET($BN$2,0,0,ROW()-1,60),ROW()-1,FALSE))</f>
        <v>-11.128943120000001</v>
      </c>
      <c r="AK656">
        <f ca="1">IF(AND(ISNUMBER($AK$1313),$B$677=1),$AK$1313,HLOOKUP(INDIRECT(ADDRESS(2,COLUMN())),OFFSET($BN$2,0,0,ROW()-1,60),ROW()-1,FALSE))</f>
        <v>-8.0533357050000003</v>
      </c>
      <c r="AL656">
        <f ca="1">IF(AND(ISNUMBER($AL$1313),$B$677=1),$AL$1313,HLOOKUP(INDIRECT(ADDRESS(2,COLUMN())),OFFSET($BN$2,0,0,ROW()-1,60),ROW()-1,FALSE))</f>
        <v>-7.5217417920000003</v>
      </c>
      <c r="AM656">
        <f ca="1">IF(AND(ISNUMBER($AM$1313),$B$677=1),$AM$1313,HLOOKUP(INDIRECT(ADDRESS(2,COLUMN())),OFFSET($BN$2,0,0,ROW()-1,60),ROW()-1,FALSE))</f>
        <v>-6.764638368</v>
      </c>
      <c r="AN656">
        <f ca="1">IF(AND(ISNUMBER($AN$1313),$B$677=1),$AN$1313,HLOOKUP(INDIRECT(ADDRESS(2,COLUMN())),OFFSET($BN$2,0,0,ROW()-1,60),ROW()-1,FALSE))</f>
        <v>-7.9820029689999998</v>
      </c>
      <c r="AO656" t="str">
        <f ca="1">IF(AND(ISNUMBER($AO$1313),$B$677=1),$AO$1313,HLOOKUP(INDIRECT(ADDRESS(2,COLUMN())),OFFSET($BN$2,0,0,ROW()-1,60),ROW()-1,FALSE))</f>
        <v/>
      </c>
      <c r="AP656" t="str">
        <f ca="1">IF(AND(ISNUMBER($AP$1313),$B$677=1),$AP$1313,HLOOKUP(INDIRECT(ADDRESS(2,COLUMN())),OFFSET($BN$2,0,0,ROW()-1,60),ROW()-1,FALSE))</f>
        <v/>
      </c>
      <c r="AQ656" t="str">
        <f ca="1">IF(AND(ISNUMBER($AQ$1313),$B$677=1),$AQ$1313,HLOOKUP(INDIRECT(ADDRESS(2,COLUMN())),OFFSET($BN$2,0,0,ROW()-1,60),ROW()-1,FALSE))</f>
        <v/>
      </c>
      <c r="AR656" t="str">
        <f ca="1">IF(AND(ISNUMBER($AR$1313),$B$677=1),$AR$1313,HLOOKUP(INDIRECT(ADDRESS(2,COLUMN())),OFFSET($BN$2,0,0,ROW()-1,60),ROW()-1,FALSE))</f>
        <v/>
      </c>
      <c r="AS656" t="str">
        <f ca="1">IF(AND(ISNUMBER($AS$1313),$B$677=1),$AS$1313,HLOOKUP(INDIRECT(ADDRESS(2,COLUMN())),OFFSET($BN$2,0,0,ROW()-1,60),ROW()-1,FALSE))</f>
        <v/>
      </c>
      <c r="AT656" t="str">
        <f ca="1">IF(AND(ISNUMBER($AT$1313),$B$677=1),$AT$1313,HLOOKUP(INDIRECT(ADDRESS(2,COLUMN())),OFFSET($BN$2,0,0,ROW()-1,60),ROW()-1,FALSE))</f>
        <v/>
      </c>
      <c r="AU656" t="str">
        <f ca="1">IF(AND(ISNUMBER($AU$1313),$B$677=1),$AU$1313,HLOOKUP(INDIRECT(ADDRESS(2,COLUMN())),OFFSET($BN$2,0,0,ROW()-1,60),ROW()-1,FALSE))</f>
        <v/>
      </c>
      <c r="AV656" t="str">
        <f ca="1">IF(AND(ISNUMBER($AV$1313),$B$677=1),$AV$1313,HLOOKUP(INDIRECT(ADDRESS(2,COLUMN())),OFFSET($BN$2,0,0,ROW()-1,60),ROW()-1,FALSE))</f>
        <v/>
      </c>
      <c r="AW656" t="str">
        <f ca="1">IF(AND(ISNUMBER($AW$1313),$B$677=1),$AW$1313,HLOOKUP(INDIRECT(ADDRESS(2,COLUMN())),OFFSET($BN$2,0,0,ROW()-1,60),ROW()-1,FALSE))</f>
        <v/>
      </c>
      <c r="AX656" t="str">
        <f ca="1">IF(AND(ISNUMBER($AX$1313),$B$677=1),$AX$1313,HLOOKUP(INDIRECT(ADDRESS(2,COLUMN())),OFFSET($BN$2,0,0,ROW()-1,60),ROW()-1,FALSE))</f>
        <v/>
      </c>
      <c r="AY656" t="str">
        <f ca="1">IF(AND(ISNUMBER($AY$1313),$B$677=1),$AY$1313,HLOOKUP(INDIRECT(ADDRESS(2,COLUMN())),OFFSET($BN$2,0,0,ROW()-1,60),ROW()-1,FALSE))</f>
        <v/>
      </c>
      <c r="AZ656" t="str">
        <f ca="1">IF(AND(ISNUMBER($AZ$1313),$B$677=1),$AZ$1313,HLOOKUP(INDIRECT(ADDRESS(2,COLUMN())),OFFSET($BN$2,0,0,ROW()-1,60),ROW()-1,FALSE))</f>
        <v/>
      </c>
      <c r="BA656" t="str">
        <f ca="1">IF(AND(ISNUMBER($BA$1313),$B$677=1),$BA$1313,HLOOKUP(INDIRECT(ADDRESS(2,COLUMN())),OFFSET($BN$2,0,0,ROW()-1,60),ROW()-1,FALSE))</f>
        <v/>
      </c>
      <c r="BB656" t="str">
        <f ca="1">IF(AND(ISNUMBER($BB$1313),$B$677=1),$BB$1313,HLOOKUP(INDIRECT(ADDRESS(2,COLUMN())),OFFSET($BN$2,0,0,ROW()-1,60),ROW()-1,FALSE))</f>
        <v/>
      </c>
      <c r="BC656" t="str">
        <f ca="1">IF(AND(ISNUMBER($BC$1313),$B$677=1),$BC$1313,HLOOKUP(INDIRECT(ADDRESS(2,COLUMN())),OFFSET($BN$2,0,0,ROW()-1,60),ROW()-1,FALSE))</f>
        <v/>
      </c>
      <c r="BD656" t="str">
        <f ca="1">IF(AND(ISNUMBER($BD$1313),$B$677=1),$BD$1313,HLOOKUP(INDIRECT(ADDRESS(2,COLUMN())),OFFSET($BN$2,0,0,ROW()-1,60),ROW()-1,FALSE))</f>
        <v/>
      </c>
      <c r="BE656" t="str">
        <f ca="1">IF(AND(ISNUMBER($BE$1313),$B$677=1),$BE$1313,HLOOKUP(INDIRECT(ADDRESS(2,COLUMN())),OFFSET($BN$2,0,0,ROW()-1,60),ROW()-1,FALSE))</f>
        <v/>
      </c>
      <c r="BF656" t="str">
        <f ca="1">IF(AND(ISNUMBER($BF$1313),$B$677=1),$BF$1313,HLOOKUP(INDIRECT(ADDRESS(2,COLUMN())),OFFSET($BN$2,0,0,ROW()-1,60),ROW()-1,FALSE))</f>
        <v/>
      </c>
      <c r="BG656" t="str">
        <f ca="1">IF(AND(ISNUMBER($BG$1313),$B$677=1),$BG$1313,HLOOKUP(INDIRECT(ADDRESS(2,COLUMN())),OFFSET($BN$2,0,0,ROW()-1,60),ROW()-1,FALSE))</f>
        <v/>
      </c>
      <c r="BH656" t="str">
        <f ca="1">IF(AND(ISNUMBER($BH$1313),$B$677=1),$BH$1313,HLOOKUP(INDIRECT(ADDRESS(2,COLUMN())),OFFSET($BN$2,0,0,ROW()-1,60),ROW()-1,FALSE))</f>
        <v/>
      </c>
      <c r="BI656" t="str">
        <f ca="1">IF(AND(ISNUMBER($BI$1313),$B$677=1),$BI$1313,HLOOKUP(INDIRECT(ADDRESS(2,COLUMN())),OFFSET($BN$2,0,0,ROW()-1,60),ROW()-1,FALSE))</f>
        <v/>
      </c>
      <c r="BJ656" t="str">
        <f ca="1">IF(AND(ISNUMBER($BJ$1313),$B$677=1),$BJ$1313,HLOOKUP(INDIRECT(ADDRESS(2,COLUMN())),OFFSET($BN$2,0,0,ROW()-1,60),ROW()-1,FALSE))</f>
        <v/>
      </c>
      <c r="BK656" t="str">
        <f ca="1">IF(AND(ISNUMBER($BK$1313),$B$677=1),$BK$1313,HLOOKUP(INDIRECT(ADDRESS(2,COLUMN())),OFFSET($BN$2,0,0,ROW()-1,60),ROW()-1,FALSE))</f>
        <v/>
      </c>
      <c r="BL656" t="str">
        <f ca="1">IF(AND(ISNUMBER($BL$1313),$B$677=1),$BL$1313,HLOOKUP(INDIRECT(ADDRESS(2,COLUMN())),OFFSET($BN$2,0,0,ROW()-1,60),ROW()-1,FALSE))</f>
        <v/>
      </c>
      <c r="BM656" t="str">
        <f ca="1">IF(AND(ISNUMBER($BM$1313),$B$677=1),$BM$1313,HLOOKUP(INDIRECT(ADDRESS(2,COLUMN())),OFFSET($BN$2,0,0,ROW()-1,60),ROW()-1,FALSE))</f>
        <v/>
      </c>
      <c r="BN656">
        <f>-0.005744598</f>
        <v>-5.7445980000000001E-3</v>
      </c>
      <c r="BO656">
        <f>-0.005112622</f>
        <v>-5.1126219999999998E-3</v>
      </c>
      <c r="BP656">
        <f>-2.633066336</f>
        <v>-2.6330663360000002</v>
      </c>
      <c r="BQ656">
        <f>-5.804169331</f>
        <v>-5.8041693309999998</v>
      </c>
      <c r="BR656">
        <f>-8.69113605</f>
        <v>-8.6911360500000008</v>
      </c>
      <c r="BS656">
        <f>-6.641741614</f>
        <v>-6.6417416139999998</v>
      </c>
      <c r="BT656">
        <f>-7.322759066</f>
        <v>-7.3227590659999997</v>
      </c>
      <c r="BU656">
        <f>-4.335929592</f>
        <v>-4.3359295920000003</v>
      </c>
      <c r="BV656">
        <f>-3.438214599</f>
        <v>-3.4382145990000001</v>
      </c>
      <c r="BW656">
        <f>-4.080496174</f>
        <v>-4.0804961740000003</v>
      </c>
      <c r="BX656">
        <f>-2.887099067</f>
        <v>-2.8870990669999999</v>
      </c>
      <c r="BY656">
        <f>-5.27017612</f>
        <v>-5.2701761200000004</v>
      </c>
      <c r="BZ656">
        <f>-6.815368746</f>
        <v>-6.8153687459999999</v>
      </c>
      <c r="CA656">
        <f>-6.870425072</f>
        <v>-6.8704250719999997</v>
      </c>
      <c r="CB656">
        <f>-6.717806649</f>
        <v>-6.7178066489999999</v>
      </c>
      <c r="CC656">
        <f>-5.573046838</f>
        <v>-5.5730468379999998</v>
      </c>
      <c r="CD656">
        <f>-6.336715094</f>
        <v>-6.3367150939999997</v>
      </c>
      <c r="CE656">
        <f>-3.683625827</f>
        <v>-3.6836258270000002</v>
      </c>
      <c r="CF656">
        <f>-1.744430985</f>
        <v>-1.7444309849999999</v>
      </c>
      <c r="CG656">
        <f>-0.62792131</f>
        <v>-0.62792130999999995</v>
      </c>
      <c r="CH656">
        <f>-0.312095006</f>
        <v>-0.31209500600000001</v>
      </c>
      <c r="CI656">
        <f>0.037588763</f>
        <v>3.7588762999999997E-2</v>
      </c>
      <c r="CJ656">
        <f>-0.59257684</f>
        <v>-0.59257683999999999</v>
      </c>
      <c r="CK656">
        <f>-2.589218096</f>
        <v>-2.5892180960000002</v>
      </c>
      <c r="CL656">
        <f>-8.77795273</f>
        <v>-8.7779527300000009</v>
      </c>
      <c r="CM656">
        <f>-13.11233709</f>
        <v>-13.11233709</v>
      </c>
      <c r="CN656">
        <f>-14.70271827</f>
        <v>-14.70271827</v>
      </c>
      <c r="CO656">
        <f>-12.51540549</f>
        <v>-12.515405489999999</v>
      </c>
      <c r="CP656">
        <f>-9.409997164</f>
        <v>-9.409997164</v>
      </c>
      <c r="CQ656">
        <f>-10.48289093</f>
        <v>-10.48289093</v>
      </c>
      <c r="CR656">
        <f>-11.12894312</f>
        <v>-11.128943120000001</v>
      </c>
      <c r="CS656">
        <f>-8.053335705</f>
        <v>-8.0533357050000003</v>
      </c>
      <c r="CT656">
        <f>-7.521741792</f>
        <v>-7.5217417920000003</v>
      </c>
      <c r="CU656">
        <f>-6.764638368</f>
        <v>-6.764638368</v>
      </c>
      <c r="CV656">
        <f>-7.982002969</f>
        <v>-7.9820029689999998</v>
      </c>
      <c r="CW656" t="str">
        <f>""</f>
        <v/>
      </c>
      <c r="CX656" t="str">
        <f>""</f>
        <v/>
      </c>
      <c r="CY656" t="str">
        <f>""</f>
        <v/>
      </c>
      <c r="CZ656" t="str">
        <f>""</f>
        <v/>
      </c>
      <c r="DA656" t="str">
        <f>""</f>
        <v/>
      </c>
      <c r="DB656" t="str">
        <f>""</f>
        <v/>
      </c>
      <c r="DC656" t="str">
        <f>""</f>
        <v/>
      </c>
      <c r="DD656" t="str">
        <f>""</f>
        <v/>
      </c>
      <c r="DE656" t="str">
        <f>""</f>
        <v/>
      </c>
      <c r="DF656" t="str">
        <f>""</f>
        <v/>
      </c>
      <c r="DG656" t="str">
        <f>""</f>
        <v/>
      </c>
      <c r="DH656" t="str">
        <f>""</f>
        <v/>
      </c>
      <c r="DI656" t="str">
        <f>""</f>
        <v/>
      </c>
      <c r="DJ656" t="str">
        <f>""</f>
        <v/>
      </c>
      <c r="DK656" t="str">
        <f>""</f>
        <v/>
      </c>
      <c r="DL656" t="str">
        <f>""</f>
        <v/>
      </c>
      <c r="DM656" t="str">
        <f>""</f>
        <v/>
      </c>
      <c r="DN656" t="str">
        <f>""</f>
        <v/>
      </c>
      <c r="DO656" t="str">
        <f>""</f>
        <v/>
      </c>
      <c r="DP656" t="str">
        <f>""</f>
        <v/>
      </c>
      <c r="DQ656" t="str">
        <f>""</f>
        <v/>
      </c>
      <c r="DR656" t="str">
        <f>""</f>
        <v/>
      </c>
      <c r="DS656" t="str">
        <f>""</f>
        <v/>
      </c>
      <c r="DT656" t="str">
        <f>""</f>
        <v/>
      </c>
      <c r="DU656" t="str">
        <f>""</f>
        <v/>
      </c>
    </row>
    <row r="657" spans="1:125" x14ac:dyDescent="0.25">
      <c r="A657" t="str">
        <f>"    Tianjin Faw Xiali Automobile Co Ltd"</f>
        <v xml:space="preserve">    Tianjin Faw Xiali Automobile Co Ltd</v>
      </c>
      <c r="B657" t="str">
        <f>"000927 CH Equity"</f>
        <v>000927 CH Equity</v>
      </c>
      <c r="C657" t="str">
        <f t="shared" si="45"/>
        <v>RX539</v>
      </c>
      <c r="D657" t="str">
        <f t="shared" si="46"/>
        <v>T12_FCF_YIELD</v>
      </c>
      <c r="E657" t="str">
        <f t="shared" si="47"/>
        <v>Dynamic</v>
      </c>
      <c r="F657" t="str">
        <f ca="1">IF(AND(ISNUMBER($F$1314),$B$677=1),$F$1314,HLOOKUP(INDIRECT(ADDRESS(2,COLUMN())),OFFSET($BN$2,0,0,ROW()-1,60),ROW()-1,FALSE))</f>
        <v/>
      </c>
      <c r="G657" t="str">
        <f ca="1">IF(AND(ISNUMBER($G$1314),$B$677=1),$G$1314,HLOOKUP(INDIRECT(ADDRESS(2,COLUMN())),OFFSET($BN$2,0,0,ROW()-1,60),ROW()-1,FALSE))</f>
        <v/>
      </c>
      <c r="H657" t="str">
        <f ca="1">IF(AND(ISNUMBER($H$1314),$B$677=1),$H$1314,HLOOKUP(INDIRECT(ADDRESS(2,COLUMN())),OFFSET($BN$2,0,0,ROW()-1,60),ROW()-1,FALSE))</f>
        <v/>
      </c>
      <c r="I657">
        <f ca="1">IF(AND(ISNUMBER($I$1314),$B$677=1),$I$1314,HLOOKUP(INDIRECT(ADDRESS(2,COLUMN())),OFFSET($BN$2,0,0,ROW()-1,60),ROW()-1,FALSE))</f>
        <v>-29.55589238</v>
      </c>
      <c r="J657">
        <f ca="1">IF(AND(ISNUMBER($J$1314),$B$677=1),$J$1314,HLOOKUP(INDIRECT(ADDRESS(2,COLUMN())),OFFSET($BN$2,0,0,ROW()-1,60),ROW()-1,FALSE))</f>
        <v>-27.735948270000002</v>
      </c>
      <c r="K657">
        <f ca="1">IF(AND(ISNUMBER($K$1314),$B$677=1),$K$1314,HLOOKUP(INDIRECT(ADDRESS(2,COLUMN())),OFFSET($BN$2,0,0,ROW()-1,60),ROW()-1,FALSE))</f>
        <v>-25.535816830000002</v>
      </c>
      <c r="L657">
        <f ca="1">IF(AND(ISNUMBER($L$1314),$B$677=1),$L$1314,HLOOKUP(INDIRECT(ADDRESS(2,COLUMN())),OFFSET($BN$2,0,0,ROW()-1,60),ROW()-1,FALSE))</f>
        <v>-20.483506250000001</v>
      </c>
      <c r="M657">
        <f ca="1">IF(AND(ISNUMBER($M$1314),$B$677=1),$M$1314,HLOOKUP(INDIRECT(ADDRESS(2,COLUMN())),OFFSET($BN$2,0,0,ROW()-1,60),ROW()-1,FALSE))</f>
        <v>-26.65176949</v>
      </c>
      <c r="N657">
        <f ca="1">IF(AND(ISNUMBER($N$1314),$B$677=1),$N$1314,HLOOKUP(INDIRECT(ADDRESS(2,COLUMN())),OFFSET($BN$2,0,0,ROW()-1,60),ROW()-1,FALSE))</f>
        <v>-14.504467569999999</v>
      </c>
      <c r="O657">
        <f ca="1">IF(AND(ISNUMBER($O$1314),$B$677=1),$O$1314,HLOOKUP(INDIRECT(ADDRESS(2,COLUMN())),OFFSET($BN$2,0,0,ROW()-1,60),ROW()-1,FALSE))</f>
        <v>-19.42063817</v>
      </c>
      <c r="P657">
        <f ca="1">IF(AND(ISNUMBER($P$1314),$B$677=1),$P$1314,HLOOKUP(INDIRECT(ADDRESS(2,COLUMN())),OFFSET($BN$2,0,0,ROW()-1,60),ROW()-1,FALSE))</f>
        <v>-24.153808560000002</v>
      </c>
      <c r="Q657">
        <f ca="1">IF(AND(ISNUMBER($Q$1314),$B$677=1),$Q$1314,HLOOKUP(INDIRECT(ADDRESS(2,COLUMN())),OFFSET($BN$2,0,0,ROW()-1,60),ROW()-1,FALSE))</f>
        <v>-22.7346751</v>
      </c>
      <c r="R657">
        <f ca="1">IF(AND(ISNUMBER($R$1314),$B$677=1),$R$1314,HLOOKUP(INDIRECT(ADDRESS(2,COLUMN())),OFFSET($BN$2,0,0,ROW()-1,60),ROW()-1,FALSE))</f>
        <v>-20.603289360000002</v>
      </c>
      <c r="S657">
        <f ca="1">IF(AND(ISNUMBER($S$1314),$B$677=1),$S$1314,HLOOKUP(INDIRECT(ADDRESS(2,COLUMN())),OFFSET($BN$2,0,0,ROW()-1,60),ROW()-1,FALSE))</f>
        <v>-14.640539349999999</v>
      </c>
      <c r="T657">
        <f ca="1">IF(AND(ISNUMBER($T$1314),$B$677=1),$T$1314,HLOOKUP(INDIRECT(ADDRESS(2,COLUMN())),OFFSET($BN$2,0,0,ROW()-1,60),ROW()-1,FALSE))</f>
        <v>-11.89493747</v>
      </c>
      <c r="U657">
        <f ca="1">IF(AND(ISNUMBER($U$1314),$B$677=1),$U$1314,HLOOKUP(INDIRECT(ADDRESS(2,COLUMN())),OFFSET($BN$2,0,0,ROW()-1,60),ROW()-1,FALSE))</f>
        <v>-6.8167860669999998</v>
      </c>
      <c r="V657">
        <f ca="1">IF(AND(ISNUMBER($V$1314),$B$677=1),$V$1314,HLOOKUP(INDIRECT(ADDRESS(2,COLUMN())),OFFSET($BN$2,0,0,ROW()-1,60),ROW()-1,FALSE))</f>
        <v>-3.9041196220000001</v>
      </c>
      <c r="W657">
        <f ca="1">IF(AND(ISNUMBER($W$1314),$B$677=1),$W$1314,HLOOKUP(INDIRECT(ADDRESS(2,COLUMN())),OFFSET($BN$2,0,0,ROW()-1,60),ROW()-1,FALSE))</f>
        <v>-6.8083319339999999</v>
      </c>
      <c r="X657">
        <f ca="1">IF(AND(ISNUMBER($X$1314),$B$677=1),$X$1314,HLOOKUP(INDIRECT(ADDRESS(2,COLUMN())),OFFSET($BN$2,0,0,ROW()-1,60),ROW()-1,FALSE))</f>
        <v>-11.04614449</v>
      </c>
      <c r="Y657">
        <f ca="1">IF(AND(ISNUMBER($Y$1314),$B$677=1),$Y$1314,HLOOKUP(INDIRECT(ADDRESS(2,COLUMN())),OFFSET($BN$2,0,0,ROW()-1,60),ROW()-1,FALSE))</f>
        <v>-24.243099860000001</v>
      </c>
      <c r="Z657">
        <f ca="1">IF(AND(ISNUMBER($Z$1314),$B$677=1),$Z$1314,HLOOKUP(INDIRECT(ADDRESS(2,COLUMN())),OFFSET($BN$2,0,0,ROW()-1,60),ROW()-1,FALSE))</f>
        <v>-13.66568418</v>
      </c>
      <c r="AA657">
        <f ca="1">IF(AND(ISNUMBER($AA$1314),$B$677=1),$AA$1314,HLOOKUP(INDIRECT(ADDRESS(2,COLUMN())),OFFSET($BN$2,0,0,ROW()-1,60),ROW()-1,FALSE))</f>
        <v>-10.30309484</v>
      </c>
      <c r="AB657">
        <f ca="1">IF(AND(ISNUMBER($AB$1314),$B$677=1),$AB$1314,HLOOKUP(INDIRECT(ADDRESS(2,COLUMN())),OFFSET($BN$2,0,0,ROW()-1,60),ROW()-1,FALSE))</f>
        <v>-5.3680966699999999</v>
      </c>
      <c r="AC657">
        <f ca="1">IF(AND(ISNUMBER($AC$1314),$B$677=1),$AC$1314,HLOOKUP(INDIRECT(ADDRESS(2,COLUMN())),OFFSET($BN$2,0,0,ROW()-1,60),ROW()-1,FALSE))</f>
        <v>3.1719708029999998</v>
      </c>
      <c r="AD657">
        <f ca="1">IF(AND(ISNUMBER($AD$1314),$B$677=1),$AD$1314,HLOOKUP(INDIRECT(ADDRESS(2,COLUMN())),OFFSET($BN$2,0,0,ROW()-1,60),ROW()-1,FALSE))</f>
        <v>-2.1419200999999999E-2</v>
      </c>
      <c r="AE657">
        <f ca="1">IF(AND(ISNUMBER($AE$1314),$B$677=1),$AE$1314,HLOOKUP(INDIRECT(ADDRESS(2,COLUMN())),OFFSET($BN$2,0,0,ROW()-1,60),ROW()-1,FALSE))</f>
        <v>-1.96340603</v>
      </c>
      <c r="AF657">
        <f ca="1">IF(AND(ISNUMBER($AF$1314),$B$677=1),$AF$1314,HLOOKUP(INDIRECT(ADDRESS(2,COLUMN())),OFFSET($BN$2,0,0,ROW()-1,60),ROW()-1,FALSE))</f>
        <v>-6.9654294329999997</v>
      </c>
      <c r="AG657">
        <f ca="1">IF(AND(ISNUMBER($AG$1314),$B$677=1),$AG$1314,HLOOKUP(INDIRECT(ADDRESS(2,COLUMN())),OFFSET($BN$2,0,0,ROW()-1,60),ROW()-1,FALSE))</f>
        <v>-6.0767241570000001</v>
      </c>
      <c r="AH657">
        <f ca="1">IF(AND(ISNUMBER($AH$1314),$B$677=1),$AH$1314,HLOOKUP(INDIRECT(ADDRESS(2,COLUMN())),OFFSET($BN$2,0,0,ROW()-1,60),ROW()-1,FALSE))</f>
        <v>-3.2465233100000002</v>
      </c>
      <c r="AI657">
        <f ca="1">IF(AND(ISNUMBER($AI$1314),$B$677=1),$AI$1314,HLOOKUP(INDIRECT(ADDRESS(2,COLUMN())),OFFSET($BN$2,0,0,ROW()-1,60),ROW()-1,FALSE))</f>
        <v>-3.4438921840000001</v>
      </c>
      <c r="AJ657">
        <f ca="1">IF(AND(ISNUMBER($AJ$1314),$B$677=1),$AJ$1314,HLOOKUP(INDIRECT(ADDRESS(2,COLUMN())),OFFSET($BN$2,0,0,ROW()-1,60),ROW()-1,FALSE))</f>
        <v>-6.349920322</v>
      </c>
      <c r="AK657">
        <f ca="1">IF(AND(ISNUMBER($AK$1314),$B$677=1),$AK$1314,HLOOKUP(INDIRECT(ADDRESS(2,COLUMN())),OFFSET($BN$2,0,0,ROW()-1,60),ROW()-1,FALSE))</f>
        <v>-7.5376566929999997</v>
      </c>
      <c r="AL657">
        <f ca="1">IF(AND(ISNUMBER($AL$1314),$B$677=1),$AL$1314,HLOOKUP(INDIRECT(ADDRESS(2,COLUMN())),OFFSET($BN$2,0,0,ROW()-1,60),ROW()-1,FALSE))</f>
        <v>-13.39933748</v>
      </c>
      <c r="AM657">
        <f ca="1">IF(AND(ISNUMBER($AM$1314),$B$677=1),$AM$1314,HLOOKUP(INDIRECT(ADDRESS(2,COLUMN())),OFFSET($BN$2,0,0,ROW()-1,60),ROW()-1,FALSE))</f>
        <v>-10.057221609999999</v>
      </c>
      <c r="AN657">
        <f ca="1">IF(AND(ISNUMBER($AN$1314),$B$677=1),$AN$1314,HLOOKUP(INDIRECT(ADDRESS(2,COLUMN())),OFFSET($BN$2,0,0,ROW()-1,60),ROW()-1,FALSE))</f>
        <v>-8.2939348170000002</v>
      </c>
      <c r="AO657">
        <f ca="1">IF(AND(ISNUMBER($AO$1314),$B$677=1),$AO$1314,HLOOKUP(INDIRECT(ADDRESS(2,COLUMN())),OFFSET($BN$2,0,0,ROW()-1,60),ROW()-1,FALSE))</f>
        <v>0.855627366</v>
      </c>
      <c r="AP657">
        <f ca="1">IF(AND(ISNUMBER($AP$1314),$B$677=1),$AP$1314,HLOOKUP(INDIRECT(ADDRESS(2,COLUMN())),OFFSET($BN$2,0,0,ROW()-1,60),ROW()-1,FALSE))</f>
        <v>0.68137178499999995</v>
      </c>
      <c r="AQ657">
        <f ca="1">IF(AND(ISNUMBER($AQ$1314),$B$677=1),$AQ$1314,HLOOKUP(INDIRECT(ADDRESS(2,COLUMN())),OFFSET($BN$2,0,0,ROW()-1,60),ROW()-1,FALSE))</f>
        <v>0.287932786</v>
      </c>
      <c r="AR657">
        <f ca="1">IF(AND(ISNUMBER($AR$1314),$B$677=1),$AR$1314,HLOOKUP(INDIRECT(ADDRESS(2,COLUMN())),OFFSET($BN$2,0,0,ROW()-1,60),ROW()-1,FALSE))</f>
        <v>5.0414034140000004</v>
      </c>
      <c r="AS657">
        <f ca="1">IF(AND(ISNUMBER($AS$1314),$B$677=1),$AS$1314,HLOOKUP(INDIRECT(ADDRESS(2,COLUMN())),OFFSET($BN$2,0,0,ROW()-1,60),ROW()-1,FALSE))</f>
        <v>-5.1462030959999998</v>
      </c>
      <c r="AT657">
        <f ca="1">IF(AND(ISNUMBER($AT$1314),$B$677=1),$AT$1314,HLOOKUP(INDIRECT(ADDRESS(2,COLUMN())),OFFSET($BN$2,0,0,ROW()-1,60),ROW()-1,FALSE))</f>
        <v>-7.7065690120000001</v>
      </c>
      <c r="AU657">
        <f ca="1">IF(AND(ISNUMBER($AU$1314),$B$677=1),$AU$1314,HLOOKUP(INDIRECT(ADDRESS(2,COLUMN())),OFFSET($BN$2,0,0,ROW()-1,60),ROW()-1,FALSE))</f>
        <v>-10.265639609999999</v>
      </c>
      <c r="AV657">
        <f ca="1">IF(AND(ISNUMBER($AV$1314),$B$677=1),$AV$1314,HLOOKUP(INDIRECT(ADDRESS(2,COLUMN())),OFFSET($BN$2,0,0,ROW()-1,60),ROW()-1,FALSE))</f>
        <v>-10.363581379999999</v>
      </c>
      <c r="AW657">
        <f ca="1">IF(AND(ISNUMBER($AW$1314),$B$677=1),$AW$1314,HLOOKUP(INDIRECT(ADDRESS(2,COLUMN())),OFFSET($BN$2,0,0,ROW()-1,60),ROW()-1,FALSE))</f>
        <v>-4.0344796699999996</v>
      </c>
      <c r="AX657">
        <f ca="1">IF(AND(ISNUMBER($AX$1314),$B$677=1),$AX$1314,HLOOKUP(INDIRECT(ADDRESS(2,COLUMN())),OFFSET($BN$2,0,0,ROW()-1,60),ROW()-1,FALSE))</f>
        <v>-0.161093876</v>
      </c>
      <c r="AY657">
        <f ca="1">IF(AND(ISNUMBER($AY$1314),$B$677=1),$AY$1314,HLOOKUP(INDIRECT(ADDRESS(2,COLUMN())),OFFSET($BN$2,0,0,ROW()-1,60),ROW()-1,FALSE))</f>
        <v>-0.14859072800000001</v>
      </c>
      <c r="AZ657">
        <f ca="1">IF(AND(ISNUMBER($AZ$1314),$B$677=1),$AZ$1314,HLOOKUP(INDIRECT(ADDRESS(2,COLUMN())),OFFSET($BN$2,0,0,ROW()-1,60),ROW()-1,FALSE))</f>
        <v>-0.32138343200000002</v>
      </c>
      <c r="BA657">
        <f ca="1">IF(AND(ISNUMBER($BA$1314),$B$677=1),$BA$1314,HLOOKUP(INDIRECT(ADDRESS(2,COLUMN())),OFFSET($BN$2,0,0,ROW()-1,60),ROW()-1,FALSE))</f>
        <v>7.7613499350000001</v>
      </c>
      <c r="BB657">
        <f ca="1">IF(AND(ISNUMBER($BB$1314),$B$677=1),$BB$1314,HLOOKUP(INDIRECT(ADDRESS(2,COLUMN())),OFFSET($BN$2,0,0,ROW()-1,60),ROW()-1,FALSE))</f>
        <v>7.6684906660000003</v>
      </c>
      <c r="BC657">
        <f ca="1">IF(AND(ISNUMBER($BC$1314),$B$677=1),$BC$1314,HLOOKUP(INDIRECT(ADDRESS(2,COLUMN())),OFFSET($BN$2,0,0,ROW()-1,60),ROW()-1,FALSE))</f>
        <v>18.855257259999998</v>
      </c>
      <c r="BD657">
        <f ca="1">IF(AND(ISNUMBER($BD$1314),$B$677=1),$BD$1314,HLOOKUP(INDIRECT(ADDRESS(2,COLUMN())),OFFSET($BN$2,0,0,ROW()-1,60),ROW()-1,FALSE))</f>
        <v>27.2946955</v>
      </c>
      <c r="BE657">
        <f ca="1">IF(AND(ISNUMBER($BE$1314),$B$677=1),$BE$1314,HLOOKUP(INDIRECT(ADDRESS(2,COLUMN())),OFFSET($BN$2,0,0,ROW()-1,60),ROW()-1,FALSE))</f>
        <v>10.63938823</v>
      </c>
      <c r="BF657">
        <f ca="1">IF(AND(ISNUMBER($BF$1314),$B$677=1),$BF$1314,HLOOKUP(INDIRECT(ADDRESS(2,COLUMN())),OFFSET($BN$2,0,0,ROW()-1,60),ROW()-1,FALSE))</f>
        <v>13.154524990000001</v>
      </c>
      <c r="BG657">
        <f ca="1">IF(AND(ISNUMBER($BG$1314),$B$677=1),$BG$1314,HLOOKUP(INDIRECT(ADDRESS(2,COLUMN())),OFFSET($BN$2,0,0,ROW()-1,60),ROW()-1,FALSE))</f>
        <v>16.221893550000001</v>
      </c>
      <c r="BH657">
        <f ca="1">IF(AND(ISNUMBER($BH$1314),$B$677=1),$BH$1314,HLOOKUP(INDIRECT(ADDRESS(2,COLUMN())),OFFSET($BN$2,0,0,ROW()-1,60),ROW()-1,FALSE))</f>
        <v>15.75390773</v>
      </c>
      <c r="BI657">
        <f ca="1">IF(AND(ISNUMBER($BI$1314),$B$677=1),$BI$1314,HLOOKUP(INDIRECT(ADDRESS(2,COLUMN())),OFFSET($BN$2,0,0,ROW()-1,60),ROW()-1,FALSE))</f>
        <v>15.77844121</v>
      </c>
      <c r="BJ657">
        <f ca="1">IF(AND(ISNUMBER($BJ$1314),$B$677=1),$BJ$1314,HLOOKUP(INDIRECT(ADDRESS(2,COLUMN())),OFFSET($BN$2,0,0,ROW()-1,60),ROW()-1,FALSE))</f>
        <v>6.1430337440000002</v>
      </c>
      <c r="BK657">
        <f ca="1">IF(AND(ISNUMBER($BK$1314),$B$677=1),$BK$1314,HLOOKUP(INDIRECT(ADDRESS(2,COLUMN())),OFFSET($BN$2,0,0,ROW()-1,60),ROW()-1,FALSE))</f>
        <v>9.3937428000000003E-2</v>
      </c>
      <c r="BL657">
        <f ca="1">IF(AND(ISNUMBER($BL$1314),$B$677=1),$BL$1314,HLOOKUP(INDIRECT(ADDRESS(2,COLUMN())),OFFSET($BN$2,0,0,ROW()-1,60),ROW()-1,FALSE))</f>
        <v>-6.0407000039999996</v>
      </c>
      <c r="BM657">
        <f ca="1">IF(AND(ISNUMBER($BM$1314),$B$677=1),$BM$1314,HLOOKUP(INDIRECT(ADDRESS(2,COLUMN())),OFFSET($BN$2,0,0,ROW()-1,60),ROW()-1,FALSE))</f>
        <v>-0.68620788300000002</v>
      </c>
      <c r="BN657" t="str">
        <f>""</f>
        <v/>
      </c>
      <c r="BO657" t="str">
        <f>""</f>
        <v/>
      </c>
      <c r="BP657" t="str">
        <f>""</f>
        <v/>
      </c>
      <c r="BQ657">
        <f>-29.55589238</f>
        <v>-29.55589238</v>
      </c>
      <c r="BR657">
        <f>-27.73594827</f>
        <v>-27.735948270000002</v>
      </c>
      <c r="BS657">
        <f>-25.53581683</f>
        <v>-25.535816830000002</v>
      </c>
      <c r="BT657">
        <f>-20.48350625</f>
        <v>-20.483506250000001</v>
      </c>
      <c r="BU657">
        <f>-26.65176949</f>
        <v>-26.65176949</v>
      </c>
      <c r="BV657">
        <f>-14.50446757</f>
        <v>-14.504467569999999</v>
      </c>
      <c r="BW657">
        <f>-19.42063817</f>
        <v>-19.42063817</v>
      </c>
      <c r="BX657">
        <f>-24.15380856</f>
        <v>-24.153808560000002</v>
      </c>
      <c r="BY657">
        <f>-22.7346751</f>
        <v>-22.7346751</v>
      </c>
      <c r="BZ657">
        <f>-20.60328936</f>
        <v>-20.603289360000002</v>
      </c>
      <c r="CA657">
        <f>-14.64053935</f>
        <v>-14.640539349999999</v>
      </c>
      <c r="CB657">
        <f>-11.89493747</f>
        <v>-11.89493747</v>
      </c>
      <c r="CC657">
        <f>-6.816786067</f>
        <v>-6.8167860669999998</v>
      </c>
      <c r="CD657">
        <f>-3.904119622</f>
        <v>-3.9041196220000001</v>
      </c>
      <c r="CE657">
        <f>-6.808331934</f>
        <v>-6.8083319339999999</v>
      </c>
      <c r="CF657">
        <f>-11.04614449</f>
        <v>-11.04614449</v>
      </c>
      <c r="CG657">
        <f>-24.24309986</f>
        <v>-24.243099860000001</v>
      </c>
      <c r="CH657">
        <f>-13.66568418</f>
        <v>-13.66568418</v>
      </c>
      <c r="CI657">
        <f>-10.30309484</f>
        <v>-10.30309484</v>
      </c>
      <c r="CJ657">
        <f>-5.36809667</f>
        <v>-5.3680966699999999</v>
      </c>
      <c r="CK657">
        <f>3.171970803</f>
        <v>3.1719708029999998</v>
      </c>
      <c r="CL657">
        <f>-0.021419201</f>
        <v>-2.1419200999999999E-2</v>
      </c>
      <c r="CM657">
        <f>-1.96340603</f>
        <v>-1.96340603</v>
      </c>
      <c r="CN657">
        <f>-6.965429433</f>
        <v>-6.9654294329999997</v>
      </c>
      <c r="CO657">
        <f>-6.076724157</f>
        <v>-6.0767241570000001</v>
      </c>
      <c r="CP657">
        <f>-3.24652331</f>
        <v>-3.2465233100000002</v>
      </c>
      <c r="CQ657">
        <f>-3.443892184</f>
        <v>-3.4438921840000001</v>
      </c>
      <c r="CR657">
        <f>-6.349920322</f>
        <v>-6.349920322</v>
      </c>
      <c r="CS657">
        <f>-7.537656693</f>
        <v>-7.5376566929999997</v>
      </c>
      <c r="CT657">
        <f>-13.39933748</f>
        <v>-13.39933748</v>
      </c>
      <c r="CU657">
        <f>-10.05722161</f>
        <v>-10.057221609999999</v>
      </c>
      <c r="CV657">
        <f>-8.293934817</f>
        <v>-8.2939348170000002</v>
      </c>
      <c r="CW657">
        <f>0.855627366</f>
        <v>0.855627366</v>
      </c>
      <c r="CX657">
        <f>0.681371785</f>
        <v>0.68137178499999995</v>
      </c>
      <c r="CY657">
        <f>0.287932786</f>
        <v>0.287932786</v>
      </c>
      <c r="CZ657">
        <f>5.041403414</f>
        <v>5.0414034140000004</v>
      </c>
      <c r="DA657">
        <f>-5.146203096</f>
        <v>-5.1462030959999998</v>
      </c>
      <c r="DB657">
        <f>-7.706569012</f>
        <v>-7.7065690120000001</v>
      </c>
      <c r="DC657">
        <f>-10.26563961</f>
        <v>-10.265639609999999</v>
      </c>
      <c r="DD657">
        <f>-10.36358138</f>
        <v>-10.363581379999999</v>
      </c>
      <c r="DE657">
        <f>-4.03447967</f>
        <v>-4.0344796699999996</v>
      </c>
      <c r="DF657">
        <f>-0.161093876</f>
        <v>-0.161093876</v>
      </c>
      <c r="DG657">
        <f>-0.148590728</f>
        <v>-0.14859072800000001</v>
      </c>
      <c r="DH657">
        <f>-0.321383432</f>
        <v>-0.32138343200000002</v>
      </c>
      <c r="DI657">
        <f>7.761349935</f>
        <v>7.7613499350000001</v>
      </c>
      <c r="DJ657">
        <f>7.668490666</f>
        <v>7.6684906660000003</v>
      </c>
      <c r="DK657">
        <f>18.85525726</f>
        <v>18.855257259999998</v>
      </c>
      <c r="DL657">
        <f>27.2946955</f>
        <v>27.2946955</v>
      </c>
      <c r="DM657">
        <f>10.63938823</f>
        <v>10.63938823</v>
      </c>
      <c r="DN657">
        <f>13.15452499</f>
        <v>13.154524990000001</v>
      </c>
      <c r="DO657">
        <f>16.22189355</f>
        <v>16.221893550000001</v>
      </c>
      <c r="DP657">
        <f>15.75390773</f>
        <v>15.75390773</v>
      </c>
      <c r="DQ657">
        <f>15.77844121</f>
        <v>15.77844121</v>
      </c>
      <c r="DR657">
        <f>6.143033744</f>
        <v>6.1430337440000002</v>
      </c>
      <c r="DS657">
        <f>0.093937428</f>
        <v>9.3937428000000003E-2</v>
      </c>
      <c r="DT657">
        <f>-6.040700004</f>
        <v>-6.0407000039999996</v>
      </c>
      <c r="DU657">
        <f>-0.686207883</f>
        <v>-0.68620788300000002</v>
      </c>
    </row>
    <row r="658" spans="1:125" x14ac:dyDescent="0.25">
      <c r="A658" t="str">
        <f>"    Tofas Turk Otomobil Fabrikasi AS"</f>
        <v xml:space="preserve">    Tofas Turk Otomobil Fabrikasi AS</v>
      </c>
      <c r="B658" t="str">
        <f>"TOASOTRY EO Equity"</f>
        <v>TOASOTRY EO Equity</v>
      </c>
      <c r="C658" t="str">
        <f t="shared" si="45"/>
        <v>RX539</v>
      </c>
      <c r="D658" t="str">
        <f t="shared" si="46"/>
        <v>T12_FCF_YIELD</v>
      </c>
      <c r="E658" t="str">
        <f t="shared" si="47"/>
        <v>Dynamic</v>
      </c>
      <c r="F658">
        <f ca="1">IF(AND(ISNUMBER($F$1315),$B$677=1),$F$1315,HLOOKUP(INDIRECT(ADDRESS(2,COLUMN())),OFFSET($BN$2,0,0,ROW()-1,60),ROW()-1,FALSE))</f>
        <v>10.460040060000001</v>
      </c>
      <c r="G658">
        <f ca="1">IF(AND(ISNUMBER($G$1315),$B$677=1),$G$1315,HLOOKUP(INDIRECT(ADDRESS(2,COLUMN())),OFFSET($BN$2,0,0,ROW()-1,60),ROW()-1,FALSE))</f>
        <v>12.378745629999999</v>
      </c>
      <c r="H658">
        <f ca="1">IF(AND(ISNUMBER($H$1315),$B$677=1),$H$1315,HLOOKUP(INDIRECT(ADDRESS(2,COLUMN())),OFFSET($BN$2,0,0,ROW()-1,60),ROW()-1,FALSE))</f>
        <v>-0.96137497500000002</v>
      </c>
      <c r="I658">
        <f ca="1">IF(AND(ISNUMBER($I$1315),$B$677=1),$I$1315,HLOOKUP(INDIRECT(ADDRESS(2,COLUMN())),OFFSET($BN$2,0,0,ROW()-1,60),ROW()-1,FALSE))</f>
        <v>9.3972154089999993</v>
      </c>
      <c r="J658">
        <f ca="1">IF(AND(ISNUMBER($J$1315),$B$677=1),$J$1315,HLOOKUP(INDIRECT(ADDRESS(2,COLUMN())),OFFSET($BN$2,0,0,ROW()-1,60),ROW()-1,FALSE))</f>
        <v>6.9318712720000004</v>
      </c>
      <c r="K658">
        <f ca="1">IF(AND(ISNUMBER($K$1315),$B$677=1),$K$1315,HLOOKUP(INDIRECT(ADDRESS(2,COLUMN())),OFFSET($BN$2,0,0,ROW()-1,60),ROW()-1,FALSE))</f>
        <v>4.6326529350000003</v>
      </c>
      <c r="L658">
        <f ca="1">IF(AND(ISNUMBER($L$1315),$B$677=1),$L$1315,HLOOKUP(INDIRECT(ADDRESS(2,COLUMN())),OFFSET($BN$2,0,0,ROW()-1,60),ROW()-1,FALSE))</f>
        <v>10.591282270000001</v>
      </c>
      <c r="M658">
        <f ca="1">IF(AND(ISNUMBER($M$1315),$B$677=1),$M$1315,HLOOKUP(INDIRECT(ADDRESS(2,COLUMN())),OFFSET($BN$2,0,0,ROW()-1,60),ROW()-1,FALSE))</f>
        <v>11.062726469999999</v>
      </c>
      <c r="N658">
        <f ca="1">IF(AND(ISNUMBER($N$1315),$B$677=1),$N$1315,HLOOKUP(INDIRECT(ADDRESS(2,COLUMN())),OFFSET($BN$2,0,0,ROW()-1,60),ROW()-1,FALSE))</f>
        <v>11.274283430000001</v>
      </c>
      <c r="O658">
        <f ca="1">IF(AND(ISNUMBER($O$1315),$B$677=1),$O$1315,HLOOKUP(INDIRECT(ADDRESS(2,COLUMN())),OFFSET($BN$2,0,0,ROW()-1,60),ROW()-1,FALSE))</f>
        <v>2.7494237400000001</v>
      </c>
      <c r="P658">
        <f ca="1">IF(AND(ISNUMBER($P$1315),$B$677=1),$P$1315,HLOOKUP(INDIRECT(ADDRESS(2,COLUMN())),OFFSET($BN$2,0,0,ROW()-1,60),ROW()-1,FALSE))</f>
        <v>0.54632898200000002</v>
      </c>
      <c r="Q658">
        <f ca="1">IF(AND(ISNUMBER($Q$1315),$B$677=1),$Q$1315,HLOOKUP(INDIRECT(ADDRESS(2,COLUMN())),OFFSET($BN$2,0,0,ROW()-1,60),ROW()-1,FALSE))</f>
        <v>-3.6201775409999999</v>
      </c>
      <c r="R658">
        <f ca="1">IF(AND(ISNUMBER($R$1315),$B$677=1),$R$1315,HLOOKUP(INDIRECT(ADDRESS(2,COLUMN())),OFFSET($BN$2,0,0,ROW()-1,60),ROW()-1,FALSE))</f>
        <v>-0.52291334300000003</v>
      </c>
      <c r="S658">
        <f ca="1">IF(AND(ISNUMBER($S$1315),$B$677=1),$S$1315,HLOOKUP(INDIRECT(ADDRESS(2,COLUMN())),OFFSET($BN$2,0,0,ROW()-1,60),ROW()-1,FALSE))</f>
        <v>0.86712395900000006</v>
      </c>
      <c r="T658">
        <f ca="1">IF(AND(ISNUMBER($T$1315),$B$677=1),$T$1315,HLOOKUP(INDIRECT(ADDRESS(2,COLUMN())),OFFSET($BN$2,0,0,ROW()-1,60),ROW()-1,FALSE))</f>
        <v>-9.2223175029999993</v>
      </c>
      <c r="U658">
        <f ca="1">IF(AND(ISNUMBER($U$1315),$B$677=1),$U$1315,HLOOKUP(INDIRECT(ADDRESS(2,COLUMN())),OFFSET($BN$2,0,0,ROW()-1,60),ROW()-1,FALSE))</f>
        <v>-6.4227868959999999</v>
      </c>
      <c r="V658">
        <f ca="1">IF(AND(ISNUMBER($V$1315),$B$677=1),$V$1315,HLOOKUP(INDIRECT(ADDRESS(2,COLUMN())),OFFSET($BN$2,0,0,ROW()-1,60),ROW()-1,FALSE))</f>
        <v>-9.0330540090000007</v>
      </c>
      <c r="W658">
        <f ca="1">IF(AND(ISNUMBER($W$1315),$B$677=1),$W$1315,HLOOKUP(INDIRECT(ADDRESS(2,COLUMN())),OFFSET($BN$2,0,0,ROW()-1,60),ROW()-1,FALSE))</f>
        <v>-1.942558002</v>
      </c>
      <c r="X658">
        <f ca="1">IF(AND(ISNUMBER($X$1315),$B$677=1),$X$1315,HLOOKUP(INDIRECT(ADDRESS(2,COLUMN())),OFFSET($BN$2,0,0,ROW()-1,60),ROW()-1,FALSE))</f>
        <v>3.705750015</v>
      </c>
      <c r="Y658">
        <f ca="1">IF(AND(ISNUMBER($Y$1315),$B$677=1),$Y$1315,HLOOKUP(INDIRECT(ADDRESS(2,COLUMN())),OFFSET($BN$2,0,0,ROW()-1,60),ROW()-1,FALSE))</f>
        <v>2.9305856170000002</v>
      </c>
      <c r="Z658">
        <f ca="1">IF(AND(ISNUMBER($Z$1315),$B$677=1),$Z$1315,HLOOKUP(INDIRECT(ADDRESS(2,COLUMN())),OFFSET($BN$2,0,0,ROW()-1,60),ROW()-1,FALSE))</f>
        <v>5.0525927020000001</v>
      </c>
      <c r="AA658">
        <f ca="1">IF(AND(ISNUMBER($AA$1315),$B$677=1),$AA$1315,HLOOKUP(INDIRECT(ADDRESS(2,COLUMN())),OFFSET($BN$2,0,0,ROW()-1,60),ROW()-1,FALSE))</f>
        <v>11.50934367</v>
      </c>
      <c r="AB658">
        <f ca="1">IF(AND(ISNUMBER($AB$1315),$B$677=1),$AB$1315,HLOOKUP(INDIRECT(ADDRESS(2,COLUMN())),OFFSET($BN$2,0,0,ROW()-1,60),ROW()-1,FALSE))</f>
        <v>14.860618349999999</v>
      </c>
      <c r="AC658">
        <f ca="1">IF(AND(ISNUMBER($AC$1315),$B$677=1),$AC$1315,HLOOKUP(INDIRECT(ADDRESS(2,COLUMN())),OFFSET($BN$2,0,0,ROW()-1,60),ROW()-1,FALSE))</f>
        <v>13.93175138</v>
      </c>
      <c r="AD658">
        <f ca="1">IF(AND(ISNUMBER($AD$1315),$B$677=1),$AD$1315,HLOOKUP(INDIRECT(ADDRESS(2,COLUMN())),OFFSET($BN$2,0,0,ROW()-1,60),ROW()-1,FALSE))</f>
        <v>18.906375449999999</v>
      </c>
      <c r="AE658">
        <f ca="1">IF(AND(ISNUMBER($AE$1315),$B$677=1),$AE$1315,HLOOKUP(INDIRECT(ADDRESS(2,COLUMN())),OFFSET($BN$2,0,0,ROW()-1,60),ROW()-1,FALSE))</f>
        <v>12.68715785</v>
      </c>
      <c r="AF658">
        <f ca="1">IF(AND(ISNUMBER($AF$1315),$B$677=1),$AF$1315,HLOOKUP(INDIRECT(ADDRESS(2,COLUMN())),OFFSET($BN$2,0,0,ROW()-1,60),ROW()-1,FALSE))</f>
        <v>12.81541848</v>
      </c>
      <c r="AG658">
        <f ca="1">IF(AND(ISNUMBER($AG$1315),$B$677=1),$AG$1315,HLOOKUP(INDIRECT(ADDRESS(2,COLUMN())),OFFSET($BN$2,0,0,ROW()-1,60),ROW()-1,FALSE))</f>
        <v>9.0598966549999993</v>
      </c>
      <c r="AH658">
        <f ca="1">IF(AND(ISNUMBER($AH$1315),$B$677=1),$AH$1315,HLOOKUP(INDIRECT(ADDRESS(2,COLUMN())),OFFSET($BN$2,0,0,ROW()-1,60),ROW()-1,FALSE))</f>
        <v>-7.1279789830000002</v>
      </c>
      <c r="AI658">
        <f ca="1">IF(AND(ISNUMBER($AI$1315),$B$677=1),$AI$1315,HLOOKUP(INDIRECT(ADDRESS(2,COLUMN())),OFFSET($BN$2,0,0,ROW()-1,60),ROW()-1,FALSE))</f>
        <v>-7.9421960460000003</v>
      </c>
      <c r="AJ658">
        <f ca="1">IF(AND(ISNUMBER($AJ$1315),$B$677=1),$AJ$1315,HLOOKUP(INDIRECT(ADDRESS(2,COLUMN())),OFFSET($BN$2,0,0,ROW()-1,60),ROW()-1,FALSE))</f>
        <v>-8.316355476</v>
      </c>
      <c r="AK658">
        <f ca="1">IF(AND(ISNUMBER($AK$1315),$B$677=1),$AK$1315,HLOOKUP(INDIRECT(ADDRESS(2,COLUMN())),OFFSET($BN$2,0,0,ROW()-1,60),ROW()-1,FALSE))</f>
        <v>-0.75672982700000002</v>
      </c>
      <c r="AL658">
        <f ca="1">IF(AND(ISNUMBER($AL$1315),$B$677=1),$AL$1315,HLOOKUP(INDIRECT(ADDRESS(2,COLUMN())),OFFSET($BN$2,0,0,ROW()-1,60),ROW()-1,FALSE))</f>
        <v>-0.20600919300000001</v>
      </c>
      <c r="AM658">
        <f ca="1">IF(AND(ISNUMBER($AM$1315),$B$677=1),$AM$1315,HLOOKUP(INDIRECT(ADDRESS(2,COLUMN())),OFFSET($BN$2,0,0,ROW()-1,60),ROW()-1,FALSE))</f>
        <v>5.308819046</v>
      </c>
      <c r="AN658">
        <f ca="1">IF(AND(ISNUMBER($AN$1315),$B$677=1),$AN$1315,HLOOKUP(INDIRECT(ADDRESS(2,COLUMN())),OFFSET($BN$2,0,0,ROW()-1,60),ROW()-1,FALSE))</f>
        <v>11.01669313</v>
      </c>
      <c r="AO658">
        <f ca="1">IF(AND(ISNUMBER($AO$1315),$B$677=1),$AO$1315,HLOOKUP(INDIRECT(ADDRESS(2,COLUMN())),OFFSET($BN$2,0,0,ROW()-1,60),ROW()-1,FALSE))</f>
        <v>12.108777529999999</v>
      </c>
      <c r="AP658">
        <f ca="1">IF(AND(ISNUMBER($AP$1315),$B$677=1),$AP$1315,HLOOKUP(INDIRECT(ADDRESS(2,COLUMN())),OFFSET($BN$2,0,0,ROW()-1,60),ROW()-1,FALSE))</f>
        <v>24.100105450000001</v>
      </c>
      <c r="AQ658">
        <f ca="1">IF(AND(ISNUMBER($AQ$1315),$B$677=1),$AQ$1315,HLOOKUP(INDIRECT(ADDRESS(2,COLUMN())),OFFSET($BN$2,0,0,ROW()-1,60),ROW()-1,FALSE))</f>
        <v>17.980424209999999</v>
      </c>
      <c r="AR658">
        <f ca="1">IF(AND(ISNUMBER($AR$1315),$B$677=1),$AR$1315,HLOOKUP(INDIRECT(ADDRESS(2,COLUMN())),OFFSET($BN$2,0,0,ROW()-1,60),ROW()-1,FALSE))</f>
        <v>-4.2322956520000004</v>
      </c>
      <c r="AS658">
        <f ca="1">IF(AND(ISNUMBER($AS$1315),$B$677=1),$AS$1315,HLOOKUP(INDIRECT(ADDRESS(2,COLUMN())),OFFSET($BN$2,0,0,ROW()-1,60),ROW()-1,FALSE))</f>
        <v>-14.540518</v>
      </c>
      <c r="AT658">
        <f ca="1">IF(AND(ISNUMBER($AT$1315),$B$677=1),$AT$1315,HLOOKUP(INDIRECT(ADDRESS(2,COLUMN())),OFFSET($BN$2,0,0,ROW()-1,60),ROW()-1,FALSE))</f>
        <v>-71.762738150000004</v>
      </c>
      <c r="AU658">
        <f ca="1">IF(AND(ISNUMBER($AU$1315),$B$677=1),$AU$1315,HLOOKUP(INDIRECT(ADDRESS(2,COLUMN())),OFFSET($BN$2,0,0,ROW()-1,60),ROW()-1,FALSE))</f>
        <v>-102.8462608</v>
      </c>
      <c r="AV658">
        <f ca="1">IF(AND(ISNUMBER($AV$1315),$B$677=1),$AV$1315,HLOOKUP(INDIRECT(ADDRESS(2,COLUMN())),OFFSET($BN$2,0,0,ROW()-1,60),ROW()-1,FALSE))</f>
        <v>-30.853656369999999</v>
      </c>
      <c r="AW658">
        <f ca="1">IF(AND(ISNUMBER($AW$1315),$B$677=1),$AW$1315,HLOOKUP(INDIRECT(ADDRESS(2,COLUMN())),OFFSET($BN$2,0,0,ROW()-1,60),ROW()-1,FALSE))</f>
        <v>-16.61971917</v>
      </c>
      <c r="AX658">
        <f ca="1">IF(AND(ISNUMBER($AX$1315),$B$677=1),$AX$1315,HLOOKUP(INDIRECT(ADDRESS(2,COLUMN())),OFFSET($BN$2,0,0,ROW()-1,60),ROW()-1,FALSE))</f>
        <v>-16.787724220000001</v>
      </c>
      <c r="AY658">
        <f ca="1">IF(AND(ISNUMBER($AY$1315),$B$677=1),$AY$1315,HLOOKUP(INDIRECT(ADDRESS(2,COLUMN())),OFFSET($BN$2,0,0,ROW()-1,60),ROW()-1,FALSE))</f>
        <v>-15.248393050000001</v>
      </c>
      <c r="AZ658">
        <f ca="1">IF(AND(ISNUMBER($AZ$1315),$B$677=1),$AZ$1315,HLOOKUP(INDIRECT(ADDRESS(2,COLUMN())),OFFSET($BN$2,0,0,ROW()-1,60),ROW()-1,FALSE))</f>
        <v>-16.69709362</v>
      </c>
      <c r="BA658">
        <f ca="1">IF(AND(ISNUMBER($BA$1315),$B$677=1),$BA$1315,HLOOKUP(INDIRECT(ADDRESS(2,COLUMN())),OFFSET($BN$2,0,0,ROW()-1,60),ROW()-1,FALSE))</f>
        <v>-19.076129269999999</v>
      </c>
      <c r="BB658">
        <f ca="1">IF(AND(ISNUMBER($BB$1315),$B$677=1),$BB$1315,HLOOKUP(INDIRECT(ADDRESS(2,COLUMN())),OFFSET($BN$2,0,0,ROW()-1,60),ROW()-1,FALSE))</f>
        <v>-12.81592618</v>
      </c>
      <c r="BC658">
        <f ca="1">IF(AND(ISNUMBER($BC$1315),$B$677=1),$BC$1315,HLOOKUP(INDIRECT(ADDRESS(2,COLUMN())),OFFSET($BN$2,0,0,ROW()-1,60),ROW()-1,FALSE))</f>
        <v>-5.9968577449999998</v>
      </c>
      <c r="BD658">
        <f ca="1">IF(AND(ISNUMBER($BD$1315),$B$677=1),$BD$1315,HLOOKUP(INDIRECT(ADDRESS(2,COLUMN())),OFFSET($BN$2,0,0,ROW()-1,60),ROW()-1,FALSE))</f>
        <v>-4.1509846860000001</v>
      </c>
      <c r="BE658">
        <f ca="1">IF(AND(ISNUMBER($BE$1315),$B$677=1),$BE$1315,HLOOKUP(INDIRECT(ADDRESS(2,COLUMN())),OFFSET($BN$2,0,0,ROW()-1,60),ROW()-1,FALSE))</f>
        <v>8.4604857500000001</v>
      </c>
      <c r="BF658">
        <f ca="1">IF(AND(ISNUMBER($BF$1315),$B$677=1),$BF$1315,HLOOKUP(INDIRECT(ADDRESS(2,COLUMN())),OFFSET($BN$2,0,0,ROW()-1,60),ROW()-1,FALSE))</f>
        <v>7.5985465110000003</v>
      </c>
      <c r="BG658">
        <f ca="1">IF(AND(ISNUMBER($BG$1315),$B$677=1),$BG$1315,HLOOKUP(INDIRECT(ADDRESS(2,COLUMN())),OFFSET($BN$2,0,0,ROW()-1,60),ROW()-1,FALSE))</f>
        <v>9.3129594349999998</v>
      </c>
      <c r="BH658" t="str">
        <f ca="1">IF(AND(ISNUMBER($BH$1315),$B$677=1),$BH$1315,HLOOKUP(INDIRECT(ADDRESS(2,COLUMN())),OFFSET($BN$2,0,0,ROW()-1,60),ROW()-1,FALSE))</f>
        <v/>
      </c>
      <c r="BI658" t="str">
        <f ca="1">IF(AND(ISNUMBER($BI$1315),$B$677=1),$BI$1315,HLOOKUP(INDIRECT(ADDRESS(2,COLUMN())),OFFSET($BN$2,0,0,ROW()-1,60),ROW()-1,FALSE))</f>
        <v/>
      </c>
      <c r="BJ658" t="str">
        <f ca="1">IF(AND(ISNUMBER($BJ$1315),$B$677=1),$BJ$1315,HLOOKUP(INDIRECT(ADDRESS(2,COLUMN())),OFFSET($BN$2,0,0,ROW()-1,60),ROW()-1,FALSE))</f>
        <v/>
      </c>
      <c r="BK658" t="str">
        <f ca="1">IF(AND(ISNUMBER($BK$1315),$B$677=1),$BK$1315,HLOOKUP(INDIRECT(ADDRESS(2,COLUMN())),OFFSET($BN$2,0,0,ROW()-1,60),ROW()-1,FALSE))</f>
        <v/>
      </c>
      <c r="BL658" t="str">
        <f ca="1">IF(AND(ISNUMBER($BL$1315),$B$677=1),$BL$1315,HLOOKUP(INDIRECT(ADDRESS(2,COLUMN())),OFFSET($BN$2,0,0,ROW()-1,60),ROW()-1,FALSE))</f>
        <v/>
      </c>
      <c r="BM658" t="str">
        <f ca="1">IF(AND(ISNUMBER($BM$1315),$B$677=1),$BM$1315,HLOOKUP(INDIRECT(ADDRESS(2,COLUMN())),OFFSET($BN$2,0,0,ROW()-1,60),ROW()-1,FALSE))</f>
        <v/>
      </c>
      <c r="BN658">
        <f>10.46004006</f>
        <v>10.460040060000001</v>
      </c>
      <c r="BO658">
        <f>12.37874563</f>
        <v>12.378745629999999</v>
      </c>
      <c r="BP658">
        <f>-0.961374975</f>
        <v>-0.96137497500000002</v>
      </c>
      <c r="BQ658">
        <f>9.397215409</f>
        <v>9.3972154089999993</v>
      </c>
      <c r="BR658">
        <f>6.931871272</f>
        <v>6.9318712720000004</v>
      </c>
      <c r="BS658">
        <f>4.632652935</f>
        <v>4.6326529350000003</v>
      </c>
      <c r="BT658">
        <f>10.59128227</f>
        <v>10.591282270000001</v>
      </c>
      <c r="BU658">
        <f>11.06272647</f>
        <v>11.062726469999999</v>
      </c>
      <c r="BV658">
        <f>11.27428343</f>
        <v>11.274283430000001</v>
      </c>
      <c r="BW658">
        <f>2.74942374</f>
        <v>2.7494237400000001</v>
      </c>
      <c r="BX658">
        <f>0.546328982</f>
        <v>0.54632898200000002</v>
      </c>
      <c r="BY658">
        <f>-3.620177541</f>
        <v>-3.6201775409999999</v>
      </c>
      <c r="BZ658">
        <f>-0.522913343</f>
        <v>-0.52291334300000003</v>
      </c>
      <c r="CA658">
        <f>0.867123959</f>
        <v>0.86712395900000006</v>
      </c>
      <c r="CB658">
        <f>-9.222317503</f>
        <v>-9.2223175029999993</v>
      </c>
      <c r="CC658">
        <f>-6.422786896</f>
        <v>-6.4227868959999999</v>
      </c>
      <c r="CD658">
        <f>-9.033054009</f>
        <v>-9.0330540090000007</v>
      </c>
      <c r="CE658">
        <f>-1.942558002</f>
        <v>-1.942558002</v>
      </c>
      <c r="CF658">
        <f>3.705750015</f>
        <v>3.705750015</v>
      </c>
      <c r="CG658">
        <f>2.930585617</f>
        <v>2.9305856170000002</v>
      </c>
      <c r="CH658">
        <f>5.052592702</f>
        <v>5.0525927020000001</v>
      </c>
      <c r="CI658">
        <f>11.50934367</f>
        <v>11.50934367</v>
      </c>
      <c r="CJ658">
        <f>14.86061835</f>
        <v>14.860618349999999</v>
      </c>
      <c r="CK658">
        <f>13.93175138</f>
        <v>13.93175138</v>
      </c>
      <c r="CL658">
        <f>18.90637545</f>
        <v>18.906375449999999</v>
      </c>
      <c r="CM658">
        <f>12.68715785</f>
        <v>12.68715785</v>
      </c>
      <c r="CN658">
        <f>12.81541848</f>
        <v>12.81541848</v>
      </c>
      <c r="CO658">
        <f>9.059896655</f>
        <v>9.0598966549999993</v>
      </c>
      <c r="CP658">
        <f>-7.127978983</f>
        <v>-7.1279789830000002</v>
      </c>
      <c r="CQ658">
        <f>-7.942196046</f>
        <v>-7.9421960460000003</v>
      </c>
      <c r="CR658">
        <f>-8.316355476</f>
        <v>-8.316355476</v>
      </c>
      <c r="CS658">
        <f>-0.756729827</f>
        <v>-0.75672982700000002</v>
      </c>
      <c r="CT658">
        <f>-0.206009193</f>
        <v>-0.20600919300000001</v>
      </c>
      <c r="CU658">
        <f>5.308819046</f>
        <v>5.308819046</v>
      </c>
      <c r="CV658">
        <f>11.01669313</f>
        <v>11.01669313</v>
      </c>
      <c r="CW658">
        <f>12.10877753</f>
        <v>12.108777529999999</v>
      </c>
      <c r="CX658">
        <f>24.10010545</f>
        <v>24.100105450000001</v>
      </c>
      <c r="CY658">
        <f>17.98042421</f>
        <v>17.980424209999999</v>
      </c>
      <c r="CZ658">
        <f>-4.232295652</f>
        <v>-4.2322956520000004</v>
      </c>
      <c r="DA658">
        <f>-14.540518</f>
        <v>-14.540518</v>
      </c>
      <c r="DB658">
        <f>-71.76273815</f>
        <v>-71.762738150000004</v>
      </c>
      <c r="DC658">
        <f>-102.8462608</f>
        <v>-102.8462608</v>
      </c>
      <c r="DD658">
        <f>-30.85365637</f>
        <v>-30.853656369999999</v>
      </c>
      <c r="DE658">
        <f>-16.61971917</f>
        <v>-16.61971917</v>
      </c>
      <c r="DF658">
        <f>-16.78772422</f>
        <v>-16.787724220000001</v>
      </c>
      <c r="DG658">
        <f>-15.24839305</f>
        <v>-15.248393050000001</v>
      </c>
      <c r="DH658">
        <f>-16.69709362</f>
        <v>-16.69709362</v>
      </c>
      <c r="DI658">
        <f>-19.07612927</f>
        <v>-19.076129269999999</v>
      </c>
      <c r="DJ658">
        <f>-12.81592618</f>
        <v>-12.81592618</v>
      </c>
      <c r="DK658">
        <f>-5.996857745</f>
        <v>-5.9968577449999998</v>
      </c>
      <c r="DL658">
        <f>-4.150984686</f>
        <v>-4.1509846860000001</v>
      </c>
      <c r="DM658">
        <f>8.46048575</f>
        <v>8.4604857500000001</v>
      </c>
      <c r="DN658">
        <f>7.598546511</f>
        <v>7.5985465110000003</v>
      </c>
      <c r="DO658">
        <f>9.312959435</f>
        <v>9.3129594349999998</v>
      </c>
      <c r="DP658" t="str">
        <f>""</f>
        <v/>
      </c>
      <c r="DQ658" t="str">
        <f>""</f>
        <v/>
      </c>
      <c r="DR658" t="str">
        <f>""</f>
        <v/>
      </c>
      <c r="DS658" t="str">
        <f>""</f>
        <v/>
      </c>
      <c r="DT658" t="str">
        <f>""</f>
        <v/>
      </c>
      <c r="DU658" t="str">
        <f>""</f>
        <v/>
      </c>
    </row>
    <row r="659" spans="1:125" x14ac:dyDescent="0.25">
      <c r="A659" t="str">
        <f>"    Toyota Motor Corp"</f>
        <v xml:space="preserve">    Toyota Motor Corp</v>
      </c>
      <c r="B659" t="str">
        <f>"7203 JP Equity"</f>
        <v>7203 JP Equity</v>
      </c>
      <c r="C659" t="str">
        <f t="shared" si="45"/>
        <v>RX539</v>
      </c>
      <c r="D659" t="str">
        <f t="shared" si="46"/>
        <v>T12_FCF_YIELD</v>
      </c>
      <c r="E659" t="str">
        <f t="shared" si="47"/>
        <v>Dynamic</v>
      </c>
      <c r="F659">
        <f ca="1">IF(AND(ISNUMBER($F$1316),$B$677=1),$F$1316,HLOOKUP(INDIRECT(ADDRESS(2,COLUMN())),OFFSET($BN$2,0,0,ROW()-1,60),ROW()-1,FALSE))</f>
        <v>12.58789075</v>
      </c>
      <c r="G659">
        <f ca="1">IF(AND(ISNUMBER($G$1316),$B$677=1),$G$1316,HLOOKUP(INDIRECT(ADDRESS(2,COLUMN())),OFFSET($BN$2,0,0,ROW()-1,60),ROW()-1,FALSE))</f>
        <v>13.20490569</v>
      </c>
      <c r="H659">
        <f ca="1">IF(AND(ISNUMBER($H$1316),$B$677=1),$H$1316,HLOOKUP(INDIRECT(ADDRESS(2,COLUMN())),OFFSET($BN$2,0,0,ROW()-1,60),ROW()-1,FALSE))</f>
        <v>11.094836669999999</v>
      </c>
      <c r="I659">
        <f ca="1">IF(AND(ISNUMBER($I$1316),$B$677=1),$I$1316,HLOOKUP(INDIRECT(ADDRESS(2,COLUMN())),OFFSET($BN$2,0,0,ROW()-1,60),ROW()-1,FALSE))</f>
        <v>10.80763073</v>
      </c>
      <c r="J659">
        <f ca="1">IF(AND(ISNUMBER($J$1316),$B$677=1),$J$1316,HLOOKUP(INDIRECT(ADDRESS(2,COLUMN())),OFFSET($BN$2,0,0,ROW()-1,60),ROW()-1,FALSE))</f>
        <v>13.10685909</v>
      </c>
      <c r="K659">
        <f ca="1">IF(AND(ISNUMBER($K$1316),$B$677=1),$K$1316,HLOOKUP(INDIRECT(ADDRESS(2,COLUMN())),OFFSET($BN$2,0,0,ROW()-1,60),ROW()-1,FALSE))</f>
        <v>12.16230833</v>
      </c>
      <c r="L659">
        <f ca="1">IF(AND(ISNUMBER($L$1316),$B$677=1),$L$1316,HLOOKUP(INDIRECT(ADDRESS(2,COLUMN())),OFFSET($BN$2,0,0,ROW()-1,60),ROW()-1,FALSE))</f>
        <v>12.18577279</v>
      </c>
      <c r="M659">
        <f ca="1">IF(AND(ISNUMBER($M$1316),$B$677=1),$M$1316,HLOOKUP(INDIRECT(ADDRESS(2,COLUMN())),OFFSET($BN$2,0,0,ROW()-1,60),ROW()-1,FALSE))</f>
        <v>11.163380030000001</v>
      </c>
      <c r="N659">
        <f ca="1">IF(AND(ISNUMBER($N$1316),$B$677=1),$N$1316,HLOOKUP(INDIRECT(ADDRESS(2,COLUMN())),OFFSET($BN$2,0,0,ROW()-1,60),ROW()-1,FALSE))</f>
        <v>11.110096520000001</v>
      </c>
      <c r="O659">
        <f ca="1">IF(AND(ISNUMBER($O$1316),$B$677=1),$O$1316,HLOOKUP(INDIRECT(ADDRESS(2,COLUMN())),OFFSET($BN$2,0,0,ROW()-1,60),ROW()-1,FALSE))</f>
        <v>10.47081835</v>
      </c>
      <c r="P659">
        <f ca="1">IF(AND(ISNUMBER($P$1316),$B$677=1),$P$1316,HLOOKUP(INDIRECT(ADDRESS(2,COLUMN())),OFFSET($BN$2,0,0,ROW()-1,60),ROW()-1,FALSE))</f>
        <v>14.68936605</v>
      </c>
      <c r="Q659">
        <f ca="1">IF(AND(ISNUMBER($Q$1316),$B$677=1),$Q$1316,HLOOKUP(INDIRECT(ADDRESS(2,COLUMN())),OFFSET($BN$2,0,0,ROW()-1,60),ROW()-1,FALSE))</f>
        <v>19.37876872</v>
      </c>
      <c r="R659">
        <f ca="1">IF(AND(ISNUMBER($R$1316),$B$677=1),$R$1316,HLOOKUP(INDIRECT(ADDRESS(2,COLUMN())),OFFSET($BN$2,0,0,ROW()-1,60),ROW()-1,FALSE))</f>
        <v>15.997333190000001</v>
      </c>
      <c r="S659">
        <f ca="1">IF(AND(ISNUMBER($S$1316),$B$677=1),$S$1316,HLOOKUP(INDIRECT(ADDRESS(2,COLUMN())),OFFSET($BN$2,0,0,ROW()-1,60),ROW()-1,FALSE))</f>
        <v>12.339192499999999</v>
      </c>
      <c r="T659">
        <f ca="1">IF(AND(ISNUMBER($T$1316),$B$677=1),$T$1316,HLOOKUP(INDIRECT(ADDRESS(2,COLUMN())),OFFSET($BN$2,0,0,ROW()-1,60),ROW()-1,FALSE))</f>
        <v>11.297300140000001</v>
      </c>
      <c r="U659">
        <f ca="1">IF(AND(ISNUMBER($U$1316),$B$677=1),$U$1316,HLOOKUP(INDIRECT(ADDRESS(2,COLUMN())),OFFSET($BN$2,0,0,ROW()-1,60),ROW()-1,FALSE))</f>
        <v>9.5347950289999996</v>
      </c>
      <c r="V659">
        <f ca="1">IF(AND(ISNUMBER($V$1316),$B$677=1),$V$1316,HLOOKUP(INDIRECT(ADDRESS(2,COLUMN())),OFFSET($BN$2,0,0,ROW()-1,60),ROW()-1,FALSE))</f>
        <v>8.862696691</v>
      </c>
      <c r="W659">
        <f ca="1">IF(AND(ISNUMBER($W$1316),$B$677=1),$W$1316,HLOOKUP(INDIRECT(ADDRESS(2,COLUMN())),OFFSET($BN$2,0,0,ROW()-1,60),ROW()-1,FALSE))</f>
        <v>8.5101877649999995</v>
      </c>
      <c r="X659">
        <f ca="1">IF(AND(ISNUMBER($X$1316),$B$677=1),$X$1316,HLOOKUP(INDIRECT(ADDRESS(2,COLUMN())),OFFSET($BN$2,0,0,ROW()-1,60),ROW()-1,FALSE))</f>
        <v>10.580159220000001</v>
      </c>
      <c r="Y659">
        <f ca="1">IF(AND(ISNUMBER($Y$1316),$B$677=1),$Y$1316,HLOOKUP(INDIRECT(ADDRESS(2,COLUMN())),OFFSET($BN$2,0,0,ROW()-1,60),ROW()-1,FALSE))</f>
        <v>12.009085519999999</v>
      </c>
      <c r="Z659">
        <f ca="1">IF(AND(ISNUMBER($Z$1316),$B$677=1),$Z$1316,HLOOKUP(INDIRECT(ADDRESS(2,COLUMN())),OFFSET($BN$2,0,0,ROW()-1,60),ROW()-1,FALSE))</f>
        <v>13.3214332</v>
      </c>
      <c r="AA659">
        <f ca="1">IF(AND(ISNUMBER($AA$1316),$B$677=1),$AA$1316,HLOOKUP(INDIRECT(ADDRESS(2,COLUMN())),OFFSET($BN$2,0,0,ROW()-1,60),ROW()-1,FALSE))</f>
        <v>11.20616564</v>
      </c>
      <c r="AB659">
        <f ca="1">IF(AND(ISNUMBER($AB$1316),$B$677=1),$AB$1316,HLOOKUP(INDIRECT(ADDRESS(2,COLUMN())),OFFSET($BN$2,0,0,ROW()-1,60),ROW()-1,FALSE))</f>
        <v>10.274470060000001</v>
      </c>
      <c r="AC659">
        <f ca="1">IF(AND(ISNUMBER($AC$1316),$B$677=1),$AC$1316,HLOOKUP(INDIRECT(ADDRESS(2,COLUMN())),OFFSET($BN$2,0,0,ROW()-1,60),ROW()-1,FALSE))</f>
        <v>9.0408139730000006</v>
      </c>
      <c r="AD659">
        <f ca="1">IF(AND(ISNUMBER($AD$1316),$B$677=1),$AD$1316,HLOOKUP(INDIRECT(ADDRESS(2,COLUMN())),OFFSET($BN$2,0,0,ROW()-1,60),ROW()-1,FALSE))</f>
        <v>9.5287309790000005</v>
      </c>
      <c r="AE659">
        <f ca="1">IF(AND(ISNUMBER($AE$1316),$B$677=1),$AE$1316,HLOOKUP(INDIRECT(ADDRESS(2,COLUMN())),OFFSET($BN$2,0,0,ROW()-1,60),ROW()-1,FALSE))</f>
        <v>11.57980549</v>
      </c>
      <c r="AF659">
        <f ca="1">IF(AND(ISNUMBER($AF$1316),$B$677=1),$AF$1316,HLOOKUP(INDIRECT(ADDRESS(2,COLUMN())),OFFSET($BN$2,0,0,ROW()-1,60),ROW()-1,FALSE))</f>
        <v>13.725271879999999</v>
      </c>
      <c r="AG659">
        <f ca="1">IF(AND(ISNUMBER($AG$1316),$B$677=1),$AG$1316,HLOOKUP(INDIRECT(ADDRESS(2,COLUMN())),OFFSET($BN$2,0,0,ROW()-1,60),ROW()-1,FALSE))</f>
        <v>10.04071946</v>
      </c>
      <c r="AH659">
        <f ca="1">IF(AND(ISNUMBER($AH$1316),$B$677=1),$AH$1316,HLOOKUP(INDIRECT(ADDRESS(2,COLUMN())),OFFSET($BN$2,0,0,ROW()-1,60),ROW()-1,FALSE))</f>
        <v>5.9214980800000001</v>
      </c>
      <c r="AI659">
        <f ca="1">IF(AND(ISNUMBER($AI$1316),$B$677=1),$AI$1316,HLOOKUP(INDIRECT(ADDRESS(2,COLUMN())),OFFSET($BN$2,0,0,ROW()-1,60),ROW()-1,FALSE))</f>
        <v>7.7713270129999996</v>
      </c>
      <c r="AJ659">
        <f ca="1">IF(AND(ISNUMBER($AJ$1316),$B$677=1),$AJ$1316,HLOOKUP(INDIRECT(ADDRESS(2,COLUMN())),OFFSET($BN$2,0,0,ROW()-1,60),ROW()-1,FALSE))</f>
        <v>6.796430967</v>
      </c>
      <c r="AK659">
        <f ca="1">IF(AND(ISNUMBER($AK$1316),$B$677=1),$AK$1316,HLOOKUP(INDIRECT(ADDRESS(2,COLUMN())),OFFSET($BN$2,0,0,ROW()-1,60),ROW()-1,FALSE))</f>
        <v>8.1777230850000002</v>
      </c>
      <c r="AL659">
        <f ca="1">IF(AND(ISNUMBER($AL$1316),$B$677=1),$AL$1316,HLOOKUP(INDIRECT(ADDRESS(2,COLUMN())),OFFSET($BN$2,0,0,ROW()-1,60),ROW()-1,FALSE))</f>
        <v>12.074349720000001</v>
      </c>
      <c r="AM659">
        <f ca="1">IF(AND(ISNUMBER($AM$1316),$B$677=1),$AM$1316,HLOOKUP(INDIRECT(ADDRESS(2,COLUMN())),OFFSET($BN$2,0,0,ROW()-1,60),ROW()-1,FALSE))</f>
        <v>12.31351119</v>
      </c>
      <c r="AN659">
        <f ca="1">IF(AND(ISNUMBER($AN$1316),$B$677=1),$AN$1316,HLOOKUP(INDIRECT(ADDRESS(2,COLUMN())),OFFSET($BN$2,0,0,ROW()-1,60),ROW()-1,FALSE))</f>
        <v>16.042144629999999</v>
      </c>
      <c r="AO659">
        <f ca="1">IF(AND(ISNUMBER($AO$1316),$B$677=1),$AO$1316,HLOOKUP(INDIRECT(ADDRESS(2,COLUMN())),OFFSET($BN$2,0,0,ROW()-1,60),ROW()-1,FALSE))</f>
        <v>21.046264189999999</v>
      </c>
      <c r="AP659">
        <f ca="1">IF(AND(ISNUMBER($AP$1316),$B$677=1),$AP$1316,HLOOKUP(INDIRECT(ADDRESS(2,COLUMN())),OFFSET($BN$2,0,0,ROW()-1,60),ROW()-1,FALSE))</f>
        <v>15.132282979999999</v>
      </c>
      <c r="AQ659">
        <f ca="1">IF(AND(ISNUMBER($AQ$1316),$B$677=1),$AQ$1316,HLOOKUP(INDIRECT(ADDRESS(2,COLUMN())),OFFSET($BN$2,0,0,ROW()-1,60),ROW()-1,FALSE))</f>
        <v>11.89476438</v>
      </c>
      <c r="AR659">
        <f ca="1">IF(AND(ISNUMBER($AR$1316),$B$677=1),$AR$1316,HLOOKUP(INDIRECT(ADDRESS(2,COLUMN())),OFFSET($BN$2,0,0,ROW()-1,60),ROW()-1,FALSE))</f>
        <v>4.3802389550000003</v>
      </c>
      <c r="AS659">
        <f ca="1">IF(AND(ISNUMBER($AS$1316),$B$677=1),$AS$1316,HLOOKUP(INDIRECT(ADDRESS(2,COLUMN())),OFFSET($BN$2,0,0,ROW()-1,60),ROW()-1,FALSE))</f>
        <v>-0.98668808100000005</v>
      </c>
      <c r="AT659">
        <f ca="1">IF(AND(ISNUMBER($AT$1316),$B$677=1),$AT$1316,HLOOKUP(INDIRECT(ADDRESS(2,COLUMN())),OFFSET($BN$2,0,0,ROW()-1,60),ROW()-1,FALSE))</f>
        <v>1.0441121529999999</v>
      </c>
      <c r="AU659" t="str">
        <f ca="1">IF(AND(ISNUMBER($AU$1316),$B$677=1),$AU$1316,HLOOKUP(INDIRECT(ADDRESS(2,COLUMN())),OFFSET($BN$2,0,0,ROW()-1,60),ROW()-1,FALSE))</f>
        <v/>
      </c>
      <c r="AV659" t="str">
        <f ca="1">IF(AND(ISNUMBER($AV$1316),$B$677=1),$AV$1316,HLOOKUP(INDIRECT(ADDRESS(2,COLUMN())),OFFSET($BN$2,0,0,ROW()-1,60),ROW()-1,FALSE))</f>
        <v/>
      </c>
      <c r="AW659" t="str">
        <f ca="1">IF(AND(ISNUMBER($AW$1316),$B$677=1),$AW$1316,HLOOKUP(INDIRECT(ADDRESS(2,COLUMN())),OFFSET($BN$2,0,0,ROW()-1,60),ROW()-1,FALSE))</f>
        <v/>
      </c>
      <c r="AX659" t="str">
        <f ca="1">IF(AND(ISNUMBER($AX$1316),$B$677=1),$AX$1316,HLOOKUP(INDIRECT(ADDRESS(2,COLUMN())),OFFSET($BN$2,0,0,ROW()-1,60),ROW()-1,FALSE))</f>
        <v/>
      </c>
      <c r="AY659" t="str">
        <f ca="1">IF(AND(ISNUMBER($AY$1316),$B$677=1),$AY$1316,HLOOKUP(INDIRECT(ADDRESS(2,COLUMN())),OFFSET($BN$2,0,0,ROW()-1,60),ROW()-1,FALSE))</f>
        <v/>
      </c>
      <c r="AZ659" t="str">
        <f ca="1">IF(AND(ISNUMBER($AZ$1316),$B$677=1),$AZ$1316,HLOOKUP(INDIRECT(ADDRESS(2,COLUMN())),OFFSET($BN$2,0,0,ROW()-1,60),ROW()-1,FALSE))</f>
        <v/>
      </c>
      <c r="BA659" t="str">
        <f ca="1">IF(AND(ISNUMBER($BA$1316),$B$677=1),$BA$1316,HLOOKUP(INDIRECT(ADDRESS(2,COLUMN())),OFFSET($BN$2,0,0,ROW()-1,60),ROW()-1,FALSE))</f>
        <v/>
      </c>
      <c r="BB659" t="str">
        <f ca="1">IF(AND(ISNUMBER($BB$1316),$B$677=1),$BB$1316,HLOOKUP(INDIRECT(ADDRESS(2,COLUMN())),OFFSET($BN$2,0,0,ROW()-1,60),ROW()-1,FALSE))</f>
        <v/>
      </c>
      <c r="BC659" t="str">
        <f ca="1">IF(AND(ISNUMBER($BC$1316),$B$677=1),$BC$1316,HLOOKUP(INDIRECT(ADDRESS(2,COLUMN())),OFFSET($BN$2,0,0,ROW()-1,60),ROW()-1,FALSE))</f>
        <v/>
      </c>
      <c r="BD659" t="str">
        <f ca="1">IF(AND(ISNUMBER($BD$1316),$B$677=1),$BD$1316,HLOOKUP(INDIRECT(ADDRESS(2,COLUMN())),OFFSET($BN$2,0,0,ROW()-1,60),ROW()-1,FALSE))</f>
        <v/>
      </c>
      <c r="BE659" t="str">
        <f ca="1">IF(AND(ISNUMBER($BE$1316),$B$677=1),$BE$1316,HLOOKUP(INDIRECT(ADDRESS(2,COLUMN())),OFFSET($BN$2,0,0,ROW()-1,60),ROW()-1,FALSE))</f>
        <v/>
      </c>
      <c r="BF659" t="str">
        <f ca="1">IF(AND(ISNUMBER($BF$1316),$B$677=1),$BF$1316,HLOOKUP(INDIRECT(ADDRESS(2,COLUMN())),OFFSET($BN$2,0,0,ROW()-1,60),ROW()-1,FALSE))</f>
        <v/>
      </c>
      <c r="BG659" t="str">
        <f ca="1">IF(AND(ISNUMBER($BG$1316),$B$677=1),$BG$1316,HLOOKUP(INDIRECT(ADDRESS(2,COLUMN())),OFFSET($BN$2,0,0,ROW()-1,60),ROW()-1,FALSE))</f>
        <v/>
      </c>
      <c r="BH659" t="str">
        <f ca="1">IF(AND(ISNUMBER($BH$1316),$B$677=1),$BH$1316,HLOOKUP(INDIRECT(ADDRESS(2,COLUMN())),OFFSET($BN$2,0,0,ROW()-1,60),ROW()-1,FALSE))</f>
        <v/>
      </c>
      <c r="BI659" t="str">
        <f ca="1">IF(AND(ISNUMBER($BI$1316),$B$677=1),$BI$1316,HLOOKUP(INDIRECT(ADDRESS(2,COLUMN())),OFFSET($BN$2,0,0,ROW()-1,60),ROW()-1,FALSE))</f>
        <v/>
      </c>
      <c r="BJ659" t="str">
        <f ca="1">IF(AND(ISNUMBER($BJ$1316),$B$677=1),$BJ$1316,HLOOKUP(INDIRECT(ADDRESS(2,COLUMN())),OFFSET($BN$2,0,0,ROW()-1,60),ROW()-1,FALSE))</f>
        <v/>
      </c>
      <c r="BK659" t="str">
        <f ca="1">IF(AND(ISNUMBER($BK$1316),$B$677=1),$BK$1316,HLOOKUP(INDIRECT(ADDRESS(2,COLUMN())),OFFSET($BN$2,0,0,ROW()-1,60),ROW()-1,FALSE))</f>
        <v/>
      </c>
      <c r="BL659" t="str">
        <f ca="1">IF(AND(ISNUMBER($BL$1316),$B$677=1),$BL$1316,HLOOKUP(INDIRECT(ADDRESS(2,COLUMN())),OFFSET($BN$2,0,0,ROW()-1,60),ROW()-1,FALSE))</f>
        <v/>
      </c>
      <c r="BM659" t="str">
        <f ca="1">IF(AND(ISNUMBER($BM$1316),$B$677=1),$BM$1316,HLOOKUP(INDIRECT(ADDRESS(2,COLUMN())),OFFSET($BN$2,0,0,ROW()-1,60),ROW()-1,FALSE))</f>
        <v/>
      </c>
      <c r="BN659">
        <f>12.58789075</f>
        <v>12.58789075</v>
      </c>
      <c r="BO659">
        <f>13.20490569</f>
        <v>13.20490569</v>
      </c>
      <c r="BP659">
        <f>11.09483667</f>
        <v>11.094836669999999</v>
      </c>
      <c r="BQ659">
        <f>10.80763073</f>
        <v>10.80763073</v>
      </c>
      <c r="BR659">
        <f>13.10685909</f>
        <v>13.10685909</v>
      </c>
      <c r="BS659">
        <f>12.16230833</f>
        <v>12.16230833</v>
      </c>
      <c r="BT659">
        <f>12.18577279</f>
        <v>12.18577279</v>
      </c>
      <c r="BU659">
        <f>11.16338003</f>
        <v>11.163380030000001</v>
      </c>
      <c r="BV659">
        <f>11.11009652</f>
        <v>11.110096520000001</v>
      </c>
      <c r="BW659">
        <f>10.47081835</f>
        <v>10.47081835</v>
      </c>
      <c r="BX659">
        <f>14.68936605</f>
        <v>14.68936605</v>
      </c>
      <c r="BY659">
        <f>19.37876872</f>
        <v>19.37876872</v>
      </c>
      <c r="BZ659">
        <f>15.99733319</f>
        <v>15.997333190000001</v>
      </c>
      <c r="CA659">
        <f>12.3391925</f>
        <v>12.339192499999999</v>
      </c>
      <c r="CB659">
        <f>11.29730014</f>
        <v>11.297300140000001</v>
      </c>
      <c r="CC659">
        <f>9.534795029</f>
        <v>9.5347950289999996</v>
      </c>
      <c r="CD659">
        <f>8.862696691</f>
        <v>8.862696691</v>
      </c>
      <c r="CE659">
        <f>8.510187765</f>
        <v>8.5101877649999995</v>
      </c>
      <c r="CF659">
        <f>10.58015922</f>
        <v>10.580159220000001</v>
      </c>
      <c r="CG659">
        <f>12.00908552</f>
        <v>12.009085519999999</v>
      </c>
      <c r="CH659">
        <f>13.3214332</f>
        <v>13.3214332</v>
      </c>
      <c r="CI659">
        <f>11.20616564</f>
        <v>11.20616564</v>
      </c>
      <c r="CJ659">
        <f>10.27447006</f>
        <v>10.274470060000001</v>
      </c>
      <c r="CK659">
        <f>9.040813973</f>
        <v>9.0408139730000006</v>
      </c>
      <c r="CL659">
        <f>9.528730979</f>
        <v>9.5287309790000005</v>
      </c>
      <c r="CM659">
        <f>11.57980549</f>
        <v>11.57980549</v>
      </c>
      <c r="CN659">
        <f>13.72527188</f>
        <v>13.725271879999999</v>
      </c>
      <c r="CO659">
        <f>10.04071946</f>
        <v>10.04071946</v>
      </c>
      <c r="CP659">
        <f>5.92149808</f>
        <v>5.9214980800000001</v>
      </c>
      <c r="CQ659">
        <f>7.771327013</f>
        <v>7.7713270129999996</v>
      </c>
      <c r="CR659">
        <f>6.796430967</f>
        <v>6.796430967</v>
      </c>
      <c r="CS659">
        <f>8.177723085</f>
        <v>8.1777230850000002</v>
      </c>
      <c r="CT659">
        <f>12.07434972</f>
        <v>12.074349720000001</v>
      </c>
      <c r="CU659">
        <f>12.31351119</f>
        <v>12.31351119</v>
      </c>
      <c r="CV659">
        <f>16.04214463</f>
        <v>16.042144629999999</v>
      </c>
      <c r="CW659">
        <f>21.04626419</f>
        <v>21.046264189999999</v>
      </c>
      <c r="CX659">
        <f>15.13228298</f>
        <v>15.132282979999999</v>
      </c>
      <c r="CY659">
        <f>11.89476438</f>
        <v>11.89476438</v>
      </c>
      <c r="CZ659">
        <f>4.380238955</f>
        <v>4.3802389550000003</v>
      </c>
      <c r="DA659">
        <f>-0.986688081</f>
        <v>-0.98668808100000005</v>
      </c>
      <c r="DB659">
        <f>1.044112153</f>
        <v>1.0441121529999999</v>
      </c>
      <c r="DC659" t="str">
        <f>""</f>
        <v/>
      </c>
      <c r="DD659" t="str">
        <f>""</f>
        <v/>
      </c>
      <c r="DE659" t="str">
        <f>""</f>
        <v/>
      </c>
      <c r="DF659" t="str">
        <f>""</f>
        <v/>
      </c>
      <c r="DG659" t="str">
        <f>""</f>
        <v/>
      </c>
      <c r="DH659" t="str">
        <f>""</f>
        <v/>
      </c>
      <c r="DI659" t="str">
        <f>""</f>
        <v/>
      </c>
      <c r="DJ659" t="str">
        <f>""</f>
        <v/>
      </c>
      <c r="DK659" t="str">
        <f>""</f>
        <v/>
      </c>
      <c r="DL659" t="str">
        <f>""</f>
        <v/>
      </c>
      <c r="DM659" t="str">
        <f>""</f>
        <v/>
      </c>
      <c r="DN659" t="str">
        <f>""</f>
        <v/>
      </c>
      <c r="DO659" t="str">
        <f>""</f>
        <v/>
      </c>
      <c r="DP659" t="str">
        <f>""</f>
        <v/>
      </c>
      <c r="DQ659" t="str">
        <f>""</f>
        <v/>
      </c>
      <c r="DR659" t="str">
        <f>""</f>
        <v/>
      </c>
      <c r="DS659" t="str">
        <f>""</f>
        <v/>
      </c>
      <c r="DT659" t="str">
        <f>""</f>
        <v/>
      </c>
      <c r="DU659" t="str">
        <f>""</f>
        <v/>
      </c>
    </row>
    <row r="660" spans="1:125" x14ac:dyDescent="0.25">
      <c r="A660" t="str">
        <f>"    Volkswagen AG"</f>
        <v xml:space="preserve">    Volkswagen AG</v>
      </c>
      <c r="B660" t="str">
        <f>"VOW GR Equity"</f>
        <v>VOW GR Equity</v>
      </c>
      <c r="C660" t="str">
        <f t="shared" si="45"/>
        <v>RX539</v>
      </c>
      <c r="D660" t="str">
        <f t="shared" si="46"/>
        <v>T12_FCF_YIELD</v>
      </c>
      <c r="E660" t="str">
        <f t="shared" si="47"/>
        <v>Dynamic</v>
      </c>
      <c r="F660" t="str">
        <f ca="1">IF(AND(ISNUMBER($F$1317),$B$677=1),$F$1317,HLOOKUP(INDIRECT(ADDRESS(2,COLUMN())),OFFSET($BN$2,0,0,ROW()-1,60),ROW()-1,FALSE))</f>
        <v/>
      </c>
      <c r="G660">
        <f ca="1">IF(AND(ISNUMBER($G$1317),$B$677=1),$G$1317,HLOOKUP(INDIRECT(ADDRESS(2,COLUMN())),OFFSET($BN$2,0,0,ROW()-1,60),ROW()-1,FALSE))</f>
        <v>-8.4165567530000001</v>
      </c>
      <c r="H660">
        <f ca="1">IF(AND(ISNUMBER($H$1317),$B$677=1),$H$1317,HLOOKUP(INDIRECT(ADDRESS(2,COLUMN())),OFFSET($BN$2,0,0,ROW()-1,60),ROW()-1,FALSE))</f>
        <v>-7.7320068839999996</v>
      </c>
      <c r="I660">
        <f ca="1">IF(AND(ISNUMBER($I$1317),$B$677=1),$I$1317,HLOOKUP(INDIRECT(ADDRESS(2,COLUMN())),OFFSET($BN$2,0,0,ROW()-1,60),ROW()-1,FALSE))</f>
        <v>-9.2569714990000005</v>
      </c>
      <c r="J660">
        <f ca="1">IF(AND(ISNUMBER($J$1317),$B$677=1),$J$1317,HLOOKUP(INDIRECT(ADDRESS(2,COLUMN())),OFFSET($BN$2,0,0,ROW()-1,60),ROW()-1,FALSE))</f>
        <v>-12.97901407</v>
      </c>
      <c r="K660">
        <f ca="1">IF(AND(ISNUMBER($K$1317),$B$677=1),$K$1317,HLOOKUP(INDIRECT(ADDRESS(2,COLUMN())),OFFSET($BN$2,0,0,ROW()-1,60),ROW()-1,FALSE))</f>
        <v>-17.159595100000001</v>
      </c>
      <c r="L660">
        <f ca="1">IF(AND(ISNUMBER($L$1317),$B$677=1),$L$1317,HLOOKUP(INDIRECT(ADDRESS(2,COLUMN())),OFFSET($BN$2,0,0,ROW()-1,60),ROW()-1,FALSE))</f>
        <v>-24.417885989999998</v>
      </c>
      <c r="M660">
        <f ca="1">IF(AND(ISNUMBER($M$1317),$B$677=1),$M$1317,HLOOKUP(INDIRECT(ADDRESS(2,COLUMN())),OFFSET($BN$2,0,0,ROW()-1,60),ROW()-1,FALSE))</f>
        <v>-21.13149198</v>
      </c>
      <c r="N660">
        <f ca="1">IF(AND(ISNUMBER($N$1317),$B$677=1),$N$1317,HLOOKUP(INDIRECT(ADDRESS(2,COLUMN())),OFFSET($BN$2,0,0,ROW()-1,60),ROW()-1,FALSE))</f>
        <v>-8.5901601719999992</v>
      </c>
      <c r="O660">
        <f ca="1">IF(AND(ISNUMBER($O$1317),$B$677=1),$O$1317,HLOOKUP(INDIRECT(ADDRESS(2,COLUMN())),OFFSET($BN$2,0,0,ROW()-1,60),ROW()-1,FALSE))</f>
        <v>-5.4855469579999996</v>
      </c>
      <c r="P660">
        <f ca="1">IF(AND(ISNUMBER($P$1317),$B$677=1),$P$1317,HLOOKUP(INDIRECT(ADDRESS(2,COLUMN())),OFFSET($BN$2,0,0,ROW()-1,60),ROW()-1,FALSE))</f>
        <v>-3.0957490179999998</v>
      </c>
      <c r="Q660">
        <f ca="1">IF(AND(ISNUMBER($Q$1317),$B$677=1),$Q$1317,HLOOKUP(INDIRECT(ADDRESS(2,COLUMN())),OFFSET($BN$2,0,0,ROW()-1,60),ROW()-1,FALSE))</f>
        <v>-2.920849295</v>
      </c>
      <c r="R660">
        <f ca="1">IF(AND(ISNUMBER($R$1317),$B$677=1),$R$1317,HLOOKUP(INDIRECT(ADDRESS(2,COLUMN())),OFFSET($BN$2,0,0,ROW()-1,60),ROW()-1,FALSE))</f>
        <v>-2.5868768270000002</v>
      </c>
      <c r="S660">
        <f ca="1">IF(AND(ISNUMBER($S$1317),$B$677=1),$S$1317,HLOOKUP(INDIRECT(ADDRESS(2,COLUMN())),OFFSET($BN$2,0,0,ROW()-1,60),ROW()-1,FALSE))</f>
        <v>0.66981683199999997</v>
      </c>
      <c r="T660">
        <f ca="1">IF(AND(ISNUMBER($T$1317),$B$677=1),$T$1317,HLOOKUP(INDIRECT(ADDRESS(2,COLUMN())),OFFSET($BN$2,0,0,ROW()-1,60),ROW()-1,FALSE))</f>
        <v>3.5512421249999999</v>
      </c>
      <c r="U660">
        <f ca="1">IF(AND(ISNUMBER($U$1317),$B$677=1),$U$1317,HLOOKUP(INDIRECT(ADDRESS(2,COLUMN())),OFFSET($BN$2,0,0,ROW()-1,60),ROW()-1,FALSE))</f>
        <v>1.847860625</v>
      </c>
      <c r="V660">
        <f ca="1">IF(AND(ISNUMBER($V$1317),$B$677=1),$V$1317,HLOOKUP(INDIRECT(ADDRESS(2,COLUMN())),OFFSET($BN$2,0,0,ROW()-1,60),ROW()-1,FALSE))</f>
        <v>0.14818429999999999</v>
      </c>
      <c r="W660">
        <f ca="1">IF(AND(ISNUMBER($W$1317),$B$677=1),$W$1317,HLOOKUP(INDIRECT(ADDRESS(2,COLUMN())),OFFSET($BN$2,0,0,ROW()-1,60),ROW()-1,FALSE))</f>
        <v>-1.418478669</v>
      </c>
      <c r="X660">
        <f ca="1">IF(AND(ISNUMBER($X$1317),$B$677=1),$X$1317,HLOOKUP(INDIRECT(ADDRESS(2,COLUMN())),OFFSET($BN$2,0,0,ROW()-1,60),ROW()-1,FALSE))</f>
        <v>-1.3024707870000001</v>
      </c>
      <c r="Y660">
        <f ca="1">IF(AND(ISNUMBER($Y$1317),$B$677=1),$Y$1317,HLOOKUP(INDIRECT(ADDRESS(2,COLUMN())),OFFSET($BN$2,0,0,ROW()-1,60),ROW()-1,FALSE))</f>
        <v>-0.183051194</v>
      </c>
      <c r="Z660">
        <f ca="1">IF(AND(ISNUMBER($Z$1317),$B$677=1),$Z$1317,HLOOKUP(INDIRECT(ADDRESS(2,COLUMN())),OFFSET($BN$2,0,0,ROW()-1,60),ROW()-1,FALSE))</f>
        <v>0.23285081599999999</v>
      </c>
      <c r="AA660">
        <f ca="1">IF(AND(ISNUMBER($AA$1317),$B$677=1),$AA$1317,HLOOKUP(INDIRECT(ADDRESS(2,COLUMN())),OFFSET($BN$2,0,0,ROW()-1,60),ROW()-1,FALSE))</f>
        <v>1.302255355</v>
      </c>
      <c r="AB660">
        <f ca="1">IF(AND(ISNUMBER($AB$1317),$B$677=1),$AB$1317,HLOOKUP(INDIRECT(ADDRESS(2,COLUMN())),OFFSET($BN$2,0,0,ROW()-1,60),ROW()-1,FALSE))</f>
        <v>1.2012133819999999</v>
      </c>
      <c r="AC660">
        <f ca="1">IF(AND(ISNUMBER($AC$1317),$B$677=1),$AC$1317,HLOOKUP(INDIRECT(ADDRESS(2,COLUMN())),OFFSET($BN$2,0,0,ROW()-1,60),ROW()-1,FALSE))</f>
        <v>-1.74316965</v>
      </c>
      <c r="AD660">
        <f ca="1">IF(AND(ISNUMBER($AD$1317),$B$677=1),$AD$1317,HLOOKUP(INDIRECT(ADDRESS(2,COLUMN())),OFFSET($BN$2,0,0,ROW()-1,60),ROW()-1,FALSE))</f>
        <v>-3.126411123</v>
      </c>
      <c r="AE660">
        <f ca="1">IF(AND(ISNUMBER($AE$1317),$B$677=1),$AE$1317,HLOOKUP(INDIRECT(ADDRESS(2,COLUMN())),OFFSET($BN$2,0,0,ROW()-1,60),ROW()-1,FALSE))</f>
        <v>-4.2487998190000003</v>
      </c>
      <c r="AF660">
        <f ca="1">IF(AND(ISNUMBER($AF$1317),$B$677=1),$AF$1317,HLOOKUP(INDIRECT(ADDRESS(2,COLUMN())),OFFSET($BN$2,0,0,ROW()-1,60),ROW()-1,FALSE))</f>
        <v>-3.601766714</v>
      </c>
      <c r="AG660">
        <f ca="1">IF(AND(ISNUMBER($AG$1317),$B$677=1),$AG$1317,HLOOKUP(INDIRECT(ADDRESS(2,COLUMN())),OFFSET($BN$2,0,0,ROW()-1,60),ROW()-1,FALSE))</f>
        <v>-3.1906608639999998</v>
      </c>
      <c r="AH660">
        <f ca="1">IF(AND(ISNUMBER($AH$1317),$B$677=1),$AH$1317,HLOOKUP(INDIRECT(ADDRESS(2,COLUMN())),OFFSET($BN$2,0,0,ROW()-1,60),ROW()-1,FALSE))</f>
        <v>-2.4158452179999998</v>
      </c>
      <c r="AI660">
        <f ca="1">IF(AND(ISNUMBER($AI$1317),$B$677=1),$AI$1317,HLOOKUP(INDIRECT(ADDRESS(2,COLUMN())),OFFSET($BN$2,0,0,ROW()-1,60),ROW()-1,FALSE))</f>
        <v>0.82139870400000004</v>
      </c>
      <c r="AJ660">
        <f ca="1">IF(AND(ISNUMBER($AJ$1317),$B$677=1),$AJ$1317,HLOOKUP(INDIRECT(ADDRESS(2,COLUMN())),OFFSET($BN$2,0,0,ROW()-1,60),ROW()-1,FALSE))</f>
        <v>2.2670826919999998</v>
      </c>
      <c r="AK660">
        <f ca="1">IF(AND(ISNUMBER($AK$1317),$B$677=1),$AK$1317,HLOOKUP(INDIRECT(ADDRESS(2,COLUMN())),OFFSET($BN$2,0,0,ROW()-1,60),ROW()-1,FALSE))</f>
        <v>3.4055804670000001</v>
      </c>
      <c r="AL660">
        <f ca="1">IF(AND(ISNUMBER($AL$1317),$B$677=1),$AL$1317,HLOOKUP(INDIRECT(ADDRESS(2,COLUMN())),OFFSET($BN$2,0,0,ROW()-1,60),ROW()-1,FALSE))</f>
        <v>9.7344259280000003</v>
      </c>
      <c r="AM660">
        <f ca="1">IF(AND(ISNUMBER($AM$1317),$B$677=1),$AM$1317,HLOOKUP(INDIRECT(ADDRESS(2,COLUMN())),OFFSET($BN$2,0,0,ROW()-1,60),ROW()-1,FALSE))</f>
        <v>10.97674683</v>
      </c>
      <c r="AN660">
        <f ca="1">IF(AND(ISNUMBER($AN$1317),$B$677=1),$AN$1317,HLOOKUP(INDIRECT(ADDRESS(2,COLUMN())),OFFSET($BN$2,0,0,ROW()-1,60),ROW()-1,FALSE))</f>
        <v>19.893538629999998</v>
      </c>
      <c r="AO660">
        <f ca="1">IF(AND(ISNUMBER($AO$1317),$B$677=1),$AO$1317,HLOOKUP(INDIRECT(ADDRESS(2,COLUMN())),OFFSET($BN$2,0,0,ROW()-1,60),ROW()-1,FALSE))</f>
        <v>21.26953082</v>
      </c>
      <c r="AP660">
        <f ca="1">IF(AND(ISNUMBER($AP$1317),$B$677=1),$AP$1317,HLOOKUP(INDIRECT(ADDRESS(2,COLUMN())),OFFSET($BN$2,0,0,ROW()-1,60),ROW()-1,FALSE))</f>
        <v>25.75759364</v>
      </c>
      <c r="AQ660">
        <f ca="1">IF(AND(ISNUMBER($AQ$1317),$B$677=1),$AQ$1317,HLOOKUP(INDIRECT(ADDRESS(2,COLUMN())),OFFSET($BN$2,0,0,ROW()-1,60),ROW()-1,FALSE))</f>
        <v>22.872581220000001</v>
      </c>
      <c r="AR660">
        <f ca="1">IF(AND(ISNUMBER($AR$1317),$B$677=1),$AR$1317,HLOOKUP(INDIRECT(ADDRESS(2,COLUMN())),OFFSET($BN$2,0,0,ROW()-1,60),ROW()-1,FALSE))</f>
        <v>2.8860544680000002</v>
      </c>
      <c r="AS660">
        <f ca="1">IF(AND(ISNUMBER($AS$1317),$B$677=1),$AS$1317,HLOOKUP(INDIRECT(ADDRESS(2,COLUMN())),OFFSET($BN$2,0,0,ROW()-1,60),ROW()-1,FALSE))</f>
        <v>1.5426073060000001</v>
      </c>
      <c r="AT660">
        <f ca="1">IF(AND(ISNUMBER($AT$1317),$B$677=1),$AT$1317,HLOOKUP(INDIRECT(ADDRESS(2,COLUMN())),OFFSET($BN$2,0,0,ROW()-1,60),ROW()-1,FALSE))</f>
        <v>-0.31532837000000002</v>
      </c>
      <c r="AU660">
        <f ca="1">IF(AND(ISNUMBER($AU$1317),$B$677=1),$AU$1317,HLOOKUP(INDIRECT(ADDRESS(2,COLUMN())),OFFSET($BN$2,0,0,ROW()-1,60),ROW()-1,FALSE))</f>
        <v>-1.7432062479999999</v>
      </c>
      <c r="AV660">
        <f ca="1">IF(AND(ISNUMBER($AV$1317),$B$677=1),$AV$1317,HLOOKUP(INDIRECT(ADDRESS(2,COLUMN())),OFFSET($BN$2,0,0,ROW()-1,60),ROW()-1,FALSE))</f>
        <v>4.304319166</v>
      </c>
      <c r="AW660">
        <f ca="1">IF(AND(ISNUMBER($AW$1317),$B$677=1),$AW$1317,HLOOKUP(INDIRECT(ADDRESS(2,COLUMN())),OFFSET($BN$2,0,0,ROW()-1,60),ROW()-1,FALSE))</f>
        <v>7.3003760289999997</v>
      </c>
      <c r="AX660">
        <f ca="1">IF(AND(ISNUMBER($AX$1317),$B$677=1),$AX$1317,HLOOKUP(INDIRECT(ADDRESS(2,COLUMN())),OFFSET($BN$2,0,0,ROW()-1,60),ROW()-1,FALSE))</f>
        <v>10.48516102</v>
      </c>
      <c r="AY660">
        <f ca="1">IF(AND(ISNUMBER($AY$1317),$B$677=1),$AY$1317,HLOOKUP(INDIRECT(ADDRESS(2,COLUMN())),OFFSET($BN$2,0,0,ROW()-1,60),ROW()-1,FALSE))</f>
        <v>15.133450699999999</v>
      </c>
      <c r="AZ660">
        <f ca="1">IF(AND(ISNUMBER($AZ$1317),$B$677=1),$AZ$1317,HLOOKUP(INDIRECT(ADDRESS(2,COLUMN())),OFFSET($BN$2,0,0,ROW()-1,60),ROW()-1,FALSE))</f>
        <v>15.61650938</v>
      </c>
      <c r="BA660">
        <f ca="1">IF(AND(ISNUMBER($BA$1317),$B$677=1),$BA$1317,HLOOKUP(INDIRECT(ADDRESS(2,COLUMN())),OFFSET($BN$2,0,0,ROW()-1,60),ROW()-1,FALSE))</f>
        <v>19.739048090000001</v>
      </c>
      <c r="BB660">
        <f ca="1">IF(AND(ISNUMBER($BB$1317),$B$677=1),$BB$1317,HLOOKUP(INDIRECT(ADDRESS(2,COLUMN())),OFFSET($BN$2,0,0,ROW()-1,60),ROW()-1,FALSE))</f>
        <v>18.068846229999998</v>
      </c>
      <c r="BC660">
        <f ca="1">IF(AND(ISNUMBER($BC$1317),$B$677=1),$BC$1317,HLOOKUP(INDIRECT(ADDRESS(2,COLUMN())),OFFSET($BN$2,0,0,ROW()-1,60),ROW()-1,FALSE))</f>
        <v>23.93242219</v>
      </c>
      <c r="BD660">
        <f ca="1">IF(AND(ISNUMBER($BD$1317),$B$677=1),$BD$1317,HLOOKUP(INDIRECT(ADDRESS(2,COLUMN())),OFFSET($BN$2,0,0,ROW()-1,60),ROW()-1,FALSE))</f>
        <v>31.985015220000001</v>
      </c>
      <c r="BE660">
        <f ca="1">IF(AND(ISNUMBER($BE$1317),$B$677=1),$BE$1317,HLOOKUP(INDIRECT(ADDRESS(2,COLUMN())),OFFSET($BN$2,0,0,ROW()-1,60),ROW()-1,FALSE))</f>
        <v>37.677129190000002</v>
      </c>
      <c r="BF660">
        <f ca="1">IF(AND(ISNUMBER($BF$1317),$B$677=1),$BF$1317,HLOOKUP(INDIRECT(ADDRESS(2,COLUMN())),OFFSET($BN$2,0,0,ROW()-1,60),ROW()-1,FALSE))</f>
        <v>23.586831759999999</v>
      </c>
      <c r="BG660">
        <f ca="1">IF(AND(ISNUMBER($BG$1317),$B$677=1),$BG$1317,HLOOKUP(INDIRECT(ADDRESS(2,COLUMN())),OFFSET($BN$2,0,0,ROW()-1,60),ROW()-1,FALSE))</f>
        <v>20.99482974</v>
      </c>
      <c r="BH660">
        <f ca="1">IF(AND(ISNUMBER($BH$1317),$B$677=1),$BH$1317,HLOOKUP(INDIRECT(ADDRESS(2,COLUMN())),OFFSET($BN$2,0,0,ROW()-1,60),ROW()-1,FALSE))</f>
        <v>11.50458791</v>
      </c>
      <c r="BI660">
        <f ca="1">IF(AND(ISNUMBER($BI$1317),$B$677=1),$BI$1317,HLOOKUP(INDIRECT(ADDRESS(2,COLUMN())),OFFSET($BN$2,0,0,ROW()-1,60),ROW()-1,FALSE))</f>
        <v>13.0883276</v>
      </c>
      <c r="BJ660">
        <f ca="1">IF(AND(ISNUMBER($BJ$1317),$B$677=1),$BJ$1317,HLOOKUP(INDIRECT(ADDRESS(2,COLUMN())),OFFSET($BN$2,0,0,ROW()-1,60),ROW()-1,FALSE))</f>
        <v>15.760514649999999</v>
      </c>
      <c r="BK660">
        <f ca="1">IF(AND(ISNUMBER($BK$1317),$B$677=1),$BK$1317,HLOOKUP(INDIRECT(ADDRESS(2,COLUMN())),OFFSET($BN$2,0,0,ROW()-1,60),ROW()-1,FALSE))</f>
        <v>18.59547624</v>
      </c>
      <c r="BL660" t="str">
        <f ca="1">IF(AND(ISNUMBER($BL$1317),$B$677=1),$BL$1317,HLOOKUP(INDIRECT(ADDRESS(2,COLUMN())),OFFSET($BN$2,0,0,ROW()-1,60),ROW()-1,FALSE))</f>
        <v/>
      </c>
      <c r="BM660" t="str">
        <f ca="1">IF(AND(ISNUMBER($BM$1317),$B$677=1),$BM$1317,HLOOKUP(INDIRECT(ADDRESS(2,COLUMN())),OFFSET($BN$2,0,0,ROW()-1,60),ROW()-1,FALSE))</f>
        <v/>
      </c>
      <c r="BN660" t="str">
        <f>""</f>
        <v/>
      </c>
      <c r="BO660">
        <f>-8.416556753</f>
        <v>-8.4165567530000001</v>
      </c>
      <c r="BP660">
        <f>-7.732006884</f>
        <v>-7.7320068839999996</v>
      </c>
      <c r="BQ660">
        <f>-9.256971499</f>
        <v>-9.2569714990000005</v>
      </c>
      <c r="BR660">
        <f>-12.97901407</f>
        <v>-12.97901407</v>
      </c>
      <c r="BS660">
        <f>-17.1595951</f>
        <v>-17.159595100000001</v>
      </c>
      <c r="BT660">
        <f>-24.41788599</f>
        <v>-24.417885989999998</v>
      </c>
      <c r="BU660">
        <f>-21.13149198</f>
        <v>-21.13149198</v>
      </c>
      <c r="BV660">
        <f>-8.590160172</f>
        <v>-8.5901601719999992</v>
      </c>
      <c r="BW660">
        <f>-5.485546958</f>
        <v>-5.4855469579999996</v>
      </c>
      <c r="BX660">
        <f>-3.095749018</f>
        <v>-3.0957490179999998</v>
      </c>
      <c r="BY660">
        <f>-2.920849295</f>
        <v>-2.920849295</v>
      </c>
      <c r="BZ660">
        <f>-2.586876827</f>
        <v>-2.5868768270000002</v>
      </c>
      <c r="CA660">
        <f>0.669816832</f>
        <v>0.66981683199999997</v>
      </c>
      <c r="CB660">
        <f>3.551242125</f>
        <v>3.5512421249999999</v>
      </c>
      <c r="CC660">
        <f>1.847860625</f>
        <v>1.847860625</v>
      </c>
      <c r="CD660">
        <f>0.1481843</f>
        <v>0.14818429999999999</v>
      </c>
      <c r="CE660">
        <f>-1.418478669</f>
        <v>-1.418478669</v>
      </c>
      <c r="CF660">
        <f>-1.302470787</f>
        <v>-1.3024707870000001</v>
      </c>
      <c r="CG660">
        <f>-0.183051194</f>
        <v>-0.183051194</v>
      </c>
      <c r="CH660">
        <f>0.232850816</f>
        <v>0.23285081599999999</v>
      </c>
      <c r="CI660">
        <f>1.302255355</f>
        <v>1.302255355</v>
      </c>
      <c r="CJ660">
        <f>1.201213382</f>
        <v>1.2012133819999999</v>
      </c>
      <c r="CK660">
        <f>-1.74316965</f>
        <v>-1.74316965</v>
      </c>
      <c r="CL660">
        <f>-3.126411123</f>
        <v>-3.126411123</v>
      </c>
      <c r="CM660">
        <f>-4.248799819</f>
        <v>-4.2487998190000003</v>
      </c>
      <c r="CN660">
        <f>-3.601766714</f>
        <v>-3.601766714</v>
      </c>
      <c r="CO660">
        <f>-3.190660864</f>
        <v>-3.1906608639999998</v>
      </c>
      <c r="CP660">
        <f>-2.415845218</f>
        <v>-2.4158452179999998</v>
      </c>
      <c r="CQ660">
        <f>0.821398704</f>
        <v>0.82139870400000004</v>
      </c>
      <c r="CR660">
        <f>2.267082692</f>
        <v>2.2670826919999998</v>
      </c>
      <c r="CS660">
        <f>3.405580467</f>
        <v>3.4055804670000001</v>
      </c>
      <c r="CT660">
        <f>9.734425928</f>
        <v>9.7344259280000003</v>
      </c>
      <c r="CU660">
        <f>10.97674683</f>
        <v>10.97674683</v>
      </c>
      <c r="CV660">
        <f>19.89353863</f>
        <v>19.893538629999998</v>
      </c>
      <c r="CW660">
        <f>21.26953082</f>
        <v>21.26953082</v>
      </c>
      <c r="CX660">
        <f>25.75759364</f>
        <v>25.75759364</v>
      </c>
      <c r="CY660">
        <f>22.87258122</f>
        <v>22.872581220000001</v>
      </c>
      <c r="CZ660">
        <f>2.886054468</f>
        <v>2.8860544680000002</v>
      </c>
      <c r="DA660">
        <f>1.542607306</f>
        <v>1.5426073060000001</v>
      </c>
      <c r="DB660">
        <f>-0.31532837</f>
        <v>-0.31532837000000002</v>
      </c>
      <c r="DC660">
        <f>-1.743206248</f>
        <v>-1.7432062479999999</v>
      </c>
      <c r="DD660">
        <f>4.304319166</f>
        <v>4.304319166</v>
      </c>
      <c r="DE660">
        <f>7.300376029</f>
        <v>7.3003760289999997</v>
      </c>
      <c r="DF660">
        <f>10.48516102</f>
        <v>10.48516102</v>
      </c>
      <c r="DG660">
        <f>15.1334507</f>
        <v>15.133450699999999</v>
      </c>
      <c r="DH660">
        <f>15.61650938</f>
        <v>15.61650938</v>
      </c>
      <c r="DI660">
        <f>19.73904809</f>
        <v>19.739048090000001</v>
      </c>
      <c r="DJ660">
        <f>18.06884623</f>
        <v>18.068846229999998</v>
      </c>
      <c r="DK660">
        <f>23.93242219</f>
        <v>23.93242219</v>
      </c>
      <c r="DL660">
        <f>31.98501522</f>
        <v>31.985015220000001</v>
      </c>
      <c r="DM660">
        <f>37.67712919</f>
        <v>37.677129190000002</v>
      </c>
      <c r="DN660">
        <f>23.58683176</f>
        <v>23.586831759999999</v>
      </c>
      <c r="DO660">
        <f>20.99482974</f>
        <v>20.99482974</v>
      </c>
      <c r="DP660">
        <f>11.50458791</f>
        <v>11.50458791</v>
      </c>
      <c r="DQ660">
        <f>13.0883276</f>
        <v>13.0883276</v>
      </c>
      <c r="DR660">
        <f>15.76051465</f>
        <v>15.760514649999999</v>
      </c>
      <c r="DS660">
        <f>18.59547624</f>
        <v>18.59547624</v>
      </c>
      <c r="DT660" t="str">
        <f>""</f>
        <v/>
      </c>
      <c r="DU660" t="str">
        <f>""</f>
        <v/>
      </c>
    </row>
    <row r="661" spans="1:125" x14ac:dyDescent="0.25">
      <c r="A661" t="str">
        <f>"    Yulon Motor Co Ltd"</f>
        <v xml:space="preserve">    Yulon Motor Co Ltd</v>
      </c>
      <c r="B661" t="str">
        <f>"2201 TT Equity"</f>
        <v>2201 TT Equity</v>
      </c>
      <c r="C661" t="str">
        <f t="shared" si="45"/>
        <v>RX539</v>
      </c>
      <c r="D661" t="str">
        <f t="shared" si="46"/>
        <v>T12_FCF_YIELD</v>
      </c>
      <c r="E661" t="str">
        <f t="shared" si="47"/>
        <v>Dynamic</v>
      </c>
      <c r="F661">
        <f ca="1">IF(AND(ISNUMBER($F$1318),$B$677=1),$F$1318,HLOOKUP(INDIRECT(ADDRESS(2,COLUMN())),OFFSET($BN$2,0,0,ROW()-1,60),ROW()-1,FALSE))</f>
        <v>-114.0968543</v>
      </c>
      <c r="G661">
        <f ca="1">IF(AND(ISNUMBER($G$1318),$B$677=1),$G$1318,HLOOKUP(INDIRECT(ADDRESS(2,COLUMN())),OFFSET($BN$2,0,0,ROW()-1,60),ROW()-1,FALSE))</f>
        <v>-118.7986478</v>
      </c>
      <c r="H661">
        <f ca="1">IF(AND(ISNUMBER($H$1318),$B$677=1),$H$1318,HLOOKUP(INDIRECT(ADDRESS(2,COLUMN())),OFFSET($BN$2,0,0,ROW()-1,60),ROW()-1,FALSE))</f>
        <v>-99.637575549999994</v>
      </c>
      <c r="I661">
        <f ca="1">IF(AND(ISNUMBER($I$1318),$B$677=1),$I$1318,HLOOKUP(INDIRECT(ADDRESS(2,COLUMN())),OFFSET($BN$2,0,0,ROW()-1,60),ROW()-1,FALSE))</f>
        <v>-84.684408090000005</v>
      </c>
      <c r="J661">
        <f ca="1">IF(AND(ISNUMBER($J$1318),$B$677=1),$J$1318,HLOOKUP(INDIRECT(ADDRESS(2,COLUMN())),OFFSET($BN$2,0,0,ROW()-1,60),ROW()-1,FALSE))</f>
        <v>-70.357525249999995</v>
      </c>
      <c r="K661">
        <f ca="1">IF(AND(ISNUMBER($K$1318),$B$677=1),$K$1318,HLOOKUP(INDIRECT(ADDRESS(2,COLUMN())),OFFSET($BN$2,0,0,ROW()-1,60),ROW()-1,FALSE))</f>
        <v>-55.411444330000002</v>
      </c>
      <c r="L661">
        <f ca="1">IF(AND(ISNUMBER($L$1318),$B$677=1),$L$1318,HLOOKUP(INDIRECT(ADDRESS(2,COLUMN())),OFFSET($BN$2,0,0,ROW()-1,60),ROW()-1,FALSE))</f>
        <v>-50.50788944</v>
      </c>
      <c r="M661">
        <f ca="1">IF(AND(ISNUMBER($M$1318),$B$677=1),$M$1318,HLOOKUP(INDIRECT(ADDRESS(2,COLUMN())),OFFSET($BN$2,0,0,ROW()-1,60),ROW()-1,FALSE))</f>
        <v>-36.378996979999997</v>
      </c>
      <c r="N661">
        <f ca="1">IF(AND(ISNUMBER($N$1318),$B$677=1),$N$1318,HLOOKUP(INDIRECT(ADDRESS(2,COLUMN())),OFFSET($BN$2,0,0,ROW()-1,60),ROW()-1,FALSE))</f>
        <v>-30.861968640000001</v>
      </c>
      <c r="O661">
        <f ca="1">IF(AND(ISNUMBER($O$1318),$B$677=1),$O$1318,HLOOKUP(INDIRECT(ADDRESS(2,COLUMN())),OFFSET($BN$2,0,0,ROW()-1,60),ROW()-1,FALSE))</f>
        <v>-22.339918579999999</v>
      </c>
      <c r="P661" t="str">
        <f ca="1">IF(AND(ISNUMBER($P$1318),$B$677=1),$P$1318,HLOOKUP(INDIRECT(ADDRESS(2,COLUMN())),OFFSET($BN$2,0,0,ROW()-1,60),ROW()-1,FALSE))</f>
        <v/>
      </c>
      <c r="Q661" t="str">
        <f ca="1">IF(AND(ISNUMBER($Q$1318),$B$677=1),$Q$1318,HLOOKUP(INDIRECT(ADDRESS(2,COLUMN())),OFFSET($BN$2,0,0,ROW()-1,60),ROW()-1,FALSE))</f>
        <v/>
      </c>
      <c r="R661" t="str">
        <f ca="1">IF(AND(ISNUMBER($R$1318),$B$677=1),$R$1318,HLOOKUP(INDIRECT(ADDRESS(2,COLUMN())),OFFSET($BN$2,0,0,ROW()-1,60),ROW()-1,FALSE))</f>
        <v/>
      </c>
      <c r="S661">
        <f ca="1">IF(AND(ISNUMBER($S$1318),$B$677=1),$S$1318,HLOOKUP(INDIRECT(ADDRESS(2,COLUMN())),OFFSET($BN$2,0,0,ROW()-1,60),ROW()-1,FALSE))</f>
        <v>-28.650751450000001</v>
      </c>
      <c r="T661">
        <f ca="1">IF(AND(ISNUMBER($T$1318),$B$677=1),$T$1318,HLOOKUP(INDIRECT(ADDRESS(2,COLUMN())),OFFSET($BN$2,0,0,ROW()-1,60),ROW()-1,FALSE))</f>
        <v>-29.526326189999999</v>
      </c>
      <c r="U661">
        <f ca="1">IF(AND(ISNUMBER($U$1318),$B$677=1),$U$1318,HLOOKUP(INDIRECT(ADDRESS(2,COLUMN())),OFFSET($BN$2,0,0,ROW()-1,60),ROW()-1,FALSE))</f>
        <v>-25.35794138</v>
      </c>
      <c r="V661">
        <f ca="1">IF(AND(ISNUMBER($V$1318),$B$677=1),$V$1318,HLOOKUP(INDIRECT(ADDRESS(2,COLUMN())),OFFSET($BN$2,0,0,ROW()-1,60),ROW()-1,FALSE))</f>
        <v>-23.032223559999998</v>
      </c>
      <c r="W661">
        <f ca="1">IF(AND(ISNUMBER($W$1318),$B$677=1),$W$1318,HLOOKUP(INDIRECT(ADDRESS(2,COLUMN())),OFFSET($BN$2,0,0,ROW()-1,60),ROW()-1,FALSE))</f>
        <v>-20.168921810000001</v>
      </c>
      <c r="X661">
        <f ca="1">IF(AND(ISNUMBER($X$1318),$B$677=1),$X$1318,HLOOKUP(INDIRECT(ADDRESS(2,COLUMN())),OFFSET($BN$2,0,0,ROW()-1,60),ROW()-1,FALSE))</f>
        <v>-22.171153069999999</v>
      </c>
      <c r="Y661">
        <f ca="1">IF(AND(ISNUMBER($Y$1318),$B$677=1),$Y$1318,HLOOKUP(INDIRECT(ADDRESS(2,COLUMN())),OFFSET($BN$2,0,0,ROW()-1,60),ROW()-1,FALSE))</f>
        <v>-15.963690619999999</v>
      </c>
      <c r="Z661">
        <f ca="1">IF(AND(ISNUMBER($Z$1318),$B$677=1),$Z$1318,HLOOKUP(INDIRECT(ADDRESS(2,COLUMN())),OFFSET($BN$2,0,0,ROW()-1,60),ROW()-1,FALSE))</f>
        <v>-10.684124990000001</v>
      </c>
      <c r="AA661">
        <f ca="1">IF(AND(ISNUMBER($AA$1318),$B$677=1),$AA$1318,HLOOKUP(INDIRECT(ADDRESS(2,COLUMN())),OFFSET($BN$2,0,0,ROW()-1,60),ROW()-1,FALSE))</f>
        <v>-7.6600041560000003</v>
      </c>
      <c r="AB661">
        <f ca="1">IF(AND(ISNUMBER($AB$1318),$B$677=1),$AB$1318,HLOOKUP(INDIRECT(ADDRESS(2,COLUMN())),OFFSET($BN$2,0,0,ROW()-1,60),ROW()-1,FALSE))</f>
        <v>-1.890901178</v>
      </c>
      <c r="AC661">
        <f ca="1">IF(AND(ISNUMBER($AC$1318),$B$677=1),$AC$1318,HLOOKUP(INDIRECT(ADDRESS(2,COLUMN())),OFFSET($BN$2,0,0,ROW()-1,60),ROW()-1,FALSE))</f>
        <v>-1.9492342250000001</v>
      </c>
      <c r="AD661">
        <f ca="1">IF(AND(ISNUMBER($AD$1318),$B$677=1),$AD$1318,HLOOKUP(INDIRECT(ADDRESS(2,COLUMN())),OFFSET($BN$2,0,0,ROW()-1,60),ROW()-1,FALSE))</f>
        <v>-8.8753746479999993</v>
      </c>
      <c r="AE661">
        <f ca="1">IF(AND(ISNUMBER($AE$1318),$B$677=1),$AE$1318,HLOOKUP(INDIRECT(ADDRESS(2,COLUMN())),OFFSET($BN$2,0,0,ROW()-1,60),ROW()-1,FALSE))</f>
        <v>-10.867343119999999</v>
      </c>
      <c r="AF661">
        <f ca="1">IF(AND(ISNUMBER($AF$1318),$B$677=1),$AF$1318,HLOOKUP(INDIRECT(ADDRESS(2,COLUMN())),OFFSET($BN$2,0,0,ROW()-1,60),ROW()-1,FALSE))</f>
        <v>-10.059242879999999</v>
      </c>
      <c r="AG661">
        <f ca="1">IF(AND(ISNUMBER($AG$1318),$B$677=1),$AG$1318,HLOOKUP(INDIRECT(ADDRESS(2,COLUMN())),OFFSET($BN$2,0,0,ROW()-1,60),ROW()-1,FALSE))</f>
        <v>-16.6202185</v>
      </c>
      <c r="AH661">
        <f ca="1">IF(AND(ISNUMBER($AH$1318),$B$677=1),$AH$1318,HLOOKUP(INDIRECT(ADDRESS(2,COLUMN())),OFFSET($BN$2,0,0,ROW()-1,60),ROW()-1,FALSE))</f>
        <v>-10.89562491</v>
      </c>
      <c r="AI661">
        <f ca="1">IF(AND(ISNUMBER($AI$1318),$B$677=1),$AI$1318,HLOOKUP(INDIRECT(ADDRESS(2,COLUMN())),OFFSET($BN$2,0,0,ROW()-1,60),ROW()-1,FALSE))</f>
        <v>-14.54392354</v>
      </c>
      <c r="AJ661">
        <f ca="1">IF(AND(ISNUMBER($AJ$1318),$B$677=1),$AJ$1318,HLOOKUP(INDIRECT(ADDRESS(2,COLUMN())),OFFSET($BN$2,0,0,ROW()-1,60),ROW()-1,FALSE))</f>
        <v>-14.9520778</v>
      </c>
      <c r="AK661">
        <f ca="1">IF(AND(ISNUMBER($AK$1318),$B$677=1),$AK$1318,HLOOKUP(INDIRECT(ADDRESS(2,COLUMN())),OFFSET($BN$2,0,0,ROW()-1,60),ROW()-1,FALSE))</f>
        <v>-9.1221943069999991</v>
      </c>
      <c r="AL661">
        <f ca="1">IF(AND(ISNUMBER($AL$1318),$B$677=1),$AL$1318,HLOOKUP(INDIRECT(ADDRESS(2,COLUMN())),OFFSET($BN$2,0,0,ROW()-1,60),ROW()-1,FALSE))</f>
        <v>-9.4301127149999999</v>
      </c>
      <c r="AM661">
        <f ca="1">IF(AND(ISNUMBER($AM$1318),$B$677=1),$AM$1318,HLOOKUP(INDIRECT(ADDRESS(2,COLUMN())),OFFSET($BN$2,0,0,ROW()-1,60),ROW()-1,FALSE))</f>
        <v>-8.8979699290000003</v>
      </c>
      <c r="AN661">
        <f ca="1">IF(AND(ISNUMBER($AN$1318),$B$677=1),$AN$1318,HLOOKUP(INDIRECT(ADDRESS(2,COLUMN())),OFFSET($BN$2,0,0,ROW()-1,60),ROW()-1,FALSE))</f>
        <v>0.28982439700000001</v>
      </c>
      <c r="AO661">
        <f ca="1">IF(AND(ISNUMBER($AO$1318),$B$677=1),$AO$1318,HLOOKUP(INDIRECT(ADDRESS(2,COLUMN())),OFFSET($BN$2,0,0,ROW()-1,60),ROW()-1,FALSE))</f>
        <v>-15.136638420000001</v>
      </c>
      <c r="AP661">
        <f ca="1">IF(AND(ISNUMBER($AP$1318),$B$677=1),$AP$1318,HLOOKUP(INDIRECT(ADDRESS(2,COLUMN())),OFFSET($BN$2,0,0,ROW()-1,60),ROW()-1,FALSE))</f>
        <v>-11.08803299</v>
      </c>
      <c r="AQ661">
        <f ca="1">IF(AND(ISNUMBER($AQ$1318),$B$677=1),$AQ$1318,HLOOKUP(INDIRECT(ADDRESS(2,COLUMN())),OFFSET($BN$2,0,0,ROW()-1,60),ROW()-1,FALSE))</f>
        <v>-7.5755292430000001</v>
      </c>
      <c r="AR661">
        <f ca="1">IF(AND(ISNUMBER($AR$1318),$B$677=1),$AR$1318,HLOOKUP(INDIRECT(ADDRESS(2,COLUMN())),OFFSET($BN$2,0,0,ROW()-1,60),ROW()-1,FALSE))</f>
        <v>-20.943920330000001</v>
      </c>
      <c r="AS661">
        <f ca="1">IF(AND(ISNUMBER($AS$1318),$B$677=1),$AS$1318,HLOOKUP(INDIRECT(ADDRESS(2,COLUMN())),OFFSET($BN$2,0,0,ROW()-1,60),ROW()-1,FALSE))</f>
        <v>-9.3108317340000006</v>
      </c>
      <c r="AT661">
        <f ca="1">IF(AND(ISNUMBER($AT$1318),$B$677=1),$AT$1318,HLOOKUP(INDIRECT(ADDRESS(2,COLUMN())),OFFSET($BN$2,0,0,ROW()-1,60),ROW()-1,FALSE))</f>
        <v>-17.81823515</v>
      </c>
      <c r="AU661">
        <f ca="1">IF(AND(ISNUMBER($AU$1318),$B$677=1),$AU$1318,HLOOKUP(INDIRECT(ADDRESS(2,COLUMN())),OFFSET($BN$2,0,0,ROW()-1,60),ROW()-1,FALSE))</f>
        <v>-6.8628519719999996</v>
      </c>
      <c r="AV661" t="str">
        <f ca="1">IF(AND(ISNUMBER($AV$1318),$B$677=1),$AV$1318,HLOOKUP(INDIRECT(ADDRESS(2,COLUMN())),OFFSET($BN$2,0,0,ROW()-1,60),ROW()-1,FALSE))</f>
        <v/>
      </c>
      <c r="AW661" t="str">
        <f ca="1">IF(AND(ISNUMBER($AW$1318),$B$677=1),$AW$1318,HLOOKUP(INDIRECT(ADDRESS(2,COLUMN())),OFFSET($BN$2,0,0,ROW()-1,60),ROW()-1,FALSE))</f>
        <v/>
      </c>
      <c r="AX661" t="str">
        <f ca="1">IF(AND(ISNUMBER($AX$1318),$B$677=1),$AX$1318,HLOOKUP(INDIRECT(ADDRESS(2,COLUMN())),OFFSET($BN$2,0,0,ROW()-1,60),ROW()-1,FALSE))</f>
        <v/>
      </c>
      <c r="AY661" t="str">
        <f ca="1">IF(AND(ISNUMBER($AY$1318),$B$677=1),$AY$1318,HLOOKUP(INDIRECT(ADDRESS(2,COLUMN())),OFFSET($BN$2,0,0,ROW()-1,60),ROW()-1,FALSE))</f>
        <v/>
      </c>
      <c r="AZ661" t="str">
        <f ca="1">IF(AND(ISNUMBER($AZ$1318),$B$677=1),$AZ$1318,HLOOKUP(INDIRECT(ADDRESS(2,COLUMN())),OFFSET($BN$2,0,0,ROW()-1,60),ROW()-1,FALSE))</f>
        <v/>
      </c>
      <c r="BA661" t="str">
        <f ca="1">IF(AND(ISNUMBER($BA$1318),$B$677=1),$BA$1318,HLOOKUP(INDIRECT(ADDRESS(2,COLUMN())),OFFSET($BN$2,0,0,ROW()-1,60),ROW()-1,FALSE))</f>
        <v/>
      </c>
      <c r="BB661" t="str">
        <f ca="1">IF(AND(ISNUMBER($BB$1318),$B$677=1),$BB$1318,HLOOKUP(INDIRECT(ADDRESS(2,COLUMN())),OFFSET($BN$2,0,0,ROW()-1,60),ROW()-1,FALSE))</f>
        <v/>
      </c>
      <c r="BC661" t="str">
        <f ca="1">IF(AND(ISNUMBER($BC$1318),$B$677=1),$BC$1318,HLOOKUP(INDIRECT(ADDRESS(2,COLUMN())),OFFSET($BN$2,0,0,ROW()-1,60),ROW()-1,FALSE))</f>
        <v/>
      </c>
      <c r="BD661" t="str">
        <f ca="1">IF(AND(ISNUMBER($BD$1318),$B$677=1),$BD$1318,HLOOKUP(INDIRECT(ADDRESS(2,COLUMN())),OFFSET($BN$2,0,0,ROW()-1,60),ROW()-1,FALSE))</f>
        <v/>
      </c>
      <c r="BE661" t="str">
        <f ca="1">IF(AND(ISNUMBER($BE$1318),$B$677=1),$BE$1318,HLOOKUP(INDIRECT(ADDRESS(2,COLUMN())),OFFSET($BN$2,0,0,ROW()-1,60),ROW()-1,FALSE))</f>
        <v/>
      </c>
      <c r="BF661" t="str">
        <f ca="1">IF(AND(ISNUMBER($BF$1318),$B$677=1),$BF$1318,HLOOKUP(INDIRECT(ADDRESS(2,COLUMN())),OFFSET($BN$2,0,0,ROW()-1,60),ROW()-1,FALSE))</f>
        <v/>
      </c>
      <c r="BG661" t="str">
        <f ca="1">IF(AND(ISNUMBER($BG$1318),$B$677=1),$BG$1318,HLOOKUP(INDIRECT(ADDRESS(2,COLUMN())),OFFSET($BN$2,0,0,ROW()-1,60),ROW()-1,FALSE))</f>
        <v/>
      </c>
      <c r="BH661" t="str">
        <f ca="1">IF(AND(ISNUMBER($BH$1318),$B$677=1),$BH$1318,HLOOKUP(INDIRECT(ADDRESS(2,COLUMN())),OFFSET($BN$2,0,0,ROW()-1,60),ROW()-1,FALSE))</f>
        <v/>
      </c>
      <c r="BI661" t="str">
        <f ca="1">IF(AND(ISNUMBER($BI$1318),$B$677=1),$BI$1318,HLOOKUP(INDIRECT(ADDRESS(2,COLUMN())),OFFSET($BN$2,0,0,ROW()-1,60),ROW()-1,FALSE))</f>
        <v/>
      </c>
      <c r="BJ661" t="str">
        <f ca="1">IF(AND(ISNUMBER($BJ$1318),$B$677=1),$BJ$1318,HLOOKUP(INDIRECT(ADDRESS(2,COLUMN())),OFFSET($BN$2,0,0,ROW()-1,60),ROW()-1,FALSE))</f>
        <v/>
      </c>
      <c r="BK661" t="str">
        <f ca="1">IF(AND(ISNUMBER($BK$1318),$B$677=1),$BK$1318,HLOOKUP(INDIRECT(ADDRESS(2,COLUMN())),OFFSET($BN$2,0,0,ROW()-1,60),ROW()-1,FALSE))</f>
        <v/>
      </c>
      <c r="BL661" t="str">
        <f ca="1">IF(AND(ISNUMBER($BL$1318),$B$677=1),$BL$1318,HLOOKUP(INDIRECT(ADDRESS(2,COLUMN())),OFFSET($BN$2,0,0,ROW()-1,60),ROW()-1,FALSE))</f>
        <v/>
      </c>
      <c r="BM661" t="str">
        <f ca="1">IF(AND(ISNUMBER($BM$1318),$B$677=1),$BM$1318,HLOOKUP(INDIRECT(ADDRESS(2,COLUMN())),OFFSET($BN$2,0,0,ROW()-1,60),ROW()-1,FALSE))</f>
        <v/>
      </c>
      <c r="BN661">
        <f>-114.0968543</f>
        <v>-114.0968543</v>
      </c>
      <c r="BO661">
        <f>-118.7986478</f>
        <v>-118.7986478</v>
      </c>
      <c r="BP661">
        <f>-99.63757555</f>
        <v>-99.637575549999994</v>
      </c>
      <c r="BQ661">
        <f>-84.68440809</f>
        <v>-84.684408090000005</v>
      </c>
      <c r="BR661">
        <f>-70.35752525</f>
        <v>-70.357525249999995</v>
      </c>
      <c r="BS661">
        <f>-55.41144433</f>
        <v>-55.411444330000002</v>
      </c>
      <c r="BT661">
        <f>-50.50788944</f>
        <v>-50.50788944</v>
      </c>
      <c r="BU661">
        <f>-36.37899698</f>
        <v>-36.378996979999997</v>
      </c>
      <c r="BV661">
        <f>-30.86196864</f>
        <v>-30.861968640000001</v>
      </c>
      <c r="BW661">
        <f>-22.33991858</f>
        <v>-22.339918579999999</v>
      </c>
      <c r="BX661" t="str">
        <f>""</f>
        <v/>
      </c>
      <c r="BY661" t="str">
        <f>""</f>
        <v/>
      </c>
      <c r="BZ661" t="str">
        <f>""</f>
        <v/>
      </c>
      <c r="CA661">
        <f>-28.65075145</f>
        <v>-28.650751450000001</v>
      </c>
      <c r="CB661">
        <f>-29.52632619</f>
        <v>-29.526326189999999</v>
      </c>
      <c r="CC661">
        <f>-25.35794138</f>
        <v>-25.35794138</v>
      </c>
      <c r="CD661">
        <f>-23.03222356</f>
        <v>-23.032223559999998</v>
      </c>
      <c r="CE661">
        <f>-20.16892181</f>
        <v>-20.168921810000001</v>
      </c>
      <c r="CF661">
        <f>-22.17115307</f>
        <v>-22.171153069999999</v>
      </c>
      <c r="CG661">
        <f>-15.96369062</f>
        <v>-15.963690619999999</v>
      </c>
      <c r="CH661">
        <f>-10.68412499</f>
        <v>-10.684124990000001</v>
      </c>
      <c r="CI661">
        <f>-7.660004156</f>
        <v>-7.6600041560000003</v>
      </c>
      <c r="CJ661">
        <f>-1.890901178</f>
        <v>-1.890901178</v>
      </c>
      <c r="CK661">
        <f>-1.949234225</f>
        <v>-1.9492342250000001</v>
      </c>
      <c r="CL661">
        <f>-8.875374648</f>
        <v>-8.8753746479999993</v>
      </c>
      <c r="CM661">
        <f>-10.86734312</f>
        <v>-10.867343119999999</v>
      </c>
      <c r="CN661">
        <f>-10.05924288</f>
        <v>-10.059242879999999</v>
      </c>
      <c r="CO661">
        <f>-16.6202185</f>
        <v>-16.6202185</v>
      </c>
      <c r="CP661">
        <f>-10.89562491</f>
        <v>-10.89562491</v>
      </c>
      <c r="CQ661">
        <f>-14.54392354</f>
        <v>-14.54392354</v>
      </c>
      <c r="CR661">
        <f>-14.9520778</f>
        <v>-14.9520778</v>
      </c>
      <c r="CS661">
        <f>-9.122194307</f>
        <v>-9.1221943069999991</v>
      </c>
      <c r="CT661">
        <f>-9.430112715</f>
        <v>-9.4301127149999999</v>
      </c>
      <c r="CU661">
        <f>-8.897969929</f>
        <v>-8.8979699290000003</v>
      </c>
      <c r="CV661">
        <f>0.289824397</f>
        <v>0.28982439700000001</v>
      </c>
      <c r="CW661">
        <f>-15.13663842</f>
        <v>-15.136638420000001</v>
      </c>
      <c r="CX661">
        <f>-11.08803299</f>
        <v>-11.08803299</v>
      </c>
      <c r="CY661">
        <f>-7.575529243</f>
        <v>-7.5755292430000001</v>
      </c>
      <c r="CZ661">
        <f>-20.94392033</f>
        <v>-20.943920330000001</v>
      </c>
      <c r="DA661">
        <f>-9.310831734</f>
        <v>-9.3108317340000006</v>
      </c>
      <c r="DB661">
        <f>-17.81823515</f>
        <v>-17.81823515</v>
      </c>
      <c r="DC661">
        <f>-6.862851972</f>
        <v>-6.8628519719999996</v>
      </c>
      <c r="DD661" t="str">
        <f>""</f>
        <v/>
      </c>
      <c r="DE661" t="str">
        <f>""</f>
        <v/>
      </c>
      <c r="DF661" t="str">
        <f>""</f>
        <v/>
      </c>
      <c r="DG661" t="str">
        <f>""</f>
        <v/>
      </c>
      <c r="DH661" t="str">
        <f>""</f>
        <v/>
      </c>
      <c r="DI661" t="str">
        <f>""</f>
        <v/>
      </c>
      <c r="DJ661" t="str">
        <f>""</f>
        <v/>
      </c>
      <c r="DK661" t="str">
        <f>""</f>
        <v/>
      </c>
      <c r="DL661" t="str">
        <f>""</f>
        <v/>
      </c>
      <c r="DM661" t="str">
        <f>""</f>
        <v/>
      </c>
      <c r="DN661" t="str">
        <f>""</f>
        <v/>
      </c>
      <c r="DO661" t="str">
        <f>""</f>
        <v/>
      </c>
      <c r="DP661" t="str">
        <f>""</f>
        <v/>
      </c>
      <c r="DQ661" t="str">
        <f>""</f>
        <v/>
      </c>
      <c r="DR661" t="str">
        <f>""</f>
        <v/>
      </c>
      <c r="DS661" t="str">
        <f>""</f>
        <v/>
      </c>
      <c r="DT661" t="str">
        <f>""</f>
        <v/>
      </c>
      <c r="DU661" t="str">
        <f>""</f>
        <v/>
      </c>
    </row>
    <row r="662" spans="1:125" x14ac:dyDescent="0.25">
      <c r="BN662" t="str">
        <f>""</f>
        <v/>
      </c>
      <c r="BO662" t="str">
        <f>""</f>
        <v/>
      </c>
      <c r="BP662" t="str">
        <f>""</f>
        <v/>
      </c>
      <c r="BQ662" t="str">
        <f>""</f>
        <v/>
      </c>
      <c r="BR662" t="str">
        <f>""</f>
        <v/>
      </c>
      <c r="BS662" t="str">
        <f>""</f>
        <v/>
      </c>
      <c r="BT662" t="str">
        <f>""</f>
        <v/>
      </c>
      <c r="BU662" t="str">
        <f>""</f>
        <v/>
      </c>
      <c r="BV662" t="str">
        <f>""</f>
        <v/>
      </c>
      <c r="BW662" t="str">
        <f>""</f>
        <v/>
      </c>
      <c r="BX662" t="str">
        <f>""</f>
        <v/>
      </c>
      <c r="BY662" t="str">
        <f>""</f>
        <v/>
      </c>
      <c r="BZ662" t="str">
        <f>""</f>
        <v/>
      </c>
      <c r="CA662" t="str">
        <f>""</f>
        <v/>
      </c>
      <c r="CB662" t="str">
        <f>""</f>
        <v/>
      </c>
      <c r="CC662" t="str">
        <f>""</f>
        <v/>
      </c>
      <c r="CD662" t="str">
        <f>""</f>
        <v/>
      </c>
      <c r="CE662" t="str">
        <f>""</f>
        <v/>
      </c>
      <c r="CF662" t="str">
        <f>""</f>
        <v/>
      </c>
      <c r="CG662" t="str">
        <f>""</f>
        <v/>
      </c>
      <c r="CH662" t="str">
        <f>""</f>
        <v/>
      </c>
      <c r="CI662" t="str">
        <f>""</f>
        <v/>
      </c>
      <c r="CJ662" t="str">
        <f>""</f>
        <v/>
      </c>
      <c r="CK662" t="str">
        <f>""</f>
        <v/>
      </c>
      <c r="CL662" t="str">
        <f>""</f>
        <v/>
      </c>
      <c r="CM662" t="str">
        <f>""</f>
        <v/>
      </c>
      <c r="CN662" t="str">
        <f>""</f>
        <v/>
      </c>
      <c r="CO662" t="str">
        <f>""</f>
        <v/>
      </c>
      <c r="CP662" t="str">
        <f>""</f>
        <v/>
      </c>
      <c r="CQ662" t="str">
        <f>""</f>
        <v/>
      </c>
      <c r="CR662" t="str">
        <f>""</f>
        <v/>
      </c>
      <c r="CS662" t="str">
        <f>""</f>
        <v/>
      </c>
      <c r="CT662" t="str">
        <f>""</f>
        <v/>
      </c>
      <c r="CU662" t="str">
        <f>""</f>
        <v/>
      </c>
      <c r="CV662" t="str">
        <f>""</f>
        <v/>
      </c>
      <c r="CW662" t="str">
        <f>""</f>
        <v/>
      </c>
      <c r="CX662" t="str">
        <f>""</f>
        <v/>
      </c>
      <c r="CY662" t="str">
        <f>""</f>
        <v/>
      </c>
      <c r="CZ662" t="str">
        <f>""</f>
        <v/>
      </c>
      <c r="DA662" t="str">
        <f>""</f>
        <v/>
      </c>
      <c r="DB662" t="str">
        <f>""</f>
        <v/>
      </c>
      <c r="DC662" t="str">
        <f>""</f>
        <v/>
      </c>
      <c r="DD662" t="str">
        <f>""</f>
        <v/>
      </c>
      <c r="DE662" t="str">
        <f>""</f>
        <v/>
      </c>
      <c r="DF662" t="str">
        <f>""</f>
        <v/>
      </c>
      <c r="DG662" t="str">
        <f>""</f>
        <v/>
      </c>
      <c r="DH662" t="str">
        <f>""</f>
        <v/>
      </c>
      <c r="DI662" t="str">
        <f>""</f>
        <v/>
      </c>
      <c r="DJ662" t="str">
        <f>""</f>
        <v/>
      </c>
      <c r="DK662" t="str">
        <f>""</f>
        <v/>
      </c>
      <c r="DL662" t="str">
        <f>""</f>
        <v/>
      </c>
      <c r="DM662" t="str">
        <f>""</f>
        <v/>
      </c>
      <c r="DN662" t="str">
        <f>""</f>
        <v/>
      </c>
      <c r="DO662" t="str">
        <f>""</f>
        <v/>
      </c>
      <c r="DP662" t="str">
        <f>""</f>
        <v/>
      </c>
      <c r="DQ662" t="str">
        <f>""</f>
        <v/>
      </c>
      <c r="DR662" t="str">
        <f>""</f>
        <v/>
      </c>
      <c r="DS662" t="str">
        <f>""</f>
        <v/>
      </c>
      <c r="DT662" t="str">
        <f>""</f>
        <v/>
      </c>
      <c r="DU662" t="str">
        <f>""</f>
        <v/>
      </c>
    </row>
    <row r="663" spans="1:125" x14ac:dyDescent="0.25">
      <c r="BN663" t="str">
        <f>""</f>
        <v/>
      </c>
      <c r="BO663" t="str">
        <f>""</f>
        <v/>
      </c>
      <c r="BP663" t="str">
        <f>""</f>
        <v/>
      </c>
      <c r="BQ663" t="str">
        <f>""</f>
        <v/>
      </c>
      <c r="BR663" t="str">
        <f>""</f>
        <v/>
      </c>
      <c r="BS663" t="str">
        <f>""</f>
        <v/>
      </c>
      <c r="BT663" t="str">
        <f>""</f>
        <v/>
      </c>
      <c r="BU663" t="str">
        <f>""</f>
        <v/>
      </c>
      <c r="BV663" t="str">
        <f>""</f>
        <v/>
      </c>
      <c r="BW663" t="str">
        <f>""</f>
        <v/>
      </c>
      <c r="BX663" t="str">
        <f>""</f>
        <v/>
      </c>
      <c r="BY663" t="str">
        <f>""</f>
        <v/>
      </c>
      <c r="BZ663" t="str">
        <f>""</f>
        <v/>
      </c>
      <c r="CA663" t="str">
        <f>""</f>
        <v/>
      </c>
      <c r="CB663" t="str">
        <f>""</f>
        <v/>
      </c>
      <c r="CC663" t="str">
        <f>""</f>
        <v/>
      </c>
      <c r="CD663" t="str">
        <f>""</f>
        <v/>
      </c>
      <c r="CE663" t="str">
        <f>""</f>
        <v/>
      </c>
      <c r="CF663" t="str">
        <f>""</f>
        <v/>
      </c>
      <c r="CG663" t="str">
        <f>""</f>
        <v/>
      </c>
      <c r="CH663" t="str">
        <f>""</f>
        <v/>
      </c>
      <c r="CI663" t="str">
        <f>""</f>
        <v/>
      </c>
      <c r="CJ663" t="str">
        <f>""</f>
        <v/>
      </c>
      <c r="CK663" t="str">
        <f>""</f>
        <v/>
      </c>
      <c r="CL663" t="str">
        <f>""</f>
        <v/>
      </c>
      <c r="CM663" t="str">
        <f>""</f>
        <v/>
      </c>
      <c r="CN663" t="str">
        <f>""</f>
        <v/>
      </c>
      <c r="CO663" t="str">
        <f>""</f>
        <v/>
      </c>
      <c r="CP663" t="str">
        <f>""</f>
        <v/>
      </c>
      <c r="CQ663" t="str">
        <f>""</f>
        <v/>
      </c>
      <c r="CR663" t="str">
        <f>""</f>
        <v/>
      </c>
      <c r="CS663" t="str">
        <f>""</f>
        <v/>
      </c>
      <c r="CT663" t="str">
        <f>""</f>
        <v/>
      </c>
      <c r="CU663" t="str">
        <f>""</f>
        <v/>
      </c>
      <c r="CV663" t="str">
        <f>""</f>
        <v/>
      </c>
      <c r="CW663" t="str">
        <f>""</f>
        <v/>
      </c>
      <c r="CX663" t="str">
        <f>""</f>
        <v/>
      </c>
      <c r="CY663" t="str">
        <f>""</f>
        <v/>
      </c>
      <c r="CZ663" t="str">
        <f>""</f>
        <v/>
      </c>
      <c r="DA663" t="str">
        <f>""</f>
        <v/>
      </c>
      <c r="DB663" t="str">
        <f>""</f>
        <v/>
      </c>
      <c r="DC663" t="str">
        <f>""</f>
        <v/>
      </c>
      <c r="DD663" t="str">
        <f>""</f>
        <v/>
      </c>
      <c r="DE663" t="str">
        <f>""</f>
        <v/>
      </c>
      <c r="DF663" t="str">
        <f>""</f>
        <v/>
      </c>
      <c r="DG663" t="str">
        <f>""</f>
        <v/>
      </c>
      <c r="DH663" t="str">
        <f>""</f>
        <v/>
      </c>
      <c r="DI663" t="str">
        <f>""</f>
        <v/>
      </c>
      <c r="DJ663" t="str">
        <f>""</f>
        <v/>
      </c>
      <c r="DK663" t="str">
        <f>""</f>
        <v/>
      </c>
      <c r="DL663" t="str">
        <f>""</f>
        <v/>
      </c>
      <c r="DM663" t="str">
        <f>""</f>
        <v/>
      </c>
      <c r="DN663" t="str">
        <f>""</f>
        <v/>
      </c>
      <c r="DO663" t="str">
        <f>""</f>
        <v/>
      </c>
      <c r="DP663" t="str">
        <f>""</f>
        <v/>
      </c>
      <c r="DQ663" t="str">
        <f>""</f>
        <v/>
      </c>
      <c r="DR663" t="str">
        <f>""</f>
        <v/>
      </c>
      <c r="DS663" t="str">
        <f>""</f>
        <v/>
      </c>
      <c r="DT663" t="str">
        <f>""</f>
        <v/>
      </c>
      <c r="DU663" t="str">
        <f>""</f>
        <v/>
      </c>
    </row>
    <row r="664" spans="1:125" x14ac:dyDescent="0.25">
      <c r="BN664" t="str">
        <f>""</f>
        <v/>
      </c>
      <c r="BO664" t="str">
        <f>""</f>
        <v/>
      </c>
      <c r="BP664" t="str">
        <f>""</f>
        <v/>
      </c>
      <c r="BQ664" t="str">
        <f>""</f>
        <v/>
      </c>
      <c r="BR664" t="str">
        <f>""</f>
        <v/>
      </c>
      <c r="BS664" t="str">
        <f>""</f>
        <v/>
      </c>
      <c r="BT664" t="str">
        <f>""</f>
        <v/>
      </c>
      <c r="BU664" t="str">
        <f>""</f>
        <v/>
      </c>
      <c r="BV664" t="str">
        <f>""</f>
        <v/>
      </c>
      <c r="BW664" t="str">
        <f>""</f>
        <v/>
      </c>
      <c r="BX664" t="str">
        <f>""</f>
        <v/>
      </c>
      <c r="BY664" t="str">
        <f>""</f>
        <v/>
      </c>
      <c r="BZ664" t="str">
        <f>""</f>
        <v/>
      </c>
      <c r="CA664" t="str">
        <f>""</f>
        <v/>
      </c>
      <c r="CB664" t="str">
        <f>""</f>
        <v/>
      </c>
      <c r="CC664" t="str">
        <f>""</f>
        <v/>
      </c>
      <c r="CD664" t="str">
        <f>""</f>
        <v/>
      </c>
      <c r="CE664" t="str">
        <f>""</f>
        <v/>
      </c>
      <c r="CF664" t="str">
        <f>""</f>
        <v/>
      </c>
      <c r="CG664" t="str">
        <f>""</f>
        <v/>
      </c>
      <c r="CH664" t="str">
        <f>""</f>
        <v/>
      </c>
      <c r="CI664" t="str">
        <f>""</f>
        <v/>
      </c>
      <c r="CJ664" t="str">
        <f>""</f>
        <v/>
      </c>
      <c r="CK664" t="str">
        <f>""</f>
        <v/>
      </c>
      <c r="CL664" t="str">
        <f>""</f>
        <v/>
      </c>
      <c r="CM664" t="str">
        <f>""</f>
        <v/>
      </c>
      <c r="CN664" t="str">
        <f>""</f>
        <v/>
      </c>
      <c r="CO664" t="str">
        <f>""</f>
        <v/>
      </c>
      <c r="CP664" t="str">
        <f>""</f>
        <v/>
      </c>
      <c r="CQ664" t="str">
        <f>""</f>
        <v/>
      </c>
      <c r="CR664" t="str">
        <f>""</f>
        <v/>
      </c>
      <c r="CS664" t="str">
        <f>""</f>
        <v/>
      </c>
      <c r="CT664" t="str">
        <f>""</f>
        <v/>
      </c>
      <c r="CU664" t="str">
        <f>""</f>
        <v/>
      </c>
      <c r="CV664" t="str">
        <f>""</f>
        <v/>
      </c>
      <c r="CW664" t="str">
        <f>""</f>
        <v/>
      </c>
      <c r="CX664" t="str">
        <f>""</f>
        <v/>
      </c>
      <c r="CY664" t="str">
        <f>""</f>
        <v/>
      </c>
      <c r="CZ664" t="str">
        <f>""</f>
        <v/>
      </c>
      <c r="DA664" t="str">
        <f>""</f>
        <v/>
      </c>
      <c r="DB664" t="str">
        <f>""</f>
        <v/>
      </c>
      <c r="DC664" t="str">
        <f>""</f>
        <v/>
      </c>
      <c r="DD664" t="str">
        <f>""</f>
        <v/>
      </c>
      <c r="DE664" t="str">
        <f>""</f>
        <v/>
      </c>
      <c r="DF664" t="str">
        <f>""</f>
        <v/>
      </c>
      <c r="DG664" t="str">
        <f>""</f>
        <v/>
      </c>
      <c r="DH664" t="str">
        <f>""</f>
        <v/>
      </c>
      <c r="DI664" t="str">
        <f>""</f>
        <v/>
      </c>
      <c r="DJ664" t="str">
        <f>""</f>
        <v/>
      </c>
      <c r="DK664" t="str">
        <f>""</f>
        <v/>
      </c>
      <c r="DL664" t="str">
        <f>""</f>
        <v/>
      </c>
      <c r="DM664" t="str">
        <f>""</f>
        <v/>
      </c>
      <c r="DN664" t="str">
        <f>""</f>
        <v/>
      </c>
      <c r="DO664" t="str">
        <f>""</f>
        <v/>
      </c>
      <c r="DP664" t="str">
        <f>""</f>
        <v/>
      </c>
      <c r="DQ664" t="str">
        <f>""</f>
        <v/>
      </c>
      <c r="DR664" t="str">
        <f>""</f>
        <v/>
      </c>
      <c r="DS664" t="str">
        <f>""</f>
        <v/>
      </c>
      <c r="DT664" t="str">
        <f>""</f>
        <v/>
      </c>
      <c r="DU664" t="str">
        <f>""</f>
        <v/>
      </c>
    </row>
    <row r="665" spans="1:125" x14ac:dyDescent="0.25">
      <c r="BN665" t="str">
        <f>""</f>
        <v/>
      </c>
      <c r="BO665" t="str">
        <f>""</f>
        <v/>
      </c>
      <c r="BP665" t="str">
        <f>""</f>
        <v/>
      </c>
      <c r="BQ665" t="str">
        <f>""</f>
        <v/>
      </c>
      <c r="BR665" t="str">
        <f>""</f>
        <v/>
      </c>
      <c r="BS665" t="str">
        <f>""</f>
        <v/>
      </c>
      <c r="BT665" t="str">
        <f>""</f>
        <v/>
      </c>
      <c r="BU665" t="str">
        <f>""</f>
        <v/>
      </c>
      <c r="BV665" t="str">
        <f>""</f>
        <v/>
      </c>
      <c r="BW665" t="str">
        <f>""</f>
        <v/>
      </c>
      <c r="BX665" t="str">
        <f>""</f>
        <v/>
      </c>
      <c r="BY665" t="str">
        <f>""</f>
        <v/>
      </c>
      <c r="BZ665" t="str">
        <f>""</f>
        <v/>
      </c>
      <c r="CA665" t="str">
        <f>""</f>
        <v/>
      </c>
      <c r="CB665" t="str">
        <f>""</f>
        <v/>
      </c>
      <c r="CC665" t="str">
        <f>""</f>
        <v/>
      </c>
      <c r="CD665" t="str">
        <f>""</f>
        <v/>
      </c>
      <c r="CE665" t="str">
        <f>""</f>
        <v/>
      </c>
      <c r="CF665" t="str">
        <f>""</f>
        <v/>
      </c>
      <c r="CG665" t="str">
        <f>""</f>
        <v/>
      </c>
      <c r="CH665" t="str">
        <f>""</f>
        <v/>
      </c>
      <c r="CI665" t="str">
        <f>""</f>
        <v/>
      </c>
      <c r="CJ665" t="str">
        <f>""</f>
        <v/>
      </c>
      <c r="CK665" t="str">
        <f>""</f>
        <v/>
      </c>
      <c r="CL665" t="str">
        <f>""</f>
        <v/>
      </c>
      <c r="CM665" t="str">
        <f>""</f>
        <v/>
      </c>
      <c r="CN665" t="str">
        <f>""</f>
        <v/>
      </c>
      <c r="CO665" t="str">
        <f>""</f>
        <v/>
      </c>
      <c r="CP665" t="str">
        <f>""</f>
        <v/>
      </c>
      <c r="CQ665" t="str">
        <f>""</f>
        <v/>
      </c>
      <c r="CR665" t="str">
        <f>""</f>
        <v/>
      </c>
      <c r="CS665" t="str">
        <f>""</f>
        <v/>
      </c>
      <c r="CT665" t="str">
        <f>""</f>
        <v/>
      </c>
      <c r="CU665" t="str">
        <f>""</f>
        <v/>
      </c>
      <c r="CV665" t="str">
        <f>""</f>
        <v/>
      </c>
      <c r="CW665" t="str">
        <f>""</f>
        <v/>
      </c>
      <c r="CX665" t="str">
        <f>""</f>
        <v/>
      </c>
      <c r="CY665" t="str">
        <f>""</f>
        <v/>
      </c>
      <c r="CZ665" t="str">
        <f>""</f>
        <v/>
      </c>
      <c r="DA665" t="str">
        <f>""</f>
        <v/>
      </c>
      <c r="DB665" t="str">
        <f>""</f>
        <v/>
      </c>
      <c r="DC665" t="str">
        <f>""</f>
        <v/>
      </c>
      <c r="DD665" t="str">
        <f>""</f>
        <v/>
      </c>
      <c r="DE665" t="str">
        <f>""</f>
        <v/>
      </c>
      <c r="DF665" t="str">
        <f>""</f>
        <v/>
      </c>
      <c r="DG665" t="str">
        <f>""</f>
        <v/>
      </c>
      <c r="DH665" t="str">
        <f>""</f>
        <v/>
      </c>
      <c r="DI665" t="str">
        <f>""</f>
        <v/>
      </c>
      <c r="DJ665" t="str">
        <f>""</f>
        <v/>
      </c>
      <c r="DK665" t="str">
        <f>""</f>
        <v/>
      </c>
      <c r="DL665" t="str">
        <f>""</f>
        <v/>
      </c>
      <c r="DM665" t="str">
        <f>""</f>
        <v/>
      </c>
      <c r="DN665" t="str">
        <f>""</f>
        <v/>
      </c>
      <c r="DO665" t="str">
        <f>""</f>
        <v/>
      </c>
      <c r="DP665" t="str">
        <f>""</f>
        <v/>
      </c>
      <c r="DQ665" t="str">
        <f>""</f>
        <v/>
      </c>
      <c r="DR665" t="str">
        <f>""</f>
        <v/>
      </c>
      <c r="DS665" t="str">
        <f>""</f>
        <v/>
      </c>
      <c r="DT665" t="str">
        <f>""</f>
        <v/>
      </c>
      <c r="DU665" t="str">
        <f>""</f>
        <v/>
      </c>
    </row>
    <row r="666" spans="1:125" x14ac:dyDescent="0.25">
      <c r="BN666" t="str">
        <f>""</f>
        <v/>
      </c>
      <c r="BO666" t="str">
        <f>""</f>
        <v/>
      </c>
      <c r="BP666" t="str">
        <f>""</f>
        <v/>
      </c>
      <c r="BQ666" t="str">
        <f>""</f>
        <v/>
      </c>
      <c r="BR666" t="str">
        <f>""</f>
        <v/>
      </c>
      <c r="BS666" t="str">
        <f>""</f>
        <v/>
      </c>
      <c r="BT666" t="str">
        <f>""</f>
        <v/>
      </c>
      <c r="BU666" t="str">
        <f>""</f>
        <v/>
      </c>
      <c r="BV666" t="str">
        <f>""</f>
        <v/>
      </c>
      <c r="BW666" t="str">
        <f>""</f>
        <v/>
      </c>
      <c r="BX666" t="str">
        <f>""</f>
        <v/>
      </c>
      <c r="BY666" t="str">
        <f>""</f>
        <v/>
      </c>
      <c r="BZ666" t="str">
        <f>""</f>
        <v/>
      </c>
      <c r="CA666" t="str">
        <f>""</f>
        <v/>
      </c>
      <c r="CB666" t="str">
        <f>""</f>
        <v/>
      </c>
      <c r="CC666" t="str">
        <f>""</f>
        <v/>
      </c>
      <c r="CD666" t="str">
        <f>""</f>
        <v/>
      </c>
      <c r="CE666" t="str">
        <f>""</f>
        <v/>
      </c>
      <c r="CF666" t="str">
        <f>""</f>
        <v/>
      </c>
      <c r="CG666" t="str">
        <f>""</f>
        <v/>
      </c>
      <c r="CH666" t="str">
        <f>""</f>
        <v/>
      </c>
      <c r="CI666" t="str">
        <f>""</f>
        <v/>
      </c>
      <c r="CJ666" t="str">
        <f>""</f>
        <v/>
      </c>
      <c r="CK666" t="str">
        <f>""</f>
        <v/>
      </c>
      <c r="CL666" t="str">
        <f>""</f>
        <v/>
      </c>
      <c r="CM666" t="str">
        <f>""</f>
        <v/>
      </c>
      <c r="CN666" t="str">
        <f>""</f>
        <v/>
      </c>
      <c r="CO666" t="str">
        <f>""</f>
        <v/>
      </c>
      <c r="CP666" t="str">
        <f>""</f>
        <v/>
      </c>
      <c r="CQ666" t="str">
        <f>""</f>
        <v/>
      </c>
      <c r="CR666" t="str">
        <f>""</f>
        <v/>
      </c>
      <c r="CS666" t="str">
        <f>""</f>
        <v/>
      </c>
      <c r="CT666" t="str">
        <f>""</f>
        <v/>
      </c>
      <c r="CU666" t="str">
        <f>""</f>
        <v/>
      </c>
      <c r="CV666" t="str">
        <f>""</f>
        <v/>
      </c>
      <c r="CW666" t="str">
        <f>""</f>
        <v/>
      </c>
      <c r="CX666" t="str">
        <f>""</f>
        <v/>
      </c>
      <c r="CY666" t="str">
        <f>""</f>
        <v/>
      </c>
      <c r="CZ666" t="str">
        <f>""</f>
        <v/>
      </c>
      <c r="DA666" t="str">
        <f>""</f>
        <v/>
      </c>
      <c r="DB666" t="str">
        <f>""</f>
        <v/>
      </c>
      <c r="DC666" t="str">
        <f>""</f>
        <v/>
      </c>
      <c r="DD666" t="str">
        <f>""</f>
        <v/>
      </c>
      <c r="DE666" t="str">
        <f>""</f>
        <v/>
      </c>
      <c r="DF666" t="str">
        <f>""</f>
        <v/>
      </c>
      <c r="DG666" t="str">
        <f>""</f>
        <v/>
      </c>
      <c r="DH666" t="str">
        <f>""</f>
        <v/>
      </c>
      <c r="DI666" t="str">
        <f>""</f>
        <v/>
      </c>
      <c r="DJ666" t="str">
        <f>""</f>
        <v/>
      </c>
      <c r="DK666" t="str">
        <f>""</f>
        <v/>
      </c>
      <c r="DL666" t="str">
        <f>""</f>
        <v/>
      </c>
      <c r="DM666" t="str">
        <f>""</f>
        <v/>
      </c>
      <c r="DN666" t="str">
        <f>""</f>
        <v/>
      </c>
      <c r="DO666" t="str">
        <f>""</f>
        <v/>
      </c>
      <c r="DP666" t="str">
        <f>""</f>
        <v/>
      </c>
      <c r="DQ666" t="str">
        <f>""</f>
        <v/>
      </c>
      <c r="DR666" t="str">
        <f>""</f>
        <v/>
      </c>
      <c r="DS666" t="str">
        <f>""</f>
        <v/>
      </c>
      <c r="DT666" t="str">
        <f>""</f>
        <v/>
      </c>
      <c r="DU666" t="str">
        <f>""</f>
        <v/>
      </c>
    </row>
    <row r="667" spans="1:125" x14ac:dyDescent="0.25">
      <c r="BN667" t="str">
        <f>""</f>
        <v/>
      </c>
      <c r="BO667" t="str">
        <f>""</f>
        <v/>
      </c>
      <c r="BP667" t="str">
        <f>""</f>
        <v/>
      </c>
      <c r="BQ667" t="str">
        <f>""</f>
        <v/>
      </c>
      <c r="BR667" t="str">
        <f>""</f>
        <v/>
      </c>
      <c r="BS667" t="str">
        <f>""</f>
        <v/>
      </c>
      <c r="BT667" t="str">
        <f>""</f>
        <v/>
      </c>
      <c r="BU667" t="str">
        <f>""</f>
        <v/>
      </c>
      <c r="BV667" t="str">
        <f>""</f>
        <v/>
      </c>
      <c r="BW667" t="str">
        <f>""</f>
        <v/>
      </c>
      <c r="BX667" t="str">
        <f>""</f>
        <v/>
      </c>
      <c r="BY667" t="str">
        <f>""</f>
        <v/>
      </c>
      <c r="BZ667" t="str">
        <f>""</f>
        <v/>
      </c>
      <c r="CA667" t="str">
        <f>""</f>
        <v/>
      </c>
      <c r="CB667" t="str">
        <f>""</f>
        <v/>
      </c>
      <c r="CC667" t="str">
        <f>""</f>
        <v/>
      </c>
      <c r="CD667" t="str">
        <f>""</f>
        <v/>
      </c>
      <c r="CE667" t="str">
        <f>""</f>
        <v/>
      </c>
      <c r="CF667" t="str">
        <f>""</f>
        <v/>
      </c>
      <c r="CG667" t="str">
        <f>""</f>
        <v/>
      </c>
      <c r="CH667" t="str">
        <f>""</f>
        <v/>
      </c>
      <c r="CI667" t="str">
        <f>""</f>
        <v/>
      </c>
      <c r="CJ667" t="str">
        <f>""</f>
        <v/>
      </c>
      <c r="CK667" t="str">
        <f>""</f>
        <v/>
      </c>
      <c r="CL667" t="str">
        <f>""</f>
        <v/>
      </c>
      <c r="CM667" t="str">
        <f>""</f>
        <v/>
      </c>
      <c r="CN667" t="str">
        <f>""</f>
        <v/>
      </c>
      <c r="CO667" t="str">
        <f>""</f>
        <v/>
      </c>
      <c r="CP667" t="str">
        <f>""</f>
        <v/>
      </c>
      <c r="CQ667" t="str">
        <f>""</f>
        <v/>
      </c>
      <c r="CR667" t="str">
        <f>""</f>
        <v/>
      </c>
      <c r="CS667" t="str">
        <f>""</f>
        <v/>
      </c>
      <c r="CT667" t="str">
        <f>""</f>
        <v/>
      </c>
      <c r="CU667" t="str">
        <f>""</f>
        <v/>
      </c>
      <c r="CV667" t="str">
        <f>""</f>
        <v/>
      </c>
      <c r="CW667" t="str">
        <f>""</f>
        <v/>
      </c>
      <c r="CX667" t="str">
        <f>""</f>
        <v/>
      </c>
      <c r="CY667" t="str">
        <f>""</f>
        <v/>
      </c>
      <c r="CZ667" t="str">
        <f>""</f>
        <v/>
      </c>
      <c r="DA667" t="str">
        <f>""</f>
        <v/>
      </c>
      <c r="DB667" t="str">
        <f>""</f>
        <v/>
      </c>
      <c r="DC667" t="str">
        <f>""</f>
        <v/>
      </c>
      <c r="DD667" t="str">
        <f>""</f>
        <v/>
      </c>
      <c r="DE667" t="str">
        <f>""</f>
        <v/>
      </c>
      <c r="DF667" t="str">
        <f>""</f>
        <v/>
      </c>
      <c r="DG667" t="str">
        <f>""</f>
        <v/>
      </c>
      <c r="DH667" t="str">
        <f>""</f>
        <v/>
      </c>
      <c r="DI667" t="str">
        <f>""</f>
        <v/>
      </c>
      <c r="DJ667" t="str">
        <f>""</f>
        <v/>
      </c>
      <c r="DK667" t="str">
        <f>""</f>
        <v/>
      </c>
      <c r="DL667" t="str">
        <f>""</f>
        <v/>
      </c>
      <c r="DM667" t="str">
        <f>""</f>
        <v/>
      </c>
      <c r="DN667" t="str">
        <f>""</f>
        <v/>
      </c>
      <c r="DO667" t="str">
        <f>""</f>
        <v/>
      </c>
      <c r="DP667" t="str">
        <f>""</f>
        <v/>
      </c>
      <c r="DQ667" t="str">
        <f>""</f>
        <v/>
      </c>
      <c r="DR667" t="str">
        <f>""</f>
        <v/>
      </c>
      <c r="DS667" t="str">
        <f>""</f>
        <v/>
      </c>
      <c r="DT667" t="str">
        <f>""</f>
        <v/>
      </c>
      <c r="DU667" t="str">
        <f>""</f>
        <v/>
      </c>
    </row>
    <row r="668" spans="1:125" x14ac:dyDescent="0.25">
      <c r="BN668" t="str">
        <f>""</f>
        <v/>
      </c>
      <c r="BO668" t="str">
        <f>""</f>
        <v/>
      </c>
      <c r="BP668" t="str">
        <f>""</f>
        <v/>
      </c>
      <c r="BQ668" t="str">
        <f>""</f>
        <v/>
      </c>
      <c r="BR668" t="str">
        <f>""</f>
        <v/>
      </c>
      <c r="BS668" t="str">
        <f>""</f>
        <v/>
      </c>
      <c r="BT668" t="str">
        <f>""</f>
        <v/>
      </c>
      <c r="BU668" t="str">
        <f>""</f>
        <v/>
      </c>
      <c r="BV668" t="str">
        <f>""</f>
        <v/>
      </c>
      <c r="BW668" t="str">
        <f>""</f>
        <v/>
      </c>
      <c r="BX668" t="str">
        <f>""</f>
        <v/>
      </c>
      <c r="BY668" t="str">
        <f>""</f>
        <v/>
      </c>
      <c r="BZ668" t="str">
        <f>""</f>
        <v/>
      </c>
      <c r="CA668" t="str">
        <f>""</f>
        <v/>
      </c>
      <c r="CB668" t="str">
        <f>""</f>
        <v/>
      </c>
      <c r="CC668" t="str">
        <f>""</f>
        <v/>
      </c>
      <c r="CD668" t="str">
        <f>""</f>
        <v/>
      </c>
      <c r="CE668" t="str">
        <f>""</f>
        <v/>
      </c>
      <c r="CF668" t="str">
        <f>""</f>
        <v/>
      </c>
      <c r="CG668" t="str">
        <f>""</f>
        <v/>
      </c>
      <c r="CH668" t="str">
        <f>""</f>
        <v/>
      </c>
      <c r="CI668" t="str">
        <f>""</f>
        <v/>
      </c>
      <c r="CJ668" t="str">
        <f>""</f>
        <v/>
      </c>
      <c r="CK668" t="str">
        <f>""</f>
        <v/>
      </c>
      <c r="CL668" t="str">
        <f>""</f>
        <v/>
      </c>
      <c r="CM668" t="str">
        <f>""</f>
        <v/>
      </c>
      <c r="CN668" t="str">
        <f>""</f>
        <v/>
      </c>
      <c r="CO668" t="str">
        <f>""</f>
        <v/>
      </c>
      <c r="CP668" t="str">
        <f>""</f>
        <v/>
      </c>
      <c r="CQ668" t="str">
        <f>""</f>
        <v/>
      </c>
      <c r="CR668" t="str">
        <f>""</f>
        <v/>
      </c>
      <c r="CS668" t="str">
        <f>""</f>
        <v/>
      </c>
      <c r="CT668" t="str">
        <f>""</f>
        <v/>
      </c>
      <c r="CU668" t="str">
        <f>""</f>
        <v/>
      </c>
      <c r="CV668" t="str">
        <f>""</f>
        <v/>
      </c>
      <c r="CW668" t="str">
        <f>""</f>
        <v/>
      </c>
      <c r="CX668" t="str">
        <f>""</f>
        <v/>
      </c>
      <c r="CY668" t="str">
        <f>""</f>
        <v/>
      </c>
      <c r="CZ668" t="str">
        <f>""</f>
        <v/>
      </c>
      <c r="DA668" t="str">
        <f>""</f>
        <v/>
      </c>
      <c r="DB668" t="str">
        <f>""</f>
        <v/>
      </c>
      <c r="DC668" t="str">
        <f>""</f>
        <v/>
      </c>
      <c r="DD668" t="str">
        <f>""</f>
        <v/>
      </c>
      <c r="DE668" t="str">
        <f>""</f>
        <v/>
      </c>
      <c r="DF668" t="str">
        <f>""</f>
        <v/>
      </c>
      <c r="DG668" t="str">
        <f>""</f>
        <v/>
      </c>
      <c r="DH668" t="str">
        <f>""</f>
        <v/>
      </c>
      <c r="DI668" t="str">
        <f>""</f>
        <v/>
      </c>
      <c r="DJ668" t="str">
        <f>""</f>
        <v/>
      </c>
      <c r="DK668" t="str">
        <f>""</f>
        <v/>
      </c>
      <c r="DL668" t="str">
        <f>""</f>
        <v/>
      </c>
      <c r="DM668" t="str">
        <f>""</f>
        <v/>
      </c>
      <c r="DN668" t="str">
        <f>""</f>
        <v/>
      </c>
      <c r="DO668" t="str">
        <f>""</f>
        <v/>
      </c>
      <c r="DP668" t="str">
        <f>""</f>
        <v/>
      </c>
      <c r="DQ668" t="str">
        <f>""</f>
        <v/>
      </c>
      <c r="DR668" t="str">
        <f>""</f>
        <v/>
      </c>
      <c r="DS668" t="str">
        <f>""</f>
        <v/>
      </c>
      <c r="DT668" t="str">
        <f>""</f>
        <v/>
      </c>
      <c r="DU668" t="str">
        <f>""</f>
        <v/>
      </c>
    </row>
    <row r="669" spans="1:125" x14ac:dyDescent="0.25">
      <c r="A669" t="str">
        <f t="shared" ref="A669:AF669" si="48">"~~~~~~~~~~"</f>
        <v>~~~~~~~~~~</v>
      </c>
      <c r="B669" t="str">
        <f t="shared" si="48"/>
        <v>~~~~~~~~~~</v>
      </c>
      <c r="C669" t="str">
        <f t="shared" si="48"/>
        <v>~~~~~~~~~~</v>
      </c>
      <c r="D669" t="str">
        <f t="shared" si="48"/>
        <v>~~~~~~~~~~</v>
      </c>
      <c r="E669" t="str">
        <f t="shared" si="48"/>
        <v>~~~~~~~~~~</v>
      </c>
      <c r="F669" t="str">
        <f t="shared" si="48"/>
        <v>~~~~~~~~~~</v>
      </c>
      <c r="G669" t="str">
        <f t="shared" si="48"/>
        <v>~~~~~~~~~~</v>
      </c>
      <c r="H669" t="str">
        <f t="shared" si="48"/>
        <v>~~~~~~~~~~</v>
      </c>
      <c r="I669" t="str">
        <f t="shared" si="48"/>
        <v>~~~~~~~~~~</v>
      </c>
      <c r="J669" t="str">
        <f t="shared" si="48"/>
        <v>~~~~~~~~~~</v>
      </c>
      <c r="K669" t="str">
        <f t="shared" si="48"/>
        <v>~~~~~~~~~~</v>
      </c>
      <c r="L669" t="str">
        <f t="shared" si="48"/>
        <v>~~~~~~~~~~</v>
      </c>
      <c r="M669" t="str">
        <f t="shared" si="48"/>
        <v>~~~~~~~~~~</v>
      </c>
      <c r="N669" t="str">
        <f t="shared" si="48"/>
        <v>~~~~~~~~~~</v>
      </c>
      <c r="O669" t="str">
        <f t="shared" si="48"/>
        <v>~~~~~~~~~~</v>
      </c>
      <c r="P669" t="str">
        <f t="shared" si="48"/>
        <v>~~~~~~~~~~</v>
      </c>
      <c r="Q669" t="str">
        <f t="shared" si="48"/>
        <v>~~~~~~~~~~</v>
      </c>
      <c r="R669" t="str">
        <f t="shared" si="48"/>
        <v>~~~~~~~~~~</v>
      </c>
      <c r="S669" t="str">
        <f t="shared" si="48"/>
        <v>~~~~~~~~~~</v>
      </c>
      <c r="T669" t="str">
        <f t="shared" si="48"/>
        <v>~~~~~~~~~~</v>
      </c>
      <c r="U669" t="str">
        <f t="shared" si="48"/>
        <v>~~~~~~~~~~</v>
      </c>
      <c r="V669" t="str">
        <f t="shared" si="48"/>
        <v>~~~~~~~~~~</v>
      </c>
      <c r="W669" t="str">
        <f t="shared" si="48"/>
        <v>~~~~~~~~~~</v>
      </c>
      <c r="X669" t="str">
        <f t="shared" si="48"/>
        <v>~~~~~~~~~~</v>
      </c>
      <c r="Y669" t="str">
        <f t="shared" si="48"/>
        <v>~~~~~~~~~~</v>
      </c>
      <c r="Z669" t="str">
        <f t="shared" si="48"/>
        <v>~~~~~~~~~~</v>
      </c>
      <c r="AA669" t="str">
        <f t="shared" si="48"/>
        <v>~~~~~~~~~~</v>
      </c>
      <c r="AB669" t="str">
        <f t="shared" si="48"/>
        <v>~~~~~~~~~~</v>
      </c>
      <c r="AC669" t="str">
        <f t="shared" si="48"/>
        <v>~~~~~~~~~~</v>
      </c>
      <c r="AD669" t="str">
        <f t="shared" si="48"/>
        <v>~~~~~~~~~~</v>
      </c>
      <c r="AE669" t="str">
        <f t="shared" si="48"/>
        <v>~~~~~~~~~~</v>
      </c>
      <c r="AF669" t="str">
        <f t="shared" si="48"/>
        <v>~~~~~~~~~~</v>
      </c>
      <c r="AG669" t="str">
        <f t="shared" ref="AG669:BM669" si="49">"~~~~~~~~~~"</f>
        <v>~~~~~~~~~~</v>
      </c>
      <c r="AH669" t="str">
        <f t="shared" si="49"/>
        <v>~~~~~~~~~~</v>
      </c>
      <c r="AI669" t="str">
        <f t="shared" si="49"/>
        <v>~~~~~~~~~~</v>
      </c>
      <c r="AJ669" t="str">
        <f t="shared" si="49"/>
        <v>~~~~~~~~~~</v>
      </c>
      <c r="AK669" t="str">
        <f t="shared" si="49"/>
        <v>~~~~~~~~~~</v>
      </c>
      <c r="AL669" t="str">
        <f t="shared" si="49"/>
        <v>~~~~~~~~~~</v>
      </c>
      <c r="AM669" t="str">
        <f t="shared" si="49"/>
        <v>~~~~~~~~~~</v>
      </c>
      <c r="AN669" t="str">
        <f t="shared" si="49"/>
        <v>~~~~~~~~~~</v>
      </c>
      <c r="AO669" t="str">
        <f t="shared" si="49"/>
        <v>~~~~~~~~~~</v>
      </c>
      <c r="AP669" t="str">
        <f t="shared" si="49"/>
        <v>~~~~~~~~~~</v>
      </c>
      <c r="AQ669" t="str">
        <f t="shared" si="49"/>
        <v>~~~~~~~~~~</v>
      </c>
      <c r="AR669" t="str">
        <f t="shared" si="49"/>
        <v>~~~~~~~~~~</v>
      </c>
      <c r="AS669" t="str">
        <f t="shared" si="49"/>
        <v>~~~~~~~~~~</v>
      </c>
      <c r="AT669" t="str">
        <f t="shared" si="49"/>
        <v>~~~~~~~~~~</v>
      </c>
      <c r="AU669" t="str">
        <f t="shared" si="49"/>
        <v>~~~~~~~~~~</v>
      </c>
      <c r="AV669" t="str">
        <f t="shared" si="49"/>
        <v>~~~~~~~~~~</v>
      </c>
      <c r="AW669" t="str">
        <f t="shared" si="49"/>
        <v>~~~~~~~~~~</v>
      </c>
      <c r="AX669" t="str">
        <f t="shared" si="49"/>
        <v>~~~~~~~~~~</v>
      </c>
      <c r="AY669" t="str">
        <f t="shared" si="49"/>
        <v>~~~~~~~~~~</v>
      </c>
      <c r="AZ669" t="str">
        <f t="shared" si="49"/>
        <v>~~~~~~~~~~</v>
      </c>
      <c r="BA669" t="str">
        <f t="shared" si="49"/>
        <v>~~~~~~~~~~</v>
      </c>
      <c r="BB669" t="str">
        <f t="shared" si="49"/>
        <v>~~~~~~~~~~</v>
      </c>
      <c r="BC669" t="str">
        <f t="shared" si="49"/>
        <v>~~~~~~~~~~</v>
      </c>
      <c r="BD669" t="str">
        <f t="shared" si="49"/>
        <v>~~~~~~~~~~</v>
      </c>
      <c r="BE669" t="str">
        <f t="shared" si="49"/>
        <v>~~~~~~~~~~</v>
      </c>
      <c r="BF669" t="str">
        <f t="shared" si="49"/>
        <v>~~~~~~~~~~</v>
      </c>
      <c r="BG669" t="str">
        <f t="shared" si="49"/>
        <v>~~~~~~~~~~</v>
      </c>
      <c r="BH669" t="str">
        <f t="shared" si="49"/>
        <v>~~~~~~~~~~</v>
      </c>
      <c r="BI669" t="str">
        <f t="shared" si="49"/>
        <v>~~~~~~~~~~</v>
      </c>
      <c r="BJ669" t="str">
        <f t="shared" si="49"/>
        <v>~~~~~~~~~~</v>
      </c>
      <c r="BK669" t="str">
        <f t="shared" si="49"/>
        <v>~~~~~~~~~~</v>
      </c>
      <c r="BL669" t="str">
        <f t="shared" si="49"/>
        <v>~~~~~~~~~~</v>
      </c>
      <c r="BM669" t="str">
        <f t="shared" si="49"/>
        <v>~~~~~~~~~~</v>
      </c>
      <c r="BN669" t="str">
        <f>""</f>
        <v/>
      </c>
      <c r="BO669" t="str">
        <f>""</f>
        <v/>
      </c>
      <c r="BP669" t="str">
        <f>""</f>
        <v/>
      </c>
      <c r="BQ669" t="str">
        <f>""</f>
        <v/>
      </c>
      <c r="BR669" t="str">
        <f>""</f>
        <v/>
      </c>
      <c r="BS669" t="str">
        <f>""</f>
        <v/>
      </c>
      <c r="BT669" t="str">
        <f>""</f>
        <v/>
      </c>
      <c r="BU669" t="str">
        <f>""</f>
        <v/>
      </c>
      <c r="BV669" t="str">
        <f>""</f>
        <v/>
      </c>
      <c r="BW669" t="str">
        <f>""</f>
        <v/>
      </c>
      <c r="BX669" t="str">
        <f>""</f>
        <v/>
      </c>
      <c r="BY669" t="str">
        <f>""</f>
        <v/>
      </c>
      <c r="BZ669" t="str">
        <f>""</f>
        <v/>
      </c>
      <c r="CA669" t="str">
        <f>""</f>
        <v/>
      </c>
      <c r="CB669" t="str">
        <f>""</f>
        <v/>
      </c>
      <c r="CC669" t="str">
        <f>""</f>
        <v/>
      </c>
      <c r="CD669" t="str">
        <f>""</f>
        <v/>
      </c>
      <c r="CE669" t="str">
        <f>""</f>
        <v/>
      </c>
      <c r="CF669" t="str">
        <f>""</f>
        <v/>
      </c>
      <c r="CG669" t="str">
        <f>""</f>
        <v/>
      </c>
      <c r="CH669" t="str">
        <f>""</f>
        <v/>
      </c>
      <c r="CI669" t="str">
        <f>""</f>
        <v/>
      </c>
      <c r="CJ669" t="str">
        <f>""</f>
        <v/>
      </c>
      <c r="CK669" t="str">
        <f>""</f>
        <v/>
      </c>
      <c r="CL669" t="str">
        <f>""</f>
        <v/>
      </c>
      <c r="CM669" t="str">
        <f>""</f>
        <v/>
      </c>
      <c r="CN669" t="str">
        <f>""</f>
        <v/>
      </c>
      <c r="CO669" t="str">
        <f>""</f>
        <v/>
      </c>
      <c r="CP669" t="str">
        <f>""</f>
        <v/>
      </c>
      <c r="CQ669" t="str">
        <f>""</f>
        <v/>
      </c>
      <c r="CR669" t="str">
        <f>""</f>
        <v/>
      </c>
      <c r="CS669" t="str">
        <f>""</f>
        <v/>
      </c>
      <c r="CT669" t="str">
        <f>""</f>
        <v/>
      </c>
      <c r="CU669" t="str">
        <f>""</f>
        <v/>
      </c>
      <c r="CV669" t="str">
        <f>""</f>
        <v/>
      </c>
      <c r="CW669" t="str">
        <f>""</f>
        <v/>
      </c>
      <c r="CX669" t="str">
        <f>""</f>
        <v/>
      </c>
      <c r="CY669" t="str">
        <f>""</f>
        <v/>
      </c>
      <c r="CZ669" t="str">
        <f>""</f>
        <v/>
      </c>
      <c r="DA669" t="str">
        <f>""</f>
        <v/>
      </c>
      <c r="DB669" t="str">
        <f>""</f>
        <v/>
      </c>
      <c r="DC669" t="str">
        <f>""</f>
        <v/>
      </c>
      <c r="DD669" t="str">
        <f>""</f>
        <v/>
      </c>
      <c r="DE669" t="str">
        <f>""</f>
        <v/>
      </c>
      <c r="DF669" t="str">
        <f>""</f>
        <v/>
      </c>
      <c r="DG669" t="str">
        <f>""</f>
        <v/>
      </c>
      <c r="DH669" t="str">
        <f>""</f>
        <v/>
      </c>
      <c r="DI669" t="str">
        <f>""</f>
        <v/>
      </c>
      <c r="DJ669" t="str">
        <f>""</f>
        <v/>
      </c>
      <c r="DK669" t="str">
        <f>""</f>
        <v/>
      </c>
      <c r="DL669" t="str">
        <f>""</f>
        <v/>
      </c>
      <c r="DM669" t="str">
        <f>""</f>
        <v/>
      </c>
      <c r="DN669" t="str">
        <f>""</f>
        <v/>
      </c>
      <c r="DO669" t="str">
        <f>""</f>
        <v/>
      </c>
      <c r="DP669" t="str">
        <f>""</f>
        <v/>
      </c>
      <c r="DQ669" t="str">
        <f>""</f>
        <v/>
      </c>
      <c r="DR669" t="str">
        <f>""</f>
        <v/>
      </c>
      <c r="DS669" t="str">
        <f>""</f>
        <v/>
      </c>
      <c r="DT669" t="str">
        <f>""</f>
        <v/>
      </c>
      <c r="DU669" t="str">
        <f>""</f>
        <v/>
      </c>
    </row>
    <row r="670" spans="1:125" x14ac:dyDescent="0.25">
      <c r="A670" t="str">
        <f>"All rows below have been added for reference by formula rows above."</f>
        <v>All rows below have been added for reference by formula rows above.</v>
      </c>
      <c r="BN670" t="str">
        <f>""</f>
        <v/>
      </c>
      <c r="BO670" t="str">
        <f>""</f>
        <v/>
      </c>
      <c r="BP670" t="str">
        <f>""</f>
        <v/>
      </c>
      <c r="BQ670" t="str">
        <f>""</f>
        <v/>
      </c>
      <c r="BR670" t="str">
        <f>""</f>
        <v/>
      </c>
      <c r="BS670" t="str">
        <f>""</f>
        <v/>
      </c>
      <c r="BT670" t="str">
        <f>""</f>
        <v/>
      </c>
      <c r="BU670" t="str">
        <f>""</f>
        <v/>
      </c>
      <c r="BV670" t="str">
        <f>""</f>
        <v/>
      </c>
      <c r="BW670" t="str">
        <f>""</f>
        <v/>
      </c>
      <c r="BX670" t="str">
        <f>""</f>
        <v/>
      </c>
      <c r="BY670" t="str">
        <f>""</f>
        <v/>
      </c>
      <c r="BZ670" t="str">
        <f>""</f>
        <v/>
      </c>
      <c r="CA670" t="str">
        <f>""</f>
        <v/>
      </c>
      <c r="CB670" t="str">
        <f>""</f>
        <v/>
      </c>
      <c r="CC670" t="str">
        <f>""</f>
        <v/>
      </c>
      <c r="CD670" t="str">
        <f>""</f>
        <v/>
      </c>
      <c r="CE670" t="str">
        <f>""</f>
        <v/>
      </c>
      <c r="CF670" t="str">
        <f>""</f>
        <v/>
      </c>
      <c r="CG670" t="str">
        <f>""</f>
        <v/>
      </c>
      <c r="CH670" t="str">
        <f>""</f>
        <v/>
      </c>
      <c r="CI670" t="str">
        <f>""</f>
        <v/>
      </c>
      <c r="CJ670" t="str">
        <f>""</f>
        <v/>
      </c>
      <c r="CK670" t="str">
        <f>""</f>
        <v/>
      </c>
      <c r="CL670" t="str">
        <f>""</f>
        <v/>
      </c>
      <c r="CM670" t="str">
        <f>""</f>
        <v/>
      </c>
      <c r="CN670" t="str">
        <f>""</f>
        <v/>
      </c>
      <c r="CO670" t="str">
        <f>""</f>
        <v/>
      </c>
      <c r="CP670" t="str">
        <f>""</f>
        <v/>
      </c>
      <c r="CQ670" t="str">
        <f>""</f>
        <v/>
      </c>
      <c r="CR670" t="str">
        <f>""</f>
        <v/>
      </c>
      <c r="CS670" t="str">
        <f>""</f>
        <v/>
      </c>
      <c r="CT670" t="str">
        <f>""</f>
        <v/>
      </c>
      <c r="CU670" t="str">
        <f>""</f>
        <v/>
      </c>
      <c r="CV670" t="str">
        <f>""</f>
        <v/>
      </c>
      <c r="CW670" t="str">
        <f>""</f>
        <v/>
      </c>
      <c r="CX670" t="str">
        <f>""</f>
        <v/>
      </c>
      <c r="CY670" t="str">
        <f>""</f>
        <v/>
      </c>
      <c r="CZ670" t="str">
        <f>""</f>
        <v/>
      </c>
      <c r="DA670" t="str">
        <f>""</f>
        <v/>
      </c>
      <c r="DB670" t="str">
        <f>""</f>
        <v/>
      </c>
      <c r="DC670" t="str">
        <f>""</f>
        <v/>
      </c>
      <c r="DD670" t="str">
        <f>""</f>
        <v/>
      </c>
      <c r="DE670" t="str">
        <f>""</f>
        <v/>
      </c>
      <c r="DF670" t="str">
        <f>""</f>
        <v/>
      </c>
      <c r="DG670" t="str">
        <f>""</f>
        <v/>
      </c>
      <c r="DH670" t="str">
        <f>""</f>
        <v/>
      </c>
      <c r="DI670" t="str">
        <f>""</f>
        <v/>
      </c>
      <c r="DJ670" t="str">
        <f>""</f>
        <v/>
      </c>
      <c r="DK670" t="str">
        <f>""</f>
        <v/>
      </c>
      <c r="DL670" t="str">
        <f>""</f>
        <v/>
      </c>
      <c r="DM670" t="str">
        <f>""</f>
        <v/>
      </c>
      <c r="DN670" t="str">
        <f>""</f>
        <v/>
      </c>
      <c r="DO670" t="str">
        <f>""</f>
        <v/>
      </c>
      <c r="DP670" t="str">
        <f>""</f>
        <v/>
      </c>
      <c r="DQ670" t="str">
        <f>""</f>
        <v/>
      </c>
      <c r="DR670" t="str">
        <f>""</f>
        <v/>
      </c>
      <c r="DS670" t="str">
        <f>""</f>
        <v/>
      </c>
      <c r="DT670" t="str">
        <f>""</f>
        <v/>
      </c>
      <c r="DU670" t="str">
        <f>""</f>
        <v/>
      </c>
    </row>
    <row r="671" spans="1:125" x14ac:dyDescent="0.25">
      <c r="A671">
        <f>RTD("bloomberg.ccyreader", "", "#track", "DBG", "BIHITX", "1.0","RepeatHit")</f>
        <v>0</v>
      </c>
      <c r="BN671" t="str">
        <f>""</f>
        <v/>
      </c>
      <c r="BO671" t="str">
        <f>""</f>
        <v/>
      </c>
      <c r="BP671" t="str">
        <f>""</f>
        <v/>
      </c>
      <c r="BQ671" t="str">
        <f>""</f>
        <v/>
      </c>
      <c r="BR671" t="str">
        <f>""</f>
        <v/>
      </c>
      <c r="BS671" t="str">
        <f>""</f>
        <v/>
      </c>
      <c r="BT671" t="str">
        <f>""</f>
        <v/>
      </c>
      <c r="BU671" t="str">
        <f>""</f>
        <v/>
      </c>
      <c r="BV671" t="str">
        <f>""</f>
        <v/>
      </c>
      <c r="BW671" t="str">
        <f>""</f>
        <v/>
      </c>
      <c r="BX671" t="str">
        <f>""</f>
        <v/>
      </c>
      <c r="BY671" t="str">
        <f>""</f>
        <v/>
      </c>
      <c r="BZ671" t="str">
        <f>""</f>
        <v/>
      </c>
      <c r="CA671" t="str">
        <f>""</f>
        <v/>
      </c>
      <c r="CB671" t="str">
        <f>""</f>
        <v/>
      </c>
      <c r="CC671" t="str">
        <f>""</f>
        <v/>
      </c>
      <c r="CD671" t="str">
        <f>""</f>
        <v/>
      </c>
      <c r="CE671" t="str">
        <f>""</f>
        <v/>
      </c>
      <c r="CF671" t="str">
        <f>""</f>
        <v/>
      </c>
      <c r="CG671" t="str">
        <f>""</f>
        <v/>
      </c>
      <c r="CH671" t="str">
        <f>""</f>
        <v/>
      </c>
      <c r="CI671" t="str">
        <f>""</f>
        <v/>
      </c>
      <c r="CJ671" t="str">
        <f>""</f>
        <v/>
      </c>
      <c r="CK671" t="str">
        <f>""</f>
        <v/>
      </c>
      <c r="CL671" t="str">
        <f>""</f>
        <v/>
      </c>
      <c r="CM671" t="str">
        <f>""</f>
        <v/>
      </c>
      <c r="CN671" t="str">
        <f>""</f>
        <v/>
      </c>
      <c r="CO671" t="str">
        <f>""</f>
        <v/>
      </c>
      <c r="CP671" t="str">
        <f>""</f>
        <v/>
      </c>
      <c r="CQ671" t="str">
        <f>""</f>
        <v/>
      </c>
      <c r="CR671" t="str">
        <f>""</f>
        <v/>
      </c>
      <c r="CS671" t="str">
        <f>""</f>
        <v/>
      </c>
      <c r="CT671" t="str">
        <f>""</f>
        <v/>
      </c>
      <c r="CU671" t="str">
        <f>""</f>
        <v/>
      </c>
      <c r="CV671" t="str">
        <f>""</f>
        <v/>
      </c>
      <c r="CW671" t="str">
        <f>""</f>
        <v/>
      </c>
      <c r="CX671" t="str">
        <f>""</f>
        <v/>
      </c>
      <c r="CY671" t="str">
        <f>""</f>
        <v/>
      </c>
      <c r="CZ671" t="str">
        <f>""</f>
        <v/>
      </c>
      <c r="DA671" t="str">
        <f>""</f>
        <v/>
      </c>
      <c r="DB671" t="str">
        <f>""</f>
        <v/>
      </c>
      <c r="DC671" t="str">
        <f>""</f>
        <v/>
      </c>
      <c r="DD671" t="str">
        <f>""</f>
        <v/>
      </c>
      <c r="DE671" t="str">
        <f>""</f>
        <v/>
      </c>
      <c r="DF671" t="str">
        <f>""</f>
        <v/>
      </c>
      <c r="DG671" t="str">
        <f>""</f>
        <v/>
      </c>
      <c r="DH671" t="str">
        <f>""</f>
        <v/>
      </c>
      <c r="DI671" t="str">
        <f>""</f>
        <v/>
      </c>
      <c r="DJ671" t="str">
        <f>""</f>
        <v/>
      </c>
      <c r="DK671" t="str">
        <f>""</f>
        <v/>
      </c>
      <c r="DL671" t="str">
        <f>""</f>
        <v/>
      </c>
      <c r="DM671" t="str">
        <f>""</f>
        <v/>
      </c>
      <c r="DN671" t="str">
        <f>""</f>
        <v/>
      </c>
      <c r="DO671" t="str">
        <f>""</f>
        <v/>
      </c>
      <c r="DP671" t="str">
        <f>""</f>
        <v/>
      </c>
      <c r="DQ671" t="str">
        <f>""</f>
        <v/>
      </c>
      <c r="DR671" t="str">
        <f>""</f>
        <v/>
      </c>
      <c r="DS671" t="str">
        <f>""</f>
        <v/>
      </c>
      <c r="DT671" t="str">
        <f>""</f>
        <v/>
      </c>
      <c r="DU671" t="str">
        <f>""</f>
        <v/>
      </c>
    </row>
    <row r="672" spans="1:125" x14ac:dyDescent="0.25">
      <c r="A672" t="str">
        <f>"Currency"</f>
        <v>Currency</v>
      </c>
      <c r="B672" t="str">
        <f>"USD"</f>
        <v>USD</v>
      </c>
      <c r="BN672" t="str">
        <f>""</f>
        <v/>
      </c>
      <c r="BO672" t="str">
        <f>""</f>
        <v/>
      </c>
      <c r="BP672" t="str">
        <f>""</f>
        <v/>
      </c>
      <c r="BQ672" t="str">
        <f>""</f>
        <v/>
      </c>
      <c r="BR672" t="str">
        <f>""</f>
        <v/>
      </c>
      <c r="BS672" t="str">
        <f>""</f>
        <v/>
      </c>
      <c r="BT672" t="str">
        <f>""</f>
        <v/>
      </c>
      <c r="BU672" t="str">
        <f>""</f>
        <v/>
      </c>
      <c r="BV672" t="str">
        <f>""</f>
        <v/>
      </c>
      <c r="BW672" t="str">
        <f>""</f>
        <v/>
      </c>
      <c r="BX672" t="str">
        <f>""</f>
        <v/>
      </c>
      <c r="BY672" t="str">
        <f>""</f>
        <v/>
      </c>
      <c r="BZ672" t="str">
        <f>""</f>
        <v/>
      </c>
      <c r="CA672" t="str">
        <f>""</f>
        <v/>
      </c>
      <c r="CB672" t="str">
        <f>""</f>
        <v/>
      </c>
      <c r="CC672" t="str">
        <f>""</f>
        <v/>
      </c>
      <c r="CD672" t="str">
        <f>""</f>
        <v/>
      </c>
      <c r="CE672" t="str">
        <f>""</f>
        <v/>
      </c>
      <c r="CF672" t="str">
        <f>""</f>
        <v/>
      </c>
      <c r="CG672" t="str">
        <f>""</f>
        <v/>
      </c>
      <c r="CH672" t="str">
        <f>""</f>
        <v/>
      </c>
      <c r="CI672" t="str">
        <f>""</f>
        <v/>
      </c>
      <c r="CJ672" t="str">
        <f>""</f>
        <v/>
      </c>
      <c r="CK672" t="str">
        <f>""</f>
        <v/>
      </c>
      <c r="CL672" t="str">
        <f>""</f>
        <v/>
      </c>
      <c r="CM672" t="str">
        <f>""</f>
        <v/>
      </c>
      <c r="CN672" t="str">
        <f>""</f>
        <v/>
      </c>
      <c r="CO672" t="str">
        <f>""</f>
        <v/>
      </c>
      <c r="CP672" t="str">
        <f>""</f>
        <v/>
      </c>
      <c r="CQ672" t="str">
        <f>""</f>
        <v/>
      </c>
      <c r="CR672" t="str">
        <f>""</f>
        <v/>
      </c>
      <c r="CS672" t="str">
        <f>""</f>
        <v/>
      </c>
      <c r="CT672" t="str">
        <f>""</f>
        <v/>
      </c>
      <c r="CU672" t="str">
        <f>""</f>
        <v/>
      </c>
      <c r="CV672" t="str">
        <f>""</f>
        <v/>
      </c>
      <c r="CW672" t="str">
        <f>""</f>
        <v/>
      </c>
      <c r="CX672" t="str">
        <f>""</f>
        <v/>
      </c>
      <c r="CY672" t="str">
        <f>""</f>
        <v/>
      </c>
      <c r="CZ672" t="str">
        <f>""</f>
        <v/>
      </c>
      <c r="DA672" t="str">
        <f>""</f>
        <v/>
      </c>
      <c r="DB672" t="str">
        <f>""</f>
        <v/>
      </c>
      <c r="DC672" t="str">
        <f>""</f>
        <v/>
      </c>
      <c r="DD672" t="str">
        <f>""</f>
        <v/>
      </c>
      <c r="DE672" t="str">
        <f>""</f>
        <v/>
      </c>
      <c r="DF672" t="str">
        <f>""</f>
        <v/>
      </c>
      <c r="DG672" t="str">
        <f>""</f>
        <v/>
      </c>
      <c r="DH672" t="str">
        <f>""</f>
        <v/>
      </c>
      <c r="DI672" t="str">
        <f>""</f>
        <v/>
      </c>
      <c r="DJ672" t="str">
        <f>""</f>
        <v/>
      </c>
      <c r="DK672" t="str">
        <f>""</f>
        <v/>
      </c>
      <c r="DL672" t="str">
        <f>""</f>
        <v/>
      </c>
      <c r="DM672" t="str">
        <f>""</f>
        <v/>
      </c>
      <c r="DN672" t="str">
        <f>""</f>
        <v/>
      </c>
      <c r="DO672" t="str">
        <f>""</f>
        <v/>
      </c>
      <c r="DP672" t="str">
        <f>""</f>
        <v/>
      </c>
      <c r="DQ672" t="str">
        <f>""</f>
        <v/>
      </c>
      <c r="DR672" t="str">
        <f>""</f>
        <v/>
      </c>
      <c r="DS672" t="str">
        <f>""</f>
        <v/>
      </c>
      <c r="DT672" t="str">
        <f>""</f>
        <v/>
      </c>
      <c r="DU672" t="str">
        <f>""</f>
        <v/>
      </c>
    </row>
    <row r="673" spans="1:125" x14ac:dyDescent="0.25">
      <c r="A673" t="str">
        <f>"Periodicity"</f>
        <v>Periodicity</v>
      </c>
      <c r="B673" t="str">
        <f>"CQ"</f>
        <v>CQ</v>
      </c>
      <c r="C673" t="str">
        <f>"AQ"</f>
        <v>AQ</v>
      </c>
      <c r="BN673" t="str">
        <f>""</f>
        <v/>
      </c>
      <c r="BO673" t="str">
        <f>""</f>
        <v/>
      </c>
      <c r="BP673" t="str">
        <f>""</f>
        <v/>
      </c>
      <c r="BQ673" t="str">
        <f>""</f>
        <v/>
      </c>
      <c r="BR673" t="str">
        <f>""</f>
        <v/>
      </c>
      <c r="BS673" t="str">
        <f>""</f>
        <v/>
      </c>
      <c r="BT673" t="str">
        <f>""</f>
        <v/>
      </c>
      <c r="BU673" t="str">
        <f>""</f>
        <v/>
      </c>
      <c r="BV673" t="str">
        <f>""</f>
        <v/>
      </c>
      <c r="BW673" t="str">
        <f>""</f>
        <v/>
      </c>
      <c r="BX673" t="str">
        <f>""</f>
        <v/>
      </c>
      <c r="BY673" t="str">
        <f>""</f>
        <v/>
      </c>
      <c r="BZ673" t="str">
        <f>""</f>
        <v/>
      </c>
      <c r="CA673" t="str">
        <f>""</f>
        <v/>
      </c>
      <c r="CB673" t="str">
        <f>""</f>
        <v/>
      </c>
      <c r="CC673" t="str">
        <f>""</f>
        <v/>
      </c>
      <c r="CD673" t="str">
        <f>""</f>
        <v/>
      </c>
      <c r="CE673" t="str">
        <f>""</f>
        <v/>
      </c>
      <c r="CF673" t="str">
        <f>""</f>
        <v/>
      </c>
      <c r="CG673" t="str">
        <f>""</f>
        <v/>
      </c>
      <c r="CH673" t="str">
        <f>""</f>
        <v/>
      </c>
      <c r="CI673" t="str">
        <f>""</f>
        <v/>
      </c>
      <c r="CJ673" t="str">
        <f>""</f>
        <v/>
      </c>
      <c r="CK673" t="str">
        <f>""</f>
        <v/>
      </c>
      <c r="CL673" t="str">
        <f>""</f>
        <v/>
      </c>
      <c r="CM673" t="str">
        <f>""</f>
        <v/>
      </c>
      <c r="CN673" t="str">
        <f>""</f>
        <v/>
      </c>
      <c r="CO673" t="str">
        <f>""</f>
        <v/>
      </c>
      <c r="CP673" t="str">
        <f>""</f>
        <v/>
      </c>
      <c r="CQ673" t="str">
        <f>""</f>
        <v/>
      </c>
      <c r="CR673" t="str">
        <f>""</f>
        <v/>
      </c>
      <c r="CS673" t="str">
        <f>""</f>
        <v/>
      </c>
      <c r="CT673" t="str">
        <f>""</f>
        <v/>
      </c>
      <c r="CU673" t="str">
        <f>""</f>
        <v/>
      </c>
      <c r="CV673" t="str">
        <f>""</f>
        <v/>
      </c>
      <c r="CW673" t="str">
        <f>""</f>
        <v/>
      </c>
      <c r="CX673" t="str">
        <f>""</f>
        <v/>
      </c>
      <c r="CY673" t="str">
        <f>""</f>
        <v/>
      </c>
      <c r="CZ673" t="str">
        <f>""</f>
        <v/>
      </c>
      <c r="DA673" t="str">
        <f>""</f>
        <v/>
      </c>
      <c r="DB673" t="str">
        <f>""</f>
        <v/>
      </c>
      <c r="DC673" t="str">
        <f>""</f>
        <v/>
      </c>
      <c r="DD673" t="str">
        <f>""</f>
        <v/>
      </c>
      <c r="DE673" t="str">
        <f>""</f>
        <v/>
      </c>
      <c r="DF673" t="str">
        <f>""</f>
        <v/>
      </c>
      <c r="DG673" t="str">
        <f>""</f>
        <v/>
      </c>
      <c r="DH673" t="str">
        <f>""</f>
        <v/>
      </c>
      <c r="DI673" t="str">
        <f>""</f>
        <v/>
      </c>
      <c r="DJ673" t="str">
        <f>""</f>
        <v/>
      </c>
      <c r="DK673" t="str">
        <f>""</f>
        <v/>
      </c>
      <c r="DL673" t="str">
        <f>""</f>
        <v/>
      </c>
      <c r="DM673" t="str">
        <f>""</f>
        <v/>
      </c>
      <c r="DN673" t="str">
        <f>""</f>
        <v/>
      </c>
      <c r="DO673" t="str">
        <f>""</f>
        <v/>
      </c>
      <c r="DP673" t="str">
        <f>""</f>
        <v/>
      </c>
      <c r="DQ673" t="str">
        <f>""</f>
        <v/>
      </c>
      <c r="DR673" t="str">
        <f>""</f>
        <v/>
      </c>
      <c r="DS673" t="str">
        <f>""</f>
        <v/>
      </c>
      <c r="DT673" t="str">
        <f>""</f>
        <v/>
      </c>
      <c r="DU673" t="str">
        <f>""</f>
        <v/>
      </c>
    </row>
    <row r="674" spans="1:125" x14ac:dyDescent="0.25">
      <c r="A674" t="str">
        <f>"Number of Periods"</f>
        <v>Number of Periods</v>
      </c>
      <c r="B674">
        <f>60</f>
        <v>60</v>
      </c>
      <c r="BN674" t="str">
        <f>""</f>
        <v/>
      </c>
      <c r="BO674" t="str">
        <f>""</f>
        <v/>
      </c>
      <c r="BP674" t="str">
        <f>""</f>
        <v/>
      </c>
      <c r="BQ674" t="str">
        <f>""</f>
        <v/>
      </c>
      <c r="BR674" t="str">
        <f>""</f>
        <v/>
      </c>
      <c r="BS674" t="str">
        <f>""</f>
        <v/>
      </c>
      <c r="BT674" t="str">
        <f>""</f>
        <v/>
      </c>
      <c r="BU674" t="str">
        <f>""</f>
        <v/>
      </c>
      <c r="BV674" t="str">
        <f>""</f>
        <v/>
      </c>
      <c r="BW674" t="str">
        <f>""</f>
        <v/>
      </c>
      <c r="BX674" t="str">
        <f>""</f>
        <v/>
      </c>
      <c r="BY674" t="str">
        <f>""</f>
        <v/>
      </c>
      <c r="BZ674" t="str">
        <f>""</f>
        <v/>
      </c>
      <c r="CA674" t="str">
        <f>""</f>
        <v/>
      </c>
      <c r="CB674" t="str">
        <f>""</f>
        <v/>
      </c>
      <c r="CC674" t="str">
        <f>""</f>
        <v/>
      </c>
      <c r="CD674" t="str">
        <f>""</f>
        <v/>
      </c>
      <c r="CE674" t="str">
        <f>""</f>
        <v/>
      </c>
      <c r="CF674" t="str">
        <f>""</f>
        <v/>
      </c>
      <c r="CG674" t="str">
        <f>""</f>
        <v/>
      </c>
      <c r="CH674" t="str">
        <f>""</f>
        <v/>
      </c>
      <c r="CI674" t="str">
        <f>""</f>
        <v/>
      </c>
      <c r="CJ674" t="str">
        <f>""</f>
        <v/>
      </c>
      <c r="CK674" t="str">
        <f>""</f>
        <v/>
      </c>
      <c r="CL674" t="str">
        <f>""</f>
        <v/>
      </c>
      <c r="CM674" t="str">
        <f>""</f>
        <v/>
      </c>
      <c r="CN674" t="str">
        <f>""</f>
        <v/>
      </c>
      <c r="CO674" t="str">
        <f>""</f>
        <v/>
      </c>
      <c r="CP674" t="str">
        <f>""</f>
        <v/>
      </c>
      <c r="CQ674" t="str">
        <f>""</f>
        <v/>
      </c>
      <c r="CR674" t="str">
        <f>""</f>
        <v/>
      </c>
      <c r="CS674" t="str">
        <f>""</f>
        <v/>
      </c>
      <c r="CT674" t="str">
        <f>""</f>
        <v/>
      </c>
      <c r="CU674" t="str">
        <f>""</f>
        <v/>
      </c>
      <c r="CV674" t="str">
        <f>""</f>
        <v/>
      </c>
      <c r="CW674" t="str">
        <f>""</f>
        <v/>
      </c>
      <c r="CX674" t="str">
        <f>""</f>
        <v/>
      </c>
      <c r="CY674" t="str">
        <f>""</f>
        <v/>
      </c>
      <c r="CZ674" t="str">
        <f>""</f>
        <v/>
      </c>
      <c r="DA674" t="str">
        <f>""</f>
        <v/>
      </c>
      <c r="DB674" t="str">
        <f>""</f>
        <v/>
      </c>
      <c r="DC674" t="str">
        <f>""</f>
        <v/>
      </c>
      <c r="DD674" t="str">
        <f>""</f>
        <v/>
      </c>
      <c r="DE674" t="str">
        <f>""</f>
        <v/>
      </c>
      <c r="DF674" t="str">
        <f>""</f>
        <v/>
      </c>
      <c r="DG674" t="str">
        <f>""</f>
        <v/>
      </c>
      <c r="DH674" t="str">
        <f>""</f>
        <v/>
      </c>
      <c r="DI674" t="str">
        <f>""</f>
        <v/>
      </c>
      <c r="DJ674" t="str">
        <f>""</f>
        <v/>
      </c>
      <c r="DK674" t="str">
        <f>""</f>
        <v/>
      </c>
      <c r="DL674" t="str">
        <f>""</f>
        <v/>
      </c>
      <c r="DM674" t="str">
        <f>""</f>
        <v/>
      </c>
      <c r="DN674" t="str">
        <f>""</f>
        <v/>
      </c>
      <c r="DO674" t="str">
        <f>""</f>
        <v/>
      </c>
      <c r="DP674" t="str">
        <f>""</f>
        <v/>
      </c>
      <c r="DQ674" t="str">
        <f>""</f>
        <v/>
      </c>
      <c r="DR674" t="str">
        <f>""</f>
        <v/>
      </c>
      <c r="DS674" t="str">
        <f>""</f>
        <v/>
      </c>
      <c r="DT674" t="str">
        <f>""</f>
        <v/>
      </c>
      <c r="DU674" t="str">
        <f>""</f>
        <v/>
      </c>
    </row>
    <row r="675" spans="1:125" x14ac:dyDescent="0.25">
      <c r="A675" t="str">
        <f>"Start Date"</f>
        <v>Start Date</v>
      </c>
      <c r="B675" t="str">
        <f>CONCATENATE("-",$B$674,$B$673)</f>
        <v>-60CQ</v>
      </c>
      <c r="C675" t="str">
        <f>CONCATENATE("-",$B$674,$C$673)</f>
        <v>-60AQ</v>
      </c>
      <c r="BN675" t="str">
        <f>""</f>
        <v/>
      </c>
      <c r="BO675" t="str">
        <f>""</f>
        <v/>
      </c>
      <c r="BP675" t="str">
        <f>""</f>
        <v/>
      </c>
      <c r="BQ675" t="str">
        <f>""</f>
        <v/>
      </c>
      <c r="BR675" t="str">
        <f>""</f>
        <v/>
      </c>
      <c r="BS675" t="str">
        <f>""</f>
        <v/>
      </c>
      <c r="BT675" t="str">
        <f>""</f>
        <v/>
      </c>
      <c r="BU675" t="str">
        <f>""</f>
        <v/>
      </c>
      <c r="BV675" t="str">
        <f>""</f>
        <v/>
      </c>
      <c r="BW675" t="str">
        <f>""</f>
        <v/>
      </c>
      <c r="BX675" t="str">
        <f>""</f>
        <v/>
      </c>
      <c r="BY675" t="str">
        <f>""</f>
        <v/>
      </c>
      <c r="BZ675" t="str">
        <f>""</f>
        <v/>
      </c>
      <c r="CA675" t="str">
        <f>""</f>
        <v/>
      </c>
      <c r="CB675" t="str">
        <f>""</f>
        <v/>
      </c>
      <c r="CC675" t="str">
        <f>""</f>
        <v/>
      </c>
      <c r="CD675" t="str">
        <f>""</f>
        <v/>
      </c>
      <c r="CE675" t="str">
        <f>""</f>
        <v/>
      </c>
      <c r="CF675" t="str">
        <f>""</f>
        <v/>
      </c>
      <c r="CG675" t="str">
        <f>""</f>
        <v/>
      </c>
      <c r="CH675" t="str">
        <f>""</f>
        <v/>
      </c>
      <c r="CI675" t="str">
        <f>""</f>
        <v/>
      </c>
      <c r="CJ675" t="str">
        <f>""</f>
        <v/>
      </c>
      <c r="CK675" t="str">
        <f>""</f>
        <v/>
      </c>
      <c r="CL675" t="str">
        <f>""</f>
        <v/>
      </c>
      <c r="CM675" t="str">
        <f>""</f>
        <v/>
      </c>
      <c r="CN675" t="str">
        <f>""</f>
        <v/>
      </c>
      <c r="CO675" t="str">
        <f>""</f>
        <v/>
      </c>
      <c r="CP675" t="str">
        <f>""</f>
        <v/>
      </c>
      <c r="CQ675" t="str">
        <f>""</f>
        <v/>
      </c>
      <c r="CR675" t="str">
        <f>""</f>
        <v/>
      </c>
      <c r="CS675" t="str">
        <f>""</f>
        <v/>
      </c>
      <c r="CT675" t="str">
        <f>""</f>
        <v/>
      </c>
      <c r="CU675" t="str">
        <f>""</f>
        <v/>
      </c>
      <c r="CV675" t="str">
        <f>""</f>
        <v/>
      </c>
      <c r="CW675" t="str">
        <f>""</f>
        <v/>
      </c>
      <c r="CX675" t="str">
        <f>""</f>
        <v/>
      </c>
      <c r="CY675" t="str">
        <f>""</f>
        <v/>
      </c>
      <c r="CZ675" t="str">
        <f>""</f>
        <v/>
      </c>
      <c r="DA675" t="str">
        <f>""</f>
        <v/>
      </c>
      <c r="DB675" t="str">
        <f>""</f>
        <v/>
      </c>
      <c r="DC675" t="str">
        <f>""</f>
        <v/>
      </c>
      <c r="DD675" t="str">
        <f>""</f>
        <v/>
      </c>
      <c r="DE675" t="str">
        <f>""</f>
        <v/>
      </c>
      <c r="DF675" t="str">
        <f>""</f>
        <v/>
      </c>
      <c r="DG675" t="str">
        <f>""</f>
        <v/>
      </c>
      <c r="DH675" t="str">
        <f>""</f>
        <v/>
      </c>
      <c r="DI675" t="str">
        <f>""</f>
        <v/>
      </c>
      <c r="DJ675" t="str">
        <f>""</f>
        <v/>
      </c>
      <c r="DK675" t="str">
        <f>""</f>
        <v/>
      </c>
      <c r="DL675" t="str">
        <f>""</f>
        <v/>
      </c>
      <c r="DM675" t="str">
        <f>""</f>
        <v/>
      </c>
      <c r="DN675" t="str">
        <f>""</f>
        <v/>
      </c>
      <c r="DO675" t="str">
        <f>""</f>
        <v/>
      </c>
      <c r="DP675" t="str">
        <f>""</f>
        <v/>
      </c>
      <c r="DQ675" t="str">
        <f>""</f>
        <v/>
      </c>
      <c r="DR675" t="str">
        <f>""</f>
        <v/>
      </c>
      <c r="DS675" t="str">
        <f>""</f>
        <v/>
      </c>
      <c r="DT675" t="str">
        <f>""</f>
        <v/>
      </c>
      <c r="DU675" t="str">
        <f>""</f>
        <v/>
      </c>
    </row>
    <row r="676" spans="1:125" x14ac:dyDescent="0.25">
      <c r="A676" t="str">
        <f>"End Date"</f>
        <v>End Date</v>
      </c>
      <c r="B676">
        <f ca="1">IF(TODAY()&lt;DATE(2019, 3,31),DATE(2019, 3,31),TODAY())</f>
        <v>43555</v>
      </c>
      <c r="BN676" t="str">
        <f>""</f>
        <v/>
      </c>
      <c r="BO676" t="str">
        <f>""</f>
        <v/>
      </c>
      <c r="BP676" t="str">
        <f>""</f>
        <v/>
      </c>
      <c r="BQ676" t="str">
        <f>""</f>
        <v/>
      </c>
      <c r="BR676" t="str">
        <f>""</f>
        <v/>
      </c>
      <c r="BS676" t="str">
        <f>""</f>
        <v/>
      </c>
      <c r="BT676" t="str">
        <f>""</f>
        <v/>
      </c>
      <c r="BU676" t="str">
        <f>""</f>
        <v/>
      </c>
      <c r="BV676" t="str">
        <f>""</f>
        <v/>
      </c>
      <c r="BW676" t="str">
        <f>""</f>
        <v/>
      </c>
      <c r="BX676" t="str">
        <f>""</f>
        <v/>
      </c>
      <c r="BY676" t="str">
        <f>""</f>
        <v/>
      </c>
      <c r="BZ676" t="str">
        <f>""</f>
        <v/>
      </c>
      <c r="CA676" t="str">
        <f>""</f>
        <v/>
      </c>
      <c r="CB676" t="str">
        <f>""</f>
        <v/>
      </c>
      <c r="CC676" t="str">
        <f>""</f>
        <v/>
      </c>
      <c r="CD676" t="str">
        <f>""</f>
        <v/>
      </c>
      <c r="CE676" t="str">
        <f>""</f>
        <v/>
      </c>
      <c r="CF676" t="str">
        <f>""</f>
        <v/>
      </c>
      <c r="CG676" t="str">
        <f>""</f>
        <v/>
      </c>
      <c r="CH676" t="str">
        <f>""</f>
        <v/>
      </c>
      <c r="CI676" t="str">
        <f>""</f>
        <v/>
      </c>
      <c r="CJ676" t="str">
        <f>""</f>
        <v/>
      </c>
      <c r="CK676" t="str">
        <f>""</f>
        <v/>
      </c>
      <c r="CL676" t="str">
        <f>""</f>
        <v/>
      </c>
      <c r="CM676" t="str">
        <f>""</f>
        <v/>
      </c>
      <c r="CN676" t="str">
        <f>""</f>
        <v/>
      </c>
      <c r="CO676" t="str">
        <f>""</f>
        <v/>
      </c>
      <c r="CP676" t="str">
        <f>""</f>
        <v/>
      </c>
      <c r="CQ676" t="str">
        <f>""</f>
        <v/>
      </c>
      <c r="CR676" t="str">
        <f>""</f>
        <v/>
      </c>
      <c r="CS676" t="str">
        <f>""</f>
        <v/>
      </c>
      <c r="CT676" t="str">
        <f>""</f>
        <v/>
      </c>
      <c r="CU676" t="str">
        <f>""</f>
        <v/>
      </c>
      <c r="CV676" t="str">
        <f>""</f>
        <v/>
      </c>
      <c r="CW676" t="str">
        <f>""</f>
        <v/>
      </c>
      <c r="CX676" t="str">
        <f>""</f>
        <v/>
      </c>
      <c r="CY676" t="str">
        <f>""</f>
        <v/>
      </c>
      <c r="CZ676" t="str">
        <f>""</f>
        <v/>
      </c>
      <c r="DA676" t="str">
        <f>""</f>
        <v/>
      </c>
      <c r="DB676" t="str">
        <f>""</f>
        <v/>
      </c>
      <c r="DC676" t="str">
        <f>""</f>
        <v/>
      </c>
      <c r="DD676" t="str">
        <f>""</f>
        <v/>
      </c>
      <c r="DE676" t="str">
        <f>""</f>
        <v/>
      </c>
      <c r="DF676" t="str">
        <f>""</f>
        <v/>
      </c>
      <c r="DG676" t="str">
        <f>""</f>
        <v/>
      </c>
      <c r="DH676" t="str">
        <f>""</f>
        <v/>
      </c>
      <c r="DI676" t="str">
        <f>""</f>
        <v/>
      </c>
      <c r="DJ676" t="str">
        <f>""</f>
        <v/>
      </c>
      <c r="DK676" t="str">
        <f>""</f>
        <v/>
      </c>
      <c r="DL676" t="str">
        <f>""</f>
        <v/>
      </c>
      <c r="DM676" t="str">
        <f>""</f>
        <v/>
      </c>
      <c r="DN676" t="str">
        <f>""</f>
        <v/>
      </c>
      <c r="DO676" t="str">
        <f>""</f>
        <v/>
      </c>
      <c r="DP676" t="str">
        <f>""</f>
        <v/>
      </c>
      <c r="DQ676" t="str">
        <f>""</f>
        <v/>
      </c>
      <c r="DR676" t="str">
        <f>""</f>
        <v/>
      </c>
      <c r="DS676" t="str">
        <f>""</f>
        <v/>
      </c>
      <c r="DT676" t="str">
        <f>""</f>
        <v/>
      </c>
      <c r="DU676" t="str">
        <f>""</f>
        <v/>
      </c>
    </row>
    <row r="677" spans="1:125" x14ac:dyDescent="0.25">
      <c r="A677" t="str">
        <f>"HeaderStatus"</f>
        <v>HeaderStatus</v>
      </c>
      <c r="B677">
        <f ca="1">$B$1338*$B$1346</f>
        <v>4</v>
      </c>
      <c r="BN677" t="str">
        <f>""</f>
        <v/>
      </c>
      <c r="BO677" t="str">
        <f>""</f>
        <v/>
      </c>
      <c r="BP677" t="str">
        <f>""</f>
        <v/>
      </c>
      <c r="BQ677" t="str">
        <f>""</f>
        <v/>
      </c>
      <c r="BR677" t="str">
        <f>""</f>
        <v/>
      </c>
      <c r="BS677" t="str">
        <f>""</f>
        <v/>
      </c>
      <c r="BT677" t="str">
        <f>""</f>
        <v/>
      </c>
      <c r="BU677" t="str">
        <f>""</f>
        <v/>
      </c>
      <c r="BV677" t="str">
        <f>""</f>
        <v/>
      </c>
      <c r="BW677" t="str">
        <f>""</f>
        <v/>
      </c>
      <c r="BX677" t="str">
        <f>""</f>
        <v/>
      </c>
      <c r="BY677" t="str">
        <f>""</f>
        <v/>
      </c>
      <c r="BZ677" t="str">
        <f>""</f>
        <v/>
      </c>
      <c r="CA677" t="str">
        <f>""</f>
        <v/>
      </c>
      <c r="CB677" t="str">
        <f>""</f>
        <v/>
      </c>
      <c r="CC677" t="str">
        <f>""</f>
        <v/>
      </c>
      <c r="CD677" t="str">
        <f>""</f>
        <v/>
      </c>
      <c r="CE677" t="str">
        <f>""</f>
        <v/>
      </c>
      <c r="CF677" t="str">
        <f>""</f>
        <v/>
      </c>
      <c r="CG677" t="str">
        <f>""</f>
        <v/>
      </c>
      <c r="CH677" t="str">
        <f>""</f>
        <v/>
      </c>
      <c r="CI677" t="str">
        <f>""</f>
        <v/>
      </c>
      <c r="CJ677" t="str">
        <f>""</f>
        <v/>
      </c>
      <c r="CK677" t="str">
        <f>""</f>
        <v/>
      </c>
      <c r="CL677" t="str">
        <f>""</f>
        <v/>
      </c>
      <c r="CM677" t="str">
        <f>""</f>
        <v/>
      </c>
      <c r="CN677" t="str">
        <f>""</f>
        <v/>
      </c>
      <c r="CO677" t="str">
        <f>""</f>
        <v/>
      </c>
      <c r="CP677" t="str">
        <f>""</f>
        <v/>
      </c>
      <c r="CQ677" t="str">
        <f>""</f>
        <v/>
      </c>
      <c r="CR677" t="str">
        <f>""</f>
        <v/>
      </c>
      <c r="CS677" t="str">
        <f>""</f>
        <v/>
      </c>
      <c r="CT677" t="str">
        <f>""</f>
        <v/>
      </c>
      <c r="CU677" t="str">
        <f>""</f>
        <v/>
      </c>
      <c r="CV677" t="str">
        <f>""</f>
        <v/>
      </c>
      <c r="CW677" t="str">
        <f>""</f>
        <v/>
      </c>
      <c r="CX677" t="str">
        <f>""</f>
        <v/>
      </c>
      <c r="CY677" t="str">
        <f>""</f>
        <v/>
      </c>
      <c r="CZ677" t="str">
        <f>""</f>
        <v/>
      </c>
      <c r="DA677" t="str">
        <f>""</f>
        <v/>
      </c>
      <c r="DB677" t="str">
        <f>""</f>
        <v/>
      </c>
      <c r="DC677" t="str">
        <f>""</f>
        <v/>
      </c>
      <c r="DD677" t="str">
        <f>""</f>
        <v/>
      </c>
      <c r="DE677" t="str">
        <f>""</f>
        <v/>
      </c>
      <c r="DF677" t="str">
        <f>""</f>
        <v/>
      </c>
      <c r="DG677" t="str">
        <f>""</f>
        <v/>
      </c>
      <c r="DH677" t="str">
        <f>""</f>
        <v/>
      </c>
      <c r="DI677" t="str">
        <f>""</f>
        <v/>
      </c>
      <c r="DJ677" t="str">
        <f>""</f>
        <v/>
      </c>
      <c r="DK677" t="str">
        <f>""</f>
        <v/>
      </c>
      <c r="DL677" t="str">
        <f>""</f>
        <v/>
      </c>
      <c r="DM677" t="str">
        <f>""</f>
        <v/>
      </c>
      <c r="DN677" t="str">
        <f>""</f>
        <v/>
      </c>
      <c r="DO677" t="str">
        <f>""</f>
        <v/>
      </c>
      <c r="DP677" t="str">
        <f>""</f>
        <v/>
      </c>
      <c r="DQ677" t="str">
        <f>""</f>
        <v/>
      </c>
      <c r="DR677" t="str">
        <f>""</f>
        <v/>
      </c>
      <c r="DS677" t="str">
        <f>""</f>
        <v/>
      </c>
      <c r="DT677" t="str">
        <f>""</f>
        <v/>
      </c>
      <c r="DU677" t="str">
        <f>""</f>
        <v/>
      </c>
    </row>
    <row r="678" spans="1:125" x14ac:dyDescent="0.25">
      <c r="BN678" t="str">
        <f>""</f>
        <v/>
      </c>
      <c r="BO678" t="str">
        <f>""</f>
        <v/>
      </c>
      <c r="BP678" t="str">
        <f>""</f>
        <v/>
      </c>
      <c r="BQ678" t="str">
        <f>""</f>
        <v/>
      </c>
      <c r="BR678" t="str">
        <f>""</f>
        <v/>
      </c>
      <c r="BS678" t="str">
        <f>""</f>
        <v/>
      </c>
      <c r="BT678" t="str">
        <f>""</f>
        <v/>
      </c>
      <c r="BU678" t="str">
        <f>""</f>
        <v/>
      </c>
      <c r="BV678" t="str">
        <f>""</f>
        <v/>
      </c>
      <c r="BW678" t="str">
        <f>""</f>
        <v/>
      </c>
      <c r="BX678" t="str">
        <f>""</f>
        <v/>
      </c>
      <c r="BY678" t="str">
        <f>""</f>
        <v/>
      </c>
      <c r="BZ678" t="str">
        <f>""</f>
        <v/>
      </c>
      <c r="CA678" t="str">
        <f>""</f>
        <v/>
      </c>
      <c r="CB678" t="str">
        <f>""</f>
        <v/>
      </c>
      <c r="CC678" t="str">
        <f>""</f>
        <v/>
      </c>
      <c r="CD678" t="str">
        <f>""</f>
        <v/>
      </c>
      <c r="CE678" t="str">
        <f>""</f>
        <v/>
      </c>
      <c r="CF678" t="str">
        <f>""</f>
        <v/>
      </c>
      <c r="CG678" t="str">
        <f>""</f>
        <v/>
      </c>
      <c r="CH678" t="str">
        <f>""</f>
        <v/>
      </c>
      <c r="CI678" t="str">
        <f>""</f>
        <v/>
      </c>
      <c r="CJ678" t="str">
        <f>""</f>
        <v/>
      </c>
      <c r="CK678" t="str">
        <f>""</f>
        <v/>
      </c>
      <c r="CL678" t="str">
        <f>""</f>
        <v/>
      </c>
      <c r="CM678" t="str">
        <f>""</f>
        <v/>
      </c>
      <c r="CN678" t="str">
        <f>""</f>
        <v/>
      </c>
      <c r="CO678" t="str">
        <f>""</f>
        <v/>
      </c>
      <c r="CP678" t="str">
        <f>""</f>
        <v/>
      </c>
      <c r="CQ678" t="str">
        <f>""</f>
        <v/>
      </c>
      <c r="CR678" t="str">
        <f>""</f>
        <v/>
      </c>
      <c r="CS678" t="str">
        <f>""</f>
        <v/>
      </c>
      <c r="CT678" t="str">
        <f>""</f>
        <v/>
      </c>
      <c r="CU678" t="str">
        <f>""</f>
        <v/>
      </c>
      <c r="CV678" t="str">
        <f>""</f>
        <v/>
      </c>
      <c r="CW678" t="str">
        <f>""</f>
        <v/>
      </c>
      <c r="CX678" t="str">
        <f>""</f>
        <v/>
      </c>
      <c r="CY678" t="str">
        <f>""</f>
        <v/>
      </c>
      <c r="CZ678" t="str">
        <f>""</f>
        <v/>
      </c>
      <c r="DA678" t="str">
        <f>""</f>
        <v/>
      </c>
      <c r="DB678" t="str">
        <f>""</f>
        <v/>
      </c>
      <c r="DC678" t="str">
        <f>""</f>
        <v/>
      </c>
      <c r="DD678" t="str">
        <f>""</f>
        <v/>
      </c>
      <c r="DE678" t="str">
        <f>""</f>
        <v/>
      </c>
      <c r="DF678" t="str">
        <f>""</f>
        <v/>
      </c>
      <c r="DG678" t="str">
        <f>""</f>
        <v/>
      </c>
      <c r="DH678" t="str">
        <f>""</f>
        <v/>
      </c>
      <c r="DI678" t="str">
        <f>""</f>
        <v/>
      </c>
      <c r="DJ678" t="str">
        <f>""</f>
        <v/>
      </c>
      <c r="DK678" t="str">
        <f>""</f>
        <v/>
      </c>
      <c r="DL678" t="str">
        <f>""</f>
        <v/>
      </c>
      <c r="DM678" t="str">
        <f>""</f>
        <v/>
      </c>
      <c r="DN678" t="str">
        <f>""</f>
        <v/>
      </c>
      <c r="DO678" t="str">
        <f>""</f>
        <v/>
      </c>
      <c r="DP678" t="str">
        <f>""</f>
        <v/>
      </c>
      <c r="DQ678" t="str">
        <f>""</f>
        <v/>
      </c>
      <c r="DR678" t="str">
        <f>""</f>
        <v/>
      </c>
      <c r="DS678" t="str">
        <f>""</f>
        <v/>
      </c>
      <c r="DT678" t="str">
        <f>""</f>
        <v/>
      </c>
      <c r="DU678" t="str">
        <f>""</f>
        <v/>
      </c>
    </row>
    <row r="679" spans="1:125" x14ac:dyDescent="0.25">
      <c r="A679" t="str">
        <f>$A$5</f>
        <v xml:space="preserve">    AUDI AG</v>
      </c>
      <c r="B679" t="str">
        <f>$B$5</f>
        <v>NSU GR Equity</v>
      </c>
      <c r="C679" t="str">
        <f>$C$5</f>
        <v>RR900</v>
      </c>
      <c r="D679" t="str">
        <f>$D$5</f>
        <v>PE_RATIO</v>
      </c>
      <c r="E679" t="str">
        <f>$E$5</f>
        <v>Dynamic</v>
      </c>
      <c r="F679" t="str">
        <f ca="1">_xll.BDH($B$5,$C$5,$B$675,$B$676,CONCATENATE("Per=",$B$673),"Dts=H","Dir=H",CONCATENATE("Points=",$B$674),"Sort=R","Days=A","Fill=B",CONCATENATE("FX=", $B$672) )</f>
        <v>#N/A Connection</v>
      </c>
      <c r="BN679" t="str">
        <f>""</f>
        <v/>
      </c>
      <c r="BO679" t="str">
        <f>""</f>
        <v/>
      </c>
      <c r="BP679" t="str">
        <f>""</f>
        <v/>
      </c>
      <c r="BQ679" t="str">
        <f>""</f>
        <v/>
      </c>
      <c r="BR679" t="str">
        <f>""</f>
        <v/>
      </c>
      <c r="BS679" t="str">
        <f>""</f>
        <v/>
      </c>
      <c r="BT679" t="str">
        <f>""</f>
        <v/>
      </c>
      <c r="BU679" t="str">
        <f>""</f>
        <v/>
      </c>
      <c r="BV679" t="str">
        <f>""</f>
        <v/>
      </c>
      <c r="BW679" t="str">
        <f>""</f>
        <v/>
      </c>
      <c r="BX679" t="str">
        <f>""</f>
        <v/>
      </c>
      <c r="BY679" t="str">
        <f>""</f>
        <v/>
      </c>
      <c r="BZ679" t="str">
        <f>""</f>
        <v/>
      </c>
      <c r="CA679" t="str">
        <f>""</f>
        <v/>
      </c>
      <c r="CB679" t="str">
        <f>""</f>
        <v/>
      </c>
      <c r="CC679" t="str">
        <f>""</f>
        <v/>
      </c>
      <c r="CD679" t="str">
        <f>""</f>
        <v/>
      </c>
      <c r="CE679" t="str">
        <f>""</f>
        <v/>
      </c>
      <c r="CF679" t="str">
        <f>""</f>
        <v/>
      </c>
      <c r="CG679" t="str">
        <f>""</f>
        <v/>
      </c>
      <c r="CH679" t="str">
        <f>""</f>
        <v/>
      </c>
      <c r="CI679" t="str">
        <f>""</f>
        <v/>
      </c>
      <c r="CJ679" t="str">
        <f>""</f>
        <v/>
      </c>
      <c r="CK679" t="str">
        <f>""</f>
        <v/>
      </c>
      <c r="CL679" t="str">
        <f>""</f>
        <v/>
      </c>
      <c r="CM679" t="str">
        <f>""</f>
        <v/>
      </c>
      <c r="CN679" t="str">
        <f>""</f>
        <v/>
      </c>
      <c r="CO679" t="str">
        <f>""</f>
        <v/>
      </c>
      <c r="CP679" t="str">
        <f>""</f>
        <v/>
      </c>
      <c r="CQ679" t="str">
        <f>""</f>
        <v/>
      </c>
      <c r="CR679" t="str">
        <f>""</f>
        <v/>
      </c>
      <c r="CS679" t="str">
        <f>""</f>
        <v/>
      </c>
      <c r="CT679" t="str">
        <f>""</f>
        <v/>
      </c>
      <c r="CU679" t="str">
        <f>""</f>
        <v/>
      </c>
      <c r="CV679" t="str">
        <f>""</f>
        <v/>
      </c>
      <c r="CW679" t="str">
        <f>""</f>
        <v/>
      </c>
      <c r="CX679" t="str">
        <f>""</f>
        <v/>
      </c>
      <c r="CY679" t="str">
        <f>""</f>
        <v/>
      </c>
      <c r="CZ679" t="str">
        <f>""</f>
        <v/>
      </c>
      <c r="DA679" t="str">
        <f>""</f>
        <v/>
      </c>
      <c r="DB679" t="str">
        <f>""</f>
        <v/>
      </c>
      <c r="DC679" t="str">
        <f>""</f>
        <v/>
      </c>
      <c r="DD679" t="str">
        <f>""</f>
        <v/>
      </c>
      <c r="DE679" t="str">
        <f>""</f>
        <v/>
      </c>
      <c r="DF679" t="str">
        <f>""</f>
        <v/>
      </c>
      <c r="DG679" t="str">
        <f>""</f>
        <v/>
      </c>
      <c r="DH679" t="str">
        <f>""</f>
        <v/>
      </c>
      <c r="DI679" t="str">
        <f>""</f>
        <v/>
      </c>
      <c r="DJ679" t="str">
        <f>""</f>
        <v/>
      </c>
      <c r="DK679" t="str">
        <f>""</f>
        <v/>
      </c>
      <c r="DL679" t="str">
        <f>""</f>
        <v/>
      </c>
      <c r="DM679" t="str">
        <f>""</f>
        <v/>
      </c>
      <c r="DN679" t="str">
        <f>""</f>
        <v/>
      </c>
      <c r="DO679" t="str">
        <f>""</f>
        <v/>
      </c>
      <c r="DP679" t="str">
        <f>""</f>
        <v/>
      </c>
      <c r="DQ679" t="str">
        <f>""</f>
        <v/>
      </c>
      <c r="DR679" t="str">
        <f>""</f>
        <v/>
      </c>
      <c r="DS679" t="str">
        <f>""</f>
        <v/>
      </c>
      <c r="DT679" t="str">
        <f>""</f>
        <v/>
      </c>
      <c r="DU679" t="str">
        <f>""</f>
        <v/>
      </c>
    </row>
    <row r="680" spans="1:125" x14ac:dyDescent="0.25">
      <c r="A680" t="str">
        <f>$A$6</f>
        <v xml:space="preserve">    Avtovaz PJSC</v>
      </c>
      <c r="B680" t="str">
        <f>$B$6</f>
        <v>AVAZ RM Equity</v>
      </c>
      <c r="C680" t="str">
        <f>$C$6</f>
        <v>RR900</v>
      </c>
      <c r="D680" t="str">
        <f>$D$6</f>
        <v>PE_RATIO</v>
      </c>
      <c r="E680" t="str">
        <f>$E$6</f>
        <v>Dynamic</v>
      </c>
      <c r="F680" t="str">
        <f ca="1">_xll.BDH($B$6,$C$6,$B$675,$B$676,CONCATENATE("Per=",$B$673),"Dts=H","Dir=H",CONCATENATE("Points=",$B$674),"Sort=R","Days=A","Fill=B",CONCATENATE("FX=", $B$672) )</f>
        <v>#N/A Connection</v>
      </c>
      <c r="BN680" t="str">
        <f>""</f>
        <v/>
      </c>
      <c r="BO680" t="str">
        <f>""</f>
        <v/>
      </c>
      <c r="BP680" t="str">
        <f>""</f>
        <v/>
      </c>
      <c r="BQ680" t="str">
        <f>""</f>
        <v/>
      </c>
      <c r="BR680" t="str">
        <f>""</f>
        <v/>
      </c>
      <c r="BS680" t="str">
        <f>""</f>
        <v/>
      </c>
      <c r="BT680" t="str">
        <f>""</f>
        <v/>
      </c>
      <c r="BU680" t="str">
        <f>""</f>
        <v/>
      </c>
      <c r="BV680" t="str">
        <f>""</f>
        <v/>
      </c>
      <c r="BW680" t="str">
        <f>""</f>
        <v/>
      </c>
      <c r="BX680" t="str">
        <f>""</f>
        <v/>
      </c>
      <c r="BY680" t="str">
        <f>""</f>
        <v/>
      </c>
      <c r="BZ680" t="str">
        <f>""</f>
        <v/>
      </c>
      <c r="CA680" t="str">
        <f>""</f>
        <v/>
      </c>
      <c r="CB680" t="str">
        <f>""</f>
        <v/>
      </c>
      <c r="CC680" t="str">
        <f>""</f>
        <v/>
      </c>
      <c r="CD680" t="str">
        <f>""</f>
        <v/>
      </c>
      <c r="CE680" t="str">
        <f>""</f>
        <v/>
      </c>
      <c r="CF680" t="str">
        <f>""</f>
        <v/>
      </c>
      <c r="CG680" t="str">
        <f>""</f>
        <v/>
      </c>
      <c r="CH680" t="str">
        <f>""</f>
        <v/>
      </c>
      <c r="CI680" t="str">
        <f>""</f>
        <v/>
      </c>
      <c r="CJ680" t="str">
        <f>""</f>
        <v/>
      </c>
      <c r="CK680" t="str">
        <f>""</f>
        <v/>
      </c>
      <c r="CL680" t="str">
        <f>""</f>
        <v/>
      </c>
      <c r="CM680" t="str">
        <f>""</f>
        <v/>
      </c>
      <c r="CN680" t="str">
        <f>""</f>
        <v/>
      </c>
      <c r="CO680" t="str">
        <f>""</f>
        <v/>
      </c>
      <c r="CP680" t="str">
        <f>""</f>
        <v/>
      </c>
      <c r="CQ680" t="str">
        <f>""</f>
        <v/>
      </c>
      <c r="CR680" t="str">
        <f>""</f>
        <v/>
      </c>
      <c r="CS680" t="str">
        <f>""</f>
        <v/>
      </c>
      <c r="CT680" t="str">
        <f>""</f>
        <v/>
      </c>
      <c r="CU680" t="str">
        <f>""</f>
        <v/>
      </c>
      <c r="CV680" t="str">
        <f>""</f>
        <v/>
      </c>
      <c r="CW680" t="str">
        <f>""</f>
        <v/>
      </c>
      <c r="CX680" t="str">
        <f>""</f>
        <v/>
      </c>
      <c r="CY680" t="str">
        <f>""</f>
        <v/>
      </c>
      <c r="CZ680" t="str">
        <f>""</f>
        <v/>
      </c>
      <c r="DA680" t="str">
        <f>""</f>
        <v/>
      </c>
      <c r="DB680" t="str">
        <f>""</f>
        <v/>
      </c>
      <c r="DC680" t="str">
        <f>""</f>
        <v/>
      </c>
      <c r="DD680" t="str">
        <f>""</f>
        <v/>
      </c>
      <c r="DE680" t="str">
        <f>""</f>
        <v/>
      </c>
      <c r="DF680" t="str">
        <f>""</f>
        <v/>
      </c>
      <c r="DG680" t="str">
        <f>""</f>
        <v/>
      </c>
      <c r="DH680" t="str">
        <f>""</f>
        <v/>
      </c>
      <c r="DI680" t="str">
        <f>""</f>
        <v/>
      </c>
      <c r="DJ680" t="str">
        <f>""</f>
        <v/>
      </c>
      <c r="DK680" t="str">
        <f>""</f>
        <v/>
      </c>
      <c r="DL680" t="str">
        <f>""</f>
        <v/>
      </c>
      <c r="DM680" t="str">
        <f>""</f>
        <v/>
      </c>
      <c r="DN680" t="str">
        <f>""</f>
        <v/>
      </c>
      <c r="DO680" t="str">
        <f>""</f>
        <v/>
      </c>
      <c r="DP680" t="str">
        <f>""</f>
        <v/>
      </c>
      <c r="DQ680" t="str">
        <f>""</f>
        <v/>
      </c>
      <c r="DR680" t="str">
        <f>""</f>
        <v/>
      </c>
      <c r="DS680" t="str">
        <f>""</f>
        <v/>
      </c>
      <c r="DT680" t="str">
        <f>""</f>
        <v/>
      </c>
      <c r="DU680" t="str">
        <f>""</f>
        <v/>
      </c>
    </row>
    <row r="681" spans="1:125" x14ac:dyDescent="0.25">
      <c r="A681" t="str">
        <f>$A$7</f>
        <v xml:space="preserve">    Bayerische Motoren Werke AG</v>
      </c>
      <c r="B681" t="str">
        <f>$B$7</f>
        <v>BMW GR Equity</v>
      </c>
      <c r="C681" t="str">
        <f>$C$7</f>
        <v>RR900</v>
      </c>
      <c r="D681" t="str">
        <f>$D$7</f>
        <v>PE_RATIO</v>
      </c>
      <c r="E681" t="str">
        <f>$E$7</f>
        <v>Dynamic</v>
      </c>
      <c r="F681" t="str">
        <f ca="1">_xll.BDH($B$7,$C$7,$B$675,$B$676,CONCATENATE("Per=",$B$673),"Dts=H","Dir=H",CONCATENATE("Points=",$B$674),"Sort=R","Days=A","Fill=B",CONCATENATE("FX=", $B$672) )</f>
        <v>#N/A Connection</v>
      </c>
      <c r="BN681" t="str">
        <f>""</f>
        <v/>
      </c>
      <c r="BO681" t="str">
        <f>""</f>
        <v/>
      </c>
      <c r="BP681" t="str">
        <f>""</f>
        <v/>
      </c>
      <c r="BQ681" t="str">
        <f>""</f>
        <v/>
      </c>
      <c r="BR681" t="str">
        <f>""</f>
        <v/>
      </c>
      <c r="BS681" t="str">
        <f>""</f>
        <v/>
      </c>
      <c r="BT681" t="str">
        <f>""</f>
        <v/>
      </c>
      <c r="BU681" t="str">
        <f>""</f>
        <v/>
      </c>
      <c r="BV681" t="str">
        <f>""</f>
        <v/>
      </c>
      <c r="BW681" t="str">
        <f>""</f>
        <v/>
      </c>
      <c r="BX681" t="str">
        <f>""</f>
        <v/>
      </c>
      <c r="BY681" t="str">
        <f>""</f>
        <v/>
      </c>
      <c r="BZ681" t="str">
        <f>""</f>
        <v/>
      </c>
      <c r="CA681" t="str">
        <f>""</f>
        <v/>
      </c>
      <c r="CB681" t="str">
        <f>""</f>
        <v/>
      </c>
      <c r="CC681" t="str">
        <f>""</f>
        <v/>
      </c>
      <c r="CD681" t="str">
        <f>""</f>
        <v/>
      </c>
      <c r="CE681" t="str">
        <f>""</f>
        <v/>
      </c>
      <c r="CF681" t="str">
        <f>""</f>
        <v/>
      </c>
      <c r="CG681" t="str">
        <f>""</f>
        <v/>
      </c>
      <c r="CH681" t="str">
        <f>""</f>
        <v/>
      </c>
      <c r="CI681" t="str">
        <f>""</f>
        <v/>
      </c>
      <c r="CJ681" t="str">
        <f>""</f>
        <v/>
      </c>
      <c r="CK681" t="str">
        <f>""</f>
        <v/>
      </c>
      <c r="CL681" t="str">
        <f>""</f>
        <v/>
      </c>
      <c r="CM681" t="str">
        <f>""</f>
        <v/>
      </c>
      <c r="CN681" t="str">
        <f>""</f>
        <v/>
      </c>
      <c r="CO681" t="str">
        <f>""</f>
        <v/>
      </c>
      <c r="CP681" t="str">
        <f>""</f>
        <v/>
      </c>
      <c r="CQ681" t="str">
        <f>""</f>
        <v/>
      </c>
      <c r="CR681" t="str">
        <f>""</f>
        <v/>
      </c>
      <c r="CS681" t="str">
        <f>""</f>
        <v/>
      </c>
      <c r="CT681" t="str">
        <f>""</f>
        <v/>
      </c>
      <c r="CU681" t="str">
        <f>""</f>
        <v/>
      </c>
      <c r="CV681" t="str">
        <f>""</f>
        <v/>
      </c>
      <c r="CW681" t="str">
        <f>""</f>
        <v/>
      </c>
      <c r="CX681" t="str">
        <f>""</f>
        <v/>
      </c>
      <c r="CY681" t="str">
        <f>""</f>
        <v/>
      </c>
      <c r="CZ681" t="str">
        <f>""</f>
        <v/>
      </c>
      <c r="DA681" t="str">
        <f>""</f>
        <v/>
      </c>
      <c r="DB681" t="str">
        <f>""</f>
        <v/>
      </c>
      <c r="DC681" t="str">
        <f>""</f>
        <v/>
      </c>
      <c r="DD681" t="str">
        <f>""</f>
        <v/>
      </c>
      <c r="DE681" t="str">
        <f>""</f>
        <v/>
      </c>
      <c r="DF681" t="str">
        <f>""</f>
        <v/>
      </c>
      <c r="DG681" t="str">
        <f>""</f>
        <v/>
      </c>
      <c r="DH681" t="str">
        <f>""</f>
        <v/>
      </c>
      <c r="DI681" t="str">
        <f>""</f>
        <v/>
      </c>
      <c r="DJ681" t="str">
        <f>""</f>
        <v/>
      </c>
      <c r="DK681" t="str">
        <f>""</f>
        <v/>
      </c>
      <c r="DL681" t="str">
        <f>""</f>
        <v/>
      </c>
      <c r="DM681" t="str">
        <f>""</f>
        <v/>
      </c>
      <c r="DN681" t="str">
        <f>""</f>
        <v/>
      </c>
      <c r="DO681" t="str">
        <f>""</f>
        <v/>
      </c>
      <c r="DP681" t="str">
        <f>""</f>
        <v/>
      </c>
      <c r="DQ681" t="str">
        <f>""</f>
        <v/>
      </c>
      <c r="DR681" t="str">
        <f>""</f>
        <v/>
      </c>
      <c r="DS681" t="str">
        <f>""</f>
        <v/>
      </c>
      <c r="DT681" t="str">
        <f>""</f>
        <v/>
      </c>
      <c r="DU681" t="str">
        <f>""</f>
        <v/>
      </c>
    </row>
    <row r="682" spans="1:125" x14ac:dyDescent="0.25">
      <c r="A682" t="str">
        <f>$A$8</f>
        <v xml:space="preserve">    Brilliance China Automotive Holdings Ltd</v>
      </c>
      <c r="B682" t="str">
        <f>$B$8</f>
        <v>1114 HK Equity</v>
      </c>
      <c r="C682" t="str">
        <f>$C$8</f>
        <v>RR900</v>
      </c>
      <c r="D682" t="str">
        <f>$D$8</f>
        <v>PE_RATIO</v>
      </c>
      <c r="E682" t="str">
        <f>$E$8</f>
        <v>Dynamic</v>
      </c>
      <c r="F682" t="str">
        <f ca="1">_xll.BDH($B$8,$C$8,$B$675,$B$676,CONCATENATE("Per=",$B$673),"Dts=H","Dir=H",CONCATENATE("Points=",$B$674),"Sort=R","Days=A","Fill=B",CONCATENATE("FX=", $B$672) )</f>
        <v>#N/A Connection</v>
      </c>
      <c r="BN682" t="str">
        <f>""</f>
        <v/>
      </c>
      <c r="BO682" t="str">
        <f>""</f>
        <v/>
      </c>
      <c r="BP682" t="str">
        <f>""</f>
        <v/>
      </c>
      <c r="BQ682" t="str">
        <f>""</f>
        <v/>
      </c>
      <c r="BR682" t="str">
        <f>""</f>
        <v/>
      </c>
      <c r="BS682" t="str">
        <f>""</f>
        <v/>
      </c>
      <c r="BT682" t="str">
        <f>""</f>
        <v/>
      </c>
      <c r="BU682" t="str">
        <f>""</f>
        <v/>
      </c>
      <c r="BV682" t="str">
        <f>""</f>
        <v/>
      </c>
      <c r="BW682" t="str">
        <f>""</f>
        <v/>
      </c>
      <c r="BX682" t="str">
        <f>""</f>
        <v/>
      </c>
      <c r="BY682" t="str">
        <f>""</f>
        <v/>
      </c>
      <c r="BZ682" t="str">
        <f>""</f>
        <v/>
      </c>
      <c r="CA682" t="str">
        <f>""</f>
        <v/>
      </c>
      <c r="CB682" t="str">
        <f>""</f>
        <v/>
      </c>
      <c r="CC682" t="str">
        <f>""</f>
        <v/>
      </c>
      <c r="CD682" t="str">
        <f>""</f>
        <v/>
      </c>
      <c r="CE682" t="str">
        <f>""</f>
        <v/>
      </c>
      <c r="CF682" t="str">
        <f>""</f>
        <v/>
      </c>
      <c r="CG682" t="str">
        <f>""</f>
        <v/>
      </c>
      <c r="CH682" t="str">
        <f>""</f>
        <v/>
      </c>
      <c r="CI682" t="str">
        <f>""</f>
        <v/>
      </c>
      <c r="CJ682" t="str">
        <f>""</f>
        <v/>
      </c>
      <c r="CK682" t="str">
        <f>""</f>
        <v/>
      </c>
      <c r="CL682" t="str">
        <f>""</f>
        <v/>
      </c>
      <c r="CM682" t="str">
        <f>""</f>
        <v/>
      </c>
      <c r="CN682" t="str">
        <f>""</f>
        <v/>
      </c>
      <c r="CO682" t="str">
        <f>""</f>
        <v/>
      </c>
      <c r="CP682" t="str">
        <f>""</f>
        <v/>
      </c>
      <c r="CQ682" t="str">
        <f>""</f>
        <v/>
      </c>
      <c r="CR682" t="str">
        <f>""</f>
        <v/>
      </c>
      <c r="CS682" t="str">
        <f>""</f>
        <v/>
      </c>
      <c r="CT682" t="str">
        <f>""</f>
        <v/>
      </c>
      <c r="CU682" t="str">
        <f>""</f>
        <v/>
      </c>
      <c r="CV682" t="str">
        <f>""</f>
        <v/>
      </c>
      <c r="CW682" t="str">
        <f>""</f>
        <v/>
      </c>
      <c r="CX682" t="str">
        <f>""</f>
        <v/>
      </c>
      <c r="CY682" t="str">
        <f>""</f>
        <v/>
      </c>
      <c r="CZ682" t="str">
        <f>""</f>
        <v/>
      </c>
      <c r="DA682" t="str">
        <f>""</f>
        <v/>
      </c>
      <c r="DB682" t="str">
        <f>""</f>
        <v/>
      </c>
      <c r="DC682" t="str">
        <f>""</f>
        <v/>
      </c>
      <c r="DD682" t="str">
        <f>""</f>
        <v/>
      </c>
      <c r="DE682" t="str">
        <f>""</f>
        <v/>
      </c>
      <c r="DF682" t="str">
        <f>""</f>
        <v/>
      </c>
      <c r="DG682" t="str">
        <f>""</f>
        <v/>
      </c>
      <c r="DH682" t="str">
        <f>""</f>
        <v/>
      </c>
      <c r="DI682" t="str">
        <f>""</f>
        <v/>
      </c>
      <c r="DJ682" t="str">
        <f>""</f>
        <v/>
      </c>
      <c r="DK682" t="str">
        <f>""</f>
        <v/>
      </c>
      <c r="DL682" t="str">
        <f>""</f>
        <v/>
      </c>
      <c r="DM682" t="str">
        <f>""</f>
        <v/>
      </c>
      <c r="DN682" t="str">
        <f>""</f>
        <v/>
      </c>
      <c r="DO682" t="str">
        <f>""</f>
        <v/>
      </c>
      <c r="DP682" t="str">
        <f>""</f>
        <v/>
      </c>
      <c r="DQ682" t="str">
        <f>""</f>
        <v/>
      </c>
      <c r="DR682" t="str">
        <f>""</f>
        <v/>
      </c>
      <c r="DS682" t="str">
        <f>""</f>
        <v/>
      </c>
      <c r="DT682" t="str">
        <f>""</f>
        <v/>
      </c>
      <c r="DU682" t="str">
        <f>""</f>
        <v/>
      </c>
    </row>
    <row r="683" spans="1:125" x14ac:dyDescent="0.25">
      <c r="A683" t="str">
        <f>$A$9</f>
        <v xml:space="preserve">    BYD Co Ltd</v>
      </c>
      <c r="B683" t="str">
        <f>$B$9</f>
        <v>1211 HK Equity</v>
      </c>
      <c r="C683" t="str">
        <f>$C$9</f>
        <v>RR900</v>
      </c>
      <c r="D683" t="str">
        <f>$D$9</f>
        <v>PE_RATIO</v>
      </c>
      <c r="E683" t="str">
        <f>$E$9</f>
        <v>Dynamic</v>
      </c>
      <c r="F683" t="str">
        <f ca="1">_xll.BDH($B$9,$C$9,$B$675,$B$676,CONCATENATE("Per=",$B$673),"Dts=H","Dir=H",CONCATENATE("Points=",$B$674),"Sort=R","Days=A","Fill=B",CONCATENATE("FX=", $B$672) )</f>
        <v>#N/A Connection</v>
      </c>
      <c r="BN683" t="str">
        <f>""</f>
        <v/>
      </c>
      <c r="BO683" t="str">
        <f>""</f>
        <v/>
      </c>
      <c r="BP683" t="str">
        <f>""</f>
        <v/>
      </c>
      <c r="BQ683" t="str">
        <f>""</f>
        <v/>
      </c>
      <c r="BR683" t="str">
        <f>""</f>
        <v/>
      </c>
      <c r="BS683" t="str">
        <f>""</f>
        <v/>
      </c>
      <c r="BT683" t="str">
        <f>""</f>
        <v/>
      </c>
      <c r="BU683" t="str">
        <f>""</f>
        <v/>
      </c>
      <c r="BV683" t="str">
        <f>""</f>
        <v/>
      </c>
      <c r="BW683" t="str">
        <f>""</f>
        <v/>
      </c>
      <c r="BX683" t="str">
        <f>""</f>
        <v/>
      </c>
      <c r="BY683" t="str">
        <f>""</f>
        <v/>
      </c>
      <c r="BZ683" t="str">
        <f>""</f>
        <v/>
      </c>
      <c r="CA683" t="str">
        <f>""</f>
        <v/>
      </c>
      <c r="CB683" t="str">
        <f>""</f>
        <v/>
      </c>
      <c r="CC683" t="str">
        <f>""</f>
        <v/>
      </c>
      <c r="CD683" t="str">
        <f>""</f>
        <v/>
      </c>
      <c r="CE683" t="str">
        <f>""</f>
        <v/>
      </c>
      <c r="CF683" t="str">
        <f>""</f>
        <v/>
      </c>
      <c r="CG683" t="str">
        <f>""</f>
        <v/>
      </c>
      <c r="CH683" t="str">
        <f>""</f>
        <v/>
      </c>
      <c r="CI683" t="str">
        <f>""</f>
        <v/>
      </c>
      <c r="CJ683" t="str">
        <f>""</f>
        <v/>
      </c>
      <c r="CK683" t="str">
        <f>""</f>
        <v/>
      </c>
      <c r="CL683" t="str">
        <f>""</f>
        <v/>
      </c>
      <c r="CM683" t="str">
        <f>""</f>
        <v/>
      </c>
      <c r="CN683" t="str">
        <f>""</f>
        <v/>
      </c>
      <c r="CO683" t="str">
        <f>""</f>
        <v/>
      </c>
      <c r="CP683" t="str">
        <f>""</f>
        <v/>
      </c>
      <c r="CQ683" t="str">
        <f>""</f>
        <v/>
      </c>
      <c r="CR683" t="str">
        <f>""</f>
        <v/>
      </c>
      <c r="CS683" t="str">
        <f>""</f>
        <v/>
      </c>
      <c r="CT683" t="str">
        <f>""</f>
        <v/>
      </c>
      <c r="CU683" t="str">
        <f>""</f>
        <v/>
      </c>
      <c r="CV683" t="str">
        <f>""</f>
        <v/>
      </c>
      <c r="CW683" t="str">
        <f>""</f>
        <v/>
      </c>
      <c r="CX683" t="str">
        <f>""</f>
        <v/>
      </c>
      <c r="CY683" t="str">
        <f>""</f>
        <v/>
      </c>
      <c r="CZ683" t="str">
        <f>""</f>
        <v/>
      </c>
      <c r="DA683" t="str">
        <f>""</f>
        <v/>
      </c>
      <c r="DB683" t="str">
        <f>""</f>
        <v/>
      </c>
      <c r="DC683" t="str">
        <f>""</f>
        <v/>
      </c>
      <c r="DD683" t="str">
        <f>""</f>
        <v/>
      </c>
      <c r="DE683" t="str">
        <f>""</f>
        <v/>
      </c>
      <c r="DF683" t="str">
        <f>""</f>
        <v/>
      </c>
      <c r="DG683" t="str">
        <f>""</f>
        <v/>
      </c>
      <c r="DH683" t="str">
        <f>""</f>
        <v/>
      </c>
      <c r="DI683" t="str">
        <f>""</f>
        <v/>
      </c>
      <c r="DJ683" t="str">
        <f>""</f>
        <v/>
      </c>
      <c r="DK683" t="str">
        <f>""</f>
        <v/>
      </c>
      <c r="DL683" t="str">
        <f>""</f>
        <v/>
      </c>
      <c r="DM683" t="str">
        <f>""</f>
        <v/>
      </c>
      <c r="DN683" t="str">
        <f>""</f>
        <v/>
      </c>
      <c r="DO683" t="str">
        <f>""</f>
        <v/>
      </c>
      <c r="DP683" t="str">
        <f>""</f>
        <v/>
      </c>
      <c r="DQ683" t="str">
        <f>""</f>
        <v/>
      </c>
      <c r="DR683" t="str">
        <f>""</f>
        <v/>
      </c>
      <c r="DS683" t="str">
        <f>""</f>
        <v/>
      </c>
      <c r="DT683" t="str">
        <f>""</f>
        <v/>
      </c>
      <c r="DU683" t="str">
        <f>""</f>
        <v/>
      </c>
    </row>
    <row r="684" spans="1:125" x14ac:dyDescent="0.25">
      <c r="A684" t="str">
        <f>$A$10</f>
        <v xml:space="preserve">    Chongqing Changan Automobile Co Ltd</v>
      </c>
      <c r="B684" t="str">
        <f>$B$10</f>
        <v>200625 CH Equity</v>
      </c>
      <c r="C684" t="str">
        <f>$C$10</f>
        <v>RR900</v>
      </c>
      <c r="D684" t="str">
        <f>$D$10</f>
        <v>PE_RATIO</v>
      </c>
      <c r="E684" t="str">
        <f>$E$10</f>
        <v>Dynamic</v>
      </c>
      <c r="F684" t="str">
        <f ca="1">_xll.BDH($B$10,$C$10,$B$675,$B$676,CONCATENATE("Per=",$B$673),"Dts=H","Dir=H",CONCATENATE("Points=",$B$674),"Sort=R","Days=A","Fill=B",CONCATENATE("FX=", $B$672) )</f>
        <v>#N/A Connection</v>
      </c>
      <c r="BN684" t="str">
        <f>""</f>
        <v/>
      </c>
      <c r="BO684" t="str">
        <f>""</f>
        <v/>
      </c>
      <c r="BP684" t="str">
        <f>""</f>
        <v/>
      </c>
      <c r="BQ684" t="str">
        <f>""</f>
        <v/>
      </c>
      <c r="BR684" t="str">
        <f>""</f>
        <v/>
      </c>
      <c r="BS684" t="str">
        <f>""</f>
        <v/>
      </c>
      <c r="BT684" t="str">
        <f>""</f>
        <v/>
      </c>
      <c r="BU684" t="str">
        <f>""</f>
        <v/>
      </c>
      <c r="BV684" t="str">
        <f>""</f>
        <v/>
      </c>
      <c r="BW684" t="str">
        <f>""</f>
        <v/>
      </c>
      <c r="BX684" t="str">
        <f>""</f>
        <v/>
      </c>
      <c r="BY684" t="str">
        <f>""</f>
        <v/>
      </c>
      <c r="BZ684" t="str">
        <f>""</f>
        <v/>
      </c>
      <c r="CA684" t="str">
        <f>""</f>
        <v/>
      </c>
      <c r="CB684" t="str">
        <f>""</f>
        <v/>
      </c>
      <c r="CC684" t="str">
        <f>""</f>
        <v/>
      </c>
      <c r="CD684" t="str">
        <f>""</f>
        <v/>
      </c>
      <c r="CE684" t="str">
        <f>""</f>
        <v/>
      </c>
      <c r="CF684" t="str">
        <f>""</f>
        <v/>
      </c>
      <c r="CG684" t="str">
        <f>""</f>
        <v/>
      </c>
      <c r="CH684" t="str">
        <f>""</f>
        <v/>
      </c>
      <c r="CI684" t="str">
        <f>""</f>
        <v/>
      </c>
      <c r="CJ684" t="str">
        <f>""</f>
        <v/>
      </c>
      <c r="CK684" t="str">
        <f>""</f>
        <v/>
      </c>
      <c r="CL684" t="str">
        <f>""</f>
        <v/>
      </c>
      <c r="CM684" t="str">
        <f>""</f>
        <v/>
      </c>
      <c r="CN684" t="str">
        <f>""</f>
        <v/>
      </c>
      <c r="CO684" t="str">
        <f>""</f>
        <v/>
      </c>
      <c r="CP684" t="str">
        <f>""</f>
        <v/>
      </c>
      <c r="CQ684" t="str">
        <f>""</f>
        <v/>
      </c>
      <c r="CR684" t="str">
        <f>""</f>
        <v/>
      </c>
      <c r="CS684" t="str">
        <f>""</f>
        <v/>
      </c>
      <c r="CT684" t="str">
        <f>""</f>
        <v/>
      </c>
      <c r="CU684" t="str">
        <f>""</f>
        <v/>
      </c>
      <c r="CV684" t="str">
        <f>""</f>
        <v/>
      </c>
      <c r="CW684" t="str">
        <f>""</f>
        <v/>
      </c>
      <c r="CX684" t="str">
        <f>""</f>
        <v/>
      </c>
      <c r="CY684" t="str">
        <f>""</f>
        <v/>
      </c>
      <c r="CZ684" t="str">
        <f>""</f>
        <v/>
      </c>
      <c r="DA684" t="str">
        <f>""</f>
        <v/>
      </c>
      <c r="DB684" t="str">
        <f>""</f>
        <v/>
      </c>
      <c r="DC684" t="str">
        <f>""</f>
        <v/>
      </c>
      <c r="DD684" t="str">
        <f>""</f>
        <v/>
      </c>
      <c r="DE684" t="str">
        <f>""</f>
        <v/>
      </c>
      <c r="DF684" t="str">
        <f>""</f>
        <v/>
      </c>
      <c r="DG684" t="str">
        <f>""</f>
        <v/>
      </c>
      <c r="DH684" t="str">
        <f>""</f>
        <v/>
      </c>
      <c r="DI684" t="str">
        <f>""</f>
        <v/>
      </c>
      <c r="DJ684" t="str">
        <f>""</f>
        <v/>
      </c>
      <c r="DK684" t="str">
        <f>""</f>
        <v/>
      </c>
      <c r="DL684" t="str">
        <f>""</f>
        <v/>
      </c>
      <c r="DM684" t="str">
        <f>""</f>
        <v/>
      </c>
      <c r="DN684" t="str">
        <f>""</f>
        <v/>
      </c>
      <c r="DO684" t="str">
        <f>""</f>
        <v/>
      </c>
      <c r="DP684" t="str">
        <f>""</f>
        <v/>
      </c>
      <c r="DQ684" t="str">
        <f>""</f>
        <v/>
      </c>
      <c r="DR684" t="str">
        <f>""</f>
        <v/>
      </c>
      <c r="DS684" t="str">
        <f>""</f>
        <v/>
      </c>
      <c r="DT684" t="str">
        <f>""</f>
        <v/>
      </c>
      <c r="DU684" t="str">
        <f>""</f>
        <v/>
      </c>
    </row>
    <row r="685" spans="1:125" x14ac:dyDescent="0.25">
      <c r="A685" t="str">
        <f>$A$11</f>
        <v xml:space="preserve">    Daihatsu Motor Co Ltd</v>
      </c>
      <c r="B685" t="str">
        <f>$B$11</f>
        <v>7262 JP Equity</v>
      </c>
      <c r="C685" t="str">
        <f>$C$11</f>
        <v>RR900</v>
      </c>
      <c r="D685" t="str">
        <f>$D$11</f>
        <v>PE_RATIO</v>
      </c>
      <c r="E685" t="str">
        <f>$E$11</f>
        <v>Dynamic</v>
      </c>
      <c r="F685" t="str">
        <f ca="1">_xll.BDH($B$11,$C$11,$B$675,$B$676,CONCATENATE("Per=",$B$673),"Dts=H","Dir=H",CONCATENATE("Points=",$B$674),"Sort=R","Days=A","Fill=B",CONCATENATE("FX=", $B$672) )</f>
        <v>#N/A Connection</v>
      </c>
      <c r="BN685" t="str">
        <f>""</f>
        <v/>
      </c>
      <c r="BO685" t="str">
        <f>""</f>
        <v/>
      </c>
      <c r="BP685" t="str">
        <f>""</f>
        <v/>
      </c>
      <c r="BQ685" t="str">
        <f>""</f>
        <v/>
      </c>
      <c r="BR685" t="str">
        <f>""</f>
        <v/>
      </c>
      <c r="BS685" t="str">
        <f>""</f>
        <v/>
      </c>
      <c r="BT685" t="str">
        <f>""</f>
        <v/>
      </c>
      <c r="BU685" t="str">
        <f>""</f>
        <v/>
      </c>
      <c r="BV685" t="str">
        <f>""</f>
        <v/>
      </c>
      <c r="BW685" t="str">
        <f>""</f>
        <v/>
      </c>
      <c r="BX685" t="str">
        <f>""</f>
        <v/>
      </c>
      <c r="BY685" t="str">
        <f>""</f>
        <v/>
      </c>
      <c r="BZ685" t="str">
        <f>""</f>
        <v/>
      </c>
      <c r="CA685" t="str">
        <f>""</f>
        <v/>
      </c>
      <c r="CB685" t="str">
        <f>""</f>
        <v/>
      </c>
      <c r="CC685" t="str">
        <f>""</f>
        <v/>
      </c>
      <c r="CD685" t="str">
        <f>""</f>
        <v/>
      </c>
      <c r="CE685" t="str">
        <f>""</f>
        <v/>
      </c>
      <c r="CF685" t="str">
        <f>""</f>
        <v/>
      </c>
      <c r="CG685" t="str">
        <f>""</f>
        <v/>
      </c>
      <c r="CH685" t="str">
        <f>""</f>
        <v/>
      </c>
      <c r="CI685" t="str">
        <f>""</f>
        <v/>
      </c>
      <c r="CJ685" t="str">
        <f>""</f>
        <v/>
      </c>
      <c r="CK685" t="str">
        <f>""</f>
        <v/>
      </c>
      <c r="CL685" t="str">
        <f>""</f>
        <v/>
      </c>
      <c r="CM685" t="str">
        <f>""</f>
        <v/>
      </c>
      <c r="CN685" t="str">
        <f>""</f>
        <v/>
      </c>
      <c r="CO685" t="str">
        <f>""</f>
        <v/>
      </c>
      <c r="CP685" t="str">
        <f>""</f>
        <v/>
      </c>
      <c r="CQ685" t="str">
        <f>""</f>
        <v/>
      </c>
      <c r="CR685" t="str">
        <f>""</f>
        <v/>
      </c>
      <c r="CS685" t="str">
        <f>""</f>
        <v/>
      </c>
      <c r="CT685" t="str">
        <f>""</f>
        <v/>
      </c>
      <c r="CU685" t="str">
        <f>""</f>
        <v/>
      </c>
      <c r="CV685" t="str">
        <f>""</f>
        <v/>
      </c>
      <c r="CW685" t="str">
        <f>""</f>
        <v/>
      </c>
      <c r="CX685" t="str">
        <f>""</f>
        <v/>
      </c>
      <c r="CY685" t="str">
        <f>""</f>
        <v/>
      </c>
      <c r="CZ685" t="str">
        <f>""</f>
        <v/>
      </c>
      <c r="DA685" t="str">
        <f>""</f>
        <v/>
      </c>
      <c r="DB685" t="str">
        <f>""</f>
        <v/>
      </c>
      <c r="DC685" t="str">
        <f>""</f>
        <v/>
      </c>
      <c r="DD685" t="str">
        <f>""</f>
        <v/>
      </c>
      <c r="DE685" t="str">
        <f>""</f>
        <v/>
      </c>
      <c r="DF685" t="str">
        <f>""</f>
        <v/>
      </c>
      <c r="DG685" t="str">
        <f>""</f>
        <v/>
      </c>
      <c r="DH685" t="str">
        <f>""</f>
        <v/>
      </c>
      <c r="DI685" t="str">
        <f>""</f>
        <v/>
      </c>
      <c r="DJ685" t="str">
        <f>""</f>
        <v/>
      </c>
      <c r="DK685" t="str">
        <f>""</f>
        <v/>
      </c>
      <c r="DL685" t="str">
        <f>""</f>
        <v/>
      </c>
      <c r="DM685" t="str">
        <f>""</f>
        <v/>
      </c>
      <c r="DN685" t="str">
        <f>""</f>
        <v/>
      </c>
      <c r="DO685" t="str">
        <f>""</f>
        <v/>
      </c>
      <c r="DP685" t="str">
        <f>""</f>
        <v/>
      </c>
      <c r="DQ685" t="str">
        <f>""</f>
        <v/>
      </c>
      <c r="DR685" t="str">
        <f>""</f>
        <v/>
      </c>
      <c r="DS685" t="str">
        <f>""</f>
        <v/>
      </c>
      <c r="DT685" t="str">
        <f>""</f>
        <v/>
      </c>
      <c r="DU685" t="str">
        <f>""</f>
        <v/>
      </c>
    </row>
    <row r="686" spans="1:125" x14ac:dyDescent="0.25">
      <c r="A686" t="str">
        <f>$A$12</f>
        <v xml:space="preserve">    Daimler AG</v>
      </c>
      <c r="B686" t="str">
        <f>$B$12</f>
        <v>DAI GR Equity</v>
      </c>
      <c r="C686" t="str">
        <f>$C$12</f>
        <v>RR900</v>
      </c>
      <c r="D686" t="str">
        <f>$D$12</f>
        <v>PE_RATIO</v>
      </c>
      <c r="E686" t="str">
        <f>$E$12</f>
        <v>Dynamic</v>
      </c>
      <c r="F686" t="str">
        <f ca="1">_xll.BDH($B$12,$C$12,$B$675,$B$676,CONCATENATE("Per=",$B$673),"Dts=H","Dir=H",CONCATENATE("Points=",$B$674),"Sort=R","Days=A","Fill=B",CONCATENATE("FX=", $B$672) )</f>
        <v>#N/A Connection</v>
      </c>
      <c r="BN686" t="str">
        <f>""</f>
        <v/>
      </c>
      <c r="BO686" t="str">
        <f>""</f>
        <v/>
      </c>
      <c r="BP686" t="str">
        <f>""</f>
        <v/>
      </c>
      <c r="BQ686" t="str">
        <f>""</f>
        <v/>
      </c>
      <c r="BR686" t="str">
        <f>""</f>
        <v/>
      </c>
      <c r="BS686" t="str">
        <f>""</f>
        <v/>
      </c>
      <c r="BT686" t="str">
        <f>""</f>
        <v/>
      </c>
      <c r="BU686" t="str">
        <f>""</f>
        <v/>
      </c>
      <c r="BV686" t="str">
        <f>""</f>
        <v/>
      </c>
      <c r="BW686" t="str">
        <f>""</f>
        <v/>
      </c>
      <c r="BX686" t="str">
        <f>""</f>
        <v/>
      </c>
      <c r="BY686" t="str">
        <f>""</f>
        <v/>
      </c>
      <c r="BZ686" t="str">
        <f>""</f>
        <v/>
      </c>
      <c r="CA686" t="str">
        <f>""</f>
        <v/>
      </c>
      <c r="CB686" t="str">
        <f>""</f>
        <v/>
      </c>
      <c r="CC686" t="str">
        <f>""</f>
        <v/>
      </c>
      <c r="CD686" t="str">
        <f>""</f>
        <v/>
      </c>
      <c r="CE686" t="str">
        <f>""</f>
        <v/>
      </c>
      <c r="CF686" t="str">
        <f>""</f>
        <v/>
      </c>
      <c r="CG686" t="str">
        <f>""</f>
        <v/>
      </c>
      <c r="CH686" t="str">
        <f>""</f>
        <v/>
      </c>
      <c r="CI686" t="str">
        <f>""</f>
        <v/>
      </c>
      <c r="CJ686" t="str">
        <f>""</f>
        <v/>
      </c>
      <c r="CK686" t="str">
        <f>""</f>
        <v/>
      </c>
      <c r="CL686" t="str">
        <f>""</f>
        <v/>
      </c>
      <c r="CM686" t="str">
        <f>""</f>
        <v/>
      </c>
      <c r="CN686" t="str">
        <f>""</f>
        <v/>
      </c>
      <c r="CO686" t="str">
        <f>""</f>
        <v/>
      </c>
      <c r="CP686" t="str">
        <f>""</f>
        <v/>
      </c>
      <c r="CQ686" t="str">
        <f>""</f>
        <v/>
      </c>
      <c r="CR686" t="str">
        <f>""</f>
        <v/>
      </c>
      <c r="CS686" t="str">
        <f>""</f>
        <v/>
      </c>
      <c r="CT686" t="str">
        <f>""</f>
        <v/>
      </c>
      <c r="CU686" t="str">
        <f>""</f>
        <v/>
      </c>
      <c r="CV686" t="str">
        <f>""</f>
        <v/>
      </c>
      <c r="CW686" t="str">
        <f>""</f>
        <v/>
      </c>
      <c r="CX686" t="str">
        <f>""</f>
        <v/>
      </c>
      <c r="CY686" t="str">
        <f>""</f>
        <v/>
      </c>
      <c r="CZ686" t="str">
        <f>""</f>
        <v/>
      </c>
      <c r="DA686" t="str">
        <f>""</f>
        <v/>
      </c>
      <c r="DB686" t="str">
        <f>""</f>
        <v/>
      </c>
      <c r="DC686" t="str">
        <f>""</f>
        <v/>
      </c>
      <c r="DD686" t="str">
        <f>""</f>
        <v/>
      </c>
      <c r="DE686" t="str">
        <f>""</f>
        <v/>
      </c>
      <c r="DF686" t="str">
        <f>""</f>
        <v/>
      </c>
      <c r="DG686" t="str">
        <f>""</f>
        <v/>
      </c>
      <c r="DH686" t="str">
        <f>""</f>
        <v/>
      </c>
      <c r="DI686" t="str">
        <f>""</f>
        <v/>
      </c>
      <c r="DJ686" t="str">
        <f>""</f>
        <v/>
      </c>
      <c r="DK686" t="str">
        <f>""</f>
        <v/>
      </c>
      <c r="DL686" t="str">
        <f>""</f>
        <v/>
      </c>
      <c r="DM686" t="str">
        <f>""</f>
        <v/>
      </c>
      <c r="DN686" t="str">
        <f>""</f>
        <v/>
      </c>
      <c r="DO686" t="str">
        <f>""</f>
        <v/>
      </c>
      <c r="DP686" t="str">
        <f>""</f>
        <v/>
      </c>
      <c r="DQ686" t="str">
        <f>""</f>
        <v/>
      </c>
      <c r="DR686" t="str">
        <f>""</f>
        <v/>
      </c>
      <c r="DS686" t="str">
        <f>""</f>
        <v/>
      </c>
      <c r="DT686" t="str">
        <f>""</f>
        <v/>
      </c>
      <c r="DU686" t="str">
        <f>""</f>
        <v/>
      </c>
    </row>
    <row r="687" spans="1:125" x14ac:dyDescent="0.25">
      <c r="A687" t="str">
        <f>$A$13</f>
        <v xml:space="preserve">    Dongfeng Motor Group Co Ltd</v>
      </c>
      <c r="B687" t="str">
        <f>$B$13</f>
        <v>489 HK Equity</v>
      </c>
      <c r="C687" t="str">
        <f>$C$13</f>
        <v>RR900</v>
      </c>
      <c r="D687" t="str">
        <f>$D$13</f>
        <v>PE_RATIO</v>
      </c>
      <c r="E687" t="str">
        <f>$E$13</f>
        <v>Dynamic</v>
      </c>
      <c r="F687" t="str">
        <f ca="1">_xll.BDH($B$13,$C$13,$B$675,$B$676,CONCATENATE("Per=",$B$673),"Dts=H","Dir=H",CONCATENATE("Points=",$B$674),"Sort=R","Days=A","Fill=B",CONCATENATE("FX=", $B$672) )</f>
        <v>#N/A Connection</v>
      </c>
      <c r="BN687" t="str">
        <f>""</f>
        <v/>
      </c>
      <c r="BO687" t="str">
        <f>""</f>
        <v/>
      </c>
      <c r="BP687" t="str">
        <f>""</f>
        <v/>
      </c>
      <c r="BQ687" t="str">
        <f>""</f>
        <v/>
      </c>
      <c r="BR687" t="str">
        <f>""</f>
        <v/>
      </c>
      <c r="BS687" t="str">
        <f>""</f>
        <v/>
      </c>
      <c r="BT687" t="str">
        <f>""</f>
        <v/>
      </c>
      <c r="BU687" t="str">
        <f>""</f>
        <v/>
      </c>
      <c r="BV687" t="str">
        <f>""</f>
        <v/>
      </c>
      <c r="BW687" t="str">
        <f>""</f>
        <v/>
      </c>
      <c r="BX687" t="str">
        <f>""</f>
        <v/>
      </c>
      <c r="BY687" t="str">
        <f>""</f>
        <v/>
      </c>
      <c r="BZ687" t="str">
        <f>""</f>
        <v/>
      </c>
      <c r="CA687" t="str">
        <f>""</f>
        <v/>
      </c>
      <c r="CB687" t="str">
        <f>""</f>
        <v/>
      </c>
      <c r="CC687" t="str">
        <f>""</f>
        <v/>
      </c>
      <c r="CD687" t="str">
        <f>""</f>
        <v/>
      </c>
      <c r="CE687" t="str">
        <f>""</f>
        <v/>
      </c>
      <c r="CF687" t="str">
        <f>""</f>
        <v/>
      </c>
      <c r="CG687" t="str">
        <f>""</f>
        <v/>
      </c>
      <c r="CH687" t="str">
        <f>""</f>
        <v/>
      </c>
      <c r="CI687" t="str">
        <f>""</f>
        <v/>
      </c>
      <c r="CJ687" t="str">
        <f>""</f>
        <v/>
      </c>
      <c r="CK687" t="str">
        <f>""</f>
        <v/>
      </c>
      <c r="CL687" t="str">
        <f>""</f>
        <v/>
      </c>
      <c r="CM687" t="str">
        <f>""</f>
        <v/>
      </c>
      <c r="CN687" t="str">
        <f>""</f>
        <v/>
      </c>
      <c r="CO687" t="str">
        <f>""</f>
        <v/>
      </c>
      <c r="CP687" t="str">
        <f>""</f>
        <v/>
      </c>
      <c r="CQ687" t="str">
        <f>""</f>
        <v/>
      </c>
      <c r="CR687" t="str">
        <f>""</f>
        <v/>
      </c>
      <c r="CS687" t="str">
        <f>""</f>
        <v/>
      </c>
      <c r="CT687" t="str">
        <f>""</f>
        <v/>
      </c>
      <c r="CU687" t="str">
        <f>""</f>
        <v/>
      </c>
      <c r="CV687" t="str">
        <f>""</f>
        <v/>
      </c>
      <c r="CW687" t="str">
        <f>""</f>
        <v/>
      </c>
      <c r="CX687" t="str">
        <f>""</f>
        <v/>
      </c>
      <c r="CY687" t="str">
        <f>""</f>
        <v/>
      </c>
      <c r="CZ687" t="str">
        <f>""</f>
        <v/>
      </c>
      <c r="DA687" t="str">
        <f>""</f>
        <v/>
      </c>
      <c r="DB687" t="str">
        <f>""</f>
        <v/>
      </c>
      <c r="DC687" t="str">
        <f>""</f>
        <v/>
      </c>
      <c r="DD687" t="str">
        <f>""</f>
        <v/>
      </c>
      <c r="DE687" t="str">
        <f>""</f>
        <v/>
      </c>
      <c r="DF687" t="str">
        <f>""</f>
        <v/>
      </c>
      <c r="DG687" t="str">
        <f>""</f>
        <v/>
      </c>
      <c r="DH687" t="str">
        <f>""</f>
        <v/>
      </c>
      <c r="DI687" t="str">
        <f>""</f>
        <v/>
      </c>
      <c r="DJ687" t="str">
        <f>""</f>
        <v/>
      </c>
      <c r="DK687" t="str">
        <f>""</f>
        <v/>
      </c>
      <c r="DL687" t="str">
        <f>""</f>
        <v/>
      </c>
      <c r="DM687" t="str">
        <f>""</f>
        <v/>
      </c>
      <c r="DN687" t="str">
        <f>""</f>
        <v/>
      </c>
      <c r="DO687" t="str">
        <f>""</f>
        <v/>
      </c>
      <c r="DP687" t="str">
        <f>""</f>
        <v/>
      </c>
      <c r="DQ687" t="str">
        <f>""</f>
        <v/>
      </c>
      <c r="DR687" t="str">
        <f>""</f>
        <v/>
      </c>
      <c r="DS687" t="str">
        <f>""</f>
        <v/>
      </c>
      <c r="DT687" t="str">
        <f>""</f>
        <v/>
      </c>
      <c r="DU687" t="str">
        <f>""</f>
        <v/>
      </c>
    </row>
    <row r="688" spans="1:125" x14ac:dyDescent="0.25">
      <c r="A688" t="str">
        <f>$A$14</f>
        <v xml:space="preserve">    DRB-Hicom Bhd</v>
      </c>
      <c r="B688" t="str">
        <f>$B$14</f>
        <v>DRB MK Equity</v>
      </c>
      <c r="C688" t="str">
        <f>$C$14</f>
        <v>RR900</v>
      </c>
      <c r="D688" t="str">
        <f>$D$14</f>
        <v>PE_RATIO</v>
      </c>
      <c r="E688" t="str">
        <f>$E$14</f>
        <v>Dynamic</v>
      </c>
      <c r="F688" t="str">
        <f ca="1">_xll.BDH($B$14,$C$14,$B$675,$B$676,CONCATENATE("Per=",$B$673),"Dts=H","Dir=H",CONCATENATE("Points=",$B$674),"Sort=R","Days=A","Fill=B",CONCATENATE("FX=", $B$672) )</f>
        <v>#N/A Connection</v>
      </c>
      <c r="BN688" t="str">
        <f>""</f>
        <v/>
      </c>
      <c r="BO688" t="str">
        <f>""</f>
        <v/>
      </c>
      <c r="BP688" t="str">
        <f>""</f>
        <v/>
      </c>
      <c r="BQ688" t="str">
        <f>""</f>
        <v/>
      </c>
      <c r="BR688" t="str">
        <f>""</f>
        <v/>
      </c>
      <c r="BS688" t="str">
        <f>""</f>
        <v/>
      </c>
      <c r="BT688" t="str">
        <f>""</f>
        <v/>
      </c>
      <c r="BU688" t="str">
        <f>""</f>
        <v/>
      </c>
      <c r="BV688" t="str">
        <f>""</f>
        <v/>
      </c>
      <c r="BW688" t="str">
        <f>""</f>
        <v/>
      </c>
      <c r="BX688" t="str">
        <f>""</f>
        <v/>
      </c>
      <c r="BY688" t="str">
        <f>""</f>
        <v/>
      </c>
      <c r="BZ688" t="str">
        <f>""</f>
        <v/>
      </c>
      <c r="CA688" t="str">
        <f>""</f>
        <v/>
      </c>
      <c r="CB688" t="str">
        <f>""</f>
        <v/>
      </c>
      <c r="CC688" t="str">
        <f>""</f>
        <v/>
      </c>
      <c r="CD688" t="str">
        <f>""</f>
        <v/>
      </c>
      <c r="CE688" t="str">
        <f>""</f>
        <v/>
      </c>
      <c r="CF688" t="str">
        <f>""</f>
        <v/>
      </c>
      <c r="CG688" t="str">
        <f>""</f>
        <v/>
      </c>
      <c r="CH688" t="str">
        <f>""</f>
        <v/>
      </c>
      <c r="CI688" t="str">
        <f>""</f>
        <v/>
      </c>
      <c r="CJ688" t="str">
        <f>""</f>
        <v/>
      </c>
      <c r="CK688" t="str">
        <f>""</f>
        <v/>
      </c>
      <c r="CL688" t="str">
        <f>""</f>
        <v/>
      </c>
      <c r="CM688" t="str">
        <f>""</f>
        <v/>
      </c>
      <c r="CN688" t="str">
        <f>""</f>
        <v/>
      </c>
      <c r="CO688" t="str">
        <f>""</f>
        <v/>
      </c>
      <c r="CP688" t="str">
        <f>""</f>
        <v/>
      </c>
      <c r="CQ688" t="str">
        <f>""</f>
        <v/>
      </c>
      <c r="CR688" t="str">
        <f>""</f>
        <v/>
      </c>
      <c r="CS688" t="str">
        <f>""</f>
        <v/>
      </c>
      <c r="CT688" t="str">
        <f>""</f>
        <v/>
      </c>
      <c r="CU688" t="str">
        <f>""</f>
        <v/>
      </c>
      <c r="CV688" t="str">
        <f>""</f>
        <v/>
      </c>
      <c r="CW688" t="str">
        <f>""</f>
        <v/>
      </c>
      <c r="CX688" t="str">
        <f>""</f>
        <v/>
      </c>
      <c r="CY688" t="str">
        <f>""</f>
        <v/>
      </c>
      <c r="CZ688" t="str">
        <f>""</f>
        <v/>
      </c>
      <c r="DA688" t="str">
        <f>""</f>
        <v/>
      </c>
      <c r="DB688" t="str">
        <f>""</f>
        <v/>
      </c>
      <c r="DC688" t="str">
        <f>""</f>
        <v/>
      </c>
      <c r="DD688" t="str">
        <f>""</f>
        <v/>
      </c>
      <c r="DE688" t="str">
        <f>""</f>
        <v/>
      </c>
      <c r="DF688" t="str">
        <f>""</f>
        <v/>
      </c>
      <c r="DG688" t="str">
        <f>""</f>
        <v/>
      </c>
      <c r="DH688" t="str">
        <f>""</f>
        <v/>
      </c>
      <c r="DI688" t="str">
        <f>""</f>
        <v/>
      </c>
      <c r="DJ688" t="str">
        <f>""</f>
        <v/>
      </c>
      <c r="DK688" t="str">
        <f>""</f>
        <v/>
      </c>
      <c r="DL688" t="str">
        <f>""</f>
        <v/>
      </c>
      <c r="DM688" t="str">
        <f>""</f>
        <v/>
      </c>
      <c r="DN688" t="str">
        <f>""</f>
        <v/>
      </c>
      <c r="DO688" t="str">
        <f>""</f>
        <v/>
      </c>
      <c r="DP688" t="str">
        <f>""</f>
        <v/>
      </c>
      <c r="DQ688" t="str">
        <f>""</f>
        <v/>
      </c>
      <c r="DR688" t="str">
        <f>""</f>
        <v/>
      </c>
      <c r="DS688" t="str">
        <f>""</f>
        <v/>
      </c>
      <c r="DT688" t="str">
        <f>""</f>
        <v/>
      </c>
      <c r="DU688" t="str">
        <f>""</f>
        <v/>
      </c>
    </row>
    <row r="689" spans="1:125" x14ac:dyDescent="0.25">
      <c r="A689" t="str">
        <f>$A$15</f>
        <v xml:space="preserve">    FAW CAR Co Ltd</v>
      </c>
      <c r="B689" t="str">
        <f>$B$15</f>
        <v>000800 CH Equity</v>
      </c>
      <c r="C689" t="str">
        <f>$C$15</f>
        <v>RR900</v>
      </c>
      <c r="D689" t="str">
        <f>$D$15</f>
        <v>PE_RATIO</v>
      </c>
      <c r="E689" t="str">
        <f>$E$15</f>
        <v>Dynamic</v>
      </c>
      <c r="F689" t="str">
        <f ca="1">_xll.BDH($B$15,$C$15,$B$675,$B$676,CONCATENATE("Per=",$B$673),"Dts=H","Dir=H",CONCATENATE("Points=",$B$674),"Sort=R","Days=A","Fill=B",CONCATENATE("FX=", $B$672) )</f>
        <v>#N/A Connection</v>
      </c>
      <c r="BN689" t="str">
        <f>""</f>
        <v/>
      </c>
      <c r="BO689" t="str">
        <f>""</f>
        <v/>
      </c>
      <c r="BP689" t="str">
        <f>""</f>
        <v/>
      </c>
      <c r="BQ689" t="str">
        <f>""</f>
        <v/>
      </c>
      <c r="BR689" t="str">
        <f>""</f>
        <v/>
      </c>
      <c r="BS689" t="str">
        <f>""</f>
        <v/>
      </c>
      <c r="BT689" t="str">
        <f>""</f>
        <v/>
      </c>
      <c r="BU689" t="str">
        <f>""</f>
        <v/>
      </c>
      <c r="BV689" t="str">
        <f>""</f>
        <v/>
      </c>
      <c r="BW689" t="str">
        <f>""</f>
        <v/>
      </c>
      <c r="BX689" t="str">
        <f>""</f>
        <v/>
      </c>
      <c r="BY689" t="str">
        <f>""</f>
        <v/>
      </c>
      <c r="BZ689" t="str">
        <f>""</f>
        <v/>
      </c>
      <c r="CA689" t="str">
        <f>""</f>
        <v/>
      </c>
      <c r="CB689" t="str">
        <f>""</f>
        <v/>
      </c>
      <c r="CC689" t="str">
        <f>""</f>
        <v/>
      </c>
      <c r="CD689" t="str">
        <f>""</f>
        <v/>
      </c>
      <c r="CE689" t="str">
        <f>""</f>
        <v/>
      </c>
      <c r="CF689" t="str">
        <f>""</f>
        <v/>
      </c>
      <c r="CG689" t="str">
        <f>""</f>
        <v/>
      </c>
      <c r="CH689" t="str">
        <f>""</f>
        <v/>
      </c>
      <c r="CI689" t="str">
        <f>""</f>
        <v/>
      </c>
      <c r="CJ689" t="str">
        <f>""</f>
        <v/>
      </c>
      <c r="CK689" t="str">
        <f>""</f>
        <v/>
      </c>
      <c r="CL689" t="str">
        <f>""</f>
        <v/>
      </c>
      <c r="CM689" t="str">
        <f>""</f>
        <v/>
      </c>
      <c r="CN689" t="str">
        <f>""</f>
        <v/>
      </c>
      <c r="CO689" t="str">
        <f>""</f>
        <v/>
      </c>
      <c r="CP689" t="str">
        <f>""</f>
        <v/>
      </c>
      <c r="CQ689" t="str">
        <f>""</f>
        <v/>
      </c>
      <c r="CR689" t="str">
        <f>""</f>
        <v/>
      </c>
      <c r="CS689" t="str">
        <f>""</f>
        <v/>
      </c>
      <c r="CT689" t="str">
        <f>""</f>
        <v/>
      </c>
      <c r="CU689" t="str">
        <f>""</f>
        <v/>
      </c>
      <c r="CV689" t="str">
        <f>""</f>
        <v/>
      </c>
      <c r="CW689" t="str">
        <f>""</f>
        <v/>
      </c>
      <c r="CX689" t="str">
        <f>""</f>
        <v/>
      </c>
      <c r="CY689" t="str">
        <f>""</f>
        <v/>
      </c>
      <c r="CZ689" t="str">
        <f>""</f>
        <v/>
      </c>
      <c r="DA689" t="str">
        <f>""</f>
        <v/>
      </c>
      <c r="DB689" t="str">
        <f>""</f>
        <v/>
      </c>
      <c r="DC689" t="str">
        <f>""</f>
        <v/>
      </c>
      <c r="DD689" t="str">
        <f>""</f>
        <v/>
      </c>
      <c r="DE689" t="str">
        <f>""</f>
        <v/>
      </c>
      <c r="DF689" t="str">
        <f>""</f>
        <v/>
      </c>
      <c r="DG689" t="str">
        <f>""</f>
        <v/>
      </c>
      <c r="DH689" t="str">
        <f>""</f>
        <v/>
      </c>
      <c r="DI689" t="str">
        <f>""</f>
        <v/>
      </c>
      <c r="DJ689" t="str">
        <f>""</f>
        <v/>
      </c>
      <c r="DK689" t="str">
        <f>""</f>
        <v/>
      </c>
      <c r="DL689" t="str">
        <f>""</f>
        <v/>
      </c>
      <c r="DM689" t="str">
        <f>""</f>
        <v/>
      </c>
      <c r="DN689" t="str">
        <f>""</f>
        <v/>
      </c>
      <c r="DO689" t="str">
        <f>""</f>
        <v/>
      </c>
      <c r="DP689" t="str">
        <f>""</f>
        <v/>
      </c>
      <c r="DQ689" t="str">
        <f>""</f>
        <v/>
      </c>
      <c r="DR689" t="str">
        <f>""</f>
        <v/>
      </c>
      <c r="DS689" t="str">
        <f>""</f>
        <v/>
      </c>
      <c r="DT689" t="str">
        <f>""</f>
        <v/>
      </c>
      <c r="DU689" t="str">
        <f>""</f>
        <v/>
      </c>
    </row>
    <row r="690" spans="1:125" x14ac:dyDescent="0.25">
      <c r="A690" t="str">
        <f>$A$16</f>
        <v xml:space="preserve">    Fiat Chrysler Automobiles NV</v>
      </c>
      <c r="B690" t="str">
        <f>$B$16</f>
        <v>FCAU US Equity</v>
      </c>
      <c r="C690" t="str">
        <f>$C$16</f>
        <v>RR900</v>
      </c>
      <c r="D690" t="str">
        <f>$D$16</f>
        <v>PE_RATIO</v>
      </c>
      <c r="E690" t="str">
        <f>$E$16</f>
        <v>Dynamic</v>
      </c>
      <c r="F690" t="str">
        <f ca="1">_xll.BDH($B$16,$C$16,$B$675,$B$676,CONCATENATE("Per=",$B$673),"Dts=H","Dir=H",CONCATENATE("Points=",$B$674),"Sort=R","Days=A","Fill=B",CONCATENATE("FX=", $B$672) )</f>
        <v>#N/A Connection</v>
      </c>
      <c r="BN690" t="str">
        <f>""</f>
        <v/>
      </c>
      <c r="BO690" t="str">
        <f>""</f>
        <v/>
      </c>
      <c r="BP690" t="str">
        <f>""</f>
        <v/>
      </c>
      <c r="BQ690" t="str">
        <f>""</f>
        <v/>
      </c>
      <c r="BR690" t="str">
        <f>""</f>
        <v/>
      </c>
      <c r="BS690" t="str">
        <f>""</f>
        <v/>
      </c>
      <c r="BT690" t="str">
        <f>""</f>
        <v/>
      </c>
      <c r="BU690" t="str">
        <f>""</f>
        <v/>
      </c>
      <c r="BV690" t="str">
        <f>""</f>
        <v/>
      </c>
      <c r="BW690" t="str">
        <f>""</f>
        <v/>
      </c>
      <c r="BX690" t="str">
        <f>""</f>
        <v/>
      </c>
      <c r="BY690" t="str">
        <f>""</f>
        <v/>
      </c>
      <c r="BZ690" t="str">
        <f>""</f>
        <v/>
      </c>
      <c r="CA690" t="str">
        <f>""</f>
        <v/>
      </c>
      <c r="CB690" t="str">
        <f>""</f>
        <v/>
      </c>
      <c r="CC690" t="str">
        <f>""</f>
        <v/>
      </c>
      <c r="CD690" t="str">
        <f>""</f>
        <v/>
      </c>
      <c r="CE690" t="str">
        <f>""</f>
        <v/>
      </c>
      <c r="CF690" t="str">
        <f>""</f>
        <v/>
      </c>
      <c r="CG690" t="str">
        <f>""</f>
        <v/>
      </c>
      <c r="CH690" t="str">
        <f>""</f>
        <v/>
      </c>
      <c r="CI690" t="str">
        <f>""</f>
        <v/>
      </c>
      <c r="CJ690" t="str">
        <f>""</f>
        <v/>
      </c>
      <c r="CK690" t="str">
        <f>""</f>
        <v/>
      </c>
      <c r="CL690" t="str">
        <f>""</f>
        <v/>
      </c>
      <c r="CM690" t="str">
        <f>""</f>
        <v/>
      </c>
      <c r="CN690" t="str">
        <f>""</f>
        <v/>
      </c>
      <c r="CO690" t="str">
        <f>""</f>
        <v/>
      </c>
      <c r="CP690" t="str">
        <f>""</f>
        <v/>
      </c>
      <c r="CQ690" t="str">
        <f>""</f>
        <v/>
      </c>
      <c r="CR690" t="str">
        <f>""</f>
        <v/>
      </c>
      <c r="CS690" t="str">
        <f>""</f>
        <v/>
      </c>
      <c r="CT690" t="str">
        <f>""</f>
        <v/>
      </c>
      <c r="CU690" t="str">
        <f>""</f>
        <v/>
      </c>
      <c r="CV690" t="str">
        <f>""</f>
        <v/>
      </c>
      <c r="CW690" t="str">
        <f>""</f>
        <v/>
      </c>
      <c r="CX690" t="str">
        <f>""</f>
        <v/>
      </c>
      <c r="CY690" t="str">
        <f>""</f>
        <v/>
      </c>
      <c r="CZ690" t="str">
        <f>""</f>
        <v/>
      </c>
      <c r="DA690" t="str">
        <f>""</f>
        <v/>
      </c>
      <c r="DB690" t="str">
        <f>""</f>
        <v/>
      </c>
      <c r="DC690" t="str">
        <f>""</f>
        <v/>
      </c>
      <c r="DD690" t="str">
        <f>""</f>
        <v/>
      </c>
      <c r="DE690" t="str">
        <f>""</f>
        <v/>
      </c>
      <c r="DF690" t="str">
        <f>""</f>
        <v/>
      </c>
      <c r="DG690" t="str">
        <f>""</f>
        <v/>
      </c>
      <c r="DH690" t="str">
        <f>""</f>
        <v/>
      </c>
      <c r="DI690" t="str">
        <f>""</f>
        <v/>
      </c>
      <c r="DJ690" t="str">
        <f>""</f>
        <v/>
      </c>
      <c r="DK690" t="str">
        <f>""</f>
        <v/>
      </c>
      <c r="DL690" t="str">
        <f>""</f>
        <v/>
      </c>
      <c r="DM690" t="str">
        <f>""</f>
        <v/>
      </c>
      <c r="DN690" t="str">
        <f>""</f>
        <v/>
      </c>
      <c r="DO690" t="str">
        <f>""</f>
        <v/>
      </c>
      <c r="DP690" t="str">
        <f>""</f>
        <v/>
      </c>
      <c r="DQ690" t="str">
        <f>""</f>
        <v/>
      </c>
      <c r="DR690" t="str">
        <f>""</f>
        <v/>
      </c>
      <c r="DS690" t="str">
        <f>""</f>
        <v/>
      </c>
      <c r="DT690" t="str">
        <f>""</f>
        <v/>
      </c>
      <c r="DU690" t="str">
        <f>""</f>
        <v/>
      </c>
    </row>
    <row r="691" spans="1:125" x14ac:dyDescent="0.25">
      <c r="A691" t="str">
        <f>$A$17</f>
        <v xml:space="preserve">    Ford Motor Co</v>
      </c>
      <c r="B691" t="str">
        <f>$B$17</f>
        <v>F US Equity</v>
      </c>
      <c r="C691" t="str">
        <f>$C$17</f>
        <v>RR900</v>
      </c>
      <c r="D691" t="str">
        <f>$D$17</f>
        <v>PE_RATIO</v>
      </c>
      <c r="E691" t="str">
        <f>$E$17</f>
        <v>Dynamic</v>
      </c>
      <c r="F691" t="str">
        <f ca="1">_xll.BDH($B$17,$C$17,$B$675,$B$676,CONCATENATE("Per=",$B$673),"Dts=H","Dir=H",CONCATENATE("Points=",$B$674),"Sort=R","Days=A","Fill=B",CONCATENATE("FX=", $B$672) )</f>
        <v>#N/A Connection</v>
      </c>
      <c r="BN691" t="str">
        <f>""</f>
        <v/>
      </c>
      <c r="BO691" t="str">
        <f>""</f>
        <v/>
      </c>
      <c r="BP691" t="str">
        <f>""</f>
        <v/>
      </c>
      <c r="BQ691" t="str">
        <f>""</f>
        <v/>
      </c>
      <c r="BR691" t="str">
        <f>""</f>
        <v/>
      </c>
      <c r="BS691" t="str">
        <f>""</f>
        <v/>
      </c>
      <c r="BT691" t="str">
        <f>""</f>
        <v/>
      </c>
      <c r="BU691" t="str">
        <f>""</f>
        <v/>
      </c>
      <c r="BV691" t="str">
        <f>""</f>
        <v/>
      </c>
      <c r="BW691" t="str">
        <f>""</f>
        <v/>
      </c>
      <c r="BX691" t="str">
        <f>""</f>
        <v/>
      </c>
      <c r="BY691" t="str">
        <f>""</f>
        <v/>
      </c>
      <c r="BZ691" t="str">
        <f>""</f>
        <v/>
      </c>
      <c r="CA691" t="str">
        <f>""</f>
        <v/>
      </c>
      <c r="CB691" t="str">
        <f>""</f>
        <v/>
      </c>
      <c r="CC691" t="str">
        <f>""</f>
        <v/>
      </c>
      <c r="CD691" t="str">
        <f>""</f>
        <v/>
      </c>
      <c r="CE691" t="str">
        <f>""</f>
        <v/>
      </c>
      <c r="CF691" t="str">
        <f>""</f>
        <v/>
      </c>
      <c r="CG691" t="str">
        <f>""</f>
        <v/>
      </c>
      <c r="CH691" t="str">
        <f>""</f>
        <v/>
      </c>
      <c r="CI691" t="str">
        <f>""</f>
        <v/>
      </c>
      <c r="CJ691" t="str">
        <f>""</f>
        <v/>
      </c>
      <c r="CK691" t="str">
        <f>""</f>
        <v/>
      </c>
      <c r="CL691" t="str">
        <f>""</f>
        <v/>
      </c>
      <c r="CM691" t="str">
        <f>""</f>
        <v/>
      </c>
      <c r="CN691" t="str">
        <f>""</f>
        <v/>
      </c>
      <c r="CO691" t="str">
        <f>""</f>
        <v/>
      </c>
      <c r="CP691" t="str">
        <f>""</f>
        <v/>
      </c>
      <c r="CQ691" t="str">
        <f>""</f>
        <v/>
      </c>
      <c r="CR691" t="str">
        <f>""</f>
        <v/>
      </c>
      <c r="CS691" t="str">
        <f>""</f>
        <v/>
      </c>
      <c r="CT691" t="str">
        <f>""</f>
        <v/>
      </c>
      <c r="CU691" t="str">
        <f>""</f>
        <v/>
      </c>
      <c r="CV691" t="str">
        <f>""</f>
        <v/>
      </c>
      <c r="CW691" t="str">
        <f>""</f>
        <v/>
      </c>
      <c r="CX691" t="str">
        <f>""</f>
        <v/>
      </c>
      <c r="CY691" t="str">
        <f>""</f>
        <v/>
      </c>
      <c r="CZ691" t="str">
        <f>""</f>
        <v/>
      </c>
      <c r="DA691" t="str">
        <f>""</f>
        <v/>
      </c>
      <c r="DB691" t="str">
        <f>""</f>
        <v/>
      </c>
      <c r="DC691" t="str">
        <f>""</f>
        <v/>
      </c>
      <c r="DD691" t="str">
        <f>""</f>
        <v/>
      </c>
      <c r="DE691" t="str">
        <f>""</f>
        <v/>
      </c>
      <c r="DF691" t="str">
        <f>""</f>
        <v/>
      </c>
      <c r="DG691" t="str">
        <f>""</f>
        <v/>
      </c>
      <c r="DH691" t="str">
        <f>""</f>
        <v/>
      </c>
      <c r="DI691" t="str">
        <f>""</f>
        <v/>
      </c>
      <c r="DJ691" t="str">
        <f>""</f>
        <v/>
      </c>
      <c r="DK691" t="str">
        <f>""</f>
        <v/>
      </c>
      <c r="DL691" t="str">
        <f>""</f>
        <v/>
      </c>
      <c r="DM691" t="str">
        <f>""</f>
        <v/>
      </c>
      <c r="DN691" t="str">
        <f>""</f>
        <v/>
      </c>
      <c r="DO691" t="str">
        <f>""</f>
        <v/>
      </c>
      <c r="DP691" t="str">
        <f>""</f>
        <v/>
      </c>
      <c r="DQ691" t="str">
        <f>""</f>
        <v/>
      </c>
      <c r="DR691" t="str">
        <f>""</f>
        <v/>
      </c>
      <c r="DS691" t="str">
        <f>""</f>
        <v/>
      </c>
      <c r="DT691" t="str">
        <f>""</f>
        <v/>
      </c>
      <c r="DU691" t="str">
        <f>""</f>
        <v/>
      </c>
    </row>
    <row r="692" spans="1:125" x14ac:dyDescent="0.25">
      <c r="A692" t="str">
        <f>$A$18</f>
        <v xml:space="preserve">    Ford Otomotiv Sanayi AS</v>
      </c>
      <c r="B692" t="str">
        <f>$B$18</f>
        <v>FROTOTRY EO Equity</v>
      </c>
      <c r="C692" t="str">
        <f>$C$18</f>
        <v>RR900</v>
      </c>
      <c r="D692" t="str">
        <f>$D$18</f>
        <v>PE_RATIO</v>
      </c>
      <c r="E692" t="str">
        <f>$E$18</f>
        <v>Dynamic</v>
      </c>
      <c r="F692" t="str">
        <f ca="1">_xll.BDH($B$18,$C$18,$B$675,$B$676,CONCATENATE("Per=",$B$673),"Dts=H","Dir=H",CONCATENATE("Points=",$B$674),"Sort=R","Days=A","Fill=B",CONCATENATE("FX=", $B$672) )</f>
        <v>#N/A Connection</v>
      </c>
      <c r="BN692" t="str">
        <f>""</f>
        <v/>
      </c>
      <c r="BO692" t="str">
        <f>""</f>
        <v/>
      </c>
      <c r="BP692" t="str">
        <f>""</f>
        <v/>
      </c>
      <c r="BQ692" t="str">
        <f>""</f>
        <v/>
      </c>
      <c r="BR692" t="str">
        <f>""</f>
        <v/>
      </c>
      <c r="BS692" t="str">
        <f>""</f>
        <v/>
      </c>
      <c r="BT692" t="str">
        <f>""</f>
        <v/>
      </c>
      <c r="BU692" t="str">
        <f>""</f>
        <v/>
      </c>
      <c r="BV692" t="str">
        <f>""</f>
        <v/>
      </c>
      <c r="BW692" t="str">
        <f>""</f>
        <v/>
      </c>
      <c r="BX692" t="str">
        <f>""</f>
        <v/>
      </c>
      <c r="BY692" t="str">
        <f>""</f>
        <v/>
      </c>
      <c r="BZ692" t="str">
        <f>""</f>
        <v/>
      </c>
      <c r="CA692" t="str">
        <f>""</f>
        <v/>
      </c>
      <c r="CB692" t="str">
        <f>""</f>
        <v/>
      </c>
      <c r="CC692" t="str">
        <f>""</f>
        <v/>
      </c>
      <c r="CD692" t="str">
        <f>""</f>
        <v/>
      </c>
      <c r="CE692" t="str">
        <f>""</f>
        <v/>
      </c>
      <c r="CF692" t="str">
        <f>""</f>
        <v/>
      </c>
      <c r="CG692" t="str">
        <f>""</f>
        <v/>
      </c>
      <c r="CH692" t="str">
        <f>""</f>
        <v/>
      </c>
      <c r="CI692" t="str">
        <f>""</f>
        <v/>
      </c>
      <c r="CJ692" t="str">
        <f>""</f>
        <v/>
      </c>
      <c r="CK692" t="str">
        <f>""</f>
        <v/>
      </c>
      <c r="CL692" t="str">
        <f>""</f>
        <v/>
      </c>
      <c r="CM692" t="str">
        <f>""</f>
        <v/>
      </c>
      <c r="CN692" t="str">
        <f>""</f>
        <v/>
      </c>
      <c r="CO692" t="str">
        <f>""</f>
        <v/>
      </c>
      <c r="CP692" t="str">
        <f>""</f>
        <v/>
      </c>
      <c r="CQ692" t="str">
        <f>""</f>
        <v/>
      </c>
      <c r="CR692" t="str">
        <f>""</f>
        <v/>
      </c>
      <c r="CS692" t="str">
        <f>""</f>
        <v/>
      </c>
      <c r="CT692" t="str">
        <f>""</f>
        <v/>
      </c>
      <c r="CU692" t="str">
        <f>""</f>
        <v/>
      </c>
      <c r="CV692" t="str">
        <f>""</f>
        <v/>
      </c>
      <c r="CW692" t="str">
        <f>""</f>
        <v/>
      </c>
      <c r="CX692" t="str">
        <f>""</f>
        <v/>
      </c>
      <c r="CY692" t="str">
        <f>""</f>
        <v/>
      </c>
      <c r="CZ692" t="str">
        <f>""</f>
        <v/>
      </c>
      <c r="DA692" t="str">
        <f>""</f>
        <v/>
      </c>
      <c r="DB692" t="str">
        <f>""</f>
        <v/>
      </c>
      <c r="DC692" t="str">
        <f>""</f>
        <v/>
      </c>
      <c r="DD692" t="str">
        <f>""</f>
        <v/>
      </c>
      <c r="DE692" t="str">
        <f>""</f>
        <v/>
      </c>
      <c r="DF692" t="str">
        <f>""</f>
        <v/>
      </c>
      <c r="DG692" t="str">
        <f>""</f>
        <v/>
      </c>
      <c r="DH692" t="str">
        <f>""</f>
        <v/>
      </c>
      <c r="DI692" t="str">
        <f>""</f>
        <v/>
      </c>
      <c r="DJ692" t="str">
        <f>""</f>
        <v/>
      </c>
      <c r="DK692" t="str">
        <f>""</f>
        <v/>
      </c>
      <c r="DL692" t="str">
        <f>""</f>
        <v/>
      </c>
      <c r="DM692" t="str">
        <f>""</f>
        <v/>
      </c>
      <c r="DN692" t="str">
        <f>""</f>
        <v/>
      </c>
      <c r="DO692" t="str">
        <f>""</f>
        <v/>
      </c>
      <c r="DP692" t="str">
        <f>""</f>
        <v/>
      </c>
      <c r="DQ692" t="str">
        <f>""</f>
        <v/>
      </c>
      <c r="DR692" t="str">
        <f>""</f>
        <v/>
      </c>
      <c r="DS692" t="str">
        <f>""</f>
        <v/>
      </c>
      <c r="DT692" t="str">
        <f>""</f>
        <v/>
      </c>
      <c r="DU692" t="str">
        <f>""</f>
        <v/>
      </c>
    </row>
    <row r="693" spans="1:125" x14ac:dyDescent="0.25">
      <c r="A693" t="str">
        <f>$A$19</f>
        <v xml:space="preserve">    GAZ PJSC</v>
      </c>
      <c r="B693" t="str">
        <f>$B$19</f>
        <v>GAZA RM Equity</v>
      </c>
      <c r="C693" t="str">
        <f>$C$19</f>
        <v>RR900</v>
      </c>
      <c r="D693" t="str">
        <f>$D$19</f>
        <v>PE_RATIO</v>
      </c>
      <c r="E693" t="str">
        <f>$E$19</f>
        <v>Dynamic</v>
      </c>
      <c r="F693" t="str">
        <f ca="1">_xll.BDH($B$19,$C$19,$B$675,$B$676,CONCATENATE("Per=",$B$673),"Dts=H","Dir=H",CONCATENATE("Points=",$B$674),"Sort=R","Days=A","Fill=B",CONCATENATE("FX=", $B$672) )</f>
        <v>#N/A Connection</v>
      </c>
      <c r="BN693" t="str">
        <f>""</f>
        <v/>
      </c>
      <c r="BO693" t="str">
        <f>""</f>
        <v/>
      </c>
      <c r="BP693" t="str">
        <f>""</f>
        <v/>
      </c>
      <c r="BQ693" t="str">
        <f>""</f>
        <v/>
      </c>
      <c r="BR693" t="str">
        <f>""</f>
        <v/>
      </c>
      <c r="BS693" t="str">
        <f>""</f>
        <v/>
      </c>
      <c r="BT693" t="str">
        <f>""</f>
        <v/>
      </c>
      <c r="BU693" t="str">
        <f>""</f>
        <v/>
      </c>
      <c r="BV693" t="str">
        <f>""</f>
        <v/>
      </c>
      <c r="BW693" t="str">
        <f>""</f>
        <v/>
      </c>
      <c r="BX693" t="str">
        <f>""</f>
        <v/>
      </c>
      <c r="BY693" t="str">
        <f>""</f>
        <v/>
      </c>
      <c r="BZ693" t="str">
        <f>""</f>
        <v/>
      </c>
      <c r="CA693" t="str">
        <f>""</f>
        <v/>
      </c>
      <c r="CB693" t="str">
        <f>""</f>
        <v/>
      </c>
      <c r="CC693" t="str">
        <f>""</f>
        <v/>
      </c>
      <c r="CD693" t="str">
        <f>""</f>
        <v/>
      </c>
      <c r="CE693" t="str">
        <f>""</f>
        <v/>
      </c>
      <c r="CF693" t="str">
        <f>""</f>
        <v/>
      </c>
      <c r="CG693" t="str">
        <f>""</f>
        <v/>
      </c>
      <c r="CH693" t="str">
        <f>""</f>
        <v/>
      </c>
      <c r="CI693" t="str">
        <f>""</f>
        <v/>
      </c>
      <c r="CJ693" t="str">
        <f>""</f>
        <v/>
      </c>
      <c r="CK693" t="str">
        <f>""</f>
        <v/>
      </c>
      <c r="CL693" t="str">
        <f>""</f>
        <v/>
      </c>
      <c r="CM693" t="str">
        <f>""</f>
        <v/>
      </c>
      <c r="CN693" t="str">
        <f>""</f>
        <v/>
      </c>
      <c r="CO693" t="str">
        <f>""</f>
        <v/>
      </c>
      <c r="CP693" t="str">
        <f>""</f>
        <v/>
      </c>
      <c r="CQ693" t="str">
        <f>""</f>
        <v/>
      </c>
      <c r="CR693" t="str">
        <f>""</f>
        <v/>
      </c>
      <c r="CS693" t="str">
        <f>""</f>
        <v/>
      </c>
      <c r="CT693" t="str">
        <f>""</f>
        <v/>
      </c>
      <c r="CU693" t="str">
        <f>""</f>
        <v/>
      </c>
      <c r="CV693" t="str">
        <f>""</f>
        <v/>
      </c>
      <c r="CW693" t="str">
        <f>""</f>
        <v/>
      </c>
      <c r="CX693" t="str">
        <f>""</f>
        <v/>
      </c>
      <c r="CY693" t="str">
        <f>""</f>
        <v/>
      </c>
      <c r="CZ693" t="str">
        <f>""</f>
        <v/>
      </c>
      <c r="DA693" t="str">
        <f>""</f>
        <v/>
      </c>
      <c r="DB693" t="str">
        <f>""</f>
        <v/>
      </c>
      <c r="DC693" t="str">
        <f>""</f>
        <v/>
      </c>
      <c r="DD693" t="str">
        <f>""</f>
        <v/>
      </c>
      <c r="DE693" t="str">
        <f>""</f>
        <v/>
      </c>
      <c r="DF693" t="str">
        <f>""</f>
        <v/>
      </c>
      <c r="DG693" t="str">
        <f>""</f>
        <v/>
      </c>
      <c r="DH693" t="str">
        <f>""</f>
        <v/>
      </c>
      <c r="DI693" t="str">
        <f>""</f>
        <v/>
      </c>
      <c r="DJ693" t="str">
        <f>""</f>
        <v/>
      </c>
      <c r="DK693" t="str">
        <f>""</f>
        <v/>
      </c>
      <c r="DL693" t="str">
        <f>""</f>
        <v/>
      </c>
      <c r="DM693" t="str">
        <f>""</f>
        <v/>
      </c>
      <c r="DN693" t="str">
        <f>""</f>
        <v/>
      </c>
      <c r="DO693" t="str">
        <f>""</f>
        <v/>
      </c>
      <c r="DP693" t="str">
        <f>""</f>
        <v/>
      </c>
      <c r="DQ693" t="str">
        <f>""</f>
        <v/>
      </c>
      <c r="DR693" t="str">
        <f>""</f>
        <v/>
      </c>
      <c r="DS693" t="str">
        <f>""</f>
        <v/>
      </c>
      <c r="DT693" t="str">
        <f>""</f>
        <v/>
      </c>
      <c r="DU693" t="str">
        <f>""</f>
        <v/>
      </c>
    </row>
    <row r="694" spans="1:125" x14ac:dyDescent="0.25">
      <c r="A694" t="str">
        <f>$A$20</f>
        <v xml:space="preserve">    Geely Automobile Holdings Ltd</v>
      </c>
      <c r="B694" t="str">
        <f>$B$20</f>
        <v>175 HK Equity</v>
      </c>
      <c r="C694" t="str">
        <f>$C$20</f>
        <v>RR900</v>
      </c>
      <c r="D694" t="str">
        <f>$D$20</f>
        <v>PE_RATIO</v>
      </c>
      <c r="E694" t="str">
        <f>$E$20</f>
        <v>Dynamic</v>
      </c>
      <c r="F694" t="str">
        <f ca="1">_xll.BDH($B$20,$C$20,$B$675,$B$676,CONCATENATE("Per=",$B$673),"Dts=H","Dir=H",CONCATENATE("Points=",$B$674),"Sort=R","Days=A","Fill=B",CONCATENATE("FX=", $B$672) )</f>
        <v>#N/A Connection</v>
      </c>
      <c r="BN694" t="str">
        <f>""</f>
        <v/>
      </c>
      <c r="BO694" t="str">
        <f>""</f>
        <v/>
      </c>
      <c r="BP694" t="str">
        <f>""</f>
        <v/>
      </c>
      <c r="BQ694" t="str">
        <f>""</f>
        <v/>
      </c>
      <c r="BR694" t="str">
        <f>""</f>
        <v/>
      </c>
      <c r="BS694" t="str">
        <f>""</f>
        <v/>
      </c>
      <c r="BT694" t="str">
        <f>""</f>
        <v/>
      </c>
      <c r="BU694" t="str">
        <f>""</f>
        <v/>
      </c>
      <c r="BV694" t="str">
        <f>""</f>
        <v/>
      </c>
      <c r="BW694" t="str">
        <f>""</f>
        <v/>
      </c>
      <c r="BX694" t="str">
        <f>""</f>
        <v/>
      </c>
      <c r="BY694" t="str">
        <f>""</f>
        <v/>
      </c>
      <c r="BZ694" t="str">
        <f>""</f>
        <v/>
      </c>
      <c r="CA694" t="str">
        <f>""</f>
        <v/>
      </c>
      <c r="CB694" t="str">
        <f>""</f>
        <v/>
      </c>
      <c r="CC694" t="str">
        <f>""</f>
        <v/>
      </c>
      <c r="CD694" t="str">
        <f>""</f>
        <v/>
      </c>
      <c r="CE694" t="str">
        <f>""</f>
        <v/>
      </c>
      <c r="CF694" t="str">
        <f>""</f>
        <v/>
      </c>
      <c r="CG694" t="str">
        <f>""</f>
        <v/>
      </c>
      <c r="CH694" t="str">
        <f>""</f>
        <v/>
      </c>
      <c r="CI694" t="str">
        <f>""</f>
        <v/>
      </c>
      <c r="CJ694" t="str">
        <f>""</f>
        <v/>
      </c>
      <c r="CK694" t="str">
        <f>""</f>
        <v/>
      </c>
      <c r="CL694" t="str">
        <f>""</f>
        <v/>
      </c>
      <c r="CM694" t="str">
        <f>""</f>
        <v/>
      </c>
      <c r="CN694" t="str">
        <f>""</f>
        <v/>
      </c>
      <c r="CO694" t="str">
        <f>""</f>
        <v/>
      </c>
      <c r="CP694" t="str">
        <f>""</f>
        <v/>
      </c>
      <c r="CQ694" t="str">
        <f>""</f>
        <v/>
      </c>
      <c r="CR694" t="str">
        <f>""</f>
        <v/>
      </c>
      <c r="CS694" t="str">
        <f>""</f>
        <v/>
      </c>
      <c r="CT694" t="str">
        <f>""</f>
        <v/>
      </c>
      <c r="CU694" t="str">
        <f>""</f>
        <v/>
      </c>
      <c r="CV694" t="str">
        <f>""</f>
        <v/>
      </c>
      <c r="CW694" t="str">
        <f>""</f>
        <v/>
      </c>
      <c r="CX694" t="str">
        <f>""</f>
        <v/>
      </c>
      <c r="CY694" t="str">
        <f>""</f>
        <v/>
      </c>
      <c r="CZ694" t="str">
        <f>""</f>
        <v/>
      </c>
      <c r="DA694" t="str">
        <f>""</f>
        <v/>
      </c>
      <c r="DB694" t="str">
        <f>""</f>
        <v/>
      </c>
      <c r="DC694" t="str">
        <f>""</f>
        <v/>
      </c>
      <c r="DD694" t="str">
        <f>""</f>
        <v/>
      </c>
      <c r="DE694" t="str">
        <f>""</f>
        <v/>
      </c>
      <c r="DF694" t="str">
        <f>""</f>
        <v/>
      </c>
      <c r="DG694" t="str">
        <f>""</f>
        <v/>
      </c>
      <c r="DH694" t="str">
        <f>""</f>
        <v/>
      </c>
      <c r="DI694" t="str">
        <f>""</f>
        <v/>
      </c>
      <c r="DJ694" t="str">
        <f>""</f>
        <v/>
      </c>
      <c r="DK694" t="str">
        <f>""</f>
        <v/>
      </c>
      <c r="DL694" t="str">
        <f>""</f>
        <v/>
      </c>
      <c r="DM694" t="str">
        <f>""</f>
        <v/>
      </c>
      <c r="DN694" t="str">
        <f>""</f>
        <v/>
      </c>
      <c r="DO694" t="str">
        <f>""</f>
        <v/>
      </c>
      <c r="DP694" t="str">
        <f>""</f>
        <v/>
      </c>
      <c r="DQ694" t="str">
        <f>""</f>
        <v/>
      </c>
      <c r="DR694" t="str">
        <f>""</f>
        <v/>
      </c>
      <c r="DS694" t="str">
        <f>""</f>
        <v/>
      </c>
      <c r="DT694" t="str">
        <f>""</f>
        <v/>
      </c>
      <c r="DU694" t="str">
        <f>""</f>
        <v/>
      </c>
    </row>
    <row r="695" spans="1:125" x14ac:dyDescent="0.25">
      <c r="A695" t="str">
        <f>$A$21</f>
        <v xml:space="preserve">    General Motors Co</v>
      </c>
      <c r="B695" t="str">
        <f>$B$21</f>
        <v>GM US Equity</v>
      </c>
      <c r="C695" t="str">
        <f>$C$21</f>
        <v>RR900</v>
      </c>
      <c r="D695" t="str">
        <f>$D$21</f>
        <v>PE_RATIO</v>
      </c>
      <c r="E695" t="str">
        <f>$E$21</f>
        <v>Dynamic</v>
      </c>
      <c r="F695" t="str">
        <f ca="1">_xll.BDH($B$21,$C$21,$B$675,$B$676,CONCATENATE("Per=",$B$673),"Dts=H","Dir=H",CONCATENATE("Points=",$B$674),"Sort=R","Days=A","Fill=B",CONCATENATE("FX=", $B$672) )</f>
        <v>#N/A Connection</v>
      </c>
      <c r="BN695" t="str">
        <f>""</f>
        <v/>
      </c>
      <c r="BO695" t="str">
        <f>""</f>
        <v/>
      </c>
      <c r="BP695" t="str">
        <f>""</f>
        <v/>
      </c>
      <c r="BQ695" t="str">
        <f>""</f>
        <v/>
      </c>
      <c r="BR695" t="str">
        <f>""</f>
        <v/>
      </c>
      <c r="BS695" t="str">
        <f>""</f>
        <v/>
      </c>
      <c r="BT695" t="str">
        <f>""</f>
        <v/>
      </c>
      <c r="BU695" t="str">
        <f>""</f>
        <v/>
      </c>
      <c r="BV695" t="str">
        <f>""</f>
        <v/>
      </c>
      <c r="BW695" t="str">
        <f>""</f>
        <v/>
      </c>
      <c r="BX695" t="str">
        <f>""</f>
        <v/>
      </c>
      <c r="BY695" t="str">
        <f>""</f>
        <v/>
      </c>
      <c r="BZ695" t="str">
        <f>""</f>
        <v/>
      </c>
      <c r="CA695" t="str">
        <f>""</f>
        <v/>
      </c>
      <c r="CB695" t="str">
        <f>""</f>
        <v/>
      </c>
      <c r="CC695" t="str">
        <f>""</f>
        <v/>
      </c>
      <c r="CD695" t="str">
        <f>""</f>
        <v/>
      </c>
      <c r="CE695" t="str">
        <f>""</f>
        <v/>
      </c>
      <c r="CF695" t="str">
        <f>""</f>
        <v/>
      </c>
      <c r="CG695" t="str">
        <f>""</f>
        <v/>
      </c>
      <c r="CH695" t="str">
        <f>""</f>
        <v/>
      </c>
      <c r="CI695" t="str">
        <f>""</f>
        <v/>
      </c>
      <c r="CJ695" t="str">
        <f>""</f>
        <v/>
      </c>
      <c r="CK695" t="str">
        <f>""</f>
        <v/>
      </c>
      <c r="CL695" t="str">
        <f>""</f>
        <v/>
      </c>
      <c r="CM695" t="str">
        <f>""</f>
        <v/>
      </c>
      <c r="CN695" t="str">
        <f>""</f>
        <v/>
      </c>
      <c r="CO695" t="str">
        <f>""</f>
        <v/>
      </c>
      <c r="CP695" t="str">
        <f>""</f>
        <v/>
      </c>
      <c r="CQ695" t="str">
        <f>""</f>
        <v/>
      </c>
      <c r="CR695" t="str">
        <f>""</f>
        <v/>
      </c>
      <c r="CS695" t="str">
        <f>""</f>
        <v/>
      </c>
      <c r="CT695" t="str">
        <f>""</f>
        <v/>
      </c>
      <c r="CU695" t="str">
        <f>""</f>
        <v/>
      </c>
      <c r="CV695" t="str">
        <f>""</f>
        <v/>
      </c>
      <c r="CW695" t="str">
        <f>""</f>
        <v/>
      </c>
      <c r="CX695" t="str">
        <f>""</f>
        <v/>
      </c>
      <c r="CY695" t="str">
        <f>""</f>
        <v/>
      </c>
      <c r="CZ695" t="str">
        <f>""</f>
        <v/>
      </c>
      <c r="DA695" t="str">
        <f>""</f>
        <v/>
      </c>
      <c r="DB695" t="str">
        <f>""</f>
        <v/>
      </c>
      <c r="DC695" t="str">
        <f>""</f>
        <v/>
      </c>
      <c r="DD695" t="str">
        <f>""</f>
        <v/>
      </c>
      <c r="DE695" t="str">
        <f>""</f>
        <v/>
      </c>
      <c r="DF695" t="str">
        <f>""</f>
        <v/>
      </c>
      <c r="DG695" t="str">
        <f>""</f>
        <v/>
      </c>
      <c r="DH695" t="str">
        <f>""</f>
        <v/>
      </c>
      <c r="DI695" t="str">
        <f>""</f>
        <v/>
      </c>
      <c r="DJ695" t="str">
        <f>""</f>
        <v/>
      </c>
      <c r="DK695" t="str">
        <f>""</f>
        <v/>
      </c>
      <c r="DL695" t="str">
        <f>""</f>
        <v/>
      </c>
      <c r="DM695" t="str">
        <f>""</f>
        <v/>
      </c>
      <c r="DN695" t="str">
        <f>""</f>
        <v/>
      </c>
      <c r="DO695" t="str">
        <f>""</f>
        <v/>
      </c>
      <c r="DP695" t="str">
        <f>""</f>
        <v/>
      </c>
      <c r="DQ695" t="str">
        <f>""</f>
        <v/>
      </c>
      <c r="DR695" t="str">
        <f>""</f>
        <v/>
      </c>
      <c r="DS695" t="str">
        <f>""</f>
        <v/>
      </c>
      <c r="DT695" t="str">
        <f>""</f>
        <v/>
      </c>
      <c r="DU695" t="str">
        <f>""</f>
        <v/>
      </c>
    </row>
    <row r="696" spans="1:125" x14ac:dyDescent="0.25">
      <c r="A696" t="str">
        <f>$A$22</f>
        <v xml:space="preserve">    Great Wall Motor Co Ltd</v>
      </c>
      <c r="B696" t="str">
        <f>$B$22</f>
        <v>2333 HK Equity</v>
      </c>
      <c r="C696" t="str">
        <f>$C$22</f>
        <v>RR900</v>
      </c>
      <c r="D696" t="str">
        <f>$D$22</f>
        <v>PE_RATIO</v>
      </c>
      <c r="E696" t="str">
        <f>$E$22</f>
        <v>Dynamic</v>
      </c>
      <c r="F696" t="str">
        <f ca="1">_xll.BDH($B$22,$C$22,$B$675,$B$676,CONCATENATE("Per=",$B$673),"Dts=H","Dir=H",CONCATENATE("Points=",$B$674),"Sort=R","Days=A","Fill=B",CONCATENATE("FX=", $B$672) )</f>
        <v>#N/A Connection</v>
      </c>
      <c r="BN696" t="str">
        <f>""</f>
        <v/>
      </c>
      <c r="BO696" t="str">
        <f>""</f>
        <v/>
      </c>
      <c r="BP696" t="str">
        <f>""</f>
        <v/>
      </c>
      <c r="BQ696" t="str">
        <f>""</f>
        <v/>
      </c>
      <c r="BR696" t="str">
        <f>""</f>
        <v/>
      </c>
      <c r="BS696" t="str">
        <f>""</f>
        <v/>
      </c>
      <c r="BT696" t="str">
        <f>""</f>
        <v/>
      </c>
      <c r="BU696" t="str">
        <f>""</f>
        <v/>
      </c>
      <c r="BV696" t="str">
        <f>""</f>
        <v/>
      </c>
      <c r="BW696" t="str">
        <f>""</f>
        <v/>
      </c>
      <c r="BX696" t="str">
        <f>""</f>
        <v/>
      </c>
      <c r="BY696" t="str">
        <f>""</f>
        <v/>
      </c>
      <c r="BZ696" t="str">
        <f>""</f>
        <v/>
      </c>
      <c r="CA696" t="str">
        <f>""</f>
        <v/>
      </c>
      <c r="CB696" t="str">
        <f>""</f>
        <v/>
      </c>
      <c r="CC696" t="str">
        <f>""</f>
        <v/>
      </c>
      <c r="CD696" t="str">
        <f>""</f>
        <v/>
      </c>
      <c r="CE696" t="str">
        <f>""</f>
        <v/>
      </c>
      <c r="CF696" t="str">
        <f>""</f>
        <v/>
      </c>
      <c r="CG696" t="str">
        <f>""</f>
        <v/>
      </c>
      <c r="CH696" t="str">
        <f>""</f>
        <v/>
      </c>
      <c r="CI696" t="str">
        <f>""</f>
        <v/>
      </c>
      <c r="CJ696" t="str">
        <f>""</f>
        <v/>
      </c>
      <c r="CK696" t="str">
        <f>""</f>
        <v/>
      </c>
      <c r="CL696" t="str">
        <f>""</f>
        <v/>
      </c>
      <c r="CM696" t="str">
        <f>""</f>
        <v/>
      </c>
      <c r="CN696" t="str">
        <f>""</f>
        <v/>
      </c>
      <c r="CO696" t="str">
        <f>""</f>
        <v/>
      </c>
      <c r="CP696" t="str">
        <f>""</f>
        <v/>
      </c>
      <c r="CQ696" t="str">
        <f>""</f>
        <v/>
      </c>
      <c r="CR696" t="str">
        <f>""</f>
        <v/>
      </c>
      <c r="CS696" t="str">
        <f>""</f>
        <v/>
      </c>
      <c r="CT696" t="str">
        <f>""</f>
        <v/>
      </c>
      <c r="CU696" t="str">
        <f>""</f>
        <v/>
      </c>
      <c r="CV696" t="str">
        <f>""</f>
        <v/>
      </c>
      <c r="CW696" t="str">
        <f>""</f>
        <v/>
      </c>
      <c r="CX696" t="str">
        <f>""</f>
        <v/>
      </c>
      <c r="CY696" t="str">
        <f>""</f>
        <v/>
      </c>
      <c r="CZ696" t="str">
        <f>""</f>
        <v/>
      </c>
      <c r="DA696" t="str">
        <f>""</f>
        <v/>
      </c>
      <c r="DB696" t="str">
        <f>""</f>
        <v/>
      </c>
      <c r="DC696" t="str">
        <f>""</f>
        <v/>
      </c>
      <c r="DD696" t="str">
        <f>""</f>
        <v/>
      </c>
      <c r="DE696" t="str">
        <f>""</f>
        <v/>
      </c>
      <c r="DF696" t="str">
        <f>""</f>
        <v/>
      </c>
      <c r="DG696" t="str">
        <f>""</f>
        <v/>
      </c>
      <c r="DH696" t="str">
        <f>""</f>
        <v/>
      </c>
      <c r="DI696" t="str">
        <f>""</f>
        <v/>
      </c>
      <c r="DJ696" t="str">
        <f>""</f>
        <v/>
      </c>
      <c r="DK696" t="str">
        <f>""</f>
        <v/>
      </c>
      <c r="DL696" t="str">
        <f>""</f>
        <v/>
      </c>
      <c r="DM696" t="str">
        <f>""</f>
        <v/>
      </c>
      <c r="DN696" t="str">
        <f>""</f>
        <v/>
      </c>
      <c r="DO696" t="str">
        <f>""</f>
        <v/>
      </c>
      <c r="DP696" t="str">
        <f>""</f>
        <v/>
      </c>
      <c r="DQ696" t="str">
        <f>""</f>
        <v/>
      </c>
      <c r="DR696" t="str">
        <f>""</f>
        <v/>
      </c>
      <c r="DS696" t="str">
        <f>""</f>
        <v/>
      </c>
      <c r="DT696" t="str">
        <f>""</f>
        <v/>
      </c>
      <c r="DU696" t="str">
        <f>""</f>
        <v/>
      </c>
    </row>
    <row r="697" spans="1:125" x14ac:dyDescent="0.25">
      <c r="A697" t="str">
        <f>$A$23</f>
        <v xml:space="preserve">    Guangzhou Automobile Group Co Ltd</v>
      </c>
      <c r="B697" t="str">
        <f>$B$23</f>
        <v>2238 HK Equity</v>
      </c>
      <c r="C697" t="str">
        <f>$C$23</f>
        <v>RR900</v>
      </c>
      <c r="D697" t="str">
        <f>$D$23</f>
        <v>PE_RATIO</v>
      </c>
      <c r="E697" t="str">
        <f>$E$23</f>
        <v>Dynamic</v>
      </c>
      <c r="F697" t="str">
        <f ca="1">_xll.BDH($B$23,$C$23,$B$675,$B$676,CONCATENATE("Per=",$B$673),"Dts=H","Dir=H",CONCATENATE("Points=",$B$674),"Sort=R","Days=A","Fill=B",CONCATENATE("FX=", $B$672) )</f>
        <v>#N/A Connection</v>
      </c>
      <c r="BN697" t="str">
        <f>""</f>
        <v/>
      </c>
      <c r="BO697" t="str">
        <f>""</f>
        <v/>
      </c>
      <c r="BP697" t="str">
        <f>""</f>
        <v/>
      </c>
      <c r="BQ697" t="str">
        <f>""</f>
        <v/>
      </c>
      <c r="BR697" t="str">
        <f>""</f>
        <v/>
      </c>
      <c r="BS697" t="str">
        <f>""</f>
        <v/>
      </c>
      <c r="BT697" t="str">
        <f>""</f>
        <v/>
      </c>
      <c r="BU697" t="str">
        <f>""</f>
        <v/>
      </c>
      <c r="BV697" t="str">
        <f>""</f>
        <v/>
      </c>
      <c r="BW697" t="str">
        <f>""</f>
        <v/>
      </c>
      <c r="BX697" t="str">
        <f>""</f>
        <v/>
      </c>
      <c r="BY697" t="str">
        <f>""</f>
        <v/>
      </c>
      <c r="BZ697" t="str">
        <f>""</f>
        <v/>
      </c>
      <c r="CA697" t="str">
        <f>""</f>
        <v/>
      </c>
      <c r="CB697" t="str">
        <f>""</f>
        <v/>
      </c>
      <c r="CC697" t="str">
        <f>""</f>
        <v/>
      </c>
      <c r="CD697" t="str">
        <f>""</f>
        <v/>
      </c>
      <c r="CE697" t="str">
        <f>""</f>
        <v/>
      </c>
      <c r="CF697" t="str">
        <f>""</f>
        <v/>
      </c>
      <c r="CG697" t="str">
        <f>""</f>
        <v/>
      </c>
      <c r="CH697" t="str">
        <f>""</f>
        <v/>
      </c>
      <c r="CI697" t="str">
        <f>""</f>
        <v/>
      </c>
      <c r="CJ697" t="str">
        <f>""</f>
        <v/>
      </c>
      <c r="CK697" t="str">
        <f>""</f>
        <v/>
      </c>
      <c r="CL697" t="str">
        <f>""</f>
        <v/>
      </c>
      <c r="CM697" t="str">
        <f>""</f>
        <v/>
      </c>
      <c r="CN697" t="str">
        <f>""</f>
        <v/>
      </c>
      <c r="CO697" t="str">
        <f>""</f>
        <v/>
      </c>
      <c r="CP697" t="str">
        <f>""</f>
        <v/>
      </c>
      <c r="CQ697" t="str">
        <f>""</f>
        <v/>
      </c>
      <c r="CR697" t="str">
        <f>""</f>
        <v/>
      </c>
      <c r="CS697" t="str">
        <f>""</f>
        <v/>
      </c>
      <c r="CT697" t="str">
        <f>""</f>
        <v/>
      </c>
      <c r="CU697" t="str">
        <f>""</f>
        <v/>
      </c>
      <c r="CV697" t="str">
        <f>""</f>
        <v/>
      </c>
      <c r="CW697" t="str">
        <f>""</f>
        <v/>
      </c>
      <c r="CX697" t="str">
        <f>""</f>
        <v/>
      </c>
      <c r="CY697" t="str">
        <f>""</f>
        <v/>
      </c>
      <c r="CZ697" t="str">
        <f>""</f>
        <v/>
      </c>
      <c r="DA697" t="str">
        <f>""</f>
        <v/>
      </c>
      <c r="DB697" t="str">
        <f>""</f>
        <v/>
      </c>
      <c r="DC697" t="str">
        <f>""</f>
        <v/>
      </c>
      <c r="DD697" t="str">
        <f>""</f>
        <v/>
      </c>
      <c r="DE697" t="str">
        <f>""</f>
        <v/>
      </c>
      <c r="DF697" t="str">
        <f>""</f>
        <v/>
      </c>
      <c r="DG697" t="str">
        <f>""</f>
        <v/>
      </c>
      <c r="DH697" t="str">
        <f>""</f>
        <v/>
      </c>
      <c r="DI697" t="str">
        <f>""</f>
        <v/>
      </c>
      <c r="DJ697" t="str">
        <f>""</f>
        <v/>
      </c>
      <c r="DK697" t="str">
        <f>""</f>
        <v/>
      </c>
      <c r="DL697" t="str">
        <f>""</f>
        <v/>
      </c>
      <c r="DM697" t="str">
        <f>""</f>
        <v/>
      </c>
      <c r="DN697" t="str">
        <f>""</f>
        <v/>
      </c>
      <c r="DO697" t="str">
        <f>""</f>
        <v/>
      </c>
      <c r="DP697" t="str">
        <f>""</f>
        <v/>
      </c>
      <c r="DQ697" t="str">
        <f>""</f>
        <v/>
      </c>
      <c r="DR697" t="str">
        <f>""</f>
        <v/>
      </c>
      <c r="DS697" t="str">
        <f>""</f>
        <v/>
      </c>
      <c r="DT697" t="str">
        <f>""</f>
        <v/>
      </c>
      <c r="DU697" t="str">
        <f>""</f>
        <v/>
      </c>
    </row>
    <row r="698" spans="1:125" x14ac:dyDescent="0.25">
      <c r="A698" t="str">
        <f>$A$24</f>
        <v xml:space="preserve">    Honda Motor Co Ltd</v>
      </c>
      <c r="B698" t="str">
        <f>$B$24</f>
        <v>7267 JP Equity</v>
      </c>
      <c r="C698" t="str">
        <f>$C$24</f>
        <v>RR900</v>
      </c>
      <c r="D698" t="str">
        <f>$D$24</f>
        <v>PE_RATIO</v>
      </c>
      <c r="E698" t="str">
        <f>$E$24</f>
        <v>Dynamic</v>
      </c>
      <c r="F698" t="str">
        <f ca="1">_xll.BDH($B$24,$C$24,$B$675,$B$676,CONCATENATE("Per=",$B$673),"Dts=H","Dir=H",CONCATENATE("Points=",$B$674),"Sort=R","Days=A","Fill=B",CONCATENATE("FX=", $B$672) )</f>
        <v>#N/A Connection</v>
      </c>
      <c r="BN698" t="str">
        <f>""</f>
        <v/>
      </c>
      <c r="BO698" t="str">
        <f>""</f>
        <v/>
      </c>
      <c r="BP698" t="str">
        <f>""</f>
        <v/>
      </c>
      <c r="BQ698" t="str">
        <f>""</f>
        <v/>
      </c>
      <c r="BR698" t="str">
        <f>""</f>
        <v/>
      </c>
      <c r="BS698" t="str">
        <f>""</f>
        <v/>
      </c>
      <c r="BT698" t="str">
        <f>""</f>
        <v/>
      </c>
      <c r="BU698" t="str">
        <f>""</f>
        <v/>
      </c>
      <c r="BV698" t="str">
        <f>""</f>
        <v/>
      </c>
      <c r="BW698" t="str">
        <f>""</f>
        <v/>
      </c>
      <c r="BX698" t="str">
        <f>""</f>
        <v/>
      </c>
      <c r="BY698" t="str">
        <f>""</f>
        <v/>
      </c>
      <c r="BZ698" t="str">
        <f>""</f>
        <v/>
      </c>
      <c r="CA698" t="str">
        <f>""</f>
        <v/>
      </c>
      <c r="CB698" t="str">
        <f>""</f>
        <v/>
      </c>
      <c r="CC698" t="str">
        <f>""</f>
        <v/>
      </c>
      <c r="CD698" t="str">
        <f>""</f>
        <v/>
      </c>
      <c r="CE698" t="str">
        <f>""</f>
        <v/>
      </c>
      <c r="CF698" t="str">
        <f>""</f>
        <v/>
      </c>
      <c r="CG698" t="str">
        <f>""</f>
        <v/>
      </c>
      <c r="CH698" t="str">
        <f>""</f>
        <v/>
      </c>
      <c r="CI698" t="str">
        <f>""</f>
        <v/>
      </c>
      <c r="CJ698" t="str">
        <f>""</f>
        <v/>
      </c>
      <c r="CK698" t="str">
        <f>""</f>
        <v/>
      </c>
      <c r="CL698" t="str">
        <f>""</f>
        <v/>
      </c>
      <c r="CM698" t="str">
        <f>""</f>
        <v/>
      </c>
      <c r="CN698" t="str">
        <f>""</f>
        <v/>
      </c>
      <c r="CO698" t="str">
        <f>""</f>
        <v/>
      </c>
      <c r="CP698" t="str">
        <f>""</f>
        <v/>
      </c>
      <c r="CQ698" t="str">
        <f>""</f>
        <v/>
      </c>
      <c r="CR698" t="str">
        <f>""</f>
        <v/>
      </c>
      <c r="CS698" t="str">
        <f>""</f>
        <v/>
      </c>
      <c r="CT698" t="str">
        <f>""</f>
        <v/>
      </c>
      <c r="CU698" t="str">
        <f>""</f>
        <v/>
      </c>
      <c r="CV698" t="str">
        <f>""</f>
        <v/>
      </c>
      <c r="CW698" t="str">
        <f>""</f>
        <v/>
      </c>
      <c r="CX698" t="str">
        <f>""</f>
        <v/>
      </c>
      <c r="CY698" t="str">
        <f>""</f>
        <v/>
      </c>
      <c r="CZ698" t="str">
        <f>""</f>
        <v/>
      </c>
      <c r="DA698" t="str">
        <f>""</f>
        <v/>
      </c>
      <c r="DB698" t="str">
        <f>""</f>
        <v/>
      </c>
      <c r="DC698" t="str">
        <f>""</f>
        <v/>
      </c>
      <c r="DD698" t="str">
        <f>""</f>
        <v/>
      </c>
      <c r="DE698" t="str">
        <f>""</f>
        <v/>
      </c>
      <c r="DF698" t="str">
        <f>""</f>
        <v/>
      </c>
      <c r="DG698" t="str">
        <f>""</f>
        <v/>
      </c>
      <c r="DH698" t="str">
        <f>""</f>
        <v/>
      </c>
      <c r="DI698" t="str">
        <f>""</f>
        <v/>
      </c>
      <c r="DJ698" t="str">
        <f>""</f>
        <v/>
      </c>
      <c r="DK698" t="str">
        <f>""</f>
        <v/>
      </c>
      <c r="DL698" t="str">
        <f>""</f>
        <v/>
      </c>
      <c r="DM698" t="str">
        <f>""</f>
        <v/>
      </c>
      <c r="DN698" t="str">
        <f>""</f>
        <v/>
      </c>
      <c r="DO698" t="str">
        <f>""</f>
        <v/>
      </c>
      <c r="DP698" t="str">
        <f>""</f>
        <v/>
      </c>
      <c r="DQ698" t="str">
        <f>""</f>
        <v/>
      </c>
      <c r="DR698" t="str">
        <f>""</f>
        <v/>
      </c>
      <c r="DS698" t="str">
        <f>""</f>
        <v/>
      </c>
      <c r="DT698" t="str">
        <f>""</f>
        <v/>
      </c>
      <c r="DU698" t="str">
        <f>""</f>
        <v/>
      </c>
    </row>
    <row r="699" spans="1:125" x14ac:dyDescent="0.25">
      <c r="A699" t="str">
        <f>$A$25</f>
        <v xml:space="preserve">    Hyundai Motor Co</v>
      </c>
      <c r="B699" t="str">
        <f>$B$25</f>
        <v>005380 KS Equity</v>
      </c>
      <c r="C699" t="str">
        <f>$C$25</f>
        <v>RR900</v>
      </c>
      <c r="D699" t="str">
        <f>$D$25</f>
        <v>PE_RATIO</v>
      </c>
      <c r="E699" t="str">
        <f>$E$25</f>
        <v>Dynamic</v>
      </c>
      <c r="F699" t="str">
        <f ca="1">_xll.BDH($B$25,$C$25,$B$675,$B$676,CONCATENATE("Per=",$B$673),"Dts=H","Dir=H",CONCATENATE("Points=",$B$674),"Sort=R","Days=A","Fill=B",CONCATENATE("FX=", $B$672) )</f>
        <v>#N/A Connection</v>
      </c>
      <c r="BN699" t="str">
        <f>""</f>
        <v/>
      </c>
      <c r="BO699" t="str">
        <f>""</f>
        <v/>
      </c>
      <c r="BP699" t="str">
        <f>""</f>
        <v/>
      </c>
      <c r="BQ699" t="str">
        <f>""</f>
        <v/>
      </c>
      <c r="BR699" t="str">
        <f>""</f>
        <v/>
      </c>
      <c r="BS699" t="str">
        <f>""</f>
        <v/>
      </c>
      <c r="BT699" t="str">
        <f>""</f>
        <v/>
      </c>
      <c r="BU699" t="str">
        <f>""</f>
        <v/>
      </c>
      <c r="BV699" t="str">
        <f>""</f>
        <v/>
      </c>
      <c r="BW699" t="str">
        <f>""</f>
        <v/>
      </c>
      <c r="BX699" t="str">
        <f>""</f>
        <v/>
      </c>
      <c r="BY699" t="str">
        <f>""</f>
        <v/>
      </c>
      <c r="BZ699" t="str">
        <f>""</f>
        <v/>
      </c>
      <c r="CA699" t="str">
        <f>""</f>
        <v/>
      </c>
      <c r="CB699" t="str">
        <f>""</f>
        <v/>
      </c>
      <c r="CC699" t="str">
        <f>""</f>
        <v/>
      </c>
      <c r="CD699" t="str">
        <f>""</f>
        <v/>
      </c>
      <c r="CE699" t="str">
        <f>""</f>
        <v/>
      </c>
      <c r="CF699" t="str">
        <f>""</f>
        <v/>
      </c>
      <c r="CG699" t="str">
        <f>""</f>
        <v/>
      </c>
      <c r="CH699" t="str">
        <f>""</f>
        <v/>
      </c>
      <c r="CI699" t="str">
        <f>""</f>
        <v/>
      </c>
      <c r="CJ699" t="str">
        <f>""</f>
        <v/>
      </c>
      <c r="CK699" t="str">
        <f>""</f>
        <v/>
      </c>
      <c r="CL699" t="str">
        <f>""</f>
        <v/>
      </c>
      <c r="CM699" t="str">
        <f>""</f>
        <v/>
      </c>
      <c r="CN699" t="str">
        <f>""</f>
        <v/>
      </c>
      <c r="CO699" t="str">
        <f>""</f>
        <v/>
      </c>
      <c r="CP699" t="str">
        <f>""</f>
        <v/>
      </c>
      <c r="CQ699" t="str">
        <f>""</f>
        <v/>
      </c>
      <c r="CR699" t="str">
        <f>""</f>
        <v/>
      </c>
      <c r="CS699" t="str">
        <f>""</f>
        <v/>
      </c>
      <c r="CT699" t="str">
        <f>""</f>
        <v/>
      </c>
      <c r="CU699" t="str">
        <f>""</f>
        <v/>
      </c>
      <c r="CV699" t="str">
        <f>""</f>
        <v/>
      </c>
      <c r="CW699" t="str">
        <f>""</f>
        <v/>
      </c>
      <c r="CX699" t="str">
        <f>""</f>
        <v/>
      </c>
      <c r="CY699" t="str">
        <f>""</f>
        <v/>
      </c>
      <c r="CZ699" t="str">
        <f>""</f>
        <v/>
      </c>
      <c r="DA699" t="str">
        <f>""</f>
        <v/>
      </c>
      <c r="DB699" t="str">
        <f>""</f>
        <v/>
      </c>
      <c r="DC699" t="str">
        <f>""</f>
        <v/>
      </c>
      <c r="DD699" t="str">
        <f>""</f>
        <v/>
      </c>
      <c r="DE699" t="str">
        <f>""</f>
        <v/>
      </c>
      <c r="DF699" t="str">
        <f>""</f>
        <v/>
      </c>
      <c r="DG699" t="str">
        <f>""</f>
        <v/>
      </c>
      <c r="DH699" t="str">
        <f>""</f>
        <v/>
      </c>
      <c r="DI699" t="str">
        <f>""</f>
        <v/>
      </c>
      <c r="DJ699" t="str">
        <f>""</f>
        <v/>
      </c>
      <c r="DK699" t="str">
        <f>""</f>
        <v/>
      </c>
      <c r="DL699" t="str">
        <f>""</f>
        <v/>
      </c>
      <c r="DM699" t="str">
        <f>""</f>
        <v/>
      </c>
      <c r="DN699" t="str">
        <f>""</f>
        <v/>
      </c>
      <c r="DO699" t="str">
        <f>""</f>
        <v/>
      </c>
      <c r="DP699" t="str">
        <f>""</f>
        <v/>
      </c>
      <c r="DQ699" t="str">
        <f>""</f>
        <v/>
      </c>
      <c r="DR699" t="str">
        <f>""</f>
        <v/>
      </c>
      <c r="DS699" t="str">
        <f>""</f>
        <v/>
      </c>
      <c r="DT699" t="str">
        <f>""</f>
        <v/>
      </c>
      <c r="DU699" t="str">
        <f>""</f>
        <v/>
      </c>
    </row>
    <row r="700" spans="1:125" x14ac:dyDescent="0.25">
      <c r="A700" t="str">
        <f>$A$26</f>
        <v xml:space="preserve">    Kia Motors Corp</v>
      </c>
      <c r="B700" t="str">
        <f>$B$26</f>
        <v>000270 KS Equity</v>
      </c>
      <c r="C700" t="str">
        <f>$C$26</f>
        <v>RR900</v>
      </c>
      <c r="D700" t="str">
        <f>$D$26</f>
        <v>PE_RATIO</v>
      </c>
      <c r="E700" t="str">
        <f>$E$26</f>
        <v>Dynamic</v>
      </c>
      <c r="F700" t="str">
        <f ca="1">_xll.BDH($B$26,$C$26,$B$675,$B$676,CONCATENATE("Per=",$B$673),"Dts=H","Dir=H",CONCATENATE("Points=",$B$674),"Sort=R","Days=A","Fill=B",CONCATENATE("FX=", $B$672) )</f>
        <v>#N/A Connection</v>
      </c>
      <c r="BN700" t="str">
        <f>""</f>
        <v/>
      </c>
      <c r="BO700" t="str">
        <f>""</f>
        <v/>
      </c>
      <c r="BP700" t="str">
        <f>""</f>
        <v/>
      </c>
      <c r="BQ700" t="str">
        <f>""</f>
        <v/>
      </c>
      <c r="BR700" t="str">
        <f>""</f>
        <v/>
      </c>
      <c r="BS700" t="str">
        <f>""</f>
        <v/>
      </c>
      <c r="BT700" t="str">
        <f>""</f>
        <v/>
      </c>
      <c r="BU700" t="str">
        <f>""</f>
        <v/>
      </c>
      <c r="BV700" t="str">
        <f>""</f>
        <v/>
      </c>
      <c r="BW700" t="str">
        <f>""</f>
        <v/>
      </c>
      <c r="BX700" t="str">
        <f>""</f>
        <v/>
      </c>
      <c r="BY700" t="str">
        <f>""</f>
        <v/>
      </c>
      <c r="BZ700" t="str">
        <f>""</f>
        <v/>
      </c>
      <c r="CA700" t="str">
        <f>""</f>
        <v/>
      </c>
      <c r="CB700" t="str">
        <f>""</f>
        <v/>
      </c>
      <c r="CC700" t="str">
        <f>""</f>
        <v/>
      </c>
      <c r="CD700" t="str">
        <f>""</f>
        <v/>
      </c>
      <c r="CE700" t="str">
        <f>""</f>
        <v/>
      </c>
      <c r="CF700" t="str">
        <f>""</f>
        <v/>
      </c>
      <c r="CG700" t="str">
        <f>""</f>
        <v/>
      </c>
      <c r="CH700" t="str">
        <f>""</f>
        <v/>
      </c>
      <c r="CI700" t="str">
        <f>""</f>
        <v/>
      </c>
      <c r="CJ700" t="str">
        <f>""</f>
        <v/>
      </c>
      <c r="CK700" t="str">
        <f>""</f>
        <v/>
      </c>
      <c r="CL700" t="str">
        <f>""</f>
        <v/>
      </c>
      <c r="CM700" t="str">
        <f>""</f>
        <v/>
      </c>
      <c r="CN700" t="str">
        <f>""</f>
        <v/>
      </c>
      <c r="CO700" t="str">
        <f>""</f>
        <v/>
      </c>
      <c r="CP700" t="str">
        <f>""</f>
        <v/>
      </c>
      <c r="CQ700" t="str">
        <f>""</f>
        <v/>
      </c>
      <c r="CR700" t="str">
        <f>""</f>
        <v/>
      </c>
      <c r="CS700" t="str">
        <f>""</f>
        <v/>
      </c>
      <c r="CT700" t="str">
        <f>""</f>
        <v/>
      </c>
      <c r="CU700" t="str">
        <f>""</f>
        <v/>
      </c>
      <c r="CV700" t="str">
        <f>""</f>
        <v/>
      </c>
      <c r="CW700" t="str">
        <f>""</f>
        <v/>
      </c>
      <c r="CX700" t="str">
        <f>""</f>
        <v/>
      </c>
      <c r="CY700" t="str">
        <f>""</f>
        <v/>
      </c>
      <c r="CZ700" t="str">
        <f>""</f>
        <v/>
      </c>
      <c r="DA700" t="str">
        <f>""</f>
        <v/>
      </c>
      <c r="DB700" t="str">
        <f>""</f>
        <v/>
      </c>
      <c r="DC700" t="str">
        <f>""</f>
        <v/>
      </c>
      <c r="DD700" t="str">
        <f>""</f>
        <v/>
      </c>
      <c r="DE700" t="str">
        <f>""</f>
        <v/>
      </c>
      <c r="DF700" t="str">
        <f>""</f>
        <v/>
      </c>
      <c r="DG700" t="str">
        <f>""</f>
        <v/>
      </c>
      <c r="DH700" t="str">
        <f>""</f>
        <v/>
      </c>
      <c r="DI700" t="str">
        <f>""</f>
        <v/>
      </c>
      <c r="DJ700" t="str">
        <f>""</f>
        <v/>
      </c>
      <c r="DK700" t="str">
        <f>""</f>
        <v/>
      </c>
      <c r="DL700" t="str">
        <f>""</f>
        <v/>
      </c>
      <c r="DM700" t="str">
        <f>""</f>
        <v/>
      </c>
      <c r="DN700" t="str">
        <f>""</f>
        <v/>
      </c>
      <c r="DO700" t="str">
        <f>""</f>
        <v/>
      </c>
      <c r="DP700" t="str">
        <f>""</f>
        <v/>
      </c>
      <c r="DQ700" t="str">
        <f>""</f>
        <v/>
      </c>
      <c r="DR700" t="str">
        <f>""</f>
        <v/>
      </c>
      <c r="DS700" t="str">
        <f>""</f>
        <v/>
      </c>
      <c r="DT700" t="str">
        <f>""</f>
        <v/>
      </c>
      <c r="DU700" t="str">
        <f>""</f>
        <v/>
      </c>
    </row>
    <row r="701" spans="1:125" x14ac:dyDescent="0.25">
      <c r="A701" t="str">
        <f>$A$27</f>
        <v xml:space="preserve">    Mazda Motor Corp</v>
      </c>
      <c r="B701" t="str">
        <f>$B$27</f>
        <v>7261 JP Equity</v>
      </c>
      <c r="C701" t="str">
        <f>$C$27</f>
        <v>RR900</v>
      </c>
      <c r="D701" t="str">
        <f>$D$27</f>
        <v>PE_RATIO</v>
      </c>
      <c r="E701" t="str">
        <f>$E$27</f>
        <v>Dynamic</v>
      </c>
      <c r="F701" t="str">
        <f ca="1">_xll.BDH($B$27,$C$27,$B$675,$B$676,CONCATENATE("Per=",$B$673),"Dts=H","Dir=H",CONCATENATE("Points=",$B$674),"Sort=R","Days=A","Fill=B",CONCATENATE("FX=", $B$672) )</f>
        <v>#N/A Connection</v>
      </c>
      <c r="BN701" t="str">
        <f>""</f>
        <v/>
      </c>
      <c r="BO701" t="str">
        <f>""</f>
        <v/>
      </c>
      <c r="BP701" t="str">
        <f>""</f>
        <v/>
      </c>
      <c r="BQ701" t="str">
        <f>""</f>
        <v/>
      </c>
      <c r="BR701" t="str">
        <f>""</f>
        <v/>
      </c>
      <c r="BS701" t="str">
        <f>""</f>
        <v/>
      </c>
      <c r="BT701" t="str">
        <f>""</f>
        <v/>
      </c>
      <c r="BU701" t="str">
        <f>""</f>
        <v/>
      </c>
      <c r="BV701" t="str">
        <f>""</f>
        <v/>
      </c>
      <c r="BW701" t="str">
        <f>""</f>
        <v/>
      </c>
      <c r="BX701" t="str">
        <f>""</f>
        <v/>
      </c>
      <c r="BY701" t="str">
        <f>""</f>
        <v/>
      </c>
      <c r="BZ701" t="str">
        <f>""</f>
        <v/>
      </c>
      <c r="CA701" t="str">
        <f>""</f>
        <v/>
      </c>
      <c r="CB701" t="str">
        <f>""</f>
        <v/>
      </c>
      <c r="CC701" t="str">
        <f>""</f>
        <v/>
      </c>
      <c r="CD701" t="str">
        <f>""</f>
        <v/>
      </c>
      <c r="CE701" t="str">
        <f>""</f>
        <v/>
      </c>
      <c r="CF701" t="str">
        <f>""</f>
        <v/>
      </c>
      <c r="CG701" t="str">
        <f>""</f>
        <v/>
      </c>
      <c r="CH701" t="str">
        <f>""</f>
        <v/>
      </c>
      <c r="CI701" t="str">
        <f>""</f>
        <v/>
      </c>
      <c r="CJ701" t="str">
        <f>""</f>
        <v/>
      </c>
      <c r="CK701" t="str">
        <f>""</f>
        <v/>
      </c>
      <c r="CL701" t="str">
        <f>""</f>
        <v/>
      </c>
      <c r="CM701" t="str">
        <f>""</f>
        <v/>
      </c>
      <c r="CN701" t="str">
        <f>""</f>
        <v/>
      </c>
      <c r="CO701" t="str">
        <f>""</f>
        <v/>
      </c>
      <c r="CP701" t="str">
        <f>""</f>
        <v/>
      </c>
      <c r="CQ701" t="str">
        <f>""</f>
        <v/>
      </c>
      <c r="CR701" t="str">
        <f>""</f>
        <v/>
      </c>
      <c r="CS701" t="str">
        <f>""</f>
        <v/>
      </c>
      <c r="CT701" t="str">
        <f>""</f>
        <v/>
      </c>
      <c r="CU701" t="str">
        <f>""</f>
        <v/>
      </c>
      <c r="CV701" t="str">
        <f>""</f>
        <v/>
      </c>
      <c r="CW701" t="str">
        <f>""</f>
        <v/>
      </c>
      <c r="CX701" t="str">
        <f>""</f>
        <v/>
      </c>
      <c r="CY701" t="str">
        <f>""</f>
        <v/>
      </c>
      <c r="CZ701" t="str">
        <f>""</f>
        <v/>
      </c>
      <c r="DA701" t="str">
        <f>""</f>
        <v/>
      </c>
      <c r="DB701" t="str">
        <f>""</f>
        <v/>
      </c>
      <c r="DC701" t="str">
        <f>""</f>
        <v/>
      </c>
      <c r="DD701" t="str">
        <f>""</f>
        <v/>
      </c>
      <c r="DE701" t="str">
        <f>""</f>
        <v/>
      </c>
      <c r="DF701" t="str">
        <f>""</f>
        <v/>
      </c>
      <c r="DG701" t="str">
        <f>""</f>
        <v/>
      </c>
      <c r="DH701" t="str">
        <f>""</f>
        <v/>
      </c>
      <c r="DI701" t="str">
        <f>""</f>
        <v/>
      </c>
      <c r="DJ701" t="str">
        <f>""</f>
        <v/>
      </c>
      <c r="DK701" t="str">
        <f>""</f>
        <v/>
      </c>
      <c r="DL701" t="str">
        <f>""</f>
        <v/>
      </c>
      <c r="DM701" t="str">
        <f>""</f>
        <v/>
      </c>
      <c r="DN701" t="str">
        <f>""</f>
        <v/>
      </c>
      <c r="DO701" t="str">
        <f>""</f>
        <v/>
      </c>
      <c r="DP701" t="str">
        <f>""</f>
        <v/>
      </c>
      <c r="DQ701" t="str">
        <f>""</f>
        <v/>
      </c>
      <c r="DR701" t="str">
        <f>""</f>
        <v/>
      </c>
      <c r="DS701" t="str">
        <f>""</f>
        <v/>
      </c>
      <c r="DT701" t="str">
        <f>""</f>
        <v/>
      </c>
      <c r="DU701" t="str">
        <f>""</f>
        <v/>
      </c>
    </row>
    <row r="702" spans="1:125" x14ac:dyDescent="0.25">
      <c r="A702" t="str">
        <f>$A$28</f>
        <v xml:space="preserve">    Mitsubishi Motors Corp</v>
      </c>
      <c r="B702" t="str">
        <f>$B$28</f>
        <v>7211 JP Equity</v>
      </c>
      <c r="C702" t="str">
        <f>$C$28</f>
        <v>RR900</v>
      </c>
      <c r="D702" t="str">
        <f>$D$28</f>
        <v>PE_RATIO</v>
      </c>
      <c r="E702" t="str">
        <f>$E$28</f>
        <v>Dynamic</v>
      </c>
      <c r="F702" t="str">
        <f ca="1">_xll.BDH($B$28,$C$28,$B$675,$B$676,CONCATENATE("Per=",$B$673),"Dts=H","Dir=H",CONCATENATE("Points=",$B$674),"Sort=R","Days=A","Fill=B",CONCATENATE("FX=", $B$672) )</f>
        <v>#N/A Connection</v>
      </c>
      <c r="BN702" t="str">
        <f>""</f>
        <v/>
      </c>
      <c r="BO702" t="str">
        <f>""</f>
        <v/>
      </c>
      <c r="BP702" t="str">
        <f>""</f>
        <v/>
      </c>
      <c r="BQ702" t="str">
        <f>""</f>
        <v/>
      </c>
      <c r="BR702" t="str">
        <f>""</f>
        <v/>
      </c>
      <c r="BS702" t="str">
        <f>""</f>
        <v/>
      </c>
      <c r="BT702" t="str">
        <f>""</f>
        <v/>
      </c>
      <c r="BU702" t="str">
        <f>""</f>
        <v/>
      </c>
      <c r="BV702" t="str">
        <f>""</f>
        <v/>
      </c>
      <c r="BW702" t="str">
        <f>""</f>
        <v/>
      </c>
      <c r="BX702" t="str">
        <f>""</f>
        <v/>
      </c>
      <c r="BY702" t="str">
        <f>""</f>
        <v/>
      </c>
      <c r="BZ702" t="str">
        <f>""</f>
        <v/>
      </c>
      <c r="CA702" t="str">
        <f>""</f>
        <v/>
      </c>
      <c r="CB702" t="str">
        <f>""</f>
        <v/>
      </c>
      <c r="CC702" t="str">
        <f>""</f>
        <v/>
      </c>
      <c r="CD702" t="str">
        <f>""</f>
        <v/>
      </c>
      <c r="CE702" t="str">
        <f>""</f>
        <v/>
      </c>
      <c r="CF702" t="str">
        <f>""</f>
        <v/>
      </c>
      <c r="CG702" t="str">
        <f>""</f>
        <v/>
      </c>
      <c r="CH702" t="str">
        <f>""</f>
        <v/>
      </c>
      <c r="CI702" t="str">
        <f>""</f>
        <v/>
      </c>
      <c r="CJ702" t="str">
        <f>""</f>
        <v/>
      </c>
      <c r="CK702" t="str">
        <f>""</f>
        <v/>
      </c>
      <c r="CL702" t="str">
        <f>""</f>
        <v/>
      </c>
      <c r="CM702" t="str">
        <f>""</f>
        <v/>
      </c>
      <c r="CN702" t="str">
        <f>""</f>
        <v/>
      </c>
      <c r="CO702" t="str">
        <f>""</f>
        <v/>
      </c>
      <c r="CP702" t="str">
        <f>""</f>
        <v/>
      </c>
      <c r="CQ702" t="str">
        <f>""</f>
        <v/>
      </c>
      <c r="CR702" t="str">
        <f>""</f>
        <v/>
      </c>
      <c r="CS702" t="str">
        <f>""</f>
        <v/>
      </c>
      <c r="CT702" t="str">
        <f>""</f>
        <v/>
      </c>
      <c r="CU702" t="str">
        <f>""</f>
        <v/>
      </c>
      <c r="CV702" t="str">
        <f>""</f>
        <v/>
      </c>
      <c r="CW702" t="str">
        <f>""</f>
        <v/>
      </c>
      <c r="CX702" t="str">
        <f>""</f>
        <v/>
      </c>
      <c r="CY702" t="str">
        <f>""</f>
        <v/>
      </c>
      <c r="CZ702" t="str">
        <f>""</f>
        <v/>
      </c>
      <c r="DA702" t="str">
        <f>""</f>
        <v/>
      </c>
      <c r="DB702" t="str">
        <f>""</f>
        <v/>
      </c>
      <c r="DC702" t="str">
        <f>""</f>
        <v/>
      </c>
      <c r="DD702" t="str">
        <f>""</f>
        <v/>
      </c>
      <c r="DE702" t="str">
        <f>""</f>
        <v/>
      </c>
      <c r="DF702" t="str">
        <f>""</f>
        <v/>
      </c>
      <c r="DG702" t="str">
        <f>""</f>
        <v/>
      </c>
      <c r="DH702" t="str">
        <f>""</f>
        <v/>
      </c>
      <c r="DI702" t="str">
        <f>""</f>
        <v/>
      </c>
      <c r="DJ702" t="str">
        <f>""</f>
        <v/>
      </c>
      <c r="DK702" t="str">
        <f>""</f>
        <v/>
      </c>
      <c r="DL702" t="str">
        <f>""</f>
        <v/>
      </c>
      <c r="DM702" t="str">
        <f>""</f>
        <v/>
      </c>
      <c r="DN702" t="str">
        <f>""</f>
        <v/>
      </c>
      <c r="DO702" t="str">
        <f>""</f>
        <v/>
      </c>
      <c r="DP702" t="str">
        <f>""</f>
        <v/>
      </c>
      <c r="DQ702" t="str">
        <f>""</f>
        <v/>
      </c>
      <c r="DR702" t="str">
        <f>""</f>
        <v/>
      </c>
      <c r="DS702" t="str">
        <f>""</f>
        <v/>
      </c>
      <c r="DT702" t="str">
        <f>""</f>
        <v/>
      </c>
      <c r="DU702" t="str">
        <f>""</f>
        <v/>
      </c>
    </row>
    <row r="703" spans="1:125" x14ac:dyDescent="0.25">
      <c r="A703" t="str">
        <f>$A$29</f>
        <v xml:space="preserve">    Nissan Motor Co Ltd</v>
      </c>
      <c r="B703" t="str">
        <f>$B$29</f>
        <v>7201 JP Equity</v>
      </c>
      <c r="C703" t="str">
        <f>$C$29</f>
        <v>RR900</v>
      </c>
      <c r="D703" t="str">
        <f>$D$29</f>
        <v>PE_RATIO</v>
      </c>
      <c r="E703" t="str">
        <f>$E$29</f>
        <v>Dynamic</v>
      </c>
      <c r="F703" t="str">
        <f ca="1">_xll.BDH($B$29,$C$29,$B$675,$B$676,CONCATENATE("Per=",$B$673),"Dts=H","Dir=H",CONCATENATE("Points=",$B$674),"Sort=R","Days=A","Fill=B",CONCATENATE("FX=", $B$672) )</f>
        <v>#N/A Connection</v>
      </c>
      <c r="BN703" t="str">
        <f>""</f>
        <v/>
      </c>
      <c r="BO703" t="str">
        <f>""</f>
        <v/>
      </c>
      <c r="BP703" t="str">
        <f>""</f>
        <v/>
      </c>
      <c r="BQ703" t="str">
        <f>""</f>
        <v/>
      </c>
      <c r="BR703" t="str">
        <f>""</f>
        <v/>
      </c>
      <c r="BS703" t="str">
        <f>""</f>
        <v/>
      </c>
      <c r="BT703" t="str">
        <f>""</f>
        <v/>
      </c>
      <c r="BU703" t="str">
        <f>""</f>
        <v/>
      </c>
      <c r="BV703" t="str">
        <f>""</f>
        <v/>
      </c>
      <c r="BW703" t="str">
        <f>""</f>
        <v/>
      </c>
      <c r="BX703" t="str">
        <f>""</f>
        <v/>
      </c>
      <c r="BY703" t="str">
        <f>""</f>
        <v/>
      </c>
      <c r="BZ703" t="str">
        <f>""</f>
        <v/>
      </c>
      <c r="CA703" t="str">
        <f>""</f>
        <v/>
      </c>
      <c r="CB703" t="str">
        <f>""</f>
        <v/>
      </c>
      <c r="CC703" t="str">
        <f>""</f>
        <v/>
      </c>
      <c r="CD703" t="str">
        <f>""</f>
        <v/>
      </c>
      <c r="CE703" t="str">
        <f>""</f>
        <v/>
      </c>
      <c r="CF703" t="str">
        <f>""</f>
        <v/>
      </c>
      <c r="CG703" t="str">
        <f>""</f>
        <v/>
      </c>
      <c r="CH703" t="str">
        <f>""</f>
        <v/>
      </c>
      <c r="CI703" t="str">
        <f>""</f>
        <v/>
      </c>
      <c r="CJ703" t="str">
        <f>""</f>
        <v/>
      </c>
      <c r="CK703" t="str">
        <f>""</f>
        <v/>
      </c>
      <c r="CL703" t="str">
        <f>""</f>
        <v/>
      </c>
      <c r="CM703" t="str">
        <f>""</f>
        <v/>
      </c>
      <c r="CN703" t="str">
        <f>""</f>
        <v/>
      </c>
      <c r="CO703" t="str">
        <f>""</f>
        <v/>
      </c>
      <c r="CP703" t="str">
        <f>""</f>
        <v/>
      </c>
      <c r="CQ703" t="str">
        <f>""</f>
        <v/>
      </c>
      <c r="CR703" t="str">
        <f>""</f>
        <v/>
      </c>
      <c r="CS703" t="str">
        <f>""</f>
        <v/>
      </c>
      <c r="CT703" t="str">
        <f>""</f>
        <v/>
      </c>
      <c r="CU703" t="str">
        <f>""</f>
        <v/>
      </c>
      <c r="CV703" t="str">
        <f>""</f>
        <v/>
      </c>
      <c r="CW703" t="str">
        <f>""</f>
        <v/>
      </c>
      <c r="CX703" t="str">
        <f>""</f>
        <v/>
      </c>
      <c r="CY703" t="str">
        <f>""</f>
        <v/>
      </c>
      <c r="CZ703" t="str">
        <f>""</f>
        <v/>
      </c>
      <c r="DA703" t="str">
        <f>""</f>
        <v/>
      </c>
      <c r="DB703" t="str">
        <f>""</f>
        <v/>
      </c>
      <c r="DC703" t="str">
        <f>""</f>
        <v/>
      </c>
      <c r="DD703" t="str">
        <f>""</f>
        <v/>
      </c>
      <c r="DE703" t="str">
        <f>""</f>
        <v/>
      </c>
      <c r="DF703" t="str">
        <f>""</f>
        <v/>
      </c>
      <c r="DG703" t="str">
        <f>""</f>
        <v/>
      </c>
      <c r="DH703" t="str">
        <f>""</f>
        <v/>
      </c>
      <c r="DI703" t="str">
        <f>""</f>
        <v/>
      </c>
      <c r="DJ703" t="str">
        <f>""</f>
        <v/>
      </c>
      <c r="DK703" t="str">
        <f>""</f>
        <v/>
      </c>
      <c r="DL703" t="str">
        <f>""</f>
        <v/>
      </c>
      <c r="DM703" t="str">
        <f>""</f>
        <v/>
      </c>
      <c r="DN703" t="str">
        <f>""</f>
        <v/>
      </c>
      <c r="DO703" t="str">
        <f>""</f>
        <v/>
      </c>
      <c r="DP703" t="str">
        <f>""</f>
        <v/>
      </c>
      <c r="DQ703" t="str">
        <f>""</f>
        <v/>
      </c>
      <c r="DR703" t="str">
        <f>""</f>
        <v/>
      </c>
      <c r="DS703" t="str">
        <f>""</f>
        <v/>
      </c>
      <c r="DT703" t="str">
        <f>""</f>
        <v/>
      </c>
      <c r="DU703" t="str">
        <f>""</f>
        <v/>
      </c>
    </row>
    <row r="704" spans="1:125" x14ac:dyDescent="0.25">
      <c r="A704" t="str">
        <f>$A$30</f>
        <v xml:space="preserve">    Peugeot SA</v>
      </c>
      <c r="B704" t="str">
        <f>$B$30</f>
        <v>UG FP Equity</v>
      </c>
      <c r="C704" t="str">
        <f>$C$30</f>
        <v>RR900</v>
      </c>
      <c r="D704" t="str">
        <f>$D$30</f>
        <v>PE_RATIO</v>
      </c>
      <c r="E704" t="str">
        <f>$E$30</f>
        <v>Dynamic</v>
      </c>
      <c r="F704" t="str">
        <f ca="1">_xll.BDH($B$30,$C$30,$B$675,$B$676,CONCATENATE("Per=",$B$673),"Dts=H","Dir=H",CONCATENATE("Points=",$B$674),"Sort=R","Days=A","Fill=B",CONCATENATE("FX=", $B$672) )</f>
        <v>#N/A Connection</v>
      </c>
      <c r="BN704" t="str">
        <f>""</f>
        <v/>
      </c>
      <c r="BO704" t="str">
        <f>""</f>
        <v/>
      </c>
      <c r="BP704" t="str">
        <f>""</f>
        <v/>
      </c>
      <c r="BQ704" t="str">
        <f>""</f>
        <v/>
      </c>
      <c r="BR704" t="str">
        <f>""</f>
        <v/>
      </c>
      <c r="BS704" t="str">
        <f>""</f>
        <v/>
      </c>
      <c r="BT704" t="str">
        <f>""</f>
        <v/>
      </c>
      <c r="BU704" t="str">
        <f>""</f>
        <v/>
      </c>
      <c r="BV704" t="str">
        <f>""</f>
        <v/>
      </c>
      <c r="BW704" t="str">
        <f>""</f>
        <v/>
      </c>
      <c r="BX704" t="str">
        <f>""</f>
        <v/>
      </c>
      <c r="BY704" t="str">
        <f>""</f>
        <v/>
      </c>
      <c r="BZ704" t="str">
        <f>""</f>
        <v/>
      </c>
      <c r="CA704" t="str">
        <f>""</f>
        <v/>
      </c>
      <c r="CB704" t="str">
        <f>""</f>
        <v/>
      </c>
      <c r="CC704" t="str">
        <f>""</f>
        <v/>
      </c>
      <c r="CD704" t="str">
        <f>""</f>
        <v/>
      </c>
      <c r="CE704" t="str">
        <f>""</f>
        <v/>
      </c>
      <c r="CF704" t="str">
        <f>""</f>
        <v/>
      </c>
      <c r="CG704" t="str">
        <f>""</f>
        <v/>
      </c>
      <c r="CH704" t="str">
        <f>""</f>
        <v/>
      </c>
      <c r="CI704" t="str">
        <f>""</f>
        <v/>
      </c>
      <c r="CJ704" t="str">
        <f>""</f>
        <v/>
      </c>
      <c r="CK704" t="str">
        <f>""</f>
        <v/>
      </c>
      <c r="CL704" t="str">
        <f>""</f>
        <v/>
      </c>
      <c r="CM704" t="str">
        <f>""</f>
        <v/>
      </c>
      <c r="CN704" t="str">
        <f>""</f>
        <v/>
      </c>
      <c r="CO704" t="str">
        <f>""</f>
        <v/>
      </c>
      <c r="CP704" t="str">
        <f>""</f>
        <v/>
      </c>
      <c r="CQ704" t="str">
        <f>""</f>
        <v/>
      </c>
      <c r="CR704" t="str">
        <f>""</f>
        <v/>
      </c>
      <c r="CS704" t="str">
        <f>""</f>
        <v/>
      </c>
      <c r="CT704" t="str">
        <f>""</f>
        <v/>
      </c>
      <c r="CU704" t="str">
        <f>""</f>
        <v/>
      </c>
      <c r="CV704" t="str">
        <f>""</f>
        <v/>
      </c>
      <c r="CW704" t="str">
        <f>""</f>
        <v/>
      </c>
      <c r="CX704" t="str">
        <f>""</f>
        <v/>
      </c>
      <c r="CY704" t="str">
        <f>""</f>
        <v/>
      </c>
      <c r="CZ704" t="str">
        <f>""</f>
        <v/>
      </c>
      <c r="DA704" t="str">
        <f>""</f>
        <v/>
      </c>
      <c r="DB704" t="str">
        <f>""</f>
        <v/>
      </c>
      <c r="DC704" t="str">
        <f>""</f>
        <v/>
      </c>
      <c r="DD704" t="str">
        <f>""</f>
        <v/>
      </c>
      <c r="DE704" t="str">
        <f>""</f>
        <v/>
      </c>
      <c r="DF704" t="str">
        <f>""</f>
        <v/>
      </c>
      <c r="DG704" t="str">
        <f>""</f>
        <v/>
      </c>
      <c r="DH704" t="str">
        <f>""</f>
        <v/>
      </c>
      <c r="DI704" t="str">
        <f>""</f>
        <v/>
      </c>
      <c r="DJ704" t="str">
        <f>""</f>
        <v/>
      </c>
      <c r="DK704" t="str">
        <f>""</f>
        <v/>
      </c>
      <c r="DL704" t="str">
        <f>""</f>
        <v/>
      </c>
      <c r="DM704" t="str">
        <f>""</f>
        <v/>
      </c>
      <c r="DN704" t="str">
        <f>""</f>
        <v/>
      </c>
      <c r="DO704" t="str">
        <f>""</f>
        <v/>
      </c>
      <c r="DP704" t="str">
        <f>""</f>
        <v/>
      </c>
      <c r="DQ704" t="str">
        <f>""</f>
        <v/>
      </c>
      <c r="DR704" t="str">
        <f>""</f>
        <v/>
      </c>
      <c r="DS704" t="str">
        <f>""</f>
        <v/>
      </c>
      <c r="DT704" t="str">
        <f>""</f>
        <v/>
      </c>
      <c r="DU704" t="str">
        <f>""</f>
        <v/>
      </c>
    </row>
    <row r="705" spans="1:125" x14ac:dyDescent="0.25">
      <c r="A705" t="str">
        <f>$A$31</f>
        <v xml:space="preserve">    Renault SA</v>
      </c>
      <c r="B705" t="str">
        <f>$B$31</f>
        <v>RNO FP Equity</v>
      </c>
      <c r="C705" t="str">
        <f>$C$31</f>
        <v>RR900</v>
      </c>
      <c r="D705" t="str">
        <f>$D$31</f>
        <v>PE_RATIO</v>
      </c>
      <c r="E705" t="str">
        <f>$E$31</f>
        <v>Dynamic</v>
      </c>
      <c r="F705" t="str">
        <f ca="1">_xll.BDH($B$31,$C$31,$B$675,$B$676,CONCATENATE("Per=",$B$673),"Dts=H","Dir=H",CONCATENATE("Points=",$B$674),"Sort=R","Days=A","Fill=B",CONCATENATE("FX=", $B$672) )</f>
        <v>#N/A Connection</v>
      </c>
      <c r="BN705" t="str">
        <f>""</f>
        <v/>
      </c>
      <c r="BO705" t="str">
        <f>""</f>
        <v/>
      </c>
      <c r="BP705" t="str">
        <f>""</f>
        <v/>
      </c>
      <c r="BQ705" t="str">
        <f>""</f>
        <v/>
      </c>
      <c r="BR705" t="str">
        <f>""</f>
        <v/>
      </c>
      <c r="BS705" t="str">
        <f>""</f>
        <v/>
      </c>
      <c r="BT705" t="str">
        <f>""</f>
        <v/>
      </c>
      <c r="BU705" t="str">
        <f>""</f>
        <v/>
      </c>
      <c r="BV705" t="str">
        <f>""</f>
        <v/>
      </c>
      <c r="BW705" t="str">
        <f>""</f>
        <v/>
      </c>
      <c r="BX705" t="str">
        <f>""</f>
        <v/>
      </c>
      <c r="BY705" t="str">
        <f>""</f>
        <v/>
      </c>
      <c r="BZ705" t="str">
        <f>""</f>
        <v/>
      </c>
      <c r="CA705" t="str">
        <f>""</f>
        <v/>
      </c>
      <c r="CB705" t="str">
        <f>""</f>
        <v/>
      </c>
      <c r="CC705" t="str">
        <f>""</f>
        <v/>
      </c>
      <c r="CD705" t="str">
        <f>""</f>
        <v/>
      </c>
      <c r="CE705" t="str">
        <f>""</f>
        <v/>
      </c>
      <c r="CF705" t="str">
        <f>""</f>
        <v/>
      </c>
      <c r="CG705" t="str">
        <f>""</f>
        <v/>
      </c>
      <c r="CH705" t="str">
        <f>""</f>
        <v/>
      </c>
      <c r="CI705" t="str">
        <f>""</f>
        <v/>
      </c>
      <c r="CJ705" t="str">
        <f>""</f>
        <v/>
      </c>
      <c r="CK705" t="str">
        <f>""</f>
        <v/>
      </c>
      <c r="CL705" t="str">
        <f>""</f>
        <v/>
      </c>
      <c r="CM705" t="str">
        <f>""</f>
        <v/>
      </c>
      <c r="CN705" t="str">
        <f>""</f>
        <v/>
      </c>
      <c r="CO705" t="str">
        <f>""</f>
        <v/>
      </c>
      <c r="CP705" t="str">
        <f>""</f>
        <v/>
      </c>
      <c r="CQ705" t="str">
        <f>""</f>
        <v/>
      </c>
      <c r="CR705" t="str">
        <f>""</f>
        <v/>
      </c>
      <c r="CS705" t="str">
        <f>""</f>
        <v/>
      </c>
      <c r="CT705" t="str">
        <f>""</f>
        <v/>
      </c>
      <c r="CU705" t="str">
        <f>""</f>
        <v/>
      </c>
      <c r="CV705" t="str">
        <f>""</f>
        <v/>
      </c>
      <c r="CW705" t="str">
        <f>""</f>
        <v/>
      </c>
      <c r="CX705" t="str">
        <f>""</f>
        <v/>
      </c>
      <c r="CY705" t="str">
        <f>""</f>
        <v/>
      </c>
      <c r="CZ705" t="str">
        <f>""</f>
        <v/>
      </c>
      <c r="DA705" t="str">
        <f>""</f>
        <v/>
      </c>
      <c r="DB705" t="str">
        <f>""</f>
        <v/>
      </c>
      <c r="DC705" t="str">
        <f>""</f>
        <v/>
      </c>
      <c r="DD705" t="str">
        <f>""</f>
        <v/>
      </c>
      <c r="DE705" t="str">
        <f>""</f>
        <v/>
      </c>
      <c r="DF705" t="str">
        <f>""</f>
        <v/>
      </c>
      <c r="DG705" t="str">
        <f>""</f>
        <v/>
      </c>
      <c r="DH705" t="str">
        <f>""</f>
        <v/>
      </c>
      <c r="DI705" t="str">
        <f>""</f>
        <v/>
      </c>
      <c r="DJ705" t="str">
        <f>""</f>
        <v/>
      </c>
      <c r="DK705" t="str">
        <f>""</f>
        <v/>
      </c>
      <c r="DL705" t="str">
        <f>""</f>
        <v/>
      </c>
      <c r="DM705" t="str">
        <f>""</f>
        <v/>
      </c>
      <c r="DN705" t="str">
        <f>""</f>
        <v/>
      </c>
      <c r="DO705" t="str">
        <f>""</f>
        <v/>
      </c>
      <c r="DP705" t="str">
        <f>""</f>
        <v/>
      </c>
      <c r="DQ705" t="str">
        <f>""</f>
        <v/>
      </c>
      <c r="DR705" t="str">
        <f>""</f>
        <v/>
      </c>
      <c r="DS705" t="str">
        <f>""</f>
        <v/>
      </c>
      <c r="DT705" t="str">
        <f>""</f>
        <v/>
      </c>
      <c r="DU705" t="str">
        <f>""</f>
        <v/>
      </c>
    </row>
    <row r="706" spans="1:125" x14ac:dyDescent="0.25">
      <c r="A706" t="str">
        <f>$A$32</f>
        <v xml:space="preserve">    SAIC Motor Corp Ltd</v>
      </c>
      <c r="B706" t="str">
        <f>$B$32</f>
        <v>600104 CH Equity</v>
      </c>
      <c r="C706" t="str">
        <f>$C$32</f>
        <v>RR900</v>
      </c>
      <c r="D706" t="str">
        <f>$D$32</f>
        <v>PE_RATIO</v>
      </c>
      <c r="E706" t="str">
        <f>$E$32</f>
        <v>Dynamic</v>
      </c>
      <c r="F706" t="str">
        <f ca="1">_xll.BDH($B$32,$C$32,$B$675,$B$676,CONCATENATE("Per=",$B$673),"Dts=H","Dir=H",CONCATENATE("Points=",$B$674),"Sort=R","Days=A","Fill=B",CONCATENATE("FX=", $B$672) )</f>
        <v>#N/A Connection</v>
      </c>
      <c r="BN706" t="str">
        <f>""</f>
        <v/>
      </c>
      <c r="BO706" t="str">
        <f>""</f>
        <v/>
      </c>
      <c r="BP706" t="str">
        <f>""</f>
        <v/>
      </c>
      <c r="BQ706" t="str">
        <f>""</f>
        <v/>
      </c>
      <c r="BR706" t="str">
        <f>""</f>
        <v/>
      </c>
      <c r="BS706" t="str">
        <f>""</f>
        <v/>
      </c>
      <c r="BT706" t="str">
        <f>""</f>
        <v/>
      </c>
      <c r="BU706" t="str">
        <f>""</f>
        <v/>
      </c>
      <c r="BV706" t="str">
        <f>""</f>
        <v/>
      </c>
      <c r="BW706" t="str">
        <f>""</f>
        <v/>
      </c>
      <c r="BX706" t="str">
        <f>""</f>
        <v/>
      </c>
      <c r="BY706" t="str">
        <f>""</f>
        <v/>
      </c>
      <c r="BZ706" t="str">
        <f>""</f>
        <v/>
      </c>
      <c r="CA706" t="str">
        <f>""</f>
        <v/>
      </c>
      <c r="CB706" t="str">
        <f>""</f>
        <v/>
      </c>
      <c r="CC706" t="str">
        <f>""</f>
        <v/>
      </c>
      <c r="CD706" t="str">
        <f>""</f>
        <v/>
      </c>
      <c r="CE706" t="str">
        <f>""</f>
        <v/>
      </c>
      <c r="CF706" t="str">
        <f>""</f>
        <v/>
      </c>
      <c r="CG706" t="str">
        <f>""</f>
        <v/>
      </c>
      <c r="CH706" t="str">
        <f>""</f>
        <v/>
      </c>
      <c r="CI706" t="str">
        <f>""</f>
        <v/>
      </c>
      <c r="CJ706" t="str">
        <f>""</f>
        <v/>
      </c>
      <c r="CK706" t="str">
        <f>""</f>
        <v/>
      </c>
      <c r="CL706" t="str">
        <f>""</f>
        <v/>
      </c>
      <c r="CM706" t="str">
        <f>""</f>
        <v/>
      </c>
      <c r="CN706" t="str">
        <f>""</f>
        <v/>
      </c>
      <c r="CO706" t="str">
        <f>""</f>
        <v/>
      </c>
      <c r="CP706" t="str">
        <f>""</f>
        <v/>
      </c>
      <c r="CQ706" t="str">
        <f>""</f>
        <v/>
      </c>
      <c r="CR706" t="str">
        <f>""</f>
        <v/>
      </c>
      <c r="CS706" t="str">
        <f>""</f>
        <v/>
      </c>
      <c r="CT706" t="str">
        <f>""</f>
        <v/>
      </c>
      <c r="CU706" t="str">
        <f>""</f>
        <v/>
      </c>
      <c r="CV706" t="str">
        <f>""</f>
        <v/>
      </c>
      <c r="CW706" t="str">
        <f>""</f>
        <v/>
      </c>
      <c r="CX706" t="str">
        <f>""</f>
        <v/>
      </c>
      <c r="CY706" t="str">
        <f>""</f>
        <v/>
      </c>
      <c r="CZ706" t="str">
        <f>""</f>
        <v/>
      </c>
      <c r="DA706" t="str">
        <f>""</f>
        <v/>
      </c>
      <c r="DB706" t="str">
        <f>""</f>
        <v/>
      </c>
      <c r="DC706" t="str">
        <f>""</f>
        <v/>
      </c>
      <c r="DD706" t="str">
        <f>""</f>
        <v/>
      </c>
      <c r="DE706" t="str">
        <f>""</f>
        <v/>
      </c>
      <c r="DF706" t="str">
        <f>""</f>
        <v/>
      </c>
      <c r="DG706" t="str">
        <f>""</f>
        <v/>
      </c>
      <c r="DH706" t="str">
        <f>""</f>
        <v/>
      </c>
      <c r="DI706" t="str">
        <f>""</f>
        <v/>
      </c>
      <c r="DJ706" t="str">
        <f>""</f>
        <v/>
      </c>
      <c r="DK706" t="str">
        <f>""</f>
        <v/>
      </c>
      <c r="DL706" t="str">
        <f>""</f>
        <v/>
      </c>
      <c r="DM706" t="str">
        <f>""</f>
        <v/>
      </c>
      <c r="DN706" t="str">
        <f>""</f>
        <v/>
      </c>
      <c r="DO706" t="str">
        <f>""</f>
        <v/>
      </c>
      <c r="DP706" t="str">
        <f>""</f>
        <v/>
      </c>
      <c r="DQ706" t="str">
        <f>""</f>
        <v/>
      </c>
      <c r="DR706" t="str">
        <f>""</f>
        <v/>
      </c>
      <c r="DS706" t="str">
        <f>""</f>
        <v/>
      </c>
      <c r="DT706" t="str">
        <f>""</f>
        <v/>
      </c>
      <c r="DU706" t="str">
        <f>""</f>
        <v/>
      </c>
    </row>
    <row r="707" spans="1:125" x14ac:dyDescent="0.25">
      <c r="A707" t="str">
        <f>$A$33</f>
        <v xml:space="preserve">    Sanyang Motor Co Ltd</v>
      </c>
      <c r="B707" t="str">
        <f>$B$33</f>
        <v>2206 TT Equity</v>
      </c>
      <c r="C707" t="str">
        <f>$C$33</f>
        <v>RR900</v>
      </c>
      <c r="D707" t="str">
        <f>$D$33</f>
        <v>PE_RATIO</v>
      </c>
      <c r="E707" t="str">
        <f>$E$33</f>
        <v>Dynamic</v>
      </c>
      <c r="F707" t="str">
        <f ca="1">_xll.BDH($B$33,$C$33,$B$675,$B$676,CONCATENATE("Per=",$B$673),"Dts=H","Dir=H",CONCATENATE("Points=",$B$674),"Sort=R","Days=A","Fill=B",CONCATENATE("FX=", $B$672) )</f>
        <v>#N/A Connection</v>
      </c>
      <c r="BN707" t="str">
        <f>""</f>
        <v/>
      </c>
      <c r="BO707" t="str">
        <f>""</f>
        <v/>
      </c>
      <c r="BP707" t="str">
        <f>""</f>
        <v/>
      </c>
      <c r="BQ707" t="str">
        <f>""</f>
        <v/>
      </c>
      <c r="BR707" t="str">
        <f>""</f>
        <v/>
      </c>
      <c r="BS707" t="str">
        <f>""</f>
        <v/>
      </c>
      <c r="BT707" t="str">
        <f>""</f>
        <v/>
      </c>
      <c r="BU707" t="str">
        <f>""</f>
        <v/>
      </c>
      <c r="BV707" t="str">
        <f>""</f>
        <v/>
      </c>
      <c r="BW707" t="str">
        <f>""</f>
        <v/>
      </c>
      <c r="BX707" t="str">
        <f>""</f>
        <v/>
      </c>
      <c r="BY707" t="str">
        <f>""</f>
        <v/>
      </c>
      <c r="BZ707" t="str">
        <f>""</f>
        <v/>
      </c>
      <c r="CA707" t="str">
        <f>""</f>
        <v/>
      </c>
      <c r="CB707" t="str">
        <f>""</f>
        <v/>
      </c>
      <c r="CC707" t="str">
        <f>""</f>
        <v/>
      </c>
      <c r="CD707" t="str">
        <f>""</f>
        <v/>
      </c>
      <c r="CE707" t="str">
        <f>""</f>
        <v/>
      </c>
      <c r="CF707" t="str">
        <f>""</f>
        <v/>
      </c>
      <c r="CG707" t="str">
        <f>""</f>
        <v/>
      </c>
      <c r="CH707" t="str">
        <f>""</f>
        <v/>
      </c>
      <c r="CI707" t="str">
        <f>""</f>
        <v/>
      </c>
      <c r="CJ707" t="str">
        <f>""</f>
        <v/>
      </c>
      <c r="CK707" t="str">
        <f>""</f>
        <v/>
      </c>
      <c r="CL707" t="str">
        <f>""</f>
        <v/>
      </c>
      <c r="CM707" t="str">
        <f>""</f>
        <v/>
      </c>
      <c r="CN707" t="str">
        <f>""</f>
        <v/>
      </c>
      <c r="CO707" t="str">
        <f>""</f>
        <v/>
      </c>
      <c r="CP707" t="str">
        <f>""</f>
        <v/>
      </c>
      <c r="CQ707" t="str">
        <f>""</f>
        <v/>
      </c>
      <c r="CR707" t="str">
        <f>""</f>
        <v/>
      </c>
      <c r="CS707" t="str">
        <f>""</f>
        <v/>
      </c>
      <c r="CT707" t="str">
        <f>""</f>
        <v/>
      </c>
      <c r="CU707" t="str">
        <f>""</f>
        <v/>
      </c>
      <c r="CV707" t="str">
        <f>""</f>
        <v/>
      </c>
      <c r="CW707" t="str">
        <f>""</f>
        <v/>
      </c>
      <c r="CX707" t="str">
        <f>""</f>
        <v/>
      </c>
      <c r="CY707" t="str">
        <f>""</f>
        <v/>
      </c>
      <c r="CZ707" t="str">
        <f>""</f>
        <v/>
      </c>
      <c r="DA707" t="str">
        <f>""</f>
        <v/>
      </c>
      <c r="DB707" t="str">
        <f>""</f>
        <v/>
      </c>
      <c r="DC707" t="str">
        <f>""</f>
        <v/>
      </c>
      <c r="DD707" t="str">
        <f>""</f>
        <v/>
      </c>
      <c r="DE707" t="str">
        <f>""</f>
        <v/>
      </c>
      <c r="DF707" t="str">
        <f>""</f>
        <v/>
      </c>
      <c r="DG707" t="str">
        <f>""</f>
        <v/>
      </c>
      <c r="DH707" t="str">
        <f>""</f>
        <v/>
      </c>
      <c r="DI707" t="str">
        <f>""</f>
        <v/>
      </c>
      <c r="DJ707" t="str">
        <f>""</f>
        <v/>
      </c>
      <c r="DK707" t="str">
        <f>""</f>
        <v/>
      </c>
      <c r="DL707" t="str">
        <f>""</f>
        <v/>
      </c>
      <c r="DM707" t="str">
        <f>""</f>
        <v/>
      </c>
      <c r="DN707" t="str">
        <f>""</f>
        <v/>
      </c>
      <c r="DO707" t="str">
        <f>""</f>
        <v/>
      </c>
      <c r="DP707" t="str">
        <f>""</f>
        <v/>
      </c>
      <c r="DQ707" t="str">
        <f>""</f>
        <v/>
      </c>
      <c r="DR707" t="str">
        <f>""</f>
        <v/>
      </c>
      <c r="DS707" t="str">
        <f>""</f>
        <v/>
      </c>
      <c r="DT707" t="str">
        <f>""</f>
        <v/>
      </c>
      <c r="DU707" t="str">
        <f>""</f>
        <v/>
      </c>
    </row>
    <row r="708" spans="1:125" x14ac:dyDescent="0.25">
      <c r="A708" t="str">
        <f>$A$34</f>
        <v xml:space="preserve">    Sollers PJSC</v>
      </c>
      <c r="B708" t="str">
        <f>$B$34</f>
        <v>SVAV RM Equity</v>
      </c>
      <c r="C708" t="str">
        <f>$C$34</f>
        <v>RR900</v>
      </c>
      <c r="D708" t="str">
        <f>$D$34</f>
        <v>PE_RATIO</v>
      </c>
      <c r="E708" t="str">
        <f>$E$34</f>
        <v>Dynamic</v>
      </c>
      <c r="F708" t="str">
        <f ca="1">_xll.BDH($B$34,$C$34,$B$675,$B$676,CONCATENATE("Per=",$B$673),"Dts=H","Dir=H",CONCATENATE("Points=",$B$674),"Sort=R","Days=A","Fill=B",CONCATENATE("FX=", $B$672) )</f>
        <v>#N/A Connection</v>
      </c>
      <c r="BN708" t="str">
        <f>""</f>
        <v/>
      </c>
      <c r="BO708" t="str">
        <f>""</f>
        <v/>
      </c>
      <c r="BP708" t="str">
        <f>""</f>
        <v/>
      </c>
      <c r="BQ708" t="str">
        <f>""</f>
        <v/>
      </c>
      <c r="BR708" t="str">
        <f>""</f>
        <v/>
      </c>
      <c r="BS708" t="str">
        <f>""</f>
        <v/>
      </c>
      <c r="BT708" t="str">
        <f>""</f>
        <v/>
      </c>
      <c r="BU708" t="str">
        <f>""</f>
        <v/>
      </c>
      <c r="BV708" t="str">
        <f>""</f>
        <v/>
      </c>
      <c r="BW708" t="str">
        <f>""</f>
        <v/>
      </c>
      <c r="BX708" t="str">
        <f>""</f>
        <v/>
      </c>
      <c r="BY708" t="str">
        <f>""</f>
        <v/>
      </c>
      <c r="BZ708" t="str">
        <f>""</f>
        <v/>
      </c>
      <c r="CA708" t="str">
        <f>""</f>
        <v/>
      </c>
      <c r="CB708" t="str">
        <f>""</f>
        <v/>
      </c>
      <c r="CC708" t="str">
        <f>""</f>
        <v/>
      </c>
      <c r="CD708" t="str">
        <f>""</f>
        <v/>
      </c>
      <c r="CE708" t="str">
        <f>""</f>
        <v/>
      </c>
      <c r="CF708" t="str">
        <f>""</f>
        <v/>
      </c>
      <c r="CG708" t="str">
        <f>""</f>
        <v/>
      </c>
      <c r="CH708" t="str">
        <f>""</f>
        <v/>
      </c>
      <c r="CI708" t="str">
        <f>""</f>
        <v/>
      </c>
      <c r="CJ708" t="str">
        <f>""</f>
        <v/>
      </c>
      <c r="CK708" t="str">
        <f>""</f>
        <v/>
      </c>
      <c r="CL708" t="str">
        <f>""</f>
        <v/>
      </c>
      <c r="CM708" t="str">
        <f>""</f>
        <v/>
      </c>
      <c r="CN708" t="str">
        <f>""</f>
        <v/>
      </c>
      <c r="CO708" t="str">
        <f>""</f>
        <v/>
      </c>
      <c r="CP708" t="str">
        <f>""</f>
        <v/>
      </c>
      <c r="CQ708" t="str">
        <f>""</f>
        <v/>
      </c>
      <c r="CR708" t="str">
        <f>""</f>
        <v/>
      </c>
      <c r="CS708" t="str">
        <f>""</f>
        <v/>
      </c>
      <c r="CT708" t="str">
        <f>""</f>
        <v/>
      </c>
      <c r="CU708" t="str">
        <f>""</f>
        <v/>
      </c>
      <c r="CV708" t="str">
        <f>""</f>
        <v/>
      </c>
      <c r="CW708" t="str">
        <f>""</f>
        <v/>
      </c>
      <c r="CX708" t="str">
        <f>""</f>
        <v/>
      </c>
      <c r="CY708" t="str">
        <f>""</f>
        <v/>
      </c>
      <c r="CZ708" t="str">
        <f>""</f>
        <v/>
      </c>
      <c r="DA708" t="str">
        <f>""</f>
        <v/>
      </c>
      <c r="DB708" t="str">
        <f>""</f>
        <v/>
      </c>
      <c r="DC708" t="str">
        <f>""</f>
        <v/>
      </c>
      <c r="DD708" t="str">
        <f>""</f>
        <v/>
      </c>
      <c r="DE708" t="str">
        <f>""</f>
        <v/>
      </c>
      <c r="DF708" t="str">
        <f>""</f>
        <v/>
      </c>
      <c r="DG708" t="str">
        <f>""</f>
        <v/>
      </c>
      <c r="DH708" t="str">
        <f>""</f>
        <v/>
      </c>
      <c r="DI708" t="str">
        <f>""</f>
        <v/>
      </c>
      <c r="DJ708" t="str">
        <f>""</f>
        <v/>
      </c>
      <c r="DK708" t="str">
        <f>""</f>
        <v/>
      </c>
      <c r="DL708" t="str">
        <f>""</f>
        <v/>
      </c>
      <c r="DM708" t="str">
        <f>""</f>
        <v/>
      </c>
      <c r="DN708" t="str">
        <f>""</f>
        <v/>
      </c>
      <c r="DO708" t="str">
        <f>""</f>
        <v/>
      </c>
      <c r="DP708" t="str">
        <f>""</f>
        <v/>
      </c>
      <c r="DQ708" t="str">
        <f>""</f>
        <v/>
      </c>
      <c r="DR708" t="str">
        <f>""</f>
        <v/>
      </c>
      <c r="DS708" t="str">
        <f>""</f>
        <v/>
      </c>
      <c r="DT708" t="str">
        <f>""</f>
        <v/>
      </c>
      <c r="DU708" t="str">
        <f>""</f>
        <v/>
      </c>
    </row>
    <row r="709" spans="1:125" x14ac:dyDescent="0.25">
      <c r="A709" t="str">
        <f>$A$35</f>
        <v xml:space="preserve">    Ssangyong Motor Co</v>
      </c>
      <c r="B709" t="str">
        <f>$B$35</f>
        <v>003620 KS Equity</v>
      </c>
      <c r="C709" t="str">
        <f>$C$35</f>
        <v>RR900</v>
      </c>
      <c r="D709" t="str">
        <f>$D$35</f>
        <v>PE_RATIO</v>
      </c>
      <c r="E709" t="str">
        <f>$E$35</f>
        <v>Dynamic</v>
      </c>
      <c r="F709" t="str">
        <f ca="1">_xll.BDH($B$35,$C$35,$B$675,$B$676,CONCATENATE("Per=",$B$673),"Dts=H","Dir=H",CONCATENATE("Points=",$B$674),"Sort=R","Days=A","Fill=B",CONCATENATE("FX=", $B$672) )</f>
        <v>#N/A Connection</v>
      </c>
      <c r="BN709" t="str">
        <f>""</f>
        <v/>
      </c>
      <c r="BO709" t="str">
        <f>""</f>
        <v/>
      </c>
      <c r="BP709" t="str">
        <f>""</f>
        <v/>
      </c>
      <c r="BQ709" t="str">
        <f>""</f>
        <v/>
      </c>
      <c r="BR709" t="str">
        <f>""</f>
        <v/>
      </c>
      <c r="BS709" t="str">
        <f>""</f>
        <v/>
      </c>
      <c r="BT709" t="str">
        <f>""</f>
        <v/>
      </c>
      <c r="BU709" t="str">
        <f>""</f>
        <v/>
      </c>
      <c r="BV709" t="str">
        <f>""</f>
        <v/>
      </c>
      <c r="BW709" t="str">
        <f>""</f>
        <v/>
      </c>
      <c r="BX709" t="str">
        <f>""</f>
        <v/>
      </c>
      <c r="BY709" t="str">
        <f>""</f>
        <v/>
      </c>
      <c r="BZ709" t="str">
        <f>""</f>
        <v/>
      </c>
      <c r="CA709" t="str">
        <f>""</f>
        <v/>
      </c>
      <c r="CB709" t="str">
        <f>""</f>
        <v/>
      </c>
      <c r="CC709" t="str">
        <f>""</f>
        <v/>
      </c>
      <c r="CD709" t="str">
        <f>""</f>
        <v/>
      </c>
      <c r="CE709" t="str">
        <f>""</f>
        <v/>
      </c>
      <c r="CF709" t="str">
        <f>""</f>
        <v/>
      </c>
      <c r="CG709" t="str">
        <f>""</f>
        <v/>
      </c>
      <c r="CH709" t="str">
        <f>""</f>
        <v/>
      </c>
      <c r="CI709" t="str">
        <f>""</f>
        <v/>
      </c>
      <c r="CJ709" t="str">
        <f>""</f>
        <v/>
      </c>
      <c r="CK709" t="str">
        <f>""</f>
        <v/>
      </c>
      <c r="CL709" t="str">
        <f>""</f>
        <v/>
      </c>
      <c r="CM709" t="str">
        <f>""</f>
        <v/>
      </c>
      <c r="CN709" t="str">
        <f>""</f>
        <v/>
      </c>
      <c r="CO709" t="str">
        <f>""</f>
        <v/>
      </c>
      <c r="CP709" t="str">
        <f>""</f>
        <v/>
      </c>
      <c r="CQ709" t="str">
        <f>""</f>
        <v/>
      </c>
      <c r="CR709" t="str">
        <f>""</f>
        <v/>
      </c>
      <c r="CS709" t="str">
        <f>""</f>
        <v/>
      </c>
      <c r="CT709" t="str">
        <f>""</f>
        <v/>
      </c>
      <c r="CU709" t="str">
        <f>""</f>
        <v/>
      </c>
      <c r="CV709" t="str">
        <f>""</f>
        <v/>
      </c>
      <c r="CW709" t="str">
        <f>""</f>
        <v/>
      </c>
      <c r="CX709" t="str">
        <f>""</f>
        <v/>
      </c>
      <c r="CY709" t="str">
        <f>""</f>
        <v/>
      </c>
      <c r="CZ709" t="str">
        <f>""</f>
        <v/>
      </c>
      <c r="DA709" t="str">
        <f>""</f>
        <v/>
      </c>
      <c r="DB709" t="str">
        <f>""</f>
        <v/>
      </c>
      <c r="DC709" t="str">
        <f>""</f>
        <v/>
      </c>
      <c r="DD709" t="str">
        <f>""</f>
        <v/>
      </c>
      <c r="DE709" t="str">
        <f>""</f>
        <v/>
      </c>
      <c r="DF709" t="str">
        <f>""</f>
        <v/>
      </c>
      <c r="DG709" t="str">
        <f>""</f>
        <v/>
      </c>
      <c r="DH709" t="str">
        <f>""</f>
        <v/>
      </c>
      <c r="DI709" t="str">
        <f>""</f>
        <v/>
      </c>
      <c r="DJ709" t="str">
        <f>""</f>
        <v/>
      </c>
      <c r="DK709" t="str">
        <f>""</f>
        <v/>
      </c>
      <c r="DL709" t="str">
        <f>""</f>
        <v/>
      </c>
      <c r="DM709" t="str">
        <f>""</f>
        <v/>
      </c>
      <c r="DN709" t="str">
        <f>""</f>
        <v/>
      </c>
      <c r="DO709" t="str">
        <f>""</f>
        <v/>
      </c>
      <c r="DP709" t="str">
        <f>""</f>
        <v/>
      </c>
      <c r="DQ709" t="str">
        <f>""</f>
        <v/>
      </c>
      <c r="DR709" t="str">
        <f>""</f>
        <v/>
      </c>
      <c r="DS709" t="str">
        <f>""</f>
        <v/>
      </c>
      <c r="DT709" t="str">
        <f>""</f>
        <v/>
      </c>
      <c r="DU709" t="str">
        <f>""</f>
        <v/>
      </c>
    </row>
    <row r="710" spans="1:125" x14ac:dyDescent="0.25">
      <c r="A710" t="str">
        <f>$A$36</f>
        <v xml:space="preserve">    Subaru Corp</v>
      </c>
      <c r="B710" t="str">
        <f>$B$36</f>
        <v>7270 JP Equity</v>
      </c>
      <c r="C710" t="str">
        <f>$C$36</f>
        <v>RR900</v>
      </c>
      <c r="D710" t="str">
        <f>$D$36</f>
        <v>PE_RATIO</v>
      </c>
      <c r="E710" t="str">
        <f>$E$36</f>
        <v>Dynamic</v>
      </c>
      <c r="F710" t="str">
        <f ca="1">_xll.BDH($B$36,$C$36,$B$675,$B$676,CONCATENATE("Per=",$B$673),"Dts=H","Dir=H",CONCATENATE("Points=",$B$674),"Sort=R","Days=A","Fill=B",CONCATENATE("FX=", $B$672) )</f>
        <v>#N/A Connection</v>
      </c>
      <c r="BN710" t="str">
        <f>""</f>
        <v/>
      </c>
      <c r="BO710" t="str">
        <f>""</f>
        <v/>
      </c>
      <c r="BP710" t="str">
        <f>""</f>
        <v/>
      </c>
      <c r="BQ710" t="str">
        <f>""</f>
        <v/>
      </c>
      <c r="BR710" t="str">
        <f>""</f>
        <v/>
      </c>
      <c r="BS710" t="str">
        <f>""</f>
        <v/>
      </c>
      <c r="BT710" t="str">
        <f>""</f>
        <v/>
      </c>
      <c r="BU710" t="str">
        <f>""</f>
        <v/>
      </c>
      <c r="BV710" t="str">
        <f>""</f>
        <v/>
      </c>
      <c r="BW710" t="str">
        <f>""</f>
        <v/>
      </c>
      <c r="BX710" t="str">
        <f>""</f>
        <v/>
      </c>
      <c r="BY710" t="str">
        <f>""</f>
        <v/>
      </c>
      <c r="BZ710" t="str">
        <f>""</f>
        <v/>
      </c>
      <c r="CA710" t="str">
        <f>""</f>
        <v/>
      </c>
      <c r="CB710" t="str">
        <f>""</f>
        <v/>
      </c>
      <c r="CC710" t="str">
        <f>""</f>
        <v/>
      </c>
      <c r="CD710" t="str">
        <f>""</f>
        <v/>
      </c>
      <c r="CE710" t="str">
        <f>""</f>
        <v/>
      </c>
      <c r="CF710" t="str">
        <f>""</f>
        <v/>
      </c>
      <c r="CG710" t="str">
        <f>""</f>
        <v/>
      </c>
      <c r="CH710" t="str">
        <f>""</f>
        <v/>
      </c>
      <c r="CI710" t="str">
        <f>""</f>
        <v/>
      </c>
      <c r="CJ710" t="str">
        <f>""</f>
        <v/>
      </c>
      <c r="CK710" t="str">
        <f>""</f>
        <v/>
      </c>
      <c r="CL710" t="str">
        <f>""</f>
        <v/>
      </c>
      <c r="CM710" t="str">
        <f>""</f>
        <v/>
      </c>
      <c r="CN710" t="str">
        <f>""</f>
        <v/>
      </c>
      <c r="CO710" t="str">
        <f>""</f>
        <v/>
      </c>
      <c r="CP710" t="str">
        <f>""</f>
        <v/>
      </c>
      <c r="CQ710" t="str">
        <f>""</f>
        <v/>
      </c>
      <c r="CR710" t="str">
        <f>""</f>
        <v/>
      </c>
      <c r="CS710" t="str">
        <f>""</f>
        <v/>
      </c>
      <c r="CT710" t="str">
        <f>""</f>
        <v/>
      </c>
      <c r="CU710" t="str">
        <f>""</f>
        <v/>
      </c>
      <c r="CV710" t="str">
        <f>""</f>
        <v/>
      </c>
      <c r="CW710" t="str">
        <f>""</f>
        <v/>
      </c>
      <c r="CX710" t="str">
        <f>""</f>
        <v/>
      </c>
      <c r="CY710" t="str">
        <f>""</f>
        <v/>
      </c>
      <c r="CZ710" t="str">
        <f>""</f>
        <v/>
      </c>
      <c r="DA710" t="str">
        <f>""</f>
        <v/>
      </c>
      <c r="DB710" t="str">
        <f>""</f>
        <v/>
      </c>
      <c r="DC710" t="str">
        <f>""</f>
        <v/>
      </c>
      <c r="DD710" t="str">
        <f>""</f>
        <v/>
      </c>
      <c r="DE710" t="str">
        <f>""</f>
        <v/>
      </c>
      <c r="DF710" t="str">
        <f>""</f>
        <v/>
      </c>
      <c r="DG710" t="str">
        <f>""</f>
        <v/>
      </c>
      <c r="DH710" t="str">
        <f>""</f>
        <v/>
      </c>
      <c r="DI710" t="str">
        <f>""</f>
        <v/>
      </c>
      <c r="DJ710" t="str">
        <f>""</f>
        <v/>
      </c>
      <c r="DK710" t="str">
        <f>""</f>
        <v/>
      </c>
      <c r="DL710" t="str">
        <f>""</f>
        <v/>
      </c>
      <c r="DM710" t="str">
        <f>""</f>
        <v/>
      </c>
      <c r="DN710" t="str">
        <f>""</f>
        <v/>
      </c>
      <c r="DO710" t="str">
        <f>""</f>
        <v/>
      </c>
      <c r="DP710" t="str">
        <f>""</f>
        <v/>
      </c>
      <c r="DQ710" t="str">
        <f>""</f>
        <v/>
      </c>
      <c r="DR710" t="str">
        <f>""</f>
        <v/>
      </c>
      <c r="DS710" t="str">
        <f>""</f>
        <v/>
      </c>
      <c r="DT710" t="str">
        <f>""</f>
        <v/>
      </c>
      <c r="DU710" t="str">
        <f>""</f>
        <v/>
      </c>
    </row>
    <row r="711" spans="1:125" x14ac:dyDescent="0.25">
      <c r="A711" t="str">
        <f>$A$37</f>
        <v xml:space="preserve">    Suzuki Motor Corp</v>
      </c>
      <c r="B711" t="str">
        <f>$B$37</f>
        <v>7269 JP Equity</v>
      </c>
      <c r="C711" t="str">
        <f>$C$37</f>
        <v>RR900</v>
      </c>
      <c r="D711" t="str">
        <f>$D$37</f>
        <v>PE_RATIO</v>
      </c>
      <c r="E711" t="str">
        <f>$E$37</f>
        <v>Dynamic</v>
      </c>
      <c r="F711" t="str">
        <f ca="1">_xll.BDH($B$37,$C$37,$B$675,$B$676,CONCATENATE("Per=",$B$673),"Dts=H","Dir=H",CONCATENATE("Points=",$B$674),"Sort=R","Days=A","Fill=B",CONCATENATE("FX=", $B$672) )</f>
        <v>#N/A Connection</v>
      </c>
      <c r="BN711" t="str">
        <f>""</f>
        <v/>
      </c>
      <c r="BO711" t="str">
        <f>""</f>
        <v/>
      </c>
      <c r="BP711" t="str">
        <f>""</f>
        <v/>
      </c>
      <c r="BQ711" t="str">
        <f>""</f>
        <v/>
      </c>
      <c r="BR711" t="str">
        <f>""</f>
        <v/>
      </c>
      <c r="BS711" t="str">
        <f>""</f>
        <v/>
      </c>
      <c r="BT711" t="str">
        <f>""</f>
        <v/>
      </c>
      <c r="BU711" t="str">
        <f>""</f>
        <v/>
      </c>
      <c r="BV711" t="str">
        <f>""</f>
        <v/>
      </c>
      <c r="BW711" t="str">
        <f>""</f>
        <v/>
      </c>
      <c r="BX711" t="str">
        <f>""</f>
        <v/>
      </c>
      <c r="BY711" t="str">
        <f>""</f>
        <v/>
      </c>
      <c r="BZ711" t="str">
        <f>""</f>
        <v/>
      </c>
      <c r="CA711" t="str">
        <f>""</f>
        <v/>
      </c>
      <c r="CB711" t="str">
        <f>""</f>
        <v/>
      </c>
      <c r="CC711" t="str">
        <f>""</f>
        <v/>
      </c>
      <c r="CD711" t="str">
        <f>""</f>
        <v/>
      </c>
      <c r="CE711" t="str">
        <f>""</f>
        <v/>
      </c>
      <c r="CF711" t="str">
        <f>""</f>
        <v/>
      </c>
      <c r="CG711" t="str">
        <f>""</f>
        <v/>
      </c>
      <c r="CH711" t="str">
        <f>""</f>
        <v/>
      </c>
      <c r="CI711" t="str">
        <f>""</f>
        <v/>
      </c>
      <c r="CJ711" t="str">
        <f>""</f>
        <v/>
      </c>
      <c r="CK711" t="str">
        <f>""</f>
        <v/>
      </c>
      <c r="CL711" t="str">
        <f>""</f>
        <v/>
      </c>
      <c r="CM711" t="str">
        <f>""</f>
        <v/>
      </c>
      <c r="CN711" t="str">
        <f>""</f>
        <v/>
      </c>
      <c r="CO711" t="str">
        <f>""</f>
        <v/>
      </c>
      <c r="CP711" t="str">
        <f>""</f>
        <v/>
      </c>
      <c r="CQ711" t="str">
        <f>""</f>
        <v/>
      </c>
      <c r="CR711" t="str">
        <f>""</f>
        <v/>
      </c>
      <c r="CS711" t="str">
        <f>""</f>
        <v/>
      </c>
      <c r="CT711" t="str">
        <f>""</f>
        <v/>
      </c>
      <c r="CU711" t="str">
        <f>""</f>
        <v/>
      </c>
      <c r="CV711" t="str">
        <f>""</f>
        <v/>
      </c>
      <c r="CW711" t="str">
        <f>""</f>
        <v/>
      </c>
      <c r="CX711" t="str">
        <f>""</f>
        <v/>
      </c>
      <c r="CY711" t="str">
        <f>""</f>
        <v/>
      </c>
      <c r="CZ711" t="str">
        <f>""</f>
        <v/>
      </c>
      <c r="DA711" t="str">
        <f>""</f>
        <v/>
      </c>
      <c r="DB711" t="str">
        <f>""</f>
        <v/>
      </c>
      <c r="DC711" t="str">
        <f>""</f>
        <v/>
      </c>
      <c r="DD711" t="str">
        <f>""</f>
        <v/>
      </c>
      <c r="DE711" t="str">
        <f>""</f>
        <v/>
      </c>
      <c r="DF711" t="str">
        <f>""</f>
        <v/>
      </c>
      <c r="DG711" t="str">
        <f>""</f>
        <v/>
      </c>
      <c r="DH711" t="str">
        <f>""</f>
        <v/>
      </c>
      <c r="DI711" t="str">
        <f>""</f>
        <v/>
      </c>
      <c r="DJ711" t="str">
        <f>""</f>
        <v/>
      </c>
      <c r="DK711" t="str">
        <f>""</f>
        <v/>
      </c>
      <c r="DL711" t="str">
        <f>""</f>
        <v/>
      </c>
      <c r="DM711" t="str">
        <f>""</f>
        <v/>
      </c>
      <c r="DN711" t="str">
        <f>""</f>
        <v/>
      </c>
      <c r="DO711" t="str">
        <f>""</f>
        <v/>
      </c>
      <c r="DP711" t="str">
        <f>""</f>
        <v/>
      </c>
      <c r="DQ711" t="str">
        <f>""</f>
        <v/>
      </c>
      <c r="DR711" t="str">
        <f>""</f>
        <v/>
      </c>
      <c r="DS711" t="str">
        <f>""</f>
        <v/>
      </c>
      <c r="DT711" t="str">
        <f>""</f>
        <v/>
      </c>
      <c r="DU711" t="str">
        <f>""</f>
        <v/>
      </c>
    </row>
    <row r="712" spans="1:125" x14ac:dyDescent="0.25">
      <c r="A712" t="str">
        <f>$A$38</f>
        <v xml:space="preserve">    Tata Motors Ltd</v>
      </c>
      <c r="B712" t="str">
        <f>$B$38</f>
        <v>TTMT IN Equity</v>
      </c>
      <c r="C712" t="str">
        <f>$C$38</f>
        <v>RR900</v>
      </c>
      <c r="D712" t="str">
        <f>$D$38</f>
        <v>PE_RATIO</v>
      </c>
      <c r="E712" t="str">
        <f>$E$38</f>
        <v>Dynamic</v>
      </c>
      <c r="F712" t="str">
        <f ca="1">_xll.BDH($B$38,$C$38,$B$675,$B$676,CONCATENATE("Per=",$B$673),"Dts=H","Dir=H",CONCATENATE("Points=",$B$674),"Sort=R","Days=A","Fill=B",CONCATENATE("FX=", $B$672) )</f>
        <v>#N/A Connection</v>
      </c>
      <c r="BN712" t="str">
        <f>""</f>
        <v/>
      </c>
      <c r="BO712" t="str">
        <f>""</f>
        <v/>
      </c>
      <c r="BP712" t="str">
        <f>""</f>
        <v/>
      </c>
      <c r="BQ712" t="str">
        <f>""</f>
        <v/>
      </c>
      <c r="BR712" t="str">
        <f>""</f>
        <v/>
      </c>
      <c r="BS712" t="str">
        <f>""</f>
        <v/>
      </c>
      <c r="BT712" t="str">
        <f>""</f>
        <v/>
      </c>
      <c r="BU712" t="str">
        <f>""</f>
        <v/>
      </c>
      <c r="BV712" t="str">
        <f>""</f>
        <v/>
      </c>
      <c r="BW712" t="str">
        <f>""</f>
        <v/>
      </c>
      <c r="BX712" t="str">
        <f>""</f>
        <v/>
      </c>
      <c r="BY712" t="str">
        <f>""</f>
        <v/>
      </c>
      <c r="BZ712" t="str">
        <f>""</f>
        <v/>
      </c>
      <c r="CA712" t="str">
        <f>""</f>
        <v/>
      </c>
      <c r="CB712" t="str">
        <f>""</f>
        <v/>
      </c>
      <c r="CC712" t="str">
        <f>""</f>
        <v/>
      </c>
      <c r="CD712" t="str">
        <f>""</f>
        <v/>
      </c>
      <c r="CE712" t="str">
        <f>""</f>
        <v/>
      </c>
      <c r="CF712" t="str">
        <f>""</f>
        <v/>
      </c>
      <c r="CG712" t="str">
        <f>""</f>
        <v/>
      </c>
      <c r="CH712" t="str">
        <f>""</f>
        <v/>
      </c>
      <c r="CI712" t="str">
        <f>""</f>
        <v/>
      </c>
      <c r="CJ712" t="str">
        <f>""</f>
        <v/>
      </c>
      <c r="CK712" t="str">
        <f>""</f>
        <v/>
      </c>
      <c r="CL712" t="str">
        <f>""</f>
        <v/>
      </c>
      <c r="CM712" t="str">
        <f>""</f>
        <v/>
      </c>
      <c r="CN712" t="str">
        <f>""</f>
        <v/>
      </c>
      <c r="CO712" t="str">
        <f>""</f>
        <v/>
      </c>
      <c r="CP712" t="str">
        <f>""</f>
        <v/>
      </c>
      <c r="CQ712" t="str">
        <f>""</f>
        <v/>
      </c>
      <c r="CR712" t="str">
        <f>""</f>
        <v/>
      </c>
      <c r="CS712" t="str">
        <f>""</f>
        <v/>
      </c>
      <c r="CT712" t="str">
        <f>""</f>
        <v/>
      </c>
      <c r="CU712" t="str">
        <f>""</f>
        <v/>
      </c>
      <c r="CV712" t="str">
        <f>""</f>
        <v/>
      </c>
      <c r="CW712" t="str">
        <f>""</f>
        <v/>
      </c>
      <c r="CX712" t="str">
        <f>""</f>
        <v/>
      </c>
      <c r="CY712" t="str">
        <f>""</f>
        <v/>
      </c>
      <c r="CZ712" t="str">
        <f>""</f>
        <v/>
      </c>
      <c r="DA712" t="str">
        <f>""</f>
        <v/>
      </c>
      <c r="DB712" t="str">
        <f>""</f>
        <v/>
      </c>
      <c r="DC712" t="str">
        <f>""</f>
        <v/>
      </c>
      <c r="DD712" t="str">
        <f>""</f>
        <v/>
      </c>
      <c r="DE712" t="str">
        <f>""</f>
        <v/>
      </c>
      <c r="DF712" t="str">
        <f>""</f>
        <v/>
      </c>
      <c r="DG712" t="str">
        <f>""</f>
        <v/>
      </c>
      <c r="DH712" t="str">
        <f>""</f>
        <v/>
      </c>
      <c r="DI712" t="str">
        <f>""</f>
        <v/>
      </c>
      <c r="DJ712" t="str">
        <f>""</f>
        <v/>
      </c>
      <c r="DK712" t="str">
        <f>""</f>
        <v/>
      </c>
      <c r="DL712" t="str">
        <f>""</f>
        <v/>
      </c>
      <c r="DM712" t="str">
        <f>""</f>
        <v/>
      </c>
      <c r="DN712" t="str">
        <f>""</f>
        <v/>
      </c>
      <c r="DO712" t="str">
        <f>""</f>
        <v/>
      </c>
      <c r="DP712" t="str">
        <f>""</f>
        <v/>
      </c>
      <c r="DQ712" t="str">
        <f>""</f>
        <v/>
      </c>
      <c r="DR712" t="str">
        <f>""</f>
        <v/>
      </c>
      <c r="DS712" t="str">
        <f>""</f>
        <v/>
      </c>
      <c r="DT712" t="str">
        <f>""</f>
        <v/>
      </c>
      <c r="DU712" t="str">
        <f>""</f>
        <v/>
      </c>
    </row>
    <row r="713" spans="1:125" x14ac:dyDescent="0.25">
      <c r="A713" t="str">
        <f>$A$39</f>
        <v xml:space="preserve">    Tesla Inc</v>
      </c>
      <c r="B713" t="str">
        <f>$B$39</f>
        <v>TSLA US Equity</v>
      </c>
      <c r="C713" t="str">
        <f>$C$39</f>
        <v>RR900</v>
      </c>
      <c r="D713" t="str">
        <f>$D$39</f>
        <v>PE_RATIO</v>
      </c>
      <c r="E713" t="str">
        <f>$E$39</f>
        <v>Dynamic</v>
      </c>
      <c r="F713" t="str">
        <f ca="1">_xll.BDH($B$39,$C$39,$B$675,$B$676,CONCATENATE("Per=",$B$673),"Dts=H","Dir=H",CONCATENATE("Points=",$B$674),"Sort=R","Days=A","Fill=B",CONCATENATE("FX=", $B$672) )</f>
        <v>#N/A Connection</v>
      </c>
      <c r="BN713" t="str">
        <f>""</f>
        <v/>
      </c>
      <c r="BO713" t="str">
        <f>""</f>
        <v/>
      </c>
      <c r="BP713" t="str">
        <f>""</f>
        <v/>
      </c>
      <c r="BQ713" t="str">
        <f>""</f>
        <v/>
      </c>
      <c r="BR713" t="str">
        <f>""</f>
        <v/>
      </c>
      <c r="BS713" t="str">
        <f>""</f>
        <v/>
      </c>
      <c r="BT713" t="str">
        <f>""</f>
        <v/>
      </c>
      <c r="BU713" t="str">
        <f>""</f>
        <v/>
      </c>
      <c r="BV713" t="str">
        <f>""</f>
        <v/>
      </c>
      <c r="BW713" t="str">
        <f>""</f>
        <v/>
      </c>
      <c r="BX713" t="str">
        <f>""</f>
        <v/>
      </c>
      <c r="BY713" t="str">
        <f>""</f>
        <v/>
      </c>
      <c r="BZ713" t="str">
        <f>""</f>
        <v/>
      </c>
      <c r="CA713" t="str">
        <f>""</f>
        <v/>
      </c>
      <c r="CB713" t="str">
        <f>""</f>
        <v/>
      </c>
      <c r="CC713" t="str">
        <f>""</f>
        <v/>
      </c>
      <c r="CD713" t="str">
        <f>""</f>
        <v/>
      </c>
      <c r="CE713" t="str">
        <f>""</f>
        <v/>
      </c>
      <c r="CF713" t="str">
        <f>""</f>
        <v/>
      </c>
      <c r="CG713" t="str">
        <f>""</f>
        <v/>
      </c>
      <c r="CH713" t="str">
        <f>""</f>
        <v/>
      </c>
      <c r="CI713" t="str">
        <f>""</f>
        <v/>
      </c>
      <c r="CJ713" t="str">
        <f>""</f>
        <v/>
      </c>
      <c r="CK713" t="str">
        <f>""</f>
        <v/>
      </c>
      <c r="CL713" t="str">
        <f>""</f>
        <v/>
      </c>
      <c r="CM713" t="str">
        <f>""</f>
        <v/>
      </c>
      <c r="CN713" t="str">
        <f>""</f>
        <v/>
      </c>
      <c r="CO713" t="str">
        <f>""</f>
        <v/>
      </c>
      <c r="CP713" t="str">
        <f>""</f>
        <v/>
      </c>
      <c r="CQ713" t="str">
        <f>""</f>
        <v/>
      </c>
      <c r="CR713" t="str">
        <f>""</f>
        <v/>
      </c>
      <c r="CS713" t="str">
        <f>""</f>
        <v/>
      </c>
      <c r="CT713" t="str">
        <f>""</f>
        <v/>
      </c>
      <c r="CU713" t="str">
        <f>""</f>
        <v/>
      </c>
      <c r="CV713" t="str">
        <f>""</f>
        <v/>
      </c>
      <c r="CW713" t="str">
        <f>""</f>
        <v/>
      </c>
      <c r="CX713" t="str">
        <f>""</f>
        <v/>
      </c>
      <c r="CY713" t="str">
        <f>""</f>
        <v/>
      </c>
      <c r="CZ713" t="str">
        <f>""</f>
        <v/>
      </c>
      <c r="DA713" t="str">
        <f>""</f>
        <v/>
      </c>
      <c r="DB713" t="str">
        <f>""</f>
        <v/>
      </c>
      <c r="DC713" t="str">
        <f>""</f>
        <v/>
      </c>
      <c r="DD713" t="str">
        <f>""</f>
        <v/>
      </c>
      <c r="DE713" t="str">
        <f>""</f>
        <v/>
      </c>
      <c r="DF713" t="str">
        <f>""</f>
        <v/>
      </c>
      <c r="DG713" t="str">
        <f>""</f>
        <v/>
      </c>
      <c r="DH713" t="str">
        <f>""</f>
        <v/>
      </c>
      <c r="DI713" t="str">
        <f>""</f>
        <v/>
      </c>
      <c r="DJ713" t="str">
        <f>""</f>
        <v/>
      </c>
      <c r="DK713" t="str">
        <f>""</f>
        <v/>
      </c>
      <c r="DL713" t="str">
        <f>""</f>
        <v/>
      </c>
      <c r="DM713" t="str">
        <f>""</f>
        <v/>
      </c>
      <c r="DN713" t="str">
        <f>""</f>
        <v/>
      </c>
      <c r="DO713" t="str">
        <f>""</f>
        <v/>
      </c>
      <c r="DP713" t="str">
        <f>""</f>
        <v/>
      </c>
      <c r="DQ713" t="str">
        <f>""</f>
        <v/>
      </c>
      <c r="DR713" t="str">
        <f>""</f>
        <v/>
      </c>
      <c r="DS713" t="str">
        <f>""</f>
        <v/>
      </c>
      <c r="DT713" t="str">
        <f>""</f>
        <v/>
      </c>
      <c r="DU713" t="str">
        <f>""</f>
        <v/>
      </c>
    </row>
    <row r="714" spans="1:125" x14ac:dyDescent="0.25">
      <c r="A714" t="str">
        <f>$A$40</f>
        <v xml:space="preserve">    Tianjin Faw Xiali Automobile Co Ltd</v>
      </c>
      <c r="B714" t="str">
        <f>$B$40</f>
        <v>000927 CH Equity</v>
      </c>
      <c r="C714" t="str">
        <f>$C$40</f>
        <v>RR900</v>
      </c>
      <c r="D714" t="str">
        <f>$D$40</f>
        <v>PE_RATIO</v>
      </c>
      <c r="E714" t="str">
        <f>$E$40</f>
        <v>Dynamic</v>
      </c>
      <c r="F714" t="str">
        <f ca="1">_xll.BDH($B$40,$C$40,$B$675,$B$676,CONCATENATE("Per=",$B$673),"Dts=H","Dir=H",CONCATENATE("Points=",$B$674),"Sort=R","Days=A","Fill=B",CONCATENATE("FX=", $B$672) )</f>
        <v>#N/A Connection</v>
      </c>
      <c r="BN714" t="str">
        <f>""</f>
        <v/>
      </c>
      <c r="BO714" t="str">
        <f>""</f>
        <v/>
      </c>
      <c r="BP714" t="str">
        <f>""</f>
        <v/>
      </c>
      <c r="BQ714" t="str">
        <f>""</f>
        <v/>
      </c>
      <c r="BR714" t="str">
        <f>""</f>
        <v/>
      </c>
      <c r="BS714" t="str">
        <f>""</f>
        <v/>
      </c>
      <c r="BT714" t="str">
        <f>""</f>
        <v/>
      </c>
      <c r="BU714" t="str">
        <f>""</f>
        <v/>
      </c>
      <c r="BV714" t="str">
        <f>""</f>
        <v/>
      </c>
      <c r="BW714" t="str">
        <f>""</f>
        <v/>
      </c>
      <c r="BX714" t="str">
        <f>""</f>
        <v/>
      </c>
      <c r="BY714" t="str">
        <f>""</f>
        <v/>
      </c>
      <c r="BZ714" t="str">
        <f>""</f>
        <v/>
      </c>
      <c r="CA714" t="str">
        <f>""</f>
        <v/>
      </c>
      <c r="CB714" t="str">
        <f>""</f>
        <v/>
      </c>
      <c r="CC714" t="str">
        <f>""</f>
        <v/>
      </c>
      <c r="CD714" t="str">
        <f>""</f>
        <v/>
      </c>
      <c r="CE714" t="str">
        <f>""</f>
        <v/>
      </c>
      <c r="CF714" t="str">
        <f>""</f>
        <v/>
      </c>
      <c r="CG714" t="str">
        <f>""</f>
        <v/>
      </c>
      <c r="CH714" t="str">
        <f>""</f>
        <v/>
      </c>
      <c r="CI714" t="str">
        <f>""</f>
        <v/>
      </c>
      <c r="CJ714" t="str">
        <f>""</f>
        <v/>
      </c>
      <c r="CK714" t="str">
        <f>""</f>
        <v/>
      </c>
      <c r="CL714" t="str">
        <f>""</f>
        <v/>
      </c>
      <c r="CM714" t="str">
        <f>""</f>
        <v/>
      </c>
      <c r="CN714" t="str">
        <f>""</f>
        <v/>
      </c>
      <c r="CO714" t="str">
        <f>""</f>
        <v/>
      </c>
      <c r="CP714" t="str">
        <f>""</f>
        <v/>
      </c>
      <c r="CQ714" t="str">
        <f>""</f>
        <v/>
      </c>
      <c r="CR714" t="str">
        <f>""</f>
        <v/>
      </c>
      <c r="CS714" t="str">
        <f>""</f>
        <v/>
      </c>
      <c r="CT714" t="str">
        <f>""</f>
        <v/>
      </c>
      <c r="CU714" t="str">
        <f>""</f>
        <v/>
      </c>
      <c r="CV714" t="str">
        <f>""</f>
        <v/>
      </c>
      <c r="CW714" t="str">
        <f>""</f>
        <v/>
      </c>
      <c r="CX714" t="str">
        <f>""</f>
        <v/>
      </c>
      <c r="CY714" t="str">
        <f>""</f>
        <v/>
      </c>
      <c r="CZ714" t="str">
        <f>""</f>
        <v/>
      </c>
      <c r="DA714" t="str">
        <f>""</f>
        <v/>
      </c>
      <c r="DB714" t="str">
        <f>""</f>
        <v/>
      </c>
      <c r="DC714" t="str">
        <f>""</f>
        <v/>
      </c>
      <c r="DD714" t="str">
        <f>""</f>
        <v/>
      </c>
      <c r="DE714" t="str">
        <f>""</f>
        <v/>
      </c>
      <c r="DF714" t="str">
        <f>""</f>
        <v/>
      </c>
      <c r="DG714" t="str">
        <f>""</f>
        <v/>
      </c>
      <c r="DH714" t="str">
        <f>""</f>
        <v/>
      </c>
      <c r="DI714" t="str">
        <f>""</f>
        <v/>
      </c>
      <c r="DJ714" t="str">
        <f>""</f>
        <v/>
      </c>
      <c r="DK714" t="str">
        <f>""</f>
        <v/>
      </c>
      <c r="DL714" t="str">
        <f>""</f>
        <v/>
      </c>
      <c r="DM714" t="str">
        <f>""</f>
        <v/>
      </c>
      <c r="DN714" t="str">
        <f>""</f>
        <v/>
      </c>
      <c r="DO714" t="str">
        <f>""</f>
        <v/>
      </c>
      <c r="DP714" t="str">
        <f>""</f>
        <v/>
      </c>
      <c r="DQ714" t="str">
        <f>""</f>
        <v/>
      </c>
      <c r="DR714" t="str">
        <f>""</f>
        <v/>
      </c>
      <c r="DS714" t="str">
        <f>""</f>
        <v/>
      </c>
      <c r="DT714" t="str">
        <f>""</f>
        <v/>
      </c>
      <c r="DU714" t="str">
        <f>""</f>
        <v/>
      </c>
    </row>
    <row r="715" spans="1:125" x14ac:dyDescent="0.25">
      <c r="A715" t="str">
        <f>$A$41</f>
        <v xml:space="preserve">    Tofas Turk Otomobil Fabrikasi AS</v>
      </c>
      <c r="B715" t="str">
        <f>$B$41</f>
        <v>TOASOTRY EO Equity</v>
      </c>
      <c r="C715" t="str">
        <f>$C$41</f>
        <v>RR900</v>
      </c>
      <c r="D715" t="str">
        <f>$D$41</f>
        <v>PE_RATIO</v>
      </c>
      <c r="E715" t="str">
        <f>$E$41</f>
        <v>Dynamic</v>
      </c>
      <c r="F715" t="str">
        <f ca="1">_xll.BDH($B$41,$C$41,$B$675,$B$676,CONCATENATE("Per=",$B$673),"Dts=H","Dir=H",CONCATENATE("Points=",$B$674),"Sort=R","Days=A","Fill=B",CONCATENATE("FX=", $B$672) )</f>
        <v>#N/A Connection</v>
      </c>
      <c r="BN715" t="str">
        <f>""</f>
        <v/>
      </c>
      <c r="BO715" t="str">
        <f>""</f>
        <v/>
      </c>
      <c r="BP715" t="str">
        <f>""</f>
        <v/>
      </c>
      <c r="BQ715" t="str">
        <f>""</f>
        <v/>
      </c>
      <c r="BR715" t="str">
        <f>""</f>
        <v/>
      </c>
      <c r="BS715" t="str">
        <f>""</f>
        <v/>
      </c>
      <c r="BT715" t="str">
        <f>""</f>
        <v/>
      </c>
      <c r="BU715" t="str">
        <f>""</f>
        <v/>
      </c>
      <c r="BV715" t="str">
        <f>""</f>
        <v/>
      </c>
      <c r="BW715" t="str">
        <f>""</f>
        <v/>
      </c>
      <c r="BX715" t="str">
        <f>""</f>
        <v/>
      </c>
      <c r="BY715" t="str">
        <f>""</f>
        <v/>
      </c>
      <c r="BZ715" t="str">
        <f>""</f>
        <v/>
      </c>
      <c r="CA715" t="str">
        <f>""</f>
        <v/>
      </c>
      <c r="CB715" t="str">
        <f>""</f>
        <v/>
      </c>
      <c r="CC715" t="str">
        <f>""</f>
        <v/>
      </c>
      <c r="CD715" t="str">
        <f>""</f>
        <v/>
      </c>
      <c r="CE715" t="str">
        <f>""</f>
        <v/>
      </c>
      <c r="CF715" t="str">
        <f>""</f>
        <v/>
      </c>
      <c r="CG715" t="str">
        <f>""</f>
        <v/>
      </c>
      <c r="CH715" t="str">
        <f>""</f>
        <v/>
      </c>
      <c r="CI715" t="str">
        <f>""</f>
        <v/>
      </c>
      <c r="CJ715" t="str">
        <f>""</f>
        <v/>
      </c>
      <c r="CK715" t="str">
        <f>""</f>
        <v/>
      </c>
      <c r="CL715" t="str">
        <f>""</f>
        <v/>
      </c>
      <c r="CM715" t="str">
        <f>""</f>
        <v/>
      </c>
      <c r="CN715" t="str">
        <f>""</f>
        <v/>
      </c>
      <c r="CO715" t="str">
        <f>""</f>
        <v/>
      </c>
      <c r="CP715" t="str">
        <f>""</f>
        <v/>
      </c>
      <c r="CQ715" t="str">
        <f>""</f>
        <v/>
      </c>
      <c r="CR715" t="str">
        <f>""</f>
        <v/>
      </c>
      <c r="CS715" t="str">
        <f>""</f>
        <v/>
      </c>
      <c r="CT715" t="str">
        <f>""</f>
        <v/>
      </c>
      <c r="CU715" t="str">
        <f>""</f>
        <v/>
      </c>
      <c r="CV715" t="str">
        <f>""</f>
        <v/>
      </c>
      <c r="CW715" t="str">
        <f>""</f>
        <v/>
      </c>
      <c r="CX715" t="str">
        <f>""</f>
        <v/>
      </c>
      <c r="CY715" t="str">
        <f>""</f>
        <v/>
      </c>
      <c r="CZ715" t="str">
        <f>""</f>
        <v/>
      </c>
      <c r="DA715" t="str">
        <f>""</f>
        <v/>
      </c>
      <c r="DB715" t="str">
        <f>""</f>
        <v/>
      </c>
      <c r="DC715" t="str">
        <f>""</f>
        <v/>
      </c>
      <c r="DD715" t="str">
        <f>""</f>
        <v/>
      </c>
      <c r="DE715" t="str">
        <f>""</f>
        <v/>
      </c>
      <c r="DF715" t="str">
        <f>""</f>
        <v/>
      </c>
      <c r="DG715" t="str">
        <f>""</f>
        <v/>
      </c>
      <c r="DH715" t="str">
        <f>""</f>
        <v/>
      </c>
      <c r="DI715" t="str">
        <f>""</f>
        <v/>
      </c>
      <c r="DJ715" t="str">
        <f>""</f>
        <v/>
      </c>
      <c r="DK715" t="str">
        <f>""</f>
        <v/>
      </c>
      <c r="DL715" t="str">
        <f>""</f>
        <v/>
      </c>
      <c r="DM715" t="str">
        <f>""</f>
        <v/>
      </c>
      <c r="DN715" t="str">
        <f>""</f>
        <v/>
      </c>
      <c r="DO715" t="str">
        <f>""</f>
        <v/>
      </c>
      <c r="DP715" t="str">
        <f>""</f>
        <v/>
      </c>
      <c r="DQ715" t="str">
        <f>""</f>
        <v/>
      </c>
      <c r="DR715" t="str">
        <f>""</f>
        <v/>
      </c>
      <c r="DS715" t="str">
        <f>""</f>
        <v/>
      </c>
      <c r="DT715" t="str">
        <f>""</f>
        <v/>
      </c>
      <c r="DU715" t="str">
        <f>""</f>
        <v/>
      </c>
    </row>
    <row r="716" spans="1:125" x14ac:dyDescent="0.25">
      <c r="A716" t="str">
        <f>$A$42</f>
        <v xml:space="preserve">    Toyota Motor Corp</v>
      </c>
      <c r="B716" t="str">
        <f>$B$42</f>
        <v>7203 JP Equity</v>
      </c>
      <c r="C716" t="str">
        <f>$C$42</f>
        <v>RR900</v>
      </c>
      <c r="D716" t="str">
        <f>$D$42</f>
        <v>PE_RATIO</v>
      </c>
      <c r="E716" t="str">
        <f>$E$42</f>
        <v>Dynamic</v>
      </c>
      <c r="F716" t="str">
        <f ca="1">_xll.BDH($B$42,$C$42,$B$675,$B$676,CONCATENATE("Per=",$B$673),"Dts=H","Dir=H",CONCATENATE("Points=",$B$674),"Sort=R","Days=A","Fill=B",CONCATENATE("FX=", $B$672) )</f>
        <v>#N/A Connection</v>
      </c>
      <c r="BN716" t="str">
        <f>""</f>
        <v/>
      </c>
      <c r="BO716" t="str">
        <f>""</f>
        <v/>
      </c>
      <c r="BP716" t="str">
        <f>""</f>
        <v/>
      </c>
      <c r="BQ716" t="str">
        <f>""</f>
        <v/>
      </c>
      <c r="BR716" t="str">
        <f>""</f>
        <v/>
      </c>
      <c r="BS716" t="str">
        <f>""</f>
        <v/>
      </c>
      <c r="BT716" t="str">
        <f>""</f>
        <v/>
      </c>
      <c r="BU716" t="str">
        <f>""</f>
        <v/>
      </c>
      <c r="BV716" t="str">
        <f>""</f>
        <v/>
      </c>
      <c r="BW716" t="str">
        <f>""</f>
        <v/>
      </c>
      <c r="BX716" t="str">
        <f>""</f>
        <v/>
      </c>
      <c r="BY716" t="str">
        <f>""</f>
        <v/>
      </c>
      <c r="BZ716" t="str">
        <f>""</f>
        <v/>
      </c>
      <c r="CA716" t="str">
        <f>""</f>
        <v/>
      </c>
      <c r="CB716" t="str">
        <f>""</f>
        <v/>
      </c>
      <c r="CC716" t="str">
        <f>""</f>
        <v/>
      </c>
      <c r="CD716" t="str">
        <f>""</f>
        <v/>
      </c>
      <c r="CE716" t="str">
        <f>""</f>
        <v/>
      </c>
      <c r="CF716" t="str">
        <f>""</f>
        <v/>
      </c>
      <c r="CG716" t="str">
        <f>""</f>
        <v/>
      </c>
      <c r="CH716" t="str">
        <f>""</f>
        <v/>
      </c>
      <c r="CI716" t="str">
        <f>""</f>
        <v/>
      </c>
      <c r="CJ716" t="str">
        <f>""</f>
        <v/>
      </c>
      <c r="CK716" t="str">
        <f>""</f>
        <v/>
      </c>
      <c r="CL716" t="str">
        <f>""</f>
        <v/>
      </c>
      <c r="CM716" t="str">
        <f>""</f>
        <v/>
      </c>
      <c r="CN716" t="str">
        <f>""</f>
        <v/>
      </c>
      <c r="CO716" t="str">
        <f>""</f>
        <v/>
      </c>
      <c r="CP716" t="str">
        <f>""</f>
        <v/>
      </c>
      <c r="CQ716" t="str">
        <f>""</f>
        <v/>
      </c>
      <c r="CR716" t="str">
        <f>""</f>
        <v/>
      </c>
      <c r="CS716" t="str">
        <f>""</f>
        <v/>
      </c>
      <c r="CT716" t="str">
        <f>""</f>
        <v/>
      </c>
      <c r="CU716" t="str">
        <f>""</f>
        <v/>
      </c>
      <c r="CV716" t="str">
        <f>""</f>
        <v/>
      </c>
      <c r="CW716" t="str">
        <f>""</f>
        <v/>
      </c>
      <c r="CX716" t="str">
        <f>""</f>
        <v/>
      </c>
      <c r="CY716" t="str">
        <f>""</f>
        <v/>
      </c>
      <c r="CZ716" t="str">
        <f>""</f>
        <v/>
      </c>
      <c r="DA716" t="str">
        <f>""</f>
        <v/>
      </c>
      <c r="DB716" t="str">
        <f>""</f>
        <v/>
      </c>
      <c r="DC716" t="str">
        <f>""</f>
        <v/>
      </c>
      <c r="DD716" t="str">
        <f>""</f>
        <v/>
      </c>
      <c r="DE716" t="str">
        <f>""</f>
        <v/>
      </c>
      <c r="DF716" t="str">
        <f>""</f>
        <v/>
      </c>
      <c r="DG716" t="str">
        <f>""</f>
        <v/>
      </c>
      <c r="DH716" t="str">
        <f>""</f>
        <v/>
      </c>
      <c r="DI716" t="str">
        <f>""</f>
        <v/>
      </c>
      <c r="DJ716" t="str">
        <f>""</f>
        <v/>
      </c>
      <c r="DK716" t="str">
        <f>""</f>
        <v/>
      </c>
      <c r="DL716" t="str">
        <f>""</f>
        <v/>
      </c>
      <c r="DM716" t="str">
        <f>""</f>
        <v/>
      </c>
      <c r="DN716" t="str">
        <f>""</f>
        <v/>
      </c>
      <c r="DO716" t="str">
        <f>""</f>
        <v/>
      </c>
      <c r="DP716" t="str">
        <f>""</f>
        <v/>
      </c>
      <c r="DQ716" t="str">
        <f>""</f>
        <v/>
      </c>
      <c r="DR716" t="str">
        <f>""</f>
        <v/>
      </c>
      <c r="DS716" t="str">
        <f>""</f>
        <v/>
      </c>
      <c r="DT716" t="str">
        <f>""</f>
        <v/>
      </c>
      <c r="DU716" t="str">
        <f>""</f>
        <v/>
      </c>
    </row>
    <row r="717" spans="1:125" x14ac:dyDescent="0.25">
      <c r="A717" t="str">
        <f>$A$43</f>
        <v xml:space="preserve">    Volkswagen AG</v>
      </c>
      <c r="B717" t="str">
        <f>$B$43</f>
        <v>VOW GR Equity</v>
      </c>
      <c r="C717" t="str">
        <f>$C$43</f>
        <v>RR900</v>
      </c>
      <c r="D717" t="str">
        <f>$D$43</f>
        <v>PE_RATIO</v>
      </c>
      <c r="E717" t="str">
        <f>$E$43</f>
        <v>Dynamic</v>
      </c>
      <c r="F717" t="str">
        <f ca="1">_xll.BDH($B$43,$C$43,$B$675,$B$676,CONCATENATE("Per=",$B$673),"Dts=H","Dir=H",CONCATENATE("Points=",$B$674),"Sort=R","Days=A","Fill=B",CONCATENATE("FX=", $B$672) )</f>
        <v>#N/A Connection</v>
      </c>
      <c r="BN717" t="str">
        <f>""</f>
        <v/>
      </c>
      <c r="BO717" t="str">
        <f>""</f>
        <v/>
      </c>
      <c r="BP717" t="str">
        <f>""</f>
        <v/>
      </c>
      <c r="BQ717" t="str">
        <f>""</f>
        <v/>
      </c>
      <c r="BR717" t="str">
        <f>""</f>
        <v/>
      </c>
      <c r="BS717" t="str">
        <f>""</f>
        <v/>
      </c>
      <c r="BT717" t="str">
        <f>""</f>
        <v/>
      </c>
      <c r="BU717" t="str">
        <f>""</f>
        <v/>
      </c>
      <c r="BV717" t="str">
        <f>""</f>
        <v/>
      </c>
      <c r="BW717" t="str">
        <f>""</f>
        <v/>
      </c>
      <c r="BX717" t="str">
        <f>""</f>
        <v/>
      </c>
      <c r="BY717" t="str">
        <f>""</f>
        <v/>
      </c>
      <c r="BZ717" t="str">
        <f>""</f>
        <v/>
      </c>
      <c r="CA717" t="str">
        <f>""</f>
        <v/>
      </c>
      <c r="CB717" t="str">
        <f>""</f>
        <v/>
      </c>
      <c r="CC717" t="str">
        <f>""</f>
        <v/>
      </c>
      <c r="CD717" t="str">
        <f>""</f>
        <v/>
      </c>
      <c r="CE717" t="str">
        <f>""</f>
        <v/>
      </c>
      <c r="CF717" t="str">
        <f>""</f>
        <v/>
      </c>
      <c r="CG717" t="str">
        <f>""</f>
        <v/>
      </c>
      <c r="CH717" t="str">
        <f>""</f>
        <v/>
      </c>
      <c r="CI717" t="str">
        <f>""</f>
        <v/>
      </c>
      <c r="CJ717" t="str">
        <f>""</f>
        <v/>
      </c>
      <c r="CK717" t="str">
        <f>""</f>
        <v/>
      </c>
      <c r="CL717" t="str">
        <f>""</f>
        <v/>
      </c>
      <c r="CM717" t="str">
        <f>""</f>
        <v/>
      </c>
      <c r="CN717" t="str">
        <f>""</f>
        <v/>
      </c>
      <c r="CO717" t="str">
        <f>""</f>
        <v/>
      </c>
      <c r="CP717" t="str">
        <f>""</f>
        <v/>
      </c>
      <c r="CQ717" t="str">
        <f>""</f>
        <v/>
      </c>
      <c r="CR717" t="str">
        <f>""</f>
        <v/>
      </c>
      <c r="CS717" t="str">
        <f>""</f>
        <v/>
      </c>
      <c r="CT717" t="str">
        <f>""</f>
        <v/>
      </c>
      <c r="CU717" t="str">
        <f>""</f>
        <v/>
      </c>
      <c r="CV717" t="str">
        <f>""</f>
        <v/>
      </c>
      <c r="CW717" t="str">
        <f>""</f>
        <v/>
      </c>
      <c r="CX717" t="str">
        <f>""</f>
        <v/>
      </c>
      <c r="CY717" t="str">
        <f>""</f>
        <v/>
      </c>
      <c r="CZ717" t="str">
        <f>""</f>
        <v/>
      </c>
      <c r="DA717" t="str">
        <f>""</f>
        <v/>
      </c>
      <c r="DB717" t="str">
        <f>""</f>
        <v/>
      </c>
      <c r="DC717" t="str">
        <f>""</f>
        <v/>
      </c>
      <c r="DD717" t="str">
        <f>""</f>
        <v/>
      </c>
      <c r="DE717" t="str">
        <f>""</f>
        <v/>
      </c>
      <c r="DF717" t="str">
        <f>""</f>
        <v/>
      </c>
      <c r="DG717" t="str">
        <f>""</f>
        <v/>
      </c>
      <c r="DH717" t="str">
        <f>""</f>
        <v/>
      </c>
      <c r="DI717" t="str">
        <f>""</f>
        <v/>
      </c>
      <c r="DJ717" t="str">
        <f>""</f>
        <v/>
      </c>
      <c r="DK717" t="str">
        <f>""</f>
        <v/>
      </c>
      <c r="DL717" t="str">
        <f>""</f>
        <v/>
      </c>
      <c r="DM717" t="str">
        <f>""</f>
        <v/>
      </c>
      <c r="DN717" t="str">
        <f>""</f>
        <v/>
      </c>
      <c r="DO717" t="str">
        <f>""</f>
        <v/>
      </c>
      <c r="DP717" t="str">
        <f>""</f>
        <v/>
      </c>
      <c r="DQ717" t="str">
        <f>""</f>
        <v/>
      </c>
      <c r="DR717" t="str">
        <f>""</f>
        <v/>
      </c>
      <c r="DS717" t="str">
        <f>""</f>
        <v/>
      </c>
      <c r="DT717" t="str">
        <f>""</f>
        <v/>
      </c>
      <c r="DU717" t="str">
        <f>""</f>
        <v/>
      </c>
    </row>
    <row r="718" spans="1:125" x14ac:dyDescent="0.25">
      <c r="A718" t="str">
        <f>$A$44</f>
        <v xml:space="preserve">    Yulon Motor Co Ltd</v>
      </c>
      <c r="B718" t="str">
        <f>$B$44</f>
        <v>2201 TT Equity</v>
      </c>
      <c r="C718" t="str">
        <f>$C$44</f>
        <v>RR900</v>
      </c>
      <c r="D718" t="str">
        <f>$D$44</f>
        <v>PE_RATIO</v>
      </c>
      <c r="E718" t="str">
        <f>$E$44</f>
        <v>Dynamic</v>
      </c>
      <c r="F718" t="str">
        <f ca="1">_xll.BDH($B$44,$C$44,$B$675,$B$676,CONCATENATE("Per=",$B$673),"Dts=H","Dir=H",CONCATENATE("Points=",$B$674),"Sort=R","Days=A","Fill=B",CONCATENATE("FX=", $B$672) )</f>
        <v>#N/A Connection</v>
      </c>
      <c r="BN718" t="str">
        <f>""</f>
        <v/>
      </c>
      <c r="BO718" t="str">
        <f>""</f>
        <v/>
      </c>
      <c r="BP718" t="str">
        <f>""</f>
        <v/>
      </c>
      <c r="BQ718" t="str">
        <f>""</f>
        <v/>
      </c>
      <c r="BR718" t="str">
        <f>""</f>
        <v/>
      </c>
      <c r="BS718" t="str">
        <f>""</f>
        <v/>
      </c>
      <c r="BT718" t="str">
        <f>""</f>
        <v/>
      </c>
      <c r="BU718" t="str">
        <f>""</f>
        <v/>
      </c>
      <c r="BV718" t="str">
        <f>""</f>
        <v/>
      </c>
      <c r="BW718" t="str">
        <f>""</f>
        <v/>
      </c>
      <c r="BX718" t="str">
        <f>""</f>
        <v/>
      </c>
      <c r="BY718" t="str">
        <f>""</f>
        <v/>
      </c>
      <c r="BZ718" t="str">
        <f>""</f>
        <v/>
      </c>
      <c r="CA718" t="str">
        <f>""</f>
        <v/>
      </c>
      <c r="CB718" t="str">
        <f>""</f>
        <v/>
      </c>
      <c r="CC718" t="str">
        <f>""</f>
        <v/>
      </c>
      <c r="CD718" t="str">
        <f>""</f>
        <v/>
      </c>
      <c r="CE718" t="str">
        <f>""</f>
        <v/>
      </c>
      <c r="CF718" t="str">
        <f>""</f>
        <v/>
      </c>
      <c r="CG718" t="str">
        <f>""</f>
        <v/>
      </c>
      <c r="CH718" t="str">
        <f>""</f>
        <v/>
      </c>
      <c r="CI718" t="str">
        <f>""</f>
        <v/>
      </c>
      <c r="CJ718" t="str">
        <f>""</f>
        <v/>
      </c>
      <c r="CK718" t="str">
        <f>""</f>
        <v/>
      </c>
      <c r="CL718" t="str">
        <f>""</f>
        <v/>
      </c>
      <c r="CM718" t="str">
        <f>""</f>
        <v/>
      </c>
      <c r="CN718" t="str">
        <f>""</f>
        <v/>
      </c>
      <c r="CO718" t="str">
        <f>""</f>
        <v/>
      </c>
      <c r="CP718" t="str">
        <f>""</f>
        <v/>
      </c>
      <c r="CQ718" t="str">
        <f>""</f>
        <v/>
      </c>
      <c r="CR718" t="str">
        <f>""</f>
        <v/>
      </c>
      <c r="CS718" t="str">
        <f>""</f>
        <v/>
      </c>
      <c r="CT718" t="str">
        <f>""</f>
        <v/>
      </c>
      <c r="CU718" t="str">
        <f>""</f>
        <v/>
      </c>
      <c r="CV718" t="str">
        <f>""</f>
        <v/>
      </c>
      <c r="CW718" t="str">
        <f>""</f>
        <v/>
      </c>
      <c r="CX718" t="str">
        <f>""</f>
        <v/>
      </c>
      <c r="CY718" t="str">
        <f>""</f>
        <v/>
      </c>
      <c r="CZ718" t="str">
        <f>""</f>
        <v/>
      </c>
      <c r="DA718" t="str">
        <f>""</f>
        <v/>
      </c>
      <c r="DB718" t="str">
        <f>""</f>
        <v/>
      </c>
      <c r="DC718" t="str">
        <f>""</f>
        <v/>
      </c>
      <c r="DD718" t="str">
        <f>""</f>
        <v/>
      </c>
      <c r="DE718" t="str">
        <f>""</f>
        <v/>
      </c>
      <c r="DF718" t="str">
        <f>""</f>
        <v/>
      </c>
      <c r="DG718" t="str">
        <f>""</f>
        <v/>
      </c>
      <c r="DH718" t="str">
        <f>""</f>
        <v/>
      </c>
      <c r="DI718" t="str">
        <f>""</f>
        <v/>
      </c>
      <c r="DJ718" t="str">
        <f>""</f>
        <v/>
      </c>
      <c r="DK718" t="str">
        <f>""</f>
        <v/>
      </c>
      <c r="DL718" t="str">
        <f>""</f>
        <v/>
      </c>
      <c r="DM718" t="str">
        <f>""</f>
        <v/>
      </c>
      <c r="DN718" t="str">
        <f>""</f>
        <v/>
      </c>
      <c r="DO718" t="str">
        <f>""</f>
        <v/>
      </c>
      <c r="DP718" t="str">
        <f>""</f>
        <v/>
      </c>
      <c r="DQ718" t="str">
        <f>""</f>
        <v/>
      </c>
      <c r="DR718" t="str">
        <f>""</f>
        <v/>
      </c>
      <c r="DS718" t="str">
        <f>""</f>
        <v/>
      </c>
      <c r="DT718" t="str">
        <f>""</f>
        <v/>
      </c>
      <c r="DU718" t="str">
        <f>""</f>
        <v/>
      </c>
    </row>
    <row r="719" spans="1:125" x14ac:dyDescent="0.25">
      <c r="A719" t="str">
        <f>$A$46</f>
        <v xml:space="preserve">    AUDI AG</v>
      </c>
      <c r="B719" t="str">
        <f>$B$46</f>
        <v>NSU GR Equity</v>
      </c>
      <c r="C719" t="str">
        <f>$C$46</f>
        <v>EZ009</v>
      </c>
      <c r="D719" t="str">
        <f>$D$46</f>
        <v>BEST_EST_PE_CUR_YR</v>
      </c>
      <c r="E719" t="str">
        <f>$E$46</f>
        <v>Dynamic</v>
      </c>
      <c r="F719" t="str">
        <f ca="1">_xll.BDH($B$46,$C$46,$B$675,$B$676,CONCATENATE("Per=",$B$673),"Dts=H","Dir=H",CONCATENATE("Points=",$B$674),"Sort=R","Days=A","Fill=B",CONCATENATE("FX=", $B$672) )</f>
        <v>#N/A Connection</v>
      </c>
      <c r="BN719" t="str">
        <f>""</f>
        <v/>
      </c>
      <c r="BO719" t="str">
        <f>""</f>
        <v/>
      </c>
      <c r="BP719" t="str">
        <f>""</f>
        <v/>
      </c>
      <c r="BQ719" t="str">
        <f>""</f>
        <v/>
      </c>
      <c r="BR719" t="str">
        <f>""</f>
        <v/>
      </c>
      <c r="BS719" t="str">
        <f>""</f>
        <v/>
      </c>
      <c r="BT719" t="str">
        <f>""</f>
        <v/>
      </c>
      <c r="BU719" t="str">
        <f>""</f>
        <v/>
      </c>
      <c r="BV719" t="str">
        <f>""</f>
        <v/>
      </c>
      <c r="BW719" t="str">
        <f>""</f>
        <v/>
      </c>
      <c r="BX719" t="str">
        <f>""</f>
        <v/>
      </c>
      <c r="BY719" t="str">
        <f>""</f>
        <v/>
      </c>
      <c r="BZ719" t="str">
        <f>""</f>
        <v/>
      </c>
      <c r="CA719" t="str">
        <f>""</f>
        <v/>
      </c>
      <c r="CB719" t="str">
        <f>""</f>
        <v/>
      </c>
      <c r="CC719" t="str">
        <f>""</f>
        <v/>
      </c>
      <c r="CD719" t="str">
        <f>""</f>
        <v/>
      </c>
      <c r="CE719" t="str">
        <f>""</f>
        <v/>
      </c>
      <c r="CF719" t="str">
        <f>""</f>
        <v/>
      </c>
      <c r="CG719" t="str">
        <f>""</f>
        <v/>
      </c>
      <c r="CH719" t="str">
        <f>""</f>
        <v/>
      </c>
      <c r="CI719" t="str">
        <f>""</f>
        <v/>
      </c>
      <c r="CJ719" t="str">
        <f>""</f>
        <v/>
      </c>
      <c r="CK719" t="str">
        <f>""</f>
        <v/>
      </c>
      <c r="CL719" t="str">
        <f>""</f>
        <v/>
      </c>
      <c r="CM719" t="str">
        <f>""</f>
        <v/>
      </c>
      <c r="CN719" t="str">
        <f>""</f>
        <v/>
      </c>
      <c r="CO719" t="str">
        <f>""</f>
        <v/>
      </c>
      <c r="CP719" t="str">
        <f>""</f>
        <v/>
      </c>
      <c r="CQ719" t="str">
        <f>""</f>
        <v/>
      </c>
      <c r="CR719" t="str">
        <f>""</f>
        <v/>
      </c>
      <c r="CS719" t="str">
        <f>""</f>
        <v/>
      </c>
      <c r="CT719" t="str">
        <f>""</f>
        <v/>
      </c>
      <c r="CU719" t="str">
        <f>""</f>
        <v/>
      </c>
      <c r="CV719" t="str">
        <f>""</f>
        <v/>
      </c>
      <c r="CW719" t="str">
        <f>""</f>
        <v/>
      </c>
      <c r="CX719" t="str">
        <f>""</f>
        <v/>
      </c>
      <c r="CY719" t="str">
        <f>""</f>
        <v/>
      </c>
      <c r="CZ719" t="str">
        <f>""</f>
        <v/>
      </c>
      <c r="DA719" t="str">
        <f>""</f>
        <v/>
      </c>
      <c r="DB719" t="str">
        <f>""</f>
        <v/>
      </c>
      <c r="DC719" t="str">
        <f>""</f>
        <v/>
      </c>
      <c r="DD719" t="str">
        <f>""</f>
        <v/>
      </c>
      <c r="DE719" t="str">
        <f>""</f>
        <v/>
      </c>
      <c r="DF719" t="str">
        <f>""</f>
        <v/>
      </c>
      <c r="DG719" t="str">
        <f>""</f>
        <v/>
      </c>
      <c r="DH719" t="str">
        <f>""</f>
        <v/>
      </c>
      <c r="DI719" t="str">
        <f>""</f>
        <v/>
      </c>
      <c r="DJ719" t="str">
        <f>""</f>
        <v/>
      </c>
      <c r="DK719" t="str">
        <f>""</f>
        <v/>
      </c>
      <c r="DL719" t="str">
        <f>""</f>
        <v/>
      </c>
      <c r="DM719" t="str">
        <f>""</f>
        <v/>
      </c>
      <c r="DN719" t="str">
        <f>""</f>
        <v/>
      </c>
      <c r="DO719" t="str">
        <f>""</f>
        <v/>
      </c>
      <c r="DP719" t="str">
        <f>""</f>
        <v/>
      </c>
      <c r="DQ719" t="str">
        <f>""</f>
        <v/>
      </c>
      <c r="DR719" t="str">
        <f>""</f>
        <v/>
      </c>
      <c r="DS719" t="str">
        <f>""</f>
        <v/>
      </c>
      <c r="DT719" t="str">
        <f>""</f>
        <v/>
      </c>
      <c r="DU719" t="str">
        <f>""</f>
        <v/>
      </c>
    </row>
    <row r="720" spans="1:125" x14ac:dyDescent="0.25">
      <c r="A720" t="str">
        <f>$A$47</f>
        <v xml:space="preserve">    Avtovaz PJSC</v>
      </c>
      <c r="B720" t="str">
        <f>$B$47</f>
        <v>AVAZ RM Equity</v>
      </c>
      <c r="C720" t="str">
        <f>$C$47</f>
        <v>EZ009</v>
      </c>
      <c r="D720" t="str">
        <f>$D$47</f>
        <v>BEST_EST_PE_CUR_YR</v>
      </c>
      <c r="E720" t="str">
        <f>$E$47</f>
        <v>Dynamic</v>
      </c>
      <c r="F720" t="str">
        <f ca="1">_xll.BDH($B$47,$C$47,$B$675,$B$676,CONCATENATE("Per=",$B$673),"Dts=H","Dir=H",CONCATENATE("Points=",$B$674),"Sort=R","Days=A","Fill=B",CONCATENATE("FX=", $B$672) )</f>
        <v>#N/A Connection</v>
      </c>
      <c r="BN720" t="str">
        <f>""</f>
        <v/>
      </c>
      <c r="BO720" t="str">
        <f>""</f>
        <v/>
      </c>
      <c r="BP720" t="str">
        <f>""</f>
        <v/>
      </c>
      <c r="BQ720" t="str">
        <f>""</f>
        <v/>
      </c>
      <c r="BR720" t="str">
        <f>""</f>
        <v/>
      </c>
      <c r="BS720" t="str">
        <f>""</f>
        <v/>
      </c>
      <c r="BT720" t="str">
        <f>""</f>
        <v/>
      </c>
      <c r="BU720" t="str">
        <f>""</f>
        <v/>
      </c>
      <c r="BV720" t="str">
        <f>""</f>
        <v/>
      </c>
      <c r="BW720" t="str">
        <f>""</f>
        <v/>
      </c>
      <c r="BX720" t="str">
        <f>""</f>
        <v/>
      </c>
      <c r="BY720" t="str">
        <f>""</f>
        <v/>
      </c>
      <c r="BZ720" t="str">
        <f>""</f>
        <v/>
      </c>
      <c r="CA720" t="str">
        <f>""</f>
        <v/>
      </c>
      <c r="CB720" t="str">
        <f>""</f>
        <v/>
      </c>
      <c r="CC720" t="str">
        <f>""</f>
        <v/>
      </c>
      <c r="CD720" t="str">
        <f>""</f>
        <v/>
      </c>
      <c r="CE720" t="str">
        <f>""</f>
        <v/>
      </c>
      <c r="CF720" t="str">
        <f>""</f>
        <v/>
      </c>
      <c r="CG720" t="str">
        <f>""</f>
        <v/>
      </c>
      <c r="CH720" t="str">
        <f>""</f>
        <v/>
      </c>
      <c r="CI720" t="str">
        <f>""</f>
        <v/>
      </c>
      <c r="CJ720" t="str">
        <f>""</f>
        <v/>
      </c>
      <c r="CK720" t="str">
        <f>""</f>
        <v/>
      </c>
      <c r="CL720" t="str">
        <f>""</f>
        <v/>
      </c>
      <c r="CM720" t="str">
        <f>""</f>
        <v/>
      </c>
      <c r="CN720" t="str">
        <f>""</f>
        <v/>
      </c>
      <c r="CO720" t="str">
        <f>""</f>
        <v/>
      </c>
      <c r="CP720" t="str">
        <f>""</f>
        <v/>
      </c>
      <c r="CQ720" t="str">
        <f>""</f>
        <v/>
      </c>
      <c r="CR720" t="str">
        <f>""</f>
        <v/>
      </c>
      <c r="CS720" t="str">
        <f>""</f>
        <v/>
      </c>
      <c r="CT720" t="str">
        <f>""</f>
        <v/>
      </c>
      <c r="CU720" t="str">
        <f>""</f>
        <v/>
      </c>
      <c r="CV720" t="str">
        <f>""</f>
        <v/>
      </c>
      <c r="CW720" t="str">
        <f>""</f>
        <v/>
      </c>
      <c r="CX720" t="str">
        <f>""</f>
        <v/>
      </c>
      <c r="CY720" t="str">
        <f>""</f>
        <v/>
      </c>
      <c r="CZ720" t="str">
        <f>""</f>
        <v/>
      </c>
      <c r="DA720" t="str">
        <f>""</f>
        <v/>
      </c>
      <c r="DB720" t="str">
        <f>""</f>
        <v/>
      </c>
      <c r="DC720" t="str">
        <f>""</f>
        <v/>
      </c>
      <c r="DD720" t="str">
        <f>""</f>
        <v/>
      </c>
      <c r="DE720" t="str">
        <f>""</f>
        <v/>
      </c>
      <c r="DF720" t="str">
        <f>""</f>
        <v/>
      </c>
      <c r="DG720" t="str">
        <f>""</f>
        <v/>
      </c>
      <c r="DH720" t="str">
        <f>""</f>
        <v/>
      </c>
      <c r="DI720" t="str">
        <f>""</f>
        <v/>
      </c>
      <c r="DJ720" t="str">
        <f>""</f>
        <v/>
      </c>
      <c r="DK720" t="str">
        <f>""</f>
        <v/>
      </c>
      <c r="DL720" t="str">
        <f>""</f>
        <v/>
      </c>
      <c r="DM720" t="str">
        <f>""</f>
        <v/>
      </c>
      <c r="DN720" t="str">
        <f>""</f>
        <v/>
      </c>
      <c r="DO720" t="str">
        <f>""</f>
        <v/>
      </c>
      <c r="DP720" t="str">
        <f>""</f>
        <v/>
      </c>
      <c r="DQ720" t="str">
        <f>""</f>
        <v/>
      </c>
      <c r="DR720" t="str">
        <f>""</f>
        <v/>
      </c>
      <c r="DS720" t="str">
        <f>""</f>
        <v/>
      </c>
      <c r="DT720" t="str">
        <f>""</f>
        <v/>
      </c>
      <c r="DU720" t="str">
        <f>""</f>
        <v/>
      </c>
    </row>
    <row r="721" spans="1:125" x14ac:dyDescent="0.25">
      <c r="A721" t="str">
        <f>$A$48</f>
        <v xml:space="preserve">    Bayerische Motoren Werke AG</v>
      </c>
      <c r="B721" t="str">
        <f>$B$48</f>
        <v>BMW GR Equity</v>
      </c>
      <c r="C721" t="str">
        <f>$C$48</f>
        <v>EZ009</v>
      </c>
      <c r="D721" t="str">
        <f>$D$48</f>
        <v>BEST_EST_PE_CUR_YR</v>
      </c>
      <c r="E721" t="str">
        <f>$E$48</f>
        <v>Dynamic</v>
      </c>
      <c r="F721" t="str">
        <f ca="1">_xll.BDH($B$48,$C$48,$B$675,$B$676,CONCATENATE("Per=",$B$673),"Dts=H","Dir=H",CONCATENATE("Points=",$B$674),"Sort=R","Days=A","Fill=B",CONCATENATE("FX=", $B$672) )</f>
        <v>#N/A Connection</v>
      </c>
      <c r="BN721" t="str">
        <f>""</f>
        <v/>
      </c>
      <c r="BO721" t="str">
        <f>""</f>
        <v/>
      </c>
      <c r="BP721" t="str">
        <f>""</f>
        <v/>
      </c>
      <c r="BQ721" t="str">
        <f>""</f>
        <v/>
      </c>
      <c r="BR721" t="str">
        <f>""</f>
        <v/>
      </c>
      <c r="BS721" t="str">
        <f>""</f>
        <v/>
      </c>
      <c r="BT721" t="str">
        <f>""</f>
        <v/>
      </c>
      <c r="BU721" t="str">
        <f>""</f>
        <v/>
      </c>
      <c r="BV721" t="str">
        <f>""</f>
        <v/>
      </c>
      <c r="BW721" t="str">
        <f>""</f>
        <v/>
      </c>
      <c r="BX721" t="str">
        <f>""</f>
        <v/>
      </c>
      <c r="BY721" t="str">
        <f>""</f>
        <v/>
      </c>
      <c r="BZ721" t="str">
        <f>""</f>
        <v/>
      </c>
      <c r="CA721" t="str">
        <f>""</f>
        <v/>
      </c>
      <c r="CB721" t="str">
        <f>""</f>
        <v/>
      </c>
      <c r="CC721" t="str">
        <f>""</f>
        <v/>
      </c>
      <c r="CD721" t="str">
        <f>""</f>
        <v/>
      </c>
      <c r="CE721" t="str">
        <f>""</f>
        <v/>
      </c>
      <c r="CF721" t="str">
        <f>""</f>
        <v/>
      </c>
      <c r="CG721" t="str">
        <f>""</f>
        <v/>
      </c>
      <c r="CH721" t="str">
        <f>""</f>
        <v/>
      </c>
      <c r="CI721" t="str">
        <f>""</f>
        <v/>
      </c>
      <c r="CJ721" t="str">
        <f>""</f>
        <v/>
      </c>
      <c r="CK721" t="str">
        <f>""</f>
        <v/>
      </c>
      <c r="CL721" t="str">
        <f>""</f>
        <v/>
      </c>
      <c r="CM721" t="str">
        <f>""</f>
        <v/>
      </c>
      <c r="CN721" t="str">
        <f>""</f>
        <v/>
      </c>
      <c r="CO721" t="str">
        <f>""</f>
        <v/>
      </c>
      <c r="CP721" t="str">
        <f>""</f>
        <v/>
      </c>
      <c r="CQ721" t="str">
        <f>""</f>
        <v/>
      </c>
      <c r="CR721" t="str">
        <f>""</f>
        <v/>
      </c>
      <c r="CS721" t="str">
        <f>""</f>
        <v/>
      </c>
      <c r="CT721" t="str">
        <f>""</f>
        <v/>
      </c>
      <c r="CU721" t="str">
        <f>""</f>
        <v/>
      </c>
      <c r="CV721" t="str">
        <f>""</f>
        <v/>
      </c>
      <c r="CW721" t="str">
        <f>""</f>
        <v/>
      </c>
      <c r="CX721" t="str">
        <f>""</f>
        <v/>
      </c>
      <c r="CY721" t="str">
        <f>""</f>
        <v/>
      </c>
      <c r="CZ721" t="str">
        <f>""</f>
        <v/>
      </c>
      <c r="DA721" t="str">
        <f>""</f>
        <v/>
      </c>
      <c r="DB721" t="str">
        <f>""</f>
        <v/>
      </c>
      <c r="DC721" t="str">
        <f>""</f>
        <v/>
      </c>
      <c r="DD721" t="str">
        <f>""</f>
        <v/>
      </c>
      <c r="DE721" t="str">
        <f>""</f>
        <v/>
      </c>
      <c r="DF721" t="str">
        <f>""</f>
        <v/>
      </c>
      <c r="DG721" t="str">
        <f>""</f>
        <v/>
      </c>
      <c r="DH721" t="str">
        <f>""</f>
        <v/>
      </c>
      <c r="DI721" t="str">
        <f>""</f>
        <v/>
      </c>
      <c r="DJ721" t="str">
        <f>""</f>
        <v/>
      </c>
      <c r="DK721" t="str">
        <f>""</f>
        <v/>
      </c>
      <c r="DL721" t="str">
        <f>""</f>
        <v/>
      </c>
      <c r="DM721" t="str">
        <f>""</f>
        <v/>
      </c>
      <c r="DN721" t="str">
        <f>""</f>
        <v/>
      </c>
      <c r="DO721" t="str">
        <f>""</f>
        <v/>
      </c>
      <c r="DP721" t="str">
        <f>""</f>
        <v/>
      </c>
      <c r="DQ721" t="str">
        <f>""</f>
        <v/>
      </c>
      <c r="DR721" t="str">
        <f>""</f>
        <v/>
      </c>
      <c r="DS721" t="str">
        <f>""</f>
        <v/>
      </c>
      <c r="DT721" t="str">
        <f>""</f>
        <v/>
      </c>
      <c r="DU721" t="str">
        <f>""</f>
        <v/>
      </c>
    </row>
    <row r="722" spans="1:125" x14ac:dyDescent="0.25">
      <c r="A722" t="str">
        <f>$A$49</f>
        <v xml:space="preserve">    Brilliance China Automotive Holdings Ltd</v>
      </c>
      <c r="B722" t="str">
        <f>$B$49</f>
        <v>1114 HK Equity</v>
      </c>
      <c r="C722" t="str">
        <f>$C$49</f>
        <v>EZ009</v>
      </c>
      <c r="D722" t="str">
        <f>$D$49</f>
        <v>BEST_EST_PE_CUR_YR</v>
      </c>
      <c r="E722" t="str">
        <f>$E$49</f>
        <v>Dynamic</v>
      </c>
      <c r="F722" t="str">
        <f ca="1">_xll.BDH($B$49,$C$49,$B$675,$B$676,CONCATENATE("Per=",$B$673),"Dts=H","Dir=H",CONCATENATE("Points=",$B$674),"Sort=R","Days=A","Fill=B",CONCATENATE("FX=", $B$672) )</f>
        <v>#N/A Connection</v>
      </c>
      <c r="BN722" t="str">
        <f>""</f>
        <v/>
      </c>
      <c r="BO722" t="str">
        <f>""</f>
        <v/>
      </c>
      <c r="BP722" t="str">
        <f>""</f>
        <v/>
      </c>
      <c r="BQ722" t="str">
        <f>""</f>
        <v/>
      </c>
      <c r="BR722" t="str">
        <f>""</f>
        <v/>
      </c>
      <c r="BS722" t="str">
        <f>""</f>
        <v/>
      </c>
      <c r="BT722" t="str">
        <f>""</f>
        <v/>
      </c>
      <c r="BU722" t="str">
        <f>""</f>
        <v/>
      </c>
      <c r="BV722" t="str">
        <f>""</f>
        <v/>
      </c>
      <c r="BW722" t="str">
        <f>""</f>
        <v/>
      </c>
      <c r="BX722" t="str">
        <f>""</f>
        <v/>
      </c>
      <c r="BY722" t="str">
        <f>""</f>
        <v/>
      </c>
      <c r="BZ722" t="str">
        <f>""</f>
        <v/>
      </c>
      <c r="CA722" t="str">
        <f>""</f>
        <v/>
      </c>
      <c r="CB722" t="str">
        <f>""</f>
        <v/>
      </c>
      <c r="CC722" t="str">
        <f>""</f>
        <v/>
      </c>
      <c r="CD722" t="str">
        <f>""</f>
        <v/>
      </c>
      <c r="CE722" t="str">
        <f>""</f>
        <v/>
      </c>
      <c r="CF722" t="str">
        <f>""</f>
        <v/>
      </c>
      <c r="CG722" t="str">
        <f>""</f>
        <v/>
      </c>
      <c r="CH722" t="str">
        <f>""</f>
        <v/>
      </c>
      <c r="CI722" t="str">
        <f>""</f>
        <v/>
      </c>
      <c r="CJ722" t="str">
        <f>""</f>
        <v/>
      </c>
      <c r="CK722" t="str">
        <f>""</f>
        <v/>
      </c>
      <c r="CL722" t="str">
        <f>""</f>
        <v/>
      </c>
      <c r="CM722" t="str">
        <f>""</f>
        <v/>
      </c>
      <c r="CN722" t="str">
        <f>""</f>
        <v/>
      </c>
      <c r="CO722" t="str">
        <f>""</f>
        <v/>
      </c>
      <c r="CP722" t="str">
        <f>""</f>
        <v/>
      </c>
      <c r="CQ722" t="str">
        <f>""</f>
        <v/>
      </c>
      <c r="CR722" t="str">
        <f>""</f>
        <v/>
      </c>
      <c r="CS722" t="str">
        <f>""</f>
        <v/>
      </c>
      <c r="CT722" t="str">
        <f>""</f>
        <v/>
      </c>
      <c r="CU722" t="str">
        <f>""</f>
        <v/>
      </c>
      <c r="CV722" t="str">
        <f>""</f>
        <v/>
      </c>
      <c r="CW722" t="str">
        <f>""</f>
        <v/>
      </c>
      <c r="CX722" t="str">
        <f>""</f>
        <v/>
      </c>
      <c r="CY722" t="str">
        <f>""</f>
        <v/>
      </c>
      <c r="CZ722" t="str">
        <f>""</f>
        <v/>
      </c>
      <c r="DA722" t="str">
        <f>""</f>
        <v/>
      </c>
      <c r="DB722" t="str">
        <f>""</f>
        <v/>
      </c>
      <c r="DC722" t="str">
        <f>""</f>
        <v/>
      </c>
      <c r="DD722" t="str">
        <f>""</f>
        <v/>
      </c>
      <c r="DE722" t="str">
        <f>""</f>
        <v/>
      </c>
      <c r="DF722" t="str">
        <f>""</f>
        <v/>
      </c>
      <c r="DG722" t="str">
        <f>""</f>
        <v/>
      </c>
      <c r="DH722" t="str">
        <f>""</f>
        <v/>
      </c>
      <c r="DI722" t="str">
        <f>""</f>
        <v/>
      </c>
      <c r="DJ722" t="str">
        <f>""</f>
        <v/>
      </c>
      <c r="DK722" t="str">
        <f>""</f>
        <v/>
      </c>
      <c r="DL722" t="str">
        <f>""</f>
        <v/>
      </c>
      <c r="DM722" t="str">
        <f>""</f>
        <v/>
      </c>
      <c r="DN722" t="str">
        <f>""</f>
        <v/>
      </c>
      <c r="DO722" t="str">
        <f>""</f>
        <v/>
      </c>
      <c r="DP722" t="str">
        <f>""</f>
        <v/>
      </c>
      <c r="DQ722" t="str">
        <f>""</f>
        <v/>
      </c>
      <c r="DR722" t="str">
        <f>""</f>
        <v/>
      </c>
      <c r="DS722" t="str">
        <f>""</f>
        <v/>
      </c>
      <c r="DT722" t="str">
        <f>""</f>
        <v/>
      </c>
      <c r="DU722" t="str">
        <f>""</f>
        <v/>
      </c>
    </row>
    <row r="723" spans="1:125" x14ac:dyDescent="0.25">
      <c r="A723" t="str">
        <f>$A$50</f>
        <v xml:space="preserve">    BYD Co Ltd</v>
      </c>
      <c r="B723" t="str">
        <f>$B$50</f>
        <v>1211 HK Equity</v>
      </c>
      <c r="C723" t="str">
        <f>$C$50</f>
        <v>EZ009</v>
      </c>
      <c r="D723" t="str">
        <f>$D$50</f>
        <v>BEST_EST_PE_CUR_YR</v>
      </c>
      <c r="E723" t="str">
        <f>$E$50</f>
        <v>Dynamic</v>
      </c>
      <c r="F723" t="str">
        <f ca="1">_xll.BDH($B$50,$C$50,$B$675,$B$676,CONCATENATE("Per=",$B$673),"Dts=H","Dir=H",CONCATENATE("Points=",$B$674),"Sort=R","Days=A","Fill=B",CONCATENATE("FX=", $B$672) )</f>
        <v>#N/A Connection</v>
      </c>
      <c r="BN723" t="str">
        <f>""</f>
        <v/>
      </c>
      <c r="BO723" t="str">
        <f>""</f>
        <v/>
      </c>
      <c r="BP723" t="str">
        <f>""</f>
        <v/>
      </c>
      <c r="BQ723" t="str">
        <f>""</f>
        <v/>
      </c>
      <c r="BR723" t="str">
        <f>""</f>
        <v/>
      </c>
      <c r="BS723" t="str">
        <f>""</f>
        <v/>
      </c>
      <c r="BT723" t="str">
        <f>""</f>
        <v/>
      </c>
      <c r="BU723" t="str">
        <f>""</f>
        <v/>
      </c>
      <c r="BV723" t="str">
        <f>""</f>
        <v/>
      </c>
      <c r="BW723" t="str">
        <f>""</f>
        <v/>
      </c>
      <c r="BX723" t="str">
        <f>""</f>
        <v/>
      </c>
      <c r="BY723" t="str">
        <f>""</f>
        <v/>
      </c>
      <c r="BZ723" t="str">
        <f>""</f>
        <v/>
      </c>
      <c r="CA723" t="str">
        <f>""</f>
        <v/>
      </c>
      <c r="CB723" t="str">
        <f>""</f>
        <v/>
      </c>
      <c r="CC723" t="str">
        <f>""</f>
        <v/>
      </c>
      <c r="CD723" t="str">
        <f>""</f>
        <v/>
      </c>
      <c r="CE723" t="str">
        <f>""</f>
        <v/>
      </c>
      <c r="CF723" t="str">
        <f>""</f>
        <v/>
      </c>
      <c r="CG723" t="str">
        <f>""</f>
        <v/>
      </c>
      <c r="CH723" t="str">
        <f>""</f>
        <v/>
      </c>
      <c r="CI723" t="str">
        <f>""</f>
        <v/>
      </c>
      <c r="CJ723" t="str">
        <f>""</f>
        <v/>
      </c>
      <c r="CK723" t="str">
        <f>""</f>
        <v/>
      </c>
      <c r="CL723" t="str">
        <f>""</f>
        <v/>
      </c>
      <c r="CM723" t="str">
        <f>""</f>
        <v/>
      </c>
      <c r="CN723" t="str">
        <f>""</f>
        <v/>
      </c>
      <c r="CO723" t="str">
        <f>""</f>
        <v/>
      </c>
      <c r="CP723" t="str">
        <f>""</f>
        <v/>
      </c>
      <c r="CQ723" t="str">
        <f>""</f>
        <v/>
      </c>
      <c r="CR723" t="str">
        <f>""</f>
        <v/>
      </c>
      <c r="CS723" t="str">
        <f>""</f>
        <v/>
      </c>
      <c r="CT723" t="str">
        <f>""</f>
        <v/>
      </c>
      <c r="CU723" t="str">
        <f>""</f>
        <v/>
      </c>
      <c r="CV723" t="str">
        <f>""</f>
        <v/>
      </c>
      <c r="CW723" t="str">
        <f>""</f>
        <v/>
      </c>
      <c r="CX723" t="str">
        <f>""</f>
        <v/>
      </c>
      <c r="CY723" t="str">
        <f>""</f>
        <v/>
      </c>
      <c r="CZ723" t="str">
        <f>""</f>
        <v/>
      </c>
      <c r="DA723" t="str">
        <f>""</f>
        <v/>
      </c>
      <c r="DB723" t="str">
        <f>""</f>
        <v/>
      </c>
      <c r="DC723" t="str">
        <f>""</f>
        <v/>
      </c>
      <c r="DD723" t="str">
        <f>""</f>
        <v/>
      </c>
      <c r="DE723" t="str">
        <f>""</f>
        <v/>
      </c>
      <c r="DF723" t="str">
        <f>""</f>
        <v/>
      </c>
      <c r="DG723" t="str">
        <f>""</f>
        <v/>
      </c>
      <c r="DH723" t="str">
        <f>""</f>
        <v/>
      </c>
      <c r="DI723" t="str">
        <f>""</f>
        <v/>
      </c>
      <c r="DJ723" t="str">
        <f>""</f>
        <v/>
      </c>
      <c r="DK723" t="str">
        <f>""</f>
        <v/>
      </c>
      <c r="DL723" t="str">
        <f>""</f>
        <v/>
      </c>
      <c r="DM723" t="str">
        <f>""</f>
        <v/>
      </c>
      <c r="DN723" t="str">
        <f>""</f>
        <v/>
      </c>
      <c r="DO723" t="str">
        <f>""</f>
        <v/>
      </c>
      <c r="DP723" t="str">
        <f>""</f>
        <v/>
      </c>
      <c r="DQ723" t="str">
        <f>""</f>
        <v/>
      </c>
      <c r="DR723" t="str">
        <f>""</f>
        <v/>
      </c>
      <c r="DS723" t="str">
        <f>""</f>
        <v/>
      </c>
      <c r="DT723" t="str">
        <f>""</f>
        <v/>
      </c>
      <c r="DU723" t="str">
        <f>""</f>
        <v/>
      </c>
    </row>
    <row r="724" spans="1:125" x14ac:dyDescent="0.25">
      <c r="A724" t="str">
        <f>$A$51</f>
        <v xml:space="preserve">    Chongqing Changan Automobile Co Ltd</v>
      </c>
      <c r="B724" t="str">
        <f>$B$51</f>
        <v>200625 CH Equity</v>
      </c>
      <c r="C724" t="str">
        <f>$C$51</f>
        <v>EZ009</v>
      </c>
      <c r="D724" t="str">
        <f>$D$51</f>
        <v>BEST_EST_PE_CUR_YR</v>
      </c>
      <c r="E724" t="str">
        <f>$E$51</f>
        <v>Dynamic</v>
      </c>
      <c r="F724" t="str">
        <f ca="1">_xll.BDH($B$51,$C$51,$B$675,$B$676,CONCATENATE("Per=",$B$673),"Dts=H","Dir=H",CONCATENATE("Points=",$B$674),"Sort=R","Days=A","Fill=B",CONCATENATE("FX=", $B$672) )</f>
        <v>#N/A Connection</v>
      </c>
      <c r="BN724" t="str">
        <f>""</f>
        <v/>
      </c>
      <c r="BO724" t="str">
        <f>""</f>
        <v/>
      </c>
      <c r="BP724" t="str">
        <f>""</f>
        <v/>
      </c>
      <c r="BQ724" t="str">
        <f>""</f>
        <v/>
      </c>
      <c r="BR724" t="str">
        <f>""</f>
        <v/>
      </c>
      <c r="BS724" t="str">
        <f>""</f>
        <v/>
      </c>
      <c r="BT724" t="str">
        <f>""</f>
        <v/>
      </c>
      <c r="BU724" t="str">
        <f>""</f>
        <v/>
      </c>
      <c r="BV724" t="str">
        <f>""</f>
        <v/>
      </c>
      <c r="BW724" t="str">
        <f>""</f>
        <v/>
      </c>
      <c r="BX724" t="str">
        <f>""</f>
        <v/>
      </c>
      <c r="BY724" t="str">
        <f>""</f>
        <v/>
      </c>
      <c r="BZ724" t="str">
        <f>""</f>
        <v/>
      </c>
      <c r="CA724" t="str">
        <f>""</f>
        <v/>
      </c>
      <c r="CB724" t="str">
        <f>""</f>
        <v/>
      </c>
      <c r="CC724" t="str">
        <f>""</f>
        <v/>
      </c>
      <c r="CD724" t="str">
        <f>""</f>
        <v/>
      </c>
      <c r="CE724" t="str">
        <f>""</f>
        <v/>
      </c>
      <c r="CF724" t="str">
        <f>""</f>
        <v/>
      </c>
      <c r="CG724" t="str">
        <f>""</f>
        <v/>
      </c>
      <c r="CH724" t="str">
        <f>""</f>
        <v/>
      </c>
      <c r="CI724" t="str">
        <f>""</f>
        <v/>
      </c>
      <c r="CJ724" t="str">
        <f>""</f>
        <v/>
      </c>
      <c r="CK724" t="str">
        <f>""</f>
        <v/>
      </c>
      <c r="CL724" t="str">
        <f>""</f>
        <v/>
      </c>
      <c r="CM724" t="str">
        <f>""</f>
        <v/>
      </c>
      <c r="CN724" t="str">
        <f>""</f>
        <v/>
      </c>
      <c r="CO724" t="str">
        <f>""</f>
        <v/>
      </c>
      <c r="CP724" t="str">
        <f>""</f>
        <v/>
      </c>
      <c r="CQ724" t="str">
        <f>""</f>
        <v/>
      </c>
      <c r="CR724" t="str">
        <f>""</f>
        <v/>
      </c>
      <c r="CS724" t="str">
        <f>""</f>
        <v/>
      </c>
      <c r="CT724" t="str">
        <f>""</f>
        <v/>
      </c>
      <c r="CU724" t="str">
        <f>""</f>
        <v/>
      </c>
      <c r="CV724" t="str">
        <f>""</f>
        <v/>
      </c>
      <c r="CW724" t="str">
        <f>""</f>
        <v/>
      </c>
      <c r="CX724" t="str">
        <f>""</f>
        <v/>
      </c>
      <c r="CY724" t="str">
        <f>""</f>
        <v/>
      </c>
      <c r="CZ724" t="str">
        <f>""</f>
        <v/>
      </c>
      <c r="DA724" t="str">
        <f>""</f>
        <v/>
      </c>
      <c r="DB724" t="str">
        <f>""</f>
        <v/>
      </c>
      <c r="DC724" t="str">
        <f>""</f>
        <v/>
      </c>
      <c r="DD724" t="str">
        <f>""</f>
        <v/>
      </c>
      <c r="DE724" t="str">
        <f>""</f>
        <v/>
      </c>
      <c r="DF724" t="str">
        <f>""</f>
        <v/>
      </c>
      <c r="DG724" t="str">
        <f>""</f>
        <v/>
      </c>
      <c r="DH724" t="str">
        <f>""</f>
        <v/>
      </c>
      <c r="DI724" t="str">
        <f>""</f>
        <v/>
      </c>
      <c r="DJ724" t="str">
        <f>""</f>
        <v/>
      </c>
      <c r="DK724" t="str">
        <f>""</f>
        <v/>
      </c>
      <c r="DL724" t="str">
        <f>""</f>
        <v/>
      </c>
      <c r="DM724" t="str">
        <f>""</f>
        <v/>
      </c>
      <c r="DN724" t="str">
        <f>""</f>
        <v/>
      </c>
      <c r="DO724" t="str">
        <f>""</f>
        <v/>
      </c>
      <c r="DP724" t="str">
        <f>""</f>
        <v/>
      </c>
      <c r="DQ724" t="str">
        <f>""</f>
        <v/>
      </c>
      <c r="DR724" t="str">
        <f>""</f>
        <v/>
      </c>
      <c r="DS724" t="str">
        <f>""</f>
        <v/>
      </c>
      <c r="DT724" t="str">
        <f>""</f>
        <v/>
      </c>
      <c r="DU724" t="str">
        <f>""</f>
        <v/>
      </c>
    </row>
    <row r="725" spans="1:125" x14ac:dyDescent="0.25">
      <c r="A725" t="str">
        <f>$A$52</f>
        <v xml:space="preserve">    Daihatsu Motor Co Ltd</v>
      </c>
      <c r="B725" t="str">
        <f>$B$52</f>
        <v>7262 JP Equity</v>
      </c>
      <c r="C725" t="str">
        <f>$C$52</f>
        <v>EZ009</v>
      </c>
      <c r="D725" t="str">
        <f>$D$52</f>
        <v>BEST_EST_PE_CUR_YR</v>
      </c>
      <c r="E725" t="str">
        <f>$E$52</f>
        <v>Dynamic</v>
      </c>
      <c r="F725" t="str">
        <f ca="1">_xll.BDH($B$52,$C$52,$B$675,$B$676,CONCATENATE("Per=",$B$673),"Dts=H","Dir=H",CONCATENATE("Points=",$B$674),"Sort=R","Days=A","Fill=B",CONCATENATE("FX=", $B$672) )</f>
        <v>#N/A Connection</v>
      </c>
      <c r="BN725" t="str">
        <f>""</f>
        <v/>
      </c>
      <c r="BO725" t="str">
        <f>""</f>
        <v/>
      </c>
      <c r="BP725" t="str">
        <f>""</f>
        <v/>
      </c>
      <c r="BQ725" t="str">
        <f>""</f>
        <v/>
      </c>
      <c r="BR725" t="str">
        <f>""</f>
        <v/>
      </c>
      <c r="BS725" t="str">
        <f>""</f>
        <v/>
      </c>
      <c r="BT725" t="str">
        <f>""</f>
        <v/>
      </c>
      <c r="BU725" t="str">
        <f>""</f>
        <v/>
      </c>
      <c r="BV725" t="str">
        <f>""</f>
        <v/>
      </c>
      <c r="BW725" t="str">
        <f>""</f>
        <v/>
      </c>
      <c r="BX725" t="str">
        <f>""</f>
        <v/>
      </c>
      <c r="BY725" t="str">
        <f>""</f>
        <v/>
      </c>
      <c r="BZ725" t="str">
        <f>""</f>
        <v/>
      </c>
      <c r="CA725" t="str">
        <f>""</f>
        <v/>
      </c>
      <c r="CB725" t="str">
        <f>""</f>
        <v/>
      </c>
      <c r="CC725" t="str">
        <f>""</f>
        <v/>
      </c>
      <c r="CD725" t="str">
        <f>""</f>
        <v/>
      </c>
      <c r="CE725" t="str">
        <f>""</f>
        <v/>
      </c>
      <c r="CF725" t="str">
        <f>""</f>
        <v/>
      </c>
      <c r="CG725" t="str">
        <f>""</f>
        <v/>
      </c>
      <c r="CH725" t="str">
        <f>""</f>
        <v/>
      </c>
      <c r="CI725" t="str">
        <f>""</f>
        <v/>
      </c>
      <c r="CJ725" t="str">
        <f>""</f>
        <v/>
      </c>
      <c r="CK725" t="str">
        <f>""</f>
        <v/>
      </c>
      <c r="CL725" t="str">
        <f>""</f>
        <v/>
      </c>
      <c r="CM725" t="str">
        <f>""</f>
        <v/>
      </c>
      <c r="CN725" t="str">
        <f>""</f>
        <v/>
      </c>
      <c r="CO725" t="str">
        <f>""</f>
        <v/>
      </c>
      <c r="CP725" t="str">
        <f>""</f>
        <v/>
      </c>
      <c r="CQ725" t="str">
        <f>""</f>
        <v/>
      </c>
      <c r="CR725" t="str">
        <f>""</f>
        <v/>
      </c>
      <c r="CS725" t="str">
        <f>""</f>
        <v/>
      </c>
      <c r="CT725" t="str">
        <f>""</f>
        <v/>
      </c>
      <c r="CU725" t="str">
        <f>""</f>
        <v/>
      </c>
      <c r="CV725" t="str">
        <f>""</f>
        <v/>
      </c>
      <c r="CW725" t="str">
        <f>""</f>
        <v/>
      </c>
      <c r="CX725" t="str">
        <f>""</f>
        <v/>
      </c>
      <c r="CY725" t="str">
        <f>""</f>
        <v/>
      </c>
      <c r="CZ725" t="str">
        <f>""</f>
        <v/>
      </c>
      <c r="DA725" t="str">
        <f>""</f>
        <v/>
      </c>
      <c r="DB725" t="str">
        <f>""</f>
        <v/>
      </c>
      <c r="DC725" t="str">
        <f>""</f>
        <v/>
      </c>
      <c r="DD725" t="str">
        <f>""</f>
        <v/>
      </c>
      <c r="DE725" t="str">
        <f>""</f>
        <v/>
      </c>
      <c r="DF725" t="str">
        <f>""</f>
        <v/>
      </c>
      <c r="DG725" t="str">
        <f>""</f>
        <v/>
      </c>
      <c r="DH725" t="str">
        <f>""</f>
        <v/>
      </c>
      <c r="DI725" t="str">
        <f>""</f>
        <v/>
      </c>
      <c r="DJ725" t="str">
        <f>""</f>
        <v/>
      </c>
      <c r="DK725" t="str">
        <f>""</f>
        <v/>
      </c>
      <c r="DL725" t="str">
        <f>""</f>
        <v/>
      </c>
      <c r="DM725" t="str">
        <f>""</f>
        <v/>
      </c>
      <c r="DN725" t="str">
        <f>""</f>
        <v/>
      </c>
      <c r="DO725" t="str">
        <f>""</f>
        <v/>
      </c>
      <c r="DP725" t="str">
        <f>""</f>
        <v/>
      </c>
      <c r="DQ725" t="str">
        <f>""</f>
        <v/>
      </c>
      <c r="DR725" t="str">
        <f>""</f>
        <v/>
      </c>
      <c r="DS725" t="str">
        <f>""</f>
        <v/>
      </c>
      <c r="DT725" t="str">
        <f>""</f>
        <v/>
      </c>
      <c r="DU725" t="str">
        <f>""</f>
        <v/>
      </c>
    </row>
    <row r="726" spans="1:125" x14ac:dyDescent="0.25">
      <c r="A726" t="str">
        <f>$A$53</f>
        <v xml:space="preserve">    Daimler AG</v>
      </c>
      <c r="B726" t="str">
        <f>$B$53</f>
        <v>DAI GR Equity</v>
      </c>
      <c r="C726" t="str">
        <f>$C$53</f>
        <v>EZ009</v>
      </c>
      <c r="D726" t="str">
        <f>$D$53</f>
        <v>BEST_EST_PE_CUR_YR</v>
      </c>
      <c r="E726" t="str">
        <f>$E$53</f>
        <v>Dynamic</v>
      </c>
      <c r="F726" t="str">
        <f ca="1">_xll.BDH($B$53,$C$53,$B$675,$B$676,CONCATENATE("Per=",$B$673),"Dts=H","Dir=H",CONCATENATE("Points=",$B$674),"Sort=R","Days=A","Fill=B",CONCATENATE("FX=", $B$672) )</f>
        <v>#N/A Connection</v>
      </c>
      <c r="BN726" t="str">
        <f>""</f>
        <v/>
      </c>
      <c r="BO726" t="str">
        <f>""</f>
        <v/>
      </c>
      <c r="BP726" t="str">
        <f>""</f>
        <v/>
      </c>
      <c r="BQ726" t="str">
        <f>""</f>
        <v/>
      </c>
      <c r="BR726" t="str">
        <f>""</f>
        <v/>
      </c>
      <c r="BS726" t="str">
        <f>""</f>
        <v/>
      </c>
      <c r="BT726" t="str">
        <f>""</f>
        <v/>
      </c>
      <c r="BU726" t="str">
        <f>""</f>
        <v/>
      </c>
      <c r="BV726" t="str">
        <f>""</f>
        <v/>
      </c>
      <c r="BW726" t="str">
        <f>""</f>
        <v/>
      </c>
      <c r="BX726" t="str">
        <f>""</f>
        <v/>
      </c>
      <c r="BY726" t="str">
        <f>""</f>
        <v/>
      </c>
      <c r="BZ726" t="str">
        <f>""</f>
        <v/>
      </c>
      <c r="CA726" t="str">
        <f>""</f>
        <v/>
      </c>
      <c r="CB726" t="str">
        <f>""</f>
        <v/>
      </c>
      <c r="CC726" t="str">
        <f>""</f>
        <v/>
      </c>
      <c r="CD726" t="str">
        <f>""</f>
        <v/>
      </c>
      <c r="CE726" t="str">
        <f>""</f>
        <v/>
      </c>
      <c r="CF726" t="str">
        <f>""</f>
        <v/>
      </c>
      <c r="CG726" t="str">
        <f>""</f>
        <v/>
      </c>
      <c r="CH726" t="str">
        <f>""</f>
        <v/>
      </c>
      <c r="CI726" t="str">
        <f>""</f>
        <v/>
      </c>
      <c r="CJ726" t="str">
        <f>""</f>
        <v/>
      </c>
      <c r="CK726" t="str">
        <f>""</f>
        <v/>
      </c>
      <c r="CL726" t="str">
        <f>""</f>
        <v/>
      </c>
      <c r="CM726" t="str">
        <f>""</f>
        <v/>
      </c>
      <c r="CN726" t="str">
        <f>""</f>
        <v/>
      </c>
      <c r="CO726" t="str">
        <f>""</f>
        <v/>
      </c>
      <c r="CP726" t="str">
        <f>""</f>
        <v/>
      </c>
      <c r="CQ726" t="str">
        <f>""</f>
        <v/>
      </c>
      <c r="CR726" t="str">
        <f>""</f>
        <v/>
      </c>
      <c r="CS726" t="str">
        <f>""</f>
        <v/>
      </c>
      <c r="CT726" t="str">
        <f>""</f>
        <v/>
      </c>
      <c r="CU726" t="str">
        <f>""</f>
        <v/>
      </c>
      <c r="CV726" t="str">
        <f>""</f>
        <v/>
      </c>
      <c r="CW726" t="str">
        <f>""</f>
        <v/>
      </c>
      <c r="CX726" t="str">
        <f>""</f>
        <v/>
      </c>
      <c r="CY726" t="str">
        <f>""</f>
        <v/>
      </c>
      <c r="CZ726" t="str">
        <f>""</f>
        <v/>
      </c>
      <c r="DA726" t="str">
        <f>""</f>
        <v/>
      </c>
      <c r="DB726" t="str">
        <f>""</f>
        <v/>
      </c>
      <c r="DC726" t="str">
        <f>""</f>
        <v/>
      </c>
      <c r="DD726" t="str">
        <f>""</f>
        <v/>
      </c>
      <c r="DE726" t="str">
        <f>""</f>
        <v/>
      </c>
      <c r="DF726" t="str">
        <f>""</f>
        <v/>
      </c>
      <c r="DG726" t="str">
        <f>""</f>
        <v/>
      </c>
      <c r="DH726" t="str">
        <f>""</f>
        <v/>
      </c>
      <c r="DI726" t="str">
        <f>""</f>
        <v/>
      </c>
      <c r="DJ726" t="str">
        <f>""</f>
        <v/>
      </c>
      <c r="DK726" t="str">
        <f>""</f>
        <v/>
      </c>
      <c r="DL726" t="str">
        <f>""</f>
        <v/>
      </c>
      <c r="DM726" t="str">
        <f>""</f>
        <v/>
      </c>
      <c r="DN726" t="str">
        <f>""</f>
        <v/>
      </c>
      <c r="DO726" t="str">
        <f>""</f>
        <v/>
      </c>
      <c r="DP726" t="str">
        <f>""</f>
        <v/>
      </c>
      <c r="DQ726" t="str">
        <f>""</f>
        <v/>
      </c>
      <c r="DR726" t="str">
        <f>""</f>
        <v/>
      </c>
      <c r="DS726" t="str">
        <f>""</f>
        <v/>
      </c>
      <c r="DT726" t="str">
        <f>""</f>
        <v/>
      </c>
      <c r="DU726" t="str">
        <f>""</f>
        <v/>
      </c>
    </row>
    <row r="727" spans="1:125" x14ac:dyDescent="0.25">
      <c r="A727" t="str">
        <f>$A$54</f>
        <v xml:space="preserve">    Dongfeng Motor Group Co Ltd</v>
      </c>
      <c r="B727" t="str">
        <f>$B$54</f>
        <v>489 HK Equity</v>
      </c>
      <c r="C727" t="str">
        <f>$C$54</f>
        <v>EZ009</v>
      </c>
      <c r="D727" t="str">
        <f>$D$54</f>
        <v>BEST_EST_PE_CUR_YR</v>
      </c>
      <c r="E727" t="str">
        <f>$E$54</f>
        <v>Dynamic</v>
      </c>
      <c r="F727" t="str">
        <f ca="1">_xll.BDH($B$54,$C$54,$B$675,$B$676,CONCATENATE("Per=",$B$673),"Dts=H","Dir=H",CONCATENATE("Points=",$B$674),"Sort=R","Days=A","Fill=B",CONCATENATE("FX=", $B$672) )</f>
        <v>#N/A Connection</v>
      </c>
      <c r="BN727" t="str">
        <f>""</f>
        <v/>
      </c>
      <c r="BO727" t="str">
        <f>""</f>
        <v/>
      </c>
      <c r="BP727" t="str">
        <f>""</f>
        <v/>
      </c>
      <c r="BQ727" t="str">
        <f>""</f>
        <v/>
      </c>
      <c r="BR727" t="str">
        <f>""</f>
        <v/>
      </c>
      <c r="BS727" t="str">
        <f>""</f>
        <v/>
      </c>
      <c r="BT727" t="str">
        <f>""</f>
        <v/>
      </c>
      <c r="BU727" t="str">
        <f>""</f>
        <v/>
      </c>
      <c r="BV727" t="str">
        <f>""</f>
        <v/>
      </c>
      <c r="BW727" t="str">
        <f>""</f>
        <v/>
      </c>
      <c r="BX727" t="str">
        <f>""</f>
        <v/>
      </c>
      <c r="BY727" t="str">
        <f>""</f>
        <v/>
      </c>
      <c r="BZ727" t="str">
        <f>""</f>
        <v/>
      </c>
      <c r="CA727" t="str">
        <f>""</f>
        <v/>
      </c>
      <c r="CB727" t="str">
        <f>""</f>
        <v/>
      </c>
      <c r="CC727" t="str">
        <f>""</f>
        <v/>
      </c>
      <c r="CD727" t="str">
        <f>""</f>
        <v/>
      </c>
      <c r="CE727" t="str">
        <f>""</f>
        <v/>
      </c>
      <c r="CF727" t="str">
        <f>""</f>
        <v/>
      </c>
      <c r="CG727" t="str">
        <f>""</f>
        <v/>
      </c>
      <c r="CH727" t="str">
        <f>""</f>
        <v/>
      </c>
      <c r="CI727" t="str">
        <f>""</f>
        <v/>
      </c>
      <c r="CJ727" t="str">
        <f>""</f>
        <v/>
      </c>
      <c r="CK727" t="str">
        <f>""</f>
        <v/>
      </c>
      <c r="CL727" t="str">
        <f>""</f>
        <v/>
      </c>
      <c r="CM727" t="str">
        <f>""</f>
        <v/>
      </c>
      <c r="CN727" t="str">
        <f>""</f>
        <v/>
      </c>
      <c r="CO727" t="str">
        <f>""</f>
        <v/>
      </c>
      <c r="CP727" t="str">
        <f>""</f>
        <v/>
      </c>
      <c r="CQ727" t="str">
        <f>""</f>
        <v/>
      </c>
      <c r="CR727" t="str">
        <f>""</f>
        <v/>
      </c>
      <c r="CS727" t="str">
        <f>""</f>
        <v/>
      </c>
      <c r="CT727" t="str">
        <f>""</f>
        <v/>
      </c>
      <c r="CU727" t="str">
        <f>""</f>
        <v/>
      </c>
      <c r="CV727" t="str">
        <f>""</f>
        <v/>
      </c>
      <c r="CW727" t="str">
        <f>""</f>
        <v/>
      </c>
      <c r="CX727" t="str">
        <f>""</f>
        <v/>
      </c>
      <c r="CY727" t="str">
        <f>""</f>
        <v/>
      </c>
      <c r="CZ727" t="str">
        <f>""</f>
        <v/>
      </c>
      <c r="DA727" t="str">
        <f>""</f>
        <v/>
      </c>
      <c r="DB727" t="str">
        <f>""</f>
        <v/>
      </c>
      <c r="DC727" t="str">
        <f>""</f>
        <v/>
      </c>
      <c r="DD727" t="str">
        <f>""</f>
        <v/>
      </c>
      <c r="DE727" t="str">
        <f>""</f>
        <v/>
      </c>
      <c r="DF727" t="str">
        <f>""</f>
        <v/>
      </c>
      <c r="DG727" t="str">
        <f>""</f>
        <v/>
      </c>
      <c r="DH727" t="str">
        <f>""</f>
        <v/>
      </c>
      <c r="DI727" t="str">
        <f>""</f>
        <v/>
      </c>
      <c r="DJ727" t="str">
        <f>""</f>
        <v/>
      </c>
      <c r="DK727" t="str">
        <f>""</f>
        <v/>
      </c>
      <c r="DL727" t="str">
        <f>""</f>
        <v/>
      </c>
      <c r="DM727" t="str">
        <f>""</f>
        <v/>
      </c>
      <c r="DN727" t="str">
        <f>""</f>
        <v/>
      </c>
      <c r="DO727" t="str">
        <f>""</f>
        <v/>
      </c>
      <c r="DP727" t="str">
        <f>""</f>
        <v/>
      </c>
      <c r="DQ727" t="str">
        <f>""</f>
        <v/>
      </c>
      <c r="DR727" t="str">
        <f>""</f>
        <v/>
      </c>
      <c r="DS727" t="str">
        <f>""</f>
        <v/>
      </c>
      <c r="DT727" t="str">
        <f>""</f>
        <v/>
      </c>
      <c r="DU727" t="str">
        <f>""</f>
        <v/>
      </c>
    </row>
    <row r="728" spans="1:125" x14ac:dyDescent="0.25">
      <c r="A728" t="str">
        <f>$A$55</f>
        <v xml:space="preserve">    DRB-Hicom Bhd</v>
      </c>
      <c r="B728" t="str">
        <f>$B$55</f>
        <v>DRB MK Equity</v>
      </c>
      <c r="C728" t="str">
        <f>$C$55</f>
        <v>EZ009</v>
      </c>
      <c r="D728" t="str">
        <f>$D$55</f>
        <v>BEST_EST_PE_CUR_YR</v>
      </c>
      <c r="E728" t="str">
        <f>$E$55</f>
        <v>Dynamic</v>
      </c>
      <c r="F728" t="str">
        <f ca="1">_xll.BDH($B$55,$C$55,$B$675,$B$676,CONCATENATE("Per=",$B$673),"Dts=H","Dir=H",CONCATENATE("Points=",$B$674),"Sort=R","Days=A","Fill=B",CONCATENATE("FX=", $B$672) )</f>
        <v>#N/A Connection</v>
      </c>
      <c r="BN728" t="str">
        <f>""</f>
        <v/>
      </c>
      <c r="BO728" t="str">
        <f>""</f>
        <v/>
      </c>
      <c r="BP728" t="str">
        <f>""</f>
        <v/>
      </c>
      <c r="BQ728" t="str">
        <f>""</f>
        <v/>
      </c>
      <c r="BR728" t="str">
        <f>""</f>
        <v/>
      </c>
      <c r="BS728" t="str">
        <f>""</f>
        <v/>
      </c>
      <c r="BT728" t="str">
        <f>""</f>
        <v/>
      </c>
      <c r="BU728" t="str">
        <f>""</f>
        <v/>
      </c>
      <c r="BV728" t="str">
        <f>""</f>
        <v/>
      </c>
      <c r="BW728" t="str">
        <f>""</f>
        <v/>
      </c>
      <c r="BX728" t="str">
        <f>""</f>
        <v/>
      </c>
      <c r="BY728" t="str">
        <f>""</f>
        <v/>
      </c>
      <c r="BZ728" t="str">
        <f>""</f>
        <v/>
      </c>
      <c r="CA728" t="str">
        <f>""</f>
        <v/>
      </c>
      <c r="CB728" t="str">
        <f>""</f>
        <v/>
      </c>
      <c r="CC728" t="str">
        <f>""</f>
        <v/>
      </c>
      <c r="CD728" t="str">
        <f>""</f>
        <v/>
      </c>
      <c r="CE728" t="str">
        <f>""</f>
        <v/>
      </c>
      <c r="CF728" t="str">
        <f>""</f>
        <v/>
      </c>
      <c r="CG728" t="str">
        <f>""</f>
        <v/>
      </c>
      <c r="CH728" t="str">
        <f>""</f>
        <v/>
      </c>
      <c r="CI728" t="str">
        <f>""</f>
        <v/>
      </c>
      <c r="CJ728" t="str">
        <f>""</f>
        <v/>
      </c>
      <c r="CK728" t="str">
        <f>""</f>
        <v/>
      </c>
      <c r="CL728" t="str">
        <f>""</f>
        <v/>
      </c>
      <c r="CM728" t="str">
        <f>""</f>
        <v/>
      </c>
      <c r="CN728" t="str">
        <f>""</f>
        <v/>
      </c>
      <c r="CO728" t="str">
        <f>""</f>
        <v/>
      </c>
      <c r="CP728" t="str">
        <f>""</f>
        <v/>
      </c>
      <c r="CQ728" t="str">
        <f>""</f>
        <v/>
      </c>
      <c r="CR728" t="str">
        <f>""</f>
        <v/>
      </c>
      <c r="CS728" t="str">
        <f>""</f>
        <v/>
      </c>
      <c r="CT728" t="str">
        <f>""</f>
        <v/>
      </c>
      <c r="CU728" t="str">
        <f>""</f>
        <v/>
      </c>
      <c r="CV728" t="str">
        <f>""</f>
        <v/>
      </c>
      <c r="CW728" t="str">
        <f>""</f>
        <v/>
      </c>
      <c r="CX728" t="str">
        <f>""</f>
        <v/>
      </c>
      <c r="CY728" t="str">
        <f>""</f>
        <v/>
      </c>
      <c r="CZ728" t="str">
        <f>""</f>
        <v/>
      </c>
      <c r="DA728" t="str">
        <f>""</f>
        <v/>
      </c>
      <c r="DB728" t="str">
        <f>""</f>
        <v/>
      </c>
      <c r="DC728" t="str">
        <f>""</f>
        <v/>
      </c>
      <c r="DD728" t="str">
        <f>""</f>
        <v/>
      </c>
      <c r="DE728" t="str">
        <f>""</f>
        <v/>
      </c>
      <c r="DF728" t="str">
        <f>""</f>
        <v/>
      </c>
      <c r="DG728" t="str">
        <f>""</f>
        <v/>
      </c>
      <c r="DH728" t="str">
        <f>""</f>
        <v/>
      </c>
      <c r="DI728" t="str">
        <f>""</f>
        <v/>
      </c>
      <c r="DJ728" t="str">
        <f>""</f>
        <v/>
      </c>
      <c r="DK728" t="str">
        <f>""</f>
        <v/>
      </c>
      <c r="DL728" t="str">
        <f>""</f>
        <v/>
      </c>
      <c r="DM728" t="str">
        <f>""</f>
        <v/>
      </c>
      <c r="DN728" t="str">
        <f>""</f>
        <v/>
      </c>
      <c r="DO728" t="str">
        <f>""</f>
        <v/>
      </c>
      <c r="DP728" t="str">
        <f>""</f>
        <v/>
      </c>
      <c r="DQ728" t="str">
        <f>""</f>
        <v/>
      </c>
      <c r="DR728" t="str">
        <f>""</f>
        <v/>
      </c>
      <c r="DS728" t="str">
        <f>""</f>
        <v/>
      </c>
      <c r="DT728" t="str">
        <f>""</f>
        <v/>
      </c>
      <c r="DU728" t="str">
        <f>""</f>
        <v/>
      </c>
    </row>
    <row r="729" spans="1:125" x14ac:dyDescent="0.25">
      <c r="A729" t="str">
        <f>$A$56</f>
        <v xml:space="preserve">    FAW CAR Co Ltd</v>
      </c>
      <c r="B729" t="str">
        <f>$B$56</f>
        <v>000800 CH Equity</v>
      </c>
      <c r="C729" t="str">
        <f>$C$56</f>
        <v>EZ009</v>
      </c>
      <c r="D729" t="str">
        <f>$D$56</f>
        <v>BEST_EST_PE_CUR_YR</v>
      </c>
      <c r="E729" t="str">
        <f>$E$56</f>
        <v>Dynamic</v>
      </c>
      <c r="F729" t="str">
        <f ca="1">_xll.BDH($B$56,$C$56,$B$675,$B$676,CONCATENATE("Per=",$B$673),"Dts=H","Dir=H",CONCATENATE("Points=",$B$674),"Sort=R","Days=A","Fill=B",CONCATENATE("FX=", $B$672) )</f>
        <v>#N/A Connection</v>
      </c>
      <c r="BN729" t="str">
        <f>""</f>
        <v/>
      </c>
      <c r="BO729" t="str">
        <f>""</f>
        <v/>
      </c>
      <c r="BP729" t="str">
        <f>""</f>
        <v/>
      </c>
      <c r="BQ729" t="str">
        <f>""</f>
        <v/>
      </c>
      <c r="BR729" t="str">
        <f>""</f>
        <v/>
      </c>
      <c r="BS729" t="str">
        <f>""</f>
        <v/>
      </c>
      <c r="BT729" t="str">
        <f>""</f>
        <v/>
      </c>
      <c r="BU729" t="str">
        <f>""</f>
        <v/>
      </c>
      <c r="BV729" t="str">
        <f>""</f>
        <v/>
      </c>
      <c r="BW729" t="str">
        <f>""</f>
        <v/>
      </c>
      <c r="BX729" t="str">
        <f>""</f>
        <v/>
      </c>
      <c r="BY729" t="str">
        <f>""</f>
        <v/>
      </c>
      <c r="BZ729" t="str">
        <f>""</f>
        <v/>
      </c>
      <c r="CA729" t="str">
        <f>""</f>
        <v/>
      </c>
      <c r="CB729" t="str">
        <f>""</f>
        <v/>
      </c>
      <c r="CC729" t="str">
        <f>""</f>
        <v/>
      </c>
      <c r="CD729" t="str">
        <f>""</f>
        <v/>
      </c>
      <c r="CE729" t="str">
        <f>""</f>
        <v/>
      </c>
      <c r="CF729" t="str">
        <f>""</f>
        <v/>
      </c>
      <c r="CG729" t="str">
        <f>""</f>
        <v/>
      </c>
      <c r="CH729" t="str">
        <f>""</f>
        <v/>
      </c>
      <c r="CI729" t="str">
        <f>""</f>
        <v/>
      </c>
      <c r="CJ729" t="str">
        <f>""</f>
        <v/>
      </c>
      <c r="CK729" t="str">
        <f>""</f>
        <v/>
      </c>
      <c r="CL729" t="str">
        <f>""</f>
        <v/>
      </c>
      <c r="CM729" t="str">
        <f>""</f>
        <v/>
      </c>
      <c r="CN729" t="str">
        <f>""</f>
        <v/>
      </c>
      <c r="CO729" t="str">
        <f>""</f>
        <v/>
      </c>
      <c r="CP729" t="str">
        <f>""</f>
        <v/>
      </c>
      <c r="CQ729" t="str">
        <f>""</f>
        <v/>
      </c>
      <c r="CR729" t="str">
        <f>""</f>
        <v/>
      </c>
      <c r="CS729" t="str">
        <f>""</f>
        <v/>
      </c>
      <c r="CT729" t="str">
        <f>""</f>
        <v/>
      </c>
      <c r="CU729" t="str">
        <f>""</f>
        <v/>
      </c>
      <c r="CV729" t="str">
        <f>""</f>
        <v/>
      </c>
      <c r="CW729" t="str">
        <f>""</f>
        <v/>
      </c>
      <c r="CX729" t="str">
        <f>""</f>
        <v/>
      </c>
      <c r="CY729" t="str">
        <f>""</f>
        <v/>
      </c>
      <c r="CZ729" t="str">
        <f>""</f>
        <v/>
      </c>
      <c r="DA729" t="str">
        <f>""</f>
        <v/>
      </c>
      <c r="DB729" t="str">
        <f>""</f>
        <v/>
      </c>
      <c r="DC729" t="str">
        <f>""</f>
        <v/>
      </c>
      <c r="DD729" t="str">
        <f>""</f>
        <v/>
      </c>
      <c r="DE729" t="str">
        <f>""</f>
        <v/>
      </c>
      <c r="DF729" t="str">
        <f>""</f>
        <v/>
      </c>
      <c r="DG729" t="str">
        <f>""</f>
        <v/>
      </c>
      <c r="DH729" t="str">
        <f>""</f>
        <v/>
      </c>
      <c r="DI729" t="str">
        <f>""</f>
        <v/>
      </c>
      <c r="DJ729" t="str">
        <f>""</f>
        <v/>
      </c>
      <c r="DK729" t="str">
        <f>""</f>
        <v/>
      </c>
      <c r="DL729" t="str">
        <f>""</f>
        <v/>
      </c>
      <c r="DM729" t="str">
        <f>""</f>
        <v/>
      </c>
      <c r="DN729" t="str">
        <f>""</f>
        <v/>
      </c>
      <c r="DO729" t="str">
        <f>""</f>
        <v/>
      </c>
      <c r="DP729" t="str">
        <f>""</f>
        <v/>
      </c>
      <c r="DQ729" t="str">
        <f>""</f>
        <v/>
      </c>
      <c r="DR729" t="str">
        <f>""</f>
        <v/>
      </c>
      <c r="DS729" t="str">
        <f>""</f>
        <v/>
      </c>
      <c r="DT729" t="str">
        <f>""</f>
        <v/>
      </c>
      <c r="DU729" t="str">
        <f>""</f>
        <v/>
      </c>
    </row>
    <row r="730" spans="1:125" x14ac:dyDescent="0.25">
      <c r="A730" t="str">
        <f>$A$57</f>
        <v xml:space="preserve">    Fiat Chrysler Automobiles NV</v>
      </c>
      <c r="B730" t="str">
        <f>$B$57</f>
        <v>FCAU US Equity</v>
      </c>
      <c r="C730" t="str">
        <f>$C$57</f>
        <v>EZ009</v>
      </c>
      <c r="D730" t="str">
        <f>$D$57</f>
        <v>BEST_EST_PE_CUR_YR</v>
      </c>
      <c r="E730" t="str">
        <f>$E$57</f>
        <v>Dynamic</v>
      </c>
      <c r="F730" t="str">
        <f ca="1">_xll.BDH($B$57,$C$57,$B$675,$B$676,CONCATENATE("Per=",$B$673),"Dts=H","Dir=H",CONCATENATE("Points=",$B$674),"Sort=R","Days=A","Fill=B",CONCATENATE("FX=", $B$672) )</f>
        <v>#N/A Connection</v>
      </c>
      <c r="BN730" t="str">
        <f>""</f>
        <v/>
      </c>
      <c r="BO730" t="str">
        <f>""</f>
        <v/>
      </c>
      <c r="BP730" t="str">
        <f>""</f>
        <v/>
      </c>
      <c r="BQ730" t="str">
        <f>""</f>
        <v/>
      </c>
      <c r="BR730" t="str">
        <f>""</f>
        <v/>
      </c>
      <c r="BS730" t="str">
        <f>""</f>
        <v/>
      </c>
      <c r="BT730" t="str">
        <f>""</f>
        <v/>
      </c>
      <c r="BU730" t="str">
        <f>""</f>
        <v/>
      </c>
      <c r="BV730" t="str">
        <f>""</f>
        <v/>
      </c>
      <c r="BW730" t="str">
        <f>""</f>
        <v/>
      </c>
      <c r="BX730" t="str">
        <f>""</f>
        <v/>
      </c>
      <c r="BY730" t="str">
        <f>""</f>
        <v/>
      </c>
      <c r="BZ730" t="str">
        <f>""</f>
        <v/>
      </c>
      <c r="CA730" t="str">
        <f>""</f>
        <v/>
      </c>
      <c r="CB730" t="str">
        <f>""</f>
        <v/>
      </c>
      <c r="CC730" t="str">
        <f>""</f>
        <v/>
      </c>
      <c r="CD730" t="str">
        <f>""</f>
        <v/>
      </c>
      <c r="CE730" t="str">
        <f>""</f>
        <v/>
      </c>
      <c r="CF730" t="str">
        <f>""</f>
        <v/>
      </c>
      <c r="CG730" t="str">
        <f>""</f>
        <v/>
      </c>
      <c r="CH730" t="str">
        <f>""</f>
        <v/>
      </c>
      <c r="CI730" t="str">
        <f>""</f>
        <v/>
      </c>
      <c r="CJ730" t="str">
        <f>""</f>
        <v/>
      </c>
      <c r="CK730" t="str">
        <f>""</f>
        <v/>
      </c>
      <c r="CL730" t="str">
        <f>""</f>
        <v/>
      </c>
      <c r="CM730" t="str">
        <f>""</f>
        <v/>
      </c>
      <c r="CN730" t="str">
        <f>""</f>
        <v/>
      </c>
      <c r="CO730" t="str">
        <f>""</f>
        <v/>
      </c>
      <c r="CP730" t="str">
        <f>""</f>
        <v/>
      </c>
      <c r="CQ730" t="str">
        <f>""</f>
        <v/>
      </c>
      <c r="CR730" t="str">
        <f>""</f>
        <v/>
      </c>
      <c r="CS730" t="str">
        <f>""</f>
        <v/>
      </c>
      <c r="CT730" t="str">
        <f>""</f>
        <v/>
      </c>
      <c r="CU730" t="str">
        <f>""</f>
        <v/>
      </c>
      <c r="CV730" t="str">
        <f>""</f>
        <v/>
      </c>
      <c r="CW730" t="str">
        <f>""</f>
        <v/>
      </c>
      <c r="CX730" t="str">
        <f>""</f>
        <v/>
      </c>
      <c r="CY730" t="str">
        <f>""</f>
        <v/>
      </c>
      <c r="CZ730" t="str">
        <f>""</f>
        <v/>
      </c>
      <c r="DA730" t="str">
        <f>""</f>
        <v/>
      </c>
      <c r="DB730" t="str">
        <f>""</f>
        <v/>
      </c>
      <c r="DC730" t="str">
        <f>""</f>
        <v/>
      </c>
      <c r="DD730" t="str">
        <f>""</f>
        <v/>
      </c>
      <c r="DE730" t="str">
        <f>""</f>
        <v/>
      </c>
      <c r="DF730" t="str">
        <f>""</f>
        <v/>
      </c>
      <c r="DG730" t="str">
        <f>""</f>
        <v/>
      </c>
      <c r="DH730" t="str">
        <f>""</f>
        <v/>
      </c>
      <c r="DI730" t="str">
        <f>""</f>
        <v/>
      </c>
      <c r="DJ730" t="str">
        <f>""</f>
        <v/>
      </c>
      <c r="DK730" t="str">
        <f>""</f>
        <v/>
      </c>
      <c r="DL730" t="str">
        <f>""</f>
        <v/>
      </c>
      <c r="DM730" t="str">
        <f>""</f>
        <v/>
      </c>
      <c r="DN730" t="str">
        <f>""</f>
        <v/>
      </c>
      <c r="DO730" t="str">
        <f>""</f>
        <v/>
      </c>
      <c r="DP730" t="str">
        <f>""</f>
        <v/>
      </c>
      <c r="DQ730" t="str">
        <f>""</f>
        <v/>
      </c>
      <c r="DR730" t="str">
        <f>""</f>
        <v/>
      </c>
      <c r="DS730" t="str">
        <f>""</f>
        <v/>
      </c>
      <c r="DT730" t="str">
        <f>""</f>
        <v/>
      </c>
      <c r="DU730" t="str">
        <f>""</f>
        <v/>
      </c>
    </row>
    <row r="731" spans="1:125" x14ac:dyDescent="0.25">
      <c r="A731" t="str">
        <f>$A$58</f>
        <v xml:space="preserve">    Ford Motor Co</v>
      </c>
      <c r="B731" t="str">
        <f>$B$58</f>
        <v>F US Equity</v>
      </c>
      <c r="C731" t="str">
        <f>$C$58</f>
        <v>EZ009</v>
      </c>
      <c r="D731" t="str">
        <f>$D$58</f>
        <v>BEST_EST_PE_CUR_YR</v>
      </c>
      <c r="E731" t="str">
        <f>$E$58</f>
        <v>Dynamic</v>
      </c>
      <c r="F731" t="str">
        <f ca="1">_xll.BDH($B$58,$C$58,$B$675,$B$676,CONCATENATE("Per=",$B$673),"Dts=H","Dir=H",CONCATENATE("Points=",$B$674),"Sort=R","Days=A","Fill=B",CONCATENATE("FX=", $B$672) )</f>
        <v>#N/A Connection</v>
      </c>
      <c r="BN731" t="str">
        <f>""</f>
        <v/>
      </c>
      <c r="BO731" t="str">
        <f>""</f>
        <v/>
      </c>
      <c r="BP731" t="str">
        <f>""</f>
        <v/>
      </c>
      <c r="BQ731" t="str">
        <f>""</f>
        <v/>
      </c>
      <c r="BR731" t="str">
        <f>""</f>
        <v/>
      </c>
      <c r="BS731" t="str">
        <f>""</f>
        <v/>
      </c>
      <c r="BT731" t="str">
        <f>""</f>
        <v/>
      </c>
      <c r="BU731" t="str">
        <f>""</f>
        <v/>
      </c>
      <c r="BV731" t="str">
        <f>""</f>
        <v/>
      </c>
      <c r="BW731" t="str">
        <f>""</f>
        <v/>
      </c>
      <c r="BX731" t="str">
        <f>""</f>
        <v/>
      </c>
      <c r="BY731" t="str">
        <f>""</f>
        <v/>
      </c>
      <c r="BZ731" t="str">
        <f>""</f>
        <v/>
      </c>
      <c r="CA731" t="str">
        <f>""</f>
        <v/>
      </c>
      <c r="CB731" t="str">
        <f>""</f>
        <v/>
      </c>
      <c r="CC731" t="str">
        <f>""</f>
        <v/>
      </c>
      <c r="CD731" t="str">
        <f>""</f>
        <v/>
      </c>
      <c r="CE731" t="str">
        <f>""</f>
        <v/>
      </c>
      <c r="CF731" t="str">
        <f>""</f>
        <v/>
      </c>
      <c r="CG731" t="str">
        <f>""</f>
        <v/>
      </c>
      <c r="CH731" t="str">
        <f>""</f>
        <v/>
      </c>
      <c r="CI731" t="str">
        <f>""</f>
        <v/>
      </c>
      <c r="CJ731" t="str">
        <f>""</f>
        <v/>
      </c>
      <c r="CK731" t="str">
        <f>""</f>
        <v/>
      </c>
      <c r="CL731" t="str">
        <f>""</f>
        <v/>
      </c>
      <c r="CM731" t="str">
        <f>""</f>
        <v/>
      </c>
      <c r="CN731" t="str">
        <f>""</f>
        <v/>
      </c>
      <c r="CO731" t="str">
        <f>""</f>
        <v/>
      </c>
      <c r="CP731" t="str">
        <f>""</f>
        <v/>
      </c>
      <c r="CQ731" t="str">
        <f>""</f>
        <v/>
      </c>
      <c r="CR731" t="str">
        <f>""</f>
        <v/>
      </c>
      <c r="CS731" t="str">
        <f>""</f>
        <v/>
      </c>
      <c r="CT731" t="str">
        <f>""</f>
        <v/>
      </c>
      <c r="CU731" t="str">
        <f>""</f>
        <v/>
      </c>
      <c r="CV731" t="str">
        <f>""</f>
        <v/>
      </c>
      <c r="CW731" t="str">
        <f>""</f>
        <v/>
      </c>
      <c r="CX731" t="str">
        <f>""</f>
        <v/>
      </c>
      <c r="CY731" t="str">
        <f>""</f>
        <v/>
      </c>
      <c r="CZ731" t="str">
        <f>""</f>
        <v/>
      </c>
      <c r="DA731" t="str">
        <f>""</f>
        <v/>
      </c>
      <c r="DB731" t="str">
        <f>""</f>
        <v/>
      </c>
      <c r="DC731" t="str">
        <f>""</f>
        <v/>
      </c>
      <c r="DD731" t="str">
        <f>""</f>
        <v/>
      </c>
      <c r="DE731" t="str">
        <f>""</f>
        <v/>
      </c>
      <c r="DF731" t="str">
        <f>""</f>
        <v/>
      </c>
      <c r="DG731" t="str">
        <f>""</f>
        <v/>
      </c>
      <c r="DH731" t="str">
        <f>""</f>
        <v/>
      </c>
      <c r="DI731" t="str">
        <f>""</f>
        <v/>
      </c>
      <c r="DJ731" t="str">
        <f>""</f>
        <v/>
      </c>
      <c r="DK731" t="str">
        <f>""</f>
        <v/>
      </c>
      <c r="DL731" t="str">
        <f>""</f>
        <v/>
      </c>
      <c r="DM731" t="str">
        <f>""</f>
        <v/>
      </c>
      <c r="DN731" t="str">
        <f>""</f>
        <v/>
      </c>
      <c r="DO731" t="str">
        <f>""</f>
        <v/>
      </c>
      <c r="DP731" t="str">
        <f>""</f>
        <v/>
      </c>
      <c r="DQ731" t="str">
        <f>""</f>
        <v/>
      </c>
      <c r="DR731" t="str">
        <f>""</f>
        <v/>
      </c>
      <c r="DS731" t="str">
        <f>""</f>
        <v/>
      </c>
      <c r="DT731" t="str">
        <f>""</f>
        <v/>
      </c>
      <c r="DU731" t="str">
        <f>""</f>
        <v/>
      </c>
    </row>
    <row r="732" spans="1:125" x14ac:dyDescent="0.25">
      <c r="A732" t="str">
        <f>$A$59</f>
        <v xml:space="preserve">    Ford Otomotiv Sanayi AS</v>
      </c>
      <c r="B732" t="str">
        <f>$B$59</f>
        <v>FROTOTRY EO Equity</v>
      </c>
      <c r="C732" t="str">
        <f>$C$59</f>
        <v>EZ009</v>
      </c>
      <c r="D732" t="str">
        <f>$D$59</f>
        <v>BEST_EST_PE_CUR_YR</v>
      </c>
      <c r="E732" t="str">
        <f>$E$59</f>
        <v>Dynamic</v>
      </c>
      <c r="F732" t="str">
        <f ca="1">_xll.BDH($B$59,$C$59,$B$675,$B$676,CONCATENATE("Per=",$B$673),"Dts=H","Dir=H",CONCATENATE("Points=",$B$674),"Sort=R","Days=A","Fill=B",CONCATENATE("FX=", $B$672) )</f>
        <v>#N/A Connection</v>
      </c>
      <c r="BN732" t="str">
        <f>""</f>
        <v/>
      </c>
      <c r="BO732" t="str">
        <f>""</f>
        <v/>
      </c>
      <c r="BP732" t="str">
        <f>""</f>
        <v/>
      </c>
      <c r="BQ732" t="str">
        <f>""</f>
        <v/>
      </c>
      <c r="BR732" t="str">
        <f>""</f>
        <v/>
      </c>
      <c r="BS732" t="str">
        <f>""</f>
        <v/>
      </c>
      <c r="BT732" t="str">
        <f>""</f>
        <v/>
      </c>
      <c r="BU732" t="str">
        <f>""</f>
        <v/>
      </c>
      <c r="BV732" t="str">
        <f>""</f>
        <v/>
      </c>
      <c r="BW732" t="str">
        <f>""</f>
        <v/>
      </c>
      <c r="BX732" t="str">
        <f>""</f>
        <v/>
      </c>
      <c r="BY732" t="str">
        <f>""</f>
        <v/>
      </c>
      <c r="BZ732" t="str">
        <f>""</f>
        <v/>
      </c>
      <c r="CA732" t="str">
        <f>""</f>
        <v/>
      </c>
      <c r="CB732" t="str">
        <f>""</f>
        <v/>
      </c>
      <c r="CC732" t="str">
        <f>""</f>
        <v/>
      </c>
      <c r="CD732" t="str">
        <f>""</f>
        <v/>
      </c>
      <c r="CE732" t="str">
        <f>""</f>
        <v/>
      </c>
      <c r="CF732" t="str">
        <f>""</f>
        <v/>
      </c>
      <c r="CG732" t="str">
        <f>""</f>
        <v/>
      </c>
      <c r="CH732" t="str">
        <f>""</f>
        <v/>
      </c>
      <c r="CI732" t="str">
        <f>""</f>
        <v/>
      </c>
      <c r="CJ732" t="str">
        <f>""</f>
        <v/>
      </c>
      <c r="CK732" t="str">
        <f>""</f>
        <v/>
      </c>
      <c r="CL732" t="str">
        <f>""</f>
        <v/>
      </c>
      <c r="CM732" t="str">
        <f>""</f>
        <v/>
      </c>
      <c r="CN732" t="str">
        <f>""</f>
        <v/>
      </c>
      <c r="CO732" t="str">
        <f>""</f>
        <v/>
      </c>
      <c r="CP732" t="str">
        <f>""</f>
        <v/>
      </c>
      <c r="CQ732" t="str">
        <f>""</f>
        <v/>
      </c>
      <c r="CR732" t="str">
        <f>""</f>
        <v/>
      </c>
      <c r="CS732" t="str">
        <f>""</f>
        <v/>
      </c>
      <c r="CT732" t="str">
        <f>""</f>
        <v/>
      </c>
      <c r="CU732" t="str">
        <f>""</f>
        <v/>
      </c>
      <c r="CV732" t="str">
        <f>""</f>
        <v/>
      </c>
      <c r="CW732" t="str">
        <f>""</f>
        <v/>
      </c>
      <c r="CX732" t="str">
        <f>""</f>
        <v/>
      </c>
      <c r="CY732" t="str">
        <f>""</f>
        <v/>
      </c>
      <c r="CZ732" t="str">
        <f>""</f>
        <v/>
      </c>
      <c r="DA732" t="str">
        <f>""</f>
        <v/>
      </c>
      <c r="DB732" t="str">
        <f>""</f>
        <v/>
      </c>
      <c r="DC732" t="str">
        <f>""</f>
        <v/>
      </c>
      <c r="DD732" t="str">
        <f>""</f>
        <v/>
      </c>
      <c r="DE732" t="str">
        <f>""</f>
        <v/>
      </c>
      <c r="DF732" t="str">
        <f>""</f>
        <v/>
      </c>
      <c r="DG732" t="str">
        <f>""</f>
        <v/>
      </c>
      <c r="DH732" t="str">
        <f>""</f>
        <v/>
      </c>
      <c r="DI732" t="str">
        <f>""</f>
        <v/>
      </c>
      <c r="DJ732" t="str">
        <f>""</f>
        <v/>
      </c>
      <c r="DK732" t="str">
        <f>""</f>
        <v/>
      </c>
      <c r="DL732" t="str">
        <f>""</f>
        <v/>
      </c>
      <c r="DM732" t="str">
        <f>""</f>
        <v/>
      </c>
      <c r="DN732" t="str">
        <f>""</f>
        <v/>
      </c>
      <c r="DO732" t="str">
        <f>""</f>
        <v/>
      </c>
      <c r="DP732" t="str">
        <f>""</f>
        <v/>
      </c>
      <c r="DQ732" t="str">
        <f>""</f>
        <v/>
      </c>
      <c r="DR732" t="str">
        <f>""</f>
        <v/>
      </c>
      <c r="DS732" t="str">
        <f>""</f>
        <v/>
      </c>
      <c r="DT732" t="str">
        <f>""</f>
        <v/>
      </c>
      <c r="DU732" t="str">
        <f>""</f>
        <v/>
      </c>
    </row>
    <row r="733" spans="1:125" x14ac:dyDescent="0.25">
      <c r="A733" t="str">
        <f>$A$60</f>
        <v xml:space="preserve">    GAZ PJSC</v>
      </c>
      <c r="B733" t="str">
        <f>$B$60</f>
        <v>GAZA RM Equity</v>
      </c>
      <c r="C733" t="str">
        <f>$C$60</f>
        <v>EZ009</v>
      </c>
      <c r="D733" t="str">
        <f>$D$60</f>
        <v>BEST_EST_PE_CUR_YR</v>
      </c>
      <c r="E733" t="str">
        <f>$E$60</f>
        <v>Dynamic</v>
      </c>
      <c r="F733" t="str">
        <f ca="1">_xll.BDH($B$60,$C$60,$B$675,$B$676,CONCATENATE("Per=",$B$673),"Dts=H","Dir=H",CONCATENATE("Points=",$B$674),"Sort=R","Days=A","Fill=B",CONCATENATE("FX=", $B$672) )</f>
        <v>#N/A Connection</v>
      </c>
      <c r="BN733" t="str">
        <f>""</f>
        <v/>
      </c>
      <c r="BO733" t="str">
        <f>""</f>
        <v/>
      </c>
      <c r="BP733" t="str">
        <f>""</f>
        <v/>
      </c>
      <c r="BQ733" t="str">
        <f>""</f>
        <v/>
      </c>
      <c r="BR733" t="str">
        <f>""</f>
        <v/>
      </c>
      <c r="BS733" t="str">
        <f>""</f>
        <v/>
      </c>
      <c r="BT733" t="str">
        <f>""</f>
        <v/>
      </c>
      <c r="BU733" t="str">
        <f>""</f>
        <v/>
      </c>
      <c r="BV733" t="str">
        <f>""</f>
        <v/>
      </c>
      <c r="BW733" t="str">
        <f>""</f>
        <v/>
      </c>
      <c r="BX733" t="str">
        <f>""</f>
        <v/>
      </c>
      <c r="BY733" t="str">
        <f>""</f>
        <v/>
      </c>
      <c r="BZ733" t="str">
        <f>""</f>
        <v/>
      </c>
      <c r="CA733" t="str">
        <f>""</f>
        <v/>
      </c>
      <c r="CB733" t="str">
        <f>""</f>
        <v/>
      </c>
      <c r="CC733" t="str">
        <f>""</f>
        <v/>
      </c>
      <c r="CD733" t="str">
        <f>""</f>
        <v/>
      </c>
      <c r="CE733" t="str">
        <f>""</f>
        <v/>
      </c>
      <c r="CF733" t="str">
        <f>""</f>
        <v/>
      </c>
      <c r="CG733" t="str">
        <f>""</f>
        <v/>
      </c>
      <c r="CH733" t="str">
        <f>""</f>
        <v/>
      </c>
      <c r="CI733" t="str">
        <f>""</f>
        <v/>
      </c>
      <c r="CJ733" t="str">
        <f>""</f>
        <v/>
      </c>
      <c r="CK733" t="str">
        <f>""</f>
        <v/>
      </c>
      <c r="CL733" t="str">
        <f>""</f>
        <v/>
      </c>
      <c r="CM733" t="str">
        <f>""</f>
        <v/>
      </c>
      <c r="CN733" t="str">
        <f>""</f>
        <v/>
      </c>
      <c r="CO733" t="str">
        <f>""</f>
        <v/>
      </c>
      <c r="CP733" t="str">
        <f>""</f>
        <v/>
      </c>
      <c r="CQ733" t="str">
        <f>""</f>
        <v/>
      </c>
      <c r="CR733" t="str">
        <f>""</f>
        <v/>
      </c>
      <c r="CS733" t="str">
        <f>""</f>
        <v/>
      </c>
      <c r="CT733" t="str">
        <f>""</f>
        <v/>
      </c>
      <c r="CU733" t="str">
        <f>""</f>
        <v/>
      </c>
      <c r="CV733" t="str">
        <f>""</f>
        <v/>
      </c>
      <c r="CW733" t="str">
        <f>""</f>
        <v/>
      </c>
      <c r="CX733" t="str">
        <f>""</f>
        <v/>
      </c>
      <c r="CY733" t="str">
        <f>""</f>
        <v/>
      </c>
      <c r="CZ733" t="str">
        <f>""</f>
        <v/>
      </c>
      <c r="DA733" t="str">
        <f>""</f>
        <v/>
      </c>
      <c r="DB733" t="str">
        <f>""</f>
        <v/>
      </c>
      <c r="DC733" t="str">
        <f>""</f>
        <v/>
      </c>
      <c r="DD733" t="str">
        <f>""</f>
        <v/>
      </c>
      <c r="DE733" t="str">
        <f>""</f>
        <v/>
      </c>
      <c r="DF733" t="str">
        <f>""</f>
        <v/>
      </c>
      <c r="DG733" t="str">
        <f>""</f>
        <v/>
      </c>
      <c r="DH733" t="str">
        <f>""</f>
        <v/>
      </c>
      <c r="DI733" t="str">
        <f>""</f>
        <v/>
      </c>
      <c r="DJ733" t="str">
        <f>""</f>
        <v/>
      </c>
      <c r="DK733" t="str">
        <f>""</f>
        <v/>
      </c>
      <c r="DL733" t="str">
        <f>""</f>
        <v/>
      </c>
      <c r="DM733" t="str">
        <f>""</f>
        <v/>
      </c>
      <c r="DN733" t="str">
        <f>""</f>
        <v/>
      </c>
      <c r="DO733" t="str">
        <f>""</f>
        <v/>
      </c>
      <c r="DP733" t="str">
        <f>""</f>
        <v/>
      </c>
      <c r="DQ733" t="str">
        <f>""</f>
        <v/>
      </c>
      <c r="DR733" t="str">
        <f>""</f>
        <v/>
      </c>
      <c r="DS733" t="str">
        <f>""</f>
        <v/>
      </c>
      <c r="DT733" t="str">
        <f>""</f>
        <v/>
      </c>
      <c r="DU733" t="str">
        <f>""</f>
        <v/>
      </c>
    </row>
    <row r="734" spans="1:125" x14ac:dyDescent="0.25">
      <c r="A734" t="str">
        <f>$A$61</f>
        <v xml:space="preserve">    Geely Automobile Holdings Ltd</v>
      </c>
      <c r="B734" t="str">
        <f>$B$61</f>
        <v>175 HK Equity</v>
      </c>
      <c r="C734" t="str">
        <f>$C$61</f>
        <v>EZ009</v>
      </c>
      <c r="D734" t="str">
        <f>$D$61</f>
        <v>BEST_EST_PE_CUR_YR</v>
      </c>
      <c r="E734" t="str">
        <f>$E$61</f>
        <v>Dynamic</v>
      </c>
      <c r="F734" t="str">
        <f ca="1">_xll.BDH($B$61,$C$61,$B$675,$B$676,CONCATENATE("Per=",$B$673),"Dts=H","Dir=H",CONCATENATE("Points=",$B$674),"Sort=R","Days=A","Fill=B",CONCATENATE("FX=", $B$672) )</f>
        <v>#N/A Connection</v>
      </c>
      <c r="BN734" t="str">
        <f>""</f>
        <v/>
      </c>
      <c r="BO734" t="str">
        <f>""</f>
        <v/>
      </c>
      <c r="BP734" t="str">
        <f>""</f>
        <v/>
      </c>
      <c r="BQ734" t="str">
        <f>""</f>
        <v/>
      </c>
      <c r="BR734" t="str">
        <f>""</f>
        <v/>
      </c>
      <c r="BS734" t="str">
        <f>""</f>
        <v/>
      </c>
      <c r="BT734" t="str">
        <f>""</f>
        <v/>
      </c>
      <c r="BU734" t="str">
        <f>""</f>
        <v/>
      </c>
      <c r="BV734" t="str">
        <f>""</f>
        <v/>
      </c>
      <c r="BW734" t="str">
        <f>""</f>
        <v/>
      </c>
      <c r="BX734" t="str">
        <f>""</f>
        <v/>
      </c>
      <c r="BY734" t="str">
        <f>""</f>
        <v/>
      </c>
      <c r="BZ734" t="str">
        <f>""</f>
        <v/>
      </c>
      <c r="CA734" t="str">
        <f>""</f>
        <v/>
      </c>
      <c r="CB734" t="str">
        <f>""</f>
        <v/>
      </c>
      <c r="CC734" t="str">
        <f>""</f>
        <v/>
      </c>
      <c r="CD734" t="str">
        <f>""</f>
        <v/>
      </c>
      <c r="CE734" t="str">
        <f>""</f>
        <v/>
      </c>
      <c r="CF734" t="str">
        <f>""</f>
        <v/>
      </c>
      <c r="CG734" t="str">
        <f>""</f>
        <v/>
      </c>
      <c r="CH734" t="str">
        <f>""</f>
        <v/>
      </c>
      <c r="CI734" t="str">
        <f>""</f>
        <v/>
      </c>
      <c r="CJ734" t="str">
        <f>""</f>
        <v/>
      </c>
      <c r="CK734" t="str">
        <f>""</f>
        <v/>
      </c>
      <c r="CL734" t="str">
        <f>""</f>
        <v/>
      </c>
      <c r="CM734" t="str">
        <f>""</f>
        <v/>
      </c>
      <c r="CN734" t="str">
        <f>""</f>
        <v/>
      </c>
      <c r="CO734" t="str">
        <f>""</f>
        <v/>
      </c>
      <c r="CP734" t="str">
        <f>""</f>
        <v/>
      </c>
      <c r="CQ734" t="str">
        <f>""</f>
        <v/>
      </c>
      <c r="CR734" t="str">
        <f>""</f>
        <v/>
      </c>
      <c r="CS734" t="str">
        <f>""</f>
        <v/>
      </c>
      <c r="CT734" t="str">
        <f>""</f>
        <v/>
      </c>
      <c r="CU734" t="str">
        <f>""</f>
        <v/>
      </c>
      <c r="CV734" t="str">
        <f>""</f>
        <v/>
      </c>
      <c r="CW734" t="str">
        <f>""</f>
        <v/>
      </c>
      <c r="CX734" t="str">
        <f>""</f>
        <v/>
      </c>
      <c r="CY734" t="str">
        <f>""</f>
        <v/>
      </c>
      <c r="CZ734" t="str">
        <f>""</f>
        <v/>
      </c>
      <c r="DA734" t="str">
        <f>""</f>
        <v/>
      </c>
      <c r="DB734" t="str">
        <f>""</f>
        <v/>
      </c>
      <c r="DC734" t="str">
        <f>""</f>
        <v/>
      </c>
      <c r="DD734" t="str">
        <f>""</f>
        <v/>
      </c>
      <c r="DE734" t="str">
        <f>""</f>
        <v/>
      </c>
      <c r="DF734" t="str">
        <f>""</f>
        <v/>
      </c>
      <c r="DG734" t="str">
        <f>""</f>
        <v/>
      </c>
      <c r="DH734" t="str">
        <f>""</f>
        <v/>
      </c>
      <c r="DI734" t="str">
        <f>""</f>
        <v/>
      </c>
      <c r="DJ734" t="str">
        <f>""</f>
        <v/>
      </c>
      <c r="DK734" t="str">
        <f>""</f>
        <v/>
      </c>
      <c r="DL734" t="str">
        <f>""</f>
        <v/>
      </c>
      <c r="DM734" t="str">
        <f>""</f>
        <v/>
      </c>
      <c r="DN734" t="str">
        <f>""</f>
        <v/>
      </c>
      <c r="DO734" t="str">
        <f>""</f>
        <v/>
      </c>
      <c r="DP734" t="str">
        <f>""</f>
        <v/>
      </c>
      <c r="DQ734" t="str">
        <f>""</f>
        <v/>
      </c>
      <c r="DR734" t="str">
        <f>""</f>
        <v/>
      </c>
      <c r="DS734" t="str">
        <f>""</f>
        <v/>
      </c>
      <c r="DT734" t="str">
        <f>""</f>
        <v/>
      </c>
      <c r="DU734" t="str">
        <f>""</f>
        <v/>
      </c>
    </row>
    <row r="735" spans="1:125" x14ac:dyDescent="0.25">
      <c r="A735" t="str">
        <f>$A$62</f>
        <v xml:space="preserve">    General Motors Co</v>
      </c>
      <c r="B735" t="str">
        <f>$B$62</f>
        <v>GM US Equity</v>
      </c>
      <c r="C735" t="str">
        <f>$C$62</f>
        <v>EZ009</v>
      </c>
      <c r="D735" t="str">
        <f>$D$62</f>
        <v>BEST_EST_PE_CUR_YR</v>
      </c>
      <c r="E735" t="str">
        <f>$E$62</f>
        <v>Dynamic</v>
      </c>
      <c r="F735" t="str">
        <f ca="1">_xll.BDH($B$62,$C$62,$B$675,$B$676,CONCATENATE("Per=",$B$673),"Dts=H","Dir=H",CONCATENATE("Points=",$B$674),"Sort=R","Days=A","Fill=B",CONCATENATE("FX=", $B$672) )</f>
        <v>#N/A Connection</v>
      </c>
      <c r="BN735" t="str">
        <f>""</f>
        <v/>
      </c>
      <c r="BO735" t="str">
        <f>""</f>
        <v/>
      </c>
      <c r="BP735" t="str">
        <f>""</f>
        <v/>
      </c>
      <c r="BQ735" t="str">
        <f>""</f>
        <v/>
      </c>
      <c r="BR735" t="str">
        <f>""</f>
        <v/>
      </c>
      <c r="BS735" t="str">
        <f>""</f>
        <v/>
      </c>
      <c r="BT735" t="str">
        <f>""</f>
        <v/>
      </c>
      <c r="BU735" t="str">
        <f>""</f>
        <v/>
      </c>
      <c r="BV735" t="str">
        <f>""</f>
        <v/>
      </c>
      <c r="BW735" t="str">
        <f>""</f>
        <v/>
      </c>
      <c r="BX735" t="str">
        <f>""</f>
        <v/>
      </c>
      <c r="BY735" t="str">
        <f>""</f>
        <v/>
      </c>
      <c r="BZ735" t="str">
        <f>""</f>
        <v/>
      </c>
      <c r="CA735" t="str">
        <f>""</f>
        <v/>
      </c>
      <c r="CB735" t="str">
        <f>""</f>
        <v/>
      </c>
      <c r="CC735" t="str">
        <f>""</f>
        <v/>
      </c>
      <c r="CD735" t="str">
        <f>""</f>
        <v/>
      </c>
      <c r="CE735" t="str">
        <f>""</f>
        <v/>
      </c>
      <c r="CF735" t="str">
        <f>""</f>
        <v/>
      </c>
      <c r="CG735" t="str">
        <f>""</f>
        <v/>
      </c>
      <c r="CH735" t="str">
        <f>""</f>
        <v/>
      </c>
      <c r="CI735" t="str">
        <f>""</f>
        <v/>
      </c>
      <c r="CJ735" t="str">
        <f>""</f>
        <v/>
      </c>
      <c r="CK735" t="str">
        <f>""</f>
        <v/>
      </c>
      <c r="CL735" t="str">
        <f>""</f>
        <v/>
      </c>
      <c r="CM735" t="str">
        <f>""</f>
        <v/>
      </c>
      <c r="CN735" t="str">
        <f>""</f>
        <v/>
      </c>
      <c r="CO735" t="str">
        <f>""</f>
        <v/>
      </c>
      <c r="CP735" t="str">
        <f>""</f>
        <v/>
      </c>
      <c r="CQ735" t="str">
        <f>""</f>
        <v/>
      </c>
      <c r="CR735" t="str">
        <f>""</f>
        <v/>
      </c>
      <c r="CS735" t="str">
        <f>""</f>
        <v/>
      </c>
      <c r="CT735" t="str">
        <f>""</f>
        <v/>
      </c>
      <c r="CU735" t="str">
        <f>""</f>
        <v/>
      </c>
      <c r="CV735" t="str">
        <f>""</f>
        <v/>
      </c>
      <c r="CW735" t="str">
        <f>""</f>
        <v/>
      </c>
      <c r="CX735" t="str">
        <f>""</f>
        <v/>
      </c>
      <c r="CY735" t="str">
        <f>""</f>
        <v/>
      </c>
      <c r="CZ735" t="str">
        <f>""</f>
        <v/>
      </c>
      <c r="DA735" t="str">
        <f>""</f>
        <v/>
      </c>
      <c r="DB735" t="str">
        <f>""</f>
        <v/>
      </c>
      <c r="DC735" t="str">
        <f>""</f>
        <v/>
      </c>
      <c r="DD735" t="str">
        <f>""</f>
        <v/>
      </c>
      <c r="DE735" t="str">
        <f>""</f>
        <v/>
      </c>
      <c r="DF735" t="str">
        <f>""</f>
        <v/>
      </c>
      <c r="DG735" t="str">
        <f>""</f>
        <v/>
      </c>
      <c r="DH735" t="str">
        <f>""</f>
        <v/>
      </c>
      <c r="DI735" t="str">
        <f>""</f>
        <v/>
      </c>
      <c r="DJ735" t="str">
        <f>""</f>
        <v/>
      </c>
      <c r="DK735" t="str">
        <f>""</f>
        <v/>
      </c>
      <c r="DL735" t="str">
        <f>""</f>
        <v/>
      </c>
      <c r="DM735" t="str">
        <f>""</f>
        <v/>
      </c>
      <c r="DN735" t="str">
        <f>""</f>
        <v/>
      </c>
      <c r="DO735" t="str">
        <f>""</f>
        <v/>
      </c>
      <c r="DP735" t="str">
        <f>""</f>
        <v/>
      </c>
      <c r="DQ735" t="str">
        <f>""</f>
        <v/>
      </c>
      <c r="DR735" t="str">
        <f>""</f>
        <v/>
      </c>
      <c r="DS735" t="str">
        <f>""</f>
        <v/>
      </c>
      <c r="DT735" t="str">
        <f>""</f>
        <v/>
      </c>
      <c r="DU735" t="str">
        <f>""</f>
        <v/>
      </c>
    </row>
    <row r="736" spans="1:125" x14ac:dyDescent="0.25">
      <c r="A736" t="str">
        <f>$A$63</f>
        <v xml:space="preserve">    Great Wall Motor Co Ltd</v>
      </c>
      <c r="B736" t="str">
        <f>$B$63</f>
        <v>2333 HK Equity</v>
      </c>
      <c r="C736" t="str">
        <f>$C$63</f>
        <v>EZ009</v>
      </c>
      <c r="D736" t="str">
        <f>$D$63</f>
        <v>BEST_EST_PE_CUR_YR</v>
      </c>
      <c r="E736" t="str">
        <f>$E$63</f>
        <v>Dynamic</v>
      </c>
      <c r="F736" t="str">
        <f ca="1">_xll.BDH($B$63,$C$63,$B$675,$B$676,CONCATENATE("Per=",$B$673),"Dts=H","Dir=H",CONCATENATE("Points=",$B$674),"Sort=R","Days=A","Fill=B",CONCATENATE("FX=", $B$672) )</f>
        <v>#N/A Connection</v>
      </c>
      <c r="BN736" t="str">
        <f>""</f>
        <v/>
      </c>
      <c r="BO736" t="str">
        <f>""</f>
        <v/>
      </c>
      <c r="BP736" t="str">
        <f>""</f>
        <v/>
      </c>
      <c r="BQ736" t="str">
        <f>""</f>
        <v/>
      </c>
      <c r="BR736" t="str">
        <f>""</f>
        <v/>
      </c>
      <c r="BS736" t="str">
        <f>""</f>
        <v/>
      </c>
      <c r="BT736" t="str">
        <f>""</f>
        <v/>
      </c>
      <c r="BU736" t="str">
        <f>""</f>
        <v/>
      </c>
      <c r="BV736" t="str">
        <f>""</f>
        <v/>
      </c>
      <c r="BW736" t="str">
        <f>""</f>
        <v/>
      </c>
      <c r="BX736" t="str">
        <f>""</f>
        <v/>
      </c>
      <c r="BY736" t="str">
        <f>""</f>
        <v/>
      </c>
      <c r="BZ736" t="str">
        <f>""</f>
        <v/>
      </c>
      <c r="CA736" t="str">
        <f>""</f>
        <v/>
      </c>
      <c r="CB736" t="str">
        <f>""</f>
        <v/>
      </c>
      <c r="CC736" t="str">
        <f>""</f>
        <v/>
      </c>
      <c r="CD736" t="str">
        <f>""</f>
        <v/>
      </c>
      <c r="CE736" t="str">
        <f>""</f>
        <v/>
      </c>
      <c r="CF736" t="str">
        <f>""</f>
        <v/>
      </c>
      <c r="CG736" t="str">
        <f>""</f>
        <v/>
      </c>
      <c r="CH736" t="str">
        <f>""</f>
        <v/>
      </c>
      <c r="CI736" t="str">
        <f>""</f>
        <v/>
      </c>
      <c r="CJ736" t="str">
        <f>""</f>
        <v/>
      </c>
      <c r="CK736" t="str">
        <f>""</f>
        <v/>
      </c>
      <c r="CL736" t="str">
        <f>""</f>
        <v/>
      </c>
      <c r="CM736" t="str">
        <f>""</f>
        <v/>
      </c>
      <c r="CN736" t="str">
        <f>""</f>
        <v/>
      </c>
      <c r="CO736" t="str">
        <f>""</f>
        <v/>
      </c>
      <c r="CP736" t="str">
        <f>""</f>
        <v/>
      </c>
      <c r="CQ736" t="str">
        <f>""</f>
        <v/>
      </c>
      <c r="CR736" t="str">
        <f>""</f>
        <v/>
      </c>
      <c r="CS736" t="str">
        <f>""</f>
        <v/>
      </c>
      <c r="CT736" t="str">
        <f>""</f>
        <v/>
      </c>
      <c r="CU736" t="str">
        <f>""</f>
        <v/>
      </c>
      <c r="CV736" t="str">
        <f>""</f>
        <v/>
      </c>
      <c r="CW736" t="str">
        <f>""</f>
        <v/>
      </c>
      <c r="CX736" t="str">
        <f>""</f>
        <v/>
      </c>
      <c r="CY736" t="str">
        <f>""</f>
        <v/>
      </c>
      <c r="CZ736" t="str">
        <f>""</f>
        <v/>
      </c>
      <c r="DA736" t="str">
        <f>""</f>
        <v/>
      </c>
      <c r="DB736" t="str">
        <f>""</f>
        <v/>
      </c>
      <c r="DC736" t="str">
        <f>""</f>
        <v/>
      </c>
      <c r="DD736" t="str">
        <f>""</f>
        <v/>
      </c>
      <c r="DE736" t="str">
        <f>""</f>
        <v/>
      </c>
      <c r="DF736" t="str">
        <f>""</f>
        <v/>
      </c>
      <c r="DG736" t="str">
        <f>""</f>
        <v/>
      </c>
      <c r="DH736" t="str">
        <f>""</f>
        <v/>
      </c>
      <c r="DI736" t="str">
        <f>""</f>
        <v/>
      </c>
      <c r="DJ736" t="str">
        <f>""</f>
        <v/>
      </c>
      <c r="DK736" t="str">
        <f>""</f>
        <v/>
      </c>
      <c r="DL736" t="str">
        <f>""</f>
        <v/>
      </c>
      <c r="DM736" t="str">
        <f>""</f>
        <v/>
      </c>
      <c r="DN736" t="str">
        <f>""</f>
        <v/>
      </c>
      <c r="DO736" t="str">
        <f>""</f>
        <v/>
      </c>
      <c r="DP736" t="str">
        <f>""</f>
        <v/>
      </c>
      <c r="DQ736" t="str">
        <f>""</f>
        <v/>
      </c>
      <c r="DR736" t="str">
        <f>""</f>
        <v/>
      </c>
      <c r="DS736" t="str">
        <f>""</f>
        <v/>
      </c>
      <c r="DT736" t="str">
        <f>""</f>
        <v/>
      </c>
      <c r="DU736" t="str">
        <f>""</f>
        <v/>
      </c>
    </row>
    <row r="737" spans="1:125" x14ac:dyDescent="0.25">
      <c r="A737" t="str">
        <f>$A$64</f>
        <v xml:space="preserve">    Guangzhou Automobile Group Co Ltd</v>
      </c>
      <c r="B737" t="str">
        <f>$B$64</f>
        <v>2238 HK Equity</v>
      </c>
      <c r="C737" t="str">
        <f>$C$64</f>
        <v>EZ009</v>
      </c>
      <c r="D737" t="str">
        <f>$D$64</f>
        <v>BEST_EST_PE_CUR_YR</v>
      </c>
      <c r="E737" t="str">
        <f>$E$64</f>
        <v>Dynamic</v>
      </c>
      <c r="F737" t="str">
        <f ca="1">_xll.BDH($B$64,$C$64,$B$675,$B$676,CONCATENATE("Per=",$B$673),"Dts=H","Dir=H",CONCATENATE("Points=",$B$674),"Sort=R","Days=A","Fill=B",CONCATENATE("FX=", $B$672) )</f>
        <v>#N/A Connection</v>
      </c>
      <c r="BN737" t="str">
        <f>""</f>
        <v/>
      </c>
      <c r="BO737" t="str">
        <f>""</f>
        <v/>
      </c>
      <c r="BP737" t="str">
        <f>""</f>
        <v/>
      </c>
      <c r="BQ737" t="str">
        <f>""</f>
        <v/>
      </c>
      <c r="BR737" t="str">
        <f>""</f>
        <v/>
      </c>
      <c r="BS737" t="str">
        <f>""</f>
        <v/>
      </c>
      <c r="BT737" t="str">
        <f>""</f>
        <v/>
      </c>
      <c r="BU737" t="str">
        <f>""</f>
        <v/>
      </c>
      <c r="BV737" t="str">
        <f>""</f>
        <v/>
      </c>
      <c r="BW737" t="str">
        <f>""</f>
        <v/>
      </c>
      <c r="BX737" t="str">
        <f>""</f>
        <v/>
      </c>
      <c r="BY737" t="str">
        <f>""</f>
        <v/>
      </c>
      <c r="BZ737" t="str">
        <f>""</f>
        <v/>
      </c>
      <c r="CA737" t="str">
        <f>""</f>
        <v/>
      </c>
      <c r="CB737" t="str">
        <f>""</f>
        <v/>
      </c>
      <c r="CC737" t="str">
        <f>""</f>
        <v/>
      </c>
      <c r="CD737" t="str">
        <f>""</f>
        <v/>
      </c>
      <c r="CE737" t="str">
        <f>""</f>
        <v/>
      </c>
      <c r="CF737" t="str">
        <f>""</f>
        <v/>
      </c>
      <c r="CG737" t="str">
        <f>""</f>
        <v/>
      </c>
      <c r="CH737" t="str">
        <f>""</f>
        <v/>
      </c>
      <c r="CI737" t="str">
        <f>""</f>
        <v/>
      </c>
      <c r="CJ737" t="str">
        <f>""</f>
        <v/>
      </c>
      <c r="CK737" t="str">
        <f>""</f>
        <v/>
      </c>
      <c r="CL737" t="str">
        <f>""</f>
        <v/>
      </c>
      <c r="CM737" t="str">
        <f>""</f>
        <v/>
      </c>
      <c r="CN737" t="str">
        <f>""</f>
        <v/>
      </c>
      <c r="CO737" t="str">
        <f>""</f>
        <v/>
      </c>
      <c r="CP737" t="str">
        <f>""</f>
        <v/>
      </c>
      <c r="CQ737" t="str">
        <f>""</f>
        <v/>
      </c>
      <c r="CR737" t="str">
        <f>""</f>
        <v/>
      </c>
      <c r="CS737" t="str">
        <f>""</f>
        <v/>
      </c>
      <c r="CT737" t="str">
        <f>""</f>
        <v/>
      </c>
      <c r="CU737" t="str">
        <f>""</f>
        <v/>
      </c>
      <c r="CV737" t="str">
        <f>""</f>
        <v/>
      </c>
      <c r="CW737" t="str">
        <f>""</f>
        <v/>
      </c>
      <c r="CX737" t="str">
        <f>""</f>
        <v/>
      </c>
      <c r="CY737" t="str">
        <f>""</f>
        <v/>
      </c>
      <c r="CZ737" t="str">
        <f>""</f>
        <v/>
      </c>
      <c r="DA737" t="str">
        <f>""</f>
        <v/>
      </c>
      <c r="DB737" t="str">
        <f>""</f>
        <v/>
      </c>
      <c r="DC737" t="str">
        <f>""</f>
        <v/>
      </c>
      <c r="DD737" t="str">
        <f>""</f>
        <v/>
      </c>
      <c r="DE737" t="str">
        <f>""</f>
        <v/>
      </c>
      <c r="DF737" t="str">
        <f>""</f>
        <v/>
      </c>
      <c r="DG737" t="str">
        <f>""</f>
        <v/>
      </c>
      <c r="DH737" t="str">
        <f>""</f>
        <v/>
      </c>
      <c r="DI737" t="str">
        <f>""</f>
        <v/>
      </c>
      <c r="DJ737" t="str">
        <f>""</f>
        <v/>
      </c>
      <c r="DK737" t="str">
        <f>""</f>
        <v/>
      </c>
      <c r="DL737" t="str">
        <f>""</f>
        <v/>
      </c>
      <c r="DM737" t="str">
        <f>""</f>
        <v/>
      </c>
      <c r="DN737" t="str">
        <f>""</f>
        <v/>
      </c>
      <c r="DO737" t="str">
        <f>""</f>
        <v/>
      </c>
      <c r="DP737" t="str">
        <f>""</f>
        <v/>
      </c>
      <c r="DQ737" t="str">
        <f>""</f>
        <v/>
      </c>
      <c r="DR737" t="str">
        <f>""</f>
        <v/>
      </c>
      <c r="DS737" t="str">
        <f>""</f>
        <v/>
      </c>
      <c r="DT737" t="str">
        <f>""</f>
        <v/>
      </c>
      <c r="DU737" t="str">
        <f>""</f>
        <v/>
      </c>
    </row>
    <row r="738" spans="1:125" x14ac:dyDescent="0.25">
      <c r="A738" t="str">
        <f>$A$65</f>
        <v xml:space="preserve">    Honda Motor Co Ltd</v>
      </c>
      <c r="B738" t="str">
        <f>$B$65</f>
        <v>7267 JP Equity</v>
      </c>
      <c r="C738" t="str">
        <f>$C$65</f>
        <v>EZ009</v>
      </c>
      <c r="D738" t="str">
        <f>$D$65</f>
        <v>BEST_EST_PE_CUR_YR</v>
      </c>
      <c r="E738" t="str">
        <f>$E$65</f>
        <v>Dynamic</v>
      </c>
      <c r="F738" t="str">
        <f ca="1">_xll.BDH($B$65,$C$65,$B$675,$B$676,CONCATENATE("Per=",$B$673),"Dts=H","Dir=H",CONCATENATE("Points=",$B$674),"Sort=R","Days=A","Fill=B",CONCATENATE("FX=", $B$672) )</f>
        <v>#N/A Connection</v>
      </c>
      <c r="BN738" t="str">
        <f>""</f>
        <v/>
      </c>
      <c r="BO738" t="str">
        <f>""</f>
        <v/>
      </c>
      <c r="BP738" t="str">
        <f>""</f>
        <v/>
      </c>
      <c r="BQ738" t="str">
        <f>""</f>
        <v/>
      </c>
      <c r="BR738" t="str">
        <f>""</f>
        <v/>
      </c>
      <c r="BS738" t="str">
        <f>""</f>
        <v/>
      </c>
      <c r="BT738" t="str">
        <f>""</f>
        <v/>
      </c>
      <c r="BU738" t="str">
        <f>""</f>
        <v/>
      </c>
      <c r="BV738" t="str">
        <f>""</f>
        <v/>
      </c>
      <c r="BW738" t="str">
        <f>""</f>
        <v/>
      </c>
      <c r="BX738" t="str">
        <f>""</f>
        <v/>
      </c>
      <c r="BY738" t="str">
        <f>""</f>
        <v/>
      </c>
      <c r="BZ738" t="str">
        <f>""</f>
        <v/>
      </c>
      <c r="CA738" t="str">
        <f>""</f>
        <v/>
      </c>
      <c r="CB738" t="str">
        <f>""</f>
        <v/>
      </c>
      <c r="CC738" t="str">
        <f>""</f>
        <v/>
      </c>
      <c r="CD738" t="str">
        <f>""</f>
        <v/>
      </c>
      <c r="CE738" t="str">
        <f>""</f>
        <v/>
      </c>
      <c r="CF738" t="str">
        <f>""</f>
        <v/>
      </c>
      <c r="CG738" t="str">
        <f>""</f>
        <v/>
      </c>
      <c r="CH738" t="str">
        <f>""</f>
        <v/>
      </c>
      <c r="CI738" t="str">
        <f>""</f>
        <v/>
      </c>
      <c r="CJ738" t="str">
        <f>""</f>
        <v/>
      </c>
      <c r="CK738" t="str">
        <f>""</f>
        <v/>
      </c>
      <c r="CL738" t="str">
        <f>""</f>
        <v/>
      </c>
      <c r="CM738" t="str">
        <f>""</f>
        <v/>
      </c>
      <c r="CN738" t="str">
        <f>""</f>
        <v/>
      </c>
      <c r="CO738" t="str">
        <f>""</f>
        <v/>
      </c>
      <c r="CP738" t="str">
        <f>""</f>
        <v/>
      </c>
      <c r="CQ738" t="str">
        <f>""</f>
        <v/>
      </c>
      <c r="CR738" t="str">
        <f>""</f>
        <v/>
      </c>
      <c r="CS738" t="str">
        <f>""</f>
        <v/>
      </c>
      <c r="CT738" t="str">
        <f>""</f>
        <v/>
      </c>
      <c r="CU738" t="str">
        <f>""</f>
        <v/>
      </c>
      <c r="CV738" t="str">
        <f>""</f>
        <v/>
      </c>
      <c r="CW738" t="str">
        <f>""</f>
        <v/>
      </c>
      <c r="CX738" t="str">
        <f>""</f>
        <v/>
      </c>
      <c r="CY738" t="str">
        <f>""</f>
        <v/>
      </c>
      <c r="CZ738" t="str">
        <f>""</f>
        <v/>
      </c>
      <c r="DA738" t="str">
        <f>""</f>
        <v/>
      </c>
      <c r="DB738" t="str">
        <f>""</f>
        <v/>
      </c>
      <c r="DC738" t="str">
        <f>""</f>
        <v/>
      </c>
      <c r="DD738" t="str">
        <f>""</f>
        <v/>
      </c>
      <c r="DE738" t="str">
        <f>""</f>
        <v/>
      </c>
      <c r="DF738" t="str">
        <f>""</f>
        <v/>
      </c>
      <c r="DG738" t="str">
        <f>""</f>
        <v/>
      </c>
      <c r="DH738" t="str">
        <f>""</f>
        <v/>
      </c>
      <c r="DI738" t="str">
        <f>""</f>
        <v/>
      </c>
      <c r="DJ738" t="str">
        <f>""</f>
        <v/>
      </c>
      <c r="DK738" t="str">
        <f>""</f>
        <v/>
      </c>
      <c r="DL738" t="str">
        <f>""</f>
        <v/>
      </c>
      <c r="DM738" t="str">
        <f>""</f>
        <v/>
      </c>
      <c r="DN738" t="str">
        <f>""</f>
        <v/>
      </c>
      <c r="DO738" t="str">
        <f>""</f>
        <v/>
      </c>
      <c r="DP738" t="str">
        <f>""</f>
        <v/>
      </c>
      <c r="DQ738" t="str">
        <f>""</f>
        <v/>
      </c>
      <c r="DR738" t="str">
        <f>""</f>
        <v/>
      </c>
      <c r="DS738" t="str">
        <f>""</f>
        <v/>
      </c>
      <c r="DT738" t="str">
        <f>""</f>
        <v/>
      </c>
      <c r="DU738" t="str">
        <f>""</f>
        <v/>
      </c>
    </row>
    <row r="739" spans="1:125" x14ac:dyDescent="0.25">
      <c r="A739" t="str">
        <f>$A$66</f>
        <v xml:space="preserve">    Hyundai Motor Co</v>
      </c>
      <c r="B739" t="str">
        <f>$B$66</f>
        <v>005380 KS Equity</v>
      </c>
      <c r="C739" t="str">
        <f>$C$66</f>
        <v>EZ009</v>
      </c>
      <c r="D739" t="str">
        <f>$D$66</f>
        <v>BEST_EST_PE_CUR_YR</v>
      </c>
      <c r="E739" t="str">
        <f>$E$66</f>
        <v>Dynamic</v>
      </c>
      <c r="F739" t="str">
        <f ca="1">_xll.BDH($B$66,$C$66,$B$675,$B$676,CONCATENATE("Per=",$B$673),"Dts=H","Dir=H",CONCATENATE("Points=",$B$674),"Sort=R","Days=A","Fill=B",CONCATENATE("FX=", $B$672) )</f>
        <v>#N/A Connection</v>
      </c>
      <c r="BN739" t="str">
        <f>""</f>
        <v/>
      </c>
      <c r="BO739" t="str">
        <f>""</f>
        <v/>
      </c>
      <c r="BP739" t="str">
        <f>""</f>
        <v/>
      </c>
      <c r="BQ739" t="str">
        <f>""</f>
        <v/>
      </c>
      <c r="BR739" t="str">
        <f>""</f>
        <v/>
      </c>
      <c r="BS739" t="str">
        <f>""</f>
        <v/>
      </c>
      <c r="BT739" t="str">
        <f>""</f>
        <v/>
      </c>
      <c r="BU739" t="str">
        <f>""</f>
        <v/>
      </c>
      <c r="BV739" t="str">
        <f>""</f>
        <v/>
      </c>
      <c r="BW739" t="str">
        <f>""</f>
        <v/>
      </c>
      <c r="BX739" t="str">
        <f>""</f>
        <v/>
      </c>
      <c r="BY739" t="str">
        <f>""</f>
        <v/>
      </c>
      <c r="BZ739" t="str">
        <f>""</f>
        <v/>
      </c>
      <c r="CA739" t="str">
        <f>""</f>
        <v/>
      </c>
      <c r="CB739" t="str">
        <f>""</f>
        <v/>
      </c>
      <c r="CC739" t="str">
        <f>""</f>
        <v/>
      </c>
      <c r="CD739" t="str">
        <f>""</f>
        <v/>
      </c>
      <c r="CE739" t="str">
        <f>""</f>
        <v/>
      </c>
      <c r="CF739" t="str">
        <f>""</f>
        <v/>
      </c>
      <c r="CG739" t="str">
        <f>""</f>
        <v/>
      </c>
      <c r="CH739" t="str">
        <f>""</f>
        <v/>
      </c>
      <c r="CI739" t="str">
        <f>""</f>
        <v/>
      </c>
      <c r="CJ739" t="str">
        <f>""</f>
        <v/>
      </c>
      <c r="CK739" t="str">
        <f>""</f>
        <v/>
      </c>
      <c r="CL739" t="str">
        <f>""</f>
        <v/>
      </c>
      <c r="CM739" t="str">
        <f>""</f>
        <v/>
      </c>
      <c r="CN739" t="str">
        <f>""</f>
        <v/>
      </c>
      <c r="CO739" t="str">
        <f>""</f>
        <v/>
      </c>
      <c r="CP739" t="str">
        <f>""</f>
        <v/>
      </c>
      <c r="CQ739" t="str">
        <f>""</f>
        <v/>
      </c>
      <c r="CR739" t="str">
        <f>""</f>
        <v/>
      </c>
      <c r="CS739" t="str">
        <f>""</f>
        <v/>
      </c>
      <c r="CT739" t="str">
        <f>""</f>
        <v/>
      </c>
      <c r="CU739" t="str">
        <f>""</f>
        <v/>
      </c>
      <c r="CV739" t="str">
        <f>""</f>
        <v/>
      </c>
      <c r="CW739" t="str">
        <f>""</f>
        <v/>
      </c>
      <c r="CX739" t="str">
        <f>""</f>
        <v/>
      </c>
      <c r="CY739" t="str">
        <f>""</f>
        <v/>
      </c>
      <c r="CZ739" t="str">
        <f>""</f>
        <v/>
      </c>
      <c r="DA739" t="str">
        <f>""</f>
        <v/>
      </c>
      <c r="DB739" t="str">
        <f>""</f>
        <v/>
      </c>
      <c r="DC739" t="str">
        <f>""</f>
        <v/>
      </c>
      <c r="DD739" t="str">
        <f>""</f>
        <v/>
      </c>
      <c r="DE739" t="str">
        <f>""</f>
        <v/>
      </c>
      <c r="DF739" t="str">
        <f>""</f>
        <v/>
      </c>
      <c r="DG739" t="str">
        <f>""</f>
        <v/>
      </c>
      <c r="DH739" t="str">
        <f>""</f>
        <v/>
      </c>
      <c r="DI739" t="str">
        <f>""</f>
        <v/>
      </c>
      <c r="DJ739" t="str">
        <f>""</f>
        <v/>
      </c>
      <c r="DK739" t="str">
        <f>""</f>
        <v/>
      </c>
      <c r="DL739" t="str">
        <f>""</f>
        <v/>
      </c>
      <c r="DM739" t="str">
        <f>""</f>
        <v/>
      </c>
      <c r="DN739" t="str">
        <f>""</f>
        <v/>
      </c>
      <c r="DO739" t="str">
        <f>""</f>
        <v/>
      </c>
      <c r="DP739" t="str">
        <f>""</f>
        <v/>
      </c>
      <c r="DQ739" t="str">
        <f>""</f>
        <v/>
      </c>
      <c r="DR739" t="str">
        <f>""</f>
        <v/>
      </c>
      <c r="DS739" t="str">
        <f>""</f>
        <v/>
      </c>
      <c r="DT739" t="str">
        <f>""</f>
        <v/>
      </c>
      <c r="DU739" t="str">
        <f>""</f>
        <v/>
      </c>
    </row>
    <row r="740" spans="1:125" x14ac:dyDescent="0.25">
      <c r="A740" t="str">
        <f>$A$67</f>
        <v xml:space="preserve">    Kia Motors Corp</v>
      </c>
      <c r="B740" t="str">
        <f>$B$67</f>
        <v>000270 KS Equity</v>
      </c>
      <c r="C740" t="str">
        <f>$C$67</f>
        <v>EZ009</v>
      </c>
      <c r="D740" t="str">
        <f>$D$67</f>
        <v>BEST_EST_PE_CUR_YR</v>
      </c>
      <c r="E740" t="str">
        <f>$E$67</f>
        <v>Dynamic</v>
      </c>
      <c r="F740" t="str">
        <f ca="1">_xll.BDH($B$67,$C$67,$B$675,$B$676,CONCATENATE("Per=",$B$673),"Dts=H","Dir=H",CONCATENATE("Points=",$B$674),"Sort=R","Days=A","Fill=B",CONCATENATE("FX=", $B$672) )</f>
        <v>#N/A Connection</v>
      </c>
      <c r="BN740" t="str">
        <f>""</f>
        <v/>
      </c>
      <c r="BO740" t="str">
        <f>""</f>
        <v/>
      </c>
      <c r="BP740" t="str">
        <f>""</f>
        <v/>
      </c>
      <c r="BQ740" t="str">
        <f>""</f>
        <v/>
      </c>
      <c r="BR740" t="str">
        <f>""</f>
        <v/>
      </c>
      <c r="BS740" t="str">
        <f>""</f>
        <v/>
      </c>
      <c r="BT740" t="str">
        <f>""</f>
        <v/>
      </c>
      <c r="BU740" t="str">
        <f>""</f>
        <v/>
      </c>
      <c r="BV740" t="str">
        <f>""</f>
        <v/>
      </c>
      <c r="BW740" t="str">
        <f>""</f>
        <v/>
      </c>
      <c r="BX740" t="str">
        <f>""</f>
        <v/>
      </c>
      <c r="BY740" t="str">
        <f>""</f>
        <v/>
      </c>
      <c r="BZ740" t="str">
        <f>""</f>
        <v/>
      </c>
      <c r="CA740" t="str">
        <f>""</f>
        <v/>
      </c>
      <c r="CB740" t="str">
        <f>""</f>
        <v/>
      </c>
      <c r="CC740" t="str">
        <f>""</f>
        <v/>
      </c>
      <c r="CD740" t="str">
        <f>""</f>
        <v/>
      </c>
      <c r="CE740" t="str">
        <f>""</f>
        <v/>
      </c>
      <c r="CF740" t="str">
        <f>""</f>
        <v/>
      </c>
      <c r="CG740" t="str">
        <f>""</f>
        <v/>
      </c>
      <c r="CH740" t="str">
        <f>""</f>
        <v/>
      </c>
      <c r="CI740" t="str">
        <f>""</f>
        <v/>
      </c>
      <c r="CJ740" t="str">
        <f>""</f>
        <v/>
      </c>
      <c r="CK740" t="str">
        <f>""</f>
        <v/>
      </c>
      <c r="CL740" t="str">
        <f>""</f>
        <v/>
      </c>
      <c r="CM740" t="str">
        <f>""</f>
        <v/>
      </c>
      <c r="CN740" t="str">
        <f>""</f>
        <v/>
      </c>
      <c r="CO740" t="str">
        <f>""</f>
        <v/>
      </c>
      <c r="CP740" t="str">
        <f>""</f>
        <v/>
      </c>
      <c r="CQ740" t="str">
        <f>""</f>
        <v/>
      </c>
      <c r="CR740" t="str">
        <f>""</f>
        <v/>
      </c>
      <c r="CS740" t="str">
        <f>""</f>
        <v/>
      </c>
      <c r="CT740" t="str">
        <f>""</f>
        <v/>
      </c>
      <c r="CU740" t="str">
        <f>""</f>
        <v/>
      </c>
      <c r="CV740" t="str">
        <f>""</f>
        <v/>
      </c>
      <c r="CW740" t="str">
        <f>""</f>
        <v/>
      </c>
      <c r="CX740" t="str">
        <f>""</f>
        <v/>
      </c>
      <c r="CY740" t="str">
        <f>""</f>
        <v/>
      </c>
      <c r="CZ740" t="str">
        <f>""</f>
        <v/>
      </c>
      <c r="DA740" t="str">
        <f>""</f>
        <v/>
      </c>
      <c r="DB740" t="str">
        <f>""</f>
        <v/>
      </c>
      <c r="DC740" t="str">
        <f>""</f>
        <v/>
      </c>
      <c r="DD740" t="str">
        <f>""</f>
        <v/>
      </c>
      <c r="DE740" t="str">
        <f>""</f>
        <v/>
      </c>
      <c r="DF740" t="str">
        <f>""</f>
        <v/>
      </c>
      <c r="DG740" t="str">
        <f>""</f>
        <v/>
      </c>
      <c r="DH740" t="str">
        <f>""</f>
        <v/>
      </c>
      <c r="DI740" t="str">
        <f>""</f>
        <v/>
      </c>
      <c r="DJ740" t="str">
        <f>""</f>
        <v/>
      </c>
      <c r="DK740" t="str">
        <f>""</f>
        <v/>
      </c>
      <c r="DL740" t="str">
        <f>""</f>
        <v/>
      </c>
      <c r="DM740" t="str">
        <f>""</f>
        <v/>
      </c>
      <c r="DN740" t="str">
        <f>""</f>
        <v/>
      </c>
      <c r="DO740" t="str">
        <f>""</f>
        <v/>
      </c>
      <c r="DP740" t="str">
        <f>""</f>
        <v/>
      </c>
      <c r="DQ740" t="str">
        <f>""</f>
        <v/>
      </c>
      <c r="DR740" t="str">
        <f>""</f>
        <v/>
      </c>
      <c r="DS740" t="str">
        <f>""</f>
        <v/>
      </c>
      <c r="DT740" t="str">
        <f>""</f>
        <v/>
      </c>
      <c r="DU740" t="str">
        <f>""</f>
        <v/>
      </c>
    </row>
    <row r="741" spans="1:125" x14ac:dyDescent="0.25">
      <c r="A741" t="str">
        <f>$A$68</f>
        <v xml:space="preserve">    Mazda Motor Corp</v>
      </c>
      <c r="B741" t="str">
        <f>$B$68</f>
        <v>7261 JP Equity</v>
      </c>
      <c r="C741" t="str">
        <f>$C$68</f>
        <v>EZ009</v>
      </c>
      <c r="D741" t="str">
        <f>$D$68</f>
        <v>BEST_EST_PE_CUR_YR</v>
      </c>
      <c r="E741" t="str">
        <f>$E$68</f>
        <v>Dynamic</v>
      </c>
      <c r="F741" t="str">
        <f ca="1">_xll.BDH($B$68,$C$68,$B$675,$B$676,CONCATENATE("Per=",$B$673),"Dts=H","Dir=H",CONCATENATE("Points=",$B$674),"Sort=R","Days=A","Fill=B",CONCATENATE("FX=", $B$672) )</f>
        <v>#N/A Connection</v>
      </c>
      <c r="BN741" t="str">
        <f>""</f>
        <v/>
      </c>
      <c r="BO741" t="str">
        <f>""</f>
        <v/>
      </c>
      <c r="BP741" t="str">
        <f>""</f>
        <v/>
      </c>
      <c r="BQ741" t="str">
        <f>""</f>
        <v/>
      </c>
      <c r="BR741" t="str">
        <f>""</f>
        <v/>
      </c>
      <c r="BS741" t="str">
        <f>""</f>
        <v/>
      </c>
      <c r="BT741" t="str">
        <f>""</f>
        <v/>
      </c>
      <c r="BU741" t="str">
        <f>""</f>
        <v/>
      </c>
      <c r="BV741" t="str">
        <f>""</f>
        <v/>
      </c>
      <c r="BW741" t="str">
        <f>""</f>
        <v/>
      </c>
      <c r="BX741" t="str">
        <f>""</f>
        <v/>
      </c>
      <c r="BY741" t="str">
        <f>""</f>
        <v/>
      </c>
      <c r="BZ741" t="str">
        <f>""</f>
        <v/>
      </c>
      <c r="CA741" t="str">
        <f>""</f>
        <v/>
      </c>
      <c r="CB741" t="str">
        <f>""</f>
        <v/>
      </c>
      <c r="CC741" t="str">
        <f>""</f>
        <v/>
      </c>
      <c r="CD741" t="str">
        <f>""</f>
        <v/>
      </c>
      <c r="CE741" t="str">
        <f>""</f>
        <v/>
      </c>
      <c r="CF741" t="str">
        <f>""</f>
        <v/>
      </c>
      <c r="CG741" t="str">
        <f>""</f>
        <v/>
      </c>
      <c r="CH741" t="str">
        <f>""</f>
        <v/>
      </c>
      <c r="CI741" t="str">
        <f>""</f>
        <v/>
      </c>
      <c r="CJ741" t="str">
        <f>""</f>
        <v/>
      </c>
      <c r="CK741" t="str">
        <f>""</f>
        <v/>
      </c>
      <c r="CL741" t="str">
        <f>""</f>
        <v/>
      </c>
      <c r="CM741" t="str">
        <f>""</f>
        <v/>
      </c>
      <c r="CN741" t="str">
        <f>""</f>
        <v/>
      </c>
      <c r="CO741" t="str">
        <f>""</f>
        <v/>
      </c>
      <c r="CP741" t="str">
        <f>""</f>
        <v/>
      </c>
      <c r="CQ741" t="str">
        <f>""</f>
        <v/>
      </c>
      <c r="CR741" t="str">
        <f>""</f>
        <v/>
      </c>
      <c r="CS741" t="str">
        <f>""</f>
        <v/>
      </c>
      <c r="CT741" t="str">
        <f>""</f>
        <v/>
      </c>
      <c r="CU741" t="str">
        <f>""</f>
        <v/>
      </c>
      <c r="CV741" t="str">
        <f>""</f>
        <v/>
      </c>
      <c r="CW741" t="str">
        <f>""</f>
        <v/>
      </c>
      <c r="CX741" t="str">
        <f>""</f>
        <v/>
      </c>
      <c r="CY741" t="str">
        <f>""</f>
        <v/>
      </c>
      <c r="CZ741" t="str">
        <f>""</f>
        <v/>
      </c>
      <c r="DA741" t="str">
        <f>""</f>
        <v/>
      </c>
      <c r="DB741" t="str">
        <f>""</f>
        <v/>
      </c>
      <c r="DC741" t="str">
        <f>""</f>
        <v/>
      </c>
      <c r="DD741" t="str">
        <f>""</f>
        <v/>
      </c>
      <c r="DE741" t="str">
        <f>""</f>
        <v/>
      </c>
      <c r="DF741" t="str">
        <f>""</f>
        <v/>
      </c>
      <c r="DG741" t="str">
        <f>""</f>
        <v/>
      </c>
      <c r="DH741" t="str">
        <f>""</f>
        <v/>
      </c>
      <c r="DI741" t="str">
        <f>""</f>
        <v/>
      </c>
      <c r="DJ741" t="str">
        <f>""</f>
        <v/>
      </c>
      <c r="DK741" t="str">
        <f>""</f>
        <v/>
      </c>
      <c r="DL741" t="str">
        <f>""</f>
        <v/>
      </c>
      <c r="DM741" t="str">
        <f>""</f>
        <v/>
      </c>
      <c r="DN741" t="str">
        <f>""</f>
        <v/>
      </c>
      <c r="DO741" t="str">
        <f>""</f>
        <v/>
      </c>
      <c r="DP741" t="str">
        <f>""</f>
        <v/>
      </c>
      <c r="DQ741" t="str">
        <f>""</f>
        <v/>
      </c>
      <c r="DR741" t="str">
        <f>""</f>
        <v/>
      </c>
      <c r="DS741" t="str">
        <f>""</f>
        <v/>
      </c>
      <c r="DT741" t="str">
        <f>""</f>
        <v/>
      </c>
      <c r="DU741" t="str">
        <f>""</f>
        <v/>
      </c>
    </row>
    <row r="742" spans="1:125" x14ac:dyDescent="0.25">
      <c r="A742" t="str">
        <f>$A$69</f>
        <v xml:space="preserve">    Mitsubishi Motors Corp</v>
      </c>
      <c r="B742" t="str">
        <f>$B$69</f>
        <v>7211 JP Equity</v>
      </c>
      <c r="C742" t="str">
        <f>$C$69</f>
        <v>EZ009</v>
      </c>
      <c r="D742" t="str">
        <f>$D$69</f>
        <v>BEST_EST_PE_CUR_YR</v>
      </c>
      <c r="E742" t="str">
        <f>$E$69</f>
        <v>Dynamic</v>
      </c>
      <c r="F742" t="str">
        <f ca="1">_xll.BDH($B$69,$C$69,$B$675,$B$676,CONCATENATE("Per=",$B$673),"Dts=H","Dir=H",CONCATENATE("Points=",$B$674),"Sort=R","Days=A","Fill=B",CONCATENATE("FX=", $B$672) )</f>
        <v>#N/A Connection</v>
      </c>
      <c r="BN742" t="str">
        <f>""</f>
        <v/>
      </c>
      <c r="BO742" t="str">
        <f>""</f>
        <v/>
      </c>
      <c r="BP742" t="str">
        <f>""</f>
        <v/>
      </c>
      <c r="BQ742" t="str">
        <f>""</f>
        <v/>
      </c>
      <c r="BR742" t="str">
        <f>""</f>
        <v/>
      </c>
      <c r="BS742" t="str">
        <f>""</f>
        <v/>
      </c>
      <c r="BT742" t="str">
        <f>""</f>
        <v/>
      </c>
      <c r="BU742" t="str">
        <f>""</f>
        <v/>
      </c>
      <c r="BV742" t="str">
        <f>""</f>
        <v/>
      </c>
      <c r="BW742" t="str">
        <f>""</f>
        <v/>
      </c>
      <c r="BX742" t="str">
        <f>""</f>
        <v/>
      </c>
      <c r="BY742" t="str">
        <f>""</f>
        <v/>
      </c>
      <c r="BZ742" t="str">
        <f>""</f>
        <v/>
      </c>
      <c r="CA742" t="str">
        <f>""</f>
        <v/>
      </c>
      <c r="CB742" t="str">
        <f>""</f>
        <v/>
      </c>
      <c r="CC742" t="str">
        <f>""</f>
        <v/>
      </c>
      <c r="CD742" t="str">
        <f>""</f>
        <v/>
      </c>
      <c r="CE742" t="str">
        <f>""</f>
        <v/>
      </c>
      <c r="CF742" t="str">
        <f>""</f>
        <v/>
      </c>
      <c r="CG742" t="str">
        <f>""</f>
        <v/>
      </c>
      <c r="CH742" t="str">
        <f>""</f>
        <v/>
      </c>
      <c r="CI742" t="str">
        <f>""</f>
        <v/>
      </c>
      <c r="CJ742" t="str">
        <f>""</f>
        <v/>
      </c>
      <c r="CK742" t="str">
        <f>""</f>
        <v/>
      </c>
      <c r="CL742" t="str">
        <f>""</f>
        <v/>
      </c>
      <c r="CM742" t="str">
        <f>""</f>
        <v/>
      </c>
      <c r="CN742" t="str">
        <f>""</f>
        <v/>
      </c>
      <c r="CO742" t="str">
        <f>""</f>
        <v/>
      </c>
      <c r="CP742" t="str">
        <f>""</f>
        <v/>
      </c>
      <c r="CQ742" t="str">
        <f>""</f>
        <v/>
      </c>
      <c r="CR742" t="str">
        <f>""</f>
        <v/>
      </c>
      <c r="CS742" t="str">
        <f>""</f>
        <v/>
      </c>
      <c r="CT742" t="str">
        <f>""</f>
        <v/>
      </c>
      <c r="CU742" t="str">
        <f>""</f>
        <v/>
      </c>
      <c r="CV742" t="str">
        <f>""</f>
        <v/>
      </c>
      <c r="CW742" t="str">
        <f>""</f>
        <v/>
      </c>
      <c r="CX742" t="str">
        <f>""</f>
        <v/>
      </c>
      <c r="CY742" t="str">
        <f>""</f>
        <v/>
      </c>
      <c r="CZ742" t="str">
        <f>""</f>
        <v/>
      </c>
      <c r="DA742" t="str">
        <f>""</f>
        <v/>
      </c>
      <c r="DB742" t="str">
        <f>""</f>
        <v/>
      </c>
      <c r="DC742" t="str">
        <f>""</f>
        <v/>
      </c>
      <c r="DD742" t="str">
        <f>""</f>
        <v/>
      </c>
      <c r="DE742" t="str">
        <f>""</f>
        <v/>
      </c>
      <c r="DF742" t="str">
        <f>""</f>
        <v/>
      </c>
      <c r="DG742" t="str">
        <f>""</f>
        <v/>
      </c>
      <c r="DH742" t="str">
        <f>""</f>
        <v/>
      </c>
      <c r="DI742" t="str">
        <f>""</f>
        <v/>
      </c>
      <c r="DJ742" t="str">
        <f>""</f>
        <v/>
      </c>
      <c r="DK742" t="str">
        <f>""</f>
        <v/>
      </c>
      <c r="DL742" t="str">
        <f>""</f>
        <v/>
      </c>
      <c r="DM742" t="str">
        <f>""</f>
        <v/>
      </c>
      <c r="DN742" t="str">
        <f>""</f>
        <v/>
      </c>
      <c r="DO742" t="str">
        <f>""</f>
        <v/>
      </c>
      <c r="DP742" t="str">
        <f>""</f>
        <v/>
      </c>
      <c r="DQ742" t="str">
        <f>""</f>
        <v/>
      </c>
      <c r="DR742" t="str">
        <f>""</f>
        <v/>
      </c>
      <c r="DS742" t="str">
        <f>""</f>
        <v/>
      </c>
      <c r="DT742" t="str">
        <f>""</f>
        <v/>
      </c>
      <c r="DU742" t="str">
        <f>""</f>
        <v/>
      </c>
    </row>
    <row r="743" spans="1:125" x14ac:dyDescent="0.25">
      <c r="A743" t="str">
        <f>$A$70</f>
        <v xml:space="preserve">    Nissan Motor Co Ltd</v>
      </c>
      <c r="B743" t="str">
        <f>$B$70</f>
        <v>7201 JP Equity</v>
      </c>
      <c r="C743" t="str">
        <f>$C$70</f>
        <v>EZ009</v>
      </c>
      <c r="D743" t="str">
        <f>$D$70</f>
        <v>BEST_EST_PE_CUR_YR</v>
      </c>
      <c r="E743" t="str">
        <f>$E$70</f>
        <v>Dynamic</v>
      </c>
      <c r="F743" t="str">
        <f ca="1">_xll.BDH($B$70,$C$70,$B$675,$B$676,CONCATENATE("Per=",$B$673),"Dts=H","Dir=H",CONCATENATE("Points=",$B$674),"Sort=R","Days=A","Fill=B",CONCATENATE("FX=", $B$672) )</f>
        <v>#N/A Connection</v>
      </c>
      <c r="BN743" t="str">
        <f>""</f>
        <v/>
      </c>
      <c r="BO743" t="str">
        <f>""</f>
        <v/>
      </c>
      <c r="BP743" t="str">
        <f>""</f>
        <v/>
      </c>
      <c r="BQ743" t="str">
        <f>""</f>
        <v/>
      </c>
      <c r="BR743" t="str">
        <f>""</f>
        <v/>
      </c>
      <c r="BS743" t="str">
        <f>""</f>
        <v/>
      </c>
      <c r="BT743" t="str">
        <f>""</f>
        <v/>
      </c>
      <c r="BU743" t="str">
        <f>""</f>
        <v/>
      </c>
      <c r="BV743" t="str">
        <f>""</f>
        <v/>
      </c>
      <c r="BW743" t="str">
        <f>""</f>
        <v/>
      </c>
      <c r="BX743" t="str">
        <f>""</f>
        <v/>
      </c>
      <c r="BY743" t="str">
        <f>""</f>
        <v/>
      </c>
      <c r="BZ743" t="str">
        <f>""</f>
        <v/>
      </c>
      <c r="CA743" t="str">
        <f>""</f>
        <v/>
      </c>
      <c r="CB743" t="str">
        <f>""</f>
        <v/>
      </c>
      <c r="CC743" t="str">
        <f>""</f>
        <v/>
      </c>
      <c r="CD743" t="str">
        <f>""</f>
        <v/>
      </c>
      <c r="CE743" t="str">
        <f>""</f>
        <v/>
      </c>
      <c r="CF743" t="str">
        <f>""</f>
        <v/>
      </c>
      <c r="CG743" t="str">
        <f>""</f>
        <v/>
      </c>
      <c r="CH743" t="str">
        <f>""</f>
        <v/>
      </c>
      <c r="CI743" t="str">
        <f>""</f>
        <v/>
      </c>
      <c r="CJ743" t="str">
        <f>""</f>
        <v/>
      </c>
      <c r="CK743" t="str">
        <f>""</f>
        <v/>
      </c>
      <c r="CL743" t="str">
        <f>""</f>
        <v/>
      </c>
      <c r="CM743" t="str">
        <f>""</f>
        <v/>
      </c>
      <c r="CN743" t="str">
        <f>""</f>
        <v/>
      </c>
      <c r="CO743" t="str">
        <f>""</f>
        <v/>
      </c>
      <c r="CP743" t="str">
        <f>""</f>
        <v/>
      </c>
      <c r="CQ743" t="str">
        <f>""</f>
        <v/>
      </c>
      <c r="CR743" t="str">
        <f>""</f>
        <v/>
      </c>
      <c r="CS743" t="str">
        <f>""</f>
        <v/>
      </c>
      <c r="CT743" t="str">
        <f>""</f>
        <v/>
      </c>
      <c r="CU743" t="str">
        <f>""</f>
        <v/>
      </c>
      <c r="CV743" t="str">
        <f>""</f>
        <v/>
      </c>
      <c r="CW743" t="str">
        <f>""</f>
        <v/>
      </c>
      <c r="CX743" t="str">
        <f>""</f>
        <v/>
      </c>
      <c r="CY743" t="str">
        <f>""</f>
        <v/>
      </c>
      <c r="CZ743" t="str">
        <f>""</f>
        <v/>
      </c>
      <c r="DA743" t="str">
        <f>""</f>
        <v/>
      </c>
      <c r="DB743" t="str">
        <f>""</f>
        <v/>
      </c>
      <c r="DC743" t="str">
        <f>""</f>
        <v/>
      </c>
      <c r="DD743" t="str">
        <f>""</f>
        <v/>
      </c>
      <c r="DE743" t="str">
        <f>""</f>
        <v/>
      </c>
      <c r="DF743" t="str">
        <f>""</f>
        <v/>
      </c>
      <c r="DG743" t="str">
        <f>""</f>
        <v/>
      </c>
      <c r="DH743" t="str">
        <f>""</f>
        <v/>
      </c>
      <c r="DI743" t="str">
        <f>""</f>
        <v/>
      </c>
      <c r="DJ743" t="str">
        <f>""</f>
        <v/>
      </c>
      <c r="DK743" t="str">
        <f>""</f>
        <v/>
      </c>
      <c r="DL743" t="str">
        <f>""</f>
        <v/>
      </c>
      <c r="DM743" t="str">
        <f>""</f>
        <v/>
      </c>
      <c r="DN743" t="str">
        <f>""</f>
        <v/>
      </c>
      <c r="DO743" t="str">
        <f>""</f>
        <v/>
      </c>
      <c r="DP743" t="str">
        <f>""</f>
        <v/>
      </c>
      <c r="DQ743" t="str">
        <f>""</f>
        <v/>
      </c>
      <c r="DR743" t="str">
        <f>""</f>
        <v/>
      </c>
      <c r="DS743" t="str">
        <f>""</f>
        <v/>
      </c>
      <c r="DT743" t="str">
        <f>""</f>
        <v/>
      </c>
      <c r="DU743" t="str">
        <f>""</f>
        <v/>
      </c>
    </row>
    <row r="744" spans="1:125" x14ac:dyDescent="0.25">
      <c r="A744" t="str">
        <f>$A$71</f>
        <v xml:space="preserve">    Peugeot SA</v>
      </c>
      <c r="B744" t="str">
        <f>$B$71</f>
        <v>UG FP Equity</v>
      </c>
      <c r="C744" t="str">
        <f>$C$71</f>
        <v>EZ009</v>
      </c>
      <c r="D744" t="str">
        <f>$D$71</f>
        <v>BEST_EST_PE_CUR_YR</v>
      </c>
      <c r="E744" t="str">
        <f>$E$71</f>
        <v>Dynamic</v>
      </c>
      <c r="F744" t="str">
        <f ca="1">_xll.BDH($B$71,$C$71,$B$675,$B$676,CONCATENATE("Per=",$B$673),"Dts=H","Dir=H",CONCATENATE("Points=",$B$674),"Sort=R","Days=A","Fill=B",CONCATENATE("FX=", $B$672) )</f>
        <v>#N/A Connection</v>
      </c>
      <c r="BN744" t="str">
        <f>""</f>
        <v/>
      </c>
      <c r="BO744" t="str">
        <f>""</f>
        <v/>
      </c>
      <c r="BP744" t="str">
        <f>""</f>
        <v/>
      </c>
      <c r="BQ744" t="str">
        <f>""</f>
        <v/>
      </c>
      <c r="BR744" t="str">
        <f>""</f>
        <v/>
      </c>
      <c r="BS744" t="str">
        <f>""</f>
        <v/>
      </c>
      <c r="BT744" t="str">
        <f>""</f>
        <v/>
      </c>
      <c r="BU744" t="str">
        <f>""</f>
        <v/>
      </c>
      <c r="BV744" t="str">
        <f>""</f>
        <v/>
      </c>
      <c r="BW744" t="str">
        <f>""</f>
        <v/>
      </c>
      <c r="BX744" t="str">
        <f>""</f>
        <v/>
      </c>
      <c r="BY744" t="str">
        <f>""</f>
        <v/>
      </c>
      <c r="BZ744" t="str">
        <f>""</f>
        <v/>
      </c>
      <c r="CA744" t="str">
        <f>""</f>
        <v/>
      </c>
      <c r="CB744" t="str">
        <f>""</f>
        <v/>
      </c>
      <c r="CC744" t="str">
        <f>""</f>
        <v/>
      </c>
      <c r="CD744" t="str">
        <f>""</f>
        <v/>
      </c>
      <c r="CE744" t="str">
        <f>""</f>
        <v/>
      </c>
      <c r="CF744" t="str">
        <f>""</f>
        <v/>
      </c>
      <c r="CG744" t="str">
        <f>""</f>
        <v/>
      </c>
      <c r="CH744" t="str">
        <f>""</f>
        <v/>
      </c>
      <c r="CI744" t="str">
        <f>""</f>
        <v/>
      </c>
      <c r="CJ744" t="str">
        <f>""</f>
        <v/>
      </c>
      <c r="CK744" t="str">
        <f>""</f>
        <v/>
      </c>
      <c r="CL744" t="str">
        <f>""</f>
        <v/>
      </c>
      <c r="CM744" t="str">
        <f>""</f>
        <v/>
      </c>
      <c r="CN744" t="str">
        <f>""</f>
        <v/>
      </c>
      <c r="CO744" t="str">
        <f>""</f>
        <v/>
      </c>
      <c r="CP744" t="str">
        <f>""</f>
        <v/>
      </c>
      <c r="CQ744" t="str">
        <f>""</f>
        <v/>
      </c>
      <c r="CR744" t="str">
        <f>""</f>
        <v/>
      </c>
      <c r="CS744" t="str">
        <f>""</f>
        <v/>
      </c>
      <c r="CT744" t="str">
        <f>""</f>
        <v/>
      </c>
      <c r="CU744" t="str">
        <f>""</f>
        <v/>
      </c>
      <c r="CV744" t="str">
        <f>""</f>
        <v/>
      </c>
      <c r="CW744" t="str">
        <f>""</f>
        <v/>
      </c>
      <c r="CX744" t="str">
        <f>""</f>
        <v/>
      </c>
      <c r="CY744" t="str">
        <f>""</f>
        <v/>
      </c>
      <c r="CZ744" t="str">
        <f>""</f>
        <v/>
      </c>
      <c r="DA744" t="str">
        <f>""</f>
        <v/>
      </c>
      <c r="DB744" t="str">
        <f>""</f>
        <v/>
      </c>
      <c r="DC744" t="str">
        <f>""</f>
        <v/>
      </c>
      <c r="DD744" t="str">
        <f>""</f>
        <v/>
      </c>
      <c r="DE744" t="str">
        <f>""</f>
        <v/>
      </c>
      <c r="DF744" t="str">
        <f>""</f>
        <v/>
      </c>
      <c r="DG744" t="str">
        <f>""</f>
        <v/>
      </c>
      <c r="DH744" t="str">
        <f>""</f>
        <v/>
      </c>
      <c r="DI744" t="str">
        <f>""</f>
        <v/>
      </c>
      <c r="DJ744" t="str">
        <f>""</f>
        <v/>
      </c>
      <c r="DK744" t="str">
        <f>""</f>
        <v/>
      </c>
      <c r="DL744" t="str">
        <f>""</f>
        <v/>
      </c>
      <c r="DM744" t="str">
        <f>""</f>
        <v/>
      </c>
      <c r="DN744" t="str">
        <f>""</f>
        <v/>
      </c>
      <c r="DO744" t="str">
        <f>""</f>
        <v/>
      </c>
      <c r="DP744" t="str">
        <f>""</f>
        <v/>
      </c>
      <c r="DQ744" t="str">
        <f>""</f>
        <v/>
      </c>
      <c r="DR744" t="str">
        <f>""</f>
        <v/>
      </c>
      <c r="DS744" t="str">
        <f>""</f>
        <v/>
      </c>
      <c r="DT744" t="str">
        <f>""</f>
        <v/>
      </c>
      <c r="DU744" t="str">
        <f>""</f>
        <v/>
      </c>
    </row>
    <row r="745" spans="1:125" x14ac:dyDescent="0.25">
      <c r="A745" t="str">
        <f>$A$72</f>
        <v xml:space="preserve">    Renault SA</v>
      </c>
      <c r="B745" t="str">
        <f>$B$72</f>
        <v>RNO FP Equity</v>
      </c>
      <c r="C745" t="str">
        <f>$C$72</f>
        <v>EZ009</v>
      </c>
      <c r="D745" t="str">
        <f>$D$72</f>
        <v>BEST_EST_PE_CUR_YR</v>
      </c>
      <c r="E745" t="str">
        <f>$E$72</f>
        <v>Dynamic</v>
      </c>
      <c r="F745" t="str">
        <f ca="1">_xll.BDH($B$72,$C$72,$B$675,$B$676,CONCATENATE("Per=",$B$673),"Dts=H","Dir=H",CONCATENATE("Points=",$B$674),"Sort=R","Days=A","Fill=B",CONCATENATE("FX=", $B$672) )</f>
        <v>#N/A Connection</v>
      </c>
      <c r="BN745" t="str">
        <f>""</f>
        <v/>
      </c>
      <c r="BO745" t="str">
        <f>""</f>
        <v/>
      </c>
      <c r="BP745" t="str">
        <f>""</f>
        <v/>
      </c>
      <c r="BQ745" t="str">
        <f>""</f>
        <v/>
      </c>
      <c r="BR745" t="str">
        <f>""</f>
        <v/>
      </c>
      <c r="BS745" t="str">
        <f>""</f>
        <v/>
      </c>
      <c r="BT745" t="str">
        <f>""</f>
        <v/>
      </c>
      <c r="BU745" t="str">
        <f>""</f>
        <v/>
      </c>
      <c r="BV745" t="str">
        <f>""</f>
        <v/>
      </c>
      <c r="BW745" t="str">
        <f>""</f>
        <v/>
      </c>
      <c r="BX745" t="str">
        <f>""</f>
        <v/>
      </c>
      <c r="BY745" t="str">
        <f>""</f>
        <v/>
      </c>
      <c r="BZ745" t="str">
        <f>""</f>
        <v/>
      </c>
      <c r="CA745" t="str">
        <f>""</f>
        <v/>
      </c>
      <c r="CB745" t="str">
        <f>""</f>
        <v/>
      </c>
      <c r="CC745" t="str">
        <f>""</f>
        <v/>
      </c>
      <c r="CD745" t="str">
        <f>""</f>
        <v/>
      </c>
      <c r="CE745" t="str">
        <f>""</f>
        <v/>
      </c>
      <c r="CF745" t="str">
        <f>""</f>
        <v/>
      </c>
      <c r="CG745" t="str">
        <f>""</f>
        <v/>
      </c>
      <c r="CH745" t="str">
        <f>""</f>
        <v/>
      </c>
      <c r="CI745" t="str">
        <f>""</f>
        <v/>
      </c>
      <c r="CJ745" t="str">
        <f>""</f>
        <v/>
      </c>
      <c r="CK745" t="str">
        <f>""</f>
        <v/>
      </c>
      <c r="CL745" t="str">
        <f>""</f>
        <v/>
      </c>
      <c r="CM745" t="str">
        <f>""</f>
        <v/>
      </c>
      <c r="CN745" t="str">
        <f>""</f>
        <v/>
      </c>
      <c r="CO745" t="str">
        <f>""</f>
        <v/>
      </c>
      <c r="CP745" t="str">
        <f>""</f>
        <v/>
      </c>
      <c r="CQ745" t="str">
        <f>""</f>
        <v/>
      </c>
      <c r="CR745" t="str">
        <f>""</f>
        <v/>
      </c>
      <c r="CS745" t="str">
        <f>""</f>
        <v/>
      </c>
      <c r="CT745" t="str">
        <f>""</f>
        <v/>
      </c>
      <c r="CU745" t="str">
        <f>""</f>
        <v/>
      </c>
      <c r="CV745" t="str">
        <f>""</f>
        <v/>
      </c>
      <c r="CW745" t="str">
        <f>""</f>
        <v/>
      </c>
      <c r="CX745" t="str">
        <f>""</f>
        <v/>
      </c>
      <c r="CY745" t="str">
        <f>""</f>
        <v/>
      </c>
      <c r="CZ745" t="str">
        <f>""</f>
        <v/>
      </c>
      <c r="DA745" t="str">
        <f>""</f>
        <v/>
      </c>
      <c r="DB745" t="str">
        <f>""</f>
        <v/>
      </c>
      <c r="DC745" t="str">
        <f>""</f>
        <v/>
      </c>
      <c r="DD745" t="str">
        <f>""</f>
        <v/>
      </c>
      <c r="DE745" t="str">
        <f>""</f>
        <v/>
      </c>
      <c r="DF745" t="str">
        <f>""</f>
        <v/>
      </c>
      <c r="DG745" t="str">
        <f>""</f>
        <v/>
      </c>
      <c r="DH745" t="str">
        <f>""</f>
        <v/>
      </c>
      <c r="DI745" t="str">
        <f>""</f>
        <v/>
      </c>
      <c r="DJ745" t="str">
        <f>""</f>
        <v/>
      </c>
      <c r="DK745" t="str">
        <f>""</f>
        <v/>
      </c>
      <c r="DL745" t="str">
        <f>""</f>
        <v/>
      </c>
      <c r="DM745" t="str">
        <f>""</f>
        <v/>
      </c>
      <c r="DN745" t="str">
        <f>""</f>
        <v/>
      </c>
      <c r="DO745" t="str">
        <f>""</f>
        <v/>
      </c>
      <c r="DP745" t="str">
        <f>""</f>
        <v/>
      </c>
      <c r="DQ745" t="str">
        <f>""</f>
        <v/>
      </c>
      <c r="DR745" t="str">
        <f>""</f>
        <v/>
      </c>
      <c r="DS745" t="str">
        <f>""</f>
        <v/>
      </c>
      <c r="DT745" t="str">
        <f>""</f>
        <v/>
      </c>
      <c r="DU745" t="str">
        <f>""</f>
        <v/>
      </c>
    </row>
    <row r="746" spans="1:125" x14ac:dyDescent="0.25">
      <c r="A746" t="str">
        <f>$A$73</f>
        <v xml:space="preserve">    SAIC Motor Corp Ltd</v>
      </c>
      <c r="B746" t="str">
        <f>$B$73</f>
        <v>600104 CH Equity</v>
      </c>
      <c r="C746" t="str">
        <f>$C$73</f>
        <v>EZ009</v>
      </c>
      <c r="D746" t="str">
        <f>$D$73</f>
        <v>BEST_EST_PE_CUR_YR</v>
      </c>
      <c r="E746" t="str">
        <f>$E$73</f>
        <v>Dynamic</v>
      </c>
      <c r="F746" t="str">
        <f ca="1">_xll.BDH($B$73,$C$73,$B$675,$B$676,CONCATENATE("Per=",$B$673),"Dts=H","Dir=H",CONCATENATE("Points=",$B$674),"Sort=R","Days=A","Fill=B",CONCATENATE("FX=", $B$672) )</f>
        <v>#N/A Connection</v>
      </c>
      <c r="BN746" t="str">
        <f>""</f>
        <v/>
      </c>
      <c r="BO746" t="str">
        <f>""</f>
        <v/>
      </c>
      <c r="BP746" t="str">
        <f>""</f>
        <v/>
      </c>
      <c r="BQ746" t="str">
        <f>""</f>
        <v/>
      </c>
      <c r="BR746" t="str">
        <f>""</f>
        <v/>
      </c>
      <c r="BS746" t="str">
        <f>""</f>
        <v/>
      </c>
      <c r="BT746" t="str">
        <f>""</f>
        <v/>
      </c>
      <c r="BU746" t="str">
        <f>""</f>
        <v/>
      </c>
      <c r="BV746" t="str">
        <f>""</f>
        <v/>
      </c>
      <c r="BW746" t="str">
        <f>""</f>
        <v/>
      </c>
      <c r="BX746" t="str">
        <f>""</f>
        <v/>
      </c>
      <c r="BY746" t="str">
        <f>""</f>
        <v/>
      </c>
      <c r="BZ746" t="str">
        <f>""</f>
        <v/>
      </c>
      <c r="CA746" t="str">
        <f>""</f>
        <v/>
      </c>
      <c r="CB746" t="str">
        <f>""</f>
        <v/>
      </c>
      <c r="CC746" t="str">
        <f>""</f>
        <v/>
      </c>
      <c r="CD746" t="str">
        <f>""</f>
        <v/>
      </c>
      <c r="CE746" t="str">
        <f>""</f>
        <v/>
      </c>
      <c r="CF746" t="str">
        <f>""</f>
        <v/>
      </c>
      <c r="CG746" t="str">
        <f>""</f>
        <v/>
      </c>
      <c r="CH746" t="str">
        <f>""</f>
        <v/>
      </c>
      <c r="CI746" t="str">
        <f>""</f>
        <v/>
      </c>
      <c r="CJ746" t="str">
        <f>""</f>
        <v/>
      </c>
      <c r="CK746" t="str">
        <f>""</f>
        <v/>
      </c>
      <c r="CL746" t="str">
        <f>""</f>
        <v/>
      </c>
      <c r="CM746" t="str">
        <f>""</f>
        <v/>
      </c>
      <c r="CN746" t="str">
        <f>""</f>
        <v/>
      </c>
      <c r="CO746" t="str">
        <f>""</f>
        <v/>
      </c>
      <c r="CP746" t="str">
        <f>""</f>
        <v/>
      </c>
      <c r="CQ746" t="str">
        <f>""</f>
        <v/>
      </c>
      <c r="CR746" t="str">
        <f>""</f>
        <v/>
      </c>
      <c r="CS746" t="str">
        <f>""</f>
        <v/>
      </c>
      <c r="CT746" t="str">
        <f>""</f>
        <v/>
      </c>
      <c r="CU746" t="str">
        <f>""</f>
        <v/>
      </c>
      <c r="CV746" t="str">
        <f>""</f>
        <v/>
      </c>
      <c r="CW746" t="str">
        <f>""</f>
        <v/>
      </c>
      <c r="CX746" t="str">
        <f>""</f>
        <v/>
      </c>
      <c r="CY746" t="str">
        <f>""</f>
        <v/>
      </c>
      <c r="CZ746" t="str">
        <f>""</f>
        <v/>
      </c>
      <c r="DA746" t="str">
        <f>""</f>
        <v/>
      </c>
      <c r="DB746" t="str">
        <f>""</f>
        <v/>
      </c>
      <c r="DC746" t="str">
        <f>""</f>
        <v/>
      </c>
      <c r="DD746" t="str">
        <f>""</f>
        <v/>
      </c>
      <c r="DE746" t="str">
        <f>""</f>
        <v/>
      </c>
      <c r="DF746" t="str">
        <f>""</f>
        <v/>
      </c>
      <c r="DG746" t="str">
        <f>""</f>
        <v/>
      </c>
      <c r="DH746" t="str">
        <f>""</f>
        <v/>
      </c>
      <c r="DI746" t="str">
        <f>""</f>
        <v/>
      </c>
      <c r="DJ746" t="str">
        <f>""</f>
        <v/>
      </c>
      <c r="DK746" t="str">
        <f>""</f>
        <v/>
      </c>
      <c r="DL746" t="str">
        <f>""</f>
        <v/>
      </c>
      <c r="DM746" t="str">
        <f>""</f>
        <v/>
      </c>
      <c r="DN746" t="str">
        <f>""</f>
        <v/>
      </c>
      <c r="DO746" t="str">
        <f>""</f>
        <v/>
      </c>
      <c r="DP746" t="str">
        <f>""</f>
        <v/>
      </c>
      <c r="DQ746" t="str">
        <f>""</f>
        <v/>
      </c>
      <c r="DR746" t="str">
        <f>""</f>
        <v/>
      </c>
      <c r="DS746" t="str">
        <f>""</f>
        <v/>
      </c>
      <c r="DT746" t="str">
        <f>""</f>
        <v/>
      </c>
      <c r="DU746" t="str">
        <f>""</f>
        <v/>
      </c>
    </row>
    <row r="747" spans="1:125" x14ac:dyDescent="0.25">
      <c r="A747" t="str">
        <f>$A$74</f>
        <v xml:space="preserve">    Sanyang Motor Co Ltd</v>
      </c>
      <c r="B747" t="str">
        <f>$B$74</f>
        <v>2206 TT Equity</v>
      </c>
      <c r="C747" t="str">
        <f>$C$74</f>
        <v>EZ009</v>
      </c>
      <c r="D747" t="str">
        <f>$D$74</f>
        <v>BEST_EST_PE_CUR_YR</v>
      </c>
      <c r="E747" t="str">
        <f>$E$74</f>
        <v>Dynamic</v>
      </c>
      <c r="F747" t="str">
        <f ca="1">_xll.BDH($B$74,$C$74,$B$675,$B$676,CONCATENATE("Per=",$B$673),"Dts=H","Dir=H",CONCATENATE("Points=",$B$674),"Sort=R","Days=A","Fill=B",CONCATENATE("FX=", $B$672) )</f>
        <v>#N/A Connection</v>
      </c>
      <c r="BN747" t="str">
        <f>""</f>
        <v/>
      </c>
      <c r="BO747" t="str">
        <f>""</f>
        <v/>
      </c>
      <c r="BP747" t="str">
        <f>""</f>
        <v/>
      </c>
      <c r="BQ747" t="str">
        <f>""</f>
        <v/>
      </c>
      <c r="BR747" t="str">
        <f>""</f>
        <v/>
      </c>
      <c r="BS747" t="str">
        <f>""</f>
        <v/>
      </c>
      <c r="BT747" t="str">
        <f>""</f>
        <v/>
      </c>
      <c r="BU747" t="str">
        <f>""</f>
        <v/>
      </c>
      <c r="BV747" t="str">
        <f>""</f>
        <v/>
      </c>
      <c r="BW747" t="str">
        <f>""</f>
        <v/>
      </c>
      <c r="BX747" t="str">
        <f>""</f>
        <v/>
      </c>
      <c r="BY747" t="str">
        <f>""</f>
        <v/>
      </c>
      <c r="BZ747" t="str">
        <f>""</f>
        <v/>
      </c>
      <c r="CA747" t="str">
        <f>""</f>
        <v/>
      </c>
      <c r="CB747" t="str">
        <f>""</f>
        <v/>
      </c>
      <c r="CC747" t="str">
        <f>""</f>
        <v/>
      </c>
      <c r="CD747" t="str">
        <f>""</f>
        <v/>
      </c>
      <c r="CE747" t="str">
        <f>""</f>
        <v/>
      </c>
      <c r="CF747" t="str">
        <f>""</f>
        <v/>
      </c>
      <c r="CG747" t="str">
        <f>""</f>
        <v/>
      </c>
      <c r="CH747" t="str">
        <f>""</f>
        <v/>
      </c>
      <c r="CI747" t="str">
        <f>""</f>
        <v/>
      </c>
      <c r="CJ747" t="str">
        <f>""</f>
        <v/>
      </c>
      <c r="CK747" t="str">
        <f>""</f>
        <v/>
      </c>
      <c r="CL747" t="str">
        <f>""</f>
        <v/>
      </c>
      <c r="CM747" t="str">
        <f>""</f>
        <v/>
      </c>
      <c r="CN747" t="str">
        <f>""</f>
        <v/>
      </c>
      <c r="CO747" t="str">
        <f>""</f>
        <v/>
      </c>
      <c r="CP747" t="str">
        <f>""</f>
        <v/>
      </c>
      <c r="CQ747" t="str">
        <f>""</f>
        <v/>
      </c>
      <c r="CR747" t="str">
        <f>""</f>
        <v/>
      </c>
      <c r="CS747" t="str">
        <f>""</f>
        <v/>
      </c>
      <c r="CT747" t="str">
        <f>""</f>
        <v/>
      </c>
      <c r="CU747" t="str">
        <f>""</f>
        <v/>
      </c>
      <c r="CV747" t="str">
        <f>""</f>
        <v/>
      </c>
      <c r="CW747" t="str">
        <f>""</f>
        <v/>
      </c>
      <c r="CX747" t="str">
        <f>""</f>
        <v/>
      </c>
      <c r="CY747" t="str">
        <f>""</f>
        <v/>
      </c>
      <c r="CZ747" t="str">
        <f>""</f>
        <v/>
      </c>
      <c r="DA747" t="str">
        <f>""</f>
        <v/>
      </c>
      <c r="DB747" t="str">
        <f>""</f>
        <v/>
      </c>
      <c r="DC747" t="str">
        <f>""</f>
        <v/>
      </c>
      <c r="DD747" t="str">
        <f>""</f>
        <v/>
      </c>
      <c r="DE747" t="str">
        <f>""</f>
        <v/>
      </c>
      <c r="DF747" t="str">
        <f>""</f>
        <v/>
      </c>
      <c r="DG747" t="str">
        <f>""</f>
        <v/>
      </c>
      <c r="DH747" t="str">
        <f>""</f>
        <v/>
      </c>
      <c r="DI747" t="str">
        <f>""</f>
        <v/>
      </c>
      <c r="DJ747" t="str">
        <f>""</f>
        <v/>
      </c>
      <c r="DK747" t="str">
        <f>""</f>
        <v/>
      </c>
      <c r="DL747" t="str">
        <f>""</f>
        <v/>
      </c>
      <c r="DM747" t="str">
        <f>""</f>
        <v/>
      </c>
      <c r="DN747" t="str">
        <f>""</f>
        <v/>
      </c>
      <c r="DO747" t="str">
        <f>""</f>
        <v/>
      </c>
      <c r="DP747" t="str">
        <f>""</f>
        <v/>
      </c>
      <c r="DQ747" t="str">
        <f>""</f>
        <v/>
      </c>
      <c r="DR747" t="str">
        <f>""</f>
        <v/>
      </c>
      <c r="DS747" t="str">
        <f>""</f>
        <v/>
      </c>
      <c r="DT747" t="str">
        <f>""</f>
        <v/>
      </c>
      <c r="DU747" t="str">
        <f>""</f>
        <v/>
      </c>
    </row>
    <row r="748" spans="1:125" x14ac:dyDescent="0.25">
      <c r="A748" t="str">
        <f>$A$75</f>
        <v xml:space="preserve">    Sollers PJSC</v>
      </c>
      <c r="B748" t="str">
        <f>$B$75</f>
        <v>SVAV RM Equity</v>
      </c>
      <c r="C748" t="str">
        <f>$C$75</f>
        <v>EZ009</v>
      </c>
      <c r="D748" t="str">
        <f>$D$75</f>
        <v>BEST_EST_PE_CUR_YR</v>
      </c>
      <c r="E748" t="str">
        <f>$E$75</f>
        <v>Dynamic</v>
      </c>
      <c r="F748" t="str">
        <f ca="1">_xll.BDH($B$75,$C$75,$B$675,$B$676,CONCATENATE("Per=",$B$673),"Dts=H","Dir=H",CONCATENATE("Points=",$B$674),"Sort=R","Days=A","Fill=B",CONCATENATE("FX=", $B$672) )</f>
        <v>#N/A Connection</v>
      </c>
      <c r="BN748" t="str">
        <f>""</f>
        <v/>
      </c>
      <c r="BO748" t="str">
        <f>""</f>
        <v/>
      </c>
      <c r="BP748" t="str">
        <f>""</f>
        <v/>
      </c>
      <c r="BQ748" t="str">
        <f>""</f>
        <v/>
      </c>
      <c r="BR748" t="str">
        <f>""</f>
        <v/>
      </c>
      <c r="BS748" t="str">
        <f>""</f>
        <v/>
      </c>
      <c r="BT748" t="str">
        <f>""</f>
        <v/>
      </c>
      <c r="BU748" t="str">
        <f>""</f>
        <v/>
      </c>
      <c r="BV748" t="str">
        <f>""</f>
        <v/>
      </c>
      <c r="BW748" t="str">
        <f>""</f>
        <v/>
      </c>
      <c r="BX748" t="str">
        <f>""</f>
        <v/>
      </c>
      <c r="BY748" t="str">
        <f>""</f>
        <v/>
      </c>
      <c r="BZ748" t="str">
        <f>""</f>
        <v/>
      </c>
      <c r="CA748" t="str">
        <f>""</f>
        <v/>
      </c>
      <c r="CB748" t="str">
        <f>""</f>
        <v/>
      </c>
      <c r="CC748" t="str">
        <f>""</f>
        <v/>
      </c>
      <c r="CD748" t="str">
        <f>""</f>
        <v/>
      </c>
      <c r="CE748" t="str">
        <f>""</f>
        <v/>
      </c>
      <c r="CF748" t="str">
        <f>""</f>
        <v/>
      </c>
      <c r="CG748" t="str">
        <f>""</f>
        <v/>
      </c>
      <c r="CH748" t="str">
        <f>""</f>
        <v/>
      </c>
      <c r="CI748" t="str">
        <f>""</f>
        <v/>
      </c>
      <c r="CJ748" t="str">
        <f>""</f>
        <v/>
      </c>
      <c r="CK748" t="str">
        <f>""</f>
        <v/>
      </c>
      <c r="CL748" t="str">
        <f>""</f>
        <v/>
      </c>
      <c r="CM748" t="str">
        <f>""</f>
        <v/>
      </c>
      <c r="CN748" t="str">
        <f>""</f>
        <v/>
      </c>
      <c r="CO748" t="str">
        <f>""</f>
        <v/>
      </c>
      <c r="CP748" t="str">
        <f>""</f>
        <v/>
      </c>
      <c r="CQ748" t="str">
        <f>""</f>
        <v/>
      </c>
      <c r="CR748" t="str">
        <f>""</f>
        <v/>
      </c>
      <c r="CS748" t="str">
        <f>""</f>
        <v/>
      </c>
      <c r="CT748" t="str">
        <f>""</f>
        <v/>
      </c>
      <c r="CU748" t="str">
        <f>""</f>
        <v/>
      </c>
      <c r="CV748" t="str">
        <f>""</f>
        <v/>
      </c>
      <c r="CW748" t="str">
        <f>""</f>
        <v/>
      </c>
      <c r="CX748" t="str">
        <f>""</f>
        <v/>
      </c>
      <c r="CY748" t="str">
        <f>""</f>
        <v/>
      </c>
      <c r="CZ748" t="str">
        <f>""</f>
        <v/>
      </c>
      <c r="DA748" t="str">
        <f>""</f>
        <v/>
      </c>
      <c r="DB748" t="str">
        <f>""</f>
        <v/>
      </c>
      <c r="DC748" t="str">
        <f>""</f>
        <v/>
      </c>
      <c r="DD748" t="str">
        <f>""</f>
        <v/>
      </c>
      <c r="DE748" t="str">
        <f>""</f>
        <v/>
      </c>
      <c r="DF748" t="str">
        <f>""</f>
        <v/>
      </c>
      <c r="DG748" t="str">
        <f>""</f>
        <v/>
      </c>
      <c r="DH748" t="str">
        <f>""</f>
        <v/>
      </c>
      <c r="DI748" t="str">
        <f>""</f>
        <v/>
      </c>
      <c r="DJ748" t="str">
        <f>""</f>
        <v/>
      </c>
      <c r="DK748" t="str">
        <f>""</f>
        <v/>
      </c>
      <c r="DL748" t="str">
        <f>""</f>
        <v/>
      </c>
      <c r="DM748" t="str">
        <f>""</f>
        <v/>
      </c>
      <c r="DN748" t="str">
        <f>""</f>
        <v/>
      </c>
      <c r="DO748" t="str">
        <f>""</f>
        <v/>
      </c>
      <c r="DP748" t="str">
        <f>""</f>
        <v/>
      </c>
      <c r="DQ748" t="str">
        <f>""</f>
        <v/>
      </c>
      <c r="DR748" t="str">
        <f>""</f>
        <v/>
      </c>
      <c r="DS748" t="str">
        <f>""</f>
        <v/>
      </c>
      <c r="DT748" t="str">
        <f>""</f>
        <v/>
      </c>
      <c r="DU748" t="str">
        <f>""</f>
        <v/>
      </c>
    </row>
    <row r="749" spans="1:125" x14ac:dyDescent="0.25">
      <c r="A749" t="str">
        <f>$A$76</f>
        <v xml:space="preserve">    Ssangyong Motor Co</v>
      </c>
      <c r="B749" t="str">
        <f>$B$76</f>
        <v>003620 KS Equity</v>
      </c>
      <c r="C749" t="str">
        <f>$C$76</f>
        <v>EZ009</v>
      </c>
      <c r="D749" t="str">
        <f>$D$76</f>
        <v>BEST_EST_PE_CUR_YR</v>
      </c>
      <c r="E749" t="str">
        <f>$E$76</f>
        <v>Dynamic</v>
      </c>
      <c r="F749" t="str">
        <f ca="1">_xll.BDH($B$76,$C$76,$B$675,$B$676,CONCATENATE("Per=",$B$673),"Dts=H","Dir=H",CONCATENATE("Points=",$B$674),"Sort=R","Days=A","Fill=B",CONCATENATE("FX=", $B$672) )</f>
        <v>#N/A Connection</v>
      </c>
      <c r="BN749" t="str">
        <f>""</f>
        <v/>
      </c>
      <c r="BO749" t="str">
        <f>""</f>
        <v/>
      </c>
      <c r="BP749" t="str">
        <f>""</f>
        <v/>
      </c>
      <c r="BQ749" t="str">
        <f>""</f>
        <v/>
      </c>
      <c r="BR749" t="str">
        <f>""</f>
        <v/>
      </c>
      <c r="BS749" t="str">
        <f>""</f>
        <v/>
      </c>
      <c r="BT749" t="str">
        <f>""</f>
        <v/>
      </c>
      <c r="BU749" t="str">
        <f>""</f>
        <v/>
      </c>
      <c r="BV749" t="str">
        <f>""</f>
        <v/>
      </c>
      <c r="BW749" t="str">
        <f>""</f>
        <v/>
      </c>
      <c r="BX749" t="str">
        <f>""</f>
        <v/>
      </c>
      <c r="BY749" t="str">
        <f>""</f>
        <v/>
      </c>
      <c r="BZ749" t="str">
        <f>""</f>
        <v/>
      </c>
      <c r="CA749" t="str">
        <f>""</f>
        <v/>
      </c>
      <c r="CB749" t="str">
        <f>""</f>
        <v/>
      </c>
      <c r="CC749" t="str">
        <f>""</f>
        <v/>
      </c>
      <c r="CD749" t="str">
        <f>""</f>
        <v/>
      </c>
      <c r="CE749" t="str">
        <f>""</f>
        <v/>
      </c>
      <c r="CF749" t="str">
        <f>""</f>
        <v/>
      </c>
      <c r="CG749" t="str">
        <f>""</f>
        <v/>
      </c>
      <c r="CH749" t="str">
        <f>""</f>
        <v/>
      </c>
      <c r="CI749" t="str">
        <f>""</f>
        <v/>
      </c>
      <c r="CJ749" t="str">
        <f>""</f>
        <v/>
      </c>
      <c r="CK749" t="str">
        <f>""</f>
        <v/>
      </c>
      <c r="CL749" t="str">
        <f>""</f>
        <v/>
      </c>
      <c r="CM749" t="str">
        <f>""</f>
        <v/>
      </c>
      <c r="CN749" t="str">
        <f>""</f>
        <v/>
      </c>
      <c r="CO749" t="str">
        <f>""</f>
        <v/>
      </c>
      <c r="CP749" t="str">
        <f>""</f>
        <v/>
      </c>
      <c r="CQ749" t="str">
        <f>""</f>
        <v/>
      </c>
      <c r="CR749" t="str">
        <f>""</f>
        <v/>
      </c>
      <c r="CS749" t="str">
        <f>""</f>
        <v/>
      </c>
      <c r="CT749" t="str">
        <f>""</f>
        <v/>
      </c>
      <c r="CU749" t="str">
        <f>""</f>
        <v/>
      </c>
      <c r="CV749" t="str">
        <f>""</f>
        <v/>
      </c>
      <c r="CW749" t="str">
        <f>""</f>
        <v/>
      </c>
      <c r="CX749" t="str">
        <f>""</f>
        <v/>
      </c>
      <c r="CY749" t="str">
        <f>""</f>
        <v/>
      </c>
      <c r="CZ749" t="str">
        <f>""</f>
        <v/>
      </c>
      <c r="DA749" t="str">
        <f>""</f>
        <v/>
      </c>
      <c r="DB749" t="str">
        <f>""</f>
        <v/>
      </c>
      <c r="DC749" t="str">
        <f>""</f>
        <v/>
      </c>
      <c r="DD749" t="str">
        <f>""</f>
        <v/>
      </c>
      <c r="DE749" t="str">
        <f>""</f>
        <v/>
      </c>
      <c r="DF749" t="str">
        <f>""</f>
        <v/>
      </c>
      <c r="DG749" t="str">
        <f>""</f>
        <v/>
      </c>
      <c r="DH749" t="str">
        <f>""</f>
        <v/>
      </c>
      <c r="DI749" t="str">
        <f>""</f>
        <v/>
      </c>
      <c r="DJ749" t="str">
        <f>""</f>
        <v/>
      </c>
      <c r="DK749" t="str">
        <f>""</f>
        <v/>
      </c>
      <c r="DL749" t="str">
        <f>""</f>
        <v/>
      </c>
      <c r="DM749" t="str">
        <f>""</f>
        <v/>
      </c>
      <c r="DN749" t="str">
        <f>""</f>
        <v/>
      </c>
      <c r="DO749" t="str">
        <f>""</f>
        <v/>
      </c>
      <c r="DP749" t="str">
        <f>""</f>
        <v/>
      </c>
      <c r="DQ749" t="str">
        <f>""</f>
        <v/>
      </c>
      <c r="DR749" t="str">
        <f>""</f>
        <v/>
      </c>
      <c r="DS749" t="str">
        <f>""</f>
        <v/>
      </c>
      <c r="DT749" t="str">
        <f>""</f>
        <v/>
      </c>
      <c r="DU749" t="str">
        <f>""</f>
        <v/>
      </c>
    </row>
    <row r="750" spans="1:125" x14ac:dyDescent="0.25">
      <c r="A750" t="str">
        <f>$A$77</f>
        <v xml:space="preserve">    Subaru Corp</v>
      </c>
      <c r="B750" t="str">
        <f>$B$77</f>
        <v>7270 JP Equity</v>
      </c>
      <c r="C750" t="str">
        <f>$C$77</f>
        <v>EZ009</v>
      </c>
      <c r="D750" t="str">
        <f>$D$77</f>
        <v>BEST_EST_PE_CUR_YR</v>
      </c>
      <c r="E750" t="str">
        <f>$E$77</f>
        <v>Dynamic</v>
      </c>
      <c r="F750" t="str">
        <f ca="1">_xll.BDH($B$77,$C$77,$B$675,$B$676,CONCATENATE("Per=",$B$673),"Dts=H","Dir=H",CONCATENATE("Points=",$B$674),"Sort=R","Days=A","Fill=B",CONCATENATE("FX=", $B$672) )</f>
        <v>#N/A Connection</v>
      </c>
      <c r="BN750" t="str">
        <f>""</f>
        <v/>
      </c>
      <c r="BO750" t="str">
        <f>""</f>
        <v/>
      </c>
      <c r="BP750" t="str">
        <f>""</f>
        <v/>
      </c>
      <c r="BQ750" t="str">
        <f>""</f>
        <v/>
      </c>
      <c r="BR750" t="str">
        <f>""</f>
        <v/>
      </c>
      <c r="BS750" t="str">
        <f>""</f>
        <v/>
      </c>
      <c r="BT750" t="str">
        <f>""</f>
        <v/>
      </c>
      <c r="BU750" t="str">
        <f>""</f>
        <v/>
      </c>
      <c r="BV750" t="str">
        <f>""</f>
        <v/>
      </c>
      <c r="BW750" t="str">
        <f>""</f>
        <v/>
      </c>
      <c r="BX750" t="str">
        <f>""</f>
        <v/>
      </c>
      <c r="BY750" t="str">
        <f>""</f>
        <v/>
      </c>
      <c r="BZ750" t="str">
        <f>""</f>
        <v/>
      </c>
      <c r="CA750" t="str">
        <f>""</f>
        <v/>
      </c>
      <c r="CB750" t="str">
        <f>""</f>
        <v/>
      </c>
      <c r="CC750" t="str">
        <f>""</f>
        <v/>
      </c>
      <c r="CD750" t="str">
        <f>""</f>
        <v/>
      </c>
      <c r="CE750" t="str">
        <f>""</f>
        <v/>
      </c>
      <c r="CF750" t="str">
        <f>""</f>
        <v/>
      </c>
      <c r="CG750" t="str">
        <f>""</f>
        <v/>
      </c>
      <c r="CH750" t="str">
        <f>""</f>
        <v/>
      </c>
      <c r="CI750" t="str">
        <f>""</f>
        <v/>
      </c>
      <c r="CJ750" t="str">
        <f>""</f>
        <v/>
      </c>
      <c r="CK750" t="str">
        <f>""</f>
        <v/>
      </c>
      <c r="CL750" t="str">
        <f>""</f>
        <v/>
      </c>
      <c r="CM750" t="str">
        <f>""</f>
        <v/>
      </c>
      <c r="CN750" t="str">
        <f>""</f>
        <v/>
      </c>
      <c r="CO750" t="str">
        <f>""</f>
        <v/>
      </c>
      <c r="CP750" t="str">
        <f>""</f>
        <v/>
      </c>
      <c r="CQ750" t="str">
        <f>""</f>
        <v/>
      </c>
      <c r="CR750" t="str">
        <f>""</f>
        <v/>
      </c>
      <c r="CS750" t="str">
        <f>""</f>
        <v/>
      </c>
      <c r="CT750" t="str">
        <f>""</f>
        <v/>
      </c>
      <c r="CU750" t="str">
        <f>""</f>
        <v/>
      </c>
      <c r="CV750" t="str">
        <f>""</f>
        <v/>
      </c>
      <c r="CW750" t="str">
        <f>""</f>
        <v/>
      </c>
      <c r="CX750" t="str">
        <f>""</f>
        <v/>
      </c>
      <c r="CY750" t="str">
        <f>""</f>
        <v/>
      </c>
      <c r="CZ750" t="str">
        <f>""</f>
        <v/>
      </c>
      <c r="DA750" t="str">
        <f>""</f>
        <v/>
      </c>
      <c r="DB750" t="str">
        <f>""</f>
        <v/>
      </c>
      <c r="DC750" t="str">
        <f>""</f>
        <v/>
      </c>
      <c r="DD750" t="str">
        <f>""</f>
        <v/>
      </c>
      <c r="DE750" t="str">
        <f>""</f>
        <v/>
      </c>
      <c r="DF750" t="str">
        <f>""</f>
        <v/>
      </c>
      <c r="DG750" t="str">
        <f>""</f>
        <v/>
      </c>
      <c r="DH750" t="str">
        <f>""</f>
        <v/>
      </c>
      <c r="DI750" t="str">
        <f>""</f>
        <v/>
      </c>
      <c r="DJ750" t="str">
        <f>""</f>
        <v/>
      </c>
      <c r="DK750" t="str">
        <f>""</f>
        <v/>
      </c>
      <c r="DL750" t="str">
        <f>""</f>
        <v/>
      </c>
      <c r="DM750" t="str">
        <f>""</f>
        <v/>
      </c>
      <c r="DN750" t="str">
        <f>""</f>
        <v/>
      </c>
      <c r="DO750" t="str">
        <f>""</f>
        <v/>
      </c>
      <c r="DP750" t="str">
        <f>""</f>
        <v/>
      </c>
      <c r="DQ750" t="str">
        <f>""</f>
        <v/>
      </c>
      <c r="DR750" t="str">
        <f>""</f>
        <v/>
      </c>
      <c r="DS750" t="str">
        <f>""</f>
        <v/>
      </c>
      <c r="DT750" t="str">
        <f>""</f>
        <v/>
      </c>
      <c r="DU750" t="str">
        <f>""</f>
        <v/>
      </c>
    </row>
    <row r="751" spans="1:125" x14ac:dyDescent="0.25">
      <c r="A751" t="str">
        <f>$A$78</f>
        <v xml:space="preserve">    Suzuki Motor Corp</v>
      </c>
      <c r="B751" t="str">
        <f>$B$78</f>
        <v>7269 JP Equity</v>
      </c>
      <c r="C751" t="str">
        <f>$C$78</f>
        <v>EZ009</v>
      </c>
      <c r="D751" t="str">
        <f>$D$78</f>
        <v>BEST_EST_PE_CUR_YR</v>
      </c>
      <c r="E751" t="str">
        <f>$E$78</f>
        <v>Dynamic</v>
      </c>
      <c r="F751" t="str">
        <f ca="1">_xll.BDH($B$78,$C$78,$B$675,$B$676,CONCATENATE("Per=",$B$673),"Dts=H","Dir=H",CONCATENATE("Points=",$B$674),"Sort=R","Days=A","Fill=B",CONCATENATE("FX=", $B$672) )</f>
        <v>#N/A Connection</v>
      </c>
      <c r="BN751" t="str">
        <f>""</f>
        <v/>
      </c>
      <c r="BO751" t="str">
        <f>""</f>
        <v/>
      </c>
      <c r="BP751" t="str">
        <f>""</f>
        <v/>
      </c>
      <c r="BQ751" t="str">
        <f>""</f>
        <v/>
      </c>
      <c r="BR751" t="str">
        <f>""</f>
        <v/>
      </c>
      <c r="BS751" t="str">
        <f>""</f>
        <v/>
      </c>
      <c r="BT751" t="str">
        <f>""</f>
        <v/>
      </c>
      <c r="BU751" t="str">
        <f>""</f>
        <v/>
      </c>
      <c r="BV751" t="str">
        <f>""</f>
        <v/>
      </c>
      <c r="BW751" t="str">
        <f>""</f>
        <v/>
      </c>
      <c r="BX751" t="str">
        <f>""</f>
        <v/>
      </c>
      <c r="BY751" t="str">
        <f>""</f>
        <v/>
      </c>
      <c r="BZ751" t="str">
        <f>""</f>
        <v/>
      </c>
      <c r="CA751" t="str">
        <f>""</f>
        <v/>
      </c>
      <c r="CB751" t="str">
        <f>""</f>
        <v/>
      </c>
      <c r="CC751" t="str">
        <f>""</f>
        <v/>
      </c>
      <c r="CD751" t="str">
        <f>""</f>
        <v/>
      </c>
      <c r="CE751" t="str">
        <f>""</f>
        <v/>
      </c>
      <c r="CF751" t="str">
        <f>""</f>
        <v/>
      </c>
      <c r="CG751" t="str">
        <f>""</f>
        <v/>
      </c>
      <c r="CH751" t="str">
        <f>""</f>
        <v/>
      </c>
      <c r="CI751" t="str">
        <f>""</f>
        <v/>
      </c>
      <c r="CJ751" t="str">
        <f>""</f>
        <v/>
      </c>
      <c r="CK751" t="str">
        <f>""</f>
        <v/>
      </c>
      <c r="CL751" t="str">
        <f>""</f>
        <v/>
      </c>
      <c r="CM751" t="str">
        <f>""</f>
        <v/>
      </c>
      <c r="CN751" t="str">
        <f>""</f>
        <v/>
      </c>
      <c r="CO751" t="str">
        <f>""</f>
        <v/>
      </c>
      <c r="CP751" t="str">
        <f>""</f>
        <v/>
      </c>
      <c r="CQ751" t="str">
        <f>""</f>
        <v/>
      </c>
      <c r="CR751" t="str">
        <f>""</f>
        <v/>
      </c>
      <c r="CS751" t="str">
        <f>""</f>
        <v/>
      </c>
      <c r="CT751" t="str">
        <f>""</f>
        <v/>
      </c>
      <c r="CU751" t="str">
        <f>""</f>
        <v/>
      </c>
      <c r="CV751" t="str">
        <f>""</f>
        <v/>
      </c>
      <c r="CW751" t="str">
        <f>""</f>
        <v/>
      </c>
      <c r="CX751" t="str">
        <f>""</f>
        <v/>
      </c>
      <c r="CY751" t="str">
        <f>""</f>
        <v/>
      </c>
      <c r="CZ751" t="str">
        <f>""</f>
        <v/>
      </c>
      <c r="DA751" t="str">
        <f>""</f>
        <v/>
      </c>
      <c r="DB751" t="str">
        <f>""</f>
        <v/>
      </c>
      <c r="DC751" t="str">
        <f>""</f>
        <v/>
      </c>
      <c r="DD751" t="str">
        <f>""</f>
        <v/>
      </c>
      <c r="DE751" t="str">
        <f>""</f>
        <v/>
      </c>
      <c r="DF751" t="str">
        <f>""</f>
        <v/>
      </c>
      <c r="DG751" t="str">
        <f>""</f>
        <v/>
      </c>
      <c r="DH751" t="str">
        <f>""</f>
        <v/>
      </c>
      <c r="DI751" t="str">
        <f>""</f>
        <v/>
      </c>
      <c r="DJ751" t="str">
        <f>""</f>
        <v/>
      </c>
      <c r="DK751" t="str">
        <f>""</f>
        <v/>
      </c>
      <c r="DL751" t="str">
        <f>""</f>
        <v/>
      </c>
      <c r="DM751" t="str">
        <f>""</f>
        <v/>
      </c>
      <c r="DN751" t="str">
        <f>""</f>
        <v/>
      </c>
      <c r="DO751" t="str">
        <f>""</f>
        <v/>
      </c>
      <c r="DP751" t="str">
        <f>""</f>
        <v/>
      </c>
      <c r="DQ751" t="str">
        <f>""</f>
        <v/>
      </c>
      <c r="DR751" t="str">
        <f>""</f>
        <v/>
      </c>
      <c r="DS751" t="str">
        <f>""</f>
        <v/>
      </c>
      <c r="DT751" t="str">
        <f>""</f>
        <v/>
      </c>
      <c r="DU751" t="str">
        <f>""</f>
        <v/>
      </c>
    </row>
    <row r="752" spans="1:125" x14ac:dyDescent="0.25">
      <c r="A752" t="str">
        <f>$A$79</f>
        <v xml:space="preserve">    Tata Motors Ltd</v>
      </c>
      <c r="B752" t="str">
        <f>$B$79</f>
        <v>TTMT IN Equity</v>
      </c>
      <c r="C752" t="str">
        <f>$C$79</f>
        <v>EZ009</v>
      </c>
      <c r="D752" t="str">
        <f>$D$79</f>
        <v>BEST_EST_PE_CUR_YR</v>
      </c>
      <c r="E752" t="str">
        <f>$E$79</f>
        <v>Dynamic</v>
      </c>
      <c r="F752" t="str">
        <f ca="1">_xll.BDH($B$79,$C$79,$B$675,$B$676,CONCATENATE("Per=",$B$673),"Dts=H","Dir=H",CONCATENATE("Points=",$B$674),"Sort=R","Days=A","Fill=B",CONCATENATE("FX=", $B$672) )</f>
        <v>#N/A Connection</v>
      </c>
      <c r="BN752" t="str">
        <f>""</f>
        <v/>
      </c>
      <c r="BO752" t="str">
        <f>""</f>
        <v/>
      </c>
      <c r="BP752" t="str">
        <f>""</f>
        <v/>
      </c>
      <c r="BQ752" t="str">
        <f>""</f>
        <v/>
      </c>
      <c r="BR752" t="str">
        <f>""</f>
        <v/>
      </c>
      <c r="BS752" t="str">
        <f>""</f>
        <v/>
      </c>
      <c r="BT752" t="str">
        <f>""</f>
        <v/>
      </c>
      <c r="BU752" t="str">
        <f>""</f>
        <v/>
      </c>
      <c r="BV752" t="str">
        <f>""</f>
        <v/>
      </c>
      <c r="BW752" t="str">
        <f>""</f>
        <v/>
      </c>
      <c r="BX752" t="str">
        <f>""</f>
        <v/>
      </c>
      <c r="BY752" t="str">
        <f>""</f>
        <v/>
      </c>
      <c r="BZ752" t="str">
        <f>""</f>
        <v/>
      </c>
      <c r="CA752" t="str">
        <f>""</f>
        <v/>
      </c>
      <c r="CB752" t="str">
        <f>""</f>
        <v/>
      </c>
      <c r="CC752" t="str">
        <f>""</f>
        <v/>
      </c>
      <c r="CD752" t="str">
        <f>""</f>
        <v/>
      </c>
      <c r="CE752" t="str">
        <f>""</f>
        <v/>
      </c>
      <c r="CF752" t="str">
        <f>""</f>
        <v/>
      </c>
      <c r="CG752" t="str">
        <f>""</f>
        <v/>
      </c>
      <c r="CH752" t="str">
        <f>""</f>
        <v/>
      </c>
      <c r="CI752" t="str">
        <f>""</f>
        <v/>
      </c>
      <c r="CJ752" t="str">
        <f>""</f>
        <v/>
      </c>
      <c r="CK752" t="str">
        <f>""</f>
        <v/>
      </c>
      <c r="CL752" t="str">
        <f>""</f>
        <v/>
      </c>
      <c r="CM752" t="str">
        <f>""</f>
        <v/>
      </c>
      <c r="CN752" t="str">
        <f>""</f>
        <v/>
      </c>
      <c r="CO752" t="str">
        <f>""</f>
        <v/>
      </c>
      <c r="CP752" t="str">
        <f>""</f>
        <v/>
      </c>
      <c r="CQ752" t="str">
        <f>""</f>
        <v/>
      </c>
      <c r="CR752" t="str">
        <f>""</f>
        <v/>
      </c>
      <c r="CS752" t="str">
        <f>""</f>
        <v/>
      </c>
      <c r="CT752" t="str">
        <f>""</f>
        <v/>
      </c>
      <c r="CU752" t="str">
        <f>""</f>
        <v/>
      </c>
      <c r="CV752" t="str">
        <f>""</f>
        <v/>
      </c>
      <c r="CW752" t="str">
        <f>""</f>
        <v/>
      </c>
      <c r="CX752" t="str">
        <f>""</f>
        <v/>
      </c>
      <c r="CY752" t="str">
        <f>""</f>
        <v/>
      </c>
      <c r="CZ752" t="str">
        <f>""</f>
        <v/>
      </c>
      <c r="DA752" t="str">
        <f>""</f>
        <v/>
      </c>
      <c r="DB752" t="str">
        <f>""</f>
        <v/>
      </c>
      <c r="DC752" t="str">
        <f>""</f>
        <v/>
      </c>
      <c r="DD752" t="str">
        <f>""</f>
        <v/>
      </c>
      <c r="DE752" t="str">
        <f>""</f>
        <v/>
      </c>
      <c r="DF752" t="str">
        <f>""</f>
        <v/>
      </c>
      <c r="DG752" t="str">
        <f>""</f>
        <v/>
      </c>
      <c r="DH752" t="str">
        <f>""</f>
        <v/>
      </c>
      <c r="DI752" t="str">
        <f>""</f>
        <v/>
      </c>
      <c r="DJ752" t="str">
        <f>""</f>
        <v/>
      </c>
      <c r="DK752" t="str">
        <f>""</f>
        <v/>
      </c>
      <c r="DL752" t="str">
        <f>""</f>
        <v/>
      </c>
      <c r="DM752" t="str">
        <f>""</f>
        <v/>
      </c>
      <c r="DN752" t="str">
        <f>""</f>
        <v/>
      </c>
      <c r="DO752" t="str">
        <f>""</f>
        <v/>
      </c>
      <c r="DP752" t="str">
        <f>""</f>
        <v/>
      </c>
      <c r="DQ752" t="str">
        <f>""</f>
        <v/>
      </c>
      <c r="DR752" t="str">
        <f>""</f>
        <v/>
      </c>
      <c r="DS752" t="str">
        <f>""</f>
        <v/>
      </c>
      <c r="DT752" t="str">
        <f>""</f>
        <v/>
      </c>
      <c r="DU752" t="str">
        <f>""</f>
        <v/>
      </c>
    </row>
    <row r="753" spans="1:125" x14ac:dyDescent="0.25">
      <c r="A753" t="str">
        <f>$A$80</f>
        <v xml:space="preserve">    Tesla Inc</v>
      </c>
      <c r="B753" t="str">
        <f>$B$80</f>
        <v>TSLA US Equity</v>
      </c>
      <c r="C753" t="str">
        <f>$C$80</f>
        <v>EZ009</v>
      </c>
      <c r="D753" t="str">
        <f>$D$80</f>
        <v>BEST_EST_PE_CUR_YR</v>
      </c>
      <c r="E753" t="str">
        <f>$E$80</f>
        <v>Dynamic</v>
      </c>
      <c r="F753" t="str">
        <f ca="1">_xll.BDH($B$80,$C$80,$B$675,$B$676,CONCATENATE("Per=",$B$673),"Dts=H","Dir=H",CONCATENATE("Points=",$B$674),"Sort=R","Days=A","Fill=B",CONCATENATE("FX=", $B$672) )</f>
        <v>#N/A Connection</v>
      </c>
      <c r="BN753" t="str">
        <f>""</f>
        <v/>
      </c>
      <c r="BO753" t="str">
        <f>""</f>
        <v/>
      </c>
      <c r="BP753" t="str">
        <f>""</f>
        <v/>
      </c>
      <c r="BQ753" t="str">
        <f>""</f>
        <v/>
      </c>
      <c r="BR753" t="str">
        <f>""</f>
        <v/>
      </c>
      <c r="BS753" t="str">
        <f>""</f>
        <v/>
      </c>
      <c r="BT753" t="str">
        <f>""</f>
        <v/>
      </c>
      <c r="BU753" t="str">
        <f>""</f>
        <v/>
      </c>
      <c r="BV753" t="str">
        <f>""</f>
        <v/>
      </c>
      <c r="BW753" t="str">
        <f>""</f>
        <v/>
      </c>
      <c r="BX753" t="str">
        <f>""</f>
        <v/>
      </c>
      <c r="BY753" t="str">
        <f>""</f>
        <v/>
      </c>
      <c r="BZ753" t="str">
        <f>""</f>
        <v/>
      </c>
      <c r="CA753" t="str">
        <f>""</f>
        <v/>
      </c>
      <c r="CB753" t="str">
        <f>""</f>
        <v/>
      </c>
      <c r="CC753" t="str">
        <f>""</f>
        <v/>
      </c>
      <c r="CD753" t="str">
        <f>""</f>
        <v/>
      </c>
      <c r="CE753" t="str">
        <f>""</f>
        <v/>
      </c>
      <c r="CF753" t="str">
        <f>""</f>
        <v/>
      </c>
      <c r="CG753" t="str">
        <f>""</f>
        <v/>
      </c>
      <c r="CH753" t="str">
        <f>""</f>
        <v/>
      </c>
      <c r="CI753" t="str">
        <f>""</f>
        <v/>
      </c>
      <c r="CJ753" t="str">
        <f>""</f>
        <v/>
      </c>
      <c r="CK753" t="str">
        <f>""</f>
        <v/>
      </c>
      <c r="CL753" t="str">
        <f>""</f>
        <v/>
      </c>
      <c r="CM753" t="str">
        <f>""</f>
        <v/>
      </c>
      <c r="CN753" t="str">
        <f>""</f>
        <v/>
      </c>
      <c r="CO753" t="str">
        <f>""</f>
        <v/>
      </c>
      <c r="CP753" t="str">
        <f>""</f>
        <v/>
      </c>
      <c r="CQ753" t="str">
        <f>""</f>
        <v/>
      </c>
      <c r="CR753" t="str">
        <f>""</f>
        <v/>
      </c>
      <c r="CS753" t="str">
        <f>""</f>
        <v/>
      </c>
      <c r="CT753" t="str">
        <f>""</f>
        <v/>
      </c>
      <c r="CU753" t="str">
        <f>""</f>
        <v/>
      </c>
      <c r="CV753" t="str">
        <f>""</f>
        <v/>
      </c>
      <c r="CW753" t="str">
        <f>""</f>
        <v/>
      </c>
      <c r="CX753" t="str">
        <f>""</f>
        <v/>
      </c>
      <c r="CY753" t="str">
        <f>""</f>
        <v/>
      </c>
      <c r="CZ753" t="str">
        <f>""</f>
        <v/>
      </c>
      <c r="DA753" t="str">
        <f>""</f>
        <v/>
      </c>
      <c r="DB753" t="str">
        <f>""</f>
        <v/>
      </c>
      <c r="DC753" t="str">
        <f>""</f>
        <v/>
      </c>
      <c r="DD753" t="str">
        <f>""</f>
        <v/>
      </c>
      <c r="DE753" t="str">
        <f>""</f>
        <v/>
      </c>
      <c r="DF753" t="str">
        <f>""</f>
        <v/>
      </c>
      <c r="DG753" t="str">
        <f>""</f>
        <v/>
      </c>
      <c r="DH753" t="str">
        <f>""</f>
        <v/>
      </c>
      <c r="DI753" t="str">
        <f>""</f>
        <v/>
      </c>
      <c r="DJ753" t="str">
        <f>""</f>
        <v/>
      </c>
      <c r="DK753" t="str">
        <f>""</f>
        <v/>
      </c>
      <c r="DL753" t="str">
        <f>""</f>
        <v/>
      </c>
      <c r="DM753" t="str">
        <f>""</f>
        <v/>
      </c>
      <c r="DN753" t="str">
        <f>""</f>
        <v/>
      </c>
      <c r="DO753" t="str">
        <f>""</f>
        <v/>
      </c>
      <c r="DP753" t="str">
        <f>""</f>
        <v/>
      </c>
      <c r="DQ753" t="str">
        <f>""</f>
        <v/>
      </c>
      <c r="DR753" t="str">
        <f>""</f>
        <v/>
      </c>
      <c r="DS753" t="str">
        <f>""</f>
        <v/>
      </c>
      <c r="DT753" t="str">
        <f>""</f>
        <v/>
      </c>
      <c r="DU753" t="str">
        <f>""</f>
        <v/>
      </c>
    </row>
    <row r="754" spans="1:125" x14ac:dyDescent="0.25">
      <c r="A754" t="str">
        <f>$A$81</f>
        <v xml:space="preserve">    Tianjin Faw Xiali Automobile Co Ltd</v>
      </c>
      <c r="B754" t="str">
        <f>$B$81</f>
        <v>000927 CH Equity</v>
      </c>
      <c r="C754" t="str">
        <f>$C$81</f>
        <v>EZ009</v>
      </c>
      <c r="D754" t="str">
        <f>$D$81</f>
        <v>BEST_EST_PE_CUR_YR</v>
      </c>
      <c r="E754" t="str">
        <f>$E$81</f>
        <v>Dynamic</v>
      </c>
      <c r="F754" t="str">
        <f ca="1">_xll.BDH($B$81,$C$81,$B$675,$B$676,CONCATENATE("Per=",$B$673),"Dts=H","Dir=H",CONCATENATE("Points=",$B$674),"Sort=R","Days=A","Fill=B",CONCATENATE("FX=", $B$672) )</f>
        <v>#N/A Connection</v>
      </c>
      <c r="BN754" t="str">
        <f>""</f>
        <v/>
      </c>
      <c r="BO754" t="str">
        <f>""</f>
        <v/>
      </c>
      <c r="BP754" t="str">
        <f>""</f>
        <v/>
      </c>
      <c r="BQ754" t="str">
        <f>""</f>
        <v/>
      </c>
      <c r="BR754" t="str">
        <f>""</f>
        <v/>
      </c>
      <c r="BS754" t="str">
        <f>""</f>
        <v/>
      </c>
      <c r="BT754" t="str">
        <f>""</f>
        <v/>
      </c>
      <c r="BU754" t="str">
        <f>""</f>
        <v/>
      </c>
      <c r="BV754" t="str">
        <f>""</f>
        <v/>
      </c>
      <c r="BW754" t="str">
        <f>""</f>
        <v/>
      </c>
      <c r="BX754" t="str">
        <f>""</f>
        <v/>
      </c>
      <c r="BY754" t="str">
        <f>""</f>
        <v/>
      </c>
      <c r="BZ754" t="str">
        <f>""</f>
        <v/>
      </c>
      <c r="CA754" t="str">
        <f>""</f>
        <v/>
      </c>
      <c r="CB754" t="str">
        <f>""</f>
        <v/>
      </c>
      <c r="CC754" t="str">
        <f>""</f>
        <v/>
      </c>
      <c r="CD754" t="str">
        <f>""</f>
        <v/>
      </c>
      <c r="CE754" t="str">
        <f>""</f>
        <v/>
      </c>
      <c r="CF754" t="str">
        <f>""</f>
        <v/>
      </c>
      <c r="CG754" t="str">
        <f>""</f>
        <v/>
      </c>
      <c r="CH754" t="str">
        <f>""</f>
        <v/>
      </c>
      <c r="CI754" t="str">
        <f>""</f>
        <v/>
      </c>
      <c r="CJ754" t="str">
        <f>""</f>
        <v/>
      </c>
      <c r="CK754" t="str">
        <f>""</f>
        <v/>
      </c>
      <c r="CL754" t="str">
        <f>""</f>
        <v/>
      </c>
      <c r="CM754" t="str">
        <f>""</f>
        <v/>
      </c>
      <c r="CN754" t="str">
        <f>""</f>
        <v/>
      </c>
      <c r="CO754" t="str">
        <f>""</f>
        <v/>
      </c>
      <c r="CP754" t="str">
        <f>""</f>
        <v/>
      </c>
      <c r="CQ754" t="str">
        <f>""</f>
        <v/>
      </c>
      <c r="CR754" t="str">
        <f>""</f>
        <v/>
      </c>
      <c r="CS754" t="str">
        <f>""</f>
        <v/>
      </c>
      <c r="CT754" t="str">
        <f>""</f>
        <v/>
      </c>
      <c r="CU754" t="str">
        <f>""</f>
        <v/>
      </c>
      <c r="CV754" t="str">
        <f>""</f>
        <v/>
      </c>
      <c r="CW754" t="str">
        <f>""</f>
        <v/>
      </c>
      <c r="CX754" t="str">
        <f>""</f>
        <v/>
      </c>
      <c r="CY754" t="str">
        <f>""</f>
        <v/>
      </c>
      <c r="CZ754" t="str">
        <f>""</f>
        <v/>
      </c>
      <c r="DA754" t="str">
        <f>""</f>
        <v/>
      </c>
      <c r="DB754" t="str">
        <f>""</f>
        <v/>
      </c>
      <c r="DC754" t="str">
        <f>""</f>
        <v/>
      </c>
      <c r="DD754" t="str">
        <f>""</f>
        <v/>
      </c>
      <c r="DE754" t="str">
        <f>""</f>
        <v/>
      </c>
      <c r="DF754" t="str">
        <f>""</f>
        <v/>
      </c>
      <c r="DG754" t="str">
        <f>""</f>
        <v/>
      </c>
      <c r="DH754" t="str">
        <f>""</f>
        <v/>
      </c>
      <c r="DI754" t="str">
        <f>""</f>
        <v/>
      </c>
      <c r="DJ754" t="str">
        <f>""</f>
        <v/>
      </c>
      <c r="DK754" t="str">
        <f>""</f>
        <v/>
      </c>
      <c r="DL754" t="str">
        <f>""</f>
        <v/>
      </c>
      <c r="DM754" t="str">
        <f>""</f>
        <v/>
      </c>
      <c r="DN754" t="str">
        <f>""</f>
        <v/>
      </c>
      <c r="DO754" t="str">
        <f>""</f>
        <v/>
      </c>
      <c r="DP754" t="str">
        <f>""</f>
        <v/>
      </c>
      <c r="DQ754" t="str">
        <f>""</f>
        <v/>
      </c>
      <c r="DR754" t="str">
        <f>""</f>
        <v/>
      </c>
      <c r="DS754" t="str">
        <f>""</f>
        <v/>
      </c>
      <c r="DT754" t="str">
        <f>""</f>
        <v/>
      </c>
      <c r="DU754" t="str">
        <f>""</f>
        <v/>
      </c>
    </row>
    <row r="755" spans="1:125" x14ac:dyDescent="0.25">
      <c r="A755" t="str">
        <f>$A$82</f>
        <v xml:space="preserve">    Tofas Turk Otomobil Fabrikasi AS</v>
      </c>
      <c r="B755" t="str">
        <f>$B$82</f>
        <v>TOASOTRY EO Equity</v>
      </c>
      <c r="C755" t="str">
        <f>$C$82</f>
        <v>EZ009</v>
      </c>
      <c r="D755" t="str">
        <f>$D$82</f>
        <v>BEST_EST_PE_CUR_YR</v>
      </c>
      <c r="E755" t="str">
        <f>$E$82</f>
        <v>Dynamic</v>
      </c>
      <c r="F755" t="str">
        <f ca="1">_xll.BDH($B$82,$C$82,$B$675,$B$676,CONCATENATE("Per=",$B$673),"Dts=H","Dir=H",CONCATENATE("Points=",$B$674),"Sort=R","Days=A","Fill=B",CONCATENATE("FX=", $B$672) )</f>
        <v>#N/A Connection</v>
      </c>
      <c r="BN755" t="str">
        <f>""</f>
        <v/>
      </c>
      <c r="BO755" t="str">
        <f>""</f>
        <v/>
      </c>
      <c r="BP755" t="str">
        <f>""</f>
        <v/>
      </c>
      <c r="BQ755" t="str">
        <f>""</f>
        <v/>
      </c>
      <c r="BR755" t="str">
        <f>""</f>
        <v/>
      </c>
      <c r="BS755" t="str">
        <f>""</f>
        <v/>
      </c>
      <c r="BT755" t="str">
        <f>""</f>
        <v/>
      </c>
      <c r="BU755" t="str">
        <f>""</f>
        <v/>
      </c>
      <c r="BV755" t="str">
        <f>""</f>
        <v/>
      </c>
      <c r="BW755" t="str">
        <f>""</f>
        <v/>
      </c>
      <c r="BX755" t="str">
        <f>""</f>
        <v/>
      </c>
      <c r="BY755" t="str">
        <f>""</f>
        <v/>
      </c>
      <c r="BZ755" t="str">
        <f>""</f>
        <v/>
      </c>
      <c r="CA755" t="str">
        <f>""</f>
        <v/>
      </c>
      <c r="CB755" t="str">
        <f>""</f>
        <v/>
      </c>
      <c r="CC755" t="str">
        <f>""</f>
        <v/>
      </c>
      <c r="CD755" t="str">
        <f>""</f>
        <v/>
      </c>
      <c r="CE755" t="str">
        <f>""</f>
        <v/>
      </c>
      <c r="CF755" t="str">
        <f>""</f>
        <v/>
      </c>
      <c r="CG755" t="str">
        <f>""</f>
        <v/>
      </c>
      <c r="CH755" t="str">
        <f>""</f>
        <v/>
      </c>
      <c r="CI755" t="str">
        <f>""</f>
        <v/>
      </c>
      <c r="CJ755" t="str">
        <f>""</f>
        <v/>
      </c>
      <c r="CK755" t="str">
        <f>""</f>
        <v/>
      </c>
      <c r="CL755" t="str">
        <f>""</f>
        <v/>
      </c>
      <c r="CM755" t="str">
        <f>""</f>
        <v/>
      </c>
      <c r="CN755" t="str">
        <f>""</f>
        <v/>
      </c>
      <c r="CO755" t="str">
        <f>""</f>
        <v/>
      </c>
      <c r="CP755" t="str">
        <f>""</f>
        <v/>
      </c>
      <c r="CQ755" t="str">
        <f>""</f>
        <v/>
      </c>
      <c r="CR755" t="str">
        <f>""</f>
        <v/>
      </c>
      <c r="CS755" t="str">
        <f>""</f>
        <v/>
      </c>
      <c r="CT755" t="str">
        <f>""</f>
        <v/>
      </c>
      <c r="CU755" t="str">
        <f>""</f>
        <v/>
      </c>
      <c r="CV755" t="str">
        <f>""</f>
        <v/>
      </c>
      <c r="CW755" t="str">
        <f>""</f>
        <v/>
      </c>
      <c r="CX755" t="str">
        <f>""</f>
        <v/>
      </c>
      <c r="CY755" t="str">
        <f>""</f>
        <v/>
      </c>
      <c r="CZ755" t="str">
        <f>""</f>
        <v/>
      </c>
      <c r="DA755" t="str">
        <f>""</f>
        <v/>
      </c>
      <c r="DB755" t="str">
        <f>""</f>
        <v/>
      </c>
      <c r="DC755" t="str">
        <f>""</f>
        <v/>
      </c>
      <c r="DD755" t="str">
        <f>""</f>
        <v/>
      </c>
      <c r="DE755" t="str">
        <f>""</f>
        <v/>
      </c>
      <c r="DF755" t="str">
        <f>""</f>
        <v/>
      </c>
      <c r="DG755" t="str">
        <f>""</f>
        <v/>
      </c>
      <c r="DH755" t="str">
        <f>""</f>
        <v/>
      </c>
      <c r="DI755" t="str">
        <f>""</f>
        <v/>
      </c>
      <c r="DJ755" t="str">
        <f>""</f>
        <v/>
      </c>
      <c r="DK755" t="str">
        <f>""</f>
        <v/>
      </c>
      <c r="DL755" t="str">
        <f>""</f>
        <v/>
      </c>
      <c r="DM755" t="str">
        <f>""</f>
        <v/>
      </c>
      <c r="DN755" t="str">
        <f>""</f>
        <v/>
      </c>
      <c r="DO755" t="str">
        <f>""</f>
        <v/>
      </c>
      <c r="DP755" t="str">
        <f>""</f>
        <v/>
      </c>
      <c r="DQ755" t="str">
        <f>""</f>
        <v/>
      </c>
      <c r="DR755" t="str">
        <f>""</f>
        <v/>
      </c>
      <c r="DS755" t="str">
        <f>""</f>
        <v/>
      </c>
      <c r="DT755" t="str">
        <f>""</f>
        <v/>
      </c>
      <c r="DU755" t="str">
        <f>""</f>
        <v/>
      </c>
    </row>
    <row r="756" spans="1:125" x14ac:dyDescent="0.25">
      <c r="A756" t="str">
        <f>$A$83</f>
        <v xml:space="preserve">    Toyota Motor Corp</v>
      </c>
      <c r="B756" t="str">
        <f>$B$83</f>
        <v>7203 JP Equity</v>
      </c>
      <c r="C756" t="str">
        <f>$C$83</f>
        <v>EZ009</v>
      </c>
      <c r="D756" t="str">
        <f>$D$83</f>
        <v>BEST_EST_PE_CUR_YR</v>
      </c>
      <c r="E756" t="str">
        <f>$E$83</f>
        <v>Dynamic</v>
      </c>
      <c r="F756" t="str">
        <f ca="1">_xll.BDH($B$83,$C$83,$B$675,$B$676,CONCATENATE("Per=",$B$673),"Dts=H","Dir=H",CONCATENATE("Points=",$B$674),"Sort=R","Days=A","Fill=B",CONCATENATE("FX=", $B$672) )</f>
        <v>#N/A Connection</v>
      </c>
      <c r="BN756" t="str">
        <f>""</f>
        <v/>
      </c>
      <c r="BO756" t="str">
        <f>""</f>
        <v/>
      </c>
      <c r="BP756" t="str">
        <f>""</f>
        <v/>
      </c>
      <c r="BQ756" t="str">
        <f>""</f>
        <v/>
      </c>
      <c r="BR756" t="str">
        <f>""</f>
        <v/>
      </c>
      <c r="BS756" t="str">
        <f>""</f>
        <v/>
      </c>
      <c r="BT756" t="str">
        <f>""</f>
        <v/>
      </c>
      <c r="BU756" t="str">
        <f>""</f>
        <v/>
      </c>
      <c r="BV756" t="str">
        <f>""</f>
        <v/>
      </c>
      <c r="BW756" t="str">
        <f>""</f>
        <v/>
      </c>
      <c r="BX756" t="str">
        <f>""</f>
        <v/>
      </c>
      <c r="BY756" t="str">
        <f>""</f>
        <v/>
      </c>
      <c r="BZ756" t="str">
        <f>""</f>
        <v/>
      </c>
      <c r="CA756" t="str">
        <f>""</f>
        <v/>
      </c>
      <c r="CB756" t="str">
        <f>""</f>
        <v/>
      </c>
      <c r="CC756" t="str">
        <f>""</f>
        <v/>
      </c>
      <c r="CD756" t="str">
        <f>""</f>
        <v/>
      </c>
      <c r="CE756" t="str">
        <f>""</f>
        <v/>
      </c>
      <c r="CF756" t="str">
        <f>""</f>
        <v/>
      </c>
      <c r="CG756" t="str">
        <f>""</f>
        <v/>
      </c>
      <c r="CH756" t="str">
        <f>""</f>
        <v/>
      </c>
      <c r="CI756" t="str">
        <f>""</f>
        <v/>
      </c>
      <c r="CJ756" t="str">
        <f>""</f>
        <v/>
      </c>
      <c r="CK756" t="str">
        <f>""</f>
        <v/>
      </c>
      <c r="CL756" t="str">
        <f>""</f>
        <v/>
      </c>
      <c r="CM756" t="str">
        <f>""</f>
        <v/>
      </c>
      <c r="CN756" t="str">
        <f>""</f>
        <v/>
      </c>
      <c r="CO756" t="str">
        <f>""</f>
        <v/>
      </c>
      <c r="CP756" t="str">
        <f>""</f>
        <v/>
      </c>
      <c r="CQ756" t="str">
        <f>""</f>
        <v/>
      </c>
      <c r="CR756" t="str">
        <f>""</f>
        <v/>
      </c>
      <c r="CS756" t="str">
        <f>""</f>
        <v/>
      </c>
      <c r="CT756" t="str">
        <f>""</f>
        <v/>
      </c>
      <c r="CU756" t="str">
        <f>""</f>
        <v/>
      </c>
      <c r="CV756" t="str">
        <f>""</f>
        <v/>
      </c>
      <c r="CW756" t="str">
        <f>""</f>
        <v/>
      </c>
      <c r="CX756" t="str">
        <f>""</f>
        <v/>
      </c>
      <c r="CY756" t="str">
        <f>""</f>
        <v/>
      </c>
      <c r="CZ756" t="str">
        <f>""</f>
        <v/>
      </c>
      <c r="DA756" t="str">
        <f>""</f>
        <v/>
      </c>
      <c r="DB756" t="str">
        <f>""</f>
        <v/>
      </c>
      <c r="DC756" t="str">
        <f>""</f>
        <v/>
      </c>
      <c r="DD756" t="str">
        <f>""</f>
        <v/>
      </c>
      <c r="DE756" t="str">
        <f>""</f>
        <v/>
      </c>
      <c r="DF756" t="str">
        <f>""</f>
        <v/>
      </c>
      <c r="DG756" t="str">
        <f>""</f>
        <v/>
      </c>
      <c r="DH756" t="str">
        <f>""</f>
        <v/>
      </c>
      <c r="DI756" t="str">
        <f>""</f>
        <v/>
      </c>
      <c r="DJ756" t="str">
        <f>""</f>
        <v/>
      </c>
      <c r="DK756" t="str">
        <f>""</f>
        <v/>
      </c>
      <c r="DL756" t="str">
        <f>""</f>
        <v/>
      </c>
      <c r="DM756" t="str">
        <f>""</f>
        <v/>
      </c>
      <c r="DN756" t="str">
        <f>""</f>
        <v/>
      </c>
      <c r="DO756" t="str">
        <f>""</f>
        <v/>
      </c>
      <c r="DP756" t="str">
        <f>""</f>
        <v/>
      </c>
      <c r="DQ756" t="str">
        <f>""</f>
        <v/>
      </c>
      <c r="DR756" t="str">
        <f>""</f>
        <v/>
      </c>
      <c r="DS756" t="str">
        <f>""</f>
        <v/>
      </c>
      <c r="DT756" t="str">
        <f>""</f>
        <v/>
      </c>
      <c r="DU756" t="str">
        <f>""</f>
        <v/>
      </c>
    </row>
    <row r="757" spans="1:125" x14ac:dyDescent="0.25">
      <c r="A757" t="str">
        <f>$A$84</f>
        <v xml:space="preserve">    Volkswagen AG</v>
      </c>
      <c r="B757" t="str">
        <f>$B$84</f>
        <v>VOW GR Equity</v>
      </c>
      <c r="C757" t="str">
        <f>$C$84</f>
        <v>EZ009</v>
      </c>
      <c r="D757" t="str">
        <f>$D$84</f>
        <v>BEST_EST_PE_CUR_YR</v>
      </c>
      <c r="E757" t="str">
        <f>$E$84</f>
        <v>Dynamic</v>
      </c>
      <c r="F757" t="str">
        <f ca="1">_xll.BDH($B$84,$C$84,$B$675,$B$676,CONCATENATE("Per=",$B$673),"Dts=H","Dir=H",CONCATENATE("Points=",$B$674),"Sort=R","Days=A","Fill=B",CONCATENATE("FX=", $B$672) )</f>
        <v>#N/A Connection</v>
      </c>
      <c r="BN757" t="str">
        <f>""</f>
        <v/>
      </c>
      <c r="BO757" t="str">
        <f>""</f>
        <v/>
      </c>
      <c r="BP757" t="str">
        <f>""</f>
        <v/>
      </c>
      <c r="BQ757" t="str">
        <f>""</f>
        <v/>
      </c>
      <c r="BR757" t="str">
        <f>""</f>
        <v/>
      </c>
      <c r="BS757" t="str">
        <f>""</f>
        <v/>
      </c>
      <c r="BT757" t="str">
        <f>""</f>
        <v/>
      </c>
      <c r="BU757" t="str">
        <f>""</f>
        <v/>
      </c>
      <c r="BV757" t="str">
        <f>""</f>
        <v/>
      </c>
      <c r="BW757" t="str">
        <f>""</f>
        <v/>
      </c>
      <c r="BX757" t="str">
        <f>""</f>
        <v/>
      </c>
      <c r="BY757" t="str">
        <f>""</f>
        <v/>
      </c>
      <c r="BZ757" t="str">
        <f>""</f>
        <v/>
      </c>
      <c r="CA757" t="str">
        <f>""</f>
        <v/>
      </c>
      <c r="CB757" t="str">
        <f>""</f>
        <v/>
      </c>
      <c r="CC757" t="str">
        <f>""</f>
        <v/>
      </c>
      <c r="CD757" t="str">
        <f>""</f>
        <v/>
      </c>
      <c r="CE757" t="str">
        <f>""</f>
        <v/>
      </c>
      <c r="CF757" t="str">
        <f>""</f>
        <v/>
      </c>
      <c r="CG757" t="str">
        <f>""</f>
        <v/>
      </c>
      <c r="CH757" t="str">
        <f>""</f>
        <v/>
      </c>
      <c r="CI757" t="str">
        <f>""</f>
        <v/>
      </c>
      <c r="CJ757" t="str">
        <f>""</f>
        <v/>
      </c>
      <c r="CK757" t="str">
        <f>""</f>
        <v/>
      </c>
      <c r="CL757" t="str">
        <f>""</f>
        <v/>
      </c>
      <c r="CM757" t="str">
        <f>""</f>
        <v/>
      </c>
      <c r="CN757" t="str">
        <f>""</f>
        <v/>
      </c>
      <c r="CO757" t="str">
        <f>""</f>
        <v/>
      </c>
      <c r="CP757" t="str">
        <f>""</f>
        <v/>
      </c>
      <c r="CQ757" t="str">
        <f>""</f>
        <v/>
      </c>
      <c r="CR757" t="str">
        <f>""</f>
        <v/>
      </c>
      <c r="CS757" t="str">
        <f>""</f>
        <v/>
      </c>
      <c r="CT757" t="str">
        <f>""</f>
        <v/>
      </c>
      <c r="CU757" t="str">
        <f>""</f>
        <v/>
      </c>
      <c r="CV757" t="str">
        <f>""</f>
        <v/>
      </c>
      <c r="CW757" t="str">
        <f>""</f>
        <v/>
      </c>
      <c r="CX757" t="str">
        <f>""</f>
        <v/>
      </c>
      <c r="CY757" t="str">
        <f>""</f>
        <v/>
      </c>
      <c r="CZ757" t="str">
        <f>""</f>
        <v/>
      </c>
      <c r="DA757" t="str">
        <f>""</f>
        <v/>
      </c>
      <c r="DB757" t="str">
        <f>""</f>
        <v/>
      </c>
      <c r="DC757" t="str">
        <f>""</f>
        <v/>
      </c>
      <c r="DD757" t="str">
        <f>""</f>
        <v/>
      </c>
      <c r="DE757" t="str">
        <f>""</f>
        <v/>
      </c>
      <c r="DF757" t="str">
        <f>""</f>
        <v/>
      </c>
      <c r="DG757" t="str">
        <f>""</f>
        <v/>
      </c>
      <c r="DH757" t="str">
        <f>""</f>
        <v/>
      </c>
      <c r="DI757" t="str">
        <f>""</f>
        <v/>
      </c>
      <c r="DJ757" t="str">
        <f>""</f>
        <v/>
      </c>
      <c r="DK757" t="str">
        <f>""</f>
        <v/>
      </c>
      <c r="DL757" t="str">
        <f>""</f>
        <v/>
      </c>
      <c r="DM757" t="str">
        <f>""</f>
        <v/>
      </c>
      <c r="DN757" t="str">
        <f>""</f>
        <v/>
      </c>
      <c r="DO757" t="str">
        <f>""</f>
        <v/>
      </c>
      <c r="DP757" t="str">
        <f>""</f>
        <v/>
      </c>
      <c r="DQ757" t="str">
        <f>""</f>
        <v/>
      </c>
      <c r="DR757" t="str">
        <f>""</f>
        <v/>
      </c>
      <c r="DS757" t="str">
        <f>""</f>
        <v/>
      </c>
      <c r="DT757" t="str">
        <f>""</f>
        <v/>
      </c>
      <c r="DU757" t="str">
        <f>""</f>
        <v/>
      </c>
    </row>
    <row r="758" spans="1:125" x14ac:dyDescent="0.25">
      <c r="A758" t="str">
        <f>$A$85</f>
        <v xml:space="preserve">    Yulon Motor Co Ltd</v>
      </c>
      <c r="B758" t="str">
        <f>$B$85</f>
        <v>2201 TT Equity</v>
      </c>
      <c r="C758" t="str">
        <f>$C$85</f>
        <v>EZ009</v>
      </c>
      <c r="D758" t="str">
        <f>$D$85</f>
        <v>BEST_EST_PE_CUR_YR</v>
      </c>
      <c r="E758" t="str">
        <f>$E$85</f>
        <v>Dynamic</v>
      </c>
      <c r="F758" t="str">
        <f ca="1">_xll.BDH($B$85,$C$85,$B$675,$B$676,CONCATENATE("Per=",$B$673),"Dts=H","Dir=H",CONCATENATE("Points=",$B$674),"Sort=R","Days=A","Fill=B",CONCATENATE("FX=", $B$672) )</f>
        <v>#N/A Connection</v>
      </c>
      <c r="BN758" t="str">
        <f>""</f>
        <v/>
      </c>
      <c r="BO758" t="str">
        <f>""</f>
        <v/>
      </c>
      <c r="BP758" t="str">
        <f>""</f>
        <v/>
      </c>
      <c r="BQ758" t="str">
        <f>""</f>
        <v/>
      </c>
      <c r="BR758" t="str">
        <f>""</f>
        <v/>
      </c>
      <c r="BS758" t="str">
        <f>""</f>
        <v/>
      </c>
      <c r="BT758" t="str">
        <f>""</f>
        <v/>
      </c>
      <c r="BU758" t="str">
        <f>""</f>
        <v/>
      </c>
      <c r="BV758" t="str">
        <f>""</f>
        <v/>
      </c>
      <c r="BW758" t="str">
        <f>""</f>
        <v/>
      </c>
      <c r="BX758" t="str">
        <f>""</f>
        <v/>
      </c>
      <c r="BY758" t="str">
        <f>""</f>
        <v/>
      </c>
      <c r="BZ758" t="str">
        <f>""</f>
        <v/>
      </c>
      <c r="CA758" t="str">
        <f>""</f>
        <v/>
      </c>
      <c r="CB758" t="str">
        <f>""</f>
        <v/>
      </c>
      <c r="CC758" t="str">
        <f>""</f>
        <v/>
      </c>
      <c r="CD758" t="str">
        <f>""</f>
        <v/>
      </c>
      <c r="CE758" t="str">
        <f>""</f>
        <v/>
      </c>
      <c r="CF758" t="str">
        <f>""</f>
        <v/>
      </c>
      <c r="CG758" t="str">
        <f>""</f>
        <v/>
      </c>
      <c r="CH758" t="str">
        <f>""</f>
        <v/>
      </c>
      <c r="CI758" t="str">
        <f>""</f>
        <v/>
      </c>
      <c r="CJ758" t="str">
        <f>""</f>
        <v/>
      </c>
      <c r="CK758" t="str">
        <f>""</f>
        <v/>
      </c>
      <c r="CL758" t="str">
        <f>""</f>
        <v/>
      </c>
      <c r="CM758" t="str">
        <f>""</f>
        <v/>
      </c>
      <c r="CN758" t="str">
        <f>""</f>
        <v/>
      </c>
      <c r="CO758" t="str">
        <f>""</f>
        <v/>
      </c>
      <c r="CP758" t="str">
        <f>""</f>
        <v/>
      </c>
      <c r="CQ758" t="str">
        <f>""</f>
        <v/>
      </c>
      <c r="CR758" t="str">
        <f>""</f>
        <v/>
      </c>
      <c r="CS758" t="str">
        <f>""</f>
        <v/>
      </c>
      <c r="CT758" t="str">
        <f>""</f>
        <v/>
      </c>
      <c r="CU758" t="str">
        <f>""</f>
        <v/>
      </c>
      <c r="CV758" t="str">
        <f>""</f>
        <v/>
      </c>
      <c r="CW758" t="str">
        <f>""</f>
        <v/>
      </c>
      <c r="CX758" t="str">
        <f>""</f>
        <v/>
      </c>
      <c r="CY758" t="str">
        <f>""</f>
        <v/>
      </c>
      <c r="CZ758" t="str">
        <f>""</f>
        <v/>
      </c>
      <c r="DA758" t="str">
        <f>""</f>
        <v/>
      </c>
      <c r="DB758" t="str">
        <f>""</f>
        <v/>
      </c>
      <c r="DC758" t="str">
        <f>""</f>
        <v/>
      </c>
      <c r="DD758" t="str">
        <f>""</f>
        <v/>
      </c>
      <c r="DE758" t="str">
        <f>""</f>
        <v/>
      </c>
      <c r="DF758" t="str">
        <f>""</f>
        <v/>
      </c>
      <c r="DG758" t="str">
        <f>""</f>
        <v/>
      </c>
      <c r="DH758" t="str">
        <f>""</f>
        <v/>
      </c>
      <c r="DI758" t="str">
        <f>""</f>
        <v/>
      </c>
      <c r="DJ758" t="str">
        <f>""</f>
        <v/>
      </c>
      <c r="DK758" t="str">
        <f>""</f>
        <v/>
      </c>
      <c r="DL758" t="str">
        <f>""</f>
        <v/>
      </c>
      <c r="DM758" t="str">
        <f>""</f>
        <v/>
      </c>
      <c r="DN758" t="str">
        <f>""</f>
        <v/>
      </c>
      <c r="DO758" t="str">
        <f>""</f>
        <v/>
      </c>
      <c r="DP758" t="str">
        <f>""</f>
        <v/>
      </c>
      <c r="DQ758" t="str">
        <f>""</f>
        <v/>
      </c>
      <c r="DR758" t="str">
        <f>""</f>
        <v/>
      </c>
      <c r="DS758" t="str">
        <f>""</f>
        <v/>
      </c>
      <c r="DT758" t="str">
        <f>""</f>
        <v/>
      </c>
      <c r="DU758" t="str">
        <f>""</f>
        <v/>
      </c>
    </row>
    <row r="759" spans="1:125" x14ac:dyDescent="0.25">
      <c r="A759" t="str">
        <f>$A$87</f>
        <v xml:space="preserve">    AUDI AG</v>
      </c>
      <c r="B759" t="str">
        <f>$B$87</f>
        <v>NSU GR Equity</v>
      </c>
      <c r="C759" t="str">
        <f>$C$87</f>
        <v>EZ010</v>
      </c>
      <c r="D759" t="str">
        <f>$D$87</f>
        <v>BEST_EST_PE_NXT_YR</v>
      </c>
      <c r="E759" t="str">
        <f>$E$87</f>
        <v>Dynamic</v>
      </c>
      <c r="F759" t="str">
        <f ca="1">_xll.BDH($B$87,$C$87,$B$675,$B$676,CONCATENATE("Per=",$B$673),"Dts=H","Dir=H",CONCATENATE("Points=",$B$674),"Sort=R","Days=A","Fill=B",CONCATENATE("FX=", $B$672) )</f>
        <v>#N/A Connection</v>
      </c>
      <c r="BN759" t="str">
        <f>""</f>
        <v/>
      </c>
      <c r="BO759" t="str">
        <f>""</f>
        <v/>
      </c>
      <c r="BP759" t="str">
        <f>""</f>
        <v/>
      </c>
      <c r="BQ759" t="str">
        <f>""</f>
        <v/>
      </c>
      <c r="BR759" t="str">
        <f>""</f>
        <v/>
      </c>
      <c r="BS759" t="str">
        <f>""</f>
        <v/>
      </c>
      <c r="BT759" t="str">
        <f>""</f>
        <v/>
      </c>
      <c r="BU759" t="str">
        <f>""</f>
        <v/>
      </c>
      <c r="BV759" t="str">
        <f>""</f>
        <v/>
      </c>
      <c r="BW759" t="str">
        <f>""</f>
        <v/>
      </c>
      <c r="BX759" t="str">
        <f>""</f>
        <v/>
      </c>
      <c r="BY759" t="str">
        <f>""</f>
        <v/>
      </c>
      <c r="BZ759" t="str">
        <f>""</f>
        <v/>
      </c>
      <c r="CA759" t="str">
        <f>""</f>
        <v/>
      </c>
      <c r="CB759" t="str">
        <f>""</f>
        <v/>
      </c>
      <c r="CC759" t="str">
        <f>""</f>
        <v/>
      </c>
      <c r="CD759" t="str">
        <f>""</f>
        <v/>
      </c>
      <c r="CE759" t="str">
        <f>""</f>
        <v/>
      </c>
      <c r="CF759" t="str">
        <f>""</f>
        <v/>
      </c>
      <c r="CG759" t="str">
        <f>""</f>
        <v/>
      </c>
      <c r="CH759" t="str">
        <f>""</f>
        <v/>
      </c>
      <c r="CI759" t="str">
        <f>""</f>
        <v/>
      </c>
      <c r="CJ759" t="str">
        <f>""</f>
        <v/>
      </c>
      <c r="CK759" t="str">
        <f>""</f>
        <v/>
      </c>
      <c r="CL759" t="str">
        <f>""</f>
        <v/>
      </c>
      <c r="CM759" t="str">
        <f>""</f>
        <v/>
      </c>
      <c r="CN759" t="str">
        <f>""</f>
        <v/>
      </c>
      <c r="CO759" t="str">
        <f>""</f>
        <v/>
      </c>
      <c r="CP759" t="str">
        <f>""</f>
        <v/>
      </c>
      <c r="CQ759" t="str">
        <f>""</f>
        <v/>
      </c>
      <c r="CR759" t="str">
        <f>""</f>
        <v/>
      </c>
      <c r="CS759" t="str">
        <f>""</f>
        <v/>
      </c>
      <c r="CT759" t="str">
        <f>""</f>
        <v/>
      </c>
      <c r="CU759" t="str">
        <f>""</f>
        <v/>
      </c>
      <c r="CV759" t="str">
        <f>""</f>
        <v/>
      </c>
      <c r="CW759" t="str">
        <f>""</f>
        <v/>
      </c>
      <c r="CX759" t="str">
        <f>""</f>
        <v/>
      </c>
      <c r="CY759" t="str">
        <f>""</f>
        <v/>
      </c>
      <c r="CZ759" t="str">
        <f>""</f>
        <v/>
      </c>
      <c r="DA759" t="str">
        <f>""</f>
        <v/>
      </c>
      <c r="DB759" t="str">
        <f>""</f>
        <v/>
      </c>
      <c r="DC759" t="str">
        <f>""</f>
        <v/>
      </c>
      <c r="DD759" t="str">
        <f>""</f>
        <v/>
      </c>
      <c r="DE759" t="str">
        <f>""</f>
        <v/>
      </c>
      <c r="DF759" t="str">
        <f>""</f>
        <v/>
      </c>
      <c r="DG759" t="str">
        <f>""</f>
        <v/>
      </c>
      <c r="DH759" t="str">
        <f>""</f>
        <v/>
      </c>
      <c r="DI759" t="str">
        <f>""</f>
        <v/>
      </c>
      <c r="DJ759" t="str">
        <f>""</f>
        <v/>
      </c>
      <c r="DK759" t="str">
        <f>""</f>
        <v/>
      </c>
      <c r="DL759" t="str">
        <f>""</f>
        <v/>
      </c>
      <c r="DM759" t="str">
        <f>""</f>
        <v/>
      </c>
      <c r="DN759" t="str">
        <f>""</f>
        <v/>
      </c>
      <c r="DO759" t="str">
        <f>""</f>
        <v/>
      </c>
      <c r="DP759" t="str">
        <f>""</f>
        <v/>
      </c>
      <c r="DQ759" t="str">
        <f>""</f>
        <v/>
      </c>
      <c r="DR759" t="str">
        <f>""</f>
        <v/>
      </c>
      <c r="DS759" t="str">
        <f>""</f>
        <v/>
      </c>
      <c r="DT759" t="str">
        <f>""</f>
        <v/>
      </c>
      <c r="DU759" t="str">
        <f>""</f>
        <v/>
      </c>
    </row>
    <row r="760" spans="1:125" x14ac:dyDescent="0.25">
      <c r="A760" t="str">
        <f>$A$88</f>
        <v xml:space="preserve">    Avtovaz PJSC</v>
      </c>
      <c r="B760" t="str">
        <f>$B$88</f>
        <v>AVAZ RM Equity</v>
      </c>
      <c r="C760" t="str">
        <f>$C$88</f>
        <v>EZ010</v>
      </c>
      <c r="D760" t="str">
        <f>$D$88</f>
        <v>BEST_EST_PE_NXT_YR</v>
      </c>
      <c r="E760" t="str">
        <f>$E$88</f>
        <v>Dynamic</v>
      </c>
      <c r="F760" t="str">
        <f ca="1">_xll.BDH($B$88,$C$88,$B$675,$B$676,CONCATENATE("Per=",$B$673),"Dts=H","Dir=H",CONCATENATE("Points=",$B$674),"Sort=R","Days=A","Fill=B",CONCATENATE("FX=", $B$672) )</f>
        <v>#N/A Connection</v>
      </c>
      <c r="BN760" t="str">
        <f>""</f>
        <v/>
      </c>
      <c r="BO760" t="str">
        <f>""</f>
        <v/>
      </c>
      <c r="BP760" t="str">
        <f>""</f>
        <v/>
      </c>
      <c r="BQ760" t="str">
        <f>""</f>
        <v/>
      </c>
      <c r="BR760" t="str">
        <f>""</f>
        <v/>
      </c>
      <c r="BS760" t="str">
        <f>""</f>
        <v/>
      </c>
      <c r="BT760" t="str">
        <f>""</f>
        <v/>
      </c>
      <c r="BU760" t="str">
        <f>""</f>
        <v/>
      </c>
      <c r="BV760" t="str">
        <f>""</f>
        <v/>
      </c>
      <c r="BW760" t="str">
        <f>""</f>
        <v/>
      </c>
      <c r="BX760" t="str">
        <f>""</f>
        <v/>
      </c>
      <c r="BY760" t="str">
        <f>""</f>
        <v/>
      </c>
      <c r="BZ760" t="str">
        <f>""</f>
        <v/>
      </c>
      <c r="CA760" t="str">
        <f>""</f>
        <v/>
      </c>
      <c r="CB760" t="str">
        <f>""</f>
        <v/>
      </c>
      <c r="CC760" t="str">
        <f>""</f>
        <v/>
      </c>
      <c r="CD760" t="str">
        <f>""</f>
        <v/>
      </c>
      <c r="CE760" t="str">
        <f>""</f>
        <v/>
      </c>
      <c r="CF760" t="str">
        <f>""</f>
        <v/>
      </c>
      <c r="CG760" t="str">
        <f>""</f>
        <v/>
      </c>
      <c r="CH760" t="str">
        <f>""</f>
        <v/>
      </c>
      <c r="CI760" t="str">
        <f>""</f>
        <v/>
      </c>
      <c r="CJ760" t="str">
        <f>""</f>
        <v/>
      </c>
      <c r="CK760" t="str">
        <f>""</f>
        <v/>
      </c>
      <c r="CL760" t="str">
        <f>""</f>
        <v/>
      </c>
      <c r="CM760" t="str">
        <f>""</f>
        <v/>
      </c>
      <c r="CN760" t="str">
        <f>""</f>
        <v/>
      </c>
      <c r="CO760" t="str">
        <f>""</f>
        <v/>
      </c>
      <c r="CP760" t="str">
        <f>""</f>
        <v/>
      </c>
      <c r="CQ760" t="str">
        <f>""</f>
        <v/>
      </c>
      <c r="CR760" t="str">
        <f>""</f>
        <v/>
      </c>
      <c r="CS760" t="str">
        <f>""</f>
        <v/>
      </c>
      <c r="CT760" t="str">
        <f>""</f>
        <v/>
      </c>
      <c r="CU760" t="str">
        <f>""</f>
        <v/>
      </c>
      <c r="CV760" t="str">
        <f>""</f>
        <v/>
      </c>
      <c r="CW760" t="str">
        <f>""</f>
        <v/>
      </c>
      <c r="CX760" t="str">
        <f>""</f>
        <v/>
      </c>
      <c r="CY760" t="str">
        <f>""</f>
        <v/>
      </c>
      <c r="CZ760" t="str">
        <f>""</f>
        <v/>
      </c>
      <c r="DA760" t="str">
        <f>""</f>
        <v/>
      </c>
      <c r="DB760" t="str">
        <f>""</f>
        <v/>
      </c>
      <c r="DC760" t="str">
        <f>""</f>
        <v/>
      </c>
      <c r="DD760" t="str">
        <f>""</f>
        <v/>
      </c>
      <c r="DE760" t="str">
        <f>""</f>
        <v/>
      </c>
      <c r="DF760" t="str">
        <f>""</f>
        <v/>
      </c>
      <c r="DG760" t="str">
        <f>""</f>
        <v/>
      </c>
      <c r="DH760" t="str">
        <f>""</f>
        <v/>
      </c>
      <c r="DI760" t="str">
        <f>""</f>
        <v/>
      </c>
      <c r="DJ760" t="str">
        <f>""</f>
        <v/>
      </c>
      <c r="DK760" t="str">
        <f>""</f>
        <v/>
      </c>
      <c r="DL760" t="str">
        <f>""</f>
        <v/>
      </c>
      <c r="DM760" t="str">
        <f>""</f>
        <v/>
      </c>
      <c r="DN760" t="str">
        <f>""</f>
        <v/>
      </c>
      <c r="DO760" t="str">
        <f>""</f>
        <v/>
      </c>
      <c r="DP760" t="str">
        <f>""</f>
        <v/>
      </c>
      <c r="DQ760" t="str">
        <f>""</f>
        <v/>
      </c>
      <c r="DR760" t="str">
        <f>""</f>
        <v/>
      </c>
      <c r="DS760" t="str">
        <f>""</f>
        <v/>
      </c>
      <c r="DT760" t="str">
        <f>""</f>
        <v/>
      </c>
      <c r="DU760" t="str">
        <f>""</f>
        <v/>
      </c>
    </row>
    <row r="761" spans="1:125" x14ac:dyDescent="0.25">
      <c r="A761" t="str">
        <f>$A$89</f>
        <v xml:space="preserve">    Bayerische Motoren Werke AG</v>
      </c>
      <c r="B761" t="str">
        <f>$B$89</f>
        <v>BMW GR Equity</v>
      </c>
      <c r="C761" t="str">
        <f>$C$89</f>
        <v>EZ010</v>
      </c>
      <c r="D761" t="str">
        <f>$D$89</f>
        <v>BEST_EST_PE_NXT_YR</v>
      </c>
      <c r="E761" t="str">
        <f>$E$89</f>
        <v>Dynamic</v>
      </c>
      <c r="F761" t="str">
        <f ca="1">_xll.BDH($B$89,$C$89,$B$675,$B$676,CONCATENATE("Per=",$B$673),"Dts=H","Dir=H",CONCATENATE("Points=",$B$674),"Sort=R","Days=A","Fill=B",CONCATENATE("FX=", $B$672) )</f>
        <v>#N/A Connection</v>
      </c>
      <c r="BN761" t="str">
        <f>""</f>
        <v/>
      </c>
      <c r="BO761" t="str">
        <f>""</f>
        <v/>
      </c>
      <c r="BP761" t="str">
        <f>""</f>
        <v/>
      </c>
      <c r="BQ761" t="str">
        <f>""</f>
        <v/>
      </c>
      <c r="BR761" t="str">
        <f>""</f>
        <v/>
      </c>
      <c r="BS761" t="str">
        <f>""</f>
        <v/>
      </c>
      <c r="BT761" t="str">
        <f>""</f>
        <v/>
      </c>
      <c r="BU761" t="str">
        <f>""</f>
        <v/>
      </c>
      <c r="BV761" t="str">
        <f>""</f>
        <v/>
      </c>
      <c r="BW761" t="str">
        <f>""</f>
        <v/>
      </c>
      <c r="BX761" t="str">
        <f>""</f>
        <v/>
      </c>
      <c r="BY761" t="str">
        <f>""</f>
        <v/>
      </c>
      <c r="BZ761" t="str">
        <f>""</f>
        <v/>
      </c>
      <c r="CA761" t="str">
        <f>""</f>
        <v/>
      </c>
      <c r="CB761" t="str">
        <f>""</f>
        <v/>
      </c>
      <c r="CC761" t="str">
        <f>""</f>
        <v/>
      </c>
      <c r="CD761" t="str">
        <f>""</f>
        <v/>
      </c>
      <c r="CE761" t="str">
        <f>""</f>
        <v/>
      </c>
      <c r="CF761" t="str">
        <f>""</f>
        <v/>
      </c>
      <c r="CG761" t="str">
        <f>""</f>
        <v/>
      </c>
      <c r="CH761" t="str">
        <f>""</f>
        <v/>
      </c>
      <c r="CI761" t="str">
        <f>""</f>
        <v/>
      </c>
      <c r="CJ761" t="str">
        <f>""</f>
        <v/>
      </c>
      <c r="CK761" t="str">
        <f>""</f>
        <v/>
      </c>
      <c r="CL761" t="str">
        <f>""</f>
        <v/>
      </c>
      <c r="CM761" t="str">
        <f>""</f>
        <v/>
      </c>
      <c r="CN761" t="str">
        <f>""</f>
        <v/>
      </c>
      <c r="CO761" t="str">
        <f>""</f>
        <v/>
      </c>
      <c r="CP761" t="str">
        <f>""</f>
        <v/>
      </c>
      <c r="CQ761" t="str">
        <f>""</f>
        <v/>
      </c>
      <c r="CR761" t="str">
        <f>""</f>
        <v/>
      </c>
      <c r="CS761" t="str">
        <f>""</f>
        <v/>
      </c>
      <c r="CT761" t="str">
        <f>""</f>
        <v/>
      </c>
      <c r="CU761" t="str">
        <f>""</f>
        <v/>
      </c>
      <c r="CV761" t="str">
        <f>""</f>
        <v/>
      </c>
      <c r="CW761" t="str">
        <f>""</f>
        <v/>
      </c>
      <c r="CX761" t="str">
        <f>""</f>
        <v/>
      </c>
      <c r="CY761" t="str">
        <f>""</f>
        <v/>
      </c>
      <c r="CZ761" t="str">
        <f>""</f>
        <v/>
      </c>
      <c r="DA761" t="str">
        <f>""</f>
        <v/>
      </c>
      <c r="DB761" t="str">
        <f>""</f>
        <v/>
      </c>
      <c r="DC761" t="str">
        <f>""</f>
        <v/>
      </c>
      <c r="DD761" t="str">
        <f>""</f>
        <v/>
      </c>
      <c r="DE761" t="str">
        <f>""</f>
        <v/>
      </c>
      <c r="DF761" t="str">
        <f>""</f>
        <v/>
      </c>
      <c r="DG761" t="str">
        <f>""</f>
        <v/>
      </c>
      <c r="DH761" t="str">
        <f>""</f>
        <v/>
      </c>
      <c r="DI761" t="str">
        <f>""</f>
        <v/>
      </c>
      <c r="DJ761" t="str">
        <f>""</f>
        <v/>
      </c>
      <c r="DK761" t="str">
        <f>""</f>
        <v/>
      </c>
      <c r="DL761" t="str">
        <f>""</f>
        <v/>
      </c>
      <c r="DM761" t="str">
        <f>""</f>
        <v/>
      </c>
      <c r="DN761" t="str">
        <f>""</f>
        <v/>
      </c>
      <c r="DO761" t="str">
        <f>""</f>
        <v/>
      </c>
      <c r="DP761" t="str">
        <f>""</f>
        <v/>
      </c>
      <c r="DQ761" t="str">
        <f>""</f>
        <v/>
      </c>
      <c r="DR761" t="str">
        <f>""</f>
        <v/>
      </c>
      <c r="DS761" t="str">
        <f>""</f>
        <v/>
      </c>
      <c r="DT761" t="str">
        <f>""</f>
        <v/>
      </c>
      <c r="DU761" t="str">
        <f>""</f>
        <v/>
      </c>
    </row>
    <row r="762" spans="1:125" x14ac:dyDescent="0.25">
      <c r="A762" t="str">
        <f>$A$90</f>
        <v xml:space="preserve">    Brilliance China Automotive Holdings Ltd</v>
      </c>
      <c r="B762" t="str">
        <f>$B$90</f>
        <v>1114 HK Equity</v>
      </c>
      <c r="C762" t="str">
        <f>$C$90</f>
        <v>EZ010</v>
      </c>
      <c r="D762" t="str">
        <f>$D$90</f>
        <v>BEST_EST_PE_NXT_YR</v>
      </c>
      <c r="E762" t="str">
        <f>$E$90</f>
        <v>Dynamic</v>
      </c>
      <c r="F762" t="str">
        <f ca="1">_xll.BDH($B$90,$C$90,$B$675,$B$676,CONCATENATE("Per=",$B$673),"Dts=H","Dir=H",CONCATENATE("Points=",$B$674),"Sort=R","Days=A","Fill=B",CONCATENATE("FX=", $B$672) )</f>
        <v>#N/A Connection</v>
      </c>
      <c r="BN762" t="str">
        <f>""</f>
        <v/>
      </c>
      <c r="BO762" t="str">
        <f>""</f>
        <v/>
      </c>
      <c r="BP762" t="str">
        <f>""</f>
        <v/>
      </c>
      <c r="BQ762" t="str">
        <f>""</f>
        <v/>
      </c>
      <c r="BR762" t="str">
        <f>""</f>
        <v/>
      </c>
      <c r="BS762" t="str">
        <f>""</f>
        <v/>
      </c>
      <c r="BT762" t="str">
        <f>""</f>
        <v/>
      </c>
      <c r="BU762" t="str">
        <f>""</f>
        <v/>
      </c>
      <c r="BV762" t="str">
        <f>""</f>
        <v/>
      </c>
      <c r="BW762" t="str">
        <f>""</f>
        <v/>
      </c>
      <c r="BX762" t="str">
        <f>""</f>
        <v/>
      </c>
      <c r="BY762" t="str">
        <f>""</f>
        <v/>
      </c>
      <c r="BZ762" t="str">
        <f>""</f>
        <v/>
      </c>
      <c r="CA762" t="str">
        <f>""</f>
        <v/>
      </c>
      <c r="CB762" t="str">
        <f>""</f>
        <v/>
      </c>
      <c r="CC762" t="str">
        <f>""</f>
        <v/>
      </c>
      <c r="CD762" t="str">
        <f>""</f>
        <v/>
      </c>
      <c r="CE762" t="str">
        <f>""</f>
        <v/>
      </c>
      <c r="CF762" t="str">
        <f>""</f>
        <v/>
      </c>
      <c r="CG762" t="str">
        <f>""</f>
        <v/>
      </c>
      <c r="CH762" t="str">
        <f>""</f>
        <v/>
      </c>
      <c r="CI762" t="str">
        <f>""</f>
        <v/>
      </c>
      <c r="CJ762" t="str">
        <f>""</f>
        <v/>
      </c>
      <c r="CK762" t="str">
        <f>""</f>
        <v/>
      </c>
      <c r="CL762" t="str">
        <f>""</f>
        <v/>
      </c>
      <c r="CM762" t="str">
        <f>""</f>
        <v/>
      </c>
      <c r="CN762" t="str">
        <f>""</f>
        <v/>
      </c>
      <c r="CO762" t="str">
        <f>""</f>
        <v/>
      </c>
      <c r="CP762" t="str">
        <f>""</f>
        <v/>
      </c>
      <c r="CQ762" t="str">
        <f>""</f>
        <v/>
      </c>
      <c r="CR762" t="str">
        <f>""</f>
        <v/>
      </c>
      <c r="CS762" t="str">
        <f>""</f>
        <v/>
      </c>
      <c r="CT762" t="str">
        <f>""</f>
        <v/>
      </c>
      <c r="CU762" t="str">
        <f>""</f>
        <v/>
      </c>
      <c r="CV762" t="str">
        <f>""</f>
        <v/>
      </c>
      <c r="CW762" t="str">
        <f>""</f>
        <v/>
      </c>
      <c r="CX762" t="str">
        <f>""</f>
        <v/>
      </c>
      <c r="CY762" t="str">
        <f>""</f>
        <v/>
      </c>
      <c r="CZ762" t="str">
        <f>""</f>
        <v/>
      </c>
      <c r="DA762" t="str">
        <f>""</f>
        <v/>
      </c>
      <c r="DB762" t="str">
        <f>""</f>
        <v/>
      </c>
      <c r="DC762" t="str">
        <f>""</f>
        <v/>
      </c>
      <c r="DD762" t="str">
        <f>""</f>
        <v/>
      </c>
      <c r="DE762" t="str">
        <f>""</f>
        <v/>
      </c>
      <c r="DF762" t="str">
        <f>""</f>
        <v/>
      </c>
      <c r="DG762" t="str">
        <f>""</f>
        <v/>
      </c>
      <c r="DH762" t="str">
        <f>""</f>
        <v/>
      </c>
      <c r="DI762" t="str">
        <f>""</f>
        <v/>
      </c>
      <c r="DJ762" t="str">
        <f>""</f>
        <v/>
      </c>
      <c r="DK762" t="str">
        <f>""</f>
        <v/>
      </c>
      <c r="DL762" t="str">
        <f>""</f>
        <v/>
      </c>
      <c r="DM762" t="str">
        <f>""</f>
        <v/>
      </c>
      <c r="DN762" t="str">
        <f>""</f>
        <v/>
      </c>
      <c r="DO762" t="str">
        <f>""</f>
        <v/>
      </c>
      <c r="DP762" t="str">
        <f>""</f>
        <v/>
      </c>
      <c r="DQ762" t="str">
        <f>""</f>
        <v/>
      </c>
      <c r="DR762" t="str">
        <f>""</f>
        <v/>
      </c>
      <c r="DS762" t="str">
        <f>""</f>
        <v/>
      </c>
      <c r="DT762" t="str">
        <f>""</f>
        <v/>
      </c>
      <c r="DU762" t="str">
        <f>""</f>
        <v/>
      </c>
    </row>
    <row r="763" spans="1:125" x14ac:dyDescent="0.25">
      <c r="A763" t="str">
        <f>$A$91</f>
        <v xml:space="preserve">    BYD Co Ltd</v>
      </c>
      <c r="B763" t="str">
        <f>$B$91</f>
        <v>1211 HK Equity</v>
      </c>
      <c r="C763" t="str">
        <f>$C$91</f>
        <v>EZ010</v>
      </c>
      <c r="D763" t="str">
        <f>$D$91</f>
        <v>BEST_EST_PE_NXT_YR</v>
      </c>
      <c r="E763" t="str">
        <f>$E$91</f>
        <v>Dynamic</v>
      </c>
      <c r="F763" t="str">
        <f ca="1">_xll.BDH($B$91,$C$91,$B$675,$B$676,CONCATENATE("Per=",$B$673),"Dts=H","Dir=H",CONCATENATE("Points=",$B$674),"Sort=R","Days=A","Fill=B",CONCATENATE("FX=", $B$672) )</f>
        <v>#N/A Connection</v>
      </c>
      <c r="BN763" t="str">
        <f>""</f>
        <v/>
      </c>
      <c r="BO763" t="str">
        <f>""</f>
        <v/>
      </c>
      <c r="BP763" t="str">
        <f>""</f>
        <v/>
      </c>
      <c r="BQ763" t="str">
        <f>""</f>
        <v/>
      </c>
      <c r="BR763" t="str">
        <f>""</f>
        <v/>
      </c>
      <c r="BS763" t="str">
        <f>""</f>
        <v/>
      </c>
      <c r="BT763" t="str">
        <f>""</f>
        <v/>
      </c>
      <c r="BU763" t="str">
        <f>""</f>
        <v/>
      </c>
      <c r="BV763" t="str">
        <f>""</f>
        <v/>
      </c>
      <c r="BW763" t="str">
        <f>""</f>
        <v/>
      </c>
      <c r="BX763" t="str">
        <f>""</f>
        <v/>
      </c>
      <c r="BY763" t="str">
        <f>""</f>
        <v/>
      </c>
      <c r="BZ763" t="str">
        <f>""</f>
        <v/>
      </c>
      <c r="CA763" t="str">
        <f>""</f>
        <v/>
      </c>
      <c r="CB763" t="str">
        <f>""</f>
        <v/>
      </c>
      <c r="CC763" t="str">
        <f>""</f>
        <v/>
      </c>
      <c r="CD763" t="str">
        <f>""</f>
        <v/>
      </c>
      <c r="CE763" t="str">
        <f>""</f>
        <v/>
      </c>
      <c r="CF763" t="str">
        <f>""</f>
        <v/>
      </c>
      <c r="CG763" t="str">
        <f>""</f>
        <v/>
      </c>
      <c r="CH763" t="str">
        <f>""</f>
        <v/>
      </c>
      <c r="CI763" t="str">
        <f>""</f>
        <v/>
      </c>
      <c r="CJ763" t="str">
        <f>""</f>
        <v/>
      </c>
      <c r="CK763" t="str">
        <f>""</f>
        <v/>
      </c>
      <c r="CL763" t="str">
        <f>""</f>
        <v/>
      </c>
      <c r="CM763" t="str">
        <f>""</f>
        <v/>
      </c>
      <c r="CN763" t="str">
        <f>""</f>
        <v/>
      </c>
      <c r="CO763" t="str">
        <f>""</f>
        <v/>
      </c>
      <c r="CP763" t="str">
        <f>""</f>
        <v/>
      </c>
      <c r="CQ763" t="str">
        <f>""</f>
        <v/>
      </c>
      <c r="CR763" t="str">
        <f>""</f>
        <v/>
      </c>
      <c r="CS763" t="str">
        <f>""</f>
        <v/>
      </c>
      <c r="CT763" t="str">
        <f>""</f>
        <v/>
      </c>
      <c r="CU763" t="str">
        <f>""</f>
        <v/>
      </c>
      <c r="CV763" t="str">
        <f>""</f>
        <v/>
      </c>
      <c r="CW763" t="str">
        <f>""</f>
        <v/>
      </c>
      <c r="CX763" t="str">
        <f>""</f>
        <v/>
      </c>
      <c r="CY763" t="str">
        <f>""</f>
        <v/>
      </c>
      <c r="CZ763" t="str">
        <f>""</f>
        <v/>
      </c>
      <c r="DA763" t="str">
        <f>""</f>
        <v/>
      </c>
      <c r="DB763" t="str">
        <f>""</f>
        <v/>
      </c>
      <c r="DC763" t="str">
        <f>""</f>
        <v/>
      </c>
      <c r="DD763" t="str">
        <f>""</f>
        <v/>
      </c>
      <c r="DE763" t="str">
        <f>""</f>
        <v/>
      </c>
      <c r="DF763" t="str">
        <f>""</f>
        <v/>
      </c>
      <c r="DG763" t="str">
        <f>""</f>
        <v/>
      </c>
      <c r="DH763" t="str">
        <f>""</f>
        <v/>
      </c>
      <c r="DI763" t="str">
        <f>""</f>
        <v/>
      </c>
      <c r="DJ763" t="str">
        <f>""</f>
        <v/>
      </c>
      <c r="DK763" t="str">
        <f>""</f>
        <v/>
      </c>
      <c r="DL763" t="str">
        <f>""</f>
        <v/>
      </c>
      <c r="DM763" t="str">
        <f>""</f>
        <v/>
      </c>
      <c r="DN763" t="str">
        <f>""</f>
        <v/>
      </c>
      <c r="DO763" t="str">
        <f>""</f>
        <v/>
      </c>
      <c r="DP763" t="str">
        <f>""</f>
        <v/>
      </c>
      <c r="DQ763" t="str">
        <f>""</f>
        <v/>
      </c>
      <c r="DR763" t="str">
        <f>""</f>
        <v/>
      </c>
      <c r="DS763" t="str">
        <f>""</f>
        <v/>
      </c>
      <c r="DT763" t="str">
        <f>""</f>
        <v/>
      </c>
      <c r="DU763" t="str">
        <f>""</f>
        <v/>
      </c>
    </row>
    <row r="764" spans="1:125" x14ac:dyDescent="0.25">
      <c r="A764" t="str">
        <f>$A$92</f>
        <v xml:space="preserve">    Chongqing Changan Automobile Co Ltd</v>
      </c>
      <c r="B764" t="str">
        <f>$B$92</f>
        <v>200625 CH Equity</v>
      </c>
      <c r="C764" t="str">
        <f>$C$92</f>
        <v>EZ010</v>
      </c>
      <c r="D764" t="str">
        <f>$D$92</f>
        <v>BEST_EST_PE_NXT_YR</v>
      </c>
      <c r="E764" t="str">
        <f>$E$92</f>
        <v>Dynamic</v>
      </c>
      <c r="F764" t="str">
        <f ca="1">_xll.BDH($B$92,$C$92,$B$675,$B$676,CONCATENATE("Per=",$B$673),"Dts=H","Dir=H",CONCATENATE("Points=",$B$674),"Sort=R","Days=A","Fill=B",CONCATENATE("FX=", $B$672) )</f>
        <v>#N/A Connection</v>
      </c>
      <c r="BN764" t="str">
        <f>""</f>
        <v/>
      </c>
      <c r="BO764" t="str">
        <f>""</f>
        <v/>
      </c>
      <c r="BP764" t="str">
        <f>""</f>
        <v/>
      </c>
      <c r="BQ764" t="str">
        <f>""</f>
        <v/>
      </c>
      <c r="BR764" t="str">
        <f>""</f>
        <v/>
      </c>
      <c r="BS764" t="str">
        <f>""</f>
        <v/>
      </c>
      <c r="BT764" t="str">
        <f>""</f>
        <v/>
      </c>
      <c r="BU764" t="str">
        <f>""</f>
        <v/>
      </c>
      <c r="BV764" t="str">
        <f>""</f>
        <v/>
      </c>
      <c r="BW764" t="str">
        <f>""</f>
        <v/>
      </c>
      <c r="BX764" t="str">
        <f>""</f>
        <v/>
      </c>
      <c r="BY764" t="str">
        <f>""</f>
        <v/>
      </c>
      <c r="BZ764" t="str">
        <f>""</f>
        <v/>
      </c>
      <c r="CA764" t="str">
        <f>""</f>
        <v/>
      </c>
      <c r="CB764" t="str">
        <f>""</f>
        <v/>
      </c>
      <c r="CC764" t="str">
        <f>""</f>
        <v/>
      </c>
      <c r="CD764" t="str">
        <f>""</f>
        <v/>
      </c>
      <c r="CE764" t="str">
        <f>""</f>
        <v/>
      </c>
      <c r="CF764" t="str">
        <f>""</f>
        <v/>
      </c>
      <c r="CG764" t="str">
        <f>""</f>
        <v/>
      </c>
      <c r="CH764" t="str">
        <f>""</f>
        <v/>
      </c>
      <c r="CI764" t="str">
        <f>""</f>
        <v/>
      </c>
      <c r="CJ764" t="str">
        <f>""</f>
        <v/>
      </c>
      <c r="CK764" t="str">
        <f>""</f>
        <v/>
      </c>
      <c r="CL764" t="str">
        <f>""</f>
        <v/>
      </c>
      <c r="CM764" t="str">
        <f>""</f>
        <v/>
      </c>
      <c r="CN764" t="str">
        <f>""</f>
        <v/>
      </c>
      <c r="CO764" t="str">
        <f>""</f>
        <v/>
      </c>
      <c r="CP764" t="str">
        <f>""</f>
        <v/>
      </c>
      <c r="CQ764" t="str">
        <f>""</f>
        <v/>
      </c>
      <c r="CR764" t="str">
        <f>""</f>
        <v/>
      </c>
      <c r="CS764" t="str">
        <f>""</f>
        <v/>
      </c>
      <c r="CT764" t="str">
        <f>""</f>
        <v/>
      </c>
      <c r="CU764" t="str">
        <f>""</f>
        <v/>
      </c>
      <c r="CV764" t="str">
        <f>""</f>
        <v/>
      </c>
      <c r="CW764" t="str">
        <f>""</f>
        <v/>
      </c>
      <c r="CX764" t="str">
        <f>""</f>
        <v/>
      </c>
      <c r="CY764" t="str">
        <f>""</f>
        <v/>
      </c>
      <c r="CZ764" t="str">
        <f>""</f>
        <v/>
      </c>
      <c r="DA764" t="str">
        <f>""</f>
        <v/>
      </c>
      <c r="DB764" t="str">
        <f>""</f>
        <v/>
      </c>
      <c r="DC764" t="str">
        <f>""</f>
        <v/>
      </c>
      <c r="DD764" t="str">
        <f>""</f>
        <v/>
      </c>
      <c r="DE764" t="str">
        <f>""</f>
        <v/>
      </c>
      <c r="DF764" t="str">
        <f>""</f>
        <v/>
      </c>
      <c r="DG764" t="str">
        <f>""</f>
        <v/>
      </c>
      <c r="DH764" t="str">
        <f>""</f>
        <v/>
      </c>
      <c r="DI764" t="str">
        <f>""</f>
        <v/>
      </c>
      <c r="DJ764" t="str">
        <f>""</f>
        <v/>
      </c>
      <c r="DK764" t="str">
        <f>""</f>
        <v/>
      </c>
      <c r="DL764" t="str">
        <f>""</f>
        <v/>
      </c>
      <c r="DM764" t="str">
        <f>""</f>
        <v/>
      </c>
      <c r="DN764" t="str">
        <f>""</f>
        <v/>
      </c>
      <c r="DO764" t="str">
        <f>""</f>
        <v/>
      </c>
      <c r="DP764" t="str">
        <f>""</f>
        <v/>
      </c>
      <c r="DQ764" t="str">
        <f>""</f>
        <v/>
      </c>
      <c r="DR764" t="str">
        <f>""</f>
        <v/>
      </c>
      <c r="DS764" t="str">
        <f>""</f>
        <v/>
      </c>
      <c r="DT764" t="str">
        <f>""</f>
        <v/>
      </c>
      <c r="DU764" t="str">
        <f>""</f>
        <v/>
      </c>
    </row>
    <row r="765" spans="1:125" x14ac:dyDescent="0.25">
      <c r="A765" t="str">
        <f>$A$93</f>
        <v xml:space="preserve">    Daihatsu Motor Co Ltd</v>
      </c>
      <c r="B765" t="str">
        <f>$B$93</f>
        <v>7262 JP Equity</v>
      </c>
      <c r="C765" t="str">
        <f>$C$93</f>
        <v>EZ010</v>
      </c>
      <c r="D765" t="str">
        <f>$D$93</f>
        <v>BEST_EST_PE_NXT_YR</v>
      </c>
      <c r="E765" t="str">
        <f>$E$93</f>
        <v>Dynamic</v>
      </c>
      <c r="F765" t="str">
        <f ca="1">_xll.BDH($B$93,$C$93,$B$675,$B$676,CONCATENATE("Per=",$B$673),"Dts=H","Dir=H",CONCATENATE("Points=",$B$674),"Sort=R","Days=A","Fill=B",CONCATENATE("FX=", $B$672) )</f>
        <v>#N/A Connection</v>
      </c>
      <c r="BN765" t="str">
        <f>""</f>
        <v/>
      </c>
      <c r="BO765" t="str">
        <f>""</f>
        <v/>
      </c>
      <c r="BP765" t="str">
        <f>""</f>
        <v/>
      </c>
      <c r="BQ765" t="str">
        <f>""</f>
        <v/>
      </c>
      <c r="BR765" t="str">
        <f>""</f>
        <v/>
      </c>
      <c r="BS765" t="str">
        <f>""</f>
        <v/>
      </c>
      <c r="BT765" t="str">
        <f>""</f>
        <v/>
      </c>
      <c r="BU765" t="str">
        <f>""</f>
        <v/>
      </c>
      <c r="BV765" t="str">
        <f>""</f>
        <v/>
      </c>
      <c r="BW765" t="str">
        <f>""</f>
        <v/>
      </c>
      <c r="BX765" t="str">
        <f>""</f>
        <v/>
      </c>
      <c r="BY765" t="str">
        <f>""</f>
        <v/>
      </c>
      <c r="BZ765" t="str">
        <f>""</f>
        <v/>
      </c>
      <c r="CA765" t="str">
        <f>""</f>
        <v/>
      </c>
      <c r="CB765" t="str">
        <f>""</f>
        <v/>
      </c>
      <c r="CC765" t="str">
        <f>""</f>
        <v/>
      </c>
      <c r="CD765" t="str">
        <f>""</f>
        <v/>
      </c>
      <c r="CE765" t="str">
        <f>""</f>
        <v/>
      </c>
      <c r="CF765" t="str">
        <f>""</f>
        <v/>
      </c>
      <c r="CG765" t="str">
        <f>""</f>
        <v/>
      </c>
      <c r="CH765" t="str">
        <f>""</f>
        <v/>
      </c>
      <c r="CI765" t="str">
        <f>""</f>
        <v/>
      </c>
      <c r="CJ765" t="str">
        <f>""</f>
        <v/>
      </c>
      <c r="CK765" t="str">
        <f>""</f>
        <v/>
      </c>
      <c r="CL765" t="str">
        <f>""</f>
        <v/>
      </c>
      <c r="CM765" t="str">
        <f>""</f>
        <v/>
      </c>
      <c r="CN765" t="str">
        <f>""</f>
        <v/>
      </c>
      <c r="CO765" t="str">
        <f>""</f>
        <v/>
      </c>
      <c r="CP765" t="str">
        <f>""</f>
        <v/>
      </c>
      <c r="CQ765" t="str">
        <f>""</f>
        <v/>
      </c>
      <c r="CR765" t="str">
        <f>""</f>
        <v/>
      </c>
      <c r="CS765" t="str">
        <f>""</f>
        <v/>
      </c>
      <c r="CT765" t="str">
        <f>""</f>
        <v/>
      </c>
      <c r="CU765" t="str">
        <f>""</f>
        <v/>
      </c>
      <c r="CV765" t="str">
        <f>""</f>
        <v/>
      </c>
      <c r="CW765" t="str">
        <f>""</f>
        <v/>
      </c>
      <c r="CX765" t="str">
        <f>""</f>
        <v/>
      </c>
      <c r="CY765" t="str">
        <f>""</f>
        <v/>
      </c>
      <c r="CZ765" t="str">
        <f>""</f>
        <v/>
      </c>
      <c r="DA765" t="str">
        <f>""</f>
        <v/>
      </c>
      <c r="DB765" t="str">
        <f>""</f>
        <v/>
      </c>
      <c r="DC765" t="str">
        <f>""</f>
        <v/>
      </c>
      <c r="DD765" t="str">
        <f>""</f>
        <v/>
      </c>
      <c r="DE765" t="str">
        <f>""</f>
        <v/>
      </c>
      <c r="DF765" t="str">
        <f>""</f>
        <v/>
      </c>
      <c r="DG765" t="str">
        <f>""</f>
        <v/>
      </c>
      <c r="DH765" t="str">
        <f>""</f>
        <v/>
      </c>
      <c r="DI765" t="str">
        <f>""</f>
        <v/>
      </c>
      <c r="DJ765" t="str">
        <f>""</f>
        <v/>
      </c>
      <c r="DK765" t="str">
        <f>""</f>
        <v/>
      </c>
      <c r="DL765" t="str">
        <f>""</f>
        <v/>
      </c>
      <c r="DM765" t="str">
        <f>""</f>
        <v/>
      </c>
      <c r="DN765" t="str">
        <f>""</f>
        <v/>
      </c>
      <c r="DO765" t="str">
        <f>""</f>
        <v/>
      </c>
      <c r="DP765" t="str">
        <f>""</f>
        <v/>
      </c>
      <c r="DQ765" t="str">
        <f>""</f>
        <v/>
      </c>
      <c r="DR765" t="str">
        <f>""</f>
        <v/>
      </c>
      <c r="DS765" t="str">
        <f>""</f>
        <v/>
      </c>
      <c r="DT765" t="str">
        <f>""</f>
        <v/>
      </c>
      <c r="DU765" t="str">
        <f>""</f>
        <v/>
      </c>
    </row>
    <row r="766" spans="1:125" x14ac:dyDescent="0.25">
      <c r="A766" t="str">
        <f>$A$94</f>
        <v xml:space="preserve">    Daimler AG</v>
      </c>
      <c r="B766" t="str">
        <f>$B$94</f>
        <v>DAI GR Equity</v>
      </c>
      <c r="C766" t="str">
        <f>$C$94</f>
        <v>EZ010</v>
      </c>
      <c r="D766" t="str">
        <f>$D$94</f>
        <v>BEST_EST_PE_NXT_YR</v>
      </c>
      <c r="E766" t="str">
        <f>$E$94</f>
        <v>Dynamic</v>
      </c>
      <c r="F766" t="str">
        <f ca="1">_xll.BDH($B$94,$C$94,$B$675,$B$676,CONCATENATE("Per=",$B$673),"Dts=H","Dir=H",CONCATENATE("Points=",$B$674),"Sort=R","Days=A","Fill=B",CONCATENATE("FX=", $B$672) )</f>
        <v>#N/A Connection</v>
      </c>
      <c r="BN766" t="str">
        <f>""</f>
        <v/>
      </c>
      <c r="BO766" t="str">
        <f>""</f>
        <v/>
      </c>
      <c r="BP766" t="str">
        <f>""</f>
        <v/>
      </c>
      <c r="BQ766" t="str">
        <f>""</f>
        <v/>
      </c>
      <c r="BR766" t="str">
        <f>""</f>
        <v/>
      </c>
      <c r="BS766" t="str">
        <f>""</f>
        <v/>
      </c>
      <c r="BT766" t="str">
        <f>""</f>
        <v/>
      </c>
      <c r="BU766" t="str">
        <f>""</f>
        <v/>
      </c>
      <c r="BV766" t="str">
        <f>""</f>
        <v/>
      </c>
      <c r="BW766" t="str">
        <f>""</f>
        <v/>
      </c>
      <c r="BX766" t="str">
        <f>""</f>
        <v/>
      </c>
      <c r="BY766" t="str">
        <f>""</f>
        <v/>
      </c>
      <c r="BZ766" t="str">
        <f>""</f>
        <v/>
      </c>
      <c r="CA766" t="str">
        <f>""</f>
        <v/>
      </c>
      <c r="CB766" t="str">
        <f>""</f>
        <v/>
      </c>
      <c r="CC766" t="str">
        <f>""</f>
        <v/>
      </c>
      <c r="CD766" t="str">
        <f>""</f>
        <v/>
      </c>
      <c r="CE766" t="str">
        <f>""</f>
        <v/>
      </c>
      <c r="CF766" t="str">
        <f>""</f>
        <v/>
      </c>
      <c r="CG766" t="str">
        <f>""</f>
        <v/>
      </c>
      <c r="CH766" t="str">
        <f>""</f>
        <v/>
      </c>
      <c r="CI766" t="str">
        <f>""</f>
        <v/>
      </c>
      <c r="CJ766" t="str">
        <f>""</f>
        <v/>
      </c>
      <c r="CK766" t="str">
        <f>""</f>
        <v/>
      </c>
      <c r="CL766" t="str">
        <f>""</f>
        <v/>
      </c>
      <c r="CM766" t="str">
        <f>""</f>
        <v/>
      </c>
      <c r="CN766" t="str">
        <f>""</f>
        <v/>
      </c>
      <c r="CO766" t="str">
        <f>""</f>
        <v/>
      </c>
      <c r="CP766" t="str">
        <f>""</f>
        <v/>
      </c>
      <c r="CQ766" t="str">
        <f>""</f>
        <v/>
      </c>
      <c r="CR766" t="str">
        <f>""</f>
        <v/>
      </c>
      <c r="CS766" t="str">
        <f>""</f>
        <v/>
      </c>
      <c r="CT766" t="str">
        <f>""</f>
        <v/>
      </c>
      <c r="CU766" t="str">
        <f>""</f>
        <v/>
      </c>
      <c r="CV766" t="str">
        <f>""</f>
        <v/>
      </c>
      <c r="CW766" t="str">
        <f>""</f>
        <v/>
      </c>
      <c r="CX766" t="str">
        <f>""</f>
        <v/>
      </c>
      <c r="CY766" t="str">
        <f>""</f>
        <v/>
      </c>
      <c r="CZ766" t="str">
        <f>""</f>
        <v/>
      </c>
      <c r="DA766" t="str">
        <f>""</f>
        <v/>
      </c>
      <c r="DB766" t="str">
        <f>""</f>
        <v/>
      </c>
      <c r="DC766" t="str">
        <f>""</f>
        <v/>
      </c>
      <c r="DD766" t="str">
        <f>""</f>
        <v/>
      </c>
      <c r="DE766" t="str">
        <f>""</f>
        <v/>
      </c>
      <c r="DF766" t="str">
        <f>""</f>
        <v/>
      </c>
      <c r="DG766" t="str">
        <f>""</f>
        <v/>
      </c>
      <c r="DH766" t="str">
        <f>""</f>
        <v/>
      </c>
      <c r="DI766" t="str">
        <f>""</f>
        <v/>
      </c>
      <c r="DJ766" t="str">
        <f>""</f>
        <v/>
      </c>
      <c r="DK766" t="str">
        <f>""</f>
        <v/>
      </c>
      <c r="DL766" t="str">
        <f>""</f>
        <v/>
      </c>
      <c r="DM766" t="str">
        <f>""</f>
        <v/>
      </c>
      <c r="DN766" t="str">
        <f>""</f>
        <v/>
      </c>
      <c r="DO766" t="str">
        <f>""</f>
        <v/>
      </c>
      <c r="DP766" t="str">
        <f>""</f>
        <v/>
      </c>
      <c r="DQ766" t="str">
        <f>""</f>
        <v/>
      </c>
      <c r="DR766" t="str">
        <f>""</f>
        <v/>
      </c>
      <c r="DS766" t="str">
        <f>""</f>
        <v/>
      </c>
      <c r="DT766" t="str">
        <f>""</f>
        <v/>
      </c>
      <c r="DU766" t="str">
        <f>""</f>
        <v/>
      </c>
    </row>
    <row r="767" spans="1:125" x14ac:dyDescent="0.25">
      <c r="A767" t="str">
        <f>$A$95</f>
        <v xml:space="preserve">    Dongfeng Motor Group Co Ltd</v>
      </c>
      <c r="B767" t="str">
        <f>$B$95</f>
        <v>489 HK Equity</v>
      </c>
      <c r="C767" t="str">
        <f>$C$95</f>
        <v>EZ010</v>
      </c>
      <c r="D767" t="str">
        <f>$D$95</f>
        <v>BEST_EST_PE_NXT_YR</v>
      </c>
      <c r="E767" t="str">
        <f>$E$95</f>
        <v>Dynamic</v>
      </c>
      <c r="F767" t="str">
        <f ca="1">_xll.BDH($B$95,$C$95,$B$675,$B$676,CONCATENATE("Per=",$B$673),"Dts=H","Dir=H",CONCATENATE("Points=",$B$674),"Sort=R","Days=A","Fill=B",CONCATENATE("FX=", $B$672) )</f>
        <v>#N/A Connection</v>
      </c>
      <c r="BN767" t="str">
        <f>""</f>
        <v/>
      </c>
      <c r="BO767" t="str">
        <f>""</f>
        <v/>
      </c>
      <c r="BP767" t="str">
        <f>""</f>
        <v/>
      </c>
      <c r="BQ767" t="str">
        <f>""</f>
        <v/>
      </c>
      <c r="BR767" t="str">
        <f>""</f>
        <v/>
      </c>
      <c r="BS767" t="str">
        <f>""</f>
        <v/>
      </c>
      <c r="BT767" t="str">
        <f>""</f>
        <v/>
      </c>
      <c r="BU767" t="str">
        <f>""</f>
        <v/>
      </c>
      <c r="BV767" t="str">
        <f>""</f>
        <v/>
      </c>
      <c r="BW767" t="str">
        <f>""</f>
        <v/>
      </c>
      <c r="BX767" t="str">
        <f>""</f>
        <v/>
      </c>
      <c r="BY767" t="str">
        <f>""</f>
        <v/>
      </c>
      <c r="BZ767" t="str">
        <f>""</f>
        <v/>
      </c>
      <c r="CA767" t="str">
        <f>""</f>
        <v/>
      </c>
      <c r="CB767" t="str">
        <f>""</f>
        <v/>
      </c>
      <c r="CC767" t="str">
        <f>""</f>
        <v/>
      </c>
      <c r="CD767" t="str">
        <f>""</f>
        <v/>
      </c>
      <c r="CE767" t="str">
        <f>""</f>
        <v/>
      </c>
      <c r="CF767" t="str">
        <f>""</f>
        <v/>
      </c>
      <c r="CG767" t="str">
        <f>""</f>
        <v/>
      </c>
      <c r="CH767" t="str">
        <f>""</f>
        <v/>
      </c>
      <c r="CI767" t="str">
        <f>""</f>
        <v/>
      </c>
      <c r="CJ767" t="str">
        <f>""</f>
        <v/>
      </c>
      <c r="CK767" t="str">
        <f>""</f>
        <v/>
      </c>
      <c r="CL767" t="str">
        <f>""</f>
        <v/>
      </c>
      <c r="CM767" t="str">
        <f>""</f>
        <v/>
      </c>
      <c r="CN767" t="str">
        <f>""</f>
        <v/>
      </c>
      <c r="CO767" t="str">
        <f>""</f>
        <v/>
      </c>
      <c r="CP767" t="str">
        <f>""</f>
        <v/>
      </c>
      <c r="CQ767" t="str">
        <f>""</f>
        <v/>
      </c>
      <c r="CR767" t="str">
        <f>""</f>
        <v/>
      </c>
      <c r="CS767" t="str">
        <f>""</f>
        <v/>
      </c>
      <c r="CT767" t="str">
        <f>""</f>
        <v/>
      </c>
      <c r="CU767" t="str">
        <f>""</f>
        <v/>
      </c>
      <c r="CV767" t="str">
        <f>""</f>
        <v/>
      </c>
      <c r="CW767" t="str">
        <f>""</f>
        <v/>
      </c>
      <c r="CX767" t="str">
        <f>""</f>
        <v/>
      </c>
      <c r="CY767" t="str">
        <f>""</f>
        <v/>
      </c>
      <c r="CZ767" t="str">
        <f>""</f>
        <v/>
      </c>
      <c r="DA767" t="str">
        <f>""</f>
        <v/>
      </c>
      <c r="DB767" t="str">
        <f>""</f>
        <v/>
      </c>
      <c r="DC767" t="str">
        <f>""</f>
        <v/>
      </c>
      <c r="DD767" t="str">
        <f>""</f>
        <v/>
      </c>
      <c r="DE767" t="str">
        <f>""</f>
        <v/>
      </c>
      <c r="DF767" t="str">
        <f>""</f>
        <v/>
      </c>
      <c r="DG767" t="str">
        <f>""</f>
        <v/>
      </c>
      <c r="DH767" t="str">
        <f>""</f>
        <v/>
      </c>
      <c r="DI767" t="str">
        <f>""</f>
        <v/>
      </c>
      <c r="DJ767" t="str">
        <f>""</f>
        <v/>
      </c>
      <c r="DK767" t="str">
        <f>""</f>
        <v/>
      </c>
      <c r="DL767" t="str">
        <f>""</f>
        <v/>
      </c>
      <c r="DM767" t="str">
        <f>""</f>
        <v/>
      </c>
      <c r="DN767" t="str">
        <f>""</f>
        <v/>
      </c>
      <c r="DO767" t="str">
        <f>""</f>
        <v/>
      </c>
      <c r="DP767" t="str">
        <f>""</f>
        <v/>
      </c>
      <c r="DQ767" t="str">
        <f>""</f>
        <v/>
      </c>
      <c r="DR767" t="str">
        <f>""</f>
        <v/>
      </c>
      <c r="DS767" t="str">
        <f>""</f>
        <v/>
      </c>
      <c r="DT767" t="str">
        <f>""</f>
        <v/>
      </c>
      <c r="DU767" t="str">
        <f>""</f>
        <v/>
      </c>
    </row>
    <row r="768" spans="1:125" x14ac:dyDescent="0.25">
      <c r="A768" t="str">
        <f>$A$96</f>
        <v xml:space="preserve">    DRB-Hicom Bhd</v>
      </c>
      <c r="B768" t="str">
        <f>$B$96</f>
        <v>DRB MK Equity</v>
      </c>
      <c r="C768" t="str">
        <f>$C$96</f>
        <v>EZ010</v>
      </c>
      <c r="D768" t="str">
        <f>$D$96</f>
        <v>BEST_EST_PE_NXT_YR</v>
      </c>
      <c r="E768" t="str">
        <f>$E$96</f>
        <v>Dynamic</v>
      </c>
      <c r="F768" t="str">
        <f ca="1">_xll.BDH($B$96,$C$96,$B$675,$B$676,CONCATENATE("Per=",$B$673),"Dts=H","Dir=H",CONCATENATE("Points=",$B$674),"Sort=R","Days=A","Fill=B",CONCATENATE("FX=", $B$672) )</f>
        <v>#N/A Connection</v>
      </c>
      <c r="BN768" t="str">
        <f>""</f>
        <v/>
      </c>
      <c r="BO768" t="str">
        <f>""</f>
        <v/>
      </c>
      <c r="BP768" t="str">
        <f>""</f>
        <v/>
      </c>
      <c r="BQ768" t="str">
        <f>""</f>
        <v/>
      </c>
      <c r="BR768" t="str">
        <f>""</f>
        <v/>
      </c>
      <c r="BS768" t="str">
        <f>""</f>
        <v/>
      </c>
      <c r="BT768" t="str">
        <f>""</f>
        <v/>
      </c>
      <c r="BU768" t="str">
        <f>""</f>
        <v/>
      </c>
      <c r="BV768" t="str">
        <f>""</f>
        <v/>
      </c>
      <c r="BW768" t="str">
        <f>""</f>
        <v/>
      </c>
      <c r="BX768" t="str">
        <f>""</f>
        <v/>
      </c>
      <c r="BY768" t="str">
        <f>""</f>
        <v/>
      </c>
      <c r="BZ768" t="str">
        <f>""</f>
        <v/>
      </c>
      <c r="CA768" t="str">
        <f>""</f>
        <v/>
      </c>
      <c r="CB768" t="str">
        <f>""</f>
        <v/>
      </c>
      <c r="CC768" t="str">
        <f>""</f>
        <v/>
      </c>
      <c r="CD768" t="str">
        <f>""</f>
        <v/>
      </c>
      <c r="CE768" t="str">
        <f>""</f>
        <v/>
      </c>
      <c r="CF768" t="str">
        <f>""</f>
        <v/>
      </c>
      <c r="CG768" t="str">
        <f>""</f>
        <v/>
      </c>
      <c r="CH768" t="str">
        <f>""</f>
        <v/>
      </c>
      <c r="CI768" t="str">
        <f>""</f>
        <v/>
      </c>
      <c r="CJ768" t="str">
        <f>""</f>
        <v/>
      </c>
      <c r="CK768" t="str">
        <f>""</f>
        <v/>
      </c>
      <c r="CL768" t="str">
        <f>""</f>
        <v/>
      </c>
      <c r="CM768" t="str">
        <f>""</f>
        <v/>
      </c>
      <c r="CN768" t="str">
        <f>""</f>
        <v/>
      </c>
      <c r="CO768" t="str">
        <f>""</f>
        <v/>
      </c>
      <c r="CP768" t="str">
        <f>""</f>
        <v/>
      </c>
      <c r="CQ768" t="str">
        <f>""</f>
        <v/>
      </c>
      <c r="CR768" t="str">
        <f>""</f>
        <v/>
      </c>
      <c r="CS768" t="str">
        <f>""</f>
        <v/>
      </c>
      <c r="CT768" t="str">
        <f>""</f>
        <v/>
      </c>
      <c r="CU768" t="str">
        <f>""</f>
        <v/>
      </c>
      <c r="CV768" t="str">
        <f>""</f>
        <v/>
      </c>
      <c r="CW768" t="str">
        <f>""</f>
        <v/>
      </c>
      <c r="CX768" t="str">
        <f>""</f>
        <v/>
      </c>
      <c r="CY768" t="str">
        <f>""</f>
        <v/>
      </c>
      <c r="CZ768" t="str">
        <f>""</f>
        <v/>
      </c>
      <c r="DA768" t="str">
        <f>""</f>
        <v/>
      </c>
      <c r="DB768" t="str">
        <f>""</f>
        <v/>
      </c>
      <c r="DC768" t="str">
        <f>""</f>
        <v/>
      </c>
      <c r="DD768" t="str">
        <f>""</f>
        <v/>
      </c>
      <c r="DE768" t="str">
        <f>""</f>
        <v/>
      </c>
      <c r="DF768" t="str">
        <f>""</f>
        <v/>
      </c>
      <c r="DG768" t="str">
        <f>""</f>
        <v/>
      </c>
      <c r="DH768" t="str">
        <f>""</f>
        <v/>
      </c>
      <c r="DI768" t="str">
        <f>""</f>
        <v/>
      </c>
      <c r="DJ768" t="str">
        <f>""</f>
        <v/>
      </c>
      <c r="DK768" t="str">
        <f>""</f>
        <v/>
      </c>
      <c r="DL768" t="str">
        <f>""</f>
        <v/>
      </c>
      <c r="DM768" t="str">
        <f>""</f>
        <v/>
      </c>
      <c r="DN768" t="str">
        <f>""</f>
        <v/>
      </c>
      <c r="DO768" t="str">
        <f>""</f>
        <v/>
      </c>
      <c r="DP768" t="str">
        <f>""</f>
        <v/>
      </c>
      <c r="DQ768" t="str">
        <f>""</f>
        <v/>
      </c>
      <c r="DR768" t="str">
        <f>""</f>
        <v/>
      </c>
      <c r="DS768" t="str">
        <f>""</f>
        <v/>
      </c>
      <c r="DT768" t="str">
        <f>""</f>
        <v/>
      </c>
      <c r="DU768" t="str">
        <f>""</f>
        <v/>
      </c>
    </row>
    <row r="769" spans="1:125" x14ac:dyDescent="0.25">
      <c r="A769" t="str">
        <f>$A$97</f>
        <v xml:space="preserve">    FAW CAR Co Ltd</v>
      </c>
      <c r="B769" t="str">
        <f>$B$97</f>
        <v>000800 CH Equity</v>
      </c>
      <c r="C769" t="str">
        <f>$C$97</f>
        <v>EZ010</v>
      </c>
      <c r="D769" t="str">
        <f>$D$97</f>
        <v>BEST_EST_PE_NXT_YR</v>
      </c>
      <c r="E769" t="str">
        <f>$E$97</f>
        <v>Dynamic</v>
      </c>
      <c r="F769" t="str">
        <f ca="1">_xll.BDH($B$97,$C$97,$B$675,$B$676,CONCATENATE("Per=",$B$673),"Dts=H","Dir=H",CONCATENATE("Points=",$B$674),"Sort=R","Days=A","Fill=B",CONCATENATE("FX=", $B$672) )</f>
        <v>#N/A Connection</v>
      </c>
      <c r="BN769" t="str">
        <f>""</f>
        <v/>
      </c>
      <c r="BO769" t="str">
        <f>""</f>
        <v/>
      </c>
      <c r="BP769" t="str">
        <f>""</f>
        <v/>
      </c>
      <c r="BQ769" t="str">
        <f>""</f>
        <v/>
      </c>
      <c r="BR769" t="str">
        <f>""</f>
        <v/>
      </c>
      <c r="BS769" t="str">
        <f>""</f>
        <v/>
      </c>
      <c r="BT769" t="str">
        <f>""</f>
        <v/>
      </c>
      <c r="BU769" t="str">
        <f>""</f>
        <v/>
      </c>
      <c r="BV769" t="str">
        <f>""</f>
        <v/>
      </c>
      <c r="BW769" t="str">
        <f>""</f>
        <v/>
      </c>
      <c r="BX769" t="str">
        <f>""</f>
        <v/>
      </c>
      <c r="BY769" t="str">
        <f>""</f>
        <v/>
      </c>
      <c r="BZ769" t="str">
        <f>""</f>
        <v/>
      </c>
      <c r="CA769" t="str">
        <f>""</f>
        <v/>
      </c>
      <c r="CB769" t="str">
        <f>""</f>
        <v/>
      </c>
      <c r="CC769" t="str">
        <f>""</f>
        <v/>
      </c>
      <c r="CD769" t="str">
        <f>""</f>
        <v/>
      </c>
      <c r="CE769" t="str">
        <f>""</f>
        <v/>
      </c>
      <c r="CF769" t="str">
        <f>""</f>
        <v/>
      </c>
      <c r="CG769" t="str">
        <f>""</f>
        <v/>
      </c>
      <c r="CH769" t="str">
        <f>""</f>
        <v/>
      </c>
      <c r="CI769" t="str">
        <f>""</f>
        <v/>
      </c>
      <c r="CJ769" t="str">
        <f>""</f>
        <v/>
      </c>
      <c r="CK769" t="str">
        <f>""</f>
        <v/>
      </c>
      <c r="CL769" t="str">
        <f>""</f>
        <v/>
      </c>
      <c r="CM769" t="str">
        <f>""</f>
        <v/>
      </c>
      <c r="CN769" t="str">
        <f>""</f>
        <v/>
      </c>
      <c r="CO769" t="str">
        <f>""</f>
        <v/>
      </c>
      <c r="CP769" t="str">
        <f>""</f>
        <v/>
      </c>
      <c r="CQ769" t="str">
        <f>""</f>
        <v/>
      </c>
      <c r="CR769" t="str">
        <f>""</f>
        <v/>
      </c>
      <c r="CS769" t="str">
        <f>""</f>
        <v/>
      </c>
      <c r="CT769" t="str">
        <f>""</f>
        <v/>
      </c>
      <c r="CU769" t="str">
        <f>""</f>
        <v/>
      </c>
      <c r="CV769" t="str">
        <f>""</f>
        <v/>
      </c>
      <c r="CW769" t="str">
        <f>""</f>
        <v/>
      </c>
      <c r="CX769" t="str">
        <f>""</f>
        <v/>
      </c>
      <c r="CY769" t="str">
        <f>""</f>
        <v/>
      </c>
      <c r="CZ769" t="str">
        <f>""</f>
        <v/>
      </c>
      <c r="DA769" t="str">
        <f>""</f>
        <v/>
      </c>
      <c r="DB769" t="str">
        <f>""</f>
        <v/>
      </c>
      <c r="DC769" t="str">
        <f>""</f>
        <v/>
      </c>
      <c r="DD769" t="str">
        <f>""</f>
        <v/>
      </c>
      <c r="DE769" t="str">
        <f>""</f>
        <v/>
      </c>
      <c r="DF769" t="str">
        <f>""</f>
        <v/>
      </c>
      <c r="DG769" t="str">
        <f>""</f>
        <v/>
      </c>
      <c r="DH769" t="str">
        <f>""</f>
        <v/>
      </c>
      <c r="DI769" t="str">
        <f>""</f>
        <v/>
      </c>
      <c r="DJ769" t="str">
        <f>""</f>
        <v/>
      </c>
      <c r="DK769" t="str">
        <f>""</f>
        <v/>
      </c>
      <c r="DL769" t="str">
        <f>""</f>
        <v/>
      </c>
      <c r="DM769" t="str">
        <f>""</f>
        <v/>
      </c>
      <c r="DN769" t="str">
        <f>""</f>
        <v/>
      </c>
      <c r="DO769" t="str">
        <f>""</f>
        <v/>
      </c>
      <c r="DP769" t="str">
        <f>""</f>
        <v/>
      </c>
      <c r="DQ769" t="str">
        <f>""</f>
        <v/>
      </c>
      <c r="DR769" t="str">
        <f>""</f>
        <v/>
      </c>
      <c r="DS769" t="str">
        <f>""</f>
        <v/>
      </c>
      <c r="DT769" t="str">
        <f>""</f>
        <v/>
      </c>
      <c r="DU769" t="str">
        <f>""</f>
        <v/>
      </c>
    </row>
    <row r="770" spans="1:125" x14ac:dyDescent="0.25">
      <c r="A770" t="str">
        <f>$A$98</f>
        <v xml:space="preserve">    Fiat Chrysler Automobiles NV</v>
      </c>
      <c r="B770" t="str">
        <f>$B$98</f>
        <v>FCAU US Equity</v>
      </c>
      <c r="C770" t="str">
        <f>$C$98</f>
        <v>EZ010</v>
      </c>
      <c r="D770" t="str">
        <f>$D$98</f>
        <v>BEST_EST_PE_NXT_YR</v>
      </c>
      <c r="E770" t="str">
        <f>$E$98</f>
        <v>Dynamic</v>
      </c>
      <c r="F770" t="str">
        <f ca="1">_xll.BDH($B$98,$C$98,$B$675,$B$676,CONCATENATE("Per=",$B$673),"Dts=H","Dir=H",CONCATENATE("Points=",$B$674),"Sort=R","Days=A","Fill=B",CONCATENATE("FX=", $B$672) )</f>
        <v>#N/A Connection</v>
      </c>
      <c r="BN770" t="str">
        <f>""</f>
        <v/>
      </c>
      <c r="BO770" t="str">
        <f>""</f>
        <v/>
      </c>
      <c r="BP770" t="str">
        <f>""</f>
        <v/>
      </c>
      <c r="BQ770" t="str">
        <f>""</f>
        <v/>
      </c>
      <c r="BR770" t="str">
        <f>""</f>
        <v/>
      </c>
      <c r="BS770" t="str">
        <f>""</f>
        <v/>
      </c>
      <c r="BT770" t="str">
        <f>""</f>
        <v/>
      </c>
      <c r="BU770" t="str">
        <f>""</f>
        <v/>
      </c>
      <c r="BV770" t="str">
        <f>""</f>
        <v/>
      </c>
      <c r="BW770" t="str">
        <f>""</f>
        <v/>
      </c>
      <c r="BX770" t="str">
        <f>""</f>
        <v/>
      </c>
      <c r="BY770" t="str">
        <f>""</f>
        <v/>
      </c>
      <c r="BZ770" t="str">
        <f>""</f>
        <v/>
      </c>
      <c r="CA770" t="str">
        <f>""</f>
        <v/>
      </c>
      <c r="CB770" t="str">
        <f>""</f>
        <v/>
      </c>
      <c r="CC770" t="str">
        <f>""</f>
        <v/>
      </c>
      <c r="CD770" t="str">
        <f>""</f>
        <v/>
      </c>
      <c r="CE770" t="str">
        <f>""</f>
        <v/>
      </c>
      <c r="CF770" t="str">
        <f>""</f>
        <v/>
      </c>
      <c r="CG770" t="str">
        <f>""</f>
        <v/>
      </c>
      <c r="CH770" t="str">
        <f>""</f>
        <v/>
      </c>
      <c r="CI770" t="str">
        <f>""</f>
        <v/>
      </c>
      <c r="CJ770" t="str">
        <f>""</f>
        <v/>
      </c>
      <c r="CK770" t="str">
        <f>""</f>
        <v/>
      </c>
      <c r="CL770" t="str">
        <f>""</f>
        <v/>
      </c>
      <c r="CM770" t="str">
        <f>""</f>
        <v/>
      </c>
      <c r="CN770" t="str">
        <f>""</f>
        <v/>
      </c>
      <c r="CO770" t="str">
        <f>""</f>
        <v/>
      </c>
      <c r="CP770" t="str">
        <f>""</f>
        <v/>
      </c>
      <c r="CQ770" t="str">
        <f>""</f>
        <v/>
      </c>
      <c r="CR770" t="str">
        <f>""</f>
        <v/>
      </c>
      <c r="CS770" t="str">
        <f>""</f>
        <v/>
      </c>
      <c r="CT770" t="str">
        <f>""</f>
        <v/>
      </c>
      <c r="CU770" t="str">
        <f>""</f>
        <v/>
      </c>
      <c r="CV770" t="str">
        <f>""</f>
        <v/>
      </c>
      <c r="CW770" t="str">
        <f>""</f>
        <v/>
      </c>
      <c r="CX770" t="str">
        <f>""</f>
        <v/>
      </c>
      <c r="CY770" t="str">
        <f>""</f>
        <v/>
      </c>
      <c r="CZ770" t="str">
        <f>""</f>
        <v/>
      </c>
      <c r="DA770" t="str">
        <f>""</f>
        <v/>
      </c>
      <c r="DB770" t="str">
        <f>""</f>
        <v/>
      </c>
      <c r="DC770" t="str">
        <f>""</f>
        <v/>
      </c>
      <c r="DD770" t="str">
        <f>""</f>
        <v/>
      </c>
      <c r="DE770" t="str">
        <f>""</f>
        <v/>
      </c>
      <c r="DF770" t="str">
        <f>""</f>
        <v/>
      </c>
      <c r="DG770" t="str">
        <f>""</f>
        <v/>
      </c>
      <c r="DH770" t="str">
        <f>""</f>
        <v/>
      </c>
      <c r="DI770" t="str">
        <f>""</f>
        <v/>
      </c>
      <c r="DJ770" t="str">
        <f>""</f>
        <v/>
      </c>
      <c r="DK770" t="str">
        <f>""</f>
        <v/>
      </c>
      <c r="DL770" t="str">
        <f>""</f>
        <v/>
      </c>
      <c r="DM770" t="str">
        <f>""</f>
        <v/>
      </c>
      <c r="DN770" t="str">
        <f>""</f>
        <v/>
      </c>
      <c r="DO770" t="str">
        <f>""</f>
        <v/>
      </c>
      <c r="DP770" t="str">
        <f>""</f>
        <v/>
      </c>
      <c r="DQ770" t="str">
        <f>""</f>
        <v/>
      </c>
      <c r="DR770" t="str">
        <f>""</f>
        <v/>
      </c>
      <c r="DS770" t="str">
        <f>""</f>
        <v/>
      </c>
      <c r="DT770" t="str">
        <f>""</f>
        <v/>
      </c>
      <c r="DU770" t="str">
        <f>""</f>
        <v/>
      </c>
    </row>
    <row r="771" spans="1:125" x14ac:dyDescent="0.25">
      <c r="A771" t="str">
        <f>$A$99</f>
        <v xml:space="preserve">    Ford Motor Co</v>
      </c>
      <c r="B771" t="str">
        <f>$B$99</f>
        <v>F US Equity</v>
      </c>
      <c r="C771" t="str">
        <f>$C$99</f>
        <v>EZ010</v>
      </c>
      <c r="D771" t="str">
        <f>$D$99</f>
        <v>BEST_EST_PE_NXT_YR</v>
      </c>
      <c r="E771" t="str">
        <f>$E$99</f>
        <v>Dynamic</v>
      </c>
      <c r="F771" t="str">
        <f ca="1">_xll.BDH($B$99,$C$99,$B$675,$B$676,CONCATENATE("Per=",$B$673),"Dts=H","Dir=H",CONCATENATE("Points=",$B$674),"Sort=R","Days=A","Fill=B",CONCATENATE("FX=", $B$672) )</f>
        <v>#N/A Connection</v>
      </c>
      <c r="BN771" t="str">
        <f>""</f>
        <v/>
      </c>
      <c r="BO771" t="str">
        <f>""</f>
        <v/>
      </c>
      <c r="BP771" t="str">
        <f>""</f>
        <v/>
      </c>
      <c r="BQ771" t="str">
        <f>""</f>
        <v/>
      </c>
      <c r="BR771" t="str">
        <f>""</f>
        <v/>
      </c>
      <c r="BS771" t="str">
        <f>""</f>
        <v/>
      </c>
      <c r="BT771" t="str">
        <f>""</f>
        <v/>
      </c>
      <c r="BU771" t="str">
        <f>""</f>
        <v/>
      </c>
      <c r="BV771" t="str">
        <f>""</f>
        <v/>
      </c>
      <c r="BW771" t="str">
        <f>""</f>
        <v/>
      </c>
      <c r="BX771" t="str">
        <f>""</f>
        <v/>
      </c>
      <c r="BY771" t="str">
        <f>""</f>
        <v/>
      </c>
      <c r="BZ771" t="str">
        <f>""</f>
        <v/>
      </c>
      <c r="CA771" t="str">
        <f>""</f>
        <v/>
      </c>
      <c r="CB771" t="str">
        <f>""</f>
        <v/>
      </c>
      <c r="CC771" t="str">
        <f>""</f>
        <v/>
      </c>
      <c r="CD771" t="str">
        <f>""</f>
        <v/>
      </c>
      <c r="CE771" t="str">
        <f>""</f>
        <v/>
      </c>
      <c r="CF771" t="str">
        <f>""</f>
        <v/>
      </c>
      <c r="CG771" t="str">
        <f>""</f>
        <v/>
      </c>
      <c r="CH771" t="str">
        <f>""</f>
        <v/>
      </c>
      <c r="CI771" t="str">
        <f>""</f>
        <v/>
      </c>
      <c r="CJ771" t="str">
        <f>""</f>
        <v/>
      </c>
      <c r="CK771" t="str">
        <f>""</f>
        <v/>
      </c>
      <c r="CL771" t="str">
        <f>""</f>
        <v/>
      </c>
      <c r="CM771" t="str">
        <f>""</f>
        <v/>
      </c>
      <c r="CN771" t="str">
        <f>""</f>
        <v/>
      </c>
      <c r="CO771" t="str">
        <f>""</f>
        <v/>
      </c>
      <c r="CP771" t="str">
        <f>""</f>
        <v/>
      </c>
      <c r="CQ771" t="str">
        <f>""</f>
        <v/>
      </c>
      <c r="CR771" t="str">
        <f>""</f>
        <v/>
      </c>
      <c r="CS771" t="str">
        <f>""</f>
        <v/>
      </c>
      <c r="CT771" t="str">
        <f>""</f>
        <v/>
      </c>
      <c r="CU771" t="str">
        <f>""</f>
        <v/>
      </c>
      <c r="CV771" t="str">
        <f>""</f>
        <v/>
      </c>
      <c r="CW771" t="str">
        <f>""</f>
        <v/>
      </c>
      <c r="CX771" t="str">
        <f>""</f>
        <v/>
      </c>
      <c r="CY771" t="str">
        <f>""</f>
        <v/>
      </c>
      <c r="CZ771" t="str">
        <f>""</f>
        <v/>
      </c>
      <c r="DA771" t="str">
        <f>""</f>
        <v/>
      </c>
      <c r="DB771" t="str">
        <f>""</f>
        <v/>
      </c>
      <c r="DC771" t="str">
        <f>""</f>
        <v/>
      </c>
      <c r="DD771" t="str">
        <f>""</f>
        <v/>
      </c>
      <c r="DE771" t="str">
        <f>""</f>
        <v/>
      </c>
      <c r="DF771" t="str">
        <f>""</f>
        <v/>
      </c>
      <c r="DG771" t="str">
        <f>""</f>
        <v/>
      </c>
      <c r="DH771" t="str">
        <f>""</f>
        <v/>
      </c>
      <c r="DI771" t="str">
        <f>""</f>
        <v/>
      </c>
      <c r="DJ771" t="str">
        <f>""</f>
        <v/>
      </c>
      <c r="DK771" t="str">
        <f>""</f>
        <v/>
      </c>
      <c r="DL771" t="str">
        <f>""</f>
        <v/>
      </c>
      <c r="DM771" t="str">
        <f>""</f>
        <v/>
      </c>
      <c r="DN771" t="str">
        <f>""</f>
        <v/>
      </c>
      <c r="DO771" t="str">
        <f>""</f>
        <v/>
      </c>
      <c r="DP771" t="str">
        <f>""</f>
        <v/>
      </c>
      <c r="DQ771" t="str">
        <f>""</f>
        <v/>
      </c>
      <c r="DR771" t="str">
        <f>""</f>
        <v/>
      </c>
      <c r="DS771" t="str">
        <f>""</f>
        <v/>
      </c>
      <c r="DT771" t="str">
        <f>""</f>
        <v/>
      </c>
      <c r="DU771" t="str">
        <f>""</f>
        <v/>
      </c>
    </row>
    <row r="772" spans="1:125" x14ac:dyDescent="0.25">
      <c r="A772" t="str">
        <f>$A$100</f>
        <v xml:space="preserve">    Ford Otomotiv Sanayi AS</v>
      </c>
      <c r="B772" t="str">
        <f>$B$100</f>
        <v>FROTOTRY EO Equity</v>
      </c>
      <c r="C772" t="str">
        <f>$C$100</f>
        <v>EZ010</v>
      </c>
      <c r="D772" t="str">
        <f>$D$100</f>
        <v>BEST_EST_PE_NXT_YR</v>
      </c>
      <c r="E772" t="str">
        <f>$E$100</f>
        <v>Dynamic</v>
      </c>
      <c r="F772" t="str">
        <f ca="1">_xll.BDH($B$100,$C$100,$B$675,$B$676,CONCATENATE("Per=",$B$673),"Dts=H","Dir=H",CONCATENATE("Points=",$B$674),"Sort=R","Days=A","Fill=B",CONCATENATE("FX=", $B$672) )</f>
        <v>#N/A Connection</v>
      </c>
      <c r="BN772" t="str">
        <f>""</f>
        <v/>
      </c>
      <c r="BO772" t="str">
        <f>""</f>
        <v/>
      </c>
      <c r="BP772" t="str">
        <f>""</f>
        <v/>
      </c>
      <c r="BQ772" t="str">
        <f>""</f>
        <v/>
      </c>
      <c r="BR772" t="str">
        <f>""</f>
        <v/>
      </c>
      <c r="BS772" t="str">
        <f>""</f>
        <v/>
      </c>
      <c r="BT772" t="str">
        <f>""</f>
        <v/>
      </c>
      <c r="BU772" t="str">
        <f>""</f>
        <v/>
      </c>
      <c r="BV772" t="str">
        <f>""</f>
        <v/>
      </c>
      <c r="BW772" t="str">
        <f>""</f>
        <v/>
      </c>
      <c r="BX772" t="str">
        <f>""</f>
        <v/>
      </c>
      <c r="BY772" t="str">
        <f>""</f>
        <v/>
      </c>
      <c r="BZ772" t="str">
        <f>""</f>
        <v/>
      </c>
      <c r="CA772" t="str">
        <f>""</f>
        <v/>
      </c>
      <c r="CB772" t="str">
        <f>""</f>
        <v/>
      </c>
      <c r="CC772" t="str">
        <f>""</f>
        <v/>
      </c>
      <c r="CD772" t="str">
        <f>""</f>
        <v/>
      </c>
      <c r="CE772" t="str">
        <f>""</f>
        <v/>
      </c>
      <c r="CF772" t="str">
        <f>""</f>
        <v/>
      </c>
      <c r="CG772" t="str">
        <f>""</f>
        <v/>
      </c>
      <c r="CH772" t="str">
        <f>""</f>
        <v/>
      </c>
      <c r="CI772" t="str">
        <f>""</f>
        <v/>
      </c>
      <c r="CJ772" t="str">
        <f>""</f>
        <v/>
      </c>
      <c r="CK772" t="str">
        <f>""</f>
        <v/>
      </c>
      <c r="CL772" t="str">
        <f>""</f>
        <v/>
      </c>
      <c r="CM772" t="str">
        <f>""</f>
        <v/>
      </c>
      <c r="CN772" t="str">
        <f>""</f>
        <v/>
      </c>
      <c r="CO772" t="str">
        <f>""</f>
        <v/>
      </c>
      <c r="CP772" t="str">
        <f>""</f>
        <v/>
      </c>
      <c r="CQ772" t="str">
        <f>""</f>
        <v/>
      </c>
      <c r="CR772" t="str">
        <f>""</f>
        <v/>
      </c>
      <c r="CS772" t="str">
        <f>""</f>
        <v/>
      </c>
      <c r="CT772" t="str">
        <f>""</f>
        <v/>
      </c>
      <c r="CU772" t="str">
        <f>""</f>
        <v/>
      </c>
      <c r="CV772" t="str">
        <f>""</f>
        <v/>
      </c>
      <c r="CW772" t="str">
        <f>""</f>
        <v/>
      </c>
      <c r="CX772" t="str">
        <f>""</f>
        <v/>
      </c>
      <c r="CY772" t="str">
        <f>""</f>
        <v/>
      </c>
      <c r="CZ772" t="str">
        <f>""</f>
        <v/>
      </c>
      <c r="DA772" t="str">
        <f>""</f>
        <v/>
      </c>
      <c r="DB772" t="str">
        <f>""</f>
        <v/>
      </c>
      <c r="DC772" t="str">
        <f>""</f>
        <v/>
      </c>
      <c r="DD772" t="str">
        <f>""</f>
        <v/>
      </c>
      <c r="DE772" t="str">
        <f>""</f>
        <v/>
      </c>
      <c r="DF772" t="str">
        <f>""</f>
        <v/>
      </c>
      <c r="DG772" t="str">
        <f>""</f>
        <v/>
      </c>
      <c r="DH772" t="str">
        <f>""</f>
        <v/>
      </c>
      <c r="DI772" t="str">
        <f>""</f>
        <v/>
      </c>
      <c r="DJ772" t="str">
        <f>""</f>
        <v/>
      </c>
      <c r="DK772" t="str">
        <f>""</f>
        <v/>
      </c>
      <c r="DL772" t="str">
        <f>""</f>
        <v/>
      </c>
      <c r="DM772" t="str">
        <f>""</f>
        <v/>
      </c>
      <c r="DN772" t="str">
        <f>""</f>
        <v/>
      </c>
      <c r="DO772" t="str">
        <f>""</f>
        <v/>
      </c>
      <c r="DP772" t="str">
        <f>""</f>
        <v/>
      </c>
      <c r="DQ772" t="str">
        <f>""</f>
        <v/>
      </c>
      <c r="DR772" t="str">
        <f>""</f>
        <v/>
      </c>
      <c r="DS772" t="str">
        <f>""</f>
        <v/>
      </c>
      <c r="DT772" t="str">
        <f>""</f>
        <v/>
      </c>
      <c r="DU772" t="str">
        <f>""</f>
        <v/>
      </c>
    </row>
    <row r="773" spans="1:125" x14ac:dyDescent="0.25">
      <c r="A773" t="str">
        <f>$A$101</f>
        <v xml:space="preserve">    GAZ PJSC</v>
      </c>
      <c r="B773" t="str">
        <f>$B$101</f>
        <v>GAZA RM Equity</v>
      </c>
      <c r="C773" t="str">
        <f>$C$101</f>
        <v>EZ010</v>
      </c>
      <c r="D773" t="str">
        <f>$D$101</f>
        <v>BEST_EST_PE_NXT_YR</v>
      </c>
      <c r="E773" t="str">
        <f>$E$101</f>
        <v>Dynamic</v>
      </c>
      <c r="F773" t="str">
        <f ca="1">_xll.BDH($B$101,$C$101,$B$675,$B$676,CONCATENATE("Per=",$B$673),"Dts=H","Dir=H",CONCATENATE("Points=",$B$674),"Sort=R","Days=A","Fill=B",CONCATENATE("FX=", $B$672) )</f>
        <v>#N/A Connection</v>
      </c>
      <c r="BN773" t="str">
        <f>""</f>
        <v/>
      </c>
      <c r="BO773" t="str">
        <f>""</f>
        <v/>
      </c>
      <c r="BP773" t="str">
        <f>""</f>
        <v/>
      </c>
      <c r="BQ773" t="str">
        <f>""</f>
        <v/>
      </c>
      <c r="BR773" t="str">
        <f>""</f>
        <v/>
      </c>
      <c r="BS773" t="str">
        <f>""</f>
        <v/>
      </c>
      <c r="BT773" t="str">
        <f>""</f>
        <v/>
      </c>
      <c r="BU773" t="str">
        <f>""</f>
        <v/>
      </c>
      <c r="BV773" t="str">
        <f>""</f>
        <v/>
      </c>
      <c r="BW773" t="str">
        <f>""</f>
        <v/>
      </c>
      <c r="BX773" t="str">
        <f>""</f>
        <v/>
      </c>
      <c r="BY773" t="str">
        <f>""</f>
        <v/>
      </c>
      <c r="BZ773" t="str">
        <f>""</f>
        <v/>
      </c>
      <c r="CA773" t="str">
        <f>""</f>
        <v/>
      </c>
      <c r="CB773" t="str">
        <f>""</f>
        <v/>
      </c>
      <c r="CC773" t="str">
        <f>""</f>
        <v/>
      </c>
      <c r="CD773" t="str">
        <f>""</f>
        <v/>
      </c>
      <c r="CE773" t="str">
        <f>""</f>
        <v/>
      </c>
      <c r="CF773" t="str">
        <f>""</f>
        <v/>
      </c>
      <c r="CG773" t="str">
        <f>""</f>
        <v/>
      </c>
      <c r="CH773" t="str">
        <f>""</f>
        <v/>
      </c>
      <c r="CI773" t="str">
        <f>""</f>
        <v/>
      </c>
      <c r="CJ773" t="str">
        <f>""</f>
        <v/>
      </c>
      <c r="CK773" t="str">
        <f>""</f>
        <v/>
      </c>
      <c r="CL773" t="str">
        <f>""</f>
        <v/>
      </c>
      <c r="CM773" t="str">
        <f>""</f>
        <v/>
      </c>
      <c r="CN773" t="str">
        <f>""</f>
        <v/>
      </c>
      <c r="CO773" t="str">
        <f>""</f>
        <v/>
      </c>
      <c r="CP773" t="str">
        <f>""</f>
        <v/>
      </c>
      <c r="CQ773" t="str">
        <f>""</f>
        <v/>
      </c>
      <c r="CR773" t="str">
        <f>""</f>
        <v/>
      </c>
      <c r="CS773" t="str">
        <f>""</f>
        <v/>
      </c>
      <c r="CT773" t="str">
        <f>""</f>
        <v/>
      </c>
      <c r="CU773" t="str">
        <f>""</f>
        <v/>
      </c>
      <c r="CV773" t="str">
        <f>""</f>
        <v/>
      </c>
      <c r="CW773" t="str">
        <f>""</f>
        <v/>
      </c>
      <c r="CX773" t="str">
        <f>""</f>
        <v/>
      </c>
      <c r="CY773" t="str">
        <f>""</f>
        <v/>
      </c>
      <c r="CZ773" t="str">
        <f>""</f>
        <v/>
      </c>
      <c r="DA773" t="str">
        <f>""</f>
        <v/>
      </c>
      <c r="DB773" t="str">
        <f>""</f>
        <v/>
      </c>
      <c r="DC773" t="str">
        <f>""</f>
        <v/>
      </c>
      <c r="DD773" t="str">
        <f>""</f>
        <v/>
      </c>
      <c r="DE773" t="str">
        <f>""</f>
        <v/>
      </c>
      <c r="DF773" t="str">
        <f>""</f>
        <v/>
      </c>
      <c r="DG773" t="str">
        <f>""</f>
        <v/>
      </c>
      <c r="DH773" t="str">
        <f>""</f>
        <v/>
      </c>
      <c r="DI773" t="str">
        <f>""</f>
        <v/>
      </c>
      <c r="DJ773" t="str">
        <f>""</f>
        <v/>
      </c>
      <c r="DK773" t="str">
        <f>""</f>
        <v/>
      </c>
      <c r="DL773" t="str">
        <f>""</f>
        <v/>
      </c>
      <c r="DM773" t="str">
        <f>""</f>
        <v/>
      </c>
      <c r="DN773" t="str">
        <f>""</f>
        <v/>
      </c>
      <c r="DO773" t="str">
        <f>""</f>
        <v/>
      </c>
      <c r="DP773" t="str">
        <f>""</f>
        <v/>
      </c>
      <c r="DQ773" t="str">
        <f>""</f>
        <v/>
      </c>
      <c r="DR773" t="str">
        <f>""</f>
        <v/>
      </c>
      <c r="DS773" t="str">
        <f>""</f>
        <v/>
      </c>
      <c r="DT773" t="str">
        <f>""</f>
        <v/>
      </c>
      <c r="DU773" t="str">
        <f>""</f>
        <v/>
      </c>
    </row>
    <row r="774" spans="1:125" x14ac:dyDescent="0.25">
      <c r="A774" t="str">
        <f>$A$102</f>
        <v xml:space="preserve">    Geely Automobile Holdings Ltd</v>
      </c>
      <c r="B774" t="str">
        <f>$B$102</f>
        <v>175 HK Equity</v>
      </c>
      <c r="C774" t="str">
        <f>$C$102</f>
        <v>EZ010</v>
      </c>
      <c r="D774" t="str">
        <f>$D$102</f>
        <v>BEST_EST_PE_NXT_YR</v>
      </c>
      <c r="E774" t="str">
        <f>$E$102</f>
        <v>Dynamic</v>
      </c>
      <c r="F774" t="str">
        <f ca="1">_xll.BDH($B$102,$C$102,$B$675,$B$676,CONCATENATE("Per=",$B$673),"Dts=H","Dir=H",CONCATENATE("Points=",$B$674),"Sort=R","Days=A","Fill=B",CONCATENATE("FX=", $B$672) )</f>
        <v>#N/A Connection</v>
      </c>
      <c r="BN774" t="str">
        <f>""</f>
        <v/>
      </c>
      <c r="BO774" t="str">
        <f>""</f>
        <v/>
      </c>
      <c r="BP774" t="str">
        <f>""</f>
        <v/>
      </c>
      <c r="BQ774" t="str">
        <f>""</f>
        <v/>
      </c>
      <c r="BR774" t="str">
        <f>""</f>
        <v/>
      </c>
      <c r="BS774" t="str">
        <f>""</f>
        <v/>
      </c>
      <c r="BT774" t="str">
        <f>""</f>
        <v/>
      </c>
      <c r="BU774" t="str">
        <f>""</f>
        <v/>
      </c>
      <c r="BV774" t="str">
        <f>""</f>
        <v/>
      </c>
      <c r="BW774" t="str">
        <f>""</f>
        <v/>
      </c>
      <c r="BX774" t="str">
        <f>""</f>
        <v/>
      </c>
      <c r="BY774" t="str">
        <f>""</f>
        <v/>
      </c>
      <c r="BZ774" t="str">
        <f>""</f>
        <v/>
      </c>
      <c r="CA774" t="str">
        <f>""</f>
        <v/>
      </c>
      <c r="CB774" t="str">
        <f>""</f>
        <v/>
      </c>
      <c r="CC774" t="str">
        <f>""</f>
        <v/>
      </c>
      <c r="CD774" t="str">
        <f>""</f>
        <v/>
      </c>
      <c r="CE774" t="str">
        <f>""</f>
        <v/>
      </c>
      <c r="CF774" t="str">
        <f>""</f>
        <v/>
      </c>
      <c r="CG774" t="str">
        <f>""</f>
        <v/>
      </c>
      <c r="CH774" t="str">
        <f>""</f>
        <v/>
      </c>
      <c r="CI774" t="str">
        <f>""</f>
        <v/>
      </c>
      <c r="CJ774" t="str">
        <f>""</f>
        <v/>
      </c>
      <c r="CK774" t="str">
        <f>""</f>
        <v/>
      </c>
      <c r="CL774" t="str">
        <f>""</f>
        <v/>
      </c>
      <c r="CM774" t="str">
        <f>""</f>
        <v/>
      </c>
      <c r="CN774" t="str">
        <f>""</f>
        <v/>
      </c>
      <c r="CO774" t="str">
        <f>""</f>
        <v/>
      </c>
      <c r="CP774" t="str">
        <f>""</f>
        <v/>
      </c>
      <c r="CQ774" t="str">
        <f>""</f>
        <v/>
      </c>
      <c r="CR774" t="str">
        <f>""</f>
        <v/>
      </c>
      <c r="CS774" t="str">
        <f>""</f>
        <v/>
      </c>
      <c r="CT774" t="str">
        <f>""</f>
        <v/>
      </c>
      <c r="CU774" t="str">
        <f>""</f>
        <v/>
      </c>
      <c r="CV774" t="str">
        <f>""</f>
        <v/>
      </c>
      <c r="CW774" t="str">
        <f>""</f>
        <v/>
      </c>
      <c r="CX774" t="str">
        <f>""</f>
        <v/>
      </c>
      <c r="CY774" t="str">
        <f>""</f>
        <v/>
      </c>
      <c r="CZ774" t="str">
        <f>""</f>
        <v/>
      </c>
      <c r="DA774" t="str">
        <f>""</f>
        <v/>
      </c>
      <c r="DB774" t="str">
        <f>""</f>
        <v/>
      </c>
      <c r="DC774" t="str">
        <f>""</f>
        <v/>
      </c>
      <c r="DD774" t="str">
        <f>""</f>
        <v/>
      </c>
      <c r="DE774" t="str">
        <f>""</f>
        <v/>
      </c>
      <c r="DF774" t="str">
        <f>""</f>
        <v/>
      </c>
      <c r="DG774" t="str">
        <f>""</f>
        <v/>
      </c>
      <c r="DH774" t="str">
        <f>""</f>
        <v/>
      </c>
      <c r="DI774" t="str">
        <f>""</f>
        <v/>
      </c>
      <c r="DJ774" t="str">
        <f>""</f>
        <v/>
      </c>
      <c r="DK774" t="str">
        <f>""</f>
        <v/>
      </c>
      <c r="DL774" t="str">
        <f>""</f>
        <v/>
      </c>
      <c r="DM774" t="str">
        <f>""</f>
        <v/>
      </c>
      <c r="DN774" t="str">
        <f>""</f>
        <v/>
      </c>
      <c r="DO774" t="str">
        <f>""</f>
        <v/>
      </c>
      <c r="DP774" t="str">
        <f>""</f>
        <v/>
      </c>
      <c r="DQ774" t="str">
        <f>""</f>
        <v/>
      </c>
      <c r="DR774" t="str">
        <f>""</f>
        <v/>
      </c>
      <c r="DS774" t="str">
        <f>""</f>
        <v/>
      </c>
      <c r="DT774" t="str">
        <f>""</f>
        <v/>
      </c>
      <c r="DU774" t="str">
        <f>""</f>
        <v/>
      </c>
    </row>
    <row r="775" spans="1:125" x14ac:dyDescent="0.25">
      <c r="A775" t="str">
        <f>$A$103</f>
        <v xml:space="preserve">    General Motors Co</v>
      </c>
      <c r="B775" t="str">
        <f>$B$103</f>
        <v>GM US Equity</v>
      </c>
      <c r="C775" t="str">
        <f>$C$103</f>
        <v>EZ010</v>
      </c>
      <c r="D775" t="str">
        <f>$D$103</f>
        <v>BEST_EST_PE_NXT_YR</v>
      </c>
      <c r="E775" t="str">
        <f>$E$103</f>
        <v>Dynamic</v>
      </c>
      <c r="F775" t="str">
        <f ca="1">_xll.BDH($B$103,$C$103,$B$675,$B$676,CONCATENATE("Per=",$B$673),"Dts=H","Dir=H",CONCATENATE("Points=",$B$674),"Sort=R","Days=A","Fill=B",CONCATENATE("FX=", $B$672) )</f>
        <v>#N/A Connection</v>
      </c>
      <c r="BN775" t="str">
        <f>""</f>
        <v/>
      </c>
      <c r="BO775" t="str">
        <f>""</f>
        <v/>
      </c>
      <c r="BP775" t="str">
        <f>""</f>
        <v/>
      </c>
      <c r="BQ775" t="str">
        <f>""</f>
        <v/>
      </c>
      <c r="BR775" t="str">
        <f>""</f>
        <v/>
      </c>
      <c r="BS775" t="str">
        <f>""</f>
        <v/>
      </c>
      <c r="BT775" t="str">
        <f>""</f>
        <v/>
      </c>
      <c r="BU775" t="str">
        <f>""</f>
        <v/>
      </c>
      <c r="BV775" t="str">
        <f>""</f>
        <v/>
      </c>
      <c r="BW775" t="str">
        <f>""</f>
        <v/>
      </c>
      <c r="BX775" t="str">
        <f>""</f>
        <v/>
      </c>
      <c r="BY775" t="str">
        <f>""</f>
        <v/>
      </c>
      <c r="BZ775" t="str">
        <f>""</f>
        <v/>
      </c>
      <c r="CA775" t="str">
        <f>""</f>
        <v/>
      </c>
      <c r="CB775" t="str">
        <f>""</f>
        <v/>
      </c>
      <c r="CC775" t="str">
        <f>""</f>
        <v/>
      </c>
      <c r="CD775" t="str">
        <f>""</f>
        <v/>
      </c>
      <c r="CE775" t="str">
        <f>""</f>
        <v/>
      </c>
      <c r="CF775" t="str">
        <f>""</f>
        <v/>
      </c>
      <c r="CG775" t="str">
        <f>""</f>
        <v/>
      </c>
      <c r="CH775" t="str">
        <f>""</f>
        <v/>
      </c>
      <c r="CI775" t="str">
        <f>""</f>
        <v/>
      </c>
      <c r="CJ775" t="str">
        <f>""</f>
        <v/>
      </c>
      <c r="CK775" t="str">
        <f>""</f>
        <v/>
      </c>
      <c r="CL775" t="str">
        <f>""</f>
        <v/>
      </c>
      <c r="CM775" t="str">
        <f>""</f>
        <v/>
      </c>
      <c r="CN775" t="str">
        <f>""</f>
        <v/>
      </c>
      <c r="CO775" t="str">
        <f>""</f>
        <v/>
      </c>
      <c r="CP775" t="str">
        <f>""</f>
        <v/>
      </c>
      <c r="CQ775" t="str">
        <f>""</f>
        <v/>
      </c>
      <c r="CR775" t="str">
        <f>""</f>
        <v/>
      </c>
      <c r="CS775" t="str">
        <f>""</f>
        <v/>
      </c>
      <c r="CT775" t="str">
        <f>""</f>
        <v/>
      </c>
      <c r="CU775" t="str">
        <f>""</f>
        <v/>
      </c>
      <c r="CV775" t="str">
        <f>""</f>
        <v/>
      </c>
      <c r="CW775" t="str">
        <f>""</f>
        <v/>
      </c>
      <c r="CX775" t="str">
        <f>""</f>
        <v/>
      </c>
      <c r="CY775" t="str">
        <f>""</f>
        <v/>
      </c>
      <c r="CZ775" t="str">
        <f>""</f>
        <v/>
      </c>
      <c r="DA775" t="str">
        <f>""</f>
        <v/>
      </c>
      <c r="DB775" t="str">
        <f>""</f>
        <v/>
      </c>
      <c r="DC775" t="str">
        <f>""</f>
        <v/>
      </c>
      <c r="DD775" t="str">
        <f>""</f>
        <v/>
      </c>
      <c r="DE775" t="str">
        <f>""</f>
        <v/>
      </c>
      <c r="DF775" t="str">
        <f>""</f>
        <v/>
      </c>
      <c r="DG775" t="str">
        <f>""</f>
        <v/>
      </c>
      <c r="DH775" t="str">
        <f>""</f>
        <v/>
      </c>
      <c r="DI775" t="str">
        <f>""</f>
        <v/>
      </c>
      <c r="DJ775" t="str">
        <f>""</f>
        <v/>
      </c>
      <c r="DK775" t="str">
        <f>""</f>
        <v/>
      </c>
      <c r="DL775" t="str">
        <f>""</f>
        <v/>
      </c>
      <c r="DM775" t="str">
        <f>""</f>
        <v/>
      </c>
      <c r="DN775" t="str">
        <f>""</f>
        <v/>
      </c>
      <c r="DO775" t="str">
        <f>""</f>
        <v/>
      </c>
      <c r="DP775" t="str">
        <f>""</f>
        <v/>
      </c>
      <c r="DQ775" t="str">
        <f>""</f>
        <v/>
      </c>
      <c r="DR775" t="str">
        <f>""</f>
        <v/>
      </c>
      <c r="DS775" t="str">
        <f>""</f>
        <v/>
      </c>
      <c r="DT775" t="str">
        <f>""</f>
        <v/>
      </c>
      <c r="DU775" t="str">
        <f>""</f>
        <v/>
      </c>
    </row>
    <row r="776" spans="1:125" x14ac:dyDescent="0.25">
      <c r="A776" t="str">
        <f>$A$104</f>
        <v xml:space="preserve">    Great Wall Motor Co Ltd</v>
      </c>
      <c r="B776" t="str">
        <f>$B$104</f>
        <v>2333 HK Equity</v>
      </c>
      <c r="C776" t="str">
        <f>$C$104</f>
        <v>EZ010</v>
      </c>
      <c r="D776" t="str">
        <f>$D$104</f>
        <v>BEST_EST_PE_NXT_YR</v>
      </c>
      <c r="E776" t="str">
        <f>$E$104</f>
        <v>Dynamic</v>
      </c>
      <c r="F776" t="str">
        <f ca="1">_xll.BDH($B$104,$C$104,$B$675,$B$676,CONCATENATE("Per=",$B$673),"Dts=H","Dir=H",CONCATENATE("Points=",$B$674),"Sort=R","Days=A","Fill=B",CONCATENATE("FX=", $B$672) )</f>
        <v>#N/A Connection</v>
      </c>
      <c r="BN776" t="str">
        <f>""</f>
        <v/>
      </c>
      <c r="BO776" t="str">
        <f>""</f>
        <v/>
      </c>
      <c r="BP776" t="str">
        <f>""</f>
        <v/>
      </c>
      <c r="BQ776" t="str">
        <f>""</f>
        <v/>
      </c>
      <c r="BR776" t="str">
        <f>""</f>
        <v/>
      </c>
      <c r="BS776" t="str">
        <f>""</f>
        <v/>
      </c>
      <c r="BT776" t="str">
        <f>""</f>
        <v/>
      </c>
      <c r="BU776" t="str">
        <f>""</f>
        <v/>
      </c>
      <c r="BV776" t="str">
        <f>""</f>
        <v/>
      </c>
      <c r="BW776" t="str">
        <f>""</f>
        <v/>
      </c>
      <c r="BX776" t="str">
        <f>""</f>
        <v/>
      </c>
      <c r="BY776" t="str">
        <f>""</f>
        <v/>
      </c>
      <c r="BZ776" t="str">
        <f>""</f>
        <v/>
      </c>
      <c r="CA776" t="str">
        <f>""</f>
        <v/>
      </c>
      <c r="CB776" t="str">
        <f>""</f>
        <v/>
      </c>
      <c r="CC776" t="str">
        <f>""</f>
        <v/>
      </c>
      <c r="CD776" t="str">
        <f>""</f>
        <v/>
      </c>
      <c r="CE776" t="str">
        <f>""</f>
        <v/>
      </c>
      <c r="CF776" t="str">
        <f>""</f>
        <v/>
      </c>
      <c r="CG776" t="str">
        <f>""</f>
        <v/>
      </c>
      <c r="CH776" t="str">
        <f>""</f>
        <v/>
      </c>
      <c r="CI776" t="str">
        <f>""</f>
        <v/>
      </c>
      <c r="CJ776" t="str">
        <f>""</f>
        <v/>
      </c>
      <c r="CK776" t="str">
        <f>""</f>
        <v/>
      </c>
      <c r="CL776" t="str">
        <f>""</f>
        <v/>
      </c>
      <c r="CM776" t="str">
        <f>""</f>
        <v/>
      </c>
      <c r="CN776" t="str">
        <f>""</f>
        <v/>
      </c>
      <c r="CO776" t="str">
        <f>""</f>
        <v/>
      </c>
      <c r="CP776" t="str">
        <f>""</f>
        <v/>
      </c>
      <c r="CQ776" t="str">
        <f>""</f>
        <v/>
      </c>
      <c r="CR776" t="str">
        <f>""</f>
        <v/>
      </c>
      <c r="CS776" t="str">
        <f>""</f>
        <v/>
      </c>
      <c r="CT776" t="str">
        <f>""</f>
        <v/>
      </c>
      <c r="CU776" t="str">
        <f>""</f>
        <v/>
      </c>
      <c r="CV776" t="str">
        <f>""</f>
        <v/>
      </c>
      <c r="CW776" t="str">
        <f>""</f>
        <v/>
      </c>
      <c r="CX776" t="str">
        <f>""</f>
        <v/>
      </c>
      <c r="CY776" t="str">
        <f>""</f>
        <v/>
      </c>
      <c r="CZ776" t="str">
        <f>""</f>
        <v/>
      </c>
      <c r="DA776" t="str">
        <f>""</f>
        <v/>
      </c>
      <c r="DB776" t="str">
        <f>""</f>
        <v/>
      </c>
      <c r="DC776" t="str">
        <f>""</f>
        <v/>
      </c>
      <c r="DD776" t="str">
        <f>""</f>
        <v/>
      </c>
      <c r="DE776" t="str">
        <f>""</f>
        <v/>
      </c>
      <c r="DF776" t="str">
        <f>""</f>
        <v/>
      </c>
      <c r="DG776" t="str">
        <f>""</f>
        <v/>
      </c>
      <c r="DH776" t="str">
        <f>""</f>
        <v/>
      </c>
      <c r="DI776" t="str">
        <f>""</f>
        <v/>
      </c>
      <c r="DJ776" t="str">
        <f>""</f>
        <v/>
      </c>
      <c r="DK776" t="str">
        <f>""</f>
        <v/>
      </c>
      <c r="DL776" t="str">
        <f>""</f>
        <v/>
      </c>
      <c r="DM776" t="str">
        <f>""</f>
        <v/>
      </c>
      <c r="DN776" t="str">
        <f>""</f>
        <v/>
      </c>
      <c r="DO776" t="str">
        <f>""</f>
        <v/>
      </c>
      <c r="DP776" t="str">
        <f>""</f>
        <v/>
      </c>
      <c r="DQ776" t="str">
        <f>""</f>
        <v/>
      </c>
      <c r="DR776" t="str">
        <f>""</f>
        <v/>
      </c>
      <c r="DS776" t="str">
        <f>""</f>
        <v/>
      </c>
      <c r="DT776" t="str">
        <f>""</f>
        <v/>
      </c>
      <c r="DU776" t="str">
        <f>""</f>
        <v/>
      </c>
    </row>
    <row r="777" spans="1:125" x14ac:dyDescent="0.25">
      <c r="A777" t="str">
        <f>$A$105</f>
        <v xml:space="preserve">    Guangzhou Automobile Group Co Ltd</v>
      </c>
      <c r="B777" t="str">
        <f>$B$105</f>
        <v>2238 HK Equity</v>
      </c>
      <c r="C777" t="str">
        <f>$C$105</f>
        <v>EZ010</v>
      </c>
      <c r="D777" t="str">
        <f>$D$105</f>
        <v>BEST_EST_PE_NXT_YR</v>
      </c>
      <c r="E777" t="str">
        <f>$E$105</f>
        <v>Dynamic</v>
      </c>
      <c r="F777" t="str">
        <f ca="1">_xll.BDH($B$105,$C$105,$B$675,$B$676,CONCATENATE("Per=",$B$673),"Dts=H","Dir=H",CONCATENATE("Points=",$B$674),"Sort=R","Days=A","Fill=B",CONCATENATE("FX=", $B$672) )</f>
        <v>#N/A Connection</v>
      </c>
      <c r="BN777" t="str">
        <f>""</f>
        <v/>
      </c>
      <c r="BO777" t="str">
        <f>""</f>
        <v/>
      </c>
      <c r="BP777" t="str">
        <f>""</f>
        <v/>
      </c>
      <c r="BQ777" t="str">
        <f>""</f>
        <v/>
      </c>
      <c r="BR777" t="str">
        <f>""</f>
        <v/>
      </c>
      <c r="BS777" t="str">
        <f>""</f>
        <v/>
      </c>
      <c r="BT777" t="str">
        <f>""</f>
        <v/>
      </c>
      <c r="BU777" t="str">
        <f>""</f>
        <v/>
      </c>
      <c r="BV777" t="str">
        <f>""</f>
        <v/>
      </c>
      <c r="BW777" t="str">
        <f>""</f>
        <v/>
      </c>
      <c r="BX777" t="str">
        <f>""</f>
        <v/>
      </c>
      <c r="BY777" t="str">
        <f>""</f>
        <v/>
      </c>
      <c r="BZ777" t="str">
        <f>""</f>
        <v/>
      </c>
      <c r="CA777" t="str">
        <f>""</f>
        <v/>
      </c>
      <c r="CB777" t="str">
        <f>""</f>
        <v/>
      </c>
      <c r="CC777" t="str">
        <f>""</f>
        <v/>
      </c>
      <c r="CD777" t="str">
        <f>""</f>
        <v/>
      </c>
      <c r="CE777" t="str">
        <f>""</f>
        <v/>
      </c>
      <c r="CF777" t="str">
        <f>""</f>
        <v/>
      </c>
      <c r="CG777" t="str">
        <f>""</f>
        <v/>
      </c>
      <c r="CH777" t="str">
        <f>""</f>
        <v/>
      </c>
      <c r="CI777" t="str">
        <f>""</f>
        <v/>
      </c>
      <c r="CJ777" t="str">
        <f>""</f>
        <v/>
      </c>
      <c r="CK777" t="str">
        <f>""</f>
        <v/>
      </c>
      <c r="CL777" t="str">
        <f>""</f>
        <v/>
      </c>
      <c r="CM777" t="str">
        <f>""</f>
        <v/>
      </c>
      <c r="CN777" t="str">
        <f>""</f>
        <v/>
      </c>
      <c r="CO777" t="str">
        <f>""</f>
        <v/>
      </c>
      <c r="CP777" t="str">
        <f>""</f>
        <v/>
      </c>
      <c r="CQ777" t="str">
        <f>""</f>
        <v/>
      </c>
      <c r="CR777" t="str">
        <f>""</f>
        <v/>
      </c>
      <c r="CS777" t="str">
        <f>""</f>
        <v/>
      </c>
      <c r="CT777" t="str">
        <f>""</f>
        <v/>
      </c>
      <c r="CU777" t="str">
        <f>""</f>
        <v/>
      </c>
      <c r="CV777" t="str">
        <f>""</f>
        <v/>
      </c>
      <c r="CW777" t="str">
        <f>""</f>
        <v/>
      </c>
      <c r="CX777" t="str">
        <f>""</f>
        <v/>
      </c>
      <c r="CY777" t="str">
        <f>""</f>
        <v/>
      </c>
      <c r="CZ777" t="str">
        <f>""</f>
        <v/>
      </c>
      <c r="DA777" t="str">
        <f>""</f>
        <v/>
      </c>
      <c r="DB777" t="str">
        <f>""</f>
        <v/>
      </c>
      <c r="DC777" t="str">
        <f>""</f>
        <v/>
      </c>
      <c r="DD777" t="str">
        <f>""</f>
        <v/>
      </c>
      <c r="DE777" t="str">
        <f>""</f>
        <v/>
      </c>
      <c r="DF777" t="str">
        <f>""</f>
        <v/>
      </c>
      <c r="DG777" t="str">
        <f>""</f>
        <v/>
      </c>
      <c r="DH777" t="str">
        <f>""</f>
        <v/>
      </c>
      <c r="DI777" t="str">
        <f>""</f>
        <v/>
      </c>
      <c r="DJ777" t="str">
        <f>""</f>
        <v/>
      </c>
      <c r="DK777" t="str">
        <f>""</f>
        <v/>
      </c>
      <c r="DL777" t="str">
        <f>""</f>
        <v/>
      </c>
      <c r="DM777" t="str">
        <f>""</f>
        <v/>
      </c>
      <c r="DN777" t="str">
        <f>""</f>
        <v/>
      </c>
      <c r="DO777" t="str">
        <f>""</f>
        <v/>
      </c>
      <c r="DP777" t="str">
        <f>""</f>
        <v/>
      </c>
      <c r="DQ777" t="str">
        <f>""</f>
        <v/>
      </c>
      <c r="DR777" t="str">
        <f>""</f>
        <v/>
      </c>
      <c r="DS777" t="str">
        <f>""</f>
        <v/>
      </c>
      <c r="DT777" t="str">
        <f>""</f>
        <v/>
      </c>
      <c r="DU777" t="str">
        <f>""</f>
        <v/>
      </c>
    </row>
    <row r="778" spans="1:125" x14ac:dyDescent="0.25">
      <c r="A778" t="str">
        <f>$A$106</f>
        <v xml:space="preserve">    Honda Motor Co Ltd</v>
      </c>
      <c r="B778" t="str">
        <f>$B$106</f>
        <v>7267 JP Equity</v>
      </c>
      <c r="C778" t="str">
        <f>$C$106</f>
        <v>EZ010</v>
      </c>
      <c r="D778" t="str">
        <f>$D$106</f>
        <v>BEST_EST_PE_NXT_YR</v>
      </c>
      <c r="E778" t="str">
        <f>$E$106</f>
        <v>Dynamic</v>
      </c>
      <c r="F778" t="str">
        <f ca="1">_xll.BDH($B$106,$C$106,$B$675,$B$676,CONCATENATE("Per=",$B$673),"Dts=H","Dir=H",CONCATENATE("Points=",$B$674),"Sort=R","Days=A","Fill=B",CONCATENATE("FX=", $B$672) )</f>
        <v>#N/A Connection</v>
      </c>
      <c r="BN778" t="str">
        <f>""</f>
        <v/>
      </c>
      <c r="BO778" t="str">
        <f>""</f>
        <v/>
      </c>
      <c r="BP778" t="str">
        <f>""</f>
        <v/>
      </c>
      <c r="BQ778" t="str">
        <f>""</f>
        <v/>
      </c>
      <c r="BR778" t="str">
        <f>""</f>
        <v/>
      </c>
      <c r="BS778" t="str">
        <f>""</f>
        <v/>
      </c>
      <c r="BT778" t="str">
        <f>""</f>
        <v/>
      </c>
      <c r="BU778" t="str">
        <f>""</f>
        <v/>
      </c>
      <c r="BV778" t="str">
        <f>""</f>
        <v/>
      </c>
      <c r="BW778" t="str">
        <f>""</f>
        <v/>
      </c>
      <c r="BX778" t="str">
        <f>""</f>
        <v/>
      </c>
      <c r="BY778" t="str">
        <f>""</f>
        <v/>
      </c>
      <c r="BZ778" t="str">
        <f>""</f>
        <v/>
      </c>
      <c r="CA778" t="str">
        <f>""</f>
        <v/>
      </c>
      <c r="CB778" t="str">
        <f>""</f>
        <v/>
      </c>
      <c r="CC778" t="str">
        <f>""</f>
        <v/>
      </c>
      <c r="CD778" t="str">
        <f>""</f>
        <v/>
      </c>
      <c r="CE778" t="str">
        <f>""</f>
        <v/>
      </c>
      <c r="CF778" t="str">
        <f>""</f>
        <v/>
      </c>
      <c r="CG778" t="str">
        <f>""</f>
        <v/>
      </c>
      <c r="CH778" t="str">
        <f>""</f>
        <v/>
      </c>
      <c r="CI778" t="str">
        <f>""</f>
        <v/>
      </c>
      <c r="CJ778" t="str">
        <f>""</f>
        <v/>
      </c>
      <c r="CK778" t="str">
        <f>""</f>
        <v/>
      </c>
      <c r="CL778" t="str">
        <f>""</f>
        <v/>
      </c>
      <c r="CM778" t="str">
        <f>""</f>
        <v/>
      </c>
      <c r="CN778" t="str">
        <f>""</f>
        <v/>
      </c>
      <c r="CO778" t="str">
        <f>""</f>
        <v/>
      </c>
      <c r="CP778" t="str">
        <f>""</f>
        <v/>
      </c>
      <c r="CQ778" t="str">
        <f>""</f>
        <v/>
      </c>
      <c r="CR778" t="str">
        <f>""</f>
        <v/>
      </c>
      <c r="CS778" t="str">
        <f>""</f>
        <v/>
      </c>
      <c r="CT778" t="str">
        <f>""</f>
        <v/>
      </c>
      <c r="CU778" t="str">
        <f>""</f>
        <v/>
      </c>
      <c r="CV778" t="str">
        <f>""</f>
        <v/>
      </c>
      <c r="CW778" t="str">
        <f>""</f>
        <v/>
      </c>
      <c r="CX778" t="str">
        <f>""</f>
        <v/>
      </c>
      <c r="CY778" t="str">
        <f>""</f>
        <v/>
      </c>
      <c r="CZ778" t="str">
        <f>""</f>
        <v/>
      </c>
      <c r="DA778" t="str">
        <f>""</f>
        <v/>
      </c>
      <c r="DB778" t="str">
        <f>""</f>
        <v/>
      </c>
      <c r="DC778" t="str">
        <f>""</f>
        <v/>
      </c>
      <c r="DD778" t="str">
        <f>""</f>
        <v/>
      </c>
      <c r="DE778" t="str">
        <f>""</f>
        <v/>
      </c>
      <c r="DF778" t="str">
        <f>""</f>
        <v/>
      </c>
      <c r="DG778" t="str">
        <f>""</f>
        <v/>
      </c>
      <c r="DH778" t="str">
        <f>""</f>
        <v/>
      </c>
      <c r="DI778" t="str">
        <f>""</f>
        <v/>
      </c>
      <c r="DJ778" t="str">
        <f>""</f>
        <v/>
      </c>
      <c r="DK778" t="str">
        <f>""</f>
        <v/>
      </c>
      <c r="DL778" t="str">
        <f>""</f>
        <v/>
      </c>
      <c r="DM778" t="str">
        <f>""</f>
        <v/>
      </c>
      <c r="DN778" t="str">
        <f>""</f>
        <v/>
      </c>
      <c r="DO778" t="str">
        <f>""</f>
        <v/>
      </c>
      <c r="DP778" t="str">
        <f>""</f>
        <v/>
      </c>
      <c r="DQ778" t="str">
        <f>""</f>
        <v/>
      </c>
      <c r="DR778" t="str">
        <f>""</f>
        <v/>
      </c>
      <c r="DS778" t="str">
        <f>""</f>
        <v/>
      </c>
      <c r="DT778" t="str">
        <f>""</f>
        <v/>
      </c>
      <c r="DU778" t="str">
        <f>""</f>
        <v/>
      </c>
    </row>
    <row r="779" spans="1:125" x14ac:dyDescent="0.25">
      <c r="A779" t="str">
        <f>$A$107</f>
        <v xml:space="preserve">    Hyundai Motor Co</v>
      </c>
      <c r="B779" t="str">
        <f>$B$107</f>
        <v>005380 KS Equity</v>
      </c>
      <c r="C779" t="str">
        <f>$C$107</f>
        <v>EZ010</v>
      </c>
      <c r="D779" t="str">
        <f>$D$107</f>
        <v>BEST_EST_PE_NXT_YR</v>
      </c>
      <c r="E779" t="str">
        <f>$E$107</f>
        <v>Dynamic</v>
      </c>
      <c r="F779" t="str">
        <f ca="1">_xll.BDH($B$107,$C$107,$B$675,$B$676,CONCATENATE("Per=",$B$673),"Dts=H","Dir=H",CONCATENATE("Points=",$B$674),"Sort=R","Days=A","Fill=B",CONCATENATE("FX=", $B$672) )</f>
        <v>#N/A Connection</v>
      </c>
      <c r="BN779" t="str">
        <f>""</f>
        <v/>
      </c>
      <c r="BO779" t="str">
        <f>""</f>
        <v/>
      </c>
      <c r="BP779" t="str">
        <f>""</f>
        <v/>
      </c>
      <c r="BQ779" t="str">
        <f>""</f>
        <v/>
      </c>
      <c r="BR779" t="str">
        <f>""</f>
        <v/>
      </c>
      <c r="BS779" t="str">
        <f>""</f>
        <v/>
      </c>
      <c r="BT779" t="str">
        <f>""</f>
        <v/>
      </c>
      <c r="BU779" t="str">
        <f>""</f>
        <v/>
      </c>
      <c r="BV779" t="str">
        <f>""</f>
        <v/>
      </c>
      <c r="BW779" t="str">
        <f>""</f>
        <v/>
      </c>
      <c r="BX779" t="str">
        <f>""</f>
        <v/>
      </c>
      <c r="BY779" t="str">
        <f>""</f>
        <v/>
      </c>
      <c r="BZ779" t="str">
        <f>""</f>
        <v/>
      </c>
      <c r="CA779" t="str">
        <f>""</f>
        <v/>
      </c>
      <c r="CB779" t="str">
        <f>""</f>
        <v/>
      </c>
      <c r="CC779" t="str">
        <f>""</f>
        <v/>
      </c>
      <c r="CD779" t="str">
        <f>""</f>
        <v/>
      </c>
      <c r="CE779" t="str">
        <f>""</f>
        <v/>
      </c>
      <c r="CF779" t="str">
        <f>""</f>
        <v/>
      </c>
      <c r="CG779" t="str">
        <f>""</f>
        <v/>
      </c>
      <c r="CH779" t="str">
        <f>""</f>
        <v/>
      </c>
      <c r="CI779" t="str">
        <f>""</f>
        <v/>
      </c>
      <c r="CJ779" t="str">
        <f>""</f>
        <v/>
      </c>
      <c r="CK779" t="str">
        <f>""</f>
        <v/>
      </c>
      <c r="CL779" t="str">
        <f>""</f>
        <v/>
      </c>
      <c r="CM779" t="str">
        <f>""</f>
        <v/>
      </c>
      <c r="CN779" t="str">
        <f>""</f>
        <v/>
      </c>
      <c r="CO779" t="str">
        <f>""</f>
        <v/>
      </c>
      <c r="CP779" t="str">
        <f>""</f>
        <v/>
      </c>
      <c r="CQ779" t="str">
        <f>""</f>
        <v/>
      </c>
      <c r="CR779" t="str">
        <f>""</f>
        <v/>
      </c>
      <c r="CS779" t="str">
        <f>""</f>
        <v/>
      </c>
      <c r="CT779" t="str">
        <f>""</f>
        <v/>
      </c>
      <c r="CU779" t="str">
        <f>""</f>
        <v/>
      </c>
      <c r="CV779" t="str">
        <f>""</f>
        <v/>
      </c>
      <c r="CW779" t="str">
        <f>""</f>
        <v/>
      </c>
      <c r="CX779" t="str">
        <f>""</f>
        <v/>
      </c>
      <c r="CY779" t="str">
        <f>""</f>
        <v/>
      </c>
      <c r="CZ779" t="str">
        <f>""</f>
        <v/>
      </c>
      <c r="DA779" t="str">
        <f>""</f>
        <v/>
      </c>
      <c r="DB779" t="str">
        <f>""</f>
        <v/>
      </c>
      <c r="DC779" t="str">
        <f>""</f>
        <v/>
      </c>
      <c r="DD779" t="str">
        <f>""</f>
        <v/>
      </c>
      <c r="DE779" t="str">
        <f>""</f>
        <v/>
      </c>
      <c r="DF779" t="str">
        <f>""</f>
        <v/>
      </c>
      <c r="DG779" t="str">
        <f>""</f>
        <v/>
      </c>
      <c r="DH779" t="str">
        <f>""</f>
        <v/>
      </c>
      <c r="DI779" t="str">
        <f>""</f>
        <v/>
      </c>
      <c r="DJ779" t="str">
        <f>""</f>
        <v/>
      </c>
      <c r="DK779" t="str">
        <f>""</f>
        <v/>
      </c>
      <c r="DL779" t="str">
        <f>""</f>
        <v/>
      </c>
      <c r="DM779" t="str">
        <f>""</f>
        <v/>
      </c>
      <c r="DN779" t="str">
        <f>""</f>
        <v/>
      </c>
      <c r="DO779" t="str">
        <f>""</f>
        <v/>
      </c>
      <c r="DP779" t="str">
        <f>""</f>
        <v/>
      </c>
      <c r="DQ779" t="str">
        <f>""</f>
        <v/>
      </c>
      <c r="DR779" t="str">
        <f>""</f>
        <v/>
      </c>
      <c r="DS779" t="str">
        <f>""</f>
        <v/>
      </c>
      <c r="DT779" t="str">
        <f>""</f>
        <v/>
      </c>
      <c r="DU779" t="str">
        <f>""</f>
        <v/>
      </c>
    </row>
    <row r="780" spans="1:125" x14ac:dyDescent="0.25">
      <c r="A780" t="str">
        <f>$A$108</f>
        <v xml:space="preserve">    Kia Motors Corp</v>
      </c>
      <c r="B780" t="str">
        <f>$B$108</f>
        <v>000270 KS Equity</v>
      </c>
      <c r="C780" t="str">
        <f>$C$108</f>
        <v>EZ010</v>
      </c>
      <c r="D780" t="str">
        <f>$D$108</f>
        <v>BEST_EST_PE_NXT_YR</v>
      </c>
      <c r="E780" t="str">
        <f>$E$108</f>
        <v>Dynamic</v>
      </c>
      <c r="F780" t="str">
        <f ca="1">_xll.BDH($B$108,$C$108,$B$675,$B$676,CONCATENATE("Per=",$B$673),"Dts=H","Dir=H",CONCATENATE("Points=",$B$674),"Sort=R","Days=A","Fill=B",CONCATENATE("FX=", $B$672) )</f>
        <v>#N/A Connection</v>
      </c>
      <c r="BN780" t="str">
        <f>""</f>
        <v/>
      </c>
      <c r="BO780" t="str">
        <f>""</f>
        <v/>
      </c>
      <c r="BP780" t="str">
        <f>""</f>
        <v/>
      </c>
      <c r="BQ780" t="str">
        <f>""</f>
        <v/>
      </c>
      <c r="BR780" t="str">
        <f>""</f>
        <v/>
      </c>
      <c r="BS780" t="str">
        <f>""</f>
        <v/>
      </c>
      <c r="BT780" t="str">
        <f>""</f>
        <v/>
      </c>
      <c r="BU780" t="str">
        <f>""</f>
        <v/>
      </c>
      <c r="BV780" t="str">
        <f>""</f>
        <v/>
      </c>
      <c r="BW780" t="str">
        <f>""</f>
        <v/>
      </c>
      <c r="BX780" t="str">
        <f>""</f>
        <v/>
      </c>
      <c r="BY780" t="str">
        <f>""</f>
        <v/>
      </c>
      <c r="BZ780" t="str">
        <f>""</f>
        <v/>
      </c>
      <c r="CA780" t="str">
        <f>""</f>
        <v/>
      </c>
      <c r="CB780" t="str">
        <f>""</f>
        <v/>
      </c>
      <c r="CC780" t="str">
        <f>""</f>
        <v/>
      </c>
      <c r="CD780" t="str">
        <f>""</f>
        <v/>
      </c>
      <c r="CE780" t="str">
        <f>""</f>
        <v/>
      </c>
      <c r="CF780" t="str">
        <f>""</f>
        <v/>
      </c>
      <c r="CG780" t="str">
        <f>""</f>
        <v/>
      </c>
      <c r="CH780" t="str">
        <f>""</f>
        <v/>
      </c>
      <c r="CI780" t="str">
        <f>""</f>
        <v/>
      </c>
      <c r="CJ780" t="str">
        <f>""</f>
        <v/>
      </c>
      <c r="CK780" t="str">
        <f>""</f>
        <v/>
      </c>
      <c r="CL780" t="str">
        <f>""</f>
        <v/>
      </c>
      <c r="CM780" t="str">
        <f>""</f>
        <v/>
      </c>
      <c r="CN780" t="str">
        <f>""</f>
        <v/>
      </c>
      <c r="CO780" t="str">
        <f>""</f>
        <v/>
      </c>
      <c r="CP780" t="str">
        <f>""</f>
        <v/>
      </c>
      <c r="CQ780" t="str">
        <f>""</f>
        <v/>
      </c>
      <c r="CR780" t="str">
        <f>""</f>
        <v/>
      </c>
      <c r="CS780" t="str">
        <f>""</f>
        <v/>
      </c>
      <c r="CT780" t="str">
        <f>""</f>
        <v/>
      </c>
      <c r="CU780" t="str">
        <f>""</f>
        <v/>
      </c>
      <c r="CV780" t="str">
        <f>""</f>
        <v/>
      </c>
      <c r="CW780" t="str">
        <f>""</f>
        <v/>
      </c>
      <c r="CX780" t="str">
        <f>""</f>
        <v/>
      </c>
      <c r="CY780" t="str">
        <f>""</f>
        <v/>
      </c>
      <c r="CZ780" t="str">
        <f>""</f>
        <v/>
      </c>
      <c r="DA780" t="str">
        <f>""</f>
        <v/>
      </c>
      <c r="DB780" t="str">
        <f>""</f>
        <v/>
      </c>
      <c r="DC780" t="str">
        <f>""</f>
        <v/>
      </c>
      <c r="DD780" t="str">
        <f>""</f>
        <v/>
      </c>
      <c r="DE780" t="str">
        <f>""</f>
        <v/>
      </c>
      <c r="DF780" t="str">
        <f>""</f>
        <v/>
      </c>
      <c r="DG780" t="str">
        <f>""</f>
        <v/>
      </c>
      <c r="DH780" t="str">
        <f>""</f>
        <v/>
      </c>
      <c r="DI780" t="str">
        <f>""</f>
        <v/>
      </c>
      <c r="DJ780" t="str">
        <f>""</f>
        <v/>
      </c>
      <c r="DK780" t="str">
        <f>""</f>
        <v/>
      </c>
      <c r="DL780" t="str">
        <f>""</f>
        <v/>
      </c>
      <c r="DM780" t="str">
        <f>""</f>
        <v/>
      </c>
      <c r="DN780" t="str">
        <f>""</f>
        <v/>
      </c>
      <c r="DO780" t="str">
        <f>""</f>
        <v/>
      </c>
      <c r="DP780" t="str">
        <f>""</f>
        <v/>
      </c>
      <c r="DQ780" t="str">
        <f>""</f>
        <v/>
      </c>
      <c r="DR780" t="str">
        <f>""</f>
        <v/>
      </c>
      <c r="DS780" t="str">
        <f>""</f>
        <v/>
      </c>
      <c r="DT780" t="str">
        <f>""</f>
        <v/>
      </c>
      <c r="DU780" t="str">
        <f>""</f>
        <v/>
      </c>
    </row>
    <row r="781" spans="1:125" x14ac:dyDescent="0.25">
      <c r="A781" t="str">
        <f>$A$109</f>
        <v xml:space="preserve">    Mazda Motor Corp</v>
      </c>
      <c r="B781" t="str">
        <f>$B$109</f>
        <v>7261 JP Equity</v>
      </c>
      <c r="C781" t="str">
        <f>$C$109</f>
        <v>EZ010</v>
      </c>
      <c r="D781" t="str">
        <f>$D$109</f>
        <v>BEST_EST_PE_NXT_YR</v>
      </c>
      <c r="E781" t="str">
        <f>$E$109</f>
        <v>Dynamic</v>
      </c>
      <c r="F781" t="str">
        <f ca="1">_xll.BDH($B$109,$C$109,$B$675,$B$676,CONCATENATE("Per=",$B$673),"Dts=H","Dir=H",CONCATENATE("Points=",$B$674),"Sort=R","Days=A","Fill=B",CONCATENATE("FX=", $B$672) )</f>
        <v>#N/A Connection</v>
      </c>
      <c r="BN781" t="str">
        <f>""</f>
        <v/>
      </c>
      <c r="BO781" t="str">
        <f>""</f>
        <v/>
      </c>
      <c r="BP781" t="str">
        <f>""</f>
        <v/>
      </c>
      <c r="BQ781" t="str">
        <f>""</f>
        <v/>
      </c>
      <c r="BR781" t="str">
        <f>""</f>
        <v/>
      </c>
      <c r="BS781" t="str">
        <f>""</f>
        <v/>
      </c>
      <c r="BT781" t="str">
        <f>""</f>
        <v/>
      </c>
      <c r="BU781" t="str">
        <f>""</f>
        <v/>
      </c>
      <c r="BV781" t="str">
        <f>""</f>
        <v/>
      </c>
      <c r="BW781" t="str">
        <f>""</f>
        <v/>
      </c>
      <c r="BX781" t="str">
        <f>""</f>
        <v/>
      </c>
      <c r="BY781" t="str">
        <f>""</f>
        <v/>
      </c>
      <c r="BZ781" t="str">
        <f>""</f>
        <v/>
      </c>
      <c r="CA781" t="str">
        <f>""</f>
        <v/>
      </c>
      <c r="CB781" t="str">
        <f>""</f>
        <v/>
      </c>
      <c r="CC781" t="str">
        <f>""</f>
        <v/>
      </c>
      <c r="CD781" t="str">
        <f>""</f>
        <v/>
      </c>
      <c r="CE781" t="str">
        <f>""</f>
        <v/>
      </c>
      <c r="CF781" t="str">
        <f>""</f>
        <v/>
      </c>
      <c r="CG781" t="str">
        <f>""</f>
        <v/>
      </c>
      <c r="CH781" t="str">
        <f>""</f>
        <v/>
      </c>
      <c r="CI781" t="str">
        <f>""</f>
        <v/>
      </c>
      <c r="CJ781" t="str">
        <f>""</f>
        <v/>
      </c>
      <c r="CK781" t="str">
        <f>""</f>
        <v/>
      </c>
      <c r="CL781" t="str">
        <f>""</f>
        <v/>
      </c>
      <c r="CM781" t="str">
        <f>""</f>
        <v/>
      </c>
      <c r="CN781" t="str">
        <f>""</f>
        <v/>
      </c>
      <c r="CO781" t="str">
        <f>""</f>
        <v/>
      </c>
      <c r="CP781" t="str">
        <f>""</f>
        <v/>
      </c>
      <c r="CQ781" t="str">
        <f>""</f>
        <v/>
      </c>
      <c r="CR781" t="str">
        <f>""</f>
        <v/>
      </c>
      <c r="CS781" t="str">
        <f>""</f>
        <v/>
      </c>
      <c r="CT781" t="str">
        <f>""</f>
        <v/>
      </c>
      <c r="CU781" t="str">
        <f>""</f>
        <v/>
      </c>
      <c r="CV781" t="str">
        <f>""</f>
        <v/>
      </c>
      <c r="CW781" t="str">
        <f>""</f>
        <v/>
      </c>
      <c r="CX781" t="str">
        <f>""</f>
        <v/>
      </c>
      <c r="CY781" t="str">
        <f>""</f>
        <v/>
      </c>
      <c r="CZ781" t="str">
        <f>""</f>
        <v/>
      </c>
      <c r="DA781" t="str">
        <f>""</f>
        <v/>
      </c>
      <c r="DB781" t="str">
        <f>""</f>
        <v/>
      </c>
      <c r="DC781" t="str">
        <f>""</f>
        <v/>
      </c>
      <c r="DD781" t="str">
        <f>""</f>
        <v/>
      </c>
      <c r="DE781" t="str">
        <f>""</f>
        <v/>
      </c>
      <c r="DF781" t="str">
        <f>""</f>
        <v/>
      </c>
      <c r="DG781" t="str">
        <f>""</f>
        <v/>
      </c>
      <c r="DH781" t="str">
        <f>""</f>
        <v/>
      </c>
      <c r="DI781" t="str">
        <f>""</f>
        <v/>
      </c>
      <c r="DJ781" t="str">
        <f>""</f>
        <v/>
      </c>
      <c r="DK781" t="str">
        <f>""</f>
        <v/>
      </c>
      <c r="DL781" t="str">
        <f>""</f>
        <v/>
      </c>
      <c r="DM781" t="str">
        <f>""</f>
        <v/>
      </c>
      <c r="DN781" t="str">
        <f>""</f>
        <v/>
      </c>
      <c r="DO781" t="str">
        <f>""</f>
        <v/>
      </c>
      <c r="DP781" t="str">
        <f>""</f>
        <v/>
      </c>
      <c r="DQ781" t="str">
        <f>""</f>
        <v/>
      </c>
      <c r="DR781" t="str">
        <f>""</f>
        <v/>
      </c>
      <c r="DS781" t="str">
        <f>""</f>
        <v/>
      </c>
      <c r="DT781" t="str">
        <f>""</f>
        <v/>
      </c>
      <c r="DU781" t="str">
        <f>""</f>
        <v/>
      </c>
    </row>
    <row r="782" spans="1:125" x14ac:dyDescent="0.25">
      <c r="A782" t="str">
        <f>$A$110</f>
        <v xml:space="preserve">    Mitsubishi Motors Corp</v>
      </c>
      <c r="B782" t="str">
        <f>$B$110</f>
        <v>7211 JP Equity</v>
      </c>
      <c r="C782" t="str">
        <f>$C$110</f>
        <v>EZ010</v>
      </c>
      <c r="D782" t="str">
        <f>$D$110</f>
        <v>BEST_EST_PE_NXT_YR</v>
      </c>
      <c r="E782" t="str">
        <f>$E$110</f>
        <v>Dynamic</v>
      </c>
      <c r="F782" t="str">
        <f ca="1">_xll.BDH($B$110,$C$110,$B$675,$B$676,CONCATENATE("Per=",$B$673),"Dts=H","Dir=H",CONCATENATE("Points=",$B$674),"Sort=R","Days=A","Fill=B",CONCATENATE("FX=", $B$672) )</f>
        <v>#N/A Connection</v>
      </c>
      <c r="BN782" t="str">
        <f>""</f>
        <v/>
      </c>
      <c r="BO782" t="str">
        <f>""</f>
        <v/>
      </c>
      <c r="BP782" t="str">
        <f>""</f>
        <v/>
      </c>
      <c r="BQ782" t="str">
        <f>""</f>
        <v/>
      </c>
      <c r="BR782" t="str">
        <f>""</f>
        <v/>
      </c>
      <c r="BS782" t="str">
        <f>""</f>
        <v/>
      </c>
      <c r="BT782" t="str">
        <f>""</f>
        <v/>
      </c>
      <c r="BU782" t="str">
        <f>""</f>
        <v/>
      </c>
      <c r="BV782" t="str">
        <f>""</f>
        <v/>
      </c>
      <c r="BW782" t="str">
        <f>""</f>
        <v/>
      </c>
      <c r="BX782" t="str">
        <f>""</f>
        <v/>
      </c>
      <c r="BY782" t="str">
        <f>""</f>
        <v/>
      </c>
      <c r="BZ782" t="str">
        <f>""</f>
        <v/>
      </c>
      <c r="CA782" t="str">
        <f>""</f>
        <v/>
      </c>
      <c r="CB782" t="str">
        <f>""</f>
        <v/>
      </c>
      <c r="CC782" t="str">
        <f>""</f>
        <v/>
      </c>
      <c r="CD782" t="str">
        <f>""</f>
        <v/>
      </c>
      <c r="CE782" t="str">
        <f>""</f>
        <v/>
      </c>
      <c r="CF782" t="str">
        <f>""</f>
        <v/>
      </c>
      <c r="CG782" t="str">
        <f>""</f>
        <v/>
      </c>
      <c r="CH782" t="str">
        <f>""</f>
        <v/>
      </c>
      <c r="CI782" t="str">
        <f>""</f>
        <v/>
      </c>
      <c r="CJ782" t="str">
        <f>""</f>
        <v/>
      </c>
      <c r="CK782" t="str">
        <f>""</f>
        <v/>
      </c>
      <c r="CL782" t="str">
        <f>""</f>
        <v/>
      </c>
      <c r="CM782" t="str">
        <f>""</f>
        <v/>
      </c>
      <c r="CN782" t="str">
        <f>""</f>
        <v/>
      </c>
      <c r="CO782" t="str">
        <f>""</f>
        <v/>
      </c>
      <c r="CP782" t="str">
        <f>""</f>
        <v/>
      </c>
      <c r="CQ782" t="str">
        <f>""</f>
        <v/>
      </c>
      <c r="CR782" t="str">
        <f>""</f>
        <v/>
      </c>
      <c r="CS782" t="str">
        <f>""</f>
        <v/>
      </c>
      <c r="CT782" t="str">
        <f>""</f>
        <v/>
      </c>
      <c r="CU782" t="str">
        <f>""</f>
        <v/>
      </c>
      <c r="CV782" t="str">
        <f>""</f>
        <v/>
      </c>
      <c r="CW782" t="str">
        <f>""</f>
        <v/>
      </c>
      <c r="CX782" t="str">
        <f>""</f>
        <v/>
      </c>
      <c r="CY782" t="str">
        <f>""</f>
        <v/>
      </c>
      <c r="CZ782" t="str">
        <f>""</f>
        <v/>
      </c>
      <c r="DA782" t="str">
        <f>""</f>
        <v/>
      </c>
      <c r="DB782" t="str">
        <f>""</f>
        <v/>
      </c>
      <c r="DC782" t="str">
        <f>""</f>
        <v/>
      </c>
      <c r="DD782" t="str">
        <f>""</f>
        <v/>
      </c>
      <c r="DE782" t="str">
        <f>""</f>
        <v/>
      </c>
      <c r="DF782" t="str">
        <f>""</f>
        <v/>
      </c>
      <c r="DG782" t="str">
        <f>""</f>
        <v/>
      </c>
      <c r="DH782" t="str">
        <f>""</f>
        <v/>
      </c>
      <c r="DI782" t="str">
        <f>""</f>
        <v/>
      </c>
      <c r="DJ782" t="str">
        <f>""</f>
        <v/>
      </c>
      <c r="DK782" t="str">
        <f>""</f>
        <v/>
      </c>
      <c r="DL782" t="str">
        <f>""</f>
        <v/>
      </c>
      <c r="DM782" t="str">
        <f>""</f>
        <v/>
      </c>
      <c r="DN782" t="str">
        <f>""</f>
        <v/>
      </c>
      <c r="DO782" t="str">
        <f>""</f>
        <v/>
      </c>
      <c r="DP782" t="str">
        <f>""</f>
        <v/>
      </c>
      <c r="DQ782" t="str">
        <f>""</f>
        <v/>
      </c>
      <c r="DR782" t="str">
        <f>""</f>
        <v/>
      </c>
      <c r="DS782" t="str">
        <f>""</f>
        <v/>
      </c>
      <c r="DT782" t="str">
        <f>""</f>
        <v/>
      </c>
      <c r="DU782" t="str">
        <f>""</f>
        <v/>
      </c>
    </row>
    <row r="783" spans="1:125" x14ac:dyDescent="0.25">
      <c r="A783" t="str">
        <f>$A$111</f>
        <v xml:space="preserve">    Nissan Motor Co Ltd</v>
      </c>
      <c r="B783" t="str">
        <f>$B$111</f>
        <v>7201 JP Equity</v>
      </c>
      <c r="C783" t="str">
        <f>$C$111</f>
        <v>EZ010</v>
      </c>
      <c r="D783" t="str">
        <f>$D$111</f>
        <v>BEST_EST_PE_NXT_YR</v>
      </c>
      <c r="E783" t="str">
        <f>$E$111</f>
        <v>Dynamic</v>
      </c>
      <c r="F783" t="str">
        <f ca="1">_xll.BDH($B$111,$C$111,$B$675,$B$676,CONCATENATE("Per=",$B$673),"Dts=H","Dir=H",CONCATENATE("Points=",$B$674),"Sort=R","Days=A","Fill=B",CONCATENATE("FX=", $B$672) )</f>
        <v>#N/A Connection</v>
      </c>
      <c r="BN783" t="str">
        <f>""</f>
        <v/>
      </c>
      <c r="BO783" t="str">
        <f>""</f>
        <v/>
      </c>
      <c r="BP783" t="str">
        <f>""</f>
        <v/>
      </c>
      <c r="BQ783" t="str">
        <f>""</f>
        <v/>
      </c>
      <c r="BR783" t="str">
        <f>""</f>
        <v/>
      </c>
      <c r="BS783" t="str">
        <f>""</f>
        <v/>
      </c>
      <c r="BT783" t="str">
        <f>""</f>
        <v/>
      </c>
      <c r="BU783" t="str">
        <f>""</f>
        <v/>
      </c>
      <c r="BV783" t="str">
        <f>""</f>
        <v/>
      </c>
      <c r="BW783" t="str">
        <f>""</f>
        <v/>
      </c>
      <c r="BX783" t="str">
        <f>""</f>
        <v/>
      </c>
      <c r="BY783" t="str">
        <f>""</f>
        <v/>
      </c>
      <c r="BZ783" t="str">
        <f>""</f>
        <v/>
      </c>
      <c r="CA783" t="str">
        <f>""</f>
        <v/>
      </c>
      <c r="CB783" t="str">
        <f>""</f>
        <v/>
      </c>
      <c r="CC783" t="str">
        <f>""</f>
        <v/>
      </c>
      <c r="CD783" t="str">
        <f>""</f>
        <v/>
      </c>
      <c r="CE783" t="str">
        <f>""</f>
        <v/>
      </c>
      <c r="CF783" t="str">
        <f>""</f>
        <v/>
      </c>
      <c r="CG783" t="str">
        <f>""</f>
        <v/>
      </c>
      <c r="CH783" t="str">
        <f>""</f>
        <v/>
      </c>
      <c r="CI783" t="str">
        <f>""</f>
        <v/>
      </c>
      <c r="CJ783" t="str">
        <f>""</f>
        <v/>
      </c>
      <c r="CK783" t="str">
        <f>""</f>
        <v/>
      </c>
      <c r="CL783" t="str">
        <f>""</f>
        <v/>
      </c>
      <c r="CM783" t="str">
        <f>""</f>
        <v/>
      </c>
      <c r="CN783" t="str">
        <f>""</f>
        <v/>
      </c>
      <c r="CO783" t="str">
        <f>""</f>
        <v/>
      </c>
      <c r="CP783" t="str">
        <f>""</f>
        <v/>
      </c>
      <c r="CQ783" t="str">
        <f>""</f>
        <v/>
      </c>
      <c r="CR783" t="str">
        <f>""</f>
        <v/>
      </c>
      <c r="CS783" t="str">
        <f>""</f>
        <v/>
      </c>
      <c r="CT783" t="str">
        <f>""</f>
        <v/>
      </c>
      <c r="CU783" t="str">
        <f>""</f>
        <v/>
      </c>
      <c r="CV783" t="str">
        <f>""</f>
        <v/>
      </c>
      <c r="CW783" t="str">
        <f>""</f>
        <v/>
      </c>
      <c r="CX783" t="str">
        <f>""</f>
        <v/>
      </c>
      <c r="CY783" t="str">
        <f>""</f>
        <v/>
      </c>
      <c r="CZ783" t="str">
        <f>""</f>
        <v/>
      </c>
      <c r="DA783" t="str">
        <f>""</f>
        <v/>
      </c>
      <c r="DB783" t="str">
        <f>""</f>
        <v/>
      </c>
      <c r="DC783" t="str">
        <f>""</f>
        <v/>
      </c>
      <c r="DD783" t="str">
        <f>""</f>
        <v/>
      </c>
      <c r="DE783" t="str">
        <f>""</f>
        <v/>
      </c>
      <c r="DF783" t="str">
        <f>""</f>
        <v/>
      </c>
      <c r="DG783" t="str">
        <f>""</f>
        <v/>
      </c>
      <c r="DH783" t="str">
        <f>""</f>
        <v/>
      </c>
      <c r="DI783" t="str">
        <f>""</f>
        <v/>
      </c>
      <c r="DJ783" t="str">
        <f>""</f>
        <v/>
      </c>
      <c r="DK783" t="str">
        <f>""</f>
        <v/>
      </c>
      <c r="DL783" t="str">
        <f>""</f>
        <v/>
      </c>
      <c r="DM783" t="str">
        <f>""</f>
        <v/>
      </c>
      <c r="DN783" t="str">
        <f>""</f>
        <v/>
      </c>
      <c r="DO783" t="str">
        <f>""</f>
        <v/>
      </c>
      <c r="DP783" t="str">
        <f>""</f>
        <v/>
      </c>
      <c r="DQ783" t="str">
        <f>""</f>
        <v/>
      </c>
      <c r="DR783" t="str">
        <f>""</f>
        <v/>
      </c>
      <c r="DS783" t="str">
        <f>""</f>
        <v/>
      </c>
      <c r="DT783" t="str">
        <f>""</f>
        <v/>
      </c>
      <c r="DU783" t="str">
        <f>""</f>
        <v/>
      </c>
    </row>
    <row r="784" spans="1:125" x14ac:dyDescent="0.25">
      <c r="A784" t="str">
        <f>$A$112</f>
        <v xml:space="preserve">    Peugeot SA</v>
      </c>
      <c r="B784" t="str">
        <f>$B$112</f>
        <v>UG FP Equity</v>
      </c>
      <c r="C784" t="str">
        <f>$C$112</f>
        <v>EZ010</v>
      </c>
      <c r="D784" t="str">
        <f>$D$112</f>
        <v>BEST_EST_PE_NXT_YR</v>
      </c>
      <c r="E784" t="str">
        <f>$E$112</f>
        <v>Dynamic</v>
      </c>
      <c r="F784" t="str">
        <f ca="1">_xll.BDH($B$112,$C$112,$B$675,$B$676,CONCATENATE("Per=",$B$673),"Dts=H","Dir=H",CONCATENATE("Points=",$B$674),"Sort=R","Days=A","Fill=B",CONCATENATE("FX=", $B$672) )</f>
        <v>#N/A Connection</v>
      </c>
      <c r="BN784" t="str">
        <f>""</f>
        <v/>
      </c>
      <c r="BO784" t="str">
        <f>""</f>
        <v/>
      </c>
      <c r="BP784" t="str">
        <f>""</f>
        <v/>
      </c>
      <c r="BQ784" t="str">
        <f>""</f>
        <v/>
      </c>
      <c r="BR784" t="str">
        <f>""</f>
        <v/>
      </c>
      <c r="BS784" t="str">
        <f>""</f>
        <v/>
      </c>
      <c r="BT784" t="str">
        <f>""</f>
        <v/>
      </c>
      <c r="BU784" t="str">
        <f>""</f>
        <v/>
      </c>
      <c r="BV784" t="str">
        <f>""</f>
        <v/>
      </c>
      <c r="BW784" t="str">
        <f>""</f>
        <v/>
      </c>
      <c r="BX784" t="str">
        <f>""</f>
        <v/>
      </c>
      <c r="BY784" t="str">
        <f>""</f>
        <v/>
      </c>
      <c r="BZ784" t="str">
        <f>""</f>
        <v/>
      </c>
      <c r="CA784" t="str">
        <f>""</f>
        <v/>
      </c>
      <c r="CB784" t="str">
        <f>""</f>
        <v/>
      </c>
      <c r="CC784" t="str">
        <f>""</f>
        <v/>
      </c>
      <c r="CD784" t="str">
        <f>""</f>
        <v/>
      </c>
      <c r="CE784" t="str">
        <f>""</f>
        <v/>
      </c>
      <c r="CF784" t="str">
        <f>""</f>
        <v/>
      </c>
      <c r="CG784" t="str">
        <f>""</f>
        <v/>
      </c>
      <c r="CH784" t="str">
        <f>""</f>
        <v/>
      </c>
      <c r="CI784" t="str">
        <f>""</f>
        <v/>
      </c>
      <c r="CJ784" t="str">
        <f>""</f>
        <v/>
      </c>
      <c r="CK784" t="str">
        <f>""</f>
        <v/>
      </c>
      <c r="CL784" t="str">
        <f>""</f>
        <v/>
      </c>
      <c r="CM784" t="str">
        <f>""</f>
        <v/>
      </c>
      <c r="CN784" t="str">
        <f>""</f>
        <v/>
      </c>
      <c r="CO784" t="str">
        <f>""</f>
        <v/>
      </c>
      <c r="CP784" t="str">
        <f>""</f>
        <v/>
      </c>
      <c r="CQ784" t="str">
        <f>""</f>
        <v/>
      </c>
      <c r="CR784" t="str">
        <f>""</f>
        <v/>
      </c>
      <c r="CS784" t="str">
        <f>""</f>
        <v/>
      </c>
      <c r="CT784" t="str">
        <f>""</f>
        <v/>
      </c>
      <c r="CU784" t="str">
        <f>""</f>
        <v/>
      </c>
      <c r="CV784" t="str">
        <f>""</f>
        <v/>
      </c>
      <c r="CW784" t="str">
        <f>""</f>
        <v/>
      </c>
      <c r="CX784" t="str">
        <f>""</f>
        <v/>
      </c>
      <c r="CY784" t="str">
        <f>""</f>
        <v/>
      </c>
      <c r="CZ784" t="str">
        <f>""</f>
        <v/>
      </c>
      <c r="DA784" t="str">
        <f>""</f>
        <v/>
      </c>
      <c r="DB784" t="str">
        <f>""</f>
        <v/>
      </c>
      <c r="DC784" t="str">
        <f>""</f>
        <v/>
      </c>
      <c r="DD784" t="str">
        <f>""</f>
        <v/>
      </c>
      <c r="DE784" t="str">
        <f>""</f>
        <v/>
      </c>
      <c r="DF784" t="str">
        <f>""</f>
        <v/>
      </c>
      <c r="DG784" t="str">
        <f>""</f>
        <v/>
      </c>
      <c r="DH784" t="str">
        <f>""</f>
        <v/>
      </c>
      <c r="DI784" t="str">
        <f>""</f>
        <v/>
      </c>
      <c r="DJ784" t="str">
        <f>""</f>
        <v/>
      </c>
      <c r="DK784" t="str">
        <f>""</f>
        <v/>
      </c>
      <c r="DL784" t="str">
        <f>""</f>
        <v/>
      </c>
      <c r="DM784" t="str">
        <f>""</f>
        <v/>
      </c>
      <c r="DN784" t="str">
        <f>""</f>
        <v/>
      </c>
      <c r="DO784" t="str">
        <f>""</f>
        <v/>
      </c>
      <c r="DP784" t="str">
        <f>""</f>
        <v/>
      </c>
      <c r="DQ784" t="str">
        <f>""</f>
        <v/>
      </c>
      <c r="DR784" t="str">
        <f>""</f>
        <v/>
      </c>
      <c r="DS784" t="str">
        <f>""</f>
        <v/>
      </c>
      <c r="DT784" t="str">
        <f>""</f>
        <v/>
      </c>
      <c r="DU784" t="str">
        <f>""</f>
        <v/>
      </c>
    </row>
    <row r="785" spans="1:125" x14ac:dyDescent="0.25">
      <c r="A785" t="str">
        <f>$A$113</f>
        <v xml:space="preserve">    Renault SA</v>
      </c>
      <c r="B785" t="str">
        <f>$B$113</f>
        <v>RNO FP Equity</v>
      </c>
      <c r="C785" t="str">
        <f>$C$113</f>
        <v>EZ010</v>
      </c>
      <c r="D785" t="str">
        <f>$D$113</f>
        <v>BEST_EST_PE_NXT_YR</v>
      </c>
      <c r="E785" t="str">
        <f>$E$113</f>
        <v>Dynamic</v>
      </c>
      <c r="F785" t="str">
        <f ca="1">_xll.BDH($B$113,$C$113,$B$675,$B$676,CONCATENATE("Per=",$B$673),"Dts=H","Dir=H",CONCATENATE("Points=",$B$674),"Sort=R","Days=A","Fill=B",CONCATENATE("FX=", $B$672) )</f>
        <v>#N/A Connection</v>
      </c>
      <c r="BN785" t="str">
        <f>""</f>
        <v/>
      </c>
      <c r="BO785" t="str">
        <f>""</f>
        <v/>
      </c>
      <c r="BP785" t="str">
        <f>""</f>
        <v/>
      </c>
      <c r="BQ785" t="str">
        <f>""</f>
        <v/>
      </c>
      <c r="BR785" t="str">
        <f>""</f>
        <v/>
      </c>
      <c r="BS785" t="str">
        <f>""</f>
        <v/>
      </c>
      <c r="BT785" t="str">
        <f>""</f>
        <v/>
      </c>
      <c r="BU785" t="str">
        <f>""</f>
        <v/>
      </c>
      <c r="BV785" t="str">
        <f>""</f>
        <v/>
      </c>
      <c r="BW785" t="str">
        <f>""</f>
        <v/>
      </c>
      <c r="BX785" t="str">
        <f>""</f>
        <v/>
      </c>
      <c r="BY785" t="str">
        <f>""</f>
        <v/>
      </c>
      <c r="BZ785" t="str">
        <f>""</f>
        <v/>
      </c>
      <c r="CA785" t="str">
        <f>""</f>
        <v/>
      </c>
      <c r="CB785" t="str">
        <f>""</f>
        <v/>
      </c>
      <c r="CC785" t="str">
        <f>""</f>
        <v/>
      </c>
      <c r="CD785" t="str">
        <f>""</f>
        <v/>
      </c>
      <c r="CE785" t="str">
        <f>""</f>
        <v/>
      </c>
      <c r="CF785" t="str">
        <f>""</f>
        <v/>
      </c>
      <c r="CG785" t="str">
        <f>""</f>
        <v/>
      </c>
      <c r="CH785" t="str">
        <f>""</f>
        <v/>
      </c>
      <c r="CI785" t="str">
        <f>""</f>
        <v/>
      </c>
      <c r="CJ785" t="str">
        <f>""</f>
        <v/>
      </c>
      <c r="CK785" t="str">
        <f>""</f>
        <v/>
      </c>
      <c r="CL785" t="str">
        <f>""</f>
        <v/>
      </c>
      <c r="CM785" t="str">
        <f>""</f>
        <v/>
      </c>
      <c r="CN785" t="str">
        <f>""</f>
        <v/>
      </c>
      <c r="CO785" t="str">
        <f>""</f>
        <v/>
      </c>
      <c r="CP785" t="str">
        <f>""</f>
        <v/>
      </c>
      <c r="CQ785" t="str">
        <f>""</f>
        <v/>
      </c>
      <c r="CR785" t="str">
        <f>""</f>
        <v/>
      </c>
      <c r="CS785" t="str">
        <f>""</f>
        <v/>
      </c>
      <c r="CT785" t="str">
        <f>""</f>
        <v/>
      </c>
      <c r="CU785" t="str">
        <f>""</f>
        <v/>
      </c>
      <c r="CV785" t="str">
        <f>""</f>
        <v/>
      </c>
      <c r="CW785" t="str">
        <f>""</f>
        <v/>
      </c>
      <c r="CX785" t="str">
        <f>""</f>
        <v/>
      </c>
      <c r="CY785" t="str">
        <f>""</f>
        <v/>
      </c>
      <c r="CZ785" t="str">
        <f>""</f>
        <v/>
      </c>
      <c r="DA785" t="str">
        <f>""</f>
        <v/>
      </c>
      <c r="DB785" t="str">
        <f>""</f>
        <v/>
      </c>
      <c r="DC785" t="str">
        <f>""</f>
        <v/>
      </c>
      <c r="DD785" t="str">
        <f>""</f>
        <v/>
      </c>
      <c r="DE785" t="str">
        <f>""</f>
        <v/>
      </c>
      <c r="DF785" t="str">
        <f>""</f>
        <v/>
      </c>
      <c r="DG785" t="str">
        <f>""</f>
        <v/>
      </c>
      <c r="DH785" t="str">
        <f>""</f>
        <v/>
      </c>
      <c r="DI785" t="str">
        <f>""</f>
        <v/>
      </c>
      <c r="DJ785" t="str">
        <f>""</f>
        <v/>
      </c>
      <c r="DK785" t="str">
        <f>""</f>
        <v/>
      </c>
      <c r="DL785" t="str">
        <f>""</f>
        <v/>
      </c>
      <c r="DM785" t="str">
        <f>""</f>
        <v/>
      </c>
      <c r="DN785" t="str">
        <f>""</f>
        <v/>
      </c>
      <c r="DO785" t="str">
        <f>""</f>
        <v/>
      </c>
      <c r="DP785" t="str">
        <f>""</f>
        <v/>
      </c>
      <c r="DQ785" t="str">
        <f>""</f>
        <v/>
      </c>
      <c r="DR785" t="str">
        <f>""</f>
        <v/>
      </c>
      <c r="DS785" t="str">
        <f>""</f>
        <v/>
      </c>
      <c r="DT785" t="str">
        <f>""</f>
        <v/>
      </c>
      <c r="DU785" t="str">
        <f>""</f>
        <v/>
      </c>
    </row>
    <row r="786" spans="1:125" x14ac:dyDescent="0.25">
      <c r="A786" t="str">
        <f>$A$114</f>
        <v xml:space="preserve">    SAIC Motor Corp Ltd</v>
      </c>
      <c r="B786" t="str">
        <f>$B$114</f>
        <v>600104 CH Equity</v>
      </c>
      <c r="C786" t="str">
        <f>$C$114</f>
        <v>EZ010</v>
      </c>
      <c r="D786" t="str">
        <f>$D$114</f>
        <v>BEST_EST_PE_NXT_YR</v>
      </c>
      <c r="E786" t="str">
        <f>$E$114</f>
        <v>Dynamic</v>
      </c>
      <c r="F786" t="str">
        <f ca="1">_xll.BDH($B$114,$C$114,$B$675,$B$676,CONCATENATE("Per=",$B$673),"Dts=H","Dir=H",CONCATENATE("Points=",$B$674),"Sort=R","Days=A","Fill=B",CONCATENATE("FX=", $B$672) )</f>
        <v>#N/A Connection</v>
      </c>
      <c r="BN786" t="str">
        <f>""</f>
        <v/>
      </c>
      <c r="BO786" t="str">
        <f>""</f>
        <v/>
      </c>
      <c r="BP786" t="str">
        <f>""</f>
        <v/>
      </c>
      <c r="BQ786" t="str">
        <f>""</f>
        <v/>
      </c>
      <c r="BR786" t="str">
        <f>""</f>
        <v/>
      </c>
      <c r="BS786" t="str">
        <f>""</f>
        <v/>
      </c>
      <c r="BT786" t="str">
        <f>""</f>
        <v/>
      </c>
      <c r="BU786" t="str">
        <f>""</f>
        <v/>
      </c>
      <c r="BV786" t="str">
        <f>""</f>
        <v/>
      </c>
      <c r="BW786" t="str">
        <f>""</f>
        <v/>
      </c>
      <c r="BX786" t="str">
        <f>""</f>
        <v/>
      </c>
      <c r="BY786" t="str">
        <f>""</f>
        <v/>
      </c>
      <c r="BZ786" t="str">
        <f>""</f>
        <v/>
      </c>
      <c r="CA786" t="str">
        <f>""</f>
        <v/>
      </c>
      <c r="CB786" t="str">
        <f>""</f>
        <v/>
      </c>
      <c r="CC786" t="str">
        <f>""</f>
        <v/>
      </c>
      <c r="CD786" t="str">
        <f>""</f>
        <v/>
      </c>
      <c r="CE786" t="str">
        <f>""</f>
        <v/>
      </c>
      <c r="CF786" t="str">
        <f>""</f>
        <v/>
      </c>
      <c r="CG786" t="str">
        <f>""</f>
        <v/>
      </c>
      <c r="CH786" t="str">
        <f>""</f>
        <v/>
      </c>
      <c r="CI786" t="str">
        <f>""</f>
        <v/>
      </c>
      <c r="CJ786" t="str">
        <f>""</f>
        <v/>
      </c>
      <c r="CK786" t="str">
        <f>""</f>
        <v/>
      </c>
      <c r="CL786" t="str">
        <f>""</f>
        <v/>
      </c>
      <c r="CM786" t="str">
        <f>""</f>
        <v/>
      </c>
      <c r="CN786" t="str">
        <f>""</f>
        <v/>
      </c>
      <c r="CO786" t="str">
        <f>""</f>
        <v/>
      </c>
      <c r="CP786" t="str">
        <f>""</f>
        <v/>
      </c>
      <c r="CQ786" t="str">
        <f>""</f>
        <v/>
      </c>
      <c r="CR786" t="str">
        <f>""</f>
        <v/>
      </c>
      <c r="CS786" t="str">
        <f>""</f>
        <v/>
      </c>
      <c r="CT786" t="str">
        <f>""</f>
        <v/>
      </c>
      <c r="CU786" t="str">
        <f>""</f>
        <v/>
      </c>
      <c r="CV786" t="str">
        <f>""</f>
        <v/>
      </c>
      <c r="CW786" t="str">
        <f>""</f>
        <v/>
      </c>
      <c r="CX786" t="str">
        <f>""</f>
        <v/>
      </c>
      <c r="CY786" t="str">
        <f>""</f>
        <v/>
      </c>
      <c r="CZ786" t="str">
        <f>""</f>
        <v/>
      </c>
      <c r="DA786" t="str">
        <f>""</f>
        <v/>
      </c>
      <c r="DB786" t="str">
        <f>""</f>
        <v/>
      </c>
      <c r="DC786" t="str">
        <f>""</f>
        <v/>
      </c>
      <c r="DD786" t="str">
        <f>""</f>
        <v/>
      </c>
      <c r="DE786" t="str">
        <f>""</f>
        <v/>
      </c>
      <c r="DF786" t="str">
        <f>""</f>
        <v/>
      </c>
      <c r="DG786" t="str">
        <f>""</f>
        <v/>
      </c>
      <c r="DH786" t="str">
        <f>""</f>
        <v/>
      </c>
      <c r="DI786" t="str">
        <f>""</f>
        <v/>
      </c>
      <c r="DJ786" t="str">
        <f>""</f>
        <v/>
      </c>
      <c r="DK786" t="str">
        <f>""</f>
        <v/>
      </c>
      <c r="DL786" t="str">
        <f>""</f>
        <v/>
      </c>
      <c r="DM786" t="str">
        <f>""</f>
        <v/>
      </c>
      <c r="DN786" t="str">
        <f>""</f>
        <v/>
      </c>
      <c r="DO786" t="str">
        <f>""</f>
        <v/>
      </c>
      <c r="DP786" t="str">
        <f>""</f>
        <v/>
      </c>
      <c r="DQ786" t="str">
        <f>""</f>
        <v/>
      </c>
      <c r="DR786" t="str">
        <f>""</f>
        <v/>
      </c>
      <c r="DS786" t="str">
        <f>""</f>
        <v/>
      </c>
      <c r="DT786" t="str">
        <f>""</f>
        <v/>
      </c>
      <c r="DU786" t="str">
        <f>""</f>
        <v/>
      </c>
    </row>
    <row r="787" spans="1:125" x14ac:dyDescent="0.25">
      <c r="A787" t="str">
        <f>$A$115</f>
        <v xml:space="preserve">    Sanyang Motor Co Ltd</v>
      </c>
      <c r="B787" t="str">
        <f>$B$115</f>
        <v>2206 TT Equity</v>
      </c>
      <c r="C787" t="str">
        <f>$C$115</f>
        <v>EZ010</v>
      </c>
      <c r="D787" t="str">
        <f>$D$115</f>
        <v>BEST_EST_PE_NXT_YR</v>
      </c>
      <c r="E787" t="str">
        <f>$E$115</f>
        <v>Dynamic</v>
      </c>
      <c r="F787" t="str">
        <f ca="1">_xll.BDH($B$115,$C$115,$B$675,$B$676,CONCATENATE("Per=",$B$673),"Dts=H","Dir=H",CONCATENATE("Points=",$B$674),"Sort=R","Days=A","Fill=B",CONCATENATE("FX=", $B$672) )</f>
        <v>#N/A Connection</v>
      </c>
      <c r="BN787" t="str">
        <f>""</f>
        <v/>
      </c>
      <c r="BO787" t="str">
        <f>""</f>
        <v/>
      </c>
      <c r="BP787" t="str">
        <f>""</f>
        <v/>
      </c>
      <c r="BQ787" t="str">
        <f>""</f>
        <v/>
      </c>
      <c r="BR787" t="str">
        <f>""</f>
        <v/>
      </c>
      <c r="BS787" t="str">
        <f>""</f>
        <v/>
      </c>
      <c r="BT787" t="str">
        <f>""</f>
        <v/>
      </c>
      <c r="BU787" t="str">
        <f>""</f>
        <v/>
      </c>
      <c r="BV787" t="str">
        <f>""</f>
        <v/>
      </c>
      <c r="BW787" t="str">
        <f>""</f>
        <v/>
      </c>
      <c r="BX787" t="str">
        <f>""</f>
        <v/>
      </c>
      <c r="BY787" t="str">
        <f>""</f>
        <v/>
      </c>
      <c r="BZ787" t="str">
        <f>""</f>
        <v/>
      </c>
      <c r="CA787" t="str">
        <f>""</f>
        <v/>
      </c>
      <c r="CB787" t="str">
        <f>""</f>
        <v/>
      </c>
      <c r="CC787" t="str">
        <f>""</f>
        <v/>
      </c>
      <c r="CD787" t="str">
        <f>""</f>
        <v/>
      </c>
      <c r="CE787" t="str">
        <f>""</f>
        <v/>
      </c>
      <c r="CF787" t="str">
        <f>""</f>
        <v/>
      </c>
      <c r="CG787" t="str">
        <f>""</f>
        <v/>
      </c>
      <c r="CH787" t="str">
        <f>""</f>
        <v/>
      </c>
      <c r="CI787" t="str">
        <f>""</f>
        <v/>
      </c>
      <c r="CJ787" t="str">
        <f>""</f>
        <v/>
      </c>
      <c r="CK787" t="str">
        <f>""</f>
        <v/>
      </c>
      <c r="CL787" t="str">
        <f>""</f>
        <v/>
      </c>
      <c r="CM787" t="str">
        <f>""</f>
        <v/>
      </c>
      <c r="CN787" t="str">
        <f>""</f>
        <v/>
      </c>
      <c r="CO787" t="str">
        <f>""</f>
        <v/>
      </c>
      <c r="CP787" t="str">
        <f>""</f>
        <v/>
      </c>
      <c r="CQ787" t="str">
        <f>""</f>
        <v/>
      </c>
      <c r="CR787" t="str">
        <f>""</f>
        <v/>
      </c>
      <c r="CS787" t="str">
        <f>""</f>
        <v/>
      </c>
      <c r="CT787" t="str">
        <f>""</f>
        <v/>
      </c>
      <c r="CU787" t="str">
        <f>""</f>
        <v/>
      </c>
      <c r="CV787" t="str">
        <f>""</f>
        <v/>
      </c>
      <c r="CW787" t="str">
        <f>""</f>
        <v/>
      </c>
      <c r="CX787" t="str">
        <f>""</f>
        <v/>
      </c>
      <c r="CY787" t="str">
        <f>""</f>
        <v/>
      </c>
      <c r="CZ787" t="str">
        <f>""</f>
        <v/>
      </c>
      <c r="DA787" t="str">
        <f>""</f>
        <v/>
      </c>
      <c r="DB787" t="str">
        <f>""</f>
        <v/>
      </c>
      <c r="DC787" t="str">
        <f>""</f>
        <v/>
      </c>
      <c r="DD787" t="str">
        <f>""</f>
        <v/>
      </c>
      <c r="DE787" t="str">
        <f>""</f>
        <v/>
      </c>
      <c r="DF787" t="str">
        <f>""</f>
        <v/>
      </c>
      <c r="DG787" t="str">
        <f>""</f>
        <v/>
      </c>
      <c r="DH787" t="str">
        <f>""</f>
        <v/>
      </c>
      <c r="DI787" t="str">
        <f>""</f>
        <v/>
      </c>
      <c r="DJ787" t="str">
        <f>""</f>
        <v/>
      </c>
      <c r="DK787" t="str">
        <f>""</f>
        <v/>
      </c>
      <c r="DL787" t="str">
        <f>""</f>
        <v/>
      </c>
      <c r="DM787" t="str">
        <f>""</f>
        <v/>
      </c>
      <c r="DN787" t="str">
        <f>""</f>
        <v/>
      </c>
      <c r="DO787" t="str">
        <f>""</f>
        <v/>
      </c>
      <c r="DP787" t="str">
        <f>""</f>
        <v/>
      </c>
      <c r="DQ787" t="str">
        <f>""</f>
        <v/>
      </c>
      <c r="DR787" t="str">
        <f>""</f>
        <v/>
      </c>
      <c r="DS787" t="str">
        <f>""</f>
        <v/>
      </c>
      <c r="DT787" t="str">
        <f>""</f>
        <v/>
      </c>
      <c r="DU787" t="str">
        <f>""</f>
        <v/>
      </c>
    </row>
    <row r="788" spans="1:125" x14ac:dyDescent="0.25">
      <c r="A788" t="str">
        <f>$A$116</f>
        <v xml:space="preserve">    Sollers PJSC</v>
      </c>
      <c r="B788" t="str">
        <f>$B$116</f>
        <v>SVAV RM Equity</v>
      </c>
      <c r="C788" t="str">
        <f>$C$116</f>
        <v>EZ010</v>
      </c>
      <c r="D788" t="str">
        <f>$D$116</f>
        <v>BEST_EST_PE_NXT_YR</v>
      </c>
      <c r="E788" t="str">
        <f>$E$116</f>
        <v>Dynamic</v>
      </c>
      <c r="F788" t="str">
        <f ca="1">_xll.BDH($B$116,$C$116,$B$675,$B$676,CONCATENATE("Per=",$B$673),"Dts=H","Dir=H",CONCATENATE("Points=",$B$674),"Sort=R","Days=A","Fill=B",CONCATENATE("FX=", $B$672) )</f>
        <v>#N/A Connection</v>
      </c>
      <c r="BN788" t="str">
        <f>""</f>
        <v/>
      </c>
      <c r="BO788" t="str">
        <f>""</f>
        <v/>
      </c>
      <c r="BP788" t="str">
        <f>""</f>
        <v/>
      </c>
      <c r="BQ788" t="str">
        <f>""</f>
        <v/>
      </c>
      <c r="BR788" t="str">
        <f>""</f>
        <v/>
      </c>
      <c r="BS788" t="str">
        <f>""</f>
        <v/>
      </c>
      <c r="BT788" t="str">
        <f>""</f>
        <v/>
      </c>
      <c r="BU788" t="str">
        <f>""</f>
        <v/>
      </c>
      <c r="BV788" t="str">
        <f>""</f>
        <v/>
      </c>
      <c r="BW788" t="str">
        <f>""</f>
        <v/>
      </c>
      <c r="BX788" t="str">
        <f>""</f>
        <v/>
      </c>
      <c r="BY788" t="str">
        <f>""</f>
        <v/>
      </c>
      <c r="BZ788" t="str">
        <f>""</f>
        <v/>
      </c>
      <c r="CA788" t="str">
        <f>""</f>
        <v/>
      </c>
      <c r="CB788" t="str">
        <f>""</f>
        <v/>
      </c>
      <c r="CC788" t="str">
        <f>""</f>
        <v/>
      </c>
      <c r="CD788" t="str">
        <f>""</f>
        <v/>
      </c>
      <c r="CE788" t="str">
        <f>""</f>
        <v/>
      </c>
      <c r="CF788" t="str">
        <f>""</f>
        <v/>
      </c>
      <c r="CG788" t="str">
        <f>""</f>
        <v/>
      </c>
      <c r="CH788" t="str">
        <f>""</f>
        <v/>
      </c>
      <c r="CI788" t="str">
        <f>""</f>
        <v/>
      </c>
      <c r="CJ788" t="str">
        <f>""</f>
        <v/>
      </c>
      <c r="CK788" t="str">
        <f>""</f>
        <v/>
      </c>
      <c r="CL788" t="str">
        <f>""</f>
        <v/>
      </c>
      <c r="CM788" t="str">
        <f>""</f>
        <v/>
      </c>
      <c r="CN788" t="str">
        <f>""</f>
        <v/>
      </c>
      <c r="CO788" t="str">
        <f>""</f>
        <v/>
      </c>
      <c r="CP788" t="str">
        <f>""</f>
        <v/>
      </c>
      <c r="CQ788" t="str">
        <f>""</f>
        <v/>
      </c>
      <c r="CR788" t="str">
        <f>""</f>
        <v/>
      </c>
      <c r="CS788" t="str">
        <f>""</f>
        <v/>
      </c>
      <c r="CT788" t="str">
        <f>""</f>
        <v/>
      </c>
      <c r="CU788" t="str">
        <f>""</f>
        <v/>
      </c>
      <c r="CV788" t="str">
        <f>""</f>
        <v/>
      </c>
      <c r="CW788" t="str">
        <f>""</f>
        <v/>
      </c>
      <c r="CX788" t="str">
        <f>""</f>
        <v/>
      </c>
      <c r="CY788" t="str">
        <f>""</f>
        <v/>
      </c>
      <c r="CZ788" t="str">
        <f>""</f>
        <v/>
      </c>
      <c r="DA788" t="str">
        <f>""</f>
        <v/>
      </c>
      <c r="DB788" t="str">
        <f>""</f>
        <v/>
      </c>
      <c r="DC788" t="str">
        <f>""</f>
        <v/>
      </c>
      <c r="DD788" t="str">
        <f>""</f>
        <v/>
      </c>
      <c r="DE788" t="str">
        <f>""</f>
        <v/>
      </c>
      <c r="DF788" t="str">
        <f>""</f>
        <v/>
      </c>
      <c r="DG788" t="str">
        <f>""</f>
        <v/>
      </c>
      <c r="DH788" t="str">
        <f>""</f>
        <v/>
      </c>
      <c r="DI788" t="str">
        <f>""</f>
        <v/>
      </c>
      <c r="DJ788" t="str">
        <f>""</f>
        <v/>
      </c>
      <c r="DK788" t="str">
        <f>""</f>
        <v/>
      </c>
      <c r="DL788" t="str">
        <f>""</f>
        <v/>
      </c>
      <c r="DM788" t="str">
        <f>""</f>
        <v/>
      </c>
      <c r="DN788" t="str">
        <f>""</f>
        <v/>
      </c>
      <c r="DO788" t="str">
        <f>""</f>
        <v/>
      </c>
      <c r="DP788" t="str">
        <f>""</f>
        <v/>
      </c>
      <c r="DQ788" t="str">
        <f>""</f>
        <v/>
      </c>
      <c r="DR788" t="str">
        <f>""</f>
        <v/>
      </c>
      <c r="DS788" t="str">
        <f>""</f>
        <v/>
      </c>
      <c r="DT788" t="str">
        <f>""</f>
        <v/>
      </c>
      <c r="DU788" t="str">
        <f>""</f>
        <v/>
      </c>
    </row>
    <row r="789" spans="1:125" x14ac:dyDescent="0.25">
      <c r="A789" t="str">
        <f>$A$117</f>
        <v xml:space="preserve">    Ssangyong Motor Co</v>
      </c>
      <c r="B789" t="str">
        <f>$B$117</f>
        <v>003620 KS Equity</v>
      </c>
      <c r="C789" t="str">
        <f>$C$117</f>
        <v>EZ010</v>
      </c>
      <c r="D789" t="str">
        <f>$D$117</f>
        <v>BEST_EST_PE_NXT_YR</v>
      </c>
      <c r="E789" t="str">
        <f>$E$117</f>
        <v>Dynamic</v>
      </c>
      <c r="F789" t="str">
        <f ca="1">_xll.BDH($B$117,$C$117,$B$675,$B$676,CONCATENATE("Per=",$B$673),"Dts=H","Dir=H",CONCATENATE("Points=",$B$674),"Sort=R","Days=A","Fill=B",CONCATENATE("FX=", $B$672) )</f>
        <v>#N/A Connection</v>
      </c>
      <c r="BN789" t="str">
        <f>""</f>
        <v/>
      </c>
      <c r="BO789" t="str">
        <f>""</f>
        <v/>
      </c>
      <c r="BP789" t="str">
        <f>""</f>
        <v/>
      </c>
      <c r="BQ789" t="str">
        <f>""</f>
        <v/>
      </c>
      <c r="BR789" t="str">
        <f>""</f>
        <v/>
      </c>
      <c r="BS789" t="str">
        <f>""</f>
        <v/>
      </c>
      <c r="BT789" t="str">
        <f>""</f>
        <v/>
      </c>
      <c r="BU789" t="str">
        <f>""</f>
        <v/>
      </c>
      <c r="BV789" t="str">
        <f>""</f>
        <v/>
      </c>
      <c r="BW789" t="str">
        <f>""</f>
        <v/>
      </c>
      <c r="BX789" t="str">
        <f>""</f>
        <v/>
      </c>
      <c r="BY789" t="str">
        <f>""</f>
        <v/>
      </c>
      <c r="BZ789" t="str">
        <f>""</f>
        <v/>
      </c>
      <c r="CA789" t="str">
        <f>""</f>
        <v/>
      </c>
      <c r="CB789" t="str">
        <f>""</f>
        <v/>
      </c>
      <c r="CC789" t="str">
        <f>""</f>
        <v/>
      </c>
      <c r="CD789" t="str">
        <f>""</f>
        <v/>
      </c>
      <c r="CE789" t="str">
        <f>""</f>
        <v/>
      </c>
      <c r="CF789" t="str">
        <f>""</f>
        <v/>
      </c>
      <c r="CG789" t="str">
        <f>""</f>
        <v/>
      </c>
      <c r="CH789" t="str">
        <f>""</f>
        <v/>
      </c>
      <c r="CI789" t="str">
        <f>""</f>
        <v/>
      </c>
      <c r="CJ789" t="str">
        <f>""</f>
        <v/>
      </c>
      <c r="CK789" t="str">
        <f>""</f>
        <v/>
      </c>
      <c r="CL789" t="str">
        <f>""</f>
        <v/>
      </c>
      <c r="CM789" t="str">
        <f>""</f>
        <v/>
      </c>
      <c r="CN789" t="str">
        <f>""</f>
        <v/>
      </c>
      <c r="CO789" t="str">
        <f>""</f>
        <v/>
      </c>
      <c r="CP789" t="str">
        <f>""</f>
        <v/>
      </c>
      <c r="CQ789" t="str">
        <f>""</f>
        <v/>
      </c>
      <c r="CR789" t="str">
        <f>""</f>
        <v/>
      </c>
      <c r="CS789" t="str">
        <f>""</f>
        <v/>
      </c>
      <c r="CT789" t="str">
        <f>""</f>
        <v/>
      </c>
      <c r="CU789" t="str">
        <f>""</f>
        <v/>
      </c>
      <c r="CV789" t="str">
        <f>""</f>
        <v/>
      </c>
      <c r="CW789" t="str">
        <f>""</f>
        <v/>
      </c>
      <c r="CX789" t="str">
        <f>""</f>
        <v/>
      </c>
      <c r="CY789" t="str">
        <f>""</f>
        <v/>
      </c>
      <c r="CZ789" t="str">
        <f>""</f>
        <v/>
      </c>
      <c r="DA789" t="str">
        <f>""</f>
        <v/>
      </c>
      <c r="DB789" t="str">
        <f>""</f>
        <v/>
      </c>
      <c r="DC789" t="str">
        <f>""</f>
        <v/>
      </c>
      <c r="DD789" t="str">
        <f>""</f>
        <v/>
      </c>
      <c r="DE789" t="str">
        <f>""</f>
        <v/>
      </c>
      <c r="DF789" t="str">
        <f>""</f>
        <v/>
      </c>
      <c r="DG789" t="str">
        <f>""</f>
        <v/>
      </c>
      <c r="DH789" t="str">
        <f>""</f>
        <v/>
      </c>
      <c r="DI789" t="str">
        <f>""</f>
        <v/>
      </c>
      <c r="DJ789" t="str">
        <f>""</f>
        <v/>
      </c>
      <c r="DK789" t="str">
        <f>""</f>
        <v/>
      </c>
      <c r="DL789" t="str">
        <f>""</f>
        <v/>
      </c>
      <c r="DM789" t="str">
        <f>""</f>
        <v/>
      </c>
      <c r="DN789" t="str">
        <f>""</f>
        <v/>
      </c>
      <c r="DO789" t="str">
        <f>""</f>
        <v/>
      </c>
      <c r="DP789" t="str">
        <f>""</f>
        <v/>
      </c>
      <c r="DQ789" t="str">
        <f>""</f>
        <v/>
      </c>
      <c r="DR789" t="str">
        <f>""</f>
        <v/>
      </c>
      <c r="DS789" t="str">
        <f>""</f>
        <v/>
      </c>
      <c r="DT789" t="str">
        <f>""</f>
        <v/>
      </c>
      <c r="DU789" t="str">
        <f>""</f>
        <v/>
      </c>
    </row>
    <row r="790" spans="1:125" x14ac:dyDescent="0.25">
      <c r="A790" t="str">
        <f>$A$118</f>
        <v xml:space="preserve">    Subaru Corp</v>
      </c>
      <c r="B790" t="str">
        <f>$B$118</f>
        <v>7270 JP Equity</v>
      </c>
      <c r="C790" t="str">
        <f>$C$118</f>
        <v>EZ010</v>
      </c>
      <c r="D790" t="str">
        <f>$D$118</f>
        <v>BEST_EST_PE_NXT_YR</v>
      </c>
      <c r="E790" t="str">
        <f>$E$118</f>
        <v>Dynamic</v>
      </c>
      <c r="F790" t="str">
        <f ca="1">_xll.BDH($B$118,$C$118,$B$675,$B$676,CONCATENATE("Per=",$B$673),"Dts=H","Dir=H",CONCATENATE("Points=",$B$674),"Sort=R","Days=A","Fill=B",CONCATENATE("FX=", $B$672) )</f>
        <v>#N/A Connection</v>
      </c>
      <c r="BN790" t="str">
        <f>""</f>
        <v/>
      </c>
      <c r="BO790" t="str">
        <f>""</f>
        <v/>
      </c>
      <c r="BP790" t="str">
        <f>""</f>
        <v/>
      </c>
      <c r="BQ790" t="str">
        <f>""</f>
        <v/>
      </c>
      <c r="BR790" t="str">
        <f>""</f>
        <v/>
      </c>
      <c r="BS790" t="str">
        <f>""</f>
        <v/>
      </c>
      <c r="BT790" t="str">
        <f>""</f>
        <v/>
      </c>
      <c r="BU790" t="str">
        <f>""</f>
        <v/>
      </c>
      <c r="BV790" t="str">
        <f>""</f>
        <v/>
      </c>
      <c r="BW790" t="str">
        <f>""</f>
        <v/>
      </c>
      <c r="BX790" t="str">
        <f>""</f>
        <v/>
      </c>
      <c r="BY790" t="str">
        <f>""</f>
        <v/>
      </c>
      <c r="BZ790" t="str">
        <f>""</f>
        <v/>
      </c>
      <c r="CA790" t="str">
        <f>""</f>
        <v/>
      </c>
      <c r="CB790" t="str">
        <f>""</f>
        <v/>
      </c>
      <c r="CC790" t="str">
        <f>""</f>
        <v/>
      </c>
      <c r="CD790" t="str">
        <f>""</f>
        <v/>
      </c>
      <c r="CE790" t="str">
        <f>""</f>
        <v/>
      </c>
      <c r="CF790" t="str">
        <f>""</f>
        <v/>
      </c>
      <c r="CG790" t="str">
        <f>""</f>
        <v/>
      </c>
      <c r="CH790" t="str">
        <f>""</f>
        <v/>
      </c>
      <c r="CI790" t="str">
        <f>""</f>
        <v/>
      </c>
      <c r="CJ790" t="str">
        <f>""</f>
        <v/>
      </c>
      <c r="CK790" t="str">
        <f>""</f>
        <v/>
      </c>
      <c r="CL790" t="str">
        <f>""</f>
        <v/>
      </c>
      <c r="CM790" t="str">
        <f>""</f>
        <v/>
      </c>
      <c r="CN790" t="str">
        <f>""</f>
        <v/>
      </c>
      <c r="CO790" t="str">
        <f>""</f>
        <v/>
      </c>
      <c r="CP790" t="str">
        <f>""</f>
        <v/>
      </c>
      <c r="CQ790" t="str">
        <f>""</f>
        <v/>
      </c>
      <c r="CR790" t="str">
        <f>""</f>
        <v/>
      </c>
      <c r="CS790" t="str">
        <f>""</f>
        <v/>
      </c>
      <c r="CT790" t="str">
        <f>""</f>
        <v/>
      </c>
      <c r="CU790" t="str">
        <f>""</f>
        <v/>
      </c>
      <c r="CV790" t="str">
        <f>""</f>
        <v/>
      </c>
      <c r="CW790" t="str">
        <f>""</f>
        <v/>
      </c>
      <c r="CX790" t="str">
        <f>""</f>
        <v/>
      </c>
      <c r="CY790" t="str">
        <f>""</f>
        <v/>
      </c>
      <c r="CZ790" t="str">
        <f>""</f>
        <v/>
      </c>
      <c r="DA790" t="str">
        <f>""</f>
        <v/>
      </c>
      <c r="DB790" t="str">
        <f>""</f>
        <v/>
      </c>
      <c r="DC790" t="str">
        <f>""</f>
        <v/>
      </c>
      <c r="DD790" t="str">
        <f>""</f>
        <v/>
      </c>
      <c r="DE790" t="str">
        <f>""</f>
        <v/>
      </c>
      <c r="DF790" t="str">
        <f>""</f>
        <v/>
      </c>
      <c r="DG790" t="str">
        <f>""</f>
        <v/>
      </c>
      <c r="DH790" t="str">
        <f>""</f>
        <v/>
      </c>
      <c r="DI790" t="str">
        <f>""</f>
        <v/>
      </c>
      <c r="DJ790" t="str">
        <f>""</f>
        <v/>
      </c>
      <c r="DK790" t="str">
        <f>""</f>
        <v/>
      </c>
      <c r="DL790" t="str">
        <f>""</f>
        <v/>
      </c>
      <c r="DM790" t="str">
        <f>""</f>
        <v/>
      </c>
      <c r="DN790" t="str">
        <f>""</f>
        <v/>
      </c>
      <c r="DO790" t="str">
        <f>""</f>
        <v/>
      </c>
      <c r="DP790" t="str">
        <f>""</f>
        <v/>
      </c>
      <c r="DQ790" t="str">
        <f>""</f>
        <v/>
      </c>
      <c r="DR790" t="str">
        <f>""</f>
        <v/>
      </c>
      <c r="DS790" t="str">
        <f>""</f>
        <v/>
      </c>
      <c r="DT790" t="str">
        <f>""</f>
        <v/>
      </c>
      <c r="DU790" t="str">
        <f>""</f>
        <v/>
      </c>
    </row>
    <row r="791" spans="1:125" x14ac:dyDescent="0.25">
      <c r="A791" t="str">
        <f>$A$119</f>
        <v xml:space="preserve">    Suzuki Motor Corp</v>
      </c>
      <c r="B791" t="str">
        <f>$B$119</f>
        <v>7269 JP Equity</v>
      </c>
      <c r="C791" t="str">
        <f>$C$119</f>
        <v>EZ010</v>
      </c>
      <c r="D791" t="str">
        <f>$D$119</f>
        <v>BEST_EST_PE_NXT_YR</v>
      </c>
      <c r="E791" t="str">
        <f>$E$119</f>
        <v>Dynamic</v>
      </c>
      <c r="F791" t="str">
        <f ca="1">_xll.BDH($B$119,$C$119,$B$675,$B$676,CONCATENATE("Per=",$B$673),"Dts=H","Dir=H",CONCATENATE("Points=",$B$674),"Sort=R","Days=A","Fill=B",CONCATENATE("FX=", $B$672) )</f>
        <v>#N/A Connection</v>
      </c>
      <c r="BN791" t="str">
        <f>""</f>
        <v/>
      </c>
      <c r="BO791" t="str">
        <f>""</f>
        <v/>
      </c>
      <c r="BP791" t="str">
        <f>""</f>
        <v/>
      </c>
      <c r="BQ791" t="str">
        <f>""</f>
        <v/>
      </c>
      <c r="BR791" t="str">
        <f>""</f>
        <v/>
      </c>
      <c r="BS791" t="str">
        <f>""</f>
        <v/>
      </c>
      <c r="BT791" t="str">
        <f>""</f>
        <v/>
      </c>
      <c r="BU791" t="str">
        <f>""</f>
        <v/>
      </c>
      <c r="BV791" t="str">
        <f>""</f>
        <v/>
      </c>
      <c r="BW791" t="str">
        <f>""</f>
        <v/>
      </c>
      <c r="BX791" t="str">
        <f>""</f>
        <v/>
      </c>
      <c r="BY791" t="str">
        <f>""</f>
        <v/>
      </c>
      <c r="BZ791" t="str">
        <f>""</f>
        <v/>
      </c>
      <c r="CA791" t="str">
        <f>""</f>
        <v/>
      </c>
      <c r="CB791" t="str">
        <f>""</f>
        <v/>
      </c>
      <c r="CC791" t="str">
        <f>""</f>
        <v/>
      </c>
      <c r="CD791" t="str">
        <f>""</f>
        <v/>
      </c>
      <c r="CE791" t="str">
        <f>""</f>
        <v/>
      </c>
      <c r="CF791" t="str">
        <f>""</f>
        <v/>
      </c>
      <c r="CG791" t="str">
        <f>""</f>
        <v/>
      </c>
      <c r="CH791" t="str">
        <f>""</f>
        <v/>
      </c>
      <c r="CI791" t="str">
        <f>""</f>
        <v/>
      </c>
      <c r="CJ791" t="str">
        <f>""</f>
        <v/>
      </c>
      <c r="CK791" t="str">
        <f>""</f>
        <v/>
      </c>
      <c r="CL791" t="str">
        <f>""</f>
        <v/>
      </c>
      <c r="CM791" t="str">
        <f>""</f>
        <v/>
      </c>
      <c r="CN791" t="str">
        <f>""</f>
        <v/>
      </c>
      <c r="CO791" t="str">
        <f>""</f>
        <v/>
      </c>
      <c r="CP791" t="str">
        <f>""</f>
        <v/>
      </c>
      <c r="CQ791" t="str">
        <f>""</f>
        <v/>
      </c>
      <c r="CR791" t="str">
        <f>""</f>
        <v/>
      </c>
      <c r="CS791" t="str">
        <f>""</f>
        <v/>
      </c>
      <c r="CT791" t="str">
        <f>""</f>
        <v/>
      </c>
      <c r="CU791" t="str">
        <f>""</f>
        <v/>
      </c>
      <c r="CV791" t="str">
        <f>""</f>
        <v/>
      </c>
      <c r="CW791" t="str">
        <f>""</f>
        <v/>
      </c>
      <c r="CX791" t="str">
        <f>""</f>
        <v/>
      </c>
      <c r="CY791" t="str">
        <f>""</f>
        <v/>
      </c>
      <c r="CZ791" t="str">
        <f>""</f>
        <v/>
      </c>
      <c r="DA791" t="str">
        <f>""</f>
        <v/>
      </c>
      <c r="DB791" t="str">
        <f>""</f>
        <v/>
      </c>
      <c r="DC791" t="str">
        <f>""</f>
        <v/>
      </c>
      <c r="DD791" t="str">
        <f>""</f>
        <v/>
      </c>
      <c r="DE791" t="str">
        <f>""</f>
        <v/>
      </c>
      <c r="DF791" t="str">
        <f>""</f>
        <v/>
      </c>
      <c r="DG791" t="str">
        <f>""</f>
        <v/>
      </c>
      <c r="DH791" t="str">
        <f>""</f>
        <v/>
      </c>
      <c r="DI791" t="str">
        <f>""</f>
        <v/>
      </c>
      <c r="DJ791" t="str">
        <f>""</f>
        <v/>
      </c>
      <c r="DK791" t="str">
        <f>""</f>
        <v/>
      </c>
      <c r="DL791" t="str">
        <f>""</f>
        <v/>
      </c>
      <c r="DM791" t="str">
        <f>""</f>
        <v/>
      </c>
      <c r="DN791" t="str">
        <f>""</f>
        <v/>
      </c>
      <c r="DO791" t="str">
        <f>""</f>
        <v/>
      </c>
      <c r="DP791" t="str">
        <f>""</f>
        <v/>
      </c>
      <c r="DQ791" t="str">
        <f>""</f>
        <v/>
      </c>
      <c r="DR791" t="str">
        <f>""</f>
        <v/>
      </c>
      <c r="DS791" t="str">
        <f>""</f>
        <v/>
      </c>
      <c r="DT791" t="str">
        <f>""</f>
        <v/>
      </c>
      <c r="DU791" t="str">
        <f>""</f>
        <v/>
      </c>
    </row>
    <row r="792" spans="1:125" x14ac:dyDescent="0.25">
      <c r="A792" t="str">
        <f>$A$120</f>
        <v xml:space="preserve">    Tata Motors Ltd</v>
      </c>
      <c r="B792" t="str">
        <f>$B$120</f>
        <v>TTMT IN Equity</v>
      </c>
      <c r="C792" t="str">
        <f>$C$120</f>
        <v>EZ010</v>
      </c>
      <c r="D792" t="str">
        <f>$D$120</f>
        <v>BEST_EST_PE_NXT_YR</v>
      </c>
      <c r="E792" t="str">
        <f>$E$120</f>
        <v>Dynamic</v>
      </c>
      <c r="F792" t="str">
        <f ca="1">_xll.BDH($B$120,$C$120,$B$675,$B$676,CONCATENATE("Per=",$B$673),"Dts=H","Dir=H",CONCATENATE("Points=",$B$674),"Sort=R","Days=A","Fill=B",CONCATENATE("FX=", $B$672) )</f>
        <v>#N/A Connection</v>
      </c>
      <c r="BN792" t="str">
        <f>""</f>
        <v/>
      </c>
      <c r="BO792" t="str">
        <f>""</f>
        <v/>
      </c>
      <c r="BP792" t="str">
        <f>""</f>
        <v/>
      </c>
      <c r="BQ792" t="str">
        <f>""</f>
        <v/>
      </c>
      <c r="BR792" t="str">
        <f>""</f>
        <v/>
      </c>
      <c r="BS792" t="str">
        <f>""</f>
        <v/>
      </c>
      <c r="BT792" t="str">
        <f>""</f>
        <v/>
      </c>
      <c r="BU792" t="str">
        <f>""</f>
        <v/>
      </c>
      <c r="BV792" t="str">
        <f>""</f>
        <v/>
      </c>
      <c r="BW792" t="str">
        <f>""</f>
        <v/>
      </c>
      <c r="BX792" t="str">
        <f>""</f>
        <v/>
      </c>
      <c r="BY792" t="str">
        <f>""</f>
        <v/>
      </c>
      <c r="BZ792" t="str">
        <f>""</f>
        <v/>
      </c>
      <c r="CA792" t="str">
        <f>""</f>
        <v/>
      </c>
      <c r="CB792" t="str">
        <f>""</f>
        <v/>
      </c>
      <c r="CC792" t="str">
        <f>""</f>
        <v/>
      </c>
      <c r="CD792" t="str">
        <f>""</f>
        <v/>
      </c>
      <c r="CE792" t="str">
        <f>""</f>
        <v/>
      </c>
      <c r="CF792" t="str">
        <f>""</f>
        <v/>
      </c>
      <c r="CG792" t="str">
        <f>""</f>
        <v/>
      </c>
      <c r="CH792" t="str">
        <f>""</f>
        <v/>
      </c>
      <c r="CI792" t="str">
        <f>""</f>
        <v/>
      </c>
      <c r="CJ792" t="str">
        <f>""</f>
        <v/>
      </c>
      <c r="CK792" t="str">
        <f>""</f>
        <v/>
      </c>
      <c r="CL792" t="str">
        <f>""</f>
        <v/>
      </c>
      <c r="CM792" t="str">
        <f>""</f>
        <v/>
      </c>
      <c r="CN792" t="str">
        <f>""</f>
        <v/>
      </c>
      <c r="CO792" t="str">
        <f>""</f>
        <v/>
      </c>
      <c r="CP792" t="str">
        <f>""</f>
        <v/>
      </c>
      <c r="CQ792" t="str">
        <f>""</f>
        <v/>
      </c>
      <c r="CR792" t="str">
        <f>""</f>
        <v/>
      </c>
      <c r="CS792" t="str">
        <f>""</f>
        <v/>
      </c>
      <c r="CT792" t="str">
        <f>""</f>
        <v/>
      </c>
      <c r="CU792" t="str">
        <f>""</f>
        <v/>
      </c>
      <c r="CV792" t="str">
        <f>""</f>
        <v/>
      </c>
      <c r="CW792" t="str">
        <f>""</f>
        <v/>
      </c>
      <c r="CX792" t="str">
        <f>""</f>
        <v/>
      </c>
      <c r="CY792" t="str">
        <f>""</f>
        <v/>
      </c>
      <c r="CZ792" t="str">
        <f>""</f>
        <v/>
      </c>
      <c r="DA792" t="str">
        <f>""</f>
        <v/>
      </c>
      <c r="DB792" t="str">
        <f>""</f>
        <v/>
      </c>
      <c r="DC792" t="str">
        <f>""</f>
        <v/>
      </c>
      <c r="DD792" t="str">
        <f>""</f>
        <v/>
      </c>
      <c r="DE792" t="str">
        <f>""</f>
        <v/>
      </c>
      <c r="DF792" t="str">
        <f>""</f>
        <v/>
      </c>
      <c r="DG792" t="str">
        <f>""</f>
        <v/>
      </c>
      <c r="DH792" t="str">
        <f>""</f>
        <v/>
      </c>
      <c r="DI792" t="str">
        <f>""</f>
        <v/>
      </c>
      <c r="DJ792" t="str">
        <f>""</f>
        <v/>
      </c>
      <c r="DK792" t="str">
        <f>""</f>
        <v/>
      </c>
      <c r="DL792" t="str">
        <f>""</f>
        <v/>
      </c>
      <c r="DM792" t="str">
        <f>""</f>
        <v/>
      </c>
      <c r="DN792" t="str">
        <f>""</f>
        <v/>
      </c>
      <c r="DO792" t="str">
        <f>""</f>
        <v/>
      </c>
      <c r="DP792" t="str">
        <f>""</f>
        <v/>
      </c>
      <c r="DQ792" t="str">
        <f>""</f>
        <v/>
      </c>
      <c r="DR792" t="str">
        <f>""</f>
        <v/>
      </c>
      <c r="DS792" t="str">
        <f>""</f>
        <v/>
      </c>
      <c r="DT792" t="str">
        <f>""</f>
        <v/>
      </c>
      <c r="DU792" t="str">
        <f>""</f>
        <v/>
      </c>
    </row>
    <row r="793" spans="1:125" x14ac:dyDescent="0.25">
      <c r="A793" t="str">
        <f>$A$121</f>
        <v xml:space="preserve">    Tesla Inc</v>
      </c>
      <c r="B793" t="str">
        <f>$B$121</f>
        <v>TSLA US Equity</v>
      </c>
      <c r="C793" t="str">
        <f>$C$121</f>
        <v>EZ010</v>
      </c>
      <c r="D793" t="str">
        <f>$D$121</f>
        <v>BEST_EST_PE_NXT_YR</v>
      </c>
      <c r="E793" t="str">
        <f>$E$121</f>
        <v>Dynamic</v>
      </c>
      <c r="F793" t="str">
        <f ca="1">_xll.BDH($B$121,$C$121,$B$675,$B$676,CONCATENATE("Per=",$B$673),"Dts=H","Dir=H",CONCATENATE("Points=",$B$674),"Sort=R","Days=A","Fill=B",CONCATENATE("FX=", $B$672) )</f>
        <v>#N/A Connection</v>
      </c>
      <c r="BN793" t="str">
        <f>""</f>
        <v/>
      </c>
      <c r="BO793" t="str">
        <f>""</f>
        <v/>
      </c>
      <c r="BP793" t="str">
        <f>""</f>
        <v/>
      </c>
      <c r="BQ793" t="str">
        <f>""</f>
        <v/>
      </c>
      <c r="BR793" t="str">
        <f>""</f>
        <v/>
      </c>
      <c r="BS793" t="str">
        <f>""</f>
        <v/>
      </c>
      <c r="BT793" t="str">
        <f>""</f>
        <v/>
      </c>
      <c r="BU793" t="str">
        <f>""</f>
        <v/>
      </c>
      <c r="BV793" t="str">
        <f>""</f>
        <v/>
      </c>
      <c r="BW793" t="str">
        <f>""</f>
        <v/>
      </c>
      <c r="BX793" t="str">
        <f>""</f>
        <v/>
      </c>
      <c r="BY793" t="str">
        <f>""</f>
        <v/>
      </c>
      <c r="BZ793" t="str">
        <f>""</f>
        <v/>
      </c>
      <c r="CA793" t="str">
        <f>""</f>
        <v/>
      </c>
      <c r="CB793" t="str">
        <f>""</f>
        <v/>
      </c>
      <c r="CC793" t="str">
        <f>""</f>
        <v/>
      </c>
      <c r="CD793" t="str">
        <f>""</f>
        <v/>
      </c>
      <c r="CE793" t="str">
        <f>""</f>
        <v/>
      </c>
      <c r="CF793" t="str">
        <f>""</f>
        <v/>
      </c>
      <c r="CG793" t="str">
        <f>""</f>
        <v/>
      </c>
      <c r="CH793" t="str">
        <f>""</f>
        <v/>
      </c>
      <c r="CI793" t="str">
        <f>""</f>
        <v/>
      </c>
      <c r="CJ793" t="str">
        <f>""</f>
        <v/>
      </c>
      <c r="CK793" t="str">
        <f>""</f>
        <v/>
      </c>
      <c r="CL793" t="str">
        <f>""</f>
        <v/>
      </c>
      <c r="CM793" t="str">
        <f>""</f>
        <v/>
      </c>
      <c r="CN793" t="str">
        <f>""</f>
        <v/>
      </c>
      <c r="CO793" t="str">
        <f>""</f>
        <v/>
      </c>
      <c r="CP793" t="str">
        <f>""</f>
        <v/>
      </c>
      <c r="CQ793" t="str">
        <f>""</f>
        <v/>
      </c>
      <c r="CR793" t="str">
        <f>""</f>
        <v/>
      </c>
      <c r="CS793" t="str">
        <f>""</f>
        <v/>
      </c>
      <c r="CT793" t="str">
        <f>""</f>
        <v/>
      </c>
      <c r="CU793" t="str">
        <f>""</f>
        <v/>
      </c>
      <c r="CV793" t="str">
        <f>""</f>
        <v/>
      </c>
      <c r="CW793" t="str">
        <f>""</f>
        <v/>
      </c>
      <c r="CX793" t="str">
        <f>""</f>
        <v/>
      </c>
      <c r="CY793" t="str">
        <f>""</f>
        <v/>
      </c>
      <c r="CZ793" t="str">
        <f>""</f>
        <v/>
      </c>
      <c r="DA793" t="str">
        <f>""</f>
        <v/>
      </c>
      <c r="DB793" t="str">
        <f>""</f>
        <v/>
      </c>
      <c r="DC793" t="str">
        <f>""</f>
        <v/>
      </c>
      <c r="DD793" t="str">
        <f>""</f>
        <v/>
      </c>
      <c r="DE793" t="str">
        <f>""</f>
        <v/>
      </c>
      <c r="DF793" t="str">
        <f>""</f>
        <v/>
      </c>
      <c r="DG793" t="str">
        <f>""</f>
        <v/>
      </c>
      <c r="DH793" t="str">
        <f>""</f>
        <v/>
      </c>
      <c r="DI793" t="str">
        <f>""</f>
        <v/>
      </c>
      <c r="DJ793" t="str">
        <f>""</f>
        <v/>
      </c>
      <c r="DK793" t="str">
        <f>""</f>
        <v/>
      </c>
      <c r="DL793" t="str">
        <f>""</f>
        <v/>
      </c>
      <c r="DM793" t="str">
        <f>""</f>
        <v/>
      </c>
      <c r="DN793" t="str">
        <f>""</f>
        <v/>
      </c>
      <c r="DO793" t="str">
        <f>""</f>
        <v/>
      </c>
      <c r="DP793" t="str">
        <f>""</f>
        <v/>
      </c>
      <c r="DQ793" t="str">
        <f>""</f>
        <v/>
      </c>
      <c r="DR793" t="str">
        <f>""</f>
        <v/>
      </c>
      <c r="DS793" t="str">
        <f>""</f>
        <v/>
      </c>
      <c r="DT793" t="str">
        <f>""</f>
        <v/>
      </c>
      <c r="DU793" t="str">
        <f>""</f>
        <v/>
      </c>
    </row>
    <row r="794" spans="1:125" x14ac:dyDescent="0.25">
      <c r="A794" t="str">
        <f>$A$122</f>
        <v xml:space="preserve">    Tianjin Faw Xiali Automobile Co Ltd</v>
      </c>
      <c r="B794" t="str">
        <f>$B$122</f>
        <v>000927 CH Equity</v>
      </c>
      <c r="C794" t="str">
        <f>$C$122</f>
        <v>EZ010</v>
      </c>
      <c r="D794" t="str">
        <f>$D$122</f>
        <v>BEST_EST_PE_NXT_YR</v>
      </c>
      <c r="E794" t="str">
        <f>$E$122</f>
        <v>Dynamic</v>
      </c>
      <c r="F794" t="str">
        <f ca="1">_xll.BDH($B$122,$C$122,$B$675,$B$676,CONCATENATE("Per=",$B$673),"Dts=H","Dir=H",CONCATENATE("Points=",$B$674),"Sort=R","Days=A","Fill=B",CONCATENATE("FX=", $B$672) )</f>
        <v>#N/A Connection</v>
      </c>
      <c r="BN794" t="str">
        <f>""</f>
        <v/>
      </c>
      <c r="BO794" t="str">
        <f>""</f>
        <v/>
      </c>
      <c r="BP794" t="str">
        <f>""</f>
        <v/>
      </c>
      <c r="BQ794" t="str">
        <f>""</f>
        <v/>
      </c>
      <c r="BR794" t="str">
        <f>""</f>
        <v/>
      </c>
      <c r="BS794" t="str">
        <f>""</f>
        <v/>
      </c>
      <c r="BT794" t="str">
        <f>""</f>
        <v/>
      </c>
      <c r="BU794" t="str">
        <f>""</f>
        <v/>
      </c>
      <c r="BV794" t="str">
        <f>""</f>
        <v/>
      </c>
      <c r="BW794" t="str">
        <f>""</f>
        <v/>
      </c>
      <c r="BX794" t="str">
        <f>""</f>
        <v/>
      </c>
      <c r="BY794" t="str">
        <f>""</f>
        <v/>
      </c>
      <c r="BZ794" t="str">
        <f>""</f>
        <v/>
      </c>
      <c r="CA794" t="str">
        <f>""</f>
        <v/>
      </c>
      <c r="CB794" t="str">
        <f>""</f>
        <v/>
      </c>
      <c r="CC794" t="str">
        <f>""</f>
        <v/>
      </c>
      <c r="CD794" t="str">
        <f>""</f>
        <v/>
      </c>
      <c r="CE794" t="str">
        <f>""</f>
        <v/>
      </c>
      <c r="CF794" t="str">
        <f>""</f>
        <v/>
      </c>
      <c r="CG794" t="str">
        <f>""</f>
        <v/>
      </c>
      <c r="CH794" t="str">
        <f>""</f>
        <v/>
      </c>
      <c r="CI794" t="str">
        <f>""</f>
        <v/>
      </c>
      <c r="CJ794" t="str">
        <f>""</f>
        <v/>
      </c>
      <c r="CK794" t="str">
        <f>""</f>
        <v/>
      </c>
      <c r="CL794" t="str">
        <f>""</f>
        <v/>
      </c>
      <c r="CM794" t="str">
        <f>""</f>
        <v/>
      </c>
      <c r="CN794" t="str">
        <f>""</f>
        <v/>
      </c>
      <c r="CO794" t="str">
        <f>""</f>
        <v/>
      </c>
      <c r="CP794" t="str">
        <f>""</f>
        <v/>
      </c>
      <c r="CQ794" t="str">
        <f>""</f>
        <v/>
      </c>
      <c r="CR794" t="str">
        <f>""</f>
        <v/>
      </c>
      <c r="CS794" t="str">
        <f>""</f>
        <v/>
      </c>
      <c r="CT794" t="str">
        <f>""</f>
        <v/>
      </c>
      <c r="CU794" t="str">
        <f>""</f>
        <v/>
      </c>
      <c r="CV794" t="str">
        <f>""</f>
        <v/>
      </c>
      <c r="CW794" t="str">
        <f>""</f>
        <v/>
      </c>
      <c r="CX794" t="str">
        <f>""</f>
        <v/>
      </c>
      <c r="CY794" t="str">
        <f>""</f>
        <v/>
      </c>
      <c r="CZ794" t="str">
        <f>""</f>
        <v/>
      </c>
      <c r="DA794" t="str">
        <f>""</f>
        <v/>
      </c>
      <c r="DB794" t="str">
        <f>""</f>
        <v/>
      </c>
      <c r="DC794" t="str">
        <f>""</f>
        <v/>
      </c>
      <c r="DD794" t="str">
        <f>""</f>
        <v/>
      </c>
      <c r="DE794" t="str">
        <f>""</f>
        <v/>
      </c>
      <c r="DF794" t="str">
        <f>""</f>
        <v/>
      </c>
      <c r="DG794" t="str">
        <f>""</f>
        <v/>
      </c>
      <c r="DH794" t="str">
        <f>""</f>
        <v/>
      </c>
      <c r="DI794" t="str">
        <f>""</f>
        <v/>
      </c>
      <c r="DJ794" t="str">
        <f>""</f>
        <v/>
      </c>
      <c r="DK794" t="str">
        <f>""</f>
        <v/>
      </c>
      <c r="DL794" t="str">
        <f>""</f>
        <v/>
      </c>
      <c r="DM794" t="str">
        <f>""</f>
        <v/>
      </c>
      <c r="DN794" t="str">
        <f>""</f>
        <v/>
      </c>
      <c r="DO794" t="str">
        <f>""</f>
        <v/>
      </c>
      <c r="DP794" t="str">
        <f>""</f>
        <v/>
      </c>
      <c r="DQ794" t="str">
        <f>""</f>
        <v/>
      </c>
      <c r="DR794" t="str">
        <f>""</f>
        <v/>
      </c>
      <c r="DS794" t="str">
        <f>""</f>
        <v/>
      </c>
      <c r="DT794" t="str">
        <f>""</f>
        <v/>
      </c>
      <c r="DU794" t="str">
        <f>""</f>
        <v/>
      </c>
    </row>
    <row r="795" spans="1:125" x14ac:dyDescent="0.25">
      <c r="A795" t="str">
        <f>$A$123</f>
        <v xml:space="preserve">    Tofas Turk Otomobil Fabrikasi AS</v>
      </c>
      <c r="B795" t="str">
        <f>$B$123</f>
        <v>TOASOTRY EO Equity</v>
      </c>
      <c r="C795" t="str">
        <f>$C$123</f>
        <v>EZ010</v>
      </c>
      <c r="D795" t="str">
        <f>$D$123</f>
        <v>BEST_EST_PE_NXT_YR</v>
      </c>
      <c r="E795" t="str">
        <f>$E$123</f>
        <v>Dynamic</v>
      </c>
      <c r="F795" t="str">
        <f ca="1">_xll.BDH($B$123,$C$123,$B$675,$B$676,CONCATENATE("Per=",$B$673),"Dts=H","Dir=H",CONCATENATE("Points=",$B$674),"Sort=R","Days=A","Fill=B",CONCATENATE("FX=", $B$672) )</f>
        <v>#N/A Connection</v>
      </c>
      <c r="BN795" t="str">
        <f>""</f>
        <v/>
      </c>
      <c r="BO795" t="str">
        <f>""</f>
        <v/>
      </c>
      <c r="BP795" t="str">
        <f>""</f>
        <v/>
      </c>
      <c r="BQ795" t="str">
        <f>""</f>
        <v/>
      </c>
      <c r="BR795" t="str">
        <f>""</f>
        <v/>
      </c>
      <c r="BS795" t="str">
        <f>""</f>
        <v/>
      </c>
      <c r="BT795" t="str">
        <f>""</f>
        <v/>
      </c>
      <c r="BU795" t="str">
        <f>""</f>
        <v/>
      </c>
      <c r="BV795" t="str">
        <f>""</f>
        <v/>
      </c>
      <c r="BW795" t="str">
        <f>""</f>
        <v/>
      </c>
      <c r="BX795" t="str">
        <f>""</f>
        <v/>
      </c>
      <c r="BY795" t="str">
        <f>""</f>
        <v/>
      </c>
      <c r="BZ795" t="str">
        <f>""</f>
        <v/>
      </c>
      <c r="CA795" t="str">
        <f>""</f>
        <v/>
      </c>
      <c r="CB795" t="str">
        <f>""</f>
        <v/>
      </c>
      <c r="CC795" t="str">
        <f>""</f>
        <v/>
      </c>
      <c r="CD795" t="str">
        <f>""</f>
        <v/>
      </c>
      <c r="CE795" t="str">
        <f>""</f>
        <v/>
      </c>
      <c r="CF795" t="str">
        <f>""</f>
        <v/>
      </c>
      <c r="CG795" t="str">
        <f>""</f>
        <v/>
      </c>
      <c r="CH795" t="str">
        <f>""</f>
        <v/>
      </c>
      <c r="CI795" t="str">
        <f>""</f>
        <v/>
      </c>
      <c r="CJ795" t="str">
        <f>""</f>
        <v/>
      </c>
      <c r="CK795" t="str">
        <f>""</f>
        <v/>
      </c>
      <c r="CL795" t="str">
        <f>""</f>
        <v/>
      </c>
      <c r="CM795" t="str">
        <f>""</f>
        <v/>
      </c>
      <c r="CN795" t="str">
        <f>""</f>
        <v/>
      </c>
      <c r="CO795" t="str">
        <f>""</f>
        <v/>
      </c>
      <c r="CP795" t="str">
        <f>""</f>
        <v/>
      </c>
      <c r="CQ795" t="str">
        <f>""</f>
        <v/>
      </c>
      <c r="CR795" t="str">
        <f>""</f>
        <v/>
      </c>
      <c r="CS795" t="str">
        <f>""</f>
        <v/>
      </c>
      <c r="CT795" t="str">
        <f>""</f>
        <v/>
      </c>
      <c r="CU795" t="str">
        <f>""</f>
        <v/>
      </c>
      <c r="CV795" t="str">
        <f>""</f>
        <v/>
      </c>
      <c r="CW795" t="str">
        <f>""</f>
        <v/>
      </c>
      <c r="CX795" t="str">
        <f>""</f>
        <v/>
      </c>
      <c r="CY795" t="str">
        <f>""</f>
        <v/>
      </c>
      <c r="CZ795" t="str">
        <f>""</f>
        <v/>
      </c>
      <c r="DA795" t="str">
        <f>""</f>
        <v/>
      </c>
      <c r="DB795" t="str">
        <f>""</f>
        <v/>
      </c>
      <c r="DC795" t="str">
        <f>""</f>
        <v/>
      </c>
      <c r="DD795" t="str">
        <f>""</f>
        <v/>
      </c>
      <c r="DE795" t="str">
        <f>""</f>
        <v/>
      </c>
      <c r="DF795" t="str">
        <f>""</f>
        <v/>
      </c>
      <c r="DG795" t="str">
        <f>""</f>
        <v/>
      </c>
      <c r="DH795" t="str">
        <f>""</f>
        <v/>
      </c>
      <c r="DI795" t="str">
        <f>""</f>
        <v/>
      </c>
      <c r="DJ795" t="str">
        <f>""</f>
        <v/>
      </c>
      <c r="DK795" t="str">
        <f>""</f>
        <v/>
      </c>
      <c r="DL795" t="str">
        <f>""</f>
        <v/>
      </c>
      <c r="DM795" t="str">
        <f>""</f>
        <v/>
      </c>
      <c r="DN795" t="str">
        <f>""</f>
        <v/>
      </c>
      <c r="DO795" t="str">
        <f>""</f>
        <v/>
      </c>
      <c r="DP795" t="str">
        <f>""</f>
        <v/>
      </c>
      <c r="DQ795" t="str">
        <f>""</f>
        <v/>
      </c>
      <c r="DR795" t="str">
        <f>""</f>
        <v/>
      </c>
      <c r="DS795" t="str">
        <f>""</f>
        <v/>
      </c>
      <c r="DT795" t="str">
        <f>""</f>
        <v/>
      </c>
      <c r="DU795" t="str">
        <f>""</f>
        <v/>
      </c>
    </row>
    <row r="796" spans="1:125" x14ac:dyDescent="0.25">
      <c r="A796" t="str">
        <f>$A$124</f>
        <v xml:space="preserve">    Toyota Motor Corp</v>
      </c>
      <c r="B796" t="str">
        <f>$B$124</f>
        <v>7203 JP Equity</v>
      </c>
      <c r="C796" t="str">
        <f>$C$124</f>
        <v>EZ010</v>
      </c>
      <c r="D796" t="str">
        <f>$D$124</f>
        <v>BEST_EST_PE_NXT_YR</v>
      </c>
      <c r="E796" t="str">
        <f>$E$124</f>
        <v>Dynamic</v>
      </c>
      <c r="F796" t="str">
        <f ca="1">_xll.BDH($B$124,$C$124,$B$675,$B$676,CONCATENATE("Per=",$B$673),"Dts=H","Dir=H",CONCATENATE("Points=",$B$674),"Sort=R","Days=A","Fill=B",CONCATENATE("FX=", $B$672) )</f>
        <v>#N/A Connection</v>
      </c>
      <c r="BN796" t="str">
        <f>""</f>
        <v/>
      </c>
      <c r="BO796" t="str">
        <f>""</f>
        <v/>
      </c>
      <c r="BP796" t="str">
        <f>""</f>
        <v/>
      </c>
      <c r="BQ796" t="str">
        <f>""</f>
        <v/>
      </c>
      <c r="BR796" t="str">
        <f>""</f>
        <v/>
      </c>
      <c r="BS796" t="str">
        <f>""</f>
        <v/>
      </c>
      <c r="BT796" t="str">
        <f>""</f>
        <v/>
      </c>
      <c r="BU796" t="str">
        <f>""</f>
        <v/>
      </c>
      <c r="BV796" t="str">
        <f>""</f>
        <v/>
      </c>
      <c r="BW796" t="str">
        <f>""</f>
        <v/>
      </c>
      <c r="BX796" t="str">
        <f>""</f>
        <v/>
      </c>
      <c r="BY796" t="str">
        <f>""</f>
        <v/>
      </c>
      <c r="BZ796" t="str">
        <f>""</f>
        <v/>
      </c>
      <c r="CA796" t="str">
        <f>""</f>
        <v/>
      </c>
      <c r="CB796" t="str">
        <f>""</f>
        <v/>
      </c>
      <c r="CC796" t="str">
        <f>""</f>
        <v/>
      </c>
      <c r="CD796" t="str">
        <f>""</f>
        <v/>
      </c>
      <c r="CE796" t="str">
        <f>""</f>
        <v/>
      </c>
      <c r="CF796" t="str">
        <f>""</f>
        <v/>
      </c>
      <c r="CG796" t="str">
        <f>""</f>
        <v/>
      </c>
      <c r="CH796" t="str">
        <f>""</f>
        <v/>
      </c>
      <c r="CI796" t="str">
        <f>""</f>
        <v/>
      </c>
      <c r="CJ796" t="str">
        <f>""</f>
        <v/>
      </c>
      <c r="CK796" t="str">
        <f>""</f>
        <v/>
      </c>
      <c r="CL796" t="str">
        <f>""</f>
        <v/>
      </c>
      <c r="CM796" t="str">
        <f>""</f>
        <v/>
      </c>
      <c r="CN796" t="str">
        <f>""</f>
        <v/>
      </c>
      <c r="CO796" t="str">
        <f>""</f>
        <v/>
      </c>
      <c r="CP796" t="str">
        <f>""</f>
        <v/>
      </c>
      <c r="CQ796" t="str">
        <f>""</f>
        <v/>
      </c>
      <c r="CR796" t="str">
        <f>""</f>
        <v/>
      </c>
      <c r="CS796" t="str">
        <f>""</f>
        <v/>
      </c>
      <c r="CT796" t="str">
        <f>""</f>
        <v/>
      </c>
      <c r="CU796" t="str">
        <f>""</f>
        <v/>
      </c>
      <c r="CV796" t="str">
        <f>""</f>
        <v/>
      </c>
      <c r="CW796" t="str">
        <f>""</f>
        <v/>
      </c>
      <c r="CX796" t="str">
        <f>""</f>
        <v/>
      </c>
      <c r="CY796" t="str">
        <f>""</f>
        <v/>
      </c>
      <c r="CZ796" t="str">
        <f>""</f>
        <v/>
      </c>
      <c r="DA796" t="str">
        <f>""</f>
        <v/>
      </c>
      <c r="DB796" t="str">
        <f>""</f>
        <v/>
      </c>
      <c r="DC796" t="str">
        <f>""</f>
        <v/>
      </c>
      <c r="DD796" t="str">
        <f>""</f>
        <v/>
      </c>
      <c r="DE796" t="str">
        <f>""</f>
        <v/>
      </c>
      <c r="DF796" t="str">
        <f>""</f>
        <v/>
      </c>
      <c r="DG796" t="str">
        <f>""</f>
        <v/>
      </c>
      <c r="DH796" t="str">
        <f>""</f>
        <v/>
      </c>
      <c r="DI796" t="str">
        <f>""</f>
        <v/>
      </c>
      <c r="DJ796" t="str">
        <f>""</f>
        <v/>
      </c>
      <c r="DK796" t="str">
        <f>""</f>
        <v/>
      </c>
      <c r="DL796" t="str">
        <f>""</f>
        <v/>
      </c>
      <c r="DM796" t="str">
        <f>""</f>
        <v/>
      </c>
      <c r="DN796" t="str">
        <f>""</f>
        <v/>
      </c>
      <c r="DO796" t="str">
        <f>""</f>
        <v/>
      </c>
      <c r="DP796" t="str">
        <f>""</f>
        <v/>
      </c>
      <c r="DQ796" t="str">
        <f>""</f>
        <v/>
      </c>
      <c r="DR796" t="str">
        <f>""</f>
        <v/>
      </c>
      <c r="DS796" t="str">
        <f>""</f>
        <v/>
      </c>
      <c r="DT796" t="str">
        <f>""</f>
        <v/>
      </c>
      <c r="DU796" t="str">
        <f>""</f>
        <v/>
      </c>
    </row>
    <row r="797" spans="1:125" x14ac:dyDescent="0.25">
      <c r="A797" t="str">
        <f>$A$125</f>
        <v xml:space="preserve">    Volkswagen AG</v>
      </c>
      <c r="B797" t="str">
        <f>$B$125</f>
        <v>VOW GR Equity</v>
      </c>
      <c r="C797" t="str">
        <f>$C$125</f>
        <v>EZ010</v>
      </c>
      <c r="D797" t="str">
        <f>$D$125</f>
        <v>BEST_EST_PE_NXT_YR</v>
      </c>
      <c r="E797" t="str">
        <f>$E$125</f>
        <v>Dynamic</v>
      </c>
      <c r="F797" t="str">
        <f ca="1">_xll.BDH($B$125,$C$125,$B$675,$B$676,CONCATENATE("Per=",$B$673),"Dts=H","Dir=H",CONCATENATE("Points=",$B$674),"Sort=R","Days=A","Fill=B",CONCATENATE("FX=", $B$672) )</f>
        <v>#N/A Connection</v>
      </c>
      <c r="BN797" t="str">
        <f>""</f>
        <v/>
      </c>
      <c r="BO797" t="str">
        <f>""</f>
        <v/>
      </c>
      <c r="BP797" t="str">
        <f>""</f>
        <v/>
      </c>
      <c r="BQ797" t="str">
        <f>""</f>
        <v/>
      </c>
      <c r="BR797" t="str">
        <f>""</f>
        <v/>
      </c>
      <c r="BS797" t="str">
        <f>""</f>
        <v/>
      </c>
      <c r="BT797" t="str">
        <f>""</f>
        <v/>
      </c>
      <c r="BU797" t="str">
        <f>""</f>
        <v/>
      </c>
      <c r="BV797" t="str">
        <f>""</f>
        <v/>
      </c>
      <c r="BW797" t="str">
        <f>""</f>
        <v/>
      </c>
      <c r="BX797" t="str">
        <f>""</f>
        <v/>
      </c>
      <c r="BY797" t="str">
        <f>""</f>
        <v/>
      </c>
      <c r="BZ797" t="str">
        <f>""</f>
        <v/>
      </c>
      <c r="CA797" t="str">
        <f>""</f>
        <v/>
      </c>
      <c r="CB797" t="str">
        <f>""</f>
        <v/>
      </c>
      <c r="CC797" t="str">
        <f>""</f>
        <v/>
      </c>
      <c r="CD797" t="str">
        <f>""</f>
        <v/>
      </c>
      <c r="CE797" t="str">
        <f>""</f>
        <v/>
      </c>
      <c r="CF797" t="str">
        <f>""</f>
        <v/>
      </c>
      <c r="CG797" t="str">
        <f>""</f>
        <v/>
      </c>
      <c r="CH797" t="str">
        <f>""</f>
        <v/>
      </c>
      <c r="CI797" t="str">
        <f>""</f>
        <v/>
      </c>
      <c r="CJ797" t="str">
        <f>""</f>
        <v/>
      </c>
      <c r="CK797" t="str">
        <f>""</f>
        <v/>
      </c>
      <c r="CL797" t="str">
        <f>""</f>
        <v/>
      </c>
      <c r="CM797" t="str">
        <f>""</f>
        <v/>
      </c>
      <c r="CN797" t="str">
        <f>""</f>
        <v/>
      </c>
      <c r="CO797" t="str">
        <f>""</f>
        <v/>
      </c>
      <c r="CP797" t="str">
        <f>""</f>
        <v/>
      </c>
      <c r="CQ797" t="str">
        <f>""</f>
        <v/>
      </c>
      <c r="CR797" t="str">
        <f>""</f>
        <v/>
      </c>
      <c r="CS797" t="str">
        <f>""</f>
        <v/>
      </c>
      <c r="CT797" t="str">
        <f>""</f>
        <v/>
      </c>
      <c r="CU797" t="str">
        <f>""</f>
        <v/>
      </c>
      <c r="CV797" t="str">
        <f>""</f>
        <v/>
      </c>
      <c r="CW797" t="str">
        <f>""</f>
        <v/>
      </c>
      <c r="CX797" t="str">
        <f>""</f>
        <v/>
      </c>
      <c r="CY797" t="str">
        <f>""</f>
        <v/>
      </c>
      <c r="CZ797" t="str">
        <f>""</f>
        <v/>
      </c>
      <c r="DA797" t="str">
        <f>""</f>
        <v/>
      </c>
      <c r="DB797" t="str">
        <f>""</f>
        <v/>
      </c>
      <c r="DC797" t="str">
        <f>""</f>
        <v/>
      </c>
      <c r="DD797" t="str">
        <f>""</f>
        <v/>
      </c>
      <c r="DE797" t="str">
        <f>""</f>
        <v/>
      </c>
      <c r="DF797" t="str">
        <f>""</f>
        <v/>
      </c>
      <c r="DG797" t="str">
        <f>""</f>
        <v/>
      </c>
      <c r="DH797" t="str">
        <f>""</f>
        <v/>
      </c>
      <c r="DI797" t="str">
        <f>""</f>
        <v/>
      </c>
      <c r="DJ797" t="str">
        <f>""</f>
        <v/>
      </c>
      <c r="DK797" t="str">
        <f>""</f>
        <v/>
      </c>
      <c r="DL797" t="str">
        <f>""</f>
        <v/>
      </c>
      <c r="DM797" t="str">
        <f>""</f>
        <v/>
      </c>
      <c r="DN797" t="str">
        <f>""</f>
        <v/>
      </c>
      <c r="DO797" t="str">
        <f>""</f>
        <v/>
      </c>
      <c r="DP797" t="str">
        <f>""</f>
        <v/>
      </c>
      <c r="DQ797" t="str">
        <f>""</f>
        <v/>
      </c>
      <c r="DR797" t="str">
        <f>""</f>
        <v/>
      </c>
      <c r="DS797" t="str">
        <f>""</f>
        <v/>
      </c>
      <c r="DT797" t="str">
        <f>""</f>
        <v/>
      </c>
      <c r="DU797" t="str">
        <f>""</f>
        <v/>
      </c>
    </row>
    <row r="798" spans="1:125" x14ac:dyDescent="0.25">
      <c r="A798" t="str">
        <f>$A$126</f>
        <v xml:space="preserve">    Yulon Motor Co Ltd</v>
      </c>
      <c r="B798" t="str">
        <f>$B$126</f>
        <v>2201 TT Equity</v>
      </c>
      <c r="C798" t="str">
        <f>$C$126</f>
        <v>EZ010</v>
      </c>
      <c r="D798" t="str">
        <f>$D$126</f>
        <v>BEST_EST_PE_NXT_YR</v>
      </c>
      <c r="E798" t="str">
        <f>$E$126</f>
        <v>Dynamic</v>
      </c>
      <c r="F798" t="str">
        <f ca="1">_xll.BDH($B$126,$C$126,$B$675,$B$676,CONCATENATE("Per=",$B$673),"Dts=H","Dir=H",CONCATENATE("Points=",$B$674),"Sort=R","Days=A","Fill=B",CONCATENATE("FX=", $B$672) )</f>
        <v>#N/A Connection</v>
      </c>
      <c r="BN798" t="str">
        <f>""</f>
        <v/>
      </c>
      <c r="BO798" t="str">
        <f>""</f>
        <v/>
      </c>
      <c r="BP798" t="str">
        <f>""</f>
        <v/>
      </c>
      <c r="BQ798" t="str">
        <f>""</f>
        <v/>
      </c>
      <c r="BR798" t="str">
        <f>""</f>
        <v/>
      </c>
      <c r="BS798" t="str">
        <f>""</f>
        <v/>
      </c>
      <c r="BT798" t="str">
        <f>""</f>
        <v/>
      </c>
      <c r="BU798" t="str">
        <f>""</f>
        <v/>
      </c>
      <c r="BV798" t="str">
        <f>""</f>
        <v/>
      </c>
      <c r="BW798" t="str">
        <f>""</f>
        <v/>
      </c>
      <c r="BX798" t="str">
        <f>""</f>
        <v/>
      </c>
      <c r="BY798" t="str">
        <f>""</f>
        <v/>
      </c>
      <c r="BZ798" t="str">
        <f>""</f>
        <v/>
      </c>
      <c r="CA798" t="str">
        <f>""</f>
        <v/>
      </c>
      <c r="CB798" t="str">
        <f>""</f>
        <v/>
      </c>
      <c r="CC798" t="str">
        <f>""</f>
        <v/>
      </c>
      <c r="CD798" t="str">
        <f>""</f>
        <v/>
      </c>
      <c r="CE798" t="str">
        <f>""</f>
        <v/>
      </c>
      <c r="CF798" t="str">
        <f>""</f>
        <v/>
      </c>
      <c r="CG798" t="str">
        <f>""</f>
        <v/>
      </c>
      <c r="CH798" t="str">
        <f>""</f>
        <v/>
      </c>
      <c r="CI798" t="str">
        <f>""</f>
        <v/>
      </c>
      <c r="CJ798" t="str">
        <f>""</f>
        <v/>
      </c>
      <c r="CK798" t="str">
        <f>""</f>
        <v/>
      </c>
      <c r="CL798" t="str">
        <f>""</f>
        <v/>
      </c>
      <c r="CM798" t="str">
        <f>""</f>
        <v/>
      </c>
      <c r="CN798" t="str">
        <f>""</f>
        <v/>
      </c>
      <c r="CO798" t="str">
        <f>""</f>
        <v/>
      </c>
      <c r="CP798" t="str">
        <f>""</f>
        <v/>
      </c>
      <c r="CQ798" t="str">
        <f>""</f>
        <v/>
      </c>
      <c r="CR798" t="str">
        <f>""</f>
        <v/>
      </c>
      <c r="CS798" t="str">
        <f>""</f>
        <v/>
      </c>
      <c r="CT798" t="str">
        <f>""</f>
        <v/>
      </c>
      <c r="CU798" t="str">
        <f>""</f>
        <v/>
      </c>
      <c r="CV798" t="str">
        <f>""</f>
        <v/>
      </c>
      <c r="CW798" t="str">
        <f>""</f>
        <v/>
      </c>
      <c r="CX798" t="str">
        <f>""</f>
        <v/>
      </c>
      <c r="CY798" t="str">
        <f>""</f>
        <v/>
      </c>
      <c r="CZ798" t="str">
        <f>""</f>
        <v/>
      </c>
      <c r="DA798" t="str">
        <f>""</f>
        <v/>
      </c>
      <c r="DB798" t="str">
        <f>""</f>
        <v/>
      </c>
      <c r="DC798" t="str">
        <f>""</f>
        <v/>
      </c>
      <c r="DD798" t="str">
        <f>""</f>
        <v/>
      </c>
      <c r="DE798" t="str">
        <f>""</f>
        <v/>
      </c>
      <c r="DF798" t="str">
        <f>""</f>
        <v/>
      </c>
      <c r="DG798" t="str">
        <f>""</f>
        <v/>
      </c>
      <c r="DH798" t="str">
        <f>""</f>
        <v/>
      </c>
      <c r="DI798" t="str">
        <f>""</f>
        <v/>
      </c>
      <c r="DJ798" t="str">
        <f>""</f>
        <v/>
      </c>
      <c r="DK798" t="str">
        <f>""</f>
        <v/>
      </c>
      <c r="DL798" t="str">
        <f>""</f>
        <v/>
      </c>
      <c r="DM798" t="str">
        <f>""</f>
        <v/>
      </c>
      <c r="DN798" t="str">
        <f>""</f>
        <v/>
      </c>
      <c r="DO798" t="str">
        <f>""</f>
        <v/>
      </c>
      <c r="DP798" t="str">
        <f>""</f>
        <v/>
      </c>
      <c r="DQ798" t="str">
        <f>""</f>
        <v/>
      </c>
      <c r="DR798" t="str">
        <f>""</f>
        <v/>
      </c>
      <c r="DS798" t="str">
        <f>""</f>
        <v/>
      </c>
      <c r="DT798" t="str">
        <f>""</f>
        <v/>
      </c>
      <c r="DU798" t="str">
        <f>""</f>
        <v/>
      </c>
    </row>
    <row r="799" spans="1:125" x14ac:dyDescent="0.25">
      <c r="A799" t="str">
        <f>$A$128</f>
        <v xml:space="preserve">    AUDI AG</v>
      </c>
      <c r="B799" t="str">
        <f>$B$128</f>
        <v>NSU GR Equity</v>
      </c>
      <c r="C799" t="str">
        <f>$C$128</f>
        <v>RR903</v>
      </c>
      <c r="D799" t="str">
        <f>$D$128</f>
        <v>PX_TO_BOOK_RATIO</v>
      </c>
      <c r="E799" t="str">
        <f>$E$128</f>
        <v>Dynamic</v>
      </c>
      <c r="F799" t="str">
        <f ca="1">_xll.BDH($B$128,$C$128,$B$675,$B$676,CONCATENATE("Per=",$B$673),"Dts=H","Dir=H",CONCATENATE("Points=",$B$674),"Sort=R","Days=A","Fill=B",CONCATENATE("FX=", $B$672) )</f>
        <v>#N/A Connection</v>
      </c>
      <c r="BN799" t="str">
        <f>""</f>
        <v/>
      </c>
      <c r="BO799" t="str">
        <f>""</f>
        <v/>
      </c>
      <c r="BP799" t="str">
        <f>""</f>
        <v/>
      </c>
      <c r="BQ799" t="str">
        <f>""</f>
        <v/>
      </c>
      <c r="BR799" t="str">
        <f>""</f>
        <v/>
      </c>
      <c r="BS799" t="str">
        <f>""</f>
        <v/>
      </c>
      <c r="BT799" t="str">
        <f>""</f>
        <v/>
      </c>
      <c r="BU799" t="str">
        <f>""</f>
        <v/>
      </c>
      <c r="BV799" t="str">
        <f>""</f>
        <v/>
      </c>
      <c r="BW799" t="str">
        <f>""</f>
        <v/>
      </c>
      <c r="BX799" t="str">
        <f>""</f>
        <v/>
      </c>
      <c r="BY799" t="str">
        <f>""</f>
        <v/>
      </c>
      <c r="BZ799" t="str">
        <f>""</f>
        <v/>
      </c>
      <c r="CA799" t="str">
        <f>""</f>
        <v/>
      </c>
      <c r="CB799" t="str">
        <f>""</f>
        <v/>
      </c>
      <c r="CC799" t="str">
        <f>""</f>
        <v/>
      </c>
      <c r="CD799" t="str">
        <f>""</f>
        <v/>
      </c>
      <c r="CE799" t="str">
        <f>""</f>
        <v/>
      </c>
      <c r="CF799" t="str">
        <f>""</f>
        <v/>
      </c>
      <c r="CG799" t="str">
        <f>""</f>
        <v/>
      </c>
      <c r="CH799" t="str">
        <f>""</f>
        <v/>
      </c>
      <c r="CI799" t="str">
        <f>""</f>
        <v/>
      </c>
      <c r="CJ799" t="str">
        <f>""</f>
        <v/>
      </c>
      <c r="CK799" t="str">
        <f>""</f>
        <v/>
      </c>
      <c r="CL799" t="str">
        <f>""</f>
        <v/>
      </c>
      <c r="CM799" t="str">
        <f>""</f>
        <v/>
      </c>
      <c r="CN799" t="str">
        <f>""</f>
        <v/>
      </c>
      <c r="CO799" t="str">
        <f>""</f>
        <v/>
      </c>
      <c r="CP799" t="str">
        <f>""</f>
        <v/>
      </c>
      <c r="CQ799" t="str">
        <f>""</f>
        <v/>
      </c>
      <c r="CR799" t="str">
        <f>""</f>
        <v/>
      </c>
      <c r="CS799" t="str">
        <f>""</f>
        <v/>
      </c>
      <c r="CT799" t="str">
        <f>""</f>
        <v/>
      </c>
      <c r="CU799" t="str">
        <f>""</f>
        <v/>
      </c>
      <c r="CV799" t="str">
        <f>""</f>
        <v/>
      </c>
      <c r="CW799" t="str">
        <f>""</f>
        <v/>
      </c>
      <c r="CX799" t="str">
        <f>""</f>
        <v/>
      </c>
      <c r="CY799" t="str">
        <f>""</f>
        <v/>
      </c>
      <c r="CZ799" t="str">
        <f>""</f>
        <v/>
      </c>
      <c r="DA799" t="str">
        <f>""</f>
        <v/>
      </c>
      <c r="DB799" t="str">
        <f>""</f>
        <v/>
      </c>
      <c r="DC799" t="str">
        <f>""</f>
        <v/>
      </c>
      <c r="DD799" t="str">
        <f>""</f>
        <v/>
      </c>
      <c r="DE799" t="str">
        <f>""</f>
        <v/>
      </c>
      <c r="DF799" t="str">
        <f>""</f>
        <v/>
      </c>
      <c r="DG799" t="str">
        <f>""</f>
        <v/>
      </c>
      <c r="DH799" t="str">
        <f>""</f>
        <v/>
      </c>
      <c r="DI799" t="str">
        <f>""</f>
        <v/>
      </c>
      <c r="DJ799" t="str">
        <f>""</f>
        <v/>
      </c>
      <c r="DK799" t="str">
        <f>""</f>
        <v/>
      </c>
      <c r="DL799" t="str">
        <f>""</f>
        <v/>
      </c>
      <c r="DM799" t="str">
        <f>""</f>
        <v/>
      </c>
      <c r="DN799" t="str">
        <f>""</f>
        <v/>
      </c>
      <c r="DO799" t="str">
        <f>""</f>
        <v/>
      </c>
      <c r="DP799" t="str">
        <f>""</f>
        <v/>
      </c>
      <c r="DQ799" t="str">
        <f>""</f>
        <v/>
      </c>
      <c r="DR799" t="str">
        <f>""</f>
        <v/>
      </c>
      <c r="DS799" t="str">
        <f>""</f>
        <v/>
      </c>
      <c r="DT799" t="str">
        <f>""</f>
        <v/>
      </c>
      <c r="DU799" t="str">
        <f>""</f>
        <v/>
      </c>
    </row>
    <row r="800" spans="1:125" x14ac:dyDescent="0.25">
      <c r="A800" t="str">
        <f>$A$129</f>
        <v xml:space="preserve">    Avtovaz PJSC</v>
      </c>
      <c r="B800" t="str">
        <f>$B$129</f>
        <v>AVAZ RM Equity</v>
      </c>
      <c r="C800" t="str">
        <f>$C$129</f>
        <v>RR903</v>
      </c>
      <c r="D800" t="str">
        <f>$D$129</f>
        <v>PX_TO_BOOK_RATIO</v>
      </c>
      <c r="E800" t="str">
        <f>$E$129</f>
        <v>Dynamic</v>
      </c>
      <c r="F800" t="str">
        <f ca="1">_xll.BDH($B$129,$C$129,$B$675,$B$676,CONCATENATE("Per=",$B$673),"Dts=H","Dir=H",CONCATENATE("Points=",$B$674),"Sort=R","Days=A","Fill=B",CONCATENATE("FX=", $B$672) )</f>
        <v>#N/A Connection</v>
      </c>
      <c r="BN800" t="str">
        <f>""</f>
        <v/>
      </c>
      <c r="BO800" t="str">
        <f>""</f>
        <v/>
      </c>
      <c r="BP800" t="str">
        <f>""</f>
        <v/>
      </c>
      <c r="BQ800" t="str">
        <f>""</f>
        <v/>
      </c>
      <c r="BR800" t="str">
        <f>""</f>
        <v/>
      </c>
      <c r="BS800" t="str">
        <f>""</f>
        <v/>
      </c>
      <c r="BT800" t="str">
        <f>""</f>
        <v/>
      </c>
      <c r="BU800" t="str">
        <f>""</f>
        <v/>
      </c>
      <c r="BV800" t="str">
        <f>""</f>
        <v/>
      </c>
      <c r="BW800" t="str">
        <f>""</f>
        <v/>
      </c>
      <c r="BX800" t="str">
        <f>""</f>
        <v/>
      </c>
      <c r="BY800" t="str">
        <f>""</f>
        <v/>
      </c>
      <c r="BZ800" t="str">
        <f>""</f>
        <v/>
      </c>
      <c r="CA800" t="str">
        <f>""</f>
        <v/>
      </c>
      <c r="CB800" t="str">
        <f>""</f>
        <v/>
      </c>
      <c r="CC800" t="str">
        <f>""</f>
        <v/>
      </c>
      <c r="CD800" t="str">
        <f>""</f>
        <v/>
      </c>
      <c r="CE800" t="str">
        <f>""</f>
        <v/>
      </c>
      <c r="CF800" t="str">
        <f>""</f>
        <v/>
      </c>
      <c r="CG800" t="str">
        <f>""</f>
        <v/>
      </c>
      <c r="CH800" t="str">
        <f>""</f>
        <v/>
      </c>
      <c r="CI800" t="str">
        <f>""</f>
        <v/>
      </c>
      <c r="CJ800" t="str">
        <f>""</f>
        <v/>
      </c>
      <c r="CK800" t="str">
        <f>""</f>
        <v/>
      </c>
      <c r="CL800" t="str">
        <f>""</f>
        <v/>
      </c>
      <c r="CM800" t="str">
        <f>""</f>
        <v/>
      </c>
      <c r="CN800" t="str">
        <f>""</f>
        <v/>
      </c>
      <c r="CO800" t="str">
        <f>""</f>
        <v/>
      </c>
      <c r="CP800" t="str">
        <f>""</f>
        <v/>
      </c>
      <c r="CQ800" t="str">
        <f>""</f>
        <v/>
      </c>
      <c r="CR800" t="str">
        <f>""</f>
        <v/>
      </c>
      <c r="CS800" t="str">
        <f>""</f>
        <v/>
      </c>
      <c r="CT800" t="str">
        <f>""</f>
        <v/>
      </c>
      <c r="CU800" t="str">
        <f>""</f>
        <v/>
      </c>
      <c r="CV800" t="str">
        <f>""</f>
        <v/>
      </c>
      <c r="CW800" t="str">
        <f>""</f>
        <v/>
      </c>
      <c r="CX800" t="str">
        <f>""</f>
        <v/>
      </c>
      <c r="CY800" t="str">
        <f>""</f>
        <v/>
      </c>
      <c r="CZ800" t="str">
        <f>""</f>
        <v/>
      </c>
      <c r="DA800" t="str">
        <f>""</f>
        <v/>
      </c>
      <c r="DB800" t="str">
        <f>""</f>
        <v/>
      </c>
      <c r="DC800" t="str">
        <f>""</f>
        <v/>
      </c>
      <c r="DD800" t="str">
        <f>""</f>
        <v/>
      </c>
      <c r="DE800" t="str">
        <f>""</f>
        <v/>
      </c>
      <c r="DF800" t="str">
        <f>""</f>
        <v/>
      </c>
      <c r="DG800" t="str">
        <f>""</f>
        <v/>
      </c>
      <c r="DH800" t="str">
        <f>""</f>
        <v/>
      </c>
      <c r="DI800" t="str">
        <f>""</f>
        <v/>
      </c>
      <c r="DJ800" t="str">
        <f>""</f>
        <v/>
      </c>
      <c r="DK800" t="str">
        <f>""</f>
        <v/>
      </c>
      <c r="DL800" t="str">
        <f>""</f>
        <v/>
      </c>
      <c r="DM800" t="str">
        <f>""</f>
        <v/>
      </c>
      <c r="DN800" t="str">
        <f>""</f>
        <v/>
      </c>
      <c r="DO800" t="str">
        <f>""</f>
        <v/>
      </c>
      <c r="DP800" t="str">
        <f>""</f>
        <v/>
      </c>
      <c r="DQ800" t="str">
        <f>""</f>
        <v/>
      </c>
      <c r="DR800" t="str">
        <f>""</f>
        <v/>
      </c>
      <c r="DS800" t="str">
        <f>""</f>
        <v/>
      </c>
      <c r="DT800" t="str">
        <f>""</f>
        <v/>
      </c>
      <c r="DU800" t="str">
        <f>""</f>
        <v/>
      </c>
    </row>
    <row r="801" spans="1:125" x14ac:dyDescent="0.25">
      <c r="A801" t="str">
        <f>$A$130</f>
        <v xml:space="preserve">    Bayerische Motoren Werke AG</v>
      </c>
      <c r="B801" t="str">
        <f>$B$130</f>
        <v>BMW GR Equity</v>
      </c>
      <c r="C801" t="str">
        <f>$C$130</f>
        <v>RR903</v>
      </c>
      <c r="D801" t="str">
        <f>$D$130</f>
        <v>PX_TO_BOOK_RATIO</v>
      </c>
      <c r="E801" t="str">
        <f>$E$130</f>
        <v>Dynamic</v>
      </c>
      <c r="F801" t="str">
        <f ca="1">_xll.BDH($B$130,$C$130,$B$675,$B$676,CONCATENATE("Per=",$B$673),"Dts=H","Dir=H",CONCATENATE("Points=",$B$674),"Sort=R","Days=A","Fill=B",CONCATENATE("FX=", $B$672) )</f>
        <v>#N/A Connection</v>
      </c>
      <c r="BN801" t="str">
        <f>""</f>
        <v/>
      </c>
      <c r="BO801" t="str">
        <f>""</f>
        <v/>
      </c>
      <c r="BP801" t="str">
        <f>""</f>
        <v/>
      </c>
      <c r="BQ801" t="str">
        <f>""</f>
        <v/>
      </c>
      <c r="BR801" t="str">
        <f>""</f>
        <v/>
      </c>
      <c r="BS801" t="str">
        <f>""</f>
        <v/>
      </c>
      <c r="BT801" t="str">
        <f>""</f>
        <v/>
      </c>
      <c r="BU801" t="str">
        <f>""</f>
        <v/>
      </c>
      <c r="BV801" t="str">
        <f>""</f>
        <v/>
      </c>
      <c r="BW801" t="str">
        <f>""</f>
        <v/>
      </c>
      <c r="BX801" t="str">
        <f>""</f>
        <v/>
      </c>
      <c r="BY801" t="str">
        <f>""</f>
        <v/>
      </c>
      <c r="BZ801" t="str">
        <f>""</f>
        <v/>
      </c>
      <c r="CA801" t="str">
        <f>""</f>
        <v/>
      </c>
      <c r="CB801" t="str">
        <f>""</f>
        <v/>
      </c>
      <c r="CC801" t="str">
        <f>""</f>
        <v/>
      </c>
      <c r="CD801" t="str">
        <f>""</f>
        <v/>
      </c>
      <c r="CE801" t="str">
        <f>""</f>
        <v/>
      </c>
      <c r="CF801" t="str">
        <f>""</f>
        <v/>
      </c>
      <c r="CG801" t="str">
        <f>""</f>
        <v/>
      </c>
      <c r="CH801" t="str">
        <f>""</f>
        <v/>
      </c>
      <c r="CI801" t="str">
        <f>""</f>
        <v/>
      </c>
      <c r="CJ801" t="str">
        <f>""</f>
        <v/>
      </c>
      <c r="CK801" t="str">
        <f>""</f>
        <v/>
      </c>
      <c r="CL801" t="str">
        <f>""</f>
        <v/>
      </c>
      <c r="CM801" t="str">
        <f>""</f>
        <v/>
      </c>
      <c r="CN801" t="str">
        <f>""</f>
        <v/>
      </c>
      <c r="CO801" t="str">
        <f>""</f>
        <v/>
      </c>
      <c r="CP801" t="str">
        <f>""</f>
        <v/>
      </c>
      <c r="CQ801" t="str">
        <f>""</f>
        <v/>
      </c>
      <c r="CR801" t="str">
        <f>""</f>
        <v/>
      </c>
      <c r="CS801" t="str">
        <f>""</f>
        <v/>
      </c>
      <c r="CT801" t="str">
        <f>""</f>
        <v/>
      </c>
      <c r="CU801" t="str">
        <f>""</f>
        <v/>
      </c>
      <c r="CV801" t="str">
        <f>""</f>
        <v/>
      </c>
      <c r="CW801" t="str">
        <f>""</f>
        <v/>
      </c>
      <c r="CX801" t="str">
        <f>""</f>
        <v/>
      </c>
      <c r="CY801" t="str">
        <f>""</f>
        <v/>
      </c>
      <c r="CZ801" t="str">
        <f>""</f>
        <v/>
      </c>
      <c r="DA801" t="str">
        <f>""</f>
        <v/>
      </c>
      <c r="DB801" t="str">
        <f>""</f>
        <v/>
      </c>
      <c r="DC801" t="str">
        <f>""</f>
        <v/>
      </c>
      <c r="DD801" t="str">
        <f>""</f>
        <v/>
      </c>
      <c r="DE801" t="str">
        <f>""</f>
        <v/>
      </c>
      <c r="DF801" t="str">
        <f>""</f>
        <v/>
      </c>
      <c r="DG801" t="str">
        <f>""</f>
        <v/>
      </c>
      <c r="DH801" t="str">
        <f>""</f>
        <v/>
      </c>
      <c r="DI801" t="str">
        <f>""</f>
        <v/>
      </c>
      <c r="DJ801" t="str">
        <f>""</f>
        <v/>
      </c>
      <c r="DK801" t="str">
        <f>""</f>
        <v/>
      </c>
      <c r="DL801" t="str">
        <f>""</f>
        <v/>
      </c>
      <c r="DM801" t="str">
        <f>""</f>
        <v/>
      </c>
      <c r="DN801" t="str">
        <f>""</f>
        <v/>
      </c>
      <c r="DO801" t="str">
        <f>""</f>
        <v/>
      </c>
      <c r="DP801" t="str">
        <f>""</f>
        <v/>
      </c>
      <c r="DQ801" t="str">
        <f>""</f>
        <v/>
      </c>
      <c r="DR801" t="str">
        <f>""</f>
        <v/>
      </c>
      <c r="DS801" t="str">
        <f>""</f>
        <v/>
      </c>
      <c r="DT801" t="str">
        <f>""</f>
        <v/>
      </c>
      <c r="DU801" t="str">
        <f>""</f>
        <v/>
      </c>
    </row>
    <row r="802" spans="1:125" x14ac:dyDescent="0.25">
      <c r="A802" t="str">
        <f>$A$131</f>
        <v xml:space="preserve">    Brilliance China Automotive Holdings Ltd</v>
      </c>
      <c r="B802" t="str">
        <f>$B$131</f>
        <v>1114 HK Equity</v>
      </c>
      <c r="C802" t="str">
        <f>$C$131</f>
        <v>RR903</v>
      </c>
      <c r="D802" t="str">
        <f>$D$131</f>
        <v>PX_TO_BOOK_RATIO</v>
      </c>
      <c r="E802" t="str">
        <f>$E$131</f>
        <v>Dynamic</v>
      </c>
      <c r="F802" t="str">
        <f ca="1">_xll.BDH($B$131,$C$131,$B$675,$B$676,CONCATENATE("Per=",$B$673),"Dts=H","Dir=H",CONCATENATE("Points=",$B$674),"Sort=R","Days=A","Fill=B",CONCATENATE("FX=", $B$672) )</f>
        <v>#N/A Connection</v>
      </c>
      <c r="BN802" t="str">
        <f>""</f>
        <v/>
      </c>
      <c r="BO802" t="str">
        <f>""</f>
        <v/>
      </c>
      <c r="BP802" t="str">
        <f>""</f>
        <v/>
      </c>
      <c r="BQ802" t="str">
        <f>""</f>
        <v/>
      </c>
      <c r="BR802" t="str">
        <f>""</f>
        <v/>
      </c>
      <c r="BS802" t="str">
        <f>""</f>
        <v/>
      </c>
      <c r="BT802" t="str">
        <f>""</f>
        <v/>
      </c>
      <c r="BU802" t="str">
        <f>""</f>
        <v/>
      </c>
      <c r="BV802" t="str">
        <f>""</f>
        <v/>
      </c>
      <c r="BW802" t="str">
        <f>""</f>
        <v/>
      </c>
      <c r="BX802" t="str">
        <f>""</f>
        <v/>
      </c>
      <c r="BY802" t="str">
        <f>""</f>
        <v/>
      </c>
      <c r="BZ802" t="str">
        <f>""</f>
        <v/>
      </c>
      <c r="CA802" t="str">
        <f>""</f>
        <v/>
      </c>
      <c r="CB802" t="str">
        <f>""</f>
        <v/>
      </c>
      <c r="CC802" t="str">
        <f>""</f>
        <v/>
      </c>
      <c r="CD802" t="str">
        <f>""</f>
        <v/>
      </c>
      <c r="CE802" t="str">
        <f>""</f>
        <v/>
      </c>
      <c r="CF802" t="str">
        <f>""</f>
        <v/>
      </c>
      <c r="CG802" t="str">
        <f>""</f>
        <v/>
      </c>
      <c r="CH802" t="str">
        <f>""</f>
        <v/>
      </c>
      <c r="CI802" t="str">
        <f>""</f>
        <v/>
      </c>
      <c r="CJ802" t="str">
        <f>""</f>
        <v/>
      </c>
      <c r="CK802" t="str">
        <f>""</f>
        <v/>
      </c>
      <c r="CL802" t="str">
        <f>""</f>
        <v/>
      </c>
      <c r="CM802" t="str">
        <f>""</f>
        <v/>
      </c>
      <c r="CN802" t="str">
        <f>""</f>
        <v/>
      </c>
      <c r="CO802" t="str">
        <f>""</f>
        <v/>
      </c>
      <c r="CP802" t="str">
        <f>""</f>
        <v/>
      </c>
      <c r="CQ802" t="str">
        <f>""</f>
        <v/>
      </c>
      <c r="CR802" t="str">
        <f>""</f>
        <v/>
      </c>
      <c r="CS802" t="str">
        <f>""</f>
        <v/>
      </c>
      <c r="CT802" t="str">
        <f>""</f>
        <v/>
      </c>
      <c r="CU802" t="str">
        <f>""</f>
        <v/>
      </c>
      <c r="CV802" t="str">
        <f>""</f>
        <v/>
      </c>
      <c r="CW802" t="str">
        <f>""</f>
        <v/>
      </c>
      <c r="CX802" t="str">
        <f>""</f>
        <v/>
      </c>
      <c r="CY802" t="str">
        <f>""</f>
        <v/>
      </c>
      <c r="CZ802" t="str">
        <f>""</f>
        <v/>
      </c>
      <c r="DA802" t="str">
        <f>""</f>
        <v/>
      </c>
      <c r="DB802" t="str">
        <f>""</f>
        <v/>
      </c>
      <c r="DC802" t="str">
        <f>""</f>
        <v/>
      </c>
      <c r="DD802" t="str">
        <f>""</f>
        <v/>
      </c>
      <c r="DE802" t="str">
        <f>""</f>
        <v/>
      </c>
      <c r="DF802" t="str">
        <f>""</f>
        <v/>
      </c>
      <c r="DG802" t="str">
        <f>""</f>
        <v/>
      </c>
      <c r="DH802" t="str">
        <f>""</f>
        <v/>
      </c>
      <c r="DI802" t="str">
        <f>""</f>
        <v/>
      </c>
      <c r="DJ802" t="str">
        <f>""</f>
        <v/>
      </c>
      <c r="DK802" t="str">
        <f>""</f>
        <v/>
      </c>
      <c r="DL802" t="str">
        <f>""</f>
        <v/>
      </c>
      <c r="DM802" t="str">
        <f>""</f>
        <v/>
      </c>
      <c r="DN802" t="str">
        <f>""</f>
        <v/>
      </c>
      <c r="DO802" t="str">
        <f>""</f>
        <v/>
      </c>
      <c r="DP802" t="str">
        <f>""</f>
        <v/>
      </c>
      <c r="DQ802" t="str">
        <f>""</f>
        <v/>
      </c>
      <c r="DR802" t="str">
        <f>""</f>
        <v/>
      </c>
      <c r="DS802" t="str">
        <f>""</f>
        <v/>
      </c>
      <c r="DT802" t="str">
        <f>""</f>
        <v/>
      </c>
      <c r="DU802" t="str">
        <f>""</f>
        <v/>
      </c>
    </row>
    <row r="803" spans="1:125" x14ac:dyDescent="0.25">
      <c r="A803" t="str">
        <f>$A$132</f>
        <v xml:space="preserve">    BYD Co Ltd</v>
      </c>
      <c r="B803" t="str">
        <f>$B$132</f>
        <v>1211 HK Equity</v>
      </c>
      <c r="C803" t="str">
        <f>$C$132</f>
        <v>RR903</v>
      </c>
      <c r="D803" t="str">
        <f>$D$132</f>
        <v>PX_TO_BOOK_RATIO</v>
      </c>
      <c r="E803" t="str">
        <f>$E$132</f>
        <v>Dynamic</v>
      </c>
      <c r="F803" t="str">
        <f ca="1">_xll.BDH($B$132,$C$132,$B$675,$B$676,CONCATENATE("Per=",$B$673),"Dts=H","Dir=H",CONCATENATE("Points=",$B$674),"Sort=R","Days=A","Fill=B",CONCATENATE("FX=", $B$672) )</f>
        <v>#N/A Connection</v>
      </c>
      <c r="BN803" t="str">
        <f>""</f>
        <v/>
      </c>
      <c r="BO803" t="str">
        <f>""</f>
        <v/>
      </c>
      <c r="BP803" t="str">
        <f>""</f>
        <v/>
      </c>
      <c r="BQ803" t="str">
        <f>""</f>
        <v/>
      </c>
      <c r="BR803" t="str">
        <f>""</f>
        <v/>
      </c>
      <c r="BS803" t="str">
        <f>""</f>
        <v/>
      </c>
      <c r="BT803" t="str">
        <f>""</f>
        <v/>
      </c>
      <c r="BU803" t="str">
        <f>""</f>
        <v/>
      </c>
      <c r="BV803" t="str">
        <f>""</f>
        <v/>
      </c>
      <c r="BW803" t="str">
        <f>""</f>
        <v/>
      </c>
      <c r="BX803" t="str">
        <f>""</f>
        <v/>
      </c>
      <c r="BY803" t="str">
        <f>""</f>
        <v/>
      </c>
      <c r="BZ803" t="str">
        <f>""</f>
        <v/>
      </c>
      <c r="CA803" t="str">
        <f>""</f>
        <v/>
      </c>
      <c r="CB803" t="str">
        <f>""</f>
        <v/>
      </c>
      <c r="CC803" t="str">
        <f>""</f>
        <v/>
      </c>
      <c r="CD803" t="str">
        <f>""</f>
        <v/>
      </c>
      <c r="CE803" t="str">
        <f>""</f>
        <v/>
      </c>
      <c r="CF803" t="str">
        <f>""</f>
        <v/>
      </c>
      <c r="CG803" t="str">
        <f>""</f>
        <v/>
      </c>
      <c r="CH803" t="str">
        <f>""</f>
        <v/>
      </c>
      <c r="CI803" t="str">
        <f>""</f>
        <v/>
      </c>
      <c r="CJ803" t="str">
        <f>""</f>
        <v/>
      </c>
      <c r="CK803" t="str">
        <f>""</f>
        <v/>
      </c>
      <c r="CL803" t="str">
        <f>""</f>
        <v/>
      </c>
      <c r="CM803" t="str">
        <f>""</f>
        <v/>
      </c>
      <c r="CN803" t="str">
        <f>""</f>
        <v/>
      </c>
      <c r="CO803" t="str">
        <f>""</f>
        <v/>
      </c>
      <c r="CP803" t="str">
        <f>""</f>
        <v/>
      </c>
      <c r="CQ803" t="str">
        <f>""</f>
        <v/>
      </c>
      <c r="CR803" t="str">
        <f>""</f>
        <v/>
      </c>
      <c r="CS803" t="str">
        <f>""</f>
        <v/>
      </c>
      <c r="CT803" t="str">
        <f>""</f>
        <v/>
      </c>
      <c r="CU803" t="str">
        <f>""</f>
        <v/>
      </c>
      <c r="CV803" t="str">
        <f>""</f>
        <v/>
      </c>
      <c r="CW803" t="str">
        <f>""</f>
        <v/>
      </c>
      <c r="CX803" t="str">
        <f>""</f>
        <v/>
      </c>
      <c r="CY803" t="str">
        <f>""</f>
        <v/>
      </c>
      <c r="CZ803" t="str">
        <f>""</f>
        <v/>
      </c>
      <c r="DA803" t="str">
        <f>""</f>
        <v/>
      </c>
      <c r="DB803" t="str">
        <f>""</f>
        <v/>
      </c>
      <c r="DC803" t="str">
        <f>""</f>
        <v/>
      </c>
      <c r="DD803" t="str">
        <f>""</f>
        <v/>
      </c>
      <c r="DE803" t="str">
        <f>""</f>
        <v/>
      </c>
      <c r="DF803" t="str">
        <f>""</f>
        <v/>
      </c>
      <c r="DG803" t="str">
        <f>""</f>
        <v/>
      </c>
      <c r="DH803" t="str">
        <f>""</f>
        <v/>
      </c>
      <c r="DI803" t="str">
        <f>""</f>
        <v/>
      </c>
      <c r="DJ803" t="str">
        <f>""</f>
        <v/>
      </c>
      <c r="DK803" t="str">
        <f>""</f>
        <v/>
      </c>
      <c r="DL803" t="str">
        <f>""</f>
        <v/>
      </c>
      <c r="DM803" t="str">
        <f>""</f>
        <v/>
      </c>
      <c r="DN803" t="str">
        <f>""</f>
        <v/>
      </c>
      <c r="DO803" t="str">
        <f>""</f>
        <v/>
      </c>
      <c r="DP803" t="str">
        <f>""</f>
        <v/>
      </c>
      <c r="DQ803" t="str">
        <f>""</f>
        <v/>
      </c>
      <c r="DR803" t="str">
        <f>""</f>
        <v/>
      </c>
      <c r="DS803" t="str">
        <f>""</f>
        <v/>
      </c>
      <c r="DT803" t="str">
        <f>""</f>
        <v/>
      </c>
      <c r="DU803" t="str">
        <f>""</f>
        <v/>
      </c>
    </row>
    <row r="804" spans="1:125" x14ac:dyDescent="0.25">
      <c r="A804" t="str">
        <f>$A$133</f>
        <v xml:space="preserve">    Chongqing Changan Automobile Co Ltd</v>
      </c>
      <c r="B804" t="str">
        <f>$B$133</f>
        <v>200625 CH Equity</v>
      </c>
      <c r="C804" t="str">
        <f>$C$133</f>
        <v>RR903</v>
      </c>
      <c r="D804" t="str">
        <f>$D$133</f>
        <v>PX_TO_BOOK_RATIO</v>
      </c>
      <c r="E804" t="str">
        <f>$E$133</f>
        <v>Dynamic</v>
      </c>
      <c r="F804" t="str">
        <f ca="1">_xll.BDH($B$133,$C$133,$B$675,$B$676,CONCATENATE("Per=",$B$673),"Dts=H","Dir=H",CONCATENATE("Points=",$B$674),"Sort=R","Days=A","Fill=B",CONCATENATE("FX=", $B$672) )</f>
        <v>#N/A Connection</v>
      </c>
      <c r="BN804" t="str">
        <f>""</f>
        <v/>
      </c>
      <c r="BO804" t="str">
        <f>""</f>
        <v/>
      </c>
      <c r="BP804" t="str">
        <f>""</f>
        <v/>
      </c>
      <c r="BQ804" t="str">
        <f>""</f>
        <v/>
      </c>
      <c r="BR804" t="str">
        <f>""</f>
        <v/>
      </c>
      <c r="BS804" t="str">
        <f>""</f>
        <v/>
      </c>
      <c r="BT804" t="str">
        <f>""</f>
        <v/>
      </c>
      <c r="BU804" t="str">
        <f>""</f>
        <v/>
      </c>
      <c r="BV804" t="str">
        <f>""</f>
        <v/>
      </c>
      <c r="BW804" t="str">
        <f>""</f>
        <v/>
      </c>
      <c r="BX804" t="str">
        <f>""</f>
        <v/>
      </c>
      <c r="BY804" t="str">
        <f>""</f>
        <v/>
      </c>
      <c r="BZ804" t="str">
        <f>""</f>
        <v/>
      </c>
      <c r="CA804" t="str">
        <f>""</f>
        <v/>
      </c>
      <c r="CB804" t="str">
        <f>""</f>
        <v/>
      </c>
      <c r="CC804" t="str">
        <f>""</f>
        <v/>
      </c>
      <c r="CD804" t="str">
        <f>""</f>
        <v/>
      </c>
      <c r="CE804" t="str">
        <f>""</f>
        <v/>
      </c>
      <c r="CF804" t="str">
        <f>""</f>
        <v/>
      </c>
      <c r="CG804" t="str">
        <f>""</f>
        <v/>
      </c>
      <c r="CH804" t="str">
        <f>""</f>
        <v/>
      </c>
      <c r="CI804" t="str">
        <f>""</f>
        <v/>
      </c>
      <c r="CJ804" t="str">
        <f>""</f>
        <v/>
      </c>
      <c r="CK804" t="str">
        <f>""</f>
        <v/>
      </c>
      <c r="CL804" t="str">
        <f>""</f>
        <v/>
      </c>
      <c r="CM804" t="str">
        <f>""</f>
        <v/>
      </c>
      <c r="CN804" t="str">
        <f>""</f>
        <v/>
      </c>
      <c r="CO804" t="str">
        <f>""</f>
        <v/>
      </c>
      <c r="CP804" t="str">
        <f>""</f>
        <v/>
      </c>
      <c r="CQ804" t="str">
        <f>""</f>
        <v/>
      </c>
      <c r="CR804" t="str">
        <f>""</f>
        <v/>
      </c>
      <c r="CS804" t="str">
        <f>""</f>
        <v/>
      </c>
      <c r="CT804" t="str">
        <f>""</f>
        <v/>
      </c>
      <c r="CU804" t="str">
        <f>""</f>
        <v/>
      </c>
      <c r="CV804" t="str">
        <f>""</f>
        <v/>
      </c>
      <c r="CW804" t="str">
        <f>""</f>
        <v/>
      </c>
      <c r="CX804" t="str">
        <f>""</f>
        <v/>
      </c>
      <c r="CY804" t="str">
        <f>""</f>
        <v/>
      </c>
      <c r="CZ804" t="str">
        <f>""</f>
        <v/>
      </c>
      <c r="DA804" t="str">
        <f>""</f>
        <v/>
      </c>
      <c r="DB804" t="str">
        <f>""</f>
        <v/>
      </c>
      <c r="DC804" t="str">
        <f>""</f>
        <v/>
      </c>
      <c r="DD804" t="str">
        <f>""</f>
        <v/>
      </c>
      <c r="DE804" t="str">
        <f>""</f>
        <v/>
      </c>
      <c r="DF804" t="str">
        <f>""</f>
        <v/>
      </c>
      <c r="DG804" t="str">
        <f>""</f>
        <v/>
      </c>
      <c r="DH804" t="str">
        <f>""</f>
        <v/>
      </c>
      <c r="DI804" t="str">
        <f>""</f>
        <v/>
      </c>
      <c r="DJ804" t="str">
        <f>""</f>
        <v/>
      </c>
      <c r="DK804" t="str">
        <f>""</f>
        <v/>
      </c>
      <c r="DL804" t="str">
        <f>""</f>
        <v/>
      </c>
      <c r="DM804" t="str">
        <f>""</f>
        <v/>
      </c>
      <c r="DN804" t="str">
        <f>""</f>
        <v/>
      </c>
      <c r="DO804" t="str">
        <f>""</f>
        <v/>
      </c>
      <c r="DP804" t="str">
        <f>""</f>
        <v/>
      </c>
      <c r="DQ804" t="str">
        <f>""</f>
        <v/>
      </c>
      <c r="DR804" t="str">
        <f>""</f>
        <v/>
      </c>
      <c r="DS804" t="str">
        <f>""</f>
        <v/>
      </c>
      <c r="DT804" t="str">
        <f>""</f>
        <v/>
      </c>
      <c r="DU804" t="str">
        <f>""</f>
        <v/>
      </c>
    </row>
    <row r="805" spans="1:125" x14ac:dyDescent="0.25">
      <c r="A805" t="str">
        <f>$A$134</f>
        <v xml:space="preserve">    Daihatsu Motor Co Ltd</v>
      </c>
      <c r="B805" t="str">
        <f>$B$134</f>
        <v>7262 JP Equity</v>
      </c>
      <c r="C805" t="str">
        <f>$C$134</f>
        <v>RR903</v>
      </c>
      <c r="D805" t="str">
        <f>$D$134</f>
        <v>PX_TO_BOOK_RATIO</v>
      </c>
      <c r="E805" t="str">
        <f>$E$134</f>
        <v>Dynamic</v>
      </c>
      <c r="F805" t="str">
        <f ca="1">_xll.BDH($B$134,$C$134,$B$675,$B$676,CONCATENATE("Per=",$B$673),"Dts=H","Dir=H",CONCATENATE("Points=",$B$674),"Sort=R","Days=A","Fill=B",CONCATENATE("FX=", $B$672) )</f>
        <v>#N/A Connection</v>
      </c>
      <c r="BN805" t="str">
        <f>""</f>
        <v/>
      </c>
      <c r="BO805" t="str">
        <f>""</f>
        <v/>
      </c>
      <c r="BP805" t="str">
        <f>""</f>
        <v/>
      </c>
      <c r="BQ805" t="str">
        <f>""</f>
        <v/>
      </c>
      <c r="BR805" t="str">
        <f>""</f>
        <v/>
      </c>
      <c r="BS805" t="str">
        <f>""</f>
        <v/>
      </c>
      <c r="BT805" t="str">
        <f>""</f>
        <v/>
      </c>
      <c r="BU805" t="str">
        <f>""</f>
        <v/>
      </c>
      <c r="BV805" t="str">
        <f>""</f>
        <v/>
      </c>
      <c r="BW805" t="str">
        <f>""</f>
        <v/>
      </c>
      <c r="BX805" t="str">
        <f>""</f>
        <v/>
      </c>
      <c r="BY805" t="str">
        <f>""</f>
        <v/>
      </c>
      <c r="BZ805" t="str">
        <f>""</f>
        <v/>
      </c>
      <c r="CA805" t="str">
        <f>""</f>
        <v/>
      </c>
      <c r="CB805" t="str">
        <f>""</f>
        <v/>
      </c>
      <c r="CC805" t="str">
        <f>""</f>
        <v/>
      </c>
      <c r="CD805" t="str">
        <f>""</f>
        <v/>
      </c>
      <c r="CE805" t="str">
        <f>""</f>
        <v/>
      </c>
      <c r="CF805" t="str">
        <f>""</f>
        <v/>
      </c>
      <c r="CG805" t="str">
        <f>""</f>
        <v/>
      </c>
      <c r="CH805" t="str">
        <f>""</f>
        <v/>
      </c>
      <c r="CI805" t="str">
        <f>""</f>
        <v/>
      </c>
      <c r="CJ805" t="str">
        <f>""</f>
        <v/>
      </c>
      <c r="CK805" t="str">
        <f>""</f>
        <v/>
      </c>
      <c r="CL805" t="str">
        <f>""</f>
        <v/>
      </c>
      <c r="CM805" t="str">
        <f>""</f>
        <v/>
      </c>
      <c r="CN805" t="str">
        <f>""</f>
        <v/>
      </c>
      <c r="CO805" t="str">
        <f>""</f>
        <v/>
      </c>
      <c r="CP805" t="str">
        <f>""</f>
        <v/>
      </c>
      <c r="CQ805" t="str">
        <f>""</f>
        <v/>
      </c>
      <c r="CR805" t="str">
        <f>""</f>
        <v/>
      </c>
      <c r="CS805" t="str">
        <f>""</f>
        <v/>
      </c>
      <c r="CT805" t="str">
        <f>""</f>
        <v/>
      </c>
      <c r="CU805" t="str">
        <f>""</f>
        <v/>
      </c>
      <c r="CV805" t="str">
        <f>""</f>
        <v/>
      </c>
      <c r="CW805" t="str">
        <f>""</f>
        <v/>
      </c>
      <c r="CX805" t="str">
        <f>""</f>
        <v/>
      </c>
      <c r="CY805" t="str">
        <f>""</f>
        <v/>
      </c>
      <c r="CZ805" t="str">
        <f>""</f>
        <v/>
      </c>
      <c r="DA805" t="str">
        <f>""</f>
        <v/>
      </c>
      <c r="DB805" t="str">
        <f>""</f>
        <v/>
      </c>
      <c r="DC805" t="str">
        <f>""</f>
        <v/>
      </c>
      <c r="DD805" t="str">
        <f>""</f>
        <v/>
      </c>
      <c r="DE805" t="str">
        <f>""</f>
        <v/>
      </c>
      <c r="DF805" t="str">
        <f>""</f>
        <v/>
      </c>
      <c r="DG805" t="str">
        <f>""</f>
        <v/>
      </c>
      <c r="DH805" t="str">
        <f>""</f>
        <v/>
      </c>
      <c r="DI805" t="str">
        <f>""</f>
        <v/>
      </c>
      <c r="DJ805" t="str">
        <f>""</f>
        <v/>
      </c>
      <c r="DK805" t="str">
        <f>""</f>
        <v/>
      </c>
      <c r="DL805" t="str">
        <f>""</f>
        <v/>
      </c>
      <c r="DM805" t="str">
        <f>""</f>
        <v/>
      </c>
      <c r="DN805" t="str">
        <f>""</f>
        <v/>
      </c>
      <c r="DO805" t="str">
        <f>""</f>
        <v/>
      </c>
      <c r="DP805" t="str">
        <f>""</f>
        <v/>
      </c>
      <c r="DQ805" t="str">
        <f>""</f>
        <v/>
      </c>
      <c r="DR805" t="str">
        <f>""</f>
        <v/>
      </c>
      <c r="DS805" t="str">
        <f>""</f>
        <v/>
      </c>
      <c r="DT805" t="str">
        <f>""</f>
        <v/>
      </c>
      <c r="DU805" t="str">
        <f>""</f>
        <v/>
      </c>
    </row>
    <row r="806" spans="1:125" x14ac:dyDescent="0.25">
      <c r="A806" t="str">
        <f>$A$135</f>
        <v xml:space="preserve">    Daimler AG</v>
      </c>
      <c r="B806" t="str">
        <f>$B$135</f>
        <v>DAI GR Equity</v>
      </c>
      <c r="C806" t="str">
        <f>$C$135</f>
        <v>RR903</v>
      </c>
      <c r="D806" t="str">
        <f>$D$135</f>
        <v>PX_TO_BOOK_RATIO</v>
      </c>
      <c r="E806" t="str">
        <f>$E$135</f>
        <v>Dynamic</v>
      </c>
      <c r="F806" t="str">
        <f ca="1">_xll.BDH($B$135,$C$135,$B$675,$B$676,CONCATENATE("Per=",$B$673),"Dts=H","Dir=H",CONCATENATE("Points=",$B$674),"Sort=R","Days=A","Fill=B",CONCATENATE("FX=", $B$672) )</f>
        <v>#N/A Connection</v>
      </c>
      <c r="BN806" t="str">
        <f>""</f>
        <v/>
      </c>
      <c r="BO806" t="str">
        <f>""</f>
        <v/>
      </c>
      <c r="BP806" t="str">
        <f>""</f>
        <v/>
      </c>
      <c r="BQ806" t="str">
        <f>""</f>
        <v/>
      </c>
      <c r="BR806" t="str">
        <f>""</f>
        <v/>
      </c>
      <c r="BS806" t="str">
        <f>""</f>
        <v/>
      </c>
      <c r="BT806" t="str">
        <f>""</f>
        <v/>
      </c>
      <c r="BU806" t="str">
        <f>""</f>
        <v/>
      </c>
      <c r="BV806" t="str">
        <f>""</f>
        <v/>
      </c>
      <c r="BW806" t="str">
        <f>""</f>
        <v/>
      </c>
      <c r="BX806" t="str">
        <f>""</f>
        <v/>
      </c>
      <c r="BY806" t="str">
        <f>""</f>
        <v/>
      </c>
      <c r="BZ806" t="str">
        <f>""</f>
        <v/>
      </c>
      <c r="CA806" t="str">
        <f>""</f>
        <v/>
      </c>
      <c r="CB806" t="str">
        <f>""</f>
        <v/>
      </c>
      <c r="CC806" t="str">
        <f>""</f>
        <v/>
      </c>
      <c r="CD806" t="str">
        <f>""</f>
        <v/>
      </c>
      <c r="CE806" t="str">
        <f>""</f>
        <v/>
      </c>
      <c r="CF806" t="str">
        <f>""</f>
        <v/>
      </c>
      <c r="CG806" t="str">
        <f>""</f>
        <v/>
      </c>
      <c r="CH806" t="str">
        <f>""</f>
        <v/>
      </c>
      <c r="CI806" t="str">
        <f>""</f>
        <v/>
      </c>
      <c r="CJ806" t="str">
        <f>""</f>
        <v/>
      </c>
      <c r="CK806" t="str">
        <f>""</f>
        <v/>
      </c>
      <c r="CL806" t="str">
        <f>""</f>
        <v/>
      </c>
      <c r="CM806" t="str">
        <f>""</f>
        <v/>
      </c>
      <c r="CN806" t="str">
        <f>""</f>
        <v/>
      </c>
      <c r="CO806" t="str">
        <f>""</f>
        <v/>
      </c>
      <c r="CP806" t="str">
        <f>""</f>
        <v/>
      </c>
      <c r="CQ806" t="str">
        <f>""</f>
        <v/>
      </c>
      <c r="CR806" t="str">
        <f>""</f>
        <v/>
      </c>
      <c r="CS806" t="str">
        <f>""</f>
        <v/>
      </c>
      <c r="CT806" t="str">
        <f>""</f>
        <v/>
      </c>
      <c r="CU806" t="str">
        <f>""</f>
        <v/>
      </c>
      <c r="CV806" t="str">
        <f>""</f>
        <v/>
      </c>
      <c r="CW806" t="str">
        <f>""</f>
        <v/>
      </c>
      <c r="CX806" t="str">
        <f>""</f>
        <v/>
      </c>
      <c r="CY806" t="str">
        <f>""</f>
        <v/>
      </c>
      <c r="CZ806" t="str">
        <f>""</f>
        <v/>
      </c>
      <c r="DA806" t="str">
        <f>""</f>
        <v/>
      </c>
      <c r="DB806" t="str">
        <f>""</f>
        <v/>
      </c>
      <c r="DC806" t="str">
        <f>""</f>
        <v/>
      </c>
      <c r="DD806" t="str">
        <f>""</f>
        <v/>
      </c>
      <c r="DE806" t="str">
        <f>""</f>
        <v/>
      </c>
      <c r="DF806" t="str">
        <f>""</f>
        <v/>
      </c>
      <c r="DG806" t="str">
        <f>""</f>
        <v/>
      </c>
      <c r="DH806" t="str">
        <f>""</f>
        <v/>
      </c>
      <c r="DI806" t="str">
        <f>""</f>
        <v/>
      </c>
      <c r="DJ806" t="str">
        <f>""</f>
        <v/>
      </c>
      <c r="DK806" t="str">
        <f>""</f>
        <v/>
      </c>
      <c r="DL806" t="str">
        <f>""</f>
        <v/>
      </c>
      <c r="DM806" t="str">
        <f>""</f>
        <v/>
      </c>
      <c r="DN806" t="str">
        <f>""</f>
        <v/>
      </c>
      <c r="DO806" t="str">
        <f>""</f>
        <v/>
      </c>
      <c r="DP806" t="str">
        <f>""</f>
        <v/>
      </c>
      <c r="DQ806" t="str">
        <f>""</f>
        <v/>
      </c>
      <c r="DR806" t="str">
        <f>""</f>
        <v/>
      </c>
      <c r="DS806" t="str">
        <f>""</f>
        <v/>
      </c>
      <c r="DT806" t="str">
        <f>""</f>
        <v/>
      </c>
      <c r="DU806" t="str">
        <f>""</f>
        <v/>
      </c>
    </row>
    <row r="807" spans="1:125" x14ac:dyDescent="0.25">
      <c r="A807" t="str">
        <f>$A$136</f>
        <v xml:space="preserve">    Dongfeng Motor Group Co Ltd</v>
      </c>
      <c r="B807" t="str">
        <f>$B$136</f>
        <v>489 HK Equity</v>
      </c>
      <c r="C807" t="str">
        <f>$C$136</f>
        <v>RR903</v>
      </c>
      <c r="D807" t="str">
        <f>$D$136</f>
        <v>PX_TO_BOOK_RATIO</v>
      </c>
      <c r="E807" t="str">
        <f>$E$136</f>
        <v>Dynamic</v>
      </c>
      <c r="F807" t="str">
        <f ca="1">_xll.BDH($B$136,$C$136,$B$675,$B$676,CONCATENATE("Per=",$B$673),"Dts=H","Dir=H",CONCATENATE("Points=",$B$674),"Sort=R","Days=A","Fill=B",CONCATENATE("FX=", $B$672) )</f>
        <v>#N/A Connection</v>
      </c>
      <c r="BN807" t="str">
        <f>""</f>
        <v/>
      </c>
      <c r="BO807" t="str">
        <f>""</f>
        <v/>
      </c>
      <c r="BP807" t="str">
        <f>""</f>
        <v/>
      </c>
      <c r="BQ807" t="str">
        <f>""</f>
        <v/>
      </c>
      <c r="BR807" t="str">
        <f>""</f>
        <v/>
      </c>
      <c r="BS807" t="str">
        <f>""</f>
        <v/>
      </c>
      <c r="BT807" t="str">
        <f>""</f>
        <v/>
      </c>
      <c r="BU807" t="str">
        <f>""</f>
        <v/>
      </c>
      <c r="BV807" t="str">
        <f>""</f>
        <v/>
      </c>
      <c r="BW807" t="str">
        <f>""</f>
        <v/>
      </c>
      <c r="BX807" t="str">
        <f>""</f>
        <v/>
      </c>
      <c r="BY807" t="str">
        <f>""</f>
        <v/>
      </c>
      <c r="BZ807" t="str">
        <f>""</f>
        <v/>
      </c>
      <c r="CA807" t="str">
        <f>""</f>
        <v/>
      </c>
      <c r="CB807" t="str">
        <f>""</f>
        <v/>
      </c>
      <c r="CC807" t="str">
        <f>""</f>
        <v/>
      </c>
      <c r="CD807" t="str">
        <f>""</f>
        <v/>
      </c>
      <c r="CE807" t="str">
        <f>""</f>
        <v/>
      </c>
      <c r="CF807" t="str">
        <f>""</f>
        <v/>
      </c>
      <c r="CG807" t="str">
        <f>""</f>
        <v/>
      </c>
      <c r="CH807" t="str">
        <f>""</f>
        <v/>
      </c>
      <c r="CI807" t="str">
        <f>""</f>
        <v/>
      </c>
      <c r="CJ807" t="str">
        <f>""</f>
        <v/>
      </c>
      <c r="CK807" t="str">
        <f>""</f>
        <v/>
      </c>
      <c r="CL807" t="str">
        <f>""</f>
        <v/>
      </c>
      <c r="CM807" t="str">
        <f>""</f>
        <v/>
      </c>
      <c r="CN807" t="str">
        <f>""</f>
        <v/>
      </c>
      <c r="CO807" t="str">
        <f>""</f>
        <v/>
      </c>
      <c r="CP807" t="str">
        <f>""</f>
        <v/>
      </c>
      <c r="CQ807" t="str">
        <f>""</f>
        <v/>
      </c>
      <c r="CR807" t="str">
        <f>""</f>
        <v/>
      </c>
      <c r="CS807" t="str">
        <f>""</f>
        <v/>
      </c>
      <c r="CT807" t="str">
        <f>""</f>
        <v/>
      </c>
      <c r="CU807" t="str">
        <f>""</f>
        <v/>
      </c>
      <c r="CV807" t="str">
        <f>""</f>
        <v/>
      </c>
      <c r="CW807" t="str">
        <f>""</f>
        <v/>
      </c>
      <c r="CX807" t="str">
        <f>""</f>
        <v/>
      </c>
      <c r="CY807" t="str">
        <f>""</f>
        <v/>
      </c>
      <c r="CZ807" t="str">
        <f>""</f>
        <v/>
      </c>
      <c r="DA807" t="str">
        <f>""</f>
        <v/>
      </c>
      <c r="DB807" t="str">
        <f>""</f>
        <v/>
      </c>
      <c r="DC807" t="str">
        <f>""</f>
        <v/>
      </c>
      <c r="DD807" t="str">
        <f>""</f>
        <v/>
      </c>
      <c r="DE807" t="str">
        <f>""</f>
        <v/>
      </c>
      <c r="DF807" t="str">
        <f>""</f>
        <v/>
      </c>
      <c r="DG807" t="str">
        <f>""</f>
        <v/>
      </c>
      <c r="DH807" t="str">
        <f>""</f>
        <v/>
      </c>
      <c r="DI807" t="str">
        <f>""</f>
        <v/>
      </c>
      <c r="DJ807" t="str">
        <f>""</f>
        <v/>
      </c>
      <c r="DK807" t="str">
        <f>""</f>
        <v/>
      </c>
      <c r="DL807" t="str">
        <f>""</f>
        <v/>
      </c>
      <c r="DM807" t="str">
        <f>""</f>
        <v/>
      </c>
      <c r="DN807" t="str">
        <f>""</f>
        <v/>
      </c>
      <c r="DO807" t="str">
        <f>""</f>
        <v/>
      </c>
      <c r="DP807" t="str">
        <f>""</f>
        <v/>
      </c>
      <c r="DQ807" t="str">
        <f>""</f>
        <v/>
      </c>
      <c r="DR807" t="str">
        <f>""</f>
        <v/>
      </c>
      <c r="DS807" t="str">
        <f>""</f>
        <v/>
      </c>
      <c r="DT807" t="str">
        <f>""</f>
        <v/>
      </c>
      <c r="DU807" t="str">
        <f>""</f>
        <v/>
      </c>
    </row>
    <row r="808" spans="1:125" x14ac:dyDescent="0.25">
      <c r="A808" t="str">
        <f>$A$137</f>
        <v xml:space="preserve">    DRB-Hicom Bhd</v>
      </c>
      <c r="B808" t="str">
        <f>$B$137</f>
        <v>DRB MK Equity</v>
      </c>
      <c r="C808" t="str">
        <f>$C$137</f>
        <v>RR903</v>
      </c>
      <c r="D808" t="str">
        <f>$D$137</f>
        <v>PX_TO_BOOK_RATIO</v>
      </c>
      <c r="E808" t="str">
        <f>$E$137</f>
        <v>Dynamic</v>
      </c>
      <c r="F808" t="str">
        <f ca="1">_xll.BDH($B$137,$C$137,$B$675,$B$676,CONCATENATE("Per=",$B$673),"Dts=H","Dir=H",CONCATENATE("Points=",$B$674),"Sort=R","Days=A","Fill=B",CONCATENATE("FX=", $B$672) )</f>
        <v>#N/A Connection</v>
      </c>
      <c r="BN808" t="str">
        <f>""</f>
        <v/>
      </c>
      <c r="BO808" t="str">
        <f>""</f>
        <v/>
      </c>
      <c r="BP808" t="str">
        <f>""</f>
        <v/>
      </c>
      <c r="BQ808" t="str">
        <f>""</f>
        <v/>
      </c>
      <c r="BR808" t="str">
        <f>""</f>
        <v/>
      </c>
      <c r="BS808" t="str">
        <f>""</f>
        <v/>
      </c>
      <c r="BT808" t="str">
        <f>""</f>
        <v/>
      </c>
      <c r="BU808" t="str">
        <f>""</f>
        <v/>
      </c>
      <c r="BV808" t="str">
        <f>""</f>
        <v/>
      </c>
      <c r="BW808" t="str">
        <f>""</f>
        <v/>
      </c>
      <c r="BX808" t="str">
        <f>""</f>
        <v/>
      </c>
      <c r="BY808" t="str">
        <f>""</f>
        <v/>
      </c>
      <c r="BZ808" t="str">
        <f>""</f>
        <v/>
      </c>
      <c r="CA808" t="str">
        <f>""</f>
        <v/>
      </c>
      <c r="CB808" t="str">
        <f>""</f>
        <v/>
      </c>
      <c r="CC808" t="str">
        <f>""</f>
        <v/>
      </c>
      <c r="CD808" t="str">
        <f>""</f>
        <v/>
      </c>
      <c r="CE808" t="str">
        <f>""</f>
        <v/>
      </c>
      <c r="CF808" t="str">
        <f>""</f>
        <v/>
      </c>
      <c r="CG808" t="str">
        <f>""</f>
        <v/>
      </c>
      <c r="CH808" t="str">
        <f>""</f>
        <v/>
      </c>
      <c r="CI808" t="str">
        <f>""</f>
        <v/>
      </c>
      <c r="CJ808" t="str">
        <f>""</f>
        <v/>
      </c>
      <c r="CK808" t="str">
        <f>""</f>
        <v/>
      </c>
      <c r="CL808" t="str">
        <f>""</f>
        <v/>
      </c>
      <c r="CM808" t="str">
        <f>""</f>
        <v/>
      </c>
      <c r="CN808" t="str">
        <f>""</f>
        <v/>
      </c>
      <c r="CO808" t="str">
        <f>""</f>
        <v/>
      </c>
      <c r="CP808" t="str">
        <f>""</f>
        <v/>
      </c>
      <c r="CQ808" t="str">
        <f>""</f>
        <v/>
      </c>
      <c r="CR808" t="str">
        <f>""</f>
        <v/>
      </c>
      <c r="CS808" t="str">
        <f>""</f>
        <v/>
      </c>
      <c r="CT808" t="str">
        <f>""</f>
        <v/>
      </c>
      <c r="CU808" t="str">
        <f>""</f>
        <v/>
      </c>
      <c r="CV808" t="str">
        <f>""</f>
        <v/>
      </c>
      <c r="CW808" t="str">
        <f>""</f>
        <v/>
      </c>
      <c r="CX808" t="str">
        <f>""</f>
        <v/>
      </c>
      <c r="CY808" t="str">
        <f>""</f>
        <v/>
      </c>
      <c r="CZ808" t="str">
        <f>""</f>
        <v/>
      </c>
      <c r="DA808" t="str">
        <f>""</f>
        <v/>
      </c>
      <c r="DB808" t="str">
        <f>""</f>
        <v/>
      </c>
      <c r="DC808" t="str">
        <f>""</f>
        <v/>
      </c>
      <c r="DD808" t="str">
        <f>""</f>
        <v/>
      </c>
      <c r="DE808" t="str">
        <f>""</f>
        <v/>
      </c>
      <c r="DF808" t="str">
        <f>""</f>
        <v/>
      </c>
      <c r="DG808" t="str">
        <f>""</f>
        <v/>
      </c>
      <c r="DH808" t="str">
        <f>""</f>
        <v/>
      </c>
      <c r="DI808" t="str">
        <f>""</f>
        <v/>
      </c>
      <c r="DJ808" t="str">
        <f>""</f>
        <v/>
      </c>
      <c r="DK808" t="str">
        <f>""</f>
        <v/>
      </c>
      <c r="DL808" t="str">
        <f>""</f>
        <v/>
      </c>
      <c r="DM808" t="str">
        <f>""</f>
        <v/>
      </c>
      <c r="DN808" t="str">
        <f>""</f>
        <v/>
      </c>
      <c r="DO808" t="str">
        <f>""</f>
        <v/>
      </c>
      <c r="DP808" t="str">
        <f>""</f>
        <v/>
      </c>
      <c r="DQ808" t="str">
        <f>""</f>
        <v/>
      </c>
      <c r="DR808" t="str">
        <f>""</f>
        <v/>
      </c>
      <c r="DS808" t="str">
        <f>""</f>
        <v/>
      </c>
      <c r="DT808" t="str">
        <f>""</f>
        <v/>
      </c>
      <c r="DU808" t="str">
        <f>""</f>
        <v/>
      </c>
    </row>
    <row r="809" spans="1:125" x14ac:dyDescent="0.25">
      <c r="A809" t="str">
        <f>$A$138</f>
        <v xml:space="preserve">    FAW CAR Co Ltd</v>
      </c>
      <c r="B809" t="str">
        <f>$B$138</f>
        <v>000800 CH Equity</v>
      </c>
      <c r="C809" t="str">
        <f>$C$138</f>
        <v>RR903</v>
      </c>
      <c r="D809" t="str">
        <f>$D$138</f>
        <v>PX_TO_BOOK_RATIO</v>
      </c>
      <c r="E809" t="str">
        <f>$E$138</f>
        <v>Dynamic</v>
      </c>
      <c r="F809" t="str">
        <f ca="1">_xll.BDH($B$138,$C$138,$B$675,$B$676,CONCATENATE("Per=",$B$673),"Dts=H","Dir=H",CONCATENATE("Points=",$B$674),"Sort=R","Days=A","Fill=B",CONCATENATE("FX=", $B$672) )</f>
        <v>#N/A Connection</v>
      </c>
      <c r="BN809" t="str">
        <f>""</f>
        <v/>
      </c>
      <c r="BO809" t="str">
        <f>""</f>
        <v/>
      </c>
      <c r="BP809" t="str">
        <f>""</f>
        <v/>
      </c>
      <c r="BQ809" t="str">
        <f>""</f>
        <v/>
      </c>
      <c r="BR809" t="str">
        <f>""</f>
        <v/>
      </c>
      <c r="BS809" t="str">
        <f>""</f>
        <v/>
      </c>
      <c r="BT809" t="str">
        <f>""</f>
        <v/>
      </c>
      <c r="BU809" t="str">
        <f>""</f>
        <v/>
      </c>
      <c r="BV809" t="str">
        <f>""</f>
        <v/>
      </c>
      <c r="BW809" t="str">
        <f>""</f>
        <v/>
      </c>
      <c r="BX809" t="str">
        <f>""</f>
        <v/>
      </c>
      <c r="BY809" t="str">
        <f>""</f>
        <v/>
      </c>
      <c r="BZ809" t="str">
        <f>""</f>
        <v/>
      </c>
      <c r="CA809" t="str">
        <f>""</f>
        <v/>
      </c>
      <c r="CB809" t="str">
        <f>""</f>
        <v/>
      </c>
      <c r="CC809" t="str">
        <f>""</f>
        <v/>
      </c>
      <c r="CD809" t="str">
        <f>""</f>
        <v/>
      </c>
      <c r="CE809" t="str">
        <f>""</f>
        <v/>
      </c>
      <c r="CF809" t="str">
        <f>""</f>
        <v/>
      </c>
      <c r="CG809" t="str">
        <f>""</f>
        <v/>
      </c>
      <c r="CH809" t="str">
        <f>""</f>
        <v/>
      </c>
      <c r="CI809" t="str">
        <f>""</f>
        <v/>
      </c>
      <c r="CJ809" t="str">
        <f>""</f>
        <v/>
      </c>
      <c r="CK809" t="str">
        <f>""</f>
        <v/>
      </c>
      <c r="CL809" t="str">
        <f>""</f>
        <v/>
      </c>
      <c r="CM809" t="str">
        <f>""</f>
        <v/>
      </c>
      <c r="CN809" t="str">
        <f>""</f>
        <v/>
      </c>
      <c r="CO809" t="str">
        <f>""</f>
        <v/>
      </c>
      <c r="CP809" t="str">
        <f>""</f>
        <v/>
      </c>
      <c r="CQ809" t="str">
        <f>""</f>
        <v/>
      </c>
      <c r="CR809" t="str">
        <f>""</f>
        <v/>
      </c>
      <c r="CS809" t="str">
        <f>""</f>
        <v/>
      </c>
      <c r="CT809" t="str">
        <f>""</f>
        <v/>
      </c>
      <c r="CU809" t="str">
        <f>""</f>
        <v/>
      </c>
      <c r="CV809" t="str">
        <f>""</f>
        <v/>
      </c>
      <c r="CW809" t="str">
        <f>""</f>
        <v/>
      </c>
      <c r="CX809" t="str">
        <f>""</f>
        <v/>
      </c>
      <c r="CY809" t="str">
        <f>""</f>
        <v/>
      </c>
      <c r="CZ809" t="str">
        <f>""</f>
        <v/>
      </c>
      <c r="DA809" t="str">
        <f>""</f>
        <v/>
      </c>
      <c r="DB809" t="str">
        <f>""</f>
        <v/>
      </c>
      <c r="DC809" t="str">
        <f>""</f>
        <v/>
      </c>
      <c r="DD809" t="str">
        <f>""</f>
        <v/>
      </c>
      <c r="DE809" t="str">
        <f>""</f>
        <v/>
      </c>
      <c r="DF809" t="str">
        <f>""</f>
        <v/>
      </c>
      <c r="DG809" t="str">
        <f>""</f>
        <v/>
      </c>
      <c r="DH809" t="str">
        <f>""</f>
        <v/>
      </c>
      <c r="DI809" t="str">
        <f>""</f>
        <v/>
      </c>
      <c r="DJ809" t="str">
        <f>""</f>
        <v/>
      </c>
      <c r="DK809" t="str">
        <f>""</f>
        <v/>
      </c>
      <c r="DL809" t="str">
        <f>""</f>
        <v/>
      </c>
      <c r="DM809" t="str">
        <f>""</f>
        <v/>
      </c>
      <c r="DN809" t="str">
        <f>""</f>
        <v/>
      </c>
      <c r="DO809" t="str">
        <f>""</f>
        <v/>
      </c>
      <c r="DP809" t="str">
        <f>""</f>
        <v/>
      </c>
      <c r="DQ809" t="str">
        <f>""</f>
        <v/>
      </c>
      <c r="DR809" t="str">
        <f>""</f>
        <v/>
      </c>
      <c r="DS809" t="str">
        <f>""</f>
        <v/>
      </c>
      <c r="DT809" t="str">
        <f>""</f>
        <v/>
      </c>
      <c r="DU809" t="str">
        <f>""</f>
        <v/>
      </c>
    </row>
    <row r="810" spans="1:125" x14ac:dyDescent="0.25">
      <c r="A810" t="str">
        <f>$A$139</f>
        <v xml:space="preserve">    Fiat Chrysler Automobiles NV</v>
      </c>
      <c r="B810" t="str">
        <f>$B$139</f>
        <v>FCAU US Equity</v>
      </c>
      <c r="C810" t="str">
        <f>$C$139</f>
        <v>RR903</v>
      </c>
      <c r="D810" t="str">
        <f>$D$139</f>
        <v>PX_TO_BOOK_RATIO</v>
      </c>
      <c r="E810" t="str">
        <f>$E$139</f>
        <v>Dynamic</v>
      </c>
      <c r="F810" t="str">
        <f ca="1">_xll.BDH($B$139,$C$139,$B$675,$B$676,CONCATENATE("Per=",$B$673),"Dts=H","Dir=H",CONCATENATE("Points=",$B$674),"Sort=R","Days=A","Fill=B",CONCATENATE("FX=", $B$672) )</f>
        <v>#N/A Connection</v>
      </c>
      <c r="BN810" t="str">
        <f>""</f>
        <v/>
      </c>
      <c r="BO810" t="str">
        <f>""</f>
        <v/>
      </c>
      <c r="BP810" t="str">
        <f>""</f>
        <v/>
      </c>
      <c r="BQ810" t="str">
        <f>""</f>
        <v/>
      </c>
      <c r="BR810" t="str">
        <f>""</f>
        <v/>
      </c>
      <c r="BS810" t="str">
        <f>""</f>
        <v/>
      </c>
      <c r="BT810" t="str">
        <f>""</f>
        <v/>
      </c>
      <c r="BU810" t="str">
        <f>""</f>
        <v/>
      </c>
      <c r="BV810" t="str">
        <f>""</f>
        <v/>
      </c>
      <c r="BW810" t="str">
        <f>""</f>
        <v/>
      </c>
      <c r="BX810" t="str">
        <f>""</f>
        <v/>
      </c>
      <c r="BY810" t="str">
        <f>""</f>
        <v/>
      </c>
      <c r="BZ810" t="str">
        <f>""</f>
        <v/>
      </c>
      <c r="CA810" t="str">
        <f>""</f>
        <v/>
      </c>
      <c r="CB810" t="str">
        <f>""</f>
        <v/>
      </c>
      <c r="CC810" t="str">
        <f>""</f>
        <v/>
      </c>
      <c r="CD810" t="str">
        <f>""</f>
        <v/>
      </c>
      <c r="CE810" t="str">
        <f>""</f>
        <v/>
      </c>
      <c r="CF810" t="str">
        <f>""</f>
        <v/>
      </c>
      <c r="CG810" t="str">
        <f>""</f>
        <v/>
      </c>
      <c r="CH810" t="str">
        <f>""</f>
        <v/>
      </c>
      <c r="CI810" t="str">
        <f>""</f>
        <v/>
      </c>
      <c r="CJ810" t="str">
        <f>""</f>
        <v/>
      </c>
      <c r="CK810" t="str">
        <f>""</f>
        <v/>
      </c>
      <c r="CL810" t="str">
        <f>""</f>
        <v/>
      </c>
      <c r="CM810" t="str">
        <f>""</f>
        <v/>
      </c>
      <c r="CN810" t="str">
        <f>""</f>
        <v/>
      </c>
      <c r="CO810" t="str">
        <f>""</f>
        <v/>
      </c>
      <c r="CP810" t="str">
        <f>""</f>
        <v/>
      </c>
      <c r="CQ810" t="str">
        <f>""</f>
        <v/>
      </c>
      <c r="CR810" t="str">
        <f>""</f>
        <v/>
      </c>
      <c r="CS810" t="str">
        <f>""</f>
        <v/>
      </c>
      <c r="CT810" t="str">
        <f>""</f>
        <v/>
      </c>
      <c r="CU810" t="str">
        <f>""</f>
        <v/>
      </c>
      <c r="CV810" t="str">
        <f>""</f>
        <v/>
      </c>
      <c r="CW810" t="str">
        <f>""</f>
        <v/>
      </c>
      <c r="CX810" t="str">
        <f>""</f>
        <v/>
      </c>
      <c r="CY810" t="str">
        <f>""</f>
        <v/>
      </c>
      <c r="CZ810" t="str">
        <f>""</f>
        <v/>
      </c>
      <c r="DA810" t="str">
        <f>""</f>
        <v/>
      </c>
      <c r="DB810" t="str">
        <f>""</f>
        <v/>
      </c>
      <c r="DC810" t="str">
        <f>""</f>
        <v/>
      </c>
      <c r="DD810" t="str">
        <f>""</f>
        <v/>
      </c>
      <c r="DE810" t="str">
        <f>""</f>
        <v/>
      </c>
      <c r="DF810" t="str">
        <f>""</f>
        <v/>
      </c>
      <c r="DG810" t="str">
        <f>""</f>
        <v/>
      </c>
      <c r="DH810" t="str">
        <f>""</f>
        <v/>
      </c>
      <c r="DI810" t="str">
        <f>""</f>
        <v/>
      </c>
      <c r="DJ810" t="str">
        <f>""</f>
        <v/>
      </c>
      <c r="DK810" t="str">
        <f>""</f>
        <v/>
      </c>
      <c r="DL810" t="str">
        <f>""</f>
        <v/>
      </c>
      <c r="DM810" t="str">
        <f>""</f>
        <v/>
      </c>
      <c r="DN810" t="str">
        <f>""</f>
        <v/>
      </c>
      <c r="DO810" t="str">
        <f>""</f>
        <v/>
      </c>
      <c r="DP810" t="str">
        <f>""</f>
        <v/>
      </c>
      <c r="DQ810" t="str">
        <f>""</f>
        <v/>
      </c>
      <c r="DR810" t="str">
        <f>""</f>
        <v/>
      </c>
      <c r="DS810" t="str">
        <f>""</f>
        <v/>
      </c>
      <c r="DT810" t="str">
        <f>""</f>
        <v/>
      </c>
      <c r="DU810" t="str">
        <f>""</f>
        <v/>
      </c>
    </row>
    <row r="811" spans="1:125" x14ac:dyDescent="0.25">
      <c r="A811" t="str">
        <f>$A$140</f>
        <v xml:space="preserve">    Ford Motor Co</v>
      </c>
      <c r="B811" t="str">
        <f>$B$140</f>
        <v>F US Equity</v>
      </c>
      <c r="C811" t="str">
        <f>$C$140</f>
        <v>RR903</v>
      </c>
      <c r="D811" t="str">
        <f>$D$140</f>
        <v>PX_TO_BOOK_RATIO</v>
      </c>
      <c r="E811" t="str">
        <f>$E$140</f>
        <v>Dynamic</v>
      </c>
      <c r="F811" t="str">
        <f ca="1">_xll.BDH($B$140,$C$140,$B$675,$B$676,CONCATENATE("Per=",$B$673),"Dts=H","Dir=H",CONCATENATE("Points=",$B$674),"Sort=R","Days=A","Fill=B",CONCATENATE("FX=", $B$672) )</f>
        <v>#N/A Connection</v>
      </c>
      <c r="BN811" t="str">
        <f>""</f>
        <v/>
      </c>
      <c r="BO811" t="str">
        <f>""</f>
        <v/>
      </c>
      <c r="BP811" t="str">
        <f>""</f>
        <v/>
      </c>
      <c r="BQ811" t="str">
        <f>""</f>
        <v/>
      </c>
      <c r="BR811" t="str">
        <f>""</f>
        <v/>
      </c>
      <c r="BS811" t="str">
        <f>""</f>
        <v/>
      </c>
      <c r="BT811" t="str">
        <f>""</f>
        <v/>
      </c>
      <c r="BU811" t="str">
        <f>""</f>
        <v/>
      </c>
      <c r="BV811" t="str">
        <f>""</f>
        <v/>
      </c>
      <c r="BW811" t="str">
        <f>""</f>
        <v/>
      </c>
      <c r="BX811" t="str">
        <f>""</f>
        <v/>
      </c>
      <c r="BY811" t="str">
        <f>""</f>
        <v/>
      </c>
      <c r="BZ811" t="str">
        <f>""</f>
        <v/>
      </c>
      <c r="CA811" t="str">
        <f>""</f>
        <v/>
      </c>
      <c r="CB811" t="str">
        <f>""</f>
        <v/>
      </c>
      <c r="CC811" t="str">
        <f>""</f>
        <v/>
      </c>
      <c r="CD811" t="str">
        <f>""</f>
        <v/>
      </c>
      <c r="CE811" t="str">
        <f>""</f>
        <v/>
      </c>
      <c r="CF811" t="str">
        <f>""</f>
        <v/>
      </c>
      <c r="CG811" t="str">
        <f>""</f>
        <v/>
      </c>
      <c r="CH811" t="str">
        <f>""</f>
        <v/>
      </c>
      <c r="CI811" t="str">
        <f>""</f>
        <v/>
      </c>
      <c r="CJ811" t="str">
        <f>""</f>
        <v/>
      </c>
      <c r="CK811" t="str">
        <f>""</f>
        <v/>
      </c>
      <c r="CL811" t="str">
        <f>""</f>
        <v/>
      </c>
      <c r="CM811" t="str">
        <f>""</f>
        <v/>
      </c>
      <c r="CN811" t="str">
        <f>""</f>
        <v/>
      </c>
      <c r="CO811" t="str">
        <f>""</f>
        <v/>
      </c>
      <c r="CP811" t="str">
        <f>""</f>
        <v/>
      </c>
      <c r="CQ811" t="str">
        <f>""</f>
        <v/>
      </c>
      <c r="CR811" t="str">
        <f>""</f>
        <v/>
      </c>
      <c r="CS811" t="str">
        <f>""</f>
        <v/>
      </c>
      <c r="CT811" t="str">
        <f>""</f>
        <v/>
      </c>
      <c r="CU811" t="str">
        <f>""</f>
        <v/>
      </c>
      <c r="CV811" t="str">
        <f>""</f>
        <v/>
      </c>
      <c r="CW811" t="str">
        <f>""</f>
        <v/>
      </c>
      <c r="CX811" t="str">
        <f>""</f>
        <v/>
      </c>
      <c r="CY811" t="str">
        <f>""</f>
        <v/>
      </c>
      <c r="CZ811" t="str">
        <f>""</f>
        <v/>
      </c>
      <c r="DA811" t="str">
        <f>""</f>
        <v/>
      </c>
      <c r="DB811" t="str">
        <f>""</f>
        <v/>
      </c>
      <c r="DC811" t="str">
        <f>""</f>
        <v/>
      </c>
      <c r="DD811" t="str">
        <f>""</f>
        <v/>
      </c>
      <c r="DE811" t="str">
        <f>""</f>
        <v/>
      </c>
      <c r="DF811" t="str">
        <f>""</f>
        <v/>
      </c>
      <c r="DG811" t="str">
        <f>""</f>
        <v/>
      </c>
      <c r="DH811" t="str">
        <f>""</f>
        <v/>
      </c>
      <c r="DI811" t="str">
        <f>""</f>
        <v/>
      </c>
      <c r="DJ811" t="str">
        <f>""</f>
        <v/>
      </c>
      <c r="DK811" t="str">
        <f>""</f>
        <v/>
      </c>
      <c r="DL811" t="str">
        <f>""</f>
        <v/>
      </c>
      <c r="DM811" t="str">
        <f>""</f>
        <v/>
      </c>
      <c r="DN811" t="str">
        <f>""</f>
        <v/>
      </c>
      <c r="DO811" t="str">
        <f>""</f>
        <v/>
      </c>
      <c r="DP811" t="str">
        <f>""</f>
        <v/>
      </c>
      <c r="DQ811" t="str">
        <f>""</f>
        <v/>
      </c>
      <c r="DR811" t="str">
        <f>""</f>
        <v/>
      </c>
      <c r="DS811" t="str">
        <f>""</f>
        <v/>
      </c>
      <c r="DT811" t="str">
        <f>""</f>
        <v/>
      </c>
      <c r="DU811" t="str">
        <f>""</f>
        <v/>
      </c>
    </row>
    <row r="812" spans="1:125" x14ac:dyDescent="0.25">
      <c r="A812" t="str">
        <f>$A$141</f>
        <v xml:space="preserve">    Ford Otomotiv Sanayi AS</v>
      </c>
      <c r="B812" t="str">
        <f>$B$141</f>
        <v>FROTOTRY EO Equity</v>
      </c>
      <c r="C812" t="str">
        <f>$C$141</f>
        <v>RR903</v>
      </c>
      <c r="D812" t="str">
        <f>$D$141</f>
        <v>PX_TO_BOOK_RATIO</v>
      </c>
      <c r="E812" t="str">
        <f>$E$141</f>
        <v>Dynamic</v>
      </c>
      <c r="F812" t="str">
        <f ca="1">_xll.BDH($B$141,$C$141,$B$675,$B$676,CONCATENATE("Per=",$B$673),"Dts=H","Dir=H",CONCATENATE("Points=",$B$674),"Sort=R","Days=A","Fill=B",CONCATENATE("FX=", $B$672) )</f>
        <v>#N/A Connection</v>
      </c>
      <c r="BN812" t="str">
        <f>""</f>
        <v/>
      </c>
      <c r="BO812" t="str">
        <f>""</f>
        <v/>
      </c>
      <c r="BP812" t="str">
        <f>""</f>
        <v/>
      </c>
      <c r="BQ812" t="str">
        <f>""</f>
        <v/>
      </c>
      <c r="BR812" t="str">
        <f>""</f>
        <v/>
      </c>
      <c r="BS812" t="str">
        <f>""</f>
        <v/>
      </c>
      <c r="BT812" t="str">
        <f>""</f>
        <v/>
      </c>
      <c r="BU812" t="str">
        <f>""</f>
        <v/>
      </c>
      <c r="BV812" t="str">
        <f>""</f>
        <v/>
      </c>
      <c r="BW812" t="str">
        <f>""</f>
        <v/>
      </c>
      <c r="BX812" t="str">
        <f>""</f>
        <v/>
      </c>
      <c r="BY812" t="str">
        <f>""</f>
        <v/>
      </c>
      <c r="BZ812" t="str">
        <f>""</f>
        <v/>
      </c>
      <c r="CA812" t="str">
        <f>""</f>
        <v/>
      </c>
      <c r="CB812" t="str">
        <f>""</f>
        <v/>
      </c>
      <c r="CC812" t="str">
        <f>""</f>
        <v/>
      </c>
      <c r="CD812" t="str">
        <f>""</f>
        <v/>
      </c>
      <c r="CE812" t="str">
        <f>""</f>
        <v/>
      </c>
      <c r="CF812" t="str">
        <f>""</f>
        <v/>
      </c>
      <c r="CG812" t="str">
        <f>""</f>
        <v/>
      </c>
      <c r="CH812" t="str">
        <f>""</f>
        <v/>
      </c>
      <c r="CI812" t="str">
        <f>""</f>
        <v/>
      </c>
      <c r="CJ812" t="str">
        <f>""</f>
        <v/>
      </c>
      <c r="CK812" t="str">
        <f>""</f>
        <v/>
      </c>
      <c r="CL812" t="str">
        <f>""</f>
        <v/>
      </c>
      <c r="CM812" t="str">
        <f>""</f>
        <v/>
      </c>
      <c r="CN812" t="str">
        <f>""</f>
        <v/>
      </c>
      <c r="CO812" t="str">
        <f>""</f>
        <v/>
      </c>
      <c r="CP812" t="str">
        <f>""</f>
        <v/>
      </c>
      <c r="CQ812" t="str">
        <f>""</f>
        <v/>
      </c>
      <c r="CR812" t="str">
        <f>""</f>
        <v/>
      </c>
      <c r="CS812" t="str">
        <f>""</f>
        <v/>
      </c>
      <c r="CT812" t="str">
        <f>""</f>
        <v/>
      </c>
      <c r="CU812" t="str">
        <f>""</f>
        <v/>
      </c>
      <c r="CV812" t="str">
        <f>""</f>
        <v/>
      </c>
      <c r="CW812" t="str">
        <f>""</f>
        <v/>
      </c>
      <c r="CX812" t="str">
        <f>""</f>
        <v/>
      </c>
      <c r="CY812" t="str">
        <f>""</f>
        <v/>
      </c>
      <c r="CZ812" t="str">
        <f>""</f>
        <v/>
      </c>
      <c r="DA812" t="str">
        <f>""</f>
        <v/>
      </c>
      <c r="DB812" t="str">
        <f>""</f>
        <v/>
      </c>
      <c r="DC812" t="str">
        <f>""</f>
        <v/>
      </c>
      <c r="DD812" t="str">
        <f>""</f>
        <v/>
      </c>
      <c r="DE812" t="str">
        <f>""</f>
        <v/>
      </c>
      <c r="DF812" t="str">
        <f>""</f>
        <v/>
      </c>
      <c r="DG812" t="str">
        <f>""</f>
        <v/>
      </c>
      <c r="DH812" t="str">
        <f>""</f>
        <v/>
      </c>
      <c r="DI812" t="str">
        <f>""</f>
        <v/>
      </c>
      <c r="DJ812" t="str">
        <f>""</f>
        <v/>
      </c>
      <c r="DK812" t="str">
        <f>""</f>
        <v/>
      </c>
      <c r="DL812" t="str">
        <f>""</f>
        <v/>
      </c>
      <c r="DM812" t="str">
        <f>""</f>
        <v/>
      </c>
      <c r="DN812" t="str">
        <f>""</f>
        <v/>
      </c>
      <c r="DO812" t="str">
        <f>""</f>
        <v/>
      </c>
      <c r="DP812" t="str">
        <f>""</f>
        <v/>
      </c>
      <c r="DQ812" t="str">
        <f>""</f>
        <v/>
      </c>
      <c r="DR812" t="str">
        <f>""</f>
        <v/>
      </c>
      <c r="DS812" t="str">
        <f>""</f>
        <v/>
      </c>
      <c r="DT812" t="str">
        <f>""</f>
        <v/>
      </c>
      <c r="DU812" t="str">
        <f>""</f>
        <v/>
      </c>
    </row>
    <row r="813" spans="1:125" x14ac:dyDescent="0.25">
      <c r="A813" t="str">
        <f>$A$142</f>
        <v xml:space="preserve">    GAZ PJSC</v>
      </c>
      <c r="B813" t="str">
        <f>$B$142</f>
        <v>GAZA RM Equity</v>
      </c>
      <c r="C813" t="str">
        <f>$C$142</f>
        <v>RR903</v>
      </c>
      <c r="D813" t="str">
        <f>$D$142</f>
        <v>PX_TO_BOOK_RATIO</v>
      </c>
      <c r="E813" t="str">
        <f>$E$142</f>
        <v>Dynamic</v>
      </c>
      <c r="F813" t="str">
        <f ca="1">_xll.BDH($B$142,$C$142,$B$675,$B$676,CONCATENATE("Per=",$B$673),"Dts=H","Dir=H",CONCATENATE("Points=",$B$674),"Sort=R","Days=A","Fill=B",CONCATENATE("FX=", $B$672) )</f>
        <v>#N/A Connection</v>
      </c>
      <c r="BN813" t="str">
        <f>""</f>
        <v/>
      </c>
      <c r="BO813" t="str">
        <f>""</f>
        <v/>
      </c>
      <c r="BP813" t="str">
        <f>""</f>
        <v/>
      </c>
      <c r="BQ813" t="str">
        <f>""</f>
        <v/>
      </c>
      <c r="BR813" t="str">
        <f>""</f>
        <v/>
      </c>
      <c r="BS813" t="str">
        <f>""</f>
        <v/>
      </c>
      <c r="BT813" t="str">
        <f>""</f>
        <v/>
      </c>
      <c r="BU813" t="str">
        <f>""</f>
        <v/>
      </c>
      <c r="BV813" t="str">
        <f>""</f>
        <v/>
      </c>
      <c r="BW813" t="str">
        <f>""</f>
        <v/>
      </c>
      <c r="BX813" t="str">
        <f>""</f>
        <v/>
      </c>
      <c r="BY813" t="str">
        <f>""</f>
        <v/>
      </c>
      <c r="BZ813" t="str">
        <f>""</f>
        <v/>
      </c>
      <c r="CA813" t="str">
        <f>""</f>
        <v/>
      </c>
      <c r="CB813" t="str">
        <f>""</f>
        <v/>
      </c>
      <c r="CC813" t="str">
        <f>""</f>
        <v/>
      </c>
      <c r="CD813" t="str">
        <f>""</f>
        <v/>
      </c>
      <c r="CE813" t="str">
        <f>""</f>
        <v/>
      </c>
      <c r="CF813" t="str">
        <f>""</f>
        <v/>
      </c>
      <c r="CG813" t="str">
        <f>""</f>
        <v/>
      </c>
      <c r="CH813" t="str">
        <f>""</f>
        <v/>
      </c>
      <c r="CI813" t="str">
        <f>""</f>
        <v/>
      </c>
      <c r="CJ813" t="str">
        <f>""</f>
        <v/>
      </c>
      <c r="CK813" t="str">
        <f>""</f>
        <v/>
      </c>
      <c r="CL813" t="str">
        <f>""</f>
        <v/>
      </c>
      <c r="CM813" t="str">
        <f>""</f>
        <v/>
      </c>
      <c r="CN813" t="str">
        <f>""</f>
        <v/>
      </c>
      <c r="CO813" t="str">
        <f>""</f>
        <v/>
      </c>
      <c r="CP813" t="str">
        <f>""</f>
        <v/>
      </c>
      <c r="CQ813" t="str">
        <f>""</f>
        <v/>
      </c>
      <c r="CR813" t="str">
        <f>""</f>
        <v/>
      </c>
      <c r="CS813" t="str">
        <f>""</f>
        <v/>
      </c>
      <c r="CT813" t="str">
        <f>""</f>
        <v/>
      </c>
      <c r="CU813" t="str">
        <f>""</f>
        <v/>
      </c>
      <c r="CV813" t="str">
        <f>""</f>
        <v/>
      </c>
      <c r="CW813" t="str">
        <f>""</f>
        <v/>
      </c>
      <c r="CX813" t="str">
        <f>""</f>
        <v/>
      </c>
      <c r="CY813" t="str">
        <f>""</f>
        <v/>
      </c>
      <c r="CZ813" t="str">
        <f>""</f>
        <v/>
      </c>
      <c r="DA813" t="str">
        <f>""</f>
        <v/>
      </c>
      <c r="DB813" t="str">
        <f>""</f>
        <v/>
      </c>
      <c r="DC813" t="str">
        <f>""</f>
        <v/>
      </c>
      <c r="DD813" t="str">
        <f>""</f>
        <v/>
      </c>
      <c r="DE813" t="str">
        <f>""</f>
        <v/>
      </c>
      <c r="DF813" t="str">
        <f>""</f>
        <v/>
      </c>
      <c r="DG813" t="str">
        <f>""</f>
        <v/>
      </c>
      <c r="DH813" t="str">
        <f>""</f>
        <v/>
      </c>
      <c r="DI813" t="str">
        <f>""</f>
        <v/>
      </c>
      <c r="DJ813" t="str">
        <f>""</f>
        <v/>
      </c>
      <c r="DK813" t="str">
        <f>""</f>
        <v/>
      </c>
      <c r="DL813" t="str">
        <f>""</f>
        <v/>
      </c>
      <c r="DM813" t="str">
        <f>""</f>
        <v/>
      </c>
      <c r="DN813" t="str">
        <f>""</f>
        <v/>
      </c>
      <c r="DO813" t="str">
        <f>""</f>
        <v/>
      </c>
      <c r="DP813" t="str">
        <f>""</f>
        <v/>
      </c>
      <c r="DQ813" t="str">
        <f>""</f>
        <v/>
      </c>
      <c r="DR813" t="str">
        <f>""</f>
        <v/>
      </c>
      <c r="DS813" t="str">
        <f>""</f>
        <v/>
      </c>
      <c r="DT813" t="str">
        <f>""</f>
        <v/>
      </c>
      <c r="DU813" t="str">
        <f>""</f>
        <v/>
      </c>
    </row>
    <row r="814" spans="1:125" x14ac:dyDescent="0.25">
      <c r="A814" t="str">
        <f>$A$143</f>
        <v xml:space="preserve">    Geely Automobile Holdings Ltd</v>
      </c>
      <c r="B814" t="str">
        <f>$B$143</f>
        <v>175 HK Equity</v>
      </c>
      <c r="C814" t="str">
        <f>$C$143</f>
        <v>RR903</v>
      </c>
      <c r="D814" t="str">
        <f>$D$143</f>
        <v>PX_TO_BOOK_RATIO</v>
      </c>
      <c r="E814" t="str">
        <f>$E$143</f>
        <v>Dynamic</v>
      </c>
      <c r="F814" t="str">
        <f ca="1">_xll.BDH($B$143,$C$143,$B$675,$B$676,CONCATENATE("Per=",$B$673),"Dts=H","Dir=H",CONCATENATE("Points=",$B$674),"Sort=R","Days=A","Fill=B",CONCATENATE("FX=", $B$672) )</f>
        <v>#N/A Connection</v>
      </c>
      <c r="BN814" t="str">
        <f>""</f>
        <v/>
      </c>
      <c r="BO814" t="str">
        <f>""</f>
        <v/>
      </c>
      <c r="BP814" t="str">
        <f>""</f>
        <v/>
      </c>
      <c r="BQ814" t="str">
        <f>""</f>
        <v/>
      </c>
      <c r="BR814" t="str">
        <f>""</f>
        <v/>
      </c>
      <c r="BS814" t="str">
        <f>""</f>
        <v/>
      </c>
      <c r="BT814" t="str">
        <f>""</f>
        <v/>
      </c>
      <c r="BU814" t="str">
        <f>""</f>
        <v/>
      </c>
      <c r="BV814" t="str">
        <f>""</f>
        <v/>
      </c>
      <c r="BW814" t="str">
        <f>""</f>
        <v/>
      </c>
      <c r="BX814" t="str">
        <f>""</f>
        <v/>
      </c>
      <c r="BY814" t="str">
        <f>""</f>
        <v/>
      </c>
      <c r="BZ814" t="str">
        <f>""</f>
        <v/>
      </c>
      <c r="CA814" t="str">
        <f>""</f>
        <v/>
      </c>
      <c r="CB814" t="str">
        <f>""</f>
        <v/>
      </c>
      <c r="CC814" t="str">
        <f>""</f>
        <v/>
      </c>
      <c r="CD814" t="str">
        <f>""</f>
        <v/>
      </c>
      <c r="CE814" t="str">
        <f>""</f>
        <v/>
      </c>
      <c r="CF814" t="str">
        <f>""</f>
        <v/>
      </c>
      <c r="CG814" t="str">
        <f>""</f>
        <v/>
      </c>
      <c r="CH814" t="str">
        <f>""</f>
        <v/>
      </c>
      <c r="CI814" t="str">
        <f>""</f>
        <v/>
      </c>
      <c r="CJ814" t="str">
        <f>""</f>
        <v/>
      </c>
      <c r="CK814" t="str">
        <f>""</f>
        <v/>
      </c>
      <c r="CL814" t="str">
        <f>""</f>
        <v/>
      </c>
      <c r="CM814" t="str">
        <f>""</f>
        <v/>
      </c>
      <c r="CN814" t="str">
        <f>""</f>
        <v/>
      </c>
      <c r="CO814" t="str">
        <f>""</f>
        <v/>
      </c>
      <c r="CP814" t="str">
        <f>""</f>
        <v/>
      </c>
      <c r="CQ814" t="str">
        <f>""</f>
        <v/>
      </c>
      <c r="CR814" t="str">
        <f>""</f>
        <v/>
      </c>
      <c r="CS814" t="str">
        <f>""</f>
        <v/>
      </c>
      <c r="CT814" t="str">
        <f>""</f>
        <v/>
      </c>
      <c r="CU814" t="str">
        <f>""</f>
        <v/>
      </c>
      <c r="CV814" t="str">
        <f>""</f>
        <v/>
      </c>
      <c r="CW814" t="str">
        <f>""</f>
        <v/>
      </c>
      <c r="CX814" t="str">
        <f>""</f>
        <v/>
      </c>
      <c r="CY814" t="str">
        <f>""</f>
        <v/>
      </c>
      <c r="CZ814" t="str">
        <f>""</f>
        <v/>
      </c>
      <c r="DA814" t="str">
        <f>""</f>
        <v/>
      </c>
      <c r="DB814" t="str">
        <f>""</f>
        <v/>
      </c>
      <c r="DC814" t="str">
        <f>""</f>
        <v/>
      </c>
      <c r="DD814" t="str">
        <f>""</f>
        <v/>
      </c>
      <c r="DE814" t="str">
        <f>""</f>
        <v/>
      </c>
      <c r="DF814" t="str">
        <f>""</f>
        <v/>
      </c>
      <c r="DG814" t="str">
        <f>""</f>
        <v/>
      </c>
      <c r="DH814" t="str">
        <f>""</f>
        <v/>
      </c>
      <c r="DI814" t="str">
        <f>""</f>
        <v/>
      </c>
      <c r="DJ814" t="str">
        <f>""</f>
        <v/>
      </c>
      <c r="DK814" t="str">
        <f>""</f>
        <v/>
      </c>
      <c r="DL814" t="str">
        <f>""</f>
        <v/>
      </c>
      <c r="DM814" t="str">
        <f>""</f>
        <v/>
      </c>
      <c r="DN814" t="str">
        <f>""</f>
        <v/>
      </c>
      <c r="DO814" t="str">
        <f>""</f>
        <v/>
      </c>
      <c r="DP814" t="str">
        <f>""</f>
        <v/>
      </c>
      <c r="DQ814" t="str">
        <f>""</f>
        <v/>
      </c>
      <c r="DR814" t="str">
        <f>""</f>
        <v/>
      </c>
      <c r="DS814" t="str">
        <f>""</f>
        <v/>
      </c>
      <c r="DT814" t="str">
        <f>""</f>
        <v/>
      </c>
      <c r="DU814" t="str">
        <f>""</f>
        <v/>
      </c>
    </row>
    <row r="815" spans="1:125" x14ac:dyDescent="0.25">
      <c r="A815" t="str">
        <f>$A$144</f>
        <v xml:space="preserve">    General Motors Co</v>
      </c>
      <c r="B815" t="str">
        <f>$B$144</f>
        <v>GM US Equity</v>
      </c>
      <c r="C815" t="str">
        <f>$C$144</f>
        <v>RR903</v>
      </c>
      <c r="D815" t="str">
        <f>$D$144</f>
        <v>PX_TO_BOOK_RATIO</v>
      </c>
      <c r="E815" t="str">
        <f>$E$144</f>
        <v>Dynamic</v>
      </c>
      <c r="F815" t="str">
        <f ca="1">_xll.BDH($B$144,$C$144,$B$675,$B$676,CONCATENATE("Per=",$B$673),"Dts=H","Dir=H",CONCATENATE("Points=",$B$674),"Sort=R","Days=A","Fill=B",CONCATENATE("FX=", $B$672) )</f>
        <v>#N/A Connection</v>
      </c>
      <c r="BN815" t="str">
        <f>""</f>
        <v/>
      </c>
      <c r="BO815" t="str">
        <f>""</f>
        <v/>
      </c>
      <c r="BP815" t="str">
        <f>""</f>
        <v/>
      </c>
      <c r="BQ815" t="str">
        <f>""</f>
        <v/>
      </c>
      <c r="BR815" t="str">
        <f>""</f>
        <v/>
      </c>
      <c r="BS815" t="str">
        <f>""</f>
        <v/>
      </c>
      <c r="BT815" t="str">
        <f>""</f>
        <v/>
      </c>
      <c r="BU815" t="str">
        <f>""</f>
        <v/>
      </c>
      <c r="BV815" t="str">
        <f>""</f>
        <v/>
      </c>
      <c r="BW815" t="str">
        <f>""</f>
        <v/>
      </c>
      <c r="BX815" t="str">
        <f>""</f>
        <v/>
      </c>
      <c r="BY815" t="str">
        <f>""</f>
        <v/>
      </c>
      <c r="BZ815" t="str">
        <f>""</f>
        <v/>
      </c>
      <c r="CA815" t="str">
        <f>""</f>
        <v/>
      </c>
      <c r="CB815" t="str">
        <f>""</f>
        <v/>
      </c>
      <c r="CC815" t="str">
        <f>""</f>
        <v/>
      </c>
      <c r="CD815" t="str">
        <f>""</f>
        <v/>
      </c>
      <c r="CE815" t="str">
        <f>""</f>
        <v/>
      </c>
      <c r="CF815" t="str">
        <f>""</f>
        <v/>
      </c>
      <c r="CG815" t="str">
        <f>""</f>
        <v/>
      </c>
      <c r="CH815" t="str">
        <f>""</f>
        <v/>
      </c>
      <c r="CI815" t="str">
        <f>""</f>
        <v/>
      </c>
      <c r="CJ815" t="str">
        <f>""</f>
        <v/>
      </c>
      <c r="CK815" t="str">
        <f>""</f>
        <v/>
      </c>
      <c r="CL815" t="str">
        <f>""</f>
        <v/>
      </c>
      <c r="CM815" t="str">
        <f>""</f>
        <v/>
      </c>
      <c r="CN815" t="str">
        <f>""</f>
        <v/>
      </c>
      <c r="CO815" t="str">
        <f>""</f>
        <v/>
      </c>
      <c r="CP815" t="str">
        <f>""</f>
        <v/>
      </c>
      <c r="CQ815" t="str">
        <f>""</f>
        <v/>
      </c>
      <c r="CR815" t="str">
        <f>""</f>
        <v/>
      </c>
      <c r="CS815" t="str">
        <f>""</f>
        <v/>
      </c>
      <c r="CT815" t="str">
        <f>""</f>
        <v/>
      </c>
      <c r="CU815" t="str">
        <f>""</f>
        <v/>
      </c>
      <c r="CV815" t="str">
        <f>""</f>
        <v/>
      </c>
      <c r="CW815" t="str">
        <f>""</f>
        <v/>
      </c>
      <c r="CX815" t="str">
        <f>""</f>
        <v/>
      </c>
      <c r="CY815" t="str">
        <f>""</f>
        <v/>
      </c>
      <c r="CZ815" t="str">
        <f>""</f>
        <v/>
      </c>
      <c r="DA815" t="str">
        <f>""</f>
        <v/>
      </c>
      <c r="DB815" t="str">
        <f>""</f>
        <v/>
      </c>
      <c r="DC815" t="str">
        <f>""</f>
        <v/>
      </c>
      <c r="DD815" t="str">
        <f>""</f>
        <v/>
      </c>
      <c r="DE815" t="str">
        <f>""</f>
        <v/>
      </c>
      <c r="DF815" t="str">
        <f>""</f>
        <v/>
      </c>
      <c r="DG815" t="str">
        <f>""</f>
        <v/>
      </c>
      <c r="DH815" t="str">
        <f>""</f>
        <v/>
      </c>
      <c r="DI815" t="str">
        <f>""</f>
        <v/>
      </c>
      <c r="DJ815" t="str">
        <f>""</f>
        <v/>
      </c>
      <c r="DK815" t="str">
        <f>""</f>
        <v/>
      </c>
      <c r="DL815" t="str">
        <f>""</f>
        <v/>
      </c>
      <c r="DM815" t="str">
        <f>""</f>
        <v/>
      </c>
      <c r="DN815" t="str">
        <f>""</f>
        <v/>
      </c>
      <c r="DO815" t="str">
        <f>""</f>
        <v/>
      </c>
      <c r="DP815" t="str">
        <f>""</f>
        <v/>
      </c>
      <c r="DQ815" t="str">
        <f>""</f>
        <v/>
      </c>
      <c r="DR815" t="str">
        <f>""</f>
        <v/>
      </c>
      <c r="DS815" t="str">
        <f>""</f>
        <v/>
      </c>
      <c r="DT815" t="str">
        <f>""</f>
        <v/>
      </c>
      <c r="DU815" t="str">
        <f>""</f>
        <v/>
      </c>
    </row>
    <row r="816" spans="1:125" x14ac:dyDescent="0.25">
      <c r="A816" t="str">
        <f>$A$145</f>
        <v xml:space="preserve">    Great Wall Motor Co Ltd</v>
      </c>
      <c r="B816" t="str">
        <f>$B$145</f>
        <v>2333 HK Equity</v>
      </c>
      <c r="C816" t="str">
        <f>$C$145</f>
        <v>RR903</v>
      </c>
      <c r="D816" t="str">
        <f>$D$145</f>
        <v>PX_TO_BOOK_RATIO</v>
      </c>
      <c r="E816" t="str">
        <f>$E$145</f>
        <v>Dynamic</v>
      </c>
      <c r="F816" t="str">
        <f ca="1">_xll.BDH($B$145,$C$145,$B$675,$B$676,CONCATENATE("Per=",$B$673),"Dts=H","Dir=H",CONCATENATE("Points=",$B$674),"Sort=R","Days=A","Fill=B",CONCATENATE("FX=", $B$672) )</f>
        <v>#N/A Connection</v>
      </c>
      <c r="BN816" t="str">
        <f>""</f>
        <v/>
      </c>
      <c r="BO816" t="str">
        <f>""</f>
        <v/>
      </c>
      <c r="BP816" t="str">
        <f>""</f>
        <v/>
      </c>
      <c r="BQ816" t="str">
        <f>""</f>
        <v/>
      </c>
      <c r="BR816" t="str">
        <f>""</f>
        <v/>
      </c>
      <c r="BS816" t="str">
        <f>""</f>
        <v/>
      </c>
      <c r="BT816" t="str">
        <f>""</f>
        <v/>
      </c>
      <c r="BU816" t="str">
        <f>""</f>
        <v/>
      </c>
      <c r="BV816" t="str">
        <f>""</f>
        <v/>
      </c>
      <c r="BW816" t="str">
        <f>""</f>
        <v/>
      </c>
      <c r="BX816" t="str">
        <f>""</f>
        <v/>
      </c>
      <c r="BY816" t="str">
        <f>""</f>
        <v/>
      </c>
      <c r="BZ816" t="str">
        <f>""</f>
        <v/>
      </c>
      <c r="CA816" t="str">
        <f>""</f>
        <v/>
      </c>
      <c r="CB816" t="str">
        <f>""</f>
        <v/>
      </c>
      <c r="CC816" t="str">
        <f>""</f>
        <v/>
      </c>
      <c r="CD816" t="str">
        <f>""</f>
        <v/>
      </c>
      <c r="CE816" t="str">
        <f>""</f>
        <v/>
      </c>
      <c r="CF816" t="str">
        <f>""</f>
        <v/>
      </c>
      <c r="CG816" t="str">
        <f>""</f>
        <v/>
      </c>
      <c r="CH816" t="str">
        <f>""</f>
        <v/>
      </c>
      <c r="CI816" t="str">
        <f>""</f>
        <v/>
      </c>
      <c r="CJ816" t="str">
        <f>""</f>
        <v/>
      </c>
      <c r="CK816" t="str">
        <f>""</f>
        <v/>
      </c>
      <c r="CL816" t="str">
        <f>""</f>
        <v/>
      </c>
      <c r="CM816" t="str">
        <f>""</f>
        <v/>
      </c>
      <c r="CN816" t="str">
        <f>""</f>
        <v/>
      </c>
      <c r="CO816" t="str">
        <f>""</f>
        <v/>
      </c>
      <c r="CP816" t="str">
        <f>""</f>
        <v/>
      </c>
      <c r="CQ816" t="str">
        <f>""</f>
        <v/>
      </c>
      <c r="CR816" t="str">
        <f>""</f>
        <v/>
      </c>
      <c r="CS816" t="str">
        <f>""</f>
        <v/>
      </c>
      <c r="CT816" t="str">
        <f>""</f>
        <v/>
      </c>
      <c r="CU816" t="str">
        <f>""</f>
        <v/>
      </c>
      <c r="CV816" t="str">
        <f>""</f>
        <v/>
      </c>
      <c r="CW816" t="str">
        <f>""</f>
        <v/>
      </c>
      <c r="CX816" t="str">
        <f>""</f>
        <v/>
      </c>
      <c r="CY816" t="str">
        <f>""</f>
        <v/>
      </c>
      <c r="CZ816" t="str">
        <f>""</f>
        <v/>
      </c>
      <c r="DA816" t="str">
        <f>""</f>
        <v/>
      </c>
      <c r="DB816" t="str">
        <f>""</f>
        <v/>
      </c>
      <c r="DC816" t="str">
        <f>""</f>
        <v/>
      </c>
      <c r="DD816" t="str">
        <f>""</f>
        <v/>
      </c>
      <c r="DE816" t="str">
        <f>""</f>
        <v/>
      </c>
      <c r="DF816" t="str">
        <f>""</f>
        <v/>
      </c>
      <c r="DG816" t="str">
        <f>""</f>
        <v/>
      </c>
      <c r="DH816" t="str">
        <f>""</f>
        <v/>
      </c>
      <c r="DI816" t="str">
        <f>""</f>
        <v/>
      </c>
      <c r="DJ816" t="str">
        <f>""</f>
        <v/>
      </c>
      <c r="DK816" t="str">
        <f>""</f>
        <v/>
      </c>
      <c r="DL816" t="str">
        <f>""</f>
        <v/>
      </c>
      <c r="DM816" t="str">
        <f>""</f>
        <v/>
      </c>
      <c r="DN816" t="str">
        <f>""</f>
        <v/>
      </c>
      <c r="DO816" t="str">
        <f>""</f>
        <v/>
      </c>
      <c r="DP816" t="str">
        <f>""</f>
        <v/>
      </c>
      <c r="DQ816" t="str">
        <f>""</f>
        <v/>
      </c>
      <c r="DR816" t="str">
        <f>""</f>
        <v/>
      </c>
      <c r="DS816" t="str">
        <f>""</f>
        <v/>
      </c>
      <c r="DT816" t="str">
        <f>""</f>
        <v/>
      </c>
      <c r="DU816" t="str">
        <f>""</f>
        <v/>
      </c>
    </row>
    <row r="817" spans="1:125" x14ac:dyDescent="0.25">
      <c r="A817" t="str">
        <f>$A$146</f>
        <v xml:space="preserve">    Guangzhou Automobile Group Co Ltd</v>
      </c>
      <c r="B817" t="str">
        <f>$B$146</f>
        <v>2238 HK Equity</v>
      </c>
      <c r="C817" t="str">
        <f>$C$146</f>
        <v>RR903</v>
      </c>
      <c r="D817" t="str">
        <f>$D$146</f>
        <v>PX_TO_BOOK_RATIO</v>
      </c>
      <c r="E817" t="str">
        <f>$E$146</f>
        <v>Dynamic</v>
      </c>
      <c r="F817" t="str">
        <f ca="1">_xll.BDH($B$146,$C$146,$B$675,$B$676,CONCATENATE("Per=",$B$673),"Dts=H","Dir=H",CONCATENATE("Points=",$B$674),"Sort=R","Days=A","Fill=B",CONCATENATE("FX=", $B$672) )</f>
        <v>#N/A Connection</v>
      </c>
      <c r="BN817" t="str">
        <f>""</f>
        <v/>
      </c>
      <c r="BO817" t="str">
        <f>""</f>
        <v/>
      </c>
      <c r="BP817" t="str">
        <f>""</f>
        <v/>
      </c>
      <c r="BQ817" t="str">
        <f>""</f>
        <v/>
      </c>
      <c r="BR817" t="str">
        <f>""</f>
        <v/>
      </c>
      <c r="BS817" t="str">
        <f>""</f>
        <v/>
      </c>
      <c r="BT817" t="str">
        <f>""</f>
        <v/>
      </c>
      <c r="BU817" t="str">
        <f>""</f>
        <v/>
      </c>
      <c r="BV817" t="str">
        <f>""</f>
        <v/>
      </c>
      <c r="BW817" t="str">
        <f>""</f>
        <v/>
      </c>
      <c r="BX817" t="str">
        <f>""</f>
        <v/>
      </c>
      <c r="BY817" t="str">
        <f>""</f>
        <v/>
      </c>
      <c r="BZ817" t="str">
        <f>""</f>
        <v/>
      </c>
      <c r="CA817" t="str">
        <f>""</f>
        <v/>
      </c>
      <c r="CB817" t="str">
        <f>""</f>
        <v/>
      </c>
      <c r="CC817" t="str">
        <f>""</f>
        <v/>
      </c>
      <c r="CD817" t="str">
        <f>""</f>
        <v/>
      </c>
      <c r="CE817" t="str">
        <f>""</f>
        <v/>
      </c>
      <c r="CF817" t="str">
        <f>""</f>
        <v/>
      </c>
      <c r="CG817" t="str">
        <f>""</f>
        <v/>
      </c>
      <c r="CH817" t="str">
        <f>""</f>
        <v/>
      </c>
      <c r="CI817" t="str">
        <f>""</f>
        <v/>
      </c>
      <c r="CJ817" t="str">
        <f>""</f>
        <v/>
      </c>
      <c r="CK817" t="str">
        <f>""</f>
        <v/>
      </c>
      <c r="CL817" t="str">
        <f>""</f>
        <v/>
      </c>
      <c r="CM817" t="str">
        <f>""</f>
        <v/>
      </c>
      <c r="CN817" t="str">
        <f>""</f>
        <v/>
      </c>
      <c r="CO817" t="str">
        <f>""</f>
        <v/>
      </c>
      <c r="CP817" t="str">
        <f>""</f>
        <v/>
      </c>
      <c r="CQ817" t="str">
        <f>""</f>
        <v/>
      </c>
      <c r="CR817" t="str">
        <f>""</f>
        <v/>
      </c>
      <c r="CS817" t="str">
        <f>""</f>
        <v/>
      </c>
      <c r="CT817" t="str">
        <f>""</f>
        <v/>
      </c>
      <c r="CU817" t="str">
        <f>""</f>
        <v/>
      </c>
      <c r="CV817" t="str">
        <f>""</f>
        <v/>
      </c>
      <c r="CW817" t="str">
        <f>""</f>
        <v/>
      </c>
      <c r="CX817" t="str">
        <f>""</f>
        <v/>
      </c>
      <c r="CY817" t="str">
        <f>""</f>
        <v/>
      </c>
      <c r="CZ817" t="str">
        <f>""</f>
        <v/>
      </c>
      <c r="DA817" t="str">
        <f>""</f>
        <v/>
      </c>
      <c r="DB817" t="str">
        <f>""</f>
        <v/>
      </c>
      <c r="DC817" t="str">
        <f>""</f>
        <v/>
      </c>
      <c r="DD817" t="str">
        <f>""</f>
        <v/>
      </c>
      <c r="DE817" t="str">
        <f>""</f>
        <v/>
      </c>
      <c r="DF817" t="str">
        <f>""</f>
        <v/>
      </c>
      <c r="DG817" t="str">
        <f>""</f>
        <v/>
      </c>
      <c r="DH817" t="str">
        <f>""</f>
        <v/>
      </c>
      <c r="DI817" t="str">
        <f>""</f>
        <v/>
      </c>
      <c r="DJ817" t="str">
        <f>""</f>
        <v/>
      </c>
      <c r="DK817" t="str">
        <f>""</f>
        <v/>
      </c>
      <c r="DL817" t="str">
        <f>""</f>
        <v/>
      </c>
      <c r="DM817" t="str">
        <f>""</f>
        <v/>
      </c>
      <c r="DN817" t="str">
        <f>""</f>
        <v/>
      </c>
      <c r="DO817" t="str">
        <f>""</f>
        <v/>
      </c>
      <c r="DP817" t="str">
        <f>""</f>
        <v/>
      </c>
      <c r="DQ817" t="str">
        <f>""</f>
        <v/>
      </c>
      <c r="DR817" t="str">
        <f>""</f>
        <v/>
      </c>
      <c r="DS817" t="str">
        <f>""</f>
        <v/>
      </c>
      <c r="DT817" t="str">
        <f>""</f>
        <v/>
      </c>
      <c r="DU817" t="str">
        <f>""</f>
        <v/>
      </c>
    </row>
    <row r="818" spans="1:125" x14ac:dyDescent="0.25">
      <c r="A818" t="str">
        <f>$A$147</f>
        <v xml:space="preserve">    Honda Motor Co Ltd</v>
      </c>
      <c r="B818" t="str">
        <f>$B$147</f>
        <v>7267 JP Equity</v>
      </c>
      <c r="C818" t="str">
        <f>$C$147</f>
        <v>RR903</v>
      </c>
      <c r="D818" t="str">
        <f>$D$147</f>
        <v>PX_TO_BOOK_RATIO</v>
      </c>
      <c r="E818" t="str">
        <f>$E$147</f>
        <v>Dynamic</v>
      </c>
      <c r="F818" t="str">
        <f ca="1">_xll.BDH($B$147,$C$147,$B$675,$B$676,CONCATENATE("Per=",$B$673),"Dts=H","Dir=H",CONCATENATE("Points=",$B$674),"Sort=R","Days=A","Fill=B",CONCATENATE("FX=", $B$672) )</f>
        <v>#N/A Connection</v>
      </c>
      <c r="BN818" t="str">
        <f>""</f>
        <v/>
      </c>
      <c r="BO818" t="str">
        <f>""</f>
        <v/>
      </c>
      <c r="BP818" t="str">
        <f>""</f>
        <v/>
      </c>
      <c r="BQ818" t="str">
        <f>""</f>
        <v/>
      </c>
      <c r="BR818" t="str">
        <f>""</f>
        <v/>
      </c>
      <c r="BS818" t="str">
        <f>""</f>
        <v/>
      </c>
      <c r="BT818" t="str">
        <f>""</f>
        <v/>
      </c>
      <c r="BU818" t="str">
        <f>""</f>
        <v/>
      </c>
      <c r="BV818" t="str">
        <f>""</f>
        <v/>
      </c>
      <c r="BW818" t="str">
        <f>""</f>
        <v/>
      </c>
      <c r="BX818" t="str">
        <f>""</f>
        <v/>
      </c>
      <c r="BY818" t="str">
        <f>""</f>
        <v/>
      </c>
      <c r="BZ818" t="str">
        <f>""</f>
        <v/>
      </c>
      <c r="CA818" t="str">
        <f>""</f>
        <v/>
      </c>
      <c r="CB818" t="str">
        <f>""</f>
        <v/>
      </c>
      <c r="CC818" t="str">
        <f>""</f>
        <v/>
      </c>
      <c r="CD818" t="str">
        <f>""</f>
        <v/>
      </c>
      <c r="CE818" t="str">
        <f>""</f>
        <v/>
      </c>
      <c r="CF818" t="str">
        <f>""</f>
        <v/>
      </c>
      <c r="CG818" t="str">
        <f>""</f>
        <v/>
      </c>
      <c r="CH818" t="str">
        <f>""</f>
        <v/>
      </c>
      <c r="CI818" t="str">
        <f>""</f>
        <v/>
      </c>
      <c r="CJ818" t="str">
        <f>""</f>
        <v/>
      </c>
      <c r="CK818" t="str">
        <f>""</f>
        <v/>
      </c>
      <c r="CL818" t="str">
        <f>""</f>
        <v/>
      </c>
      <c r="CM818" t="str">
        <f>""</f>
        <v/>
      </c>
      <c r="CN818" t="str">
        <f>""</f>
        <v/>
      </c>
      <c r="CO818" t="str">
        <f>""</f>
        <v/>
      </c>
      <c r="CP818" t="str">
        <f>""</f>
        <v/>
      </c>
      <c r="CQ818" t="str">
        <f>""</f>
        <v/>
      </c>
      <c r="CR818" t="str">
        <f>""</f>
        <v/>
      </c>
      <c r="CS818" t="str">
        <f>""</f>
        <v/>
      </c>
      <c r="CT818" t="str">
        <f>""</f>
        <v/>
      </c>
      <c r="CU818" t="str">
        <f>""</f>
        <v/>
      </c>
      <c r="CV818" t="str">
        <f>""</f>
        <v/>
      </c>
      <c r="CW818" t="str">
        <f>""</f>
        <v/>
      </c>
      <c r="CX818" t="str">
        <f>""</f>
        <v/>
      </c>
      <c r="CY818" t="str">
        <f>""</f>
        <v/>
      </c>
      <c r="CZ818" t="str">
        <f>""</f>
        <v/>
      </c>
      <c r="DA818" t="str">
        <f>""</f>
        <v/>
      </c>
      <c r="DB818" t="str">
        <f>""</f>
        <v/>
      </c>
      <c r="DC818" t="str">
        <f>""</f>
        <v/>
      </c>
      <c r="DD818" t="str">
        <f>""</f>
        <v/>
      </c>
      <c r="DE818" t="str">
        <f>""</f>
        <v/>
      </c>
      <c r="DF818" t="str">
        <f>""</f>
        <v/>
      </c>
      <c r="DG818" t="str">
        <f>""</f>
        <v/>
      </c>
      <c r="DH818" t="str">
        <f>""</f>
        <v/>
      </c>
      <c r="DI818" t="str">
        <f>""</f>
        <v/>
      </c>
      <c r="DJ818" t="str">
        <f>""</f>
        <v/>
      </c>
      <c r="DK818" t="str">
        <f>""</f>
        <v/>
      </c>
      <c r="DL818" t="str">
        <f>""</f>
        <v/>
      </c>
      <c r="DM818" t="str">
        <f>""</f>
        <v/>
      </c>
      <c r="DN818" t="str">
        <f>""</f>
        <v/>
      </c>
      <c r="DO818" t="str">
        <f>""</f>
        <v/>
      </c>
      <c r="DP818" t="str">
        <f>""</f>
        <v/>
      </c>
      <c r="DQ818" t="str">
        <f>""</f>
        <v/>
      </c>
      <c r="DR818" t="str">
        <f>""</f>
        <v/>
      </c>
      <c r="DS818" t="str">
        <f>""</f>
        <v/>
      </c>
      <c r="DT818" t="str">
        <f>""</f>
        <v/>
      </c>
      <c r="DU818" t="str">
        <f>""</f>
        <v/>
      </c>
    </row>
    <row r="819" spans="1:125" x14ac:dyDescent="0.25">
      <c r="A819" t="str">
        <f>$A$148</f>
        <v xml:space="preserve">    Hyundai Motor Co</v>
      </c>
      <c r="B819" t="str">
        <f>$B$148</f>
        <v>005380 KS Equity</v>
      </c>
      <c r="C819" t="str">
        <f>$C$148</f>
        <v>RR903</v>
      </c>
      <c r="D819" t="str">
        <f>$D$148</f>
        <v>PX_TO_BOOK_RATIO</v>
      </c>
      <c r="E819" t="str">
        <f>$E$148</f>
        <v>Dynamic</v>
      </c>
      <c r="F819" t="str">
        <f ca="1">_xll.BDH($B$148,$C$148,$B$675,$B$676,CONCATENATE("Per=",$B$673),"Dts=H","Dir=H",CONCATENATE("Points=",$B$674),"Sort=R","Days=A","Fill=B",CONCATENATE("FX=", $B$672) )</f>
        <v>#N/A Connection</v>
      </c>
      <c r="BN819" t="str">
        <f>""</f>
        <v/>
      </c>
      <c r="BO819" t="str">
        <f>""</f>
        <v/>
      </c>
      <c r="BP819" t="str">
        <f>""</f>
        <v/>
      </c>
      <c r="BQ819" t="str">
        <f>""</f>
        <v/>
      </c>
      <c r="BR819" t="str">
        <f>""</f>
        <v/>
      </c>
      <c r="BS819" t="str">
        <f>""</f>
        <v/>
      </c>
      <c r="BT819" t="str">
        <f>""</f>
        <v/>
      </c>
      <c r="BU819" t="str">
        <f>""</f>
        <v/>
      </c>
      <c r="BV819" t="str">
        <f>""</f>
        <v/>
      </c>
      <c r="BW819" t="str">
        <f>""</f>
        <v/>
      </c>
      <c r="BX819" t="str">
        <f>""</f>
        <v/>
      </c>
      <c r="BY819" t="str">
        <f>""</f>
        <v/>
      </c>
      <c r="BZ819" t="str">
        <f>""</f>
        <v/>
      </c>
      <c r="CA819" t="str">
        <f>""</f>
        <v/>
      </c>
      <c r="CB819" t="str">
        <f>""</f>
        <v/>
      </c>
      <c r="CC819" t="str">
        <f>""</f>
        <v/>
      </c>
      <c r="CD819" t="str">
        <f>""</f>
        <v/>
      </c>
      <c r="CE819" t="str">
        <f>""</f>
        <v/>
      </c>
      <c r="CF819" t="str">
        <f>""</f>
        <v/>
      </c>
      <c r="CG819" t="str">
        <f>""</f>
        <v/>
      </c>
      <c r="CH819" t="str">
        <f>""</f>
        <v/>
      </c>
      <c r="CI819" t="str">
        <f>""</f>
        <v/>
      </c>
      <c r="CJ819" t="str">
        <f>""</f>
        <v/>
      </c>
      <c r="CK819" t="str">
        <f>""</f>
        <v/>
      </c>
      <c r="CL819" t="str">
        <f>""</f>
        <v/>
      </c>
      <c r="CM819" t="str">
        <f>""</f>
        <v/>
      </c>
      <c r="CN819" t="str">
        <f>""</f>
        <v/>
      </c>
      <c r="CO819" t="str">
        <f>""</f>
        <v/>
      </c>
      <c r="CP819" t="str">
        <f>""</f>
        <v/>
      </c>
      <c r="CQ819" t="str">
        <f>""</f>
        <v/>
      </c>
      <c r="CR819" t="str">
        <f>""</f>
        <v/>
      </c>
      <c r="CS819" t="str">
        <f>""</f>
        <v/>
      </c>
      <c r="CT819" t="str">
        <f>""</f>
        <v/>
      </c>
      <c r="CU819" t="str">
        <f>""</f>
        <v/>
      </c>
      <c r="CV819" t="str">
        <f>""</f>
        <v/>
      </c>
      <c r="CW819" t="str">
        <f>""</f>
        <v/>
      </c>
      <c r="CX819" t="str">
        <f>""</f>
        <v/>
      </c>
      <c r="CY819" t="str">
        <f>""</f>
        <v/>
      </c>
      <c r="CZ819" t="str">
        <f>""</f>
        <v/>
      </c>
      <c r="DA819" t="str">
        <f>""</f>
        <v/>
      </c>
      <c r="DB819" t="str">
        <f>""</f>
        <v/>
      </c>
      <c r="DC819" t="str">
        <f>""</f>
        <v/>
      </c>
      <c r="DD819" t="str">
        <f>""</f>
        <v/>
      </c>
      <c r="DE819" t="str">
        <f>""</f>
        <v/>
      </c>
      <c r="DF819" t="str">
        <f>""</f>
        <v/>
      </c>
      <c r="DG819" t="str">
        <f>""</f>
        <v/>
      </c>
      <c r="DH819" t="str">
        <f>""</f>
        <v/>
      </c>
      <c r="DI819" t="str">
        <f>""</f>
        <v/>
      </c>
      <c r="DJ819" t="str">
        <f>""</f>
        <v/>
      </c>
      <c r="DK819" t="str">
        <f>""</f>
        <v/>
      </c>
      <c r="DL819" t="str">
        <f>""</f>
        <v/>
      </c>
      <c r="DM819" t="str">
        <f>""</f>
        <v/>
      </c>
      <c r="DN819" t="str">
        <f>""</f>
        <v/>
      </c>
      <c r="DO819" t="str">
        <f>""</f>
        <v/>
      </c>
      <c r="DP819" t="str">
        <f>""</f>
        <v/>
      </c>
      <c r="DQ819" t="str">
        <f>""</f>
        <v/>
      </c>
      <c r="DR819" t="str">
        <f>""</f>
        <v/>
      </c>
      <c r="DS819" t="str">
        <f>""</f>
        <v/>
      </c>
      <c r="DT819" t="str">
        <f>""</f>
        <v/>
      </c>
      <c r="DU819" t="str">
        <f>""</f>
        <v/>
      </c>
    </row>
    <row r="820" spans="1:125" x14ac:dyDescent="0.25">
      <c r="A820" t="str">
        <f>$A$149</f>
        <v xml:space="preserve">    Kia Motors Corp</v>
      </c>
      <c r="B820" t="str">
        <f>$B$149</f>
        <v>000270 KS Equity</v>
      </c>
      <c r="C820" t="str">
        <f>$C$149</f>
        <v>RR903</v>
      </c>
      <c r="D820" t="str">
        <f>$D$149</f>
        <v>PX_TO_BOOK_RATIO</v>
      </c>
      <c r="E820" t="str">
        <f>$E$149</f>
        <v>Dynamic</v>
      </c>
      <c r="F820" t="str">
        <f ca="1">_xll.BDH($B$149,$C$149,$B$675,$B$676,CONCATENATE("Per=",$B$673),"Dts=H","Dir=H",CONCATENATE("Points=",$B$674),"Sort=R","Days=A","Fill=B",CONCATENATE("FX=", $B$672) )</f>
        <v>#N/A Connection</v>
      </c>
      <c r="BN820" t="str">
        <f>""</f>
        <v/>
      </c>
      <c r="BO820" t="str">
        <f>""</f>
        <v/>
      </c>
      <c r="BP820" t="str">
        <f>""</f>
        <v/>
      </c>
      <c r="BQ820" t="str">
        <f>""</f>
        <v/>
      </c>
      <c r="BR820" t="str">
        <f>""</f>
        <v/>
      </c>
      <c r="BS820" t="str">
        <f>""</f>
        <v/>
      </c>
      <c r="BT820" t="str">
        <f>""</f>
        <v/>
      </c>
      <c r="BU820" t="str">
        <f>""</f>
        <v/>
      </c>
      <c r="BV820" t="str">
        <f>""</f>
        <v/>
      </c>
      <c r="BW820" t="str">
        <f>""</f>
        <v/>
      </c>
      <c r="BX820" t="str">
        <f>""</f>
        <v/>
      </c>
      <c r="BY820" t="str">
        <f>""</f>
        <v/>
      </c>
      <c r="BZ820" t="str">
        <f>""</f>
        <v/>
      </c>
      <c r="CA820" t="str">
        <f>""</f>
        <v/>
      </c>
      <c r="CB820" t="str">
        <f>""</f>
        <v/>
      </c>
      <c r="CC820" t="str">
        <f>""</f>
        <v/>
      </c>
      <c r="CD820" t="str">
        <f>""</f>
        <v/>
      </c>
      <c r="CE820" t="str">
        <f>""</f>
        <v/>
      </c>
      <c r="CF820" t="str">
        <f>""</f>
        <v/>
      </c>
      <c r="CG820" t="str">
        <f>""</f>
        <v/>
      </c>
      <c r="CH820" t="str">
        <f>""</f>
        <v/>
      </c>
      <c r="CI820" t="str">
        <f>""</f>
        <v/>
      </c>
      <c r="CJ820" t="str">
        <f>""</f>
        <v/>
      </c>
      <c r="CK820" t="str">
        <f>""</f>
        <v/>
      </c>
      <c r="CL820" t="str">
        <f>""</f>
        <v/>
      </c>
      <c r="CM820" t="str">
        <f>""</f>
        <v/>
      </c>
      <c r="CN820" t="str">
        <f>""</f>
        <v/>
      </c>
      <c r="CO820" t="str">
        <f>""</f>
        <v/>
      </c>
      <c r="CP820" t="str">
        <f>""</f>
        <v/>
      </c>
      <c r="CQ820" t="str">
        <f>""</f>
        <v/>
      </c>
      <c r="CR820" t="str">
        <f>""</f>
        <v/>
      </c>
      <c r="CS820" t="str">
        <f>""</f>
        <v/>
      </c>
      <c r="CT820" t="str">
        <f>""</f>
        <v/>
      </c>
      <c r="CU820" t="str">
        <f>""</f>
        <v/>
      </c>
      <c r="CV820" t="str">
        <f>""</f>
        <v/>
      </c>
      <c r="CW820" t="str">
        <f>""</f>
        <v/>
      </c>
      <c r="CX820" t="str">
        <f>""</f>
        <v/>
      </c>
      <c r="CY820" t="str">
        <f>""</f>
        <v/>
      </c>
      <c r="CZ820" t="str">
        <f>""</f>
        <v/>
      </c>
      <c r="DA820" t="str">
        <f>""</f>
        <v/>
      </c>
      <c r="DB820" t="str">
        <f>""</f>
        <v/>
      </c>
      <c r="DC820" t="str">
        <f>""</f>
        <v/>
      </c>
      <c r="DD820" t="str">
        <f>""</f>
        <v/>
      </c>
      <c r="DE820" t="str">
        <f>""</f>
        <v/>
      </c>
      <c r="DF820" t="str">
        <f>""</f>
        <v/>
      </c>
      <c r="DG820" t="str">
        <f>""</f>
        <v/>
      </c>
      <c r="DH820" t="str">
        <f>""</f>
        <v/>
      </c>
      <c r="DI820" t="str">
        <f>""</f>
        <v/>
      </c>
      <c r="DJ820" t="str">
        <f>""</f>
        <v/>
      </c>
      <c r="DK820" t="str">
        <f>""</f>
        <v/>
      </c>
      <c r="DL820" t="str">
        <f>""</f>
        <v/>
      </c>
      <c r="DM820" t="str">
        <f>""</f>
        <v/>
      </c>
      <c r="DN820" t="str">
        <f>""</f>
        <v/>
      </c>
      <c r="DO820" t="str">
        <f>""</f>
        <v/>
      </c>
      <c r="DP820" t="str">
        <f>""</f>
        <v/>
      </c>
      <c r="DQ820" t="str">
        <f>""</f>
        <v/>
      </c>
      <c r="DR820" t="str">
        <f>""</f>
        <v/>
      </c>
      <c r="DS820" t="str">
        <f>""</f>
        <v/>
      </c>
      <c r="DT820" t="str">
        <f>""</f>
        <v/>
      </c>
      <c r="DU820" t="str">
        <f>""</f>
        <v/>
      </c>
    </row>
    <row r="821" spans="1:125" x14ac:dyDescent="0.25">
      <c r="A821" t="str">
        <f>$A$150</f>
        <v xml:space="preserve">    Mazda Motor Corp</v>
      </c>
      <c r="B821" t="str">
        <f>$B$150</f>
        <v>7261 JP Equity</v>
      </c>
      <c r="C821" t="str">
        <f>$C$150</f>
        <v>RR903</v>
      </c>
      <c r="D821" t="str">
        <f>$D$150</f>
        <v>PX_TO_BOOK_RATIO</v>
      </c>
      <c r="E821" t="str">
        <f>$E$150</f>
        <v>Dynamic</v>
      </c>
      <c r="F821" t="str">
        <f ca="1">_xll.BDH($B$150,$C$150,$B$675,$B$676,CONCATENATE("Per=",$B$673),"Dts=H","Dir=H",CONCATENATE("Points=",$B$674),"Sort=R","Days=A","Fill=B",CONCATENATE("FX=", $B$672) )</f>
        <v>#N/A Connection</v>
      </c>
      <c r="BN821" t="str">
        <f>""</f>
        <v/>
      </c>
      <c r="BO821" t="str">
        <f>""</f>
        <v/>
      </c>
      <c r="BP821" t="str">
        <f>""</f>
        <v/>
      </c>
      <c r="BQ821" t="str">
        <f>""</f>
        <v/>
      </c>
      <c r="BR821" t="str">
        <f>""</f>
        <v/>
      </c>
      <c r="BS821" t="str">
        <f>""</f>
        <v/>
      </c>
      <c r="BT821" t="str">
        <f>""</f>
        <v/>
      </c>
      <c r="BU821" t="str">
        <f>""</f>
        <v/>
      </c>
      <c r="BV821" t="str">
        <f>""</f>
        <v/>
      </c>
      <c r="BW821" t="str">
        <f>""</f>
        <v/>
      </c>
      <c r="BX821" t="str">
        <f>""</f>
        <v/>
      </c>
      <c r="BY821" t="str">
        <f>""</f>
        <v/>
      </c>
      <c r="BZ821" t="str">
        <f>""</f>
        <v/>
      </c>
      <c r="CA821" t="str">
        <f>""</f>
        <v/>
      </c>
      <c r="CB821" t="str">
        <f>""</f>
        <v/>
      </c>
      <c r="CC821" t="str">
        <f>""</f>
        <v/>
      </c>
      <c r="CD821" t="str">
        <f>""</f>
        <v/>
      </c>
      <c r="CE821" t="str">
        <f>""</f>
        <v/>
      </c>
      <c r="CF821" t="str">
        <f>""</f>
        <v/>
      </c>
      <c r="CG821" t="str">
        <f>""</f>
        <v/>
      </c>
      <c r="CH821" t="str">
        <f>""</f>
        <v/>
      </c>
      <c r="CI821" t="str">
        <f>""</f>
        <v/>
      </c>
      <c r="CJ821" t="str">
        <f>""</f>
        <v/>
      </c>
      <c r="CK821" t="str">
        <f>""</f>
        <v/>
      </c>
      <c r="CL821" t="str">
        <f>""</f>
        <v/>
      </c>
      <c r="CM821" t="str">
        <f>""</f>
        <v/>
      </c>
      <c r="CN821" t="str">
        <f>""</f>
        <v/>
      </c>
      <c r="CO821" t="str">
        <f>""</f>
        <v/>
      </c>
      <c r="CP821" t="str">
        <f>""</f>
        <v/>
      </c>
      <c r="CQ821" t="str">
        <f>""</f>
        <v/>
      </c>
      <c r="CR821" t="str">
        <f>""</f>
        <v/>
      </c>
      <c r="CS821" t="str">
        <f>""</f>
        <v/>
      </c>
      <c r="CT821" t="str">
        <f>""</f>
        <v/>
      </c>
      <c r="CU821" t="str">
        <f>""</f>
        <v/>
      </c>
      <c r="CV821" t="str">
        <f>""</f>
        <v/>
      </c>
      <c r="CW821" t="str">
        <f>""</f>
        <v/>
      </c>
      <c r="CX821" t="str">
        <f>""</f>
        <v/>
      </c>
      <c r="CY821" t="str">
        <f>""</f>
        <v/>
      </c>
      <c r="CZ821" t="str">
        <f>""</f>
        <v/>
      </c>
      <c r="DA821" t="str">
        <f>""</f>
        <v/>
      </c>
      <c r="DB821" t="str">
        <f>""</f>
        <v/>
      </c>
      <c r="DC821" t="str">
        <f>""</f>
        <v/>
      </c>
      <c r="DD821" t="str">
        <f>""</f>
        <v/>
      </c>
      <c r="DE821" t="str">
        <f>""</f>
        <v/>
      </c>
      <c r="DF821" t="str">
        <f>""</f>
        <v/>
      </c>
      <c r="DG821" t="str">
        <f>""</f>
        <v/>
      </c>
      <c r="DH821" t="str">
        <f>""</f>
        <v/>
      </c>
      <c r="DI821" t="str">
        <f>""</f>
        <v/>
      </c>
      <c r="DJ821" t="str">
        <f>""</f>
        <v/>
      </c>
      <c r="DK821" t="str">
        <f>""</f>
        <v/>
      </c>
      <c r="DL821" t="str">
        <f>""</f>
        <v/>
      </c>
      <c r="DM821" t="str">
        <f>""</f>
        <v/>
      </c>
      <c r="DN821" t="str">
        <f>""</f>
        <v/>
      </c>
      <c r="DO821" t="str">
        <f>""</f>
        <v/>
      </c>
      <c r="DP821" t="str">
        <f>""</f>
        <v/>
      </c>
      <c r="DQ821" t="str">
        <f>""</f>
        <v/>
      </c>
      <c r="DR821" t="str">
        <f>""</f>
        <v/>
      </c>
      <c r="DS821" t="str">
        <f>""</f>
        <v/>
      </c>
      <c r="DT821" t="str">
        <f>""</f>
        <v/>
      </c>
      <c r="DU821" t="str">
        <f>""</f>
        <v/>
      </c>
    </row>
    <row r="822" spans="1:125" x14ac:dyDescent="0.25">
      <c r="A822" t="str">
        <f>$A$151</f>
        <v xml:space="preserve">    Mitsubishi Motors Corp</v>
      </c>
      <c r="B822" t="str">
        <f>$B$151</f>
        <v>7211 JP Equity</v>
      </c>
      <c r="C822" t="str">
        <f>$C$151</f>
        <v>RR903</v>
      </c>
      <c r="D822" t="str">
        <f>$D$151</f>
        <v>PX_TO_BOOK_RATIO</v>
      </c>
      <c r="E822" t="str">
        <f>$E$151</f>
        <v>Dynamic</v>
      </c>
      <c r="F822" t="str">
        <f ca="1">_xll.BDH($B$151,$C$151,$B$675,$B$676,CONCATENATE("Per=",$B$673),"Dts=H","Dir=H",CONCATENATE("Points=",$B$674),"Sort=R","Days=A","Fill=B",CONCATENATE("FX=", $B$672) )</f>
        <v>#N/A Connection</v>
      </c>
      <c r="BN822" t="str">
        <f>""</f>
        <v/>
      </c>
      <c r="BO822" t="str">
        <f>""</f>
        <v/>
      </c>
      <c r="BP822" t="str">
        <f>""</f>
        <v/>
      </c>
      <c r="BQ822" t="str">
        <f>""</f>
        <v/>
      </c>
      <c r="BR822" t="str">
        <f>""</f>
        <v/>
      </c>
      <c r="BS822" t="str">
        <f>""</f>
        <v/>
      </c>
      <c r="BT822" t="str">
        <f>""</f>
        <v/>
      </c>
      <c r="BU822" t="str">
        <f>""</f>
        <v/>
      </c>
      <c r="BV822" t="str">
        <f>""</f>
        <v/>
      </c>
      <c r="BW822" t="str">
        <f>""</f>
        <v/>
      </c>
      <c r="BX822" t="str">
        <f>""</f>
        <v/>
      </c>
      <c r="BY822" t="str">
        <f>""</f>
        <v/>
      </c>
      <c r="BZ822" t="str">
        <f>""</f>
        <v/>
      </c>
      <c r="CA822" t="str">
        <f>""</f>
        <v/>
      </c>
      <c r="CB822" t="str">
        <f>""</f>
        <v/>
      </c>
      <c r="CC822" t="str">
        <f>""</f>
        <v/>
      </c>
      <c r="CD822" t="str">
        <f>""</f>
        <v/>
      </c>
      <c r="CE822" t="str">
        <f>""</f>
        <v/>
      </c>
      <c r="CF822" t="str">
        <f>""</f>
        <v/>
      </c>
      <c r="CG822" t="str">
        <f>""</f>
        <v/>
      </c>
      <c r="CH822" t="str">
        <f>""</f>
        <v/>
      </c>
      <c r="CI822" t="str">
        <f>""</f>
        <v/>
      </c>
      <c r="CJ822" t="str">
        <f>""</f>
        <v/>
      </c>
      <c r="CK822" t="str">
        <f>""</f>
        <v/>
      </c>
      <c r="CL822" t="str">
        <f>""</f>
        <v/>
      </c>
      <c r="CM822" t="str">
        <f>""</f>
        <v/>
      </c>
      <c r="CN822" t="str">
        <f>""</f>
        <v/>
      </c>
      <c r="CO822" t="str">
        <f>""</f>
        <v/>
      </c>
      <c r="CP822" t="str">
        <f>""</f>
        <v/>
      </c>
      <c r="CQ822" t="str">
        <f>""</f>
        <v/>
      </c>
      <c r="CR822" t="str">
        <f>""</f>
        <v/>
      </c>
      <c r="CS822" t="str">
        <f>""</f>
        <v/>
      </c>
      <c r="CT822" t="str">
        <f>""</f>
        <v/>
      </c>
      <c r="CU822" t="str">
        <f>""</f>
        <v/>
      </c>
      <c r="CV822" t="str">
        <f>""</f>
        <v/>
      </c>
      <c r="CW822" t="str">
        <f>""</f>
        <v/>
      </c>
      <c r="CX822" t="str">
        <f>""</f>
        <v/>
      </c>
      <c r="CY822" t="str">
        <f>""</f>
        <v/>
      </c>
      <c r="CZ822" t="str">
        <f>""</f>
        <v/>
      </c>
      <c r="DA822" t="str">
        <f>""</f>
        <v/>
      </c>
      <c r="DB822" t="str">
        <f>""</f>
        <v/>
      </c>
      <c r="DC822" t="str">
        <f>""</f>
        <v/>
      </c>
      <c r="DD822" t="str">
        <f>""</f>
        <v/>
      </c>
      <c r="DE822" t="str">
        <f>""</f>
        <v/>
      </c>
      <c r="DF822" t="str">
        <f>""</f>
        <v/>
      </c>
      <c r="DG822" t="str">
        <f>""</f>
        <v/>
      </c>
      <c r="DH822" t="str">
        <f>""</f>
        <v/>
      </c>
      <c r="DI822" t="str">
        <f>""</f>
        <v/>
      </c>
      <c r="DJ822" t="str">
        <f>""</f>
        <v/>
      </c>
      <c r="DK822" t="str">
        <f>""</f>
        <v/>
      </c>
      <c r="DL822" t="str">
        <f>""</f>
        <v/>
      </c>
      <c r="DM822" t="str">
        <f>""</f>
        <v/>
      </c>
      <c r="DN822" t="str">
        <f>""</f>
        <v/>
      </c>
      <c r="DO822" t="str">
        <f>""</f>
        <v/>
      </c>
      <c r="DP822" t="str">
        <f>""</f>
        <v/>
      </c>
      <c r="DQ822" t="str">
        <f>""</f>
        <v/>
      </c>
      <c r="DR822" t="str">
        <f>""</f>
        <v/>
      </c>
      <c r="DS822" t="str">
        <f>""</f>
        <v/>
      </c>
      <c r="DT822" t="str">
        <f>""</f>
        <v/>
      </c>
      <c r="DU822" t="str">
        <f>""</f>
        <v/>
      </c>
    </row>
    <row r="823" spans="1:125" x14ac:dyDescent="0.25">
      <c r="A823" t="str">
        <f>$A$152</f>
        <v xml:space="preserve">    Nissan Motor Co Ltd</v>
      </c>
      <c r="B823" t="str">
        <f>$B$152</f>
        <v>7201 JP Equity</v>
      </c>
      <c r="C823" t="str">
        <f>$C$152</f>
        <v>RR903</v>
      </c>
      <c r="D823" t="str">
        <f>$D$152</f>
        <v>PX_TO_BOOK_RATIO</v>
      </c>
      <c r="E823" t="str">
        <f>$E$152</f>
        <v>Dynamic</v>
      </c>
      <c r="F823" t="str">
        <f ca="1">_xll.BDH($B$152,$C$152,$B$675,$B$676,CONCATENATE("Per=",$B$673),"Dts=H","Dir=H",CONCATENATE("Points=",$B$674),"Sort=R","Days=A","Fill=B",CONCATENATE("FX=", $B$672) )</f>
        <v>#N/A Connection</v>
      </c>
      <c r="BN823" t="str">
        <f>""</f>
        <v/>
      </c>
      <c r="BO823" t="str">
        <f>""</f>
        <v/>
      </c>
      <c r="BP823" t="str">
        <f>""</f>
        <v/>
      </c>
      <c r="BQ823" t="str">
        <f>""</f>
        <v/>
      </c>
      <c r="BR823" t="str">
        <f>""</f>
        <v/>
      </c>
      <c r="BS823" t="str">
        <f>""</f>
        <v/>
      </c>
      <c r="BT823" t="str">
        <f>""</f>
        <v/>
      </c>
      <c r="BU823" t="str">
        <f>""</f>
        <v/>
      </c>
      <c r="BV823" t="str">
        <f>""</f>
        <v/>
      </c>
      <c r="BW823" t="str">
        <f>""</f>
        <v/>
      </c>
      <c r="BX823" t="str">
        <f>""</f>
        <v/>
      </c>
      <c r="BY823" t="str">
        <f>""</f>
        <v/>
      </c>
      <c r="BZ823" t="str">
        <f>""</f>
        <v/>
      </c>
      <c r="CA823" t="str">
        <f>""</f>
        <v/>
      </c>
      <c r="CB823" t="str">
        <f>""</f>
        <v/>
      </c>
      <c r="CC823" t="str">
        <f>""</f>
        <v/>
      </c>
      <c r="CD823" t="str">
        <f>""</f>
        <v/>
      </c>
      <c r="CE823" t="str">
        <f>""</f>
        <v/>
      </c>
      <c r="CF823" t="str">
        <f>""</f>
        <v/>
      </c>
      <c r="CG823" t="str">
        <f>""</f>
        <v/>
      </c>
      <c r="CH823" t="str">
        <f>""</f>
        <v/>
      </c>
      <c r="CI823" t="str">
        <f>""</f>
        <v/>
      </c>
      <c r="CJ823" t="str">
        <f>""</f>
        <v/>
      </c>
      <c r="CK823" t="str">
        <f>""</f>
        <v/>
      </c>
      <c r="CL823" t="str">
        <f>""</f>
        <v/>
      </c>
      <c r="CM823" t="str">
        <f>""</f>
        <v/>
      </c>
      <c r="CN823" t="str">
        <f>""</f>
        <v/>
      </c>
      <c r="CO823" t="str">
        <f>""</f>
        <v/>
      </c>
      <c r="CP823" t="str">
        <f>""</f>
        <v/>
      </c>
      <c r="CQ823" t="str">
        <f>""</f>
        <v/>
      </c>
      <c r="CR823" t="str">
        <f>""</f>
        <v/>
      </c>
      <c r="CS823" t="str">
        <f>""</f>
        <v/>
      </c>
      <c r="CT823" t="str">
        <f>""</f>
        <v/>
      </c>
      <c r="CU823" t="str">
        <f>""</f>
        <v/>
      </c>
      <c r="CV823" t="str">
        <f>""</f>
        <v/>
      </c>
      <c r="CW823" t="str">
        <f>""</f>
        <v/>
      </c>
      <c r="CX823" t="str">
        <f>""</f>
        <v/>
      </c>
      <c r="CY823" t="str">
        <f>""</f>
        <v/>
      </c>
      <c r="CZ823" t="str">
        <f>""</f>
        <v/>
      </c>
      <c r="DA823" t="str">
        <f>""</f>
        <v/>
      </c>
      <c r="DB823" t="str">
        <f>""</f>
        <v/>
      </c>
      <c r="DC823" t="str">
        <f>""</f>
        <v/>
      </c>
      <c r="DD823" t="str">
        <f>""</f>
        <v/>
      </c>
      <c r="DE823" t="str">
        <f>""</f>
        <v/>
      </c>
      <c r="DF823" t="str">
        <f>""</f>
        <v/>
      </c>
      <c r="DG823" t="str">
        <f>""</f>
        <v/>
      </c>
      <c r="DH823" t="str">
        <f>""</f>
        <v/>
      </c>
      <c r="DI823" t="str">
        <f>""</f>
        <v/>
      </c>
      <c r="DJ823" t="str">
        <f>""</f>
        <v/>
      </c>
      <c r="DK823" t="str">
        <f>""</f>
        <v/>
      </c>
      <c r="DL823" t="str">
        <f>""</f>
        <v/>
      </c>
      <c r="DM823" t="str">
        <f>""</f>
        <v/>
      </c>
      <c r="DN823" t="str">
        <f>""</f>
        <v/>
      </c>
      <c r="DO823" t="str">
        <f>""</f>
        <v/>
      </c>
      <c r="DP823" t="str">
        <f>""</f>
        <v/>
      </c>
      <c r="DQ823" t="str">
        <f>""</f>
        <v/>
      </c>
      <c r="DR823" t="str">
        <f>""</f>
        <v/>
      </c>
      <c r="DS823" t="str">
        <f>""</f>
        <v/>
      </c>
      <c r="DT823" t="str">
        <f>""</f>
        <v/>
      </c>
      <c r="DU823" t="str">
        <f>""</f>
        <v/>
      </c>
    </row>
    <row r="824" spans="1:125" x14ac:dyDescent="0.25">
      <c r="A824" t="str">
        <f>$A$153</f>
        <v xml:space="preserve">    Peugeot SA</v>
      </c>
      <c r="B824" t="str">
        <f>$B$153</f>
        <v>UG FP Equity</v>
      </c>
      <c r="C824" t="str">
        <f>$C$153</f>
        <v>RR903</v>
      </c>
      <c r="D824" t="str">
        <f>$D$153</f>
        <v>PX_TO_BOOK_RATIO</v>
      </c>
      <c r="E824" t="str">
        <f>$E$153</f>
        <v>Dynamic</v>
      </c>
      <c r="F824" t="str">
        <f ca="1">_xll.BDH($B$153,$C$153,$B$675,$B$676,CONCATENATE("Per=",$B$673),"Dts=H","Dir=H",CONCATENATE("Points=",$B$674),"Sort=R","Days=A","Fill=B",CONCATENATE("FX=", $B$672) )</f>
        <v>#N/A Connection</v>
      </c>
      <c r="BN824" t="str">
        <f>""</f>
        <v/>
      </c>
      <c r="BO824" t="str">
        <f>""</f>
        <v/>
      </c>
      <c r="BP824" t="str">
        <f>""</f>
        <v/>
      </c>
      <c r="BQ824" t="str">
        <f>""</f>
        <v/>
      </c>
      <c r="BR824" t="str">
        <f>""</f>
        <v/>
      </c>
      <c r="BS824" t="str">
        <f>""</f>
        <v/>
      </c>
      <c r="BT824" t="str">
        <f>""</f>
        <v/>
      </c>
      <c r="BU824" t="str">
        <f>""</f>
        <v/>
      </c>
      <c r="BV824" t="str">
        <f>""</f>
        <v/>
      </c>
      <c r="BW824" t="str">
        <f>""</f>
        <v/>
      </c>
      <c r="BX824" t="str">
        <f>""</f>
        <v/>
      </c>
      <c r="BY824" t="str">
        <f>""</f>
        <v/>
      </c>
      <c r="BZ824" t="str">
        <f>""</f>
        <v/>
      </c>
      <c r="CA824" t="str">
        <f>""</f>
        <v/>
      </c>
      <c r="CB824" t="str">
        <f>""</f>
        <v/>
      </c>
      <c r="CC824" t="str">
        <f>""</f>
        <v/>
      </c>
      <c r="CD824" t="str">
        <f>""</f>
        <v/>
      </c>
      <c r="CE824" t="str">
        <f>""</f>
        <v/>
      </c>
      <c r="CF824" t="str">
        <f>""</f>
        <v/>
      </c>
      <c r="CG824" t="str">
        <f>""</f>
        <v/>
      </c>
      <c r="CH824" t="str">
        <f>""</f>
        <v/>
      </c>
      <c r="CI824" t="str">
        <f>""</f>
        <v/>
      </c>
      <c r="CJ824" t="str">
        <f>""</f>
        <v/>
      </c>
      <c r="CK824" t="str">
        <f>""</f>
        <v/>
      </c>
      <c r="CL824" t="str">
        <f>""</f>
        <v/>
      </c>
      <c r="CM824" t="str">
        <f>""</f>
        <v/>
      </c>
      <c r="CN824" t="str">
        <f>""</f>
        <v/>
      </c>
      <c r="CO824" t="str">
        <f>""</f>
        <v/>
      </c>
      <c r="CP824" t="str">
        <f>""</f>
        <v/>
      </c>
      <c r="CQ824" t="str">
        <f>""</f>
        <v/>
      </c>
      <c r="CR824" t="str">
        <f>""</f>
        <v/>
      </c>
      <c r="CS824" t="str">
        <f>""</f>
        <v/>
      </c>
      <c r="CT824" t="str">
        <f>""</f>
        <v/>
      </c>
      <c r="CU824" t="str">
        <f>""</f>
        <v/>
      </c>
      <c r="CV824" t="str">
        <f>""</f>
        <v/>
      </c>
      <c r="CW824" t="str">
        <f>""</f>
        <v/>
      </c>
      <c r="CX824" t="str">
        <f>""</f>
        <v/>
      </c>
      <c r="CY824" t="str">
        <f>""</f>
        <v/>
      </c>
      <c r="CZ824" t="str">
        <f>""</f>
        <v/>
      </c>
      <c r="DA824" t="str">
        <f>""</f>
        <v/>
      </c>
      <c r="DB824" t="str">
        <f>""</f>
        <v/>
      </c>
      <c r="DC824" t="str">
        <f>""</f>
        <v/>
      </c>
      <c r="DD824" t="str">
        <f>""</f>
        <v/>
      </c>
      <c r="DE824" t="str">
        <f>""</f>
        <v/>
      </c>
      <c r="DF824" t="str">
        <f>""</f>
        <v/>
      </c>
      <c r="DG824" t="str">
        <f>""</f>
        <v/>
      </c>
      <c r="DH824" t="str">
        <f>""</f>
        <v/>
      </c>
      <c r="DI824" t="str">
        <f>""</f>
        <v/>
      </c>
      <c r="DJ824" t="str">
        <f>""</f>
        <v/>
      </c>
      <c r="DK824" t="str">
        <f>""</f>
        <v/>
      </c>
      <c r="DL824" t="str">
        <f>""</f>
        <v/>
      </c>
      <c r="DM824" t="str">
        <f>""</f>
        <v/>
      </c>
      <c r="DN824" t="str">
        <f>""</f>
        <v/>
      </c>
      <c r="DO824" t="str">
        <f>""</f>
        <v/>
      </c>
      <c r="DP824" t="str">
        <f>""</f>
        <v/>
      </c>
      <c r="DQ824" t="str">
        <f>""</f>
        <v/>
      </c>
      <c r="DR824" t="str">
        <f>""</f>
        <v/>
      </c>
      <c r="DS824" t="str">
        <f>""</f>
        <v/>
      </c>
      <c r="DT824" t="str">
        <f>""</f>
        <v/>
      </c>
      <c r="DU824" t="str">
        <f>""</f>
        <v/>
      </c>
    </row>
    <row r="825" spans="1:125" x14ac:dyDescent="0.25">
      <c r="A825" t="str">
        <f>$A$154</f>
        <v xml:space="preserve">    Renault SA</v>
      </c>
      <c r="B825" t="str">
        <f>$B$154</f>
        <v>RNO FP Equity</v>
      </c>
      <c r="C825" t="str">
        <f>$C$154</f>
        <v>RR903</v>
      </c>
      <c r="D825" t="str">
        <f>$D$154</f>
        <v>PX_TO_BOOK_RATIO</v>
      </c>
      <c r="E825" t="str">
        <f>$E$154</f>
        <v>Dynamic</v>
      </c>
      <c r="F825" t="str">
        <f ca="1">_xll.BDH($B$154,$C$154,$B$675,$B$676,CONCATENATE("Per=",$B$673),"Dts=H","Dir=H",CONCATENATE("Points=",$B$674),"Sort=R","Days=A","Fill=B",CONCATENATE("FX=", $B$672) )</f>
        <v>#N/A Connection</v>
      </c>
      <c r="BN825" t="str">
        <f>""</f>
        <v/>
      </c>
      <c r="BO825" t="str">
        <f>""</f>
        <v/>
      </c>
      <c r="BP825" t="str">
        <f>""</f>
        <v/>
      </c>
      <c r="BQ825" t="str">
        <f>""</f>
        <v/>
      </c>
      <c r="BR825" t="str">
        <f>""</f>
        <v/>
      </c>
      <c r="BS825" t="str">
        <f>""</f>
        <v/>
      </c>
      <c r="BT825" t="str">
        <f>""</f>
        <v/>
      </c>
      <c r="BU825" t="str">
        <f>""</f>
        <v/>
      </c>
      <c r="BV825" t="str">
        <f>""</f>
        <v/>
      </c>
      <c r="BW825" t="str">
        <f>""</f>
        <v/>
      </c>
      <c r="BX825" t="str">
        <f>""</f>
        <v/>
      </c>
      <c r="BY825" t="str">
        <f>""</f>
        <v/>
      </c>
      <c r="BZ825" t="str">
        <f>""</f>
        <v/>
      </c>
      <c r="CA825" t="str">
        <f>""</f>
        <v/>
      </c>
      <c r="CB825" t="str">
        <f>""</f>
        <v/>
      </c>
      <c r="CC825" t="str">
        <f>""</f>
        <v/>
      </c>
      <c r="CD825" t="str">
        <f>""</f>
        <v/>
      </c>
      <c r="CE825" t="str">
        <f>""</f>
        <v/>
      </c>
      <c r="CF825" t="str">
        <f>""</f>
        <v/>
      </c>
      <c r="CG825" t="str">
        <f>""</f>
        <v/>
      </c>
      <c r="CH825" t="str">
        <f>""</f>
        <v/>
      </c>
      <c r="CI825" t="str">
        <f>""</f>
        <v/>
      </c>
      <c r="CJ825" t="str">
        <f>""</f>
        <v/>
      </c>
      <c r="CK825" t="str">
        <f>""</f>
        <v/>
      </c>
      <c r="CL825" t="str">
        <f>""</f>
        <v/>
      </c>
      <c r="CM825" t="str">
        <f>""</f>
        <v/>
      </c>
      <c r="CN825" t="str">
        <f>""</f>
        <v/>
      </c>
      <c r="CO825" t="str">
        <f>""</f>
        <v/>
      </c>
      <c r="CP825" t="str">
        <f>""</f>
        <v/>
      </c>
      <c r="CQ825" t="str">
        <f>""</f>
        <v/>
      </c>
      <c r="CR825" t="str">
        <f>""</f>
        <v/>
      </c>
      <c r="CS825" t="str">
        <f>""</f>
        <v/>
      </c>
      <c r="CT825" t="str">
        <f>""</f>
        <v/>
      </c>
      <c r="CU825" t="str">
        <f>""</f>
        <v/>
      </c>
      <c r="CV825" t="str">
        <f>""</f>
        <v/>
      </c>
      <c r="CW825" t="str">
        <f>""</f>
        <v/>
      </c>
      <c r="CX825" t="str">
        <f>""</f>
        <v/>
      </c>
      <c r="CY825" t="str">
        <f>""</f>
        <v/>
      </c>
      <c r="CZ825" t="str">
        <f>""</f>
        <v/>
      </c>
      <c r="DA825" t="str">
        <f>""</f>
        <v/>
      </c>
      <c r="DB825" t="str">
        <f>""</f>
        <v/>
      </c>
      <c r="DC825" t="str">
        <f>""</f>
        <v/>
      </c>
      <c r="DD825" t="str">
        <f>""</f>
        <v/>
      </c>
      <c r="DE825" t="str">
        <f>""</f>
        <v/>
      </c>
      <c r="DF825" t="str">
        <f>""</f>
        <v/>
      </c>
      <c r="DG825" t="str">
        <f>""</f>
        <v/>
      </c>
      <c r="DH825" t="str">
        <f>""</f>
        <v/>
      </c>
      <c r="DI825" t="str">
        <f>""</f>
        <v/>
      </c>
      <c r="DJ825" t="str">
        <f>""</f>
        <v/>
      </c>
      <c r="DK825" t="str">
        <f>""</f>
        <v/>
      </c>
      <c r="DL825" t="str">
        <f>""</f>
        <v/>
      </c>
      <c r="DM825" t="str">
        <f>""</f>
        <v/>
      </c>
      <c r="DN825" t="str">
        <f>""</f>
        <v/>
      </c>
      <c r="DO825" t="str">
        <f>""</f>
        <v/>
      </c>
      <c r="DP825" t="str">
        <f>""</f>
        <v/>
      </c>
      <c r="DQ825" t="str">
        <f>""</f>
        <v/>
      </c>
      <c r="DR825" t="str">
        <f>""</f>
        <v/>
      </c>
      <c r="DS825" t="str">
        <f>""</f>
        <v/>
      </c>
      <c r="DT825" t="str">
        <f>""</f>
        <v/>
      </c>
      <c r="DU825" t="str">
        <f>""</f>
        <v/>
      </c>
    </row>
    <row r="826" spans="1:125" x14ac:dyDescent="0.25">
      <c r="A826" t="str">
        <f>$A$155</f>
        <v xml:space="preserve">    SAIC Motor Corp Ltd</v>
      </c>
      <c r="B826" t="str">
        <f>$B$155</f>
        <v>600104 CH Equity</v>
      </c>
      <c r="C826" t="str">
        <f>$C$155</f>
        <v>RR903</v>
      </c>
      <c r="D826" t="str">
        <f>$D$155</f>
        <v>PX_TO_BOOK_RATIO</v>
      </c>
      <c r="E826" t="str">
        <f>$E$155</f>
        <v>Dynamic</v>
      </c>
      <c r="F826" t="str">
        <f ca="1">_xll.BDH($B$155,$C$155,$B$675,$B$676,CONCATENATE("Per=",$B$673),"Dts=H","Dir=H",CONCATENATE("Points=",$B$674),"Sort=R","Days=A","Fill=B",CONCATENATE("FX=", $B$672) )</f>
        <v>#N/A Connection</v>
      </c>
      <c r="BN826" t="str">
        <f>""</f>
        <v/>
      </c>
      <c r="BO826" t="str">
        <f>""</f>
        <v/>
      </c>
      <c r="BP826" t="str">
        <f>""</f>
        <v/>
      </c>
      <c r="BQ826" t="str">
        <f>""</f>
        <v/>
      </c>
      <c r="BR826" t="str">
        <f>""</f>
        <v/>
      </c>
      <c r="BS826" t="str">
        <f>""</f>
        <v/>
      </c>
      <c r="BT826" t="str">
        <f>""</f>
        <v/>
      </c>
      <c r="BU826" t="str">
        <f>""</f>
        <v/>
      </c>
      <c r="BV826" t="str">
        <f>""</f>
        <v/>
      </c>
      <c r="BW826" t="str">
        <f>""</f>
        <v/>
      </c>
      <c r="BX826" t="str">
        <f>""</f>
        <v/>
      </c>
      <c r="BY826" t="str">
        <f>""</f>
        <v/>
      </c>
      <c r="BZ826" t="str">
        <f>""</f>
        <v/>
      </c>
      <c r="CA826" t="str">
        <f>""</f>
        <v/>
      </c>
      <c r="CB826" t="str">
        <f>""</f>
        <v/>
      </c>
      <c r="CC826" t="str">
        <f>""</f>
        <v/>
      </c>
      <c r="CD826" t="str">
        <f>""</f>
        <v/>
      </c>
      <c r="CE826" t="str">
        <f>""</f>
        <v/>
      </c>
      <c r="CF826" t="str">
        <f>""</f>
        <v/>
      </c>
      <c r="CG826" t="str">
        <f>""</f>
        <v/>
      </c>
      <c r="CH826" t="str">
        <f>""</f>
        <v/>
      </c>
      <c r="CI826" t="str">
        <f>""</f>
        <v/>
      </c>
      <c r="CJ826" t="str">
        <f>""</f>
        <v/>
      </c>
      <c r="CK826" t="str">
        <f>""</f>
        <v/>
      </c>
      <c r="CL826" t="str">
        <f>""</f>
        <v/>
      </c>
      <c r="CM826" t="str">
        <f>""</f>
        <v/>
      </c>
      <c r="CN826" t="str">
        <f>""</f>
        <v/>
      </c>
      <c r="CO826" t="str">
        <f>""</f>
        <v/>
      </c>
      <c r="CP826" t="str">
        <f>""</f>
        <v/>
      </c>
      <c r="CQ826" t="str">
        <f>""</f>
        <v/>
      </c>
      <c r="CR826" t="str">
        <f>""</f>
        <v/>
      </c>
      <c r="CS826" t="str">
        <f>""</f>
        <v/>
      </c>
      <c r="CT826" t="str">
        <f>""</f>
        <v/>
      </c>
      <c r="CU826" t="str">
        <f>""</f>
        <v/>
      </c>
      <c r="CV826" t="str">
        <f>""</f>
        <v/>
      </c>
      <c r="CW826" t="str">
        <f>""</f>
        <v/>
      </c>
      <c r="CX826" t="str">
        <f>""</f>
        <v/>
      </c>
      <c r="CY826" t="str">
        <f>""</f>
        <v/>
      </c>
      <c r="CZ826" t="str">
        <f>""</f>
        <v/>
      </c>
      <c r="DA826" t="str">
        <f>""</f>
        <v/>
      </c>
      <c r="DB826" t="str">
        <f>""</f>
        <v/>
      </c>
      <c r="DC826" t="str">
        <f>""</f>
        <v/>
      </c>
      <c r="DD826" t="str">
        <f>""</f>
        <v/>
      </c>
      <c r="DE826" t="str">
        <f>""</f>
        <v/>
      </c>
      <c r="DF826" t="str">
        <f>""</f>
        <v/>
      </c>
      <c r="DG826" t="str">
        <f>""</f>
        <v/>
      </c>
      <c r="DH826" t="str">
        <f>""</f>
        <v/>
      </c>
      <c r="DI826" t="str">
        <f>""</f>
        <v/>
      </c>
      <c r="DJ826" t="str">
        <f>""</f>
        <v/>
      </c>
      <c r="DK826" t="str">
        <f>""</f>
        <v/>
      </c>
      <c r="DL826" t="str">
        <f>""</f>
        <v/>
      </c>
      <c r="DM826" t="str">
        <f>""</f>
        <v/>
      </c>
      <c r="DN826" t="str">
        <f>""</f>
        <v/>
      </c>
      <c r="DO826" t="str">
        <f>""</f>
        <v/>
      </c>
      <c r="DP826" t="str">
        <f>""</f>
        <v/>
      </c>
      <c r="DQ826" t="str">
        <f>""</f>
        <v/>
      </c>
      <c r="DR826" t="str">
        <f>""</f>
        <v/>
      </c>
      <c r="DS826" t="str">
        <f>""</f>
        <v/>
      </c>
      <c r="DT826" t="str">
        <f>""</f>
        <v/>
      </c>
      <c r="DU826" t="str">
        <f>""</f>
        <v/>
      </c>
    </row>
    <row r="827" spans="1:125" x14ac:dyDescent="0.25">
      <c r="A827" t="str">
        <f>$A$156</f>
        <v xml:space="preserve">    Sanyang Motor Co Ltd</v>
      </c>
      <c r="B827" t="str">
        <f>$B$156</f>
        <v>2206 TT Equity</v>
      </c>
      <c r="C827" t="str">
        <f>$C$156</f>
        <v>RR903</v>
      </c>
      <c r="D827" t="str">
        <f>$D$156</f>
        <v>PX_TO_BOOK_RATIO</v>
      </c>
      <c r="E827" t="str">
        <f>$E$156</f>
        <v>Dynamic</v>
      </c>
      <c r="F827" t="str">
        <f ca="1">_xll.BDH($B$156,$C$156,$B$675,$B$676,CONCATENATE("Per=",$B$673),"Dts=H","Dir=H",CONCATENATE("Points=",$B$674),"Sort=R","Days=A","Fill=B",CONCATENATE("FX=", $B$672) )</f>
        <v>#N/A Connection</v>
      </c>
      <c r="BN827" t="str">
        <f>""</f>
        <v/>
      </c>
      <c r="BO827" t="str">
        <f>""</f>
        <v/>
      </c>
      <c r="BP827" t="str">
        <f>""</f>
        <v/>
      </c>
      <c r="BQ827" t="str">
        <f>""</f>
        <v/>
      </c>
      <c r="BR827" t="str">
        <f>""</f>
        <v/>
      </c>
      <c r="BS827" t="str">
        <f>""</f>
        <v/>
      </c>
      <c r="BT827" t="str">
        <f>""</f>
        <v/>
      </c>
      <c r="BU827" t="str">
        <f>""</f>
        <v/>
      </c>
      <c r="BV827" t="str">
        <f>""</f>
        <v/>
      </c>
      <c r="BW827" t="str">
        <f>""</f>
        <v/>
      </c>
      <c r="BX827" t="str">
        <f>""</f>
        <v/>
      </c>
      <c r="BY827" t="str">
        <f>""</f>
        <v/>
      </c>
      <c r="BZ827" t="str">
        <f>""</f>
        <v/>
      </c>
      <c r="CA827" t="str">
        <f>""</f>
        <v/>
      </c>
      <c r="CB827" t="str">
        <f>""</f>
        <v/>
      </c>
      <c r="CC827" t="str">
        <f>""</f>
        <v/>
      </c>
      <c r="CD827" t="str">
        <f>""</f>
        <v/>
      </c>
      <c r="CE827" t="str">
        <f>""</f>
        <v/>
      </c>
      <c r="CF827" t="str">
        <f>""</f>
        <v/>
      </c>
      <c r="CG827" t="str">
        <f>""</f>
        <v/>
      </c>
      <c r="CH827" t="str">
        <f>""</f>
        <v/>
      </c>
      <c r="CI827" t="str">
        <f>""</f>
        <v/>
      </c>
      <c r="CJ827" t="str">
        <f>""</f>
        <v/>
      </c>
      <c r="CK827" t="str">
        <f>""</f>
        <v/>
      </c>
      <c r="CL827" t="str">
        <f>""</f>
        <v/>
      </c>
      <c r="CM827" t="str">
        <f>""</f>
        <v/>
      </c>
      <c r="CN827" t="str">
        <f>""</f>
        <v/>
      </c>
      <c r="CO827" t="str">
        <f>""</f>
        <v/>
      </c>
      <c r="CP827" t="str">
        <f>""</f>
        <v/>
      </c>
      <c r="CQ827" t="str">
        <f>""</f>
        <v/>
      </c>
      <c r="CR827" t="str">
        <f>""</f>
        <v/>
      </c>
      <c r="CS827" t="str">
        <f>""</f>
        <v/>
      </c>
      <c r="CT827" t="str">
        <f>""</f>
        <v/>
      </c>
      <c r="CU827" t="str">
        <f>""</f>
        <v/>
      </c>
      <c r="CV827" t="str">
        <f>""</f>
        <v/>
      </c>
      <c r="CW827" t="str">
        <f>""</f>
        <v/>
      </c>
      <c r="CX827" t="str">
        <f>""</f>
        <v/>
      </c>
      <c r="CY827" t="str">
        <f>""</f>
        <v/>
      </c>
      <c r="CZ827" t="str">
        <f>""</f>
        <v/>
      </c>
      <c r="DA827" t="str">
        <f>""</f>
        <v/>
      </c>
      <c r="DB827" t="str">
        <f>""</f>
        <v/>
      </c>
      <c r="DC827" t="str">
        <f>""</f>
        <v/>
      </c>
      <c r="DD827" t="str">
        <f>""</f>
        <v/>
      </c>
      <c r="DE827" t="str">
        <f>""</f>
        <v/>
      </c>
      <c r="DF827" t="str">
        <f>""</f>
        <v/>
      </c>
      <c r="DG827" t="str">
        <f>""</f>
        <v/>
      </c>
      <c r="DH827" t="str">
        <f>""</f>
        <v/>
      </c>
      <c r="DI827" t="str">
        <f>""</f>
        <v/>
      </c>
      <c r="DJ827" t="str">
        <f>""</f>
        <v/>
      </c>
      <c r="DK827" t="str">
        <f>""</f>
        <v/>
      </c>
      <c r="DL827" t="str">
        <f>""</f>
        <v/>
      </c>
      <c r="DM827" t="str">
        <f>""</f>
        <v/>
      </c>
      <c r="DN827" t="str">
        <f>""</f>
        <v/>
      </c>
      <c r="DO827" t="str">
        <f>""</f>
        <v/>
      </c>
      <c r="DP827" t="str">
        <f>""</f>
        <v/>
      </c>
      <c r="DQ827" t="str">
        <f>""</f>
        <v/>
      </c>
      <c r="DR827" t="str">
        <f>""</f>
        <v/>
      </c>
      <c r="DS827" t="str">
        <f>""</f>
        <v/>
      </c>
      <c r="DT827" t="str">
        <f>""</f>
        <v/>
      </c>
      <c r="DU827" t="str">
        <f>""</f>
        <v/>
      </c>
    </row>
    <row r="828" spans="1:125" x14ac:dyDescent="0.25">
      <c r="A828" t="str">
        <f>$A$157</f>
        <v xml:space="preserve">    Sollers PJSC</v>
      </c>
      <c r="B828" t="str">
        <f>$B$157</f>
        <v>SVAV RM Equity</v>
      </c>
      <c r="C828" t="str">
        <f>$C$157</f>
        <v>RR903</v>
      </c>
      <c r="D828" t="str">
        <f>$D$157</f>
        <v>PX_TO_BOOK_RATIO</v>
      </c>
      <c r="E828" t="str">
        <f>$E$157</f>
        <v>Dynamic</v>
      </c>
      <c r="F828" t="str">
        <f ca="1">_xll.BDH($B$157,$C$157,$B$675,$B$676,CONCATENATE("Per=",$B$673),"Dts=H","Dir=H",CONCATENATE("Points=",$B$674),"Sort=R","Days=A","Fill=B",CONCATENATE("FX=", $B$672) )</f>
        <v>#N/A Connection</v>
      </c>
      <c r="BN828" t="str">
        <f>""</f>
        <v/>
      </c>
      <c r="BO828" t="str">
        <f>""</f>
        <v/>
      </c>
      <c r="BP828" t="str">
        <f>""</f>
        <v/>
      </c>
      <c r="BQ828" t="str">
        <f>""</f>
        <v/>
      </c>
      <c r="BR828" t="str">
        <f>""</f>
        <v/>
      </c>
      <c r="BS828" t="str">
        <f>""</f>
        <v/>
      </c>
      <c r="BT828" t="str">
        <f>""</f>
        <v/>
      </c>
      <c r="BU828" t="str">
        <f>""</f>
        <v/>
      </c>
      <c r="BV828" t="str">
        <f>""</f>
        <v/>
      </c>
      <c r="BW828" t="str">
        <f>""</f>
        <v/>
      </c>
      <c r="BX828" t="str">
        <f>""</f>
        <v/>
      </c>
      <c r="BY828" t="str">
        <f>""</f>
        <v/>
      </c>
      <c r="BZ828" t="str">
        <f>""</f>
        <v/>
      </c>
      <c r="CA828" t="str">
        <f>""</f>
        <v/>
      </c>
      <c r="CB828" t="str">
        <f>""</f>
        <v/>
      </c>
      <c r="CC828" t="str">
        <f>""</f>
        <v/>
      </c>
      <c r="CD828" t="str">
        <f>""</f>
        <v/>
      </c>
      <c r="CE828" t="str">
        <f>""</f>
        <v/>
      </c>
      <c r="CF828" t="str">
        <f>""</f>
        <v/>
      </c>
      <c r="CG828" t="str">
        <f>""</f>
        <v/>
      </c>
      <c r="CH828" t="str">
        <f>""</f>
        <v/>
      </c>
      <c r="CI828" t="str">
        <f>""</f>
        <v/>
      </c>
      <c r="CJ828" t="str">
        <f>""</f>
        <v/>
      </c>
      <c r="CK828" t="str">
        <f>""</f>
        <v/>
      </c>
      <c r="CL828" t="str">
        <f>""</f>
        <v/>
      </c>
      <c r="CM828" t="str">
        <f>""</f>
        <v/>
      </c>
      <c r="CN828" t="str">
        <f>""</f>
        <v/>
      </c>
      <c r="CO828" t="str">
        <f>""</f>
        <v/>
      </c>
      <c r="CP828" t="str">
        <f>""</f>
        <v/>
      </c>
      <c r="CQ828" t="str">
        <f>""</f>
        <v/>
      </c>
      <c r="CR828" t="str">
        <f>""</f>
        <v/>
      </c>
      <c r="CS828" t="str">
        <f>""</f>
        <v/>
      </c>
      <c r="CT828" t="str">
        <f>""</f>
        <v/>
      </c>
      <c r="CU828" t="str">
        <f>""</f>
        <v/>
      </c>
      <c r="CV828" t="str">
        <f>""</f>
        <v/>
      </c>
      <c r="CW828" t="str">
        <f>""</f>
        <v/>
      </c>
      <c r="CX828" t="str">
        <f>""</f>
        <v/>
      </c>
      <c r="CY828" t="str">
        <f>""</f>
        <v/>
      </c>
      <c r="CZ828" t="str">
        <f>""</f>
        <v/>
      </c>
      <c r="DA828" t="str">
        <f>""</f>
        <v/>
      </c>
      <c r="DB828" t="str">
        <f>""</f>
        <v/>
      </c>
      <c r="DC828" t="str">
        <f>""</f>
        <v/>
      </c>
      <c r="DD828" t="str">
        <f>""</f>
        <v/>
      </c>
      <c r="DE828" t="str">
        <f>""</f>
        <v/>
      </c>
      <c r="DF828" t="str">
        <f>""</f>
        <v/>
      </c>
      <c r="DG828" t="str">
        <f>""</f>
        <v/>
      </c>
      <c r="DH828" t="str">
        <f>""</f>
        <v/>
      </c>
      <c r="DI828" t="str">
        <f>""</f>
        <v/>
      </c>
      <c r="DJ828" t="str">
        <f>""</f>
        <v/>
      </c>
      <c r="DK828" t="str">
        <f>""</f>
        <v/>
      </c>
      <c r="DL828" t="str">
        <f>""</f>
        <v/>
      </c>
      <c r="DM828" t="str">
        <f>""</f>
        <v/>
      </c>
      <c r="DN828" t="str">
        <f>""</f>
        <v/>
      </c>
      <c r="DO828" t="str">
        <f>""</f>
        <v/>
      </c>
      <c r="DP828" t="str">
        <f>""</f>
        <v/>
      </c>
      <c r="DQ828" t="str">
        <f>""</f>
        <v/>
      </c>
      <c r="DR828" t="str">
        <f>""</f>
        <v/>
      </c>
      <c r="DS828" t="str">
        <f>""</f>
        <v/>
      </c>
      <c r="DT828" t="str">
        <f>""</f>
        <v/>
      </c>
      <c r="DU828" t="str">
        <f>""</f>
        <v/>
      </c>
    </row>
    <row r="829" spans="1:125" x14ac:dyDescent="0.25">
      <c r="A829" t="str">
        <f>$A$158</f>
        <v xml:space="preserve">    Ssangyong Motor Co</v>
      </c>
      <c r="B829" t="str">
        <f>$B$158</f>
        <v>003620 KS Equity</v>
      </c>
      <c r="C829" t="str">
        <f>$C$158</f>
        <v>RR903</v>
      </c>
      <c r="D829" t="str">
        <f>$D$158</f>
        <v>PX_TO_BOOK_RATIO</v>
      </c>
      <c r="E829" t="str">
        <f>$E$158</f>
        <v>Dynamic</v>
      </c>
      <c r="F829" t="str">
        <f ca="1">_xll.BDH($B$158,$C$158,$B$675,$B$676,CONCATENATE("Per=",$B$673),"Dts=H","Dir=H",CONCATENATE("Points=",$B$674),"Sort=R","Days=A","Fill=B",CONCATENATE("FX=", $B$672) )</f>
        <v>#N/A Connection</v>
      </c>
      <c r="BN829" t="str">
        <f>""</f>
        <v/>
      </c>
      <c r="BO829" t="str">
        <f>""</f>
        <v/>
      </c>
      <c r="BP829" t="str">
        <f>""</f>
        <v/>
      </c>
      <c r="BQ829" t="str">
        <f>""</f>
        <v/>
      </c>
      <c r="BR829" t="str">
        <f>""</f>
        <v/>
      </c>
      <c r="BS829" t="str">
        <f>""</f>
        <v/>
      </c>
      <c r="BT829" t="str">
        <f>""</f>
        <v/>
      </c>
      <c r="BU829" t="str">
        <f>""</f>
        <v/>
      </c>
      <c r="BV829" t="str">
        <f>""</f>
        <v/>
      </c>
      <c r="BW829" t="str">
        <f>""</f>
        <v/>
      </c>
      <c r="BX829" t="str">
        <f>""</f>
        <v/>
      </c>
      <c r="BY829" t="str">
        <f>""</f>
        <v/>
      </c>
      <c r="BZ829" t="str">
        <f>""</f>
        <v/>
      </c>
      <c r="CA829" t="str">
        <f>""</f>
        <v/>
      </c>
      <c r="CB829" t="str">
        <f>""</f>
        <v/>
      </c>
      <c r="CC829" t="str">
        <f>""</f>
        <v/>
      </c>
      <c r="CD829" t="str">
        <f>""</f>
        <v/>
      </c>
      <c r="CE829" t="str">
        <f>""</f>
        <v/>
      </c>
      <c r="CF829" t="str">
        <f>""</f>
        <v/>
      </c>
      <c r="CG829" t="str">
        <f>""</f>
        <v/>
      </c>
      <c r="CH829" t="str">
        <f>""</f>
        <v/>
      </c>
      <c r="CI829" t="str">
        <f>""</f>
        <v/>
      </c>
      <c r="CJ829" t="str">
        <f>""</f>
        <v/>
      </c>
      <c r="CK829" t="str">
        <f>""</f>
        <v/>
      </c>
      <c r="CL829" t="str">
        <f>""</f>
        <v/>
      </c>
      <c r="CM829" t="str">
        <f>""</f>
        <v/>
      </c>
      <c r="CN829" t="str">
        <f>""</f>
        <v/>
      </c>
      <c r="CO829" t="str">
        <f>""</f>
        <v/>
      </c>
      <c r="CP829" t="str">
        <f>""</f>
        <v/>
      </c>
      <c r="CQ829" t="str">
        <f>""</f>
        <v/>
      </c>
      <c r="CR829" t="str">
        <f>""</f>
        <v/>
      </c>
      <c r="CS829" t="str">
        <f>""</f>
        <v/>
      </c>
      <c r="CT829" t="str">
        <f>""</f>
        <v/>
      </c>
      <c r="CU829" t="str">
        <f>""</f>
        <v/>
      </c>
      <c r="CV829" t="str">
        <f>""</f>
        <v/>
      </c>
      <c r="CW829" t="str">
        <f>""</f>
        <v/>
      </c>
      <c r="CX829" t="str">
        <f>""</f>
        <v/>
      </c>
      <c r="CY829" t="str">
        <f>""</f>
        <v/>
      </c>
      <c r="CZ829" t="str">
        <f>""</f>
        <v/>
      </c>
      <c r="DA829" t="str">
        <f>""</f>
        <v/>
      </c>
      <c r="DB829" t="str">
        <f>""</f>
        <v/>
      </c>
      <c r="DC829" t="str">
        <f>""</f>
        <v/>
      </c>
      <c r="DD829" t="str">
        <f>""</f>
        <v/>
      </c>
      <c r="DE829" t="str">
        <f>""</f>
        <v/>
      </c>
      <c r="DF829" t="str">
        <f>""</f>
        <v/>
      </c>
      <c r="DG829" t="str">
        <f>""</f>
        <v/>
      </c>
      <c r="DH829" t="str">
        <f>""</f>
        <v/>
      </c>
      <c r="DI829" t="str">
        <f>""</f>
        <v/>
      </c>
      <c r="DJ829" t="str">
        <f>""</f>
        <v/>
      </c>
      <c r="DK829" t="str">
        <f>""</f>
        <v/>
      </c>
      <c r="DL829" t="str">
        <f>""</f>
        <v/>
      </c>
      <c r="DM829" t="str">
        <f>""</f>
        <v/>
      </c>
      <c r="DN829" t="str">
        <f>""</f>
        <v/>
      </c>
      <c r="DO829" t="str">
        <f>""</f>
        <v/>
      </c>
      <c r="DP829" t="str">
        <f>""</f>
        <v/>
      </c>
      <c r="DQ829" t="str">
        <f>""</f>
        <v/>
      </c>
      <c r="DR829" t="str">
        <f>""</f>
        <v/>
      </c>
      <c r="DS829" t="str">
        <f>""</f>
        <v/>
      </c>
      <c r="DT829" t="str">
        <f>""</f>
        <v/>
      </c>
      <c r="DU829" t="str">
        <f>""</f>
        <v/>
      </c>
    </row>
    <row r="830" spans="1:125" x14ac:dyDescent="0.25">
      <c r="A830" t="str">
        <f>$A$159</f>
        <v xml:space="preserve">    Subaru Corp</v>
      </c>
      <c r="B830" t="str">
        <f>$B$159</f>
        <v>7270 JP Equity</v>
      </c>
      <c r="C830" t="str">
        <f>$C$159</f>
        <v>RR903</v>
      </c>
      <c r="D830" t="str">
        <f>$D$159</f>
        <v>PX_TO_BOOK_RATIO</v>
      </c>
      <c r="E830" t="str">
        <f>$E$159</f>
        <v>Dynamic</v>
      </c>
      <c r="F830" t="str">
        <f ca="1">_xll.BDH($B$159,$C$159,$B$675,$B$676,CONCATENATE("Per=",$B$673),"Dts=H","Dir=H",CONCATENATE("Points=",$B$674),"Sort=R","Days=A","Fill=B",CONCATENATE("FX=", $B$672) )</f>
        <v>#N/A Connection</v>
      </c>
      <c r="BN830" t="str">
        <f>""</f>
        <v/>
      </c>
      <c r="BO830" t="str">
        <f>""</f>
        <v/>
      </c>
      <c r="BP830" t="str">
        <f>""</f>
        <v/>
      </c>
      <c r="BQ830" t="str">
        <f>""</f>
        <v/>
      </c>
      <c r="BR830" t="str">
        <f>""</f>
        <v/>
      </c>
      <c r="BS830" t="str">
        <f>""</f>
        <v/>
      </c>
      <c r="BT830" t="str">
        <f>""</f>
        <v/>
      </c>
      <c r="BU830" t="str">
        <f>""</f>
        <v/>
      </c>
      <c r="BV830" t="str">
        <f>""</f>
        <v/>
      </c>
      <c r="BW830" t="str">
        <f>""</f>
        <v/>
      </c>
      <c r="BX830" t="str">
        <f>""</f>
        <v/>
      </c>
      <c r="BY830" t="str">
        <f>""</f>
        <v/>
      </c>
      <c r="BZ830" t="str">
        <f>""</f>
        <v/>
      </c>
      <c r="CA830" t="str">
        <f>""</f>
        <v/>
      </c>
      <c r="CB830" t="str">
        <f>""</f>
        <v/>
      </c>
      <c r="CC830" t="str">
        <f>""</f>
        <v/>
      </c>
      <c r="CD830" t="str">
        <f>""</f>
        <v/>
      </c>
      <c r="CE830" t="str">
        <f>""</f>
        <v/>
      </c>
      <c r="CF830" t="str">
        <f>""</f>
        <v/>
      </c>
      <c r="CG830" t="str">
        <f>""</f>
        <v/>
      </c>
      <c r="CH830" t="str">
        <f>""</f>
        <v/>
      </c>
      <c r="CI830" t="str">
        <f>""</f>
        <v/>
      </c>
      <c r="CJ830" t="str">
        <f>""</f>
        <v/>
      </c>
      <c r="CK830" t="str">
        <f>""</f>
        <v/>
      </c>
      <c r="CL830" t="str">
        <f>""</f>
        <v/>
      </c>
      <c r="CM830" t="str">
        <f>""</f>
        <v/>
      </c>
      <c r="CN830" t="str">
        <f>""</f>
        <v/>
      </c>
      <c r="CO830" t="str">
        <f>""</f>
        <v/>
      </c>
      <c r="CP830" t="str">
        <f>""</f>
        <v/>
      </c>
      <c r="CQ830" t="str">
        <f>""</f>
        <v/>
      </c>
      <c r="CR830" t="str">
        <f>""</f>
        <v/>
      </c>
      <c r="CS830" t="str">
        <f>""</f>
        <v/>
      </c>
      <c r="CT830" t="str">
        <f>""</f>
        <v/>
      </c>
      <c r="CU830" t="str">
        <f>""</f>
        <v/>
      </c>
      <c r="CV830" t="str">
        <f>""</f>
        <v/>
      </c>
      <c r="CW830" t="str">
        <f>""</f>
        <v/>
      </c>
      <c r="CX830" t="str">
        <f>""</f>
        <v/>
      </c>
      <c r="CY830" t="str">
        <f>""</f>
        <v/>
      </c>
      <c r="CZ830" t="str">
        <f>""</f>
        <v/>
      </c>
      <c r="DA830" t="str">
        <f>""</f>
        <v/>
      </c>
      <c r="DB830" t="str">
        <f>""</f>
        <v/>
      </c>
      <c r="DC830" t="str">
        <f>""</f>
        <v/>
      </c>
      <c r="DD830" t="str">
        <f>""</f>
        <v/>
      </c>
      <c r="DE830" t="str">
        <f>""</f>
        <v/>
      </c>
      <c r="DF830" t="str">
        <f>""</f>
        <v/>
      </c>
      <c r="DG830" t="str">
        <f>""</f>
        <v/>
      </c>
      <c r="DH830" t="str">
        <f>""</f>
        <v/>
      </c>
      <c r="DI830" t="str">
        <f>""</f>
        <v/>
      </c>
      <c r="DJ830" t="str">
        <f>""</f>
        <v/>
      </c>
      <c r="DK830" t="str">
        <f>""</f>
        <v/>
      </c>
      <c r="DL830" t="str">
        <f>""</f>
        <v/>
      </c>
      <c r="DM830" t="str">
        <f>""</f>
        <v/>
      </c>
      <c r="DN830" t="str">
        <f>""</f>
        <v/>
      </c>
      <c r="DO830" t="str">
        <f>""</f>
        <v/>
      </c>
      <c r="DP830" t="str">
        <f>""</f>
        <v/>
      </c>
      <c r="DQ830" t="str">
        <f>""</f>
        <v/>
      </c>
      <c r="DR830" t="str">
        <f>""</f>
        <v/>
      </c>
      <c r="DS830" t="str">
        <f>""</f>
        <v/>
      </c>
      <c r="DT830" t="str">
        <f>""</f>
        <v/>
      </c>
      <c r="DU830" t="str">
        <f>""</f>
        <v/>
      </c>
    </row>
    <row r="831" spans="1:125" x14ac:dyDescent="0.25">
      <c r="A831" t="str">
        <f>$A$160</f>
        <v xml:space="preserve">    Suzuki Motor Corp</v>
      </c>
      <c r="B831" t="str">
        <f>$B$160</f>
        <v>7269 JP Equity</v>
      </c>
      <c r="C831" t="str">
        <f>$C$160</f>
        <v>RR903</v>
      </c>
      <c r="D831" t="str">
        <f>$D$160</f>
        <v>PX_TO_BOOK_RATIO</v>
      </c>
      <c r="E831" t="str">
        <f>$E$160</f>
        <v>Dynamic</v>
      </c>
      <c r="F831" t="str">
        <f ca="1">_xll.BDH($B$160,$C$160,$B$675,$B$676,CONCATENATE("Per=",$B$673),"Dts=H","Dir=H",CONCATENATE("Points=",$B$674),"Sort=R","Days=A","Fill=B",CONCATENATE("FX=", $B$672) )</f>
        <v>#N/A Connection</v>
      </c>
      <c r="BN831" t="str">
        <f>""</f>
        <v/>
      </c>
      <c r="BO831" t="str">
        <f>""</f>
        <v/>
      </c>
      <c r="BP831" t="str">
        <f>""</f>
        <v/>
      </c>
      <c r="BQ831" t="str">
        <f>""</f>
        <v/>
      </c>
      <c r="BR831" t="str">
        <f>""</f>
        <v/>
      </c>
      <c r="BS831" t="str">
        <f>""</f>
        <v/>
      </c>
      <c r="BT831" t="str">
        <f>""</f>
        <v/>
      </c>
      <c r="BU831" t="str">
        <f>""</f>
        <v/>
      </c>
      <c r="BV831" t="str">
        <f>""</f>
        <v/>
      </c>
      <c r="BW831" t="str">
        <f>""</f>
        <v/>
      </c>
      <c r="BX831" t="str">
        <f>""</f>
        <v/>
      </c>
      <c r="BY831" t="str">
        <f>""</f>
        <v/>
      </c>
      <c r="BZ831" t="str">
        <f>""</f>
        <v/>
      </c>
      <c r="CA831" t="str">
        <f>""</f>
        <v/>
      </c>
      <c r="CB831" t="str">
        <f>""</f>
        <v/>
      </c>
      <c r="CC831" t="str">
        <f>""</f>
        <v/>
      </c>
      <c r="CD831" t="str">
        <f>""</f>
        <v/>
      </c>
      <c r="CE831" t="str">
        <f>""</f>
        <v/>
      </c>
      <c r="CF831" t="str">
        <f>""</f>
        <v/>
      </c>
      <c r="CG831" t="str">
        <f>""</f>
        <v/>
      </c>
      <c r="CH831" t="str">
        <f>""</f>
        <v/>
      </c>
      <c r="CI831" t="str">
        <f>""</f>
        <v/>
      </c>
      <c r="CJ831" t="str">
        <f>""</f>
        <v/>
      </c>
      <c r="CK831" t="str">
        <f>""</f>
        <v/>
      </c>
      <c r="CL831" t="str">
        <f>""</f>
        <v/>
      </c>
      <c r="CM831" t="str">
        <f>""</f>
        <v/>
      </c>
      <c r="CN831" t="str">
        <f>""</f>
        <v/>
      </c>
      <c r="CO831" t="str">
        <f>""</f>
        <v/>
      </c>
      <c r="CP831" t="str">
        <f>""</f>
        <v/>
      </c>
      <c r="CQ831" t="str">
        <f>""</f>
        <v/>
      </c>
      <c r="CR831" t="str">
        <f>""</f>
        <v/>
      </c>
      <c r="CS831" t="str">
        <f>""</f>
        <v/>
      </c>
      <c r="CT831" t="str">
        <f>""</f>
        <v/>
      </c>
      <c r="CU831" t="str">
        <f>""</f>
        <v/>
      </c>
      <c r="CV831" t="str">
        <f>""</f>
        <v/>
      </c>
      <c r="CW831" t="str">
        <f>""</f>
        <v/>
      </c>
      <c r="CX831" t="str">
        <f>""</f>
        <v/>
      </c>
      <c r="CY831" t="str">
        <f>""</f>
        <v/>
      </c>
      <c r="CZ831" t="str">
        <f>""</f>
        <v/>
      </c>
      <c r="DA831" t="str">
        <f>""</f>
        <v/>
      </c>
      <c r="DB831" t="str">
        <f>""</f>
        <v/>
      </c>
      <c r="DC831" t="str">
        <f>""</f>
        <v/>
      </c>
      <c r="DD831" t="str">
        <f>""</f>
        <v/>
      </c>
      <c r="DE831" t="str">
        <f>""</f>
        <v/>
      </c>
      <c r="DF831" t="str">
        <f>""</f>
        <v/>
      </c>
      <c r="DG831" t="str">
        <f>""</f>
        <v/>
      </c>
      <c r="DH831" t="str">
        <f>""</f>
        <v/>
      </c>
      <c r="DI831" t="str">
        <f>""</f>
        <v/>
      </c>
      <c r="DJ831" t="str">
        <f>""</f>
        <v/>
      </c>
      <c r="DK831" t="str">
        <f>""</f>
        <v/>
      </c>
      <c r="DL831" t="str">
        <f>""</f>
        <v/>
      </c>
      <c r="DM831" t="str">
        <f>""</f>
        <v/>
      </c>
      <c r="DN831" t="str">
        <f>""</f>
        <v/>
      </c>
      <c r="DO831" t="str">
        <f>""</f>
        <v/>
      </c>
      <c r="DP831" t="str">
        <f>""</f>
        <v/>
      </c>
      <c r="DQ831" t="str">
        <f>""</f>
        <v/>
      </c>
      <c r="DR831" t="str">
        <f>""</f>
        <v/>
      </c>
      <c r="DS831" t="str">
        <f>""</f>
        <v/>
      </c>
      <c r="DT831" t="str">
        <f>""</f>
        <v/>
      </c>
      <c r="DU831" t="str">
        <f>""</f>
        <v/>
      </c>
    </row>
    <row r="832" spans="1:125" x14ac:dyDescent="0.25">
      <c r="A832" t="str">
        <f>$A$161</f>
        <v xml:space="preserve">    Tata Motors Ltd</v>
      </c>
      <c r="B832" t="str">
        <f>$B$161</f>
        <v>TTMT IN Equity</v>
      </c>
      <c r="C832" t="str">
        <f>$C$161</f>
        <v>RR903</v>
      </c>
      <c r="D832" t="str">
        <f>$D$161</f>
        <v>PX_TO_BOOK_RATIO</v>
      </c>
      <c r="E832" t="str">
        <f>$E$161</f>
        <v>Dynamic</v>
      </c>
      <c r="F832" t="str">
        <f ca="1">_xll.BDH($B$161,$C$161,$B$675,$B$676,CONCATENATE("Per=",$B$673),"Dts=H","Dir=H",CONCATENATE("Points=",$B$674),"Sort=R","Days=A","Fill=B",CONCATENATE("FX=", $B$672) )</f>
        <v>#N/A Connection</v>
      </c>
      <c r="BN832" t="str">
        <f>""</f>
        <v/>
      </c>
      <c r="BO832" t="str">
        <f>""</f>
        <v/>
      </c>
      <c r="BP832" t="str">
        <f>""</f>
        <v/>
      </c>
      <c r="BQ832" t="str">
        <f>""</f>
        <v/>
      </c>
      <c r="BR832" t="str">
        <f>""</f>
        <v/>
      </c>
      <c r="BS832" t="str">
        <f>""</f>
        <v/>
      </c>
      <c r="BT832" t="str">
        <f>""</f>
        <v/>
      </c>
      <c r="BU832" t="str">
        <f>""</f>
        <v/>
      </c>
      <c r="BV832" t="str">
        <f>""</f>
        <v/>
      </c>
      <c r="BW832" t="str">
        <f>""</f>
        <v/>
      </c>
      <c r="BX832" t="str">
        <f>""</f>
        <v/>
      </c>
      <c r="BY832" t="str">
        <f>""</f>
        <v/>
      </c>
      <c r="BZ832" t="str">
        <f>""</f>
        <v/>
      </c>
      <c r="CA832" t="str">
        <f>""</f>
        <v/>
      </c>
      <c r="CB832" t="str">
        <f>""</f>
        <v/>
      </c>
      <c r="CC832" t="str">
        <f>""</f>
        <v/>
      </c>
      <c r="CD832" t="str">
        <f>""</f>
        <v/>
      </c>
      <c r="CE832" t="str">
        <f>""</f>
        <v/>
      </c>
      <c r="CF832" t="str">
        <f>""</f>
        <v/>
      </c>
      <c r="CG832" t="str">
        <f>""</f>
        <v/>
      </c>
      <c r="CH832" t="str">
        <f>""</f>
        <v/>
      </c>
      <c r="CI832" t="str">
        <f>""</f>
        <v/>
      </c>
      <c r="CJ832" t="str">
        <f>""</f>
        <v/>
      </c>
      <c r="CK832" t="str">
        <f>""</f>
        <v/>
      </c>
      <c r="CL832" t="str">
        <f>""</f>
        <v/>
      </c>
      <c r="CM832" t="str">
        <f>""</f>
        <v/>
      </c>
      <c r="CN832" t="str">
        <f>""</f>
        <v/>
      </c>
      <c r="CO832" t="str">
        <f>""</f>
        <v/>
      </c>
      <c r="CP832" t="str">
        <f>""</f>
        <v/>
      </c>
      <c r="CQ832" t="str">
        <f>""</f>
        <v/>
      </c>
      <c r="CR832" t="str">
        <f>""</f>
        <v/>
      </c>
      <c r="CS832" t="str">
        <f>""</f>
        <v/>
      </c>
      <c r="CT832" t="str">
        <f>""</f>
        <v/>
      </c>
      <c r="CU832" t="str">
        <f>""</f>
        <v/>
      </c>
      <c r="CV832" t="str">
        <f>""</f>
        <v/>
      </c>
      <c r="CW832" t="str">
        <f>""</f>
        <v/>
      </c>
      <c r="CX832" t="str">
        <f>""</f>
        <v/>
      </c>
      <c r="CY832" t="str">
        <f>""</f>
        <v/>
      </c>
      <c r="CZ832" t="str">
        <f>""</f>
        <v/>
      </c>
      <c r="DA832" t="str">
        <f>""</f>
        <v/>
      </c>
      <c r="DB832" t="str">
        <f>""</f>
        <v/>
      </c>
      <c r="DC832" t="str">
        <f>""</f>
        <v/>
      </c>
      <c r="DD832" t="str">
        <f>""</f>
        <v/>
      </c>
      <c r="DE832" t="str">
        <f>""</f>
        <v/>
      </c>
      <c r="DF832" t="str">
        <f>""</f>
        <v/>
      </c>
      <c r="DG832" t="str">
        <f>""</f>
        <v/>
      </c>
      <c r="DH832" t="str">
        <f>""</f>
        <v/>
      </c>
      <c r="DI832" t="str">
        <f>""</f>
        <v/>
      </c>
      <c r="DJ832" t="str">
        <f>""</f>
        <v/>
      </c>
      <c r="DK832" t="str">
        <f>""</f>
        <v/>
      </c>
      <c r="DL832" t="str">
        <f>""</f>
        <v/>
      </c>
      <c r="DM832" t="str">
        <f>""</f>
        <v/>
      </c>
      <c r="DN832" t="str">
        <f>""</f>
        <v/>
      </c>
      <c r="DO832" t="str">
        <f>""</f>
        <v/>
      </c>
      <c r="DP832" t="str">
        <f>""</f>
        <v/>
      </c>
      <c r="DQ832" t="str">
        <f>""</f>
        <v/>
      </c>
      <c r="DR832" t="str">
        <f>""</f>
        <v/>
      </c>
      <c r="DS832" t="str">
        <f>""</f>
        <v/>
      </c>
      <c r="DT832" t="str">
        <f>""</f>
        <v/>
      </c>
      <c r="DU832" t="str">
        <f>""</f>
        <v/>
      </c>
    </row>
    <row r="833" spans="1:125" x14ac:dyDescent="0.25">
      <c r="A833" t="str">
        <f>$A$162</f>
        <v xml:space="preserve">    Tesla Inc</v>
      </c>
      <c r="B833" t="str">
        <f>$B$162</f>
        <v>TSLA US Equity</v>
      </c>
      <c r="C833" t="str">
        <f>$C$162</f>
        <v>RR903</v>
      </c>
      <c r="D833" t="str">
        <f>$D$162</f>
        <v>PX_TO_BOOK_RATIO</v>
      </c>
      <c r="E833" t="str">
        <f>$E$162</f>
        <v>Dynamic</v>
      </c>
      <c r="F833" t="str">
        <f ca="1">_xll.BDH($B$162,$C$162,$B$675,$B$676,CONCATENATE("Per=",$B$673),"Dts=H","Dir=H",CONCATENATE("Points=",$B$674),"Sort=R","Days=A","Fill=B",CONCATENATE("FX=", $B$672) )</f>
        <v>#N/A Connection</v>
      </c>
      <c r="BN833" t="str">
        <f>""</f>
        <v/>
      </c>
      <c r="BO833" t="str">
        <f>""</f>
        <v/>
      </c>
      <c r="BP833" t="str">
        <f>""</f>
        <v/>
      </c>
      <c r="BQ833" t="str">
        <f>""</f>
        <v/>
      </c>
      <c r="BR833" t="str">
        <f>""</f>
        <v/>
      </c>
      <c r="BS833" t="str">
        <f>""</f>
        <v/>
      </c>
      <c r="BT833" t="str">
        <f>""</f>
        <v/>
      </c>
      <c r="BU833" t="str">
        <f>""</f>
        <v/>
      </c>
      <c r="BV833" t="str">
        <f>""</f>
        <v/>
      </c>
      <c r="BW833" t="str">
        <f>""</f>
        <v/>
      </c>
      <c r="BX833" t="str">
        <f>""</f>
        <v/>
      </c>
      <c r="BY833" t="str">
        <f>""</f>
        <v/>
      </c>
      <c r="BZ833" t="str">
        <f>""</f>
        <v/>
      </c>
      <c r="CA833" t="str">
        <f>""</f>
        <v/>
      </c>
      <c r="CB833" t="str">
        <f>""</f>
        <v/>
      </c>
      <c r="CC833" t="str">
        <f>""</f>
        <v/>
      </c>
      <c r="CD833" t="str">
        <f>""</f>
        <v/>
      </c>
      <c r="CE833" t="str">
        <f>""</f>
        <v/>
      </c>
      <c r="CF833" t="str">
        <f>""</f>
        <v/>
      </c>
      <c r="CG833" t="str">
        <f>""</f>
        <v/>
      </c>
      <c r="CH833" t="str">
        <f>""</f>
        <v/>
      </c>
      <c r="CI833" t="str">
        <f>""</f>
        <v/>
      </c>
      <c r="CJ833" t="str">
        <f>""</f>
        <v/>
      </c>
      <c r="CK833" t="str">
        <f>""</f>
        <v/>
      </c>
      <c r="CL833" t="str">
        <f>""</f>
        <v/>
      </c>
      <c r="CM833" t="str">
        <f>""</f>
        <v/>
      </c>
      <c r="CN833" t="str">
        <f>""</f>
        <v/>
      </c>
      <c r="CO833" t="str">
        <f>""</f>
        <v/>
      </c>
      <c r="CP833" t="str">
        <f>""</f>
        <v/>
      </c>
      <c r="CQ833" t="str">
        <f>""</f>
        <v/>
      </c>
      <c r="CR833" t="str">
        <f>""</f>
        <v/>
      </c>
      <c r="CS833" t="str">
        <f>""</f>
        <v/>
      </c>
      <c r="CT833" t="str">
        <f>""</f>
        <v/>
      </c>
      <c r="CU833" t="str">
        <f>""</f>
        <v/>
      </c>
      <c r="CV833" t="str">
        <f>""</f>
        <v/>
      </c>
      <c r="CW833" t="str">
        <f>""</f>
        <v/>
      </c>
      <c r="CX833" t="str">
        <f>""</f>
        <v/>
      </c>
      <c r="CY833" t="str">
        <f>""</f>
        <v/>
      </c>
      <c r="CZ833" t="str">
        <f>""</f>
        <v/>
      </c>
      <c r="DA833" t="str">
        <f>""</f>
        <v/>
      </c>
      <c r="DB833" t="str">
        <f>""</f>
        <v/>
      </c>
      <c r="DC833" t="str">
        <f>""</f>
        <v/>
      </c>
      <c r="DD833" t="str">
        <f>""</f>
        <v/>
      </c>
      <c r="DE833" t="str">
        <f>""</f>
        <v/>
      </c>
      <c r="DF833" t="str">
        <f>""</f>
        <v/>
      </c>
      <c r="DG833" t="str">
        <f>""</f>
        <v/>
      </c>
      <c r="DH833" t="str">
        <f>""</f>
        <v/>
      </c>
      <c r="DI833" t="str">
        <f>""</f>
        <v/>
      </c>
      <c r="DJ833" t="str">
        <f>""</f>
        <v/>
      </c>
      <c r="DK833" t="str">
        <f>""</f>
        <v/>
      </c>
      <c r="DL833" t="str">
        <f>""</f>
        <v/>
      </c>
      <c r="DM833" t="str">
        <f>""</f>
        <v/>
      </c>
      <c r="DN833" t="str">
        <f>""</f>
        <v/>
      </c>
      <c r="DO833" t="str">
        <f>""</f>
        <v/>
      </c>
      <c r="DP833" t="str">
        <f>""</f>
        <v/>
      </c>
      <c r="DQ833" t="str">
        <f>""</f>
        <v/>
      </c>
      <c r="DR833" t="str">
        <f>""</f>
        <v/>
      </c>
      <c r="DS833" t="str">
        <f>""</f>
        <v/>
      </c>
      <c r="DT833" t="str">
        <f>""</f>
        <v/>
      </c>
      <c r="DU833" t="str">
        <f>""</f>
        <v/>
      </c>
    </row>
    <row r="834" spans="1:125" x14ac:dyDescent="0.25">
      <c r="A834" t="str">
        <f>$A$163</f>
        <v xml:space="preserve">    Tianjin Faw Xiali Automobile Co Ltd</v>
      </c>
      <c r="B834" t="str">
        <f>$B$163</f>
        <v>000927 CH Equity</v>
      </c>
      <c r="C834" t="str">
        <f>$C$163</f>
        <v>RR903</v>
      </c>
      <c r="D834" t="str">
        <f>$D$163</f>
        <v>PX_TO_BOOK_RATIO</v>
      </c>
      <c r="E834" t="str">
        <f>$E$163</f>
        <v>Dynamic</v>
      </c>
      <c r="F834" t="str">
        <f ca="1">_xll.BDH($B$163,$C$163,$B$675,$B$676,CONCATENATE("Per=",$B$673),"Dts=H","Dir=H",CONCATENATE("Points=",$B$674),"Sort=R","Days=A","Fill=B",CONCATENATE("FX=", $B$672) )</f>
        <v>#N/A Connection</v>
      </c>
      <c r="BN834" t="str">
        <f>""</f>
        <v/>
      </c>
      <c r="BO834" t="str">
        <f>""</f>
        <v/>
      </c>
      <c r="BP834" t="str">
        <f>""</f>
        <v/>
      </c>
      <c r="BQ834" t="str">
        <f>""</f>
        <v/>
      </c>
      <c r="BR834" t="str">
        <f>""</f>
        <v/>
      </c>
      <c r="BS834" t="str">
        <f>""</f>
        <v/>
      </c>
      <c r="BT834" t="str">
        <f>""</f>
        <v/>
      </c>
      <c r="BU834" t="str">
        <f>""</f>
        <v/>
      </c>
      <c r="BV834" t="str">
        <f>""</f>
        <v/>
      </c>
      <c r="BW834" t="str">
        <f>""</f>
        <v/>
      </c>
      <c r="BX834" t="str">
        <f>""</f>
        <v/>
      </c>
      <c r="BY834" t="str">
        <f>""</f>
        <v/>
      </c>
      <c r="BZ834" t="str">
        <f>""</f>
        <v/>
      </c>
      <c r="CA834" t="str">
        <f>""</f>
        <v/>
      </c>
      <c r="CB834" t="str">
        <f>""</f>
        <v/>
      </c>
      <c r="CC834" t="str">
        <f>""</f>
        <v/>
      </c>
      <c r="CD834" t="str">
        <f>""</f>
        <v/>
      </c>
      <c r="CE834" t="str">
        <f>""</f>
        <v/>
      </c>
      <c r="CF834" t="str">
        <f>""</f>
        <v/>
      </c>
      <c r="CG834" t="str">
        <f>""</f>
        <v/>
      </c>
      <c r="CH834" t="str">
        <f>""</f>
        <v/>
      </c>
      <c r="CI834" t="str">
        <f>""</f>
        <v/>
      </c>
      <c r="CJ834" t="str">
        <f>""</f>
        <v/>
      </c>
      <c r="CK834" t="str">
        <f>""</f>
        <v/>
      </c>
      <c r="CL834" t="str">
        <f>""</f>
        <v/>
      </c>
      <c r="CM834" t="str">
        <f>""</f>
        <v/>
      </c>
      <c r="CN834" t="str">
        <f>""</f>
        <v/>
      </c>
      <c r="CO834" t="str">
        <f>""</f>
        <v/>
      </c>
      <c r="CP834" t="str">
        <f>""</f>
        <v/>
      </c>
      <c r="CQ834" t="str">
        <f>""</f>
        <v/>
      </c>
      <c r="CR834" t="str">
        <f>""</f>
        <v/>
      </c>
      <c r="CS834" t="str">
        <f>""</f>
        <v/>
      </c>
      <c r="CT834" t="str">
        <f>""</f>
        <v/>
      </c>
      <c r="CU834" t="str">
        <f>""</f>
        <v/>
      </c>
      <c r="CV834" t="str">
        <f>""</f>
        <v/>
      </c>
      <c r="CW834" t="str">
        <f>""</f>
        <v/>
      </c>
      <c r="CX834" t="str">
        <f>""</f>
        <v/>
      </c>
      <c r="CY834" t="str">
        <f>""</f>
        <v/>
      </c>
      <c r="CZ834" t="str">
        <f>""</f>
        <v/>
      </c>
      <c r="DA834" t="str">
        <f>""</f>
        <v/>
      </c>
      <c r="DB834" t="str">
        <f>""</f>
        <v/>
      </c>
      <c r="DC834" t="str">
        <f>""</f>
        <v/>
      </c>
      <c r="DD834" t="str">
        <f>""</f>
        <v/>
      </c>
      <c r="DE834" t="str">
        <f>""</f>
        <v/>
      </c>
      <c r="DF834" t="str">
        <f>""</f>
        <v/>
      </c>
      <c r="DG834" t="str">
        <f>""</f>
        <v/>
      </c>
      <c r="DH834" t="str">
        <f>""</f>
        <v/>
      </c>
      <c r="DI834" t="str">
        <f>""</f>
        <v/>
      </c>
      <c r="DJ834" t="str">
        <f>""</f>
        <v/>
      </c>
      <c r="DK834" t="str">
        <f>""</f>
        <v/>
      </c>
      <c r="DL834" t="str">
        <f>""</f>
        <v/>
      </c>
      <c r="DM834" t="str">
        <f>""</f>
        <v/>
      </c>
      <c r="DN834" t="str">
        <f>""</f>
        <v/>
      </c>
      <c r="DO834" t="str">
        <f>""</f>
        <v/>
      </c>
      <c r="DP834" t="str">
        <f>""</f>
        <v/>
      </c>
      <c r="DQ834" t="str">
        <f>""</f>
        <v/>
      </c>
      <c r="DR834" t="str">
        <f>""</f>
        <v/>
      </c>
      <c r="DS834" t="str">
        <f>""</f>
        <v/>
      </c>
      <c r="DT834" t="str">
        <f>""</f>
        <v/>
      </c>
      <c r="DU834" t="str">
        <f>""</f>
        <v/>
      </c>
    </row>
    <row r="835" spans="1:125" x14ac:dyDescent="0.25">
      <c r="A835" t="str">
        <f>$A$164</f>
        <v xml:space="preserve">    Tofas Turk Otomobil Fabrikasi AS</v>
      </c>
      <c r="B835" t="str">
        <f>$B$164</f>
        <v>TOASOTRY EO Equity</v>
      </c>
      <c r="C835" t="str">
        <f>$C$164</f>
        <v>RR903</v>
      </c>
      <c r="D835" t="str">
        <f>$D$164</f>
        <v>PX_TO_BOOK_RATIO</v>
      </c>
      <c r="E835" t="str">
        <f>$E$164</f>
        <v>Dynamic</v>
      </c>
      <c r="F835" t="str">
        <f ca="1">_xll.BDH($B$164,$C$164,$B$675,$B$676,CONCATENATE("Per=",$B$673),"Dts=H","Dir=H",CONCATENATE("Points=",$B$674),"Sort=R","Days=A","Fill=B",CONCATENATE("FX=", $B$672) )</f>
        <v>#N/A Connection</v>
      </c>
      <c r="BN835" t="str">
        <f>""</f>
        <v/>
      </c>
      <c r="BO835" t="str">
        <f>""</f>
        <v/>
      </c>
      <c r="BP835" t="str">
        <f>""</f>
        <v/>
      </c>
      <c r="BQ835" t="str">
        <f>""</f>
        <v/>
      </c>
      <c r="BR835" t="str">
        <f>""</f>
        <v/>
      </c>
      <c r="BS835" t="str">
        <f>""</f>
        <v/>
      </c>
      <c r="BT835" t="str">
        <f>""</f>
        <v/>
      </c>
      <c r="BU835" t="str">
        <f>""</f>
        <v/>
      </c>
      <c r="BV835" t="str">
        <f>""</f>
        <v/>
      </c>
      <c r="BW835" t="str">
        <f>""</f>
        <v/>
      </c>
      <c r="BX835" t="str">
        <f>""</f>
        <v/>
      </c>
      <c r="BY835" t="str">
        <f>""</f>
        <v/>
      </c>
      <c r="BZ835" t="str">
        <f>""</f>
        <v/>
      </c>
      <c r="CA835" t="str">
        <f>""</f>
        <v/>
      </c>
      <c r="CB835" t="str">
        <f>""</f>
        <v/>
      </c>
      <c r="CC835" t="str">
        <f>""</f>
        <v/>
      </c>
      <c r="CD835" t="str">
        <f>""</f>
        <v/>
      </c>
      <c r="CE835" t="str">
        <f>""</f>
        <v/>
      </c>
      <c r="CF835" t="str">
        <f>""</f>
        <v/>
      </c>
      <c r="CG835" t="str">
        <f>""</f>
        <v/>
      </c>
      <c r="CH835" t="str">
        <f>""</f>
        <v/>
      </c>
      <c r="CI835" t="str">
        <f>""</f>
        <v/>
      </c>
      <c r="CJ835" t="str">
        <f>""</f>
        <v/>
      </c>
      <c r="CK835" t="str">
        <f>""</f>
        <v/>
      </c>
      <c r="CL835" t="str">
        <f>""</f>
        <v/>
      </c>
      <c r="CM835" t="str">
        <f>""</f>
        <v/>
      </c>
      <c r="CN835" t="str">
        <f>""</f>
        <v/>
      </c>
      <c r="CO835" t="str">
        <f>""</f>
        <v/>
      </c>
      <c r="CP835" t="str">
        <f>""</f>
        <v/>
      </c>
      <c r="CQ835" t="str">
        <f>""</f>
        <v/>
      </c>
      <c r="CR835" t="str">
        <f>""</f>
        <v/>
      </c>
      <c r="CS835" t="str">
        <f>""</f>
        <v/>
      </c>
      <c r="CT835" t="str">
        <f>""</f>
        <v/>
      </c>
      <c r="CU835" t="str">
        <f>""</f>
        <v/>
      </c>
      <c r="CV835" t="str">
        <f>""</f>
        <v/>
      </c>
      <c r="CW835" t="str">
        <f>""</f>
        <v/>
      </c>
      <c r="CX835" t="str">
        <f>""</f>
        <v/>
      </c>
      <c r="CY835" t="str">
        <f>""</f>
        <v/>
      </c>
      <c r="CZ835" t="str">
        <f>""</f>
        <v/>
      </c>
      <c r="DA835" t="str">
        <f>""</f>
        <v/>
      </c>
      <c r="DB835" t="str">
        <f>""</f>
        <v/>
      </c>
      <c r="DC835" t="str">
        <f>""</f>
        <v/>
      </c>
      <c r="DD835" t="str">
        <f>""</f>
        <v/>
      </c>
      <c r="DE835" t="str">
        <f>""</f>
        <v/>
      </c>
      <c r="DF835" t="str">
        <f>""</f>
        <v/>
      </c>
      <c r="DG835" t="str">
        <f>""</f>
        <v/>
      </c>
      <c r="DH835" t="str">
        <f>""</f>
        <v/>
      </c>
      <c r="DI835" t="str">
        <f>""</f>
        <v/>
      </c>
      <c r="DJ835" t="str">
        <f>""</f>
        <v/>
      </c>
      <c r="DK835" t="str">
        <f>""</f>
        <v/>
      </c>
      <c r="DL835" t="str">
        <f>""</f>
        <v/>
      </c>
      <c r="DM835" t="str">
        <f>""</f>
        <v/>
      </c>
      <c r="DN835" t="str">
        <f>""</f>
        <v/>
      </c>
      <c r="DO835" t="str">
        <f>""</f>
        <v/>
      </c>
      <c r="DP835" t="str">
        <f>""</f>
        <v/>
      </c>
      <c r="DQ835" t="str">
        <f>""</f>
        <v/>
      </c>
      <c r="DR835" t="str">
        <f>""</f>
        <v/>
      </c>
      <c r="DS835" t="str">
        <f>""</f>
        <v/>
      </c>
      <c r="DT835" t="str">
        <f>""</f>
        <v/>
      </c>
      <c r="DU835" t="str">
        <f>""</f>
        <v/>
      </c>
    </row>
    <row r="836" spans="1:125" x14ac:dyDescent="0.25">
      <c r="A836" t="str">
        <f>$A$165</f>
        <v xml:space="preserve">    Toyota Motor Corp</v>
      </c>
      <c r="B836" t="str">
        <f>$B$165</f>
        <v>7203 JP Equity</v>
      </c>
      <c r="C836" t="str">
        <f>$C$165</f>
        <v>RR903</v>
      </c>
      <c r="D836" t="str">
        <f>$D$165</f>
        <v>PX_TO_BOOK_RATIO</v>
      </c>
      <c r="E836" t="str">
        <f>$E$165</f>
        <v>Dynamic</v>
      </c>
      <c r="F836" t="str">
        <f ca="1">_xll.BDH($B$165,$C$165,$B$675,$B$676,CONCATENATE("Per=",$B$673),"Dts=H","Dir=H",CONCATENATE("Points=",$B$674),"Sort=R","Days=A","Fill=B",CONCATENATE("FX=", $B$672) )</f>
        <v>#N/A Connection</v>
      </c>
      <c r="BN836" t="str">
        <f>""</f>
        <v/>
      </c>
      <c r="BO836" t="str">
        <f>""</f>
        <v/>
      </c>
      <c r="BP836" t="str">
        <f>""</f>
        <v/>
      </c>
      <c r="BQ836" t="str">
        <f>""</f>
        <v/>
      </c>
      <c r="BR836" t="str">
        <f>""</f>
        <v/>
      </c>
      <c r="BS836" t="str">
        <f>""</f>
        <v/>
      </c>
      <c r="BT836" t="str">
        <f>""</f>
        <v/>
      </c>
      <c r="BU836" t="str">
        <f>""</f>
        <v/>
      </c>
      <c r="BV836" t="str">
        <f>""</f>
        <v/>
      </c>
      <c r="BW836" t="str">
        <f>""</f>
        <v/>
      </c>
      <c r="BX836" t="str">
        <f>""</f>
        <v/>
      </c>
      <c r="BY836" t="str">
        <f>""</f>
        <v/>
      </c>
      <c r="BZ836" t="str">
        <f>""</f>
        <v/>
      </c>
      <c r="CA836" t="str">
        <f>""</f>
        <v/>
      </c>
      <c r="CB836" t="str">
        <f>""</f>
        <v/>
      </c>
      <c r="CC836" t="str">
        <f>""</f>
        <v/>
      </c>
      <c r="CD836" t="str">
        <f>""</f>
        <v/>
      </c>
      <c r="CE836" t="str">
        <f>""</f>
        <v/>
      </c>
      <c r="CF836" t="str">
        <f>""</f>
        <v/>
      </c>
      <c r="CG836" t="str">
        <f>""</f>
        <v/>
      </c>
      <c r="CH836" t="str">
        <f>""</f>
        <v/>
      </c>
      <c r="CI836" t="str">
        <f>""</f>
        <v/>
      </c>
      <c r="CJ836" t="str">
        <f>""</f>
        <v/>
      </c>
      <c r="CK836" t="str">
        <f>""</f>
        <v/>
      </c>
      <c r="CL836" t="str">
        <f>""</f>
        <v/>
      </c>
      <c r="CM836" t="str">
        <f>""</f>
        <v/>
      </c>
      <c r="CN836" t="str">
        <f>""</f>
        <v/>
      </c>
      <c r="CO836" t="str">
        <f>""</f>
        <v/>
      </c>
      <c r="CP836" t="str">
        <f>""</f>
        <v/>
      </c>
      <c r="CQ836" t="str">
        <f>""</f>
        <v/>
      </c>
      <c r="CR836" t="str">
        <f>""</f>
        <v/>
      </c>
      <c r="CS836" t="str">
        <f>""</f>
        <v/>
      </c>
      <c r="CT836" t="str">
        <f>""</f>
        <v/>
      </c>
      <c r="CU836" t="str">
        <f>""</f>
        <v/>
      </c>
      <c r="CV836" t="str">
        <f>""</f>
        <v/>
      </c>
      <c r="CW836" t="str">
        <f>""</f>
        <v/>
      </c>
      <c r="CX836" t="str">
        <f>""</f>
        <v/>
      </c>
      <c r="CY836" t="str">
        <f>""</f>
        <v/>
      </c>
      <c r="CZ836" t="str">
        <f>""</f>
        <v/>
      </c>
      <c r="DA836" t="str">
        <f>""</f>
        <v/>
      </c>
      <c r="DB836" t="str">
        <f>""</f>
        <v/>
      </c>
      <c r="DC836" t="str">
        <f>""</f>
        <v/>
      </c>
      <c r="DD836" t="str">
        <f>""</f>
        <v/>
      </c>
      <c r="DE836" t="str">
        <f>""</f>
        <v/>
      </c>
      <c r="DF836" t="str">
        <f>""</f>
        <v/>
      </c>
      <c r="DG836" t="str">
        <f>""</f>
        <v/>
      </c>
      <c r="DH836" t="str">
        <f>""</f>
        <v/>
      </c>
      <c r="DI836" t="str">
        <f>""</f>
        <v/>
      </c>
      <c r="DJ836" t="str">
        <f>""</f>
        <v/>
      </c>
      <c r="DK836" t="str">
        <f>""</f>
        <v/>
      </c>
      <c r="DL836" t="str">
        <f>""</f>
        <v/>
      </c>
      <c r="DM836" t="str">
        <f>""</f>
        <v/>
      </c>
      <c r="DN836" t="str">
        <f>""</f>
        <v/>
      </c>
      <c r="DO836" t="str">
        <f>""</f>
        <v/>
      </c>
      <c r="DP836" t="str">
        <f>""</f>
        <v/>
      </c>
      <c r="DQ836" t="str">
        <f>""</f>
        <v/>
      </c>
      <c r="DR836" t="str">
        <f>""</f>
        <v/>
      </c>
      <c r="DS836" t="str">
        <f>""</f>
        <v/>
      </c>
      <c r="DT836" t="str">
        <f>""</f>
        <v/>
      </c>
      <c r="DU836" t="str">
        <f>""</f>
        <v/>
      </c>
    </row>
    <row r="837" spans="1:125" x14ac:dyDescent="0.25">
      <c r="A837" t="str">
        <f>$A$166</f>
        <v xml:space="preserve">    Volkswagen AG</v>
      </c>
      <c r="B837" t="str">
        <f>$B$166</f>
        <v>VOW GR Equity</v>
      </c>
      <c r="C837" t="str">
        <f>$C$166</f>
        <v>RR903</v>
      </c>
      <c r="D837" t="str">
        <f>$D$166</f>
        <v>PX_TO_BOOK_RATIO</v>
      </c>
      <c r="E837" t="str">
        <f>$E$166</f>
        <v>Dynamic</v>
      </c>
      <c r="F837" t="str">
        <f ca="1">_xll.BDH($B$166,$C$166,$B$675,$B$676,CONCATENATE("Per=",$B$673),"Dts=H","Dir=H",CONCATENATE("Points=",$B$674),"Sort=R","Days=A","Fill=B",CONCATENATE("FX=", $B$672) )</f>
        <v>#N/A Connection</v>
      </c>
      <c r="BN837" t="str">
        <f>""</f>
        <v/>
      </c>
      <c r="BO837" t="str">
        <f>""</f>
        <v/>
      </c>
      <c r="BP837" t="str">
        <f>""</f>
        <v/>
      </c>
      <c r="BQ837" t="str">
        <f>""</f>
        <v/>
      </c>
      <c r="BR837" t="str">
        <f>""</f>
        <v/>
      </c>
      <c r="BS837" t="str">
        <f>""</f>
        <v/>
      </c>
      <c r="BT837" t="str">
        <f>""</f>
        <v/>
      </c>
      <c r="BU837" t="str">
        <f>""</f>
        <v/>
      </c>
      <c r="BV837" t="str">
        <f>""</f>
        <v/>
      </c>
      <c r="BW837" t="str">
        <f>""</f>
        <v/>
      </c>
      <c r="BX837" t="str">
        <f>""</f>
        <v/>
      </c>
      <c r="BY837" t="str">
        <f>""</f>
        <v/>
      </c>
      <c r="BZ837" t="str">
        <f>""</f>
        <v/>
      </c>
      <c r="CA837" t="str">
        <f>""</f>
        <v/>
      </c>
      <c r="CB837" t="str">
        <f>""</f>
        <v/>
      </c>
      <c r="CC837" t="str">
        <f>""</f>
        <v/>
      </c>
      <c r="CD837" t="str">
        <f>""</f>
        <v/>
      </c>
      <c r="CE837" t="str">
        <f>""</f>
        <v/>
      </c>
      <c r="CF837" t="str">
        <f>""</f>
        <v/>
      </c>
      <c r="CG837" t="str">
        <f>""</f>
        <v/>
      </c>
      <c r="CH837" t="str">
        <f>""</f>
        <v/>
      </c>
      <c r="CI837" t="str">
        <f>""</f>
        <v/>
      </c>
      <c r="CJ837" t="str">
        <f>""</f>
        <v/>
      </c>
      <c r="CK837" t="str">
        <f>""</f>
        <v/>
      </c>
      <c r="CL837" t="str">
        <f>""</f>
        <v/>
      </c>
      <c r="CM837" t="str">
        <f>""</f>
        <v/>
      </c>
      <c r="CN837" t="str">
        <f>""</f>
        <v/>
      </c>
      <c r="CO837" t="str">
        <f>""</f>
        <v/>
      </c>
      <c r="CP837" t="str">
        <f>""</f>
        <v/>
      </c>
      <c r="CQ837" t="str">
        <f>""</f>
        <v/>
      </c>
      <c r="CR837" t="str">
        <f>""</f>
        <v/>
      </c>
      <c r="CS837" t="str">
        <f>""</f>
        <v/>
      </c>
      <c r="CT837" t="str">
        <f>""</f>
        <v/>
      </c>
      <c r="CU837" t="str">
        <f>""</f>
        <v/>
      </c>
      <c r="CV837" t="str">
        <f>""</f>
        <v/>
      </c>
      <c r="CW837" t="str">
        <f>""</f>
        <v/>
      </c>
      <c r="CX837" t="str">
        <f>""</f>
        <v/>
      </c>
      <c r="CY837" t="str">
        <f>""</f>
        <v/>
      </c>
      <c r="CZ837" t="str">
        <f>""</f>
        <v/>
      </c>
      <c r="DA837" t="str">
        <f>""</f>
        <v/>
      </c>
      <c r="DB837" t="str">
        <f>""</f>
        <v/>
      </c>
      <c r="DC837" t="str">
        <f>""</f>
        <v/>
      </c>
      <c r="DD837" t="str">
        <f>""</f>
        <v/>
      </c>
      <c r="DE837" t="str">
        <f>""</f>
        <v/>
      </c>
      <c r="DF837" t="str">
        <f>""</f>
        <v/>
      </c>
      <c r="DG837" t="str">
        <f>""</f>
        <v/>
      </c>
      <c r="DH837" t="str">
        <f>""</f>
        <v/>
      </c>
      <c r="DI837" t="str">
        <f>""</f>
        <v/>
      </c>
      <c r="DJ837" t="str">
        <f>""</f>
        <v/>
      </c>
      <c r="DK837" t="str">
        <f>""</f>
        <v/>
      </c>
      <c r="DL837" t="str">
        <f>""</f>
        <v/>
      </c>
      <c r="DM837" t="str">
        <f>""</f>
        <v/>
      </c>
      <c r="DN837" t="str">
        <f>""</f>
        <v/>
      </c>
      <c r="DO837" t="str">
        <f>""</f>
        <v/>
      </c>
      <c r="DP837" t="str">
        <f>""</f>
        <v/>
      </c>
      <c r="DQ837" t="str">
        <f>""</f>
        <v/>
      </c>
      <c r="DR837" t="str">
        <f>""</f>
        <v/>
      </c>
      <c r="DS837" t="str">
        <f>""</f>
        <v/>
      </c>
      <c r="DT837" t="str">
        <f>""</f>
        <v/>
      </c>
      <c r="DU837" t="str">
        <f>""</f>
        <v/>
      </c>
    </row>
    <row r="838" spans="1:125" x14ac:dyDescent="0.25">
      <c r="A838" t="str">
        <f>$A$167</f>
        <v xml:space="preserve">    Yulon Motor Co Ltd</v>
      </c>
      <c r="B838" t="str">
        <f>$B$167</f>
        <v>2201 TT Equity</v>
      </c>
      <c r="C838" t="str">
        <f>$C$167</f>
        <v>RR903</v>
      </c>
      <c r="D838" t="str">
        <f>$D$167</f>
        <v>PX_TO_BOOK_RATIO</v>
      </c>
      <c r="E838" t="str">
        <f>$E$167</f>
        <v>Dynamic</v>
      </c>
      <c r="F838" t="str">
        <f ca="1">_xll.BDH($B$167,$C$167,$B$675,$B$676,CONCATENATE("Per=",$B$673),"Dts=H","Dir=H",CONCATENATE("Points=",$B$674),"Sort=R","Days=A","Fill=B",CONCATENATE("FX=", $B$672) )</f>
        <v>#N/A Connection</v>
      </c>
      <c r="BN838" t="str">
        <f>""</f>
        <v/>
      </c>
      <c r="BO838" t="str">
        <f>""</f>
        <v/>
      </c>
      <c r="BP838" t="str">
        <f>""</f>
        <v/>
      </c>
      <c r="BQ838" t="str">
        <f>""</f>
        <v/>
      </c>
      <c r="BR838" t="str">
        <f>""</f>
        <v/>
      </c>
      <c r="BS838" t="str">
        <f>""</f>
        <v/>
      </c>
      <c r="BT838" t="str">
        <f>""</f>
        <v/>
      </c>
      <c r="BU838" t="str">
        <f>""</f>
        <v/>
      </c>
      <c r="BV838" t="str">
        <f>""</f>
        <v/>
      </c>
      <c r="BW838" t="str">
        <f>""</f>
        <v/>
      </c>
      <c r="BX838" t="str">
        <f>""</f>
        <v/>
      </c>
      <c r="BY838" t="str">
        <f>""</f>
        <v/>
      </c>
      <c r="BZ838" t="str">
        <f>""</f>
        <v/>
      </c>
      <c r="CA838" t="str">
        <f>""</f>
        <v/>
      </c>
      <c r="CB838" t="str">
        <f>""</f>
        <v/>
      </c>
      <c r="CC838" t="str">
        <f>""</f>
        <v/>
      </c>
      <c r="CD838" t="str">
        <f>""</f>
        <v/>
      </c>
      <c r="CE838" t="str">
        <f>""</f>
        <v/>
      </c>
      <c r="CF838" t="str">
        <f>""</f>
        <v/>
      </c>
      <c r="CG838" t="str">
        <f>""</f>
        <v/>
      </c>
      <c r="CH838" t="str">
        <f>""</f>
        <v/>
      </c>
      <c r="CI838" t="str">
        <f>""</f>
        <v/>
      </c>
      <c r="CJ838" t="str">
        <f>""</f>
        <v/>
      </c>
      <c r="CK838" t="str">
        <f>""</f>
        <v/>
      </c>
      <c r="CL838" t="str">
        <f>""</f>
        <v/>
      </c>
      <c r="CM838" t="str">
        <f>""</f>
        <v/>
      </c>
      <c r="CN838" t="str">
        <f>""</f>
        <v/>
      </c>
      <c r="CO838" t="str">
        <f>""</f>
        <v/>
      </c>
      <c r="CP838" t="str">
        <f>""</f>
        <v/>
      </c>
      <c r="CQ838" t="str">
        <f>""</f>
        <v/>
      </c>
      <c r="CR838" t="str">
        <f>""</f>
        <v/>
      </c>
      <c r="CS838" t="str">
        <f>""</f>
        <v/>
      </c>
      <c r="CT838" t="str">
        <f>""</f>
        <v/>
      </c>
      <c r="CU838" t="str">
        <f>""</f>
        <v/>
      </c>
      <c r="CV838" t="str">
        <f>""</f>
        <v/>
      </c>
      <c r="CW838" t="str">
        <f>""</f>
        <v/>
      </c>
      <c r="CX838" t="str">
        <f>""</f>
        <v/>
      </c>
      <c r="CY838" t="str">
        <f>""</f>
        <v/>
      </c>
      <c r="CZ838" t="str">
        <f>""</f>
        <v/>
      </c>
      <c r="DA838" t="str">
        <f>""</f>
        <v/>
      </c>
      <c r="DB838" t="str">
        <f>""</f>
        <v/>
      </c>
      <c r="DC838" t="str">
        <f>""</f>
        <v/>
      </c>
      <c r="DD838" t="str">
        <f>""</f>
        <v/>
      </c>
      <c r="DE838" t="str">
        <f>""</f>
        <v/>
      </c>
      <c r="DF838" t="str">
        <f>""</f>
        <v/>
      </c>
      <c r="DG838" t="str">
        <f>""</f>
        <v/>
      </c>
      <c r="DH838" t="str">
        <f>""</f>
        <v/>
      </c>
      <c r="DI838" t="str">
        <f>""</f>
        <v/>
      </c>
      <c r="DJ838" t="str">
        <f>""</f>
        <v/>
      </c>
      <c r="DK838" t="str">
        <f>""</f>
        <v/>
      </c>
      <c r="DL838" t="str">
        <f>""</f>
        <v/>
      </c>
      <c r="DM838" t="str">
        <f>""</f>
        <v/>
      </c>
      <c r="DN838" t="str">
        <f>""</f>
        <v/>
      </c>
      <c r="DO838" t="str">
        <f>""</f>
        <v/>
      </c>
      <c r="DP838" t="str">
        <f>""</f>
        <v/>
      </c>
      <c r="DQ838" t="str">
        <f>""</f>
        <v/>
      </c>
      <c r="DR838" t="str">
        <f>""</f>
        <v/>
      </c>
      <c r="DS838" t="str">
        <f>""</f>
        <v/>
      </c>
      <c r="DT838" t="str">
        <f>""</f>
        <v/>
      </c>
      <c r="DU838" t="str">
        <f>""</f>
        <v/>
      </c>
    </row>
    <row r="839" spans="1:125" x14ac:dyDescent="0.25">
      <c r="A839" t="str">
        <f>$A$169</f>
        <v xml:space="preserve">    AUDI AG</v>
      </c>
      <c r="B839" t="str">
        <f>$B$169</f>
        <v>NSU GR Equity</v>
      </c>
      <c r="C839" t="str">
        <f>$C$169</f>
        <v>RX077</v>
      </c>
      <c r="D839" t="str">
        <f>$D$169</f>
        <v>PX_TO_TANG_BOOK_VAL_PER_SH</v>
      </c>
      <c r="E839" t="str">
        <f>$E$169</f>
        <v>Dynamic</v>
      </c>
      <c r="F839" t="str">
        <f ca="1">_xll.BDH($B$169,$C$169,$B$675,$B$676,CONCATENATE("Per=",$B$673),"Dts=H","Dir=H",CONCATENATE("Points=",$B$674),"Sort=R","Days=A","Fill=B",CONCATENATE("FX=", $B$672) )</f>
        <v>#N/A Connection</v>
      </c>
      <c r="BN839" t="str">
        <f>""</f>
        <v/>
      </c>
      <c r="BO839" t="str">
        <f>""</f>
        <v/>
      </c>
      <c r="BP839" t="str">
        <f>""</f>
        <v/>
      </c>
      <c r="BQ839" t="str">
        <f>""</f>
        <v/>
      </c>
      <c r="BR839" t="str">
        <f>""</f>
        <v/>
      </c>
      <c r="BS839" t="str">
        <f>""</f>
        <v/>
      </c>
      <c r="BT839" t="str">
        <f>""</f>
        <v/>
      </c>
      <c r="BU839" t="str">
        <f>""</f>
        <v/>
      </c>
      <c r="BV839" t="str">
        <f>""</f>
        <v/>
      </c>
      <c r="BW839" t="str">
        <f>""</f>
        <v/>
      </c>
      <c r="BX839" t="str">
        <f>""</f>
        <v/>
      </c>
      <c r="BY839" t="str">
        <f>""</f>
        <v/>
      </c>
      <c r="BZ839" t="str">
        <f>""</f>
        <v/>
      </c>
      <c r="CA839" t="str">
        <f>""</f>
        <v/>
      </c>
      <c r="CB839" t="str">
        <f>""</f>
        <v/>
      </c>
      <c r="CC839" t="str">
        <f>""</f>
        <v/>
      </c>
      <c r="CD839" t="str">
        <f>""</f>
        <v/>
      </c>
      <c r="CE839" t="str">
        <f>""</f>
        <v/>
      </c>
      <c r="CF839" t="str">
        <f>""</f>
        <v/>
      </c>
      <c r="CG839" t="str">
        <f>""</f>
        <v/>
      </c>
      <c r="CH839" t="str">
        <f>""</f>
        <v/>
      </c>
      <c r="CI839" t="str">
        <f>""</f>
        <v/>
      </c>
      <c r="CJ839" t="str">
        <f>""</f>
        <v/>
      </c>
      <c r="CK839" t="str">
        <f>""</f>
        <v/>
      </c>
      <c r="CL839" t="str">
        <f>""</f>
        <v/>
      </c>
      <c r="CM839" t="str">
        <f>""</f>
        <v/>
      </c>
      <c r="CN839" t="str">
        <f>""</f>
        <v/>
      </c>
      <c r="CO839" t="str">
        <f>""</f>
        <v/>
      </c>
      <c r="CP839" t="str">
        <f>""</f>
        <v/>
      </c>
      <c r="CQ839" t="str">
        <f>""</f>
        <v/>
      </c>
      <c r="CR839" t="str">
        <f>""</f>
        <v/>
      </c>
      <c r="CS839" t="str">
        <f>""</f>
        <v/>
      </c>
      <c r="CT839" t="str">
        <f>""</f>
        <v/>
      </c>
      <c r="CU839" t="str">
        <f>""</f>
        <v/>
      </c>
      <c r="CV839" t="str">
        <f>""</f>
        <v/>
      </c>
      <c r="CW839" t="str">
        <f>""</f>
        <v/>
      </c>
      <c r="CX839" t="str">
        <f>""</f>
        <v/>
      </c>
      <c r="CY839" t="str">
        <f>""</f>
        <v/>
      </c>
      <c r="CZ839" t="str">
        <f>""</f>
        <v/>
      </c>
      <c r="DA839" t="str">
        <f>""</f>
        <v/>
      </c>
      <c r="DB839" t="str">
        <f>""</f>
        <v/>
      </c>
      <c r="DC839" t="str">
        <f>""</f>
        <v/>
      </c>
      <c r="DD839" t="str">
        <f>""</f>
        <v/>
      </c>
      <c r="DE839" t="str">
        <f>""</f>
        <v/>
      </c>
      <c r="DF839" t="str">
        <f>""</f>
        <v/>
      </c>
      <c r="DG839" t="str">
        <f>""</f>
        <v/>
      </c>
      <c r="DH839" t="str">
        <f>""</f>
        <v/>
      </c>
      <c r="DI839" t="str">
        <f>""</f>
        <v/>
      </c>
      <c r="DJ839" t="str">
        <f>""</f>
        <v/>
      </c>
      <c r="DK839" t="str">
        <f>""</f>
        <v/>
      </c>
      <c r="DL839" t="str">
        <f>""</f>
        <v/>
      </c>
      <c r="DM839" t="str">
        <f>""</f>
        <v/>
      </c>
      <c r="DN839" t="str">
        <f>""</f>
        <v/>
      </c>
      <c r="DO839" t="str">
        <f>""</f>
        <v/>
      </c>
      <c r="DP839" t="str">
        <f>""</f>
        <v/>
      </c>
      <c r="DQ839" t="str">
        <f>""</f>
        <v/>
      </c>
      <c r="DR839" t="str">
        <f>""</f>
        <v/>
      </c>
      <c r="DS839" t="str">
        <f>""</f>
        <v/>
      </c>
      <c r="DT839" t="str">
        <f>""</f>
        <v/>
      </c>
      <c r="DU839" t="str">
        <f>""</f>
        <v/>
      </c>
    </row>
    <row r="840" spans="1:125" x14ac:dyDescent="0.25">
      <c r="A840" t="str">
        <f>$A$170</f>
        <v xml:space="preserve">    Avtovaz PJSC</v>
      </c>
      <c r="B840" t="str">
        <f>$B$170</f>
        <v>AVAZ RM Equity</v>
      </c>
      <c r="C840" t="str">
        <f>$C$170</f>
        <v>RX077</v>
      </c>
      <c r="D840" t="str">
        <f>$D$170</f>
        <v>PX_TO_TANG_BOOK_VAL_PER_SH</v>
      </c>
      <c r="E840" t="str">
        <f>$E$170</f>
        <v>Dynamic</v>
      </c>
      <c r="F840" t="str">
        <f ca="1">_xll.BDH($B$170,$C$170,$B$675,$B$676,CONCATENATE("Per=",$B$673),"Dts=H","Dir=H",CONCATENATE("Points=",$B$674),"Sort=R","Days=A","Fill=B",CONCATENATE("FX=", $B$672) )</f>
        <v>#N/A Connection</v>
      </c>
      <c r="BN840" t="str">
        <f>""</f>
        <v/>
      </c>
      <c r="BO840" t="str">
        <f>""</f>
        <v/>
      </c>
      <c r="BP840" t="str">
        <f>""</f>
        <v/>
      </c>
      <c r="BQ840" t="str">
        <f>""</f>
        <v/>
      </c>
      <c r="BR840" t="str">
        <f>""</f>
        <v/>
      </c>
      <c r="BS840" t="str">
        <f>""</f>
        <v/>
      </c>
      <c r="BT840" t="str">
        <f>""</f>
        <v/>
      </c>
      <c r="BU840" t="str">
        <f>""</f>
        <v/>
      </c>
      <c r="BV840" t="str">
        <f>""</f>
        <v/>
      </c>
      <c r="BW840" t="str">
        <f>""</f>
        <v/>
      </c>
      <c r="BX840" t="str">
        <f>""</f>
        <v/>
      </c>
      <c r="BY840" t="str">
        <f>""</f>
        <v/>
      </c>
      <c r="BZ840" t="str">
        <f>""</f>
        <v/>
      </c>
      <c r="CA840" t="str">
        <f>""</f>
        <v/>
      </c>
      <c r="CB840" t="str">
        <f>""</f>
        <v/>
      </c>
      <c r="CC840" t="str">
        <f>""</f>
        <v/>
      </c>
      <c r="CD840" t="str">
        <f>""</f>
        <v/>
      </c>
      <c r="CE840" t="str">
        <f>""</f>
        <v/>
      </c>
      <c r="CF840" t="str">
        <f>""</f>
        <v/>
      </c>
      <c r="CG840" t="str">
        <f>""</f>
        <v/>
      </c>
      <c r="CH840" t="str">
        <f>""</f>
        <v/>
      </c>
      <c r="CI840" t="str">
        <f>""</f>
        <v/>
      </c>
      <c r="CJ840" t="str">
        <f>""</f>
        <v/>
      </c>
      <c r="CK840" t="str">
        <f>""</f>
        <v/>
      </c>
      <c r="CL840" t="str">
        <f>""</f>
        <v/>
      </c>
      <c r="CM840" t="str">
        <f>""</f>
        <v/>
      </c>
      <c r="CN840" t="str">
        <f>""</f>
        <v/>
      </c>
      <c r="CO840" t="str">
        <f>""</f>
        <v/>
      </c>
      <c r="CP840" t="str">
        <f>""</f>
        <v/>
      </c>
      <c r="CQ840" t="str">
        <f>""</f>
        <v/>
      </c>
      <c r="CR840" t="str">
        <f>""</f>
        <v/>
      </c>
      <c r="CS840" t="str">
        <f>""</f>
        <v/>
      </c>
      <c r="CT840" t="str">
        <f>""</f>
        <v/>
      </c>
      <c r="CU840" t="str">
        <f>""</f>
        <v/>
      </c>
      <c r="CV840" t="str">
        <f>""</f>
        <v/>
      </c>
      <c r="CW840" t="str">
        <f>""</f>
        <v/>
      </c>
      <c r="CX840" t="str">
        <f>""</f>
        <v/>
      </c>
      <c r="CY840" t="str">
        <f>""</f>
        <v/>
      </c>
      <c r="CZ840" t="str">
        <f>""</f>
        <v/>
      </c>
      <c r="DA840" t="str">
        <f>""</f>
        <v/>
      </c>
      <c r="DB840" t="str">
        <f>""</f>
        <v/>
      </c>
      <c r="DC840" t="str">
        <f>""</f>
        <v/>
      </c>
      <c r="DD840" t="str">
        <f>""</f>
        <v/>
      </c>
      <c r="DE840" t="str">
        <f>""</f>
        <v/>
      </c>
      <c r="DF840" t="str">
        <f>""</f>
        <v/>
      </c>
      <c r="DG840" t="str">
        <f>""</f>
        <v/>
      </c>
      <c r="DH840" t="str">
        <f>""</f>
        <v/>
      </c>
      <c r="DI840" t="str">
        <f>""</f>
        <v/>
      </c>
      <c r="DJ840" t="str">
        <f>""</f>
        <v/>
      </c>
      <c r="DK840" t="str">
        <f>""</f>
        <v/>
      </c>
      <c r="DL840" t="str">
        <f>""</f>
        <v/>
      </c>
      <c r="DM840" t="str">
        <f>""</f>
        <v/>
      </c>
      <c r="DN840" t="str">
        <f>""</f>
        <v/>
      </c>
      <c r="DO840" t="str">
        <f>""</f>
        <v/>
      </c>
      <c r="DP840" t="str">
        <f>""</f>
        <v/>
      </c>
      <c r="DQ840" t="str">
        <f>""</f>
        <v/>
      </c>
      <c r="DR840" t="str">
        <f>""</f>
        <v/>
      </c>
      <c r="DS840" t="str">
        <f>""</f>
        <v/>
      </c>
      <c r="DT840" t="str">
        <f>""</f>
        <v/>
      </c>
      <c r="DU840" t="str">
        <f>""</f>
        <v/>
      </c>
    </row>
    <row r="841" spans="1:125" x14ac:dyDescent="0.25">
      <c r="A841" t="str">
        <f>$A$171</f>
        <v xml:space="preserve">    Bayerische Motoren Werke AG</v>
      </c>
      <c r="B841" t="str">
        <f>$B$171</f>
        <v>BMW GR Equity</v>
      </c>
      <c r="C841" t="str">
        <f>$C$171</f>
        <v>RX077</v>
      </c>
      <c r="D841" t="str">
        <f>$D$171</f>
        <v>PX_TO_TANG_BOOK_VAL_PER_SH</v>
      </c>
      <c r="E841" t="str">
        <f>$E$171</f>
        <v>Dynamic</v>
      </c>
      <c r="F841" t="str">
        <f ca="1">_xll.BDH($B$171,$C$171,$B$675,$B$676,CONCATENATE("Per=",$B$673),"Dts=H","Dir=H",CONCATENATE("Points=",$B$674),"Sort=R","Days=A","Fill=B",CONCATENATE("FX=", $B$672) )</f>
        <v>#N/A Connection</v>
      </c>
      <c r="BN841" t="str">
        <f>""</f>
        <v/>
      </c>
      <c r="BO841" t="str">
        <f>""</f>
        <v/>
      </c>
      <c r="BP841" t="str">
        <f>""</f>
        <v/>
      </c>
      <c r="BQ841" t="str">
        <f>""</f>
        <v/>
      </c>
      <c r="BR841" t="str">
        <f>""</f>
        <v/>
      </c>
      <c r="BS841" t="str">
        <f>""</f>
        <v/>
      </c>
      <c r="BT841" t="str">
        <f>""</f>
        <v/>
      </c>
      <c r="BU841" t="str">
        <f>""</f>
        <v/>
      </c>
      <c r="BV841" t="str">
        <f>""</f>
        <v/>
      </c>
      <c r="BW841" t="str">
        <f>""</f>
        <v/>
      </c>
      <c r="BX841" t="str">
        <f>""</f>
        <v/>
      </c>
      <c r="BY841" t="str">
        <f>""</f>
        <v/>
      </c>
      <c r="BZ841" t="str">
        <f>""</f>
        <v/>
      </c>
      <c r="CA841" t="str">
        <f>""</f>
        <v/>
      </c>
      <c r="CB841" t="str">
        <f>""</f>
        <v/>
      </c>
      <c r="CC841" t="str">
        <f>""</f>
        <v/>
      </c>
      <c r="CD841" t="str">
        <f>""</f>
        <v/>
      </c>
      <c r="CE841" t="str">
        <f>""</f>
        <v/>
      </c>
      <c r="CF841" t="str">
        <f>""</f>
        <v/>
      </c>
      <c r="CG841" t="str">
        <f>""</f>
        <v/>
      </c>
      <c r="CH841" t="str">
        <f>""</f>
        <v/>
      </c>
      <c r="CI841" t="str">
        <f>""</f>
        <v/>
      </c>
      <c r="CJ841" t="str">
        <f>""</f>
        <v/>
      </c>
      <c r="CK841" t="str">
        <f>""</f>
        <v/>
      </c>
      <c r="CL841" t="str">
        <f>""</f>
        <v/>
      </c>
      <c r="CM841" t="str">
        <f>""</f>
        <v/>
      </c>
      <c r="CN841" t="str">
        <f>""</f>
        <v/>
      </c>
      <c r="CO841" t="str">
        <f>""</f>
        <v/>
      </c>
      <c r="CP841" t="str">
        <f>""</f>
        <v/>
      </c>
      <c r="CQ841" t="str">
        <f>""</f>
        <v/>
      </c>
      <c r="CR841" t="str">
        <f>""</f>
        <v/>
      </c>
      <c r="CS841" t="str">
        <f>""</f>
        <v/>
      </c>
      <c r="CT841" t="str">
        <f>""</f>
        <v/>
      </c>
      <c r="CU841" t="str">
        <f>""</f>
        <v/>
      </c>
      <c r="CV841" t="str">
        <f>""</f>
        <v/>
      </c>
      <c r="CW841" t="str">
        <f>""</f>
        <v/>
      </c>
      <c r="CX841" t="str">
        <f>""</f>
        <v/>
      </c>
      <c r="CY841" t="str">
        <f>""</f>
        <v/>
      </c>
      <c r="CZ841" t="str">
        <f>""</f>
        <v/>
      </c>
      <c r="DA841" t="str">
        <f>""</f>
        <v/>
      </c>
      <c r="DB841" t="str">
        <f>""</f>
        <v/>
      </c>
      <c r="DC841" t="str">
        <f>""</f>
        <v/>
      </c>
      <c r="DD841" t="str">
        <f>""</f>
        <v/>
      </c>
      <c r="DE841" t="str">
        <f>""</f>
        <v/>
      </c>
      <c r="DF841" t="str">
        <f>""</f>
        <v/>
      </c>
      <c r="DG841" t="str">
        <f>""</f>
        <v/>
      </c>
      <c r="DH841" t="str">
        <f>""</f>
        <v/>
      </c>
      <c r="DI841" t="str">
        <f>""</f>
        <v/>
      </c>
      <c r="DJ841" t="str">
        <f>""</f>
        <v/>
      </c>
      <c r="DK841" t="str">
        <f>""</f>
        <v/>
      </c>
      <c r="DL841" t="str">
        <f>""</f>
        <v/>
      </c>
      <c r="DM841" t="str">
        <f>""</f>
        <v/>
      </c>
      <c r="DN841" t="str">
        <f>""</f>
        <v/>
      </c>
      <c r="DO841" t="str">
        <f>""</f>
        <v/>
      </c>
      <c r="DP841" t="str">
        <f>""</f>
        <v/>
      </c>
      <c r="DQ841" t="str">
        <f>""</f>
        <v/>
      </c>
      <c r="DR841" t="str">
        <f>""</f>
        <v/>
      </c>
      <c r="DS841" t="str">
        <f>""</f>
        <v/>
      </c>
      <c r="DT841" t="str">
        <f>""</f>
        <v/>
      </c>
      <c r="DU841" t="str">
        <f>""</f>
        <v/>
      </c>
    </row>
    <row r="842" spans="1:125" x14ac:dyDescent="0.25">
      <c r="A842" t="str">
        <f>$A$172</f>
        <v xml:space="preserve">    Brilliance China Automotive Holdings Ltd</v>
      </c>
      <c r="B842" t="str">
        <f>$B$172</f>
        <v>1114 HK Equity</v>
      </c>
      <c r="C842" t="str">
        <f>$C$172</f>
        <v>RX077</v>
      </c>
      <c r="D842" t="str">
        <f>$D$172</f>
        <v>PX_TO_TANG_BOOK_VAL_PER_SH</v>
      </c>
      <c r="E842" t="str">
        <f>$E$172</f>
        <v>Dynamic</v>
      </c>
      <c r="F842" t="str">
        <f ca="1">_xll.BDH($B$172,$C$172,$B$675,$B$676,CONCATENATE("Per=",$B$673),"Dts=H","Dir=H",CONCATENATE("Points=",$B$674),"Sort=R","Days=A","Fill=B",CONCATENATE("FX=", $B$672) )</f>
        <v>#N/A Connection</v>
      </c>
      <c r="BN842" t="str">
        <f>""</f>
        <v/>
      </c>
      <c r="BO842" t="str">
        <f>""</f>
        <v/>
      </c>
      <c r="BP842" t="str">
        <f>""</f>
        <v/>
      </c>
      <c r="BQ842" t="str">
        <f>""</f>
        <v/>
      </c>
      <c r="BR842" t="str">
        <f>""</f>
        <v/>
      </c>
      <c r="BS842" t="str">
        <f>""</f>
        <v/>
      </c>
      <c r="BT842" t="str">
        <f>""</f>
        <v/>
      </c>
      <c r="BU842" t="str">
        <f>""</f>
        <v/>
      </c>
      <c r="BV842" t="str">
        <f>""</f>
        <v/>
      </c>
      <c r="BW842" t="str">
        <f>""</f>
        <v/>
      </c>
      <c r="BX842" t="str">
        <f>""</f>
        <v/>
      </c>
      <c r="BY842" t="str">
        <f>""</f>
        <v/>
      </c>
      <c r="BZ842" t="str">
        <f>""</f>
        <v/>
      </c>
      <c r="CA842" t="str">
        <f>""</f>
        <v/>
      </c>
      <c r="CB842" t="str">
        <f>""</f>
        <v/>
      </c>
      <c r="CC842" t="str">
        <f>""</f>
        <v/>
      </c>
      <c r="CD842" t="str">
        <f>""</f>
        <v/>
      </c>
      <c r="CE842" t="str">
        <f>""</f>
        <v/>
      </c>
      <c r="CF842" t="str">
        <f>""</f>
        <v/>
      </c>
      <c r="CG842" t="str">
        <f>""</f>
        <v/>
      </c>
      <c r="CH842" t="str">
        <f>""</f>
        <v/>
      </c>
      <c r="CI842" t="str">
        <f>""</f>
        <v/>
      </c>
      <c r="CJ842" t="str">
        <f>""</f>
        <v/>
      </c>
      <c r="CK842" t="str">
        <f>""</f>
        <v/>
      </c>
      <c r="CL842" t="str">
        <f>""</f>
        <v/>
      </c>
      <c r="CM842" t="str">
        <f>""</f>
        <v/>
      </c>
      <c r="CN842" t="str">
        <f>""</f>
        <v/>
      </c>
      <c r="CO842" t="str">
        <f>""</f>
        <v/>
      </c>
      <c r="CP842" t="str">
        <f>""</f>
        <v/>
      </c>
      <c r="CQ842" t="str">
        <f>""</f>
        <v/>
      </c>
      <c r="CR842" t="str">
        <f>""</f>
        <v/>
      </c>
      <c r="CS842" t="str">
        <f>""</f>
        <v/>
      </c>
      <c r="CT842" t="str">
        <f>""</f>
        <v/>
      </c>
      <c r="CU842" t="str">
        <f>""</f>
        <v/>
      </c>
      <c r="CV842" t="str">
        <f>""</f>
        <v/>
      </c>
      <c r="CW842" t="str">
        <f>""</f>
        <v/>
      </c>
      <c r="CX842" t="str">
        <f>""</f>
        <v/>
      </c>
      <c r="CY842" t="str">
        <f>""</f>
        <v/>
      </c>
      <c r="CZ842" t="str">
        <f>""</f>
        <v/>
      </c>
      <c r="DA842" t="str">
        <f>""</f>
        <v/>
      </c>
      <c r="DB842" t="str">
        <f>""</f>
        <v/>
      </c>
      <c r="DC842" t="str">
        <f>""</f>
        <v/>
      </c>
      <c r="DD842" t="str">
        <f>""</f>
        <v/>
      </c>
      <c r="DE842" t="str">
        <f>""</f>
        <v/>
      </c>
      <c r="DF842" t="str">
        <f>""</f>
        <v/>
      </c>
      <c r="DG842" t="str">
        <f>""</f>
        <v/>
      </c>
      <c r="DH842" t="str">
        <f>""</f>
        <v/>
      </c>
      <c r="DI842" t="str">
        <f>""</f>
        <v/>
      </c>
      <c r="DJ842" t="str">
        <f>""</f>
        <v/>
      </c>
      <c r="DK842" t="str">
        <f>""</f>
        <v/>
      </c>
      <c r="DL842" t="str">
        <f>""</f>
        <v/>
      </c>
      <c r="DM842" t="str">
        <f>""</f>
        <v/>
      </c>
      <c r="DN842" t="str">
        <f>""</f>
        <v/>
      </c>
      <c r="DO842" t="str">
        <f>""</f>
        <v/>
      </c>
      <c r="DP842" t="str">
        <f>""</f>
        <v/>
      </c>
      <c r="DQ842" t="str">
        <f>""</f>
        <v/>
      </c>
      <c r="DR842" t="str">
        <f>""</f>
        <v/>
      </c>
      <c r="DS842" t="str">
        <f>""</f>
        <v/>
      </c>
      <c r="DT842" t="str">
        <f>""</f>
        <v/>
      </c>
      <c r="DU842" t="str">
        <f>""</f>
        <v/>
      </c>
    </row>
    <row r="843" spans="1:125" x14ac:dyDescent="0.25">
      <c r="A843" t="str">
        <f>$A$173</f>
        <v xml:space="preserve">    BYD Co Ltd</v>
      </c>
      <c r="B843" t="str">
        <f>$B$173</f>
        <v>1211 HK Equity</v>
      </c>
      <c r="C843" t="str">
        <f>$C$173</f>
        <v>RX077</v>
      </c>
      <c r="D843" t="str">
        <f>$D$173</f>
        <v>PX_TO_TANG_BOOK_VAL_PER_SH</v>
      </c>
      <c r="E843" t="str">
        <f>$E$173</f>
        <v>Dynamic</v>
      </c>
      <c r="F843" t="str">
        <f ca="1">_xll.BDH($B$173,$C$173,$B$675,$B$676,CONCATENATE("Per=",$B$673),"Dts=H","Dir=H",CONCATENATE("Points=",$B$674),"Sort=R","Days=A","Fill=B",CONCATENATE("FX=", $B$672) )</f>
        <v>#N/A Connection</v>
      </c>
      <c r="BN843" t="str">
        <f>""</f>
        <v/>
      </c>
      <c r="BO843" t="str">
        <f>""</f>
        <v/>
      </c>
      <c r="BP843" t="str">
        <f>""</f>
        <v/>
      </c>
      <c r="BQ843" t="str">
        <f>""</f>
        <v/>
      </c>
      <c r="BR843" t="str">
        <f>""</f>
        <v/>
      </c>
      <c r="BS843" t="str">
        <f>""</f>
        <v/>
      </c>
      <c r="BT843" t="str">
        <f>""</f>
        <v/>
      </c>
      <c r="BU843" t="str">
        <f>""</f>
        <v/>
      </c>
      <c r="BV843" t="str">
        <f>""</f>
        <v/>
      </c>
      <c r="BW843" t="str">
        <f>""</f>
        <v/>
      </c>
      <c r="BX843" t="str">
        <f>""</f>
        <v/>
      </c>
      <c r="BY843" t="str">
        <f>""</f>
        <v/>
      </c>
      <c r="BZ843" t="str">
        <f>""</f>
        <v/>
      </c>
      <c r="CA843" t="str">
        <f>""</f>
        <v/>
      </c>
      <c r="CB843" t="str">
        <f>""</f>
        <v/>
      </c>
      <c r="CC843" t="str">
        <f>""</f>
        <v/>
      </c>
      <c r="CD843" t="str">
        <f>""</f>
        <v/>
      </c>
      <c r="CE843" t="str">
        <f>""</f>
        <v/>
      </c>
      <c r="CF843" t="str">
        <f>""</f>
        <v/>
      </c>
      <c r="CG843" t="str">
        <f>""</f>
        <v/>
      </c>
      <c r="CH843" t="str">
        <f>""</f>
        <v/>
      </c>
      <c r="CI843" t="str">
        <f>""</f>
        <v/>
      </c>
      <c r="CJ843" t="str">
        <f>""</f>
        <v/>
      </c>
      <c r="CK843" t="str">
        <f>""</f>
        <v/>
      </c>
      <c r="CL843" t="str">
        <f>""</f>
        <v/>
      </c>
      <c r="CM843" t="str">
        <f>""</f>
        <v/>
      </c>
      <c r="CN843" t="str">
        <f>""</f>
        <v/>
      </c>
      <c r="CO843" t="str">
        <f>""</f>
        <v/>
      </c>
      <c r="CP843" t="str">
        <f>""</f>
        <v/>
      </c>
      <c r="CQ843" t="str">
        <f>""</f>
        <v/>
      </c>
      <c r="CR843" t="str">
        <f>""</f>
        <v/>
      </c>
      <c r="CS843" t="str">
        <f>""</f>
        <v/>
      </c>
      <c r="CT843" t="str">
        <f>""</f>
        <v/>
      </c>
      <c r="CU843" t="str">
        <f>""</f>
        <v/>
      </c>
      <c r="CV843" t="str">
        <f>""</f>
        <v/>
      </c>
      <c r="CW843" t="str">
        <f>""</f>
        <v/>
      </c>
      <c r="CX843" t="str">
        <f>""</f>
        <v/>
      </c>
      <c r="CY843" t="str">
        <f>""</f>
        <v/>
      </c>
      <c r="CZ843" t="str">
        <f>""</f>
        <v/>
      </c>
      <c r="DA843" t="str">
        <f>""</f>
        <v/>
      </c>
      <c r="DB843" t="str">
        <f>""</f>
        <v/>
      </c>
      <c r="DC843" t="str">
        <f>""</f>
        <v/>
      </c>
      <c r="DD843" t="str">
        <f>""</f>
        <v/>
      </c>
      <c r="DE843" t="str">
        <f>""</f>
        <v/>
      </c>
      <c r="DF843" t="str">
        <f>""</f>
        <v/>
      </c>
      <c r="DG843" t="str">
        <f>""</f>
        <v/>
      </c>
      <c r="DH843" t="str">
        <f>""</f>
        <v/>
      </c>
      <c r="DI843" t="str">
        <f>""</f>
        <v/>
      </c>
      <c r="DJ843" t="str">
        <f>""</f>
        <v/>
      </c>
      <c r="DK843" t="str">
        <f>""</f>
        <v/>
      </c>
      <c r="DL843" t="str">
        <f>""</f>
        <v/>
      </c>
      <c r="DM843" t="str">
        <f>""</f>
        <v/>
      </c>
      <c r="DN843" t="str">
        <f>""</f>
        <v/>
      </c>
      <c r="DO843" t="str">
        <f>""</f>
        <v/>
      </c>
      <c r="DP843" t="str">
        <f>""</f>
        <v/>
      </c>
      <c r="DQ843" t="str">
        <f>""</f>
        <v/>
      </c>
      <c r="DR843" t="str">
        <f>""</f>
        <v/>
      </c>
      <c r="DS843" t="str">
        <f>""</f>
        <v/>
      </c>
      <c r="DT843" t="str">
        <f>""</f>
        <v/>
      </c>
      <c r="DU843" t="str">
        <f>""</f>
        <v/>
      </c>
    </row>
    <row r="844" spans="1:125" x14ac:dyDescent="0.25">
      <c r="A844" t="str">
        <f>$A$174</f>
        <v xml:space="preserve">    Chongqing Changan Automobile Co Ltd</v>
      </c>
      <c r="B844" t="str">
        <f>$B$174</f>
        <v>200625 CH Equity</v>
      </c>
      <c r="C844" t="str">
        <f>$C$174</f>
        <v>RX077</v>
      </c>
      <c r="D844" t="str">
        <f>$D$174</f>
        <v>PX_TO_TANG_BOOK_VAL_PER_SH</v>
      </c>
      <c r="E844" t="str">
        <f>$E$174</f>
        <v>Dynamic</v>
      </c>
      <c r="F844" t="str">
        <f ca="1">_xll.BDH($B$174,$C$174,$B$675,$B$676,CONCATENATE("Per=",$B$673),"Dts=H","Dir=H",CONCATENATE("Points=",$B$674),"Sort=R","Days=A","Fill=B",CONCATENATE("FX=", $B$672) )</f>
        <v>#N/A Connection</v>
      </c>
      <c r="BN844" t="str">
        <f>""</f>
        <v/>
      </c>
      <c r="BO844" t="str">
        <f>""</f>
        <v/>
      </c>
      <c r="BP844" t="str">
        <f>""</f>
        <v/>
      </c>
      <c r="BQ844" t="str">
        <f>""</f>
        <v/>
      </c>
      <c r="BR844" t="str">
        <f>""</f>
        <v/>
      </c>
      <c r="BS844" t="str">
        <f>""</f>
        <v/>
      </c>
      <c r="BT844" t="str">
        <f>""</f>
        <v/>
      </c>
      <c r="BU844" t="str">
        <f>""</f>
        <v/>
      </c>
      <c r="BV844" t="str">
        <f>""</f>
        <v/>
      </c>
      <c r="BW844" t="str">
        <f>""</f>
        <v/>
      </c>
      <c r="BX844" t="str">
        <f>""</f>
        <v/>
      </c>
      <c r="BY844" t="str">
        <f>""</f>
        <v/>
      </c>
      <c r="BZ844" t="str">
        <f>""</f>
        <v/>
      </c>
      <c r="CA844" t="str">
        <f>""</f>
        <v/>
      </c>
      <c r="CB844" t="str">
        <f>""</f>
        <v/>
      </c>
      <c r="CC844" t="str">
        <f>""</f>
        <v/>
      </c>
      <c r="CD844" t="str">
        <f>""</f>
        <v/>
      </c>
      <c r="CE844" t="str">
        <f>""</f>
        <v/>
      </c>
      <c r="CF844" t="str">
        <f>""</f>
        <v/>
      </c>
      <c r="CG844" t="str">
        <f>""</f>
        <v/>
      </c>
      <c r="CH844" t="str">
        <f>""</f>
        <v/>
      </c>
      <c r="CI844" t="str">
        <f>""</f>
        <v/>
      </c>
      <c r="CJ844" t="str">
        <f>""</f>
        <v/>
      </c>
      <c r="CK844" t="str">
        <f>""</f>
        <v/>
      </c>
      <c r="CL844" t="str">
        <f>""</f>
        <v/>
      </c>
      <c r="CM844" t="str">
        <f>""</f>
        <v/>
      </c>
      <c r="CN844" t="str">
        <f>""</f>
        <v/>
      </c>
      <c r="CO844" t="str">
        <f>""</f>
        <v/>
      </c>
      <c r="CP844" t="str">
        <f>""</f>
        <v/>
      </c>
      <c r="CQ844" t="str">
        <f>""</f>
        <v/>
      </c>
      <c r="CR844" t="str">
        <f>""</f>
        <v/>
      </c>
      <c r="CS844" t="str">
        <f>""</f>
        <v/>
      </c>
      <c r="CT844" t="str">
        <f>""</f>
        <v/>
      </c>
      <c r="CU844" t="str">
        <f>""</f>
        <v/>
      </c>
      <c r="CV844" t="str">
        <f>""</f>
        <v/>
      </c>
      <c r="CW844" t="str">
        <f>""</f>
        <v/>
      </c>
      <c r="CX844" t="str">
        <f>""</f>
        <v/>
      </c>
      <c r="CY844" t="str">
        <f>""</f>
        <v/>
      </c>
      <c r="CZ844" t="str">
        <f>""</f>
        <v/>
      </c>
      <c r="DA844" t="str">
        <f>""</f>
        <v/>
      </c>
      <c r="DB844" t="str">
        <f>""</f>
        <v/>
      </c>
      <c r="DC844" t="str">
        <f>""</f>
        <v/>
      </c>
      <c r="DD844" t="str">
        <f>""</f>
        <v/>
      </c>
      <c r="DE844" t="str">
        <f>""</f>
        <v/>
      </c>
      <c r="DF844" t="str">
        <f>""</f>
        <v/>
      </c>
      <c r="DG844" t="str">
        <f>""</f>
        <v/>
      </c>
      <c r="DH844" t="str">
        <f>""</f>
        <v/>
      </c>
      <c r="DI844" t="str">
        <f>""</f>
        <v/>
      </c>
      <c r="DJ844" t="str">
        <f>""</f>
        <v/>
      </c>
      <c r="DK844" t="str">
        <f>""</f>
        <v/>
      </c>
      <c r="DL844" t="str">
        <f>""</f>
        <v/>
      </c>
      <c r="DM844" t="str">
        <f>""</f>
        <v/>
      </c>
      <c r="DN844" t="str">
        <f>""</f>
        <v/>
      </c>
      <c r="DO844" t="str">
        <f>""</f>
        <v/>
      </c>
      <c r="DP844" t="str">
        <f>""</f>
        <v/>
      </c>
      <c r="DQ844" t="str">
        <f>""</f>
        <v/>
      </c>
      <c r="DR844" t="str">
        <f>""</f>
        <v/>
      </c>
      <c r="DS844" t="str">
        <f>""</f>
        <v/>
      </c>
      <c r="DT844" t="str">
        <f>""</f>
        <v/>
      </c>
      <c r="DU844" t="str">
        <f>""</f>
        <v/>
      </c>
    </row>
    <row r="845" spans="1:125" x14ac:dyDescent="0.25">
      <c r="A845" t="str">
        <f>$A$175</f>
        <v xml:space="preserve">    Daihatsu Motor Co Ltd</v>
      </c>
      <c r="B845" t="str">
        <f>$B$175</f>
        <v>7262 JP Equity</v>
      </c>
      <c r="C845" t="str">
        <f>$C$175</f>
        <v>RX077</v>
      </c>
      <c r="D845" t="str">
        <f>$D$175</f>
        <v>PX_TO_TANG_BOOK_VAL_PER_SH</v>
      </c>
      <c r="E845" t="str">
        <f>$E$175</f>
        <v>Dynamic</v>
      </c>
      <c r="F845" t="str">
        <f ca="1">_xll.BDH($B$175,$C$175,$B$675,$B$676,CONCATENATE("Per=",$B$673),"Dts=H","Dir=H",CONCATENATE("Points=",$B$674),"Sort=R","Days=A","Fill=B",CONCATENATE("FX=", $B$672) )</f>
        <v>#N/A Connection</v>
      </c>
      <c r="BN845" t="str">
        <f>""</f>
        <v/>
      </c>
      <c r="BO845" t="str">
        <f>""</f>
        <v/>
      </c>
      <c r="BP845" t="str">
        <f>""</f>
        <v/>
      </c>
      <c r="BQ845" t="str">
        <f>""</f>
        <v/>
      </c>
      <c r="BR845" t="str">
        <f>""</f>
        <v/>
      </c>
      <c r="BS845" t="str">
        <f>""</f>
        <v/>
      </c>
      <c r="BT845" t="str">
        <f>""</f>
        <v/>
      </c>
      <c r="BU845" t="str">
        <f>""</f>
        <v/>
      </c>
      <c r="BV845" t="str">
        <f>""</f>
        <v/>
      </c>
      <c r="BW845" t="str">
        <f>""</f>
        <v/>
      </c>
      <c r="BX845" t="str">
        <f>""</f>
        <v/>
      </c>
      <c r="BY845" t="str">
        <f>""</f>
        <v/>
      </c>
      <c r="BZ845" t="str">
        <f>""</f>
        <v/>
      </c>
      <c r="CA845" t="str">
        <f>""</f>
        <v/>
      </c>
      <c r="CB845" t="str">
        <f>""</f>
        <v/>
      </c>
      <c r="CC845" t="str">
        <f>""</f>
        <v/>
      </c>
      <c r="CD845" t="str">
        <f>""</f>
        <v/>
      </c>
      <c r="CE845" t="str">
        <f>""</f>
        <v/>
      </c>
      <c r="CF845" t="str">
        <f>""</f>
        <v/>
      </c>
      <c r="CG845" t="str">
        <f>""</f>
        <v/>
      </c>
      <c r="CH845" t="str">
        <f>""</f>
        <v/>
      </c>
      <c r="CI845" t="str">
        <f>""</f>
        <v/>
      </c>
      <c r="CJ845" t="str">
        <f>""</f>
        <v/>
      </c>
      <c r="CK845" t="str">
        <f>""</f>
        <v/>
      </c>
      <c r="CL845" t="str">
        <f>""</f>
        <v/>
      </c>
      <c r="CM845" t="str">
        <f>""</f>
        <v/>
      </c>
      <c r="CN845" t="str">
        <f>""</f>
        <v/>
      </c>
      <c r="CO845" t="str">
        <f>""</f>
        <v/>
      </c>
      <c r="CP845" t="str">
        <f>""</f>
        <v/>
      </c>
      <c r="CQ845" t="str">
        <f>""</f>
        <v/>
      </c>
      <c r="CR845" t="str">
        <f>""</f>
        <v/>
      </c>
      <c r="CS845" t="str">
        <f>""</f>
        <v/>
      </c>
      <c r="CT845" t="str">
        <f>""</f>
        <v/>
      </c>
      <c r="CU845" t="str">
        <f>""</f>
        <v/>
      </c>
      <c r="CV845" t="str">
        <f>""</f>
        <v/>
      </c>
      <c r="CW845" t="str">
        <f>""</f>
        <v/>
      </c>
      <c r="CX845" t="str">
        <f>""</f>
        <v/>
      </c>
      <c r="CY845" t="str">
        <f>""</f>
        <v/>
      </c>
      <c r="CZ845" t="str">
        <f>""</f>
        <v/>
      </c>
      <c r="DA845" t="str">
        <f>""</f>
        <v/>
      </c>
      <c r="DB845" t="str">
        <f>""</f>
        <v/>
      </c>
      <c r="DC845" t="str">
        <f>""</f>
        <v/>
      </c>
      <c r="DD845" t="str">
        <f>""</f>
        <v/>
      </c>
      <c r="DE845" t="str">
        <f>""</f>
        <v/>
      </c>
      <c r="DF845" t="str">
        <f>""</f>
        <v/>
      </c>
      <c r="DG845" t="str">
        <f>""</f>
        <v/>
      </c>
      <c r="DH845" t="str">
        <f>""</f>
        <v/>
      </c>
      <c r="DI845" t="str">
        <f>""</f>
        <v/>
      </c>
      <c r="DJ845" t="str">
        <f>""</f>
        <v/>
      </c>
      <c r="DK845" t="str">
        <f>""</f>
        <v/>
      </c>
      <c r="DL845" t="str">
        <f>""</f>
        <v/>
      </c>
      <c r="DM845" t="str">
        <f>""</f>
        <v/>
      </c>
      <c r="DN845" t="str">
        <f>""</f>
        <v/>
      </c>
      <c r="DO845" t="str">
        <f>""</f>
        <v/>
      </c>
      <c r="DP845" t="str">
        <f>""</f>
        <v/>
      </c>
      <c r="DQ845" t="str">
        <f>""</f>
        <v/>
      </c>
      <c r="DR845" t="str">
        <f>""</f>
        <v/>
      </c>
      <c r="DS845" t="str">
        <f>""</f>
        <v/>
      </c>
      <c r="DT845" t="str">
        <f>""</f>
        <v/>
      </c>
      <c r="DU845" t="str">
        <f>""</f>
        <v/>
      </c>
    </row>
    <row r="846" spans="1:125" x14ac:dyDescent="0.25">
      <c r="A846" t="str">
        <f>$A$176</f>
        <v xml:space="preserve">    Daimler AG</v>
      </c>
      <c r="B846" t="str">
        <f>$B$176</f>
        <v>DAI GR Equity</v>
      </c>
      <c r="C846" t="str">
        <f>$C$176</f>
        <v>RX077</v>
      </c>
      <c r="D846" t="str">
        <f>$D$176</f>
        <v>PX_TO_TANG_BOOK_VAL_PER_SH</v>
      </c>
      <c r="E846" t="str">
        <f>$E$176</f>
        <v>Dynamic</v>
      </c>
      <c r="F846" t="str">
        <f ca="1">_xll.BDH($B$176,$C$176,$B$675,$B$676,CONCATENATE("Per=",$B$673),"Dts=H","Dir=H",CONCATENATE("Points=",$B$674),"Sort=R","Days=A","Fill=B",CONCATENATE("FX=", $B$672) )</f>
        <v>#N/A Connection</v>
      </c>
      <c r="BN846" t="str">
        <f>""</f>
        <v/>
      </c>
      <c r="BO846" t="str">
        <f>""</f>
        <v/>
      </c>
      <c r="BP846" t="str">
        <f>""</f>
        <v/>
      </c>
      <c r="BQ846" t="str">
        <f>""</f>
        <v/>
      </c>
      <c r="BR846" t="str">
        <f>""</f>
        <v/>
      </c>
      <c r="BS846" t="str">
        <f>""</f>
        <v/>
      </c>
      <c r="BT846" t="str">
        <f>""</f>
        <v/>
      </c>
      <c r="BU846" t="str">
        <f>""</f>
        <v/>
      </c>
      <c r="BV846" t="str">
        <f>""</f>
        <v/>
      </c>
      <c r="BW846" t="str">
        <f>""</f>
        <v/>
      </c>
      <c r="BX846" t="str">
        <f>""</f>
        <v/>
      </c>
      <c r="BY846" t="str">
        <f>""</f>
        <v/>
      </c>
      <c r="BZ846" t="str">
        <f>""</f>
        <v/>
      </c>
      <c r="CA846" t="str">
        <f>""</f>
        <v/>
      </c>
      <c r="CB846" t="str">
        <f>""</f>
        <v/>
      </c>
      <c r="CC846" t="str">
        <f>""</f>
        <v/>
      </c>
      <c r="CD846" t="str">
        <f>""</f>
        <v/>
      </c>
      <c r="CE846" t="str">
        <f>""</f>
        <v/>
      </c>
      <c r="CF846" t="str">
        <f>""</f>
        <v/>
      </c>
      <c r="CG846" t="str">
        <f>""</f>
        <v/>
      </c>
      <c r="CH846" t="str">
        <f>""</f>
        <v/>
      </c>
      <c r="CI846" t="str">
        <f>""</f>
        <v/>
      </c>
      <c r="CJ846" t="str">
        <f>""</f>
        <v/>
      </c>
      <c r="CK846" t="str">
        <f>""</f>
        <v/>
      </c>
      <c r="CL846" t="str">
        <f>""</f>
        <v/>
      </c>
      <c r="CM846" t="str">
        <f>""</f>
        <v/>
      </c>
      <c r="CN846" t="str">
        <f>""</f>
        <v/>
      </c>
      <c r="CO846" t="str">
        <f>""</f>
        <v/>
      </c>
      <c r="CP846" t="str">
        <f>""</f>
        <v/>
      </c>
      <c r="CQ846" t="str">
        <f>""</f>
        <v/>
      </c>
      <c r="CR846" t="str">
        <f>""</f>
        <v/>
      </c>
      <c r="CS846" t="str">
        <f>""</f>
        <v/>
      </c>
      <c r="CT846" t="str">
        <f>""</f>
        <v/>
      </c>
      <c r="CU846" t="str">
        <f>""</f>
        <v/>
      </c>
      <c r="CV846" t="str">
        <f>""</f>
        <v/>
      </c>
      <c r="CW846" t="str">
        <f>""</f>
        <v/>
      </c>
      <c r="CX846" t="str">
        <f>""</f>
        <v/>
      </c>
      <c r="CY846" t="str">
        <f>""</f>
        <v/>
      </c>
      <c r="CZ846" t="str">
        <f>""</f>
        <v/>
      </c>
      <c r="DA846" t="str">
        <f>""</f>
        <v/>
      </c>
      <c r="DB846" t="str">
        <f>""</f>
        <v/>
      </c>
      <c r="DC846" t="str">
        <f>""</f>
        <v/>
      </c>
      <c r="DD846" t="str">
        <f>""</f>
        <v/>
      </c>
      <c r="DE846" t="str">
        <f>""</f>
        <v/>
      </c>
      <c r="DF846" t="str">
        <f>""</f>
        <v/>
      </c>
      <c r="DG846" t="str">
        <f>""</f>
        <v/>
      </c>
      <c r="DH846" t="str">
        <f>""</f>
        <v/>
      </c>
      <c r="DI846" t="str">
        <f>""</f>
        <v/>
      </c>
      <c r="DJ846" t="str">
        <f>""</f>
        <v/>
      </c>
      <c r="DK846" t="str">
        <f>""</f>
        <v/>
      </c>
      <c r="DL846" t="str">
        <f>""</f>
        <v/>
      </c>
      <c r="DM846" t="str">
        <f>""</f>
        <v/>
      </c>
      <c r="DN846" t="str">
        <f>""</f>
        <v/>
      </c>
      <c r="DO846" t="str">
        <f>""</f>
        <v/>
      </c>
      <c r="DP846" t="str">
        <f>""</f>
        <v/>
      </c>
      <c r="DQ846" t="str">
        <f>""</f>
        <v/>
      </c>
      <c r="DR846" t="str">
        <f>""</f>
        <v/>
      </c>
      <c r="DS846" t="str">
        <f>""</f>
        <v/>
      </c>
      <c r="DT846" t="str">
        <f>""</f>
        <v/>
      </c>
      <c r="DU846" t="str">
        <f>""</f>
        <v/>
      </c>
    </row>
    <row r="847" spans="1:125" x14ac:dyDescent="0.25">
      <c r="A847" t="str">
        <f>$A$177</f>
        <v xml:space="preserve">    Dongfeng Motor Group Co Ltd</v>
      </c>
      <c r="B847" t="str">
        <f>$B$177</f>
        <v>489 HK Equity</v>
      </c>
      <c r="C847" t="str">
        <f>$C$177</f>
        <v>RX077</v>
      </c>
      <c r="D847" t="str">
        <f>$D$177</f>
        <v>PX_TO_TANG_BOOK_VAL_PER_SH</v>
      </c>
      <c r="E847" t="str">
        <f>$E$177</f>
        <v>Dynamic</v>
      </c>
      <c r="F847" t="str">
        <f ca="1">_xll.BDH($B$177,$C$177,$B$675,$B$676,CONCATENATE("Per=",$B$673),"Dts=H","Dir=H",CONCATENATE("Points=",$B$674),"Sort=R","Days=A","Fill=B",CONCATENATE("FX=", $B$672) )</f>
        <v>#N/A Connection</v>
      </c>
      <c r="BN847" t="str">
        <f>""</f>
        <v/>
      </c>
      <c r="BO847" t="str">
        <f>""</f>
        <v/>
      </c>
      <c r="BP847" t="str">
        <f>""</f>
        <v/>
      </c>
      <c r="BQ847" t="str">
        <f>""</f>
        <v/>
      </c>
      <c r="BR847" t="str">
        <f>""</f>
        <v/>
      </c>
      <c r="BS847" t="str">
        <f>""</f>
        <v/>
      </c>
      <c r="BT847" t="str">
        <f>""</f>
        <v/>
      </c>
      <c r="BU847" t="str">
        <f>""</f>
        <v/>
      </c>
      <c r="BV847" t="str">
        <f>""</f>
        <v/>
      </c>
      <c r="BW847" t="str">
        <f>""</f>
        <v/>
      </c>
      <c r="BX847" t="str">
        <f>""</f>
        <v/>
      </c>
      <c r="BY847" t="str">
        <f>""</f>
        <v/>
      </c>
      <c r="BZ847" t="str">
        <f>""</f>
        <v/>
      </c>
      <c r="CA847" t="str">
        <f>""</f>
        <v/>
      </c>
      <c r="CB847" t="str">
        <f>""</f>
        <v/>
      </c>
      <c r="CC847" t="str">
        <f>""</f>
        <v/>
      </c>
      <c r="CD847" t="str">
        <f>""</f>
        <v/>
      </c>
      <c r="CE847" t="str">
        <f>""</f>
        <v/>
      </c>
      <c r="CF847" t="str">
        <f>""</f>
        <v/>
      </c>
      <c r="CG847" t="str">
        <f>""</f>
        <v/>
      </c>
      <c r="CH847" t="str">
        <f>""</f>
        <v/>
      </c>
      <c r="CI847" t="str">
        <f>""</f>
        <v/>
      </c>
      <c r="CJ847" t="str">
        <f>""</f>
        <v/>
      </c>
      <c r="CK847" t="str">
        <f>""</f>
        <v/>
      </c>
      <c r="CL847" t="str">
        <f>""</f>
        <v/>
      </c>
      <c r="CM847" t="str">
        <f>""</f>
        <v/>
      </c>
      <c r="CN847" t="str">
        <f>""</f>
        <v/>
      </c>
      <c r="CO847" t="str">
        <f>""</f>
        <v/>
      </c>
      <c r="CP847" t="str">
        <f>""</f>
        <v/>
      </c>
      <c r="CQ847" t="str">
        <f>""</f>
        <v/>
      </c>
      <c r="CR847" t="str">
        <f>""</f>
        <v/>
      </c>
      <c r="CS847" t="str">
        <f>""</f>
        <v/>
      </c>
      <c r="CT847" t="str">
        <f>""</f>
        <v/>
      </c>
      <c r="CU847" t="str">
        <f>""</f>
        <v/>
      </c>
      <c r="CV847" t="str">
        <f>""</f>
        <v/>
      </c>
      <c r="CW847" t="str">
        <f>""</f>
        <v/>
      </c>
      <c r="CX847" t="str">
        <f>""</f>
        <v/>
      </c>
      <c r="CY847" t="str">
        <f>""</f>
        <v/>
      </c>
      <c r="CZ847" t="str">
        <f>""</f>
        <v/>
      </c>
      <c r="DA847" t="str">
        <f>""</f>
        <v/>
      </c>
      <c r="DB847" t="str">
        <f>""</f>
        <v/>
      </c>
      <c r="DC847" t="str">
        <f>""</f>
        <v/>
      </c>
      <c r="DD847" t="str">
        <f>""</f>
        <v/>
      </c>
      <c r="DE847" t="str">
        <f>""</f>
        <v/>
      </c>
      <c r="DF847" t="str">
        <f>""</f>
        <v/>
      </c>
      <c r="DG847" t="str">
        <f>""</f>
        <v/>
      </c>
      <c r="DH847" t="str">
        <f>""</f>
        <v/>
      </c>
      <c r="DI847" t="str">
        <f>""</f>
        <v/>
      </c>
      <c r="DJ847" t="str">
        <f>""</f>
        <v/>
      </c>
      <c r="DK847" t="str">
        <f>""</f>
        <v/>
      </c>
      <c r="DL847" t="str">
        <f>""</f>
        <v/>
      </c>
      <c r="DM847" t="str">
        <f>""</f>
        <v/>
      </c>
      <c r="DN847" t="str">
        <f>""</f>
        <v/>
      </c>
      <c r="DO847" t="str">
        <f>""</f>
        <v/>
      </c>
      <c r="DP847" t="str">
        <f>""</f>
        <v/>
      </c>
      <c r="DQ847" t="str">
        <f>""</f>
        <v/>
      </c>
      <c r="DR847" t="str">
        <f>""</f>
        <v/>
      </c>
      <c r="DS847" t="str">
        <f>""</f>
        <v/>
      </c>
      <c r="DT847" t="str">
        <f>""</f>
        <v/>
      </c>
      <c r="DU847" t="str">
        <f>""</f>
        <v/>
      </c>
    </row>
    <row r="848" spans="1:125" x14ac:dyDescent="0.25">
      <c r="A848" t="str">
        <f>$A$178</f>
        <v xml:space="preserve">    DRB-Hicom Bhd</v>
      </c>
      <c r="B848" t="str">
        <f>$B$178</f>
        <v>DRB MK Equity</v>
      </c>
      <c r="C848" t="str">
        <f>$C$178</f>
        <v>RX077</v>
      </c>
      <c r="D848" t="str">
        <f>$D$178</f>
        <v>PX_TO_TANG_BOOK_VAL_PER_SH</v>
      </c>
      <c r="E848" t="str">
        <f>$E$178</f>
        <v>Dynamic</v>
      </c>
      <c r="F848" t="str">
        <f ca="1">_xll.BDH($B$178,$C$178,$B$675,$B$676,CONCATENATE("Per=",$B$673),"Dts=H","Dir=H",CONCATENATE("Points=",$B$674),"Sort=R","Days=A","Fill=B",CONCATENATE("FX=", $B$672) )</f>
        <v>#N/A Connection</v>
      </c>
      <c r="BN848" t="str">
        <f>""</f>
        <v/>
      </c>
      <c r="BO848" t="str">
        <f>""</f>
        <v/>
      </c>
      <c r="BP848" t="str">
        <f>""</f>
        <v/>
      </c>
      <c r="BQ848" t="str">
        <f>""</f>
        <v/>
      </c>
      <c r="BR848" t="str">
        <f>""</f>
        <v/>
      </c>
      <c r="BS848" t="str">
        <f>""</f>
        <v/>
      </c>
      <c r="BT848" t="str">
        <f>""</f>
        <v/>
      </c>
      <c r="BU848" t="str">
        <f>""</f>
        <v/>
      </c>
      <c r="BV848" t="str">
        <f>""</f>
        <v/>
      </c>
      <c r="BW848" t="str">
        <f>""</f>
        <v/>
      </c>
      <c r="BX848" t="str">
        <f>""</f>
        <v/>
      </c>
      <c r="BY848" t="str">
        <f>""</f>
        <v/>
      </c>
      <c r="BZ848" t="str">
        <f>""</f>
        <v/>
      </c>
      <c r="CA848" t="str">
        <f>""</f>
        <v/>
      </c>
      <c r="CB848" t="str">
        <f>""</f>
        <v/>
      </c>
      <c r="CC848" t="str">
        <f>""</f>
        <v/>
      </c>
      <c r="CD848" t="str">
        <f>""</f>
        <v/>
      </c>
      <c r="CE848" t="str">
        <f>""</f>
        <v/>
      </c>
      <c r="CF848" t="str">
        <f>""</f>
        <v/>
      </c>
      <c r="CG848" t="str">
        <f>""</f>
        <v/>
      </c>
      <c r="CH848" t="str">
        <f>""</f>
        <v/>
      </c>
      <c r="CI848" t="str">
        <f>""</f>
        <v/>
      </c>
      <c r="CJ848" t="str">
        <f>""</f>
        <v/>
      </c>
      <c r="CK848" t="str">
        <f>""</f>
        <v/>
      </c>
      <c r="CL848" t="str">
        <f>""</f>
        <v/>
      </c>
      <c r="CM848" t="str">
        <f>""</f>
        <v/>
      </c>
      <c r="CN848" t="str">
        <f>""</f>
        <v/>
      </c>
      <c r="CO848" t="str">
        <f>""</f>
        <v/>
      </c>
      <c r="CP848" t="str">
        <f>""</f>
        <v/>
      </c>
      <c r="CQ848" t="str">
        <f>""</f>
        <v/>
      </c>
      <c r="CR848" t="str">
        <f>""</f>
        <v/>
      </c>
      <c r="CS848" t="str">
        <f>""</f>
        <v/>
      </c>
      <c r="CT848" t="str">
        <f>""</f>
        <v/>
      </c>
      <c r="CU848" t="str">
        <f>""</f>
        <v/>
      </c>
      <c r="CV848" t="str">
        <f>""</f>
        <v/>
      </c>
      <c r="CW848" t="str">
        <f>""</f>
        <v/>
      </c>
      <c r="CX848" t="str">
        <f>""</f>
        <v/>
      </c>
      <c r="CY848" t="str">
        <f>""</f>
        <v/>
      </c>
      <c r="CZ848" t="str">
        <f>""</f>
        <v/>
      </c>
      <c r="DA848" t="str">
        <f>""</f>
        <v/>
      </c>
      <c r="DB848" t="str">
        <f>""</f>
        <v/>
      </c>
      <c r="DC848" t="str">
        <f>""</f>
        <v/>
      </c>
      <c r="DD848" t="str">
        <f>""</f>
        <v/>
      </c>
      <c r="DE848" t="str">
        <f>""</f>
        <v/>
      </c>
      <c r="DF848" t="str">
        <f>""</f>
        <v/>
      </c>
      <c r="DG848" t="str">
        <f>""</f>
        <v/>
      </c>
      <c r="DH848" t="str">
        <f>""</f>
        <v/>
      </c>
      <c r="DI848" t="str">
        <f>""</f>
        <v/>
      </c>
      <c r="DJ848" t="str">
        <f>""</f>
        <v/>
      </c>
      <c r="DK848" t="str">
        <f>""</f>
        <v/>
      </c>
      <c r="DL848" t="str">
        <f>""</f>
        <v/>
      </c>
      <c r="DM848" t="str">
        <f>""</f>
        <v/>
      </c>
      <c r="DN848" t="str">
        <f>""</f>
        <v/>
      </c>
      <c r="DO848" t="str">
        <f>""</f>
        <v/>
      </c>
      <c r="DP848" t="str">
        <f>""</f>
        <v/>
      </c>
      <c r="DQ848" t="str">
        <f>""</f>
        <v/>
      </c>
      <c r="DR848" t="str">
        <f>""</f>
        <v/>
      </c>
      <c r="DS848" t="str">
        <f>""</f>
        <v/>
      </c>
      <c r="DT848" t="str">
        <f>""</f>
        <v/>
      </c>
      <c r="DU848" t="str">
        <f>""</f>
        <v/>
      </c>
    </row>
    <row r="849" spans="1:125" x14ac:dyDescent="0.25">
      <c r="A849" t="str">
        <f>$A$179</f>
        <v xml:space="preserve">    FAW CAR Co Ltd</v>
      </c>
      <c r="B849" t="str">
        <f>$B$179</f>
        <v>000800 CH Equity</v>
      </c>
      <c r="C849" t="str">
        <f>$C$179</f>
        <v>RX077</v>
      </c>
      <c r="D849" t="str">
        <f>$D$179</f>
        <v>PX_TO_TANG_BOOK_VAL_PER_SH</v>
      </c>
      <c r="E849" t="str">
        <f>$E$179</f>
        <v>Dynamic</v>
      </c>
      <c r="F849" t="str">
        <f ca="1">_xll.BDH($B$179,$C$179,$B$675,$B$676,CONCATENATE("Per=",$B$673),"Dts=H","Dir=H",CONCATENATE("Points=",$B$674),"Sort=R","Days=A","Fill=B",CONCATENATE("FX=", $B$672) )</f>
        <v>#N/A Connection</v>
      </c>
      <c r="BN849" t="str">
        <f>""</f>
        <v/>
      </c>
      <c r="BO849" t="str">
        <f>""</f>
        <v/>
      </c>
      <c r="BP849" t="str">
        <f>""</f>
        <v/>
      </c>
      <c r="BQ849" t="str">
        <f>""</f>
        <v/>
      </c>
      <c r="BR849" t="str">
        <f>""</f>
        <v/>
      </c>
      <c r="BS849" t="str">
        <f>""</f>
        <v/>
      </c>
      <c r="BT849" t="str">
        <f>""</f>
        <v/>
      </c>
      <c r="BU849" t="str">
        <f>""</f>
        <v/>
      </c>
      <c r="BV849" t="str">
        <f>""</f>
        <v/>
      </c>
      <c r="BW849" t="str">
        <f>""</f>
        <v/>
      </c>
      <c r="BX849" t="str">
        <f>""</f>
        <v/>
      </c>
      <c r="BY849" t="str">
        <f>""</f>
        <v/>
      </c>
      <c r="BZ849" t="str">
        <f>""</f>
        <v/>
      </c>
      <c r="CA849" t="str">
        <f>""</f>
        <v/>
      </c>
      <c r="CB849" t="str">
        <f>""</f>
        <v/>
      </c>
      <c r="CC849" t="str">
        <f>""</f>
        <v/>
      </c>
      <c r="CD849" t="str">
        <f>""</f>
        <v/>
      </c>
      <c r="CE849" t="str">
        <f>""</f>
        <v/>
      </c>
      <c r="CF849" t="str">
        <f>""</f>
        <v/>
      </c>
      <c r="CG849" t="str">
        <f>""</f>
        <v/>
      </c>
      <c r="CH849" t="str">
        <f>""</f>
        <v/>
      </c>
      <c r="CI849" t="str">
        <f>""</f>
        <v/>
      </c>
      <c r="CJ849" t="str">
        <f>""</f>
        <v/>
      </c>
      <c r="CK849" t="str">
        <f>""</f>
        <v/>
      </c>
      <c r="CL849" t="str">
        <f>""</f>
        <v/>
      </c>
      <c r="CM849" t="str">
        <f>""</f>
        <v/>
      </c>
      <c r="CN849" t="str">
        <f>""</f>
        <v/>
      </c>
      <c r="CO849" t="str">
        <f>""</f>
        <v/>
      </c>
      <c r="CP849" t="str">
        <f>""</f>
        <v/>
      </c>
      <c r="CQ849" t="str">
        <f>""</f>
        <v/>
      </c>
      <c r="CR849" t="str">
        <f>""</f>
        <v/>
      </c>
      <c r="CS849" t="str">
        <f>""</f>
        <v/>
      </c>
      <c r="CT849" t="str">
        <f>""</f>
        <v/>
      </c>
      <c r="CU849" t="str">
        <f>""</f>
        <v/>
      </c>
      <c r="CV849" t="str">
        <f>""</f>
        <v/>
      </c>
      <c r="CW849" t="str">
        <f>""</f>
        <v/>
      </c>
      <c r="CX849" t="str">
        <f>""</f>
        <v/>
      </c>
      <c r="CY849" t="str">
        <f>""</f>
        <v/>
      </c>
      <c r="CZ849" t="str">
        <f>""</f>
        <v/>
      </c>
      <c r="DA849" t="str">
        <f>""</f>
        <v/>
      </c>
      <c r="DB849" t="str">
        <f>""</f>
        <v/>
      </c>
      <c r="DC849" t="str">
        <f>""</f>
        <v/>
      </c>
      <c r="DD849" t="str">
        <f>""</f>
        <v/>
      </c>
      <c r="DE849" t="str">
        <f>""</f>
        <v/>
      </c>
      <c r="DF849" t="str">
        <f>""</f>
        <v/>
      </c>
      <c r="DG849" t="str">
        <f>""</f>
        <v/>
      </c>
      <c r="DH849" t="str">
        <f>""</f>
        <v/>
      </c>
      <c r="DI849" t="str">
        <f>""</f>
        <v/>
      </c>
      <c r="DJ849" t="str">
        <f>""</f>
        <v/>
      </c>
      <c r="DK849" t="str">
        <f>""</f>
        <v/>
      </c>
      <c r="DL849" t="str">
        <f>""</f>
        <v/>
      </c>
      <c r="DM849" t="str">
        <f>""</f>
        <v/>
      </c>
      <c r="DN849" t="str">
        <f>""</f>
        <v/>
      </c>
      <c r="DO849" t="str">
        <f>""</f>
        <v/>
      </c>
      <c r="DP849" t="str">
        <f>""</f>
        <v/>
      </c>
      <c r="DQ849" t="str">
        <f>""</f>
        <v/>
      </c>
      <c r="DR849" t="str">
        <f>""</f>
        <v/>
      </c>
      <c r="DS849" t="str">
        <f>""</f>
        <v/>
      </c>
      <c r="DT849" t="str">
        <f>""</f>
        <v/>
      </c>
      <c r="DU849" t="str">
        <f>""</f>
        <v/>
      </c>
    </row>
    <row r="850" spans="1:125" x14ac:dyDescent="0.25">
      <c r="A850" t="str">
        <f>$A$180</f>
        <v xml:space="preserve">    Fiat Chrysler Automobiles NV</v>
      </c>
      <c r="B850" t="str">
        <f>$B$180</f>
        <v>FCAU US Equity</v>
      </c>
      <c r="C850" t="str">
        <f>$C$180</f>
        <v>RX077</v>
      </c>
      <c r="D850" t="str">
        <f>$D$180</f>
        <v>PX_TO_TANG_BOOK_VAL_PER_SH</v>
      </c>
      <c r="E850" t="str">
        <f>$E$180</f>
        <v>Dynamic</v>
      </c>
      <c r="F850" t="str">
        <f ca="1">_xll.BDH($B$180,$C$180,$B$675,$B$676,CONCATENATE("Per=",$B$673),"Dts=H","Dir=H",CONCATENATE("Points=",$B$674),"Sort=R","Days=A","Fill=B",CONCATENATE("FX=", $B$672) )</f>
        <v>#N/A Connection</v>
      </c>
      <c r="BN850" t="str">
        <f>""</f>
        <v/>
      </c>
      <c r="BO850" t="str">
        <f>""</f>
        <v/>
      </c>
      <c r="BP850" t="str">
        <f>""</f>
        <v/>
      </c>
      <c r="BQ850" t="str">
        <f>""</f>
        <v/>
      </c>
      <c r="BR850" t="str">
        <f>""</f>
        <v/>
      </c>
      <c r="BS850" t="str">
        <f>""</f>
        <v/>
      </c>
      <c r="BT850" t="str">
        <f>""</f>
        <v/>
      </c>
      <c r="BU850" t="str">
        <f>""</f>
        <v/>
      </c>
      <c r="BV850" t="str">
        <f>""</f>
        <v/>
      </c>
      <c r="BW850" t="str">
        <f>""</f>
        <v/>
      </c>
      <c r="BX850" t="str">
        <f>""</f>
        <v/>
      </c>
      <c r="BY850" t="str">
        <f>""</f>
        <v/>
      </c>
      <c r="BZ850" t="str">
        <f>""</f>
        <v/>
      </c>
      <c r="CA850" t="str">
        <f>""</f>
        <v/>
      </c>
      <c r="CB850" t="str">
        <f>""</f>
        <v/>
      </c>
      <c r="CC850" t="str">
        <f>""</f>
        <v/>
      </c>
      <c r="CD850" t="str">
        <f>""</f>
        <v/>
      </c>
      <c r="CE850" t="str">
        <f>""</f>
        <v/>
      </c>
      <c r="CF850" t="str">
        <f>""</f>
        <v/>
      </c>
      <c r="CG850" t="str">
        <f>""</f>
        <v/>
      </c>
      <c r="CH850" t="str">
        <f>""</f>
        <v/>
      </c>
      <c r="CI850" t="str">
        <f>""</f>
        <v/>
      </c>
      <c r="CJ850" t="str">
        <f>""</f>
        <v/>
      </c>
      <c r="CK850" t="str">
        <f>""</f>
        <v/>
      </c>
      <c r="CL850" t="str">
        <f>""</f>
        <v/>
      </c>
      <c r="CM850" t="str">
        <f>""</f>
        <v/>
      </c>
      <c r="CN850" t="str">
        <f>""</f>
        <v/>
      </c>
      <c r="CO850" t="str">
        <f>""</f>
        <v/>
      </c>
      <c r="CP850" t="str">
        <f>""</f>
        <v/>
      </c>
      <c r="CQ850" t="str">
        <f>""</f>
        <v/>
      </c>
      <c r="CR850" t="str">
        <f>""</f>
        <v/>
      </c>
      <c r="CS850" t="str">
        <f>""</f>
        <v/>
      </c>
      <c r="CT850" t="str">
        <f>""</f>
        <v/>
      </c>
      <c r="CU850" t="str">
        <f>""</f>
        <v/>
      </c>
      <c r="CV850" t="str">
        <f>""</f>
        <v/>
      </c>
      <c r="CW850" t="str">
        <f>""</f>
        <v/>
      </c>
      <c r="CX850" t="str">
        <f>""</f>
        <v/>
      </c>
      <c r="CY850" t="str">
        <f>""</f>
        <v/>
      </c>
      <c r="CZ850" t="str">
        <f>""</f>
        <v/>
      </c>
      <c r="DA850" t="str">
        <f>""</f>
        <v/>
      </c>
      <c r="DB850" t="str">
        <f>""</f>
        <v/>
      </c>
      <c r="DC850" t="str">
        <f>""</f>
        <v/>
      </c>
      <c r="DD850" t="str">
        <f>""</f>
        <v/>
      </c>
      <c r="DE850" t="str">
        <f>""</f>
        <v/>
      </c>
      <c r="DF850" t="str">
        <f>""</f>
        <v/>
      </c>
      <c r="DG850" t="str">
        <f>""</f>
        <v/>
      </c>
      <c r="DH850" t="str">
        <f>""</f>
        <v/>
      </c>
      <c r="DI850" t="str">
        <f>""</f>
        <v/>
      </c>
      <c r="DJ850" t="str">
        <f>""</f>
        <v/>
      </c>
      <c r="DK850" t="str">
        <f>""</f>
        <v/>
      </c>
      <c r="DL850" t="str">
        <f>""</f>
        <v/>
      </c>
      <c r="DM850" t="str">
        <f>""</f>
        <v/>
      </c>
      <c r="DN850" t="str">
        <f>""</f>
        <v/>
      </c>
      <c r="DO850" t="str">
        <f>""</f>
        <v/>
      </c>
      <c r="DP850" t="str">
        <f>""</f>
        <v/>
      </c>
      <c r="DQ850" t="str">
        <f>""</f>
        <v/>
      </c>
      <c r="DR850" t="str">
        <f>""</f>
        <v/>
      </c>
      <c r="DS850" t="str">
        <f>""</f>
        <v/>
      </c>
      <c r="DT850" t="str">
        <f>""</f>
        <v/>
      </c>
      <c r="DU850" t="str">
        <f>""</f>
        <v/>
      </c>
    </row>
    <row r="851" spans="1:125" x14ac:dyDescent="0.25">
      <c r="A851" t="str">
        <f>$A$181</f>
        <v xml:space="preserve">    Ford Motor Co</v>
      </c>
      <c r="B851" t="str">
        <f>$B$181</f>
        <v>F US Equity</v>
      </c>
      <c r="C851" t="str">
        <f>$C$181</f>
        <v>RX077</v>
      </c>
      <c r="D851" t="str">
        <f>$D$181</f>
        <v>PX_TO_TANG_BOOK_VAL_PER_SH</v>
      </c>
      <c r="E851" t="str">
        <f>$E$181</f>
        <v>Dynamic</v>
      </c>
      <c r="F851" t="str">
        <f ca="1">_xll.BDH($B$181,$C$181,$B$675,$B$676,CONCATENATE("Per=",$B$673),"Dts=H","Dir=H",CONCATENATE("Points=",$B$674),"Sort=R","Days=A","Fill=B",CONCATENATE("FX=", $B$672) )</f>
        <v>#N/A Connection</v>
      </c>
      <c r="BN851" t="str">
        <f>""</f>
        <v/>
      </c>
      <c r="BO851" t="str">
        <f>""</f>
        <v/>
      </c>
      <c r="BP851" t="str">
        <f>""</f>
        <v/>
      </c>
      <c r="BQ851" t="str">
        <f>""</f>
        <v/>
      </c>
      <c r="BR851" t="str">
        <f>""</f>
        <v/>
      </c>
      <c r="BS851" t="str">
        <f>""</f>
        <v/>
      </c>
      <c r="BT851" t="str">
        <f>""</f>
        <v/>
      </c>
      <c r="BU851" t="str">
        <f>""</f>
        <v/>
      </c>
      <c r="BV851" t="str">
        <f>""</f>
        <v/>
      </c>
      <c r="BW851" t="str">
        <f>""</f>
        <v/>
      </c>
      <c r="BX851" t="str">
        <f>""</f>
        <v/>
      </c>
      <c r="BY851" t="str">
        <f>""</f>
        <v/>
      </c>
      <c r="BZ851" t="str">
        <f>""</f>
        <v/>
      </c>
      <c r="CA851" t="str">
        <f>""</f>
        <v/>
      </c>
      <c r="CB851" t="str">
        <f>""</f>
        <v/>
      </c>
      <c r="CC851" t="str">
        <f>""</f>
        <v/>
      </c>
      <c r="CD851" t="str">
        <f>""</f>
        <v/>
      </c>
      <c r="CE851" t="str">
        <f>""</f>
        <v/>
      </c>
      <c r="CF851" t="str">
        <f>""</f>
        <v/>
      </c>
      <c r="CG851" t="str">
        <f>""</f>
        <v/>
      </c>
      <c r="CH851" t="str">
        <f>""</f>
        <v/>
      </c>
      <c r="CI851" t="str">
        <f>""</f>
        <v/>
      </c>
      <c r="CJ851" t="str">
        <f>""</f>
        <v/>
      </c>
      <c r="CK851" t="str">
        <f>""</f>
        <v/>
      </c>
      <c r="CL851" t="str">
        <f>""</f>
        <v/>
      </c>
      <c r="CM851" t="str">
        <f>""</f>
        <v/>
      </c>
      <c r="CN851" t="str">
        <f>""</f>
        <v/>
      </c>
      <c r="CO851" t="str">
        <f>""</f>
        <v/>
      </c>
      <c r="CP851" t="str">
        <f>""</f>
        <v/>
      </c>
      <c r="CQ851" t="str">
        <f>""</f>
        <v/>
      </c>
      <c r="CR851" t="str">
        <f>""</f>
        <v/>
      </c>
      <c r="CS851" t="str">
        <f>""</f>
        <v/>
      </c>
      <c r="CT851" t="str">
        <f>""</f>
        <v/>
      </c>
      <c r="CU851" t="str">
        <f>""</f>
        <v/>
      </c>
      <c r="CV851" t="str">
        <f>""</f>
        <v/>
      </c>
      <c r="CW851" t="str">
        <f>""</f>
        <v/>
      </c>
      <c r="CX851" t="str">
        <f>""</f>
        <v/>
      </c>
      <c r="CY851" t="str">
        <f>""</f>
        <v/>
      </c>
      <c r="CZ851" t="str">
        <f>""</f>
        <v/>
      </c>
      <c r="DA851" t="str">
        <f>""</f>
        <v/>
      </c>
      <c r="DB851" t="str">
        <f>""</f>
        <v/>
      </c>
      <c r="DC851" t="str">
        <f>""</f>
        <v/>
      </c>
      <c r="DD851" t="str">
        <f>""</f>
        <v/>
      </c>
      <c r="DE851" t="str">
        <f>""</f>
        <v/>
      </c>
      <c r="DF851" t="str">
        <f>""</f>
        <v/>
      </c>
      <c r="DG851" t="str">
        <f>""</f>
        <v/>
      </c>
      <c r="DH851" t="str">
        <f>""</f>
        <v/>
      </c>
      <c r="DI851" t="str">
        <f>""</f>
        <v/>
      </c>
      <c r="DJ851" t="str">
        <f>""</f>
        <v/>
      </c>
      <c r="DK851" t="str">
        <f>""</f>
        <v/>
      </c>
      <c r="DL851" t="str">
        <f>""</f>
        <v/>
      </c>
      <c r="DM851" t="str">
        <f>""</f>
        <v/>
      </c>
      <c r="DN851" t="str">
        <f>""</f>
        <v/>
      </c>
      <c r="DO851" t="str">
        <f>""</f>
        <v/>
      </c>
      <c r="DP851" t="str">
        <f>""</f>
        <v/>
      </c>
      <c r="DQ851" t="str">
        <f>""</f>
        <v/>
      </c>
      <c r="DR851" t="str">
        <f>""</f>
        <v/>
      </c>
      <c r="DS851" t="str">
        <f>""</f>
        <v/>
      </c>
      <c r="DT851" t="str">
        <f>""</f>
        <v/>
      </c>
      <c r="DU851" t="str">
        <f>""</f>
        <v/>
      </c>
    </row>
    <row r="852" spans="1:125" x14ac:dyDescent="0.25">
      <c r="A852" t="str">
        <f>$A$182</f>
        <v xml:space="preserve">    Ford Otomotiv Sanayi AS</v>
      </c>
      <c r="B852" t="str">
        <f>$B$182</f>
        <v>FROTOTRY EO Equity</v>
      </c>
      <c r="C852" t="str">
        <f>$C$182</f>
        <v>RX077</v>
      </c>
      <c r="D852" t="str">
        <f>$D$182</f>
        <v>PX_TO_TANG_BOOK_VAL_PER_SH</v>
      </c>
      <c r="E852" t="str">
        <f>$E$182</f>
        <v>Dynamic</v>
      </c>
      <c r="F852" t="str">
        <f ca="1">_xll.BDH($B$182,$C$182,$B$675,$B$676,CONCATENATE("Per=",$B$673),"Dts=H","Dir=H",CONCATENATE("Points=",$B$674),"Sort=R","Days=A","Fill=B",CONCATENATE("FX=", $B$672) )</f>
        <v>#N/A Connection</v>
      </c>
      <c r="BN852" t="str">
        <f>""</f>
        <v/>
      </c>
      <c r="BO852" t="str">
        <f>""</f>
        <v/>
      </c>
      <c r="BP852" t="str">
        <f>""</f>
        <v/>
      </c>
      <c r="BQ852" t="str">
        <f>""</f>
        <v/>
      </c>
      <c r="BR852" t="str">
        <f>""</f>
        <v/>
      </c>
      <c r="BS852" t="str">
        <f>""</f>
        <v/>
      </c>
      <c r="BT852" t="str">
        <f>""</f>
        <v/>
      </c>
      <c r="BU852" t="str">
        <f>""</f>
        <v/>
      </c>
      <c r="BV852" t="str">
        <f>""</f>
        <v/>
      </c>
      <c r="BW852" t="str">
        <f>""</f>
        <v/>
      </c>
      <c r="BX852" t="str">
        <f>""</f>
        <v/>
      </c>
      <c r="BY852" t="str">
        <f>""</f>
        <v/>
      </c>
      <c r="BZ852" t="str">
        <f>""</f>
        <v/>
      </c>
      <c r="CA852" t="str">
        <f>""</f>
        <v/>
      </c>
      <c r="CB852" t="str">
        <f>""</f>
        <v/>
      </c>
      <c r="CC852" t="str">
        <f>""</f>
        <v/>
      </c>
      <c r="CD852" t="str">
        <f>""</f>
        <v/>
      </c>
      <c r="CE852" t="str">
        <f>""</f>
        <v/>
      </c>
      <c r="CF852" t="str">
        <f>""</f>
        <v/>
      </c>
      <c r="CG852" t="str">
        <f>""</f>
        <v/>
      </c>
      <c r="CH852" t="str">
        <f>""</f>
        <v/>
      </c>
      <c r="CI852" t="str">
        <f>""</f>
        <v/>
      </c>
      <c r="CJ852" t="str">
        <f>""</f>
        <v/>
      </c>
      <c r="CK852" t="str">
        <f>""</f>
        <v/>
      </c>
      <c r="CL852" t="str">
        <f>""</f>
        <v/>
      </c>
      <c r="CM852" t="str">
        <f>""</f>
        <v/>
      </c>
      <c r="CN852" t="str">
        <f>""</f>
        <v/>
      </c>
      <c r="CO852" t="str">
        <f>""</f>
        <v/>
      </c>
      <c r="CP852" t="str">
        <f>""</f>
        <v/>
      </c>
      <c r="CQ852" t="str">
        <f>""</f>
        <v/>
      </c>
      <c r="CR852" t="str">
        <f>""</f>
        <v/>
      </c>
      <c r="CS852" t="str">
        <f>""</f>
        <v/>
      </c>
      <c r="CT852" t="str">
        <f>""</f>
        <v/>
      </c>
      <c r="CU852" t="str">
        <f>""</f>
        <v/>
      </c>
      <c r="CV852" t="str">
        <f>""</f>
        <v/>
      </c>
      <c r="CW852" t="str">
        <f>""</f>
        <v/>
      </c>
      <c r="CX852" t="str">
        <f>""</f>
        <v/>
      </c>
      <c r="CY852" t="str">
        <f>""</f>
        <v/>
      </c>
      <c r="CZ852" t="str">
        <f>""</f>
        <v/>
      </c>
      <c r="DA852" t="str">
        <f>""</f>
        <v/>
      </c>
      <c r="DB852" t="str">
        <f>""</f>
        <v/>
      </c>
      <c r="DC852" t="str">
        <f>""</f>
        <v/>
      </c>
      <c r="DD852" t="str">
        <f>""</f>
        <v/>
      </c>
      <c r="DE852" t="str">
        <f>""</f>
        <v/>
      </c>
      <c r="DF852" t="str">
        <f>""</f>
        <v/>
      </c>
      <c r="DG852" t="str">
        <f>""</f>
        <v/>
      </c>
      <c r="DH852" t="str">
        <f>""</f>
        <v/>
      </c>
      <c r="DI852" t="str">
        <f>""</f>
        <v/>
      </c>
      <c r="DJ852" t="str">
        <f>""</f>
        <v/>
      </c>
      <c r="DK852" t="str">
        <f>""</f>
        <v/>
      </c>
      <c r="DL852" t="str">
        <f>""</f>
        <v/>
      </c>
      <c r="DM852" t="str">
        <f>""</f>
        <v/>
      </c>
      <c r="DN852" t="str">
        <f>""</f>
        <v/>
      </c>
      <c r="DO852" t="str">
        <f>""</f>
        <v/>
      </c>
      <c r="DP852" t="str">
        <f>""</f>
        <v/>
      </c>
      <c r="DQ852" t="str">
        <f>""</f>
        <v/>
      </c>
      <c r="DR852" t="str">
        <f>""</f>
        <v/>
      </c>
      <c r="DS852" t="str">
        <f>""</f>
        <v/>
      </c>
      <c r="DT852" t="str">
        <f>""</f>
        <v/>
      </c>
      <c r="DU852" t="str">
        <f>""</f>
        <v/>
      </c>
    </row>
    <row r="853" spans="1:125" x14ac:dyDescent="0.25">
      <c r="A853" t="str">
        <f>$A$183</f>
        <v xml:space="preserve">    GAZ PJSC</v>
      </c>
      <c r="B853" t="str">
        <f>$B$183</f>
        <v>GAZA RM Equity</v>
      </c>
      <c r="C853" t="str">
        <f>$C$183</f>
        <v>RX077</v>
      </c>
      <c r="D853" t="str">
        <f>$D$183</f>
        <v>PX_TO_TANG_BOOK_VAL_PER_SH</v>
      </c>
      <c r="E853" t="str">
        <f>$E$183</f>
        <v>Dynamic</v>
      </c>
      <c r="F853" t="str">
        <f ca="1">_xll.BDH($B$183,$C$183,$B$675,$B$676,CONCATENATE("Per=",$B$673),"Dts=H","Dir=H",CONCATENATE("Points=",$B$674),"Sort=R","Days=A","Fill=B",CONCATENATE("FX=", $B$672) )</f>
        <v>#N/A Connection</v>
      </c>
      <c r="BN853" t="str">
        <f>""</f>
        <v/>
      </c>
      <c r="BO853" t="str">
        <f>""</f>
        <v/>
      </c>
      <c r="BP853" t="str">
        <f>""</f>
        <v/>
      </c>
      <c r="BQ853" t="str">
        <f>""</f>
        <v/>
      </c>
      <c r="BR853" t="str">
        <f>""</f>
        <v/>
      </c>
      <c r="BS853" t="str">
        <f>""</f>
        <v/>
      </c>
      <c r="BT853" t="str">
        <f>""</f>
        <v/>
      </c>
      <c r="BU853" t="str">
        <f>""</f>
        <v/>
      </c>
      <c r="BV853" t="str">
        <f>""</f>
        <v/>
      </c>
      <c r="BW853" t="str">
        <f>""</f>
        <v/>
      </c>
      <c r="BX853" t="str">
        <f>""</f>
        <v/>
      </c>
      <c r="BY853" t="str">
        <f>""</f>
        <v/>
      </c>
      <c r="BZ853" t="str">
        <f>""</f>
        <v/>
      </c>
      <c r="CA853" t="str">
        <f>""</f>
        <v/>
      </c>
      <c r="CB853" t="str">
        <f>""</f>
        <v/>
      </c>
      <c r="CC853" t="str">
        <f>""</f>
        <v/>
      </c>
      <c r="CD853" t="str">
        <f>""</f>
        <v/>
      </c>
      <c r="CE853" t="str">
        <f>""</f>
        <v/>
      </c>
      <c r="CF853" t="str">
        <f>""</f>
        <v/>
      </c>
      <c r="CG853" t="str">
        <f>""</f>
        <v/>
      </c>
      <c r="CH853" t="str">
        <f>""</f>
        <v/>
      </c>
      <c r="CI853" t="str">
        <f>""</f>
        <v/>
      </c>
      <c r="CJ853" t="str">
        <f>""</f>
        <v/>
      </c>
      <c r="CK853" t="str">
        <f>""</f>
        <v/>
      </c>
      <c r="CL853" t="str">
        <f>""</f>
        <v/>
      </c>
      <c r="CM853" t="str">
        <f>""</f>
        <v/>
      </c>
      <c r="CN853" t="str">
        <f>""</f>
        <v/>
      </c>
      <c r="CO853" t="str">
        <f>""</f>
        <v/>
      </c>
      <c r="CP853" t="str">
        <f>""</f>
        <v/>
      </c>
      <c r="CQ853" t="str">
        <f>""</f>
        <v/>
      </c>
      <c r="CR853" t="str">
        <f>""</f>
        <v/>
      </c>
      <c r="CS853" t="str">
        <f>""</f>
        <v/>
      </c>
      <c r="CT853" t="str">
        <f>""</f>
        <v/>
      </c>
      <c r="CU853" t="str">
        <f>""</f>
        <v/>
      </c>
      <c r="CV853" t="str">
        <f>""</f>
        <v/>
      </c>
      <c r="CW853" t="str">
        <f>""</f>
        <v/>
      </c>
      <c r="CX853" t="str">
        <f>""</f>
        <v/>
      </c>
      <c r="CY853" t="str">
        <f>""</f>
        <v/>
      </c>
      <c r="CZ853" t="str">
        <f>""</f>
        <v/>
      </c>
      <c r="DA853" t="str">
        <f>""</f>
        <v/>
      </c>
      <c r="DB853" t="str">
        <f>""</f>
        <v/>
      </c>
      <c r="DC853" t="str">
        <f>""</f>
        <v/>
      </c>
      <c r="DD853" t="str">
        <f>""</f>
        <v/>
      </c>
      <c r="DE853" t="str">
        <f>""</f>
        <v/>
      </c>
      <c r="DF853" t="str">
        <f>""</f>
        <v/>
      </c>
      <c r="DG853" t="str">
        <f>""</f>
        <v/>
      </c>
      <c r="DH853" t="str">
        <f>""</f>
        <v/>
      </c>
      <c r="DI853" t="str">
        <f>""</f>
        <v/>
      </c>
      <c r="DJ853" t="str">
        <f>""</f>
        <v/>
      </c>
      <c r="DK853" t="str">
        <f>""</f>
        <v/>
      </c>
      <c r="DL853" t="str">
        <f>""</f>
        <v/>
      </c>
      <c r="DM853" t="str">
        <f>""</f>
        <v/>
      </c>
      <c r="DN853" t="str">
        <f>""</f>
        <v/>
      </c>
      <c r="DO853" t="str">
        <f>""</f>
        <v/>
      </c>
      <c r="DP853" t="str">
        <f>""</f>
        <v/>
      </c>
      <c r="DQ853" t="str">
        <f>""</f>
        <v/>
      </c>
      <c r="DR853" t="str">
        <f>""</f>
        <v/>
      </c>
      <c r="DS853" t="str">
        <f>""</f>
        <v/>
      </c>
      <c r="DT853" t="str">
        <f>""</f>
        <v/>
      </c>
      <c r="DU853" t="str">
        <f>""</f>
        <v/>
      </c>
    </row>
    <row r="854" spans="1:125" x14ac:dyDescent="0.25">
      <c r="A854" t="str">
        <f>$A$184</f>
        <v xml:space="preserve">    Geely Automobile Holdings Ltd</v>
      </c>
      <c r="B854" t="str">
        <f>$B$184</f>
        <v>175 HK Equity</v>
      </c>
      <c r="C854" t="str">
        <f>$C$184</f>
        <v>RX077</v>
      </c>
      <c r="D854" t="str">
        <f>$D$184</f>
        <v>PX_TO_TANG_BOOK_VAL_PER_SH</v>
      </c>
      <c r="E854" t="str">
        <f>$E$184</f>
        <v>Dynamic</v>
      </c>
      <c r="F854" t="str">
        <f ca="1">_xll.BDH($B$184,$C$184,$B$675,$B$676,CONCATENATE("Per=",$B$673),"Dts=H","Dir=H",CONCATENATE("Points=",$B$674),"Sort=R","Days=A","Fill=B",CONCATENATE("FX=", $B$672) )</f>
        <v>#N/A Connection</v>
      </c>
      <c r="BN854" t="str">
        <f>""</f>
        <v/>
      </c>
      <c r="BO854" t="str">
        <f>""</f>
        <v/>
      </c>
      <c r="BP854" t="str">
        <f>""</f>
        <v/>
      </c>
      <c r="BQ854" t="str">
        <f>""</f>
        <v/>
      </c>
      <c r="BR854" t="str">
        <f>""</f>
        <v/>
      </c>
      <c r="BS854" t="str">
        <f>""</f>
        <v/>
      </c>
      <c r="BT854" t="str">
        <f>""</f>
        <v/>
      </c>
      <c r="BU854" t="str">
        <f>""</f>
        <v/>
      </c>
      <c r="BV854" t="str">
        <f>""</f>
        <v/>
      </c>
      <c r="BW854" t="str">
        <f>""</f>
        <v/>
      </c>
      <c r="BX854" t="str">
        <f>""</f>
        <v/>
      </c>
      <c r="BY854" t="str">
        <f>""</f>
        <v/>
      </c>
      <c r="BZ854" t="str">
        <f>""</f>
        <v/>
      </c>
      <c r="CA854" t="str">
        <f>""</f>
        <v/>
      </c>
      <c r="CB854" t="str">
        <f>""</f>
        <v/>
      </c>
      <c r="CC854" t="str">
        <f>""</f>
        <v/>
      </c>
      <c r="CD854" t="str">
        <f>""</f>
        <v/>
      </c>
      <c r="CE854" t="str">
        <f>""</f>
        <v/>
      </c>
      <c r="CF854" t="str">
        <f>""</f>
        <v/>
      </c>
      <c r="CG854" t="str">
        <f>""</f>
        <v/>
      </c>
      <c r="CH854" t="str">
        <f>""</f>
        <v/>
      </c>
      <c r="CI854" t="str">
        <f>""</f>
        <v/>
      </c>
      <c r="CJ854" t="str">
        <f>""</f>
        <v/>
      </c>
      <c r="CK854" t="str">
        <f>""</f>
        <v/>
      </c>
      <c r="CL854" t="str">
        <f>""</f>
        <v/>
      </c>
      <c r="CM854" t="str">
        <f>""</f>
        <v/>
      </c>
      <c r="CN854" t="str">
        <f>""</f>
        <v/>
      </c>
      <c r="CO854" t="str">
        <f>""</f>
        <v/>
      </c>
      <c r="CP854" t="str">
        <f>""</f>
        <v/>
      </c>
      <c r="CQ854" t="str">
        <f>""</f>
        <v/>
      </c>
      <c r="CR854" t="str">
        <f>""</f>
        <v/>
      </c>
      <c r="CS854" t="str">
        <f>""</f>
        <v/>
      </c>
      <c r="CT854" t="str">
        <f>""</f>
        <v/>
      </c>
      <c r="CU854" t="str">
        <f>""</f>
        <v/>
      </c>
      <c r="CV854" t="str">
        <f>""</f>
        <v/>
      </c>
      <c r="CW854" t="str">
        <f>""</f>
        <v/>
      </c>
      <c r="CX854" t="str">
        <f>""</f>
        <v/>
      </c>
      <c r="CY854" t="str">
        <f>""</f>
        <v/>
      </c>
      <c r="CZ854" t="str">
        <f>""</f>
        <v/>
      </c>
      <c r="DA854" t="str">
        <f>""</f>
        <v/>
      </c>
      <c r="DB854" t="str">
        <f>""</f>
        <v/>
      </c>
      <c r="DC854" t="str">
        <f>""</f>
        <v/>
      </c>
      <c r="DD854" t="str">
        <f>""</f>
        <v/>
      </c>
      <c r="DE854" t="str">
        <f>""</f>
        <v/>
      </c>
      <c r="DF854" t="str">
        <f>""</f>
        <v/>
      </c>
      <c r="DG854" t="str">
        <f>""</f>
        <v/>
      </c>
      <c r="DH854" t="str">
        <f>""</f>
        <v/>
      </c>
      <c r="DI854" t="str">
        <f>""</f>
        <v/>
      </c>
      <c r="DJ854" t="str">
        <f>""</f>
        <v/>
      </c>
      <c r="DK854" t="str">
        <f>""</f>
        <v/>
      </c>
      <c r="DL854" t="str">
        <f>""</f>
        <v/>
      </c>
      <c r="DM854" t="str">
        <f>""</f>
        <v/>
      </c>
      <c r="DN854" t="str">
        <f>""</f>
        <v/>
      </c>
      <c r="DO854" t="str">
        <f>""</f>
        <v/>
      </c>
      <c r="DP854" t="str">
        <f>""</f>
        <v/>
      </c>
      <c r="DQ854" t="str">
        <f>""</f>
        <v/>
      </c>
      <c r="DR854" t="str">
        <f>""</f>
        <v/>
      </c>
      <c r="DS854" t="str">
        <f>""</f>
        <v/>
      </c>
      <c r="DT854" t="str">
        <f>""</f>
        <v/>
      </c>
      <c r="DU854" t="str">
        <f>""</f>
        <v/>
      </c>
    </row>
    <row r="855" spans="1:125" x14ac:dyDescent="0.25">
      <c r="A855" t="str">
        <f>$A$185</f>
        <v xml:space="preserve">    General Motors Co</v>
      </c>
      <c r="B855" t="str">
        <f>$B$185</f>
        <v>GM US Equity</v>
      </c>
      <c r="C855" t="str">
        <f>$C$185</f>
        <v>RX077</v>
      </c>
      <c r="D855" t="str">
        <f>$D$185</f>
        <v>PX_TO_TANG_BOOK_VAL_PER_SH</v>
      </c>
      <c r="E855" t="str">
        <f>$E$185</f>
        <v>Dynamic</v>
      </c>
      <c r="F855" t="str">
        <f ca="1">_xll.BDH($B$185,$C$185,$B$675,$B$676,CONCATENATE("Per=",$B$673),"Dts=H","Dir=H",CONCATENATE("Points=",$B$674),"Sort=R","Days=A","Fill=B",CONCATENATE("FX=", $B$672) )</f>
        <v>#N/A Connection</v>
      </c>
      <c r="BN855" t="str">
        <f>""</f>
        <v/>
      </c>
      <c r="BO855" t="str">
        <f>""</f>
        <v/>
      </c>
      <c r="BP855" t="str">
        <f>""</f>
        <v/>
      </c>
      <c r="BQ855" t="str">
        <f>""</f>
        <v/>
      </c>
      <c r="BR855" t="str">
        <f>""</f>
        <v/>
      </c>
      <c r="BS855" t="str">
        <f>""</f>
        <v/>
      </c>
      <c r="BT855" t="str">
        <f>""</f>
        <v/>
      </c>
      <c r="BU855" t="str">
        <f>""</f>
        <v/>
      </c>
      <c r="BV855" t="str">
        <f>""</f>
        <v/>
      </c>
      <c r="BW855" t="str">
        <f>""</f>
        <v/>
      </c>
      <c r="BX855" t="str">
        <f>""</f>
        <v/>
      </c>
      <c r="BY855" t="str">
        <f>""</f>
        <v/>
      </c>
      <c r="BZ855" t="str">
        <f>""</f>
        <v/>
      </c>
      <c r="CA855" t="str">
        <f>""</f>
        <v/>
      </c>
      <c r="CB855" t="str">
        <f>""</f>
        <v/>
      </c>
      <c r="CC855" t="str">
        <f>""</f>
        <v/>
      </c>
      <c r="CD855" t="str">
        <f>""</f>
        <v/>
      </c>
      <c r="CE855" t="str">
        <f>""</f>
        <v/>
      </c>
      <c r="CF855" t="str">
        <f>""</f>
        <v/>
      </c>
      <c r="CG855" t="str">
        <f>""</f>
        <v/>
      </c>
      <c r="CH855" t="str">
        <f>""</f>
        <v/>
      </c>
      <c r="CI855" t="str">
        <f>""</f>
        <v/>
      </c>
      <c r="CJ855" t="str">
        <f>""</f>
        <v/>
      </c>
      <c r="CK855" t="str">
        <f>""</f>
        <v/>
      </c>
      <c r="CL855" t="str">
        <f>""</f>
        <v/>
      </c>
      <c r="CM855" t="str">
        <f>""</f>
        <v/>
      </c>
      <c r="CN855" t="str">
        <f>""</f>
        <v/>
      </c>
      <c r="CO855" t="str">
        <f>""</f>
        <v/>
      </c>
      <c r="CP855" t="str">
        <f>""</f>
        <v/>
      </c>
      <c r="CQ855" t="str">
        <f>""</f>
        <v/>
      </c>
      <c r="CR855" t="str">
        <f>""</f>
        <v/>
      </c>
      <c r="CS855" t="str">
        <f>""</f>
        <v/>
      </c>
      <c r="CT855" t="str">
        <f>""</f>
        <v/>
      </c>
      <c r="CU855" t="str">
        <f>""</f>
        <v/>
      </c>
      <c r="CV855" t="str">
        <f>""</f>
        <v/>
      </c>
      <c r="CW855" t="str">
        <f>""</f>
        <v/>
      </c>
      <c r="CX855" t="str">
        <f>""</f>
        <v/>
      </c>
      <c r="CY855" t="str">
        <f>""</f>
        <v/>
      </c>
      <c r="CZ855" t="str">
        <f>""</f>
        <v/>
      </c>
      <c r="DA855" t="str">
        <f>""</f>
        <v/>
      </c>
      <c r="DB855" t="str">
        <f>""</f>
        <v/>
      </c>
      <c r="DC855" t="str">
        <f>""</f>
        <v/>
      </c>
      <c r="DD855" t="str">
        <f>""</f>
        <v/>
      </c>
      <c r="DE855" t="str">
        <f>""</f>
        <v/>
      </c>
      <c r="DF855" t="str">
        <f>""</f>
        <v/>
      </c>
      <c r="DG855" t="str">
        <f>""</f>
        <v/>
      </c>
      <c r="DH855" t="str">
        <f>""</f>
        <v/>
      </c>
      <c r="DI855" t="str">
        <f>""</f>
        <v/>
      </c>
      <c r="DJ855" t="str">
        <f>""</f>
        <v/>
      </c>
      <c r="DK855" t="str">
        <f>""</f>
        <v/>
      </c>
      <c r="DL855" t="str">
        <f>""</f>
        <v/>
      </c>
      <c r="DM855" t="str">
        <f>""</f>
        <v/>
      </c>
      <c r="DN855" t="str">
        <f>""</f>
        <v/>
      </c>
      <c r="DO855" t="str">
        <f>""</f>
        <v/>
      </c>
      <c r="DP855" t="str">
        <f>""</f>
        <v/>
      </c>
      <c r="DQ855" t="str">
        <f>""</f>
        <v/>
      </c>
      <c r="DR855" t="str">
        <f>""</f>
        <v/>
      </c>
      <c r="DS855" t="str">
        <f>""</f>
        <v/>
      </c>
      <c r="DT855" t="str">
        <f>""</f>
        <v/>
      </c>
      <c r="DU855" t="str">
        <f>""</f>
        <v/>
      </c>
    </row>
    <row r="856" spans="1:125" x14ac:dyDescent="0.25">
      <c r="A856" t="str">
        <f>$A$186</f>
        <v xml:space="preserve">    Great Wall Motor Co Ltd</v>
      </c>
      <c r="B856" t="str">
        <f>$B$186</f>
        <v>2333 HK Equity</v>
      </c>
      <c r="C856" t="str">
        <f>$C$186</f>
        <v>RX077</v>
      </c>
      <c r="D856" t="str">
        <f>$D$186</f>
        <v>PX_TO_TANG_BOOK_VAL_PER_SH</v>
      </c>
      <c r="E856" t="str">
        <f>$E$186</f>
        <v>Dynamic</v>
      </c>
      <c r="F856" t="str">
        <f ca="1">_xll.BDH($B$186,$C$186,$B$675,$B$676,CONCATENATE("Per=",$B$673),"Dts=H","Dir=H",CONCATENATE("Points=",$B$674),"Sort=R","Days=A","Fill=B",CONCATENATE("FX=", $B$672) )</f>
        <v>#N/A Connection</v>
      </c>
      <c r="BN856" t="str">
        <f>""</f>
        <v/>
      </c>
      <c r="BO856" t="str">
        <f>""</f>
        <v/>
      </c>
      <c r="BP856" t="str">
        <f>""</f>
        <v/>
      </c>
      <c r="BQ856" t="str">
        <f>""</f>
        <v/>
      </c>
      <c r="BR856" t="str">
        <f>""</f>
        <v/>
      </c>
      <c r="BS856" t="str">
        <f>""</f>
        <v/>
      </c>
      <c r="BT856" t="str">
        <f>""</f>
        <v/>
      </c>
      <c r="BU856" t="str">
        <f>""</f>
        <v/>
      </c>
      <c r="BV856" t="str">
        <f>""</f>
        <v/>
      </c>
      <c r="BW856" t="str">
        <f>""</f>
        <v/>
      </c>
      <c r="BX856" t="str">
        <f>""</f>
        <v/>
      </c>
      <c r="BY856" t="str">
        <f>""</f>
        <v/>
      </c>
      <c r="BZ856" t="str">
        <f>""</f>
        <v/>
      </c>
      <c r="CA856" t="str">
        <f>""</f>
        <v/>
      </c>
      <c r="CB856" t="str">
        <f>""</f>
        <v/>
      </c>
      <c r="CC856" t="str">
        <f>""</f>
        <v/>
      </c>
      <c r="CD856" t="str">
        <f>""</f>
        <v/>
      </c>
      <c r="CE856" t="str">
        <f>""</f>
        <v/>
      </c>
      <c r="CF856" t="str">
        <f>""</f>
        <v/>
      </c>
      <c r="CG856" t="str">
        <f>""</f>
        <v/>
      </c>
      <c r="CH856" t="str">
        <f>""</f>
        <v/>
      </c>
      <c r="CI856" t="str">
        <f>""</f>
        <v/>
      </c>
      <c r="CJ856" t="str">
        <f>""</f>
        <v/>
      </c>
      <c r="CK856" t="str">
        <f>""</f>
        <v/>
      </c>
      <c r="CL856" t="str">
        <f>""</f>
        <v/>
      </c>
      <c r="CM856" t="str">
        <f>""</f>
        <v/>
      </c>
      <c r="CN856" t="str">
        <f>""</f>
        <v/>
      </c>
      <c r="CO856" t="str">
        <f>""</f>
        <v/>
      </c>
      <c r="CP856" t="str">
        <f>""</f>
        <v/>
      </c>
      <c r="CQ856" t="str">
        <f>""</f>
        <v/>
      </c>
      <c r="CR856" t="str">
        <f>""</f>
        <v/>
      </c>
      <c r="CS856" t="str">
        <f>""</f>
        <v/>
      </c>
      <c r="CT856" t="str">
        <f>""</f>
        <v/>
      </c>
      <c r="CU856" t="str">
        <f>""</f>
        <v/>
      </c>
      <c r="CV856" t="str">
        <f>""</f>
        <v/>
      </c>
      <c r="CW856" t="str">
        <f>""</f>
        <v/>
      </c>
      <c r="CX856" t="str">
        <f>""</f>
        <v/>
      </c>
      <c r="CY856" t="str">
        <f>""</f>
        <v/>
      </c>
      <c r="CZ856" t="str">
        <f>""</f>
        <v/>
      </c>
      <c r="DA856" t="str">
        <f>""</f>
        <v/>
      </c>
      <c r="DB856" t="str">
        <f>""</f>
        <v/>
      </c>
      <c r="DC856" t="str">
        <f>""</f>
        <v/>
      </c>
      <c r="DD856" t="str">
        <f>""</f>
        <v/>
      </c>
      <c r="DE856" t="str">
        <f>""</f>
        <v/>
      </c>
      <c r="DF856" t="str">
        <f>""</f>
        <v/>
      </c>
      <c r="DG856" t="str">
        <f>""</f>
        <v/>
      </c>
      <c r="DH856" t="str">
        <f>""</f>
        <v/>
      </c>
      <c r="DI856" t="str">
        <f>""</f>
        <v/>
      </c>
      <c r="DJ856" t="str">
        <f>""</f>
        <v/>
      </c>
      <c r="DK856" t="str">
        <f>""</f>
        <v/>
      </c>
      <c r="DL856" t="str">
        <f>""</f>
        <v/>
      </c>
      <c r="DM856" t="str">
        <f>""</f>
        <v/>
      </c>
      <c r="DN856" t="str">
        <f>""</f>
        <v/>
      </c>
      <c r="DO856" t="str">
        <f>""</f>
        <v/>
      </c>
      <c r="DP856" t="str">
        <f>""</f>
        <v/>
      </c>
      <c r="DQ856" t="str">
        <f>""</f>
        <v/>
      </c>
      <c r="DR856" t="str">
        <f>""</f>
        <v/>
      </c>
      <c r="DS856" t="str">
        <f>""</f>
        <v/>
      </c>
      <c r="DT856" t="str">
        <f>""</f>
        <v/>
      </c>
      <c r="DU856" t="str">
        <f>""</f>
        <v/>
      </c>
    </row>
    <row r="857" spans="1:125" x14ac:dyDescent="0.25">
      <c r="A857" t="str">
        <f>$A$187</f>
        <v xml:space="preserve">    Guangzhou Automobile Group Co Ltd</v>
      </c>
      <c r="B857" t="str">
        <f>$B$187</f>
        <v>2238 HK Equity</v>
      </c>
      <c r="C857" t="str">
        <f>$C$187</f>
        <v>RX077</v>
      </c>
      <c r="D857" t="str">
        <f>$D$187</f>
        <v>PX_TO_TANG_BOOK_VAL_PER_SH</v>
      </c>
      <c r="E857" t="str">
        <f>$E$187</f>
        <v>Dynamic</v>
      </c>
      <c r="F857" t="str">
        <f ca="1">_xll.BDH($B$187,$C$187,$B$675,$B$676,CONCATENATE("Per=",$B$673),"Dts=H","Dir=H",CONCATENATE("Points=",$B$674),"Sort=R","Days=A","Fill=B",CONCATENATE("FX=", $B$672) )</f>
        <v>#N/A Connection</v>
      </c>
      <c r="BN857" t="str">
        <f>""</f>
        <v/>
      </c>
      <c r="BO857" t="str">
        <f>""</f>
        <v/>
      </c>
      <c r="BP857" t="str">
        <f>""</f>
        <v/>
      </c>
      <c r="BQ857" t="str">
        <f>""</f>
        <v/>
      </c>
      <c r="BR857" t="str">
        <f>""</f>
        <v/>
      </c>
      <c r="BS857" t="str">
        <f>""</f>
        <v/>
      </c>
      <c r="BT857" t="str">
        <f>""</f>
        <v/>
      </c>
      <c r="BU857" t="str">
        <f>""</f>
        <v/>
      </c>
      <c r="BV857" t="str">
        <f>""</f>
        <v/>
      </c>
      <c r="BW857" t="str">
        <f>""</f>
        <v/>
      </c>
      <c r="BX857" t="str">
        <f>""</f>
        <v/>
      </c>
      <c r="BY857" t="str">
        <f>""</f>
        <v/>
      </c>
      <c r="BZ857" t="str">
        <f>""</f>
        <v/>
      </c>
      <c r="CA857" t="str">
        <f>""</f>
        <v/>
      </c>
      <c r="CB857" t="str">
        <f>""</f>
        <v/>
      </c>
      <c r="CC857" t="str">
        <f>""</f>
        <v/>
      </c>
      <c r="CD857" t="str">
        <f>""</f>
        <v/>
      </c>
      <c r="CE857" t="str">
        <f>""</f>
        <v/>
      </c>
      <c r="CF857" t="str">
        <f>""</f>
        <v/>
      </c>
      <c r="CG857" t="str">
        <f>""</f>
        <v/>
      </c>
      <c r="CH857" t="str">
        <f>""</f>
        <v/>
      </c>
      <c r="CI857" t="str">
        <f>""</f>
        <v/>
      </c>
      <c r="CJ857" t="str">
        <f>""</f>
        <v/>
      </c>
      <c r="CK857" t="str">
        <f>""</f>
        <v/>
      </c>
      <c r="CL857" t="str">
        <f>""</f>
        <v/>
      </c>
      <c r="CM857" t="str">
        <f>""</f>
        <v/>
      </c>
      <c r="CN857" t="str">
        <f>""</f>
        <v/>
      </c>
      <c r="CO857" t="str">
        <f>""</f>
        <v/>
      </c>
      <c r="CP857" t="str">
        <f>""</f>
        <v/>
      </c>
      <c r="CQ857" t="str">
        <f>""</f>
        <v/>
      </c>
      <c r="CR857" t="str">
        <f>""</f>
        <v/>
      </c>
      <c r="CS857" t="str">
        <f>""</f>
        <v/>
      </c>
      <c r="CT857" t="str">
        <f>""</f>
        <v/>
      </c>
      <c r="CU857" t="str">
        <f>""</f>
        <v/>
      </c>
      <c r="CV857" t="str">
        <f>""</f>
        <v/>
      </c>
      <c r="CW857" t="str">
        <f>""</f>
        <v/>
      </c>
      <c r="CX857" t="str">
        <f>""</f>
        <v/>
      </c>
      <c r="CY857" t="str">
        <f>""</f>
        <v/>
      </c>
      <c r="CZ857" t="str">
        <f>""</f>
        <v/>
      </c>
      <c r="DA857" t="str">
        <f>""</f>
        <v/>
      </c>
      <c r="DB857" t="str">
        <f>""</f>
        <v/>
      </c>
      <c r="DC857" t="str">
        <f>""</f>
        <v/>
      </c>
      <c r="DD857" t="str">
        <f>""</f>
        <v/>
      </c>
      <c r="DE857" t="str">
        <f>""</f>
        <v/>
      </c>
      <c r="DF857" t="str">
        <f>""</f>
        <v/>
      </c>
      <c r="DG857" t="str">
        <f>""</f>
        <v/>
      </c>
      <c r="DH857" t="str">
        <f>""</f>
        <v/>
      </c>
      <c r="DI857" t="str">
        <f>""</f>
        <v/>
      </c>
      <c r="DJ857" t="str">
        <f>""</f>
        <v/>
      </c>
      <c r="DK857" t="str">
        <f>""</f>
        <v/>
      </c>
      <c r="DL857" t="str">
        <f>""</f>
        <v/>
      </c>
      <c r="DM857" t="str">
        <f>""</f>
        <v/>
      </c>
      <c r="DN857" t="str">
        <f>""</f>
        <v/>
      </c>
      <c r="DO857" t="str">
        <f>""</f>
        <v/>
      </c>
      <c r="DP857" t="str">
        <f>""</f>
        <v/>
      </c>
      <c r="DQ857" t="str">
        <f>""</f>
        <v/>
      </c>
      <c r="DR857" t="str">
        <f>""</f>
        <v/>
      </c>
      <c r="DS857" t="str">
        <f>""</f>
        <v/>
      </c>
      <c r="DT857" t="str">
        <f>""</f>
        <v/>
      </c>
      <c r="DU857" t="str">
        <f>""</f>
        <v/>
      </c>
    </row>
    <row r="858" spans="1:125" x14ac:dyDescent="0.25">
      <c r="A858" t="str">
        <f>$A$188</f>
        <v xml:space="preserve">    Honda Motor Co Ltd</v>
      </c>
      <c r="B858" t="str">
        <f>$B$188</f>
        <v>7267 JP Equity</v>
      </c>
      <c r="C858" t="str">
        <f>$C$188</f>
        <v>RX077</v>
      </c>
      <c r="D858" t="str">
        <f>$D$188</f>
        <v>PX_TO_TANG_BOOK_VAL_PER_SH</v>
      </c>
      <c r="E858" t="str">
        <f>$E$188</f>
        <v>Dynamic</v>
      </c>
      <c r="F858" t="str">
        <f ca="1">_xll.BDH($B$188,$C$188,$B$675,$B$676,CONCATENATE("Per=",$B$673),"Dts=H","Dir=H",CONCATENATE("Points=",$B$674),"Sort=R","Days=A","Fill=B",CONCATENATE("FX=", $B$672) )</f>
        <v>#N/A Connection</v>
      </c>
      <c r="BN858" t="str">
        <f>""</f>
        <v/>
      </c>
      <c r="BO858" t="str">
        <f>""</f>
        <v/>
      </c>
      <c r="BP858" t="str">
        <f>""</f>
        <v/>
      </c>
      <c r="BQ858" t="str">
        <f>""</f>
        <v/>
      </c>
      <c r="BR858" t="str">
        <f>""</f>
        <v/>
      </c>
      <c r="BS858" t="str">
        <f>""</f>
        <v/>
      </c>
      <c r="BT858" t="str">
        <f>""</f>
        <v/>
      </c>
      <c r="BU858" t="str">
        <f>""</f>
        <v/>
      </c>
      <c r="BV858" t="str">
        <f>""</f>
        <v/>
      </c>
      <c r="BW858" t="str">
        <f>""</f>
        <v/>
      </c>
      <c r="BX858" t="str">
        <f>""</f>
        <v/>
      </c>
      <c r="BY858" t="str">
        <f>""</f>
        <v/>
      </c>
      <c r="BZ858" t="str">
        <f>""</f>
        <v/>
      </c>
      <c r="CA858" t="str">
        <f>""</f>
        <v/>
      </c>
      <c r="CB858" t="str">
        <f>""</f>
        <v/>
      </c>
      <c r="CC858" t="str">
        <f>""</f>
        <v/>
      </c>
      <c r="CD858" t="str">
        <f>""</f>
        <v/>
      </c>
      <c r="CE858" t="str">
        <f>""</f>
        <v/>
      </c>
      <c r="CF858" t="str">
        <f>""</f>
        <v/>
      </c>
      <c r="CG858" t="str">
        <f>""</f>
        <v/>
      </c>
      <c r="CH858" t="str">
        <f>""</f>
        <v/>
      </c>
      <c r="CI858" t="str">
        <f>""</f>
        <v/>
      </c>
      <c r="CJ858" t="str">
        <f>""</f>
        <v/>
      </c>
      <c r="CK858" t="str">
        <f>""</f>
        <v/>
      </c>
      <c r="CL858" t="str">
        <f>""</f>
        <v/>
      </c>
      <c r="CM858" t="str">
        <f>""</f>
        <v/>
      </c>
      <c r="CN858" t="str">
        <f>""</f>
        <v/>
      </c>
      <c r="CO858" t="str">
        <f>""</f>
        <v/>
      </c>
      <c r="CP858" t="str">
        <f>""</f>
        <v/>
      </c>
      <c r="CQ858" t="str">
        <f>""</f>
        <v/>
      </c>
      <c r="CR858" t="str">
        <f>""</f>
        <v/>
      </c>
      <c r="CS858" t="str">
        <f>""</f>
        <v/>
      </c>
      <c r="CT858" t="str">
        <f>""</f>
        <v/>
      </c>
      <c r="CU858" t="str">
        <f>""</f>
        <v/>
      </c>
      <c r="CV858" t="str">
        <f>""</f>
        <v/>
      </c>
      <c r="CW858" t="str">
        <f>""</f>
        <v/>
      </c>
      <c r="CX858" t="str">
        <f>""</f>
        <v/>
      </c>
      <c r="CY858" t="str">
        <f>""</f>
        <v/>
      </c>
      <c r="CZ858" t="str">
        <f>""</f>
        <v/>
      </c>
      <c r="DA858" t="str">
        <f>""</f>
        <v/>
      </c>
      <c r="DB858" t="str">
        <f>""</f>
        <v/>
      </c>
      <c r="DC858" t="str">
        <f>""</f>
        <v/>
      </c>
      <c r="DD858" t="str">
        <f>""</f>
        <v/>
      </c>
      <c r="DE858" t="str">
        <f>""</f>
        <v/>
      </c>
      <c r="DF858" t="str">
        <f>""</f>
        <v/>
      </c>
      <c r="DG858" t="str">
        <f>""</f>
        <v/>
      </c>
      <c r="DH858" t="str">
        <f>""</f>
        <v/>
      </c>
      <c r="DI858" t="str">
        <f>""</f>
        <v/>
      </c>
      <c r="DJ858" t="str">
        <f>""</f>
        <v/>
      </c>
      <c r="DK858" t="str">
        <f>""</f>
        <v/>
      </c>
      <c r="DL858" t="str">
        <f>""</f>
        <v/>
      </c>
      <c r="DM858" t="str">
        <f>""</f>
        <v/>
      </c>
      <c r="DN858" t="str">
        <f>""</f>
        <v/>
      </c>
      <c r="DO858" t="str">
        <f>""</f>
        <v/>
      </c>
      <c r="DP858" t="str">
        <f>""</f>
        <v/>
      </c>
      <c r="DQ858" t="str">
        <f>""</f>
        <v/>
      </c>
      <c r="DR858" t="str">
        <f>""</f>
        <v/>
      </c>
      <c r="DS858" t="str">
        <f>""</f>
        <v/>
      </c>
      <c r="DT858" t="str">
        <f>""</f>
        <v/>
      </c>
      <c r="DU858" t="str">
        <f>""</f>
        <v/>
      </c>
    </row>
    <row r="859" spans="1:125" x14ac:dyDescent="0.25">
      <c r="A859" t="str">
        <f>$A$189</f>
        <v xml:space="preserve">    Hyundai Motor Co</v>
      </c>
      <c r="B859" t="str">
        <f>$B$189</f>
        <v>005380 KS Equity</v>
      </c>
      <c r="C859" t="str">
        <f>$C$189</f>
        <v>RX077</v>
      </c>
      <c r="D859" t="str">
        <f>$D$189</f>
        <v>PX_TO_TANG_BOOK_VAL_PER_SH</v>
      </c>
      <c r="E859" t="str">
        <f>$E$189</f>
        <v>Dynamic</v>
      </c>
      <c r="F859" t="str">
        <f ca="1">_xll.BDH($B$189,$C$189,$B$675,$B$676,CONCATENATE("Per=",$B$673),"Dts=H","Dir=H",CONCATENATE("Points=",$B$674),"Sort=R","Days=A","Fill=B",CONCATENATE("FX=", $B$672) )</f>
        <v>#N/A Connection</v>
      </c>
      <c r="BN859" t="str">
        <f>""</f>
        <v/>
      </c>
      <c r="BO859" t="str">
        <f>""</f>
        <v/>
      </c>
      <c r="BP859" t="str">
        <f>""</f>
        <v/>
      </c>
      <c r="BQ859" t="str">
        <f>""</f>
        <v/>
      </c>
      <c r="BR859" t="str">
        <f>""</f>
        <v/>
      </c>
      <c r="BS859" t="str">
        <f>""</f>
        <v/>
      </c>
      <c r="BT859" t="str">
        <f>""</f>
        <v/>
      </c>
      <c r="BU859" t="str">
        <f>""</f>
        <v/>
      </c>
      <c r="BV859" t="str">
        <f>""</f>
        <v/>
      </c>
      <c r="BW859" t="str">
        <f>""</f>
        <v/>
      </c>
      <c r="BX859" t="str">
        <f>""</f>
        <v/>
      </c>
      <c r="BY859" t="str">
        <f>""</f>
        <v/>
      </c>
      <c r="BZ859" t="str">
        <f>""</f>
        <v/>
      </c>
      <c r="CA859" t="str">
        <f>""</f>
        <v/>
      </c>
      <c r="CB859" t="str">
        <f>""</f>
        <v/>
      </c>
      <c r="CC859" t="str">
        <f>""</f>
        <v/>
      </c>
      <c r="CD859" t="str">
        <f>""</f>
        <v/>
      </c>
      <c r="CE859" t="str">
        <f>""</f>
        <v/>
      </c>
      <c r="CF859" t="str">
        <f>""</f>
        <v/>
      </c>
      <c r="CG859" t="str">
        <f>""</f>
        <v/>
      </c>
      <c r="CH859" t="str">
        <f>""</f>
        <v/>
      </c>
      <c r="CI859" t="str">
        <f>""</f>
        <v/>
      </c>
      <c r="CJ859" t="str">
        <f>""</f>
        <v/>
      </c>
      <c r="CK859" t="str">
        <f>""</f>
        <v/>
      </c>
      <c r="CL859" t="str">
        <f>""</f>
        <v/>
      </c>
      <c r="CM859" t="str">
        <f>""</f>
        <v/>
      </c>
      <c r="CN859" t="str">
        <f>""</f>
        <v/>
      </c>
      <c r="CO859" t="str">
        <f>""</f>
        <v/>
      </c>
      <c r="CP859" t="str">
        <f>""</f>
        <v/>
      </c>
      <c r="CQ859" t="str">
        <f>""</f>
        <v/>
      </c>
      <c r="CR859" t="str">
        <f>""</f>
        <v/>
      </c>
      <c r="CS859" t="str">
        <f>""</f>
        <v/>
      </c>
      <c r="CT859" t="str">
        <f>""</f>
        <v/>
      </c>
      <c r="CU859" t="str">
        <f>""</f>
        <v/>
      </c>
      <c r="CV859" t="str">
        <f>""</f>
        <v/>
      </c>
      <c r="CW859" t="str">
        <f>""</f>
        <v/>
      </c>
      <c r="CX859" t="str">
        <f>""</f>
        <v/>
      </c>
      <c r="CY859" t="str">
        <f>""</f>
        <v/>
      </c>
      <c r="CZ859" t="str">
        <f>""</f>
        <v/>
      </c>
      <c r="DA859" t="str">
        <f>""</f>
        <v/>
      </c>
      <c r="DB859" t="str">
        <f>""</f>
        <v/>
      </c>
      <c r="DC859" t="str">
        <f>""</f>
        <v/>
      </c>
      <c r="DD859" t="str">
        <f>""</f>
        <v/>
      </c>
      <c r="DE859" t="str">
        <f>""</f>
        <v/>
      </c>
      <c r="DF859" t="str">
        <f>""</f>
        <v/>
      </c>
      <c r="DG859" t="str">
        <f>""</f>
        <v/>
      </c>
      <c r="DH859" t="str">
        <f>""</f>
        <v/>
      </c>
      <c r="DI859" t="str">
        <f>""</f>
        <v/>
      </c>
      <c r="DJ859" t="str">
        <f>""</f>
        <v/>
      </c>
      <c r="DK859" t="str">
        <f>""</f>
        <v/>
      </c>
      <c r="DL859" t="str">
        <f>""</f>
        <v/>
      </c>
      <c r="DM859" t="str">
        <f>""</f>
        <v/>
      </c>
      <c r="DN859" t="str">
        <f>""</f>
        <v/>
      </c>
      <c r="DO859" t="str">
        <f>""</f>
        <v/>
      </c>
      <c r="DP859" t="str">
        <f>""</f>
        <v/>
      </c>
      <c r="DQ859" t="str">
        <f>""</f>
        <v/>
      </c>
      <c r="DR859" t="str">
        <f>""</f>
        <v/>
      </c>
      <c r="DS859" t="str">
        <f>""</f>
        <v/>
      </c>
      <c r="DT859" t="str">
        <f>""</f>
        <v/>
      </c>
      <c r="DU859" t="str">
        <f>""</f>
        <v/>
      </c>
    </row>
    <row r="860" spans="1:125" x14ac:dyDescent="0.25">
      <c r="A860" t="str">
        <f>$A$190</f>
        <v xml:space="preserve">    Kia Motors Corp</v>
      </c>
      <c r="B860" t="str">
        <f>$B$190</f>
        <v>000270 KS Equity</v>
      </c>
      <c r="C860" t="str">
        <f>$C$190</f>
        <v>RX077</v>
      </c>
      <c r="D860" t="str">
        <f>$D$190</f>
        <v>PX_TO_TANG_BOOK_VAL_PER_SH</v>
      </c>
      <c r="E860" t="str">
        <f>$E$190</f>
        <v>Dynamic</v>
      </c>
      <c r="F860" t="str">
        <f ca="1">_xll.BDH($B$190,$C$190,$B$675,$B$676,CONCATENATE("Per=",$B$673),"Dts=H","Dir=H",CONCATENATE("Points=",$B$674),"Sort=R","Days=A","Fill=B",CONCATENATE("FX=", $B$672) )</f>
        <v>#N/A Connection</v>
      </c>
      <c r="BN860" t="str">
        <f>""</f>
        <v/>
      </c>
      <c r="BO860" t="str">
        <f>""</f>
        <v/>
      </c>
      <c r="BP860" t="str">
        <f>""</f>
        <v/>
      </c>
      <c r="BQ860" t="str">
        <f>""</f>
        <v/>
      </c>
      <c r="BR860" t="str">
        <f>""</f>
        <v/>
      </c>
      <c r="BS860" t="str">
        <f>""</f>
        <v/>
      </c>
      <c r="BT860" t="str">
        <f>""</f>
        <v/>
      </c>
      <c r="BU860" t="str">
        <f>""</f>
        <v/>
      </c>
      <c r="BV860" t="str">
        <f>""</f>
        <v/>
      </c>
      <c r="BW860" t="str">
        <f>""</f>
        <v/>
      </c>
      <c r="BX860" t="str">
        <f>""</f>
        <v/>
      </c>
      <c r="BY860" t="str">
        <f>""</f>
        <v/>
      </c>
      <c r="BZ860" t="str">
        <f>""</f>
        <v/>
      </c>
      <c r="CA860" t="str">
        <f>""</f>
        <v/>
      </c>
      <c r="CB860" t="str">
        <f>""</f>
        <v/>
      </c>
      <c r="CC860" t="str">
        <f>""</f>
        <v/>
      </c>
      <c r="CD860" t="str">
        <f>""</f>
        <v/>
      </c>
      <c r="CE860" t="str">
        <f>""</f>
        <v/>
      </c>
      <c r="CF860" t="str">
        <f>""</f>
        <v/>
      </c>
      <c r="CG860" t="str">
        <f>""</f>
        <v/>
      </c>
      <c r="CH860" t="str">
        <f>""</f>
        <v/>
      </c>
      <c r="CI860" t="str">
        <f>""</f>
        <v/>
      </c>
      <c r="CJ860" t="str">
        <f>""</f>
        <v/>
      </c>
      <c r="CK860" t="str">
        <f>""</f>
        <v/>
      </c>
      <c r="CL860" t="str">
        <f>""</f>
        <v/>
      </c>
      <c r="CM860" t="str">
        <f>""</f>
        <v/>
      </c>
      <c r="CN860" t="str">
        <f>""</f>
        <v/>
      </c>
      <c r="CO860" t="str">
        <f>""</f>
        <v/>
      </c>
      <c r="CP860" t="str">
        <f>""</f>
        <v/>
      </c>
      <c r="CQ860" t="str">
        <f>""</f>
        <v/>
      </c>
      <c r="CR860" t="str">
        <f>""</f>
        <v/>
      </c>
      <c r="CS860" t="str">
        <f>""</f>
        <v/>
      </c>
      <c r="CT860" t="str">
        <f>""</f>
        <v/>
      </c>
      <c r="CU860" t="str">
        <f>""</f>
        <v/>
      </c>
      <c r="CV860" t="str">
        <f>""</f>
        <v/>
      </c>
      <c r="CW860" t="str">
        <f>""</f>
        <v/>
      </c>
      <c r="CX860" t="str">
        <f>""</f>
        <v/>
      </c>
      <c r="CY860" t="str">
        <f>""</f>
        <v/>
      </c>
      <c r="CZ860" t="str">
        <f>""</f>
        <v/>
      </c>
      <c r="DA860" t="str">
        <f>""</f>
        <v/>
      </c>
      <c r="DB860" t="str">
        <f>""</f>
        <v/>
      </c>
      <c r="DC860" t="str">
        <f>""</f>
        <v/>
      </c>
      <c r="DD860" t="str">
        <f>""</f>
        <v/>
      </c>
      <c r="DE860" t="str">
        <f>""</f>
        <v/>
      </c>
      <c r="DF860" t="str">
        <f>""</f>
        <v/>
      </c>
      <c r="DG860" t="str">
        <f>""</f>
        <v/>
      </c>
      <c r="DH860" t="str">
        <f>""</f>
        <v/>
      </c>
      <c r="DI860" t="str">
        <f>""</f>
        <v/>
      </c>
      <c r="DJ860" t="str">
        <f>""</f>
        <v/>
      </c>
      <c r="DK860" t="str">
        <f>""</f>
        <v/>
      </c>
      <c r="DL860" t="str">
        <f>""</f>
        <v/>
      </c>
      <c r="DM860" t="str">
        <f>""</f>
        <v/>
      </c>
      <c r="DN860" t="str">
        <f>""</f>
        <v/>
      </c>
      <c r="DO860" t="str">
        <f>""</f>
        <v/>
      </c>
      <c r="DP860" t="str">
        <f>""</f>
        <v/>
      </c>
      <c r="DQ860" t="str">
        <f>""</f>
        <v/>
      </c>
      <c r="DR860" t="str">
        <f>""</f>
        <v/>
      </c>
      <c r="DS860" t="str">
        <f>""</f>
        <v/>
      </c>
      <c r="DT860" t="str">
        <f>""</f>
        <v/>
      </c>
      <c r="DU860" t="str">
        <f>""</f>
        <v/>
      </c>
    </row>
    <row r="861" spans="1:125" x14ac:dyDescent="0.25">
      <c r="A861" t="str">
        <f>$A$191</f>
        <v xml:space="preserve">    Mazda Motor Corp</v>
      </c>
      <c r="B861" t="str">
        <f>$B$191</f>
        <v>7261 JP Equity</v>
      </c>
      <c r="C861" t="str">
        <f>$C$191</f>
        <v>RX077</v>
      </c>
      <c r="D861" t="str">
        <f>$D$191</f>
        <v>PX_TO_TANG_BOOK_VAL_PER_SH</v>
      </c>
      <c r="E861" t="str">
        <f>$E$191</f>
        <v>Dynamic</v>
      </c>
      <c r="F861" t="str">
        <f ca="1">_xll.BDH($B$191,$C$191,$B$675,$B$676,CONCATENATE("Per=",$B$673),"Dts=H","Dir=H",CONCATENATE("Points=",$B$674),"Sort=R","Days=A","Fill=B",CONCATENATE("FX=", $B$672) )</f>
        <v>#N/A Connection</v>
      </c>
      <c r="BN861" t="str">
        <f>""</f>
        <v/>
      </c>
      <c r="BO861" t="str">
        <f>""</f>
        <v/>
      </c>
      <c r="BP861" t="str">
        <f>""</f>
        <v/>
      </c>
      <c r="BQ861" t="str">
        <f>""</f>
        <v/>
      </c>
      <c r="BR861" t="str">
        <f>""</f>
        <v/>
      </c>
      <c r="BS861" t="str">
        <f>""</f>
        <v/>
      </c>
      <c r="BT861" t="str">
        <f>""</f>
        <v/>
      </c>
      <c r="BU861" t="str">
        <f>""</f>
        <v/>
      </c>
      <c r="BV861" t="str">
        <f>""</f>
        <v/>
      </c>
      <c r="BW861" t="str">
        <f>""</f>
        <v/>
      </c>
      <c r="BX861" t="str">
        <f>""</f>
        <v/>
      </c>
      <c r="BY861" t="str">
        <f>""</f>
        <v/>
      </c>
      <c r="BZ861" t="str">
        <f>""</f>
        <v/>
      </c>
      <c r="CA861" t="str">
        <f>""</f>
        <v/>
      </c>
      <c r="CB861" t="str">
        <f>""</f>
        <v/>
      </c>
      <c r="CC861" t="str">
        <f>""</f>
        <v/>
      </c>
      <c r="CD861" t="str">
        <f>""</f>
        <v/>
      </c>
      <c r="CE861" t="str">
        <f>""</f>
        <v/>
      </c>
      <c r="CF861" t="str">
        <f>""</f>
        <v/>
      </c>
      <c r="CG861" t="str">
        <f>""</f>
        <v/>
      </c>
      <c r="CH861" t="str">
        <f>""</f>
        <v/>
      </c>
      <c r="CI861" t="str">
        <f>""</f>
        <v/>
      </c>
      <c r="CJ861" t="str">
        <f>""</f>
        <v/>
      </c>
      <c r="CK861" t="str">
        <f>""</f>
        <v/>
      </c>
      <c r="CL861" t="str">
        <f>""</f>
        <v/>
      </c>
      <c r="CM861" t="str">
        <f>""</f>
        <v/>
      </c>
      <c r="CN861" t="str">
        <f>""</f>
        <v/>
      </c>
      <c r="CO861" t="str">
        <f>""</f>
        <v/>
      </c>
      <c r="CP861" t="str">
        <f>""</f>
        <v/>
      </c>
      <c r="CQ861" t="str">
        <f>""</f>
        <v/>
      </c>
      <c r="CR861" t="str">
        <f>""</f>
        <v/>
      </c>
      <c r="CS861" t="str">
        <f>""</f>
        <v/>
      </c>
      <c r="CT861" t="str">
        <f>""</f>
        <v/>
      </c>
      <c r="CU861" t="str">
        <f>""</f>
        <v/>
      </c>
      <c r="CV861" t="str">
        <f>""</f>
        <v/>
      </c>
      <c r="CW861" t="str">
        <f>""</f>
        <v/>
      </c>
      <c r="CX861" t="str">
        <f>""</f>
        <v/>
      </c>
      <c r="CY861" t="str">
        <f>""</f>
        <v/>
      </c>
      <c r="CZ861" t="str">
        <f>""</f>
        <v/>
      </c>
      <c r="DA861" t="str">
        <f>""</f>
        <v/>
      </c>
      <c r="DB861" t="str">
        <f>""</f>
        <v/>
      </c>
      <c r="DC861" t="str">
        <f>""</f>
        <v/>
      </c>
      <c r="DD861" t="str">
        <f>""</f>
        <v/>
      </c>
      <c r="DE861" t="str">
        <f>""</f>
        <v/>
      </c>
      <c r="DF861" t="str">
        <f>""</f>
        <v/>
      </c>
      <c r="DG861" t="str">
        <f>""</f>
        <v/>
      </c>
      <c r="DH861" t="str">
        <f>""</f>
        <v/>
      </c>
      <c r="DI861" t="str">
        <f>""</f>
        <v/>
      </c>
      <c r="DJ861" t="str">
        <f>""</f>
        <v/>
      </c>
      <c r="DK861" t="str">
        <f>""</f>
        <v/>
      </c>
      <c r="DL861" t="str">
        <f>""</f>
        <v/>
      </c>
      <c r="DM861" t="str">
        <f>""</f>
        <v/>
      </c>
      <c r="DN861" t="str">
        <f>""</f>
        <v/>
      </c>
      <c r="DO861" t="str">
        <f>""</f>
        <v/>
      </c>
      <c r="DP861" t="str">
        <f>""</f>
        <v/>
      </c>
      <c r="DQ861" t="str">
        <f>""</f>
        <v/>
      </c>
      <c r="DR861" t="str">
        <f>""</f>
        <v/>
      </c>
      <c r="DS861" t="str">
        <f>""</f>
        <v/>
      </c>
      <c r="DT861" t="str">
        <f>""</f>
        <v/>
      </c>
      <c r="DU861" t="str">
        <f>""</f>
        <v/>
      </c>
    </row>
    <row r="862" spans="1:125" x14ac:dyDescent="0.25">
      <c r="A862" t="str">
        <f>$A$192</f>
        <v xml:space="preserve">    Mitsubishi Motors Corp</v>
      </c>
      <c r="B862" t="str">
        <f>$B$192</f>
        <v>7211 JP Equity</v>
      </c>
      <c r="C862" t="str">
        <f>$C$192</f>
        <v>RX077</v>
      </c>
      <c r="D862" t="str">
        <f>$D$192</f>
        <v>PX_TO_TANG_BOOK_VAL_PER_SH</v>
      </c>
      <c r="E862" t="str">
        <f>$E$192</f>
        <v>Dynamic</v>
      </c>
      <c r="F862" t="str">
        <f ca="1">_xll.BDH($B$192,$C$192,$B$675,$B$676,CONCATENATE("Per=",$B$673),"Dts=H","Dir=H",CONCATENATE("Points=",$B$674),"Sort=R","Days=A","Fill=B",CONCATENATE("FX=", $B$672) )</f>
        <v>#N/A Connection</v>
      </c>
      <c r="BN862" t="str">
        <f>""</f>
        <v/>
      </c>
      <c r="BO862" t="str">
        <f>""</f>
        <v/>
      </c>
      <c r="BP862" t="str">
        <f>""</f>
        <v/>
      </c>
      <c r="BQ862" t="str">
        <f>""</f>
        <v/>
      </c>
      <c r="BR862" t="str">
        <f>""</f>
        <v/>
      </c>
      <c r="BS862" t="str">
        <f>""</f>
        <v/>
      </c>
      <c r="BT862" t="str">
        <f>""</f>
        <v/>
      </c>
      <c r="BU862" t="str">
        <f>""</f>
        <v/>
      </c>
      <c r="BV862" t="str">
        <f>""</f>
        <v/>
      </c>
      <c r="BW862" t="str">
        <f>""</f>
        <v/>
      </c>
      <c r="BX862" t="str">
        <f>""</f>
        <v/>
      </c>
      <c r="BY862" t="str">
        <f>""</f>
        <v/>
      </c>
      <c r="BZ862" t="str">
        <f>""</f>
        <v/>
      </c>
      <c r="CA862" t="str">
        <f>""</f>
        <v/>
      </c>
      <c r="CB862" t="str">
        <f>""</f>
        <v/>
      </c>
      <c r="CC862" t="str">
        <f>""</f>
        <v/>
      </c>
      <c r="CD862" t="str">
        <f>""</f>
        <v/>
      </c>
      <c r="CE862" t="str">
        <f>""</f>
        <v/>
      </c>
      <c r="CF862" t="str">
        <f>""</f>
        <v/>
      </c>
      <c r="CG862" t="str">
        <f>""</f>
        <v/>
      </c>
      <c r="CH862" t="str">
        <f>""</f>
        <v/>
      </c>
      <c r="CI862" t="str">
        <f>""</f>
        <v/>
      </c>
      <c r="CJ862" t="str">
        <f>""</f>
        <v/>
      </c>
      <c r="CK862" t="str">
        <f>""</f>
        <v/>
      </c>
      <c r="CL862" t="str">
        <f>""</f>
        <v/>
      </c>
      <c r="CM862" t="str">
        <f>""</f>
        <v/>
      </c>
      <c r="CN862" t="str">
        <f>""</f>
        <v/>
      </c>
      <c r="CO862" t="str">
        <f>""</f>
        <v/>
      </c>
      <c r="CP862" t="str">
        <f>""</f>
        <v/>
      </c>
      <c r="CQ862" t="str">
        <f>""</f>
        <v/>
      </c>
      <c r="CR862" t="str">
        <f>""</f>
        <v/>
      </c>
      <c r="CS862" t="str">
        <f>""</f>
        <v/>
      </c>
      <c r="CT862" t="str">
        <f>""</f>
        <v/>
      </c>
      <c r="CU862" t="str">
        <f>""</f>
        <v/>
      </c>
      <c r="CV862" t="str">
        <f>""</f>
        <v/>
      </c>
      <c r="CW862" t="str">
        <f>""</f>
        <v/>
      </c>
      <c r="CX862" t="str">
        <f>""</f>
        <v/>
      </c>
      <c r="CY862" t="str">
        <f>""</f>
        <v/>
      </c>
      <c r="CZ862" t="str">
        <f>""</f>
        <v/>
      </c>
      <c r="DA862" t="str">
        <f>""</f>
        <v/>
      </c>
      <c r="DB862" t="str">
        <f>""</f>
        <v/>
      </c>
      <c r="DC862" t="str">
        <f>""</f>
        <v/>
      </c>
      <c r="DD862" t="str">
        <f>""</f>
        <v/>
      </c>
      <c r="DE862" t="str">
        <f>""</f>
        <v/>
      </c>
      <c r="DF862" t="str">
        <f>""</f>
        <v/>
      </c>
      <c r="DG862" t="str">
        <f>""</f>
        <v/>
      </c>
      <c r="DH862" t="str">
        <f>""</f>
        <v/>
      </c>
      <c r="DI862" t="str">
        <f>""</f>
        <v/>
      </c>
      <c r="DJ862" t="str">
        <f>""</f>
        <v/>
      </c>
      <c r="DK862" t="str">
        <f>""</f>
        <v/>
      </c>
      <c r="DL862" t="str">
        <f>""</f>
        <v/>
      </c>
      <c r="DM862" t="str">
        <f>""</f>
        <v/>
      </c>
      <c r="DN862" t="str">
        <f>""</f>
        <v/>
      </c>
      <c r="DO862" t="str">
        <f>""</f>
        <v/>
      </c>
      <c r="DP862" t="str">
        <f>""</f>
        <v/>
      </c>
      <c r="DQ862" t="str">
        <f>""</f>
        <v/>
      </c>
      <c r="DR862" t="str">
        <f>""</f>
        <v/>
      </c>
      <c r="DS862" t="str">
        <f>""</f>
        <v/>
      </c>
      <c r="DT862" t="str">
        <f>""</f>
        <v/>
      </c>
      <c r="DU862" t="str">
        <f>""</f>
        <v/>
      </c>
    </row>
    <row r="863" spans="1:125" x14ac:dyDescent="0.25">
      <c r="A863" t="str">
        <f>$A$193</f>
        <v xml:space="preserve">    Nissan Motor Co Ltd</v>
      </c>
      <c r="B863" t="str">
        <f>$B$193</f>
        <v>7201 JP Equity</v>
      </c>
      <c r="C863" t="str">
        <f>$C$193</f>
        <v>RX077</v>
      </c>
      <c r="D863" t="str">
        <f>$D$193</f>
        <v>PX_TO_TANG_BOOK_VAL_PER_SH</v>
      </c>
      <c r="E863" t="str">
        <f>$E$193</f>
        <v>Dynamic</v>
      </c>
      <c r="F863" t="str">
        <f ca="1">_xll.BDH($B$193,$C$193,$B$675,$B$676,CONCATENATE("Per=",$B$673),"Dts=H","Dir=H",CONCATENATE("Points=",$B$674),"Sort=R","Days=A","Fill=B",CONCATENATE("FX=", $B$672) )</f>
        <v>#N/A Connection</v>
      </c>
      <c r="BN863" t="str">
        <f>""</f>
        <v/>
      </c>
      <c r="BO863" t="str">
        <f>""</f>
        <v/>
      </c>
      <c r="BP863" t="str">
        <f>""</f>
        <v/>
      </c>
      <c r="BQ863" t="str">
        <f>""</f>
        <v/>
      </c>
      <c r="BR863" t="str">
        <f>""</f>
        <v/>
      </c>
      <c r="BS863" t="str">
        <f>""</f>
        <v/>
      </c>
      <c r="BT863" t="str">
        <f>""</f>
        <v/>
      </c>
      <c r="BU863" t="str">
        <f>""</f>
        <v/>
      </c>
      <c r="BV863" t="str">
        <f>""</f>
        <v/>
      </c>
      <c r="BW863" t="str">
        <f>""</f>
        <v/>
      </c>
      <c r="BX863" t="str">
        <f>""</f>
        <v/>
      </c>
      <c r="BY863" t="str">
        <f>""</f>
        <v/>
      </c>
      <c r="BZ863" t="str">
        <f>""</f>
        <v/>
      </c>
      <c r="CA863" t="str">
        <f>""</f>
        <v/>
      </c>
      <c r="CB863" t="str">
        <f>""</f>
        <v/>
      </c>
      <c r="CC863" t="str">
        <f>""</f>
        <v/>
      </c>
      <c r="CD863" t="str">
        <f>""</f>
        <v/>
      </c>
      <c r="CE863" t="str">
        <f>""</f>
        <v/>
      </c>
      <c r="CF863" t="str">
        <f>""</f>
        <v/>
      </c>
      <c r="CG863" t="str">
        <f>""</f>
        <v/>
      </c>
      <c r="CH863" t="str">
        <f>""</f>
        <v/>
      </c>
      <c r="CI863" t="str">
        <f>""</f>
        <v/>
      </c>
      <c r="CJ863" t="str">
        <f>""</f>
        <v/>
      </c>
      <c r="CK863" t="str">
        <f>""</f>
        <v/>
      </c>
      <c r="CL863" t="str">
        <f>""</f>
        <v/>
      </c>
      <c r="CM863" t="str">
        <f>""</f>
        <v/>
      </c>
      <c r="CN863" t="str">
        <f>""</f>
        <v/>
      </c>
      <c r="CO863" t="str">
        <f>""</f>
        <v/>
      </c>
      <c r="CP863" t="str">
        <f>""</f>
        <v/>
      </c>
      <c r="CQ863" t="str">
        <f>""</f>
        <v/>
      </c>
      <c r="CR863" t="str">
        <f>""</f>
        <v/>
      </c>
      <c r="CS863" t="str">
        <f>""</f>
        <v/>
      </c>
      <c r="CT863" t="str">
        <f>""</f>
        <v/>
      </c>
      <c r="CU863" t="str">
        <f>""</f>
        <v/>
      </c>
      <c r="CV863" t="str">
        <f>""</f>
        <v/>
      </c>
      <c r="CW863" t="str">
        <f>""</f>
        <v/>
      </c>
      <c r="CX863" t="str">
        <f>""</f>
        <v/>
      </c>
      <c r="CY863" t="str">
        <f>""</f>
        <v/>
      </c>
      <c r="CZ863" t="str">
        <f>""</f>
        <v/>
      </c>
      <c r="DA863" t="str">
        <f>""</f>
        <v/>
      </c>
      <c r="DB863" t="str">
        <f>""</f>
        <v/>
      </c>
      <c r="DC863" t="str">
        <f>""</f>
        <v/>
      </c>
      <c r="DD863" t="str">
        <f>""</f>
        <v/>
      </c>
      <c r="DE863" t="str">
        <f>""</f>
        <v/>
      </c>
      <c r="DF863" t="str">
        <f>""</f>
        <v/>
      </c>
      <c r="DG863" t="str">
        <f>""</f>
        <v/>
      </c>
      <c r="DH863" t="str">
        <f>""</f>
        <v/>
      </c>
      <c r="DI863" t="str">
        <f>""</f>
        <v/>
      </c>
      <c r="DJ863" t="str">
        <f>""</f>
        <v/>
      </c>
      <c r="DK863" t="str">
        <f>""</f>
        <v/>
      </c>
      <c r="DL863" t="str">
        <f>""</f>
        <v/>
      </c>
      <c r="DM863" t="str">
        <f>""</f>
        <v/>
      </c>
      <c r="DN863" t="str">
        <f>""</f>
        <v/>
      </c>
      <c r="DO863" t="str">
        <f>""</f>
        <v/>
      </c>
      <c r="DP863" t="str">
        <f>""</f>
        <v/>
      </c>
      <c r="DQ863" t="str">
        <f>""</f>
        <v/>
      </c>
      <c r="DR863" t="str">
        <f>""</f>
        <v/>
      </c>
      <c r="DS863" t="str">
        <f>""</f>
        <v/>
      </c>
      <c r="DT863" t="str">
        <f>""</f>
        <v/>
      </c>
      <c r="DU863" t="str">
        <f>""</f>
        <v/>
      </c>
    </row>
    <row r="864" spans="1:125" x14ac:dyDescent="0.25">
      <c r="A864" t="str">
        <f>$A$194</f>
        <v xml:space="preserve">    Peugeot SA</v>
      </c>
      <c r="B864" t="str">
        <f>$B$194</f>
        <v>UG FP Equity</v>
      </c>
      <c r="C864" t="str">
        <f>$C$194</f>
        <v>RX077</v>
      </c>
      <c r="D864" t="str">
        <f>$D$194</f>
        <v>PX_TO_TANG_BOOK_VAL_PER_SH</v>
      </c>
      <c r="E864" t="str">
        <f>$E$194</f>
        <v>Dynamic</v>
      </c>
      <c r="F864" t="str">
        <f ca="1">_xll.BDH($B$194,$C$194,$B$675,$B$676,CONCATENATE("Per=",$B$673),"Dts=H","Dir=H",CONCATENATE("Points=",$B$674),"Sort=R","Days=A","Fill=B",CONCATENATE("FX=", $B$672) )</f>
        <v>#N/A Connection</v>
      </c>
      <c r="BN864" t="str">
        <f>""</f>
        <v/>
      </c>
      <c r="BO864" t="str">
        <f>""</f>
        <v/>
      </c>
      <c r="BP864" t="str">
        <f>""</f>
        <v/>
      </c>
      <c r="BQ864" t="str">
        <f>""</f>
        <v/>
      </c>
      <c r="BR864" t="str">
        <f>""</f>
        <v/>
      </c>
      <c r="BS864" t="str">
        <f>""</f>
        <v/>
      </c>
      <c r="BT864" t="str">
        <f>""</f>
        <v/>
      </c>
      <c r="BU864" t="str">
        <f>""</f>
        <v/>
      </c>
      <c r="BV864" t="str">
        <f>""</f>
        <v/>
      </c>
      <c r="BW864" t="str">
        <f>""</f>
        <v/>
      </c>
      <c r="BX864" t="str">
        <f>""</f>
        <v/>
      </c>
      <c r="BY864" t="str">
        <f>""</f>
        <v/>
      </c>
      <c r="BZ864" t="str">
        <f>""</f>
        <v/>
      </c>
      <c r="CA864" t="str">
        <f>""</f>
        <v/>
      </c>
      <c r="CB864" t="str">
        <f>""</f>
        <v/>
      </c>
      <c r="CC864" t="str">
        <f>""</f>
        <v/>
      </c>
      <c r="CD864" t="str">
        <f>""</f>
        <v/>
      </c>
      <c r="CE864" t="str">
        <f>""</f>
        <v/>
      </c>
      <c r="CF864" t="str">
        <f>""</f>
        <v/>
      </c>
      <c r="CG864" t="str">
        <f>""</f>
        <v/>
      </c>
      <c r="CH864" t="str">
        <f>""</f>
        <v/>
      </c>
      <c r="CI864" t="str">
        <f>""</f>
        <v/>
      </c>
      <c r="CJ864" t="str">
        <f>""</f>
        <v/>
      </c>
      <c r="CK864" t="str">
        <f>""</f>
        <v/>
      </c>
      <c r="CL864" t="str">
        <f>""</f>
        <v/>
      </c>
      <c r="CM864" t="str">
        <f>""</f>
        <v/>
      </c>
      <c r="CN864" t="str">
        <f>""</f>
        <v/>
      </c>
      <c r="CO864" t="str">
        <f>""</f>
        <v/>
      </c>
      <c r="CP864" t="str">
        <f>""</f>
        <v/>
      </c>
      <c r="CQ864" t="str">
        <f>""</f>
        <v/>
      </c>
      <c r="CR864" t="str">
        <f>""</f>
        <v/>
      </c>
      <c r="CS864" t="str">
        <f>""</f>
        <v/>
      </c>
      <c r="CT864" t="str">
        <f>""</f>
        <v/>
      </c>
      <c r="CU864" t="str">
        <f>""</f>
        <v/>
      </c>
      <c r="CV864" t="str">
        <f>""</f>
        <v/>
      </c>
      <c r="CW864" t="str">
        <f>""</f>
        <v/>
      </c>
      <c r="CX864" t="str">
        <f>""</f>
        <v/>
      </c>
      <c r="CY864" t="str">
        <f>""</f>
        <v/>
      </c>
      <c r="CZ864" t="str">
        <f>""</f>
        <v/>
      </c>
      <c r="DA864" t="str">
        <f>""</f>
        <v/>
      </c>
      <c r="DB864" t="str">
        <f>""</f>
        <v/>
      </c>
      <c r="DC864" t="str">
        <f>""</f>
        <v/>
      </c>
      <c r="DD864" t="str">
        <f>""</f>
        <v/>
      </c>
      <c r="DE864" t="str">
        <f>""</f>
        <v/>
      </c>
      <c r="DF864" t="str">
        <f>""</f>
        <v/>
      </c>
      <c r="DG864" t="str">
        <f>""</f>
        <v/>
      </c>
      <c r="DH864" t="str">
        <f>""</f>
        <v/>
      </c>
      <c r="DI864" t="str">
        <f>""</f>
        <v/>
      </c>
      <c r="DJ864" t="str">
        <f>""</f>
        <v/>
      </c>
      <c r="DK864" t="str">
        <f>""</f>
        <v/>
      </c>
      <c r="DL864" t="str">
        <f>""</f>
        <v/>
      </c>
      <c r="DM864" t="str">
        <f>""</f>
        <v/>
      </c>
      <c r="DN864" t="str">
        <f>""</f>
        <v/>
      </c>
      <c r="DO864" t="str">
        <f>""</f>
        <v/>
      </c>
      <c r="DP864" t="str">
        <f>""</f>
        <v/>
      </c>
      <c r="DQ864" t="str">
        <f>""</f>
        <v/>
      </c>
      <c r="DR864" t="str">
        <f>""</f>
        <v/>
      </c>
      <c r="DS864" t="str">
        <f>""</f>
        <v/>
      </c>
      <c r="DT864" t="str">
        <f>""</f>
        <v/>
      </c>
      <c r="DU864" t="str">
        <f>""</f>
        <v/>
      </c>
    </row>
    <row r="865" spans="1:125" x14ac:dyDescent="0.25">
      <c r="A865" t="str">
        <f>$A$195</f>
        <v xml:space="preserve">    Renault SA</v>
      </c>
      <c r="B865" t="str">
        <f>$B$195</f>
        <v>RNO FP Equity</v>
      </c>
      <c r="C865" t="str">
        <f>$C$195</f>
        <v>RX077</v>
      </c>
      <c r="D865" t="str">
        <f>$D$195</f>
        <v>PX_TO_TANG_BOOK_VAL_PER_SH</v>
      </c>
      <c r="E865" t="str">
        <f>$E$195</f>
        <v>Dynamic</v>
      </c>
      <c r="F865" t="str">
        <f ca="1">_xll.BDH($B$195,$C$195,$B$675,$B$676,CONCATENATE("Per=",$B$673),"Dts=H","Dir=H",CONCATENATE("Points=",$B$674),"Sort=R","Days=A","Fill=B",CONCATENATE("FX=", $B$672) )</f>
        <v>#N/A Connection</v>
      </c>
      <c r="BN865" t="str">
        <f>""</f>
        <v/>
      </c>
      <c r="BO865" t="str">
        <f>""</f>
        <v/>
      </c>
      <c r="BP865" t="str">
        <f>""</f>
        <v/>
      </c>
      <c r="BQ865" t="str">
        <f>""</f>
        <v/>
      </c>
      <c r="BR865" t="str">
        <f>""</f>
        <v/>
      </c>
      <c r="BS865" t="str">
        <f>""</f>
        <v/>
      </c>
      <c r="BT865" t="str">
        <f>""</f>
        <v/>
      </c>
      <c r="BU865" t="str">
        <f>""</f>
        <v/>
      </c>
      <c r="BV865" t="str">
        <f>""</f>
        <v/>
      </c>
      <c r="BW865" t="str">
        <f>""</f>
        <v/>
      </c>
      <c r="BX865" t="str">
        <f>""</f>
        <v/>
      </c>
      <c r="BY865" t="str">
        <f>""</f>
        <v/>
      </c>
      <c r="BZ865" t="str">
        <f>""</f>
        <v/>
      </c>
      <c r="CA865" t="str">
        <f>""</f>
        <v/>
      </c>
      <c r="CB865" t="str">
        <f>""</f>
        <v/>
      </c>
      <c r="CC865" t="str">
        <f>""</f>
        <v/>
      </c>
      <c r="CD865" t="str">
        <f>""</f>
        <v/>
      </c>
      <c r="CE865" t="str">
        <f>""</f>
        <v/>
      </c>
      <c r="CF865" t="str">
        <f>""</f>
        <v/>
      </c>
      <c r="CG865" t="str">
        <f>""</f>
        <v/>
      </c>
      <c r="CH865" t="str">
        <f>""</f>
        <v/>
      </c>
      <c r="CI865" t="str">
        <f>""</f>
        <v/>
      </c>
      <c r="CJ865" t="str">
        <f>""</f>
        <v/>
      </c>
      <c r="CK865" t="str">
        <f>""</f>
        <v/>
      </c>
      <c r="CL865" t="str">
        <f>""</f>
        <v/>
      </c>
      <c r="CM865" t="str">
        <f>""</f>
        <v/>
      </c>
      <c r="CN865" t="str">
        <f>""</f>
        <v/>
      </c>
      <c r="CO865" t="str">
        <f>""</f>
        <v/>
      </c>
      <c r="CP865" t="str">
        <f>""</f>
        <v/>
      </c>
      <c r="CQ865" t="str">
        <f>""</f>
        <v/>
      </c>
      <c r="CR865" t="str">
        <f>""</f>
        <v/>
      </c>
      <c r="CS865" t="str">
        <f>""</f>
        <v/>
      </c>
      <c r="CT865" t="str">
        <f>""</f>
        <v/>
      </c>
      <c r="CU865" t="str">
        <f>""</f>
        <v/>
      </c>
      <c r="CV865" t="str">
        <f>""</f>
        <v/>
      </c>
      <c r="CW865" t="str">
        <f>""</f>
        <v/>
      </c>
      <c r="CX865" t="str">
        <f>""</f>
        <v/>
      </c>
      <c r="CY865" t="str">
        <f>""</f>
        <v/>
      </c>
      <c r="CZ865" t="str">
        <f>""</f>
        <v/>
      </c>
      <c r="DA865" t="str">
        <f>""</f>
        <v/>
      </c>
      <c r="DB865" t="str">
        <f>""</f>
        <v/>
      </c>
      <c r="DC865" t="str">
        <f>""</f>
        <v/>
      </c>
      <c r="DD865" t="str">
        <f>""</f>
        <v/>
      </c>
      <c r="DE865" t="str">
        <f>""</f>
        <v/>
      </c>
      <c r="DF865" t="str">
        <f>""</f>
        <v/>
      </c>
      <c r="DG865" t="str">
        <f>""</f>
        <v/>
      </c>
      <c r="DH865" t="str">
        <f>""</f>
        <v/>
      </c>
      <c r="DI865" t="str">
        <f>""</f>
        <v/>
      </c>
      <c r="DJ865" t="str">
        <f>""</f>
        <v/>
      </c>
      <c r="DK865" t="str">
        <f>""</f>
        <v/>
      </c>
      <c r="DL865" t="str">
        <f>""</f>
        <v/>
      </c>
      <c r="DM865" t="str">
        <f>""</f>
        <v/>
      </c>
      <c r="DN865" t="str">
        <f>""</f>
        <v/>
      </c>
      <c r="DO865" t="str">
        <f>""</f>
        <v/>
      </c>
      <c r="DP865" t="str">
        <f>""</f>
        <v/>
      </c>
      <c r="DQ865" t="str">
        <f>""</f>
        <v/>
      </c>
      <c r="DR865" t="str">
        <f>""</f>
        <v/>
      </c>
      <c r="DS865" t="str">
        <f>""</f>
        <v/>
      </c>
      <c r="DT865" t="str">
        <f>""</f>
        <v/>
      </c>
      <c r="DU865" t="str">
        <f>""</f>
        <v/>
      </c>
    </row>
    <row r="866" spans="1:125" x14ac:dyDescent="0.25">
      <c r="A866" t="str">
        <f>$A$196</f>
        <v xml:space="preserve">    SAIC Motor Corp Ltd</v>
      </c>
      <c r="B866" t="str">
        <f>$B$196</f>
        <v>600104 CH Equity</v>
      </c>
      <c r="C866" t="str">
        <f>$C$196</f>
        <v>RX077</v>
      </c>
      <c r="D866" t="str">
        <f>$D$196</f>
        <v>PX_TO_TANG_BOOK_VAL_PER_SH</v>
      </c>
      <c r="E866" t="str">
        <f>$E$196</f>
        <v>Dynamic</v>
      </c>
      <c r="F866" t="str">
        <f ca="1">_xll.BDH($B$196,$C$196,$B$675,$B$676,CONCATENATE("Per=",$B$673),"Dts=H","Dir=H",CONCATENATE("Points=",$B$674),"Sort=R","Days=A","Fill=B",CONCATENATE("FX=", $B$672) )</f>
        <v>#N/A Connection</v>
      </c>
      <c r="BN866" t="str">
        <f>""</f>
        <v/>
      </c>
      <c r="BO866" t="str">
        <f>""</f>
        <v/>
      </c>
      <c r="BP866" t="str">
        <f>""</f>
        <v/>
      </c>
      <c r="BQ866" t="str">
        <f>""</f>
        <v/>
      </c>
      <c r="BR866" t="str">
        <f>""</f>
        <v/>
      </c>
      <c r="BS866" t="str">
        <f>""</f>
        <v/>
      </c>
      <c r="BT866" t="str">
        <f>""</f>
        <v/>
      </c>
      <c r="BU866" t="str">
        <f>""</f>
        <v/>
      </c>
      <c r="BV866" t="str">
        <f>""</f>
        <v/>
      </c>
      <c r="BW866" t="str">
        <f>""</f>
        <v/>
      </c>
      <c r="BX866" t="str">
        <f>""</f>
        <v/>
      </c>
      <c r="BY866" t="str">
        <f>""</f>
        <v/>
      </c>
      <c r="BZ866" t="str">
        <f>""</f>
        <v/>
      </c>
      <c r="CA866" t="str">
        <f>""</f>
        <v/>
      </c>
      <c r="CB866" t="str">
        <f>""</f>
        <v/>
      </c>
      <c r="CC866" t="str">
        <f>""</f>
        <v/>
      </c>
      <c r="CD866" t="str">
        <f>""</f>
        <v/>
      </c>
      <c r="CE866" t="str">
        <f>""</f>
        <v/>
      </c>
      <c r="CF866" t="str">
        <f>""</f>
        <v/>
      </c>
      <c r="CG866" t="str">
        <f>""</f>
        <v/>
      </c>
      <c r="CH866" t="str">
        <f>""</f>
        <v/>
      </c>
      <c r="CI866" t="str">
        <f>""</f>
        <v/>
      </c>
      <c r="CJ866" t="str">
        <f>""</f>
        <v/>
      </c>
      <c r="CK866" t="str">
        <f>""</f>
        <v/>
      </c>
      <c r="CL866" t="str">
        <f>""</f>
        <v/>
      </c>
      <c r="CM866" t="str">
        <f>""</f>
        <v/>
      </c>
      <c r="CN866" t="str">
        <f>""</f>
        <v/>
      </c>
      <c r="CO866" t="str">
        <f>""</f>
        <v/>
      </c>
      <c r="CP866" t="str">
        <f>""</f>
        <v/>
      </c>
      <c r="CQ866" t="str">
        <f>""</f>
        <v/>
      </c>
      <c r="CR866" t="str">
        <f>""</f>
        <v/>
      </c>
      <c r="CS866" t="str">
        <f>""</f>
        <v/>
      </c>
      <c r="CT866" t="str">
        <f>""</f>
        <v/>
      </c>
      <c r="CU866" t="str">
        <f>""</f>
        <v/>
      </c>
      <c r="CV866" t="str">
        <f>""</f>
        <v/>
      </c>
      <c r="CW866" t="str">
        <f>""</f>
        <v/>
      </c>
      <c r="CX866" t="str">
        <f>""</f>
        <v/>
      </c>
      <c r="CY866" t="str">
        <f>""</f>
        <v/>
      </c>
      <c r="CZ866" t="str">
        <f>""</f>
        <v/>
      </c>
      <c r="DA866" t="str">
        <f>""</f>
        <v/>
      </c>
      <c r="DB866" t="str">
        <f>""</f>
        <v/>
      </c>
      <c r="DC866" t="str">
        <f>""</f>
        <v/>
      </c>
      <c r="DD866" t="str">
        <f>""</f>
        <v/>
      </c>
      <c r="DE866" t="str">
        <f>""</f>
        <v/>
      </c>
      <c r="DF866" t="str">
        <f>""</f>
        <v/>
      </c>
      <c r="DG866" t="str">
        <f>""</f>
        <v/>
      </c>
      <c r="DH866" t="str">
        <f>""</f>
        <v/>
      </c>
      <c r="DI866" t="str">
        <f>""</f>
        <v/>
      </c>
      <c r="DJ866" t="str">
        <f>""</f>
        <v/>
      </c>
      <c r="DK866" t="str">
        <f>""</f>
        <v/>
      </c>
      <c r="DL866" t="str">
        <f>""</f>
        <v/>
      </c>
      <c r="DM866" t="str">
        <f>""</f>
        <v/>
      </c>
      <c r="DN866" t="str">
        <f>""</f>
        <v/>
      </c>
      <c r="DO866" t="str">
        <f>""</f>
        <v/>
      </c>
      <c r="DP866" t="str">
        <f>""</f>
        <v/>
      </c>
      <c r="DQ866" t="str">
        <f>""</f>
        <v/>
      </c>
      <c r="DR866" t="str">
        <f>""</f>
        <v/>
      </c>
      <c r="DS866" t="str">
        <f>""</f>
        <v/>
      </c>
      <c r="DT866" t="str">
        <f>""</f>
        <v/>
      </c>
      <c r="DU866" t="str">
        <f>""</f>
        <v/>
      </c>
    </row>
    <row r="867" spans="1:125" x14ac:dyDescent="0.25">
      <c r="A867" t="str">
        <f>$A$197</f>
        <v xml:space="preserve">    Sanyang Motor Co Ltd</v>
      </c>
      <c r="B867" t="str">
        <f>$B$197</f>
        <v>2206 TT Equity</v>
      </c>
      <c r="C867" t="str">
        <f>$C$197</f>
        <v>RX077</v>
      </c>
      <c r="D867" t="str">
        <f>$D$197</f>
        <v>PX_TO_TANG_BOOK_VAL_PER_SH</v>
      </c>
      <c r="E867" t="str">
        <f>$E$197</f>
        <v>Dynamic</v>
      </c>
      <c r="F867" t="str">
        <f ca="1">_xll.BDH($B$197,$C$197,$B$675,$B$676,CONCATENATE("Per=",$B$673),"Dts=H","Dir=H",CONCATENATE("Points=",$B$674),"Sort=R","Days=A","Fill=B",CONCATENATE("FX=", $B$672) )</f>
        <v>#N/A Connection</v>
      </c>
      <c r="BN867" t="str">
        <f>""</f>
        <v/>
      </c>
      <c r="BO867" t="str">
        <f>""</f>
        <v/>
      </c>
      <c r="BP867" t="str">
        <f>""</f>
        <v/>
      </c>
      <c r="BQ867" t="str">
        <f>""</f>
        <v/>
      </c>
      <c r="BR867" t="str">
        <f>""</f>
        <v/>
      </c>
      <c r="BS867" t="str">
        <f>""</f>
        <v/>
      </c>
      <c r="BT867" t="str">
        <f>""</f>
        <v/>
      </c>
      <c r="BU867" t="str">
        <f>""</f>
        <v/>
      </c>
      <c r="BV867" t="str">
        <f>""</f>
        <v/>
      </c>
      <c r="BW867" t="str">
        <f>""</f>
        <v/>
      </c>
      <c r="BX867" t="str">
        <f>""</f>
        <v/>
      </c>
      <c r="BY867" t="str">
        <f>""</f>
        <v/>
      </c>
      <c r="BZ867" t="str">
        <f>""</f>
        <v/>
      </c>
      <c r="CA867" t="str">
        <f>""</f>
        <v/>
      </c>
      <c r="CB867" t="str">
        <f>""</f>
        <v/>
      </c>
      <c r="CC867" t="str">
        <f>""</f>
        <v/>
      </c>
      <c r="CD867" t="str">
        <f>""</f>
        <v/>
      </c>
      <c r="CE867" t="str">
        <f>""</f>
        <v/>
      </c>
      <c r="CF867" t="str">
        <f>""</f>
        <v/>
      </c>
      <c r="CG867" t="str">
        <f>""</f>
        <v/>
      </c>
      <c r="CH867" t="str">
        <f>""</f>
        <v/>
      </c>
      <c r="CI867" t="str">
        <f>""</f>
        <v/>
      </c>
      <c r="CJ867" t="str">
        <f>""</f>
        <v/>
      </c>
      <c r="CK867" t="str">
        <f>""</f>
        <v/>
      </c>
      <c r="CL867" t="str">
        <f>""</f>
        <v/>
      </c>
      <c r="CM867" t="str">
        <f>""</f>
        <v/>
      </c>
      <c r="CN867" t="str">
        <f>""</f>
        <v/>
      </c>
      <c r="CO867" t="str">
        <f>""</f>
        <v/>
      </c>
      <c r="CP867" t="str">
        <f>""</f>
        <v/>
      </c>
      <c r="CQ867" t="str">
        <f>""</f>
        <v/>
      </c>
      <c r="CR867" t="str">
        <f>""</f>
        <v/>
      </c>
      <c r="CS867" t="str">
        <f>""</f>
        <v/>
      </c>
      <c r="CT867" t="str">
        <f>""</f>
        <v/>
      </c>
      <c r="CU867" t="str">
        <f>""</f>
        <v/>
      </c>
      <c r="CV867" t="str">
        <f>""</f>
        <v/>
      </c>
      <c r="CW867" t="str">
        <f>""</f>
        <v/>
      </c>
      <c r="CX867" t="str">
        <f>""</f>
        <v/>
      </c>
      <c r="CY867" t="str">
        <f>""</f>
        <v/>
      </c>
      <c r="CZ867" t="str">
        <f>""</f>
        <v/>
      </c>
      <c r="DA867" t="str">
        <f>""</f>
        <v/>
      </c>
      <c r="DB867" t="str">
        <f>""</f>
        <v/>
      </c>
      <c r="DC867" t="str">
        <f>""</f>
        <v/>
      </c>
      <c r="DD867" t="str">
        <f>""</f>
        <v/>
      </c>
      <c r="DE867" t="str">
        <f>""</f>
        <v/>
      </c>
      <c r="DF867" t="str">
        <f>""</f>
        <v/>
      </c>
      <c r="DG867" t="str">
        <f>""</f>
        <v/>
      </c>
      <c r="DH867" t="str">
        <f>""</f>
        <v/>
      </c>
      <c r="DI867" t="str">
        <f>""</f>
        <v/>
      </c>
      <c r="DJ867" t="str">
        <f>""</f>
        <v/>
      </c>
      <c r="DK867" t="str">
        <f>""</f>
        <v/>
      </c>
      <c r="DL867" t="str">
        <f>""</f>
        <v/>
      </c>
      <c r="DM867" t="str">
        <f>""</f>
        <v/>
      </c>
      <c r="DN867" t="str">
        <f>""</f>
        <v/>
      </c>
      <c r="DO867" t="str">
        <f>""</f>
        <v/>
      </c>
      <c r="DP867" t="str">
        <f>""</f>
        <v/>
      </c>
      <c r="DQ867" t="str">
        <f>""</f>
        <v/>
      </c>
      <c r="DR867" t="str">
        <f>""</f>
        <v/>
      </c>
      <c r="DS867" t="str">
        <f>""</f>
        <v/>
      </c>
      <c r="DT867" t="str">
        <f>""</f>
        <v/>
      </c>
      <c r="DU867" t="str">
        <f>""</f>
        <v/>
      </c>
    </row>
    <row r="868" spans="1:125" x14ac:dyDescent="0.25">
      <c r="A868" t="str">
        <f>$A$198</f>
        <v xml:space="preserve">    Sollers PJSC</v>
      </c>
      <c r="B868" t="str">
        <f>$B$198</f>
        <v>SVAV RM Equity</v>
      </c>
      <c r="C868" t="str">
        <f>$C$198</f>
        <v>RX077</v>
      </c>
      <c r="D868" t="str">
        <f>$D$198</f>
        <v>PX_TO_TANG_BOOK_VAL_PER_SH</v>
      </c>
      <c r="E868" t="str">
        <f>$E$198</f>
        <v>Dynamic</v>
      </c>
      <c r="F868" t="str">
        <f ca="1">_xll.BDH($B$198,$C$198,$B$675,$B$676,CONCATENATE("Per=",$B$673),"Dts=H","Dir=H",CONCATENATE("Points=",$B$674),"Sort=R","Days=A","Fill=B",CONCATENATE("FX=", $B$672) )</f>
        <v>#N/A Connection</v>
      </c>
      <c r="BN868" t="str">
        <f>""</f>
        <v/>
      </c>
      <c r="BO868" t="str">
        <f>""</f>
        <v/>
      </c>
      <c r="BP868" t="str">
        <f>""</f>
        <v/>
      </c>
      <c r="BQ868" t="str">
        <f>""</f>
        <v/>
      </c>
      <c r="BR868" t="str">
        <f>""</f>
        <v/>
      </c>
      <c r="BS868" t="str">
        <f>""</f>
        <v/>
      </c>
      <c r="BT868" t="str">
        <f>""</f>
        <v/>
      </c>
      <c r="BU868" t="str">
        <f>""</f>
        <v/>
      </c>
      <c r="BV868" t="str">
        <f>""</f>
        <v/>
      </c>
      <c r="BW868" t="str">
        <f>""</f>
        <v/>
      </c>
      <c r="BX868" t="str">
        <f>""</f>
        <v/>
      </c>
      <c r="BY868" t="str">
        <f>""</f>
        <v/>
      </c>
      <c r="BZ868" t="str">
        <f>""</f>
        <v/>
      </c>
      <c r="CA868" t="str">
        <f>""</f>
        <v/>
      </c>
      <c r="CB868" t="str">
        <f>""</f>
        <v/>
      </c>
      <c r="CC868" t="str">
        <f>""</f>
        <v/>
      </c>
      <c r="CD868" t="str">
        <f>""</f>
        <v/>
      </c>
      <c r="CE868" t="str">
        <f>""</f>
        <v/>
      </c>
      <c r="CF868" t="str">
        <f>""</f>
        <v/>
      </c>
      <c r="CG868" t="str">
        <f>""</f>
        <v/>
      </c>
      <c r="CH868" t="str">
        <f>""</f>
        <v/>
      </c>
      <c r="CI868" t="str">
        <f>""</f>
        <v/>
      </c>
      <c r="CJ868" t="str">
        <f>""</f>
        <v/>
      </c>
      <c r="CK868" t="str">
        <f>""</f>
        <v/>
      </c>
      <c r="CL868" t="str">
        <f>""</f>
        <v/>
      </c>
      <c r="CM868" t="str">
        <f>""</f>
        <v/>
      </c>
      <c r="CN868" t="str">
        <f>""</f>
        <v/>
      </c>
      <c r="CO868" t="str">
        <f>""</f>
        <v/>
      </c>
      <c r="CP868" t="str">
        <f>""</f>
        <v/>
      </c>
      <c r="CQ868" t="str">
        <f>""</f>
        <v/>
      </c>
      <c r="CR868" t="str">
        <f>""</f>
        <v/>
      </c>
      <c r="CS868" t="str">
        <f>""</f>
        <v/>
      </c>
      <c r="CT868" t="str">
        <f>""</f>
        <v/>
      </c>
      <c r="CU868" t="str">
        <f>""</f>
        <v/>
      </c>
      <c r="CV868" t="str">
        <f>""</f>
        <v/>
      </c>
      <c r="CW868" t="str">
        <f>""</f>
        <v/>
      </c>
      <c r="CX868" t="str">
        <f>""</f>
        <v/>
      </c>
      <c r="CY868" t="str">
        <f>""</f>
        <v/>
      </c>
      <c r="CZ868" t="str">
        <f>""</f>
        <v/>
      </c>
      <c r="DA868" t="str">
        <f>""</f>
        <v/>
      </c>
      <c r="DB868" t="str">
        <f>""</f>
        <v/>
      </c>
      <c r="DC868" t="str">
        <f>""</f>
        <v/>
      </c>
      <c r="DD868" t="str">
        <f>""</f>
        <v/>
      </c>
      <c r="DE868" t="str">
        <f>""</f>
        <v/>
      </c>
      <c r="DF868" t="str">
        <f>""</f>
        <v/>
      </c>
      <c r="DG868" t="str">
        <f>""</f>
        <v/>
      </c>
      <c r="DH868" t="str">
        <f>""</f>
        <v/>
      </c>
      <c r="DI868" t="str">
        <f>""</f>
        <v/>
      </c>
      <c r="DJ868" t="str">
        <f>""</f>
        <v/>
      </c>
      <c r="DK868" t="str">
        <f>""</f>
        <v/>
      </c>
      <c r="DL868" t="str">
        <f>""</f>
        <v/>
      </c>
      <c r="DM868" t="str">
        <f>""</f>
        <v/>
      </c>
      <c r="DN868" t="str">
        <f>""</f>
        <v/>
      </c>
      <c r="DO868" t="str">
        <f>""</f>
        <v/>
      </c>
      <c r="DP868" t="str">
        <f>""</f>
        <v/>
      </c>
      <c r="DQ868" t="str">
        <f>""</f>
        <v/>
      </c>
      <c r="DR868" t="str">
        <f>""</f>
        <v/>
      </c>
      <c r="DS868" t="str">
        <f>""</f>
        <v/>
      </c>
      <c r="DT868" t="str">
        <f>""</f>
        <v/>
      </c>
      <c r="DU868" t="str">
        <f>""</f>
        <v/>
      </c>
    </row>
    <row r="869" spans="1:125" x14ac:dyDescent="0.25">
      <c r="A869" t="str">
        <f>$A$199</f>
        <v xml:space="preserve">    Ssangyong Motor Co</v>
      </c>
      <c r="B869" t="str">
        <f>$B$199</f>
        <v>003620 KS Equity</v>
      </c>
      <c r="C869" t="str">
        <f>$C$199</f>
        <v>RX077</v>
      </c>
      <c r="D869" t="str">
        <f>$D$199</f>
        <v>PX_TO_TANG_BOOK_VAL_PER_SH</v>
      </c>
      <c r="E869" t="str">
        <f>$E$199</f>
        <v>Dynamic</v>
      </c>
      <c r="F869" t="str">
        <f ca="1">_xll.BDH($B$199,$C$199,$B$675,$B$676,CONCATENATE("Per=",$B$673),"Dts=H","Dir=H",CONCATENATE("Points=",$B$674),"Sort=R","Days=A","Fill=B",CONCATENATE("FX=", $B$672) )</f>
        <v>#N/A Connection</v>
      </c>
      <c r="BN869" t="str">
        <f>""</f>
        <v/>
      </c>
      <c r="BO869" t="str">
        <f>""</f>
        <v/>
      </c>
      <c r="BP869" t="str">
        <f>""</f>
        <v/>
      </c>
      <c r="BQ869" t="str">
        <f>""</f>
        <v/>
      </c>
      <c r="BR869" t="str">
        <f>""</f>
        <v/>
      </c>
      <c r="BS869" t="str">
        <f>""</f>
        <v/>
      </c>
      <c r="BT869" t="str">
        <f>""</f>
        <v/>
      </c>
      <c r="BU869" t="str">
        <f>""</f>
        <v/>
      </c>
      <c r="BV869" t="str">
        <f>""</f>
        <v/>
      </c>
      <c r="BW869" t="str">
        <f>""</f>
        <v/>
      </c>
      <c r="BX869" t="str">
        <f>""</f>
        <v/>
      </c>
      <c r="BY869" t="str">
        <f>""</f>
        <v/>
      </c>
      <c r="BZ869" t="str">
        <f>""</f>
        <v/>
      </c>
      <c r="CA869" t="str">
        <f>""</f>
        <v/>
      </c>
      <c r="CB869" t="str">
        <f>""</f>
        <v/>
      </c>
      <c r="CC869" t="str">
        <f>""</f>
        <v/>
      </c>
      <c r="CD869" t="str">
        <f>""</f>
        <v/>
      </c>
      <c r="CE869" t="str">
        <f>""</f>
        <v/>
      </c>
      <c r="CF869" t="str">
        <f>""</f>
        <v/>
      </c>
      <c r="CG869" t="str">
        <f>""</f>
        <v/>
      </c>
      <c r="CH869" t="str">
        <f>""</f>
        <v/>
      </c>
      <c r="CI869" t="str">
        <f>""</f>
        <v/>
      </c>
      <c r="CJ869" t="str">
        <f>""</f>
        <v/>
      </c>
      <c r="CK869" t="str">
        <f>""</f>
        <v/>
      </c>
      <c r="CL869" t="str">
        <f>""</f>
        <v/>
      </c>
      <c r="CM869" t="str">
        <f>""</f>
        <v/>
      </c>
      <c r="CN869" t="str">
        <f>""</f>
        <v/>
      </c>
      <c r="CO869" t="str">
        <f>""</f>
        <v/>
      </c>
      <c r="CP869" t="str">
        <f>""</f>
        <v/>
      </c>
      <c r="CQ869" t="str">
        <f>""</f>
        <v/>
      </c>
      <c r="CR869" t="str">
        <f>""</f>
        <v/>
      </c>
      <c r="CS869" t="str">
        <f>""</f>
        <v/>
      </c>
      <c r="CT869" t="str">
        <f>""</f>
        <v/>
      </c>
      <c r="CU869" t="str">
        <f>""</f>
        <v/>
      </c>
      <c r="CV869" t="str">
        <f>""</f>
        <v/>
      </c>
      <c r="CW869" t="str">
        <f>""</f>
        <v/>
      </c>
      <c r="CX869" t="str">
        <f>""</f>
        <v/>
      </c>
      <c r="CY869" t="str">
        <f>""</f>
        <v/>
      </c>
      <c r="CZ869" t="str">
        <f>""</f>
        <v/>
      </c>
      <c r="DA869" t="str">
        <f>""</f>
        <v/>
      </c>
      <c r="DB869" t="str">
        <f>""</f>
        <v/>
      </c>
      <c r="DC869" t="str">
        <f>""</f>
        <v/>
      </c>
      <c r="DD869" t="str">
        <f>""</f>
        <v/>
      </c>
      <c r="DE869" t="str">
        <f>""</f>
        <v/>
      </c>
      <c r="DF869" t="str">
        <f>""</f>
        <v/>
      </c>
      <c r="DG869" t="str">
        <f>""</f>
        <v/>
      </c>
      <c r="DH869" t="str">
        <f>""</f>
        <v/>
      </c>
      <c r="DI869" t="str">
        <f>""</f>
        <v/>
      </c>
      <c r="DJ869" t="str">
        <f>""</f>
        <v/>
      </c>
      <c r="DK869" t="str">
        <f>""</f>
        <v/>
      </c>
      <c r="DL869" t="str">
        <f>""</f>
        <v/>
      </c>
      <c r="DM869" t="str">
        <f>""</f>
        <v/>
      </c>
      <c r="DN869" t="str">
        <f>""</f>
        <v/>
      </c>
      <c r="DO869" t="str">
        <f>""</f>
        <v/>
      </c>
      <c r="DP869" t="str">
        <f>""</f>
        <v/>
      </c>
      <c r="DQ869" t="str">
        <f>""</f>
        <v/>
      </c>
      <c r="DR869" t="str">
        <f>""</f>
        <v/>
      </c>
      <c r="DS869" t="str">
        <f>""</f>
        <v/>
      </c>
      <c r="DT869" t="str">
        <f>""</f>
        <v/>
      </c>
      <c r="DU869" t="str">
        <f>""</f>
        <v/>
      </c>
    </row>
    <row r="870" spans="1:125" x14ac:dyDescent="0.25">
      <c r="A870" t="str">
        <f>$A$200</f>
        <v xml:space="preserve">    Subaru Corp</v>
      </c>
      <c r="B870" t="str">
        <f>$B$200</f>
        <v>7270 JP Equity</v>
      </c>
      <c r="C870" t="str">
        <f>$C$200</f>
        <v>RX077</v>
      </c>
      <c r="D870" t="str">
        <f>$D$200</f>
        <v>PX_TO_TANG_BOOK_VAL_PER_SH</v>
      </c>
      <c r="E870" t="str">
        <f>$E$200</f>
        <v>Dynamic</v>
      </c>
      <c r="F870" t="str">
        <f ca="1">_xll.BDH($B$200,$C$200,$B$675,$B$676,CONCATENATE("Per=",$B$673),"Dts=H","Dir=H",CONCATENATE("Points=",$B$674),"Sort=R","Days=A","Fill=B",CONCATENATE("FX=", $B$672) )</f>
        <v>#N/A Connection</v>
      </c>
      <c r="BN870" t="str">
        <f>""</f>
        <v/>
      </c>
      <c r="BO870" t="str">
        <f>""</f>
        <v/>
      </c>
      <c r="BP870" t="str">
        <f>""</f>
        <v/>
      </c>
      <c r="BQ870" t="str">
        <f>""</f>
        <v/>
      </c>
      <c r="BR870" t="str">
        <f>""</f>
        <v/>
      </c>
      <c r="BS870" t="str">
        <f>""</f>
        <v/>
      </c>
      <c r="BT870" t="str">
        <f>""</f>
        <v/>
      </c>
      <c r="BU870" t="str">
        <f>""</f>
        <v/>
      </c>
      <c r="BV870" t="str">
        <f>""</f>
        <v/>
      </c>
      <c r="BW870" t="str">
        <f>""</f>
        <v/>
      </c>
      <c r="BX870" t="str">
        <f>""</f>
        <v/>
      </c>
      <c r="BY870" t="str">
        <f>""</f>
        <v/>
      </c>
      <c r="BZ870" t="str">
        <f>""</f>
        <v/>
      </c>
      <c r="CA870" t="str">
        <f>""</f>
        <v/>
      </c>
      <c r="CB870" t="str">
        <f>""</f>
        <v/>
      </c>
      <c r="CC870" t="str">
        <f>""</f>
        <v/>
      </c>
      <c r="CD870" t="str">
        <f>""</f>
        <v/>
      </c>
      <c r="CE870" t="str">
        <f>""</f>
        <v/>
      </c>
      <c r="CF870" t="str">
        <f>""</f>
        <v/>
      </c>
      <c r="CG870" t="str">
        <f>""</f>
        <v/>
      </c>
      <c r="CH870" t="str">
        <f>""</f>
        <v/>
      </c>
      <c r="CI870" t="str">
        <f>""</f>
        <v/>
      </c>
      <c r="CJ870" t="str">
        <f>""</f>
        <v/>
      </c>
      <c r="CK870" t="str">
        <f>""</f>
        <v/>
      </c>
      <c r="CL870" t="str">
        <f>""</f>
        <v/>
      </c>
      <c r="CM870" t="str">
        <f>""</f>
        <v/>
      </c>
      <c r="CN870" t="str">
        <f>""</f>
        <v/>
      </c>
      <c r="CO870" t="str">
        <f>""</f>
        <v/>
      </c>
      <c r="CP870" t="str">
        <f>""</f>
        <v/>
      </c>
      <c r="CQ870" t="str">
        <f>""</f>
        <v/>
      </c>
      <c r="CR870" t="str">
        <f>""</f>
        <v/>
      </c>
      <c r="CS870" t="str">
        <f>""</f>
        <v/>
      </c>
      <c r="CT870" t="str">
        <f>""</f>
        <v/>
      </c>
      <c r="CU870" t="str">
        <f>""</f>
        <v/>
      </c>
      <c r="CV870" t="str">
        <f>""</f>
        <v/>
      </c>
      <c r="CW870" t="str">
        <f>""</f>
        <v/>
      </c>
      <c r="CX870" t="str">
        <f>""</f>
        <v/>
      </c>
      <c r="CY870" t="str">
        <f>""</f>
        <v/>
      </c>
      <c r="CZ870" t="str">
        <f>""</f>
        <v/>
      </c>
      <c r="DA870" t="str">
        <f>""</f>
        <v/>
      </c>
      <c r="DB870" t="str">
        <f>""</f>
        <v/>
      </c>
      <c r="DC870" t="str">
        <f>""</f>
        <v/>
      </c>
      <c r="DD870" t="str">
        <f>""</f>
        <v/>
      </c>
      <c r="DE870" t="str">
        <f>""</f>
        <v/>
      </c>
      <c r="DF870" t="str">
        <f>""</f>
        <v/>
      </c>
      <c r="DG870" t="str">
        <f>""</f>
        <v/>
      </c>
      <c r="DH870" t="str">
        <f>""</f>
        <v/>
      </c>
      <c r="DI870" t="str">
        <f>""</f>
        <v/>
      </c>
      <c r="DJ870" t="str">
        <f>""</f>
        <v/>
      </c>
      <c r="DK870" t="str">
        <f>""</f>
        <v/>
      </c>
      <c r="DL870" t="str">
        <f>""</f>
        <v/>
      </c>
      <c r="DM870" t="str">
        <f>""</f>
        <v/>
      </c>
      <c r="DN870" t="str">
        <f>""</f>
        <v/>
      </c>
      <c r="DO870" t="str">
        <f>""</f>
        <v/>
      </c>
      <c r="DP870" t="str">
        <f>""</f>
        <v/>
      </c>
      <c r="DQ870" t="str">
        <f>""</f>
        <v/>
      </c>
      <c r="DR870" t="str">
        <f>""</f>
        <v/>
      </c>
      <c r="DS870" t="str">
        <f>""</f>
        <v/>
      </c>
      <c r="DT870" t="str">
        <f>""</f>
        <v/>
      </c>
      <c r="DU870" t="str">
        <f>""</f>
        <v/>
      </c>
    </row>
    <row r="871" spans="1:125" x14ac:dyDescent="0.25">
      <c r="A871" t="str">
        <f>$A$201</f>
        <v xml:space="preserve">    Suzuki Motor Corp</v>
      </c>
      <c r="B871" t="str">
        <f>$B$201</f>
        <v>7269 JP Equity</v>
      </c>
      <c r="C871" t="str">
        <f>$C$201</f>
        <v>RX077</v>
      </c>
      <c r="D871" t="str">
        <f>$D$201</f>
        <v>PX_TO_TANG_BOOK_VAL_PER_SH</v>
      </c>
      <c r="E871" t="str">
        <f>$E$201</f>
        <v>Dynamic</v>
      </c>
      <c r="F871" t="str">
        <f ca="1">_xll.BDH($B$201,$C$201,$B$675,$B$676,CONCATENATE("Per=",$B$673),"Dts=H","Dir=H",CONCATENATE("Points=",$B$674),"Sort=R","Days=A","Fill=B",CONCATENATE("FX=", $B$672) )</f>
        <v>#N/A Connection</v>
      </c>
      <c r="BN871" t="str">
        <f>""</f>
        <v/>
      </c>
      <c r="BO871" t="str">
        <f>""</f>
        <v/>
      </c>
      <c r="BP871" t="str">
        <f>""</f>
        <v/>
      </c>
      <c r="BQ871" t="str">
        <f>""</f>
        <v/>
      </c>
      <c r="BR871" t="str">
        <f>""</f>
        <v/>
      </c>
      <c r="BS871" t="str">
        <f>""</f>
        <v/>
      </c>
      <c r="BT871" t="str">
        <f>""</f>
        <v/>
      </c>
      <c r="BU871" t="str">
        <f>""</f>
        <v/>
      </c>
      <c r="BV871" t="str">
        <f>""</f>
        <v/>
      </c>
      <c r="BW871" t="str">
        <f>""</f>
        <v/>
      </c>
      <c r="BX871" t="str">
        <f>""</f>
        <v/>
      </c>
      <c r="BY871" t="str">
        <f>""</f>
        <v/>
      </c>
      <c r="BZ871" t="str">
        <f>""</f>
        <v/>
      </c>
      <c r="CA871" t="str">
        <f>""</f>
        <v/>
      </c>
      <c r="CB871" t="str">
        <f>""</f>
        <v/>
      </c>
      <c r="CC871" t="str">
        <f>""</f>
        <v/>
      </c>
      <c r="CD871" t="str">
        <f>""</f>
        <v/>
      </c>
      <c r="CE871" t="str">
        <f>""</f>
        <v/>
      </c>
      <c r="CF871" t="str">
        <f>""</f>
        <v/>
      </c>
      <c r="CG871" t="str">
        <f>""</f>
        <v/>
      </c>
      <c r="CH871" t="str">
        <f>""</f>
        <v/>
      </c>
      <c r="CI871" t="str">
        <f>""</f>
        <v/>
      </c>
      <c r="CJ871" t="str">
        <f>""</f>
        <v/>
      </c>
      <c r="CK871" t="str">
        <f>""</f>
        <v/>
      </c>
      <c r="CL871" t="str">
        <f>""</f>
        <v/>
      </c>
      <c r="CM871" t="str">
        <f>""</f>
        <v/>
      </c>
      <c r="CN871" t="str">
        <f>""</f>
        <v/>
      </c>
      <c r="CO871" t="str">
        <f>""</f>
        <v/>
      </c>
      <c r="CP871" t="str">
        <f>""</f>
        <v/>
      </c>
      <c r="CQ871" t="str">
        <f>""</f>
        <v/>
      </c>
      <c r="CR871" t="str">
        <f>""</f>
        <v/>
      </c>
      <c r="CS871" t="str">
        <f>""</f>
        <v/>
      </c>
      <c r="CT871" t="str">
        <f>""</f>
        <v/>
      </c>
      <c r="CU871" t="str">
        <f>""</f>
        <v/>
      </c>
      <c r="CV871" t="str">
        <f>""</f>
        <v/>
      </c>
      <c r="CW871" t="str">
        <f>""</f>
        <v/>
      </c>
      <c r="CX871" t="str">
        <f>""</f>
        <v/>
      </c>
      <c r="CY871" t="str">
        <f>""</f>
        <v/>
      </c>
      <c r="CZ871" t="str">
        <f>""</f>
        <v/>
      </c>
      <c r="DA871" t="str">
        <f>""</f>
        <v/>
      </c>
      <c r="DB871" t="str">
        <f>""</f>
        <v/>
      </c>
      <c r="DC871" t="str">
        <f>""</f>
        <v/>
      </c>
      <c r="DD871" t="str">
        <f>""</f>
        <v/>
      </c>
      <c r="DE871" t="str">
        <f>""</f>
        <v/>
      </c>
      <c r="DF871" t="str">
        <f>""</f>
        <v/>
      </c>
      <c r="DG871" t="str">
        <f>""</f>
        <v/>
      </c>
      <c r="DH871" t="str">
        <f>""</f>
        <v/>
      </c>
      <c r="DI871" t="str">
        <f>""</f>
        <v/>
      </c>
      <c r="DJ871" t="str">
        <f>""</f>
        <v/>
      </c>
      <c r="DK871" t="str">
        <f>""</f>
        <v/>
      </c>
      <c r="DL871" t="str">
        <f>""</f>
        <v/>
      </c>
      <c r="DM871" t="str">
        <f>""</f>
        <v/>
      </c>
      <c r="DN871" t="str">
        <f>""</f>
        <v/>
      </c>
      <c r="DO871" t="str">
        <f>""</f>
        <v/>
      </c>
      <c r="DP871" t="str">
        <f>""</f>
        <v/>
      </c>
      <c r="DQ871" t="str">
        <f>""</f>
        <v/>
      </c>
      <c r="DR871" t="str">
        <f>""</f>
        <v/>
      </c>
      <c r="DS871" t="str">
        <f>""</f>
        <v/>
      </c>
      <c r="DT871" t="str">
        <f>""</f>
        <v/>
      </c>
      <c r="DU871" t="str">
        <f>""</f>
        <v/>
      </c>
    </row>
    <row r="872" spans="1:125" x14ac:dyDescent="0.25">
      <c r="A872" t="str">
        <f>$A$202</f>
        <v xml:space="preserve">    Tata Motors Ltd</v>
      </c>
      <c r="B872" t="str">
        <f>$B$202</f>
        <v>TTMT IN Equity</v>
      </c>
      <c r="C872" t="str">
        <f>$C$202</f>
        <v>RX077</v>
      </c>
      <c r="D872" t="str">
        <f>$D$202</f>
        <v>PX_TO_TANG_BOOK_VAL_PER_SH</v>
      </c>
      <c r="E872" t="str">
        <f>$E$202</f>
        <v>Dynamic</v>
      </c>
      <c r="F872" t="str">
        <f ca="1">_xll.BDH($B$202,$C$202,$B$675,$B$676,CONCATENATE("Per=",$B$673),"Dts=H","Dir=H",CONCATENATE("Points=",$B$674),"Sort=R","Days=A","Fill=B",CONCATENATE("FX=", $B$672) )</f>
        <v>#N/A Connection</v>
      </c>
      <c r="BN872" t="str">
        <f>""</f>
        <v/>
      </c>
      <c r="BO872" t="str">
        <f>""</f>
        <v/>
      </c>
      <c r="BP872" t="str">
        <f>""</f>
        <v/>
      </c>
      <c r="BQ872" t="str">
        <f>""</f>
        <v/>
      </c>
      <c r="BR872" t="str">
        <f>""</f>
        <v/>
      </c>
      <c r="BS872" t="str">
        <f>""</f>
        <v/>
      </c>
      <c r="BT872" t="str">
        <f>""</f>
        <v/>
      </c>
      <c r="BU872" t="str">
        <f>""</f>
        <v/>
      </c>
      <c r="BV872" t="str">
        <f>""</f>
        <v/>
      </c>
      <c r="BW872" t="str">
        <f>""</f>
        <v/>
      </c>
      <c r="BX872" t="str">
        <f>""</f>
        <v/>
      </c>
      <c r="BY872" t="str">
        <f>""</f>
        <v/>
      </c>
      <c r="BZ872" t="str">
        <f>""</f>
        <v/>
      </c>
      <c r="CA872" t="str">
        <f>""</f>
        <v/>
      </c>
      <c r="CB872" t="str">
        <f>""</f>
        <v/>
      </c>
      <c r="CC872" t="str">
        <f>""</f>
        <v/>
      </c>
      <c r="CD872" t="str">
        <f>""</f>
        <v/>
      </c>
      <c r="CE872" t="str">
        <f>""</f>
        <v/>
      </c>
      <c r="CF872" t="str">
        <f>""</f>
        <v/>
      </c>
      <c r="CG872" t="str">
        <f>""</f>
        <v/>
      </c>
      <c r="CH872" t="str">
        <f>""</f>
        <v/>
      </c>
      <c r="CI872" t="str">
        <f>""</f>
        <v/>
      </c>
      <c r="CJ872" t="str">
        <f>""</f>
        <v/>
      </c>
      <c r="CK872" t="str">
        <f>""</f>
        <v/>
      </c>
      <c r="CL872" t="str">
        <f>""</f>
        <v/>
      </c>
      <c r="CM872" t="str">
        <f>""</f>
        <v/>
      </c>
      <c r="CN872" t="str">
        <f>""</f>
        <v/>
      </c>
      <c r="CO872" t="str">
        <f>""</f>
        <v/>
      </c>
      <c r="CP872" t="str">
        <f>""</f>
        <v/>
      </c>
      <c r="CQ872" t="str">
        <f>""</f>
        <v/>
      </c>
      <c r="CR872" t="str">
        <f>""</f>
        <v/>
      </c>
      <c r="CS872" t="str">
        <f>""</f>
        <v/>
      </c>
      <c r="CT872" t="str">
        <f>""</f>
        <v/>
      </c>
      <c r="CU872" t="str">
        <f>""</f>
        <v/>
      </c>
      <c r="CV872" t="str">
        <f>""</f>
        <v/>
      </c>
      <c r="CW872" t="str">
        <f>""</f>
        <v/>
      </c>
      <c r="CX872" t="str">
        <f>""</f>
        <v/>
      </c>
      <c r="CY872" t="str">
        <f>""</f>
        <v/>
      </c>
      <c r="CZ872" t="str">
        <f>""</f>
        <v/>
      </c>
      <c r="DA872" t="str">
        <f>""</f>
        <v/>
      </c>
      <c r="DB872" t="str">
        <f>""</f>
        <v/>
      </c>
      <c r="DC872" t="str">
        <f>""</f>
        <v/>
      </c>
      <c r="DD872" t="str">
        <f>""</f>
        <v/>
      </c>
      <c r="DE872" t="str">
        <f>""</f>
        <v/>
      </c>
      <c r="DF872" t="str">
        <f>""</f>
        <v/>
      </c>
      <c r="DG872" t="str">
        <f>""</f>
        <v/>
      </c>
      <c r="DH872" t="str">
        <f>""</f>
        <v/>
      </c>
      <c r="DI872" t="str">
        <f>""</f>
        <v/>
      </c>
      <c r="DJ872" t="str">
        <f>""</f>
        <v/>
      </c>
      <c r="DK872" t="str">
        <f>""</f>
        <v/>
      </c>
      <c r="DL872" t="str">
        <f>""</f>
        <v/>
      </c>
      <c r="DM872" t="str">
        <f>""</f>
        <v/>
      </c>
      <c r="DN872" t="str">
        <f>""</f>
        <v/>
      </c>
      <c r="DO872" t="str">
        <f>""</f>
        <v/>
      </c>
      <c r="DP872" t="str">
        <f>""</f>
        <v/>
      </c>
      <c r="DQ872" t="str">
        <f>""</f>
        <v/>
      </c>
      <c r="DR872" t="str">
        <f>""</f>
        <v/>
      </c>
      <c r="DS872" t="str">
        <f>""</f>
        <v/>
      </c>
      <c r="DT872" t="str">
        <f>""</f>
        <v/>
      </c>
      <c r="DU872" t="str">
        <f>""</f>
        <v/>
      </c>
    </row>
    <row r="873" spans="1:125" x14ac:dyDescent="0.25">
      <c r="A873" t="str">
        <f>$A$203</f>
        <v xml:space="preserve">    Tesla Inc</v>
      </c>
      <c r="B873" t="str">
        <f>$B$203</f>
        <v>TSLA US Equity</v>
      </c>
      <c r="C873" t="str">
        <f>$C$203</f>
        <v>RX077</v>
      </c>
      <c r="D873" t="str">
        <f>$D$203</f>
        <v>PX_TO_TANG_BOOK_VAL_PER_SH</v>
      </c>
      <c r="E873" t="str">
        <f>$E$203</f>
        <v>Dynamic</v>
      </c>
      <c r="F873" t="str">
        <f ca="1">_xll.BDH($B$203,$C$203,$B$675,$B$676,CONCATENATE("Per=",$B$673),"Dts=H","Dir=H",CONCATENATE("Points=",$B$674),"Sort=R","Days=A","Fill=B",CONCATENATE("FX=", $B$672) )</f>
        <v>#N/A Connection</v>
      </c>
      <c r="BN873" t="str">
        <f>""</f>
        <v/>
      </c>
      <c r="BO873" t="str">
        <f>""</f>
        <v/>
      </c>
      <c r="BP873" t="str">
        <f>""</f>
        <v/>
      </c>
      <c r="BQ873" t="str">
        <f>""</f>
        <v/>
      </c>
      <c r="BR873" t="str">
        <f>""</f>
        <v/>
      </c>
      <c r="BS873" t="str">
        <f>""</f>
        <v/>
      </c>
      <c r="BT873" t="str">
        <f>""</f>
        <v/>
      </c>
      <c r="BU873" t="str">
        <f>""</f>
        <v/>
      </c>
      <c r="BV873" t="str">
        <f>""</f>
        <v/>
      </c>
      <c r="BW873" t="str">
        <f>""</f>
        <v/>
      </c>
      <c r="BX873" t="str">
        <f>""</f>
        <v/>
      </c>
      <c r="BY873" t="str">
        <f>""</f>
        <v/>
      </c>
      <c r="BZ873" t="str">
        <f>""</f>
        <v/>
      </c>
      <c r="CA873" t="str">
        <f>""</f>
        <v/>
      </c>
      <c r="CB873" t="str">
        <f>""</f>
        <v/>
      </c>
      <c r="CC873" t="str">
        <f>""</f>
        <v/>
      </c>
      <c r="CD873" t="str">
        <f>""</f>
        <v/>
      </c>
      <c r="CE873" t="str">
        <f>""</f>
        <v/>
      </c>
      <c r="CF873" t="str">
        <f>""</f>
        <v/>
      </c>
      <c r="CG873" t="str">
        <f>""</f>
        <v/>
      </c>
      <c r="CH873" t="str">
        <f>""</f>
        <v/>
      </c>
      <c r="CI873" t="str">
        <f>""</f>
        <v/>
      </c>
      <c r="CJ873" t="str">
        <f>""</f>
        <v/>
      </c>
      <c r="CK873" t="str">
        <f>""</f>
        <v/>
      </c>
      <c r="CL873" t="str">
        <f>""</f>
        <v/>
      </c>
      <c r="CM873" t="str">
        <f>""</f>
        <v/>
      </c>
      <c r="CN873" t="str">
        <f>""</f>
        <v/>
      </c>
      <c r="CO873" t="str">
        <f>""</f>
        <v/>
      </c>
      <c r="CP873" t="str">
        <f>""</f>
        <v/>
      </c>
      <c r="CQ873" t="str">
        <f>""</f>
        <v/>
      </c>
      <c r="CR873" t="str">
        <f>""</f>
        <v/>
      </c>
      <c r="CS873" t="str">
        <f>""</f>
        <v/>
      </c>
      <c r="CT873" t="str">
        <f>""</f>
        <v/>
      </c>
      <c r="CU873" t="str">
        <f>""</f>
        <v/>
      </c>
      <c r="CV873" t="str">
        <f>""</f>
        <v/>
      </c>
      <c r="CW873" t="str">
        <f>""</f>
        <v/>
      </c>
      <c r="CX873" t="str">
        <f>""</f>
        <v/>
      </c>
      <c r="CY873" t="str">
        <f>""</f>
        <v/>
      </c>
      <c r="CZ873" t="str">
        <f>""</f>
        <v/>
      </c>
      <c r="DA873" t="str">
        <f>""</f>
        <v/>
      </c>
      <c r="DB873" t="str">
        <f>""</f>
        <v/>
      </c>
      <c r="DC873" t="str">
        <f>""</f>
        <v/>
      </c>
      <c r="DD873" t="str">
        <f>""</f>
        <v/>
      </c>
      <c r="DE873" t="str">
        <f>""</f>
        <v/>
      </c>
      <c r="DF873" t="str">
        <f>""</f>
        <v/>
      </c>
      <c r="DG873" t="str">
        <f>""</f>
        <v/>
      </c>
      <c r="DH873" t="str">
        <f>""</f>
        <v/>
      </c>
      <c r="DI873" t="str">
        <f>""</f>
        <v/>
      </c>
      <c r="DJ873" t="str">
        <f>""</f>
        <v/>
      </c>
      <c r="DK873" t="str">
        <f>""</f>
        <v/>
      </c>
      <c r="DL873" t="str">
        <f>""</f>
        <v/>
      </c>
      <c r="DM873" t="str">
        <f>""</f>
        <v/>
      </c>
      <c r="DN873" t="str">
        <f>""</f>
        <v/>
      </c>
      <c r="DO873" t="str">
        <f>""</f>
        <v/>
      </c>
      <c r="DP873" t="str">
        <f>""</f>
        <v/>
      </c>
      <c r="DQ873" t="str">
        <f>""</f>
        <v/>
      </c>
      <c r="DR873" t="str">
        <f>""</f>
        <v/>
      </c>
      <c r="DS873" t="str">
        <f>""</f>
        <v/>
      </c>
      <c r="DT873" t="str">
        <f>""</f>
        <v/>
      </c>
      <c r="DU873" t="str">
        <f>""</f>
        <v/>
      </c>
    </row>
    <row r="874" spans="1:125" x14ac:dyDescent="0.25">
      <c r="A874" t="str">
        <f>$A$204</f>
        <v xml:space="preserve">    Tianjin Faw Xiali Automobile Co Ltd</v>
      </c>
      <c r="B874" t="str">
        <f>$B$204</f>
        <v>000927 CH Equity</v>
      </c>
      <c r="C874" t="str">
        <f>$C$204</f>
        <v>RX077</v>
      </c>
      <c r="D874" t="str">
        <f>$D$204</f>
        <v>PX_TO_TANG_BOOK_VAL_PER_SH</v>
      </c>
      <c r="E874" t="str">
        <f>$E$204</f>
        <v>Dynamic</v>
      </c>
      <c r="F874" t="str">
        <f ca="1">_xll.BDH($B$204,$C$204,$B$675,$B$676,CONCATENATE("Per=",$B$673),"Dts=H","Dir=H",CONCATENATE("Points=",$B$674),"Sort=R","Days=A","Fill=B",CONCATENATE("FX=", $B$672) )</f>
        <v>#N/A Connection</v>
      </c>
      <c r="BN874" t="str">
        <f>""</f>
        <v/>
      </c>
      <c r="BO874" t="str">
        <f>""</f>
        <v/>
      </c>
      <c r="BP874" t="str">
        <f>""</f>
        <v/>
      </c>
      <c r="BQ874" t="str">
        <f>""</f>
        <v/>
      </c>
      <c r="BR874" t="str">
        <f>""</f>
        <v/>
      </c>
      <c r="BS874" t="str">
        <f>""</f>
        <v/>
      </c>
      <c r="BT874" t="str">
        <f>""</f>
        <v/>
      </c>
      <c r="BU874" t="str">
        <f>""</f>
        <v/>
      </c>
      <c r="BV874" t="str">
        <f>""</f>
        <v/>
      </c>
      <c r="BW874" t="str">
        <f>""</f>
        <v/>
      </c>
      <c r="BX874" t="str">
        <f>""</f>
        <v/>
      </c>
      <c r="BY874" t="str">
        <f>""</f>
        <v/>
      </c>
      <c r="BZ874" t="str">
        <f>""</f>
        <v/>
      </c>
      <c r="CA874" t="str">
        <f>""</f>
        <v/>
      </c>
      <c r="CB874" t="str">
        <f>""</f>
        <v/>
      </c>
      <c r="CC874" t="str">
        <f>""</f>
        <v/>
      </c>
      <c r="CD874" t="str">
        <f>""</f>
        <v/>
      </c>
      <c r="CE874" t="str">
        <f>""</f>
        <v/>
      </c>
      <c r="CF874" t="str">
        <f>""</f>
        <v/>
      </c>
      <c r="CG874" t="str">
        <f>""</f>
        <v/>
      </c>
      <c r="CH874" t="str">
        <f>""</f>
        <v/>
      </c>
      <c r="CI874" t="str">
        <f>""</f>
        <v/>
      </c>
      <c r="CJ874" t="str">
        <f>""</f>
        <v/>
      </c>
      <c r="CK874" t="str">
        <f>""</f>
        <v/>
      </c>
      <c r="CL874" t="str">
        <f>""</f>
        <v/>
      </c>
      <c r="CM874" t="str">
        <f>""</f>
        <v/>
      </c>
      <c r="CN874" t="str">
        <f>""</f>
        <v/>
      </c>
      <c r="CO874" t="str">
        <f>""</f>
        <v/>
      </c>
      <c r="CP874" t="str">
        <f>""</f>
        <v/>
      </c>
      <c r="CQ874" t="str">
        <f>""</f>
        <v/>
      </c>
      <c r="CR874" t="str">
        <f>""</f>
        <v/>
      </c>
      <c r="CS874" t="str">
        <f>""</f>
        <v/>
      </c>
      <c r="CT874" t="str">
        <f>""</f>
        <v/>
      </c>
      <c r="CU874" t="str">
        <f>""</f>
        <v/>
      </c>
      <c r="CV874" t="str">
        <f>""</f>
        <v/>
      </c>
      <c r="CW874" t="str">
        <f>""</f>
        <v/>
      </c>
      <c r="CX874" t="str">
        <f>""</f>
        <v/>
      </c>
      <c r="CY874" t="str">
        <f>""</f>
        <v/>
      </c>
      <c r="CZ874" t="str">
        <f>""</f>
        <v/>
      </c>
      <c r="DA874" t="str">
        <f>""</f>
        <v/>
      </c>
      <c r="DB874" t="str">
        <f>""</f>
        <v/>
      </c>
      <c r="DC874" t="str">
        <f>""</f>
        <v/>
      </c>
      <c r="DD874" t="str">
        <f>""</f>
        <v/>
      </c>
      <c r="DE874" t="str">
        <f>""</f>
        <v/>
      </c>
      <c r="DF874" t="str">
        <f>""</f>
        <v/>
      </c>
      <c r="DG874" t="str">
        <f>""</f>
        <v/>
      </c>
      <c r="DH874" t="str">
        <f>""</f>
        <v/>
      </c>
      <c r="DI874" t="str">
        <f>""</f>
        <v/>
      </c>
      <c r="DJ874" t="str">
        <f>""</f>
        <v/>
      </c>
      <c r="DK874" t="str">
        <f>""</f>
        <v/>
      </c>
      <c r="DL874" t="str">
        <f>""</f>
        <v/>
      </c>
      <c r="DM874" t="str">
        <f>""</f>
        <v/>
      </c>
      <c r="DN874" t="str">
        <f>""</f>
        <v/>
      </c>
      <c r="DO874" t="str">
        <f>""</f>
        <v/>
      </c>
      <c r="DP874" t="str">
        <f>""</f>
        <v/>
      </c>
      <c r="DQ874" t="str">
        <f>""</f>
        <v/>
      </c>
      <c r="DR874" t="str">
        <f>""</f>
        <v/>
      </c>
      <c r="DS874" t="str">
        <f>""</f>
        <v/>
      </c>
      <c r="DT874" t="str">
        <f>""</f>
        <v/>
      </c>
      <c r="DU874" t="str">
        <f>""</f>
        <v/>
      </c>
    </row>
    <row r="875" spans="1:125" x14ac:dyDescent="0.25">
      <c r="A875" t="str">
        <f>$A$205</f>
        <v xml:space="preserve">    Tofas Turk Otomobil Fabrikasi AS</v>
      </c>
      <c r="B875" t="str">
        <f>$B$205</f>
        <v>TOASOTRY EO Equity</v>
      </c>
      <c r="C875" t="str">
        <f>$C$205</f>
        <v>RX077</v>
      </c>
      <c r="D875" t="str">
        <f>$D$205</f>
        <v>PX_TO_TANG_BOOK_VAL_PER_SH</v>
      </c>
      <c r="E875" t="str">
        <f>$E$205</f>
        <v>Dynamic</v>
      </c>
      <c r="F875" t="str">
        <f ca="1">_xll.BDH($B$205,$C$205,$B$675,$B$676,CONCATENATE("Per=",$B$673),"Dts=H","Dir=H",CONCATENATE("Points=",$B$674),"Sort=R","Days=A","Fill=B",CONCATENATE("FX=", $B$672) )</f>
        <v>#N/A Connection</v>
      </c>
      <c r="BN875" t="str">
        <f>""</f>
        <v/>
      </c>
      <c r="BO875" t="str">
        <f>""</f>
        <v/>
      </c>
      <c r="BP875" t="str">
        <f>""</f>
        <v/>
      </c>
      <c r="BQ875" t="str">
        <f>""</f>
        <v/>
      </c>
      <c r="BR875" t="str">
        <f>""</f>
        <v/>
      </c>
      <c r="BS875" t="str">
        <f>""</f>
        <v/>
      </c>
      <c r="BT875" t="str">
        <f>""</f>
        <v/>
      </c>
      <c r="BU875" t="str">
        <f>""</f>
        <v/>
      </c>
      <c r="BV875" t="str">
        <f>""</f>
        <v/>
      </c>
      <c r="BW875" t="str">
        <f>""</f>
        <v/>
      </c>
      <c r="BX875" t="str">
        <f>""</f>
        <v/>
      </c>
      <c r="BY875" t="str">
        <f>""</f>
        <v/>
      </c>
      <c r="BZ875" t="str">
        <f>""</f>
        <v/>
      </c>
      <c r="CA875" t="str">
        <f>""</f>
        <v/>
      </c>
      <c r="CB875" t="str">
        <f>""</f>
        <v/>
      </c>
      <c r="CC875" t="str">
        <f>""</f>
        <v/>
      </c>
      <c r="CD875" t="str">
        <f>""</f>
        <v/>
      </c>
      <c r="CE875" t="str">
        <f>""</f>
        <v/>
      </c>
      <c r="CF875" t="str">
        <f>""</f>
        <v/>
      </c>
      <c r="CG875" t="str">
        <f>""</f>
        <v/>
      </c>
      <c r="CH875" t="str">
        <f>""</f>
        <v/>
      </c>
      <c r="CI875" t="str">
        <f>""</f>
        <v/>
      </c>
      <c r="CJ875" t="str">
        <f>""</f>
        <v/>
      </c>
      <c r="CK875" t="str">
        <f>""</f>
        <v/>
      </c>
      <c r="CL875" t="str">
        <f>""</f>
        <v/>
      </c>
      <c r="CM875" t="str">
        <f>""</f>
        <v/>
      </c>
      <c r="CN875" t="str">
        <f>""</f>
        <v/>
      </c>
      <c r="CO875" t="str">
        <f>""</f>
        <v/>
      </c>
      <c r="CP875" t="str">
        <f>""</f>
        <v/>
      </c>
      <c r="CQ875" t="str">
        <f>""</f>
        <v/>
      </c>
      <c r="CR875" t="str">
        <f>""</f>
        <v/>
      </c>
      <c r="CS875" t="str">
        <f>""</f>
        <v/>
      </c>
      <c r="CT875" t="str">
        <f>""</f>
        <v/>
      </c>
      <c r="CU875" t="str">
        <f>""</f>
        <v/>
      </c>
      <c r="CV875" t="str">
        <f>""</f>
        <v/>
      </c>
      <c r="CW875" t="str">
        <f>""</f>
        <v/>
      </c>
      <c r="CX875" t="str">
        <f>""</f>
        <v/>
      </c>
      <c r="CY875" t="str">
        <f>""</f>
        <v/>
      </c>
      <c r="CZ875" t="str">
        <f>""</f>
        <v/>
      </c>
      <c r="DA875" t="str">
        <f>""</f>
        <v/>
      </c>
      <c r="DB875" t="str">
        <f>""</f>
        <v/>
      </c>
      <c r="DC875" t="str">
        <f>""</f>
        <v/>
      </c>
      <c r="DD875" t="str">
        <f>""</f>
        <v/>
      </c>
      <c r="DE875" t="str">
        <f>""</f>
        <v/>
      </c>
      <c r="DF875" t="str">
        <f>""</f>
        <v/>
      </c>
      <c r="DG875" t="str">
        <f>""</f>
        <v/>
      </c>
      <c r="DH875" t="str">
        <f>""</f>
        <v/>
      </c>
      <c r="DI875" t="str">
        <f>""</f>
        <v/>
      </c>
      <c r="DJ875" t="str">
        <f>""</f>
        <v/>
      </c>
      <c r="DK875" t="str">
        <f>""</f>
        <v/>
      </c>
      <c r="DL875" t="str">
        <f>""</f>
        <v/>
      </c>
      <c r="DM875" t="str">
        <f>""</f>
        <v/>
      </c>
      <c r="DN875" t="str">
        <f>""</f>
        <v/>
      </c>
      <c r="DO875" t="str">
        <f>""</f>
        <v/>
      </c>
      <c r="DP875" t="str">
        <f>""</f>
        <v/>
      </c>
      <c r="DQ875" t="str">
        <f>""</f>
        <v/>
      </c>
      <c r="DR875" t="str">
        <f>""</f>
        <v/>
      </c>
      <c r="DS875" t="str">
        <f>""</f>
        <v/>
      </c>
      <c r="DT875" t="str">
        <f>""</f>
        <v/>
      </c>
      <c r="DU875" t="str">
        <f>""</f>
        <v/>
      </c>
    </row>
    <row r="876" spans="1:125" x14ac:dyDescent="0.25">
      <c r="A876" t="str">
        <f>$A$206</f>
        <v xml:space="preserve">    Toyota Motor Corp</v>
      </c>
      <c r="B876" t="str">
        <f>$B$206</f>
        <v>7203 JP Equity</v>
      </c>
      <c r="C876" t="str">
        <f>$C$206</f>
        <v>RX077</v>
      </c>
      <c r="D876" t="str">
        <f>$D$206</f>
        <v>PX_TO_TANG_BOOK_VAL_PER_SH</v>
      </c>
      <c r="E876" t="str">
        <f>$E$206</f>
        <v>Dynamic</v>
      </c>
      <c r="F876" t="str">
        <f ca="1">_xll.BDH($B$206,$C$206,$B$675,$B$676,CONCATENATE("Per=",$B$673),"Dts=H","Dir=H",CONCATENATE("Points=",$B$674),"Sort=R","Days=A","Fill=B",CONCATENATE("FX=", $B$672) )</f>
        <v>#N/A Connection</v>
      </c>
      <c r="BN876" t="str">
        <f>""</f>
        <v/>
      </c>
      <c r="BO876" t="str">
        <f>""</f>
        <v/>
      </c>
      <c r="BP876" t="str">
        <f>""</f>
        <v/>
      </c>
      <c r="BQ876" t="str">
        <f>""</f>
        <v/>
      </c>
      <c r="BR876" t="str">
        <f>""</f>
        <v/>
      </c>
      <c r="BS876" t="str">
        <f>""</f>
        <v/>
      </c>
      <c r="BT876" t="str">
        <f>""</f>
        <v/>
      </c>
      <c r="BU876" t="str">
        <f>""</f>
        <v/>
      </c>
      <c r="BV876" t="str">
        <f>""</f>
        <v/>
      </c>
      <c r="BW876" t="str">
        <f>""</f>
        <v/>
      </c>
      <c r="BX876" t="str">
        <f>""</f>
        <v/>
      </c>
      <c r="BY876" t="str">
        <f>""</f>
        <v/>
      </c>
      <c r="BZ876" t="str">
        <f>""</f>
        <v/>
      </c>
      <c r="CA876" t="str">
        <f>""</f>
        <v/>
      </c>
      <c r="CB876" t="str">
        <f>""</f>
        <v/>
      </c>
      <c r="CC876" t="str">
        <f>""</f>
        <v/>
      </c>
      <c r="CD876" t="str">
        <f>""</f>
        <v/>
      </c>
      <c r="CE876" t="str">
        <f>""</f>
        <v/>
      </c>
      <c r="CF876" t="str">
        <f>""</f>
        <v/>
      </c>
      <c r="CG876" t="str">
        <f>""</f>
        <v/>
      </c>
      <c r="CH876" t="str">
        <f>""</f>
        <v/>
      </c>
      <c r="CI876" t="str">
        <f>""</f>
        <v/>
      </c>
      <c r="CJ876" t="str">
        <f>""</f>
        <v/>
      </c>
      <c r="CK876" t="str">
        <f>""</f>
        <v/>
      </c>
      <c r="CL876" t="str">
        <f>""</f>
        <v/>
      </c>
      <c r="CM876" t="str">
        <f>""</f>
        <v/>
      </c>
      <c r="CN876" t="str">
        <f>""</f>
        <v/>
      </c>
      <c r="CO876" t="str">
        <f>""</f>
        <v/>
      </c>
      <c r="CP876" t="str">
        <f>""</f>
        <v/>
      </c>
      <c r="CQ876" t="str">
        <f>""</f>
        <v/>
      </c>
      <c r="CR876" t="str">
        <f>""</f>
        <v/>
      </c>
      <c r="CS876" t="str">
        <f>""</f>
        <v/>
      </c>
      <c r="CT876" t="str">
        <f>""</f>
        <v/>
      </c>
      <c r="CU876" t="str">
        <f>""</f>
        <v/>
      </c>
      <c r="CV876" t="str">
        <f>""</f>
        <v/>
      </c>
      <c r="CW876" t="str">
        <f>""</f>
        <v/>
      </c>
      <c r="CX876" t="str">
        <f>""</f>
        <v/>
      </c>
      <c r="CY876" t="str">
        <f>""</f>
        <v/>
      </c>
      <c r="CZ876" t="str">
        <f>""</f>
        <v/>
      </c>
      <c r="DA876" t="str">
        <f>""</f>
        <v/>
      </c>
      <c r="DB876" t="str">
        <f>""</f>
        <v/>
      </c>
      <c r="DC876" t="str">
        <f>""</f>
        <v/>
      </c>
      <c r="DD876" t="str">
        <f>""</f>
        <v/>
      </c>
      <c r="DE876" t="str">
        <f>""</f>
        <v/>
      </c>
      <c r="DF876" t="str">
        <f>""</f>
        <v/>
      </c>
      <c r="DG876" t="str">
        <f>""</f>
        <v/>
      </c>
      <c r="DH876" t="str">
        <f>""</f>
        <v/>
      </c>
      <c r="DI876" t="str">
        <f>""</f>
        <v/>
      </c>
      <c r="DJ876" t="str">
        <f>""</f>
        <v/>
      </c>
      <c r="DK876" t="str">
        <f>""</f>
        <v/>
      </c>
      <c r="DL876" t="str">
        <f>""</f>
        <v/>
      </c>
      <c r="DM876" t="str">
        <f>""</f>
        <v/>
      </c>
      <c r="DN876" t="str">
        <f>""</f>
        <v/>
      </c>
      <c r="DO876" t="str">
        <f>""</f>
        <v/>
      </c>
      <c r="DP876" t="str">
        <f>""</f>
        <v/>
      </c>
      <c r="DQ876" t="str">
        <f>""</f>
        <v/>
      </c>
      <c r="DR876" t="str">
        <f>""</f>
        <v/>
      </c>
      <c r="DS876" t="str">
        <f>""</f>
        <v/>
      </c>
      <c r="DT876" t="str">
        <f>""</f>
        <v/>
      </c>
      <c r="DU876" t="str">
        <f>""</f>
        <v/>
      </c>
    </row>
    <row r="877" spans="1:125" x14ac:dyDescent="0.25">
      <c r="A877" t="str">
        <f>$A$207</f>
        <v xml:space="preserve">    Volkswagen AG</v>
      </c>
      <c r="B877" t="str">
        <f>$B$207</f>
        <v>VOW GR Equity</v>
      </c>
      <c r="C877" t="str">
        <f>$C$207</f>
        <v>RX077</v>
      </c>
      <c r="D877" t="str">
        <f>$D$207</f>
        <v>PX_TO_TANG_BOOK_VAL_PER_SH</v>
      </c>
      <c r="E877" t="str">
        <f>$E$207</f>
        <v>Dynamic</v>
      </c>
      <c r="F877" t="str">
        <f ca="1">_xll.BDH($B$207,$C$207,$B$675,$B$676,CONCATENATE("Per=",$B$673),"Dts=H","Dir=H",CONCATENATE("Points=",$B$674),"Sort=R","Days=A","Fill=B",CONCATENATE("FX=", $B$672) )</f>
        <v>#N/A Connection</v>
      </c>
      <c r="BN877" t="str">
        <f>""</f>
        <v/>
      </c>
      <c r="BO877" t="str">
        <f>""</f>
        <v/>
      </c>
      <c r="BP877" t="str">
        <f>""</f>
        <v/>
      </c>
      <c r="BQ877" t="str">
        <f>""</f>
        <v/>
      </c>
      <c r="BR877" t="str">
        <f>""</f>
        <v/>
      </c>
      <c r="BS877" t="str">
        <f>""</f>
        <v/>
      </c>
      <c r="BT877" t="str">
        <f>""</f>
        <v/>
      </c>
      <c r="BU877" t="str">
        <f>""</f>
        <v/>
      </c>
      <c r="BV877" t="str">
        <f>""</f>
        <v/>
      </c>
      <c r="BW877" t="str">
        <f>""</f>
        <v/>
      </c>
      <c r="BX877" t="str">
        <f>""</f>
        <v/>
      </c>
      <c r="BY877" t="str">
        <f>""</f>
        <v/>
      </c>
      <c r="BZ877" t="str">
        <f>""</f>
        <v/>
      </c>
      <c r="CA877" t="str">
        <f>""</f>
        <v/>
      </c>
      <c r="CB877" t="str">
        <f>""</f>
        <v/>
      </c>
      <c r="CC877" t="str">
        <f>""</f>
        <v/>
      </c>
      <c r="CD877" t="str">
        <f>""</f>
        <v/>
      </c>
      <c r="CE877" t="str">
        <f>""</f>
        <v/>
      </c>
      <c r="CF877" t="str">
        <f>""</f>
        <v/>
      </c>
      <c r="CG877" t="str">
        <f>""</f>
        <v/>
      </c>
      <c r="CH877" t="str">
        <f>""</f>
        <v/>
      </c>
      <c r="CI877" t="str">
        <f>""</f>
        <v/>
      </c>
      <c r="CJ877" t="str">
        <f>""</f>
        <v/>
      </c>
      <c r="CK877" t="str">
        <f>""</f>
        <v/>
      </c>
      <c r="CL877" t="str">
        <f>""</f>
        <v/>
      </c>
      <c r="CM877" t="str">
        <f>""</f>
        <v/>
      </c>
      <c r="CN877" t="str">
        <f>""</f>
        <v/>
      </c>
      <c r="CO877" t="str">
        <f>""</f>
        <v/>
      </c>
      <c r="CP877" t="str">
        <f>""</f>
        <v/>
      </c>
      <c r="CQ877" t="str">
        <f>""</f>
        <v/>
      </c>
      <c r="CR877" t="str">
        <f>""</f>
        <v/>
      </c>
      <c r="CS877" t="str">
        <f>""</f>
        <v/>
      </c>
      <c r="CT877" t="str">
        <f>""</f>
        <v/>
      </c>
      <c r="CU877" t="str">
        <f>""</f>
        <v/>
      </c>
      <c r="CV877" t="str">
        <f>""</f>
        <v/>
      </c>
      <c r="CW877" t="str">
        <f>""</f>
        <v/>
      </c>
      <c r="CX877" t="str">
        <f>""</f>
        <v/>
      </c>
      <c r="CY877" t="str">
        <f>""</f>
        <v/>
      </c>
      <c r="CZ877" t="str">
        <f>""</f>
        <v/>
      </c>
      <c r="DA877" t="str">
        <f>""</f>
        <v/>
      </c>
      <c r="DB877" t="str">
        <f>""</f>
        <v/>
      </c>
      <c r="DC877" t="str">
        <f>""</f>
        <v/>
      </c>
      <c r="DD877" t="str">
        <f>""</f>
        <v/>
      </c>
      <c r="DE877" t="str">
        <f>""</f>
        <v/>
      </c>
      <c r="DF877" t="str">
        <f>""</f>
        <v/>
      </c>
      <c r="DG877" t="str">
        <f>""</f>
        <v/>
      </c>
      <c r="DH877" t="str">
        <f>""</f>
        <v/>
      </c>
      <c r="DI877" t="str">
        <f>""</f>
        <v/>
      </c>
      <c r="DJ877" t="str">
        <f>""</f>
        <v/>
      </c>
      <c r="DK877" t="str">
        <f>""</f>
        <v/>
      </c>
      <c r="DL877" t="str">
        <f>""</f>
        <v/>
      </c>
      <c r="DM877" t="str">
        <f>""</f>
        <v/>
      </c>
      <c r="DN877" t="str">
        <f>""</f>
        <v/>
      </c>
      <c r="DO877" t="str">
        <f>""</f>
        <v/>
      </c>
      <c r="DP877" t="str">
        <f>""</f>
        <v/>
      </c>
      <c r="DQ877" t="str">
        <f>""</f>
        <v/>
      </c>
      <c r="DR877" t="str">
        <f>""</f>
        <v/>
      </c>
      <c r="DS877" t="str">
        <f>""</f>
        <v/>
      </c>
      <c r="DT877" t="str">
        <f>""</f>
        <v/>
      </c>
      <c r="DU877" t="str">
        <f>""</f>
        <v/>
      </c>
    </row>
    <row r="878" spans="1:125" x14ac:dyDescent="0.25">
      <c r="A878" t="str">
        <f>$A$208</f>
        <v xml:space="preserve">    Yulon Motor Co Ltd</v>
      </c>
      <c r="B878" t="str">
        <f>$B$208</f>
        <v>2201 TT Equity</v>
      </c>
      <c r="C878" t="str">
        <f>$C$208</f>
        <v>RX077</v>
      </c>
      <c r="D878" t="str">
        <f>$D$208</f>
        <v>PX_TO_TANG_BOOK_VAL_PER_SH</v>
      </c>
      <c r="E878" t="str">
        <f>$E$208</f>
        <v>Dynamic</v>
      </c>
      <c r="F878" t="str">
        <f ca="1">_xll.BDH($B$208,$C$208,$B$675,$B$676,CONCATENATE("Per=",$B$673),"Dts=H","Dir=H",CONCATENATE("Points=",$B$674),"Sort=R","Days=A","Fill=B",CONCATENATE("FX=", $B$672) )</f>
        <v>#N/A Connection</v>
      </c>
      <c r="BN878" t="str">
        <f>""</f>
        <v/>
      </c>
      <c r="BO878" t="str">
        <f>""</f>
        <v/>
      </c>
      <c r="BP878" t="str">
        <f>""</f>
        <v/>
      </c>
      <c r="BQ878" t="str">
        <f>""</f>
        <v/>
      </c>
      <c r="BR878" t="str">
        <f>""</f>
        <v/>
      </c>
      <c r="BS878" t="str">
        <f>""</f>
        <v/>
      </c>
      <c r="BT878" t="str">
        <f>""</f>
        <v/>
      </c>
      <c r="BU878" t="str">
        <f>""</f>
        <v/>
      </c>
      <c r="BV878" t="str">
        <f>""</f>
        <v/>
      </c>
      <c r="BW878" t="str">
        <f>""</f>
        <v/>
      </c>
      <c r="BX878" t="str">
        <f>""</f>
        <v/>
      </c>
      <c r="BY878" t="str">
        <f>""</f>
        <v/>
      </c>
      <c r="BZ878" t="str">
        <f>""</f>
        <v/>
      </c>
      <c r="CA878" t="str">
        <f>""</f>
        <v/>
      </c>
      <c r="CB878" t="str">
        <f>""</f>
        <v/>
      </c>
      <c r="CC878" t="str">
        <f>""</f>
        <v/>
      </c>
      <c r="CD878" t="str">
        <f>""</f>
        <v/>
      </c>
      <c r="CE878" t="str">
        <f>""</f>
        <v/>
      </c>
      <c r="CF878" t="str">
        <f>""</f>
        <v/>
      </c>
      <c r="CG878" t="str">
        <f>""</f>
        <v/>
      </c>
      <c r="CH878" t="str">
        <f>""</f>
        <v/>
      </c>
      <c r="CI878" t="str">
        <f>""</f>
        <v/>
      </c>
      <c r="CJ878" t="str">
        <f>""</f>
        <v/>
      </c>
      <c r="CK878" t="str">
        <f>""</f>
        <v/>
      </c>
      <c r="CL878" t="str">
        <f>""</f>
        <v/>
      </c>
      <c r="CM878" t="str">
        <f>""</f>
        <v/>
      </c>
      <c r="CN878" t="str">
        <f>""</f>
        <v/>
      </c>
      <c r="CO878" t="str">
        <f>""</f>
        <v/>
      </c>
      <c r="CP878" t="str">
        <f>""</f>
        <v/>
      </c>
      <c r="CQ878" t="str">
        <f>""</f>
        <v/>
      </c>
      <c r="CR878" t="str">
        <f>""</f>
        <v/>
      </c>
      <c r="CS878" t="str">
        <f>""</f>
        <v/>
      </c>
      <c r="CT878" t="str">
        <f>""</f>
        <v/>
      </c>
      <c r="CU878" t="str">
        <f>""</f>
        <v/>
      </c>
      <c r="CV878" t="str">
        <f>""</f>
        <v/>
      </c>
      <c r="CW878" t="str">
        <f>""</f>
        <v/>
      </c>
      <c r="CX878" t="str">
        <f>""</f>
        <v/>
      </c>
      <c r="CY878" t="str">
        <f>""</f>
        <v/>
      </c>
      <c r="CZ878" t="str">
        <f>""</f>
        <v/>
      </c>
      <c r="DA878" t="str">
        <f>""</f>
        <v/>
      </c>
      <c r="DB878" t="str">
        <f>""</f>
        <v/>
      </c>
      <c r="DC878" t="str">
        <f>""</f>
        <v/>
      </c>
      <c r="DD878" t="str">
        <f>""</f>
        <v/>
      </c>
      <c r="DE878" t="str">
        <f>""</f>
        <v/>
      </c>
      <c r="DF878" t="str">
        <f>""</f>
        <v/>
      </c>
      <c r="DG878" t="str">
        <f>""</f>
        <v/>
      </c>
      <c r="DH878" t="str">
        <f>""</f>
        <v/>
      </c>
      <c r="DI878" t="str">
        <f>""</f>
        <v/>
      </c>
      <c r="DJ878" t="str">
        <f>""</f>
        <v/>
      </c>
      <c r="DK878" t="str">
        <f>""</f>
        <v/>
      </c>
      <c r="DL878" t="str">
        <f>""</f>
        <v/>
      </c>
      <c r="DM878" t="str">
        <f>""</f>
        <v/>
      </c>
      <c r="DN878" t="str">
        <f>""</f>
        <v/>
      </c>
      <c r="DO878" t="str">
        <f>""</f>
        <v/>
      </c>
      <c r="DP878" t="str">
        <f>""</f>
        <v/>
      </c>
      <c r="DQ878" t="str">
        <f>""</f>
        <v/>
      </c>
      <c r="DR878" t="str">
        <f>""</f>
        <v/>
      </c>
      <c r="DS878" t="str">
        <f>""</f>
        <v/>
      </c>
      <c r="DT878" t="str">
        <f>""</f>
        <v/>
      </c>
      <c r="DU878" t="str">
        <f>""</f>
        <v/>
      </c>
    </row>
    <row r="879" spans="1:125" x14ac:dyDescent="0.25">
      <c r="A879" t="str">
        <f>$A$210</f>
        <v xml:space="preserve">    AUDI AG</v>
      </c>
      <c r="B879" t="str">
        <f>$B$210</f>
        <v>NSU GR Equity</v>
      </c>
      <c r="C879" t="str">
        <f>$C$210</f>
        <v>RR971</v>
      </c>
      <c r="D879" t="str">
        <f>$D$210</f>
        <v>CURRENT_PX_TO_FREE_CASH_FLOW</v>
      </c>
      <c r="E879" t="str">
        <f>$E$210</f>
        <v>Dynamic</v>
      </c>
      <c r="F879" t="str">
        <f ca="1">_xll.BDH($B$210,$C$210,$B$675,$B$676,CONCATENATE("Per=",$B$673),"Dts=H","Dir=H",CONCATENATE("Points=",$B$674),"Sort=R","Days=A","Fill=B",CONCATENATE("FX=", $B$672) )</f>
        <v>#N/A Connection</v>
      </c>
      <c r="BN879" t="str">
        <f>""</f>
        <v/>
      </c>
      <c r="BO879" t="str">
        <f>""</f>
        <v/>
      </c>
      <c r="BP879" t="str">
        <f>""</f>
        <v/>
      </c>
      <c r="BQ879" t="str">
        <f>""</f>
        <v/>
      </c>
      <c r="BR879" t="str">
        <f>""</f>
        <v/>
      </c>
      <c r="BS879" t="str">
        <f>""</f>
        <v/>
      </c>
      <c r="BT879" t="str">
        <f>""</f>
        <v/>
      </c>
      <c r="BU879" t="str">
        <f>""</f>
        <v/>
      </c>
      <c r="BV879" t="str">
        <f>""</f>
        <v/>
      </c>
      <c r="BW879" t="str">
        <f>""</f>
        <v/>
      </c>
      <c r="BX879" t="str">
        <f>""</f>
        <v/>
      </c>
      <c r="BY879" t="str">
        <f>""</f>
        <v/>
      </c>
      <c r="BZ879" t="str">
        <f>""</f>
        <v/>
      </c>
      <c r="CA879" t="str">
        <f>""</f>
        <v/>
      </c>
      <c r="CB879" t="str">
        <f>""</f>
        <v/>
      </c>
      <c r="CC879" t="str">
        <f>""</f>
        <v/>
      </c>
      <c r="CD879" t="str">
        <f>""</f>
        <v/>
      </c>
      <c r="CE879" t="str">
        <f>""</f>
        <v/>
      </c>
      <c r="CF879" t="str">
        <f>""</f>
        <v/>
      </c>
      <c r="CG879" t="str">
        <f>""</f>
        <v/>
      </c>
      <c r="CH879" t="str">
        <f>""</f>
        <v/>
      </c>
      <c r="CI879" t="str">
        <f>""</f>
        <v/>
      </c>
      <c r="CJ879" t="str">
        <f>""</f>
        <v/>
      </c>
      <c r="CK879" t="str">
        <f>""</f>
        <v/>
      </c>
      <c r="CL879" t="str">
        <f>""</f>
        <v/>
      </c>
      <c r="CM879" t="str">
        <f>""</f>
        <v/>
      </c>
      <c r="CN879" t="str">
        <f>""</f>
        <v/>
      </c>
      <c r="CO879" t="str">
        <f>""</f>
        <v/>
      </c>
      <c r="CP879" t="str">
        <f>""</f>
        <v/>
      </c>
      <c r="CQ879" t="str">
        <f>""</f>
        <v/>
      </c>
      <c r="CR879" t="str">
        <f>""</f>
        <v/>
      </c>
      <c r="CS879" t="str">
        <f>""</f>
        <v/>
      </c>
      <c r="CT879" t="str">
        <f>""</f>
        <v/>
      </c>
      <c r="CU879" t="str">
        <f>""</f>
        <v/>
      </c>
      <c r="CV879" t="str">
        <f>""</f>
        <v/>
      </c>
      <c r="CW879" t="str">
        <f>""</f>
        <v/>
      </c>
      <c r="CX879" t="str">
        <f>""</f>
        <v/>
      </c>
      <c r="CY879" t="str">
        <f>""</f>
        <v/>
      </c>
      <c r="CZ879" t="str">
        <f>""</f>
        <v/>
      </c>
      <c r="DA879" t="str">
        <f>""</f>
        <v/>
      </c>
      <c r="DB879" t="str">
        <f>""</f>
        <v/>
      </c>
      <c r="DC879" t="str">
        <f>""</f>
        <v/>
      </c>
      <c r="DD879" t="str">
        <f>""</f>
        <v/>
      </c>
      <c r="DE879" t="str">
        <f>""</f>
        <v/>
      </c>
      <c r="DF879" t="str">
        <f>""</f>
        <v/>
      </c>
      <c r="DG879" t="str">
        <f>""</f>
        <v/>
      </c>
      <c r="DH879" t="str">
        <f>""</f>
        <v/>
      </c>
      <c r="DI879" t="str">
        <f>""</f>
        <v/>
      </c>
      <c r="DJ879" t="str">
        <f>""</f>
        <v/>
      </c>
      <c r="DK879" t="str">
        <f>""</f>
        <v/>
      </c>
      <c r="DL879" t="str">
        <f>""</f>
        <v/>
      </c>
      <c r="DM879" t="str">
        <f>""</f>
        <v/>
      </c>
      <c r="DN879" t="str">
        <f>""</f>
        <v/>
      </c>
      <c r="DO879" t="str">
        <f>""</f>
        <v/>
      </c>
      <c r="DP879" t="str">
        <f>""</f>
        <v/>
      </c>
      <c r="DQ879" t="str">
        <f>""</f>
        <v/>
      </c>
      <c r="DR879" t="str">
        <f>""</f>
        <v/>
      </c>
      <c r="DS879" t="str">
        <f>""</f>
        <v/>
      </c>
      <c r="DT879" t="str">
        <f>""</f>
        <v/>
      </c>
      <c r="DU879" t="str">
        <f>""</f>
        <v/>
      </c>
    </row>
    <row r="880" spans="1:125" x14ac:dyDescent="0.25">
      <c r="A880" t="str">
        <f>$A$211</f>
        <v xml:space="preserve">    Avtovaz PJSC</v>
      </c>
      <c r="B880" t="str">
        <f>$B$211</f>
        <v>AVAZ RM Equity</v>
      </c>
      <c r="C880" t="str">
        <f>$C$211</f>
        <v>RR971</v>
      </c>
      <c r="D880" t="str">
        <f>$D$211</f>
        <v>CURRENT_PX_TO_FREE_CASH_FLOW</v>
      </c>
      <c r="E880" t="str">
        <f>$E$211</f>
        <v>Dynamic</v>
      </c>
      <c r="F880" t="str">
        <f ca="1">_xll.BDH($B$211,$C$211,$B$675,$B$676,CONCATENATE("Per=",$B$673),"Dts=H","Dir=H",CONCATENATE("Points=",$B$674),"Sort=R","Days=A","Fill=B",CONCATENATE("FX=", $B$672) )</f>
        <v>#N/A Connection</v>
      </c>
      <c r="BN880" t="str">
        <f>""</f>
        <v/>
      </c>
      <c r="BO880" t="str">
        <f>""</f>
        <v/>
      </c>
      <c r="BP880" t="str">
        <f>""</f>
        <v/>
      </c>
      <c r="BQ880" t="str">
        <f>""</f>
        <v/>
      </c>
      <c r="BR880" t="str">
        <f>""</f>
        <v/>
      </c>
      <c r="BS880" t="str">
        <f>""</f>
        <v/>
      </c>
      <c r="BT880" t="str">
        <f>""</f>
        <v/>
      </c>
      <c r="BU880" t="str">
        <f>""</f>
        <v/>
      </c>
      <c r="BV880" t="str">
        <f>""</f>
        <v/>
      </c>
      <c r="BW880" t="str">
        <f>""</f>
        <v/>
      </c>
      <c r="BX880" t="str">
        <f>""</f>
        <v/>
      </c>
      <c r="BY880" t="str">
        <f>""</f>
        <v/>
      </c>
      <c r="BZ880" t="str">
        <f>""</f>
        <v/>
      </c>
      <c r="CA880" t="str">
        <f>""</f>
        <v/>
      </c>
      <c r="CB880" t="str">
        <f>""</f>
        <v/>
      </c>
      <c r="CC880" t="str">
        <f>""</f>
        <v/>
      </c>
      <c r="CD880" t="str">
        <f>""</f>
        <v/>
      </c>
      <c r="CE880" t="str">
        <f>""</f>
        <v/>
      </c>
      <c r="CF880" t="str">
        <f>""</f>
        <v/>
      </c>
      <c r="CG880" t="str">
        <f>""</f>
        <v/>
      </c>
      <c r="CH880" t="str">
        <f>""</f>
        <v/>
      </c>
      <c r="CI880" t="str">
        <f>""</f>
        <v/>
      </c>
      <c r="CJ880" t="str">
        <f>""</f>
        <v/>
      </c>
      <c r="CK880" t="str">
        <f>""</f>
        <v/>
      </c>
      <c r="CL880" t="str">
        <f>""</f>
        <v/>
      </c>
      <c r="CM880" t="str">
        <f>""</f>
        <v/>
      </c>
      <c r="CN880" t="str">
        <f>""</f>
        <v/>
      </c>
      <c r="CO880" t="str">
        <f>""</f>
        <v/>
      </c>
      <c r="CP880" t="str">
        <f>""</f>
        <v/>
      </c>
      <c r="CQ880" t="str">
        <f>""</f>
        <v/>
      </c>
      <c r="CR880" t="str">
        <f>""</f>
        <v/>
      </c>
      <c r="CS880" t="str">
        <f>""</f>
        <v/>
      </c>
      <c r="CT880" t="str">
        <f>""</f>
        <v/>
      </c>
      <c r="CU880" t="str">
        <f>""</f>
        <v/>
      </c>
      <c r="CV880" t="str">
        <f>""</f>
        <v/>
      </c>
      <c r="CW880" t="str">
        <f>""</f>
        <v/>
      </c>
      <c r="CX880" t="str">
        <f>""</f>
        <v/>
      </c>
      <c r="CY880" t="str">
        <f>""</f>
        <v/>
      </c>
      <c r="CZ880" t="str">
        <f>""</f>
        <v/>
      </c>
      <c r="DA880" t="str">
        <f>""</f>
        <v/>
      </c>
      <c r="DB880" t="str">
        <f>""</f>
        <v/>
      </c>
      <c r="DC880" t="str">
        <f>""</f>
        <v/>
      </c>
      <c r="DD880" t="str">
        <f>""</f>
        <v/>
      </c>
      <c r="DE880" t="str">
        <f>""</f>
        <v/>
      </c>
      <c r="DF880" t="str">
        <f>""</f>
        <v/>
      </c>
      <c r="DG880" t="str">
        <f>""</f>
        <v/>
      </c>
      <c r="DH880" t="str">
        <f>""</f>
        <v/>
      </c>
      <c r="DI880" t="str">
        <f>""</f>
        <v/>
      </c>
      <c r="DJ880" t="str">
        <f>""</f>
        <v/>
      </c>
      <c r="DK880" t="str">
        <f>""</f>
        <v/>
      </c>
      <c r="DL880" t="str">
        <f>""</f>
        <v/>
      </c>
      <c r="DM880" t="str">
        <f>""</f>
        <v/>
      </c>
      <c r="DN880" t="str">
        <f>""</f>
        <v/>
      </c>
      <c r="DO880" t="str">
        <f>""</f>
        <v/>
      </c>
      <c r="DP880" t="str">
        <f>""</f>
        <v/>
      </c>
      <c r="DQ880" t="str">
        <f>""</f>
        <v/>
      </c>
      <c r="DR880" t="str">
        <f>""</f>
        <v/>
      </c>
      <c r="DS880" t="str">
        <f>""</f>
        <v/>
      </c>
      <c r="DT880" t="str">
        <f>""</f>
        <v/>
      </c>
      <c r="DU880" t="str">
        <f>""</f>
        <v/>
      </c>
    </row>
    <row r="881" spans="1:125" x14ac:dyDescent="0.25">
      <c r="A881" t="str">
        <f>$A$212</f>
        <v xml:space="preserve">    Bayerische Motoren Werke AG</v>
      </c>
      <c r="B881" t="str">
        <f>$B$212</f>
        <v>BMW GR Equity</v>
      </c>
      <c r="C881" t="str">
        <f>$C$212</f>
        <v>RR971</v>
      </c>
      <c r="D881" t="str">
        <f>$D$212</f>
        <v>CURRENT_PX_TO_FREE_CASH_FLOW</v>
      </c>
      <c r="E881" t="str">
        <f>$E$212</f>
        <v>Dynamic</v>
      </c>
      <c r="F881" t="str">
        <f ca="1">_xll.BDH($B$212,$C$212,$B$675,$B$676,CONCATENATE("Per=",$B$673),"Dts=H","Dir=H",CONCATENATE("Points=",$B$674),"Sort=R","Days=A","Fill=B",CONCATENATE("FX=", $B$672) )</f>
        <v>#N/A Connection</v>
      </c>
      <c r="BN881" t="str">
        <f>""</f>
        <v/>
      </c>
      <c r="BO881" t="str">
        <f>""</f>
        <v/>
      </c>
      <c r="BP881" t="str">
        <f>""</f>
        <v/>
      </c>
      <c r="BQ881" t="str">
        <f>""</f>
        <v/>
      </c>
      <c r="BR881" t="str">
        <f>""</f>
        <v/>
      </c>
      <c r="BS881" t="str">
        <f>""</f>
        <v/>
      </c>
      <c r="BT881" t="str">
        <f>""</f>
        <v/>
      </c>
      <c r="BU881" t="str">
        <f>""</f>
        <v/>
      </c>
      <c r="BV881" t="str">
        <f>""</f>
        <v/>
      </c>
      <c r="BW881" t="str">
        <f>""</f>
        <v/>
      </c>
      <c r="BX881" t="str">
        <f>""</f>
        <v/>
      </c>
      <c r="BY881" t="str">
        <f>""</f>
        <v/>
      </c>
      <c r="BZ881" t="str">
        <f>""</f>
        <v/>
      </c>
      <c r="CA881" t="str">
        <f>""</f>
        <v/>
      </c>
      <c r="CB881" t="str">
        <f>""</f>
        <v/>
      </c>
      <c r="CC881" t="str">
        <f>""</f>
        <v/>
      </c>
      <c r="CD881" t="str">
        <f>""</f>
        <v/>
      </c>
      <c r="CE881" t="str">
        <f>""</f>
        <v/>
      </c>
      <c r="CF881" t="str">
        <f>""</f>
        <v/>
      </c>
      <c r="CG881" t="str">
        <f>""</f>
        <v/>
      </c>
      <c r="CH881" t="str">
        <f>""</f>
        <v/>
      </c>
      <c r="CI881" t="str">
        <f>""</f>
        <v/>
      </c>
      <c r="CJ881" t="str">
        <f>""</f>
        <v/>
      </c>
      <c r="CK881" t="str">
        <f>""</f>
        <v/>
      </c>
      <c r="CL881" t="str">
        <f>""</f>
        <v/>
      </c>
      <c r="CM881" t="str">
        <f>""</f>
        <v/>
      </c>
      <c r="CN881" t="str">
        <f>""</f>
        <v/>
      </c>
      <c r="CO881" t="str">
        <f>""</f>
        <v/>
      </c>
      <c r="CP881" t="str">
        <f>""</f>
        <v/>
      </c>
      <c r="CQ881" t="str">
        <f>""</f>
        <v/>
      </c>
      <c r="CR881" t="str">
        <f>""</f>
        <v/>
      </c>
      <c r="CS881" t="str">
        <f>""</f>
        <v/>
      </c>
      <c r="CT881" t="str">
        <f>""</f>
        <v/>
      </c>
      <c r="CU881" t="str">
        <f>""</f>
        <v/>
      </c>
      <c r="CV881" t="str">
        <f>""</f>
        <v/>
      </c>
      <c r="CW881" t="str">
        <f>""</f>
        <v/>
      </c>
      <c r="CX881" t="str">
        <f>""</f>
        <v/>
      </c>
      <c r="CY881" t="str">
        <f>""</f>
        <v/>
      </c>
      <c r="CZ881" t="str">
        <f>""</f>
        <v/>
      </c>
      <c r="DA881" t="str">
        <f>""</f>
        <v/>
      </c>
      <c r="DB881" t="str">
        <f>""</f>
        <v/>
      </c>
      <c r="DC881" t="str">
        <f>""</f>
        <v/>
      </c>
      <c r="DD881" t="str">
        <f>""</f>
        <v/>
      </c>
      <c r="DE881" t="str">
        <f>""</f>
        <v/>
      </c>
      <c r="DF881" t="str">
        <f>""</f>
        <v/>
      </c>
      <c r="DG881" t="str">
        <f>""</f>
        <v/>
      </c>
      <c r="DH881" t="str">
        <f>""</f>
        <v/>
      </c>
      <c r="DI881" t="str">
        <f>""</f>
        <v/>
      </c>
      <c r="DJ881" t="str">
        <f>""</f>
        <v/>
      </c>
      <c r="DK881" t="str">
        <f>""</f>
        <v/>
      </c>
      <c r="DL881" t="str">
        <f>""</f>
        <v/>
      </c>
      <c r="DM881" t="str">
        <f>""</f>
        <v/>
      </c>
      <c r="DN881" t="str">
        <f>""</f>
        <v/>
      </c>
      <c r="DO881" t="str">
        <f>""</f>
        <v/>
      </c>
      <c r="DP881" t="str">
        <f>""</f>
        <v/>
      </c>
      <c r="DQ881" t="str">
        <f>""</f>
        <v/>
      </c>
      <c r="DR881" t="str">
        <f>""</f>
        <v/>
      </c>
      <c r="DS881" t="str">
        <f>""</f>
        <v/>
      </c>
      <c r="DT881" t="str">
        <f>""</f>
        <v/>
      </c>
      <c r="DU881" t="str">
        <f>""</f>
        <v/>
      </c>
    </row>
    <row r="882" spans="1:125" x14ac:dyDescent="0.25">
      <c r="A882" t="str">
        <f>$A$213</f>
        <v xml:space="preserve">    Brilliance China Automotive Holdings Ltd</v>
      </c>
      <c r="B882" t="str">
        <f>$B$213</f>
        <v>1114 HK Equity</v>
      </c>
      <c r="C882" t="str">
        <f>$C$213</f>
        <v>RR971</v>
      </c>
      <c r="D882" t="str">
        <f>$D$213</f>
        <v>CURRENT_PX_TO_FREE_CASH_FLOW</v>
      </c>
      <c r="E882" t="str">
        <f>$E$213</f>
        <v>Dynamic</v>
      </c>
      <c r="F882" t="str">
        <f ca="1">_xll.BDH($B$213,$C$213,$B$675,$B$676,CONCATENATE("Per=",$B$673),"Dts=H","Dir=H",CONCATENATE("Points=",$B$674),"Sort=R","Days=A","Fill=B",CONCATENATE("FX=", $B$672) )</f>
        <v>#N/A Connection</v>
      </c>
      <c r="BN882" t="str">
        <f>""</f>
        <v/>
      </c>
      <c r="BO882" t="str">
        <f>""</f>
        <v/>
      </c>
      <c r="BP882" t="str">
        <f>""</f>
        <v/>
      </c>
      <c r="BQ882" t="str">
        <f>""</f>
        <v/>
      </c>
      <c r="BR882" t="str">
        <f>""</f>
        <v/>
      </c>
      <c r="BS882" t="str">
        <f>""</f>
        <v/>
      </c>
      <c r="BT882" t="str">
        <f>""</f>
        <v/>
      </c>
      <c r="BU882" t="str">
        <f>""</f>
        <v/>
      </c>
      <c r="BV882" t="str">
        <f>""</f>
        <v/>
      </c>
      <c r="BW882" t="str">
        <f>""</f>
        <v/>
      </c>
      <c r="BX882" t="str">
        <f>""</f>
        <v/>
      </c>
      <c r="BY882" t="str">
        <f>""</f>
        <v/>
      </c>
      <c r="BZ882" t="str">
        <f>""</f>
        <v/>
      </c>
      <c r="CA882" t="str">
        <f>""</f>
        <v/>
      </c>
      <c r="CB882" t="str">
        <f>""</f>
        <v/>
      </c>
      <c r="CC882" t="str">
        <f>""</f>
        <v/>
      </c>
      <c r="CD882" t="str">
        <f>""</f>
        <v/>
      </c>
      <c r="CE882" t="str">
        <f>""</f>
        <v/>
      </c>
      <c r="CF882" t="str">
        <f>""</f>
        <v/>
      </c>
      <c r="CG882" t="str">
        <f>""</f>
        <v/>
      </c>
      <c r="CH882" t="str">
        <f>""</f>
        <v/>
      </c>
      <c r="CI882" t="str">
        <f>""</f>
        <v/>
      </c>
      <c r="CJ882" t="str">
        <f>""</f>
        <v/>
      </c>
      <c r="CK882" t="str">
        <f>""</f>
        <v/>
      </c>
      <c r="CL882" t="str">
        <f>""</f>
        <v/>
      </c>
      <c r="CM882" t="str">
        <f>""</f>
        <v/>
      </c>
      <c r="CN882" t="str">
        <f>""</f>
        <v/>
      </c>
      <c r="CO882" t="str">
        <f>""</f>
        <v/>
      </c>
      <c r="CP882" t="str">
        <f>""</f>
        <v/>
      </c>
      <c r="CQ882" t="str">
        <f>""</f>
        <v/>
      </c>
      <c r="CR882" t="str">
        <f>""</f>
        <v/>
      </c>
      <c r="CS882" t="str">
        <f>""</f>
        <v/>
      </c>
      <c r="CT882" t="str">
        <f>""</f>
        <v/>
      </c>
      <c r="CU882" t="str">
        <f>""</f>
        <v/>
      </c>
      <c r="CV882" t="str">
        <f>""</f>
        <v/>
      </c>
      <c r="CW882" t="str">
        <f>""</f>
        <v/>
      </c>
      <c r="CX882" t="str">
        <f>""</f>
        <v/>
      </c>
      <c r="CY882" t="str">
        <f>""</f>
        <v/>
      </c>
      <c r="CZ882" t="str">
        <f>""</f>
        <v/>
      </c>
      <c r="DA882" t="str">
        <f>""</f>
        <v/>
      </c>
      <c r="DB882" t="str">
        <f>""</f>
        <v/>
      </c>
      <c r="DC882" t="str">
        <f>""</f>
        <v/>
      </c>
      <c r="DD882" t="str">
        <f>""</f>
        <v/>
      </c>
      <c r="DE882" t="str">
        <f>""</f>
        <v/>
      </c>
      <c r="DF882" t="str">
        <f>""</f>
        <v/>
      </c>
      <c r="DG882" t="str">
        <f>""</f>
        <v/>
      </c>
      <c r="DH882" t="str">
        <f>""</f>
        <v/>
      </c>
      <c r="DI882" t="str">
        <f>""</f>
        <v/>
      </c>
      <c r="DJ882" t="str">
        <f>""</f>
        <v/>
      </c>
      <c r="DK882" t="str">
        <f>""</f>
        <v/>
      </c>
      <c r="DL882" t="str">
        <f>""</f>
        <v/>
      </c>
      <c r="DM882" t="str">
        <f>""</f>
        <v/>
      </c>
      <c r="DN882" t="str">
        <f>""</f>
        <v/>
      </c>
      <c r="DO882" t="str">
        <f>""</f>
        <v/>
      </c>
      <c r="DP882" t="str">
        <f>""</f>
        <v/>
      </c>
      <c r="DQ882" t="str">
        <f>""</f>
        <v/>
      </c>
      <c r="DR882" t="str">
        <f>""</f>
        <v/>
      </c>
      <c r="DS882" t="str">
        <f>""</f>
        <v/>
      </c>
      <c r="DT882" t="str">
        <f>""</f>
        <v/>
      </c>
      <c r="DU882" t="str">
        <f>""</f>
        <v/>
      </c>
    </row>
    <row r="883" spans="1:125" x14ac:dyDescent="0.25">
      <c r="A883" t="str">
        <f>$A$214</f>
        <v xml:space="preserve">    BYD Co Ltd</v>
      </c>
      <c r="B883" t="str">
        <f>$B$214</f>
        <v>1211 HK Equity</v>
      </c>
      <c r="C883" t="str">
        <f>$C$214</f>
        <v>RR971</v>
      </c>
      <c r="D883" t="str">
        <f>$D$214</f>
        <v>CURRENT_PX_TO_FREE_CASH_FLOW</v>
      </c>
      <c r="E883" t="str">
        <f>$E$214</f>
        <v>Dynamic</v>
      </c>
      <c r="F883" t="str">
        <f ca="1">_xll.BDH($B$214,$C$214,$B$675,$B$676,CONCATENATE("Per=",$B$673),"Dts=H","Dir=H",CONCATENATE("Points=",$B$674),"Sort=R","Days=A","Fill=B",CONCATENATE("FX=", $B$672) )</f>
        <v>#N/A Connection</v>
      </c>
      <c r="BN883" t="str">
        <f>""</f>
        <v/>
      </c>
      <c r="BO883" t="str">
        <f>""</f>
        <v/>
      </c>
      <c r="BP883" t="str">
        <f>""</f>
        <v/>
      </c>
      <c r="BQ883" t="str">
        <f>""</f>
        <v/>
      </c>
      <c r="BR883" t="str">
        <f>""</f>
        <v/>
      </c>
      <c r="BS883" t="str">
        <f>""</f>
        <v/>
      </c>
      <c r="BT883" t="str">
        <f>""</f>
        <v/>
      </c>
      <c r="BU883" t="str">
        <f>""</f>
        <v/>
      </c>
      <c r="BV883" t="str">
        <f>""</f>
        <v/>
      </c>
      <c r="BW883" t="str">
        <f>""</f>
        <v/>
      </c>
      <c r="BX883" t="str">
        <f>""</f>
        <v/>
      </c>
      <c r="BY883" t="str">
        <f>""</f>
        <v/>
      </c>
      <c r="BZ883" t="str">
        <f>""</f>
        <v/>
      </c>
      <c r="CA883" t="str">
        <f>""</f>
        <v/>
      </c>
      <c r="CB883" t="str">
        <f>""</f>
        <v/>
      </c>
      <c r="CC883" t="str">
        <f>""</f>
        <v/>
      </c>
      <c r="CD883" t="str">
        <f>""</f>
        <v/>
      </c>
      <c r="CE883" t="str">
        <f>""</f>
        <v/>
      </c>
      <c r="CF883" t="str">
        <f>""</f>
        <v/>
      </c>
      <c r="CG883" t="str">
        <f>""</f>
        <v/>
      </c>
      <c r="CH883" t="str">
        <f>""</f>
        <v/>
      </c>
      <c r="CI883" t="str">
        <f>""</f>
        <v/>
      </c>
      <c r="CJ883" t="str">
        <f>""</f>
        <v/>
      </c>
      <c r="CK883" t="str">
        <f>""</f>
        <v/>
      </c>
      <c r="CL883" t="str">
        <f>""</f>
        <v/>
      </c>
      <c r="CM883" t="str">
        <f>""</f>
        <v/>
      </c>
      <c r="CN883" t="str">
        <f>""</f>
        <v/>
      </c>
      <c r="CO883" t="str">
        <f>""</f>
        <v/>
      </c>
      <c r="CP883" t="str">
        <f>""</f>
        <v/>
      </c>
      <c r="CQ883" t="str">
        <f>""</f>
        <v/>
      </c>
      <c r="CR883" t="str">
        <f>""</f>
        <v/>
      </c>
      <c r="CS883" t="str">
        <f>""</f>
        <v/>
      </c>
      <c r="CT883" t="str">
        <f>""</f>
        <v/>
      </c>
      <c r="CU883" t="str">
        <f>""</f>
        <v/>
      </c>
      <c r="CV883" t="str">
        <f>""</f>
        <v/>
      </c>
      <c r="CW883" t="str">
        <f>""</f>
        <v/>
      </c>
      <c r="CX883" t="str">
        <f>""</f>
        <v/>
      </c>
      <c r="CY883" t="str">
        <f>""</f>
        <v/>
      </c>
      <c r="CZ883" t="str">
        <f>""</f>
        <v/>
      </c>
      <c r="DA883" t="str">
        <f>""</f>
        <v/>
      </c>
      <c r="DB883" t="str">
        <f>""</f>
        <v/>
      </c>
      <c r="DC883" t="str">
        <f>""</f>
        <v/>
      </c>
      <c r="DD883" t="str">
        <f>""</f>
        <v/>
      </c>
      <c r="DE883" t="str">
        <f>""</f>
        <v/>
      </c>
      <c r="DF883" t="str">
        <f>""</f>
        <v/>
      </c>
      <c r="DG883" t="str">
        <f>""</f>
        <v/>
      </c>
      <c r="DH883" t="str">
        <f>""</f>
        <v/>
      </c>
      <c r="DI883" t="str">
        <f>""</f>
        <v/>
      </c>
      <c r="DJ883" t="str">
        <f>""</f>
        <v/>
      </c>
      <c r="DK883" t="str">
        <f>""</f>
        <v/>
      </c>
      <c r="DL883" t="str">
        <f>""</f>
        <v/>
      </c>
      <c r="DM883" t="str">
        <f>""</f>
        <v/>
      </c>
      <c r="DN883" t="str">
        <f>""</f>
        <v/>
      </c>
      <c r="DO883" t="str">
        <f>""</f>
        <v/>
      </c>
      <c r="DP883" t="str">
        <f>""</f>
        <v/>
      </c>
      <c r="DQ883" t="str">
        <f>""</f>
        <v/>
      </c>
      <c r="DR883" t="str">
        <f>""</f>
        <v/>
      </c>
      <c r="DS883" t="str">
        <f>""</f>
        <v/>
      </c>
      <c r="DT883" t="str">
        <f>""</f>
        <v/>
      </c>
      <c r="DU883" t="str">
        <f>""</f>
        <v/>
      </c>
    </row>
    <row r="884" spans="1:125" x14ac:dyDescent="0.25">
      <c r="A884" t="str">
        <f>$A$215</f>
        <v xml:space="preserve">    Chongqing Changan Automobile Co Ltd</v>
      </c>
      <c r="B884" t="str">
        <f>$B$215</f>
        <v>200625 CH Equity</v>
      </c>
      <c r="C884" t="str">
        <f>$C$215</f>
        <v>RR971</v>
      </c>
      <c r="D884" t="str">
        <f>$D$215</f>
        <v>CURRENT_PX_TO_FREE_CASH_FLOW</v>
      </c>
      <c r="E884" t="str">
        <f>$E$215</f>
        <v>Dynamic</v>
      </c>
      <c r="F884" t="str">
        <f ca="1">_xll.BDH($B$215,$C$215,$B$675,$B$676,CONCATENATE("Per=",$B$673),"Dts=H","Dir=H",CONCATENATE("Points=",$B$674),"Sort=R","Days=A","Fill=B",CONCATENATE("FX=", $B$672) )</f>
        <v>#N/A Connection</v>
      </c>
      <c r="BN884" t="str">
        <f>""</f>
        <v/>
      </c>
      <c r="BO884" t="str">
        <f>""</f>
        <v/>
      </c>
      <c r="BP884" t="str">
        <f>""</f>
        <v/>
      </c>
      <c r="BQ884" t="str">
        <f>""</f>
        <v/>
      </c>
      <c r="BR884" t="str">
        <f>""</f>
        <v/>
      </c>
      <c r="BS884" t="str">
        <f>""</f>
        <v/>
      </c>
      <c r="BT884" t="str">
        <f>""</f>
        <v/>
      </c>
      <c r="BU884" t="str">
        <f>""</f>
        <v/>
      </c>
      <c r="BV884" t="str">
        <f>""</f>
        <v/>
      </c>
      <c r="BW884" t="str">
        <f>""</f>
        <v/>
      </c>
      <c r="BX884" t="str">
        <f>""</f>
        <v/>
      </c>
      <c r="BY884" t="str">
        <f>""</f>
        <v/>
      </c>
      <c r="BZ884" t="str">
        <f>""</f>
        <v/>
      </c>
      <c r="CA884" t="str">
        <f>""</f>
        <v/>
      </c>
      <c r="CB884" t="str">
        <f>""</f>
        <v/>
      </c>
      <c r="CC884" t="str">
        <f>""</f>
        <v/>
      </c>
      <c r="CD884" t="str">
        <f>""</f>
        <v/>
      </c>
      <c r="CE884" t="str">
        <f>""</f>
        <v/>
      </c>
      <c r="CF884" t="str">
        <f>""</f>
        <v/>
      </c>
      <c r="CG884" t="str">
        <f>""</f>
        <v/>
      </c>
      <c r="CH884" t="str">
        <f>""</f>
        <v/>
      </c>
      <c r="CI884" t="str">
        <f>""</f>
        <v/>
      </c>
      <c r="CJ884" t="str">
        <f>""</f>
        <v/>
      </c>
      <c r="CK884" t="str">
        <f>""</f>
        <v/>
      </c>
      <c r="CL884" t="str">
        <f>""</f>
        <v/>
      </c>
      <c r="CM884" t="str">
        <f>""</f>
        <v/>
      </c>
      <c r="CN884" t="str">
        <f>""</f>
        <v/>
      </c>
      <c r="CO884" t="str">
        <f>""</f>
        <v/>
      </c>
      <c r="CP884" t="str">
        <f>""</f>
        <v/>
      </c>
      <c r="CQ884" t="str">
        <f>""</f>
        <v/>
      </c>
      <c r="CR884" t="str">
        <f>""</f>
        <v/>
      </c>
      <c r="CS884" t="str">
        <f>""</f>
        <v/>
      </c>
      <c r="CT884" t="str">
        <f>""</f>
        <v/>
      </c>
      <c r="CU884" t="str">
        <f>""</f>
        <v/>
      </c>
      <c r="CV884" t="str">
        <f>""</f>
        <v/>
      </c>
      <c r="CW884" t="str">
        <f>""</f>
        <v/>
      </c>
      <c r="CX884" t="str">
        <f>""</f>
        <v/>
      </c>
      <c r="CY884" t="str">
        <f>""</f>
        <v/>
      </c>
      <c r="CZ884" t="str">
        <f>""</f>
        <v/>
      </c>
      <c r="DA884" t="str">
        <f>""</f>
        <v/>
      </c>
      <c r="DB884" t="str">
        <f>""</f>
        <v/>
      </c>
      <c r="DC884" t="str">
        <f>""</f>
        <v/>
      </c>
      <c r="DD884" t="str">
        <f>""</f>
        <v/>
      </c>
      <c r="DE884" t="str">
        <f>""</f>
        <v/>
      </c>
      <c r="DF884" t="str">
        <f>""</f>
        <v/>
      </c>
      <c r="DG884" t="str">
        <f>""</f>
        <v/>
      </c>
      <c r="DH884" t="str">
        <f>""</f>
        <v/>
      </c>
      <c r="DI884" t="str">
        <f>""</f>
        <v/>
      </c>
      <c r="DJ884" t="str">
        <f>""</f>
        <v/>
      </c>
      <c r="DK884" t="str">
        <f>""</f>
        <v/>
      </c>
      <c r="DL884" t="str">
        <f>""</f>
        <v/>
      </c>
      <c r="DM884" t="str">
        <f>""</f>
        <v/>
      </c>
      <c r="DN884" t="str">
        <f>""</f>
        <v/>
      </c>
      <c r="DO884" t="str">
        <f>""</f>
        <v/>
      </c>
      <c r="DP884" t="str">
        <f>""</f>
        <v/>
      </c>
      <c r="DQ884" t="str">
        <f>""</f>
        <v/>
      </c>
      <c r="DR884" t="str">
        <f>""</f>
        <v/>
      </c>
      <c r="DS884" t="str">
        <f>""</f>
        <v/>
      </c>
      <c r="DT884" t="str">
        <f>""</f>
        <v/>
      </c>
      <c r="DU884" t="str">
        <f>""</f>
        <v/>
      </c>
    </row>
    <row r="885" spans="1:125" x14ac:dyDescent="0.25">
      <c r="A885" t="str">
        <f>$A$216</f>
        <v xml:space="preserve">    Daihatsu Motor Co Ltd</v>
      </c>
      <c r="B885" t="str">
        <f>$B$216</f>
        <v>7262 JP Equity</v>
      </c>
      <c r="C885" t="str">
        <f>$C$216</f>
        <v>RR971</v>
      </c>
      <c r="D885" t="str">
        <f>$D$216</f>
        <v>CURRENT_PX_TO_FREE_CASH_FLOW</v>
      </c>
      <c r="E885" t="str">
        <f>$E$216</f>
        <v>Dynamic</v>
      </c>
      <c r="F885" t="str">
        <f ca="1">_xll.BDH($B$216,$C$216,$B$675,$B$676,CONCATENATE("Per=",$B$673),"Dts=H","Dir=H",CONCATENATE("Points=",$B$674),"Sort=R","Days=A","Fill=B",CONCATENATE("FX=", $B$672) )</f>
        <v>#N/A Connection</v>
      </c>
      <c r="BN885" t="str">
        <f>""</f>
        <v/>
      </c>
      <c r="BO885" t="str">
        <f>""</f>
        <v/>
      </c>
      <c r="BP885" t="str">
        <f>""</f>
        <v/>
      </c>
      <c r="BQ885" t="str">
        <f>""</f>
        <v/>
      </c>
      <c r="BR885" t="str">
        <f>""</f>
        <v/>
      </c>
      <c r="BS885" t="str">
        <f>""</f>
        <v/>
      </c>
      <c r="BT885" t="str">
        <f>""</f>
        <v/>
      </c>
      <c r="BU885" t="str">
        <f>""</f>
        <v/>
      </c>
      <c r="BV885" t="str">
        <f>""</f>
        <v/>
      </c>
      <c r="BW885" t="str">
        <f>""</f>
        <v/>
      </c>
      <c r="BX885" t="str">
        <f>""</f>
        <v/>
      </c>
      <c r="BY885" t="str">
        <f>""</f>
        <v/>
      </c>
      <c r="BZ885" t="str">
        <f>""</f>
        <v/>
      </c>
      <c r="CA885" t="str">
        <f>""</f>
        <v/>
      </c>
      <c r="CB885" t="str">
        <f>""</f>
        <v/>
      </c>
      <c r="CC885" t="str">
        <f>""</f>
        <v/>
      </c>
      <c r="CD885" t="str">
        <f>""</f>
        <v/>
      </c>
      <c r="CE885" t="str">
        <f>""</f>
        <v/>
      </c>
      <c r="CF885" t="str">
        <f>""</f>
        <v/>
      </c>
      <c r="CG885" t="str">
        <f>""</f>
        <v/>
      </c>
      <c r="CH885" t="str">
        <f>""</f>
        <v/>
      </c>
      <c r="CI885" t="str">
        <f>""</f>
        <v/>
      </c>
      <c r="CJ885" t="str">
        <f>""</f>
        <v/>
      </c>
      <c r="CK885" t="str">
        <f>""</f>
        <v/>
      </c>
      <c r="CL885" t="str">
        <f>""</f>
        <v/>
      </c>
      <c r="CM885" t="str">
        <f>""</f>
        <v/>
      </c>
      <c r="CN885" t="str">
        <f>""</f>
        <v/>
      </c>
      <c r="CO885" t="str">
        <f>""</f>
        <v/>
      </c>
      <c r="CP885" t="str">
        <f>""</f>
        <v/>
      </c>
      <c r="CQ885" t="str">
        <f>""</f>
        <v/>
      </c>
      <c r="CR885" t="str">
        <f>""</f>
        <v/>
      </c>
      <c r="CS885" t="str">
        <f>""</f>
        <v/>
      </c>
      <c r="CT885" t="str">
        <f>""</f>
        <v/>
      </c>
      <c r="CU885" t="str">
        <f>""</f>
        <v/>
      </c>
      <c r="CV885" t="str">
        <f>""</f>
        <v/>
      </c>
      <c r="CW885" t="str">
        <f>""</f>
        <v/>
      </c>
      <c r="CX885" t="str">
        <f>""</f>
        <v/>
      </c>
      <c r="CY885" t="str">
        <f>""</f>
        <v/>
      </c>
      <c r="CZ885" t="str">
        <f>""</f>
        <v/>
      </c>
      <c r="DA885" t="str">
        <f>""</f>
        <v/>
      </c>
      <c r="DB885" t="str">
        <f>""</f>
        <v/>
      </c>
      <c r="DC885" t="str">
        <f>""</f>
        <v/>
      </c>
      <c r="DD885" t="str">
        <f>""</f>
        <v/>
      </c>
      <c r="DE885" t="str">
        <f>""</f>
        <v/>
      </c>
      <c r="DF885" t="str">
        <f>""</f>
        <v/>
      </c>
      <c r="DG885" t="str">
        <f>""</f>
        <v/>
      </c>
      <c r="DH885" t="str">
        <f>""</f>
        <v/>
      </c>
      <c r="DI885" t="str">
        <f>""</f>
        <v/>
      </c>
      <c r="DJ885" t="str">
        <f>""</f>
        <v/>
      </c>
      <c r="DK885" t="str">
        <f>""</f>
        <v/>
      </c>
      <c r="DL885" t="str">
        <f>""</f>
        <v/>
      </c>
      <c r="DM885" t="str">
        <f>""</f>
        <v/>
      </c>
      <c r="DN885" t="str">
        <f>""</f>
        <v/>
      </c>
      <c r="DO885" t="str">
        <f>""</f>
        <v/>
      </c>
      <c r="DP885" t="str">
        <f>""</f>
        <v/>
      </c>
      <c r="DQ885" t="str">
        <f>""</f>
        <v/>
      </c>
      <c r="DR885" t="str">
        <f>""</f>
        <v/>
      </c>
      <c r="DS885" t="str">
        <f>""</f>
        <v/>
      </c>
      <c r="DT885" t="str">
        <f>""</f>
        <v/>
      </c>
      <c r="DU885" t="str">
        <f>""</f>
        <v/>
      </c>
    </row>
    <row r="886" spans="1:125" x14ac:dyDescent="0.25">
      <c r="A886" t="str">
        <f>$A$217</f>
        <v xml:space="preserve">    Daimler AG</v>
      </c>
      <c r="B886" t="str">
        <f>$B$217</f>
        <v>DAI GR Equity</v>
      </c>
      <c r="C886" t="str">
        <f>$C$217</f>
        <v>RR971</v>
      </c>
      <c r="D886" t="str">
        <f>$D$217</f>
        <v>CURRENT_PX_TO_FREE_CASH_FLOW</v>
      </c>
      <c r="E886" t="str">
        <f>$E$217</f>
        <v>Dynamic</v>
      </c>
      <c r="F886" t="str">
        <f ca="1">_xll.BDH($B$217,$C$217,$B$675,$B$676,CONCATENATE("Per=",$B$673),"Dts=H","Dir=H",CONCATENATE("Points=",$B$674),"Sort=R","Days=A","Fill=B",CONCATENATE("FX=", $B$672) )</f>
        <v>#N/A Connection</v>
      </c>
      <c r="BN886" t="str">
        <f>""</f>
        <v/>
      </c>
      <c r="BO886" t="str">
        <f>""</f>
        <v/>
      </c>
      <c r="BP886" t="str">
        <f>""</f>
        <v/>
      </c>
      <c r="BQ886" t="str">
        <f>""</f>
        <v/>
      </c>
      <c r="BR886" t="str">
        <f>""</f>
        <v/>
      </c>
      <c r="BS886" t="str">
        <f>""</f>
        <v/>
      </c>
      <c r="BT886" t="str">
        <f>""</f>
        <v/>
      </c>
      <c r="BU886" t="str">
        <f>""</f>
        <v/>
      </c>
      <c r="BV886" t="str">
        <f>""</f>
        <v/>
      </c>
      <c r="BW886" t="str">
        <f>""</f>
        <v/>
      </c>
      <c r="BX886" t="str">
        <f>""</f>
        <v/>
      </c>
      <c r="BY886" t="str">
        <f>""</f>
        <v/>
      </c>
      <c r="BZ886" t="str">
        <f>""</f>
        <v/>
      </c>
      <c r="CA886" t="str">
        <f>""</f>
        <v/>
      </c>
      <c r="CB886" t="str">
        <f>""</f>
        <v/>
      </c>
      <c r="CC886" t="str">
        <f>""</f>
        <v/>
      </c>
      <c r="CD886" t="str">
        <f>""</f>
        <v/>
      </c>
      <c r="CE886" t="str">
        <f>""</f>
        <v/>
      </c>
      <c r="CF886" t="str">
        <f>""</f>
        <v/>
      </c>
      <c r="CG886" t="str">
        <f>""</f>
        <v/>
      </c>
      <c r="CH886" t="str">
        <f>""</f>
        <v/>
      </c>
      <c r="CI886" t="str">
        <f>""</f>
        <v/>
      </c>
      <c r="CJ886" t="str">
        <f>""</f>
        <v/>
      </c>
      <c r="CK886" t="str">
        <f>""</f>
        <v/>
      </c>
      <c r="CL886" t="str">
        <f>""</f>
        <v/>
      </c>
      <c r="CM886" t="str">
        <f>""</f>
        <v/>
      </c>
      <c r="CN886" t="str">
        <f>""</f>
        <v/>
      </c>
      <c r="CO886" t="str">
        <f>""</f>
        <v/>
      </c>
      <c r="CP886" t="str">
        <f>""</f>
        <v/>
      </c>
      <c r="CQ886" t="str">
        <f>""</f>
        <v/>
      </c>
      <c r="CR886" t="str">
        <f>""</f>
        <v/>
      </c>
      <c r="CS886" t="str">
        <f>""</f>
        <v/>
      </c>
      <c r="CT886" t="str">
        <f>""</f>
        <v/>
      </c>
      <c r="CU886" t="str">
        <f>""</f>
        <v/>
      </c>
      <c r="CV886" t="str">
        <f>""</f>
        <v/>
      </c>
      <c r="CW886" t="str">
        <f>""</f>
        <v/>
      </c>
      <c r="CX886" t="str">
        <f>""</f>
        <v/>
      </c>
      <c r="CY886" t="str">
        <f>""</f>
        <v/>
      </c>
      <c r="CZ886" t="str">
        <f>""</f>
        <v/>
      </c>
      <c r="DA886" t="str">
        <f>""</f>
        <v/>
      </c>
      <c r="DB886" t="str">
        <f>""</f>
        <v/>
      </c>
      <c r="DC886" t="str">
        <f>""</f>
        <v/>
      </c>
      <c r="DD886" t="str">
        <f>""</f>
        <v/>
      </c>
      <c r="DE886" t="str">
        <f>""</f>
        <v/>
      </c>
      <c r="DF886" t="str">
        <f>""</f>
        <v/>
      </c>
      <c r="DG886" t="str">
        <f>""</f>
        <v/>
      </c>
      <c r="DH886" t="str">
        <f>""</f>
        <v/>
      </c>
      <c r="DI886" t="str">
        <f>""</f>
        <v/>
      </c>
      <c r="DJ886" t="str">
        <f>""</f>
        <v/>
      </c>
      <c r="DK886" t="str">
        <f>""</f>
        <v/>
      </c>
      <c r="DL886" t="str">
        <f>""</f>
        <v/>
      </c>
      <c r="DM886" t="str">
        <f>""</f>
        <v/>
      </c>
      <c r="DN886" t="str">
        <f>""</f>
        <v/>
      </c>
      <c r="DO886" t="str">
        <f>""</f>
        <v/>
      </c>
      <c r="DP886" t="str">
        <f>""</f>
        <v/>
      </c>
      <c r="DQ886" t="str">
        <f>""</f>
        <v/>
      </c>
      <c r="DR886" t="str">
        <f>""</f>
        <v/>
      </c>
      <c r="DS886" t="str">
        <f>""</f>
        <v/>
      </c>
      <c r="DT886" t="str">
        <f>""</f>
        <v/>
      </c>
      <c r="DU886" t="str">
        <f>""</f>
        <v/>
      </c>
    </row>
    <row r="887" spans="1:125" x14ac:dyDescent="0.25">
      <c r="A887" t="str">
        <f>$A$218</f>
        <v xml:space="preserve">    Dongfeng Motor Group Co Ltd</v>
      </c>
      <c r="B887" t="str">
        <f>$B$218</f>
        <v>489 HK Equity</v>
      </c>
      <c r="C887" t="str">
        <f>$C$218</f>
        <v>RR971</v>
      </c>
      <c r="D887" t="str">
        <f>$D$218</f>
        <v>CURRENT_PX_TO_FREE_CASH_FLOW</v>
      </c>
      <c r="E887" t="str">
        <f>$E$218</f>
        <v>Dynamic</v>
      </c>
      <c r="F887" t="str">
        <f ca="1">_xll.BDH($B$218,$C$218,$B$675,$B$676,CONCATENATE("Per=",$B$673),"Dts=H","Dir=H",CONCATENATE("Points=",$B$674),"Sort=R","Days=A","Fill=B",CONCATENATE("FX=", $B$672) )</f>
        <v>#N/A Connection</v>
      </c>
      <c r="BN887" t="str">
        <f>""</f>
        <v/>
      </c>
      <c r="BO887" t="str">
        <f>""</f>
        <v/>
      </c>
      <c r="BP887" t="str">
        <f>""</f>
        <v/>
      </c>
      <c r="BQ887" t="str">
        <f>""</f>
        <v/>
      </c>
      <c r="BR887" t="str">
        <f>""</f>
        <v/>
      </c>
      <c r="BS887" t="str">
        <f>""</f>
        <v/>
      </c>
      <c r="BT887" t="str">
        <f>""</f>
        <v/>
      </c>
      <c r="BU887" t="str">
        <f>""</f>
        <v/>
      </c>
      <c r="BV887" t="str">
        <f>""</f>
        <v/>
      </c>
      <c r="BW887" t="str">
        <f>""</f>
        <v/>
      </c>
      <c r="BX887" t="str">
        <f>""</f>
        <v/>
      </c>
      <c r="BY887" t="str">
        <f>""</f>
        <v/>
      </c>
      <c r="BZ887" t="str">
        <f>""</f>
        <v/>
      </c>
      <c r="CA887" t="str">
        <f>""</f>
        <v/>
      </c>
      <c r="CB887" t="str">
        <f>""</f>
        <v/>
      </c>
      <c r="CC887" t="str">
        <f>""</f>
        <v/>
      </c>
      <c r="CD887" t="str">
        <f>""</f>
        <v/>
      </c>
      <c r="CE887" t="str">
        <f>""</f>
        <v/>
      </c>
      <c r="CF887" t="str">
        <f>""</f>
        <v/>
      </c>
      <c r="CG887" t="str">
        <f>""</f>
        <v/>
      </c>
      <c r="CH887" t="str">
        <f>""</f>
        <v/>
      </c>
      <c r="CI887" t="str">
        <f>""</f>
        <v/>
      </c>
      <c r="CJ887" t="str">
        <f>""</f>
        <v/>
      </c>
      <c r="CK887" t="str">
        <f>""</f>
        <v/>
      </c>
      <c r="CL887" t="str">
        <f>""</f>
        <v/>
      </c>
      <c r="CM887" t="str">
        <f>""</f>
        <v/>
      </c>
      <c r="CN887" t="str">
        <f>""</f>
        <v/>
      </c>
      <c r="CO887" t="str">
        <f>""</f>
        <v/>
      </c>
      <c r="CP887" t="str">
        <f>""</f>
        <v/>
      </c>
      <c r="CQ887" t="str">
        <f>""</f>
        <v/>
      </c>
      <c r="CR887" t="str">
        <f>""</f>
        <v/>
      </c>
      <c r="CS887" t="str">
        <f>""</f>
        <v/>
      </c>
      <c r="CT887" t="str">
        <f>""</f>
        <v/>
      </c>
      <c r="CU887" t="str">
        <f>""</f>
        <v/>
      </c>
      <c r="CV887" t="str">
        <f>""</f>
        <v/>
      </c>
      <c r="CW887" t="str">
        <f>""</f>
        <v/>
      </c>
      <c r="CX887" t="str">
        <f>""</f>
        <v/>
      </c>
      <c r="CY887" t="str">
        <f>""</f>
        <v/>
      </c>
      <c r="CZ887" t="str">
        <f>""</f>
        <v/>
      </c>
      <c r="DA887" t="str">
        <f>""</f>
        <v/>
      </c>
      <c r="DB887" t="str">
        <f>""</f>
        <v/>
      </c>
      <c r="DC887" t="str">
        <f>""</f>
        <v/>
      </c>
      <c r="DD887" t="str">
        <f>""</f>
        <v/>
      </c>
      <c r="DE887" t="str">
        <f>""</f>
        <v/>
      </c>
      <c r="DF887" t="str">
        <f>""</f>
        <v/>
      </c>
      <c r="DG887" t="str">
        <f>""</f>
        <v/>
      </c>
      <c r="DH887" t="str">
        <f>""</f>
        <v/>
      </c>
      <c r="DI887" t="str">
        <f>""</f>
        <v/>
      </c>
      <c r="DJ887" t="str">
        <f>""</f>
        <v/>
      </c>
      <c r="DK887" t="str">
        <f>""</f>
        <v/>
      </c>
      <c r="DL887" t="str">
        <f>""</f>
        <v/>
      </c>
      <c r="DM887" t="str">
        <f>""</f>
        <v/>
      </c>
      <c r="DN887" t="str">
        <f>""</f>
        <v/>
      </c>
      <c r="DO887" t="str">
        <f>""</f>
        <v/>
      </c>
      <c r="DP887" t="str">
        <f>""</f>
        <v/>
      </c>
      <c r="DQ887" t="str">
        <f>""</f>
        <v/>
      </c>
      <c r="DR887" t="str">
        <f>""</f>
        <v/>
      </c>
      <c r="DS887" t="str">
        <f>""</f>
        <v/>
      </c>
      <c r="DT887" t="str">
        <f>""</f>
        <v/>
      </c>
      <c r="DU887" t="str">
        <f>""</f>
        <v/>
      </c>
    </row>
    <row r="888" spans="1:125" x14ac:dyDescent="0.25">
      <c r="A888" t="str">
        <f>$A$219</f>
        <v xml:space="preserve">    DRB-Hicom Bhd</v>
      </c>
      <c r="B888" t="str">
        <f>$B$219</f>
        <v>DRB MK Equity</v>
      </c>
      <c r="C888" t="str">
        <f>$C$219</f>
        <v>RR971</v>
      </c>
      <c r="D888" t="str">
        <f>$D$219</f>
        <v>CURRENT_PX_TO_FREE_CASH_FLOW</v>
      </c>
      <c r="E888" t="str">
        <f>$E$219</f>
        <v>Dynamic</v>
      </c>
      <c r="F888" t="str">
        <f ca="1">_xll.BDH($B$219,$C$219,$B$675,$B$676,CONCATENATE("Per=",$B$673),"Dts=H","Dir=H",CONCATENATE("Points=",$B$674),"Sort=R","Days=A","Fill=B",CONCATENATE("FX=", $B$672) )</f>
        <v>#N/A Connection</v>
      </c>
      <c r="BN888" t="str">
        <f>""</f>
        <v/>
      </c>
      <c r="BO888" t="str">
        <f>""</f>
        <v/>
      </c>
      <c r="BP888" t="str">
        <f>""</f>
        <v/>
      </c>
      <c r="BQ888" t="str">
        <f>""</f>
        <v/>
      </c>
      <c r="BR888" t="str">
        <f>""</f>
        <v/>
      </c>
      <c r="BS888" t="str">
        <f>""</f>
        <v/>
      </c>
      <c r="BT888" t="str">
        <f>""</f>
        <v/>
      </c>
      <c r="BU888" t="str">
        <f>""</f>
        <v/>
      </c>
      <c r="BV888" t="str">
        <f>""</f>
        <v/>
      </c>
      <c r="BW888" t="str">
        <f>""</f>
        <v/>
      </c>
      <c r="BX888" t="str">
        <f>""</f>
        <v/>
      </c>
      <c r="BY888" t="str">
        <f>""</f>
        <v/>
      </c>
      <c r="BZ888" t="str">
        <f>""</f>
        <v/>
      </c>
      <c r="CA888" t="str">
        <f>""</f>
        <v/>
      </c>
      <c r="CB888" t="str">
        <f>""</f>
        <v/>
      </c>
      <c r="CC888" t="str">
        <f>""</f>
        <v/>
      </c>
      <c r="CD888" t="str">
        <f>""</f>
        <v/>
      </c>
      <c r="CE888" t="str">
        <f>""</f>
        <v/>
      </c>
      <c r="CF888" t="str">
        <f>""</f>
        <v/>
      </c>
      <c r="CG888" t="str">
        <f>""</f>
        <v/>
      </c>
      <c r="CH888" t="str">
        <f>""</f>
        <v/>
      </c>
      <c r="CI888" t="str">
        <f>""</f>
        <v/>
      </c>
      <c r="CJ888" t="str">
        <f>""</f>
        <v/>
      </c>
      <c r="CK888" t="str">
        <f>""</f>
        <v/>
      </c>
      <c r="CL888" t="str">
        <f>""</f>
        <v/>
      </c>
      <c r="CM888" t="str">
        <f>""</f>
        <v/>
      </c>
      <c r="CN888" t="str">
        <f>""</f>
        <v/>
      </c>
      <c r="CO888" t="str">
        <f>""</f>
        <v/>
      </c>
      <c r="CP888" t="str">
        <f>""</f>
        <v/>
      </c>
      <c r="CQ888" t="str">
        <f>""</f>
        <v/>
      </c>
      <c r="CR888" t="str">
        <f>""</f>
        <v/>
      </c>
      <c r="CS888" t="str">
        <f>""</f>
        <v/>
      </c>
      <c r="CT888" t="str">
        <f>""</f>
        <v/>
      </c>
      <c r="CU888" t="str">
        <f>""</f>
        <v/>
      </c>
      <c r="CV888" t="str">
        <f>""</f>
        <v/>
      </c>
      <c r="CW888" t="str">
        <f>""</f>
        <v/>
      </c>
      <c r="CX888" t="str">
        <f>""</f>
        <v/>
      </c>
      <c r="CY888" t="str">
        <f>""</f>
        <v/>
      </c>
      <c r="CZ888" t="str">
        <f>""</f>
        <v/>
      </c>
      <c r="DA888" t="str">
        <f>""</f>
        <v/>
      </c>
      <c r="DB888" t="str">
        <f>""</f>
        <v/>
      </c>
      <c r="DC888" t="str">
        <f>""</f>
        <v/>
      </c>
      <c r="DD888" t="str">
        <f>""</f>
        <v/>
      </c>
      <c r="DE888" t="str">
        <f>""</f>
        <v/>
      </c>
      <c r="DF888" t="str">
        <f>""</f>
        <v/>
      </c>
      <c r="DG888" t="str">
        <f>""</f>
        <v/>
      </c>
      <c r="DH888" t="str">
        <f>""</f>
        <v/>
      </c>
      <c r="DI888" t="str">
        <f>""</f>
        <v/>
      </c>
      <c r="DJ888" t="str">
        <f>""</f>
        <v/>
      </c>
      <c r="DK888" t="str">
        <f>""</f>
        <v/>
      </c>
      <c r="DL888" t="str">
        <f>""</f>
        <v/>
      </c>
      <c r="DM888" t="str">
        <f>""</f>
        <v/>
      </c>
      <c r="DN888" t="str">
        <f>""</f>
        <v/>
      </c>
      <c r="DO888" t="str">
        <f>""</f>
        <v/>
      </c>
      <c r="DP888" t="str">
        <f>""</f>
        <v/>
      </c>
      <c r="DQ888" t="str">
        <f>""</f>
        <v/>
      </c>
      <c r="DR888" t="str">
        <f>""</f>
        <v/>
      </c>
      <c r="DS888" t="str">
        <f>""</f>
        <v/>
      </c>
      <c r="DT888" t="str">
        <f>""</f>
        <v/>
      </c>
      <c r="DU888" t="str">
        <f>""</f>
        <v/>
      </c>
    </row>
    <row r="889" spans="1:125" x14ac:dyDescent="0.25">
      <c r="A889" t="str">
        <f>$A$220</f>
        <v xml:space="preserve">    FAW CAR Co Ltd</v>
      </c>
      <c r="B889" t="str">
        <f>$B$220</f>
        <v>000800 CH Equity</v>
      </c>
      <c r="C889" t="str">
        <f>$C$220</f>
        <v>RR971</v>
      </c>
      <c r="D889" t="str">
        <f>$D$220</f>
        <v>CURRENT_PX_TO_FREE_CASH_FLOW</v>
      </c>
      <c r="E889" t="str">
        <f>$E$220</f>
        <v>Dynamic</v>
      </c>
      <c r="F889" t="str">
        <f ca="1">_xll.BDH($B$220,$C$220,$B$675,$B$676,CONCATENATE("Per=",$B$673),"Dts=H","Dir=H",CONCATENATE("Points=",$B$674),"Sort=R","Days=A","Fill=B",CONCATENATE("FX=", $B$672) )</f>
        <v>#N/A Connection</v>
      </c>
      <c r="BN889" t="str">
        <f>""</f>
        <v/>
      </c>
      <c r="BO889" t="str">
        <f>""</f>
        <v/>
      </c>
      <c r="BP889" t="str">
        <f>""</f>
        <v/>
      </c>
      <c r="BQ889" t="str">
        <f>""</f>
        <v/>
      </c>
      <c r="BR889" t="str">
        <f>""</f>
        <v/>
      </c>
      <c r="BS889" t="str">
        <f>""</f>
        <v/>
      </c>
      <c r="BT889" t="str">
        <f>""</f>
        <v/>
      </c>
      <c r="BU889" t="str">
        <f>""</f>
        <v/>
      </c>
      <c r="BV889" t="str">
        <f>""</f>
        <v/>
      </c>
      <c r="BW889" t="str">
        <f>""</f>
        <v/>
      </c>
      <c r="BX889" t="str">
        <f>""</f>
        <v/>
      </c>
      <c r="BY889" t="str">
        <f>""</f>
        <v/>
      </c>
      <c r="BZ889" t="str">
        <f>""</f>
        <v/>
      </c>
      <c r="CA889" t="str">
        <f>""</f>
        <v/>
      </c>
      <c r="CB889" t="str">
        <f>""</f>
        <v/>
      </c>
      <c r="CC889" t="str">
        <f>""</f>
        <v/>
      </c>
      <c r="CD889" t="str">
        <f>""</f>
        <v/>
      </c>
      <c r="CE889" t="str">
        <f>""</f>
        <v/>
      </c>
      <c r="CF889" t="str">
        <f>""</f>
        <v/>
      </c>
      <c r="CG889" t="str">
        <f>""</f>
        <v/>
      </c>
      <c r="CH889" t="str">
        <f>""</f>
        <v/>
      </c>
      <c r="CI889" t="str">
        <f>""</f>
        <v/>
      </c>
      <c r="CJ889" t="str">
        <f>""</f>
        <v/>
      </c>
      <c r="CK889" t="str">
        <f>""</f>
        <v/>
      </c>
      <c r="CL889" t="str">
        <f>""</f>
        <v/>
      </c>
      <c r="CM889" t="str">
        <f>""</f>
        <v/>
      </c>
      <c r="CN889" t="str">
        <f>""</f>
        <v/>
      </c>
      <c r="CO889" t="str">
        <f>""</f>
        <v/>
      </c>
      <c r="CP889" t="str">
        <f>""</f>
        <v/>
      </c>
      <c r="CQ889" t="str">
        <f>""</f>
        <v/>
      </c>
      <c r="CR889" t="str">
        <f>""</f>
        <v/>
      </c>
      <c r="CS889" t="str">
        <f>""</f>
        <v/>
      </c>
      <c r="CT889" t="str">
        <f>""</f>
        <v/>
      </c>
      <c r="CU889" t="str">
        <f>""</f>
        <v/>
      </c>
      <c r="CV889" t="str">
        <f>""</f>
        <v/>
      </c>
      <c r="CW889" t="str">
        <f>""</f>
        <v/>
      </c>
      <c r="CX889" t="str">
        <f>""</f>
        <v/>
      </c>
      <c r="CY889" t="str">
        <f>""</f>
        <v/>
      </c>
      <c r="CZ889" t="str">
        <f>""</f>
        <v/>
      </c>
      <c r="DA889" t="str">
        <f>""</f>
        <v/>
      </c>
      <c r="DB889" t="str">
        <f>""</f>
        <v/>
      </c>
      <c r="DC889" t="str">
        <f>""</f>
        <v/>
      </c>
      <c r="DD889" t="str">
        <f>""</f>
        <v/>
      </c>
      <c r="DE889" t="str">
        <f>""</f>
        <v/>
      </c>
      <c r="DF889" t="str">
        <f>""</f>
        <v/>
      </c>
      <c r="DG889" t="str">
        <f>""</f>
        <v/>
      </c>
      <c r="DH889" t="str">
        <f>""</f>
        <v/>
      </c>
      <c r="DI889" t="str">
        <f>""</f>
        <v/>
      </c>
      <c r="DJ889" t="str">
        <f>""</f>
        <v/>
      </c>
      <c r="DK889" t="str">
        <f>""</f>
        <v/>
      </c>
      <c r="DL889" t="str">
        <f>""</f>
        <v/>
      </c>
      <c r="DM889" t="str">
        <f>""</f>
        <v/>
      </c>
      <c r="DN889" t="str">
        <f>""</f>
        <v/>
      </c>
      <c r="DO889" t="str">
        <f>""</f>
        <v/>
      </c>
      <c r="DP889" t="str">
        <f>""</f>
        <v/>
      </c>
      <c r="DQ889" t="str">
        <f>""</f>
        <v/>
      </c>
      <c r="DR889" t="str">
        <f>""</f>
        <v/>
      </c>
      <c r="DS889" t="str">
        <f>""</f>
        <v/>
      </c>
      <c r="DT889" t="str">
        <f>""</f>
        <v/>
      </c>
      <c r="DU889" t="str">
        <f>""</f>
        <v/>
      </c>
    </row>
    <row r="890" spans="1:125" x14ac:dyDescent="0.25">
      <c r="A890" t="str">
        <f>$A$221</f>
        <v xml:space="preserve">    Fiat Chrysler Automobiles NV</v>
      </c>
      <c r="B890" t="str">
        <f>$B$221</f>
        <v>FCAU US Equity</v>
      </c>
      <c r="C890" t="str">
        <f>$C$221</f>
        <v>RR971</v>
      </c>
      <c r="D890" t="str">
        <f>$D$221</f>
        <v>CURRENT_PX_TO_FREE_CASH_FLOW</v>
      </c>
      <c r="E890" t="str">
        <f>$E$221</f>
        <v>Dynamic</v>
      </c>
      <c r="F890" t="str">
        <f ca="1">_xll.BDH($B$221,$C$221,$B$675,$B$676,CONCATENATE("Per=",$B$673),"Dts=H","Dir=H",CONCATENATE("Points=",$B$674),"Sort=R","Days=A","Fill=B",CONCATENATE("FX=", $B$672) )</f>
        <v>#N/A Connection</v>
      </c>
      <c r="BN890" t="str">
        <f>""</f>
        <v/>
      </c>
      <c r="BO890" t="str">
        <f>""</f>
        <v/>
      </c>
      <c r="BP890" t="str">
        <f>""</f>
        <v/>
      </c>
      <c r="BQ890" t="str">
        <f>""</f>
        <v/>
      </c>
      <c r="BR890" t="str">
        <f>""</f>
        <v/>
      </c>
      <c r="BS890" t="str">
        <f>""</f>
        <v/>
      </c>
      <c r="BT890" t="str">
        <f>""</f>
        <v/>
      </c>
      <c r="BU890" t="str">
        <f>""</f>
        <v/>
      </c>
      <c r="BV890" t="str">
        <f>""</f>
        <v/>
      </c>
      <c r="BW890" t="str">
        <f>""</f>
        <v/>
      </c>
      <c r="BX890" t="str">
        <f>""</f>
        <v/>
      </c>
      <c r="BY890" t="str">
        <f>""</f>
        <v/>
      </c>
      <c r="BZ890" t="str">
        <f>""</f>
        <v/>
      </c>
      <c r="CA890" t="str">
        <f>""</f>
        <v/>
      </c>
      <c r="CB890" t="str">
        <f>""</f>
        <v/>
      </c>
      <c r="CC890" t="str">
        <f>""</f>
        <v/>
      </c>
      <c r="CD890" t="str">
        <f>""</f>
        <v/>
      </c>
      <c r="CE890" t="str">
        <f>""</f>
        <v/>
      </c>
      <c r="CF890" t="str">
        <f>""</f>
        <v/>
      </c>
      <c r="CG890" t="str">
        <f>""</f>
        <v/>
      </c>
      <c r="CH890" t="str">
        <f>""</f>
        <v/>
      </c>
      <c r="CI890" t="str">
        <f>""</f>
        <v/>
      </c>
      <c r="CJ890" t="str">
        <f>""</f>
        <v/>
      </c>
      <c r="CK890" t="str">
        <f>""</f>
        <v/>
      </c>
      <c r="CL890" t="str">
        <f>""</f>
        <v/>
      </c>
      <c r="CM890" t="str">
        <f>""</f>
        <v/>
      </c>
      <c r="CN890" t="str">
        <f>""</f>
        <v/>
      </c>
      <c r="CO890" t="str">
        <f>""</f>
        <v/>
      </c>
      <c r="CP890" t="str">
        <f>""</f>
        <v/>
      </c>
      <c r="CQ890" t="str">
        <f>""</f>
        <v/>
      </c>
      <c r="CR890" t="str">
        <f>""</f>
        <v/>
      </c>
      <c r="CS890" t="str">
        <f>""</f>
        <v/>
      </c>
      <c r="CT890" t="str">
        <f>""</f>
        <v/>
      </c>
      <c r="CU890" t="str">
        <f>""</f>
        <v/>
      </c>
      <c r="CV890" t="str">
        <f>""</f>
        <v/>
      </c>
      <c r="CW890" t="str">
        <f>""</f>
        <v/>
      </c>
      <c r="CX890" t="str">
        <f>""</f>
        <v/>
      </c>
      <c r="CY890" t="str">
        <f>""</f>
        <v/>
      </c>
      <c r="CZ890" t="str">
        <f>""</f>
        <v/>
      </c>
      <c r="DA890" t="str">
        <f>""</f>
        <v/>
      </c>
      <c r="DB890" t="str">
        <f>""</f>
        <v/>
      </c>
      <c r="DC890" t="str">
        <f>""</f>
        <v/>
      </c>
      <c r="DD890" t="str">
        <f>""</f>
        <v/>
      </c>
      <c r="DE890" t="str">
        <f>""</f>
        <v/>
      </c>
      <c r="DF890" t="str">
        <f>""</f>
        <v/>
      </c>
      <c r="DG890" t="str">
        <f>""</f>
        <v/>
      </c>
      <c r="DH890" t="str">
        <f>""</f>
        <v/>
      </c>
      <c r="DI890" t="str">
        <f>""</f>
        <v/>
      </c>
      <c r="DJ890" t="str">
        <f>""</f>
        <v/>
      </c>
      <c r="DK890" t="str">
        <f>""</f>
        <v/>
      </c>
      <c r="DL890" t="str">
        <f>""</f>
        <v/>
      </c>
      <c r="DM890" t="str">
        <f>""</f>
        <v/>
      </c>
      <c r="DN890" t="str">
        <f>""</f>
        <v/>
      </c>
      <c r="DO890" t="str">
        <f>""</f>
        <v/>
      </c>
      <c r="DP890" t="str">
        <f>""</f>
        <v/>
      </c>
      <c r="DQ890" t="str">
        <f>""</f>
        <v/>
      </c>
      <c r="DR890" t="str">
        <f>""</f>
        <v/>
      </c>
      <c r="DS890" t="str">
        <f>""</f>
        <v/>
      </c>
      <c r="DT890" t="str">
        <f>""</f>
        <v/>
      </c>
      <c r="DU890" t="str">
        <f>""</f>
        <v/>
      </c>
    </row>
    <row r="891" spans="1:125" x14ac:dyDescent="0.25">
      <c r="A891" t="str">
        <f>$A$222</f>
        <v xml:space="preserve">    Ford Motor Co</v>
      </c>
      <c r="B891" t="str">
        <f>$B$222</f>
        <v>F US Equity</v>
      </c>
      <c r="C891" t="str">
        <f>$C$222</f>
        <v>RR971</v>
      </c>
      <c r="D891" t="str">
        <f>$D$222</f>
        <v>CURRENT_PX_TO_FREE_CASH_FLOW</v>
      </c>
      <c r="E891" t="str">
        <f>$E$222</f>
        <v>Dynamic</v>
      </c>
      <c r="F891" t="str">
        <f ca="1">_xll.BDH($B$222,$C$222,$B$675,$B$676,CONCATENATE("Per=",$B$673),"Dts=H","Dir=H",CONCATENATE("Points=",$B$674),"Sort=R","Days=A","Fill=B",CONCATENATE("FX=", $B$672) )</f>
        <v>#N/A Connection</v>
      </c>
      <c r="BN891" t="str">
        <f>""</f>
        <v/>
      </c>
      <c r="BO891" t="str">
        <f>""</f>
        <v/>
      </c>
      <c r="BP891" t="str">
        <f>""</f>
        <v/>
      </c>
      <c r="BQ891" t="str">
        <f>""</f>
        <v/>
      </c>
      <c r="BR891" t="str">
        <f>""</f>
        <v/>
      </c>
      <c r="BS891" t="str">
        <f>""</f>
        <v/>
      </c>
      <c r="BT891" t="str">
        <f>""</f>
        <v/>
      </c>
      <c r="BU891" t="str">
        <f>""</f>
        <v/>
      </c>
      <c r="BV891" t="str">
        <f>""</f>
        <v/>
      </c>
      <c r="BW891" t="str">
        <f>""</f>
        <v/>
      </c>
      <c r="BX891" t="str">
        <f>""</f>
        <v/>
      </c>
      <c r="BY891" t="str">
        <f>""</f>
        <v/>
      </c>
      <c r="BZ891" t="str">
        <f>""</f>
        <v/>
      </c>
      <c r="CA891" t="str">
        <f>""</f>
        <v/>
      </c>
      <c r="CB891" t="str">
        <f>""</f>
        <v/>
      </c>
      <c r="CC891" t="str">
        <f>""</f>
        <v/>
      </c>
      <c r="CD891" t="str">
        <f>""</f>
        <v/>
      </c>
      <c r="CE891" t="str">
        <f>""</f>
        <v/>
      </c>
      <c r="CF891" t="str">
        <f>""</f>
        <v/>
      </c>
      <c r="CG891" t="str">
        <f>""</f>
        <v/>
      </c>
      <c r="CH891" t="str">
        <f>""</f>
        <v/>
      </c>
      <c r="CI891" t="str">
        <f>""</f>
        <v/>
      </c>
      <c r="CJ891" t="str">
        <f>""</f>
        <v/>
      </c>
      <c r="CK891" t="str">
        <f>""</f>
        <v/>
      </c>
      <c r="CL891" t="str">
        <f>""</f>
        <v/>
      </c>
      <c r="CM891" t="str">
        <f>""</f>
        <v/>
      </c>
      <c r="CN891" t="str">
        <f>""</f>
        <v/>
      </c>
      <c r="CO891" t="str">
        <f>""</f>
        <v/>
      </c>
      <c r="CP891" t="str">
        <f>""</f>
        <v/>
      </c>
      <c r="CQ891" t="str">
        <f>""</f>
        <v/>
      </c>
      <c r="CR891" t="str">
        <f>""</f>
        <v/>
      </c>
      <c r="CS891" t="str">
        <f>""</f>
        <v/>
      </c>
      <c r="CT891" t="str">
        <f>""</f>
        <v/>
      </c>
      <c r="CU891" t="str">
        <f>""</f>
        <v/>
      </c>
      <c r="CV891" t="str">
        <f>""</f>
        <v/>
      </c>
      <c r="CW891" t="str">
        <f>""</f>
        <v/>
      </c>
      <c r="CX891" t="str">
        <f>""</f>
        <v/>
      </c>
      <c r="CY891" t="str">
        <f>""</f>
        <v/>
      </c>
      <c r="CZ891" t="str">
        <f>""</f>
        <v/>
      </c>
      <c r="DA891" t="str">
        <f>""</f>
        <v/>
      </c>
      <c r="DB891" t="str">
        <f>""</f>
        <v/>
      </c>
      <c r="DC891" t="str">
        <f>""</f>
        <v/>
      </c>
      <c r="DD891" t="str">
        <f>""</f>
        <v/>
      </c>
      <c r="DE891" t="str">
        <f>""</f>
        <v/>
      </c>
      <c r="DF891" t="str">
        <f>""</f>
        <v/>
      </c>
      <c r="DG891" t="str">
        <f>""</f>
        <v/>
      </c>
      <c r="DH891" t="str">
        <f>""</f>
        <v/>
      </c>
      <c r="DI891" t="str">
        <f>""</f>
        <v/>
      </c>
      <c r="DJ891" t="str">
        <f>""</f>
        <v/>
      </c>
      <c r="DK891" t="str">
        <f>""</f>
        <v/>
      </c>
      <c r="DL891" t="str">
        <f>""</f>
        <v/>
      </c>
      <c r="DM891" t="str">
        <f>""</f>
        <v/>
      </c>
      <c r="DN891" t="str">
        <f>""</f>
        <v/>
      </c>
      <c r="DO891" t="str">
        <f>""</f>
        <v/>
      </c>
      <c r="DP891" t="str">
        <f>""</f>
        <v/>
      </c>
      <c r="DQ891" t="str">
        <f>""</f>
        <v/>
      </c>
      <c r="DR891" t="str">
        <f>""</f>
        <v/>
      </c>
      <c r="DS891" t="str">
        <f>""</f>
        <v/>
      </c>
      <c r="DT891" t="str">
        <f>""</f>
        <v/>
      </c>
      <c r="DU891" t="str">
        <f>""</f>
        <v/>
      </c>
    </row>
    <row r="892" spans="1:125" x14ac:dyDescent="0.25">
      <c r="A892" t="str">
        <f>$A$223</f>
        <v xml:space="preserve">    Ford Otomotiv Sanayi AS</v>
      </c>
      <c r="B892" t="str">
        <f>$B$223</f>
        <v>FROTOTRY EO Equity</v>
      </c>
      <c r="C892" t="str">
        <f>$C$223</f>
        <v>RR971</v>
      </c>
      <c r="D892" t="str">
        <f>$D$223</f>
        <v>CURRENT_PX_TO_FREE_CASH_FLOW</v>
      </c>
      <c r="E892" t="str">
        <f>$E$223</f>
        <v>Dynamic</v>
      </c>
      <c r="F892" t="str">
        <f ca="1">_xll.BDH($B$223,$C$223,$B$675,$B$676,CONCATENATE("Per=",$B$673),"Dts=H","Dir=H",CONCATENATE("Points=",$B$674),"Sort=R","Days=A","Fill=B",CONCATENATE("FX=", $B$672) )</f>
        <v>#N/A Connection</v>
      </c>
      <c r="BN892" t="str">
        <f>""</f>
        <v/>
      </c>
      <c r="BO892" t="str">
        <f>""</f>
        <v/>
      </c>
      <c r="BP892" t="str">
        <f>""</f>
        <v/>
      </c>
      <c r="BQ892" t="str">
        <f>""</f>
        <v/>
      </c>
      <c r="BR892" t="str">
        <f>""</f>
        <v/>
      </c>
      <c r="BS892" t="str">
        <f>""</f>
        <v/>
      </c>
      <c r="BT892" t="str">
        <f>""</f>
        <v/>
      </c>
      <c r="BU892" t="str">
        <f>""</f>
        <v/>
      </c>
      <c r="BV892" t="str">
        <f>""</f>
        <v/>
      </c>
      <c r="BW892" t="str">
        <f>""</f>
        <v/>
      </c>
      <c r="BX892" t="str">
        <f>""</f>
        <v/>
      </c>
      <c r="BY892" t="str">
        <f>""</f>
        <v/>
      </c>
      <c r="BZ892" t="str">
        <f>""</f>
        <v/>
      </c>
      <c r="CA892" t="str">
        <f>""</f>
        <v/>
      </c>
      <c r="CB892" t="str">
        <f>""</f>
        <v/>
      </c>
      <c r="CC892" t="str">
        <f>""</f>
        <v/>
      </c>
      <c r="CD892" t="str">
        <f>""</f>
        <v/>
      </c>
      <c r="CE892" t="str">
        <f>""</f>
        <v/>
      </c>
      <c r="CF892" t="str">
        <f>""</f>
        <v/>
      </c>
      <c r="CG892" t="str">
        <f>""</f>
        <v/>
      </c>
      <c r="CH892" t="str">
        <f>""</f>
        <v/>
      </c>
      <c r="CI892" t="str">
        <f>""</f>
        <v/>
      </c>
      <c r="CJ892" t="str">
        <f>""</f>
        <v/>
      </c>
      <c r="CK892" t="str">
        <f>""</f>
        <v/>
      </c>
      <c r="CL892" t="str">
        <f>""</f>
        <v/>
      </c>
      <c r="CM892" t="str">
        <f>""</f>
        <v/>
      </c>
      <c r="CN892" t="str">
        <f>""</f>
        <v/>
      </c>
      <c r="CO892" t="str">
        <f>""</f>
        <v/>
      </c>
      <c r="CP892" t="str">
        <f>""</f>
        <v/>
      </c>
      <c r="CQ892" t="str">
        <f>""</f>
        <v/>
      </c>
      <c r="CR892" t="str">
        <f>""</f>
        <v/>
      </c>
      <c r="CS892" t="str">
        <f>""</f>
        <v/>
      </c>
      <c r="CT892" t="str">
        <f>""</f>
        <v/>
      </c>
      <c r="CU892" t="str">
        <f>""</f>
        <v/>
      </c>
      <c r="CV892" t="str">
        <f>""</f>
        <v/>
      </c>
      <c r="CW892" t="str">
        <f>""</f>
        <v/>
      </c>
      <c r="CX892" t="str">
        <f>""</f>
        <v/>
      </c>
      <c r="CY892" t="str">
        <f>""</f>
        <v/>
      </c>
      <c r="CZ892" t="str">
        <f>""</f>
        <v/>
      </c>
      <c r="DA892" t="str">
        <f>""</f>
        <v/>
      </c>
      <c r="DB892" t="str">
        <f>""</f>
        <v/>
      </c>
      <c r="DC892" t="str">
        <f>""</f>
        <v/>
      </c>
      <c r="DD892" t="str">
        <f>""</f>
        <v/>
      </c>
      <c r="DE892" t="str">
        <f>""</f>
        <v/>
      </c>
      <c r="DF892" t="str">
        <f>""</f>
        <v/>
      </c>
      <c r="DG892" t="str">
        <f>""</f>
        <v/>
      </c>
      <c r="DH892" t="str">
        <f>""</f>
        <v/>
      </c>
      <c r="DI892" t="str">
        <f>""</f>
        <v/>
      </c>
      <c r="DJ892" t="str">
        <f>""</f>
        <v/>
      </c>
      <c r="DK892" t="str">
        <f>""</f>
        <v/>
      </c>
      <c r="DL892" t="str">
        <f>""</f>
        <v/>
      </c>
      <c r="DM892" t="str">
        <f>""</f>
        <v/>
      </c>
      <c r="DN892" t="str">
        <f>""</f>
        <v/>
      </c>
      <c r="DO892" t="str">
        <f>""</f>
        <v/>
      </c>
      <c r="DP892" t="str">
        <f>""</f>
        <v/>
      </c>
      <c r="DQ892" t="str">
        <f>""</f>
        <v/>
      </c>
      <c r="DR892" t="str">
        <f>""</f>
        <v/>
      </c>
      <c r="DS892" t="str">
        <f>""</f>
        <v/>
      </c>
      <c r="DT892" t="str">
        <f>""</f>
        <v/>
      </c>
      <c r="DU892" t="str">
        <f>""</f>
        <v/>
      </c>
    </row>
    <row r="893" spans="1:125" x14ac:dyDescent="0.25">
      <c r="A893" t="str">
        <f>$A$224</f>
        <v xml:space="preserve">    GAZ PJSC</v>
      </c>
      <c r="B893" t="str">
        <f>$B$224</f>
        <v>GAZA RM Equity</v>
      </c>
      <c r="C893" t="str">
        <f>$C$224</f>
        <v>RR971</v>
      </c>
      <c r="D893" t="str">
        <f>$D$224</f>
        <v>CURRENT_PX_TO_FREE_CASH_FLOW</v>
      </c>
      <c r="E893" t="str">
        <f>$E$224</f>
        <v>Dynamic</v>
      </c>
      <c r="F893" t="str">
        <f ca="1">_xll.BDH($B$224,$C$224,$B$675,$B$676,CONCATENATE("Per=",$B$673),"Dts=H","Dir=H",CONCATENATE("Points=",$B$674),"Sort=R","Days=A","Fill=B",CONCATENATE("FX=", $B$672) )</f>
        <v>#N/A Connection</v>
      </c>
      <c r="BN893" t="str">
        <f>""</f>
        <v/>
      </c>
      <c r="BO893" t="str">
        <f>""</f>
        <v/>
      </c>
      <c r="BP893" t="str">
        <f>""</f>
        <v/>
      </c>
      <c r="BQ893" t="str">
        <f>""</f>
        <v/>
      </c>
      <c r="BR893" t="str">
        <f>""</f>
        <v/>
      </c>
      <c r="BS893" t="str">
        <f>""</f>
        <v/>
      </c>
      <c r="BT893" t="str">
        <f>""</f>
        <v/>
      </c>
      <c r="BU893" t="str">
        <f>""</f>
        <v/>
      </c>
      <c r="BV893" t="str">
        <f>""</f>
        <v/>
      </c>
      <c r="BW893" t="str">
        <f>""</f>
        <v/>
      </c>
      <c r="BX893" t="str">
        <f>""</f>
        <v/>
      </c>
      <c r="BY893" t="str">
        <f>""</f>
        <v/>
      </c>
      <c r="BZ893" t="str">
        <f>""</f>
        <v/>
      </c>
      <c r="CA893" t="str">
        <f>""</f>
        <v/>
      </c>
      <c r="CB893" t="str">
        <f>""</f>
        <v/>
      </c>
      <c r="CC893" t="str">
        <f>""</f>
        <v/>
      </c>
      <c r="CD893" t="str">
        <f>""</f>
        <v/>
      </c>
      <c r="CE893" t="str">
        <f>""</f>
        <v/>
      </c>
      <c r="CF893" t="str">
        <f>""</f>
        <v/>
      </c>
      <c r="CG893" t="str">
        <f>""</f>
        <v/>
      </c>
      <c r="CH893" t="str">
        <f>""</f>
        <v/>
      </c>
      <c r="CI893" t="str">
        <f>""</f>
        <v/>
      </c>
      <c r="CJ893" t="str">
        <f>""</f>
        <v/>
      </c>
      <c r="CK893" t="str">
        <f>""</f>
        <v/>
      </c>
      <c r="CL893" t="str">
        <f>""</f>
        <v/>
      </c>
      <c r="CM893" t="str">
        <f>""</f>
        <v/>
      </c>
      <c r="CN893" t="str">
        <f>""</f>
        <v/>
      </c>
      <c r="CO893" t="str">
        <f>""</f>
        <v/>
      </c>
      <c r="CP893" t="str">
        <f>""</f>
        <v/>
      </c>
      <c r="CQ893" t="str">
        <f>""</f>
        <v/>
      </c>
      <c r="CR893" t="str">
        <f>""</f>
        <v/>
      </c>
      <c r="CS893" t="str">
        <f>""</f>
        <v/>
      </c>
      <c r="CT893" t="str">
        <f>""</f>
        <v/>
      </c>
      <c r="CU893" t="str">
        <f>""</f>
        <v/>
      </c>
      <c r="CV893" t="str">
        <f>""</f>
        <v/>
      </c>
      <c r="CW893" t="str">
        <f>""</f>
        <v/>
      </c>
      <c r="CX893" t="str">
        <f>""</f>
        <v/>
      </c>
      <c r="CY893" t="str">
        <f>""</f>
        <v/>
      </c>
      <c r="CZ893" t="str">
        <f>""</f>
        <v/>
      </c>
      <c r="DA893" t="str">
        <f>""</f>
        <v/>
      </c>
      <c r="DB893" t="str">
        <f>""</f>
        <v/>
      </c>
      <c r="DC893" t="str">
        <f>""</f>
        <v/>
      </c>
      <c r="DD893" t="str">
        <f>""</f>
        <v/>
      </c>
      <c r="DE893" t="str">
        <f>""</f>
        <v/>
      </c>
      <c r="DF893" t="str">
        <f>""</f>
        <v/>
      </c>
      <c r="DG893" t="str">
        <f>""</f>
        <v/>
      </c>
      <c r="DH893" t="str">
        <f>""</f>
        <v/>
      </c>
      <c r="DI893" t="str">
        <f>""</f>
        <v/>
      </c>
      <c r="DJ893" t="str">
        <f>""</f>
        <v/>
      </c>
      <c r="DK893" t="str">
        <f>""</f>
        <v/>
      </c>
      <c r="DL893" t="str">
        <f>""</f>
        <v/>
      </c>
      <c r="DM893" t="str">
        <f>""</f>
        <v/>
      </c>
      <c r="DN893" t="str">
        <f>""</f>
        <v/>
      </c>
      <c r="DO893" t="str">
        <f>""</f>
        <v/>
      </c>
      <c r="DP893" t="str">
        <f>""</f>
        <v/>
      </c>
      <c r="DQ893" t="str">
        <f>""</f>
        <v/>
      </c>
      <c r="DR893" t="str">
        <f>""</f>
        <v/>
      </c>
      <c r="DS893" t="str">
        <f>""</f>
        <v/>
      </c>
      <c r="DT893" t="str">
        <f>""</f>
        <v/>
      </c>
      <c r="DU893" t="str">
        <f>""</f>
        <v/>
      </c>
    </row>
    <row r="894" spans="1:125" x14ac:dyDescent="0.25">
      <c r="A894" t="str">
        <f>$A$225</f>
        <v xml:space="preserve">    Geely Automobile Holdings Ltd</v>
      </c>
      <c r="B894" t="str">
        <f>$B$225</f>
        <v>175 HK Equity</v>
      </c>
      <c r="C894" t="str">
        <f>$C$225</f>
        <v>RR971</v>
      </c>
      <c r="D894" t="str">
        <f>$D$225</f>
        <v>CURRENT_PX_TO_FREE_CASH_FLOW</v>
      </c>
      <c r="E894" t="str">
        <f>$E$225</f>
        <v>Dynamic</v>
      </c>
      <c r="F894" t="str">
        <f ca="1">_xll.BDH($B$225,$C$225,$B$675,$B$676,CONCATENATE("Per=",$B$673),"Dts=H","Dir=H",CONCATENATE("Points=",$B$674),"Sort=R","Days=A","Fill=B",CONCATENATE("FX=", $B$672) )</f>
        <v>#N/A Connection</v>
      </c>
      <c r="BN894" t="str">
        <f>""</f>
        <v/>
      </c>
      <c r="BO894" t="str">
        <f>""</f>
        <v/>
      </c>
      <c r="BP894" t="str">
        <f>""</f>
        <v/>
      </c>
      <c r="BQ894" t="str">
        <f>""</f>
        <v/>
      </c>
      <c r="BR894" t="str">
        <f>""</f>
        <v/>
      </c>
      <c r="BS894" t="str">
        <f>""</f>
        <v/>
      </c>
      <c r="BT894" t="str">
        <f>""</f>
        <v/>
      </c>
      <c r="BU894" t="str">
        <f>""</f>
        <v/>
      </c>
      <c r="BV894" t="str">
        <f>""</f>
        <v/>
      </c>
      <c r="BW894" t="str">
        <f>""</f>
        <v/>
      </c>
      <c r="BX894" t="str">
        <f>""</f>
        <v/>
      </c>
      <c r="BY894" t="str">
        <f>""</f>
        <v/>
      </c>
      <c r="BZ894" t="str">
        <f>""</f>
        <v/>
      </c>
      <c r="CA894" t="str">
        <f>""</f>
        <v/>
      </c>
      <c r="CB894" t="str">
        <f>""</f>
        <v/>
      </c>
      <c r="CC894" t="str">
        <f>""</f>
        <v/>
      </c>
      <c r="CD894" t="str">
        <f>""</f>
        <v/>
      </c>
      <c r="CE894" t="str">
        <f>""</f>
        <v/>
      </c>
      <c r="CF894" t="str">
        <f>""</f>
        <v/>
      </c>
      <c r="CG894" t="str">
        <f>""</f>
        <v/>
      </c>
      <c r="CH894" t="str">
        <f>""</f>
        <v/>
      </c>
      <c r="CI894" t="str">
        <f>""</f>
        <v/>
      </c>
      <c r="CJ894" t="str">
        <f>""</f>
        <v/>
      </c>
      <c r="CK894" t="str">
        <f>""</f>
        <v/>
      </c>
      <c r="CL894" t="str">
        <f>""</f>
        <v/>
      </c>
      <c r="CM894" t="str">
        <f>""</f>
        <v/>
      </c>
      <c r="CN894" t="str">
        <f>""</f>
        <v/>
      </c>
      <c r="CO894" t="str">
        <f>""</f>
        <v/>
      </c>
      <c r="CP894" t="str">
        <f>""</f>
        <v/>
      </c>
      <c r="CQ894" t="str">
        <f>""</f>
        <v/>
      </c>
      <c r="CR894" t="str">
        <f>""</f>
        <v/>
      </c>
      <c r="CS894" t="str">
        <f>""</f>
        <v/>
      </c>
      <c r="CT894" t="str">
        <f>""</f>
        <v/>
      </c>
      <c r="CU894" t="str">
        <f>""</f>
        <v/>
      </c>
      <c r="CV894" t="str">
        <f>""</f>
        <v/>
      </c>
      <c r="CW894" t="str">
        <f>""</f>
        <v/>
      </c>
      <c r="CX894" t="str">
        <f>""</f>
        <v/>
      </c>
      <c r="CY894" t="str">
        <f>""</f>
        <v/>
      </c>
      <c r="CZ894" t="str">
        <f>""</f>
        <v/>
      </c>
      <c r="DA894" t="str">
        <f>""</f>
        <v/>
      </c>
      <c r="DB894" t="str">
        <f>""</f>
        <v/>
      </c>
      <c r="DC894" t="str">
        <f>""</f>
        <v/>
      </c>
      <c r="DD894" t="str">
        <f>""</f>
        <v/>
      </c>
      <c r="DE894" t="str">
        <f>""</f>
        <v/>
      </c>
      <c r="DF894" t="str">
        <f>""</f>
        <v/>
      </c>
      <c r="DG894" t="str">
        <f>""</f>
        <v/>
      </c>
      <c r="DH894" t="str">
        <f>""</f>
        <v/>
      </c>
      <c r="DI894" t="str">
        <f>""</f>
        <v/>
      </c>
      <c r="DJ894" t="str">
        <f>""</f>
        <v/>
      </c>
      <c r="DK894" t="str">
        <f>""</f>
        <v/>
      </c>
      <c r="DL894" t="str">
        <f>""</f>
        <v/>
      </c>
      <c r="DM894" t="str">
        <f>""</f>
        <v/>
      </c>
      <c r="DN894" t="str">
        <f>""</f>
        <v/>
      </c>
      <c r="DO894" t="str">
        <f>""</f>
        <v/>
      </c>
      <c r="DP894" t="str">
        <f>""</f>
        <v/>
      </c>
      <c r="DQ894" t="str">
        <f>""</f>
        <v/>
      </c>
      <c r="DR894" t="str">
        <f>""</f>
        <v/>
      </c>
      <c r="DS894" t="str">
        <f>""</f>
        <v/>
      </c>
      <c r="DT894" t="str">
        <f>""</f>
        <v/>
      </c>
      <c r="DU894" t="str">
        <f>""</f>
        <v/>
      </c>
    </row>
    <row r="895" spans="1:125" x14ac:dyDescent="0.25">
      <c r="A895" t="str">
        <f>$A$226</f>
        <v xml:space="preserve">    General Motors Co</v>
      </c>
      <c r="B895" t="str">
        <f>$B$226</f>
        <v>GM US Equity</v>
      </c>
      <c r="C895" t="str">
        <f>$C$226</f>
        <v>RR971</v>
      </c>
      <c r="D895" t="str">
        <f>$D$226</f>
        <v>CURRENT_PX_TO_FREE_CASH_FLOW</v>
      </c>
      <c r="E895" t="str">
        <f>$E$226</f>
        <v>Dynamic</v>
      </c>
      <c r="F895" t="str">
        <f ca="1">_xll.BDH($B$226,$C$226,$B$675,$B$676,CONCATENATE("Per=",$B$673),"Dts=H","Dir=H",CONCATENATE("Points=",$B$674),"Sort=R","Days=A","Fill=B",CONCATENATE("FX=", $B$672) )</f>
        <v>#N/A Connection</v>
      </c>
      <c r="BN895" t="str">
        <f>""</f>
        <v/>
      </c>
      <c r="BO895" t="str">
        <f>""</f>
        <v/>
      </c>
      <c r="BP895" t="str">
        <f>""</f>
        <v/>
      </c>
      <c r="BQ895" t="str">
        <f>""</f>
        <v/>
      </c>
      <c r="BR895" t="str">
        <f>""</f>
        <v/>
      </c>
      <c r="BS895" t="str">
        <f>""</f>
        <v/>
      </c>
      <c r="BT895" t="str">
        <f>""</f>
        <v/>
      </c>
      <c r="BU895" t="str">
        <f>""</f>
        <v/>
      </c>
      <c r="BV895" t="str">
        <f>""</f>
        <v/>
      </c>
      <c r="BW895" t="str">
        <f>""</f>
        <v/>
      </c>
      <c r="BX895" t="str">
        <f>""</f>
        <v/>
      </c>
      <c r="BY895" t="str">
        <f>""</f>
        <v/>
      </c>
      <c r="BZ895" t="str">
        <f>""</f>
        <v/>
      </c>
      <c r="CA895" t="str">
        <f>""</f>
        <v/>
      </c>
      <c r="CB895" t="str">
        <f>""</f>
        <v/>
      </c>
      <c r="CC895" t="str">
        <f>""</f>
        <v/>
      </c>
      <c r="CD895" t="str">
        <f>""</f>
        <v/>
      </c>
      <c r="CE895" t="str">
        <f>""</f>
        <v/>
      </c>
      <c r="CF895" t="str">
        <f>""</f>
        <v/>
      </c>
      <c r="CG895" t="str">
        <f>""</f>
        <v/>
      </c>
      <c r="CH895" t="str">
        <f>""</f>
        <v/>
      </c>
      <c r="CI895" t="str">
        <f>""</f>
        <v/>
      </c>
      <c r="CJ895" t="str">
        <f>""</f>
        <v/>
      </c>
      <c r="CK895" t="str">
        <f>""</f>
        <v/>
      </c>
      <c r="CL895" t="str">
        <f>""</f>
        <v/>
      </c>
      <c r="CM895" t="str">
        <f>""</f>
        <v/>
      </c>
      <c r="CN895" t="str">
        <f>""</f>
        <v/>
      </c>
      <c r="CO895" t="str">
        <f>""</f>
        <v/>
      </c>
      <c r="CP895" t="str">
        <f>""</f>
        <v/>
      </c>
      <c r="CQ895" t="str">
        <f>""</f>
        <v/>
      </c>
      <c r="CR895" t="str">
        <f>""</f>
        <v/>
      </c>
      <c r="CS895" t="str">
        <f>""</f>
        <v/>
      </c>
      <c r="CT895" t="str">
        <f>""</f>
        <v/>
      </c>
      <c r="CU895" t="str">
        <f>""</f>
        <v/>
      </c>
      <c r="CV895" t="str">
        <f>""</f>
        <v/>
      </c>
      <c r="CW895" t="str">
        <f>""</f>
        <v/>
      </c>
      <c r="CX895" t="str">
        <f>""</f>
        <v/>
      </c>
      <c r="CY895" t="str">
        <f>""</f>
        <v/>
      </c>
      <c r="CZ895" t="str">
        <f>""</f>
        <v/>
      </c>
      <c r="DA895" t="str">
        <f>""</f>
        <v/>
      </c>
      <c r="DB895" t="str">
        <f>""</f>
        <v/>
      </c>
      <c r="DC895" t="str">
        <f>""</f>
        <v/>
      </c>
      <c r="DD895" t="str">
        <f>""</f>
        <v/>
      </c>
      <c r="DE895" t="str">
        <f>""</f>
        <v/>
      </c>
      <c r="DF895" t="str">
        <f>""</f>
        <v/>
      </c>
      <c r="DG895" t="str">
        <f>""</f>
        <v/>
      </c>
      <c r="DH895" t="str">
        <f>""</f>
        <v/>
      </c>
      <c r="DI895" t="str">
        <f>""</f>
        <v/>
      </c>
      <c r="DJ895" t="str">
        <f>""</f>
        <v/>
      </c>
      <c r="DK895" t="str">
        <f>""</f>
        <v/>
      </c>
      <c r="DL895" t="str">
        <f>""</f>
        <v/>
      </c>
      <c r="DM895" t="str">
        <f>""</f>
        <v/>
      </c>
      <c r="DN895" t="str">
        <f>""</f>
        <v/>
      </c>
      <c r="DO895" t="str">
        <f>""</f>
        <v/>
      </c>
      <c r="DP895" t="str">
        <f>""</f>
        <v/>
      </c>
      <c r="DQ895" t="str">
        <f>""</f>
        <v/>
      </c>
      <c r="DR895" t="str">
        <f>""</f>
        <v/>
      </c>
      <c r="DS895" t="str">
        <f>""</f>
        <v/>
      </c>
      <c r="DT895" t="str">
        <f>""</f>
        <v/>
      </c>
      <c r="DU895" t="str">
        <f>""</f>
        <v/>
      </c>
    </row>
    <row r="896" spans="1:125" x14ac:dyDescent="0.25">
      <c r="A896" t="str">
        <f>$A$227</f>
        <v xml:space="preserve">    Great Wall Motor Co Ltd</v>
      </c>
      <c r="B896" t="str">
        <f>$B$227</f>
        <v>2333 HK Equity</v>
      </c>
      <c r="C896" t="str">
        <f>$C$227</f>
        <v>RR971</v>
      </c>
      <c r="D896" t="str">
        <f>$D$227</f>
        <v>CURRENT_PX_TO_FREE_CASH_FLOW</v>
      </c>
      <c r="E896" t="str">
        <f>$E$227</f>
        <v>Dynamic</v>
      </c>
      <c r="F896" t="str">
        <f ca="1">_xll.BDH($B$227,$C$227,$B$675,$B$676,CONCATENATE("Per=",$B$673),"Dts=H","Dir=H",CONCATENATE("Points=",$B$674),"Sort=R","Days=A","Fill=B",CONCATENATE("FX=", $B$672) )</f>
        <v>#N/A Connection</v>
      </c>
      <c r="BN896" t="str">
        <f>""</f>
        <v/>
      </c>
      <c r="BO896" t="str">
        <f>""</f>
        <v/>
      </c>
      <c r="BP896" t="str">
        <f>""</f>
        <v/>
      </c>
      <c r="BQ896" t="str">
        <f>""</f>
        <v/>
      </c>
      <c r="BR896" t="str">
        <f>""</f>
        <v/>
      </c>
      <c r="BS896" t="str">
        <f>""</f>
        <v/>
      </c>
      <c r="BT896" t="str">
        <f>""</f>
        <v/>
      </c>
      <c r="BU896" t="str">
        <f>""</f>
        <v/>
      </c>
      <c r="BV896" t="str">
        <f>""</f>
        <v/>
      </c>
      <c r="BW896" t="str">
        <f>""</f>
        <v/>
      </c>
      <c r="BX896" t="str">
        <f>""</f>
        <v/>
      </c>
      <c r="BY896" t="str">
        <f>""</f>
        <v/>
      </c>
      <c r="BZ896" t="str">
        <f>""</f>
        <v/>
      </c>
      <c r="CA896" t="str">
        <f>""</f>
        <v/>
      </c>
      <c r="CB896" t="str">
        <f>""</f>
        <v/>
      </c>
      <c r="CC896" t="str">
        <f>""</f>
        <v/>
      </c>
      <c r="CD896" t="str">
        <f>""</f>
        <v/>
      </c>
      <c r="CE896" t="str">
        <f>""</f>
        <v/>
      </c>
      <c r="CF896" t="str">
        <f>""</f>
        <v/>
      </c>
      <c r="CG896" t="str">
        <f>""</f>
        <v/>
      </c>
      <c r="CH896" t="str">
        <f>""</f>
        <v/>
      </c>
      <c r="CI896" t="str">
        <f>""</f>
        <v/>
      </c>
      <c r="CJ896" t="str">
        <f>""</f>
        <v/>
      </c>
      <c r="CK896" t="str">
        <f>""</f>
        <v/>
      </c>
      <c r="CL896" t="str">
        <f>""</f>
        <v/>
      </c>
      <c r="CM896" t="str">
        <f>""</f>
        <v/>
      </c>
      <c r="CN896" t="str">
        <f>""</f>
        <v/>
      </c>
      <c r="CO896" t="str">
        <f>""</f>
        <v/>
      </c>
      <c r="CP896" t="str">
        <f>""</f>
        <v/>
      </c>
      <c r="CQ896" t="str">
        <f>""</f>
        <v/>
      </c>
      <c r="CR896" t="str">
        <f>""</f>
        <v/>
      </c>
      <c r="CS896" t="str">
        <f>""</f>
        <v/>
      </c>
      <c r="CT896" t="str">
        <f>""</f>
        <v/>
      </c>
      <c r="CU896" t="str">
        <f>""</f>
        <v/>
      </c>
      <c r="CV896" t="str">
        <f>""</f>
        <v/>
      </c>
      <c r="CW896" t="str">
        <f>""</f>
        <v/>
      </c>
      <c r="CX896" t="str">
        <f>""</f>
        <v/>
      </c>
      <c r="CY896" t="str">
        <f>""</f>
        <v/>
      </c>
      <c r="CZ896" t="str">
        <f>""</f>
        <v/>
      </c>
      <c r="DA896" t="str">
        <f>""</f>
        <v/>
      </c>
      <c r="DB896" t="str">
        <f>""</f>
        <v/>
      </c>
      <c r="DC896" t="str">
        <f>""</f>
        <v/>
      </c>
      <c r="DD896" t="str">
        <f>""</f>
        <v/>
      </c>
      <c r="DE896" t="str">
        <f>""</f>
        <v/>
      </c>
      <c r="DF896" t="str">
        <f>""</f>
        <v/>
      </c>
      <c r="DG896" t="str">
        <f>""</f>
        <v/>
      </c>
      <c r="DH896" t="str">
        <f>""</f>
        <v/>
      </c>
      <c r="DI896" t="str">
        <f>""</f>
        <v/>
      </c>
      <c r="DJ896" t="str">
        <f>""</f>
        <v/>
      </c>
      <c r="DK896" t="str">
        <f>""</f>
        <v/>
      </c>
      <c r="DL896" t="str">
        <f>""</f>
        <v/>
      </c>
      <c r="DM896" t="str">
        <f>""</f>
        <v/>
      </c>
      <c r="DN896" t="str">
        <f>""</f>
        <v/>
      </c>
      <c r="DO896" t="str">
        <f>""</f>
        <v/>
      </c>
      <c r="DP896" t="str">
        <f>""</f>
        <v/>
      </c>
      <c r="DQ896" t="str">
        <f>""</f>
        <v/>
      </c>
      <c r="DR896" t="str">
        <f>""</f>
        <v/>
      </c>
      <c r="DS896" t="str">
        <f>""</f>
        <v/>
      </c>
      <c r="DT896" t="str">
        <f>""</f>
        <v/>
      </c>
      <c r="DU896" t="str">
        <f>""</f>
        <v/>
      </c>
    </row>
    <row r="897" spans="1:125" x14ac:dyDescent="0.25">
      <c r="A897" t="str">
        <f>$A$228</f>
        <v xml:space="preserve">    Guangzhou Automobile Group Co Ltd</v>
      </c>
      <c r="B897" t="str">
        <f>$B$228</f>
        <v>2238 HK Equity</v>
      </c>
      <c r="C897" t="str">
        <f>$C$228</f>
        <v>RR971</v>
      </c>
      <c r="D897" t="str">
        <f>$D$228</f>
        <v>CURRENT_PX_TO_FREE_CASH_FLOW</v>
      </c>
      <c r="E897" t="str">
        <f>$E$228</f>
        <v>Dynamic</v>
      </c>
      <c r="F897" t="str">
        <f ca="1">_xll.BDH($B$228,$C$228,$B$675,$B$676,CONCATENATE("Per=",$B$673),"Dts=H","Dir=H",CONCATENATE("Points=",$B$674),"Sort=R","Days=A","Fill=B",CONCATENATE("FX=", $B$672) )</f>
        <v>#N/A Connection</v>
      </c>
      <c r="BN897" t="str">
        <f>""</f>
        <v/>
      </c>
      <c r="BO897" t="str">
        <f>""</f>
        <v/>
      </c>
      <c r="BP897" t="str">
        <f>""</f>
        <v/>
      </c>
      <c r="BQ897" t="str">
        <f>""</f>
        <v/>
      </c>
      <c r="BR897" t="str">
        <f>""</f>
        <v/>
      </c>
      <c r="BS897" t="str">
        <f>""</f>
        <v/>
      </c>
      <c r="BT897" t="str">
        <f>""</f>
        <v/>
      </c>
      <c r="BU897" t="str">
        <f>""</f>
        <v/>
      </c>
      <c r="BV897" t="str">
        <f>""</f>
        <v/>
      </c>
      <c r="BW897" t="str">
        <f>""</f>
        <v/>
      </c>
      <c r="BX897" t="str">
        <f>""</f>
        <v/>
      </c>
      <c r="BY897" t="str">
        <f>""</f>
        <v/>
      </c>
      <c r="BZ897" t="str">
        <f>""</f>
        <v/>
      </c>
      <c r="CA897" t="str">
        <f>""</f>
        <v/>
      </c>
      <c r="CB897" t="str">
        <f>""</f>
        <v/>
      </c>
      <c r="CC897" t="str">
        <f>""</f>
        <v/>
      </c>
      <c r="CD897" t="str">
        <f>""</f>
        <v/>
      </c>
      <c r="CE897" t="str">
        <f>""</f>
        <v/>
      </c>
      <c r="CF897" t="str">
        <f>""</f>
        <v/>
      </c>
      <c r="CG897" t="str">
        <f>""</f>
        <v/>
      </c>
      <c r="CH897" t="str">
        <f>""</f>
        <v/>
      </c>
      <c r="CI897" t="str">
        <f>""</f>
        <v/>
      </c>
      <c r="CJ897" t="str">
        <f>""</f>
        <v/>
      </c>
      <c r="CK897" t="str">
        <f>""</f>
        <v/>
      </c>
      <c r="CL897" t="str">
        <f>""</f>
        <v/>
      </c>
      <c r="CM897" t="str">
        <f>""</f>
        <v/>
      </c>
      <c r="CN897" t="str">
        <f>""</f>
        <v/>
      </c>
      <c r="CO897" t="str">
        <f>""</f>
        <v/>
      </c>
      <c r="CP897" t="str">
        <f>""</f>
        <v/>
      </c>
      <c r="CQ897" t="str">
        <f>""</f>
        <v/>
      </c>
      <c r="CR897" t="str">
        <f>""</f>
        <v/>
      </c>
      <c r="CS897" t="str">
        <f>""</f>
        <v/>
      </c>
      <c r="CT897" t="str">
        <f>""</f>
        <v/>
      </c>
      <c r="CU897" t="str">
        <f>""</f>
        <v/>
      </c>
      <c r="CV897" t="str">
        <f>""</f>
        <v/>
      </c>
      <c r="CW897" t="str">
        <f>""</f>
        <v/>
      </c>
      <c r="CX897" t="str">
        <f>""</f>
        <v/>
      </c>
      <c r="CY897" t="str">
        <f>""</f>
        <v/>
      </c>
      <c r="CZ897" t="str">
        <f>""</f>
        <v/>
      </c>
      <c r="DA897" t="str">
        <f>""</f>
        <v/>
      </c>
      <c r="DB897" t="str">
        <f>""</f>
        <v/>
      </c>
      <c r="DC897" t="str">
        <f>""</f>
        <v/>
      </c>
      <c r="DD897" t="str">
        <f>""</f>
        <v/>
      </c>
      <c r="DE897" t="str">
        <f>""</f>
        <v/>
      </c>
      <c r="DF897" t="str">
        <f>""</f>
        <v/>
      </c>
      <c r="DG897" t="str">
        <f>""</f>
        <v/>
      </c>
      <c r="DH897" t="str">
        <f>""</f>
        <v/>
      </c>
      <c r="DI897" t="str">
        <f>""</f>
        <v/>
      </c>
      <c r="DJ897" t="str">
        <f>""</f>
        <v/>
      </c>
      <c r="DK897" t="str">
        <f>""</f>
        <v/>
      </c>
      <c r="DL897" t="str">
        <f>""</f>
        <v/>
      </c>
      <c r="DM897" t="str">
        <f>""</f>
        <v/>
      </c>
      <c r="DN897" t="str">
        <f>""</f>
        <v/>
      </c>
      <c r="DO897" t="str">
        <f>""</f>
        <v/>
      </c>
      <c r="DP897" t="str">
        <f>""</f>
        <v/>
      </c>
      <c r="DQ897" t="str">
        <f>""</f>
        <v/>
      </c>
      <c r="DR897" t="str">
        <f>""</f>
        <v/>
      </c>
      <c r="DS897" t="str">
        <f>""</f>
        <v/>
      </c>
      <c r="DT897" t="str">
        <f>""</f>
        <v/>
      </c>
      <c r="DU897" t="str">
        <f>""</f>
        <v/>
      </c>
    </row>
    <row r="898" spans="1:125" x14ac:dyDescent="0.25">
      <c r="A898" t="str">
        <f>$A$229</f>
        <v xml:space="preserve">    Honda Motor Co Ltd</v>
      </c>
      <c r="B898" t="str">
        <f>$B$229</f>
        <v>7267 JP Equity</v>
      </c>
      <c r="C898" t="str">
        <f>$C$229</f>
        <v>RR971</v>
      </c>
      <c r="D898" t="str">
        <f>$D$229</f>
        <v>CURRENT_PX_TO_FREE_CASH_FLOW</v>
      </c>
      <c r="E898" t="str">
        <f>$E$229</f>
        <v>Dynamic</v>
      </c>
      <c r="F898" t="str">
        <f ca="1">_xll.BDH($B$229,$C$229,$B$675,$B$676,CONCATENATE("Per=",$B$673),"Dts=H","Dir=H",CONCATENATE("Points=",$B$674),"Sort=R","Days=A","Fill=B",CONCATENATE("FX=", $B$672) )</f>
        <v>#N/A Connection</v>
      </c>
      <c r="BN898" t="str">
        <f>""</f>
        <v/>
      </c>
      <c r="BO898" t="str">
        <f>""</f>
        <v/>
      </c>
      <c r="BP898" t="str">
        <f>""</f>
        <v/>
      </c>
      <c r="BQ898" t="str">
        <f>""</f>
        <v/>
      </c>
      <c r="BR898" t="str">
        <f>""</f>
        <v/>
      </c>
      <c r="BS898" t="str">
        <f>""</f>
        <v/>
      </c>
      <c r="BT898" t="str">
        <f>""</f>
        <v/>
      </c>
      <c r="BU898" t="str">
        <f>""</f>
        <v/>
      </c>
      <c r="BV898" t="str">
        <f>""</f>
        <v/>
      </c>
      <c r="BW898" t="str">
        <f>""</f>
        <v/>
      </c>
      <c r="BX898" t="str">
        <f>""</f>
        <v/>
      </c>
      <c r="BY898" t="str">
        <f>""</f>
        <v/>
      </c>
      <c r="BZ898" t="str">
        <f>""</f>
        <v/>
      </c>
      <c r="CA898" t="str">
        <f>""</f>
        <v/>
      </c>
      <c r="CB898" t="str">
        <f>""</f>
        <v/>
      </c>
      <c r="CC898" t="str">
        <f>""</f>
        <v/>
      </c>
      <c r="CD898" t="str">
        <f>""</f>
        <v/>
      </c>
      <c r="CE898" t="str">
        <f>""</f>
        <v/>
      </c>
      <c r="CF898" t="str">
        <f>""</f>
        <v/>
      </c>
      <c r="CG898" t="str">
        <f>""</f>
        <v/>
      </c>
      <c r="CH898" t="str">
        <f>""</f>
        <v/>
      </c>
      <c r="CI898" t="str">
        <f>""</f>
        <v/>
      </c>
      <c r="CJ898" t="str">
        <f>""</f>
        <v/>
      </c>
      <c r="CK898" t="str">
        <f>""</f>
        <v/>
      </c>
      <c r="CL898" t="str">
        <f>""</f>
        <v/>
      </c>
      <c r="CM898" t="str">
        <f>""</f>
        <v/>
      </c>
      <c r="CN898" t="str">
        <f>""</f>
        <v/>
      </c>
      <c r="CO898" t="str">
        <f>""</f>
        <v/>
      </c>
      <c r="CP898" t="str">
        <f>""</f>
        <v/>
      </c>
      <c r="CQ898" t="str">
        <f>""</f>
        <v/>
      </c>
      <c r="CR898" t="str">
        <f>""</f>
        <v/>
      </c>
      <c r="CS898" t="str">
        <f>""</f>
        <v/>
      </c>
      <c r="CT898" t="str">
        <f>""</f>
        <v/>
      </c>
      <c r="CU898" t="str">
        <f>""</f>
        <v/>
      </c>
      <c r="CV898" t="str">
        <f>""</f>
        <v/>
      </c>
      <c r="CW898" t="str">
        <f>""</f>
        <v/>
      </c>
      <c r="CX898" t="str">
        <f>""</f>
        <v/>
      </c>
      <c r="CY898" t="str">
        <f>""</f>
        <v/>
      </c>
      <c r="CZ898" t="str">
        <f>""</f>
        <v/>
      </c>
      <c r="DA898" t="str">
        <f>""</f>
        <v/>
      </c>
      <c r="DB898" t="str">
        <f>""</f>
        <v/>
      </c>
      <c r="DC898" t="str">
        <f>""</f>
        <v/>
      </c>
      <c r="DD898" t="str">
        <f>""</f>
        <v/>
      </c>
      <c r="DE898" t="str">
        <f>""</f>
        <v/>
      </c>
      <c r="DF898" t="str">
        <f>""</f>
        <v/>
      </c>
      <c r="DG898" t="str">
        <f>""</f>
        <v/>
      </c>
      <c r="DH898" t="str">
        <f>""</f>
        <v/>
      </c>
      <c r="DI898" t="str">
        <f>""</f>
        <v/>
      </c>
      <c r="DJ898" t="str">
        <f>""</f>
        <v/>
      </c>
      <c r="DK898" t="str">
        <f>""</f>
        <v/>
      </c>
      <c r="DL898" t="str">
        <f>""</f>
        <v/>
      </c>
      <c r="DM898" t="str">
        <f>""</f>
        <v/>
      </c>
      <c r="DN898" t="str">
        <f>""</f>
        <v/>
      </c>
      <c r="DO898" t="str">
        <f>""</f>
        <v/>
      </c>
      <c r="DP898" t="str">
        <f>""</f>
        <v/>
      </c>
      <c r="DQ898" t="str">
        <f>""</f>
        <v/>
      </c>
      <c r="DR898" t="str">
        <f>""</f>
        <v/>
      </c>
      <c r="DS898" t="str">
        <f>""</f>
        <v/>
      </c>
      <c r="DT898" t="str">
        <f>""</f>
        <v/>
      </c>
      <c r="DU898" t="str">
        <f>""</f>
        <v/>
      </c>
    </row>
    <row r="899" spans="1:125" x14ac:dyDescent="0.25">
      <c r="A899" t="str">
        <f>$A$230</f>
        <v xml:space="preserve">    Hyundai Motor Co</v>
      </c>
      <c r="B899" t="str">
        <f>$B$230</f>
        <v>005380 KS Equity</v>
      </c>
      <c r="C899" t="str">
        <f>$C$230</f>
        <v>RR971</v>
      </c>
      <c r="D899" t="str">
        <f>$D$230</f>
        <v>CURRENT_PX_TO_FREE_CASH_FLOW</v>
      </c>
      <c r="E899" t="str">
        <f>$E$230</f>
        <v>Dynamic</v>
      </c>
      <c r="F899" t="str">
        <f ca="1">_xll.BDH($B$230,$C$230,$B$675,$B$676,CONCATENATE("Per=",$B$673),"Dts=H","Dir=H",CONCATENATE("Points=",$B$674),"Sort=R","Days=A","Fill=B",CONCATENATE("FX=", $B$672) )</f>
        <v>#N/A Connection</v>
      </c>
      <c r="BN899" t="str">
        <f>""</f>
        <v/>
      </c>
      <c r="BO899" t="str">
        <f>""</f>
        <v/>
      </c>
      <c r="BP899" t="str">
        <f>""</f>
        <v/>
      </c>
      <c r="BQ899" t="str">
        <f>""</f>
        <v/>
      </c>
      <c r="BR899" t="str">
        <f>""</f>
        <v/>
      </c>
      <c r="BS899" t="str">
        <f>""</f>
        <v/>
      </c>
      <c r="BT899" t="str">
        <f>""</f>
        <v/>
      </c>
      <c r="BU899" t="str">
        <f>""</f>
        <v/>
      </c>
      <c r="BV899" t="str">
        <f>""</f>
        <v/>
      </c>
      <c r="BW899" t="str">
        <f>""</f>
        <v/>
      </c>
      <c r="BX899" t="str">
        <f>""</f>
        <v/>
      </c>
      <c r="BY899" t="str">
        <f>""</f>
        <v/>
      </c>
      <c r="BZ899" t="str">
        <f>""</f>
        <v/>
      </c>
      <c r="CA899" t="str">
        <f>""</f>
        <v/>
      </c>
      <c r="CB899" t="str">
        <f>""</f>
        <v/>
      </c>
      <c r="CC899" t="str">
        <f>""</f>
        <v/>
      </c>
      <c r="CD899" t="str">
        <f>""</f>
        <v/>
      </c>
      <c r="CE899" t="str">
        <f>""</f>
        <v/>
      </c>
      <c r="CF899" t="str">
        <f>""</f>
        <v/>
      </c>
      <c r="CG899" t="str">
        <f>""</f>
        <v/>
      </c>
      <c r="CH899" t="str">
        <f>""</f>
        <v/>
      </c>
      <c r="CI899" t="str">
        <f>""</f>
        <v/>
      </c>
      <c r="CJ899" t="str">
        <f>""</f>
        <v/>
      </c>
      <c r="CK899" t="str">
        <f>""</f>
        <v/>
      </c>
      <c r="CL899" t="str">
        <f>""</f>
        <v/>
      </c>
      <c r="CM899" t="str">
        <f>""</f>
        <v/>
      </c>
      <c r="CN899" t="str">
        <f>""</f>
        <v/>
      </c>
      <c r="CO899" t="str">
        <f>""</f>
        <v/>
      </c>
      <c r="CP899" t="str">
        <f>""</f>
        <v/>
      </c>
      <c r="CQ899" t="str">
        <f>""</f>
        <v/>
      </c>
      <c r="CR899" t="str">
        <f>""</f>
        <v/>
      </c>
      <c r="CS899" t="str">
        <f>""</f>
        <v/>
      </c>
      <c r="CT899" t="str">
        <f>""</f>
        <v/>
      </c>
      <c r="CU899" t="str">
        <f>""</f>
        <v/>
      </c>
      <c r="CV899" t="str">
        <f>""</f>
        <v/>
      </c>
      <c r="CW899" t="str">
        <f>""</f>
        <v/>
      </c>
      <c r="CX899" t="str">
        <f>""</f>
        <v/>
      </c>
      <c r="CY899" t="str">
        <f>""</f>
        <v/>
      </c>
      <c r="CZ899" t="str">
        <f>""</f>
        <v/>
      </c>
      <c r="DA899" t="str">
        <f>""</f>
        <v/>
      </c>
      <c r="DB899" t="str">
        <f>""</f>
        <v/>
      </c>
      <c r="DC899" t="str">
        <f>""</f>
        <v/>
      </c>
      <c r="DD899" t="str">
        <f>""</f>
        <v/>
      </c>
      <c r="DE899" t="str">
        <f>""</f>
        <v/>
      </c>
      <c r="DF899" t="str">
        <f>""</f>
        <v/>
      </c>
      <c r="DG899" t="str">
        <f>""</f>
        <v/>
      </c>
      <c r="DH899" t="str">
        <f>""</f>
        <v/>
      </c>
      <c r="DI899" t="str">
        <f>""</f>
        <v/>
      </c>
      <c r="DJ899" t="str">
        <f>""</f>
        <v/>
      </c>
      <c r="DK899" t="str">
        <f>""</f>
        <v/>
      </c>
      <c r="DL899" t="str">
        <f>""</f>
        <v/>
      </c>
      <c r="DM899" t="str">
        <f>""</f>
        <v/>
      </c>
      <c r="DN899" t="str">
        <f>""</f>
        <v/>
      </c>
      <c r="DO899" t="str">
        <f>""</f>
        <v/>
      </c>
      <c r="DP899" t="str">
        <f>""</f>
        <v/>
      </c>
      <c r="DQ899" t="str">
        <f>""</f>
        <v/>
      </c>
      <c r="DR899" t="str">
        <f>""</f>
        <v/>
      </c>
      <c r="DS899" t="str">
        <f>""</f>
        <v/>
      </c>
      <c r="DT899" t="str">
        <f>""</f>
        <v/>
      </c>
      <c r="DU899" t="str">
        <f>""</f>
        <v/>
      </c>
    </row>
    <row r="900" spans="1:125" x14ac:dyDescent="0.25">
      <c r="A900" t="str">
        <f>$A$231</f>
        <v xml:space="preserve">    Kia Motors Corp</v>
      </c>
      <c r="B900" t="str">
        <f>$B$231</f>
        <v>000270 KS Equity</v>
      </c>
      <c r="C900" t="str">
        <f>$C$231</f>
        <v>RR971</v>
      </c>
      <c r="D900" t="str">
        <f>$D$231</f>
        <v>CURRENT_PX_TO_FREE_CASH_FLOW</v>
      </c>
      <c r="E900" t="str">
        <f>$E$231</f>
        <v>Dynamic</v>
      </c>
      <c r="F900" t="str">
        <f ca="1">_xll.BDH($B$231,$C$231,$B$675,$B$676,CONCATENATE("Per=",$B$673),"Dts=H","Dir=H",CONCATENATE("Points=",$B$674),"Sort=R","Days=A","Fill=B",CONCATENATE("FX=", $B$672) )</f>
        <v>#N/A Connection</v>
      </c>
      <c r="BN900" t="str">
        <f>""</f>
        <v/>
      </c>
      <c r="BO900" t="str">
        <f>""</f>
        <v/>
      </c>
      <c r="BP900" t="str">
        <f>""</f>
        <v/>
      </c>
      <c r="BQ900" t="str">
        <f>""</f>
        <v/>
      </c>
      <c r="BR900" t="str">
        <f>""</f>
        <v/>
      </c>
      <c r="BS900" t="str">
        <f>""</f>
        <v/>
      </c>
      <c r="BT900" t="str">
        <f>""</f>
        <v/>
      </c>
      <c r="BU900" t="str">
        <f>""</f>
        <v/>
      </c>
      <c r="BV900" t="str">
        <f>""</f>
        <v/>
      </c>
      <c r="BW900" t="str">
        <f>""</f>
        <v/>
      </c>
      <c r="BX900" t="str">
        <f>""</f>
        <v/>
      </c>
      <c r="BY900" t="str">
        <f>""</f>
        <v/>
      </c>
      <c r="BZ900" t="str">
        <f>""</f>
        <v/>
      </c>
      <c r="CA900" t="str">
        <f>""</f>
        <v/>
      </c>
      <c r="CB900" t="str">
        <f>""</f>
        <v/>
      </c>
      <c r="CC900" t="str">
        <f>""</f>
        <v/>
      </c>
      <c r="CD900" t="str">
        <f>""</f>
        <v/>
      </c>
      <c r="CE900" t="str">
        <f>""</f>
        <v/>
      </c>
      <c r="CF900" t="str">
        <f>""</f>
        <v/>
      </c>
      <c r="CG900" t="str">
        <f>""</f>
        <v/>
      </c>
      <c r="CH900" t="str">
        <f>""</f>
        <v/>
      </c>
      <c r="CI900" t="str">
        <f>""</f>
        <v/>
      </c>
      <c r="CJ900" t="str">
        <f>""</f>
        <v/>
      </c>
      <c r="CK900" t="str">
        <f>""</f>
        <v/>
      </c>
      <c r="CL900" t="str">
        <f>""</f>
        <v/>
      </c>
      <c r="CM900" t="str">
        <f>""</f>
        <v/>
      </c>
      <c r="CN900" t="str">
        <f>""</f>
        <v/>
      </c>
      <c r="CO900" t="str">
        <f>""</f>
        <v/>
      </c>
      <c r="CP900" t="str">
        <f>""</f>
        <v/>
      </c>
      <c r="CQ900" t="str">
        <f>""</f>
        <v/>
      </c>
      <c r="CR900" t="str">
        <f>""</f>
        <v/>
      </c>
      <c r="CS900" t="str">
        <f>""</f>
        <v/>
      </c>
      <c r="CT900" t="str">
        <f>""</f>
        <v/>
      </c>
      <c r="CU900" t="str">
        <f>""</f>
        <v/>
      </c>
      <c r="CV900" t="str">
        <f>""</f>
        <v/>
      </c>
      <c r="CW900" t="str">
        <f>""</f>
        <v/>
      </c>
      <c r="CX900" t="str">
        <f>""</f>
        <v/>
      </c>
      <c r="CY900" t="str">
        <f>""</f>
        <v/>
      </c>
      <c r="CZ900" t="str">
        <f>""</f>
        <v/>
      </c>
      <c r="DA900" t="str">
        <f>""</f>
        <v/>
      </c>
      <c r="DB900" t="str">
        <f>""</f>
        <v/>
      </c>
      <c r="DC900" t="str">
        <f>""</f>
        <v/>
      </c>
      <c r="DD900" t="str">
        <f>""</f>
        <v/>
      </c>
      <c r="DE900" t="str">
        <f>""</f>
        <v/>
      </c>
      <c r="DF900" t="str">
        <f>""</f>
        <v/>
      </c>
      <c r="DG900" t="str">
        <f>""</f>
        <v/>
      </c>
      <c r="DH900" t="str">
        <f>""</f>
        <v/>
      </c>
      <c r="DI900" t="str">
        <f>""</f>
        <v/>
      </c>
      <c r="DJ900" t="str">
        <f>""</f>
        <v/>
      </c>
      <c r="DK900" t="str">
        <f>""</f>
        <v/>
      </c>
      <c r="DL900" t="str">
        <f>""</f>
        <v/>
      </c>
      <c r="DM900" t="str">
        <f>""</f>
        <v/>
      </c>
      <c r="DN900" t="str">
        <f>""</f>
        <v/>
      </c>
      <c r="DO900" t="str">
        <f>""</f>
        <v/>
      </c>
      <c r="DP900" t="str">
        <f>""</f>
        <v/>
      </c>
      <c r="DQ900" t="str">
        <f>""</f>
        <v/>
      </c>
      <c r="DR900" t="str">
        <f>""</f>
        <v/>
      </c>
      <c r="DS900" t="str">
        <f>""</f>
        <v/>
      </c>
      <c r="DT900" t="str">
        <f>""</f>
        <v/>
      </c>
      <c r="DU900" t="str">
        <f>""</f>
        <v/>
      </c>
    </row>
    <row r="901" spans="1:125" x14ac:dyDescent="0.25">
      <c r="A901" t="str">
        <f>$A$232</f>
        <v xml:space="preserve">    Mazda Motor Corp</v>
      </c>
      <c r="B901" t="str">
        <f>$B$232</f>
        <v>7261 JP Equity</v>
      </c>
      <c r="C901" t="str">
        <f>$C$232</f>
        <v>RR971</v>
      </c>
      <c r="D901" t="str">
        <f>$D$232</f>
        <v>CURRENT_PX_TO_FREE_CASH_FLOW</v>
      </c>
      <c r="E901" t="str">
        <f>$E$232</f>
        <v>Dynamic</v>
      </c>
      <c r="F901" t="str">
        <f ca="1">_xll.BDH($B$232,$C$232,$B$675,$B$676,CONCATENATE("Per=",$B$673),"Dts=H","Dir=H",CONCATENATE("Points=",$B$674),"Sort=R","Days=A","Fill=B",CONCATENATE("FX=", $B$672) )</f>
        <v>#N/A Connection</v>
      </c>
      <c r="BN901" t="str">
        <f>""</f>
        <v/>
      </c>
      <c r="BO901" t="str">
        <f>""</f>
        <v/>
      </c>
      <c r="BP901" t="str">
        <f>""</f>
        <v/>
      </c>
      <c r="BQ901" t="str">
        <f>""</f>
        <v/>
      </c>
      <c r="BR901" t="str">
        <f>""</f>
        <v/>
      </c>
      <c r="BS901" t="str">
        <f>""</f>
        <v/>
      </c>
      <c r="BT901" t="str">
        <f>""</f>
        <v/>
      </c>
      <c r="BU901" t="str">
        <f>""</f>
        <v/>
      </c>
      <c r="BV901" t="str">
        <f>""</f>
        <v/>
      </c>
      <c r="BW901" t="str">
        <f>""</f>
        <v/>
      </c>
      <c r="BX901" t="str">
        <f>""</f>
        <v/>
      </c>
      <c r="BY901" t="str">
        <f>""</f>
        <v/>
      </c>
      <c r="BZ901" t="str">
        <f>""</f>
        <v/>
      </c>
      <c r="CA901" t="str">
        <f>""</f>
        <v/>
      </c>
      <c r="CB901" t="str">
        <f>""</f>
        <v/>
      </c>
      <c r="CC901" t="str">
        <f>""</f>
        <v/>
      </c>
      <c r="CD901" t="str">
        <f>""</f>
        <v/>
      </c>
      <c r="CE901" t="str">
        <f>""</f>
        <v/>
      </c>
      <c r="CF901" t="str">
        <f>""</f>
        <v/>
      </c>
      <c r="CG901" t="str">
        <f>""</f>
        <v/>
      </c>
      <c r="CH901" t="str">
        <f>""</f>
        <v/>
      </c>
      <c r="CI901" t="str">
        <f>""</f>
        <v/>
      </c>
      <c r="CJ901" t="str">
        <f>""</f>
        <v/>
      </c>
      <c r="CK901" t="str">
        <f>""</f>
        <v/>
      </c>
      <c r="CL901" t="str">
        <f>""</f>
        <v/>
      </c>
      <c r="CM901" t="str">
        <f>""</f>
        <v/>
      </c>
      <c r="CN901" t="str">
        <f>""</f>
        <v/>
      </c>
      <c r="CO901" t="str">
        <f>""</f>
        <v/>
      </c>
      <c r="CP901" t="str">
        <f>""</f>
        <v/>
      </c>
      <c r="CQ901" t="str">
        <f>""</f>
        <v/>
      </c>
      <c r="CR901" t="str">
        <f>""</f>
        <v/>
      </c>
      <c r="CS901" t="str">
        <f>""</f>
        <v/>
      </c>
      <c r="CT901" t="str">
        <f>""</f>
        <v/>
      </c>
      <c r="CU901" t="str">
        <f>""</f>
        <v/>
      </c>
      <c r="CV901" t="str">
        <f>""</f>
        <v/>
      </c>
      <c r="CW901" t="str">
        <f>""</f>
        <v/>
      </c>
      <c r="CX901" t="str">
        <f>""</f>
        <v/>
      </c>
      <c r="CY901" t="str">
        <f>""</f>
        <v/>
      </c>
      <c r="CZ901" t="str">
        <f>""</f>
        <v/>
      </c>
      <c r="DA901" t="str">
        <f>""</f>
        <v/>
      </c>
      <c r="DB901" t="str">
        <f>""</f>
        <v/>
      </c>
      <c r="DC901" t="str">
        <f>""</f>
        <v/>
      </c>
      <c r="DD901" t="str">
        <f>""</f>
        <v/>
      </c>
      <c r="DE901" t="str">
        <f>""</f>
        <v/>
      </c>
      <c r="DF901" t="str">
        <f>""</f>
        <v/>
      </c>
      <c r="DG901" t="str">
        <f>""</f>
        <v/>
      </c>
      <c r="DH901" t="str">
        <f>""</f>
        <v/>
      </c>
      <c r="DI901" t="str">
        <f>""</f>
        <v/>
      </c>
      <c r="DJ901" t="str">
        <f>""</f>
        <v/>
      </c>
      <c r="DK901" t="str">
        <f>""</f>
        <v/>
      </c>
      <c r="DL901" t="str">
        <f>""</f>
        <v/>
      </c>
      <c r="DM901" t="str">
        <f>""</f>
        <v/>
      </c>
      <c r="DN901" t="str">
        <f>""</f>
        <v/>
      </c>
      <c r="DO901" t="str">
        <f>""</f>
        <v/>
      </c>
      <c r="DP901" t="str">
        <f>""</f>
        <v/>
      </c>
      <c r="DQ901" t="str">
        <f>""</f>
        <v/>
      </c>
      <c r="DR901" t="str">
        <f>""</f>
        <v/>
      </c>
      <c r="DS901" t="str">
        <f>""</f>
        <v/>
      </c>
      <c r="DT901" t="str">
        <f>""</f>
        <v/>
      </c>
      <c r="DU901" t="str">
        <f>""</f>
        <v/>
      </c>
    </row>
    <row r="902" spans="1:125" x14ac:dyDescent="0.25">
      <c r="A902" t="str">
        <f>$A$233</f>
        <v xml:space="preserve">    Mitsubishi Motors Corp</v>
      </c>
      <c r="B902" t="str">
        <f>$B$233</f>
        <v>7211 JP Equity</v>
      </c>
      <c r="C902" t="str">
        <f>$C$233</f>
        <v>RR971</v>
      </c>
      <c r="D902" t="str">
        <f>$D$233</f>
        <v>CURRENT_PX_TO_FREE_CASH_FLOW</v>
      </c>
      <c r="E902" t="str">
        <f>$E$233</f>
        <v>Dynamic</v>
      </c>
      <c r="F902" t="str">
        <f ca="1">_xll.BDH($B$233,$C$233,$B$675,$B$676,CONCATENATE("Per=",$B$673),"Dts=H","Dir=H",CONCATENATE("Points=",$B$674),"Sort=R","Days=A","Fill=B",CONCATENATE("FX=", $B$672) )</f>
        <v>#N/A Connection</v>
      </c>
      <c r="BN902" t="str">
        <f>""</f>
        <v/>
      </c>
      <c r="BO902" t="str">
        <f>""</f>
        <v/>
      </c>
      <c r="BP902" t="str">
        <f>""</f>
        <v/>
      </c>
      <c r="BQ902" t="str">
        <f>""</f>
        <v/>
      </c>
      <c r="BR902" t="str">
        <f>""</f>
        <v/>
      </c>
      <c r="BS902" t="str">
        <f>""</f>
        <v/>
      </c>
      <c r="BT902" t="str">
        <f>""</f>
        <v/>
      </c>
      <c r="BU902" t="str">
        <f>""</f>
        <v/>
      </c>
      <c r="BV902" t="str">
        <f>""</f>
        <v/>
      </c>
      <c r="BW902" t="str">
        <f>""</f>
        <v/>
      </c>
      <c r="BX902" t="str">
        <f>""</f>
        <v/>
      </c>
      <c r="BY902" t="str">
        <f>""</f>
        <v/>
      </c>
      <c r="BZ902" t="str">
        <f>""</f>
        <v/>
      </c>
      <c r="CA902" t="str">
        <f>""</f>
        <v/>
      </c>
      <c r="CB902" t="str">
        <f>""</f>
        <v/>
      </c>
      <c r="CC902" t="str">
        <f>""</f>
        <v/>
      </c>
      <c r="CD902" t="str">
        <f>""</f>
        <v/>
      </c>
      <c r="CE902" t="str">
        <f>""</f>
        <v/>
      </c>
      <c r="CF902" t="str">
        <f>""</f>
        <v/>
      </c>
      <c r="CG902" t="str">
        <f>""</f>
        <v/>
      </c>
      <c r="CH902" t="str">
        <f>""</f>
        <v/>
      </c>
      <c r="CI902" t="str">
        <f>""</f>
        <v/>
      </c>
      <c r="CJ902" t="str">
        <f>""</f>
        <v/>
      </c>
      <c r="CK902" t="str">
        <f>""</f>
        <v/>
      </c>
      <c r="CL902" t="str">
        <f>""</f>
        <v/>
      </c>
      <c r="CM902" t="str">
        <f>""</f>
        <v/>
      </c>
      <c r="CN902" t="str">
        <f>""</f>
        <v/>
      </c>
      <c r="CO902" t="str">
        <f>""</f>
        <v/>
      </c>
      <c r="CP902" t="str">
        <f>""</f>
        <v/>
      </c>
      <c r="CQ902" t="str">
        <f>""</f>
        <v/>
      </c>
      <c r="CR902" t="str">
        <f>""</f>
        <v/>
      </c>
      <c r="CS902" t="str">
        <f>""</f>
        <v/>
      </c>
      <c r="CT902" t="str">
        <f>""</f>
        <v/>
      </c>
      <c r="CU902" t="str">
        <f>""</f>
        <v/>
      </c>
      <c r="CV902" t="str">
        <f>""</f>
        <v/>
      </c>
      <c r="CW902" t="str">
        <f>""</f>
        <v/>
      </c>
      <c r="CX902" t="str">
        <f>""</f>
        <v/>
      </c>
      <c r="CY902" t="str">
        <f>""</f>
        <v/>
      </c>
      <c r="CZ902" t="str">
        <f>""</f>
        <v/>
      </c>
      <c r="DA902" t="str">
        <f>""</f>
        <v/>
      </c>
      <c r="DB902" t="str">
        <f>""</f>
        <v/>
      </c>
      <c r="DC902" t="str">
        <f>""</f>
        <v/>
      </c>
      <c r="DD902" t="str">
        <f>""</f>
        <v/>
      </c>
      <c r="DE902" t="str">
        <f>""</f>
        <v/>
      </c>
      <c r="DF902" t="str">
        <f>""</f>
        <v/>
      </c>
      <c r="DG902" t="str">
        <f>""</f>
        <v/>
      </c>
      <c r="DH902" t="str">
        <f>""</f>
        <v/>
      </c>
      <c r="DI902" t="str">
        <f>""</f>
        <v/>
      </c>
      <c r="DJ902" t="str">
        <f>""</f>
        <v/>
      </c>
      <c r="DK902" t="str">
        <f>""</f>
        <v/>
      </c>
      <c r="DL902" t="str">
        <f>""</f>
        <v/>
      </c>
      <c r="DM902" t="str">
        <f>""</f>
        <v/>
      </c>
      <c r="DN902" t="str">
        <f>""</f>
        <v/>
      </c>
      <c r="DO902" t="str">
        <f>""</f>
        <v/>
      </c>
      <c r="DP902" t="str">
        <f>""</f>
        <v/>
      </c>
      <c r="DQ902" t="str">
        <f>""</f>
        <v/>
      </c>
      <c r="DR902" t="str">
        <f>""</f>
        <v/>
      </c>
      <c r="DS902" t="str">
        <f>""</f>
        <v/>
      </c>
      <c r="DT902" t="str">
        <f>""</f>
        <v/>
      </c>
      <c r="DU902" t="str">
        <f>""</f>
        <v/>
      </c>
    </row>
    <row r="903" spans="1:125" x14ac:dyDescent="0.25">
      <c r="A903" t="str">
        <f>$A$234</f>
        <v xml:space="preserve">    Nissan Motor Co Ltd</v>
      </c>
      <c r="B903" t="str">
        <f>$B$234</f>
        <v>7201 JP Equity</v>
      </c>
      <c r="C903" t="str">
        <f>$C$234</f>
        <v>RR971</v>
      </c>
      <c r="D903" t="str">
        <f>$D$234</f>
        <v>CURRENT_PX_TO_FREE_CASH_FLOW</v>
      </c>
      <c r="E903" t="str">
        <f>$E$234</f>
        <v>Dynamic</v>
      </c>
      <c r="F903" t="str">
        <f ca="1">_xll.BDH($B$234,$C$234,$B$675,$B$676,CONCATENATE("Per=",$B$673),"Dts=H","Dir=H",CONCATENATE("Points=",$B$674),"Sort=R","Days=A","Fill=B",CONCATENATE("FX=", $B$672) )</f>
        <v>#N/A Connection</v>
      </c>
      <c r="BN903" t="str">
        <f>""</f>
        <v/>
      </c>
      <c r="BO903" t="str">
        <f>""</f>
        <v/>
      </c>
      <c r="BP903" t="str">
        <f>""</f>
        <v/>
      </c>
      <c r="BQ903" t="str">
        <f>""</f>
        <v/>
      </c>
      <c r="BR903" t="str">
        <f>""</f>
        <v/>
      </c>
      <c r="BS903" t="str">
        <f>""</f>
        <v/>
      </c>
      <c r="BT903" t="str">
        <f>""</f>
        <v/>
      </c>
      <c r="BU903" t="str">
        <f>""</f>
        <v/>
      </c>
      <c r="BV903" t="str">
        <f>""</f>
        <v/>
      </c>
      <c r="BW903" t="str">
        <f>""</f>
        <v/>
      </c>
      <c r="BX903" t="str">
        <f>""</f>
        <v/>
      </c>
      <c r="BY903" t="str">
        <f>""</f>
        <v/>
      </c>
      <c r="BZ903" t="str">
        <f>""</f>
        <v/>
      </c>
      <c r="CA903" t="str">
        <f>""</f>
        <v/>
      </c>
      <c r="CB903" t="str">
        <f>""</f>
        <v/>
      </c>
      <c r="CC903" t="str">
        <f>""</f>
        <v/>
      </c>
      <c r="CD903" t="str">
        <f>""</f>
        <v/>
      </c>
      <c r="CE903" t="str">
        <f>""</f>
        <v/>
      </c>
      <c r="CF903" t="str">
        <f>""</f>
        <v/>
      </c>
      <c r="CG903" t="str">
        <f>""</f>
        <v/>
      </c>
      <c r="CH903" t="str">
        <f>""</f>
        <v/>
      </c>
      <c r="CI903" t="str">
        <f>""</f>
        <v/>
      </c>
      <c r="CJ903" t="str">
        <f>""</f>
        <v/>
      </c>
      <c r="CK903" t="str">
        <f>""</f>
        <v/>
      </c>
      <c r="CL903" t="str">
        <f>""</f>
        <v/>
      </c>
      <c r="CM903" t="str">
        <f>""</f>
        <v/>
      </c>
      <c r="CN903" t="str">
        <f>""</f>
        <v/>
      </c>
      <c r="CO903" t="str">
        <f>""</f>
        <v/>
      </c>
      <c r="CP903" t="str">
        <f>""</f>
        <v/>
      </c>
      <c r="CQ903" t="str">
        <f>""</f>
        <v/>
      </c>
      <c r="CR903" t="str">
        <f>""</f>
        <v/>
      </c>
      <c r="CS903" t="str">
        <f>""</f>
        <v/>
      </c>
      <c r="CT903" t="str">
        <f>""</f>
        <v/>
      </c>
      <c r="CU903" t="str">
        <f>""</f>
        <v/>
      </c>
      <c r="CV903" t="str">
        <f>""</f>
        <v/>
      </c>
      <c r="CW903" t="str">
        <f>""</f>
        <v/>
      </c>
      <c r="CX903" t="str">
        <f>""</f>
        <v/>
      </c>
      <c r="CY903" t="str">
        <f>""</f>
        <v/>
      </c>
      <c r="CZ903" t="str">
        <f>""</f>
        <v/>
      </c>
      <c r="DA903" t="str">
        <f>""</f>
        <v/>
      </c>
      <c r="DB903" t="str">
        <f>""</f>
        <v/>
      </c>
      <c r="DC903" t="str">
        <f>""</f>
        <v/>
      </c>
      <c r="DD903" t="str">
        <f>""</f>
        <v/>
      </c>
      <c r="DE903" t="str">
        <f>""</f>
        <v/>
      </c>
      <c r="DF903" t="str">
        <f>""</f>
        <v/>
      </c>
      <c r="DG903" t="str">
        <f>""</f>
        <v/>
      </c>
      <c r="DH903" t="str">
        <f>""</f>
        <v/>
      </c>
      <c r="DI903" t="str">
        <f>""</f>
        <v/>
      </c>
      <c r="DJ903" t="str">
        <f>""</f>
        <v/>
      </c>
      <c r="DK903" t="str">
        <f>""</f>
        <v/>
      </c>
      <c r="DL903" t="str">
        <f>""</f>
        <v/>
      </c>
      <c r="DM903" t="str">
        <f>""</f>
        <v/>
      </c>
      <c r="DN903" t="str">
        <f>""</f>
        <v/>
      </c>
      <c r="DO903" t="str">
        <f>""</f>
        <v/>
      </c>
      <c r="DP903" t="str">
        <f>""</f>
        <v/>
      </c>
      <c r="DQ903" t="str">
        <f>""</f>
        <v/>
      </c>
      <c r="DR903" t="str">
        <f>""</f>
        <v/>
      </c>
      <c r="DS903" t="str">
        <f>""</f>
        <v/>
      </c>
      <c r="DT903" t="str">
        <f>""</f>
        <v/>
      </c>
      <c r="DU903" t="str">
        <f>""</f>
        <v/>
      </c>
    </row>
    <row r="904" spans="1:125" x14ac:dyDescent="0.25">
      <c r="A904" t="str">
        <f>$A$235</f>
        <v xml:space="preserve">    Peugeot SA</v>
      </c>
      <c r="B904" t="str">
        <f>$B$235</f>
        <v>UG FP Equity</v>
      </c>
      <c r="C904" t="str">
        <f>$C$235</f>
        <v>RR971</v>
      </c>
      <c r="D904" t="str">
        <f>$D$235</f>
        <v>CURRENT_PX_TO_FREE_CASH_FLOW</v>
      </c>
      <c r="E904" t="str">
        <f>$E$235</f>
        <v>Dynamic</v>
      </c>
      <c r="F904" t="str">
        <f ca="1">_xll.BDH($B$235,$C$235,$B$675,$B$676,CONCATENATE("Per=",$B$673),"Dts=H","Dir=H",CONCATENATE("Points=",$B$674),"Sort=R","Days=A","Fill=B",CONCATENATE("FX=", $B$672) )</f>
        <v>#N/A Connection</v>
      </c>
      <c r="BN904" t="str">
        <f>""</f>
        <v/>
      </c>
      <c r="BO904" t="str">
        <f>""</f>
        <v/>
      </c>
      <c r="BP904" t="str">
        <f>""</f>
        <v/>
      </c>
      <c r="BQ904" t="str">
        <f>""</f>
        <v/>
      </c>
      <c r="BR904" t="str">
        <f>""</f>
        <v/>
      </c>
      <c r="BS904" t="str">
        <f>""</f>
        <v/>
      </c>
      <c r="BT904" t="str">
        <f>""</f>
        <v/>
      </c>
      <c r="BU904" t="str">
        <f>""</f>
        <v/>
      </c>
      <c r="BV904" t="str">
        <f>""</f>
        <v/>
      </c>
      <c r="BW904" t="str">
        <f>""</f>
        <v/>
      </c>
      <c r="BX904" t="str">
        <f>""</f>
        <v/>
      </c>
      <c r="BY904" t="str">
        <f>""</f>
        <v/>
      </c>
      <c r="BZ904" t="str">
        <f>""</f>
        <v/>
      </c>
      <c r="CA904" t="str">
        <f>""</f>
        <v/>
      </c>
      <c r="CB904" t="str">
        <f>""</f>
        <v/>
      </c>
      <c r="CC904" t="str">
        <f>""</f>
        <v/>
      </c>
      <c r="CD904" t="str">
        <f>""</f>
        <v/>
      </c>
      <c r="CE904" t="str">
        <f>""</f>
        <v/>
      </c>
      <c r="CF904" t="str">
        <f>""</f>
        <v/>
      </c>
      <c r="CG904" t="str">
        <f>""</f>
        <v/>
      </c>
      <c r="CH904" t="str">
        <f>""</f>
        <v/>
      </c>
      <c r="CI904" t="str">
        <f>""</f>
        <v/>
      </c>
      <c r="CJ904" t="str">
        <f>""</f>
        <v/>
      </c>
      <c r="CK904" t="str">
        <f>""</f>
        <v/>
      </c>
      <c r="CL904" t="str">
        <f>""</f>
        <v/>
      </c>
      <c r="CM904" t="str">
        <f>""</f>
        <v/>
      </c>
      <c r="CN904" t="str">
        <f>""</f>
        <v/>
      </c>
      <c r="CO904" t="str">
        <f>""</f>
        <v/>
      </c>
      <c r="CP904" t="str">
        <f>""</f>
        <v/>
      </c>
      <c r="CQ904" t="str">
        <f>""</f>
        <v/>
      </c>
      <c r="CR904" t="str">
        <f>""</f>
        <v/>
      </c>
      <c r="CS904" t="str">
        <f>""</f>
        <v/>
      </c>
      <c r="CT904" t="str">
        <f>""</f>
        <v/>
      </c>
      <c r="CU904" t="str">
        <f>""</f>
        <v/>
      </c>
      <c r="CV904" t="str">
        <f>""</f>
        <v/>
      </c>
      <c r="CW904" t="str">
        <f>""</f>
        <v/>
      </c>
      <c r="CX904" t="str">
        <f>""</f>
        <v/>
      </c>
      <c r="CY904" t="str">
        <f>""</f>
        <v/>
      </c>
      <c r="CZ904" t="str">
        <f>""</f>
        <v/>
      </c>
      <c r="DA904" t="str">
        <f>""</f>
        <v/>
      </c>
      <c r="DB904" t="str">
        <f>""</f>
        <v/>
      </c>
      <c r="DC904" t="str">
        <f>""</f>
        <v/>
      </c>
      <c r="DD904" t="str">
        <f>""</f>
        <v/>
      </c>
      <c r="DE904" t="str">
        <f>""</f>
        <v/>
      </c>
      <c r="DF904" t="str">
        <f>""</f>
        <v/>
      </c>
      <c r="DG904" t="str">
        <f>""</f>
        <v/>
      </c>
      <c r="DH904" t="str">
        <f>""</f>
        <v/>
      </c>
      <c r="DI904" t="str">
        <f>""</f>
        <v/>
      </c>
      <c r="DJ904" t="str">
        <f>""</f>
        <v/>
      </c>
      <c r="DK904" t="str">
        <f>""</f>
        <v/>
      </c>
      <c r="DL904" t="str">
        <f>""</f>
        <v/>
      </c>
      <c r="DM904" t="str">
        <f>""</f>
        <v/>
      </c>
      <c r="DN904" t="str">
        <f>""</f>
        <v/>
      </c>
      <c r="DO904" t="str">
        <f>""</f>
        <v/>
      </c>
      <c r="DP904" t="str">
        <f>""</f>
        <v/>
      </c>
      <c r="DQ904" t="str">
        <f>""</f>
        <v/>
      </c>
      <c r="DR904" t="str">
        <f>""</f>
        <v/>
      </c>
      <c r="DS904" t="str">
        <f>""</f>
        <v/>
      </c>
      <c r="DT904" t="str">
        <f>""</f>
        <v/>
      </c>
      <c r="DU904" t="str">
        <f>""</f>
        <v/>
      </c>
    </row>
    <row r="905" spans="1:125" x14ac:dyDescent="0.25">
      <c r="A905" t="str">
        <f>$A$236</f>
        <v xml:space="preserve">    Renault SA</v>
      </c>
      <c r="B905" t="str">
        <f>$B$236</f>
        <v>RNO FP Equity</v>
      </c>
      <c r="C905" t="str">
        <f>$C$236</f>
        <v>RR971</v>
      </c>
      <c r="D905" t="str">
        <f>$D$236</f>
        <v>CURRENT_PX_TO_FREE_CASH_FLOW</v>
      </c>
      <c r="E905" t="str">
        <f>$E$236</f>
        <v>Dynamic</v>
      </c>
      <c r="F905" t="str">
        <f ca="1">_xll.BDH($B$236,$C$236,$B$675,$B$676,CONCATENATE("Per=",$B$673),"Dts=H","Dir=H",CONCATENATE("Points=",$B$674),"Sort=R","Days=A","Fill=B",CONCATENATE("FX=", $B$672) )</f>
        <v>#N/A Connection</v>
      </c>
      <c r="BN905" t="str">
        <f>""</f>
        <v/>
      </c>
      <c r="BO905" t="str">
        <f>""</f>
        <v/>
      </c>
      <c r="BP905" t="str">
        <f>""</f>
        <v/>
      </c>
      <c r="BQ905" t="str">
        <f>""</f>
        <v/>
      </c>
      <c r="BR905" t="str">
        <f>""</f>
        <v/>
      </c>
      <c r="BS905" t="str">
        <f>""</f>
        <v/>
      </c>
      <c r="BT905" t="str">
        <f>""</f>
        <v/>
      </c>
      <c r="BU905" t="str">
        <f>""</f>
        <v/>
      </c>
      <c r="BV905" t="str">
        <f>""</f>
        <v/>
      </c>
      <c r="BW905" t="str">
        <f>""</f>
        <v/>
      </c>
      <c r="BX905" t="str">
        <f>""</f>
        <v/>
      </c>
      <c r="BY905" t="str">
        <f>""</f>
        <v/>
      </c>
      <c r="BZ905" t="str">
        <f>""</f>
        <v/>
      </c>
      <c r="CA905" t="str">
        <f>""</f>
        <v/>
      </c>
      <c r="CB905" t="str">
        <f>""</f>
        <v/>
      </c>
      <c r="CC905" t="str">
        <f>""</f>
        <v/>
      </c>
      <c r="CD905" t="str">
        <f>""</f>
        <v/>
      </c>
      <c r="CE905" t="str">
        <f>""</f>
        <v/>
      </c>
      <c r="CF905" t="str">
        <f>""</f>
        <v/>
      </c>
      <c r="CG905" t="str">
        <f>""</f>
        <v/>
      </c>
      <c r="CH905" t="str">
        <f>""</f>
        <v/>
      </c>
      <c r="CI905" t="str">
        <f>""</f>
        <v/>
      </c>
      <c r="CJ905" t="str">
        <f>""</f>
        <v/>
      </c>
      <c r="CK905" t="str">
        <f>""</f>
        <v/>
      </c>
      <c r="CL905" t="str">
        <f>""</f>
        <v/>
      </c>
      <c r="CM905" t="str">
        <f>""</f>
        <v/>
      </c>
      <c r="CN905" t="str">
        <f>""</f>
        <v/>
      </c>
      <c r="CO905" t="str">
        <f>""</f>
        <v/>
      </c>
      <c r="CP905" t="str">
        <f>""</f>
        <v/>
      </c>
      <c r="CQ905" t="str">
        <f>""</f>
        <v/>
      </c>
      <c r="CR905" t="str">
        <f>""</f>
        <v/>
      </c>
      <c r="CS905" t="str">
        <f>""</f>
        <v/>
      </c>
      <c r="CT905" t="str">
        <f>""</f>
        <v/>
      </c>
      <c r="CU905" t="str">
        <f>""</f>
        <v/>
      </c>
      <c r="CV905" t="str">
        <f>""</f>
        <v/>
      </c>
      <c r="CW905" t="str">
        <f>""</f>
        <v/>
      </c>
      <c r="CX905" t="str">
        <f>""</f>
        <v/>
      </c>
      <c r="CY905" t="str">
        <f>""</f>
        <v/>
      </c>
      <c r="CZ905" t="str">
        <f>""</f>
        <v/>
      </c>
      <c r="DA905" t="str">
        <f>""</f>
        <v/>
      </c>
      <c r="DB905" t="str">
        <f>""</f>
        <v/>
      </c>
      <c r="DC905" t="str">
        <f>""</f>
        <v/>
      </c>
      <c r="DD905" t="str">
        <f>""</f>
        <v/>
      </c>
      <c r="DE905" t="str">
        <f>""</f>
        <v/>
      </c>
      <c r="DF905" t="str">
        <f>""</f>
        <v/>
      </c>
      <c r="DG905" t="str">
        <f>""</f>
        <v/>
      </c>
      <c r="DH905" t="str">
        <f>""</f>
        <v/>
      </c>
      <c r="DI905" t="str">
        <f>""</f>
        <v/>
      </c>
      <c r="DJ905" t="str">
        <f>""</f>
        <v/>
      </c>
      <c r="DK905" t="str">
        <f>""</f>
        <v/>
      </c>
      <c r="DL905" t="str">
        <f>""</f>
        <v/>
      </c>
      <c r="DM905" t="str">
        <f>""</f>
        <v/>
      </c>
      <c r="DN905" t="str">
        <f>""</f>
        <v/>
      </c>
      <c r="DO905" t="str">
        <f>""</f>
        <v/>
      </c>
      <c r="DP905" t="str">
        <f>""</f>
        <v/>
      </c>
      <c r="DQ905" t="str">
        <f>""</f>
        <v/>
      </c>
      <c r="DR905" t="str">
        <f>""</f>
        <v/>
      </c>
      <c r="DS905" t="str">
        <f>""</f>
        <v/>
      </c>
      <c r="DT905" t="str">
        <f>""</f>
        <v/>
      </c>
      <c r="DU905" t="str">
        <f>""</f>
        <v/>
      </c>
    </row>
    <row r="906" spans="1:125" x14ac:dyDescent="0.25">
      <c r="A906" t="str">
        <f>$A$237</f>
        <v xml:space="preserve">    SAIC Motor Corp Ltd</v>
      </c>
      <c r="B906" t="str">
        <f>$B$237</f>
        <v>600104 CH Equity</v>
      </c>
      <c r="C906" t="str">
        <f>$C$237</f>
        <v>RR971</v>
      </c>
      <c r="D906" t="str">
        <f>$D$237</f>
        <v>CURRENT_PX_TO_FREE_CASH_FLOW</v>
      </c>
      <c r="E906" t="str">
        <f>$E$237</f>
        <v>Dynamic</v>
      </c>
      <c r="F906" t="str">
        <f ca="1">_xll.BDH($B$237,$C$237,$B$675,$B$676,CONCATENATE("Per=",$B$673),"Dts=H","Dir=H",CONCATENATE("Points=",$B$674),"Sort=R","Days=A","Fill=B",CONCATENATE("FX=", $B$672) )</f>
        <v>#N/A Connection</v>
      </c>
      <c r="BN906" t="str">
        <f>""</f>
        <v/>
      </c>
      <c r="BO906" t="str">
        <f>""</f>
        <v/>
      </c>
      <c r="BP906" t="str">
        <f>""</f>
        <v/>
      </c>
      <c r="BQ906" t="str">
        <f>""</f>
        <v/>
      </c>
      <c r="BR906" t="str">
        <f>""</f>
        <v/>
      </c>
      <c r="BS906" t="str">
        <f>""</f>
        <v/>
      </c>
      <c r="BT906" t="str">
        <f>""</f>
        <v/>
      </c>
      <c r="BU906" t="str">
        <f>""</f>
        <v/>
      </c>
      <c r="BV906" t="str">
        <f>""</f>
        <v/>
      </c>
      <c r="BW906" t="str">
        <f>""</f>
        <v/>
      </c>
      <c r="BX906" t="str">
        <f>""</f>
        <v/>
      </c>
      <c r="BY906" t="str">
        <f>""</f>
        <v/>
      </c>
      <c r="BZ906" t="str">
        <f>""</f>
        <v/>
      </c>
      <c r="CA906" t="str">
        <f>""</f>
        <v/>
      </c>
      <c r="CB906" t="str">
        <f>""</f>
        <v/>
      </c>
      <c r="CC906" t="str">
        <f>""</f>
        <v/>
      </c>
      <c r="CD906" t="str">
        <f>""</f>
        <v/>
      </c>
      <c r="CE906" t="str">
        <f>""</f>
        <v/>
      </c>
      <c r="CF906" t="str">
        <f>""</f>
        <v/>
      </c>
      <c r="CG906" t="str">
        <f>""</f>
        <v/>
      </c>
      <c r="CH906" t="str">
        <f>""</f>
        <v/>
      </c>
      <c r="CI906" t="str">
        <f>""</f>
        <v/>
      </c>
      <c r="CJ906" t="str">
        <f>""</f>
        <v/>
      </c>
      <c r="CK906" t="str">
        <f>""</f>
        <v/>
      </c>
      <c r="CL906" t="str">
        <f>""</f>
        <v/>
      </c>
      <c r="CM906" t="str">
        <f>""</f>
        <v/>
      </c>
      <c r="CN906" t="str">
        <f>""</f>
        <v/>
      </c>
      <c r="CO906" t="str">
        <f>""</f>
        <v/>
      </c>
      <c r="CP906" t="str">
        <f>""</f>
        <v/>
      </c>
      <c r="CQ906" t="str">
        <f>""</f>
        <v/>
      </c>
      <c r="CR906" t="str">
        <f>""</f>
        <v/>
      </c>
      <c r="CS906" t="str">
        <f>""</f>
        <v/>
      </c>
      <c r="CT906" t="str">
        <f>""</f>
        <v/>
      </c>
      <c r="CU906" t="str">
        <f>""</f>
        <v/>
      </c>
      <c r="CV906" t="str">
        <f>""</f>
        <v/>
      </c>
      <c r="CW906" t="str">
        <f>""</f>
        <v/>
      </c>
      <c r="CX906" t="str">
        <f>""</f>
        <v/>
      </c>
      <c r="CY906" t="str">
        <f>""</f>
        <v/>
      </c>
      <c r="CZ906" t="str">
        <f>""</f>
        <v/>
      </c>
      <c r="DA906" t="str">
        <f>""</f>
        <v/>
      </c>
      <c r="DB906" t="str">
        <f>""</f>
        <v/>
      </c>
      <c r="DC906" t="str">
        <f>""</f>
        <v/>
      </c>
      <c r="DD906" t="str">
        <f>""</f>
        <v/>
      </c>
      <c r="DE906" t="str">
        <f>""</f>
        <v/>
      </c>
      <c r="DF906" t="str">
        <f>""</f>
        <v/>
      </c>
      <c r="DG906" t="str">
        <f>""</f>
        <v/>
      </c>
      <c r="DH906" t="str">
        <f>""</f>
        <v/>
      </c>
      <c r="DI906" t="str">
        <f>""</f>
        <v/>
      </c>
      <c r="DJ906" t="str">
        <f>""</f>
        <v/>
      </c>
      <c r="DK906" t="str">
        <f>""</f>
        <v/>
      </c>
      <c r="DL906" t="str">
        <f>""</f>
        <v/>
      </c>
      <c r="DM906" t="str">
        <f>""</f>
        <v/>
      </c>
      <c r="DN906" t="str">
        <f>""</f>
        <v/>
      </c>
      <c r="DO906" t="str">
        <f>""</f>
        <v/>
      </c>
      <c r="DP906" t="str">
        <f>""</f>
        <v/>
      </c>
      <c r="DQ906" t="str">
        <f>""</f>
        <v/>
      </c>
      <c r="DR906" t="str">
        <f>""</f>
        <v/>
      </c>
      <c r="DS906" t="str">
        <f>""</f>
        <v/>
      </c>
      <c r="DT906" t="str">
        <f>""</f>
        <v/>
      </c>
      <c r="DU906" t="str">
        <f>""</f>
        <v/>
      </c>
    </row>
    <row r="907" spans="1:125" x14ac:dyDescent="0.25">
      <c r="A907" t="str">
        <f>$A$238</f>
        <v xml:space="preserve">    Sanyang Motor Co Ltd</v>
      </c>
      <c r="B907" t="str">
        <f>$B$238</f>
        <v>2206 TT Equity</v>
      </c>
      <c r="C907" t="str">
        <f>$C$238</f>
        <v>RR971</v>
      </c>
      <c r="D907" t="str">
        <f>$D$238</f>
        <v>CURRENT_PX_TO_FREE_CASH_FLOW</v>
      </c>
      <c r="E907" t="str">
        <f>$E$238</f>
        <v>Dynamic</v>
      </c>
      <c r="F907" t="str">
        <f ca="1">_xll.BDH($B$238,$C$238,$B$675,$B$676,CONCATENATE("Per=",$B$673),"Dts=H","Dir=H",CONCATENATE("Points=",$B$674),"Sort=R","Days=A","Fill=B",CONCATENATE("FX=", $B$672) )</f>
        <v>#N/A Connection</v>
      </c>
      <c r="BN907" t="str">
        <f>""</f>
        <v/>
      </c>
      <c r="BO907" t="str">
        <f>""</f>
        <v/>
      </c>
      <c r="BP907" t="str">
        <f>""</f>
        <v/>
      </c>
      <c r="BQ907" t="str">
        <f>""</f>
        <v/>
      </c>
      <c r="BR907" t="str">
        <f>""</f>
        <v/>
      </c>
      <c r="BS907" t="str">
        <f>""</f>
        <v/>
      </c>
      <c r="BT907" t="str">
        <f>""</f>
        <v/>
      </c>
      <c r="BU907" t="str">
        <f>""</f>
        <v/>
      </c>
      <c r="BV907" t="str">
        <f>""</f>
        <v/>
      </c>
      <c r="BW907" t="str">
        <f>""</f>
        <v/>
      </c>
      <c r="BX907" t="str">
        <f>""</f>
        <v/>
      </c>
      <c r="BY907" t="str">
        <f>""</f>
        <v/>
      </c>
      <c r="BZ907" t="str">
        <f>""</f>
        <v/>
      </c>
      <c r="CA907" t="str">
        <f>""</f>
        <v/>
      </c>
      <c r="CB907" t="str">
        <f>""</f>
        <v/>
      </c>
      <c r="CC907" t="str">
        <f>""</f>
        <v/>
      </c>
      <c r="CD907" t="str">
        <f>""</f>
        <v/>
      </c>
      <c r="CE907" t="str">
        <f>""</f>
        <v/>
      </c>
      <c r="CF907" t="str">
        <f>""</f>
        <v/>
      </c>
      <c r="CG907" t="str">
        <f>""</f>
        <v/>
      </c>
      <c r="CH907" t="str">
        <f>""</f>
        <v/>
      </c>
      <c r="CI907" t="str">
        <f>""</f>
        <v/>
      </c>
      <c r="CJ907" t="str">
        <f>""</f>
        <v/>
      </c>
      <c r="CK907" t="str">
        <f>""</f>
        <v/>
      </c>
      <c r="CL907" t="str">
        <f>""</f>
        <v/>
      </c>
      <c r="CM907" t="str">
        <f>""</f>
        <v/>
      </c>
      <c r="CN907" t="str">
        <f>""</f>
        <v/>
      </c>
      <c r="CO907" t="str">
        <f>""</f>
        <v/>
      </c>
      <c r="CP907" t="str">
        <f>""</f>
        <v/>
      </c>
      <c r="CQ907" t="str">
        <f>""</f>
        <v/>
      </c>
      <c r="CR907" t="str">
        <f>""</f>
        <v/>
      </c>
      <c r="CS907" t="str">
        <f>""</f>
        <v/>
      </c>
      <c r="CT907" t="str">
        <f>""</f>
        <v/>
      </c>
      <c r="CU907" t="str">
        <f>""</f>
        <v/>
      </c>
      <c r="CV907" t="str">
        <f>""</f>
        <v/>
      </c>
      <c r="CW907" t="str">
        <f>""</f>
        <v/>
      </c>
      <c r="CX907" t="str">
        <f>""</f>
        <v/>
      </c>
      <c r="CY907" t="str">
        <f>""</f>
        <v/>
      </c>
      <c r="CZ907" t="str">
        <f>""</f>
        <v/>
      </c>
      <c r="DA907" t="str">
        <f>""</f>
        <v/>
      </c>
      <c r="DB907" t="str">
        <f>""</f>
        <v/>
      </c>
      <c r="DC907" t="str">
        <f>""</f>
        <v/>
      </c>
      <c r="DD907" t="str">
        <f>""</f>
        <v/>
      </c>
      <c r="DE907" t="str">
        <f>""</f>
        <v/>
      </c>
      <c r="DF907" t="str">
        <f>""</f>
        <v/>
      </c>
      <c r="DG907" t="str">
        <f>""</f>
        <v/>
      </c>
      <c r="DH907" t="str">
        <f>""</f>
        <v/>
      </c>
      <c r="DI907" t="str">
        <f>""</f>
        <v/>
      </c>
      <c r="DJ907" t="str">
        <f>""</f>
        <v/>
      </c>
      <c r="DK907" t="str">
        <f>""</f>
        <v/>
      </c>
      <c r="DL907" t="str">
        <f>""</f>
        <v/>
      </c>
      <c r="DM907" t="str">
        <f>""</f>
        <v/>
      </c>
      <c r="DN907" t="str">
        <f>""</f>
        <v/>
      </c>
      <c r="DO907" t="str">
        <f>""</f>
        <v/>
      </c>
      <c r="DP907" t="str">
        <f>""</f>
        <v/>
      </c>
      <c r="DQ907" t="str">
        <f>""</f>
        <v/>
      </c>
      <c r="DR907" t="str">
        <f>""</f>
        <v/>
      </c>
      <c r="DS907" t="str">
        <f>""</f>
        <v/>
      </c>
      <c r="DT907" t="str">
        <f>""</f>
        <v/>
      </c>
      <c r="DU907" t="str">
        <f>""</f>
        <v/>
      </c>
    </row>
    <row r="908" spans="1:125" x14ac:dyDescent="0.25">
      <c r="A908" t="str">
        <f>$A$239</f>
        <v xml:space="preserve">    Sollers PJSC</v>
      </c>
      <c r="B908" t="str">
        <f>$B$239</f>
        <v>SVAV RM Equity</v>
      </c>
      <c r="C908" t="str">
        <f>$C$239</f>
        <v>RR971</v>
      </c>
      <c r="D908" t="str">
        <f>$D$239</f>
        <v>CURRENT_PX_TO_FREE_CASH_FLOW</v>
      </c>
      <c r="E908" t="str">
        <f>$E$239</f>
        <v>Dynamic</v>
      </c>
      <c r="F908" t="str">
        <f ca="1">_xll.BDH($B$239,$C$239,$B$675,$B$676,CONCATENATE("Per=",$B$673),"Dts=H","Dir=H",CONCATENATE("Points=",$B$674),"Sort=R","Days=A","Fill=B",CONCATENATE("FX=", $B$672) )</f>
        <v>#N/A Connection</v>
      </c>
      <c r="BN908" t="str">
        <f>""</f>
        <v/>
      </c>
      <c r="BO908" t="str">
        <f>""</f>
        <v/>
      </c>
      <c r="BP908" t="str">
        <f>""</f>
        <v/>
      </c>
      <c r="BQ908" t="str">
        <f>""</f>
        <v/>
      </c>
      <c r="BR908" t="str">
        <f>""</f>
        <v/>
      </c>
      <c r="BS908" t="str">
        <f>""</f>
        <v/>
      </c>
      <c r="BT908" t="str">
        <f>""</f>
        <v/>
      </c>
      <c r="BU908" t="str">
        <f>""</f>
        <v/>
      </c>
      <c r="BV908" t="str">
        <f>""</f>
        <v/>
      </c>
      <c r="BW908" t="str">
        <f>""</f>
        <v/>
      </c>
      <c r="BX908" t="str">
        <f>""</f>
        <v/>
      </c>
      <c r="BY908" t="str">
        <f>""</f>
        <v/>
      </c>
      <c r="BZ908" t="str">
        <f>""</f>
        <v/>
      </c>
      <c r="CA908" t="str">
        <f>""</f>
        <v/>
      </c>
      <c r="CB908" t="str">
        <f>""</f>
        <v/>
      </c>
      <c r="CC908" t="str">
        <f>""</f>
        <v/>
      </c>
      <c r="CD908" t="str">
        <f>""</f>
        <v/>
      </c>
      <c r="CE908" t="str">
        <f>""</f>
        <v/>
      </c>
      <c r="CF908" t="str">
        <f>""</f>
        <v/>
      </c>
      <c r="CG908" t="str">
        <f>""</f>
        <v/>
      </c>
      <c r="CH908" t="str">
        <f>""</f>
        <v/>
      </c>
      <c r="CI908" t="str">
        <f>""</f>
        <v/>
      </c>
      <c r="CJ908" t="str">
        <f>""</f>
        <v/>
      </c>
      <c r="CK908" t="str">
        <f>""</f>
        <v/>
      </c>
      <c r="CL908" t="str">
        <f>""</f>
        <v/>
      </c>
      <c r="CM908" t="str">
        <f>""</f>
        <v/>
      </c>
      <c r="CN908" t="str">
        <f>""</f>
        <v/>
      </c>
      <c r="CO908" t="str">
        <f>""</f>
        <v/>
      </c>
      <c r="CP908" t="str">
        <f>""</f>
        <v/>
      </c>
      <c r="CQ908" t="str">
        <f>""</f>
        <v/>
      </c>
      <c r="CR908" t="str">
        <f>""</f>
        <v/>
      </c>
      <c r="CS908" t="str">
        <f>""</f>
        <v/>
      </c>
      <c r="CT908" t="str">
        <f>""</f>
        <v/>
      </c>
      <c r="CU908" t="str">
        <f>""</f>
        <v/>
      </c>
      <c r="CV908" t="str">
        <f>""</f>
        <v/>
      </c>
      <c r="CW908" t="str">
        <f>""</f>
        <v/>
      </c>
      <c r="CX908" t="str">
        <f>""</f>
        <v/>
      </c>
      <c r="CY908" t="str">
        <f>""</f>
        <v/>
      </c>
      <c r="CZ908" t="str">
        <f>""</f>
        <v/>
      </c>
      <c r="DA908" t="str">
        <f>""</f>
        <v/>
      </c>
      <c r="DB908" t="str">
        <f>""</f>
        <v/>
      </c>
      <c r="DC908" t="str">
        <f>""</f>
        <v/>
      </c>
      <c r="DD908" t="str">
        <f>""</f>
        <v/>
      </c>
      <c r="DE908" t="str">
        <f>""</f>
        <v/>
      </c>
      <c r="DF908" t="str">
        <f>""</f>
        <v/>
      </c>
      <c r="DG908" t="str">
        <f>""</f>
        <v/>
      </c>
      <c r="DH908" t="str">
        <f>""</f>
        <v/>
      </c>
      <c r="DI908" t="str">
        <f>""</f>
        <v/>
      </c>
      <c r="DJ908" t="str">
        <f>""</f>
        <v/>
      </c>
      <c r="DK908" t="str">
        <f>""</f>
        <v/>
      </c>
      <c r="DL908" t="str">
        <f>""</f>
        <v/>
      </c>
      <c r="DM908" t="str">
        <f>""</f>
        <v/>
      </c>
      <c r="DN908" t="str">
        <f>""</f>
        <v/>
      </c>
      <c r="DO908" t="str">
        <f>""</f>
        <v/>
      </c>
      <c r="DP908" t="str">
        <f>""</f>
        <v/>
      </c>
      <c r="DQ908" t="str">
        <f>""</f>
        <v/>
      </c>
      <c r="DR908" t="str">
        <f>""</f>
        <v/>
      </c>
      <c r="DS908" t="str">
        <f>""</f>
        <v/>
      </c>
      <c r="DT908" t="str">
        <f>""</f>
        <v/>
      </c>
      <c r="DU908" t="str">
        <f>""</f>
        <v/>
      </c>
    </row>
    <row r="909" spans="1:125" x14ac:dyDescent="0.25">
      <c r="A909" t="str">
        <f>$A$240</f>
        <v xml:space="preserve">    Ssangyong Motor Co</v>
      </c>
      <c r="B909" t="str">
        <f>$B$240</f>
        <v>003620 KS Equity</v>
      </c>
      <c r="C909" t="str">
        <f>$C$240</f>
        <v>RR971</v>
      </c>
      <c r="D909" t="str">
        <f>$D$240</f>
        <v>CURRENT_PX_TO_FREE_CASH_FLOW</v>
      </c>
      <c r="E909" t="str">
        <f>$E$240</f>
        <v>Dynamic</v>
      </c>
      <c r="F909" t="str">
        <f ca="1">_xll.BDH($B$240,$C$240,$B$675,$B$676,CONCATENATE("Per=",$B$673),"Dts=H","Dir=H",CONCATENATE("Points=",$B$674),"Sort=R","Days=A","Fill=B",CONCATENATE("FX=", $B$672) )</f>
        <v>#N/A Connection</v>
      </c>
      <c r="BN909" t="str">
        <f>""</f>
        <v/>
      </c>
      <c r="BO909" t="str">
        <f>""</f>
        <v/>
      </c>
      <c r="BP909" t="str">
        <f>""</f>
        <v/>
      </c>
      <c r="BQ909" t="str">
        <f>""</f>
        <v/>
      </c>
      <c r="BR909" t="str">
        <f>""</f>
        <v/>
      </c>
      <c r="BS909" t="str">
        <f>""</f>
        <v/>
      </c>
      <c r="BT909" t="str">
        <f>""</f>
        <v/>
      </c>
      <c r="BU909" t="str">
        <f>""</f>
        <v/>
      </c>
      <c r="BV909" t="str">
        <f>""</f>
        <v/>
      </c>
      <c r="BW909" t="str">
        <f>""</f>
        <v/>
      </c>
      <c r="BX909" t="str">
        <f>""</f>
        <v/>
      </c>
      <c r="BY909" t="str">
        <f>""</f>
        <v/>
      </c>
      <c r="BZ909" t="str">
        <f>""</f>
        <v/>
      </c>
      <c r="CA909" t="str">
        <f>""</f>
        <v/>
      </c>
      <c r="CB909" t="str">
        <f>""</f>
        <v/>
      </c>
      <c r="CC909" t="str">
        <f>""</f>
        <v/>
      </c>
      <c r="CD909" t="str">
        <f>""</f>
        <v/>
      </c>
      <c r="CE909" t="str">
        <f>""</f>
        <v/>
      </c>
      <c r="CF909" t="str">
        <f>""</f>
        <v/>
      </c>
      <c r="CG909" t="str">
        <f>""</f>
        <v/>
      </c>
      <c r="CH909" t="str">
        <f>""</f>
        <v/>
      </c>
      <c r="CI909" t="str">
        <f>""</f>
        <v/>
      </c>
      <c r="CJ909" t="str">
        <f>""</f>
        <v/>
      </c>
      <c r="CK909" t="str">
        <f>""</f>
        <v/>
      </c>
      <c r="CL909" t="str">
        <f>""</f>
        <v/>
      </c>
      <c r="CM909" t="str">
        <f>""</f>
        <v/>
      </c>
      <c r="CN909" t="str">
        <f>""</f>
        <v/>
      </c>
      <c r="CO909" t="str">
        <f>""</f>
        <v/>
      </c>
      <c r="CP909" t="str">
        <f>""</f>
        <v/>
      </c>
      <c r="CQ909" t="str">
        <f>""</f>
        <v/>
      </c>
      <c r="CR909" t="str">
        <f>""</f>
        <v/>
      </c>
      <c r="CS909" t="str">
        <f>""</f>
        <v/>
      </c>
      <c r="CT909" t="str">
        <f>""</f>
        <v/>
      </c>
      <c r="CU909" t="str">
        <f>""</f>
        <v/>
      </c>
      <c r="CV909" t="str">
        <f>""</f>
        <v/>
      </c>
      <c r="CW909" t="str">
        <f>""</f>
        <v/>
      </c>
      <c r="CX909" t="str">
        <f>""</f>
        <v/>
      </c>
      <c r="CY909" t="str">
        <f>""</f>
        <v/>
      </c>
      <c r="CZ909" t="str">
        <f>""</f>
        <v/>
      </c>
      <c r="DA909" t="str">
        <f>""</f>
        <v/>
      </c>
      <c r="DB909" t="str">
        <f>""</f>
        <v/>
      </c>
      <c r="DC909" t="str">
        <f>""</f>
        <v/>
      </c>
      <c r="DD909" t="str">
        <f>""</f>
        <v/>
      </c>
      <c r="DE909" t="str">
        <f>""</f>
        <v/>
      </c>
      <c r="DF909" t="str">
        <f>""</f>
        <v/>
      </c>
      <c r="DG909" t="str">
        <f>""</f>
        <v/>
      </c>
      <c r="DH909" t="str">
        <f>""</f>
        <v/>
      </c>
      <c r="DI909" t="str">
        <f>""</f>
        <v/>
      </c>
      <c r="DJ909" t="str">
        <f>""</f>
        <v/>
      </c>
      <c r="DK909" t="str">
        <f>""</f>
        <v/>
      </c>
      <c r="DL909" t="str">
        <f>""</f>
        <v/>
      </c>
      <c r="DM909" t="str">
        <f>""</f>
        <v/>
      </c>
      <c r="DN909" t="str">
        <f>""</f>
        <v/>
      </c>
      <c r="DO909" t="str">
        <f>""</f>
        <v/>
      </c>
      <c r="DP909" t="str">
        <f>""</f>
        <v/>
      </c>
      <c r="DQ909" t="str">
        <f>""</f>
        <v/>
      </c>
      <c r="DR909" t="str">
        <f>""</f>
        <v/>
      </c>
      <c r="DS909" t="str">
        <f>""</f>
        <v/>
      </c>
      <c r="DT909" t="str">
        <f>""</f>
        <v/>
      </c>
      <c r="DU909" t="str">
        <f>""</f>
        <v/>
      </c>
    </row>
    <row r="910" spans="1:125" x14ac:dyDescent="0.25">
      <c r="A910" t="str">
        <f>$A$241</f>
        <v xml:space="preserve">    Subaru Corp</v>
      </c>
      <c r="B910" t="str">
        <f>$B$241</f>
        <v>7270 JP Equity</v>
      </c>
      <c r="C910" t="str">
        <f>$C$241</f>
        <v>RR971</v>
      </c>
      <c r="D910" t="str">
        <f>$D$241</f>
        <v>CURRENT_PX_TO_FREE_CASH_FLOW</v>
      </c>
      <c r="E910" t="str">
        <f>$E$241</f>
        <v>Dynamic</v>
      </c>
      <c r="F910" t="str">
        <f ca="1">_xll.BDH($B$241,$C$241,$B$675,$B$676,CONCATENATE("Per=",$B$673),"Dts=H","Dir=H",CONCATENATE("Points=",$B$674),"Sort=R","Days=A","Fill=B",CONCATENATE("FX=", $B$672) )</f>
        <v>#N/A Connection</v>
      </c>
      <c r="BN910" t="str">
        <f>""</f>
        <v/>
      </c>
      <c r="BO910" t="str">
        <f>""</f>
        <v/>
      </c>
      <c r="BP910" t="str">
        <f>""</f>
        <v/>
      </c>
      <c r="BQ910" t="str">
        <f>""</f>
        <v/>
      </c>
      <c r="BR910" t="str">
        <f>""</f>
        <v/>
      </c>
      <c r="BS910" t="str">
        <f>""</f>
        <v/>
      </c>
      <c r="BT910" t="str">
        <f>""</f>
        <v/>
      </c>
      <c r="BU910" t="str">
        <f>""</f>
        <v/>
      </c>
      <c r="BV910" t="str">
        <f>""</f>
        <v/>
      </c>
      <c r="BW910" t="str">
        <f>""</f>
        <v/>
      </c>
      <c r="BX910" t="str">
        <f>""</f>
        <v/>
      </c>
      <c r="BY910" t="str">
        <f>""</f>
        <v/>
      </c>
      <c r="BZ910" t="str">
        <f>""</f>
        <v/>
      </c>
      <c r="CA910" t="str">
        <f>""</f>
        <v/>
      </c>
      <c r="CB910" t="str">
        <f>""</f>
        <v/>
      </c>
      <c r="CC910" t="str">
        <f>""</f>
        <v/>
      </c>
      <c r="CD910" t="str">
        <f>""</f>
        <v/>
      </c>
      <c r="CE910" t="str">
        <f>""</f>
        <v/>
      </c>
      <c r="CF910" t="str">
        <f>""</f>
        <v/>
      </c>
      <c r="CG910" t="str">
        <f>""</f>
        <v/>
      </c>
      <c r="CH910" t="str">
        <f>""</f>
        <v/>
      </c>
      <c r="CI910" t="str">
        <f>""</f>
        <v/>
      </c>
      <c r="CJ910" t="str">
        <f>""</f>
        <v/>
      </c>
      <c r="CK910" t="str">
        <f>""</f>
        <v/>
      </c>
      <c r="CL910" t="str">
        <f>""</f>
        <v/>
      </c>
      <c r="CM910" t="str">
        <f>""</f>
        <v/>
      </c>
      <c r="CN910" t="str">
        <f>""</f>
        <v/>
      </c>
      <c r="CO910" t="str">
        <f>""</f>
        <v/>
      </c>
      <c r="CP910" t="str">
        <f>""</f>
        <v/>
      </c>
      <c r="CQ910" t="str">
        <f>""</f>
        <v/>
      </c>
      <c r="CR910" t="str">
        <f>""</f>
        <v/>
      </c>
      <c r="CS910" t="str">
        <f>""</f>
        <v/>
      </c>
      <c r="CT910" t="str">
        <f>""</f>
        <v/>
      </c>
      <c r="CU910" t="str">
        <f>""</f>
        <v/>
      </c>
      <c r="CV910" t="str">
        <f>""</f>
        <v/>
      </c>
      <c r="CW910" t="str">
        <f>""</f>
        <v/>
      </c>
      <c r="CX910" t="str">
        <f>""</f>
        <v/>
      </c>
      <c r="CY910" t="str">
        <f>""</f>
        <v/>
      </c>
      <c r="CZ910" t="str">
        <f>""</f>
        <v/>
      </c>
      <c r="DA910" t="str">
        <f>""</f>
        <v/>
      </c>
      <c r="DB910" t="str">
        <f>""</f>
        <v/>
      </c>
      <c r="DC910" t="str">
        <f>""</f>
        <v/>
      </c>
      <c r="DD910" t="str">
        <f>""</f>
        <v/>
      </c>
      <c r="DE910" t="str">
        <f>""</f>
        <v/>
      </c>
      <c r="DF910" t="str">
        <f>""</f>
        <v/>
      </c>
      <c r="DG910" t="str">
        <f>""</f>
        <v/>
      </c>
      <c r="DH910" t="str">
        <f>""</f>
        <v/>
      </c>
      <c r="DI910" t="str">
        <f>""</f>
        <v/>
      </c>
      <c r="DJ910" t="str">
        <f>""</f>
        <v/>
      </c>
      <c r="DK910" t="str">
        <f>""</f>
        <v/>
      </c>
      <c r="DL910" t="str">
        <f>""</f>
        <v/>
      </c>
      <c r="DM910" t="str">
        <f>""</f>
        <v/>
      </c>
      <c r="DN910" t="str">
        <f>""</f>
        <v/>
      </c>
      <c r="DO910" t="str">
        <f>""</f>
        <v/>
      </c>
      <c r="DP910" t="str">
        <f>""</f>
        <v/>
      </c>
      <c r="DQ910" t="str">
        <f>""</f>
        <v/>
      </c>
      <c r="DR910" t="str">
        <f>""</f>
        <v/>
      </c>
      <c r="DS910" t="str">
        <f>""</f>
        <v/>
      </c>
      <c r="DT910" t="str">
        <f>""</f>
        <v/>
      </c>
      <c r="DU910" t="str">
        <f>""</f>
        <v/>
      </c>
    </row>
    <row r="911" spans="1:125" x14ac:dyDescent="0.25">
      <c r="A911" t="str">
        <f>$A$242</f>
        <v xml:space="preserve">    Suzuki Motor Corp</v>
      </c>
      <c r="B911" t="str">
        <f>$B$242</f>
        <v>7269 JP Equity</v>
      </c>
      <c r="C911" t="str">
        <f>$C$242</f>
        <v>RR971</v>
      </c>
      <c r="D911" t="str">
        <f>$D$242</f>
        <v>CURRENT_PX_TO_FREE_CASH_FLOW</v>
      </c>
      <c r="E911" t="str">
        <f>$E$242</f>
        <v>Dynamic</v>
      </c>
      <c r="F911" t="str">
        <f ca="1">_xll.BDH($B$242,$C$242,$B$675,$B$676,CONCATENATE("Per=",$B$673),"Dts=H","Dir=H",CONCATENATE("Points=",$B$674),"Sort=R","Days=A","Fill=B",CONCATENATE("FX=", $B$672) )</f>
        <v>#N/A Connection</v>
      </c>
      <c r="BN911" t="str">
        <f>""</f>
        <v/>
      </c>
      <c r="BO911" t="str">
        <f>""</f>
        <v/>
      </c>
      <c r="BP911" t="str">
        <f>""</f>
        <v/>
      </c>
      <c r="BQ911" t="str">
        <f>""</f>
        <v/>
      </c>
      <c r="BR911" t="str">
        <f>""</f>
        <v/>
      </c>
      <c r="BS911" t="str">
        <f>""</f>
        <v/>
      </c>
      <c r="BT911" t="str">
        <f>""</f>
        <v/>
      </c>
      <c r="BU911" t="str">
        <f>""</f>
        <v/>
      </c>
      <c r="BV911" t="str">
        <f>""</f>
        <v/>
      </c>
      <c r="BW911" t="str">
        <f>""</f>
        <v/>
      </c>
      <c r="BX911" t="str">
        <f>""</f>
        <v/>
      </c>
      <c r="BY911" t="str">
        <f>""</f>
        <v/>
      </c>
      <c r="BZ911" t="str">
        <f>""</f>
        <v/>
      </c>
      <c r="CA911" t="str">
        <f>""</f>
        <v/>
      </c>
      <c r="CB911" t="str">
        <f>""</f>
        <v/>
      </c>
      <c r="CC911" t="str">
        <f>""</f>
        <v/>
      </c>
      <c r="CD911" t="str">
        <f>""</f>
        <v/>
      </c>
      <c r="CE911" t="str">
        <f>""</f>
        <v/>
      </c>
      <c r="CF911" t="str">
        <f>""</f>
        <v/>
      </c>
      <c r="CG911" t="str">
        <f>""</f>
        <v/>
      </c>
      <c r="CH911" t="str">
        <f>""</f>
        <v/>
      </c>
      <c r="CI911" t="str">
        <f>""</f>
        <v/>
      </c>
      <c r="CJ911" t="str">
        <f>""</f>
        <v/>
      </c>
      <c r="CK911" t="str">
        <f>""</f>
        <v/>
      </c>
      <c r="CL911" t="str">
        <f>""</f>
        <v/>
      </c>
      <c r="CM911" t="str">
        <f>""</f>
        <v/>
      </c>
      <c r="CN911" t="str">
        <f>""</f>
        <v/>
      </c>
      <c r="CO911" t="str">
        <f>""</f>
        <v/>
      </c>
      <c r="CP911" t="str">
        <f>""</f>
        <v/>
      </c>
      <c r="CQ911" t="str">
        <f>""</f>
        <v/>
      </c>
      <c r="CR911" t="str">
        <f>""</f>
        <v/>
      </c>
      <c r="CS911" t="str">
        <f>""</f>
        <v/>
      </c>
      <c r="CT911" t="str">
        <f>""</f>
        <v/>
      </c>
      <c r="CU911" t="str">
        <f>""</f>
        <v/>
      </c>
      <c r="CV911" t="str">
        <f>""</f>
        <v/>
      </c>
      <c r="CW911" t="str">
        <f>""</f>
        <v/>
      </c>
      <c r="CX911" t="str">
        <f>""</f>
        <v/>
      </c>
      <c r="CY911" t="str">
        <f>""</f>
        <v/>
      </c>
      <c r="CZ911" t="str">
        <f>""</f>
        <v/>
      </c>
      <c r="DA911" t="str">
        <f>""</f>
        <v/>
      </c>
      <c r="DB911" t="str">
        <f>""</f>
        <v/>
      </c>
      <c r="DC911" t="str">
        <f>""</f>
        <v/>
      </c>
      <c r="DD911" t="str">
        <f>""</f>
        <v/>
      </c>
      <c r="DE911" t="str">
        <f>""</f>
        <v/>
      </c>
      <c r="DF911" t="str">
        <f>""</f>
        <v/>
      </c>
      <c r="DG911" t="str">
        <f>""</f>
        <v/>
      </c>
      <c r="DH911" t="str">
        <f>""</f>
        <v/>
      </c>
      <c r="DI911" t="str">
        <f>""</f>
        <v/>
      </c>
      <c r="DJ911" t="str">
        <f>""</f>
        <v/>
      </c>
      <c r="DK911" t="str">
        <f>""</f>
        <v/>
      </c>
      <c r="DL911" t="str">
        <f>""</f>
        <v/>
      </c>
      <c r="DM911" t="str">
        <f>""</f>
        <v/>
      </c>
      <c r="DN911" t="str">
        <f>""</f>
        <v/>
      </c>
      <c r="DO911" t="str">
        <f>""</f>
        <v/>
      </c>
      <c r="DP911" t="str">
        <f>""</f>
        <v/>
      </c>
      <c r="DQ911" t="str">
        <f>""</f>
        <v/>
      </c>
      <c r="DR911" t="str">
        <f>""</f>
        <v/>
      </c>
      <c r="DS911" t="str">
        <f>""</f>
        <v/>
      </c>
      <c r="DT911" t="str">
        <f>""</f>
        <v/>
      </c>
      <c r="DU911" t="str">
        <f>""</f>
        <v/>
      </c>
    </row>
    <row r="912" spans="1:125" x14ac:dyDescent="0.25">
      <c r="A912" t="str">
        <f>$A$243</f>
        <v xml:space="preserve">    Tata Motors Ltd</v>
      </c>
      <c r="B912" t="str">
        <f>$B$243</f>
        <v>TTMT IN Equity</v>
      </c>
      <c r="C912" t="str">
        <f>$C$243</f>
        <v>RR971</v>
      </c>
      <c r="D912" t="str">
        <f>$D$243</f>
        <v>CURRENT_PX_TO_FREE_CASH_FLOW</v>
      </c>
      <c r="E912" t="str">
        <f>$E$243</f>
        <v>Dynamic</v>
      </c>
      <c r="F912" t="str">
        <f ca="1">_xll.BDH($B$243,$C$243,$B$675,$B$676,CONCATENATE("Per=",$B$673),"Dts=H","Dir=H",CONCATENATE("Points=",$B$674),"Sort=R","Days=A","Fill=B",CONCATENATE("FX=", $B$672) )</f>
        <v>#N/A Connection</v>
      </c>
      <c r="BN912" t="str">
        <f>""</f>
        <v/>
      </c>
      <c r="BO912" t="str">
        <f>""</f>
        <v/>
      </c>
      <c r="BP912" t="str">
        <f>""</f>
        <v/>
      </c>
      <c r="BQ912" t="str">
        <f>""</f>
        <v/>
      </c>
      <c r="BR912" t="str">
        <f>""</f>
        <v/>
      </c>
      <c r="BS912" t="str">
        <f>""</f>
        <v/>
      </c>
      <c r="BT912" t="str">
        <f>""</f>
        <v/>
      </c>
      <c r="BU912" t="str">
        <f>""</f>
        <v/>
      </c>
      <c r="BV912" t="str">
        <f>""</f>
        <v/>
      </c>
      <c r="BW912" t="str">
        <f>""</f>
        <v/>
      </c>
      <c r="BX912" t="str">
        <f>""</f>
        <v/>
      </c>
      <c r="BY912" t="str">
        <f>""</f>
        <v/>
      </c>
      <c r="BZ912" t="str">
        <f>""</f>
        <v/>
      </c>
      <c r="CA912" t="str">
        <f>""</f>
        <v/>
      </c>
      <c r="CB912" t="str">
        <f>""</f>
        <v/>
      </c>
      <c r="CC912" t="str">
        <f>""</f>
        <v/>
      </c>
      <c r="CD912" t="str">
        <f>""</f>
        <v/>
      </c>
      <c r="CE912" t="str">
        <f>""</f>
        <v/>
      </c>
      <c r="CF912" t="str">
        <f>""</f>
        <v/>
      </c>
      <c r="CG912" t="str">
        <f>""</f>
        <v/>
      </c>
      <c r="CH912" t="str">
        <f>""</f>
        <v/>
      </c>
      <c r="CI912" t="str">
        <f>""</f>
        <v/>
      </c>
      <c r="CJ912" t="str">
        <f>""</f>
        <v/>
      </c>
      <c r="CK912" t="str">
        <f>""</f>
        <v/>
      </c>
      <c r="CL912" t="str">
        <f>""</f>
        <v/>
      </c>
      <c r="CM912" t="str">
        <f>""</f>
        <v/>
      </c>
      <c r="CN912" t="str">
        <f>""</f>
        <v/>
      </c>
      <c r="CO912" t="str">
        <f>""</f>
        <v/>
      </c>
      <c r="CP912" t="str">
        <f>""</f>
        <v/>
      </c>
      <c r="CQ912" t="str">
        <f>""</f>
        <v/>
      </c>
      <c r="CR912" t="str">
        <f>""</f>
        <v/>
      </c>
      <c r="CS912" t="str">
        <f>""</f>
        <v/>
      </c>
      <c r="CT912" t="str">
        <f>""</f>
        <v/>
      </c>
      <c r="CU912" t="str">
        <f>""</f>
        <v/>
      </c>
      <c r="CV912" t="str">
        <f>""</f>
        <v/>
      </c>
      <c r="CW912" t="str">
        <f>""</f>
        <v/>
      </c>
      <c r="CX912" t="str">
        <f>""</f>
        <v/>
      </c>
      <c r="CY912" t="str">
        <f>""</f>
        <v/>
      </c>
      <c r="CZ912" t="str">
        <f>""</f>
        <v/>
      </c>
      <c r="DA912" t="str">
        <f>""</f>
        <v/>
      </c>
      <c r="DB912" t="str">
        <f>""</f>
        <v/>
      </c>
      <c r="DC912" t="str">
        <f>""</f>
        <v/>
      </c>
      <c r="DD912" t="str">
        <f>""</f>
        <v/>
      </c>
      <c r="DE912" t="str">
        <f>""</f>
        <v/>
      </c>
      <c r="DF912" t="str">
        <f>""</f>
        <v/>
      </c>
      <c r="DG912" t="str">
        <f>""</f>
        <v/>
      </c>
      <c r="DH912" t="str">
        <f>""</f>
        <v/>
      </c>
      <c r="DI912" t="str">
        <f>""</f>
        <v/>
      </c>
      <c r="DJ912" t="str">
        <f>""</f>
        <v/>
      </c>
      <c r="DK912" t="str">
        <f>""</f>
        <v/>
      </c>
      <c r="DL912" t="str">
        <f>""</f>
        <v/>
      </c>
      <c r="DM912" t="str">
        <f>""</f>
        <v/>
      </c>
      <c r="DN912" t="str">
        <f>""</f>
        <v/>
      </c>
      <c r="DO912" t="str">
        <f>""</f>
        <v/>
      </c>
      <c r="DP912" t="str">
        <f>""</f>
        <v/>
      </c>
      <c r="DQ912" t="str">
        <f>""</f>
        <v/>
      </c>
      <c r="DR912" t="str">
        <f>""</f>
        <v/>
      </c>
      <c r="DS912" t="str">
        <f>""</f>
        <v/>
      </c>
      <c r="DT912" t="str">
        <f>""</f>
        <v/>
      </c>
      <c r="DU912" t="str">
        <f>""</f>
        <v/>
      </c>
    </row>
    <row r="913" spans="1:125" x14ac:dyDescent="0.25">
      <c r="A913" t="str">
        <f>$A$244</f>
        <v xml:space="preserve">    Tesla Inc</v>
      </c>
      <c r="B913" t="str">
        <f>$B$244</f>
        <v>TSLA US Equity</v>
      </c>
      <c r="C913" t="str">
        <f>$C$244</f>
        <v>RR971</v>
      </c>
      <c r="D913" t="str">
        <f>$D$244</f>
        <v>CURRENT_PX_TO_FREE_CASH_FLOW</v>
      </c>
      <c r="E913" t="str">
        <f>$E$244</f>
        <v>Dynamic</v>
      </c>
      <c r="F913" t="str">
        <f ca="1">_xll.BDH($B$244,$C$244,$B$675,$B$676,CONCATENATE("Per=",$B$673),"Dts=H","Dir=H",CONCATENATE("Points=",$B$674),"Sort=R","Days=A","Fill=B",CONCATENATE("FX=", $B$672) )</f>
        <v>#N/A Connection</v>
      </c>
      <c r="BN913" t="str">
        <f>""</f>
        <v/>
      </c>
      <c r="BO913" t="str">
        <f>""</f>
        <v/>
      </c>
      <c r="BP913" t="str">
        <f>""</f>
        <v/>
      </c>
      <c r="BQ913" t="str">
        <f>""</f>
        <v/>
      </c>
      <c r="BR913" t="str">
        <f>""</f>
        <v/>
      </c>
      <c r="BS913" t="str">
        <f>""</f>
        <v/>
      </c>
      <c r="BT913" t="str">
        <f>""</f>
        <v/>
      </c>
      <c r="BU913" t="str">
        <f>""</f>
        <v/>
      </c>
      <c r="BV913" t="str">
        <f>""</f>
        <v/>
      </c>
      <c r="BW913" t="str">
        <f>""</f>
        <v/>
      </c>
      <c r="BX913" t="str">
        <f>""</f>
        <v/>
      </c>
      <c r="BY913" t="str">
        <f>""</f>
        <v/>
      </c>
      <c r="BZ913" t="str">
        <f>""</f>
        <v/>
      </c>
      <c r="CA913" t="str">
        <f>""</f>
        <v/>
      </c>
      <c r="CB913" t="str">
        <f>""</f>
        <v/>
      </c>
      <c r="CC913" t="str">
        <f>""</f>
        <v/>
      </c>
      <c r="CD913" t="str">
        <f>""</f>
        <v/>
      </c>
      <c r="CE913" t="str">
        <f>""</f>
        <v/>
      </c>
      <c r="CF913" t="str">
        <f>""</f>
        <v/>
      </c>
      <c r="CG913" t="str">
        <f>""</f>
        <v/>
      </c>
      <c r="CH913" t="str">
        <f>""</f>
        <v/>
      </c>
      <c r="CI913" t="str">
        <f>""</f>
        <v/>
      </c>
      <c r="CJ913" t="str">
        <f>""</f>
        <v/>
      </c>
      <c r="CK913" t="str">
        <f>""</f>
        <v/>
      </c>
      <c r="CL913" t="str">
        <f>""</f>
        <v/>
      </c>
      <c r="CM913" t="str">
        <f>""</f>
        <v/>
      </c>
      <c r="CN913" t="str">
        <f>""</f>
        <v/>
      </c>
      <c r="CO913" t="str">
        <f>""</f>
        <v/>
      </c>
      <c r="CP913" t="str">
        <f>""</f>
        <v/>
      </c>
      <c r="CQ913" t="str">
        <f>""</f>
        <v/>
      </c>
      <c r="CR913" t="str">
        <f>""</f>
        <v/>
      </c>
      <c r="CS913" t="str">
        <f>""</f>
        <v/>
      </c>
      <c r="CT913" t="str">
        <f>""</f>
        <v/>
      </c>
      <c r="CU913" t="str">
        <f>""</f>
        <v/>
      </c>
      <c r="CV913" t="str">
        <f>""</f>
        <v/>
      </c>
      <c r="CW913" t="str">
        <f>""</f>
        <v/>
      </c>
      <c r="CX913" t="str">
        <f>""</f>
        <v/>
      </c>
      <c r="CY913" t="str">
        <f>""</f>
        <v/>
      </c>
      <c r="CZ913" t="str">
        <f>""</f>
        <v/>
      </c>
      <c r="DA913" t="str">
        <f>""</f>
        <v/>
      </c>
      <c r="DB913" t="str">
        <f>""</f>
        <v/>
      </c>
      <c r="DC913" t="str">
        <f>""</f>
        <v/>
      </c>
      <c r="DD913" t="str">
        <f>""</f>
        <v/>
      </c>
      <c r="DE913" t="str">
        <f>""</f>
        <v/>
      </c>
      <c r="DF913" t="str">
        <f>""</f>
        <v/>
      </c>
      <c r="DG913" t="str">
        <f>""</f>
        <v/>
      </c>
      <c r="DH913" t="str">
        <f>""</f>
        <v/>
      </c>
      <c r="DI913" t="str">
        <f>""</f>
        <v/>
      </c>
      <c r="DJ913" t="str">
        <f>""</f>
        <v/>
      </c>
      <c r="DK913" t="str">
        <f>""</f>
        <v/>
      </c>
      <c r="DL913" t="str">
        <f>""</f>
        <v/>
      </c>
      <c r="DM913" t="str">
        <f>""</f>
        <v/>
      </c>
      <c r="DN913" t="str">
        <f>""</f>
        <v/>
      </c>
      <c r="DO913" t="str">
        <f>""</f>
        <v/>
      </c>
      <c r="DP913" t="str">
        <f>""</f>
        <v/>
      </c>
      <c r="DQ913" t="str">
        <f>""</f>
        <v/>
      </c>
      <c r="DR913" t="str">
        <f>""</f>
        <v/>
      </c>
      <c r="DS913" t="str">
        <f>""</f>
        <v/>
      </c>
      <c r="DT913" t="str">
        <f>""</f>
        <v/>
      </c>
      <c r="DU913" t="str">
        <f>""</f>
        <v/>
      </c>
    </row>
    <row r="914" spans="1:125" x14ac:dyDescent="0.25">
      <c r="A914" t="str">
        <f>$A$245</f>
        <v xml:space="preserve">    Tianjin Faw Xiali Automobile Co Ltd</v>
      </c>
      <c r="B914" t="str">
        <f>$B$245</f>
        <v>000927 CH Equity</v>
      </c>
      <c r="C914" t="str">
        <f>$C$245</f>
        <v>RR971</v>
      </c>
      <c r="D914" t="str">
        <f>$D$245</f>
        <v>CURRENT_PX_TO_FREE_CASH_FLOW</v>
      </c>
      <c r="E914" t="str">
        <f>$E$245</f>
        <v>Dynamic</v>
      </c>
      <c r="F914" t="str">
        <f ca="1">_xll.BDH($B$245,$C$245,$B$675,$B$676,CONCATENATE("Per=",$B$673),"Dts=H","Dir=H",CONCATENATE("Points=",$B$674),"Sort=R","Days=A","Fill=B",CONCATENATE("FX=", $B$672) )</f>
        <v>#N/A Connection</v>
      </c>
      <c r="BN914" t="str">
        <f>""</f>
        <v/>
      </c>
      <c r="BO914" t="str">
        <f>""</f>
        <v/>
      </c>
      <c r="BP914" t="str">
        <f>""</f>
        <v/>
      </c>
      <c r="BQ914" t="str">
        <f>""</f>
        <v/>
      </c>
      <c r="BR914" t="str">
        <f>""</f>
        <v/>
      </c>
      <c r="BS914" t="str">
        <f>""</f>
        <v/>
      </c>
      <c r="BT914" t="str">
        <f>""</f>
        <v/>
      </c>
      <c r="BU914" t="str">
        <f>""</f>
        <v/>
      </c>
      <c r="BV914" t="str">
        <f>""</f>
        <v/>
      </c>
      <c r="BW914" t="str">
        <f>""</f>
        <v/>
      </c>
      <c r="BX914" t="str">
        <f>""</f>
        <v/>
      </c>
      <c r="BY914" t="str">
        <f>""</f>
        <v/>
      </c>
      <c r="BZ914" t="str">
        <f>""</f>
        <v/>
      </c>
      <c r="CA914" t="str">
        <f>""</f>
        <v/>
      </c>
      <c r="CB914" t="str">
        <f>""</f>
        <v/>
      </c>
      <c r="CC914" t="str">
        <f>""</f>
        <v/>
      </c>
      <c r="CD914" t="str">
        <f>""</f>
        <v/>
      </c>
      <c r="CE914" t="str">
        <f>""</f>
        <v/>
      </c>
      <c r="CF914" t="str">
        <f>""</f>
        <v/>
      </c>
      <c r="CG914" t="str">
        <f>""</f>
        <v/>
      </c>
      <c r="CH914" t="str">
        <f>""</f>
        <v/>
      </c>
      <c r="CI914" t="str">
        <f>""</f>
        <v/>
      </c>
      <c r="CJ914" t="str">
        <f>""</f>
        <v/>
      </c>
      <c r="CK914" t="str">
        <f>""</f>
        <v/>
      </c>
      <c r="CL914" t="str">
        <f>""</f>
        <v/>
      </c>
      <c r="CM914" t="str">
        <f>""</f>
        <v/>
      </c>
      <c r="CN914" t="str">
        <f>""</f>
        <v/>
      </c>
      <c r="CO914" t="str">
        <f>""</f>
        <v/>
      </c>
      <c r="CP914" t="str">
        <f>""</f>
        <v/>
      </c>
      <c r="CQ914" t="str">
        <f>""</f>
        <v/>
      </c>
      <c r="CR914" t="str">
        <f>""</f>
        <v/>
      </c>
      <c r="CS914" t="str">
        <f>""</f>
        <v/>
      </c>
      <c r="CT914" t="str">
        <f>""</f>
        <v/>
      </c>
      <c r="CU914" t="str">
        <f>""</f>
        <v/>
      </c>
      <c r="CV914" t="str">
        <f>""</f>
        <v/>
      </c>
      <c r="CW914" t="str">
        <f>""</f>
        <v/>
      </c>
      <c r="CX914" t="str">
        <f>""</f>
        <v/>
      </c>
      <c r="CY914" t="str">
        <f>""</f>
        <v/>
      </c>
      <c r="CZ914" t="str">
        <f>""</f>
        <v/>
      </c>
      <c r="DA914" t="str">
        <f>""</f>
        <v/>
      </c>
      <c r="DB914" t="str">
        <f>""</f>
        <v/>
      </c>
      <c r="DC914" t="str">
        <f>""</f>
        <v/>
      </c>
      <c r="DD914" t="str">
        <f>""</f>
        <v/>
      </c>
      <c r="DE914" t="str">
        <f>""</f>
        <v/>
      </c>
      <c r="DF914" t="str">
        <f>""</f>
        <v/>
      </c>
      <c r="DG914" t="str">
        <f>""</f>
        <v/>
      </c>
      <c r="DH914" t="str">
        <f>""</f>
        <v/>
      </c>
      <c r="DI914" t="str">
        <f>""</f>
        <v/>
      </c>
      <c r="DJ914" t="str">
        <f>""</f>
        <v/>
      </c>
      <c r="DK914" t="str">
        <f>""</f>
        <v/>
      </c>
      <c r="DL914" t="str">
        <f>""</f>
        <v/>
      </c>
      <c r="DM914" t="str">
        <f>""</f>
        <v/>
      </c>
      <c r="DN914" t="str">
        <f>""</f>
        <v/>
      </c>
      <c r="DO914" t="str">
        <f>""</f>
        <v/>
      </c>
      <c r="DP914" t="str">
        <f>""</f>
        <v/>
      </c>
      <c r="DQ914" t="str">
        <f>""</f>
        <v/>
      </c>
      <c r="DR914" t="str">
        <f>""</f>
        <v/>
      </c>
      <c r="DS914" t="str">
        <f>""</f>
        <v/>
      </c>
      <c r="DT914" t="str">
        <f>""</f>
        <v/>
      </c>
      <c r="DU914" t="str">
        <f>""</f>
        <v/>
      </c>
    </row>
    <row r="915" spans="1:125" x14ac:dyDescent="0.25">
      <c r="A915" t="str">
        <f>$A$246</f>
        <v xml:space="preserve">    Tofas Turk Otomobil Fabrikasi AS</v>
      </c>
      <c r="B915" t="str">
        <f>$B$246</f>
        <v>TOASOTRY EO Equity</v>
      </c>
      <c r="C915" t="str">
        <f>$C$246</f>
        <v>RR971</v>
      </c>
      <c r="D915" t="str">
        <f>$D$246</f>
        <v>CURRENT_PX_TO_FREE_CASH_FLOW</v>
      </c>
      <c r="E915" t="str">
        <f>$E$246</f>
        <v>Dynamic</v>
      </c>
      <c r="F915" t="str">
        <f ca="1">_xll.BDH($B$246,$C$246,$B$675,$B$676,CONCATENATE("Per=",$B$673),"Dts=H","Dir=H",CONCATENATE("Points=",$B$674),"Sort=R","Days=A","Fill=B",CONCATENATE("FX=", $B$672) )</f>
        <v>#N/A Connection</v>
      </c>
      <c r="BN915" t="str">
        <f>""</f>
        <v/>
      </c>
      <c r="BO915" t="str">
        <f>""</f>
        <v/>
      </c>
      <c r="BP915" t="str">
        <f>""</f>
        <v/>
      </c>
      <c r="BQ915" t="str">
        <f>""</f>
        <v/>
      </c>
      <c r="BR915" t="str">
        <f>""</f>
        <v/>
      </c>
      <c r="BS915" t="str">
        <f>""</f>
        <v/>
      </c>
      <c r="BT915" t="str">
        <f>""</f>
        <v/>
      </c>
      <c r="BU915" t="str">
        <f>""</f>
        <v/>
      </c>
      <c r="BV915" t="str">
        <f>""</f>
        <v/>
      </c>
      <c r="BW915" t="str">
        <f>""</f>
        <v/>
      </c>
      <c r="BX915" t="str">
        <f>""</f>
        <v/>
      </c>
      <c r="BY915" t="str">
        <f>""</f>
        <v/>
      </c>
      <c r="BZ915" t="str">
        <f>""</f>
        <v/>
      </c>
      <c r="CA915" t="str">
        <f>""</f>
        <v/>
      </c>
      <c r="CB915" t="str">
        <f>""</f>
        <v/>
      </c>
      <c r="CC915" t="str">
        <f>""</f>
        <v/>
      </c>
      <c r="CD915" t="str">
        <f>""</f>
        <v/>
      </c>
      <c r="CE915" t="str">
        <f>""</f>
        <v/>
      </c>
      <c r="CF915" t="str">
        <f>""</f>
        <v/>
      </c>
      <c r="CG915" t="str">
        <f>""</f>
        <v/>
      </c>
      <c r="CH915" t="str">
        <f>""</f>
        <v/>
      </c>
      <c r="CI915" t="str">
        <f>""</f>
        <v/>
      </c>
      <c r="CJ915" t="str">
        <f>""</f>
        <v/>
      </c>
      <c r="CK915" t="str">
        <f>""</f>
        <v/>
      </c>
      <c r="CL915" t="str">
        <f>""</f>
        <v/>
      </c>
      <c r="CM915" t="str">
        <f>""</f>
        <v/>
      </c>
      <c r="CN915" t="str">
        <f>""</f>
        <v/>
      </c>
      <c r="CO915" t="str">
        <f>""</f>
        <v/>
      </c>
      <c r="CP915" t="str">
        <f>""</f>
        <v/>
      </c>
      <c r="CQ915" t="str">
        <f>""</f>
        <v/>
      </c>
      <c r="CR915" t="str">
        <f>""</f>
        <v/>
      </c>
      <c r="CS915" t="str">
        <f>""</f>
        <v/>
      </c>
      <c r="CT915" t="str">
        <f>""</f>
        <v/>
      </c>
      <c r="CU915" t="str">
        <f>""</f>
        <v/>
      </c>
      <c r="CV915" t="str">
        <f>""</f>
        <v/>
      </c>
      <c r="CW915" t="str">
        <f>""</f>
        <v/>
      </c>
      <c r="CX915" t="str">
        <f>""</f>
        <v/>
      </c>
      <c r="CY915" t="str">
        <f>""</f>
        <v/>
      </c>
      <c r="CZ915" t="str">
        <f>""</f>
        <v/>
      </c>
      <c r="DA915" t="str">
        <f>""</f>
        <v/>
      </c>
      <c r="DB915" t="str">
        <f>""</f>
        <v/>
      </c>
      <c r="DC915" t="str">
        <f>""</f>
        <v/>
      </c>
      <c r="DD915" t="str">
        <f>""</f>
        <v/>
      </c>
      <c r="DE915" t="str">
        <f>""</f>
        <v/>
      </c>
      <c r="DF915" t="str">
        <f>""</f>
        <v/>
      </c>
      <c r="DG915" t="str">
        <f>""</f>
        <v/>
      </c>
      <c r="DH915" t="str">
        <f>""</f>
        <v/>
      </c>
      <c r="DI915" t="str">
        <f>""</f>
        <v/>
      </c>
      <c r="DJ915" t="str">
        <f>""</f>
        <v/>
      </c>
      <c r="DK915" t="str">
        <f>""</f>
        <v/>
      </c>
      <c r="DL915" t="str">
        <f>""</f>
        <v/>
      </c>
      <c r="DM915" t="str">
        <f>""</f>
        <v/>
      </c>
      <c r="DN915" t="str">
        <f>""</f>
        <v/>
      </c>
      <c r="DO915" t="str">
        <f>""</f>
        <v/>
      </c>
      <c r="DP915" t="str">
        <f>""</f>
        <v/>
      </c>
      <c r="DQ915" t="str">
        <f>""</f>
        <v/>
      </c>
      <c r="DR915" t="str">
        <f>""</f>
        <v/>
      </c>
      <c r="DS915" t="str">
        <f>""</f>
        <v/>
      </c>
      <c r="DT915" t="str">
        <f>""</f>
        <v/>
      </c>
      <c r="DU915" t="str">
        <f>""</f>
        <v/>
      </c>
    </row>
    <row r="916" spans="1:125" x14ac:dyDescent="0.25">
      <c r="A916" t="str">
        <f>$A$247</f>
        <v xml:space="preserve">    Toyota Motor Corp</v>
      </c>
      <c r="B916" t="str">
        <f>$B$247</f>
        <v>7203 JP Equity</v>
      </c>
      <c r="C916" t="str">
        <f>$C$247</f>
        <v>RR971</v>
      </c>
      <c r="D916" t="str">
        <f>$D$247</f>
        <v>CURRENT_PX_TO_FREE_CASH_FLOW</v>
      </c>
      <c r="E916" t="str">
        <f>$E$247</f>
        <v>Dynamic</v>
      </c>
      <c r="F916" t="str">
        <f ca="1">_xll.BDH($B$247,$C$247,$B$675,$B$676,CONCATENATE("Per=",$B$673),"Dts=H","Dir=H",CONCATENATE("Points=",$B$674),"Sort=R","Days=A","Fill=B",CONCATENATE("FX=", $B$672) )</f>
        <v>#N/A Connection</v>
      </c>
      <c r="BN916" t="str">
        <f>""</f>
        <v/>
      </c>
      <c r="BO916" t="str">
        <f>""</f>
        <v/>
      </c>
      <c r="BP916" t="str">
        <f>""</f>
        <v/>
      </c>
      <c r="BQ916" t="str">
        <f>""</f>
        <v/>
      </c>
      <c r="BR916" t="str">
        <f>""</f>
        <v/>
      </c>
      <c r="BS916" t="str">
        <f>""</f>
        <v/>
      </c>
      <c r="BT916" t="str">
        <f>""</f>
        <v/>
      </c>
      <c r="BU916" t="str">
        <f>""</f>
        <v/>
      </c>
      <c r="BV916" t="str">
        <f>""</f>
        <v/>
      </c>
      <c r="BW916" t="str">
        <f>""</f>
        <v/>
      </c>
      <c r="BX916" t="str">
        <f>""</f>
        <v/>
      </c>
      <c r="BY916" t="str">
        <f>""</f>
        <v/>
      </c>
      <c r="BZ916" t="str">
        <f>""</f>
        <v/>
      </c>
      <c r="CA916" t="str">
        <f>""</f>
        <v/>
      </c>
      <c r="CB916" t="str">
        <f>""</f>
        <v/>
      </c>
      <c r="CC916" t="str">
        <f>""</f>
        <v/>
      </c>
      <c r="CD916" t="str">
        <f>""</f>
        <v/>
      </c>
      <c r="CE916" t="str">
        <f>""</f>
        <v/>
      </c>
      <c r="CF916" t="str">
        <f>""</f>
        <v/>
      </c>
      <c r="CG916" t="str">
        <f>""</f>
        <v/>
      </c>
      <c r="CH916" t="str">
        <f>""</f>
        <v/>
      </c>
      <c r="CI916" t="str">
        <f>""</f>
        <v/>
      </c>
      <c r="CJ916" t="str">
        <f>""</f>
        <v/>
      </c>
      <c r="CK916" t="str">
        <f>""</f>
        <v/>
      </c>
      <c r="CL916" t="str">
        <f>""</f>
        <v/>
      </c>
      <c r="CM916" t="str">
        <f>""</f>
        <v/>
      </c>
      <c r="CN916" t="str">
        <f>""</f>
        <v/>
      </c>
      <c r="CO916" t="str">
        <f>""</f>
        <v/>
      </c>
      <c r="CP916" t="str">
        <f>""</f>
        <v/>
      </c>
      <c r="CQ916" t="str">
        <f>""</f>
        <v/>
      </c>
      <c r="CR916" t="str">
        <f>""</f>
        <v/>
      </c>
      <c r="CS916" t="str">
        <f>""</f>
        <v/>
      </c>
      <c r="CT916" t="str">
        <f>""</f>
        <v/>
      </c>
      <c r="CU916" t="str">
        <f>""</f>
        <v/>
      </c>
      <c r="CV916" t="str">
        <f>""</f>
        <v/>
      </c>
      <c r="CW916" t="str">
        <f>""</f>
        <v/>
      </c>
      <c r="CX916" t="str">
        <f>""</f>
        <v/>
      </c>
      <c r="CY916" t="str">
        <f>""</f>
        <v/>
      </c>
      <c r="CZ916" t="str">
        <f>""</f>
        <v/>
      </c>
      <c r="DA916" t="str">
        <f>""</f>
        <v/>
      </c>
      <c r="DB916" t="str">
        <f>""</f>
        <v/>
      </c>
      <c r="DC916" t="str">
        <f>""</f>
        <v/>
      </c>
      <c r="DD916" t="str">
        <f>""</f>
        <v/>
      </c>
      <c r="DE916" t="str">
        <f>""</f>
        <v/>
      </c>
      <c r="DF916" t="str">
        <f>""</f>
        <v/>
      </c>
      <c r="DG916" t="str">
        <f>""</f>
        <v/>
      </c>
      <c r="DH916" t="str">
        <f>""</f>
        <v/>
      </c>
      <c r="DI916" t="str">
        <f>""</f>
        <v/>
      </c>
      <c r="DJ916" t="str">
        <f>""</f>
        <v/>
      </c>
      <c r="DK916" t="str">
        <f>""</f>
        <v/>
      </c>
      <c r="DL916" t="str">
        <f>""</f>
        <v/>
      </c>
      <c r="DM916" t="str">
        <f>""</f>
        <v/>
      </c>
      <c r="DN916" t="str">
        <f>""</f>
        <v/>
      </c>
      <c r="DO916" t="str">
        <f>""</f>
        <v/>
      </c>
      <c r="DP916" t="str">
        <f>""</f>
        <v/>
      </c>
      <c r="DQ916" t="str">
        <f>""</f>
        <v/>
      </c>
      <c r="DR916" t="str">
        <f>""</f>
        <v/>
      </c>
      <c r="DS916" t="str">
        <f>""</f>
        <v/>
      </c>
      <c r="DT916" t="str">
        <f>""</f>
        <v/>
      </c>
      <c r="DU916" t="str">
        <f>""</f>
        <v/>
      </c>
    </row>
    <row r="917" spans="1:125" x14ac:dyDescent="0.25">
      <c r="A917" t="str">
        <f>$A$248</f>
        <v xml:space="preserve">    Volkswagen AG</v>
      </c>
      <c r="B917" t="str">
        <f>$B$248</f>
        <v>VOW GR Equity</v>
      </c>
      <c r="C917" t="str">
        <f>$C$248</f>
        <v>RR971</v>
      </c>
      <c r="D917" t="str">
        <f>$D$248</f>
        <v>CURRENT_PX_TO_FREE_CASH_FLOW</v>
      </c>
      <c r="E917" t="str">
        <f>$E$248</f>
        <v>Dynamic</v>
      </c>
      <c r="F917" t="str">
        <f ca="1">_xll.BDH($B$248,$C$248,$B$675,$B$676,CONCATENATE("Per=",$B$673),"Dts=H","Dir=H",CONCATENATE("Points=",$B$674),"Sort=R","Days=A","Fill=B",CONCATENATE("FX=", $B$672) )</f>
        <v>#N/A Connection</v>
      </c>
      <c r="BN917" t="str">
        <f>""</f>
        <v/>
      </c>
      <c r="BO917" t="str">
        <f>""</f>
        <v/>
      </c>
      <c r="BP917" t="str">
        <f>""</f>
        <v/>
      </c>
      <c r="BQ917" t="str">
        <f>""</f>
        <v/>
      </c>
      <c r="BR917" t="str">
        <f>""</f>
        <v/>
      </c>
      <c r="BS917" t="str">
        <f>""</f>
        <v/>
      </c>
      <c r="BT917" t="str">
        <f>""</f>
        <v/>
      </c>
      <c r="BU917" t="str">
        <f>""</f>
        <v/>
      </c>
      <c r="BV917" t="str">
        <f>""</f>
        <v/>
      </c>
      <c r="BW917" t="str">
        <f>""</f>
        <v/>
      </c>
      <c r="BX917" t="str">
        <f>""</f>
        <v/>
      </c>
      <c r="BY917" t="str">
        <f>""</f>
        <v/>
      </c>
      <c r="BZ917" t="str">
        <f>""</f>
        <v/>
      </c>
      <c r="CA917" t="str">
        <f>""</f>
        <v/>
      </c>
      <c r="CB917" t="str">
        <f>""</f>
        <v/>
      </c>
      <c r="CC917" t="str">
        <f>""</f>
        <v/>
      </c>
      <c r="CD917" t="str">
        <f>""</f>
        <v/>
      </c>
      <c r="CE917" t="str">
        <f>""</f>
        <v/>
      </c>
      <c r="CF917" t="str">
        <f>""</f>
        <v/>
      </c>
      <c r="CG917" t="str">
        <f>""</f>
        <v/>
      </c>
      <c r="CH917" t="str">
        <f>""</f>
        <v/>
      </c>
      <c r="CI917" t="str">
        <f>""</f>
        <v/>
      </c>
      <c r="CJ917" t="str">
        <f>""</f>
        <v/>
      </c>
      <c r="CK917" t="str">
        <f>""</f>
        <v/>
      </c>
      <c r="CL917" t="str">
        <f>""</f>
        <v/>
      </c>
      <c r="CM917" t="str">
        <f>""</f>
        <v/>
      </c>
      <c r="CN917" t="str">
        <f>""</f>
        <v/>
      </c>
      <c r="CO917" t="str">
        <f>""</f>
        <v/>
      </c>
      <c r="CP917" t="str">
        <f>""</f>
        <v/>
      </c>
      <c r="CQ917" t="str">
        <f>""</f>
        <v/>
      </c>
      <c r="CR917" t="str">
        <f>""</f>
        <v/>
      </c>
      <c r="CS917" t="str">
        <f>""</f>
        <v/>
      </c>
      <c r="CT917" t="str">
        <f>""</f>
        <v/>
      </c>
      <c r="CU917" t="str">
        <f>""</f>
        <v/>
      </c>
      <c r="CV917" t="str">
        <f>""</f>
        <v/>
      </c>
      <c r="CW917" t="str">
        <f>""</f>
        <v/>
      </c>
      <c r="CX917" t="str">
        <f>""</f>
        <v/>
      </c>
      <c r="CY917" t="str">
        <f>""</f>
        <v/>
      </c>
      <c r="CZ917" t="str">
        <f>""</f>
        <v/>
      </c>
      <c r="DA917" t="str">
        <f>""</f>
        <v/>
      </c>
      <c r="DB917" t="str">
        <f>""</f>
        <v/>
      </c>
      <c r="DC917" t="str">
        <f>""</f>
        <v/>
      </c>
      <c r="DD917" t="str">
        <f>""</f>
        <v/>
      </c>
      <c r="DE917" t="str">
        <f>""</f>
        <v/>
      </c>
      <c r="DF917" t="str">
        <f>""</f>
        <v/>
      </c>
      <c r="DG917" t="str">
        <f>""</f>
        <v/>
      </c>
      <c r="DH917" t="str">
        <f>""</f>
        <v/>
      </c>
      <c r="DI917" t="str">
        <f>""</f>
        <v/>
      </c>
      <c r="DJ917" t="str">
        <f>""</f>
        <v/>
      </c>
      <c r="DK917" t="str">
        <f>""</f>
        <v/>
      </c>
      <c r="DL917" t="str">
        <f>""</f>
        <v/>
      </c>
      <c r="DM917" t="str">
        <f>""</f>
        <v/>
      </c>
      <c r="DN917" t="str">
        <f>""</f>
        <v/>
      </c>
      <c r="DO917" t="str">
        <f>""</f>
        <v/>
      </c>
      <c r="DP917" t="str">
        <f>""</f>
        <v/>
      </c>
      <c r="DQ917" t="str">
        <f>""</f>
        <v/>
      </c>
      <c r="DR917" t="str">
        <f>""</f>
        <v/>
      </c>
      <c r="DS917" t="str">
        <f>""</f>
        <v/>
      </c>
      <c r="DT917" t="str">
        <f>""</f>
        <v/>
      </c>
      <c r="DU917" t="str">
        <f>""</f>
        <v/>
      </c>
    </row>
    <row r="918" spans="1:125" x14ac:dyDescent="0.25">
      <c r="A918" t="str">
        <f>$A$249</f>
        <v xml:space="preserve">    Yulon Motor Co Ltd</v>
      </c>
      <c r="B918" t="str">
        <f>$B$249</f>
        <v>2201 TT Equity</v>
      </c>
      <c r="C918" t="str">
        <f>$C$249</f>
        <v>RR971</v>
      </c>
      <c r="D918" t="str">
        <f>$D$249</f>
        <v>CURRENT_PX_TO_FREE_CASH_FLOW</v>
      </c>
      <c r="E918" t="str">
        <f>$E$249</f>
        <v>Dynamic</v>
      </c>
      <c r="F918" t="str">
        <f ca="1">_xll.BDH($B$249,$C$249,$B$675,$B$676,CONCATENATE("Per=",$B$673),"Dts=H","Dir=H",CONCATENATE("Points=",$B$674),"Sort=R","Days=A","Fill=B",CONCATENATE("FX=", $B$672) )</f>
        <v>#N/A Connection</v>
      </c>
      <c r="BN918" t="str">
        <f>""</f>
        <v/>
      </c>
      <c r="BO918" t="str">
        <f>""</f>
        <v/>
      </c>
      <c r="BP918" t="str">
        <f>""</f>
        <v/>
      </c>
      <c r="BQ918" t="str">
        <f>""</f>
        <v/>
      </c>
      <c r="BR918" t="str">
        <f>""</f>
        <v/>
      </c>
      <c r="BS918" t="str">
        <f>""</f>
        <v/>
      </c>
      <c r="BT918" t="str">
        <f>""</f>
        <v/>
      </c>
      <c r="BU918" t="str">
        <f>""</f>
        <v/>
      </c>
      <c r="BV918" t="str">
        <f>""</f>
        <v/>
      </c>
      <c r="BW918" t="str">
        <f>""</f>
        <v/>
      </c>
      <c r="BX918" t="str">
        <f>""</f>
        <v/>
      </c>
      <c r="BY918" t="str">
        <f>""</f>
        <v/>
      </c>
      <c r="BZ918" t="str">
        <f>""</f>
        <v/>
      </c>
      <c r="CA918" t="str">
        <f>""</f>
        <v/>
      </c>
      <c r="CB918" t="str">
        <f>""</f>
        <v/>
      </c>
      <c r="CC918" t="str">
        <f>""</f>
        <v/>
      </c>
      <c r="CD918" t="str">
        <f>""</f>
        <v/>
      </c>
      <c r="CE918" t="str">
        <f>""</f>
        <v/>
      </c>
      <c r="CF918" t="str">
        <f>""</f>
        <v/>
      </c>
      <c r="CG918" t="str">
        <f>""</f>
        <v/>
      </c>
      <c r="CH918" t="str">
        <f>""</f>
        <v/>
      </c>
      <c r="CI918" t="str">
        <f>""</f>
        <v/>
      </c>
      <c r="CJ918" t="str">
        <f>""</f>
        <v/>
      </c>
      <c r="CK918" t="str">
        <f>""</f>
        <v/>
      </c>
      <c r="CL918" t="str">
        <f>""</f>
        <v/>
      </c>
      <c r="CM918" t="str">
        <f>""</f>
        <v/>
      </c>
      <c r="CN918" t="str">
        <f>""</f>
        <v/>
      </c>
      <c r="CO918" t="str">
        <f>""</f>
        <v/>
      </c>
      <c r="CP918" t="str">
        <f>""</f>
        <v/>
      </c>
      <c r="CQ918" t="str">
        <f>""</f>
        <v/>
      </c>
      <c r="CR918" t="str">
        <f>""</f>
        <v/>
      </c>
      <c r="CS918" t="str">
        <f>""</f>
        <v/>
      </c>
      <c r="CT918" t="str">
        <f>""</f>
        <v/>
      </c>
      <c r="CU918" t="str">
        <f>""</f>
        <v/>
      </c>
      <c r="CV918" t="str">
        <f>""</f>
        <v/>
      </c>
      <c r="CW918" t="str">
        <f>""</f>
        <v/>
      </c>
      <c r="CX918" t="str">
        <f>""</f>
        <v/>
      </c>
      <c r="CY918" t="str">
        <f>""</f>
        <v/>
      </c>
      <c r="CZ918" t="str">
        <f>""</f>
        <v/>
      </c>
      <c r="DA918" t="str">
        <f>""</f>
        <v/>
      </c>
      <c r="DB918" t="str">
        <f>""</f>
        <v/>
      </c>
      <c r="DC918" t="str">
        <f>""</f>
        <v/>
      </c>
      <c r="DD918" t="str">
        <f>""</f>
        <v/>
      </c>
      <c r="DE918" t="str">
        <f>""</f>
        <v/>
      </c>
      <c r="DF918" t="str">
        <f>""</f>
        <v/>
      </c>
      <c r="DG918" t="str">
        <f>""</f>
        <v/>
      </c>
      <c r="DH918" t="str">
        <f>""</f>
        <v/>
      </c>
      <c r="DI918" t="str">
        <f>""</f>
        <v/>
      </c>
      <c r="DJ918" t="str">
        <f>""</f>
        <v/>
      </c>
      <c r="DK918" t="str">
        <f>""</f>
        <v/>
      </c>
      <c r="DL918" t="str">
        <f>""</f>
        <v/>
      </c>
      <c r="DM918" t="str">
        <f>""</f>
        <v/>
      </c>
      <c r="DN918" t="str">
        <f>""</f>
        <v/>
      </c>
      <c r="DO918" t="str">
        <f>""</f>
        <v/>
      </c>
      <c r="DP918" t="str">
        <f>""</f>
        <v/>
      </c>
      <c r="DQ918" t="str">
        <f>""</f>
        <v/>
      </c>
      <c r="DR918" t="str">
        <f>""</f>
        <v/>
      </c>
      <c r="DS918" t="str">
        <f>""</f>
        <v/>
      </c>
      <c r="DT918" t="str">
        <f>""</f>
        <v/>
      </c>
      <c r="DU918" t="str">
        <f>""</f>
        <v/>
      </c>
    </row>
    <row r="919" spans="1:125" x14ac:dyDescent="0.25">
      <c r="A919" t="str">
        <f>$A$251</f>
        <v xml:space="preserve">    AUDI AG</v>
      </c>
      <c r="B919" t="str">
        <f>$B$251</f>
        <v>NSU GR Equity</v>
      </c>
      <c r="C919" t="str">
        <f>$C$251</f>
        <v>RR904</v>
      </c>
      <c r="D919" t="str">
        <f>$D$251</f>
        <v>PX_TO_SALES_RATIO</v>
      </c>
      <c r="E919" t="str">
        <f>$E$251</f>
        <v>Dynamic</v>
      </c>
      <c r="F919" t="str">
        <f ca="1">_xll.BDH($B$251,$C$251,$B$675,$B$676,CONCATENATE("Per=",$B$673),"Dts=H","Dir=H",CONCATENATE("Points=",$B$674),"Sort=R","Days=A","Fill=B",CONCATENATE("FX=", $B$672) )</f>
        <v>#N/A Connection</v>
      </c>
      <c r="BN919" t="str">
        <f>""</f>
        <v/>
      </c>
      <c r="BO919" t="str">
        <f>""</f>
        <v/>
      </c>
      <c r="BP919" t="str">
        <f>""</f>
        <v/>
      </c>
      <c r="BQ919" t="str">
        <f>""</f>
        <v/>
      </c>
      <c r="BR919" t="str">
        <f>""</f>
        <v/>
      </c>
      <c r="BS919" t="str">
        <f>""</f>
        <v/>
      </c>
      <c r="BT919" t="str">
        <f>""</f>
        <v/>
      </c>
      <c r="BU919" t="str">
        <f>""</f>
        <v/>
      </c>
      <c r="BV919" t="str">
        <f>""</f>
        <v/>
      </c>
      <c r="BW919" t="str">
        <f>""</f>
        <v/>
      </c>
      <c r="BX919" t="str">
        <f>""</f>
        <v/>
      </c>
      <c r="BY919" t="str">
        <f>""</f>
        <v/>
      </c>
      <c r="BZ919" t="str">
        <f>""</f>
        <v/>
      </c>
      <c r="CA919" t="str">
        <f>""</f>
        <v/>
      </c>
      <c r="CB919" t="str">
        <f>""</f>
        <v/>
      </c>
      <c r="CC919" t="str">
        <f>""</f>
        <v/>
      </c>
      <c r="CD919" t="str">
        <f>""</f>
        <v/>
      </c>
      <c r="CE919" t="str">
        <f>""</f>
        <v/>
      </c>
      <c r="CF919" t="str">
        <f>""</f>
        <v/>
      </c>
      <c r="CG919" t="str">
        <f>""</f>
        <v/>
      </c>
      <c r="CH919" t="str">
        <f>""</f>
        <v/>
      </c>
      <c r="CI919" t="str">
        <f>""</f>
        <v/>
      </c>
      <c r="CJ919" t="str">
        <f>""</f>
        <v/>
      </c>
      <c r="CK919" t="str">
        <f>""</f>
        <v/>
      </c>
      <c r="CL919" t="str">
        <f>""</f>
        <v/>
      </c>
      <c r="CM919" t="str">
        <f>""</f>
        <v/>
      </c>
      <c r="CN919" t="str">
        <f>""</f>
        <v/>
      </c>
      <c r="CO919" t="str">
        <f>""</f>
        <v/>
      </c>
      <c r="CP919" t="str">
        <f>""</f>
        <v/>
      </c>
      <c r="CQ919" t="str">
        <f>""</f>
        <v/>
      </c>
      <c r="CR919" t="str">
        <f>""</f>
        <v/>
      </c>
      <c r="CS919" t="str">
        <f>""</f>
        <v/>
      </c>
      <c r="CT919" t="str">
        <f>""</f>
        <v/>
      </c>
      <c r="CU919" t="str">
        <f>""</f>
        <v/>
      </c>
      <c r="CV919" t="str">
        <f>""</f>
        <v/>
      </c>
      <c r="CW919" t="str">
        <f>""</f>
        <v/>
      </c>
      <c r="CX919" t="str">
        <f>""</f>
        <v/>
      </c>
      <c r="CY919" t="str">
        <f>""</f>
        <v/>
      </c>
      <c r="CZ919" t="str">
        <f>""</f>
        <v/>
      </c>
      <c r="DA919" t="str">
        <f>""</f>
        <v/>
      </c>
      <c r="DB919" t="str">
        <f>""</f>
        <v/>
      </c>
      <c r="DC919" t="str">
        <f>""</f>
        <v/>
      </c>
      <c r="DD919" t="str">
        <f>""</f>
        <v/>
      </c>
      <c r="DE919" t="str">
        <f>""</f>
        <v/>
      </c>
      <c r="DF919" t="str">
        <f>""</f>
        <v/>
      </c>
      <c r="DG919" t="str">
        <f>""</f>
        <v/>
      </c>
      <c r="DH919" t="str">
        <f>""</f>
        <v/>
      </c>
      <c r="DI919" t="str">
        <f>""</f>
        <v/>
      </c>
      <c r="DJ919" t="str">
        <f>""</f>
        <v/>
      </c>
      <c r="DK919" t="str">
        <f>""</f>
        <v/>
      </c>
      <c r="DL919" t="str">
        <f>""</f>
        <v/>
      </c>
      <c r="DM919" t="str">
        <f>""</f>
        <v/>
      </c>
      <c r="DN919" t="str">
        <f>""</f>
        <v/>
      </c>
      <c r="DO919" t="str">
        <f>""</f>
        <v/>
      </c>
      <c r="DP919" t="str">
        <f>""</f>
        <v/>
      </c>
      <c r="DQ919" t="str">
        <f>""</f>
        <v/>
      </c>
      <c r="DR919" t="str">
        <f>""</f>
        <v/>
      </c>
      <c r="DS919" t="str">
        <f>""</f>
        <v/>
      </c>
      <c r="DT919" t="str">
        <f>""</f>
        <v/>
      </c>
      <c r="DU919" t="str">
        <f>""</f>
        <v/>
      </c>
    </row>
    <row r="920" spans="1:125" x14ac:dyDescent="0.25">
      <c r="A920" t="str">
        <f>$A$252</f>
        <v xml:space="preserve">    Avtovaz PJSC</v>
      </c>
      <c r="B920" t="str">
        <f>$B$252</f>
        <v>AVAZ RM Equity</v>
      </c>
      <c r="C920" t="str">
        <f>$C$252</f>
        <v>RR904</v>
      </c>
      <c r="D920" t="str">
        <f>$D$252</f>
        <v>PX_TO_SALES_RATIO</v>
      </c>
      <c r="E920" t="str">
        <f>$E$252</f>
        <v>Dynamic</v>
      </c>
      <c r="F920" t="str">
        <f ca="1">_xll.BDH($B$252,$C$252,$B$675,$B$676,CONCATENATE("Per=",$B$673),"Dts=H","Dir=H",CONCATENATE("Points=",$B$674),"Sort=R","Days=A","Fill=B",CONCATENATE("FX=", $B$672) )</f>
        <v>#N/A Connection</v>
      </c>
      <c r="BN920" t="str">
        <f>""</f>
        <v/>
      </c>
      <c r="BO920" t="str">
        <f>""</f>
        <v/>
      </c>
      <c r="BP920" t="str">
        <f>""</f>
        <v/>
      </c>
      <c r="BQ920" t="str">
        <f>""</f>
        <v/>
      </c>
      <c r="BR920" t="str">
        <f>""</f>
        <v/>
      </c>
      <c r="BS920" t="str">
        <f>""</f>
        <v/>
      </c>
      <c r="BT920" t="str">
        <f>""</f>
        <v/>
      </c>
      <c r="BU920" t="str">
        <f>""</f>
        <v/>
      </c>
      <c r="BV920" t="str">
        <f>""</f>
        <v/>
      </c>
      <c r="BW920" t="str">
        <f>""</f>
        <v/>
      </c>
      <c r="BX920" t="str">
        <f>""</f>
        <v/>
      </c>
      <c r="BY920" t="str">
        <f>""</f>
        <v/>
      </c>
      <c r="BZ920" t="str">
        <f>""</f>
        <v/>
      </c>
      <c r="CA920" t="str">
        <f>""</f>
        <v/>
      </c>
      <c r="CB920" t="str">
        <f>""</f>
        <v/>
      </c>
      <c r="CC920" t="str">
        <f>""</f>
        <v/>
      </c>
      <c r="CD920" t="str">
        <f>""</f>
        <v/>
      </c>
      <c r="CE920" t="str">
        <f>""</f>
        <v/>
      </c>
      <c r="CF920" t="str">
        <f>""</f>
        <v/>
      </c>
      <c r="CG920" t="str">
        <f>""</f>
        <v/>
      </c>
      <c r="CH920" t="str">
        <f>""</f>
        <v/>
      </c>
      <c r="CI920" t="str">
        <f>""</f>
        <v/>
      </c>
      <c r="CJ920" t="str">
        <f>""</f>
        <v/>
      </c>
      <c r="CK920" t="str">
        <f>""</f>
        <v/>
      </c>
      <c r="CL920" t="str">
        <f>""</f>
        <v/>
      </c>
      <c r="CM920" t="str">
        <f>""</f>
        <v/>
      </c>
      <c r="CN920" t="str">
        <f>""</f>
        <v/>
      </c>
      <c r="CO920" t="str">
        <f>""</f>
        <v/>
      </c>
      <c r="CP920" t="str">
        <f>""</f>
        <v/>
      </c>
      <c r="CQ920" t="str">
        <f>""</f>
        <v/>
      </c>
      <c r="CR920" t="str">
        <f>""</f>
        <v/>
      </c>
      <c r="CS920" t="str">
        <f>""</f>
        <v/>
      </c>
      <c r="CT920" t="str">
        <f>""</f>
        <v/>
      </c>
      <c r="CU920" t="str">
        <f>""</f>
        <v/>
      </c>
      <c r="CV920" t="str">
        <f>""</f>
        <v/>
      </c>
      <c r="CW920" t="str">
        <f>""</f>
        <v/>
      </c>
      <c r="CX920" t="str">
        <f>""</f>
        <v/>
      </c>
      <c r="CY920" t="str">
        <f>""</f>
        <v/>
      </c>
      <c r="CZ920" t="str">
        <f>""</f>
        <v/>
      </c>
      <c r="DA920" t="str">
        <f>""</f>
        <v/>
      </c>
      <c r="DB920" t="str">
        <f>""</f>
        <v/>
      </c>
      <c r="DC920" t="str">
        <f>""</f>
        <v/>
      </c>
      <c r="DD920" t="str">
        <f>""</f>
        <v/>
      </c>
      <c r="DE920" t="str">
        <f>""</f>
        <v/>
      </c>
      <c r="DF920" t="str">
        <f>""</f>
        <v/>
      </c>
      <c r="DG920" t="str">
        <f>""</f>
        <v/>
      </c>
      <c r="DH920" t="str">
        <f>""</f>
        <v/>
      </c>
      <c r="DI920" t="str">
        <f>""</f>
        <v/>
      </c>
      <c r="DJ920" t="str">
        <f>""</f>
        <v/>
      </c>
      <c r="DK920" t="str">
        <f>""</f>
        <v/>
      </c>
      <c r="DL920" t="str">
        <f>""</f>
        <v/>
      </c>
      <c r="DM920" t="str">
        <f>""</f>
        <v/>
      </c>
      <c r="DN920" t="str">
        <f>""</f>
        <v/>
      </c>
      <c r="DO920" t="str">
        <f>""</f>
        <v/>
      </c>
      <c r="DP920" t="str">
        <f>""</f>
        <v/>
      </c>
      <c r="DQ920" t="str">
        <f>""</f>
        <v/>
      </c>
      <c r="DR920" t="str">
        <f>""</f>
        <v/>
      </c>
      <c r="DS920" t="str">
        <f>""</f>
        <v/>
      </c>
      <c r="DT920" t="str">
        <f>""</f>
        <v/>
      </c>
      <c r="DU920" t="str">
        <f>""</f>
        <v/>
      </c>
    </row>
    <row r="921" spans="1:125" x14ac:dyDescent="0.25">
      <c r="A921" t="str">
        <f>$A$253</f>
        <v xml:space="preserve">    Bayerische Motoren Werke AG</v>
      </c>
      <c r="B921" t="str">
        <f>$B$253</f>
        <v>BMW GR Equity</v>
      </c>
      <c r="C921" t="str">
        <f>$C$253</f>
        <v>RR904</v>
      </c>
      <c r="D921" t="str">
        <f>$D$253</f>
        <v>PX_TO_SALES_RATIO</v>
      </c>
      <c r="E921" t="str">
        <f>$E$253</f>
        <v>Dynamic</v>
      </c>
      <c r="F921" t="str">
        <f ca="1">_xll.BDH($B$253,$C$253,$B$675,$B$676,CONCATENATE("Per=",$B$673),"Dts=H","Dir=H",CONCATENATE("Points=",$B$674),"Sort=R","Days=A","Fill=B",CONCATENATE("FX=", $B$672) )</f>
        <v>#N/A Connection</v>
      </c>
      <c r="BN921" t="str">
        <f>""</f>
        <v/>
      </c>
      <c r="BO921" t="str">
        <f>""</f>
        <v/>
      </c>
      <c r="BP921" t="str">
        <f>""</f>
        <v/>
      </c>
      <c r="BQ921" t="str">
        <f>""</f>
        <v/>
      </c>
      <c r="BR921" t="str">
        <f>""</f>
        <v/>
      </c>
      <c r="BS921" t="str">
        <f>""</f>
        <v/>
      </c>
      <c r="BT921" t="str">
        <f>""</f>
        <v/>
      </c>
      <c r="BU921" t="str">
        <f>""</f>
        <v/>
      </c>
      <c r="BV921" t="str">
        <f>""</f>
        <v/>
      </c>
      <c r="BW921" t="str">
        <f>""</f>
        <v/>
      </c>
      <c r="BX921" t="str">
        <f>""</f>
        <v/>
      </c>
      <c r="BY921" t="str">
        <f>""</f>
        <v/>
      </c>
      <c r="BZ921" t="str">
        <f>""</f>
        <v/>
      </c>
      <c r="CA921" t="str">
        <f>""</f>
        <v/>
      </c>
      <c r="CB921" t="str">
        <f>""</f>
        <v/>
      </c>
      <c r="CC921" t="str">
        <f>""</f>
        <v/>
      </c>
      <c r="CD921" t="str">
        <f>""</f>
        <v/>
      </c>
      <c r="CE921" t="str">
        <f>""</f>
        <v/>
      </c>
      <c r="CF921" t="str">
        <f>""</f>
        <v/>
      </c>
      <c r="CG921" t="str">
        <f>""</f>
        <v/>
      </c>
      <c r="CH921" t="str">
        <f>""</f>
        <v/>
      </c>
      <c r="CI921" t="str">
        <f>""</f>
        <v/>
      </c>
      <c r="CJ921" t="str">
        <f>""</f>
        <v/>
      </c>
      <c r="CK921" t="str">
        <f>""</f>
        <v/>
      </c>
      <c r="CL921" t="str">
        <f>""</f>
        <v/>
      </c>
      <c r="CM921" t="str">
        <f>""</f>
        <v/>
      </c>
      <c r="CN921" t="str">
        <f>""</f>
        <v/>
      </c>
      <c r="CO921" t="str">
        <f>""</f>
        <v/>
      </c>
      <c r="CP921" t="str">
        <f>""</f>
        <v/>
      </c>
      <c r="CQ921" t="str">
        <f>""</f>
        <v/>
      </c>
      <c r="CR921" t="str">
        <f>""</f>
        <v/>
      </c>
      <c r="CS921" t="str">
        <f>""</f>
        <v/>
      </c>
      <c r="CT921" t="str">
        <f>""</f>
        <v/>
      </c>
      <c r="CU921" t="str">
        <f>""</f>
        <v/>
      </c>
      <c r="CV921" t="str">
        <f>""</f>
        <v/>
      </c>
      <c r="CW921" t="str">
        <f>""</f>
        <v/>
      </c>
      <c r="CX921" t="str">
        <f>""</f>
        <v/>
      </c>
      <c r="CY921" t="str">
        <f>""</f>
        <v/>
      </c>
      <c r="CZ921" t="str">
        <f>""</f>
        <v/>
      </c>
      <c r="DA921" t="str">
        <f>""</f>
        <v/>
      </c>
      <c r="DB921" t="str">
        <f>""</f>
        <v/>
      </c>
      <c r="DC921" t="str">
        <f>""</f>
        <v/>
      </c>
      <c r="DD921" t="str">
        <f>""</f>
        <v/>
      </c>
      <c r="DE921" t="str">
        <f>""</f>
        <v/>
      </c>
      <c r="DF921" t="str">
        <f>""</f>
        <v/>
      </c>
      <c r="DG921" t="str">
        <f>""</f>
        <v/>
      </c>
      <c r="DH921" t="str">
        <f>""</f>
        <v/>
      </c>
      <c r="DI921" t="str">
        <f>""</f>
        <v/>
      </c>
      <c r="DJ921" t="str">
        <f>""</f>
        <v/>
      </c>
      <c r="DK921" t="str">
        <f>""</f>
        <v/>
      </c>
      <c r="DL921" t="str">
        <f>""</f>
        <v/>
      </c>
      <c r="DM921" t="str">
        <f>""</f>
        <v/>
      </c>
      <c r="DN921" t="str">
        <f>""</f>
        <v/>
      </c>
      <c r="DO921" t="str">
        <f>""</f>
        <v/>
      </c>
      <c r="DP921" t="str">
        <f>""</f>
        <v/>
      </c>
      <c r="DQ921" t="str">
        <f>""</f>
        <v/>
      </c>
      <c r="DR921" t="str">
        <f>""</f>
        <v/>
      </c>
      <c r="DS921" t="str">
        <f>""</f>
        <v/>
      </c>
      <c r="DT921" t="str">
        <f>""</f>
        <v/>
      </c>
      <c r="DU921" t="str">
        <f>""</f>
        <v/>
      </c>
    </row>
    <row r="922" spans="1:125" x14ac:dyDescent="0.25">
      <c r="A922" t="str">
        <f>$A$254</f>
        <v xml:space="preserve">    Brilliance China Automotive Holdings Ltd</v>
      </c>
      <c r="B922" t="str">
        <f>$B$254</f>
        <v>1114 HK Equity</v>
      </c>
      <c r="C922" t="str">
        <f>$C$254</f>
        <v>RR904</v>
      </c>
      <c r="D922" t="str">
        <f>$D$254</f>
        <v>PX_TO_SALES_RATIO</v>
      </c>
      <c r="E922" t="str">
        <f>$E$254</f>
        <v>Dynamic</v>
      </c>
      <c r="F922" t="str">
        <f ca="1">_xll.BDH($B$254,$C$254,$B$675,$B$676,CONCATENATE("Per=",$B$673),"Dts=H","Dir=H",CONCATENATE("Points=",$B$674),"Sort=R","Days=A","Fill=B",CONCATENATE("FX=", $B$672) )</f>
        <v>#N/A Connection</v>
      </c>
      <c r="BN922" t="str">
        <f>""</f>
        <v/>
      </c>
      <c r="BO922" t="str">
        <f>""</f>
        <v/>
      </c>
      <c r="BP922" t="str">
        <f>""</f>
        <v/>
      </c>
      <c r="BQ922" t="str">
        <f>""</f>
        <v/>
      </c>
      <c r="BR922" t="str">
        <f>""</f>
        <v/>
      </c>
      <c r="BS922" t="str">
        <f>""</f>
        <v/>
      </c>
      <c r="BT922" t="str">
        <f>""</f>
        <v/>
      </c>
      <c r="BU922" t="str">
        <f>""</f>
        <v/>
      </c>
      <c r="BV922" t="str">
        <f>""</f>
        <v/>
      </c>
      <c r="BW922" t="str">
        <f>""</f>
        <v/>
      </c>
      <c r="BX922" t="str">
        <f>""</f>
        <v/>
      </c>
      <c r="BY922" t="str">
        <f>""</f>
        <v/>
      </c>
      <c r="BZ922" t="str">
        <f>""</f>
        <v/>
      </c>
      <c r="CA922" t="str">
        <f>""</f>
        <v/>
      </c>
      <c r="CB922" t="str">
        <f>""</f>
        <v/>
      </c>
      <c r="CC922" t="str">
        <f>""</f>
        <v/>
      </c>
      <c r="CD922" t="str">
        <f>""</f>
        <v/>
      </c>
      <c r="CE922" t="str">
        <f>""</f>
        <v/>
      </c>
      <c r="CF922" t="str">
        <f>""</f>
        <v/>
      </c>
      <c r="CG922" t="str">
        <f>""</f>
        <v/>
      </c>
      <c r="CH922" t="str">
        <f>""</f>
        <v/>
      </c>
      <c r="CI922" t="str">
        <f>""</f>
        <v/>
      </c>
      <c r="CJ922" t="str">
        <f>""</f>
        <v/>
      </c>
      <c r="CK922" t="str">
        <f>""</f>
        <v/>
      </c>
      <c r="CL922" t="str">
        <f>""</f>
        <v/>
      </c>
      <c r="CM922" t="str">
        <f>""</f>
        <v/>
      </c>
      <c r="CN922" t="str">
        <f>""</f>
        <v/>
      </c>
      <c r="CO922" t="str">
        <f>""</f>
        <v/>
      </c>
      <c r="CP922" t="str">
        <f>""</f>
        <v/>
      </c>
      <c r="CQ922" t="str">
        <f>""</f>
        <v/>
      </c>
      <c r="CR922" t="str">
        <f>""</f>
        <v/>
      </c>
      <c r="CS922" t="str">
        <f>""</f>
        <v/>
      </c>
      <c r="CT922" t="str">
        <f>""</f>
        <v/>
      </c>
      <c r="CU922" t="str">
        <f>""</f>
        <v/>
      </c>
      <c r="CV922" t="str">
        <f>""</f>
        <v/>
      </c>
      <c r="CW922" t="str">
        <f>""</f>
        <v/>
      </c>
      <c r="CX922" t="str">
        <f>""</f>
        <v/>
      </c>
      <c r="CY922" t="str">
        <f>""</f>
        <v/>
      </c>
      <c r="CZ922" t="str">
        <f>""</f>
        <v/>
      </c>
      <c r="DA922" t="str">
        <f>""</f>
        <v/>
      </c>
      <c r="DB922" t="str">
        <f>""</f>
        <v/>
      </c>
      <c r="DC922" t="str">
        <f>""</f>
        <v/>
      </c>
      <c r="DD922" t="str">
        <f>""</f>
        <v/>
      </c>
      <c r="DE922" t="str">
        <f>""</f>
        <v/>
      </c>
      <c r="DF922" t="str">
        <f>""</f>
        <v/>
      </c>
      <c r="DG922" t="str">
        <f>""</f>
        <v/>
      </c>
      <c r="DH922" t="str">
        <f>""</f>
        <v/>
      </c>
      <c r="DI922" t="str">
        <f>""</f>
        <v/>
      </c>
      <c r="DJ922" t="str">
        <f>""</f>
        <v/>
      </c>
      <c r="DK922" t="str">
        <f>""</f>
        <v/>
      </c>
      <c r="DL922" t="str">
        <f>""</f>
        <v/>
      </c>
      <c r="DM922" t="str">
        <f>""</f>
        <v/>
      </c>
      <c r="DN922" t="str">
        <f>""</f>
        <v/>
      </c>
      <c r="DO922" t="str">
        <f>""</f>
        <v/>
      </c>
      <c r="DP922" t="str">
        <f>""</f>
        <v/>
      </c>
      <c r="DQ922" t="str">
        <f>""</f>
        <v/>
      </c>
      <c r="DR922" t="str">
        <f>""</f>
        <v/>
      </c>
      <c r="DS922" t="str">
        <f>""</f>
        <v/>
      </c>
      <c r="DT922" t="str">
        <f>""</f>
        <v/>
      </c>
      <c r="DU922" t="str">
        <f>""</f>
        <v/>
      </c>
    </row>
    <row r="923" spans="1:125" x14ac:dyDescent="0.25">
      <c r="A923" t="str">
        <f>$A$255</f>
        <v xml:space="preserve">    BYD Co Ltd</v>
      </c>
      <c r="B923" t="str">
        <f>$B$255</f>
        <v>1211 HK Equity</v>
      </c>
      <c r="C923" t="str">
        <f>$C$255</f>
        <v>RR904</v>
      </c>
      <c r="D923" t="str">
        <f>$D$255</f>
        <v>PX_TO_SALES_RATIO</v>
      </c>
      <c r="E923" t="str">
        <f>$E$255</f>
        <v>Dynamic</v>
      </c>
      <c r="F923" t="str">
        <f ca="1">_xll.BDH($B$255,$C$255,$B$675,$B$676,CONCATENATE("Per=",$B$673),"Dts=H","Dir=H",CONCATENATE("Points=",$B$674),"Sort=R","Days=A","Fill=B",CONCATENATE("FX=", $B$672) )</f>
        <v>#N/A Connection</v>
      </c>
      <c r="BN923" t="str">
        <f>""</f>
        <v/>
      </c>
      <c r="BO923" t="str">
        <f>""</f>
        <v/>
      </c>
      <c r="BP923" t="str">
        <f>""</f>
        <v/>
      </c>
      <c r="BQ923" t="str">
        <f>""</f>
        <v/>
      </c>
      <c r="BR923" t="str">
        <f>""</f>
        <v/>
      </c>
      <c r="BS923" t="str">
        <f>""</f>
        <v/>
      </c>
      <c r="BT923" t="str">
        <f>""</f>
        <v/>
      </c>
      <c r="BU923" t="str">
        <f>""</f>
        <v/>
      </c>
      <c r="BV923" t="str">
        <f>""</f>
        <v/>
      </c>
      <c r="BW923" t="str">
        <f>""</f>
        <v/>
      </c>
      <c r="BX923" t="str">
        <f>""</f>
        <v/>
      </c>
      <c r="BY923" t="str">
        <f>""</f>
        <v/>
      </c>
      <c r="BZ923" t="str">
        <f>""</f>
        <v/>
      </c>
      <c r="CA923" t="str">
        <f>""</f>
        <v/>
      </c>
      <c r="CB923" t="str">
        <f>""</f>
        <v/>
      </c>
      <c r="CC923" t="str">
        <f>""</f>
        <v/>
      </c>
      <c r="CD923" t="str">
        <f>""</f>
        <v/>
      </c>
      <c r="CE923" t="str">
        <f>""</f>
        <v/>
      </c>
      <c r="CF923" t="str">
        <f>""</f>
        <v/>
      </c>
      <c r="CG923" t="str">
        <f>""</f>
        <v/>
      </c>
      <c r="CH923" t="str">
        <f>""</f>
        <v/>
      </c>
      <c r="CI923" t="str">
        <f>""</f>
        <v/>
      </c>
      <c r="CJ923" t="str">
        <f>""</f>
        <v/>
      </c>
      <c r="CK923" t="str">
        <f>""</f>
        <v/>
      </c>
      <c r="CL923" t="str">
        <f>""</f>
        <v/>
      </c>
      <c r="CM923" t="str">
        <f>""</f>
        <v/>
      </c>
      <c r="CN923" t="str">
        <f>""</f>
        <v/>
      </c>
      <c r="CO923" t="str">
        <f>""</f>
        <v/>
      </c>
      <c r="CP923" t="str">
        <f>""</f>
        <v/>
      </c>
      <c r="CQ923" t="str">
        <f>""</f>
        <v/>
      </c>
      <c r="CR923" t="str">
        <f>""</f>
        <v/>
      </c>
      <c r="CS923" t="str">
        <f>""</f>
        <v/>
      </c>
      <c r="CT923" t="str">
        <f>""</f>
        <v/>
      </c>
      <c r="CU923" t="str">
        <f>""</f>
        <v/>
      </c>
      <c r="CV923" t="str">
        <f>""</f>
        <v/>
      </c>
      <c r="CW923" t="str">
        <f>""</f>
        <v/>
      </c>
      <c r="CX923" t="str">
        <f>""</f>
        <v/>
      </c>
      <c r="CY923" t="str">
        <f>""</f>
        <v/>
      </c>
      <c r="CZ923" t="str">
        <f>""</f>
        <v/>
      </c>
      <c r="DA923" t="str">
        <f>""</f>
        <v/>
      </c>
      <c r="DB923" t="str">
        <f>""</f>
        <v/>
      </c>
      <c r="DC923" t="str">
        <f>""</f>
        <v/>
      </c>
      <c r="DD923" t="str">
        <f>""</f>
        <v/>
      </c>
      <c r="DE923" t="str">
        <f>""</f>
        <v/>
      </c>
      <c r="DF923" t="str">
        <f>""</f>
        <v/>
      </c>
      <c r="DG923" t="str">
        <f>""</f>
        <v/>
      </c>
      <c r="DH923" t="str">
        <f>""</f>
        <v/>
      </c>
      <c r="DI923" t="str">
        <f>""</f>
        <v/>
      </c>
      <c r="DJ923" t="str">
        <f>""</f>
        <v/>
      </c>
      <c r="DK923" t="str">
        <f>""</f>
        <v/>
      </c>
      <c r="DL923" t="str">
        <f>""</f>
        <v/>
      </c>
      <c r="DM923" t="str">
        <f>""</f>
        <v/>
      </c>
      <c r="DN923" t="str">
        <f>""</f>
        <v/>
      </c>
      <c r="DO923" t="str">
        <f>""</f>
        <v/>
      </c>
      <c r="DP923" t="str">
        <f>""</f>
        <v/>
      </c>
      <c r="DQ923" t="str">
        <f>""</f>
        <v/>
      </c>
      <c r="DR923" t="str">
        <f>""</f>
        <v/>
      </c>
      <c r="DS923" t="str">
        <f>""</f>
        <v/>
      </c>
      <c r="DT923" t="str">
        <f>""</f>
        <v/>
      </c>
      <c r="DU923" t="str">
        <f>""</f>
        <v/>
      </c>
    </row>
    <row r="924" spans="1:125" x14ac:dyDescent="0.25">
      <c r="A924" t="str">
        <f>$A$256</f>
        <v xml:space="preserve">    Chongqing Changan Automobile Co Ltd</v>
      </c>
      <c r="B924" t="str">
        <f>$B$256</f>
        <v>200625 CH Equity</v>
      </c>
      <c r="C924" t="str">
        <f>$C$256</f>
        <v>RR904</v>
      </c>
      <c r="D924" t="str">
        <f>$D$256</f>
        <v>PX_TO_SALES_RATIO</v>
      </c>
      <c r="E924" t="str">
        <f>$E$256</f>
        <v>Dynamic</v>
      </c>
      <c r="F924" t="str">
        <f ca="1">_xll.BDH($B$256,$C$256,$B$675,$B$676,CONCATENATE("Per=",$B$673),"Dts=H","Dir=H",CONCATENATE("Points=",$B$674),"Sort=R","Days=A","Fill=B",CONCATENATE("FX=", $B$672) )</f>
        <v>#N/A Connection</v>
      </c>
      <c r="BN924" t="str">
        <f>""</f>
        <v/>
      </c>
      <c r="BO924" t="str">
        <f>""</f>
        <v/>
      </c>
      <c r="BP924" t="str">
        <f>""</f>
        <v/>
      </c>
      <c r="BQ924" t="str">
        <f>""</f>
        <v/>
      </c>
      <c r="BR924" t="str">
        <f>""</f>
        <v/>
      </c>
      <c r="BS924" t="str">
        <f>""</f>
        <v/>
      </c>
      <c r="BT924" t="str">
        <f>""</f>
        <v/>
      </c>
      <c r="BU924" t="str">
        <f>""</f>
        <v/>
      </c>
      <c r="BV924" t="str">
        <f>""</f>
        <v/>
      </c>
      <c r="BW924" t="str">
        <f>""</f>
        <v/>
      </c>
      <c r="BX924" t="str">
        <f>""</f>
        <v/>
      </c>
      <c r="BY924" t="str">
        <f>""</f>
        <v/>
      </c>
      <c r="BZ924" t="str">
        <f>""</f>
        <v/>
      </c>
      <c r="CA924" t="str">
        <f>""</f>
        <v/>
      </c>
      <c r="CB924" t="str">
        <f>""</f>
        <v/>
      </c>
      <c r="CC924" t="str">
        <f>""</f>
        <v/>
      </c>
      <c r="CD924" t="str">
        <f>""</f>
        <v/>
      </c>
      <c r="CE924" t="str">
        <f>""</f>
        <v/>
      </c>
      <c r="CF924" t="str">
        <f>""</f>
        <v/>
      </c>
      <c r="CG924" t="str">
        <f>""</f>
        <v/>
      </c>
      <c r="CH924" t="str">
        <f>""</f>
        <v/>
      </c>
      <c r="CI924" t="str">
        <f>""</f>
        <v/>
      </c>
      <c r="CJ924" t="str">
        <f>""</f>
        <v/>
      </c>
      <c r="CK924" t="str">
        <f>""</f>
        <v/>
      </c>
      <c r="CL924" t="str">
        <f>""</f>
        <v/>
      </c>
      <c r="CM924" t="str">
        <f>""</f>
        <v/>
      </c>
      <c r="CN924" t="str">
        <f>""</f>
        <v/>
      </c>
      <c r="CO924" t="str">
        <f>""</f>
        <v/>
      </c>
      <c r="CP924" t="str">
        <f>""</f>
        <v/>
      </c>
      <c r="CQ924" t="str">
        <f>""</f>
        <v/>
      </c>
      <c r="CR924" t="str">
        <f>""</f>
        <v/>
      </c>
      <c r="CS924" t="str">
        <f>""</f>
        <v/>
      </c>
      <c r="CT924" t="str">
        <f>""</f>
        <v/>
      </c>
      <c r="CU924" t="str">
        <f>""</f>
        <v/>
      </c>
      <c r="CV924" t="str">
        <f>""</f>
        <v/>
      </c>
      <c r="CW924" t="str">
        <f>""</f>
        <v/>
      </c>
      <c r="CX924" t="str">
        <f>""</f>
        <v/>
      </c>
      <c r="CY924" t="str">
        <f>""</f>
        <v/>
      </c>
      <c r="CZ924" t="str">
        <f>""</f>
        <v/>
      </c>
      <c r="DA924" t="str">
        <f>""</f>
        <v/>
      </c>
      <c r="DB924" t="str">
        <f>""</f>
        <v/>
      </c>
      <c r="DC924" t="str">
        <f>""</f>
        <v/>
      </c>
      <c r="DD924" t="str">
        <f>""</f>
        <v/>
      </c>
      <c r="DE924" t="str">
        <f>""</f>
        <v/>
      </c>
      <c r="DF924" t="str">
        <f>""</f>
        <v/>
      </c>
      <c r="DG924" t="str">
        <f>""</f>
        <v/>
      </c>
      <c r="DH924" t="str">
        <f>""</f>
        <v/>
      </c>
      <c r="DI924" t="str">
        <f>""</f>
        <v/>
      </c>
      <c r="DJ924" t="str">
        <f>""</f>
        <v/>
      </c>
      <c r="DK924" t="str">
        <f>""</f>
        <v/>
      </c>
      <c r="DL924" t="str">
        <f>""</f>
        <v/>
      </c>
      <c r="DM924" t="str">
        <f>""</f>
        <v/>
      </c>
      <c r="DN924" t="str">
        <f>""</f>
        <v/>
      </c>
      <c r="DO924" t="str">
        <f>""</f>
        <v/>
      </c>
      <c r="DP924" t="str">
        <f>""</f>
        <v/>
      </c>
      <c r="DQ924" t="str">
        <f>""</f>
        <v/>
      </c>
      <c r="DR924" t="str">
        <f>""</f>
        <v/>
      </c>
      <c r="DS924" t="str">
        <f>""</f>
        <v/>
      </c>
      <c r="DT924" t="str">
        <f>""</f>
        <v/>
      </c>
      <c r="DU924" t="str">
        <f>""</f>
        <v/>
      </c>
    </row>
    <row r="925" spans="1:125" x14ac:dyDescent="0.25">
      <c r="A925" t="str">
        <f>$A$257</f>
        <v xml:space="preserve">    Daihatsu Motor Co Ltd</v>
      </c>
      <c r="B925" t="str">
        <f>$B$257</f>
        <v>7262 JP Equity</v>
      </c>
      <c r="C925" t="str">
        <f>$C$257</f>
        <v>RR904</v>
      </c>
      <c r="D925" t="str">
        <f>$D$257</f>
        <v>PX_TO_SALES_RATIO</v>
      </c>
      <c r="E925" t="str">
        <f>$E$257</f>
        <v>Dynamic</v>
      </c>
      <c r="F925" t="str">
        <f ca="1">_xll.BDH($B$257,$C$257,$B$675,$B$676,CONCATENATE("Per=",$B$673),"Dts=H","Dir=H",CONCATENATE("Points=",$B$674),"Sort=R","Days=A","Fill=B",CONCATENATE("FX=", $B$672) )</f>
        <v>#N/A Connection</v>
      </c>
      <c r="BN925" t="str">
        <f>""</f>
        <v/>
      </c>
      <c r="BO925" t="str">
        <f>""</f>
        <v/>
      </c>
      <c r="BP925" t="str">
        <f>""</f>
        <v/>
      </c>
      <c r="BQ925" t="str">
        <f>""</f>
        <v/>
      </c>
      <c r="BR925" t="str">
        <f>""</f>
        <v/>
      </c>
      <c r="BS925" t="str">
        <f>""</f>
        <v/>
      </c>
      <c r="BT925" t="str">
        <f>""</f>
        <v/>
      </c>
      <c r="BU925" t="str">
        <f>""</f>
        <v/>
      </c>
      <c r="BV925" t="str">
        <f>""</f>
        <v/>
      </c>
      <c r="BW925" t="str">
        <f>""</f>
        <v/>
      </c>
      <c r="BX925" t="str">
        <f>""</f>
        <v/>
      </c>
      <c r="BY925" t="str">
        <f>""</f>
        <v/>
      </c>
      <c r="BZ925" t="str">
        <f>""</f>
        <v/>
      </c>
      <c r="CA925" t="str">
        <f>""</f>
        <v/>
      </c>
      <c r="CB925" t="str">
        <f>""</f>
        <v/>
      </c>
      <c r="CC925" t="str">
        <f>""</f>
        <v/>
      </c>
      <c r="CD925" t="str">
        <f>""</f>
        <v/>
      </c>
      <c r="CE925" t="str">
        <f>""</f>
        <v/>
      </c>
      <c r="CF925" t="str">
        <f>""</f>
        <v/>
      </c>
      <c r="CG925" t="str">
        <f>""</f>
        <v/>
      </c>
      <c r="CH925" t="str">
        <f>""</f>
        <v/>
      </c>
      <c r="CI925" t="str">
        <f>""</f>
        <v/>
      </c>
      <c r="CJ925" t="str">
        <f>""</f>
        <v/>
      </c>
      <c r="CK925" t="str">
        <f>""</f>
        <v/>
      </c>
      <c r="CL925" t="str">
        <f>""</f>
        <v/>
      </c>
      <c r="CM925" t="str">
        <f>""</f>
        <v/>
      </c>
      <c r="CN925" t="str">
        <f>""</f>
        <v/>
      </c>
      <c r="CO925" t="str">
        <f>""</f>
        <v/>
      </c>
      <c r="CP925" t="str">
        <f>""</f>
        <v/>
      </c>
      <c r="CQ925" t="str">
        <f>""</f>
        <v/>
      </c>
      <c r="CR925" t="str">
        <f>""</f>
        <v/>
      </c>
      <c r="CS925" t="str">
        <f>""</f>
        <v/>
      </c>
      <c r="CT925" t="str">
        <f>""</f>
        <v/>
      </c>
      <c r="CU925" t="str">
        <f>""</f>
        <v/>
      </c>
      <c r="CV925" t="str">
        <f>""</f>
        <v/>
      </c>
      <c r="CW925" t="str">
        <f>""</f>
        <v/>
      </c>
      <c r="CX925" t="str">
        <f>""</f>
        <v/>
      </c>
      <c r="CY925" t="str">
        <f>""</f>
        <v/>
      </c>
      <c r="CZ925" t="str">
        <f>""</f>
        <v/>
      </c>
      <c r="DA925" t="str">
        <f>""</f>
        <v/>
      </c>
      <c r="DB925" t="str">
        <f>""</f>
        <v/>
      </c>
      <c r="DC925" t="str">
        <f>""</f>
        <v/>
      </c>
      <c r="DD925" t="str">
        <f>""</f>
        <v/>
      </c>
      <c r="DE925" t="str">
        <f>""</f>
        <v/>
      </c>
      <c r="DF925" t="str">
        <f>""</f>
        <v/>
      </c>
      <c r="DG925" t="str">
        <f>""</f>
        <v/>
      </c>
      <c r="DH925" t="str">
        <f>""</f>
        <v/>
      </c>
      <c r="DI925" t="str">
        <f>""</f>
        <v/>
      </c>
      <c r="DJ925" t="str">
        <f>""</f>
        <v/>
      </c>
      <c r="DK925" t="str">
        <f>""</f>
        <v/>
      </c>
      <c r="DL925" t="str">
        <f>""</f>
        <v/>
      </c>
      <c r="DM925" t="str">
        <f>""</f>
        <v/>
      </c>
      <c r="DN925" t="str">
        <f>""</f>
        <v/>
      </c>
      <c r="DO925" t="str">
        <f>""</f>
        <v/>
      </c>
      <c r="DP925" t="str">
        <f>""</f>
        <v/>
      </c>
      <c r="DQ925" t="str">
        <f>""</f>
        <v/>
      </c>
      <c r="DR925" t="str">
        <f>""</f>
        <v/>
      </c>
      <c r="DS925" t="str">
        <f>""</f>
        <v/>
      </c>
      <c r="DT925" t="str">
        <f>""</f>
        <v/>
      </c>
      <c r="DU925" t="str">
        <f>""</f>
        <v/>
      </c>
    </row>
    <row r="926" spans="1:125" x14ac:dyDescent="0.25">
      <c r="A926" t="str">
        <f>$A$258</f>
        <v xml:space="preserve">    Daimler AG</v>
      </c>
      <c r="B926" t="str">
        <f>$B$258</f>
        <v>DAI GR Equity</v>
      </c>
      <c r="C926" t="str">
        <f>$C$258</f>
        <v>RR904</v>
      </c>
      <c r="D926" t="str">
        <f>$D$258</f>
        <v>PX_TO_SALES_RATIO</v>
      </c>
      <c r="E926" t="str">
        <f>$E$258</f>
        <v>Dynamic</v>
      </c>
      <c r="F926" t="str">
        <f ca="1">_xll.BDH($B$258,$C$258,$B$675,$B$676,CONCATENATE("Per=",$B$673),"Dts=H","Dir=H",CONCATENATE("Points=",$B$674),"Sort=R","Days=A","Fill=B",CONCATENATE("FX=", $B$672) )</f>
        <v>#N/A Connection</v>
      </c>
      <c r="BN926" t="str">
        <f>""</f>
        <v/>
      </c>
      <c r="BO926" t="str">
        <f>""</f>
        <v/>
      </c>
      <c r="BP926" t="str">
        <f>""</f>
        <v/>
      </c>
      <c r="BQ926" t="str">
        <f>""</f>
        <v/>
      </c>
      <c r="BR926" t="str">
        <f>""</f>
        <v/>
      </c>
      <c r="BS926" t="str">
        <f>""</f>
        <v/>
      </c>
      <c r="BT926" t="str">
        <f>""</f>
        <v/>
      </c>
      <c r="BU926" t="str">
        <f>""</f>
        <v/>
      </c>
      <c r="BV926" t="str">
        <f>""</f>
        <v/>
      </c>
      <c r="BW926" t="str">
        <f>""</f>
        <v/>
      </c>
      <c r="BX926" t="str">
        <f>""</f>
        <v/>
      </c>
      <c r="BY926" t="str">
        <f>""</f>
        <v/>
      </c>
      <c r="BZ926" t="str">
        <f>""</f>
        <v/>
      </c>
      <c r="CA926" t="str">
        <f>""</f>
        <v/>
      </c>
      <c r="CB926" t="str">
        <f>""</f>
        <v/>
      </c>
      <c r="CC926" t="str">
        <f>""</f>
        <v/>
      </c>
      <c r="CD926" t="str">
        <f>""</f>
        <v/>
      </c>
      <c r="CE926" t="str">
        <f>""</f>
        <v/>
      </c>
      <c r="CF926" t="str">
        <f>""</f>
        <v/>
      </c>
      <c r="CG926" t="str">
        <f>""</f>
        <v/>
      </c>
      <c r="CH926" t="str">
        <f>""</f>
        <v/>
      </c>
      <c r="CI926" t="str">
        <f>""</f>
        <v/>
      </c>
      <c r="CJ926" t="str">
        <f>""</f>
        <v/>
      </c>
      <c r="CK926" t="str">
        <f>""</f>
        <v/>
      </c>
      <c r="CL926" t="str">
        <f>""</f>
        <v/>
      </c>
      <c r="CM926" t="str">
        <f>""</f>
        <v/>
      </c>
      <c r="CN926" t="str">
        <f>""</f>
        <v/>
      </c>
      <c r="CO926" t="str">
        <f>""</f>
        <v/>
      </c>
      <c r="CP926" t="str">
        <f>""</f>
        <v/>
      </c>
      <c r="CQ926" t="str">
        <f>""</f>
        <v/>
      </c>
      <c r="CR926" t="str">
        <f>""</f>
        <v/>
      </c>
      <c r="CS926" t="str">
        <f>""</f>
        <v/>
      </c>
      <c r="CT926" t="str">
        <f>""</f>
        <v/>
      </c>
      <c r="CU926" t="str">
        <f>""</f>
        <v/>
      </c>
      <c r="CV926" t="str">
        <f>""</f>
        <v/>
      </c>
      <c r="CW926" t="str">
        <f>""</f>
        <v/>
      </c>
      <c r="CX926" t="str">
        <f>""</f>
        <v/>
      </c>
      <c r="CY926" t="str">
        <f>""</f>
        <v/>
      </c>
      <c r="CZ926" t="str">
        <f>""</f>
        <v/>
      </c>
      <c r="DA926" t="str">
        <f>""</f>
        <v/>
      </c>
      <c r="DB926" t="str">
        <f>""</f>
        <v/>
      </c>
      <c r="DC926" t="str">
        <f>""</f>
        <v/>
      </c>
      <c r="DD926" t="str">
        <f>""</f>
        <v/>
      </c>
      <c r="DE926" t="str">
        <f>""</f>
        <v/>
      </c>
      <c r="DF926" t="str">
        <f>""</f>
        <v/>
      </c>
      <c r="DG926" t="str">
        <f>""</f>
        <v/>
      </c>
      <c r="DH926" t="str">
        <f>""</f>
        <v/>
      </c>
      <c r="DI926" t="str">
        <f>""</f>
        <v/>
      </c>
      <c r="DJ926" t="str">
        <f>""</f>
        <v/>
      </c>
      <c r="DK926" t="str">
        <f>""</f>
        <v/>
      </c>
      <c r="DL926" t="str">
        <f>""</f>
        <v/>
      </c>
      <c r="DM926" t="str">
        <f>""</f>
        <v/>
      </c>
      <c r="DN926" t="str">
        <f>""</f>
        <v/>
      </c>
      <c r="DO926" t="str">
        <f>""</f>
        <v/>
      </c>
      <c r="DP926" t="str">
        <f>""</f>
        <v/>
      </c>
      <c r="DQ926" t="str">
        <f>""</f>
        <v/>
      </c>
      <c r="DR926" t="str">
        <f>""</f>
        <v/>
      </c>
      <c r="DS926" t="str">
        <f>""</f>
        <v/>
      </c>
      <c r="DT926" t="str">
        <f>""</f>
        <v/>
      </c>
      <c r="DU926" t="str">
        <f>""</f>
        <v/>
      </c>
    </row>
    <row r="927" spans="1:125" x14ac:dyDescent="0.25">
      <c r="A927" t="str">
        <f>$A$259</f>
        <v xml:space="preserve">    Dongfeng Motor Group Co Ltd</v>
      </c>
      <c r="B927" t="str">
        <f>$B$259</f>
        <v>489 HK Equity</v>
      </c>
      <c r="C927" t="str">
        <f>$C$259</f>
        <v>RR904</v>
      </c>
      <c r="D927" t="str">
        <f>$D$259</f>
        <v>PX_TO_SALES_RATIO</v>
      </c>
      <c r="E927" t="str">
        <f>$E$259</f>
        <v>Dynamic</v>
      </c>
      <c r="F927" t="str">
        <f ca="1">_xll.BDH($B$259,$C$259,$B$675,$B$676,CONCATENATE("Per=",$B$673),"Dts=H","Dir=H",CONCATENATE("Points=",$B$674),"Sort=R","Days=A","Fill=B",CONCATENATE("FX=", $B$672) )</f>
        <v>#N/A Connection</v>
      </c>
      <c r="BN927" t="str">
        <f>""</f>
        <v/>
      </c>
      <c r="BO927" t="str">
        <f>""</f>
        <v/>
      </c>
      <c r="BP927" t="str">
        <f>""</f>
        <v/>
      </c>
      <c r="BQ927" t="str">
        <f>""</f>
        <v/>
      </c>
      <c r="BR927" t="str">
        <f>""</f>
        <v/>
      </c>
      <c r="BS927" t="str">
        <f>""</f>
        <v/>
      </c>
      <c r="BT927" t="str">
        <f>""</f>
        <v/>
      </c>
      <c r="BU927" t="str">
        <f>""</f>
        <v/>
      </c>
      <c r="BV927" t="str">
        <f>""</f>
        <v/>
      </c>
      <c r="BW927" t="str">
        <f>""</f>
        <v/>
      </c>
      <c r="BX927" t="str">
        <f>""</f>
        <v/>
      </c>
      <c r="BY927" t="str">
        <f>""</f>
        <v/>
      </c>
      <c r="BZ927" t="str">
        <f>""</f>
        <v/>
      </c>
      <c r="CA927" t="str">
        <f>""</f>
        <v/>
      </c>
      <c r="CB927" t="str">
        <f>""</f>
        <v/>
      </c>
      <c r="CC927" t="str">
        <f>""</f>
        <v/>
      </c>
      <c r="CD927" t="str">
        <f>""</f>
        <v/>
      </c>
      <c r="CE927" t="str">
        <f>""</f>
        <v/>
      </c>
      <c r="CF927" t="str">
        <f>""</f>
        <v/>
      </c>
      <c r="CG927" t="str">
        <f>""</f>
        <v/>
      </c>
      <c r="CH927" t="str">
        <f>""</f>
        <v/>
      </c>
      <c r="CI927" t="str">
        <f>""</f>
        <v/>
      </c>
      <c r="CJ927" t="str">
        <f>""</f>
        <v/>
      </c>
      <c r="CK927" t="str">
        <f>""</f>
        <v/>
      </c>
      <c r="CL927" t="str">
        <f>""</f>
        <v/>
      </c>
      <c r="CM927" t="str">
        <f>""</f>
        <v/>
      </c>
      <c r="CN927" t="str">
        <f>""</f>
        <v/>
      </c>
      <c r="CO927" t="str">
        <f>""</f>
        <v/>
      </c>
      <c r="CP927" t="str">
        <f>""</f>
        <v/>
      </c>
      <c r="CQ927" t="str">
        <f>""</f>
        <v/>
      </c>
      <c r="CR927" t="str">
        <f>""</f>
        <v/>
      </c>
      <c r="CS927" t="str">
        <f>""</f>
        <v/>
      </c>
      <c r="CT927" t="str">
        <f>""</f>
        <v/>
      </c>
      <c r="CU927" t="str">
        <f>""</f>
        <v/>
      </c>
      <c r="CV927" t="str">
        <f>""</f>
        <v/>
      </c>
      <c r="CW927" t="str">
        <f>""</f>
        <v/>
      </c>
      <c r="CX927" t="str">
        <f>""</f>
        <v/>
      </c>
      <c r="CY927" t="str">
        <f>""</f>
        <v/>
      </c>
      <c r="CZ927" t="str">
        <f>""</f>
        <v/>
      </c>
      <c r="DA927" t="str">
        <f>""</f>
        <v/>
      </c>
      <c r="DB927" t="str">
        <f>""</f>
        <v/>
      </c>
      <c r="DC927" t="str">
        <f>""</f>
        <v/>
      </c>
      <c r="DD927" t="str">
        <f>""</f>
        <v/>
      </c>
      <c r="DE927" t="str">
        <f>""</f>
        <v/>
      </c>
      <c r="DF927" t="str">
        <f>""</f>
        <v/>
      </c>
      <c r="DG927" t="str">
        <f>""</f>
        <v/>
      </c>
      <c r="DH927" t="str">
        <f>""</f>
        <v/>
      </c>
      <c r="DI927" t="str">
        <f>""</f>
        <v/>
      </c>
      <c r="DJ927" t="str">
        <f>""</f>
        <v/>
      </c>
      <c r="DK927" t="str">
        <f>""</f>
        <v/>
      </c>
      <c r="DL927" t="str">
        <f>""</f>
        <v/>
      </c>
      <c r="DM927" t="str">
        <f>""</f>
        <v/>
      </c>
      <c r="DN927" t="str">
        <f>""</f>
        <v/>
      </c>
      <c r="DO927" t="str">
        <f>""</f>
        <v/>
      </c>
      <c r="DP927" t="str">
        <f>""</f>
        <v/>
      </c>
      <c r="DQ927" t="str">
        <f>""</f>
        <v/>
      </c>
      <c r="DR927" t="str">
        <f>""</f>
        <v/>
      </c>
      <c r="DS927" t="str">
        <f>""</f>
        <v/>
      </c>
      <c r="DT927" t="str">
        <f>""</f>
        <v/>
      </c>
      <c r="DU927" t="str">
        <f>""</f>
        <v/>
      </c>
    </row>
    <row r="928" spans="1:125" x14ac:dyDescent="0.25">
      <c r="A928" t="str">
        <f>$A$260</f>
        <v xml:space="preserve">    DRB-Hicom Bhd</v>
      </c>
      <c r="B928" t="str">
        <f>$B$260</f>
        <v>DRB MK Equity</v>
      </c>
      <c r="C928" t="str">
        <f>$C$260</f>
        <v>RR904</v>
      </c>
      <c r="D928" t="str">
        <f>$D$260</f>
        <v>PX_TO_SALES_RATIO</v>
      </c>
      <c r="E928" t="str">
        <f>$E$260</f>
        <v>Dynamic</v>
      </c>
      <c r="F928" t="str">
        <f ca="1">_xll.BDH($B$260,$C$260,$B$675,$B$676,CONCATENATE("Per=",$B$673),"Dts=H","Dir=H",CONCATENATE("Points=",$B$674),"Sort=R","Days=A","Fill=B",CONCATENATE("FX=", $B$672) )</f>
        <v>#N/A Connection</v>
      </c>
      <c r="BN928" t="str">
        <f>""</f>
        <v/>
      </c>
      <c r="BO928" t="str">
        <f>""</f>
        <v/>
      </c>
      <c r="BP928" t="str">
        <f>""</f>
        <v/>
      </c>
      <c r="BQ928" t="str">
        <f>""</f>
        <v/>
      </c>
      <c r="BR928" t="str">
        <f>""</f>
        <v/>
      </c>
      <c r="BS928" t="str">
        <f>""</f>
        <v/>
      </c>
      <c r="BT928" t="str">
        <f>""</f>
        <v/>
      </c>
      <c r="BU928" t="str">
        <f>""</f>
        <v/>
      </c>
      <c r="BV928" t="str">
        <f>""</f>
        <v/>
      </c>
      <c r="BW928" t="str">
        <f>""</f>
        <v/>
      </c>
      <c r="BX928" t="str">
        <f>""</f>
        <v/>
      </c>
      <c r="BY928" t="str">
        <f>""</f>
        <v/>
      </c>
      <c r="BZ928" t="str">
        <f>""</f>
        <v/>
      </c>
      <c r="CA928" t="str">
        <f>""</f>
        <v/>
      </c>
      <c r="CB928" t="str">
        <f>""</f>
        <v/>
      </c>
      <c r="CC928" t="str">
        <f>""</f>
        <v/>
      </c>
      <c r="CD928" t="str">
        <f>""</f>
        <v/>
      </c>
      <c r="CE928" t="str">
        <f>""</f>
        <v/>
      </c>
      <c r="CF928" t="str">
        <f>""</f>
        <v/>
      </c>
      <c r="CG928" t="str">
        <f>""</f>
        <v/>
      </c>
      <c r="CH928" t="str">
        <f>""</f>
        <v/>
      </c>
      <c r="CI928" t="str">
        <f>""</f>
        <v/>
      </c>
      <c r="CJ928" t="str">
        <f>""</f>
        <v/>
      </c>
      <c r="CK928" t="str">
        <f>""</f>
        <v/>
      </c>
      <c r="CL928" t="str">
        <f>""</f>
        <v/>
      </c>
      <c r="CM928" t="str">
        <f>""</f>
        <v/>
      </c>
      <c r="CN928" t="str">
        <f>""</f>
        <v/>
      </c>
      <c r="CO928" t="str">
        <f>""</f>
        <v/>
      </c>
      <c r="CP928" t="str">
        <f>""</f>
        <v/>
      </c>
      <c r="CQ928" t="str">
        <f>""</f>
        <v/>
      </c>
      <c r="CR928" t="str">
        <f>""</f>
        <v/>
      </c>
      <c r="CS928" t="str">
        <f>""</f>
        <v/>
      </c>
      <c r="CT928" t="str">
        <f>""</f>
        <v/>
      </c>
      <c r="CU928" t="str">
        <f>""</f>
        <v/>
      </c>
      <c r="CV928" t="str">
        <f>""</f>
        <v/>
      </c>
      <c r="CW928" t="str">
        <f>""</f>
        <v/>
      </c>
      <c r="CX928" t="str">
        <f>""</f>
        <v/>
      </c>
      <c r="CY928" t="str">
        <f>""</f>
        <v/>
      </c>
      <c r="CZ928" t="str">
        <f>""</f>
        <v/>
      </c>
      <c r="DA928" t="str">
        <f>""</f>
        <v/>
      </c>
      <c r="DB928" t="str">
        <f>""</f>
        <v/>
      </c>
      <c r="DC928" t="str">
        <f>""</f>
        <v/>
      </c>
      <c r="DD928" t="str">
        <f>""</f>
        <v/>
      </c>
      <c r="DE928" t="str">
        <f>""</f>
        <v/>
      </c>
      <c r="DF928" t="str">
        <f>""</f>
        <v/>
      </c>
      <c r="DG928" t="str">
        <f>""</f>
        <v/>
      </c>
      <c r="DH928" t="str">
        <f>""</f>
        <v/>
      </c>
      <c r="DI928" t="str">
        <f>""</f>
        <v/>
      </c>
      <c r="DJ928" t="str">
        <f>""</f>
        <v/>
      </c>
      <c r="DK928" t="str">
        <f>""</f>
        <v/>
      </c>
      <c r="DL928" t="str">
        <f>""</f>
        <v/>
      </c>
      <c r="DM928" t="str">
        <f>""</f>
        <v/>
      </c>
      <c r="DN928" t="str">
        <f>""</f>
        <v/>
      </c>
      <c r="DO928" t="str">
        <f>""</f>
        <v/>
      </c>
      <c r="DP928" t="str">
        <f>""</f>
        <v/>
      </c>
      <c r="DQ928" t="str">
        <f>""</f>
        <v/>
      </c>
      <c r="DR928" t="str">
        <f>""</f>
        <v/>
      </c>
      <c r="DS928" t="str">
        <f>""</f>
        <v/>
      </c>
      <c r="DT928" t="str">
        <f>""</f>
        <v/>
      </c>
      <c r="DU928" t="str">
        <f>""</f>
        <v/>
      </c>
    </row>
    <row r="929" spans="1:125" x14ac:dyDescent="0.25">
      <c r="A929" t="str">
        <f>$A$261</f>
        <v xml:space="preserve">    FAW CAR Co Ltd</v>
      </c>
      <c r="B929" t="str">
        <f>$B$261</f>
        <v>000800 CH Equity</v>
      </c>
      <c r="C929" t="str">
        <f>$C$261</f>
        <v>RR904</v>
      </c>
      <c r="D929" t="str">
        <f>$D$261</f>
        <v>PX_TO_SALES_RATIO</v>
      </c>
      <c r="E929" t="str">
        <f>$E$261</f>
        <v>Dynamic</v>
      </c>
      <c r="F929" t="str">
        <f ca="1">_xll.BDH($B$261,$C$261,$B$675,$B$676,CONCATENATE("Per=",$B$673),"Dts=H","Dir=H",CONCATENATE("Points=",$B$674),"Sort=R","Days=A","Fill=B",CONCATENATE("FX=", $B$672) )</f>
        <v>#N/A Connection</v>
      </c>
      <c r="BN929" t="str">
        <f>""</f>
        <v/>
      </c>
      <c r="BO929" t="str">
        <f>""</f>
        <v/>
      </c>
      <c r="BP929" t="str">
        <f>""</f>
        <v/>
      </c>
      <c r="BQ929" t="str">
        <f>""</f>
        <v/>
      </c>
      <c r="BR929" t="str">
        <f>""</f>
        <v/>
      </c>
      <c r="BS929" t="str">
        <f>""</f>
        <v/>
      </c>
      <c r="BT929" t="str">
        <f>""</f>
        <v/>
      </c>
      <c r="BU929" t="str">
        <f>""</f>
        <v/>
      </c>
      <c r="BV929" t="str">
        <f>""</f>
        <v/>
      </c>
      <c r="BW929" t="str">
        <f>""</f>
        <v/>
      </c>
      <c r="BX929" t="str">
        <f>""</f>
        <v/>
      </c>
      <c r="BY929" t="str">
        <f>""</f>
        <v/>
      </c>
      <c r="BZ929" t="str">
        <f>""</f>
        <v/>
      </c>
      <c r="CA929" t="str">
        <f>""</f>
        <v/>
      </c>
      <c r="CB929" t="str">
        <f>""</f>
        <v/>
      </c>
      <c r="CC929" t="str">
        <f>""</f>
        <v/>
      </c>
      <c r="CD929" t="str">
        <f>""</f>
        <v/>
      </c>
      <c r="CE929" t="str">
        <f>""</f>
        <v/>
      </c>
      <c r="CF929" t="str">
        <f>""</f>
        <v/>
      </c>
      <c r="CG929" t="str">
        <f>""</f>
        <v/>
      </c>
      <c r="CH929" t="str">
        <f>""</f>
        <v/>
      </c>
      <c r="CI929" t="str">
        <f>""</f>
        <v/>
      </c>
      <c r="CJ929" t="str">
        <f>""</f>
        <v/>
      </c>
      <c r="CK929" t="str">
        <f>""</f>
        <v/>
      </c>
      <c r="CL929" t="str">
        <f>""</f>
        <v/>
      </c>
      <c r="CM929" t="str">
        <f>""</f>
        <v/>
      </c>
      <c r="CN929" t="str">
        <f>""</f>
        <v/>
      </c>
      <c r="CO929" t="str">
        <f>""</f>
        <v/>
      </c>
      <c r="CP929" t="str">
        <f>""</f>
        <v/>
      </c>
      <c r="CQ929" t="str">
        <f>""</f>
        <v/>
      </c>
      <c r="CR929" t="str">
        <f>""</f>
        <v/>
      </c>
      <c r="CS929" t="str">
        <f>""</f>
        <v/>
      </c>
      <c r="CT929" t="str">
        <f>""</f>
        <v/>
      </c>
      <c r="CU929" t="str">
        <f>""</f>
        <v/>
      </c>
      <c r="CV929" t="str">
        <f>""</f>
        <v/>
      </c>
      <c r="CW929" t="str">
        <f>""</f>
        <v/>
      </c>
      <c r="CX929" t="str">
        <f>""</f>
        <v/>
      </c>
      <c r="CY929" t="str">
        <f>""</f>
        <v/>
      </c>
      <c r="CZ929" t="str">
        <f>""</f>
        <v/>
      </c>
      <c r="DA929" t="str">
        <f>""</f>
        <v/>
      </c>
      <c r="DB929" t="str">
        <f>""</f>
        <v/>
      </c>
      <c r="DC929" t="str">
        <f>""</f>
        <v/>
      </c>
      <c r="DD929" t="str">
        <f>""</f>
        <v/>
      </c>
      <c r="DE929" t="str">
        <f>""</f>
        <v/>
      </c>
      <c r="DF929" t="str">
        <f>""</f>
        <v/>
      </c>
      <c r="DG929" t="str">
        <f>""</f>
        <v/>
      </c>
      <c r="DH929" t="str">
        <f>""</f>
        <v/>
      </c>
      <c r="DI929" t="str">
        <f>""</f>
        <v/>
      </c>
      <c r="DJ929" t="str">
        <f>""</f>
        <v/>
      </c>
      <c r="DK929" t="str">
        <f>""</f>
        <v/>
      </c>
      <c r="DL929" t="str">
        <f>""</f>
        <v/>
      </c>
      <c r="DM929" t="str">
        <f>""</f>
        <v/>
      </c>
      <c r="DN929" t="str">
        <f>""</f>
        <v/>
      </c>
      <c r="DO929" t="str">
        <f>""</f>
        <v/>
      </c>
      <c r="DP929" t="str">
        <f>""</f>
        <v/>
      </c>
      <c r="DQ929" t="str">
        <f>""</f>
        <v/>
      </c>
      <c r="DR929" t="str">
        <f>""</f>
        <v/>
      </c>
      <c r="DS929" t="str">
        <f>""</f>
        <v/>
      </c>
      <c r="DT929" t="str">
        <f>""</f>
        <v/>
      </c>
      <c r="DU929" t="str">
        <f>""</f>
        <v/>
      </c>
    </row>
    <row r="930" spans="1:125" x14ac:dyDescent="0.25">
      <c r="A930" t="str">
        <f>$A$262</f>
        <v xml:space="preserve">    Fiat Chrysler Automobiles NV</v>
      </c>
      <c r="B930" t="str">
        <f>$B$262</f>
        <v>FCAU US Equity</v>
      </c>
      <c r="C930" t="str">
        <f>$C$262</f>
        <v>RR904</v>
      </c>
      <c r="D930" t="str">
        <f>$D$262</f>
        <v>PX_TO_SALES_RATIO</v>
      </c>
      <c r="E930" t="str">
        <f>$E$262</f>
        <v>Dynamic</v>
      </c>
      <c r="F930" t="str">
        <f ca="1">_xll.BDH($B$262,$C$262,$B$675,$B$676,CONCATENATE("Per=",$B$673),"Dts=H","Dir=H",CONCATENATE("Points=",$B$674),"Sort=R","Days=A","Fill=B",CONCATENATE("FX=", $B$672) )</f>
        <v>#N/A Connection</v>
      </c>
      <c r="BN930" t="str">
        <f>""</f>
        <v/>
      </c>
      <c r="BO930" t="str">
        <f>""</f>
        <v/>
      </c>
      <c r="BP930" t="str">
        <f>""</f>
        <v/>
      </c>
      <c r="BQ930" t="str">
        <f>""</f>
        <v/>
      </c>
      <c r="BR930" t="str">
        <f>""</f>
        <v/>
      </c>
      <c r="BS930" t="str">
        <f>""</f>
        <v/>
      </c>
      <c r="BT930" t="str">
        <f>""</f>
        <v/>
      </c>
      <c r="BU930" t="str">
        <f>""</f>
        <v/>
      </c>
      <c r="BV930" t="str">
        <f>""</f>
        <v/>
      </c>
      <c r="BW930" t="str">
        <f>""</f>
        <v/>
      </c>
      <c r="BX930" t="str">
        <f>""</f>
        <v/>
      </c>
      <c r="BY930" t="str">
        <f>""</f>
        <v/>
      </c>
      <c r="BZ930" t="str">
        <f>""</f>
        <v/>
      </c>
      <c r="CA930" t="str">
        <f>""</f>
        <v/>
      </c>
      <c r="CB930" t="str">
        <f>""</f>
        <v/>
      </c>
      <c r="CC930" t="str">
        <f>""</f>
        <v/>
      </c>
      <c r="CD930" t="str">
        <f>""</f>
        <v/>
      </c>
      <c r="CE930" t="str">
        <f>""</f>
        <v/>
      </c>
      <c r="CF930" t="str">
        <f>""</f>
        <v/>
      </c>
      <c r="CG930" t="str">
        <f>""</f>
        <v/>
      </c>
      <c r="CH930" t="str">
        <f>""</f>
        <v/>
      </c>
      <c r="CI930" t="str">
        <f>""</f>
        <v/>
      </c>
      <c r="CJ930" t="str">
        <f>""</f>
        <v/>
      </c>
      <c r="CK930" t="str">
        <f>""</f>
        <v/>
      </c>
      <c r="CL930" t="str">
        <f>""</f>
        <v/>
      </c>
      <c r="CM930" t="str">
        <f>""</f>
        <v/>
      </c>
      <c r="CN930" t="str">
        <f>""</f>
        <v/>
      </c>
      <c r="CO930" t="str">
        <f>""</f>
        <v/>
      </c>
      <c r="CP930" t="str">
        <f>""</f>
        <v/>
      </c>
      <c r="CQ930" t="str">
        <f>""</f>
        <v/>
      </c>
      <c r="CR930" t="str">
        <f>""</f>
        <v/>
      </c>
      <c r="CS930" t="str">
        <f>""</f>
        <v/>
      </c>
      <c r="CT930" t="str">
        <f>""</f>
        <v/>
      </c>
      <c r="CU930" t="str">
        <f>""</f>
        <v/>
      </c>
      <c r="CV930" t="str">
        <f>""</f>
        <v/>
      </c>
      <c r="CW930" t="str">
        <f>""</f>
        <v/>
      </c>
      <c r="CX930" t="str">
        <f>""</f>
        <v/>
      </c>
      <c r="CY930" t="str">
        <f>""</f>
        <v/>
      </c>
      <c r="CZ930" t="str">
        <f>""</f>
        <v/>
      </c>
      <c r="DA930" t="str">
        <f>""</f>
        <v/>
      </c>
      <c r="DB930" t="str">
        <f>""</f>
        <v/>
      </c>
      <c r="DC930" t="str">
        <f>""</f>
        <v/>
      </c>
      <c r="DD930" t="str">
        <f>""</f>
        <v/>
      </c>
      <c r="DE930" t="str">
        <f>""</f>
        <v/>
      </c>
      <c r="DF930" t="str">
        <f>""</f>
        <v/>
      </c>
      <c r="DG930" t="str">
        <f>""</f>
        <v/>
      </c>
      <c r="DH930" t="str">
        <f>""</f>
        <v/>
      </c>
      <c r="DI930" t="str">
        <f>""</f>
        <v/>
      </c>
      <c r="DJ930" t="str">
        <f>""</f>
        <v/>
      </c>
      <c r="DK930" t="str">
        <f>""</f>
        <v/>
      </c>
      <c r="DL930" t="str">
        <f>""</f>
        <v/>
      </c>
      <c r="DM930" t="str">
        <f>""</f>
        <v/>
      </c>
      <c r="DN930" t="str">
        <f>""</f>
        <v/>
      </c>
      <c r="DO930" t="str">
        <f>""</f>
        <v/>
      </c>
      <c r="DP930" t="str">
        <f>""</f>
        <v/>
      </c>
      <c r="DQ930" t="str">
        <f>""</f>
        <v/>
      </c>
      <c r="DR930" t="str">
        <f>""</f>
        <v/>
      </c>
      <c r="DS930" t="str">
        <f>""</f>
        <v/>
      </c>
      <c r="DT930" t="str">
        <f>""</f>
        <v/>
      </c>
      <c r="DU930" t="str">
        <f>""</f>
        <v/>
      </c>
    </row>
    <row r="931" spans="1:125" x14ac:dyDescent="0.25">
      <c r="A931" t="str">
        <f>$A$263</f>
        <v xml:space="preserve">    Ford Motor Co</v>
      </c>
      <c r="B931" t="str">
        <f>$B$263</f>
        <v>F US Equity</v>
      </c>
      <c r="C931" t="str">
        <f>$C$263</f>
        <v>RR904</v>
      </c>
      <c r="D931" t="str">
        <f>$D$263</f>
        <v>PX_TO_SALES_RATIO</v>
      </c>
      <c r="E931" t="str">
        <f>$E$263</f>
        <v>Dynamic</v>
      </c>
      <c r="F931" t="str">
        <f ca="1">_xll.BDH($B$263,$C$263,$B$675,$B$676,CONCATENATE("Per=",$B$673),"Dts=H","Dir=H",CONCATENATE("Points=",$B$674),"Sort=R","Days=A","Fill=B",CONCATENATE("FX=", $B$672) )</f>
        <v>#N/A Connection</v>
      </c>
      <c r="BN931" t="str">
        <f>""</f>
        <v/>
      </c>
      <c r="BO931" t="str">
        <f>""</f>
        <v/>
      </c>
      <c r="BP931" t="str">
        <f>""</f>
        <v/>
      </c>
      <c r="BQ931" t="str">
        <f>""</f>
        <v/>
      </c>
      <c r="BR931" t="str">
        <f>""</f>
        <v/>
      </c>
      <c r="BS931" t="str">
        <f>""</f>
        <v/>
      </c>
      <c r="BT931" t="str">
        <f>""</f>
        <v/>
      </c>
      <c r="BU931" t="str">
        <f>""</f>
        <v/>
      </c>
      <c r="BV931" t="str">
        <f>""</f>
        <v/>
      </c>
      <c r="BW931" t="str">
        <f>""</f>
        <v/>
      </c>
      <c r="BX931" t="str">
        <f>""</f>
        <v/>
      </c>
      <c r="BY931" t="str">
        <f>""</f>
        <v/>
      </c>
      <c r="BZ931" t="str">
        <f>""</f>
        <v/>
      </c>
      <c r="CA931" t="str">
        <f>""</f>
        <v/>
      </c>
      <c r="CB931" t="str">
        <f>""</f>
        <v/>
      </c>
      <c r="CC931" t="str">
        <f>""</f>
        <v/>
      </c>
      <c r="CD931" t="str">
        <f>""</f>
        <v/>
      </c>
      <c r="CE931" t="str">
        <f>""</f>
        <v/>
      </c>
      <c r="CF931" t="str">
        <f>""</f>
        <v/>
      </c>
      <c r="CG931" t="str">
        <f>""</f>
        <v/>
      </c>
      <c r="CH931" t="str">
        <f>""</f>
        <v/>
      </c>
      <c r="CI931" t="str">
        <f>""</f>
        <v/>
      </c>
      <c r="CJ931" t="str">
        <f>""</f>
        <v/>
      </c>
      <c r="CK931" t="str">
        <f>""</f>
        <v/>
      </c>
      <c r="CL931" t="str">
        <f>""</f>
        <v/>
      </c>
      <c r="CM931" t="str">
        <f>""</f>
        <v/>
      </c>
      <c r="CN931" t="str">
        <f>""</f>
        <v/>
      </c>
      <c r="CO931" t="str">
        <f>""</f>
        <v/>
      </c>
      <c r="CP931" t="str">
        <f>""</f>
        <v/>
      </c>
      <c r="CQ931" t="str">
        <f>""</f>
        <v/>
      </c>
      <c r="CR931" t="str">
        <f>""</f>
        <v/>
      </c>
      <c r="CS931" t="str">
        <f>""</f>
        <v/>
      </c>
      <c r="CT931" t="str">
        <f>""</f>
        <v/>
      </c>
      <c r="CU931" t="str">
        <f>""</f>
        <v/>
      </c>
      <c r="CV931" t="str">
        <f>""</f>
        <v/>
      </c>
      <c r="CW931" t="str">
        <f>""</f>
        <v/>
      </c>
      <c r="CX931" t="str">
        <f>""</f>
        <v/>
      </c>
      <c r="CY931" t="str">
        <f>""</f>
        <v/>
      </c>
      <c r="CZ931" t="str">
        <f>""</f>
        <v/>
      </c>
      <c r="DA931" t="str">
        <f>""</f>
        <v/>
      </c>
      <c r="DB931" t="str">
        <f>""</f>
        <v/>
      </c>
      <c r="DC931" t="str">
        <f>""</f>
        <v/>
      </c>
      <c r="DD931" t="str">
        <f>""</f>
        <v/>
      </c>
      <c r="DE931" t="str">
        <f>""</f>
        <v/>
      </c>
      <c r="DF931" t="str">
        <f>""</f>
        <v/>
      </c>
      <c r="DG931" t="str">
        <f>""</f>
        <v/>
      </c>
      <c r="DH931" t="str">
        <f>""</f>
        <v/>
      </c>
      <c r="DI931" t="str">
        <f>""</f>
        <v/>
      </c>
      <c r="DJ931" t="str">
        <f>""</f>
        <v/>
      </c>
      <c r="DK931" t="str">
        <f>""</f>
        <v/>
      </c>
      <c r="DL931" t="str">
        <f>""</f>
        <v/>
      </c>
      <c r="DM931" t="str">
        <f>""</f>
        <v/>
      </c>
      <c r="DN931" t="str">
        <f>""</f>
        <v/>
      </c>
      <c r="DO931" t="str">
        <f>""</f>
        <v/>
      </c>
      <c r="DP931" t="str">
        <f>""</f>
        <v/>
      </c>
      <c r="DQ931" t="str">
        <f>""</f>
        <v/>
      </c>
      <c r="DR931" t="str">
        <f>""</f>
        <v/>
      </c>
      <c r="DS931" t="str">
        <f>""</f>
        <v/>
      </c>
      <c r="DT931" t="str">
        <f>""</f>
        <v/>
      </c>
      <c r="DU931" t="str">
        <f>""</f>
        <v/>
      </c>
    </row>
    <row r="932" spans="1:125" x14ac:dyDescent="0.25">
      <c r="A932" t="str">
        <f>$A$264</f>
        <v xml:space="preserve">    Ford Otomotiv Sanayi AS</v>
      </c>
      <c r="B932" t="str">
        <f>$B$264</f>
        <v>FROTOTRY EO Equity</v>
      </c>
      <c r="C932" t="str">
        <f>$C$264</f>
        <v>RR904</v>
      </c>
      <c r="D932" t="str">
        <f>$D$264</f>
        <v>PX_TO_SALES_RATIO</v>
      </c>
      <c r="E932" t="str">
        <f>$E$264</f>
        <v>Dynamic</v>
      </c>
      <c r="F932" t="str">
        <f ca="1">_xll.BDH($B$264,$C$264,$B$675,$B$676,CONCATENATE("Per=",$B$673),"Dts=H","Dir=H",CONCATENATE("Points=",$B$674),"Sort=R","Days=A","Fill=B",CONCATENATE("FX=", $B$672) )</f>
        <v>#N/A Connection</v>
      </c>
      <c r="BN932" t="str">
        <f>""</f>
        <v/>
      </c>
      <c r="BO932" t="str">
        <f>""</f>
        <v/>
      </c>
      <c r="BP932" t="str">
        <f>""</f>
        <v/>
      </c>
      <c r="BQ932" t="str">
        <f>""</f>
        <v/>
      </c>
      <c r="BR932" t="str">
        <f>""</f>
        <v/>
      </c>
      <c r="BS932" t="str">
        <f>""</f>
        <v/>
      </c>
      <c r="BT932" t="str">
        <f>""</f>
        <v/>
      </c>
      <c r="BU932" t="str">
        <f>""</f>
        <v/>
      </c>
      <c r="BV932" t="str">
        <f>""</f>
        <v/>
      </c>
      <c r="BW932" t="str">
        <f>""</f>
        <v/>
      </c>
      <c r="BX932" t="str">
        <f>""</f>
        <v/>
      </c>
      <c r="BY932" t="str">
        <f>""</f>
        <v/>
      </c>
      <c r="BZ932" t="str">
        <f>""</f>
        <v/>
      </c>
      <c r="CA932" t="str">
        <f>""</f>
        <v/>
      </c>
      <c r="CB932" t="str">
        <f>""</f>
        <v/>
      </c>
      <c r="CC932" t="str">
        <f>""</f>
        <v/>
      </c>
      <c r="CD932" t="str">
        <f>""</f>
        <v/>
      </c>
      <c r="CE932" t="str">
        <f>""</f>
        <v/>
      </c>
      <c r="CF932" t="str">
        <f>""</f>
        <v/>
      </c>
      <c r="CG932" t="str">
        <f>""</f>
        <v/>
      </c>
      <c r="CH932" t="str">
        <f>""</f>
        <v/>
      </c>
      <c r="CI932" t="str">
        <f>""</f>
        <v/>
      </c>
      <c r="CJ932" t="str">
        <f>""</f>
        <v/>
      </c>
      <c r="CK932" t="str">
        <f>""</f>
        <v/>
      </c>
      <c r="CL932" t="str">
        <f>""</f>
        <v/>
      </c>
      <c r="CM932" t="str">
        <f>""</f>
        <v/>
      </c>
      <c r="CN932" t="str">
        <f>""</f>
        <v/>
      </c>
      <c r="CO932" t="str">
        <f>""</f>
        <v/>
      </c>
      <c r="CP932" t="str">
        <f>""</f>
        <v/>
      </c>
      <c r="CQ932" t="str">
        <f>""</f>
        <v/>
      </c>
      <c r="CR932" t="str">
        <f>""</f>
        <v/>
      </c>
      <c r="CS932" t="str">
        <f>""</f>
        <v/>
      </c>
      <c r="CT932" t="str">
        <f>""</f>
        <v/>
      </c>
      <c r="CU932" t="str">
        <f>""</f>
        <v/>
      </c>
      <c r="CV932" t="str">
        <f>""</f>
        <v/>
      </c>
      <c r="CW932" t="str">
        <f>""</f>
        <v/>
      </c>
      <c r="CX932" t="str">
        <f>""</f>
        <v/>
      </c>
      <c r="CY932" t="str">
        <f>""</f>
        <v/>
      </c>
      <c r="CZ932" t="str">
        <f>""</f>
        <v/>
      </c>
      <c r="DA932" t="str">
        <f>""</f>
        <v/>
      </c>
      <c r="DB932" t="str">
        <f>""</f>
        <v/>
      </c>
      <c r="DC932" t="str">
        <f>""</f>
        <v/>
      </c>
      <c r="DD932" t="str">
        <f>""</f>
        <v/>
      </c>
      <c r="DE932" t="str">
        <f>""</f>
        <v/>
      </c>
      <c r="DF932" t="str">
        <f>""</f>
        <v/>
      </c>
      <c r="DG932" t="str">
        <f>""</f>
        <v/>
      </c>
      <c r="DH932" t="str">
        <f>""</f>
        <v/>
      </c>
      <c r="DI932" t="str">
        <f>""</f>
        <v/>
      </c>
      <c r="DJ932" t="str">
        <f>""</f>
        <v/>
      </c>
      <c r="DK932" t="str">
        <f>""</f>
        <v/>
      </c>
      <c r="DL932" t="str">
        <f>""</f>
        <v/>
      </c>
      <c r="DM932" t="str">
        <f>""</f>
        <v/>
      </c>
      <c r="DN932" t="str">
        <f>""</f>
        <v/>
      </c>
      <c r="DO932" t="str">
        <f>""</f>
        <v/>
      </c>
      <c r="DP932" t="str">
        <f>""</f>
        <v/>
      </c>
      <c r="DQ932" t="str">
        <f>""</f>
        <v/>
      </c>
      <c r="DR932" t="str">
        <f>""</f>
        <v/>
      </c>
      <c r="DS932" t="str">
        <f>""</f>
        <v/>
      </c>
      <c r="DT932" t="str">
        <f>""</f>
        <v/>
      </c>
      <c r="DU932" t="str">
        <f>""</f>
        <v/>
      </c>
    </row>
    <row r="933" spans="1:125" x14ac:dyDescent="0.25">
      <c r="A933" t="str">
        <f>$A$265</f>
        <v xml:space="preserve">    GAZ PJSC</v>
      </c>
      <c r="B933" t="str">
        <f>$B$265</f>
        <v>GAZA RM Equity</v>
      </c>
      <c r="C933" t="str">
        <f>$C$265</f>
        <v>RR904</v>
      </c>
      <c r="D933" t="str">
        <f>$D$265</f>
        <v>PX_TO_SALES_RATIO</v>
      </c>
      <c r="E933" t="str">
        <f>$E$265</f>
        <v>Dynamic</v>
      </c>
      <c r="F933" t="str">
        <f ca="1">_xll.BDH($B$265,$C$265,$B$675,$B$676,CONCATENATE("Per=",$B$673),"Dts=H","Dir=H",CONCATENATE("Points=",$B$674),"Sort=R","Days=A","Fill=B",CONCATENATE("FX=", $B$672) )</f>
        <v>#N/A Connection</v>
      </c>
      <c r="BN933" t="str">
        <f>""</f>
        <v/>
      </c>
      <c r="BO933" t="str">
        <f>""</f>
        <v/>
      </c>
      <c r="BP933" t="str">
        <f>""</f>
        <v/>
      </c>
      <c r="BQ933" t="str">
        <f>""</f>
        <v/>
      </c>
      <c r="BR933" t="str">
        <f>""</f>
        <v/>
      </c>
      <c r="BS933" t="str">
        <f>""</f>
        <v/>
      </c>
      <c r="BT933" t="str">
        <f>""</f>
        <v/>
      </c>
      <c r="BU933" t="str">
        <f>""</f>
        <v/>
      </c>
      <c r="BV933" t="str">
        <f>""</f>
        <v/>
      </c>
      <c r="BW933" t="str">
        <f>""</f>
        <v/>
      </c>
      <c r="BX933" t="str">
        <f>""</f>
        <v/>
      </c>
      <c r="BY933" t="str">
        <f>""</f>
        <v/>
      </c>
      <c r="BZ933" t="str">
        <f>""</f>
        <v/>
      </c>
      <c r="CA933" t="str">
        <f>""</f>
        <v/>
      </c>
      <c r="CB933" t="str">
        <f>""</f>
        <v/>
      </c>
      <c r="CC933" t="str">
        <f>""</f>
        <v/>
      </c>
      <c r="CD933" t="str">
        <f>""</f>
        <v/>
      </c>
      <c r="CE933" t="str">
        <f>""</f>
        <v/>
      </c>
      <c r="CF933" t="str">
        <f>""</f>
        <v/>
      </c>
      <c r="CG933" t="str">
        <f>""</f>
        <v/>
      </c>
      <c r="CH933" t="str">
        <f>""</f>
        <v/>
      </c>
      <c r="CI933" t="str">
        <f>""</f>
        <v/>
      </c>
      <c r="CJ933" t="str">
        <f>""</f>
        <v/>
      </c>
      <c r="CK933" t="str">
        <f>""</f>
        <v/>
      </c>
      <c r="CL933" t="str">
        <f>""</f>
        <v/>
      </c>
      <c r="CM933" t="str">
        <f>""</f>
        <v/>
      </c>
      <c r="CN933" t="str">
        <f>""</f>
        <v/>
      </c>
      <c r="CO933" t="str">
        <f>""</f>
        <v/>
      </c>
      <c r="CP933" t="str">
        <f>""</f>
        <v/>
      </c>
      <c r="CQ933" t="str">
        <f>""</f>
        <v/>
      </c>
      <c r="CR933" t="str">
        <f>""</f>
        <v/>
      </c>
      <c r="CS933" t="str">
        <f>""</f>
        <v/>
      </c>
      <c r="CT933" t="str">
        <f>""</f>
        <v/>
      </c>
      <c r="CU933" t="str">
        <f>""</f>
        <v/>
      </c>
      <c r="CV933" t="str">
        <f>""</f>
        <v/>
      </c>
      <c r="CW933" t="str">
        <f>""</f>
        <v/>
      </c>
      <c r="CX933" t="str">
        <f>""</f>
        <v/>
      </c>
      <c r="CY933" t="str">
        <f>""</f>
        <v/>
      </c>
      <c r="CZ933" t="str">
        <f>""</f>
        <v/>
      </c>
      <c r="DA933" t="str">
        <f>""</f>
        <v/>
      </c>
      <c r="DB933" t="str">
        <f>""</f>
        <v/>
      </c>
      <c r="DC933" t="str">
        <f>""</f>
        <v/>
      </c>
      <c r="DD933" t="str">
        <f>""</f>
        <v/>
      </c>
      <c r="DE933" t="str">
        <f>""</f>
        <v/>
      </c>
      <c r="DF933" t="str">
        <f>""</f>
        <v/>
      </c>
      <c r="DG933" t="str">
        <f>""</f>
        <v/>
      </c>
      <c r="DH933" t="str">
        <f>""</f>
        <v/>
      </c>
      <c r="DI933" t="str">
        <f>""</f>
        <v/>
      </c>
      <c r="DJ933" t="str">
        <f>""</f>
        <v/>
      </c>
      <c r="DK933" t="str">
        <f>""</f>
        <v/>
      </c>
      <c r="DL933" t="str">
        <f>""</f>
        <v/>
      </c>
      <c r="DM933" t="str">
        <f>""</f>
        <v/>
      </c>
      <c r="DN933" t="str">
        <f>""</f>
        <v/>
      </c>
      <c r="DO933" t="str">
        <f>""</f>
        <v/>
      </c>
      <c r="DP933" t="str">
        <f>""</f>
        <v/>
      </c>
      <c r="DQ933" t="str">
        <f>""</f>
        <v/>
      </c>
      <c r="DR933" t="str">
        <f>""</f>
        <v/>
      </c>
      <c r="DS933" t="str">
        <f>""</f>
        <v/>
      </c>
      <c r="DT933" t="str">
        <f>""</f>
        <v/>
      </c>
      <c r="DU933" t="str">
        <f>""</f>
        <v/>
      </c>
    </row>
    <row r="934" spans="1:125" x14ac:dyDescent="0.25">
      <c r="A934" t="str">
        <f>$A$266</f>
        <v xml:space="preserve">    Geely Automobile Holdings Ltd</v>
      </c>
      <c r="B934" t="str">
        <f>$B$266</f>
        <v>175 HK Equity</v>
      </c>
      <c r="C934" t="str">
        <f>$C$266</f>
        <v>RR904</v>
      </c>
      <c r="D934" t="str">
        <f>$D$266</f>
        <v>PX_TO_SALES_RATIO</v>
      </c>
      <c r="E934" t="str">
        <f>$E$266</f>
        <v>Dynamic</v>
      </c>
      <c r="F934" t="str">
        <f ca="1">_xll.BDH($B$266,$C$266,$B$675,$B$676,CONCATENATE("Per=",$B$673),"Dts=H","Dir=H",CONCATENATE("Points=",$B$674),"Sort=R","Days=A","Fill=B",CONCATENATE("FX=", $B$672) )</f>
        <v>#N/A Connection</v>
      </c>
      <c r="BN934" t="str">
        <f>""</f>
        <v/>
      </c>
      <c r="BO934" t="str">
        <f>""</f>
        <v/>
      </c>
      <c r="BP934" t="str">
        <f>""</f>
        <v/>
      </c>
      <c r="BQ934" t="str">
        <f>""</f>
        <v/>
      </c>
      <c r="BR934" t="str">
        <f>""</f>
        <v/>
      </c>
      <c r="BS934" t="str">
        <f>""</f>
        <v/>
      </c>
      <c r="BT934" t="str">
        <f>""</f>
        <v/>
      </c>
      <c r="BU934" t="str">
        <f>""</f>
        <v/>
      </c>
      <c r="BV934" t="str">
        <f>""</f>
        <v/>
      </c>
      <c r="BW934" t="str">
        <f>""</f>
        <v/>
      </c>
      <c r="BX934" t="str">
        <f>""</f>
        <v/>
      </c>
      <c r="BY934" t="str">
        <f>""</f>
        <v/>
      </c>
      <c r="BZ934" t="str">
        <f>""</f>
        <v/>
      </c>
      <c r="CA934" t="str">
        <f>""</f>
        <v/>
      </c>
      <c r="CB934" t="str">
        <f>""</f>
        <v/>
      </c>
      <c r="CC934" t="str">
        <f>""</f>
        <v/>
      </c>
      <c r="CD934" t="str">
        <f>""</f>
        <v/>
      </c>
      <c r="CE934" t="str">
        <f>""</f>
        <v/>
      </c>
      <c r="CF934" t="str">
        <f>""</f>
        <v/>
      </c>
      <c r="CG934" t="str">
        <f>""</f>
        <v/>
      </c>
      <c r="CH934" t="str">
        <f>""</f>
        <v/>
      </c>
      <c r="CI934" t="str">
        <f>""</f>
        <v/>
      </c>
      <c r="CJ934" t="str">
        <f>""</f>
        <v/>
      </c>
      <c r="CK934" t="str">
        <f>""</f>
        <v/>
      </c>
      <c r="CL934" t="str">
        <f>""</f>
        <v/>
      </c>
      <c r="CM934" t="str">
        <f>""</f>
        <v/>
      </c>
      <c r="CN934" t="str">
        <f>""</f>
        <v/>
      </c>
      <c r="CO934" t="str">
        <f>""</f>
        <v/>
      </c>
      <c r="CP934" t="str">
        <f>""</f>
        <v/>
      </c>
      <c r="CQ934" t="str">
        <f>""</f>
        <v/>
      </c>
      <c r="CR934" t="str">
        <f>""</f>
        <v/>
      </c>
      <c r="CS934" t="str">
        <f>""</f>
        <v/>
      </c>
      <c r="CT934" t="str">
        <f>""</f>
        <v/>
      </c>
      <c r="CU934" t="str">
        <f>""</f>
        <v/>
      </c>
      <c r="CV934" t="str">
        <f>""</f>
        <v/>
      </c>
      <c r="CW934" t="str">
        <f>""</f>
        <v/>
      </c>
      <c r="CX934" t="str">
        <f>""</f>
        <v/>
      </c>
      <c r="CY934" t="str">
        <f>""</f>
        <v/>
      </c>
      <c r="CZ934" t="str">
        <f>""</f>
        <v/>
      </c>
      <c r="DA934" t="str">
        <f>""</f>
        <v/>
      </c>
      <c r="DB934" t="str">
        <f>""</f>
        <v/>
      </c>
      <c r="DC934" t="str">
        <f>""</f>
        <v/>
      </c>
      <c r="DD934" t="str">
        <f>""</f>
        <v/>
      </c>
      <c r="DE934" t="str">
        <f>""</f>
        <v/>
      </c>
      <c r="DF934" t="str">
        <f>""</f>
        <v/>
      </c>
      <c r="DG934" t="str">
        <f>""</f>
        <v/>
      </c>
      <c r="DH934" t="str">
        <f>""</f>
        <v/>
      </c>
      <c r="DI934" t="str">
        <f>""</f>
        <v/>
      </c>
      <c r="DJ934" t="str">
        <f>""</f>
        <v/>
      </c>
      <c r="DK934" t="str">
        <f>""</f>
        <v/>
      </c>
      <c r="DL934" t="str">
        <f>""</f>
        <v/>
      </c>
      <c r="DM934" t="str">
        <f>""</f>
        <v/>
      </c>
      <c r="DN934" t="str">
        <f>""</f>
        <v/>
      </c>
      <c r="DO934" t="str">
        <f>""</f>
        <v/>
      </c>
      <c r="DP934" t="str">
        <f>""</f>
        <v/>
      </c>
      <c r="DQ934" t="str">
        <f>""</f>
        <v/>
      </c>
      <c r="DR934" t="str">
        <f>""</f>
        <v/>
      </c>
      <c r="DS934" t="str">
        <f>""</f>
        <v/>
      </c>
      <c r="DT934" t="str">
        <f>""</f>
        <v/>
      </c>
      <c r="DU934" t="str">
        <f>""</f>
        <v/>
      </c>
    </row>
    <row r="935" spans="1:125" x14ac:dyDescent="0.25">
      <c r="A935" t="str">
        <f>$A$267</f>
        <v xml:space="preserve">    General Motors Co</v>
      </c>
      <c r="B935" t="str">
        <f>$B$267</f>
        <v>GM US Equity</v>
      </c>
      <c r="C935" t="str">
        <f>$C$267</f>
        <v>RR904</v>
      </c>
      <c r="D935" t="str">
        <f>$D$267</f>
        <v>PX_TO_SALES_RATIO</v>
      </c>
      <c r="E935" t="str">
        <f>$E$267</f>
        <v>Dynamic</v>
      </c>
      <c r="F935" t="str">
        <f ca="1">_xll.BDH($B$267,$C$267,$B$675,$B$676,CONCATENATE("Per=",$B$673),"Dts=H","Dir=H",CONCATENATE("Points=",$B$674),"Sort=R","Days=A","Fill=B",CONCATENATE("FX=", $B$672) )</f>
        <v>#N/A Connection</v>
      </c>
      <c r="BN935" t="str">
        <f>""</f>
        <v/>
      </c>
      <c r="BO935" t="str">
        <f>""</f>
        <v/>
      </c>
      <c r="BP935" t="str">
        <f>""</f>
        <v/>
      </c>
      <c r="BQ935" t="str">
        <f>""</f>
        <v/>
      </c>
      <c r="BR935" t="str">
        <f>""</f>
        <v/>
      </c>
      <c r="BS935" t="str">
        <f>""</f>
        <v/>
      </c>
      <c r="BT935" t="str">
        <f>""</f>
        <v/>
      </c>
      <c r="BU935" t="str">
        <f>""</f>
        <v/>
      </c>
      <c r="BV935" t="str">
        <f>""</f>
        <v/>
      </c>
      <c r="BW935" t="str">
        <f>""</f>
        <v/>
      </c>
      <c r="BX935" t="str">
        <f>""</f>
        <v/>
      </c>
      <c r="BY935" t="str">
        <f>""</f>
        <v/>
      </c>
      <c r="BZ935" t="str">
        <f>""</f>
        <v/>
      </c>
      <c r="CA935" t="str">
        <f>""</f>
        <v/>
      </c>
      <c r="CB935" t="str">
        <f>""</f>
        <v/>
      </c>
      <c r="CC935" t="str">
        <f>""</f>
        <v/>
      </c>
      <c r="CD935" t="str">
        <f>""</f>
        <v/>
      </c>
      <c r="CE935" t="str">
        <f>""</f>
        <v/>
      </c>
      <c r="CF935" t="str">
        <f>""</f>
        <v/>
      </c>
      <c r="CG935" t="str">
        <f>""</f>
        <v/>
      </c>
      <c r="CH935" t="str">
        <f>""</f>
        <v/>
      </c>
      <c r="CI935" t="str">
        <f>""</f>
        <v/>
      </c>
      <c r="CJ935" t="str">
        <f>""</f>
        <v/>
      </c>
      <c r="CK935" t="str">
        <f>""</f>
        <v/>
      </c>
      <c r="CL935" t="str">
        <f>""</f>
        <v/>
      </c>
      <c r="CM935" t="str">
        <f>""</f>
        <v/>
      </c>
      <c r="CN935" t="str">
        <f>""</f>
        <v/>
      </c>
      <c r="CO935" t="str">
        <f>""</f>
        <v/>
      </c>
      <c r="CP935" t="str">
        <f>""</f>
        <v/>
      </c>
      <c r="CQ935" t="str">
        <f>""</f>
        <v/>
      </c>
      <c r="CR935" t="str">
        <f>""</f>
        <v/>
      </c>
      <c r="CS935" t="str">
        <f>""</f>
        <v/>
      </c>
      <c r="CT935" t="str">
        <f>""</f>
        <v/>
      </c>
      <c r="CU935" t="str">
        <f>""</f>
        <v/>
      </c>
      <c r="CV935" t="str">
        <f>""</f>
        <v/>
      </c>
      <c r="CW935" t="str">
        <f>""</f>
        <v/>
      </c>
      <c r="CX935" t="str">
        <f>""</f>
        <v/>
      </c>
      <c r="CY935" t="str">
        <f>""</f>
        <v/>
      </c>
      <c r="CZ935" t="str">
        <f>""</f>
        <v/>
      </c>
      <c r="DA935" t="str">
        <f>""</f>
        <v/>
      </c>
      <c r="DB935" t="str">
        <f>""</f>
        <v/>
      </c>
      <c r="DC935" t="str">
        <f>""</f>
        <v/>
      </c>
      <c r="DD935" t="str">
        <f>""</f>
        <v/>
      </c>
      <c r="DE935" t="str">
        <f>""</f>
        <v/>
      </c>
      <c r="DF935" t="str">
        <f>""</f>
        <v/>
      </c>
      <c r="DG935" t="str">
        <f>""</f>
        <v/>
      </c>
      <c r="DH935" t="str">
        <f>""</f>
        <v/>
      </c>
      <c r="DI935" t="str">
        <f>""</f>
        <v/>
      </c>
      <c r="DJ935" t="str">
        <f>""</f>
        <v/>
      </c>
      <c r="DK935" t="str">
        <f>""</f>
        <v/>
      </c>
      <c r="DL935" t="str">
        <f>""</f>
        <v/>
      </c>
      <c r="DM935" t="str">
        <f>""</f>
        <v/>
      </c>
      <c r="DN935" t="str">
        <f>""</f>
        <v/>
      </c>
      <c r="DO935" t="str">
        <f>""</f>
        <v/>
      </c>
      <c r="DP935" t="str">
        <f>""</f>
        <v/>
      </c>
      <c r="DQ935" t="str">
        <f>""</f>
        <v/>
      </c>
      <c r="DR935" t="str">
        <f>""</f>
        <v/>
      </c>
      <c r="DS935" t="str">
        <f>""</f>
        <v/>
      </c>
      <c r="DT935" t="str">
        <f>""</f>
        <v/>
      </c>
      <c r="DU935" t="str">
        <f>""</f>
        <v/>
      </c>
    </row>
    <row r="936" spans="1:125" x14ac:dyDescent="0.25">
      <c r="A936" t="str">
        <f>$A$268</f>
        <v xml:space="preserve">    Great Wall Motor Co Ltd</v>
      </c>
      <c r="B936" t="str">
        <f>$B$268</f>
        <v>2333 HK Equity</v>
      </c>
      <c r="C936" t="str">
        <f>$C$268</f>
        <v>RR904</v>
      </c>
      <c r="D936" t="str">
        <f>$D$268</f>
        <v>PX_TO_SALES_RATIO</v>
      </c>
      <c r="E936" t="str">
        <f>$E$268</f>
        <v>Dynamic</v>
      </c>
      <c r="F936" t="str">
        <f ca="1">_xll.BDH($B$268,$C$268,$B$675,$B$676,CONCATENATE("Per=",$B$673),"Dts=H","Dir=H",CONCATENATE("Points=",$B$674),"Sort=R","Days=A","Fill=B",CONCATENATE("FX=", $B$672) )</f>
        <v>#N/A Connection</v>
      </c>
      <c r="BN936" t="str">
        <f>""</f>
        <v/>
      </c>
      <c r="BO936" t="str">
        <f>""</f>
        <v/>
      </c>
      <c r="BP936" t="str">
        <f>""</f>
        <v/>
      </c>
      <c r="BQ936" t="str">
        <f>""</f>
        <v/>
      </c>
      <c r="BR936" t="str">
        <f>""</f>
        <v/>
      </c>
      <c r="BS936" t="str">
        <f>""</f>
        <v/>
      </c>
      <c r="BT936" t="str">
        <f>""</f>
        <v/>
      </c>
      <c r="BU936" t="str">
        <f>""</f>
        <v/>
      </c>
      <c r="BV936" t="str">
        <f>""</f>
        <v/>
      </c>
      <c r="BW936" t="str">
        <f>""</f>
        <v/>
      </c>
      <c r="BX936" t="str">
        <f>""</f>
        <v/>
      </c>
      <c r="BY936" t="str">
        <f>""</f>
        <v/>
      </c>
      <c r="BZ936" t="str">
        <f>""</f>
        <v/>
      </c>
      <c r="CA936" t="str">
        <f>""</f>
        <v/>
      </c>
      <c r="CB936" t="str">
        <f>""</f>
        <v/>
      </c>
      <c r="CC936" t="str">
        <f>""</f>
        <v/>
      </c>
      <c r="CD936" t="str">
        <f>""</f>
        <v/>
      </c>
      <c r="CE936" t="str">
        <f>""</f>
        <v/>
      </c>
      <c r="CF936" t="str">
        <f>""</f>
        <v/>
      </c>
      <c r="CG936" t="str">
        <f>""</f>
        <v/>
      </c>
      <c r="CH936" t="str">
        <f>""</f>
        <v/>
      </c>
      <c r="CI936" t="str">
        <f>""</f>
        <v/>
      </c>
      <c r="CJ936" t="str">
        <f>""</f>
        <v/>
      </c>
      <c r="CK936" t="str">
        <f>""</f>
        <v/>
      </c>
      <c r="CL936" t="str">
        <f>""</f>
        <v/>
      </c>
      <c r="CM936" t="str">
        <f>""</f>
        <v/>
      </c>
      <c r="CN936" t="str">
        <f>""</f>
        <v/>
      </c>
      <c r="CO936" t="str">
        <f>""</f>
        <v/>
      </c>
      <c r="CP936" t="str">
        <f>""</f>
        <v/>
      </c>
      <c r="CQ936" t="str">
        <f>""</f>
        <v/>
      </c>
      <c r="CR936" t="str">
        <f>""</f>
        <v/>
      </c>
      <c r="CS936" t="str">
        <f>""</f>
        <v/>
      </c>
      <c r="CT936" t="str">
        <f>""</f>
        <v/>
      </c>
      <c r="CU936" t="str">
        <f>""</f>
        <v/>
      </c>
      <c r="CV936" t="str">
        <f>""</f>
        <v/>
      </c>
      <c r="CW936" t="str">
        <f>""</f>
        <v/>
      </c>
      <c r="CX936" t="str">
        <f>""</f>
        <v/>
      </c>
      <c r="CY936" t="str">
        <f>""</f>
        <v/>
      </c>
      <c r="CZ936" t="str">
        <f>""</f>
        <v/>
      </c>
      <c r="DA936" t="str">
        <f>""</f>
        <v/>
      </c>
      <c r="DB936" t="str">
        <f>""</f>
        <v/>
      </c>
      <c r="DC936" t="str">
        <f>""</f>
        <v/>
      </c>
      <c r="DD936" t="str">
        <f>""</f>
        <v/>
      </c>
      <c r="DE936" t="str">
        <f>""</f>
        <v/>
      </c>
      <c r="DF936" t="str">
        <f>""</f>
        <v/>
      </c>
      <c r="DG936" t="str">
        <f>""</f>
        <v/>
      </c>
      <c r="DH936" t="str">
        <f>""</f>
        <v/>
      </c>
      <c r="DI936" t="str">
        <f>""</f>
        <v/>
      </c>
      <c r="DJ936" t="str">
        <f>""</f>
        <v/>
      </c>
      <c r="DK936" t="str">
        <f>""</f>
        <v/>
      </c>
      <c r="DL936" t="str">
        <f>""</f>
        <v/>
      </c>
      <c r="DM936" t="str">
        <f>""</f>
        <v/>
      </c>
      <c r="DN936" t="str">
        <f>""</f>
        <v/>
      </c>
      <c r="DO936" t="str">
        <f>""</f>
        <v/>
      </c>
      <c r="DP936" t="str">
        <f>""</f>
        <v/>
      </c>
      <c r="DQ936" t="str">
        <f>""</f>
        <v/>
      </c>
      <c r="DR936" t="str">
        <f>""</f>
        <v/>
      </c>
      <c r="DS936" t="str">
        <f>""</f>
        <v/>
      </c>
      <c r="DT936" t="str">
        <f>""</f>
        <v/>
      </c>
      <c r="DU936" t="str">
        <f>""</f>
        <v/>
      </c>
    </row>
    <row r="937" spans="1:125" x14ac:dyDescent="0.25">
      <c r="A937" t="str">
        <f>$A$269</f>
        <v xml:space="preserve">    Guangzhou Automobile Group Co Ltd</v>
      </c>
      <c r="B937" t="str">
        <f>$B$269</f>
        <v>2238 HK Equity</v>
      </c>
      <c r="C937" t="str">
        <f>$C$269</f>
        <v>RR904</v>
      </c>
      <c r="D937" t="str">
        <f>$D$269</f>
        <v>PX_TO_SALES_RATIO</v>
      </c>
      <c r="E937" t="str">
        <f>$E$269</f>
        <v>Dynamic</v>
      </c>
      <c r="F937" t="str">
        <f ca="1">_xll.BDH($B$269,$C$269,$B$675,$B$676,CONCATENATE("Per=",$B$673),"Dts=H","Dir=H",CONCATENATE("Points=",$B$674),"Sort=R","Days=A","Fill=B",CONCATENATE("FX=", $B$672) )</f>
        <v>#N/A Connection</v>
      </c>
      <c r="BN937" t="str">
        <f>""</f>
        <v/>
      </c>
      <c r="BO937" t="str">
        <f>""</f>
        <v/>
      </c>
      <c r="BP937" t="str">
        <f>""</f>
        <v/>
      </c>
      <c r="BQ937" t="str">
        <f>""</f>
        <v/>
      </c>
      <c r="BR937" t="str">
        <f>""</f>
        <v/>
      </c>
      <c r="BS937" t="str">
        <f>""</f>
        <v/>
      </c>
      <c r="BT937" t="str">
        <f>""</f>
        <v/>
      </c>
      <c r="BU937" t="str">
        <f>""</f>
        <v/>
      </c>
      <c r="BV937" t="str">
        <f>""</f>
        <v/>
      </c>
      <c r="BW937" t="str">
        <f>""</f>
        <v/>
      </c>
      <c r="BX937" t="str">
        <f>""</f>
        <v/>
      </c>
      <c r="BY937" t="str">
        <f>""</f>
        <v/>
      </c>
      <c r="BZ937" t="str">
        <f>""</f>
        <v/>
      </c>
      <c r="CA937" t="str">
        <f>""</f>
        <v/>
      </c>
      <c r="CB937" t="str">
        <f>""</f>
        <v/>
      </c>
      <c r="CC937" t="str">
        <f>""</f>
        <v/>
      </c>
      <c r="CD937" t="str">
        <f>""</f>
        <v/>
      </c>
      <c r="CE937" t="str">
        <f>""</f>
        <v/>
      </c>
      <c r="CF937" t="str">
        <f>""</f>
        <v/>
      </c>
      <c r="CG937" t="str">
        <f>""</f>
        <v/>
      </c>
      <c r="CH937" t="str">
        <f>""</f>
        <v/>
      </c>
      <c r="CI937" t="str">
        <f>""</f>
        <v/>
      </c>
      <c r="CJ937" t="str">
        <f>""</f>
        <v/>
      </c>
      <c r="CK937" t="str">
        <f>""</f>
        <v/>
      </c>
      <c r="CL937" t="str">
        <f>""</f>
        <v/>
      </c>
      <c r="CM937" t="str">
        <f>""</f>
        <v/>
      </c>
      <c r="CN937" t="str">
        <f>""</f>
        <v/>
      </c>
      <c r="CO937" t="str">
        <f>""</f>
        <v/>
      </c>
      <c r="CP937" t="str">
        <f>""</f>
        <v/>
      </c>
      <c r="CQ937" t="str">
        <f>""</f>
        <v/>
      </c>
      <c r="CR937" t="str">
        <f>""</f>
        <v/>
      </c>
      <c r="CS937" t="str">
        <f>""</f>
        <v/>
      </c>
      <c r="CT937" t="str">
        <f>""</f>
        <v/>
      </c>
      <c r="CU937" t="str">
        <f>""</f>
        <v/>
      </c>
      <c r="CV937" t="str">
        <f>""</f>
        <v/>
      </c>
      <c r="CW937" t="str">
        <f>""</f>
        <v/>
      </c>
      <c r="CX937" t="str">
        <f>""</f>
        <v/>
      </c>
      <c r="CY937" t="str">
        <f>""</f>
        <v/>
      </c>
      <c r="CZ937" t="str">
        <f>""</f>
        <v/>
      </c>
      <c r="DA937" t="str">
        <f>""</f>
        <v/>
      </c>
      <c r="DB937" t="str">
        <f>""</f>
        <v/>
      </c>
      <c r="DC937" t="str">
        <f>""</f>
        <v/>
      </c>
      <c r="DD937" t="str">
        <f>""</f>
        <v/>
      </c>
      <c r="DE937" t="str">
        <f>""</f>
        <v/>
      </c>
      <c r="DF937" t="str">
        <f>""</f>
        <v/>
      </c>
      <c r="DG937" t="str">
        <f>""</f>
        <v/>
      </c>
      <c r="DH937" t="str">
        <f>""</f>
        <v/>
      </c>
      <c r="DI937" t="str">
        <f>""</f>
        <v/>
      </c>
      <c r="DJ937" t="str">
        <f>""</f>
        <v/>
      </c>
      <c r="DK937" t="str">
        <f>""</f>
        <v/>
      </c>
      <c r="DL937" t="str">
        <f>""</f>
        <v/>
      </c>
      <c r="DM937" t="str">
        <f>""</f>
        <v/>
      </c>
      <c r="DN937" t="str">
        <f>""</f>
        <v/>
      </c>
      <c r="DO937" t="str">
        <f>""</f>
        <v/>
      </c>
      <c r="DP937" t="str">
        <f>""</f>
        <v/>
      </c>
      <c r="DQ937" t="str">
        <f>""</f>
        <v/>
      </c>
      <c r="DR937" t="str">
        <f>""</f>
        <v/>
      </c>
      <c r="DS937" t="str">
        <f>""</f>
        <v/>
      </c>
      <c r="DT937" t="str">
        <f>""</f>
        <v/>
      </c>
      <c r="DU937" t="str">
        <f>""</f>
        <v/>
      </c>
    </row>
    <row r="938" spans="1:125" x14ac:dyDescent="0.25">
      <c r="A938" t="str">
        <f>$A$270</f>
        <v xml:space="preserve">    Honda Motor Co Ltd</v>
      </c>
      <c r="B938" t="str">
        <f>$B$270</f>
        <v>7267 JP Equity</v>
      </c>
      <c r="C938" t="str">
        <f>$C$270</f>
        <v>RR904</v>
      </c>
      <c r="D938" t="str">
        <f>$D$270</f>
        <v>PX_TO_SALES_RATIO</v>
      </c>
      <c r="E938" t="str">
        <f>$E$270</f>
        <v>Dynamic</v>
      </c>
      <c r="F938" t="str">
        <f ca="1">_xll.BDH($B$270,$C$270,$B$675,$B$676,CONCATENATE("Per=",$B$673),"Dts=H","Dir=H",CONCATENATE("Points=",$B$674),"Sort=R","Days=A","Fill=B",CONCATENATE("FX=", $B$672) )</f>
        <v>#N/A Connection</v>
      </c>
      <c r="BN938" t="str">
        <f>""</f>
        <v/>
      </c>
      <c r="BO938" t="str">
        <f>""</f>
        <v/>
      </c>
      <c r="BP938" t="str">
        <f>""</f>
        <v/>
      </c>
      <c r="BQ938" t="str">
        <f>""</f>
        <v/>
      </c>
      <c r="BR938" t="str">
        <f>""</f>
        <v/>
      </c>
      <c r="BS938" t="str">
        <f>""</f>
        <v/>
      </c>
      <c r="BT938" t="str">
        <f>""</f>
        <v/>
      </c>
      <c r="BU938" t="str">
        <f>""</f>
        <v/>
      </c>
      <c r="BV938" t="str">
        <f>""</f>
        <v/>
      </c>
      <c r="BW938" t="str">
        <f>""</f>
        <v/>
      </c>
      <c r="BX938" t="str">
        <f>""</f>
        <v/>
      </c>
      <c r="BY938" t="str">
        <f>""</f>
        <v/>
      </c>
      <c r="BZ938" t="str">
        <f>""</f>
        <v/>
      </c>
      <c r="CA938" t="str">
        <f>""</f>
        <v/>
      </c>
      <c r="CB938" t="str">
        <f>""</f>
        <v/>
      </c>
      <c r="CC938" t="str">
        <f>""</f>
        <v/>
      </c>
      <c r="CD938" t="str">
        <f>""</f>
        <v/>
      </c>
      <c r="CE938" t="str">
        <f>""</f>
        <v/>
      </c>
      <c r="CF938" t="str">
        <f>""</f>
        <v/>
      </c>
      <c r="CG938" t="str">
        <f>""</f>
        <v/>
      </c>
      <c r="CH938" t="str">
        <f>""</f>
        <v/>
      </c>
      <c r="CI938" t="str">
        <f>""</f>
        <v/>
      </c>
      <c r="CJ938" t="str">
        <f>""</f>
        <v/>
      </c>
      <c r="CK938" t="str">
        <f>""</f>
        <v/>
      </c>
      <c r="CL938" t="str">
        <f>""</f>
        <v/>
      </c>
      <c r="CM938" t="str">
        <f>""</f>
        <v/>
      </c>
      <c r="CN938" t="str">
        <f>""</f>
        <v/>
      </c>
      <c r="CO938" t="str">
        <f>""</f>
        <v/>
      </c>
      <c r="CP938" t="str">
        <f>""</f>
        <v/>
      </c>
      <c r="CQ938" t="str">
        <f>""</f>
        <v/>
      </c>
      <c r="CR938" t="str">
        <f>""</f>
        <v/>
      </c>
      <c r="CS938" t="str">
        <f>""</f>
        <v/>
      </c>
      <c r="CT938" t="str">
        <f>""</f>
        <v/>
      </c>
      <c r="CU938" t="str">
        <f>""</f>
        <v/>
      </c>
      <c r="CV938" t="str">
        <f>""</f>
        <v/>
      </c>
      <c r="CW938" t="str">
        <f>""</f>
        <v/>
      </c>
      <c r="CX938" t="str">
        <f>""</f>
        <v/>
      </c>
      <c r="CY938" t="str">
        <f>""</f>
        <v/>
      </c>
      <c r="CZ938" t="str">
        <f>""</f>
        <v/>
      </c>
      <c r="DA938" t="str">
        <f>""</f>
        <v/>
      </c>
      <c r="DB938" t="str">
        <f>""</f>
        <v/>
      </c>
      <c r="DC938" t="str">
        <f>""</f>
        <v/>
      </c>
      <c r="DD938" t="str">
        <f>""</f>
        <v/>
      </c>
      <c r="DE938" t="str">
        <f>""</f>
        <v/>
      </c>
      <c r="DF938" t="str">
        <f>""</f>
        <v/>
      </c>
      <c r="DG938" t="str">
        <f>""</f>
        <v/>
      </c>
      <c r="DH938" t="str">
        <f>""</f>
        <v/>
      </c>
      <c r="DI938" t="str">
        <f>""</f>
        <v/>
      </c>
      <c r="DJ938" t="str">
        <f>""</f>
        <v/>
      </c>
      <c r="DK938" t="str">
        <f>""</f>
        <v/>
      </c>
      <c r="DL938" t="str">
        <f>""</f>
        <v/>
      </c>
      <c r="DM938" t="str">
        <f>""</f>
        <v/>
      </c>
      <c r="DN938" t="str">
        <f>""</f>
        <v/>
      </c>
      <c r="DO938" t="str">
        <f>""</f>
        <v/>
      </c>
      <c r="DP938" t="str">
        <f>""</f>
        <v/>
      </c>
      <c r="DQ938" t="str">
        <f>""</f>
        <v/>
      </c>
      <c r="DR938" t="str">
        <f>""</f>
        <v/>
      </c>
      <c r="DS938" t="str">
        <f>""</f>
        <v/>
      </c>
      <c r="DT938" t="str">
        <f>""</f>
        <v/>
      </c>
      <c r="DU938" t="str">
        <f>""</f>
        <v/>
      </c>
    </row>
    <row r="939" spans="1:125" x14ac:dyDescent="0.25">
      <c r="A939" t="str">
        <f>$A$271</f>
        <v xml:space="preserve">    Hyundai Motor Co</v>
      </c>
      <c r="B939" t="str">
        <f>$B$271</f>
        <v>005380 KS Equity</v>
      </c>
      <c r="C939" t="str">
        <f>$C$271</f>
        <v>RR904</v>
      </c>
      <c r="D939" t="str">
        <f>$D$271</f>
        <v>PX_TO_SALES_RATIO</v>
      </c>
      <c r="E939" t="str">
        <f>$E$271</f>
        <v>Dynamic</v>
      </c>
      <c r="F939" t="str">
        <f ca="1">_xll.BDH($B$271,$C$271,$B$675,$B$676,CONCATENATE("Per=",$B$673),"Dts=H","Dir=H",CONCATENATE("Points=",$B$674),"Sort=R","Days=A","Fill=B",CONCATENATE("FX=", $B$672) )</f>
        <v>#N/A Connection</v>
      </c>
      <c r="BN939" t="str">
        <f>""</f>
        <v/>
      </c>
      <c r="BO939" t="str">
        <f>""</f>
        <v/>
      </c>
      <c r="BP939" t="str">
        <f>""</f>
        <v/>
      </c>
      <c r="BQ939" t="str">
        <f>""</f>
        <v/>
      </c>
      <c r="BR939" t="str">
        <f>""</f>
        <v/>
      </c>
      <c r="BS939" t="str">
        <f>""</f>
        <v/>
      </c>
      <c r="BT939" t="str">
        <f>""</f>
        <v/>
      </c>
      <c r="BU939" t="str">
        <f>""</f>
        <v/>
      </c>
      <c r="BV939" t="str">
        <f>""</f>
        <v/>
      </c>
      <c r="BW939" t="str">
        <f>""</f>
        <v/>
      </c>
      <c r="BX939" t="str">
        <f>""</f>
        <v/>
      </c>
      <c r="BY939" t="str">
        <f>""</f>
        <v/>
      </c>
      <c r="BZ939" t="str">
        <f>""</f>
        <v/>
      </c>
      <c r="CA939" t="str">
        <f>""</f>
        <v/>
      </c>
      <c r="CB939" t="str">
        <f>""</f>
        <v/>
      </c>
      <c r="CC939" t="str">
        <f>""</f>
        <v/>
      </c>
      <c r="CD939" t="str">
        <f>""</f>
        <v/>
      </c>
      <c r="CE939" t="str">
        <f>""</f>
        <v/>
      </c>
      <c r="CF939" t="str">
        <f>""</f>
        <v/>
      </c>
      <c r="CG939" t="str">
        <f>""</f>
        <v/>
      </c>
      <c r="CH939" t="str">
        <f>""</f>
        <v/>
      </c>
      <c r="CI939" t="str">
        <f>""</f>
        <v/>
      </c>
      <c r="CJ939" t="str">
        <f>""</f>
        <v/>
      </c>
      <c r="CK939" t="str">
        <f>""</f>
        <v/>
      </c>
      <c r="CL939" t="str">
        <f>""</f>
        <v/>
      </c>
      <c r="CM939" t="str">
        <f>""</f>
        <v/>
      </c>
      <c r="CN939" t="str">
        <f>""</f>
        <v/>
      </c>
      <c r="CO939" t="str">
        <f>""</f>
        <v/>
      </c>
      <c r="CP939" t="str">
        <f>""</f>
        <v/>
      </c>
      <c r="CQ939" t="str">
        <f>""</f>
        <v/>
      </c>
      <c r="CR939" t="str">
        <f>""</f>
        <v/>
      </c>
      <c r="CS939" t="str">
        <f>""</f>
        <v/>
      </c>
      <c r="CT939" t="str">
        <f>""</f>
        <v/>
      </c>
      <c r="CU939" t="str">
        <f>""</f>
        <v/>
      </c>
      <c r="CV939" t="str">
        <f>""</f>
        <v/>
      </c>
      <c r="CW939" t="str">
        <f>""</f>
        <v/>
      </c>
      <c r="CX939" t="str">
        <f>""</f>
        <v/>
      </c>
      <c r="CY939" t="str">
        <f>""</f>
        <v/>
      </c>
      <c r="CZ939" t="str">
        <f>""</f>
        <v/>
      </c>
      <c r="DA939" t="str">
        <f>""</f>
        <v/>
      </c>
      <c r="DB939" t="str">
        <f>""</f>
        <v/>
      </c>
      <c r="DC939" t="str">
        <f>""</f>
        <v/>
      </c>
      <c r="DD939" t="str">
        <f>""</f>
        <v/>
      </c>
      <c r="DE939" t="str">
        <f>""</f>
        <v/>
      </c>
      <c r="DF939" t="str">
        <f>""</f>
        <v/>
      </c>
      <c r="DG939" t="str">
        <f>""</f>
        <v/>
      </c>
      <c r="DH939" t="str">
        <f>""</f>
        <v/>
      </c>
      <c r="DI939" t="str">
        <f>""</f>
        <v/>
      </c>
      <c r="DJ939" t="str">
        <f>""</f>
        <v/>
      </c>
      <c r="DK939" t="str">
        <f>""</f>
        <v/>
      </c>
      <c r="DL939" t="str">
        <f>""</f>
        <v/>
      </c>
      <c r="DM939" t="str">
        <f>""</f>
        <v/>
      </c>
      <c r="DN939" t="str">
        <f>""</f>
        <v/>
      </c>
      <c r="DO939" t="str">
        <f>""</f>
        <v/>
      </c>
      <c r="DP939" t="str">
        <f>""</f>
        <v/>
      </c>
      <c r="DQ939" t="str">
        <f>""</f>
        <v/>
      </c>
      <c r="DR939" t="str">
        <f>""</f>
        <v/>
      </c>
      <c r="DS939" t="str">
        <f>""</f>
        <v/>
      </c>
      <c r="DT939" t="str">
        <f>""</f>
        <v/>
      </c>
      <c r="DU939" t="str">
        <f>""</f>
        <v/>
      </c>
    </row>
    <row r="940" spans="1:125" x14ac:dyDescent="0.25">
      <c r="A940" t="str">
        <f>$A$272</f>
        <v xml:space="preserve">    Kia Motors Corp</v>
      </c>
      <c r="B940" t="str">
        <f>$B$272</f>
        <v>000270 KS Equity</v>
      </c>
      <c r="C940" t="str">
        <f>$C$272</f>
        <v>RR904</v>
      </c>
      <c r="D940" t="str">
        <f>$D$272</f>
        <v>PX_TO_SALES_RATIO</v>
      </c>
      <c r="E940" t="str">
        <f>$E$272</f>
        <v>Dynamic</v>
      </c>
      <c r="F940" t="str">
        <f ca="1">_xll.BDH($B$272,$C$272,$B$675,$B$676,CONCATENATE("Per=",$B$673),"Dts=H","Dir=H",CONCATENATE("Points=",$B$674),"Sort=R","Days=A","Fill=B",CONCATENATE("FX=", $B$672) )</f>
        <v>#N/A Connection</v>
      </c>
      <c r="BN940" t="str">
        <f>""</f>
        <v/>
      </c>
      <c r="BO940" t="str">
        <f>""</f>
        <v/>
      </c>
      <c r="BP940" t="str">
        <f>""</f>
        <v/>
      </c>
      <c r="BQ940" t="str">
        <f>""</f>
        <v/>
      </c>
      <c r="BR940" t="str">
        <f>""</f>
        <v/>
      </c>
      <c r="BS940" t="str">
        <f>""</f>
        <v/>
      </c>
      <c r="BT940" t="str">
        <f>""</f>
        <v/>
      </c>
      <c r="BU940" t="str">
        <f>""</f>
        <v/>
      </c>
      <c r="BV940" t="str">
        <f>""</f>
        <v/>
      </c>
      <c r="BW940" t="str">
        <f>""</f>
        <v/>
      </c>
      <c r="BX940" t="str">
        <f>""</f>
        <v/>
      </c>
      <c r="BY940" t="str">
        <f>""</f>
        <v/>
      </c>
      <c r="BZ940" t="str">
        <f>""</f>
        <v/>
      </c>
      <c r="CA940" t="str">
        <f>""</f>
        <v/>
      </c>
      <c r="CB940" t="str">
        <f>""</f>
        <v/>
      </c>
      <c r="CC940" t="str">
        <f>""</f>
        <v/>
      </c>
      <c r="CD940" t="str">
        <f>""</f>
        <v/>
      </c>
      <c r="CE940" t="str">
        <f>""</f>
        <v/>
      </c>
      <c r="CF940" t="str">
        <f>""</f>
        <v/>
      </c>
      <c r="CG940" t="str">
        <f>""</f>
        <v/>
      </c>
      <c r="CH940" t="str">
        <f>""</f>
        <v/>
      </c>
      <c r="CI940" t="str">
        <f>""</f>
        <v/>
      </c>
      <c r="CJ940" t="str">
        <f>""</f>
        <v/>
      </c>
      <c r="CK940" t="str">
        <f>""</f>
        <v/>
      </c>
      <c r="CL940" t="str">
        <f>""</f>
        <v/>
      </c>
      <c r="CM940" t="str">
        <f>""</f>
        <v/>
      </c>
      <c r="CN940" t="str">
        <f>""</f>
        <v/>
      </c>
      <c r="CO940" t="str">
        <f>""</f>
        <v/>
      </c>
      <c r="CP940" t="str">
        <f>""</f>
        <v/>
      </c>
      <c r="CQ940" t="str">
        <f>""</f>
        <v/>
      </c>
      <c r="CR940" t="str">
        <f>""</f>
        <v/>
      </c>
      <c r="CS940" t="str">
        <f>""</f>
        <v/>
      </c>
      <c r="CT940" t="str">
        <f>""</f>
        <v/>
      </c>
      <c r="CU940" t="str">
        <f>""</f>
        <v/>
      </c>
      <c r="CV940" t="str">
        <f>""</f>
        <v/>
      </c>
      <c r="CW940" t="str">
        <f>""</f>
        <v/>
      </c>
      <c r="CX940" t="str">
        <f>""</f>
        <v/>
      </c>
      <c r="CY940" t="str">
        <f>""</f>
        <v/>
      </c>
      <c r="CZ940" t="str">
        <f>""</f>
        <v/>
      </c>
      <c r="DA940" t="str">
        <f>""</f>
        <v/>
      </c>
      <c r="DB940" t="str">
        <f>""</f>
        <v/>
      </c>
      <c r="DC940" t="str">
        <f>""</f>
        <v/>
      </c>
      <c r="DD940" t="str">
        <f>""</f>
        <v/>
      </c>
      <c r="DE940" t="str">
        <f>""</f>
        <v/>
      </c>
      <c r="DF940" t="str">
        <f>""</f>
        <v/>
      </c>
      <c r="DG940" t="str">
        <f>""</f>
        <v/>
      </c>
      <c r="DH940" t="str">
        <f>""</f>
        <v/>
      </c>
      <c r="DI940" t="str">
        <f>""</f>
        <v/>
      </c>
      <c r="DJ940" t="str">
        <f>""</f>
        <v/>
      </c>
      <c r="DK940" t="str">
        <f>""</f>
        <v/>
      </c>
      <c r="DL940" t="str">
        <f>""</f>
        <v/>
      </c>
      <c r="DM940" t="str">
        <f>""</f>
        <v/>
      </c>
      <c r="DN940" t="str">
        <f>""</f>
        <v/>
      </c>
      <c r="DO940" t="str">
        <f>""</f>
        <v/>
      </c>
      <c r="DP940" t="str">
        <f>""</f>
        <v/>
      </c>
      <c r="DQ940" t="str">
        <f>""</f>
        <v/>
      </c>
      <c r="DR940" t="str">
        <f>""</f>
        <v/>
      </c>
      <c r="DS940" t="str">
        <f>""</f>
        <v/>
      </c>
      <c r="DT940" t="str">
        <f>""</f>
        <v/>
      </c>
      <c r="DU940" t="str">
        <f>""</f>
        <v/>
      </c>
    </row>
    <row r="941" spans="1:125" x14ac:dyDescent="0.25">
      <c r="A941" t="str">
        <f>$A$273</f>
        <v xml:space="preserve">    Mazda Motor Corp</v>
      </c>
      <c r="B941" t="str">
        <f>$B$273</f>
        <v>7261 JP Equity</v>
      </c>
      <c r="C941" t="str">
        <f>$C$273</f>
        <v>RR904</v>
      </c>
      <c r="D941" t="str">
        <f>$D$273</f>
        <v>PX_TO_SALES_RATIO</v>
      </c>
      <c r="E941" t="str">
        <f>$E$273</f>
        <v>Dynamic</v>
      </c>
      <c r="F941" t="str">
        <f ca="1">_xll.BDH($B$273,$C$273,$B$675,$B$676,CONCATENATE("Per=",$B$673),"Dts=H","Dir=H",CONCATENATE("Points=",$B$674),"Sort=R","Days=A","Fill=B",CONCATENATE("FX=", $B$672) )</f>
        <v>#N/A Connection</v>
      </c>
      <c r="BN941" t="str">
        <f>""</f>
        <v/>
      </c>
      <c r="BO941" t="str">
        <f>""</f>
        <v/>
      </c>
      <c r="BP941" t="str">
        <f>""</f>
        <v/>
      </c>
      <c r="BQ941" t="str">
        <f>""</f>
        <v/>
      </c>
      <c r="BR941" t="str">
        <f>""</f>
        <v/>
      </c>
      <c r="BS941" t="str">
        <f>""</f>
        <v/>
      </c>
      <c r="BT941" t="str">
        <f>""</f>
        <v/>
      </c>
      <c r="BU941" t="str">
        <f>""</f>
        <v/>
      </c>
      <c r="BV941" t="str">
        <f>""</f>
        <v/>
      </c>
      <c r="BW941" t="str">
        <f>""</f>
        <v/>
      </c>
      <c r="BX941" t="str">
        <f>""</f>
        <v/>
      </c>
      <c r="BY941" t="str">
        <f>""</f>
        <v/>
      </c>
      <c r="BZ941" t="str">
        <f>""</f>
        <v/>
      </c>
      <c r="CA941" t="str">
        <f>""</f>
        <v/>
      </c>
      <c r="CB941" t="str">
        <f>""</f>
        <v/>
      </c>
      <c r="CC941" t="str">
        <f>""</f>
        <v/>
      </c>
      <c r="CD941" t="str">
        <f>""</f>
        <v/>
      </c>
      <c r="CE941" t="str">
        <f>""</f>
        <v/>
      </c>
      <c r="CF941" t="str">
        <f>""</f>
        <v/>
      </c>
      <c r="CG941" t="str">
        <f>""</f>
        <v/>
      </c>
      <c r="CH941" t="str">
        <f>""</f>
        <v/>
      </c>
      <c r="CI941" t="str">
        <f>""</f>
        <v/>
      </c>
      <c r="CJ941" t="str">
        <f>""</f>
        <v/>
      </c>
      <c r="CK941" t="str">
        <f>""</f>
        <v/>
      </c>
      <c r="CL941" t="str">
        <f>""</f>
        <v/>
      </c>
      <c r="CM941" t="str">
        <f>""</f>
        <v/>
      </c>
      <c r="CN941" t="str">
        <f>""</f>
        <v/>
      </c>
      <c r="CO941" t="str">
        <f>""</f>
        <v/>
      </c>
      <c r="CP941" t="str">
        <f>""</f>
        <v/>
      </c>
      <c r="CQ941" t="str">
        <f>""</f>
        <v/>
      </c>
      <c r="CR941" t="str">
        <f>""</f>
        <v/>
      </c>
      <c r="CS941" t="str">
        <f>""</f>
        <v/>
      </c>
      <c r="CT941" t="str">
        <f>""</f>
        <v/>
      </c>
      <c r="CU941" t="str">
        <f>""</f>
        <v/>
      </c>
      <c r="CV941" t="str">
        <f>""</f>
        <v/>
      </c>
      <c r="CW941" t="str">
        <f>""</f>
        <v/>
      </c>
      <c r="CX941" t="str">
        <f>""</f>
        <v/>
      </c>
      <c r="CY941" t="str">
        <f>""</f>
        <v/>
      </c>
      <c r="CZ941" t="str">
        <f>""</f>
        <v/>
      </c>
      <c r="DA941" t="str">
        <f>""</f>
        <v/>
      </c>
      <c r="DB941" t="str">
        <f>""</f>
        <v/>
      </c>
      <c r="DC941" t="str">
        <f>""</f>
        <v/>
      </c>
      <c r="DD941" t="str">
        <f>""</f>
        <v/>
      </c>
      <c r="DE941" t="str">
        <f>""</f>
        <v/>
      </c>
      <c r="DF941" t="str">
        <f>""</f>
        <v/>
      </c>
      <c r="DG941" t="str">
        <f>""</f>
        <v/>
      </c>
      <c r="DH941" t="str">
        <f>""</f>
        <v/>
      </c>
      <c r="DI941" t="str">
        <f>""</f>
        <v/>
      </c>
      <c r="DJ941" t="str">
        <f>""</f>
        <v/>
      </c>
      <c r="DK941" t="str">
        <f>""</f>
        <v/>
      </c>
      <c r="DL941" t="str">
        <f>""</f>
        <v/>
      </c>
      <c r="DM941" t="str">
        <f>""</f>
        <v/>
      </c>
      <c r="DN941" t="str">
        <f>""</f>
        <v/>
      </c>
      <c r="DO941" t="str">
        <f>""</f>
        <v/>
      </c>
      <c r="DP941" t="str">
        <f>""</f>
        <v/>
      </c>
      <c r="DQ941" t="str">
        <f>""</f>
        <v/>
      </c>
      <c r="DR941" t="str">
        <f>""</f>
        <v/>
      </c>
      <c r="DS941" t="str">
        <f>""</f>
        <v/>
      </c>
      <c r="DT941" t="str">
        <f>""</f>
        <v/>
      </c>
      <c r="DU941" t="str">
        <f>""</f>
        <v/>
      </c>
    </row>
    <row r="942" spans="1:125" x14ac:dyDescent="0.25">
      <c r="A942" t="str">
        <f>$A$274</f>
        <v xml:space="preserve">    Mitsubishi Motors Corp</v>
      </c>
      <c r="B942" t="str">
        <f>$B$274</f>
        <v>7211 JP Equity</v>
      </c>
      <c r="C942" t="str">
        <f>$C$274</f>
        <v>RR904</v>
      </c>
      <c r="D942" t="str">
        <f>$D$274</f>
        <v>PX_TO_SALES_RATIO</v>
      </c>
      <c r="E942" t="str">
        <f>$E$274</f>
        <v>Dynamic</v>
      </c>
      <c r="F942" t="str">
        <f ca="1">_xll.BDH($B$274,$C$274,$B$675,$B$676,CONCATENATE("Per=",$B$673),"Dts=H","Dir=H",CONCATENATE("Points=",$B$674),"Sort=R","Days=A","Fill=B",CONCATENATE("FX=", $B$672) )</f>
        <v>#N/A Connection</v>
      </c>
      <c r="BN942" t="str">
        <f>""</f>
        <v/>
      </c>
      <c r="BO942" t="str">
        <f>""</f>
        <v/>
      </c>
      <c r="BP942" t="str">
        <f>""</f>
        <v/>
      </c>
      <c r="BQ942" t="str">
        <f>""</f>
        <v/>
      </c>
      <c r="BR942" t="str">
        <f>""</f>
        <v/>
      </c>
      <c r="BS942" t="str">
        <f>""</f>
        <v/>
      </c>
      <c r="BT942" t="str">
        <f>""</f>
        <v/>
      </c>
      <c r="BU942" t="str">
        <f>""</f>
        <v/>
      </c>
      <c r="BV942" t="str">
        <f>""</f>
        <v/>
      </c>
      <c r="BW942" t="str">
        <f>""</f>
        <v/>
      </c>
      <c r="BX942" t="str">
        <f>""</f>
        <v/>
      </c>
      <c r="BY942" t="str">
        <f>""</f>
        <v/>
      </c>
      <c r="BZ942" t="str">
        <f>""</f>
        <v/>
      </c>
      <c r="CA942" t="str">
        <f>""</f>
        <v/>
      </c>
      <c r="CB942" t="str">
        <f>""</f>
        <v/>
      </c>
      <c r="CC942" t="str">
        <f>""</f>
        <v/>
      </c>
      <c r="CD942" t="str">
        <f>""</f>
        <v/>
      </c>
      <c r="CE942" t="str">
        <f>""</f>
        <v/>
      </c>
      <c r="CF942" t="str">
        <f>""</f>
        <v/>
      </c>
      <c r="CG942" t="str">
        <f>""</f>
        <v/>
      </c>
      <c r="CH942" t="str">
        <f>""</f>
        <v/>
      </c>
      <c r="CI942" t="str">
        <f>""</f>
        <v/>
      </c>
      <c r="CJ942" t="str">
        <f>""</f>
        <v/>
      </c>
      <c r="CK942" t="str">
        <f>""</f>
        <v/>
      </c>
      <c r="CL942" t="str">
        <f>""</f>
        <v/>
      </c>
      <c r="CM942" t="str">
        <f>""</f>
        <v/>
      </c>
      <c r="CN942" t="str">
        <f>""</f>
        <v/>
      </c>
      <c r="CO942" t="str">
        <f>""</f>
        <v/>
      </c>
      <c r="CP942" t="str">
        <f>""</f>
        <v/>
      </c>
      <c r="CQ942" t="str">
        <f>""</f>
        <v/>
      </c>
      <c r="CR942" t="str">
        <f>""</f>
        <v/>
      </c>
      <c r="CS942" t="str">
        <f>""</f>
        <v/>
      </c>
      <c r="CT942" t="str">
        <f>""</f>
        <v/>
      </c>
      <c r="CU942" t="str">
        <f>""</f>
        <v/>
      </c>
      <c r="CV942" t="str">
        <f>""</f>
        <v/>
      </c>
      <c r="CW942" t="str">
        <f>""</f>
        <v/>
      </c>
      <c r="CX942" t="str">
        <f>""</f>
        <v/>
      </c>
      <c r="CY942" t="str">
        <f>""</f>
        <v/>
      </c>
      <c r="CZ942" t="str">
        <f>""</f>
        <v/>
      </c>
      <c r="DA942" t="str">
        <f>""</f>
        <v/>
      </c>
      <c r="DB942" t="str">
        <f>""</f>
        <v/>
      </c>
      <c r="DC942" t="str">
        <f>""</f>
        <v/>
      </c>
      <c r="DD942" t="str">
        <f>""</f>
        <v/>
      </c>
      <c r="DE942" t="str">
        <f>""</f>
        <v/>
      </c>
      <c r="DF942" t="str">
        <f>""</f>
        <v/>
      </c>
      <c r="DG942" t="str">
        <f>""</f>
        <v/>
      </c>
      <c r="DH942" t="str">
        <f>""</f>
        <v/>
      </c>
      <c r="DI942" t="str">
        <f>""</f>
        <v/>
      </c>
      <c r="DJ942" t="str">
        <f>""</f>
        <v/>
      </c>
      <c r="DK942" t="str">
        <f>""</f>
        <v/>
      </c>
      <c r="DL942" t="str">
        <f>""</f>
        <v/>
      </c>
      <c r="DM942" t="str">
        <f>""</f>
        <v/>
      </c>
      <c r="DN942" t="str">
        <f>""</f>
        <v/>
      </c>
      <c r="DO942" t="str">
        <f>""</f>
        <v/>
      </c>
      <c r="DP942" t="str">
        <f>""</f>
        <v/>
      </c>
      <c r="DQ942" t="str">
        <f>""</f>
        <v/>
      </c>
      <c r="DR942" t="str">
        <f>""</f>
        <v/>
      </c>
      <c r="DS942" t="str">
        <f>""</f>
        <v/>
      </c>
      <c r="DT942" t="str">
        <f>""</f>
        <v/>
      </c>
      <c r="DU942" t="str">
        <f>""</f>
        <v/>
      </c>
    </row>
    <row r="943" spans="1:125" x14ac:dyDescent="0.25">
      <c r="A943" t="str">
        <f>$A$275</f>
        <v xml:space="preserve">    Nissan Motor Co Ltd</v>
      </c>
      <c r="B943" t="str">
        <f>$B$275</f>
        <v>7201 JP Equity</v>
      </c>
      <c r="C943" t="str">
        <f>$C$275</f>
        <v>RR904</v>
      </c>
      <c r="D943" t="str">
        <f>$D$275</f>
        <v>PX_TO_SALES_RATIO</v>
      </c>
      <c r="E943" t="str">
        <f>$E$275</f>
        <v>Dynamic</v>
      </c>
      <c r="F943" t="str">
        <f ca="1">_xll.BDH($B$275,$C$275,$B$675,$B$676,CONCATENATE("Per=",$B$673),"Dts=H","Dir=H",CONCATENATE("Points=",$B$674),"Sort=R","Days=A","Fill=B",CONCATENATE("FX=", $B$672) )</f>
        <v>#N/A Connection</v>
      </c>
      <c r="BN943" t="str">
        <f>""</f>
        <v/>
      </c>
      <c r="BO943" t="str">
        <f>""</f>
        <v/>
      </c>
      <c r="BP943" t="str">
        <f>""</f>
        <v/>
      </c>
      <c r="BQ943" t="str">
        <f>""</f>
        <v/>
      </c>
      <c r="BR943" t="str">
        <f>""</f>
        <v/>
      </c>
      <c r="BS943" t="str">
        <f>""</f>
        <v/>
      </c>
      <c r="BT943" t="str">
        <f>""</f>
        <v/>
      </c>
      <c r="BU943" t="str">
        <f>""</f>
        <v/>
      </c>
      <c r="BV943" t="str">
        <f>""</f>
        <v/>
      </c>
      <c r="BW943" t="str">
        <f>""</f>
        <v/>
      </c>
      <c r="BX943" t="str">
        <f>""</f>
        <v/>
      </c>
      <c r="BY943" t="str">
        <f>""</f>
        <v/>
      </c>
      <c r="BZ943" t="str">
        <f>""</f>
        <v/>
      </c>
      <c r="CA943" t="str">
        <f>""</f>
        <v/>
      </c>
      <c r="CB943" t="str">
        <f>""</f>
        <v/>
      </c>
      <c r="CC943" t="str">
        <f>""</f>
        <v/>
      </c>
      <c r="CD943" t="str">
        <f>""</f>
        <v/>
      </c>
      <c r="CE943" t="str">
        <f>""</f>
        <v/>
      </c>
      <c r="CF943" t="str">
        <f>""</f>
        <v/>
      </c>
      <c r="CG943" t="str">
        <f>""</f>
        <v/>
      </c>
      <c r="CH943" t="str">
        <f>""</f>
        <v/>
      </c>
      <c r="CI943" t="str">
        <f>""</f>
        <v/>
      </c>
      <c r="CJ943" t="str">
        <f>""</f>
        <v/>
      </c>
      <c r="CK943" t="str">
        <f>""</f>
        <v/>
      </c>
      <c r="CL943" t="str">
        <f>""</f>
        <v/>
      </c>
      <c r="CM943" t="str">
        <f>""</f>
        <v/>
      </c>
      <c r="CN943" t="str">
        <f>""</f>
        <v/>
      </c>
      <c r="CO943" t="str">
        <f>""</f>
        <v/>
      </c>
      <c r="CP943" t="str">
        <f>""</f>
        <v/>
      </c>
      <c r="CQ943" t="str">
        <f>""</f>
        <v/>
      </c>
      <c r="CR943" t="str">
        <f>""</f>
        <v/>
      </c>
      <c r="CS943" t="str">
        <f>""</f>
        <v/>
      </c>
      <c r="CT943" t="str">
        <f>""</f>
        <v/>
      </c>
      <c r="CU943" t="str">
        <f>""</f>
        <v/>
      </c>
      <c r="CV943" t="str">
        <f>""</f>
        <v/>
      </c>
      <c r="CW943" t="str">
        <f>""</f>
        <v/>
      </c>
      <c r="CX943" t="str">
        <f>""</f>
        <v/>
      </c>
      <c r="CY943" t="str">
        <f>""</f>
        <v/>
      </c>
      <c r="CZ943" t="str">
        <f>""</f>
        <v/>
      </c>
      <c r="DA943" t="str">
        <f>""</f>
        <v/>
      </c>
      <c r="DB943" t="str">
        <f>""</f>
        <v/>
      </c>
      <c r="DC943" t="str">
        <f>""</f>
        <v/>
      </c>
      <c r="DD943" t="str">
        <f>""</f>
        <v/>
      </c>
      <c r="DE943" t="str">
        <f>""</f>
        <v/>
      </c>
      <c r="DF943" t="str">
        <f>""</f>
        <v/>
      </c>
      <c r="DG943" t="str">
        <f>""</f>
        <v/>
      </c>
      <c r="DH943" t="str">
        <f>""</f>
        <v/>
      </c>
      <c r="DI943" t="str">
        <f>""</f>
        <v/>
      </c>
      <c r="DJ943" t="str">
        <f>""</f>
        <v/>
      </c>
      <c r="DK943" t="str">
        <f>""</f>
        <v/>
      </c>
      <c r="DL943" t="str">
        <f>""</f>
        <v/>
      </c>
      <c r="DM943" t="str">
        <f>""</f>
        <v/>
      </c>
      <c r="DN943" t="str">
        <f>""</f>
        <v/>
      </c>
      <c r="DO943" t="str">
        <f>""</f>
        <v/>
      </c>
      <c r="DP943" t="str">
        <f>""</f>
        <v/>
      </c>
      <c r="DQ943" t="str">
        <f>""</f>
        <v/>
      </c>
      <c r="DR943" t="str">
        <f>""</f>
        <v/>
      </c>
      <c r="DS943" t="str">
        <f>""</f>
        <v/>
      </c>
      <c r="DT943" t="str">
        <f>""</f>
        <v/>
      </c>
      <c r="DU943" t="str">
        <f>""</f>
        <v/>
      </c>
    </row>
    <row r="944" spans="1:125" x14ac:dyDescent="0.25">
      <c r="A944" t="str">
        <f>$A$276</f>
        <v xml:space="preserve">    Peugeot SA</v>
      </c>
      <c r="B944" t="str">
        <f>$B$276</f>
        <v>UG FP Equity</v>
      </c>
      <c r="C944" t="str">
        <f>$C$276</f>
        <v>RR904</v>
      </c>
      <c r="D944" t="str">
        <f>$D$276</f>
        <v>PX_TO_SALES_RATIO</v>
      </c>
      <c r="E944" t="str">
        <f>$E$276</f>
        <v>Dynamic</v>
      </c>
      <c r="F944" t="str">
        <f ca="1">_xll.BDH($B$276,$C$276,$B$675,$B$676,CONCATENATE("Per=",$B$673),"Dts=H","Dir=H",CONCATENATE("Points=",$B$674),"Sort=R","Days=A","Fill=B",CONCATENATE("FX=", $B$672) )</f>
        <v>#N/A Connection</v>
      </c>
      <c r="BN944" t="str">
        <f>""</f>
        <v/>
      </c>
      <c r="BO944" t="str">
        <f>""</f>
        <v/>
      </c>
      <c r="BP944" t="str">
        <f>""</f>
        <v/>
      </c>
      <c r="BQ944" t="str">
        <f>""</f>
        <v/>
      </c>
      <c r="BR944" t="str">
        <f>""</f>
        <v/>
      </c>
      <c r="BS944" t="str">
        <f>""</f>
        <v/>
      </c>
      <c r="BT944" t="str">
        <f>""</f>
        <v/>
      </c>
      <c r="BU944" t="str">
        <f>""</f>
        <v/>
      </c>
      <c r="BV944" t="str">
        <f>""</f>
        <v/>
      </c>
      <c r="BW944" t="str">
        <f>""</f>
        <v/>
      </c>
      <c r="BX944" t="str">
        <f>""</f>
        <v/>
      </c>
      <c r="BY944" t="str">
        <f>""</f>
        <v/>
      </c>
      <c r="BZ944" t="str">
        <f>""</f>
        <v/>
      </c>
      <c r="CA944" t="str">
        <f>""</f>
        <v/>
      </c>
      <c r="CB944" t="str">
        <f>""</f>
        <v/>
      </c>
      <c r="CC944" t="str">
        <f>""</f>
        <v/>
      </c>
      <c r="CD944" t="str">
        <f>""</f>
        <v/>
      </c>
      <c r="CE944" t="str">
        <f>""</f>
        <v/>
      </c>
      <c r="CF944" t="str">
        <f>""</f>
        <v/>
      </c>
      <c r="CG944" t="str">
        <f>""</f>
        <v/>
      </c>
      <c r="CH944" t="str">
        <f>""</f>
        <v/>
      </c>
      <c r="CI944" t="str">
        <f>""</f>
        <v/>
      </c>
      <c r="CJ944" t="str">
        <f>""</f>
        <v/>
      </c>
      <c r="CK944" t="str">
        <f>""</f>
        <v/>
      </c>
      <c r="CL944" t="str">
        <f>""</f>
        <v/>
      </c>
      <c r="CM944" t="str">
        <f>""</f>
        <v/>
      </c>
      <c r="CN944" t="str">
        <f>""</f>
        <v/>
      </c>
      <c r="CO944" t="str">
        <f>""</f>
        <v/>
      </c>
      <c r="CP944" t="str">
        <f>""</f>
        <v/>
      </c>
      <c r="CQ944" t="str">
        <f>""</f>
        <v/>
      </c>
      <c r="CR944" t="str">
        <f>""</f>
        <v/>
      </c>
      <c r="CS944" t="str">
        <f>""</f>
        <v/>
      </c>
      <c r="CT944" t="str">
        <f>""</f>
        <v/>
      </c>
      <c r="CU944" t="str">
        <f>""</f>
        <v/>
      </c>
      <c r="CV944" t="str">
        <f>""</f>
        <v/>
      </c>
      <c r="CW944" t="str">
        <f>""</f>
        <v/>
      </c>
      <c r="CX944" t="str">
        <f>""</f>
        <v/>
      </c>
      <c r="CY944" t="str">
        <f>""</f>
        <v/>
      </c>
      <c r="CZ944" t="str">
        <f>""</f>
        <v/>
      </c>
      <c r="DA944" t="str">
        <f>""</f>
        <v/>
      </c>
      <c r="DB944" t="str">
        <f>""</f>
        <v/>
      </c>
      <c r="DC944" t="str">
        <f>""</f>
        <v/>
      </c>
      <c r="DD944" t="str">
        <f>""</f>
        <v/>
      </c>
      <c r="DE944" t="str">
        <f>""</f>
        <v/>
      </c>
      <c r="DF944" t="str">
        <f>""</f>
        <v/>
      </c>
      <c r="DG944" t="str">
        <f>""</f>
        <v/>
      </c>
      <c r="DH944" t="str">
        <f>""</f>
        <v/>
      </c>
      <c r="DI944" t="str">
        <f>""</f>
        <v/>
      </c>
      <c r="DJ944" t="str">
        <f>""</f>
        <v/>
      </c>
      <c r="DK944" t="str">
        <f>""</f>
        <v/>
      </c>
      <c r="DL944" t="str">
        <f>""</f>
        <v/>
      </c>
      <c r="DM944" t="str">
        <f>""</f>
        <v/>
      </c>
      <c r="DN944" t="str">
        <f>""</f>
        <v/>
      </c>
      <c r="DO944" t="str">
        <f>""</f>
        <v/>
      </c>
      <c r="DP944" t="str">
        <f>""</f>
        <v/>
      </c>
      <c r="DQ944" t="str">
        <f>""</f>
        <v/>
      </c>
      <c r="DR944" t="str">
        <f>""</f>
        <v/>
      </c>
      <c r="DS944" t="str">
        <f>""</f>
        <v/>
      </c>
      <c r="DT944" t="str">
        <f>""</f>
        <v/>
      </c>
      <c r="DU944" t="str">
        <f>""</f>
        <v/>
      </c>
    </row>
    <row r="945" spans="1:125" x14ac:dyDescent="0.25">
      <c r="A945" t="str">
        <f>$A$277</f>
        <v xml:space="preserve">    Renault SA</v>
      </c>
      <c r="B945" t="str">
        <f>$B$277</f>
        <v>RNO FP Equity</v>
      </c>
      <c r="C945" t="str">
        <f>$C$277</f>
        <v>RR904</v>
      </c>
      <c r="D945" t="str">
        <f>$D$277</f>
        <v>PX_TO_SALES_RATIO</v>
      </c>
      <c r="E945" t="str">
        <f>$E$277</f>
        <v>Dynamic</v>
      </c>
      <c r="F945" t="str">
        <f ca="1">_xll.BDH($B$277,$C$277,$B$675,$B$676,CONCATENATE("Per=",$B$673),"Dts=H","Dir=H",CONCATENATE("Points=",$B$674),"Sort=R","Days=A","Fill=B",CONCATENATE("FX=", $B$672) )</f>
        <v>#N/A Connection</v>
      </c>
      <c r="BN945" t="str">
        <f>""</f>
        <v/>
      </c>
      <c r="BO945" t="str">
        <f>""</f>
        <v/>
      </c>
      <c r="BP945" t="str">
        <f>""</f>
        <v/>
      </c>
      <c r="BQ945" t="str">
        <f>""</f>
        <v/>
      </c>
      <c r="BR945" t="str">
        <f>""</f>
        <v/>
      </c>
      <c r="BS945" t="str">
        <f>""</f>
        <v/>
      </c>
      <c r="BT945" t="str">
        <f>""</f>
        <v/>
      </c>
      <c r="BU945" t="str">
        <f>""</f>
        <v/>
      </c>
      <c r="BV945" t="str">
        <f>""</f>
        <v/>
      </c>
      <c r="BW945" t="str">
        <f>""</f>
        <v/>
      </c>
      <c r="BX945" t="str">
        <f>""</f>
        <v/>
      </c>
      <c r="BY945" t="str">
        <f>""</f>
        <v/>
      </c>
      <c r="BZ945" t="str">
        <f>""</f>
        <v/>
      </c>
      <c r="CA945" t="str">
        <f>""</f>
        <v/>
      </c>
      <c r="CB945" t="str">
        <f>""</f>
        <v/>
      </c>
      <c r="CC945" t="str">
        <f>""</f>
        <v/>
      </c>
      <c r="CD945" t="str">
        <f>""</f>
        <v/>
      </c>
      <c r="CE945" t="str">
        <f>""</f>
        <v/>
      </c>
      <c r="CF945" t="str">
        <f>""</f>
        <v/>
      </c>
      <c r="CG945" t="str">
        <f>""</f>
        <v/>
      </c>
      <c r="CH945" t="str">
        <f>""</f>
        <v/>
      </c>
      <c r="CI945" t="str">
        <f>""</f>
        <v/>
      </c>
      <c r="CJ945" t="str">
        <f>""</f>
        <v/>
      </c>
      <c r="CK945" t="str">
        <f>""</f>
        <v/>
      </c>
      <c r="CL945" t="str">
        <f>""</f>
        <v/>
      </c>
      <c r="CM945" t="str">
        <f>""</f>
        <v/>
      </c>
      <c r="CN945" t="str">
        <f>""</f>
        <v/>
      </c>
      <c r="CO945" t="str">
        <f>""</f>
        <v/>
      </c>
      <c r="CP945" t="str">
        <f>""</f>
        <v/>
      </c>
      <c r="CQ945" t="str">
        <f>""</f>
        <v/>
      </c>
      <c r="CR945" t="str">
        <f>""</f>
        <v/>
      </c>
      <c r="CS945" t="str">
        <f>""</f>
        <v/>
      </c>
      <c r="CT945" t="str">
        <f>""</f>
        <v/>
      </c>
      <c r="CU945" t="str">
        <f>""</f>
        <v/>
      </c>
      <c r="CV945" t="str">
        <f>""</f>
        <v/>
      </c>
      <c r="CW945" t="str">
        <f>""</f>
        <v/>
      </c>
      <c r="CX945" t="str">
        <f>""</f>
        <v/>
      </c>
      <c r="CY945" t="str">
        <f>""</f>
        <v/>
      </c>
      <c r="CZ945" t="str">
        <f>""</f>
        <v/>
      </c>
      <c r="DA945" t="str">
        <f>""</f>
        <v/>
      </c>
      <c r="DB945" t="str">
        <f>""</f>
        <v/>
      </c>
      <c r="DC945" t="str">
        <f>""</f>
        <v/>
      </c>
      <c r="DD945" t="str">
        <f>""</f>
        <v/>
      </c>
      <c r="DE945" t="str">
        <f>""</f>
        <v/>
      </c>
      <c r="DF945" t="str">
        <f>""</f>
        <v/>
      </c>
      <c r="DG945" t="str">
        <f>""</f>
        <v/>
      </c>
      <c r="DH945" t="str">
        <f>""</f>
        <v/>
      </c>
      <c r="DI945" t="str">
        <f>""</f>
        <v/>
      </c>
      <c r="DJ945" t="str">
        <f>""</f>
        <v/>
      </c>
      <c r="DK945" t="str">
        <f>""</f>
        <v/>
      </c>
      <c r="DL945" t="str">
        <f>""</f>
        <v/>
      </c>
      <c r="DM945" t="str">
        <f>""</f>
        <v/>
      </c>
      <c r="DN945" t="str">
        <f>""</f>
        <v/>
      </c>
      <c r="DO945" t="str">
        <f>""</f>
        <v/>
      </c>
      <c r="DP945" t="str">
        <f>""</f>
        <v/>
      </c>
      <c r="DQ945" t="str">
        <f>""</f>
        <v/>
      </c>
      <c r="DR945" t="str">
        <f>""</f>
        <v/>
      </c>
      <c r="DS945" t="str">
        <f>""</f>
        <v/>
      </c>
      <c r="DT945" t="str">
        <f>""</f>
        <v/>
      </c>
      <c r="DU945" t="str">
        <f>""</f>
        <v/>
      </c>
    </row>
    <row r="946" spans="1:125" x14ac:dyDescent="0.25">
      <c r="A946" t="str">
        <f>$A$278</f>
        <v xml:space="preserve">    SAIC Motor Corp Ltd</v>
      </c>
      <c r="B946" t="str">
        <f>$B$278</f>
        <v>600104 CH Equity</v>
      </c>
      <c r="C946" t="str">
        <f>$C$278</f>
        <v>RR904</v>
      </c>
      <c r="D946" t="str">
        <f>$D$278</f>
        <v>PX_TO_SALES_RATIO</v>
      </c>
      <c r="E946" t="str">
        <f>$E$278</f>
        <v>Dynamic</v>
      </c>
      <c r="F946" t="str">
        <f ca="1">_xll.BDH($B$278,$C$278,$B$675,$B$676,CONCATENATE("Per=",$B$673),"Dts=H","Dir=H",CONCATENATE("Points=",$B$674),"Sort=R","Days=A","Fill=B",CONCATENATE("FX=", $B$672) )</f>
        <v>#N/A Connection</v>
      </c>
      <c r="BN946" t="str">
        <f>""</f>
        <v/>
      </c>
      <c r="BO946" t="str">
        <f>""</f>
        <v/>
      </c>
      <c r="BP946" t="str">
        <f>""</f>
        <v/>
      </c>
      <c r="BQ946" t="str">
        <f>""</f>
        <v/>
      </c>
      <c r="BR946" t="str">
        <f>""</f>
        <v/>
      </c>
      <c r="BS946" t="str">
        <f>""</f>
        <v/>
      </c>
      <c r="BT946" t="str">
        <f>""</f>
        <v/>
      </c>
      <c r="BU946" t="str">
        <f>""</f>
        <v/>
      </c>
      <c r="BV946" t="str">
        <f>""</f>
        <v/>
      </c>
      <c r="BW946" t="str">
        <f>""</f>
        <v/>
      </c>
      <c r="BX946" t="str">
        <f>""</f>
        <v/>
      </c>
      <c r="BY946" t="str">
        <f>""</f>
        <v/>
      </c>
      <c r="BZ946" t="str">
        <f>""</f>
        <v/>
      </c>
      <c r="CA946" t="str">
        <f>""</f>
        <v/>
      </c>
      <c r="CB946" t="str">
        <f>""</f>
        <v/>
      </c>
      <c r="CC946" t="str">
        <f>""</f>
        <v/>
      </c>
      <c r="CD946" t="str">
        <f>""</f>
        <v/>
      </c>
      <c r="CE946" t="str">
        <f>""</f>
        <v/>
      </c>
      <c r="CF946" t="str">
        <f>""</f>
        <v/>
      </c>
      <c r="CG946" t="str">
        <f>""</f>
        <v/>
      </c>
      <c r="CH946" t="str">
        <f>""</f>
        <v/>
      </c>
      <c r="CI946" t="str">
        <f>""</f>
        <v/>
      </c>
      <c r="CJ946" t="str">
        <f>""</f>
        <v/>
      </c>
      <c r="CK946" t="str">
        <f>""</f>
        <v/>
      </c>
      <c r="CL946" t="str">
        <f>""</f>
        <v/>
      </c>
      <c r="CM946" t="str">
        <f>""</f>
        <v/>
      </c>
      <c r="CN946" t="str">
        <f>""</f>
        <v/>
      </c>
      <c r="CO946" t="str">
        <f>""</f>
        <v/>
      </c>
      <c r="CP946" t="str">
        <f>""</f>
        <v/>
      </c>
      <c r="CQ946" t="str">
        <f>""</f>
        <v/>
      </c>
      <c r="CR946" t="str">
        <f>""</f>
        <v/>
      </c>
      <c r="CS946" t="str">
        <f>""</f>
        <v/>
      </c>
      <c r="CT946" t="str">
        <f>""</f>
        <v/>
      </c>
      <c r="CU946" t="str">
        <f>""</f>
        <v/>
      </c>
      <c r="CV946" t="str">
        <f>""</f>
        <v/>
      </c>
      <c r="CW946" t="str">
        <f>""</f>
        <v/>
      </c>
      <c r="CX946" t="str">
        <f>""</f>
        <v/>
      </c>
      <c r="CY946" t="str">
        <f>""</f>
        <v/>
      </c>
      <c r="CZ946" t="str">
        <f>""</f>
        <v/>
      </c>
      <c r="DA946" t="str">
        <f>""</f>
        <v/>
      </c>
      <c r="DB946" t="str">
        <f>""</f>
        <v/>
      </c>
      <c r="DC946" t="str">
        <f>""</f>
        <v/>
      </c>
      <c r="DD946" t="str">
        <f>""</f>
        <v/>
      </c>
      <c r="DE946" t="str">
        <f>""</f>
        <v/>
      </c>
      <c r="DF946" t="str">
        <f>""</f>
        <v/>
      </c>
      <c r="DG946" t="str">
        <f>""</f>
        <v/>
      </c>
      <c r="DH946" t="str">
        <f>""</f>
        <v/>
      </c>
      <c r="DI946" t="str">
        <f>""</f>
        <v/>
      </c>
      <c r="DJ946" t="str">
        <f>""</f>
        <v/>
      </c>
      <c r="DK946" t="str">
        <f>""</f>
        <v/>
      </c>
      <c r="DL946" t="str">
        <f>""</f>
        <v/>
      </c>
      <c r="DM946" t="str">
        <f>""</f>
        <v/>
      </c>
      <c r="DN946" t="str">
        <f>""</f>
        <v/>
      </c>
      <c r="DO946" t="str">
        <f>""</f>
        <v/>
      </c>
      <c r="DP946" t="str">
        <f>""</f>
        <v/>
      </c>
      <c r="DQ946" t="str">
        <f>""</f>
        <v/>
      </c>
      <c r="DR946" t="str">
        <f>""</f>
        <v/>
      </c>
      <c r="DS946" t="str">
        <f>""</f>
        <v/>
      </c>
      <c r="DT946" t="str">
        <f>""</f>
        <v/>
      </c>
      <c r="DU946" t="str">
        <f>""</f>
        <v/>
      </c>
    </row>
    <row r="947" spans="1:125" x14ac:dyDescent="0.25">
      <c r="A947" t="str">
        <f>$A$279</f>
        <v xml:space="preserve">    Sanyang Motor Co Ltd</v>
      </c>
      <c r="B947" t="str">
        <f>$B$279</f>
        <v>2206 TT Equity</v>
      </c>
      <c r="C947" t="str">
        <f>$C$279</f>
        <v>RR904</v>
      </c>
      <c r="D947" t="str">
        <f>$D$279</f>
        <v>PX_TO_SALES_RATIO</v>
      </c>
      <c r="E947" t="str">
        <f>$E$279</f>
        <v>Dynamic</v>
      </c>
      <c r="F947" t="str">
        <f ca="1">_xll.BDH($B$279,$C$279,$B$675,$B$676,CONCATENATE("Per=",$B$673),"Dts=H","Dir=H",CONCATENATE("Points=",$B$674),"Sort=R","Days=A","Fill=B",CONCATENATE("FX=", $B$672) )</f>
        <v>#N/A Connection</v>
      </c>
      <c r="BN947" t="str">
        <f>""</f>
        <v/>
      </c>
      <c r="BO947" t="str">
        <f>""</f>
        <v/>
      </c>
      <c r="BP947" t="str">
        <f>""</f>
        <v/>
      </c>
      <c r="BQ947" t="str">
        <f>""</f>
        <v/>
      </c>
      <c r="BR947" t="str">
        <f>""</f>
        <v/>
      </c>
      <c r="BS947" t="str">
        <f>""</f>
        <v/>
      </c>
      <c r="BT947" t="str">
        <f>""</f>
        <v/>
      </c>
      <c r="BU947" t="str">
        <f>""</f>
        <v/>
      </c>
      <c r="BV947" t="str">
        <f>""</f>
        <v/>
      </c>
      <c r="BW947" t="str">
        <f>""</f>
        <v/>
      </c>
      <c r="BX947" t="str">
        <f>""</f>
        <v/>
      </c>
      <c r="BY947" t="str">
        <f>""</f>
        <v/>
      </c>
      <c r="BZ947" t="str">
        <f>""</f>
        <v/>
      </c>
      <c r="CA947" t="str">
        <f>""</f>
        <v/>
      </c>
      <c r="CB947" t="str">
        <f>""</f>
        <v/>
      </c>
      <c r="CC947" t="str">
        <f>""</f>
        <v/>
      </c>
      <c r="CD947" t="str">
        <f>""</f>
        <v/>
      </c>
      <c r="CE947" t="str">
        <f>""</f>
        <v/>
      </c>
      <c r="CF947" t="str">
        <f>""</f>
        <v/>
      </c>
      <c r="CG947" t="str">
        <f>""</f>
        <v/>
      </c>
      <c r="CH947" t="str">
        <f>""</f>
        <v/>
      </c>
      <c r="CI947" t="str">
        <f>""</f>
        <v/>
      </c>
      <c r="CJ947" t="str">
        <f>""</f>
        <v/>
      </c>
      <c r="CK947" t="str">
        <f>""</f>
        <v/>
      </c>
      <c r="CL947" t="str">
        <f>""</f>
        <v/>
      </c>
      <c r="CM947" t="str">
        <f>""</f>
        <v/>
      </c>
      <c r="CN947" t="str">
        <f>""</f>
        <v/>
      </c>
      <c r="CO947" t="str">
        <f>""</f>
        <v/>
      </c>
      <c r="CP947" t="str">
        <f>""</f>
        <v/>
      </c>
      <c r="CQ947" t="str">
        <f>""</f>
        <v/>
      </c>
      <c r="CR947" t="str">
        <f>""</f>
        <v/>
      </c>
      <c r="CS947" t="str">
        <f>""</f>
        <v/>
      </c>
      <c r="CT947" t="str">
        <f>""</f>
        <v/>
      </c>
      <c r="CU947" t="str">
        <f>""</f>
        <v/>
      </c>
      <c r="CV947" t="str">
        <f>""</f>
        <v/>
      </c>
      <c r="CW947" t="str">
        <f>""</f>
        <v/>
      </c>
      <c r="CX947" t="str">
        <f>""</f>
        <v/>
      </c>
      <c r="CY947" t="str">
        <f>""</f>
        <v/>
      </c>
      <c r="CZ947" t="str">
        <f>""</f>
        <v/>
      </c>
      <c r="DA947" t="str">
        <f>""</f>
        <v/>
      </c>
      <c r="DB947" t="str">
        <f>""</f>
        <v/>
      </c>
      <c r="DC947" t="str">
        <f>""</f>
        <v/>
      </c>
      <c r="DD947" t="str">
        <f>""</f>
        <v/>
      </c>
      <c r="DE947" t="str">
        <f>""</f>
        <v/>
      </c>
      <c r="DF947" t="str">
        <f>""</f>
        <v/>
      </c>
      <c r="DG947" t="str">
        <f>""</f>
        <v/>
      </c>
      <c r="DH947" t="str">
        <f>""</f>
        <v/>
      </c>
      <c r="DI947" t="str">
        <f>""</f>
        <v/>
      </c>
      <c r="DJ947" t="str">
        <f>""</f>
        <v/>
      </c>
      <c r="DK947" t="str">
        <f>""</f>
        <v/>
      </c>
      <c r="DL947" t="str">
        <f>""</f>
        <v/>
      </c>
      <c r="DM947" t="str">
        <f>""</f>
        <v/>
      </c>
      <c r="DN947" t="str">
        <f>""</f>
        <v/>
      </c>
      <c r="DO947" t="str">
        <f>""</f>
        <v/>
      </c>
      <c r="DP947" t="str">
        <f>""</f>
        <v/>
      </c>
      <c r="DQ947" t="str">
        <f>""</f>
        <v/>
      </c>
      <c r="DR947" t="str">
        <f>""</f>
        <v/>
      </c>
      <c r="DS947" t="str">
        <f>""</f>
        <v/>
      </c>
      <c r="DT947" t="str">
        <f>""</f>
        <v/>
      </c>
      <c r="DU947" t="str">
        <f>""</f>
        <v/>
      </c>
    </row>
    <row r="948" spans="1:125" x14ac:dyDescent="0.25">
      <c r="A948" t="str">
        <f>$A$280</f>
        <v xml:space="preserve">    Sollers PJSC</v>
      </c>
      <c r="B948" t="str">
        <f>$B$280</f>
        <v>SVAV RM Equity</v>
      </c>
      <c r="C948" t="str">
        <f>$C$280</f>
        <v>RR904</v>
      </c>
      <c r="D948" t="str">
        <f>$D$280</f>
        <v>PX_TO_SALES_RATIO</v>
      </c>
      <c r="E948" t="str">
        <f>$E$280</f>
        <v>Dynamic</v>
      </c>
      <c r="F948" t="str">
        <f ca="1">_xll.BDH($B$280,$C$280,$B$675,$B$676,CONCATENATE("Per=",$B$673),"Dts=H","Dir=H",CONCATENATE("Points=",$B$674),"Sort=R","Days=A","Fill=B",CONCATENATE("FX=", $B$672) )</f>
        <v>#N/A Connection</v>
      </c>
      <c r="BN948" t="str">
        <f>""</f>
        <v/>
      </c>
      <c r="BO948" t="str">
        <f>""</f>
        <v/>
      </c>
      <c r="BP948" t="str">
        <f>""</f>
        <v/>
      </c>
      <c r="BQ948" t="str">
        <f>""</f>
        <v/>
      </c>
      <c r="BR948" t="str">
        <f>""</f>
        <v/>
      </c>
      <c r="BS948" t="str">
        <f>""</f>
        <v/>
      </c>
      <c r="BT948" t="str">
        <f>""</f>
        <v/>
      </c>
      <c r="BU948" t="str">
        <f>""</f>
        <v/>
      </c>
      <c r="BV948" t="str">
        <f>""</f>
        <v/>
      </c>
      <c r="BW948" t="str">
        <f>""</f>
        <v/>
      </c>
      <c r="BX948" t="str">
        <f>""</f>
        <v/>
      </c>
      <c r="BY948" t="str">
        <f>""</f>
        <v/>
      </c>
      <c r="BZ948" t="str">
        <f>""</f>
        <v/>
      </c>
      <c r="CA948" t="str">
        <f>""</f>
        <v/>
      </c>
      <c r="CB948" t="str">
        <f>""</f>
        <v/>
      </c>
      <c r="CC948" t="str">
        <f>""</f>
        <v/>
      </c>
      <c r="CD948" t="str">
        <f>""</f>
        <v/>
      </c>
      <c r="CE948" t="str">
        <f>""</f>
        <v/>
      </c>
      <c r="CF948" t="str">
        <f>""</f>
        <v/>
      </c>
      <c r="CG948" t="str">
        <f>""</f>
        <v/>
      </c>
      <c r="CH948" t="str">
        <f>""</f>
        <v/>
      </c>
      <c r="CI948" t="str">
        <f>""</f>
        <v/>
      </c>
      <c r="CJ948" t="str">
        <f>""</f>
        <v/>
      </c>
      <c r="CK948" t="str">
        <f>""</f>
        <v/>
      </c>
      <c r="CL948" t="str">
        <f>""</f>
        <v/>
      </c>
      <c r="CM948" t="str">
        <f>""</f>
        <v/>
      </c>
      <c r="CN948" t="str">
        <f>""</f>
        <v/>
      </c>
      <c r="CO948" t="str">
        <f>""</f>
        <v/>
      </c>
      <c r="CP948" t="str">
        <f>""</f>
        <v/>
      </c>
      <c r="CQ948" t="str">
        <f>""</f>
        <v/>
      </c>
      <c r="CR948" t="str">
        <f>""</f>
        <v/>
      </c>
      <c r="CS948" t="str">
        <f>""</f>
        <v/>
      </c>
      <c r="CT948" t="str">
        <f>""</f>
        <v/>
      </c>
      <c r="CU948" t="str">
        <f>""</f>
        <v/>
      </c>
      <c r="CV948" t="str">
        <f>""</f>
        <v/>
      </c>
      <c r="CW948" t="str">
        <f>""</f>
        <v/>
      </c>
      <c r="CX948" t="str">
        <f>""</f>
        <v/>
      </c>
      <c r="CY948" t="str">
        <f>""</f>
        <v/>
      </c>
      <c r="CZ948" t="str">
        <f>""</f>
        <v/>
      </c>
      <c r="DA948" t="str">
        <f>""</f>
        <v/>
      </c>
      <c r="DB948" t="str">
        <f>""</f>
        <v/>
      </c>
      <c r="DC948" t="str">
        <f>""</f>
        <v/>
      </c>
      <c r="DD948" t="str">
        <f>""</f>
        <v/>
      </c>
      <c r="DE948" t="str">
        <f>""</f>
        <v/>
      </c>
      <c r="DF948" t="str">
        <f>""</f>
        <v/>
      </c>
      <c r="DG948" t="str">
        <f>""</f>
        <v/>
      </c>
      <c r="DH948" t="str">
        <f>""</f>
        <v/>
      </c>
      <c r="DI948" t="str">
        <f>""</f>
        <v/>
      </c>
      <c r="DJ948" t="str">
        <f>""</f>
        <v/>
      </c>
      <c r="DK948" t="str">
        <f>""</f>
        <v/>
      </c>
      <c r="DL948" t="str">
        <f>""</f>
        <v/>
      </c>
      <c r="DM948" t="str">
        <f>""</f>
        <v/>
      </c>
      <c r="DN948" t="str">
        <f>""</f>
        <v/>
      </c>
      <c r="DO948" t="str">
        <f>""</f>
        <v/>
      </c>
      <c r="DP948" t="str">
        <f>""</f>
        <v/>
      </c>
      <c r="DQ948" t="str">
        <f>""</f>
        <v/>
      </c>
      <c r="DR948" t="str">
        <f>""</f>
        <v/>
      </c>
      <c r="DS948" t="str">
        <f>""</f>
        <v/>
      </c>
      <c r="DT948" t="str">
        <f>""</f>
        <v/>
      </c>
      <c r="DU948" t="str">
        <f>""</f>
        <v/>
      </c>
    </row>
    <row r="949" spans="1:125" x14ac:dyDescent="0.25">
      <c r="A949" t="str">
        <f>$A$281</f>
        <v xml:space="preserve">    Ssangyong Motor Co</v>
      </c>
      <c r="B949" t="str">
        <f>$B$281</f>
        <v>003620 KS Equity</v>
      </c>
      <c r="C949" t="str">
        <f>$C$281</f>
        <v>RR904</v>
      </c>
      <c r="D949" t="str">
        <f>$D$281</f>
        <v>PX_TO_SALES_RATIO</v>
      </c>
      <c r="E949" t="str">
        <f>$E$281</f>
        <v>Dynamic</v>
      </c>
      <c r="F949" t="str">
        <f ca="1">_xll.BDH($B$281,$C$281,$B$675,$B$676,CONCATENATE("Per=",$B$673),"Dts=H","Dir=H",CONCATENATE("Points=",$B$674),"Sort=R","Days=A","Fill=B",CONCATENATE("FX=", $B$672) )</f>
        <v>#N/A Connection</v>
      </c>
      <c r="BN949" t="str">
        <f>""</f>
        <v/>
      </c>
      <c r="BO949" t="str">
        <f>""</f>
        <v/>
      </c>
      <c r="BP949" t="str">
        <f>""</f>
        <v/>
      </c>
      <c r="BQ949" t="str">
        <f>""</f>
        <v/>
      </c>
      <c r="BR949" t="str">
        <f>""</f>
        <v/>
      </c>
      <c r="BS949" t="str">
        <f>""</f>
        <v/>
      </c>
      <c r="BT949" t="str">
        <f>""</f>
        <v/>
      </c>
      <c r="BU949" t="str">
        <f>""</f>
        <v/>
      </c>
      <c r="BV949" t="str">
        <f>""</f>
        <v/>
      </c>
      <c r="BW949" t="str">
        <f>""</f>
        <v/>
      </c>
      <c r="BX949" t="str">
        <f>""</f>
        <v/>
      </c>
      <c r="BY949" t="str">
        <f>""</f>
        <v/>
      </c>
      <c r="BZ949" t="str">
        <f>""</f>
        <v/>
      </c>
      <c r="CA949" t="str">
        <f>""</f>
        <v/>
      </c>
      <c r="CB949" t="str">
        <f>""</f>
        <v/>
      </c>
      <c r="CC949" t="str">
        <f>""</f>
        <v/>
      </c>
      <c r="CD949" t="str">
        <f>""</f>
        <v/>
      </c>
      <c r="CE949" t="str">
        <f>""</f>
        <v/>
      </c>
      <c r="CF949" t="str">
        <f>""</f>
        <v/>
      </c>
      <c r="CG949" t="str">
        <f>""</f>
        <v/>
      </c>
      <c r="CH949" t="str">
        <f>""</f>
        <v/>
      </c>
      <c r="CI949" t="str">
        <f>""</f>
        <v/>
      </c>
      <c r="CJ949" t="str">
        <f>""</f>
        <v/>
      </c>
      <c r="CK949" t="str">
        <f>""</f>
        <v/>
      </c>
      <c r="CL949" t="str">
        <f>""</f>
        <v/>
      </c>
      <c r="CM949" t="str">
        <f>""</f>
        <v/>
      </c>
      <c r="CN949" t="str">
        <f>""</f>
        <v/>
      </c>
      <c r="CO949" t="str">
        <f>""</f>
        <v/>
      </c>
      <c r="CP949" t="str">
        <f>""</f>
        <v/>
      </c>
      <c r="CQ949" t="str">
        <f>""</f>
        <v/>
      </c>
      <c r="CR949" t="str">
        <f>""</f>
        <v/>
      </c>
      <c r="CS949" t="str">
        <f>""</f>
        <v/>
      </c>
      <c r="CT949" t="str">
        <f>""</f>
        <v/>
      </c>
      <c r="CU949" t="str">
        <f>""</f>
        <v/>
      </c>
      <c r="CV949" t="str">
        <f>""</f>
        <v/>
      </c>
      <c r="CW949" t="str">
        <f>""</f>
        <v/>
      </c>
      <c r="CX949" t="str">
        <f>""</f>
        <v/>
      </c>
      <c r="CY949" t="str">
        <f>""</f>
        <v/>
      </c>
      <c r="CZ949" t="str">
        <f>""</f>
        <v/>
      </c>
      <c r="DA949" t="str">
        <f>""</f>
        <v/>
      </c>
      <c r="DB949" t="str">
        <f>""</f>
        <v/>
      </c>
      <c r="DC949" t="str">
        <f>""</f>
        <v/>
      </c>
      <c r="DD949" t="str">
        <f>""</f>
        <v/>
      </c>
      <c r="DE949" t="str">
        <f>""</f>
        <v/>
      </c>
      <c r="DF949" t="str">
        <f>""</f>
        <v/>
      </c>
      <c r="DG949" t="str">
        <f>""</f>
        <v/>
      </c>
      <c r="DH949" t="str">
        <f>""</f>
        <v/>
      </c>
      <c r="DI949" t="str">
        <f>""</f>
        <v/>
      </c>
      <c r="DJ949" t="str">
        <f>""</f>
        <v/>
      </c>
      <c r="DK949" t="str">
        <f>""</f>
        <v/>
      </c>
      <c r="DL949" t="str">
        <f>""</f>
        <v/>
      </c>
      <c r="DM949" t="str">
        <f>""</f>
        <v/>
      </c>
      <c r="DN949" t="str">
        <f>""</f>
        <v/>
      </c>
      <c r="DO949" t="str">
        <f>""</f>
        <v/>
      </c>
      <c r="DP949" t="str">
        <f>""</f>
        <v/>
      </c>
      <c r="DQ949" t="str">
        <f>""</f>
        <v/>
      </c>
      <c r="DR949" t="str">
        <f>""</f>
        <v/>
      </c>
      <c r="DS949" t="str">
        <f>""</f>
        <v/>
      </c>
      <c r="DT949" t="str">
        <f>""</f>
        <v/>
      </c>
      <c r="DU949" t="str">
        <f>""</f>
        <v/>
      </c>
    </row>
    <row r="950" spans="1:125" x14ac:dyDescent="0.25">
      <c r="A950" t="str">
        <f>$A$282</f>
        <v xml:space="preserve">    Subaru Corp</v>
      </c>
      <c r="B950" t="str">
        <f>$B$282</f>
        <v>7270 JP Equity</v>
      </c>
      <c r="C950" t="str">
        <f>$C$282</f>
        <v>RR904</v>
      </c>
      <c r="D950" t="str">
        <f>$D$282</f>
        <v>PX_TO_SALES_RATIO</v>
      </c>
      <c r="E950" t="str">
        <f>$E$282</f>
        <v>Dynamic</v>
      </c>
      <c r="F950" t="str">
        <f ca="1">_xll.BDH($B$282,$C$282,$B$675,$B$676,CONCATENATE("Per=",$B$673),"Dts=H","Dir=H",CONCATENATE("Points=",$B$674),"Sort=R","Days=A","Fill=B",CONCATENATE("FX=", $B$672) )</f>
        <v>#N/A Connection</v>
      </c>
      <c r="BN950" t="str">
        <f>""</f>
        <v/>
      </c>
      <c r="BO950" t="str">
        <f>""</f>
        <v/>
      </c>
      <c r="BP950" t="str">
        <f>""</f>
        <v/>
      </c>
      <c r="BQ950" t="str">
        <f>""</f>
        <v/>
      </c>
      <c r="BR950" t="str">
        <f>""</f>
        <v/>
      </c>
      <c r="BS950" t="str">
        <f>""</f>
        <v/>
      </c>
      <c r="BT950" t="str">
        <f>""</f>
        <v/>
      </c>
      <c r="BU950" t="str">
        <f>""</f>
        <v/>
      </c>
      <c r="BV950" t="str">
        <f>""</f>
        <v/>
      </c>
      <c r="BW950" t="str">
        <f>""</f>
        <v/>
      </c>
      <c r="BX950" t="str">
        <f>""</f>
        <v/>
      </c>
      <c r="BY950" t="str">
        <f>""</f>
        <v/>
      </c>
      <c r="BZ950" t="str">
        <f>""</f>
        <v/>
      </c>
      <c r="CA950" t="str">
        <f>""</f>
        <v/>
      </c>
      <c r="CB950" t="str">
        <f>""</f>
        <v/>
      </c>
      <c r="CC950" t="str">
        <f>""</f>
        <v/>
      </c>
      <c r="CD950" t="str">
        <f>""</f>
        <v/>
      </c>
      <c r="CE950" t="str">
        <f>""</f>
        <v/>
      </c>
      <c r="CF950" t="str">
        <f>""</f>
        <v/>
      </c>
      <c r="CG950" t="str">
        <f>""</f>
        <v/>
      </c>
      <c r="CH950" t="str">
        <f>""</f>
        <v/>
      </c>
      <c r="CI950" t="str">
        <f>""</f>
        <v/>
      </c>
      <c r="CJ950" t="str">
        <f>""</f>
        <v/>
      </c>
      <c r="CK950" t="str">
        <f>""</f>
        <v/>
      </c>
      <c r="CL950" t="str">
        <f>""</f>
        <v/>
      </c>
      <c r="CM950" t="str">
        <f>""</f>
        <v/>
      </c>
      <c r="CN950" t="str">
        <f>""</f>
        <v/>
      </c>
      <c r="CO950" t="str">
        <f>""</f>
        <v/>
      </c>
      <c r="CP950" t="str">
        <f>""</f>
        <v/>
      </c>
      <c r="CQ950" t="str">
        <f>""</f>
        <v/>
      </c>
      <c r="CR950" t="str">
        <f>""</f>
        <v/>
      </c>
      <c r="CS950" t="str">
        <f>""</f>
        <v/>
      </c>
      <c r="CT950" t="str">
        <f>""</f>
        <v/>
      </c>
      <c r="CU950" t="str">
        <f>""</f>
        <v/>
      </c>
      <c r="CV950" t="str">
        <f>""</f>
        <v/>
      </c>
      <c r="CW950" t="str">
        <f>""</f>
        <v/>
      </c>
      <c r="CX950" t="str">
        <f>""</f>
        <v/>
      </c>
      <c r="CY950" t="str">
        <f>""</f>
        <v/>
      </c>
      <c r="CZ950" t="str">
        <f>""</f>
        <v/>
      </c>
      <c r="DA950" t="str">
        <f>""</f>
        <v/>
      </c>
      <c r="DB950" t="str">
        <f>""</f>
        <v/>
      </c>
      <c r="DC950" t="str">
        <f>""</f>
        <v/>
      </c>
      <c r="DD950" t="str">
        <f>""</f>
        <v/>
      </c>
      <c r="DE950" t="str">
        <f>""</f>
        <v/>
      </c>
      <c r="DF950" t="str">
        <f>""</f>
        <v/>
      </c>
      <c r="DG950" t="str">
        <f>""</f>
        <v/>
      </c>
      <c r="DH950" t="str">
        <f>""</f>
        <v/>
      </c>
      <c r="DI950" t="str">
        <f>""</f>
        <v/>
      </c>
      <c r="DJ950" t="str">
        <f>""</f>
        <v/>
      </c>
      <c r="DK950" t="str">
        <f>""</f>
        <v/>
      </c>
      <c r="DL950" t="str">
        <f>""</f>
        <v/>
      </c>
      <c r="DM950" t="str">
        <f>""</f>
        <v/>
      </c>
      <c r="DN950" t="str">
        <f>""</f>
        <v/>
      </c>
      <c r="DO950" t="str">
        <f>""</f>
        <v/>
      </c>
      <c r="DP950" t="str">
        <f>""</f>
        <v/>
      </c>
      <c r="DQ950" t="str">
        <f>""</f>
        <v/>
      </c>
      <c r="DR950" t="str">
        <f>""</f>
        <v/>
      </c>
      <c r="DS950" t="str">
        <f>""</f>
        <v/>
      </c>
      <c r="DT950" t="str">
        <f>""</f>
        <v/>
      </c>
      <c r="DU950" t="str">
        <f>""</f>
        <v/>
      </c>
    </row>
    <row r="951" spans="1:125" x14ac:dyDescent="0.25">
      <c r="A951" t="str">
        <f>$A$283</f>
        <v xml:space="preserve">    Suzuki Motor Corp</v>
      </c>
      <c r="B951" t="str">
        <f>$B$283</f>
        <v>7269 JP Equity</v>
      </c>
      <c r="C951" t="str">
        <f>$C$283</f>
        <v>RR904</v>
      </c>
      <c r="D951" t="str">
        <f>$D$283</f>
        <v>PX_TO_SALES_RATIO</v>
      </c>
      <c r="E951" t="str">
        <f>$E$283</f>
        <v>Dynamic</v>
      </c>
      <c r="F951" t="str">
        <f ca="1">_xll.BDH($B$283,$C$283,$B$675,$B$676,CONCATENATE("Per=",$B$673),"Dts=H","Dir=H",CONCATENATE("Points=",$B$674),"Sort=R","Days=A","Fill=B",CONCATENATE("FX=", $B$672) )</f>
        <v>#N/A Connection</v>
      </c>
      <c r="BN951" t="str">
        <f>""</f>
        <v/>
      </c>
      <c r="BO951" t="str">
        <f>""</f>
        <v/>
      </c>
      <c r="BP951" t="str">
        <f>""</f>
        <v/>
      </c>
      <c r="BQ951" t="str">
        <f>""</f>
        <v/>
      </c>
      <c r="BR951" t="str">
        <f>""</f>
        <v/>
      </c>
      <c r="BS951" t="str">
        <f>""</f>
        <v/>
      </c>
      <c r="BT951" t="str">
        <f>""</f>
        <v/>
      </c>
      <c r="BU951" t="str">
        <f>""</f>
        <v/>
      </c>
      <c r="BV951" t="str">
        <f>""</f>
        <v/>
      </c>
      <c r="BW951" t="str">
        <f>""</f>
        <v/>
      </c>
      <c r="BX951" t="str">
        <f>""</f>
        <v/>
      </c>
      <c r="BY951" t="str">
        <f>""</f>
        <v/>
      </c>
      <c r="BZ951" t="str">
        <f>""</f>
        <v/>
      </c>
      <c r="CA951" t="str">
        <f>""</f>
        <v/>
      </c>
      <c r="CB951" t="str">
        <f>""</f>
        <v/>
      </c>
      <c r="CC951" t="str">
        <f>""</f>
        <v/>
      </c>
      <c r="CD951" t="str">
        <f>""</f>
        <v/>
      </c>
      <c r="CE951" t="str">
        <f>""</f>
        <v/>
      </c>
      <c r="CF951" t="str">
        <f>""</f>
        <v/>
      </c>
      <c r="CG951" t="str">
        <f>""</f>
        <v/>
      </c>
      <c r="CH951" t="str">
        <f>""</f>
        <v/>
      </c>
      <c r="CI951" t="str">
        <f>""</f>
        <v/>
      </c>
      <c r="CJ951" t="str">
        <f>""</f>
        <v/>
      </c>
      <c r="CK951" t="str">
        <f>""</f>
        <v/>
      </c>
      <c r="CL951" t="str">
        <f>""</f>
        <v/>
      </c>
      <c r="CM951" t="str">
        <f>""</f>
        <v/>
      </c>
      <c r="CN951" t="str">
        <f>""</f>
        <v/>
      </c>
      <c r="CO951" t="str">
        <f>""</f>
        <v/>
      </c>
      <c r="CP951" t="str">
        <f>""</f>
        <v/>
      </c>
      <c r="CQ951" t="str">
        <f>""</f>
        <v/>
      </c>
      <c r="CR951" t="str">
        <f>""</f>
        <v/>
      </c>
      <c r="CS951" t="str">
        <f>""</f>
        <v/>
      </c>
      <c r="CT951" t="str">
        <f>""</f>
        <v/>
      </c>
      <c r="CU951" t="str">
        <f>""</f>
        <v/>
      </c>
      <c r="CV951" t="str">
        <f>""</f>
        <v/>
      </c>
      <c r="CW951" t="str">
        <f>""</f>
        <v/>
      </c>
      <c r="CX951" t="str">
        <f>""</f>
        <v/>
      </c>
      <c r="CY951" t="str">
        <f>""</f>
        <v/>
      </c>
      <c r="CZ951" t="str">
        <f>""</f>
        <v/>
      </c>
      <c r="DA951" t="str">
        <f>""</f>
        <v/>
      </c>
      <c r="DB951" t="str">
        <f>""</f>
        <v/>
      </c>
      <c r="DC951" t="str">
        <f>""</f>
        <v/>
      </c>
      <c r="DD951" t="str">
        <f>""</f>
        <v/>
      </c>
      <c r="DE951" t="str">
        <f>""</f>
        <v/>
      </c>
      <c r="DF951" t="str">
        <f>""</f>
        <v/>
      </c>
      <c r="DG951" t="str">
        <f>""</f>
        <v/>
      </c>
      <c r="DH951" t="str">
        <f>""</f>
        <v/>
      </c>
      <c r="DI951" t="str">
        <f>""</f>
        <v/>
      </c>
      <c r="DJ951" t="str">
        <f>""</f>
        <v/>
      </c>
      <c r="DK951" t="str">
        <f>""</f>
        <v/>
      </c>
      <c r="DL951" t="str">
        <f>""</f>
        <v/>
      </c>
      <c r="DM951" t="str">
        <f>""</f>
        <v/>
      </c>
      <c r="DN951" t="str">
        <f>""</f>
        <v/>
      </c>
      <c r="DO951" t="str">
        <f>""</f>
        <v/>
      </c>
      <c r="DP951" t="str">
        <f>""</f>
        <v/>
      </c>
      <c r="DQ951" t="str">
        <f>""</f>
        <v/>
      </c>
      <c r="DR951" t="str">
        <f>""</f>
        <v/>
      </c>
      <c r="DS951" t="str">
        <f>""</f>
        <v/>
      </c>
      <c r="DT951" t="str">
        <f>""</f>
        <v/>
      </c>
      <c r="DU951" t="str">
        <f>""</f>
        <v/>
      </c>
    </row>
    <row r="952" spans="1:125" x14ac:dyDescent="0.25">
      <c r="A952" t="str">
        <f>$A$284</f>
        <v xml:space="preserve">    Tata Motors Ltd</v>
      </c>
      <c r="B952" t="str">
        <f>$B$284</f>
        <v>TTMT IN Equity</v>
      </c>
      <c r="C952" t="str">
        <f>$C$284</f>
        <v>RR904</v>
      </c>
      <c r="D952" t="str">
        <f>$D$284</f>
        <v>PX_TO_SALES_RATIO</v>
      </c>
      <c r="E952" t="str">
        <f>$E$284</f>
        <v>Dynamic</v>
      </c>
      <c r="F952" t="str">
        <f ca="1">_xll.BDH($B$284,$C$284,$B$675,$B$676,CONCATENATE("Per=",$B$673),"Dts=H","Dir=H",CONCATENATE("Points=",$B$674),"Sort=R","Days=A","Fill=B",CONCATENATE("FX=", $B$672) )</f>
        <v>#N/A Connection</v>
      </c>
      <c r="BN952" t="str">
        <f>""</f>
        <v/>
      </c>
      <c r="BO952" t="str">
        <f>""</f>
        <v/>
      </c>
      <c r="BP952" t="str">
        <f>""</f>
        <v/>
      </c>
      <c r="BQ952" t="str">
        <f>""</f>
        <v/>
      </c>
      <c r="BR952" t="str">
        <f>""</f>
        <v/>
      </c>
      <c r="BS952" t="str">
        <f>""</f>
        <v/>
      </c>
      <c r="BT952" t="str">
        <f>""</f>
        <v/>
      </c>
      <c r="BU952" t="str">
        <f>""</f>
        <v/>
      </c>
      <c r="BV952" t="str">
        <f>""</f>
        <v/>
      </c>
      <c r="BW952" t="str">
        <f>""</f>
        <v/>
      </c>
      <c r="BX952" t="str">
        <f>""</f>
        <v/>
      </c>
      <c r="BY952" t="str">
        <f>""</f>
        <v/>
      </c>
      <c r="BZ952" t="str">
        <f>""</f>
        <v/>
      </c>
      <c r="CA952" t="str">
        <f>""</f>
        <v/>
      </c>
      <c r="CB952" t="str">
        <f>""</f>
        <v/>
      </c>
      <c r="CC952" t="str">
        <f>""</f>
        <v/>
      </c>
      <c r="CD952" t="str">
        <f>""</f>
        <v/>
      </c>
      <c r="CE952" t="str">
        <f>""</f>
        <v/>
      </c>
      <c r="CF952" t="str">
        <f>""</f>
        <v/>
      </c>
      <c r="CG952" t="str">
        <f>""</f>
        <v/>
      </c>
      <c r="CH952" t="str">
        <f>""</f>
        <v/>
      </c>
      <c r="CI952" t="str">
        <f>""</f>
        <v/>
      </c>
      <c r="CJ952" t="str">
        <f>""</f>
        <v/>
      </c>
      <c r="CK952" t="str">
        <f>""</f>
        <v/>
      </c>
      <c r="CL952" t="str">
        <f>""</f>
        <v/>
      </c>
      <c r="CM952" t="str">
        <f>""</f>
        <v/>
      </c>
      <c r="CN952" t="str">
        <f>""</f>
        <v/>
      </c>
      <c r="CO952" t="str">
        <f>""</f>
        <v/>
      </c>
      <c r="CP952" t="str">
        <f>""</f>
        <v/>
      </c>
      <c r="CQ952" t="str">
        <f>""</f>
        <v/>
      </c>
      <c r="CR952" t="str">
        <f>""</f>
        <v/>
      </c>
      <c r="CS952" t="str">
        <f>""</f>
        <v/>
      </c>
      <c r="CT952" t="str">
        <f>""</f>
        <v/>
      </c>
      <c r="CU952" t="str">
        <f>""</f>
        <v/>
      </c>
      <c r="CV952" t="str">
        <f>""</f>
        <v/>
      </c>
      <c r="CW952" t="str">
        <f>""</f>
        <v/>
      </c>
      <c r="CX952" t="str">
        <f>""</f>
        <v/>
      </c>
      <c r="CY952" t="str">
        <f>""</f>
        <v/>
      </c>
      <c r="CZ952" t="str">
        <f>""</f>
        <v/>
      </c>
      <c r="DA952" t="str">
        <f>""</f>
        <v/>
      </c>
      <c r="DB952" t="str">
        <f>""</f>
        <v/>
      </c>
      <c r="DC952" t="str">
        <f>""</f>
        <v/>
      </c>
      <c r="DD952" t="str">
        <f>""</f>
        <v/>
      </c>
      <c r="DE952" t="str">
        <f>""</f>
        <v/>
      </c>
      <c r="DF952" t="str">
        <f>""</f>
        <v/>
      </c>
      <c r="DG952" t="str">
        <f>""</f>
        <v/>
      </c>
      <c r="DH952" t="str">
        <f>""</f>
        <v/>
      </c>
      <c r="DI952" t="str">
        <f>""</f>
        <v/>
      </c>
      <c r="DJ952" t="str">
        <f>""</f>
        <v/>
      </c>
      <c r="DK952" t="str">
        <f>""</f>
        <v/>
      </c>
      <c r="DL952" t="str">
        <f>""</f>
        <v/>
      </c>
      <c r="DM952" t="str">
        <f>""</f>
        <v/>
      </c>
      <c r="DN952" t="str">
        <f>""</f>
        <v/>
      </c>
      <c r="DO952" t="str">
        <f>""</f>
        <v/>
      </c>
      <c r="DP952" t="str">
        <f>""</f>
        <v/>
      </c>
      <c r="DQ952" t="str">
        <f>""</f>
        <v/>
      </c>
      <c r="DR952" t="str">
        <f>""</f>
        <v/>
      </c>
      <c r="DS952" t="str">
        <f>""</f>
        <v/>
      </c>
      <c r="DT952" t="str">
        <f>""</f>
        <v/>
      </c>
      <c r="DU952" t="str">
        <f>""</f>
        <v/>
      </c>
    </row>
    <row r="953" spans="1:125" x14ac:dyDescent="0.25">
      <c r="A953" t="str">
        <f>$A$285</f>
        <v xml:space="preserve">    Tesla Inc</v>
      </c>
      <c r="B953" t="str">
        <f>$B$285</f>
        <v>TSLA US Equity</v>
      </c>
      <c r="C953" t="str">
        <f>$C$285</f>
        <v>RR904</v>
      </c>
      <c r="D953" t="str">
        <f>$D$285</f>
        <v>PX_TO_SALES_RATIO</v>
      </c>
      <c r="E953" t="str">
        <f>$E$285</f>
        <v>Dynamic</v>
      </c>
      <c r="F953" t="str">
        <f ca="1">_xll.BDH($B$285,$C$285,$B$675,$B$676,CONCATENATE("Per=",$B$673),"Dts=H","Dir=H",CONCATENATE("Points=",$B$674),"Sort=R","Days=A","Fill=B",CONCATENATE("FX=", $B$672) )</f>
        <v>#N/A Connection</v>
      </c>
      <c r="BN953" t="str">
        <f>""</f>
        <v/>
      </c>
      <c r="BO953" t="str">
        <f>""</f>
        <v/>
      </c>
      <c r="BP953" t="str">
        <f>""</f>
        <v/>
      </c>
      <c r="BQ953" t="str">
        <f>""</f>
        <v/>
      </c>
      <c r="BR953" t="str">
        <f>""</f>
        <v/>
      </c>
      <c r="BS953" t="str">
        <f>""</f>
        <v/>
      </c>
      <c r="BT953" t="str">
        <f>""</f>
        <v/>
      </c>
      <c r="BU953" t="str">
        <f>""</f>
        <v/>
      </c>
      <c r="BV953" t="str">
        <f>""</f>
        <v/>
      </c>
      <c r="BW953" t="str">
        <f>""</f>
        <v/>
      </c>
      <c r="BX953" t="str">
        <f>""</f>
        <v/>
      </c>
      <c r="BY953" t="str">
        <f>""</f>
        <v/>
      </c>
      <c r="BZ953" t="str">
        <f>""</f>
        <v/>
      </c>
      <c r="CA953" t="str">
        <f>""</f>
        <v/>
      </c>
      <c r="CB953" t="str">
        <f>""</f>
        <v/>
      </c>
      <c r="CC953" t="str">
        <f>""</f>
        <v/>
      </c>
      <c r="CD953" t="str">
        <f>""</f>
        <v/>
      </c>
      <c r="CE953" t="str">
        <f>""</f>
        <v/>
      </c>
      <c r="CF953" t="str">
        <f>""</f>
        <v/>
      </c>
      <c r="CG953" t="str">
        <f>""</f>
        <v/>
      </c>
      <c r="CH953" t="str">
        <f>""</f>
        <v/>
      </c>
      <c r="CI953" t="str">
        <f>""</f>
        <v/>
      </c>
      <c r="CJ953" t="str">
        <f>""</f>
        <v/>
      </c>
      <c r="CK953" t="str">
        <f>""</f>
        <v/>
      </c>
      <c r="CL953" t="str">
        <f>""</f>
        <v/>
      </c>
      <c r="CM953" t="str">
        <f>""</f>
        <v/>
      </c>
      <c r="CN953" t="str">
        <f>""</f>
        <v/>
      </c>
      <c r="CO953" t="str">
        <f>""</f>
        <v/>
      </c>
      <c r="CP953" t="str">
        <f>""</f>
        <v/>
      </c>
      <c r="CQ953" t="str">
        <f>""</f>
        <v/>
      </c>
      <c r="CR953" t="str">
        <f>""</f>
        <v/>
      </c>
      <c r="CS953" t="str">
        <f>""</f>
        <v/>
      </c>
      <c r="CT953" t="str">
        <f>""</f>
        <v/>
      </c>
      <c r="CU953" t="str">
        <f>""</f>
        <v/>
      </c>
      <c r="CV953" t="str">
        <f>""</f>
        <v/>
      </c>
      <c r="CW953" t="str">
        <f>""</f>
        <v/>
      </c>
      <c r="CX953" t="str">
        <f>""</f>
        <v/>
      </c>
      <c r="CY953" t="str">
        <f>""</f>
        <v/>
      </c>
      <c r="CZ953" t="str">
        <f>""</f>
        <v/>
      </c>
      <c r="DA953" t="str">
        <f>""</f>
        <v/>
      </c>
      <c r="DB953" t="str">
        <f>""</f>
        <v/>
      </c>
      <c r="DC953" t="str">
        <f>""</f>
        <v/>
      </c>
      <c r="DD953" t="str">
        <f>""</f>
        <v/>
      </c>
      <c r="DE953" t="str">
        <f>""</f>
        <v/>
      </c>
      <c r="DF953" t="str">
        <f>""</f>
        <v/>
      </c>
      <c r="DG953" t="str">
        <f>""</f>
        <v/>
      </c>
      <c r="DH953" t="str">
        <f>""</f>
        <v/>
      </c>
      <c r="DI953" t="str">
        <f>""</f>
        <v/>
      </c>
      <c r="DJ953" t="str">
        <f>""</f>
        <v/>
      </c>
      <c r="DK953" t="str">
        <f>""</f>
        <v/>
      </c>
      <c r="DL953" t="str">
        <f>""</f>
        <v/>
      </c>
      <c r="DM953" t="str">
        <f>""</f>
        <v/>
      </c>
      <c r="DN953" t="str">
        <f>""</f>
        <v/>
      </c>
      <c r="DO953" t="str">
        <f>""</f>
        <v/>
      </c>
      <c r="DP953" t="str">
        <f>""</f>
        <v/>
      </c>
      <c r="DQ953" t="str">
        <f>""</f>
        <v/>
      </c>
      <c r="DR953" t="str">
        <f>""</f>
        <v/>
      </c>
      <c r="DS953" t="str">
        <f>""</f>
        <v/>
      </c>
      <c r="DT953" t="str">
        <f>""</f>
        <v/>
      </c>
      <c r="DU953" t="str">
        <f>""</f>
        <v/>
      </c>
    </row>
    <row r="954" spans="1:125" x14ac:dyDescent="0.25">
      <c r="A954" t="str">
        <f>$A$286</f>
        <v xml:space="preserve">    Tianjin Faw Xiali Automobile Co Ltd</v>
      </c>
      <c r="B954" t="str">
        <f>$B$286</f>
        <v>000927 CH Equity</v>
      </c>
      <c r="C954" t="str">
        <f>$C$286</f>
        <v>RR904</v>
      </c>
      <c r="D954" t="str">
        <f>$D$286</f>
        <v>PX_TO_SALES_RATIO</v>
      </c>
      <c r="E954" t="str">
        <f>$E$286</f>
        <v>Dynamic</v>
      </c>
      <c r="F954" t="str">
        <f ca="1">_xll.BDH($B$286,$C$286,$B$675,$B$676,CONCATENATE("Per=",$B$673),"Dts=H","Dir=H",CONCATENATE("Points=",$B$674),"Sort=R","Days=A","Fill=B",CONCATENATE("FX=", $B$672) )</f>
        <v>#N/A Connection</v>
      </c>
      <c r="BN954" t="str">
        <f>""</f>
        <v/>
      </c>
      <c r="BO954" t="str">
        <f>""</f>
        <v/>
      </c>
      <c r="BP954" t="str">
        <f>""</f>
        <v/>
      </c>
      <c r="BQ954" t="str">
        <f>""</f>
        <v/>
      </c>
      <c r="BR954" t="str">
        <f>""</f>
        <v/>
      </c>
      <c r="BS954" t="str">
        <f>""</f>
        <v/>
      </c>
      <c r="BT954" t="str">
        <f>""</f>
        <v/>
      </c>
      <c r="BU954" t="str">
        <f>""</f>
        <v/>
      </c>
      <c r="BV954" t="str">
        <f>""</f>
        <v/>
      </c>
      <c r="BW954" t="str">
        <f>""</f>
        <v/>
      </c>
      <c r="BX954" t="str">
        <f>""</f>
        <v/>
      </c>
      <c r="BY954" t="str">
        <f>""</f>
        <v/>
      </c>
      <c r="BZ954" t="str">
        <f>""</f>
        <v/>
      </c>
      <c r="CA954" t="str">
        <f>""</f>
        <v/>
      </c>
      <c r="CB954" t="str">
        <f>""</f>
        <v/>
      </c>
      <c r="CC954" t="str">
        <f>""</f>
        <v/>
      </c>
      <c r="CD954" t="str">
        <f>""</f>
        <v/>
      </c>
      <c r="CE954" t="str">
        <f>""</f>
        <v/>
      </c>
      <c r="CF954" t="str">
        <f>""</f>
        <v/>
      </c>
      <c r="CG954" t="str">
        <f>""</f>
        <v/>
      </c>
      <c r="CH954" t="str">
        <f>""</f>
        <v/>
      </c>
      <c r="CI954" t="str">
        <f>""</f>
        <v/>
      </c>
      <c r="CJ954" t="str">
        <f>""</f>
        <v/>
      </c>
      <c r="CK954" t="str">
        <f>""</f>
        <v/>
      </c>
      <c r="CL954" t="str">
        <f>""</f>
        <v/>
      </c>
      <c r="CM954" t="str">
        <f>""</f>
        <v/>
      </c>
      <c r="CN954" t="str">
        <f>""</f>
        <v/>
      </c>
      <c r="CO954" t="str">
        <f>""</f>
        <v/>
      </c>
      <c r="CP954" t="str">
        <f>""</f>
        <v/>
      </c>
      <c r="CQ954" t="str">
        <f>""</f>
        <v/>
      </c>
      <c r="CR954" t="str">
        <f>""</f>
        <v/>
      </c>
      <c r="CS954" t="str">
        <f>""</f>
        <v/>
      </c>
      <c r="CT954" t="str">
        <f>""</f>
        <v/>
      </c>
      <c r="CU954" t="str">
        <f>""</f>
        <v/>
      </c>
      <c r="CV954" t="str">
        <f>""</f>
        <v/>
      </c>
      <c r="CW954" t="str">
        <f>""</f>
        <v/>
      </c>
      <c r="CX954" t="str">
        <f>""</f>
        <v/>
      </c>
      <c r="CY954" t="str">
        <f>""</f>
        <v/>
      </c>
      <c r="CZ954" t="str">
        <f>""</f>
        <v/>
      </c>
      <c r="DA954" t="str">
        <f>""</f>
        <v/>
      </c>
      <c r="DB954" t="str">
        <f>""</f>
        <v/>
      </c>
      <c r="DC954" t="str">
        <f>""</f>
        <v/>
      </c>
      <c r="DD954" t="str">
        <f>""</f>
        <v/>
      </c>
      <c r="DE954" t="str">
        <f>""</f>
        <v/>
      </c>
      <c r="DF954" t="str">
        <f>""</f>
        <v/>
      </c>
      <c r="DG954" t="str">
        <f>""</f>
        <v/>
      </c>
      <c r="DH954" t="str">
        <f>""</f>
        <v/>
      </c>
      <c r="DI954" t="str">
        <f>""</f>
        <v/>
      </c>
      <c r="DJ954" t="str">
        <f>""</f>
        <v/>
      </c>
      <c r="DK954" t="str">
        <f>""</f>
        <v/>
      </c>
      <c r="DL954" t="str">
        <f>""</f>
        <v/>
      </c>
      <c r="DM954" t="str">
        <f>""</f>
        <v/>
      </c>
      <c r="DN954" t="str">
        <f>""</f>
        <v/>
      </c>
      <c r="DO954" t="str">
        <f>""</f>
        <v/>
      </c>
      <c r="DP954" t="str">
        <f>""</f>
        <v/>
      </c>
      <c r="DQ954" t="str">
        <f>""</f>
        <v/>
      </c>
      <c r="DR954" t="str">
        <f>""</f>
        <v/>
      </c>
      <c r="DS954" t="str">
        <f>""</f>
        <v/>
      </c>
      <c r="DT954" t="str">
        <f>""</f>
        <v/>
      </c>
      <c r="DU954" t="str">
        <f>""</f>
        <v/>
      </c>
    </row>
    <row r="955" spans="1:125" x14ac:dyDescent="0.25">
      <c r="A955" t="str">
        <f>$A$287</f>
        <v xml:space="preserve">    Tofas Turk Otomobil Fabrikasi AS</v>
      </c>
      <c r="B955" t="str">
        <f>$B$287</f>
        <v>TOASOTRY EO Equity</v>
      </c>
      <c r="C955" t="str">
        <f>$C$287</f>
        <v>RR904</v>
      </c>
      <c r="D955" t="str">
        <f>$D$287</f>
        <v>PX_TO_SALES_RATIO</v>
      </c>
      <c r="E955" t="str">
        <f>$E$287</f>
        <v>Dynamic</v>
      </c>
      <c r="F955" t="str">
        <f ca="1">_xll.BDH($B$287,$C$287,$B$675,$B$676,CONCATENATE("Per=",$B$673),"Dts=H","Dir=H",CONCATENATE("Points=",$B$674),"Sort=R","Days=A","Fill=B",CONCATENATE("FX=", $B$672) )</f>
        <v>#N/A Connection</v>
      </c>
      <c r="BN955" t="str">
        <f>""</f>
        <v/>
      </c>
      <c r="BO955" t="str">
        <f>""</f>
        <v/>
      </c>
      <c r="BP955" t="str">
        <f>""</f>
        <v/>
      </c>
      <c r="BQ955" t="str">
        <f>""</f>
        <v/>
      </c>
      <c r="BR955" t="str">
        <f>""</f>
        <v/>
      </c>
      <c r="BS955" t="str">
        <f>""</f>
        <v/>
      </c>
      <c r="BT955" t="str">
        <f>""</f>
        <v/>
      </c>
      <c r="BU955" t="str">
        <f>""</f>
        <v/>
      </c>
      <c r="BV955" t="str">
        <f>""</f>
        <v/>
      </c>
      <c r="BW955" t="str">
        <f>""</f>
        <v/>
      </c>
      <c r="BX955" t="str">
        <f>""</f>
        <v/>
      </c>
      <c r="BY955" t="str">
        <f>""</f>
        <v/>
      </c>
      <c r="BZ955" t="str">
        <f>""</f>
        <v/>
      </c>
      <c r="CA955" t="str">
        <f>""</f>
        <v/>
      </c>
      <c r="CB955" t="str">
        <f>""</f>
        <v/>
      </c>
      <c r="CC955" t="str">
        <f>""</f>
        <v/>
      </c>
      <c r="CD955" t="str">
        <f>""</f>
        <v/>
      </c>
      <c r="CE955" t="str">
        <f>""</f>
        <v/>
      </c>
      <c r="CF955" t="str">
        <f>""</f>
        <v/>
      </c>
      <c r="CG955" t="str">
        <f>""</f>
        <v/>
      </c>
      <c r="CH955" t="str">
        <f>""</f>
        <v/>
      </c>
      <c r="CI955" t="str">
        <f>""</f>
        <v/>
      </c>
      <c r="CJ955" t="str">
        <f>""</f>
        <v/>
      </c>
      <c r="CK955" t="str">
        <f>""</f>
        <v/>
      </c>
      <c r="CL955" t="str">
        <f>""</f>
        <v/>
      </c>
      <c r="CM955" t="str">
        <f>""</f>
        <v/>
      </c>
      <c r="CN955" t="str">
        <f>""</f>
        <v/>
      </c>
      <c r="CO955" t="str">
        <f>""</f>
        <v/>
      </c>
      <c r="CP955" t="str">
        <f>""</f>
        <v/>
      </c>
      <c r="CQ955" t="str">
        <f>""</f>
        <v/>
      </c>
      <c r="CR955" t="str">
        <f>""</f>
        <v/>
      </c>
      <c r="CS955" t="str">
        <f>""</f>
        <v/>
      </c>
      <c r="CT955" t="str">
        <f>""</f>
        <v/>
      </c>
      <c r="CU955" t="str">
        <f>""</f>
        <v/>
      </c>
      <c r="CV955" t="str">
        <f>""</f>
        <v/>
      </c>
      <c r="CW955" t="str">
        <f>""</f>
        <v/>
      </c>
      <c r="CX955" t="str">
        <f>""</f>
        <v/>
      </c>
      <c r="CY955" t="str">
        <f>""</f>
        <v/>
      </c>
      <c r="CZ955" t="str">
        <f>""</f>
        <v/>
      </c>
      <c r="DA955" t="str">
        <f>""</f>
        <v/>
      </c>
      <c r="DB955" t="str">
        <f>""</f>
        <v/>
      </c>
      <c r="DC955" t="str">
        <f>""</f>
        <v/>
      </c>
      <c r="DD955" t="str">
        <f>""</f>
        <v/>
      </c>
      <c r="DE955" t="str">
        <f>""</f>
        <v/>
      </c>
      <c r="DF955" t="str">
        <f>""</f>
        <v/>
      </c>
      <c r="DG955" t="str">
        <f>""</f>
        <v/>
      </c>
      <c r="DH955" t="str">
        <f>""</f>
        <v/>
      </c>
      <c r="DI955" t="str">
        <f>""</f>
        <v/>
      </c>
      <c r="DJ955" t="str">
        <f>""</f>
        <v/>
      </c>
      <c r="DK955" t="str">
        <f>""</f>
        <v/>
      </c>
      <c r="DL955" t="str">
        <f>""</f>
        <v/>
      </c>
      <c r="DM955" t="str">
        <f>""</f>
        <v/>
      </c>
      <c r="DN955" t="str">
        <f>""</f>
        <v/>
      </c>
      <c r="DO955" t="str">
        <f>""</f>
        <v/>
      </c>
      <c r="DP955" t="str">
        <f>""</f>
        <v/>
      </c>
      <c r="DQ955" t="str">
        <f>""</f>
        <v/>
      </c>
      <c r="DR955" t="str">
        <f>""</f>
        <v/>
      </c>
      <c r="DS955" t="str">
        <f>""</f>
        <v/>
      </c>
      <c r="DT955" t="str">
        <f>""</f>
        <v/>
      </c>
      <c r="DU955" t="str">
        <f>""</f>
        <v/>
      </c>
    </row>
    <row r="956" spans="1:125" x14ac:dyDescent="0.25">
      <c r="A956" t="str">
        <f>$A$288</f>
        <v xml:space="preserve">    Toyota Motor Corp</v>
      </c>
      <c r="B956" t="str">
        <f>$B$288</f>
        <v>7203 JP Equity</v>
      </c>
      <c r="C956" t="str">
        <f>$C$288</f>
        <v>RR904</v>
      </c>
      <c r="D956" t="str">
        <f>$D$288</f>
        <v>PX_TO_SALES_RATIO</v>
      </c>
      <c r="E956" t="str">
        <f>$E$288</f>
        <v>Dynamic</v>
      </c>
      <c r="F956" t="str">
        <f ca="1">_xll.BDH($B$288,$C$288,$B$675,$B$676,CONCATENATE("Per=",$B$673),"Dts=H","Dir=H",CONCATENATE("Points=",$B$674),"Sort=R","Days=A","Fill=B",CONCATENATE("FX=", $B$672) )</f>
        <v>#N/A Connection</v>
      </c>
      <c r="BN956" t="str">
        <f>""</f>
        <v/>
      </c>
      <c r="BO956" t="str">
        <f>""</f>
        <v/>
      </c>
      <c r="BP956" t="str">
        <f>""</f>
        <v/>
      </c>
      <c r="BQ956" t="str">
        <f>""</f>
        <v/>
      </c>
      <c r="BR956" t="str">
        <f>""</f>
        <v/>
      </c>
      <c r="BS956" t="str">
        <f>""</f>
        <v/>
      </c>
      <c r="BT956" t="str">
        <f>""</f>
        <v/>
      </c>
      <c r="BU956" t="str">
        <f>""</f>
        <v/>
      </c>
      <c r="BV956" t="str">
        <f>""</f>
        <v/>
      </c>
      <c r="BW956" t="str">
        <f>""</f>
        <v/>
      </c>
      <c r="BX956" t="str">
        <f>""</f>
        <v/>
      </c>
      <c r="BY956" t="str">
        <f>""</f>
        <v/>
      </c>
      <c r="BZ956" t="str">
        <f>""</f>
        <v/>
      </c>
      <c r="CA956" t="str">
        <f>""</f>
        <v/>
      </c>
      <c r="CB956" t="str">
        <f>""</f>
        <v/>
      </c>
      <c r="CC956" t="str">
        <f>""</f>
        <v/>
      </c>
      <c r="CD956" t="str">
        <f>""</f>
        <v/>
      </c>
      <c r="CE956" t="str">
        <f>""</f>
        <v/>
      </c>
      <c r="CF956" t="str">
        <f>""</f>
        <v/>
      </c>
      <c r="CG956" t="str">
        <f>""</f>
        <v/>
      </c>
      <c r="CH956" t="str">
        <f>""</f>
        <v/>
      </c>
      <c r="CI956" t="str">
        <f>""</f>
        <v/>
      </c>
      <c r="CJ956" t="str">
        <f>""</f>
        <v/>
      </c>
      <c r="CK956" t="str">
        <f>""</f>
        <v/>
      </c>
      <c r="CL956" t="str">
        <f>""</f>
        <v/>
      </c>
      <c r="CM956" t="str">
        <f>""</f>
        <v/>
      </c>
      <c r="CN956" t="str">
        <f>""</f>
        <v/>
      </c>
      <c r="CO956" t="str">
        <f>""</f>
        <v/>
      </c>
      <c r="CP956" t="str">
        <f>""</f>
        <v/>
      </c>
      <c r="CQ956" t="str">
        <f>""</f>
        <v/>
      </c>
      <c r="CR956" t="str">
        <f>""</f>
        <v/>
      </c>
      <c r="CS956" t="str">
        <f>""</f>
        <v/>
      </c>
      <c r="CT956" t="str">
        <f>""</f>
        <v/>
      </c>
      <c r="CU956" t="str">
        <f>""</f>
        <v/>
      </c>
      <c r="CV956" t="str">
        <f>""</f>
        <v/>
      </c>
      <c r="CW956" t="str">
        <f>""</f>
        <v/>
      </c>
      <c r="CX956" t="str">
        <f>""</f>
        <v/>
      </c>
      <c r="CY956" t="str">
        <f>""</f>
        <v/>
      </c>
      <c r="CZ956" t="str">
        <f>""</f>
        <v/>
      </c>
      <c r="DA956" t="str">
        <f>""</f>
        <v/>
      </c>
      <c r="DB956" t="str">
        <f>""</f>
        <v/>
      </c>
      <c r="DC956" t="str">
        <f>""</f>
        <v/>
      </c>
      <c r="DD956" t="str">
        <f>""</f>
        <v/>
      </c>
      <c r="DE956" t="str">
        <f>""</f>
        <v/>
      </c>
      <c r="DF956" t="str">
        <f>""</f>
        <v/>
      </c>
      <c r="DG956" t="str">
        <f>""</f>
        <v/>
      </c>
      <c r="DH956" t="str">
        <f>""</f>
        <v/>
      </c>
      <c r="DI956" t="str">
        <f>""</f>
        <v/>
      </c>
      <c r="DJ956" t="str">
        <f>""</f>
        <v/>
      </c>
      <c r="DK956" t="str">
        <f>""</f>
        <v/>
      </c>
      <c r="DL956" t="str">
        <f>""</f>
        <v/>
      </c>
      <c r="DM956" t="str">
        <f>""</f>
        <v/>
      </c>
      <c r="DN956" t="str">
        <f>""</f>
        <v/>
      </c>
      <c r="DO956" t="str">
        <f>""</f>
        <v/>
      </c>
      <c r="DP956" t="str">
        <f>""</f>
        <v/>
      </c>
      <c r="DQ956" t="str">
        <f>""</f>
        <v/>
      </c>
      <c r="DR956" t="str">
        <f>""</f>
        <v/>
      </c>
      <c r="DS956" t="str">
        <f>""</f>
        <v/>
      </c>
      <c r="DT956" t="str">
        <f>""</f>
        <v/>
      </c>
      <c r="DU956" t="str">
        <f>""</f>
        <v/>
      </c>
    </row>
    <row r="957" spans="1:125" x14ac:dyDescent="0.25">
      <c r="A957" t="str">
        <f>$A$289</f>
        <v xml:space="preserve">    Volkswagen AG</v>
      </c>
      <c r="B957" t="str">
        <f>$B$289</f>
        <v>VOW GR Equity</v>
      </c>
      <c r="C957" t="str">
        <f>$C$289</f>
        <v>RR904</v>
      </c>
      <c r="D957" t="str">
        <f>$D$289</f>
        <v>PX_TO_SALES_RATIO</v>
      </c>
      <c r="E957" t="str">
        <f>$E$289</f>
        <v>Dynamic</v>
      </c>
      <c r="F957" t="str">
        <f ca="1">_xll.BDH($B$289,$C$289,$B$675,$B$676,CONCATENATE("Per=",$B$673),"Dts=H","Dir=H",CONCATENATE("Points=",$B$674),"Sort=R","Days=A","Fill=B",CONCATENATE("FX=", $B$672) )</f>
        <v>#N/A Connection</v>
      </c>
      <c r="BN957" t="str">
        <f>""</f>
        <v/>
      </c>
      <c r="BO957" t="str">
        <f>""</f>
        <v/>
      </c>
      <c r="BP957" t="str">
        <f>""</f>
        <v/>
      </c>
      <c r="BQ957" t="str">
        <f>""</f>
        <v/>
      </c>
      <c r="BR957" t="str">
        <f>""</f>
        <v/>
      </c>
      <c r="BS957" t="str">
        <f>""</f>
        <v/>
      </c>
      <c r="BT957" t="str">
        <f>""</f>
        <v/>
      </c>
      <c r="BU957" t="str">
        <f>""</f>
        <v/>
      </c>
      <c r="BV957" t="str">
        <f>""</f>
        <v/>
      </c>
      <c r="BW957" t="str">
        <f>""</f>
        <v/>
      </c>
      <c r="BX957" t="str">
        <f>""</f>
        <v/>
      </c>
      <c r="BY957" t="str">
        <f>""</f>
        <v/>
      </c>
      <c r="BZ957" t="str">
        <f>""</f>
        <v/>
      </c>
      <c r="CA957" t="str">
        <f>""</f>
        <v/>
      </c>
      <c r="CB957" t="str">
        <f>""</f>
        <v/>
      </c>
      <c r="CC957" t="str">
        <f>""</f>
        <v/>
      </c>
      <c r="CD957" t="str">
        <f>""</f>
        <v/>
      </c>
      <c r="CE957" t="str">
        <f>""</f>
        <v/>
      </c>
      <c r="CF957" t="str">
        <f>""</f>
        <v/>
      </c>
      <c r="CG957" t="str">
        <f>""</f>
        <v/>
      </c>
      <c r="CH957" t="str">
        <f>""</f>
        <v/>
      </c>
      <c r="CI957" t="str">
        <f>""</f>
        <v/>
      </c>
      <c r="CJ957" t="str">
        <f>""</f>
        <v/>
      </c>
      <c r="CK957" t="str">
        <f>""</f>
        <v/>
      </c>
      <c r="CL957" t="str">
        <f>""</f>
        <v/>
      </c>
      <c r="CM957" t="str">
        <f>""</f>
        <v/>
      </c>
      <c r="CN957" t="str">
        <f>""</f>
        <v/>
      </c>
      <c r="CO957" t="str">
        <f>""</f>
        <v/>
      </c>
      <c r="CP957" t="str">
        <f>""</f>
        <v/>
      </c>
      <c r="CQ957" t="str">
        <f>""</f>
        <v/>
      </c>
      <c r="CR957" t="str">
        <f>""</f>
        <v/>
      </c>
      <c r="CS957" t="str">
        <f>""</f>
        <v/>
      </c>
      <c r="CT957" t="str">
        <f>""</f>
        <v/>
      </c>
      <c r="CU957" t="str">
        <f>""</f>
        <v/>
      </c>
      <c r="CV957" t="str">
        <f>""</f>
        <v/>
      </c>
      <c r="CW957" t="str">
        <f>""</f>
        <v/>
      </c>
      <c r="CX957" t="str">
        <f>""</f>
        <v/>
      </c>
      <c r="CY957" t="str">
        <f>""</f>
        <v/>
      </c>
      <c r="CZ957" t="str">
        <f>""</f>
        <v/>
      </c>
      <c r="DA957" t="str">
        <f>""</f>
        <v/>
      </c>
      <c r="DB957" t="str">
        <f>""</f>
        <v/>
      </c>
      <c r="DC957" t="str">
        <f>""</f>
        <v/>
      </c>
      <c r="DD957" t="str">
        <f>""</f>
        <v/>
      </c>
      <c r="DE957" t="str">
        <f>""</f>
        <v/>
      </c>
      <c r="DF957" t="str">
        <f>""</f>
        <v/>
      </c>
      <c r="DG957" t="str">
        <f>""</f>
        <v/>
      </c>
      <c r="DH957" t="str">
        <f>""</f>
        <v/>
      </c>
      <c r="DI957" t="str">
        <f>""</f>
        <v/>
      </c>
      <c r="DJ957" t="str">
        <f>""</f>
        <v/>
      </c>
      <c r="DK957" t="str">
        <f>""</f>
        <v/>
      </c>
      <c r="DL957" t="str">
        <f>""</f>
        <v/>
      </c>
      <c r="DM957" t="str">
        <f>""</f>
        <v/>
      </c>
      <c r="DN957" t="str">
        <f>""</f>
        <v/>
      </c>
      <c r="DO957" t="str">
        <f>""</f>
        <v/>
      </c>
      <c r="DP957" t="str">
        <f>""</f>
        <v/>
      </c>
      <c r="DQ957" t="str">
        <f>""</f>
        <v/>
      </c>
      <c r="DR957" t="str">
        <f>""</f>
        <v/>
      </c>
      <c r="DS957" t="str">
        <f>""</f>
        <v/>
      </c>
      <c r="DT957" t="str">
        <f>""</f>
        <v/>
      </c>
      <c r="DU957" t="str">
        <f>""</f>
        <v/>
      </c>
    </row>
    <row r="958" spans="1:125" x14ac:dyDescent="0.25">
      <c r="A958" t="str">
        <f>$A$290</f>
        <v xml:space="preserve">    Yulon Motor Co Ltd</v>
      </c>
      <c r="B958" t="str">
        <f>$B$290</f>
        <v>2201 TT Equity</v>
      </c>
      <c r="C958" t="str">
        <f>$C$290</f>
        <v>RR904</v>
      </c>
      <c r="D958" t="str">
        <f>$D$290</f>
        <v>PX_TO_SALES_RATIO</v>
      </c>
      <c r="E958" t="str">
        <f>$E$290</f>
        <v>Dynamic</v>
      </c>
      <c r="F958" t="str">
        <f ca="1">_xll.BDH($B$290,$C$290,$B$675,$B$676,CONCATENATE("Per=",$B$673),"Dts=H","Dir=H",CONCATENATE("Points=",$B$674),"Sort=R","Days=A","Fill=B",CONCATENATE("FX=", $B$672) )</f>
        <v>#N/A Connection</v>
      </c>
      <c r="BN958" t="str">
        <f>""</f>
        <v/>
      </c>
      <c r="BO958" t="str">
        <f>""</f>
        <v/>
      </c>
      <c r="BP958" t="str">
        <f>""</f>
        <v/>
      </c>
      <c r="BQ958" t="str">
        <f>""</f>
        <v/>
      </c>
      <c r="BR958" t="str">
        <f>""</f>
        <v/>
      </c>
      <c r="BS958" t="str">
        <f>""</f>
        <v/>
      </c>
      <c r="BT958" t="str">
        <f>""</f>
        <v/>
      </c>
      <c r="BU958" t="str">
        <f>""</f>
        <v/>
      </c>
      <c r="BV958" t="str">
        <f>""</f>
        <v/>
      </c>
      <c r="BW958" t="str">
        <f>""</f>
        <v/>
      </c>
      <c r="BX958" t="str">
        <f>""</f>
        <v/>
      </c>
      <c r="BY958" t="str">
        <f>""</f>
        <v/>
      </c>
      <c r="BZ958" t="str">
        <f>""</f>
        <v/>
      </c>
      <c r="CA958" t="str">
        <f>""</f>
        <v/>
      </c>
      <c r="CB958" t="str">
        <f>""</f>
        <v/>
      </c>
      <c r="CC958" t="str">
        <f>""</f>
        <v/>
      </c>
      <c r="CD958" t="str">
        <f>""</f>
        <v/>
      </c>
      <c r="CE958" t="str">
        <f>""</f>
        <v/>
      </c>
      <c r="CF958" t="str">
        <f>""</f>
        <v/>
      </c>
      <c r="CG958" t="str">
        <f>""</f>
        <v/>
      </c>
      <c r="CH958" t="str">
        <f>""</f>
        <v/>
      </c>
      <c r="CI958" t="str">
        <f>""</f>
        <v/>
      </c>
      <c r="CJ958" t="str">
        <f>""</f>
        <v/>
      </c>
      <c r="CK958" t="str">
        <f>""</f>
        <v/>
      </c>
      <c r="CL958" t="str">
        <f>""</f>
        <v/>
      </c>
      <c r="CM958" t="str">
        <f>""</f>
        <v/>
      </c>
      <c r="CN958" t="str">
        <f>""</f>
        <v/>
      </c>
      <c r="CO958" t="str">
        <f>""</f>
        <v/>
      </c>
      <c r="CP958" t="str">
        <f>""</f>
        <v/>
      </c>
      <c r="CQ958" t="str">
        <f>""</f>
        <v/>
      </c>
      <c r="CR958" t="str">
        <f>""</f>
        <v/>
      </c>
      <c r="CS958" t="str">
        <f>""</f>
        <v/>
      </c>
      <c r="CT958" t="str">
        <f>""</f>
        <v/>
      </c>
      <c r="CU958" t="str">
        <f>""</f>
        <v/>
      </c>
      <c r="CV958" t="str">
        <f>""</f>
        <v/>
      </c>
      <c r="CW958" t="str">
        <f>""</f>
        <v/>
      </c>
      <c r="CX958" t="str">
        <f>""</f>
        <v/>
      </c>
      <c r="CY958" t="str">
        <f>""</f>
        <v/>
      </c>
      <c r="CZ958" t="str">
        <f>""</f>
        <v/>
      </c>
      <c r="DA958" t="str">
        <f>""</f>
        <v/>
      </c>
      <c r="DB958" t="str">
        <f>""</f>
        <v/>
      </c>
      <c r="DC958" t="str">
        <f>""</f>
        <v/>
      </c>
      <c r="DD958" t="str">
        <f>""</f>
        <v/>
      </c>
      <c r="DE958" t="str">
        <f>""</f>
        <v/>
      </c>
      <c r="DF958" t="str">
        <f>""</f>
        <v/>
      </c>
      <c r="DG958" t="str">
        <f>""</f>
        <v/>
      </c>
      <c r="DH958" t="str">
        <f>""</f>
        <v/>
      </c>
      <c r="DI958" t="str">
        <f>""</f>
        <v/>
      </c>
      <c r="DJ958" t="str">
        <f>""</f>
        <v/>
      </c>
      <c r="DK958" t="str">
        <f>""</f>
        <v/>
      </c>
      <c r="DL958" t="str">
        <f>""</f>
        <v/>
      </c>
      <c r="DM958" t="str">
        <f>""</f>
        <v/>
      </c>
      <c r="DN958" t="str">
        <f>""</f>
        <v/>
      </c>
      <c r="DO958" t="str">
        <f>""</f>
        <v/>
      </c>
      <c r="DP958" t="str">
        <f>""</f>
        <v/>
      </c>
      <c r="DQ958" t="str">
        <f>""</f>
        <v/>
      </c>
      <c r="DR958" t="str">
        <f>""</f>
        <v/>
      </c>
      <c r="DS958" t="str">
        <f>""</f>
        <v/>
      </c>
      <c r="DT958" t="str">
        <f>""</f>
        <v/>
      </c>
      <c r="DU958" t="str">
        <f>""</f>
        <v/>
      </c>
    </row>
    <row r="959" spans="1:125" x14ac:dyDescent="0.25">
      <c r="A959" t="str">
        <f>$A$293</f>
        <v xml:space="preserve">    AUDI AG</v>
      </c>
      <c r="B959" t="str">
        <f>$B$293</f>
        <v>NSU GR Equity</v>
      </c>
      <c r="C959" t="str">
        <f>$C$293</f>
        <v>RR474</v>
      </c>
      <c r="D959" t="str">
        <f>$D$293</f>
        <v>EV_TO_T12M_EBITDA</v>
      </c>
      <c r="E959" t="str">
        <f>$E$293</f>
        <v>Dynamic</v>
      </c>
      <c r="F959" t="str">
        <f ca="1">_xll.BDH($B$293,$C$293,$B$675,$B$676,CONCATENATE("Per=",$B$673),"Dts=H","Dir=H",CONCATENATE("Points=",$B$674),"Sort=R","Days=A","Fill=B",CONCATENATE("FX=", $B$672) )</f>
        <v>#N/A Connection</v>
      </c>
      <c r="BN959" t="str">
        <f>""</f>
        <v/>
      </c>
      <c r="BO959" t="str">
        <f>""</f>
        <v/>
      </c>
      <c r="BP959" t="str">
        <f>""</f>
        <v/>
      </c>
      <c r="BQ959" t="str">
        <f>""</f>
        <v/>
      </c>
      <c r="BR959" t="str">
        <f>""</f>
        <v/>
      </c>
      <c r="BS959" t="str">
        <f>""</f>
        <v/>
      </c>
      <c r="BT959" t="str">
        <f>""</f>
        <v/>
      </c>
      <c r="BU959" t="str">
        <f>""</f>
        <v/>
      </c>
      <c r="BV959" t="str">
        <f>""</f>
        <v/>
      </c>
      <c r="BW959" t="str">
        <f>""</f>
        <v/>
      </c>
      <c r="BX959" t="str">
        <f>""</f>
        <v/>
      </c>
      <c r="BY959" t="str">
        <f>""</f>
        <v/>
      </c>
      <c r="BZ959" t="str">
        <f>""</f>
        <v/>
      </c>
      <c r="CA959" t="str">
        <f>""</f>
        <v/>
      </c>
      <c r="CB959" t="str">
        <f>""</f>
        <v/>
      </c>
      <c r="CC959" t="str">
        <f>""</f>
        <v/>
      </c>
      <c r="CD959" t="str">
        <f>""</f>
        <v/>
      </c>
      <c r="CE959" t="str">
        <f>""</f>
        <v/>
      </c>
      <c r="CF959" t="str">
        <f>""</f>
        <v/>
      </c>
      <c r="CG959" t="str">
        <f>""</f>
        <v/>
      </c>
      <c r="CH959" t="str">
        <f>""</f>
        <v/>
      </c>
      <c r="CI959" t="str">
        <f>""</f>
        <v/>
      </c>
      <c r="CJ959" t="str">
        <f>""</f>
        <v/>
      </c>
      <c r="CK959" t="str">
        <f>""</f>
        <v/>
      </c>
      <c r="CL959" t="str">
        <f>""</f>
        <v/>
      </c>
      <c r="CM959" t="str">
        <f>""</f>
        <v/>
      </c>
      <c r="CN959" t="str">
        <f>""</f>
        <v/>
      </c>
      <c r="CO959" t="str">
        <f>""</f>
        <v/>
      </c>
      <c r="CP959" t="str">
        <f>""</f>
        <v/>
      </c>
      <c r="CQ959" t="str">
        <f>""</f>
        <v/>
      </c>
      <c r="CR959" t="str">
        <f>""</f>
        <v/>
      </c>
      <c r="CS959" t="str">
        <f>""</f>
        <v/>
      </c>
      <c r="CT959" t="str">
        <f>""</f>
        <v/>
      </c>
      <c r="CU959" t="str">
        <f>""</f>
        <v/>
      </c>
      <c r="CV959" t="str">
        <f>""</f>
        <v/>
      </c>
      <c r="CW959" t="str">
        <f>""</f>
        <v/>
      </c>
      <c r="CX959" t="str">
        <f>""</f>
        <v/>
      </c>
      <c r="CY959" t="str">
        <f>""</f>
        <v/>
      </c>
      <c r="CZ959" t="str">
        <f>""</f>
        <v/>
      </c>
      <c r="DA959" t="str">
        <f>""</f>
        <v/>
      </c>
      <c r="DB959" t="str">
        <f>""</f>
        <v/>
      </c>
      <c r="DC959" t="str">
        <f>""</f>
        <v/>
      </c>
      <c r="DD959" t="str">
        <f>""</f>
        <v/>
      </c>
      <c r="DE959" t="str">
        <f>""</f>
        <v/>
      </c>
      <c r="DF959" t="str">
        <f>""</f>
        <v/>
      </c>
      <c r="DG959" t="str">
        <f>""</f>
        <v/>
      </c>
      <c r="DH959" t="str">
        <f>""</f>
        <v/>
      </c>
      <c r="DI959" t="str">
        <f>""</f>
        <v/>
      </c>
      <c r="DJ959" t="str">
        <f>""</f>
        <v/>
      </c>
      <c r="DK959" t="str">
        <f>""</f>
        <v/>
      </c>
      <c r="DL959" t="str">
        <f>""</f>
        <v/>
      </c>
      <c r="DM959" t="str">
        <f>""</f>
        <v/>
      </c>
      <c r="DN959" t="str">
        <f>""</f>
        <v/>
      </c>
      <c r="DO959" t="str">
        <f>""</f>
        <v/>
      </c>
      <c r="DP959" t="str">
        <f>""</f>
        <v/>
      </c>
      <c r="DQ959" t="str">
        <f>""</f>
        <v/>
      </c>
      <c r="DR959" t="str">
        <f>""</f>
        <v/>
      </c>
      <c r="DS959" t="str">
        <f>""</f>
        <v/>
      </c>
      <c r="DT959" t="str">
        <f>""</f>
        <v/>
      </c>
      <c r="DU959" t="str">
        <f>""</f>
        <v/>
      </c>
    </row>
    <row r="960" spans="1:125" x14ac:dyDescent="0.25">
      <c r="A960" t="str">
        <f>$A$294</f>
        <v xml:space="preserve">    Avtovaz PJSC</v>
      </c>
      <c r="B960" t="str">
        <f>$B$294</f>
        <v>AVAZ RM Equity</v>
      </c>
      <c r="C960" t="str">
        <f>$C$294</f>
        <v>RR474</v>
      </c>
      <c r="D960" t="str">
        <f>$D$294</f>
        <v>EV_TO_T12M_EBITDA</v>
      </c>
      <c r="E960" t="str">
        <f>$E$294</f>
        <v>Dynamic</v>
      </c>
      <c r="F960" t="str">
        <f ca="1">_xll.BDH($B$294,$C$294,$B$675,$B$676,CONCATENATE("Per=",$B$673),"Dts=H","Dir=H",CONCATENATE("Points=",$B$674),"Sort=R","Days=A","Fill=B",CONCATENATE("FX=", $B$672) )</f>
        <v>#N/A Connection</v>
      </c>
      <c r="BN960" t="str">
        <f>""</f>
        <v/>
      </c>
      <c r="BO960" t="str">
        <f>""</f>
        <v/>
      </c>
      <c r="BP960" t="str">
        <f>""</f>
        <v/>
      </c>
      <c r="BQ960" t="str">
        <f>""</f>
        <v/>
      </c>
      <c r="BR960" t="str">
        <f>""</f>
        <v/>
      </c>
      <c r="BS960" t="str">
        <f>""</f>
        <v/>
      </c>
      <c r="BT960" t="str">
        <f>""</f>
        <v/>
      </c>
      <c r="BU960" t="str">
        <f>""</f>
        <v/>
      </c>
      <c r="BV960" t="str">
        <f>""</f>
        <v/>
      </c>
      <c r="BW960" t="str">
        <f>""</f>
        <v/>
      </c>
      <c r="BX960" t="str">
        <f>""</f>
        <v/>
      </c>
      <c r="BY960" t="str">
        <f>""</f>
        <v/>
      </c>
      <c r="BZ960" t="str">
        <f>""</f>
        <v/>
      </c>
      <c r="CA960" t="str">
        <f>""</f>
        <v/>
      </c>
      <c r="CB960" t="str">
        <f>""</f>
        <v/>
      </c>
      <c r="CC960" t="str">
        <f>""</f>
        <v/>
      </c>
      <c r="CD960" t="str">
        <f>""</f>
        <v/>
      </c>
      <c r="CE960" t="str">
        <f>""</f>
        <v/>
      </c>
      <c r="CF960" t="str">
        <f>""</f>
        <v/>
      </c>
      <c r="CG960" t="str">
        <f>""</f>
        <v/>
      </c>
      <c r="CH960" t="str">
        <f>""</f>
        <v/>
      </c>
      <c r="CI960" t="str">
        <f>""</f>
        <v/>
      </c>
      <c r="CJ960" t="str">
        <f>""</f>
        <v/>
      </c>
      <c r="CK960" t="str">
        <f>""</f>
        <v/>
      </c>
      <c r="CL960" t="str">
        <f>""</f>
        <v/>
      </c>
      <c r="CM960" t="str">
        <f>""</f>
        <v/>
      </c>
      <c r="CN960" t="str">
        <f>""</f>
        <v/>
      </c>
      <c r="CO960" t="str">
        <f>""</f>
        <v/>
      </c>
      <c r="CP960" t="str">
        <f>""</f>
        <v/>
      </c>
      <c r="CQ960" t="str">
        <f>""</f>
        <v/>
      </c>
      <c r="CR960" t="str">
        <f>""</f>
        <v/>
      </c>
      <c r="CS960" t="str">
        <f>""</f>
        <v/>
      </c>
      <c r="CT960" t="str">
        <f>""</f>
        <v/>
      </c>
      <c r="CU960" t="str">
        <f>""</f>
        <v/>
      </c>
      <c r="CV960" t="str">
        <f>""</f>
        <v/>
      </c>
      <c r="CW960" t="str">
        <f>""</f>
        <v/>
      </c>
      <c r="CX960" t="str">
        <f>""</f>
        <v/>
      </c>
      <c r="CY960" t="str">
        <f>""</f>
        <v/>
      </c>
      <c r="CZ960" t="str">
        <f>""</f>
        <v/>
      </c>
      <c r="DA960" t="str">
        <f>""</f>
        <v/>
      </c>
      <c r="DB960" t="str">
        <f>""</f>
        <v/>
      </c>
      <c r="DC960" t="str">
        <f>""</f>
        <v/>
      </c>
      <c r="DD960" t="str">
        <f>""</f>
        <v/>
      </c>
      <c r="DE960" t="str">
        <f>""</f>
        <v/>
      </c>
      <c r="DF960" t="str">
        <f>""</f>
        <v/>
      </c>
      <c r="DG960" t="str">
        <f>""</f>
        <v/>
      </c>
      <c r="DH960" t="str">
        <f>""</f>
        <v/>
      </c>
      <c r="DI960" t="str">
        <f>""</f>
        <v/>
      </c>
      <c r="DJ960" t="str">
        <f>""</f>
        <v/>
      </c>
      <c r="DK960" t="str">
        <f>""</f>
        <v/>
      </c>
      <c r="DL960" t="str">
        <f>""</f>
        <v/>
      </c>
      <c r="DM960" t="str">
        <f>""</f>
        <v/>
      </c>
      <c r="DN960" t="str">
        <f>""</f>
        <v/>
      </c>
      <c r="DO960" t="str">
        <f>""</f>
        <v/>
      </c>
      <c r="DP960" t="str">
        <f>""</f>
        <v/>
      </c>
      <c r="DQ960" t="str">
        <f>""</f>
        <v/>
      </c>
      <c r="DR960" t="str">
        <f>""</f>
        <v/>
      </c>
      <c r="DS960" t="str">
        <f>""</f>
        <v/>
      </c>
      <c r="DT960" t="str">
        <f>""</f>
        <v/>
      </c>
      <c r="DU960" t="str">
        <f>""</f>
        <v/>
      </c>
    </row>
    <row r="961" spans="1:125" x14ac:dyDescent="0.25">
      <c r="A961" t="str">
        <f>$A$295</f>
        <v xml:space="preserve">    Bayerische Motoren Werke AG</v>
      </c>
      <c r="B961" t="str">
        <f>$B$295</f>
        <v>BMW GR Equity</v>
      </c>
      <c r="C961" t="str">
        <f>$C$295</f>
        <v>RR474</v>
      </c>
      <c r="D961" t="str">
        <f>$D$295</f>
        <v>EV_TO_T12M_EBITDA</v>
      </c>
      <c r="E961" t="str">
        <f>$E$295</f>
        <v>Dynamic</v>
      </c>
      <c r="F961" t="str">
        <f ca="1">_xll.BDH($B$295,$C$295,$B$675,$B$676,CONCATENATE("Per=",$B$673),"Dts=H","Dir=H",CONCATENATE("Points=",$B$674),"Sort=R","Days=A","Fill=B",CONCATENATE("FX=", $B$672) )</f>
        <v>#N/A Connection</v>
      </c>
      <c r="BN961" t="str">
        <f>""</f>
        <v/>
      </c>
      <c r="BO961" t="str">
        <f>""</f>
        <v/>
      </c>
      <c r="BP961" t="str">
        <f>""</f>
        <v/>
      </c>
      <c r="BQ961" t="str">
        <f>""</f>
        <v/>
      </c>
      <c r="BR961" t="str">
        <f>""</f>
        <v/>
      </c>
      <c r="BS961" t="str">
        <f>""</f>
        <v/>
      </c>
      <c r="BT961" t="str">
        <f>""</f>
        <v/>
      </c>
      <c r="BU961" t="str">
        <f>""</f>
        <v/>
      </c>
      <c r="BV961" t="str">
        <f>""</f>
        <v/>
      </c>
      <c r="BW961" t="str">
        <f>""</f>
        <v/>
      </c>
      <c r="BX961" t="str">
        <f>""</f>
        <v/>
      </c>
      <c r="BY961" t="str">
        <f>""</f>
        <v/>
      </c>
      <c r="BZ961" t="str">
        <f>""</f>
        <v/>
      </c>
      <c r="CA961" t="str">
        <f>""</f>
        <v/>
      </c>
      <c r="CB961" t="str">
        <f>""</f>
        <v/>
      </c>
      <c r="CC961" t="str">
        <f>""</f>
        <v/>
      </c>
      <c r="CD961" t="str">
        <f>""</f>
        <v/>
      </c>
      <c r="CE961" t="str">
        <f>""</f>
        <v/>
      </c>
      <c r="CF961" t="str">
        <f>""</f>
        <v/>
      </c>
      <c r="CG961" t="str">
        <f>""</f>
        <v/>
      </c>
      <c r="CH961" t="str">
        <f>""</f>
        <v/>
      </c>
      <c r="CI961" t="str">
        <f>""</f>
        <v/>
      </c>
      <c r="CJ961" t="str">
        <f>""</f>
        <v/>
      </c>
      <c r="CK961" t="str">
        <f>""</f>
        <v/>
      </c>
      <c r="CL961" t="str">
        <f>""</f>
        <v/>
      </c>
      <c r="CM961" t="str">
        <f>""</f>
        <v/>
      </c>
      <c r="CN961" t="str">
        <f>""</f>
        <v/>
      </c>
      <c r="CO961" t="str">
        <f>""</f>
        <v/>
      </c>
      <c r="CP961" t="str">
        <f>""</f>
        <v/>
      </c>
      <c r="CQ961" t="str">
        <f>""</f>
        <v/>
      </c>
      <c r="CR961" t="str">
        <f>""</f>
        <v/>
      </c>
      <c r="CS961" t="str">
        <f>""</f>
        <v/>
      </c>
      <c r="CT961" t="str">
        <f>""</f>
        <v/>
      </c>
      <c r="CU961" t="str">
        <f>""</f>
        <v/>
      </c>
      <c r="CV961" t="str">
        <f>""</f>
        <v/>
      </c>
      <c r="CW961" t="str">
        <f>""</f>
        <v/>
      </c>
      <c r="CX961" t="str">
        <f>""</f>
        <v/>
      </c>
      <c r="CY961" t="str">
        <f>""</f>
        <v/>
      </c>
      <c r="CZ961" t="str">
        <f>""</f>
        <v/>
      </c>
      <c r="DA961" t="str">
        <f>""</f>
        <v/>
      </c>
      <c r="DB961" t="str">
        <f>""</f>
        <v/>
      </c>
      <c r="DC961" t="str">
        <f>""</f>
        <v/>
      </c>
      <c r="DD961" t="str">
        <f>""</f>
        <v/>
      </c>
      <c r="DE961" t="str">
        <f>""</f>
        <v/>
      </c>
      <c r="DF961" t="str">
        <f>""</f>
        <v/>
      </c>
      <c r="DG961" t="str">
        <f>""</f>
        <v/>
      </c>
      <c r="DH961" t="str">
        <f>""</f>
        <v/>
      </c>
      <c r="DI961" t="str">
        <f>""</f>
        <v/>
      </c>
      <c r="DJ961" t="str">
        <f>""</f>
        <v/>
      </c>
      <c r="DK961" t="str">
        <f>""</f>
        <v/>
      </c>
      <c r="DL961" t="str">
        <f>""</f>
        <v/>
      </c>
      <c r="DM961" t="str">
        <f>""</f>
        <v/>
      </c>
      <c r="DN961" t="str">
        <f>""</f>
        <v/>
      </c>
      <c r="DO961" t="str">
        <f>""</f>
        <v/>
      </c>
      <c r="DP961" t="str">
        <f>""</f>
        <v/>
      </c>
      <c r="DQ961" t="str">
        <f>""</f>
        <v/>
      </c>
      <c r="DR961" t="str">
        <f>""</f>
        <v/>
      </c>
      <c r="DS961" t="str">
        <f>""</f>
        <v/>
      </c>
      <c r="DT961" t="str">
        <f>""</f>
        <v/>
      </c>
      <c r="DU961" t="str">
        <f>""</f>
        <v/>
      </c>
    </row>
    <row r="962" spans="1:125" x14ac:dyDescent="0.25">
      <c r="A962" t="str">
        <f>$A$296</f>
        <v xml:space="preserve">    Brilliance China Automotive Holdings Ltd</v>
      </c>
      <c r="B962" t="str">
        <f>$B$296</f>
        <v>1114 HK Equity</v>
      </c>
      <c r="C962" t="str">
        <f>$C$296</f>
        <v>RR474</v>
      </c>
      <c r="D962" t="str">
        <f>$D$296</f>
        <v>EV_TO_T12M_EBITDA</v>
      </c>
      <c r="E962" t="str">
        <f>$E$296</f>
        <v>Dynamic</v>
      </c>
      <c r="F962" t="str">
        <f ca="1">_xll.BDH($B$296,$C$296,$B$675,$B$676,CONCATENATE("Per=",$B$673),"Dts=H","Dir=H",CONCATENATE("Points=",$B$674),"Sort=R","Days=A","Fill=B",CONCATENATE("FX=", $B$672) )</f>
        <v>#N/A Connection</v>
      </c>
      <c r="BN962" t="str">
        <f>""</f>
        <v/>
      </c>
      <c r="BO962" t="str">
        <f>""</f>
        <v/>
      </c>
      <c r="BP962" t="str">
        <f>""</f>
        <v/>
      </c>
      <c r="BQ962" t="str">
        <f>""</f>
        <v/>
      </c>
      <c r="BR962" t="str">
        <f>""</f>
        <v/>
      </c>
      <c r="BS962" t="str">
        <f>""</f>
        <v/>
      </c>
      <c r="BT962" t="str">
        <f>""</f>
        <v/>
      </c>
      <c r="BU962" t="str">
        <f>""</f>
        <v/>
      </c>
      <c r="BV962" t="str">
        <f>""</f>
        <v/>
      </c>
      <c r="BW962" t="str">
        <f>""</f>
        <v/>
      </c>
      <c r="BX962" t="str">
        <f>""</f>
        <v/>
      </c>
      <c r="BY962" t="str">
        <f>""</f>
        <v/>
      </c>
      <c r="BZ962" t="str">
        <f>""</f>
        <v/>
      </c>
      <c r="CA962" t="str">
        <f>""</f>
        <v/>
      </c>
      <c r="CB962" t="str">
        <f>""</f>
        <v/>
      </c>
      <c r="CC962" t="str">
        <f>""</f>
        <v/>
      </c>
      <c r="CD962" t="str">
        <f>""</f>
        <v/>
      </c>
      <c r="CE962" t="str">
        <f>""</f>
        <v/>
      </c>
      <c r="CF962" t="str">
        <f>""</f>
        <v/>
      </c>
      <c r="CG962" t="str">
        <f>""</f>
        <v/>
      </c>
      <c r="CH962" t="str">
        <f>""</f>
        <v/>
      </c>
      <c r="CI962" t="str">
        <f>""</f>
        <v/>
      </c>
      <c r="CJ962" t="str">
        <f>""</f>
        <v/>
      </c>
      <c r="CK962" t="str">
        <f>""</f>
        <v/>
      </c>
      <c r="CL962" t="str">
        <f>""</f>
        <v/>
      </c>
      <c r="CM962" t="str">
        <f>""</f>
        <v/>
      </c>
      <c r="CN962" t="str">
        <f>""</f>
        <v/>
      </c>
      <c r="CO962" t="str">
        <f>""</f>
        <v/>
      </c>
      <c r="CP962" t="str">
        <f>""</f>
        <v/>
      </c>
      <c r="CQ962" t="str">
        <f>""</f>
        <v/>
      </c>
      <c r="CR962" t="str">
        <f>""</f>
        <v/>
      </c>
      <c r="CS962" t="str">
        <f>""</f>
        <v/>
      </c>
      <c r="CT962" t="str">
        <f>""</f>
        <v/>
      </c>
      <c r="CU962" t="str">
        <f>""</f>
        <v/>
      </c>
      <c r="CV962" t="str">
        <f>""</f>
        <v/>
      </c>
      <c r="CW962" t="str">
        <f>""</f>
        <v/>
      </c>
      <c r="CX962" t="str">
        <f>""</f>
        <v/>
      </c>
      <c r="CY962" t="str">
        <f>""</f>
        <v/>
      </c>
      <c r="CZ962" t="str">
        <f>""</f>
        <v/>
      </c>
      <c r="DA962" t="str">
        <f>""</f>
        <v/>
      </c>
      <c r="DB962" t="str">
        <f>""</f>
        <v/>
      </c>
      <c r="DC962" t="str">
        <f>""</f>
        <v/>
      </c>
      <c r="DD962" t="str">
        <f>""</f>
        <v/>
      </c>
      <c r="DE962" t="str">
        <f>""</f>
        <v/>
      </c>
      <c r="DF962" t="str">
        <f>""</f>
        <v/>
      </c>
      <c r="DG962" t="str">
        <f>""</f>
        <v/>
      </c>
      <c r="DH962" t="str">
        <f>""</f>
        <v/>
      </c>
      <c r="DI962" t="str">
        <f>""</f>
        <v/>
      </c>
      <c r="DJ962" t="str">
        <f>""</f>
        <v/>
      </c>
      <c r="DK962" t="str">
        <f>""</f>
        <v/>
      </c>
      <c r="DL962" t="str">
        <f>""</f>
        <v/>
      </c>
      <c r="DM962" t="str">
        <f>""</f>
        <v/>
      </c>
      <c r="DN962" t="str">
        <f>""</f>
        <v/>
      </c>
      <c r="DO962" t="str">
        <f>""</f>
        <v/>
      </c>
      <c r="DP962" t="str">
        <f>""</f>
        <v/>
      </c>
      <c r="DQ962" t="str">
        <f>""</f>
        <v/>
      </c>
      <c r="DR962" t="str">
        <f>""</f>
        <v/>
      </c>
      <c r="DS962" t="str">
        <f>""</f>
        <v/>
      </c>
      <c r="DT962" t="str">
        <f>""</f>
        <v/>
      </c>
      <c r="DU962" t="str">
        <f>""</f>
        <v/>
      </c>
    </row>
    <row r="963" spans="1:125" x14ac:dyDescent="0.25">
      <c r="A963" t="str">
        <f>$A$297</f>
        <v xml:space="preserve">    BYD Co Ltd</v>
      </c>
      <c r="B963" t="str">
        <f>$B$297</f>
        <v>1211 HK Equity</v>
      </c>
      <c r="C963" t="str">
        <f>$C$297</f>
        <v>RR474</v>
      </c>
      <c r="D963" t="str">
        <f>$D$297</f>
        <v>EV_TO_T12M_EBITDA</v>
      </c>
      <c r="E963" t="str">
        <f>$E$297</f>
        <v>Dynamic</v>
      </c>
      <c r="F963" t="str">
        <f ca="1">_xll.BDH($B$297,$C$297,$B$675,$B$676,CONCATENATE("Per=",$B$673),"Dts=H","Dir=H",CONCATENATE("Points=",$B$674),"Sort=R","Days=A","Fill=B",CONCATENATE("FX=", $B$672) )</f>
        <v>#N/A Connection</v>
      </c>
      <c r="BN963" t="str">
        <f>""</f>
        <v/>
      </c>
      <c r="BO963" t="str">
        <f>""</f>
        <v/>
      </c>
      <c r="BP963" t="str">
        <f>""</f>
        <v/>
      </c>
      <c r="BQ963" t="str">
        <f>""</f>
        <v/>
      </c>
      <c r="BR963" t="str">
        <f>""</f>
        <v/>
      </c>
      <c r="BS963" t="str">
        <f>""</f>
        <v/>
      </c>
      <c r="BT963" t="str">
        <f>""</f>
        <v/>
      </c>
      <c r="BU963" t="str">
        <f>""</f>
        <v/>
      </c>
      <c r="BV963" t="str">
        <f>""</f>
        <v/>
      </c>
      <c r="BW963" t="str">
        <f>""</f>
        <v/>
      </c>
      <c r="BX963" t="str">
        <f>""</f>
        <v/>
      </c>
      <c r="BY963" t="str">
        <f>""</f>
        <v/>
      </c>
      <c r="BZ963" t="str">
        <f>""</f>
        <v/>
      </c>
      <c r="CA963" t="str">
        <f>""</f>
        <v/>
      </c>
      <c r="CB963" t="str">
        <f>""</f>
        <v/>
      </c>
      <c r="CC963" t="str">
        <f>""</f>
        <v/>
      </c>
      <c r="CD963" t="str">
        <f>""</f>
        <v/>
      </c>
      <c r="CE963" t="str">
        <f>""</f>
        <v/>
      </c>
      <c r="CF963" t="str">
        <f>""</f>
        <v/>
      </c>
      <c r="CG963" t="str">
        <f>""</f>
        <v/>
      </c>
      <c r="CH963" t="str">
        <f>""</f>
        <v/>
      </c>
      <c r="CI963" t="str">
        <f>""</f>
        <v/>
      </c>
      <c r="CJ963" t="str">
        <f>""</f>
        <v/>
      </c>
      <c r="CK963" t="str">
        <f>""</f>
        <v/>
      </c>
      <c r="CL963" t="str">
        <f>""</f>
        <v/>
      </c>
      <c r="CM963" t="str">
        <f>""</f>
        <v/>
      </c>
      <c r="CN963" t="str">
        <f>""</f>
        <v/>
      </c>
      <c r="CO963" t="str">
        <f>""</f>
        <v/>
      </c>
      <c r="CP963" t="str">
        <f>""</f>
        <v/>
      </c>
      <c r="CQ963" t="str">
        <f>""</f>
        <v/>
      </c>
      <c r="CR963" t="str">
        <f>""</f>
        <v/>
      </c>
      <c r="CS963" t="str">
        <f>""</f>
        <v/>
      </c>
      <c r="CT963" t="str">
        <f>""</f>
        <v/>
      </c>
      <c r="CU963" t="str">
        <f>""</f>
        <v/>
      </c>
      <c r="CV963" t="str">
        <f>""</f>
        <v/>
      </c>
      <c r="CW963" t="str">
        <f>""</f>
        <v/>
      </c>
      <c r="CX963" t="str">
        <f>""</f>
        <v/>
      </c>
      <c r="CY963" t="str">
        <f>""</f>
        <v/>
      </c>
      <c r="CZ963" t="str">
        <f>""</f>
        <v/>
      </c>
      <c r="DA963" t="str">
        <f>""</f>
        <v/>
      </c>
      <c r="DB963" t="str">
        <f>""</f>
        <v/>
      </c>
      <c r="DC963" t="str">
        <f>""</f>
        <v/>
      </c>
      <c r="DD963" t="str">
        <f>""</f>
        <v/>
      </c>
      <c r="DE963" t="str">
        <f>""</f>
        <v/>
      </c>
      <c r="DF963" t="str">
        <f>""</f>
        <v/>
      </c>
      <c r="DG963" t="str">
        <f>""</f>
        <v/>
      </c>
      <c r="DH963" t="str">
        <f>""</f>
        <v/>
      </c>
      <c r="DI963" t="str">
        <f>""</f>
        <v/>
      </c>
      <c r="DJ963" t="str">
        <f>""</f>
        <v/>
      </c>
      <c r="DK963" t="str">
        <f>""</f>
        <v/>
      </c>
      <c r="DL963" t="str">
        <f>""</f>
        <v/>
      </c>
      <c r="DM963" t="str">
        <f>""</f>
        <v/>
      </c>
      <c r="DN963" t="str">
        <f>""</f>
        <v/>
      </c>
      <c r="DO963" t="str">
        <f>""</f>
        <v/>
      </c>
      <c r="DP963" t="str">
        <f>""</f>
        <v/>
      </c>
      <c r="DQ963" t="str">
        <f>""</f>
        <v/>
      </c>
      <c r="DR963" t="str">
        <f>""</f>
        <v/>
      </c>
      <c r="DS963" t="str">
        <f>""</f>
        <v/>
      </c>
      <c r="DT963" t="str">
        <f>""</f>
        <v/>
      </c>
      <c r="DU963" t="str">
        <f>""</f>
        <v/>
      </c>
    </row>
    <row r="964" spans="1:125" x14ac:dyDescent="0.25">
      <c r="A964" t="str">
        <f>$A$298</f>
        <v xml:space="preserve">    Chongqing Changan Automobile Co Ltd</v>
      </c>
      <c r="B964" t="str">
        <f>$B$298</f>
        <v>200625 CH Equity</v>
      </c>
      <c r="C964" t="str">
        <f>$C$298</f>
        <v>RR474</v>
      </c>
      <c r="D964" t="str">
        <f>$D$298</f>
        <v>EV_TO_T12M_EBITDA</v>
      </c>
      <c r="E964" t="str">
        <f>$E$298</f>
        <v>Dynamic</v>
      </c>
      <c r="F964" t="str">
        <f ca="1">_xll.BDH($B$298,$C$298,$B$675,$B$676,CONCATENATE("Per=",$B$673),"Dts=H","Dir=H",CONCATENATE("Points=",$B$674),"Sort=R","Days=A","Fill=B",CONCATENATE("FX=", $B$672) )</f>
        <v>#N/A Connection</v>
      </c>
      <c r="BN964" t="str">
        <f>""</f>
        <v/>
      </c>
      <c r="BO964" t="str">
        <f>""</f>
        <v/>
      </c>
      <c r="BP964" t="str">
        <f>""</f>
        <v/>
      </c>
      <c r="BQ964" t="str">
        <f>""</f>
        <v/>
      </c>
      <c r="BR964" t="str">
        <f>""</f>
        <v/>
      </c>
      <c r="BS964" t="str">
        <f>""</f>
        <v/>
      </c>
      <c r="BT964" t="str">
        <f>""</f>
        <v/>
      </c>
      <c r="BU964" t="str">
        <f>""</f>
        <v/>
      </c>
      <c r="BV964" t="str">
        <f>""</f>
        <v/>
      </c>
      <c r="BW964" t="str">
        <f>""</f>
        <v/>
      </c>
      <c r="BX964" t="str">
        <f>""</f>
        <v/>
      </c>
      <c r="BY964" t="str">
        <f>""</f>
        <v/>
      </c>
      <c r="BZ964" t="str">
        <f>""</f>
        <v/>
      </c>
      <c r="CA964" t="str">
        <f>""</f>
        <v/>
      </c>
      <c r="CB964" t="str">
        <f>""</f>
        <v/>
      </c>
      <c r="CC964" t="str">
        <f>""</f>
        <v/>
      </c>
      <c r="CD964" t="str">
        <f>""</f>
        <v/>
      </c>
      <c r="CE964" t="str">
        <f>""</f>
        <v/>
      </c>
      <c r="CF964" t="str">
        <f>""</f>
        <v/>
      </c>
      <c r="CG964" t="str">
        <f>""</f>
        <v/>
      </c>
      <c r="CH964" t="str">
        <f>""</f>
        <v/>
      </c>
      <c r="CI964" t="str">
        <f>""</f>
        <v/>
      </c>
      <c r="CJ964" t="str">
        <f>""</f>
        <v/>
      </c>
      <c r="CK964" t="str">
        <f>""</f>
        <v/>
      </c>
      <c r="CL964" t="str">
        <f>""</f>
        <v/>
      </c>
      <c r="CM964" t="str">
        <f>""</f>
        <v/>
      </c>
      <c r="CN964" t="str">
        <f>""</f>
        <v/>
      </c>
      <c r="CO964" t="str">
        <f>""</f>
        <v/>
      </c>
      <c r="CP964" t="str">
        <f>""</f>
        <v/>
      </c>
      <c r="CQ964" t="str">
        <f>""</f>
        <v/>
      </c>
      <c r="CR964" t="str">
        <f>""</f>
        <v/>
      </c>
      <c r="CS964" t="str">
        <f>""</f>
        <v/>
      </c>
      <c r="CT964" t="str">
        <f>""</f>
        <v/>
      </c>
      <c r="CU964" t="str">
        <f>""</f>
        <v/>
      </c>
      <c r="CV964" t="str">
        <f>""</f>
        <v/>
      </c>
      <c r="CW964" t="str">
        <f>""</f>
        <v/>
      </c>
      <c r="CX964" t="str">
        <f>""</f>
        <v/>
      </c>
      <c r="CY964" t="str">
        <f>""</f>
        <v/>
      </c>
      <c r="CZ964" t="str">
        <f>""</f>
        <v/>
      </c>
      <c r="DA964" t="str">
        <f>""</f>
        <v/>
      </c>
      <c r="DB964" t="str">
        <f>""</f>
        <v/>
      </c>
      <c r="DC964" t="str">
        <f>""</f>
        <v/>
      </c>
      <c r="DD964" t="str">
        <f>""</f>
        <v/>
      </c>
      <c r="DE964" t="str">
        <f>""</f>
        <v/>
      </c>
      <c r="DF964" t="str">
        <f>""</f>
        <v/>
      </c>
      <c r="DG964" t="str">
        <f>""</f>
        <v/>
      </c>
      <c r="DH964" t="str">
        <f>""</f>
        <v/>
      </c>
      <c r="DI964" t="str">
        <f>""</f>
        <v/>
      </c>
      <c r="DJ964" t="str">
        <f>""</f>
        <v/>
      </c>
      <c r="DK964" t="str">
        <f>""</f>
        <v/>
      </c>
      <c r="DL964" t="str">
        <f>""</f>
        <v/>
      </c>
      <c r="DM964" t="str">
        <f>""</f>
        <v/>
      </c>
      <c r="DN964" t="str">
        <f>""</f>
        <v/>
      </c>
      <c r="DO964" t="str">
        <f>""</f>
        <v/>
      </c>
      <c r="DP964" t="str">
        <f>""</f>
        <v/>
      </c>
      <c r="DQ964" t="str">
        <f>""</f>
        <v/>
      </c>
      <c r="DR964" t="str">
        <f>""</f>
        <v/>
      </c>
      <c r="DS964" t="str">
        <f>""</f>
        <v/>
      </c>
      <c r="DT964" t="str">
        <f>""</f>
        <v/>
      </c>
      <c r="DU964" t="str">
        <f>""</f>
        <v/>
      </c>
    </row>
    <row r="965" spans="1:125" x14ac:dyDescent="0.25">
      <c r="A965" t="str">
        <f>$A$299</f>
        <v xml:space="preserve">    Daihatsu Motor Co Ltd</v>
      </c>
      <c r="B965" t="str">
        <f>$B$299</f>
        <v>7262 JP Equity</v>
      </c>
      <c r="C965" t="str">
        <f>$C$299</f>
        <v>RR474</v>
      </c>
      <c r="D965" t="str">
        <f>$D$299</f>
        <v>EV_TO_T12M_EBITDA</v>
      </c>
      <c r="E965" t="str">
        <f>$E$299</f>
        <v>Dynamic</v>
      </c>
      <c r="F965" t="str">
        <f ca="1">_xll.BDH($B$299,$C$299,$B$675,$B$676,CONCATENATE("Per=",$B$673),"Dts=H","Dir=H",CONCATENATE("Points=",$B$674),"Sort=R","Days=A","Fill=B",CONCATENATE("FX=", $B$672) )</f>
        <v>#N/A Connection</v>
      </c>
      <c r="BN965" t="str">
        <f>""</f>
        <v/>
      </c>
      <c r="BO965" t="str">
        <f>""</f>
        <v/>
      </c>
      <c r="BP965" t="str">
        <f>""</f>
        <v/>
      </c>
      <c r="BQ965" t="str">
        <f>""</f>
        <v/>
      </c>
      <c r="BR965" t="str">
        <f>""</f>
        <v/>
      </c>
      <c r="BS965" t="str">
        <f>""</f>
        <v/>
      </c>
      <c r="BT965" t="str">
        <f>""</f>
        <v/>
      </c>
      <c r="BU965" t="str">
        <f>""</f>
        <v/>
      </c>
      <c r="BV965" t="str">
        <f>""</f>
        <v/>
      </c>
      <c r="BW965" t="str">
        <f>""</f>
        <v/>
      </c>
      <c r="BX965" t="str">
        <f>""</f>
        <v/>
      </c>
      <c r="BY965" t="str">
        <f>""</f>
        <v/>
      </c>
      <c r="BZ965" t="str">
        <f>""</f>
        <v/>
      </c>
      <c r="CA965" t="str">
        <f>""</f>
        <v/>
      </c>
      <c r="CB965" t="str">
        <f>""</f>
        <v/>
      </c>
      <c r="CC965" t="str">
        <f>""</f>
        <v/>
      </c>
      <c r="CD965" t="str">
        <f>""</f>
        <v/>
      </c>
      <c r="CE965" t="str">
        <f>""</f>
        <v/>
      </c>
      <c r="CF965" t="str">
        <f>""</f>
        <v/>
      </c>
      <c r="CG965" t="str">
        <f>""</f>
        <v/>
      </c>
      <c r="CH965" t="str">
        <f>""</f>
        <v/>
      </c>
      <c r="CI965" t="str">
        <f>""</f>
        <v/>
      </c>
      <c r="CJ965" t="str">
        <f>""</f>
        <v/>
      </c>
      <c r="CK965" t="str">
        <f>""</f>
        <v/>
      </c>
      <c r="CL965" t="str">
        <f>""</f>
        <v/>
      </c>
      <c r="CM965" t="str">
        <f>""</f>
        <v/>
      </c>
      <c r="CN965" t="str">
        <f>""</f>
        <v/>
      </c>
      <c r="CO965" t="str">
        <f>""</f>
        <v/>
      </c>
      <c r="CP965" t="str">
        <f>""</f>
        <v/>
      </c>
      <c r="CQ965" t="str">
        <f>""</f>
        <v/>
      </c>
      <c r="CR965" t="str">
        <f>""</f>
        <v/>
      </c>
      <c r="CS965" t="str">
        <f>""</f>
        <v/>
      </c>
      <c r="CT965" t="str">
        <f>""</f>
        <v/>
      </c>
      <c r="CU965" t="str">
        <f>""</f>
        <v/>
      </c>
      <c r="CV965" t="str">
        <f>""</f>
        <v/>
      </c>
      <c r="CW965" t="str">
        <f>""</f>
        <v/>
      </c>
      <c r="CX965" t="str">
        <f>""</f>
        <v/>
      </c>
      <c r="CY965" t="str">
        <f>""</f>
        <v/>
      </c>
      <c r="CZ965" t="str">
        <f>""</f>
        <v/>
      </c>
      <c r="DA965" t="str">
        <f>""</f>
        <v/>
      </c>
      <c r="DB965" t="str">
        <f>""</f>
        <v/>
      </c>
      <c r="DC965" t="str">
        <f>""</f>
        <v/>
      </c>
      <c r="DD965" t="str">
        <f>""</f>
        <v/>
      </c>
      <c r="DE965" t="str">
        <f>""</f>
        <v/>
      </c>
      <c r="DF965" t="str">
        <f>""</f>
        <v/>
      </c>
      <c r="DG965" t="str">
        <f>""</f>
        <v/>
      </c>
      <c r="DH965" t="str">
        <f>""</f>
        <v/>
      </c>
      <c r="DI965" t="str">
        <f>""</f>
        <v/>
      </c>
      <c r="DJ965" t="str">
        <f>""</f>
        <v/>
      </c>
      <c r="DK965" t="str">
        <f>""</f>
        <v/>
      </c>
      <c r="DL965" t="str">
        <f>""</f>
        <v/>
      </c>
      <c r="DM965" t="str">
        <f>""</f>
        <v/>
      </c>
      <c r="DN965" t="str">
        <f>""</f>
        <v/>
      </c>
      <c r="DO965" t="str">
        <f>""</f>
        <v/>
      </c>
      <c r="DP965" t="str">
        <f>""</f>
        <v/>
      </c>
      <c r="DQ965" t="str">
        <f>""</f>
        <v/>
      </c>
      <c r="DR965" t="str">
        <f>""</f>
        <v/>
      </c>
      <c r="DS965" t="str">
        <f>""</f>
        <v/>
      </c>
      <c r="DT965" t="str">
        <f>""</f>
        <v/>
      </c>
      <c r="DU965" t="str">
        <f>""</f>
        <v/>
      </c>
    </row>
    <row r="966" spans="1:125" x14ac:dyDescent="0.25">
      <c r="A966" t="str">
        <f>$A$300</f>
        <v xml:space="preserve">    Daimler AG</v>
      </c>
      <c r="B966" t="str">
        <f>$B$300</f>
        <v>DAI GR Equity</v>
      </c>
      <c r="C966" t="str">
        <f>$C$300</f>
        <v>RR474</v>
      </c>
      <c r="D966" t="str">
        <f>$D$300</f>
        <v>EV_TO_T12M_EBITDA</v>
      </c>
      <c r="E966" t="str">
        <f>$E$300</f>
        <v>Dynamic</v>
      </c>
      <c r="F966" t="str">
        <f ca="1">_xll.BDH($B$300,$C$300,$B$675,$B$676,CONCATENATE("Per=",$B$673),"Dts=H","Dir=H",CONCATENATE("Points=",$B$674),"Sort=R","Days=A","Fill=B",CONCATENATE("FX=", $B$672) )</f>
        <v>#N/A Connection</v>
      </c>
      <c r="BN966" t="str">
        <f>""</f>
        <v/>
      </c>
      <c r="BO966" t="str">
        <f>""</f>
        <v/>
      </c>
      <c r="BP966" t="str">
        <f>""</f>
        <v/>
      </c>
      <c r="BQ966" t="str">
        <f>""</f>
        <v/>
      </c>
      <c r="BR966" t="str">
        <f>""</f>
        <v/>
      </c>
      <c r="BS966" t="str">
        <f>""</f>
        <v/>
      </c>
      <c r="BT966" t="str">
        <f>""</f>
        <v/>
      </c>
      <c r="BU966" t="str">
        <f>""</f>
        <v/>
      </c>
      <c r="BV966" t="str">
        <f>""</f>
        <v/>
      </c>
      <c r="BW966" t="str">
        <f>""</f>
        <v/>
      </c>
      <c r="BX966" t="str">
        <f>""</f>
        <v/>
      </c>
      <c r="BY966" t="str">
        <f>""</f>
        <v/>
      </c>
      <c r="BZ966" t="str">
        <f>""</f>
        <v/>
      </c>
      <c r="CA966" t="str">
        <f>""</f>
        <v/>
      </c>
      <c r="CB966" t="str">
        <f>""</f>
        <v/>
      </c>
      <c r="CC966" t="str">
        <f>""</f>
        <v/>
      </c>
      <c r="CD966" t="str">
        <f>""</f>
        <v/>
      </c>
      <c r="CE966" t="str">
        <f>""</f>
        <v/>
      </c>
      <c r="CF966" t="str">
        <f>""</f>
        <v/>
      </c>
      <c r="CG966" t="str">
        <f>""</f>
        <v/>
      </c>
      <c r="CH966" t="str">
        <f>""</f>
        <v/>
      </c>
      <c r="CI966" t="str">
        <f>""</f>
        <v/>
      </c>
      <c r="CJ966" t="str">
        <f>""</f>
        <v/>
      </c>
      <c r="CK966" t="str">
        <f>""</f>
        <v/>
      </c>
      <c r="CL966" t="str">
        <f>""</f>
        <v/>
      </c>
      <c r="CM966" t="str">
        <f>""</f>
        <v/>
      </c>
      <c r="CN966" t="str">
        <f>""</f>
        <v/>
      </c>
      <c r="CO966" t="str">
        <f>""</f>
        <v/>
      </c>
      <c r="CP966" t="str">
        <f>""</f>
        <v/>
      </c>
      <c r="CQ966" t="str">
        <f>""</f>
        <v/>
      </c>
      <c r="CR966" t="str">
        <f>""</f>
        <v/>
      </c>
      <c r="CS966" t="str">
        <f>""</f>
        <v/>
      </c>
      <c r="CT966" t="str">
        <f>""</f>
        <v/>
      </c>
      <c r="CU966" t="str">
        <f>""</f>
        <v/>
      </c>
      <c r="CV966" t="str">
        <f>""</f>
        <v/>
      </c>
      <c r="CW966" t="str">
        <f>""</f>
        <v/>
      </c>
      <c r="CX966" t="str">
        <f>""</f>
        <v/>
      </c>
      <c r="CY966" t="str">
        <f>""</f>
        <v/>
      </c>
      <c r="CZ966" t="str">
        <f>""</f>
        <v/>
      </c>
      <c r="DA966" t="str">
        <f>""</f>
        <v/>
      </c>
      <c r="DB966" t="str">
        <f>""</f>
        <v/>
      </c>
      <c r="DC966" t="str">
        <f>""</f>
        <v/>
      </c>
      <c r="DD966" t="str">
        <f>""</f>
        <v/>
      </c>
      <c r="DE966" t="str">
        <f>""</f>
        <v/>
      </c>
      <c r="DF966" t="str">
        <f>""</f>
        <v/>
      </c>
      <c r="DG966" t="str">
        <f>""</f>
        <v/>
      </c>
      <c r="DH966" t="str">
        <f>""</f>
        <v/>
      </c>
      <c r="DI966" t="str">
        <f>""</f>
        <v/>
      </c>
      <c r="DJ966" t="str">
        <f>""</f>
        <v/>
      </c>
      <c r="DK966" t="str">
        <f>""</f>
        <v/>
      </c>
      <c r="DL966" t="str">
        <f>""</f>
        <v/>
      </c>
      <c r="DM966" t="str">
        <f>""</f>
        <v/>
      </c>
      <c r="DN966" t="str">
        <f>""</f>
        <v/>
      </c>
      <c r="DO966" t="str">
        <f>""</f>
        <v/>
      </c>
      <c r="DP966" t="str">
        <f>""</f>
        <v/>
      </c>
      <c r="DQ966" t="str">
        <f>""</f>
        <v/>
      </c>
      <c r="DR966" t="str">
        <f>""</f>
        <v/>
      </c>
      <c r="DS966" t="str">
        <f>""</f>
        <v/>
      </c>
      <c r="DT966" t="str">
        <f>""</f>
        <v/>
      </c>
      <c r="DU966" t="str">
        <f>""</f>
        <v/>
      </c>
    </row>
    <row r="967" spans="1:125" x14ac:dyDescent="0.25">
      <c r="A967" t="str">
        <f>$A$301</f>
        <v xml:space="preserve">    Dongfeng Motor Group Co Ltd</v>
      </c>
      <c r="B967" t="str">
        <f>$B$301</f>
        <v>489 HK Equity</v>
      </c>
      <c r="C967" t="str">
        <f>$C$301</f>
        <v>RR474</v>
      </c>
      <c r="D967" t="str">
        <f>$D$301</f>
        <v>EV_TO_T12M_EBITDA</v>
      </c>
      <c r="E967" t="str">
        <f>$E$301</f>
        <v>Dynamic</v>
      </c>
      <c r="F967" t="str">
        <f ca="1">_xll.BDH($B$301,$C$301,$B$675,$B$676,CONCATENATE("Per=",$B$673),"Dts=H","Dir=H",CONCATENATE("Points=",$B$674),"Sort=R","Days=A","Fill=B",CONCATENATE("FX=", $B$672) )</f>
        <v>#N/A Connection</v>
      </c>
      <c r="BN967" t="str">
        <f>""</f>
        <v/>
      </c>
      <c r="BO967" t="str">
        <f>""</f>
        <v/>
      </c>
      <c r="BP967" t="str">
        <f>""</f>
        <v/>
      </c>
      <c r="BQ967" t="str">
        <f>""</f>
        <v/>
      </c>
      <c r="BR967" t="str">
        <f>""</f>
        <v/>
      </c>
      <c r="BS967" t="str">
        <f>""</f>
        <v/>
      </c>
      <c r="BT967" t="str">
        <f>""</f>
        <v/>
      </c>
      <c r="BU967" t="str">
        <f>""</f>
        <v/>
      </c>
      <c r="BV967" t="str">
        <f>""</f>
        <v/>
      </c>
      <c r="BW967" t="str">
        <f>""</f>
        <v/>
      </c>
      <c r="BX967" t="str">
        <f>""</f>
        <v/>
      </c>
      <c r="BY967" t="str">
        <f>""</f>
        <v/>
      </c>
      <c r="BZ967" t="str">
        <f>""</f>
        <v/>
      </c>
      <c r="CA967" t="str">
        <f>""</f>
        <v/>
      </c>
      <c r="CB967" t="str">
        <f>""</f>
        <v/>
      </c>
      <c r="CC967" t="str">
        <f>""</f>
        <v/>
      </c>
      <c r="CD967" t="str">
        <f>""</f>
        <v/>
      </c>
      <c r="CE967" t="str">
        <f>""</f>
        <v/>
      </c>
      <c r="CF967" t="str">
        <f>""</f>
        <v/>
      </c>
      <c r="CG967" t="str">
        <f>""</f>
        <v/>
      </c>
      <c r="CH967" t="str">
        <f>""</f>
        <v/>
      </c>
      <c r="CI967" t="str">
        <f>""</f>
        <v/>
      </c>
      <c r="CJ967" t="str">
        <f>""</f>
        <v/>
      </c>
      <c r="CK967" t="str">
        <f>""</f>
        <v/>
      </c>
      <c r="CL967" t="str">
        <f>""</f>
        <v/>
      </c>
      <c r="CM967" t="str">
        <f>""</f>
        <v/>
      </c>
      <c r="CN967" t="str">
        <f>""</f>
        <v/>
      </c>
      <c r="CO967" t="str">
        <f>""</f>
        <v/>
      </c>
      <c r="CP967" t="str">
        <f>""</f>
        <v/>
      </c>
      <c r="CQ967" t="str">
        <f>""</f>
        <v/>
      </c>
      <c r="CR967" t="str">
        <f>""</f>
        <v/>
      </c>
      <c r="CS967" t="str">
        <f>""</f>
        <v/>
      </c>
      <c r="CT967" t="str">
        <f>""</f>
        <v/>
      </c>
      <c r="CU967" t="str">
        <f>""</f>
        <v/>
      </c>
      <c r="CV967" t="str">
        <f>""</f>
        <v/>
      </c>
      <c r="CW967" t="str">
        <f>""</f>
        <v/>
      </c>
      <c r="CX967" t="str">
        <f>""</f>
        <v/>
      </c>
      <c r="CY967" t="str">
        <f>""</f>
        <v/>
      </c>
      <c r="CZ967" t="str">
        <f>""</f>
        <v/>
      </c>
      <c r="DA967" t="str">
        <f>""</f>
        <v/>
      </c>
      <c r="DB967" t="str">
        <f>""</f>
        <v/>
      </c>
      <c r="DC967" t="str">
        <f>""</f>
        <v/>
      </c>
      <c r="DD967" t="str">
        <f>""</f>
        <v/>
      </c>
      <c r="DE967" t="str">
        <f>""</f>
        <v/>
      </c>
      <c r="DF967" t="str">
        <f>""</f>
        <v/>
      </c>
      <c r="DG967" t="str">
        <f>""</f>
        <v/>
      </c>
      <c r="DH967" t="str">
        <f>""</f>
        <v/>
      </c>
      <c r="DI967" t="str">
        <f>""</f>
        <v/>
      </c>
      <c r="DJ967" t="str">
        <f>""</f>
        <v/>
      </c>
      <c r="DK967" t="str">
        <f>""</f>
        <v/>
      </c>
      <c r="DL967" t="str">
        <f>""</f>
        <v/>
      </c>
      <c r="DM967" t="str">
        <f>""</f>
        <v/>
      </c>
      <c r="DN967" t="str">
        <f>""</f>
        <v/>
      </c>
      <c r="DO967" t="str">
        <f>""</f>
        <v/>
      </c>
      <c r="DP967" t="str">
        <f>""</f>
        <v/>
      </c>
      <c r="DQ967" t="str">
        <f>""</f>
        <v/>
      </c>
      <c r="DR967" t="str">
        <f>""</f>
        <v/>
      </c>
      <c r="DS967" t="str">
        <f>""</f>
        <v/>
      </c>
      <c r="DT967" t="str">
        <f>""</f>
        <v/>
      </c>
      <c r="DU967" t="str">
        <f>""</f>
        <v/>
      </c>
    </row>
    <row r="968" spans="1:125" x14ac:dyDescent="0.25">
      <c r="A968" t="str">
        <f>$A$302</f>
        <v xml:space="preserve">    DRB-Hicom Bhd</v>
      </c>
      <c r="B968" t="str">
        <f>$B$302</f>
        <v>DRB MK Equity</v>
      </c>
      <c r="C968" t="str">
        <f>$C$302</f>
        <v>RR474</v>
      </c>
      <c r="D968" t="str">
        <f>$D$302</f>
        <v>EV_TO_T12M_EBITDA</v>
      </c>
      <c r="E968" t="str">
        <f>$E$302</f>
        <v>Dynamic</v>
      </c>
      <c r="F968" t="str">
        <f ca="1">_xll.BDH($B$302,$C$302,$B$675,$B$676,CONCATENATE("Per=",$B$673),"Dts=H","Dir=H",CONCATENATE("Points=",$B$674),"Sort=R","Days=A","Fill=B",CONCATENATE("FX=", $B$672) )</f>
        <v>#N/A Connection</v>
      </c>
      <c r="BN968" t="str">
        <f>""</f>
        <v/>
      </c>
      <c r="BO968" t="str">
        <f>""</f>
        <v/>
      </c>
      <c r="BP968" t="str">
        <f>""</f>
        <v/>
      </c>
      <c r="BQ968" t="str">
        <f>""</f>
        <v/>
      </c>
      <c r="BR968" t="str">
        <f>""</f>
        <v/>
      </c>
      <c r="BS968" t="str">
        <f>""</f>
        <v/>
      </c>
      <c r="BT968" t="str">
        <f>""</f>
        <v/>
      </c>
      <c r="BU968" t="str">
        <f>""</f>
        <v/>
      </c>
      <c r="BV968" t="str">
        <f>""</f>
        <v/>
      </c>
      <c r="BW968" t="str">
        <f>""</f>
        <v/>
      </c>
      <c r="BX968" t="str">
        <f>""</f>
        <v/>
      </c>
      <c r="BY968" t="str">
        <f>""</f>
        <v/>
      </c>
      <c r="BZ968" t="str">
        <f>""</f>
        <v/>
      </c>
      <c r="CA968" t="str">
        <f>""</f>
        <v/>
      </c>
      <c r="CB968" t="str">
        <f>""</f>
        <v/>
      </c>
      <c r="CC968" t="str">
        <f>""</f>
        <v/>
      </c>
      <c r="CD968" t="str">
        <f>""</f>
        <v/>
      </c>
      <c r="CE968" t="str">
        <f>""</f>
        <v/>
      </c>
      <c r="CF968" t="str">
        <f>""</f>
        <v/>
      </c>
      <c r="CG968" t="str">
        <f>""</f>
        <v/>
      </c>
      <c r="CH968" t="str">
        <f>""</f>
        <v/>
      </c>
      <c r="CI968" t="str">
        <f>""</f>
        <v/>
      </c>
      <c r="CJ968" t="str">
        <f>""</f>
        <v/>
      </c>
      <c r="CK968" t="str">
        <f>""</f>
        <v/>
      </c>
      <c r="CL968" t="str">
        <f>""</f>
        <v/>
      </c>
      <c r="CM968" t="str">
        <f>""</f>
        <v/>
      </c>
      <c r="CN968" t="str">
        <f>""</f>
        <v/>
      </c>
      <c r="CO968" t="str">
        <f>""</f>
        <v/>
      </c>
      <c r="CP968" t="str">
        <f>""</f>
        <v/>
      </c>
      <c r="CQ968" t="str">
        <f>""</f>
        <v/>
      </c>
      <c r="CR968" t="str">
        <f>""</f>
        <v/>
      </c>
      <c r="CS968" t="str">
        <f>""</f>
        <v/>
      </c>
      <c r="CT968" t="str">
        <f>""</f>
        <v/>
      </c>
      <c r="CU968" t="str">
        <f>""</f>
        <v/>
      </c>
      <c r="CV968" t="str">
        <f>""</f>
        <v/>
      </c>
      <c r="CW968" t="str">
        <f>""</f>
        <v/>
      </c>
      <c r="CX968" t="str">
        <f>""</f>
        <v/>
      </c>
      <c r="CY968" t="str">
        <f>""</f>
        <v/>
      </c>
      <c r="CZ968" t="str">
        <f>""</f>
        <v/>
      </c>
      <c r="DA968" t="str">
        <f>""</f>
        <v/>
      </c>
      <c r="DB968" t="str">
        <f>""</f>
        <v/>
      </c>
      <c r="DC968" t="str">
        <f>""</f>
        <v/>
      </c>
      <c r="DD968" t="str">
        <f>""</f>
        <v/>
      </c>
      <c r="DE968" t="str">
        <f>""</f>
        <v/>
      </c>
      <c r="DF968" t="str">
        <f>""</f>
        <v/>
      </c>
      <c r="DG968" t="str">
        <f>""</f>
        <v/>
      </c>
      <c r="DH968" t="str">
        <f>""</f>
        <v/>
      </c>
      <c r="DI968" t="str">
        <f>""</f>
        <v/>
      </c>
      <c r="DJ968" t="str">
        <f>""</f>
        <v/>
      </c>
      <c r="DK968" t="str">
        <f>""</f>
        <v/>
      </c>
      <c r="DL968" t="str">
        <f>""</f>
        <v/>
      </c>
      <c r="DM968" t="str">
        <f>""</f>
        <v/>
      </c>
      <c r="DN968" t="str">
        <f>""</f>
        <v/>
      </c>
      <c r="DO968" t="str">
        <f>""</f>
        <v/>
      </c>
      <c r="DP968" t="str">
        <f>""</f>
        <v/>
      </c>
      <c r="DQ968" t="str">
        <f>""</f>
        <v/>
      </c>
      <c r="DR968" t="str">
        <f>""</f>
        <v/>
      </c>
      <c r="DS968" t="str">
        <f>""</f>
        <v/>
      </c>
      <c r="DT968" t="str">
        <f>""</f>
        <v/>
      </c>
      <c r="DU968" t="str">
        <f>""</f>
        <v/>
      </c>
    </row>
    <row r="969" spans="1:125" x14ac:dyDescent="0.25">
      <c r="A969" t="str">
        <f>$A$303</f>
        <v xml:space="preserve">    FAW CAR Co Ltd</v>
      </c>
      <c r="B969" t="str">
        <f>$B$303</f>
        <v>000800 CH Equity</v>
      </c>
      <c r="C969" t="str">
        <f>$C$303</f>
        <v>RR474</v>
      </c>
      <c r="D969" t="str">
        <f>$D$303</f>
        <v>EV_TO_T12M_EBITDA</v>
      </c>
      <c r="E969" t="str">
        <f>$E$303</f>
        <v>Dynamic</v>
      </c>
      <c r="F969" t="str">
        <f ca="1">_xll.BDH($B$303,$C$303,$B$675,$B$676,CONCATENATE("Per=",$B$673),"Dts=H","Dir=H",CONCATENATE("Points=",$B$674),"Sort=R","Days=A","Fill=B",CONCATENATE("FX=", $B$672) )</f>
        <v>#N/A Connection</v>
      </c>
      <c r="BN969" t="str">
        <f>""</f>
        <v/>
      </c>
      <c r="BO969" t="str">
        <f>""</f>
        <v/>
      </c>
      <c r="BP969" t="str">
        <f>""</f>
        <v/>
      </c>
      <c r="BQ969" t="str">
        <f>""</f>
        <v/>
      </c>
      <c r="BR969" t="str">
        <f>""</f>
        <v/>
      </c>
      <c r="BS969" t="str">
        <f>""</f>
        <v/>
      </c>
      <c r="BT969" t="str">
        <f>""</f>
        <v/>
      </c>
      <c r="BU969" t="str">
        <f>""</f>
        <v/>
      </c>
      <c r="BV969" t="str">
        <f>""</f>
        <v/>
      </c>
      <c r="BW969" t="str">
        <f>""</f>
        <v/>
      </c>
      <c r="BX969" t="str">
        <f>""</f>
        <v/>
      </c>
      <c r="BY969" t="str">
        <f>""</f>
        <v/>
      </c>
      <c r="BZ969" t="str">
        <f>""</f>
        <v/>
      </c>
      <c r="CA969" t="str">
        <f>""</f>
        <v/>
      </c>
      <c r="CB969" t="str">
        <f>""</f>
        <v/>
      </c>
      <c r="CC969" t="str">
        <f>""</f>
        <v/>
      </c>
      <c r="CD969" t="str">
        <f>""</f>
        <v/>
      </c>
      <c r="CE969" t="str">
        <f>""</f>
        <v/>
      </c>
      <c r="CF969" t="str">
        <f>""</f>
        <v/>
      </c>
      <c r="CG969" t="str">
        <f>""</f>
        <v/>
      </c>
      <c r="CH969" t="str">
        <f>""</f>
        <v/>
      </c>
      <c r="CI969" t="str">
        <f>""</f>
        <v/>
      </c>
      <c r="CJ969" t="str">
        <f>""</f>
        <v/>
      </c>
      <c r="CK969" t="str">
        <f>""</f>
        <v/>
      </c>
      <c r="CL969" t="str">
        <f>""</f>
        <v/>
      </c>
      <c r="CM969" t="str">
        <f>""</f>
        <v/>
      </c>
      <c r="CN969" t="str">
        <f>""</f>
        <v/>
      </c>
      <c r="CO969" t="str">
        <f>""</f>
        <v/>
      </c>
      <c r="CP969" t="str">
        <f>""</f>
        <v/>
      </c>
      <c r="CQ969" t="str">
        <f>""</f>
        <v/>
      </c>
      <c r="CR969" t="str">
        <f>""</f>
        <v/>
      </c>
      <c r="CS969" t="str">
        <f>""</f>
        <v/>
      </c>
      <c r="CT969" t="str">
        <f>""</f>
        <v/>
      </c>
      <c r="CU969" t="str">
        <f>""</f>
        <v/>
      </c>
      <c r="CV969" t="str">
        <f>""</f>
        <v/>
      </c>
      <c r="CW969" t="str">
        <f>""</f>
        <v/>
      </c>
      <c r="CX969" t="str">
        <f>""</f>
        <v/>
      </c>
      <c r="CY969" t="str">
        <f>""</f>
        <v/>
      </c>
      <c r="CZ969" t="str">
        <f>""</f>
        <v/>
      </c>
      <c r="DA969" t="str">
        <f>""</f>
        <v/>
      </c>
      <c r="DB969" t="str">
        <f>""</f>
        <v/>
      </c>
      <c r="DC969" t="str">
        <f>""</f>
        <v/>
      </c>
      <c r="DD969" t="str">
        <f>""</f>
        <v/>
      </c>
      <c r="DE969" t="str">
        <f>""</f>
        <v/>
      </c>
      <c r="DF969" t="str">
        <f>""</f>
        <v/>
      </c>
      <c r="DG969" t="str">
        <f>""</f>
        <v/>
      </c>
      <c r="DH969" t="str">
        <f>""</f>
        <v/>
      </c>
      <c r="DI969" t="str">
        <f>""</f>
        <v/>
      </c>
      <c r="DJ969" t="str">
        <f>""</f>
        <v/>
      </c>
      <c r="DK969" t="str">
        <f>""</f>
        <v/>
      </c>
      <c r="DL969" t="str">
        <f>""</f>
        <v/>
      </c>
      <c r="DM969" t="str">
        <f>""</f>
        <v/>
      </c>
      <c r="DN969" t="str">
        <f>""</f>
        <v/>
      </c>
      <c r="DO969" t="str">
        <f>""</f>
        <v/>
      </c>
      <c r="DP969" t="str">
        <f>""</f>
        <v/>
      </c>
      <c r="DQ969" t="str">
        <f>""</f>
        <v/>
      </c>
      <c r="DR969" t="str">
        <f>""</f>
        <v/>
      </c>
      <c r="DS969" t="str">
        <f>""</f>
        <v/>
      </c>
      <c r="DT969" t="str">
        <f>""</f>
        <v/>
      </c>
      <c r="DU969" t="str">
        <f>""</f>
        <v/>
      </c>
    </row>
    <row r="970" spans="1:125" x14ac:dyDescent="0.25">
      <c r="A970" t="str">
        <f>$A$304</f>
        <v xml:space="preserve">    Fiat Chrysler Automobiles NV</v>
      </c>
      <c r="B970" t="str">
        <f>$B$304</f>
        <v>FCAU US Equity</v>
      </c>
      <c r="C970" t="str">
        <f>$C$304</f>
        <v>RR474</v>
      </c>
      <c r="D970" t="str">
        <f>$D$304</f>
        <v>EV_TO_T12M_EBITDA</v>
      </c>
      <c r="E970" t="str">
        <f>$E$304</f>
        <v>Dynamic</v>
      </c>
      <c r="F970" t="str">
        <f ca="1">_xll.BDH($B$304,$C$304,$B$675,$B$676,CONCATENATE("Per=",$B$673),"Dts=H","Dir=H",CONCATENATE("Points=",$B$674),"Sort=R","Days=A","Fill=B",CONCATENATE("FX=", $B$672) )</f>
        <v>#N/A Connection</v>
      </c>
      <c r="BN970" t="str">
        <f>""</f>
        <v/>
      </c>
      <c r="BO970" t="str">
        <f>""</f>
        <v/>
      </c>
      <c r="BP970" t="str">
        <f>""</f>
        <v/>
      </c>
      <c r="BQ970" t="str">
        <f>""</f>
        <v/>
      </c>
      <c r="BR970" t="str">
        <f>""</f>
        <v/>
      </c>
      <c r="BS970" t="str">
        <f>""</f>
        <v/>
      </c>
      <c r="BT970" t="str">
        <f>""</f>
        <v/>
      </c>
      <c r="BU970" t="str">
        <f>""</f>
        <v/>
      </c>
      <c r="BV970" t="str">
        <f>""</f>
        <v/>
      </c>
      <c r="BW970" t="str">
        <f>""</f>
        <v/>
      </c>
      <c r="BX970" t="str">
        <f>""</f>
        <v/>
      </c>
      <c r="BY970" t="str">
        <f>""</f>
        <v/>
      </c>
      <c r="BZ970" t="str">
        <f>""</f>
        <v/>
      </c>
      <c r="CA970" t="str">
        <f>""</f>
        <v/>
      </c>
      <c r="CB970" t="str">
        <f>""</f>
        <v/>
      </c>
      <c r="CC970" t="str">
        <f>""</f>
        <v/>
      </c>
      <c r="CD970" t="str">
        <f>""</f>
        <v/>
      </c>
      <c r="CE970" t="str">
        <f>""</f>
        <v/>
      </c>
      <c r="CF970" t="str">
        <f>""</f>
        <v/>
      </c>
      <c r="CG970" t="str">
        <f>""</f>
        <v/>
      </c>
      <c r="CH970" t="str">
        <f>""</f>
        <v/>
      </c>
      <c r="CI970" t="str">
        <f>""</f>
        <v/>
      </c>
      <c r="CJ970" t="str">
        <f>""</f>
        <v/>
      </c>
      <c r="CK970" t="str">
        <f>""</f>
        <v/>
      </c>
      <c r="CL970" t="str">
        <f>""</f>
        <v/>
      </c>
      <c r="CM970" t="str">
        <f>""</f>
        <v/>
      </c>
      <c r="CN970" t="str">
        <f>""</f>
        <v/>
      </c>
      <c r="CO970" t="str">
        <f>""</f>
        <v/>
      </c>
      <c r="CP970" t="str">
        <f>""</f>
        <v/>
      </c>
      <c r="CQ970" t="str">
        <f>""</f>
        <v/>
      </c>
      <c r="CR970" t="str">
        <f>""</f>
        <v/>
      </c>
      <c r="CS970" t="str">
        <f>""</f>
        <v/>
      </c>
      <c r="CT970" t="str">
        <f>""</f>
        <v/>
      </c>
      <c r="CU970" t="str">
        <f>""</f>
        <v/>
      </c>
      <c r="CV970" t="str">
        <f>""</f>
        <v/>
      </c>
      <c r="CW970" t="str">
        <f>""</f>
        <v/>
      </c>
      <c r="CX970" t="str">
        <f>""</f>
        <v/>
      </c>
      <c r="CY970" t="str">
        <f>""</f>
        <v/>
      </c>
      <c r="CZ970" t="str">
        <f>""</f>
        <v/>
      </c>
      <c r="DA970" t="str">
        <f>""</f>
        <v/>
      </c>
      <c r="DB970" t="str">
        <f>""</f>
        <v/>
      </c>
      <c r="DC970" t="str">
        <f>""</f>
        <v/>
      </c>
      <c r="DD970" t="str">
        <f>""</f>
        <v/>
      </c>
      <c r="DE970" t="str">
        <f>""</f>
        <v/>
      </c>
      <c r="DF970" t="str">
        <f>""</f>
        <v/>
      </c>
      <c r="DG970" t="str">
        <f>""</f>
        <v/>
      </c>
      <c r="DH970" t="str">
        <f>""</f>
        <v/>
      </c>
      <c r="DI970" t="str">
        <f>""</f>
        <v/>
      </c>
      <c r="DJ970" t="str">
        <f>""</f>
        <v/>
      </c>
      <c r="DK970" t="str">
        <f>""</f>
        <v/>
      </c>
      <c r="DL970" t="str">
        <f>""</f>
        <v/>
      </c>
      <c r="DM970" t="str">
        <f>""</f>
        <v/>
      </c>
      <c r="DN970" t="str">
        <f>""</f>
        <v/>
      </c>
      <c r="DO970" t="str">
        <f>""</f>
        <v/>
      </c>
      <c r="DP970" t="str">
        <f>""</f>
        <v/>
      </c>
      <c r="DQ970" t="str">
        <f>""</f>
        <v/>
      </c>
      <c r="DR970" t="str">
        <f>""</f>
        <v/>
      </c>
      <c r="DS970" t="str">
        <f>""</f>
        <v/>
      </c>
      <c r="DT970" t="str">
        <f>""</f>
        <v/>
      </c>
      <c r="DU970" t="str">
        <f>""</f>
        <v/>
      </c>
    </row>
    <row r="971" spans="1:125" x14ac:dyDescent="0.25">
      <c r="A971" t="str">
        <f>$A$305</f>
        <v xml:space="preserve">    Ford Motor Co</v>
      </c>
      <c r="B971" t="str">
        <f>$B$305</f>
        <v>F US Equity</v>
      </c>
      <c r="C971" t="str">
        <f>$C$305</f>
        <v>RR474</v>
      </c>
      <c r="D971" t="str">
        <f>$D$305</f>
        <v>EV_TO_T12M_EBITDA</v>
      </c>
      <c r="E971" t="str">
        <f>$E$305</f>
        <v>Dynamic</v>
      </c>
      <c r="F971" t="str">
        <f ca="1">_xll.BDH($B$305,$C$305,$B$675,$B$676,CONCATENATE("Per=",$B$673),"Dts=H","Dir=H",CONCATENATE("Points=",$B$674),"Sort=R","Days=A","Fill=B",CONCATENATE("FX=", $B$672) )</f>
        <v>#N/A Connection</v>
      </c>
      <c r="BN971" t="str">
        <f>""</f>
        <v/>
      </c>
      <c r="BO971" t="str">
        <f>""</f>
        <v/>
      </c>
      <c r="BP971" t="str">
        <f>""</f>
        <v/>
      </c>
      <c r="BQ971" t="str">
        <f>""</f>
        <v/>
      </c>
      <c r="BR971" t="str">
        <f>""</f>
        <v/>
      </c>
      <c r="BS971" t="str">
        <f>""</f>
        <v/>
      </c>
      <c r="BT971" t="str">
        <f>""</f>
        <v/>
      </c>
      <c r="BU971" t="str">
        <f>""</f>
        <v/>
      </c>
      <c r="BV971" t="str">
        <f>""</f>
        <v/>
      </c>
      <c r="BW971" t="str">
        <f>""</f>
        <v/>
      </c>
      <c r="BX971" t="str">
        <f>""</f>
        <v/>
      </c>
      <c r="BY971" t="str">
        <f>""</f>
        <v/>
      </c>
      <c r="BZ971" t="str">
        <f>""</f>
        <v/>
      </c>
      <c r="CA971" t="str">
        <f>""</f>
        <v/>
      </c>
      <c r="CB971" t="str">
        <f>""</f>
        <v/>
      </c>
      <c r="CC971" t="str">
        <f>""</f>
        <v/>
      </c>
      <c r="CD971" t="str">
        <f>""</f>
        <v/>
      </c>
      <c r="CE971" t="str">
        <f>""</f>
        <v/>
      </c>
      <c r="CF971" t="str">
        <f>""</f>
        <v/>
      </c>
      <c r="CG971" t="str">
        <f>""</f>
        <v/>
      </c>
      <c r="CH971" t="str">
        <f>""</f>
        <v/>
      </c>
      <c r="CI971" t="str">
        <f>""</f>
        <v/>
      </c>
      <c r="CJ971" t="str">
        <f>""</f>
        <v/>
      </c>
      <c r="CK971" t="str">
        <f>""</f>
        <v/>
      </c>
      <c r="CL971" t="str">
        <f>""</f>
        <v/>
      </c>
      <c r="CM971" t="str">
        <f>""</f>
        <v/>
      </c>
      <c r="CN971" t="str">
        <f>""</f>
        <v/>
      </c>
      <c r="CO971" t="str">
        <f>""</f>
        <v/>
      </c>
      <c r="CP971" t="str">
        <f>""</f>
        <v/>
      </c>
      <c r="CQ971" t="str">
        <f>""</f>
        <v/>
      </c>
      <c r="CR971" t="str">
        <f>""</f>
        <v/>
      </c>
      <c r="CS971" t="str">
        <f>""</f>
        <v/>
      </c>
      <c r="CT971" t="str">
        <f>""</f>
        <v/>
      </c>
      <c r="CU971" t="str">
        <f>""</f>
        <v/>
      </c>
      <c r="CV971" t="str">
        <f>""</f>
        <v/>
      </c>
      <c r="CW971" t="str">
        <f>""</f>
        <v/>
      </c>
      <c r="CX971" t="str">
        <f>""</f>
        <v/>
      </c>
      <c r="CY971" t="str">
        <f>""</f>
        <v/>
      </c>
      <c r="CZ971" t="str">
        <f>""</f>
        <v/>
      </c>
      <c r="DA971" t="str">
        <f>""</f>
        <v/>
      </c>
      <c r="DB971" t="str">
        <f>""</f>
        <v/>
      </c>
      <c r="DC971" t="str">
        <f>""</f>
        <v/>
      </c>
      <c r="DD971" t="str">
        <f>""</f>
        <v/>
      </c>
      <c r="DE971" t="str">
        <f>""</f>
        <v/>
      </c>
      <c r="DF971" t="str">
        <f>""</f>
        <v/>
      </c>
      <c r="DG971" t="str">
        <f>""</f>
        <v/>
      </c>
      <c r="DH971" t="str">
        <f>""</f>
        <v/>
      </c>
      <c r="DI971" t="str">
        <f>""</f>
        <v/>
      </c>
      <c r="DJ971" t="str">
        <f>""</f>
        <v/>
      </c>
      <c r="DK971" t="str">
        <f>""</f>
        <v/>
      </c>
      <c r="DL971" t="str">
        <f>""</f>
        <v/>
      </c>
      <c r="DM971" t="str">
        <f>""</f>
        <v/>
      </c>
      <c r="DN971" t="str">
        <f>""</f>
        <v/>
      </c>
      <c r="DO971" t="str">
        <f>""</f>
        <v/>
      </c>
      <c r="DP971" t="str">
        <f>""</f>
        <v/>
      </c>
      <c r="DQ971" t="str">
        <f>""</f>
        <v/>
      </c>
      <c r="DR971" t="str">
        <f>""</f>
        <v/>
      </c>
      <c r="DS971" t="str">
        <f>""</f>
        <v/>
      </c>
      <c r="DT971" t="str">
        <f>""</f>
        <v/>
      </c>
      <c r="DU971" t="str">
        <f>""</f>
        <v/>
      </c>
    </row>
    <row r="972" spans="1:125" x14ac:dyDescent="0.25">
      <c r="A972" t="str">
        <f>$A$306</f>
        <v xml:space="preserve">    Ford Otomotiv Sanayi AS</v>
      </c>
      <c r="B972" t="str">
        <f>$B$306</f>
        <v>FROTOTRY EO Equity</v>
      </c>
      <c r="C972" t="str">
        <f>$C$306</f>
        <v>RR474</v>
      </c>
      <c r="D972" t="str">
        <f>$D$306</f>
        <v>EV_TO_T12M_EBITDA</v>
      </c>
      <c r="E972" t="str">
        <f>$E$306</f>
        <v>Dynamic</v>
      </c>
      <c r="F972" t="str">
        <f ca="1">_xll.BDH($B$306,$C$306,$B$675,$B$676,CONCATENATE("Per=",$B$673),"Dts=H","Dir=H",CONCATENATE("Points=",$B$674),"Sort=R","Days=A","Fill=B",CONCATENATE("FX=", $B$672) )</f>
        <v>#N/A Connection</v>
      </c>
      <c r="BN972" t="str">
        <f>""</f>
        <v/>
      </c>
      <c r="BO972" t="str">
        <f>""</f>
        <v/>
      </c>
      <c r="BP972" t="str">
        <f>""</f>
        <v/>
      </c>
      <c r="BQ972" t="str">
        <f>""</f>
        <v/>
      </c>
      <c r="BR972" t="str">
        <f>""</f>
        <v/>
      </c>
      <c r="BS972" t="str">
        <f>""</f>
        <v/>
      </c>
      <c r="BT972" t="str">
        <f>""</f>
        <v/>
      </c>
      <c r="BU972" t="str">
        <f>""</f>
        <v/>
      </c>
      <c r="BV972" t="str">
        <f>""</f>
        <v/>
      </c>
      <c r="BW972" t="str">
        <f>""</f>
        <v/>
      </c>
      <c r="BX972" t="str">
        <f>""</f>
        <v/>
      </c>
      <c r="BY972" t="str">
        <f>""</f>
        <v/>
      </c>
      <c r="BZ972" t="str">
        <f>""</f>
        <v/>
      </c>
      <c r="CA972" t="str">
        <f>""</f>
        <v/>
      </c>
      <c r="CB972" t="str">
        <f>""</f>
        <v/>
      </c>
      <c r="CC972" t="str">
        <f>""</f>
        <v/>
      </c>
      <c r="CD972" t="str">
        <f>""</f>
        <v/>
      </c>
      <c r="CE972" t="str">
        <f>""</f>
        <v/>
      </c>
      <c r="CF972" t="str">
        <f>""</f>
        <v/>
      </c>
      <c r="CG972" t="str">
        <f>""</f>
        <v/>
      </c>
      <c r="CH972" t="str">
        <f>""</f>
        <v/>
      </c>
      <c r="CI972" t="str">
        <f>""</f>
        <v/>
      </c>
      <c r="CJ972" t="str">
        <f>""</f>
        <v/>
      </c>
      <c r="CK972" t="str">
        <f>""</f>
        <v/>
      </c>
      <c r="CL972" t="str">
        <f>""</f>
        <v/>
      </c>
      <c r="CM972" t="str">
        <f>""</f>
        <v/>
      </c>
      <c r="CN972" t="str">
        <f>""</f>
        <v/>
      </c>
      <c r="CO972" t="str">
        <f>""</f>
        <v/>
      </c>
      <c r="CP972" t="str">
        <f>""</f>
        <v/>
      </c>
      <c r="CQ972" t="str">
        <f>""</f>
        <v/>
      </c>
      <c r="CR972" t="str">
        <f>""</f>
        <v/>
      </c>
      <c r="CS972" t="str">
        <f>""</f>
        <v/>
      </c>
      <c r="CT972" t="str">
        <f>""</f>
        <v/>
      </c>
      <c r="CU972" t="str">
        <f>""</f>
        <v/>
      </c>
      <c r="CV972" t="str">
        <f>""</f>
        <v/>
      </c>
      <c r="CW972" t="str">
        <f>""</f>
        <v/>
      </c>
      <c r="CX972" t="str">
        <f>""</f>
        <v/>
      </c>
      <c r="CY972" t="str">
        <f>""</f>
        <v/>
      </c>
      <c r="CZ972" t="str">
        <f>""</f>
        <v/>
      </c>
      <c r="DA972" t="str">
        <f>""</f>
        <v/>
      </c>
      <c r="DB972" t="str">
        <f>""</f>
        <v/>
      </c>
      <c r="DC972" t="str">
        <f>""</f>
        <v/>
      </c>
      <c r="DD972" t="str">
        <f>""</f>
        <v/>
      </c>
      <c r="DE972" t="str">
        <f>""</f>
        <v/>
      </c>
      <c r="DF972" t="str">
        <f>""</f>
        <v/>
      </c>
      <c r="DG972" t="str">
        <f>""</f>
        <v/>
      </c>
      <c r="DH972" t="str">
        <f>""</f>
        <v/>
      </c>
      <c r="DI972" t="str">
        <f>""</f>
        <v/>
      </c>
      <c r="DJ972" t="str">
        <f>""</f>
        <v/>
      </c>
      <c r="DK972" t="str">
        <f>""</f>
        <v/>
      </c>
      <c r="DL972" t="str">
        <f>""</f>
        <v/>
      </c>
      <c r="DM972" t="str">
        <f>""</f>
        <v/>
      </c>
      <c r="DN972" t="str">
        <f>""</f>
        <v/>
      </c>
      <c r="DO972" t="str">
        <f>""</f>
        <v/>
      </c>
      <c r="DP972" t="str">
        <f>""</f>
        <v/>
      </c>
      <c r="DQ972" t="str">
        <f>""</f>
        <v/>
      </c>
      <c r="DR972" t="str">
        <f>""</f>
        <v/>
      </c>
      <c r="DS972" t="str">
        <f>""</f>
        <v/>
      </c>
      <c r="DT972" t="str">
        <f>""</f>
        <v/>
      </c>
      <c r="DU972" t="str">
        <f>""</f>
        <v/>
      </c>
    </row>
    <row r="973" spans="1:125" x14ac:dyDescent="0.25">
      <c r="A973" t="str">
        <f>$A$307</f>
        <v xml:space="preserve">    GAZ PJSC</v>
      </c>
      <c r="B973" t="str">
        <f>$B$307</f>
        <v>GAZA RM Equity</v>
      </c>
      <c r="C973" t="str">
        <f>$C$307</f>
        <v>RR474</v>
      </c>
      <c r="D973" t="str">
        <f>$D$307</f>
        <v>EV_TO_T12M_EBITDA</v>
      </c>
      <c r="E973" t="str">
        <f>$E$307</f>
        <v>Dynamic</v>
      </c>
      <c r="F973" t="str">
        <f ca="1">_xll.BDH($B$307,$C$307,$B$675,$B$676,CONCATENATE("Per=",$B$673),"Dts=H","Dir=H",CONCATENATE("Points=",$B$674),"Sort=R","Days=A","Fill=B",CONCATENATE("FX=", $B$672) )</f>
        <v>#N/A Connection</v>
      </c>
      <c r="BN973" t="str">
        <f>""</f>
        <v/>
      </c>
      <c r="BO973" t="str">
        <f>""</f>
        <v/>
      </c>
      <c r="BP973" t="str">
        <f>""</f>
        <v/>
      </c>
      <c r="BQ973" t="str">
        <f>""</f>
        <v/>
      </c>
      <c r="BR973" t="str">
        <f>""</f>
        <v/>
      </c>
      <c r="BS973" t="str">
        <f>""</f>
        <v/>
      </c>
      <c r="BT973" t="str">
        <f>""</f>
        <v/>
      </c>
      <c r="BU973" t="str">
        <f>""</f>
        <v/>
      </c>
      <c r="BV973" t="str">
        <f>""</f>
        <v/>
      </c>
      <c r="BW973" t="str">
        <f>""</f>
        <v/>
      </c>
      <c r="BX973" t="str">
        <f>""</f>
        <v/>
      </c>
      <c r="BY973" t="str">
        <f>""</f>
        <v/>
      </c>
      <c r="BZ973" t="str">
        <f>""</f>
        <v/>
      </c>
      <c r="CA973" t="str">
        <f>""</f>
        <v/>
      </c>
      <c r="CB973" t="str">
        <f>""</f>
        <v/>
      </c>
      <c r="CC973" t="str">
        <f>""</f>
        <v/>
      </c>
      <c r="CD973" t="str">
        <f>""</f>
        <v/>
      </c>
      <c r="CE973" t="str">
        <f>""</f>
        <v/>
      </c>
      <c r="CF973" t="str">
        <f>""</f>
        <v/>
      </c>
      <c r="CG973" t="str">
        <f>""</f>
        <v/>
      </c>
      <c r="CH973" t="str">
        <f>""</f>
        <v/>
      </c>
      <c r="CI973" t="str">
        <f>""</f>
        <v/>
      </c>
      <c r="CJ973" t="str">
        <f>""</f>
        <v/>
      </c>
      <c r="CK973" t="str">
        <f>""</f>
        <v/>
      </c>
      <c r="CL973" t="str">
        <f>""</f>
        <v/>
      </c>
      <c r="CM973" t="str">
        <f>""</f>
        <v/>
      </c>
      <c r="CN973" t="str">
        <f>""</f>
        <v/>
      </c>
      <c r="CO973" t="str">
        <f>""</f>
        <v/>
      </c>
      <c r="CP973" t="str">
        <f>""</f>
        <v/>
      </c>
      <c r="CQ973" t="str">
        <f>""</f>
        <v/>
      </c>
      <c r="CR973" t="str">
        <f>""</f>
        <v/>
      </c>
      <c r="CS973" t="str">
        <f>""</f>
        <v/>
      </c>
      <c r="CT973" t="str">
        <f>""</f>
        <v/>
      </c>
      <c r="CU973" t="str">
        <f>""</f>
        <v/>
      </c>
      <c r="CV973" t="str">
        <f>""</f>
        <v/>
      </c>
      <c r="CW973" t="str">
        <f>""</f>
        <v/>
      </c>
      <c r="CX973" t="str">
        <f>""</f>
        <v/>
      </c>
      <c r="CY973" t="str">
        <f>""</f>
        <v/>
      </c>
      <c r="CZ973" t="str">
        <f>""</f>
        <v/>
      </c>
      <c r="DA973" t="str">
        <f>""</f>
        <v/>
      </c>
      <c r="DB973" t="str">
        <f>""</f>
        <v/>
      </c>
      <c r="DC973" t="str">
        <f>""</f>
        <v/>
      </c>
      <c r="DD973" t="str">
        <f>""</f>
        <v/>
      </c>
      <c r="DE973" t="str">
        <f>""</f>
        <v/>
      </c>
      <c r="DF973" t="str">
        <f>""</f>
        <v/>
      </c>
      <c r="DG973" t="str">
        <f>""</f>
        <v/>
      </c>
      <c r="DH973" t="str">
        <f>""</f>
        <v/>
      </c>
      <c r="DI973" t="str">
        <f>""</f>
        <v/>
      </c>
      <c r="DJ973" t="str">
        <f>""</f>
        <v/>
      </c>
      <c r="DK973" t="str">
        <f>""</f>
        <v/>
      </c>
      <c r="DL973" t="str">
        <f>""</f>
        <v/>
      </c>
      <c r="DM973" t="str">
        <f>""</f>
        <v/>
      </c>
      <c r="DN973" t="str">
        <f>""</f>
        <v/>
      </c>
      <c r="DO973" t="str">
        <f>""</f>
        <v/>
      </c>
      <c r="DP973" t="str">
        <f>""</f>
        <v/>
      </c>
      <c r="DQ973" t="str">
        <f>""</f>
        <v/>
      </c>
      <c r="DR973" t="str">
        <f>""</f>
        <v/>
      </c>
      <c r="DS973" t="str">
        <f>""</f>
        <v/>
      </c>
      <c r="DT973" t="str">
        <f>""</f>
        <v/>
      </c>
      <c r="DU973" t="str">
        <f>""</f>
        <v/>
      </c>
    </row>
    <row r="974" spans="1:125" x14ac:dyDescent="0.25">
      <c r="A974" t="str">
        <f>$A$308</f>
        <v xml:space="preserve">    Geely Automobile Holdings Ltd</v>
      </c>
      <c r="B974" t="str">
        <f>$B$308</f>
        <v>175 HK Equity</v>
      </c>
      <c r="C974" t="str">
        <f>$C$308</f>
        <v>RR474</v>
      </c>
      <c r="D974" t="str">
        <f>$D$308</f>
        <v>EV_TO_T12M_EBITDA</v>
      </c>
      <c r="E974" t="str">
        <f>$E$308</f>
        <v>Dynamic</v>
      </c>
      <c r="F974" t="str">
        <f ca="1">_xll.BDH($B$308,$C$308,$B$675,$B$676,CONCATENATE("Per=",$B$673),"Dts=H","Dir=H",CONCATENATE("Points=",$B$674),"Sort=R","Days=A","Fill=B",CONCATENATE("FX=", $B$672) )</f>
        <v>#N/A Connection</v>
      </c>
      <c r="BN974" t="str">
        <f>""</f>
        <v/>
      </c>
      <c r="BO974" t="str">
        <f>""</f>
        <v/>
      </c>
      <c r="BP974" t="str">
        <f>""</f>
        <v/>
      </c>
      <c r="BQ974" t="str">
        <f>""</f>
        <v/>
      </c>
      <c r="BR974" t="str">
        <f>""</f>
        <v/>
      </c>
      <c r="BS974" t="str">
        <f>""</f>
        <v/>
      </c>
      <c r="BT974" t="str">
        <f>""</f>
        <v/>
      </c>
      <c r="BU974" t="str">
        <f>""</f>
        <v/>
      </c>
      <c r="BV974" t="str">
        <f>""</f>
        <v/>
      </c>
      <c r="BW974" t="str">
        <f>""</f>
        <v/>
      </c>
      <c r="BX974" t="str">
        <f>""</f>
        <v/>
      </c>
      <c r="BY974" t="str">
        <f>""</f>
        <v/>
      </c>
      <c r="BZ974" t="str">
        <f>""</f>
        <v/>
      </c>
      <c r="CA974" t="str">
        <f>""</f>
        <v/>
      </c>
      <c r="CB974" t="str">
        <f>""</f>
        <v/>
      </c>
      <c r="CC974" t="str">
        <f>""</f>
        <v/>
      </c>
      <c r="CD974" t="str">
        <f>""</f>
        <v/>
      </c>
      <c r="CE974" t="str">
        <f>""</f>
        <v/>
      </c>
      <c r="CF974" t="str">
        <f>""</f>
        <v/>
      </c>
      <c r="CG974" t="str">
        <f>""</f>
        <v/>
      </c>
      <c r="CH974" t="str">
        <f>""</f>
        <v/>
      </c>
      <c r="CI974" t="str">
        <f>""</f>
        <v/>
      </c>
      <c r="CJ974" t="str">
        <f>""</f>
        <v/>
      </c>
      <c r="CK974" t="str">
        <f>""</f>
        <v/>
      </c>
      <c r="CL974" t="str">
        <f>""</f>
        <v/>
      </c>
      <c r="CM974" t="str">
        <f>""</f>
        <v/>
      </c>
      <c r="CN974" t="str">
        <f>""</f>
        <v/>
      </c>
      <c r="CO974" t="str">
        <f>""</f>
        <v/>
      </c>
      <c r="CP974" t="str">
        <f>""</f>
        <v/>
      </c>
      <c r="CQ974" t="str">
        <f>""</f>
        <v/>
      </c>
      <c r="CR974" t="str">
        <f>""</f>
        <v/>
      </c>
      <c r="CS974" t="str">
        <f>""</f>
        <v/>
      </c>
      <c r="CT974" t="str">
        <f>""</f>
        <v/>
      </c>
      <c r="CU974" t="str">
        <f>""</f>
        <v/>
      </c>
      <c r="CV974" t="str">
        <f>""</f>
        <v/>
      </c>
      <c r="CW974" t="str">
        <f>""</f>
        <v/>
      </c>
      <c r="CX974" t="str">
        <f>""</f>
        <v/>
      </c>
      <c r="CY974" t="str">
        <f>""</f>
        <v/>
      </c>
      <c r="CZ974" t="str">
        <f>""</f>
        <v/>
      </c>
      <c r="DA974" t="str">
        <f>""</f>
        <v/>
      </c>
      <c r="DB974" t="str">
        <f>""</f>
        <v/>
      </c>
      <c r="DC974" t="str">
        <f>""</f>
        <v/>
      </c>
      <c r="DD974" t="str">
        <f>""</f>
        <v/>
      </c>
      <c r="DE974" t="str">
        <f>""</f>
        <v/>
      </c>
      <c r="DF974" t="str">
        <f>""</f>
        <v/>
      </c>
      <c r="DG974" t="str">
        <f>""</f>
        <v/>
      </c>
      <c r="DH974" t="str">
        <f>""</f>
        <v/>
      </c>
      <c r="DI974" t="str">
        <f>""</f>
        <v/>
      </c>
      <c r="DJ974" t="str">
        <f>""</f>
        <v/>
      </c>
      <c r="DK974" t="str">
        <f>""</f>
        <v/>
      </c>
      <c r="DL974" t="str">
        <f>""</f>
        <v/>
      </c>
      <c r="DM974" t="str">
        <f>""</f>
        <v/>
      </c>
      <c r="DN974" t="str">
        <f>""</f>
        <v/>
      </c>
      <c r="DO974" t="str">
        <f>""</f>
        <v/>
      </c>
      <c r="DP974" t="str">
        <f>""</f>
        <v/>
      </c>
      <c r="DQ974" t="str">
        <f>""</f>
        <v/>
      </c>
      <c r="DR974" t="str">
        <f>""</f>
        <v/>
      </c>
      <c r="DS974" t="str">
        <f>""</f>
        <v/>
      </c>
      <c r="DT974" t="str">
        <f>""</f>
        <v/>
      </c>
      <c r="DU974" t="str">
        <f>""</f>
        <v/>
      </c>
    </row>
    <row r="975" spans="1:125" x14ac:dyDescent="0.25">
      <c r="A975" t="str">
        <f>$A$309</f>
        <v xml:space="preserve">    General Motors Co</v>
      </c>
      <c r="B975" t="str">
        <f>$B$309</f>
        <v>GM US Equity</v>
      </c>
      <c r="C975" t="str">
        <f>$C$309</f>
        <v>RR474</v>
      </c>
      <c r="D975" t="str">
        <f>$D$309</f>
        <v>EV_TO_T12M_EBITDA</v>
      </c>
      <c r="E975" t="str">
        <f>$E$309</f>
        <v>Dynamic</v>
      </c>
      <c r="F975" t="str">
        <f ca="1">_xll.BDH($B$309,$C$309,$B$675,$B$676,CONCATENATE("Per=",$B$673),"Dts=H","Dir=H",CONCATENATE("Points=",$B$674),"Sort=R","Days=A","Fill=B",CONCATENATE("FX=", $B$672) )</f>
        <v>#N/A Connection</v>
      </c>
      <c r="BN975" t="str">
        <f>""</f>
        <v/>
      </c>
      <c r="BO975" t="str">
        <f>""</f>
        <v/>
      </c>
      <c r="BP975" t="str">
        <f>""</f>
        <v/>
      </c>
      <c r="BQ975" t="str">
        <f>""</f>
        <v/>
      </c>
      <c r="BR975" t="str">
        <f>""</f>
        <v/>
      </c>
      <c r="BS975" t="str">
        <f>""</f>
        <v/>
      </c>
      <c r="BT975" t="str">
        <f>""</f>
        <v/>
      </c>
      <c r="BU975" t="str">
        <f>""</f>
        <v/>
      </c>
      <c r="BV975" t="str">
        <f>""</f>
        <v/>
      </c>
      <c r="BW975" t="str">
        <f>""</f>
        <v/>
      </c>
      <c r="BX975" t="str">
        <f>""</f>
        <v/>
      </c>
      <c r="BY975" t="str">
        <f>""</f>
        <v/>
      </c>
      <c r="BZ975" t="str">
        <f>""</f>
        <v/>
      </c>
      <c r="CA975" t="str">
        <f>""</f>
        <v/>
      </c>
      <c r="CB975" t="str">
        <f>""</f>
        <v/>
      </c>
      <c r="CC975" t="str">
        <f>""</f>
        <v/>
      </c>
      <c r="CD975" t="str">
        <f>""</f>
        <v/>
      </c>
      <c r="CE975" t="str">
        <f>""</f>
        <v/>
      </c>
      <c r="CF975" t="str">
        <f>""</f>
        <v/>
      </c>
      <c r="CG975" t="str">
        <f>""</f>
        <v/>
      </c>
      <c r="CH975" t="str">
        <f>""</f>
        <v/>
      </c>
      <c r="CI975" t="str">
        <f>""</f>
        <v/>
      </c>
      <c r="CJ975" t="str">
        <f>""</f>
        <v/>
      </c>
      <c r="CK975" t="str">
        <f>""</f>
        <v/>
      </c>
      <c r="CL975" t="str">
        <f>""</f>
        <v/>
      </c>
      <c r="CM975" t="str">
        <f>""</f>
        <v/>
      </c>
      <c r="CN975" t="str">
        <f>""</f>
        <v/>
      </c>
      <c r="CO975" t="str">
        <f>""</f>
        <v/>
      </c>
      <c r="CP975" t="str">
        <f>""</f>
        <v/>
      </c>
      <c r="CQ975" t="str">
        <f>""</f>
        <v/>
      </c>
      <c r="CR975" t="str">
        <f>""</f>
        <v/>
      </c>
      <c r="CS975" t="str">
        <f>""</f>
        <v/>
      </c>
      <c r="CT975" t="str">
        <f>""</f>
        <v/>
      </c>
      <c r="CU975" t="str">
        <f>""</f>
        <v/>
      </c>
      <c r="CV975" t="str">
        <f>""</f>
        <v/>
      </c>
      <c r="CW975" t="str">
        <f>""</f>
        <v/>
      </c>
      <c r="CX975" t="str">
        <f>""</f>
        <v/>
      </c>
      <c r="CY975" t="str">
        <f>""</f>
        <v/>
      </c>
      <c r="CZ975" t="str">
        <f>""</f>
        <v/>
      </c>
      <c r="DA975" t="str">
        <f>""</f>
        <v/>
      </c>
      <c r="DB975" t="str">
        <f>""</f>
        <v/>
      </c>
      <c r="DC975" t="str">
        <f>""</f>
        <v/>
      </c>
      <c r="DD975" t="str">
        <f>""</f>
        <v/>
      </c>
      <c r="DE975" t="str">
        <f>""</f>
        <v/>
      </c>
      <c r="DF975" t="str">
        <f>""</f>
        <v/>
      </c>
      <c r="DG975" t="str">
        <f>""</f>
        <v/>
      </c>
      <c r="DH975" t="str">
        <f>""</f>
        <v/>
      </c>
      <c r="DI975" t="str">
        <f>""</f>
        <v/>
      </c>
      <c r="DJ975" t="str">
        <f>""</f>
        <v/>
      </c>
      <c r="DK975" t="str">
        <f>""</f>
        <v/>
      </c>
      <c r="DL975" t="str">
        <f>""</f>
        <v/>
      </c>
      <c r="DM975" t="str">
        <f>""</f>
        <v/>
      </c>
      <c r="DN975" t="str">
        <f>""</f>
        <v/>
      </c>
      <c r="DO975" t="str">
        <f>""</f>
        <v/>
      </c>
      <c r="DP975" t="str">
        <f>""</f>
        <v/>
      </c>
      <c r="DQ975" t="str">
        <f>""</f>
        <v/>
      </c>
      <c r="DR975" t="str">
        <f>""</f>
        <v/>
      </c>
      <c r="DS975" t="str">
        <f>""</f>
        <v/>
      </c>
      <c r="DT975" t="str">
        <f>""</f>
        <v/>
      </c>
      <c r="DU975" t="str">
        <f>""</f>
        <v/>
      </c>
    </row>
    <row r="976" spans="1:125" x14ac:dyDescent="0.25">
      <c r="A976" t="str">
        <f>$A$310</f>
        <v xml:space="preserve">    Great Wall Motor Co Ltd</v>
      </c>
      <c r="B976" t="str">
        <f>$B$310</f>
        <v>2333 HK Equity</v>
      </c>
      <c r="C976" t="str">
        <f>$C$310</f>
        <v>RR474</v>
      </c>
      <c r="D976" t="str">
        <f>$D$310</f>
        <v>EV_TO_T12M_EBITDA</v>
      </c>
      <c r="E976" t="str">
        <f>$E$310</f>
        <v>Dynamic</v>
      </c>
      <c r="F976" t="str">
        <f ca="1">_xll.BDH($B$310,$C$310,$B$675,$B$676,CONCATENATE("Per=",$B$673),"Dts=H","Dir=H",CONCATENATE("Points=",$B$674),"Sort=R","Days=A","Fill=B",CONCATENATE("FX=", $B$672) )</f>
        <v>#N/A Connection</v>
      </c>
      <c r="BN976" t="str">
        <f>""</f>
        <v/>
      </c>
      <c r="BO976" t="str">
        <f>""</f>
        <v/>
      </c>
      <c r="BP976" t="str">
        <f>""</f>
        <v/>
      </c>
      <c r="BQ976" t="str">
        <f>""</f>
        <v/>
      </c>
      <c r="BR976" t="str">
        <f>""</f>
        <v/>
      </c>
      <c r="BS976" t="str">
        <f>""</f>
        <v/>
      </c>
      <c r="BT976" t="str">
        <f>""</f>
        <v/>
      </c>
      <c r="BU976" t="str">
        <f>""</f>
        <v/>
      </c>
      <c r="BV976" t="str">
        <f>""</f>
        <v/>
      </c>
      <c r="BW976" t="str">
        <f>""</f>
        <v/>
      </c>
      <c r="BX976" t="str">
        <f>""</f>
        <v/>
      </c>
      <c r="BY976" t="str">
        <f>""</f>
        <v/>
      </c>
      <c r="BZ976" t="str">
        <f>""</f>
        <v/>
      </c>
      <c r="CA976" t="str">
        <f>""</f>
        <v/>
      </c>
      <c r="CB976" t="str">
        <f>""</f>
        <v/>
      </c>
      <c r="CC976" t="str">
        <f>""</f>
        <v/>
      </c>
      <c r="CD976" t="str">
        <f>""</f>
        <v/>
      </c>
      <c r="CE976" t="str">
        <f>""</f>
        <v/>
      </c>
      <c r="CF976" t="str">
        <f>""</f>
        <v/>
      </c>
      <c r="CG976" t="str">
        <f>""</f>
        <v/>
      </c>
      <c r="CH976" t="str">
        <f>""</f>
        <v/>
      </c>
      <c r="CI976" t="str">
        <f>""</f>
        <v/>
      </c>
      <c r="CJ976" t="str">
        <f>""</f>
        <v/>
      </c>
      <c r="CK976" t="str">
        <f>""</f>
        <v/>
      </c>
      <c r="CL976" t="str">
        <f>""</f>
        <v/>
      </c>
      <c r="CM976" t="str">
        <f>""</f>
        <v/>
      </c>
      <c r="CN976" t="str">
        <f>""</f>
        <v/>
      </c>
      <c r="CO976" t="str">
        <f>""</f>
        <v/>
      </c>
      <c r="CP976" t="str">
        <f>""</f>
        <v/>
      </c>
      <c r="CQ976" t="str">
        <f>""</f>
        <v/>
      </c>
      <c r="CR976" t="str">
        <f>""</f>
        <v/>
      </c>
      <c r="CS976" t="str">
        <f>""</f>
        <v/>
      </c>
      <c r="CT976" t="str">
        <f>""</f>
        <v/>
      </c>
      <c r="CU976" t="str">
        <f>""</f>
        <v/>
      </c>
      <c r="CV976" t="str">
        <f>""</f>
        <v/>
      </c>
      <c r="CW976" t="str">
        <f>""</f>
        <v/>
      </c>
      <c r="CX976" t="str">
        <f>""</f>
        <v/>
      </c>
      <c r="CY976" t="str">
        <f>""</f>
        <v/>
      </c>
      <c r="CZ976" t="str">
        <f>""</f>
        <v/>
      </c>
      <c r="DA976" t="str">
        <f>""</f>
        <v/>
      </c>
      <c r="DB976" t="str">
        <f>""</f>
        <v/>
      </c>
      <c r="DC976" t="str">
        <f>""</f>
        <v/>
      </c>
      <c r="DD976" t="str">
        <f>""</f>
        <v/>
      </c>
      <c r="DE976" t="str">
        <f>""</f>
        <v/>
      </c>
      <c r="DF976" t="str">
        <f>""</f>
        <v/>
      </c>
      <c r="DG976" t="str">
        <f>""</f>
        <v/>
      </c>
      <c r="DH976" t="str">
        <f>""</f>
        <v/>
      </c>
      <c r="DI976" t="str">
        <f>""</f>
        <v/>
      </c>
      <c r="DJ976" t="str">
        <f>""</f>
        <v/>
      </c>
      <c r="DK976" t="str">
        <f>""</f>
        <v/>
      </c>
      <c r="DL976" t="str">
        <f>""</f>
        <v/>
      </c>
      <c r="DM976" t="str">
        <f>""</f>
        <v/>
      </c>
      <c r="DN976" t="str">
        <f>""</f>
        <v/>
      </c>
      <c r="DO976" t="str">
        <f>""</f>
        <v/>
      </c>
      <c r="DP976" t="str">
        <f>""</f>
        <v/>
      </c>
      <c r="DQ976" t="str">
        <f>""</f>
        <v/>
      </c>
      <c r="DR976" t="str">
        <f>""</f>
        <v/>
      </c>
      <c r="DS976" t="str">
        <f>""</f>
        <v/>
      </c>
      <c r="DT976" t="str">
        <f>""</f>
        <v/>
      </c>
      <c r="DU976" t="str">
        <f>""</f>
        <v/>
      </c>
    </row>
    <row r="977" spans="1:125" x14ac:dyDescent="0.25">
      <c r="A977" t="str">
        <f>$A$311</f>
        <v xml:space="preserve">    Guangzhou Automobile Group Co Ltd</v>
      </c>
      <c r="B977" t="str">
        <f>$B$311</f>
        <v>2238 HK Equity</v>
      </c>
      <c r="C977" t="str">
        <f>$C$311</f>
        <v>RR474</v>
      </c>
      <c r="D977" t="str">
        <f>$D$311</f>
        <v>EV_TO_T12M_EBITDA</v>
      </c>
      <c r="E977" t="str">
        <f>$E$311</f>
        <v>Dynamic</v>
      </c>
      <c r="F977" t="str">
        <f ca="1">_xll.BDH($B$311,$C$311,$B$675,$B$676,CONCATENATE("Per=",$B$673),"Dts=H","Dir=H",CONCATENATE("Points=",$B$674),"Sort=R","Days=A","Fill=B",CONCATENATE("FX=", $B$672) )</f>
        <v>#N/A Connection</v>
      </c>
      <c r="BN977" t="str">
        <f>""</f>
        <v/>
      </c>
      <c r="BO977" t="str">
        <f>""</f>
        <v/>
      </c>
      <c r="BP977" t="str">
        <f>""</f>
        <v/>
      </c>
      <c r="BQ977" t="str">
        <f>""</f>
        <v/>
      </c>
      <c r="BR977" t="str">
        <f>""</f>
        <v/>
      </c>
      <c r="BS977" t="str">
        <f>""</f>
        <v/>
      </c>
      <c r="BT977" t="str">
        <f>""</f>
        <v/>
      </c>
      <c r="BU977" t="str">
        <f>""</f>
        <v/>
      </c>
      <c r="BV977" t="str">
        <f>""</f>
        <v/>
      </c>
      <c r="BW977" t="str">
        <f>""</f>
        <v/>
      </c>
      <c r="BX977" t="str">
        <f>""</f>
        <v/>
      </c>
      <c r="BY977" t="str">
        <f>""</f>
        <v/>
      </c>
      <c r="BZ977" t="str">
        <f>""</f>
        <v/>
      </c>
      <c r="CA977" t="str">
        <f>""</f>
        <v/>
      </c>
      <c r="CB977" t="str">
        <f>""</f>
        <v/>
      </c>
      <c r="CC977" t="str">
        <f>""</f>
        <v/>
      </c>
      <c r="CD977" t="str">
        <f>""</f>
        <v/>
      </c>
      <c r="CE977" t="str">
        <f>""</f>
        <v/>
      </c>
      <c r="CF977" t="str">
        <f>""</f>
        <v/>
      </c>
      <c r="CG977" t="str">
        <f>""</f>
        <v/>
      </c>
      <c r="CH977" t="str">
        <f>""</f>
        <v/>
      </c>
      <c r="CI977" t="str">
        <f>""</f>
        <v/>
      </c>
      <c r="CJ977" t="str">
        <f>""</f>
        <v/>
      </c>
      <c r="CK977" t="str">
        <f>""</f>
        <v/>
      </c>
      <c r="CL977" t="str">
        <f>""</f>
        <v/>
      </c>
      <c r="CM977" t="str">
        <f>""</f>
        <v/>
      </c>
      <c r="CN977" t="str">
        <f>""</f>
        <v/>
      </c>
      <c r="CO977" t="str">
        <f>""</f>
        <v/>
      </c>
      <c r="CP977" t="str">
        <f>""</f>
        <v/>
      </c>
      <c r="CQ977" t="str">
        <f>""</f>
        <v/>
      </c>
      <c r="CR977" t="str">
        <f>""</f>
        <v/>
      </c>
      <c r="CS977" t="str">
        <f>""</f>
        <v/>
      </c>
      <c r="CT977" t="str">
        <f>""</f>
        <v/>
      </c>
      <c r="CU977" t="str">
        <f>""</f>
        <v/>
      </c>
      <c r="CV977" t="str">
        <f>""</f>
        <v/>
      </c>
      <c r="CW977" t="str">
        <f>""</f>
        <v/>
      </c>
      <c r="CX977" t="str">
        <f>""</f>
        <v/>
      </c>
      <c r="CY977" t="str">
        <f>""</f>
        <v/>
      </c>
      <c r="CZ977" t="str">
        <f>""</f>
        <v/>
      </c>
      <c r="DA977" t="str">
        <f>""</f>
        <v/>
      </c>
      <c r="DB977" t="str">
        <f>""</f>
        <v/>
      </c>
      <c r="DC977" t="str">
        <f>""</f>
        <v/>
      </c>
      <c r="DD977" t="str">
        <f>""</f>
        <v/>
      </c>
      <c r="DE977" t="str">
        <f>""</f>
        <v/>
      </c>
      <c r="DF977" t="str">
        <f>""</f>
        <v/>
      </c>
      <c r="DG977" t="str">
        <f>""</f>
        <v/>
      </c>
      <c r="DH977" t="str">
        <f>""</f>
        <v/>
      </c>
      <c r="DI977" t="str">
        <f>""</f>
        <v/>
      </c>
      <c r="DJ977" t="str">
        <f>""</f>
        <v/>
      </c>
      <c r="DK977" t="str">
        <f>""</f>
        <v/>
      </c>
      <c r="DL977" t="str">
        <f>""</f>
        <v/>
      </c>
      <c r="DM977" t="str">
        <f>""</f>
        <v/>
      </c>
      <c r="DN977" t="str">
        <f>""</f>
        <v/>
      </c>
      <c r="DO977" t="str">
        <f>""</f>
        <v/>
      </c>
      <c r="DP977" t="str">
        <f>""</f>
        <v/>
      </c>
      <c r="DQ977" t="str">
        <f>""</f>
        <v/>
      </c>
      <c r="DR977" t="str">
        <f>""</f>
        <v/>
      </c>
      <c r="DS977" t="str">
        <f>""</f>
        <v/>
      </c>
      <c r="DT977" t="str">
        <f>""</f>
        <v/>
      </c>
      <c r="DU977" t="str">
        <f>""</f>
        <v/>
      </c>
    </row>
    <row r="978" spans="1:125" x14ac:dyDescent="0.25">
      <c r="A978" t="str">
        <f>$A$312</f>
        <v xml:space="preserve">    Honda Motor Co Ltd</v>
      </c>
      <c r="B978" t="str">
        <f>$B$312</f>
        <v>7267 JP Equity</v>
      </c>
      <c r="C978" t="str">
        <f>$C$312</f>
        <v>RR474</v>
      </c>
      <c r="D978" t="str">
        <f>$D$312</f>
        <v>EV_TO_T12M_EBITDA</v>
      </c>
      <c r="E978" t="str">
        <f>$E$312</f>
        <v>Dynamic</v>
      </c>
      <c r="F978" t="str">
        <f ca="1">_xll.BDH($B$312,$C$312,$B$675,$B$676,CONCATENATE("Per=",$B$673),"Dts=H","Dir=H",CONCATENATE("Points=",$B$674),"Sort=R","Days=A","Fill=B",CONCATENATE("FX=", $B$672) )</f>
        <v>#N/A Connection</v>
      </c>
      <c r="BN978" t="str">
        <f>""</f>
        <v/>
      </c>
      <c r="BO978" t="str">
        <f>""</f>
        <v/>
      </c>
      <c r="BP978" t="str">
        <f>""</f>
        <v/>
      </c>
      <c r="BQ978" t="str">
        <f>""</f>
        <v/>
      </c>
      <c r="BR978" t="str">
        <f>""</f>
        <v/>
      </c>
      <c r="BS978" t="str">
        <f>""</f>
        <v/>
      </c>
      <c r="BT978" t="str">
        <f>""</f>
        <v/>
      </c>
      <c r="BU978" t="str">
        <f>""</f>
        <v/>
      </c>
      <c r="BV978" t="str">
        <f>""</f>
        <v/>
      </c>
      <c r="BW978" t="str">
        <f>""</f>
        <v/>
      </c>
      <c r="BX978" t="str">
        <f>""</f>
        <v/>
      </c>
      <c r="BY978" t="str">
        <f>""</f>
        <v/>
      </c>
      <c r="BZ978" t="str">
        <f>""</f>
        <v/>
      </c>
      <c r="CA978" t="str">
        <f>""</f>
        <v/>
      </c>
      <c r="CB978" t="str">
        <f>""</f>
        <v/>
      </c>
      <c r="CC978" t="str">
        <f>""</f>
        <v/>
      </c>
      <c r="CD978" t="str">
        <f>""</f>
        <v/>
      </c>
      <c r="CE978" t="str">
        <f>""</f>
        <v/>
      </c>
      <c r="CF978" t="str">
        <f>""</f>
        <v/>
      </c>
      <c r="CG978" t="str">
        <f>""</f>
        <v/>
      </c>
      <c r="CH978" t="str">
        <f>""</f>
        <v/>
      </c>
      <c r="CI978" t="str">
        <f>""</f>
        <v/>
      </c>
      <c r="CJ978" t="str">
        <f>""</f>
        <v/>
      </c>
      <c r="CK978" t="str">
        <f>""</f>
        <v/>
      </c>
      <c r="CL978" t="str">
        <f>""</f>
        <v/>
      </c>
      <c r="CM978" t="str">
        <f>""</f>
        <v/>
      </c>
      <c r="CN978" t="str">
        <f>""</f>
        <v/>
      </c>
      <c r="CO978" t="str">
        <f>""</f>
        <v/>
      </c>
      <c r="CP978" t="str">
        <f>""</f>
        <v/>
      </c>
      <c r="CQ978" t="str">
        <f>""</f>
        <v/>
      </c>
      <c r="CR978" t="str">
        <f>""</f>
        <v/>
      </c>
      <c r="CS978" t="str">
        <f>""</f>
        <v/>
      </c>
      <c r="CT978" t="str">
        <f>""</f>
        <v/>
      </c>
      <c r="CU978" t="str">
        <f>""</f>
        <v/>
      </c>
      <c r="CV978" t="str">
        <f>""</f>
        <v/>
      </c>
      <c r="CW978" t="str">
        <f>""</f>
        <v/>
      </c>
      <c r="CX978" t="str">
        <f>""</f>
        <v/>
      </c>
      <c r="CY978" t="str">
        <f>""</f>
        <v/>
      </c>
      <c r="CZ978" t="str">
        <f>""</f>
        <v/>
      </c>
      <c r="DA978" t="str">
        <f>""</f>
        <v/>
      </c>
      <c r="DB978" t="str">
        <f>""</f>
        <v/>
      </c>
      <c r="DC978" t="str">
        <f>""</f>
        <v/>
      </c>
      <c r="DD978" t="str">
        <f>""</f>
        <v/>
      </c>
      <c r="DE978" t="str">
        <f>""</f>
        <v/>
      </c>
      <c r="DF978" t="str">
        <f>""</f>
        <v/>
      </c>
      <c r="DG978" t="str">
        <f>""</f>
        <v/>
      </c>
      <c r="DH978" t="str">
        <f>""</f>
        <v/>
      </c>
      <c r="DI978" t="str">
        <f>""</f>
        <v/>
      </c>
      <c r="DJ978" t="str">
        <f>""</f>
        <v/>
      </c>
      <c r="DK978" t="str">
        <f>""</f>
        <v/>
      </c>
      <c r="DL978" t="str">
        <f>""</f>
        <v/>
      </c>
      <c r="DM978" t="str">
        <f>""</f>
        <v/>
      </c>
      <c r="DN978" t="str">
        <f>""</f>
        <v/>
      </c>
      <c r="DO978" t="str">
        <f>""</f>
        <v/>
      </c>
      <c r="DP978" t="str">
        <f>""</f>
        <v/>
      </c>
      <c r="DQ978" t="str">
        <f>""</f>
        <v/>
      </c>
      <c r="DR978" t="str">
        <f>""</f>
        <v/>
      </c>
      <c r="DS978" t="str">
        <f>""</f>
        <v/>
      </c>
      <c r="DT978" t="str">
        <f>""</f>
        <v/>
      </c>
      <c r="DU978" t="str">
        <f>""</f>
        <v/>
      </c>
    </row>
    <row r="979" spans="1:125" x14ac:dyDescent="0.25">
      <c r="A979" t="str">
        <f>$A$313</f>
        <v xml:space="preserve">    Hyundai Motor Co</v>
      </c>
      <c r="B979" t="str">
        <f>$B$313</f>
        <v>005380 KS Equity</v>
      </c>
      <c r="C979" t="str">
        <f>$C$313</f>
        <v>RR474</v>
      </c>
      <c r="D979" t="str">
        <f>$D$313</f>
        <v>EV_TO_T12M_EBITDA</v>
      </c>
      <c r="E979" t="str">
        <f>$E$313</f>
        <v>Dynamic</v>
      </c>
      <c r="F979" t="str">
        <f ca="1">_xll.BDH($B$313,$C$313,$B$675,$B$676,CONCATENATE("Per=",$B$673),"Dts=H","Dir=H",CONCATENATE("Points=",$B$674),"Sort=R","Days=A","Fill=B",CONCATENATE("FX=", $B$672) )</f>
        <v>#N/A Connection</v>
      </c>
      <c r="BN979" t="str">
        <f>""</f>
        <v/>
      </c>
      <c r="BO979" t="str">
        <f>""</f>
        <v/>
      </c>
      <c r="BP979" t="str">
        <f>""</f>
        <v/>
      </c>
      <c r="BQ979" t="str">
        <f>""</f>
        <v/>
      </c>
      <c r="BR979" t="str">
        <f>""</f>
        <v/>
      </c>
      <c r="BS979" t="str">
        <f>""</f>
        <v/>
      </c>
      <c r="BT979" t="str">
        <f>""</f>
        <v/>
      </c>
      <c r="BU979" t="str">
        <f>""</f>
        <v/>
      </c>
      <c r="BV979" t="str">
        <f>""</f>
        <v/>
      </c>
      <c r="BW979" t="str">
        <f>""</f>
        <v/>
      </c>
      <c r="BX979" t="str">
        <f>""</f>
        <v/>
      </c>
      <c r="BY979" t="str">
        <f>""</f>
        <v/>
      </c>
      <c r="BZ979" t="str">
        <f>""</f>
        <v/>
      </c>
      <c r="CA979" t="str">
        <f>""</f>
        <v/>
      </c>
      <c r="CB979" t="str">
        <f>""</f>
        <v/>
      </c>
      <c r="CC979" t="str">
        <f>""</f>
        <v/>
      </c>
      <c r="CD979" t="str">
        <f>""</f>
        <v/>
      </c>
      <c r="CE979" t="str">
        <f>""</f>
        <v/>
      </c>
      <c r="CF979" t="str">
        <f>""</f>
        <v/>
      </c>
      <c r="CG979" t="str">
        <f>""</f>
        <v/>
      </c>
      <c r="CH979" t="str">
        <f>""</f>
        <v/>
      </c>
      <c r="CI979" t="str">
        <f>""</f>
        <v/>
      </c>
      <c r="CJ979" t="str">
        <f>""</f>
        <v/>
      </c>
      <c r="CK979" t="str">
        <f>""</f>
        <v/>
      </c>
      <c r="CL979" t="str">
        <f>""</f>
        <v/>
      </c>
      <c r="CM979" t="str">
        <f>""</f>
        <v/>
      </c>
      <c r="CN979" t="str">
        <f>""</f>
        <v/>
      </c>
      <c r="CO979" t="str">
        <f>""</f>
        <v/>
      </c>
      <c r="CP979" t="str">
        <f>""</f>
        <v/>
      </c>
      <c r="CQ979" t="str">
        <f>""</f>
        <v/>
      </c>
      <c r="CR979" t="str">
        <f>""</f>
        <v/>
      </c>
      <c r="CS979" t="str">
        <f>""</f>
        <v/>
      </c>
      <c r="CT979" t="str">
        <f>""</f>
        <v/>
      </c>
      <c r="CU979" t="str">
        <f>""</f>
        <v/>
      </c>
      <c r="CV979" t="str">
        <f>""</f>
        <v/>
      </c>
      <c r="CW979" t="str">
        <f>""</f>
        <v/>
      </c>
      <c r="CX979" t="str">
        <f>""</f>
        <v/>
      </c>
      <c r="CY979" t="str">
        <f>""</f>
        <v/>
      </c>
      <c r="CZ979" t="str">
        <f>""</f>
        <v/>
      </c>
      <c r="DA979" t="str">
        <f>""</f>
        <v/>
      </c>
      <c r="DB979" t="str">
        <f>""</f>
        <v/>
      </c>
      <c r="DC979" t="str">
        <f>""</f>
        <v/>
      </c>
      <c r="DD979" t="str">
        <f>""</f>
        <v/>
      </c>
      <c r="DE979" t="str">
        <f>""</f>
        <v/>
      </c>
      <c r="DF979" t="str">
        <f>""</f>
        <v/>
      </c>
      <c r="DG979" t="str">
        <f>""</f>
        <v/>
      </c>
      <c r="DH979" t="str">
        <f>""</f>
        <v/>
      </c>
      <c r="DI979" t="str">
        <f>""</f>
        <v/>
      </c>
      <c r="DJ979" t="str">
        <f>""</f>
        <v/>
      </c>
      <c r="DK979" t="str">
        <f>""</f>
        <v/>
      </c>
      <c r="DL979" t="str">
        <f>""</f>
        <v/>
      </c>
      <c r="DM979" t="str">
        <f>""</f>
        <v/>
      </c>
      <c r="DN979" t="str">
        <f>""</f>
        <v/>
      </c>
      <c r="DO979" t="str">
        <f>""</f>
        <v/>
      </c>
      <c r="DP979" t="str">
        <f>""</f>
        <v/>
      </c>
      <c r="DQ979" t="str">
        <f>""</f>
        <v/>
      </c>
      <c r="DR979" t="str">
        <f>""</f>
        <v/>
      </c>
      <c r="DS979" t="str">
        <f>""</f>
        <v/>
      </c>
      <c r="DT979" t="str">
        <f>""</f>
        <v/>
      </c>
      <c r="DU979" t="str">
        <f>""</f>
        <v/>
      </c>
    </row>
    <row r="980" spans="1:125" x14ac:dyDescent="0.25">
      <c r="A980" t="str">
        <f>$A$314</f>
        <v xml:space="preserve">    Kia Motors Corp</v>
      </c>
      <c r="B980" t="str">
        <f>$B$314</f>
        <v>000270 KS Equity</v>
      </c>
      <c r="C980" t="str">
        <f>$C$314</f>
        <v>RR474</v>
      </c>
      <c r="D980" t="str">
        <f>$D$314</f>
        <v>EV_TO_T12M_EBITDA</v>
      </c>
      <c r="E980" t="str">
        <f>$E$314</f>
        <v>Dynamic</v>
      </c>
      <c r="F980" t="str">
        <f ca="1">_xll.BDH($B$314,$C$314,$B$675,$B$676,CONCATENATE("Per=",$B$673),"Dts=H","Dir=H",CONCATENATE("Points=",$B$674),"Sort=R","Days=A","Fill=B",CONCATENATE("FX=", $B$672) )</f>
        <v>#N/A Connection</v>
      </c>
      <c r="BN980" t="str">
        <f>""</f>
        <v/>
      </c>
      <c r="BO980" t="str">
        <f>""</f>
        <v/>
      </c>
      <c r="BP980" t="str">
        <f>""</f>
        <v/>
      </c>
      <c r="BQ980" t="str">
        <f>""</f>
        <v/>
      </c>
      <c r="BR980" t="str">
        <f>""</f>
        <v/>
      </c>
      <c r="BS980" t="str">
        <f>""</f>
        <v/>
      </c>
      <c r="BT980" t="str">
        <f>""</f>
        <v/>
      </c>
      <c r="BU980" t="str">
        <f>""</f>
        <v/>
      </c>
      <c r="BV980" t="str">
        <f>""</f>
        <v/>
      </c>
      <c r="BW980" t="str">
        <f>""</f>
        <v/>
      </c>
      <c r="BX980" t="str">
        <f>""</f>
        <v/>
      </c>
      <c r="BY980" t="str">
        <f>""</f>
        <v/>
      </c>
      <c r="BZ980" t="str">
        <f>""</f>
        <v/>
      </c>
      <c r="CA980" t="str">
        <f>""</f>
        <v/>
      </c>
      <c r="CB980" t="str">
        <f>""</f>
        <v/>
      </c>
      <c r="CC980" t="str">
        <f>""</f>
        <v/>
      </c>
      <c r="CD980" t="str">
        <f>""</f>
        <v/>
      </c>
      <c r="CE980" t="str">
        <f>""</f>
        <v/>
      </c>
      <c r="CF980" t="str">
        <f>""</f>
        <v/>
      </c>
      <c r="CG980" t="str">
        <f>""</f>
        <v/>
      </c>
      <c r="CH980" t="str">
        <f>""</f>
        <v/>
      </c>
      <c r="CI980" t="str">
        <f>""</f>
        <v/>
      </c>
      <c r="CJ980" t="str">
        <f>""</f>
        <v/>
      </c>
      <c r="CK980" t="str">
        <f>""</f>
        <v/>
      </c>
      <c r="CL980" t="str">
        <f>""</f>
        <v/>
      </c>
      <c r="CM980" t="str">
        <f>""</f>
        <v/>
      </c>
      <c r="CN980" t="str">
        <f>""</f>
        <v/>
      </c>
      <c r="CO980" t="str">
        <f>""</f>
        <v/>
      </c>
      <c r="CP980" t="str">
        <f>""</f>
        <v/>
      </c>
      <c r="CQ980" t="str">
        <f>""</f>
        <v/>
      </c>
      <c r="CR980" t="str">
        <f>""</f>
        <v/>
      </c>
      <c r="CS980" t="str">
        <f>""</f>
        <v/>
      </c>
      <c r="CT980" t="str">
        <f>""</f>
        <v/>
      </c>
      <c r="CU980" t="str">
        <f>""</f>
        <v/>
      </c>
      <c r="CV980" t="str">
        <f>""</f>
        <v/>
      </c>
      <c r="CW980" t="str">
        <f>""</f>
        <v/>
      </c>
      <c r="CX980" t="str">
        <f>""</f>
        <v/>
      </c>
      <c r="CY980" t="str">
        <f>""</f>
        <v/>
      </c>
      <c r="CZ980" t="str">
        <f>""</f>
        <v/>
      </c>
      <c r="DA980" t="str">
        <f>""</f>
        <v/>
      </c>
      <c r="DB980" t="str">
        <f>""</f>
        <v/>
      </c>
      <c r="DC980" t="str">
        <f>""</f>
        <v/>
      </c>
      <c r="DD980" t="str">
        <f>""</f>
        <v/>
      </c>
      <c r="DE980" t="str">
        <f>""</f>
        <v/>
      </c>
      <c r="DF980" t="str">
        <f>""</f>
        <v/>
      </c>
      <c r="DG980" t="str">
        <f>""</f>
        <v/>
      </c>
      <c r="DH980" t="str">
        <f>""</f>
        <v/>
      </c>
      <c r="DI980" t="str">
        <f>""</f>
        <v/>
      </c>
      <c r="DJ980" t="str">
        <f>""</f>
        <v/>
      </c>
      <c r="DK980" t="str">
        <f>""</f>
        <v/>
      </c>
      <c r="DL980" t="str">
        <f>""</f>
        <v/>
      </c>
      <c r="DM980" t="str">
        <f>""</f>
        <v/>
      </c>
      <c r="DN980" t="str">
        <f>""</f>
        <v/>
      </c>
      <c r="DO980" t="str">
        <f>""</f>
        <v/>
      </c>
      <c r="DP980" t="str">
        <f>""</f>
        <v/>
      </c>
      <c r="DQ980" t="str">
        <f>""</f>
        <v/>
      </c>
      <c r="DR980" t="str">
        <f>""</f>
        <v/>
      </c>
      <c r="DS980" t="str">
        <f>""</f>
        <v/>
      </c>
      <c r="DT980" t="str">
        <f>""</f>
        <v/>
      </c>
      <c r="DU980" t="str">
        <f>""</f>
        <v/>
      </c>
    </row>
    <row r="981" spans="1:125" x14ac:dyDescent="0.25">
      <c r="A981" t="str">
        <f>$A$315</f>
        <v xml:space="preserve">    Mazda Motor Corp</v>
      </c>
      <c r="B981" t="str">
        <f>$B$315</f>
        <v>7261 JP Equity</v>
      </c>
      <c r="C981" t="str">
        <f>$C$315</f>
        <v>RR474</v>
      </c>
      <c r="D981" t="str">
        <f>$D$315</f>
        <v>EV_TO_T12M_EBITDA</v>
      </c>
      <c r="E981" t="str">
        <f>$E$315</f>
        <v>Dynamic</v>
      </c>
      <c r="F981" t="str">
        <f ca="1">_xll.BDH($B$315,$C$315,$B$675,$B$676,CONCATENATE("Per=",$B$673),"Dts=H","Dir=H",CONCATENATE("Points=",$B$674),"Sort=R","Days=A","Fill=B",CONCATENATE("FX=", $B$672) )</f>
        <v>#N/A Connection</v>
      </c>
      <c r="BN981" t="str">
        <f>""</f>
        <v/>
      </c>
      <c r="BO981" t="str">
        <f>""</f>
        <v/>
      </c>
      <c r="BP981" t="str">
        <f>""</f>
        <v/>
      </c>
      <c r="BQ981" t="str">
        <f>""</f>
        <v/>
      </c>
      <c r="BR981" t="str">
        <f>""</f>
        <v/>
      </c>
      <c r="BS981" t="str">
        <f>""</f>
        <v/>
      </c>
      <c r="BT981" t="str">
        <f>""</f>
        <v/>
      </c>
      <c r="BU981" t="str">
        <f>""</f>
        <v/>
      </c>
      <c r="BV981" t="str">
        <f>""</f>
        <v/>
      </c>
      <c r="BW981" t="str">
        <f>""</f>
        <v/>
      </c>
      <c r="BX981" t="str">
        <f>""</f>
        <v/>
      </c>
      <c r="BY981" t="str">
        <f>""</f>
        <v/>
      </c>
      <c r="BZ981" t="str">
        <f>""</f>
        <v/>
      </c>
      <c r="CA981" t="str">
        <f>""</f>
        <v/>
      </c>
      <c r="CB981" t="str">
        <f>""</f>
        <v/>
      </c>
      <c r="CC981" t="str">
        <f>""</f>
        <v/>
      </c>
      <c r="CD981" t="str">
        <f>""</f>
        <v/>
      </c>
      <c r="CE981" t="str">
        <f>""</f>
        <v/>
      </c>
      <c r="CF981" t="str">
        <f>""</f>
        <v/>
      </c>
      <c r="CG981" t="str">
        <f>""</f>
        <v/>
      </c>
      <c r="CH981" t="str">
        <f>""</f>
        <v/>
      </c>
      <c r="CI981" t="str">
        <f>""</f>
        <v/>
      </c>
      <c r="CJ981" t="str">
        <f>""</f>
        <v/>
      </c>
      <c r="CK981" t="str">
        <f>""</f>
        <v/>
      </c>
      <c r="CL981" t="str">
        <f>""</f>
        <v/>
      </c>
      <c r="CM981" t="str">
        <f>""</f>
        <v/>
      </c>
      <c r="CN981" t="str">
        <f>""</f>
        <v/>
      </c>
      <c r="CO981" t="str">
        <f>""</f>
        <v/>
      </c>
      <c r="CP981" t="str">
        <f>""</f>
        <v/>
      </c>
      <c r="CQ981" t="str">
        <f>""</f>
        <v/>
      </c>
      <c r="CR981" t="str">
        <f>""</f>
        <v/>
      </c>
      <c r="CS981" t="str">
        <f>""</f>
        <v/>
      </c>
      <c r="CT981" t="str">
        <f>""</f>
        <v/>
      </c>
      <c r="CU981" t="str">
        <f>""</f>
        <v/>
      </c>
      <c r="CV981" t="str">
        <f>""</f>
        <v/>
      </c>
      <c r="CW981" t="str">
        <f>""</f>
        <v/>
      </c>
      <c r="CX981" t="str">
        <f>""</f>
        <v/>
      </c>
      <c r="CY981" t="str">
        <f>""</f>
        <v/>
      </c>
      <c r="CZ981" t="str">
        <f>""</f>
        <v/>
      </c>
      <c r="DA981" t="str">
        <f>""</f>
        <v/>
      </c>
      <c r="DB981" t="str">
        <f>""</f>
        <v/>
      </c>
      <c r="DC981" t="str">
        <f>""</f>
        <v/>
      </c>
      <c r="DD981" t="str">
        <f>""</f>
        <v/>
      </c>
      <c r="DE981" t="str">
        <f>""</f>
        <v/>
      </c>
      <c r="DF981" t="str">
        <f>""</f>
        <v/>
      </c>
      <c r="DG981" t="str">
        <f>""</f>
        <v/>
      </c>
      <c r="DH981" t="str">
        <f>""</f>
        <v/>
      </c>
      <c r="DI981" t="str">
        <f>""</f>
        <v/>
      </c>
      <c r="DJ981" t="str">
        <f>""</f>
        <v/>
      </c>
      <c r="DK981" t="str">
        <f>""</f>
        <v/>
      </c>
      <c r="DL981" t="str">
        <f>""</f>
        <v/>
      </c>
      <c r="DM981" t="str">
        <f>""</f>
        <v/>
      </c>
      <c r="DN981" t="str">
        <f>""</f>
        <v/>
      </c>
      <c r="DO981" t="str">
        <f>""</f>
        <v/>
      </c>
      <c r="DP981" t="str">
        <f>""</f>
        <v/>
      </c>
      <c r="DQ981" t="str">
        <f>""</f>
        <v/>
      </c>
      <c r="DR981" t="str">
        <f>""</f>
        <v/>
      </c>
      <c r="DS981" t="str">
        <f>""</f>
        <v/>
      </c>
      <c r="DT981" t="str">
        <f>""</f>
        <v/>
      </c>
      <c r="DU981" t="str">
        <f>""</f>
        <v/>
      </c>
    </row>
    <row r="982" spans="1:125" x14ac:dyDescent="0.25">
      <c r="A982" t="str">
        <f>$A$316</f>
        <v xml:space="preserve">    Mitsubishi Motors Corp</v>
      </c>
      <c r="B982" t="str">
        <f>$B$316</f>
        <v>7211 JP Equity</v>
      </c>
      <c r="C982" t="str">
        <f>$C$316</f>
        <v>RR474</v>
      </c>
      <c r="D982" t="str">
        <f>$D$316</f>
        <v>EV_TO_T12M_EBITDA</v>
      </c>
      <c r="E982" t="str">
        <f>$E$316</f>
        <v>Dynamic</v>
      </c>
      <c r="F982" t="str">
        <f ca="1">_xll.BDH($B$316,$C$316,$B$675,$B$676,CONCATENATE("Per=",$B$673),"Dts=H","Dir=H",CONCATENATE("Points=",$B$674),"Sort=R","Days=A","Fill=B",CONCATENATE("FX=", $B$672) )</f>
        <v>#N/A Connection</v>
      </c>
      <c r="BN982" t="str">
        <f>""</f>
        <v/>
      </c>
      <c r="BO982" t="str">
        <f>""</f>
        <v/>
      </c>
      <c r="BP982" t="str">
        <f>""</f>
        <v/>
      </c>
      <c r="BQ982" t="str">
        <f>""</f>
        <v/>
      </c>
      <c r="BR982" t="str">
        <f>""</f>
        <v/>
      </c>
      <c r="BS982" t="str">
        <f>""</f>
        <v/>
      </c>
      <c r="BT982" t="str">
        <f>""</f>
        <v/>
      </c>
      <c r="BU982" t="str">
        <f>""</f>
        <v/>
      </c>
      <c r="BV982" t="str">
        <f>""</f>
        <v/>
      </c>
      <c r="BW982" t="str">
        <f>""</f>
        <v/>
      </c>
      <c r="BX982" t="str">
        <f>""</f>
        <v/>
      </c>
      <c r="BY982" t="str">
        <f>""</f>
        <v/>
      </c>
      <c r="BZ982" t="str">
        <f>""</f>
        <v/>
      </c>
      <c r="CA982" t="str">
        <f>""</f>
        <v/>
      </c>
      <c r="CB982" t="str">
        <f>""</f>
        <v/>
      </c>
      <c r="CC982" t="str">
        <f>""</f>
        <v/>
      </c>
      <c r="CD982" t="str">
        <f>""</f>
        <v/>
      </c>
      <c r="CE982" t="str">
        <f>""</f>
        <v/>
      </c>
      <c r="CF982" t="str">
        <f>""</f>
        <v/>
      </c>
      <c r="CG982" t="str">
        <f>""</f>
        <v/>
      </c>
      <c r="CH982" t="str">
        <f>""</f>
        <v/>
      </c>
      <c r="CI982" t="str">
        <f>""</f>
        <v/>
      </c>
      <c r="CJ982" t="str">
        <f>""</f>
        <v/>
      </c>
      <c r="CK982" t="str">
        <f>""</f>
        <v/>
      </c>
      <c r="CL982" t="str">
        <f>""</f>
        <v/>
      </c>
      <c r="CM982" t="str">
        <f>""</f>
        <v/>
      </c>
      <c r="CN982" t="str">
        <f>""</f>
        <v/>
      </c>
      <c r="CO982" t="str">
        <f>""</f>
        <v/>
      </c>
      <c r="CP982" t="str">
        <f>""</f>
        <v/>
      </c>
      <c r="CQ982" t="str">
        <f>""</f>
        <v/>
      </c>
      <c r="CR982" t="str">
        <f>""</f>
        <v/>
      </c>
      <c r="CS982" t="str">
        <f>""</f>
        <v/>
      </c>
      <c r="CT982" t="str">
        <f>""</f>
        <v/>
      </c>
      <c r="CU982" t="str">
        <f>""</f>
        <v/>
      </c>
      <c r="CV982" t="str">
        <f>""</f>
        <v/>
      </c>
      <c r="CW982" t="str">
        <f>""</f>
        <v/>
      </c>
      <c r="CX982" t="str">
        <f>""</f>
        <v/>
      </c>
      <c r="CY982" t="str">
        <f>""</f>
        <v/>
      </c>
      <c r="CZ982" t="str">
        <f>""</f>
        <v/>
      </c>
      <c r="DA982" t="str">
        <f>""</f>
        <v/>
      </c>
      <c r="DB982" t="str">
        <f>""</f>
        <v/>
      </c>
      <c r="DC982" t="str">
        <f>""</f>
        <v/>
      </c>
      <c r="DD982" t="str">
        <f>""</f>
        <v/>
      </c>
      <c r="DE982" t="str">
        <f>""</f>
        <v/>
      </c>
      <c r="DF982" t="str">
        <f>""</f>
        <v/>
      </c>
      <c r="DG982" t="str">
        <f>""</f>
        <v/>
      </c>
      <c r="DH982" t="str">
        <f>""</f>
        <v/>
      </c>
      <c r="DI982" t="str">
        <f>""</f>
        <v/>
      </c>
      <c r="DJ982" t="str">
        <f>""</f>
        <v/>
      </c>
      <c r="DK982" t="str">
        <f>""</f>
        <v/>
      </c>
      <c r="DL982" t="str">
        <f>""</f>
        <v/>
      </c>
      <c r="DM982" t="str">
        <f>""</f>
        <v/>
      </c>
      <c r="DN982" t="str">
        <f>""</f>
        <v/>
      </c>
      <c r="DO982" t="str">
        <f>""</f>
        <v/>
      </c>
      <c r="DP982" t="str">
        <f>""</f>
        <v/>
      </c>
      <c r="DQ982" t="str">
        <f>""</f>
        <v/>
      </c>
      <c r="DR982" t="str">
        <f>""</f>
        <v/>
      </c>
      <c r="DS982" t="str">
        <f>""</f>
        <v/>
      </c>
      <c r="DT982" t="str">
        <f>""</f>
        <v/>
      </c>
      <c r="DU982" t="str">
        <f>""</f>
        <v/>
      </c>
    </row>
    <row r="983" spans="1:125" x14ac:dyDescent="0.25">
      <c r="A983" t="str">
        <f>$A$317</f>
        <v xml:space="preserve">    Nissan Motor Co Ltd</v>
      </c>
      <c r="B983" t="str">
        <f>$B$317</f>
        <v>7201 JP Equity</v>
      </c>
      <c r="C983" t="str">
        <f>$C$317</f>
        <v>RR474</v>
      </c>
      <c r="D983" t="str">
        <f>$D$317</f>
        <v>EV_TO_T12M_EBITDA</v>
      </c>
      <c r="E983" t="str">
        <f>$E$317</f>
        <v>Dynamic</v>
      </c>
      <c r="F983" t="str">
        <f ca="1">_xll.BDH($B$317,$C$317,$B$675,$B$676,CONCATENATE("Per=",$B$673),"Dts=H","Dir=H",CONCATENATE("Points=",$B$674),"Sort=R","Days=A","Fill=B",CONCATENATE("FX=", $B$672) )</f>
        <v>#N/A Connection</v>
      </c>
      <c r="BN983" t="str">
        <f>""</f>
        <v/>
      </c>
      <c r="BO983" t="str">
        <f>""</f>
        <v/>
      </c>
      <c r="BP983" t="str">
        <f>""</f>
        <v/>
      </c>
      <c r="BQ983" t="str">
        <f>""</f>
        <v/>
      </c>
      <c r="BR983" t="str">
        <f>""</f>
        <v/>
      </c>
      <c r="BS983" t="str">
        <f>""</f>
        <v/>
      </c>
      <c r="BT983" t="str">
        <f>""</f>
        <v/>
      </c>
      <c r="BU983" t="str">
        <f>""</f>
        <v/>
      </c>
      <c r="BV983" t="str">
        <f>""</f>
        <v/>
      </c>
      <c r="BW983" t="str">
        <f>""</f>
        <v/>
      </c>
      <c r="BX983" t="str">
        <f>""</f>
        <v/>
      </c>
      <c r="BY983" t="str">
        <f>""</f>
        <v/>
      </c>
      <c r="BZ983" t="str">
        <f>""</f>
        <v/>
      </c>
      <c r="CA983" t="str">
        <f>""</f>
        <v/>
      </c>
      <c r="CB983" t="str">
        <f>""</f>
        <v/>
      </c>
      <c r="CC983" t="str">
        <f>""</f>
        <v/>
      </c>
      <c r="CD983" t="str">
        <f>""</f>
        <v/>
      </c>
      <c r="CE983" t="str">
        <f>""</f>
        <v/>
      </c>
      <c r="CF983" t="str">
        <f>""</f>
        <v/>
      </c>
      <c r="CG983" t="str">
        <f>""</f>
        <v/>
      </c>
      <c r="CH983" t="str">
        <f>""</f>
        <v/>
      </c>
      <c r="CI983" t="str">
        <f>""</f>
        <v/>
      </c>
      <c r="CJ983" t="str">
        <f>""</f>
        <v/>
      </c>
      <c r="CK983" t="str">
        <f>""</f>
        <v/>
      </c>
      <c r="CL983" t="str">
        <f>""</f>
        <v/>
      </c>
      <c r="CM983" t="str">
        <f>""</f>
        <v/>
      </c>
      <c r="CN983" t="str">
        <f>""</f>
        <v/>
      </c>
      <c r="CO983" t="str">
        <f>""</f>
        <v/>
      </c>
      <c r="CP983" t="str">
        <f>""</f>
        <v/>
      </c>
      <c r="CQ983" t="str">
        <f>""</f>
        <v/>
      </c>
      <c r="CR983" t="str">
        <f>""</f>
        <v/>
      </c>
      <c r="CS983" t="str">
        <f>""</f>
        <v/>
      </c>
      <c r="CT983" t="str">
        <f>""</f>
        <v/>
      </c>
      <c r="CU983" t="str">
        <f>""</f>
        <v/>
      </c>
      <c r="CV983" t="str">
        <f>""</f>
        <v/>
      </c>
      <c r="CW983" t="str">
        <f>""</f>
        <v/>
      </c>
      <c r="CX983" t="str">
        <f>""</f>
        <v/>
      </c>
      <c r="CY983" t="str">
        <f>""</f>
        <v/>
      </c>
      <c r="CZ983" t="str">
        <f>""</f>
        <v/>
      </c>
      <c r="DA983" t="str">
        <f>""</f>
        <v/>
      </c>
      <c r="DB983" t="str">
        <f>""</f>
        <v/>
      </c>
      <c r="DC983" t="str">
        <f>""</f>
        <v/>
      </c>
      <c r="DD983" t="str">
        <f>""</f>
        <v/>
      </c>
      <c r="DE983" t="str">
        <f>""</f>
        <v/>
      </c>
      <c r="DF983" t="str">
        <f>""</f>
        <v/>
      </c>
      <c r="DG983" t="str">
        <f>""</f>
        <v/>
      </c>
      <c r="DH983" t="str">
        <f>""</f>
        <v/>
      </c>
      <c r="DI983" t="str">
        <f>""</f>
        <v/>
      </c>
      <c r="DJ983" t="str">
        <f>""</f>
        <v/>
      </c>
      <c r="DK983" t="str">
        <f>""</f>
        <v/>
      </c>
      <c r="DL983" t="str">
        <f>""</f>
        <v/>
      </c>
      <c r="DM983" t="str">
        <f>""</f>
        <v/>
      </c>
      <c r="DN983" t="str">
        <f>""</f>
        <v/>
      </c>
      <c r="DO983" t="str">
        <f>""</f>
        <v/>
      </c>
      <c r="DP983" t="str">
        <f>""</f>
        <v/>
      </c>
      <c r="DQ983" t="str">
        <f>""</f>
        <v/>
      </c>
      <c r="DR983" t="str">
        <f>""</f>
        <v/>
      </c>
      <c r="DS983" t="str">
        <f>""</f>
        <v/>
      </c>
      <c r="DT983" t="str">
        <f>""</f>
        <v/>
      </c>
      <c r="DU983" t="str">
        <f>""</f>
        <v/>
      </c>
    </row>
    <row r="984" spans="1:125" x14ac:dyDescent="0.25">
      <c r="A984" t="str">
        <f>$A$318</f>
        <v xml:space="preserve">    Peugeot SA</v>
      </c>
      <c r="B984" t="str">
        <f>$B$318</f>
        <v>UG FP Equity</v>
      </c>
      <c r="C984" t="str">
        <f>$C$318</f>
        <v>RR474</v>
      </c>
      <c r="D984" t="str">
        <f>$D$318</f>
        <v>EV_TO_T12M_EBITDA</v>
      </c>
      <c r="E984" t="str">
        <f>$E$318</f>
        <v>Dynamic</v>
      </c>
      <c r="F984" t="str">
        <f ca="1">_xll.BDH($B$318,$C$318,$B$675,$B$676,CONCATENATE("Per=",$B$673),"Dts=H","Dir=H",CONCATENATE("Points=",$B$674),"Sort=R","Days=A","Fill=B",CONCATENATE("FX=", $B$672) )</f>
        <v>#N/A Connection</v>
      </c>
      <c r="BN984" t="str">
        <f>""</f>
        <v/>
      </c>
      <c r="BO984" t="str">
        <f>""</f>
        <v/>
      </c>
      <c r="BP984" t="str">
        <f>""</f>
        <v/>
      </c>
      <c r="BQ984" t="str">
        <f>""</f>
        <v/>
      </c>
      <c r="BR984" t="str">
        <f>""</f>
        <v/>
      </c>
      <c r="BS984" t="str">
        <f>""</f>
        <v/>
      </c>
      <c r="BT984" t="str">
        <f>""</f>
        <v/>
      </c>
      <c r="BU984" t="str">
        <f>""</f>
        <v/>
      </c>
      <c r="BV984" t="str">
        <f>""</f>
        <v/>
      </c>
      <c r="BW984" t="str">
        <f>""</f>
        <v/>
      </c>
      <c r="BX984" t="str">
        <f>""</f>
        <v/>
      </c>
      <c r="BY984" t="str">
        <f>""</f>
        <v/>
      </c>
      <c r="BZ984" t="str">
        <f>""</f>
        <v/>
      </c>
      <c r="CA984" t="str">
        <f>""</f>
        <v/>
      </c>
      <c r="CB984" t="str">
        <f>""</f>
        <v/>
      </c>
      <c r="CC984" t="str">
        <f>""</f>
        <v/>
      </c>
      <c r="CD984" t="str">
        <f>""</f>
        <v/>
      </c>
      <c r="CE984" t="str">
        <f>""</f>
        <v/>
      </c>
      <c r="CF984" t="str">
        <f>""</f>
        <v/>
      </c>
      <c r="CG984" t="str">
        <f>""</f>
        <v/>
      </c>
      <c r="CH984" t="str">
        <f>""</f>
        <v/>
      </c>
      <c r="CI984" t="str">
        <f>""</f>
        <v/>
      </c>
      <c r="CJ984" t="str">
        <f>""</f>
        <v/>
      </c>
      <c r="CK984" t="str">
        <f>""</f>
        <v/>
      </c>
      <c r="CL984" t="str">
        <f>""</f>
        <v/>
      </c>
      <c r="CM984" t="str">
        <f>""</f>
        <v/>
      </c>
      <c r="CN984" t="str">
        <f>""</f>
        <v/>
      </c>
      <c r="CO984" t="str">
        <f>""</f>
        <v/>
      </c>
      <c r="CP984" t="str">
        <f>""</f>
        <v/>
      </c>
      <c r="CQ984" t="str">
        <f>""</f>
        <v/>
      </c>
      <c r="CR984" t="str">
        <f>""</f>
        <v/>
      </c>
      <c r="CS984" t="str">
        <f>""</f>
        <v/>
      </c>
      <c r="CT984" t="str">
        <f>""</f>
        <v/>
      </c>
      <c r="CU984" t="str">
        <f>""</f>
        <v/>
      </c>
      <c r="CV984" t="str">
        <f>""</f>
        <v/>
      </c>
      <c r="CW984" t="str">
        <f>""</f>
        <v/>
      </c>
      <c r="CX984" t="str">
        <f>""</f>
        <v/>
      </c>
      <c r="CY984" t="str">
        <f>""</f>
        <v/>
      </c>
      <c r="CZ984" t="str">
        <f>""</f>
        <v/>
      </c>
      <c r="DA984" t="str">
        <f>""</f>
        <v/>
      </c>
      <c r="DB984" t="str">
        <f>""</f>
        <v/>
      </c>
      <c r="DC984" t="str">
        <f>""</f>
        <v/>
      </c>
      <c r="DD984" t="str">
        <f>""</f>
        <v/>
      </c>
      <c r="DE984" t="str">
        <f>""</f>
        <v/>
      </c>
      <c r="DF984" t="str">
        <f>""</f>
        <v/>
      </c>
      <c r="DG984" t="str">
        <f>""</f>
        <v/>
      </c>
      <c r="DH984" t="str">
        <f>""</f>
        <v/>
      </c>
      <c r="DI984" t="str">
        <f>""</f>
        <v/>
      </c>
      <c r="DJ984" t="str">
        <f>""</f>
        <v/>
      </c>
      <c r="DK984" t="str">
        <f>""</f>
        <v/>
      </c>
      <c r="DL984" t="str">
        <f>""</f>
        <v/>
      </c>
      <c r="DM984" t="str">
        <f>""</f>
        <v/>
      </c>
      <c r="DN984" t="str">
        <f>""</f>
        <v/>
      </c>
      <c r="DO984" t="str">
        <f>""</f>
        <v/>
      </c>
      <c r="DP984" t="str">
        <f>""</f>
        <v/>
      </c>
      <c r="DQ984" t="str">
        <f>""</f>
        <v/>
      </c>
      <c r="DR984" t="str">
        <f>""</f>
        <v/>
      </c>
      <c r="DS984" t="str">
        <f>""</f>
        <v/>
      </c>
      <c r="DT984" t="str">
        <f>""</f>
        <v/>
      </c>
      <c r="DU984" t="str">
        <f>""</f>
        <v/>
      </c>
    </row>
    <row r="985" spans="1:125" x14ac:dyDescent="0.25">
      <c r="A985" t="str">
        <f>$A$319</f>
        <v xml:space="preserve">    Renault SA</v>
      </c>
      <c r="B985" t="str">
        <f>$B$319</f>
        <v>RNO FP Equity</v>
      </c>
      <c r="C985" t="str">
        <f>$C$319</f>
        <v>RR474</v>
      </c>
      <c r="D985" t="str">
        <f>$D$319</f>
        <v>EV_TO_T12M_EBITDA</v>
      </c>
      <c r="E985" t="str">
        <f>$E$319</f>
        <v>Dynamic</v>
      </c>
      <c r="F985" t="str">
        <f ca="1">_xll.BDH($B$319,$C$319,$B$675,$B$676,CONCATENATE("Per=",$B$673),"Dts=H","Dir=H",CONCATENATE("Points=",$B$674),"Sort=R","Days=A","Fill=B",CONCATENATE("FX=", $B$672) )</f>
        <v>#N/A Connection</v>
      </c>
      <c r="BN985" t="str">
        <f>""</f>
        <v/>
      </c>
      <c r="BO985" t="str">
        <f>""</f>
        <v/>
      </c>
      <c r="BP985" t="str">
        <f>""</f>
        <v/>
      </c>
      <c r="BQ985" t="str">
        <f>""</f>
        <v/>
      </c>
      <c r="BR985" t="str">
        <f>""</f>
        <v/>
      </c>
      <c r="BS985" t="str">
        <f>""</f>
        <v/>
      </c>
      <c r="BT985" t="str">
        <f>""</f>
        <v/>
      </c>
      <c r="BU985" t="str">
        <f>""</f>
        <v/>
      </c>
      <c r="BV985" t="str">
        <f>""</f>
        <v/>
      </c>
      <c r="BW985" t="str">
        <f>""</f>
        <v/>
      </c>
      <c r="BX985" t="str">
        <f>""</f>
        <v/>
      </c>
      <c r="BY985" t="str">
        <f>""</f>
        <v/>
      </c>
      <c r="BZ985" t="str">
        <f>""</f>
        <v/>
      </c>
      <c r="CA985" t="str">
        <f>""</f>
        <v/>
      </c>
      <c r="CB985" t="str">
        <f>""</f>
        <v/>
      </c>
      <c r="CC985" t="str">
        <f>""</f>
        <v/>
      </c>
      <c r="CD985" t="str">
        <f>""</f>
        <v/>
      </c>
      <c r="CE985" t="str">
        <f>""</f>
        <v/>
      </c>
      <c r="CF985" t="str">
        <f>""</f>
        <v/>
      </c>
      <c r="CG985" t="str">
        <f>""</f>
        <v/>
      </c>
      <c r="CH985" t="str">
        <f>""</f>
        <v/>
      </c>
      <c r="CI985" t="str">
        <f>""</f>
        <v/>
      </c>
      <c r="CJ985" t="str">
        <f>""</f>
        <v/>
      </c>
      <c r="CK985" t="str">
        <f>""</f>
        <v/>
      </c>
      <c r="CL985" t="str">
        <f>""</f>
        <v/>
      </c>
      <c r="CM985" t="str">
        <f>""</f>
        <v/>
      </c>
      <c r="CN985" t="str">
        <f>""</f>
        <v/>
      </c>
      <c r="CO985" t="str">
        <f>""</f>
        <v/>
      </c>
      <c r="CP985" t="str">
        <f>""</f>
        <v/>
      </c>
      <c r="CQ985" t="str">
        <f>""</f>
        <v/>
      </c>
      <c r="CR985" t="str">
        <f>""</f>
        <v/>
      </c>
      <c r="CS985" t="str">
        <f>""</f>
        <v/>
      </c>
      <c r="CT985" t="str">
        <f>""</f>
        <v/>
      </c>
      <c r="CU985" t="str">
        <f>""</f>
        <v/>
      </c>
      <c r="CV985" t="str">
        <f>""</f>
        <v/>
      </c>
      <c r="CW985" t="str">
        <f>""</f>
        <v/>
      </c>
      <c r="CX985" t="str">
        <f>""</f>
        <v/>
      </c>
      <c r="CY985" t="str">
        <f>""</f>
        <v/>
      </c>
      <c r="CZ985" t="str">
        <f>""</f>
        <v/>
      </c>
      <c r="DA985" t="str">
        <f>""</f>
        <v/>
      </c>
      <c r="DB985" t="str">
        <f>""</f>
        <v/>
      </c>
      <c r="DC985" t="str">
        <f>""</f>
        <v/>
      </c>
      <c r="DD985" t="str">
        <f>""</f>
        <v/>
      </c>
      <c r="DE985" t="str">
        <f>""</f>
        <v/>
      </c>
      <c r="DF985" t="str">
        <f>""</f>
        <v/>
      </c>
      <c r="DG985" t="str">
        <f>""</f>
        <v/>
      </c>
      <c r="DH985" t="str">
        <f>""</f>
        <v/>
      </c>
      <c r="DI985" t="str">
        <f>""</f>
        <v/>
      </c>
      <c r="DJ985" t="str">
        <f>""</f>
        <v/>
      </c>
      <c r="DK985" t="str">
        <f>""</f>
        <v/>
      </c>
      <c r="DL985" t="str">
        <f>""</f>
        <v/>
      </c>
      <c r="DM985" t="str">
        <f>""</f>
        <v/>
      </c>
      <c r="DN985" t="str">
        <f>""</f>
        <v/>
      </c>
      <c r="DO985" t="str">
        <f>""</f>
        <v/>
      </c>
      <c r="DP985" t="str">
        <f>""</f>
        <v/>
      </c>
      <c r="DQ985" t="str">
        <f>""</f>
        <v/>
      </c>
      <c r="DR985" t="str">
        <f>""</f>
        <v/>
      </c>
      <c r="DS985" t="str">
        <f>""</f>
        <v/>
      </c>
      <c r="DT985" t="str">
        <f>""</f>
        <v/>
      </c>
      <c r="DU985" t="str">
        <f>""</f>
        <v/>
      </c>
    </row>
    <row r="986" spans="1:125" x14ac:dyDescent="0.25">
      <c r="A986" t="str">
        <f>$A$320</f>
        <v xml:space="preserve">    SAIC Motor Corp Ltd</v>
      </c>
      <c r="B986" t="str">
        <f>$B$320</f>
        <v>600104 CH Equity</v>
      </c>
      <c r="C986" t="str">
        <f>$C$320</f>
        <v>RR474</v>
      </c>
      <c r="D986" t="str">
        <f>$D$320</f>
        <v>EV_TO_T12M_EBITDA</v>
      </c>
      <c r="E986" t="str">
        <f>$E$320</f>
        <v>Dynamic</v>
      </c>
      <c r="F986" t="str">
        <f ca="1">_xll.BDH($B$320,$C$320,$B$675,$B$676,CONCATENATE("Per=",$B$673),"Dts=H","Dir=H",CONCATENATE("Points=",$B$674),"Sort=R","Days=A","Fill=B",CONCATENATE("FX=", $B$672) )</f>
        <v>#N/A Connection</v>
      </c>
      <c r="BN986" t="str">
        <f>""</f>
        <v/>
      </c>
      <c r="BO986" t="str">
        <f>""</f>
        <v/>
      </c>
      <c r="BP986" t="str">
        <f>""</f>
        <v/>
      </c>
      <c r="BQ986" t="str">
        <f>""</f>
        <v/>
      </c>
      <c r="BR986" t="str">
        <f>""</f>
        <v/>
      </c>
      <c r="BS986" t="str">
        <f>""</f>
        <v/>
      </c>
      <c r="BT986" t="str">
        <f>""</f>
        <v/>
      </c>
      <c r="BU986" t="str">
        <f>""</f>
        <v/>
      </c>
      <c r="BV986" t="str">
        <f>""</f>
        <v/>
      </c>
      <c r="BW986" t="str">
        <f>""</f>
        <v/>
      </c>
      <c r="BX986" t="str">
        <f>""</f>
        <v/>
      </c>
      <c r="BY986" t="str">
        <f>""</f>
        <v/>
      </c>
      <c r="BZ986" t="str">
        <f>""</f>
        <v/>
      </c>
      <c r="CA986" t="str">
        <f>""</f>
        <v/>
      </c>
      <c r="CB986" t="str">
        <f>""</f>
        <v/>
      </c>
      <c r="CC986" t="str">
        <f>""</f>
        <v/>
      </c>
      <c r="CD986" t="str">
        <f>""</f>
        <v/>
      </c>
      <c r="CE986" t="str">
        <f>""</f>
        <v/>
      </c>
      <c r="CF986" t="str">
        <f>""</f>
        <v/>
      </c>
      <c r="CG986" t="str">
        <f>""</f>
        <v/>
      </c>
      <c r="CH986" t="str">
        <f>""</f>
        <v/>
      </c>
      <c r="CI986" t="str">
        <f>""</f>
        <v/>
      </c>
      <c r="CJ986" t="str">
        <f>""</f>
        <v/>
      </c>
      <c r="CK986" t="str">
        <f>""</f>
        <v/>
      </c>
      <c r="CL986" t="str">
        <f>""</f>
        <v/>
      </c>
      <c r="CM986" t="str">
        <f>""</f>
        <v/>
      </c>
      <c r="CN986" t="str">
        <f>""</f>
        <v/>
      </c>
      <c r="CO986" t="str">
        <f>""</f>
        <v/>
      </c>
      <c r="CP986" t="str">
        <f>""</f>
        <v/>
      </c>
      <c r="CQ986" t="str">
        <f>""</f>
        <v/>
      </c>
      <c r="CR986" t="str">
        <f>""</f>
        <v/>
      </c>
      <c r="CS986" t="str">
        <f>""</f>
        <v/>
      </c>
      <c r="CT986" t="str">
        <f>""</f>
        <v/>
      </c>
      <c r="CU986" t="str">
        <f>""</f>
        <v/>
      </c>
      <c r="CV986" t="str">
        <f>""</f>
        <v/>
      </c>
      <c r="CW986" t="str">
        <f>""</f>
        <v/>
      </c>
      <c r="CX986" t="str">
        <f>""</f>
        <v/>
      </c>
      <c r="CY986" t="str">
        <f>""</f>
        <v/>
      </c>
      <c r="CZ986" t="str">
        <f>""</f>
        <v/>
      </c>
      <c r="DA986" t="str">
        <f>""</f>
        <v/>
      </c>
      <c r="DB986" t="str">
        <f>""</f>
        <v/>
      </c>
      <c r="DC986" t="str">
        <f>""</f>
        <v/>
      </c>
      <c r="DD986" t="str">
        <f>""</f>
        <v/>
      </c>
      <c r="DE986" t="str">
        <f>""</f>
        <v/>
      </c>
      <c r="DF986" t="str">
        <f>""</f>
        <v/>
      </c>
      <c r="DG986" t="str">
        <f>""</f>
        <v/>
      </c>
      <c r="DH986" t="str">
        <f>""</f>
        <v/>
      </c>
      <c r="DI986" t="str">
        <f>""</f>
        <v/>
      </c>
      <c r="DJ986" t="str">
        <f>""</f>
        <v/>
      </c>
      <c r="DK986" t="str">
        <f>""</f>
        <v/>
      </c>
      <c r="DL986" t="str">
        <f>""</f>
        <v/>
      </c>
      <c r="DM986" t="str">
        <f>""</f>
        <v/>
      </c>
      <c r="DN986" t="str">
        <f>""</f>
        <v/>
      </c>
      <c r="DO986" t="str">
        <f>""</f>
        <v/>
      </c>
      <c r="DP986" t="str">
        <f>""</f>
        <v/>
      </c>
      <c r="DQ986" t="str">
        <f>""</f>
        <v/>
      </c>
      <c r="DR986" t="str">
        <f>""</f>
        <v/>
      </c>
      <c r="DS986" t="str">
        <f>""</f>
        <v/>
      </c>
      <c r="DT986" t="str">
        <f>""</f>
        <v/>
      </c>
      <c r="DU986" t="str">
        <f>""</f>
        <v/>
      </c>
    </row>
    <row r="987" spans="1:125" x14ac:dyDescent="0.25">
      <c r="A987" t="str">
        <f>$A$321</f>
        <v xml:space="preserve">    Sanyang Motor Co Ltd</v>
      </c>
      <c r="B987" t="str">
        <f>$B$321</f>
        <v>2206 TT Equity</v>
      </c>
      <c r="C987" t="str">
        <f>$C$321</f>
        <v>RR474</v>
      </c>
      <c r="D987" t="str">
        <f>$D$321</f>
        <v>EV_TO_T12M_EBITDA</v>
      </c>
      <c r="E987" t="str">
        <f>$E$321</f>
        <v>Dynamic</v>
      </c>
      <c r="F987" t="str">
        <f ca="1">_xll.BDH($B$321,$C$321,$B$675,$B$676,CONCATENATE("Per=",$B$673),"Dts=H","Dir=H",CONCATENATE("Points=",$B$674),"Sort=R","Days=A","Fill=B",CONCATENATE("FX=", $B$672) )</f>
        <v>#N/A Connection</v>
      </c>
      <c r="BN987" t="str">
        <f>""</f>
        <v/>
      </c>
      <c r="BO987" t="str">
        <f>""</f>
        <v/>
      </c>
      <c r="BP987" t="str">
        <f>""</f>
        <v/>
      </c>
      <c r="BQ987" t="str">
        <f>""</f>
        <v/>
      </c>
      <c r="BR987" t="str">
        <f>""</f>
        <v/>
      </c>
      <c r="BS987" t="str">
        <f>""</f>
        <v/>
      </c>
      <c r="BT987" t="str">
        <f>""</f>
        <v/>
      </c>
      <c r="BU987" t="str">
        <f>""</f>
        <v/>
      </c>
      <c r="BV987" t="str">
        <f>""</f>
        <v/>
      </c>
      <c r="BW987" t="str">
        <f>""</f>
        <v/>
      </c>
      <c r="BX987" t="str">
        <f>""</f>
        <v/>
      </c>
      <c r="BY987" t="str">
        <f>""</f>
        <v/>
      </c>
      <c r="BZ987" t="str">
        <f>""</f>
        <v/>
      </c>
      <c r="CA987" t="str">
        <f>""</f>
        <v/>
      </c>
      <c r="CB987" t="str">
        <f>""</f>
        <v/>
      </c>
      <c r="CC987" t="str">
        <f>""</f>
        <v/>
      </c>
      <c r="CD987" t="str">
        <f>""</f>
        <v/>
      </c>
      <c r="CE987" t="str">
        <f>""</f>
        <v/>
      </c>
      <c r="CF987" t="str">
        <f>""</f>
        <v/>
      </c>
      <c r="CG987" t="str">
        <f>""</f>
        <v/>
      </c>
      <c r="CH987" t="str">
        <f>""</f>
        <v/>
      </c>
      <c r="CI987" t="str">
        <f>""</f>
        <v/>
      </c>
      <c r="CJ987" t="str">
        <f>""</f>
        <v/>
      </c>
      <c r="CK987" t="str">
        <f>""</f>
        <v/>
      </c>
      <c r="CL987" t="str">
        <f>""</f>
        <v/>
      </c>
      <c r="CM987" t="str">
        <f>""</f>
        <v/>
      </c>
      <c r="CN987" t="str">
        <f>""</f>
        <v/>
      </c>
      <c r="CO987" t="str">
        <f>""</f>
        <v/>
      </c>
      <c r="CP987" t="str">
        <f>""</f>
        <v/>
      </c>
      <c r="CQ987" t="str">
        <f>""</f>
        <v/>
      </c>
      <c r="CR987" t="str">
        <f>""</f>
        <v/>
      </c>
      <c r="CS987" t="str">
        <f>""</f>
        <v/>
      </c>
      <c r="CT987" t="str">
        <f>""</f>
        <v/>
      </c>
      <c r="CU987" t="str">
        <f>""</f>
        <v/>
      </c>
      <c r="CV987" t="str">
        <f>""</f>
        <v/>
      </c>
      <c r="CW987" t="str">
        <f>""</f>
        <v/>
      </c>
      <c r="CX987" t="str">
        <f>""</f>
        <v/>
      </c>
      <c r="CY987" t="str">
        <f>""</f>
        <v/>
      </c>
      <c r="CZ987" t="str">
        <f>""</f>
        <v/>
      </c>
      <c r="DA987" t="str">
        <f>""</f>
        <v/>
      </c>
      <c r="DB987" t="str">
        <f>""</f>
        <v/>
      </c>
      <c r="DC987" t="str">
        <f>""</f>
        <v/>
      </c>
      <c r="DD987" t="str">
        <f>""</f>
        <v/>
      </c>
      <c r="DE987" t="str">
        <f>""</f>
        <v/>
      </c>
      <c r="DF987" t="str">
        <f>""</f>
        <v/>
      </c>
      <c r="DG987" t="str">
        <f>""</f>
        <v/>
      </c>
      <c r="DH987" t="str">
        <f>""</f>
        <v/>
      </c>
      <c r="DI987" t="str">
        <f>""</f>
        <v/>
      </c>
      <c r="DJ987" t="str">
        <f>""</f>
        <v/>
      </c>
      <c r="DK987" t="str">
        <f>""</f>
        <v/>
      </c>
      <c r="DL987" t="str">
        <f>""</f>
        <v/>
      </c>
      <c r="DM987" t="str">
        <f>""</f>
        <v/>
      </c>
      <c r="DN987" t="str">
        <f>""</f>
        <v/>
      </c>
      <c r="DO987" t="str">
        <f>""</f>
        <v/>
      </c>
      <c r="DP987" t="str">
        <f>""</f>
        <v/>
      </c>
      <c r="DQ987" t="str">
        <f>""</f>
        <v/>
      </c>
      <c r="DR987" t="str">
        <f>""</f>
        <v/>
      </c>
      <c r="DS987" t="str">
        <f>""</f>
        <v/>
      </c>
      <c r="DT987" t="str">
        <f>""</f>
        <v/>
      </c>
      <c r="DU987" t="str">
        <f>""</f>
        <v/>
      </c>
    </row>
    <row r="988" spans="1:125" x14ac:dyDescent="0.25">
      <c r="A988" t="str">
        <f>$A$322</f>
        <v xml:space="preserve">    Sollers PJSC</v>
      </c>
      <c r="B988" t="str">
        <f>$B$322</f>
        <v>SVAV RM Equity</v>
      </c>
      <c r="C988" t="str">
        <f>$C$322</f>
        <v>RR474</v>
      </c>
      <c r="D988" t="str">
        <f>$D$322</f>
        <v>EV_TO_T12M_EBITDA</v>
      </c>
      <c r="E988" t="str">
        <f>$E$322</f>
        <v>Dynamic</v>
      </c>
      <c r="F988" t="str">
        <f ca="1">_xll.BDH($B$322,$C$322,$B$675,$B$676,CONCATENATE("Per=",$B$673),"Dts=H","Dir=H",CONCATENATE("Points=",$B$674),"Sort=R","Days=A","Fill=B",CONCATENATE("FX=", $B$672) )</f>
        <v>#N/A Connection</v>
      </c>
      <c r="BN988" t="str">
        <f>""</f>
        <v/>
      </c>
      <c r="BO988" t="str">
        <f>""</f>
        <v/>
      </c>
      <c r="BP988" t="str">
        <f>""</f>
        <v/>
      </c>
      <c r="BQ988" t="str">
        <f>""</f>
        <v/>
      </c>
      <c r="BR988" t="str">
        <f>""</f>
        <v/>
      </c>
      <c r="BS988" t="str">
        <f>""</f>
        <v/>
      </c>
      <c r="BT988" t="str">
        <f>""</f>
        <v/>
      </c>
      <c r="BU988" t="str">
        <f>""</f>
        <v/>
      </c>
      <c r="BV988" t="str">
        <f>""</f>
        <v/>
      </c>
      <c r="BW988" t="str">
        <f>""</f>
        <v/>
      </c>
      <c r="BX988" t="str">
        <f>""</f>
        <v/>
      </c>
      <c r="BY988" t="str">
        <f>""</f>
        <v/>
      </c>
      <c r="BZ988" t="str">
        <f>""</f>
        <v/>
      </c>
      <c r="CA988" t="str">
        <f>""</f>
        <v/>
      </c>
      <c r="CB988" t="str">
        <f>""</f>
        <v/>
      </c>
      <c r="CC988" t="str">
        <f>""</f>
        <v/>
      </c>
      <c r="CD988" t="str">
        <f>""</f>
        <v/>
      </c>
      <c r="CE988" t="str">
        <f>""</f>
        <v/>
      </c>
      <c r="CF988" t="str">
        <f>""</f>
        <v/>
      </c>
      <c r="CG988" t="str">
        <f>""</f>
        <v/>
      </c>
      <c r="CH988" t="str">
        <f>""</f>
        <v/>
      </c>
      <c r="CI988" t="str">
        <f>""</f>
        <v/>
      </c>
      <c r="CJ988" t="str">
        <f>""</f>
        <v/>
      </c>
      <c r="CK988" t="str">
        <f>""</f>
        <v/>
      </c>
      <c r="CL988" t="str">
        <f>""</f>
        <v/>
      </c>
      <c r="CM988" t="str">
        <f>""</f>
        <v/>
      </c>
      <c r="CN988" t="str">
        <f>""</f>
        <v/>
      </c>
      <c r="CO988" t="str">
        <f>""</f>
        <v/>
      </c>
      <c r="CP988" t="str">
        <f>""</f>
        <v/>
      </c>
      <c r="CQ988" t="str">
        <f>""</f>
        <v/>
      </c>
      <c r="CR988" t="str">
        <f>""</f>
        <v/>
      </c>
      <c r="CS988" t="str">
        <f>""</f>
        <v/>
      </c>
      <c r="CT988" t="str">
        <f>""</f>
        <v/>
      </c>
      <c r="CU988" t="str">
        <f>""</f>
        <v/>
      </c>
      <c r="CV988" t="str">
        <f>""</f>
        <v/>
      </c>
      <c r="CW988" t="str">
        <f>""</f>
        <v/>
      </c>
      <c r="CX988" t="str">
        <f>""</f>
        <v/>
      </c>
      <c r="CY988" t="str">
        <f>""</f>
        <v/>
      </c>
      <c r="CZ988" t="str">
        <f>""</f>
        <v/>
      </c>
      <c r="DA988" t="str">
        <f>""</f>
        <v/>
      </c>
      <c r="DB988" t="str">
        <f>""</f>
        <v/>
      </c>
      <c r="DC988" t="str">
        <f>""</f>
        <v/>
      </c>
      <c r="DD988" t="str">
        <f>""</f>
        <v/>
      </c>
      <c r="DE988" t="str">
        <f>""</f>
        <v/>
      </c>
      <c r="DF988" t="str">
        <f>""</f>
        <v/>
      </c>
      <c r="DG988" t="str">
        <f>""</f>
        <v/>
      </c>
      <c r="DH988" t="str">
        <f>""</f>
        <v/>
      </c>
      <c r="DI988" t="str">
        <f>""</f>
        <v/>
      </c>
      <c r="DJ988" t="str">
        <f>""</f>
        <v/>
      </c>
      <c r="DK988" t="str">
        <f>""</f>
        <v/>
      </c>
      <c r="DL988" t="str">
        <f>""</f>
        <v/>
      </c>
      <c r="DM988" t="str">
        <f>""</f>
        <v/>
      </c>
      <c r="DN988" t="str">
        <f>""</f>
        <v/>
      </c>
      <c r="DO988" t="str">
        <f>""</f>
        <v/>
      </c>
      <c r="DP988" t="str">
        <f>""</f>
        <v/>
      </c>
      <c r="DQ988" t="str">
        <f>""</f>
        <v/>
      </c>
      <c r="DR988" t="str">
        <f>""</f>
        <v/>
      </c>
      <c r="DS988" t="str">
        <f>""</f>
        <v/>
      </c>
      <c r="DT988" t="str">
        <f>""</f>
        <v/>
      </c>
      <c r="DU988" t="str">
        <f>""</f>
        <v/>
      </c>
    </row>
    <row r="989" spans="1:125" x14ac:dyDescent="0.25">
      <c r="A989" t="str">
        <f>$A$323</f>
        <v xml:space="preserve">    Ssangyong Motor Co</v>
      </c>
      <c r="B989" t="str">
        <f>$B$323</f>
        <v>003620 KS Equity</v>
      </c>
      <c r="C989" t="str">
        <f>$C$323</f>
        <v>RR474</v>
      </c>
      <c r="D989" t="str">
        <f>$D$323</f>
        <v>EV_TO_T12M_EBITDA</v>
      </c>
      <c r="E989" t="str">
        <f>$E$323</f>
        <v>Dynamic</v>
      </c>
      <c r="F989" t="str">
        <f ca="1">_xll.BDH($B$323,$C$323,$B$675,$B$676,CONCATENATE("Per=",$B$673),"Dts=H","Dir=H",CONCATENATE("Points=",$B$674),"Sort=R","Days=A","Fill=B",CONCATENATE("FX=", $B$672) )</f>
        <v>#N/A Connection</v>
      </c>
      <c r="BN989" t="str">
        <f>""</f>
        <v/>
      </c>
      <c r="BO989" t="str">
        <f>""</f>
        <v/>
      </c>
      <c r="BP989" t="str">
        <f>""</f>
        <v/>
      </c>
      <c r="BQ989" t="str">
        <f>""</f>
        <v/>
      </c>
      <c r="BR989" t="str">
        <f>""</f>
        <v/>
      </c>
      <c r="BS989" t="str">
        <f>""</f>
        <v/>
      </c>
      <c r="BT989" t="str">
        <f>""</f>
        <v/>
      </c>
      <c r="BU989" t="str">
        <f>""</f>
        <v/>
      </c>
      <c r="BV989" t="str">
        <f>""</f>
        <v/>
      </c>
      <c r="BW989" t="str">
        <f>""</f>
        <v/>
      </c>
      <c r="BX989" t="str">
        <f>""</f>
        <v/>
      </c>
      <c r="BY989" t="str">
        <f>""</f>
        <v/>
      </c>
      <c r="BZ989" t="str">
        <f>""</f>
        <v/>
      </c>
      <c r="CA989" t="str">
        <f>""</f>
        <v/>
      </c>
      <c r="CB989" t="str">
        <f>""</f>
        <v/>
      </c>
      <c r="CC989" t="str">
        <f>""</f>
        <v/>
      </c>
      <c r="CD989" t="str">
        <f>""</f>
        <v/>
      </c>
      <c r="CE989" t="str">
        <f>""</f>
        <v/>
      </c>
      <c r="CF989" t="str">
        <f>""</f>
        <v/>
      </c>
      <c r="CG989" t="str">
        <f>""</f>
        <v/>
      </c>
      <c r="CH989" t="str">
        <f>""</f>
        <v/>
      </c>
      <c r="CI989" t="str">
        <f>""</f>
        <v/>
      </c>
      <c r="CJ989" t="str">
        <f>""</f>
        <v/>
      </c>
      <c r="CK989" t="str">
        <f>""</f>
        <v/>
      </c>
      <c r="CL989" t="str">
        <f>""</f>
        <v/>
      </c>
      <c r="CM989" t="str">
        <f>""</f>
        <v/>
      </c>
      <c r="CN989" t="str">
        <f>""</f>
        <v/>
      </c>
      <c r="CO989" t="str">
        <f>""</f>
        <v/>
      </c>
      <c r="CP989" t="str">
        <f>""</f>
        <v/>
      </c>
      <c r="CQ989" t="str">
        <f>""</f>
        <v/>
      </c>
      <c r="CR989" t="str">
        <f>""</f>
        <v/>
      </c>
      <c r="CS989" t="str">
        <f>""</f>
        <v/>
      </c>
      <c r="CT989" t="str">
        <f>""</f>
        <v/>
      </c>
      <c r="CU989" t="str">
        <f>""</f>
        <v/>
      </c>
      <c r="CV989" t="str">
        <f>""</f>
        <v/>
      </c>
      <c r="CW989" t="str">
        <f>""</f>
        <v/>
      </c>
      <c r="CX989" t="str">
        <f>""</f>
        <v/>
      </c>
      <c r="CY989" t="str">
        <f>""</f>
        <v/>
      </c>
      <c r="CZ989" t="str">
        <f>""</f>
        <v/>
      </c>
      <c r="DA989" t="str">
        <f>""</f>
        <v/>
      </c>
      <c r="DB989" t="str">
        <f>""</f>
        <v/>
      </c>
      <c r="DC989" t="str">
        <f>""</f>
        <v/>
      </c>
      <c r="DD989" t="str">
        <f>""</f>
        <v/>
      </c>
      <c r="DE989" t="str">
        <f>""</f>
        <v/>
      </c>
      <c r="DF989" t="str">
        <f>""</f>
        <v/>
      </c>
      <c r="DG989" t="str">
        <f>""</f>
        <v/>
      </c>
      <c r="DH989" t="str">
        <f>""</f>
        <v/>
      </c>
      <c r="DI989" t="str">
        <f>""</f>
        <v/>
      </c>
      <c r="DJ989" t="str">
        <f>""</f>
        <v/>
      </c>
      <c r="DK989" t="str">
        <f>""</f>
        <v/>
      </c>
      <c r="DL989" t="str">
        <f>""</f>
        <v/>
      </c>
      <c r="DM989" t="str">
        <f>""</f>
        <v/>
      </c>
      <c r="DN989" t="str">
        <f>""</f>
        <v/>
      </c>
      <c r="DO989" t="str">
        <f>""</f>
        <v/>
      </c>
      <c r="DP989" t="str">
        <f>""</f>
        <v/>
      </c>
      <c r="DQ989" t="str">
        <f>""</f>
        <v/>
      </c>
      <c r="DR989" t="str">
        <f>""</f>
        <v/>
      </c>
      <c r="DS989" t="str">
        <f>""</f>
        <v/>
      </c>
      <c r="DT989" t="str">
        <f>""</f>
        <v/>
      </c>
      <c r="DU989" t="str">
        <f>""</f>
        <v/>
      </c>
    </row>
    <row r="990" spans="1:125" x14ac:dyDescent="0.25">
      <c r="A990" t="str">
        <f>$A$324</f>
        <v xml:space="preserve">    Subaru Corp</v>
      </c>
      <c r="B990" t="str">
        <f>$B$324</f>
        <v>7270 JP Equity</v>
      </c>
      <c r="C990" t="str">
        <f>$C$324</f>
        <v>RR474</v>
      </c>
      <c r="D990" t="str">
        <f>$D$324</f>
        <v>EV_TO_T12M_EBITDA</v>
      </c>
      <c r="E990" t="str">
        <f>$E$324</f>
        <v>Dynamic</v>
      </c>
      <c r="F990" t="str">
        <f ca="1">_xll.BDH($B$324,$C$324,$B$675,$B$676,CONCATENATE("Per=",$B$673),"Dts=H","Dir=H",CONCATENATE("Points=",$B$674),"Sort=R","Days=A","Fill=B",CONCATENATE("FX=", $B$672) )</f>
        <v>#N/A Connection</v>
      </c>
      <c r="BN990" t="str">
        <f>""</f>
        <v/>
      </c>
      <c r="BO990" t="str">
        <f>""</f>
        <v/>
      </c>
      <c r="BP990" t="str">
        <f>""</f>
        <v/>
      </c>
      <c r="BQ990" t="str">
        <f>""</f>
        <v/>
      </c>
      <c r="BR990" t="str">
        <f>""</f>
        <v/>
      </c>
      <c r="BS990" t="str">
        <f>""</f>
        <v/>
      </c>
      <c r="BT990" t="str">
        <f>""</f>
        <v/>
      </c>
      <c r="BU990" t="str">
        <f>""</f>
        <v/>
      </c>
      <c r="BV990" t="str">
        <f>""</f>
        <v/>
      </c>
      <c r="BW990" t="str">
        <f>""</f>
        <v/>
      </c>
      <c r="BX990" t="str">
        <f>""</f>
        <v/>
      </c>
      <c r="BY990" t="str">
        <f>""</f>
        <v/>
      </c>
      <c r="BZ990" t="str">
        <f>""</f>
        <v/>
      </c>
      <c r="CA990" t="str">
        <f>""</f>
        <v/>
      </c>
      <c r="CB990" t="str">
        <f>""</f>
        <v/>
      </c>
      <c r="CC990" t="str">
        <f>""</f>
        <v/>
      </c>
      <c r="CD990" t="str">
        <f>""</f>
        <v/>
      </c>
      <c r="CE990" t="str">
        <f>""</f>
        <v/>
      </c>
      <c r="CF990" t="str">
        <f>""</f>
        <v/>
      </c>
      <c r="CG990" t="str">
        <f>""</f>
        <v/>
      </c>
      <c r="CH990" t="str">
        <f>""</f>
        <v/>
      </c>
      <c r="CI990" t="str">
        <f>""</f>
        <v/>
      </c>
      <c r="CJ990" t="str">
        <f>""</f>
        <v/>
      </c>
      <c r="CK990" t="str">
        <f>""</f>
        <v/>
      </c>
      <c r="CL990" t="str">
        <f>""</f>
        <v/>
      </c>
      <c r="CM990" t="str">
        <f>""</f>
        <v/>
      </c>
      <c r="CN990" t="str">
        <f>""</f>
        <v/>
      </c>
      <c r="CO990" t="str">
        <f>""</f>
        <v/>
      </c>
      <c r="CP990" t="str">
        <f>""</f>
        <v/>
      </c>
      <c r="CQ990" t="str">
        <f>""</f>
        <v/>
      </c>
      <c r="CR990" t="str">
        <f>""</f>
        <v/>
      </c>
      <c r="CS990" t="str">
        <f>""</f>
        <v/>
      </c>
      <c r="CT990" t="str">
        <f>""</f>
        <v/>
      </c>
      <c r="CU990" t="str">
        <f>""</f>
        <v/>
      </c>
      <c r="CV990" t="str">
        <f>""</f>
        <v/>
      </c>
      <c r="CW990" t="str">
        <f>""</f>
        <v/>
      </c>
      <c r="CX990" t="str">
        <f>""</f>
        <v/>
      </c>
      <c r="CY990" t="str">
        <f>""</f>
        <v/>
      </c>
      <c r="CZ990" t="str">
        <f>""</f>
        <v/>
      </c>
      <c r="DA990" t="str">
        <f>""</f>
        <v/>
      </c>
      <c r="DB990" t="str">
        <f>""</f>
        <v/>
      </c>
      <c r="DC990" t="str">
        <f>""</f>
        <v/>
      </c>
      <c r="DD990" t="str">
        <f>""</f>
        <v/>
      </c>
      <c r="DE990" t="str">
        <f>""</f>
        <v/>
      </c>
      <c r="DF990" t="str">
        <f>""</f>
        <v/>
      </c>
      <c r="DG990" t="str">
        <f>""</f>
        <v/>
      </c>
      <c r="DH990" t="str">
        <f>""</f>
        <v/>
      </c>
      <c r="DI990" t="str">
        <f>""</f>
        <v/>
      </c>
      <c r="DJ990" t="str">
        <f>""</f>
        <v/>
      </c>
      <c r="DK990" t="str">
        <f>""</f>
        <v/>
      </c>
      <c r="DL990" t="str">
        <f>""</f>
        <v/>
      </c>
      <c r="DM990" t="str">
        <f>""</f>
        <v/>
      </c>
      <c r="DN990" t="str">
        <f>""</f>
        <v/>
      </c>
      <c r="DO990" t="str">
        <f>""</f>
        <v/>
      </c>
      <c r="DP990" t="str">
        <f>""</f>
        <v/>
      </c>
      <c r="DQ990" t="str">
        <f>""</f>
        <v/>
      </c>
      <c r="DR990" t="str">
        <f>""</f>
        <v/>
      </c>
      <c r="DS990" t="str">
        <f>""</f>
        <v/>
      </c>
      <c r="DT990" t="str">
        <f>""</f>
        <v/>
      </c>
      <c r="DU990" t="str">
        <f>""</f>
        <v/>
      </c>
    </row>
    <row r="991" spans="1:125" x14ac:dyDescent="0.25">
      <c r="A991" t="str">
        <f>$A$325</f>
        <v xml:space="preserve">    Suzuki Motor Corp</v>
      </c>
      <c r="B991" t="str">
        <f>$B$325</f>
        <v>7269 JP Equity</v>
      </c>
      <c r="C991" t="str">
        <f>$C$325</f>
        <v>RR474</v>
      </c>
      <c r="D991" t="str">
        <f>$D$325</f>
        <v>EV_TO_T12M_EBITDA</v>
      </c>
      <c r="E991" t="str">
        <f>$E$325</f>
        <v>Dynamic</v>
      </c>
      <c r="F991" t="str">
        <f ca="1">_xll.BDH($B$325,$C$325,$B$675,$B$676,CONCATENATE("Per=",$B$673),"Dts=H","Dir=H",CONCATENATE("Points=",$B$674),"Sort=R","Days=A","Fill=B",CONCATENATE("FX=", $B$672) )</f>
        <v>#N/A Connection</v>
      </c>
      <c r="BN991" t="str">
        <f>""</f>
        <v/>
      </c>
      <c r="BO991" t="str">
        <f>""</f>
        <v/>
      </c>
      <c r="BP991" t="str">
        <f>""</f>
        <v/>
      </c>
      <c r="BQ991" t="str">
        <f>""</f>
        <v/>
      </c>
      <c r="BR991" t="str">
        <f>""</f>
        <v/>
      </c>
      <c r="BS991" t="str">
        <f>""</f>
        <v/>
      </c>
      <c r="BT991" t="str">
        <f>""</f>
        <v/>
      </c>
      <c r="BU991" t="str">
        <f>""</f>
        <v/>
      </c>
      <c r="BV991" t="str">
        <f>""</f>
        <v/>
      </c>
      <c r="BW991" t="str">
        <f>""</f>
        <v/>
      </c>
      <c r="BX991" t="str">
        <f>""</f>
        <v/>
      </c>
      <c r="BY991" t="str">
        <f>""</f>
        <v/>
      </c>
      <c r="BZ991" t="str">
        <f>""</f>
        <v/>
      </c>
      <c r="CA991" t="str">
        <f>""</f>
        <v/>
      </c>
      <c r="CB991" t="str">
        <f>""</f>
        <v/>
      </c>
      <c r="CC991" t="str">
        <f>""</f>
        <v/>
      </c>
      <c r="CD991" t="str">
        <f>""</f>
        <v/>
      </c>
      <c r="CE991" t="str">
        <f>""</f>
        <v/>
      </c>
      <c r="CF991" t="str">
        <f>""</f>
        <v/>
      </c>
      <c r="CG991" t="str">
        <f>""</f>
        <v/>
      </c>
      <c r="CH991" t="str">
        <f>""</f>
        <v/>
      </c>
      <c r="CI991" t="str">
        <f>""</f>
        <v/>
      </c>
      <c r="CJ991" t="str">
        <f>""</f>
        <v/>
      </c>
      <c r="CK991" t="str">
        <f>""</f>
        <v/>
      </c>
      <c r="CL991" t="str">
        <f>""</f>
        <v/>
      </c>
      <c r="CM991" t="str">
        <f>""</f>
        <v/>
      </c>
      <c r="CN991" t="str">
        <f>""</f>
        <v/>
      </c>
      <c r="CO991" t="str">
        <f>""</f>
        <v/>
      </c>
      <c r="CP991" t="str">
        <f>""</f>
        <v/>
      </c>
      <c r="CQ991" t="str">
        <f>""</f>
        <v/>
      </c>
      <c r="CR991" t="str">
        <f>""</f>
        <v/>
      </c>
      <c r="CS991" t="str">
        <f>""</f>
        <v/>
      </c>
      <c r="CT991" t="str">
        <f>""</f>
        <v/>
      </c>
      <c r="CU991" t="str">
        <f>""</f>
        <v/>
      </c>
      <c r="CV991" t="str">
        <f>""</f>
        <v/>
      </c>
      <c r="CW991" t="str">
        <f>""</f>
        <v/>
      </c>
      <c r="CX991" t="str">
        <f>""</f>
        <v/>
      </c>
      <c r="CY991" t="str">
        <f>""</f>
        <v/>
      </c>
      <c r="CZ991" t="str">
        <f>""</f>
        <v/>
      </c>
      <c r="DA991" t="str">
        <f>""</f>
        <v/>
      </c>
      <c r="DB991" t="str">
        <f>""</f>
        <v/>
      </c>
      <c r="DC991" t="str">
        <f>""</f>
        <v/>
      </c>
      <c r="DD991" t="str">
        <f>""</f>
        <v/>
      </c>
      <c r="DE991" t="str">
        <f>""</f>
        <v/>
      </c>
      <c r="DF991" t="str">
        <f>""</f>
        <v/>
      </c>
      <c r="DG991" t="str">
        <f>""</f>
        <v/>
      </c>
      <c r="DH991" t="str">
        <f>""</f>
        <v/>
      </c>
      <c r="DI991" t="str">
        <f>""</f>
        <v/>
      </c>
      <c r="DJ991" t="str">
        <f>""</f>
        <v/>
      </c>
      <c r="DK991" t="str">
        <f>""</f>
        <v/>
      </c>
      <c r="DL991" t="str">
        <f>""</f>
        <v/>
      </c>
      <c r="DM991" t="str">
        <f>""</f>
        <v/>
      </c>
      <c r="DN991" t="str">
        <f>""</f>
        <v/>
      </c>
      <c r="DO991" t="str">
        <f>""</f>
        <v/>
      </c>
      <c r="DP991" t="str">
        <f>""</f>
        <v/>
      </c>
      <c r="DQ991" t="str">
        <f>""</f>
        <v/>
      </c>
      <c r="DR991" t="str">
        <f>""</f>
        <v/>
      </c>
      <c r="DS991" t="str">
        <f>""</f>
        <v/>
      </c>
      <c r="DT991" t="str">
        <f>""</f>
        <v/>
      </c>
      <c r="DU991" t="str">
        <f>""</f>
        <v/>
      </c>
    </row>
    <row r="992" spans="1:125" x14ac:dyDescent="0.25">
      <c r="A992" t="str">
        <f>$A$326</f>
        <v xml:space="preserve">    Tata Motors Ltd</v>
      </c>
      <c r="B992" t="str">
        <f>$B$326</f>
        <v>TTMT IN Equity</v>
      </c>
      <c r="C992" t="str">
        <f>$C$326</f>
        <v>RR474</v>
      </c>
      <c r="D992" t="str">
        <f>$D$326</f>
        <v>EV_TO_T12M_EBITDA</v>
      </c>
      <c r="E992" t="str">
        <f>$E$326</f>
        <v>Dynamic</v>
      </c>
      <c r="F992" t="str">
        <f ca="1">_xll.BDH($B$326,$C$326,$B$675,$B$676,CONCATENATE("Per=",$B$673),"Dts=H","Dir=H",CONCATENATE("Points=",$B$674),"Sort=R","Days=A","Fill=B",CONCATENATE("FX=", $B$672) )</f>
        <v>#N/A Connection</v>
      </c>
      <c r="BN992" t="str">
        <f>""</f>
        <v/>
      </c>
      <c r="BO992" t="str">
        <f>""</f>
        <v/>
      </c>
      <c r="BP992" t="str">
        <f>""</f>
        <v/>
      </c>
      <c r="BQ992" t="str">
        <f>""</f>
        <v/>
      </c>
      <c r="BR992" t="str">
        <f>""</f>
        <v/>
      </c>
      <c r="BS992" t="str">
        <f>""</f>
        <v/>
      </c>
      <c r="BT992" t="str">
        <f>""</f>
        <v/>
      </c>
      <c r="BU992" t="str">
        <f>""</f>
        <v/>
      </c>
      <c r="BV992" t="str">
        <f>""</f>
        <v/>
      </c>
      <c r="BW992" t="str">
        <f>""</f>
        <v/>
      </c>
      <c r="BX992" t="str">
        <f>""</f>
        <v/>
      </c>
      <c r="BY992" t="str">
        <f>""</f>
        <v/>
      </c>
      <c r="BZ992" t="str">
        <f>""</f>
        <v/>
      </c>
      <c r="CA992" t="str">
        <f>""</f>
        <v/>
      </c>
      <c r="CB992" t="str">
        <f>""</f>
        <v/>
      </c>
      <c r="CC992" t="str">
        <f>""</f>
        <v/>
      </c>
      <c r="CD992" t="str">
        <f>""</f>
        <v/>
      </c>
      <c r="CE992" t="str">
        <f>""</f>
        <v/>
      </c>
      <c r="CF992" t="str">
        <f>""</f>
        <v/>
      </c>
      <c r="CG992" t="str">
        <f>""</f>
        <v/>
      </c>
      <c r="CH992" t="str">
        <f>""</f>
        <v/>
      </c>
      <c r="CI992" t="str">
        <f>""</f>
        <v/>
      </c>
      <c r="CJ992" t="str">
        <f>""</f>
        <v/>
      </c>
      <c r="CK992" t="str">
        <f>""</f>
        <v/>
      </c>
      <c r="CL992" t="str">
        <f>""</f>
        <v/>
      </c>
      <c r="CM992" t="str">
        <f>""</f>
        <v/>
      </c>
      <c r="CN992" t="str">
        <f>""</f>
        <v/>
      </c>
      <c r="CO992" t="str">
        <f>""</f>
        <v/>
      </c>
      <c r="CP992" t="str">
        <f>""</f>
        <v/>
      </c>
      <c r="CQ992" t="str">
        <f>""</f>
        <v/>
      </c>
      <c r="CR992" t="str">
        <f>""</f>
        <v/>
      </c>
      <c r="CS992" t="str">
        <f>""</f>
        <v/>
      </c>
      <c r="CT992" t="str">
        <f>""</f>
        <v/>
      </c>
      <c r="CU992" t="str">
        <f>""</f>
        <v/>
      </c>
      <c r="CV992" t="str">
        <f>""</f>
        <v/>
      </c>
      <c r="CW992" t="str">
        <f>""</f>
        <v/>
      </c>
      <c r="CX992" t="str">
        <f>""</f>
        <v/>
      </c>
      <c r="CY992" t="str">
        <f>""</f>
        <v/>
      </c>
      <c r="CZ992" t="str">
        <f>""</f>
        <v/>
      </c>
      <c r="DA992" t="str">
        <f>""</f>
        <v/>
      </c>
      <c r="DB992" t="str">
        <f>""</f>
        <v/>
      </c>
      <c r="DC992" t="str">
        <f>""</f>
        <v/>
      </c>
      <c r="DD992" t="str">
        <f>""</f>
        <v/>
      </c>
      <c r="DE992" t="str">
        <f>""</f>
        <v/>
      </c>
      <c r="DF992" t="str">
        <f>""</f>
        <v/>
      </c>
      <c r="DG992" t="str">
        <f>""</f>
        <v/>
      </c>
      <c r="DH992" t="str">
        <f>""</f>
        <v/>
      </c>
      <c r="DI992" t="str">
        <f>""</f>
        <v/>
      </c>
      <c r="DJ992" t="str">
        <f>""</f>
        <v/>
      </c>
      <c r="DK992" t="str">
        <f>""</f>
        <v/>
      </c>
      <c r="DL992" t="str">
        <f>""</f>
        <v/>
      </c>
      <c r="DM992" t="str">
        <f>""</f>
        <v/>
      </c>
      <c r="DN992" t="str">
        <f>""</f>
        <v/>
      </c>
      <c r="DO992" t="str">
        <f>""</f>
        <v/>
      </c>
      <c r="DP992" t="str">
        <f>""</f>
        <v/>
      </c>
      <c r="DQ992" t="str">
        <f>""</f>
        <v/>
      </c>
      <c r="DR992" t="str">
        <f>""</f>
        <v/>
      </c>
      <c r="DS992" t="str">
        <f>""</f>
        <v/>
      </c>
      <c r="DT992" t="str">
        <f>""</f>
        <v/>
      </c>
      <c r="DU992" t="str">
        <f>""</f>
        <v/>
      </c>
    </row>
    <row r="993" spans="1:125" x14ac:dyDescent="0.25">
      <c r="A993" t="str">
        <f>$A$327</f>
        <v xml:space="preserve">    Tesla Inc</v>
      </c>
      <c r="B993" t="str">
        <f>$B$327</f>
        <v>TSLA US Equity</v>
      </c>
      <c r="C993" t="str">
        <f>$C$327</f>
        <v>RR474</v>
      </c>
      <c r="D993" t="str">
        <f>$D$327</f>
        <v>EV_TO_T12M_EBITDA</v>
      </c>
      <c r="E993" t="str">
        <f>$E$327</f>
        <v>Dynamic</v>
      </c>
      <c r="F993" t="str">
        <f ca="1">_xll.BDH($B$327,$C$327,$B$675,$B$676,CONCATENATE("Per=",$B$673),"Dts=H","Dir=H",CONCATENATE("Points=",$B$674),"Sort=R","Days=A","Fill=B",CONCATENATE("FX=", $B$672) )</f>
        <v>#N/A Connection</v>
      </c>
      <c r="BN993" t="str">
        <f>""</f>
        <v/>
      </c>
      <c r="BO993" t="str">
        <f>""</f>
        <v/>
      </c>
      <c r="BP993" t="str">
        <f>""</f>
        <v/>
      </c>
      <c r="BQ993" t="str">
        <f>""</f>
        <v/>
      </c>
      <c r="BR993" t="str">
        <f>""</f>
        <v/>
      </c>
      <c r="BS993" t="str">
        <f>""</f>
        <v/>
      </c>
      <c r="BT993" t="str">
        <f>""</f>
        <v/>
      </c>
      <c r="BU993" t="str">
        <f>""</f>
        <v/>
      </c>
      <c r="BV993" t="str">
        <f>""</f>
        <v/>
      </c>
      <c r="BW993" t="str">
        <f>""</f>
        <v/>
      </c>
      <c r="BX993" t="str">
        <f>""</f>
        <v/>
      </c>
      <c r="BY993" t="str">
        <f>""</f>
        <v/>
      </c>
      <c r="BZ993" t="str">
        <f>""</f>
        <v/>
      </c>
      <c r="CA993" t="str">
        <f>""</f>
        <v/>
      </c>
      <c r="CB993" t="str">
        <f>""</f>
        <v/>
      </c>
      <c r="CC993" t="str">
        <f>""</f>
        <v/>
      </c>
      <c r="CD993" t="str">
        <f>""</f>
        <v/>
      </c>
      <c r="CE993" t="str">
        <f>""</f>
        <v/>
      </c>
      <c r="CF993" t="str">
        <f>""</f>
        <v/>
      </c>
      <c r="CG993" t="str">
        <f>""</f>
        <v/>
      </c>
      <c r="CH993" t="str">
        <f>""</f>
        <v/>
      </c>
      <c r="CI993" t="str">
        <f>""</f>
        <v/>
      </c>
      <c r="CJ993" t="str">
        <f>""</f>
        <v/>
      </c>
      <c r="CK993" t="str">
        <f>""</f>
        <v/>
      </c>
      <c r="CL993" t="str">
        <f>""</f>
        <v/>
      </c>
      <c r="CM993" t="str">
        <f>""</f>
        <v/>
      </c>
      <c r="CN993" t="str">
        <f>""</f>
        <v/>
      </c>
      <c r="CO993" t="str">
        <f>""</f>
        <v/>
      </c>
      <c r="CP993" t="str">
        <f>""</f>
        <v/>
      </c>
      <c r="CQ993" t="str">
        <f>""</f>
        <v/>
      </c>
      <c r="CR993" t="str">
        <f>""</f>
        <v/>
      </c>
      <c r="CS993" t="str">
        <f>""</f>
        <v/>
      </c>
      <c r="CT993" t="str">
        <f>""</f>
        <v/>
      </c>
      <c r="CU993" t="str">
        <f>""</f>
        <v/>
      </c>
      <c r="CV993" t="str">
        <f>""</f>
        <v/>
      </c>
      <c r="CW993" t="str">
        <f>""</f>
        <v/>
      </c>
      <c r="CX993" t="str">
        <f>""</f>
        <v/>
      </c>
      <c r="CY993" t="str">
        <f>""</f>
        <v/>
      </c>
      <c r="CZ993" t="str">
        <f>""</f>
        <v/>
      </c>
      <c r="DA993" t="str">
        <f>""</f>
        <v/>
      </c>
      <c r="DB993" t="str">
        <f>""</f>
        <v/>
      </c>
      <c r="DC993" t="str">
        <f>""</f>
        <v/>
      </c>
      <c r="DD993" t="str">
        <f>""</f>
        <v/>
      </c>
      <c r="DE993" t="str">
        <f>""</f>
        <v/>
      </c>
      <c r="DF993" t="str">
        <f>""</f>
        <v/>
      </c>
      <c r="DG993" t="str">
        <f>""</f>
        <v/>
      </c>
      <c r="DH993" t="str">
        <f>""</f>
        <v/>
      </c>
      <c r="DI993" t="str">
        <f>""</f>
        <v/>
      </c>
      <c r="DJ993" t="str">
        <f>""</f>
        <v/>
      </c>
      <c r="DK993" t="str">
        <f>""</f>
        <v/>
      </c>
      <c r="DL993" t="str">
        <f>""</f>
        <v/>
      </c>
      <c r="DM993" t="str">
        <f>""</f>
        <v/>
      </c>
      <c r="DN993" t="str">
        <f>""</f>
        <v/>
      </c>
      <c r="DO993" t="str">
        <f>""</f>
        <v/>
      </c>
      <c r="DP993" t="str">
        <f>""</f>
        <v/>
      </c>
      <c r="DQ993" t="str">
        <f>""</f>
        <v/>
      </c>
      <c r="DR993" t="str">
        <f>""</f>
        <v/>
      </c>
      <c r="DS993" t="str">
        <f>""</f>
        <v/>
      </c>
      <c r="DT993" t="str">
        <f>""</f>
        <v/>
      </c>
      <c r="DU993" t="str">
        <f>""</f>
        <v/>
      </c>
    </row>
    <row r="994" spans="1:125" x14ac:dyDescent="0.25">
      <c r="A994" t="str">
        <f>$A$328</f>
        <v xml:space="preserve">    Tianjin Faw Xiali Automobile Co Ltd</v>
      </c>
      <c r="B994" t="str">
        <f>$B$328</f>
        <v>000927 CH Equity</v>
      </c>
      <c r="C994" t="str">
        <f>$C$328</f>
        <v>RR474</v>
      </c>
      <c r="D994" t="str">
        <f>$D$328</f>
        <v>EV_TO_T12M_EBITDA</v>
      </c>
      <c r="E994" t="str">
        <f>$E$328</f>
        <v>Dynamic</v>
      </c>
      <c r="F994" t="str">
        <f ca="1">_xll.BDH($B$328,$C$328,$B$675,$B$676,CONCATENATE("Per=",$B$673),"Dts=H","Dir=H",CONCATENATE("Points=",$B$674),"Sort=R","Days=A","Fill=B",CONCATENATE("FX=", $B$672) )</f>
        <v>#N/A Connection</v>
      </c>
      <c r="BN994" t="str">
        <f>""</f>
        <v/>
      </c>
      <c r="BO994" t="str">
        <f>""</f>
        <v/>
      </c>
      <c r="BP994" t="str">
        <f>""</f>
        <v/>
      </c>
      <c r="BQ994" t="str">
        <f>""</f>
        <v/>
      </c>
      <c r="BR994" t="str">
        <f>""</f>
        <v/>
      </c>
      <c r="BS994" t="str">
        <f>""</f>
        <v/>
      </c>
      <c r="BT994" t="str">
        <f>""</f>
        <v/>
      </c>
      <c r="BU994" t="str">
        <f>""</f>
        <v/>
      </c>
      <c r="BV994" t="str">
        <f>""</f>
        <v/>
      </c>
      <c r="BW994" t="str">
        <f>""</f>
        <v/>
      </c>
      <c r="BX994" t="str">
        <f>""</f>
        <v/>
      </c>
      <c r="BY994" t="str">
        <f>""</f>
        <v/>
      </c>
      <c r="BZ994" t="str">
        <f>""</f>
        <v/>
      </c>
      <c r="CA994" t="str">
        <f>""</f>
        <v/>
      </c>
      <c r="CB994" t="str">
        <f>""</f>
        <v/>
      </c>
      <c r="CC994" t="str">
        <f>""</f>
        <v/>
      </c>
      <c r="CD994" t="str">
        <f>""</f>
        <v/>
      </c>
      <c r="CE994" t="str">
        <f>""</f>
        <v/>
      </c>
      <c r="CF994" t="str">
        <f>""</f>
        <v/>
      </c>
      <c r="CG994" t="str">
        <f>""</f>
        <v/>
      </c>
      <c r="CH994" t="str">
        <f>""</f>
        <v/>
      </c>
      <c r="CI994" t="str">
        <f>""</f>
        <v/>
      </c>
      <c r="CJ994" t="str">
        <f>""</f>
        <v/>
      </c>
      <c r="CK994" t="str">
        <f>""</f>
        <v/>
      </c>
      <c r="CL994" t="str">
        <f>""</f>
        <v/>
      </c>
      <c r="CM994" t="str">
        <f>""</f>
        <v/>
      </c>
      <c r="CN994" t="str">
        <f>""</f>
        <v/>
      </c>
      <c r="CO994" t="str">
        <f>""</f>
        <v/>
      </c>
      <c r="CP994" t="str">
        <f>""</f>
        <v/>
      </c>
      <c r="CQ994" t="str">
        <f>""</f>
        <v/>
      </c>
      <c r="CR994" t="str">
        <f>""</f>
        <v/>
      </c>
      <c r="CS994" t="str">
        <f>""</f>
        <v/>
      </c>
      <c r="CT994" t="str">
        <f>""</f>
        <v/>
      </c>
      <c r="CU994" t="str">
        <f>""</f>
        <v/>
      </c>
      <c r="CV994" t="str">
        <f>""</f>
        <v/>
      </c>
      <c r="CW994" t="str">
        <f>""</f>
        <v/>
      </c>
      <c r="CX994" t="str">
        <f>""</f>
        <v/>
      </c>
      <c r="CY994" t="str">
        <f>""</f>
        <v/>
      </c>
      <c r="CZ994" t="str">
        <f>""</f>
        <v/>
      </c>
      <c r="DA994" t="str">
        <f>""</f>
        <v/>
      </c>
      <c r="DB994" t="str">
        <f>""</f>
        <v/>
      </c>
      <c r="DC994" t="str">
        <f>""</f>
        <v/>
      </c>
      <c r="DD994" t="str">
        <f>""</f>
        <v/>
      </c>
      <c r="DE994" t="str">
        <f>""</f>
        <v/>
      </c>
      <c r="DF994" t="str">
        <f>""</f>
        <v/>
      </c>
      <c r="DG994" t="str">
        <f>""</f>
        <v/>
      </c>
      <c r="DH994" t="str">
        <f>""</f>
        <v/>
      </c>
      <c r="DI994" t="str">
        <f>""</f>
        <v/>
      </c>
      <c r="DJ994" t="str">
        <f>""</f>
        <v/>
      </c>
      <c r="DK994" t="str">
        <f>""</f>
        <v/>
      </c>
      <c r="DL994" t="str">
        <f>""</f>
        <v/>
      </c>
      <c r="DM994" t="str">
        <f>""</f>
        <v/>
      </c>
      <c r="DN994" t="str">
        <f>""</f>
        <v/>
      </c>
      <c r="DO994" t="str">
        <f>""</f>
        <v/>
      </c>
      <c r="DP994" t="str">
        <f>""</f>
        <v/>
      </c>
      <c r="DQ994" t="str">
        <f>""</f>
        <v/>
      </c>
      <c r="DR994" t="str">
        <f>""</f>
        <v/>
      </c>
      <c r="DS994" t="str">
        <f>""</f>
        <v/>
      </c>
      <c r="DT994" t="str">
        <f>""</f>
        <v/>
      </c>
      <c r="DU994" t="str">
        <f>""</f>
        <v/>
      </c>
    </row>
    <row r="995" spans="1:125" x14ac:dyDescent="0.25">
      <c r="A995" t="str">
        <f>$A$329</f>
        <v xml:space="preserve">    Tofas Turk Otomobil Fabrikasi AS</v>
      </c>
      <c r="B995" t="str">
        <f>$B$329</f>
        <v>TOASOTRY EO Equity</v>
      </c>
      <c r="C995" t="str">
        <f>$C$329</f>
        <v>RR474</v>
      </c>
      <c r="D995" t="str">
        <f>$D$329</f>
        <v>EV_TO_T12M_EBITDA</v>
      </c>
      <c r="E995" t="str">
        <f>$E$329</f>
        <v>Dynamic</v>
      </c>
      <c r="F995" t="str">
        <f ca="1">_xll.BDH($B$329,$C$329,$B$675,$B$676,CONCATENATE("Per=",$B$673),"Dts=H","Dir=H",CONCATENATE("Points=",$B$674),"Sort=R","Days=A","Fill=B",CONCATENATE("FX=", $B$672) )</f>
        <v>#N/A Connection</v>
      </c>
      <c r="BN995" t="str">
        <f>""</f>
        <v/>
      </c>
      <c r="BO995" t="str">
        <f>""</f>
        <v/>
      </c>
      <c r="BP995" t="str">
        <f>""</f>
        <v/>
      </c>
      <c r="BQ995" t="str">
        <f>""</f>
        <v/>
      </c>
      <c r="BR995" t="str">
        <f>""</f>
        <v/>
      </c>
      <c r="BS995" t="str">
        <f>""</f>
        <v/>
      </c>
      <c r="BT995" t="str">
        <f>""</f>
        <v/>
      </c>
      <c r="BU995" t="str">
        <f>""</f>
        <v/>
      </c>
      <c r="BV995" t="str">
        <f>""</f>
        <v/>
      </c>
      <c r="BW995" t="str">
        <f>""</f>
        <v/>
      </c>
      <c r="BX995" t="str">
        <f>""</f>
        <v/>
      </c>
      <c r="BY995" t="str">
        <f>""</f>
        <v/>
      </c>
      <c r="BZ995" t="str">
        <f>""</f>
        <v/>
      </c>
      <c r="CA995" t="str">
        <f>""</f>
        <v/>
      </c>
      <c r="CB995" t="str">
        <f>""</f>
        <v/>
      </c>
      <c r="CC995" t="str">
        <f>""</f>
        <v/>
      </c>
      <c r="CD995" t="str">
        <f>""</f>
        <v/>
      </c>
      <c r="CE995" t="str">
        <f>""</f>
        <v/>
      </c>
      <c r="CF995" t="str">
        <f>""</f>
        <v/>
      </c>
      <c r="CG995" t="str">
        <f>""</f>
        <v/>
      </c>
      <c r="CH995" t="str">
        <f>""</f>
        <v/>
      </c>
      <c r="CI995" t="str">
        <f>""</f>
        <v/>
      </c>
      <c r="CJ995" t="str">
        <f>""</f>
        <v/>
      </c>
      <c r="CK995" t="str">
        <f>""</f>
        <v/>
      </c>
      <c r="CL995" t="str">
        <f>""</f>
        <v/>
      </c>
      <c r="CM995" t="str">
        <f>""</f>
        <v/>
      </c>
      <c r="CN995" t="str">
        <f>""</f>
        <v/>
      </c>
      <c r="CO995" t="str">
        <f>""</f>
        <v/>
      </c>
      <c r="CP995" t="str">
        <f>""</f>
        <v/>
      </c>
      <c r="CQ995" t="str">
        <f>""</f>
        <v/>
      </c>
      <c r="CR995" t="str">
        <f>""</f>
        <v/>
      </c>
      <c r="CS995" t="str">
        <f>""</f>
        <v/>
      </c>
      <c r="CT995" t="str">
        <f>""</f>
        <v/>
      </c>
      <c r="CU995" t="str">
        <f>""</f>
        <v/>
      </c>
      <c r="CV995" t="str">
        <f>""</f>
        <v/>
      </c>
      <c r="CW995" t="str">
        <f>""</f>
        <v/>
      </c>
      <c r="CX995" t="str">
        <f>""</f>
        <v/>
      </c>
      <c r="CY995" t="str">
        <f>""</f>
        <v/>
      </c>
      <c r="CZ995" t="str">
        <f>""</f>
        <v/>
      </c>
      <c r="DA995" t="str">
        <f>""</f>
        <v/>
      </c>
      <c r="DB995" t="str">
        <f>""</f>
        <v/>
      </c>
      <c r="DC995" t="str">
        <f>""</f>
        <v/>
      </c>
      <c r="DD995" t="str">
        <f>""</f>
        <v/>
      </c>
      <c r="DE995" t="str">
        <f>""</f>
        <v/>
      </c>
      <c r="DF995" t="str">
        <f>""</f>
        <v/>
      </c>
      <c r="DG995" t="str">
        <f>""</f>
        <v/>
      </c>
      <c r="DH995" t="str">
        <f>""</f>
        <v/>
      </c>
      <c r="DI995" t="str">
        <f>""</f>
        <v/>
      </c>
      <c r="DJ995" t="str">
        <f>""</f>
        <v/>
      </c>
      <c r="DK995" t="str">
        <f>""</f>
        <v/>
      </c>
      <c r="DL995" t="str">
        <f>""</f>
        <v/>
      </c>
      <c r="DM995" t="str">
        <f>""</f>
        <v/>
      </c>
      <c r="DN995" t="str">
        <f>""</f>
        <v/>
      </c>
      <c r="DO995" t="str">
        <f>""</f>
        <v/>
      </c>
      <c r="DP995" t="str">
        <f>""</f>
        <v/>
      </c>
      <c r="DQ995" t="str">
        <f>""</f>
        <v/>
      </c>
      <c r="DR995" t="str">
        <f>""</f>
        <v/>
      </c>
      <c r="DS995" t="str">
        <f>""</f>
        <v/>
      </c>
      <c r="DT995" t="str">
        <f>""</f>
        <v/>
      </c>
      <c r="DU995" t="str">
        <f>""</f>
        <v/>
      </c>
    </row>
    <row r="996" spans="1:125" x14ac:dyDescent="0.25">
      <c r="A996" t="str">
        <f>$A$330</f>
        <v xml:space="preserve">    Toyota Motor Corp</v>
      </c>
      <c r="B996" t="str">
        <f>$B$330</f>
        <v>7203 JP Equity</v>
      </c>
      <c r="C996" t="str">
        <f>$C$330</f>
        <v>RR474</v>
      </c>
      <c r="D996" t="str">
        <f>$D$330</f>
        <v>EV_TO_T12M_EBITDA</v>
      </c>
      <c r="E996" t="str">
        <f>$E$330</f>
        <v>Dynamic</v>
      </c>
      <c r="F996" t="str">
        <f ca="1">_xll.BDH($B$330,$C$330,$B$675,$B$676,CONCATENATE("Per=",$B$673),"Dts=H","Dir=H",CONCATENATE("Points=",$B$674),"Sort=R","Days=A","Fill=B",CONCATENATE("FX=", $B$672) )</f>
        <v>#N/A Connection</v>
      </c>
      <c r="BN996" t="str">
        <f>""</f>
        <v/>
      </c>
      <c r="BO996" t="str">
        <f>""</f>
        <v/>
      </c>
      <c r="BP996" t="str">
        <f>""</f>
        <v/>
      </c>
      <c r="BQ996" t="str">
        <f>""</f>
        <v/>
      </c>
      <c r="BR996" t="str">
        <f>""</f>
        <v/>
      </c>
      <c r="BS996" t="str">
        <f>""</f>
        <v/>
      </c>
      <c r="BT996" t="str">
        <f>""</f>
        <v/>
      </c>
      <c r="BU996" t="str">
        <f>""</f>
        <v/>
      </c>
      <c r="BV996" t="str">
        <f>""</f>
        <v/>
      </c>
      <c r="BW996" t="str">
        <f>""</f>
        <v/>
      </c>
      <c r="BX996" t="str">
        <f>""</f>
        <v/>
      </c>
      <c r="BY996" t="str">
        <f>""</f>
        <v/>
      </c>
      <c r="BZ996" t="str">
        <f>""</f>
        <v/>
      </c>
      <c r="CA996" t="str">
        <f>""</f>
        <v/>
      </c>
      <c r="CB996" t="str">
        <f>""</f>
        <v/>
      </c>
      <c r="CC996" t="str">
        <f>""</f>
        <v/>
      </c>
      <c r="CD996" t="str">
        <f>""</f>
        <v/>
      </c>
      <c r="CE996" t="str">
        <f>""</f>
        <v/>
      </c>
      <c r="CF996" t="str">
        <f>""</f>
        <v/>
      </c>
      <c r="CG996" t="str">
        <f>""</f>
        <v/>
      </c>
      <c r="CH996" t="str">
        <f>""</f>
        <v/>
      </c>
      <c r="CI996" t="str">
        <f>""</f>
        <v/>
      </c>
      <c r="CJ996" t="str">
        <f>""</f>
        <v/>
      </c>
      <c r="CK996" t="str">
        <f>""</f>
        <v/>
      </c>
      <c r="CL996" t="str">
        <f>""</f>
        <v/>
      </c>
      <c r="CM996" t="str">
        <f>""</f>
        <v/>
      </c>
      <c r="CN996" t="str">
        <f>""</f>
        <v/>
      </c>
      <c r="CO996" t="str">
        <f>""</f>
        <v/>
      </c>
      <c r="CP996" t="str">
        <f>""</f>
        <v/>
      </c>
      <c r="CQ996" t="str">
        <f>""</f>
        <v/>
      </c>
      <c r="CR996" t="str">
        <f>""</f>
        <v/>
      </c>
      <c r="CS996" t="str">
        <f>""</f>
        <v/>
      </c>
      <c r="CT996" t="str">
        <f>""</f>
        <v/>
      </c>
      <c r="CU996" t="str">
        <f>""</f>
        <v/>
      </c>
      <c r="CV996" t="str">
        <f>""</f>
        <v/>
      </c>
      <c r="CW996" t="str">
        <f>""</f>
        <v/>
      </c>
      <c r="CX996" t="str">
        <f>""</f>
        <v/>
      </c>
      <c r="CY996" t="str">
        <f>""</f>
        <v/>
      </c>
      <c r="CZ996" t="str">
        <f>""</f>
        <v/>
      </c>
      <c r="DA996" t="str">
        <f>""</f>
        <v/>
      </c>
      <c r="DB996" t="str">
        <f>""</f>
        <v/>
      </c>
      <c r="DC996" t="str">
        <f>""</f>
        <v/>
      </c>
      <c r="DD996" t="str">
        <f>""</f>
        <v/>
      </c>
      <c r="DE996" t="str">
        <f>""</f>
        <v/>
      </c>
      <c r="DF996" t="str">
        <f>""</f>
        <v/>
      </c>
      <c r="DG996" t="str">
        <f>""</f>
        <v/>
      </c>
      <c r="DH996" t="str">
        <f>""</f>
        <v/>
      </c>
      <c r="DI996" t="str">
        <f>""</f>
        <v/>
      </c>
      <c r="DJ996" t="str">
        <f>""</f>
        <v/>
      </c>
      <c r="DK996" t="str">
        <f>""</f>
        <v/>
      </c>
      <c r="DL996" t="str">
        <f>""</f>
        <v/>
      </c>
      <c r="DM996" t="str">
        <f>""</f>
        <v/>
      </c>
      <c r="DN996" t="str">
        <f>""</f>
        <v/>
      </c>
      <c r="DO996" t="str">
        <f>""</f>
        <v/>
      </c>
      <c r="DP996" t="str">
        <f>""</f>
        <v/>
      </c>
      <c r="DQ996" t="str">
        <f>""</f>
        <v/>
      </c>
      <c r="DR996" t="str">
        <f>""</f>
        <v/>
      </c>
      <c r="DS996" t="str">
        <f>""</f>
        <v/>
      </c>
      <c r="DT996" t="str">
        <f>""</f>
        <v/>
      </c>
      <c r="DU996" t="str">
        <f>""</f>
        <v/>
      </c>
    </row>
    <row r="997" spans="1:125" x14ac:dyDescent="0.25">
      <c r="A997" t="str">
        <f>$A$331</f>
        <v xml:space="preserve">    Volkswagen AG</v>
      </c>
      <c r="B997" t="str">
        <f>$B$331</f>
        <v>VOW GR Equity</v>
      </c>
      <c r="C997" t="str">
        <f>$C$331</f>
        <v>RR474</v>
      </c>
      <c r="D997" t="str">
        <f>$D$331</f>
        <v>EV_TO_T12M_EBITDA</v>
      </c>
      <c r="E997" t="str">
        <f>$E$331</f>
        <v>Dynamic</v>
      </c>
      <c r="F997" t="str">
        <f ca="1">_xll.BDH($B$331,$C$331,$B$675,$B$676,CONCATENATE("Per=",$B$673),"Dts=H","Dir=H",CONCATENATE("Points=",$B$674),"Sort=R","Days=A","Fill=B",CONCATENATE("FX=", $B$672) )</f>
        <v>#N/A Connection</v>
      </c>
      <c r="BN997" t="str">
        <f>""</f>
        <v/>
      </c>
      <c r="BO997" t="str">
        <f>""</f>
        <v/>
      </c>
      <c r="BP997" t="str">
        <f>""</f>
        <v/>
      </c>
      <c r="BQ997" t="str">
        <f>""</f>
        <v/>
      </c>
      <c r="BR997" t="str">
        <f>""</f>
        <v/>
      </c>
      <c r="BS997" t="str">
        <f>""</f>
        <v/>
      </c>
      <c r="BT997" t="str">
        <f>""</f>
        <v/>
      </c>
      <c r="BU997" t="str">
        <f>""</f>
        <v/>
      </c>
      <c r="BV997" t="str">
        <f>""</f>
        <v/>
      </c>
      <c r="BW997" t="str">
        <f>""</f>
        <v/>
      </c>
      <c r="BX997" t="str">
        <f>""</f>
        <v/>
      </c>
      <c r="BY997" t="str">
        <f>""</f>
        <v/>
      </c>
      <c r="BZ997" t="str">
        <f>""</f>
        <v/>
      </c>
      <c r="CA997" t="str">
        <f>""</f>
        <v/>
      </c>
      <c r="CB997" t="str">
        <f>""</f>
        <v/>
      </c>
      <c r="CC997" t="str">
        <f>""</f>
        <v/>
      </c>
      <c r="CD997" t="str">
        <f>""</f>
        <v/>
      </c>
      <c r="CE997" t="str">
        <f>""</f>
        <v/>
      </c>
      <c r="CF997" t="str">
        <f>""</f>
        <v/>
      </c>
      <c r="CG997" t="str">
        <f>""</f>
        <v/>
      </c>
      <c r="CH997" t="str">
        <f>""</f>
        <v/>
      </c>
      <c r="CI997" t="str">
        <f>""</f>
        <v/>
      </c>
      <c r="CJ997" t="str">
        <f>""</f>
        <v/>
      </c>
      <c r="CK997" t="str">
        <f>""</f>
        <v/>
      </c>
      <c r="CL997" t="str">
        <f>""</f>
        <v/>
      </c>
      <c r="CM997" t="str">
        <f>""</f>
        <v/>
      </c>
      <c r="CN997" t="str">
        <f>""</f>
        <v/>
      </c>
      <c r="CO997" t="str">
        <f>""</f>
        <v/>
      </c>
      <c r="CP997" t="str">
        <f>""</f>
        <v/>
      </c>
      <c r="CQ997" t="str">
        <f>""</f>
        <v/>
      </c>
      <c r="CR997" t="str">
        <f>""</f>
        <v/>
      </c>
      <c r="CS997" t="str">
        <f>""</f>
        <v/>
      </c>
      <c r="CT997" t="str">
        <f>""</f>
        <v/>
      </c>
      <c r="CU997" t="str">
        <f>""</f>
        <v/>
      </c>
      <c r="CV997" t="str">
        <f>""</f>
        <v/>
      </c>
      <c r="CW997" t="str">
        <f>""</f>
        <v/>
      </c>
      <c r="CX997" t="str">
        <f>""</f>
        <v/>
      </c>
      <c r="CY997" t="str">
        <f>""</f>
        <v/>
      </c>
      <c r="CZ997" t="str">
        <f>""</f>
        <v/>
      </c>
      <c r="DA997" t="str">
        <f>""</f>
        <v/>
      </c>
      <c r="DB997" t="str">
        <f>""</f>
        <v/>
      </c>
      <c r="DC997" t="str">
        <f>""</f>
        <v/>
      </c>
      <c r="DD997" t="str">
        <f>""</f>
        <v/>
      </c>
      <c r="DE997" t="str">
        <f>""</f>
        <v/>
      </c>
      <c r="DF997" t="str">
        <f>""</f>
        <v/>
      </c>
      <c r="DG997" t="str">
        <f>""</f>
        <v/>
      </c>
      <c r="DH997" t="str">
        <f>""</f>
        <v/>
      </c>
      <c r="DI997" t="str">
        <f>""</f>
        <v/>
      </c>
      <c r="DJ997" t="str">
        <f>""</f>
        <v/>
      </c>
      <c r="DK997" t="str">
        <f>""</f>
        <v/>
      </c>
      <c r="DL997" t="str">
        <f>""</f>
        <v/>
      </c>
      <c r="DM997" t="str">
        <f>""</f>
        <v/>
      </c>
      <c r="DN997" t="str">
        <f>""</f>
        <v/>
      </c>
      <c r="DO997" t="str">
        <f>""</f>
        <v/>
      </c>
      <c r="DP997" t="str">
        <f>""</f>
        <v/>
      </c>
      <c r="DQ997" t="str">
        <f>""</f>
        <v/>
      </c>
      <c r="DR997" t="str">
        <f>""</f>
        <v/>
      </c>
      <c r="DS997" t="str">
        <f>""</f>
        <v/>
      </c>
      <c r="DT997" t="str">
        <f>""</f>
        <v/>
      </c>
      <c r="DU997" t="str">
        <f>""</f>
        <v/>
      </c>
    </row>
    <row r="998" spans="1:125" x14ac:dyDescent="0.25">
      <c r="A998" t="str">
        <f>$A$332</f>
        <v xml:space="preserve">    Yulon Motor Co Ltd</v>
      </c>
      <c r="B998" t="str">
        <f>$B$332</f>
        <v>2201 TT Equity</v>
      </c>
      <c r="C998" t="str">
        <f>$C$332</f>
        <v>RR474</v>
      </c>
      <c r="D998" t="str">
        <f>$D$332</f>
        <v>EV_TO_T12M_EBITDA</v>
      </c>
      <c r="E998" t="str">
        <f>$E$332</f>
        <v>Dynamic</v>
      </c>
      <c r="F998" t="str">
        <f ca="1">_xll.BDH($B$332,$C$332,$B$675,$B$676,CONCATENATE("Per=",$B$673),"Dts=H","Dir=H",CONCATENATE("Points=",$B$674),"Sort=R","Days=A","Fill=B",CONCATENATE("FX=", $B$672) )</f>
        <v>#N/A Connection</v>
      </c>
      <c r="BN998" t="str">
        <f>""</f>
        <v/>
      </c>
      <c r="BO998" t="str">
        <f>""</f>
        <v/>
      </c>
      <c r="BP998" t="str">
        <f>""</f>
        <v/>
      </c>
      <c r="BQ998" t="str">
        <f>""</f>
        <v/>
      </c>
      <c r="BR998" t="str">
        <f>""</f>
        <v/>
      </c>
      <c r="BS998" t="str">
        <f>""</f>
        <v/>
      </c>
      <c r="BT998" t="str">
        <f>""</f>
        <v/>
      </c>
      <c r="BU998" t="str">
        <f>""</f>
        <v/>
      </c>
      <c r="BV998" t="str">
        <f>""</f>
        <v/>
      </c>
      <c r="BW998" t="str">
        <f>""</f>
        <v/>
      </c>
      <c r="BX998" t="str">
        <f>""</f>
        <v/>
      </c>
      <c r="BY998" t="str">
        <f>""</f>
        <v/>
      </c>
      <c r="BZ998" t="str">
        <f>""</f>
        <v/>
      </c>
      <c r="CA998" t="str">
        <f>""</f>
        <v/>
      </c>
      <c r="CB998" t="str">
        <f>""</f>
        <v/>
      </c>
      <c r="CC998" t="str">
        <f>""</f>
        <v/>
      </c>
      <c r="CD998" t="str">
        <f>""</f>
        <v/>
      </c>
      <c r="CE998" t="str">
        <f>""</f>
        <v/>
      </c>
      <c r="CF998" t="str">
        <f>""</f>
        <v/>
      </c>
      <c r="CG998" t="str">
        <f>""</f>
        <v/>
      </c>
      <c r="CH998" t="str">
        <f>""</f>
        <v/>
      </c>
      <c r="CI998" t="str">
        <f>""</f>
        <v/>
      </c>
      <c r="CJ998" t="str">
        <f>""</f>
        <v/>
      </c>
      <c r="CK998" t="str">
        <f>""</f>
        <v/>
      </c>
      <c r="CL998" t="str">
        <f>""</f>
        <v/>
      </c>
      <c r="CM998" t="str">
        <f>""</f>
        <v/>
      </c>
      <c r="CN998" t="str">
        <f>""</f>
        <v/>
      </c>
      <c r="CO998" t="str">
        <f>""</f>
        <v/>
      </c>
      <c r="CP998" t="str">
        <f>""</f>
        <v/>
      </c>
      <c r="CQ998" t="str">
        <f>""</f>
        <v/>
      </c>
      <c r="CR998" t="str">
        <f>""</f>
        <v/>
      </c>
      <c r="CS998" t="str">
        <f>""</f>
        <v/>
      </c>
      <c r="CT998" t="str">
        <f>""</f>
        <v/>
      </c>
      <c r="CU998" t="str">
        <f>""</f>
        <v/>
      </c>
      <c r="CV998" t="str">
        <f>""</f>
        <v/>
      </c>
      <c r="CW998" t="str">
        <f>""</f>
        <v/>
      </c>
      <c r="CX998" t="str">
        <f>""</f>
        <v/>
      </c>
      <c r="CY998" t="str">
        <f>""</f>
        <v/>
      </c>
      <c r="CZ998" t="str">
        <f>""</f>
        <v/>
      </c>
      <c r="DA998" t="str">
        <f>""</f>
        <v/>
      </c>
      <c r="DB998" t="str">
        <f>""</f>
        <v/>
      </c>
      <c r="DC998" t="str">
        <f>""</f>
        <v/>
      </c>
      <c r="DD998" t="str">
        <f>""</f>
        <v/>
      </c>
      <c r="DE998" t="str">
        <f>""</f>
        <v/>
      </c>
      <c r="DF998" t="str">
        <f>""</f>
        <v/>
      </c>
      <c r="DG998" t="str">
        <f>""</f>
        <v/>
      </c>
      <c r="DH998" t="str">
        <f>""</f>
        <v/>
      </c>
      <c r="DI998" t="str">
        <f>""</f>
        <v/>
      </c>
      <c r="DJ998" t="str">
        <f>""</f>
        <v/>
      </c>
      <c r="DK998" t="str">
        <f>""</f>
        <v/>
      </c>
      <c r="DL998" t="str">
        <f>""</f>
        <v/>
      </c>
      <c r="DM998" t="str">
        <f>""</f>
        <v/>
      </c>
      <c r="DN998" t="str">
        <f>""</f>
        <v/>
      </c>
      <c r="DO998" t="str">
        <f>""</f>
        <v/>
      </c>
      <c r="DP998" t="str">
        <f>""</f>
        <v/>
      </c>
      <c r="DQ998" t="str">
        <f>""</f>
        <v/>
      </c>
      <c r="DR998" t="str">
        <f>""</f>
        <v/>
      </c>
      <c r="DS998" t="str">
        <f>""</f>
        <v/>
      </c>
      <c r="DT998" t="str">
        <f>""</f>
        <v/>
      </c>
      <c r="DU998" t="str">
        <f>""</f>
        <v/>
      </c>
    </row>
    <row r="999" spans="1:125" x14ac:dyDescent="0.25">
      <c r="A999" t="str">
        <f>$A$334</f>
        <v xml:space="preserve">    AUDI AG</v>
      </c>
      <c r="B999" t="str">
        <f>$B$334</f>
        <v>NSU GR Equity</v>
      </c>
      <c r="C999" t="str">
        <f>$C$334</f>
        <v>RR473</v>
      </c>
      <c r="D999" t="str">
        <f>$D$334</f>
        <v>EV_TO_T12M_SALES</v>
      </c>
      <c r="E999" t="str">
        <f>$E$334</f>
        <v>Dynamic</v>
      </c>
      <c r="F999" t="str">
        <f ca="1">_xll.BDH($B$334,$C$334,$B$675,$B$676,CONCATENATE("Per=",$B$673),"Dts=H","Dir=H",CONCATENATE("Points=",$B$674),"Sort=R","Days=A","Fill=B",CONCATENATE("FX=", $B$672) )</f>
        <v>#N/A Connection</v>
      </c>
      <c r="BN999" t="str">
        <f>""</f>
        <v/>
      </c>
      <c r="BO999" t="str">
        <f>""</f>
        <v/>
      </c>
      <c r="BP999" t="str">
        <f>""</f>
        <v/>
      </c>
      <c r="BQ999" t="str">
        <f>""</f>
        <v/>
      </c>
      <c r="BR999" t="str">
        <f>""</f>
        <v/>
      </c>
      <c r="BS999" t="str">
        <f>""</f>
        <v/>
      </c>
      <c r="BT999" t="str">
        <f>""</f>
        <v/>
      </c>
      <c r="BU999" t="str">
        <f>""</f>
        <v/>
      </c>
      <c r="BV999" t="str">
        <f>""</f>
        <v/>
      </c>
      <c r="BW999" t="str">
        <f>""</f>
        <v/>
      </c>
      <c r="BX999" t="str">
        <f>""</f>
        <v/>
      </c>
      <c r="BY999" t="str">
        <f>""</f>
        <v/>
      </c>
      <c r="BZ999" t="str">
        <f>""</f>
        <v/>
      </c>
      <c r="CA999" t="str">
        <f>""</f>
        <v/>
      </c>
      <c r="CB999" t="str">
        <f>""</f>
        <v/>
      </c>
      <c r="CC999" t="str">
        <f>""</f>
        <v/>
      </c>
      <c r="CD999" t="str">
        <f>""</f>
        <v/>
      </c>
      <c r="CE999" t="str">
        <f>""</f>
        <v/>
      </c>
      <c r="CF999" t="str">
        <f>""</f>
        <v/>
      </c>
      <c r="CG999" t="str">
        <f>""</f>
        <v/>
      </c>
      <c r="CH999" t="str">
        <f>""</f>
        <v/>
      </c>
      <c r="CI999" t="str">
        <f>""</f>
        <v/>
      </c>
      <c r="CJ999" t="str">
        <f>""</f>
        <v/>
      </c>
      <c r="CK999" t="str">
        <f>""</f>
        <v/>
      </c>
      <c r="CL999" t="str">
        <f>""</f>
        <v/>
      </c>
      <c r="CM999" t="str">
        <f>""</f>
        <v/>
      </c>
      <c r="CN999" t="str">
        <f>""</f>
        <v/>
      </c>
      <c r="CO999" t="str">
        <f>""</f>
        <v/>
      </c>
      <c r="CP999" t="str">
        <f>""</f>
        <v/>
      </c>
      <c r="CQ999" t="str">
        <f>""</f>
        <v/>
      </c>
      <c r="CR999" t="str">
        <f>""</f>
        <v/>
      </c>
      <c r="CS999" t="str">
        <f>""</f>
        <v/>
      </c>
      <c r="CT999" t="str">
        <f>""</f>
        <v/>
      </c>
      <c r="CU999" t="str">
        <f>""</f>
        <v/>
      </c>
      <c r="CV999" t="str">
        <f>""</f>
        <v/>
      </c>
      <c r="CW999" t="str">
        <f>""</f>
        <v/>
      </c>
      <c r="CX999" t="str">
        <f>""</f>
        <v/>
      </c>
      <c r="CY999" t="str">
        <f>""</f>
        <v/>
      </c>
      <c r="CZ999" t="str">
        <f>""</f>
        <v/>
      </c>
      <c r="DA999" t="str">
        <f>""</f>
        <v/>
      </c>
      <c r="DB999" t="str">
        <f>""</f>
        <v/>
      </c>
      <c r="DC999" t="str">
        <f>""</f>
        <v/>
      </c>
      <c r="DD999" t="str">
        <f>""</f>
        <v/>
      </c>
      <c r="DE999" t="str">
        <f>""</f>
        <v/>
      </c>
      <c r="DF999" t="str">
        <f>""</f>
        <v/>
      </c>
      <c r="DG999" t="str">
        <f>""</f>
        <v/>
      </c>
      <c r="DH999" t="str">
        <f>""</f>
        <v/>
      </c>
      <c r="DI999" t="str">
        <f>""</f>
        <v/>
      </c>
      <c r="DJ999" t="str">
        <f>""</f>
        <v/>
      </c>
      <c r="DK999" t="str">
        <f>""</f>
        <v/>
      </c>
      <c r="DL999" t="str">
        <f>""</f>
        <v/>
      </c>
      <c r="DM999" t="str">
        <f>""</f>
        <v/>
      </c>
      <c r="DN999" t="str">
        <f>""</f>
        <v/>
      </c>
      <c r="DO999" t="str">
        <f>""</f>
        <v/>
      </c>
      <c r="DP999" t="str">
        <f>""</f>
        <v/>
      </c>
      <c r="DQ999" t="str">
        <f>""</f>
        <v/>
      </c>
      <c r="DR999" t="str">
        <f>""</f>
        <v/>
      </c>
      <c r="DS999" t="str">
        <f>""</f>
        <v/>
      </c>
      <c r="DT999" t="str">
        <f>""</f>
        <v/>
      </c>
      <c r="DU999" t="str">
        <f>""</f>
        <v/>
      </c>
    </row>
    <row r="1000" spans="1:125" x14ac:dyDescent="0.25">
      <c r="A1000" t="str">
        <f>$A$335</f>
        <v xml:space="preserve">    Avtovaz PJSC</v>
      </c>
      <c r="B1000" t="str">
        <f>$B$335</f>
        <v>AVAZ RM Equity</v>
      </c>
      <c r="C1000" t="str">
        <f>$C$335</f>
        <v>RR473</v>
      </c>
      <c r="D1000" t="str">
        <f>$D$335</f>
        <v>EV_TO_T12M_SALES</v>
      </c>
      <c r="E1000" t="str">
        <f>$E$335</f>
        <v>Dynamic</v>
      </c>
      <c r="F1000" t="str">
        <f ca="1">_xll.BDH($B$335,$C$335,$B$675,$B$676,CONCATENATE("Per=",$B$673),"Dts=H","Dir=H",CONCATENATE("Points=",$B$674),"Sort=R","Days=A","Fill=B",CONCATENATE("FX=", $B$672) )</f>
        <v>#N/A Connection</v>
      </c>
      <c r="BN1000" t="str">
        <f>""</f>
        <v/>
      </c>
      <c r="BO1000" t="str">
        <f>""</f>
        <v/>
      </c>
      <c r="BP1000" t="str">
        <f>""</f>
        <v/>
      </c>
      <c r="BQ1000" t="str">
        <f>""</f>
        <v/>
      </c>
      <c r="BR1000" t="str">
        <f>""</f>
        <v/>
      </c>
      <c r="BS1000" t="str">
        <f>""</f>
        <v/>
      </c>
      <c r="BT1000" t="str">
        <f>""</f>
        <v/>
      </c>
      <c r="BU1000" t="str">
        <f>""</f>
        <v/>
      </c>
      <c r="BV1000" t="str">
        <f>""</f>
        <v/>
      </c>
      <c r="BW1000" t="str">
        <f>""</f>
        <v/>
      </c>
      <c r="BX1000" t="str">
        <f>""</f>
        <v/>
      </c>
      <c r="BY1000" t="str">
        <f>""</f>
        <v/>
      </c>
      <c r="BZ1000" t="str">
        <f>""</f>
        <v/>
      </c>
      <c r="CA1000" t="str">
        <f>""</f>
        <v/>
      </c>
      <c r="CB1000" t="str">
        <f>""</f>
        <v/>
      </c>
      <c r="CC1000" t="str">
        <f>""</f>
        <v/>
      </c>
      <c r="CD1000" t="str">
        <f>""</f>
        <v/>
      </c>
      <c r="CE1000" t="str">
        <f>""</f>
        <v/>
      </c>
      <c r="CF1000" t="str">
        <f>""</f>
        <v/>
      </c>
      <c r="CG1000" t="str">
        <f>""</f>
        <v/>
      </c>
      <c r="CH1000" t="str">
        <f>""</f>
        <v/>
      </c>
      <c r="CI1000" t="str">
        <f>""</f>
        <v/>
      </c>
      <c r="CJ1000" t="str">
        <f>""</f>
        <v/>
      </c>
      <c r="CK1000" t="str">
        <f>""</f>
        <v/>
      </c>
      <c r="CL1000" t="str">
        <f>""</f>
        <v/>
      </c>
      <c r="CM1000" t="str">
        <f>""</f>
        <v/>
      </c>
      <c r="CN1000" t="str">
        <f>""</f>
        <v/>
      </c>
      <c r="CO1000" t="str">
        <f>""</f>
        <v/>
      </c>
      <c r="CP1000" t="str">
        <f>""</f>
        <v/>
      </c>
      <c r="CQ1000" t="str">
        <f>""</f>
        <v/>
      </c>
      <c r="CR1000" t="str">
        <f>""</f>
        <v/>
      </c>
      <c r="CS1000" t="str">
        <f>""</f>
        <v/>
      </c>
      <c r="CT1000" t="str">
        <f>""</f>
        <v/>
      </c>
      <c r="CU1000" t="str">
        <f>""</f>
        <v/>
      </c>
      <c r="CV1000" t="str">
        <f>""</f>
        <v/>
      </c>
      <c r="CW1000" t="str">
        <f>""</f>
        <v/>
      </c>
      <c r="CX1000" t="str">
        <f>""</f>
        <v/>
      </c>
      <c r="CY1000" t="str">
        <f>""</f>
        <v/>
      </c>
      <c r="CZ1000" t="str">
        <f>""</f>
        <v/>
      </c>
      <c r="DA1000" t="str">
        <f>""</f>
        <v/>
      </c>
      <c r="DB1000" t="str">
        <f>""</f>
        <v/>
      </c>
      <c r="DC1000" t="str">
        <f>""</f>
        <v/>
      </c>
      <c r="DD1000" t="str">
        <f>""</f>
        <v/>
      </c>
      <c r="DE1000" t="str">
        <f>""</f>
        <v/>
      </c>
      <c r="DF1000" t="str">
        <f>""</f>
        <v/>
      </c>
      <c r="DG1000" t="str">
        <f>""</f>
        <v/>
      </c>
      <c r="DH1000" t="str">
        <f>""</f>
        <v/>
      </c>
      <c r="DI1000" t="str">
        <f>""</f>
        <v/>
      </c>
      <c r="DJ1000" t="str">
        <f>""</f>
        <v/>
      </c>
      <c r="DK1000" t="str">
        <f>""</f>
        <v/>
      </c>
      <c r="DL1000" t="str">
        <f>""</f>
        <v/>
      </c>
      <c r="DM1000" t="str">
        <f>""</f>
        <v/>
      </c>
      <c r="DN1000" t="str">
        <f>""</f>
        <v/>
      </c>
      <c r="DO1000" t="str">
        <f>""</f>
        <v/>
      </c>
      <c r="DP1000" t="str">
        <f>""</f>
        <v/>
      </c>
      <c r="DQ1000" t="str">
        <f>""</f>
        <v/>
      </c>
      <c r="DR1000" t="str">
        <f>""</f>
        <v/>
      </c>
      <c r="DS1000" t="str">
        <f>""</f>
        <v/>
      </c>
      <c r="DT1000" t="str">
        <f>""</f>
        <v/>
      </c>
      <c r="DU1000" t="str">
        <f>""</f>
        <v/>
      </c>
    </row>
    <row r="1001" spans="1:125" x14ac:dyDescent="0.25">
      <c r="A1001" t="str">
        <f>$A$336</f>
        <v xml:space="preserve">    Bayerische Motoren Werke AG</v>
      </c>
      <c r="B1001" t="str">
        <f>$B$336</f>
        <v>BMW GR Equity</v>
      </c>
      <c r="C1001" t="str">
        <f>$C$336</f>
        <v>RR473</v>
      </c>
      <c r="D1001" t="str">
        <f>$D$336</f>
        <v>EV_TO_T12M_SALES</v>
      </c>
      <c r="E1001" t="str">
        <f>$E$336</f>
        <v>Dynamic</v>
      </c>
      <c r="F1001" t="str">
        <f ca="1">_xll.BDH($B$336,$C$336,$B$675,$B$676,CONCATENATE("Per=",$B$673),"Dts=H","Dir=H",CONCATENATE("Points=",$B$674),"Sort=R","Days=A","Fill=B",CONCATENATE("FX=", $B$672) )</f>
        <v>#N/A Connection</v>
      </c>
      <c r="BN1001" t="str">
        <f>""</f>
        <v/>
      </c>
      <c r="BO1001" t="str">
        <f>""</f>
        <v/>
      </c>
      <c r="BP1001" t="str">
        <f>""</f>
        <v/>
      </c>
      <c r="BQ1001" t="str">
        <f>""</f>
        <v/>
      </c>
      <c r="BR1001" t="str">
        <f>""</f>
        <v/>
      </c>
      <c r="BS1001" t="str">
        <f>""</f>
        <v/>
      </c>
      <c r="BT1001" t="str">
        <f>""</f>
        <v/>
      </c>
      <c r="BU1001" t="str">
        <f>""</f>
        <v/>
      </c>
      <c r="BV1001" t="str">
        <f>""</f>
        <v/>
      </c>
      <c r="BW1001" t="str">
        <f>""</f>
        <v/>
      </c>
      <c r="BX1001" t="str">
        <f>""</f>
        <v/>
      </c>
      <c r="BY1001" t="str">
        <f>""</f>
        <v/>
      </c>
      <c r="BZ1001" t="str">
        <f>""</f>
        <v/>
      </c>
      <c r="CA1001" t="str">
        <f>""</f>
        <v/>
      </c>
      <c r="CB1001" t="str">
        <f>""</f>
        <v/>
      </c>
      <c r="CC1001" t="str">
        <f>""</f>
        <v/>
      </c>
      <c r="CD1001" t="str">
        <f>""</f>
        <v/>
      </c>
      <c r="CE1001" t="str">
        <f>""</f>
        <v/>
      </c>
      <c r="CF1001" t="str">
        <f>""</f>
        <v/>
      </c>
      <c r="CG1001" t="str">
        <f>""</f>
        <v/>
      </c>
      <c r="CH1001" t="str">
        <f>""</f>
        <v/>
      </c>
      <c r="CI1001" t="str">
        <f>""</f>
        <v/>
      </c>
      <c r="CJ1001" t="str">
        <f>""</f>
        <v/>
      </c>
      <c r="CK1001" t="str">
        <f>""</f>
        <v/>
      </c>
      <c r="CL1001" t="str">
        <f>""</f>
        <v/>
      </c>
      <c r="CM1001" t="str">
        <f>""</f>
        <v/>
      </c>
      <c r="CN1001" t="str">
        <f>""</f>
        <v/>
      </c>
      <c r="CO1001" t="str">
        <f>""</f>
        <v/>
      </c>
      <c r="CP1001" t="str">
        <f>""</f>
        <v/>
      </c>
      <c r="CQ1001" t="str">
        <f>""</f>
        <v/>
      </c>
      <c r="CR1001" t="str">
        <f>""</f>
        <v/>
      </c>
      <c r="CS1001" t="str">
        <f>""</f>
        <v/>
      </c>
      <c r="CT1001" t="str">
        <f>""</f>
        <v/>
      </c>
      <c r="CU1001" t="str">
        <f>""</f>
        <v/>
      </c>
      <c r="CV1001" t="str">
        <f>""</f>
        <v/>
      </c>
      <c r="CW1001" t="str">
        <f>""</f>
        <v/>
      </c>
      <c r="CX1001" t="str">
        <f>""</f>
        <v/>
      </c>
      <c r="CY1001" t="str">
        <f>""</f>
        <v/>
      </c>
      <c r="CZ1001" t="str">
        <f>""</f>
        <v/>
      </c>
      <c r="DA1001" t="str">
        <f>""</f>
        <v/>
      </c>
      <c r="DB1001" t="str">
        <f>""</f>
        <v/>
      </c>
      <c r="DC1001" t="str">
        <f>""</f>
        <v/>
      </c>
      <c r="DD1001" t="str">
        <f>""</f>
        <v/>
      </c>
      <c r="DE1001" t="str">
        <f>""</f>
        <v/>
      </c>
      <c r="DF1001" t="str">
        <f>""</f>
        <v/>
      </c>
      <c r="DG1001" t="str">
        <f>""</f>
        <v/>
      </c>
      <c r="DH1001" t="str">
        <f>""</f>
        <v/>
      </c>
      <c r="DI1001" t="str">
        <f>""</f>
        <v/>
      </c>
      <c r="DJ1001" t="str">
        <f>""</f>
        <v/>
      </c>
      <c r="DK1001" t="str">
        <f>""</f>
        <v/>
      </c>
      <c r="DL1001" t="str">
        <f>""</f>
        <v/>
      </c>
      <c r="DM1001" t="str">
        <f>""</f>
        <v/>
      </c>
      <c r="DN1001" t="str">
        <f>""</f>
        <v/>
      </c>
      <c r="DO1001" t="str">
        <f>""</f>
        <v/>
      </c>
      <c r="DP1001" t="str">
        <f>""</f>
        <v/>
      </c>
      <c r="DQ1001" t="str">
        <f>""</f>
        <v/>
      </c>
      <c r="DR1001" t="str">
        <f>""</f>
        <v/>
      </c>
      <c r="DS1001" t="str">
        <f>""</f>
        <v/>
      </c>
      <c r="DT1001" t="str">
        <f>""</f>
        <v/>
      </c>
      <c r="DU1001" t="str">
        <f>""</f>
        <v/>
      </c>
    </row>
    <row r="1002" spans="1:125" x14ac:dyDescent="0.25">
      <c r="A1002" t="str">
        <f>$A$337</f>
        <v xml:space="preserve">    Brilliance China Automotive Holdings Ltd</v>
      </c>
      <c r="B1002" t="str">
        <f>$B$337</f>
        <v>1114 HK Equity</v>
      </c>
      <c r="C1002" t="str">
        <f>$C$337</f>
        <v>RR473</v>
      </c>
      <c r="D1002" t="str">
        <f>$D$337</f>
        <v>EV_TO_T12M_SALES</v>
      </c>
      <c r="E1002" t="str">
        <f>$E$337</f>
        <v>Dynamic</v>
      </c>
      <c r="F1002" t="str">
        <f ca="1">_xll.BDH($B$337,$C$337,$B$675,$B$676,CONCATENATE("Per=",$B$673),"Dts=H","Dir=H",CONCATENATE("Points=",$B$674),"Sort=R","Days=A","Fill=B",CONCATENATE("FX=", $B$672) )</f>
        <v>#N/A Connection</v>
      </c>
      <c r="BN1002" t="str">
        <f>""</f>
        <v/>
      </c>
      <c r="BO1002" t="str">
        <f>""</f>
        <v/>
      </c>
      <c r="BP1002" t="str">
        <f>""</f>
        <v/>
      </c>
      <c r="BQ1002" t="str">
        <f>""</f>
        <v/>
      </c>
      <c r="BR1002" t="str">
        <f>""</f>
        <v/>
      </c>
      <c r="BS1002" t="str">
        <f>""</f>
        <v/>
      </c>
      <c r="BT1002" t="str">
        <f>""</f>
        <v/>
      </c>
      <c r="BU1002" t="str">
        <f>""</f>
        <v/>
      </c>
      <c r="BV1002" t="str">
        <f>""</f>
        <v/>
      </c>
      <c r="BW1002" t="str">
        <f>""</f>
        <v/>
      </c>
      <c r="BX1002" t="str">
        <f>""</f>
        <v/>
      </c>
      <c r="BY1002" t="str">
        <f>""</f>
        <v/>
      </c>
      <c r="BZ1002" t="str">
        <f>""</f>
        <v/>
      </c>
      <c r="CA1002" t="str">
        <f>""</f>
        <v/>
      </c>
      <c r="CB1002" t="str">
        <f>""</f>
        <v/>
      </c>
      <c r="CC1002" t="str">
        <f>""</f>
        <v/>
      </c>
      <c r="CD1002" t="str">
        <f>""</f>
        <v/>
      </c>
      <c r="CE1002" t="str">
        <f>""</f>
        <v/>
      </c>
      <c r="CF1002" t="str">
        <f>""</f>
        <v/>
      </c>
      <c r="CG1002" t="str">
        <f>""</f>
        <v/>
      </c>
      <c r="CH1002" t="str">
        <f>""</f>
        <v/>
      </c>
      <c r="CI1002" t="str">
        <f>""</f>
        <v/>
      </c>
      <c r="CJ1002" t="str">
        <f>""</f>
        <v/>
      </c>
      <c r="CK1002" t="str">
        <f>""</f>
        <v/>
      </c>
      <c r="CL1002" t="str">
        <f>""</f>
        <v/>
      </c>
      <c r="CM1002" t="str">
        <f>""</f>
        <v/>
      </c>
      <c r="CN1002" t="str">
        <f>""</f>
        <v/>
      </c>
      <c r="CO1002" t="str">
        <f>""</f>
        <v/>
      </c>
      <c r="CP1002" t="str">
        <f>""</f>
        <v/>
      </c>
      <c r="CQ1002" t="str">
        <f>""</f>
        <v/>
      </c>
      <c r="CR1002" t="str">
        <f>""</f>
        <v/>
      </c>
      <c r="CS1002" t="str">
        <f>""</f>
        <v/>
      </c>
      <c r="CT1002" t="str">
        <f>""</f>
        <v/>
      </c>
      <c r="CU1002" t="str">
        <f>""</f>
        <v/>
      </c>
      <c r="CV1002" t="str">
        <f>""</f>
        <v/>
      </c>
      <c r="CW1002" t="str">
        <f>""</f>
        <v/>
      </c>
      <c r="CX1002" t="str">
        <f>""</f>
        <v/>
      </c>
      <c r="CY1002" t="str">
        <f>""</f>
        <v/>
      </c>
      <c r="CZ1002" t="str">
        <f>""</f>
        <v/>
      </c>
      <c r="DA1002" t="str">
        <f>""</f>
        <v/>
      </c>
      <c r="DB1002" t="str">
        <f>""</f>
        <v/>
      </c>
      <c r="DC1002" t="str">
        <f>""</f>
        <v/>
      </c>
      <c r="DD1002" t="str">
        <f>""</f>
        <v/>
      </c>
      <c r="DE1002" t="str">
        <f>""</f>
        <v/>
      </c>
      <c r="DF1002" t="str">
        <f>""</f>
        <v/>
      </c>
      <c r="DG1002" t="str">
        <f>""</f>
        <v/>
      </c>
      <c r="DH1002" t="str">
        <f>""</f>
        <v/>
      </c>
      <c r="DI1002" t="str">
        <f>""</f>
        <v/>
      </c>
      <c r="DJ1002" t="str">
        <f>""</f>
        <v/>
      </c>
      <c r="DK1002" t="str">
        <f>""</f>
        <v/>
      </c>
      <c r="DL1002" t="str">
        <f>""</f>
        <v/>
      </c>
      <c r="DM1002" t="str">
        <f>""</f>
        <v/>
      </c>
      <c r="DN1002" t="str">
        <f>""</f>
        <v/>
      </c>
      <c r="DO1002" t="str">
        <f>""</f>
        <v/>
      </c>
      <c r="DP1002" t="str">
        <f>""</f>
        <v/>
      </c>
      <c r="DQ1002" t="str">
        <f>""</f>
        <v/>
      </c>
      <c r="DR1002" t="str">
        <f>""</f>
        <v/>
      </c>
      <c r="DS1002" t="str">
        <f>""</f>
        <v/>
      </c>
      <c r="DT1002" t="str">
        <f>""</f>
        <v/>
      </c>
      <c r="DU1002" t="str">
        <f>""</f>
        <v/>
      </c>
    </row>
    <row r="1003" spans="1:125" x14ac:dyDescent="0.25">
      <c r="A1003" t="str">
        <f>$A$338</f>
        <v xml:space="preserve">    BYD Co Ltd</v>
      </c>
      <c r="B1003" t="str">
        <f>$B$338</f>
        <v>1211 HK Equity</v>
      </c>
      <c r="C1003" t="str">
        <f>$C$338</f>
        <v>RR473</v>
      </c>
      <c r="D1003" t="str">
        <f>$D$338</f>
        <v>EV_TO_T12M_SALES</v>
      </c>
      <c r="E1003" t="str">
        <f>$E$338</f>
        <v>Dynamic</v>
      </c>
      <c r="F1003" t="str">
        <f ca="1">_xll.BDH($B$338,$C$338,$B$675,$B$676,CONCATENATE("Per=",$B$673),"Dts=H","Dir=H",CONCATENATE("Points=",$B$674),"Sort=R","Days=A","Fill=B",CONCATENATE("FX=", $B$672) )</f>
        <v>#N/A Connection</v>
      </c>
      <c r="BN1003" t="str">
        <f>""</f>
        <v/>
      </c>
      <c r="BO1003" t="str">
        <f>""</f>
        <v/>
      </c>
      <c r="BP1003" t="str">
        <f>""</f>
        <v/>
      </c>
      <c r="BQ1003" t="str">
        <f>""</f>
        <v/>
      </c>
      <c r="BR1003" t="str">
        <f>""</f>
        <v/>
      </c>
      <c r="BS1003" t="str">
        <f>""</f>
        <v/>
      </c>
      <c r="BT1003" t="str">
        <f>""</f>
        <v/>
      </c>
      <c r="BU1003" t="str">
        <f>""</f>
        <v/>
      </c>
      <c r="BV1003" t="str">
        <f>""</f>
        <v/>
      </c>
      <c r="BW1003" t="str">
        <f>""</f>
        <v/>
      </c>
      <c r="BX1003" t="str">
        <f>""</f>
        <v/>
      </c>
      <c r="BY1003" t="str">
        <f>""</f>
        <v/>
      </c>
      <c r="BZ1003" t="str">
        <f>""</f>
        <v/>
      </c>
      <c r="CA1003" t="str">
        <f>""</f>
        <v/>
      </c>
      <c r="CB1003" t="str">
        <f>""</f>
        <v/>
      </c>
      <c r="CC1003" t="str">
        <f>""</f>
        <v/>
      </c>
      <c r="CD1003" t="str">
        <f>""</f>
        <v/>
      </c>
      <c r="CE1003" t="str">
        <f>""</f>
        <v/>
      </c>
      <c r="CF1003" t="str">
        <f>""</f>
        <v/>
      </c>
      <c r="CG1003" t="str">
        <f>""</f>
        <v/>
      </c>
      <c r="CH1003" t="str">
        <f>""</f>
        <v/>
      </c>
      <c r="CI1003" t="str">
        <f>""</f>
        <v/>
      </c>
      <c r="CJ1003" t="str">
        <f>""</f>
        <v/>
      </c>
      <c r="CK1003" t="str">
        <f>""</f>
        <v/>
      </c>
      <c r="CL1003" t="str">
        <f>""</f>
        <v/>
      </c>
      <c r="CM1003" t="str">
        <f>""</f>
        <v/>
      </c>
      <c r="CN1003" t="str">
        <f>""</f>
        <v/>
      </c>
      <c r="CO1003" t="str">
        <f>""</f>
        <v/>
      </c>
      <c r="CP1003" t="str">
        <f>""</f>
        <v/>
      </c>
      <c r="CQ1003" t="str">
        <f>""</f>
        <v/>
      </c>
      <c r="CR1003" t="str">
        <f>""</f>
        <v/>
      </c>
      <c r="CS1003" t="str">
        <f>""</f>
        <v/>
      </c>
      <c r="CT1003" t="str">
        <f>""</f>
        <v/>
      </c>
      <c r="CU1003" t="str">
        <f>""</f>
        <v/>
      </c>
      <c r="CV1003" t="str">
        <f>""</f>
        <v/>
      </c>
      <c r="CW1003" t="str">
        <f>""</f>
        <v/>
      </c>
      <c r="CX1003" t="str">
        <f>""</f>
        <v/>
      </c>
      <c r="CY1003" t="str">
        <f>""</f>
        <v/>
      </c>
      <c r="CZ1003" t="str">
        <f>""</f>
        <v/>
      </c>
      <c r="DA1003" t="str">
        <f>""</f>
        <v/>
      </c>
      <c r="DB1003" t="str">
        <f>""</f>
        <v/>
      </c>
      <c r="DC1003" t="str">
        <f>""</f>
        <v/>
      </c>
      <c r="DD1003" t="str">
        <f>""</f>
        <v/>
      </c>
      <c r="DE1003" t="str">
        <f>""</f>
        <v/>
      </c>
      <c r="DF1003" t="str">
        <f>""</f>
        <v/>
      </c>
      <c r="DG1003" t="str">
        <f>""</f>
        <v/>
      </c>
      <c r="DH1003" t="str">
        <f>""</f>
        <v/>
      </c>
      <c r="DI1003" t="str">
        <f>""</f>
        <v/>
      </c>
      <c r="DJ1003" t="str">
        <f>""</f>
        <v/>
      </c>
      <c r="DK1003" t="str">
        <f>""</f>
        <v/>
      </c>
      <c r="DL1003" t="str">
        <f>""</f>
        <v/>
      </c>
      <c r="DM1003" t="str">
        <f>""</f>
        <v/>
      </c>
      <c r="DN1003" t="str">
        <f>""</f>
        <v/>
      </c>
      <c r="DO1003" t="str">
        <f>""</f>
        <v/>
      </c>
      <c r="DP1003" t="str">
        <f>""</f>
        <v/>
      </c>
      <c r="DQ1003" t="str">
        <f>""</f>
        <v/>
      </c>
      <c r="DR1003" t="str">
        <f>""</f>
        <v/>
      </c>
      <c r="DS1003" t="str">
        <f>""</f>
        <v/>
      </c>
      <c r="DT1003" t="str">
        <f>""</f>
        <v/>
      </c>
      <c r="DU1003" t="str">
        <f>""</f>
        <v/>
      </c>
    </row>
    <row r="1004" spans="1:125" x14ac:dyDescent="0.25">
      <c r="A1004" t="str">
        <f>$A$339</f>
        <v xml:space="preserve">    Chongqing Changan Automobile Co Ltd</v>
      </c>
      <c r="B1004" t="str">
        <f>$B$339</f>
        <v>200625 CH Equity</v>
      </c>
      <c r="C1004" t="str">
        <f>$C$339</f>
        <v>RR473</v>
      </c>
      <c r="D1004" t="str">
        <f>$D$339</f>
        <v>EV_TO_T12M_SALES</v>
      </c>
      <c r="E1004" t="str">
        <f>$E$339</f>
        <v>Dynamic</v>
      </c>
      <c r="F1004" t="str">
        <f ca="1">_xll.BDH($B$339,$C$339,$B$675,$B$676,CONCATENATE("Per=",$B$673),"Dts=H","Dir=H",CONCATENATE("Points=",$B$674),"Sort=R","Days=A","Fill=B",CONCATENATE("FX=", $B$672) )</f>
        <v>#N/A Connection</v>
      </c>
      <c r="BN1004" t="str">
        <f>""</f>
        <v/>
      </c>
      <c r="BO1004" t="str">
        <f>""</f>
        <v/>
      </c>
      <c r="BP1004" t="str">
        <f>""</f>
        <v/>
      </c>
      <c r="BQ1004" t="str">
        <f>""</f>
        <v/>
      </c>
      <c r="BR1004" t="str">
        <f>""</f>
        <v/>
      </c>
      <c r="BS1004" t="str">
        <f>""</f>
        <v/>
      </c>
      <c r="BT1004" t="str">
        <f>""</f>
        <v/>
      </c>
      <c r="BU1004" t="str">
        <f>""</f>
        <v/>
      </c>
      <c r="BV1004" t="str">
        <f>""</f>
        <v/>
      </c>
      <c r="BW1004" t="str">
        <f>""</f>
        <v/>
      </c>
      <c r="BX1004" t="str">
        <f>""</f>
        <v/>
      </c>
      <c r="BY1004" t="str">
        <f>""</f>
        <v/>
      </c>
      <c r="BZ1004" t="str">
        <f>""</f>
        <v/>
      </c>
      <c r="CA1004" t="str">
        <f>""</f>
        <v/>
      </c>
      <c r="CB1004" t="str">
        <f>""</f>
        <v/>
      </c>
      <c r="CC1004" t="str">
        <f>""</f>
        <v/>
      </c>
      <c r="CD1004" t="str">
        <f>""</f>
        <v/>
      </c>
      <c r="CE1004" t="str">
        <f>""</f>
        <v/>
      </c>
      <c r="CF1004" t="str">
        <f>""</f>
        <v/>
      </c>
      <c r="CG1004" t="str">
        <f>""</f>
        <v/>
      </c>
      <c r="CH1004" t="str">
        <f>""</f>
        <v/>
      </c>
      <c r="CI1004" t="str">
        <f>""</f>
        <v/>
      </c>
      <c r="CJ1004" t="str">
        <f>""</f>
        <v/>
      </c>
      <c r="CK1004" t="str">
        <f>""</f>
        <v/>
      </c>
      <c r="CL1004" t="str">
        <f>""</f>
        <v/>
      </c>
      <c r="CM1004" t="str">
        <f>""</f>
        <v/>
      </c>
      <c r="CN1004" t="str">
        <f>""</f>
        <v/>
      </c>
      <c r="CO1004" t="str">
        <f>""</f>
        <v/>
      </c>
      <c r="CP1004" t="str">
        <f>""</f>
        <v/>
      </c>
      <c r="CQ1004" t="str">
        <f>""</f>
        <v/>
      </c>
      <c r="CR1004" t="str">
        <f>""</f>
        <v/>
      </c>
      <c r="CS1004" t="str">
        <f>""</f>
        <v/>
      </c>
      <c r="CT1004" t="str">
        <f>""</f>
        <v/>
      </c>
      <c r="CU1004" t="str">
        <f>""</f>
        <v/>
      </c>
      <c r="CV1004" t="str">
        <f>""</f>
        <v/>
      </c>
      <c r="CW1004" t="str">
        <f>""</f>
        <v/>
      </c>
      <c r="CX1004" t="str">
        <f>""</f>
        <v/>
      </c>
      <c r="CY1004" t="str">
        <f>""</f>
        <v/>
      </c>
      <c r="CZ1004" t="str">
        <f>""</f>
        <v/>
      </c>
      <c r="DA1004" t="str">
        <f>""</f>
        <v/>
      </c>
      <c r="DB1004" t="str">
        <f>""</f>
        <v/>
      </c>
      <c r="DC1004" t="str">
        <f>""</f>
        <v/>
      </c>
      <c r="DD1004" t="str">
        <f>""</f>
        <v/>
      </c>
      <c r="DE1004" t="str">
        <f>""</f>
        <v/>
      </c>
      <c r="DF1004" t="str">
        <f>""</f>
        <v/>
      </c>
      <c r="DG1004" t="str">
        <f>""</f>
        <v/>
      </c>
      <c r="DH1004" t="str">
        <f>""</f>
        <v/>
      </c>
      <c r="DI1004" t="str">
        <f>""</f>
        <v/>
      </c>
      <c r="DJ1004" t="str">
        <f>""</f>
        <v/>
      </c>
      <c r="DK1004" t="str">
        <f>""</f>
        <v/>
      </c>
      <c r="DL1004" t="str">
        <f>""</f>
        <v/>
      </c>
      <c r="DM1004" t="str">
        <f>""</f>
        <v/>
      </c>
      <c r="DN1004" t="str">
        <f>""</f>
        <v/>
      </c>
      <c r="DO1004" t="str">
        <f>""</f>
        <v/>
      </c>
      <c r="DP1004" t="str">
        <f>""</f>
        <v/>
      </c>
      <c r="DQ1004" t="str">
        <f>""</f>
        <v/>
      </c>
      <c r="DR1004" t="str">
        <f>""</f>
        <v/>
      </c>
      <c r="DS1004" t="str">
        <f>""</f>
        <v/>
      </c>
      <c r="DT1004" t="str">
        <f>""</f>
        <v/>
      </c>
      <c r="DU1004" t="str">
        <f>""</f>
        <v/>
      </c>
    </row>
    <row r="1005" spans="1:125" x14ac:dyDescent="0.25">
      <c r="A1005" t="str">
        <f>$A$340</f>
        <v xml:space="preserve">    Daihatsu Motor Co Ltd</v>
      </c>
      <c r="B1005" t="str">
        <f>$B$340</f>
        <v>7262 JP Equity</v>
      </c>
      <c r="C1005" t="str">
        <f>$C$340</f>
        <v>RR473</v>
      </c>
      <c r="D1005" t="str">
        <f>$D$340</f>
        <v>EV_TO_T12M_SALES</v>
      </c>
      <c r="E1005" t="str">
        <f>$E$340</f>
        <v>Dynamic</v>
      </c>
      <c r="F1005" t="str">
        <f ca="1">_xll.BDH($B$340,$C$340,$B$675,$B$676,CONCATENATE("Per=",$B$673),"Dts=H","Dir=H",CONCATENATE("Points=",$B$674),"Sort=R","Days=A","Fill=B",CONCATENATE("FX=", $B$672) )</f>
        <v>#N/A Connection</v>
      </c>
      <c r="BN1005" t="str">
        <f>""</f>
        <v/>
      </c>
      <c r="BO1005" t="str">
        <f>""</f>
        <v/>
      </c>
      <c r="BP1005" t="str">
        <f>""</f>
        <v/>
      </c>
      <c r="BQ1005" t="str">
        <f>""</f>
        <v/>
      </c>
      <c r="BR1005" t="str">
        <f>""</f>
        <v/>
      </c>
      <c r="BS1005" t="str">
        <f>""</f>
        <v/>
      </c>
      <c r="BT1005" t="str">
        <f>""</f>
        <v/>
      </c>
      <c r="BU1005" t="str">
        <f>""</f>
        <v/>
      </c>
      <c r="BV1005" t="str">
        <f>""</f>
        <v/>
      </c>
      <c r="BW1005" t="str">
        <f>""</f>
        <v/>
      </c>
      <c r="BX1005" t="str">
        <f>""</f>
        <v/>
      </c>
      <c r="BY1005" t="str">
        <f>""</f>
        <v/>
      </c>
      <c r="BZ1005" t="str">
        <f>""</f>
        <v/>
      </c>
      <c r="CA1005" t="str">
        <f>""</f>
        <v/>
      </c>
      <c r="CB1005" t="str">
        <f>""</f>
        <v/>
      </c>
      <c r="CC1005" t="str">
        <f>""</f>
        <v/>
      </c>
      <c r="CD1005" t="str">
        <f>""</f>
        <v/>
      </c>
      <c r="CE1005" t="str">
        <f>""</f>
        <v/>
      </c>
      <c r="CF1005" t="str">
        <f>""</f>
        <v/>
      </c>
      <c r="CG1005" t="str">
        <f>""</f>
        <v/>
      </c>
      <c r="CH1005" t="str">
        <f>""</f>
        <v/>
      </c>
      <c r="CI1005" t="str">
        <f>""</f>
        <v/>
      </c>
      <c r="CJ1005" t="str">
        <f>""</f>
        <v/>
      </c>
      <c r="CK1005" t="str">
        <f>""</f>
        <v/>
      </c>
      <c r="CL1005" t="str">
        <f>""</f>
        <v/>
      </c>
      <c r="CM1005" t="str">
        <f>""</f>
        <v/>
      </c>
      <c r="CN1005" t="str">
        <f>""</f>
        <v/>
      </c>
      <c r="CO1005" t="str">
        <f>""</f>
        <v/>
      </c>
      <c r="CP1005" t="str">
        <f>""</f>
        <v/>
      </c>
      <c r="CQ1005" t="str">
        <f>""</f>
        <v/>
      </c>
      <c r="CR1005" t="str">
        <f>""</f>
        <v/>
      </c>
      <c r="CS1005" t="str">
        <f>""</f>
        <v/>
      </c>
      <c r="CT1005" t="str">
        <f>""</f>
        <v/>
      </c>
      <c r="CU1005" t="str">
        <f>""</f>
        <v/>
      </c>
      <c r="CV1005" t="str">
        <f>""</f>
        <v/>
      </c>
      <c r="CW1005" t="str">
        <f>""</f>
        <v/>
      </c>
      <c r="CX1005" t="str">
        <f>""</f>
        <v/>
      </c>
      <c r="CY1005" t="str">
        <f>""</f>
        <v/>
      </c>
      <c r="CZ1005" t="str">
        <f>""</f>
        <v/>
      </c>
      <c r="DA1005" t="str">
        <f>""</f>
        <v/>
      </c>
      <c r="DB1005" t="str">
        <f>""</f>
        <v/>
      </c>
      <c r="DC1005" t="str">
        <f>""</f>
        <v/>
      </c>
      <c r="DD1005" t="str">
        <f>""</f>
        <v/>
      </c>
      <c r="DE1005" t="str">
        <f>""</f>
        <v/>
      </c>
      <c r="DF1005" t="str">
        <f>""</f>
        <v/>
      </c>
      <c r="DG1005" t="str">
        <f>""</f>
        <v/>
      </c>
      <c r="DH1005" t="str">
        <f>""</f>
        <v/>
      </c>
      <c r="DI1005" t="str">
        <f>""</f>
        <v/>
      </c>
      <c r="DJ1005" t="str">
        <f>""</f>
        <v/>
      </c>
      <c r="DK1005" t="str">
        <f>""</f>
        <v/>
      </c>
      <c r="DL1005" t="str">
        <f>""</f>
        <v/>
      </c>
      <c r="DM1005" t="str">
        <f>""</f>
        <v/>
      </c>
      <c r="DN1005" t="str">
        <f>""</f>
        <v/>
      </c>
      <c r="DO1005" t="str">
        <f>""</f>
        <v/>
      </c>
      <c r="DP1005" t="str">
        <f>""</f>
        <v/>
      </c>
      <c r="DQ1005" t="str">
        <f>""</f>
        <v/>
      </c>
      <c r="DR1005" t="str">
        <f>""</f>
        <v/>
      </c>
      <c r="DS1005" t="str">
        <f>""</f>
        <v/>
      </c>
      <c r="DT1005" t="str">
        <f>""</f>
        <v/>
      </c>
      <c r="DU1005" t="str">
        <f>""</f>
        <v/>
      </c>
    </row>
    <row r="1006" spans="1:125" x14ac:dyDescent="0.25">
      <c r="A1006" t="str">
        <f>$A$341</f>
        <v xml:space="preserve">    Daimler AG</v>
      </c>
      <c r="B1006" t="str">
        <f>$B$341</f>
        <v>DAI GR Equity</v>
      </c>
      <c r="C1006" t="str">
        <f>$C$341</f>
        <v>RR473</v>
      </c>
      <c r="D1006" t="str">
        <f>$D$341</f>
        <v>EV_TO_T12M_SALES</v>
      </c>
      <c r="E1006" t="str">
        <f>$E$341</f>
        <v>Dynamic</v>
      </c>
      <c r="F1006" t="str">
        <f ca="1">_xll.BDH($B$341,$C$341,$B$675,$B$676,CONCATENATE("Per=",$B$673),"Dts=H","Dir=H",CONCATENATE("Points=",$B$674),"Sort=R","Days=A","Fill=B",CONCATENATE("FX=", $B$672) )</f>
        <v>#N/A Connection</v>
      </c>
      <c r="BN1006" t="str">
        <f>""</f>
        <v/>
      </c>
      <c r="BO1006" t="str">
        <f>""</f>
        <v/>
      </c>
      <c r="BP1006" t="str">
        <f>""</f>
        <v/>
      </c>
      <c r="BQ1006" t="str">
        <f>""</f>
        <v/>
      </c>
      <c r="BR1006" t="str">
        <f>""</f>
        <v/>
      </c>
      <c r="BS1006" t="str">
        <f>""</f>
        <v/>
      </c>
      <c r="BT1006" t="str">
        <f>""</f>
        <v/>
      </c>
      <c r="BU1006" t="str">
        <f>""</f>
        <v/>
      </c>
      <c r="BV1006" t="str">
        <f>""</f>
        <v/>
      </c>
      <c r="BW1006" t="str">
        <f>""</f>
        <v/>
      </c>
      <c r="BX1006" t="str">
        <f>""</f>
        <v/>
      </c>
      <c r="BY1006" t="str">
        <f>""</f>
        <v/>
      </c>
      <c r="BZ1006" t="str">
        <f>""</f>
        <v/>
      </c>
      <c r="CA1006" t="str">
        <f>""</f>
        <v/>
      </c>
      <c r="CB1006" t="str">
        <f>""</f>
        <v/>
      </c>
      <c r="CC1006" t="str">
        <f>""</f>
        <v/>
      </c>
      <c r="CD1006" t="str">
        <f>""</f>
        <v/>
      </c>
      <c r="CE1006" t="str">
        <f>""</f>
        <v/>
      </c>
      <c r="CF1006" t="str">
        <f>""</f>
        <v/>
      </c>
      <c r="CG1006" t="str">
        <f>""</f>
        <v/>
      </c>
      <c r="CH1006" t="str">
        <f>""</f>
        <v/>
      </c>
      <c r="CI1006" t="str">
        <f>""</f>
        <v/>
      </c>
      <c r="CJ1006" t="str">
        <f>""</f>
        <v/>
      </c>
      <c r="CK1006" t="str">
        <f>""</f>
        <v/>
      </c>
      <c r="CL1006" t="str">
        <f>""</f>
        <v/>
      </c>
      <c r="CM1006" t="str">
        <f>""</f>
        <v/>
      </c>
      <c r="CN1006" t="str">
        <f>""</f>
        <v/>
      </c>
      <c r="CO1006" t="str">
        <f>""</f>
        <v/>
      </c>
      <c r="CP1006" t="str">
        <f>""</f>
        <v/>
      </c>
      <c r="CQ1006" t="str">
        <f>""</f>
        <v/>
      </c>
      <c r="CR1006" t="str">
        <f>""</f>
        <v/>
      </c>
      <c r="CS1006" t="str">
        <f>""</f>
        <v/>
      </c>
      <c r="CT1006" t="str">
        <f>""</f>
        <v/>
      </c>
      <c r="CU1006" t="str">
        <f>""</f>
        <v/>
      </c>
      <c r="CV1006" t="str">
        <f>""</f>
        <v/>
      </c>
      <c r="CW1006" t="str">
        <f>""</f>
        <v/>
      </c>
      <c r="CX1006" t="str">
        <f>""</f>
        <v/>
      </c>
      <c r="CY1006" t="str">
        <f>""</f>
        <v/>
      </c>
      <c r="CZ1006" t="str">
        <f>""</f>
        <v/>
      </c>
      <c r="DA1006" t="str">
        <f>""</f>
        <v/>
      </c>
      <c r="DB1006" t="str">
        <f>""</f>
        <v/>
      </c>
      <c r="DC1006" t="str">
        <f>""</f>
        <v/>
      </c>
      <c r="DD1006" t="str">
        <f>""</f>
        <v/>
      </c>
      <c r="DE1006" t="str">
        <f>""</f>
        <v/>
      </c>
      <c r="DF1006" t="str">
        <f>""</f>
        <v/>
      </c>
      <c r="DG1006" t="str">
        <f>""</f>
        <v/>
      </c>
      <c r="DH1006" t="str">
        <f>""</f>
        <v/>
      </c>
      <c r="DI1006" t="str">
        <f>""</f>
        <v/>
      </c>
      <c r="DJ1006" t="str">
        <f>""</f>
        <v/>
      </c>
      <c r="DK1006" t="str">
        <f>""</f>
        <v/>
      </c>
      <c r="DL1006" t="str">
        <f>""</f>
        <v/>
      </c>
      <c r="DM1006" t="str">
        <f>""</f>
        <v/>
      </c>
      <c r="DN1006" t="str">
        <f>""</f>
        <v/>
      </c>
      <c r="DO1006" t="str">
        <f>""</f>
        <v/>
      </c>
      <c r="DP1006" t="str">
        <f>""</f>
        <v/>
      </c>
      <c r="DQ1006" t="str">
        <f>""</f>
        <v/>
      </c>
      <c r="DR1006" t="str">
        <f>""</f>
        <v/>
      </c>
      <c r="DS1006" t="str">
        <f>""</f>
        <v/>
      </c>
      <c r="DT1006" t="str">
        <f>""</f>
        <v/>
      </c>
      <c r="DU1006" t="str">
        <f>""</f>
        <v/>
      </c>
    </row>
    <row r="1007" spans="1:125" x14ac:dyDescent="0.25">
      <c r="A1007" t="str">
        <f>$A$342</f>
        <v xml:space="preserve">    Dongfeng Motor Group Co Ltd</v>
      </c>
      <c r="B1007" t="str">
        <f>$B$342</f>
        <v>489 HK Equity</v>
      </c>
      <c r="C1007" t="str">
        <f>$C$342</f>
        <v>RR473</v>
      </c>
      <c r="D1007" t="str">
        <f>$D$342</f>
        <v>EV_TO_T12M_SALES</v>
      </c>
      <c r="E1007" t="str">
        <f>$E$342</f>
        <v>Dynamic</v>
      </c>
      <c r="F1007" t="str">
        <f ca="1">_xll.BDH($B$342,$C$342,$B$675,$B$676,CONCATENATE("Per=",$B$673),"Dts=H","Dir=H",CONCATENATE("Points=",$B$674),"Sort=R","Days=A","Fill=B",CONCATENATE("FX=", $B$672) )</f>
        <v>#N/A Connection</v>
      </c>
      <c r="BN1007" t="str">
        <f>""</f>
        <v/>
      </c>
      <c r="BO1007" t="str">
        <f>""</f>
        <v/>
      </c>
      <c r="BP1007" t="str">
        <f>""</f>
        <v/>
      </c>
      <c r="BQ1007" t="str">
        <f>""</f>
        <v/>
      </c>
      <c r="BR1007" t="str">
        <f>""</f>
        <v/>
      </c>
      <c r="BS1007" t="str">
        <f>""</f>
        <v/>
      </c>
      <c r="BT1007" t="str">
        <f>""</f>
        <v/>
      </c>
      <c r="BU1007" t="str">
        <f>""</f>
        <v/>
      </c>
      <c r="BV1007" t="str">
        <f>""</f>
        <v/>
      </c>
      <c r="BW1007" t="str">
        <f>""</f>
        <v/>
      </c>
      <c r="BX1007" t="str">
        <f>""</f>
        <v/>
      </c>
      <c r="BY1007" t="str">
        <f>""</f>
        <v/>
      </c>
      <c r="BZ1007" t="str">
        <f>""</f>
        <v/>
      </c>
      <c r="CA1007" t="str">
        <f>""</f>
        <v/>
      </c>
      <c r="CB1007" t="str">
        <f>""</f>
        <v/>
      </c>
      <c r="CC1007" t="str">
        <f>""</f>
        <v/>
      </c>
      <c r="CD1007" t="str">
        <f>""</f>
        <v/>
      </c>
      <c r="CE1007" t="str">
        <f>""</f>
        <v/>
      </c>
      <c r="CF1007" t="str">
        <f>""</f>
        <v/>
      </c>
      <c r="CG1007" t="str">
        <f>""</f>
        <v/>
      </c>
      <c r="CH1007" t="str">
        <f>""</f>
        <v/>
      </c>
      <c r="CI1007" t="str">
        <f>""</f>
        <v/>
      </c>
      <c r="CJ1007" t="str">
        <f>""</f>
        <v/>
      </c>
      <c r="CK1007" t="str">
        <f>""</f>
        <v/>
      </c>
      <c r="CL1007" t="str">
        <f>""</f>
        <v/>
      </c>
      <c r="CM1007" t="str">
        <f>""</f>
        <v/>
      </c>
      <c r="CN1007" t="str">
        <f>""</f>
        <v/>
      </c>
      <c r="CO1007" t="str">
        <f>""</f>
        <v/>
      </c>
      <c r="CP1007" t="str">
        <f>""</f>
        <v/>
      </c>
      <c r="CQ1007" t="str">
        <f>""</f>
        <v/>
      </c>
      <c r="CR1007" t="str">
        <f>""</f>
        <v/>
      </c>
      <c r="CS1007" t="str">
        <f>""</f>
        <v/>
      </c>
      <c r="CT1007" t="str">
        <f>""</f>
        <v/>
      </c>
      <c r="CU1007" t="str">
        <f>""</f>
        <v/>
      </c>
      <c r="CV1007" t="str">
        <f>""</f>
        <v/>
      </c>
      <c r="CW1007" t="str">
        <f>""</f>
        <v/>
      </c>
      <c r="CX1007" t="str">
        <f>""</f>
        <v/>
      </c>
      <c r="CY1007" t="str">
        <f>""</f>
        <v/>
      </c>
      <c r="CZ1007" t="str">
        <f>""</f>
        <v/>
      </c>
      <c r="DA1007" t="str">
        <f>""</f>
        <v/>
      </c>
      <c r="DB1007" t="str">
        <f>""</f>
        <v/>
      </c>
      <c r="DC1007" t="str">
        <f>""</f>
        <v/>
      </c>
      <c r="DD1007" t="str">
        <f>""</f>
        <v/>
      </c>
      <c r="DE1007" t="str">
        <f>""</f>
        <v/>
      </c>
      <c r="DF1007" t="str">
        <f>""</f>
        <v/>
      </c>
      <c r="DG1007" t="str">
        <f>""</f>
        <v/>
      </c>
      <c r="DH1007" t="str">
        <f>""</f>
        <v/>
      </c>
      <c r="DI1007" t="str">
        <f>""</f>
        <v/>
      </c>
      <c r="DJ1007" t="str">
        <f>""</f>
        <v/>
      </c>
      <c r="DK1007" t="str">
        <f>""</f>
        <v/>
      </c>
      <c r="DL1007" t="str">
        <f>""</f>
        <v/>
      </c>
      <c r="DM1007" t="str">
        <f>""</f>
        <v/>
      </c>
      <c r="DN1007" t="str">
        <f>""</f>
        <v/>
      </c>
      <c r="DO1007" t="str">
        <f>""</f>
        <v/>
      </c>
      <c r="DP1007" t="str">
        <f>""</f>
        <v/>
      </c>
      <c r="DQ1007" t="str">
        <f>""</f>
        <v/>
      </c>
      <c r="DR1007" t="str">
        <f>""</f>
        <v/>
      </c>
      <c r="DS1007" t="str">
        <f>""</f>
        <v/>
      </c>
      <c r="DT1007" t="str">
        <f>""</f>
        <v/>
      </c>
      <c r="DU1007" t="str">
        <f>""</f>
        <v/>
      </c>
    </row>
    <row r="1008" spans="1:125" x14ac:dyDescent="0.25">
      <c r="A1008" t="str">
        <f>$A$343</f>
        <v xml:space="preserve">    DRB-Hicom Bhd</v>
      </c>
      <c r="B1008" t="str">
        <f>$B$343</f>
        <v>DRB MK Equity</v>
      </c>
      <c r="C1008" t="str">
        <f>$C$343</f>
        <v>RR473</v>
      </c>
      <c r="D1008" t="str">
        <f>$D$343</f>
        <v>EV_TO_T12M_SALES</v>
      </c>
      <c r="E1008" t="str">
        <f>$E$343</f>
        <v>Dynamic</v>
      </c>
      <c r="F1008" t="str">
        <f ca="1">_xll.BDH($B$343,$C$343,$B$675,$B$676,CONCATENATE("Per=",$B$673),"Dts=H","Dir=H",CONCATENATE("Points=",$B$674),"Sort=R","Days=A","Fill=B",CONCATENATE("FX=", $B$672) )</f>
        <v>#N/A Connection</v>
      </c>
      <c r="BN1008" t="str">
        <f>""</f>
        <v/>
      </c>
      <c r="BO1008" t="str">
        <f>""</f>
        <v/>
      </c>
      <c r="BP1008" t="str">
        <f>""</f>
        <v/>
      </c>
      <c r="BQ1008" t="str">
        <f>""</f>
        <v/>
      </c>
      <c r="BR1008" t="str">
        <f>""</f>
        <v/>
      </c>
      <c r="BS1008" t="str">
        <f>""</f>
        <v/>
      </c>
      <c r="BT1008" t="str">
        <f>""</f>
        <v/>
      </c>
      <c r="BU1008" t="str">
        <f>""</f>
        <v/>
      </c>
      <c r="BV1008" t="str">
        <f>""</f>
        <v/>
      </c>
      <c r="BW1008" t="str">
        <f>""</f>
        <v/>
      </c>
      <c r="BX1008" t="str">
        <f>""</f>
        <v/>
      </c>
      <c r="BY1008" t="str">
        <f>""</f>
        <v/>
      </c>
      <c r="BZ1008" t="str">
        <f>""</f>
        <v/>
      </c>
      <c r="CA1008" t="str">
        <f>""</f>
        <v/>
      </c>
      <c r="CB1008" t="str">
        <f>""</f>
        <v/>
      </c>
      <c r="CC1008" t="str">
        <f>""</f>
        <v/>
      </c>
      <c r="CD1008" t="str">
        <f>""</f>
        <v/>
      </c>
      <c r="CE1008" t="str">
        <f>""</f>
        <v/>
      </c>
      <c r="CF1008" t="str">
        <f>""</f>
        <v/>
      </c>
      <c r="CG1008" t="str">
        <f>""</f>
        <v/>
      </c>
      <c r="CH1008" t="str">
        <f>""</f>
        <v/>
      </c>
      <c r="CI1008" t="str">
        <f>""</f>
        <v/>
      </c>
      <c r="CJ1008" t="str">
        <f>""</f>
        <v/>
      </c>
      <c r="CK1008" t="str">
        <f>""</f>
        <v/>
      </c>
      <c r="CL1008" t="str">
        <f>""</f>
        <v/>
      </c>
      <c r="CM1008" t="str">
        <f>""</f>
        <v/>
      </c>
      <c r="CN1008" t="str">
        <f>""</f>
        <v/>
      </c>
      <c r="CO1008" t="str">
        <f>""</f>
        <v/>
      </c>
      <c r="CP1008" t="str">
        <f>""</f>
        <v/>
      </c>
      <c r="CQ1008" t="str">
        <f>""</f>
        <v/>
      </c>
      <c r="CR1008" t="str">
        <f>""</f>
        <v/>
      </c>
      <c r="CS1008" t="str">
        <f>""</f>
        <v/>
      </c>
      <c r="CT1008" t="str">
        <f>""</f>
        <v/>
      </c>
      <c r="CU1008" t="str">
        <f>""</f>
        <v/>
      </c>
      <c r="CV1008" t="str">
        <f>""</f>
        <v/>
      </c>
      <c r="CW1008" t="str">
        <f>""</f>
        <v/>
      </c>
      <c r="CX1008" t="str">
        <f>""</f>
        <v/>
      </c>
      <c r="CY1008" t="str">
        <f>""</f>
        <v/>
      </c>
      <c r="CZ1008" t="str">
        <f>""</f>
        <v/>
      </c>
      <c r="DA1008" t="str">
        <f>""</f>
        <v/>
      </c>
      <c r="DB1008" t="str">
        <f>""</f>
        <v/>
      </c>
      <c r="DC1008" t="str">
        <f>""</f>
        <v/>
      </c>
      <c r="DD1008" t="str">
        <f>""</f>
        <v/>
      </c>
      <c r="DE1008" t="str">
        <f>""</f>
        <v/>
      </c>
      <c r="DF1008" t="str">
        <f>""</f>
        <v/>
      </c>
      <c r="DG1008" t="str">
        <f>""</f>
        <v/>
      </c>
      <c r="DH1008" t="str">
        <f>""</f>
        <v/>
      </c>
      <c r="DI1008" t="str">
        <f>""</f>
        <v/>
      </c>
      <c r="DJ1008" t="str">
        <f>""</f>
        <v/>
      </c>
      <c r="DK1008" t="str">
        <f>""</f>
        <v/>
      </c>
      <c r="DL1008" t="str">
        <f>""</f>
        <v/>
      </c>
      <c r="DM1008" t="str">
        <f>""</f>
        <v/>
      </c>
      <c r="DN1008" t="str">
        <f>""</f>
        <v/>
      </c>
      <c r="DO1008" t="str">
        <f>""</f>
        <v/>
      </c>
      <c r="DP1008" t="str">
        <f>""</f>
        <v/>
      </c>
      <c r="DQ1008" t="str">
        <f>""</f>
        <v/>
      </c>
      <c r="DR1008" t="str">
        <f>""</f>
        <v/>
      </c>
      <c r="DS1008" t="str">
        <f>""</f>
        <v/>
      </c>
      <c r="DT1008" t="str">
        <f>""</f>
        <v/>
      </c>
      <c r="DU1008" t="str">
        <f>""</f>
        <v/>
      </c>
    </row>
    <row r="1009" spans="1:125" x14ac:dyDescent="0.25">
      <c r="A1009" t="str">
        <f>$A$344</f>
        <v xml:space="preserve">    FAW CAR Co Ltd</v>
      </c>
      <c r="B1009" t="str">
        <f>$B$344</f>
        <v>000800 CH Equity</v>
      </c>
      <c r="C1009" t="str">
        <f>$C$344</f>
        <v>RR473</v>
      </c>
      <c r="D1009" t="str">
        <f>$D$344</f>
        <v>EV_TO_T12M_SALES</v>
      </c>
      <c r="E1009" t="str">
        <f>$E$344</f>
        <v>Dynamic</v>
      </c>
      <c r="F1009" t="str">
        <f ca="1">_xll.BDH($B$344,$C$344,$B$675,$B$676,CONCATENATE("Per=",$B$673),"Dts=H","Dir=H",CONCATENATE("Points=",$B$674),"Sort=R","Days=A","Fill=B",CONCATENATE("FX=", $B$672) )</f>
        <v>#N/A Connection</v>
      </c>
      <c r="BN1009" t="str">
        <f>""</f>
        <v/>
      </c>
      <c r="BO1009" t="str">
        <f>""</f>
        <v/>
      </c>
      <c r="BP1009" t="str">
        <f>""</f>
        <v/>
      </c>
      <c r="BQ1009" t="str">
        <f>""</f>
        <v/>
      </c>
      <c r="BR1009" t="str">
        <f>""</f>
        <v/>
      </c>
      <c r="BS1009" t="str">
        <f>""</f>
        <v/>
      </c>
      <c r="BT1009" t="str">
        <f>""</f>
        <v/>
      </c>
      <c r="BU1009" t="str">
        <f>""</f>
        <v/>
      </c>
      <c r="BV1009" t="str">
        <f>""</f>
        <v/>
      </c>
      <c r="BW1009" t="str">
        <f>""</f>
        <v/>
      </c>
      <c r="BX1009" t="str">
        <f>""</f>
        <v/>
      </c>
      <c r="BY1009" t="str">
        <f>""</f>
        <v/>
      </c>
      <c r="BZ1009" t="str">
        <f>""</f>
        <v/>
      </c>
      <c r="CA1009" t="str">
        <f>""</f>
        <v/>
      </c>
      <c r="CB1009" t="str">
        <f>""</f>
        <v/>
      </c>
      <c r="CC1009" t="str">
        <f>""</f>
        <v/>
      </c>
      <c r="CD1009" t="str">
        <f>""</f>
        <v/>
      </c>
      <c r="CE1009" t="str">
        <f>""</f>
        <v/>
      </c>
      <c r="CF1009" t="str">
        <f>""</f>
        <v/>
      </c>
      <c r="CG1009" t="str">
        <f>""</f>
        <v/>
      </c>
      <c r="CH1009" t="str">
        <f>""</f>
        <v/>
      </c>
      <c r="CI1009" t="str">
        <f>""</f>
        <v/>
      </c>
      <c r="CJ1009" t="str">
        <f>""</f>
        <v/>
      </c>
      <c r="CK1009" t="str">
        <f>""</f>
        <v/>
      </c>
      <c r="CL1009" t="str">
        <f>""</f>
        <v/>
      </c>
      <c r="CM1009" t="str">
        <f>""</f>
        <v/>
      </c>
      <c r="CN1009" t="str">
        <f>""</f>
        <v/>
      </c>
      <c r="CO1009" t="str">
        <f>""</f>
        <v/>
      </c>
      <c r="CP1009" t="str">
        <f>""</f>
        <v/>
      </c>
      <c r="CQ1009" t="str">
        <f>""</f>
        <v/>
      </c>
      <c r="CR1009" t="str">
        <f>""</f>
        <v/>
      </c>
      <c r="CS1009" t="str">
        <f>""</f>
        <v/>
      </c>
      <c r="CT1009" t="str">
        <f>""</f>
        <v/>
      </c>
      <c r="CU1009" t="str">
        <f>""</f>
        <v/>
      </c>
      <c r="CV1009" t="str">
        <f>""</f>
        <v/>
      </c>
      <c r="CW1009" t="str">
        <f>""</f>
        <v/>
      </c>
      <c r="CX1009" t="str">
        <f>""</f>
        <v/>
      </c>
      <c r="CY1009" t="str">
        <f>""</f>
        <v/>
      </c>
      <c r="CZ1009" t="str">
        <f>""</f>
        <v/>
      </c>
      <c r="DA1009" t="str">
        <f>""</f>
        <v/>
      </c>
      <c r="DB1009" t="str">
        <f>""</f>
        <v/>
      </c>
      <c r="DC1009" t="str">
        <f>""</f>
        <v/>
      </c>
      <c r="DD1009" t="str">
        <f>""</f>
        <v/>
      </c>
      <c r="DE1009" t="str">
        <f>""</f>
        <v/>
      </c>
      <c r="DF1009" t="str">
        <f>""</f>
        <v/>
      </c>
      <c r="DG1009" t="str">
        <f>""</f>
        <v/>
      </c>
      <c r="DH1009" t="str">
        <f>""</f>
        <v/>
      </c>
      <c r="DI1009" t="str">
        <f>""</f>
        <v/>
      </c>
      <c r="DJ1009" t="str">
        <f>""</f>
        <v/>
      </c>
      <c r="DK1009" t="str">
        <f>""</f>
        <v/>
      </c>
      <c r="DL1009" t="str">
        <f>""</f>
        <v/>
      </c>
      <c r="DM1009" t="str">
        <f>""</f>
        <v/>
      </c>
      <c r="DN1009" t="str">
        <f>""</f>
        <v/>
      </c>
      <c r="DO1009" t="str">
        <f>""</f>
        <v/>
      </c>
      <c r="DP1009" t="str">
        <f>""</f>
        <v/>
      </c>
      <c r="DQ1009" t="str">
        <f>""</f>
        <v/>
      </c>
      <c r="DR1009" t="str">
        <f>""</f>
        <v/>
      </c>
      <c r="DS1009" t="str">
        <f>""</f>
        <v/>
      </c>
      <c r="DT1009" t="str">
        <f>""</f>
        <v/>
      </c>
      <c r="DU1009" t="str">
        <f>""</f>
        <v/>
      </c>
    </row>
    <row r="1010" spans="1:125" x14ac:dyDescent="0.25">
      <c r="A1010" t="str">
        <f>$A$345</f>
        <v xml:space="preserve">    Fiat Chrysler Automobiles NV</v>
      </c>
      <c r="B1010" t="str">
        <f>$B$345</f>
        <v>FCAU US Equity</v>
      </c>
      <c r="C1010" t="str">
        <f>$C$345</f>
        <v>RR473</v>
      </c>
      <c r="D1010" t="str">
        <f>$D$345</f>
        <v>EV_TO_T12M_SALES</v>
      </c>
      <c r="E1010" t="str">
        <f>$E$345</f>
        <v>Dynamic</v>
      </c>
      <c r="F1010" t="str">
        <f ca="1">_xll.BDH($B$345,$C$345,$B$675,$B$676,CONCATENATE("Per=",$B$673),"Dts=H","Dir=H",CONCATENATE("Points=",$B$674),"Sort=R","Days=A","Fill=B",CONCATENATE("FX=", $B$672) )</f>
        <v>#N/A Connection</v>
      </c>
      <c r="BN1010" t="str">
        <f>""</f>
        <v/>
      </c>
      <c r="BO1010" t="str">
        <f>""</f>
        <v/>
      </c>
      <c r="BP1010" t="str">
        <f>""</f>
        <v/>
      </c>
      <c r="BQ1010" t="str">
        <f>""</f>
        <v/>
      </c>
      <c r="BR1010" t="str">
        <f>""</f>
        <v/>
      </c>
      <c r="BS1010" t="str">
        <f>""</f>
        <v/>
      </c>
      <c r="BT1010" t="str">
        <f>""</f>
        <v/>
      </c>
      <c r="BU1010" t="str">
        <f>""</f>
        <v/>
      </c>
      <c r="BV1010" t="str">
        <f>""</f>
        <v/>
      </c>
      <c r="BW1010" t="str">
        <f>""</f>
        <v/>
      </c>
      <c r="BX1010" t="str">
        <f>""</f>
        <v/>
      </c>
      <c r="BY1010" t="str">
        <f>""</f>
        <v/>
      </c>
      <c r="BZ1010" t="str">
        <f>""</f>
        <v/>
      </c>
      <c r="CA1010" t="str">
        <f>""</f>
        <v/>
      </c>
      <c r="CB1010" t="str">
        <f>""</f>
        <v/>
      </c>
      <c r="CC1010" t="str">
        <f>""</f>
        <v/>
      </c>
      <c r="CD1010" t="str">
        <f>""</f>
        <v/>
      </c>
      <c r="CE1010" t="str">
        <f>""</f>
        <v/>
      </c>
      <c r="CF1010" t="str">
        <f>""</f>
        <v/>
      </c>
      <c r="CG1010" t="str">
        <f>""</f>
        <v/>
      </c>
      <c r="CH1010" t="str">
        <f>""</f>
        <v/>
      </c>
      <c r="CI1010" t="str">
        <f>""</f>
        <v/>
      </c>
      <c r="CJ1010" t="str">
        <f>""</f>
        <v/>
      </c>
      <c r="CK1010" t="str">
        <f>""</f>
        <v/>
      </c>
      <c r="CL1010" t="str">
        <f>""</f>
        <v/>
      </c>
      <c r="CM1010" t="str">
        <f>""</f>
        <v/>
      </c>
      <c r="CN1010" t="str">
        <f>""</f>
        <v/>
      </c>
      <c r="CO1010" t="str">
        <f>""</f>
        <v/>
      </c>
      <c r="CP1010" t="str">
        <f>""</f>
        <v/>
      </c>
      <c r="CQ1010" t="str">
        <f>""</f>
        <v/>
      </c>
      <c r="CR1010" t="str">
        <f>""</f>
        <v/>
      </c>
      <c r="CS1010" t="str">
        <f>""</f>
        <v/>
      </c>
      <c r="CT1010" t="str">
        <f>""</f>
        <v/>
      </c>
      <c r="CU1010" t="str">
        <f>""</f>
        <v/>
      </c>
      <c r="CV1010" t="str">
        <f>""</f>
        <v/>
      </c>
      <c r="CW1010" t="str">
        <f>""</f>
        <v/>
      </c>
      <c r="CX1010" t="str">
        <f>""</f>
        <v/>
      </c>
      <c r="CY1010" t="str">
        <f>""</f>
        <v/>
      </c>
      <c r="CZ1010" t="str">
        <f>""</f>
        <v/>
      </c>
      <c r="DA1010" t="str">
        <f>""</f>
        <v/>
      </c>
      <c r="DB1010" t="str">
        <f>""</f>
        <v/>
      </c>
      <c r="DC1010" t="str">
        <f>""</f>
        <v/>
      </c>
      <c r="DD1010" t="str">
        <f>""</f>
        <v/>
      </c>
      <c r="DE1010" t="str">
        <f>""</f>
        <v/>
      </c>
      <c r="DF1010" t="str">
        <f>""</f>
        <v/>
      </c>
      <c r="DG1010" t="str">
        <f>""</f>
        <v/>
      </c>
      <c r="DH1010" t="str">
        <f>""</f>
        <v/>
      </c>
      <c r="DI1010" t="str">
        <f>""</f>
        <v/>
      </c>
      <c r="DJ1010" t="str">
        <f>""</f>
        <v/>
      </c>
      <c r="DK1010" t="str">
        <f>""</f>
        <v/>
      </c>
      <c r="DL1010" t="str">
        <f>""</f>
        <v/>
      </c>
      <c r="DM1010" t="str">
        <f>""</f>
        <v/>
      </c>
      <c r="DN1010" t="str">
        <f>""</f>
        <v/>
      </c>
      <c r="DO1010" t="str">
        <f>""</f>
        <v/>
      </c>
      <c r="DP1010" t="str">
        <f>""</f>
        <v/>
      </c>
      <c r="DQ1010" t="str">
        <f>""</f>
        <v/>
      </c>
      <c r="DR1010" t="str">
        <f>""</f>
        <v/>
      </c>
      <c r="DS1010" t="str">
        <f>""</f>
        <v/>
      </c>
      <c r="DT1010" t="str">
        <f>""</f>
        <v/>
      </c>
      <c r="DU1010" t="str">
        <f>""</f>
        <v/>
      </c>
    </row>
    <row r="1011" spans="1:125" x14ac:dyDescent="0.25">
      <c r="A1011" t="str">
        <f>$A$346</f>
        <v xml:space="preserve">    Ford Motor Co</v>
      </c>
      <c r="B1011" t="str">
        <f>$B$346</f>
        <v>F US Equity</v>
      </c>
      <c r="C1011" t="str">
        <f>$C$346</f>
        <v>RR473</v>
      </c>
      <c r="D1011" t="str">
        <f>$D$346</f>
        <v>EV_TO_T12M_SALES</v>
      </c>
      <c r="E1011" t="str">
        <f>$E$346</f>
        <v>Dynamic</v>
      </c>
      <c r="F1011" t="str">
        <f ca="1">_xll.BDH($B$346,$C$346,$B$675,$B$676,CONCATENATE("Per=",$B$673),"Dts=H","Dir=H",CONCATENATE("Points=",$B$674),"Sort=R","Days=A","Fill=B",CONCATENATE("FX=", $B$672) )</f>
        <v>#N/A Connection</v>
      </c>
      <c r="BN1011" t="str">
        <f>""</f>
        <v/>
      </c>
      <c r="BO1011" t="str">
        <f>""</f>
        <v/>
      </c>
      <c r="BP1011" t="str">
        <f>""</f>
        <v/>
      </c>
      <c r="BQ1011" t="str">
        <f>""</f>
        <v/>
      </c>
      <c r="BR1011" t="str">
        <f>""</f>
        <v/>
      </c>
      <c r="BS1011" t="str">
        <f>""</f>
        <v/>
      </c>
      <c r="BT1011" t="str">
        <f>""</f>
        <v/>
      </c>
      <c r="BU1011" t="str">
        <f>""</f>
        <v/>
      </c>
      <c r="BV1011" t="str">
        <f>""</f>
        <v/>
      </c>
      <c r="BW1011" t="str">
        <f>""</f>
        <v/>
      </c>
      <c r="BX1011" t="str">
        <f>""</f>
        <v/>
      </c>
      <c r="BY1011" t="str">
        <f>""</f>
        <v/>
      </c>
      <c r="BZ1011" t="str">
        <f>""</f>
        <v/>
      </c>
      <c r="CA1011" t="str">
        <f>""</f>
        <v/>
      </c>
      <c r="CB1011" t="str">
        <f>""</f>
        <v/>
      </c>
      <c r="CC1011" t="str">
        <f>""</f>
        <v/>
      </c>
      <c r="CD1011" t="str">
        <f>""</f>
        <v/>
      </c>
      <c r="CE1011" t="str">
        <f>""</f>
        <v/>
      </c>
      <c r="CF1011" t="str">
        <f>""</f>
        <v/>
      </c>
      <c r="CG1011" t="str">
        <f>""</f>
        <v/>
      </c>
      <c r="CH1011" t="str">
        <f>""</f>
        <v/>
      </c>
      <c r="CI1011" t="str">
        <f>""</f>
        <v/>
      </c>
      <c r="CJ1011" t="str">
        <f>""</f>
        <v/>
      </c>
      <c r="CK1011" t="str">
        <f>""</f>
        <v/>
      </c>
      <c r="CL1011" t="str">
        <f>""</f>
        <v/>
      </c>
      <c r="CM1011" t="str">
        <f>""</f>
        <v/>
      </c>
      <c r="CN1011" t="str">
        <f>""</f>
        <v/>
      </c>
      <c r="CO1011" t="str">
        <f>""</f>
        <v/>
      </c>
      <c r="CP1011" t="str">
        <f>""</f>
        <v/>
      </c>
      <c r="CQ1011" t="str">
        <f>""</f>
        <v/>
      </c>
      <c r="CR1011" t="str">
        <f>""</f>
        <v/>
      </c>
      <c r="CS1011" t="str">
        <f>""</f>
        <v/>
      </c>
      <c r="CT1011" t="str">
        <f>""</f>
        <v/>
      </c>
      <c r="CU1011" t="str">
        <f>""</f>
        <v/>
      </c>
      <c r="CV1011" t="str">
        <f>""</f>
        <v/>
      </c>
      <c r="CW1011" t="str">
        <f>""</f>
        <v/>
      </c>
      <c r="CX1011" t="str">
        <f>""</f>
        <v/>
      </c>
      <c r="CY1011" t="str">
        <f>""</f>
        <v/>
      </c>
      <c r="CZ1011" t="str">
        <f>""</f>
        <v/>
      </c>
      <c r="DA1011" t="str">
        <f>""</f>
        <v/>
      </c>
      <c r="DB1011" t="str">
        <f>""</f>
        <v/>
      </c>
      <c r="DC1011" t="str">
        <f>""</f>
        <v/>
      </c>
      <c r="DD1011" t="str">
        <f>""</f>
        <v/>
      </c>
      <c r="DE1011" t="str">
        <f>""</f>
        <v/>
      </c>
      <c r="DF1011" t="str">
        <f>""</f>
        <v/>
      </c>
      <c r="DG1011" t="str">
        <f>""</f>
        <v/>
      </c>
      <c r="DH1011" t="str">
        <f>""</f>
        <v/>
      </c>
      <c r="DI1011" t="str">
        <f>""</f>
        <v/>
      </c>
      <c r="DJ1011" t="str">
        <f>""</f>
        <v/>
      </c>
      <c r="DK1011" t="str">
        <f>""</f>
        <v/>
      </c>
      <c r="DL1011" t="str">
        <f>""</f>
        <v/>
      </c>
      <c r="DM1011" t="str">
        <f>""</f>
        <v/>
      </c>
      <c r="DN1011" t="str">
        <f>""</f>
        <v/>
      </c>
      <c r="DO1011" t="str">
        <f>""</f>
        <v/>
      </c>
      <c r="DP1011" t="str">
        <f>""</f>
        <v/>
      </c>
      <c r="DQ1011" t="str">
        <f>""</f>
        <v/>
      </c>
      <c r="DR1011" t="str">
        <f>""</f>
        <v/>
      </c>
      <c r="DS1011" t="str">
        <f>""</f>
        <v/>
      </c>
      <c r="DT1011" t="str">
        <f>""</f>
        <v/>
      </c>
      <c r="DU1011" t="str">
        <f>""</f>
        <v/>
      </c>
    </row>
    <row r="1012" spans="1:125" x14ac:dyDescent="0.25">
      <c r="A1012" t="str">
        <f>$A$347</f>
        <v xml:space="preserve">    Ford Otomotiv Sanayi AS</v>
      </c>
      <c r="B1012" t="str">
        <f>$B$347</f>
        <v>FROTOTRY EO Equity</v>
      </c>
      <c r="C1012" t="str">
        <f>$C$347</f>
        <v>RR473</v>
      </c>
      <c r="D1012" t="str">
        <f>$D$347</f>
        <v>EV_TO_T12M_SALES</v>
      </c>
      <c r="E1012" t="str">
        <f>$E$347</f>
        <v>Dynamic</v>
      </c>
      <c r="F1012" t="str">
        <f ca="1">_xll.BDH($B$347,$C$347,$B$675,$B$676,CONCATENATE("Per=",$B$673),"Dts=H","Dir=H",CONCATENATE("Points=",$B$674),"Sort=R","Days=A","Fill=B",CONCATENATE("FX=", $B$672) )</f>
        <v>#N/A Connection</v>
      </c>
      <c r="BN1012" t="str">
        <f>""</f>
        <v/>
      </c>
      <c r="BO1012" t="str">
        <f>""</f>
        <v/>
      </c>
      <c r="BP1012" t="str">
        <f>""</f>
        <v/>
      </c>
      <c r="BQ1012" t="str">
        <f>""</f>
        <v/>
      </c>
      <c r="BR1012" t="str">
        <f>""</f>
        <v/>
      </c>
      <c r="BS1012" t="str">
        <f>""</f>
        <v/>
      </c>
      <c r="BT1012" t="str">
        <f>""</f>
        <v/>
      </c>
      <c r="BU1012" t="str">
        <f>""</f>
        <v/>
      </c>
      <c r="BV1012" t="str">
        <f>""</f>
        <v/>
      </c>
      <c r="BW1012" t="str">
        <f>""</f>
        <v/>
      </c>
      <c r="BX1012" t="str">
        <f>""</f>
        <v/>
      </c>
      <c r="BY1012" t="str">
        <f>""</f>
        <v/>
      </c>
      <c r="BZ1012" t="str">
        <f>""</f>
        <v/>
      </c>
      <c r="CA1012" t="str">
        <f>""</f>
        <v/>
      </c>
      <c r="CB1012" t="str">
        <f>""</f>
        <v/>
      </c>
      <c r="CC1012" t="str">
        <f>""</f>
        <v/>
      </c>
      <c r="CD1012" t="str">
        <f>""</f>
        <v/>
      </c>
      <c r="CE1012" t="str">
        <f>""</f>
        <v/>
      </c>
      <c r="CF1012" t="str">
        <f>""</f>
        <v/>
      </c>
      <c r="CG1012" t="str">
        <f>""</f>
        <v/>
      </c>
      <c r="CH1012" t="str">
        <f>""</f>
        <v/>
      </c>
      <c r="CI1012" t="str">
        <f>""</f>
        <v/>
      </c>
      <c r="CJ1012" t="str">
        <f>""</f>
        <v/>
      </c>
      <c r="CK1012" t="str">
        <f>""</f>
        <v/>
      </c>
      <c r="CL1012" t="str">
        <f>""</f>
        <v/>
      </c>
      <c r="CM1012" t="str">
        <f>""</f>
        <v/>
      </c>
      <c r="CN1012" t="str">
        <f>""</f>
        <v/>
      </c>
      <c r="CO1012" t="str">
        <f>""</f>
        <v/>
      </c>
      <c r="CP1012" t="str">
        <f>""</f>
        <v/>
      </c>
      <c r="CQ1012" t="str">
        <f>""</f>
        <v/>
      </c>
      <c r="CR1012" t="str">
        <f>""</f>
        <v/>
      </c>
      <c r="CS1012" t="str">
        <f>""</f>
        <v/>
      </c>
      <c r="CT1012" t="str">
        <f>""</f>
        <v/>
      </c>
      <c r="CU1012" t="str">
        <f>""</f>
        <v/>
      </c>
      <c r="CV1012" t="str">
        <f>""</f>
        <v/>
      </c>
      <c r="CW1012" t="str">
        <f>""</f>
        <v/>
      </c>
      <c r="CX1012" t="str">
        <f>""</f>
        <v/>
      </c>
      <c r="CY1012" t="str">
        <f>""</f>
        <v/>
      </c>
      <c r="CZ1012" t="str">
        <f>""</f>
        <v/>
      </c>
      <c r="DA1012" t="str">
        <f>""</f>
        <v/>
      </c>
      <c r="DB1012" t="str">
        <f>""</f>
        <v/>
      </c>
      <c r="DC1012" t="str">
        <f>""</f>
        <v/>
      </c>
      <c r="DD1012" t="str">
        <f>""</f>
        <v/>
      </c>
      <c r="DE1012" t="str">
        <f>""</f>
        <v/>
      </c>
      <c r="DF1012" t="str">
        <f>""</f>
        <v/>
      </c>
      <c r="DG1012" t="str">
        <f>""</f>
        <v/>
      </c>
      <c r="DH1012" t="str">
        <f>""</f>
        <v/>
      </c>
      <c r="DI1012" t="str">
        <f>""</f>
        <v/>
      </c>
      <c r="DJ1012" t="str">
        <f>""</f>
        <v/>
      </c>
      <c r="DK1012" t="str">
        <f>""</f>
        <v/>
      </c>
      <c r="DL1012" t="str">
        <f>""</f>
        <v/>
      </c>
      <c r="DM1012" t="str">
        <f>""</f>
        <v/>
      </c>
      <c r="DN1012" t="str">
        <f>""</f>
        <v/>
      </c>
      <c r="DO1012" t="str">
        <f>""</f>
        <v/>
      </c>
      <c r="DP1012" t="str">
        <f>""</f>
        <v/>
      </c>
      <c r="DQ1012" t="str">
        <f>""</f>
        <v/>
      </c>
      <c r="DR1012" t="str">
        <f>""</f>
        <v/>
      </c>
      <c r="DS1012" t="str">
        <f>""</f>
        <v/>
      </c>
      <c r="DT1012" t="str">
        <f>""</f>
        <v/>
      </c>
      <c r="DU1012" t="str">
        <f>""</f>
        <v/>
      </c>
    </row>
    <row r="1013" spans="1:125" x14ac:dyDescent="0.25">
      <c r="A1013" t="str">
        <f>$A$348</f>
        <v xml:space="preserve">    GAZ PJSC</v>
      </c>
      <c r="B1013" t="str">
        <f>$B$348</f>
        <v>GAZA RM Equity</v>
      </c>
      <c r="C1013" t="str">
        <f>$C$348</f>
        <v>RR473</v>
      </c>
      <c r="D1013" t="str">
        <f>$D$348</f>
        <v>EV_TO_T12M_SALES</v>
      </c>
      <c r="E1013" t="str">
        <f>$E$348</f>
        <v>Dynamic</v>
      </c>
      <c r="F1013" t="str">
        <f ca="1">_xll.BDH($B$348,$C$348,$B$675,$B$676,CONCATENATE("Per=",$B$673),"Dts=H","Dir=H",CONCATENATE("Points=",$B$674),"Sort=R","Days=A","Fill=B",CONCATENATE("FX=", $B$672) )</f>
        <v>#N/A Connection</v>
      </c>
      <c r="BN1013" t="str">
        <f>""</f>
        <v/>
      </c>
      <c r="BO1013" t="str">
        <f>""</f>
        <v/>
      </c>
      <c r="BP1013" t="str">
        <f>""</f>
        <v/>
      </c>
      <c r="BQ1013" t="str">
        <f>""</f>
        <v/>
      </c>
      <c r="BR1013" t="str">
        <f>""</f>
        <v/>
      </c>
      <c r="BS1013" t="str">
        <f>""</f>
        <v/>
      </c>
      <c r="BT1013" t="str">
        <f>""</f>
        <v/>
      </c>
      <c r="BU1013" t="str">
        <f>""</f>
        <v/>
      </c>
      <c r="BV1013" t="str">
        <f>""</f>
        <v/>
      </c>
      <c r="BW1013" t="str">
        <f>""</f>
        <v/>
      </c>
      <c r="BX1013" t="str">
        <f>""</f>
        <v/>
      </c>
      <c r="BY1013" t="str">
        <f>""</f>
        <v/>
      </c>
      <c r="BZ1013" t="str">
        <f>""</f>
        <v/>
      </c>
      <c r="CA1013" t="str">
        <f>""</f>
        <v/>
      </c>
      <c r="CB1013" t="str">
        <f>""</f>
        <v/>
      </c>
      <c r="CC1013" t="str">
        <f>""</f>
        <v/>
      </c>
      <c r="CD1013" t="str">
        <f>""</f>
        <v/>
      </c>
      <c r="CE1013" t="str">
        <f>""</f>
        <v/>
      </c>
      <c r="CF1013" t="str">
        <f>""</f>
        <v/>
      </c>
      <c r="CG1013" t="str">
        <f>""</f>
        <v/>
      </c>
      <c r="CH1013" t="str">
        <f>""</f>
        <v/>
      </c>
      <c r="CI1013" t="str">
        <f>""</f>
        <v/>
      </c>
      <c r="CJ1013" t="str">
        <f>""</f>
        <v/>
      </c>
      <c r="CK1013" t="str">
        <f>""</f>
        <v/>
      </c>
      <c r="CL1013" t="str">
        <f>""</f>
        <v/>
      </c>
      <c r="CM1013" t="str">
        <f>""</f>
        <v/>
      </c>
      <c r="CN1013" t="str">
        <f>""</f>
        <v/>
      </c>
      <c r="CO1013" t="str">
        <f>""</f>
        <v/>
      </c>
      <c r="CP1013" t="str">
        <f>""</f>
        <v/>
      </c>
      <c r="CQ1013" t="str">
        <f>""</f>
        <v/>
      </c>
      <c r="CR1013" t="str">
        <f>""</f>
        <v/>
      </c>
      <c r="CS1013" t="str">
        <f>""</f>
        <v/>
      </c>
      <c r="CT1013" t="str">
        <f>""</f>
        <v/>
      </c>
      <c r="CU1013" t="str">
        <f>""</f>
        <v/>
      </c>
      <c r="CV1013" t="str">
        <f>""</f>
        <v/>
      </c>
      <c r="CW1013" t="str">
        <f>""</f>
        <v/>
      </c>
      <c r="CX1013" t="str">
        <f>""</f>
        <v/>
      </c>
      <c r="CY1013" t="str">
        <f>""</f>
        <v/>
      </c>
      <c r="CZ1013" t="str">
        <f>""</f>
        <v/>
      </c>
      <c r="DA1013" t="str">
        <f>""</f>
        <v/>
      </c>
      <c r="DB1013" t="str">
        <f>""</f>
        <v/>
      </c>
      <c r="DC1013" t="str">
        <f>""</f>
        <v/>
      </c>
      <c r="DD1013" t="str">
        <f>""</f>
        <v/>
      </c>
      <c r="DE1013" t="str">
        <f>""</f>
        <v/>
      </c>
      <c r="DF1013" t="str">
        <f>""</f>
        <v/>
      </c>
      <c r="DG1013" t="str">
        <f>""</f>
        <v/>
      </c>
      <c r="DH1013" t="str">
        <f>""</f>
        <v/>
      </c>
      <c r="DI1013" t="str">
        <f>""</f>
        <v/>
      </c>
      <c r="DJ1013" t="str">
        <f>""</f>
        <v/>
      </c>
      <c r="DK1013" t="str">
        <f>""</f>
        <v/>
      </c>
      <c r="DL1013" t="str">
        <f>""</f>
        <v/>
      </c>
      <c r="DM1013" t="str">
        <f>""</f>
        <v/>
      </c>
      <c r="DN1013" t="str">
        <f>""</f>
        <v/>
      </c>
      <c r="DO1013" t="str">
        <f>""</f>
        <v/>
      </c>
      <c r="DP1013" t="str">
        <f>""</f>
        <v/>
      </c>
      <c r="DQ1013" t="str">
        <f>""</f>
        <v/>
      </c>
      <c r="DR1013" t="str">
        <f>""</f>
        <v/>
      </c>
      <c r="DS1013" t="str">
        <f>""</f>
        <v/>
      </c>
      <c r="DT1013" t="str">
        <f>""</f>
        <v/>
      </c>
      <c r="DU1013" t="str">
        <f>""</f>
        <v/>
      </c>
    </row>
    <row r="1014" spans="1:125" x14ac:dyDescent="0.25">
      <c r="A1014" t="str">
        <f>$A$349</f>
        <v xml:space="preserve">    Geely Automobile Holdings Ltd</v>
      </c>
      <c r="B1014" t="str">
        <f>$B$349</f>
        <v>175 HK Equity</v>
      </c>
      <c r="C1014" t="str">
        <f>$C$349</f>
        <v>RR473</v>
      </c>
      <c r="D1014" t="str">
        <f>$D$349</f>
        <v>EV_TO_T12M_SALES</v>
      </c>
      <c r="E1014" t="str">
        <f>$E$349</f>
        <v>Dynamic</v>
      </c>
      <c r="F1014" t="str">
        <f ca="1">_xll.BDH($B$349,$C$349,$B$675,$B$676,CONCATENATE("Per=",$B$673),"Dts=H","Dir=H",CONCATENATE("Points=",$B$674),"Sort=R","Days=A","Fill=B",CONCATENATE("FX=", $B$672) )</f>
        <v>#N/A Connection</v>
      </c>
      <c r="BN1014" t="str">
        <f>""</f>
        <v/>
      </c>
      <c r="BO1014" t="str">
        <f>""</f>
        <v/>
      </c>
      <c r="BP1014" t="str">
        <f>""</f>
        <v/>
      </c>
      <c r="BQ1014" t="str">
        <f>""</f>
        <v/>
      </c>
      <c r="BR1014" t="str">
        <f>""</f>
        <v/>
      </c>
      <c r="BS1014" t="str">
        <f>""</f>
        <v/>
      </c>
      <c r="BT1014" t="str">
        <f>""</f>
        <v/>
      </c>
      <c r="BU1014" t="str">
        <f>""</f>
        <v/>
      </c>
      <c r="BV1014" t="str">
        <f>""</f>
        <v/>
      </c>
      <c r="BW1014" t="str">
        <f>""</f>
        <v/>
      </c>
      <c r="BX1014" t="str">
        <f>""</f>
        <v/>
      </c>
      <c r="BY1014" t="str">
        <f>""</f>
        <v/>
      </c>
      <c r="BZ1014" t="str">
        <f>""</f>
        <v/>
      </c>
      <c r="CA1014" t="str">
        <f>""</f>
        <v/>
      </c>
      <c r="CB1014" t="str">
        <f>""</f>
        <v/>
      </c>
      <c r="CC1014" t="str">
        <f>""</f>
        <v/>
      </c>
      <c r="CD1014" t="str">
        <f>""</f>
        <v/>
      </c>
      <c r="CE1014" t="str">
        <f>""</f>
        <v/>
      </c>
      <c r="CF1014" t="str">
        <f>""</f>
        <v/>
      </c>
      <c r="CG1014" t="str">
        <f>""</f>
        <v/>
      </c>
      <c r="CH1014" t="str">
        <f>""</f>
        <v/>
      </c>
      <c r="CI1014" t="str">
        <f>""</f>
        <v/>
      </c>
      <c r="CJ1014" t="str">
        <f>""</f>
        <v/>
      </c>
      <c r="CK1014" t="str">
        <f>""</f>
        <v/>
      </c>
      <c r="CL1014" t="str">
        <f>""</f>
        <v/>
      </c>
      <c r="CM1014" t="str">
        <f>""</f>
        <v/>
      </c>
      <c r="CN1014" t="str">
        <f>""</f>
        <v/>
      </c>
      <c r="CO1014" t="str">
        <f>""</f>
        <v/>
      </c>
      <c r="CP1014" t="str">
        <f>""</f>
        <v/>
      </c>
      <c r="CQ1014" t="str">
        <f>""</f>
        <v/>
      </c>
      <c r="CR1014" t="str">
        <f>""</f>
        <v/>
      </c>
      <c r="CS1014" t="str">
        <f>""</f>
        <v/>
      </c>
      <c r="CT1014" t="str">
        <f>""</f>
        <v/>
      </c>
      <c r="CU1014" t="str">
        <f>""</f>
        <v/>
      </c>
      <c r="CV1014" t="str">
        <f>""</f>
        <v/>
      </c>
      <c r="CW1014" t="str">
        <f>""</f>
        <v/>
      </c>
      <c r="CX1014" t="str">
        <f>""</f>
        <v/>
      </c>
      <c r="CY1014" t="str">
        <f>""</f>
        <v/>
      </c>
      <c r="CZ1014" t="str">
        <f>""</f>
        <v/>
      </c>
      <c r="DA1014" t="str">
        <f>""</f>
        <v/>
      </c>
      <c r="DB1014" t="str">
        <f>""</f>
        <v/>
      </c>
      <c r="DC1014" t="str">
        <f>""</f>
        <v/>
      </c>
      <c r="DD1014" t="str">
        <f>""</f>
        <v/>
      </c>
      <c r="DE1014" t="str">
        <f>""</f>
        <v/>
      </c>
      <c r="DF1014" t="str">
        <f>""</f>
        <v/>
      </c>
      <c r="DG1014" t="str">
        <f>""</f>
        <v/>
      </c>
      <c r="DH1014" t="str">
        <f>""</f>
        <v/>
      </c>
      <c r="DI1014" t="str">
        <f>""</f>
        <v/>
      </c>
      <c r="DJ1014" t="str">
        <f>""</f>
        <v/>
      </c>
      <c r="DK1014" t="str">
        <f>""</f>
        <v/>
      </c>
      <c r="DL1014" t="str">
        <f>""</f>
        <v/>
      </c>
      <c r="DM1014" t="str">
        <f>""</f>
        <v/>
      </c>
      <c r="DN1014" t="str">
        <f>""</f>
        <v/>
      </c>
      <c r="DO1014" t="str">
        <f>""</f>
        <v/>
      </c>
      <c r="DP1014" t="str">
        <f>""</f>
        <v/>
      </c>
      <c r="DQ1014" t="str">
        <f>""</f>
        <v/>
      </c>
      <c r="DR1014" t="str">
        <f>""</f>
        <v/>
      </c>
      <c r="DS1014" t="str">
        <f>""</f>
        <v/>
      </c>
      <c r="DT1014" t="str">
        <f>""</f>
        <v/>
      </c>
      <c r="DU1014" t="str">
        <f>""</f>
        <v/>
      </c>
    </row>
    <row r="1015" spans="1:125" x14ac:dyDescent="0.25">
      <c r="A1015" t="str">
        <f>$A$350</f>
        <v xml:space="preserve">    General Motors Co</v>
      </c>
      <c r="B1015" t="str">
        <f>$B$350</f>
        <v>GM US Equity</v>
      </c>
      <c r="C1015" t="str">
        <f>$C$350</f>
        <v>RR473</v>
      </c>
      <c r="D1015" t="str">
        <f>$D$350</f>
        <v>EV_TO_T12M_SALES</v>
      </c>
      <c r="E1015" t="str">
        <f>$E$350</f>
        <v>Dynamic</v>
      </c>
      <c r="F1015" t="str">
        <f ca="1">_xll.BDH($B$350,$C$350,$B$675,$B$676,CONCATENATE("Per=",$B$673),"Dts=H","Dir=H",CONCATENATE("Points=",$B$674),"Sort=R","Days=A","Fill=B",CONCATENATE("FX=", $B$672) )</f>
        <v>#N/A Connection</v>
      </c>
      <c r="BN1015" t="str">
        <f>""</f>
        <v/>
      </c>
      <c r="BO1015" t="str">
        <f>""</f>
        <v/>
      </c>
      <c r="BP1015" t="str">
        <f>""</f>
        <v/>
      </c>
      <c r="BQ1015" t="str">
        <f>""</f>
        <v/>
      </c>
      <c r="BR1015" t="str">
        <f>""</f>
        <v/>
      </c>
      <c r="BS1015" t="str">
        <f>""</f>
        <v/>
      </c>
      <c r="BT1015" t="str">
        <f>""</f>
        <v/>
      </c>
      <c r="BU1015" t="str">
        <f>""</f>
        <v/>
      </c>
      <c r="BV1015" t="str">
        <f>""</f>
        <v/>
      </c>
      <c r="BW1015" t="str">
        <f>""</f>
        <v/>
      </c>
      <c r="BX1015" t="str">
        <f>""</f>
        <v/>
      </c>
      <c r="BY1015" t="str">
        <f>""</f>
        <v/>
      </c>
      <c r="BZ1015" t="str">
        <f>""</f>
        <v/>
      </c>
      <c r="CA1015" t="str">
        <f>""</f>
        <v/>
      </c>
      <c r="CB1015" t="str">
        <f>""</f>
        <v/>
      </c>
      <c r="CC1015" t="str">
        <f>""</f>
        <v/>
      </c>
      <c r="CD1015" t="str">
        <f>""</f>
        <v/>
      </c>
      <c r="CE1015" t="str">
        <f>""</f>
        <v/>
      </c>
      <c r="CF1015" t="str">
        <f>""</f>
        <v/>
      </c>
      <c r="CG1015" t="str">
        <f>""</f>
        <v/>
      </c>
      <c r="CH1015" t="str">
        <f>""</f>
        <v/>
      </c>
      <c r="CI1015" t="str">
        <f>""</f>
        <v/>
      </c>
      <c r="CJ1015" t="str">
        <f>""</f>
        <v/>
      </c>
      <c r="CK1015" t="str">
        <f>""</f>
        <v/>
      </c>
      <c r="CL1015" t="str">
        <f>""</f>
        <v/>
      </c>
      <c r="CM1015" t="str">
        <f>""</f>
        <v/>
      </c>
      <c r="CN1015" t="str">
        <f>""</f>
        <v/>
      </c>
      <c r="CO1015" t="str">
        <f>""</f>
        <v/>
      </c>
      <c r="CP1015" t="str">
        <f>""</f>
        <v/>
      </c>
      <c r="CQ1015" t="str">
        <f>""</f>
        <v/>
      </c>
      <c r="CR1015" t="str">
        <f>""</f>
        <v/>
      </c>
      <c r="CS1015" t="str">
        <f>""</f>
        <v/>
      </c>
      <c r="CT1015" t="str">
        <f>""</f>
        <v/>
      </c>
      <c r="CU1015" t="str">
        <f>""</f>
        <v/>
      </c>
      <c r="CV1015" t="str">
        <f>""</f>
        <v/>
      </c>
      <c r="CW1015" t="str">
        <f>""</f>
        <v/>
      </c>
      <c r="CX1015" t="str">
        <f>""</f>
        <v/>
      </c>
      <c r="CY1015" t="str">
        <f>""</f>
        <v/>
      </c>
      <c r="CZ1015" t="str">
        <f>""</f>
        <v/>
      </c>
      <c r="DA1015" t="str">
        <f>""</f>
        <v/>
      </c>
      <c r="DB1015" t="str">
        <f>""</f>
        <v/>
      </c>
      <c r="DC1015" t="str">
        <f>""</f>
        <v/>
      </c>
      <c r="DD1015" t="str">
        <f>""</f>
        <v/>
      </c>
      <c r="DE1015" t="str">
        <f>""</f>
        <v/>
      </c>
      <c r="DF1015" t="str">
        <f>""</f>
        <v/>
      </c>
      <c r="DG1015" t="str">
        <f>""</f>
        <v/>
      </c>
      <c r="DH1015" t="str">
        <f>""</f>
        <v/>
      </c>
      <c r="DI1015" t="str">
        <f>""</f>
        <v/>
      </c>
      <c r="DJ1015" t="str">
        <f>""</f>
        <v/>
      </c>
      <c r="DK1015" t="str">
        <f>""</f>
        <v/>
      </c>
      <c r="DL1015" t="str">
        <f>""</f>
        <v/>
      </c>
      <c r="DM1015" t="str">
        <f>""</f>
        <v/>
      </c>
      <c r="DN1015" t="str">
        <f>""</f>
        <v/>
      </c>
      <c r="DO1015" t="str">
        <f>""</f>
        <v/>
      </c>
      <c r="DP1015" t="str">
        <f>""</f>
        <v/>
      </c>
      <c r="DQ1015" t="str">
        <f>""</f>
        <v/>
      </c>
      <c r="DR1015" t="str">
        <f>""</f>
        <v/>
      </c>
      <c r="DS1015" t="str">
        <f>""</f>
        <v/>
      </c>
      <c r="DT1015" t="str">
        <f>""</f>
        <v/>
      </c>
      <c r="DU1015" t="str">
        <f>""</f>
        <v/>
      </c>
    </row>
    <row r="1016" spans="1:125" x14ac:dyDescent="0.25">
      <c r="A1016" t="str">
        <f>$A$351</f>
        <v xml:space="preserve">    Great Wall Motor Co Ltd</v>
      </c>
      <c r="B1016" t="str">
        <f>$B$351</f>
        <v>2333 HK Equity</v>
      </c>
      <c r="C1016" t="str">
        <f>$C$351</f>
        <v>RR473</v>
      </c>
      <c r="D1016" t="str">
        <f>$D$351</f>
        <v>EV_TO_T12M_SALES</v>
      </c>
      <c r="E1016" t="str">
        <f>$E$351</f>
        <v>Dynamic</v>
      </c>
      <c r="F1016" t="str">
        <f ca="1">_xll.BDH($B$351,$C$351,$B$675,$B$676,CONCATENATE("Per=",$B$673),"Dts=H","Dir=H",CONCATENATE("Points=",$B$674),"Sort=R","Days=A","Fill=B",CONCATENATE("FX=", $B$672) )</f>
        <v>#N/A Connection</v>
      </c>
      <c r="BN1016" t="str">
        <f>""</f>
        <v/>
      </c>
      <c r="BO1016" t="str">
        <f>""</f>
        <v/>
      </c>
      <c r="BP1016" t="str">
        <f>""</f>
        <v/>
      </c>
      <c r="BQ1016" t="str">
        <f>""</f>
        <v/>
      </c>
      <c r="BR1016" t="str">
        <f>""</f>
        <v/>
      </c>
      <c r="BS1016" t="str">
        <f>""</f>
        <v/>
      </c>
      <c r="BT1016" t="str">
        <f>""</f>
        <v/>
      </c>
      <c r="BU1016" t="str">
        <f>""</f>
        <v/>
      </c>
      <c r="BV1016" t="str">
        <f>""</f>
        <v/>
      </c>
      <c r="BW1016" t="str">
        <f>""</f>
        <v/>
      </c>
      <c r="BX1016" t="str">
        <f>""</f>
        <v/>
      </c>
      <c r="BY1016" t="str">
        <f>""</f>
        <v/>
      </c>
      <c r="BZ1016" t="str">
        <f>""</f>
        <v/>
      </c>
      <c r="CA1016" t="str">
        <f>""</f>
        <v/>
      </c>
      <c r="CB1016" t="str">
        <f>""</f>
        <v/>
      </c>
      <c r="CC1016" t="str">
        <f>""</f>
        <v/>
      </c>
      <c r="CD1016" t="str">
        <f>""</f>
        <v/>
      </c>
      <c r="CE1016" t="str">
        <f>""</f>
        <v/>
      </c>
      <c r="CF1016" t="str">
        <f>""</f>
        <v/>
      </c>
      <c r="CG1016" t="str">
        <f>""</f>
        <v/>
      </c>
      <c r="CH1016" t="str">
        <f>""</f>
        <v/>
      </c>
      <c r="CI1016" t="str">
        <f>""</f>
        <v/>
      </c>
      <c r="CJ1016" t="str">
        <f>""</f>
        <v/>
      </c>
      <c r="CK1016" t="str">
        <f>""</f>
        <v/>
      </c>
      <c r="CL1016" t="str">
        <f>""</f>
        <v/>
      </c>
      <c r="CM1016" t="str">
        <f>""</f>
        <v/>
      </c>
      <c r="CN1016" t="str">
        <f>""</f>
        <v/>
      </c>
      <c r="CO1016" t="str">
        <f>""</f>
        <v/>
      </c>
      <c r="CP1016" t="str">
        <f>""</f>
        <v/>
      </c>
      <c r="CQ1016" t="str">
        <f>""</f>
        <v/>
      </c>
      <c r="CR1016" t="str">
        <f>""</f>
        <v/>
      </c>
      <c r="CS1016" t="str">
        <f>""</f>
        <v/>
      </c>
      <c r="CT1016" t="str">
        <f>""</f>
        <v/>
      </c>
      <c r="CU1016" t="str">
        <f>""</f>
        <v/>
      </c>
      <c r="CV1016" t="str">
        <f>""</f>
        <v/>
      </c>
      <c r="CW1016" t="str">
        <f>""</f>
        <v/>
      </c>
      <c r="CX1016" t="str">
        <f>""</f>
        <v/>
      </c>
      <c r="CY1016" t="str">
        <f>""</f>
        <v/>
      </c>
      <c r="CZ1016" t="str">
        <f>""</f>
        <v/>
      </c>
      <c r="DA1016" t="str">
        <f>""</f>
        <v/>
      </c>
      <c r="DB1016" t="str">
        <f>""</f>
        <v/>
      </c>
      <c r="DC1016" t="str">
        <f>""</f>
        <v/>
      </c>
      <c r="DD1016" t="str">
        <f>""</f>
        <v/>
      </c>
      <c r="DE1016" t="str">
        <f>""</f>
        <v/>
      </c>
      <c r="DF1016" t="str">
        <f>""</f>
        <v/>
      </c>
      <c r="DG1016" t="str">
        <f>""</f>
        <v/>
      </c>
      <c r="DH1016" t="str">
        <f>""</f>
        <v/>
      </c>
      <c r="DI1016" t="str">
        <f>""</f>
        <v/>
      </c>
      <c r="DJ1016" t="str">
        <f>""</f>
        <v/>
      </c>
      <c r="DK1016" t="str">
        <f>""</f>
        <v/>
      </c>
      <c r="DL1016" t="str">
        <f>""</f>
        <v/>
      </c>
      <c r="DM1016" t="str">
        <f>""</f>
        <v/>
      </c>
      <c r="DN1016" t="str">
        <f>""</f>
        <v/>
      </c>
      <c r="DO1016" t="str">
        <f>""</f>
        <v/>
      </c>
      <c r="DP1016" t="str">
        <f>""</f>
        <v/>
      </c>
      <c r="DQ1016" t="str">
        <f>""</f>
        <v/>
      </c>
      <c r="DR1016" t="str">
        <f>""</f>
        <v/>
      </c>
      <c r="DS1016" t="str">
        <f>""</f>
        <v/>
      </c>
      <c r="DT1016" t="str">
        <f>""</f>
        <v/>
      </c>
      <c r="DU1016" t="str">
        <f>""</f>
        <v/>
      </c>
    </row>
    <row r="1017" spans="1:125" x14ac:dyDescent="0.25">
      <c r="A1017" t="str">
        <f>$A$352</f>
        <v xml:space="preserve">    Guangzhou Automobile Group Co Ltd</v>
      </c>
      <c r="B1017" t="str">
        <f>$B$352</f>
        <v>2238 HK Equity</v>
      </c>
      <c r="C1017" t="str">
        <f>$C$352</f>
        <v>RR473</v>
      </c>
      <c r="D1017" t="str">
        <f>$D$352</f>
        <v>EV_TO_T12M_SALES</v>
      </c>
      <c r="E1017" t="str">
        <f>$E$352</f>
        <v>Dynamic</v>
      </c>
      <c r="F1017" t="str">
        <f ca="1">_xll.BDH($B$352,$C$352,$B$675,$B$676,CONCATENATE("Per=",$B$673),"Dts=H","Dir=H",CONCATENATE("Points=",$B$674),"Sort=R","Days=A","Fill=B",CONCATENATE("FX=", $B$672) )</f>
        <v>#N/A Connection</v>
      </c>
      <c r="BN1017" t="str">
        <f>""</f>
        <v/>
      </c>
      <c r="BO1017" t="str">
        <f>""</f>
        <v/>
      </c>
      <c r="BP1017" t="str">
        <f>""</f>
        <v/>
      </c>
      <c r="BQ1017" t="str">
        <f>""</f>
        <v/>
      </c>
      <c r="BR1017" t="str">
        <f>""</f>
        <v/>
      </c>
      <c r="BS1017" t="str">
        <f>""</f>
        <v/>
      </c>
      <c r="BT1017" t="str">
        <f>""</f>
        <v/>
      </c>
      <c r="BU1017" t="str">
        <f>""</f>
        <v/>
      </c>
      <c r="BV1017" t="str">
        <f>""</f>
        <v/>
      </c>
      <c r="BW1017" t="str">
        <f>""</f>
        <v/>
      </c>
      <c r="BX1017" t="str">
        <f>""</f>
        <v/>
      </c>
      <c r="BY1017" t="str">
        <f>""</f>
        <v/>
      </c>
      <c r="BZ1017" t="str">
        <f>""</f>
        <v/>
      </c>
      <c r="CA1017" t="str">
        <f>""</f>
        <v/>
      </c>
      <c r="CB1017" t="str">
        <f>""</f>
        <v/>
      </c>
      <c r="CC1017" t="str">
        <f>""</f>
        <v/>
      </c>
      <c r="CD1017" t="str">
        <f>""</f>
        <v/>
      </c>
      <c r="CE1017" t="str">
        <f>""</f>
        <v/>
      </c>
      <c r="CF1017" t="str">
        <f>""</f>
        <v/>
      </c>
      <c r="CG1017" t="str">
        <f>""</f>
        <v/>
      </c>
      <c r="CH1017" t="str">
        <f>""</f>
        <v/>
      </c>
      <c r="CI1017" t="str">
        <f>""</f>
        <v/>
      </c>
      <c r="CJ1017" t="str">
        <f>""</f>
        <v/>
      </c>
      <c r="CK1017" t="str">
        <f>""</f>
        <v/>
      </c>
      <c r="CL1017" t="str">
        <f>""</f>
        <v/>
      </c>
      <c r="CM1017" t="str">
        <f>""</f>
        <v/>
      </c>
      <c r="CN1017" t="str">
        <f>""</f>
        <v/>
      </c>
      <c r="CO1017" t="str">
        <f>""</f>
        <v/>
      </c>
      <c r="CP1017" t="str">
        <f>""</f>
        <v/>
      </c>
      <c r="CQ1017" t="str">
        <f>""</f>
        <v/>
      </c>
      <c r="CR1017" t="str">
        <f>""</f>
        <v/>
      </c>
      <c r="CS1017" t="str">
        <f>""</f>
        <v/>
      </c>
      <c r="CT1017" t="str">
        <f>""</f>
        <v/>
      </c>
      <c r="CU1017" t="str">
        <f>""</f>
        <v/>
      </c>
      <c r="CV1017" t="str">
        <f>""</f>
        <v/>
      </c>
      <c r="CW1017" t="str">
        <f>""</f>
        <v/>
      </c>
      <c r="CX1017" t="str">
        <f>""</f>
        <v/>
      </c>
      <c r="CY1017" t="str">
        <f>""</f>
        <v/>
      </c>
      <c r="CZ1017" t="str">
        <f>""</f>
        <v/>
      </c>
      <c r="DA1017" t="str">
        <f>""</f>
        <v/>
      </c>
      <c r="DB1017" t="str">
        <f>""</f>
        <v/>
      </c>
      <c r="DC1017" t="str">
        <f>""</f>
        <v/>
      </c>
      <c r="DD1017" t="str">
        <f>""</f>
        <v/>
      </c>
      <c r="DE1017" t="str">
        <f>""</f>
        <v/>
      </c>
      <c r="DF1017" t="str">
        <f>""</f>
        <v/>
      </c>
      <c r="DG1017" t="str">
        <f>""</f>
        <v/>
      </c>
      <c r="DH1017" t="str">
        <f>""</f>
        <v/>
      </c>
      <c r="DI1017" t="str">
        <f>""</f>
        <v/>
      </c>
      <c r="DJ1017" t="str">
        <f>""</f>
        <v/>
      </c>
      <c r="DK1017" t="str">
        <f>""</f>
        <v/>
      </c>
      <c r="DL1017" t="str">
        <f>""</f>
        <v/>
      </c>
      <c r="DM1017" t="str">
        <f>""</f>
        <v/>
      </c>
      <c r="DN1017" t="str">
        <f>""</f>
        <v/>
      </c>
      <c r="DO1017" t="str">
        <f>""</f>
        <v/>
      </c>
      <c r="DP1017" t="str">
        <f>""</f>
        <v/>
      </c>
      <c r="DQ1017" t="str">
        <f>""</f>
        <v/>
      </c>
      <c r="DR1017" t="str">
        <f>""</f>
        <v/>
      </c>
      <c r="DS1017" t="str">
        <f>""</f>
        <v/>
      </c>
      <c r="DT1017" t="str">
        <f>""</f>
        <v/>
      </c>
      <c r="DU1017" t="str">
        <f>""</f>
        <v/>
      </c>
    </row>
    <row r="1018" spans="1:125" x14ac:dyDescent="0.25">
      <c r="A1018" t="str">
        <f>$A$353</f>
        <v xml:space="preserve">    Honda Motor Co Ltd</v>
      </c>
      <c r="B1018" t="str">
        <f>$B$353</f>
        <v>7267 JP Equity</v>
      </c>
      <c r="C1018" t="str">
        <f>$C$353</f>
        <v>RR473</v>
      </c>
      <c r="D1018" t="str">
        <f>$D$353</f>
        <v>EV_TO_T12M_SALES</v>
      </c>
      <c r="E1018" t="str">
        <f>$E$353</f>
        <v>Dynamic</v>
      </c>
      <c r="F1018" t="str">
        <f ca="1">_xll.BDH($B$353,$C$353,$B$675,$B$676,CONCATENATE("Per=",$B$673),"Dts=H","Dir=H",CONCATENATE("Points=",$B$674),"Sort=R","Days=A","Fill=B",CONCATENATE("FX=", $B$672) )</f>
        <v>#N/A Connection</v>
      </c>
      <c r="BN1018" t="str">
        <f>""</f>
        <v/>
      </c>
      <c r="BO1018" t="str">
        <f>""</f>
        <v/>
      </c>
      <c r="BP1018" t="str">
        <f>""</f>
        <v/>
      </c>
      <c r="BQ1018" t="str">
        <f>""</f>
        <v/>
      </c>
      <c r="BR1018" t="str">
        <f>""</f>
        <v/>
      </c>
      <c r="BS1018" t="str">
        <f>""</f>
        <v/>
      </c>
      <c r="BT1018" t="str">
        <f>""</f>
        <v/>
      </c>
      <c r="BU1018" t="str">
        <f>""</f>
        <v/>
      </c>
      <c r="BV1018" t="str">
        <f>""</f>
        <v/>
      </c>
      <c r="BW1018" t="str">
        <f>""</f>
        <v/>
      </c>
      <c r="BX1018" t="str">
        <f>""</f>
        <v/>
      </c>
      <c r="BY1018" t="str">
        <f>""</f>
        <v/>
      </c>
      <c r="BZ1018" t="str">
        <f>""</f>
        <v/>
      </c>
      <c r="CA1018" t="str">
        <f>""</f>
        <v/>
      </c>
      <c r="CB1018" t="str">
        <f>""</f>
        <v/>
      </c>
      <c r="CC1018" t="str">
        <f>""</f>
        <v/>
      </c>
      <c r="CD1018" t="str">
        <f>""</f>
        <v/>
      </c>
      <c r="CE1018" t="str">
        <f>""</f>
        <v/>
      </c>
      <c r="CF1018" t="str">
        <f>""</f>
        <v/>
      </c>
      <c r="CG1018" t="str">
        <f>""</f>
        <v/>
      </c>
      <c r="CH1018" t="str">
        <f>""</f>
        <v/>
      </c>
      <c r="CI1018" t="str">
        <f>""</f>
        <v/>
      </c>
      <c r="CJ1018" t="str">
        <f>""</f>
        <v/>
      </c>
      <c r="CK1018" t="str">
        <f>""</f>
        <v/>
      </c>
      <c r="CL1018" t="str">
        <f>""</f>
        <v/>
      </c>
      <c r="CM1018" t="str">
        <f>""</f>
        <v/>
      </c>
      <c r="CN1018" t="str">
        <f>""</f>
        <v/>
      </c>
      <c r="CO1018" t="str">
        <f>""</f>
        <v/>
      </c>
      <c r="CP1018" t="str">
        <f>""</f>
        <v/>
      </c>
      <c r="CQ1018" t="str">
        <f>""</f>
        <v/>
      </c>
      <c r="CR1018" t="str">
        <f>""</f>
        <v/>
      </c>
      <c r="CS1018" t="str">
        <f>""</f>
        <v/>
      </c>
      <c r="CT1018" t="str">
        <f>""</f>
        <v/>
      </c>
      <c r="CU1018" t="str">
        <f>""</f>
        <v/>
      </c>
      <c r="CV1018" t="str">
        <f>""</f>
        <v/>
      </c>
      <c r="CW1018" t="str">
        <f>""</f>
        <v/>
      </c>
      <c r="CX1018" t="str">
        <f>""</f>
        <v/>
      </c>
      <c r="CY1018" t="str">
        <f>""</f>
        <v/>
      </c>
      <c r="CZ1018" t="str">
        <f>""</f>
        <v/>
      </c>
      <c r="DA1018" t="str">
        <f>""</f>
        <v/>
      </c>
      <c r="DB1018" t="str">
        <f>""</f>
        <v/>
      </c>
      <c r="DC1018" t="str">
        <f>""</f>
        <v/>
      </c>
      <c r="DD1018" t="str">
        <f>""</f>
        <v/>
      </c>
      <c r="DE1018" t="str">
        <f>""</f>
        <v/>
      </c>
      <c r="DF1018" t="str">
        <f>""</f>
        <v/>
      </c>
      <c r="DG1018" t="str">
        <f>""</f>
        <v/>
      </c>
      <c r="DH1018" t="str">
        <f>""</f>
        <v/>
      </c>
      <c r="DI1018" t="str">
        <f>""</f>
        <v/>
      </c>
      <c r="DJ1018" t="str">
        <f>""</f>
        <v/>
      </c>
      <c r="DK1018" t="str">
        <f>""</f>
        <v/>
      </c>
      <c r="DL1018" t="str">
        <f>""</f>
        <v/>
      </c>
      <c r="DM1018" t="str">
        <f>""</f>
        <v/>
      </c>
      <c r="DN1018" t="str">
        <f>""</f>
        <v/>
      </c>
      <c r="DO1018" t="str">
        <f>""</f>
        <v/>
      </c>
      <c r="DP1018" t="str">
        <f>""</f>
        <v/>
      </c>
      <c r="DQ1018" t="str">
        <f>""</f>
        <v/>
      </c>
      <c r="DR1018" t="str">
        <f>""</f>
        <v/>
      </c>
      <c r="DS1018" t="str">
        <f>""</f>
        <v/>
      </c>
      <c r="DT1018" t="str">
        <f>""</f>
        <v/>
      </c>
      <c r="DU1018" t="str">
        <f>""</f>
        <v/>
      </c>
    </row>
    <row r="1019" spans="1:125" x14ac:dyDescent="0.25">
      <c r="A1019" t="str">
        <f>$A$354</f>
        <v xml:space="preserve">    Hyundai Motor Co</v>
      </c>
      <c r="B1019" t="str">
        <f>$B$354</f>
        <v>005380 KS Equity</v>
      </c>
      <c r="C1019" t="str">
        <f>$C$354</f>
        <v>RR473</v>
      </c>
      <c r="D1019" t="str">
        <f>$D$354</f>
        <v>EV_TO_T12M_SALES</v>
      </c>
      <c r="E1019" t="str">
        <f>$E$354</f>
        <v>Dynamic</v>
      </c>
      <c r="F1019" t="str">
        <f ca="1">_xll.BDH($B$354,$C$354,$B$675,$B$676,CONCATENATE("Per=",$B$673),"Dts=H","Dir=H",CONCATENATE("Points=",$B$674),"Sort=R","Days=A","Fill=B",CONCATENATE("FX=", $B$672) )</f>
        <v>#N/A Connection</v>
      </c>
      <c r="BN1019" t="str">
        <f>""</f>
        <v/>
      </c>
      <c r="BO1019" t="str">
        <f>""</f>
        <v/>
      </c>
      <c r="BP1019" t="str">
        <f>""</f>
        <v/>
      </c>
      <c r="BQ1019" t="str">
        <f>""</f>
        <v/>
      </c>
      <c r="BR1019" t="str">
        <f>""</f>
        <v/>
      </c>
      <c r="BS1019" t="str">
        <f>""</f>
        <v/>
      </c>
      <c r="BT1019" t="str">
        <f>""</f>
        <v/>
      </c>
      <c r="BU1019" t="str">
        <f>""</f>
        <v/>
      </c>
      <c r="BV1019" t="str">
        <f>""</f>
        <v/>
      </c>
      <c r="BW1019" t="str">
        <f>""</f>
        <v/>
      </c>
      <c r="BX1019" t="str">
        <f>""</f>
        <v/>
      </c>
      <c r="BY1019" t="str">
        <f>""</f>
        <v/>
      </c>
      <c r="BZ1019" t="str">
        <f>""</f>
        <v/>
      </c>
      <c r="CA1019" t="str">
        <f>""</f>
        <v/>
      </c>
      <c r="CB1019" t="str">
        <f>""</f>
        <v/>
      </c>
      <c r="CC1019" t="str">
        <f>""</f>
        <v/>
      </c>
      <c r="CD1019" t="str">
        <f>""</f>
        <v/>
      </c>
      <c r="CE1019" t="str">
        <f>""</f>
        <v/>
      </c>
      <c r="CF1019" t="str">
        <f>""</f>
        <v/>
      </c>
      <c r="CG1019" t="str">
        <f>""</f>
        <v/>
      </c>
      <c r="CH1019" t="str">
        <f>""</f>
        <v/>
      </c>
      <c r="CI1019" t="str">
        <f>""</f>
        <v/>
      </c>
      <c r="CJ1019" t="str">
        <f>""</f>
        <v/>
      </c>
      <c r="CK1019" t="str">
        <f>""</f>
        <v/>
      </c>
      <c r="CL1019" t="str">
        <f>""</f>
        <v/>
      </c>
      <c r="CM1019" t="str">
        <f>""</f>
        <v/>
      </c>
      <c r="CN1019" t="str">
        <f>""</f>
        <v/>
      </c>
      <c r="CO1019" t="str">
        <f>""</f>
        <v/>
      </c>
      <c r="CP1019" t="str">
        <f>""</f>
        <v/>
      </c>
      <c r="CQ1019" t="str">
        <f>""</f>
        <v/>
      </c>
      <c r="CR1019" t="str">
        <f>""</f>
        <v/>
      </c>
      <c r="CS1019" t="str">
        <f>""</f>
        <v/>
      </c>
      <c r="CT1019" t="str">
        <f>""</f>
        <v/>
      </c>
      <c r="CU1019" t="str">
        <f>""</f>
        <v/>
      </c>
      <c r="CV1019" t="str">
        <f>""</f>
        <v/>
      </c>
      <c r="CW1019" t="str">
        <f>""</f>
        <v/>
      </c>
      <c r="CX1019" t="str">
        <f>""</f>
        <v/>
      </c>
      <c r="CY1019" t="str">
        <f>""</f>
        <v/>
      </c>
      <c r="CZ1019" t="str">
        <f>""</f>
        <v/>
      </c>
      <c r="DA1019" t="str">
        <f>""</f>
        <v/>
      </c>
      <c r="DB1019" t="str">
        <f>""</f>
        <v/>
      </c>
      <c r="DC1019" t="str">
        <f>""</f>
        <v/>
      </c>
      <c r="DD1019" t="str">
        <f>""</f>
        <v/>
      </c>
      <c r="DE1019" t="str">
        <f>""</f>
        <v/>
      </c>
      <c r="DF1019" t="str">
        <f>""</f>
        <v/>
      </c>
      <c r="DG1019" t="str">
        <f>""</f>
        <v/>
      </c>
      <c r="DH1019" t="str">
        <f>""</f>
        <v/>
      </c>
      <c r="DI1019" t="str">
        <f>""</f>
        <v/>
      </c>
      <c r="DJ1019" t="str">
        <f>""</f>
        <v/>
      </c>
      <c r="DK1019" t="str">
        <f>""</f>
        <v/>
      </c>
      <c r="DL1019" t="str">
        <f>""</f>
        <v/>
      </c>
      <c r="DM1019" t="str">
        <f>""</f>
        <v/>
      </c>
      <c r="DN1019" t="str">
        <f>""</f>
        <v/>
      </c>
      <c r="DO1019" t="str">
        <f>""</f>
        <v/>
      </c>
      <c r="DP1019" t="str">
        <f>""</f>
        <v/>
      </c>
      <c r="DQ1019" t="str">
        <f>""</f>
        <v/>
      </c>
      <c r="DR1019" t="str">
        <f>""</f>
        <v/>
      </c>
      <c r="DS1019" t="str">
        <f>""</f>
        <v/>
      </c>
      <c r="DT1019" t="str">
        <f>""</f>
        <v/>
      </c>
      <c r="DU1019" t="str">
        <f>""</f>
        <v/>
      </c>
    </row>
    <row r="1020" spans="1:125" x14ac:dyDescent="0.25">
      <c r="A1020" t="str">
        <f>$A$355</f>
        <v xml:space="preserve">    Kia Motors Corp</v>
      </c>
      <c r="B1020" t="str">
        <f>$B$355</f>
        <v>000270 KS Equity</v>
      </c>
      <c r="C1020" t="str">
        <f>$C$355</f>
        <v>RR473</v>
      </c>
      <c r="D1020" t="str">
        <f>$D$355</f>
        <v>EV_TO_T12M_SALES</v>
      </c>
      <c r="E1020" t="str">
        <f>$E$355</f>
        <v>Dynamic</v>
      </c>
      <c r="F1020" t="str">
        <f ca="1">_xll.BDH($B$355,$C$355,$B$675,$B$676,CONCATENATE("Per=",$B$673),"Dts=H","Dir=H",CONCATENATE("Points=",$B$674),"Sort=R","Days=A","Fill=B",CONCATENATE("FX=", $B$672) )</f>
        <v>#N/A Connection</v>
      </c>
      <c r="BN1020" t="str">
        <f>""</f>
        <v/>
      </c>
      <c r="BO1020" t="str">
        <f>""</f>
        <v/>
      </c>
      <c r="BP1020" t="str">
        <f>""</f>
        <v/>
      </c>
      <c r="BQ1020" t="str">
        <f>""</f>
        <v/>
      </c>
      <c r="BR1020" t="str">
        <f>""</f>
        <v/>
      </c>
      <c r="BS1020" t="str">
        <f>""</f>
        <v/>
      </c>
      <c r="BT1020" t="str">
        <f>""</f>
        <v/>
      </c>
      <c r="BU1020" t="str">
        <f>""</f>
        <v/>
      </c>
      <c r="BV1020" t="str">
        <f>""</f>
        <v/>
      </c>
      <c r="BW1020" t="str">
        <f>""</f>
        <v/>
      </c>
      <c r="BX1020" t="str">
        <f>""</f>
        <v/>
      </c>
      <c r="BY1020" t="str">
        <f>""</f>
        <v/>
      </c>
      <c r="BZ1020" t="str">
        <f>""</f>
        <v/>
      </c>
      <c r="CA1020" t="str">
        <f>""</f>
        <v/>
      </c>
      <c r="CB1020" t="str">
        <f>""</f>
        <v/>
      </c>
      <c r="CC1020" t="str">
        <f>""</f>
        <v/>
      </c>
      <c r="CD1020" t="str">
        <f>""</f>
        <v/>
      </c>
      <c r="CE1020" t="str">
        <f>""</f>
        <v/>
      </c>
      <c r="CF1020" t="str">
        <f>""</f>
        <v/>
      </c>
      <c r="CG1020" t="str">
        <f>""</f>
        <v/>
      </c>
      <c r="CH1020" t="str">
        <f>""</f>
        <v/>
      </c>
      <c r="CI1020" t="str">
        <f>""</f>
        <v/>
      </c>
      <c r="CJ1020" t="str">
        <f>""</f>
        <v/>
      </c>
      <c r="CK1020" t="str">
        <f>""</f>
        <v/>
      </c>
      <c r="CL1020" t="str">
        <f>""</f>
        <v/>
      </c>
      <c r="CM1020" t="str">
        <f>""</f>
        <v/>
      </c>
      <c r="CN1020" t="str">
        <f>""</f>
        <v/>
      </c>
      <c r="CO1020" t="str">
        <f>""</f>
        <v/>
      </c>
      <c r="CP1020" t="str">
        <f>""</f>
        <v/>
      </c>
      <c r="CQ1020" t="str">
        <f>""</f>
        <v/>
      </c>
      <c r="CR1020" t="str">
        <f>""</f>
        <v/>
      </c>
      <c r="CS1020" t="str">
        <f>""</f>
        <v/>
      </c>
      <c r="CT1020" t="str">
        <f>""</f>
        <v/>
      </c>
      <c r="CU1020" t="str">
        <f>""</f>
        <v/>
      </c>
      <c r="CV1020" t="str">
        <f>""</f>
        <v/>
      </c>
      <c r="CW1020" t="str">
        <f>""</f>
        <v/>
      </c>
      <c r="CX1020" t="str">
        <f>""</f>
        <v/>
      </c>
      <c r="CY1020" t="str">
        <f>""</f>
        <v/>
      </c>
      <c r="CZ1020" t="str">
        <f>""</f>
        <v/>
      </c>
      <c r="DA1020" t="str">
        <f>""</f>
        <v/>
      </c>
      <c r="DB1020" t="str">
        <f>""</f>
        <v/>
      </c>
      <c r="DC1020" t="str">
        <f>""</f>
        <v/>
      </c>
      <c r="DD1020" t="str">
        <f>""</f>
        <v/>
      </c>
      <c r="DE1020" t="str">
        <f>""</f>
        <v/>
      </c>
      <c r="DF1020" t="str">
        <f>""</f>
        <v/>
      </c>
      <c r="DG1020" t="str">
        <f>""</f>
        <v/>
      </c>
      <c r="DH1020" t="str">
        <f>""</f>
        <v/>
      </c>
      <c r="DI1020" t="str">
        <f>""</f>
        <v/>
      </c>
      <c r="DJ1020" t="str">
        <f>""</f>
        <v/>
      </c>
      <c r="DK1020" t="str">
        <f>""</f>
        <v/>
      </c>
      <c r="DL1020" t="str">
        <f>""</f>
        <v/>
      </c>
      <c r="DM1020" t="str">
        <f>""</f>
        <v/>
      </c>
      <c r="DN1020" t="str">
        <f>""</f>
        <v/>
      </c>
      <c r="DO1020" t="str">
        <f>""</f>
        <v/>
      </c>
      <c r="DP1020" t="str">
        <f>""</f>
        <v/>
      </c>
      <c r="DQ1020" t="str">
        <f>""</f>
        <v/>
      </c>
      <c r="DR1020" t="str">
        <f>""</f>
        <v/>
      </c>
      <c r="DS1020" t="str">
        <f>""</f>
        <v/>
      </c>
      <c r="DT1020" t="str">
        <f>""</f>
        <v/>
      </c>
      <c r="DU1020" t="str">
        <f>""</f>
        <v/>
      </c>
    </row>
    <row r="1021" spans="1:125" x14ac:dyDescent="0.25">
      <c r="A1021" t="str">
        <f>$A$356</f>
        <v xml:space="preserve">    Mazda Motor Corp</v>
      </c>
      <c r="B1021" t="str">
        <f>$B$356</f>
        <v>7261 JP Equity</v>
      </c>
      <c r="C1021" t="str">
        <f>$C$356</f>
        <v>RR473</v>
      </c>
      <c r="D1021" t="str">
        <f>$D$356</f>
        <v>EV_TO_T12M_SALES</v>
      </c>
      <c r="E1021" t="str">
        <f>$E$356</f>
        <v>Dynamic</v>
      </c>
      <c r="F1021" t="str">
        <f ca="1">_xll.BDH($B$356,$C$356,$B$675,$B$676,CONCATENATE("Per=",$B$673),"Dts=H","Dir=H",CONCATENATE("Points=",$B$674),"Sort=R","Days=A","Fill=B",CONCATENATE("FX=", $B$672) )</f>
        <v>#N/A Connection</v>
      </c>
      <c r="BN1021" t="str">
        <f>""</f>
        <v/>
      </c>
      <c r="BO1021" t="str">
        <f>""</f>
        <v/>
      </c>
      <c r="BP1021" t="str">
        <f>""</f>
        <v/>
      </c>
      <c r="BQ1021" t="str">
        <f>""</f>
        <v/>
      </c>
      <c r="BR1021" t="str">
        <f>""</f>
        <v/>
      </c>
      <c r="BS1021" t="str">
        <f>""</f>
        <v/>
      </c>
      <c r="BT1021" t="str">
        <f>""</f>
        <v/>
      </c>
      <c r="BU1021" t="str">
        <f>""</f>
        <v/>
      </c>
      <c r="BV1021" t="str">
        <f>""</f>
        <v/>
      </c>
      <c r="BW1021" t="str">
        <f>""</f>
        <v/>
      </c>
      <c r="BX1021" t="str">
        <f>""</f>
        <v/>
      </c>
      <c r="BY1021" t="str">
        <f>""</f>
        <v/>
      </c>
      <c r="BZ1021" t="str">
        <f>""</f>
        <v/>
      </c>
      <c r="CA1021" t="str">
        <f>""</f>
        <v/>
      </c>
      <c r="CB1021" t="str">
        <f>""</f>
        <v/>
      </c>
      <c r="CC1021" t="str">
        <f>""</f>
        <v/>
      </c>
      <c r="CD1021" t="str">
        <f>""</f>
        <v/>
      </c>
      <c r="CE1021" t="str">
        <f>""</f>
        <v/>
      </c>
      <c r="CF1021" t="str">
        <f>""</f>
        <v/>
      </c>
      <c r="CG1021" t="str">
        <f>""</f>
        <v/>
      </c>
      <c r="CH1021" t="str">
        <f>""</f>
        <v/>
      </c>
      <c r="CI1021" t="str">
        <f>""</f>
        <v/>
      </c>
      <c r="CJ1021" t="str">
        <f>""</f>
        <v/>
      </c>
      <c r="CK1021" t="str">
        <f>""</f>
        <v/>
      </c>
      <c r="CL1021" t="str">
        <f>""</f>
        <v/>
      </c>
      <c r="CM1021" t="str">
        <f>""</f>
        <v/>
      </c>
      <c r="CN1021" t="str">
        <f>""</f>
        <v/>
      </c>
      <c r="CO1021" t="str">
        <f>""</f>
        <v/>
      </c>
      <c r="CP1021" t="str">
        <f>""</f>
        <v/>
      </c>
      <c r="CQ1021" t="str">
        <f>""</f>
        <v/>
      </c>
      <c r="CR1021" t="str">
        <f>""</f>
        <v/>
      </c>
      <c r="CS1021" t="str">
        <f>""</f>
        <v/>
      </c>
      <c r="CT1021" t="str">
        <f>""</f>
        <v/>
      </c>
      <c r="CU1021" t="str">
        <f>""</f>
        <v/>
      </c>
      <c r="CV1021" t="str">
        <f>""</f>
        <v/>
      </c>
      <c r="CW1021" t="str">
        <f>""</f>
        <v/>
      </c>
      <c r="CX1021" t="str">
        <f>""</f>
        <v/>
      </c>
      <c r="CY1021" t="str">
        <f>""</f>
        <v/>
      </c>
      <c r="CZ1021" t="str">
        <f>""</f>
        <v/>
      </c>
      <c r="DA1021" t="str">
        <f>""</f>
        <v/>
      </c>
      <c r="DB1021" t="str">
        <f>""</f>
        <v/>
      </c>
      <c r="DC1021" t="str">
        <f>""</f>
        <v/>
      </c>
      <c r="DD1021" t="str">
        <f>""</f>
        <v/>
      </c>
      <c r="DE1021" t="str">
        <f>""</f>
        <v/>
      </c>
      <c r="DF1021" t="str">
        <f>""</f>
        <v/>
      </c>
      <c r="DG1021" t="str">
        <f>""</f>
        <v/>
      </c>
      <c r="DH1021" t="str">
        <f>""</f>
        <v/>
      </c>
      <c r="DI1021" t="str">
        <f>""</f>
        <v/>
      </c>
      <c r="DJ1021" t="str">
        <f>""</f>
        <v/>
      </c>
      <c r="DK1021" t="str">
        <f>""</f>
        <v/>
      </c>
      <c r="DL1021" t="str">
        <f>""</f>
        <v/>
      </c>
      <c r="DM1021" t="str">
        <f>""</f>
        <v/>
      </c>
      <c r="DN1021" t="str">
        <f>""</f>
        <v/>
      </c>
      <c r="DO1021" t="str">
        <f>""</f>
        <v/>
      </c>
      <c r="DP1021" t="str">
        <f>""</f>
        <v/>
      </c>
      <c r="DQ1021" t="str">
        <f>""</f>
        <v/>
      </c>
      <c r="DR1021" t="str">
        <f>""</f>
        <v/>
      </c>
      <c r="DS1021" t="str">
        <f>""</f>
        <v/>
      </c>
      <c r="DT1021" t="str">
        <f>""</f>
        <v/>
      </c>
      <c r="DU1021" t="str">
        <f>""</f>
        <v/>
      </c>
    </row>
    <row r="1022" spans="1:125" x14ac:dyDescent="0.25">
      <c r="A1022" t="str">
        <f>$A$357</f>
        <v xml:space="preserve">    Mitsubishi Motors Corp</v>
      </c>
      <c r="B1022" t="str">
        <f>$B$357</f>
        <v>7211 JP Equity</v>
      </c>
      <c r="C1022" t="str">
        <f>$C$357</f>
        <v>RR473</v>
      </c>
      <c r="D1022" t="str">
        <f>$D$357</f>
        <v>EV_TO_T12M_SALES</v>
      </c>
      <c r="E1022" t="str">
        <f>$E$357</f>
        <v>Dynamic</v>
      </c>
      <c r="F1022" t="str">
        <f ca="1">_xll.BDH($B$357,$C$357,$B$675,$B$676,CONCATENATE("Per=",$B$673),"Dts=H","Dir=H",CONCATENATE("Points=",$B$674),"Sort=R","Days=A","Fill=B",CONCATENATE("FX=", $B$672) )</f>
        <v>#N/A Connection</v>
      </c>
      <c r="BN1022" t="str">
        <f>""</f>
        <v/>
      </c>
      <c r="BO1022" t="str">
        <f>""</f>
        <v/>
      </c>
      <c r="BP1022" t="str">
        <f>""</f>
        <v/>
      </c>
      <c r="BQ1022" t="str">
        <f>""</f>
        <v/>
      </c>
      <c r="BR1022" t="str">
        <f>""</f>
        <v/>
      </c>
      <c r="BS1022" t="str">
        <f>""</f>
        <v/>
      </c>
      <c r="BT1022" t="str">
        <f>""</f>
        <v/>
      </c>
      <c r="BU1022" t="str">
        <f>""</f>
        <v/>
      </c>
      <c r="BV1022" t="str">
        <f>""</f>
        <v/>
      </c>
      <c r="BW1022" t="str">
        <f>""</f>
        <v/>
      </c>
      <c r="BX1022" t="str">
        <f>""</f>
        <v/>
      </c>
      <c r="BY1022" t="str">
        <f>""</f>
        <v/>
      </c>
      <c r="BZ1022" t="str">
        <f>""</f>
        <v/>
      </c>
      <c r="CA1022" t="str">
        <f>""</f>
        <v/>
      </c>
      <c r="CB1022" t="str">
        <f>""</f>
        <v/>
      </c>
      <c r="CC1022" t="str">
        <f>""</f>
        <v/>
      </c>
      <c r="CD1022" t="str">
        <f>""</f>
        <v/>
      </c>
      <c r="CE1022" t="str">
        <f>""</f>
        <v/>
      </c>
      <c r="CF1022" t="str">
        <f>""</f>
        <v/>
      </c>
      <c r="CG1022" t="str">
        <f>""</f>
        <v/>
      </c>
      <c r="CH1022" t="str">
        <f>""</f>
        <v/>
      </c>
      <c r="CI1022" t="str">
        <f>""</f>
        <v/>
      </c>
      <c r="CJ1022" t="str">
        <f>""</f>
        <v/>
      </c>
      <c r="CK1022" t="str">
        <f>""</f>
        <v/>
      </c>
      <c r="CL1022" t="str">
        <f>""</f>
        <v/>
      </c>
      <c r="CM1022" t="str">
        <f>""</f>
        <v/>
      </c>
      <c r="CN1022" t="str">
        <f>""</f>
        <v/>
      </c>
      <c r="CO1022" t="str">
        <f>""</f>
        <v/>
      </c>
      <c r="CP1022" t="str">
        <f>""</f>
        <v/>
      </c>
      <c r="CQ1022" t="str">
        <f>""</f>
        <v/>
      </c>
      <c r="CR1022" t="str">
        <f>""</f>
        <v/>
      </c>
      <c r="CS1022" t="str">
        <f>""</f>
        <v/>
      </c>
      <c r="CT1022" t="str">
        <f>""</f>
        <v/>
      </c>
      <c r="CU1022" t="str">
        <f>""</f>
        <v/>
      </c>
      <c r="CV1022" t="str">
        <f>""</f>
        <v/>
      </c>
      <c r="CW1022" t="str">
        <f>""</f>
        <v/>
      </c>
      <c r="CX1022" t="str">
        <f>""</f>
        <v/>
      </c>
      <c r="CY1022" t="str">
        <f>""</f>
        <v/>
      </c>
      <c r="CZ1022" t="str">
        <f>""</f>
        <v/>
      </c>
      <c r="DA1022" t="str">
        <f>""</f>
        <v/>
      </c>
      <c r="DB1022" t="str">
        <f>""</f>
        <v/>
      </c>
      <c r="DC1022" t="str">
        <f>""</f>
        <v/>
      </c>
      <c r="DD1022" t="str">
        <f>""</f>
        <v/>
      </c>
      <c r="DE1022" t="str">
        <f>""</f>
        <v/>
      </c>
      <c r="DF1022" t="str">
        <f>""</f>
        <v/>
      </c>
      <c r="DG1022" t="str">
        <f>""</f>
        <v/>
      </c>
      <c r="DH1022" t="str">
        <f>""</f>
        <v/>
      </c>
      <c r="DI1022" t="str">
        <f>""</f>
        <v/>
      </c>
      <c r="DJ1022" t="str">
        <f>""</f>
        <v/>
      </c>
      <c r="DK1022" t="str">
        <f>""</f>
        <v/>
      </c>
      <c r="DL1022" t="str">
        <f>""</f>
        <v/>
      </c>
      <c r="DM1022" t="str">
        <f>""</f>
        <v/>
      </c>
      <c r="DN1022" t="str">
        <f>""</f>
        <v/>
      </c>
      <c r="DO1022" t="str">
        <f>""</f>
        <v/>
      </c>
      <c r="DP1022" t="str">
        <f>""</f>
        <v/>
      </c>
      <c r="DQ1022" t="str">
        <f>""</f>
        <v/>
      </c>
      <c r="DR1022" t="str">
        <f>""</f>
        <v/>
      </c>
      <c r="DS1022" t="str">
        <f>""</f>
        <v/>
      </c>
      <c r="DT1022" t="str">
        <f>""</f>
        <v/>
      </c>
      <c r="DU1022" t="str">
        <f>""</f>
        <v/>
      </c>
    </row>
    <row r="1023" spans="1:125" x14ac:dyDescent="0.25">
      <c r="A1023" t="str">
        <f>$A$358</f>
        <v xml:space="preserve">    Nissan Motor Co Ltd</v>
      </c>
      <c r="B1023" t="str">
        <f>$B$358</f>
        <v>7201 JP Equity</v>
      </c>
      <c r="C1023" t="str">
        <f>$C$358</f>
        <v>RR473</v>
      </c>
      <c r="D1023" t="str">
        <f>$D$358</f>
        <v>EV_TO_T12M_SALES</v>
      </c>
      <c r="E1023" t="str">
        <f>$E$358</f>
        <v>Dynamic</v>
      </c>
      <c r="F1023" t="str">
        <f ca="1">_xll.BDH($B$358,$C$358,$B$675,$B$676,CONCATENATE("Per=",$B$673),"Dts=H","Dir=H",CONCATENATE("Points=",$B$674),"Sort=R","Days=A","Fill=B",CONCATENATE("FX=", $B$672) )</f>
        <v>#N/A Connection</v>
      </c>
      <c r="BN1023" t="str">
        <f>""</f>
        <v/>
      </c>
      <c r="BO1023" t="str">
        <f>""</f>
        <v/>
      </c>
      <c r="BP1023" t="str">
        <f>""</f>
        <v/>
      </c>
      <c r="BQ1023" t="str">
        <f>""</f>
        <v/>
      </c>
      <c r="BR1023" t="str">
        <f>""</f>
        <v/>
      </c>
      <c r="BS1023" t="str">
        <f>""</f>
        <v/>
      </c>
      <c r="BT1023" t="str">
        <f>""</f>
        <v/>
      </c>
      <c r="BU1023" t="str">
        <f>""</f>
        <v/>
      </c>
      <c r="BV1023" t="str">
        <f>""</f>
        <v/>
      </c>
      <c r="BW1023" t="str">
        <f>""</f>
        <v/>
      </c>
      <c r="BX1023" t="str">
        <f>""</f>
        <v/>
      </c>
      <c r="BY1023" t="str">
        <f>""</f>
        <v/>
      </c>
      <c r="BZ1023" t="str">
        <f>""</f>
        <v/>
      </c>
      <c r="CA1023" t="str">
        <f>""</f>
        <v/>
      </c>
      <c r="CB1023" t="str">
        <f>""</f>
        <v/>
      </c>
      <c r="CC1023" t="str">
        <f>""</f>
        <v/>
      </c>
      <c r="CD1023" t="str">
        <f>""</f>
        <v/>
      </c>
      <c r="CE1023" t="str">
        <f>""</f>
        <v/>
      </c>
      <c r="CF1023" t="str">
        <f>""</f>
        <v/>
      </c>
      <c r="CG1023" t="str">
        <f>""</f>
        <v/>
      </c>
      <c r="CH1023" t="str">
        <f>""</f>
        <v/>
      </c>
      <c r="CI1023" t="str">
        <f>""</f>
        <v/>
      </c>
      <c r="CJ1023" t="str">
        <f>""</f>
        <v/>
      </c>
      <c r="CK1023" t="str">
        <f>""</f>
        <v/>
      </c>
      <c r="CL1023" t="str">
        <f>""</f>
        <v/>
      </c>
      <c r="CM1023" t="str">
        <f>""</f>
        <v/>
      </c>
      <c r="CN1023" t="str">
        <f>""</f>
        <v/>
      </c>
      <c r="CO1023" t="str">
        <f>""</f>
        <v/>
      </c>
      <c r="CP1023" t="str">
        <f>""</f>
        <v/>
      </c>
      <c r="CQ1023" t="str">
        <f>""</f>
        <v/>
      </c>
      <c r="CR1023" t="str">
        <f>""</f>
        <v/>
      </c>
      <c r="CS1023" t="str">
        <f>""</f>
        <v/>
      </c>
      <c r="CT1023" t="str">
        <f>""</f>
        <v/>
      </c>
      <c r="CU1023" t="str">
        <f>""</f>
        <v/>
      </c>
      <c r="CV1023" t="str">
        <f>""</f>
        <v/>
      </c>
      <c r="CW1023" t="str">
        <f>""</f>
        <v/>
      </c>
      <c r="CX1023" t="str">
        <f>""</f>
        <v/>
      </c>
      <c r="CY1023" t="str">
        <f>""</f>
        <v/>
      </c>
      <c r="CZ1023" t="str">
        <f>""</f>
        <v/>
      </c>
      <c r="DA1023" t="str">
        <f>""</f>
        <v/>
      </c>
      <c r="DB1023" t="str">
        <f>""</f>
        <v/>
      </c>
      <c r="DC1023" t="str">
        <f>""</f>
        <v/>
      </c>
      <c r="DD1023" t="str">
        <f>""</f>
        <v/>
      </c>
      <c r="DE1023" t="str">
        <f>""</f>
        <v/>
      </c>
      <c r="DF1023" t="str">
        <f>""</f>
        <v/>
      </c>
      <c r="DG1023" t="str">
        <f>""</f>
        <v/>
      </c>
      <c r="DH1023" t="str">
        <f>""</f>
        <v/>
      </c>
      <c r="DI1023" t="str">
        <f>""</f>
        <v/>
      </c>
      <c r="DJ1023" t="str">
        <f>""</f>
        <v/>
      </c>
      <c r="DK1023" t="str">
        <f>""</f>
        <v/>
      </c>
      <c r="DL1023" t="str">
        <f>""</f>
        <v/>
      </c>
      <c r="DM1023" t="str">
        <f>""</f>
        <v/>
      </c>
      <c r="DN1023" t="str">
        <f>""</f>
        <v/>
      </c>
      <c r="DO1023" t="str">
        <f>""</f>
        <v/>
      </c>
      <c r="DP1023" t="str">
        <f>""</f>
        <v/>
      </c>
      <c r="DQ1023" t="str">
        <f>""</f>
        <v/>
      </c>
      <c r="DR1023" t="str">
        <f>""</f>
        <v/>
      </c>
      <c r="DS1023" t="str">
        <f>""</f>
        <v/>
      </c>
      <c r="DT1023" t="str">
        <f>""</f>
        <v/>
      </c>
      <c r="DU1023" t="str">
        <f>""</f>
        <v/>
      </c>
    </row>
    <row r="1024" spans="1:125" x14ac:dyDescent="0.25">
      <c r="A1024" t="str">
        <f>$A$359</f>
        <v xml:space="preserve">    Peugeot SA</v>
      </c>
      <c r="B1024" t="str">
        <f>$B$359</f>
        <v>UG FP Equity</v>
      </c>
      <c r="C1024" t="str">
        <f>$C$359</f>
        <v>RR473</v>
      </c>
      <c r="D1024" t="str">
        <f>$D$359</f>
        <v>EV_TO_T12M_SALES</v>
      </c>
      <c r="E1024" t="str">
        <f>$E$359</f>
        <v>Dynamic</v>
      </c>
      <c r="F1024" t="str">
        <f ca="1">_xll.BDH($B$359,$C$359,$B$675,$B$676,CONCATENATE("Per=",$B$673),"Dts=H","Dir=H",CONCATENATE("Points=",$B$674),"Sort=R","Days=A","Fill=B",CONCATENATE("FX=", $B$672) )</f>
        <v>#N/A Connection</v>
      </c>
      <c r="BN1024" t="str">
        <f>""</f>
        <v/>
      </c>
      <c r="BO1024" t="str">
        <f>""</f>
        <v/>
      </c>
      <c r="BP1024" t="str">
        <f>""</f>
        <v/>
      </c>
      <c r="BQ1024" t="str">
        <f>""</f>
        <v/>
      </c>
      <c r="BR1024" t="str">
        <f>""</f>
        <v/>
      </c>
      <c r="BS1024" t="str">
        <f>""</f>
        <v/>
      </c>
      <c r="BT1024" t="str">
        <f>""</f>
        <v/>
      </c>
      <c r="BU1024" t="str">
        <f>""</f>
        <v/>
      </c>
      <c r="BV1024" t="str">
        <f>""</f>
        <v/>
      </c>
      <c r="BW1024" t="str">
        <f>""</f>
        <v/>
      </c>
      <c r="BX1024" t="str">
        <f>""</f>
        <v/>
      </c>
      <c r="BY1024" t="str">
        <f>""</f>
        <v/>
      </c>
      <c r="BZ1024" t="str">
        <f>""</f>
        <v/>
      </c>
      <c r="CA1024" t="str">
        <f>""</f>
        <v/>
      </c>
      <c r="CB1024" t="str">
        <f>""</f>
        <v/>
      </c>
      <c r="CC1024" t="str">
        <f>""</f>
        <v/>
      </c>
      <c r="CD1024" t="str">
        <f>""</f>
        <v/>
      </c>
      <c r="CE1024" t="str">
        <f>""</f>
        <v/>
      </c>
      <c r="CF1024" t="str">
        <f>""</f>
        <v/>
      </c>
      <c r="CG1024" t="str">
        <f>""</f>
        <v/>
      </c>
      <c r="CH1024" t="str">
        <f>""</f>
        <v/>
      </c>
      <c r="CI1024" t="str">
        <f>""</f>
        <v/>
      </c>
      <c r="CJ1024" t="str">
        <f>""</f>
        <v/>
      </c>
      <c r="CK1024" t="str">
        <f>""</f>
        <v/>
      </c>
      <c r="CL1024" t="str">
        <f>""</f>
        <v/>
      </c>
      <c r="CM1024" t="str">
        <f>""</f>
        <v/>
      </c>
      <c r="CN1024" t="str">
        <f>""</f>
        <v/>
      </c>
      <c r="CO1024" t="str">
        <f>""</f>
        <v/>
      </c>
      <c r="CP1024" t="str">
        <f>""</f>
        <v/>
      </c>
      <c r="CQ1024" t="str">
        <f>""</f>
        <v/>
      </c>
      <c r="CR1024" t="str">
        <f>""</f>
        <v/>
      </c>
      <c r="CS1024" t="str">
        <f>""</f>
        <v/>
      </c>
      <c r="CT1024" t="str">
        <f>""</f>
        <v/>
      </c>
      <c r="CU1024" t="str">
        <f>""</f>
        <v/>
      </c>
      <c r="CV1024" t="str">
        <f>""</f>
        <v/>
      </c>
      <c r="CW1024" t="str">
        <f>""</f>
        <v/>
      </c>
      <c r="CX1024" t="str">
        <f>""</f>
        <v/>
      </c>
      <c r="CY1024" t="str">
        <f>""</f>
        <v/>
      </c>
      <c r="CZ1024" t="str">
        <f>""</f>
        <v/>
      </c>
      <c r="DA1024" t="str">
        <f>""</f>
        <v/>
      </c>
      <c r="DB1024" t="str">
        <f>""</f>
        <v/>
      </c>
      <c r="DC1024" t="str">
        <f>""</f>
        <v/>
      </c>
      <c r="DD1024" t="str">
        <f>""</f>
        <v/>
      </c>
      <c r="DE1024" t="str">
        <f>""</f>
        <v/>
      </c>
      <c r="DF1024" t="str">
        <f>""</f>
        <v/>
      </c>
      <c r="DG1024" t="str">
        <f>""</f>
        <v/>
      </c>
      <c r="DH1024" t="str">
        <f>""</f>
        <v/>
      </c>
      <c r="DI1024" t="str">
        <f>""</f>
        <v/>
      </c>
      <c r="DJ1024" t="str">
        <f>""</f>
        <v/>
      </c>
      <c r="DK1024" t="str">
        <f>""</f>
        <v/>
      </c>
      <c r="DL1024" t="str">
        <f>""</f>
        <v/>
      </c>
      <c r="DM1024" t="str">
        <f>""</f>
        <v/>
      </c>
      <c r="DN1024" t="str">
        <f>""</f>
        <v/>
      </c>
      <c r="DO1024" t="str">
        <f>""</f>
        <v/>
      </c>
      <c r="DP1024" t="str">
        <f>""</f>
        <v/>
      </c>
      <c r="DQ1024" t="str">
        <f>""</f>
        <v/>
      </c>
      <c r="DR1024" t="str">
        <f>""</f>
        <v/>
      </c>
      <c r="DS1024" t="str">
        <f>""</f>
        <v/>
      </c>
      <c r="DT1024" t="str">
        <f>""</f>
        <v/>
      </c>
      <c r="DU1024" t="str">
        <f>""</f>
        <v/>
      </c>
    </row>
    <row r="1025" spans="1:125" x14ac:dyDescent="0.25">
      <c r="A1025" t="str">
        <f>$A$360</f>
        <v xml:space="preserve">    Renault SA</v>
      </c>
      <c r="B1025" t="str">
        <f>$B$360</f>
        <v>RNO FP Equity</v>
      </c>
      <c r="C1025" t="str">
        <f>$C$360</f>
        <v>RR473</v>
      </c>
      <c r="D1025" t="str">
        <f>$D$360</f>
        <v>EV_TO_T12M_SALES</v>
      </c>
      <c r="E1025" t="str">
        <f>$E$360</f>
        <v>Dynamic</v>
      </c>
      <c r="F1025" t="str">
        <f ca="1">_xll.BDH($B$360,$C$360,$B$675,$B$676,CONCATENATE("Per=",$B$673),"Dts=H","Dir=H",CONCATENATE("Points=",$B$674),"Sort=R","Days=A","Fill=B",CONCATENATE("FX=", $B$672) )</f>
        <v>#N/A Connection</v>
      </c>
      <c r="BN1025" t="str">
        <f>""</f>
        <v/>
      </c>
      <c r="BO1025" t="str">
        <f>""</f>
        <v/>
      </c>
      <c r="BP1025" t="str">
        <f>""</f>
        <v/>
      </c>
      <c r="BQ1025" t="str">
        <f>""</f>
        <v/>
      </c>
      <c r="BR1025" t="str">
        <f>""</f>
        <v/>
      </c>
      <c r="BS1025" t="str">
        <f>""</f>
        <v/>
      </c>
      <c r="BT1025" t="str">
        <f>""</f>
        <v/>
      </c>
      <c r="BU1025" t="str">
        <f>""</f>
        <v/>
      </c>
      <c r="BV1025" t="str">
        <f>""</f>
        <v/>
      </c>
      <c r="BW1025" t="str">
        <f>""</f>
        <v/>
      </c>
      <c r="BX1025" t="str">
        <f>""</f>
        <v/>
      </c>
      <c r="BY1025" t="str">
        <f>""</f>
        <v/>
      </c>
      <c r="BZ1025" t="str">
        <f>""</f>
        <v/>
      </c>
      <c r="CA1025" t="str">
        <f>""</f>
        <v/>
      </c>
      <c r="CB1025" t="str">
        <f>""</f>
        <v/>
      </c>
      <c r="CC1025" t="str">
        <f>""</f>
        <v/>
      </c>
      <c r="CD1025" t="str">
        <f>""</f>
        <v/>
      </c>
      <c r="CE1025" t="str">
        <f>""</f>
        <v/>
      </c>
      <c r="CF1025" t="str">
        <f>""</f>
        <v/>
      </c>
      <c r="CG1025" t="str">
        <f>""</f>
        <v/>
      </c>
      <c r="CH1025" t="str">
        <f>""</f>
        <v/>
      </c>
      <c r="CI1025" t="str">
        <f>""</f>
        <v/>
      </c>
      <c r="CJ1025" t="str">
        <f>""</f>
        <v/>
      </c>
      <c r="CK1025" t="str">
        <f>""</f>
        <v/>
      </c>
      <c r="CL1025" t="str">
        <f>""</f>
        <v/>
      </c>
      <c r="CM1025" t="str">
        <f>""</f>
        <v/>
      </c>
      <c r="CN1025" t="str">
        <f>""</f>
        <v/>
      </c>
      <c r="CO1025" t="str">
        <f>""</f>
        <v/>
      </c>
      <c r="CP1025" t="str">
        <f>""</f>
        <v/>
      </c>
      <c r="CQ1025" t="str">
        <f>""</f>
        <v/>
      </c>
      <c r="CR1025" t="str">
        <f>""</f>
        <v/>
      </c>
      <c r="CS1025" t="str">
        <f>""</f>
        <v/>
      </c>
      <c r="CT1025" t="str">
        <f>""</f>
        <v/>
      </c>
      <c r="CU1025" t="str">
        <f>""</f>
        <v/>
      </c>
      <c r="CV1025" t="str">
        <f>""</f>
        <v/>
      </c>
      <c r="CW1025" t="str">
        <f>""</f>
        <v/>
      </c>
      <c r="CX1025" t="str">
        <f>""</f>
        <v/>
      </c>
      <c r="CY1025" t="str">
        <f>""</f>
        <v/>
      </c>
      <c r="CZ1025" t="str">
        <f>""</f>
        <v/>
      </c>
      <c r="DA1025" t="str">
        <f>""</f>
        <v/>
      </c>
      <c r="DB1025" t="str">
        <f>""</f>
        <v/>
      </c>
      <c r="DC1025" t="str">
        <f>""</f>
        <v/>
      </c>
      <c r="DD1025" t="str">
        <f>""</f>
        <v/>
      </c>
      <c r="DE1025" t="str">
        <f>""</f>
        <v/>
      </c>
      <c r="DF1025" t="str">
        <f>""</f>
        <v/>
      </c>
      <c r="DG1025" t="str">
        <f>""</f>
        <v/>
      </c>
      <c r="DH1025" t="str">
        <f>""</f>
        <v/>
      </c>
      <c r="DI1025" t="str">
        <f>""</f>
        <v/>
      </c>
      <c r="DJ1025" t="str">
        <f>""</f>
        <v/>
      </c>
      <c r="DK1025" t="str">
        <f>""</f>
        <v/>
      </c>
      <c r="DL1025" t="str">
        <f>""</f>
        <v/>
      </c>
      <c r="DM1025" t="str">
        <f>""</f>
        <v/>
      </c>
      <c r="DN1025" t="str">
        <f>""</f>
        <v/>
      </c>
      <c r="DO1025" t="str">
        <f>""</f>
        <v/>
      </c>
      <c r="DP1025" t="str">
        <f>""</f>
        <v/>
      </c>
      <c r="DQ1025" t="str">
        <f>""</f>
        <v/>
      </c>
      <c r="DR1025" t="str">
        <f>""</f>
        <v/>
      </c>
      <c r="DS1025" t="str">
        <f>""</f>
        <v/>
      </c>
      <c r="DT1025" t="str">
        <f>""</f>
        <v/>
      </c>
      <c r="DU1025" t="str">
        <f>""</f>
        <v/>
      </c>
    </row>
    <row r="1026" spans="1:125" x14ac:dyDescent="0.25">
      <c r="A1026" t="str">
        <f>$A$361</f>
        <v xml:space="preserve">    SAIC Motor Corp Ltd</v>
      </c>
      <c r="B1026" t="str">
        <f>$B$361</f>
        <v>600104 CH Equity</v>
      </c>
      <c r="C1026" t="str">
        <f>$C$361</f>
        <v>RR473</v>
      </c>
      <c r="D1026" t="str">
        <f>$D$361</f>
        <v>EV_TO_T12M_SALES</v>
      </c>
      <c r="E1026" t="str">
        <f>$E$361</f>
        <v>Dynamic</v>
      </c>
      <c r="F1026" t="str">
        <f ca="1">_xll.BDH($B$361,$C$361,$B$675,$B$676,CONCATENATE("Per=",$B$673),"Dts=H","Dir=H",CONCATENATE("Points=",$B$674),"Sort=R","Days=A","Fill=B",CONCATENATE("FX=", $B$672) )</f>
        <v>#N/A Connection</v>
      </c>
      <c r="BN1026" t="str">
        <f>""</f>
        <v/>
      </c>
      <c r="BO1026" t="str">
        <f>""</f>
        <v/>
      </c>
      <c r="BP1026" t="str">
        <f>""</f>
        <v/>
      </c>
      <c r="BQ1026" t="str">
        <f>""</f>
        <v/>
      </c>
      <c r="BR1026" t="str">
        <f>""</f>
        <v/>
      </c>
      <c r="BS1026" t="str">
        <f>""</f>
        <v/>
      </c>
      <c r="BT1026" t="str">
        <f>""</f>
        <v/>
      </c>
      <c r="BU1026" t="str">
        <f>""</f>
        <v/>
      </c>
      <c r="BV1026" t="str">
        <f>""</f>
        <v/>
      </c>
      <c r="BW1026" t="str">
        <f>""</f>
        <v/>
      </c>
      <c r="BX1026" t="str">
        <f>""</f>
        <v/>
      </c>
      <c r="BY1026" t="str">
        <f>""</f>
        <v/>
      </c>
      <c r="BZ1026" t="str">
        <f>""</f>
        <v/>
      </c>
      <c r="CA1026" t="str">
        <f>""</f>
        <v/>
      </c>
      <c r="CB1026" t="str">
        <f>""</f>
        <v/>
      </c>
      <c r="CC1026" t="str">
        <f>""</f>
        <v/>
      </c>
      <c r="CD1026" t="str">
        <f>""</f>
        <v/>
      </c>
      <c r="CE1026" t="str">
        <f>""</f>
        <v/>
      </c>
      <c r="CF1026" t="str">
        <f>""</f>
        <v/>
      </c>
      <c r="CG1026" t="str">
        <f>""</f>
        <v/>
      </c>
      <c r="CH1026" t="str">
        <f>""</f>
        <v/>
      </c>
      <c r="CI1026" t="str">
        <f>""</f>
        <v/>
      </c>
      <c r="CJ1026" t="str">
        <f>""</f>
        <v/>
      </c>
      <c r="CK1026" t="str">
        <f>""</f>
        <v/>
      </c>
      <c r="CL1026" t="str">
        <f>""</f>
        <v/>
      </c>
      <c r="CM1026" t="str">
        <f>""</f>
        <v/>
      </c>
      <c r="CN1026" t="str">
        <f>""</f>
        <v/>
      </c>
      <c r="CO1026" t="str">
        <f>""</f>
        <v/>
      </c>
      <c r="CP1026" t="str">
        <f>""</f>
        <v/>
      </c>
      <c r="CQ1026" t="str">
        <f>""</f>
        <v/>
      </c>
      <c r="CR1026" t="str">
        <f>""</f>
        <v/>
      </c>
      <c r="CS1026" t="str">
        <f>""</f>
        <v/>
      </c>
      <c r="CT1026" t="str">
        <f>""</f>
        <v/>
      </c>
      <c r="CU1026" t="str">
        <f>""</f>
        <v/>
      </c>
      <c r="CV1026" t="str">
        <f>""</f>
        <v/>
      </c>
      <c r="CW1026" t="str">
        <f>""</f>
        <v/>
      </c>
      <c r="CX1026" t="str">
        <f>""</f>
        <v/>
      </c>
      <c r="CY1026" t="str">
        <f>""</f>
        <v/>
      </c>
      <c r="CZ1026" t="str">
        <f>""</f>
        <v/>
      </c>
      <c r="DA1026" t="str">
        <f>""</f>
        <v/>
      </c>
      <c r="DB1026" t="str">
        <f>""</f>
        <v/>
      </c>
      <c r="DC1026" t="str">
        <f>""</f>
        <v/>
      </c>
      <c r="DD1026" t="str">
        <f>""</f>
        <v/>
      </c>
      <c r="DE1026" t="str">
        <f>""</f>
        <v/>
      </c>
      <c r="DF1026" t="str">
        <f>""</f>
        <v/>
      </c>
      <c r="DG1026" t="str">
        <f>""</f>
        <v/>
      </c>
      <c r="DH1026" t="str">
        <f>""</f>
        <v/>
      </c>
      <c r="DI1026" t="str">
        <f>""</f>
        <v/>
      </c>
      <c r="DJ1026" t="str">
        <f>""</f>
        <v/>
      </c>
      <c r="DK1026" t="str">
        <f>""</f>
        <v/>
      </c>
      <c r="DL1026" t="str">
        <f>""</f>
        <v/>
      </c>
      <c r="DM1026" t="str">
        <f>""</f>
        <v/>
      </c>
      <c r="DN1026" t="str">
        <f>""</f>
        <v/>
      </c>
      <c r="DO1026" t="str">
        <f>""</f>
        <v/>
      </c>
      <c r="DP1026" t="str">
        <f>""</f>
        <v/>
      </c>
      <c r="DQ1026" t="str">
        <f>""</f>
        <v/>
      </c>
      <c r="DR1026" t="str">
        <f>""</f>
        <v/>
      </c>
      <c r="DS1026" t="str">
        <f>""</f>
        <v/>
      </c>
      <c r="DT1026" t="str">
        <f>""</f>
        <v/>
      </c>
      <c r="DU1026" t="str">
        <f>""</f>
        <v/>
      </c>
    </row>
    <row r="1027" spans="1:125" x14ac:dyDescent="0.25">
      <c r="A1027" t="str">
        <f>$A$362</f>
        <v xml:space="preserve">    Sanyang Motor Co Ltd</v>
      </c>
      <c r="B1027" t="str">
        <f>$B$362</f>
        <v>2206 TT Equity</v>
      </c>
      <c r="C1027" t="str">
        <f>$C$362</f>
        <v>RR473</v>
      </c>
      <c r="D1027" t="str">
        <f>$D$362</f>
        <v>EV_TO_T12M_SALES</v>
      </c>
      <c r="E1027" t="str">
        <f>$E$362</f>
        <v>Dynamic</v>
      </c>
      <c r="F1027" t="str">
        <f ca="1">_xll.BDH($B$362,$C$362,$B$675,$B$676,CONCATENATE("Per=",$B$673),"Dts=H","Dir=H",CONCATENATE("Points=",$B$674),"Sort=R","Days=A","Fill=B",CONCATENATE("FX=", $B$672) )</f>
        <v>#N/A Connection</v>
      </c>
      <c r="BN1027" t="str">
        <f>""</f>
        <v/>
      </c>
      <c r="BO1027" t="str">
        <f>""</f>
        <v/>
      </c>
      <c r="BP1027" t="str">
        <f>""</f>
        <v/>
      </c>
      <c r="BQ1027" t="str">
        <f>""</f>
        <v/>
      </c>
      <c r="BR1027" t="str">
        <f>""</f>
        <v/>
      </c>
      <c r="BS1027" t="str">
        <f>""</f>
        <v/>
      </c>
      <c r="BT1027" t="str">
        <f>""</f>
        <v/>
      </c>
      <c r="BU1027" t="str">
        <f>""</f>
        <v/>
      </c>
      <c r="BV1027" t="str">
        <f>""</f>
        <v/>
      </c>
      <c r="BW1027" t="str">
        <f>""</f>
        <v/>
      </c>
      <c r="BX1027" t="str">
        <f>""</f>
        <v/>
      </c>
      <c r="BY1027" t="str">
        <f>""</f>
        <v/>
      </c>
      <c r="BZ1027" t="str">
        <f>""</f>
        <v/>
      </c>
      <c r="CA1027" t="str">
        <f>""</f>
        <v/>
      </c>
      <c r="CB1027" t="str">
        <f>""</f>
        <v/>
      </c>
      <c r="CC1027" t="str">
        <f>""</f>
        <v/>
      </c>
      <c r="CD1027" t="str">
        <f>""</f>
        <v/>
      </c>
      <c r="CE1027" t="str">
        <f>""</f>
        <v/>
      </c>
      <c r="CF1027" t="str">
        <f>""</f>
        <v/>
      </c>
      <c r="CG1027" t="str">
        <f>""</f>
        <v/>
      </c>
      <c r="CH1027" t="str">
        <f>""</f>
        <v/>
      </c>
      <c r="CI1027" t="str">
        <f>""</f>
        <v/>
      </c>
      <c r="CJ1027" t="str">
        <f>""</f>
        <v/>
      </c>
      <c r="CK1027" t="str">
        <f>""</f>
        <v/>
      </c>
      <c r="CL1027" t="str">
        <f>""</f>
        <v/>
      </c>
      <c r="CM1027" t="str">
        <f>""</f>
        <v/>
      </c>
      <c r="CN1027" t="str">
        <f>""</f>
        <v/>
      </c>
      <c r="CO1027" t="str">
        <f>""</f>
        <v/>
      </c>
      <c r="CP1027" t="str">
        <f>""</f>
        <v/>
      </c>
      <c r="CQ1027" t="str">
        <f>""</f>
        <v/>
      </c>
      <c r="CR1027" t="str">
        <f>""</f>
        <v/>
      </c>
      <c r="CS1027" t="str">
        <f>""</f>
        <v/>
      </c>
      <c r="CT1027" t="str">
        <f>""</f>
        <v/>
      </c>
      <c r="CU1027" t="str">
        <f>""</f>
        <v/>
      </c>
      <c r="CV1027" t="str">
        <f>""</f>
        <v/>
      </c>
      <c r="CW1027" t="str">
        <f>""</f>
        <v/>
      </c>
      <c r="CX1027" t="str">
        <f>""</f>
        <v/>
      </c>
      <c r="CY1027" t="str">
        <f>""</f>
        <v/>
      </c>
      <c r="CZ1027" t="str">
        <f>""</f>
        <v/>
      </c>
      <c r="DA1027" t="str">
        <f>""</f>
        <v/>
      </c>
      <c r="DB1027" t="str">
        <f>""</f>
        <v/>
      </c>
      <c r="DC1027" t="str">
        <f>""</f>
        <v/>
      </c>
      <c r="DD1027" t="str">
        <f>""</f>
        <v/>
      </c>
      <c r="DE1027" t="str">
        <f>""</f>
        <v/>
      </c>
      <c r="DF1027" t="str">
        <f>""</f>
        <v/>
      </c>
      <c r="DG1027" t="str">
        <f>""</f>
        <v/>
      </c>
      <c r="DH1027" t="str">
        <f>""</f>
        <v/>
      </c>
      <c r="DI1027" t="str">
        <f>""</f>
        <v/>
      </c>
      <c r="DJ1027" t="str">
        <f>""</f>
        <v/>
      </c>
      <c r="DK1027" t="str">
        <f>""</f>
        <v/>
      </c>
      <c r="DL1027" t="str">
        <f>""</f>
        <v/>
      </c>
      <c r="DM1027" t="str">
        <f>""</f>
        <v/>
      </c>
      <c r="DN1027" t="str">
        <f>""</f>
        <v/>
      </c>
      <c r="DO1027" t="str">
        <f>""</f>
        <v/>
      </c>
      <c r="DP1027" t="str">
        <f>""</f>
        <v/>
      </c>
      <c r="DQ1027" t="str">
        <f>""</f>
        <v/>
      </c>
      <c r="DR1027" t="str">
        <f>""</f>
        <v/>
      </c>
      <c r="DS1027" t="str">
        <f>""</f>
        <v/>
      </c>
      <c r="DT1027" t="str">
        <f>""</f>
        <v/>
      </c>
      <c r="DU1027" t="str">
        <f>""</f>
        <v/>
      </c>
    </row>
    <row r="1028" spans="1:125" x14ac:dyDescent="0.25">
      <c r="A1028" t="str">
        <f>$A$363</f>
        <v xml:space="preserve">    Sollers PJSC</v>
      </c>
      <c r="B1028" t="str">
        <f>$B$363</f>
        <v>SVAV RM Equity</v>
      </c>
      <c r="C1028" t="str">
        <f>$C$363</f>
        <v>RR473</v>
      </c>
      <c r="D1028" t="str">
        <f>$D$363</f>
        <v>EV_TO_T12M_SALES</v>
      </c>
      <c r="E1028" t="str">
        <f>$E$363</f>
        <v>Dynamic</v>
      </c>
      <c r="F1028" t="str">
        <f ca="1">_xll.BDH($B$363,$C$363,$B$675,$B$676,CONCATENATE("Per=",$B$673),"Dts=H","Dir=H",CONCATENATE("Points=",$B$674),"Sort=R","Days=A","Fill=B",CONCATENATE("FX=", $B$672) )</f>
        <v>#N/A Connection</v>
      </c>
      <c r="BN1028" t="str">
        <f>""</f>
        <v/>
      </c>
      <c r="BO1028" t="str">
        <f>""</f>
        <v/>
      </c>
      <c r="BP1028" t="str">
        <f>""</f>
        <v/>
      </c>
      <c r="BQ1028" t="str">
        <f>""</f>
        <v/>
      </c>
      <c r="BR1028" t="str">
        <f>""</f>
        <v/>
      </c>
      <c r="BS1028" t="str">
        <f>""</f>
        <v/>
      </c>
      <c r="BT1028" t="str">
        <f>""</f>
        <v/>
      </c>
      <c r="BU1028" t="str">
        <f>""</f>
        <v/>
      </c>
      <c r="BV1028" t="str">
        <f>""</f>
        <v/>
      </c>
      <c r="BW1028" t="str">
        <f>""</f>
        <v/>
      </c>
      <c r="BX1028" t="str">
        <f>""</f>
        <v/>
      </c>
      <c r="BY1028" t="str">
        <f>""</f>
        <v/>
      </c>
      <c r="BZ1028" t="str">
        <f>""</f>
        <v/>
      </c>
      <c r="CA1028" t="str">
        <f>""</f>
        <v/>
      </c>
      <c r="CB1028" t="str">
        <f>""</f>
        <v/>
      </c>
      <c r="CC1028" t="str">
        <f>""</f>
        <v/>
      </c>
      <c r="CD1028" t="str">
        <f>""</f>
        <v/>
      </c>
      <c r="CE1028" t="str">
        <f>""</f>
        <v/>
      </c>
      <c r="CF1028" t="str">
        <f>""</f>
        <v/>
      </c>
      <c r="CG1028" t="str">
        <f>""</f>
        <v/>
      </c>
      <c r="CH1028" t="str">
        <f>""</f>
        <v/>
      </c>
      <c r="CI1028" t="str">
        <f>""</f>
        <v/>
      </c>
      <c r="CJ1028" t="str">
        <f>""</f>
        <v/>
      </c>
      <c r="CK1028" t="str">
        <f>""</f>
        <v/>
      </c>
      <c r="CL1028" t="str">
        <f>""</f>
        <v/>
      </c>
      <c r="CM1028" t="str">
        <f>""</f>
        <v/>
      </c>
      <c r="CN1028" t="str">
        <f>""</f>
        <v/>
      </c>
      <c r="CO1028" t="str">
        <f>""</f>
        <v/>
      </c>
      <c r="CP1028" t="str">
        <f>""</f>
        <v/>
      </c>
      <c r="CQ1028" t="str">
        <f>""</f>
        <v/>
      </c>
      <c r="CR1028" t="str">
        <f>""</f>
        <v/>
      </c>
      <c r="CS1028" t="str">
        <f>""</f>
        <v/>
      </c>
      <c r="CT1028" t="str">
        <f>""</f>
        <v/>
      </c>
      <c r="CU1028" t="str">
        <f>""</f>
        <v/>
      </c>
      <c r="CV1028" t="str">
        <f>""</f>
        <v/>
      </c>
      <c r="CW1028" t="str">
        <f>""</f>
        <v/>
      </c>
      <c r="CX1028" t="str">
        <f>""</f>
        <v/>
      </c>
      <c r="CY1028" t="str">
        <f>""</f>
        <v/>
      </c>
      <c r="CZ1028" t="str">
        <f>""</f>
        <v/>
      </c>
      <c r="DA1028" t="str">
        <f>""</f>
        <v/>
      </c>
      <c r="DB1028" t="str">
        <f>""</f>
        <v/>
      </c>
      <c r="DC1028" t="str">
        <f>""</f>
        <v/>
      </c>
      <c r="DD1028" t="str">
        <f>""</f>
        <v/>
      </c>
      <c r="DE1028" t="str">
        <f>""</f>
        <v/>
      </c>
      <c r="DF1028" t="str">
        <f>""</f>
        <v/>
      </c>
      <c r="DG1028" t="str">
        <f>""</f>
        <v/>
      </c>
      <c r="DH1028" t="str">
        <f>""</f>
        <v/>
      </c>
      <c r="DI1028" t="str">
        <f>""</f>
        <v/>
      </c>
      <c r="DJ1028" t="str">
        <f>""</f>
        <v/>
      </c>
      <c r="DK1028" t="str">
        <f>""</f>
        <v/>
      </c>
      <c r="DL1028" t="str">
        <f>""</f>
        <v/>
      </c>
      <c r="DM1028" t="str">
        <f>""</f>
        <v/>
      </c>
      <c r="DN1028" t="str">
        <f>""</f>
        <v/>
      </c>
      <c r="DO1028" t="str">
        <f>""</f>
        <v/>
      </c>
      <c r="DP1028" t="str">
        <f>""</f>
        <v/>
      </c>
      <c r="DQ1028" t="str">
        <f>""</f>
        <v/>
      </c>
      <c r="DR1028" t="str">
        <f>""</f>
        <v/>
      </c>
      <c r="DS1028" t="str">
        <f>""</f>
        <v/>
      </c>
      <c r="DT1028" t="str">
        <f>""</f>
        <v/>
      </c>
      <c r="DU1028" t="str">
        <f>""</f>
        <v/>
      </c>
    </row>
    <row r="1029" spans="1:125" x14ac:dyDescent="0.25">
      <c r="A1029" t="str">
        <f>$A$364</f>
        <v xml:space="preserve">    Ssangyong Motor Co</v>
      </c>
      <c r="B1029" t="str">
        <f>$B$364</f>
        <v>003620 KS Equity</v>
      </c>
      <c r="C1029" t="str">
        <f>$C$364</f>
        <v>RR473</v>
      </c>
      <c r="D1029" t="str">
        <f>$D$364</f>
        <v>EV_TO_T12M_SALES</v>
      </c>
      <c r="E1029" t="str">
        <f>$E$364</f>
        <v>Dynamic</v>
      </c>
      <c r="F1029" t="str">
        <f ca="1">_xll.BDH($B$364,$C$364,$B$675,$B$676,CONCATENATE("Per=",$B$673),"Dts=H","Dir=H",CONCATENATE("Points=",$B$674),"Sort=R","Days=A","Fill=B",CONCATENATE("FX=", $B$672) )</f>
        <v>#N/A Connection</v>
      </c>
      <c r="BN1029" t="str">
        <f>""</f>
        <v/>
      </c>
      <c r="BO1029" t="str">
        <f>""</f>
        <v/>
      </c>
      <c r="BP1029" t="str">
        <f>""</f>
        <v/>
      </c>
      <c r="BQ1029" t="str">
        <f>""</f>
        <v/>
      </c>
      <c r="BR1029" t="str">
        <f>""</f>
        <v/>
      </c>
      <c r="BS1029" t="str">
        <f>""</f>
        <v/>
      </c>
      <c r="BT1029" t="str">
        <f>""</f>
        <v/>
      </c>
      <c r="BU1029" t="str">
        <f>""</f>
        <v/>
      </c>
      <c r="BV1029" t="str">
        <f>""</f>
        <v/>
      </c>
      <c r="BW1029" t="str">
        <f>""</f>
        <v/>
      </c>
      <c r="BX1029" t="str">
        <f>""</f>
        <v/>
      </c>
      <c r="BY1029" t="str">
        <f>""</f>
        <v/>
      </c>
      <c r="BZ1029" t="str">
        <f>""</f>
        <v/>
      </c>
      <c r="CA1029" t="str">
        <f>""</f>
        <v/>
      </c>
      <c r="CB1029" t="str">
        <f>""</f>
        <v/>
      </c>
      <c r="CC1029" t="str">
        <f>""</f>
        <v/>
      </c>
      <c r="CD1029" t="str">
        <f>""</f>
        <v/>
      </c>
      <c r="CE1029" t="str">
        <f>""</f>
        <v/>
      </c>
      <c r="CF1029" t="str">
        <f>""</f>
        <v/>
      </c>
      <c r="CG1029" t="str">
        <f>""</f>
        <v/>
      </c>
      <c r="CH1029" t="str">
        <f>""</f>
        <v/>
      </c>
      <c r="CI1029" t="str">
        <f>""</f>
        <v/>
      </c>
      <c r="CJ1029" t="str">
        <f>""</f>
        <v/>
      </c>
      <c r="CK1029" t="str">
        <f>""</f>
        <v/>
      </c>
      <c r="CL1029" t="str">
        <f>""</f>
        <v/>
      </c>
      <c r="CM1029" t="str">
        <f>""</f>
        <v/>
      </c>
      <c r="CN1029" t="str">
        <f>""</f>
        <v/>
      </c>
      <c r="CO1029" t="str">
        <f>""</f>
        <v/>
      </c>
      <c r="CP1029" t="str">
        <f>""</f>
        <v/>
      </c>
      <c r="CQ1029" t="str">
        <f>""</f>
        <v/>
      </c>
      <c r="CR1029" t="str">
        <f>""</f>
        <v/>
      </c>
      <c r="CS1029" t="str">
        <f>""</f>
        <v/>
      </c>
      <c r="CT1029" t="str">
        <f>""</f>
        <v/>
      </c>
      <c r="CU1029" t="str">
        <f>""</f>
        <v/>
      </c>
      <c r="CV1029" t="str">
        <f>""</f>
        <v/>
      </c>
      <c r="CW1029" t="str">
        <f>""</f>
        <v/>
      </c>
      <c r="CX1029" t="str">
        <f>""</f>
        <v/>
      </c>
      <c r="CY1029" t="str">
        <f>""</f>
        <v/>
      </c>
      <c r="CZ1029" t="str">
        <f>""</f>
        <v/>
      </c>
      <c r="DA1029" t="str">
        <f>""</f>
        <v/>
      </c>
      <c r="DB1029" t="str">
        <f>""</f>
        <v/>
      </c>
      <c r="DC1029" t="str">
        <f>""</f>
        <v/>
      </c>
      <c r="DD1029" t="str">
        <f>""</f>
        <v/>
      </c>
      <c r="DE1029" t="str">
        <f>""</f>
        <v/>
      </c>
      <c r="DF1029" t="str">
        <f>""</f>
        <v/>
      </c>
      <c r="DG1029" t="str">
        <f>""</f>
        <v/>
      </c>
      <c r="DH1029" t="str">
        <f>""</f>
        <v/>
      </c>
      <c r="DI1029" t="str">
        <f>""</f>
        <v/>
      </c>
      <c r="DJ1029" t="str">
        <f>""</f>
        <v/>
      </c>
      <c r="DK1029" t="str">
        <f>""</f>
        <v/>
      </c>
      <c r="DL1029" t="str">
        <f>""</f>
        <v/>
      </c>
      <c r="DM1029" t="str">
        <f>""</f>
        <v/>
      </c>
      <c r="DN1029" t="str">
        <f>""</f>
        <v/>
      </c>
      <c r="DO1029" t="str">
        <f>""</f>
        <v/>
      </c>
      <c r="DP1029" t="str">
        <f>""</f>
        <v/>
      </c>
      <c r="DQ1029" t="str">
        <f>""</f>
        <v/>
      </c>
      <c r="DR1029" t="str">
        <f>""</f>
        <v/>
      </c>
      <c r="DS1029" t="str">
        <f>""</f>
        <v/>
      </c>
      <c r="DT1029" t="str">
        <f>""</f>
        <v/>
      </c>
      <c r="DU1029" t="str">
        <f>""</f>
        <v/>
      </c>
    </row>
    <row r="1030" spans="1:125" x14ac:dyDescent="0.25">
      <c r="A1030" t="str">
        <f>$A$365</f>
        <v xml:space="preserve">    Subaru Corp</v>
      </c>
      <c r="B1030" t="str">
        <f>$B$365</f>
        <v>7270 JP Equity</v>
      </c>
      <c r="C1030" t="str">
        <f>$C$365</f>
        <v>RR473</v>
      </c>
      <c r="D1030" t="str">
        <f>$D$365</f>
        <v>EV_TO_T12M_SALES</v>
      </c>
      <c r="E1030" t="str">
        <f>$E$365</f>
        <v>Dynamic</v>
      </c>
      <c r="F1030" t="str">
        <f ca="1">_xll.BDH($B$365,$C$365,$B$675,$B$676,CONCATENATE("Per=",$B$673),"Dts=H","Dir=H",CONCATENATE("Points=",$B$674),"Sort=R","Days=A","Fill=B",CONCATENATE("FX=", $B$672) )</f>
        <v>#N/A Connection</v>
      </c>
      <c r="BN1030" t="str">
        <f>""</f>
        <v/>
      </c>
      <c r="BO1030" t="str">
        <f>""</f>
        <v/>
      </c>
      <c r="BP1030" t="str">
        <f>""</f>
        <v/>
      </c>
      <c r="BQ1030" t="str">
        <f>""</f>
        <v/>
      </c>
      <c r="BR1030" t="str">
        <f>""</f>
        <v/>
      </c>
      <c r="BS1030" t="str">
        <f>""</f>
        <v/>
      </c>
      <c r="BT1030" t="str">
        <f>""</f>
        <v/>
      </c>
      <c r="BU1030" t="str">
        <f>""</f>
        <v/>
      </c>
      <c r="BV1030" t="str">
        <f>""</f>
        <v/>
      </c>
      <c r="BW1030" t="str">
        <f>""</f>
        <v/>
      </c>
      <c r="BX1030" t="str">
        <f>""</f>
        <v/>
      </c>
      <c r="BY1030" t="str">
        <f>""</f>
        <v/>
      </c>
      <c r="BZ1030" t="str">
        <f>""</f>
        <v/>
      </c>
      <c r="CA1030" t="str">
        <f>""</f>
        <v/>
      </c>
      <c r="CB1030" t="str">
        <f>""</f>
        <v/>
      </c>
      <c r="CC1030" t="str">
        <f>""</f>
        <v/>
      </c>
      <c r="CD1030" t="str">
        <f>""</f>
        <v/>
      </c>
      <c r="CE1030" t="str">
        <f>""</f>
        <v/>
      </c>
      <c r="CF1030" t="str">
        <f>""</f>
        <v/>
      </c>
      <c r="CG1030" t="str">
        <f>""</f>
        <v/>
      </c>
      <c r="CH1030" t="str">
        <f>""</f>
        <v/>
      </c>
      <c r="CI1030" t="str">
        <f>""</f>
        <v/>
      </c>
      <c r="CJ1030" t="str">
        <f>""</f>
        <v/>
      </c>
      <c r="CK1030" t="str">
        <f>""</f>
        <v/>
      </c>
      <c r="CL1030" t="str">
        <f>""</f>
        <v/>
      </c>
      <c r="CM1030" t="str">
        <f>""</f>
        <v/>
      </c>
      <c r="CN1030" t="str">
        <f>""</f>
        <v/>
      </c>
      <c r="CO1030" t="str">
        <f>""</f>
        <v/>
      </c>
      <c r="CP1030" t="str">
        <f>""</f>
        <v/>
      </c>
      <c r="CQ1030" t="str">
        <f>""</f>
        <v/>
      </c>
      <c r="CR1030" t="str">
        <f>""</f>
        <v/>
      </c>
      <c r="CS1030" t="str">
        <f>""</f>
        <v/>
      </c>
      <c r="CT1030" t="str">
        <f>""</f>
        <v/>
      </c>
      <c r="CU1030" t="str">
        <f>""</f>
        <v/>
      </c>
      <c r="CV1030" t="str">
        <f>""</f>
        <v/>
      </c>
      <c r="CW1030" t="str">
        <f>""</f>
        <v/>
      </c>
      <c r="CX1030" t="str">
        <f>""</f>
        <v/>
      </c>
      <c r="CY1030" t="str">
        <f>""</f>
        <v/>
      </c>
      <c r="CZ1030" t="str">
        <f>""</f>
        <v/>
      </c>
      <c r="DA1030" t="str">
        <f>""</f>
        <v/>
      </c>
      <c r="DB1030" t="str">
        <f>""</f>
        <v/>
      </c>
      <c r="DC1030" t="str">
        <f>""</f>
        <v/>
      </c>
      <c r="DD1030" t="str">
        <f>""</f>
        <v/>
      </c>
      <c r="DE1030" t="str">
        <f>""</f>
        <v/>
      </c>
      <c r="DF1030" t="str">
        <f>""</f>
        <v/>
      </c>
      <c r="DG1030" t="str">
        <f>""</f>
        <v/>
      </c>
      <c r="DH1030" t="str">
        <f>""</f>
        <v/>
      </c>
      <c r="DI1030" t="str">
        <f>""</f>
        <v/>
      </c>
      <c r="DJ1030" t="str">
        <f>""</f>
        <v/>
      </c>
      <c r="DK1030" t="str">
        <f>""</f>
        <v/>
      </c>
      <c r="DL1030" t="str">
        <f>""</f>
        <v/>
      </c>
      <c r="DM1030" t="str">
        <f>""</f>
        <v/>
      </c>
      <c r="DN1030" t="str">
        <f>""</f>
        <v/>
      </c>
      <c r="DO1030" t="str">
        <f>""</f>
        <v/>
      </c>
      <c r="DP1030" t="str">
        <f>""</f>
        <v/>
      </c>
      <c r="DQ1030" t="str">
        <f>""</f>
        <v/>
      </c>
      <c r="DR1030" t="str">
        <f>""</f>
        <v/>
      </c>
      <c r="DS1030" t="str">
        <f>""</f>
        <v/>
      </c>
      <c r="DT1030" t="str">
        <f>""</f>
        <v/>
      </c>
      <c r="DU1030" t="str">
        <f>""</f>
        <v/>
      </c>
    </row>
    <row r="1031" spans="1:125" x14ac:dyDescent="0.25">
      <c r="A1031" t="str">
        <f>$A$366</f>
        <v xml:space="preserve">    Suzuki Motor Corp</v>
      </c>
      <c r="B1031" t="str">
        <f>$B$366</f>
        <v>7269 JP Equity</v>
      </c>
      <c r="C1031" t="str">
        <f>$C$366</f>
        <v>RR473</v>
      </c>
      <c r="D1031" t="str">
        <f>$D$366</f>
        <v>EV_TO_T12M_SALES</v>
      </c>
      <c r="E1031" t="str">
        <f>$E$366</f>
        <v>Dynamic</v>
      </c>
      <c r="F1031" t="str">
        <f ca="1">_xll.BDH($B$366,$C$366,$B$675,$B$676,CONCATENATE("Per=",$B$673),"Dts=H","Dir=H",CONCATENATE("Points=",$B$674),"Sort=R","Days=A","Fill=B",CONCATENATE("FX=", $B$672) )</f>
        <v>#N/A Connection</v>
      </c>
      <c r="BN1031" t="str">
        <f>""</f>
        <v/>
      </c>
      <c r="BO1031" t="str">
        <f>""</f>
        <v/>
      </c>
      <c r="BP1031" t="str">
        <f>""</f>
        <v/>
      </c>
      <c r="BQ1031" t="str">
        <f>""</f>
        <v/>
      </c>
      <c r="BR1031" t="str">
        <f>""</f>
        <v/>
      </c>
      <c r="BS1031" t="str">
        <f>""</f>
        <v/>
      </c>
      <c r="BT1031" t="str">
        <f>""</f>
        <v/>
      </c>
      <c r="BU1031" t="str">
        <f>""</f>
        <v/>
      </c>
      <c r="BV1031" t="str">
        <f>""</f>
        <v/>
      </c>
      <c r="BW1031" t="str">
        <f>""</f>
        <v/>
      </c>
      <c r="BX1031" t="str">
        <f>""</f>
        <v/>
      </c>
      <c r="BY1031" t="str">
        <f>""</f>
        <v/>
      </c>
      <c r="BZ1031" t="str">
        <f>""</f>
        <v/>
      </c>
      <c r="CA1031" t="str">
        <f>""</f>
        <v/>
      </c>
      <c r="CB1031" t="str">
        <f>""</f>
        <v/>
      </c>
      <c r="CC1031" t="str">
        <f>""</f>
        <v/>
      </c>
      <c r="CD1031" t="str">
        <f>""</f>
        <v/>
      </c>
      <c r="CE1031" t="str">
        <f>""</f>
        <v/>
      </c>
      <c r="CF1031" t="str">
        <f>""</f>
        <v/>
      </c>
      <c r="CG1031" t="str">
        <f>""</f>
        <v/>
      </c>
      <c r="CH1031" t="str">
        <f>""</f>
        <v/>
      </c>
      <c r="CI1031" t="str">
        <f>""</f>
        <v/>
      </c>
      <c r="CJ1031" t="str">
        <f>""</f>
        <v/>
      </c>
      <c r="CK1031" t="str">
        <f>""</f>
        <v/>
      </c>
      <c r="CL1031" t="str">
        <f>""</f>
        <v/>
      </c>
      <c r="CM1031" t="str">
        <f>""</f>
        <v/>
      </c>
      <c r="CN1031" t="str">
        <f>""</f>
        <v/>
      </c>
      <c r="CO1031" t="str">
        <f>""</f>
        <v/>
      </c>
      <c r="CP1031" t="str">
        <f>""</f>
        <v/>
      </c>
      <c r="CQ1031" t="str">
        <f>""</f>
        <v/>
      </c>
      <c r="CR1031" t="str">
        <f>""</f>
        <v/>
      </c>
      <c r="CS1031" t="str">
        <f>""</f>
        <v/>
      </c>
      <c r="CT1031" t="str">
        <f>""</f>
        <v/>
      </c>
      <c r="CU1031" t="str">
        <f>""</f>
        <v/>
      </c>
      <c r="CV1031" t="str">
        <f>""</f>
        <v/>
      </c>
      <c r="CW1031" t="str">
        <f>""</f>
        <v/>
      </c>
      <c r="CX1031" t="str">
        <f>""</f>
        <v/>
      </c>
      <c r="CY1031" t="str">
        <f>""</f>
        <v/>
      </c>
      <c r="CZ1031" t="str">
        <f>""</f>
        <v/>
      </c>
      <c r="DA1031" t="str">
        <f>""</f>
        <v/>
      </c>
      <c r="DB1031" t="str">
        <f>""</f>
        <v/>
      </c>
      <c r="DC1031" t="str">
        <f>""</f>
        <v/>
      </c>
      <c r="DD1031" t="str">
        <f>""</f>
        <v/>
      </c>
      <c r="DE1031" t="str">
        <f>""</f>
        <v/>
      </c>
      <c r="DF1031" t="str">
        <f>""</f>
        <v/>
      </c>
      <c r="DG1031" t="str">
        <f>""</f>
        <v/>
      </c>
      <c r="DH1031" t="str">
        <f>""</f>
        <v/>
      </c>
      <c r="DI1031" t="str">
        <f>""</f>
        <v/>
      </c>
      <c r="DJ1031" t="str">
        <f>""</f>
        <v/>
      </c>
      <c r="DK1031" t="str">
        <f>""</f>
        <v/>
      </c>
      <c r="DL1031" t="str">
        <f>""</f>
        <v/>
      </c>
      <c r="DM1031" t="str">
        <f>""</f>
        <v/>
      </c>
      <c r="DN1031" t="str">
        <f>""</f>
        <v/>
      </c>
      <c r="DO1031" t="str">
        <f>""</f>
        <v/>
      </c>
      <c r="DP1031" t="str">
        <f>""</f>
        <v/>
      </c>
      <c r="DQ1031" t="str">
        <f>""</f>
        <v/>
      </c>
      <c r="DR1031" t="str">
        <f>""</f>
        <v/>
      </c>
      <c r="DS1031" t="str">
        <f>""</f>
        <v/>
      </c>
      <c r="DT1031" t="str">
        <f>""</f>
        <v/>
      </c>
      <c r="DU1031" t="str">
        <f>""</f>
        <v/>
      </c>
    </row>
    <row r="1032" spans="1:125" x14ac:dyDescent="0.25">
      <c r="A1032" t="str">
        <f>$A$367</f>
        <v xml:space="preserve">    Tata Motors Ltd</v>
      </c>
      <c r="B1032" t="str">
        <f>$B$367</f>
        <v>TTMT IN Equity</v>
      </c>
      <c r="C1032" t="str">
        <f>$C$367</f>
        <v>RR473</v>
      </c>
      <c r="D1032" t="str">
        <f>$D$367</f>
        <v>EV_TO_T12M_SALES</v>
      </c>
      <c r="E1032" t="str">
        <f>$E$367</f>
        <v>Dynamic</v>
      </c>
      <c r="F1032" t="str">
        <f ca="1">_xll.BDH($B$367,$C$367,$B$675,$B$676,CONCATENATE("Per=",$B$673),"Dts=H","Dir=H",CONCATENATE("Points=",$B$674),"Sort=R","Days=A","Fill=B",CONCATENATE("FX=", $B$672) )</f>
        <v>#N/A Connection</v>
      </c>
      <c r="BN1032" t="str">
        <f>""</f>
        <v/>
      </c>
      <c r="BO1032" t="str">
        <f>""</f>
        <v/>
      </c>
      <c r="BP1032" t="str">
        <f>""</f>
        <v/>
      </c>
      <c r="BQ1032" t="str">
        <f>""</f>
        <v/>
      </c>
      <c r="BR1032" t="str">
        <f>""</f>
        <v/>
      </c>
      <c r="BS1032" t="str">
        <f>""</f>
        <v/>
      </c>
      <c r="BT1032" t="str">
        <f>""</f>
        <v/>
      </c>
      <c r="BU1032" t="str">
        <f>""</f>
        <v/>
      </c>
      <c r="BV1032" t="str">
        <f>""</f>
        <v/>
      </c>
      <c r="BW1032" t="str">
        <f>""</f>
        <v/>
      </c>
      <c r="BX1032" t="str">
        <f>""</f>
        <v/>
      </c>
      <c r="BY1032" t="str">
        <f>""</f>
        <v/>
      </c>
      <c r="BZ1032" t="str">
        <f>""</f>
        <v/>
      </c>
      <c r="CA1032" t="str">
        <f>""</f>
        <v/>
      </c>
      <c r="CB1032" t="str">
        <f>""</f>
        <v/>
      </c>
      <c r="CC1032" t="str">
        <f>""</f>
        <v/>
      </c>
      <c r="CD1032" t="str">
        <f>""</f>
        <v/>
      </c>
      <c r="CE1032" t="str">
        <f>""</f>
        <v/>
      </c>
      <c r="CF1032" t="str">
        <f>""</f>
        <v/>
      </c>
      <c r="CG1032" t="str">
        <f>""</f>
        <v/>
      </c>
      <c r="CH1032" t="str">
        <f>""</f>
        <v/>
      </c>
      <c r="CI1032" t="str">
        <f>""</f>
        <v/>
      </c>
      <c r="CJ1032" t="str">
        <f>""</f>
        <v/>
      </c>
      <c r="CK1032" t="str">
        <f>""</f>
        <v/>
      </c>
      <c r="CL1032" t="str">
        <f>""</f>
        <v/>
      </c>
      <c r="CM1032" t="str">
        <f>""</f>
        <v/>
      </c>
      <c r="CN1032" t="str">
        <f>""</f>
        <v/>
      </c>
      <c r="CO1032" t="str">
        <f>""</f>
        <v/>
      </c>
      <c r="CP1032" t="str">
        <f>""</f>
        <v/>
      </c>
      <c r="CQ1032" t="str">
        <f>""</f>
        <v/>
      </c>
      <c r="CR1032" t="str">
        <f>""</f>
        <v/>
      </c>
      <c r="CS1032" t="str">
        <f>""</f>
        <v/>
      </c>
      <c r="CT1032" t="str">
        <f>""</f>
        <v/>
      </c>
      <c r="CU1032" t="str">
        <f>""</f>
        <v/>
      </c>
      <c r="CV1032" t="str">
        <f>""</f>
        <v/>
      </c>
      <c r="CW1032" t="str">
        <f>""</f>
        <v/>
      </c>
      <c r="CX1032" t="str">
        <f>""</f>
        <v/>
      </c>
      <c r="CY1032" t="str">
        <f>""</f>
        <v/>
      </c>
      <c r="CZ1032" t="str">
        <f>""</f>
        <v/>
      </c>
      <c r="DA1032" t="str">
        <f>""</f>
        <v/>
      </c>
      <c r="DB1032" t="str">
        <f>""</f>
        <v/>
      </c>
      <c r="DC1032" t="str">
        <f>""</f>
        <v/>
      </c>
      <c r="DD1032" t="str">
        <f>""</f>
        <v/>
      </c>
      <c r="DE1032" t="str">
        <f>""</f>
        <v/>
      </c>
      <c r="DF1032" t="str">
        <f>""</f>
        <v/>
      </c>
      <c r="DG1032" t="str">
        <f>""</f>
        <v/>
      </c>
      <c r="DH1032" t="str">
        <f>""</f>
        <v/>
      </c>
      <c r="DI1032" t="str">
        <f>""</f>
        <v/>
      </c>
      <c r="DJ1032" t="str">
        <f>""</f>
        <v/>
      </c>
      <c r="DK1032" t="str">
        <f>""</f>
        <v/>
      </c>
      <c r="DL1032" t="str">
        <f>""</f>
        <v/>
      </c>
      <c r="DM1032" t="str">
        <f>""</f>
        <v/>
      </c>
      <c r="DN1032" t="str">
        <f>""</f>
        <v/>
      </c>
      <c r="DO1032" t="str">
        <f>""</f>
        <v/>
      </c>
      <c r="DP1032" t="str">
        <f>""</f>
        <v/>
      </c>
      <c r="DQ1032" t="str">
        <f>""</f>
        <v/>
      </c>
      <c r="DR1032" t="str">
        <f>""</f>
        <v/>
      </c>
      <c r="DS1032" t="str">
        <f>""</f>
        <v/>
      </c>
      <c r="DT1032" t="str">
        <f>""</f>
        <v/>
      </c>
      <c r="DU1032" t="str">
        <f>""</f>
        <v/>
      </c>
    </row>
    <row r="1033" spans="1:125" x14ac:dyDescent="0.25">
      <c r="A1033" t="str">
        <f>$A$368</f>
        <v xml:space="preserve">    Tesla Inc</v>
      </c>
      <c r="B1033" t="str">
        <f>$B$368</f>
        <v>TSLA US Equity</v>
      </c>
      <c r="C1033" t="str">
        <f>$C$368</f>
        <v>RR473</v>
      </c>
      <c r="D1033" t="str">
        <f>$D$368</f>
        <v>EV_TO_T12M_SALES</v>
      </c>
      <c r="E1033" t="str">
        <f>$E$368</f>
        <v>Dynamic</v>
      </c>
      <c r="F1033" t="str">
        <f ca="1">_xll.BDH($B$368,$C$368,$B$675,$B$676,CONCATENATE("Per=",$B$673),"Dts=H","Dir=H",CONCATENATE("Points=",$B$674),"Sort=R","Days=A","Fill=B",CONCATENATE("FX=", $B$672) )</f>
        <v>#N/A Connection</v>
      </c>
      <c r="BN1033" t="str">
        <f>""</f>
        <v/>
      </c>
      <c r="BO1033" t="str">
        <f>""</f>
        <v/>
      </c>
      <c r="BP1033" t="str">
        <f>""</f>
        <v/>
      </c>
      <c r="BQ1033" t="str">
        <f>""</f>
        <v/>
      </c>
      <c r="BR1033" t="str">
        <f>""</f>
        <v/>
      </c>
      <c r="BS1033" t="str">
        <f>""</f>
        <v/>
      </c>
      <c r="BT1033" t="str">
        <f>""</f>
        <v/>
      </c>
      <c r="BU1033" t="str">
        <f>""</f>
        <v/>
      </c>
      <c r="BV1033" t="str">
        <f>""</f>
        <v/>
      </c>
      <c r="BW1033" t="str">
        <f>""</f>
        <v/>
      </c>
      <c r="BX1033" t="str">
        <f>""</f>
        <v/>
      </c>
      <c r="BY1033" t="str">
        <f>""</f>
        <v/>
      </c>
      <c r="BZ1033" t="str">
        <f>""</f>
        <v/>
      </c>
      <c r="CA1033" t="str">
        <f>""</f>
        <v/>
      </c>
      <c r="CB1033" t="str">
        <f>""</f>
        <v/>
      </c>
      <c r="CC1033" t="str">
        <f>""</f>
        <v/>
      </c>
      <c r="CD1033" t="str">
        <f>""</f>
        <v/>
      </c>
      <c r="CE1033" t="str">
        <f>""</f>
        <v/>
      </c>
      <c r="CF1033" t="str">
        <f>""</f>
        <v/>
      </c>
      <c r="CG1033" t="str">
        <f>""</f>
        <v/>
      </c>
      <c r="CH1033" t="str">
        <f>""</f>
        <v/>
      </c>
      <c r="CI1033" t="str">
        <f>""</f>
        <v/>
      </c>
      <c r="CJ1033" t="str">
        <f>""</f>
        <v/>
      </c>
      <c r="CK1033" t="str">
        <f>""</f>
        <v/>
      </c>
      <c r="CL1033" t="str">
        <f>""</f>
        <v/>
      </c>
      <c r="CM1033" t="str">
        <f>""</f>
        <v/>
      </c>
      <c r="CN1033" t="str">
        <f>""</f>
        <v/>
      </c>
      <c r="CO1033" t="str">
        <f>""</f>
        <v/>
      </c>
      <c r="CP1033" t="str">
        <f>""</f>
        <v/>
      </c>
      <c r="CQ1033" t="str">
        <f>""</f>
        <v/>
      </c>
      <c r="CR1033" t="str">
        <f>""</f>
        <v/>
      </c>
      <c r="CS1033" t="str">
        <f>""</f>
        <v/>
      </c>
      <c r="CT1033" t="str">
        <f>""</f>
        <v/>
      </c>
      <c r="CU1033" t="str">
        <f>""</f>
        <v/>
      </c>
      <c r="CV1033" t="str">
        <f>""</f>
        <v/>
      </c>
      <c r="CW1033" t="str">
        <f>""</f>
        <v/>
      </c>
      <c r="CX1033" t="str">
        <f>""</f>
        <v/>
      </c>
      <c r="CY1033" t="str">
        <f>""</f>
        <v/>
      </c>
      <c r="CZ1033" t="str">
        <f>""</f>
        <v/>
      </c>
      <c r="DA1033" t="str">
        <f>""</f>
        <v/>
      </c>
      <c r="DB1033" t="str">
        <f>""</f>
        <v/>
      </c>
      <c r="DC1033" t="str">
        <f>""</f>
        <v/>
      </c>
      <c r="DD1033" t="str">
        <f>""</f>
        <v/>
      </c>
      <c r="DE1033" t="str">
        <f>""</f>
        <v/>
      </c>
      <c r="DF1033" t="str">
        <f>""</f>
        <v/>
      </c>
      <c r="DG1033" t="str">
        <f>""</f>
        <v/>
      </c>
      <c r="DH1033" t="str">
        <f>""</f>
        <v/>
      </c>
      <c r="DI1033" t="str">
        <f>""</f>
        <v/>
      </c>
      <c r="DJ1033" t="str">
        <f>""</f>
        <v/>
      </c>
      <c r="DK1033" t="str">
        <f>""</f>
        <v/>
      </c>
      <c r="DL1033" t="str">
        <f>""</f>
        <v/>
      </c>
      <c r="DM1033" t="str">
        <f>""</f>
        <v/>
      </c>
      <c r="DN1033" t="str">
        <f>""</f>
        <v/>
      </c>
      <c r="DO1033" t="str">
        <f>""</f>
        <v/>
      </c>
      <c r="DP1033" t="str">
        <f>""</f>
        <v/>
      </c>
      <c r="DQ1033" t="str">
        <f>""</f>
        <v/>
      </c>
      <c r="DR1033" t="str">
        <f>""</f>
        <v/>
      </c>
      <c r="DS1033" t="str">
        <f>""</f>
        <v/>
      </c>
      <c r="DT1033" t="str">
        <f>""</f>
        <v/>
      </c>
      <c r="DU1033" t="str">
        <f>""</f>
        <v/>
      </c>
    </row>
    <row r="1034" spans="1:125" x14ac:dyDescent="0.25">
      <c r="A1034" t="str">
        <f>$A$369</f>
        <v xml:space="preserve">    Tianjin Faw Xiali Automobile Co Ltd</v>
      </c>
      <c r="B1034" t="str">
        <f>$B$369</f>
        <v>000927 CH Equity</v>
      </c>
      <c r="C1034" t="str">
        <f>$C$369</f>
        <v>RR473</v>
      </c>
      <c r="D1034" t="str">
        <f>$D$369</f>
        <v>EV_TO_T12M_SALES</v>
      </c>
      <c r="E1034" t="str">
        <f>$E$369</f>
        <v>Dynamic</v>
      </c>
      <c r="F1034" t="str">
        <f ca="1">_xll.BDH($B$369,$C$369,$B$675,$B$676,CONCATENATE("Per=",$B$673),"Dts=H","Dir=H",CONCATENATE("Points=",$B$674),"Sort=R","Days=A","Fill=B",CONCATENATE("FX=", $B$672) )</f>
        <v>#N/A Connection</v>
      </c>
      <c r="BN1034" t="str">
        <f>""</f>
        <v/>
      </c>
      <c r="BO1034" t="str">
        <f>""</f>
        <v/>
      </c>
      <c r="BP1034" t="str">
        <f>""</f>
        <v/>
      </c>
      <c r="BQ1034" t="str">
        <f>""</f>
        <v/>
      </c>
      <c r="BR1034" t="str">
        <f>""</f>
        <v/>
      </c>
      <c r="BS1034" t="str">
        <f>""</f>
        <v/>
      </c>
      <c r="BT1034" t="str">
        <f>""</f>
        <v/>
      </c>
      <c r="BU1034" t="str">
        <f>""</f>
        <v/>
      </c>
      <c r="BV1034" t="str">
        <f>""</f>
        <v/>
      </c>
      <c r="BW1034" t="str">
        <f>""</f>
        <v/>
      </c>
      <c r="BX1034" t="str">
        <f>""</f>
        <v/>
      </c>
      <c r="BY1034" t="str">
        <f>""</f>
        <v/>
      </c>
      <c r="BZ1034" t="str">
        <f>""</f>
        <v/>
      </c>
      <c r="CA1034" t="str">
        <f>""</f>
        <v/>
      </c>
      <c r="CB1034" t="str">
        <f>""</f>
        <v/>
      </c>
      <c r="CC1034" t="str">
        <f>""</f>
        <v/>
      </c>
      <c r="CD1034" t="str">
        <f>""</f>
        <v/>
      </c>
      <c r="CE1034" t="str">
        <f>""</f>
        <v/>
      </c>
      <c r="CF1034" t="str">
        <f>""</f>
        <v/>
      </c>
      <c r="CG1034" t="str">
        <f>""</f>
        <v/>
      </c>
      <c r="CH1034" t="str">
        <f>""</f>
        <v/>
      </c>
      <c r="CI1034" t="str">
        <f>""</f>
        <v/>
      </c>
      <c r="CJ1034" t="str">
        <f>""</f>
        <v/>
      </c>
      <c r="CK1034" t="str">
        <f>""</f>
        <v/>
      </c>
      <c r="CL1034" t="str">
        <f>""</f>
        <v/>
      </c>
      <c r="CM1034" t="str">
        <f>""</f>
        <v/>
      </c>
      <c r="CN1034" t="str">
        <f>""</f>
        <v/>
      </c>
      <c r="CO1034" t="str">
        <f>""</f>
        <v/>
      </c>
      <c r="CP1034" t="str">
        <f>""</f>
        <v/>
      </c>
      <c r="CQ1034" t="str">
        <f>""</f>
        <v/>
      </c>
      <c r="CR1034" t="str">
        <f>""</f>
        <v/>
      </c>
      <c r="CS1034" t="str">
        <f>""</f>
        <v/>
      </c>
      <c r="CT1034" t="str">
        <f>""</f>
        <v/>
      </c>
      <c r="CU1034" t="str">
        <f>""</f>
        <v/>
      </c>
      <c r="CV1034" t="str">
        <f>""</f>
        <v/>
      </c>
      <c r="CW1034" t="str">
        <f>""</f>
        <v/>
      </c>
      <c r="CX1034" t="str">
        <f>""</f>
        <v/>
      </c>
      <c r="CY1034" t="str">
        <f>""</f>
        <v/>
      </c>
      <c r="CZ1034" t="str">
        <f>""</f>
        <v/>
      </c>
      <c r="DA1034" t="str">
        <f>""</f>
        <v/>
      </c>
      <c r="DB1034" t="str">
        <f>""</f>
        <v/>
      </c>
      <c r="DC1034" t="str">
        <f>""</f>
        <v/>
      </c>
      <c r="DD1034" t="str">
        <f>""</f>
        <v/>
      </c>
      <c r="DE1034" t="str">
        <f>""</f>
        <v/>
      </c>
      <c r="DF1034" t="str">
        <f>""</f>
        <v/>
      </c>
      <c r="DG1034" t="str">
        <f>""</f>
        <v/>
      </c>
      <c r="DH1034" t="str">
        <f>""</f>
        <v/>
      </c>
      <c r="DI1034" t="str">
        <f>""</f>
        <v/>
      </c>
      <c r="DJ1034" t="str">
        <f>""</f>
        <v/>
      </c>
      <c r="DK1034" t="str">
        <f>""</f>
        <v/>
      </c>
      <c r="DL1034" t="str">
        <f>""</f>
        <v/>
      </c>
      <c r="DM1034" t="str">
        <f>""</f>
        <v/>
      </c>
      <c r="DN1034" t="str">
        <f>""</f>
        <v/>
      </c>
      <c r="DO1034" t="str">
        <f>""</f>
        <v/>
      </c>
      <c r="DP1034" t="str">
        <f>""</f>
        <v/>
      </c>
      <c r="DQ1034" t="str">
        <f>""</f>
        <v/>
      </c>
      <c r="DR1034" t="str">
        <f>""</f>
        <v/>
      </c>
      <c r="DS1034" t="str">
        <f>""</f>
        <v/>
      </c>
      <c r="DT1034" t="str">
        <f>""</f>
        <v/>
      </c>
      <c r="DU1034" t="str">
        <f>""</f>
        <v/>
      </c>
    </row>
    <row r="1035" spans="1:125" x14ac:dyDescent="0.25">
      <c r="A1035" t="str">
        <f>$A$370</f>
        <v xml:space="preserve">    Tofas Turk Otomobil Fabrikasi AS</v>
      </c>
      <c r="B1035" t="str">
        <f>$B$370</f>
        <v>TOASOTRY EO Equity</v>
      </c>
      <c r="C1035" t="str">
        <f>$C$370</f>
        <v>RR473</v>
      </c>
      <c r="D1035" t="str">
        <f>$D$370</f>
        <v>EV_TO_T12M_SALES</v>
      </c>
      <c r="E1035" t="str">
        <f>$E$370</f>
        <v>Dynamic</v>
      </c>
      <c r="F1035" t="str">
        <f ca="1">_xll.BDH($B$370,$C$370,$B$675,$B$676,CONCATENATE("Per=",$B$673),"Dts=H","Dir=H",CONCATENATE("Points=",$B$674),"Sort=R","Days=A","Fill=B",CONCATENATE("FX=", $B$672) )</f>
        <v>#N/A Connection</v>
      </c>
      <c r="BN1035" t="str">
        <f>""</f>
        <v/>
      </c>
      <c r="BO1035" t="str">
        <f>""</f>
        <v/>
      </c>
      <c r="BP1035" t="str">
        <f>""</f>
        <v/>
      </c>
      <c r="BQ1035" t="str">
        <f>""</f>
        <v/>
      </c>
      <c r="BR1035" t="str">
        <f>""</f>
        <v/>
      </c>
      <c r="BS1035" t="str">
        <f>""</f>
        <v/>
      </c>
      <c r="BT1035" t="str">
        <f>""</f>
        <v/>
      </c>
      <c r="BU1035" t="str">
        <f>""</f>
        <v/>
      </c>
      <c r="BV1035" t="str">
        <f>""</f>
        <v/>
      </c>
      <c r="BW1035" t="str">
        <f>""</f>
        <v/>
      </c>
      <c r="BX1035" t="str">
        <f>""</f>
        <v/>
      </c>
      <c r="BY1035" t="str">
        <f>""</f>
        <v/>
      </c>
      <c r="BZ1035" t="str">
        <f>""</f>
        <v/>
      </c>
      <c r="CA1035" t="str">
        <f>""</f>
        <v/>
      </c>
      <c r="CB1035" t="str">
        <f>""</f>
        <v/>
      </c>
      <c r="CC1035" t="str">
        <f>""</f>
        <v/>
      </c>
      <c r="CD1035" t="str">
        <f>""</f>
        <v/>
      </c>
      <c r="CE1035" t="str">
        <f>""</f>
        <v/>
      </c>
      <c r="CF1035" t="str">
        <f>""</f>
        <v/>
      </c>
      <c r="CG1035" t="str">
        <f>""</f>
        <v/>
      </c>
      <c r="CH1035" t="str">
        <f>""</f>
        <v/>
      </c>
      <c r="CI1035" t="str">
        <f>""</f>
        <v/>
      </c>
      <c r="CJ1035" t="str">
        <f>""</f>
        <v/>
      </c>
      <c r="CK1035" t="str">
        <f>""</f>
        <v/>
      </c>
      <c r="CL1035" t="str">
        <f>""</f>
        <v/>
      </c>
      <c r="CM1035" t="str">
        <f>""</f>
        <v/>
      </c>
      <c r="CN1035" t="str">
        <f>""</f>
        <v/>
      </c>
      <c r="CO1035" t="str">
        <f>""</f>
        <v/>
      </c>
      <c r="CP1035" t="str">
        <f>""</f>
        <v/>
      </c>
      <c r="CQ1035" t="str">
        <f>""</f>
        <v/>
      </c>
      <c r="CR1035" t="str">
        <f>""</f>
        <v/>
      </c>
      <c r="CS1035" t="str">
        <f>""</f>
        <v/>
      </c>
      <c r="CT1035" t="str">
        <f>""</f>
        <v/>
      </c>
      <c r="CU1035" t="str">
        <f>""</f>
        <v/>
      </c>
      <c r="CV1035" t="str">
        <f>""</f>
        <v/>
      </c>
      <c r="CW1035" t="str">
        <f>""</f>
        <v/>
      </c>
      <c r="CX1035" t="str">
        <f>""</f>
        <v/>
      </c>
      <c r="CY1035" t="str">
        <f>""</f>
        <v/>
      </c>
      <c r="CZ1035" t="str">
        <f>""</f>
        <v/>
      </c>
      <c r="DA1035" t="str">
        <f>""</f>
        <v/>
      </c>
      <c r="DB1035" t="str">
        <f>""</f>
        <v/>
      </c>
      <c r="DC1035" t="str">
        <f>""</f>
        <v/>
      </c>
      <c r="DD1035" t="str">
        <f>""</f>
        <v/>
      </c>
      <c r="DE1035" t="str">
        <f>""</f>
        <v/>
      </c>
      <c r="DF1035" t="str">
        <f>""</f>
        <v/>
      </c>
      <c r="DG1035" t="str">
        <f>""</f>
        <v/>
      </c>
      <c r="DH1035" t="str">
        <f>""</f>
        <v/>
      </c>
      <c r="DI1035" t="str">
        <f>""</f>
        <v/>
      </c>
      <c r="DJ1035" t="str">
        <f>""</f>
        <v/>
      </c>
      <c r="DK1035" t="str">
        <f>""</f>
        <v/>
      </c>
      <c r="DL1035" t="str">
        <f>""</f>
        <v/>
      </c>
      <c r="DM1035" t="str">
        <f>""</f>
        <v/>
      </c>
      <c r="DN1035" t="str">
        <f>""</f>
        <v/>
      </c>
      <c r="DO1035" t="str">
        <f>""</f>
        <v/>
      </c>
      <c r="DP1035" t="str">
        <f>""</f>
        <v/>
      </c>
      <c r="DQ1035" t="str">
        <f>""</f>
        <v/>
      </c>
      <c r="DR1035" t="str">
        <f>""</f>
        <v/>
      </c>
      <c r="DS1035" t="str">
        <f>""</f>
        <v/>
      </c>
      <c r="DT1035" t="str">
        <f>""</f>
        <v/>
      </c>
      <c r="DU1035" t="str">
        <f>""</f>
        <v/>
      </c>
    </row>
    <row r="1036" spans="1:125" x14ac:dyDescent="0.25">
      <c r="A1036" t="str">
        <f>$A$371</f>
        <v xml:space="preserve">    Toyota Motor Corp</v>
      </c>
      <c r="B1036" t="str">
        <f>$B$371</f>
        <v>7203 JP Equity</v>
      </c>
      <c r="C1036" t="str">
        <f>$C$371</f>
        <v>RR473</v>
      </c>
      <c r="D1036" t="str">
        <f>$D$371</f>
        <v>EV_TO_T12M_SALES</v>
      </c>
      <c r="E1036" t="str">
        <f>$E$371</f>
        <v>Dynamic</v>
      </c>
      <c r="F1036" t="str">
        <f ca="1">_xll.BDH($B$371,$C$371,$B$675,$B$676,CONCATENATE("Per=",$B$673),"Dts=H","Dir=H",CONCATENATE("Points=",$B$674),"Sort=R","Days=A","Fill=B",CONCATENATE("FX=", $B$672) )</f>
        <v>#N/A Connection</v>
      </c>
      <c r="BN1036" t="str">
        <f>""</f>
        <v/>
      </c>
      <c r="BO1036" t="str">
        <f>""</f>
        <v/>
      </c>
      <c r="BP1036" t="str">
        <f>""</f>
        <v/>
      </c>
      <c r="BQ1036" t="str">
        <f>""</f>
        <v/>
      </c>
      <c r="BR1036" t="str">
        <f>""</f>
        <v/>
      </c>
      <c r="BS1036" t="str">
        <f>""</f>
        <v/>
      </c>
      <c r="BT1036" t="str">
        <f>""</f>
        <v/>
      </c>
      <c r="BU1036" t="str">
        <f>""</f>
        <v/>
      </c>
      <c r="BV1036" t="str">
        <f>""</f>
        <v/>
      </c>
      <c r="BW1036" t="str">
        <f>""</f>
        <v/>
      </c>
      <c r="BX1036" t="str">
        <f>""</f>
        <v/>
      </c>
      <c r="BY1036" t="str">
        <f>""</f>
        <v/>
      </c>
      <c r="BZ1036" t="str">
        <f>""</f>
        <v/>
      </c>
      <c r="CA1036" t="str">
        <f>""</f>
        <v/>
      </c>
      <c r="CB1036" t="str">
        <f>""</f>
        <v/>
      </c>
      <c r="CC1036" t="str">
        <f>""</f>
        <v/>
      </c>
      <c r="CD1036" t="str">
        <f>""</f>
        <v/>
      </c>
      <c r="CE1036" t="str">
        <f>""</f>
        <v/>
      </c>
      <c r="CF1036" t="str">
        <f>""</f>
        <v/>
      </c>
      <c r="CG1036" t="str">
        <f>""</f>
        <v/>
      </c>
      <c r="CH1036" t="str">
        <f>""</f>
        <v/>
      </c>
      <c r="CI1036" t="str">
        <f>""</f>
        <v/>
      </c>
      <c r="CJ1036" t="str">
        <f>""</f>
        <v/>
      </c>
      <c r="CK1036" t="str">
        <f>""</f>
        <v/>
      </c>
      <c r="CL1036" t="str">
        <f>""</f>
        <v/>
      </c>
      <c r="CM1036" t="str">
        <f>""</f>
        <v/>
      </c>
      <c r="CN1036" t="str">
        <f>""</f>
        <v/>
      </c>
      <c r="CO1036" t="str">
        <f>""</f>
        <v/>
      </c>
      <c r="CP1036" t="str">
        <f>""</f>
        <v/>
      </c>
      <c r="CQ1036" t="str">
        <f>""</f>
        <v/>
      </c>
      <c r="CR1036" t="str">
        <f>""</f>
        <v/>
      </c>
      <c r="CS1036" t="str">
        <f>""</f>
        <v/>
      </c>
      <c r="CT1036" t="str">
        <f>""</f>
        <v/>
      </c>
      <c r="CU1036" t="str">
        <f>""</f>
        <v/>
      </c>
      <c r="CV1036" t="str">
        <f>""</f>
        <v/>
      </c>
      <c r="CW1036" t="str">
        <f>""</f>
        <v/>
      </c>
      <c r="CX1036" t="str">
        <f>""</f>
        <v/>
      </c>
      <c r="CY1036" t="str">
        <f>""</f>
        <v/>
      </c>
      <c r="CZ1036" t="str">
        <f>""</f>
        <v/>
      </c>
      <c r="DA1036" t="str">
        <f>""</f>
        <v/>
      </c>
      <c r="DB1036" t="str">
        <f>""</f>
        <v/>
      </c>
      <c r="DC1036" t="str">
        <f>""</f>
        <v/>
      </c>
      <c r="DD1036" t="str">
        <f>""</f>
        <v/>
      </c>
      <c r="DE1036" t="str">
        <f>""</f>
        <v/>
      </c>
      <c r="DF1036" t="str">
        <f>""</f>
        <v/>
      </c>
      <c r="DG1036" t="str">
        <f>""</f>
        <v/>
      </c>
      <c r="DH1036" t="str">
        <f>""</f>
        <v/>
      </c>
      <c r="DI1036" t="str">
        <f>""</f>
        <v/>
      </c>
      <c r="DJ1036" t="str">
        <f>""</f>
        <v/>
      </c>
      <c r="DK1036" t="str">
        <f>""</f>
        <v/>
      </c>
      <c r="DL1036" t="str">
        <f>""</f>
        <v/>
      </c>
      <c r="DM1036" t="str">
        <f>""</f>
        <v/>
      </c>
      <c r="DN1036" t="str">
        <f>""</f>
        <v/>
      </c>
      <c r="DO1036" t="str">
        <f>""</f>
        <v/>
      </c>
      <c r="DP1036" t="str">
        <f>""</f>
        <v/>
      </c>
      <c r="DQ1036" t="str">
        <f>""</f>
        <v/>
      </c>
      <c r="DR1036" t="str">
        <f>""</f>
        <v/>
      </c>
      <c r="DS1036" t="str">
        <f>""</f>
        <v/>
      </c>
      <c r="DT1036" t="str">
        <f>""</f>
        <v/>
      </c>
      <c r="DU1036" t="str">
        <f>""</f>
        <v/>
      </c>
    </row>
    <row r="1037" spans="1:125" x14ac:dyDescent="0.25">
      <c r="A1037" t="str">
        <f>$A$372</f>
        <v xml:space="preserve">    Volkswagen AG</v>
      </c>
      <c r="B1037" t="str">
        <f>$B$372</f>
        <v>VOW GR Equity</v>
      </c>
      <c r="C1037" t="str">
        <f>$C$372</f>
        <v>RR473</v>
      </c>
      <c r="D1037" t="str">
        <f>$D$372</f>
        <v>EV_TO_T12M_SALES</v>
      </c>
      <c r="E1037" t="str">
        <f>$E$372</f>
        <v>Dynamic</v>
      </c>
      <c r="F1037" t="str">
        <f ca="1">_xll.BDH($B$372,$C$372,$B$675,$B$676,CONCATENATE("Per=",$B$673),"Dts=H","Dir=H",CONCATENATE("Points=",$B$674),"Sort=R","Days=A","Fill=B",CONCATENATE("FX=", $B$672) )</f>
        <v>#N/A Connection</v>
      </c>
      <c r="BN1037" t="str">
        <f>""</f>
        <v/>
      </c>
      <c r="BO1037" t="str">
        <f>""</f>
        <v/>
      </c>
      <c r="BP1037" t="str">
        <f>""</f>
        <v/>
      </c>
      <c r="BQ1037" t="str">
        <f>""</f>
        <v/>
      </c>
      <c r="BR1037" t="str">
        <f>""</f>
        <v/>
      </c>
      <c r="BS1037" t="str">
        <f>""</f>
        <v/>
      </c>
      <c r="BT1037" t="str">
        <f>""</f>
        <v/>
      </c>
      <c r="BU1037" t="str">
        <f>""</f>
        <v/>
      </c>
      <c r="BV1037" t="str">
        <f>""</f>
        <v/>
      </c>
      <c r="BW1037" t="str">
        <f>""</f>
        <v/>
      </c>
      <c r="BX1037" t="str">
        <f>""</f>
        <v/>
      </c>
      <c r="BY1037" t="str">
        <f>""</f>
        <v/>
      </c>
      <c r="BZ1037" t="str">
        <f>""</f>
        <v/>
      </c>
      <c r="CA1037" t="str">
        <f>""</f>
        <v/>
      </c>
      <c r="CB1037" t="str">
        <f>""</f>
        <v/>
      </c>
      <c r="CC1037" t="str">
        <f>""</f>
        <v/>
      </c>
      <c r="CD1037" t="str">
        <f>""</f>
        <v/>
      </c>
      <c r="CE1037" t="str">
        <f>""</f>
        <v/>
      </c>
      <c r="CF1037" t="str">
        <f>""</f>
        <v/>
      </c>
      <c r="CG1037" t="str">
        <f>""</f>
        <v/>
      </c>
      <c r="CH1037" t="str">
        <f>""</f>
        <v/>
      </c>
      <c r="CI1037" t="str">
        <f>""</f>
        <v/>
      </c>
      <c r="CJ1037" t="str">
        <f>""</f>
        <v/>
      </c>
      <c r="CK1037" t="str">
        <f>""</f>
        <v/>
      </c>
      <c r="CL1037" t="str">
        <f>""</f>
        <v/>
      </c>
      <c r="CM1037" t="str">
        <f>""</f>
        <v/>
      </c>
      <c r="CN1037" t="str">
        <f>""</f>
        <v/>
      </c>
      <c r="CO1037" t="str">
        <f>""</f>
        <v/>
      </c>
      <c r="CP1037" t="str">
        <f>""</f>
        <v/>
      </c>
      <c r="CQ1037" t="str">
        <f>""</f>
        <v/>
      </c>
      <c r="CR1037" t="str">
        <f>""</f>
        <v/>
      </c>
      <c r="CS1037" t="str">
        <f>""</f>
        <v/>
      </c>
      <c r="CT1037" t="str">
        <f>""</f>
        <v/>
      </c>
      <c r="CU1037" t="str">
        <f>""</f>
        <v/>
      </c>
      <c r="CV1037" t="str">
        <f>""</f>
        <v/>
      </c>
      <c r="CW1037" t="str">
        <f>""</f>
        <v/>
      </c>
      <c r="CX1037" t="str">
        <f>""</f>
        <v/>
      </c>
      <c r="CY1037" t="str">
        <f>""</f>
        <v/>
      </c>
      <c r="CZ1037" t="str">
        <f>""</f>
        <v/>
      </c>
      <c r="DA1037" t="str">
        <f>""</f>
        <v/>
      </c>
      <c r="DB1037" t="str">
        <f>""</f>
        <v/>
      </c>
      <c r="DC1037" t="str">
        <f>""</f>
        <v/>
      </c>
      <c r="DD1037" t="str">
        <f>""</f>
        <v/>
      </c>
      <c r="DE1037" t="str">
        <f>""</f>
        <v/>
      </c>
      <c r="DF1037" t="str">
        <f>""</f>
        <v/>
      </c>
      <c r="DG1037" t="str">
        <f>""</f>
        <v/>
      </c>
      <c r="DH1037" t="str">
        <f>""</f>
        <v/>
      </c>
      <c r="DI1037" t="str">
        <f>""</f>
        <v/>
      </c>
      <c r="DJ1037" t="str">
        <f>""</f>
        <v/>
      </c>
      <c r="DK1037" t="str">
        <f>""</f>
        <v/>
      </c>
      <c r="DL1037" t="str">
        <f>""</f>
        <v/>
      </c>
      <c r="DM1037" t="str">
        <f>""</f>
        <v/>
      </c>
      <c r="DN1037" t="str">
        <f>""</f>
        <v/>
      </c>
      <c r="DO1037" t="str">
        <f>""</f>
        <v/>
      </c>
      <c r="DP1037" t="str">
        <f>""</f>
        <v/>
      </c>
      <c r="DQ1037" t="str">
        <f>""</f>
        <v/>
      </c>
      <c r="DR1037" t="str">
        <f>""</f>
        <v/>
      </c>
      <c r="DS1037" t="str">
        <f>""</f>
        <v/>
      </c>
      <c r="DT1037" t="str">
        <f>""</f>
        <v/>
      </c>
      <c r="DU1037" t="str">
        <f>""</f>
        <v/>
      </c>
    </row>
    <row r="1038" spans="1:125" x14ac:dyDescent="0.25">
      <c r="A1038" t="str">
        <f>$A$373</f>
        <v xml:space="preserve">    Yulon Motor Co Ltd</v>
      </c>
      <c r="B1038" t="str">
        <f>$B$373</f>
        <v>2201 TT Equity</v>
      </c>
      <c r="C1038" t="str">
        <f>$C$373</f>
        <v>RR473</v>
      </c>
      <c r="D1038" t="str">
        <f>$D$373</f>
        <v>EV_TO_T12M_SALES</v>
      </c>
      <c r="E1038" t="str">
        <f>$E$373</f>
        <v>Dynamic</v>
      </c>
      <c r="F1038" t="str">
        <f ca="1">_xll.BDH($B$373,$C$373,$B$675,$B$676,CONCATENATE("Per=",$B$673),"Dts=H","Dir=H",CONCATENATE("Points=",$B$674),"Sort=R","Days=A","Fill=B",CONCATENATE("FX=", $B$672) )</f>
        <v>#N/A Connection</v>
      </c>
      <c r="BN1038" t="str">
        <f>""</f>
        <v/>
      </c>
      <c r="BO1038" t="str">
        <f>""</f>
        <v/>
      </c>
      <c r="BP1038" t="str">
        <f>""</f>
        <v/>
      </c>
      <c r="BQ1038" t="str">
        <f>""</f>
        <v/>
      </c>
      <c r="BR1038" t="str">
        <f>""</f>
        <v/>
      </c>
      <c r="BS1038" t="str">
        <f>""</f>
        <v/>
      </c>
      <c r="BT1038" t="str">
        <f>""</f>
        <v/>
      </c>
      <c r="BU1038" t="str">
        <f>""</f>
        <v/>
      </c>
      <c r="BV1038" t="str">
        <f>""</f>
        <v/>
      </c>
      <c r="BW1038" t="str">
        <f>""</f>
        <v/>
      </c>
      <c r="BX1038" t="str">
        <f>""</f>
        <v/>
      </c>
      <c r="BY1038" t="str">
        <f>""</f>
        <v/>
      </c>
      <c r="BZ1038" t="str">
        <f>""</f>
        <v/>
      </c>
      <c r="CA1038" t="str">
        <f>""</f>
        <v/>
      </c>
      <c r="CB1038" t="str">
        <f>""</f>
        <v/>
      </c>
      <c r="CC1038" t="str">
        <f>""</f>
        <v/>
      </c>
      <c r="CD1038" t="str">
        <f>""</f>
        <v/>
      </c>
      <c r="CE1038" t="str">
        <f>""</f>
        <v/>
      </c>
      <c r="CF1038" t="str">
        <f>""</f>
        <v/>
      </c>
      <c r="CG1038" t="str">
        <f>""</f>
        <v/>
      </c>
      <c r="CH1038" t="str">
        <f>""</f>
        <v/>
      </c>
      <c r="CI1038" t="str">
        <f>""</f>
        <v/>
      </c>
      <c r="CJ1038" t="str">
        <f>""</f>
        <v/>
      </c>
      <c r="CK1038" t="str">
        <f>""</f>
        <v/>
      </c>
      <c r="CL1038" t="str">
        <f>""</f>
        <v/>
      </c>
      <c r="CM1038" t="str">
        <f>""</f>
        <v/>
      </c>
      <c r="CN1038" t="str">
        <f>""</f>
        <v/>
      </c>
      <c r="CO1038" t="str">
        <f>""</f>
        <v/>
      </c>
      <c r="CP1038" t="str">
        <f>""</f>
        <v/>
      </c>
      <c r="CQ1038" t="str">
        <f>""</f>
        <v/>
      </c>
      <c r="CR1038" t="str">
        <f>""</f>
        <v/>
      </c>
      <c r="CS1038" t="str">
        <f>""</f>
        <v/>
      </c>
      <c r="CT1038" t="str">
        <f>""</f>
        <v/>
      </c>
      <c r="CU1038" t="str">
        <f>""</f>
        <v/>
      </c>
      <c r="CV1038" t="str">
        <f>""</f>
        <v/>
      </c>
      <c r="CW1038" t="str">
        <f>""</f>
        <v/>
      </c>
      <c r="CX1038" t="str">
        <f>""</f>
        <v/>
      </c>
      <c r="CY1038" t="str">
        <f>""</f>
        <v/>
      </c>
      <c r="CZ1038" t="str">
        <f>""</f>
        <v/>
      </c>
      <c r="DA1038" t="str">
        <f>""</f>
        <v/>
      </c>
      <c r="DB1038" t="str">
        <f>""</f>
        <v/>
      </c>
      <c r="DC1038" t="str">
        <f>""</f>
        <v/>
      </c>
      <c r="DD1038" t="str">
        <f>""</f>
        <v/>
      </c>
      <c r="DE1038" t="str">
        <f>""</f>
        <v/>
      </c>
      <c r="DF1038" t="str">
        <f>""</f>
        <v/>
      </c>
      <c r="DG1038" t="str">
        <f>""</f>
        <v/>
      </c>
      <c r="DH1038" t="str">
        <f>""</f>
        <v/>
      </c>
      <c r="DI1038" t="str">
        <f>""</f>
        <v/>
      </c>
      <c r="DJ1038" t="str">
        <f>""</f>
        <v/>
      </c>
      <c r="DK1038" t="str">
        <f>""</f>
        <v/>
      </c>
      <c r="DL1038" t="str">
        <f>""</f>
        <v/>
      </c>
      <c r="DM1038" t="str">
        <f>""</f>
        <v/>
      </c>
      <c r="DN1038" t="str">
        <f>""</f>
        <v/>
      </c>
      <c r="DO1038" t="str">
        <f>""</f>
        <v/>
      </c>
      <c r="DP1038" t="str">
        <f>""</f>
        <v/>
      </c>
      <c r="DQ1038" t="str">
        <f>""</f>
        <v/>
      </c>
      <c r="DR1038" t="str">
        <f>""</f>
        <v/>
      </c>
      <c r="DS1038" t="str">
        <f>""</f>
        <v/>
      </c>
      <c r="DT1038" t="str">
        <f>""</f>
        <v/>
      </c>
      <c r="DU1038" t="str">
        <f>""</f>
        <v/>
      </c>
    </row>
    <row r="1039" spans="1:125" x14ac:dyDescent="0.25">
      <c r="A1039" t="str">
        <f>$A$375</f>
        <v xml:space="preserve">    AUDI AG</v>
      </c>
      <c r="B1039" t="str">
        <f>$B$375</f>
        <v>NSU GR Equity</v>
      </c>
      <c r="C1039" t="str">
        <f>$C$375</f>
        <v>RR480</v>
      </c>
      <c r="D1039" t="str">
        <f>$D$375</f>
        <v>EV_TO_MKT_CAP</v>
      </c>
      <c r="E1039" t="str">
        <f>$E$375</f>
        <v>Dynamic</v>
      </c>
      <c r="F1039" t="str">
        <f ca="1">_xll.BDH($B$375,$C$375,$B$675,$B$676,CONCATENATE("Per=",$B$673),"Dts=H","Dir=H",CONCATENATE("Points=",$B$674),"Sort=R","Days=A","Fill=B",CONCATENATE("FX=", $B$672) )</f>
        <v>#N/A Connection</v>
      </c>
      <c r="BN1039" t="str">
        <f>""</f>
        <v/>
      </c>
      <c r="BO1039" t="str">
        <f>""</f>
        <v/>
      </c>
      <c r="BP1039" t="str">
        <f>""</f>
        <v/>
      </c>
      <c r="BQ1039" t="str">
        <f>""</f>
        <v/>
      </c>
      <c r="BR1039" t="str">
        <f>""</f>
        <v/>
      </c>
      <c r="BS1039" t="str">
        <f>""</f>
        <v/>
      </c>
      <c r="BT1039" t="str">
        <f>""</f>
        <v/>
      </c>
      <c r="BU1039" t="str">
        <f>""</f>
        <v/>
      </c>
      <c r="BV1039" t="str">
        <f>""</f>
        <v/>
      </c>
      <c r="BW1039" t="str">
        <f>""</f>
        <v/>
      </c>
      <c r="BX1039" t="str">
        <f>""</f>
        <v/>
      </c>
      <c r="BY1039" t="str">
        <f>""</f>
        <v/>
      </c>
      <c r="BZ1039" t="str">
        <f>""</f>
        <v/>
      </c>
      <c r="CA1039" t="str">
        <f>""</f>
        <v/>
      </c>
      <c r="CB1039" t="str">
        <f>""</f>
        <v/>
      </c>
      <c r="CC1039" t="str">
        <f>""</f>
        <v/>
      </c>
      <c r="CD1039" t="str">
        <f>""</f>
        <v/>
      </c>
      <c r="CE1039" t="str">
        <f>""</f>
        <v/>
      </c>
      <c r="CF1039" t="str">
        <f>""</f>
        <v/>
      </c>
      <c r="CG1039" t="str">
        <f>""</f>
        <v/>
      </c>
      <c r="CH1039" t="str">
        <f>""</f>
        <v/>
      </c>
      <c r="CI1039" t="str">
        <f>""</f>
        <v/>
      </c>
      <c r="CJ1039" t="str">
        <f>""</f>
        <v/>
      </c>
      <c r="CK1039" t="str">
        <f>""</f>
        <v/>
      </c>
      <c r="CL1039" t="str">
        <f>""</f>
        <v/>
      </c>
      <c r="CM1039" t="str">
        <f>""</f>
        <v/>
      </c>
      <c r="CN1039" t="str">
        <f>""</f>
        <v/>
      </c>
      <c r="CO1039" t="str">
        <f>""</f>
        <v/>
      </c>
      <c r="CP1039" t="str">
        <f>""</f>
        <v/>
      </c>
      <c r="CQ1039" t="str">
        <f>""</f>
        <v/>
      </c>
      <c r="CR1039" t="str">
        <f>""</f>
        <v/>
      </c>
      <c r="CS1039" t="str">
        <f>""</f>
        <v/>
      </c>
      <c r="CT1039" t="str">
        <f>""</f>
        <v/>
      </c>
      <c r="CU1039" t="str">
        <f>""</f>
        <v/>
      </c>
      <c r="CV1039" t="str">
        <f>""</f>
        <v/>
      </c>
      <c r="CW1039" t="str">
        <f>""</f>
        <v/>
      </c>
      <c r="CX1039" t="str">
        <f>""</f>
        <v/>
      </c>
      <c r="CY1039" t="str">
        <f>""</f>
        <v/>
      </c>
      <c r="CZ1039" t="str">
        <f>""</f>
        <v/>
      </c>
      <c r="DA1039" t="str">
        <f>""</f>
        <v/>
      </c>
      <c r="DB1039" t="str">
        <f>""</f>
        <v/>
      </c>
      <c r="DC1039" t="str">
        <f>""</f>
        <v/>
      </c>
      <c r="DD1039" t="str">
        <f>""</f>
        <v/>
      </c>
      <c r="DE1039" t="str">
        <f>""</f>
        <v/>
      </c>
      <c r="DF1039" t="str">
        <f>""</f>
        <v/>
      </c>
      <c r="DG1039" t="str">
        <f>""</f>
        <v/>
      </c>
      <c r="DH1039" t="str">
        <f>""</f>
        <v/>
      </c>
      <c r="DI1039" t="str">
        <f>""</f>
        <v/>
      </c>
      <c r="DJ1039" t="str">
        <f>""</f>
        <v/>
      </c>
      <c r="DK1039" t="str">
        <f>""</f>
        <v/>
      </c>
      <c r="DL1039" t="str">
        <f>""</f>
        <v/>
      </c>
      <c r="DM1039" t="str">
        <f>""</f>
        <v/>
      </c>
      <c r="DN1039" t="str">
        <f>""</f>
        <v/>
      </c>
      <c r="DO1039" t="str">
        <f>""</f>
        <v/>
      </c>
      <c r="DP1039" t="str">
        <f>""</f>
        <v/>
      </c>
      <c r="DQ1039" t="str">
        <f>""</f>
        <v/>
      </c>
      <c r="DR1039" t="str">
        <f>""</f>
        <v/>
      </c>
      <c r="DS1039" t="str">
        <f>""</f>
        <v/>
      </c>
      <c r="DT1039" t="str">
        <f>""</f>
        <v/>
      </c>
      <c r="DU1039" t="str">
        <f>""</f>
        <v/>
      </c>
    </row>
    <row r="1040" spans="1:125" x14ac:dyDescent="0.25">
      <c r="A1040" t="str">
        <f>$A$376</f>
        <v xml:space="preserve">    Avtovaz PJSC</v>
      </c>
      <c r="B1040" t="str">
        <f>$B$376</f>
        <v>AVAZ RM Equity</v>
      </c>
      <c r="C1040" t="str">
        <f>$C$376</f>
        <v>RR480</v>
      </c>
      <c r="D1040" t="str">
        <f>$D$376</f>
        <v>EV_TO_MKT_CAP</v>
      </c>
      <c r="E1040" t="str">
        <f>$E$376</f>
        <v>Dynamic</v>
      </c>
      <c r="F1040" t="str">
        <f ca="1">_xll.BDH($B$376,$C$376,$B$675,$B$676,CONCATENATE("Per=",$B$673),"Dts=H","Dir=H",CONCATENATE("Points=",$B$674),"Sort=R","Days=A","Fill=B",CONCATENATE("FX=", $B$672) )</f>
        <v>#N/A Connection</v>
      </c>
      <c r="BN1040" t="str">
        <f>""</f>
        <v/>
      </c>
      <c r="BO1040" t="str">
        <f>""</f>
        <v/>
      </c>
      <c r="BP1040" t="str">
        <f>""</f>
        <v/>
      </c>
      <c r="BQ1040" t="str">
        <f>""</f>
        <v/>
      </c>
      <c r="BR1040" t="str">
        <f>""</f>
        <v/>
      </c>
      <c r="BS1040" t="str">
        <f>""</f>
        <v/>
      </c>
      <c r="BT1040" t="str">
        <f>""</f>
        <v/>
      </c>
      <c r="BU1040" t="str">
        <f>""</f>
        <v/>
      </c>
      <c r="BV1040" t="str">
        <f>""</f>
        <v/>
      </c>
      <c r="BW1040" t="str">
        <f>""</f>
        <v/>
      </c>
      <c r="BX1040" t="str">
        <f>""</f>
        <v/>
      </c>
      <c r="BY1040" t="str">
        <f>""</f>
        <v/>
      </c>
      <c r="BZ1040" t="str">
        <f>""</f>
        <v/>
      </c>
      <c r="CA1040" t="str">
        <f>""</f>
        <v/>
      </c>
      <c r="CB1040" t="str">
        <f>""</f>
        <v/>
      </c>
      <c r="CC1040" t="str">
        <f>""</f>
        <v/>
      </c>
      <c r="CD1040" t="str">
        <f>""</f>
        <v/>
      </c>
      <c r="CE1040" t="str">
        <f>""</f>
        <v/>
      </c>
      <c r="CF1040" t="str">
        <f>""</f>
        <v/>
      </c>
      <c r="CG1040" t="str">
        <f>""</f>
        <v/>
      </c>
      <c r="CH1040" t="str">
        <f>""</f>
        <v/>
      </c>
      <c r="CI1040" t="str">
        <f>""</f>
        <v/>
      </c>
      <c r="CJ1040" t="str">
        <f>""</f>
        <v/>
      </c>
      <c r="CK1040" t="str">
        <f>""</f>
        <v/>
      </c>
      <c r="CL1040" t="str">
        <f>""</f>
        <v/>
      </c>
      <c r="CM1040" t="str">
        <f>""</f>
        <v/>
      </c>
      <c r="CN1040" t="str">
        <f>""</f>
        <v/>
      </c>
      <c r="CO1040" t="str">
        <f>""</f>
        <v/>
      </c>
      <c r="CP1040" t="str">
        <f>""</f>
        <v/>
      </c>
      <c r="CQ1040" t="str">
        <f>""</f>
        <v/>
      </c>
      <c r="CR1040" t="str">
        <f>""</f>
        <v/>
      </c>
      <c r="CS1040" t="str">
        <f>""</f>
        <v/>
      </c>
      <c r="CT1040" t="str">
        <f>""</f>
        <v/>
      </c>
      <c r="CU1040" t="str">
        <f>""</f>
        <v/>
      </c>
      <c r="CV1040" t="str">
        <f>""</f>
        <v/>
      </c>
      <c r="CW1040" t="str">
        <f>""</f>
        <v/>
      </c>
      <c r="CX1040" t="str">
        <f>""</f>
        <v/>
      </c>
      <c r="CY1040" t="str">
        <f>""</f>
        <v/>
      </c>
      <c r="CZ1040" t="str">
        <f>""</f>
        <v/>
      </c>
      <c r="DA1040" t="str">
        <f>""</f>
        <v/>
      </c>
      <c r="DB1040" t="str">
        <f>""</f>
        <v/>
      </c>
      <c r="DC1040" t="str">
        <f>""</f>
        <v/>
      </c>
      <c r="DD1040" t="str">
        <f>""</f>
        <v/>
      </c>
      <c r="DE1040" t="str">
        <f>""</f>
        <v/>
      </c>
      <c r="DF1040" t="str">
        <f>""</f>
        <v/>
      </c>
      <c r="DG1040" t="str">
        <f>""</f>
        <v/>
      </c>
      <c r="DH1040" t="str">
        <f>""</f>
        <v/>
      </c>
      <c r="DI1040" t="str">
        <f>""</f>
        <v/>
      </c>
      <c r="DJ1040" t="str">
        <f>""</f>
        <v/>
      </c>
      <c r="DK1040" t="str">
        <f>""</f>
        <v/>
      </c>
      <c r="DL1040" t="str">
        <f>""</f>
        <v/>
      </c>
      <c r="DM1040" t="str">
        <f>""</f>
        <v/>
      </c>
      <c r="DN1040" t="str">
        <f>""</f>
        <v/>
      </c>
      <c r="DO1040" t="str">
        <f>""</f>
        <v/>
      </c>
      <c r="DP1040" t="str">
        <f>""</f>
        <v/>
      </c>
      <c r="DQ1040" t="str">
        <f>""</f>
        <v/>
      </c>
      <c r="DR1040" t="str">
        <f>""</f>
        <v/>
      </c>
      <c r="DS1040" t="str">
        <f>""</f>
        <v/>
      </c>
      <c r="DT1040" t="str">
        <f>""</f>
        <v/>
      </c>
      <c r="DU1040" t="str">
        <f>""</f>
        <v/>
      </c>
    </row>
    <row r="1041" spans="1:125" x14ac:dyDescent="0.25">
      <c r="A1041" t="str">
        <f>$A$377</f>
        <v xml:space="preserve">    Bayerische Motoren Werke AG</v>
      </c>
      <c r="B1041" t="str">
        <f>$B$377</f>
        <v>BMW GR Equity</v>
      </c>
      <c r="C1041" t="str">
        <f>$C$377</f>
        <v>RR480</v>
      </c>
      <c r="D1041" t="str">
        <f>$D$377</f>
        <v>EV_TO_MKT_CAP</v>
      </c>
      <c r="E1041" t="str">
        <f>$E$377</f>
        <v>Dynamic</v>
      </c>
      <c r="F1041" t="str">
        <f ca="1">_xll.BDH($B$377,$C$377,$B$675,$B$676,CONCATENATE("Per=",$B$673),"Dts=H","Dir=H",CONCATENATE("Points=",$B$674),"Sort=R","Days=A","Fill=B",CONCATENATE("FX=", $B$672) )</f>
        <v>#N/A Connection</v>
      </c>
      <c r="BN1041" t="str">
        <f>""</f>
        <v/>
      </c>
      <c r="BO1041" t="str">
        <f>""</f>
        <v/>
      </c>
      <c r="BP1041" t="str">
        <f>""</f>
        <v/>
      </c>
      <c r="BQ1041" t="str">
        <f>""</f>
        <v/>
      </c>
      <c r="BR1041" t="str">
        <f>""</f>
        <v/>
      </c>
      <c r="BS1041" t="str">
        <f>""</f>
        <v/>
      </c>
      <c r="BT1041" t="str">
        <f>""</f>
        <v/>
      </c>
      <c r="BU1041" t="str">
        <f>""</f>
        <v/>
      </c>
      <c r="BV1041" t="str">
        <f>""</f>
        <v/>
      </c>
      <c r="BW1041" t="str">
        <f>""</f>
        <v/>
      </c>
      <c r="BX1041" t="str">
        <f>""</f>
        <v/>
      </c>
      <c r="BY1041" t="str">
        <f>""</f>
        <v/>
      </c>
      <c r="BZ1041" t="str">
        <f>""</f>
        <v/>
      </c>
      <c r="CA1041" t="str">
        <f>""</f>
        <v/>
      </c>
      <c r="CB1041" t="str">
        <f>""</f>
        <v/>
      </c>
      <c r="CC1041" t="str">
        <f>""</f>
        <v/>
      </c>
      <c r="CD1041" t="str">
        <f>""</f>
        <v/>
      </c>
      <c r="CE1041" t="str">
        <f>""</f>
        <v/>
      </c>
      <c r="CF1041" t="str">
        <f>""</f>
        <v/>
      </c>
      <c r="CG1041" t="str">
        <f>""</f>
        <v/>
      </c>
      <c r="CH1041" t="str">
        <f>""</f>
        <v/>
      </c>
      <c r="CI1041" t="str">
        <f>""</f>
        <v/>
      </c>
      <c r="CJ1041" t="str">
        <f>""</f>
        <v/>
      </c>
      <c r="CK1041" t="str">
        <f>""</f>
        <v/>
      </c>
      <c r="CL1041" t="str">
        <f>""</f>
        <v/>
      </c>
      <c r="CM1041" t="str">
        <f>""</f>
        <v/>
      </c>
      <c r="CN1041" t="str">
        <f>""</f>
        <v/>
      </c>
      <c r="CO1041" t="str">
        <f>""</f>
        <v/>
      </c>
      <c r="CP1041" t="str">
        <f>""</f>
        <v/>
      </c>
      <c r="CQ1041" t="str">
        <f>""</f>
        <v/>
      </c>
      <c r="CR1041" t="str">
        <f>""</f>
        <v/>
      </c>
      <c r="CS1041" t="str">
        <f>""</f>
        <v/>
      </c>
      <c r="CT1041" t="str">
        <f>""</f>
        <v/>
      </c>
      <c r="CU1041" t="str">
        <f>""</f>
        <v/>
      </c>
      <c r="CV1041" t="str">
        <f>""</f>
        <v/>
      </c>
      <c r="CW1041" t="str">
        <f>""</f>
        <v/>
      </c>
      <c r="CX1041" t="str">
        <f>""</f>
        <v/>
      </c>
      <c r="CY1041" t="str">
        <f>""</f>
        <v/>
      </c>
      <c r="CZ1041" t="str">
        <f>""</f>
        <v/>
      </c>
      <c r="DA1041" t="str">
        <f>""</f>
        <v/>
      </c>
      <c r="DB1041" t="str">
        <f>""</f>
        <v/>
      </c>
      <c r="DC1041" t="str">
        <f>""</f>
        <v/>
      </c>
      <c r="DD1041" t="str">
        <f>""</f>
        <v/>
      </c>
      <c r="DE1041" t="str">
        <f>""</f>
        <v/>
      </c>
      <c r="DF1041" t="str">
        <f>""</f>
        <v/>
      </c>
      <c r="DG1041" t="str">
        <f>""</f>
        <v/>
      </c>
      <c r="DH1041" t="str">
        <f>""</f>
        <v/>
      </c>
      <c r="DI1041" t="str">
        <f>""</f>
        <v/>
      </c>
      <c r="DJ1041" t="str">
        <f>""</f>
        <v/>
      </c>
      <c r="DK1041" t="str">
        <f>""</f>
        <v/>
      </c>
      <c r="DL1041" t="str">
        <f>""</f>
        <v/>
      </c>
      <c r="DM1041" t="str">
        <f>""</f>
        <v/>
      </c>
      <c r="DN1041" t="str">
        <f>""</f>
        <v/>
      </c>
      <c r="DO1041" t="str">
        <f>""</f>
        <v/>
      </c>
      <c r="DP1041" t="str">
        <f>""</f>
        <v/>
      </c>
      <c r="DQ1041" t="str">
        <f>""</f>
        <v/>
      </c>
      <c r="DR1041" t="str">
        <f>""</f>
        <v/>
      </c>
      <c r="DS1041" t="str">
        <f>""</f>
        <v/>
      </c>
      <c r="DT1041" t="str">
        <f>""</f>
        <v/>
      </c>
      <c r="DU1041" t="str">
        <f>""</f>
        <v/>
      </c>
    </row>
    <row r="1042" spans="1:125" x14ac:dyDescent="0.25">
      <c r="A1042" t="str">
        <f>$A$378</f>
        <v xml:space="preserve">    Brilliance China Automotive Holdings Ltd</v>
      </c>
      <c r="B1042" t="str">
        <f>$B$378</f>
        <v>1114 HK Equity</v>
      </c>
      <c r="C1042" t="str">
        <f>$C$378</f>
        <v>RR480</v>
      </c>
      <c r="D1042" t="str">
        <f>$D$378</f>
        <v>EV_TO_MKT_CAP</v>
      </c>
      <c r="E1042" t="str">
        <f>$E$378</f>
        <v>Dynamic</v>
      </c>
      <c r="F1042" t="str">
        <f ca="1">_xll.BDH($B$378,$C$378,$B$675,$B$676,CONCATENATE("Per=",$B$673),"Dts=H","Dir=H",CONCATENATE("Points=",$B$674),"Sort=R","Days=A","Fill=B",CONCATENATE("FX=", $B$672) )</f>
        <v>#N/A Connection</v>
      </c>
      <c r="BN1042" t="str">
        <f>""</f>
        <v/>
      </c>
      <c r="BO1042" t="str">
        <f>""</f>
        <v/>
      </c>
      <c r="BP1042" t="str">
        <f>""</f>
        <v/>
      </c>
      <c r="BQ1042" t="str">
        <f>""</f>
        <v/>
      </c>
      <c r="BR1042" t="str">
        <f>""</f>
        <v/>
      </c>
      <c r="BS1042" t="str">
        <f>""</f>
        <v/>
      </c>
      <c r="BT1042" t="str">
        <f>""</f>
        <v/>
      </c>
      <c r="BU1042" t="str">
        <f>""</f>
        <v/>
      </c>
      <c r="BV1042" t="str">
        <f>""</f>
        <v/>
      </c>
      <c r="BW1042" t="str">
        <f>""</f>
        <v/>
      </c>
      <c r="BX1042" t="str">
        <f>""</f>
        <v/>
      </c>
      <c r="BY1042" t="str">
        <f>""</f>
        <v/>
      </c>
      <c r="BZ1042" t="str">
        <f>""</f>
        <v/>
      </c>
      <c r="CA1042" t="str">
        <f>""</f>
        <v/>
      </c>
      <c r="CB1042" t="str">
        <f>""</f>
        <v/>
      </c>
      <c r="CC1042" t="str">
        <f>""</f>
        <v/>
      </c>
      <c r="CD1042" t="str">
        <f>""</f>
        <v/>
      </c>
      <c r="CE1042" t="str">
        <f>""</f>
        <v/>
      </c>
      <c r="CF1042" t="str">
        <f>""</f>
        <v/>
      </c>
      <c r="CG1042" t="str">
        <f>""</f>
        <v/>
      </c>
      <c r="CH1042" t="str">
        <f>""</f>
        <v/>
      </c>
      <c r="CI1042" t="str">
        <f>""</f>
        <v/>
      </c>
      <c r="CJ1042" t="str">
        <f>""</f>
        <v/>
      </c>
      <c r="CK1042" t="str">
        <f>""</f>
        <v/>
      </c>
      <c r="CL1042" t="str">
        <f>""</f>
        <v/>
      </c>
      <c r="CM1042" t="str">
        <f>""</f>
        <v/>
      </c>
      <c r="CN1042" t="str">
        <f>""</f>
        <v/>
      </c>
      <c r="CO1042" t="str">
        <f>""</f>
        <v/>
      </c>
      <c r="CP1042" t="str">
        <f>""</f>
        <v/>
      </c>
      <c r="CQ1042" t="str">
        <f>""</f>
        <v/>
      </c>
      <c r="CR1042" t="str">
        <f>""</f>
        <v/>
      </c>
      <c r="CS1042" t="str">
        <f>""</f>
        <v/>
      </c>
      <c r="CT1042" t="str">
        <f>""</f>
        <v/>
      </c>
      <c r="CU1042" t="str">
        <f>""</f>
        <v/>
      </c>
      <c r="CV1042" t="str">
        <f>""</f>
        <v/>
      </c>
      <c r="CW1042" t="str">
        <f>""</f>
        <v/>
      </c>
      <c r="CX1042" t="str">
        <f>""</f>
        <v/>
      </c>
      <c r="CY1042" t="str">
        <f>""</f>
        <v/>
      </c>
      <c r="CZ1042" t="str">
        <f>""</f>
        <v/>
      </c>
      <c r="DA1042" t="str">
        <f>""</f>
        <v/>
      </c>
      <c r="DB1042" t="str">
        <f>""</f>
        <v/>
      </c>
      <c r="DC1042" t="str">
        <f>""</f>
        <v/>
      </c>
      <c r="DD1042" t="str">
        <f>""</f>
        <v/>
      </c>
      <c r="DE1042" t="str">
        <f>""</f>
        <v/>
      </c>
      <c r="DF1042" t="str">
        <f>""</f>
        <v/>
      </c>
      <c r="DG1042" t="str">
        <f>""</f>
        <v/>
      </c>
      <c r="DH1042" t="str">
        <f>""</f>
        <v/>
      </c>
      <c r="DI1042" t="str">
        <f>""</f>
        <v/>
      </c>
      <c r="DJ1042" t="str">
        <f>""</f>
        <v/>
      </c>
      <c r="DK1042" t="str">
        <f>""</f>
        <v/>
      </c>
      <c r="DL1042" t="str">
        <f>""</f>
        <v/>
      </c>
      <c r="DM1042" t="str">
        <f>""</f>
        <v/>
      </c>
      <c r="DN1042" t="str">
        <f>""</f>
        <v/>
      </c>
      <c r="DO1042" t="str">
        <f>""</f>
        <v/>
      </c>
      <c r="DP1042" t="str">
        <f>""</f>
        <v/>
      </c>
      <c r="DQ1042" t="str">
        <f>""</f>
        <v/>
      </c>
      <c r="DR1042" t="str">
        <f>""</f>
        <v/>
      </c>
      <c r="DS1042" t="str">
        <f>""</f>
        <v/>
      </c>
      <c r="DT1042" t="str">
        <f>""</f>
        <v/>
      </c>
      <c r="DU1042" t="str">
        <f>""</f>
        <v/>
      </c>
    </row>
    <row r="1043" spans="1:125" x14ac:dyDescent="0.25">
      <c r="A1043" t="str">
        <f>$A$379</f>
        <v xml:space="preserve">    BYD Co Ltd</v>
      </c>
      <c r="B1043" t="str">
        <f>$B$379</f>
        <v>1211 HK Equity</v>
      </c>
      <c r="C1043" t="str">
        <f>$C$379</f>
        <v>RR480</v>
      </c>
      <c r="D1043" t="str">
        <f>$D$379</f>
        <v>EV_TO_MKT_CAP</v>
      </c>
      <c r="E1043" t="str">
        <f>$E$379</f>
        <v>Dynamic</v>
      </c>
      <c r="F1043" t="str">
        <f ca="1">_xll.BDH($B$379,$C$379,$B$675,$B$676,CONCATENATE("Per=",$B$673),"Dts=H","Dir=H",CONCATENATE("Points=",$B$674),"Sort=R","Days=A","Fill=B",CONCATENATE("FX=", $B$672) )</f>
        <v>#N/A Connection</v>
      </c>
      <c r="BN1043" t="str">
        <f>""</f>
        <v/>
      </c>
      <c r="BO1043" t="str">
        <f>""</f>
        <v/>
      </c>
      <c r="BP1043" t="str">
        <f>""</f>
        <v/>
      </c>
      <c r="BQ1043" t="str">
        <f>""</f>
        <v/>
      </c>
      <c r="BR1043" t="str">
        <f>""</f>
        <v/>
      </c>
      <c r="BS1043" t="str">
        <f>""</f>
        <v/>
      </c>
      <c r="BT1043" t="str">
        <f>""</f>
        <v/>
      </c>
      <c r="BU1043" t="str">
        <f>""</f>
        <v/>
      </c>
      <c r="BV1043" t="str">
        <f>""</f>
        <v/>
      </c>
      <c r="BW1043" t="str">
        <f>""</f>
        <v/>
      </c>
      <c r="BX1043" t="str">
        <f>""</f>
        <v/>
      </c>
      <c r="BY1043" t="str">
        <f>""</f>
        <v/>
      </c>
      <c r="BZ1043" t="str">
        <f>""</f>
        <v/>
      </c>
      <c r="CA1043" t="str">
        <f>""</f>
        <v/>
      </c>
      <c r="CB1043" t="str">
        <f>""</f>
        <v/>
      </c>
      <c r="CC1043" t="str">
        <f>""</f>
        <v/>
      </c>
      <c r="CD1043" t="str">
        <f>""</f>
        <v/>
      </c>
      <c r="CE1043" t="str">
        <f>""</f>
        <v/>
      </c>
      <c r="CF1043" t="str">
        <f>""</f>
        <v/>
      </c>
      <c r="CG1043" t="str">
        <f>""</f>
        <v/>
      </c>
      <c r="CH1043" t="str">
        <f>""</f>
        <v/>
      </c>
      <c r="CI1043" t="str">
        <f>""</f>
        <v/>
      </c>
      <c r="CJ1043" t="str">
        <f>""</f>
        <v/>
      </c>
      <c r="CK1043" t="str">
        <f>""</f>
        <v/>
      </c>
      <c r="CL1043" t="str">
        <f>""</f>
        <v/>
      </c>
      <c r="CM1043" t="str">
        <f>""</f>
        <v/>
      </c>
      <c r="CN1043" t="str">
        <f>""</f>
        <v/>
      </c>
      <c r="CO1043" t="str">
        <f>""</f>
        <v/>
      </c>
      <c r="CP1043" t="str">
        <f>""</f>
        <v/>
      </c>
      <c r="CQ1043" t="str">
        <f>""</f>
        <v/>
      </c>
      <c r="CR1043" t="str">
        <f>""</f>
        <v/>
      </c>
      <c r="CS1043" t="str">
        <f>""</f>
        <v/>
      </c>
      <c r="CT1043" t="str">
        <f>""</f>
        <v/>
      </c>
      <c r="CU1043" t="str">
        <f>""</f>
        <v/>
      </c>
      <c r="CV1043" t="str">
        <f>""</f>
        <v/>
      </c>
      <c r="CW1043" t="str">
        <f>""</f>
        <v/>
      </c>
      <c r="CX1043" t="str">
        <f>""</f>
        <v/>
      </c>
      <c r="CY1043" t="str">
        <f>""</f>
        <v/>
      </c>
      <c r="CZ1043" t="str">
        <f>""</f>
        <v/>
      </c>
      <c r="DA1043" t="str">
        <f>""</f>
        <v/>
      </c>
      <c r="DB1043" t="str">
        <f>""</f>
        <v/>
      </c>
      <c r="DC1043" t="str">
        <f>""</f>
        <v/>
      </c>
      <c r="DD1043" t="str">
        <f>""</f>
        <v/>
      </c>
      <c r="DE1043" t="str">
        <f>""</f>
        <v/>
      </c>
      <c r="DF1043" t="str">
        <f>""</f>
        <v/>
      </c>
      <c r="DG1043" t="str">
        <f>""</f>
        <v/>
      </c>
      <c r="DH1043" t="str">
        <f>""</f>
        <v/>
      </c>
      <c r="DI1043" t="str">
        <f>""</f>
        <v/>
      </c>
      <c r="DJ1043" t="str">
        <f>""</f>
        <v/>
      </c>
      <c r="DK1043" t="str">
        <f>""</f>
        <v/>
      </c>
      <c r="DL1043" t="str">
        <f>""</f>
        <v/>
      </c>
      <c r="DM1043" t="str">
        <f>""</f>
        <v/>
      </c>
      <c r="DN1043" t="str">
        <f>""</f>
        <v/>
      </c>
      <c r="DO1043" t="str">
        <f>""</f>
        <v/>
      </c>
      <c r="DP1043" t="str">
        <f>""</f>
        <v/>
      </c>
      <c r="DQ1043" t="str">
        <f>""</f>
        <v/>
      </c>
      <c r="DR1043" t="str">
        <f>""</f>
        <v/>
      </c>
      <c r="DS1043" t="str">
        <f>""</f>
        <v/>
      </c>
      <c r="DT1043" t="str">
        <f>""</f>
        <v/>
      </c>
      <c r="DU1043" t="str">
        <f>""</f>
        <v/>
      </c>
    </row>
    <row r="1044" spans="1:125" x14ac:dyDescent="0.25">
      <c r="A1044" t="str">
        <f>$A$380</f>
        <v xml:space="preserve">    Chongqing Changan Automobile Co Ltd</v>
      </c>
      <c r="B1044" t="str">
        <f>$B$380</f>
        <v>200625 CH Equity</v>
      </c>
      <c r="C1044" t="str">
        <f>$C$380</f>
        <v>RR480</v>
      </c>
      <c r="D1044" t="str">
        <f>$D$380</f>
        <v>EV_TO_MKT_CAP</v>
      </c>
      <c r="E1044" t="str">
        <f>$E$380</f>
        <v>Dynamic</v>
      </c>
      <c r="F1044" t="str">
        <f ca="1">_xll.BDH($B$380,$C$380,$B$675,$B$676,CONCATENATE("Per=",$B$673),"Dts=H","Dir=H",CONCATENATE("Points=",$B$674),"Sort=R","Days=A","Fill=B",CONCATENATE("FX=", $B$672) )</f>
        <v>#N/A Connection</v>
      </c>
      <c r="BN1044" t="str">
        <f>""</f>
        <v/>
      </c>
      <c r="BO1044" t="str">
        <f>""</f>
        <v/>
      </c>
      <c r="BP1044" t="str">
        <f>""</f>
        <v/>
      </c>
      <c r="BQ1044" t="str">
        <f>""</f>
        <v/>
      </c>
      <c r="BR1044" t="str">
        <f>""</f>
        <v/>
      </c>
      <c r="BS1044" t="str">
        <f>""</f>
        <v/>
      </c>
      <c r="BT1044" t="str">
        <f>""</f>
        <v/>
      </c>
      <c r="BU1044" t="str">
        <f>""</f>
        <v/>
      </c>
      <c r="BV1044" t="str">
        <f>""</f>
        <v/>
      </c>
      <c r="BW1044" t="str">
        <f>""</f>
        <v/>
      </c>
      <c r="BX1044" t="str">
        <f>""</f>
        <v/>
      </c>
      <c r="BY1044" t="str">
        <f>""</f>
        <v/>
      </c>
      <c r="BZ1044" t="str">
        <f>""</f>
        <v/>
      </c>
      <c r="CA1044" t="str">
        <f>""</f>
        <v/>
      </c>
      <c r="CB1044" t="str">
        <f>""</f>
        <v/>
      </c>
      <c r="CC1044" t="str">
        <f>""</f>
        <v/>
      </c>
      <c r="CD1044" t="str">
        <f>""</f>
        <v/>
      </c>
      <c r="CE1044" t="str">
        <f>""</f>
        <v/>
      </c>
      <c r="CF1044" t="str">
        <f>""</f>
        <v/>
      </c>
      <c r="CG1044" t="str">
        <f>""</f>
        <v/>
      </c>
      <c r="CH1044" t="str">
        <f>""</f>
        <v/>
      </c>
      <c r="CI1044" t="str">
        <f>""</f>
        <v/>
      </c>
      <c r="CJ1044" t="str">
        <f>""</f>
        <v/>
      </c>
      <c r="CK1044" t="str">
        <f>""</f>
        <v/>
      </c>
      <c r="CL1044" t="str">
        <f>""</f>
        <v/>
      </c>
      <c r="CM1044" t="str">
        <f>""</f>
        <v/>
      </c>
      <c r="CN1044" t="str">
        <f>""</f>
        <v/>
      </c>
      <c r="CO1044" t="str">
        <f>""</f>
        <v/>
      </c>
      <c r="CP1044" t="str">
        <f>""</f>
        <v/>
      </c>
      <c r="CQ1044" t="str">
        <f>""</f>
        <v/>
      </c>
      <c r="CR1044" t="str">
        <f>""</f>
        <v/>
      </c>
      <c r="CS1044" t="str">
        <f>""</f>
        <v/>
      </c>
      <c r="CT1044" t="str">
        <f>""</f>
        <v/>
      </c>
      <c r="CU1044" t="str">
        <f>""</f>
        <v/>
      </c>
      <c r="CV1044" t="str">
        <f>""</f>
        <v/>
      </c>
      <c r="CW1044" t="str">
        <f>""</f>
        <v/>
      </c>
      <c r="CX1044" t="str">
        <f>""</f>
        <v/>
      </c>
      <c r="CY1044" t="str">
        <f>""</f>
        <v/>
      </c>
      <c r="CZ1044" t="str">
        <f>""</f>
        <v/>
      </c>
      <c r="DA1044" t="str">
        <f>""</f>
        <v/>
      </c>
      <c r="DB1044" t="str">
        <f>""</f>
        <v/>
      </c>
      <c r="DC1044" t="str">
        <f>""</f>
        <v/>
      </c>
      <c r="DD1044" t="str">
        <f>""</f>
        <v/>
      </c>
      <c r="DE1044" t="str">
        <f>""</f>
        <v/>
      </c>
      <c r="DF1044" t="str">
        <f>""</f>
        <v/>
      </c>
      <c r="DG1044" t="str">
        <f>""</f>
        <v/>
      </c>
      <c r="DH1044" t="str">
        <f>""</f>
        <v/>
      </c>
      <c r="DI1044" t="str">
        <f>""</f>
        <v/>
      </c>
      <c r="DJ1044" t="str">
        <f>""</f>
        <v/>
      </c>
      <c r="DK1044" t="str">
        <f>""</f>
        <v/>
      </c>
      <c r="DL1044" t="str">
        <f>""</f>
        <v/>
      </c>
      <c r="DM1044" t="str">
        <f>""</f>
        <v/>
      </c>
      <c r="DN1044" t="str">
        <f>""</f>
        <v/>
      </c>
      <c r="DO1044" t="str">
        <f>""</f>
        <v/>
      </c>
      <c r="DP1044" t="str">
        <f>""</f>
        <v/>
      </c>
      <c r="DQ1044" t="str">
        <f>""</f>
        <v/>
      </c>
      <c r="DR1044" t="str">
        <f>""</f>
        <v/>
      </c>
      <c r="DS1044" t="str">
        <f>""</f>
        <v/>
      </c>
      <c r="DT1044" t="str">
        <f>""</f>
        <v/>
      </c>
      <c r="DU1044" t="str">
        <f>""</f>
        <v/>
      </c>
    </row>
    <row r="1045" spans="1:125" x14ac:dyDescent="0.25">
      <c r="A1045" t="str">
        <f>$A$381</f>
        <v xml:space="preserve">    Daihatsu Motor Co Ltd</v>
      </c>
      <c r="B1045" t="str">
        <f>$B$381</f>
        <v>7262 JP Equity</v>
      </c>
      <c r="C1045" t="str">
        <f>$C$381</f>
        <v>RR480</v>
      </c>
      <c r="D1045" t="str">
        <f>$D$381</f>
        <v>EV_TO_MKT_CAP</v>
      </c>
      <c r="E1045" t="str">
        <f>$E$381</f>
        <v>Dynamic</v>
      </c>
      <c r="F1045" t="str">
        <f ca="1">_xll.BDH($B$381,$C$381,$B$675,$B$676,CONCATENATE("Per=",$B$673),"Dts=H","Dir=H",CONCATENATE("Points=",$B$674),"Sort=R","Days=A","Fill=B",CONCATENATE("FX=", $B$672) )</f>
        <v>#N/A Connection</v>
      </c>
      <c r="BN1045" t="str">
        <f>""</f>
        <v/>
      </c>
      <c r="BO1045" t="str">
        <f>""</f>
        <v/>
      </c>
      <c r="BP1045" t="str">
        <f>""</f>
        <v/>
      </c>
      <c r="BQ1045" t="str">
        <f>""</f>
        <v/>
      </c>
      <c r="BR1045" t="str">
        <f>""</f>
        <v/>
      </c>
      <c r="BS1045" t="str">
        <f>""</f>
        <v/>
      </c>
      <c r="BT1045" t="str">
        <f>""</f>
        <v/>
      </c>
      <c r="BU1045" t="str">
        <f>""</f>
        <v/>
      </c>
      <c r="BV1045" t="str">
        <f>""</f>
        <v/>
      </c>
      <c r="BW1045" t="str">
        <f>""</f>
        <v/>
      </c>
      <c r="BX1045" t="str">
        <f>""</f>
        <v/>
      </c>
      <c r="BY1045" t="str">
        <f>""</f>
        <v/>
      </c>
      <c r="BZ1045" t="str">
        <f>""</f>
        <v/>
      </c>
      <c r="CA1045" t="str">
        <f>""</f>
        <v/>
      </c>
      <c r="CB1045" t="str">
        <f>""</f>
        <v/>
      </c>
      <c r="CC1045" t="str">
        <f>""</f>
        <v/>
      </c>
      <c r="CD1045" t="str">
        <f>""</f>
        <v/>
      </c>
      <c r="CE1045" t="str">
        <f>""</f>
        <v/>
      </c>
      <c r="CF1045" t="str">
        <f>""</f>
        <v/>
      </c>
      <c r="CG1045" t="str">
        <f>""</f>
        <v/>
      </c>
      <c r="CH1045" t="str">
        <f>""</f>
        <v/>
      </c>
      <c r="CI1045" t="str">
        <f>""</f>
        <v/>
      </c>
      <c r="CJ1045" t="str">
        <f>""</f>
        <v/>
      </c>
      <c r="CK1045" t="str">
        <f>""</f>
        <v/>
      </c>
      <c r="CL1045" t="str">
        <f>""</f>
        <v/>
      </c>
      <c r="CM1045" t="str">
        <f>""</f>
        <v/>
      </c>
      <c r="CN1045" t="str">
        <f>""</f>
        <v/>
      </c>
      <c r="CO1045" t="str">
        <f>""</f>
        <v/>
      </c>
      <c r="CP1045" t="str">
        <f>""</f>
        <v/>
      </c>
      <c r="CQ1045" t="str">
        <f>""</f>
        <v/>
      </c>
      <c r="CR1045" t="str">
        <f>""</f>
        <v/>
      </c>
      <c r="CS1045" t="str">
        <f>""</f>
        <v/>
      </c>
      <c r="CT1045" t="str">
        <f>""</f>
        <v/>
      </c>
      <c r="CU1045" t="str">
        <f>""</f>
        <v/>
      </c>
      <c r="CV1045" t="str">
        <f>""</f>
        <v/>
      </c>
      <c r="CW1045" t="str">
        <f>""</f>
        <v/>
      </c>
      <c r="CX1045" t="str">
        <f>""</f>
        <v/>
      </c>
      <c r="CY1045" t="str">
        <f>""</f>
        <v/>
      </c>
      <c r="CZ1045" t="str">
        <f>""</f>
        <v/>
      </c>
      <c r="DA1045" t="str">
        <f>""</f>
        <v/>
      </c>
      <c r="DB1045" t="str">
        <f>""</f>
        <v/>
      </c>
      <c r="DC1045" t="str">
        <f>""</f>
        <v/>
      </c>
      <c r="DD1045" t="str">
        <f>""</f>
        <v/>
      </c>
      <c r="DE1045" t="str">
        <f>""</f>
        <v/>
      </c>
      <c r="DF1045" t="str">
        <f>""</f>
        <v/>
      </c>
      <c r="DG1045" t="str">
        <f>""</f>
        <v/>
      </c>
      <c r="DH1045" t="str">
        <f>""</f>
        <v/>
      </c>
      <c r="DI1045" t="str">
        <f>""</f>
        <v/>
      </c>
      <c r="DJ1045" t="str">
        <f>""</f>
        <v/>
      </c>
      <c r="DK1045" t="str">
        <f>""</f>
        <v/>
      </c>
      <c r="DL1045" t="str">
        <f>""</f>
        <v/>
      </c>
      <c r="DM1045" t="str">
        <f>""</f>
        <v/>
      </c>
      <c r="DN1045" t="str">
        <f>""</f>
        <v/>
      </c>
      <c r="DO1045" t="str">
        <f>""</f>
        <v/>
      </c>
      <c r="DP1045" t="str">
        <f>""</f>
        <v/>
      </c>
      <c r="DQ1045" t="str">
        <f>""</f>
        <v/>
      </c>
      <c r="DR1045" t="str">
        <f>""</f>
        <v/>
      </c>
      <c r="DS1045" t="str">
        <f>""</f>
        <v/>
      </c>
      <c r="DT1045" t="str">
        <f>""</f>
        <v/>
      </c>
      <c r="DU1045" t="str">
        <f>""</f>
        <v/>
      </c>
    </row>
    <row r="1046" spans="1:125" x14ac:dyDescent="0.25">
      <c r="A1046" t="str">
        <f>$A$382</f>
        <v xml:space="preserve">    Daimler AG</v>
      </c>
      <c r="B1046" t="str">
        <f>$B$382</f>
        <v>DAI GR Equity</v>
      </c>
      <c r="C1046" t="str">
        <f>$C$382</f>
        <v>RR480</v>
      </c>
      <c r="D1046" t="str">
        <f>$D$382</f>
        <v>EV_TO_MKT_CAP</v>
      </c>
      <c r="E1046" t="str">
        <f>$E$382</f>
        <v>Dynamic</v>
      </c>
      <c r="F1046" t="str">
        <f ca="1">_xll.BDH($B$382,$C$382,$B$675,$B$676,CONCATENATE("Per=",$B$673),"Dts=H","Dir=H",CONCATENATE("Points=",$B$674),"Sort=R","Days=A","Fill=B",CONCATENATE("FX=", $B$672) )</f>
        <v>#N/A Connection</v>
      </c>
      <c r="BN1046" t="str">
        <f>""</f>
        <v/>
      </c>
      <c r="BO1046" t="str">
        <f>""</f>
        <v/>
      </c>
      <c r="BP1046" t="str">
        <f>""</f>
        <v/>
      </c>
      <c r="BQ1046" t="str">
        <f>""</f>
        <v/>
      </c>
      <c r="BR1046" t="str">
        <f>""</f>
        <v/>
      </c>
      <c r="BS1046" t="str">
        <f>""</f>
        <v/>
      </c>
      <c r="BT1046" t="str">
        <f>""</f>
        <v/>
      </c>
      <c r="BU1046" t="str">
        <f>""</f>
        <v/>
      </c>
      <c r="BV1046" t="str">
        <f>""</f>
        <v/>
      </c>
      <c r="BW1046" t="str">
        <f>""</f>
        <v/>
      </c>
      <c r="BX1046" t="str">
        <f>""</f>
        <v/>
      </c>
      <c r="BY1046" t="str">
        <f>""</f>
        <v/>
      </c>
      <c r="BZ1046" t="str">
        <f>""</f>
        <v/>
      </c>
      <c r="CA1046" t="str">
        <f>""</f>
        <v/>
      </c>
      <c r="CB1046" t="str">
        <f>""</f>
        <v/>
      </c>
      <c r="CC1046" t="str">
        <f>""</f>
        <v/>
      </c>
      <c r="CD1046" t="str">
        <f>""</f>
        <v/>
      </c>
      <c r="CE1046" t="str">
        <f>""</f>
        <v/>
      </c>
      <c r="CF1046" t="str">
        <f>""</f>
        <v/>
      </c>
      <c r="CG1046" t="str">
        <f>""</f>
        <v/>
      </c>
      <c r="CH1046" t="str">
        <f>""</f>
        <v/>
      </c>
      <c r="CI1046" t="str">
        <f>""</f>
        <v/>
      </c>
      <c r="CJ1046" t="str">
        <f>""</f>
        <v/>
      </c>
      <c r="CK1046" t="str">
        <f>""</f>
        <v/>
      </c>
      <c r="CL1046" t="str">
        <f>""</f>
        <v/>
      </c>
      <c r="CM1046" t="str">
        <f>""</f>
        <v/>
      </c>
      <c r="CN1046" t="str">
        <f>""</f>
        <v/>
      </c>
      <c r="CO1046" t="str">
        <f>""</f>
        <v/>
      </c>
      <c r="CP1046" t="str">
        <f>""</f>
        <v/>
      </c>
      <c r="CQ1046" t="str">
        <f>""</f>
        <v/>
      </c>
      <c r="CR1046" t="str">
        <f>""</f>
        <v/>
      </c>
      <c r="CS1046" t="str">
        <f>""</f>
        <v/>
      </c>
      <c r="CT1046" t="str">
        <f>""</f>
        <v/>
      </c>
      <c r="CU1046" t="str">
        <f>""</f>
        <v/>
      </c>
      <c r="CV1046" t="str">
        <f>""</f>
        <v/>
      </c>
      <c r="CW1046" t="str">
        <f>""</f>
        <v/>
      </c>
      <c r="CX1046" t="str">
        <f>""</f>
        <v/>
      </c>
      <c r="CY1046" t="str">
        <f>""</f>
        <v/>
      </c>
      <c r="CZ1046" t="str">
        <f>""</f>
        <v/>
      </c>
      <c r="DA1046" t="str">
        <f>""</f>
        <v/>
      </c>
      <c r="DB1046" t="str">
        <f>""</f>
        <v/>
      </c>
      <c r="DC1046" t="str">
        <f>""</f>
        <v/>
      </c>
      <c r="DD1046" t="str">
        <f>""</f>
        <v/>
      </c>
      <c r="DE1046" t="str">
        <f>""</f>
        <v/>
      </c>
      <c r="DF1046" t="str">
        <f>""</f>
        <v/>
      </c>
      <c r="DG1046" t="str">
        <f>""</f>
        <v/>
      </c>
      <c r="DH1046" t="str">
        <f>""</f>
        <v/>
      </c>
      <c r="DI1046" t="str">
        <f>""</f>
        <v/>
      </c>
      <c r="DJ1046" t="str">
        <f>""</f>
        <v/>
      </c>
      <c r="DK1046" t="str">
        <f>""</f>
        <v/>
      </c>
      <c r="DL1046" t="str">
        <f>""</f>
        <v/>
      </c>
      <c r="DM1046" t="str">
        <f>""</f>
        <v/>
      </c>
      <c r="DN1046" t="str">
        <f>""</f>
        <v/>
      </c>
      <c r="DO1046" t="str">
        <f>""</f>
        <v/>
      </c>
      <c r="DP1046" t="str">
        <f>""</f>
        <v/>
      </c>
      <c r="DQ1046" t="str">
        <f>""</f>
        <v/>
      </c>
      <c r="DR1046" t="str">
        <f>""</f>
        <v/>
      </c>
      <c r="DS1046" t="str">
        <f>""</f>
        <v/>
      </c>
      <c r="DT1046" t="str">
        <f>""</f>
        <v/>
      </c>
      <c r="DU1046" t="str">
        <f>""</f>
        <v/>
      </c>
    </row>
    <row r="1047" spans="1:125" x14ac:dyDescent="0.25">
      <c r="A1047" t="str">
        <f>$A$383</f>
        <v xml:space="preserve">    Dongfeng Motor Group Co Ltd</v>
      </c>
      <c r="B1047" t="str">
        <f>$B$383</f>
        <v>489 HK Equity</v>
      </c>
      <c r="C1047" t="str">
        <f>$C$383</f>
        <v>RR480</v>
      </c>
      <c r="D1047" t="str">
        <f>$D$383</f>
        <v>EV_TO_MKT_CAP</v>
      </c>
      <c r="E1047" t="str">
        <f>$E$383</f>
        <v>Dynamic</v>
      </c>
      <c r="F1047" t="str">
        <f ca="1">_xll.BDH($B$383,$C$383,$B$675,$B$676,CONCATENATE("Per=",$B$673),"Dts=H","Dir=H",CONCATENATE("Points=",$B$674),"Sort=R","Days=A","Fill=B",CONCATENATE("FX=", $B$672) )</f>
        <v>#N/A Connection</v>
      </c>
      <c r="BN1047" t="str">
        <f>""</f>
        <v/>
      </c>
      <c r="BO1047" t="str">
        <f>""</f>
        <v/>
      </c>
      <c r="BP1047" t="str">
        <f>""</f>
        <v/>
      </c>
      <c r="BQ1047" t="str">
        <f>""</f>
        <v/>
      </c>
      <c r="BR1047" t="str">
        <f>""</f>
        <v/>
      </c>
      <c r="BS1047" t="str">
        <f>""</f>
        <v/>
      </c>
      <c r="BT1047" t="str">
        <f>""</f>
        <v/>
      </c>
      <c r="BU1047" t="str">
        <f>""</f>
        <v/>
      </c>
      <c r="BV1047" t="str">
        <f>""</f>
        <v/>
      </c>
      <c r="BW1047" t="str">
        <f>""</f>
        <v/>
      </c>
      <c r="BX1047" t="str">
        <f>""</f>
        <v/>
      </c>
      <c r="BY1047" t="str">
        <f>""</f>
        <v/>
      </c>
      <c r="BZ1047" t="str">
        <f>""</f>
        <v/>
      </c>
      <c r="CA1047" t="str">
        <f>""</f>
        <v/>
      </c>
      <c r="CB1047" t="str">
        <f>""</f>
        <v/>
      </c>
      <c r="CC1047" t="str">
        <f>""</f>
        <v/>
      </c>
      <c r="CD1047" t="str">
        <f>""</f>
        <v/>
      </c>
      <c r="CE1047" t="str">
        <f>""</f>
        <v/>
      </c>
      <c r="CF1047" t="str">
        <f>""</f>
        <v/>
      </c>
      <c r="CG1047" t="str">
        <f>""</f>
        <v/>
      </c>
      <c r="CH1047" t="str">
        <f>""</f>
        <v/>
      </c>
      <c r="CI1047" t="str">
        <f>""</f>
        <v/>
      </c>
      <c r="CJ1047" t="str">
        <f>""</f>
        <v/>
      </c>
      <c r="CK1047" t="str">
        <f>""</f>
        <v/>
      </c>
      <c r="CL1047" t="str">
        <f>""</f>
        <v/>
      </c>
      <c r="CM1047" t="str">
        <f>""</f>
        <v/>
      </c>
      <c r="CN1047" t="str">
        <f>""</f>
        <v/>
      </c>
      <c r="CO1047" t="str">
        <f>""</f>
        <v/>
      </c>
      <c r="CP1047" t="str">
        <f>""</f>
        <v/>
      </c>
      <c r="CQ1047" t="str">
        <f>""</f>
        <v/>
      </c>
      <c r="CR1047" t="str">
        <f>""</f>
        <v/>
      </c>
      <c r="CS1047" t="str">
        <f>""</f>
        <v/>
      </c>
      <c r="CT1047" t="str">
        <f>""</f>
        <v/>
      </c>
      <c r="CU1047" t="str">
        <f>""</f>
        <v/>
      </c>
      <c r="CV1047" t="str">
        <f>""</f>
        <v/>
      </c>
      <c r="CW1047" t="str">
        <f>""</f>
        <v/>
      </c>
      <c r="CX1047" t="str">
        <f>""</f>
        <v/>
      </c>
      <c r="CY1047" t="str">
        <f>""</f>
        <v/>
      </c>
      <c r="CZ1047" t="str">
        <f>""</f>
        <v/>
      </c>
      <c r="DA1047" t="str">
        <f>""</f>
        <v/>
      </c>
      <c r="DB1047" t="str">
        <f>""</f>
        <v/>
      </c>
      <c r="DC1047" t="str">
        <f>""</f>
        <v/>
      </c>
      <c r="DD1047" t="str">
        <f>""</f>
        <v/>
      </c>
      <c r="DE1047" t="str">
        <f>""</f>
        <v/>
      </c>
      <c r="DF1047" t="str">
        <f>""</f>
        <v/>
      </c>
      <c r="DG1047" t="str">
        <f>""</f>
        <v/>
      </c>
      <c r="DH1047" t="str">
        <f>""</f>
        <v/>
      </c>
      <c r="DI1047" t="str">
        <f>""</f>
        <v/>
      </c>
      <c r="DJ1047" t="str">
        <f>""</f>
        <v/>
      </c>
      <c r="DK1047" t="str">
        <f>""</f>
        <v/>
      </c>
      <c r="DL1047" t="str">
        <f>""</f>
        <v/>
      </c>
      <c r="DM1047" t="str">
        <f>""</f>
        <v/>
      </c>
      <c r="DN1047" t="str">
        <f>""</f>
        <v/>
      </c>
      <c r="DO1047" t="str">
        <f>""</f>
        <v/>
      </c>
      <c r="DP1047" t="str">
        <f>""</f>
        <v/>
      </c>
      <c r="DQ1047" t="str">
        <f>""</f>
        <v/>
      </c>
      <c r="DR1047" t="str">
        <f>""</f>
        <v/>
      </c>
      <c r="DS1047" t="str">
        <f>""</f>
        <v/>
      </c>
      <c r="DT1047" t="str">
        <f>""</f>
        <v/>
      </c>
      <c r="DU1047" t="str">
        <f>""</f>
        <v/>
      </c>
    </row>
    <row r="1048" spans="1:125" x14ac:dyDescent="0.25">
      <c r="A1048" t="str">
        <f>$A$384</f>
        <v xml:space="preserve">    DRB-Hicom Bhd</v>
      </c>
      <c r="B1048" t="str">
        <f>$B$384</f>
        <v>DRB MK Equity</v>
      </c>
      <c r="C1048" t="str">
        <f>$C$384</f>
        <v>RR480</v>
      </c>
      <c r="D1048" t="str">
        <f>$D$384</f>
        <v>EV_TO_MKT_CAP</v>
      </c>
      <c r="E1048" t="str">
        <f>$E$384</f>
        <v>Dynamic</v>
      </c>
      <c r="F1048" t="str">
        <f ca="1">_xll.BDH($B$384,$C$384,$B$675,$B$676,CONCATENATE("Per=",$B$673),"Dts=H","Dir=H",CONCATENATE("Points=",$B$674),"Sort=R","Days=A","Fill=B",CONCATENATE("FX=", $B$672) )</f>
        <v>#N/A Connection</v>
      </c>
      <c r="BN1048" t="str">
        <f>""</f>
        <v/>
      </c>
      <c r="BO1048" t="str">
        <f>""</f>
        <v/>
      </c>
      <c r="BP1048" t="str">
        <f>""</f>
        <v/>
      </c>
      <c r="BQ1048" t="str">
        <f>""</f>
        <v/>
      </c>
      <c r="BR1048" t="str">
        <f>""</f>
        <v/>
      </c>
      <c r="BS1048" t="str">
        <f>""</f>
        <v/>
      </c>
      <c r="BT1048" t="str">
        <f>""</f>
        <v/>
      </c>
      <c r="BU1048" t="str">
        <f>""</f>
        <v/>
      </c>
      <c r="BV1048" t="str">
        <f>""</f>
        <v/>
      </c>
      <c r="BW1048" t="str">
        <f>""</f>
        <v/>
      </c>
      <c r="BX1048" t="str">
        <f>""</f>
        <v/>
      </c>
      <c r="BY1048" t="str">
        <f>""</f>
        <v/>
      </c>
      <c r="BZ1048" t="str">
        <f>""</f>
        <v/>
      </c>
      <c r="CA1048" t="str">
        <f>""</f>
        <v/>
      </c>
      <c r="CB1048" t="str">
        <f>""</f>
        <v/>
      </c>
      <c r="CC1048" t="str">
        <f>""</f>
        <v/>
      </c>
      <c r="CD1048" t="str">
        <f>""</f>
        <v/>
      </c>
      <c r="CE1048" t="str">
        <f>""</f>
        <v/>
      </c>
      <c r="CF1048" t="str">
        <f>""</f>
        <v/>
      </c>
      <c r="CG1048" t="str">
        <f>""</f>
        <v/>
      </c>
      <c r="CH1048" t="str">
        <f>""</f>
        <v/>
      </c>
      <c r="CI1048" t="str">
        <f>""</f>
        <v/>
      </c>
      <c r="CJ1048" t="str">
        <f>""</f>
        <v/>
      </c>
      <c r="CK1048" t="str">
        <f>""</f>
        <v/>
      </c>
      <c r="CL1048" t="str">
        <f>""</f>
        <v/>
      </c>
      <c r="CM1048" t="str">
        <f>""</f>
        <v/>
      </c>
      <c r="CN1048" t="str">
        <f>""</f>
        <v/>
      </c>
      <c r="CO1048" t="str">
        <f>""</f>
        <v/>
      </c>
      <c r="CP1048" t="str">
        <f>""</f>
        <v/>
      </c>
      <c r="CQ1048" t="str">
        <f>""</f>
        <v/>
      </c>
      <c r="CR1048" t="str">
        <f>""</f>
        <v/>
      </c>
      <c r="CS1048" t="str">
        <f>""</f>
        <v/>
      </c>
      <c r="CT1048" t="str">
        <f>""</f>
        <v/>
      </c>
      <c r="CU1048" t="str">
        <f>""</f>
        <v/>
      </c>
      <c r="CV1048" t="str">
        <f>""</f>
        <v/>
      </c>
      <c r="CW1048" t="str">
        <f>""</f>
        <v/>
      </c>
      <c r="CX1048" t="str">
        <f>""</f>
        <v/>
      </c>
      <c r="CY1048" t="str">
        <f>""</f>
        <v/>
      </c>
      <c r="CZ1048" t="str">
        <f>""</f>
        <v/>
      </c>
      <c r="DA1048" t="str">
        <f>""</f>
        <v/>
      </c>
      <c r="DB1048" t="str">
        <f>""</f>
        <v/>
      </c>
      <c r="DC1048" t="str">
        <f>""</f>
        <v/>
      </c>
      <c r="DD1048" t="str">
        <f>""</f>
        <v/>
      </c>
      <c r="DE1048" t="str">
        <f>""</f>
        <v/>
      </c>
      <c r="DF1048" t="str">
        <f>""</f>
        <v/>
      </c>
      <c r="DG1048" t="str">
        <f>""</f>
        <v/>
      </c>
      <c r="DH1048" t="str">
        <f>""</f>
        <v/>
      </c>
      <c r="DI1048" t="str">
        <f>""</f>
        <v/>
      </c>
      <c r="DJ1048" t="str">
        <f>""</f>
        <v/>
      </c>
      <c r="DK1048" t="str">
        <f>""</f>
        <v/>
      </c>
      <c r="DL1048" t="str">
        <f>""</f>
        <v/>
      </c>
      <c r="DM1048" t="str">
        <f>""</f>
        <v/>
      </c>
      <c r="DN1048" t="str">
        <f>""</f>
        <v/>
      </c>
      <c r="DO1048" t="str">
        <f>""</f>
        <v/>
      </c>
      <c r="DP1048" t="str">
        <f>""</f>
        <v/>
      </c>
      <c r="DQ1048" t="str">
        <f>""</f>
        <v/>
      </c>
      <c r="DR1048" t="str">
        <f>""</f>
        <v/>
      </c>
      <c r="DS1048" t="str">
        <f>""</f>
        <v/>
      </c>
      <c r="DT1048" t="str">
        <f>""</f>
        <v/>
      </c>
      <c r="DU1048" t="str">
        <f>""</f>
        <v/>
      </c>
    </row>
    <row r="1049" spans="1:125" x14ac:dyDescent="0.25">
      <c r="A1049" t="str">
        <f>$A$385</f>
        <v xml:space="preserve">    FAW CAR Co Ltd</v>
      </c>
      <c r="B1049" t="str">
        <f>$B$385</f>
        <v>000800 CH Equity</v>
      </c>
      <c r="C1049" t="str">
        <f>$C$385</f>
        <v>RR480</v>
      </c>
      <c r="D1049" t="str">
        <f>$D$385</f>
        <v>EV_TO_MKT_CAP</v>
      </c>
      <c r="E1049" t="str">
        <f>$E$385</f>
        <v>Dynamic</v>
      </c>
      <c r="F1049" t="str">
        <f ca="1">_xll.BDH($B$385,$C$385,$B$675,$B$676,CONCATENATE("Per=",$B$673),"Dts=H","Dir=H",CONCATENATE("Points=",$B$674),"Sort=R","Days=A","Fill=B",CONCATENATE("FX=", $B$672) )</f>
        <v>#N/A Connection</v>
      </c>
      <c r="BN1049" t="str">
        <f>""</f>
        <v/>
      </c>
      <c r="BO1049" t="str">
        <f>""</f>
        <v/>
      </c>
      <c r="BP1049" t="str">
        <f>""</f>
        <v/>
      </c>
      <c r="BQ1049" t="str">
        <f>""</f>
        <v/>
      </c>
      <c r="BR1049" t="str">
        <f>""</f>
        <v/>
      </c>
      <c r="BS1049" t="str">
        <f>""</f>
        <v/>
      </c>
      <c r="BT1049" t="str">
        <f>""</f>
        <v/>
      </c>
      <c r="BU1049" t="str">
        <f>""</f>
        <v/>
      </c>
      <c r="BV1049" t="str">
        <f>""</f>
        <v/>
      </c>
      <c r="BW1049" t="str">
        <f>""</f>
        <v/>
      </c>
      <c r="BX1049" t="str">
        <f>""</f>
        <v/>
      </c>
      <c r="BY1049" t="str">
        <f>""</f>
        <v/>
      </c>
      <c r="BZ1049" t="str">
        <f>""</f>
        <v/>
      </c>
      <c r="CA1049" t="str">
        <f>""</f>
        <v/>
      </c>
      <c r="CB1049" t="str">
        <f>""</f>
        <v/>
      </c>
      <c r="CC1049" t="str">
        <f>""</f>
        <v/>
      </c>
      <c r="CD1049" t="str">
        <f>""</f>
        <v/>
      </c>
      <c r="CE1049" t="str">
        <f>""</f>
        <v/>
      </c>
      <c r="CF1049" t="str">
        <f>""</f>
        <v/>
      </c>
      <c r="CG1049" t="str">
        <f>""</f>
        <v/>
      </c>
      <c r="CH1049" t="str">
        <f>""</f>
        <v/>
      </c>
      <c r="CI1049" t="str">
        <f>""</f>
        <v/>
      </c>
      <c r="CJ1049" t="str">
        <f>""</f>
        <v/>
      </c>
      <c r="CK1049" t="str">
        <f>""</f>
        <v/>
      </c>
      <c r="CL1049" t="str">
        <f>""</f>
        <v/>
      </c>
      <c r="CM1049" t="str">
        <f>""</f>
        <v/>
      </c>
      <c r="CN1049" t="str">
        <f>""</f>
        <v/>
      </c>
      <c r="CO1049" t="str">
        <f>""</f>
        <v/>
      </c>
      <c r="CP1049" t="str">
        <f>""</f>
        <v/>
      </c>
      <c r="CQ1049" t="str">
        <f>""</f>
        <v/>
      </c>
      <c r="CR1049" t="str">
        <f>""</f>
        <v/>
      </c>
      <c r="CS1049" t="str">
        <f>""</f>
        <v/>
      </c>
      <c r="CT1049" t="str">
        <f>""</f>
        <v/>
      </c>
      <c r="CU1049" t="str">
        <f>""</f>
        <v/>
      </c>
      <c r="CV1049" t="str">
        <f>""</f>
        <v/>
      </c>
      <c r="CW1049" t="str">
        <f>""</f>
        <v/>
      </c>
      <c r="CX1049" t="str">
        <f>""</f>
        <v/>
      </c>
      <c r="CY1049" t="str">
        <f>""</f>
        <v/>
      </c>
      <c r="CZ1049" t="str">
        <f>""</f>
        <v/>
      </c>
      <c r="DA1049" t="str">
        <f>""</f>
        <v/>
      </c>
      <c r="DB1049" t="str">
        <f>""</f>
        <v/>
      </c>
      <c r="DC1049" t="str">
        <f>""</f>
        <v/>
      </c>
      <c r="DD1049" t="str">
        <f>""</f>
        <v/>
      </c>
      <c r="DE1049" t="str">
        <f>""</f>
        <v/>
      </c>
      <c r="DF1049" t="str">
        <f>""</f>
        <v/>
      </c>
      <c r="DG1049" t="str">
        <f>""</f>
        <v/>
      </c>
      <c r="DH1049" t="str">
        <f>""</f>
        <v/>
      </c>
      <c r="DI1049" t="str">
        <f>""</f>
        <v/>
      </c>
      <c r="DJ1049" t="str">
        <f>""</f>
        <v/>
      </c>
      <c r="DK1049" t="str">
        <f>""</f>
        <v/>
      </c>
      <c r="DL1049" t="str">
        <f>""</f>
        <v/>
      </c>
      <c r="DM1049" t="str">
        <f>""</f>
        <v/>
      </c>
      <c r="DN1049" t="str">
        <f>""</f>
        <v/>
      </c>
      <c r="DO1049" t="str">
        <f>""</f>
        <v/>
      </c>
      <c r="DP1049" t="str">
        <f>""</f>
        <v/>
      </c>
      <c r="DQ1049" t="str">
        <f>""</f>
        <v/>
      </c>
      <c r="DR1049" t="str">
        <f>""</f>
        <v/>
      </c>
      <c r="DS1049" t="str">
        <f>""</f>
        <v/>
      </c>
      <c r="DT1049" t="str">
        <f>""</f>
        <v/>
      </c>
      <c r="DU1049" t="str">
        <f>""</f>
        <v/>
      </c>
    </row>
    <row r="1050" spans="1:125" x14ac:dyDescent="0.25">
      <c r="A1050" t="str">
        <f>$A$386</f>
        <v xml:space="preserve">    Fiat Chrysler Automobiles NV</v>
      </c>
      <c r="B1050" t="str">
        <f>$B$386</f>
        <v>FCAU US Equity</v>
      </c>
      <c r="C1050" t="str">
        <f>$C$386</f>
        <v>RR480</v>
      </c>
      <c r="D1050" t="str">
        <f>$D$386</f>
        <v>EV_TO_MKT_CAP</v>
      </c>
      <c r="E1050" t="str">
        <f>$E$386</f>
        <v>Dynamic</v>
      </c>
      <c r="F1050" t="str">
        <f ca="1">_xll.BDH($B$386,$C$386,$B$675,$B$676,CONCATENATE("Per=",$B$673),"Dts=H","Dir=H",CONCATENATE("Points=",$B$674),"Sort=R","Days=A","Fill=B",CONCATENATE("FX=", $B$672) )</f>
        <v>#N/A Connection</v>
      </c>
      <c r="BN1050" t="str">
        <f>""</f>
        <v/>
      </c>
      <c r="BO1050" t="str">
        <f>""</f>
        <v/>
      </c>
      <c r="BP1050" t="str">
        <f>""</f>
        <v/>
      </c>
      <c r="BQ1050" t="str">
        <f>""</f>
        <v/>
      </c>
      <c r="BR1050" t="str">
        <f>""</f>
        <v/>
      </c>
      <c r="BS1050" t="str">
        <f>""</f>
        <v/>
      </c>
      <c r="BT1050" t="str">
        <f>""</f>
        <v/>
      </c>
      <c r="BU1050" t="str">
        <f>""</f>
        <v/>
      </c>
      <c r="BV1050" t="str">
        <f>""</f>
        <v/>
      </c>
      <c r="BW1050" t="str">
        <f>""</f>
        <v/>
      </c>
      <c r="BX1050" t="str">
        <f>""</f>
        <v/>
      </c>
      <c r="BY1050" t="str">
        <f>""</f>
        <v/>
      </c>
      <c r="BZ1050" t="str">
        <f>""</f>
        <v/>
      </c>
      <c r="CA1050" t="str">
        <f>""</f>
        <v/>
      </c>
      <c r="CB1050" t="str">
        <f>""</f>
        <v/>
      </c>
      <c r="CC1050" t="str">
        <f>""</f>
        <v/>
      </c>
      <c r="CD1050" t="str">
        <f>""</f>
        <v/>
      </c>
      <c r="CE1050" t="str">
        <f>""</f>
        <v/>
      </c>
      <c r="CF1050" t="str">
        <f>""</f>
        <v/>
      </c>
      <c r="CG1050" t="str">
        <f>""</f>
        <v/>
      </c>
      <c r="CH1050" t="str">
        <f>""</f>
        <v/>
      </c>
      <c r="CI1050" t="str">
        <f>""</f>
        <v/>
      </c>
      <c r="CJ1050" t="str">
        <f>""</f>
        <v/>
      </c>
      <c r="CK1050" t="str">
        <f>""</f>
        <v/>
      </c>
      <c r="CL1050" t="str">
        <f>""</f>
        <v/>
      </c>
      <c r="CM1050" t="str">
        <f>""</f>
        <v/>
      </c>
      <c r="CN1050" t="str">
        <f>""</f>
        <v/>
      </c>
      <c r="CO1050" t="str">
        <f>""</f>
        <v/>
      </c>
      <c r="CP1050" t="str">
        <f>""</f>
        <v/>
      </c>
      <c r="CQ1050" t="str">
        <f>""</f>
        <v/>
      </c>
      <c r="CR1050" t="str">
        <f>""</f>
        <v/>
      </c>
      <c r="CS1050" t="str">
        <f>""</f>
        <v/>
      </c>
      <c r="CT1050" t="str">
        <f>""</f>
        <v/>
      </c>
      <c r="CU1050" t="str">
        <f>""</f>
        <v/>
      </c>
      <c r="CV1050" t="str">
        <f>""</f>
        <v/>
      </c>
      <c r="CW1050" t="str">
        <f>""</f>
        <v/>
      </c>
      <c r="CX1050" t="str">
        <f>""</f>
        <v/>
      </c>
      <c r="CY1050" t="str">
        <f>""</f>
        <v/>
      </c>
      <c r="CZ1050" t="str">
        <f>""</f>
        <v/>
      </c>
      <c r="DA1050" t="str">
        <f>""</f>
        <v/>
      </c>
      <c r="DB1050" t="str">
        <f>""</f>
        <v/>
      </c>
      <c r="DC1050" t="str">
        <f>""</f>
        <v/>
      </c>
      <c r="DD1050" t="str">
        <f>""</f>
        <v/>
      </c>
      <c r="DE1050" t="str">
        <f>""</f>
        <v/>
      </c>
      <c r="DF1050" t="str">
        <f>""</f>
        <v/>
      </c>
      <c r="DG1050" t="str">
        <f>""</f>
        <v/>
      </c>
      <c r="DH1050" t="str">
        <f>""</f>
        <v/>
      </c>
      <c r="DI1050" t="str">
        <f>""</f>
        <v/>
      </c>
      <c r="DJ1050" t="str">
        <f>""</f>
        <v/>
      </c>
      <c r="DK1050" t="str">
        <f>""</f>
        <v/>
      </c>
      <c r="DL1050" t="str">
        <f>""</f>
        <v/>
      </c>
      <c r="DM1050" t="str">
        <f>""</f>
        <v/>
      </c>
      <c r="DN1050" t="str">
        <f>""</f>
        <v/>
      </c>
      <c r="DO1050" t="str">
        <f>""</f>
        <v/>
      </c>
      <c r="DP1050" t="str">
        <f>""</f>
        <v/>
      </c>
      <c r="DQ1050" t="str">
        <f>""</f>
        <v/>
      </c>
      <c r="DR1050" t="str">
        <f>""</f>
        <v/>
      </c>
      <c r="DS1050" t="str">
        <f>""</f>
        <v/>
      </c>
      <c r="DT1050" t="str">
        <f>""</f>
        <v/>
      </c>
      <c r="DU1050" t="str">
        <f>""</f>
        <v/>
      </c>
    </row>
    <row r="1051" spans="1:125" x14ac:dyDescent="0.25">
      <c r="A1051" t="str">
        <f>$A$387</f>
        <v xml:space="preserve">    Ford Motor Co</v>
      </c>
      <c r="B1051" t="str">
        <f>$B$387</f>
        <v>F US Equity</v>
      </c>
      <c r="C1051" t="str">
        <f>$C$387</f>
        <v>RR480</v>
      </c>
      <c r="D1051" t="str">
        <f>$D$387</f>
        <v>EV_TO_MKT_CAP</v>
      </c>
      <c r="E1051" t="str">
        <f>$E$387</f>
        <v>Dynamic</v>
      </c>
      <c r="F1051" t="str">
        <f ca="1">_xll.BDH($B$387,$C$387,$B$675,$B$676,CONCATENATE("Per=",$B$673),"Dts=H","Dir=H",CONCATENATE("Points=",$B$674),"Sort=R","Days=A","Fill=B",CONCATENATE("FX=", $B$672) )</f>
        <v>#N/A Connection</v>
      </c>
      <c r="BN1051" t="str">
        <f>""</f>
        <v/>
      </c>
      <c r="BO1051" t="str">
        <f>""</f>
        <v/>
      </c>
      <c r="BP1051" t="str">
        <f>""</f>
        <v/>
      </c>
      <c r="BQ1051" t="str">
        <f>""</f>
        <v/>
      </c>
      <c r="BR1051" t="str">
        <f>""</f>
        <v/>
      </c>
      <c r="BS1051" t="str">
        <f>""</f>
        <v/>
      </c>
      <c r="BT1051" t="str">
        <f>""</f>
        <v/>
      </c>
      <c r="BU1051" t="str">
        <f>""</f>
        <v/>
      </c>
      <c r="BV1051" t="str">
        <f>""</f>
        <v/>
      </c>
      <c r="BW1051" t="str">
        <f>""</f>
        <v/>
      </c>
      <c r="BX1051" t="str">
        <f>""</f>
        <v/>
      </c>
      <c r="BY1051" t="str">
        <f>""</f>
        <v/>
      </c>
      <c r="BZ1051" t="str">
        <f>""</f>
        <v/>
      </c>
      <c r="CA1051" t="str">
        <f>""</f>
        <v/>
      </c>
      <c r="CB1051" t="str">
        <f>""</f>
        <v/>
      </c>
      <c r="CC1051" t="str">
        <f>""</f>
        <v/>
      </c>
      <c r="CD1051" t="str">
        <f>""</f>
        <v/>
      </c>
      <c r="CE1051" t="str">
        <f>""</f>
        <v/>
      </c>
      <c r="CF1051" t="str">
        <f>""</f>
        <v/>
      </c>
      <c r="CG1051" t="str">
        <f>""</f>
        <v/>
      </c>
      <c r="CH1051" t="str">
        <f>""</f>
        <v/>
      </c>
      <c r="CI1051" t="str">
        <f>""</f>
        <v/>
      </c>
      <c r="CJ1051" t="str">
        <f>""</f>
        <v/>
      </c>
      <c r="CK1051" t="str">
        <f>""</f>
        <v/>
      </c>
      <c r="CL1051" t="str">
        <f>""</f>
        <v/>
      </c>
      <c r="CM1051" t="str">
        <f>""</f>
        <v/>
      </c>
      <c r="CN1051" t="str">
        <f>""</f>
        <v/>
      </c>
      <c r="CO1051" t="str">
        <f>""</f>
        <v/>
      </c>
      <c r="CP1051" t="str">
        <f>""</f>
        <v/>
      </c>
      <c r="CQ1051" t="str">
        <f>""</f>
        <v/>
      </c>
      <c r="CR1051" t="str">
        <f>""</f>
        <v/>
      </c>
      <c r="CS1051" t="str">
        <f>""</f>
        <v/>
      </c>
      <c r="CT1051" t="str">
        <f>""</f>
        <v/>
      </c>
      <c r="CU1051" t="str">
        <f>""</f>
        <v/>
      </c>
      <c r="CV1051" t="str">
        <f>""</f>
        <v/>
      </c>
      <c r="CW1051" t="str">
        <f>""</f>
        <v/>
      </c>
      <c r="CX1051" t="str">
        <f>""</f>
        <v/>
      </c>
      <c r="CY1051" t="str">
        <f>""</f>
        <v/>
      </c>
      <c r="CZ1051" t="str">
        <f>""</f>
        <v/>
      </c>
      <c r="DA1051" t="str">
        <f>""</f>
        <v/>
      </c>
      <c r="DB1051" t="str">
        <f>""</f>
        <v/>
      </c>
      <c r="DC1051" t="str">
        <f>""</f>
        <v/>
      </c>
      <c r="DD1051" t="str">
        <f>""</f>
        <v/>
      </c>
      <c r="DE1051" t="str">
        <f>""</f>
        <v/>
      </c>
      <c r="DF1051" t="str">
        <f>""</f>
        <v/>
      </c>
      <c r="DG1051" t="str">
        <f>""</f>
        <v/>
      </c>
      <c r="DH1051" t="str">
        <f>""</f>
        <v/>
      </c>
      <c r="DI1051" t="str">
        <f>""</f>
        <v/>
      </c>
      <c r="DJ1051" t="str">
        <f>""</f>
        <v/>
      </c>
      <c r="DK1051" t="str">
        <f>""</f>
        <v/>
      </c>
      <c r="DL1051" t="str">
        <f>""</f>
        <v/>
      </c>
      <c r="DM1051" t="str">
        <f>""</f>
        <v/>
      </c>
      <c r="DN1051" t="str">
        <f>""</f>
        <v/>
      </c>
      <c r="DO1051" t="str">
        <f>""</f>
        <v/>
      </c>
      <c r="DP1051" t="str">
        <f>""</f>
        <v/>
      </c>
      <c r="DQ1051" t="str">
        <f>""</f>
        <v/>
      </c>
      <c r="DR1051" t="str">
        <f>""</f>
        <v/>
      </c>
      <c r="DS1051" t="str">
        <f>""</f>
        <v/>
      </c>
      <c r="DT1051" t="str">
        <f>""</f>
        <v/>
      </c>
      <c r="DU1051" t="str">
        <f>""</f>
        <v/>
      </c>
    </row>
    <row r="1052" spans="1:125" x14ac:dyDescent="0.25">
      <c r="A1052" t="str">
        <f>$A$388</f>
        <v xml:space="preserve">    Ford Otomotiv Sanayi AS</v>
      </c>
      <c r="B1052" t="str">
        <f>$B$388</f>
        <v>FROTOTRY EO Equity</v>
      </c>
      <c r="C1052" t="str">
        <f>$C$388</f>
        <v>RR480</v>
      </c>
      <c r="D1052" t="str">
        <f>$D$388</f>
        <v>EV_TO_MKT_CAP</v>
      </c>
      <c r="E1052" t="str">
        <f>$E$388</f>
        <v>Dynamic</v>
      </c>
      <c r="F1052" t="str">
        <f ca="1">_xll.BDH($B$388,$C$388,$B$675,$B$676,CONCATENATE("Per=",$B$673),"Dts=H","Dir=H",CONCATENATE("Points=",$B$674),"Sort=R","Days=A","Fill=B",CONCATENATE("FX=", $B$672) )</f>
        <v>#N/A Connection</v>
      </c>
      <c r="BN1052" t="str">
        <f>""</f>
        <v/>
      </c>
      <c r="BO1052" t="str">
        <f>""</f>
        <v/>
      </c>
      <c r="BP1052" t="str">
        <f>""</f>
        <v/>
      </c>
      <c r="BQ1052" t="str">
        <f>""</f>
        <v/>
      </c>
      <c r="BR1052" t="str">
        <f>""</f>
        <v/>
      </c>
      <c r="BS1052" t="str">
        <f>""</f>
        <v/>
      </c>
      <c r="BT1052" t="str">
        <f>""</f>
        <v/>
      </c>
      <c r="BU1052" t="str">
        <f>""</f>
        <v/>
      </c>
      <c r="BV1052" t="str">
        <f>""</f>
        <v/>
      </c>
      <c r="BW1052" t="str">
        <f>""</f>
        <v/>
      </c>
      <c r="BX1052" t="str">
        <f>""</f>
        <v/>
      </c>
      <c r="BY1052" t="str">
        <f>""</f>
        <v/>
      </c>
      <c r="BZ1052" t="str">
        <f>""</f>
        <v/>
      </c>
      <c r="CA1052" t="str">
        <f>""</f>
        <v/>
      </c>
      <c r="CB1052" t="str">
        <f>""</f>
        <v/>
      </c>
      <c r="CC1052" t="str">
        <f>""</f>
        <v/>
      </c>
      <c r="CD1052" t="str">
        <f>""</f>
        <v/>
      </c>
      <c r="CE1052" t="str">
        <f>""</f>
        <v/>
      </c>
      <c r="CF1052" t="str">
        <f>""</f>
        <v/>
      </c>
      <c r="CG1052" t="str">
        <f>""</f>
        <v/>
      </c>
      <c r="CH1052" t="str">
        <f>""</f>
        <v/>
      </c>
      <c r="CI1052" t="str">
        <f>""</f>
        <v/>
      </c>
      <c r="CJ1052" t="str">
        <f>""</f>
        <v/>
      </c>
      <c r="CK1052" t="str">
        <f>""</f>
        <v/>
      </c>
      <c r="CL1052" t="str">
        <f>""</f>
        <v/>
      </c>
      <c r="CM1052" t="str">
        <f>""</f>
        <v/>
      </c>
      <c r="CN1052" t="str">
        <f>""</f>
        <v/>
      </c>
      <c r="CO1052" t="str">
        <f>""</f>
        <v/>
      </c>
      <c r="CP1052" t="str">
        <f>""</f>
        <v/>
      </c>
      <c r="CQ1052" t="str">
        <f>""</f>
        <v/>
      </c>
      <c r="CR1052" t="str">
        <f>""</f>
        <v/>
      </c>
      <c r="CS1052" t="str">
        <f>""</f>
        <v/>
      </c>
      <c r="CT1052" t="str">
        <f>""</f>
        <v/>
      </c>
      <c r="CU1052" t="str">
        <f>""</f>
        <v/>
      </c>
      <c r="CV1052" t="str">
        <f>""</f>
        <v/>
      </c>
      <c r="CW1052" t="str">
        <f>""</f>
        <v/>
      </c>
      <c r="CX1052" t="str">
        <f>""</f>
        <v/>
      </c>
      <c r="CY1052" t="str">
        <f>""</f>
        <v/>
      </c>
      <c r="CZ1052" t="str">
        <f>""</f>
        <v/>
      </c>
      <c r="DA1052" t="str">
        <f>""</f>
        <v/>
      </c>
      <c r="DB1052" t="str">
        <f>""</f>
        <v/>
      </c>
      <c r="DC1052" t="str">
        <f>""</f>
        <v/>
      </c>
      <c r="DD1052" t="str">
        <f>""</f>
        <v/>
      </c>
      <c r="DE1052" t="str">
        <f>""</f>
        <v/>
      </c>
      <c r="DF1052" t="str">
        <f>""</f>
        <v/>
      </c>
      <c r="DG1052" t="str">
        <f>""</f>
        <v/>
      </c>
      <c r="DH1052" t="str">
        <f>""</f>
        <v/>
      </c>
      <c r="DI1052" t="str">
        <f>""</f>
        <v/>
      </c>
      <c r="DJ1052" t="str">
        <f>""</f>
        <v/>
      </c>
      <c r="DK1052" t="str">
        <f>""</f>
        <v/>
      </c>
      <c r="DL1052" t="str">
        <f>""</f>
        <v/>
      </c>
      <c r="DM1052" t="str">
        <f>""</f>
        <v/>
      </c>
      <c r="DN1052" t="str">
        <f>""</f>
        <v/>
      </c>
      <c r="DO1052" t="str">
        <f>""</f>
        <v/>
      </c>
      <c r="DP1052" t="str">
        <f>""</f>
        <v/>
      </c>
      <c r="DQ1052" t="str">
        <f>""</f>
        <v/>
      </c>
      <c r="DR1052" t="str">
        <f>""</f>
        <v/>
      </c>
      <c r="DS1052" t="str">
        <f>""</f>
        <v/>
      </c>
      <c r="DT1052" t="str">
        <f>""</f>
        <v/>
      </c>
      <c r="DU1052" t="str">
        <f>""</f>
        <v/>
      </c>
    </row>
    <row r="1053" spans="1:125" x14ac:dyDescent="0.25">
      <c r="A1053" t="str">
        <f>$A$389</f>
        <v xml:space="preserve">    GAZ PJSC</v>
      </c>
      <c r="B1053" t="str">
        <f>$B$389</f>
        <v>GAZA RM Equity</v>
      </c>
      <c r="C1053" t="str">
        <f>$C$389</f>
        <v>RR480</v>
      </c>
      <c r="D1053" t="str">
        <f>$D$389</f>
        <v>EV_TO_MKT_CAP</v>
      </c>
      <c r="E1053" t="str">
        <f>$E$389</f>
        <v>Dynamic</v>
      </c>
      <c r="F1053" t="str">
        <f ca="1">_xll.BDH($B$389,$C$389,$B$675,$B$676,CONCATENATE("Per=",$B$673),"Dts=H","Dir=H",CONCATENATE("Points=",$B$674),"Sort=R","Days=A","Fill=B",CONCATENATE("FX=", $B$672) )</f>
        <v>#N/A Connection</v>
      </c>
      <c r="BN1053" t="str">
        <f>""</f>
        <v/>
      </c>
      <c r="BO1053" t="str">
        <f>""</f>
        <v/>
      </c>
      <c r="BP1053" t="str">
        <f>""</f>
        <v/>
      </c>
      <c r="BQ1053" t="str">
        <f>""</f>
        <v/>
      </c>
      <c r="BR1053" t="str">
        <f>""</f>
        <v/>
      </c>
      <c r="BS1053" t="str">
        <f>""</f>
        <v/>
      </c>
      <c r="BT1053" t="str">
        <f>""</f>
        <v/>
      </c>
      <c r="BU1053" t="str">
        <f>""</f>
        <v/>
      </c>
      <c r="BV1053" t="str">
        <f>""</f>
        <v/>
      </c>
      <c r="BW1053" t="str">
        <f>""</f>
        <v/>
      </c>
      <c r="BX1053" t="str">
        <f>""</f>
        <v/>
      </c>
      <c r="BY1053" t="str">
        <f>""</f>
        <v/>
      </c>
      <c r="BZ1053" t="str">
        <f>""</f>
        <v/>
      </c>
      <c r="CA1053" t="str">
        <f>""</f>
        <v/>
      </c>
      <c r="CB1053" t="str">
        <f>""</f>
        <v/>
      </c>
      <c r="CC1053" t="str">
        <f>""</f>
        <v/>
      </c>
      <c r="CD1053" t="str">
        <f>""</f>
        <v/>
      </c>
      <c r="CE1053" t="str">
        <f>""</f>
        <v/>
      </c>
      <c r="CF1053" t="str">
        <f>""</f>
        <v/>
      </c>
      <c r="CG1053" t="str">
        <f>""</f>
        <v/>
      </c>
      <c r="CH1053" t="str">
        <f>""</f>
        <v/>
      </c>
      <c r="CI1053" t="str">
        <f>""</f>
        <v/>
      </c>
      <c r="CJ1053" t="str">
        <f>""</f>
        <v/>
      </c>
      <c r="CK1053" t="str">
        <f>""</f>
        <v/>
      </c>
      <c r="CL1053" t="str">
        <f>""</f>
        <v/>
      </c>
      <c r="CM1053" t="str">
        <f>""</f>
        <v/>
      </c>
      <c r="CN1053" t="str">
        <f>""</f>
        <v/>
      </c>
      <c r="CO1053" t="str">
        <f>""</f>
        <v/>
      </c>
      <c r="CP1053" t="str">
        <f>""</f>
        <v/>
      </c>
      <c r="CQ1053" t="str">
        <f>""</f>
        <v/>
      </c>
      <c r="CR1053" t="str">
        <f>""</f>
        <v/>
      </c>
      <c r="CS1053" t="str">
        <f>""</f>
        <v/>
      </c>
      <c r="CT1053" t="str">
        <f>""</f>
        <v/>
      </c>
      <c r="CU1053" t="str">
        <f>""</f>
        <v/>
      </c>
      <c r="CV1053" t="str">
        <f>""</f>
        <v/>
      </c>
      <c r="CW1053" t="str">
        <f>""</f>
        <v/>
      </c>
      <c r="CX1053" t="str">
        <f>""</f>
        <v/>
      </c>
      <c r="CY1053" t="str">
        <f>""</f>
        <v/>
      </c>
      <c r="CZ1053" t="str">
        <f>""</f>
        <v/>
      </c>
      <c r="DA1053" t="str">
        <f>""</f>
        <v/>
      </c>
      <c r="DB1053" t="str">
        <f>""</f>
        <v/>
      </c>
      <c r="DC1053" t="str">
        <f>""</f>
        <v/>
      </c>
      <c r="DD1053" t="str">
        <f>""</f>
        <v/>
      </c>
      <c r="DE1053" t="str">
        <f>""</f>
        <v/>
      </c>
      <c r="DF1053" t="str">
        <f>""</f>
        <v/>
      </c>
      <c r="DG1053" t="str">
        <f>""</f>
        <v/>
      </c>
      <c r="DH1053" t="str">
        <f>""</f>
        <v/>
      </c>
      <c r="DI1053" t="str">
        <f>""</f>
        <v/>
      </c>
      <c r="DJ1053" t="str">
        <f>""</f>
        <v/>
      </c>
      <c r="DK1053" t="str">
        <f>""</f>
        <v/>
      </c>
      <c r="DL1053" t="str">
        <f>""</f>
        <v/>
      </c>
      <c r="DM1053" t="str">
        <f>""</f>
        <v/>
      </c>
      <c r="DN1053" t="str">
        <f>""</f>
        <v/>
      </c>
      <c r="DO1053" t="str">
        <f>""</f>
        <v/>
      </c>
      <c r="DP1053" t="str">
        <f>""</f>
        <v/>
      </c>
      <c r="DQ1053" t="str">
        <f>""</f>
        <v/>
      </c>
      <c r="DR1053" t="str">
        <f>""</f>
        <v/>
      </c>
      <c r="DS1053" t="str">
        <f>""</f>
        <v/>
      </c>
      <c r="DT1053" t="str">
        <f>""</f>
        <v/>
      </c>
      <c r="DU1053" t="str">
        <f>""</f>
        <v/>
      </c>
    </row>
    <row r="1054" spans="1:125" x14ac:dyDescent="0.25">
      <c r="A1054" t="str">
        <f>$A$390</f>
        <v xml:space="preserve">    Geely Automobile Holdings Ltd</v>
      </c>
      <c r="B1054" t="str">
        <f>$B$390</f>
        <v>175 HK Equity</v>
      </c>
      <c r="C1054" t="str">
        <f>$C$390</f>
        <v>RR480</v>
      </c>
      <c r="D1054" t="str">
        <f>$D$390</f>
        <v>EV_TO_MKT_CAP</v>
      </c>
      <c r="E1054" t="str">
        <f>$E$390</f>
        <v>Dynamic</v>
      </c>
      <c r="F1054" t="str">
        <f ca="1">_xll.BDH($B$390,$C$390,$B$675,$B$676,CONCATENATE("Per=",$B$673),"Dts=H","Dir=H",CONCATENATE("Points=",$B$674),"Sort=R","Days=A","Fill=B",CONCATENATE("FX=", $B$672) )</f>
        <v>#N/A Connection</v>
      </c>
      <c r="BN1054" t="str">
        <f>""</f>
        <v/>
      </c>
      <c r="BO1054" t="str">
        <f>""</f>
        <v/>
      </c>
      <c r="BP1054" t="str">
        <f>""</f>
        <v/>
      </c>
      <c r="BQ1054" t="str">
        <f>""</f>
        <v/>
      </c>
      <c r="BR1054" t="str">
        <f>""</f>
        <v/>
      </c>
      <c r="BS1054" t="str">
        <f>""</f>
        <v/>
      </c>
      <c r="BT1054" t="str">
        <f>""</f>
        <v/>
      </c>
      <c r="BU1054" t="str">
        <f>""</f>
        <v/>
      </c>
      <c r="BV1054" t="str">
        <f>""</f>
        <v/>
      </c>
      <c r="BW1054" t="str">
        <f>""</f>
        <v/>
      </c>
      <c r="BX1054" t="str">
        <f>""</f>
        <v/>
      </c>
      <c r="BY1054" t="str">
        <f>""</f>
        <v/>
      </c>
      <c r="BZ1054" t="str">
        <f>""</f>
        <v/>
      </c>
      <c r="CA1054" t="str">
        <f>""</f>
        <v/>
      </c>
      <c r="CB1054" t="str">
        <f>""</f>
        <v/>
      </c>
      <c r="CC1054" t="str">
        <f>""</f>
        <v/>
      </c>
      <c r="CD1054" t="str">
        <f>""</f>
        <v/>
      </c>
      <c r="CE1054" t="str">
        <f>""</f>
        <v/>
      </c>
      <c r="CF1054" t="str">
        <f>""</f>
        <v/>
      </c>
      <c r="CG1054" t="str">
        <f>""</f>
        <v/>
      </c>
      <c r="CH1054" t="str">
        <f>""</f>
        <v/>
      </c>
      <c r="CI1054" t="str">
        <f>""</f>
        <v/>
      </c>
      <c r="CJ1054" t="str">
        <f>""</f>
        <v/>
      </c>
      <c r="CK1054" t="str">
        <f>""</f>
        <v/>
      </c>
      <c r="CL1054" t="str">
        <f>""</f>
        <v/>
      </c>
      <c r="CM1054" t="str">
        <f>""</f>
        <v/>
      </c>
      <c r="CN1054" t="str">
        <f>""</f>
        <v/>
      </c>
      <c r="CO1054" t="str">
        <f>""</f>
        <v/>
      </c>
      <c r="CP1054" t="str">
        <f>""</f>
        <v/>
      </c>
      <c r="CQ1054" t="str">
        <f>""</f>
        <v/>
      </c>
      <c r="CR1054" t="str">
        <f>""</f>
        <v/>
      </c>
      <c r="CS1054" t="str">
        <f>""</f>
        <v/>
      </c>
      <c r="CT1054" t="str">
        <f>""</f>
        <v/>
      </c>
      <c r="CU1054" t="str">
        <f>""</f>
        <v/>
      </c>
      <c r="CV1054" t="str">
        <f>""</f>
        <v/>
      </c>
      <c r="CW1054" t="str">
        <f>""</f>
        <v/>
      </c>
      <c r="CX1054" t="str">
        <f>""</f>
        <v/>
      </c>
      <c r="CY1054" t="str">
        <f>""</f>
        <v/>
      </c>
      <c r="CZ1054" t="str">
        <f>""</f>
        <v/>
      </c>
      <c r="DA1054" t="str">
        <f>""</f>
        <v/>
      </c>
      <c r="DB1054" t="str">
        <f>""</f>
        <v/>
      </c>
      <c r="DC1054" t="str">
        <f>""</f>
        <v/>
      </c>
      <c r="DD1054" t="str">
        <f>""</f>
        <v/>
      </c>
      <c r="DE1054" t="str">
        <f>""</f>
        <v/>
      </c>
      <c r="DF1054" t="str">
        <f>""</f>
        <v/>
      </c>
      <c r="DG1054" t="str">
        <f>""</f>
        <v/>
      </c>
      <c r="DH1054" t="str">
        <f>""</f>
        <v/>
      </c>
      <c r="DI1054" t="str">
        <f>""</f>
        <v/>
      </c>
      <c r="DJ1054" t="str">
        <f>""</f>
        <v/>
      </c>
      <c r="DK1054" t="str">
        <f>""</f>
        <v/>
      </c>
      <c r="DL1054" t="str">
        <f>""</f>
        <v/>
      </c>
      <c r="DM1054" t="str">
        <f>""</f>
        <v/>
      </c>
      <c r="DN1054" t="str">
        <f>""</f>
        <v/>
      </c>
      <c r="DO1054" t="str">
        <f>""</f>
        <v/>
      </c>
      <c r="DP1054" t="str">
        <f>""</f>
        <v/>
      </c>
      <c r="DQ1054" t="str">
        <f>""</f>
        <v/>
      </c>
      <c r="DR1054" t="str">
        <f>""</f>
        <v/>
      </c>
      <c r="DS1054" t="str">
        <f>""</f>
        <v/>
      </c>
      <c r="DT1054" t="str">
        <f>""</f>
        <v/>
      </c>
      <c r="DU1054" t="str">
        <f>""</f>
        <v/>
      </c>
    </row>
    <row r="1055" spans="1:125" x14ac:dyDescent="0.25">
      <c r="A1055" t="str">
        <f>$A$391</f>
        <v xml:space="preserve">    General Motors Co</v>
      </c>
      <c r="B1055" t="str">
        <f>$B$391</f>
        <v>GM US Equity</v>
      </c>
      <c r="C1055" t="str">
        <f>$C$391</f>
        <v>RR480</v>
      </c>
      <c r="D1055" t="str">
        <f>$D$391</f>
        <v>EV_TO_MKT_CAP</v>
      </c>
      <c r="E1055" t="str">
        <f>$E$391</f>
        <v>Dynamic</v>
      </c>
      <c r="F1055" t="str">
        <f ca="1">_xll.BDH($B$391,$C$391,$B$675,$B$676,CONCATENATE("Per=",$B$673),"Dts=H","Dir=H",CONCATENATE("Points=",$B$674),"Sort=R","Days=A","Fill=B",CONCATENATE("FX=", $B$672) )</f>
        <v>#N/A Connection</v>
      </c>
      <c r="BN1055" t="str">
        <f>""</f>
        <v/>
      </c>
      <c r="BO1055" t="str">
        <f>""</f>
        <v/>
      </c>
      <c r="BP1055" t="str">
        <f>""</f>
        <v/>
      </c>
      <c r="BQ1055" t="str">
        <f>""</f>
        <v/>
      </c>
      <c r="BR1055" t="str">
        <f>""</f>
        <v/>
      </c>
      <c r="BS1055" t="str">
        <f>""</f>
        <v/>
      </c>
      <c r="BT1055" t="str">
        <f>""</f>
        <v/>
      </c>
      <c r="BU1055" t="str">
        <f>""</f>
        <v/>
      </c>
      <c r="BV1055" t="str">
        <f>""</f>
        <v/>
      </c>
      <c r="BW1055" t="str">
        <f>""</f>
        <v/>
      </c>
      <c r="BX1055" t="str">
        <f>""</f>
        <v/>
      </c>
      <c r="BY1055" t="str">
        <f>""</f>
        <v/>
      </c>
      <c r="BZ1055" t="str">
        <f>""</f>
        <v/>
      </c>
      <c r="CA1055" t="str">
        <f>""</f>
        <v/>
      </c>
      <c r="CB1055" t="str">
        <f>""</f>
        <v/>
      </c>
      <c r="CC1055" t="str">
        <f>""</f>
        <v/>
      </c>
      <c r="CD1055" t="str">
        <f>""</f>
        <v/>
      </c>
      <c r="CE1055" t="str">
        <f>""</f>
        <v/>
      </c>
      <c r="CF1055" t="str">
        <f>""</f>
        <v/>
      </c>
      <c r="CG1055" t="str">
        <f>""</f>
        <v/>
      </c>
      <c r="CH1055" t="str">
        <f>""</f>
        <v/>
      </c>
      <c r="CI1055" t="str">
        <f>""</f>
        <v/>
      </c>
      <c r="CJ1055" t="str">
        <f>""</f>
        <v/>
      </c>
      <c r="CK1055" t="str">
        <f>""</f>
        <v/>
      </c>
      <c r="CL1055" t="str">
        <f>""</f>
        <v/>
      </c>
      <c r="CM1055" t="str">
        <f>""</f>
        <v/>
      </c>
      <c r="CN1055" t="str">
        <f>""</f>
        <v/>
      </c>
      <c r="CO1055" t="str">
        <f>""</f>
        <v/>
      </c>
      <c r="CP1055" t="str">
        <f>""</f>
        <v/>
      </c>
      <c r="CQ1055" t="str">
        <f>""</f>
        <v/>
      </c>
      <c r="CR1055" t="str">
        <f>""</f>
        <v/>
      </c>
      <c r="CS1055" t="str">
        <f>""</f>
        <v/>
      </c>
      <c r="CT1055" t="str">
        <f>""</f>
        <v/>
      </c>
      <c r="CU1055" t="str">
        <f>""</f>
        <v/>
      </c>
      <c r="CV1055" t="str">
        <f>""</f>
        <v/>
      </c>
      <c r="CW1055" t="str">
        <f>""</f>
        <v/>
      </c>
      <c r="CX1055" t="str">
        <f>""</f>
        <v/>
      </c>
      <c r="CY1055" t="str">
        <f>""</f>
        <v/>
      </c>
      <c r="CZ1055" t="str">
        <f>""</f>
        <v/>
      </c>
      <c r="DA1055" t="str">
        <f>""</f>
        <v/>
      </c>
      <c r="DB1055" t="str">
        <f>""</f>
        <v/>
      </c>
      <c r="DC1055" t="str">
        <f>""</f>
        <v/>
      </c>
      <c r="DD1055" t="str">
        <f>""</f>
        <v/>
      </c>
      <c r="DE1055" t="str">
        <f>""</f>
        <v/>
      </c>
      <c r="DF1055" t="str">
        <f>""</f>
        <v/>
      </c>
      <c r="DG1055" t="str">
        <f>""</f>
        <v/>
      </c>
      <c r="DH1055" t="str">
        <f>""</f>
        <v/>
      </c>
      <c r="DI1055" t="str">
        <f>""</f>
        <v/>
      </c>
      <c r="DJ1055" t="str">
        <f>""</f>
        <v/>
      </c>
      <c r="DK1055" t="str">
        <f>""</f>
        <v/>
      </c>
      <c r="DL1055" t="str">
        <f>""</f>
        <v/>
      </c>
      <c r="DM1055" t="str">
        <f>""</f>
        <v/>
      </c>
      <c r="DN1055" t="str">
        <f>""</f>
        <v/>
      </c>
      <c r="DO1055" t="str">
        <f>""</f>
        <v/>
      </c>
      <c r="DP1055" t="str">
        <f>""</f>
        <v/>
      </c>
      <c r="DQ1055" t="str">
        <f>""</f>
        <v/>
      </c>
      <c r="DR1055" t="str">
        <f>""</f>
        <v/>
      </c>
      <c r="DS1055" t="str">
        <f>""</f>
        <v/>
      </c>
      <c r="DT1055" t="str">
        <f>""</f>
        <v/>
      </c>
      <c r="DU1055" t="str">
        <f>""</f>
        <v/>
      </c>
    </row>
    <row r="1056" spans="1:125" x14ac:dyDescent="0.25">
      <c r="A1056" t="str">
        <f>$A$392</f>
        <v xml:space="preserve">    Great Wall Motor Co Ltd</v>
      </c>
      <c r="B1056" t="str">
        <f>$B$392</f>
        <v>2333 HK Equity</v>
      </c>
      <c r="C1056" t="str">
        <f>$C$392</f>
        <v>RR480</v>
      </c>
      <c r="D1056" t="str">
        <f>$D$392</f>
        <v>EV_TO_MKT_CAP</v>
      </c>
      <c r="E1056" t="str">
        <f>$E$392</f>
        <v>Dynamic</v>
      </c>
      <c r="F1056" t="str">
        <f ca="1">_xll.BDH($B$392,$C$392,$B$675,$B$676,CONCATENATE("Per=",$B$673),"Dts=H","Dir=H",CONCATENATE("Points=",$B$674),"Sort=R","Days=A","Fill=B",CONCATENATE("FX=", $B$672) )</f>
        <v>#N/A Connection</v>
      </c>
      <c r="BN1056" t="str">
        <f>""</f>
        <v/>
      </c>
      <c r="BO1056" t="str">
        <f>""</f>
        <v/>
      </c>
      <c r="BP1056" t="str">
        <f>""</f>
        <v/>
      </c>
      <c r="BQ1056" t="str">
        <f>""</f>
        <v/>
      </c>
      <c r="BR1056" t="str">
        <f>""</f>
        <v/>
      </c>
      <c r="BS1056" t="str">
        <f>""</f>
        <v/>
      </c>
      <c r="BT1056" t="str">
        <f>""</f>
        <v/>
      </c>
      <c r="BU1056" t="str">
        <f>""</f>
        <v/>
      </c>
      <c r="BV1056" t="str">
        <f>""</f>
        <v/>
      </c>
      <c r="BW1056" t="str">
        <f>""</f>
        <v/>
      </c>
      <c r="BX1056" t="str">
        <f>""</f>
        <v/>
      </c>
      <c r="BY1056" t="str">
        <f>""</f>
        <v/>
      </c>
      <c r="BZ1056" t="str">
        <f>""</f>
        <v/>
      </c>
      <c r="CA1056" t="str">
        <f>""</f>
        <v/>
      </c>
      <c r="CB1056" t="str">
        <f>""</f>
        <v/>
      </c>
      <c r="CC1056" t="str">
        <f>""</f>
        <v/>
      </c>
      <c r="CD1056" t="str">
        <f>""</f>
        <v/>
      </c>
      <c r="CE1056" t="str">
        <f>""</f>
        <v/>
      </c>
      <c r="CF1056" t="str">
        <f>""</f>
        <v/>
      </c>
      <c r="CG1056" t="str">
        <f>""</f>
        <v/>
      </c>
      <c r="CH1056" t="str">
        <f>""</f>
        <v/>
      </c>
      <c r="CI1056" t="str">
        <f>""</f>
        <v/>
      </c>
      <c r="CJ1056" t="str">
        <f>""</f>
        <v/>
      </c>
      <c r="CK1056" t="str">
        <f>""</f>
        <v/>
      </c>
      <c r="CL1056" t="str">
        <f>""</f>
        <v/>
      </c>
      <c r="CM1056" t="str">
        <f>""</f>
        <v/>
      </c>
      <c r="CN1056" t="str">
        <f>""</f>
        <v/>
      </c>
      <c r="CO1056" t="str">
        <f>""</f>
        <v/>
      </c>
      <c r="CP1056" t="str">
        <f>""</f>
        <v/>
      </c>
      <c r="CQ1056" t="str">
        <f>""</f>
        <v/>
      </c>
      <c r="CR1056" t="str">
        <f>""</f>
        <v/>
      </c>
      <c r="CS1056" t="str">
        <f>""</f>
        <v/>
      </c>
      <c r="CT1056" t="str">
        <f>""</f>
        <v/>
      </c>
      <c r="CU1056" t="str">
        <f>""</f>
        <v/>
      </c>
      <c r="CV1056" t="str">
        <f>""</f>
        <v/>
      </c>
      <c r="CW1056" t="str">
        <f>""</f>
        <v/>
      </c>
      <c r="CX1056" t="str">
        <f>""</f>
        <v/>
      </c>
      <c r="CY1056" t="str">
        <f>""</f>
        <v/>
      </c>
      <c r="CZ1056" t="str">
        <f>""</f>
        <v/>
      </c>
      <c r="DA1056" t="str">
        <f>""</f>
        <v/>
      </c>
      <c r="DB1056" t="str">
        <f>""</f>
        <v/>
      </c>
      <c r="DC1056" t="str">
        <f>""</f>
        <v/>
      </c>
      <c r="DD1056" t="str">
        <f>""</f>
        <v/>
      </c>
      <c r="DE1056" t="str">
        <f>""</f>
        <v/>
      </c>
      <c r="DF1056" t="str">
        <f>""</f>
        <v/>
      </c>
      <c r="DG1056" t="str">
        <f>""</f>
        <v/>
      </c>
      <c r="DH1056" t="str">
        <f>""</f>
        <v/>
      </c>
      <c r="DI1056" t="str">
        <f>""</f>
        <v/>
      </c>
      <c r="DJ1056" t="str">
        <f>""</f>
        <v/>
      </c>
      <c r="DK1056" t="str">
        <f>""</f>
        <v/>
      </c>
      <c r="DL1056" t="str">
        <f>""</f>
        <v/>
      </c>
      <c r="DM1056" t="str">
        <f>""</f>
        <v/>
      </c>
      <c r="DN1056" t="str">
        <f>""</f>
        <v/>
      </c>
      <c r="DO1056" t="str">
        <f>""</f>
        <v/>
      </c>
      <c r="DP1056" t="str">
        <f>""</f>
        <v/>
      </c>
      <c r="DQ1056" t="str">
        <f>""</f>
        <v/>
      </c>
      <c r="DR1056" t="str">
        <f>""</f>
        <v/>
      </c>
      <c r="DS1056" t="str">
        <f>""</f>
        <v/>
      </c>
      <c r="DT1056" t="str">
        <f>""</f>
        <v/>
      </c>
      <c r="DU1056" t="str">
        <f>""</f>
        <v/>
      </c>
    </row>
    <row r="1057" spans="1:125" x14ac:dyDescent="0.25">
      <c r="A1057" t="str">
        <f>$A$393</f>
        <v xml:space="preserve">    Guangzhou Automobile Group Co Ltd</v>
      </c>
      <c r="B1057" t="str">
        <f>$B$393</f>
        <v>2238 HK Equity</v>
      </c>
      <c r="C1057" t="str">
        <f>$C$393</f>
        <v>RR480</v>
      </c>
      <c r="D1057" t="str">
        <f>$D$393</f>
        <v>EV_TO_MKT_CAP</v>
      </c>
      <c r="E1057" t="str">
        <f>$E$393</f>
        <v>Dynamic</v>
      </c>
      <c r="F1057" t="str">
        <f ca="1">_xll.BDH($B$393,$C$393,$B$675,$B$676,CONCATENATE("Per=",$B$673),"Dts=H","Dir=H",CONCATENATE("Points=",$B$674),"Sort=R","Days=A","Fill=B",CONCATENATE("FX=", $B$672) )</f>
        <v>#N/A Connection</v>
      </c>
      <c r="BN1057" t="str">
        <f>""</f>
        <v/>
      </c>
      <c r="BO1057" t="str">
        <f>""</f>
        <v/>
      </c>
      <c r="BP1057" t="str">
        <f>""</f>
        <v/>
      </c>
      <c r="BQ1057" t="str">
        <f>""</f>
        <v/>
      </c>
      <c r="BR1057" t="str">
        <f>""</f>
        <v/>
      </c>
      <c r="BS1057" t="str">
        <f>""</f>
        <v/>
      </c>
      <c r="BT1057" t="str">
        <f>""</f>
        <v/>
      </c>
      <c r="BU1057" t="str">
        <f>""</f>
        <v/>
      </c>
      <c r="BV1057" t="str">
        <f>""</f>
        <v/>
      </c>
      <c r="BW1057" t="str">
        <f>""</f>
        <v/>
      </c>
      <c r="BX1057" t="str">
        <f>""</f>
        <v/>
      </c>
      <c r="BY1057" t="str">
        <f>""</f>
        <v/>
      </c>
      <c r="BZ1057" t="str">
        <f>""</f>
        <v/>
      </c>
      <c r="CA1057" t="str">
        <f>""</f>
        <v/>
      </c>
      <c r="CB1057" t="str">
        <f>""</f>
        <v/>
      </c>
      <c r="CC1057" t="str">
        <f>""</f>
        <v/>
      </c>
      <c r="CD1057" t="str">
        <f>""</f>
        <v/>
      </c>
      <c r="CE1057" t="str">
        <f>""</f>
        <v/>
      </c>
      <c r="CF1057" t="str">
        <f>""</f>
        <v/>
      </c>
      <c r="CG1057" t="str">
        <f>""</f>
        <v/>
      </c>
      <c r="CH1057" t="str">
        <f>""</f>
        <v/>
      </c>
      <c r="CI1057" t="str">
        <f>""</f>
        <v/>
      </c>
      <c r="CJ1057" t="str">
        <f>""</f>
        <v/>
      </c>
      <c r="CK1057" t="str">
        <f>""</f>
        <v/>
      </c>
      <c r="CL1057" t="str">
        <f>""</f>
        <v/>
      </c>
      <c r="CM1057" t="str">
        <f>""</f>
        <v/>
      </c>
      <c r="CN1057" t="str">
        <f>""</f>
        <v/>
      </c>
      <c r="CO1057" t="str">
        <f>""</f>
        <v/>
      </c>
      <c r="CP1057" t="str">
        <f>""</f>
        <v/>
      </c>
      <c r="CQ1057" t="str">
        <f>""</f>
        <v/>
      </c>
      <c r="CR1057" t="str">
        <f>""</f>
        <v/>
      </c>
      <c r="CS1057" t="str">
        <f>""</f>
        <v/>
      </c>
      <c r="CT1057" t="str">
        <f>""</f>
        <v/>
      </c>
      <c r="CU1057" t="str">
        <f>""</f>
        <v/>
      </c>
      <c r="CV1057" t="str">
        <f>""</f>
        <v/>
      </c>
      <c r="CW1057" t="str">
        <f>""</f>
        <v/>
      </c>
      <c r="CX1057" t="str">
        <f>""</f>
        <v/>
      </c>
      <c r="CY1057" t="str">
        <f>""</f>
        <v/>
      </c>
      <c r="CZ1057" t="str">
        <f>""</f>
        <v/>
      </c>
      <c r="DA1057" t="str">
        <f>""</f>
        <v/>
      </c>
      <c r="DB1057" t="str">
        <f>""</f>
        <v/>
      </c>
      <c r="DC1057" t="str">
        <f>""</f>
        <v/>
      </c>
      <c r="DD1057" t="str">
        <f>""</f>
        <v/>
      </c>
      <c r="DE1057" t="str">
        <f>""</f>
        <v/>
      </c>
      <c r="DF1057" t="str">
        <f>""</f>
        <v/>
      </c>
      <c r="DG1057" t="str">
        <f>""</f>
        <v/>
      </c>
      <c r="DH1057" t="str">
        <f>""</f>
        <v/>
      </c>
      <c r="DI1057" t="str">
        <f>""</f>
        <v/>
      </c>
      <c r="DJ1057" t="str">
        <f>""</f>
        <v/>
      </c>
      <c r="DK1057" t="str">
        <f>""</f>
        <v/>
      </c>
      <c r="DL1057" t="str">
        <f>""</f>
        <v/>
      </c>
      <c r="DM1057" t="str">
        <f>""</f>
        <v/>
      </c>
      <c r="DN1057" t="str">
        <f>""</f>
        <v/>
      </c>
      <c r="DO1057" t="str">
        <f>""</f>
        <v/>
      </c>
      <c r="DP1057" t="str">
        <f>""</f>
        <v/>
      </c>
      <c r="DQ1057" t="str">
        <f>""</f>
        <v/>
      </c>
      <c r="DR1057" t="str">
        <f>""</f>
        <v/>
      </c>
      <c r="DS1057" t="str">
        <f>""</f>
        <v/>
      </c>
      <c r="DT1057" t="str">
        <f>""</f>
        <v/>
      </c>
      <c r="DU1057" t="str">
        <f>""</f>
        <v/>
      </c>
    </row>
    <row r="1058" spans="1:125" x14ac:dyDescent="0.25">
      <c r="A1058" t="str">
        <f>$A$394</f>
        <v xml:space="preserve">    Honda Motor Co Ltd</v>
      </c>
      <c r="B1058" t="str">
        <f>$B$394</f>
        <v>7267 JP Equity</v>
      </c>
      <c r="C1058" t="str">
        <f>$C$394</f>
        <v>RR480</v>
      </c>
      <c r="D1058" t="str">
        <f>$D$394</f>
        <v>EV_TO_MKT_CAP</v>
      </c>
      <c r="E1058" t="str">
        <f>$E$394</f>
        <v>Dynamic</v>
      </c>
      <c r="F1058" t="str">
        <f ca="1">_xll.BDH($B$394,$C$394,$B$675,$B$676,CONCATENATE("Per=",$B$673),"Dts=H","Dir=H",CONCATENATE("Points=",$B$674),"Sort=R","Days=A","Fill=B",CONCATENATE("FX=", $B$672) )</f>
        <v>#N/A Connection</v>
      </c>
      <c r="BN1058" t="str">
        <f>""</f>
        <v/>
      </c>
      <c r="BO1058" t="str">
        <f>""</f>
        <v/>
      </c>
      <c r="BP1058" t="str">
        <f>""</f>
        <v/>
      </c>
      <c r="BQ1058" t="str">
        <f>""</f>
        <v/>
      </c>
      <c r="BR1058" t="str">
        <f>""</f>
        <v/>
      </c>
      <c r="BS1058" t="str">
        <f>""</f>
        <v/>
      </c>
      <c r="BT1058" t="str">
        <f>""</f>
        <v/>
      </c>
      <c r="BU1058" t="str">
        <f>""</f>
        <v/>
      </c>
      <c r="BV1058" t="str">
        <f>""</f>
        <v/>
      </c>
      <c r="BW1058" t="str">
        <f>""</f>
        <v/>
      </c>
      <c r="BX1058" t="str">
        <f>""</f>
        <v/>
      </c>
      <c r="BY1058" t="str">
        <f>""</f>
        <v/>
      </c>
      <c r="BZ1058" t="str">
        <f>""</f>
        <v/>
      </c>
      <c r="CA1058" t="str">
        <f>""</f>
        <v/>
      </c>
      <c r="CB1058" t="str">
        <f>""</f>
        <v/>
      </c>
      <c r="CC1058" t="str">
        <f>""</f>
        <v/>
      </c>
      <c r="CD1058" t="str">
        <f>""</f>
        <v/>
      </c>
      <c r="CE1058" t="str">
        <f>""</f>
        <v/>
      </c>
      <c r="CF1058" t="str">
        <f>""</f>
        <v/>
      </c>
      <c r="CG1058" t="str">
        <f>""</f>
        <v/>
      </c>
      <c r="CH1058" t="str">
        <f>""</f>
        <v/>
      </c>
      <c r="CI1058" t="str">
        <f>""</f>
        <v/>
      </c>
      <c r="CJ1058" t="str">
        <f>""</f>
        <v/>
      </c>
      <c r="CK1058" t="str">
        <f>""</f>
        <v/>
      </c>
      <c r="CL1058" t="str">
        <f>""</f>
        <v/>
      </c>
      <c r="CM1058" t="str">
        <f>""</f>
        <v/>
      </c>
      <c r="CN1058" t="str">
        <f>""</f>
        <v/>
      </c>
      <c r="CO1058" t="str">
        <f>""</f>
        <v/>
      </c>
      <c r="CP1058" t="str">
        <f>""</f>
        <v/>
      </c>
      <c r="CQ1058" t="str">
        <f>""</f>
        <v/>
      </c>
      <c r="CR1058" t="str">
        <f>""</f>
        <v/>
      </c>
      <c r="CS1058" t="str">
        <f>""</f>
        <v/>
      </c>
      <c r="CT1058" t="str">
        <f>""</f>
        <v/>
      </c>
      <c r="CU1058" t="str">
        <f>""</f>
        <v/>
      </c>
      <c r="CV1058" t="str">
        <f>""</f>
        <v/>
      </c>
      <c r="CW1058" t="str">
        <f>""</f>
        <v/>
      </c>
      <c r="CX1058" t="str">
        <f>""</f>
        <v/>
      </c>
      <c r="CY1058" t="str">
        <f>""</f>
        <v/>
      </c>
      <c r="CZ1058" t="str">
        <f>""</f>
        <v/>
      </c>
      <c r="DA1058" t="str">
        <f>""</f>
        <v/>
      </c>
      <c r="DB1058" t="str">
        <f>""</f>
        <v/>
      </c>
      <c r="DC1058" t="str">
        <f>""</f>
        <v/>
      </c>
      <c r="DD1058" t="str">
        <f>""</f>
        <v/>
      </c>
      <c r="DE1058" t="str">
        <f>""</f>
        <v/>
      </c>
      <c r="DF1058" t="str">
        <f>""</f>
        <v/>
      </c>
      <c r="DG1058" t="str">
        <f>""</f>
        <v/>
      </c>
      <c r="DH1058" t="str">
        <f>""</f>
        <v/>
      </c>
      <c r="DI1058" t="str">
        <f>""</f>
        <v/>
      </c>
      <c r="DJ1058" t="str">
        <f>""</f>
        <v/>
      </c>
      <c r="DK1058" t="str">
        <f>""</f>
        <v/>
      </c>
      <c r="DL1058" t="str">
        <f>""</f>
        <v/>
      </c>
      <c r="DM1058" t="str">
        <f>""</f>
        <v/>
      </c>
      <c r="DN1058" t="str">
        <f>""</f>
        <v/>
      </c>
      <c r="DO1058" t="str">
        <f>""</f>
        <v/>
      </c>
      <c r="DP1058" t="str">
        <f>""</f>
        <v/>
      </c>
      <c r="DQ1058" t="str">
        <f>""</f>
        <v/>
      </c>
      <c r="DR1058" t="str">
        <f>""</f>
        <v/>
      </c>
      <c r="DS1058" t="str">
        <f>""</f>
        <v/>
      </c>
      <c r="DT1058" t="str">
        <f>""</f>
        <v/>
      </c>
      <c r="DU1058" t="str">
        <f>""</f>
        <v/>
      </c>
    </row>
    <row r="1059" spans="1:125" x14ac:dyDescent="0.25">
      <c r="A1059" t="str">
        <f>$A$395</f>
        <v xml:space="preserve">    Hyundai Motor Co</v>
      </c>
      <c r="B1059" t="str">
        <f>$B$395</f>
        <v>005380 KS Equity</v>
      </c>
      <c r="C1059" t="str">
        <f>$C$395</f>
        <v>RR480</v>
      </c>
      <c r="D1059" t="str">
        <f>$D$395</f>
        <v>EV_TO_MKT_CAP</v>
      </c>
      <c r="E1059" t="str">
        <f>$E$395</f>
        <v>Dynamic</v>
      </c>
      <c r="F1059" t="str">
        <f ca="1">_xll.BDH($B$395,$C$395,$B$675,$B$676,CONCATENATE("Per=",$B$673),"Dts=H","Dir=H",CONCATENATE("Points=",$B$674),"Sort=R","Days=A","Fill=B",CONCATENATE("FX=", $B$672) )</f>
        <v>#N/A Connection</v>
      </c>
      <c r="BN1059" t="str">
        <f>""</f>
        <v/>
      </c>
      <c r="BO1059" t="str">
        <f>""</f>
        <v/>
      </c>
      <c r="BP1059" t="str">
        <f>""</f>
        <v/>
      </c>
      <c r="BQ1059" t="str">
        <f>""</f>
        <v/>
      </c>
      <c r="BR1059" t="str">
        <f>""</f>
        <v/>
      </c>
      <c r="BS1059" t="str">
        <f>""</f>
        <v/>
      </c>
      <c r="BT1059" t="str">
        <f>""</f>
        <v/>
      </c>
      <c r="BU1059" t="str">
        <f>""</f>
        <v/>
      </c>
      <c r="BV1059" t="str">
        <f>""</f>
        <v/>
      </c>
      <c r="BW1059" t="str">
        <f>""</f>
        <v/>
      </c>
      <c r="BX1059" t="str">
        <f>""</f>
        <v/>
      </c>
      <c r="BY1059" t="str">
        <f>""</f>
        <v/>
      </c>
      <c r="BZ1059" t="str">
        <f>""</f>
        <v/>
      </c>
      <c r="CA1059" t="str">
        <f>""</f>
        <v/>
      </c>
      <c r="CB1059" t="str">
        <f>""</f>
        <v/>
      </c>
      <c r="CC1059" t="str">
        <f>""</f>
        <v/>
      </c>
      <c r="CD1059" t="str">
        <f>""</f>
        <v/>
      </c>
      <c r="CE1059" t="str">
        <f>""</f>
        <v/>
      </c>
      <c r="CF1059" t="str">
        <f>""</f>
        <v/>
      </c>
      <c r="CG1059" t="str">
        <f>""</f>
        <v/>
      </c>
      <c r="CH1059" t="str">
        <f>""</f>
        <v/>
      </c>
      <c r="CI1059" t="str">
        <f>""</f>
        <v/>
      </c>
      <c r="CJ1059" t="str">
        <f>""</f>
        <v/>
      </c>
      <c r="CK1059" t="str">
        <f>""</f>
        <v/>
      </c>
      <c r="CL1059" t="str">
        <f>""</f>
        <v/>
      </c>
      <c r="CM1059" t="str">
        <f>""</f>
        <v/>
      </c>
      <c r="CN1059" t="str">
        <f>""</f>
        <v/>
      </c>
      <c r="CO1059" t="str">
        <f>""</f>
        <v/>
      </c>
      <c r="CP1059" t="str">
        <f>""</f>
        <v/>
      </c>
      <c r="CQ1059" t="str">
        <f>""</f>
        <v/>
      </c>
      <c r="CR1059" t="str">
        <f>""</f>
        <v/>
      </c>
      <c r="CS1059" t="str">
        <f>""</f>
        <v/>
      </c>
      <c r="CT1059" t="str">
        <f>""</f>
        <v/>
      </c>
      <c r="CU1059" t="str">
        <f>""</f>
        <v/>
      </c>
      <c r="CV1059" t="str">
        <f>""</f>
        <v/>
      </c>
      <c r="CW1059" t="str">
        <f>""</f>
        <v/>
      </c>
      <c r="CX1059" t="str">
        <f>""</f>
        <v/>
      </c>
      <c r="CY1059" t="str">
        <f>""</f>
        <v/>
      </c>
      <c r="CZ1059" t="str">
        <f>""</f>
        <v/>
      </c>
      <c r="DA1059" t="str">
        <f>""</f>
        <v/>
      </c>
      <c r="DB1059" t="str">
        <f>""</f>
        <v/>
      </c>
      <c r="DC1059" t="str">
        <f>""</f>
        <v/>
      </c>
      <c r="DD1059" t="str">
        <f>""</f>
        <v/>
      </c>
      <c r="DE1059" t="str">
        <f>""</f>
        <v/>
      </c>
      <c r="DF1059" t="str">
        <f>""</f>
        <v/>
      </c>
      <c r="DG1059" t="str">
        <f>""</f>
        <v/>
      </c>
      <c r="DH1059" t="str">
        <f>""</f>
        <v/>
      </c>
      <c r="DI1059" t="str">
        <f>""</f>
        <v/>
      </c>
      <c r="DJ1059" t="str">
        <f>""</f>
        <v/>
      </c>
      <c r="DK1059" t="str">
        <f>""</f>
        <v/>
      </c>
      <c r="DL1059" t="str">
        <f>""</f>
        <v/>
      </c>
      <c r="DM1059" t="str">
        <f>""</f>
        <v/>
      </c>
      <c r="DN1059" t="str">
        <f>""</f>
        <v/>
      </c>
      <c r="DO1059" t="str">
        <f>""</f>
        <v/>
      </c>
      <c r="DP1059" t="str">
        <f>""</f>
        <v/>
      </c>
      <c r="DQ1059" t="str">
        <f>""</f>
        <v/>
      </c>
      <c r="DR1059" t="str">
        <f>""</f>
        <v/>
      </c>
      <c r="DS1059" t="str">
        <f>""</f>
        <v/>
      </c>
      <c r="DT1059" t="str">
        <f>""</f>
        <v/>
      </c>
      <c r="DU1059" t="str">
        <f>""</f>
        <v/>
      </c>
    </row>
    <row r="1060" spans="1:125" x14ac:dyDescent="0.25">
      <c r="A1060" t="str">
        <f>$A$396</f>
        <v xml:space="preserve">    Kia Motors Corp</v>
      </c>
      <c r="B1060" t="str">
        <f>$B$396</f>
        <v>000270 KS Equity</v>
      </c>
      <c r="C1060" t="str">
        <f>$C$396</f>
        <v>RR480</v>
      </c>
      <c r="D1060" t="str">
        <f>$D$396</f>
        <v>EV_TO_MKT_CAP</v>
      </c>
      <c r="E1060" t="str">
        <f>$E$396</f>
        <v>Dynamic</v>
      </c>
      <c r="F1060" t="str">
        <f ca="1">_xll.BDH($B$396,$C$396,$B$675,$B$676,CONCATENATE("Per=",$B$673),"Dts=H","Dir=H",CONCATENATE("Points=",$B$674),"Sort=R","Days=A","Fill=B",CONCATENATE("FX=", $B$672) )</f>
        <v>#N/A Connection</v>
      </c>
      <c r="BN1060" t="str">
        <f>""</f>
        <v/>
      </c>
      <c r="BO1060" t="str">
        <f>""</f>
        <v/>
      </c>
      <c r="BP1060" t="str">
        <f>""</f>
        <v/>
      </c>
      <c r="BQ1060" t="str">
        <f>""</f>
        <v/>
      </c>
      <c r="BR1060" t="str">
        <f>""</f>
        <v/>
      </c>
      <c r="BS1060" t="str">
        <f>""</f>
        <v/>
      </c>
      <c r="BT1060" t="str">
        <f>""</f>
        <v/>
      </c>
      <c r="BU1060" t="str">
        <f>""</f>
        <v/>
      </c>
      <c r="BV1060" t="str">
        <f>""</f>
        <v/>
      </c>
      <c r="BW1060" t="str">
        <f>""</f>
        <v/>
      </c>
      <c r="BX1060" t="str">
        <f>""</f>
        <v/>
      </c>
      <c r="BY1060" t="str">
        <f>""</f>
        <v/>
      </c>
      <c r="BZ1060" t="str">
        <f>""</f>
        <v/>
      </c>
      <c r="CA1060" t="str">
        <f>""</f>
        <v/>
      </c>
      <c r="CB1060" t="str">
        <f>""</f>
        <v/>
      </c>
      <c r="CC1060" t="str">
        <f>""</f>
        <v/>
      </c>
      <c r="CD1060" t="str">
        <f>""</f>
        <v/>
      </c>
      <c r="CE1060" t="str">
        <f>""</f>
        <v/>
      </c>
      <c r="CF1060" t="str">
        <f>""</f>
        <v/>
      </c>
      <c r="CG1060" t="str">
        <f>""</f>
        <v/>
      </c>
      <c r="CH1060" t="str">
        <f>""</f>
        <v/>
      </c>
      <c r="CI1060" t="str">
        <f>""</f>
        <v/>
      </c>
      <c r="CJ1060" t="str">
        <f>""</f>
        <v/>
      </c>
      <c r="CK1060" t="str">
        <f>""</f>
        <v/>
      </c>
      <c r="CL1060" t="str">
        <f>""</f>
        <v/>
      </c>
      <c r="CM1060" t="str">
        <f>""</f>
        <v/>
      </c>
      <c r="CN1060" t="str">
        <f>""</f>
        <v/>
      </c>
      <c r="CO1060" t="str">
        <f>""</f>
        <v/>
      </c>
      <c r="CP1060" t="str">
        <f>""</f>
        <v/>
      </c>
      <c r="CQ1060" t="str">
        <f>""</f>
        <v/>
      </c>
      <c r="CR1060" t="str">
        <f>""</f>
        <v/>
      </c>
      <c r="CS1060" t="str">
        <f>""</f>
        <v/>
      </c>
      <c r="CT1060" t="str">
        <f>""</f>
        <v/>
      </c>
      <c r="CU1060" t="str">
        <f>""</f>
        <v/>
      </c>
      <c r="CV1060" t="str">
        <f>""</f>
        <v/>
      </c>
      <c r="CW1060" t="str">
        <f>""</f>
        <v/>
      </c>
      <c r="CX1060" t="str">
        <f>""</f>
        <v/>
      </c>
      <c r="CY1060" t="str">
        <f>""</f>
        <v/>
      </c>
      <c r="CZ1060" t="str">
        <f>""</f>
        <v/>
      </c>
      <c r="DA1060" t="str">
        <f>""</f>
        <v/>
      </c>
      <c r="DB1060" t="str">
        <f>""</f>
        <v/>
      </c>
      <c r="DC1060" t="str">
        <f>""</f>
        <v/>
      </c>
      <c r="DD1060" t="str">
        <f>""</f>
        <v/>
      </c>
      <c r="DE1060" t="str">
        <f>""</f>
        <v/>
      </c>
      <c r="DF1060" t="str">
        <f>""</f>
        <v/>
      </c>
      <c r="DG1060" t="str">
        <f>""</f>
        <v/>
      </c>
      <c r="DH1060" t="str">
        <f>""</f>
        <v/>
      </c>
      <c r="DI1060" t="str">
        <f>""</f>
        <v/>
      </c>
      <c r="DJ1060" t="str">
        <f>""</f>
        <v/>
      </c>
      <c r="DK1060" t="str">
        <f>""</f>
        <v/>
      </c>
      <c r="DL1060" t="str">
        <f>""</f>
        <v/>
      </c>
      <c r="DM1060" t="str">
        <f>""</f>
        <v/>
      </c>
      <c r="DN1060" t="str">
        <f>""</f>
        <v/>
      </c>
      <c r="DO1060" t="str">
        <f>""</f>
        <v/>
      </c>
      <c r="DP1060" t="str">
        <f>""</f>
        <v/>
      </c>
      <c r="DQ1060" t="str">
        <f>""</f>
        <v/>
      </c>
      <c r="DR1060" t="str">
        <f>""</f>
        <v/>
      </c>
      <c r="DS1060" t="str">
        <f>""</f>
        <v/>
      </c>
      <c r="DT1060" t="str">
        <f>""</f>
        <v/>
      </c>
      <c r="DU1060" t="str">
        <f>""</f>
        <v/>
      </c>
    </row>
    <row r="1061" spans="1:125" x14ac:dyDescent="0.25">
      <c r="A1061" t="str">
        <f>$A$397</f>
        <v xml:space="preserve">    Mazda Motor Corp</v>
      </c>
      <c r="B1061" t="str">
        <f>$B$397</f>
        <v>7261 JP Equity</v>
      </c>
      <c r="C1061" t="str">
        <f>$C$397</f>
        <v>RR480</v>
      </c>
      <c r="D1061" t="str">
        <f>$D$397</f>
        <v>EV_TO_MKT_CAP</v>
      </c>
      <c r="E1061" t="str">
        <f>$E$397</f>
        <v>Dynamic</v>
      </c>
      <c r="F1061" t="str">
        <f ca="1">_xll.BDH($B$397,$C$397,$B$675,$B$676,CONCATENATE("Per=",$B$673),"Dts=H","Dir=H",CONCATENATE("Points=",$B$674),"Sort=R","Days=A","Fill=B",CONCATENATE("FX=", $B$672) )</f>
        <v>#N/A Connection</v>
      </c>
      <c r="BN1061" t="str">
        <f>""</f>
        <v/>
      </c>
      <c r="BO1061" t="str">
        <f>""</f>
        <v/>
      </c>
      <c r="BP1061" t="str">
        <f>""</f>
        <v/>
      </c>
      <c r="BQ1061" t="str">
        <f>""</f>
        <v/>
      </c>
      <c r="BR1061" t="str">
        <f>""</f>
        <v/>
      </c>
      <c r="BS1061" t="str">
        <f>""</f>
        <v/>
      </c>
      <c r="BT1061" t="str">
        <f>""</f>
        <v/>
      </c>
      <c r="BU1061" t="str">
        <f>""</f>
        <v/>
      </c>
      <c r="BV1061" t="str">
        <f>""</f>
        <v/>
      </c>
      <c r="BW1061" t="str">
        <f>""</f>
        <v/>
      </c>
      <c r="BX1061" t="str">
        <f>""</f>
        <v/>
      </c>
      <c r="BY1061" t="str">
        <f>""</f>
        <v/>
      </c>
      <c r="BZ1061" t="str">
        <f>""</f>
        <v/>
      </c>
      <c r="CA1061" t="str">
        <f>""</f>
        <v/>
      </c>
      <c r="CB1061" t="str">
        <f>""</f>
        <v/>
      </c>
      <c r="CC1061" t="str">
        <f>""</f>
        <v/>
      </c>
      <c r="CD1061" t="str">
        <f>""</f>
        <v/>
      </c>
      <c r="CE1061" t="str">
        <f>""</f>
        <v/>
      </c>
      <c r="CF1061" t="str">
        <f>""</f>
        <v/>
      </c>
      <c r="CG1061" t="str">
        <f>""</f>
        <v/>
      </c>
      <c r="CH1061" t="str">
        <f>""</f>
        <v/>
      </c>
      <c r="CI1061" t="str">
        <f>""</f>
        <v/>
      </c>
      <c r="CJ1061" t="str">
        <f>""</f>
        <v/>
      </c>
      <c r="CK1061" t="str">
        <f>""</f>
        <v/>
      </c>
      <c r="CL1061" t="str">
        <f>""</f>
        <v/>
      </c>
      <c r="CM1061" t="str">
        <f>""</f>
        <v/>
      </c>
      <c r="CN1061" t="str">
        <f>""</f>
        <v/>
      </c>
      <c r="CO1061" t="str">
        <f>""</f>
        <v/>
      </c>
      <c r="CP1061" t="str">
        <f>""</f>
        <v/>
      </c>
      <c r="CQ1061" t="str">
        <f>""</f>
        <v/>
      </c>
      <c r="CR1061" t="str">
        <f>""</f>
        <v/>
      </c>
      <c r="CS1061" t="str">
        <f>""</f>
        <v/>
      </c>
      <c r="CT1061" t="str">
        <f>""</f>
        <v/>
      </c>
      <c r="CU1061" t="str">
        <f>""</f>
        <v/>
      </c>
      <c r="CV1061" t="str">
        <f>""</f>
        <v/>
      </c>
      <c r="CW1061" t="str">
        <f>""</f>
        <v/>
      </c>
      <c r="CX1061" t="str">
        <f>""</f>
        <v/>
      </c>
      <c r="CY1061" t="str">
        <f>""</f>
        <v/>
      </c>
      <c r="CZ1061" t="str">
        <f>""</f>
        <v/>
      </c>
      <c r="DA1061" t="str">
        <f>""</f>
        <v/>
      </c>
      <c r="DB1061" t="str">
        <f>""</f>
        <v/>
      </c>
      <c r="DC1061" t="str">
        <f>""</f>
        <v/>
      </c>
      <c r="DD1061" t="str">
        <f>""</f>
        <v/>
      </c>
      <c r="DE1061" t="str">
        <f>""</f>
        <v/>
      </c>
      <c r="DF1061" t="str">
        <f>""</f>
        <v/>
      </c>
      <c r="DG1061" t="str">
        <f>""</f>
        <v/>
      </c>
      <c r="DH1061" t="str">
        <f>""</f>
        <v/>
      </c>
      <c r="DI1061" t="str">
        <f>""</f>
        <v/>
      </c>
      <c r="DJ1061" t="str">
        <f>""</f>
        <v/>
      </c>
      <c r="DK1061" t="str">
        <f>""</f>
        <v/>
      </c>
      <c r="DL1061" t="str">
        <f>""</f>
        <v/>
      </c>
      <c r="DM1061" t="str">
        <f>""</f>
        <v/>
      </c>
      <c r="DN1061" t="str">
        <f>""</f>
        <v/>
      </c>
      <c r="DO1061" t="str">
        <f>""</f>
        <v/>
      </c>
      <c r="DP1061" t="str">
        <f>""</f>
        <v/>
      </c>
      <c r="DQ1061" t="str">
        <f>""</f>
        <v/>
      </c>
      <c r="DR1061" t="str">
        <f>""</f>
        <v/>
      </c>
      <c r="DS1061" t="str">
        <f>""</f>
        <v/>
      </c>
      <c r="DT1061" t="str">
        <f>""</f>
        <v/>
      </c>
      <c r="DU1061" t="str">
        <f>""</f>
        <v/>
      </c>
    </row>
    <row r="1062" spans="1:125" x14ac:dyDescent="0.25">
      <c r="A1062" t="str">
        <f>$A$398</f>
        <v xml:space="preserve">    Mitsubishi Motors Corp</v>
      </c>
      <c r="B1062" t="str">
        <f>$B$398</f>
        <v>7211 JP Equity</v>
      </c>
      <c r="C1062" t="str">
        <f>$C$398</f>
        <v>RR480</v>
      </c>
      <c r="D1062" t="str">
        <f>$D$398</f>
        <v>EV_TO_MKT_CAP</v>
      </c>
      <c r="E1062" t="str">
        <f>$E$398</f>
        <v>Dynamic</v>
      </c>
      <c r="F1062" t="str">
        <f ca="1">_xll.BDH($B$398,$C$398,$B$675,$B$676,CONCATENATE("Per=",$B$673),"Dts=H","Dir=H",CONCATENATE("Points=",$B$674),"Sort=R","Days=A","Fill=B",CONCATENATE("FX=", $B$672) )</f>
        <v>#N/A Connection</v>
      </c>
      <c r="BN1062" t="str">
        <f>""</f>
        <v/>
      </c>
      <c r="BO1062" t="str">
        <f>""</f>
        <v/>
      </c>
      <c r="BP1062" t="str">
        <f>""</f>
        <v/>
      </c>
      <c r="BQ1062" t="str">
        <f>""</f>
        <v/>
      </c>
      <c r="BR1062" t="str">
        <f>""</f>
        <v/>
      </c>
      <c r="BS1062" t="str">
        <f>""</f>
        <v/>
      </c>
      <c r="BT1062" t="str">
        <f>""</f>
        <v/>
      </c>
      <c r="BU1062" t="str">
        <f>""</f>
        <v/>
      </c>
      <c r="BV1062" t="str">
        <f>""</f>
        <v/>
      </c>
      <c r="BW1062" t="str">
        <f>""</f>
        <v/>
      </c>
      <c r="BX1062" t="str">
        <f>""</f>
        <v/>
      </c>
      <c r="BY1062" t="str">
        <f>""</f>
        <v/>
      </c>
      <c r="BZ1062" t="str">
        <f>""</f>
        <v/>
      </c>
      <c r="CA1062" t="str">
        <f>""</f>
        <v/>
      </c>
      <c r="CB1062" t="str">
        <f>""</f>
        <v/>
      </c>
      <c r="CC1062" t="str">
        <f>""</f>
        <v/>
      </c>
      <c r="CD1062" t="str">
        <f>""</f>
        <v/>
      </c>
      <c r="CE1062" t="str">
        <f>""</f>
        <v/>
      </c>
      <c r="CF1062" t="str">
        <f>""</f>
        <v/>
      </c>
      <c r="CG1062" t="str">
        <f>""</f>
        <v/>
      </c>
      <c r="CH1062" t="str">
        <f>""</f>
        <v/>
      </c>
      <c r="CI1062" t="str">
        <f>""</f>
        <v/>
      </c>
      <c r="CJ1062" t="str">
        <f>""</f>
        <v/>
      </c>
      <c r="CK1062" t="str">
        <f>""</f>
        <v/>
      </c>
      <c r="CL1062" t="str">
        <f>""</f>
        <v/>
      </c>
      <c r="CM1062" t="str">
        <f>""</f>
        <v/>
      </c>
      <c r="CN1062" t="str">
        <f>""</f>
        <v/>
      </c>
      <c r="CO1062" t="str">
        <f>""</f>
        <v/>
      </c>
      <c r="CP1062" t="str">
        <f>""</f>
        <v/>
      </c>
      <c r="CQ1062" t="str">
        <f>""</f>
        <v/>
      </c>
      <c r="CR1062" t="str">
        <f>""</f>
        <v/>
      </c>
      <c r="CS1062" t="str">
        <f>""</f>
        <v/>
      </c>
      <c r="CT1062" t="str">
        <f>""</f>
        <v/>
      </c>
      <c r="CU1062" t="str">
        <f>""</f>
        <v/>
      </c>
      <c r="CV1062" t="str">
        <f>""</f>
        <v/>
      </c>
      <c r="CW1062" t="str">
        <f>""</f>
        <v/>
      </c>
      <c r="CX1062" t="str">
        <f>""</f>
        <v/>
      </c>
      <c r="CY1062" t="str">
        <f>""</f>
        <v/>
      </c>
      <c r="CZ1062" t="str">
        <f>""</f>
        <v/>
      </c>
      <c r="DA1062" t="str">
        <f>""</f>
        <v/>
      </c>
      <c r="DB1062" t="str">
        <f>""</f>
        <v/>
      </c>
      <c r="DC1062" t="str">
        <f>""</f>
        <v/>
      </c>
      <c r="DD1062" t="str">
        <f>""</f>
        <v/>
      </c>
      <c r="DE1062" t="str">
        <f>""</f>
        <v/>
      </c>
      <c r="DF1062" t="str">
        <f>""</f>
        <v/>
      </c>
      <c r="DG1062" t="str">
        <f>""</f>
        <v/>
      </c>
      <c r="DH1062" t="str">
        <f>""</f>
        <v/>
      </c>
      <c r="DI1062" t="str">
        <f>""</f>
        <v/>
      </c>
      <c r="DJ1062" t="str">
        <f>""</f>
        <v/>
      </c>
      <c r="DK1062" t="str">
        <f>""</f>
        <v/>
      </c>
      <c r="DL1062" t="str">
        <f>""</f>
        <v/>
      </c>
      <c r="DM1062" t="str">
        <f>""</f>
        <v/>
      </c>
      <c r="DN1062" t="str">
        <f>""</f>
        <v/>
      </c>
      <c r="DO1062" t="str">
        <f>""</f>
        <v/>
      </c>
      <c r="DP1062" t="str">
        <f>""</f>
        <v/>
      </c>
      <c r="DQ1062" t="str">
        <f>""</f>
        <v/>
      </c>
      <c r="DR1062" t="str">
        <f>""</f>
        <v/>
      </c>
      <c r="DS1062" t="str">
        <f>""</f>
        <v/>
      </c>
      <c r="DT1062" t="str">
        <f>""</f>
        <v/>
      </c>
      <c r="DU1062" t="str">
        <f>""</f>
        <v/>
      </c>
    </row>
    <row r="1063" spans="1:125" x14ac:dyDescent="0.25">
      <c r="A1063" t="str">
        <f>$A$399</f>
        <v xml:space="preserve">    Nissan Motor Co Ltd</v>
      </c>
      <c r="B1063" t="str">
        <f>$B$399</f>
        <v>7201 JP Equity</v>
      </c>
      <c r="C1063" t="str">
        <f>$C$399</f>
        <v>RR480</v>
      </c>
      <c r="D1063" t="str">
        <f>$D$399</f>
        <v>EV_TO_MKT_CAP</v>
      </c>
      <c r="E1063" t="str">
        <f>$E$399</f>
        <v>Dynamic</v>
      </c>
      <c r="F1063" t="str">
        <f ca="1">_xll.BDH($B$399,$C$399,$B$675,$B$676,CONCATENATE("Per=",$B$673),"Dts=H","Dir=H",CONCATENATE("Points=",$B$674),"Sort=R","Days=A","Fill=B",CONCATENATE("FX=", $B$672) )</f>
        <v>#N/A Connection</v>
      </c>
      <c r="BN1063" t="str">
        <f>""</f>
        <v/>
      </c>
      <c r="BO1063" t="str">
        <f>""</f>
        <v/>
      </c>
      <c r="BP1063" t="str">
        <f>""</f>
        <v/>
      </c>
      <c r="BQ1063" t="str">
        <f>""</f>
        <v/>
      </c>
      <c r="BR1063" t="str">
        <f>""</f>
        <v/>
      </c>
      <c r="BS1063" t="str">
        <f>""</f>
        <v/>
      </c>
      <c r="BT1063" t="str">
        <f>""</f>
        <v/>
      </c>
      <c r="BU1063" t="str">
        <f>""</f>
        <v/>
      </c>
      <c r="BV1063" t="str">
        <f>""</f>
        <v/>
      </c>
      <c r="BW1063" t="str">
        <f>""</f>
        <v/>
      </c>
      <c r="BX1063" t="str">
        <f>""</f>
        <v/>
      </c>
      <c r="BY1063" t="str">
        <f>""</f>
        <v/>
      </c>
      <c r="BZ1063" t="str">
        <f>""</f>
        <v/>
      </c>
      <c r="CA1063" t="str">
        <f>""</f>
        <v/>
      </c>
      <c r="CB1063" t="str">
        <f>""</f>
        <v/>
      </c>
      <c r="CC1063" t="str">
        <f>""</f>
        <v/>
      </c>
      <c r="CD1063" t="str">
        <f>""</f>
        <v/>
      </c>
      <c r="CE1063" t="str">
        <f>""</f>
        <v/>
      </c>
      <c r="CF1063" t="str">
        <f>""</f>
        <v/>
      </c>
      <c r="CG1063" t="str">
        <f>""</f>
        <v/>
      </c>
      <c r="CH1063" t="str">
        <f>""</f>
        <v/>
      </c>
      <c r="CI1063" t="str">
        <f>""</f>
        <v/>
      </c>
      <c r="CJ1063" t="str">
        <f>""</f>
        <v/>
      </c>
      <c r="CK1063" t="str">
        <f>""</f>
        <v/>
      </c>
      <c r="CL1063" t="str">
        <f>""</f>
        <v/>
      </c>
      <c r="CM1063" t="str">
        <f>""</f>
        <v/>
      </c>
      <c r="CN1063" t="str">
        <f>""</f>
        <v/>
      </c>
      <c r="CO1063" t="str">
        <f>""</f>
        <v/>
      </c>
      <c r="CP1063" t="str">
        <f>""</f>
        <v/>
      </c>
      <c r="CQ1063" t="str">
        <f>""</f>
        <v/>
      </c>
      <c r="CR1063" t="str">
        <f>""</f>
        <v/>
      </c>
      <c r="CS1063" t="str">
        <f>""</f>
        <v/>
      </c>
      <c r="CT1063" t="str">
        <f>""</f>
        <v/>
      </c>
      <c r="CU1063" t="str">
        <f>""</f>
        <v/>
      </c>
      <c r="CV1063" t="str">
        <f>""</f>
        <v/>
      </c>
      <c r="CW1063" t="str">
        <f>""</f>
        <v/>
      </c>
      <c r="CX1063" t="str">
        <f>""</f>
        <v/>
      </c>
      <c r="CY1063" t="str">
        <f>""</f>
        <v/>
      </c>
      <c r="CZ1063" t="str">
        <f>""</f>
        <v/>
      </c>
      <c r="DA1063" t="str">
        <f>""</f>
        <v/>
      </c>
      <c r="DB1063" t="str">
        <f>""</f>
        <v/>
      </c>
      <c r="DC1063" t="str">
        <f>""</f>
        <v/>
      </c>
      <c r="DD1063" t="str">
        <f>""</f>
        <v/>
      </c>
      <c r="DE1063" t="str">
        <f>""</f>
        <v/>
      </c>
      <c r="DF1063" t="str">
        <f>""</f>
        <v/>
      </c>
      <c r="DG1063" t="str">
        <f>""</f>
        <v/>
      </c>
      <c r="DH1063" t="str">
        <f>""</f>
        <v/>
      </c>
      <c r="DI1063" t="str">
        <f>""</f>
        <v/>
      </c>
      <c r="DJ1063" t="str">
        <f>""</f>
        <v/>
      </c>
      <c r="DK1063" t="str">
        <f>""</f>
        <v/>
      </c>
      <c r="DL1063" t="str">
        <f>""</f>
        <v/>
      </c>
      <c r="DM1063" t="str">
        <f>""</f>
        <v/>
      </c>
      <c r="DN1063" t="str">
        <f>""</f>
        <v/>
      </c>
      <c r="DO1063" t="str">
        <f>""</f>
        <v/>
      </c>
      <c r="DP1063" t="str">
        <f>""</f>
        <v/>
      </c>
      <c r="DQ1063" t="str">
        <f>""</f>
        <v/>
      </c>
      <c r="DR1063" t="str">
        <f>""</f>
        <v/>
      </c>
      <c r="DS1063" t="str">
        <f>""</f>
        <v/>
      </c>
      <c r="DT1063" t="str">
        <f>""</f>
        <v/>
      </c>
      <c r="DU1063" t="str">
        <f>""</f>
        <v/>
      </c>
    </row>
    <row r="1064" spans="1:125" x14ac:dyDescent="0.25">
      <c r="A1064" t="str">
        <f>$A$400</f>
        <v xml:space="preserve">    Peugeot SA</v>
      </c>
      <c r="B1064" t="str">
        <f>$B$400</f>
        <v>UG FP Equity</v>
      </c>
      <c r="C1064" t="str">
        <f>$C$400</f>
        <v>RR480</v>
      </c>
      <c r="D1064" t="str">
        <f>$D$400</f>
        <v>EV_TO_MKT_CAP</v>
      </c>
      <c r="E1064" t="str">
        <f>$E$400</f>
        <v>Dynamic</v>
      </c>
      <c r="F1064" t="str">
        <f ca="1">_xll.BDH($B$400,$C$400,$B$675,$B$676,CONCATENATE("Per=",$B$673),"Dts=H","Dir=H",CONCATENATE("Points=",$B$674),"Sort=R","Days=A","Fill=B",CONCATENATE("FX=", $B$672) )</f>
        <v>#N/A Connection</v>
      </c>
      <c r="BN1064" t="str">
        <f>""</f>
        <v/>
      </c>
      <c r="BO1064" t="str">
        <f>""</f>
        <v/>
      </c>
      <c r="BP1064" t="str">
        <f>""</f>
        <v/>
      </c>
      <c r="BQ1064" t="str">
        <f>""</f>
        <v/>
      </c>
      <c r="BR1064" t="str">
        <f>""</f>
        <v/>
      </c>
      <c r="BS1064" t="str">
        <f>""</f>
        <v/>
      </c>
      <c r="BT1064" t="str">
        <f>""</f>
        <v/>
      </c>
      <c r="BU1064" t="str">
        <f>""</f>
        <v/>
      </c>
      <c r="BV1064" t="str">
        <f>""</f>
        <v/>
      </c>
      <c r="BW1064" t="str">
        <f>""</f>
        <v/>
      </c>
      <c r="BX1064" t="str">
        <f>""</f>
        <v/>
      </c>
      <c r="BY1064" t="str">
        <f>""</f>
        <v/>
      </c>
      <c r="BZ1064" t="str">
        <f>""</f>
        <v/>
      </c>
      <c r="CA1064" t="str">
        <f>""</f>
        <v/>
      </c>
      <c r="CB1064" t="str">
        <f>""</f>
        <v/>
      </c>
      <c r="CC1064" t="str">
        <f>""</f>
        <v/>
      </c>
      <c r="CD1064" t="str">
        <f>""</f>
        <v/>
      </c>
      <c r="CE1064" t="str">
        <f>""</f>
        <v/>
      </c>
      <c r="CF1064" t="str">
        <f>""</f>
        <v/>
      </c>
      <c r="CG1064" t="str">
        <f>""</f>
        <v/>
      </c>
      <c r="CH1064" t="str">
        <f>""</f>
        <v/>
      </c>
      <c r="CI1064" t="str">
        <f>""</f>
        <v/>
      </c>
      <c r="CJ1064" t="str">
        <f>""</f>
        <v/>
      </c>
      <c r="CK1064" t="str">
        <f>""</f>
        <v/>
      </c>
      <c r="CL1064" t="str">
        <f>""</f>
        <v/>
      </c>
      <c r="CM1064" t="str">
        <f>""</f>
        <v/>
      </c>
      <c r="CN1064" t="str">
        <f>""</f>
        <v/>
      </c>
      <c r="CO1064" t="str">
        <f>""</f>
        <v/>
      </c>
      <c r="CP1064" t="str">
        <f>""</f>
        <v/>
      </c>
      <c r="CQ1064" t="str">
        <f>""</f>
        <v/>
      </c>
      <c r="CR1064" t="str">
        <f>""</f>
        <v/>
      </c>
      <c r="CS1064" t="str">
        <f>""</f>
        <v/>
      </c>
      <c r="CT1064" t="str">
        <f>""</f>
        <v/>
      </c>
      <c r="CU1064" t="str">
        <f>""</f>
        <v/>
      </c>
      <c r="CV1064" t="str">
        <f>""</f>
        <v/>
      </c>
      <c r="CW1064" t="str">
        <f>""</f>
        <v/>
      </c>
      <c r="CX1064" t="str">
        <f>""</f>
        <v/>
      </c>
      <c r="CY1064" t="str">
        <f>""</f>
        <v/>
      </c>
      <c r="CZ1064" t="str">
        <f>""</f>
        <v/>
      </c>
      <c r="DA1064" t="str">
        <f>""</f>
        <v/>
      </c>
      <c r="DB1064" t="str">
        <f>""</f>
        <v/>
      </c>
      <c r="DC1064" t="str">
        <f>""</f>
        <v/>
      </c>
      <c r="DD1064" t="str">
        <f>""</f>
        <v/>
      </c>
      <c r="DE1064" t="str">
        <f>""</f>
        <v/>
      </c>
      <c r="DF1064" t="str">
        <f>""</f>
        <v/>
      </c>
      <c r="DG1064" t="str">
        <f>""</f>
        <v/>
      </c>
      <c r="DH1064" t="str">
        <f>""</f>
        <v/>
      </c>
      <c r="DI1064" t="str">
        <f>""</f>
        <v/>
      </c>
      <c r="DJ1064" t="str">
        <f>""</f>
        <v/>
      </c>
      <c r="DK1064" t="str">
        <f>""</f>
        <v/>
      </c>
      <c r="DL1064" t="str">
        <f>""</f>
        <v/>
      </c>
      <c r="DM1064" t="str">
        <f>""</f>
        <v/>
      </c>
      <c r="DN1064" t="str">
        <f>""</f>
        <v/>
      </c>
      <c r="DO1064" t="str">
        <f>""</f>
        <v/>
      </c>
      <c r="DP1064" t="str">
        <f>""</f>
        <v/>
      </c>
      <c r="DQ1064" t="str">
        <f>""</f>
        <v/>
      </c>
      <c r="DR1064" t="str">
        <f>""</f>
        <v/>
      </c>
      <c r="DS1064" t="str">
        <f>""</f>
        <v/>
      </c>
      <c r="DT1064" t="str">
        <f>""</f>
        <v/>
      </c>
      <c r="DU1064" t="str">
        <f>""</f>
        <v/>
      </c>
    </row>
    <row r="1065" spans="1:125" x14ac:dyDescent="0.25">
      <c r="A1065" t="str">
        <f>$A$401</f>
        <v xml:space="preserve">    Renault SA</v>
      </c>
      <c r="B1065" t="str">
        <f>$B$401</f>
        <v>RNO FP Equity</v>
      </c>
      <c r="C1065" t="str">
        <f>$C$401</f>
        <v>RR480</v>
      </c>
      <c r="D1065" t="str">
        <f>$D$401</f>
        <v>EV_TO_MKT_CAP</v>
      </c>
      <c r="E1065" t="str">
        <f>$E$401</f>
        <v>Dynamic</v>
      </c>
      <c r="F1065" t="str">
        <f ca="1">_xll.BDH($B$401,$C$401,$B$675,$B$676,CONCATENATE("Per=",$B$673),"Dts=H","Dir=H",CONCATENATE("Points=",$B$674),"Sort=R","Days=A","Fill=B",CONCATENATE("FX=", $B$672) )</f>
        <v>#N/A Connection</v>
      </c>
      <c r="BN1065" t="str">
        <f>""</f>
        <v/>
      </c>
      <c r="BO1065" t="str">
        <f>""</f>
        <v/>
      </c>
      <c r="BP1065" t="str">
        <f>""</f>
        <v/>
      </c>
      <c r="BQ1065" t="str">
        <f>""</f>
        <v/>
      </c>
      <c r="BR1065" t="str">
        <f>""</f>
        <v/>
      </c>
      <c r="BS1065" t="str">
        <f>""</f>
        <v/>
      </c>
      <c r="BT1065" t="str">
        <f>""</f>
        <v/>
      </c>
      <c r="BU1065" t="str">
        <f>""</f>
        <v/>
      </c>
      <c r="BV1065" t="str">
        <f>""</f>
        <v/>
      </c>
      <c r="BW1065" t="str">
        <f>""</f>
        <v/>
      </c>
      <c r="BX1065" t="str">
        <f>""</f>
        <v/>
      </c>
      <c r="BY1065" t="str">
        <f>""</f>
        <v/>
      </c>
      <c r="BZ1065" t="str">
        <f>""</f>
        <v/>
      </c>
      <c r="CA1065" t="str">
        <f>""</f>
        <v/>
      </c>
      <c r="CB1065" t="str">
        <f>""</f>
        <v/>
      </c>
      <c r="CC1065" t="str">
        <f>""</f>
        <v/>
      </c>
      <c r="CD1065" t="str">
        <f>""</f>
        <v/>
      </c>
      <c r="CE1065" t="str">
        <f>""</f>
        <v/>
      </c>
      <c r="CF1065" t="str">
        <f>""</f>
        <v/>
      </c>
      <c r="CG1065" t="str">
        <f>""</f>
        <v/>
      </c>
      <c r="CH1065" t="str">
        <f>""</f>
        <v/>
      </c>
      <c r="CI1065" t="str">
        <f>""</f>
        <v/>
      </c>
      <c r="CJ1065" t="str">
        <f>""</f>
        <v/>
      </c>
      <c r="CK1065" t="str">
        <f>""</f>
        <v/>
      </c>
      <c r="CL1065" t="str">
        <f>""</f>
        <v/>
      </c>
      <c r="CM1065" t="str">
        <f>""</f>
        <v/>
      </c>
      <c r="CN1065" t="str">
        <f>""</f>
        <v/>
      </c>
      <c r="CO1065" t="str">
        <f>""</f>
        <v/>
      </c>
      <c r="CP1065" t="str">
        <f>""</f>
        <v/>
      </c>
      <c r="CQ1065" t="str">
        <f>""</f>
        <v/>
      </c>
      <c r="CR1065" t="str">
        <f>""</f>
        <v/>
      </c>
      <c r="CS1065" t="str">
        <f>""</f>
        <v/>
      </c>
      <c r="CT1065" t="str">
        <f>""</f>
        <v/>
      </c>
      <c r="CU1065" t="str">
        <f>""</f>
        <v/>
      </c>
      <c r="CV1065" t="str">
        <f>""</f>
        <v/>
      </c>
      <c r="CW1065" t="str">
        <f>""</f>
        <v/>
      </c>
      <c r="CX1065" t="str">
        <f>""</f>
        <v/>
      </c>
      <c r="CY1065" t="str">
        <f>""</f>
        <v/>
      </c>
      <c r="CZ1065" t="str">
        <f>""</f>
        <v/>
      </c>
      <c r="DA1065" t="str">
        <f>""</f>
        <v/>
      </c>
      <c r="DB1065" t="str">
        <f>""</f>
        <v/>
      </c>
      <c r="DC1065" t="str">
        <f>""</f>
        <v/>
      </c>
      <c r="DD1065" t="str">
        <f>""</f>
        <v/>
      </c>
      <c r="DE1065" t="str">
        <f>""</f>
        <v/>
      </c>
      <c r="DF1065" t="str">
        <f>""</f>
        <v/>
      </c>
      <c r="DG1065" t="str">
        <f>""</f>
        <v/>
      </c>
      <c r="DH1065" t="str">
        <f>""</f>
        <v/>
      </c>
      <c r="DI1065" t="str">
        <f>""</f>
        <v/>
      </c>
      <c r="DJ1065" t="str">
        <f>""</f>
        <v/>
      </c>
      <c r="DK1065" t="str">
        <f>""</f>
        <v/>
      </c>
      <c r="DL1065" t="str">
        <f>""</f>
        <v/>
      </c>
      <c r="DM1065" t="str">
        <f>""</f>
        <v/>
      </c>
      <c r="DN1065" t="str">
        <f>""</f>
        <v/>
      </c>
      <c r="DO1065" t="str">
        <f>""</f>
        <v/>
      </c>
      <c r="DP1065" t="str">
        <f>""</f>
        <v/>
      </c>
      <c r="DQ1065" t="str">
        <f>""</f>
        <v/>
      </c>
      <c r="DR1065" t="str">
        <f>""</f>
        <v/>
      </c>
      <c r="DS1065" t="str">
        <f>""</f>
        <v/>
      </c>
      <c r="DT1065" t="str">
        <f>""</f>
        <v/>
      </c>
      <c r="DU1065" t="str">
        <f>""</f>
        <v/>
      </c>
    </row>
    <row r="1066" spans="1:125" x14ac:dyDescent="0.25">
      <c r="A1066" t="str">
        <f>$A$402</f>
        <v xml:space="preserve">    SAIC Motor Corp Ltd</v>
      </c>
      <c r="B1066" t="str">
        <f>$B$402</f>
        <v>600104 CH Equity</v>
      </c>
      <c r="C1066" t="str">
        <f>$C$402</f>
        <v>RR480</v>
      </c>
      <c r="D1066" t="str">
        <f>$D$402</f>
        <v>EV_TO_MKT_CAP</v>
      </c>
      <c r="E1066" t="str">
        <f>$E$402</f>
        <v>Dynamic</v>
      </c>
      <c r="F1066" t="str">
        <f ca="1">_xll.BDH($B$402,$C$402,$B$675,$B$676,CONCATENATE("Per=",$B$673),"Dts=H","Dir=H",CONCATENATE("Points=",$B$674),"Sort=R","Days=A","Fill=B",CONCATENATE("FX=", $B$672) )</f>
        <v>#N/A Connection</v>
      </c>
      <c r="BN1066" t="str">
        <f>""</f>
        <v/>
      </c>
      <c r="BO1066" t="str">
        <f>""</f>
        <v/>
      </c>
      <c r="BP1066" t="str">
        <f>""</f>
        <v/>
      </c>
      <c r="BQ1066" t="str">
        <f>""</f>
        <v/>
      </c>
      <c r="BR1066" t="str">
        <f>""</f>
        <v/>
      </c>
      <c r="BS1066" t="str">
        <f>""</f>
        <v/>
      </c>
      <c r="BT1066" t="str">
        <f>""</f>
        <v/>
      </c>
      <c r="BU1066" t="str">
        <f>""</f>
        <v/>
      </c>
      <c r="BV1066" t="str">
        <f>""</f>
        <v/>
      </c>
      <c r="BW1066" t="str">
        <f>""</f>
        <v/>
      </c>
      <c r="BX1066" t="str">
        <f>""</f>
        <v/>
      </c>
      <c r="BY1066" t="str">
        <f>""</f>
        <v/>
      </c>
      <c r="BZ1066" t="str">
        <f>""</f>
        <v/>
      </c>
      <c r="CA1066" t="str">
        <f>""</f>
        <v/>
      </c>
      <c r="CB1066" t="str">
        <f>""</f>
        <v/>
      </c>
      <c r="CC1066" t="str">
        <f>""</f>
        <v/>
      </c>
      <c r="CD1066" t="str">
        <f>""</f>
        <v/>
      </c>
      <c r="CE1066" t="str">
        <f>""</f>
        <v/>
      </c>
      <c r="CF1066" t="str">
        <f>""</f>
        <v/>
      </c>
      <c r="CG1066" t="str">
        <f>""</f>
        <v/>
      </c>
      <c r="CH1066" t="str">
        <f>""</f>
        <v/>
      </c>
      <c r="CI1066" t="str">
        <f>""</f>
        <v/>
      </c>
      <c r="CJ1066" t="str">
        <f>""</f>
        <v/>
      </c>
      <c r="CK1066" t="str">
        <f>""</f>
        <v/>
      </c>
      <c r="CL1066" t="str">
        <f>""</f>
        <v/>
      </c>
      <c r="CM1066" t="str">
        <f>""</f>
        <v/>
      </c>
      <c r="CN1066" t="str">
        <f>""</f>
        <v/>
      </c>
      <c r="CO1066" t="str">
        <f>""</f>
        <v/>
      </c>
      <c r="CP1066" t="str">
        <f>""</f>
        <v/>
      </c>
      <c r="CQ1066" t="str">
        <f>""</f>
        <v/>
      </c>
      <c r="CR1066" t="str">
        <f>""</f>
        <v/>
      </c>
      <c r="CS1066" t="str">
        <f>""</f>
        <v/>
      </c>
      <c r="CT1066" t="str">
        <f>""</f>
        <v/>
      </c>
      <c r="CU1066" t="str">
        <f>""</f>
        <v/>
      </c>
      <c r="CV1066" t="str">
        <f>""</f>
        <v/>
      </c>
      <c r="CW1066" t="str">
        <f>""</f>
        <v/>
      </c>
      <c r="CX1066" t="str">
        <f>""</f>
        <v/>
      </c>
      <c r="CY1066" t="str">
        <f>""</f>
        <v/>
      </c>
      <c r="CZ1066" t="str">
        <f>""</f>
        <v/>
      </c>
      <c r="DA1066" t="str">
        <f>""</f>
        <v/>
      </c>
      <c r="DB1066" t="str">
        <f>""</f>
        <v/>
      </c>
      <c r="DC1066" t="str">
        <f>""</f>
        <v/>
      </c>
      <c r="DD1066" t="str">
        <f>""</f>
        <v/>
      </c>
      <c r="DE1066" t="str">
        <f>""</f>
        <v/>
      </c>
      <c r="DF1066" t="str">
        <f>""</f>
        <v/>
      </c>
      <c r="DG1066" t="str">
        <f>""</f>
        <v/>
      </c>
      <c r="DH1066" t="str">
        <f>""</f>
        <v/>
      </c>
      <c r="DI1066" t="str">
        <f>""</f>
        <v/>
      </c>
      <c r="DJ1066" t="str">
        <f>""</f>
        <v/>
      </c>
      <c r="DK1066" t="str">
        <f>""</f>
        <v/>
      </c>
      <c r="DL1066" t="str">
        <f>""</f>
        <v/>
      </c>
      <c r="DM1066" t="str">
        <f>""</f>
        <v/>
      </c>
      <c r="DN1066" t="str">
        <f>""</f>
        <v/>
      </c>
      <c r="DO1066" t="str">
        <f>""</f>
        <v/>
      </c>
      <c r="DP1066" t="str">
        <f>""</f>
        <v/>
      </c>
      <c r="DQ1066" t="str">
        <f>""</f>
        <v/>
      </c>
      <c r="DR1066" t="str">
        <f>""</f>
        <v/>
      </c>
      <c r="DS1066" t="str">
        <f>""</f>
        <v/>
      </c>
      <c r="DT1066" t="str">
        <f>""</f>
        <v/>
      </c>
      <c r="DU1066" t="str">
        <f>""</f>
        <v/>
      </c>
    </row>
    <row r="1067" spans="1:125" x14ac:dyDescent="0.25">
      <c r="A1067" t="str">
        <f>$A$403</f>
        <v xml:space="preserve">    Sanyang Motor Co Ltd</v>
      </c>
      <c r="B1067" t="str">
        <f>$B$403</f>
        <v>2206 TT Equity</v>
      </c>
      <c r="C1067" t="str">
        <f>$C$403</f>
        <v>RR480</v>
      </c>
      <c r="D1067" t="str">
        <f>$D$403</f>
        <v>EV_TO_MKT_CAP</v>
      </c>
      <c r="E1067" t="str">
        <f>$E$403</f>
        <v>Dynamic</v>
      </c>
      <c r="F1067" t="str">
        <f ca="1">_xll.BDH($B$403,$C$403,$B$675,$B$676,CONCATENATE("Per=",$B$673),"Dts=H","Dir=H",CONCATENATE("Points=",$B$674),"Sort=R","Days=A","Fill=B",CONCATENATE("FX=", $B$672) )</f>
        <v>#N/A Connection</v>
      </c>
      <c r="BN1067" t="str">
        <f>""</f>
        <v/>
      </c>
      <c r="BO1067" t="str">
        <f>""</f>
        <v/>
      </c>
      <c r="BP1067" t="str">
        <f>""</f>
        <v/>
      </c>
      <c r="BQ1067" t="str">
        <f>""</f>
        <v/>
      </c>
      <c r="BR1067" t="str">
        <f>""</f>
        <v/>
      </c>
      <c r="BS1067" t="str">
        <f>""</f>
        <v/>
      </c>
      <c r="BT1067" t="str">
        <f>""</f>
        <v/>
      </c>
      <c r="BU1067" t="str">
        <f>""</f>
        <v/>
      </c>
      <c r="BV1067" t="str">
        <f>""</f>
        <v/>
      </c>
      <c r="BW1067" t="str">
        <f>""</f>
        <v/>
      </c>
      <c r="BX1067" t="str">
        <f>""</f>
        <v/>
      </c>
      <c r="BY1067" t="str">
        <f>""</f>
        <v/>
      </c>
      <c r="BZ1067" t="str">
        <f>""</f>
        <v/>
      </c>
      <c r="CA1067" t="str">
        <f>""</f>
        <v/>
      </c>
      <c r="CB1067" t="str">
        <f>""</f>
        <v/>
      </c>
      <c r="CC1067" t="str">
        <f>""</f>
        <v/>
      </c>
      <c r="CD1067" t="str">
        <f>""</f>
        <v/>
      </c>
      <c r="CE1067" t="str">
        <f>""</f>
        <v/>
      </c>
      <c r="CF1067" t="str">
        <f>""</f>
        <v/>
      </c>
      <c r="CG1067" t="str">
        <f>""</f>
        <v/>
      </c>
      <c r="CH1067" t="str">
        <f>""</f>
        <v/>
      </c>
      <c r="CI1067" t="str">
        <f>""</f>
        <v/>
      </c>
      <c r="CJ1067" t="str">
        <f>""</f>
        <v/>
      </c>
      <c r="CK1067" t="str">
        <f>""</f>
        <v/>
      </c>
      <c r="CL1067" t="str">
        <f>""</f>
        <v/>
      </c>
      <c r="CM1067" t="str">
        <f>""</f>
        <v/>
      </c>
      <c r="CN1067" t="str">
        <f>""</f>
        <v/>
      </c>
      <c r="CO1067" t="str">
        <f>""</f>
        <v/>
      </c>
      <c r="CP1067" t="str">
        <f>""</f>
        <v/>
      </c>
      <c r="CQ1067" t="str">
        <f>""</f>
        <v/>
      </c>
      <c r="CR1067" t="str">
        <f>""</f>
        <v/>
      </c>
      <c r="CS1067" t="str">
        <f>""</f>
        <v/>
      </c>
      <c r="CT1067" t="str">
        <f>""</f>
        <v/>
      </c>
      <c r="CU1067" t="str">
        <f>""</f>
        <v/>
      </c>
      <c r="CV1067" t="str">
        <f>""</f>
        <v/>
      </c>
      <c r="CW1067" t="str">
        <f>""</f>
        <v/>
      </c>
      <c r="CX1067" t="str">
        <f>""</f>
        <v/>
      </c>
      <c r="CY1067" t="str">
        <f>""</f>
        <v/>
      </c>
      <c r="CZ1067" t="str">
        <f>""</f>
        <v/>
      </c>
      <c r="DA1067" t="str">
        <f>""</f>
        <v/>
      </c>
      <c r="DB1067" t="str">
        <f>""</f>
        <v/>
      </c>
      <c r="DC1067" t="str">
        <f>""</f>
        <v/>
      </c>
      <c r="DD1067" t="str">
        <f>""</f>
        <v/>
      </c>
      <c r="DE1067" t="str">
        <f>""</f>
        <v/>
      </c>
      <c r="DF1067" t="str">
        <f>""</f>
        <v/>
      </c>
      <c r="DG1067" t="str">
        <f>""</f>
        <v/>
      </c>
      <c r="DH1067" t="str">
        <f>""</f>
        <v/>
      </c>
      <c r="DI1067" t="str">
        <f>""</f>
        <v/>
      </c>
      <c r="DJ1067" t="str">
        <f>""</f>
        <v/>
      </c>
      <c r="DK1067" t="str">
        <f>""</f>
        <v/>
      </c>
      <c r="DL1067" t="str">
        <f>""</f>
        <v/>
      </c>
      <c r="DM1067" t="str">
        <f>""</f>
        <v/>
      </c>
      <c r="DN1067" t="str">
        <f>""</f>
        <v/>
      </c>
      <c r="DO1067" t="str">
        <f>""</f>
        <v/>
      </c>
      <c r="DP1067" t="str">
        <f>""</f>
        <v/>
      </c>
      <c r="DQ1067" t="str">
        <f>""</f>
        <v/>
      </c>
      <c r="DR1067" t="str">
        <f>""</f>
        <v/>
      </c>
      <c r="DS1067" t="str">
        <f>""</f>
        <v/>
      </c>
      <c r="DT1067" t="str">
        <f>""</f>
        <v/>
      </c>
      <c r="DU1067" t="str">
        <f>""</f>
        <v/>
      </c>
    </row>
    <row r="1068" spans="1:125" x14ac:dyDescent="0.25">
      <c r="A1068" t="str">
        <f>$A$404</f>
        <v xml:space="preserve">    Sollers PJSC</v>
      </c>
      <c r="B1068" t="str">
        <f>$B$404</f>
        <v>SVAV RM Equity</v>
      </c>
      <c r="C1068" t="str">
        <f>$C$404</f>
        <v>RR480</v>
      </c>
      <c r="D1068" t="str">
        <f>$D$404</f>
        <v>EV_TO_MKT_CAP</v>
      </c>
      <c r="E1068" t="str">
        <f>$E$404</f>
        <v>Dynamic</v>
      </c>
      <c r="F1068" t="str">
        <f ca="1">_xll.BDH($B$404,$C$404,$B$675,$B$676,CONCATENATE("Per=",$B$673),"Dts=H","Dir=H",CONCATENATE("Points=",$B$674),"Sort=R","Days=A","Fill=B",CONCATENATE("FX=", $B$672) )</f>
        <v>#N/A Connection</v>
      </c>
      <c r="BN1068" t="str">
        <f>""</f>
        <v/>
      </c>
      <c r="BO1068" t="str">
        <f>""</f>
        <v/>
      </c>
      <c r="BP1068" t="str">
        <f>""</f>
        <v/>
      </c>
      <c r="BQ1068" t="str">
        <f>""</f>
        <v/>
      </c>
      <c r="BR1068" t="str">
        <f>""</f>
        <v/>
      </c>
      <c r="BS1068" t="str">
        <f>""</f>
        <v/>
      </c>
      <c r="BT1068" t="str">
        <f>""</f>
        <v/>
      </c>
      <c r="BU1068" t="str">
        <f>""</f>
        <v/>
      </c>
      <c r="BV1068" t="str">
        <f>""</f>
        <v/>
      </c>
      <c r="BW1068" t="str">
        <f>""</f>
        <v/>
      </c>
      <c r="BX1068" t="str">
        <f>""</f>
        <v/>
      </c>
      <c r="BY1068" t="str">
        <f>""</f>
        <v/>
      </c>
      <c r="BZ1068" t="str">
        <f>""</f>
        <v/>
      </c>
      <c r="CA1068" t="str">
        <f>""</f>
        <v/>
      </c>
      <c r="CB1068" t="str">
        <f>""</f>
        <v/>
      </c>
      <c r="CC1068" t="str">
        <f>""</f>
        <v/>
      </c>
      <c r="CD1068" t="str">
        <f>""</f>
        <v/>
      </c>
      <c r="CE1068" t="str">
        <f>""</f>
        <v/>
      </c>
      <c r="CF1068" t="str">
        <f>""</f>
        <v/>
      </c>
      <c r="CG1068" t="str">
        <f>""</f>
        <v/>
      </c>
      <c r="CH1068" t="str">
        <f>""</f>
        <v/>
      </c>
      <c r="CI1068" t="str">
        <f>""</f>
        <v/>
      </c>
      <c r="CJ1068" t="str">
        <f>""</f>
        <v/>
      </c>
      <c r="CK1068" t="str">
        <f>""</f>
        <v/>
      </c>
      <c r="CL1068" t="str">
        <f>""</f>
        <v/>
      </c>
      <c r="CM1068" t="str">
        <f>""</f>
        <v/>
      </c>
      <c r="CN1068" t="str">
        <f>""</f>
        <v/>
      </c>
      <c r="CO1068" t="str">
        <f>""</f>
        <v/>
      </c>
      <c r="CP1068" t="str">
        <f>""</f>
        <v/>
      </c>
      <c r="CQ1068" t="str">
        <f>""</f>
        <v/>
      </c>
      <c r="CR1068" t="str">
        <f>""</f>
        <v/>
      </c>
      <c r="CS1068" t="str">
        <f>""</f>
        <v/>
      </c>
      <c r="CT1068" t="str">
        <f>""</f>
        <v/>
      </c>
      <c r="CU1068" t="str">
        <f>""</f>
        <v/>
      </c>
      <c r="CV1068" t="str">
        <f>""</f>
        <v/>
      </c>
      <c r="CW1068" t="str">
        <f>""</f>
        <v/>
      </c>
      <c r="CX1068" t="str">
        <f>""</f>
        <v/>
      </c>
      <c r="CY1068" t="str">
        <f>""</f>
        <v/>
      </c>
      <c r="CZ1068" t="str">
        <f>""</f>
        <v/>
      </c>
      <c r="DA1068" t="str">
        <f>""</f>
        <v/>
      </c>
      <c r="DB1068" t="str">
        <f>""</f>
        <v/>
      </c>
      <c r="DC1068" t="str">
        <f>""</f>
        <v/>
      </c>
      <c r="DD1068" t="str">
        <f>""</f>
        <v/>
      </c>
      <c r="DE1068" t="str">
        <f>""</f>
        <v/>
      </c>
      <c r="DF1068" t="str">
        <f>""</f>
        <v/>
      </c>
      <c r="DG1068" t="str">
        <f>""</f>
        <v/>
      </c>
      <c r="DH1068" t="str">
        <f>""</f>
        <v/>
      </c>
      <c r="DI1068" t="str">
        <f>""</f>
        <v/>
      </c>
      <c r="DJ1068" t="str">
        <f>""</f>
        <v/>
      </c>
      <c r="DK1068" t="str">
        <f>""</f>
        <v/>
      </c>
      <c r="DL1068" t="str">
        <f>""</f>
        <v/>
      </c>
      <c r="DM1068" t="str">
        <f>""</f>
        <v/>
      </c>
      <c r="DN1068" t="str">
        <f>""</f>
        <v/>
      </c>
      <c r="DO1068" t="str">
        <f>""</f>
        <v/>
      </c>
      <c r="DP1068" t="str">
        <f>""</f>
        <v/>
      </c>
      <c r="DQ1068" t="str">
        <f>""</f>
        <v/>
      </c>
      <c r="DR1068" t="str">
        <f>""</f>
        <v/>
      </c>
      <c r="DS1068" t="str">
        <f>""</f>
        <v/>
      </c>
      <c r="DT1068" t="str">
        <f>""</f>
        <v/>
      </c>
      <c r="DU1068" t="str">
        <f>""</f>
        <v/>
      </c>
    </row>
    <row r="1069" spans="1:125" x14ac:dyDescent="0.25">
      <c r="A1069" t="str">
        <f>$A$405</f>
        <v xml:space="preserve">    Ssangyong Motor Co</v>
      </c>
      <c r="B1069" t="str">
        <f>$B$405</f>
        <v>003620 KS Equity</v>
      </c>
      <c r="C1069" t="str">
        <f>$C$405</f>
        <v>RR480</v>
      </c>
      <c r="D1069" t="str">
        <f>$D$405</f>
        <v>EV_TO_MKT_CAP</v>
      </c>
      <c r="E1069" t="str">
        <f>$E$405</f>
        <v>Dynamic</v>
      </c>
      <c r="F1069" t="str">
        <f ca="1">_xll.BDH($B$405,$C$405,$B$675,$B$676,CONCATENATE("Per=",$B$673),"Dts=H","Dir=H",CONCATENATE("Points=",$B$674),"Sort=R","Days=A","Fill=B",CONCATENATE("FX=", $B$672) )</f>
        <v>#N/A Connection</v>
      </c>
      <c r="BN1069" t="str">
        <f>""</f>
        <v/>
      </c>
      <c r="BO1069" t="str">
        <f>""</f>
        <v/>
      </c>
      <c r="BP1069" t="str">
        <f>""</f>
        <v/>
      </c>
      <c r="BQ1069" t="str">
        <f>""</f>
        <v/>
      </c>
      <c r="BR1069" t="str">
        <f>""</f>
        <v/>
      </c>
      <c r="BS1069" t="str">
        <f>""</f>
        <v/>
      </c>
      <c r="BT1069" t="str">
        <f>""</f>
        <v/>
      </c>
      <c r="BU1069" t="str">
        <f>""</f>
        <v/>
      </c>
      <c r="BV1069" t="str">
        <f>""</f>
        <v/>
      </c>
      <c r="BW1069" t="str">
        <f>""</f>
        <v/>
      </c>
      <c r="BX1069" t="str">
        <f>""</f>
        <v/>
      </c>
      <c r="BY1069" t="str">
        <f>""</f>
        <v/>
      </c>
      <c r="BZ1069" t="str">
        <f>""</f>
        <v/>
      </c>
      <c r="CA1069" t="str">
        <f>""</f>
        <v/>
      </c>
      <c r="CB1069" t="str">
        <f>""</f>
        <v/>
      </c>
      <c r="CC1069" t="str">
        <f>""</f>
        <v/>
      </c>
      <c r="CD1069" t="str">
        <f>""</f>
        <v/>
      </c>
      <c r="CE1069" t="str">
        <f>""</f>
        <v/>
      </c>
      <c r="CF1069" t="str">
        <f>""</f>
        <v/>
      </c>
      <c r="CG1069" t="str">
        <f>""</f>
        <v/>
      </c>
      <c r="CH1069" t="str">
        <f>""</f>
        <v/>
      </c>
      <c r="CI1069" t="str">
        <f>""</f>
        <v/>
      </c>
      <c r="CJ1069" t="str">
        <f>""</f>
        <v/>
      </c>
      <c r="CK1069" t="str">
        <f>""</f>
        <v/>
      </c>
      <c r="CL1069" t="str">
        <f>""</f>
        <v/>
      </c>
      <c r="CM1069" t="str">
        <f>""</f>
        <v/>
      </c>
      <c r="CN1069" t="str">
        <f>""</f>
        <v/>
      </c>
      <c r="CO1069" t="str">
        <f>""</f>
        <v/>
      </c>
      <c r="CP1069" t="str">
        <f>""</f>
        <v/>
      </c>
      <c r="CQ1069" t="str">
        <f>""</f>
        <v/>
      </c>
      <c r="CR1069" t="str">
        <f>""</f>
        <v/>
      </c>
      <c r="CS1069" t="str">
        <f>""</f>
        <v/>
      </c>
      <c r="CT1069" t="str">
        <f>""</f>
        <v/>
      </c>
      <c r="CU1069" t="str">
        <f>""</f>
        <v/>
      </c>
      <c r="CV1069" t="str">
        <f>""</f>
        <v/>
      </c>
      <c r="CW1069" t="str">
        <f>""</f>
        <v/>
      </c>
      <c r="CX1069" t="str">
        <f>""</f>
        <v/>
      </c>
      <c r="CY1069" t="str">
        <f>""</f>
        <v/>
      </c>
      <c r="CZ1069" t="str">
        <f>""</f>
        <v/>
      </c>
      <c r="DA1069" t="str">
        <f>""</f>
        <v/>
      </c>
      <c r="DB1069" t="str">
        <f>""</f>
        <v/>
      </c>
      <c r="DC1069" t="str">
        <f>""</f>
        <v/>
      </c>
      <c r="DD1069" t="str">
        <f>""</f>
        <v/>
      </c>
      <c r="DE1069" t="str">
        <f>""</f>
        <v/>
      </c>
      <c r="DF1069" t="str">
        <f>""</f>
        <v/>
      </c>
      <c r="DG1069" t="str">
        <f>""</f>
        <v/>
      </c>
      <c r="DH1069" t="str">
        <f>""</f>
        <v/>
      </c>
      <c r="DI1069" t="str">
        <f>""</f>
        <v/>
      </c>
      <c r="DJ1069" t="str">
        <f>""</f>
        <v/>
      </c>
      <c r="DK1069" t="str">
        <f>""</f>
        <v/>
      </c>
      <c r="DL1069" t="str">
        <f>""</f>
        <v/>
      </c>
      <c r="DM1069" t="str">
        <f>""</f>
        <v/>
      </c>
      <c r="DN1069" t="str">
        <f>""</f>
        <v/>
      </c>
      <c r="DO1069" t="str">
        <f>""</f>
        <v/>
      </c>
      <c r="DP1069" t="str">
        <f>""</f>
        <v/>
      </c>
      <c r="DQ1069" t="str">
        <f>""</f>
        <v/>
      </c>
      <c r="DR1069" t="str">
        <f>""</f>
        <v/>
      </c>
      <c r="DS1069" t="str">
        <f>""</f>
        <v/>
      </c>
      <c r="DT1069" t="str">
        <f>""</f>
        <v/>
      </c>
      <c r="DU1069" t="str">
        <f>""</f>
        <v/>
      </c>
    </row>
    <row r="1070" spans="1:125" x14ac:dyDescent="0.25">
      <c r="A1070" t="str">
        <f>$A$406</f>
        <v xml:space="preserve">    Subaru Corp</v>
      </c>
      <c r="B1070" t="str">
        <f>$B$406</f>
        <v>7270 JP Equity</v>
      </c>
      <c r="C1070" t="str">
        <f>$C$406</f>
        <v>RR480</v>
      </c>
      <c r="D1070" t="str">
        <f>$D$406</f>
        <v>EV_TO_MKT_CAP</v>
      </c>
      <c r="E1070" t="str">
        <f>$E$406</f>
        <v>Dynamic</v>
      </c>
      <c r="F1070" t="str">
        <f ca="1">_xll.BDH($B$406,$C$406,$B$675,$B$676,CONCATENATE("Per=",$B$673),"Dts=H","Dir=H",CONCATENATE("Points=",$B$674),"Sort=R","Days=A","Fill=B",CONCATENATE("FX=", $B$672) )</f>
        <v>#N/A Connection</v>
      </c>
      <c r="BN1070" t="str">
        <f>""</f>
        <v/>
      </c>
      <c r="BO1070" t="str">
        <f>""</f>
        <v/>
      </c>
      <c r="BP1070" t="str">
        <f>""</f>
        <v/>
      </c>
      <c r="BQ1070" t="str">
        <f>""</f>
        <v/>
      </c>
      <c r="BR1070" t="str">
        <f>""</f>
        <v/>
      </c>
      <c r="BS1070" t="str">
        <f>""</f>
        <v/>
      </c>
      <c r="BT1070" t="str">
        <f>""</f>
        <v/>
      </c>
      <c r="BU1070" t="str">
        <f>""</f>
        <v/>
      </c>
      <c r="BV1070" t="str">
        <f>""</f>
        <v/>
      </c>
      <c r="BW1070" t="str">
        <f>""</f>
        <v/>
      </c>
      <c r="BX1070" t="str">
        <f>""</f>
        <v/>
      </c>
      <c r="BY1070" t="str">
        <f>""</f>
        <v/>
      </c>
      <c r="BZ1070" t="str">
        <f>""</f>
        <v/>
      </c>
      <c r="CA1070" t="str">
        <f>""</f>
        <v/>
      </c>
      <c r="CB1070" t="str">
        <f>""</f>
        <v/>
      </c>
      <c r="CC1070" t="str">
        <f>""</f>
        <v/>
      </c>
      <c r="CD1070" t="str">
        <f>""</f>
        <v/>
      </c>
      <c r="CE1070" t="str">
        <f>""</f>
        <v/>
      </c>
      <c r="CF1070" t="str">
        <f>""</f>
        <v/>
      </c>
      <c r="CG1070" t="str">
        <f>""</f>
        <v/>
      </c>
      <c r="CH1070" t="str">
        <f>""</f>
        <v/>
      </c>
      <c r="CI1070" t="str">
        <f>""</f>
        <v/>
      </c>
      <c r="CJ1070" t="str">
        <f>""</f>
        <v/>
      </c>
      <c r="CK1070" t="str">
        <f>""</f>
        <v/>
      </c>
      <c r="CL1070" t="str">
        <f>""</f>
        <v/>
      </c>
      <c r="CM1070" t="str">
        <f>""</f>
        <v/>
      </c>
      <c r="CN1070" t="str">
        <f>""</f>
        <v/>
      </c>
      <c r="CO1070" t="str">
        <f>""</f>
        <v/>
      </c>
      <c r="CP1070" t="str">
        <f>""</f>
        <v/>
      </c>
      <c r="CQ1070" t="str">
        <f>""</f>
        <v/>
      </c>
      <c r="CR1070" t="str">
        <f>""</f>
        <v/>
      </c>
      <c r="CS1070" t="str">
        <f>""</f>
        <v/>
      </c>
      <c r="CT1070" t="str">
        <f>""</f>
        <v/>
      </c>
      <c r="CU1070" t="str">
        <f>""</f>
        <v/>
      </c>
      <c r="CV1070" t="str">
        <f>""</f>
        <v/>
      </c>
      <c r="CW1070" t="str">
        <f>""</f>
        <v/>
      </c>
      <c r="CX1070" t="str">
        <f>""</f>
        <v/>
      </c>
      <c r="CY1070" t="str">
        <f>""</f>
        <v/>
      </c>
      <c r="CZ1070" t="str">
        <f>""</f>
        <v/>
      </c>
      <c r="DA1070" t="str">
        <f>""</f>
        <v/>
      </c>
      <c r="DB1070" t="str">
        <f>""</f>
        <v/>
      </c>
      <c r="DC1070" t="str">
        <f>""</f>
        <v/>
      </c>
      <c r="DD1070" t="str">
        <f>""</f>
        <v/>
      </c>
      <c r="DE1070" t="str">
        <f>""</f>
        <v/>
      </c>
      <c r="DF1070" t="str">
        <f>""</f>
        <v/>
      </c>
      <c r="DG1070" t="str">
        <f>""</f>
        <v/>
      </c>
      <c r="DH1070" t="str">
        <f>""</f>
        <v/>
      </c>
      <c r="DI1070" t="str">
        <f>""</f>
        <v/>
      </c>
      <c r="DJ1070" t="str">
        <f>""</f>
        <v/>
      </c>
      <c r="DK1070" t="str">
        <f>""</f>
        <v/>
      </c>
      <c r="DL1070" t="str">
        <f>""</f>
        <v/>
      </c>
      <c r="DM1070" t="str">
        <f>""</f>
        <v/>
      </c>
      <c r="DN1070" t="str">
        <f>""</f>
        <v/>
      </c>
      <c r="DO1070" t="str">
        <f>""</f>
        <v/>
      </c>
      <c r="DP1070" t="str">
        <f>""</f>
        <v/>
      </c>
      <c r="DQ1070" t="str">
        <f>""</f>
        <v/>
      </c>
      <c r="DR1070" t="str">
        <f>""</f>
        <v/>
      </c>
      <c r="DS1070" t="str">
        <f>""</f>
        <v/>
      </c>
      <c r="DT1070" t="str">
        <f>""</f>
        <v/>
      </c>
      <c r="DU1070" t="str">
        <f>""</f>
        <v/>
      </c>
    </row>
    <row r="1071" spans="1:125" x14ac:dyDescent="0.25">
      <c r="A1071" t="str">
        <f>$A$407</f>
        <v xml:space="preserve">    Suzuki Motor Corp</v>
      </c>
      <c r="B1071" t="str">
        <f>$B$407</f>
        <v>7269 JP Equity</v>
      </c>
      <c r="C1071" t="str">
        <f>$C$407</f>
        <v>RR480</v>
      </c>
      <c r="D1071" t="str">
        <f>$D$407</f>
        <v>EV_TO_MKT_CAP</v>
      </c>
      <c r="E1071" t="str">
        <f>$E$407</f>
        <v>Dynamic</v>
      </c>
      <c r="F1071" t="str">
        <f ca="1">_xll.BDH($B$407,$C$407,$B$675,$B$676,CONCATENATE("Per=",$B$673),"Dts=H","Dir=H",CONCATENATE("Points=",$B$674),"Sort=R","Days=A","Fill=B",CONCATENATE("FX=", $B$672) )</f>
        <v>#N/A Connection</v>
      </c>
      <c r="BN1071" t="str">
        <f>""</f>
        <v/>
      </c>
      <c r="BO1071" t="str">
        <f>""</f>
        <v/>
      </c>
      <c r="BP1071" t="str">
        <f>""</f>
        <v/>
      </c>
      <c r="BQ1071" t="str">
        <f>""</f>
        <v/>
      </c>
      <c r="BR1071" t="str">
        <f>""</f>
        <v/>
      </c>
      <c r="BS1071" t="str">
        <f>""</f>
        <v/>
      </c>
      <c r="BT1071" t="str">
        <f>""</f>
        <v/>
      </c>
      <c r="BU1071" t="str">
        <f>""</f>
        <v/>
      </c>
      <c r="BV1071" t="str">
        <f>""</f>
        <v/>
      </c>
      <c r="BW1071" t="str">
        <f>""</f>
        <v/>
      </c>
      <c r="BX1071" t="str">
        <f>""</f>
        <v/>
      </c>
      <c r="BY1071" t="str">
        <f>""</f>
        <v/>
      </c>
      <c r="BZ1071" t="str">
        <f>""</f>
        <v/>
      </c>
      <c r="CA1071" t="str">
        <f>""</f>
        <v/>
      </c>
      <c r="CB1071" t="str">
        <f>""</f>
        <v/>
      </c>
      <c r="CC1071" t="str">
        <f>""</f>
        <v/>
      </c>
      <c r="CD1071" t="str">
        <f>""</f>
        <v/>
      </c>
      <c r="CE1071" t="str">
        <f>""</f>
        <v/>
      </c>
      <c r="CF1071" t="str">
        <f>""</f>
        <v/>
      </c>
      <c r="CG1071" t="str">
        <f>""</f>
        <v/>
      </c>
      <c r="CH1071" t="str">
        <f>""</f>
        <v/>
      </c>
      <c r="CI1071" t="str">
        <f>""</f>
        <v/>
      </c>
      <c r="CJ1071" t="str">
        <f>""</f>
        <v/>
      </c>
      <c r="CK1071" t="str">
        <f>""</f>
        <v/>
      </c>
      <c r="CL1071" t="str">
        <f>""</f>
        <v/>
      </c>
      <c r="CM1071" t="str">
        <f>""</f>
        <v/>
      </c>
      <c r="CN1071" t="str">
        <f>""</f>
        <v/>
      </c>
      <c r="CO1071" t="str">
        <f>""</f>
        <v/>
      </c>
      <c r="CP1071" t="str">
        <f>""</f>
        <v/>
      </c>
      <c r="CQ1071" t="str">
        <f>""</f>
        <v/>
      </c>
      <c r="CR1071" t="str">
        <f>""</f>
        <v/>
      </c>
      <c r="CS1071" t="str">
        <f>""</f>
        <v/>
      </c>
      <c r="CT1071" t="str">
        <f>""</f>
        <v/>
      </c>
      <c r="CU1071" t="str">
        <f>""</f>
        <v/>
      </c>
      <c r="CV1071" t="str">
        <f>""</f>
        <v/>
      </c>
      <c r="CW1071" t="str">
        <f>""</f>
        <v/>
      </c>
      <c r="CX1071" t="str">
        <f>""</f>
        <v/>
      </c>
      <c r="CY1071" t="str">
        <f>""</f>
        <v/>
      </c>
      <c r="CZ1071" t="str">
        <f>""</f>
        <v/>
      </c>
      <c r="DA1071" t="str">
        <f>""</f>
        <v/>
      </c>
      <c r="DB1071" t="str">
        <f>""</f>
        <v/>
      </c>
      <c r="DC1071" t="str">
        <f>""</f>
        <v/>
      </c>
      <c r="DD1071" t="str">
        <f>""</f>
        <v/>
      </c>
      <c r="DE1071" t="str">
        <f>""</f>
        <v/>
      </c>
      <c r="DF1071" t="str">
        <f>""</f>
        <v/>
      </c>
      <c r="DG1071" t="str">
        <f>""</f>
        <v/>
      </c>
      <c r="DH1071" t="str">
        <f>""</f>
        <v/>
      </c>
      <c r="DI1071" t="str">
        <f>""</f>
        <v/>
      </c>
      <c r="DJ1071" t="str">
        <f>""</f>
        <v/>
      </c>
      <c r="DK1071" t="str">
        <f>""</f>
        <v/>
      </c>
      <c r="DL1071" t="str">
        <f>""</f>
        <v/>
      </c>
      <c r="DM1071" t="str">
        <f>""</f>
        <v/>
      </c>
      <c r="DN1071" t="str">
        <f>""</f>
        <v/>
      </c>
      <c r="DO1071" t="str">
        <f>""</f>
        <v/>
      </c>
      <c r="DP1071" t="str">
        <f>""</f>
        <v/>
      </c>
      <c r="DQ1071" t="str">
        <f>""</f>
        <v/>
      </c>
      <c r="DR1071" t="str">
        <f>""</f>
        <v/>
      </c>
      <c r="DS1071" t="str">
        <f>""</f>
        <v/>
      </c>
      <c r="DT1071" t="str">
        <f>""</f>
        <v/>
      </c>
      <c r="DU1071" t="str">
        <f>""</f>
        <v/>
      </c>
    </row>
    <row r="1072" spans="1:125" x14ac:dyDescent="0.25">
      <c r="A1072" t="str">
        <f>$A$408</f>
        <v xml:space="preserve">    Tata Motors Ltd</v>
      </c>
      <c r="B1072" t="str">
        <f>$B$408</f>
        <v>TTMT IN Equity</v>
      </c>
      <c r="C1072" t="str">
        <f>$C$408</f>
        <v>RR480</v>
      </c>
      <c r="D1072" t="str">
        <f>$D$408</f>
        <v>EV_TO_MKT_CAP</v>
      </c>
      <c r="E1072" t="str">
        <f>$E$408</f>
        <v>Dynamic</v>
      </c>
      <c r="F1072" t="str">
        <f ca="1">_xll.BDH($B$408,$C$408,$B$675,$B$676,CONCATENATE("Per=",$B$673),"Dts=H","Dir=H",CONCATENATE("Points=",$B$674),"Sort=R","Days=A","Fill=B",CONCATENATE("FX=", $B$672) )</f>
        <v>#N/A Connection</v>
      </c>
      <c r="BN1072" t="str">
        <f>""</f>
        <v/>
      </c>
      <c r="BO1072" t="str">
        <f>""</f>
        <v/>
      </c>
      <c r="BP1072" t="str">
        <f>""</f>
        <v/>
      </c>
      <c r="BQ1072" t="str">
        <f>""</f>
        <v/>
      </c>
      <c r="BR1072" t="str">
        <f>""</f>
        <v/>
      </c>
      <c r="BS1072" t="str">
        <f>""</f>
        <v/>
      </c>
      <c r="BT1072" t="str">
        <f>""</f>
        <v/>
      </c>
      <c r="BU1072" t="str">
        <f>""</f>
        <v/>
      </c>
      <c r="BV1072" t="str">
        <f>""</f>
        <v/>
      </c>
      <c r="BW1072" t="str">
        <f>""</f>
        <v/>
      </c>
      <c r="BX1072" t="str">
        <f>""</f>
        <v/>
      </c>
      <c r="BY1072" t="str">
        <f>""</f>
        <v/>
      </c>
      <c r="BZ1072" t="str">
        <f>""</f>
        <v/>
      </c>
      <c r="CA1072" t="str">
        <f>""</f>
        <v/>
      </c>
      <c r="CB1072" t="str">
        <f>""</f>
        <v/>
      </c>
      <c r="CC1072" t="str">
        <f>""</f>
        <v/>
      </c>
      <c r="CD1072" t="str">
        <f>""</f>
        <v/>
      </c>
      <c r="CE1072" t="str">
        <f>""</f>
        <v/>
      </c>
      <c r="CF1072" t="str">
        <f>""</f>
        <v/>
      </c>
      <c r="CG1072" t="str">
        <f>""</f>
        <v/>
      </c>
      <c r="CH1072" t="str">
        <f>""</f>
        <v/>
      </c>
      <c r="CI1072" t="str">
        <f>""</f>
        <v/>
      </c>
      <c r="CJ1072" t="str">
        <f>""</f>
        <v/>
      </c>
      <c r="CK1072" t="str">
        <f>""</f>
        <v/>
      </c>
      <c r="CL1072" t="str">
        <f>""</f>
        <v/>
      </c>
      <c r="CM1072" t="str">
        <f>""</f>
        <v/>
      </c>
      <c r="CN1072" t="str">
        <f>""</f>
        <v/>
      </c>
      <c r="CO1072" t="str">
        <f>""</f>
        <v/>
      </c>
      <c r="CP1072" t="str">
        <f>""</f>
        <v/>
      </c>
      <c r="CQ1072" t="str">
        <f>""</f>
        <v/>
      </c>
      <c r="CR1072" t="str">
        <f>""</f>
        <v/>
      </c>
      <c r="CS1072" t="str">
        <f>""</f>
        <v/>
      </c>
      <c r="CT1072" t="str">
        <f>""</f>
        <v/>
      </c>
      <c r="CU1072" t="str">
        <f>""</f>
        <v/>
      </c>
      <c r="CV1072" t="str">
        <f>""</f>
        <v/>
      </c>
      <c r="CW1072" t="str">
        <f>""</f>
        <v/>
      </c>
      <c r="CX1072" t="str">
        <f>""</f>
        <v/>
      </c>
      <c r="CY1072" t="str">
        <f>""</f>
        <v/>
      </c>
      <c r="CZ1072" t="str">
        <f>""</f>
        <v/>
      </c>
      <c r="DA1072" t="str">
        <f>""</f>
        <v/>
      </c>
      <c r="DB1072" t="str">
        <f>""</f>
        <v/>
      </c>
      <c r="DC1072" t="str">
        <f>""</f>
        <v/>
      </c>
      <c r="DD1072" t="str">
        <f>""</f>
        <v/>
      </c>
      <c r="DE1072" t="str">
        <f>""</f>
        <v/>
      </c>
      <c r="DF1072" t="str">
        <f>""</f>
        <v/>
      </c>
      <c r="DG1072" t="str">
        <f>""</f>
        <v/>
      </c>
      <c r="DH1072" t="str">
        <f>""</f>
        <v/>
      </c>
      <c r="DI1072" t="str">
        <f>""</f>
        <v/>
      </c>
      <c r="DJ1072" t="str">
        <f>""</f>
        <v/>
      </c>
      <c r="DK1072" t="str">
        <f>""</f>
        <v/>
      </c>
      <c r="DL1072" t="str">
        <f>""</f>
        <v/>
      </c>
      <c r="DM1072" t="str">
        <f>""</f>
        <v/>
      </c>
      <c r="DN1072" t="str">
        <f>""</f>
        <v/>
      </c>
      <c r="DO1072" t="str">
        <f>""</f>
        <v/>
      </c>
      <c r="DP1072" t="str">
        <f>""</f>
        <v/>
      </c>
      <c r="DQ1072" t="str">
        <f>""</f>
        <v/>
      </c>
      <c r="DR1072" t="str">
        <f>""</f>
        <v/>
      </c>
      <c r="DS1072" t="str">
        <f>""</f>
        <v/>
      </c>
      <c r="DT1072" t="str">
        <f>""</f>
        <v/>
      </c>
      <c r="DU1072" t="str">
        <f>""</f>
        <v/>
      </c>
    </row>
    <row r="1073" spans="1:125" x14ac:dyDescent="0.25">
      <c r="A1073" t="str">
        <f>$A$409</f>
        <v xml:space="preserve">    Tesla Inc</v>
      </c>
      <c r="B1073" t="str">
        <f>$B$409</f>
        <v>TSLA US Equity</v>
      </c>
      <c r="C1073" t="str">
        <f>$C$409</f>
        <v>RR480</v>
      </c>
      <c r="D1073" t="str">
        <f>$D$409</f>
        <v>EV_TO_MKT_CAP</v>
      </c>
      <c r="E1073" t="str">
        <f>$E$409</f>
        <v>Dynamic</v>
      </c>
      <c r="F1073" t="str">
        <f ca="1">_xll.BDH($B$409,$C$409,$B$675,$B$676,CONCATENATE("Per=",$B$673),"Dts=H","Dir=H",CONCATENATE("Points=",$B$674),"Sort=R","Days=A","Fill=B",CONCATENATE("FX=", $B$672) )</f>
        <v>#N/A Connection</v>
      </c>
      <c r="BN1073" t="str">
        <f>""</f>
        <v/>
      </c>
      <c r="BO1073" t="str">
        <f>""</f>
        <v/>
      </c>
      <c r="BP1073" t="str">
        <f>""</f>
        <v/>
      </c>
      <c r="BQ1073" t="str">
        <f>""</f>
        <v/>
      </c>
      <c r="BR1073" t="str">
        <f>""</f>
        <v/>
      </c>
      <c r="BS1073" t="str">
        <f>""</f>
        <v/>
      </c>
      <c r="BT1073" t="str">
        <f>""</f>
        <v/>
      </c>
      <c r="BU1073" t="str">
        <f>""</f>
        <v/>
      </c>
      <c r="BV1073" t="str">
        <f>""</f>
        <v/>
      </c>
      <c r="BW1073" t="str">
        <f>""</f>
        <v/>
      </c>
      <c r="BX1073" t="str">
        <f>""</f>
        <v/>
      </c>
      <c r="BY1073" t="str">
        <f>""</f>
        <v/>
      </c>
      <c r="BZ1073" t="str">
        <f>""</f>
        <v/>
      </c>
      <c r="CA1073" t="str">
        <f>""</f>
        <v/>
      </c>
      <c r="CB1073" t="str">
        <f>""</f>
        <v/>
      </c>
      <c r="CC1073" t="str">
        <f>""</f>
        <v/>
      </c>
      <c r="CD1073" t="str">
        <f>""</f>
        <v/>
      </c>
      <c r="CE1073" t="str">
        <f>""</f>
        <v/>
      </c>
      <c r="CF1073" t="str">
        <f>""</f>
        <v/>
      </c>
      <c r="CG1073" t="str">
        <f>""</f>
        <v/>
      </c>
      <c r="CH1073" t="str">
        <f>""</f>
        <v/>
      </c>
      <c r="CI1073" t="str">
        <f>""</f>
        <v/>
      </c>
      <c r="CJ1073" t="str">
        <f>""</f>
        <v/>
      </c>
      <c r="CK1073" t="str">
        <f>""</f>
        <v/>
      </c>
      <c r="CL1073" t="str">
        <f>""</f>
        <v/>
      </c>
      <c r="CM1073" t="str">
        <f>""</f>
        <v/>
      </c>
      <c r="CN1073" t="str">
        <f>""</f>
        <v/>
      </c>
      <c r="CO1073" t="str">
        <f>""</f>
        <v/>
      </c>
      <c r="CP1073" t="str">
        <f>""</f>
        <v/>
      </c>
      <c r="CQ1073" t="str">
        <f>""</f>
        <v/>
      </c>
      <c r="CR1073" t="str">
        <f>""</f>
        <v/>
      </c>
      <c r="CS1073" t="str">
        <f>""</f>
        <v/>
      </c>
      <c r="CT1073" t="str">
        <f>""</f>
        <v/>
      </c>
      <c r="CU1073" t="str">
        <f>""</f>
        <v/>
      </c>
      <c r="CV1073" t="str">
        <f>""</f>
        <v/>
      </c>
      <c r="CW1073" t="str">
        <f>""</f>
        <v/>
      </c>
      <c r="CX1073" t="str">
        <f>""</f>
        <v/>
      </c>
      <c r="CY1073" t="str">
        <f>""</f>
        <v/>
      </c>
      <c r="CZ1073" t="str">
        <f>""</f>
        <v/>
      </c>
      <c r="DA1073" t="str">
        <f>""</f>
        <v/>
      </c>
      <c r="DB1073" t="str">
        <f>""</f>
        <v/>
      </c>
      <c r="DC1073" t="str">
        <f>""</f>
        <v/>
      </c>
      <c r="DD1073" t="str">
        <f>""</f>
        <v/>
      </c>
      <c r="DE1073" t="str">
        <f>""</f>
        <v/>
      </c>
      <c r="DF1073" t="str">
        <f>""</f>
        <v/>
      </c>
      <c r="DG1073" t="str">
        <f>""</f>
        <v/>
      </c>
      <c r="DH1073" t="str">
        <f>""</f>
        <v/>
      </c>
      <c r="DI1073" t="str">
        <f>""</f>
        <v/>
      </c>
      <c r="DJ1073" t="str">
        <f>""</f>
        <v/>
      </c>
      <c r="DK1073" t="str">
        <f>""</f>
        <v/>
      </c>
      <c r="DL1073" t="str">
        <f>""</f>
        <v/>
      </c>
      <c r="DM1073" t="str">
        <f>""</f>
        <v/>
      </c>
      <c r="DN1073" t="str">
        <f>""</f>
        <v/>
      </c>
      <c r="DO1073" t="str">
        <f>""</f>
        <v/>
      </c>
      <c r="DP1073" t="str">
        <f>""</f>
        <v/>
      </c>
      <c r="DQ1073" t="str">
        <f>""</f>
        <v/>
      </c>
      <c r="DR1073" t="str">
        <f>""</f>
        <v/>
      </c>
      <c r="DS1073" t="str">
        <f>""</f>
        <v/>
      </c>
      <c r="DT1073" t="str">
        <f>""</f>
        <v/>
      </c>
      <c r="DU1073" t="str">
        <f>""</f>
        <v/>
      </c>
    </row>
    <row r="1074" spans="1:125" x14ac:dyDescent="0.25">
      <c r="A1074" t="str">
        <f>$A$410</f>
        <v xml:space="preserve">    Tianjin Faw Xiali Automobile Co Ltd</v>
      </c>
      <c r="B1074" t="str">
        <f>$B$410</f>
        <v>000927 CH Equity</v>
      </c>
      <c r="C1074" t="str">
        <f>$C$410</f>
        <v>RR480</v>
      </c>
      <c r="D1074" t="str">
        <f>$D$410</f>
        <v>EV_TO_MKT_CAP</v>
      </c>
      <c r="E1074" t="str">
        <f>$E$410</f>
        <v>Dynamic</v>
      </c>
      <c r="F1074" t="str">
        <f ca="1">_xll.BDH($B$410,$C$410,$B$675,$B$676,CONCATENATE("Per=",$B$673),"Dts=H","Dir=H",CONCATENATE("Points=",$B$674),"Sort=R","Days=A","Fill=B",CONCATENATE("FX=", $B$672) )</f>
        <v>#N/A Connection</v>
      </c>
      <c r="BN1074" t="str">
        <f>""</f>
        <v/>
      </c>
      <c r="BO1074" t="str">
        <f>""</f>
        <v/>
      </c>
      <c r="BP1074" t="str">
        <f>""</f>
        <v/>
      </c>
      <c r="BQ1074" t="str">
        <f>""</f>
        <v/>
      </c>
      <c r="BR1074" t="str">
        <f>""</f>
        <v/>
      </c>
      <c r="BS1074" t="str">
        <f>""</f>
        <v/>
      </c>
      <c r="BT1074" t="str">
        <f>""</f>
        <v/>
      </c>
      <c r="BU1074" t="str">
        <f>""</f>
        <v/>
      </c>
      <c r="BV1074" t="str">
        <f>""</f>
        <v/>
      </c>
      <c r="BW1074" t="str">
        <f>""</f>
        <v/>
      </c>
      <c r="BX1074" t="str">
        <f>""</f>
        <v/>
      </c>
      <c r="BY1074" t="str">
        <f>""</f>
        <v/>
      </c>
      <c r="BZ1074" t="str">
        <f>""</f>
        <v/>
      </c>
      <c r="CA1074" t="str">
        <f>""</f>
        <v/>
      </c>
      <c r="CB1074" t="str">
        <f>""</f>
        <v/>
      </c>
      <c r="CC1074" t="str">
        <f>""</f>
        <v/>
      </c>
      <c r="CD1074" t="str">
        <f>""</f>
        <v/>
      </c>
      <c r="CE1074" t="str">
        <f>""</f>
        <v/>
      </c>
      <c r="CF1074" t="str">
        <f>""</f>
        <v/>
      </c>
      <c r="CG1074" t="str">
        <f>""</f>
        <v/>
      </c>
      <c r="CH1074" t="str">
        <f>""</f>
        <v/>
      </c>
      <c r="CI1074" t="str">
        <f>""</f>
        <v/>
      </c>
      <c r="CJ1074" t="str">
        <f>""</f>
        <v/>
      </c>
      <c r="CK1074" t="str">
        <f>""</f>
        <v/>
      </c>
      <c r="CL1074" t="str">
        <f>""</f>
        <v/>
      </c>
      <c r="CM1074" t="str">
        <f>""</f>
        <v/>
      </c>
      <c r="CN1074" t="str">
        <f>""</f>
        <v/>
      </c>
      <c r="CO1074" t="str">
        <f>""</f>
        <v/>
      </c>
      <c r="CP1074" t="str">
        <f>""</f>
        <v/>
      </c>
      <c r="CQ1074" t="str">
        <f>""</f>
        <v/>
      </c>
      <c r="CR1074" t="str">
        <f>""</f>
        <v/>
      </c>
      <c r="CS1074" t="str">
        <f>""</f>
        <v/>
      </c>
      <c r="CT1074" t="str">
        <f>""</f>
        <v/>
      </c>
      <c r="CU1074" t="str">
        <f>""</f>
        <v/>
      </c>
      <c r="CV1074" t="str">
        <f>""</f>
        <v/>
      </c>
      <c r="CW1074" t="str">
        <f>""</f>
        <v/>
      </c>
      <c r="CX1074" t="str">
        <f>""</f>
        <v/>
      </c>
      <c r="CY1074" t="str">
        <f>""</f>
        <v/>
      </c>
      <c r="CZ1074" t="str">
        <f>""</f>
        <v/>
      </c>
      <c r="DA1074" t="str">
        <f>""</f>
        <v/>
      </c>
      <c r="DB1074" t="str">
        <f>""</f>
        <v/>
      </c>
      <c r="DC1074" t="str">
        <f>""</f>
        <v/>
      </c>
      <c r="DD1074" t="str">
        <f>""</f>
        <v/>
      </c>
      <c r="DE1074" t="str">
        <f>""</f>
        <v/>
      </c>
      <c r="DF1074" t="str">
        <f>""</f>
        <v/>
      </c>
      <c r="DG1074" t="str">
        <f>""</f>
        <v/>
      </c>
      <c r="DH1074" t="str">
        <f>""</f>
        <v/>
      </c>
      <c r="DI1074" t="str">
        <f>""</f>
        <v/>
      </c>
      <c r="DJ1074" t="str">
        <f>""</f>
        <v/>
      </c>
      <c r="DK1074" t="str">
        <f>""</f>
        <v/>
      </c>
      <c r="DL1074" t="str">
        <f>""</f>
        <v/>
      </c>
      <c r="DM1074" t="str">
        <f>""</f>
        <v/>
      </c>
      <c r="DN1074" t="str">
        <f>""</f>
        <v/>
      </c>
      <c r="DO1074" t="str">
        <f>""</f>
        <v/>
      </c>
      <c r="DP1074" t="str">
        <f>""</f>
        <v/>
      </c>
      <c r="DQ1074" t="str">
        <f>""</f>
        <v/>
      </c>
      <c r="DR1074" t="str">
        <f>""</f>
        <v/>
      </c>
      <c r="DS1074" t="str">
        <f>""</f>
        <v/>
      </c>
      <c r="DT1074" t="str">
        <f>""</f>
        <v/>
      </c>
      <c r="DU1074" t="str">
        <f>""</f>
        <v/>
      </c>
    </row>
    <row r="1075" spans="1:125" x14ac:dyDescent="0.25">
      <c r="A1075" t="str">
        <f>$A$411</f>
        <v xml:space="preserve">    Tofas Turk Otomobil Fabrikasi AS</v>
      </c>
      <c r="B1075" t="str">
        <f>$B$411</f>
        <v>TOASOTRY EO Equity</v>
      </c>
      <c r="C1075" t="str">
        <f>$C$411</f>
        <v>RR480</v>
      </c>
      <c r="D1075" t="str">
        <f>$D$411</f>
        <v>EV_TO_MKT_CAP</v>
      </c>
      <c r="E1075" t="str">
        <f>$E$411</f>
        <v>Dynamic</v>
      </c>
      <c r="F1075" t="str">
        <f ca="1">_xll.BDH($B$411,$C$411,$B$675,$B$676,CONCATENATE("Per=",$B$673),"Dts=H","Dir=H",CONCATENATE("Points=",$B$674),"Sort=R","Days=A","Fill=B",CONCATENATE("FX=", $B$672) )</f>
        <v>#N/A Connection</v>
      </c>
      <c r="BN1075" t="str">
        <f>""</f>
        <v/>
      </c>
      <c r="BO1075" t="str">
        <f>""</f>
        <v/>
      </c>
      <c r="BP1075" t="str">
        <f>""</f>
        <v/>
      </c>
      <c r="BQ1075" t="str">
        <f>""</f>
        <v/>
      </c>
      <c r="BR1075" t="str">
        <f>""</f>
        <v/>
      </c>
      <c r="BS1075" t="str">
        <f>""</f>
        <v/>
      </c>
      <c r="BT1075" t="str">
        <f>""</f>
        <v/>
      </c>
      <c r="BU1075" t="str">
        <f>""</f>
        <v/>
      </c>
      <c r="BV1075" t="str">
        <f>""</f>
        <v/>
      </c>
      <c r="BW1075" t="str">
        <f>""</f>
        <v/>
      </c>
      <c r="BX1075" t="str">
        <f>""</f>
        <v/>
      </c>
      <c r="BY1075" t="str">
        <f>""</f>
        <v/>
      </c>
      <c r="BZ1075" t="str">
        <f>""</f>
        <v/>
      </c>
      <c r="CA1075" t="str">
        <f>""</f>
        <v/>
      </c>
      <c r="CB1075" t="str">
        <f>""</f>
        <v/>
      </c>
      <c r="CC1075" t="str">
        <f>""</f>
        <v/>
      </c>
      <c r="CD1075" t="str">
        <f>""</f>
        <v/>
      </c>
      <c r="CE1075" t="str">
        <f>""</f>
        <v/>
      </c>
      <c r="CF1075" t="str">
        <f>""</f>
        <v/>
      </c>
      <c r="CG1075" t="str">
        <f>""</f>
        <v/>
      </c>
      <c r="CH1075" t="str">
        <f>""</f>
        <v/>
      </c>
      <c r="CI1075" t="str">
        <f>""</f>
        <v/>
      </c>
      <c r="CJ1075" t="str">
        <f>""</f>
        <v/>
      </c>
      <c r="CK1075" t="str">
        <f>""</f>
        <v/>
      </c>
      <c r="CL1075" t="str">
        <f>""</f>
        <v/>
      </c>
      <c r="CM1075" t="str">
        <f>""</f>
        <v/>
      </c>
      <c r="CN1075" t="str">
        <f>""</f>
        <v/>
      </c>
      <c r="CO1075" t="str">
        <f>""</f>
        <v/>
      </c>
      <c r="CP1075" t="str">
        <f>""</f>
        <v/>
      </c>
      <c r="CQ1075" t="str">
        <f>""</f>
        <v/>
      </c>
      <c r="CR1075" t="str">
        <f>""</f>
        <v/>
      </c>
      <c r="CS1075" t="str">
        <f>""</f>
        <v/>
      </c>
      <c r="CT1075" t="str">
        <f>""</f>
        <v/>
      </c>
      <c r="CU1075" t="str">
        <f>""</f>
        <v/>
      </c>
      <c r="CV1075" t="str">
        <f>""</f>
        <v/>
      </c>
      <c r="CW1075" t="str">
        <f>""</f>
        <v/>
      </c>
      <c r="CX1075" t="str">
        <f>""</f>
        <v/>
      </c>
      <c r="CY1075" t="str">
        <f>""</f>
        <v/>
      </c>
      <c r="CZ1075" t="str">
        <f>""</f>
        <v/>
      </c>
      <c r="DA1075" t="str">
        <f>""</f>
        <v/>
      </c>
      <c r="DB1075" t="str">
        <f>""</f>
        <v/>
      </c>
      <c r="DC1075" t="str">
        <f>""</f>
        <v/>
      </c>
      <c r="DD1075" t="str">
        <f>""</f>
        <v/>
      </c>
      <c r="DE1075" t="str">
        <f>""</f>
        <v/>
      </c>
      <c r="DF1075" t="str">
        <f>""</f>
        <v/>
      </c>
      <c r="DG1075" t="str">
        <f>""</f>
        <v/>
      </c>
      <c r="DH1075" t="str">
        <f>""</f>
        <v/>
      </c>
      <c r="DI1075" t="str">
        <f>""</f>
        <v/>
      </c>
      <c r="DJ1075" t="str">
        <f>""</f>
        <v/>
      </c>
      <c r="DK1075" t="str">
        <f>""</f>
        <v/>
      </c>
      <c r="DL1075" t="str">
        <f>""</f>
        <v/>
      </c>
      <c r="DM1075" t="str">
        <f>""</f>
        <v/>
      </c>
      <c r="DN1075" t="str">
        <f>""</f>
        <v/>
      </c>
      <c r="DO1075" t="str">
        <f>""</f>
        <v/>
      </c>
      <c r="DP1075" t="str">
        <f>""</f>
        <v/>
      </c>
      <c r="DQ1075" t="str">
        <f>""</f>
        <v/>
      </c>
      <c r="DR1075" t="str">
        <f>""</f>
        <v/>
      </c>
      <c r="DS1075" t="str">
        <f>""</f>
        <v/>
      </c>
      <c r="DT1075" t="str">
        <f>""</f>
        <v/>
      </c>
      <c r="DU1075" t="str">
        <f>""</f>
        <v/>
      </c>
    </row>
    <row r="1076" spans="1:125" x14ac:dyDescent="0.25">
      <c r="A1076" t="str">
        <f>$A$412</f>
        <v xml:space="preserve">    Toyota Motor Corp</v>
      </c>
      <c r="B1076" t="str">
        <f>$B$412</f>
        <v>7203 JP Equity</v>
      </c>
      <c r="C1076" t="str">
        <f>$C$412</f>
        <v>RR480</v>
      </c>
      <c r="D1076" t="str">
        <f>$D$412</f>
        <v>EV_TO_MKT_CAP</v>
      </c>
      <c r="E1076" t="str">
        <f>$E$412</f>
        <v>Dynamic</v>
      </c>
      <c r="F1076" t="str">
        <f ca="1">_xll.BDH($B$412,$C$412,$B$675,$B$676,CONCATENATE("Per=",$B$673),"Dts=H","Dir=H",CONCATENATE("Points=",$B$674),"Sort=R","Days=A","Fill=B",CONCATENATE("FX=", $B$672) )</f>
        <v>#N/A Connection</v>
      </c>
      <c r="BN1076" t="str">
        <f>""</f>
        <v/>
      </c>
      <c r="BO1076" t="str">
        <f>""</f>
        <v/>
      </c>
      <c r="BP1076" t="str">
        <f>""</f>
        <v/>
      </c>
      <c r="BQ1076" t="str">
        <f>""</f>
        <v/>
      </c>
      <c r="BR1076" t="str">
        <f>""</f>
        <v/>
      </c>
      <c r="BS1076" t="str">
        <f>""</f>
        <v/>
      </c>
      <c r="BT1076" t="str">
        <f>""</f>
        <v/>
      </c>
      <c r="BU1076" t="str">
        <f>""</f>
        <v/>
      </c>
      <c r="BV1076" t="str">
        <f>""</f>
        <v/>
      </c>
      <c r="BW1076" t="str">
        <f>""</f>
        <v/>
      </c>
      <c r="BX1076" t="str">
        <f>""</f>
        <v/>
      </c>
      <c r="BY1076" t="str">
        <f>""</f>
        <v/>
      </c>
      <c r="BZ1076" t="str">
        <f>""</f>
        <v/>
      </c>
      <c r="CA1076" t="str">
        <f>""</f>
        <v/>
      </c>
      <c r="CB1076" t="str">
        <f>""</f>
        <v/>
      </c>
      <c r="CC1076" t="str">
        <f>""</f>
        <v/>
      </c>
      <c r="CD1076" t="str">
        <f>""</f>
        <v/>
      </c>
      <c r="CE1076" t="str">
        <f>""</f>
        <v/>
      </c>
      <c r="CF1076" t="str">
        <f>""</f>
        <v/>
      </c>
      <c r="CG1076" t="str">
        <f>""</f>
        <v/>
      </c>
      <c r="CH1076" t="str">
        <f>""</f>
        <v/>
      </c>
      <c r="CI1076" t="str">
        <f>""</f>
        <v/>
      </c>
      <c r="CJ1076" t="str">
        <f>""</f>
        <v/>
      </c>
      <c r="CK1076" t="str">
        <f>""</f>
        <v/>
      </c>
      <c r="CL1076" t="str">
        <f>""</f>
        <v/>
      </c>
      <c r="CM1076" t="str">
        <f>""</f>
        <v/>
      </c>
      <c r="CN1076" t="str">
        <f>""</f>
        <v/>
      </c>
      <c r="CO1076" t="str">
        <f>""</f>
        <v/>
      </c>
      <c r="CP1076" t="str">
        <f>""</f>
        <v/>
      </c>
      <c r="CQ1076" t="str">
        <f>""</f>
        <v/>
      </c>
      <c r="CR1076" t="str">
        <f>""</f>
        <v/>
      </c>
      <c r="CS1076" t="str">
        <f>""</f>
        <v/>
      </c>
      <c r="CT1076" t="str">
        <f>""</f>
        <v/>
      </c>
      <c r="CU1076" t="str">
        <f>""</f>
        <v/>
      </c>
      <c r="CV1076" t="str">
        <f>""</f>
        <v/>
      </c>
      <c r="CW1076" t="str">
        <f>""</f>
        <v/>
      </c>
      <c r="CX1076" t="str">
        <f>""</f>
        <v/>
      </c>
      <c r="CY1076" t="str">
        <f>""</f>
        <v/>
      </c>
      <c r="CZ1076" t="str">
        <f>""</f>
        <v/>
      </c>
      <c r="DA1076" t="str">
        <f>""</f>
        <v/>
      </c>
      <c r="DB1076" t="str">
        <f>""</f>
        <v/>
      </c>
      <c r="DC1076" t="str">
        <f>""</f>
        <v/>
      </c>
      <c r="DD1076" t="str">
        <f>""</f>
        <v/>
      </c>
      <c r="DE1076" t="str">
        <f>""</f>
        <v/>
      </c>
      <c r="DF1076" t="str">
        <f>""</f>
        <v/>
      </c>
      <c r="DG1076" t="str">
        <f>""</f>
        <v/>
      </c>
      <c r="DH1076" t="str">
        <f>""</f>
        <v/>
      </c>
      <c r="DI1076" t="str">
        <f>""</f>
        <v/>
      </c>
      <c r="DJ1076" t="str">
        <f>""</f>
        <v/>
      </c>
      <c r="DK1076" t="str">
        <f>""</f>
        <v/>
      </c>
      <c r="DL1076" t="str">
        <f>""</f>
        <v/>
      </c>
      <c r="DM1076" t="str">
        <f>""</f>
        <v/>
      </c>
      <c r="DN1076" t="str">
        <f>""</f>
        <v/>
      </c>
      <c r="DO1076" t="str">
        <f>""</f>
        <v/>
      </c>
      <c r="DP1076" t="str">
        <f>""</f>
        <v/>
      </c>
      <c r="DQ1076" t="str">
        <f>""</f>
        <v/>
      </c>
      <c r="DR1076" t="str">
        <f>""</f>
        <v/>
      </c>
      <c r="DS1076" t="str">
        <f>""</f>
        <v/>
      </c>
      <c r="DT1076" t="str">
        <f>""</f>
        <v/>
      </c>
      <c r="DU1076" t="str">
        <f>""</f>
        <v/>
      </c>
    </row>
    <row r="1077" spans="1:125" x14ac:dyDescent="0.25">
      <c r="A1077" t="str">
        <f>$A$413</f>
        <v xml:space="preserve">    Volkswagen AG</v>
      </c>
      <c r="B1077" t="str">
        <f>$B$413</f>
        <v>VOW GR Equity</v>
      </c>
      <c r="C1077" t="str">
        <f>$C$413</f>
        <v>RR480</v>
      </c>
      <c r="D1077" t="str">
        <f>$D$413</f>
        <v>EV_TO_MKT_CAP</v>
      </c>
      <c r="E1077" t="str">
        <f>$E$413</f>
        <v>Dynamic</v>
      </c>
      <c r="F1077" t="str">
        <f ca="1">_xll.BDH($B$413,$C$413,$B$675,$B$676,CONCATENATE("Per=",$B$673),"Dts=H","Dir=H",CONCATENATE("Points=",$B$674),"Sort=R","Days=A","Fill=B",CONCATENATE("FX=", $B$672) )</f>
        <v>#N/A Connection</v>
      </c>
      <c r="BN1077" t="str">
        <f>""</f>
        <v/>
      </c>
      <c r="BO1077" t="str">
        <f>""</f>
        <v/>
      </c>
      <c r="BP1077" t="str">
        <f>""</f>
        <v/>
      </c>
      <c r="BQ1077" t="str">
        <f>""</f>
        <v/>
      </c>
      <c r="BR1077" t="str">
        <f>""</f>
        <v/>
      </c>
      <c r="BS1077" t="str">
        <f>""</f>
        <v/>
      </c>
      <c r="BT1077" t="str">
        <f>""</f>
        <v/>
      </c>
      <c r="BU1077" t="str">
        <f>""</f>
        <v/>
      </c>
      <c r="BV1077" t="str">
        <f>""</f>
        <v/>
      </c>
      <c r="BW1077" t="str">
        <f>""</f>
        <v/>
      </c>
      <c r="BX1077" t="str">
        <f>""</f>
        <v/>
      </c>
      <c r="BY1077" t="str">
        <f>""</f>
        <v/>
      </c>
      <c r="BZ1077" t="str">
        <f>""</f>
        <v/>
      </c>
      <c r="CA1077" t="str">
        <f>""</f>
        <v/>
      </c>
      <c r="CB1077" t="str">
        <f>""</f>
        <v/>
      </c>
      <c r="CC1077" t="str">
        <f>""</f>
        <v/>
      </c>
      <c r="CD1077" t="str">
        <f>""</f>
        <v/>
      </c>
      <c r="CE1077" t="str">
        <f>""</f>
        <v/>
      </c>
      <c r="CF1077" t="str">
        <f>""</f>
        <v/>
      </c>
      <c r="CG1077" t="str">
        <f>""</f>
        <v/>
      </c>
      <c r="CH1077" t="str">
        <f>""</f>
        <v/>
      </c>
      <c r="CI1077" t="str">
        <f>""</f>
        <v/>
      </c>
      <c r="CJ1077" t="str">
        <f>""</f>
        <v/>
      </c>
      <c r="CK1077" t="str">
        <f>""</f>
        <v/>
      </c>
      <c r="CL1077" t="str">
        <f>""</f>
        <v/>
      </c>
      <c r="CM1077" t="str">
        <f>""</f>
        <v/>
      </c>
      <c r="CN1077" t="str">
        <f>""</f>
        <v/>
      </c>
      <c r="CO1077" t="str">
        <f>""</f>
        <v/>
      </c>
      <c r="CP1077" t="str">
        <f>""</f>
        <v/>
      </c>
      <c r="CQ1077" t="str">
        <f>""</f>
        <v/>
      </c>
      <c r="CR1077" t="str">
        <f>""</f>
        <v/>
      </c>
      <c r="CS1077" t="str">
        <f>""</f>
        <v/>
      </c>
      <c r="CT1077" t="str">
        <f>""</f>
        <v/>
      </c>
      <c r="CU1077" t="str">
        <f>""</f>
        <v/>
      </c>
      <c r="CV1077" t="str">
        <f>""</f>
        <v/>
      </c>
      <c r="CW1077" t="str">
        <f>""</f>
        <v/>
      </c>
      <c r="CX1077" t="str">
        <f>""</f>
        <v/>
      </c>
      <c r="CY1077" t="str">
        <f>""</f>
        <v/>
      </c>
      <c r="CZ1077" t="str">
        <f>""</f>
        <v/>
      </c>
      <c r="DA1077" t="str">
        <f>""</f>
        <v/>
      </c>
      <c r="DB1077" t="str">
        <f>""</f>
        <v/>
      </c>
      <c r="DC1077" t="str">
        <f>""</f>
        <v/>
      </c>
      <c r="DD1077" t="str">
        <f>""</f>
        <v/>
      </c>
      <c r="DE1077" t="str">
        <f>""</f>
        <v/>
      </c>
      <c r="DF1077" t="str">
        <f>""</f>
        <v/>
      </c>
      <c r="DG1077" t="str">
        <f>""</f>
        <v/>
      </c>
      <c r="DH1077" t="str">
        <f>""</f>
        <v/>
      </c>
      <c r="DI1077" t="str">
        <f>""</f>
        <v/>
      </c>
      <c r="DJ1077" t="str">
        <f>""</f>
        <v/>
      </c>
      <c r="DK1077" t="str">
        <f>""</f>
        <v/>
      </c>
      <c r="DL1077" t="str">
        <f>""</f>
        <v/>
      </c>
      <c r="DM1077" t="str">
        <f>""</f>
        <v/>
      </c>
      <c r="DN1077" t="str">
        <f>""</f>
        <v/>
      </c>
      <c r="DO1077" t="str">
        <f>""</f>
        <v/>
      </c>
      <c r="DP1077" t="str">
        <f>""</f>
        <v/>
      </c>
      <c r="DQ1077" t="str">
        <f>""</f>
        <v/>
      </c>
      <c r="DR1077" t="str">
        <f>""</f>
        <v/>
      </c>
      <c r="DS1077" t="str">
        <f>""</f>
        <v/>
      </c>
      <c r="DT1077" t="str">
        <f>""</f>
        <v/>
      </c>
      <c r="DU1077" t="str">
        <f>""</f>
        <v/>
      </c>
    </row>
    <row r="1078" spans="1:125" x14ac:dyDescent="0.25">
      <c r="A1078" t="str">
        <f>$A$414</f>
        <v xml:space="preserve">    Yulon Motor Co Ltd</v>
      </c>
      <c r="B1078" t="str">
        <f>$B$414</f>
        <v>2201 TT Equity</v>
      </c>
      <c r="C1078" t="str">
        <f>$C$414</f>
        <v>RR480</v>
      </c>
      <c r="D1078" t="str">
        <f>$D$414</f>
        <v>EV_TO_MKT_CAP</v>
      </c>
      <c r="E1078" t="str">
        <f>$E$414</f>
        <v>Dynamic</v>
      </c>
      <c r="F1078" t="str">
        <f ca="1">_xll.BDH($B$414,$C$414,$B$675,$B$676,CONCATENATE("Per=",$B$673),"Dts=H","Dir=H",CONCATENATE("Points=",$B$674),"Sort=R","Days=A","Fill=B",CONCATENATE("FX=", $B$672) )</f>
        <v>#N/A Connection</v>
      </c>
      <c r="BN1078" t="str">
        <f>""</f>
        <v/>
      </c>
      <c r="BO1078" t="str">
        <f>""</f>
        <v/>
      </c>
      <c r="BP1078" t="str">
        <f>""</f>
        <v/>
      </c>
      <c r="BQ1078" t="str">
        <f>""</f>
        <v/>
      </c>
      <c r="BR1078" t="str">
        <f>""</f>
        <v/>
      </c>
      <c r="BS1078" t="str">
        <f>""</f>
        <v/>
      </c>
      <c r="BT1078" t="str">
        <f>""</f>
        <v/>
      </c>
      <c r="BU1078" t="str">
        <f>""</f>
        <v/>
      </c>
      <c r="BV1078" t="str">
        <f>""</f>
        <v/>
      </c>
      <c r="BW1078" t="str">
        <f>""</f>
        <v/>
      </c>
      <c r="BX1078" t="str">
        <f>""</f>
        <v/>
      </c>
      <c r="BY1078" t="str">
        <f>""</f>
        <v/>
      </c>
      <c r="BZ1078" t="str">
        <f>""</f>
        <v/>
      </c>
      <c r="CA1078" t="str">
        <f>""</f>
        <v/>
      </c>
      <c r="CB1078" t="str">
        <f>""</f>
        <v/>
      </c>
      <c r="CC1078" t="str">
        <f>""</f>
        <v/>
      </c>
      <c r="CD1078" t="str">
        <f>""</f>
        <v/>
      </c>
      <c r="CE1078" t="str">
        <f>""</f>
        <v/>
      </c>
      <c r="CF1078" t="str">
        <f>""</f>
        <v/>
      </c>
      <c r="CG1078" t="str">
        <f>""</f>
        <v/>
      </c>
      <c r="CH1078" t="str">
        <f>""</f>
        <v/>
      </c>
      <c r="CI1078" t="str">
        <f>""</f>
        <v/>
      </c>
      <c r="CJ1078" t="str">
        <f>""</f>
        <v/>
      </c>
      <c r="CK1078" t="str">
        <f>""</f>
        <v/>
      </c>
      <c r="CL1078" t="str">
        <f>""</f>
        <v/>
      </c>
      <c r="CM1078" t="str">
        <f>""</f>
        <v/>
      </c>
      <c r="CN1078" t="str">
        <f>""</f>
        <v/>
      </c>
      <c r="CO1078" t="str">
        <f>""</f>
        <v/>
      </c>
      <c r="CP1078" t="str">
        <f>""</f>
        <v/>
      </c>
      <c r="CQ1078" t="str">
        <f>""</f>
        <v/>
      </c>
      <c r="CR1078" t="str">
        <f>""</f>
        <v/>
      </c>
      <c r="CS1078" t="str">
        <f>""</f>
        <v/>
      </c>
      <c r="CT1078" t="str">
        <f>""</f>
        <v/>
      </c>
      <c r="CU1078" t="str">
        <f>""</f>
        <v/>
      </c>
      <c r="CV1078" t="str">
        <f>""</f>
        <v/>
      </c>
      <c r="CW1078" t="str">
        <f>""</f>
        <v/>
      </c>
      <c r="CX1078" t="str">
        <f>""</f>
        <v/>
      </c>
      <c r="CY1078" t="str">
        <f>""</f>
        <v/>
      </c>
      <c r="CZ1078" t="str">
        <f>""</f>
        <v/>
      </c>
      <c r="DA1078" t="str">
        <f>""</f>
        <v/>
      </c>
      <c r="DB1078" t="str">
        <f>""</f>
        <v/>
      </c>
      <c r="DC1078" t="str">
        <f>""</f>
        <v/>
      </c>
      <c r="DD1078" t="str">
        <f>""</f>
        <v/>
      </c>
      <c r="DE1078" t="str">
        <f>""</f>
        <v/>
      </c>
      <c r="DF1078" t="str">
        <f>""</f>
        <v/>
      </c>
      <c r="DG1078" t="str">
        <f>""</f>
        <v/>
      </c>
      <c r="DH1078" t="str">
        <f>""</f>
        <v/>
      </c>
      <c r="DI1078" t="str">
        <f>""</f>
        <v/>
      </c>
      <c r="DJ1078" t="str">
        <f>""</f>
        <v/>
      </c>
      <c r="DK1078" t="str">
        <f>""</f>
        <v/>
      </c>
      <c r="DL1078" t="str">
        <f>""</f>
        <v/>
      </c>
      <c r="DM1078" t="str">
        <f>""</f>
        <v/>
      </c>
      <c r="DN1078" t="str">
        <f>""</f>
        <v/>
      </c>
      <c r="DO1078" t="str">
        <f>""</f>
        <v/>
      </c>
      <c r="DP1078" t="str">
        <f>""</f>
        <v/>
      </c>
      <c r="DQ1078" t="str">
        <f>""</f>
        <v/>
      </c>
      <c r="DR1078" t="str">
        <f>""</f>
        <v/>
      </c>
      <c r="DS1078" t="str">
        <f>""</f>
        <v/>
      </c>
      <c r="DT1078" t="str">
        <f>""</f>
        <v/>
      </c>
      <c r="DU1078" t="str">
        <f>""</f>
        <v/>
      </c>
    </row>
    <row r="1079" spans="1:125" x14ac:dyDescent="0.25">
      <c r="A1079" t="str">
        <f>$A$416</f>
        <v xml:space="preserve">    AUDI AG</v>
      </c>
      <c r="B1079" t="str">
        <f>$B$416</f>
        <v>NSU GR Equity</v>
      </c>
      <c r="C1079" t="str">
        <f>$C$416</f>
        <v>RR477</v>
      </c>
      <c r="D1079" t="str">
        <f>$D$416</f>
        <v>EV_TO_T12M_CASH_FLOW</v>
      </c>
      <c r="E1079" t="str">
        <f>$E$416</f>
        <v>Dynamic</v>
      </c>
      <c r="F1079" t="str">
        <f ca="1">_xll.BDH($B$416,$C$416,$B$675,$B$676,CONCATENATE("Per=",$B$673),"Dts=H","Dir=H",CONCATENATE("Points=",$B$674),"Sort=R","Days=A","Fill=B",CONCATENATE("FX=", $B$672) )</f>
        <v>#N/A Connection</v>
      </c>
      <c r="BN1079" t="str">
        <f>""</f>
        <v/>
      </c>
      <c r="BO1079" t="str">
        <f>""</f>
        <v/>
      </c>
      <c r="BP1079" t="str">
        <f>""</f>
        <v/>
      </c>
      <c r="BQ1079" t="str">
        <f>""</f>
        <v/>
      </c>
      <c r="BR1079" t="str">
        <f>""</f>
        <v/>
      </c>
      <c r="BS1079" t="str">
        <f>""</f>
        <v/>
      </c>
      <c r="BT1079" t="str">
        <f>""</f>
        <v/>
      </c>
      <c r="BU1079" t="str">
        <f>""</f>
        <v/>
      </c>
      <c r="BV1079" t="str">
        <f>""</f>
        <v/>
      </c>
      <c r="BW1079" t="str">
        <f>""</f>
        <v/>
      </c>
      <c r="BX1079" t="str">
        <f>""</f>
        <v/>
      </c>
      <c r="BY1079" t="str">
        <f>""</f>
        <v/>
      </c>
      <c r="BZ1079" t="str">
        <f>""</f>
        <v/>
      </c>
      <c r="CA1079" t="str">
        <f>""</f>
        <v/>
      </c>
      <c r="CB1079" t="str">
        <f>""</f>
        <v/>
      </c>
      <c r="CC1079" t="str">
        <f>""</f>
        <v/>
      </c>
      <c r="CD1079" t="str">
        <f>""</f>
        <v/>
      </c>
      <c r="CE1079" t="str">
        <f>""</f>
        <v/>
      </c>
      <c r="CF1079" t="str">
        <f>""</f>
        <v/>
      </c>
      <c r="CG1079" t="str">
        <f>""</f>
        <v/>
      </c>
      <c r="CH1079" t="str">
        <f>""</f>
        <v/>
      </c>
      <c r="CI1079" t="str">
        <f>""</f>
        <v/>
      </c>
      <c r="CJ1079" t="str">
        <f>""</f>
        <v/>
      </c>
      <c r="CK1079" t="str">
        <f>""</f>
        <v/>
      </c>
      <c r="CL1079" t="str">
        <f>""</f>
        <v/>
      </c>
      <c r="CM1079" t="str">
        <f>""</f>
        <v/>
      </c>
      <c r="CN1079" t="str">
        <f>""</f>
        <v/>
      </c>
      <c r="CO1079" t="str">
        <f>""</f>
        <v/>
      </c>
      <c r="CP1079" t="str">
        <f>""</f>
        <v/>
      </c>
      <c r="CQ1079" t="str">
        <f>""</f>
        <v/>
      </c>
      <c r="CR1079" t="str">
        <f>""</f>
        <v/>
      </c>
      <c r="CS1079" t="str">
        <f>""</f>
        <v/>
      </c>
      <c r="CT1079" t="str">
        <f>""</f>
        <v/>
      </c>
      <c r="CU1079" t="str">
        <f>""</f>
        <v/>
      </c>
      <c r="CV1079" t="str">
        <f>""</f>
        <v/>
      </c>
      <c r="CW1079" t="str">
        <f>""</f>
        <v/>
      </c>
      <c r="CX1079" t="str">
        <f>""</f>
        <v/>
      </c>
      <c r="CY1079" t="str">
        <f>""</f>
        <v/>
      </c>
      <c r="CZ1079" t="str">
        <f>""</f>
        <v/>
      </c>
      <c r="DA1079" t="str">
        <f>""</f>
        <v/>
      </c>
      <c r="DB1079" t="str">
        <f>""</f>
        <v/>
      </c>
      <c r="DC1079" t="str">
        <f>""</f>
        <v/>
      </c>
      <c r="DD1079" t="str">
        <f>""</f>
        <v/>
      </c>
      <c r="DE1079" t="str">
        <f>""</f>
        <v/>
      </c>
      <c r="DF1079" t="str">
        <f>""</f>
        <v/>
      </c>
      <c r="DG1079" t="str">
        <f>""</f>
        <v/>
      </c>
      <c r="DH1079" t="str">
        <f>""</f>
        <v/>
      </c>
      <c r="DI1079" t="str">
        <f>""</f>
        <v/>
      </c>
      <c r="DJ1079" t="str">
        <f>""</f>
        <v/>
      </c>
      <c r="DK1079" t="str">
        <f>""</f>
        <v/>
      </c>
      <c r="DL1079" t="str">
        <f>""</f>
        <v/>
      </c>
      <c r="DM1079" t="str">
        <f>""</f>
        <v/>
      </c>
      <c r="DN1079" t="str">
        <f>""</f>
        <v/>
      </c>
      <c r="DO1079" t="str">
        <f>""</f>
        <v/>
      </c>
      <c r="DP1079" t="str">
        <f>""</f>
        <v/>
      </c>
      <c r="DQ1079" t="str">
        <f>""</f>
        <v/>
      </c>
      <c r="DR1079" t="str">
        <f>""</f>
        <v/>
      </c>
      <c r="DS1079" t="str">
        <f>""</f>
        <v/>
      </c>
      <c r="DT1079" t="str">
        <f>""</f>
        <v/>
      </c>
      <c r="DU1079" t="str">
        <f>""</f>
        <v/>
      </c>
    </row>
    <row r="1080" spans="1:125" x14ac:dyDescent="0.25">
      <c r="A1080" t="str">
        <f>$A$417</f>
        <v xml:space="preserve">    Avtovaz PJSC</v>
      </c>
      <c r="B1080" t="str">
        <f>$B$417</f>
        <v>AVAZ RM Equity</v>
      </c>
      <c r="C1080" t="str">
        <f>$C$417</f>
        <v>RR477</v>
      </c>
      <c r="D1080" t="str">
        <f>$D$417</f>
        <v>EV_TO_T12M_CASH_FLOW</v>
      </c>
      <c r="E1080" t="str">
        <f>$E$417</f>
        <v>Dynamic</v>
      </c>
      <c r="F1080" t="str">
        <f ca="1">_xll.BDH($B$417,$C$417,$B$675,$B$676,CONCATENATE("Per=",$B$673),"Dts=H","Dir=H",CONCATENATE("Points=",$B$674),"Sort=R","Days=A","Fill=B",CONCATENATE("FX=", $B$672) )</f>
        <v>#N/A Connection</v>
      </c>
      <c r="BN1080" t="str">
        <f>""</f>
        <v/>
      </c>
      <c r="BO1080" t="str">
        <f>""</f>
        <v/>
      </c>
      <c r="BP1080" t="str">
        <f>""</f>
        <v/>
      </c>
      <c r="BQ1080" t="str">
        <f>""</f>
        <v/>
      </c>
      <c r="BR1080" t="str">
        <f>""</f>
        <v/>
      </c>
      <c r="BS1080" t="str">
        <f>""</f>
        <v/>
      </c>
      <c r="BT1080" t="str">
        <f>""</f>
        <v/>
      </c>
      <c r="BU1080" t="str">
        <f>""</f>
        <v/>
      </c>
      <c r="BV1080" t="str">
        <f>""</f>
        <v/>
      </c>
      <c r="BW1080" t="str">
        <f>""</f>
        <v/>
      </c>
      <c r="BX1080" t="str">
        <f>""</f>
        <v/>
      </c>
      <c r="BY1080" t="str">
        <f>""</f>
        <v/>
      </c>
      <c r="BZ1080" t="str">
        <f>""</f>
        <v/>
      </c>
      <c r="CA1080" t="str">
        <f>""</f>
        <v/>
      </c>
      <c r="CB1080" t="str">
        <f>""</f>
        <v/>
      </c>
      <c r="CC1080" t="str">
        <f>""</f>
        <v/>
      </c>
      <c r="CD1080" t="str">
        <f>""</f>
        <v/>
      </c>
      <c r="CE1080" t="str">
        <f>""</f>
        <v/>
      </c>
      <c r="CF1080" t="str">
        <f>""</f>
        <v/>
      </c>
      <c r="CG1080" t="str">
        <f>""</f>
        <v/>
      </c>
      <c r="CH1080" t="str">
        <f>""</f>
        <v/>
      </c>
      <c r="CI1080" t="str">
        <f>""</f>
        <v/>
      </c>
      <c r="CJ1080" t="str">
        <f>""</f>
        <v/>
      </c>
      <c r="CK1080" t="str">
        <f>""</f>
        <v/>
      </c>
      <c r="CL1080" t="str">
        <f>""</f>
        <v/>
      </c>
      <c r="CM1080" t="str">
        <f>""</f>
        <v/>
      </c>
      <c r="CN1080" t="str">
        <f>""</f>
        <v/>
      </c>
      <c r="CO1080" t="str">
        <f>""</f>
        <v/>
      </c>
      <c r="CP1080" t="str">
        <f>""</f>
        <v/>
      </c>
      <c r="CQ1080" t="str">
        <f>""</f>
        <v/>
      </c>
      <c r="CR1080" t="str">
        <f>""</f>
        <v/>
      </c>
      <c r="CS1080" t="str">
        <f>""</f>
        <v/>
      </c>
      <c r="CT1080" t="str">
        <f>""</f>
        <v/>
      </c>
      <c r="CU1080" t="str">
        <f>""</f>
        <v/>
      </c>
      <c r="CV1080" t="str">
        <f>""</f>
        <v/>
      </c>
      <c r="CW1080" t="str">
        <f>""</f>
        <v/>
      </c>
      <c r="CX1080" t="str">
        <f>""</f>
        <v/>
      </c>
      <c r="CY1080" t="str">
        <f>""</f>
        <v/>
      </c>
      <c r="CZ1080" t="str">
        <f>""</f>
        <v/>
      </c>
      <c r="DA1080" t="str">
        <f>""</f>
        <v/>
      </c>
      <c r="DB1080" t="str">
        <f>""</f>
        <v/>
      </c>
      <c r="DC1080" t="str">
        <f>""</f>
        <v/>
      </c>
      <c r="DD1080" t="str">
        <f>""</f>
        <v/>
      </c>
      <c r="DE1080" t="str">
        <f>""</f>
        <v/>
      </c>
      <c r="DF1080" t="str">
        <f>""</f>
        <v/>
      </c>
      <c r="DG1080" t="str">
        <f>""</f>
        <v/>
      </c>
      <c r="DH1080" t="str">
        <f>""</f>
        <v/>
      </c>
      <c r="DI1080" t="str">
        <f>""</f>
        <v/>
      </c>
      <c r="DJ1080" t="str">
        <f>""</f>
        <v/>
      </c>
      <c r="DK1080" t="str">
        <f>""</f>
        <v/>
      </c>
      <c r="DL1080" t="str">
        <f>""</f>
        <v/>
      </c>
      <c r="DM1080" t="str">
        <f>""</f>
        <v/>
      </c>
      <c r="DN1080" t="str">
        <f>""</f>
        <v/>
      </c>
      <c r="DO1080" t="str">
        <f>""</f>
        <v/>
      </c>
      <c r="DP1080" t="str">
        <f>""</f>
        <v/>
      </c>
      <c r="DQ1080" t="str">
        <f>""</f>
        <v/>
      </c>
      <c r="DR1080" t="str">
        <f>""</f>
        <v/>
      </c>
      <c r="DS1080" t="str">
        <f>""</f>
        <v/>
      </c>
      <c r="DT1080" t="str">
        <f>""</f>
        <v/>
      </c>
      <c r="DU1080" t="str">
        <f>""</f>
        <v/>
      </c>
    </row>
    <row r="1081" spans="1:125" x14ac:dyDescent="0.25">
      <c r="A1081" t="str">
        <f>$A$418</f>
        <v xml:space="preserve">    Bayerische Motoren Werke AG</v>
      </c>
      <c r="B1081" t="str">
        <f>$B$418</f>
        <v>BMW GR Equity</v>
      </c>
      <c r="C1081" t="str">
        <f>$C$418</f>
        <v>RR477</v>
      </c>
      <c r="D1081" t="str">
        <f>$D$418</f>
        <v>EV_TO_T12M_CASH_FLOW</v>
      </c>
      <c r="E1081" t="str">
        <f>$E$418</f>
        <v>Dynamic</v>
      </c>
      <c r="F1081" t="str">
        <f ca="1">_xll.BDH($B$418,$C$418,$B$675,$B$676,CONCATENATE("Per=",$B$673),"Dts=H","Dir=H",CONCATENATE("Points=",$B$674),"Sort=R","Days=A","Fill=B",CONCATENATE("FX=", $B$672) )</f>
        <v>#N/A Connection</v>
      </c>
      <c r="BN1081" t="str">
        <f>""</f>
        <v/>
      </c>
      <c r="BO1081" t="str">
        <f>""</f>
        <v/>
      </c>
      <c r="BP1081" t="str">
        <f>""</f>
        <v/>
      </c>
      <c r="BQ1081" t="str">
        <f>""</f>
        <v/>
      </c>
      <c r="BR1081" t="str">
        <f>""</f>
        <v/>
      </c>
      <c r="BS1081" t="str">
        <f>""</f>
        <v/>
      </c>
      <c r="BT1081" t="str">
        <f>""</f>
        <v/>
      </c>
      <c r="BU1081" t="str">
        <f>""</f>
        <v/>
      </c>
      <c r="BV1081" t="str">
        <f>""</f>
        <v/>
      </c>
      <c r="BW1081" t="str">
        <f>""</f>
        <v/>
      </c>
      <c r="BX1081" t="str">
        <f>""</f>
        <v/>
      </c>
      <c r="BY1081" t="str">
        <f>""</f>
        <v/>
      </c>
      <c r="BZ1081" t="str">
        <f>""</f>
        <v/>
      </c>
      <c r="CA1081" t="str">
        <f>""</f>
        <v/>
      </c>
      <c r="CB1081" t="str">
        <f>""</f>
        <v/>
      </c>
      <c r="CC1081" t="str">
        <f>""</f>
        <v/>
      </c>
      <c r="CD1081" t="str">
        <f>""</f>
        <v/>
      </c>
      <c r="CE1081" t="str">
        <f>""</f>
        <v/>
      </c>
      <c r="CF1081" t="str">
        <f>""</f>
        <v/>
      </c>
      <c r="CG1081" t="str">
        <f>""</f>
        <v/>
      </c>
      <c r="CH1081" t="str">
        <f>""</f>
        <v/>
      </c>
      <c r="CI1081" t="str">
        <f>""</f>
        <v/>
      </c>
      <c r="CJ1081" t="str">
        <f>""</f>
        <v/>
      </c>
      <c r="CK1081" t="str">
        <f>""</f>
        <v/>
      </c>
      <c r="CL1081" t="str">
        <f>""</f>
        <v/>
      </c>
      <c r="CM1081" t="str">
        <f>""</f>
        <v/>
      </c>
      <c r="CN1081" t="str">
        <f>""</f>
        <v/>
      </c>
      <c r="CO1081" t="str">
        <f>""</f>
        <v/>
      </c>
      <c r="CP1081" t="str">
        <f>""</f>
        <v/>
      </c>
      <c r="CQ1081" t="str">
        <f>""</f>
        <v/>
      </c>
      <c r="CR1081" t="str">
        <f>""</f>
        <v/>
      </c>
      <c r="CS1081" t="str">
        <f>""</f>
        <v/>
      </c>
      <c r="CT1081" t="str">
        <f>""</f>
        <v/>
      </c>
      <c r="CU1081" t="str">
        <f>""</f>
        <v/>
      </c>
      <c r="CV1081" t="str">
        <f>""</f>
        <v/>
      </c>
      <c r="CW1081" t="str">
        <f>""</f>
        <v/>
      </c>
      <c r="CX1081" t="str">
        <f>""</f>
        <v/>
      </c>
      <c r="CY1081" t="str">
        <f>""</f>
        <v/>
      </c>
      <c r="CZ1081" t="str">
        <f>""</f>
        <v/>
      </c>
      <c r="DA1081" t="str">
        <f>""</f>
        <v/>
      </c>
      <c r="DB1081" t="str">
        <f>""</f>
        <v/>
      </c>
      <c r="DC1081" t="str">
        <f>""</f>
        <v/>
      </c>
      <c r="DD1081" t="str">
        <f>""</f>
        <v/>
      </c>
      <c r="DE1081" t="str">
        <f>""</f>
        <v/>
      </c>
      <c r="DF1081" t="str">
        <f>""</f>
        <v/>
      </c>
      <c r="DG1081" t="str">
        <f>""</f>
        <v/>
      </c>
      <c r="DH1081" t="str">
        <f>""</f>
        <v/>
      </c>
      <c r="DI1081" t="str">
        <f>""</f>
        <v/>
      </c>
      <c r="DJ1081" t="str">
        <f>""</f>
        <v/>
      </c>
      <c r="DK1081" t="str">
        <f>""</f>
        <v/>
      </c>
      <c r="DL1081" t="str">
        <f>""</f>
        <v/>
      </c>
      <c r="DM1081" t="str">
        <f>""</f>
        <v/>
      </c>
      <c r="DN1081" t="str">
        <f>""</f>
        <v/>
      </c>
      <c r="DO1081" t="str">
        <f>""</f>
        <v/>
      </c>
      <c r="DP1081" t="str">
        <f>""</f>
        <v/>
      </c>
      <c r="DQ1081" t="str">
        <f>""</f>
        <v/>
      </c>
      <c r="DR1081" t="str">
        <f>""</f>
        <v/>
      </c>
      <c r="DS1081" t="str">
        <f>""</f>
        <v/>
      </c>
      <c r="DT1081" t="str">
        <f>""</f>
        <v/>
      </c>
      <c r="DU1081" t="str">
        <f>""</f>
        <v/>
      </c>
    </row>
    <row r="1082" spans="1:125" x14ac:dyDescent="0.25">
      <c r="A1082" t="str">
        <f>$A$419</f>
        <v xml:space="preserve">    Brilliance China Automotive Holdings Ltd</v>
      </c>
      <c r="B1082" t="str">
        <f>$B$419</f>
        <v>1114 HK Equity</v>
      </c>
      <c r="C1082" t="str">
        <f>$C$419</f>
        <v>RR477</v>
      </c>
      <c r="D1082" t="str">
        <f>$D$419</f>
        <v>EV_TO_T12M_CASH_FLOW</v>
      </c>
      <c r="E1082" t="str">
        <f>$E$419</f>
        <v>Dynamic</v>
      </c>
      <c r="F1082" t="str">
        <f ca="1">_xll.BDH($B$419,$C$419,$B$675,$B$676,CONCATENATE("Per=",$B$673),"Dts=H","Dir=H",CONCATENATE("Points=",$B$674),"Sort=R","Days=A","Fill=B",CONCATENATE("FX=", $B$672) )</f>
        <v>#N/A Connection</v>
      </c>
      <c r="BN1082" t="str">
        <f>""</f>
        <v/>
      </c>
      <c r="BO1082" t="str">
        <f>""</f>
        <v/>
      </c>
      <c r="BP1082" t="str">
        <f>""</f>
        <v/>
      </c>
      <c r="BQ1082" t="str">
        <f>""</f>
        <v/>
      </c>
      <c r="BR1082" t="str">
        <f>""</f>
        <v/>
      </c>
      <c r="BS1082" t="str">
        <f>""</f>
        <v/>
      </c>
      <c r="BT1082" t="str">
        <f>""</f>
        <v/>
      </c>
      <c r="BU1082" t="str">
        <f>""</f>
        <v/>
      </c>
      <c r="BV1082" t="str">
        <f>""</f>
        <v/>
      </c>
      <c r="BW1082" t="str">
        <f>""</f>
        <v/>
      </c>
      <c r="BX1082" t="str">
        <f>""</f>
        <v/>
      </c>
      <c r="BY1082" t="str">
        <f>""</f>
        <v/>
      </c>
      <c r="BZ1082" t="str">
        <f>""</f>
        <v/>
      </c>
      <c r="CA1082" t="str">
        <f>""</f>
        <v/>
      </c>
      <c r="CB1082" t="str">
        <f>""</f>
        <v/>
      </c>
      <c r="CC1082" t="str">
        <f>""</f>
        <v/>
      </c>
      <c r="CD1082" t="str">
        <f>""</f>
        <v/>
      </c>
      <c r="CE1082" t="str">
        <f>""</f>
        <v/>
      </c>
      <c r="CF1082" t="str">
        <f>""</f>
        <v/>
      </c>
      <c r="CG1082" t="str">
        <f>""</f>
        <v/>
      </c>
      <c r="CH1082" t="str">
        <f>""</f>
        <v/>
      </c>
      <c r="CI1082" t="str">
        <f>""</f>
        <v/>
      </c>
      <c r="CJ1082" t="str">
        <f>""</f>
        <v/>
      </c>
      <c r="CK1082" t="str">
        <f>""</f>
        <v/>
      </c>
      <c r="CL1082" t="str">
        <f>""</f>
        <v/>
      </c>
      <c r="CM1082" t="str">
        <f>""</f>
        <v/>
      </c>
      <c r="CN1082" t="str">
        <f>""</f>
        <v/>
      </c>
      <c r="CO1082" t="str">
        <f>""</f>
        <v/>
      </c>
      <c r="CP1082" t="str">
        <f>""</f>
        <v/>
      </c>
      <c r="CQ1082" t="str">
        <f>""</f>
        <v/>
      </c>
      <c r="CR1082" t="str">
        <f>""</f>
        <v/>
      </c>
      <c r="CS1082" t="str">
        <f>""</f>
        <v/>
      </c>
      <c r="CT1082" t="str">
        <f>""</f>
        <v/>
      </c>
      <c r="CU1082" t="str">
        <f>""</f>
        <v/>
      </c>
      <c r="CV1082" t="str">
        <f>""</f>
        <v/>
      </c>
      <c r="CW1082" t="str">
        <f>""</f>
        <v/>
      </c>
      <c r="CX1082" t="str">
        <f>""</f>
        <v/>
      </c>
      <c r="CY1082" t="str">
        <f>""</f>
        <v/>
      </c>
      <c r="CZ1082" t="str">
        <f>""</f>
        <v/>
      </c>
      <c r="DA1082" t="str">
        <f>""</f>
        <v/>
      </c>
      <c r="DB1082" t="str">
        <f>""</f>
        <v/>
      </c>
      <c r="DC1082" t="str">
        <f>""</f>
        <v/>
      </c>
      <c r="DD1082" t="str">
        <f>""</f>
        <v/>
      </c>
      <c r="DE1082" t="str">
        <f>""</f>
        <v/>
      </c>
      <c r="DF1082" t="str">
        <f>""</f>
        <v/>
      </c>
      <c r="DG1082" t="str">
        <f>""</f>
        <v/>
      </c>
      <c r="DH1082" t="str">
        <f>""</f>
        <v/>
      </c>
      <c r="DI1082" t="str">
        <f>""</f>
        <v/>
      </c>
      <c r="DJ1082" t="str">
        <f>""</f>
        <v/>
      </c>
      <c r="DK1082" t="str">
        <f>""</f>
        <v/>
      </c>
      <c r="DL1082" t="str">
        <f>""</f>
        <v/>
      </c>
      <c r="DM1082" t="str">
        <f>""</f>
        <v/>
      </c>
      <c r="DN1082" t="str">
        <f>""</f>
        <v/>
      </c>
      <c r="DO1082" t="str">
        <f>""</f>
        <v/>
      </c>
      <c r="DP1082" t="str">
        <f>""</f>
        <v/>
      </c>
      <c r="DQ1082" t="str">
        <f>""</f>
        <v/>
      </c>
      <c r="DR1082" t="str">
        <f>""</f>
        <v/>
      </c>
      <c r="DS1082" t="str">
        <f>""</f>
        <v/>
      </c>
      <c r="DT1082" t="str">
        <f>""</f>
        <v/>
      </c>
      <c r="DU1082" t="str">
        <f>""</f>
        <v/>
      </c>
    </row>
    <row r="1083" spans="1:125" x14ac:dyDescent="0.25">
      <c r="A1083" t="str">
        <f>$A$420</f>
        <v xml:space="preserve">    BYD Co Ltd</v>
      </c>
      <c r="B1083" t="str">
        <f>$B$420</f>
        <v>1211 HK Equity</v>
      </c>
      <c r="C1083" t="str">
        <f>$C$420</f>
        <v>RR477</v>
      </c>
      <c r="D1083" t="str">
        <f>$D$420</f>
        <v>EV_TO_T12M_CASH_FLOW</v>
      </c>
      <c r="E1083" t="str">
        <f>$E$420</f>
        <v>Dynamic</v>
      </c>
      <c r="F1083" t="str">
        <f ca="1">_xll.BDH($B$420,$C$420,$B$675,$B$676,CONCATENATE("Per=",$B$673),"Dts=H","Dir=H",CONCATENATE("Points=",$B$674),"Sort=R","Days=A","Fill=B",CONCATENATE("FX=", $B$672) )</f>
        <v>#N/A Connection</v>
      </c>
      <c r="BN1083" t="str">
        <f>""</f>
        <v/>
      </c>
      <c r="BO1083" t="str">
        <f>""</f>
        <v/>
      </c>
      <c r="BP1083" t="str">
        <f>""</f>
        <v/>
      </c>
      <c r="BQ1083" t="str">
        <f>""</f>
        <v/>
      </c>
      <c r="BR1083" t="str">
        <f>""</f>
        <v/>
      </c>
      <c r="BS1083" t="str">
        <f>""</f>
        <v/>
      </c>
      <c r="BT1083" t="str">
        <f>""</f>
        <v/>
      </c>
      <c r="BU1083" t="str">
        <f>""</f>
        <v/>
      </c>
      <c r="BV1083" t="str">
        <f>""</f>
        <v/>
      </c>
      <c r="BW1083" t="str">
        <f>""</f>
        <v/>
      </c>
      <c r="BX1083" t="str">
        <f>""</f>
        <v/>
      </c>
      <c r="BY1083" t="str">
        <f>""</f>
        <v/>
      </c>
      <c r="BZ1083" t="str">
        <f>""</f>
        <v/>
      </c>
      <c r="CA1083" t="str">
        <f>""</f>
        <v/>
      </c>
      <c r="CB1083" t="str">
        <f>""</f>
        <v/>
      </c>
      <c r="CC1083" t="str">
        <f>""</f>
        <v/>
      </c>
      <c r="CD1083" t="str">
        <f>""</f>
        <v/>
      </c>
      <c r="CE1083" t="str">
        <f>""</f>
        <v/>
      </c>
      <c r="CF1083" t="str">
        <f>""</f>
        <v/>
      </c>
      <c r="CG1083" t="str">
        <f>""</f>
        <v/>
      </c>
      <c r="CH1083" t="str">
        <f>""</f>
        <v/>
      </c>
      <c r="CI1083" t="str">
        <f>""</f>
        <v/>
      </c>
      <c r="CJ1083" t="str">
        <f>""</f>
        <v/>
      </c>
      <c r="CK1083" t="str">
        <f>""</f>
        <v/>
      </c>
      <c r="CL1083" t="str">
        <f>""</f>
        <v/>
      </c>
      <c r="CM1083" t="str">
        <f>""</f>
        <v/>
      </c>
      <c r="CN1083" t="str">
        <f>""</f>
        <v/>
      </c>
      <c r="CO1083" t="str">
        <f>""</f>
        <v/>
      </c>
      <c r="CP1083" t="str">
        <f>""</f>
        <v/>
      </c>
      <c r="CQ1083" t="str">
        <f>""</f>
        <v/>
      </c>
      <c r="CR1083" t="str">
        <f>""</f>
        <v/>
      </c>
      <c r="CS1083" t="str">
        <f>""</f>
        <v/>
      </c>
      <c r="CT1083" t="str">
        <f>""</f>
        <v/>
      </c>
      <c r="CU1083" t="str">
        <f>""</f>
        <v/>
      </c>
      <c r="CV1083" t="str">
        <f>""</f>
        <v/>
      </c>
      <c r="CW1083" t="str">
        <f>""</f>
        <v/>
      </c>
      <c r="CX1083" t="str">
        <f>""</f>
        <v/>
      </c>
      <c r="CY1083" t="str">
        <f>""</f>
        <v/>
      </c>
      <c r="CZ1083" t="str">
        <f>""</f>
        <v/>
      </c>
      <c r="DA1083" t="str">
        <f>""</f>
        <v/>
      </c>
      <c r="DB1083" t="str">
        <f>""</f>
        <v/>
      </c>
      <c r="DC1083" t="str">
        <f>""</f>
        <v/>
      </c>
      <c r="DD1083" t="str">
        <f>""</f>
        <v/>
      </c>
      <c r="DE1083" t="str">
        <f>""</f>
        <v/>
      </c>
      <c r="DF1083" t="str">
        <f>""</f>
        <v/>
      </c>
      <c r="DG1083" t="str">
        <f>""</f>
        <v/>
      </c>
      <c r="DH1083" t="str">
        <f>""</f>
        <v/>
      </c>
      <c r="DI1083" t="str">
        <f>""</f>
        <v/>
      </c>
      <c r="DJ1083" t="str">
        <f>""</f>
        <v/>
      </c>
      <c r="DK1083" t="str">
        <f>""</f>
        <v/>
      </c>
      <c r="DL1083" t="str">
        <f>""</f>
        <v/>
      </c>
      <c r="DM1083" t="str">
        <f>""</f>
        <v/>
      </c>
      <c r="DN1083" t="str">
        <f>""</f>
        <v/>
      </c>
      <c r="DO1083" t="str">
        <f>""</f>
        <v/>
      </c>
      <c r="DP1083" t="str">
        <f>""</f>
        <v/>
      </c>
      <c r="DQ1083" t="str">
        <f>""</f>
        <v/>
      </c>
      <c r="DR1083" t="str">
        <f>""</f>
        <v/>
      </c>
      <c r="DS1083" t="str">
        <f>""</f>
        <v/>
      </c>
      <c r="DT1083" t="str">
        <f>""</f>
        <v/>
      </c>
      <c r="DU1083" t="str">
        <f>""</f>
        <v/>
      </c>
    </row>
    <row r="1084" spans="1:125" x14ac:dyDescent="0.25">
      <c r="A1084" t="str">
        <f>$A$421</f>
        <v xml:space="preserve">    Chongqing Changan Automobile Co Ltd</v>
      </c>
      <c r="B1084" t="str">
        <f>$B$421</f>
        <v>200625 CH Equity</v>
      </c>
      <c r="C1084" t="str">
        <f>$C$421</f>
        <v>RR477</v>
      </c>
      <c r="D1084" t="str">
        <f>$D$421</f>
        <v>EV_TO_T12M_CASH_FLOW</v>
      </c>
      <c r="E1084" t="str">
        <f>$E$421</f>
        <v>Dynamic</v>
      </c>
      <c r="F1084" t="str">
        <f ca="1">_xll.BDH($B$421,$C$421,$B$675,$B$676,CONCATENATE("Per=",$B$673),"Dts=H","Dir=H",CONCATENATE("Points=",$B$674),"Sort=R","Days=A","Fill=B",CONCATENATE("FX=", $B$672) )</f>
        <v>#N/A Connection</v>
      </c>
      <c r="BN1084" t="str">
        <f>""</f>
        <v/>
      </c>
      <c r="BO1084" t="str">
        <f>""</f>
        <v/>
      </c>
      <c r="BP1084" t="str">
        <f>""</f>
        <v/>
      </c>
      <c r="BQ1084" t="str">
        <f>""</f>
        <v/>
      </c>
      <c r="BR1084" t="str">
        <f>""</f>
        <v/>
      </c>
      <c r="BS1084" t="str">
        <f>""</f>
        <v/>
      </c>
      <c r="BT1084" t="str">
        <f>""</f>
        <v/>
      </c>
      <c r="BU1084" t="str">
        <f>""</f>
        <v/>
      </c>
      <c r="BV1084" t="str">
        <f>""</f>
        <v/>
      </c>
      <c r="BW1084" t="str">
        <f>""</f>
        <v/>
      </c>
      <c r="BX1084" t="str">
        <f>""</f>
        <v/>
      </c>
      <c r="BY1084" t="str">
        <f>""</f>
        <v/>
      </c>
      <c r="BZ1084" t="str">
        <f>""</f>
        <v/>
      </c>
      <c r="CA1084" t="str">
        <f>""</f>
        <v/>
      </c>
      <c r="CB1084" t="str">
        <f>""</f>
        <v/>
      </c>
      <c r="CC1084" t="str">
        <f>""</f>
        <v/>
      </c>
      <c r="CD1084" t="str">
        <f>""</f>
        <v/>
      </c>
      <c r="CE1084" t="str">
        <f>""</f>
        <v/>
      </c>
      <c r="CF1084" t="str">
        <f>""</f>
        <v/>
      </c>
      <c r="CG1084" t="str">
        <f>""</f>
        <v/>
      </c>
      <c r="CH1084" t="str">
        <f>""</f>
        <v/>
      </c>
      <c r="CI1084" t="str">
        <f>""</f>
        <v/>
      </c>
      <c r="CJ1084" t="str">
        <f>""</f>
        <v/>
      </c>
      <c r="CK1084" t="str">
        <f>""</f>
        <v/>
      </c>
      <c r="CL1084" t="str">
        <f>""</f>
        <v/>
      </c>
      <c r="CM1084" t="str">
        <f>""</f>
        <v/>
      </c>
      <c r="CN1084" t="str">
        <f>""</f>
        <v/>
      </c>
      <c r="CO1084" t="str">
        <f>""</f>
        <v/>
      </c>
      <c r="CP1084" t="str">
        <f>""</f>
        <v/>
      </c>
      <c r="CQ1084" t="str">
        <f>""</f>
        <v/>
      </c>
      <c r="CR1084" t="str">
        <f>""</f>
        <v/>
      </c>
      <c r="CS1084" t="str">
        <f>""</f>
        <v/>
      </c>
      <c r="CT1084" t="str">
        <f>""</f>
        <v/>
      </c>
      <c r="CU1084" t="str">
        <f>""</f>
        <v/>
      </c>
      <c r="CV1084" t="str">
        <f>""</f>
        <v/>
      </c>
      <c r="CW1084" t="str">
        <f>""</f>
        <v/>
      </c>
      <c r="CX1084" t="str">
        <f>""</f>
        <v/>
      </c>
      <c r="CY1084" t="str">
        <f>""</f>
        <v/>
      </c>
      <c r="CZ1084" t="str">
        <f>""</f>
        <v/>
      </c>
      <c r="DA1084" t="str">
        <f>""</f>
        <v/>
      </c>
      <c r="DB1084" t="str">
        <f>""</f>
        <v/>
      </c>
      <c r="DC1084" t="str">
        <f>""</f>
        <v/>
      </c>
      <c r="DD1084" t="str">
        <f>""</f>
        <v/>
      </c>
      <c r="DE1084" t="str">
        <f>""</f>
        <v/>
      </c>
      <c r="DF1084" t="str">
        <f>""</f>
        <v/>
      </c>
      <c r="DG1084" t="str">
        <f>""</f>
        <v/>
      </c>
      <c r="DH1084" t="str">
        <f>""</f>
        <v/>
      </c>
      <c r="DI1084" t="str">
        <f>""</f>
        <v/>
      </c>
      <c r="DJ1084" t="str">
        <f>""</f>
        <v/>
      </c>
      <c r="DK1084" t="str">
        <f>""</f>
        <v/>
      </c>
      <c r="DL1084" t="str">
        <f>""</f>
        <v/>
      </c>
      <c r="DM1084" t="str">
        <f>""</f>
        <v/>
      </c>
      <c r="DN1084" t="str">
        <f>""</f>
        <v/>
      </c>
      <c r="DO1084" t="str">
        <f>""</f>
        <v/>
      </c>
      <c r="DP1084" t="str">
        <f>""</f>
        <v/>
      </c>
      <c r="DQ1084" t="str">
        <f>""</f>
        <v/>
      </c>
      <c r="DR1084" t="str">
        <f>""</f>
        <v/>
      </c>
      <c r="DS1084" t="str">
        <f>""</f>
        <v/>
      </c>
      <c r="DT1084" t="str">
        <f>""</f>
        <v/>
      </c>
      <c r="DU1084" t="str">
        <f>""</f>
        <v/>
      </c>
    </row>
    <row r="1085" spans="1:125" x14ac:dyDescent="0.25">
      <c r="A1085" t="str">
        <f>$A$422</f>
        <v xml:space="preserve">    Daihatsu Motor Co Ltd</v>
      </c>
      <c r="B1085" t="str">
        <f>$B$422</f>
        <v>7262 JP Equity</v>
      </c>
      <c r="C1085" t="str">
        <f>$C$422</f>
        <v>RR477</v>
      </c>
      <c r="D1085" t="str">
        <f>$D$422</f>
        <v>EV_TO_T12M_CASH_FLOW</v>
      </c>
      <c r="E1085" t="str">
        <f>$E$422</f>
        <v>Dynamic</v>
      </c>
      <c r="F1085" t="str">
        <f ca="1">_xll.BDH($B$422,$C$422,$B$675,$B$676,CONCATENATE("Per=",$B$673),"Dts=H","Dir=H",CONCATENATE("Points=",$B$674),"Sort=R","Days=A","Fill=B",CONCATENATE("FX=", $B$672) )</f>
        <v>#N/A Connection</v>
      </c>
      <c r="BN1085" t="str">
        <f>""</f>
        <v/>
      </c>
      <c r="BO1085" t="str">
        <f>""</f>
        <v/>
      </c>
      <c r="BP1085" t="str">
        <f>""</f>
        <v/>
      </c>
      <c r="BQ1085" t="str">
        <f>""</f>
        <v/>
      </c>
      <c r="BR1085" t="str">
        <f>""</f>
        <v/>
      </c>
      <c r="BS1085" t="str">
        <f>""</f>
        <v/>
      </c>
      <c r="BT1085" t="str">
        <f>""</f>
        <v/>
      </c>
      <c r="BU1085" t="str">
        <f>""</f>
        <v/>
      </c>
      <c r="BV1085" t="str">
        <f>""</f>
        <v/>
      </c>
      <c r="BW1085" t="str">
        <f>""</f>
        <v/>
      </c>
      <c r="BX1085" t="str">
        <f>""</f>
        <v/>
      </c>
      <c r="BY1085" t="str">
        <f>""</f>
        <v/>
      </c>
      <c r="BZ1085" t="str">
        <f>""</f>
        <v/>
      </c>
      <c r="CA1085" t="str">
        <f>""</f>
        <v/>
      </c>
      <c r="CB1085" t="str">
        <f>""</f>
        <v/>
      </c>
      <c r="CC1085" t="str">
        <f>""</f>
        <v/>
      </c>
      <c r="CD1085" t="str">
        <f>""</f>
        <v/>
      </c>
      <c r="CE1085" t="str">
        <f>""</f>
        <v/>
      </c>
      <c r="CF1085" t="str">
        <f>""</f>
        <v/>
      </c>
      <c r="CG1085" t="str">
        <f>""</f>
        <v/>
      </c>
      <c r="CH1085" t="str">
        <f>""</f>
        <v/>
      </c>
      <c r="CI1085" t="str">
        <f>""</f>
        <v/>
      </c>
      <c r="CJ1085" t="str">
        <f>""</f>
        <v/>
      </c>
      <c r="CK1085" t="str">
        <f>""</f>
        <v/>
      </c>
      <c r="CL1085" t="str">
        <f>""</f>
        <v/>
      </c>
      <c r="CM1085" t="str">
        <f>""</f>
        <v/>
      </c>
      <c r="CN1085" t="str">
        <f>""</f>
        <v/>
      </c>
      <c r="CO1085" t="str">
        <f>""</f>
        <v/>
      </c>
      <c r="CP1085" t="str">
        <f>""</f>
        <v/>
      </c>
      <c r="CQ1085" t="str">
        <f>""</f>
        <v/>
      </c>
      <c r="CR1085" t="str">
        <f>""</f>
        <v/>
      </c>
      <c r="CS1085" t="str">
        <f>""</f>
        <v/>
      </c>
      <c r="CT1085" t="str">
        <f>""</f>
        <v/>
      </c>
      <c r="CU1085" t="str">
        <f>""</f>
        <v/>
      </c>
      <c r="CV1085" t="str">
        <f>""</f>
        <v/>
      </c>
      <c r="CW1085" t="str">
        <f>""</f>
        <v/>
      </c>
      <c r="CX1085" t="str">
        <f>""</f>
        <v/>
      </c>
      <c r="CY1085" t="str">
        <f>""</f>
        <v/>
      </c>
      <c r="CZ1085" t="str">
        <f>""</f>
        <v/>
      </c>
      <c r="DA1085" t="str">
        <f>""</f>
        <v/>
      </c>
      <c r="DB1085" t="str">
        <f>""</f>
        <v/>
      </c>
      <c r="DC1085" t="str">
        <f>""</f>
        <v/>
      </c>
      <c r="DD1085" t="str">
        <f>""</f>
        <v/>
      </c>
      <c r="DE1085" t="str">
        <f>""</f>
        <v/>
      </c>
      <c r="DF1085" t="str">
        <f>""</f>
        <v/>
      </c>
      <c r="DG1085" t="str">
        <f>""</f>
        <v/>
      </c>
      <c r="DH1085" t="str">
        <f>""</f>
        <v/>
      </c>
      <c r="DI1085" t="str">
        <f>""</f>
        <v/>
      </c>
      <c r="DJ1085" t="str">
        <f>""</f>
        <v/>
      </c>
      <c r="DK1085" t="str">
        <f>""</f>
        <v/>
      </c>
      <c r="DL1085" t="str">
        <f>""</f>
        <v/>
      </c>
      <c r="DM1085" t="str">
        <f>""</f>
        <v/>
      </c>
      <c r="DN1085" t="str">
        <f>""</f>
        <v/>
      </c>
      <c r="DO1085" t="str">
        <f>""</f>
        <v/>
      </c>
      <c r="DP1085" t="str">
        <f>""</f>
        <v/>
      </c>
      <c r="DQ1085" t="str">
        <f>""</f>
        <v/>
      </c>
      <c r="DR1085" t="str">
        <f>""</f>
        <v/>
      </c>
      <c r="DS1085" t="str">
        <f>""</f>
        <v/>
      </c>
      <c r="DT1085" t="str">
        <f>""</f>
        <v/>
      </c>
      <c r="DU1085" t="str">
        <f>""</f>
        <v/>
      </c>
    </row>
    <row r="1086" spans="1:125" x14ac:dyDescent="0.25">
      <c r="A1086" t="str">
        <f>$A$423</f>
        <v xml:space="preserve">    Daimler AG</v>
      </c>
      <c r="B1086" t="str">
        <f>$B$423</f>
        <v>DAI GR Equity</v>
      </c>
      <c r="C1086" t="str">
        <f>$C$423</f>
        <v>RR477</v>
      </c>
      <c r="D1086" t="str">
        <f>$D$423</f>
        <v>EV_TO_T12M_CASH_FLOW</v>
      </c>
      <c r="E1086" t="str">
        <f>$E$423</f>
        <v>Dynamic</v>
      </c>
      <c r="F1086" t="str">
        <f ca="1">_xll.BDH($B$423,$C$423,$B$675,$B$676,CONCATENATE("Per=",$B$673),"Dts=H","Dir=H",CONCATENATE("Points=",$B$674),"Sort=R","Days=A","Fill=B",CONCATENATE("FX=", $B$672) )</f>
        <v>#N/A Connection</v>
      </c>
      <c r="BN1086" t="str">
        <f>""</f>
        <v/>
      </c>
      <c r="BO1086" t="str">
        <f>""</f>
        <v/>
      </c>
      <c r="BP1086" t="str">
        <f>""</f>
        <v/>
      </c>
      <c r="BQ1086" t="str">
        <f>""</f>
        <v/>
      </c>
      <c r="BR1086" t="str">
        <f>""</f>
        <v/>
      </c>
      <c r="BS1086" t="str">
        <f>""</f>
        <v/>
      </c>
      <c r="BT1086" t="str">
        <f>""</f>
        <v/>
      </c>
      <c r="BU1086" t="str">
        <f>""</f>
        <v/>
      </c>
      <c r="BV1086" t="str">
        <f>""</f>
        <v/>
      </c>
      <c r="BW1086" t="str">
        <f>""</f>
        <v/>
      </c>
      <c r="BX1086" t="str">
        <f>""</f>
        <v/>
      </c>
      <c r="BY1086" t="str">
        <f>""</f>
        <v/>
      </c>
      <c r="BZ1086" t="str">
        <f>""</f>
        <v/>
      </c>
      <c r="CA1086" t="str">
        <f>""</f>
        <v/>
      </c>
      <c r="CB1086" t="str">
        <f>""</f>
        <v/>
      </c>
      <c r="CC1086" t="str">
        <f>""</f>
        <v/>
      </c>
      <c r="CD1086" t="str">
        <f>""</f>
        <v/>
      </c>
      <c r="CE1086" t="str">
        <f>""</f>
        <v/>
      </c>
      <c r="CF1086" t="str">
        <f>""</f>
        <v/>
      </c>
      <c r="CG1086" t="str">
        <f>""</f>
        <v/>
      </c>
      <c r="CH1086" t="str">
        <f>""</f>
        <v/>
      </c>
      <c r="CI1086" t="str">
        <f>""</f>
        <v/>
      </c>
      <c r="CJ1086" t="str">
        <f>""</f>
        <v/>
      </c>
      <c r="CK1086" t="str">
        <f>""</f>
        <v/>
      </c>
      <c r="CL1086" t="str">
        <f>""</f>
        <v/>
      </c>
      <c r="CM1086" t="str">
        <f>""</f>
        <v/>
      </c>
      <c r="CN1086" t="str">
        <f>""</f>
        <v/>
      </c>
      <c r="CO1086" t="str">
        <f>""</f>
        <v/>
      </c>
      <c r="CP1086" t="str">
        <f>""</f>
        <v/>
      </c>
      <c r="CQ1086" t="str">
        <f>""</f>
        <v/>
      </c>
      <c r="CR1086" t="str">
        <f>""</f>
        <v/>
      </c>
      <c r="CS1086" t="str">
        <f>""</f>
        <v/>
      </c>
      <c r="CT1086" t="str">
        <f>""</f>
        <v/>
      </c>
      <c r="CU1086" t="str">
        <f>""</f>
        <v/>
      </c>
      <c r="CV1086" t="str">
        <f>""</f>
        <v/>
      </c>
      <c r="CW1086" t="str">
        <f>""</f>
        <v/>
      </c>
      <c r="CX1086" t="str">
        <f>""</f>
        <v/>
      </c>
      <c r="CY1086" t="str">
        <f>""</f>
        <v/>
      </c>
      <c r="CZ1086" t="str">
        <f>""</f>
        <v/>
      </c>
      <c r="DA1086" t="str">
        <f>""</f>
        <v/>
      </c>
      <c r="DB1086" t="str">
        <f>""</f>
        <v/>
      </c>
      <c r="DC1086" t="str">
        <f>""</f>
        <v/>
      </c>
      <c r="DD1086" t="str">
        <f>""</f>
        <v/>
      </c>
      <c r="DE1086" t="str">
        <f>""</f>
        <v/>
      </c>
      <c r="DF1086" t="str">
        <f>""</f>
        <v/>
      </c>
      <c r="DG1086" t="str">
        <f>""</f>
        <v/>
      </c>
      <c r="DH1086" t="str">
        <f>""</f>
        <v/>
      </c>
      <c r="DI1086" t="str">
        <f>""</f>
        <v/>
      </c>
      <c r="DJ1086" t="str">
        <f>""</f>
        <v/>
      </c>
      <c r="DK1086" t="str">
        <f>""</f>
        <v/>
      </c>
      <c r="DL1086" t="str">
        <f>""</f>
        <v/>
      </c>
      <c r="DM1086" t="str">
        <f>""</f>
        <v/>
      </c>
      <c r="DN1086" t="str">
        <f>""</f>
        <v/>
      </c>
      <c r="DO1086" t="str">
        <f>""</f>
        <v/>
      </c>
      <c r="DP1086" t="str">
        <f>""</f>
        <v/>
      </c>
      <c r="DQ1086" t="str">
        <f>""</f>
        <v/>
      </c>
      <c r="DR1086" t="str">
        <f>""</f>
        <v/>
      </c>
      <c r="DS1086" t="str">
        <f>""</f>
        <v/>
      </c>
      <c r="DT1086" t="str">
        <f>""</f>
        <v/>
      </c>
      <c r="DU1086" t="str">
        <f>""</f>
        <v/>
      </c>
    </row>
    <row r="1087" spans="1:125" x14ac:dyDescent="0.25">
      <c r="A1087" t="str">
        <f>$A$424</f>
        <v xml:space="preserve">    Dongfeng Motor Group Co Ltd</v>
      </c>
      <c r="B1087" t="str">
        <f>$B$424</f>
        <v>489 HK Equity</v>
      </c>
      <c r="C1087" t="str">
        <f>$C$424</f>
        <v>RR477</v>
      </c>
      <c r="D1087" t="str">
        <f>$D$424</f>
        <v>EV_TO_T12M_CASH_FLOW</v>
      </c>
      <c r="E1087" t="str">
        <f>$E$424</f>
        <v>Dynamic</v>
      </c>
      <c r="F1087" t="str">
        <f ca="1">_xll.BDH($B$424,$C$424,$B$675,$B$676,CONCATENATE("Per=",$B$673),"Dts=H","Dir=H",CONCATENATE("Points=",$B$674),"Sort=R","Days=A","Fill=B",CONCATENATE("FX=", $B$672) )</f>
        <v>#N/A Connection</v>
      </c>
      <c r="BN1087" t="str">
        <f>""</f>
        <v/>
      </c>
      <c r="BO1087" t="str">
        <f>""</f>
        <v/>
      </c>
      <c r="BP1087" t="str">
        <f>""</f>
        <v/>
      </c>
      <c r="BQ1087" t="str">
        <f>""</f>
        <v/>
      </c>
      <c r="BR1087" t="str">
        <f>""</f>
        <v/>
      </c>
      <c r="BS1087" t="str">
        <f>""</f>
        <v/>
      </c>
      <c r="BT1087" t="str">
        <f>""</f>
        <v/>
      </c>
      <c r="BU1087" t="str">
        <f>""</f>
        <v/>
      </c>
      <c r="BV1087" t="str">
        <f>""</f>
        <v/>
      </c>
      <c r="BW1087" t="str">
        <f>""</f>
        <v/>
      </c>
      <c r="BX1087" t="str">
        <f>""</f>
        <v/>
      </c>
      <c r="BY1087" t="str">
        <f>""</f>
        <v/>
      </c>
      <c r="BZ1087" t="str">
        <f>""</f>
        <v/>
      </c>
      <c r="CA1087" t="str">
        <f>""</f>
        <v/>
      </c>
      <c r="CB1087" t="str">
        <f>""</f>
        <v/>
      </c>
      <c r="CC1087" t="str">
        <f>""</f>
        <v/>
      </c>
      <c r="CD1087" t="str">
        <f>""</f>
        <v/>
      </c>
      <c r="CE1087" t="str">
        <f>""</f>
        <v/>
      </c>
      <c r="CF1087" t="str">
        <f>""</f>
        <v/>
      </c>
      <c r="CG1087" t="str">
        <f>""</f>
        <v/>
      </c>
      <c r="CH1087" t="str">
        <f>""</f>
        <v/>
      </c>
      <c r="CI1087" t="str">
        <f>""</f>
        <v/>
      </c>
      <c r="CJ1087" t="str">
        <f>""</f>
        <v/>
      </c>
      <c r="CK1087" t="str">
        <f>""</f>
        <v/>
      </c>
      <c r="CL1087" t="str">
        <f>""</f>
        <v/>
      </c>
      <c r="CM1087" t="str">
        <f>""</f>
        <v/>
      </c>
      <c r="CN1087" t="str">
        <f>""</f>
        <v/>
      </c>
      <c r="CO1087" t="str">
        <f>""</f>
        <v/>
      </c>
      <c r="CP1087" t="str">
        <f>""</f>
        <v/>
      </c>
      <c r="CQ1087" t="str">
        <f>""</f>
        <v/>
      </c>
      <c r="CR1087" t="str">
        <f>""</f>
        <v/>
      </c>
      <c r="CS1087" t="str">
        <f>""</f>
        <v/>
      </c>
      <c r="CT1087" t="str">
        <f>""</f>
        <v/>
      </c>
      <c r="CU1087" t="str">
        <f>""</f>
        <v/>
      </c>
      <c r="CV1087" t="str">
        <f>""</f>
        <v/>
      </c>
      <c r="CW1087" t="str">
        <f>""</f>
        <v/>
      </c>
      <c r="CX1087" t="str">
        <f>""</f>
        <v/>
      </c>
      <c r="CY1087" t="str">
        <f>""</f>
        <v/>
      </c>
      <c r="CZ1087" t="str">
        <f>""</f>
        <v/>
      </c>
      <c r="DA1087" t="str">
        <f>""</f>
        <v/>
      </c>
      <c r="DB1087" t="str">
        <f>""</f>
        <v/>
      </c>
      <c r="DC1087" t="str">
        <f>""</f>
        <v/>
      </c>
      <c r="DD1087" t="str">
        <f>""</f>
        <v/>
      </c>
      <c r="DE1087" t="str">
        <f>""</f>
        <v/>
      </c>
      <c r="DF1087" t="str">
        <f>""</f>
        <v/>
      </c>
      <c r="DG1087" t="str">
        <f>""</f>
        <v/>
      </c>
      <c r="DH1087" t="str">
        <f>""</f>
        <v/>
      </c>
      <c r="DI1087" t="str">
        <f>""</f>
        <v/>
      </c>
      <c r="DJ1087" t="str">
        <f>""</f>
        <v/>
      </c>
      <c r="DK1087" t="str">
        <f>""</f>
        <v/>
      </c>
      <c r="DL1087" t="str">
        <f>""</f>
        <v/>
      </c>
      <c r="DM1087" t="str">
        <f>""</f>
        <v/>
      </c>
      <c r="DN1087" t="str">
        <f>""</f>
        <v/>
      </c>
      <c r="DO1087" t="str">
        <f>""</f>
        <v/>
      </c>
      <c r="DP1087" t="str">
        <f>""</f>
        <v/>
      </c>
      <c r="DQ1087" t="str">
        <f>""</f>
        <v/>
      </c>
      <c r="DR1087" t="str">
        <f>""</f>
        <v/>
      </c>
      <c r="DS1087" t="str">
        <f>""</f>
        <v/>
      </c>
      <c r="DT1087" t="str">
        <f>""</f>
        <v/>
      </c>
      <c r="DU1087" t="str">
        <f>""</f>
        <v/>
      </c>
    </row>
    <row r="1088" spans="1:125" x14ac:dyDescent="0.25">
      <c r="A1088" t="str">
        <f>$A$425</f>
        <v xml:space="preserve">    DRB-Hicom Bhd</v>
      </c>
      <c r="B1088" t="str">
        <f>$B$425</f>
        <v>DRB MK Equity</v>
      </c>
      <c r="C1088" t="str">
        <f>$C$425</f>
        <v>RR477</v>
      </c>
      <c r="D1088" t="str">
        <f>$D$425</f>
        <v>EV_TO_T12M_CASH_FLOW</v>
      </c>
      <c r="E1088" t="str">
        <f>$E$425</f>
        <v>Dynamic</v>
      </c>
      <c r="F1088" t="str">
        <f ca="1">_xll.BDH($B$425,$C$425,$B$675,$B$676,CONCATENATE("Per=",$B$673),"Dts=H","Dir=H",CONCATENATE("Points=",$B$674),"Sort=R","Days=A","Fill=B",CONCATENATE("FX=", $B$672) )</f>
        <v>#N/A Connection</v>
      </c>
      <c r="BN1088" t="str">
        <f>""</f>
        <v/>
      </c>
      <c r="BO1088" t="str">
        <f>""</f>
        <v/>
      </c>
      <c r="BP1088" t="str">
        <f>""</f>
        <v/>
      </c>
      <c r="BQ1088" t="str">
        <f>""</f>
        <v/>
      </c>
      <c r="BR1088" t="str">
        <f>""</f>
        <v/>
      </c>
      <c r="BS1088" t="str">
        <f>""</f>
        <v/>
      </c>
      <c r="BT1088" t="str">
        <f>""</f>
        <v/>
      </c>
      <c r="BU1088" t="str">
        <f>""</f>
        <v/>
      </c>
      <c r="BV1088" t="str">
        <f>""</f>
        <v/>
      </c>
      <c r="BW1088" t="str">
        <f>""</f>
        <v/>
      </c>
      <c r="BX1088" t="str">
        <f>""</f>
        <v/>
      </c>
      <c r="BY1088" t="str">
        <f>""</f>
        <v/>
      </c>
      <c r="BZ1088" t="str">
        <f>""</f>
        <v/>
      </c>
      <c r="CA1088" t="str">
        <f>""</f>
        <v/>
      </c>
      <c r="CB1088" t="str">
        <f>""</f>
        <v/>
      </c>
      <c r="CC1088" t="str">
        <f>""</f>
        <v/>
      </c>
      <c r="CD1088" t="str">
        <f>""</f>
        <v/>
      </c>
      <c r="CE1088" t="str">
        <f>""</f>
        <v/>
      </c>
      <c r="CF1088" t="str">
        <f>""</f>
        <v/>
      </c>
      <c r="CG1088" t="str">
        <f>""</f>
        <v/>
      </c>
      <c r="CH1088" t="str">
        <f>""</f>
        <v/>
      </c>
      <c r="CI1088" t="str">
        <f>""</f>
        <v/>
      </c>
      <c r="CJ1088" t="str">
        <f>""</f>
        <v/>
      </c>
      <c r="CK1088" t="str">
        <f>""</f>
        <v/>
      </c>
      <c r="CL1088" t="str">
        <f>""</f>
        <v/>
      </c>
      <c r="CM1088" t="str">
        <f>""</f>
        <v/>
      </c>
      <c r="CN1088" t="str">
        <f>""</f>
        <v/>
      </c>
      <c r="CO1088" t="str">
        <f>""</f>
        <v/>
      </c>
      <c r="CP1088" t="str">
        <f>""</f>
        <v/>
      </c>
      <c r="CQ1088" t="str">
        <f>""</f>
        <v/>
      </c>
      <c r="CR1088" t="str">
        <f>""</f>
        <v/>
      </c>
      <c r="CS1088" t="str">
        <f>""</f>
        <v/>
      </c>
      <c r="CT1088" t="str">
        <f>""</f>
        <v/>
      </c>
      <c r="CU1088" t="str">
        <f>""</f>
        <v/>
      </c>
      <c r="CV1088" t="str">
        <f>""</f>
        <v/>
      </c>
      <c r="CW1088" t="str">
        <f>""</f>
        <v/>
      </c>
      <c r="CX1088" t="str">
        <f>""</f>
        <v/>
      </c>
      <c r="CY1088" t="str">
        <f>""</f>
        <v/>
      </c>
      <c r="CZ1088" t="str">
        <f>""</f>
        <v/>
      </c>
      <c r="DA1088" t="str">
        <f>""</f>
        <v/>
      </c>
      <c r="DB1088" t="str">
        <f>""</f>
        <v/>
      </c>
      <c r="DC1088" t="str">
        <f>""</f>
        <v/>
      </c>
      <c r="DD1088" t="str">
        <f>""</f>
        <v/>
      </c>
      <c r="DE1088" t="str">
        <f>""</f>
        <v/>
      </c>
      <c r="DF1088" t="str">
        <f>""</f>
        <v/>
      </c>
      <c r="DG1088" t="str">
        <f>""</f>
        <v/>
      </c>
      <c r="DH1088" t="str">
        <f>""</f>
        <v/>
      </c>
      <c r="DI1088" t="str">
        <f>""</f>
        <v/>
      </c>
      <c r="DJ1088" t="str">
        <f>""</f>
        <v/>
      </c>
      <c r="DK1088" t="str">
        <f>""</f>
        <v/>
      </c>
      <c r="DL1088" t="str">
        <f>""</f>
        <v/>
      </c>
      <c r="DM1088" t="str">
        <f>""</f>
        <v/>
      </c>
      <c r="DN1088" t="str">
        <f>""</f>
        <v/>
      </c>
      <c r="DO1088" t="str">
        <f>""</f>
        <v/>
      </c>
      <c r="DP1088" t="str">
        <f>""</f>
        <v/>
      </c>
      <c r="DQ1088" t="str">
        <f>""</f>
        <v/>
      </c>
      <c r="DR1088" t="str">
        <f>""</f>
        <v/>
      </c>
      <c r="DS1088" t="str">
        <f>""</f>
        <v/>
      </c>
      <c r="DT1088" t="str">
        <f>""</f>
        <v/>
      </c>
      <c r="DU1088" t="str">
        <f>""</f>
        <v/>
      </c>
    </row>
    <row r="1089" spans="1:125" x14ac:dyDescent="0.25">
      <c r="A1089" t="str">
        <f>$A$426</f>
        <v xml:space="preserve">    FAW CAR Co Ltd</v>
      </c>
      <c r="B1089" t="str">
        <f>$B$426</f>
        <v>000800 CH Equity</v>
      </c>
      <c r="C1089" t="str">
        <f>$C$426</f>
        <v>RR477</v>
      </c>
      <c r="D1089" t="str">
        <f>$D$426</f>
        <v>EV_TO_T12M_CASH_FLOW</v>
      </c>
      <c r="E1089" t="str">
        <f>$E$426</f>
        <v>Dynamic</v>
      </c>
      <c r="F1089" t="str">
        <f ca="1">_xll.BDH($B$426,$C$426,$B$675,$B$676,CONCATENATE("Per=",$B$673),"Dts=H","Dir=H",CONCATENATE("Points=",$B$674),"Sort=R","Days=A","Fill=B",CONCATENATE("FX=", $B$672) )</f>
        <v>#N/A Connection</v>
      </c>
      <c r="BN1089" t="str">
        <f>""</f>
        <v/>
      </c>
      <c r="BO1089" t="str">
        <f>""</f>
        <v/>
      </c>
      <c r="BP1089" t="str">
        <f>""</f>
        <v/>
      </c>
      <c r="BQ1089" t="str">
        <f>""</f>
        <v/>
      </c>
      <c r="BR1089" t="str">
        <f>""</f>
        <v/>
      </c>
      <c r="BS1089" t="str">
        <f>""</f>
        <v/>
      </c>
      <c r="BT1089" t="str">
        <f>""</f>
        <v/>
      </c>
      <c r="BU1089" t="str">
        <f>""</f>
        <v/>
      </c>
      <c r="BV1089" t="str">
        <f>""</f>
        <v/>
      </c>
      <c r="BW1089" t="str">
        <f>""</f>
        <v/>
      </c>
      <c r="BX1089" t="str">
        <f>""</f>
        <v/>
      </c>
      <c r="BY1089" t="str">
        <f>""</f>
        <v/>
      </c>
      <c r="BZ1089" t="str">
        <f>""</f>
        <v/>
      </c>
      <c r="CA1089" t="str">
        <f>""</f>
        <v/>
      </c>
      <c r="CB1089" t="str">
        <f>""</f>
        <v/>
      </c>
      <c r="CC1089" t="str">
        <f>""</f>
        <v/>
      </c>
      <c r="CD1089" t="str">
        <f>""</f>
        <v/>
      </c>
      <c r="CE1089" t="str">
        <f>""</f>
        <v/>
      </c>
      <c r="CF1089" t="str">
        <f>""</f>
        <v/>
      </c>
      <c r="CG1089" t="str">
        <f>""</f>
        <v/>
      </c>
      <c r="CH1089" t="str">
        <f>""</f>
        <v/>
      </c>
      <c r="CI1089" t="str">
        <f>""</f>
        <v/>
      </c>
      <c r="CJ1089" t="str">
        <f>""</f>
        <v/>
      </c>
      <c r="CK1089" t="str">
        <f>""</f>
        <v/>
      </c>
      <c r="CL1089" t="str">
        <f>""</f>
        <v/>
      </c>
      <c r="CM1089" t="str">
        <f>""</f>
        <v/>
      </c>
      <c r="CN1089" t="str">
        <f>""</f>
        <v/>
      </c>
      <c r="CO1089" t="str">
        <f>""</f>
        <v/>
      </c>
      <c r="CP1089" t="str">
        <f>""</f>
        <v/>
      </c>
      <c r="CQ1089" t="str">
        <f>""</f>
        <v/>
      </c>
      <c r="CR1089" t="str">
        <f>""</f>
        <v/>
      </c>
      <c r="CS1089" t="str">
        <f>""</f>
        <v/>
      </c>
      <c r="CT1089" t="str">
        <f>""</f>
        <v/>
      </c>
      <c r="CU1089" t="str">
        <f>""</f>
        <v/>
      </c>
      <c r="CV1089" t="str">
        <f>""</f>
        <v/>
      </c>
      <c r="CW1089" t="str">
        <f>""</f>
        <v/>
      </c>
      <c r="CX1089" t="str">
        <f>""</f>
        <v/>
      </c>
      <c r="CY1089" t="str">
        <f>""</f>
        <v/>
      </c>
      <c r="CZ1089" t="str">
        <f>""</f>
        <v/>
      </c>
      <c r="DA1089" t="str">
        <f>""</f>
        <v/>
      </c>
      <c r="DB1089" t="str">
        <f>""</f>
        <v/>
      </c>
      <c r="DC1089" t="str">
        <f>""</f>
        <v/>
      </c>
      <c r="DD1089" t="str">
        <f>""</f>
        <v/>
      </c>
      <c r="DE1089" t="str">
        <f>""</f>
        <v/>
      </c>
      <c r="DF1089" t="str">
        <f>""</f>
        <v/>
      </c>
      <c r="DG1089" t="str">
        <f>""</f>
        <v/>
      </c>
      <c r="DH1089" t="str">
        <f>""</f>
        <v/>
      </c>
      <c r="DI1089" t="str">
        <f>""</f>
        <v/>
      </c>
      <c r="DJ1089" t="str">
        <f>""</f>
        <v/>
      </c>
      <c r="DK1089" t="str">
        <f>""</f>
        <v/>
      </c>
      <c r="DL1089" t="str">
        <f>""</f>
        <v/>
      </c>
      <c r="DM1089" t="str">
        <f>""</f>
        <v/>
      </c>
      <c r="DN1089" t="str">
        <f>""</f>
        <v/>
      </c>
      <c r="DO1089" t="str">
        <f>""</f>
        <v/>
      </c>
      <c r="DP1089" t="str">
        <f>""</f>
        <v/>
      </c>
      <c r="DQ1089" t="str">
        <f>""</f>
        <v/>
      </c>
      <c r="DR1089" t="str">
        <f>""</f>
        <v/>
      </c>
      <c r="DS1089" t="str">
        <f>""</f>
        <v/>
      </c>
      <c r="DT1089" t="str">
        <f>""</f>
        <v/>
      </c>
      <c r="DU1089" t="str">
        <f>""</f>
        <v/>
      </c>
    </row>
    <row r="1090" spans="1:125" x14ac:dyDescent="0.25">
      <c r="A1090" t="str">
        <f>$A$427</f>
        <v xml:space="preserve">    Fiat Chrysler Automobiles NV</v>
      </c>
      <c r="B1090" t="str">
        <f>$B$427</f>
        <v>FCAU US Equity</v>
      </c>
      <c r="C1090" t="str">
        <f>$C$427</f>
        <v>RR477</v>
      </c>
      <c r="D1090" t="str">
        <f>$D$427</f>
        <v>EV_TO_T12M_CASH_FLOW</v>
      </c>
      <c r="E1090" t="str">
        <f>$E$427</f>
        <v>Dynamic</v>
      </c>
      <c r="F1090" t="str">
        <f ca="1">_xll.BDH($B$427,$C$427,$B$675,$B$676,CONCATENATE("Per=",$B$673),"Dts=H","Dir=H",CONCATENATE("Points=",$B$674),"Sort=R","Days=A","Fill=B",CONCATENATE("FX=", $B$672) )</f>
        <v>#N/A Connection</v>
      </c>
      <c r="BN1090" t="str">
        <f>""</f>
        <v/>
      </c>
      <c r="BO1090" t="str">
        <f>""</f>
        <v/>
      </c>
      <c r="BP1090" t="str">
        <f>""</f>
        <v/>
      </c>
      <c r="BQ1090" t="str">
        <f>""</f>
        <v/>
      </c>
      <c r="BR1090" t="str">
        <f>""</f>
        <v/>
      </c>
      <c r="BS1090" t="str">
        <f>""</f>
        <v/>
      </c>
      <c r="BT1090" t="str">
        <f>""</f>
        <v/>
      </c>
      <c r="BU1090" t="str">
        <f>""</f>
        <v/>
      </c>
      <c r="BV1090" t="str">
        <f>""</f>
        <v/>
      </c>
      <c r="BW1090" t="str">
        <f>""</f>
        <v/>
      </c>
      <c r="BX1090" t="str">
        <f>""</f>
        <v/>
      </c>
      <c r="BY1090" t="str">
        <f>""</f>
        <v/>
      </c>
      <c r="BZ1090" t="str">
        <f>""</f>
        <v/>
      </c>
      <c r="CA1090" t="str">
        <f>""</f>
        <v/>
      </c>
      <c r="CB1090" t="str">
        <f>""</f>
        <v/>
      </c>
      <c r="CC1090" t="str">
        <f>""</f>
        <v/>
      </c>
      <c r="CD1090" t="str">
        <f>""</f>
        <v/>
      </c>
      <c r="CE1090" t="str">
        <f>""</f>
        <v/>
      </c>
      <c r="CF1090" t="str">
        <f>""</f>
        <v/>
      </c>
      <c r="CG1090" t="str">
        <f>""</f>
        <v/>
      </c>
      <c r="CH1090" t="str">
        <f>""</f>
        <v/>
      </c>
      <c r="CI1090" t="str">
        <f>""</f>
        <v/>
      </c>
      <c r="CJ1090" t="str">
        <f>""</f>
        <v/>
      </c>
      <c r="CK1090" t="str">
        <f>""</f>
        <v/>
      </c>
      <c r="CL1090" t="str">
        <f>""</f>
        <v/>
      </c>
      <c r="CM1090" t="str">
        <f>""</f>
        <v/>
      </c>
      <c r="CN1090" t="str">
        <f>""</f>
        <v/>
      </c>
      <c r="CO1090" t="str">
        <f>""</f>
        <v/>
      </c>
      <c r="CP1090" t="str">
        <f>""</f>
        <v/>
      </c>
      <c r="CQ1090" t="str">
        <f>""</f>
        <v/>
      </c>
      <c r="CR1090" t="str">
        <f>""</f>
        <v/>
      </c>
      <c r="CS1090" t="str">
        <f>""</f>
        <v/>
      </c>
      <c r="CT1090" t="str">
        <f>""</f>
        <v/>
      </c>
      <c r="CU1090" t="str">
        <f>""</f>
        <v/>
      </c>
      <c r="CV1090" t="str">
        <f>""</f>
        <v/>
      </c>
      <c r="CW1090" t="str">
        <f>""</f>
        <v/>
      </c>
      <c r="CX1090" t="str">
        <f>""</f>
        <v/>
      </c>
      <c r="CY1090" t="str">
        <f>""</f>
        <v/>
      </c>
      <c r="CZ1090" t="str">
        <f>""</f>
        <v/>
      </c>
      <c r="DA1090" t="str">
        <f>""</f>
        <v/>
      </c>
      <c r="DB1090" t="str">
        <f>""</f>
        <v/>
      </c>
      <c r="DC1090" t="str">
        <f>""</f>
        <v/>
      </c>
      <c r="DD1090" t="str">
        <f>""</f>
        <v/>
      </c>
      <c r="DE1090" t="str">
        <f>""</f>
        <v/>
      </c>
      <c r="DF1090" t="str">
        <f>""</f>
        <v/>
      </c>
      <c r="DG1090" t="str">
        <f>""</f>
        <v/>
      </c>
      <c r="DH1090" t="str">
        <f>""</f>
        <v/>
      </c>
      <c r="DI1090" t="str">
        <f>""</f>
        <v/>
      </c>
      <c r="DJ1090" t="str">
        <f>""</f>
        <v/>
      </c>
      <c r="DK1090" t="str">
        <f>""</f>
        <v/>
      </c>
      <c r="DL1090" t="str">
        <f>""</f>
        <v/>
      </c>
      <c r="DM1090" t="str">
        <f>""</f>
        <v/>
      </c>
      <c r="DN1090" t="str">
        <f>""</f>
        <v/>
      </c>
      <c r="DO1090" t="str">
        <f>""</f>
        <v/>
      </c>
      <c r="DP1090" t="str">
        <f>""</f>
        <v/>
      </c>
      <c r="DQ1090" t="str">
        <f>""</f>
        <v/>
      </c>
      <c r="DR1090" t="str">
        <f>""</f>
        <v/>
      </c>
      <c r="DS1090" t="str">
        <f>""</f>
        <v/>
      </c>
      <c r="DT1090" t="str">
        <f>""</f>
        <v/>
      </c>
      <c r="DU1090" t="str">
        <f>""</f>
        <v/>
      </c>
    </row>
    <row r="1091" spans="1:125" x14ac:dyDescent="0.25">
      <c r="A1091" t="str">
        <f>$A$428</f>
        <v xml:space="preserve">    Ford Motor Co</v>
      </c>
      <c r="B1091" t="str">
        <f>$B$428</f>
        <v>F US Equity</v>
      </c>
      <c r="C1091" t="str">
        <f>$C$428</f>
        <v>RR477</v>
      </c>
      <c r="D1091" t="str">
        <f>$D$428</f>
        <v>EV_TO_T12M_CASH_FLOW</v>
      </c>
      <c r="E1091" t="str">
        <f>$E$428</f>
        <v>Dynamic</v>
      </c>
      <c r="F1091" t="str">
        <f ca="1">_xll.BDH($B$428,$C$428,$B$675,$B$676,CONCATENATE("Per=",$B$673),"Dts=H","Dir=H",CONCATENATE("Points=",$B$674),"Sort=R","Days=A","Fill=B",CONCATENATE("FX=", $B$672) )</f>
        <v>#N/A Connection</v>
      </c>
      <c r="BN1091" t="str">
        <f>""</f>
        <v/>
      </c>
      <c r="BO1091" t="str">
        <f>""</f>
        <v/>
      </c>
      <c r="BP1091" t="str">
        <f>""</f>
        <v/>
      </c>
      <c r="BQ1091" t="str">
        <f>""</f>
        <v/>
      </c>
      <c r="BR1091" t="str">
        <f>""</f>
        <v/>
      </c>
      <c r="BS1091" t="str">
        <f>""</f>
        <v/>
      </c>
      <c r="BT1091" t="str">
        <f>""</f>
        <v/>
      </c>
      <c r="BU1091" t="str">
        <f>""</f>
        <v/>
      </c>
      <c r="BV1091" t="str">
        <f>""</f>
        <v/>
      </c>
      <c r="BW1091" t="str">
        <f>""</f>
        <v/>
      </c>
      <c r="BX1091" t="str">
        <f>""</f>
        <v/>
      </c>
      <c r="BY1091" t="str">
        <f>""</f>
        <v/>
      </c>
      <c r="BZ1091" t="str">
        <f>""</f>
        <v/>
      </c>
      <c r="CA1091" t="str">
        <f>""</f>
        <v/>
      </c>
      <c r="CB1091" t="str">
        <f>""</f>
        <v/>
      </c>
      <c r="CC1091" t="str">
        <f>""</f>
        <v/>
      </c>
      <c r="CD1091" t="str">
        <f>""</f>
        <v/>
      </c>
      <c r="CE1091" t="str">
        <f>""</f>
        <v/>
      </c>
      <c r="CF1091" t="str">
        <f>""</f>
        <v/>
      </c>
      <c r="CG1091" t="str">
        <f>""</f>
        <v/>
      </c>
      <c r="CH1091" t="str">
        <f>""</f>
        <v/>
      </c>
      <c r="CI1091" t="str">
        <f>""</f>
        <v/>
      </c>
      <c r="CJ1091" t="str">
        <f>""</f>
        <v/>
      </c>
      <c r="CK1091" t="str">
        <f>""</f>
        <v/>
      </c>
      <c r="CL1091" t="str">
        <f>""</f>
        <v/>
      </c>
      <c r="CM1091" t="str">
        <f>""</f>
        <v/>
      </c>
      <c r="CN1091" t="str">
        <f>""</f>
        <v/>
      </c>
      <c r="CO1091" t="str">
        <f>""</f>
        <v/>
      </c>
      <c r="CP1091" t="str">
        <f>""</f>
        <v/>
      </c>
      <c r="CQ1091" t="str">
        <f>""</f>
        <v/>
      </c>
      <c r="CR1091" t="str">
        <f>""</f>
        <v/>
      </c>
      <c r="CS1091" t="str">
        <f>""</f>
        <v/>
      </c>
      <c r="CT1091" t="str">
        <f>""</f>
        <v/>
      </c>
      <c r="CU1091" t="str">
        <f>""</f>
        <v/>
      </c>
      <c r="CV1091" t="str">
        <f>""</f>
        <v/>
      </c>
      <c r="CW1091" t="str">
        <f>""</f>
        <v/>
      </c>
      <c r="CX1091" t="str">
        <f>""</f>
        <v/>
      </c>
      <c r="CY1091" t="str">
        <f>""</f>
        <v/>
      </c>
      <c r="CZ1091" t="str">
        <f>""</f>
        <v/>
      </c>
      <c r="DA1091" t="str">
        <f>""</f>
        <v/>
      </c>
      <c r="DB1091" t="str">
        <f>""</f>
        <v/>
      </c>
      <c r="DC1091" t="str">
        <f>""</f>
        <v/>
      </c>
      <c r="DD1091" t="str">
        <f>""</f>
        <v/>
      </c>
      <c r="DE1091" t="str">
        <f>""</f>
        <v/>
      </c>
      <c r="DF1091" t="str">
        <f>""</f>
        <v/>
      </c>
      <c r="DG1091" t="str">
        <f>""</f>
        <v/>
      </c>
      <c r="DH1091" t="str">
        <f>""</f>
        <v/>
      </c>
      <c r="DI1091" t="str">
        <f>""</f>
        <v/>
      </c>
      <c r="DJ1091" t="str">
        <f>""</f>
        <v/>
      </c>
      <c r="DK1091" t="str">
        <f>""</f>
        <v/>
      </c>
      <c r="DL1091" t="str">
        <f>""</f>
        <v/>
      </c>
      <c r="DM1091" t="str">
        <f>""</f>
        <v/>
      </c>
      <c r="DN1091" t="str">
        <f>""</f>
        <v/>
      </c>
      <c r="DO1091" t="str">
        <f>""</f>
        <v/>
      </c>
      <c r="DP1091" t="str">
        <f>""</f>
        <v/>
      </c>
      <c r="DQ1091" t="str">
        <f>""</f>
        <v/>
      </c>
      <c r="DR1091" t="str">
        <f>""</f>
        <v/>
      </c>
      <c r="DS1091" t="str">
        <f>""</f>
        <v/>
      </c>
      <c r="DT1091" t="str">
        <f>""</f>
        <v/>
      </c>
      <c r="DU1091" t="str">
        <f>""</f>
        <v/>
      </c>
    </row>
    <row r="1092" spans="1:125" x14ac:dyDescent="0.25">
      <c r="A1092" t="str">
        <f>$A$429</f>
        <v xml:space="preserve">    Ford Otomotiv Sanayi AS</v>
      </c>
      <c r="B1092" t="str">
        <f>$B$429</f>
        <v>FROTOTRY EO Equity</v>
      </c>
      <c r="C1092" t="str">
        <f>$C$429</f>
        <v>RR477</v>
      </c>
      <c r="D1092" t="str">
        <f>$D$429</f>
        <v>EV_TO_T12M_CASH_FLOW</v>
      </c>
      <c r="E1092" t="str">
        <f>$E$429</f>
        <v>Dynamic</v>
      </c>
      <c r="F1092" t="str">
        <f ca="1">_xll.BDH($B$429,$C$429,$B$675,$B$676,CONCATENATE("Per=",$B$673),"Dts=H","Dir=H",CONCATENATE("Points=",$B$674),"Sort=R","Days=A","Fill=B",CONCATENATE("FX=", $B$672) )</f>
        <v>#N/A Connection</v>
      </c>
      <c r="BN1092" t="str">
        <f>""</f>
        <v/>
      </c>
      <c r="BO1092" t="str">
        <f>""</f>
        <v/>
      </c>
      <c r="BP1092" t="str">
        <f>""</f>
        <v/>
      </c>
      <c r="BQ1092" t="str">
        <f>""</f>
        <v/>
      </c>
      <c r="BR1092" t="str">
        <f>""</f>
        <v/>
      </c>
      <c r="BS1092" t="str">
        <f>""</f>
        <v/>
      </c>
      <c r="BT1092" t="str">
        <f>""</f>
        <v/>
      </c>
      <c r="BU1092" t="str">
        <f>""</f>
        <v/>
      </c>
      <c r="BV1092" t="str">
        <f>""</f>
        <v/>
      </c>
      <c r="BW1092" t="str">
        <f>""</f>
        <v/>
      </c>
      <c r="BX1092" t="str">
        <f>""</f>
        <v/>
      </c>
      <c r="BY1092" t="str">
        <f>""</f>
        <v/>
      </c>
      <c r="BZ1092" t="str">
        <f>""</f>
        <v/>
      </c>
      <c r="CA1092" t="str">
        <f>""</f>
        <v/>
      </c>
      <c r="CB1092" t="str">
        <f>""</f>
        <v/>
      </c>
      <c r="CC1092" t="str">
        <f>""</f>
        <v/>
      </c>
      <c r="CD1092" t="str">
        <f>""</f>
        <v/>
      </c>
      <c r="CE1092" t="str">
        <f>""</f>
        <v/>
      </c>
      <c r="CF1092" t="str">
        <f>""</f>
        <v/>
      </c>
      <c r="CG1092" t="str">
        <f>""</f>
        <v/>
      </c>
      <c r="CH1092" t="str">
        <f>""</f>
        <v/>
      </c>
      <c r="CI1092" t="str">
        <f>""</f>
        <v/>
      </c>
      <c r="CJ1092" t="str">
        <f>""</f>
        <v/>
      </c>
      <c r="CK1092" t="str">
        <f>""</f>
        <v/>
      </c>
      <c r="CL1092" t="str">
        <f>""</f>
        <v/>
      </c>
      <c r="CM1092" t="str">
        <f>""</f>
        <v/>
      </c>
      <c r="CN1092" t="str">
        <f>""</f>
        <v/>
      </c>
      <c r="CO1092" t="str">
        <f>""</f>
        <v/>
      </c>
      <c r="CP1092" t="str">
        <f>""</f>
        <v/>
      </c>
      <c r="CQ1092" t="str">
        <f>""</f>
        <v/>
      </c>
      <c r="CR1092" t="str">
        <f>""</f>
        <v/>
      </c>
      <c r="CS1092" t="str">
        <f>""</f>
        <v/>
      </c>
      <c r="CT1092" t="str">
        <f>""</f>
        <v/>
      </c>
      <c r="CU1092" t="str">
        <f>""</f>
        <v/>
      </c>
      <c r="CV1092" t="str">
        <f>""</f>
        <v/>
      </c>
      <c r="CW1092" t="str">
        <f>""</f>
        <v/>
      </c>
      <c r="CX1092" t="str">
        <f>""</f>
        <v/>
      </c>
      <c r="CY1092" t="str">
        <f>""</f>
        <v/>
      </c>
      <c r="CZ1092" t="str">
        <f>""</f>
        <v/>
      </c>
      <c r="DA1092" t="str">
        <f>""</f>
        <v/>
      </c>
      <c r="DB1092" t="str">
        <f>""</f>
        <v/>
      </c>
      <c r="DC1092" t="str">
        <f>""</f>
        <v/>
      </c>
      <c r="DD1092" t="str">
        <f>""</f>
        <v/>
      </c>
      <c r="DE1092" t="str">
        <f>""</f>
        <v/>
      </c>
      <c r="DF1092" t="str">
        <f>""</f>
        <v/>
      </c>
      <c r="DG1092" t="str">
        <f>""</f>
        <v/>
      </c>
      <c r="DH1092" t="str">
        <f>""</f>
        <v/>
      </c>
      <c r="DI1092" t="str">
        <f>""</f>
        <v/>
      </c>
      <c r="DJ1092" t="str">
        <f>""</f>
        <v/>
      </c>
      <c r="DK1092" t="str">
        <f>""</f>
        <v/>
      </c>
      <c r="DL1092" t="str">
        <f>""</f>
        <v/>
      </c>
      <c r="DM1092" t="str">
        <f>""</f>
        <v/>
      </c>
      <c r="DN1092" t="str">
        <f>""</f>
        <v/>
      </c>
      <c r="DO1092" t="str">
        <f>""</f>
        <v/>
      </c>
      <c r="DP1092" t="str">
        <f>""</f>
        <v/>
      </c>
      <c r="DQ1092" t="str">
        <f>""</f>
        <v/>
      </c>
      <c r="DR1092" t="str">
        <f>""</f>
        <v/>
      </c>
      <c r="DS1092" t="str">
        <f>""</f>
        <v/>
      </c>
      <c r="DT1092" t="str">
        <f>""</f>
        <v/>
      </c>
      <c r="DU1092" t="str">
        <f>""</f>
        <v/>
      </c>
    </row>
    <row r="1093" spans="1:125" x14ac:dyDescent="0.25">
      <c r="A1093" t="str">
        <f>$A$430</f>
        <v xml:space="preserve">    GAZ PJSC</v>
      </c>
      <c r="B1093" t="str">
        <f>$B$430</f>
        <v>GAZA RM Equity</v>
      </c>
      <c r="C1093" t="str">
        <f>$C$430</f>
        <v>RR477</v>
      </c>
      <c r="D1093" t="str">
        <f>$D$430</f>
        <v>EV_TO_T12M_CASH_FLOW</v>
      </c>
      <c r="E1093" t="str">
        <f>$E$430</f>
        <v>Dynamic</v>
      </c>
      <c r="F1093" t="str">
        <f ca="1">_xll.BDH($B$430,$C$430,$B$675,$B$676,CONCATENATE("Per=",$B$673),"Dts=H","Dir=H",CONCATENATE("Points=",$B$674),"Sort=R","Days=A","Fill=B",CONCATENATE("FX=", $B$672) )</f>
        <v>#N/A Connection</v>
      </c>
      <c r="BN1093" t="str">
        <f>""</f>
        <v/>
      </c>
      <c r="BO1093" t="str">
        <f>""</f>
        <v/>
      </c>
      <c r="BP1093" t="str">
        <f>""</f>
        <v/>
      </c>
      <c r="BQ1093" t="str">
        <f>""</f>
        <v/>
      </c>
      <c r="BR1093" t="str">
        <f>""</f>
        <v/>
      </c>
      <c r="BS1093" t="str">
        <f>""</f>
        <v/>
      </c>
      <c r="BT1093" t="str">
        <f>""</f>
        <v/>
      </c>
      <c r="BU1093" t="str">
        <f>""</f>
        <v/>
      </c>
      <c r="BV1093" t="str">
        <f>""</f>
        <v/>
      </c>
      <c r="BW1093" t="str">
        <f>""</f>
        <v/>
      </c>
      <c r="BX1093" t="str">
        <f>""</f>
        <v/>
      </c>
      <c r="BY1093" t="str">
        <f>""</f>
        <v/>
      </c>
      <c r="BZ1093" t="str">
        <f>""</f>
        <v/>
      </c>
      <c r="CA1093" t="str">
        <f>""</f>
        <v/>
      </c>
      <c r="CB1093" t="str">
        <f>""</f>
        <v/>
      </c>
      <c r="CC1093" t="str">
        <f>""</f>
        <v/>
      </c>
      <c r="CD1093" t="str">
        <f>""</f>
        <v/>
      </c>
      <c r="CE1093" t="str">
        <f>""</f>
        <v/>
      </c>
      <c r="CF1093" t="str">
        <f>""</f>
        <v/>
      </c>
      <c r="CG1093" t="str">
        <f>""</f>
        <v/>
      </c>
      <c r="CH1093" t="str">
        <f>""</f>
        <v/>
      </c>
      <c r="CI1093" t="str">
        <f>""</f>
        <v/>
      </c>
      <c r="CJ1093" t="str">
        <f>""</f>
        <v/>
      </c>
      <c r="CK1093" t="str">
        <f>""</f>
        <v/>
      </c>
      <c r="CL1093" t="str">
        <f>""</f>
        <v/>
      </c>
      <c r="CM1093" t="str">
        <f>""</f>
        <v/>
      </c>
      <c r="CN1093" t="str">
        <f>""</f>
        <v/>
      </c>
      <c r="CO1093" t="str">
        <f>""</f>
        <v/>
      </c>
      <c r="CP1093" t="str">
        <f>""</f>
        <v/>
      </c>
      <c r="CQ1093" t="str">
        <f>""</f>
        <v/>
      </c>
      <c r="CR1093" t="str">
        <f>""</f>
        <v/>
      </c>
      <c r="CS1093" t="str">
        <f>""</f>
        <v/>
      </c>
      <c r="CT1093" t="str">
        <f>""</f>
        <v/>
      </c>
      <c r="CU1093" t="str">
        <f>""</f>
        <v/>
      </c>
      <c r="CV1093" t="str">
        <f>""</f>
        <v/>
      </c>
      <c r="CW1093" t="str">
        <f>""</f>
        <v/>
      </c>
      <c r="CX1093" t="str">
        <f>""</f>
        <v/>
      </c>
      <c r="CY1093" t="str">
        <f>""</f>
        <v/>
      </c>
      <c r="CZ1093" t="str">
        <f>""</f>
        <v/>
      </c>
      <c r="DA1093" t="str">
        <f>""</f>
        <v/>
      </c>
      <c r="DB1093" t="str">
        <f>""</f>
        <v/>
      </c>
      <c r="DC1093" t="str">
        <f>""</f>
        <v/>
      </c>
      <c r="DD1093" t="str">
        <f>""</f>
        <v/>
      </c>
      <c r="DE1093" t="str">
        <f>""</f>
        <v/>
      </c>
      <c r="DF1093" t="str">
        <f>""</f>
        <v/>
      </c>
      <c r="DG1093" t="str">
        <f>""</f>
        <v/>
      </c>
      <c r="DH1093" t="str">
        <f>""</f>
        <v/>
      </c>
      <c r="DI1093" t="str">
        <f>""</f>
        <v/>
      </c>
      <c r="DJ1093" t="str">
        <f>""</f>
        <v/>
      </c>
      <c r="DK1093" t="str">
        <f>""</f>
        <v/>
      </c>
      <c r="DL1093" t="str">
        <f>""</f>
        <v/>
      </c>
      <c r="DM1093" t="str">
        <f>""</f>
        <v/>
      </c>
      <c r="DN1093" t="str">
        <f>""</f>
        <v/>
      </c>
      <c r="DO1093" t="str">
        <f>""</f>
        <v/>
      </c>
      <c r="DP1093" t="str">
        <f>""</f>
        <v/>
      </c>
      <c r="DQ1093" t="str">
        <f>""</f>
        <v/>
      </c>
      <c r="DR1093" t="str">
        <f>""</f>
        <v/>
      </c>
      <c r="DS1093" t="str">
        <f>""</f>
        <v/>
      </c>
      <c r="DT1093" t="str">
        <f>""</f>
        <v/>
      </c>
      <c r="DU1093" t="str">
        <f>""</f>
        <v/>
      </c>
    </row>
    <row r="1094" spans="1:125" x14ac:dyDescent="0.25">
      <c r="A1094" t="str">
        <f>$A$431</f>
        <v xml:space="preserve">    Geely Automobile Holdings Ltd</v>
      </c>
      <c r="B1094" t="str">
        <f>$B$431</f>
        <v>175 HK Equity</v>
      </c>
      <c r="C1094" t="str">
        <f>$C$431</f>
        <v>RR477</v>
      </c>
      <c r="D1094" t="str">
        <f>$D$431</f>
        <v>EV_TO_T12M_CASH_FLOW</v>
      </c>
      <c r="E1094" t="str">
        <f>$E$431</f>
        <v>Dynamic</v>
      </c>
      <c r="F1094" t="str">
        <f ca="1">_xll.BDH($B$431,$C$431,$B$675,$B$676,CONCATENATE("Per=",$B$673),"Dts=H","Dir=H",CONCATENATE("Points=",$B$674),"Sort=R","Days=A","Fill=B",CONCATENATE("FX=", $B$672) )</f>
        <v>#N/A Connection</v>
      </c>
      <c r="BN1094" t="str">
        <f>""</f>
        <v/>
      </c>
      <c r="BO1094" t="str">
        <f>""</f>
        <v/>
      </c>
      <c r="BP1094" t="str">
        <f>""</f>
        <v/>
      </c>
      <c r="BQ1094" t="str">
        <f>""</f>
        <v/>
      </c>
      <c r="BR1094" t="str">
        <f>""</f>
        <v/>
      </c>
      <c r="BS1094" t="str">
        <f>""</f>
        <v/>
      </c>
      <c r="BT1094" t="str">
        <f>""</f>
        <v/>
      </c>
      <c r="BU1094" t="str">
        <f>""</f>
        <v/>
      </c>
      <c r="BV1094" t="str">
        <f>""</f>
        <v/>
      </c>
      <c r="BW1094" t="str">
        <f>""</f>
        <v/>
      </c>
      <c r="BX1094" t="str">
        <f>""</f>
        <v/>
      </c>
      <c r="BY1094" t="str">
        <f>""</f>
        <v/>
      </c>
      <c r="BZ1094" t="str">
        <f>""</f>
        <v/>
      </c>
      <c r="CA1094" t="str">
        <f>""</f>
        <v/>
      </c>
      <c r="CB1094" t="str">
        <f>""</f>
        <v/>
      </c>
      <c r="CC1094" t="str">
        <f>""</f>
        <v/>
      </c>
      <c r="CD1094" t="str">
        <f>""</f>
        <v/>
      </c>
      <c r="CE1094" t="str">
        <f>""</f>
        <v/>
      </c>
      <c r="CF1094" t="str">
        <f>""</f>
        <v/>
      </c>
      <c r="CG1094" t="str">
        <f>""</f>
        <v/>
      </c>
      <c r="CH1094" t="str">
        <f>""</f>
        <v/>
      </c>
      <c r="CI1094" t="str">
        <f>""</f>
        <v/>
      </c>
      <c r="CJ1094" t="str">
        <f>""</f>
        <v/>
      </c>
      <c r="CK1094" t="str">
        <f>""</f>
        <v/>
      </c>
      <c r="CL1094" t="str">
        <f>""</f>
        <v/>
      </c>
      <c r="CM1094" t="str">
        <f>""</f>
        <v/>
      </c>
      <c r="CN1094" t="str">
        <f>""</f>
        <v/>
      </c>
      <c r="CO1094" t="str">
        <f>""</f>
        <v/>
      </c>
      <c r="CP1094" t="str">
        <f>""</f>
        <v/>
      </c>
      <c r="CQ1094" t="str">
        <f>""</f>
        <v/>
      </c>
      <c r="CR1094" t="str">
        <f>""</f>
        <v/>
      </c>
      <c r="CS1094" t="str">
        <f>""</f>
        <v/>
      </c>
      <c r="CT1094" t="str">
        <f>""</f>
        <v/>
      </c>
      <c r="CU1094" t="str">
        <f>""</f>
        <v/>
      </c>
      <c r="CV1094" t="str">
        <f>""</f>
        <v/>
      </c>
      <c r="CW1094" t="str">
        <f>""</f>
        <v/>
      </c>
      <c r="CX1094" t="str">
        <f>""</f>
        <v/>
      </c>
      <c r="CY1094" t="str">
        <f>""</f>
        <v/>
      </c>
      <c r="CZ1094" t="str">
        <f>""</f>
        <v/>
      </c>
      <c r="DA1094" t="str">
        <f>""</f>
        <v/>
      </c>
      <c r="DB1094" t="str">
        <f>""</f>
        <v/>
      </c>
      <c r="DC1094" t="str">
        <f>""</f>
        <v/>
      </c>
      <c r="DD1094" t="str">
        <f>""</f>
        <v/>
      </c>
      <c r="DE1094" t="str">
        <f>""</f>
        <v/>
      </c>
      <c r="DF1094" t="str">
        <f>""</f>
        <v/>
      </c>
      <c r="DG1094" t="str">
        <f>""</f>
        <v/>
      </c>
      <c r="DH1094" t="str">
        <f>""</f>
        <v/>
      </c>
      <c r="DI1094" t="str">
        <f>""</f>
        <v/>
      </c>
      <c r="DJ1094" t="str">
        <f>""</f>
        <v/>
      </c>
      <c r="DK1094" t="str">
        <f>""</f>
        <v/>
      </c>
      <c r="DL1094" t="str">
        <f>""</f>
        <v/>
      </c>
      <c r="DM1094" t="str">
        <f>""</f>
        <v/>
      </c>
      <c r="DN1094" t="str">
        <f>""</f>
        <v/>
      </c>
      <c r="DO1094" t="str">
        <f>""</f>
        <v/>
      </c>
      <c r="DP1094" t="str">
        <f>""</f>
        <v/>
      </c>
      <c r="DQ1094" t="str">
        <f>""</f>
        <v/>
      </c>
      <c r="DR1094" t="str">
        <f>""</f>
        <v/>
      </c>
      <c r="DS1094" t="str">
        <f>""</f>
        <v/>
      </c>
      <c r="DT1094" t="str">
        <f>""</f>
        <v/>
      </c>
      <c r="DU1094" t="str">
        <f>""</f>
        <v/>
      </c>
    </row>
    <row r="1095" spans="1:125" x14ac:dyDescent="0.25">
      <c r="A1095" t="str">
        <f>$A$432</f>
        <v xml:space="preserve">    General Motors Co</v>
      </c>
      <c r="B1095" t="str">
        <f>$B$432</f>
        <v>GM US Equity</v>
      </c>
      <c r="C1095" t="str">
        <f>$C$432</f>
        <v>RR477</v>
      </c>
      <c r="D1095" t="str">
        <f>$D$432</f>
        <v>EV_TO_T12M_CASH_FLOW</v>
      </c>
      <c r="E1095" t="str">
        <f>$E$432</f>
        <v>Dynamic</v>
      </c>
      <c r="F1095" t="str">
        <f ca="1">_xll.BDH($B$432,$C$432,$B$675,$B$676,CONCATENATE("Per=",$B$673),"Dts=H","Dir=H",CONCATENATE("Points=",$B$674),"Sort=R","Days=A","Fill=B",CONCATENATE("FX=", $B$672) )</f>
        <v>#N/A Connection</v>
      </c>
      <c r="BN1095" t="str">
        <f>""</f>
        <v/>
      </c>
      <c r="BO1095" t="str">
        <f>""</f>
        <v/>
      </c>
      <c r="BP1095" t="str">
        <f>""</f>
        <v/>
      </c>
      <c r="BQ1095" t="str">
        <f>""</f>
        <v/>
      </c>
      <c r="BR1095" t="str">
        <f>""</f>
        <v/>
      </c>
      <c r="BS1095" t="str">
        <f>""</f>
        <v/>
      </c>
      <c r="BT1095" t="str">
        <f>""</f>
        <v/>
      </c>
      <c r="BU1095" t="str">
        <f>""</f>
        <v/>
      </c>
      <c r="BV1095" t="str">
        <f>""</f>
        <v/>
      </c>
      <c r="BW1095" t="str">
        <f>""</f>
        <v/>
      </c>
      <c r="BX1095" t="str">
        <f>""</f>
        <v/>
      </c>
      <c r="BY1095" t="str">
        <f>""</f>
        <v/>
      </c>
      <c r="BZ1095" t="str">
        <f>""</f>
        <v/>
      </c>
      <c r="CA1095" t="str">
        <f>""</f>
        <v/>
      </c>
      <c r="CB1095" t="str">
        <f>""</f>
        <v/>
      </c>
      <c r="CC1095" t="str">
        <f>""</f>
        <v/>
      </c>
      <c r="CD1095" t="str">
        <f>""</f>
        <v/>
      </c>
      <c r="CE1095" t="str">
        <f>""</f>
        <v/>
      </c>
      <c r="CF1095" t="str">
        <f>""</f>
        <v/>
      </c>
      <c r="CG1095" t="str">
        <f>""</f>
        <v/>
      </c>
      <c r="CH1095" t="str">
        <f>""</f>
        <v/>
      </c>
      <c r="CI1095" t="str">
        <f>""</f>
        <v/>
      </c>
      <c r="CJ1095" t="str">
        <f>""</f>
        <v/>
      </c>
      <c r="CK1095" t="str">
        <f>""</f>
        <v/>
      </c>
      <c r="CL1095" t="str">
        <f>""</f>
        <v/>
      </c>
      <c r="CM1095" t="str">
        <f>""</f>
        <v/>
      </c>
      <c r="CN1095" t="str">
        <f>""</f>
        <v/>
      </c>
      <c r="CO1095" t="str">
        <f>""</f>
        <v/>
      </c>
      <c r="CP1095" t="str">
        <f>""</f>
        <v/>
      </c>
      <c r="CQ1095" t="str">
        <f>""</f>
        <v/>
      </c>
      <c r="CR1095" t="str">
        <f>""</f>
        <v/>
      </c>
      <c r="CS1095" t="str">
        <f>""</f>
        <v/>
      </c>
      <c r="CT1095" t="str">
        <f>""</f>
        <v/>
      </c>
      <c r="CU1095" t="str">
        <f>""</f>
        <v/>
      </c>
      <c r="CV1095" t="str">
        <f>""</f>
        <v/>
      </c>
      <c r="CW1095" t="str">
        <f>""</f>
        <v/>
      </c>
      <c r="CX1095" t="str">
        <f>""</f>
        <v/>
      </c>
      <c r="CY1095" t="str">
        <f>""</f>
        <v/>
      </c>
      <c r="CZ1095" t="str">
        <f>""</f>
        <v/>
      </c>
      <c r="DA1095" t="str">
        <f>""</f>
        <v/>
      </c>
      <c r="DB1095" t="str">
        <f>""</f>
        <v/>
      </c>
      <c r="DC1095" t="str">
        <f>""</f>
        <v/>
      </c>
      <c r="DD1095" t="str">
        <f>""</f>
        <v/>
      </c>
      <c r="DE1095" t="str">
        <f>""</f>
        <v/>
      </c>
      <c r="DF1095" t="str">
        <f>""</f>
        <v/>
      </c>
      <c r="DG1095" t="str">
        <f>""</f>
        <v/>
      </c>
      <c r="DH1095" t="str">
        <f>""</f>
        <v/>
      </c>
      <c r="DI1095" t="str">
        <f>""</f>
        <v/>
      </c>
      <c r="DJ1095" t="str">
        <f>""</f>
        <v/>
      </c>
      <c r="DK1095" t="str">
        <f>""</f>
        <v/>
      </c>
      <c r="DL1095" t="str">
        <f>""</f>
        <v/>
      </c>
      <c r="DM1095" t="str">
        <f>""</f>
        <v/>
      </c>
      <c r="DN1095" t="str">
        <f>""</f>
        <v/>
      </c>
      <c r="DO1095" t="str">
        <f>""</f>
        <v/>
      </c>
      <c r="DP1095" t="str">
        <f>""</f>
        <v/>
      </c>
      <c r="DQ1095" t="str">
        <f>""</f>
        <v/>
      </c>
      <c r="DR1095" t="str">
        <f>""</f>
        <v/>
      </c>
      <c r="DS1095" t="str">
        <f>""</f>
        <v/>
      </c>
      <c r="DT1095" t="str">
        <f>""</f>
        <v/>
      </c>
      <c r="DU1095" t="str">
        <f>""</f>
        <v/>
      </c>
    </row>
    <row r="1096" spans="1:125" x14ac:dyDescent="0.25">
      <c r="A1096" t="str">
        <f>$A$433</f>
        <v xml:space="preserve">    Great Wall Motor Co Ltd</v>
      </c>
      <c r="B1096" t="str">
        <f>$B$433</f>
        <v>2333 HK Equity</v>
      </c>
      <c r="C1096" t="str">
        <f>$C$433</f>
        <v>RR477</v>
      </c>
      <c r="D1096" t="str">
        <f>$D$433</f>
        <v>EV_TO_T12M_CASH_FLOW</v>
      </c>
      <c r="E1096" t="str">
        <f>$E$433</f>
        <v>Dynamic</v>
      </c>
      <c r="F1096" t="str">
        <f ca="1">_xll.BDH($B$433,$C$433,$B$675,$B$676,CONCATENATE("Per=",$B$673),"Dts=H","Dir=H",CONCATENATE("Points=",$B$674),"Sort=R","Days=A","Fill=B",CONCATENATE("FX=", $B$672) )</f>
        <v>#N/A Connection</v>
      </c>
      <c r="BN1096" t="str">
        <f>""</f>
        <v/>
      </c>
      <c r="BO1096" t="str">
        <f>""</f>
        <v/>
      </c>
      <c r="BP1096" t="str">
        <f>""</f>
        <v/>
      </c>
      <c r="BQ1096" t="str">
        <f>""</f>
        <v/>
      </c>
      <c r="BR1096" t="str">
        <f>""</f>
        <v/>
      </c>
      <c r="BS1096" t="str">
        <f>""</f>
        <v/>
      </c>
      <c r="BT1096" t="str">
        <f>""</f>
        <v/>
      </c>
      <c r="BU1096" t="str">
        <f>""</f>
        <v/>
      </c>
      <c r="BV1096" t="str">
        <f>""</f>
        <v/>
      </c>
      <c r="BW1096" t="str">
        <f>""</f>
        <v/>
      </c>
      <c r="BX1096" t="str">
        <f>""</f>
        <v/>
      </c>
      <c r="BY1096" t="str">
        <f>""</f>
        <v/>
      </c>
      <c r="BZ1096" t="str">
        <f>""</f>
        <v/>
      </c>
      <c r="CA1096" t="str">
        <f>""</f>
        <v/>
      </c>
      <c r="CB1096" t="str">
        <f>""</f>
        <v/>
      </c>
      <c r="CC1096" t="str">
        <f>""</f>
        <v/>
      </c>
      <c r="CD1096" t="str">
        <f>""</f>
        <v/>
      </c>
      <c r="CE1096" t="str">
        <f>""</f>
        <v/>
      </c>
      <c r="CF1096" t="str">
        <f>""</f>
        <v/>
      </c>
      <c r="CG1096" t="str">
        <f>""</f>
        <v/>
      </c>
      <c r="CH1096" t="str">
        <f>""</f>
        <v/>
      </c>
      <c r="CI1096" t="str">
        <f>""</f>
        <v/>
      </c>
      <c r="CJ1096" t="str">
        <f>""</f>
        <v/>
      </c>
      <c r="CK1096" t="str">
        <f>""</f>
        <v/>
      </c>
      <c r="CL1096" t="str">
        <f>""</f>
        <v/>
      </c>
      <c r="CM1096" t="str">
        <f>""</f>
        <v/>
      </c>
      <c r="CN1096" t="str">
        <f>""</f>
        <v/>
      </c>
      <c r="CO1096" t="str">
        <f>""</f>
        <v/>
      </c>
      <c r="CP1096" t="str">
        <f>""</f>
        <v/>
      </c>
      <c r="CQ1096" t="str">
        <f>""</f>
        <v/>
      </c>
      <c r="CR1096" t="str">
        <f>""</f>
        <v/>
      </c>
      <c r="CS1096" t="str">
        <f>""</f>
        <v/>
      </c>
      <c r="CT1096" t="str">
        <f>""</f>
        <v/>
      </c>
      <c r="CU1096" t="str">
        <f>""</f>
        <v/>
      </c>
      <c r="CV1096" t="str">
        <f>""</f>
        <v/>
      </c>
      <c r="CW1096" t="str">
        <f>""</f>
        <v/>
      </c>
      <c r="CX1096" t="str">
        <f>""</f>
        <v/>
      </c>
      <c r="CY1096" t="str">
        <f>""</f>
        <v/>
      </c>
      <c r="CZ1096" t="str">
        <f>""</f>
        <v/>
      </c>
      <c r="DA1096" t="str">
        <f>""</f>
        <v/>
      </c>
      <c r="DB1096" t="str">
        <f>""</f>
        <v/>
      </c>
      <c r="DC1096" t="str">
        <f>""</f>
        <v/>
      </c>
      <c r="DD1096" t="str">
        <f>""</f>
        <v/>
      </c>
      <c r="DE1096" t="str">
        <f>""</f>
        <v/>
      </c>
      <c r="DF1096" t="str">
        <f>""</f>
        <v/>
      </c>
      <c r="DG1096" t="str">
        <f>""</f>
        <v/>
      </c>
      <c r="DH1096" t="str">
        <f>""</f>
        <v/>
      </c>
      <c r="DI1096" t="str">
        <f>""</f>
        <v/>
      </c>
      <c r="DJ1096" t="str">
        <f>""</f>
        <v/>
      </c>
      <c r="DK1096" t="str">
        <f>""</f>
        <v/>
      </c>
      <c r="DL1096" t="str">
        <f>""</f>
        <v/>
      </c>
      <c r="DM1096" t="str">
        <f>""</f>
        <v/>
      </c>
      <c r="DN1096" t="str">
        <f>""</f>
        <v/>
      </c>
      <c r="DO1096" t="str">
        <f>""</f>
        <v/>
      </c>
      <c r="DP1096" t="str">
        <f>""</f>
        <v/>
      </c>
      <c r="DQ1096" t="str">
        <f>""</f>
        <v/>
      </c>
      <c r="DR1096" t="str">
        <f>""</f>
        <v/>
      </c>
      <c r="DS1096" t="str">
        <f>""</f>
        <v/>
      </c>
      <c r="DT1096" t="str">
        <f>""</f>
        <v/>
      </c>
      <c r="DU1096" t="str">
        <f>""</f>
        <v/>
      </c>
    </row>
    <row r="1097" spans="1:125" x14ac:dyDescent="0.25">
      <c r="A1097" t="str">
        <f>$A$434</f>
        <v xml:space="preserve">    Guangzhou Automobile Group Co Ltd</v>
      </c>
      <c r="B1097" t="str">
        <f>$B$434</f>
        <v>2238 HK Equity</v>
      </c>
      <c r="C1097" t="str">
        <f>$C$434</f>
        <v>RR477</v>
      </c>
      <c r="D1097" t="str">
        <f>$D$434</f>
        <v>EV_TO_T12M_CASH_FLOW</v>
      </c>
      <c r="E1097" t="str">
        <f>$E$434</f>
        <v>Dynamic</v>
      </c>
      <c r="F1097" t="str">
        <f ca="1">_xll.BDH($B$434,$C$434,$B$675,$B$676,CONCATENATE("Per=",$B$673),"Dts=H","Dir=H",CONCATENATE("Points=",$B$674),"Sort=R","Days=A","Fill=B",CONCATENATE("FX=", $B$672) )</f>
        <v>#N/A Connection</v>
      </c>
      <c r="BN1097" t="str">
        <f>""</f>
        <v/>
      </c>
      <c r="BO1097" t="str">
        <f>""</f>
        <v/>
      </c>
      <c r="BP1097" t="str">
        <f>""</f>
        <v/>
      </c>
      <c r="BQ1097" t="str">
        <f>""</f>
        <v/>
      </c>
      <c r="BR1097" t="str">
        <f>""</f>
        <v/>
      </c>
      <c r="BS1097" t="str">
        <f>""</f>
        <v/>
      </c>
      <c r="BT1097" t="str">
        <f>""</f>
        <v/>
      </c>
      <c r="BU1097" t="str">
        <f>""</f>
        <v/>
      </c>
      <c r="BV1097" t="str">
        <f>""</f>
        <v/>
      </c>
      <c r="BW1097" t="str">
        <f>""</f>
        <v/>
      </c>
      <c r="BX1097" t="str">
        <f>""</f>
        <v/>
      </c>
      <c r="BY1097" t="str">
        <f>""</f>
        <v/>
      </c>
      <c r="BZ1097" t="str">
        <f>""</f>
        <v/>
      </c>
      <c r="CA1097" t="str">
        <f>""</f>
        <v/>
      </c>
      <c r="CB1097" t="str">
        <f>""</f>
        <v/>
      </c>
      <c r="CC1097" t="str">
        <f>""</f>
        <v/>
      </c>
      <c r="CD1097" t="str">
        <f>""</f>
        <v/>
      </c>
      <c r="CE1097" t="str">
        <f>""</f>
        <v/>
      </c>
      <c r="CF1097" t="str">
        <f>""</f>
        <v/>
      </c>
      <c r="CG1097" t="str">
        <f>""</f>
        <v/>
      </c>
      <c r="CH1097" t="str">
        <f>""</f>
        <v/>
      </c>
      <c r="CI1097" t="str">
        <f>""</f>
        <v/>
      </c>
      <c r="CJ1097" t="str">
        <f>""</f>
        <v/>
      </c>
      <c r="CK1097" t="str">
        <f>""</f>
        <v/>
      </c>
      <c r="CL1097" t="str">
        <f>""</f>
        <v/>
      </c>
      <c r="CM1097" t="str">
        <f>""</f>
        <v/>
      </c>
      <c r="CN1097" t="str">
        <f>""</f>
        <v/>
      </c>
      <c r="CO1097" t="str">
        <f>""</f>
        <v/>
      </c>
      <c r="CP1097" t="str">
        <f>""</f>
        <v/>
      </c>
      <c r="CQ1097" t="str">
        <f>""</f>
        <v/>
      </c>
      <c r="CR1097" t="str">
        <f>""</f>
        <v/>
      </c>
      <c r="CS1097" t="str">
        <f>""</f>
        <v/>
      </c>
      <c r="CT1097" t="str">
        <f>""</f>
        <v/>
      </c>
      <c r="CU1097" t="str">
        <f>""</f>
        <v/>
      </c>
      <c r="CV1097" t="str">
        <f>""</f>
        <v/>
      </c>
      <c r="CW1097" t="str">
        <f>""</f>
        <v/>
      </c>
      <c r="CX1097" t="str">
        <f>""</f>
        <v/>
      </c>
      <c r="CY1097" t="str">
        <f>""</f>
        <v/>
      </c>
      <c r="CZ1097" t="str">
        <f>""</f>
        <v/>
      </c>
      <c r="DA1097" t="str">
        <f>""</f>
        <v/>
      </c>
      <c r="DB1097" t="str">
        <f>""</f>
        <v/>
      </c>
      <c r="DC1097" t="str">
        <f>""</f>
        <v/>
      </c>
      <c r="DD1097" t="str">
        <f>""</f>
        <v/>
      </c>
      <c r="DE1097" t="str">
        <f>""</f>
        <v/>
      </c>
      <c r="DF1097" t="str">
        <f>""</f>
        <v/>
      </c>
      <c r="DG1097" t="str">
        <f>""</f>
        <v/>
      </c>
      <c r="DH1097" t="str">
        <f>""</f>
        <v/>
      </c>
      <c r="DI1097" t="str">
        <f>""</f>
        <v/>
      </c>
      <c r="DJ1097" t="str">
        <f>""</f>
        <v/>
      </c>
      <c r="DK1097" t="str">
        <f>""</f>
        <v/>
      </c>
      <c r="DL1097" t="str">
        <f>""</f>
        <v/>
      </c>
      <c r="DM1097" t="str">
        <f>""</f>
        <v/>
      </c>
      <c r="DN1097" t="str">
        <f>""</f>
        <v/>
      </c>
      <c r="DO1097" t="str">
        <f>""</f>
        <v/>
      </c>
      <c r="DP1097" t="str">
        <f>""</f>
        <v/>
      </c>
      <c r="DQ1097" t="str">
        <f>""</f>
        <v/>
      </c>
      <c r="DR1097" t="str">
        <f>""</f>
        <v/>
      </c>
      <c r="DS1097" t="str">
        <f>""</f>
        <v/>
      </c>
      <c r="DT1097" t="str">
        <f>""</f>
        <v/>
      </c>
      <c r="DU1097" t="str">
        <f>""</f>
        <v/>
      </c>
    </row>
    <row r="1098" spans="1:125" x14ac:dyDescent="0.25">
      <c r="A1098" t="str">
        <f>$A$435</f>
        <v xml:space="preserve">    Honda Motor Co Ltd</v>
      </c>
      <c r="B1098" t="str">
        <f>$B$435</f>
        <v>7267 JP Equity</v>
      </c>
      <c r="C1098" t="str">
        <f>$C$435</f>
        <v>RR477</v>
      </c>
      <c r="D1098" t="str">
        <f>$D$435</f>
        <v>EV_TO_T12M_CASH_FLOW</v>
      </c>
      <c r="E1098" t="str">
        <f>$E$435</f>
        <v>Dynamic</v>
      </c>
      <c r="F1098" t="str">
        <f ca="1">_xll.BDH($B$435,$C$435,$B$675,$B$676,CONCATENATE("Per=",$B$673),"Dts=H","Dir=H",CONCATENATE("Points=",$B$674),"Sort=R","Days=A","Fill=B",CONCATENATE("FX=", $B$672) )</f>
        <v>#N/A Connection</v>
      </c>
      <c r="BN1098" t="str">
        <f>""</f>
        <v/>
      </c>
      <c r="BO1098" t="str">
        <f>""</f>
        <v/>
      </c>
      <c r="BP1098" t="str">
        <f>""</f>
        <v/>
      </c>
      <c r="BQ1098" t="str">
        <f>""</f>
        <v/>
      </c>
      <c r="BR1098" t="str">
        <f>""</f>
        <v/>
      </c>
      <c r="BS1098" t="str">
        <f>""</f>
        <v/>
      </c>
      <c r="BT1098" t="str">
        <f>""</f>
        <v/>
      </c>
      <c r="BU1098" t="str">
        <f>""</f>
        <v/>
      </c>
      <c r="BV1098" t="str">
        <f>""</f>
        <v/>
      </c>
      <c r="BW1098" t="str">
        <f>""</f>
        <v/>
      </c>
      <c r="BX1098" t="str">
        <f>""</f>
        <v/>
      </c>
      <c r="BY1098" t="str">
        <f>""</f>
        <v/>
      </c>
      <c r="BZ1098" t="str">
        <f>""</f>
        <v/>
      </c>
      <c r="CA1098" t="str">
        <f>""</f>
        <v/>
      </c>
      <c r="CB1098" t="str">
        <f>""</f>
        <v/>
      </c>
      <c r="CC1098" t="str">
        <f>""</f>
        <v/>
      </c>
      <c r="CD1098" t="str">
        <f>""</f>
        <v/>
      </c>
      <c r="CE1098" t="str">
        <f>""</f>
        <v/>
      </c>
      <c r="CF1098" t="str">
        <f>""</f>
        <v/>
      </c>
      <c r="CG1098" t="str">
        <f>""</f>
        <v/>
      </c>
      <c r="CH1098" t="str">
        <f>""</f>
        <v/>
      </c>
      <c r="CI1098" t="str">
        <f>""</f>
        <v/>
      </c>
      <c r="CJ1098" t="str">
        <f>""</f>
        <v/>
      </c>
      <c r="CK1098" t="str">
        <f>""</f>
        <v/>
      </c>
      <c r="CL1098" t="str">
        <f>""</f>
        <v/>
      </c>
      <c r="CM1098" t="str">
        <f>""</f>
        <v/>
      </c>
      <c r="CN1098" t="str">
        <f>""</f>
        <v/>
      </c>
      <c r="CO1098" t="str">
        <f>""</f>
        <v/>
      </c>
      <c r="CP1098" t="str">
        <f>""</f>
        <v/>
      </c>
      <c r="CQ1098" t="str">
        <f>""</f>
        <v/>
      </c>
      <c r="CR1098" t="str">
        <f>""</f>
        <v/>
      </c>
      <c r="CS1098" t="str">
        <f>""</f>
        <v/>
      </c>
      <c r="CT1098" t="str">
        <f>""</f>
        <v/>
      </c>
      <c r="CU1098" t="str">
        <f>""</f>
        <v/>
      </c>
      <c r="CV1098" t="str">
        <f>""</f>
        <v/>
      </c>
      <c r="CW1098" t="str">
        <f>""</f>
        <v/>
      </c>
      <c r="CX1098" t="str">
        <f>""</f>
        <v/>
      </c>
      <c r="CY1098" t="str">
        <f>""</f>
        <v/>
      </c>
      <c r="CZ1098" t="str">
        <f>""</f>
        <v/>
      </c>
      <c r="DA1098" t="str">
        <f>""</f>
        <v/>
      </c>
      <c r="DB1098" t="str">
        <f>""</f>
        <v/>
      </c>
      <c r="DC1098" t="str">
        <f>""</f>
        <v/>
      </c>
      <c r="DD1098" t="str">
        <f>""</f>
        <v/>
      </c>
      <c r="DE1098" t="str">
        <f>""</f>
        <v/>
      </c>
      <c r="DF1098" t="str">
        <f>""</f>
        <v/>
      </c>
      <c r="DG1098" t="str">
        <f>""</f>
        <v/>
      </c>
      <c r="DH1098" t="str">
        <f>""</f>
        <v/>
      </c>
      <c r="DI1098" t="str">
        <f>""</f>
        <v/>
      </c>
      <c r="DJ1098" t="str">
        <f>""</f>
        <v/>
      </c>
      <c r="DK1098" t="str">
        <f>""</f>
        <v/>
      </c>
      <c r="DL1098" t="str">
        <f>""</f>
        <v/>
      </c>
      <c r="DM1098" t="str">
        <f>""</f>
        <v/>
      </c>
      <c r="DN1098" t="str">
        <f>""</f>
        <v/>
      </c>
      <c r="DO1098" t="str">
        <f>""</f>
        <v/>
      </c>
      <c r="DP1098" t="str">
        <f>""</f>
        <v/>
      </c>
      <c r="DQ1098" t="str">
        <f>""</f>
        <v/>
      </c>
      <c r="DR1098" t="str">
        <f>""</f>
        <v/>
      </c>
      <c r="DS1098" t="str">
        <f>""</f>
        <v/>
      </c>
      <c r="DT1098" t="str">
        <f>""</f>
        <v/>
      </c>
      <c r="DU1098" t="str">
        <f>""</f>
        <v/>
      </c>
    </row>
    <row r="1099" spans="1:125" x14ac:dyDescent="0.25">
      <c r="A1099" t="str">
        <f>$A$436</f>
        <v xml:space="preserve">    Hyundai Motor Co</v>
      </c>
      <c r="B1099" t="str">
        <f>$B$436</f>
        <v>005380 KS Equity</v>
      </c>
      <c r="C1099" t="str">
        <f>$C$436</f>
        <v>RR477</v>
      </c>
      <c r="D1099" t="str">
        <f>$D$436</f>
        <v>EV_TO_T12M_CASH_FLOW</v>
      </c>
      <c r="E1099" t="str">
        <f>$E$436</f>
        <v>Dynamic</v>
      </c>
      <c r="F1099" t="str">
        <f ca="1">_xll.BDH($B$436,$C$436,$B$675,$B$676,CONCATENATE("Per=",$B$673),"Dts=H","Dir=H",CONCATENATE("Points=",$B$674),"Sort=R","Days=A","Fill=B",CONCATENATE("FX=", $B$672) )</f>
        <v>#N/A Connection</v>
      </c>
      <c r="BN1099" t="str">
        <f>""</f>
        <v/>
      </c>
      <c r="BO1099" t="str">
        <f>""</f>
        <v/>
      </c>
      <c r="BP1099" t="str">
        <f>""</f>
        <v/>
      </c>
      <c r="BQ1099" t="str">
        <f>""</f>
        <v/>
      </c>
      <c r="BR1099" t="str">
        <f>""</f>
        <v/>
      </c>
      <c r="BS1099" t="str">
        <f>""</f>
        <v/>
      </c>
      <c r="BT1099" t="str">
        <f>""</f>
        <v/>
      </c>
      <c r="BU1099" t="str">
        <f>""</f>
        <v/>
      </c>
      <c r="BV1099" t="str">
        <f>""</f>
        <v/>
      </c>
      <c r="BW1099" t="str">
        <f>""</f>
        <v/>
      </c>
      <c r="BX1099" t="str">
        <f>""</f>
        <v/>
      </c>
      <c r="BY1099" t="str">
        <f>""</f>
        <v/>
      </c>
      <c r="BZ1099" t="str">
        <f>""</f>
        <v/>
      </c>
      <c r="CA1099" t="str">
        <f>""</f>
        <v/>
      </c>
      <c r="CB1099" t="str">
        <f>""</f>
        <v/>
      </c>
      <c r="CC1099" t="str">
        <f>""</f>
        <v/>
      </c>
      <c r="CD1099" t="str">
        <f>""</f>
        <v/>
      </c>
      <c r="CE1099" t="str">
        <f>""</f>
        <v/>
      </c>
      <c r="CF1099" t="str">
        <f>""</f>
        <v/>
      </c>
      <c r="CG1099" t="str">
        <f>""</f>
        <v/>
      </c>
      <c r="CH1099" t="str">
        <f>""</f>
        <v/>
      </c>
      <c r="CI1099" t="str">
        <f>""</f>
        <v/>
      </c>
      <c r="CJ1099" t="str">
        <f>""</f>
        <v/>
      </c>
      <c r="CK1099" t="str">
        <f>""</f>
        <v/>
      </c>
      <c r="CL1099" t="str">
        <f>""</f>
        <v/>
      </c>
      <c r="CM1099" t="str">
        <f>""</f>
        <v/>
      </c>
      <c r="CN1099" t="str">
        <f>""</f>
        <v/>
      </c>
      <c r="CO1099" t="str">
        <f>""</f>
        <v/>
      </c>
      <c r="CP1099" t="str">
        <f>""</f>
        <v/>
      </c>
      <c r="CQ1099" t="str">
        <f>""</f>
        <v/>
      </c>
      <c r="CR1099" t="str">
        <f>""</f>
        <v/>
      </c>
      <c r="CS1099" t="str">
        <f>""</f>
        <v/>
      </c>
      <c r="CT1099" t="str">
        <f>""</f>
        <v/>
      </c>
      <c r="CU1099" t="str">
        <f>""</f>
        <v/>
      </c>
      <c r="CV1099" t="str">
        <f>""</f>
        <v/>
      </c>
      <c r="CW1099" t="str">
        <f>""</f>
        <v/>
      </c>
      <c r="CX1099" t="str">
        <f>""</f>
        <v/>
      </c>
      <c r="CY1099" t="str">
        <f>""</f>
        <v/>
      </c>
      <c r="CZ1099" t="str">
        <f>""</f>
        <v/>
      </c>
      <c r="DA1099" t="str">
        <f>""</f>
        <v/>
      </c>
      <c r="DB1099" t="str">
        <f>""</f>
        <v/>
      </c>
      <c r="DC1099" t="str">
        <f>""</f>
        <v/>
      </c>
      <c r="DD1099" t="str">
        <f>""</f>
        <v/>
      </c>
      <c r="DE1099" t="str">
        <f>""</f>
        <v/>
      </c>
      <c r="DF1099" t="str">
        <f>""</f>
        <v/>
      </c>
      <c r="DG1099" t="str">
        <f>""</f>
        <v/>
      </c>
      <c r="DH1099" t="str">
        <f>""</f>
        <v/>
      </c>
      <c r="DI1099" t="str">
        <f>""</f>
        <v/>
      </c>
      <c r="DJ1099" t="str">
        <f>""</f>
        <v/>
      </c>
      <c r="DK1099" t="str">
        <f>""</f>
        <v/>
      </c>
      <c r="DL1099" t="str">
        <f>""</f>
        <v/>
      </c>
      <c r="DM1099" t="str">
        <f>""</f>
        <v/>
      </c>
      <c r="DN1099" t="str">
        <f>""</f>
        <v/>
      </c>
      <c r="DO1099" t="str">
        <f>""</f>
        <v/>
      </c>
      <c r="DP1099" t="str">
        <f>""</f>
        <v/>
      </c>
      <c r="DQ1099" t="str">
        <f>""</f>
        <v/>
      </c>
      <c r="DR1099" t="str">
        <f>""</f>
        <v/>
      </c>
      <c r="DS1099" t="str">
        <f>""</f>
        <v/>
      </c>
      <c r="DT1099" t="str">
        <f>""</f>
        <v/>
      </c>
      <c r="DU1099" t="str">
        <f>""</f>
        <v/>
      </c>
    </row>
    <row r="1100" spans="1:125" x14ac:dyDescent="0.25">
      <c r="A1100" t="str">
        <f>$A$437</f>
        <v xml:space="preserve">    Kia Motors Corp</v>
      </c>
      <c r="B1100" t="str">
        <f>$B$437</f>
        <v>000270 KS Equity</v>
      </c>
      <c r="C1100" t="str">
        <f>$C$437</f>
        <v>RR477</v>
      </c>
      <c r="D1100" t="str">
        <f>$D$437</f>
        <v>EV_TO_T12M_CASH_FLOW</v>
      </c>
      <c r="E1100" t="str">
        <f>$E$437</f>
        <v>Dynamic</v>
      </c>
      <c r="F1100" t="str">
        <f ca="1">_xll.BDH($B$437,$C$437,$B$675,$B$676,CONCATENATE("Per=",$B$673),"Dts=H","Dir=H",CONCATENATE("Points=",$B$674),"Sort=R","Days=A","Fill=B",CONCATENATE("FX=", $B$672) )</f>
        <v>#N/A Connection</v>
      </c>
      <c r="BN1100" t="str">
        <f>""</f>
        <v/>
      </c>
      <c r="BO1100" t="str">
        <f>""</f>
        <v/>
      </c>
      <c r="BP1100" t="str">
        <f>""</f>
        <v/>
      </c>
      <c r="BQ1100" t="str">
        <f>""</f>
        <v/>
      </c>
      <c r="BR1100" t="str">
        <f>""</f>
        <v/>
      </c>
      <c r="BS1100" t="str">
        <f>""</f>
        <v/>
      </c>
      <c r="BT1100" t="str">
        <f>""</f>
        <v/>
      </c>
      <c r="BU1100" t="str">
        <f>""</f>
        <v/>
      </c>
      <c r="BV1100" t="str">
        <f>""</f>
        <v/>
      </c>
      <c r="BW1100" t="str">
        <f>""</f>
        <v/>
      </c>
      <c r="BX1100" t="str">
        <f>""</f>
        <v/>
      </c>
      <c r="BY1100" t="str">
        <f>""</f>
        <v/>
      </c>
      <c r="BZ1100" t="str">
        <f>""</f>
        <v/>
      </c>
      <c r="CA1100" t="str">
        <f>""</f>
        <v/>
      </c>
      <c r="CB1100" t="str">
        <f>""</f>
        <v/>
      </c>
      <c r="CC1100" t="str">
        <f>""</f>
        <v/>
      </c>
      <c r="CD1100" t="str">
        <f>""</f>
        <v/>
      </c>
      <c r="CE1100" t="str">
        <f>""</f>
        <v/>
      </c>
      <c r="CF1100" t="str">
        <f>""</f>
        <v/>
      </c>
      <c r="CG1100" t="str">
        <f>""</f>
        <v/>
      </c>
      <c r="CH1100" t="str">
        <f>""</f>
        <v/>
      </c>
      <c r="CI1100" t="str">
        <f>""</f>
        <v/>
      </c>
      <c r="CJ1100" t="str">
        <f>""</f>
        <v/>
      </c>
      <c r="CK1100" t="str">
        <f>""</f>
        <v/>
      </c>
      <c r="CL1100" t="str">
        <f>""</f>
        <v/>
      </c>
      <c r="CM1100" t="str">
        <f>""</f>
        <v/>
      </c>
      <c r="CN1100" t="str">
        <f>""</f>
        <v/>
      </c>
      <c r="CO1100" t="str">
        <f>""</f>
        <v/>
      </c>
      <c r="CP1100" t="str">
        <f>""</f>
        <v/>
      </c>
      <c r="CQ1100" t="str">
        <f>""</f>
        <v/>
      </c>
      <c r="CR1100" t="str">
        <f>""</f>
        <v/>
      </c>
      <c r="CS1100" t="str">
        <f>""</f>
        <v/>
      </c>
      <c r="CT1100" t="str">
        <f>""</f>
        <v/>
      </c>
      <c r="CU1100" t="str">
        <f>""</f>
        <v/>
      </c>
      <c r="CV1100" t="str">
        <f>""</f>
        <v/>
      </c>
      <c r="CW1100" t="str">
        <f>""</f>
        <v/>
      </c>
      <c r="CX1100" t="str">
        <f>""</f>
        <v/>
      </c>
      <c r="CY1100" t="str">
        <f>""</f>
        <v/>
      </c>
      <c r="CZ1100" t="str">
        <f>""</f>
        <v/>
      </c>
      <c r="DA1100" t="str">
        <f>""</f>
        <v/>
      </c>
      <c r="DB1100" t="str">
        <f>""</f>
        <v/>
      </c>
      <c r="DC1100" t="str">
        <f>""</f>
        <v/>
      </c>
      <c r="DD1100" t="str">
        <f>""</f>
        <v/>
      </c>
      <c r="DE1100" t="str">
        <f>""</f>
        <v/>
      </c>
      <c r="DF1100" t="str">
        <f>""</f>
        <v/>
      </c>
      <c r="DG1100" t="str">
        <f>""</f>
        <v/>
      </c>
      <c r="DH1100" t="str">
        <f>""</f>
        <v/>
      </c>
      <c r="DI1100" t="str">
        <f>""</f>
        <v/>
      </c>
      <c r="DJ1100" t="str">
        <f>""</f>
        <v/>
      </c>
      <c r="DK1100" t="str">
        <f>""</f>
        <v/>
      </c>
      <c r="DL1100" t="str">
        <f>""</f>
        <v/>
      </c>
      <c r="DM1100" t="str">
        <f>""</f>
        <v/>
      </c>
      <c r="DN1100" t="str">
        <f>""</f>
        <v/>
      </c>
      <c r="DO1100" t="str">
        <f>""</f>
        <v/>
      </c>
      <c r="DP1100" t="str">
        <f>""</f>
        <v/>
      </c>
      <c r="DQ1100" t="str">
        <f>""</f>
        <v/>
      </c>
      <c r="DR1100" t="str">
        <f>""</f>
        <v/>
      </c>
      <c r="DS1100" t="str">
        <f>""</f>
        <v/>
      </c>
      <c r="DT1100" t="str">
        <f>""</f>
        <v/>
      </c>
      <c r="DU1100" t="str">
        <f>""</f>
        <v/>
      </c>
    </row>
    <row r="1101" spans="1:125" x14ac:dyDescent="0.25">
      <c r="A1101" t="str">
        <f>$A$438</f>
        <v xml:space="preserve">    Mazda Motor Corp</v>
      </c>
      <c r="B1101" t="str">
        <f>$B$438</f>
        <v>7261 JP Equity</v>
      </c>
      <c r="C1101" t="str">
        <f>$C$438</f>
        <v>RR477</v>
      </c>
      <c r="D1101" t="str">
        <f>$D$438</f>
        <v>EV_TO_T12M_CASH_FLOW</v>
      </c>
      <c r="E1101" t="str">
        <f>$E$438</f>
        <v>Dynamic</v>
      </c>
      <c r="F1101" t="str">
        <f ca="1">_xll.BDH($B$438,$C$438,$B$675,$B$676,CONCATENATE("Per=",$B$673),"Dts=H","Dir=H",CONCATENATE("Points=",$B$674),"Sort=R","Days=A","Fill=B",CONCATENATE("FX=", $B$672) )</f>
        <v>#N/A Connection</v>
      </c>
      <c r="BN1101" t="str">
        <f>""</f>
        <v/>
      </c>
      <c r="BO1101" t="str">
        <f>""</f>
        <v/>
      </c>
      <c r="BP1101" t="str">
        <f>""</f>
        <v/>
      </c>
      <c r="BQ1101" t="str">
        <f>""</f>
        <v/>
      </c>
      <c r="BR1101" t="str">
        <f>""</f>
        <v/>
      </c>
      <c r="BS1101" t="str">
        <f>""</f>
        <v/>
      </c>
      <c r="BT1101" t="str">
        <f>""</f>
        <v/>
      </c>
      <c r="BU1101" t="str">
        <f>""</f>
        <v/>
      </c>
      <c r="BV1101" t="str">
        <f>""</f>
        <v/>
      </c>
      <c r="BW1101" t="str">
        <f>""</f>
        <v/>
      </c>
      <c r="BX1101" t="str">
        <f>""</f>
        <v/>
      </c>
      <c r="BY1101" t="str">
        <f>""</f>
        <v/>
      </c>
      <c r="BZ1101" t="str">
        <f>""</f>
        <v/>
      </c>
      <c r="CA1101" t="str">
        <f>""</f>
        <v/>
      </c>
      <c r="CB1101" t="str">
        <f>""</f>
        <v/>
      </c>
      <c r="CC1101" t="str">
        <f>""</f>
        <v/>
      </c>
      <c r="CD1101" t="str">
        <f>""</f>
        <v/>
      </c>
      <c r="CE1101" t="str">
        <f>""</f>
        <v/>
      </c>
      <c r="CF1101" t="str">
        <f>""</f>
        <v/>
      </c>
      <c r="CG1101" t="str">
        <f>""</f>
        <v/>
      </c>
      <c r="CH1101" t="str">
        <f>""</f>
        <v/>
      </c>
      <c r="CI1101" t="str">
        <f>""</f>
        <v/>
      </c>
      <c r="CJ1101" t="str">
        <f>""</f>
        <v/>
      </c>
      <c r="CK1101" t="str">
        <f>""</f>
        <v/>
      </c>
      <c r="CL1101" t="str">
        <f>""</f>
        <v/>
      </c>
      <c r="CM1101" t="str">
        <f>""</f>
        <v/>
      </c>
      <c r="CN1101" t="str">
        <f>""</f>
        <v/>
      </c>
      <c r="CO1101" t="str">
        <f>""</f>
        <v/>
      </c>
      <c r="CP1101" t="str">
        <f>""</f>
        <v/>
      </c>
      <c r="CQ1101" t="str">
        <f>""</f>
        <v/>
      </c>
      <c r="CR1101" t="str">
        <f>""</f>
        <v/>
      </c>
      <c r="CS1101" t="str">
        <f>""</f>
        <v/>
      </c>
      <c r="CT1101" t="str">
        <f>""</f>
        <v/>
      </c>
      <c r="CU1101" t="str">
        <f>""</f>
        <v/>
      </c>
      <c r="CV1101" t="str">
        <f>""</f>
        <v/>
      </c>
      <c r="CW1101" t="str">
        <f>""</f>
        <v/>
      </c>
      <c r="CX1101" t="str">
        <f>""</f>
        <v/>
      </c>
      <c r="CY1101" t="str">
        <f>""</f>
        <v/>
      </c>
      <c r="CZ1101" t="str">
        <f>""</f>
        <v/>
      </c>
      <c r="DA1101" t="str">
        <f>""</f>
        <v/>
      </c>
      <c r="DB1101" t="str">
        <f>""</f>
        <v/>
      </c>
      <c r="DC1101" t="str">
        <f>""</f>
        <v/>
      </c>
      <c r="DD1101" t="str">
        <f>""</f>
        <v/>
      </c>
      <c r="DE1101" t="str">
        <f>""</f>
        <v/>
      </c>
      <c r="DF1101" t="str">
        <f>""</f>
        <v/>
      </c>
      <c r="DG1101" t="str">
        <f>""</f>
        <v/>
      </c>
      <c r="DH1101" t="str">
        <f>""</f>
        <v/>
      </c>
      <c r="DI1101" t="str">
        <f>""</f>
        <v/>
      </c>
      <c r="DJ1101" t="str">
        <f>""</f>
        <v/>
      </c>
      <c r="DK1101" t="str">
        <f>""</f>
        <v/>
      </c>
      <c r="DL1101" t="str">
        <f>""</f>
        <v/>
      </c>
      <c r="DM1101" t="str">
        <f>""</f>
        <v/>
      </c>
      <c r="DN1101" t="str">
        <f>""</f>
        <v/>
      </c>
      <c r="DO1101" t="str">
        <f>""</f>
        <v/>
      </c>
      <c r="DP1101" t="str">
        <f>""</f>
        <v/>
      </c>
      <c r="DQ1101" t="str">
        <f>""</f>
        <v/>
      </c>
      <c r="DR1101" t="str">
        <f>""</f>
        <v/>
      </c>
      <c r="DS1101" t="str">
        <f>""</f>
        <v/>
      </c>
      <c r="DT1101" t="str">
        <f>""</f>
        <v/>
      </c>
      <c r="DU1101" t="str">
        <f>""</f>
        <v/>
      </c>
    </row>
    <row r="1102" spans="1:125" x14ac:dyDescent="0.25">
      <c r="A1102" t="str">
        <f>$A$439</f>
        <v xml:space="preserve">    Mitsubishi Motors Corp</v>
      </c>
      <c r="B1102" t="str">
        <f>$B$439</f>
        <v>7211 JP Equity</v>
      </c>
      <c r="C1102" t="str">
        <f>$C$439</f>
        <v>RR477</v>
      </c>
      <c r="D1102" t="str">
        <f>$D$439</f>
        <v>EV_TO_T12M_CASH_FLOW</v>
      </c>
      <c r="E1102" t="str">
        <f>$E$439</f>
        <v>Dynamic</v>
      </c>
      <c r="F1102" t="str">
        <f ca="1">_xll.BDH($B$439,$C$439,$B$675,$B$676,CONCATENATE("Per=",$B$673),"Dts=H","Dir=H",CONCATENATE("Points=",$B$674),"Sort=R","Days=A","Fill=B",CONCATENATE("FX=", $B$672) )</f>
        <v>#N/A Connection</v>
      </c>
      <c r="BN1102" t="str">
        <f>""</f>
        <v/>
      </c>
      <c r="BO1102" t="str">
        <f>""</f>
        <v/>
      </c>
      <c r="BP1102" t="str">
        <f>""</f>
        <v/>
      </c>
      <c r="BQ1102" t="str">
        <f>""</f>
        <v/>
      </c>
      <c r="BR1102" t="str">
        <f>""</f>
        <v/>
      </c>
      <c r="BS1102" t="str">
        <f>""</f>
        <v/>
      </c>
      <c r="BT1102" t="str">
        <f>""</f>
        <v/>
      </c>
      <c r="BU1102" t="str">
        <f>""</f>
        <v/>
      </c>
      <c r="BV1102" t="str">
        <f>""</f>
        <v/>
      </c>
      <c r="BW1102" t="str">
        <f>""</f>
        <v/>
      </c>
      <c r="BX1102" t="str">
        <f>""</f>
        <v/>
      </c>
      <c r="BY1102" t="str">
        <f>""</f>
        <v/>
      </c>
      <c r="BZ1102" t="str">
        <f>""</f>
        <v/>
      </c>
      <c r="CA1102" t="str">
        <f>""</f>
        <v/>
      </c>
      <c r="CB1102" t="str">
        <f>""</f>
        <v/>
      </c>
      <c r="CC1102" t="str">
        <f>""</f>
        <v/>
      </c>
      <c r="CD1102" t="str">
        <f>""</f>
        <v/>
      </c>
      <c r="CE1102" t="str">
        <f>""</f>
        <v/>
      </c>
      <c r="CF1102" t="str">
        <f>""</f>
        <v/>
      </c>
      <c r="CG1102" t="str">
        <f>""</f>
        <v/>
      </c>
      <c r="CH1102" t="str">
        <f>""</f>
        <v/>
      </c>
      <c r="CI1102" t="str">
        <f>""</f>
        <v/>
      </c>
      <c r="CJ1102" t="str">
        <f>""</f>
        <v/>
      </c>
      <c r="CK1102" t="str">
        <f>""</f>
        <v/>
      </c>
      <c r="CL1102" t="str">
        <f>""</f>
        <v/>
      </c>
      <c r="CM1102" t="str">
        <f>""</f>
        <v/>
      </c>
      <c r="CN1102" t="str">
        <f>""</f>
        <v/>
      </c>
      <c r="CO1102" t="str">
        <f>""</f>
        <v/>
      </c>
      <c r="CP1102" t="str">
        <f>""</f>
        <v/>
      </c>
      <c r="CQ1102" t="str">
        <f>""</f>
        <v/>
      </c>
      <c r="CR1102" t="str">
        <f>""</f>
        <v/>
      </c>
      <c r="CS1102" t="str">
        <f>""</f>
        <v/>
      </c>
      <c r="CT1102" t="str">
        <f>""</f>
        <v/>
      </c>
      <c r="CU1102" t="str">
        <f>""</f>
        <v/>
      </c>
      <c r="CV1102" t="str">
        <f>""</f>
        <v/>
      </c>
      <c r="CW1102" t="str">
        <f>""</f>
        <v/>
      </c>
      <c r="CX1102" t="str">
        <f>""</f>
        <v/>
      </c>
      <c r="CY1102" t="str">
        <f>""</f>
        <v/>
      </c>
      <c r="CZ1102" t="str">
        <f>""</f>
        <v/>
      </c>
      <c r="DA1102" t="str">
        <f>""</f>
        <v/>
      </c>
      <c r="DB1102" t="str">
        <f>""</f>
        <v/>
      </c>
      <c r="DC1102" t="str">
        <f>""</f>
        <v/>
      </c>
      <c r="DD1102" t="str">
        <f>""</f>
        <v/>
      </c>
      <c r="DE1102" t="str">
        <f>""</f>
        <v/>
      </c>
      <c r="DF1102" t="str">
        <f>""</f>
        <v/>
      </c>
      <c r="DG1102" t="str">
        <f>""</f>
        <v/>
      </c>
      <c r="DH1102" t="str">
        <f>""</f>
        <v/>
      </c>
      <c r="DI1102" t="str">
        <f>""</f>
        <v/>
      </c>
      <c r="DJ1102" t="str">
        <f>""</f>
        <v/>
      </c>
      <c r="DK1102" t="str">
        <f>""</f>
        <v/>
      </c>
      <c r="DL1102" t="str">
        <f>""</f>
        <v/>
      </c>
      <c r="DM1102" t="str">
        <f>""</f>
        <v/>
      </c>
      <c r="DN1102" t="str">
        <f>""</f>
        <v/>
      </c>
      <c r="DO1102" t="str">
        <f>""</f>
        <v/>
      </c>
      <c r="DP1102" t="str">
        <f>""</f>
        <v/>
      </c>
      <c r="DQ1102" t="str">
        <f>""</f>
        <v/>
      </c>
      <c r="DR1102" t="str">
        <f>""</f>
        <v/>
      </c>
      <c r="DS1102" t="str">
        <f>""</f>
        <v/>
      </c>
      <c r="DT1102" t="str">
        <f>""</f>
        <v/>
      </c>
      <c r="DU1102" t="str">
        <f>""</f>
        <v/>
      </c>
    </row>
    <row r="1103" spans="1:125" x14ac:dyDescent="0.25">
      <c r="A1103" t="str">
        <f>$A$440</f>
        <v xml:space="preserve">    Nissan Motor Co Ltd</v>
      </c>
      <c r="B1103" t="str">
        <f>$B$440</f>
        <v>7201 JP Equity</v>
      </c>
      <c r="C1103" t="str">
        <f>$C$440</f>
        <v>RR477</v>
      </c>
      <c r="D1103" t="str">
        <f>$D$440</f>
        <v>EV_TO_T12M_CASH_FLOW</v>
      </c>
      <c r="E1103" t="str">
        <f>$E$440</f>
        <v>Dynamic</v>
      </c>
      <c r="F1103" t="str">
        <f ca="1">_xll.BDH($B$440,$C$440,$B$675,$B$676,CONCATENATE("Per=",$B$673),"Dts=H","Dir=H",CONCATENATE("Points=",$B$674),"Sort=R","Days=A","Fill=B",CONCATENATE("FX=", $B$672) )</f>
        <v>#N/A Connection</v>
      </c>
      <c r="BN1103" t="str">
        <f>""</f>
        <v/>
      </c>
      <c r="BO1103" t="str">
        <f>""</f>
        <v/>
      </c>
      <c r="BP1103" t="str">
        <f>""</f>
        <v/>
      </c>
      <c r="BQ1103" t="str">
        <f>""</f>
        <v/>
      </c>
      <c r="BR1103" t="str">
        <f>""</f>
        <v/>
      </c>
      <c r="BS1103" t="str">
        <f>""</f>
        <v/>
      </c>
      <c r="BT1103" t="str">
        <f>""</f>
        <v/>
      </c>
      <c r="BU1103" t="str">
        <f>""</f>
        <v/>
      </c>
      <c r="BV1103" t="str">
        <f>""</f>
        <v/>
      </c>
      <c r="BW1103" t="str">
        <f>""</f>
        <v/>
      </c>
      <c r="BX1103" t="str">
        <f>""</f>
        <v/>
      </c>
      <c r="BY1103" t="str">
        <f>""</f>
        <v/>
      </c>
      <c r="BZ1103" t="str">
        <f>""</f>
        <v/>
      </c>
      <c r="CA1103" t="str">
        <f>""</f>
        <v/>
      </c>
      <c r="CB1103" t="str">
        <f>""</f>
        <v/>
      </c>
      <c r="CC1103" t="str">
        <f>""</f>
        <v/>
      </c>
      <c r="CD1103" t="str">
        <f>""</f>
        <v/>
      </c>
      <c r="CE1103" t="str">
        <f>""</f>
        <v/>
      </c>
      <c r="CF1103" t="str">
        <f>""</f>
        <v/>
      </c>
      <c r="CG1103" t="str">
        <f>""</f>
        <v/>
      </c>
      <c r="CH1103" t="str">
        <f>""</f>
        <v/>
      </c>
      <c r="CI1103" t="str">
        <f>""</f>
        <v/>
      </c>
      <c r="CJ1103" t="str">
        <f>""</f>
        <v/>
      </c>
      <c r="CK1103" t="str">
        <f>""</f>
        <v/>
      </c>
      <c r="CL1103" t="str">
        <f>""</f>
        <v/>
      </c>
      <c r="CM1103" t="str">
        <f>""</f>
        <v/>
      </c>
      <c r="CN1103" t="str">
        <f>""</f>
        <v/>
      </c>
      <c r="CO1103" t="str">
        <f>""</f>
        <v/>
      </c>
      <c r="CP1103" t="str">
        <f>""</f>
        <v/>
      </c>
      <c r="CQ1103" t="str">
        <f>""</f>
        <v/>
      </c>
      <c r="CR1103" t="str">
        <f>""</f>
        <v/>
      </c>
      <c r="CS1103" t="str">
        <f>""</f>
        <v/>
      </c>
      <c r="CT1103" t="str">
        <f>""</f>
        <v/>
      </c>
      <c r="CU1103" t="str">
        <f>""</f>
        <v/>
      </c>
      <c r="CV1103" t="str">
        <f>""</f>
        <v/>
      </c>
      <c r="CW1103" t="str">
        <f>""</f>
        <v/>
      </c>
      <c r="CX1103" t="str">
        <f>""</f>
        <v/>
      </c>
      <c r="CY1103" t="str">
        <f>""</f>
        <v/>
      </c>
      <c r="CZ1103" t="str">
        <f>""</f>
        <v/>
      </c>
      <c r="DA1103" t="str">
        <f>""</f>
        <v/>
      </c>
      <c r="DB1103" t="str">
        <f>""</f>
        <v/>
      </c>
      <c r="DC1103" t="str">
        <f>""</f>
        <v/>
      </c>
      <c r="DD1103" t="str">
        <f>""</f>
        <v/>
      </c>
      <c r="DE1103" t="str">
        <f>""</f>
        <v/>
      </c>
      <c r="DF1103" t="str">
        <f>""</f>
        <v/>
      </c>
      <c r="DG1103" t="str">
        <f>""</f>
        <v/>
      </c>
      <c r="DH1103" t="str">
        <f>""</f>
        <v/>
      </c>
      <c r="DI1103" t="str">
        <f>""</f>
        <v/>
      </c>
      <c r="DJ1103" t="str">
        <f>""</f>
        <v/>
      </c>
      <c r="DK1103" t="str">
        <f>""</f>
        <v/>
      </c>
      <c r="DL1103" t="str">
        <f>""</f>
        <v/>
      </c>
      <c r="DM1103" t="str">
        <f>""</f>
        <v/>
      </c>
      <c r="DN1103" t="str">
        <f>""</f>
        <v/>
      </c>
      <c r="DO1103" t="str">
        <f>""</f>
        <v/>
      </c>
      <c r="DP1103" t="str">
        <f>""</f>
        <v/>
      </c>
      <c r="DQ1103" t="str">
        <f>""</f>
        <v/>
      </c>
      <c r="DR1103" t="str">
        <f>""</f>
        <v/>
      </c>
      <c r="DS1103" t="str">
        <f>""</f>
        <v/>
      </c>
      <c r="DT1103" t="str">
        <f>""</f>
        <v/>
      </c>
      <c r="DU1103" t="str">
        <f>""</f>
        <v/>
      </c>
    </row>
    <row r="1104" spans="1:125" x14ac:dyDescent="0.25">
      <c r="A1104" t="str">
        <f>$A$441</f>
        <v xml:space="preserve">    Peugeot SA</v>
      </c>
      <c r="B1104" t="str">
        <f>$B$441</f>
        <v>UG FP Equity</v>
      </c>
      <c r="C1104" t="str">
        <f>$C$441</f>
        <v>RR477</v>
      </c>
      <c r="D1104" t="str">
        <f>$D$441</f>
        <v>EV_TO_T12M_CASH_FLOW</v>
      </c>
      <c r="E1104" t="str">
        <f>$E$441</f>
        <v>Dynamic</v>
      </c>
      <c r="F1104" t="str">
        <f ca="1">_xll.BDH($B$441,$C$441,$B$675,$B$676,CONCATENATE("Per=",$B$673),"Dts=H","Dir=H",CONCATENATE("Points=",$B$674),"Sort=R","Days=A","Fill=B",CONCATENATE("FX=", $B$672) )</f>
        <v>#N/A Connection</v>
      </c>
      <c r="BN1104" t="str">
        <f>""</f>
        <v/>
      </c>
      <c r="BO1104" t="str">
        <f>""</f>
        <v/>
      </c>
      <c r="BP1104" t="str">
        <f>""</f>
        <v/>
      </c>
      <c r="BQ1104" t="str">
        <f>""</f>
        <v/>
      </c>
      <c r="BR1104" t="str">
        <f>""</f>
        <v/>
      </c>
      <c r="BS1104" t="str">
        <f>""</f>
        <v/>
      </c>
      <c r="BT1104" t="str">
        <f>""</f>
        <v/>
      </c>
      <c r="BU1104" t="str">
        <f>""</f>
        <v/>
      </c>
      <c r="BV1104" t="str">
        <f>""</f>
        <v/>
      </c>
      <c r="BW1104" t="str">
        <f>""</f>
        <v/>
      </c>
      <c r="BX1104" t="str">
        <f>""</f>
        <v/>
      </c>
      <c r="BY1104" t="str">
        <f>""</f>
        <v/>
      </c>
      <c r="BZ1104" t="str">
        <f>""</f>
        <v/>
      </c>
      <c r="CA1104" t="str">
        <f>""</f>
        <v/>
      </c>
      <c r="CB1104" t="str">
        <f>""</f>
        <v/>
      </c>
      <c r="CC1104" t="str">
        <f>""</f>
        <v/>
      </c>
      <c r="CD1104" t="str">
        <f>""</f>
        <v/>
      </c>
      <c r="CE1104" t="str">
        <f>""</f>
        <v/>
      </c>
      <c r="CF1104" t="str">
        <f>""</f>
        <v/>
      </c>
      <c r="CG1104" t="str">
        <f>""</f>
        <v/>
      </c>
      <c r="CH1104" t="str">
        <f>""</f>
        <v/>
      </c>
      <c r="CI1104" t="str">
        <f>""</f>
        <v/>
      </c>
      <c r="CJ1104" t="str">
        <f>""</f>
        <v/>
      </c>
      <c r="CK1104" t="str">
        <f>""</f>
        <v/>
      </c>
      <c r="CL1104" t="str">
        <f>""</f>
        <v/>
      </c>
      <c r="CM1104" t="str">
        <f>""</f>
        <v/>
      </c>
      <c r="CN1104" t="str">
        <f>""</f>
        <v/>
      </c>
      <c r="CO1104" t="str">
        <f>""</f>
        <v/>
      </c>
      <c r="CP1104" t="str">
        <f>""</f>
        <v/>
      </c>
      <c r="CQ1104" t="str">
        <f>""</f>
        <v/>
      </c>
      <c r="CR1104" t="str">
        <f>""</f>
        <v/>
      </c>
      <c r="CS1104" t="str">
        <f>""</f>
        <v/>
      </c>
      <c r="CT1104" t="str">
        <f>""</f>
        <v/>
      </c>
      <c r="CU1104" t="str">
        <f>""</f>
        <v/>
      </c>
      <c r="CV1104" t="str">
        <f>""</f>
        <v/>
      </c>
      <c r="CW1104" t="str">
        <f>""</f>
        <v/>
      </c>
      <c r="CX1104" t="str">
        <f>""</f>
        <v/>
      </c>
      <c r="CY1104" t="str">
        <f>""</f>
        <v/>
      </c>
      <c r="CZ1104" t="str">
        <f>""</f>
        <v/>
      </c>
      <c r="DA1104" t="str">
        <f>""</f>
        <v/>
      </c>
      <c r="DB1104" t="str">
        <f>""</f>
        <v/>
      </c>
      <c r="DC1104" t="str">
        <f>""</f>
        <v/>
      </c>
      <c r="DD1104" t="str">
        <f>""</f>
        <v/>
      </c>
      <c r="DE1104" t="str">
        <f>""</f>
        <v/>
      </c>
      <c r="DF1104" t="str">
        <f>""</f>
        <v/>
      </c>
      <c r="DG1104" t="str">
        <f>""</f>
        <v/>
      </c>
      <c r="DH1104" t="str">
        <f>""</f>
        <v/>
      </c>
      <c r="DI1104" t="str">
        <f>""</f>
        <v/>
      </c>
      <c r="DJ1104" t="str">
        <f>""</f>
        <v/>
      </c>
      <c r="DK1104" t="str">
        <f>""</f>
        <v/>
      </c>
      <c r="DL1104" t="str">
        <f>""</f>
        <v/>
      </c>
      <c r="DM1104" t="str">
        <f>""</f>
        <v/>
      </c>
      <c r="DN1104" t="str">
        <f>""</f>
        <v/>
      </c>
      <c r="DO1104" t="str">
        <f>""</f>
        <v/>
      </c>
      <c r="DP1104" t="str">
        <f>""</f>
        <v/>
      </c>
      <c r="DQ1104" t="str">
        <f>""</f>
        <v/>
      </c>
      <c r="DR1104" t="str">
        <f>""</f>
        <v/>
      </c>
      <c r="DS1104" t="str">
        <f>""</f>
        <v/>
      </c>
      <c r="DT1104" t="str">
        <f>""</f>
        <v/>
      </c>
      <c r="DU1104" t="str">
        <f>""</f>
        <v/>
      </c>
    </row>
    <row r="1105" spans="1:125" x14ac:dyDescent="0.25">
      <c r="A1105" t="str">
        <f>$A$442</f>
        <v xml:space="preserve">    Renault SA</v>
      </c>
      <c r="B1105" t="str">
        <f>$B$442</f>
        <v>RNO FP Equity</v>
      </c>
      <c r="C1105" t="str">
        <f>$C$442</f>
        <v>RR477</v>
      </c>
      <c r="D1105" t="str">
        <f>$D$442</f>
        <v>EV_TO_T12M_CASH_FLOW</v>
      </c>
      <c r="E1105" t="str">
        <f>$E$442</f>
        <v>Dynamic</v>
      </c>
      <c r="F1105" t="str">
        <f ca="1">_xll.BDH($B$442,$C$442,$B$675,$B$676,CONCATENATE("Per=",$B$673),"Dts=H","Dir=H",CONCATENATE("Points=",$B$674),"Sort=R","Days=A","Fill=B",CONCATENATE("FX=", $B$672) )</f>
        <v>#N/A Connection</v>
      </c>
      <c r="BN1105" t="str">
        <f>""</f>
        <v/>
      </c>
      <c r="BO1105" t="str">
        <f>""</f>
        <v/>
      </c>
      <c r="BP1105" t="str">
        <f>""</f>
        <v/>
      </c>
      <c r="BQ1105" t="str">
        <f>""</f>
        <v/>
      </c>
      <c r="BR1105" t="str">
        <f>""</f>
        <v/>
      </c>
      <c r="BS1105" t="str">
        <f>""</f>
        <v/>
      </c>
      <c r="BT1105" t="str">
        <f>""</f>
        <v/>
      </c>
      <c r="BU1105" t="str">
        <f>""</f>
        <v/>
      </c>
      <c r="BV1105" t="str">
        <f>""</f>
        <v/>
      </c>
      <c r="BW1105" t="str">
        <f>""</f>
        <v/>
      </c>
      <c r="BX1105" t="str">
        <f>""</f>
        <v/>
      </c>
      <c r="BY1105" t="str">
        <f>""</f>
        <v/>
      </c>
      <c r="BZ1105" t="str">
        <f>""</f>
        <v/>
      </c>
      <c r="CA1105" t="str">
        <f>""</f>
        <v/>
      </c>
      <c r="CB1105" t="str">
        <f>""</f>
        <v/>
      </c>
      <c r="CC1105" t="str">
        <f>""</f>
        <v/>
      </c>
      <c r="CD1105" t="str">
        <f>""</f>
        <v/>
      </c>
      <c r="CE1105" t="str">
        <f>""</f>
        <v/>
      </c>
      <c r="CF1105" t="str">
        <f>""</f>
        <v/>
      </c>
      <c r="CG1105" t="str">
        <f>""</f>
        <v/>
      </c>
      <c r="CH1105" t="str">
        <f>""</f>
        <v/>
      </c>
      <c r="CI1105" t="str">
        <f>""</f>
        <v/>
      </c>
      <c r="CJ1105" t="str">
        <f>""</f>
        <v/>
      </c>
      <c r="CK1105" t="str">
        <f>""</f>
        <v/>
      </c>
      <c r="CL1105" t="str">
        <f>""</f>
        <v/>
      </c>
      <c r="CM1105" t="str">
        <f>""</f>
        <v/>
      </c>
      <c r="CN1105" t="str">
        <f>""</f>
        <v/>
      </c>
      <c r="CO1105" t="str">
        <f>""</f>
        <v/>
      </c>
      <c r="CP1105" t="str">
        <f>""</f>
        <v/>
      </c>
      <c r="CQ1105" t="str">
        <f>""</f>
        <v/>
      </c>
      <c r="CR1105" t="str">
        <f>""</f>
        <v/>
      </c>
      <c r="CS1105" t="str">
        <f>""</f>
        <v/>
      </c>
      <c r="CT1105" t="str">
        <f>""</f>
        <v/>
      </c>
      <c r="CU1105" t="str">
        <f>""</f>
        <v/>
      </c>
      <c r="CV1105" t="str">
        <f>""</f>
        <v/>
      </c>
      <c r="CW1105" t="str">
        <f>""</f>
        <v/>
      </c>
      <c r="CX1105" t="str">
        <f>""</f>
        <v/>
      </c>
      <c r="CY1105" t="str">
        <f>""</f>
        <v/>
      </c>
      <c r="CZ1105" t="str">
        <f>""</f>
        <v/>
      </c>
      <c r="DA1105" t="str">
        <f>""</f>
        <v/>
      </c>
      <c r="DB1105" t="str">
        <f>""</f>
        <v/>
      </c>
      <c r="DC1105" t="str">
        <f>""</f>
        <v/>
      </c>
      <c r="DD1105" t="str">
        <f>""</f>
        <v/>
      </c>
      <c r="DE1105" t="str">
        <f>""</f>
        <v/>
      </c>
      <c r="DF1105" t="str">
        <f>""</f>
        <v/>
      </c>
      <c r="DG1105" t="str">
        <f>""</f>
        <v/>
      </c>
      <c r="DH1105" t="str">
        <f>""</f>
        <v/>
      </c>
      <c r="DI1105" t="str">
        <f>""</f>
        <v/>
      </c>
      <c r="DJ1105" t="str">
        <f>""</f>
        <v/>
      </c>
      <c r="DK1105" t="str">
        <f>""</f>
        <v/>
      </c>
      <c r="DL1105" t="str">
        <f>""</f>
        <v/>
      </c>
      <c r="DM1105" t="str">
        <f>""</f>
        <v/>
      </c>
      <c r="DN1105" t="str">
        <f>""</f>
        <v/>
      </c>
      <c r="DO1105" t="str">
        <f>""</f>
        <v/>
      </c>
      <c r="DP1105" t="str">
        <f>""</f>
        <v/>
      </c>
      <c r="DQ1105" t="str">
        <f>""</f>
        <v/>
      </c>
      <c r="DR1105" t="str">
        <f>""</f>
        <v/>
      </c>
      <c r="DS1105" t="str">
        <f>""</f>
        <v/>
      </c>
      <c r="DT1105" t="str">
        <f>""</f>
        <v/>
      </c>
      <c r="DU1105" t="str">
        <f>""</f>
        <v/>
      </c>
    </row>
    <row r="1106" spans="1:125" x14ac:dyDescent="0.25">
      <c r="A1106" t="str">
        <f>$A$443</f>
        <v xml:space="preserve">    SAIC Motor Corp Ltd</v>
      </c>
      <c r="B1106" t="str">
        <f>$B$443</f>
        <v>600104 CH Equity</v>
      </c>
      <c r="C1106" t="str">
        <f>$C$443</f>
        <v>RR477</v>
      </c>
      <c r="D1106" t="str">
        <f>$D$443</f>
        <v>EV_TO_T12M_CASH_FLOW</v>
      </c>
      <c r="E1106" t="str">
        <f>$E$443</f>
        <v>Dynamic</v>
      </c>
      <c r="F1106" t="str">
        <f ca="1">_xll.BDH($B$443,$C$443,$B$675,$B$676,CONCATENATE("Per=",$B$673),"Dts=H","Dir=H",CONCATENATE("Points=",$B$674),"Sort=R","Days=A","Fill=B",CONCATENATE("FX=", $B$672) )</f>
        <v>#N/A Connection</v>
      </c>
      <c r="BN1106" t="str">
        <f>""</f>
        <v/>
      </c>
      <c r="BO1106" t="str">
        <f>""</f>
        <v/>
      </c>
      <c r="BP1106" t="str">
        <f>""</f>
        <v/>
      </c>
      <c r="BQ1106" t="str">
        <f>""</f>
        <v/>
      </c>
      <c r="BR1106" t="str">
        <f>""</f>
        <v/>
      </c>
      <c r="BS1106" t="str">
        <f>""</f>
        <v/>
      </c>
      <c r="BT1106" t="str">
        <f>""</f>
        <v/>
      </c>
      <c r="BU1106" t="str">
        <f>""</f>
        <v/>
      </c>
      <c r="BV1106" t="str">
        <f>""</f>
        <v/>
      </c>
      <c r="BW1106" t="str">
        <f>""</f>
        <v/>
      </c>
      <c r="BX1106" t="str">
        <f>""</f>
        <v/>
      </c>
      <c r="BY1106" t="str">
        <f>""</f>
        <v/>
      </c>
      <c r="BZ1106" t="str">
        <f>""</f>
        <v/>
      </c>
      <c r="CA1106" t="str">
        <f>""</f>
        <v/>
      </c>
      <c r="CB1106" t="str">
        <f>""</f>
        <v/>
      </c>
      <c r="CC1106" t="str">
        <f>""</f>
        <v/>
      </c>
      <c r="CD1106" t="str">
        <f>""</f>
        <v/>
      </c>
      <c r="CE1106" t="str">
        <f>""</f>
        <v/>
      </c>
      <c r="CF1106" t="str">
        <f>""</f>
        <v/>
      </c>
      <c r="CG1106" t="str">
        <f>""</f>
        <v/>
      </c>
      <c r="CH1106" t="str">
        <f>""</f>
        <v/>
      </c>
      <c r="CI1106" t="str">
        <f>""</f>
        <v/>
      </c>
      <c r="CJ1106" t="str">
        <f>""</f>
        <v/>
      </c>
      <c r="CK1106" t="str">
        <f>""</f>
        <v/>
      </c>
      <c r="CL1106" t="str">
        <f>""</f>
        <v/>
      </c>
      <c r="CM1106" t="str">
        <f>""</f>
        <v/>
      </c>
      <c r="CN1106" t="str">
        <f>""</f>
        <v/>
      </c>
      <c r="CO1106" t="str">
        <f>""</f>
        <v/>
      </c>
      <c r="CP1106" t="str">
        <f>""</f>
        <v/>
      </c>
      <c r="CQ1106" t="str">
        <f>""</f>
        <v/>
      </c>
      <c r="CR1106" t="str">
        <f>""</f>
        <v/>
      </c>
      <c r="CS1106" t="str">
        <f>""</f>
        <v/>
      </c>
      <c r="CT1106" t="str">
        <f>""</f>
        <v/>
      </c>
      <c r="CU1106" t="str">
        <f>""</f>
        <v/>
      </c>
      <c r="CV1106" t="str">
        <f>""</f>
        <v/>
      </c>
      <c r="CW1106" t="str">
        <f>""</f>
        <v/>
      </c>
      <c r="CX1106" t="str">
        <f>""</f>
        <v/>
      </c>
      <c r="CY1106" t="str">
        <f>""</f>
        <v/>
      </c>
      <c r="CZ1106" t="str">
        <f>""</f>
        <v/>
      </c>
      <c r="DA1106" t="str">
        <f>""</f>
        <v/>
      </c>
      <c r="DB1106" t="str">
        <f>""</f>
        <v/>
      </c>
      <c r="DC1106" t="str">
        <f>""</f>
        <v/>
      </c>
      <c r="DD1106" t="str">
        <f>""</f>
        <v/>
      </c>
      <c r="DE1106" t="str">
        <f>""</f>
        <v/>
      </c>
      <c r="DF1106" t="str">
        <f>""</f>
        <v/>
      </c>
      <c r="DG1106" t="str">
        <f>""</f>
        <v/>
      </c>
      <c r="DH1106" t="str">
        <f>""</f>
        <v/>
      </c>
      <c r="DI1106" t="str">
        <f>""</f>
        <v/>
      </c>
      <c r="DJ1106" t="str">
        <f>""</f>
        <v/>
      </c>
      <c r="DK1106" t="str">
        <f>""</f>
        <v/>
      </c>
      <c r="DL1106" t="str">
        <f>""</f>
        <v/>
      </c>
      <c r="DM1106" t="str">
        <f>""</f>
        <v/>
      </c>
      <c r="DN1106" t="str">
        <f>""</f>
        <v/>
      </c>
      <c r="DO1106" t="str">
        <f>""</f>
        <v/>
      </c>
      <c r="DP1106" t="str">
        <f>""</f>
        <v/>
      </c>
      <c r="DQ1106" t="str">
        <f>""</f>
        <v/>
      </c>
      <c r="DR1106" t="str">
        <f>""</f>
        <v/>
      </c>
      <c r="DS1106" t="str">
        <f>""</f>
        <v/>
      </c>
      <c r="DT1106" t="str">
        <f>""</f>
        <v/>
      </c>
      <c r="DU1106" t="str">
        <f>""</f>
        <v/>
      </c>
    </row>
    <row r="1107" spans="1:125" x14ac:dyDescent="0.25">
      <c r="A1107" t="str">
        <f>$A$444</f>
        <v xml:space="preserve">    Sanyang Motor Co Ltd</v>
      </c>
      <c r="B1107" t="str">
        <f>$B$444</f>
        <v>2206 TT Equity</v>
      </c>
      <c r="C1107" t="str">
        <f>$C$444</f>
        <v>RR477</v>
      </c>
      <c r="D1107" t="str">
        <f>$D$444</f>
        <v>EV_TO_T12M_CASH_FLOW</v>
      </c>
      <c r="E1107" t="str">
        <f>$E$444</f>
        <v>Dynamic</v>
      </c>
      <c r="F1107" t="str">
        <f ca="1">_xll.BDH($B$444,$C$444,$B$675,$B$676,CONCATENATE("Per=",$B$673),"Dts=H","Dir=H",CONCATENATE("Points=",$B$674),"Sort=R","Days=A","Fill=B",CONCATENATE("FX=", $B$672) )</f>
        <v>#N/A Connection</v>
      </c>
      <c r="BN1107" t="str">
        <f>""</f>
        <v/>
      </c>
      <c r="BO1107" t="str">
        <f>""</f>
        <v/>
      </c>
      <c r="BP1107" t="str">
        <f>""</f>
        <v/>
      </c>
      <c r="BQ1107" t="str">
        <f>""</f>
        <v/>
      </c>
      <c r="BR1107" t="str">
        <f>""</f>
        <v/>
      </c>
      <c r="BS1107" t="str">
        <f>""</f>
        <v/>
      </c>
      <c r="BT1107" t="str">
        <f>""</f>
        <v/>
      </c>
      <c r="BU1107" t="str">
        <f>""</f>
        <v/>
      </c>
      <c r="BV1107" t="str">
        <f>""</f>
        <v/>
      </c>
      <c r="BW1107" t="str">
        <f>""</f>
        <v/>
      </c>
      <c r="BX1107" t="str">
        <f>""</f>
        <v/>
      </c>
      <c r="BY1107" t="str">
        <f>""</f>
        <v/>
      </c>
      <c r="BZ1107" t="str">
        <f>""</f>
        <v/>
      </c>
      <c r="CA1107" t="str">
        <f>""</f>
        <v/>
      </c>
      <c r="CB1107" t="str">
        <f>""</f>
        <v/>
      </c>
      <c r="CC1107" t="str">
        <f>""</f>
        <v/>
      </c>
      <c r="CD1107" t="str">
        <f>""</f>
        <v/>
      </c>
      <c r="CE1107" t="str">
        <f>""</f>
        <v/>
      </c>
      <c r="CF1107" t="str">
        <f>""</f>
        <v/>
      </c>
      <c r="CG1107" t="str">
        <f>""</f>
        <v/>
      </c>
      <c r="CH1107" t="str">
        <f>""</f>
        <v/>
      </c>
      <c r="CI1107" t="str">
        <f>""</f>
        <v/>
      </c>
      <c r="CJ1107" t="str">
        <f>""</f>
        <v/>
      </c>
      <c r="CK1107" t="str">
        <f>""</f>
        <v/>
      </c>
      <c r="CL1107" t="str">
        <f>""</f>
        <v/>
      </c>
      <c r="CM1107" t="str">
        <f>""</f>
        <v/>
      </c>
      <c r="CN1107" t="str">
        <f>""</f>
        <v/>
      </c>
      <c r="CO1107" t="str">
        <f>""</f>
        <v/>
      </c>
      <c r="CP1107" t="str">
        <f>""</f>
        <v/>
      </c>
      <c r="CQ1107" t="str">
        <f>""</f>
        <v/>
      </c>
      <c r="CR1107" t="str">
        <f>""</f>
        <v/>
      </c>
      <c r="CS1107" t="str">
        <f>""</f>
        <v/>
      </c>
      <c r="CT1107" t="str">
        <f>""</f>
        <v/>
      </c>
      <c r="CU1107" t="str">
        <f>""</f>
        <v/>
      </c>
      <c r="CV1107" t="str">
        <f>""</f>
        <v/>
      </c>
      <c r="CW1107" t="str">
        <f>""</f>
        <v/>
      </c>
      <c r="CX1107" t="str">
        <f>""</f>
        <v/>
      </c>
      <c r="CY1107" t="str">
        <f>""</f>
        <v/>
      </c>
      <c r="CZ1107" t="str">
        <f>""</f>
        <v/>
      </c>
      <c r="DA1107" t="str">
        <f>""</f>
        <v/>
      </c>
      <c r="DB1107" t="str">
        <f>""</f>
        <v/>
      </c>
      <c r="DC1107" t="str">
        <f>""</f>
        <v/>
      </c>
      <c r="DD1107" t="str">
        <f>""</f>
        <v/>
      </c>
      <c r="DE1107" t="str">
        <f>""</f>
        <v/>
      </c>
      <c r="DF1107" t="str">
        <f>""</f>
        <v/>
      </c>
      <c r="DG1107" t="str">
        <f>""</f>
        <v/>
      </c>
      <c r="DH1107" t="str">
        <f>""</f>
        <v/>
      </c>
      <c r="DI1107" t="str">
        <f>""</f>
        <v/>
      </c>
      <c r="DJ1107" t="str">
        <f>""</f>
        <v/>
      </c>
      <c r="DK1107" t="str">
        <f>""</f>
        <v/>
      </c>
      <c r="DL1107" t="str">
        <f>""</f>
        <v/>
      </c>
      <c r="DM1107" t="str">
        <f>""</f>
        <v/>
      </c>
      <c r="DN1107" t="str">
        <f>""</f>
        <v/>
      </c>
      <c r="DO1107" t="str">
        <f>""</f>
        <v/>
      </c>
      <c r="DP1107" t="str">
        <f>""</f>
        <v/>
      </c>
      <c r="DQ1107" t="str">
        <f>""</f>
        <v/>
      </c>
      <c r="DR1107" t="str">
        <f>""</f>
        <v/>
      </c>
      <c r="DS1107" t="str">
        <f>""</f>
        <v/>
      </c>
      <c r="DT1107" t="str">
        <f>""</f>
        <v/>
      </c>
      <c r="DU1107" t="str">
        <f>""</f>
        <v/>
      </c>
    </row>
    <row r="1108" spans="1:125" x14ac:dyDescent="0.25">
      <c r="A1108" t="str">
        <f>$A$445</f>
        <v xml:space="preserve">    Sollers PJSC</v>
      </c>
      <c r="B1108" t="str">
        <f>$B$445</f>
        <v>SVAV RM Equity</v>
      </c>
      <c r="C1108" t="str">
        <f>$C$445</f>
        <v>RR477</v>
      </c>
      <c r="D1108" t="str">
        <f>$D$445</f>
        <v>EV_TO_T12M_CASH_FLOW</v>
      </c>
      <c r="E1108" t="str">
        <f>$E$445</f>
        <v>Dynamic</v>
      </c>
      <c r="F1108" t="str">
        <f ca="1">_xll.BDH($B$445,$C$445,$B$675,$B$676,CONCATENATE("Per=",$B$673),"Dts=H","Dir=H",CONCATENATE("Points=",$B$674),"Sort=R","Days=A","Fill=B",CONCATENATE("FX=", $B$672) )</f>
        <v>#N/A Connection</v>
      </c>
      <c r="BN1108" t="str">
        <f>""</f>
        <v/>
      </c>
      <c r="BO1108" t="str">
        <f>""</f>
        <v/>
      </c>
      <c r="BP1108" t="str">
        <f>""</f>
        <v/>
      </c>
      <c r="BQ1108" t="str">
        <f>""</f>
        <v/>
      </c>
      <c r="BR1108" t="str">
        <f>""</f>
        <v/>
      </c>
      <c r="BS1108" t="str">
        <f>""</f>
        <v/>
      </c>
      <c r="BT1108" t="str">
        <f>""</f>
        <v/>
      </c>
      <c r="BU1108" t="str">
        <f>""</f>
        <v/>
      </c>
      <c r="BV1108" t="str">
        <f>""</f>
        <v/>
      </c>
      <c r="BW1108" t="str">
        <f>""</f>
        <v/>
      </c>
      <c r="BX1108" t="str">
        <f>""</f>
        <v/>
      </c>
      <c r="BY1108" t="str">
        <f>""</f>
        <v/>
      </c>
      <c r="BZ1108" t="str">
        <f>""</f>
        <v/>
      </c>
      <c r="CA1108" t="str">
        <f>""</f>
        <v/>
      </c>
      <c r="CB1108" t="str">
        <f>""</f>
        <v/>
      </c>
      <c r="CC1108" t="str">
        <f>""</f>
        <v/>
      </c>
      <c r="CD1108" t="str">
        <f>""</f>
        <v/>
      </c>
      <c r="CE1108" t="str">
        <f>""</f>
        <v/>
      </c>
      <c r="CF1108" t="str">
        <f>""</f>
        <v/>
      </c>
      <c r="CG1108" t="str">
        <f>""</f>
        <v/>
      </c>
      <c r="CH1108" t="str">
        <f>""</f>
        <v/>
      </c>
      <c r="CI1108" t="str">
        <f>""</f>
        <v/>
      </c>
      <c r="CJ1108" t="str">
        <f>""</f>
        <v/>
      </c>
      <c r="CK1108" t="str">
        <f>""</f>
        <v/>
      </c>
      <c r="CL1108" t="str">
        <f>""</f>
        <v/>
      </c>
      <c r="CM1108" t="str">
        <f>""</f>
        <v/>
      </c>
      <c r="CN1108" t="str">
        <f>""</f>
        <v/>
      </c>
      <c r="CO1108" t="str">
        <f>""</f>
        <v/>
      </c>
      <c r="CP1108" t="str">
        <f>""</f>
        <v/>
      </c>
      <c r="CQ1108" t="str">
        <f>""</f>
        <v/>
      </c>
      <c r="CR1108" t="str">
        <f>""</f>
        <v/>
      </c>
      <c r="CS1108" t="str">
        <f>""</f>
        <v/>
      </c>
      <c r="CT1108" t="str">
        <f>""</f>
        <v/>
      </c>
      <c r="CU1108" t="str">
        <f>""</f>
        <v/>
      </c>
      <c r="CV1108" t="str">
        <f>""</f>
        <v/>
      </c>
      <c r="CW1108" t="str">
        <f>""</f>
        <v/>
      </c>
      <c r="CX1108" t="str">
        <f>""</f>
        <v/>
      </c>
      <c r="CY1108" t="str">
        <f>""</f>
        <v/>
      </c>
      <c r="CZ1108" t="str">
        <f>""</f>
        <v/>
      </c>
      <c r="DA1108" t="str">
        <f>""</f>
        <v/>
      </c>
      <c r="DB1108" t="str">
        <f>""</f>
        <v/>
      </c>
      <c r="DC1108" t="str">
        <f>""</f>
        <v/>
      </c>
      <c r="DD1108" t="str">
        <f>""</f>
        <v/>
      </c>
      <c r="DE1108" t="str">
        <f>""</f>
        <v/>
      </c>
      <c r="DF1108" t="str">
        <f>""</f>
        <v/>
      </c>
      <c r="DG1108" t="str">
        <f>""</f>
        <v/>
      </c>
      <c r="DH1108" t="str">
        <f>""</f>
        <v/>
      </c>
      <c r="DI1108" t="str">
        <f>""</f>
        <v/>
      </c>
      <c r="DJ1108" t="str">
        <f>""</f>
        <v/>
      </c>
      <c r="DK1108" t="str">
        <f>""</f>
        <v/>
      </c>
      <c r="DL1108" t="str">
        <f>""</f>
        <v/>
      </c>
      <c r="DM1108" t="str">
        <f>""</f>
        <v/>
      </c>
      <c r="DN1108" t="str">
        <f>""</f>
        <v/>
      </c>
      <c r="DO1108" t="str">
        <f>""</f>
        <v/>
      </c>
      <c r="DP1108" t="str">
        <f>""</f>
        <v/>
      </c>
      <c r="DQ1108" t="str">
        <f>""</f>
        <v/>
      </c>
      <c r="DR1108" t="str">
        <f>""</f>
        <v/>
      </c>
      <c r="DS1108" t="str">
        <f>""</f>
        <v/>
      </c>
      <c r="DT1108" t="str">
        <f>""</f>
        <v/>
      </c>
      <c r="DU1108" t="str">
        <f>""</f>
        <v/>
      </c>
    </row>
    <row r="1109" spans="1:125" x14ac:dyDescent="0.25">
      <c r="A1109" t="str">
        <f>$A$446</f>
        <v xml:space="preserve">    Ssangyong Motor Co</v>
      </c>
      <c r="B1109" t="str">
        <f>$B$446</f>
        <v>003620 KS Equity</v>
      </c>
      <c r="C1109" t="str">
        <f>$C$446</f>
        <v>RR477</v>
      </c>
      <c r="D1109" t="str">
        <f>$D$446</f>
        <v>EV_TO_T12M_CASH_FLOW</v>
      </c>
      <c r="E1109" t="str">
        <f>$E$446</f>
        <v>Dynamic</v>
      </c>
      <c r="F1109" t="str">
        <f ca="1">_xll.BDH($B$446,$C$446,$B$675,$B$676,CONCATENATE("Per=",$B$673),"Dts=H","Dir=H",CONCATENATE("Points=",$B$674),"Sort=R","Days=A","Fill=B",CONCATENATE("FX=", $B$672) )</f>
        <v>#N/A Connection</v>
      </c>
      <c r="BN1109" t="str">
        <f>""</f>
        <v/>
      </c>
      <c r="BO1109" t="str">
        <f>""</f>
        <v/>
      </c>
      <c r="BP1109" t="str">
        <f>""</f>
        <v/>
      </c>
      <c r="BQ1109" t="str">
        <f>""</f>
        <v/>
      </c>
      <c r="BR1109" t="str">
        <f>""</f>
        <v/>
      </c>
      <c r="BS1109" t="str">
        <f>""</f>
        <v/>
      </c>
      <c r="BT1109" t="str">
        <f>""</f>
        <v/>
      </c>
      <c r="BU1109" t="str">
        <f>""</f>
        <v/>
      </c>
      <c r="BV1109" t="str">
        <f>""</f>
        <v/>
      </c>
      <c r="BW1109" t="str">
        <f>""</f>
        <v/>
      </c>
      <c r="BX1109" t="str">
        <f>""</f>
        <v/>
      </c>
      <c r="BY1109" t="str">
        <f>""</f>
        <v/>
      </c>
      <c r="BZ1109" t="str">
        <f>""</f>
        <v/>
      </c>
      <c r="CA1109" t="str">
        <f>""</f>
        <v/>
      </c>
      <c r="CB1109" t="str">
        <f>""</f>
        <v/>
      </c>
      <c r="CC1109" t="str">
        <f>""</f>
        <v/>
      </c>
      <c r="CD1109" t="str">
        <f>""</f>
        <v/>
      </c>
      <c r="CE1109" t="str">
        <f>""</f>
        <v/>
      </c>
      <c r="CF1109" t="str">
        <f>""</f>
        <v/>
      </c>
      <c r="CG1109" t="str">
        <f>""</f>
        <v/>
      </c>
      <c r="CH1109" t="str">
        <f>""</f>
        <v/>
      </c>
      <c r="CI1109" t="str">
        <f>""</f>
        <v/>
      </c>
      <c r="CJ1109" t="str">
        <f>""</f>
        <v/>
      </c>
      <c r="CK1109" t="str">
        <f>""</f>
        <v/>
      </c>
      <c r="CL1109" t="str">
        <f>""</f>
        <v/>
      </c>
      <c r="CM1109" t="str">
        <f>""</f>
        <v/>
      </c>
      <c r="CN1109" t="str">
        <f>""</f>
        <v/>
      </c>
      <c r="CO1109" t="str">
        <f>""</f>
        <v/>
      </c>
      <c r="CP1109" t="str">
        <f>""</f>
        <v/>
      </c>
      <c r="CQ1109" t="str">
        <f>""</f>
        <v/>
      </c>
      <c r="CR1109" t="str">
        <f>""</f>
        <v/>
      </c>
      <c r="CS1109" t="str">
        <f>""</f>
        <v/>
      </c>
      <c r="CT1109" t="str">
        <f>""</f>
        <v/>
      </c>
      <c r="CU1109" t="str">
        <f>""</f>
        <v/>
      </c>
      <c r="CV1109" t="str">
        <f>""</f>
        <v/>
      </c>
      <c r="CW1109" t="str">
        <f>""</f>
        <v/>
      </c>
      <c r="CX1109" t="str">
        <f>""</f>
        <v/>
      </c>
      <c r="CY1109" t="str">
        <f>""</f>
        <v/>
      </c>
      <c r="CZ1109" t="str">
        <f>""</f>
        <v/>
      </c>
      <c r="DA1109" t="str">
        <f>""</f>
        <v/>
      </c>
      <c r="DB1109" t="str">
        <f>""</f>
        <v/>
      </c>
      <c r="DC1109" t="str">
        <f>""</f>
        <v/>
      </c>
      <c r="DD1109" t="str">
        <f>""</f>
        <v/>
      </c>
      <c r="DE1109" t="str">
        <f>""</f>
        <v/>
      </c>
      <c r="DF1109" t="str">
        <f>""</f>
        <v/>
      </c>
      <c r="DG1109" t="str">
        <f>""</f>
        <v/>
      </c>
      <c r="DH1109" t="str">
        <f>""</f>
        <v/>
      </c>
      <c r="DI1109" t="str">
        <f>""</f>
        <v/>
      </c>
      <c r="DJ1109" t="str">
        <f>""</f>
        <v/>
      </c>
      <c r="DK1109" t="str">
        <f>""</f>
        <v/>
      </c>
      <c r="DL1109" t="str">
        <f>""</f>
        <v/>
      </c>
      <c r="DM1109" t="str">
        <f>""</f>
        <v/>
      </c>
      <c r="DN1109" t="str">
        <f>""</f>
        <v/>
      </c>
      <c r="DO1109" t="str">
        <f>""</f>
        <v/>
      </c>
      <c r="DP1109" t="str">
        <f>""</f>
        <v/>
      </c>
      <c r="DQ1109" t="str">
        <f>""</f>
        <v/>
      </c>
      <c r="DR1109" t="str">
        <f>""</f>
        <v/>
      </c>
      <c r="DS1109" t="str">
        <f>""</f>
        <v/>
      </c>
      <c r="DT1109" t="str">
        <f>""</f>
        <v/>
      </c>
      <c r="DU1109" t="str">
        <f>""</f>
        <v/>
      </c>
    </row>
    <row r="1110" spans="1:125" x14ac:dyDescent="0.25">
      <c r="A1110" t="str">
        <f>$A$447</f>
        <v xml:space="preserve">    Subaru Corp</v>
      </c>
      <c r="B1110" t="str">
        <f>$B$447</f>
        <v>7270 JP Equity</v>
      </c>
      <c r="C1110" t="str">
        <f>$C$447</f>
        <v>RR477</v>
      </c>
      <c r="D1110" t="str">
        <f>$D$447</f>
        <v>EV_TO_T12M_CASH_FLOW</v>
      </c>
      <c r="E1110" t="str">
        <f>$E$447</f>
        <v>Dynamic</v>
      </c>
      <c r="F1110" t="str">
        <f ca="1">_xll.BDH($B$447,$C$447,$B$675,$B$676,CONCATENATE("Per=",$B$673),"Dts=H","Dir=H",CONCATENATE("Points=",$B$674),"Sort=R","Days=A","Fill=B",CONCATENATE("FX=", $B$672) )</f>
        <v>#N/A Connection</v>
      </c>
      <c r="BN1110" t="str">
        <f>""</f>
        <v/>
      </c>
      <c r="BO1110" t="str">
        <f>""</f>
        <v/>
      </c>
      <c r="BP1110" t="str">
        <f>""</f>
        <v/>
      </c>
      <c r="BQ1110" t="str">
        <f>""</f>
        <v/>
      </c>
      <c r="BR1110" t="str">
        <f>""</f>
        <v/>
      </c>
      <c r="BS1110" t="str">
        <f>""</f>
        <v/>
      </c>
      <c r="BT1110" t="str">
        <f>""</f>
        <v/>
      </c>
      <c r="BU1110" t="str">
        <f>""</f>
        <v/>
      </c>
      <c r="BV1110" t="str">
        <f>""</f>
        <v/>
      </c>
      <c r="BW1110" t="str">
        <f>""</f>
        <v/>
      </c>
      <c r="BX1110" t="str">
        <f>""</f>
        <v/>
      </c>
      <c r="BY1110" t="str">
        <f>""</f>
        <v/>
      </c>
      <c r="BZ1110" t="str">
        <f>""</f>
        <v/>
      </c>
      <c r="CA1110" t="str">
        <f>""</f>
        <v/>
      </c>
      <c r="CB1110" t="str">
        <f>""</f>
        <v/>
      </c>
      <c r="CC1110" t="str">
        <f>""</f>
        <v/>
      </c>
      <c r="CD1110" t="str">
        <f>""</f>
        <v/>
      </c>
      <c r="CE1110" t="str">
        <f>""</f>
        <v/>
      </c>
      <c r="CF1110" t="str">
        <f>""</f>
        <v/>
      </c>
      <c r="CG1110" t="str">
        <f>""</f>
        <v/>
      </c>
      <c r="CH1110" t="str">
        <f>""</f>
        <v/>
      </c>
      <c r="CI1110" t="str">
        <f>""</f>
        <v/>
      </c>
      <c r="CJ1110" t="str">
        <f>""</f>
        <v/>
      </c>
      <c r="CK1110" t="str">
        <f>""</f>
        <v/>
      </c>
      <c r="CL1110" t="str">
        <f>""</f>
        <v/>
      </c>
      <c r="CM1110" t="str">
        <f>""</f>
        <v/>
      </c>
      <c r="CN1110" t="str">
        <f>""</f>
        <v/>
      </c>
      <c r="CO1110" t="str">
        <f>""</f>
        <v/>
      </c>
      <c r="CP1110" t="str">
        <f>""</f>
        <v/>
      </c>
      <c r="CQ1110" t="str">
        <f>""</f>
        <v/>
      </c>
      <c r="CR1110" t="str">
        <f>""</f>
        <v/>
      </c>
      <c r="CS1110" t="str">
        <f>""</f>
        <v/>
      </c>
      <c r="CT1110" t="str">
        <f>""</f>
        <v/>
      </c>
      <c r="CU1110" t="str">
        <f>""</f>
        <v/>
      </c>
      <c r="CV1110" t="str">
        <f>""</f>
        <v/>
      </c>
      <c r="CW1110" t="str">
        <f>""</f>
        <v/>
      </c>
      <c r="CX1110" t="str">
        <f>""</f>
        <v/>
      </c>
      <c r="CY1110" t="str">
        <f>""</f>
        <v/>
      </c>
      <c r="CZ1110" t="str">
        <f>""</f>
        <v/>
      </c>
      <c r="DA1110" t="str">
        <f>""</f>
        <v/>
      </c>
      <c r="DB1110" t="str">
        <f>""</f>
        <v/>
      </c>
      <c r="DC1110" t="str">
        <f>""</f>
        <v/>
      </c>
      <c r="DD1110" t="str">
        <f>""</f>
        <v/>
      </c>
      <c r="DE1110" t="str">
        <f>""</f>
        <v/>
      </c>
      <c r="DF1110" t="str">
        <f>""</f>
        <v/>
      </c>
      <c r="DG1110" t="str">
        <f>""</f>
        <v/>
      </c>
      <c r="DH1110" t="str">
        <f>""</f>
        <v/>
      </c>
      <c r="DI1110" t="str">
        <f>""</f>
        <v/>
      </c>
      <c r="DJ1110" t="str">
        <f>""</f>
        <v/>
      </c>
      <c r="DK1110" t="str">
        <f>""</f>
        <v/>
      </c>
      <c r="DL1110" t="str">
        <f>""</f>
        <v/>
      </c>
      <c r="DM1110" t="str">
        <f>""</f>
        <v/>
      </c>
      <c r="DN1110" t="str">
        <f>""</f>
        <v/>
      </c>
      <c r="DO1110" t="str">
        <f>""</f>
        <v/>
      </c>
      <c r="DP1110" t="str">
        <f>""</f>
        <v/>
      </c>
      <c r="DQ1110" t="str">
        <f>""</f>
        <v/>
      </c>
      <c r="DR1110" t="str">
        <f>""</f>
        <v/>
      </c>
      <c r="DS1110" t="str">
        <f>""</f>
        <v/>
      </c>
      <c r="DT1110" t="str">
        <f>""</f>
        <v/>
      </c>
      <c r="DU1110" t="str">
        <f>""</f>
        <v/>
      </c>
    </row>
    <row r="1111" spans="1:125" x14ac:dyDescent="0.25">
      <c r="A1111" t="str">
        <f>$A$448</f>
        <v xml:space="preserve">    Suzuki Motor Corp</v>
      </c>
      <c r="B1111" t="str">
        <f>$B$448</f>
        <v>7269 JP Equity</v>
      </c>
      <c r="C1111" t="str">
        <f>$C$448</f>
        <v>RR477</v>
      </c>
      <c r="D1111" t="str">
        <f>$D$448</f>
        <v>EV_TO_T12M_CASH_FLOW</v>
      </c>
      <c r="E1111" t="str">
        <f>$E$448</f>
        <v>Dynamic</v>
      </c>
      <c r="F1111" t="str">
        <f ca="1">_xll.BDH($B$448,$C$448,$B$675,$B$676,CONCATENATE("Per=",$B$673),"Dts=H","Dir=H",CONCATENATE("Points=",$B$674),"Sort=R","Days=A","Fill=B",CONCATENATE("FX=", $B$672) )</f>
        <v>#N/A Connection</v>
      </c>
      <c r="BN1111" t="str">
        <f>""</f>
        <v/>
      </c>
      <c r="BO1111" t="str">
        <f>""</f>
        <v/>
      </c>
      <c r="BP1111" t="str">
        <f>""</f>
        <v/>
      </c>
      <c r="BQ1111" t="str">
        <f>""</f>
        <v/>
      </c>
      <c r="BR1111" t="str">
        <f>""</f>
        <v/>
      </c>
      <c r="BS1111" t="str">
        <f>""</f>
        <v/>
      </c>
      <c r="BT1111" t="str">
        <f>""</f>
        <v/>
      </c>
      <c r="BU1111" t="str">
        <f>""</f>
        <v/>
      </c>
      <c r="BV1111" t="str">
        <f>""</f>
        <v/>
      </c>
      <c r="BW1111" t="str">
        <f>""</f>
        <v/>
      </c>
      <c r="BX1111" t="str">
        <f>""</f>
        <v/>
      </c>
      <c r="BY1111" t="str">
        <f>""</f>
        <v/>
      </c>
      <c r="BZ1111" t="str">
        <f>""</f>
        <v/>
      </c>
      <c r="CA1111" t="str">
        <f>""</f>
        <v/>
      </c>
      <c r="CB1111" t="str">
        <f>""</f>
        <v/>
      </c>
      <c r="CC1111" t="str">
        <f>""</f>
        <v/>
      </c>
      <c r="CD1111" t="str">
        <f>""</f>
        <v/>
      </c>
      <c r="CE1111" t="str">
        <f>""</f>
        <v/>
      </c>
      <c r="CF1111" t="str">
        <f>""</f>
        <v/>
      </c>
      <c r="CG1111" t="str">
        <f>""</f>
        <v/>
      </c>
      <c r="CH1111" t="str">
        <f>""</f>
        <v/>
      </c>
      <c r="CI1111" t="str">
        <f>""</f>
        <v/>
      </c>
      <c r="CJ1111" t="str">
        <f>""</f>
        <v/>
      </c>
      <c r="CK1111" t="str">
        <f>""</f>
        <v/>
      </c>
      <c r="CL1111" t="str">
        <f>""</f>
        <v/>
      </c>
      <c r="CM1111" t="str">
        <f>""</f>
        <v/>
      </c>
      <c r="CN1111" t="str">
        <f>""</f>
        <v/>
      </c>
      <c r="CO1111" t="str">
        <f>""</f>
        <v/>
      </c>
      <c r="CP1111" t="str">
        <f>""</f>
        <v/>
      </c>
      <c r="CQ1111" t="str">
        <f>""</f>
        <v/>
      </c>
      <c r="CR1111" t="str">
        <f>""</f>
        <v/>
      </c>
      <c r="CS1111" t="str">
        <f>""</f>
        <v/>
      </c>
      <c r="CT1111" t="str">
        <f>""</f>
        <v/>
      </c>
      <c r="CU1111" t="str">
        <f>""</f>
        <v/>
      </c>
      <c r="CV1111" t="str">
        <f>""</f>
        <v/>
      </c>
      <c r="CW1111" t="str">
        <f>""</f>
        <v/>
      </c>
      <c r="CX1111" t="str">
        <f>""</f>
        <v/>
      </c>
      <c r="CY1111" t="str">
        <f>""</f>
        <v/>
      </c>
      <c r="CZ1111" t="str">
        <f>""</f>
        <v/>
      </c>
      <c r="DA1111" t="str">
        <f>""</f>
        <v/>
      </c>
      <c r="DB1111" t="str">
        <f>""</f>
        <v/>
      </c>
      <c r="DC1111" t="str">
        <f>""</f>
        <v/>
      </c>
      <c r="DD1111" t="str">
        <f>""</f>
        <v/>
      </c>
      <c r="DE1111" t="str">
        <f>""</f>
        <v/>
      </c>
      <c r="DF1111" t="str">
        <f>""</f>
        <v/>
      </c>
      <c r="DG1111" t="str">
        <f>""</f>
        <v/>
      </c>
      <c r="DH1111" t="str">
        <f>""</f>
        <v/>
      </c>
      <c r="DI1111" t="str">
        <f>""</f>
        <v/>
      </c>
      <c r="DJ1111" t="str">
        <f>""</f>
        <v/>
      </c>
      <c r="DK1111" t="str">
        <f>""</f>
        <v/>
      </c>
      <c r="DL1111" t="str">
        <f>""</f>
        <v/>
      </c>
      <c r="DM1111" t="str">
        <f>""</f>
        <v/>
      </c>
      <c r="DN1111" t="str">
        <f>""</f>
        <v/>
      </c>
      <c r="DO1111" t="str">
        <f>""</f>
        <v/>
      </c>
      <c r="DP1111" t="str">
        <f>""</f>
        <v/>
      </c>
      <c r="DQ1111" t="str">
        <f>""</f>
        <v/>
      </c>
      <c r="DR1111" t="str">
        <f>""</f>
        <v/>
      </c>
      <c r="DS1111" t="str">
        <f>""</f>
        <v/>
      </c>
      <c r="DT1111" t="str">
        <f>""</f>
        <v/>
      </c>
      <c r="DU1111" t="str">
        <f>""</f>
        <v/>
      </c>
    </row>
    <row r="1112" spans="1:125" x14ac:dyDescent="0.25">
      <c r="A1112" t="str">
        <f>$A$449</f>
        <v xml:space="preserve">    Tata Motors Ltd</v>
      </c>
      <c r="B1112" t="str">
        <f>$B$449</f>
        <v>TTMT IN Equity</v>
      </c>
      <c r="C1112" t="str">
        <f>$C$449</f>
        <v>RR477</v>
      </c>
      <c r="D1112" t="str">
        <f>$D$449</f>
        <v>EV_TO_T12M_CASH_FLOW</v>
      </c>
      <c r="E1112" t="str">
        <f>$E$449</f>
        <v>Dynamic</v>
      </c>
      <c r="F1112" t="str">
        <f ca="1">_xll.BDH($B$449,$C$449,$B$675,$B$676,CONCATENATE("Per=",$B$673),"Dts=H","Dir=H",CONCATENATE("Points=",$B$674),"Sort=R","Days=A","Fill=B",CONCATENATE("FX=", $B$672) )</f>
        <v>#N/A Connection</v>
      </c>
      <c r="BN1112" t="str">
        <f>""</f>
        <v/>
      </c>
      <c r="BO1112" t="str">
        <f>""</f>
        <v/>
      </c>
      <c r="BP1112" t="str">
        <f>""</f>
        <v/>
      </c>
      <c r="BQ1112" t="str">
        <f>""</f>
        <v/>
      </c>
      <c r="BR1112" t="str">
        <f>""</f>
        <v/>
      </c>
      <c r="BS1112" t="str">
        <f>""</f>
        <v/>
      </c>
      <c r="BT1112" t="str">
        <f>""</f>
        <v/>
      </c>
      <c r="BU1112" t="str">
        <f>""</f>
        <v/>
      </c>
      <c r="BV1112" t="str">
        <f>""</f>
        <v/>
      </c>
      <c r="BW1112" t="str">
        <f>""</f>
        <v/>
      </c>
      <c r="BX1112" t="str">
        <f>""</f>
        <v/>
      </c>
      <c r="BY1112" t="str">
        <f>""</f>
        <v/>
      </c>
      <c r="BZ1112" t="str">
        <f>""</f>
        <v/>
      </c>
      <c r="CA1112" t="str">
        <f>""</f>
        <v/>
      </c>
      <c r="CB1112" t="str">
        <f>""</f>
        <v/>
      </c>
      <c r="CC1112" t="str">
        <f>""</f>
        <v/>
      </c>
      <c r="CD1112" t="str">
        <f>""</f>
        <v/>
      </c>
      <c r="CE1112" t="str">
        <f>""</f>
        <v/>
      </c>
      <c r="CF1112" t="str">
        <f>""</f>
        <v/>
      </c>
      <c r="CG1112" t="str">
        <f>""</f>
        <v/>
      </c>
      <c r="CH1112" t="str">
        <f>""</f>
        <v/>
      </c>
      <c r="CI1112" t="str">
        <f>""</f>
        <v/>
      </c>
      <c r="CJ1112" t="str">
        <f>""</f>
        <v/>
      </c>
      <c r="CK1112" t="str">
        <f>""</f>
        <v/>
      </c>
      <c r="CL1112" t="str">
        <f>""</f>
        <v/>
      </c>
      <c r="CM1112" t="str">
        <f>""</f>
        <v/>
      </c>
      <c r="CN1112" t="str">
        <f>""</f>
        <v/>
      </c>
      <c r="CO1112" t="str">
        <f>""</f>
        <v/>
      </c>
      <c r="CP1112" t="str">
        <f>""</f>
        <v/>
      </c>
      <c r="CQ1112" t="str">
        <f>""</f>
        <v/>
      </c>
      <c r="CR1112" t="str">
        <f>""</f>
        <v/>
      </c>
      <c r="CS1112" t="str">
        <f>""</f>
        <v/>
      </c>
      <c r="CT1112" t="str">
        <f>""</f>
        <v/>
      </c>
      <c r="CU1112" t="str">
        <f>""</f>
        <v/>
      </c>
      <c r="CV1112" t="str">
        <f>""</f>
        <v/>
      </c>
      <c r="CW1112" t="str">
        <f>""</f>
        <v/>
      </c>
      <c r="CX1112" t="str">
        <f>""</f>
        <v/>
      </c>
      <c r="CY1112" t="str">
        <f>""</f>
        <v/>
      </c>
      <c r="CZ1112" t="str">
        <f>""</f>
        <v/>
      </c>
      <c r="DA1112" t="str">
        <f>""</f>
        <v/>
      </c>
      <c r="DB1112" t="str">
        <f>""</f>
        <v/>
      </c>
      <c r="DC1112" t="str">
        <f>""</f>
        <v/>
      </c>
      <c r="DD1112" t="str">
        <f>""</f>
        <v/>
      </c>
      <c r="DE1112" t="str">
        <f>""</f>
        <v/>
      </c>
      <c r="DF1112" t="str">
        <f>""</f>
        <v/>
      </c>
      <c r="DG1112" t="str">
        <f>""</f>
        <v/>
      </c>
      <c r="DH1112" t="str">
        <f>""</f>
        <v/>
      </c>
      <c r="DI1112" t="str">
        <f>""</f>
        <v/>
      </c>
      <c r="DJ1112" t="str">
        <f>""</f>
        <v/>
      </c>
      <c r="DK1112" t="str">
        <f>""</f>
        <v/>
      </c>
      <c r="DL1112" t="str">
        <f>""</f>
        <v/>
      </c>
      <c r="DM1112" t="str">
        <f>""</f>
        <v/>
      </c>
      <c r="DN1112" t="str">
        <f>""</f>
        <v/>
      </c>
      <c r="DO1112" t="str">
        <f>""</f>
        <v/>
      </c>
      <c r="DP1112" t="str">
        <f>""</f>
        <v/>
      </c>
      <c r="DQ1112" t="str">
        <f>""</f>
        <v/>
      </c>
      <c r="DR1112" t="str">
        <f>""</f>
        <v/>
      </c>
      <c r="DS1112" t="str">
        <f>""</f>
        <v/>
      </c>
      <c r="DT1112" t="str">
        <f>""</f>
        <v/>
      </c>
      <c r="DU1112" t="str">
        <f>""</f>
        <v/>
      </c>
    </row>
    <row r="1113" spans="1:125" x14ac:dyDescent="0.25">
      <c r="A1113" t="str">
        <f>$A$450</f>
        <v xml:space="preserve">    Tesla Inc</v>
      </c>
      <c r="B1113" t="str">
        <f>$B$450</f>
        <v>TSLA US Equity</v>
      </c>
      <c r="C1113" t="str">
        <f>$C$450</f>
        <v>RR477</v>
      </c>
      <c r="D1113" t="str">
        <f>$D$450</f>
        <v>EV_TO_T12M_CASH_FLOW</v>
      </c>
      <c r="E1113" t="str">
        <f>$E$450</f>
        <v>Dynamic</v>
      </c>
      <c r="F1113" t="str">
        <f ca="1">_xll.BDH($B$450,$C$450,$B$675,$B$676,CONCATENATE("Per=",$B$673),"Dts=H","Dir=H",CONCATENATE("Points=",$B$674),"Sort=R","Days=A","Fill=B",CONCATENATE("FX=", $B$672) )</f>
        <v>#N/A Connection</v>
      </c>
      <c r="BN1113" t="str">
        <f>""</f>
        <v/>
      </c>
      <c r="BO1113" t="str">
        <f>""</f>
        <v/>
      </c>
      <c r="BP1113" t="str">
        <f>""</f>
        <v/>
      </c>
      <c r="BQ1113" t="str">
        <f>""</f>
        <v/>
      </c>
      <c r="BR1113" t="str">
        <f>""</f>
        <v/>
      </c>
      <c r="BS1113" t="str">
        <f>""</f>
        <v/>
      </c>
      <c r="BT1113" t="str">
        <f>""</f>
        <v/>
      </c>
      <c r="BU1113" t="str">
        <f>""</f>
        <v/>
      </c>
      <c r="BV1113" t="str">
        <f>""</f>
        <v/>
      </c>
      <c r="BW1113" t="str">
        <f>""</f>
        <v/>
      </c>
      <c r="BX1113" t="str">
        <f>""</f>
        <v/>
      </c>
      <c r="BY1113" t="str">
        <f>""</f>
        <v/>
      </c>
      <c r="BZ1113" t="str">
        <f>""</f>
        <v/>
      </c>
      <c r="CA1113" t="str">
        <f>""</f>
        <v/>
      </c>
      <c r="CB1113" t="str">
        <f>""</f>
        <v/>
      </c>
      <c r="CC1113" t="str">
        <f>""</f>
        <v/>
      </c>
      <c r="CD1113" t="str">
        <f>""</f>
        <v/>
      </c>
      <c r="CE1113" t="str">
        <f>""</f>
        <v/>
      </c>
      <c r="CF1113" t="str">
        <f>""</f>
        <v/>
      </c>
      <c r="CG1113" t="str">
        <f>""</f>
        <v/>
      </c>
      <c r="CH1113" t="str">
        <f>""</f>
        <v/>
      </c>
      <c r="CI1113" t="str">
        <f>""</f>
        <v/>
      </c>
      <c r="CJ1113" t="str">
        <f>""</f>
        <v/>
      </c>
      <c r="CK1113" t="str">
        <f>""</f>
        <v/>
      </c>
      <c r="CL1113" t="str">
        <f>""</f>
        <v/>
      </c>
      <c r="CM1113" t="str">
        <f>""</f>
        <v/>
      </c>
      <c r="CN1113" t="str">
        <f>""</f>
        <v/>
      </c>
      <c r="CO1113" t="str">
        <f>""</f>
        <v/>
      </c>
      <c r="CP1113" t="str">
        <f>""</f>
        <v/>
      </c>
      <c r="CQ1113" t="str">
        <f>""</f>
        <v/>
      </c>
      <c r="CR1113" t="str">
        <f>""</f>
        <v/>
      </c>
      <c r="CS1113" t="str">
        <f>""</f>
        <v/>
      </c>
      <c r="CT1113" t="str">
        <f>""</f>
        <v/>
      </c>
      <c r="CU1113" t="str">
        <f>""</f>
        <v/>
      </c>
      <c r="CV1113" t="str">
        <f>""</f>
        <v/>
      </c>
      <c r="CW1113" t="str">
        <f>""</f>
        <v/>
      </c>
      <c r="CX1113" t="str">
        <f>""</f>
        <v/>
      </c>
      <c r="CY1113" t="str">
        <f>""</f>
        <v/>
      </c>
      <c r="CZ1113" t="str">
        <f>""</f>
        <v/>
      </c>
      <c r="DA1113" t="str">
        <f>""</f>
        <v/>
      </c>
      <c r="DB1113" t="str">
        <f>""</f>
        <v/>
      </c>
      <c r="DC1113" t="str">
        <f>""</f>
        <v/>
      </c>
      <c r="DD1113" t="str">
        <f>""</f>
        <v/>
      </c>
      <c r="DE1113" t="str">
        <f>""</f>
        <v/>
      </c>
      <c r="DF1113" t="str">
        <f>""</f>
        <v/>
      </c>
      <c r="DG1113" t="str">
        <f>""</f>
        <v/>
      </c>
      <c r="DH1113" t="str">
        <f>""</f>
        <v/>
      </c>
      <c r="DI1113" t="str">
        <f>""</f>
        <v/>
      </c>
      <c r="DJ1113" t="str">
        <f>""</f>
        <v/>
      </c>
      <c r="DK1113" t="str">
        <f>""</f>
        <v/>
      </c>
      <c r="DL1113" t="str">
        <f>""</f>
        <v/>
      </c>
      <c r="DM1113" t="str">
        <f>""</f>
        <v/>
      </c>
      <c r="DN1113" t="str">
        <f>""</f>
        <v/>
      </c>
      <c r="DO1113" t="str">
        <f>""</f>
        <v/>
      </c>
      <c r="DP1113" t="str">
        <f>""</f>
        <v/>
      </c>
      <c r="DQ1113" t="str">
        <f>""</f>
        <v/>
      </c>
      <c r="DR1113" t="str">
        <f>""</f>
        <v/>
      </c>
      <c r="DS1113" t="str">
        <f>""</f>
        <v/>
      </c>
      <c r="DT1113" t="str">
        <f>""</f>
        <v/>
      </c>
      <c r="DU1113" t="str">
        <f>""</f>
        <v/>
      </c>
    </row>
    <row r="1114" spans="1:125" x14ac:dyDescent="0.25">
      <c r="A1114" t="str">
        <f>$A$451</f>
        <v xml:space="preserve">    Tianjin Faw Xiali Automobile Co Ltd</v>
      </c>
      <c r="B1114" t="str">
        <f>$B$451</f>
        <v>000927 CH Equity</v>
      </c>
      <c r="C1114" t="str">
        <f>$C$451</f>
        <v>RR477</v>
      </c>
      <c r="D1114" t="str">
        <f>$D$451</f>
        <v>EV_TO_T12M_CASH_FLOW</v>
      </c>
      <c r="E1114" t="str">
        <f>$E$451</f>
        <v>Dynamic</v>
      </c>
      <c r="F1114" t="str">
        <f ca="1">_xll.BDH($B$451,$C$451,$B$675,$B$676,CONCATENATE("Per=",$B$673),"Dts=H","Dir=H",CONCATENATE("Points=",$B$674),"Sort=R","Days=A","Fill=B",CONCATENATE("FX=", $B$672) )</f>
        <v>#N/A Connection</v>
      </c>
      <c r="BN1114" t="str">
        <f>""</f>
        <v/>
      </c>
      <c r="BO1114" t="str">
        <f>""</f>
        <v/>
      </c>
      <c r="BP1114" t="str">
        <f>""</f>
        <v/>
      </c>
      <c r="BQ1114" t="str">
        <f>""</f>
        <v/>
      </c>
      <c r="BR1114" t="str">
        <f>""</f>
        <v/>
      </c>
      <c r="BS1114" t="str">
        <f>""</f>
        <v/>
      </c>
      <c r="BT1114" t="str">
        <f>""</f>
        <v/>
      </c>
      <c r="BU1114" t="str">
        <f>""</f>
        <v/>
      </c>
      <c r="BV1114" t="str">
        <f>""</f>
        <v/>
      </c>
      <c r="BW1114" t="str">
        <f>""</f>
        <v/>
      </c>
      <c r="BX1114" t="str">
        <f>""</f>
        <v/>
      </c>
      <c r="BY1114" t="str">
        <f>""</f>
        <v/>
      </c>
      <c r="BZ1114" t="str">
        <f>""</f>
        <v/>
      </c>
      <c r="CA1114" t="str">
        <f>""</f>
        <v/>
      </c>
      <c r="CB1114" t="str">
        <f>""</f>
        <v/>
      </c>
      <c r="CC1114" t="str">
        <f>""</f>
        <v/>
      </c>
      <c r="CD1114" t="str">
        <f>""</f>
        <v/>
      </c>
      <c r="CE1114" t="str">
        <f>""</f>
        <v/>
      </c>
      <c r="CF1114" t="str">
        <f>""</f>
        <v/>
      </c>
      <c r="CG1114" t="str">
        <f>""</f>
        <v/>
      </c>
      <c r="CH1114" t="str">
        <f>""</f>
        <v/>
      </c>
      <c r="CI1114" t="str">
        <f>""</f>
        <v/>
      </c>
      <c r="CJ1114" t="str">
        <f>""</f>
        <v/>
      </c>
      <c r="CK1114" t="str">
        <f>""</f>
        <v/>
      </c>
      <c r="CL1114" t="str">
        <f>""</f>
        <v/>
      </c>
      <c r="CM1114" t="str">
        <f>""</f>
        <v/>
      </c>
      <c r="CN1114" t="str">
        <f>""</f>
        <v/>
      </c>
      <c r="CO1114" t="str">
        <f>""</f>
        <v/>
      </c>
      <c r="CP1114" t="str">
        <f>""</f>
        <v/>
      </c>
      <c r="CQ1114" t="str">
        <f>""</f>
        <v/>
      </c>
      <c r="CR1114" t="str">
        <f>""</f>
        <v/>
      </c>
      <c r="CS1114" t="str">
        <f>""</f>
        <v/>
      </c>
      <c r="CT1114" t="str">
        <f>""</f>
        <v/>
      </c>
      <c r="CU1114" t="str">
        <f>""</f>
        <v/>
      </c>
      <c r="CV1114" t="str">
        <f>""</f>
        <v/>
      </c>
      <c r="CW1114" t="str">
        <f>""</f>
        <v/>
      </c>
      <c r="CX1114" t="str">
        <f>""</f>
        <v/>
      </c>
      <c r="CY1114" t="str">
        <f>""</f>
        <v/>
      </c>
      <c r="CZ1114" t="str">
        <f>""</f>
        <v/>
      </c>
      <c r="DA1114" t="str">
        <f>""</f>
        <v/>
      </c>
      <c r="DB1114" t="str">
        <f>""</f>
        <v/>
      </c>
      <c r="DC1114" t="str">
        <f>""</f>
        <v/>
      </c>
      <c r="DD1114" t="str">
        <f>""</f>
        <v/>
      </c>
      <c r="DE1114" t="str">
        <f>""</f>
        <v/>
      </c>
      <c r="DF1114" t="str">
        <f>""</f>
        <v/>
      </c>
      <c r="DG1114" t="str">
        <f>""</f>
        <v/>
      </c>
      <c r="DH1114" t="str">
        <f>""</f>
        <v/>
      </c>
      <c r="DI1114" t="str">
        <f>""</f>
        <v/>
      </c>
      <c r="DJ1114" t="str">
        <f>""</f>
        <v/>
      </c>
      <c r="DK1114" t="str">
        <f>""</f>
        <v/>
      </c>
      <c r="DL1114" t="str">
        <f>""</f>
        <v/>
      </c>
      <c r="DM1114" t="str">
        <f>""</f>
        <v/>
      </c>
      <c r="DN1114" t="str">
        <f>""</f>
        <v/>
      </c>
      <c r="DO1114" t="str">
        <f>""</f>
        <v/>
      </c>
      <c r="DP1114" t="str">
        <f>""</f>
        <v/>
      </c>
      <c r="DQ1114" t="str">
        <f>""</f>
        <v/>
      </c>
      <c r="DR1114" t="str">
        <f>""</f>
        <v/>
      </c>
      <c r="DS1114" t="str">
        <f>""</f>
        <v/>
      </c>
      <c r="DT1114" t="str">
        <f>""</f>
        <v/>
      </c>
      <c r="DU1114" t="str">
        <f>""</f>
        <v/>
      </c>
    </row>
    <row r="1115" spans="1:125" x14ac:dyDescent="0.25">
      <c r="A1115" t="str">
        <f>$A$452</f>
        <v xml:space="preserve">    Tofas Turk Otomobil Fabrikasi AS</v>
      </c>
      <c r="B1115" t="str">
        <f>$B$452</f>
        <v>TOASOTRY EO Equity</v>
      </c>
      <c r="C1115" t="str">
        <f>$C$452</f>
        <v>RR477</v>
      </c>
      <c r="D1115" t="str">
        <f>$D$452</f>
        <v>EV_TO_T12M_CASH_FLOW</v>
      </c>
      <c r="E1115" t="str">
        <f>$E$452</f>
        <v>Dynamic</v>
      </c>
      <c r="F1115" t="str">
        <f ca="1">_xll.BDH($B$452,$C$452,$B$675,$B$676,CONCATENATE("Per=",$B$673),"Dts=H","Dir=H",CONCATENATE("Points=",$B$674),"Sort=R","Days=A","Fill=B",CONCATENATE("FX=", $B$672) )</f>
        <v>#N/A Connection</v>
      </c>
      <c r="BN1115" t="str">
        <f>""</f>
        <v/>
      </c>
      <c r="BO1115" t="str">
        <f>""</f>
        <v/>
      </c>
      <c r="BP1115" t="str">
        <f>""</f>
        <v/>
      </c>
      <c r="BQ1115" t="str">
        <f>""</f>
        <v/>
      </c>
      <c r="BR1115" t="str">
        <f>""</f>
        <v/>
      </c>
      <c r="BS1115" t="str">
        <f>""</f>
        <v/>
      </c>
      <c r="BT1115" t="str">
        <f>""</f>
        <v/>
      </c>
      <c r="BU1115" t="str">
        <f>""</f>
        <v/>
      </c>
      <c r="BV1115" t="str">
        <f>""</f>
        <v/>
      </c>
      <c r="BW1115" t="str">
        <f>""</f>
        <v/>
      </c>
      <c r="BX1115" t="str">
        <f>""</f>
        <v/>
      </c>
      <c r="BY1115" t="str">
        <f>""</f>
        <v/>
      </c>
      <c r="BZ1115" t="str">
        <f>""</f>
        <v/>
      </c>
      <c r="CA1115" t="str">
        <f>""</f>
        <v/>
      </c>
      <c r="CB1115" t="str">
        <f>""</f>
        <v/>
      </c>
      <c r="CC1115" t="str">
        <f>""</f>
        <v/>
      </c>
      <c r="CD1115" t="str">
        <f>""</f>
        <v/>
      </c>
      <c r="CE1115" t="str">
        <f>""</f>
        <v/>
      </c>
      <c r="CF1115" t="str">
        <f>""</f>
        <v/>
      </c>
      <c r="CG1115" t="str">
        <f>""</f>
        <v/>
      </c>
      <c r="CH1115" t="str">
        <f>""</f>
        <v/>
      </c>
      <c r="CI1115" t="str">
        <f>""</f>
        <v/>
      </c>
      <c r="CJ1115" t="str">
        <f>""</f>
        <v/>
      </c>
      <c r="CK1115" t="str">
        <f>""</f>
        <v/>
      </c>
      <c r="CL1115" t="str">
        <f>""</f>
        <v/>
      </c>
      <c r="CM1115" t="str">
        <f>""</f>
        <v/>
      </c>
      <c r="CN1115" t="str">
        <f>""</f>
        <v/>
      </c>
      <c r="CO1115" t="str">
        <f>""</f>
        <v/>
      </c>
      <c r="CP1115" t="str">
        <f>""</f>
        <v/>
      </c>
      <c r="CQ1115" t="str">
        <f>""</f>
        <v/>
      </c>
      <c r="CR1115" t="str">
        <f>""</f>
        <v/>
      </c>
      <c r="CS1115" t="str">
        <f>""</f>
        <v/>
      </c>
      <c r="CT1115" t="str">
        <f>""</f>
        <v/>
      </c>
      <c r="CU1115" t="str">
        <f>""</f>
        <v/>
      </c>
      <c r="CV1115" t="str">
        <f>""</f>
        <v/>
      </c>
      <c r="CW1115" t="str">
        <f>""</f>
        <v/>
      </c>
      <c r="CX1115" t="str">
        <f>""</f>
        <v/>
      </c>
      <c r="CY1115" t="str">
        <f>""</f>
        <v/>
      </c>
      <c r="CZ1115" t="str">
        <f>""</f>
        <v/>
      </c>
      <c r="DA1115" t="str">
        <f>""</f>
        <v/>
      </c>
      <c r="DB1115" t="str">
        <f>""</f>
        <v/>
      </c>
      <c r="DC1115" t="str">
        <f>""</f>
        <v/>
      </c>
      <c r="DD1115" t="str">
        <f>""</f>
        <v/>
      </c>
      <c r="DE1115" t="str">
        <f>""</f>
        <v/>
      </c>
      <c r="DF1115" t="str">
        <f>""</f>
        <v/>
      </c>
      <c r="DG1115" t="str">
        <f>""</f>
        <v/>
      </c>
      <c r="DH1115" t="str">
        <f>""</f>
        <v/>
      </c>
      <c r="DI1115" t="str">
        <f>""</f>
        <v/>
      </c>
      <c r="DJ1115" t="str">
        <f>""</f>
        <v/>
      </c>
      <c r="DK1115" t="str">
        <f>""</f>
        <v/>
      </c>
      <c r="DL1115" t="str">
        <f>""</f>
        <v/>
      </c>
      <c r="DM1115" t="str">
        <f>""</f>
        <v/>
      </c>
      <c r="DN1115" t="str">
        <f>""</f>
        <v/>
      </c>
      <c r="DO1115" t="str">
        <f>""</f>
        <v/>
      </c>
      <c r="DP1115" t="str">
        <f>""</f>
        <v/>
      </c>
      <c r="DQ1115" t="str">
        <f>""</f>
        <v/>
      </c>
      <c r="DR1115" t="str">
        <f>""</f>
        <v/>
      </c>
      <c r="DS1115" t="str">
        <f>""</f>
        <v/>
      </c>
      <c r="DT1115" t="str">
        <f>""</f>
        <v/>
      </c>
      <c r="DU1115" t="str">
        <f>""</f>
        <v/>
      </c>
    </row>
    <row r="1116" spans="1:125" x14ac:dyDescent="0.25">
      <c r="A1116" t="str">
        <f>$A$453</f>
        <v xml:space="preserve">    Toyota Motor Corp</v>
      </c>
      <c r="B1116" t="str">
        <f>$B$453</f>
        <v>7203 JP Equity</v>
      </c>
      <c r="C1116" t="str">
        <f>$C$453</f>
        <v>RR477</v>
      </c>
      <c r="D1116" t="str">
        <f>$D$453</f>
        <v>EV_TO_T12M_CASH_FLOW</v>
      </c>
      <c r="E1116" t="str">
        <f>$E$453</f>
        <v>Dynamic</v>
      </c>
      <c r="F1116" t="str">
        <f ca="1">_xll.BDH($B$453,$C$453,$B$675,$B$676,CONCATENATE("Per=",$B$673),"Dts=H","Dir=H",CONCATENATE("Points=",$B$674),"Sort=R","Days=A","Fill=B",CONCATENATE("FX=", $B$672) )</f>
        <v>#N/A Connection</v>
      </c>
      <c r="BN1116" t="str">
        <f>""</f>
        <v/>
      </c>
      <c r="BO1116" t="str">
        <f>""</f>
        <v/>
      </c>
      <c r="BP1116" t="str">
        <f>""</f>
        <v/>
      </c>
      <c r="BQ1116" t="str">
        <f>""</f>
        <v/>
      </c>
      <c r="BR1116" t="str">
        <f>""</f>
        <v/>
      </c>
      <c r="BS1116" t="str">
        <f>""</f>
        <v/>
      </c>
      <c r="BT1116" t="str">
        <f>""</f>
        <v/>
      </c>
      <c r="BU1116" t="str">
        <f>""</f>
        <v/>
      </c>
      <c r="BV1116" t="str">
        <f>""</f>
        <v/>
      </c>
      <c r="BW1116" t="str">
        <f>""</f>
        <v/>
      </c>
      <c r="BX1116" t="str">
        <f>""</f>
        <v/>
      </c>
      <c r="BY1116" t="str">
        <f>""</f>
        <v/>
      </c>
      <c r="BZ1116" t="str">
        <f>""</f>
        <v/>
      </c>
      <c r="CA1116" t="str">
        <f>""</f>
        <v/>
      </c>
      <c r="CB1116" t="str">
        <f>""</f>
        <v/>
      </c>
      <c r="CC1116" t="str">
        <f>""</f>
        <v/>
      </c>
      <c r="CD1116" t="str">
        <f>""</f>
        <v/>
      </c>
      <c r="CE1116" t="str">
        <f>""</f>
        <v/>
      </c>
      <c r="CF1116" t="str">
        <f>""</f>
        <v/>
      </c>
      <c r="CG1116" t="str">
        <f>""</f>
        <v/>
      </c>
      <c r="CH1116" t="str">
        <f>""</f>
        <v/>
      </c>
      <c r="CI1116" t="str">
        <f>""</f>
        <v/>
      </c>
      <c r="CJ1116" t="str">
        <f>""</f>
        <v/>
      </c>
      <c r="CK1116" t="str">
        <f>""</f>
        <v/>
      </c>
      <c r="CL1116" t="str">
        <f>""</f>
        <v/>
      </c>
      <c r="CM1116" t="str">
        <f>""</f>
        <v/>
      </c>
      <c r="CN1116" t="str">
        <f>""</f>
        <v/>
      </c>
      <c r="CO1116" t="str">
        <f>""</f>
        <v/>
      </c>
      <c r="CP1116" t="str">
        <f>""</f>
        <v/>
      </c>
      <c r="CQ1116" t="str">
        <f>""</f>
        <v/>
      </c>
      <c r="CR1116" t="str">
        <f>""</f>
        <v/>
      </c>
      <c r="CS1116" t="str">
        <f>""</f>
        <v/>
      </c>
      <c r="CT1116" t="str">
        <f>""</f>
        <v/>
      </c>
      <c r="CU1116" t="str">
        <f>""</f>
        <v/>
      </c>
      <c r="CV1116" t="str">
        <f>""</f>
        <v/>
      </c>
      <c r="CW1116" t="str">
        <f>""</f>
        <v/>
      </c>
      <c r="CX1116" t="str">
        <f>""</f>
        <v/>
      </c>
      <c r="CY1116" t="str">
        <f>""</f>
        <v/>
      </c>
      <c r="CZ1116" t="str">
        <f>""</f>
        <v/>
      </c>
      <c r="DA1116" t="str">
        <f>""</f>
        <v/>
      </c>
      <c r="DB1116" t="str">
        <f>""</f>
        <v/>
      </c>
      <c r="DC1116" t="str">
        <f>""</f>
        <v/>
      </c>
      <c r="DD1116" t="str">
        <f>""</f>
        <v/>
      </c>
      <c r="DE1116" t="str">
        <f>""</f>
        <v/>
      </c>
      <c r="DF1116" t="str">
        <f>""</f>
        <v/>
      </c>
      <c r="DG1116" t="str">
        <f>""</f>
        <v/>
      </c>
      <c r="DH1116" t="str">
        <f>""</f>
        <v/>
      </c>
      <c r="DI1116" t="str">
        <f>""</f>
        <v/>
      </c>
      <c r="DJ1116" t="str">
        <f>""</f>
        <v/>
      </c>
      <c r="DK1116" t="str">
        <f>""</f>
        <v/>
      </c>
      <c r="DL1116" t="str">
        <f>""</f>
        <v/>
      </c>
      <c r="DM1116" t="str">
        <f>""</f>
        <v/>
      </c>
      <c r="DN1116" t="str">
        <f>""</f>
        <v/>
      </c>
      <c r="DO1116" t="str">
        <f>""</f>
        <v/>
      </c>
      <c r="DP1116" t="str">
        <f>""</f>
        <v/>
      </c>
      <c r="DQ1116" t="str">
        <f>""</f>
        <v/>
      </c>
      <c r="DR1116" t="str">
        <f>""</f>
        <v/>
      </c>
      <c r="DS1116" t="str">
        <f>""</f>
        <v/>
      </c>
      <c r="DT1116" t="str">
        <f>""</f>
        <v/>
      </c>
      <c r="DU1116" t="str">
        <f>""</f>
        <v/>
      </c>
    </row>
    <row r="1117" spans="1:125" x14ac:dyDescent="0.25">
      <c r="A1117" t="str">
        <f>$A$454</f>
        <v xml:space="preserve">    Volkswagen AG</v>
      </c>
      <c r="B1117" t="str">
        <f>$B$454</f>
        <v>VOW GR Equity</v>
      </c>
      <c r="C1117" t="str">
        <f>$C$454</f>
        <v>RR477</v>
      </c>
      <c r="D1117" t="str">
        <f>$D$454</f>
        <v>EV_TO_T12M_CASH_FLOW</v>
      </c>
      <c r="E1117" t="str">
        <f>$E$454</f>
        <v>Dynamic</v>
      </c>
      <c r="F1117" t="str">
        <f ca="1">_xll.BDH($B$454,$C$454,$B$675,$B$676,CONCATENATE("Per=",$B$673),"Dts=H","Dir=H",CONCATENATE("Points=",$B$674),"Sort=R","Days=A","Fill=B",CONCATENATE("FX=", $B$672) )</f>
        <v>#N/A Connection</v>
      </c>
      <c r="BN1117" t="str">
        <f>""</f>
        <v/>
      </c>
      <c r="BO1117" t="str">
        <f>""</f>
        <v/>
      </c>
      <c r="BP1117" t="str">
        <f>""</f>
        <v/>
      </c>
      <c r="BQ1117" t="str">
        <f>""</f>
        <v/>
      </c>
      <c r="BR1117" t="str">
        <f>""</f>
        <v/>
      </c>
      <c r="BS1117" t="str">
        <f>""</f>
        <v/>
      </c>
      <c r="BT1117" t="str">
        <f>""</f>
        <v/>
      </c>
      <c r="BU1117" t="str">
        <f>""</f>
        <v/>
      </c>
      <c r="BV1117" t="str">
        <f>""</f>
        <v/>
      </c>
      <c r="BW1117" t="str">
        <f>""</f>
        <v/>
      </c>
      <c r="BX1117" t="str">
        <f>""</f>
        <v/>
      </c>
      <c r="BY1117" t="str">
        <f>""</f>
        <v/>
      </c>
      <c r="BZ1117" t="str">
        <f>""</f>
        <v/>
      </c>
      <c r="CA1117" t="str">
        <f>""</f>
        <v/>
      </c>
      <c r="CB1117" t="str">
        <f>""</f>
        <v/>
      </c>
      <c r="CC1117" t="str">
        <f>""</f>
        <v/>
      </c>
      <c r="CD1117" t="str">
        <f>""</f>
        <v/>
      </c>
      <c r="CE1117" t="str">
        <f>""</f>
        <v/>
      </c>
      <c r="CF1117" t="str">
        <f>""</f>
        <v/>
      </c>
      <c r="CG1117" t="str">
        <f>""</f>
        <v/>
      </c>
      <c r="CH1117" t="str">
        <f>""</f>
        <v/>
      </c>
      <c r="CI1117" t="str">
        <f>""</f>
        <v/>
      </c>
      <c r="CJ1117" t="str">
        <f>""</f>
        <v/>
      </c>
      <c r="CK1117" t="str">
        <f>""</f>
        <v/>
      </c>
      <c r="CL1117" t="str">
        <f>""</f>
        <v/>
      </c>
      <c r="CM1117" t="str">
        <f>""</f>
        <v/>
      </c>
      <c r="CN1117" t="str">
        <f>""</f>
        <v/>
      </c>
      <c r="CO1117" t="str">
        <f>""</f>
        <v/>
      </c>
      <c r="CP1117" t="str">
        <f>""</f>
        <v/>
      </c>
      <c r="CQ1117" t="str">
        <f>""</f>
        <v/>
      </c>
      <c r="CR1117" t="str">
        <f>""</f>
        <v/>
      </c>
      <c r="CS1117" t="str">
        <f>""</f>
        <v/>
      </c>
      <c r="CT1117" t="str">
        <f>""</f>
        <v/>
      </c>
      <c r="CU1117" t="str">
        <f>""</f>
        <v/>
      </c>
      <c r="CV1117" t="str">
        <f>""</f>
        <v/>
      </c>
      <c r="CW1117" t="str">
        <f>""</f>
        <v/>
      </c>
      <c r="CX1117" t="str">
        <f>""</f>
        <v/>
      </c>
      <c r="CY1117" t="str">
        <f>""</f>
        <v/>
      </c>
      <c r="CZ1117" t="str">
        <f>""</f>
        <v/>
      </c>
      <c r="DA1117" t="str">
        <f>""</f>
        <v/>
      </c>
      <c r="DB1117" t="str">
        <f>""</f>
        <v/>
      </c>
      <c r="DC1117" t="str">
        <f>""</f>
        <v/>
      </c>
      <c r="DD1117" t="str">
        <f>""</f>
        <v/>
      </c>
      <c r="DE1117" t="str">
        <f>""</f>
        <v/>
      </c>
      <c r="DF1117" t="str">
        <f>""</f>
        <v/>
      </c>
      <c r="DG1117" t="str">
        <f>""</f>
        <v/>
      </c>
      <c r="DH1117" t="str">
        <f>""</f>
        <v/>
      </c>
      <c r="DI1117" t="str">
        <f>""</f>
        <v/>
      </c>
      <c r="DJ1117" t="str">
        <f>""</f>
        <v/>
      </c>
      <c r="DK1117" t="str">
        <f>""</f>
        <v/>
      </c>
      <c r="DL1117" t="str">
        <f>""</f>
        <v/>
      </c>
      <c r="DM1117" t="str">
        <f>""</f>
        <v/>
      </c>
      <c r="DN1117" t="str">
        <f>""</f>
        <v/>
      </c>
      <c r="DO1117" t="str">
        <f>""</f>
        <v/>
      </c>
      <c r="DP1117" t="str">
        <f>""</f>
        <v/>
      </c>
      <c r="DQ1117" t="str">
        <f>""</f>
        <v/>
      </c>
      <c r="DR1117" t="str">
        <f>""</f>
        <v/>
      </c>
      <c r="DS1117" t="str">
        <f>""</f>
        <v/>
      </c>
      <c r="DT1117" t="str">
        <f>""</f>
        <v/>
      </c>
      <c r="DU1117" t="str">
        <f>""</f>
        <v/>
      </c>
    </row>
    <row r="1118" spans="1:125" x14ac:dyDescent="0.25">
      <c r="A1118" t="str">
        <f>$A$455</f>
        <v xml:space="preserve">    Yulon Motor Co Ltd</v>
      </c>
      <c r="B1118" t="str">
        <f>$B$455</f>
        <v>2201 TT Equity</v>
      </c>
      <c r="C1118" t="str">
        <f>$C$455</f>
        <v>RR477</v>
      </c>
      <c r="D1118" t="str">
        <f>$D$455</f>
        <v>EV_TO_T12M_CASH_FLOW</v>
      </c>
      <c r="E1118" t="str">
        <f>$E$455</f>
        <v>Dynamic</v>
      </c>
      <c r="F1118" t="str">
        <f ca="1">_xll.BDH($B$455,$C$455,$B$675,$B$676,CONCATENATE("Per=",$B$673),"Dts=H","Dir=H",CONCATENATE("Points=",$B$674),"Sort=R","Days=A","Fill=B",CONCATENATE("FX=", $B$672) )</f>
        <v>#N/A Connection</v>
      </c>
      <c r="BN1118" t="str">
        <f>""</f>
        <v/>
      </c>
      <c r="BO1118" t="str">
        <f>""</f>
        <v/>
      </c>
      <c r="BP1118" t="str">
        <f>""</f>
        <v/>
      </c>
      <c r="BQ1118" t="str">
        <f>""</f>
        <v/>
      </c>
      <c r="BR1118" t="str">
        <f>""</f>
        <v/>
      </c>
      <c r="BS1118" t="str">
        <f>""</f>
        <v/>
      </c>
      <c r="BT1118" t="str">
        <f>""</f>
        <v/>
      </c>
      <c r="BU1118" t="str">
        <f>""</f>
        <v/>
      </c>
      <c r="BV1118" t="str">
        <f>""</f>
        <v/>
      </c>
      <c r="BW1118" t="str">
        <f>""</f>
        <v/>
      </c>
      <c r="BX1118" t="str">
        <f>""</f>
        <v/>
      </c>
      <c r="BY1118" t="str">
        <f>""</f>
        <v/>
      </c>
      <c r="BZ1118" t="str">
        <f>""</f>
        <v/>
      </c>
      <c r="CA1118" t="str">
        <f>""</f>
        <v/>
      </c>
      <c r="CB1118" t="str">
        <f>""</f>
        <v/>
      </c>
      <c r="CC1118" t="str">
        <f>""</f>
        <v/>
      </c>
      <c r="CD1118" t="str">
        <f>""</f>
        <v/>
      </c>
      <c r="CE1118" t="str">
        <f>""</f>
        <v/>
      </c>
      <c r="CF1118" t="str">
        <f>""</f>
        <v/>
      </c>
      <c r="CG1118" t="str">
        <f>""</f>
        <v/>
      </c>
      <c r="CH1118" t="str">
        <f>""</f>
        <v/>
      </c>
      <c r="CI1118" t="str">
        <f>""</f>
        <v/>
      </c>
      <c r="CJ1118" t="str">
        <f>""</f>
        <v/>
      </c>
      <c r="CK1118" t="str">
        <f>""</f>
        <v/>
      </c>
      <c r="CL1118" t="str">
        <f>""</f>
        <v/>
      </c>
      <c r="CM1118" t="str">
        <f>""</f>
        <v/>
      </c>
      <c r="CN1118" t="str">
        <f>""</f>
        <v/>
      </c>
      <c r="CO1118" t="str">
        <f>""</f>
        <v/>
      </c>
      <c r="CP1118" t="str">
        <f>""</f>
        <v/>
      </c>
      <c r="CQ1118" t="str">
        <f>""</f>
        <v/>
      </c>
      <c r="CR1118" t="str">
        <f>""</f>
        <v/>
      </c>
      <c r="CS1118" t="str">
        <f>""</f>
        <v/>
      </c>
      <c r="CT1118" t="str">
        <f>""</f>
        <v/>
      </c>
      <c r="CU1118" t="str">
        <f>""</f>
        <v/>
      </c>
      <c r="CV1118" t="str">
        <f>""</f>
        <v/>
      </c>
      <c r="CW1118" t="str">
        <f>""</f>
        <v/>
      </c>
      <c r="CX1118" t="str">
        <f>""</f>
        <v/>
      </c>
      <c r="CY1118" t="str">
        <f>""</f>
        <v/>
      </c>
      <c r="CZ1118" t="str">
        <f>""</f>
        <v/>
      </c>
      <c r="DA1118" t="str">
        <f>""</f>
        <v/>
      </c>
      <c r="DB1118" t="str">
        <f>""</f>
        <v/>
      </c>
      <c r="DC1118" t="str">
        <f>""</f>
        <v/>
      </c>
      <c r="DD1118" t="str">
        <f>""</f>
        <v/>
      </c>
      <c r="DE1118" t="str">
        <f>""</f>
        <v/>
      </c>
      <c r="DF1118" t="str">
        <f>""</f>
        <v/>
      </c>
      <c r="DG1118" t="str">
        <f>""</f>
        <v/>
      </c>
      <c r="DH1118" t="str">
        <f>""</f>
        <v/>
      </c>
      <c r="DI1118" t="str">
        <f>""</f>
        <v/>
      </c>
      <c r="DJ1118" t="str">
        <f>""</f>
        <v/>
      </c>
      <c r="DK1118" t="str">
        <f>""</f>
        <v/>
      </c>
      <c r="DL1118" t="str">
        <f>""</f>
        <v/>
      </c>
      <c r="DM1118" t="str">
        <f>""</f>
        <v/>
      </c>
      <c r="DN1118" t="str">
        <f>""</f>
        <v/>
      </c>
      <c r="DO1118" t="str">
        <f>""</f>
        <v/>
      </c>
      <c r="DP1118" t="str">
        <f>""</f>
        <v/>
      </c>
      <c r="DQ1118" t="str">
        <f>""</f>
        <v/>
      </c>
      <c r="DR1118" t="str">
        <f>""</f>
        <v/>
      </c>
      <c r="DS1118" t="str">
        <f>""</f>
        <v/>
      </c>
      <c r="DT1118" t="str">
        <f>""</f>
        <v/>
      </c>
      <c r="DU1118" t="str">
        <f>""</f>
        <v/>
      </c>
    </row>
    <row r="1119" spans="1:125" x14ac:dyDescent="0.25">
      <c r="A1119" t="str">
        <f>$A$457</f>
        <v xml:space="preserve">    AUDI AG</v>
      </c>
      <c r="B1119" t="str">
        <f>$B$457</f>
        <v>NSU GR Equity</v>
      </c>
      <c r="C1119" t="str">
        <f>$C$457</f>
        <v>RR476</v>
      </c>
      <c r="D1119" t="str">
        <f>$D$457</f>
        <v>EV_TO_T12M_NET_INCOME</v>
      </c>
      <c r="E1119" t="str">
        <f>$E$457</f>
        <v>Dynamic</v>
      </c>
      <c r="F1119" t="str">
        <f ca="1">_xll.BDH($B$457,$C$457,$B$675,$B$676,CONCATENATE("Per=",$B$673),"Dts=H","Dir=H",CONCATENATE("Points=",$B$674),"Sort=R","Days=A","Fill=B",CONCATENATE("FX=", $B$672) )</f>
        <v>#N/A Connection</v>
      </c>
      <c r="BN1119" t="str">
        <f>""</f>
        <v/>
      </c>
      <c r="BO1119" t="str">
        <f>""</f>
        <v/>
      </c>
      <c r="BP1119" t="str">
        <f>""</f>
        <v/>
      </c>
      <c r="BQ1119" t="str">
        <f>""</f>
        <v/>
      </c>
      <c r="BR1119" t="str">
        <f>""</f>
        <v/>
      </c>
      <c r="BS1119" t="str">
        <f>""</f>
        <v/>
      </c>
      <c r="BT1119" t="str">
        <f>""</f>
        <v/>
      </c>
      <c r="BU1119" t="str">
        <f>""</f>
        <v/>
      </c>
      <c r="BV1119" t="str">
        <f>""</f>
        <v/>
      </c>
      <c r="BW1119" t="str">
        <f>""</f>
        <v/>
      </c>
      <c r="BX1119" t="str">
        <f>""</f>
        <v/>
      </c>
      <c r="BY1119" t="str">
        <f>""</f>
        <v/>
      </c>
      <c r="BZ1119" t="str">
        <f>""</f>
        <v/>
      </c>
      <c r="CA1119" t="str">
        <f>""</f>
        <v/>
      </c>
      <c r="CB1119" t="str">
        <f>""</f>
        <v/>
      </c>
      <c r="CC1119" t="str">
        <f>""</f>
        <v/>
      </c>
      <c r="CD1119" t="str">
        <f>""</f>
        <v/>
      </c>
      <c r="CE1119" t="str">
        <f>""</f>
        <v/>
      </c>
      <c r="CF1119" t="str">
        <f>""</f>
        <v/>
      </c>
      <c r="CG1119" t="str">
        <f>""</f>
        <v/>
      </c>
      <c r="CH1119" t="str">
        <f>""</f>
        <v/>
      </c>
      <c r="CI1119" t="str">
        <f>""</f>
        <v/>
      </c>
      <c r="CJ1119" t="str">
        <f>""</f>
        <v/>
      </c>
      <c r="CK1119" t="str">
        <f>""</f>
        <v/>
      </c>
      <c r="CL1119" t="str">
        <f>""</f>
        <v/>
      </c>
      <c r="CM1119" t="str">
        <f>""</f>
        <v/>
      </c>
      <c r="CN1119" t="str">
        <f>""</f>
        <v/>
      </c>
      <c r="CO1119" t="str">
        <f>""</f>
        <v/>
      </c>
      <c r="CP1119" t="str">
        <f>""</f>
        <v/>
      </c>
      <c r="CQ1119" t="str">
        <f>""</f>
        <v/>
      </c>
      <c r="CR1119" t="str">
        <f>""</f>
        <v/>
      </c>
      <c r="CS1119" t="str">
        <f>""</f>
        <v/>
      </c>
      <c r="CT1119" t="str">
        <f>""</f>
        <v/>
      </c>
      <c r="CU1119" t="str">
        <f>""</f>
        <v/>
      </c>
      <c r="CV1119" t="str">
        <f>""</f>
        <v/>
      </c>
      <c r="CW1119" t="str">
        <f>""</f>
        <v/>
      </c>
      <c r="CX1119" t="str">
        <f>""</f>
        <v/>
      </c>
      <c r="CY1119" t="str">
        <f>""</f>
        <v/>
      </c>
      <c r="CZ1119" t="str">
        <f>""</f>
        <v/>
      </c>
      <c r="DA1119" t="str">
        <f>""</f>
        <v/>
      </c>
      <c r="DB1119" t="str">
        <f>""</f>
        <v/>
      </c>
      <c r="DC1119" t="str">
        <f>""</f>
        <v/>
      </c>
      <c r="DD1119" t="str">
        <f>""</f>
        <v/>
      </c>
      <c r="DE1119" t="str">
        <f>""</f>
        <v/>
      </c>
      <c r="DF1119" t="str">
        <f>""</f>
        <v/>
      </c>
      <c r="DG1119" t="str">
        <f>""</f>
        <v/>
      </c>
      <c r="DH1119" t="str">
        <f>""</f>
        <v/>
      </c>
      <c r="DI1119" t="str">
        <f>""</f>
        <v/>
      </c>
      <c r="DJ1119" t="str">
        <f>""</f>
        <v/>
      </c>
      <c r="DK1119" t="str">
        <f>""</f>
        <v/>
      </c>
      <c r="DL1119" t="str">
        <f>""</f>
        <v/>
      </c>
      <c r="DM1119" t="str">
        <f>""</f>
        <v/>
      </c>
      <c r="DN1119" t="str">
        <f>""</f>
        <v/>
      </c>
      <c r="DO1119" t="str">
        <f>""</f>
        <v/>
      </c>
      <c r="DP1119" t="str">
        <f>""</f>
        <v/>
      </c>
      <c r="DQ1119" t="str">
        <f>""</f>
        <v/>
      </c>
      <c r="DR1119" t="str">
        <f>""</f>
        <v/>
      </c>
      <c r="DS1119" t="str">
        <f>""</f>
        <v/>
      </c>
      <c r="DT1119" t="str">
        <f>""</f>
        <v/>
      </c>
      <c r="DU1119" t="str">
        <f>""</f>
        <v/>
      </c>
    </row>
    <row r="1120" spans="1:125" x14ac:dyDescent="0.25">
      <c r="A1120" t="str">
        <f>$A$458</f>
        <v xml:space="preserve">    Avtovaz PJSC</v>
      </c>
      <c r="B1120" t="str">
        <f>$B$458</f>
        <v>AVAZ RM Equity</v>
      </c>
      <c r="C1120" t="str">
        <f>$C$458</f>
        <v>RR476</v>
      </c>
      <c r="D1120" t="str">
        <f>$D$458</f>
        <v>EV_TO_T12M_NET_INCOME</v>
      </c>
      <c r="E1120" t="str">
        <f>$E$458</f>
        <v>Dynamic</v>
      </c>
      <c r="F1120" t="str">
        <f ca="1">_xll.BDH($B$458,$C$458,$B$675,$B$676,CONCATENATE("Per=",$B$673),"Dts=H","Dir=H",CONCATENATE("Points=",$B$674),"Sort=R","Days=A","Fill=B",CONCATENATE("FX=", $B$672) )</f>
        <v>#N/A Connection</v>
      </c>
      <c r="BN1120" t="str">
        <f>""</f>
        <v/>
      </c>
      <c r="BO1120" t="str">
        <f>""</f>
        <v/>
      </c>
      <c r="BP1120" t="str">
        <f>""</f>
        <v/>
      </c>
      <c r="BQ1120" t="str">
        <f>""</f>
        <v/>
      </c>
      <c r="BR1120" t="str">
        <f>""</f>
        <v/>
      </c>
      <c r="BS1120" t="str">
        <f>""</f>
        <v/>
      </c>
      <c r="BT1120" t="str">
        <f>""</f>
        <v/>
      </c>
      <c r="BU1120" t="str">
        <f>""</f>
        <v/>
      </c>
      <c r="BV1120" t="str">
        <f>""</f>
        <v/>
      </c>
      <c r="BW1120" t="str">
        <f>""</f>
        <v/>
      </c>
      <c r="BX1120" t="str">
        <f>""</f>
        <v/>
      </c>
      <c r="BY1120" t="str">
        <f>""</f>
        <v/>
      </c>
      <c r="BZ1120" t="str">
        <f>""</f>
        <v/>
      </c>
      <c r="CA1120" t="str">
        <f>""</f>
        <v/>
      </c>
      <c r="CB1120" t="str">
        <f>""</f>
        <v/>
      </c>
      <c r="CC1120" t="str">
        <f>""</f>
        <v/>
      </c>
      <c r="CD1120" t="str">
        <f>""</f>
        <v/>
      </c>
      <c r="CE1120" t="str">
        <f>""</f>
        <v/>
      </c>
      <c r="CF1120" t="str">
        <f>""</f>
        <v/>
      </c>
      <c r="CG1120" t="str">
        <f>""</f>
        <v/>
      </c>
      <c r="CH1120" t="str">
        <f>""</f>
        <v/>
      </c>
      <c r="CI1120" t="str">
        <f>""</f>
        <v/>
      </c>
      <c r="CJ1120" t="str">
        <f>""</f>
        <v/>
      </c>
      <c r="CK1120" t="str">
        <f>""</f>
        <v/>
      </c>
      <c r="CL1120" t="str">
        <f>""</f>
        <v/>
      </c>
      <c r="CM1120" t="str">
        <f>""</f>
        <v/>
      </c>
      <c r="CN1120" t="str">
        <f>""</f>
        <v/>
      </c>
      <c r="CO1120" t="str">
        <f>""</f>
        <v/>
      </c>
      <c r="CP1120" t="str">
        <f>""</f>
        <v/>
      </c>
      <c r="CQ1120" t="str">
        <f>""</f>
        <v/>
      </c>
      <c r="CR1120" t="str">
        <f>""</f>
        <v/>
      </c>
      <c r="CS1120" t="str">
        <f>""</f>
        <v/>
      </c>
      <c r="CT1120" t="str">
        <f>""</f>
        <v/>
      </c>
      <c r="CU1120" t="str">
        <f>""</f>
        <v/>
      </c>
      <c r="CV1120" t="str">
        <f>""</f>
        <v/>
      </c>
      <c r="CW1120" t="str">
        <f>""</f>
        <v/>
      </c>
      <c r="CX1120" t="str">
        <f>""</f>
        <v/>
      </c>
      <c r="CY1120" t="str">
        <f>""</f>
        <v/>
      </c>
      <c r="CZ1120" t="str">
        <f>""</f>
        <v/>
      </c>
      <c r="DA1120" t="str">
        <f>""</f>
        <v/>
      </c>
      <c r="DB1120" t="str">
        <f>""</f>
        <v/>
      </c>
      <c r="DC1120" t="str">
        <f>""</f>
        <v/>
      </c>
      <c r="DD1120" t="str">
        <f>""</f>
        <v/>
      </c>
      <c r="DE1120" t="str">
        <f>""</f>
        <v/>
      </c>
      <c r="DF1120" t="str">
        <f>""</f>
        <v/>
      </c>
      <c r="DG1120" t="str">
        <f>""</f>
        <v/>
      </c>
      <c r="DH1120" t="str">
        <f>""</f>
        <v/>
      </c>
      <c r="DI1120" t="str">
        <f>""</f>
        <v/>
      </c>
      <c r="DJ1120" t="str">
        <f>""</f>
        <v/>
      </c>
      <c r="DK1120" t="str">
        <f>""</f>
        <v/>
      </c>
      <c r="DL1120" t="str">
        <f>""</f>
        <v/>
      </c>
      <c r="DM1120" t="str">
        <f>""</f>
        <v/>
      </c>
      <c r="DN1120" t="str">
        <f>""</f>
        <v/>
      </c>
      <c r="DO1120" t="str">
        <f>""</f>
        <v/>
      </c>
      <c r="DP1120" t="str">
        <f>""</f>
        <v/>
      </c>
      <c r="DQ1120" t="str">
        <f>""</f>
        <v/>
      </c>
      <c r="DR1120" t="str">
        <f>""</f>
        <v/>
      </c>
      <c r="DS1120" t="str">
        <f>""</f>
        <v/>
      </c>
      <c r="DT1120" t="str">
        <f>""</f>
        <v/>
      </c>
      <c r="DU1120" t="str">
        <f>""</f>
        <v/>
      </c>
    </row>
    <row r="1121" spans="1:125" x14ac:dyDescent="0.25">
      <c r="A1121" t="str">
        <f>$A$459</f>
        <v xml:space="preserve">    Bayerische Motoren Werke AG</v>
      </c>
      <c r="B1121" t="str">
        <f>$B$459</f>
        <v>BMW GR Equity</v>
      </c>
      <c r="C1121" t="str">
        <f>$C$459</f>
        <v>RR476</v>
      </c>
      <c r="D1121" t="str">
        <f>$D$459</f>
        <v>EV_TO_T12M_NET_INCOME</v>
      </c>
      <c r="E1121" t="str">
        <f>$E$459</f>
        <v>Dynamic</v>
      </c>
      <c r="F1121" t="str">
        <f ca="1">_xll.BDH($B$459,$C$459,$B$675,$B$676,CONCATENATE("Per=",$B$673),"Dts=H","Dir=H",CONCATENATE("Points=",$B$674),"Sort=R","Days=A","Fill=B",CONCATENATE("FX=", $B$672) )</f>
        <v>#N/A Connection</v>
      </c>
      <c r="BN1121" t="str">
        <f>""</f>
        <v/>
      </c>
      <c r="BO1121" t="str">
        <f>""</f>
        <v/>
      </c>
      <c r="BP1121" t="str">
        <f>""</f>
        <v/>
      </c>
      <c r="BQ1121" t="str">
        <f>""</f>
        <v/>
      </c>
      <c r="BR1121" t="str">
        <f>""</f>
        <v/>
      </c>
      <c r="BS1121" t="str">
        <f>""</f>
        <v/>
      </c>
      <c r="BT1121" t="str">
        <f>""</f>
        <v/>
      </c>
      <c r="BU1121" t="str">
        <f>""</f>
        <v/>
      </c>
      <c r="BV1121" t="str">
        <f>""</f>
        <v/>
      </c>
      <c r="BW1121" t="str">
        <f>""</f>
        <v/>
      </c>
      <c r="BX1121" t="str">
        <f>""</f>
        <v/>
      </c>
      <c r="BY1121" t="str">
        <f>""</f>
        <v/>
      </c>
      <c r="BZ1121" t="str">
        <f>""</f>
        <v/>
      </c>
      <c r="CA1121" t="str">
        <f>""</f>
        <v/>
      </c>
      <c r="CB1121" t="str">
        <f>""</f>
        <v/>
      </c>
      <c r="CC1121" t="str">
        <f>""</f>
        <v/>
      </c>
      <c r="CD1121" t="str">
        <f>""</f>
        <v/>
      </c>
      <c r="CE1121" t="str">
        <f>""</f>
        <v/>
      </c>
      <c r="CF1121" t="str">
        <f>""</f>
        <v/>
      </c>
      <c r="CG1121" t="str">
        <f>""</f>
        <v/>
      </c>
      <c r="CH1121" t="str">
        <f>""</f>
        <v/>
      </c>
      <c r="CI1121" t="str">
        <f>""</f>
        <v/>
      </c>
      <c r="CJ1121" t="str">
        <f>""</f>
        <v/>
      </c>
      <c r="CK1121" t="str">
        <f>""</f>
        <v/>
      </c>
      <c r="CL1121" t="str">
        <f>""</f>
        <v/>
      </c>
      <c r="CM1121" t="str">
        <f>""</f>
        <v/>
      </c>
      <c r="CN1121" t="str">
        <f>""</f>
        <v/>
      </c>
      <c r="CO1121" t="str">
        <f>""</f>
        <v/>
      </c>
      <c r="CP1121" t="str">
        <f>""</f>
        <v/>
      </c>
      <c r="CQ1121" t="str">
        <f>""</f>
        <v/>
      </c>
      <c r="CR1121" t="str">
        <f>""</f>
        <v/>
      </c>
      <c r="CS1121" t="str">
        <f>""</f>
        <v/>
      </c>
      <c r="CT1121" t="str">
        <f>""</f>
        <v/>
      </c>
      <c r="CU1121" t="str">
        <f>""</f>
        <v/>
      </c>
      <c r="CV1121" t="str">
        <f>""</f>
        <v/>
      </c>
      <c r="CW1121" t="str">
        <f>""</f>
        <v/>
      </c>
      <c r="CX1121" t="str">
        <f>""</f>
        <v/>
      </c>
      <c r="CY1121" t="str">
        <f>""</f>
        <v/>
      </c>
      <c r="CZ1121" t="str">
        <f>""</f>
        <v/>
      </c>
      <c r="DA1121" t="str">
        <f>""</f>
        <v/>
      </c>
      <c r="DB1121" t="str">
        <f>""</f>
        <v/>
      </c>
      <c r="DC1121" t="str">
        <f>""</f>
        <v/>
      </c>
      <c r="DD1121" t="str">
        <f>""</f>
        <v/>
      </c>
      <c r="DE1121" t="str">
        <f>""</f>
        <v/>
      </c>
      <c r="DF1121" t="str">
        <f>""</f>
        <v/>
      </c>
      <c r="DG1121" t="str">
        <f>""</f>
        <v/>
      </c>
      <c r="DH1121" t="str">
        <f>""</f>
        <v/>
      </c>
      <c r="DI1121" t="str">
        <f>""</f>
        <v/>
      </c>
      <c r="DJ1121" t="str">
        <f>""</f>
        <v/>
      </c>
      <c r="DK1121" t="str">
        <f>""</f>
        <v/>
      </c>
      <c r="DL1121" t="str">
        <f>""</f>
        <v/>
      </c>
      <c r="DM1121" t="str">
        <f>""</f>
        <v/>
      </c>
      <c r="DN1121" t="str">
        <f>""</f>
        <v/>
      </c>
      <c r="DO1121" t="str">
        <f>""</f>
        <v/>
      </c>
      <c r="DP1121" t="str">
        <f>""</f>
        <v/>
      </c>
      <c r="DQ1121" t="str">
        <f>""</f>
        <v/>
      </c>
      <c r="DR1121" t="str">
        <f>""</f>
        <v/>
      </c>
      <c r="DS1121" t="str">
        <f>""</f>
        <v/>
      </c>
      <c r="DT1121" t="str">
        <f>""</f>
        <v/>
      </c>
      <c r="DU1121" t="str">
        <f>""</f>
        <v/>
      </c>
    </row>
    <row r="1122" spans="1:125" x14ac:dyDescent="0.25">
      <c r="A1122" t="str">
        <f>$A$460</f>
        <v xml:space="preserve">    Brilliance China Automotive Holdings Ltd</v>
      </c>
      <c r="B1122" t="str">
        <f>$B$460</f>
        <v>1114 HK Equity</v>
      </c>
      <c r="C1122" t="str">
        <f>$C$460</f>
        <v>RR476</v>
      </c>
      <c r="D1122" t="str">
        <f>$D$460</f>
        <v>EV_TO_T12M_NET_INCOME</v>
      </c>
      <c r="E1122" t="str">
        <f>$E$460</f>
        <v>Dynamic</v>
      </c>
      <c r="F1122" t="str">
        <f ca="1">_xll.BDH($B$460,$C$460,$B$675,$B$676,CONCATENATE("Per=",$B$673),"Dts=H","Dir=H",CONCATENATE("Points=",$B$674),"Sort=R","Days=A","Fill=B",CONCATENATE("FX=", $B$672) )</f>
        <v>#N/A Connection</v>
      </c>
      <c r="BN1122" t="str">
        <f>""</f>
        <v/>
      </c>
      <c r="BO1122" t="str">
        <f>""</f>
        <v/>
      </c>
      <c r="BP1122" t="str">
        <f>""</f>
        <v/>
      </c>
      <c r="BQ1122" t="str">
        <f>""</f>
        <v/>
      </c>
      <c r="BR1122" t="str">
        <f>""</f>
        <v/>
      </c>
      <c r="BS1122" t="str">
        <f>""</f>
        <v/>
      </c>
      <c r="BT1122" t="str">
        <f>""</f>
        <v/>
      </c>
      <c r="BU1122" t="str">
        <f>""</f>
        <v/>
      </c>
      <c r="BV1122" t="str">
        <f>""</f>
        <v/>
      </c>
      <c r="BW1122" t="str">
        <f>""</f>
        <v/>
      </c>
      <c r="BX1122" t="str">
        <f>""</f>
        <v/>
      </c>
      <c r="BY1122" t="str">
        <f>""</f>
        <v/>
      </c>
      <c r="BZ1122" t="str">
        <f>""</f>
        <v/>
      </c>
      <c r="CA1122" t="str">
        <f>""</f>
        <v/>
      </c>
      <c r="CB1122" t="str">
        <f>""</f>
        <v/>
      </c>
      <c r="CC1122" t="str">
        <f>""</f>
        <v/>
      </c>
      <c r="CD1122" t="str">
        <f>""</f>
        <v/>
      </c>
      <c r="CE1122" t="str">
        <f>""</f>
        <v/>
      </c>
      <c r="CF1122" t="str">
        <f>""</f>
        <v/>
      </c>
      <c r="CG1122" t="str">
        <f>""</f>
        <v/>
      </c>
      <c r="CH1122" t="str">
        <f>""</f>
        <v/>
      </c>
      <c r="CI1122" t="str">
        <f>""</f>
        <v/>
      </c>
      <c r="CJ1122" t="str">
        <f>""</f>
        <v/>
      </c>
      <c r="CK1122" t="str">
        <f>""</f>
        <v/>
      </c>
      <c r="CL1122" t="str">
        <f>""</f>
        <v/>
      </c>
      <c r="CM1122" t="str">
        <f>""</f>
        <v/>
      </c>
      <c r="CN1122" t="str">
        <f>""</f>
        <v/>
      </c>
      <c r="CO1122" t="str">
        <f>""</f>
        <v/>
      </c>
      <c r="CP1122" t="str">
        <f>""</f>
        <v/>
      </c>
      <c r="CQ1122" t="str">
        <f>""</f>
        <v/>
      </c>
      <c r="CR1122" t="str">
        <f>""</f>
        <v/>
      </c>
      <c r="CS1122" t="str">
        <f>""</f>
        <v/>
      </c>
      <c r="CT1122" t="str">
        <f>""</f>
        <v/>
      </c>
      <c r="CU1122" t="str">
        <f>""</f>
        <v/>
      </c>
      <c r="CV1122" t="str">
        <f>""</f>
        <v/>
      </c>
      <c r="CW1122" t="str">
        <f>""</f>
        <v/>
      </c>
      <c r="CX1122" t="str">
        <f>""</f>
        <v/>
      </c>
      <c r="CY1122" t="str">
        <f>""</f>
        <v/>
      </c>
      <c r="CZ1122" t="str">
        <f>""</f>
        <v/>
      </c>
      <c r="DA1122" t="str">
        <f>""</f>
        <v/>
      </c>
      <c r="DB1122" t="str">
        <f>""</f>
        <v/>
      </c>
      <c r="DC1122" t="str">
        <f>""</f>
        <v/>
      </c>
      <c r="DD1122" t="str">
        <f>""</f>
        <v/>
      </c>
      <c r="DE1122" t="str">
        <f>""</f>
        <v/>
      </c>
      <c r="DF1122" t="str">
        <f>""</f>
        <v/>
      </c>
      <c r="DG1122" t="str">
        <f>""</f>
        <v/>
      </c>
      <c r="DH1122" t="str">
        <f>""</f>
        <v/>
      </c>
      <c r="DI1122" t="str">
        <f>""</f>
        <v/>
      </c>
      <c r="DJ1122" t="str">
        <f>""</f>
        <v/>
      </c>
      <c r="DK1122" t="str">
        <f>""</f>
        <v/>
      </c>
      <c r="DL1122" t="str">
        <f>""</f>
        <v/>
      </c>
      <c r="DM1122" t="str">
        <f>""</f>
        <v/>
      </c>
      <c r="DN1122" t="str">
        <f>""</f>
        <v/>
      </c>
      <c r="DO1122" t="str">
        <f>""</f>
        <v/>
      </c>
      <c r="DP1122" t="str">
        <f>""</f>
        <v/>
      </c>
      <c r="DQ1122" t="str">
        <f>""</f>
        <v/>
      </c>
      <c r="DR1122" t="str">
        <f>""</f>
        <v/>
      </c>
      <c r="DS1122" t="str">
        <f>""</f>
        <v/>
      </c>
      <c r="DT1122" t="str">
        <f>""</f>
        <v/>
      </c>
      <c r="DU1122" t="str">
        <f>""</f>
        <v/>
      </c>
    </row>
    <row r="1123" spans="1:125" x14ac:dyDescent="0.25">
      <c r="A1123" t="str">
        <f>$A$461</f>
        <v xml:space="preserve">    BYD Co Ltd</v>
      </c>
      <c r="B1123" t="str">
        <f>$B$461</f>
        <v>1211 HK Equity</v>
      </c>
      <c r="C1123" t="str">
        <f>$C$461</f>
        <v>RR476</v>
      </c>
      <c r="D1123" t="str">
        <f>$D$461</f>
        <v>EV_TO_T12M_NET_INCOME</v>
      </c>
      <c r="E1123" t="str">
        <f>$E$461</f>
        <v>Dynamic</v>
      </c>
      <c r="F1123" t="str">
        <f ca="1">_xll.BDH($B$461,$C$461,$B$675,$B$676,CONCATENATE("Per=",$B$673),"Dts=H","Dir=H",CONCATENATE("Points=",$B$674),"Sort=R","Days=A","Fill=B",CONCATENATE("FX=", $B$672) )</f>
        <v>#N/A Connection</v>
      </c>
      <c r="BN1123" t="str">
        <f>""</f>
        <v/>
      </c>
      <c r="BO1123" t="str">
        <f>""</f>
        <v/>
      </c>
      <c r="BP1123" t="str">
        <f>""</f>
        <v/>
      </c>
      <c r="BQ1123" t="str">
        <f>""</f>
        <v/>
      </c>
      <c r="BR1123" t="str">
        <f>""</f>
        <v/>
      </c>
      <c r="BS1123" t="str">
        <f>""</f>
        <v/>
      </c>
      <c r="BT1123" t="str">
        <f>""</f>
        <v/>
      </c>
      <c r="BU1123" t="str">
        <f>""</f>
        <v/>
      </c>
      <c r="BV1123" t="str">
        <f>""</f>
        <v/>
      </c>
      <c r="BW1123" t="str">
        <f>""</f>
        <v/>
      </c>
      <c r="BX1123" t="str">
        <f>""</f>
        <v/>
      </c>
      <c r="BY1123" t="str">
        <f>""</f>
        <v/>
      </c>
      <c r="BZ1123" t="str">
        <f>""</f>
        <v/>
      </c>
      <c r="CA1123" t="str">
        <f>""</f>
        <v/>
      </c>
      <c r="CB1123" t="str">
        <f>""</f>
        <v/>
      </c>
      <c r="CC1123" t="str">
        <f>""</f>
        <v/>
      </c>
      <c r="CD1123" t="str">
        <f>""</f>
        <v/>
      </c>
      <c r="CE1123" t="str">
        <f>""</f>
        <v/>
      </c>
      <c r="CF1123" t="str">
        <f>""</f>
        <v/>
      </c>
      <c r="CG1123" t="str">
        <f>""</f>
        <v/>
      </c>
      <c r="CH1123" t="str">
        <f>""</f>
        <v/>
      </c>
      <c r="CI1123" t="str">
        <f>""</f>
        <v/>
      </c>
      <c r="CJ1123" t="str">
        <f>""</f>
        <v/>
      </c>
      <c r="CK1123" t="str">
        <f>""</f>
        <v/>
      </c>
      <c r="CL1123" t="str">
        <f>""</f>
        <v/>
      </c>
      <c r="CM1123" t="str">
        <f>""</f>
        <v/>
      </c>
      <c r="CN1123" t="str">
        <f>""</f>
        <v/>
      </c>
      <c r="CO1123" t="str">
        <f>""</f>
        <v/>
      </c>
      <c r="CP1123" t="str">
        <f>""</f>
        <v/>
      </c>
      <c r="CQ1123" t="str">
        <f>""</f>
        <v/>
      </c>
      <c r="CR1123" t="str">
        <f>""</f>
        <v/>
      </c>
      <c r="CS1123" t="str">
        <f>""</f>
        <v/>
      </c>
      <c r="CT1123" t="str">
        <f>""</f>
        <v/>
      </c>
      <c r="CU1123" t="str">
        <f>""</f>
        <v/>
      </c>
      <c r="CV1123" t="str">
        <f>""</f>
        <v/>
      </c>
      <c r="CW1123" t="str">
        <f>""</f>
        <v/>
      </c>
      <c r="CX1123" t="str">
        <f>""</f>
        <v/>
      </c>
      <c r="CY1123" t="str">
        <f>""</f>
        <v/>
      </c>
      <c r="CZ1123" t="str">
        <f>""</f>
        <v/>
      </c>
      <c r="DA1123" t="str">
        <f>""</f>
        <v/>
      </c>
      <c r="DB1123" t="str">
        <f>""</f>
        <v/>
      </c>
      <c r="DC1123" t="str">
        <f>""</f>
        <v/>
      </c>
      <c r="DD1123" t="str">
        <f>""</f>
        <v/>
      </c>
      <c r="DE1123" t="str">
        <f>""</f>
        <v/>
      </c>
      <c r="DF1123" t="str">
        <f>""</f>
        <v/>
      </c>
      <c r="DG1123" t="str">
        <f>""</f>
        <v/>
      </c>
      <c r="DH1123" t="str">
        <f>""</f>
        <v/>
      </c>
      <c r="DI1123" t="str">
        <f>""</f>
        <v/>
      </c>
      <c r="DJ1123" t="str">
        <f>""</f>
        <v/>
      </c>
      <c r="DK1123" t="str">
        <f>""</f>
        <v/>
      </c>
      <c r="DL1123" t="str">
        <f>""</f>
        <v/>
      </c>
      <c r="DM1123" t="str">
        <f>""</f>
        <v/>
      </c>
      <c r="DN1123" t="str">
        <f>""</f>
        <v/>
      </c>
      <c r="DO1123" t="str">
        <f>""</f>
        <v/>
      </c>
      <c r="DP1123" t="str">
        <f>""</f>
        <v/>
      </c>
      <c r="DQ1123" t="str">
        <f>""</f>
        <v/>
      </c>
      <c r="DR1123" t="str">
        <f>""</f>
        <v/>
      </c>
      <c r="DS1123" t="str">
        <f>""</f>
        <v/>
      </c>
      <c r="DT1123" t="str">
        <f>""</f>
        <v/>
      </c>
      <c r="DU1123" t="str">
        <f>""</f>
        <v/>
      </c>
    </row>
    <row r="1124" spans="1:125" x14ac:dyDescent="0.25">
      <c r="A1124" t="str">
        <f>$A$462</f>
        <v xml:space="preserve">    Chongqing Changan Automobile Co Ltd</v>
      </c>
      <c r="B1124" t="str">
        <f>$B$462</f>
        <v>200625 CH Equity</v>
      </c>
      <c r="C1124" t="str">
        <f>$C$462</f>
        <v>RR476</v>
      </c>
      <c r="D1124" t="str">
        <f>$D$462</f>
        <v>EV_TO_T12M_NET_INCOME</v>
      </c>
      <c r="E1124" t="str">
        <f>$E$462</f>
        <v>Dynamic</v>
      </c>
      <c r="F1124" t="str">
        <f ca="1">_xll.BDH($B$462,$C$462,$B$675,$B$676,CONCATENATE("Per=",$B$673),"Dts=H","Dir=H",CONCATENATE("Points=",$B$674),"Sort=R","Days=A","Fill=B",CONCATENATE("FX=", $B$672) )</f>
        <v>#N/A Connection</v>
      </c>
      <c r="BN1124" t="str">
        <f>""</f>
        <v/>
      </c>
      <c r="BO1124" t="str">
        <f>""</f>
        <v/>
      </c>
      <c r="BP1124" t="str">
        <f>""</f>
        <v/>
      </c>
      <c r="BQ1124" t="str">
        <f>""</f>
        <v/>
      </c>
      <c r="BR1124" t="str">
        <f>""</f>
        <v/>
      </c>
      <c r="BS1124" t="str">
        <f>""</f>
        <v/>
      </c>
      <c r="BT1124" t="str">
        <f>""</f>
        <v/>
      </c>
      <c r="BU1124" t="str">
        <f>""</f>
        <v/>
      </c>
      <c r="BV1124" t="str">
        <f>""</f>
        <v/>
      </c>
      <c r="BW1124" t="str">
        <f>""</f>
        <v/>
      </c>
      <c r="BX1124" t="str">
        <f>""</f>
        <v/>
      </c>
      <c r="BY1124" t="str">
        <f>""</f>
        <v/>
      </c>
      <c r="BZ1124" t="str">
        <f>""</f>
        <v/>
      </c>
      <c r="CA1124" t="str">
        <f>""</f>
        <v/>
      </c>
      <c r="CB1124" t="str">
        <f>""</f>
        <v/>
      </c>
      <c r="CC1124" t="str">
        <f>""</f>
        <v/>
      </c>
      <c r="CD1124" t="str">
        <f>""</f>
        <v/>
      </c>
      <c r="CE1124" t="str">
        <f>""</f>
        <v/>
      </c>
      <c r="CF1124" t="str">
        <f>""</f>
        <v/>
      </c>
      <c r="CG1124" t="str">
        <f>""</f>
        <v/>
      </c>
      <c r="CH1124" t="str">
        <f>""</f>
        <v/>
      </c>
      <c r="CI1124" t="str">
        <f>""</f>
        <v/>
      </c>
      <c r="CJ1124" t="str">
        <f>""</f>
        <v/>
      </c>
      <c r="CK1124" t="str">
        <f>""</f>
        <v/>
      </c>
      <c r="CL1124" t="str">
        <f>""</f>
        <v/>
      </c>
      <c r="CM1124" t="str">
        <f>""</f>
        <v/>
      </c>
      <c r="CN1124" t="str">
        <f>""</f>
        <v/>
      </c>
      <c r="CO1124" t="str">
        <f>""</f>
        <v/>
      </c>
      <c r="CP1124" t="str">
        <f>""</f>
        <v/>
      </c>
      <c r="CQ1124" t="str">
        <f>""</f>
        <v/>
      </c>
      <c r="CR1124" t="str">
        <f>""</f>
        <v/>
      </c>
      <c r="CS1124" t="str">
        <f>""</f>
        <v/>
      </c>
      <c r="CT1124" t="str">
        <f>""</f>
        <v/>
      </c>
      <c r="CU1124" t="str">
        <f>""</f>
        <v/>
      </c>
      <c r="CV1124" t="str">
        <f>""</f>
        <v/>
      </c>
      <c r="CW1124" t="str">
        <f>""</f>
        <v/>
      </c>
      <c r="CX1124" t="str">
        <f>""</f>
        <v/>
      </c>
      <c r="CY1124" t="str">
        <f>""</f>
        <v/>
      </c>
      <c r="CZ1124" t="str">
        <f>""</f>
        <v/>
      </c>
      <c r="DA1124" t="str">
        <f>""</f>
        <v/>
      </c>
      <c r="DB1124" t="str">
        <f>""</f>
        <v/>
      </c>
      <c r="DC1124" t="str">
        <f>""</f>
        <v/>
      </c>
      <c r="DD1124" t="str">
        <f>""</f>
        <v/>
      </c>
      <c r="DE1124" t="str">
        <f>""</f>
        <v/>
      </c>
      <c r="DF1124" t="str">
        <f>""</f>
        <v/>
      </c>
      <c r="DG1124" t="str">
        <f>""</f>
        <v/>
      </c>
      <c r="DH1124" t="str">
        <f>""</f>
        <v/>
      </c>
      <c r="DI1124" t="str">
        <f>""</f>
        <v/>
      </c>
      <c r="DJ1124" t="str">
        <f>""</f>
        <v/>
      </c>
      <c r="DK1124" t="str">
        <f>""</f>
        <v/>
      </c>
      <c r="DL1124" t="str">
        <f>""</f>
        <v/>
      </c>
      <c r="DM1124" t="str">
        <f>""</f>
        <v/>
      </c>
      <c r="DN1124" t="str">
        <f>""</f>
        <v/>
      </c>
      <c r="DO1124" t="str">
        <f>""</f>
        <v/>
      </c>
      <c r="DP1124" t="str">
        <f>""</f>
        <v/>
      </c>
      <c r="DQ1124" t="str">
        <f>""</f>
        <v/>
      </c>
      <c r="DR1124" t="str">
        <f>""</f>
        <v/>
      </c>
      <c r="DS1124" t="str">
        <f>""</f>
        <v/>
      </c>
      <c r="DT1124" t="str">
        <f>""</f>
        <v/>
      </c>
      <c r="DU1124" t="str">
        <f>""</f>
        <v/>
      </c>
    </row>
    <row r="1125" spans="1:125" x14ac:dyDescent="0.25">
      <c r="A1125" t="str">
        <f>$A$463</f>
        <v xml:space="preserve">    Daihatsu Motor Co Ltd</v>
      </c>
      <c r="B1125" t="str">
        <f>$B$463</f>
        <v>7262 JP Equity</v>
      </c>
      <c r="C1125" t="str">
        <f>$C$463</f>
        <v>RR476</v>
      </c>
      <c r="D1125" t="str">
        <f>$D$463</f>
        <v>EV_TO_T12M_NET_INCOME</v>
      </c>
      <c r="E1125" t="str">
        <f>$E$463</f>
        <v>Dynamic</v>
      </c>
      <c r="F1125" t="str">
        <f ca="1">_xll.BDH($B$463,$C$463,$B$675,$B$676,CONCATENATE("Per=",$B$673),"Dts=H","Dir=H",CONCATENATE("Points=",$B$674),"Sort=R","Days=A","Fill=B",CONCATENATE("FX=", $B$672) )</f>
        <v>#N/A Connection</v>
      </c>
      <c r="BN1125" t="str">
        <f>""</f>
        <v/>
      </c>
      <c r="BO1125" t="str">
        <f>""</f>
        <v/>
      </c>
      <c r="BP1125" t="str">
        <f>""</f>
        <v/>
      </c>
      <c r="BQ1125" t="str">
        <f>""</f>
        <v/>
      </c>
      <c r="BR1125" t="str">
        <f>""</f>
        <v/>
      </c>
      <c r="BS1125" t="str">
        <f>""</f>
        <v/>
      </c>
      <c r="BT1125" t="str">
        <f>""</f>
        <v/>
      </c>
      <c r="BU1125" t="str">
        <f>""</f>
        <v/>
      </c>
      <c r="BV1125" t="str">
        <f>""</f>
        <v/>
      </c>
      <c r="BW1125" t="str">
        <f>""</f>
        <v/>
      </c>
      <c r="BX1125" t="str">
        <f>""</f>
        <v/>
      </c>
      <c r="BY1125" t="str">
        <f>""</f>
        <v/>
      </c>
      <c r="BZ1125" t="str">
        <f>""</f>
        <v/>
      </c>
      <c r="CA1125" t="str">
        <f>""</f>
        <v/>
      </c>
      <c r="CB1125" t="str">
        <f>""</f>
        <v/>
      </c>
      <c r="CC1125" t="str">
        <f>""</f>
        <v/>
      </c>
      <c r="CD1125" t="str">
        <f>""</f>
        <v/>
      </c>
      <c r="CE1125" t="str">
        <f>""</f>
        <v/>
      </c>
      <c r="CF1125" t="str">
        <f>""</f>
        <v/>
      </c>
      <c r="CG1125" t="str">
        <f>""</f>
        <v/>
      </c>
      <c r="CH1125" t="str">
        <f>""</f>
        <v/>
      </c>
      <c r="CI1125" t="str">
        <f>""</f>
        <v/>
      </c>
      <c r="CJ1125" t="str">
        <f>""</f>
        <v/>
      </c>
      <c r="CK1125" t="str">
        <f>""</f>
        <v/>
      </c>
      <c r="CL1125" t="str">
        <f>""</f>
        <v/>
      </c>
      <c r="CM1125" t="str">
        <f>""</f>
        <v/>
      </c>
      <c r="CN1125" t="str">
        <f>""</f>
        <v/>
      </c>
      <c r="CO1125" t="str">
        <f>""</f>
        <v/>
      </c>
      <c r="CP1125" t="str">
        <f>""</f>
        <v/>
      </c>
      <c r="CQ1125" t="str">
        <f>""</f>
        <v/>
      </c>
      <c r="CR1125" t="str">
        <f>""</f>
        <v/>
      </c>
      <c r="CS1125" t="str">
        <f>""</f>
        <v/>
      </c>
      <c r="CT1125" t="str">
        <f>""</f>
        <v/>
      </c>
      <c r="CU1125" t="str">
        <f>""</f>
        <v/>
      </c>
      <c r="CV1125" t="str">
        <f>""</f>
        <v/>
      </c>
      <c r="CW1125" t="str">
        <f>""</f>
        <v/>
      </c>
      <c r="CX1125" t="str">
        <f>""</f>
        <v/>
      </c>
      <c r="CY1125" t="str">
        <f>""</f>
        <v/>
      </c>
      <c r="CZ1125" t="str">
        <f>""</f>
        <v/>
      </c>
      <c r="DA1125" t="str">
        <f>""</f>
        <v/>
      </c>
      <c r="DB1125" t="str">
        <f>""</f>
        <v/>
      </c>
      <c r="DC1125" t="str">
        <f>""</f>
        <v/>
      </c>
      <c r="DD1125" t="str">
        <f>""</f>
        <v/>
      </c>
      <c r="DE1125" t="str">
        <f>""</f>
        <v/>
      </c>
      <c r="DF1125" t="str">
        <f>""</f>
        <v/>
      </c>
      <c r="DG1125" t="str">
        <f>""</f>
        <v/>
      </c>
      <c r="DH1125" t="str">
        <f>""</f>
        <v/>
      </c>
      <c r="DI1125" t="str">
        <f>""</f>
        <v/>
      </c>
      <c r="DJ1125" t="str">
        <f>""</f>
        <v/>
      </c>
      <c r="DK1125" t="str">
        <f>""</f>
        <v/>
      </c>
      <c r="DL1125" t="str">
        <f>""</f>
        <v/>
      </c>
      <c r="DM1125" t="str">
        <f>""</f>
        <v/>
      </c>
      <c r="DN1125" t="str">
        <f>""</f>
        <v/>
      </c>
      <c r="DO1125" t="str">
        <f>""</f>
        <v/>
      </c>
      <c r="DP1125" t="str">
        <f>""</f>
        <v/>
      </c>
      <c r="DQ1125" t="str">
        <f>""</f>
        <v/>
      </c>
      <c r="DR1125" t="str">
        <f>""</f>
        <v/>
      </c>
      <c r="DS1125" t="str">
        <f>""</f>
        <v/>
      </c>
      <c r="DT1125" t="str">
        <f>""</f>
        <v/>
      </c>
      <c r="DU1125" t="str">
        <f>""</f>
        <v/>
      </c>
    </row>
    <row r="1126" spans="1:125" x14ac:dyDescent="0.25">
      <c r="A1126" t="str">
        <f>$A$464</f>
        <v xml:space="preserve">    Daimler AG</v>
      </c>
      <c r="B1126" t="str">
        <f>$B$464</f>
        <v>DAI GR Equity</v>
      </c>
      <c r="C1126" t="str">
        <f>$C$464</f>
        <v>RR476</v>
      </c>
      <c r="D1126" t="str">
        <f>$D$464</f>
        <v>EV_TO_T12M_NET_INCOME</v>
      </c>
      <c r="E1126" t="str">
        <f>$E$464</f>
        <v>Dynamic</v>
      </c>
      <c r="F1126" t="str">
        <f ca="1">_xll.BDH($B$464,$C$464,$B$675,$B$676,CONCATENATE("Per=",$B$673),"Dts=H","Dir=H",CONCATENATE("Points=",$B$674),"Sort=R","Days=A","Fill=B",CONCATENATE("FX=", $B$672) )</f>
        <v>#N/A Connection</v>
      </c>
      <c r="BN1126" t="str">
        <f>""</f>
        <v/>
      </c>
      <c r="BO1126" t="str">
        <f>""</f>
        <v/>
      </c>
      <c r="BP1126" t="str">
        <f>""</f>
        <v/>
      </c>
      <c r="BQ1126" t="str">
        <f>""</f>
        <v/>
      </c>
      <c r="BR1126" t="str">
        <f>""</f>
        <v/>
      </c>
      <c r="BS1126" t="str">
        <f>""</f>
        <v/>
      </c>
      <c r="BT1126" t="str">
        <f>""</f>
        <v/>
      </c>
      <c r="BU1126" t="str">
        <f>""</f>
        <v/>
      </c>
      <c r="BV1126" t="str">
        <f>""</f>
        <v/>
      </c>
      <c r="BW1126" t="str">
        <f>""</f>
        <v/>
      </c>
      <c r="BX1126" t="str">
        <f>""</f>
        <v/>
      </c>
      <c r="BY1126" t="str">
        <f>""</f>
        <v/>
      </c>
      <c r="BZ1126" t="str">
        <f>""</f>
        <v/>
      </c>
      <c r="CA1126" t="str">
        <f>""</f>
        <v/>
      </c>
      <c r="CB1126" t="str">
        <f>""</f>
        <v/>
      </c>
      <c r="CC1126" t="str">
        <f>""</f>
        <v/>
      </c>
      <c r="CD1126" t="str">
        <f>""</f>
        <v/>
      </c>
      <c r="CE1126" t="str">
        <f>""</f>
        <v/>
      </c>
      <c r="CF1126" t="str">
        <f>""</f>
        <v/>
      </c>
      <c r="CG1126" t="str">
        <f>""</f>
        <v/>
      </c>
      <c r="CH1126" t="str">
        <f>""</f>
        <v/>
      </c>
      <c r="CI1126" t="str">
        <f>""</f>
        <v/>
      </c>
      <c r="CJ1126" t="str">
        <f>""</f>
        <v/>
      </c>
      <c r="CK1126" t="str">
        <f>""</f>
        <v/>
      </c>
      <c r="CL1126" t="str">
        <f>""</f>
        <v/>
      </c>
      <c r="CM1126" t="str">
        <f>""</f>
        <v/>
      </c>
      <c r="CN1126" t="str">
        <f>""</f>
        <v/>
      </c>
      <c r="CO1126" t="str">
        <f>""</f>
        <v/>
      </c>
      <c r="CP1126" t="str">
        <f>""</f>
        <v/>
      </c>
      <c r="CQ1126" t="str">
        <f>""</f>
        <v/>
      </c>
      <c r="CR1126" t="str">
        <f>""</f>
        <v/>
      </c>
      <c r="CS1126" t="str">
        <f>""</f>
        <v/>
      </c>
      <c r="CT1126" t="str">
        <f>""</f>
        <v/>
      </c>
      <c r="CU1126" t="str">
        <f>""</f>
        <v/>
      </c>
      <c r="CV1126" t="str">
        <f>""</f>
        <v/>
      </c>
      <c r="CW1126" t="str">
        <f>""</f>
        <v/>
      </c>
      <c r="CX1126" t="str">
        <f>""</f>
        <v/>
      </c>
      <c r="CY1126" t="str">
        <f>""</f>
        <v/>
      </c>
      <c r="CZ1126" t="str">
        <f>""</f>
        <v/>
      </c>
      <c r="DA1126" t="str">
        <f>""</f>
        <v/>
      </c>
      <c r="DB1126" t="str">
        <f>""</f>
        <v/>
      </c>
      <c r="DC1126" t="str">
        <f>""</f>
        <v/>
      </c>
      <c r="DD1126" t="str">
        <f>""</f>
        <v/>
      </c>
      <c r="DE1126" t="str">
        <f>""</f>
        <v/>
      </c>
      <c r="DF1126" t="str">
        <f>""</f>
        <v/>
      </c>
      <c r="DG1126" t="str">
        <f>""</f>
        <v/>
      </c>
      <c r="DH1126" t="str">
        <f>""</f>
        <v/>
      </c>
      <c r="DI1126" t="str">
        <f>""</f>
        <v/>
      </c>
      <c r="DJ1126" t="str">
        <f>""</f>
        <v/>
      </c>
      <c r="DK1126" t="str">
        <f>""</f>
        <v/>
      </c>
      <c r="DL1126" t="str">
        <f>""</f>
        <v/>
      </c>
      <c r="DM1126" t="str">
        <f>""</f>
        <v/>
      </c>
      <c r="DN1126" t="str">
        <f>""</f>
        <v/>
      </c>
      <c r="DO1126" t="str">
        <f>""</f>
        <v/>
      </c>
      <c r="DP1126" t="str">
        <f>""</f>
        <v/>
      </c>
      <c r="DQ1126" t="str">
        <f>""</f>
        <v/>
      </c>
      <c r="DR1126" t="str">
        <f>""</f>
        <v/>
      </c>
      <c r="DS1126" t="str">
        <f>""</f>
        <v/>
      </c>
      <c r="DT1126" t="str">
        <f>""</f>
        <v/>
      </c>
      <c r="DU1126" t="str">
        <f>""</f>
        <v/>
      </c>
    </row>
    <row r="1127" spans="1:125" x14ac:dyDescent="0.25">
      <c r="A1127" t="str">
        <f>$A$465</f>
        <v xml:space="preserve">    Dongfeng Motor Group Co Ltd</v>
      </c>
      <c r="B1127" t="str">
        <f>$B$465</f>
        <v>489 HK Equity</v>
      </c>
      <c r="C1127" t="str">
        <f>$C$465</f>
        <v>RR476</v>
      </c>
      <c r="D1127" t="str">
        <f>$D$465</f>
        <v>EV_TO_T12M_NET_INCOME</v>
      </c>
      <c r="E1127" t="str">
        <f>$E$465</f>
        <v>Dynamic</v>
      </c>
      <c r="F1127" t="str">
        <f ca="1">_xll.BDH($B$465,$C$465,$B$675,$B$676,CONCATENATE("Per=",$B$673),"Dts=H","Dir=H",CONCATENATE("Points=",$B$674),"Sort=R","Days=A","Fill=B",CONCATENATE("FX=", $B$672) )</f>
        <v>#N/A Connection</v>
      </c>
      <c r="BN1127" t="str">
        <f>""</f>
        <v/>
      </c>
      <c r="BO1127" t="str">
        <f>""</f>
        <v/>
      </c>
      <c r="BP1127" t="str">
        <f>""</f>
        <v/>
      </c>
      <c r="BQ1127" t="str">
        <f>""</f>
        <v/>
      </c>
      <c r="BR1127" t="str">
        <f>""</f>
        <v/>
      </c>
      <c r="BS1127" t="str">
        <f>""</f>
        <v/>
      </c>
      <c r="BT1127" t="str">
        <f>""</f>
        <v/>
      </c>
      <c r="BU1127" t="str">
        <f>""</f>
        <v/>
      </c>
      <c r="BV1127" t="str">
        <f>""</f>
        <v/>
      </c>
      <c r="BW1127" t="str">
        <f>""</f>
        <v/>
      </c>
      <c r="BX1127" t="str">
        <f>""</f>
        <v/>
      </c>
      <c r="BY1127" t="str">
        <f>""</f>
        <v/>
      </c>
      <c r="BZ1127" t="str">
        <f>""</f>
        <v/>
      </c>
      <c r="CA1127" t="str">
        <f>""</f>
        <v/>
      </c>
      <c r="CB1127" t="str">
        <f>""</f>
        <v/>
      </c>
      <c r="CC1127" t="str">
        <f>""</f>
        <v/>
      </c>
      <c r="CD1127" t="str">
        <f>""</f>
        <v/>
      </c>
      <c r="CE1127" t="str">
        <f>""</f>
        <v/>
      </c>
      <c r="CF1127" t="str">
        <f>""</f>
        <v/>
      </c>
      <c r="CG1127" t="str">
        <f>""</f>
        <v/>
      </c>
      <c r="CH1127" t="str">
        <f>""</f>
        <v/>
      </c>
      <c r="CI1127" t="str">
        <f>""</f>
        <v/>
      </c>
      <c r="CJ1127" t="str">
        <f>""</f>
        <v/>
      </c>
      <c r="CK1127" t="str">
        <f>""</f>
        <v/>
      </c>
      <c r="CL1127" t="str">
        <f>""</f>
        <v/>
      </c>
      <c r="CM1127" t="str">
        <f>""</f>
        <v/>
      </c>
      <c r="CN1127" t="str">
        <f>""</f>
        <v/>
      </c>
      <c r="CO1127" t="str">
        <f>""</f>
        <v/>
      </c>
      <c r="CP1127" t="str">
        <f>""</f>
        <v/>
      </c>
      <c r="CQ1127" t="str">
        <f>""</f>
        <v/>
      </c>
      <c r="CR1127" t="str">
        <f>""</f>
        <v/>
      </c>
      <c r="CS1127" t="str">
        <f>""</f>
        <v/>
      </c>
      <c r="CT1127" t="str">
        <f>""</f>
        <v/>
      </c>
      <c r="CU1127" t="str">
        <f>""</f>
        <v/>
      </c>
      <c r="CV1127" t="str">
        <f>""</f>
        <v/>
      </c>
      <c r="CW1127" t="str">
        <f>""</f>
        <v/>
      </c>
      <c r="CX1127" t="str">
        <f>""</f>
        <v/>
      </c>
      <c r="CY1127" t="str">
        <f>""</f>
        <v/>
      </c>
      <c r="CZ1127" t="str">
        <f>""</f>
        <v/>
      </c>
      <c r="DA1127" t="str">
        <f>""</f>
        <v/>
      </c>
      <c r="DB1127" t="str">
        <f>""</f>
        <v/>
      </c>
      <c r="DC1127" t="str">
        <f>""</f>
        <v/>
      </c>
      <c r="DD1127" t="str">
        <f>""</f>
        <v/>
      </c>
      <c r="DE1127" t="str">
        <f>""</f>
        <v/>
      </c>
      <c r="DF1127" t="str">
        <f>""</f>
        <v/>
      </c>
      <c r="DG1127" t="str">
        <f>""</f>
        <v/>
      </c>
      <c r="DH1127" t="str">
        <f>""</f>
        <v/>
      </c>
      <c r="DI1127" t="str">
        <f>""</f>
        <v/>
      </c>
      <c r="DJ1127" t="str">
        <f>""</f>
        <v/>
      </c>
      <c r="DK1127" t="str">
        <f>""</f>
        <v/>
      </c>
      <c r="DL1127" t="str">
        <f>""</f>
        <v/>
      </c>
      <c r="DM1127" t="str">
        <f>""</f>
        <v/>
      </c>
      <c r="DN1127" t="str">
        <f>""</f>
        <v/>
      </c>
      <c r="DO1127" t="str">
        <f>""</f>
        <v/>
      </c>
      <c r="DP1127" t="str">
        <f>""</f>
        <v/>
      </c>
      <c r="DQ1127" t="str">
        <f>""</f>
        <v/>
      </c>
      <c r="DR1127" t="str">
        <f>""</f>
        <v/>
      </c>
      <c r="DS1127" t="str">
        <f>""</f>
        <v/>
      </c>
      <c r="DT1127" t="str">
        <f>""</f>
        <v/>
      </c>
      <c r="DU1127" t="str">
        <f>""</f>
        <v/>
      </c>
    </row>
    <row r="1128" spans="1:125" x14ac:dyDescent="0.25">
      <c r="A1128" t="str">
        <f>$A$466</f>
        <v xml:space="preserve">    DRB-Hicom Bhd</v>
      </c>
      <c r="B1128" t="str">
        <f>$B$466</f>
        <v>DRB MK Equity</v>
      </c>
      <c r="C1128" t="str">
        <f>$C$466</f>
        <v>RR476</v>
      </c>
      <c r="D1128" t="str">
        <f>$D$466</f>
        <v>EV_TO_T12M_NET_INCOME</v>
      </c>
      <c r="E1128" t="str">
        <f>$E$466</f>
        <v>Dynamic</v>
      </c>
      <c r="F1128" t="str">
        <f ca="1">_xll.BDH($B$466,$C$466,$B$675,$B$676,CONCATENATE("Per=",$B$673),"Dts=H","Dir=H",CONCATENATE("Points=",$B$674),"Sort=R","Days=A","Fill=B",CONCATENATE("FX=", $B$672) )</f>
        <v>#N/A Connection</v>
      </c>
      <c r="BN1128" t="str">
        <f>""</f>
        <v/>
      </c>
      <c r="BO1128" t="str">
        <f>""</f>
        <v/>
      </c>
      <c r="BP1128" t="str">
        <f>""</f>
        <v/>
      </c>
      <c r="BQ1128" t="str">
        <f>""</f>
        <v/>
      </c>
      <c r="BR1128" t="str">
        <f>""</f>
        <v/>
      </c>
      <c r="BS1128" t="str">
        <f>""</f>
        <v/>
      </c>
      <c r="BT1128" t="str">
        <f>""</f>
        <v/>
      </c>
      <c r="BU1128" t="str">
        <f>""</f>
        <v/>
      </c>
      <c r="BV1128" t="str">
        <f>""</f>
        <v/>
      </c>
      <c r="BW1128" t="str">
        <f>""</f>
        <v/>
      </c>
      <c r="BX1128" t="str">
        <f>""</f>
        <v/>
      </c>
      <c r="BY1128" t="str">
        <f>""</f>
        <v/>
      </c>
      <c r="BZ1128" t="str">
        <f>""</f>
        <v/>
      </c>
      <c r="CA1128" t="str">
        <f>""</f>
        <v/>
      </c>
      <c r="CB1128" t="str">
        <f>""</f>
        <v/>
      </c>
      <c r="CC1128" t="str">
        <f>""</f>
        <v/>
      </c>
      <c r="CD1128" t="str">
        <f>""</f>
        <v/>
      </c>
      <c r="CE1128" t="str">
        <f>""</f>
        <v/>
      </c>
      <c r="CF1128" t="str">
        <f>""</f>
        <v/>
      </c>
      <c r="CG1128" t="str">
        <f>""</f>
        <v/>
      </c>
      <c r="CH1128" t="str">
        <f>""</f>
        <v/>
      </c>
      <c r="CI1128" t="str">
        <f>""</f>
        <v/>
      </c>
      <c r="CJ1128" t="str">
        <f>""</f>
        <v/>
      </c>
      <c r="CK1128" t="str">
        <f>""</f>
        <v/>
      </c>
      <c r="CL1128" t="str">
        <f>""</f>
        <v/>
      </c>
      <c r="CM1128" t="str">
        <f>""</f>
        <v/>
      </c>
      <c r="CN1128" t="str">
        <f>""</f>
        <v/>
      </c>
      <c r="CO1128" t="str">
        <f>""</f>
        <v/>
      </c>
      <c r="CP1128" t="str">
        <f>""</f>
        <v/>
      </c>
      <c r="CQ1128" t="str">
        <f>""</f>
        <v/>
      </c>
      <c r="CR1128" t="str">
        <f>""</f>
        <v/>
      </c>
      <c r="CS1128" t="str">
        <f>""</f>
        <v/>
      </c>
      <c r="CT1128" t="str">
        <f>""</f>
        <v/>
      </c>
      <c r="CU1128" t="str">
        <f>""</f>
        <v/>
      </c>
      <c r="CV1128" t="str">
        <f>""</f>
        <v/>
      </c>
      <c r="CW1128" t="str">
        <f>""</f>
        <v/>
      </c>
      <c r="CX1128" t="str">
        <f>""</f>
        <v/>
      </c>
      <c r="CY1128" t="str">
        <f>""</f>
        <v/>
      </c>
      <c r="CZ1128" t="str">
        <f>""</f>
        <v/>
      </c>
      <c r="DA1128" t="str">
        <f>""</f>
        <v/>
      </c>
      <c r="DB1128" t="str">
        <f>""</f>
        <v/>
      </c>
      <c r="DC1128" t="str">
        <f>""</f>
        <v/>
      </c>
      <c r="DD1128" t="str">
        <f>""</f>
        <v/>
      </c>
      <c r="DE1128" t="str">
        <f>""</f>
        <v/>
      </c>
      <c r="DF1128" t="str">
        <f>""</f>
        <v/>
      </c>
      <c r="DG1128" t="str">
        <f>""</f>
        <v/>
      </c>
      <c r="DH1128" t="str">
        <f>""</f>
        <v/>
      </c>
      <c r="DI1128" t="str">
        <f>""</f>
        <v/>
      </c>
      <c r="DJ1128" t="str">
        <f>""</f>
        <v/>
      </c>
      <c r="DK1128" t="str">
        <f>""</f>
        <v/>
      </c>
      <c r="DL1128" t="str">
        <f>""</f>
        <v/>
      </c>
      <c r="DM1128" t="str">
        <f>""</f>
        <v/>
      </c>
      <c r="DN1128" t="str">
        <f>""</f>
        <v/>
      </c>
      <c r="DO1128" t="str">
        <f>""</f>
        <v/>
      </c>
      <c r="DP1128" t="str">
        <f>""</f>
        <v/>
      </c>
      <c r="DQ1128" t="str">
        <f>""</f>
        <v/>
      </c>
      <c r="DR1128" t="str">
        <f>""</f>
        <v/>
      </c>
      <c r="DS1128" t="str">
        <f>""</f>
        <v/>
      </c>
      <c r="DT1128" t="str">
        <f>""</f>
        <v/>
      </c>
      <c r="DU1128" t="str">
        <f>""</f>
        <v/>
      </c>
    </row>
    <row r="1129" spans="1:125" x14ac:dyDescent="0.25">
      <c r="A1129" t="str">
        <f>$A$467</f>
        <v xml:space="preserve">    FAW CAR Co Ltd</v>
      </c>
      <c r="B1129" t="str">
        <f>$B$467</f>
        <v>000800 CH Equity</v>
      </c>
      <c r="C1129" t="str">
        <f>$C$467</f>
        <v>RR476</v>
      </c>
      <c r="D1129" t="str">
        <f>$D$467</f>
        <v>EV_TO_T12M_NET_INCOME</v>
      </c>
      <c r="E1129" t="str">
        <f>$E$467</f>
        <v>Dynamic</v>
      </c>
      <c r="F1129" t="str">
        <f ca="1">_xll.BDH($B$467,$C$467,$B$675,$B$676,CONCATENATE("Per=",$B$673),"Dts=H","Dir=H",CONCATENATE("Points=",$B$674),"Sort=R","Days=A","Fill=B",CONCATENATE("FX=", $B$672) )</f>
        <v>#N/A Connection</v>
      </c>
      <c r="BN1129" t="str">
        <f>""</f>
        <v/>
      </c>
      <c r="BO1129" t="str">
        <f>""</f>
        <v/>
      </c>
      <c r="BP1129" t="str">
        <f>""</f>
        <v/>
      </c>
      <c r="BQ1129" t="str">
        <f>""</f>
        <v/>
      </c>
      <c r="BR1129" t="str">
        <f>""</f>
        <v/>
      </c>
      <c r="BS1129" t="str">
        <f>""</f>
        <v/>
      </c>
      <c r="BT1129" t="str">
        <f>""</f>
        <v/>
      </c>
      <c r="BU1129" t="str">
        <f>""</f>
        <v/>
      </c>
      <c r="BV1129" t="str">
        <f>""</f>
        <v/>
      </c>
      <c r="BW1129" t="str">
        <f>""</f>
        <v/>
      </c>
      <c r="BX1129" t="str">
        <f>""</f>
        <v/>
      </c>
      <c r="BY1129" t="str">
        <f>""</f>
        <v/>
      </c>
      <c r="BZ1129" t="str">
        <f>""</f>
        <v/>
      </c>
      <c r="CA1129" t="str">
        <f>""</f>
        <v/>
      </c>
      <c r="CB1129" t="str">
        <f>""</f>
        <v/>
      </c>
      <c r="CC1129" t="str">
        <f>""</f>
        <v/>
      </c>
      <c r="CD1129" t="str">
        <f>""</f>
        <v/>
      </c>
      <c r="CE1129" t="str">
        <f>""</f>
        <v/>
      </c>
      <c r="CF1129" t="str">
        <f>""</f>
        <v/>
      </c>
      <c r="CG1129" t="str">
        <f>""</f>
        <v/>
      </c>
      <c r="CH1129" t="str">
        <f>""</f>
        <v/>
      </c>
      <c r="CI1129" t="str">
        <f>""</f>
        <v/>
      </c>
      <c r="CJ1129" t="str">
        <f>""</f>
        <v/>
      </c>
      <c r="CK1129" t="str">
        <f>""</f>
        <v/>
      </c>
      <c r="CL1129" t="str">
        <f>""</f>
        <v/>
      </c>
      <c r="CM1129" t="str">
        <f>""</f>
        <v/>
      </c>
      <c r="CN1129" t="str">
        <f>""</f>
        <v/>
      </c>
      <c r="CO1129" t="str">
        <f>""</f>
        <v/>
      </c>
      <c r="CP1129" t="str">
        <f>""</f>
        <v/>
      </c>
      <c r="CQ1129" t="str">
        <f>""</f>
        <v/>
      </c>
      <c r="CR1129" t="str">
        <f>""</f>
        <v/>
      </c>
      <c r="CS1129" t="str">
        <f>""</f>
        <v/>
      </c>
      <c r="CT1129" t="str">
        <f>""</f>
        <v/>
      </c>
      <c r="CU1129" t="str">
        <f>""</f>
        <v/>
      </c>
      <c r="CV1129" t="str">
        <f>""</f>
        <v/>
      </c>
      <c r="CW1129" t="str">
        <f>""</f>
        <v/>
      </c>
      <c r="CX1129" t="str">
        <f>""</f>
        <v/>
      </c>
      <c r="CY1129" t="str">
        <f>""</f>
        <v/>
      </c>
      <c r="CZ1129" t="str">
        <f>""</f>
        <v/>
      </c>
      <c r="DA1129" t="str">
        <f>""</f>
        <v/>
      </c>
      <c r="DB1129" t="str">
        <f>""</f>
        <v/>
      </c>
      <c r="DC1129" t="str">
        <f>""</f>
        <v/>
      </c>
      <c r="DD1129" t="str">
        <f>""</f>
        <v/>
      </c>
      <c r="DE1129" t="str">
        <f>""</f>
        <v/>
      </c>
      <c r="DF1129" t="str">
        <f>""</f>
        <v/>
      </c>
      <c r="DG1129" t="str">
        <f>""</f>
        <v/>
      </c>
      <c r="DH1129" t="str">
        <f>""</f>
        <v/>
      </c>
      <c r="DI1129" t="str">
        <f>""</f>
        <v/>
      </c>
      <c r="DJ1129" t="str">
        <f>""</f>
        <v/>
      </c>
      <c r="DK1129" t="str">
        <f>""</f>
        <v/>
      </c>
      <c r="DL1129" t="str">
        <f>""</f>
        <v/>
      </c>
      <c r="DM1129" t="str">
        <f>""</f>
        <v/>
      </c>
      <c r="DN1129" t="str">
        <f>""</f>
        <v/>
      </c>
      <c r="DO1129" t="str">
        <f>""</f>
        <v/>
      </c>
      <c r="DP1129" t="str">
        <f>""</f>
        <v/>
      </c>
      <c r="DQ1129" t="str">
        <f>""</f>
        <v/>
      </c>
      <c r="DR1129" t="str">
        <f>""</f>
        <v/>
      </c>
      <c r="DS1129" t="str">
        <f>""</f>
        <v/>
      </c>
      <c r="DT1129" t="str">
        <f>""</f>
        <v/>
      </c>
      <c r="DU1129" t="str">
        <f>""</f>
        <v/>
      </c>
    </row>
    <row r="1130" spans="1:125" x14ac:dyDescent="0.25">
      <c r="A1130" t="str">
        <f>$A$468</f>
        <v xml:space="preserve">    Fiat Chrysler Automobiles NV</v>
      </c>
      <c r="B1130" t="str">
        <f>$B$468</f>
        <v>FCAU US Equity</v>
      </c>
      <c r="C1130" t="str">
        <f>$C$468</f>
        <v>RR476</v>
      </c>
      <c r="D1130" t="str">
        <f>$D$468</f>
        <v>EV_TO_T12M_NET_INCOME</v>
      </c>
      <c r="E1130" t="str">
        <f>$E$468</f>
        <v>Dynamic</v>
      </c>
      <c r="F1130" t="str">
        <f ca="1">_xll.BDH($B$468,$C$468,$B$675,$B$676,CONCATENATE("Per=",$B$673),"Dts=H","Dir=H",CONCATENATE("Points=",$B$674),"Sort=R","Days=A","Fill=B",CONCATENATE("FX=", $B$672) )</f>
        <v>#N/A Connection</v>
      </c>
      <c r="BN1130" t="str">
        <f>""</f>
        <v/>
      </c>
      <c r="BO1130" t="str">
        <f>""</f>
        <v/>
      </c>
      <c r="BP1130" t="str">
        <f>""</f>
        <v/>
      </c>
      <c r="BQ1130" t="str">
        <f>""</f>
        <v/>
      </c>
      <c r="BR1130" t="str">
        <f>""</f>
        <v/>
      </c>
      <c r="BS1130" t="str">
        <f>""</f>
        <v/>
      </c>
      <c r="BT1130" t="str">
        <f>""</f>
        <v/>
      </c>
      <c r="BU1130" t="str">
        <f>""</f>
        <v/>
      </c>
      <c r="BV1130" t="str">
        <f>""</f>
        <v/>
      </c>
      <c r="BW1130" t="str">
        <f>""</f>
        <v/>
      </c>
      <c r="BX1130" t="str">
        <f>""</f>
        <v/>
      </c>
      <c r="BY1130" t="str">
        <f>""</f>
        <v/>
      </c>
      <c r="BZ1130" t="str">
        <f>""</f>
        <v/>
      </c>
      <c r="CA1130" t="str">
        <f>""</f>
        <v/>
      </c>
      <c r="CB1130" t="str">
        <f>""</f>
        <v/>
      </c>
      <c r="CC1130" t="str">
        <f>""</f>
        <v/>
      </c>
      <c r="CD1130" t="str">
        <f>""</f>
        <v/>
      </c>
      <c r="CE1130" t="str">
        <f>""</f>
        <v/>
      </c>
      <c r="CF1130" t="str">
        <f>""</f>
        <v/>
      </c>
      <c r="CG1130" t="str">
        <f>""</f>
        <v/>
      </c>
      <c r="CH1130" t="str">
        <f>""</f>
        <v/>
      </c>
      <c r="CI1130" t="str">
        <f>""</f>
        <v/>
      </c>
      <c r="CJ1130" t="str">
        <f>""</f>
        <v/>
      </c>
      <c r="CK1130" t="str">
        <f>""</f>
        <v/>
      </c>
      <c r="CL1130" t="str">
        <f>""</f>
        <v/>
      </c>
      <c r="CM1130" t="str">
        <f>""</f>
        <v/>
      </c>
      <c r="CN1130" t="str">
        <f>""</f>
        <v/>
      </c>
      <c r="CO1130" t="str">
        <f>""</f>
        <v/>
      </c>
      <c r="CP1130" t="str">
        <f>""</f>
        <v/>
      </c>
      <c r="CQ1130" t="str">
        <f>""</f>
        <v/>
      </c>
      <c r="CR1130" t="str">
        <f>""</f>
        <v/>
      </c>
      <c r="CS1130" t="str">
        <f>""</f>
        <v/>
      </c>
      <c r="CT1130" t="str">
        <f>""</f>
        <v/>
      </c>
      <c r="CU1130" t="str">
        <f>""</f>
        <v/>
      </c>
      <c r="CV1130" t="str">
        <f>""</f>
        <v/>
      </c>
      <c r="CW1130" t="str">
        <f>""</f>
        <v/>
      </c>
      <c r="CX1130" t="str">
        <f>""</f>
        <v/>
      </c>
      <c r="CY1130" t="str">
        <f>""</f>
        <v/>
      </c>
      <c r="CZ1130" t="str">
        <f>""</f>
        <v/>
      </c>
      <c r="DA1130" t="str">
        <f>""</f>
        <v/>
      </c>
      <c r="DB1130" t="str">
        <f>""</f>
        <v/>
      </c>
      <c r="DC1130" t="str">
        <f>""</f>
        <v/>
      </c>
      <c r="DD1130" t="str">
        <f>""</f>
        <v/>
      </c>
      <c r="DE1130" t="str">
        <f>""</f>
        <v/>
      </c>
      <c r="DF1130" t="str">
        <f>""</f>
        <v/>
      </c>
      <c r="DG1130" t="str">
        <f>""</f>
        <v/>
      </c>
      <c r="DH1130" t="str">
        <f>""</f>
        <v/>
      </c>
      <c r="DI1130" t="str">
        <f>""</f>
        <v/>
      </c>
      <c r="DJ1130" t="str">
        <f>""</f>
        <v/>
      </c>
      <c r="DK1130" t="str">
        <f>""</f>
        <v/>
      </c>
      <c r="DL1130" t="str">
        <f>""</f>
        <v/>
      </c>
      <c r="DM1130" t="str">
        <f>""</f>
        <v/>
      </c>
      <c r="DN1130" t="str">
        <f>""</f>
        <v/>
      </c>
      <c r="DO1130" t="str">
        <f>""</f>
        <v/>
      </c>
      <c r="DP1130" t="str">
        <f>""</f>
        <v/>
      </c>
      <c r="DQ1130" t="str">
        <f>""</f>
        <v/>
      </c>
      <c r="DR1130" t="str">
        <f>""</f>
        <v/>
      </c>
      <c r="DS1130" t="str">
        <f>""</f>
        <v/>
      </c>
      <c r="DT1130" t="str">
        <f>""</f>
        <v/>
      </c>
      <c r="DU1130" t="str">
        <f>""</f>
        <v/>
      </c>
    </row>
    <row r="1131" spans="1:125" x14ac:dyDescent="0.25">
      <c r="A1131" t="str">
        <f>$A$469</f>
        <v xml:space="preserve">    Ford Motor Co</v>
      </c>
      <c r="B1131" t="str">
        <f>$B$469</f>
        <v>F US Equity</v>
      </c>
      <c r="C1131" t="str">
        <f>$C$469</f>
        <v>RR476</v>
      </c>
      <c r="D1131" t="str">
        <f>$D$469</f>
        <v>EV_TO_T12M_NET_INCOME</v>
      </c>
      <c r="E1131" t="str">
        <f>$E$469</f>
        <v>Dynamic</v>
      </c>
      <c r="F1131" t="str">
        <f ca="1">_xll.BDH($B$469,$C$469,$B$675,$B$676,CONCATENATE("Per=",$B$673),"Dts=H","Dir=H",CONCATENATE("Points=",$B$674),"Sort=R","Days=A","Fill=B",CONCATENATE("FX=", $B$672) )</f>
        <v>#N/A Connection</v>
      </c>
      <c r="BN1131" t="str">
        <f>""</f>
        <v/>
      </c>
      <c r="BO1131" t="str">
        <f>""</f>
        <v/>
      </c>
      <c r="BP1131" t="str">
        <f>""</f>
        <v/>
      </c>
      <c r="BQ1131" t="str">
        <f>""</f>
        <v/>
      </c>
      <c r="BR1131" t="str">
        <f>""</f>
        <v/>
      </c>
      <c r="BS1131" t="str">
        <f>""</f>
        <v/>
      </c>
      <c r="BT1131" t="str">
        <f>""</f>
        <v/>
      </c>
      <c r="BU1131" t="str">
        <f>""</f>
        <v/>
      </c>
      <c r="BV1131" t="str">
        <f>""</f>
        <v/>
      </c>
      <c r="BW1131" t="str">
        <f>""</f>
        <v/>
      </c>
      <c r="BX1131" t="str">
        <f>""</f>
        <v/>
      </c>
      <c r="BY1131" t="str">
        <f>""</f>
        <v/>
      </c>
      <c r="BZ1131" t="str">
        <f>""</f>
        <v/>
      </c>
      <c r="CA1131" t="str">
        <f>""</f>
        <v/>
      </c>
      <c r="CB1131" t="str">
        <f>""</f>
        <v/>
      </c>
      <c r="CC1131" t="str">
        <f>""</f>
        <v/>
      </c>
      <c r="CD1131" t="str">
        <f>""</f>
        <v/>
      </c>
      <c r="CE1131" t="str">
        <f>""</f>
        <v/>
      </c>
      <c r="CF1131" t="str">
        <f>""</f>
        <v/>
      </c>
      <c r="CG1131" t="str">
        <f>""</f>
        <v/>
      </c>
      <c r="CH1131" t="str">
        <f>""</f>
        <v/>
      </c>
      <c r="CI1131" t="str">
        <f>""</f>
        <v/>
      </c>
      <c r="CJ1131" t="str">
        <f>""</f>
        <v/>
      </c>
      <c r="CK1131" t="str">
        <f>""</f>
        <v/>
      </c>
      <c r="CL1131" t="str">
        <f>""</f>
        <v/>
      </c>
      <c r="CM1131" t="str">
        <f>""</f>
        <v/>
      </c>
      <c r="CN1131" t="str">
        <f>""</f>
        <v/>
      </c>
      <c r="CO1131" t="str">
        <f>""</f>
        <v/>
      </c>
      <c r="CP1131" t="str">
        <f>""</f>
        <v/>
      </c>
      <c r="CQ1131" t="str">
        <f>""</f>
        <v/>
      </c>
      <c r="CR1131" t="str">
        <f>""</f>
        <v/>
      </c>
      <c r="CS1131" t="str">
        <f>""</f>
        <v/>
      </c>
      <c r="CT1131" t="str">
        <f>""</f>
        <v/>
      </c>
      <c r="CU1131" t="str">
        <f>""</f>
        <v/>
      </c>
      <c r="CV1131" t="str">
        <f>""</f>
        <v/>
      </c>
      <c r="CW1131" t="str">
        <f>""</f>
        <v/>
      </c>
      <c r="CX1131" t="str">
        <f>""</f>
        <v/>
      </c>
      <c r="CY1131" t="str">
        <f>""</f>
        <v/>
      </c>
      <c r="CZ1131" t="str">
        <f>""</f>
        <v/>
      </c>
      <c r="DA1131" t="str">
        <f>""</f>
        <v/>
      </c>
      <c r="DB1131" t="str">
        <f>""</f>
        <v/>
      </c>
      <c r="DC1131" t="str">
        <f>""</f>
        <v/>
      </c>
      <c r="DD1131" t="str">
        <f>""</f>
        <v/>
      </c>
      <c r="DE1131" t="str">
        <f>""</f>
        <v/>
      </c>
      <c r="DF1131" t="str">
        <f>""</f>
        <v/>
      </c>
      <c r="DG1131" t="str">
        <f>""</f>
        <v/>
      </c>
      <c r="DH1131" t="str">
        <f>""</f>
        <v/>
      </c>
      <c r="DI1131" t="str">
        <f>""</f>
        <v/>
      </c>
      <c r="DJ1131" t="str">
        <f>""</f>
        <v/>
      </c>
      <c r="DK1131" t="str">
        <f>""</f>
        <v/>
      </c>
      <c r="DL1131" t="str">
        <f>""</f>
        <v/>
      </c>
      <c r="DM1131" t="str">
        <f>""</f>
        <v/>
      </c>
      <c r="DN1131" t="str">
        <f>""</f>
        <v/>
      </c>
      <c r="DO1131" t="str">
        <f>""</f>
        <v/>
      </c>
      <c r="DP1131" t="str">
        <f>""</f>
        <v/>
      </c>
      <c r="DQ1131" t="str">
        <f>""</f>
        <v/>
      </c>
      <c r="DR1131" t="str">
        <f>""</f>
        <v/>
      </c>
      <c r="DS1131" t="str">
        <f>""</f>
        <v/>
      </c>
      <c r="DT1131" t="str">
        <f>""</f>
        <v/>
      </c>
      <c r="DU1131" t="str">
        <f>""</f>
        <v/>
      </c>
    </row>
    <row r="1132" spans="1:125" x14ac:dyDescent="0.25">
      <c r="A1132" t="str">
        <f>$A$470</f>
        <v xml:space="preserve">    Ford Otomotiv Sanayi AS</v>
      </c>
      <c r="B1132" t="str">
        <f>$B$470</f>
        <v>FROTOTRY EO Equity</v>
      </c>
      <c r="C1132" t="str">
        <f>$C$470</f>
        <v>RR476</v>
      </c>
      <c r="D1132" t="str">
        <f>$D$470</f>
        <v>EV_TO_T12M_NET_INCOME</v>
      </c>
      <c r="E1132" t="str">
        <f>$E$470</f>
        <v>Dynamic</v>
      </c>
      <c r="F1132" t="str">
        <f ca="1">_xll.BDH($B$470,$C$470,$B$675,$B$676,CONCATENATE("Per=",$B$673),"Dts=H","Dir=H",CONCATENATE("Points=",$B$674),"Sort=R","Days=A","Fill=B",CONCATENATE("FX=", $B$672) )</f>
        <v>#N/A Connection</v>
      </c>
      <c r="BN1132" t="str">
        <f>""</f>
        <v/>
      </c>
      <c r="BO1132" t="str">
        <f>""</f>
        <v/>
      </c>
      <c r="BP1132" t="str">
        <f>""</f>
        <v/>
      </c>
      <c r="BQ1132" t="str">
        <f>""</f>
        <v/>
      </c>
      <c r="BR1132" t="str">
        <f>""</f>
        <v/>
      </c>
      <c r="BS1132" t="str">
        <f>""</f>
        <v/>
      </c>
      <c r="BT1132" t="str">
        <f>""</f>
        <v/>
      </c>
      <c r="BU1132" t="str">
        <f>""</f>
        <v/>
      </c>
      <c r="BV1132" t="str">
        <f>""</f>
        <v/>
      </c>
      <c r="BW1132" t="str">
        <f>""</f>
        <v/>
      </c>
      <c r="BX1132" t="str">
        <f>""</f>
        <v/>
      </c>
      <c r="BY1132" t="str">
        <f>""</f>
        <v/>
      </c>
      <c r="BZ1132" t="str">
        <f>""</f>
        <v/>
      </c>
      <c r="CA1132" t="str">
        <f>""</f>
        <v/>
      </c>
      <c r="CB1132" t="str">
        <f>""</f>
        <v/>
      </c>
      <c r="CC1132" t="str">
        <f>""</f>
        <v/>
      </c>
      <c r="CD1132" t="str">
        <f>""</f>
        <v/>
      </c>
      <c r="CE1132" t="str">
        <f>""</f>
        <v/>
      </c>
      <c r="CF1132" t="str">
        <f>""</f>
        <v/>
      </c>
      <c r="CG1132" t="str">
        <f>""</f>
        <v/>
      </c>
      <c r="CH1132" t="str">
        <f>""</f>
        <v/>
      </c>
      <c r="CI1132" t="str">
        <f>""</f>
        <v/>
      </c>
      <c r="CJ1132" t="str">
        <f>""</f>
        <v/>
      </c>
      <c r="CK1132" t="str">
        <f>""</f>
        <v/>
      </c>
      <c r="CL1132" t="str">
        <f>""</f>
        <v/>
      </c>
      <c r="CM1132" t="str">
        <f>""</f>
        <v/>
      </c>
      <c r="CN1132" t="str">
        <f>""</f>
        <v/>
      </c>
      <c r="CO1132" t="str">
        <f>""</f>
        <v/>
      </c>
      <c r="CP1132" t="str">
        <f>""</f>
        <v/>
      </c>
      <c r="CQ1132" t="str">
        <f>""</f>
        <v/>
      </c>
      <c r="CR1132" t="str">
        <f>""</f>
        <v/>
      </c>
      <c r="CS1132" t="str">
        <f>""</f>
        <v/>
      </c>
      <c r="CT1132" t="str">
        <f>""</f>
        <v/>
      </c>
      <c r="CU1132" t="str">
        <f>""</f>
        <v/>
      </c>
      <c r="CV1132" t="str">
        <f>""</f>
        <v/>
      </c>
      <c r="CW1132" t="str">
        <f>""</f>
        <v/>
      </c>
      <c r="CX1132" t="str">
        <f>""</f>
        <v/>
      </c>
      <c r="CY1132" t="str">
        <f>""</f>
        <v/>
      </c>
      <c r="CZ1132" t="str">
        <f>""</f>
        <v/>
      </c>
      <c r="DA1132" t="str">
        <f>""</f>
        <v/>
      </c>
      <c r="DB1132" t="str">
        <f>""</f>
        <v/>
      </c>
      <c r="DC1132" t="str">
        <f>""</f>
        <v/>
      </c>
      <c r="DD1132" t="str">
        <f>""</f>
        <v/>
      </c>
      <c r="DE1132" t="str">
        <f>""</f>
        <v/>
      </c>
      <c r="DF1132" t="str">
        <f>""</f>
        <v/>
      </c>
      <c r="DG1132" t="str">
        <f>""</f>
        <v/>
      </c>
      <c r="DH1132" t="str">
        <f>""</f>
        <v/>
      </c>
      <c r="DI1132" t="str">
        <f>""</f>
        <v/>
      </c>
      <c r="DJ1132" t="str">
        <f>""</f>
        <v/>
      </c>
      <c r="DK1132" t="str">
        <f>""</f>
        <v/>
      </c>
      <c r="DL1132" t="str">
        <f>""</f>
        <v/>
      </c>
      <c r="DM1132" t="str">
        <f>""</f>
        <v/>
      </c>
      <c r="DN1132" t="str">
        <f>""</f>
        <v/>
      </c>
      <c r="DO1132" t="str">
        <f>""</f>
        <v/>
      </c>
      <c r="DP1132" t="str">
        <f>""</f>
        <v/>
      </c>
      <c r="DQ1132" t="str">
        <f>""</f>
        <v/>
      </c>
      <c r="DR1132" t="str">
        <f>""</f>
        <v/>
      </c>
      <c r="DS1132" t="str">
        <f>""</f>
        <v/>
      </c>
      <c r="DT1132" t="str">
        <f>""</f>
        <v/>
      </c>
      <c r="DU1132" t="str">
        <f>""</f>
        <v/>
      </c>
    </row>
    <row r="1133" spans="1:125" x14ac:dyDescent="0.25">
      <c r="A1133" t="str">
        <f>$A$471</f>
        <v xml:space="preserve">    GAZ PJSC</v>
      </c>
      <c r="B1133" t="str">
        <f>$B$471</f>
        <v>GAZA RM Equity</v>
      </c>
      <c r="C1133" t="str">
        <f>$C$471</f>
        <v>RR476</v>
      </c>
      <c r="D1133" t="str">
        <f>$D$471</f>
        <v>EV_TO_T12M_NET_INCOME</v>
      </c>
      <c r="E1133" t="str">
        <f>$E$471</f>
        <v>Dynamic</v>
      </c>
      <c r="F1133" t="str">
        <f ca="1">_xll.BDH($B$471,$C$471,$B$675,$B$676,CONCATENATE("Per=",$B$673),"Dts=H","Dir=H",CONCATENATE("Points=",$B$674),"Sort=R","Days=A","Fill=B",CONCATENATE("FX=", $B$672) )</f>
        <v>#N/A Connection</v>
      </c>
      <c r="BN1133" t="str">
        <f>""</f>
        <v/>
      </c>
      <c r="BO1133" t="str">
        <f>""</f>
        <v/>
      </c>
      <c r="BP1133" t="str">
        <f>""</f>
        <v/>
      </c>
      <c r="BQ1133" t="str">
        <f>""</f>
        <v/>
      </c>
      <c r="BR1133" t="str">
        <f>""</f>
        <v/>
      </c>
      <c r="BS1133" t="str">
        <f>""</f>
        <v/>
      </c>
      <c r="BT1133" t="str">
        <f>""</f>
        <v/>
      </c>
      <c r="BU1133" t="str">
        <f>""</f>
        <v/>
      </c>
      <c r="BV1133" t="str">
        <f>""</f>
        <v/>
      </c>
      <c r="BW1133" t="str">
        <f>""</f>
        <v/>
      </c>
      <c r="BX1133" t="str">
        <f>""</f>
        <v/>
      </c>
      <c r="BY1133" t="str">
        <f>""</f>
        <v/>
      </c>
      <c r="BZ1133" t="str">
        <f>""</f>
        <v/>
      </c>
      <c r="CA1133" t="str">
        <f>""</f>
        <v/>
      </c>
      <c r="CB1133" t="str">
        <f>""</f>
        <v/>
      </c>
      <c r="CC1133" t="str">
        <f>""</f>
        <v/>
      </c>
      <c r="CD1133" t="str">
        <f>""</f>
        <v/>
      </c>
      <c r="CE1133" t="str">
        <f>""</f>
        <v/>
      </c>
      <c r="CF1133" t="str">
        <f>""</f>
        <v/>
      </c>
      <c r="CG1133" t="str">
        <f>""</f>
        <v/>
      </c>
      <c r="CH1133" t="str">
        <f>""</f>
        <v/>
      </c>
      <c r="CI1133" t="str">
        <f>""</f>
        <v/>
      </c>
      <c r="CJ1133" t="str">
        <f>""</f>
        <v/>
      </c>
      <c r="CK1133" t="str">
        <f>""</f>
        <v/>
      </c>
      <c r="CL1133" t="str">
        <f>""</f>
        <v/>
      </c>
      <c r="CM1133" t="str">
        <f>""</f>
        <v/>
      </c>
      <c r="CN1133" t="str">
        <f>""</f>
        <v/>
      </c>
      <c r="CO1133" t="str">
        <f>""</f>
        <v/>
      </c>
      <c r="CP1133" t="str">
        <f>""</f>
        <v/>
      </c>
      <c r="CQ1133" t="str">
        <f>""</f>
        <v/>
      </c>
      <c r="CR1133" t="str">
        <f>""</f>
        <v/>
      </c>
      <c r="CS1133" t="str">
        <f>""</f>
        <v/>
      </c>
      <c r="CT1133" t="str">
        <f>""</f>
        <v/>
      </c>
      <c r="CU1133" t="str">
        <f>""</f>
        <v/>
      </c>
      <c r="CV1133" t="str">
        <f>""</f>
        <v/>
      </c>
      <c r="CW1133" t="str">
        <f>""</f>
        <v/>
      </c>
      <c r="CX1133" t="str">
        <f>""</f>
        <v/>
      </c>
      <c r="CY1133" t="str">
        <f>""</f>
        <v/>
      </c>
      <c r="CZ1133" t="str">
        <f>""</f>
        <v/>
      </c>
      <c r="DA1133" t="str">
        <f>""</f>
        <v/>
      </c>
      <c r="DB1133" t="str">
        <f>""</f>
        <v/>
      </c>
      <c r="DC1133" t="str">
        <f>""</f>
        <v/>
      </c>
      <c r="DD1133" t="str">
        <f>""</f>
        <v/>
      </c>
      <c r="DE1133" t="str">
        <f>""</f>
        <v/>
      </c>
      <c r="DF1133" t="str">
        <f>""</f>
        <v/>
      </c>
      <c r="DG1133" t="str">
        <f>""</f>
        <v/>
      </c>
      <c r="DH1133" t="str">
        <f>""</f>
        <v/>
      </c>
      <c r="DI1133" t="str">
        <f>""</f>
        <v/>
      </c>
      <c r="DJ1133" t="str">
        <f>""</f>
        <v/>
      </c>
      <c r="DK1133" t="str">
        <f>""</f>
        <v/>
      </c>
      <c r="DL1133" t="str">
        <f>""</f>
        <v/>
      </c>
      <c r="DM1133" t="str">
        <f>""</f>
        <v/>
      </c>
      <c r="DN1133" t="str">
        <f>""</f>
        <v/>
      </c>
      <c r="DO1133" t="str">
        <f>""</f>
        <v/>
      </c>
      <c r="DP1133" t="str">
        <f>""</f>
        <v/>
      </c>
      <c r="DQ1133" t="str">
        <f>""</f>
        <v/>
      </c>
      <c r="DR1133" t="str">
        <f>""</f>
        <v/>
      </c>
      <c r="DS1133" t="str">
        <f>""</f>
        <v/>
      </c>
      <c r="DT1133" t="str">
        <f>""</f>
        <v/>
      </c>
      <c r="DU1133" t="str">
        <f>""</f>
        <v/>
      </c>
    </row>
    <row r="1134" spans="1:125" x14ac:dyDescent="0.25">
      <c r="A1134" t="str">
        <f>$A$472</f>
        <v xml:space="preserve">    Geely Automobile Holdings Ltd</v>
      </c>
      <c r="B1134" t="str">
        <f>$B$472</f>
        <v>175 HK Equity</v>
      </c>
      <c r="C1134" t="str">
        <f>$C$472</f>
        <v>RR476</v>
      </c>
      <c r="D1134" t="str">
        <f>$D$472</f>
        <v>EV_TO_T12M_NET_INCOME</v>
      </c>
      <c r="E1134" t="str">
        <f>$E$472</f>
        <v>Dynamic</v>
      </c>
      <c r="F1134" t="str">
        <f ca="1">_xll.BDH($B$472,$C$472,$B$675,$B$676,CONCATENATE("Per=",$B$673),"Dts=H","Dir=H",CONCATENATE("Points=",$B$674),"Sort=R","Days=A","Fill=B",CONCATENATE("FX=", $B$672) )</f>
        <v>#N/A Connection</v>
      </c>
      <c r="BN1134" t="str">
        <f>""</f>
        <v/>
      </c>
      <c r="BO1134" t="str">
        <f>""</f>
        <v/>
      </c>
      <c r="BP1134" t="str">
        <f>""</f>
        <v/>
      </c>
      <c r="BQ1134" t="str">
        <f>""</f>
        <v/>
      </c>
      <c r="BR1134" t="str">
        <f>""</f>
        <v/>
      </c>
      <c r="BS1134" t="str">
        <f>""</f>
        <v/>
      </c>
      <c r="BT1134" t="str">
        <f>""</f>
        <v/>
      </c>
      <c r="BU1134" t="str">
        <f>""</f>
        <v/>
      </c>
      <c r="BV1134" t="str">
        <f>""</f>
        <v/>
      </c>
      <c r="BW1134" t="str">
        <f>""</f>
        <v/>
      </c>
      <c r="BX1134" t="str">
        <f>""</f>
        <v/>
      </c>
      <c r="BY1134" t="str">
        <f>""</f>
        <v/>
      </c>
      <c r="BZ1134" t="str">
        <f>""</f>
        <v/>
      </c>
      <c r="CA1134" t="str">
        <f>""</f>
        <v/>
      </c>
      <c r="CB1134" t="str">
        <f>""</f>
        <v/>
      </c>
      <c r="CC1134" t="str">
        <f>""</f>
        <v/>
      </c>
      <c r="CD1134" t="str">
        <f>""</f>
        <v/>
      </c>
      <c r="CE1134" t="str">
        <f>""</f>
        <v/>
      </c>
      <c r="CF1134" t="str">
        <f>""</f>
        <v/>
      </c>
      <c r="CG1134" t="str">
        <f>""</f>
        <v/>
      </c>
      <c r="CH1134" t="str">
        <f>""</f>
        <v/>
      </c>
      <c r="CI1134" t="str">
        <f>""</f>
        <v/>
      </c>
      <c r="CJ1134" t="str">
        <f>""</f>
        <v/>
      </c>
      <c r="CK1134" t="str">
        <f>""</f>
        <v/>
      </c>
      <c r="CL1134" t="str">
        <f>""</f>
        <v/>
      </c>
      <c r="CM1134" t="str">
        <f>""</f>
        <v/>
      </c>
      <c r="CN1134" t="str">
        <f>""</f>
        <v/>
      </c>
      <c r="CO1134" t="str">
        <f>""</f>
        <v/>
      </c>
      <c r="CP1134" t="str">
        <f>""</f>
        <v/>
      </c>
      <c r="CQ1134" t="str">
        <f>""</f>
        <v/>
      </c>
      <c r="CR1134" t="str">
        <f>""</f>
        <v/>
      </c>
      <c r="CS1134" t="str">
        <f>""</f>
        <v/>
      </c>
      <c r="CT1134" t="str">
        <f>""</f>
        <v/>
      </c>
      <c r="CU1134" t="str">
        <f>""</f>
        <v/>
      </c>
      <c r="CV1134" t="str">
        <f>""</f>
        <v/>
      </c>
      <c r="CW1134" t="str">
        <f>""</f>
        <v/>
      </c>
      <c r="CX1134" t="str">
        <f>""</f>
        <v/>
      </c>
      <c r="CY1134" t="str">
        <f>""</f>
        <v/>
      </c>
      <c r="CZ1134" t="str">
        <f>""</f>
        <v/>
      </c>
      <c r="DA1134" t="str">
        <f>""</f>
        <v/>
      </c>
      <c r="DB1134" t="str">
        <f>""</f>
        <v/>
      </c>
      <c r="DC1134" t="str">
        <f>""</f>
        <v/>
      </c>
      <c r="DD1134" t="str">
        <f>""</f>
        <v/>
      </c>
      <c r="DE1134" t="str">
        <f>""</f>
        <v/>
      </c>
      <c r="DF1134" t="str">
        <f>""</f>
        <v/>
      </c>
      <c r="DG1134" t="str">
        <f>""</f>
        <v/>
      </c>
      <c r="DH1134" t="str">
        <f>""</f>
        <v/>
      </c>
      <c r="DI1134" t="str">
        <f>""</f>
        <v/>
      </c>
      <c r="DJ1134" t="str">
        <f>""</f>
        <v/>
      </c>
      <c r="DK1134" t="str">
        <f>""</f>
        <v/>
      </c>
      <c r="DL1134" t="str">
        <f>""</f>
        <v/>
      </c>
      <c r="DM1134" t="str">
        <f>""</f>
        <v/>
      </c>
      <c r="DN1134" t="str">
        <f>""</f>
        <v/>
      </c>
      <c r="DO1134" t="str">
        <f>""</f>
        <v/>
      </c>
      <c r="DP1134" t="str">
        <f>""</f>
        <v/>
      </c>
      <c r="DQ1134" t="str">
        <f>""</f>
        <v/>
      </c>
      <c r="DR1134" t="str">
        <f>""</f>
        <v/>
      </c>
      <c r="DS1134" t="str">
        <f>""</f>
        <v/>
      </c>
      <c r="DT1134" t="str">
        <f>""</f>
        <v/>
      </c>
      <c r="DU1134" t="str">
        <f>""</f>
        <v/>
      </c>
    </row>
    <row r="1135" spans="1:125" x14ac:dyDescent="0.25">
      <c r="A1135" t="str">
        <f>$A$473</f>
        <v xml:space="preserve">    General Motors Co</v>
      </c>
      <c r="B1135" t="str">
        <f>$B$473</f>
        <v>GM US Equity</v>
      </c>
      <c r="C1135" t="str">
        <f>$C$473</f>
        <v>RR476</v>
      </c>
      <c r="D1135" t="str">
        <f>$D$473</f>
        <v>EV_TO_T12M_NET_INCOME</v>
      </c>
      <c r="E1135" t="str">
        <f>$E$473</f>
        <v>Dynamic</v>
      </c>
      <c r="F1135" t="str">
        <f ca="1">_xll.BDH($B$473,$C$473,$B$675,$B$676,CONCATENATE("Per=",$B$673),"Dts=H","Dir=H",CONCATENATE("Points=",$B$674),"Sort=R","Days=A","Fill=B",CONCATENATE("FX=", $B$672) )</f>
        <v>#N/A Connection</v>
      </c>
      <c r="BN1135" t="str">
        <f>""</f>
        <v/>
      </c>
      <c r="BO1135" t="str">
        <f>""</f>
        <v/>
      </c>
      <c r="BP1135" t="str">
        <f>""</f>
        <v/>
      </c>
      <c r="BQ1135" t="str">
        <f>""</f>
        <v/>
      </c>
      <c r="BR1135" t="str">
        <f>""</f>
        <v/>
      </c>
      <c r="BS1135" t="str">
        <f>""</f>
        <v/>
      </c>
      <c r="BT1135" t="str">
        <f>""</f>
        <v/>
      </c>
      <c r="BU1135" t="str">
        <f>""</f>
        <v/>
      </c>
      <c r="BV1135" t="str">
        <f>""</f>
        <v/>
      </c>
      <c r="BW1135" t="str">
        <f>""</f>
        <v/>
      </c>
      <c r="BX1135" t="str">
        <f>""</f>
        <v/>
      </c>
      <c r="BY1135" t="str">
        <f>""</f>
        <v/>
      </c>
      <c r="BZ1135" t="str">
        <f>""</f>
        <v/>
      </c>
      <c r="CA1135" t="str">
        <f>""</f>
        <v/>
      </c>
      <c r="CB1135" t="str">
        <f>""</f>
        <v/>
      </c>
      <c r="CC1135" t="str">
        <f>""</f>
        <v/>
      </c>
      <c r="CD1135" t="str">
        <f>""</f>
        <v/>
      </c>
      <c r="CE1135" t="str">
        <f>""</f>
        <v/>
      </c>
      <c r="CF1135" t="str">
        <f>""</f>
        <v/>
      </c>
      <c r="CG1135" t="str">
        <f>""</f>
        <v/>
      </c>
      <c r="CH1135" t="str">
        <f>""</f>
        <v/>
      </c>
      <c r="CI1135" t="str">
        <f>""</f>
        <v/>
      </c>
      <c r="CJ1135" t="str">
        <f>""</f>
        <v/>
      </c>
      <c r="CK1135" t="str">
        <f>""</f>
        <v/>
      </c>
      <c r="CL1135" t="str">
        <f>""</f>
        <v/>
      </c>
      <c r="CM1135" t="str">
        <f>""</f>
        <v/>
      </c>
      <c r="CN1135" t="str">
        <f>""</f>
        <v/>
      </c>
      <c r="CO1135" t="str">
        <f>""</f>
        <v/>
      </c>
      <c r="CP1135" t="str">
        <f>""</f>
        <v/>
      </c>
      <c r="CQ1135" t="str">
        <f>""</f>
        <v/>
      </c>
      <c r="CR1135" t="str">
        <f>""</f>
        <v/>
      </c>
      <c r="CS1135" t="str">
        <f>""</f>
        <v/>
      </c>
      <c r="CT1135" t="str">
        <f>""</f>
        <v/>
      </c>
      <c r="CU1135" t="str">
        <f>""</f>
        <v/>
      </c>
      <c r="CV1135" t="str">
        <f>""</f>
        <v/>
      </c>
      <c r="CW1135" t="str">
        <f>""</f>
        <v/>
      </c>
      <c r="CX1135" t="str">
        <f>""</f>
        <v/>
      </c>
      <c r="CY1135" t="str">
        <f>""</f>
        <v/>
      </c>
      <c r="CZ1135" t="str">
        <f>""</f>
        <v/>
      </c>
      <c r="DA1135" t="str">
        <f>""</f>
        <v/>
      </c>
      <c r="DB1135" t="str">
        <f>""</f>
        <v/>
      </c>
      <c r="DC1135" t="str">
        <f>""</f>
        <v/>
      </c>
      <c r="DD1135" t="str">
        <f>""</f>
        <v/>
      </c>
      <c r="DE1135" t="str">
        <f>""</f>
        <v/>
      </c>
      <c r="DF1135" t="str">
        <f>""</f>
        <v/>
      </c>
      <c r="DG1135" t="str">
        <f>""</f>
        <v/>
      </c>
      <c r="DH1135" t="str">
        <f>""</f>
        <v/>
      </c>
      <c r="DI1135" t="str">
        <f>""</f>
        <v/>
      </c>
      <c r="DJ1135" t="str">
        <f>""</f>
        <v/>
      </c>
      <c r="DK1135" t="str">
        <f>""</f>
        <v/>
      </c>
      <c r="DL1135" t="str">
        <f>""</f>
        <v/>
      </c>
      <c r="DM1135" t="str">
        <f>""</f>
        <v/>
      </c>
      <c r="DN1135" t="str">
        <f>""</f>
        <v/>
      </c>
      <c r="DO1135" t="str">
        <f>""</f>
        <v/>
      </c>
      <c r="DP1135" t="str">
        <f>""</f>
        <v/>
      </c>
      <c r="DQ1135" t="str">
        <f>""</f>
        <v/>
      </c>
      <c r="DR1135" t="str">
        <f>""</f>
        <v/>
      </c>
      <c r="DS1135" t="str">
        <f>""</f>
        <v/>
      </c>
      <c r="DT1135" t="str">
        <f>""</f>
        <v/>
      </c>
      <c r="DU1135" t="str">
        <f>""</f>
        <v/>
      </c>
    </row>
    <row r="1136" spans="1:125" x14ac:dyDescent="0.25">
      <c r="A1136" t="str">
        <f>$A$474</f>
        <v xml:space="preserve">    Great Wall Motor Co Ltd</v>
      </c>
      <c r="B1136" t="str">
        <f>$B$474</f>
        <v>2333 HK Equity</v>
      </c>
      <c r="C1136" t="str">
        <f>$C$474</f>
        <v>RR476</v>
      </c>
      <c r="D1136" t="str">
        <f>$D$474</f>
        <v>EV_TO_T12M_NET_INCOME</v>
      </c>
      <c r="E1136" t="str">
        <f>$E$474</f>
        <v>Dynamic</v>
      </c>
      <c r="F1136" t="str">
        <f ca="1">_xll.BDH($B$474,$C$474,$B$675,$B$676,CONCATENATE("Per=",$B$673),"Dts=H","Dir=H",CONCATENATE("Points=",$B$674),"Sort=R","Days=A","Fill=B",CONCATENATE("FX=", $B$672) )</f>
        <v>#N/A Connection</v>
      </c>
      <c r="BN1136" t="str">
        <f>""</f>
        <v/>
      </c>
      <c r="BO1136" t="str">
        <f>""</f>
        <v/>
      </c>
      <c r="BP1136" t="str">
        <f>""</f>
        <v/>
      </c>
      <c r="BQ1136" t="str">
        <f>""</f>
        <v/>
      </c>
      <c r="BR1136" t="str">
        <f>""</f>
        <v/>
      </c>
      <c r="BS1136" t="str">
        <f>""</f>
        <v/>
      </c>
      <c r="BT1136" t="str">
        <f>""</f>
        <v/>
      </c>
      <c r="BU1136" t="str">
        <f>""</f>
        <v/>
      </c>
      <c r="BV1136" t="str">
        <f>""</f>
        <v/>
      </c>
      <c r="BW1136" t="str">
        <f>""</f>
        <v/>
      </c>
      <c r="BX1136" t="str">
        <f>""</f>
        <v/>
      </c>
      <c r="BY1136" t="str">
        <f>""</f>
        <v/>
      </c>
      <c r="BZ1136" t="str">
        <f>""</f>
        <v/>
      </c>
      <c r="CA1136" t="str">
        <f>""</f>
        <v/>
      </c>
      <c r="CB1136" t="str">
        <f>""</f>
        <v/>
      </c>
      <c r="CC1136" t="str">
        <f>""</f>
        <v/>
      </c>
      <c r="CD1136" t="str">
        <f>""</f>
        <v/>
      </c>
      <c r="CE1136" t="str">
        <f>""</f>
        <v/>
      </c>
      <c r="CF1136" t="str">
        <f>""</f>
        <v/>
      </c>
      <c r="CG1136" t="str">
        <f>""</f>
        <v/>
      </c>
      <c r="CH1136" t="str">
        <f>""</f>
        <v/>
      </c>
      <c r="CI1136" t="str">
        <f>""</f>
        <v/>
      </c>
      <c r="CJ1136" t="str">
        <f>""</f>
        <v/>
      </c>
      <c r="CK1136" t="str">
        <f>""</f>
        <v/>
      </c>
      <c r="CL1136" t="str">
        <f>""</f>
        <v/>
      </c>
      <c r="CM1136" t="str">
        <f>""</f>
        <v/>
      </c>
      <c r="CN1136" t="str">
        <f>""</f>
        <v/>
      </c>
      <c r="CO1136" t="str">
        <f>""</f>
        <v/>
      </c>
      <c r="CP1136" t="str">
        <f>""</f>
        <v/>
      </c>
      <c r="CQ1136" t="str">
        <f>""</f>
        <v/>
      </c>
      <c r="CR1136" t="str">
        <f>""</f>
        <v/>
      </c>
      <c r="CS1136" t="str">
        <f>""</f>
        <v/>
      </c>
      <c r="CT1136" t="str">
        <f>""</f>
        <v/>
      </c>
      <c r="CU1136" t="str">
        <f>""</f>
        <v/>
      </c>
      <c r="CV1136" t="str">
        <f>""</f>
        <v/>
      </c>
      <c r="CW1136" t="str">
        <f>""</f>
        <v/>
      </c>
      <c r="CX1136" t="str">
        <f>""</f>
        <v/>
      </c>
      <c r="CY1136" t="str">
        <f>""</f>
        <v/>
      </c>
      <c r="CZ1136" t="str">
        <f>""</f>
        <v/>
      </c>
      <c r="DA1136" t="str">
        <f>""</f>
        <v/>
      </c>
      <c r="DB1136" t="str">
        <f>""</f>
        <v/>
      </c>
      <c r="DC1136" t="str">
        <f>""</f>
        <v/>
      </c>
      <c r="DD1136" t="str">
        <f>""</f>
        <v/>
      </c>
      <c r="DE1136" t="str">
        <f>""</f>
        <v/>
      </c>
      <c r="DF1136" t="str">
        <f>""</f>
        <v/>
      </c>
      <c r="DG1136" t="str">
        <f>""</f>
        <v/>
      </c>
      <c r="DH1136" t="str">
        <f>""</f>
        <v/>
      </c>
      <c r="DI1136" t="str">
        <f>""</f>
        <v/>
      </c>
      <c r="DJ1136" t="str">
        <f>""</f>
        <v/>
      </c>
      <c r="DK1136" t="str">
        <f>""</f>
        <v/>
      </c>
      <c r="DL1136" t="str">
        <f>""</f>
        <v/>
      </c>
      <c r="DM1136" t="str">
        <f>""</f>
        <v/>
      </c>
      <c r="DN1136" t="str">
        <f>""</f>
        <v/>
      </c>
      <c r="DO1136" t="str">
        <f>""</f>
        <v/>
      </c>
      <c r="DP1136" t="str">
        <f>""</f>
        <v/>
      </c>
      <c r="DQ1136" t="str">
        <f>""</f>
        <v/>
      </c>
      <c r="DR1136" t="str">
        <f>""</f>
        <v/>
      </c>
      <c r="DS1136" t="str">
        <f>""</f>
        <v/>
      </c>
      <c r="DT1136" t="str">
        <f>""</f>
        <v/>
      </c>
      <c r="DU1136" t="str">
        <f>""</f>
        <v/>
      </c>
    </row>
    <row r="1137" spans="1:125" x14ac:dyDescent="0.25">
      <c r="A1137" t="str">
        <f>$A$475</f>
        <v xml:space="preserve">    Guangzhou Automobile Group Co Ltd</v>
      </c>
      <c r="B1137" t="str">
        <f>$B$475</f>
        <v>2238 HK Equity</v>
      </c>
      <c r="C1137" t="str">
        <f>$C$475</f>
        <v>RR476</v>
      </c>
      <c r="D1137" t="str">
        <f>$D$475</f>
        <v>EV_TO_T12M_NET_INCOME</v>
      </c>
      <c r="E1137" t="str">
        <f>$E$475</f>
        <v>Dynamic</v>
      </c>
      <c r="F1137" t="str">
        <f ca="1">_xll.BDH($B$475,$C$475,$B$675,$B$676,CONCATENATE("Per=",$B$673),"Dts=H","Dir=H",CONCATENATE("Points=",$B$674),"Sort=R","Days=A","Fill=B",CONCATENATE("FX=", $B$672) )</f>
        <v>#N/A Connection</v>
      </c>
      <c r="BN1137" t="str">
        <f>""</f>
        <v/>
      </c>
      <c r="BO1137" t="str">
        <f>""</f>
        <v/>
      </c>
      <c r="BP1137" t="str">
        <f>""</f>
        <v/>
      </c>
      <c r="BQ1137" t="str">
        <f>""</f>
        <v/>
      </c>
      <c r="BR1137" t="str">
        <f>""</f>
        <v/>
      </c>
      <c r="BS1137" t="str">
        <f>""</f>
        <v/>
      </c>
      <c r="BT1137" t="str">
        <f>""</f>
        <v/>
      </c>
      <c r="BU1137" t="str">
        <f>""</f>
        <v/>
      </c>
      <c r="BV1137" t="str">
        <f>""</f>
        <v/>
      </c>
      <c r="BW1137" t="str">
        <f>""</f>
        <v/>
      </c>
      <c r="BX1137" t="str">
        <f>""</f>
        <v/>
      </c>
      <c r="BY1137" t="str">
        <f>""</f>
        <v/>
      </c>
      <c r="BZ1137" t="str">
        <f>""</f>
        <v/>
      </c>
      <c r="CA1137" t="str">
        <f>""</f>
        <v/>
      </c>
      <c r="CB1137" t="str">
        <f>""</f>
        <v/>
      </c>
      <c r="CC1137" t="str">
        <f>""</f>
        <v/>
      </c>
      <c r="CD1137" t="str">
        <f>""</f>
        <v/>
      </c>
      <c r="CE1137" t="str">
        <f>""</f>
        <v/>
      </c>
      <c r="CF1137" t="str">
        <f>""</f>
        <v/>
      </c>
      <c r="CG1137" t="str">
        <f>""</f>
        <v/>
      </c>
      <c r="CH1137" t="str">
        <f>""</f>
        <v/>
      </c>
      <c r="CI1137" t="str">
        <f>""</f>
        <v/>
      </c>
      <c r="CJ1137" t="str">
        <f>""</f>
        <v/>
      </c>
      <c r="CK1137" t="str">
        <f>""</f>
        <v/>
      </c>
      <c r="CL1137" t="str">
        <f>""</f>
        <v/>
      </c>
      <c r="CM1137" t="str">
        <f>""</f>
        <v/>
      </c>
      <c r="CN1137" t="str">
        <f>""</f>
        <v/>
      </c>
      <c r="CO1137" t="str">
        <f>""</f>
        <v/>
      </c>
      <c r="CP1137" t="str">
        <f>""</f>
        <v/>
      </c>
      <c r="CQ1137" t="str">
        <f>""</f>
        <v/>
      </c>
      <c r="CR1137" t="str">
        <f>""</f>
        <v/>
      </c>
      <c r="CS1137" t="str">
        <f>""</f>
        <v/>
      </c>
      <c r="CT1137" t="str">
        <f>""</f>
        <v/>
      </c>
      <c r="CU1137" t="str">
        <f>""</f>
        <v/>
      </c>
      <c r="CV1137" t="str">
        <f>""</f>
        <v/>
      </c>
      <c r="CW1137" t="str">
        <f>""</f>
        <v/>
      </c>
      <c r="CX1137" t="str">
        <f>""</f>
        <v/>
      </c>
      <c r="CY1137" t="str">
        <f>""</f>
        <v/>
      </c>
      <c r="CZ1137" t="str">
        <f>""</f>
        <v/>
      </c>
      <c r="DA1137" t="str">
        <f>""</f>
        <v/>
      </c>
      <c r="DB1137" t="str">
        <f>""</f>
        <v/>
      </c>
      <c r="DC1137" t="str">
        <f>""</f>
        <v/>
      </c>
      <c r="DD1137" t="str">
        <f>""</f>
        <v/>
      </c>
      <c r="DE1137" t="str">
        <f>""</f>
        <v/>
      </c>
      <c r="DF1137" t="str">
        <f>""</f>
        <v/>
      </c>
      <c r="DG1137" t="str">
        <f>""</f>
        <v/>
      </c>
      <c r="DH1137" t="str">
        <f>""</f>
        <v/>
      </c>
      <c r="DI1137" t="str">
        <f>""</f>
        <v/>
      </c>
      <c r="DJ1137" t="str">
        <f>""</f>
        <v/>
      </c>
      <c r="DK1137" t="str">
        <f>""</f>
        <v/>
      </c>
      <c r="DL1137" t="str">
        <f>""</f>
        <v/>
      </c>
      <c r="DM1137" t="str">
        <f>""</f>
        <v/>
      </c>
      <c r="DN1137" t="str">
        <f>""</f>
        <v/>
      </c>
      <c r="DO1137" t="str">
        <f>""</f>
        <v/>
      </c>
      <c r="DP1137" t="str">
        <f>""</f>
        <v/>
      </c>
      <c r="DQ1137" t="str">
        <f>""</f>
        <v/>
      </c>
      <c r="DR1137" t="str">
        <f>""</f>
        <v/>
      </c>
      <c r="DS1137" t="str">
        <f>""</f>
        <v/>
      </c>
      <c r="DT1137" t="str">
        <f>""</f>
        <v/>
      </c>
      <c r="DU1137" t="str">
        <f>""</f>
        <v/>
      </c>
    </row>
    <row r="1138" spans="1:125" x14ac:dyDescent="0.25">
      <c r="A1138" t="str">
        <f>$A$476</f>
        <v xml:space="preserve">    Honda Motor Co Ltd</v>
      </c>
      <c r="B1138" t="str">
        <f>$B$476</f>
        <v>7267 JP Equity</v>
      </c>
      <c r="C1138" t="str">
        <f>$C$476</f>
        <v>RR476</v>
      </c>
      <c r="D1138" t="str">
        <f>$D$476</f>
        <v>EV_TO_T12M_NET_INCOME</v>
      </c>
      <c r="E1138" t="str">
        <f>$E$476</f>
        <v>Dynamic</v>
      </c>
      <c r="F1138" t="str">
        <f ca="1">_xll.BDH($B$476,$C$476,$B$675,$B$676,CONCATENATE("Per=",$B$673),"Dts=H","Dir=H",CONCATENATE("Points=",$B$674),"Sort=R","Days=A","Fill=B",CONCATENATE("FX=", $B$672) )</f>
        <v>#N/A Connection</v>
      </c>
      <c r="BN1138" t="str">
        <f>""</f>
        <v/>
      </c>
      <c r="BO1138" t="str">
        <f>""</f>
        <v/>
      </c>
      <c r="BP1138" t="str">
        <f>""</f>
        <v/>
      </c>
      <c r="BQ1138" t="str">
        <f>""</f>
        <v/>
      </c>
      <c r="BR1138" t="str">
        <f>""</f>
        <v/>
      </c>
      <c r="BS1138" t="str">
        <f>""</f>
        <v/>
      </c>
      <c r="BT1138" t="str">
        <f>""</f>
        <v/>
      </c>
      <c r="BU1138" t="str">
        <f>""</f>
        <v/>
      </c>
      <c r="BV1138" t="str">
        <f>""</f>
        <v/>
      </c>
      <c r="BW1138" t="str">
        <f>""</f>
        <v/>
      </c>
      <c r="BX1138" t="str">
        <f>""</f>
        <v/>
      </c>
      <c r="BY1138" t="str">
        <f>""</f>
        <v/>
      </c>
      <c r="BZ1138" t="str">
        <f>""</f>
        <v/>
      </c>
      <c r="CA1138" t="str">
        <f>""</f>
        <v/>
      </c>
      <c r="CB1138" t="str">
        <f>""</f>
        <v/>
      </c>
      <c r="CC1138" t="str">
        <f>""</f>
        <v/>
      </c>
      <c r="CD1138" t="str">
        <f>""</f>
        <v/>
      </c>
      <c r="CE1138" t="str">
        <f>""</f>
        <v/>
      </c>
      <c r="CF1138" t="str">
        <f>""</f>
        <v/>
      </c>
      <c r="CG1138" t="str">
        <f>""</f>
        <v/>
      </c>
      <c r="CH1138" t="str">
        <f>""</f>
        <v/>
      </c>
      <c r="CI1138" t="str">
        <f>""</f>
        <v/>
      </c>
      <c r="CJ1138" t="str">
        <f>""</f>
        <v/>
      </c>
      <c r="CK1138" t="str">
        <f>""</f>
        <v/>
      </c>
      <c r="CL1138" t="str">
        <f>""</f>
        <v/>
      </c>
      <c r="CM1138" t="str">
        <f>""</f>
        <v/>
      </c>
      <c r="CN1138" t="str">
        <f>""</f>
        <v/>
      </c>
      <c r="CO1138" t="str">
        <f>""</f>
        <v/>
      </c>
      <c r="CP1138" t="str">
        <f>""</f>
        <v/>
      </c>
      <c r="CQ1138" t="str">
        <f>""</f>
        <v/>
      </c>
      <c r="CR1138" t="str">
        <f>""</f>
        <v/>
      </c>
      <c r="CS1138" t="str">
        <f>""</f>
        <v/>
      </c>
      <c r="CT1138" t="str">
        <f>""</f>
        <v/>
      </c>
      <c r="CU1138" t="str">
        <f>""</f>
        <v/>
      </c>
      <c r="CV1138" t="str">
        <f>""</f>
        <v/>
      </c>
      <c r="CW1138" t="str">
        <f>""</f>
        <v/>
      </c>
      <c r="CX1138" t="str">
        <f>""</f>
        <v/>
      </c>
      <c r="CY1138" t="str">
        <f>""</f>
        <v/>
      </c>
      <c r="CZ1138" t="str">
        <f>""</f>
        <v/>
      </c>
      <c r="DA1138" t="str">
        <f>""</f>
        <v/>
      </c>
      <c r="DB1138" t="str">
        <f>""</f>
        <v/>
      </c>
      <c r="DC1138" t="str">
        <f>""</f>
        <v/>
      </c>
      <c r="DD1138" t="str">
        <f>""</f>
        <v/>
      </c>
      <c r="DE1138" t="str">
        <f>""</f>
        <v/>
      </c>
      <c r="DF1138" t="str">
        <f>""</f>
        <v/>
      </c>
      <c r="DG1138" t="str">
        <f>""</f>
        <v/>
      </c>
      <c r="DH1138" t="str">
        <f>""</f>
        <v/>
      </c>
      <c r="DI1138" t="str">
        <f>""</f>
        <v/>
      </c>
      <c r="DJ1138" t="str">
        <f>""</f>
        <v/>
      </c>
      <c r="DK1138" t="str">
        <f>""</f>
        <v/>
      </c>
      <c r="DL1138" t="str">
        <f>""</f>
        <v/>
      </c>
      <c r="DM1138" t="str">
        <f>""</f>
        <v/>
      </c>
      <c r="DN1138" t="str">
        <f>""</f>
        <v/>
      </c>
      <c r="DO1138" t="str">
        <f>""</f>
        <v/>
      </c>
      <c r="DP1138" t="str">
        <f>""</f>
        <v/>
      </c>
      <c r="DQ1138" t="str">
        <f>""</f>
        <v/>
      </c>
      <c r="DR1138" t="str">
        <f>""</f>
        <v/>
      </c>
      <c r="DS1138" t="str">
        <f>""</f>
        <v/>
      </c>
      <c r="DT1138" t="str">
        <f>""</f>
        <v/>
      </c>
      <c r="DU1138" t="str">
        <f>""</f>
        <v/>
      </c>
    </row>
    <row r="1139" spans="1:125" x14ac:dyDescent="0.25">
      <c r="A1139" t="str">
        <f>$A$477</f>
        <v xml:space="preserve">    Hyundai Motor Co</v>
      </c>
      <c r="B1139" t="str">
        <f>$B$477</f>
        <v>005380 KS Equity</v>
      </c>
      <c r="C1139" t="str">
        <f>$C$477</f>
        <v>RR476</v>
      </c>
      <c r="D1139" t="str">
        <f>$D$477</f>
        <v>EV_TO_T12M_NET_INCOME</v>
      </c>
      <c r="E1139" t="str">
        <f>$E$477</f>
        <v>Dynamic</v>
      </c>
      <c r="F1139" t="str">
        <f ca="1">_xll.BDH($B$477,$C$477,$B$675,$B$676,CONCATENATE("Per=",$B$673),"Dts=H","Dir=H",CONCATENATE("Points=",$B$674),"Sort=R","Days=A","Fill=B",CONCATENATE("FX=", $B$672) )</f>
        <v>#N/A Connection</v>
      </c>
      <c r="BN1139" t="str">
        <f>""</f>
        <v/>
      </c>
      <c r="BO1139" t="str">
        <f>""</f>
        <v/>
      </c>
      <c r="BP1139" t="str">
        <f>""</f>
        <v/>
      </c>
      <c r="BQ1139" t="str">
        <f>""</f>
        <v/>
      </c>
      <c r="BR1139" t="str">
        <f>""</f>
        <v/>
      </c>
      <c r="BS1139" t="str">
        <f>""</f>
        <v/>
      </c>
      <c r="BT1139" t="str">
        <f>""</f>
        <v/>
      </c>
      <c r="BU1139" t="str">
        <f>""</f>
        <v/>
      </c>
      <c r="BV1139" t="str">
        <f>""</f>
        <v/>
      </c>
      <c r="BW1139" t="str">
        <f>""</f>
        <v/>
      </c>
      <c r="BX1139" t="str">
        <f>""</f>
        <v/>
      </c>
      <c r="BY1139" t="str">
        <f>""</f>
        <v/>
      </c>
      <c r="BZ1139" t="str">
        <f>""</f>
        <v/>
      </c>
      <c r="CA1139" t="str">
        <f>""</f>
        <v/>
      </c>
      <c r="CB1139" t="str">
        <f>""</f>
        <v/>
      </c>
      <c r="CC1139" t="str">
        <f>""</f>
        <v/>
      </c>
      <c r="CD1139" t="str">
        <f>""</f>
        <v/>
      </c>
      <c r="CE1139" t="str">
        <f>""</f>
        <v/>
      </c>
      <c r="CF1139" t="str">
        <f>""</f>
        <v/>
      </c>
      <c r="CG1139" t="str">
        <f>""</f>
        <v/>
      </c>
      <c r="CH1139" t="str">
        <f>""</f>
        <v/>
      </c>
      <c r="CI1139" t="str">
        <f>""</f>
        <v/>
      </c>
      <c r="CJ1139" t="str">
        <f>""</f>
        <v/>
      </c>
      <c r="CK1139" t="str">
        <f>""</f>
        <v/>
      </c>
      <c r="CL1139" t="str">
        <f>""</f>
        <v/>
      </c>
      <c r="CM1139" t="str">
        <f>""</f>
        <v/>
      </c>
      <c r="CN1139" t="str">
        <f>""</f>
        <v/>
      </c>
      <c r="CO1139" t="str">
        <f>""</f>
        <v/>
      </c>
      <c r="CP1139" t="str">
        <f>""</f>
        <v/>
      </c>
      <c r="CQ1139" t="str">
        <f>""</f>
        <v/>
      </c>
      <c r="CR1139" t="str">
        <f>""</f>
        <v/>
      </c>
      <c r="CS1139" t="str">
        <f>""</f>
        <v/>
      </c>
      <c r="CT1139" t="str">
        <f>""</f>
        <v/>
      </c>
      <c r="CU1139" t="str">
        <f>""</f>
        <v/>
      </c>
      <c r="CV1139" t="str">
        <f>""</f>
        <v/>
      </c>
      <c r="CW1139" t="str">
        <f>""</f>
        <v/>
      </c>
      <c r="CX1139" t="str">
        <f>""</f>
        <v/>
      </c>
      <c r="CY1139" t="str">
        <f>""</f>
        <v/>
      </c>
      <c r="CZ1139" t="str">
        <f>""</f>
        <v/>
      </c>
      <c r="DA1139" t="str">
        <f>""</f>
        <v/>
      </c>
      <c r="DB1139" t="str">
        <f>""</f>
        <v/>
      </c>
      <c r="DC1139" t="str">
        <f>""</f>
        <v/>
      </c>
      <c r="DD1139" t="str">
        <f>""</f>
        <v/>
      </c>
      <c r="DE1139" t="str">
        <f>""</f>
        <v/>
      </c>
      <c r="DF1139" t="str">
        <f>""</f>
        <v/>
      </c>
      <c r="DG1139" t="str">
        <f>""</f>
        <v/>
      </c>
      <c r="DH1139" t="str">
        <f>""</f>
        <v/>
      </c>
      <c r="DI1139" t="str">
        <f>""</f>
        <v/>
      </c>
      <c r="DJ1139" t="str">
        <f>""</f>
        <v/>
      </c>
      <c r="DK1139" t="str">
        <f>""</f>
        <v/>
      </c>
      <c r="DL1139" t="str">
        <f>""</f>
        <v/>
      </c>
      <c r="DM1139" t="str">
        <f>""</f>
        <v/>
      </c>
      <c r="DN1139" t="str">
        <f>""</f>
        <v/>
      </c>
      <c r="DO1139" t="str">
        <f>""</f>
        <v/>
      </c>
      <c r="DP1139" t="str">
        <f>""</f>
        <v/>
      </c>
      <c r="DQ1139" t="str">
        <f>""</f>
        <v/>
      </c>
      <c r="DR1139" t="str">
        <f>""</f>
        <v/>
      </c>
      <c r="DS1139" t="str">
        <f>""</f>
        <v/>
      </c>
      <c r="DT1139" t="str">
        <f>""</f>
        <v/>
      </c>
      <c r="DU1139" t="str">
        <f>""</f>
        <v/>
      </c>
    </row>
    <row r="1140" spans="1:125" x14ac:dyDescent="0.25">
      <c r="A1140" t="str">
        <f>$A$478</f>
        <v xml:space="preserve">    Kia Motors Corp</v>
      </c>
      <c r="B1140" t="str">
        <f>$B$478</f>
        <v>000270 KS Equity</v>
      </c>
      <c r="C1140" t="str">
        <f>$C$478</f>
        <v>RR476</v>
      </c>
      <c r="D1140" t="str">
        <f>$D$478</f>
        <v>EV_TO_T12M_NET_INCOME</v>
      </c>
      <c r="E1140" t="str">
        <f>$E$478</f>
        <v>Dynamic</v>
      </c>
      <c r="F1140" t="str">
        <f ca="1">_xll.BDH($B$478,$C$478,$B$675,$B$676,CONCATENATE("Per=",$B$673),"Dts=H","Dir=H",CONCATENATE("Points=",$B$674),"Sort=R","Days=A","Fill=B",CONCATENATE("FX=", $B$672) )</f>
        <v>#N/A Connection</v>
      </c>
      <c r="BN1140" t="str">
        <f>""</f>
        <v/>
      </c>
      <c r="BO1140" t="str">
        <f>""</f>
        <v/>
      </c>
      <c r="BP1140" t="str">
        <f>""</f>
        <v/>
      </c>
      <c r="BQ1140" t="str">
        <f>""</f>
        <v/>
      </c>
      <c r="BR1140" t="str">
        <f>""</f>
        <v/>
      </c>
      <c r="BS1140" t="str">
        <f>""</f>
        <v/>
      </c>
      <c r="BT1140" t="str">
        <f>""</f>
        <v/>
      </c>
      <c r="BU1140" t="str">
        <f>""</f>
        <v/>
      </c>
      <c r="BV1140" t="str">
        <f>""</f>
        <v/>
      </c>
      <c r="BW1140" t="str">
        <f>""</f>
        <v/>
      </c>
      <c r="BX1140" t="str">
        <f>""</f>
        <v/>
      </c>
      <c r="BY1140" t="str">
        <f>""</f>
        <v/>
      </c>
      <c r="BZ1140" t="str">
        <f>""</f>
        <v/>
      </c>
      <c r="CA1140" t="str">
        <f>""</f>
        <v/>
      </c>
      <c r="CB1140" t="str">
        <f>""</f>
        <v/>
      </c>
      <c r="CC1140" t="str">
        <f>""</f>
        <v/>
      </c>
      <c r="CD1140" t="str">
        <f>""</f>
        <v/>
      </c>
      <c r="CE1140" t="str">
        <f>""</f>
        <v/>
      </c>
      <c r="CF1140" t="str">
        <f>""</f>
        <v/>
      </c>
      <c r="CG1140" t="str">
        <f>""</f>
        <v/>
      </c>
      <c r="CH1140" t="str">
        <f>""</f>
        <v/>
      </c>
      <c r="CI1140" t="str">
        <f>""</f>
        <v/>
      </c>
      <c r="CJ1140" t="str">
        <f>""</f>
        <v/>
      </c>
      <c r="CK1140" t="str">
        <f>""</f>
        <v/>
      </c>
      <c r="CL1140" t="str">
        <f>""</f>
        <v/>
      </c>
      <c r="CM1140" t="str">
        <f>""</f>
        <v/>
      </c>
      <c r="CN1140" t="str">
        <f>""</f>
        <v/>
      </c>
      <c r="CO1140" t="str">
        <f>""</f>
        <v/>
      </c>
      <c r="CP1140" t="str">
        <f>""</f>
        <v/>
      </c>
      <c r="CQ1140" t="str">
        <f>""</f>
        <v/>
      </c>
      <c r="CR1140" t="str">
        <f>""</f>
        <v/>
      </c>
      <c r="CS1140" t="str">
        <f>""</f>
        <v/>
      </c>
      <c r="CT1140" t="str">
        <f>""</f>
        <v/>
      </c>
      <c r="CU1140" t="str">
        <f>""</f>
        <v/>
      </c>
      <c r="CV1140" t="str">
        <f>""</f>
        <v/>
      </c>
      <c r="CW1140" t="str">
        <f>""</f>
        <v/>
      </c>
      <c r="CX1140" t="str">
        <f>""</f>
        <v/>
      </c>
      <c r="CY1140" t="str">
        <f>""</f>
        <v/>
      </c>
      <c r="CZ1140" t="str">
        <f>""</f>
        <v/>
      </c>
      <c r="DA1140" t="str">
        <f>""</f>
        <v/>
      </c>
      <c r="DB1140" t="str">
        <f>""</f>
        <v/>
      </c>
      <c r="DC1140" t="str">
        <f>""</f>
        <v/>
      </c>
      <c r="DD1140" t="str">
        <f>""</f>
        <v/>
      </c>
      <c r="DE1140" t="str">
        <f>""</f>
        <v/>
      </c>
      <c r="DF1140" t="str">
        <f>""</f>
        <v/>
      </c>
      <c r="DG1140" t="str">
        <f>""</f>
        <v/>
      </c>
      <c r="DH1140" t="str">
        <f>""</f>
        <v/>
      </c>
      <c r="DI1140" t="str">
        <f>""</f>
        <v/>
      </c>
      <c r="DJ1140" t="str">
        <f>""</f>
        <v/>
      </c>
      <c r="DK1140" t="str">
        <f>""</f>
        <v/>
      </c>
      <c r="DL1140" t="str">
        <f>""</f>
        <v/>
      </c>
      <c r="DM1140" t="str">
        <f>""</f>
        <v/>
      </c>
      <c r="DN1140" t="str">
        <f>""</f>
        <v/>
      </c>
      <c r="DO1140" t="str">
        <f>""</f>
        <v/>
      </c>
      <c r="DP1140" t="str">
        <f>""</f>
        <v/>
      </c>
      <c r="DQ1140" t="str">
        <f>""</f>
        <v/>
      </c>
      <c r="DR1140" t="str">
        <f>""</f>
        <v/>
      </c>
      <c r="DS1140" t="str">
        <f>""</f>
        <v/>
      </c>
      <c r="DT1140" t="str">
        <f>""</f>
        <v/>
      </c>
      <c r="DU1140" t="str">
        <f>""</f>
        <v/>
      </c>
    </row>
    <row r="1141" spans="1:125" x14ac:dyDescent="0.25">
      <c r="A1141" t="str">
        <f>$A$479</f>
        <v xml:space="preserve">    Mazda Motor Corp</v>
      </c>
      <c r="B1141" t="str">
        <f>$B$479</f>
        <v>7261 JP Equity</v>
      </c>
      <c r="C1141" t="str">
        <f>$C$479</f>
        <v>RR476</v>
      </c>
      <c r="D1141" t="str">
        <f>$D$479</f>
        <v>EV_TO_T12M_NET_INCOME</v>
      </c>
      <c r="E1141" t="str">
        <f>$E$479</f>
        <v>Dynamic</v>
      </c>
      <c r="F1141" t="str">
        <f ca="1">_xll.BDH($B$479,$C$479,$B$675,$B$676,CONCATENATE("Per=",$B$673),"Dts=H","Dir=H",CONCATENATE("Points=",$B$674),"Sort=R","Days=A","Fill=B",CONCATENATE("FX=", $B$672) )</f>
        <v>#N/A Connection</v>
      </c>
      <c r="BN1141" t="str">
        <f>""</f>
        <v/>
      </c>
      <c r="BO1141" t="str">
        <f>""</f>
        <v/>
      </c>
      <c r="BP1141" t="str">
        <f>""</f>
        <v/>
      </c>
      <c r="BQ1141" t="str">
        <f>""</f>
        <v/>
      </c>
      <c r="BR1141" t="str">
        <f>""</f>
        <v/>
      </c>
      <c r="BS1141" t="str">
        <f>""</f>
        <v/>
      </c>
      <c r="BT1141" t="str">
        <f>""</f>
        <v/>
      </c>
      <c r="BU1141" t="str">
        <f>""</f>
        <v/>
      </c>
      <c r="BV1141" t="str">
        <f>""</f>
        <v/>
      </c>
      <c r="BW1141" t="str">
        <f>""</f>
        <v/>
      </c>
      <c r="BX1141" t="str">
        <f>""</f>
        <v/>
      </c>
      <c r="BY1141" t="str">
        <f>""</f>
        <v/>
      </c>
      <c r="BZ1141" t="str">
        <f>""</f>
        <v/>
      </c>
      <c r="CA1141" t="str">
        <f>""</f>
        <v/>
      </c>
      <c r="CB1141" t="str">
        <f>""</f>
        <v/>
      </c>
      <c r="CC1141" t="str">
        <f>""</f>
        <v/>
      </c>
      <c r="CD1141" t="str">
        <f>""</f>
        <v/>
      </c>
      <c r="CE1141" t="str">
        <f>""</f>
        <v/>
      </c>
      <c r="CF1141" t="str">
        <f>""</f>
        <v/>
      </c>
      <c r="CG1141" t="str">
        <f>""</f>
        <v/>
      </c>
      <c r="CH1141" t="str">
        <f>""</f>
        <v/>
      </c>
      <c r="CI1141" t="str">
        <f>""</f>
        <v/>
      </c>
      <c r="CJ1141" t="str">
        <f>""</f>
        <v/>
      </c>
      <c r="CK1141" t="str">
        <f>""</f>
        <v/>
      </c>
      <c r="CL1141" t="str">
        <f>""</f>
        <v/>
      </c>
      <c r="CM1141" t="str">
        <f>""</f>
        <v/>
      </c>
      <c r="CN1141" t="str">
        <f>""</f>
        <v/>
      </c>
      <c r="CO1141" t="str">
        <f>""</f>
        <v/>
      </c>
      <c r="CP1141" t="str">
        <f>""</f>
        <v/>
      </c>
      <c r="CQ1141" t="str">
        <f>""</f>
        <v/>
      </c>
      <c r="CR1141" t="str">
        <f>""</f>
        <v/>
      </c>
      <c r="CS1141" t="str">
        <f>""</f>
        <v/>
      </c>
      <c r="CT1141" t="str">
        <f>""</f>
        <v/>
      </c>
      <c r="CU1141" t="str">
        <f>""</f>
        <v/>
      </c>
      <c r="CV1141" t="str">
        <f>""</f>
        <v/>
      </c>
      <c r="CW1141" t="str">
        <f>""</f>
        <v/>
      </c>
      <c r="CX1141" t="str">
        <f>""</f>
        <v/>
      </c>
      <c r="CY1141" t="str">
        <f>""</f>
        <v/>
      </c>
      <c r="CZ1141" t="str">
        <f>""</f>
        <v/>
      </c>
      <c r="DA1141" t="str">
        <f>""</f>
        <v/>
      </c>
      <c r="DB1141" t="str">
        <f>""</f>
        <v/>
      </c>
      <c r="DC1141" t="str">
        <f>""</f>
        <v/>
      </c>
      <c r="DD1141" t="str">
        <f>""</f>
        <v/>
      </c>
      <c r="DE1141" t="str">
        <f>""</f>
        <v/>
      </c>
      <c r="DF1141" t="str">
        <f>""</f>
        <v/>
      </c>
      <c r="DG1141" t="str">
        <f>""</f>
        <v/>
      </c>
      <c r="DH1141" t="str">
        <f>""</f>
        <v/>
      </c>
      <c r="DI1141" t="str">
        <f>""</f>
        <v/>
      </c>
      <c r="DJ1141" t="str">
        <f>""</f>
        <v/>
      </c>
      <c r="DK1141" t="str">
        <f>""</f>
        <v/>
      </c>
      <c r="DL1141" t="str">
        <f>""</f>
        <v/>
      </c>
      <c r="DM1141" t="str">
        <f>""</f>
        <v/>
      </c>
      <c r="DN1141" t="str">
        <f>""</f>
        <v/>
      </c>
      <c r="DO1141" t="str">
        <f>""</f>
        <v/>
      </c>
      <c r="DP1141" t="str">
        <f>""</f>
        <v/>
      </c>
      <c r="DQ1141" t="str">
        <f>""</f>
        <v/>
      </c>
      <c r="DR1141" t="str">
        <f>""</f>
        <v/>
      </c>
      <c r="DS1141" t="str">
        <f>""</f>
        <v/>
      </c>
      <c r="DT1141" t="str">
        <f>""</f>
        <v/>
      </c>
      <c r="DU1141" t="str">
        <f>""</f>
        <v/>
      </c>
    </row>
    <row r="1142" spans="1:125" x14ac:dyDescent="0.25">
      <c r="A1142" t="str">
        <f>$A$480</f>
        <v xml:space="preserve">    Mitsubishi Motors Corp</v>
      </c>
      <c r="B1142" t="str">
        <f>$B$480</f>
        <v>7211 JP Equity</v>
      </c>
      <c r="C1142" t="str">
        <f>$C$480</f>
        <v>RR476</v>
      </c>
      <c r="D1142" t="str">
        <f>$D$480</f>
        <v>EV_TO_T12M_NET_INCOME</v>
      </c>
      <c r="E1142" t="str">
        <f>$E$480</f>
        <v>Dynamic</v>
      </c>
      <c r="F1142" t="str">
        <f ca="1">_xll.BDH($B$480,$C$480,$B$675,$B$676,CONCATENATE("Per=",$B$673),"Dts=H","Dir=H",CONCATENATE("Points=",$B$674),"Sort=R","Days=A","Fill=B",CONCATENATE("FX=", $B$672) )</f>
        <v>#N/A Connection</v>
      </c>
      <c r="BN1142" t="str">
        <f>""</f>
        <v/>
      </c>
      <c r="BO1142" t="str">
        <f>""</f>
        <v/>
      </c>
      <c r="BP1142" t="str">
        <f>""</f>
        <v/>
      </c>
      <c r="BQ1142" t="str">
        <f>""</f>
        <v/>
      </c>
      <c r="BR1142" t="str">
        <f>""</f>
        <v/>
      </c>
      <c r="BS1142" t="str">
        <f>""</f>
        <v/>
      </c>
      <c r="BT1142" t="str">
        <f>""</f>
        <v/>
      </c>
      <c r="BU1142" t="str">
        <f>""</f>
        <v/>
      </c>
      <c r="BV1142" t="str">
        <f>""</f>
        <v/>
      </c>
      <c r="BW1142" t="str">
        <f>""</f>
        <v/>
      </c>
      <c r="BX1142" t="str">
        <f>""</f>
        <v/>
      </c>
      <c r="BY1142" t="str">
        <f>""</f>
        <v/>
      </c>
      <c r="BZ1142" t="str">
        <f>""</f>
        <v/>
      </c>
      <c r="CA1142" t="str">
        <f>""</f>
        <v/>
      </c>
      <c r="CB1142" t="str">
        <f>""</f>
        <v/>
      </c>
      <c r="CC1142" t="str">
        <f>""</f>
        <v/>
      </c>
      <c r="CD1142" t="str">
        <f>""</f>
        <v/>
      </c>
      <c r="CE1142" t="str">
        <f>""</f>
        <v/>
      </c>
      <c r="CF1142" t="str">
        <f>""</f>
        <v/>
      </c>
      <c r="CG1142" t="str">
        <f>""</f>
        <v/>
      </c>
      <c r="CH1142" t="str">
        <f>""</f>
        <v/>
      </c>
      <c r="CI1142" t="str">
        <f>""</f>
        <v/>
      </c>
      <c r="CJ1142" t="str">
        <f>""</f>
        <v/>
      </c>
      <c r="CK1142" t="str">
        <f>""</f>
        <v/>
      </c>
      <c r="CL1142" t="str">
        <f>""</f>
        <v/>
      </c>
      <c r="CM1142" t="str">
        <f>""</f>
        <v/>
      </c>
      <c r="CN1142" t="str">
        <f>""</f>
        <v/>
      </c>
      <c r="CO1142" t="str">
        <f>""</f>
        <v/>
      </c>
      <c r="CP1142" t="str">
        <f>""</f>
        <v/>
      </c>
      <c r="CQ1142" t="str">
        <f>""</f>
        <v/>
      </c>
      <c r="CR1142" t="str">
        <f>""</f>
        <v/>
      </c>
      <c r="CS1142" t="str">
        <f>""</f>
        <v/>
      </c>
      <c r="CT1142" t="str">
        <f>""</f>
        <v/>
      </c>
      <c r="CU1142" t="str">
        <f>""</f>
        <v/>
      </c>
      <c r="CV1142" t="str">
        <f>""</f>
        <v/>
      </c>
      <c r="CW1142" t="str">
        <f>""</f>
        <v/>
      </c>
      <c r="CX1142" t="str">
        <f>""</f>
        <v/>
      </c>
      <c r="CY1142" t="str">
        <f>""</f>
        <v/>
      </c>
      <c r="CZ1142" t="str">
        <f>""</f>
        <v/>
      </c>
      <c r="DA1142" t="str">
        <f>""</f>
        <v/>
      </c>
      <c r="DB1142" t="str">
        <f>""</f>
        <v/>
      </c>
      <c r="DC1142" t="str">
        <f>""</f>
        <v/>
      </c>
      <c r="DD1142" t="str">
        <f>""</f>
        <v/>
      </c>
      <c r="DE1142" t="str">
        <f>""</f>
        <v/>
      </c>
      <c r="DF1142" t="str">
        <f>""</f>
        <v/>
      </c>
      <c r="DG1142" t="str">
        <f>""</f>
        <v/>
      </c>
      <c r="DH1142" t="str">
        <f>""</f>
        <v/>
      </c>
      <c r="DI1142" t="str">
        <f>""</f>
        <v/>
      </c>
      <c r="DJ1142" t="str">
        <f>""</f>
        <v/>
      </c>
      <c r="DK1142" t="str">
        <f>""</f>
        <v/>
      </c>
      <c r="DL1142" t="str">
        <f>""</f>
        <v/>
      </c>
      <c r="DM1142" t="str">
        <f>""</f>
        <v/>
      </c>
      <c r="DN1142" t="str">
        <f>""</f>
        <v/>
      </c>
      <c r="DO1142" t="str">
        <f>""</f>
        <v/>
      </c>
      <c r="DP1142" t="str">
        <f>""</f>
        <v/>
      </c>
      <c r="DQ1142" t="str">
        <f>""</f>
        <v/>
      </c>
      <c r="DR1142" t="str">
        <f>""</f>
        <v/>
      </c>
      <c r="DS1142" t="str">
        <f>""</f>
        <v/>
      </c>
      <c r="DT1142" t="str">
        <f>""</f>
        <v/>
      </c>
      <c r="DU1142" t="str">
        <f>""</f>
        <v/>
      </c>
    </row>
    <row r="1143" spans="1:125" x14ac:dyDescent="0.25">
      <c r="A1143" t="str">
        <f>$A$481</f>
        <v xml:space="preserve">    Nissan Motor Co Ltd</v>
      </c>
      <c r="B1143" t="str">
        <f>$B$481</f>
        <v>7201 JP Equity</v>
      </c>
      <c r="C1143" t="str">
        <f>$C$481</f>
        <v>RR476</v>
      </c>
      <c r="D1143" t="str">
        <f>$D$481</f>
        <v>EV_TO_T12M_NET_INCOME</v>
      </c>
      <c r="E1143" t="str">
        <f>$E$481</f>
        <v>Dynamic</v>
      </c>
      <c r="F1143" t="str">
        <f ca="1">_xll.BDH($B$481,$C$481,$B$675,$B$676,CONCATENATE("Per=",$B$673),"Dts=H","Dir=H",CONCATENATE("Points=",$B$674),"Sort=R","Days=A","Fill=B",CONCATENATE("FX=", $B$672) )</f>
        <v>#N/A Connection</v>
      </c>
      <c r="BN1143" t="str">
        <f>""</f>
        <v/>
      </c>
      <c r="BO1143" t="str">
        <f>""</f>
        <v/>
      </c>
      <c r="BP1143" t="str">
        <f>""</f>
        <v/>
      </c>
      <c r="BQ1143" t="str">
        <f>""</f>
        <v/>
      </c>
      <c r="BR1143" t="str">
        <f>""</f>
        <v/>
      </c>
      <c r="BS1143" t="str">
        <f>""</f>
        <v/>
      </c>
      <c r="BT1143" t="str">
        <f>""</f>
        <v/>
      </c>
      <c r="BU1143" t="str">
        <f>""</f>
        <v/>
      </c>
      <c r="BV1143" t="str">
        <f>""</f>
        <v/>
      </c>
      <c r="BW1143" t="str">
        <f>""</f>
        <v/>
      </c>
      <c r="BX1143" t="str">
        <f>""</f>
        <v/>
      </c>
      <c r="BY1143" t="str">
        <f>""</f>
        <v/>
      </c>
      <c r="BZ1143" t="str">
        <f>""</f>
        <v/>
      </c>
      <c r="CA1143" t="str">
        <f>""</f>
        <v/>
      </c>
      <c r="CB1143" t="str">
        <f>""</f>
        <v/>
      </c>
      <c r="CC1143" t="str">
        <f>""</f>
        <v/>
      </c>
      <c r="CD1143" t="str">
        <f>""</f>
        <v/>
      </c>
      <c r="CE1143" t="str">
        <f>""</f>
        <v/>
      </c>
      <c r="CF1143" t="str">
        <f>""</f>
        <v/>
      </c>
      <c r="CG1143" t="str">
        <f>""</f>
        <v/>
      </c>
      <c r="CH1143" t="str">
        <f>""</f>
        <v/>
      </c>
      <c r="CI1143" t="str">
        <f>""</f>
        <v/>
      </c>
      <c r="CJ1143" t="str">
        <f>""</f>
        <v/>
      </c>
      <c r="CK1143" t="str">
        <f>""</f>
        <v/>
      </c>
      <c r="CL1143" t="str">
        <f>""</f>
        <v/>
      </c>
      <c r="CM1143" t="str">
        <f>""</f>
        <v/>
      </c>
      <c r="CN1143" t="str">
        <f>""</f>
        <v/>
      </c>
      <c r="CO1143" t="str">
        <f>""</f>
        <v/>
      </c>
      <c r="CP1143" t="str">
        <f>""</f>
        <v/>
      </c>
      <c r="CQ1143" t="str">
        <f>""</f>
        <v/>
      </c>
      <c r="CR1143" t="str">
        <f>""</f>
        <v/>
      </c>
      <c r="CS1143" t="str">
        <f>""</f>
        <v/>
      </c>
      <c r="CT1143" t="str">
        <f>""</f>
        <v/>
      </c>
      <c r="CU1143" t="str">
        <f>""</f>
        <v/>
      </c>
      <c r="CV1143" t="str">
        <f>""</f>
        <v/>
      </c>
      <c r="CW1143" t="str">
        <f>""</f>
        <v/>
      </c>
      <c r="CX1143" t="str">
        <f>""</f>
        <v/>
      </c>
      <c r="CY1143" t="str">
        <f>""</f>
        <v/>
      </c>
      <c r="CZ1143" t="str">
        <f>""</f>
        <v/>
      </c>
      <c r="DA1143" t="str">
        <f>""</f>
        <v/>
      </c>
      <c r="DB1143" t="str">
        <f>""</f>
        <v/>
      </c>
      <c r="DC1143" t="str">
        <f>""</f>
        <v/>
      </c>
      <c r="DD1143" t="str">
        <f>""</f>
        <v/>
      </c>
      <c r="DE1143" t="str">
        <f>""</f>
        <v/>
      </c>
      <c r="DF1143" t="str">
        <f>""</f>
        <v/>
      </c>
      <c r="DG1143" t="str">
        <f>""</f>
        <v/>
      </c>
      <c r="DH1143" t="str">
        <f>""</f>
        <v/>
      </c>
      <c r="DI1143" t="str">
        <f>""</f>
        <v/>
      </c>
      <c r="DJ1143" t="str">
        <f>""</f>
        <v/>
      </c>
      <c r="DK1143" t="str">
        <f>""</f>
        <v/>
      </c>
      <c r="DL1143" t="str">
        <f>""</f>
        <v/>
      </c>
      <c r="DM1143" t="str">
        <f>""</f>
        <v/>
      </c>
      <c r="DN1143" t="str">
        <f>""</f>
        <v/>
      </c>
      <c r="DO1143" t="str">
        <f>""</f>
        <v/>
      </c>
      <c r="DP1143" t="str">
        <f>""</f>
        <v/>
      </c>
      <c r="DQ1143" t="str">
        <f>""</f>
        <v/>
      </c>
      <c r="DR1143" t="str">
        <f>""</f>
        <v/>
      </c>
      <c r="DS1143" t="str">
        <f>""</f>
        <v/>
      </c>
      <c r="DT1143" t="str">
        <f>""</f>
        <v/>
      </c>
      <c r="DU1143" t="str">
        <f>""</f>
        <v/>
      </c>
    </row>
    <row r="1144" spans="1:125" x14ac:dyDescent="0.25">
      <c r="A1144" t="str">
        <f>$A$482</f>
        <v xml:space="preserve">    Peugeot SA</v>
      </c>
      <c r="B1144" t="str">
        <f>$B$482</f>
        <v>UG FP Equity</v>
      </c>
      <c r="C1144" t="str">
        <f>$C$482</f>
        <v>RR476</v>
      </c>
      <c r="D1144" t="str">
        <f>$D$482</f>
        <v>EV_TO_T12M_NET_INCOME</v>
      </c>
      <c r="E1144" t="str">
        <f>$E$482</f>
        <v>Dynamic</v>
      </c>
      <c r="F1144" t="str">
        <f ca="1">_xll.BDH($B$482,$C$482,$B$675,$B$676,CONCATENATE("Per=",$B$673),"Dts=H","Dir=H",CONCATENATE("Points=",$B$674),"Sort=R","Days=A","Fill=B",CONCATENATE("FX=", $B$672) )</f>
        <v>#N/A Connection</v>
      </c>
      <c r="BN1144" t="str">
        <f>""</f>
        <v/>
      </c>
      <c r="BO1144" t="str">
        <f>""</f>
        <v/>
      </c>
      <c r="BP1144" t="str">
        <f>""</f>
        <v/>
      </c>
      <c r="BQ1144" t="str">
        <f>""</f>
        <v/>
      </c>
      <c r="BR1144" t="str">
        <f>""</f>
        <v/>
      </c>
      <c r="BS1144" t="str">
        <f>""</f>
        <v/>
      </c>
      <c r="BT1144" t="str">
        <f>""</f>
        <v/>
      </c>
      <c r="BU1144" t="str">
        <f>""</f>
        <v/>
      </c>
      <c r="BV1144" t="str">
        <f>""</f>
        <v/>
      </c>
      <c r="BW1144" t="str">
        <f>""</f>
        <v/>
      </c>
      <c r="BX1144" t="str">
        <f>""</f>
        <v/>
      </c>
      <c r="BY1144" t="str">
        <f>""</f>
        <v/>
      </c>
      <c r="BZ1144" t="str">
        <f>""</f>
        <v/>
      </c>
      <c r="CA1144" t="str">
        <f>""</f>
        <v/>
      </c>
      <c r="CB1144" t="str">
        <f>""</f>
        <v/>
      </c>
      <c r="CC1144" t="str">
        <f>""</f>
        <v/>
      </c>
      <c r="CD1144" t="str">
        <f>""</f>
        <v/>
      </c>
      <c r="CE1144" t="str">
        <f>""</f>
        <v/>
      </c>
      <c r="CF1144" t="str">
        <f>""</f>
        <v/>
      </c>
      <c r="CG1144" t="str">
        <f>""</f>
        <v/>
      </c>
      <c r="CH1144" t="str">
        <f>""</f>
        <v/>
      </c>
      <c r="CI1144" t="str">
        <f>""</f>
        <v/>
      </c>
      <c r="CJ1144" t="str">
        <f>""</f>
        <v/>
      </c>
      <c r="CK1144" t="str">
        <f>""</f>
        <v/>
      </c>
      <c r="CL1144" t="str">
        <f>""</f>
        <v/>
      </c>
      <c r="CM1144" t="str">
        <f>""</f>
        <v/>
      </c>
      <c r="CN1144" t="str">
        <f>""</f>
        <v/>
      </c>
      <c r="CO1144" t="str">
        <f>""</f>
        <v/>
      </c>
      <c r="CP1144" t="str">
        <f>""</f>
        <v/>
      </c>
      <c r="CQ1144" t="str">
        <f>""</f>
        <v/>
      </c>
      <c r="CR1144" t="str">
        <f>""</f>
        <v/>
      </c>
      <c r="CS1144" t="str">
        <f>""</f>
        <v/>
      </c>
      <c r="CT1144" t="str">
        <f>""</f>
        <v/>
      </c>
      <c r="CU1144" t="str">
        <f>""</f>
        <v/>
      </c>
      <c r="CV1144" t="str">
        <f>""</f>
        <v/>
      </c>
      <c r="CW1144" t="str">
        <f>""</f>
        <v/>
      </c>
      <c r="CX1144" t="str">
        <f>""</f>
        <v/>
      </c>
      <c r="CY1144" t="str">
        <f>""</f>
        <v/>
      </c>
      <c r="CZ1144" t="str">
        <f>""</f>
        <v/>
      </c>
      <c r="DA1144" t="str">
        <f>""</f>
        <v/>
      </c>
      <c r="DB1144" t="str">
        <f>""</f>
        <v/>
      </c>
      <c r="DC1144" t="str">
        <f>""</f>
        <v/>
      </c>
      <c r="DD1144" t="str">
        <f>""</f>
        <v/>
      </c>
      <c r="DE1144" t="str">
        <f>""</f>
        <v/>
      </c>
      <c r="DF1144" t="str">
        <f>""</f>
        <v/>
      </c>
      <c r="DG1144" t="str">
        <f>""</f>
        <v/>
      </c>
      <c r="DH1144" t="str">
        <f>""</f>
        <v/>
      </c>
      <c r="DI1144" t="str">
        <f>""</f>
        <v/>
      </c>
      <c r="DJ1144" t="str">
        <f>""</f>
        <v/>
      </c>
      <c r="DK1144" t="str">
        <f>""</f>
        <v/>
      </c>
      <c r="DL1144" t="str">
        <f>""</f>
        <v/>
      </c>
      <c r="DM1144" t="str">
        <f>""</f>
        <v/>
      </c>
      <c r="DN1144" t="str">
        <f>""</f>
        <v/>
      </c>
      <c r="DO1144" t="str">
        <f>""</f>
        <v/>
      </c>
      <c r="DP1144" t="str">
        <f>""</f>
        <v/>
      </c>
      <c r="DQ1144" t="str">
        <f>""</f>
        <v/>
      </c>
      <c r="DR1144" t="str">
        <f>""</f>
        <v/>
      </c>
      <c r="DS1144" t="str">
        <f>""</f>
        <v/>
      </c>
      <c r="DT1144" t="str">
        <f>""</f>
        <v/>
      </c>
      <c r="DU1144" t="str">
        <f>""</f>
        <v/>
      </c>
    </row>
    <row r="1145" spans="1:125" x14ac:dyDescent="0.25">
      <c r="A1145" t="str">
        <f>$A$483</f>
        <v xml:space="preserve">    Renault SA</v>
      </c>
      <c r="B1145" t="str">
        <f>$B$483</f>
        <v>RNO FP Equity</v>
      </c>
      <c r="C1145" t="str">
        <f>$C$483</f>
        <v>RR476</v>
      </c>
      <c r="D1145" t="str">
        <f>$D$483</f>
        <v>EV_TO_T12M_NET_INCOME</v>
      </c>
      <c r="E1145" t="str">
        <f>$E$483</f>
        <v>Dynamic</v>
      </c>
      <c r="F1145" t="str">
        <f ca="1">_xll.BDH($B$483,$C$483,$B$675,$B$676,CONCATENATE("Per=",$B$673),"Dts=H","Dir=H",CONCATENATE("Points=",$B$674),"Sort=R","Days=A","Fill=B",CONCATENATE("FX=", $B$672) )</f>
        <v>#N/A Connection</v>
      </c>
      <c r="BN1145" t="str">
        <f>""</f>
        <v/>
      </c>
      <c r="BO1145" t="str">
        <f>""</f>
        <v/>
      </c>
      <c r="BP1145" t="str">
        <f>""</f>
        <v/>
      </c>
      <c r="BQ1145" t="str">
        <f>""</f>
        <v/>
      </c>
      <c r="BR1145" t="str">
        <f>""</f>
        <v/>
      </c>
      <c r="BS1145" t="str">
        <f>""</f>
        <v/>
      </c>
      <c r="BT1145" t="str">
        <f>""</f>
        <v/>
      </c>
      <c r="BU1145" t="str">
        <f>""</f>
        <v/>
      </c>
      <c r="BV1145" t="str">
        <f>""</f>
        <v/>
      </c>
      <c r="BW1145" t="str">
        <f>""</f>
        <v/>
      </c>
      <c r="BX1145" t="str">
        <f>""</f>
        <v/>
      </c>
      <c r="BY1145" t="str">
        <f>""</f>
        <v/>
      </c>
      <c r="BZ1145" t="str">
        <f>""</f>
        <v/>
      </c>
      <c r="CA1145" t="str">
        <f>""</f>
        <v/>
      </c>
      <c r="CB1145" t="str">
        <f>""</f>
        <v/>
      </c>
      <c r="CC1145" t="str">
        <f>""</f>
        <v/>
      </c>
      <c r="CD1145" t="str">
        <f>""</f>
        <v/>
      </c>
      <c r="CE1145" t="str">
        <f>""</f>
        <v/>
      </c>
      <c r="CF1145" t="str">
        <f>""</f>
        <v/>
      </c>
      <c r="CG1145" t="str">
        <f>""</f>
        <v/>
      </c>
      <c r="CH1145" t="str">
        <f>""</f>
        <v/>
      </c>
      <c r="CI1145" t="str">
        <f>""</f>
        <v/>
      </c>
      <c r="CJ1145" t="str">
        <f>""</f>
        <v/>
      </c>
      <c r="CK1145" t="str">
        <f>""</f>
        <v/>
      </c>
      <c r="CL1145" t="str">
        <f>""</f>
        <v/>
      </c>
      <c r="CM1145" t="str">
        <f>""</f>
        <v/>
      </c>
      <c r="CN1145" t="str">
        <f>""</f>
        <v/>
      </c>
      <c r="CO1145" t="str">
        <f>""</f>
        <v/>
      </c>
      <c r="CP1145" t="str">
        <f>""</f>
        <v/>
      </c>
      <c r="CQ1145" t="str">
        <f>""</f>
        <v/>
      </c>
      <c r="CR1145" t="str">
        <f>""</f>
        <v/>
      </c>
      <c r="CS1145" t="str">
        <f>""</f>
        <v/>
      </c>
      <c r="CT1145" t="str">
        <f>""</f>
        <v/>
      </c>
      <c r="CU1145" t="str">
        <f>""</f>
        <v/>
      </c>
      <c r="CV1145" t="str">
        <f>""</f>
        <v/>
      </c>
      <c r="CW1145" t="str">
        <f>""</f>
        <v/>
      </c>
      <c r="CX1145" t="str">
        <f>""</f>
        <v/>
      </c>
      <c r="CY1145" t="str">
        <f>""</f>
        <v/>
      </c>
      <c r="CZ1145" t="str">
        <f>""</f>
        <v/>
      </c>
      <c r="DA1145" t="str">
        <f>""</f>
        <v/>
      </c>
      <c r="DB1145" t="str">
        <f>""</f>
        <v/>
      </c>
      <c r="DC1145" t="str">
        <f>""</f>
        <v/>
      </c>
      <c r="DD1145" t="str">
        <f>""</f>
        <v/>
      </c>
      <c r="DE1145" t="str">
        <f>""</f>
        <v/>
      </c>
      <c r="DF1145" t="str">
        <f>""</f>
        <v/>
      </c>
      <c r="DG1145" t="str">
        <f>""</f>
        <v/>
      </c>
      <c r="DH1145" t="str">
        <f>""</f>
        <v/>
      </c>
      <c r="DI1145" t="str">
        <f>""</f>
        <v/>
      </c>
      <c r="DJ1145" t="str">
        <f>""</f>
        <v/>
      </c>
      <c r="DK1145" t="str">
        <f>""</f>
        <v/>
      </c>
      <c r="DL1145" t="str">
        <f>""</f>
        <v/>
      </c>
      <c r="DM1145" t="str">
        <f>""</f>
        <v/>
      </c>
      <c r="DN1145" t="str">
        <f>""</f>
        <v/>
      </c>
      <c r="DO1145" t="str">
        <f>""</f>
        <v/>
      </c>
      <c r="DP1145" t="str">
        <f>""</f>
        <v/>
      </c>
      <c r="DQ1145" t="str">
        <f>""</f>
        <v/>
      </c>
      <c r="DR1145" t="str">
        <f>""</f>
        <v/>
      </c>
      <c r="DS1145" t="str">
        <f>""</f>
        <v/>
      </c>
      <c r="DT1145" t="str">
        <f>""</f>
        <v/>
      </c>
      <c r="DU1145" t="str">
        <f>""</f>
        <v/>
      </c>
    </row>
    <row r="1146" spans="1:125" x14ac:dyDescent="0.25">
      <c r="A1146" t="str">
        <f>$A$484</f>
        <v xml:space="preserve">    SAIC Motor Corp Ltd</v>
      </c>
      <c r="B1146" t="str">
        <f>$B$484</f>
        <v>600104 CH Equity</v>
      </c>
      <c r="C1146" t="str">
        <f>$C$484</f>
        <v>RR476</v>
      </c>
      <c r="D1146" t="str">
        <f>$D$484</f>
        <v>EV_TO_T12M_NET_INCOME</v>
      </c>
      <c r="E1146" t="str">
        <f>$E$484</f>
        <v>Dynamic</v>
      </c>
      <c r="F1146" t="str">
        <f ca="1">_xll.BDH($B$484,$C$484,$B$675,$B$676,CONCATENATE("Per=",$B$673),"Dts=H","Dir=H",CONCATENATE("Points=",$B$674),"Sort=R","Days=A","Fill=B",CONCATENATE("FX=", $B$672) )</f>
        <v>#N/A Connection</v>
      </c>
      <c r="BN1146" t="str">
        <f>""</f>
        <v/>
      </c>
      <c r="BO1146" t="str">
        <f>""</f>
        <v/>
      </c>
      <c r="BP1146" t="str">
        <f>""</f>
        <v/>
      </c>
      <c r="BQ1146" t="str">
        <f>""</f>
        <v/>
      </c>
      <c r="BR1146" t="str">
        <f>""</f>
        <v/>
      </c>
      <c r="BS1146" t="str">
        <f>""</f>
        <v/>
      </c>
      <c r="BT1146" t="str">
        <f>""</f>
        <v/>
      </c>
      <c r="BU1146" t="str">
        <f>""</f>
        <v/>
      </c>
      <c r="BV1146" t="str">
        <f>""</f>
        <v/>
      </c>
      <c r="BW1146" t="str">
        <f>""</f>
        <v/>
      </c>
      <c r="BX1146" t="str">
        <f>""</f>
        <v/>
      </c>
      <c r="BY1146" t="str">
        <f>""</f>
        <v/>
      </c>
      <c r="BZ1146" t="str">
        <f>""</f>
        <v/>
      </c>
      <c r="CA1146" t="str">
        <f>""</f>
        <v/>
      </c>
      <c r="CB1146" t="str">
        <f>""</f>
        <v/>
      </c>
      <c r="CC1146" t="str">
        <f>""</f>
        <v/>
      </c>
      <c r="CD1146" t="str">
        <f>""</f>
        <v/>
      </c>
      <c r="CE1146" t="str">
        <f>""</f>
        <v/>
      </c>
      <c r="CF1146" t="str">
        <f>""</f>
        <v/>
      </c>
      <c r="CG1146" t="str">
        <f>""</f>
        <v/>
      </c>
      <c r="CH1146" t="str">
        <f>""</f>
        <v/>
      </c>
      <c r="CI1146" t="str">
        <f>""</f>
        <v/>
      </c>
      <c r="CJ1146" t="str">
        <f>""</f>
        <v/>
      </c>
      <c r="CK1146" t="str">
        <f>""</f>
        <v/>
      </c>
      <c r="CL1146" t="str">
        <f>""</f>
        <v/>
      </c>
      <c r="CM1146" t="str">
        <f>""</f>
        <v/>
      </c>
      <c r="CN1146" t="str">
        <f>""</f>
        <v/>
      </c>
      <c r="CO1146" t="str">
        <f>""</f>
        <v/>
      </c>
      <c r="CP1146" t="str">
        <f>""</f>
        <v/>
      </c>
      <c r="CQ1146" t="str">
        <f>""</f>
        <v/>
      </c>
      <c r="CR1146" t="str">
        <f>""</f>
        <v/>
      </c>
      <c r="CS1146" t="str">
        <f>""</f>
        <v/>
      </c>
      <c r="CT1146" t="str">
        <f>""</f>
        <v/>
      </c>
      <c r="CU1146" t="str">
        <f>""</f>
        <v/>
      </c>
      <c r="CV1146" t="str">
        <f>""</f>
        <v/>
      </c>
      <c r="CW1146" t="str">
        <f>""</f>
        <v/>
      </c>
      <c r="CX1146" t="str">
        <f>""</f>
        <v/>
      </c>
      <c r="CY1146" t="str">
        <f>""</f>
        <v/>
      </c>
      <c r="CZ1146" t="str">
        <f>""</f>
        <v/>
      </c>
      <c r="DA1146" t="str">
        <f>""</f>
        <v/>
      </c>
      <c r="DB1146" t="str">
        <f>""</f>
        <v/>
      </c>
      <c r="DC1146" t="str">
        <f>""</f>
        <v/>
      </c>
      <c r="DD1146" t="str">
        <f>""</f>
        <v/>
      </c>
      <c r="DE1146" t="str">
        <f>""</f>
        <v/>
      </c>
      <c r="DF1146" t="str">
        <f>""</f>
        <v/>
      </c>
      <c r="DG1146" t="str">
        <f>""</f>
        <v/>
      </c>
      <c r="DH1146" t="str">
        <f>""</f>
        <v/>
      </c>
      <c r="DI1146" t="str">
        <f>""</f>
        <v/>
      </c>
      <c r="DJ1146" t="str">
        <f>""</f>
        <v/>
      </c>
      <c r="DK1146" t="str">
        <f>""</f>
        <v/>
      </c>
      <c r="DL1146" t="str">
        <f>""</f>
        <v/>
      </c>
      <c r="DM1146" t="str">
        <f>""</f>
        <v/>
      </c>
      <c r="DN1146" t="str">
        <f>""</f>
        <v/>
      </c>
      <c r="DO1146" t="str">
        <f>""</f>
        <v/>
      </c>
      <c r="DP1146" t="str">
        <f>""</f>
        <v/>
      </c>
      <c r="DQ1146" t="str">
        <f>""</f>
        <v/>
      </c>
      <c r="DR1146" t="str">
        <f>""</f>
        <v/>
      </c>
      <c r="DS1146" t="str">
        <f>""</f>
        <v/>
      </c>
      <c r="DT1146" t="str">
        <f>""</f>
        <v/>
      </c>
      <c r="DU1146" t="str">
        <f>""</f>
        <v/>
      </c>
    </row>
    <row r="1147" spans="1:125" x14ac:dyDescent="0.25">
      <c r="A1147" t="str">
        <f>$A$485</f>
        <v xml:space="preserve">    Sanyang Motor Co Ltd</v>
      </c>
      <c r="B1147" t="str">
        <f>$B$485</f>
        <v>2206 TT Equity</v>
      </c>
      <c r="C1147" t="str">
        <f>$C$485</f>
        <v>RR476</v>
      </c>
      <c r="D1147" t="str">
        <f>$D$485</f>
        <v>EV_TO_T12M_NET_INCOME</v>
      </c>
      <c r="E1147" t="str">
        <f>$E$485</f>
        <v>Dynamic</v>
      </c>
      <c r="F1147" t="str">
        <f ca="1">_xll.BDH($B$485,$C$485,$B$675,$B$676,CONCATENATE("Per=",$B$673),"Dts=H","Dir=H",CONCATENATE("Points=",$B$674),"Sort=R","Days=A","Fill=B",CONCATENATE("FX=", $B$672) )</f>
        <v>#N/A Connection</v>
      </c>
      <c r="BN1147" t="str">
        <f>""</f>
        <v/>
      </c>
      <c r="BO1147" t="str">
        <f>""</f>
        <v/>
      </c>
      <c r="BP1147" t="str">
        <f>""</f>
        <v/>
      </c>
      <c r="BQ1147" t="str">
        <f>""</f>
        <v/>
      </c>
      <c r="BR1147" t="str">
        <f>""</f>
        <v/>
      </c>
      <c r="BS1147" t="str">
        <f>""</f>
        <v/>
      </c>
      <c r="BT1147" t="str">
        <f>""</f>
        <v/>
      </c>
      <c r="BU1147" t="str">
        <f>""</f>
        <v/>
      </c>
      <c r="BV1147" t="str">
        <f>""</f>
        <v/>
      </c>
      <c r="BW1147" t="str">
        <f>""</f>
        <v/>
      </c>
      <c r="BX1147" t="str">
        <f>""</f>
        <v/>
      </c>
      <c r="BY1147" t="str">
        <f>""</f>
        <v/>
      </c>
      <c r="BZ1147" t="str">
        <f>""</f>
        <v/>
      </c>
      <c r="CA1147" t="str">
        <f>""</f>
        <v/>
      </c>
      <c r="CB1147" t="str">
        <f>""</f>
        <v/>
      </c>
      <c r="CC1147" t="str">
        <f>""</f>
        <v/>
      </c>
      <c r="CD1147" t="str">
        <f>""</f>
        <v/>
      </c>
      <c r="CE1147" t="str">
        <f>""</f>
        <v/>
      </c>
      <c r="CF1147" t="str">
        <f>""</f>
        <v/>
      </c>
      <c r="CG1147" t="str">
        <f>""</f>
        <v/>
      </c>
      <c r="CH1147" t="str">
        <f>""</f>
        <v/>
      </c>
      <c r="CI1147" t="str">
        <f>""</f>
        <v/>
      </c>
      <c r="CJ1147" t="str">
        <f>""</f>
        <v/>
      </c>
      <c r="CK1147" t="str">
        <f>""</f>
        <v/>
      </c>
      <c r="CL1147" t="str">
        <f>""</f>
        <v/>
      </c>
      <c r="CM1147" t="str">
        <f>""</f>
        <v/>
      </c>
      <c r="CN1147" t="str">
        <f>""</f>
        <v/>
      </c>
      <c r="CO1147" t="str">
        <f>""</f>
        <v/>
      </c>
      <c r="CP1147" t="str">
        <f>""</f>
        <v/>
      </c>
      <c r="CQ1147" t="str">
        <f>""</f>
        <v/>
      </c>
      <c r="CR1147" t="str">
        <f>""</f>
        <v/>
      </c>
      <c r="CS1147" t="str">
        <f>""</f>
        <v/>
      </c>
      <c r="CT1147" t="str">
        <f>""</f>
        <v/>
      </c>
      <c r="CU1147" t="str">
        <f>""</f>
        <v/>
      </c>
      <c r="CV1147" t="str">
        <f>""</f>
        <v/>
      </c>
      <c r="CW1147" t="str">
        <f>""</f>
        <v/>
      </c>
      <c r="CX1147" t="str">
        <f>""</f>
        <v/>
      </c>
      <c r="CY1147" t="str">
        <f>""</f>
        <v/>
      </c>
      <c r="CZ1147" t="str">
        <f>""</f>
        <v/>
      </c>
      <c r="DA1147" t="str">
        <f>""</f>
        <v/>
      </c>
      <c r="DB1147" t="str">
        <f>""</f>
        <v/>
      </c>
      <c r="DC1147" t="str">
        <f>""</f>
        <v/>
      </c>
      <c r="DD1147" t="str">
        <f>""</f>
        <v/>
      </c>
      <c r="DE1147" t="str">
        <f>""</f>
        <v/>
      </c>
      <c r="DF1147" t="str">
        <f>""</f>
        <v/>
      </c>
      <c r="DG1147" t="str">
        <f>""</f>
        <v/>
      </c>
      <c r="DH1147" t="str">
        <f>""</f>
        <v/>
      </c>
      <c r="DI1147" t="str">
        <f>""</f>
        <v/>
      </c>
      <c r="DJ1147" t="str">
        <f>""</f>
        <v/>
      </c>
      <c r="DK1147" t="str">
        <f>""</f>
        <v/>
      </c>
      <c r="DL1147" t="str">
        <f>""</f>
        <v/>
      </c>
      <c r="DM1147" t="str">
        <f>""</f>
        <v/>
      </c>
      <c r="DN1147" t="str">
        <f>""</f>
        <v/>
      </c>
      <c r="DO1147" t="str">
        <f>""</f>
        <v/>
      </c>
      <c r="DP1147" t="str">
        <f>""</f>
        <v/>
      </c>
      <c r="DQ1147" t="str">
        <f>""</f>
        <v/>
      </c>
      <c r="DR1147" t="str">
        <f>""</f>
        <v/>
      </c>
      <c r="DS1147" t="str">
        <f>""</f>
        <v/>
      </c>
      <c r="DT1147" t="str">
        <f>""</f>
        <v/>
      </c>
      <c r="DU1147" t="str">
        <f>""</f>
        <v/>
      </c>
    </row>
    <row r="1148" spans="1:125" x14ac:dyDescent="0.25">
      <c r="A1148" t="str">
        <f>$A$486</f>
        <v xml:space="preserve">    Sollers PJSC</v>
      </c>
      <c r="B1148" t="str">
        <f>$B$486</f>
        <v>SVAV RM Equity</v>
      </c>
      <c r="C1148" t="str">
        <f>$C$486</f>
        <v>RR476</v>
      </c>
      <c r="D1148" t="str">
        <f>$D$486</f>
        <v>EV_TO_T12M_NET_INCOME</v>
      </c>
      <c r="E1148" t="str">
        <f>$E$486</f>
        <v>Dynamic</v>
      </c>
      <c r="F1148" t="str">
        <f ca="1">_xll.BDH($B$486,$C$486,$B$675,$B$676,CONCATENATE("Per=",$B$673),"Dts=H","Dir=H",CONCATENATE("Points=",$B$674),"Sort=R","Days=A","Fill=B",CONCATENATE("FX=", $B$672) )</f>
        <v>#N/A Connection</v>
      </c>
      <c r="BN1148" t="str">
        <f>""</f>
        <v/>
      </c>
      <c r="BO1148" t="str">
        <f>""</f>
        <v/>
      </c>
      <c r="BP1148" t="str">
        <f>""</f>
        <v/>
      </c>
      <c r="BQ1148" t="str">
        <f>""</f>
        <v/>
      </c>
      <c r="BR1148" t="str">
        <f>""</f>
        <v/>
      </c>
      <c r="BS1148" t="str">
        <f>""</f>
        <v/>
      </c>
      <c r="BT1148" t="str">
        <f>""</f>
        <v/>
      </c>
      <c r="BU1148" t="str">
        <f>""</f>
        <v/>
      </c>
      <c r="BV1148" t="str">
        <f>""</f>
        <v/>
      </c>
      <c r="BW1148" t="str">
        <f>""</f>
        <v/>
      </c>
      <c r="BX1148" t="str">
        <f>""</f>
        <v/>
      </c>
      <c r="BY1148" t="str">
        <f>""</f>
        <v/>
      </c>
      <c r="BZ1148" t="str">
        <f>""</f>
        <v/>
      </c>
      <c r="CA1148" t="str">
        <f>""</f>
        <v/>
      </c>
      <c r="CB1148" t="str">
        <f>""</f>
        <v/>
      </c>
      <c r="CC1148" t="str">
        <f>""</f>
        <v/>
      </c>
      <c r="CD1148" t="str">
        <f>""</f>
        <v/>
      </c>
      <c r="CE1148" t="str">
        <f>""</f>
        <v/>
      </c>
      <c r="CF1148" t="str">
        <f>""</f>
        <v/>
      </c>
      <c r="CG1148" t="str">
        <f>""</f>
        <v/>
      </c>
      <c r="CH1148" t="str">
        <f>""</f>
        <v/>
      </c>
      <c r="CI1148" t="str">
        <f>""</f>
        <v/>
      </c>
      <c r="CJ1148" t="str">
        <f>""</f>
        <v/>
      </c>
      <c r="CK1148" t="str">
        <f>""</f>
        <v/>
      </c>
      <c r="CL1148" t="str">
        <f>""</f>
        <v/>
      </c>
      <c r="CM1148" t="str">
        <f>""</f>
        <v/>
      </c>
      <c r="CN1148" t="str">
        <f>""</f>
        <v/>
      </c>
      <c r="CO1148" t="str">
        <f>""</f>
        <v/>
      </c>
      <c r="CP1148" t="str">
        <f>""</f>
        <v/>
      </c>
      <c r="CQ1148" t="str">
        <f>""</f>
        <v/>
      </c>
      <c r="CR1148" t="str">
        <f>""</f>
        <v/>
      </c>
      <c r="CS1148" t="str">
        <f>""</f>
        <v/>
      </c>
      <c r="CT1148" t="str">
        <f>""</f>
        <v/>
      </c>
      <c r="CU1148" t="str">
        <f>""</f>
        <v/>
      </c>
      <c r="CV1148" t="str">
        <f>""</f>
        <v/>
      </c>
      <c r="CW1148" t="str">
        <f>""</f>
        <v/>
      </c>
      <c r="CX1148" t="str">
        <f>""</f>
        <v/>
      </c>
      <c r="CY1148" t="str">
        <f>""</f>
        <v/>
      </c>
      <c r="CZ1148" t="str">
        <f>""</f>
        <v/>
      </c>
      <c r="DA1148" t="str">
        <f>""</f>
        <v/>
      </c>
      <c r="DB1148" t="str">
        <f>""</f>
        <v/>
      </c>
      <c r="DC1148" t="str">
        <f>""</f>
        <v/>
      </c>
      <c r="DD1148" t="str">
        <f>""</f>
        <v/>
      </c>
      <c r="DE1148" t="str">
        <f>""</f>
        <v/>
      </c>
      <c r="DF1148" t="str">
        <f>""</f>
        <v/>
      </c>
      <c r="DG1148" t="str">
        <f>""</f>
        <v/>
      </c>
      <c r="DH1148" t="str">
        <f>""</f>
        <v/>
      </c>
      <c r="DI1148" t="str">
        <f>""</f>
        <v/>
      </c>
      <c r="DJ1148" t="str">
        <f>""</f>
        <v/>
      </c>
      <c r="DK1148" t="str">
        <f>""</f>
        <v/>
      </c>
      <c r="DL1148" t="str">
        <f>""</f>
        <v/>
      </c>
      <c r="DM1148" t="str">
        <f>""</f>
        <v/>
      </c>
      <c r="DN1148" t="str">
        <f>""</f>
        <v/>
      </c>
      <c r="DO1148" t="str">
        <f>""</f>
        <v/>
      </c>
      <c r="DP1148" t="str">
        <f>""</f>
        <v/>
      </c>
      <c r="DQ1148" t="str">
        <f>""</f>
        <v/>
      </c>
      <c r="DR1148" t="str">
        <f>""</f>
        <v/>
      </c>
      <c r="DS1148" t="str">
        <f>""</f>
        <v/>
      </c>
      <c r="DT1148" t="str">
        <f>""</f>
        <v/>
      </c>
      <c r="DU1148" t="str">
        <f>""</f>
        <v/>
      </c>
    </row>
    <row r="1149" spans="1:125" x14ac:dyDescent="0.25">
      <c r="A1149" t="str">
        <f>$A$487</f>
        <v xml:space="preserve">    Ssangyong Motor Co</v>
      </c>
      <c r="B1149" t="str">
        <f>$B$487</f>
        <v>003620 KS Equity</v>
      </c>
      <c r="C1149" t="str">
        <f>$C$487</f>
        <v>RR476</v>
      </c>
      <c r="D1149" t="str">
        <f>$D$487</f>
        <v>EV_TO_T12M_NET_INCOME</v>
      </c>
      <c r="E1149" t="str">
        <f>$E$487</f>
        <v>Dynamic</v>
      </c>
      <c r="F1149" t="str">
        <f ca="1">_xll.BDH($B$487,$C$487,$B$675,$B$676,CONCATENATE("Per=",$B$673),"Dts=H","Dir=H",CONCATENATE("Points=",$B$674),"Sort=R","Days=A","Fill=B",CONCATENATE("FX=", $B$672) )</f>
        <v>#N/A Connection</v>
      </c>
      <c r="BN1149" t="str">
        <f>""</f>
        <v/>
      </c>
      <c r="BO1149" t="str">
        <f>""</f>
        <v/>
      </c>
      <c r="BP1149" t="str">
        <f>""</f>
        <v/>
      </c>
      <c r="BQ1149" t="str">
        <f>""</f>
        <v/>
      </c>
      <c r="BR1149" t="str">
        <f>""</f>
        <v/>
      </c>
      <c r="BS1149" t="str">
        <f>""</f>
        <v/>
      </c>
      <c r="BT1149" t="str">
        <f>""</f>
        <v/>
      </c>
      <c r="BU1149" t="str">
        <f>""</f>
        <v/>
      </c>
      <c r="BV1149" t="str">
        <f>""</f>
        <v/>
      </c>
      <c r="BW1149" t="str">
        <f>""</f>
        <v/>
      </c>
      <c r="BX1149" t="str">
        <f>""</f>
        <v/>
      </c>
      <c r="BY1149" t="str">
        <f>""</f>
        <v/>
      </c>
      <c r="BZ1149" t="str">
        <f>""</f>
        <v/>
      </c>
      <c r="CA1149" t="str">
        <f>""</f>
        <v/>
      </c>
      <c r="CB1149" t="str">
        <f>""</f>
        <v/>
      </c>
      <c r="CC1149" t="str">
        <f>""</f>
        <v/>
      </c>
      <c r="CD1149" t="str">
        <f>""</f>
        <v/>
      </c>
      <c r="CE1149" t="str">
        <f>""</f>
        <v/>
      </c>
      <c r="CF1149" t="str">
        <f>""</f>
        <v/>
      </c>
      <c r="CG1149" t="str">
        <f>""</f>
        <v/>
      </c>
      <c r="CH1149" t="str">
        <f>""</f>
        <v/>
      </c>
      <c r="CI1149" t="str">
        <f>""</f>
        <v/>
      </c>
      <c r="CJ1149" t="str">
        <f>""</f>
        <v/>
      </c>
      <c r="CK1149" t="str">
        <f>""</f>
        <v/>
      </c>
      <c r="CL1149" t="str">
        <f>""</f>
        <v/>
      </c>
      <c r="CM1149" t="str">
        <f>""</f>
        <v/>
      </c>
      <c r="CN1149" t="str">
        <f>""</f>
        <v/>
      </c>
      <c r="CO1149" t="str">
        <f>""</f>
        <v/>
      </c>
      <c r="CP1149" t="str">
        <f>""</f>
        <v/>
      </c>
      <c r="CQ1149" t="str">
        <f>""</f>
        <v/>
      </c>
      <c r="CR1149" t="str">
        <f>""</f>
        <v/>
      </c>
      <c r="CS1149" t="str">
        <f>""</f>
        <v/>
      </c>
      <c r="CT1149" t="str">
        <f>""</f>
        <v/>
      </c>
      <c r="CU1149" t="str">
        <f>""</f>
        <v/>
      </c>
      <c r="CV1149" t="str">
        <f>""</f>
        <v/>
      </c>
      <c r="CW1149" t="str">
        <f>""</f>
        <v/>
      </c>
      <c r="CX1149" t="str">
        <f>""</f>
        <v/>
      </c>
      <c r="CY1149" t="str">
        <f>""</f>
        <v/>
      </c>
      <c r="CZ1149" t="str">
        <f>""</f>
        <v/>
      </c>
      <c r="DA1149" t="str">
        <f>""</f>
        <v/>
      </c>
      <c r="DB1149" t="str">
        <f>""</f>
        <v/>
      </c>
      <c r="DC1149" t="str">
        <f>""</f>
        <v/>
      </c>
      <c r="DD1149" t="str">
        <f>""</f>
        <v/>
      </c>
      <c r="DE1149" t="str">
        <f>""</f>
        <v/>
      </c>
      <c r="DF1149" t="str">
        <f>""</f>
        <v/>
      </c>
      <c r="DG1149" t="str">
        <f>""</f>
        <v/>
      </c>
      <c r="DH1149" t="str">
        <f>""</f>
        <v/>
      </c>
      <c r="DI1149" t="str">
        <f>""</f>
        <v/>
      </c>
      <c r="DJ1149" t="str">
        <f>""</f>
        <v/>
      </c>
      <c r="DK1149" t="str">
        <f>""</f>
        <v/>
      </c>
      <c r="DL1149" t="str">
        <f>""</f>
        <v/>
      </c>
      <c r="DM1149" t="str">
        <f>""</f>
        <v/>
      </c>
      <c r="DN1149" t="str">
        <f>""</f>
        <v/>
      </c>
      <c r="DO1149" t="str">
        <f>""</f>
        <v/>
      </c>
      <c r="DP1149" t="str">
        <f>""</f>
        <v/>
      </c>
      <c r="DQ1149" t="str">
        <f>""</f>
        <v/>
      </c>
      <c r="DR1149" t="str">
        <f>""</f>
        <v/>
      </c>
      <c r="DS1149" t="str">
        <f>""</f>
        <v/>
      </c>
      <c r="DT1149" t="str">
        <f>""</f>
        <v/>
      </c>
      <c r="DU1149" t="str">
        <f>""</f>
        <v/>
      </c>
    </row>
    <row r="1150" spans="1:125" x14ac:dyDescent="0.25">
      <c r="A1150" t="str">
        <f>$A$488</f>
        <v xml:space="preserve">    Subaru Corp</v>
      </c>
      <c r="B1150" t="str">
        <f>$B$488</f>
        <v>7270 JP Equity</v>
      </c>
      <c r="C1150" t="str">
        <f>$C$488</f>
        <v>RR476</v>
      </c>
      <c r="D1150" t="str">
        <f>$D$488</f>
        <v>EV_TO_T12M_NET_INCOME</v>
      </c>
      <c r="E1150" t="str">
        <f>$E$488</f>
        <v>Dynamic</v>
      </c>
      <c r="F1150" t="str">
        <f ca="1">_xll.BDH($B$488,$C$488,$B$675,$B$676,CONCATENATE("Per=",$B$673),"Dts=H","Dir=H",CONCATENATE("Points=",$B$674),"Sort=R","Days=A","Fill=B",CONCATENATE("FX=", $B$672) )</f>
        <v>#N/A Connection</v>
      </c>
      <c r="BN1150" t="str">
        <f>""</f>
        <v/>
      </c>
      <c r="BO1150" t="str">
        <f>""</f>
        <v/>
      </c>
      <c r="BP1150" t="str">
        <f>""</f>
        <v/>
      </c>
      <c r="BQ1150" t="str">
        <f>""</f>
        <v/>
      </c>
      <c r="BR1150" t="str">
        <f>""</f>
        <v/>
      </c>
      <c r="BS1150" t="str">
        <f>""</f>
        <v/>
      </c>
      <c r="BT1150" t="str">
        <f>""</f>
        <v/>
      </c>
      <c r="BU1150" t="str">
        <f>""</f>
        <v/>
      </c>
      <c r="BV1150" t="str">
        <f>""</f>
        <v/>
      </c>
      <c r="BW1150" t="str">
        <f>""</f>
        <v/>
      </c>
      <c r="BX1150" t="str">
        <f>""</f>
        <v/>
      </c>
      <c r="BY1150" t="str">
        <f>""</f>
        <v/>
      </c>
      <c r="BZ1150" t="str">
        <f>""</f>
        <v/>
      </c>
      <c r="CA1150" t="str">
        <f>""</f>
        <v/>
      </c>
      <c r="CB1150" t="str">
        <f>""</f>
        <v/>
      </c>
      <c r="CC1150" t="str">
        <f>""</f>
        <v/>
      </c>
      <c r="CD1150" t="str">
        <f>""</f>
        <v/>
      </c>
      <c r="CE1150" t="str">
        <f>""</f>
        <v/>
      </c>
      <c r="CF1150" t="str">
        <f>""</f>
        <v/>
      </c>
      <c r="CG1150" t="str">
        <f>""</f>
        <v/>
      </c>
      <c r="CH1150" t="str">
        <f>""</f>
        <v/>
      </c>
      <c r="CI1150" t="str">
        <f>""</f>
        <v/>
      </c>
      <c r="CJ1150" t="str">
        <f>""</f>
        <v/>
      </c>
      <c r="CK1150" t="str">
        <f>""</f>
        <v/>
      </c>
      <c r="CL1150" t="str">
        <f>""</f>
        <v/>
      </c>
      <c r="CM1150" t="str">
        <f>""</f>
        <v/>
      </c>
      <c r="CN1150" t="str">
        <f>""</f>
        <v/>
      </c>
      <c r="CO1150" t="str">
        <f>""</f>
        <v/>
      </c>
      <c r="CP1150" t="str">
        <f>""</f>
        <v/>
      </c>
      <c r="CQ1150" t="str">
        <f>""</f>
        <v/>
      </c>
      <c r="CR1150" t="str">
        <f>""</f>
        <v/>
      </c>
      <c r="CS1150" t="str">
        <f>""</f>
        <v/>
      </c>
      <c r="CT1150" t="str">
        <f>""</f>
        <v/>
      </c>
      <c r="CU1150" t="str">
        <f>""</f>
        <v/>
      </c>
      <c r="CV1150" t="str">
        <f>""</f>
        <v/>
      </c>
      <c r="CW1150" t="str">
        <f>""</f>
        <v/>
      </c>
      <c r="CX1150" t="str">
        <f>""</f>
        <v/>
      </c>
      <c r="CY1150" t="str">
        <f>""</f>
        <v/>
      </c>
      <c r="CZ1150" t="str">
        <f>""</f>
        <v/>
      </c>
      <c r="DA1150" t="str">
        <f>""</f>
        <v/>
      </c>
      <c r="DB1150" t="str">
        <f>""</f>
        <v/>
      </c>
      <c r="DC1150" t="str">
        <f>""</f>
        <v/>
      </c>
      <c r="DD1150" t="str">
        <f>""</f>
        <v/>
      </c>
      <c r="DE1150" t="str">
        <f>""</f>
        <v/>
      </c>
      <c r="DF1150" t="str">
        <f>""</f>
        <v/>
      </c>
      <c r="DG1150" t="str">
        <f>""</f>
        <v/>
      </c>
      <c r="DH1150" t="str">
        <f>""</f>
        <v/>
      </c>
      <c r="DI1150" t="str">
        <f>""</f>
        <v/>
      </c>
      <c r="DJ1150" t="str">
        <f>""</f>
        <v/>
      </c>
      <c r="DK1150" t="str">
        <f>""</f>
        <v/>
      </c>
      <c r="DL1150" t="str">
        <f>""</f>
        <v/>
      </c>
      <c r="DM1150" t="str">
        <f>""</f>
        <v/>
      </c>
      <c r="DN1150" t="str">
        <f>""</f>
        <v/>
      </c>
      <c r="DO1150" t="str">
        <f>""</f>
        <v/>
      </c>
      <c r="DP1150" t="str">
        <f>""</f>
        <v/>
      </c>
      <c r="DQ1150" t="str">
        <f>""</f>
        <v/>
      </c>
      <c r="DR1150" t="str">
        <f>""</f>
        <v/>
      </c>
      <c r="DS1150" t="str">
        <f>""</f>
        <v/>
      </c>
      <c r="DT1150" t="str">
        <f>""</f>
        <v/>
      </c>
      <c r="DU1150" t="str">
        <f>""</f>
        <v/>
      </c>
    </row>
    <row r="1151" spans="1:125" x14ac:dyDescent="0.25">
      <c r="A1151" t="str">
        <f>$A$489</f>
        <v xml:space="preserve">    Suzuki Motor Corp</v>
      </c>
      <c r="B1151" t="str">
        <f>$B$489</f>
        <v>7269 JP Equity</v>
      </c>
      <c r="C1151" t="str">
        <f>$C$489</f>
        <v>RR476</v>
      </c>
      <c r="D1151" t="str">
        <f>$D$489</f>
        <v>EV_TO_T12M_NET_INCOME</v>
      </c>
      <c r="E1151" t="str">
        <f>$E$489</f>
        <v>Dynamic</v>
      </c>
      <c r="F1151" t="str">
        <f ca="1">_xll.BDH($B$489,$C$489,$B$675,$B$676,CONCATENATE("Per=",$B$673),"Dts=H","Dir=H",CONCATENATE("Points=",$B$674),"Sort=R","Days=A","Fill=B",CONCATENATE("FX=", $B$672) )</f>
        <v>#N/A Connection</v>
      </c>
      <c r="BN1151" t="str">
        <f>""</f>
        <v/>
      </c>
      <c r="BO1151" t="str">
        <f>""</f>
        <v/>
      </c>
      <c r="BP1151" t="str">
        <f>""</f>
        <v/>
      </c>
      <c r="BQ1151" t="str">
        <f>""</f>
        <v/>
      </c>
      <c r="BR1151" t="str">
        <f>""</f>
        <v/>
      </c>
      <c r="BS1151" t="str">
        <f>""</f>
        <v/>
      </c>
      <c r="BT1151" t="str">
        <f>""</f>
        <v/>
      </c>
      <c r="BU1151" t="str">
        <f>""</f>
        <v/>
      </c>
      <c r="BV1151" t="str">
        <f>""</f>
        <v/>
      </c>
      <c r="BW1151" t="str">
        <f>""</f>
        <v/>
      </c>
      <c r="BX1151" t="str">
        <f>""</f>
        <v/>
      </c>
      <c r="BY1151" t="str">
        <f>""</f>
        <v/>
      </c>
      <c r="BZ1151" t="str">
        <f>""</f>
        <v/>
      </c>
      <c r="CA1151" t="str">
        <f>""</f>
        <v/>
      </c>
      <c r="CB1151" t="str">
        <f>""</f>
        <v/>
      </c>
      <c r="CC1151" t="str">
        <f>""</f>
        <v/>
      </c>
      <c r="CD1151" t="str">
        <f>""</f>
        <v/>
      </c>
      <c r="CE1151" t="str">
        <f>""</f>
        <v/>
      </c>
      <c r="CF1151" t="str">
        <f>""</f>
        <v/>
      </c>
      <c r="CG1151" t="str">
        <f>""</f>
        <v/>
      </c>
      <c r="CH1151" t="str">
        <f>""</f>
        <v/>
      </c>
      <c r="CI1151" t="str">
        <f>""</f>
        <v/>
      </c>
      <c r="CJ1151" t="str">
        <f>""</f>
        <v/>
      </c>
      <c r="CK1151" t="str">
        <f>""</f>
        <v/>
      </c>
      <c r="CL1151" t="str">
        <f>""</f>
        <v/>
      </c>
      <c r="CM1151" t="str">
        <f>""</f>
        <v/>
      </c>
      <c r="CN1151" t="str">
        <f>""</f>
        <v/>
      </c>
      <c r="CO1151" t="str">
        <f>""</f>
        <v/>
      </c>
      <c r="CP1151" t="str">
        <f>""</f>
        <v/>
      </c>
      <c r="CQ1151" t="str">
        <f>""</f>
        <v/>
      </c>
      <c r="CR1151" t="str">
        <f>""</f>
        <v/>
      </c>
      <c r="CS1151" t="str">
        <f>""</f>
        <v/>
      </c>
      <c r="CT1151" t="str">
        <f>""</f>
        <v/>
      </c>
      <c r="CU1151" t="str">
        <f>""</f>
        <v/>
      </c>
      <c r="CV1151" t="str">
        <f>""</f>
        <v/>
      </c>
      <c r="CW1151" t="str">
        <f>""</f>
        <v/>
      </c>
      <c r="CX1151" t="str">
        <f>""</f>
        <v/>
      </c>
      <c r="CY1151" t="str">
        <f>""</f>
        <v/>
      </c>
      <c r="CZ1151" t="str">
        <f>""</f>
        <v/>
      </c>
      <c r="DA1151" t="str">
        <f>""</f>
        <v/>
      </c>
      <c r="DB1151" t="str">
        <f>""</f>
        <v/>
      </c>
      <c r="DC1151" t="str">
        <f>""</f>
        <v/>
      </c>
      <c r="DD1151" t="str">
        <f>""</f>
        <v/>
      </c>
      <c r="DE1151" t="str">
        <f>""</f>
        <v/>
      </c>
      <c r="DF1151" t="str">
        <f>""</f>
        <v/>
      </c>
      <c r="DG1151" t="str">
        <f>""</f>
        <v/>
      </c>
      <c r="DH1151" t="str">
        <f>""</f>
        <v/>
      </c>
      <c r="DI1151" t="str">
        <f>""</f>
        <v/>
      </c>
      <c r="DJ1151" t="str">
        <f>""</f>
        <v/>
      </c>
      <c r="DK1151" t="str">
        <f>""</f>
        <v/>
      </c>
      <c r="DL1151" t="str">
        <f>""</f>
        <v/>
      </c>
      <c r="DM1151" t="str">
        <f>""</f>
        <v/>
      </c>
      <c r="DN1151" t="str">
        <f>""</f>
        <v/>
      </c>
      <c r="DO1151" t="str">
        <f>""</f>
        <v/>
      </c>
      <c r="DP1151" t="str">
        <f>""</f>
        <v/>
      </c>
      <c r="DQ1151" t="str">
        <f>""</f>
        <v/>
      </c>
      <c r="DR1151" t="str">
        <f>""</f>
        <v/>
      </c>
      <c r="DS1151" t="str">
        <f>""</f>
        <v/>
      </c>
      <c r="DT1151" t="str">
        <f>""</f>
        <v/>
      </c>
      <c r="DU1151" t="str">
        <f>""</f>
        <v/>
      </c>
    </row>
    <row r="1152" spans="1:125" x14ac:dyDescent="0.25">
      <c r="A1152" t="str">
        <f>$A$490</f>
        <v xml:space="preserve">    Tata Motors Ltd</v>
      </c>
      <c r="B1152" t="str">
        <f>$B$490</f>
        <v>TTMT IN Equity</v>
      </c>
      <c r="C1152" t="str">
        <f>$C$490</f>
        <v>RR476</v>
      </c>
      <c r="D1152" t="str">
        <f>$D$490</f>
        <v>EV_TO_T12M_NET_INCOME</v>
      </c>
      <c r="E1152" t="str">
        <f>$E$490</f>
        <v>Dynamic</v>
      </c>
      <c r="F1152" t="str">
        <f ca="1">_xll.BDH($B$490,$C$490,$B$675,$B$676,CONCATENATE("Per=",$B$673),"Dts=H","Dir=H",CONCATENATE("Points=",$B$674),"Sort=R","Days=A","Fill=B",CONCATENATE("FX=", $B$672) )</f>
        <v>#N/A Connection</v>
      </c>
      <c r="BN1152" t="str">
        <f>""</f>
        <v/>
      </c>
      <c r="BO1152" t="str">
        <f>""</f>
        <v/>
      </c>
      <c r="BP1152" t="str">
        <f>""</f>
        <v/>
      </c>
      <c r="BQ1152" t="str">
        <f>""</f>
        <v/>
      </c>
      <c r="BR1152" t="str">
        <f>""</f>
        <v/>
      </c>
      <c r="BS1152" t="str">
        <f>""</f>
        <v/>
      </c>
      <c r="BT1152" t="str">
        <f>""</f>
        <v/>
      </c>
      <c r="BU1152" t="str">
        <f>""</f>
        <v/>
      </c>
      <c r="BV1152" t="str">
        <f>""</f>
        <v/>
      </c>
      <c r="BW1152" t="str">
        <f>""</f>
        <v/>
      </c>
      <c r="BX1152" t="str">
        <f>""</f>
        <v/>
      </c>
      <c r="BY1152" t="str">
        <f>""</f>
        <v/>
      </c>
      <c r="BZ1152" t="str">
        <f>""</f>
        <v/>
      </c>
      <c r="CA1152" t="str">
        <f>""</f>
        <v/>
      </c>
      <c r="CB1152" t="str">
        <f>""</f>
        <v/>
      </c>
      <c r="CC1152" t="str">
        <f>""</f>
        <v/>
      </c>
      <c r="CD1152" t="str">
        <f>""</f>
        <v/>
      </c>
      <c r="CE1152" t="str">
        <f>""</f>
        <v/>
      </c>
      <c r="CF1152" t="str">
        <f>""</f>
        <v/>
      </c>
      <c r="CG1152" t="str">
        <f>""</f>
        <v/>
      </c>
      <c r="CH1152" t="str">
        <f>""</f>
        <v/>
      </c>
      <c r="CI1152" t="str">
        <f>""</f>
        <v/>
      </c>
      <c r="CJ1152" t="str">
        <f>""</f>
        <v/>
      </c>
      <c r="CK1152" t="str">
        <f>""</f>
        <v/>
      </c>
      <c r="CL1152" t="str">
        <f>""</f>
        <v/>
      </c>
      <c r="CM1152" t="str">
        <f>""</f>
        <v/>
      </c>
      <c r="CN1152" t="str">
        <f>""</f>
        <v/>
      </c>
      <c r="CO1152" t="str">
        <f>""</f>
        <v/>
      </c>
      <c r="CP1152" t="str">
        <f>""</f>
        <v/>
      </c>
      <c r="CQ1152" t="str">
        <f>""</f>
        <v/>
      </c>
      <c r="CR1152" t="str">
        <f>""</f>
        <v/>
      </c>
      <c r="CS1152" t="str">
        <f>""</f>
        <v/>
      </c>
      <c r="CT1152" t="str">
        <f>""</f>
        <v/>
      </c>
      <c r="CU1152" t="str">
        <f>""</f>
        <v/>
      </c>
      <c r="CV1152" t="str">
        <f>""</f>
        <v/>
      </c>
      <c r="CW1152" t="str">
        <f>""</f>
        <v/>
      </c>
      <c r="CX1152" t="str">
        <f>""</f>
        <v/>
      </c>
      <c r="CY1152" t="str">
        <f>""</f>
        <v/>
      </c>
      <c r="CZ1152" t="str">
        <f>""</f>
        <v/>
      </c>
      <c r="DA1152" t="str">
        <f>""</f>
        <v/>
      </c>
      <c r="DB1152" t="str">
        <f>""</f>
        <v/>
      </c>
      <c r="DC1152" t="str">
        <f>""</f>
        <v/>
      </c>
      <c r="DD1152" t="str">
        <f>""</f>
        <v/>
      </c>
      <c r="DE1152" t="str">
        <f>""</f>
        <v/>
      </c>
      <c r="DF1152" t="str">
        <f>""</f>
        <v/>
      </c>
      <c r="DG1152" t="str">
        <f>""</f>
        <v/>
      </c>
      <c r="DH1152" t="str">
        <f>""</f>
        <v/>
      </c>
      <c r="DI1152" t="str">
        <f>""</f>
        <v/>
      </c>
      <c r="DJ1152" t="str">
        <f>""</f>
        <v/>
      </c>
      <c r="DK1152" t="str">
        <f>""</f>
        <v/>
      </c>
      <c r="DL1152" t="str">
        <f>""</f>
        <v/>
      </c>
      <c r="DM1152" t="str">
        <f>""</f>
        <v/>
      </c>
      <c r="DN1152" t="str">
        <f>""</f>
        <v/>
      </c>
      <c r="DO1152" t="str">
        <f>""</f>
        <v/>
      </c>
      <c r="DP1152" t="str">
        <f>""</f>
        <v/>
      </c>
      <c r="DQ1152" t="str">
        <f>""</f>
        <v/>
      </c>
      <c r="DR1152" t="str">
        <f>""</f>
        <v/>
      </c>
      <c r="DS1152" t="str">
        <f>""</f>
        <v/>
      </c>
      <c r="DT1152" t="str">
        <f>""</f>
        <v/>
      </c>
      <c r="DU1152" t="str">
        <f>""</f>
        <v/>
      </c>
    </row>
    <row r="1153" spans="1:125" x14ac:dyDescent="0.25">
      <c r="A1153" t="str">
        <f>$A$491</f>
        <v xml:space="preserve">    Tesla Inc</v>
      </c>
      <c r="B1153" t="str">
        <f>$B$491</f>
        <v>TSLA US Equity</v>
      </c>
      <c r="C1153" t="str">
        <f>$C$491</f>
        <v>RR476</v>
      </c>
      <c r="D1153" t="str">
        <f>$D$491</f>
        <v>EV_TO_T12M_NET_INCOME</v>
      </c>
      <c r="E1153" t="str">
        <f>$E$491</f>
        <v>Dynamic</v>
      </c>
      <c r="F1153" t="str">
        <f ca="1">_xll.BDH($B$491,$C$491,$B$675,$B$676,CONCATENATE("Per=",$B$673),"Dts=H","Dir=H",CONCATENATE("Points=",$B$674),"Sort=R","Days=A","Fill=B",CONCATENATE("FX=", $B$672) )</f>
        <v>#N/A Connection</v>
      </c>
      <c r="BN1153" t="str">
        <f>""</f>
        <v/>
      </c>
      <c r="BO1153" t="str">
        <f>""</f>
        <v/>
      </c>
      <c r="BP1153" t="str">
        <f>""</f>
        <v/>
      </c>
      <c r="BQ1153" t="str">
        <f>""</f>
        <v/>
      </c>
      <c r="BR1153" t="str">
        <f>""</f>
        <v/>
      </c>
      <c r="BS1153" t="str">
        <f>""</f>
        <v/>
      </c>
      <c r="BT1153" t="str">
        <f>""</f>
        <v/>
      </c>
      <c r="BU1153" t="str">
        <f>""</f>
        <v/>
      </c>
      <c r="BV1153" t="str">
        <f>""</f>
        <v/>
      </c>
      <c r="BW1153" t="str">
        <f>""</f>
        <v/>
      </c>
      <c r="BX1153" t="str">
        <f>""</f>
        <v/>
      </c>
      <c r="BY1153" t="str">
        <f>""</f>
        <v/>
      </c>
      <c r="BZ1153" t="str">
        <f>""</f>
        <v/>
      </c>
      <c r="CA1153" t="str">
        <f>""</f>
        <v/>
      </c>
      <c r="CB1153" t="str">
        <f>""</f>
        <v/>
      </c>
      <c r="CC1153" t="str">
        <f>""</f>
        <v/>
      </c>
      <c r="CD1153" t="str">
        <f>""</f>
        <v/>
      </c>
      <c r="CE1153" t="str">
        <f>""</f>
        <v/>
      </c>
      <c r="CF1153" t="str">
        <f>""</f>
        <v/>
      </c>
      <c r="CG1153" t="str">
        <f>""</f>
        <v/>
      </c>
      <c r="CH1153" t="str">
        <f>""</f>
        <v/>
      </c>
      <c r="CI1153" t="str">
        <f>""</f>
        <v/>
      </c>
      <c r="CJ1153" t="str">
        <f>""</f>
        <v/>
      </c>
      <c r="CK1153" t="str">
        <f>""</f>
        <v/>
      </c>
      <c r="CL1153" t="str">
        <f>""</f>
        <v/>
      </c>
      <c r="CM1153" t="str">
        <f>""</f>
        <v/>
      </c>
      <c r="CN1153" t="str">
        <f>""</f>
        <v/>
      </c>
      <c r="CO1153" t="str">
        <f>""</f>
        <v/>
      </c>
      <c r="CP1153" t="str">
        <f>""</f>
        <v/>
      </c>
      <c r="CQ1153" t="str">
        <f>""</f>
        <v/>
      </c>
      <c r="CR1153" t="str">
        <f>""</f>
        <v/>
      </c>
      <c r="CS1153" t="str">
        <f>""</f>
        <v/>
      </c>
      <c r="CT1153" t="str">
        <f>""</f>
        <v/>
      </c>
      <c r="CU1153" t="str">
        <f>""</f>
        <v/>
      </c>
      <c r="CV1153" t="str">
        <f>""</f>
        <v/>
      </c>
      <c r="CW1153" t="str">
        <f>""</f>
        <v/>
      </c>
      <c r="CX1153" t="str">
        <f>""</f>
        <v/>
      </c>
      <c r="CY1153" t="str">
        <f>""</f>
        <v/>
      </c>
      <c r="CZ1153" t="str">
        <f>""</f>
        <v/>
      </c>
      <c r="DA1153" t="str">
        <f>""</f>
        <v/>
      </c>
      <c r="DB1153" t="str">
        <f>""</f>
        <v/>
      </c>
      <c r="DC1153" t="str">
        <f>""</f>
        <v/>
      </c>
      <c r="DD1153" t="str">
        <f>""</f>
        <v/>
      </c>
      <c r="DE1153" t="str">
        <f>""</f>
        <v/>
      </c>
      <c r="DF1153" t="str">
        <f>""</f>
        <v/>
      </c>
      <c r="DG1153" t="str">
        <f>""</f>
        <v/>
      </c>
      <c r="DH1153" t="str">
        <f>""</f>
        <v/>
      </c>
      <c r="DI1153" t="str">
        <f>""</f>
        <v/>
      </c>
      <c r="DJ1153" t="str">
        <f>""</f>
        <v/>
      </c>
      <c r="DK1153" t="str">
        <f>""</f>
        <v/>
      </c>
      <c r="DL1153" t="str">
        <f>""</f>
        <v/>
      </c>
      <c r="DM1153" t="str">
        <f>""</f>
        <v/>
      </c>
      <c r="DN1153" t="str">
        <f>""</f>
        <v/>
      </c>
      <c r="DO1153" t="str">
        <f>""</f>
        <v/>
      </c>
      <c r="DP1153" t="str">
        <f>""</f>
        <v/>
      </c>
      <c r="DQ1153" t="str">
        <f>""</f>
        <v/>
      </c>
      <c r="DR1153" t="str">
        <f>""</f>
        <v/>
      </c>
      <c r="DS1153" t="str">
        <f>""</f>
        <v/>
      </c>
      <c r="DT1153" t="str">
        <f>""</f>
        <v/>
      </c>
      <c r="DU1153" t="str">
        <f>""</f>
        <v/>
      </c>
    </row>
    <row r="1154" spans="1:125" x14ac:dyDescent="0.25">
      <c r="A1154" t="str">
        <f>$A$492</f>
        <v xml:space="preserve">    Tianjin Faw Xiali Automobile Co Ltd</v>
      </c>
      <c r="B1154" t="str">
        <f>$B$492</f>
        <v>000927 CH Equity</v>
      </c>
      <c r="C1154" t="str">
        <f>$C$492</f>
        <v>RR476</v>
      </c>
      <c r="D1154" t="str">
        <f>$D$492</f>
        <v>EV_TO_T12M_NET_INCOME</v>
      </c>
      <c r="E1154" t="str">
        <f>$E$492</f>
        <v>Dynamic</v>
      </c>
      <c r="F1154" t="str">
        <f ca="1">_xll.BDH($B$492,$C$492,$B$675,$B$676,CONCATENATE("Per=",$B$673),"Dts=H","Dir=H",CONCATENATE("Points=",$B$674),"Sort=R","Days=A","Fill=B",CONCATENATE("FX=", $B$672) )</f>
        <v>#N/A Connection</v>
      </c>
      <c r="BN1154" t="str">
        <f>""</f>
        <v/>
      </c>
      <c r="BO1154" t="str">
        <f>""</f>
        <v/>
      </c>
      <c r="BP1154" t="str">
        <f>""</f>
        <v/>
      </c>
      <c r="BQ1154" t="str">
        <f>""</f>
        <v/>
      </c>
      <c r="BR1154" t="str">
        <f>""</f>
        <v/>
      </c>
      <c r="BS1154" t="str">
        <f>""</f>
        <v/>
      </c>
      <c r="BT1154" t="str">
        <f>""</f>
        <v/>
      </c>
      <c r="BU1154" t="str">
        <f>""</f>
        <v/>
      </c>
      <c r="BV1154" t="str">
        <f>""</f>
        <v/>
      </c>
      <c r="BW1154" t="str">
        <f>""</f>
        <v/>
      </c>
      <c r="BX1154" t="str">
        <f>""</f>
        <v/>
      </c>
      <c r="BY1154" t="str">
        <f>""</f>
        <v/>
      </c>
      <c r="BZ1154" t="str">
        <f>""</f>
        <v/>
      </c>
      <c r="CA1154" t="str">
        <f>""</f>
        <v/>
      </c>
      <c r="CB1154" t="str">
        <f>""</f>
        <v/>
      </c>
      <c r="CC1154" t="str">
        <f>""</f>
        <v/>
      </c>
      <c r="CD1154" t="str">
        <f>""</f>
        <v/>
      </c>
      <c r="CE1154" t="str">
        <f>""</f>
        <v/>
      </c>
      <c r="CF1154" t="str">
        <f>""</f>
        <v/>
      </c>
      <c r="CG1154" t="str">
        <f>""</f>
        <v/>
      </c>
      <c r="CH1154" t="str">
        <f>""</f>
        <v/>
      </c>
      <c r="CI1154" t="str">
        <f>""</f>
        <v/>
      </c>
      <c r="CJ1154" t="str">
        <f>""</f>
        <v/>
      </c>
      <c r="CK1154" t="str">
        <f>""</f>
        <v/>
      </c>
      <c r="CL1154" t="str">
        <f>""</f>
        <v/>
      </c>
      <c r="CM1154" t="str">
        <f>""</f>
        <v/>
      </c>
      <c r="CN1154" t="str">
        <f>""</f>
        <v/>
      </c>
      <c r="CO1154" t="str">
        <f>""</f>
        <v/>
      </c>
      <c r="CP1154" t="str">
        <f>""</f>
        <v/>
      </c>
      <c r="CQ1154" t="str">
        <f>""</f>
        <v/>
      </c>
      <c r="CR1154" t="str">
        <f>""</f>
        <v/>
      </c>
      <c r="CS1154" t="str">
        <f>""</f>
        <v/>
      </c>
      <c r="CT1154" t="str">
        <f>""</f>
        <v/>
      </c>
      <c r="CU1154" t="str">
        <f>""</f>
        <v/>
      </c>
      <c r="CV1154" t="str">
        <f>""</f>
        <v/>
      </c>
      <c r="CW1154" t="str">
        <f>""</f>
        <v/>
      </c>
      <c r="CX1154" t="str">
        <f>""</f>
        <v/>
      </c>
      <c r="CY1154" t="str">
        <f>""</f>
        <v/>
      </c>
      <c r="CZ1154" t="str">
        <f>""</f>
        <v/>
      </c>
      <c r="DA1154" t="str">
        <f>""</f>
        <v/>
      </c>
      <c r="DB1154" t="str">
        <f>""</f>
        <v/>
      </c>
      <c r="DC1154" t="str">
        <f>""</f>
        <v/>
      </c>
      <c r="DD1154" t="str">
        <f>""</f>
        <v/>
      </c>
      <c r="DE1154" t="str">
        <f>""</f>
        <v/>
      </c>
      <c r="DF1154" t="str">
        <f>""</f>
        <v/>
      </c>
      <c r="DG1154" t="str">
        <f>""</f>
        <v/>
      </c>
      <c r="DH1154" t="str">
        <f>""</f>
        <v/>
      </c>
      <c r="DI1154" t="str">
        <f>""</f>
        <v/>
      </c>
      <c r="DJ1154" t="str">
        <f>""</f>
        <v/>
      </c>
      <c r="DK1154" t="str">
        <f>""</f>
        <v/>
      </c>
      <c r="DL1154" t="str">
        <f>""</f>
        <v/>
      </c>
      <c r="DM1154" t="str">
        <f>""</f>
        <v/>
      </c>
      <c r="DN1154" t="str">
        <f>""</f>
        <v/>
      </c>
      <c r="DO1154" t="str">
        <f>""</f>
        <v/>
      </c>
      <c r="DP1154" t="str">
        <f>""</f>
        <v/>
      </c>
      <c r="DQ1154" t="str">
        <f>""</f>
        <v/>
      </c>
      <c r="DR1154" t="str">
        <f>""</f>
        <v/>
      </c>
      <c r="DS1154" t="str">
        <f>""</f>
        <v/>
      </c>
      <c r="DT1154" t="str">
        <f>""</f>
        <v/>
      </c>
      <c r="DU1154" t="str">
        <f>""</f>
        <v/>
      </c>
    </row>
    <row r="1155" spans="1:125" x14ac:dyDescent="0.25">
      <c r="A1155" t="str">
        <f>$A$493</f>
        <v xml:space="preserve">    Tofas Turk Otomobil Fabrikasi AS</v>
      </c>
      <c r="B1155" t="str">
        <f>$B$493</f>
        <v>TOASOTRY EO Equity</v>
      </c>
      <c r="C1155" t="str">
        <f>$C$493</f>
        <v>RR476</v>
      </c>
      <c r="D1155" t="str">
        <f>$D$493</f>
        <v>EV_TO_T12M_NET_INCOME</v>
      </c>
      <c r="E1155" t="str">
        <f>$E$493</f>
        <v>Dynamic</v>
      </c>
      <c r="F1155" t="str">
        <f ca="1">_xll.BDH($B$493,$C$493,$B$675,$B$676,CONCATENATE("Per=",$B$673),"Dts=H","Dir=H",CONCATENATE("Points=",$B$674),"Sort=R","Days=A","Fill=B",CONCATENATE("FX=", $B$672) )</f>
        <v>#N/A Connection</v>
      </c>
      <c r="BN1155" t="str">
        <f>""</f>
        <v/>
      </c>
      <c r="BO1155" t="str">
        <f>""</f>
        <v/>
      </c>
      <c r="BP1155" t="str">
        <f>""</f>
        <v/>
      </c>
      <c r="BQ1155" t="str">
        <f>""</f>
        <v/>
      </c>
      <c r="BR1155" t="str">
        <f>""</f>
        <v/>
      </c>
      <c r="BS1155" t="str">
        <f>""</f>
        <v/>
      </c>
      <c r="BT1155" t="str">
        <f>""</f>
        <v/>
      </c>
      <c r="BU1155" t="str">
        <f>""</f>
        <v/>
      </c>
      <c r="BV1155" t="str">
        <f>""</f>
        <v/>
      </c>
      <c r="BW1155" t="str">
        <f>""</f>
        <v/>
      </c>
      <c r="BX1155" t="str">
        <f>""</f>
        <v/>
      </c>
      <c r="BY1155" t="str">
        <f>""</f>
        <v/>
      </c>
      <c r="BZ1155" t="str">
        <f>""</f>
        <v/>
      </c>
      <c r="CA1155" t="str">
        <f>""</f>
        <v/>
      </c>
      <c r="CB1155" t="str">
        <f>""</f>
        <v/>
      </c>
      <c r="CC1155" t="str">
        <f>""</f>
        <v/>
      </c>
      <c r="CD1155" t="str">
        <f>""</f>
        <v/>
      </c>
      <c r="CE1155" t="str">
        <f>""</f>
        <v/>
      </c>
      <c r="CF1155" t="str">
        <f>""</f>
        <v/>
      </c>
      <c r="CG1155" t="str">
        <f>""</f>
        <v/>
      </c>
      <c r="CH1155" t="str">
        <f>""</f>
        <v/>
      </c>
      <c r="CI1155" t="str">
        <f>""</f>
        <v/>
      </c>
      <c r="CJ1155" t="str">
        <f>""</f>
        <v/>
      </c>
      <c r="CK1155" t="str">
        <f>""</f>
        <v/>
      </c>
      <c r="CL1155" t="str">
        <f>""</f>
        <v/>
      </c>
      <c r="CM1155" t="str">
        <f>""</f>
        <v/>
      </c>
      <c r="CN1155" t="str">
        <f>""</f>
        <v/>
      </c>
      <c r="CO1155" t="str">
        <f>""</f>
        <v/>
      </c>
      <c r="CP1155" t="str">
        <f>""</f>
        <v/>
      </c>
      <c r="CQ1155" t="str">
        <f>""</f>
        <v/>
      </c>
      <c r="CR1155" t="str">
        <f>""</f>
        <v/>
      </c>
      <c r="CS1155" t="str">
        <f>""</f>
        <v/>
      </c>
      <c r="CT1155" t="str">
        <f>""</f>
        <v/>
      </c>
      <c r="CU1155" t="str">
        <f>""</f>
        <v/>
      </c>
      <c r="CV1155" t="str">
        <f>""</f>
        <v/>
      </c>
      <c r="CW1155" t="str">
        <f>""</f>
        <v/>
      </c>
      <c r="CX1155" t="str">
        <f>""</f>
        <v/>
      </c>
      <c r="CY1155" t="str">
        <f>""</f>
        <v/>
      </c>
      <c r="CZ1155" t="str">
        <f>""</f>
        <v/>
      </c>
      <c r="DA1155" t="str">
        <f>""</f>
        <v/>
      </c>
      <c r="DB1155" t="str">
        <f>""</f>
        <v/>
      </c>
      <c r="DC1155" t="str">
        <f>""</f>
        <v/>
      </c>
      <c r="DD1155" t="str">
        <f>""</f>
        <v/>
      </c>
      <c r="DE1155" t="str">
        <f>""</f>
        <v/>
      </c>
      <c r="DF1155" t="str">
        <f>""</f>
        <v/>
      </c>
      <c r="DG1155" t="str">
        <f>""</f>
        <v/>
      </c>
      <c r="DH1155" t="str">
        <f>""</f>
        <v/>
      </c>
      <c r="DI1155" t="str">
        <f>""</f>
        <v/>
      </c>
      <c r="DJ1155" t="str">
        <f>""</f>
        <v/>
      </c>
      <c r="DK1155" t="str">
        <f>""</f>
        <v/>
      </c>
      <c r="DL1155" t="str">
        <f>""</f>
        <v/>
      </c>
      <c r="DM1155" t="str">
        <f>""</f>
        <v/>
      </c>
      <c r="DN1155" t="str">
        <f>""</f>
        <v/>
      </c>
      <c r="DO1155" t="str">
        <f>""</f>
        <v/>
      </c>
      <c r="DP1155" t="str">
        <f>""</f>
        <v/>
      </c>
      <c r="DQ1155" t="str">
        <f>""</f>
        <v/>
      </c>
      <c r="DR1155" t="str">
        <f>""</f>
        <v/>
      </c>
      <c r="DS1155" t="str">
        <f>""</f>
        <v/>
      </c>
      <c r="DT1155" t="str">
        <f>""</f>
        <v/>
      </c>
      <c r="DU1155" t="str">
        <f>""</f>
        <v/>
      </c>
    </row>
    <row r="1156" spans="1:125" x14ac:dyDescent="0.25">
      <c r="A1156" t="str">
        <f>$A$494</f>
        <v xml:space="preserve">    Toyota Motor Corp</v>
      </c>
      <c r="B1156" t="str">
        <f>$B$494</f>
        <v>7203 JP Equity</v>
      </c>
      <c r="C1156" t="str">
        <f>$C$494</f>
        <v>RR476</v>
      </c>
      <c r="D1156" t="str">
        <f>$D$494</f>
        <v>EV_TO_T12M_NET_INCOME</v>
      </c>
      <c r="E1156" t="str">
        <f>$E$494</f>
        <v>Dynamic</v>
      </c>
      <c r="F1156" t="str">
        <f ca="1">_xll.BDH($B$494,$C$494,$B$675,$B$676,CONCATENATE("Per=",$B$673),"Dts=H","Dir=H",CONCATENATE("Points=",$B$674),"Sort=R","Days=A","Fill=B",CONCATENATE("FX=", $B$672) )</f>
        <v>#N/A Connection</v>
      </c>
      <c r="BN1156" t="str">
        <f>""</f>
        <v/>
      </c>
      <c r="BO1156" t="str">
        <f>""</f>
        <v/>
      </c>
      <c r="BP1156" t="str">
        <f>""</f>
        <v/>
      </c>
      <c r="BQ1156" t="str">
        <f>""</f>
        <v/>
      </c>
      <c r="BR1156" t="str">
        <f>""</f>
        <v/>
      </c>
      <c r="BS1156" t="str">
        <f>""</f>
        <v/>
      </c>
      <c r="BT1156" t="str">
        <f>""</f>
        <v/>
      </c>
      <c r="BU1156" t="str">
        <f>""</f>
        <v/>
      </c>
      <c r="BV1156" t="str">
        <f>""</f>
        <v/>
      </c>
      <c r="BW1156" t="str">
        <f>""</f>
        <v/>
      </c>
      <c r="BX1156" t="str">
        <f>""</f>
        <v/>
      </c>
      <c r="BY1156" t="str">
        <f>""</f>
        <v/>
      </c>
      <c r="BZ1156" t="str">
        <f>""</f>
        <v/>
      </c>
      <c r="CA1156" t="str">
        <f>""</f>
        <v/>
      </c>
      <c r="CB1156" t="str">
        <f>""</f>
        <v/>
      </c>
      <c r="CC1156" t="str">
        <f>""</f>
        <v/>
      </c>
      <c r="CD1156" t="str">
        <f>""</f>
        <v/>
      </c>
      <c r="CE1156" t="str">
        <f>""</f>
        <v/>
      </c>
      <c r="CF1156" t="str">
        <f>""</f>
        <v/>
      </c>
      <c r="CG1156" t="str">
        <f>""</f>
        <v/>
      </c>
      <c r="CH1156" t="str">
        <f>""</f>
        <v/>
      </c>
      <c r="CI1156" t="str">
        <f>""</f>
        <v/>
      </c>
      <c r="CJ1156" t="str">
        <f>""</f>
        <v/>
      </c>
      <c r="CK1156" t="str">
        <f>""</f>
        <v/>
      </c>
      <c r="CL1156" t="str">
        <f>""</f>
        <v/>
      </c>
      <c r="CM1156" t="str">
        <f>""</f>
        <v/>
      </c>
      <c r="CN1156" t="str">
        <f>""</f>
        <v/>
      </c>
      <c r="CO1156" t="str">
        <f>""</f>
        <v/>
      </c>
      <c r="CP1156" t="str">
        <f>""</f>
        <v/>
      </c>
      <c r="CQ1156" t="str">
        <f>""</f>
        <v/>
      </c>
      <c r="CR1156" t="str">
        <f>""</f>
        <v/>
      </c>
      <c r="CS1156" t="str">
        <f>""</f>
        <v/>
      </c>
      <c r="CT1156" t="str">
        <f>""</f>
        <v/>
      </c>
      <c r="CU1156" t="str">
        <f>""</f>
        <v/>
      </c>
      <c r="CV1156" t="str">
        <f>""</f>
        <v/>
      </c>
      <c r="CW1156" t="str">
        <f>""</f>
        <v/>
      </c>
      <c r="CX1156" t="str">
        <f>""</f>
        <v/>
      </c>
      <c r="CY1156" t="str">
        <f>""</f>
        <v/>
      </c>
      <c r="CZ1156" t="str">
        <f>""</f>
        <v/>
      </c>
      <c r="DA1156" t="str">
        <f>""</f>
        <v/>
      </c>
      <c r="DB1156" t="str">
        <f>""</f>
        <v/>
      </c>
      <c r="DC1156" t="str">
        <f>""</f>
        <v/>
      </c>
      <c r="DD1156" t="str">
        <f>""</f>
        <v/>
      </c>
      <c r="DE1156" t="str">
        <f>""</f>
        <v/>
      </c>
      <c r="DF1156" t="str">
        <f>""</f>
        <v/>
      </c>
      <c r="DG1156" t="str">
        <f>""</f>
        <v/>
      </c>
      <c r="DH1156" t="str">
        <f>""</f>
        <v/>
      </c>
      <c r="DI1156" t="str">
        <f>""</f>
        <v/>
      </c>
      <c r="DJ1156" t="str">
        <f>""</f>
        <v/>
      </c>
      <c r="DK1156" t="str">
        <f>""</f>
        <v/>
      </c>
      <c r="DL1156" t="str">
        <f>""</f>
        <v/>
      </c>
      <c r="DM1156" t="str">
        <f>""</f>
        <v/>
      </c>
      <c r="DN1156" t="str">
        <f>""</f>
        <v/>
      </c>
      <c r="DO1156" t="str">
        <f>""</f>
        <v/>
      </c>
      <c r="DP1156" t="str">
        <f>""</f>
        <v/>
      </c>
      <c r="DQ1156" t="str">
        <f>""</f>
        <v/>
      </c>
      <c r="DR1156" t="str">
        <f>""</f>
        <v/>
      </c>
      <c r="DS1156" t="str">
        <f>""</f>
        <v/>
      </c>
      <c r="DT1156" t="str">
        <f>""</f>
        <v/>
      </c>
      <c r="DU1156" t="str">
        <f>""</f>
        <v/>
      </c>
    </row>
    <row r="1157" spans="1:125" x14ac:dyDescent="0.25">
      <c r="A1157" t="str">
        <f>$A$495</f>
        <v xml:space="preserve">    Volkswagen AG</v>
      </c>
      <c r="B1157" t="str">
        <f>$B$495</f>
        <v>VOW GR Equity</v>
      </c>
      <c r="C1157" t="str">
        <f>$C$495</f>
        <v>RR476</v>
      </c>
      <c r="D1157" t="str">
        <f>$D$495</f>
        <v>EV_TO_T12M_NET_INCOME</v>
      </c>
      <c r="E1157" t="str">
        <f>$E$495</f>
        <v>Dynamic</v>
      </c>
      <c r="F1157" t="str">
        <f ca="1">_xll.BDH($B$495,$C$495,$B$675,$B$676,CONCATENATE("Per=",$B$673),"Dts=H","Dir=H",CONCATENATE("Points=",$B$674),"Sort=R","Days=A","Fill=B",CONCATENATE("FX=", $B$672) )</f>
        <v>#N/A Connection</v>
      </c>
      <c r="BN1157" t="str">
        <f>""</f>
        <v/>
      </c>
      <c r="BO1157" t="str">
        <f>""</f>
        <v/>
      </c>
      <c r="BP1157" t="str">
        <f>""</f>
        <v/>
      </c>
      <c r="BQ1157" t="str">
        <f>""</f>
        <v/>
      </c>
      <c r="BR1157" t="str">
        <f>""</f>
        <v/>
      </c>
      <c r="BS1157" t="str">
        <f>""</f>
        <v/>
      </c>
      <c r="BT1157" t="str">
        <f>""</f>
        <v/>
      </c>
      <c r="BU1157" t="str">
        <f>""</f>
        <v/>
      </c>
      <c r="BV1157" t="str">
        <f>""</f>
        <v/>
      </c>
      <c r="BW1157" t="str">
        <f>""</f>
        <v/>
      </c>
      <c r="BX1157" t="str">
        <f>""</f>
        <v/>
      </c>
      <c r="BY1157" t="str">
        <f>""</f>
        <v/>
      </c>
      <c r="BZ1157" t="str">
        <f>""</f>
        <v/>
      </c>
      <c r="CA1157" t="str">
        <f>""</f>
        <v/>
      </c>
      <c r="CB1157" t="str">
        <f>""</f>
        <v/>
      </c>
      <c r="CC1157" t="str">
        <f>""</f>
        <v/>
      </c>
      <c r="CD1157" t="str">
        <f>""</f>
        <v/>
      </c>
      <c r="CE1157" t="str">
        <f>""</f>
        <v/>
      </c>
      <c r="CF1157" t="str">
        <f>""</f>
        <v/>
      </c>
      <c r="CG1157" t="str">
        <f>""</f>
        <v/>
      </c>
      <c r="CH1157" t="str">
        <f>""</f>
        <v/>
      </c>
      <c r="CI1157" t="str">
        <f>""</f>
        <v/>
      </c>
      <c r="CJ1157" t="str">
        <f>""</f>
        <v/>
      </c>
      <c r="CK1157" t="str">
        <f>""</f>
        <v/>
      </c>
      <c r="CL1157" t="str">
        <f>""</f>
        <v/>
      </c>
      <c r="CM1157" t="str">
        <f>""</f>
        <v/>
      </c>
      <c r="CN1157" t="str">
        <f>""</f>
        <v/>
      </c>
      <c r="CO1157" t="str">
        <f>""</f>
        <v/>
      </c>
      <c r="CP1157" t="str">
        <f>""</f>
        <v/>
      </c>
      <c r="CQ1157" t="str">
        <f>""</f>
        <v/>
      </c>
      <c r="CR1157" t="str">
        <f>""</f>
        <v/>
      </c>
      <c r="CS1157" t="str">
        <f>""</f>
        <v/>
      </c>
      <c r="CT1157" t="str">
        <f>""</f>
        <v/>
      </c>
      <c r="CU1157" t="str">
        <f>""</f>
        <v/>
      </c>
      <c r="CV1157" t="str">
        <f>""</f>
        <v/>
      </c>
      <c r="CW1157" t="str">
        <f>""</f>
        <v/>
      </c>
      <c r="CX1157" t="str">
        <f>""</f>
        <v/>
      </c>
      <c r="CY1157" t="str">
        <f>""</f>
        <v/>
      </c>
      <c r="CZ1157" t="str">
        <f>""</f>
        <v/>
      </c>
      <c r="DA1157" t="str">
        <f>""</f>
        <v/>
      </c>
      <c r="DB1157" t="str">
        <f>""</f>
        <v/>
      </c>
      <c r="DC1157" t="str">
        <f>""</f>
        <v/>
      </c>
      <c r="DD1157" t="str">
        <f>""</f>
        <v/>
      </c>
      <c r="DE1157" t="str">
        <f>""</f>
        <v/>
      </c>
      <c r="DF1157" t="str">
        <f>""</f>
        <v/>
      </c>
      <c r="DG1157" t="str">
        <f>""</f>
        <v/>
      </c>
      <c r="DH1157" t="str">
        <f>""</f>
        <v/>
      </c>
      <c r="DI1157" t="str">
        <f>""</f>
        <v/>
      </c>
      <c r="DJ1157" t="str">
        <f>""</f>
        <v/>
      </c>
      <c r="DK1157" t="str">
        <f>""</f>
        <v/>
      </c>
      <c r="DL1157" t="str">
        <f>""</f>
        <v/>
      </c>
      <c r="DM1157" t="str">
        <f>""</f>
        <v/>
      </c>
      <c r="DN1157" t="str">
        <f>""</f>
        <v/>
      </c>
      <c r="DO1157" t="str">
        <f>""</f>
        <v/>
      </c>
      <c r="DP1157" t="str">
        <f>""</f>
        <v/>
      </c>
      <c r="DQ1157" t="str">
        <f>""</f>
        <v/>
      </c>
      <c r="DR1157" t="str">
        <f>""</f>
        <v/>
      </c>
      <c r="DS1157" t="str">
        <f>""</f>
        <v/>
      </c>
      <c r="DT1157" t="str">
        <f>""</f>
        <v/>
      </c>
      <c r="DU1157" t="str">
        <f>""</f>
        <v/>
      </c>
    </row>
    <row r="1158" spans="1:125" x14ac:dyDescent="0.25">
      <c r="A1158" t="str">
        <f>$A$496</f>
        <v xml:space="preserve">    Yulon Motor Co Ltd</v>
      </c>
      <c r="B1158" t="str">
        <f>$B$496</f>
        <v>2201 TT Equity</v>
      </c>
      <c r="C1158" t="str">
        <f>$C$496</f>
        <v>RR476</v>
      </c>
      <c r="D1158" t="str">
        <f>$D$496</f>
        <v>EV_TO_T12M_NET_INCOME</v>
      </c>
      <c r="E1158" t="str">
        <f>$E$496</f>
        <v>Dynamic</v>
      </c>
      <c r="F1158" t="str">
        <f ca="1">_xll.BDH($B$496,$C$496,$B$675,$B$676,CONCATENATE("Per=",$B$673),"Dts=H","Dir=H",CONCATENATE("Points=",$B$674),"Sort=R","Days=A","Fill=B",CONCATENATE("FX=", $B$672) )</f>
        <v>#N/A Connection</v>
      </c>
      <c r="BN1158" t="str">
        <f>""</f>
        <v/>
      </c>
      <c r="BO1158" t="str">
        <f>""</f>
        <v/>
      </c>
      <c r="BP1158" t="str">
        <f>""</f>
        <v/>
      </c>
      <c r="BQ1158" t="str">
        <f>""</f>
        <v/>
      </c>
      <c r="BR1158" t="str">
        <f>""</f>
        <v/>
      </c>
      <c r="BS1158" t="str">
        <f>""</f>
        <v/>
      </c>
      <c r="BT1158" t="str">
        <f>""</f>
        <v/>
      </c>
      <c r="BU1158" t="str">
        <f>""</f>
        <v/>
      </c>
      <c r="BV1158" t="str">
        <f>""</f>
        <v/>
      </c>
      <c r="BW1158" t="str">
        <f>""</f>
        <v/>
      </c>
      <c r="BX1158" t="str">
        <f>""</f>
        <v/>
      </c>
      <c r="BY1158" t="str">
        <f>""</f>
        <v/>
      </c>
      <c r="BZ1158" t="str">
        <f>""</f>
        <v/>
      </c>
      <c r="CA1158" t="str">
        <f>""</f>
        <v/>
      </c>
      <c r="CB1158" t="str">
        <f>""</f>
        <v/>
      </c>
      <c r="CC1158" t="str">
        <f>""</f>
        <v/>
      </c>
      <c r="CD1158" t="str">
        <f>""</f>
        <v/>
      </c>
      <c r="CE1158" t="str">
        <f>""</f>
        <v/>
      </c>
      <c r="CF1158" t="str">
        <f>""</f>
        <v/>
      </c>
      <c r="CG1158" t="str">
        <f>""</f>
        <v/>
      </c>
      <c r="CH1158" t="str">
        <f>""</f>
        <v/>
      </c>
      <c r="CI1158" t="str">
        <f>""</f>
        <v/>
      </c>
      <c r="CJ1158" t="str">
        <f>""</f>
        <v/>
      </c>
      <c r="CK1158" t="str">
        <f>""</f>
        <v/>
      </c>
      <c r="CL1158" t="str">
        <f>""</f>
        <v/>
      </c>
      <c r="CM1158" t="str">
        <f>""</f>
        <v/>
      </c>
      <c r="CN1158" t="str">
        <f>""</f>
        <v/>
      </c>
      <c r="CO1158" t="str">
        <f>""</f>
        <v/>
      </c>
      <c r="CP1158" t="str">
        <f>""</f>
        <v/>
      </c>
      <c r="CQ1158" t="str">
        <f>""</f>
        <v/>
      </c>
      <c r="CR1158" t="str">
        <f>""</f>
        <v/>
      </c>
      <c r="CS1158" t="str">
        <f>""</f>
        <v/>
      </c>
      <c r="CT1158" t="str">
        <f>""</f>
        <v/>
      </c>
      <c r="CU1158" t="str">
        <f>""</f>
        <v/>
      </c>
      <c r="CV1158" t="str">
        <f>""</f>
        <v/>
      </c>
      <c r="CW1158" t="str">
        <f>""</f>
        <v/>
      </c>
      <c r="CX1158" t="str">
        <f>""</f>
        <v/>
      </c>
      <c r="CY1158" t="str">
        <f>""</f>
        <v/>
      </c>
      <c r="CZ1158" t="str">
        <f>""</f>
        <v/>
      </c>
      <c r="DA1158" t="str">
        <f>""</f>
        <v/>
      </c>
      <c r="DB1158" t="str">
        <f>""</f>
        <v/>
      </c>
      <c r="DC1158" t="str">
        <f>""</f>
        <v/>
      </c>
      <c r="DD1158" t="str">
        <f>""</f>
        <v/>
      </c>
      <c r="DE1158" t="str">
        <f>""</f>
        <v/>
      </c>
      <c r="DF1158" t="str">
        <f>""</f>
        <v/>
      </c>
      <c r="DG1158" t="str">
        <f>""</f>
        <v/>
      </c>
      <c r="DH1158" t="str">
        <f>""</f>
        <v/>
      </c>
      <c r="DI1158" t="str">
        <f>""</f>
        <v/>
      </c>
      <c r="DJ1158" t="str">
        <f>""</f>
        <v/>
      </c>
      <c r="DK1158" t="str">
        <f>""</f>
        <v/>
      </c>
      <c r="DL1158" t="str">
        <f>""</f>
        <v/>
      </c>
      <c r="DM1158" t="str">
        <f>""</f>
        <v/>
      </c>
      <c r="DN1158" t="str">
        <f>""</f>
        <v/>
      </c>
      <c r="DO1158" t="str">
        <f>""</f>
        <v/>
      </c>
      <c r="DP1158" t="str">
        <f>""</f>
        <v/>
      </c>
      <c r="DQ1158" t="str">
        <f>""</f>
        <v/>
      </c>
      <c r="DR1158" t="str">
        <f>""</f>
        <v/>
      </c>
      <c r="DS1158" t="str">
        <f>""</f>
        <v/>
      </c>
      <c r="DT1158" t="str">
        <f>""</f>
        <v/>
      </c>
      <c r="DU1158" t="str">
        <f>""</f>
        <v/>
      </c>
    </row>
    <row r="1159" spans="1:125" x14ac:dyDescent="0.25">
      <c r="A1159" t="str">
        <f>$A$499</f>
        <v xml:space="preserve">    AUDI AG</v>
      </c>
      <c r="B1159" t="str">
        <f>$B$499</f>
        <v>NSU GR Equity</v>
      </c>
      <c r="C1159" t="str">
        <f>$C$499</f>
        <v>DV013</v>
      </c>
      <c r="D1159" t="str">
        <f>$D$499</f>
        <v>EQY_DVD_YLD_IND</v>
      </c>
      <c r="E1159" t="str">
        <f>$E$499</f>
        <v>Dynamic</v>
      </c>
      <c r="F1159" t="str">
        <f ca="1">_xll.BDH($B$499,$C$499,$B$675,$B$676,CONCATENATE("Per=",$B$673),"Dts=H","Dir=H",CONCATENATE("Points=",$B$674),"Sort=R","Days=A","Fill=B",CONCATENATE("FX=", $B$672) )</f>
        <v>#N/A Connection</v>
      </c>
      <c r="BN1159" t="str">
        <f>""</f>
        <v/>
      </c>
      <c r="BO1159" t="str">
        <f>""</f>
        <v/>
      </c>
      <c r="BP1159" t="str">
        <f>""</f>
        <v/>
      </c>
      <c r="BQ1159" t="str">
        <f>""</f>
        <v/>
      </c>
      <c r="BR1159" t="str">
        <f>""</f>
        <v/>
      </c>
      <c r="BS1159" t="str">
        <f>""</f>
        <v/>
      </c>
      <c r="BT1159" t="str">
        <f>""</f>
        <v/>
      </c>
      <c r="BU1159" t="str">
        <f>""</f>
        <v/>
      </c>
      <c r="BV1159" t="str">
        <f>""</f>
        <v/>
      </c>
      <c r="BW1159" t="str">
        <f>""</f>
        <v/>
      </c>
      <c r="BX1159" t="str">
        <f>""</f>
        <v/>
      </c>
      <c r="BY1159" t="str">
        <f>""</f>
        <v/>
      </c>
      <c r="BZ1159" t="str">
        <f>""</f>
        <v/>
      </c>
      <c r="CA1159" t="str">
        <f>""</f>
        <v/>
      </c>
      <c r="CB1159" t="str">
        <f>""</f>
        <v/>
      </c>
      <c r="CC1159" t="str">
        <f>""</f>
        <v/>
      </c>
      <c r="CD1159" t="str">
        <f>""</f>
        <v/>
      </c>
      <c r="CE1159" t="str">
        <f>""</f>
        <v/>
      </c>
      <c r="CF1159" t="str">
        <f>""</f>
        <v/>
      </c>
      <c r="CG1159" t="str">
        <f>""</f>
        <v/>
      </c>
      <c r="CH1159" t="str">
        <f>""</f>
        <v/>
      </c>
      <c r="CI1159" t="str">
        <f>""</f>
        <v/>
      </c>
      <c r="CJ1159" t="str">
        <f>""</f>
        <v/>
      </c>
      <c r="CK1159" t="str">
        <f>""</f>
        <v/>
      </c>
      <c r="CL1159" t="str">
        <f>""</f>
        <v/>
      </c>
      <c r="CM1159" t="str">
        <f>""</f>
        <v/>
      </c>
      <c r="CN1159" t="str">
        <f>""</f>
        <v/>
      </c>
      <c r="CO1159" t="str">
        <f>""</f>
        <v/>
      </c>
      <c r="CP1159" t="str">
        <f>""</f>
        <v/>
      </c>
      <c r="CQ1159" t="str">
        <f>""</f>
        <v/>
      </c>
      <c r="CR1159" t="str">
        <f>""</f>
        <v/>
      </c>
      <c r="CS1159" t="str">
        <f>""</f>
        <v/>
      </c>
      <c r="CT1159" t="str">
        <f>""</f>
        <v/>
      </c>
      <c r="CU1159" t="str">
        <f>""</f>
        <v/>
      </c>
      <c r="CV1159" t="str">
        <f>""</f>
        <v/>
      </c>
      <c r="CW1159" t="str">
        <f>""</f>
        <v/>
      </c>
      <c r="CX1159" t="str">
        <f>""</f>
        <v/>
      </c>
      <c r="CY1159" t="str">
        <f>""</f>
        <v/>
      </c>
      <c r="CZ1159" t="str">
        <f>""</f>
        <v/>
      </c>
      <c r="DA1159" t="str">
        <f>""</f>
        <v/>
      </c>
      <c r="DB1159" t="str">
        <f>""</f>
        <v/>
      </c>
      <c r="DC1159" t="str">
        <f>""</f>
        <v/>
      </c>
      <c r="DD1159" t="str">
        <f>""</f>
        <v/>
      </c>
      <c r="DE1159" t="str">
        <f>""</f>
        <v/>
      </c>
      <c r="DF1159" t="str">
        <f>""</f>
        <v/>
      </c>
      <c r="DG1159" t="str">
        <f>""</f>
        <v/>
      </c>
      <c r="DH1159" t="str">
        <f>""</f>
        <v/>
      </c>
      <c r="DI1159" t="str">
        <f>""</f>
        <v/>
      </c>
      <c r="DJ1159" t="str">
        <f>""</f>
        <v/>
      </c>
      <c r="DK1159" t="str">
        <f>""</f>
        <v/>
      </c>
      <c r="DL1159" t="str">
        <f>""</f>
        <v/>
      </c>
      <c r="DM1159" t="str">
        <f>""</f>
        <v/>
      </c>
      <c r="DN1159" t="str">
        <f>""</f>
        <v/>
      </c>
      <c r="DO1159" t="str">
        <f>""</f>
        <v/>
      </c>
      <c r="DP1159" t="str">
        <f>""</f>
        <v/>
      </c>
      <c r="DQ1159" t="str">
        <f>""</f>
        <v/>
      </c>
      <c r="DR1159" t="str">
        <f>""</f>
        <v/>
      </c>
      <c r="DS1159" t="str">
        <f>""</f>
        <v/>
      </c>
      <c r="DT1159" t="str">
        <f>""</f>
        <v/>
      </c>
      <c r="DU1159" t="str">
        <f>""</f>
        <v/>
      </c>
    </row>
    <row r="1160" spans="1:125" x14ac:dyDescent="0.25">
      <c r="A1160" t="str">
        <f>$A$500</f>
        <v xml:space="preserve">    Avtovaz PJSC</v>
      </c>
      <c r="B1160" t="str">
        <f>$B$500</f>
        <v>AVAZ RM Equity</v>
      </c>
      <c r="C1160" t="str">
        <f>$C$500</f>
        <v>DV013</v>
      </c>
      <c r="D1160" t="str">
        <f>$D$500</f>
        <v>EQY_DVD_YLD_IND</v>
      </c>
      <c r="E1160" t="str">
        <f>$E$500</f>
        <v>Dynamic</v>
      </c>
      <c r="F1160" t="str">
        <f ca="1">_xll.BDH($B$500,$C$500,$B$675,$B$676,CONCATENATE("Per=",$B$673),"Dts=H","Dir=H",CONCATENATE("Points=",$B$674),"Sort=R","Days=A","Fill=B",CONCATENATE("FX=", $B$672) )</f>
        <v>#N/A Connection</v>
      </c>
      <c r="BN1160" t="str">
        <f>""</f>
        <v/>
      </c>
      <c r="BO1160" t="str">
        <f>""</f>
        <v/>
      </c>
      <c r="BP1160" t="str">
        <f>""</f>
        <v/>
      </c>
      <c r="BQ1160" t="str">
        <f>""</f>
        <v/>
      </c>
      <c r="BR1160" t="str">
        <f>""</f>
        <v/>
      </c>
      <c r="BS1160" t="str">
        <f>""</f>
        <v/>
      </c>
      <c r="BT1160" t="str">
        <f>""</f>
        <v/>
      </c>
      <c r="BU1160" t="str">
        <f>""</f>
        <v/>
      </c>
      <c r="BV1160" t="str">
        <f>""</f>
        <v/>
      </c>
      <c r="BW1160" t="str">
        <f>""</f>
        <v/>
      </c>
      <c r="BX1160" t="str">
        <f>""</f>
        <v/>
      </c>
      <c r="BY1160" t="str">
        <f>""</f>
        <v/>
      </c>
      <c r="BZ1160" t="str">
        <f>""</f>
        <v/>
      </c>
      <c r="CA1160" t="str">
        <f>""</f>
        <v/>
      </c>
      <c r="CB1160" t="str">
        <f>""</f>
        <v/>
      </c>
      <c r="CC1160" t="str">
        <f>""</f>
        <v/>
      </c>
      <c r="CD1160" t="str">
        <f>""</f>
        <v/>
      </c>
      <c r="CE1160" t="str">
        <f>""</f>
        <v/>
      </c>
      <c r="CF1160" t="str">
        <f>""</f>
        <v/>
      </c>
      <c r="CG1160" t="str">
        <f>""</f>
        <v/>
      </c>
      <c r="CH1160" t="str">
        <f>""</f>
        <v/>
      </c>
      <c r="CI1160" t="str">
        <f>""</f>
        <v/>
      </c>
      <c r="CJ1160" t="str">
        <f>""</f>
        <v/>
      </c>
      <c r="CK1160" t="str">
        <f>""</f>
        <v/>
      </c>
      <c r="CL1160" t="str">
        <f>""</f>
        <v/>
      </c>
      <c r="CM1160" t="str">
        <f>""</f>
        <v/>
      </c>
      <c r="CN1160" t="str">
        <f>""</f>
        <v/>
      </c>
      <c r="CO1160" t="str">
        <f>""</f>
        <v/>
      </c>
      <c r="CP1160" t="str">
        <f>""</f>
        <v/>
      </c>
      <c r="CQ1160" t="str">
        <f>""</f>
        <v/>
      </c>
      <c r="CR1160" t="str">
        <f>""</f>
        <v/>
      </c>
      <c r="CS1160" t="str">
        <f>""</f>
        <v/>
      </c>
      <c r="CT1160" t="str">
        <f>""</f>
        <v/>
      </c>
      <c r="CU1160" t="str">
        <f>""</f>
        <v/>
      </c>
      <c r="CV1160" t="str">
        <f>""</f>
        <v/>
      </c>
      <c r="CW1160" t="str">
        <f>""</f>
        <v/>
      </c>
      <c r="CX1160" t="str">
        <f>""</f>
        <v/>
      </c>
      <c r="CY1160" t="str">
        <f>""</f>
        <v/>
      </c>
      <c r="CZ1160" t="str">
        <f>""</f>
        <v/>
      </c>
      <c r="DA1160" t="str">
        <f>""</f>
        <v/>
      </c>
      <c r="DB1160" t="str">
        <f>""</f>
        <v/>
      </c>
      <c r="DC1160" t="str">
        <f>""</f>
        <v/>
      </c>
      <c r="DD1160" t="str">
        <f>""</f>
        <v/>
      </c>
      <c r="DE1160" t="str">
        <f>""</f>
        <v/>
      </c>
      <c r="DF1160" t="str">
        <f>""</f>
        <v/>
      </c>
      <c r="DG1160" t="str">
        <f>""</f>
        <v/>
      </c>
      <c r="DH1160" t="str">
        <f>""</f>
        <v/>
      </c>
      <c r="DI1160" t="str">
        <f>""</f>
        <v/>
      </c>
      <c r="DJ1160" t="str">
        <f>""</f>
        <v/>
      </c>
      <c r="DK1160" t="str">
        <f>""</f>
        <v/>
      </c>
      <c r="DL1160" t="str">
        <f>""</f>
        <v/>
      </c>
      <c r="DM1160" t="str">
        <f>""</f>
        <v/>
      </c>
      <c r="DN1160" t="str">
        <f>""</f>
        <v/>
      </c>
      <c r="DO1160" t="str">
        <f>""</f>
        <v/>
      </c>
      <c r="DP1160" t="str">
        <f>""</f>
        <v/>
      </c>
      <c r="DQ1160" t="str">
        <f>""</f>
        <v/>
      </c>
      <c r="DR1160" t="str">
        <f>""</f>
        <v/>
      </c>
      <c r="DS1160" t="str">
        <f>""</f>
        <v/>
      </c>
      <c r="DT1160" t="str">
        <f>""</f>
        <v/>
      </c>
      <c r="DU1160" t="str">
        <f>""</f>
        <v/>
      </c>
    </row>
    <row r="1161" spans="1:125" x14ac:dyDescent="0.25">
      <c r="A1161" t="str">
        <f>$A$501</f>
        <v xml:space="preserve">    Bayerische Motoren Werke AG</v>
      </c>
      <c r="B1161" t="str">
        <f>$B$501</f>
        <v>BMW GR Equity</v>
      </c>
      <c r="C1161" t="str">
        <f>$C$501</f>
        <v>DV013</v>
      </c>
      <c r="D1161" t="str">
        <f>$D$501</f>
        <v>EQY_DVD_YLD_IND</v>
      </c>
      <c r="E1161" t="str">
        <f>$E$501</f>
        <v>Dynamic</v>
      </c>
      <c r="F1161" t="str">
        <f ca="1">_xll.BDH($B$501,$C$501,$B$675,$B$676,CONCATENATE("Per=",$B$673),"Dts=H","Dir=H",CONCATENATE("Points=",$B$674),"Sort=R","Days=A","Fill=B",CONCATENATE("FX=", $B$672) )</f>
        <v>#N/A Connection</v>
      </c>
      <c r="BN1161" t="str">
        <f>""</f>
        <v/>
      </c>
      <c r="BO1161" t="str">
        <f>""</f>
        <v/>
      </c>
      <c r="BP1161" t="str">
        <f>""</f>
        <v/>
      </c>
      <c r="BQ1161" t="str">
        <f>""</f>
        <v/>
      </c>
      <c r="BR1161" t="str">
        <f>""</f>
        <v/>
      </c>
      <c r="BS1161" t="str">
        <f>""</f>
        <v/>
      </c>
      <c r="BT1161" t="str">
        <f>""</f>
        <v/>
      </c>
      <c r="BU1161" t="str">
        <f>""</f>
        <v/>
      </c>
      <c r="BV1161" t="str">
        <f>""</f>
        <v/>
      </c>
      <c r="BW1161" t="str">
        <f>""</f>
        <v/>
      </c>
      <c r="BX1161" t="str">
        <f>""</f>
        <v/>
      </c>
      <c r="BY1161" t="str">
        <f>""</f>
        <v/>
      </c>
      <c r="BZ1161" t="str">
        <f>""</f>
        <v/>
      </c>
      <c r="CA1161" t="str">
        <f>""</f>
        <v/>
      </c>
      <c r="CB1161" t="str">
        <f>""</f>
        <v/>
      </c>
      <c r="CC1161" t="str">
        <f>""</f>
        <v/>
      </c>
      <c r="CD1161" t="str">
        <f>""</f>
        <v/>
      </c>
      <c r="CE1161" t="str">
        <f>""</f>
        <v/>
      </c>
      <c r="CF1161" t="str">
        <f>""</f>
        <v/>
      </c>
      <c r="CG1161" t="str">
        <f>""</f>
        <v/>
      </c>
      <c r="CH1161" t="str">
        <f>""</f>
        <v/>
      </c>
      <c r="CI1161" t="str">
        <f>""</f>
        <v/>
      </c>
      <c r="CJ1161" t="str">
        <f>""</f>
        <v/>
      </c>
      <c r="CK1161" t="str">
        <f>""</f>
        <v/>
      </c>
      <c r="CL1161" t="str">
        <f>""</f>
        <v/>
      </c>
      <c r="CM1161" t="str">
        <f>""</f>
        <v/>
      </c>
      <c r="CN1161" t="str">
        <f>""</f>
        <v/>
      </c>
      <c r="CO1161" t="str">
        <f>""</f>
        <v/>
      </c>
      <c r="CP1161" t="str">
        <f>""</f>
        <v/>
      </c>
      <c r="CQ1161" t="str">
        <f>""</f>
        <v/>
      </c>
      <c r="CR1161" t="str">
        <f>""</f>
        <v/>
      </c>
      <c r="CS1161" t="str">
        <f>""</f>
        <v/>
      </c>
      <c r="CT1161" t="str">
        <f>""</f>
        <v/>
      </c>
      <c r="CU1161" t="str">
        <f>""</f>
        <v/>
      </c>
      <c r="CV1161" t="str">
        <f>""</f>
        <v/>
      </c>
      <c r="CW1161" t="str">
        <f>""</f>
        <v/>
      </c>
      <c r="CX1161" t="str">
        <f>""</f>
        <v/>
      </c>
      <c r="CY1161" t="str">
        <f>""</f>
        <v/>
      </c>
      <c r="CZ1161" t="str">
        <f>""</f>
        <v/>
      </c>
      <c r="DA1161" t="str">
        <f>""</f>
        <v/>
      </c>
      <c r="DB1161" t="str">
        <f>""</f>
        <v/>
      </c>
      <c r="DC1161" t="str">
        <f>""</f>
        <v/>
      </c>
      <c r="DD1161" t="str">
        <f>""</f>
        <v/>
      </c>
      <c r="DE1161" t="str">
        <f>""</f>
        <v/>
      </c>
      <c r="DF1161" t="str">
        <f>""</f>
        <v/>
      </c>
      <c r="DG1161" t="str">
        <f>""</f>
        <v/>
      </c>
      <c r="DH1161" t="str">
        <f>""</f>
        <v/>
      </c>
      <c r="DI1161" t="str">
        <f>""</f>
        <v/>
      </c>
      <c r="DJ1161" t="str">
        <f>""</f>
        <v/>
      </c>
      <c r="DK1161" t="str">
        <f>""</f>
        <v/>
      </c>
      <c r="DL1161" t="str">
        <f>""</f>
        <v/>
      </c>
      <c r="DM1161" t="str">
        <f>""</f>
        <v/>
      </c>
      <c r="DN1161" t="str">
        <f>""</f>
        <v/>
      </c>
      <c r="DO1161" t="str">
        <f>""</f>
        <v/>
      </c>
      <c r="DP1161" t="str">
        <f>""</f>
        <v/>
      </c>
      <c r="DQ1161" t="str">
        <f>""</f>
        <v/>
      </c>
      <c r="DR1161" t="str">
        <f>""</f>
        <v/>
      </c>
      <c r="DS1161" t="str">
        <f>""</f>
        <v/>
      </c>
      <c r="DT1161" t="str">
        <f>""</f>
        <v/>
      </c>
      <c r="DU1161" t="str">
        <f>""</f>
        <v/>
      </c>
    </row>
    <row r="1162" spans="1:125" x14ac:dyDescent="0.25">
      <c r="A1162" t="str">
        <f>$A$502</f>
        <v xml:space="preserve">    Brilliance China Automotive Holdings Ltd</v>
      </c>
      <c r="B1162" t="str">
        <f>$B$502</f>
        <v>1114 HK Equity</v>
      </c>
      <c r="C1162" t="str">
        <f>$C$502</f>
        <v>DV013</v>
      </c>
      <c r="D1162" t="str">
        <f>$D$502</f>
        <v>EQY_DVD_YLD_IND</v>
      </c>
      <c r="E1162" t="str">
        <f>$E$502</f>
        <v>Dynamic</v>
      </c>
      <c r="F1162" t="str">
        <f ca="1">_xll.BDH($B$502,$C$502,$B$675,$B$676,CONCATENATE("Per=",$B$673),"Dts=H","Dir=H",CONCATENATE("Points=",$B$674),"Sort=R","Days=A","Fill=B",CONCATENATE("FX=", $B$672) )</f>
        <v>#N/A Connection</v>
      </c>
      <c r="BN1162" t="str">
        <f>""</f>
        <v/>
      </c>
      <c r="BO1162" t="str">
        <f>""</f>
        <v/>
      </c>
      <c r="BP1162" t="str">
        <f>""</f>
        <v/>
      </c>
      <c r="BQ1162" t="str">
        <f>""</f>
        <v/>
      </c>
      <c r="BR1162" t="str">
        <f>""</f>
        <v/>
      </c>
      <c r="BS1162" t="str">
        <f>""</f>
        <v/>
      </c>
      <c r="BT1162" t="str">
        <f>""</f>
        <v/>
      </c>
      <c r="BU1162" t="str">
        <f>""</f>
        <v/>
      </c>
      <c r="BV1162" t="str">
        <f>""</f>
        <v/>
      </c>
      <c r="BW1162" t="str">
        <f>""</f>
        <v/>
      </c>
      <c r="BX1162" t="str">
        <f>""</f>
        <v/>
      </c>
      <c r="BY1162" t="str">
        <f>""</f>
        <v/>
      </c>
      <c r="BZ1162" t="str">
        <f>""</f>
        <v/>
      </c>
      <c r="CA1162" t="str">
        <f>""</f>
        <v/>
      </c>
      <c r="CB1162" t="str">
        <f>""</f>
        <v/>
      </c>
      <c r="CC1162" t="str">
        <f>""</f>
        <v/>
      </c>
      <c r="CD1162" t="str">
        <f>""</f>
        <v/>
      </c>
      <c r="CE1162" t="str">
        <f>""</f>
        <v/>
      </c>
      <c r="CF1162" t="str">
        <f>""</f>
        <v/>
      </c>
      <c r="CG1162" t="str">
        <f>""</f>
        <v/>
      </c>
      <c r="CH1162" t="str">
        <f>""</f>
        <v/>
      </c>
      <c r="CI1162" t="str">
        <f>""</f>
        <v/>
      </c>
      <c r="CJ1162" t="str">
        <f>""</f>
        <v/>
      </c>
      <c r="CK1162" t="str">
        <f>""</f>
        <v/>
      </c>
      <c r="CL1162" t="str">
        <f>""</f>
        <v/>
      </c>
      <c r="CM1162" t="str">
        <f>""</f>
        <v/>
      </c>
      <c r="CN1162" t="str">
        <f>""</f>
        <v/>
      </c>
      <c r="CO1162" t="str">
        <f>""</f>
        <v/>
      </c>
      <c r="CP1162" t="str">
        <f>""</f>
        <v/>
      </c>
      <c r="CQ1162" t="str">
        <f>""</f>
        <v/>
      </c>
      <c r="CR1162" t="str">
        <f>""</f>
        <v/>
      </c>
      <c r="CS1162" t="str">
        <f>""</f>
        <v/>
      </c>
      <c r="CT1162" t="str">
        <f>""</f>
        <v/>
      </c>
      <c r="CU1162" t="str">
        <f>""</f>
        <v/>
      </c>
      <c r="CV1162" t="str">
        <f>""</f>
        <v/>
      </c>
      <c r="CW1162" t="str">
        <f>""</f>
        <v/>
      </c>
      <c r="CX1162" t="str">
        <f>""</f>
        <v/>
      </c>
      <c r="CY1162" t="str">
        <f>""</f>
        <v/>
      </c>
      <c r="CZ1162" t="str">
        <f>""</f>
        <v/>
      </c>
      <c r="DA1162" t="str">
        <f>""</f>
        <v/>
      </c>
      <c r="DB1162" t="str">
        <f>""</f>
        <v/>
      </c>
      <c r="DC1162" t="str">
        <f>""</f>
        <v/>
      </c>
      <c r="DD1162" t="str">
        <f>""</f>
        <v/>
      </c>
      <c r="DE1162" t="str">
        <f>""</f>
        <v/>
      </c>
      <c r="DF1162" t="str">
        <f>""</f>
        <v/>
      </c>
      <c r="DG1162" t="str">
        <f>""</f>
        <v/>
      </c>
      <c r="DH1162" t="str">
        <f>""</f>
        <v/>
      </c>
      <c r="DI1162" t="str">
        <f>""</f>
        <v/>
      </c>
      <c r="DJ1162" t="str">
        <f>""</f>
        <v/>
      </c>
      <c r="DK1162" t="str">
        <f>""</f>
        <v/>
      </c>
      <c r="DL1162" t="str">
        <f>""</f>
        <v/>
      </c>
      <c r="DM1162" t="str">
        <f>""</f>
        <v/>
      </c>
      <c r="DN1162" t="str">
        <f>""</f>
        <v/>
      </c>
      <c r="DO1162" t="str">
        <f>""</f>
        <v/>
      </c>
      <c r="DP1162" t="str">
        <f>""</f>
        <v/>
      </c>
      <c r="DQ1162" t="str">
        <f>""</f>
        <v/>
      </c>
      <c r="DR1162" t="str">
        <f>""</f>
        <v/>
      </c>
      <c r="DS1162" t="str">
        <f>""</f>
        <v/>
      </c>
      <c r="DT1162" t="str">
        <f>""</f>
        <v/>
      </c>
      <c r="DU1162" t="str">
        <f>""</f>
        <v/>
      </c>
    </row>
    <row r="1163" spans="1:125" x14ac:dyDescent="0.25">
      <c r="A1163" t="str">
        <f>$A$503</f>
        <v xml:space="preserve">    BYD Co Ltd</v>
      </c>
      <c r="B1163" t="str">
        <f>$B$503</f>
        <v>1211 HK Equity</v>
      </c>
      <c r="C1163" t="str">
        <f>$C$503</f>
        <v>DV013</v>
      </c>
      <c r="D1163" t="str">
        <f>$D$503</f>
        <v>EQY_DVD_YLD_IND</v>
      </c>
      <c r="E1163" t="str">
        <f>$E$503</f>
        <v>Dynamic</v>
      </c>
      <c r="F1163" t="str">
        <f ca="1">_xll.BDH($B$503,$C$503,$B$675,$B$676,CONCATENATE("Per=",$B$673),"Dts=H","Dir=H",CONCATENATE("Points=",$B$674),"Sort=R","Days=A","Fill=B",CONCATENATE("FX=", $B$672) )</f>
        <v>#N/A Connection</v>
      </c>
      <c r="BN1163" t="str">
        <f>""</f>
        <v/>
      </c>
      <c r="BO1163" t="str">
        <f>""</f>
        <v/>
      </c>
      <c r="BP1163" t="str">
        <f>""</f>
        <v/>
      </c>
      <c r="BQ1163" t="str">
        <f>""</f>
        <v/>
      </c>
      <c r="BR1163" t="str">
        <f>""</f>
        <v/>
      </c>
      <c r="BS1163" t="str">
        <f>""</f>
        <v/>
      </c>
      <c r="BT1163" t="str">
        <f>""</f>
        <v/>
      </c>
      <c r="BU1163" t="str">
        <f>""</f>
        <v/>
      </c>
      <c r="BV1163" t="str">
        <f>""</f>
        <v/>
      </c>
      <c r="BW1163" t="str">
        <f>""</f>
        <v/>
      </c>
      <c r="BX1163" t="str">
        <f>""</f>
        <v/>
      </c>
      <c r="BY1163" t="str">
        <f>""</f>
        <v/>
      </c>
      <c r="BZ1163" t="str">
        <f>""</f>
        <v/>
      </c>
      <c r="CA1163" t="str">
        <f>""</f>
        <v/>
      </c>
      <c r="CB1163" t="str">
        <f>""</f>
        <v/>
      </c>
      <c r="CC1163" t="str">
        <f>""</f>
        <v/>
      </c>
      <c r="CD1163" t="str">
        <f>""</f>
        <v/>
      </c>
      <c r="CE1163" t="str">
        <f>""</f>
        <v/>
      </c>
      <c r="CF1163" t="str">
        <f>""</f>
        <v/>
      </c>
      <c r="CG1163" t="str">
        <f>""</f>
        <v/>
      </c>
      <c r="CH1163" t="str">
        <f>""</f>
        <v/>
      </c>
      <c r="CI1163" t="str">
        <f>""</f>
        <v/>
      </c>
      <c r="CJ1163" t="str">
        <f>""</f>
        <v/>
      </c>
      <c r="CK1163" t="str">
        <f>""</f>
        <v/>
      </c>
      <c r="CL1163" t="str">
        <f>""</f>
        <v/>
      </c>
      <c r="CM1163" t="str">
        <f>""</f>
        <v/>
      </c>
      <c r="CN1163" t="str">
        <f>""</f>
        <v/>
      </c>
      <c r="CO1163" t="str">
        <f>""</f>
        <v/>
      </c>
      <c r="CP1163" t="str">
        <f>""</f>
        <v/>
      </c>
      <c r="CQ1163" t="str">
        <f>""</f>
        <v/>
      </c>
      <c r="CR1163" t="str">
        <f>""</f>
        <v/>
      </c>
      <c r="CS1163" t="str">
        <f>""</f>
        <v/>
      </c>
      <c r="CT1163" t="str">
        <f>""</f>
        <v/>
      </c>
      <c r="CU1163" t="str">
        <f>""</f>
        <v/>
      </c>
      <c r="CV1163" t="str">
        <f>""</f>
        <v/>
      </c>
      <c r="CW1163" t="str">
        <f>""</f>
        <v/>
      </c>
      <c r="CX1163" t="str">
        <f>""</f>
        <v/>
      </c>
      <c r="CY1163" t="str">
        <f>""</f>
        <v/>
      </c>
      <c r="CZ1163" t="str">
        <f>""</f>
        <v/>
      </c>
      <c r="DA1163" t="str">
        <f>""</f>
        <v/>
      </c>
      <c r="DB1163" t="str">
        <f>""</f>
        <v/>
      </c>
      <c r="DC1163" t="str">
        <f>""</f>
        <v/>
      </c>
      <c r="DD1163" t="str">
        <f>""</f>
        <v/>
      </c>
      <c r="DE1163" t="str">
        <f>""</f>
        <v/>
      </c>
      <c r="DF1163" t="str">
        <f>""</f>
        <v/>
      </c>
      <c r="DG1163" t="str">
        <f>""</f>
        <v/>
      </c>
      <c r="DH1163" t="str">
        <f>""</f>
        <v/>
      </c>
      <c r="DI1163" t="str">
        <f>""</f>
        <v/>
      </c>
      <c r="DJ1163" t="str">
        <f>""</f>
        <v/>
      </c>
      <c r="DK1163" t="str">
        <f>""</f>
        <v/>
      </c>
      <c r="DL1163" t="str">
        <f>""</f>
        <v/>
      </c>
      <c r="DM1163" t="str">
        <f>""</f>
        <v/>
      </c>
      <c r="DN1163" t="str">
        <f>""</f>
        <v/>
      </c>
      <c r="DO1163" t="str">
        <f>""</f>
        <v/>
      </c>
      <c r="DP1163" t="str">
        <f>""</f>
        <v/>
      </c>
      <c r="DQ1163" t="str">
        <f>""</f>
        <v/>
      </c>
      <c r="DR1163" t="str">
        <f>""</f>
        <v/>
      </c>
      <c r="DS1163" t="str">
        <f>""</f>
        <v/>
      </c>
      <c r="DT1163" t="str">
        <f>""</f>
        <v/>
      </c>
      <c r="DU1163" t="str">
        <f>""</f>
        <v/>
      </c>
    </row>
    <row r="1164" spans="1:125" x14ac:dyDescent="0.25">
      <c r="A1164" t="str">
        <f>$A$504</f>
        <v xml:space="preserve">    Chongqing Changan Automobile Co Ltd</v>
      </c>
      <c r="B1164" t="str">
        <f>$B$504</f>
        <v>200625 CH Equity</v>
      </c>
      <c r="C1164" t="str">
        <f>$C$504</f>
        <v>DV013</v>
      </c>
      <c r="D1164" t="str">
        <f>$D$504</f>
        <v>EQY_DVD_YLD_IND</v>
      </c>
      <c r="E1164" t="str">
        <f>$E$504</f>
        <v>Dynamic</v>
      </c>
      <c r="F1164" t="str">
        <f ca="1">_xll.BDH($B$504,$C$504,$B$675,$B$676,CONCATENATE("Per=",$B$673),"Dts=H","Dir=H",CONCATENATE("Points=",$B$674),"Sort=R","Days=A","Fill=B",CONCATENATE("FX=", $B$672) )</f>
        <v>#N/A Connection</v>
      </c>
      <c r="BN1164" t="str">
        <f>""</f>
        <v/>
      </c>
      <c r="BO1164" t="str">
        <f>""</f>
        <v/>
      </c>
      <c r="BP1164" t="str">
        <f>""</f>
        <v/>
      </c>
      <c r="BQ1164" t="str">
        <f>""</f>
        <v/>
      </c>
      <c r="BR1164" t="str">
        <f>""</f>
        <v/>
      </c>
      <c r="BS1164" t="str">
        <f>""</f>
        <v/>
      </c>
      <c r="BT1164" t="str">
        <f>""</f>
        <v/>
      </c>
      <c r="BU1164" t="str">
        <f>""</f>
        <v/>
      </c>
      <c r="BV1164" t="str">
        <f>""</f>
        <v/>
      </c>
      <c r="BW1164" t="str">
        <f>""</f>
        <v/>
      </c>
      <c r="BX1164" t="str">
        <f>""</f>
        <v/>
      </c>
      <c r="BY1164" t="str">
        <f>""</f>
        <v/>
      </c>
      <c r="BZ1164" t="str">
        <f>""</f>
        <v/>
      </c>
      <c r="CA1164" t="str">
        <f>""</f>
        <v/>
      </c>
      <c r="CB1164" t="str">
        <f>""</f>
        <v/>
      </c>
      <c r="CC1164" t="str">
        <f>""</f>
        <v/>
      </c>
      <c r="CD1164" t="str">
        <f>""</f>
        <v/>
      </c>
      <c r="CE1164" t="str">
        <f>""</f>
        <v/>
      </c>
      <c r="CF1164" t="str">
        <f>""</f>
        <v/>
      </c>
      <c r="CG1164" t="str">
        <f>""</f>
        <v/>
      </c>
      <c r="CH1164" t="str">
        <f>""</f>
        <v/>
      </c>
      <c r="CI1164" t="str">
        <f>""</f>
        <v/>
      </c>
      <c r="CJ1164" t="str">
        <f>""</f>
        <v/>
      </c>
      <c r="CK1164" t="str">
        <f>""</f>
        <v/>
      </c>
      <c r="CL1164" t="str">
        <f>""</f>
        <v/>
      </c>
      <c r="CM1164" t="str">
        <f>""</f>
        <v/>
      </c>
      <c r="CN1164" t="str">
        <f>""</f>
        <v/>
      </c>
      <c r="CO1164" t="str">
        <f>""</f>
        <v/>
      </c>
      <c r="CP1164" t="str">
        <f>""</f>
        <v/>
      </c>
      <c r="CQ1164" t="str">
        <f>""</f>
        <v/>
      </c>
      <c r="CR1164" t="str">
        <f>""</f>
        <v/>
      </c>
      <c r="CS1164" t="str">
        <f>""</f>
        <v/>
      </c>
      <c r="CT1164" t="str">
        <f>""</f>
        <v/>
      </c>
      <c r="CU1164" t="str">
        <f>""</f>
        <v/>
      </c>
      <c r="CV1164" t="str">
        <f>""</f>
        <v/>
      </c>
      <c r="CW1164" t="str">
        <f>""</f>
        <v/>
      </c>
      <c r="CX1164" t="str">
        <f>""</f>
        <v/>
      </c>
      <c r="CY1164" t="str">
        <f>""</f>
        <v/>
      </c>
      <c r="CZ1164" t="str">
        <f>""</f>
        <v/>
      </c>
      <c r="DA1164" t="str">
        <f>""</f>
        <v/>
      </c>
      <c r="DB1164" t="str">
        <f>""</f>
        <v/>
      </c>
      <c r="DC1164" t="str">
        <f>""</f>
        <v/>
      </c>
      <c r="DD1164" t="str">
        <f>""</f>
        <v/>
      </c>
      <c r="DE1164" t="str">
        <f>""</f>
        <v/>
      </c>
      <c r="DF1164" t="str">
        <f>""</f>
        <v/>
      </c>
      <c r="DG1164" t="str">
        <f>""</f>
        <v/>
      </c>
      <c r="DH1164" t="str">
        <f>""</f>
        <v/>
      </c>
      <c r="DI1164" t="str">
        <f>""</f>
        <v/>
      </c>
      <c r="DJ1164" t="str">
        <f>""</f>
        <v/>
      </c>
      <c r="DK1164" t="str">
        <f>""</f>
        <v/>
      </c>
      <c r="DL1164" t="str">
        <f>""</f>
        <v/>
      </c>
      <c r="DM1164" t="str">
        <f>""</f>
        <v/>
      </c>
      <c r="DN1164" t="str">
        <f>""</f>
        <v/>
      </c>
      <c r="DO1164" t="str">
        <f>""</f>
        <v/>
      </c>
      <c r="DP1164" t="str">
        <f>""</f>
        <v/>
      </c>
      <c r="DQ1164" t="str">
        <f>""</f>
        <v/>
      </c>
      <c r="DR1164" t="str">
        <f>""</f>
        <v/>
      </c>
      <c r="DS1164" t="str">
        <f>""</f>
        <v/>
      </c>
      <c r="DT1164" t="str">
        <f>""</f>
        <v/>
      </c>
      <c r="DU1164" t="str">
        <f>""</f>
        <v/>
      </c>
    </row>
    <row r="1165" spans="1:125" x14ac:dyDescent="0.25">
      <c r="A1165" t="str">
        <f>$A$505</f>
        <v xml:space="preserve">    Daihatsu Motor Co Ltd</v>
      </c>
      <c r="B1165" t="str">
        <f>$B$505</f>
        <v>7262 JP Equity</v>
      </c>
      <c r="C1165" t="str">
        <f>$C$505</f>
        <v>DV013</v>
      </c>
      <c r="D1165" t="str">
        <f>$D$505</f>
        <v>EQY_DVD_YLD_IND</v>
      </c>
      <c r="E1165" t="str">
        <f>$E$505</f>
        <v>Dynamic</v>
      </c>
      <c r="F1165" t="str">
        <f ca="1">_xll.BDH($B$505,$C$505,$B$675,$B$676,CONCATENATE("Per=",$B$673),"Dts=H","Dir=H",CONCATENATE("Points=",$B$674),"Sort=R","Days=A","Fill=B",CONCATENATE("FX=", $B$672) )</f>
        <v>#N/A Connection</v>
      </c>
      <c r="BN1165" t="str">
        <f>""</f>
        <v/>
      </c>
      <c r="BO1165" t="str">
        <f>""</f>
        <v/>
      </c>
      <c r="BP1165" t="str">
        <f>""</f>
        <v/>
      </c>
      <c r="BQ1165" t="str">
        <f>""</f>
        <v/>
      </c>
      <c r="BR1165" t="str">
        <f>""</f>
        <v/>
      </c>
      <c r="BS1165" t="str">
        <f>""</f>
        <v/>
      </c>
      <c r="BT1165" t="str">
        <f>""</f>
        <v/>
      </c>
      <c r="BU1165" t="str">
        <f>""</f>
        <v/>
      </c>
      <c r="BV1165" t="str">
        <f>""</f>
        <v/>
      </c>
      <c r="BW1165" t="str">
        <f>""</f>
        <v/>
      </c>
      <c r="BX1165" t="str">
        <f>""</f>
        <v/>
      </c>
      <c r="BY1165" t="str">
        <f>""</f>
        <v/>
      </c>
      <c r="BZ1165" t="str">
        <f>""</f>
        <v/>
      </c>
      <c r="CA1165" t="str">
        <f>""</f>
        <v/>
      </c>
      <c r="CB1165" t="str">
        <f>""</f>
        <v/>
      </c>
      <c r="CC1165" t="str">
        <f>""</f>
        <v/>
      </c>
      <c r="CD1165" t="str">
        <f>""</f>
        <v/>
      </c>
      <c r="CE1165" t="str">
        <f>""</f>
        <v/>
      </c>
      <c r="CF1165" t="str">
        <f>""</f>
        <v/>
      </c>
      <c r="CG1165" t="str">
        <f>""</f>
        <v/>
      </c>
      <c r="CH1165" t="str">
        <f>""</f>
        <v/>
      </c>
      <c r="CI1165" t="str">
        <f>""</f>
        <v/>
      </c>
      <c r="CJ1165" t="str">
        <f>""</f>
        <v/>
      </c>
      <c r="CK1165" t="str">
        <f>""</f>
        <v/>
      </c>
      <c r="CL1165" t="str">
        <f>""</f>
        <v/>
      </c>
      <c r="CM1165" t="str">
        <f>""</f>
        <v/>
      </c>
      <c r="CN1165" t="str">
        <f>""</f>
        <v/>
      </c>
      <c r="CO1165" t="str">
        <f>""</f>
        <v/>
      </c>
      <c r="CP1165" t="str">
        <f>""</f>
        <v/>
      </c>
      <c r="CQ1165" t="str">
        <f>""</f>
        <v/>
      </c>
      <c r="CR1165" t="str">
        <f>""</f>
        <v/>
      </c>
      <c r="CS1165" t="str">
        <f>""</f>
        <v/>
      </c>
      <c r="CT1165" t="str">
        <f>""</f>
        <v/>
      </c>
      <c r="CU1165" t="str">
        <f>""</f>
        <v/>
      </c>
      <c r="CV1165" t="str">
        <f>""</f>
        <v/>
      </c>
      <c r="CW1165" t="str">
        <f>""</f>
        <v/>
      </c>
      <c r="CX1165" t="str">
        <f>""</f>
        <v/>
      </c>
      <c r="CY1165" t="str">
        <f>""</f>
        <v/>
      </c>
      <c r="CZ1165" t="str">
        <f>""</f>
        <v/>
      </c>
      <c r="DA1165" t="str">
        <f>""</f>
        <v/>
      </c>
      <c r="DB1165" t="str">
        <f>""</f>
        <v/>
      </c>
      <c r="DC1165" t="str">
        <f>""</f>
        <v/>
      </c>
      <c r="DD1165" t="str">
        <f>""</f>
        <v/>
      </c>
      <c r="DE1165" t="str">
        <f>""</f>
        <v/>
      </c>
      <c r="DF1165" t="str">
        <f>""</f>
        <v/>
      </c>
      <c r="DG1165" t="str">
        <f>""</f>
        <v/>
      </c>
      <c r="DH1165" t="str">
        <f>""</f>
        <v/>
      </c>
      <c r="DI1165" t="str">
        <f>""</f>
        <v/>
      </c>
      <c r="DJ1165" t="str">
        <f>""</f>
        <v/>
      </c>
      <c r="DK1165" t="str">
        <f>""</f>
        <v/>
      </c>
      <c r="DL1165" t="str">
        <f>""</f>
        <v/>
      </c>
      <c r="DM1165" t="str">
        <f>""</f>
        <v/>
      </c>
      <c r="DN1165" t="str">
        <f>""</f>
        <v/>
      </c>
      <c r="DO1165" t="str">
        <f>""</f>
        <v/>
      </c>
      <c r="DP1165" t="str">
        <f>""</f>
        <v/>
      </c>
      <c r="DQ1165" t="str">
        <f>""</f>
        <v/>
      </c>
      <c r="DR1165" t="str">
        <f>""</f>
        <v/>
      </c>
      <c r="DS1165" t="str">
        <f>""</f>
        <v/>
      </c>
      <c r="DT1165" t="str">
        <f>""</f>
        <v/>
      </c>
      <c r="DU1165" t="str">
        <f>""</f>
        <v/>
      </c>
    </row>
    <row r="1166" spans="1:125" x14ac:dyDescent="0.25">
      <c r="A1166" t="str">
        <f>$A$506</f>
        <v xml:space="preserve">    Daimler AG</v>
      </c>
      <c r="B1166" t="str">
        <f>$B$506</f>
        <v>DAI GR Equity</v>
      </c>
      <c r="C1166" t="str">
        <f>$C$506</f>
        <v>DV013</v>
      </c>
      <c r="D1166" t="str">
        <f>$D$506</f>
        <v>EQY_DVD_YLD_IND</v>
      </c>
      <c r="E1166" t="str">
        <f>$E$506</f>
        <v>Dynamic</v>
      </c>
      <c r="F1166" t="str">
        <f ca="1">_xll.BDH($B$506,$C$506,$B$675,$B$676,CONCATENATE("Per=",$B$673),"Dts=H","Dir=H",CONCATENATE("Points=",$B$674),"Sort=R","Days=A","Fill=B",CONCATENATE("FX=", $B$672) )</f>
        <v>#N/A Connection</v>
      </c>
      <c r="BN1166" t="str">
        <f>""</f>
        <v/>
      </c>
      <c r="BO1166" t="str">
        <f>""</f>
        <v/>
      </c>
      <c r="BP1166" t="str">
        <f>""</f>
        <v/>
      </c>
      <c r="BQ1166" t="str">
        <f>""</f>
        <v/>
      </c>
      <c r="BR1166" t="str">
        <f>""</f>
        <v/>
      </c>
      <c r="BS1166" t="str">
        <f>""</f>
        <v/>
      </c>
      <c r="BT1166" t="str">
        <f>""</f>
        <v/>
      </c>
      <c r="BU1166" t="str">
        <f>""</f>
        <v/>
      </c>
      <c r="BV1166" t="str">
        <f>""</f>
        <v/>
      </c>
      <c r="BW1166" t="str">
        <f>""</f>
        <v/>
      </c>
      <c r="BX1166" t="str">
        <f>""</f>
        <v/>
      </c>
      <c r="BY1166" t="str">
        <f>""</f>
        <v/>
      </c>
      <c r="BZ1166" t="str">
        <f>""</f>
        <v/>
      </c>
      <c r="CA1166" t="str">
        <f>""</f>
        <v/>
      </c>
      <c r="CB1166" t="str">
        <f>""</f>
        <v/>
      </c>
      <c r="CC1166" t="str">
        <f>""</f>
        <v/>
      </c>
      <c r="CD1166" t="str">
        <f>""</f>
        <v/>
      </c>
      <c r="CE1166" t="str">
        <f>""</f>
        <v/>
      </c>
      <c r="CF1166" t="str">
        <f>""</f>
        <v/>
      </c>
      <c r="CG1166" t="str">
        <f>""</f>
        <v/>
      </c>
      <c r="CH1166" t="str">
        <f>""</f>
        <v/>
      </c>
      <c r="CI1166" t="str">
        <f>""</f>
        <v/>
      </c>
      <c r="CJ1166" t="str">
        <f>""</f>
        <v/>
      </c>
      <c r="CK1166" t="str">
        <f>""</f>
        <v/>
      </c>
      <c r="CL1166" t="str">
        <f>""</f>
        <v/>
      </c>
      <c r="CM1166" t="str">
        <f>""</f>
        <v/>
      </c>
      <c r="CN1166" t="str">
        <f>""</f>
        <v/>
      </c>
      <c r="CO1166" t="str">
        <f>""</f>
        <v/>
      </c>
      <c r="CP1166" t="str">
        <f>""</f>
        <v/>
      </c>
      <c r="CQ1166" t="str">
        <f>""</f>
        <v/>
      </c>
      <c r="CR1166" t="str">
        <f>""</f>
        <v/>
      </c>
      <c r="CS1166" t="str">
        <f>""</f>
        <v/>
      </c>
      <c r="CT1166" t="str">
        <f>""</f>
        <v/>
      </c>
      <c r="CU1166" t="str">
        <f>""</f>
        <v/>
      </c>
      <c r="CV1166" t="str">
        <f>""</f>
        <v/>
      </c>
      <c r="CW1166" t="str">
        <f>""</f>
        <v/>
      </c>
      <c r="CX1166" t="str">
        <f>""</f>
        <v/>
      </c>
      <c r="CY1166" t="str">
        <f>""</f>
        <v/>
      </c>
      <c r="CZ1166" t="str">
        <f>""</f>
        <v/>
      </c>
      <c r="DA1166" t="str">
        <f>""</f>
        <v/>
      </c>
      <c r="DB1166" t="str">
        <f>""</f>
        <v/>
      </c>
      <c r="DC1166" t="str">
        <f>""</f>
        <v/>
      </c>
      <c r="DD1166" t="str">
        <f>""</f>
        <v/>
      </c>
      <c r="DE1166" t="str">
        <f>""</f>
        <v/>
      </c>
      <c r="DF1166" t="str">
        <f>""</f>
        <v/>
      </c>
      <c r="DG1166" t="str">
        <f>""</f>
        <v/>
      </c>
      <c r="DH1166" t="str">
        <f>""</f>
        <v/>
      </c>
      <c r="DI1166" t="str">
        <f>""</f>
        <v/>
      </c>
      <c r="DJ1166" t="str">
        <f>""</f>
        <v/>
      </c>
      <c r="DK1166" t="str">
        <f>""</f>
        <v/>
      </c>
      <c r="DL1166" t="str">
        <f>""</f>
        <v/>
      </c>
      <c r="DM1166" t="str">
        <f>""</f>
        <v/>
      </c>
      <c r="DN1166" t="str">
        <f>""</f>
        <v/>
      </c>
      <c r="DO1166" t="str">
        <f>""</f>
        <v/>
      </c>
      <c r="DP1166" t="str">
        <f>""</f>
        <v/>
      </c>
      <c r="DQ1166" t="str">
        <f>""</f>
        <v/>
      </c>
      <c r="DR1166" t="str">
        <f>""</f>
        <v/>
      </c>
      <c r="DS1166" t="str">
        <f>""</f>
        <v/>
      </c>
      <c r="DT1166" t="str">
        <f>""</f>
        <v/>
      </c>
      <c r="DU1166" t="str">
        <f>""</f>
        <v/>
      </c>
    </row>
    <row r="1167" spans="1:125" x14ac:dyDescent="0.25">
      <c r="A1167" t="str">
        <f>$A$507</f>
        <v xml:space="preserve">    Dongfeng Motor Group Co Ltd</v>
      </c>
      <c r="B1167" t="str">
        <f>$B$507</f>
        <v>489 HK Equity</v>
      </c>
      <c r="C1167" t="str">
        <f>$C$507</f>
        <v>DV013</v>
      </c>
      <c r="D1167" t="str">
        <f>$D$507</f>
        <v>EQY_DVD_YLD_IND</v>
      </c>
      <c r="E1167" t="str">
        <f>$E$507</f>
        <v>Dynamic</v>
      </c>
      <c r="F1167" t="str">
        <f ca="1">_xll.BDH($B$507,$C$507,$B$675,$B$676,CONCATENATE("Per=",$B$673),"Dts=H","Dir=H",CONCATENATE("Points=",$B$674),"Sort=R","Days=A","Fill=B",CONCATENATE("FX=", $B$672) )</f>
        <v>#N/A Connection</v>
      </c>
      <c r="BN1167" t="str">
        <f>""</f>
        <v/>
      </c>
      <c r="BO1167" t="str">
        <f>""</f>
        <v/>
      </c>
      <c r="BP1167" t="str">
        <f>""</f>
        <v/>
      </c>
      <c r="BQ1167" t="str">
        <f>""</f>
        <v/>
      </c>
      <c r="BR1167" t="str">
        <f>""</f>
        <v/>
      </c>
      <c r="BS1167" t="str">
        <f>""</f>
        <v/>
      </c>
      <c r="BT1167" t="str">
        <f>""</f>
        <v/>
      </c>
      <c r="BU1167" t="str">
        <f>""</f>
        <v/>
      </c>
      <c r="BV1167" t="str">
        <f>""</f>
        <v/>
      </c>
      <c r="BW1167" t="str">
        <f>""</f>
        <v/>
      </c>
      <c r="BX1167" t="str">
        <f>""</f>
        <v/>
      </c>
      <c r="BY1167" t="str">
        <f>""</f>
        <v/>
      </c>
      <c r="BZ1167" t="str">
        <f>""</f>
        <v/>
      </c>
      <c r="CA1167" t="str">
        <f>""</f>
        <v/>
      </c>
      <c r="CB1167" t="str">
        <f>""</f>
        <v/>
      </c>
      <c r="CC1167" t="str">
        <f>""</f>
        <v/>
      </c>
      <c r="CD1167" t="str">
        <f>""</f>
        <v/>
      </c>
      <c r="CE1167" t="str">
        <f>""</f>
        <v/>
      </c>
      <c r="CF1167" t="str">
        <f>""</f>
        <v/>
      </c>
      <c r="CG1167" t="str">
        <f>""</f>
        <v/>
      </c>
      <c r="CH1167" t="str">
        <f>""</f>
        <v/>
      </c>
      <c r="CI1167" t="str">
        <f>""</f>
        <v/>
      </c>
      <c r="CJ1167" t="str">
        <f>""</f>
        <v/>
      </c>
      <c r="CK1167" t="str">
        <f>""</f>
        <v/>
      </c>
      <c r="CL1167" t="str">
        <f>""</f>
        <v/>
      </c>
      <c r="CM1167" t="str">
        <f>""</f>
        <v/>
      </c>
      <c r="CN1167" t="str">
        <f>""</f>
        <v/>
      </c>
      <c r="CO1167" t="str">
        <f>""</f>
        <v/>
      </c>
      <c r="CP1167" t="str">
        <f>""</f>
        <v/>
      </c>
      <c r="CQ1167" t="str">
        <f>""</f>
        <v/>
      </c>
      <c r="CR1167" t="str">
        <f>""</f>
        <v/>
      </c>
      <c r="CS1167" t="str">
        <f>""</f>
        <v/>
      </c>
      <c r="CT1167" t="str">
        <f>""</f>
        <v/>
      </c>
      <c r="CU1167" t="str">
        <f>""</f>
        <v/>
      </c>
      <c r="CV1167" t="str">
        <f>""</f>
        <v/>
      </c>
      <c r="CW1167" t="str">
        <f>""</f>
        <v/>
      </c>
      <c r="CX1167" t="str">
        <f>""</f>
        <v/>
      </c>
      <c r="CY1167" t="str">
        <f>""</f>
        <v/>
      </c>
      <c r="CZ1167" t="str">
        <f>""</f>
        <v/>
      </c>
      <c r="DA1167" t="str">
        <f>""</f>
        <v/>
      </c>
      <c r="DB1167" t="str">
        <f>""</f>
        <v/>
      </c>
      <c r="DC1167" t="str">
        <f>""</f>
        <v/>
      </c>
      <c r="DD1167" t="str">
        <f>""</f>
        <v/>
      </c>
      <c r="DE1167" t="str">
        <f>""</f>
        <v/>
      </c>
      <c r="DF1167" t="str">
        <f>""</f>
        <v/>
      </c>
      <c r="DG1167" t="str">
        <f>""</f>
        <v/>
      </c>
      <c r="DH1167" t="str">
        <f>""</f>
        <v/>
      </c>
      <c r="DI1167" t="str">
        <f>""</f>
        <v/>
      </c>
      <c r="DJ1167" t="str">
        <f>""</f>
        <v/>
      </c>
      <c r="DK1167" t="str">
        <f>""</f>
        <v/>
      </c>
      <c r="DL1167" t="str">
        <f>""</f>
        <v/>
      </c>
      <c r="DM1167" t="str">
        <f>""</f>
        <v/>
      </c>
      <c r="DN1167" t="str">
        <f>""</f>
        <v/>
      </c>
      <c r="DO1167" t="str">
        <f>""</f>
        <v/>
      </c>
      <c r="DP1167" t="str">
        <f>""</f>
        <v/>
      </c>
      <c r="DQ1167" t="str">
        <f>""</f>
        <v/>
      </c>
      <c r="DR1167" t="str">
        <f>""</f>
        <v/>
      </c>
      <c r="DS1167" t="str">
        <f>""</f>
        <v/>
      </c>
      <c r="DT1167" t="str">
        <f>""</f>
        <v/>
      </c>
      <c r="DU1167" t="str">
        <f>""</f>
        <v/>
      </c>
    </row>
    <row r="1168" spans="1:125" x14ac:dyDescent="0.25">
      <c r="A1168" t="str">
        <f>$A$508</f>
        <v xml:space="preserve">    DRB-Hicom Bhd</v>
      </c>
      <c r="B1168" t="str">
        <f>$B$508</f>
        <v>DRB MK Equity</v>
      </c>
      <c r="C1168" t="str">
        <f>$C$508</f>
        <v>DV013</v>
      </c>
      <c r="D1168" t="str">
        <f>$D$508</f>
        <v>EQY_DVD_YLD_IND</v>
      </c>
      <c r="E1168" t="str">
        <f>$E$508</f>
        <v>Dynamic</v>
      </c>
      <c r="F1168" t="str">
        <f ca="1">_xll.BDH($B$508,$C$508,$B$675,$B$676,CONCATENATE("Per=",$B$673),"Dts=H","Dir=H",CONCATENATE("Points=",$B$674),"Sort=R","Days=A","Fill=B",CONCATENATE("FX=", $B$672) )</f>
        <v>#N/A Connection</v>
      </c>
      <c r="BN1168" t="str">
        <f>""</f>
        <v/>
      </c>
      <c r="BO1168" t="str">
        <f>""</f>
        <v/>
      </c>
      <c r="BP1168" t="str">
        <f>""</f>
        <v/>
      </c>
      <c r="BQ1168" t="str">
        <f>""</f>
        <v/>
      </c>
      <c r="BR1168" t="str">
        <f>""</f>
        <v/>
      </c>
      <c r="BS1168" t="str">
        <f>""</f>
        <v/>
      </c>
      <c r="BT1168" t="str">
        <f>""</f>
        <v/>
      </c>
      <c r="BU1168" t="str">
        <f>""</f>
        <v/>
      </c>
      <c r="BV1168" t="str">
        <f>""</f>
        <v/>
      </c>
      <c r="BW1168" t="str">
        <f>""</f>
        <v/>
      </c>
      <c r="BX1168" t="str">
        <f>""</f>
        <v/>
      </c>
      <c r="BY1168" t="str">
        <f>""</f>
        <v/>
      </c>
      <c r="BZ1168" t="str">
        <f>""</f>
        <v/>
      </c>
      <c r="CA1168" t="str">
        <f>""</f>
        <v/>
      </c>
      <c r="CB1168" t="str">
        <f>""</f>
        <v/>
      </c>
      <c r="CC1168" t="str">
        <f>""</f>
        <v/>
      </c>
      <c r="CD1168" t="str">
        <f>""</f>
        <v/>
      </c>
      <c r="CE1168" t="str">
        <f>""</f>
        <v/>
      </c>
      <c r="CF1168" t="str">
        <f>""</f>
        <v/>
      </c>
      <c r="CG1168" t="str">
        <f>""</f>
        <v/>
      </c>
      <c r="CH1168" t="str">
        <f>""</f>
        <v/>
      </c>
      <c r="CI1168" t="str">
        <f>""</f>
        <v/>
      </c>
      <c r="CJ1168" t="str">
        <f>""</f>
        <v/>
      </c>
      <c r="CK1168" t="str">
        <f>""</f>
        <v/>
      </c>
      <c r="CL1168" t="str">
        <f>""</f>
        <v/>
      </c>
      <c r="CM1168" t="str">
        <f>""</f>
        <v/>
      </c>
      <c r="CN1168" t="str">
        <f>""</f>
        <v/>
      </c>
      <c r="CO1168" t="str">
        <f>""</f>
        <v/>
      </c>
      <c r="CP1168" t="str">
        <f>""</f>
        <v/>
      </c>
      <c r="CQ1168" t="str">
        <f>""</f>
        <v/>
      </c>
      <c r="CR1168" t="str">
        <f>""</f>
        <v/>
      </c>
      <c r="CS1168" t="str">
        <f>""</f>
        <v/>
      </c>
      <c r="CT1168" t="str">
        <f>""</f>
        <v/>
      </c>
      <c r="CU1168" t="str">
        <f>""</f>
        <v/>
      </c>
      <c r="CV1168" t="str">
        <f>""</f>
        <v/>
      </c>
      <c r="CW1168" t="str">
        <f>""</f>
        <v/>
      </c>
      <c r="CX1168" t="str">
        <f>""</f>
        <v/>
      </c>
      <c r="CY1168" t="str">
        <f>""</f>
        <v/>
      </c>
      <c r="CZ1168" t="str">
        <f>""</f>
        <v/>
      </c>
      <c r="DA1168" t="str">
        <f>""</f>
        <v/>
      </c>
      <c r="DB1168" t="str">
        <f>""</f>
        <v/>
      </c>
      <c r="DC1168" t="str">
        <f>""</f>
        <v/>
      </c>
      <c r="DD1168" t="str">
        <f>""</f>
        <v/>
      </c>
      <c r="DE1168" t="str">
        <f>""</f>
        <v/>
      </c>
      <c r="DF1168" t="str">
        <f>""</f>
        <v/>
      </c>
      <c r="DG1168" t="str">
        <f>""</f>
        <v/>
      </c>
      <c r="DH1168" t="str">
        <f>""</f>
        <v/>
      </c>
      <c r="DI1168" t="str">
        <f>""</f>
        <v/>
      </c>
      <c r="DJ1168" t="str">
        <f>""</f>
        <v/>
      </c>
      <c r="DK1168" t="str">
        <f>""</f>
        <v/>
      </c>
      <c r="DL1168" t="str">
        <f>""</f>
        <v/>
      </c>
      <c r="DM1168" t="str">
        <f>""</f>
        <v/>
      </c>
      <c r="DN1168" t="str">
        <f>""</f>
        <v/>
      </c>
      <c r="DO1168" t="str">
        <f>""</f>
        <v/>
      </c>
      <c r="DP1168" t="str">
        <f>""</f>
        <v/>
      </c>
      <c r="DQ1168" t="str">
        <f>""</f>
        <v/>
      </c>
      <c r="DR1168" t="str">
        <f>""</f>
        <v/>
      </c>
      <c r="DS1168" t="str">
        <f>""</f>
        <v/>
      </c>
      <c r="DT1168" t="str">
        <f>""</f>
        <v/>
      </c>
      <c r="DU1168" t="str">
        <f>""</f>
        <v/>
      </c>
    </row>
    <row r="1169" spans="1:125" x14ac:dyDescent="0.25">
      <c r="A1169" t="str">
        <f>$A$509</f>
        <v xml:space="preserve">    FAW CAR Co Ltd</v>
      </c>
      <c r="B1169" t="str">
        <f>$B$509</f>
        <v>000800 CH Equity</v>
      </c>
      <c r="C1169" t="str">
        <f>$C$509</f>
        <v>DV013</v>
      </c>
      <c r="D1169" t="str">
        <f>$D$509</f>
        <v>EQY_DVD_YLD_IND</v>
      </c>
      <c r="E1169" t="str">
        <f>$E$509</f>
        <v>Dynamic</v>
      </c>
      <c r="F1169" t="str">
        <f ca="1">_xll.BDH($B$509,$C$509,$B$675,$B$676,CONCATENATE("Per=",$B$673),"Dts=H","Dir=H",CONCATENATE("Points=",$B$674),"Sort=R","Days=A","Fill=B",CONCATENATE("FX=", $B$672) )</f>
        <v>#N/A Connection</v>
      </c>
      <c r="BN1169" t="str">
        <f>""</f>
        <v/>
      </c>
      <c r="BO1169" t="str">
        <f>""</f>
        <v/>
      </c>
      <c r="BP1169" t="str">
        <f>""</f>
        <v/>
      </c>
      <c r="BQ1169" t="str">
        <f>""</f>
        <v/>
      </c>
      <c r="BR1169" t="str">
        <f>""</f>
        <v/>
      </c>
      <c r="BS1169" t="str">
        <f>""</f>
        <v/>
      </c>
      <c r="BT1169" t="str">
        <f>""</f>
        <v/>
      </c>
      <c r="BU1169" t="str">
        <f>""</f>
        <v/>
      </c>
      <c r="BV1169" t="str">
        <f>""</f>
        <v/>
      </c>
      <c r="BW1169" t="str">
        <f>""</f>
        <v/>
      </c>
      <c r="BX1169" t="str">
        <f>""</f>
        <v/>
      </c>
      <c r="BY1169" t="str">
        <f>""</f>
        <v/>
      </c>
      <c r="BZ1169" t="str">
        <f>""</f>
        <v/>
      </c>
      <c r="CA1169" t="str">
        <f>""</f>
        <v/>
      </c>
      <c r="CB1169" t="str">
        <f>""</f>
        <v/>
      </c>
      <c r="CC1169" t="str">
        <f>""</f>
        <v/>
      </c>
      <c r="CD1169" t="str">
        <f>""</f>
        <v/>
      </c>
      <c r="CE1169" t="str">
        <f>""</f>
        <v/>
      </c>
      <c r="CF1169" t="str">
        <f>""</f>
        <v/>
      </c>
      <c r="CG1169" t="str">
        <f>""</f>
        <v/>
      </c>
      <c r="CH1169" t="str">
        <f>""</f>
        <v/>
      </c>
      <c r="CI1169" t="str">
        <f>""</f>
        <v/>
      </c>
      <c r="CJ1169" t="str">
        <f>""</f>
        <v/>
      </c>
      <c r="CK1169" t="str">
        <f>""</f>
        <v/>
      </c>
      <c r="CL1169" t="str">
        <f>""</f>
        <v/>
      </c>
      <c r="CM1169" t="str">
        <f>""</f>
        <v/>
      </c>
      <c r="CN1169" t="str">
        <f>""</f>
        <v/>
      </c>
      <c r="CO1169" t="str">
        <f>""</f>
        <v/>
      </c>
      <c r="CP1169" t="str">
        <f>""</f>
        <v/>
      </c>
      <c r="CQ1169" t="str">
        <f>""</f>
        <v/>
      </c>
      <c r="CR1169" t="str">
        <f>""</f>
        <v/>
      </c>
      <c r="CS1169" t="str">
        <f>""</f>
        <v/>
      </c>
      <c r="CT1169" t="str">
        <f>""</f>
        <v/>
      </c>
      <c r="CU1169" t="str">
        <f>""</f>
        <v/>
      </c>
      <c r="CV1169" t="str">
        <f>""</f>
        <v/>
      </c>
      <c r="CW1169" t="str">
        <f>""</f>
        <v/>
      </c>
      <c r="CX1169" t="str">
        <f>""</f>
        <v/>
      </c>
      <c r="CY1169" t="str">
        <f>""</f>
        <v/>
      </c>
      <c r="CZ1169" t="str">
        <f>""</f>
        <v/>
      </c>
      <c r="DA1169" t="str">
        <f>""</f>
        <v/>
      </c>
      <c r="DB1169" t="str">
        <f>""</f>
        <v/>
      </c>
      <c r="DC1169" t="str">
        <f>""</f>
        <v/>
      </c>
      <c r="DD1169" t="str">
        <f>""</f>
        <v/>
      </c>
      <c r="DE1169" t="str">
        <f>""</f>
        <v/>
      </c>
      <c r="DF1169" t="str">
        <f>""</f>
        <v/>
      </c>
      <c r="DG1169" t="str">
        <f>""</f>
        <v/>
      </c>
      <c r="DH1169" t="str">
        <f>""</f>
        <v/>
      </c>
      <c r="DI1169" t="str">
        <f>""</f>
        <v/>
      </c>
      <c r="DJ1169" t="str">
        <f>""</f>
        <v/>
      </c>
      <c r="DK1169" t="str">
        <f>""</f>
        <v/>
      </c>
      <c r="DL1169" t="str">
        <f>""</f>
        <v/>
      </c>
      <c r="DM1169" t="str">
        <f>""</f>
        <v/>
      </c>
      <c r="DN1169" t="str">
        <f>""</f>
        <v/>
      </c>
      <c r="DO1169" t="str">
        <f>""</f>
        <v/>
      </c>
      <c r="DP1169" t="str">
        <f>""</f>
        <v/>
      </c>
      <c r="DQ1169" t="str">
        <f>""</f>
        <v/>
      </c>
      <c r="DR1169" t="str">
        <f>""</f>
        <v/>
      </c>
      <c r="DS1169" t="str">
        <f>""</f>
        <v/>
      </c>
      <c r="DT1169" t="str">
        <f>""</f>
        <v/>
      </c>
      <c r="DU1169" t="str">
        <f>""</f>
        <v/>
      </c>
    </row>
    <row r="1170" spans="1:125" x14ac:dyDescent="0.25">
      <c r="A1170" t="str">
        <f>$A$510</f>
        <v xml:space="preserve">    Fiat Chrysler Automobiles NV</v>
      </c>
      <c r="B1170" t="str">
        <f>$B$510</f>
        <v>FCAU US Equity</v>
      </c>
      <c r="C1170" t="str">
        <f>$C$510</f>
        <v>DV013</v>
      </c>
      <c r="D1170" t="str">
        <f>$D$510</f>
        <v>EQY_DVD_YLD_IND</v>
      </c>
      <c r="E1170" t="str">
        <f>$E$510</f>
        <v>Dynamic</v>
      </c>
      <c r="F1170" t="str">
        <f ca="1">_xll.BDH($B$510,$C$510,$B$675,$B$676,CONCATENATE("Per=",$B$673),"Dts=H","Dir=H",CONCATENATE("Points=",$B$674),"Sort=R","Days=A","Fill=B",CONCATENATE("FX=", $B$672) )</f>
        <v>#N/A Connection</v>
      </c>
      <c r="BN1170" t="str">
        <f>""</f>
        <v/>
      </c>
      <c r="BO1170" t="str">
        <f>""</f>
        <v/>
      </c>
      <c r="BP1170" t="str">
        <f>""</f>
        <v/>
      </c>
      <c r="BQ1170" t="str">
        <f>""</f>
        <v/>
      </c>
      <c r="BR1170" t="str">
        <f>""</f>
        <v/>
      </c>
      <c r="BS1170" t="str">
        <f>""</f>
        <v/>
      </c>
      <c r="BT1170" t="str">
        <f>""</f>
        <v/>
      </c>
      <c r="BU1170" t="str">
        <f>""</f>
        <v/>
      </c>
      <c r="BV1170" t="str">
        <f>""</f>
        <v/>
      </c>
      <c r="BW1170" t="str">
        <f>""</f>
        <v/>
      </c>
      <c r="BX1170" t="str">
        <f>""</f>
        <v/>
      </c>
      <c r="BY1170" t="str">
        <f>""</f>
        <v/>
      </c>
      <c r="BZ1170" t="str">
        <f>""</f>
        <v/>
      </c>
      <c r="CA1170" t="str">
        <f>""</f>
        <v/>
      </c>
      <c r="CB1170" t="str">
        <f>""</f>
        <v/>
      </c>
      <c r="CC1170" t="str">
        <f>""</f>
        <v/>
      </c>
      <c r="CD1170" t="str">
        <f>""</f>
        <v/>
      </c>
      <c r="CE1170" t="str">
        <f>""</f>
        <v/>
      </c>
      <c r="CF1170" t="str">
        <f>""</f>
        <v/>
      </c>
      <c r="CG1170" t="str">
        <f>""</f>
        <v/>
      </c>
      <c r="CH1170" t="str">
        <f>""</f>
        <v/>
      </c>
      <c r="CI1170" t="str">
        <f>""</f>
        <v/>
      </c>
      <c r="CJ1170" t="str">
        <f>""</f>
        <v/>
      </c>
      <c r="CK1170" t="str">
        <f>""</f>
        <v/>
      </c>
      <c r="CL1170" t="str">
        <f>""</f>
        <v/>
      </c>
      <c r="CM1170" t="str">
        <f>""</f>
        <v/>
      </c>
      <c r="CN1170" t="str">
        <f>""</f>
        <v/>
      </c>
      <c r="CO1170" t="str">
        <f>""</f>
        <v/>
      </c>
      <c r="CP1170" t="str">
        <f>""</f>
        <v/>
      </c>
      <c r="CQ1170" t="str">
        <f>""</f>
        <v/>
      </c>
      <c r="CR1170" t="str">
        <f>""</f>
        <v/>
      </c>
      <c r="CS1170" t="str">
        <f>""</f>
        <v/>
      </c>
      <c r="CT1170" t="str">
        <f>""</f>
        <v/>
      </c>
      <c r="CU1170" t="str">
        <f>""</f>
        <v/>
      </c>
      <c r="CV1170" t="str">
        <f>""</f>
        <v/>
      </c>
      <c r="CW1170" t="str">
        <f>""</f>
        <v/>
      </c>
      <c r="CX1170" t="str">
        <f>""</f>
        <v/>
      </c>
      <c r="CY1170" t="str">
        <f>""</f>
        <v/>
      </c>
      <c r="CZ1170" t="str">
        <f>""</f>
        <v/>
      </c>
      <c r="DA1170" t="str">
        <f>""</f>
        <v/>
      </c>
      <c r="DB1170" t="str">
        <f>""</f>
        <v/>
      </c>
      <c r="DC1170" t="str">
        <f>""</f>
        <v/>
      </c>
      <c r="DD1170" t="str">
        <f>""</f>
        <v/>
      </c>
      <c r="DE1170" t="str">
        <f>""</f>
        <v/>
      </c>
      <c r="DF1170" t="str">
        <f>""</f>
        <v/>
      </c>
      <c r="DG1170" t="str">
        <f>""</f>
        <v/>
      </c>
      <c r="DH1170" t="str">
        <f>""</f>
        <v/>
      </c>
      <c r="DI1170" t="str">
        <f>""</f>
        <v/>
      </c>
      <c r="DJ1170" t="str">
        <f>""</f>
        <v/>
      </c>
      <c r="DK1170" t="str">
        <f>""</f>
        <v/>
      </c>
      <c r="DL1170" t="str">
        <f>""</f>
        <v/>
      </c>
      <c r="DM1170" t="str">
        <f>""</f>
        <v/>
      </c>
      <c r="DN1170" t="str">
        <f>""</f>
        <v/>
      </c>
      <c r="DO1170" t="str">
        <f>""</f>
        <v/>
      </c>
      <c r="DP1170" t="str">
        <f>""</f>
        <v/>
      </c>
      <c r="DQ1170" t="str">
        <f>""</f>
        <v/>
      </c>
      <c r="DR1170" t="str">
        <f>""</f>
        <v/>
      </c>
      <c r="DS1170" t="str">
        <f>""</f>
        <v/>
      </c>
      <c r="DT1170" t="str">
        <f>""</f>
        <v/>
      </c>
      <c r="DU1170" t="str">
        <f>""</f>
        <v/>
      </c>
    </row>
    <row r="1171" spans="1:125" x14ac:dyDescent="0.25">
      <c r="A1171" t="str">
        <f>$A$511</f>
        <v xml:space="preserve">    Ford Motor Co</v>
      </c>
      <c r="B1171" t="str">
        <f>$B$511</f>
        <v>F US Equity</v>
      </c>
      <c r="C1171" t="str">
        <f>$C$511</f>
        <v>DV013</v>
      </c>
      <c r="D1171" t="str">
        <f>$D$511</f>
        <v>EQY_DVD_YLD_IND</v>
      </c>
      <c r="E1171" t="str">
        <f>$E$511</f>
        <v>Dynamic</v>
      </c>
      <c r="F1171" t="str">
        <f ca="1">_xll.BDH($B$511,$C$511,$B$675,$B$676,CONCATENATE("Per=",$B$673),"Dts=H","Dir=H",CONCATENATE("Points=",$B$674),"Sort=R","Days=A","Fill=B",CONCATENATE("FX=", $B$672) )</f>
        <v>#N/A Connection</v>
      </c>
      <c r="BN1171" t="str">
        <f>""</f>
        <v/>
      </c>
      <c r="BO1171" t="str">
        <f>""</f>
        <v/>
      </c>
      <c r="BP1171" t="str">
        <f>""</f>
        <v/>
      </c>
      <c r="BQ1171" t="str">
        <f>""</f>
        <v/>
      </c>
      <c r="BR1171" t="str">
        <f>""</f>
        <v/>
      </c>
      <c r="BS1171" t="str">
        <f>""</f>
        <v/>
      </c>
      <c r="BT1171" t="str">
        <f>""</f>
        <v/>
      </c>
      <c r="BU1171" t="str">
        <f>""</f>
        <v/>
      </c>
      <c r="BV1171" t="str">
        <f>""</f>
        <v/>
      </c>
      <c r="BW1171" t="str">
        <f>""</f>
        <v/>
      </c>
      <c r="BX1171" t="str">
        <f>""</f>
        <v/>
      </c>
      <c r="BY1171" t="str">
        <f>""</f>
        <v/>
      </c>
      <c r="BZ1171" t="str">
        <f>""</f>
        <v/>
      </c>
      <c r="CA1171" t="str">
        <f>""</f>
        <v/>
      </c>
      <c r="CB1171" t="str">
        <f>""</f>
        <v/>
      </c>
      <c r="CC1171" t="str">
        <f>""</f>
        <v/>
      </c>
      <c r="CD1171" t="str">
        <f>""</f>
        <v/>
      </c>
      <c r="CE1171" t="str">
        <f>""</f>
        <v/>
      </c>
      <c r="CF1171" t="str">
        <f>""</f>
        <v/>
      </c>
      <c r="CG1171" t="str">
        <f>""</f>
        <v/>
      </c>
      <c r="CH1171" t="str">
        <f>""</f>
        <v/>
      </c>
      <c r="CI1171" t="str">
        <f>""</f>
        <v/>
      </c>
      <c r="CJ1171" t="str">
        <f>""</f>
        <v/>
      </c>
      <c r="CK1171" t="str">
        <f>""</f>
        <v/>
      </c>
      <c r="CL1171" t="str">
        <f>""</f>
        <v/>
      </c>
      <c r="CM1171" t="str">
        <f>""</f>
        <v/>
      </c>
      <c r="CN1171" t="str">
        <f>""</f>
        <v/>
      </c>
      <c r="CO1171" t="str">
        <f>""</f>
        <v/>
      </c>
      <c r="CP1171" t="str">
        <f>""</f>
        <v/>
      </c>
      <c r="CQ1171" t="str">
        <f>""</f>
        <v/>
      </c>
      <c r="CR1171" t="str">
        <f>""</f>
        <v/>
      </c>
      <c r="CS1171" t="str">
        <f>""</f>
        <v/>
      </c>
      <c r="CT1171" t="str">
        <f>""</f>
        <v/>
      </c>
      <c r="CU1171" t="str">
        <f>""</f>
        <v/>
      </c>
      <c r="CV1171" t="str">
        <f>""</f>
        <v/>
      </c>
      <c r="CW1171" t="str">
        <f>""</f>
        <v/>
      </c>
      <c r="CX1171" t="str">
        <f>""</f>
        <v/>
      </c>
      <c r="CY1171" t="str">
        <f>""</f>
        <v/>
      </c>
      <c r="CZ1171" t="str">
        <f>""</f>
        <v/>
      </c>
      <c r="DA1171" t="str">
        <f>""</f>
        <v/>
      </c>
      <c r="DB1171" t="str">
        <f>""</f>
        <v/>
      </c>
      <c r="DC1171" t="str">
        <f>""</f>
        <v/>
      </c>
      <c r="DD1171" t="str">
        <f>""</f>
        <v/>
      </c>
      <c r="DE1171" t="str">
        <f>""</f>
        <v/>
      </c>
      <c r="DF1171" t="str">
        <f>""</f>
        <v/>
      </c>
      <c r="DG1171" t="str">
        <f>""</f>
        <v/>
      </c>
      <c r="DH1171" t="str">
        <f>""</f>
        <v/>
      </c>
      <c r="DI1171" t="str">
        <f>""</f>
        <v/>
      </c>
      <c r="DJ1171" t="str">
        <f>""</f>
        <v/>
      </c>
      <c r="DK1171" t="str">
        <f>""</f>
        <v/>
      </c>
      <c r="DL1171" t="str">
        <f>""</f>
        <v/>
      </c>
      <c r="DM1171" t="str">
        <f>""</f>
        <v/>
      </c>
      <c r="DN1171" t="str">
        <f>""</f>
        <v/>
      </c>
      <c r="DO1171" t="str">
        <f>""</f>
        <v/>
      </c>
      <c r="DP1171" t="str">
        <f>""</f>
        <v/>
      </c>
      <c r="DQ1171" t="str">
        <f>""</f>
        <v/>
      </c>
      <c r="DR1171" t="str">
        <f>""</f>
        <v/>
      </c>
      <c r="DS1171" t="str">
        <f>""</f>
        <v/>
      </c>
      <c r="DT1171" t="str">
        <f>""</f>
        <v/>
      </c>
      <c r="DU1171" t="str">
        <f>""</f>
        <v/>
      </c>
    </row>
    <row r="1172" spans="1:125" x14ac:dyDescent="0.25">
      <c r="A1172" t="str">
        <f>$A$512</f>
        <v xml:space="preserve">    Ford Otomotiv Sanayi AS</v>
      </c>
      <c r="B1172" t="str">
        <f>$B$512</f>
        <v>FROTOTRY EO Equity</v>
      </c>
      <c r="C1172" t="str">
        <f>$C$512</f>
        <v>DV013</v>
      </c>
      <c r="D1172" t="str">
        <f>$D$512</f>
        <v>EQY_DVD_YLD_IND</v>
      </c>
      <c r="E1172" t="str">
        <f>$E$512</f>
        <v>Dynamic</v>
      </c>
      <c r="F1172" t="str">
        <f ca="1">_xll.BDH($B$512,$C$512,$B$675,$B$676,CONCATENATE("Per=",$B$673),"Dts=H","Dir=H",CONCATENATE("Points=",$B$674),"Sort=R","Days=A","Fill=B",CONCATENATE("FX=", $B$672) )</f>
        <v>#N/A Connection</v>
      </c>
      <c r="BN1172" t="str">
        <f>""</f>
        <v/>
      </c>
      <c r="BO1172" t="str">
        <f>""</f>
        <v/>
      </c>
      <c r="BP1172" t="str">
        <f>""</f>
        <v/>
      </c>
      <c r="BQ1172" t="str">
        <f>""</f>
        <v/>
      </c>
      <c r="BR1172" t="str">
        <f>""</f>
        <v/>
      </c>
      <c r="BS1172" t="str">
        <f>""</f>
        <v/>
      </c>
      <c r="BT1172" t="str">
        <f>""</f>
        <v/>
      </c>
      <c r="BU1172" t="str">
        <f>""</f>
        <v/>
      </c>
      <c r="BV1172" t="str">
        <f>""</f>
        <v/>
      </c>
      <c r="BW1172" t="str">
        <f>""</f>
        <v/>
      </c>
      <c r="BX1172" t="str">
        <f>""</f>
        <v/>
      </c>
      <c r="BY1172" t="str">
        <f>""</f>
        <v/>
      </c>
      <c r="BZ1172" t="str">
        <f>""</f>
        <v/>
      </c>
      <c r="CA1172" t="str">
        <f>""</f>
        <v/>
      </c>
      <c r="CB1172" t="str">
        <f>""</f>
        <v/>
      </c>
      <c r="CC1172" t="str">
        <f>""</f>
        <v/>
      </c>
      <c r="CD1172" t="str">
        <f>""</f>
        <v/>
      </c>
      <c r="CE1172" t="str">
        <f>""</f>
        <v/>
      </c>
      <c r="CF1172" t="str">
        <f>""</f>
        <v/>
      </c>
      <c r="CG1172" t="str">
        <f>""</f>
        <v/>
      </c>
      <c r="CH1172" t="str">
        <f>""</f>
        <v/>
      </c>
      <c r="CI1172" t="str">
        <f>""</f>
        <v/>
      </c>
      <c r="CJ1172" t="str">
        <f>""</f>
        <v/>
      </c>
      <c r="CK1172" t="str">
        <f>""</f>
        <v/>
      </c>
      <c r="CL1172" t="str">
        <f>""</f>
        <v/>
      </c>
      <c r="CM1172" t="str">
        <f>""</f>
        <v/>
      </c>
      <c r="CN1172" t="str">
        <f>""</f>
        <v/>
      </c>
      <c r="CO1172" t="str">
        <f>""</f>
        <v/>
      </c>
      <c r="CP1172" t="str">
        <f>""</f>
        <v/>
      </c>
      <c r="CQ1172" t="str">
        <f>""</f>
        <v/>
      </c>
      <c r="CR1172" t="str">
        <f>""</f>
        <v/>
      </c>
      <c r="CS1172" t="str">
        <f>""</f>
        <v/>
      </c>
      <c r="CT1172" t="str">
        <f>""</f>
        <v/>
      </c>
      <c r="CU1172" t="str">
        <f>""</f>
        <v/>
      </c>
      <c r="CV1172" t="str">
        <f>""</f>
        <v/>
      </c>
      <c r="CW1172" t="str">
        <f>""</f>
        <v/>
      </c>
      <c r="CX1172" t="str">
        <f>""</f>
        <v/>
      </c>
      <c r="CY1172" t="str">
        <f>""</f>
        <v/>
      </c>
      <c r="CZ1172" t="str">
        <f>""</f>
        <v/>
      </c>
      <c r="DA1172" t="str">
        <f>""</f>
        <v/>
      </c>
      <c r="DB1172" t="str">
        <f>""</f>
        <v/>
      </c>
      <c r="DC1172" t="str">
        <f>""</f>
        <v/>
      </c>
      <c r="DD1172" t="str">
        <f>""</f>
        <v/>
      </c>
      <c r="DE1172" t="str">
        <f>""</f>
        <v/>
      </c>
      <c r="DF1172" t="str">
        <f>""</f>
        <v/>
      </c>
      <c r="DG1172" t="str">
        <f>""</f>
        <v/>
      </c>
      <c r="DH1172" t="str">
        <f>""</f>
        <v/>
      </c>
      <c r="DI1172" t="str">
        <f>""</f>
        <v/>
      </c>
      <c r="DJ1172" t="str">
        <f>""</f>
        <v/>
      </c>
      <c r="DK1172" t="str">
        <f>""</f>
        <v/>
      </c>
      <c r="DL1172" t="str">
        <f>""</f>
        <v/>
      </c>
      <c r="DM1172" t="str">
        <f>""</f>
        <v/>
      </c>
      <c r="DN1172" t="str">
        <f>""</f>
        <v/>
      </c>
      <c r="DO1172" t="str">
        <f>""</f>
        <v/>
      </c>
      <c r="DP1172" t="str">
        <f>""</f>
        <v/>
      </c>
      <c r="DQ1172" t="str">
        <f>""</f>
        <v/>
      </c>
      <c r="DR1172" t="str">
        <f>""</f>
        <v/>
      </c>
      <c r="DS1172" t="str">
        <f>""</f>
        <v/>
      </c>
      <c r="DT1172" t="str">
        <f>""</f>
        <v/>
      </c>
      <c r="DU1172" t="str">
        <f>""</f>
        <v/>
      </c>
    </row>
    <row r="1173" spans="1:125" x14ac:dyDescent="0.25">
      <c r="A1173" t="str">
        <f>$A$513</f>
        <v xml:space="preserve">    GAZ PJSC</v>
      </c>
      <c r="B1173" t="str">
        <f>$B$513</f>
        <v>GAZA RM Equity</v>
      </c>
      <c r="C1173" t="str">
        <f>$C$513</f>
        <v>DV013</v>
      </c>
      <c r="D1173" t="str">
        <f>$D$513</f>
        <v>EQY_DVD_YLD_IND</v>
      </c>
      <c r="E1173" t="str">
        <f>$E$513</f>
        <v>Dynamic</v>
      </c>
      <c r="F1173" t="str">
        <f ca="1">_xll.BDH($B$513,$C$513,$B$675,$B$676,CONCATENATE("Per=",$B$673),"Dts=H","Dir=H",CONCATENATE("Points=",$B$674),"Sort=R","Days=A","Fill=B",CONCATENATE("FX=", $B$672) )</f>
        <v>#N/A Connection</v>
      </c>
      <c r="BN1173" t="str">
        <f>""</f>
        <v/>
      </c>
      <c r="BO1173" t="str">
        <f>""</f>
        <v/>
      </c>
      <c r="BP1173" t="str">
        <f>""</f>
        <v/>
      </c>
      <c r="BQ1173" t="str">
        <f>""</f>
        <v/>
      </c>
      <c r="BR1173" t="str">
        <f>""</f>
        <v/>
      </c>
      <c r="BS1173" t="str">
        <f>""</f>
        <v/>
      </c>
      <c r="BT1173" t="str">
        <f>""</f>
        <v/>
      </c>
      <c r="BU1173" t="str">
        <f>""</f>
        <v/>
      </c>
      <c r="BV1173" t="str">
        <f>""</f>
        <v/>
      </c>
      <c r="BW1173" t="str">
        <f>""</f>
        <v/>
      </c>
      <c r="BX1173" t="str">
        <f>""</f>
        <v/>
      </c>
      <c r="BY1173" t="str">
        <f>""</f>
        <v/>
      </c>
      <c r="BZ1173" t="str">
        <f>""</f>
        <v/>
      </c>
      <c r="CA1173" t="str">
        <f>""</f>
        <v/>
      </c>
      <c r="CB1173" t="str">
        <f>""</f>
        <v/>
      </c>
      <c r="CC1173" t="str">
        <f>""</f>
        <v/>
      </c>
      <c r="CD1173" t="str">
        <f>""</f>
        <v/>
      </c>
      <c r="CE1173" t="str">
        <f>""</f>
        <v/>
      </c>
      <c r="CF1173" t="str">
        <f>""</f>
        <v/>
      </c>
      <c r="CG1173" t="str">
        <f>""</f>
        <v/>
      </c>
      <c r="CH1173" t="str">
        <f>""</f>
        <v/>
      </c>
      <c r="CI1173" t="str">
        <f>""</f>
        <v/>
      </c>
      <c r="CJ1173" t="str">
        <f>""</f>
        <v/>
      </c>
      <c r="CK1173" t="str">
        <f>""</f>
        <v/>
      </c>
      <c r="CL1173" t="str">
        <f>""</f>
        <v/>
      </c>
      <c r="CM1173" t="str">
        <f>""</f>
        <v/>
      </c>
      <c r="CN1173" t="str">
        <f>""</f>
        <v/>
      </c>
      <c r="CO1173" t="str">
        <f>""</f>
        <v/>
      </c>
      <c r="CP1173" t="str">
        <f>""</f>
        <v/>
      </c>
      <c r="CQ1173" t="str">
        <f>""</f>
        <v/>
      </c>
      <c r="CR1173" t="str">
        <f>""</f>
        <v/>
      </c>
      <c r="CS1173" t="str">
        <f>""</f>
        <v/>
      </c>
      <c r="CT1173" t="str">
        <f>""</f>
        <v/>
      </c>
      <c r="CU1173" t="str">
        <f>""</f>
        <v/>
      </c>
      <c r="CV1173" t="str">
        <f>""</f>
        <v/>
      </c>
      <c r="CW1173" t="str">
        <f>""</f>
        <v/>
      </c>
      <c r="CX1173" t="str">
        <f>""</f>
        <v/>
      </c>
      <c r="CY1173" t="str">
        <f>""</f>
        <v/>
      </c>
      <c r="CZ1173" t="str">
        <f>""</f>
        <v/>
      </c>
      <c r="DA1173" t="str">
        <f>""</f>
        <v/>
      </c>
      <c r="DB1173" t="str">
        <f>""</f>
        <v/>
      </c>
      <c r="DC1173" t="str">
        <f>""</f>
        <v/>
      </c>
      <c r="DD1173" t="str">
        <f>""</f>
        <v/>
      </c>
      <c r="DE1173" t="str">
        <f>""</f>
        <v/>
      </c>
      <c r="DF1173" t="str">
        <f>""</f>
        <v/>
      </c>
      <c r="DG1173" t="str">
        <f>""</f>
        <v/>
      </c>
      <c r="DH1173" t="str">
        <f>""</f>
        <v/>
      </c>
      <c r="DI1173" t="str">
        <f>""</f>
        <v/>
      </c>
      <c r="DJ1173" t="str">
        <f>""</f>
        <v/>
      </c>
      <c r="DK1173" t="str">
        <f>""</f>
        <v/>
      </c>
      <c r="DL1173" t="str">
        <f>""</f>
        <v/>
      </c>
      <c r="DM1173" t="str">
        <f>""</f>
        <v/>
      </c>
      <c r="DN1173" t="str">
        <f>""</f>
        <v/>
      </c>
      <c r="DO1173" t="str">
        <f>""</f>
        <v/>
      </c>
      <c r="DP1173" t="str">
        <f>""</f>
        <v/>
      </c>
      <c r="DQ1173" t="str">
        <f>""</f>
        <v/>
      </c>
      <c r="DR1173" t="str">
        <f>""</f>
        <v/>
      </c>
      <c r="DS1173" t="str">
        <f>""</f>
        <v/>
      </c>
      <c r="DT1173" t="str">
        <f>""</f>
        <v/>
      </c>
      <c r="DU1173" t="str">
        <f>""</f>
        <v/>
      </c>
    </row>
    <row r="1174" spans="1:125" x14ac:dyDescent="0.25">
      <c r="A1174" t="str">
        <f>$A$514</f>
        <v xml:space="preserve">    Geely Automobile Holdings Ltd</v>
      </c>
      <c r="B1174" t="str">
        <f>$B$514</f>
        <v>175 HK Equity</v>
      </c>
      <c r="C1174" t="str">
        <f>$C$514</f>
        <v>DV013</v>
      </c>
      <c r="D1174" t="str">
        <f>$D$514</f>
        <v>EQY_DVD_YLD_IND</v>
      </c>
      <c r="E1174" t="str">
        <f>$E$514</f>
        <v>Dynamic</v>
      </c>
      <c r="F1174" t="str">
        <f ca="1">_xll.BDH($B$514,$C$514,$B$675,$B$676,CONCATENATE("Per=",$B$673),"Dts=H","Dir=H",CONCATENATE("Points=",$B$674),"Sort=R","Days=A","Fill=B",CONCATENATE("FX=", $B$672) )</f>
        <v>#N/A Connection</v>
      </c>
      <c r="BN1174" t="str">
        <f>""</f>
        <v/>
      </c>
      <c r="BO1174" t="str">
        <f>""</f>
        <v/>
      </c>
      <c r="BP1174" t="str">
        <f>""</f>
        <v/>
      </c>
      <c r="BQ1174" t="str">
        <f>""</f>
        <v/>
      </c>
      <c r="BR1174" t="str">
        <f>""</f>
        <v/>
      </c>
      <c r="BS1174" t="str">
        <f>""</f>
        <v/>
      </c>
      <c r="BT1174" t="str">
        <f>""</f>
        <v/>
      </c>
      <c r="BU1174" t="str">
        <f>""</f>
        <v/>
      </c>
      <c r="BV1174" t="str">
        <f>""</f>
        <v/>
      </c>
      <c r="BW1174" t="str">
        <f>""</f>
        <v/>
      </c>
      <c r="BX1174" t="str">
        <f>""</f>
        <v/>
      </c>
      <c r="BY1174" t="str">
        <f>""</f>
        <v/>
      </c>
      <c r="BZ1174" t="str">
        <f>""</f>
        <v/>
      </c>
      <c r="CA1174" t="str">
        <f>""</f>
        <v/>
      </c>
      <c r="CB1174" t="str">
        <f>""</f>
        <v/>
      </c>
      <c r="CC1174" t="str">
        <f>""</f>
        <v/>
      </c>
      <c r="CD1174" t="str">
        <f>""</f>
        <v/>
      </c>
      <c r="CE1174" t="str">
        <f>""</f>
        <v/>
      </c>
      <c r="CF1174" t="str">
        <f>""</f>
        <v/>
      </c>
      <c r="CG1174" t="str">
        <f>""</f>
        <v/>
      </c>
      <c r="CH1174" t="str">
        <f>""</f>
        <v/>
      </c>
      <c r="CI1174" t="str">
        <f>""</f>
        <v/>
      </c>
      <c r="CJ1174" t="str">
        <f>""</f>
        <v/>
      </c>
      <c r="CK1174" t="str">
        <f>""</f>
        <v/>
      </c>
      <c r="CL1174" t="str">
        <f>""</f>
        <v/>
      </c>
      <c r="CM1174" t="str">
        <f>""</f>
        <v/>
      </c>
      <c r="CN1174" t="str">
        <f>""</f>
        <v/>
      </c>
      <c r="CO1174" t="str">
        <f>""</f>
        <v/>
      </c>
      <c r="CP1174" t="str">
        <f>""</f>
        <v/>
      </c>
      <c r="CQ1174" t="str">
        <f>""</f>
        <v/>
      </c>
      <c r="CR1174" t="str">
        <f>""</f>
        <v/>
      </c>
      <c r="CS1174" t="str">
        <f>""</f>
        <v/>
      </c>
      <c r="CT1174" t="str">
        <f>""</f>
        <v/>
      </c>
      <c r="CU1174" t="str">
        <f>""</f>
        <v/>
      </c>
      <c r="CV1174" t="str">
        <f>""</f>
        <v/>
      </c>
      <c r="CW1174" t="str">
        <f>""</f>
        <v/>
      </c>
      <c r="CX1174" t="str">
        <f>""</f>
        <v/>
      </c>
      <c r="CY1174" t="str">
        <f>""</f>
        <v/>
      </c>
      <c r="CZ1174" t="str">
        <f>""</f>
        <v/>
      </c>
      <c r="DA1174" t="str">
        <f>""</f>
        <v/>
      </c>
      <c r="DB1174" t="str">
        <f>""</f>
        <v/>
      </c>
      <c r="DC1174" t="str">
        <f>""</f>
        <v/>
      </c>
      <c r="DD1174" t="str">
        <f>""</f>
        <v/>
      </c>
      <c r="DE1174" t="str">
        <f>""</f>
        <v/>
      </c>
      <c r="DF1174" t="str">
        <f>""</f>
        <v/>
      </c>
      <c r="DG1174" t="str">
        <f>""</f>
        <v/>
      </c>
      <c r="DH1174" t="str">
        <f>""</f>
        <v/>
      </c>
      <c r="DI1174" t="str">
        <f>""</f>
        <v/>
      </c>
      <c r="DJ1174" t="str">
        <f>""</f>
        <v/>
      </c>
      <c r="DK1174" t="str">
        <f>""</f>
        <v/>
      </c>
      <c r="DL1174" t="str">
        <f>""</f>
        <v/>
      </c>
      <c r="DM1174" t="str">
        <f>""</f>
        <v/>
      </c>
      <c r="DN1174" t="str">
        <f>""</f>
        <v/>
      </c>
      <c r="DO1174" t="str">
        <f>""</f>
        <v/>
      </c>
      <c r="DP1174" t="str">
        <f>""</f>
        <v/>
      </c>
      <c r="DQ1174" t="str">
        <f>""</f>
        <v/>
      </c>
      <c r="DR1174" t="str">
        <f>""</f>
        <v/>
      </c>
      <c r="DS1174" t="str">
        <f>""</f>
        <v/>
      </c>
      <c r="DT1174" t="str">
        <f>""</f>
        <v/>
      </c>
      <c r="DU1174" t="str">
        <f>""</f>
        <v/>
      </c>
    </row>
    <row r="1175" spans="1:125" x14ac:dyDescent="0.25">
      <c r="A1175" t="str">
        <f>$A$515</f>
        <v xml:space="preserve">    General Motors Co</v>
      </c>
      <c r="B1175" t="str">
        <f>$B$515</f>
        <v>GM US Equity</v>
      </c>
      <c r="C1175" t="str">
        <f>$C$515</f>
        <v>DV013</v>
      </c>
      <c r="D1175" t="str">
        <f>$D$515</f>
        <v>EQY_DVD_YLD_IND</v>
      </c>
      <c r="E1175" t="str">
        <f>$E$515</f>
        <v>Dynamic</v>
      </c>
      <c r="F1175" t="str">
        <f ca="1">_xll.BDH($B$515,$C$515,$B$675,$B$676,CONCATENATE("Per=",$B$673),"Dts=H","Dir=H",CONCATENATE("Points=",$B$674),"Sort=R","Days=A","Fill=B",CONCATENATE("FX=", $B$672) )</f>
        <v>#N/A Connection</v>
      </c>
      <c r="BN1175" t="str">
        <f>""</f>
        <v/>
      </c>
      <c r="BO1175" t="str">
        <f>""</f>
        <v/>
      </c>
      <c r="BP1175" t="str">
        <f>""</f>
        <v/>
      </c>
      <c r="BQ1175" t="str">
        <f>""</f>
        <v/>
      </c>
      <c r="BR1175" t="str">
        <f>""</f>
        <v/>
      </c>
      <c r="BS1175" t="str">
        <f>""</f>
        <v/>
      </c>
      <c r="BT1175" t="str">
        <f>""</f>
        <v/>
      </c>
      <c r="BU1175" t="str">
        <f>""</f>
        <v/>
      </c>
      <c r="BV1175" t="str">
        <f>""</f>
        <v/>
      </c>
      <c r="BW1175" t="str">
        <f>""</f>
        <v/>
      </c>
      <c r="BX1175" t="str">
        <f>""</f>
        <v/>
      </c>
      <c r="BY1175" t="str">
        <f>""</f>
        <v/>
      </c>
      <c r="BZ1175" t="str">
        <f>""</f>
        <v/>
      </c>
      <c r="CA1175" t="str">
        <f>""</f>
        <v/>
      </c>
      <c r="CB1175" t="str">
        <f>""</f>
        <v/>
      </c>
      <c r="CC1175" t="str">
        <f>""</f>
        <v/>
      </c>
      <c r="CD1175" t="str">
        <f>""</f>
        <v/>
      </c>
      <c r="CE1175" t="str">
        <f>""</f>
        <v/>
      </c>
      <c r="CF1175" t="str">
        <f>""</f>
        <v/>
      </c>
      <c r="CG1175" t="str">
        <f>""</f>
        <v/>
      </c>
      <c r="CH1175" t="str">
        <f>""</f>
        <v/>
      </c>
      <c r="CI1175" t="str">
        <f>""</f>
        <v/>
      </c>
      <c r="CJ1175" t="str">
        <f>""</f>
        <v/>
      </c>
      <c r="CK1175" t="str">
        <f>""</f>
        <v/>
      </c>
      <c r="CL1175" t="str">
        <f>""</f>
        <v/>
      </c>
      <c r="CM1175" t="str">
        <f>""</f>
        <v/>
      </c>
      <c r="CN1175" t="str">
        <f>""</f>
        <v/>
      </c>
      <c r="CO1175" t="str">
        <f>""</f>
        <v/>
      </c>
      <c r="CP1175" t="str">
        <f>""</f>
        <v/>
      </c>
      <c r="CQ1175" t="str">
        <f>""</f>
        <v/>
      </c>
      <c r="CR1175" t="str">
        <f>""</f>
        <v/>
      </c>
      <c r="CS1175" t="str">
        <f>""</f>
        <v/>
      </c>
      <c r="CT1175" t="str">
        <f>""</f>
        <v/>
      </c>
      <c r="CU1175" t="str">
        <f>""</f>
        <v/>
      </c>
      <c r="CV1175" t="str">
        <f>""</f>
        <v/>
      </c>
      <c r="CW1175" t="str">
        <f>""</f>
        <v/>
      </c>
      <c r="CX1175" t="str">
        <f>""</f>
        <v/>
      </c>
      <c r="CY1175" t="str">
        <f>""</f>
        <v/>
      </c>
      <c r="CZ1175" t="str">
        <f>""</f>
        <v/>
      </c>
      <c r="DA1175" t="str">
        <f>""</f>
        <v/>
      </c>
      <c r="DB1175" t="str">
        <f>""</f>
        <v/>
      </c>
      <c r="DC1175" t="str">
        <f>""</f>
        <v/>
      </c>
      <c r="DD1175" t="str">
        <f>""</f>
        <v/>
      </c>
      <c r="DE1175" t="str">
        <f>""</f>
        <v/>
      </c>
      <c r="DF1175" t="str">
        <f>""</f>
        <v/>
      </c>
      <c r="DG1175" t="str">
        <f>""</f>
        <v/>
      </c>
      <c r="DH1175" t="str">
        <f>""</f>
        <v/>
      </c>
      <c r="DI1175" t="str">
        <f>""</f>
        <v/>
      </c>
      <c r="DJ1175" t="str">
        <f>""</f>
        <v/>
      </c>
      <c r="DK1175" t="str">
        <f>""</f>
        <v/>
      </c>
      <c r="DL1175" t="str">
        <f>""</f>
        <v/>
      </c>
      <c r="DM1175" t="str">
        <f>""</f>
        <v/>
      </c>
      <c r="DN1175" t="str">
        <f>""</f>
        <v/>
      </c>
      <c r="DO1175" t="str">
        <f>""</f>
        <v/>
      </c>
      <c r="DP1175" t="str">
        <f>""</f>
        <v/>
      </c>
      <c r="DQ1175" t="str">
        <f>""</f>
        <v/>
      </c>
      <c r="DR1175" t="str">
        <f>""</f>
        <v/>
      </c>
      <c r="DS1175" t="str">
        <f>""</f>
        <v/>
      </c>
      <c r="DT1175" t="str">
        <f>""</f>
        <v/>
      </c>
      <c r="DU1175" t="str">
        <f>""</f>
        <v/>
      </c>
    </row>
    <row r="1176" spans="1:125" x14ac:dyDescent="0.25">
      <c r="A1176" t="str">
        <f>$A$516</f>
        <v xml:space="preserve">    Great Wall Motor Co Ltd</v>
      </c>
      <c r="B1176" t="str">
        <f>$B$516</f>
        <v>2333 HK Equity</v>
      </c>
      <c r="C1176" t="str">
        <f>$C$516</f>
        <v>DV013</v>
      </c>
      <c r="D1176" t="str">
        <f>$D$516</f>
        <v>EQY_DVD_YLD_IND</v>
      </c>
      <c r="E1176" t="str">
        <f>$E$516</f>
        <v>Dynamic</v>
      </c>
      <c r="F1176" t="str">
        <f ca="1">_xll.BDH($B$516,$C$516,$B$675,$B$676,CONCATENATE("Per=",$B$673),"Dts=H","Dir=H",CONCATENATE("Points=",$B$674),"Sort=R","Days=A","Fill=B",CONCATENATE("FX=", $B$672) )</f>
        <v>#N/A Connection</v>
      </c>
      <c r="BN1176" t="str">
        <f>""</f>
        <v/>
      </c>
      <c r="BO1176" t="str">
        <f>""</f>
        <v/>
      </c>
      <c r="BP1176" t="str">
        <f>""</f>
        <v/>
      </c>
      <c r="BQ1176" t="str">
        <f>""</f>
        <v/>
      </c>
      <c r="BR1176" t="str">
        <f>""</f>
        <v/>
      </c>
      <c r="BS1176" t="str">
        <f>""</f>
        <v/>
      </c>
      <c r="BT1176" t="str">
        <f>""</f>
        <v/>
      </c>
      <c r="BU1176" t="str">
        <f>""</f>
        <v/>
      </c>
      <c r="BV1176" t="str">
        <f>""</f>
        <v/>
      </c>
      <c r="BW1176" t="str">
        <f>""</f>
        <v/>
      </c>
      <c r="BX1176" t="str">
        <f>""</f>
        <v/>
      </c>
      <c r="BY1176" t="str">
        <f>""</f>
        <v/>
      </c>
      <c r="BZ1176" t="str">
        <f>""</f>
        <v/>
      </c>
      <c r="CA1176" t="str">
        <f>""</f>
        <v/>
      </c>
      <c r="CB1176" t="str">
        <f>""</f>
        <v/>
      </c>
      <c r="CC1176" t="str">
        <f>""</f>
        <v/>
      </c>
      <c r="CD1176" t="str">
        <f>""</f>
        <v/>
      </c>
      <c r="CE1176" t="str">
        <f>""</f>
        <v/>
      </c>
      <c r="CF1176" t="str">
        <f>""</f>
        <v/>
      </c>
      <c r="CG1176" t="str">
        <f>""</f>
        <v/>
      </c>
      <c r="CH1176" t="str">
        <f>""</f>
        <v/>
      </c>
      <c r="CI1176" t="str">
        <f>""</f>
        <v/>
      </c>
      <c r="CJ1176" t="str">
        <f>""</f>
        <v/>
      </c>
      <c r="CK1176" t="str">
        <f>""</f>
        <v/>
      </c>
      <c r="CL1176" t="str">
        <f>""</f>
        <v/>
      </c>
      <c r="CM1176" t="str">
        <f>""</f>
        <v/>
      </c>
      <c r="CN1176" t="str">
        <f>""</f>
        <v/>
      </c>
      <c r="CO1176" t="str">
        <f>""</f>
        <v/>
      </c>
      <c r="CP1176" t="str">
        <f>""</f>
        <v/>
      </c>
      <c r="CQ1176" t="str">
        <f>""</f>
        <v/>
      </c>
      <c r="CR1176" t="str">
        <f>""</f>
        <v/>
      </c>
      <c r="CS1176" t="str">
        <f>""</f>
        <v/>
      </c>
      <c r="CT1176" t="str">
        <f>""</f>
        <v/>
      </c>
      <c r="CU1176" t="str">
        <f>""</f>
        <v/>
      </c>
      <c r="CV1176" t="str">
        <f>""</f>
        <v/>
      </c>
      <c r="CW1176" t="str">
        <f>""</f>
        <v/>
      </c>
      <c r="CX1176" t="str">
        <f>""</f>
        <v/>
      </c>
      <c r="CY1176" t="str">
        <f>""</f>
        <v/>
      </c>
      <c r="CZ1176" t="str">
        <f>""</f>
        <v/>
      </c>
      <c r="DA1176" t="str">
        <f>""</f>
        <v/>
      </c>
      <c r="DB1176" t="str">
        <f>""</f>
        <v/>
      </c>
      <c r="DC1176" t="str">
        <f>""</f>
        <v/>
      </c>
      <c r="DD1176" t="str">
        <f>""</f>
        <v/>
      </c>
      <c r="DE1176" t="str">
        <f>""</f>
        <v/>
      </c>
      <c r="DF1176" t="str">
        <f>""</f>
        <v/>
      </c>
      <c r="DG1176" t="str">
        <f>""</f>
        <v/>
      </c>
      <c r="DH1176" t="str">
        <f>""</f>
        <v/>
      </c>
      <c r="DI1176" t="str">
        <f>""</f>
        <v/>
      </c>
      <c r="DJ1176" t="str">
        <f>""</f>
        <v/>
      </c>
      <c r="DK1176" t="str">
        <f>""</f>
        <v/>
      </c>
      <c r="DL1176" t="str">
        <f>""</f>
        <v/>
      </c>
      <c r="DM1176" t="str">
        <f>""</f>
        <v/>
      </c>
      <c r="DN1176" t="str">
        <f>""</f>
        <v/>
      </c>
      <c r="DO1176" t="str">
        <f>""</f>
        <v/>
      </c>
      <c r="DP1176" t="str">
        <f>""</f>
        <v/>
      </c>
      <c r="DQ1176" t="str">
        <f>""</f>
        <v/>
      </c>
      <c r="DR1176" t="str">
        <f>""</f>
        <v/>
      </c>
      <c r="DS1176" t="str">
        <f>""</f>
        <v/>
      </c>
      <c r="DT1176" t="str">
        <f>""</f>
        <v/>
      </c>
      <c r="DU1176" t="str">
        <f>""</f>
        <v/>
      </c>
    </row>
    <row r="1177" spans="1:125" x14ac:dyDescent="0.25">
      <c r="A1177" t="str">
        <f>$A$517</f>
        <v xml:space="preserve">    Guangzhou Automobile Group Co Ltd</v>
      </c>
      <c r="B1177" t="str">
        <f>$B$517</f>
        <v>2238 HK Equity</v>
      </c>
      <c r="C1177" t="str">
        <f>$C$517</f>
        <v>DV013</v>
      </c>
      <c r="D1177" t="str">
        <f>$D$517</f>
        <v>EQY_DVD_YLD_IND</v>
      </c>
      <c r="E1177" t="str">
        <f>$E$517</f>
        <v>Dynamic</v>
      </c>
      <c r="F1177" t="str">
        <f ca="1">_xll.BDH($B$517,$C$517,$B$675,$B$676,CONCATENATE("Per=",$B$673),"Dts=H","Dir=H",CONCATENATE("Points=",$B$674),"Sort=R","Days=A","Fill=B",CONCATENATE("FX=", $B$672) )</f>
        <v>#N/A Connection</v>
      </c>
      <c r="BN1177" t="str">
        <f>""</f>
        <v/>
      </c>
      <c r="BO1177" t="str">
        <f>""</f>
        <v/>
      </c>
      <c r="BP1177" t="str">
        <f>""</f>
        <v/>
      </c>
      <c r="BQ1177" t="str">
        <f>""</f>
        <v/>
      </c>
      <c r="BR1177" t="str">
        <f>""</f>
        <v/>
      </c>
      <c r="BS1177" t="str">
        <f>""</f>
        <v/>
      </c>
      <c r="BT1177" t="str">
        <f>""</f>
        <v/>
      </c>
      <c r="BU1177" t="str">
        <f>""</f>
        <v/>
      </c>
      <c r="BV1177" t="str">
        <f>""</f>
        <v/>
      </c>
      <c r="BW1177" t="str">
        <f>""</f>
        <v/>
      </c>
      <c r="BX1177" t="str">
        <f>""</f>
        <v/>
      </c>
      <c r="BY1177" t="str">
        <f>""</f>
        <v/>
      </c>
      <c r="BZ1177" t="str">
        <f>""</f>
        <v/>
      </c>
      <c r="CA1177" t="str">
        <f>""</f>
        <v/>
      </c>
      <c r="CB1177" t="str">
        <f>""</f>
        <v/>
      </c>
      <c r="CC1177" t="str">
        <f>""</f>
        <v/>
      </c>
      <c r="CD1177" t="str">
        <f>""</f>
        <v/>
      </c>
      <c r="CE1177" t="str">
        <f>""</f>
        <v/>
      </c>
      <c r="CF1177" t="str">
        <f>""</f>
        <v/>
      </c>
      <c r="CG1177" t="str">
        <f>""</f>
        <v/>
      </c>
      <c r="CH1177" t="str">
        <f>""</f>
        <v/>
      </c>
      <c r="CI1177" t="str">
        <f>""</f>
        <v/>
      </c>
      <c r="CJ1177" t="str">
        <f>""</f>
        <v/>
      </c>
      <c r="CK1177" t="str">
        <f>""</f>
        <v/>
      </c>
      <c r="CL1177" t="str">
        <f>""</f>
        <v/>
      </c>
      <c r="CM1177" t="str">
        <f>""</f>
        <v/>
      </c>
      <c r="CN1177" t="str">
        <f>""</f>
        <v/>
      </c>
      <c r="CO1177" t="str">
        <f>""</f>
        <v/>
      </c>
      <c r="CP1177" t="str">
        <f>""</f>
        <v/>
      </c>
      <c r="CQ1177" t="str">
        <f>""</f>
        <v/>
      </c>
      <c r="CR1177" t="str">
        <f>""</f>
        <v/>
      </c>
      <c r="CS1177" t="str">
        <f>""</f>
        <v/>
      </c>
      <c r="CT1177" t="str">
        <f>""</f>
        <v/>
      </c>
      <c r="CU1177" t="str">
        <f>""</f>
        <v/>
      </c>
      <c r="CV1177" t="str">
        <f>""</f>
        <v/>
      </c>
      <c r="CW1177" t="str">
        <f>""</f>
        <v/>
      </c>
      <c r="CX1177" t="str">
        <f>""</f>
        <v/>
      </c>
      <c r="CY1177" t="str">
        <f>""</f>
        <v/>
      </c>
      <c r="CZ1177" t="str">
        <f>""</f>
        <v/>
      </c>
      <c r="DA1177" t="str">
        <f>""</f>
        <v/>
      </c>
      <c r="DB1177" t="str">
        <f>""</f>
        <v/>
      </c>
      <c r="DC1177" t="str">
        <f>""</f>
        <v/>
      </c>
      <c r="DD1177" t="str">
        <f>""</f>
        <v/>
      </c>
      <c r="DE1177" t="str">
        <f>""</f>
        <v/>
      </c>
      <c r="DF1177" t="str">
        <f>""</f>
        <v/>
      </c>
      <c r="DG1177" t="str">
        <f>""</f>
        <v/>
      </c>
      <c r="DH1177" t="str">
        <f>""</f>
        <v/>
      </c>
      <c r="DI1177" t="str">
        <f>""</f>
        <v/>
      </c>
      <c r="DJ1177" t="str">
        <f>""</f>
        <v/>
      </c>
      <c r="DK1177" t="str">
        <f>""</f>
        <v/>
      </c>
      <c r="DL1177" t="str">
        <f>""</f>
        <v/>
      </c>
      <c r="DM1177" t="str">
        <f>""</f>
        <v/>
      </c>
      <c r="DN1177" t="str">
        <f>""</f>
        <v/>
      </c>
      <c r="DO1177" t="str">
        <f>""</f>
        <v/>
      </c>
      <c r="DP1177" t="str">
        <f>""</f>
        <v/>
      </c>
      <c r="DQ1177" t="str">
        <f>""</f>
        <v/>
      </c>
      <c r="DR1177" t="str">
        <f>""</f>
        <v/>
      </c>
      <c r="DS1177" t="str">
        <f>""</f>
        <v/>
      </c>
      <c r="DT1177" t="str">
        <f>""</f>
        <v/>
      </c>
      <c r="DU1177" t="str">
        <f>""</f>
        <v/>
      </c>
    </row>
    <row r="1178" spans="1:125" x14ac:dyDescent="0.25">
      <c r="A1178" t="str">
        <f>$A$518</f>
        <v xml:space="preserve">    Honda Motor Co Ltd</v>
      </c>
      <c r="B1178" t="str">
        <f>$B$518</f>
        <v>7267 JP Equity</v>
      </c>
      <c r="C1178" t="str">
        <f>$C$518</f>
        <v>DV013</v>
      </c>
      <c r="D1178" t="str">
        <f>$D$518</f>
        <v>EQY_DVD_YLD_IND</v>
      </c>
      <c r="E1178" t="str">
        <f>$E$518</f>
        <v>Dynamic</v>
      </c>
      <c r="F1178" t="str">
        <f ca="1">_xll.BDH($B$518,$C$518,$B$675,$B$676,CONCATENATE("Per=",$B$673),"Dts=H","Dir=H",CONCATENATE("Points=",$B$674),"Sort=R","Days=A","Fill=B",CONCATENATE("FX=", $B$672) )</f>
        <v>#N/A Connection</v>
      </c>
      <c r="BN1178" t="str">
        <f>""</f>
        <v/>
      </c>
      <c r="BO1178" t="str">
        <f>""</f>
        <v/>
      </c>
      <c r="BP1178" t="str">
        <f>""</f>
        <v/>
      </c>
      <c r="BQ1178" t="str">
        <f>""</f>
        <v/>
      </c>
      <c r="BR1178" t="str">
        <f>""</f>
        <v/>
      </c>
      <c r="BS1178" t="str">
        <f>""</f>
        <v/>
      </c>
      <c r="BT1178" t="str">
        <f>""</f>
        <v/>
      </c>
      <c r="BU1178" t="str">
        <f>""</f>
        <v/>
      </c>
      <c r="BV1178" t="str">
        <f>""</f>
        <v/>
      </c>
      <c r="BW1178" t="str">
        <f>""</f>
        <v/>
      </c>
      <c r="BX1178" t="str">
        <f>""</f>
        <v/>
      </c>
      <c r="BY1178" t="str">
        <f>""</f>
        <v/>
      </c>
      <c r="BZ1178" t="str">
        <f>""</f>
        <v/>
      </c>
      <c r="CA1178" t="str">
        <f>""</f>
        <v/>
      </c>
      <c r="CB1178" t="str">
        <f>""</f>
        <v/>
      </c>
      <c r="CC1178" t="str">
        <f>""</f>
        <v/>
      </c>
      <c r="CD1178" t="str">
        <f>""</f>
        <v/>
      </c>
      <c r="CE1178" t="str">
        <f>""</f>
        <v/>
      </c>
      <c r="CF1178" t="str">
        <f>""</f>
        <v/>
      </c>
      <c r="CG1178" t="str">
        <f>""</f>
        <v/>
      </c>
      <c r="CH1178" t="str">
        <f>""</f>
        <v/>
      </c>
      <c r="CI1178" t="str">
        <f>""</f>
        <v/>
      </c>
      <c r="CJ1178" t="str">
        <f>""</f>
        <v/>
      </c>
      <c r="CK1178" t="str">
        <f>""</f>
        <v/>
      </c>
      <c r="CL1178" t="str">
        <f>""</f>
        <v/>
      </c>
      <c r="CM1178" t="str">
        <f>""</f>
        <v/>
      </c>
      <c r="CN1178" t="str">
        <f>""</f>
        <v/>
      </c>
      <c r="CO1178" t="str">
        <f>""</f>
        <v/>
      </c>
      <c r="CP1178" t="str">
        <f>""</f>
        <v/>
      </c>
      <c r="CQ1178" t="str">
        <f>""</f>
        <v/>
      </c>
      <c r="CR1178" t="str">
        <f>""</f>
        <v/>
      </c>
      <c r="CS1178" t="str">
        <f>""</f>
        <v/>
      </c>
      <c r="CT1178" t="str">
        <f>""</f>
        <v/>
      </c>
      <c r="CU1178" t="str">
        <f>""</f>
        <v/>
      </c>
      <c r="CV1178" t="str">
        <f>""</f>
        <v/>
      </c>
      <c r="CW1178" t="str">
        <f>""</f>
        <v/>
      </c>
      <c r="CX1178" t="str">
        <f>""</f>
        <v/>
      </c>
      <c r="CY1178" t="str">
        <f>""</f>
        <v/>
      </c>
      <c r="CZ1178" t="str">
        <f>""</f>
        <v/>
      </c>
      <c r="DA1178" t="str">
        <f>""</f>
        <v/>
      </c>
      <c r="DB1178" t="str">
        <f>""</f>
        <v/>
      </c>
      <c r="DC1178" t="str">
        <f>""</f>
        <v/>
      </c>
      <c r="DD1178" t="str">
        <f>""</f>
        <v/>
      </c>
      <c r="DE1178" t="str">
        <f>""</f>
        <v/>
      </c>
      <c r="DF1178" t="str">
        <f>""</f>
        <v/>
      </c>
      <c r="DG1178" t="str">
        <f>""</f>
        <v/>
      </c>
      <c r="DH1178" t="str">
        <f>""</f>
        <v/>
      </c>
      <c r="DI1178" t="str">
        <f>""</f>
        <v/>
      </c>
      <c r="DJ1178" t="str">
        <f>""</f>
        <v/>
      </c>
      <c r="DK1178" t="str">
        <f>""</f>
        <v/>
      </c>
      <c r="DL1178" t="str">
        <f>""</f>
        <v/>
      </c>
      <c r="DM1178" t="str">
        <f>""</f>
        <v/>
      </c>
      <c r="DN1178" t="str">
        <f>""</f>
        <v/>
      </c>
      <c r="DO1178" t="str">
        <f>""</f>
        <v/>
      </c>
      <c r="DP1178" t="str">
        <f>""</f>
        <v/>
      </c>
      <c r="DQ1178" t="str">
        <f>""</f>
        <v/>
      </c>
      <c r="DR1178" t="str">
        <f>""</f>
        <v/>
      </c>
      <c r="DS1178" t="str">
        <f>""</f>
        <v/>
      </c>
      <c r="DT1178" t="str">
        <f>""</f>
        <v/>
      </c>
      <c r="DU1178" t="str">
        <f>""</f>
        <v/>
      </c>
    </row>
    <row r="1179" spans="1:125" x14ac:dyDescent="0.25">
      <c r="A1179" t="str">
        <f>$A$519</f>
        <v xml:space="preserve">    Hyundai Motor Co</v>
      </c>
      <c r="B1179" t="str">
        <f>$B$519</f>
        <v>005380 KS Equity</v>
      </c>
      <c r="C1179" t="str">
        <f>$C$519</f>
        <v>DV013</v>
      </c>
      <c r="D1179" t="str">
        <f>$D$519</f>
        <v>EQY_DVD_YLD_IND</v>
      </c>
      <c r="E1179" t="str">
        <f>$E$519</f>
        <v>Dynamic</v>
      </c>
      <c r="F1179" t="str">
        <f ca="1">_xll.BDH($B$519,$C$519,$B$675,$B$676,CONCATENATE("Per=",$B$673),"Dts=H","Dir=H",CONCATENATE("Points=",$B$674),"Sort=R","Days=A","Fill=B",CONCATENATE("FX=", $B$672) )</f>
        <v>#N/A Connection</v>
      </c>
      <c r="BN1179" t="str">
        <f>""</f>
        <v/>
      </c>
      <c r="BO1179" t="str">
        <f>""</f>
        <v/>
      </c>
      <c r="BP1179" t="str">
        <f>""</f>
        <v/>
      </c>
      <c r="BQ1179" t="str">
        <f>""</f>
        <v/>
      </c>
      <c r="BR1179" t="str">
        <f>""</f>
        <v/>
      </c>
      <c r="BS1179" t="str">
        <f>""</f>
        <v/>
      </c>
      <c r="BT1179" t="str">
        <f>""</f>
        <v/>
      </c>
      <c r="BU1179" t="str">
        <f>""</f>
        <v/>
      </c>
      <c r="BV1179" t="str">
        <f>""</f>
        <v/>
      </c>
      <c r="BW1179" t="str">
        <f>""</f>
        <v/>
      </c>
      <c r="BX1179" t="str">
        <f>""</f>
        <v/>
      </c>
      <c r="BY1179" t="str">
        <f>""</f>
        <v/>
      </c>
      <c r="BZ1179" t="str">
        <f>""</f>
        <v/>
      </c>
      <c r="CA1179" t="str">
        <f>""</f>
        <v/>
      </c>
      <c r="CB1179" t="str">
        <f>""</f>
        <v/>
      </c>
      <c r="CC1179" t="str">
        <f>""</f>
        <v/>
      </c>
      <c r="CD1179" t="str">
        <f>""</f>
        <v/>
      </c>
      <c r="CE1179" t="str">
        <f>""</f>
        <v/>
      </c>
      <c r="CF1179" t="str">
        <f>""</f>
        <v/>
      </c>
      <c r="CG1179" t="str">
        <f>""</f>
        <v/>
      </c>
      <c r="CH1179" t="str">
        <f>""</f>
        <v/>
      </c>
      <c r="CI1179" t="str">
        <f>""</f>
        <v/>
      </c>
      <c r="CJ1179" t="str">
        <f>""</f>
        <v/>
      </c>
      <c r="CK1179" t="str">
        <f>""</f>
        <v/>
      </c>
      <c r="CL1179" t="str">
        <f>""</f>
        <v/>
      </c>
      <c r="CM1179" t="str">
        <f>""</f>
        <v/>
      </c>
      <c r="CN1179" t="str">
        <f>""</f>
        <v/>
      </c>
      <c r="CO1179" t="str">
        <f>""</f>
        <v/>
      </c>
      <c r="CP1179" t="str">
        <f>""</f>
        <v/>
      </c>
      <c r="CQ1179" t="str">
        <f>""</f>
        <v/>
      </c>
      <c r="CR1179" t="str">
        <f>""</f>
        <v/>
      </c>
      <c r="CS1179" t="str">
        <f>""</f>
        <v/>
      </c>
      <c r="CT1179" t="str">
        <f>""</f>
        <v/>
      </c>
      <c r="CU1179" t="str">
        <f>""</f>
        <v/>
      </c>
      <c r="CV1179" t="str">
        <f>""</f>
        <v/>
      </c>
      <c r="CW1179" t="str">
        <f>""</f>
        <v/>
      </c>
      <c r="CX1179" t="str">
        <f>""</f>
        <v/>
      </c>
      <c r="CY1179" t="str">
        <f>""</f>
        <v/>
      </c>
      <c r="CZ1179" t="str">
        <f>""</f>
        <v/>
      </c>
      <c r="DA1179" t="str">
        <f>""</f>
        <v/>
      </c>
      <c r="DB1179" t="str">
        <f>""</f>
        <v/>
      </c>
      <c r="DC1179" t="str">
        <f>""</f>
        <v/>
      </c>
      <c r="DD1179" t="str">
        <f>""</f>
        <v/>
      </c>
      <c r="DE1179" t="str">
        <f>""</f>
        <v/>
      </c>
      <c r="DF1179" t="str">
        <f>""</f>
        <v/>
      </c>
      <c r="DG1179" t="str">
        <f>""</f>
        <v/>
      </c>
      <c r="DH1179" t="str">
        <f>""</f>
        <v/>
      </c>
      <c r="DI1179" t="str">
        <f>""</f>
        <v/>
      </c>
      <c r="DJ1179" t="str">
        <f>""</f>
        <v/>
      </c>
      <c r="DK1179" t="str">
        <f>""</f>
        <v/>
      </c>
      <c r="DL1179" t="str">
        <f>""</f>
        <v/>
      </c>
      <c r="DM1179" t="str">
        <f>""</f>
        <v/>
      </c>
      <c r="DN1179" t="str">
        <f>""</f>
        <v/>
      </c>
      <c r="DO1179" t="str">
        <f>""</f>
        <v/>
      </c>
      <c r="DP1179" t="str">
        <f>""</f>
        <v/>
      </c>
      <c r="DQ1179" t="str">
        <f>""</f>
        <v/>
      </c>
      <c r="DR1179" t="str">
        <f>""</f>
        <v/>
      </c>
      <c r="DS1179" t="str">
        <f>""</f>
        <v/>
      </c>
      <c r="DT1179" t="str">
        <f>""</f>
        <v/>
      </c>
      <c r="DU1179" t="str">
        <f>""</f>
        <v/>
      </c>
    </row>
    <row r="1180" spans="1:125" x14ac:dyDescent="0.25">
      <c r="A1180" t="str">
        <f>$A$520</f>
        <v xml:space="preserve">    Kia Motors Corp</v>
      </c>
      <c r="B1180" t="str">
        <f>$B$520</f>
        <v>000270 KS Equity</v>
      </c>
      <c r="C1180" t="str">
        <f>$C$520</f>
        <v>DV013</v>
      </c>
      <c r="D1180" t="str">
        <f>$D$520</f>
        <v>EQY_DVD_YLD_IND</v>
      </c>
      <c r="E1180" t="str">
        <f>$E$520</f>
        <v>Dynamic</v>
      </c>
      <c r="F1180" t="str">
        <f ca="1">_xll.BDH($B$520,$C$520,$B$675,$B$676,CONCATENATE("Per=",$B$673),"Dts=H","Dir=H",CONCATENATE("Points=",$B$674),"Sort=R","Days=A","Fill=B",CONCATENATE("FX=", $B$672) )</f>
        <v>#N/A Connection</v>
      </c>
      <c r="BN1180" t="str">
        <f>""</f>
        <v/>
      </c>
      <c r="BO1180" t="str">
        <f>""</f>
        <v/>
      </c>
      <c r="BP1180" t="str">
        <f>""</f>
        <v/>
      </c>
      <c r="BQ1180" t="str">
        <f>""</f>
        <v/>
      </c>
      <c r="BR1180" t="str">
        <f>""</f>
        <v/>
      </c>
      <c r="BS1180" t="str">
        <f>""</f>
        <v/>
      </c>
      <c r="BT1180" t="str">
        <f>""</f>
        <v/>
      </c>
      <c r="BU1180" t="str">
        <f>""</f>
        <v/>
      </c>
      <c r="BV1180" t="str">
        <f>""</f>
        <v/>
      </c>
      <c r="BW1180" t="str">
        <f>""</f>
        <v/>
      </c>
      <c r="BX1180" t="str">
        <f>""</f>
        <v/>
      </c>
      <c r="BY1180" t="str">
        <f>""</f>
        <v/>
      </c>
      <c r="BZ1180" t="str">
        <f>""</f>
        <v/>
      </c>
      <c r="CA1180" t="str">
        <f>""</f>
        <v/>
      </c>
      <c r="CB1180" t="str">
        <f>""</f>
        <v/>
      </c>
      <c r="CC1180" t="str">
        <f>""</f>
        <v/>
      </c>
      <c r="CD1180" t="str">
        <f>""</f>
        <v/>
      </c>
      <c r="CE1180" t="str">
        <f>""</f>
        <v/>
      </c>
      <c r="CF1180" t="str">
        <f>""</f>
        <v/>
      </c>
      <c r="CG1180" t="str">
        <f>""</f>
        <v/>
      </c>
      <c r="CH1180" t="str">
        <f>""</f>
        <v/>
      </c>
      <c r="CI1180" t="str">
        <f>""</f>
        <v/>
      </c>
      <c r="CJ1180" t="str">
        <f>""</f>
        <v/>
      </c>
      <c r="CK1180" t="str">
        <f>""</f>
        <v/>
      </c>
      <c r="CL1180" t="str">
        <f>""</f>
        <v/>
      </c>
      <c r="CM1180" t="str">
        <f>""</f>
        <v/>
      </c>
      <c r="CN1180" t="str">
        <f>""</f>
        <v/>
      </c>
      <c r="CO1180" t="str">
        <f>""</f>
        <v/>
      </c>
      <c r="CP1180" t="str">
        <f>""</f>
        <v/>
      </c>
      <c r="CQ1180" t="str">
        <f>""</f>
        <v/>
      </c>
      <c r="CR1180" t="str">
        <f>""</f>
        <v/>
      </c>
      <c r="CS1180" t="str">
        <f>""</f>
        <v/>
      </c>
      <c r="CT1180" t="str">
        <f>""</f>
        <v/>
      </c>
      <c r="CU1180" t="str">
        <f>""</f>
        <v/>
      </c>
      <c r="CV1180" t="str">
        <f>""</f>
        <v/>
      </c>
      <c r="CW1180" t="str">
        <f>""</f>
        <v/>
      </c>
      <c r="CX1180" t="str">
        <f>""</f>
        <v/>
      </c>
      <c r="CY1180" t="str">
        <f>""</f>
        <v/>
      </c>
      <c r="CZ1180" t="str">
        <f>""</f>
        <v/>
      </c>
      <c r="DA1180" t="str">
        <f>""</f>
        <v/>
      </c>
      <c r="DB1180" t="str">
        <f>""</f>
        <v/>
      </c>
      <c r="DC1180" t="str">
        <f>""</f>
        <v/>
      </c>
      <c r="DD1180" t="str">
        <f>""</f>
        <v/>
      </c>
      <c r="DE1180" t="str">
        <f>""</f>
        <v/>
      </c>
      <c r="DF1180" t="str">
        <f>""</f>
        <v/>
      </c>
      <c r="DG1180" t="str">
        <f>""</f>
        <v/>
      </c>
      <c r="DH1180" t="str">
        <f>""</f>
        <v/>
      </c>
      <c r="DI1180" t="str">
        <f>""</f>
        <v/>
      </c>
      <c r="DJ1180" t="str">
        <f>""</f>
        <v/>
      </c>
      <c r="DK1180" t="str">
        <f>""</f>
        <v/>
      </c>
      <c r="DL1180" t="str">
        <f>""</f>
        <v/>
      </c>
      <c r="DM1180" t="str">
        <f>""</f>
        <v/>
      </c>
      <c r="DN1180" t="str">
        <f>""</f>
        <v/>
      </c>
      <c r="DO1180" t="str">
        <f>""</f>
        <v/>
      </c>
      <c r="DP1180" t="str">
        <f>""</f>
        <v/>
      </c>
      <c r="DQ1180" t="str">
        <f>""</f>
        <v/>
      </c>
      <c r="DR1180" t="str">
        <f>""</f>
        <v/>
      </c>
      <c r="DS1180" t="str">
        <f>""</f>
        <v/>
      </c>
      <c r="DT1180" t="str">
        <f>""</f>
        <v/>
      </c>
      <c r="DU1180" t="str">
        <f>""</f>
        <v/>
      </c>
    </row>
    <row r="1181" spans="1:125" x14ac:dyDescent="0.25">
      <c r="A1181" t="str">
        <f>$A$521</f>
        <v xml:space="preserve">    Mazda Motor Corp</v>
      </c>
      <c r="B1181" t="str">
        <f>$B$521</f>
        <v>7261 JP Equity</v>
      </c>
      <c r="C1181" t="str">
        <f>$C$521</f>
        <v>DV013</v>
      </c>
      <c r="D1181" t="str">
        <f>$D$521</f>
        <v>EQY_DVD_YLD_IND</v>
      </c>
      <c r="E1181" t="str">
        <f>$E$521</f>
        <v>Dynamic</v>
      </c>
      <c r="F1181" t="str">
        <f ca="1">_xll.BDH($B$521,$C$521,$B$675,$B$676,CONCATENATE("Per=",$B$673),"Dts=H","Dir=H",CONCATENATE("Points=",$B$674),"Sort=R","Days=A","Fill=B",CONCATENATE("FX=", $B$672) )</f>
        <v>#N/A Connection</v>
      </c>
      <c r="BN1181" t="str">
        <f>""</f>
        <v/>
      </c>
      <c r="BO1181" t="str">
        <f>""</f>
        <v/>
      </c>
      <c r="BP1181" t="str">
        <f>""</f>
        <v/>
      </c>
      <c r="BQ1181" t="str">
        <f>""</f>
        <v/>
      </c>
      <c r="BR1181" t="str">
        <f>""</f>
        <v/>
      </c>
      <c r="BS1181" t="str">
        <f>""</f>
        <v/>
      </c>
      <c r="BT1181" t="str">
        <f>""</f>
        <v/>
      </c>
      <c r="BU1181" t="str">
        <f>""</f>
        <v/>
      </c>
      <c r="BV1181" t="str">
        <f>""</f>
        <v/>
      </c>
      <c r="BW1181" t="str">
        <f>""</f>
        <v/>
      </c>
      <c r="BX1181" t="str">
        <f>""</f>
        <v/>
      </c>
      <c r="BY1181" t="str">
        <f>""</f>
        <v/>
      </c>
      <c r="BZ1181" t="str">
        <f>""</f>
        <v/>
      </c>
      <c r="CA1181" t="str">
        <f>""</f>
        <v/>
      </c>
      <c r="CB1181" t="str">
        <f>""</f>
        <v/>
      </c>
      <c r="CC1181" t="str">
        <f>""</f>
        <v/>
      </c>
      <c r="CD1181" t="str">
        <f>""</f>
        <v/>
      </c>
      <c r="CE1181" t="str">
        <f>""</f>
        <v/>
      </c>
      <c r="CF1181" t="str">
        <f>""</f>
        <v/>
      </c>
      <c r="CG1181" t="str">
        <f>""</f>
        <v/>
      </c>
      <c r="CH1181" t="str">
        <f>""</f>
        <v/>
      </c>
      <c r="CI1181" t="str">
        <f>""</f>
        <v/>
      </c>
      <c r="CJ1181" t="str">
        <f>""</f>
        <v/>
      </c>
      <c r="CK1181" t="str">
        <f>""</f>
        <v/>
      </c>
      <c r="CL1181" t="str">
        <f>""</f>
        <v/>
      </c>
      <c r="CM1181" t="str">
        <f>""</f>
        <v/>
      </c>
      <c r="CN1181" t="str">
        <f>""</f>
        <v/>
      </c>
      <c r="CO1181" t="str">
        <f>""</f>
        <v/>
      </c>
      <c r="CP1181" t="str">
        <f>""</f>
        <v/>
      </c>
      <c r="CQ1181" t="str">
        <f>""</f>
        <v/>
      </c>
      <c r="CR1181" t="str">
        <f>""</f>
        <v/>
      </c>
      <c r="CS1181" t="str">
        <f>""</f>
        <v/>
      </c>
      <c r="CT1181" t="str">
        <f>""</f>
        <v/>
      </c>
      <c r="CU1181" t="str">
        <f>""</f>
        <v/>
      </c>
      <c r="CV1181" t="str">
        <f>""</f>
        <v/>
      </c>
      <c r="CW1181" t="str">
        <f>""</f>
        <v/>
      </c>
      <c r="CX1181" t="str">
        <f>""</f>
        <v/>
      </c>
      <c r="CY1181" t="str">
        <f>""</f>
        <v/>
      </c>
      <c r="CZ1181" t="str">
        <f>""</f>
        <v/>
      </c>
      <c r="DA1181" t="str">
        <f>""</f>
        <v/>
      </c>
      <c r="DB1181" t="str">
        <f>""</f>
        <v/>
      </c>
      <c r="DC1181" t="str">
        <f>""</f>
        <v/>
      </c>
      <c r="DD1181" t="str">
        <f>""</f>
        <v/>
      </c>
      <c r="DE1181" t="str">
        <f>""</f>
        <v/>
      </c>
      <c r="DF1181" t="str">
        <f>""</f>
        <v/>
      </c>
      <c r="DG1181" t="str">
        <f>""</f>
        <v/>
      </c>
      <c r="DH1181" t="str">
        <f>""</f>
        <v/>
      </c>
      <c r="DI1181" t="str">
        <f>""</f>
        <v/>
      </c>
      <c r="DJ1181" t="str">
        <f>""</f>
        <v/>
      </c>
      <c r="DK1181" t="str">
        <f>""</f>
        <v/>
      </c>
      <c r="DL1181" t="str">
        <f>""</f>
        <v/>
      </c>
      <c r="DM1181" t="str">
        <f>""</f>
        <v/>
      </c>
      <c r="DN1181" t="str">
        <f>""</f>
        <v/>
      </c>
      <c r="DO1181" t="str">
        <f>""</f>
        <v/>
      </c>
      <c r="DP1181" t="str">
        <f>""</f>
        <v/>
      </c>
      <c r="DQ1181" t="str">
        <f>""</f>
        <v/>
      </c>
      <c r="DR1181" t="str">
        <f>""</f>
        <v/>
      </c>
      <c r="DS1181" t="str">
        <f>""</f>
        <v/>
      </c>
      <c r="DT1181" t="str">
        <f>""</f>
        <v/>
      </c>
      <c r="DU1181" t="str">
        <f>""</f>
        <v/>
      </c>
    </row>
    <row r="1182" spans="1:125" x14ac:dyDescent="0.25">
      <c r="A1182" t="str">
        <f>$A$522</f>
        <v xml:space="preserve">    Mitsubishi Motors Corp</v>
      </c>
      <c r="B1182" t="str">
        <f>$B$522</f>
        <v>7211 JP Equity</v>
      </c>
      <c r="C1182" t="str">
        <f>$C$522</f>
        <v>DV013</v>
      </c>
      <c r="D1182" t="str">
        <f>$D$522</f>
        <v>EQY_DVD_YLD_IND</v>
      </c>
      <c r="E1182" t="str">
        <f>$E$522</f>
        <v>Dynamic</v>
      </c>
      <c r="F1182" t="str">
        <f ca="1">_xll.BDH($B$522,$C$522,$B$675,$B$676,CONCATENATE("Per=",$B$673),"Dts=H","Dir=H",CONCATENATE("Points=",$B$674),"Sort=R","Days=A","Fill=B",CONCATENATE("FX=", $B$672) )</f>
        <v>#N/A Connection</v>
      </c>
      <c r="BN1182" t="str">
        <f>""</f>
        <v/>
      </c>
      <c r="BO1182" t="str">
        <f>""</f>
        <v/>
      </c>
      <c r="BP1182" t="str">
        <f>""</f>
        <v/>
      </c>
      <c r="BQ1182" t="str">
        <f>""</f>
        <v/>
      </c>
      <c r="BR1182" t="str">
        <f>""</f>
        <v/>
      </c>
      <c r="BS1182" t="str">
        <f>""</f>
        <v/>
      </c>
      <c r="BT1182" t="str">
        <f>""</f>
        <v/>
      </c>
      <c r="BU1182" t="str">
        <f>""</f>
        <v/>
      </c>
      <c r="BV1182" t="str">
        <f>""</f>
        <v/>
      </c>
      <c r="BW1182" t="str">
        <f>""</f>
        <v/>
      </c>
      <c r="BX1182" t="str">
        <f>""</f>
        <v/>
      </c>
      <c r="BY1182" t="str">
        <f>""</f>
        <v/>
      </c>
      <c r="BZ1182" t="str">
        <f>""</f>
        <v/>
      </c>
      <c r="CA1182" t="str">
        <f>""</f>
        <v/>
      </c>
      <c r="CB1182" t="str">
        <f>""</f>
        <v/>
      </c>
      <c r="CC1182" t="str">
        <f>""</f>
        <v/>
      </c>
      <c r="CD1182" t="str">
        <f>""</f>
        <v/>
      </c>
      <c r="CE1182" t="str">
        <f>""</f>
        <v/>
      </c>
      <c r="CF1182" t="str">
        <f>""</f>
        <v/>
      </c>
      <c r="CG1182" t="str">
        <f>""</f>
        <v/>
      </c>
      <c r="CH1182" t="str">
        <f>""</f>
        <v/>
      </c>
      <c r="CI1182" t="str">
        <f>""</f>
        <v/>
      </c>
      <c r="CJ1182" t="str">
        <f>""</f>
        <v/>
      </c>
      <c r="CK1182" t="str">
        <f>""</f>
        <v/>
      </c>
      <c r="CL1182" t="str">
        <f>""</f>
        <v/>
      </c>
      <c r="CM1182" t="str">
        <f>""</f>
        <v/>
      </c>
      <c r="CN1182" t="str">
        <f>""</f>
        <v/>
      </c>
      <c r="CO1182" t="str">
        <f>""</f>
        <v/>
      </c>
      <c r="CP1182" t="str">
        <f>""</f>
        <v/>
      </c>
      <c r="CQ1182" t="str">
        <f>""</f>
        <v/>
      </c>
      <c r="CR1182" t="str">
        <f>""</f>
        <v/>
      </c>
      <c r="CS1182" t="str">
        <f>""</f>
        <v/>
      </c>
      <c r="CT1182" t="str">
        <f>""</f>
        <v/>
      </c>
      <c r="CU1182" t="str">
        <f>""</f>
        <v/>
      </c>
      <c r="CV1182" t="str">
        <f>""</f>
        <v/>
      </c>
      <c r="CW1182" t="str">
        <f>""</f>
        <v/>
      </c>
      <c r="CX1182" t="str">
        <f>""</f>
        <v/>
      </c>
      <c r="CY1182" t="str">
        <f>""</f>
        <v/>
      </c>
      <c r="CZ1182" t="str">
        <f>""</f>
        <v/>
      </c>
      <c r="DA1182" t="str">
        <f>""</f>
        <v/>
      </c>
      <c r="DB1182" t="str">
        <f>""</f>
        <v/>
      </c>
      <c r="DC1182" t="str">
        <f>""</f>
        <v/>
      </c>
      <c r="DD1182" t="str">
        <f>""</f>
        <v/>
      </c>
      <c r="DE1182" t="str">
        <f>""</f>
        <v/>
      </c>
      <c r="DF1182" t="str">
        <f>""</f>
        <v/>
      </c>
      <c r="DG1182" t="str">
        <f>""</f>
        <v/>
      </c>
      <c r="DH1182" t="str">
        <f>""</f>
        <v/>
      </c>
      <c r="DI1182" t="str">
        <f>""</f>
        <v/>
      </c>
      <c r="DJ1182" t="str">
        <f>""</f>
        <v/>
      </c>
      <c r="DK1182" t="str">
        <f>""</f>
        <v/>
      </c>
      <c r="DL1182" t="str">
        <f>""</f>
        <v/>
      </c>
      <c r="DM1182" t="str">
        <f>""</f>
        <v/>
      </c>
      <c r="DN1182" t="str">
        <f>""</f>
        <v/>
      </c>
      <c r="DO1182" t="str">
        <f>""</f>
        <v/>
      </c>
      <c r="DP1182" t="str">
        <f>""</f>
        <v/>
      </c>
      <c r="DQ1182" t="str">
        <f>""</f>
        <v/>
      </c>
      <c r="DR1182" t="str">
        <f>""</f>
        <v/>
      </c>
      <c r="DS1182" t="str">
        <f>""</f>
        <v/>
      </c>
      <c r="DT1182" t="str">
        <f>""</f>
        <v/>
      </c>
      <c r="DU1182" t="str">
        <f>""</f>
        <v/>
      </c>
    </row>
    <row r="1183" spans="1:125" x14ac:dyDescent="0.25">
      <c r="A1183" t="str">
        <f>$A$523</f>
        <v xml:space="preserve">    Nissan Motor Co Ltd</v>
      </c>
      <c r="B1183" t="str">
        <f>$B$523</f>
        <v>7201 JP Equity</v>
      </c>
      <c r="C1183" t="str">
        <f>$C$523</f>
        <v>DV013</v>
      </c>
      <c r="D1183" t="str">
        <f>$D$523</f>
        <v>EQY_DVD_YLD_IND</v>
      </c>
      <c r="E1183" t="str">
        <f>$E$523</f>
        <v>Dynamic</v>
      </c>
      <c r="F1183" t="str">
        <f ca="1">_xll.BDH($B$523,$C$523,$B$675,$B$676,CONCATENATE("Per=",$B$673),"Dts=H","Dir=H",CONCATENATE("Points=",$B$674),"Sort=R","Days=A","Fill=B",CONCATENATE("FX=", $B$672) )</f>
        <v>#N/A Connection</v>
      </c>
      <c r="BN1183" t="str">
        <f>""</f>
        <v/>
      </c>
      <c r="BO1183" t="str">
        <f>""</f>
        <v/>
      </c>
      <c r="BP1183" t="str">
        <f>""</f>
        <v/>
      </c>
      <c r="BQ1183" t="str">
        <f>""</f>
        <v/>
      </c>
      <c r="BR1183" t="str">
        <f>""</f>
        <v/>
      </c>
      <c r="BS1183" t="str">
        <f>""</f>
        <v/>
      </c>
      <c r="BT1183" t="str">
        <f>""</f>
        <v/>
      </c>
      <c r="BU1183" t="str">
        <f>""</f>
        <v/>
      </c>
      <c r="BV1183" t="str">
        <f>""</f>
        <v/>
      </c>
      <c r="BW1183" t="str">
        <f>""</f>
        <v/>
      </c>
      <c r="BX1183" t="str">
        <f>""</f>
        <v/>
      </c>
      <c r="BY1183" t="str">
        <f>""</f>
        <v/>
      </c>
      <c r="BZ1183" t="str">
        <f>""</f>
        <v/>
      </c>
      <c r="CA1183" t="str">
        <f>""</f>
        <v/>
      </c>
      <c r="CB1183" t="str">
        <f>""</f>
        <v/>
      </c>
      <c r="CC1183" t="str">
        <f>""</f>
        <v/>
      </c>
      <c r="CD1183" t="str">
        <f>""</f>
        <v/>
      </c>
      <c r="CE1183" t="str">
        <f>""</f>
        <v/>
      </c>
      <c r="CF1183" t="str">
        <f>""</f>
        <v/>
      </c>
      <c r="CG1183" t="str">
        <f>""</f>
        <v/>
      </c>
      <c r="CH1183" t="str">
        <f>""</f>
        <v/>
      </c>
      <c r="CI1183" t="str">
        <f>""</f>
        <v/>
      </c>
      <c r="CJ1183" t="str">
        <f>""</f>
        <v/>
      </c>
      <c r="CK1183" t="str">
        <f>""</f>
        <v/>
      </c>
      <c r="CL1183" t="str">
        <f>""</f>
        <v/>
      </c>
      <c r="CM1183" t="str">
        <f>""</f>
        <v/>
      </c>
      <c r="CN1183" t="str">
        <f>""</f>
        <v/>
      </c>
      <c r="CO1183" t="str">
        <f>""</f>
        <v/>
      </c>
      <c r="CP1183" t="str">
        <f>""</f>
        <v/>
      </c>
      <c r="CQ1183" t="str">
        <f>""</f>
        <v/>
      </c>
      <c r="CR1183" t="str">
        <f>""</f>
        <v/>
      </c>
      <c r="CS1183" t="str">
        <f>""</f>
        <v/>
      </c>
      <c r="CT1183" t="str">
        <f>""</f>
        <v/>
      </c>
      <c r="CU1183" t="str">
        <f>""</f>
        <v/>
      </c>
      <c r="CV1183" t="str">
        <f>""</f>
        <v/>
      </c>
      <c r="CW1183" t="str">
        <f>""</f>
        <v/>
      </c>
      <c r="CX1183" t="str">
        <f>""</f>
        <v/>
      </c>
      <c r="CY1183" t="str">
        <f>""</f>
        <v/>
      </c>
      <c r="CZ1183" t="str">
        <f>""</f>
        <v/>
      </c>
      <c r="DA1183" t="str">
        <f>""</f>
        <v/>
      </c>
      <c r="DB1183" t="str">
        <f>""</f>
        <v/>
      </c>
      <c r="DC1183" t="str">
        <f>""</f>
        <v/>
      </c>
      <c r="DD1183" t="str">
        <f>""</f>
        <v/>
      </c>
      <c r="DE1183" t="str">
        <f>""</f>
        <v/>
      </c>
      <c r="DF1183" t="str">
        <f>""</f>
        <v/>
      </c>
      <c r="DG1183" t="str">
        <f>""</f>
        <v/>
      </c>
      <c r="DH1183" t="str">
        <f>""</f>
        <v/>
      </c>
      <c r="DI1183" t="str">
        <f>""</f>
        <v/>
      </c>
      <c r="DJ1183" t="str">
        <f>""</f>
        <v/>
      </c>
      <c r="DK1183" t="str">
        <f>""</f>
        <v/>
      </c>
      <c r="DL1183" t="str">
        <f>""</f>
        <v/>
      </c>
      <c r="DM1183" t="str">
        <f>""</f>
        <v/>
      </c>
      <c r="DN1183" t="str">
        <f>""</f>
        <v/>
      </c>
      <c r="DO1183" t="str">
        <f>""</f>
        <v/>
      </c>
      <c r="DP1183" t="str">
        <f>""</f>
        <v/>
      </c>
      <c r="DQ1183" t="str">
        <f>""</f>
        <v/>
      </c>
      <c r="DR1183" t="str">
        <f>""</f>
        <v/>
      </c>
      <c r="DS1183" t="str">
        <f>""</f>
        <v/>
      </c>
      <c r="DT1183" t="str">
        <f>""</f>
        <v/>
      </c>
      <c r="DU1183" t="str">
        <f>""</f>
        <v/>
      </c>
    </row>
    <row r="1184" spans="1:125" x14ac:dyDescent="0.25">
      <c r="A1184" t="str">
        <f>$A$524</f>
        <v xml:space="preserve">    Peugeot SA</v>
      </c>
      <c r="B1184" t="str">
        <f>$B$524</f>
        <v>UG FP Equity</v>
      </c>
      <c r="C1184" t="str">
        <f>$C$524</f>
        <v>DV013</v>
      </c>
      <c r="D1184" t="str">
        <f>$D$524</f>
        <v>EQY_DVD_YLD_IND</v>
      </c>
      <c r="E1184" t="str">
        <f>$E$524</f>
        <v>Dynamic</v>
      </c>
      <c r="F1184" t="str">
        <f ca="1">_xll.BDH($B$524,$C$524,$B$675,$B$676,CONCATENATE("Per=",$B$673),"Dts=H","Dir=H",CONCATENATE("Points=",$B$674),"Sort=R","Days=A","Fill=B",CONCATENATE("FX=", $B$672) )</f>
        <v>#N/A Connection</v>
      </c>
      <c r="BN1184" t="str">
        <f>""</f>
        <v/>
      </c>
      <c r="BO1184" t="str">
        <f>""</f>
        <v/>
      </c>
      <c r="BP1184" t="str">
        <f>""</f>
        <v/>
      </c>
      <c r="BQ1184" t="str">
        <f>""</f>
        <v/>
      </c>
      <c r="BR1184" t="str">
        <f>""</f>
        <v/>
      </c>
      <c r="BS1184" t="str">
        <f>""</f>
        <v/>
      </c>
      <c r="BT1184" t="str">
        <f>""</f>
        <v/>
      </c>
      <c r="BU1184" t="str">
        <f>""</f>
        <v/>
      </c>
      <c r="BV1184" t="str">
        <f>""</f>
        <v/>
      </c>
      <c r="BW1184" t="str">
        <f>""</f>
        <v/>
      </c>
      <c r="BX1184" t="str">
        <f>""</f>
        <v/>
      </c>
      <c r="BY1184" t="str">
        <f>""</f>
        <v/>
      </c>
      <c r="BZ1184" t="str">
        <f>""</f>
        <v/>
      </c>
      <c r="CA1184" t="str">
        <f>""</f>
        <v/>
      </c>
      <c r="CB1184" t="str">
        <f>""</f>
        <v/>
      </c>
      <c r="CC1184" t="str">
        <f>""</f>
        <v/>
      </c>
      <c r="CD1184" t="str">
        <f>""</f>
        <v/>
      </c>
      <c r="CE1184" t="str">
        <f>""</f>
        <v/>
      </c>
      <c r="CF1184" t="str">
        <f>""</f>
        <v/>
      </c>
      <c r="CG1184" t="str">
        <f>""</f>
        <v/>
      </c>
      <c r="CH1184" t="str">
        <f>""</f>
        <v/>
      </c>
      <c r="CI1184" t="str">
        <f>""</f>
        <v/>
      </c>
      <c r="CJ1184" t="str">
        <f>""</f>
        <v/>
      </c>
      <c r="CK1184" t="str">
        <f>""</f>
        <v/>
      </c>
      <c r="CL1184" t="str">
        <f>""</f>
        <v/>
      </c>
      <c r="CM1184" t="str">
        <f>""</f>
        <v/>
      </c>
      <c r="CN1184" t="str">
        <f>""</f>
        <v/>
      </c>
      <c r="CO1184" t="str">
        <f>""</f>
        <v/>
      </c>
      <c r="CP1184" t="str">
        <f>""</f>
        <v/>
      </c>
      <c r="CQ1184" t="str">
        <f>""</f>
        <v/>
      </c>
      <c r="CR1184" t="str">
        <f>""</f>
        <v/>
      </c>
      <c r="CS1184" t="str">
        <f>""</f>
        <v/>
      </c>
      <c r="CT1184" t="str">
        <f>""</f>
        <v/>
      </c>
      <c r="CU1184" t="str">
        <f>""</f>
        <v/>
      </c>
      <c r="CV1184" t="str">
        <f>""</f>
        <v/>
      </c>
      <c r="CW1184" t="str">
        <f>""</f>
        <v/>
      </c>
      <c r="CX1184" t="str">
        <f>""</f>
        <v/>
      </c>
      <c r="CY1184" t="str">
        <f>""</f>
        <v/>
      </c>
      <c r="CZ1184" t="str">
        <f>""</f>
        <v/>
      </c>
      <c r="DA1184" t="str">
        <f>""</f>
        <v/>
      </c>
      <c r="DB1184" t="str">
        <f>""</f>
        <v/>
      </c>
      <c r="DC1184" t="str">
        <f>""</f>
        <v/>
      </c>
      <c r="DD1184" t="str">
        <f>""</f>
        <v/>
      </c>
      <c r="DE1184" t="str">
        <f>""</f>
        <v/>
      </c>
      <c r="DF1184" t="str">
        <f>""</f>
        <v/>
      </c>
      <c r="DG1184" t="str">
        <f>""</f>
        <v/>
      </c>
      <c r="DH1184" t="str">
        <f>""</f>
        <v/>
      </c>
      <c r="DI1184" t="str">
        <f>""</f>
        <v/>
      </c>
      <c r="DJ1184" t="str">
        <f>""</f>
        <v/>
      </c>
      <c r="DK1184" t="str">
        <f>""</f>
        <v/>
      </c>
      <c r="DL1184" t="str">
        <f>""</f>
        <v/>
      </c>
      <c r="DM1184" t="str">
        <f>""</f>
        <v/>
      </c>
      <c r="DN1184" t="str">
        <f>""</f>
        <v/>
      </c>
      <c r="DO1184" t="str">
        <f>""</f>
        <v/>
      </c>
      <c r="DP1184" t="str">
        <f>""</f>
        <v/>
      </c>
      <c r="DQ1184" t="str">
        <f>""</f>
        <v/>
      </c>
      <c r="DR1184" t="str">
        <f>""</f>
        <v/>
      </c>
      <c r="DS1184" t="str">
        <f>""</f>
        <v/>
      </c>
      <c r="DT1184" t="str">
        <f>""</f>
        <v/>
      </c>
      <c r="DU1184" t="str">
        <f>""</f>
        <v/>
      </c>
    </row>
    <row r="1185" spans="1:125" x14ac:dyDescent="0.25">
      <c r="A1185" t="str">
        <f>$A$525</f>
        <v xml:space="preserve">    Renault SA</v>
      </c>
      <c r="B1185" t="str">
        <f>$B$525</f>
        <v>RNO FP Equity</v>
      </c>
      <c r="C1185" t="str">
        <f>$C$525</f>
        <v>DV013</v>
      </c>
      <c r="D1185" t="str">
        <f>$D$525</f>
        <v>EQY_DVD_YLD_IND</v>
      </c>
      <c r="E1185" t="str">
        <f>$E$525</f>
        <v>Dynamic</v>
      </c>
      <c r="F1185" t="str">
        <f ca="1">_xll.BDH($B$525,$C$525,$B$675,$B$676,CONCATENATE("Per=",$B$673),"Dts=H","Dir=H",CONCATENATE("Points=",$B$674),"Sort=R","Days=A","Fill=B",CONCATENATE("FX=", $B$672) )</f>
        <v>#N/A Connection</v>
      </c>
      <c r="BN1185" t="str">
        <f>""</f>
        <v/>
      </c>
      <c r="BO1185" t="str">
        <f>""</f>
        <v/>
      </c>
      <c r="BP1185" t="str">
        <f>""</f>
        <v/>
      </c>
      <c r="BQ1185" t="str">
        <f>""</f>
        <v/>
      </c>
      <c r="BR1185" t="str">
        <f>""</f>
        <v/>
      </c>
      <c r="BS1185" t="str">
        <f>""</f>
        <v/>
      </c>
      <c r="BT1185" t="str">
        <f>""</f>
        <v/>
      </c>
      <c r="BU1185" t="str">
        <f>""</f>
        <v/>
      </c>
      <c r="BV1185" t="str">
        <f>""</f>
        <v/>
      </c>
      <c r="BW1185" t="str">
        <f>""</f>
        <v/>
      </c>
      <c r="BX1185" t="str">
        <f>""</f>
        <v/>
      </c>
      <c r="BY1185" t="str">
        <f>""</f>
        <v/>
      </c>
      <c r="BZ1185" t="str">
        <f>""</f>
        <v/>
      </c>
      <c r="CA1185" t="str">
        <f>""</f>
        <v/>
      </c>
      <c r="CB1185" t="str">
        <f>""</f>
        <v/>
      </c>
      <c r="CC1185" t="str">
        <f>""</f>
        <v/>
      </c>
      <c r="CD1185" t="str">
        <f>""</f>
        <v/>
      </c>
      <c r="CE1185" t="str">
        <f>""</f>
        <v/>
      </c>
      <c r="CF1185" t="str">
        <f>""</f>
        <v/>
      </c>
      <c r="CG1185" t="str">
        <f>""</f>
        <v/>
      </c>
      <c r="CH1185" t="str">
        <f>""</f>
        <v/>
      </c>
      <c r="CI1185" t="str">
        <f>""</f>
        <v/>
      </c>
      <c r="CJ1185" t="str">
        <f>""</f>
        <v/>
      </c>
      <c r="CK1185" t="str">
        <f>""</f>
        <v/>
      </c>
      <c r="CL1185" t="str">
        <f>""</f>
        <v/>
      </c>
      <c r="CM1185" t="str">
        <f>""</f>
        <v/>
      </c>
      <c r="CN1185" t="str">
        <f>""</f>
        <v/>
      </c>
      <c r="CO1185" t="str">
        <f>""</f>
        <v/>
      </c>
      <c r="CP1185" t="str">
        <f>""</f>
        <v/>
      </c>
      <c r="CQ1185" t="str">
        <f>""</f>
        <v/>
      </c>
      <c r="CR1185" t="str">
        <f>""</f>
        <v/>
      </c>
      <c r="CS1185" t="str">
        <f>""</f>
        <v/>
      </c>
      <c r="CT1185" t="str">
        <f>""</f>
        <v/>
      </c>
      <c r="CU1185" t="str">
        <f>""</f>
        <v/>
      </c>
      <c r="CV1185" t="str">
        <f>""</f>
        <v/>
      </c>
      <c r="CW1185" t="str">
        <f>""</f>
        <v/>
      </c>
      <c r="CX1185" t="str">
        <f>""</f>
        <v/>
      </c>
      <c r="CY1185" t="str">
        <f>""</f>
        <v/>
      </c>
      <c r="CZ1185" t="str">
        <f>""</f>
        <v/>
      </c>
      <c r="DA1185" t="str">
        <f>""</f>
        <v/>
      </c>
      <c r="DB1185" t="str">
        <f>""</f>
        <v/>
      </c>
      <c r="DC1185" t="str">
        <f>""</f>
        <v/>
      </c>
      <c r="DD1185" t="str">
        <f>""</f>
        <v/>
      </c>
      <c r="DE1185" t="str">
        <f>""</f>
        <v/>
      </c>
      <c r="DF1185" t="str">
        <f>""</f>
        <v/>
      </c>
      <c r="DG1185" t="str">
        <f>""</f>
        <v/>
      </c>
      <c r="DH1185" t="str">
        <f>""</f>
        <v/>
      </c>
      <c r="DI1185" t="str">
        <f>""</f>
        <v/>
      </c>
      <c r="DJ1185" t="str">
        <f>""</f>
        <v/>
      </c>
      <c r="DK1185" t="str">
        <f>""</f>
        <v/>
      </c>
      <c r="DL1185" t="str">
        <f>""</f>
        <v/>
      </c>
      <c r="DM1185" t="str">
        <f>""</f>
        <v/>
      </c>
      <c r="DN1185" t="str">
        <f>""</f>
        <v/>
      </c>
      <c r="DO1185" t="str">
        <f>""</f>
        <v/>
      </c>
      <c r="DP1185" t="str">
        <f>""</f>
        <v/>
      </c>
      <c r="DQ1185" t="str">
        <f>""</f>
        <v/>
      </c>
      <c r="DR1185" t="str">
        <f>""</f>
        <v/>
      </c>
      <c r="DS1185" t="str">
        <f>""</f>
        <v/>
      </c>
      <c r="DT1185" t="str">
        <f>""</f>
        <v/>
      </c>
      <c r="DU1185" t="str">
        <f>""</f>
        <v/>
      </c>
    </row>
    <row r="1186" spans="1:125" x14ac:dyDescent="0.25">
      <c r="A1186" t="str">
        <f>$A$526</f>
        <v xml:space="preserve">    SAIC Motor Corp Ltd</v>
      </c>
      <c r="B1186" t="str">
        <f>$B$526</f>
        <v>600104 CH Equity</v>
      </c>
      <c r="C1186" t="str">
        <f>$C$526</f>
        <v>DV013</v>
      </c>
      <c r="D1186" t="str">
        <f>$D$526</f>
        <v>EQY_DVD_YLD_IND</v>
      </c>
      <c r="E1186" t="str">
        <f>$E$526</f>
        <v>Dynamic</v>
      </c>
      <c r="F1186" t="str">
        <f ca="1">_xll.BDH($B$526,$C$526,$B$675,$B$676,CONCATENATE("Per=",$B$673),"Dts=H","Dir=H",CONCATENATE("Points=",$B$674),"Sort=R","Days=A","Fill=B",CONCATENATE("FX=", $B$672) )</f>
        <v>#N/A Connection</v>
      </c>
      <c r="BN1186" t="str">
        <f>""</f>
        <v/>
      </c>
      <c r="BO1186" t="str">
        <f>""</f>
        <v/>
      </c>
      <c r="BP1186" t="str">
        <f>""</f>
        <v/>
      </c>
      <c r="BQ1186" t="str">
        <f>""</f>
        <v/>
      </c>
      <c r="BR1186" t="str">
        <f>""</f>
        <v/>
      </c>
      <c r="BS1186" t="str">
        <f>""</f>
        <v/>
      </c>
      <c r="BT1186" t="str">
        <f>""</f>
        <v/>
      </c>
      <c r="BU1186" t="str">
        <f>""</f>
        <v/>
      </c>
      <c r="BV1186" t="str">
        <f>""</f>
        <v/>
      </c>
      <c r="BW1186" t="str">
        <f>""</f>
        <v/>
      </c>
      <c r="BX1186" t="str">
        <f>""</f>
        <v/>
      </c>
      <c r="BY1186" t="str">
        <f>""</f>
        <v/>
      </c>
      <c r="BZ1186" t="str">
        <f>""</f>
        <v/>
      </c>
      <c r="CA1186" t="str">
        <f>""</f>
        <v/>
      </c>
      <c r="CB1186" t="str">
        <f>""</f>
        <v/>
      </c>
      <c r="CC1186" t="str">
        <f>""</f>
        <v/>
      </c>
      <c r="CD1186" t="str">
        <f>""</f>
        <v/>
      </c>
      <c r="CE1186" t="str">
        <f>""</f>
        <v/>
      </c>
      <c r="CF1186" t="str">
        <f>""</f>
        <v/>
      </c>
      <c r="CG1186" t="str">
        <f>""</f>
        <v/>
      </c>
      <c r="CH1186" t="str">
        <f>""</f>
        <v/>
      </c>
      <c r="CI1186" t="str">
        <f>""</f>
        <v/>
      </c>
      <c r="CJ1186" t="str">
        <f>""</f>
        <v/>
      </c>
      <c r="CK1186" t="str">
        <f>""</f>
        <v/>
      </c>
      <c r="CL1186" t="str">
        <f>""</f>
        <v/>
      </c>
      <c r="CM1186" t="str">
        <f>""</f>
        <v/>
      </c>
      <c r="CN1186" t="str">
        <f>""</f>
        <v/>
      </c>
      <c r="CO1186" t="str">
        <f>""</f>
        <v/>
      </c>
      <c r="CP1186" t="str">
        <f>""</f>
        <v/>
      </c>
      <c r="CQ1186" t="str">
        <f>""</f>
        <v/>
      </c>
      <c r="CR1186" t="str">
        <f>""</f>
        <v/>
      </c>
      <c r="CS1186" t="str">
        <f>""</f>
        <v/>
      </c>
      <c r="CT1186" t="str">
        <f>""</f>
        <v/>
      </c>
      <c r="CU1186" t="str">
        <f>""</f>
        <v/>
      </c>
      <c r="CV1186" t="str">
        <f>""</f>
        <v/>
      </c>
      <c r="CW1186" t="str">
        <f>""</f>
        <v/>
      </c>
      <c r="CX1186" t="str">
        <f>""</f>
        <v/>
      </c>
      <c r="CY1186" t="str">
        <f>""</f>
        <v/>
      </c>
      <c r="CZ1186" t="str">
        <f>""</f>
        <v/>
      </c>
      <c r="DA1186" t="str">
        <f>""</f>
        <v/>
      </c>
      <c r="DB1186" t="str">
        <f>""</f>
        <v/>
      </c>
      <c r="DC1186" t="str">
        <f>""</f>
        <v/>
      </c>
      <c r="DD1186" t="str">
        <f>""</f>
        <v/>
      </c>
      <c r="DE1186" t="str">
        <f>""</f>
        <v/>
      </c>
      <c r="DF1186" t="str">
        <f>""</f>
        <v/>
      </c>
      <c r="DG1186" t="str">
        <f>""</f>
        <v/>
      </c>
      <c r="DH1186" t="str">
        <f>""</f>
        <v/>
      </c>
      <c r="DI1186" t="str">
        <f>""</f>
        <v/>
      </c>
      <c r="DJ1186" t="str">
        <f>""</f>
        <v/>
      </c>
      <c r="DK1186" t="str">
        <f>""</f>
        <v/>
      </c>
      <c r="DL1186" t="str">
        <f>""</f>
        <v/>
      </c>
      <c r="DM1186" t="str">
        <f>""</f>
        <v/>
      </c>
      <c r="DN1186" t="str">
        <f>""</f>
        <v/>
      </c>
      <c r="DO1186" t="str">
        <f>""</f>
        <v/>
      </c>
      <c r="DP1186" t="str">
        <f>""</f>
        <v/>
      </c>
      <c r="DQ1186" t="str">
        <f>""</f>
        <v/>
      </c>
      <c r="DR1186" t="str">
        <f>""</f>
        <v/>
      </c>
      <c r="DS1186" t="str">
        <f>""</f>
        <v/>
      </c>
      <c r="DT1186" t="str">
        <f>""</f>
        <v/>
      </c>
      <c r="DU1186" t="str">
        <f>""</f>
        <v/>
      </c>
    </row>
    <row r="1187" spans="1:125" x14ac:dyDescent="0.25">
      <c r="A1187" t="str">
        <f>$A$527</f>
        <v xml:space="preserve">    Sanyang Motor Co Ltd</v>
      </c>
      <c r="B1187" t="str">
        <f>$B$527</f>
        <v>2206 TT Equity</v>
      </c>
      <c r="C1187" t="str">
        <f>$C$527</f>
        <v>DV013</v>
      </c>
      <c r="D1187" t="str">
        <f>$D$527</f>
        <v>EQY_DVD_YLD_IND</v>
      </c>
      <c r="E1187" t="str">
        <f>$E$527</f>
        <v>Dynamic</v>
      </c>
      <c r="F1187" t="str">
        <f ca="1">_xll.BDH($B$527,$C$527,$B$675,$B$676,CONCATENATE("Per=",$B$673),"Dts=H","Dir=H",CONCATENATE("Points=",$B$674),"Sort=R","Days=A","Fill=B",CONCATENATE("FX=", $B$672) )</f>
        <v>#N/A Connection</v>
      </c>
      <c r="BN1187" t="str">
        <f>""</f>
        <v/>
      </c>
      <c r="BO1187" t="str">
        <f>""</f>
        <v/>
      </c>
      <c r="BP1187" t="str">
        <f>""</f>
        <v/>
      </c>
      <c r="BQ1187" t="str">
        <f>""</f>
        <v/>
      </c>
      <c r="BR1187" t="str">
        <f>""</f>
        <v/>
      </c>
      <c r="BS1187" t="str">
        <f>""</f>
        <v/>
      </c>
      <c r="BT1187" t="str">
        <f>""</f>
        <v/>
      </c>
      <c r="BU1187" t="str">
        <f>""</f>
        <v/>
      </c>
      <c r="BV1187" t="str">
        <f>""</f>
        <v/>
      </c>
      <c r="BW1187" t="str">
        <f>""</f>
        <v/>
      </c>
      <c r="BX1187" t="str">
        <f>""</f>
        <v/>
      </c>
      <c r="BY1187" t="str">
        <f>""</f>
        <v/>
      </c>
      <c r="BZ1187" t="str">
        <f>""</f>
        <v/>
      </c>
      <c r="CA1187" t="str">
        <f>""</f>
        <v/>
      </c>
      <c r="CB1187" t="str">
        <f>""</f>
        <v/>
      </c>
      <c r="CC1187" t="str">
        <f>""</f>
        <v/>
      </c>
      <c r="CD1187" t="str">
        <f>""</f>
        <v/>
      </c>
      <c r="CE1187" t="str">
        <f>""</f>
        <v/>
      </c>
      <c r="CF1187" t="str">
        <f>""</f>
        <v/>
      </c>
      <c r="CG1187" t="str">
        <f>""</f>
        <v/>
      </c>
      <c r="CH1187" t="str">
        <f>""</f>
        <v/>
      </c>
      <c r="CI1187" t="str">
        <f>""</f>
        <v/>
      </c>
      <c r="CJ1187" t="str">
        <f>""</f>
        <v/>
      </c>
      <c r="CK1187" t="str">
        <f>""</f>
        <v/>
      </c>
      <c r="CL1187" t="str">
        <f>""</f>
        <v/>
      </c>
      <c r="CM1187" t="str">
        <f>""</f>
        <v/>
      </c>
      <c r="CN1187" t="str">
        <f>""</f>
        <v/>
      </c>
      <c r="CO1187" t="str">
        <f>""</f>
        <v/>
      </c>
      <c r="CP1187" t="str">
        <f>""</f>
        <v/>
      </c>
      <c r="CQ1187" t="str">
        <f>""</f>
        <v/>
      </c>
      <c r="CR1187" t="str">
        <f>""</f>
        <v/>
      </c>
      <c r="CS1187" t="str">
        <f>""</f>
        <v/>
      </c>
      <c r="CT1187" t="str">
        <f>""</f>
        <v/>
      </c>
      <c r="CU1187" t="str">
        <f>""</f>
        <v/>
      </c>
      <c r="CV1187" t="str">
        <f>""</f>
        <v/>
      </c>
      <c r="CW1187" t="str">
        <f>""</f>
        <v/>
      </c>
      <c r="CX1187" t="str">
        <f>""</f>
        <v/>
      </c>
      <c r="CY1187" t="str">
        <f>""</f>
        <v/>
      </c>
      <c r="CZ1187" t="str">
        <f>""</f>
        <v/>
      </c>
      <c r="DA1187" t="str">
        <f>""</f>
        <v/>
      </c>
      <c r="DB1187" t="str">
        <f>""</f>
        <v/>
      </c>
      <c r="DC1187" t="str">
        <f>""</f>
        <v/>
      </c>
      <c r="DD1187" t="str">
        <f>""</f>
        <v/>
      </c>
      <c r="DE1187" t="str">
        <f>""</f>
        <v/>
      </c>
      <c r="DF1187" t="str">
        <f>""</f>
        <v/>
      </c>
      <c r="DG1187" t="str">
        <f>""</f>
        <v/>
      </c>
      <c r="DH1187" t="str">
        <f>""</f>
        <v/>
      </c>
      <c r="DI1187" t="str">
        <f>""</f>
        <v/>
      </c>
      <c r="DJ1187" t="str">
        <f>""</f>
        <v/>
      </c>
      <c r="DK1187" t="str">
        <f>""</f>
        <v/>
      </c>
      <c r="DL1187" t="str">
        <f>""</f>
        <v/>
      </c>
      <c r="DM1187" t="str">
        <f>""</f>
        <v/>
      </c>
      <c r="DN1187" t="str">
        <f>""</f>
        <v/>
      </c>
      <c r="DO1187" t="str">
        <f>""</f>
        <v/>
      </c>
      <c r="DP1187" t="str">
        <f>""</f>
        <v/>
      </c>
      <c r="DQ1187" t="str">
        <f>""</f>
        <v/>
      </c>
      <c r="DR1187" t="str">
        <f>""</f>
        <v/>
      </c>
      <c r="DS1187" t="str">
        <f>""</f>
        <v/>
      </c>
      <c r="DT1187" t="str">
        <f>""</f>
        <v/>
      </c>
      <c r="DU1187" t="str">
        <f>""</f>
        <v/>
      </c>
    </row>
    <row r="1188" spans="1:125" x14ac:dyDescent="0.25">
      <c r="A1188" t="str">
        <f>$A$528</f>
        <v xml:space="preserve">    Sollers PJSC</v>
      </c>
      <c r="B1188" t="str">
        <f>$B$528</f>
        <v>SVAV RM Equity</v>
      </c>
      <c r="C1188" t="str">
        <f>$C$528</f>
        <v>DV013</v>
      </c>
      <c r="D1188" t="str">
        <f>$D$528</f>
        <v>EQY_DVD_YLD_IND</v>
      </c>
      <c r="E1188" t="str">
        <f>$E$528</f>
        <v>Dynamic</v>
      </c>
      <c r="F1188" t="str">
        <f ca="1">_xll.BDH($B$528,$C$528,$B$675,$B$676,CONCATENATE("Per=",$B$673),"Dts=H","Dir=H",CONCATENATE("Points=",$B$674),"Sort=R","Days=A","Fill=B",CONCATENATE("FX=", $B$672) )</f>
        <v>#N/A Connection</v>
      </c>
      <c r="BN1188" t="str">
        <f>""</f>
        <v/>
      </c>
      <c r="BO1188" t="str">
        <f>""</f>
        <v/>
      </c>
      <c r="BP1188" t="str">
        <f>""</f>
        <v/>
      </c>
      <c r="BQ1188" t="str">
        <f>""</f>
        <v/>
      </c>
      <c r="BR1188" t="str">
        <f>""</f>
        <v/>
      </c>
      <c r="BS1188" t="str">
        <f>""</f>
        <v/>
      </c>
      <c r="BT1188" t="str">
        <f>""</f>
        <v/>
      </c>
      <c r="BU1188" t="str">
        <f>""</f>
        <v/>
      </c>
      <c r="BV1188" t="str">
        <f>""</f>
        <v/>
      </c>
      <c r="BW1188" t="str">
        <f>""</f>
        <v/>
      </c>
      <c r="BX1188" t="str">
        <f>""</f>
        <v/>
      </c>
      <c r="BY1188" t="str">
        <f>""</f>
        <v/>
      </c>
      <c r="BZ1188" t="str">
        <f>""</f>
        <v/>
      </c>
      <c r="CA1188" t="str">
        <f>""</f>
        <v/>
      </c>
      <c r="CB1188" t="str">
        <f>""</f>
        <v/>
      </c>
      <c r="CC1188" t="str">
        <f>""</f>
        <v/>
      </c>
      <c r="CD1188" t="str">
        <f>""</f>
        <v/>
      </c>
      <c r="CE1188" t="str">
        <f>""</f>
        <v/>
      </c>
      <c r="CF1188" t="str">
        <f>""</f>
        <v/>
      </c>
      <c r="CG1188" t="str">
        <f>""</f>
        <v/>
      </c>
      <c r="CH1188" t="str">
        <f>""</f>
        <v/>
      </c>
      <c r="CI1188" t="str">
        <f>""</f>
        <v/>
      </c>
      <c r="CJ1188" t="str">
        <f>""</f>
        <v/>
      </c>
      <c r="CK1188" t="str">
        <f>""</f>
        <v/>
      </c>
      <c r="CL1188" t="str">
        <f>""</f>
        <v/>
      </c>
      <c r="CM1188" t="str">
        <f>""</f>
        <v/>
      </c>
      <c r="CN1188" t="str">
        <f>""</f>
        <v/>
      </c>
      <c r="CO1188" t="str">
        <f>""</f>
        <v/>
      </c>
      <c r="CP1188" t="str">
        <f>""</f>
        <v/>
      </c>
      <c r="CQ1188" t="str">
        <f>""</f>
        <v/>
      </c>
      <c r="CR1188" t="str">
        <f>""</f>
        <v/>
      </c>
      <c r="CS1188" t="str">
        <f>""</f>
        <v/>
      </c>
      <c r="CT1188" t="str">
        <f>""</f>
        <v/>
      </c>
      <c r="CU1188" t="str">
        <f>""</f>
        <v/>
      </c>
      <c r="CV1188" t="str">
        <f>""</f>
        <v/>
      </c>
      <c r="CW1188" t="str">
        <f>""</f>
        <v/>
      </c>
      <c r="CX1188" t="str">
        <f>""</f>
        <v/>
      </c>
      <c r="CY1188" t="str">
        <f>""</f>
        <v/>
      </c>
      <c r="CZ1188" t="str">
        <f>""</f>
        <v/>
      </c>
      <c r="DA1188" t="str">
        <f>""</f>
        <v/>
      </c>
      <c r="DB1188" t="str">
        <f>""</f>
        <v/>
      </c>
      <c r="DC1188" t="str">
        <f>""</f>
        <v/>
      </c>
      <c r="DD1188" t="str">
        <f>""</f>
        <v/>
      </c>
      <c r="DE1188" t="str">
        <f>""</f>
        <v/>
      </c>
      <c r="DF1188" t="str">
        <f>""</f>
        <v/>
      </c>
      <c r="DG1188" t="str">
        <f>""</f>
        <v/>
      </c>
      <c r="DH1188" t="str">
        <f>""</f>
        <v/>
      </c>
      <c r="DI1188" t="str">
        <f>""</f>
        <v/>
      </c>
      <c r="DJ1188" t="str">
        <f>""</f>
        <v/>
      </c>
      <c r="DK1188" t="str">
        <f>""</f>
        <v/>
      </c>
      <c r="DL1188" t="str">
        <f>""</f>
        <v/>
      </c>
      <c r="DM1188" t="str">
        <f>""</f>
        <v/>
      </c>
      <c r="DN1188" t="str">
        <f>""</f>
        <v/>
      </c>
      <c r="DO1188" t="str">
        <f>""</f>
        <v/>
      </c>
      <c r="DP1188" t="str">
        <f>""</f>
        <v/>
      </c>
      <c r="DQ1188" t="str">
        <f>""</f>
        <v/>
      </c>
      <c r="DR1188" t="str">
        <f>""</f>
        <v/>
      </c>
      <c r="DS1188" t="str">
        <f>""</f>
        <v/>
      </c>
      <c r="DT1188" t="str">
        <f>""</f>
        <v/>
      </c>
      <c r="DU1188" t="str">
        <f>""</f>
        <v/>
      </c>
    </row>
    <row r="1189" spans="1:125" x14ac:dyDescent="0.25">
      <c r="A1189" t="str">
        <f>$A$529</f>
        <v xml:space="preserve">    Ssangyong Motor Co</v>
      </c>
      <c r="B1189" t="str">
        <f>$B$529</f>
        <v>003620 KS Equity</v>
      </c>
      <c r="C1189" t="str">
        <f>$C$529</f>
        <v>DV013</v>
      </c>
      <c r="D1189" t="str">
        <f>$D$529</f>
        <v>EQY_DVD_YLD_IND</v>
      </c>
      <c r="E1189" t="str">
        <f>$E$529</f>
        <v>Dynamic</v>
      </c>
      <c r="F1189" t="str">
        <f ca="1">_xll.BDH($B$529,$C$529,$B$675,$B$676,CONCATENATE("Per=",$B$673),"Dts=H","Dir=H",CONCATENATE("Points=",$B$674),"Sort=R","Days=A","Fill=B",CONCATENATE("FX=", $B$672) )</f>
        <v>#N/A Connection</v>
      </c>
      <c r="BN1189" t="str">
        <f>""</f>
        <v/>
      </c>
      <c r="BO1189" t="str">
        <f>""</f>
        <v/>
      </c>
      <c r="BP1189" t="str">
        <f>""</f>
        <v/>
      </c>
      <c r="BQ1189" t="str">
        <f>""</f>
        <v/>
      </c>
      <c r="BR1189" t="str">
        <f>""</f>
        <v/>
      </c>
      <c r="BS1189" t="str">
        <f>""</f>
        <v/>
      </c>
      <c r="BT1189" t="str">
        <f>""</f>
        <v/>
      </c>
      <c r="BU1189" t="str">
        <f>""</f>
        <v/>
      </c>
      <c r="BV1189" t="str">
        <f>""</f>
        <v/>
      </c>
      <c r="BW1189" t="str">
        <f>""</f>
        <v/>
      </c>
      <c r="BX1189" t="str">
        <f>""</f>
        <v/>
      </c>
      <c r="BY1189" t="str">
        <f>""</f>
        <v/>
      </c>
      <c r="BZ1189" t="str">
        <f>""</f>
        <v/>
      </c>
      <c r="CA1189" t="str">
        <f>""</f>
        <v/>
      </c>
      <c r="CB1189" t="str">
        <f>""</f>
        <v/>
      </c>
      <c r="CC1189" t="str">
        <f>""</f>
        <v/>
      </c>
      <c r="CD1189" t="str">
        <f>""</f>
        <v/>
      </c>
      <c r="CE1189" t="str">
        <f>""</f>
        <v/>
      </c>
      <c r="CF1189" t="str">
        <f>""</f>
        <v/>
      </c>
      <c r="CG1189" t="str">
        <f>""</f>
        <v/>
      </c>
      <c r="CH1189" t="str">
        <f>""</f>
        <v/>
      </c>
      <c r="CI1189" t="str">
        <f>""</f>
        <v/>
      </c>
      <c r="CJ1189" t="str">
        <f>""</f>
        <v/>
      </c>
      <c r="CK1189" t="str">
        <f>""</f>
        <v/>
      </c>
      <c r="CL1189" t="str">
        <f>""</f>
        <v/>
      </c>
      <c r="CM1189" t="str">
        <f>""</f>
        <v/>
      </c>
      <c r="CN1189" t="str">
        <f>""</f>
        <v/>
      </c>
      <c r="CO1189" t="str">
        <f>""</f>
        <v/>
      </c>
      <c r="CP1189" t="str">
        <f>""</f>
        <v/>
      </c>
      <c r="CQ1189" t="str">
        <f>""</f>
        <v/>
      </c>
      <c r="CR1189" t="str">
        <f>""</f>
        <v/>
      </c>
      <c r="CS1189" t="str">
        <f>""</f>
        <v/>
      </c>
      <c r="CT1189" t="str">
        <f>""</f>
        <v/>
      </c>
      <c r="CU1189" t="str">
        <f>""</f>
        <v/>
      </c>
      <c r="CV1189" t="str">
        <f>""</f>
        <v/>
      </c>
      <c r="CW1189" t="str">
        <f>""</f>
        <v/>
      </c>
      <c r="CX1189" t="str">
        <f>""</f>
        <v/>
      </c>
      <c r="CY1189" t="str">
        <f>""</f>
        <v/>
      </c>
      <c r="CZ1189" t="str">
        <f>""</f>
        <v/>
      </c>
      <c r="DA1189" t="str">
        <f>""</f>
        <v/>
      </c>
      <c r="DB1189" t="str">
        <f>""</f>
        <v/>
      </c>
      <c r="DC1189" t="str">
        <f>""</f>
        <v/>
      </c>
      <c r="DD1189" t="str">
        <f>""</f>
        <v/>
      </c>
      <c r="DE1189" t="str">
        <f>""</f>
        <v/>
      </c>
      <c r="DF1189" t="str">
        <f>""</f>
        <v/>
      </c>
      <c r="DG1189" t="str">
        <f>""</f>
        <v/>
      </c>
      <c r="DH1189" t="str">
        <f>""</f>
        <v/>
      </c>
      <c r="DI1189" t="str">
        <f>""</f>
        <v/>
      </c>
      <c r="DJ1189" t="str">
        <f>""</f>
        <v/>
      </c>
      <c r="DK1189" t="str">
        <f>""</f>
        <v/>
      </c>
      <c r="DL1189" t="str">
        <f>""</f>
        <v/>
      </c>
      <c r="DM1189" t="str">
        <f>""</f>
        <v/>
      </c>
      <c r="DN1189" t="str">
        <f>""</f>
        <v/>
      </c>
      <c r="DO1189" t="str">
        <f>""</f>
        <v/>
      </c>
      <c r="DP1189" t="str">
        <f>""</f>
        <v/>
      </c>
      <c r="DQ1189" t="str">
        <f>""</f>
        <v/>
      </c>
      <c r="DR1189" t="str">
        <f>""</f>
        <v/>
      </c>
      <c r="DS1189" t="str">
        <f>""</f>
        <v/>
      </c>
      <c r="DT1189" t="str">
        <f>""</f>
        <v/>
      </c>
      <c r="DU1189" t="str">
        <f>""</f>
        <v/>
      </c>
    </row>
    <row r="1190" spans="1:125" x14ac:dyDescent="0.25">
      <c r="A1190" t="str">
        <f>$A$530</f>
        <v xml:space="preserve">    Subaru Corp</v>
      </c>
      <c r="B1190" t="str">
        <f>$B$530</f>
        <v>7270 JP Equity</v>
      </c>
      <c r="C1190" t="str">
        <f>$C$530</f>
        <v>DV013</v>
      </c>
      <c r="D1190" t="str">
        <f>$D$530</f>
        <v>EQY_DVD_YLD_IND</v>
      </c>
      <c r="E1190" t="str">
        <f>$E$530</f>
        <v>Dynamic</v>
      </c>
      <c r="F1190" t="str">
        <f ca="1">_xll.BDH($B$530,$C$530,$B$675,$B$676,CONCATENATE("Per=",$B$673),"Dts=H","Dir=H",CONCATENATE("Points=",$B$674),"Sort=R","Days=A","Fill=B",CONCATENATE("FX=", $B$672) )</f>
        <v>#N/A Connection</v>
      </c>
      <c r="BN1190" t="str">
        <f>""</f>
        <v/>
      </c>
      <c r="BO1190" t="str">
        <f>""</f>
        <v/>
      </c>
      <c r="BP1190" t="str">
        <f>""</f>
        <v/>
      </c>
      <c r="BQ1190" t="str">
        <f>""</f>
        <v/>
      </c>
      <c r="BR1190" t="str">
        <f>""</f>
        <v/>
      </c>
      <c r="BS1190" t="str">
        <f>""</f>
        <v/>
      </c>
      <c r="BT1190" t="str">
        <f>""</f>
        <v/>
      </c>
      <c r="BU1190" t="str">
        <f>""</f>
        <v/>
      </c>
      <c r="BV1190" t="str">
        <f>""</f>
        <v/>
      </c>
      <c r="BW1190" t="str">
        <f>""</f>
        <v/>
      </c>
      <c r="BX1190" t="str">
        <f>""</f>
        <v/>
      </c>
      <c r="BY1190" t="str">
        <f>""</f>
        <v/>
      </c>
      <c r="BZ1190" t="str">
        <f>""</f>
        <v/>
      </c>
      <c r="CA1190" t="str">
        <f>""</f>
        <v/>
      </c>
      <c r="CB1190" t="str">
        <f>""</f>
        <v/>
      </c>
      <c r="CC1190" t="str">
        <f>""</f>
        <v/>
      </c>
      <c r="CD1190" t="str">
        <f>""</f>
        <v/>
      </c>
      <c r="CE1190" t="str">
        <f>""</f>
        <v/>
      </c>
      <c r="CF1190" t="str">
        <f>""</f>
        <v/>
      </c>
      <c r="CG1190" t="str">
        <f>""</f>
        <v/>
      </c>
      <c r="CH1190" t="str">
        <f>""</f>
        <v/>
      </c>
      <c r="CI1190" t="str">
        <f>""</f>
        <v/>
      </c>
      <c r="CJ1190" t="str">
        <f>""</f>
        <v/>
      </c>
      <c r="CK1190" t="str">
        <f>""</f>
        <v/>
      </c>
      <c r="CL1190" t="str">
        <f>""</f>
        <v/>
      </c>
      <c r="CM1190" t="str">
        <f>""</f>
        <v/>
      </c>
      <c r="CN1190" t="str">
        <f>""</f>
        <v/>
      </c>
      <c r="CO1190" t="str">
        <f>""</f>
        <v/>
      </c>
      <c r="CP1190" t="str">
        <f>""</f>
        <v/>
      </c>
      <c r="CQ1190" t="str">
        <f>""</f>
        <v/>
      </c>
      <c r="CR1190" t="str">
        <f>""</f>
        <v/>
      </c>
      <c r="CS1190" t="str">
        <f>""</f>
        <v/>
      </c>
      <c r="CT1190" t="str">
        <f>""</f>
        <v/>
      </c>
      <c r="CU1190" t="str">
        <f>""</f>
        <v/>
      </c>
      <c r="CV1190" t="str">
        <f>""</f>
        <v/>
      </c>
      <c r="CW1190" t="str">
        <f>""</f>
        <v/>
      </c>
      <c r="CX1190" t="str">
        <f>""</f>
        <v/>
      </c>
      <c r="CY1190" t="str">
        <f>""</f>
        <v/>
      </c>
      <c r="CZ1190" t="str">
        <f>""</f>
        <v/>
      </c>
      <c r="DA1190" t="str">
        <f>""</f>
        <v/>
      </c>
      <c r="DB1190" t="str">
        <f>""</f>
        <v/>
      </c>
      <c r="DC1190" t="str">
        <f>""</f>
        <v/>
      </c>
      <c r="DD1190" t="str">
        <f>""</f>
        <v/>
      </c>
      <c r="DE1190" t="str">
        <f>""</f>
        <v/>
      </c>
      <c r="DF1190" t="str">
        <f>""</f>
        <v/>
      </c>
      <c r="DG1190" t="str">
        <f>""</f>
        <v/>
      </c>
      <c r="DH1190" t="str">
        <f>""</f>
        <v/>
      </c>
      <c r="DI1190" t="str">
        <f>""</f>
        <v/>
      </c>
      <c r="DJ1190" t="str">
        <f>""</f>
        <v/>
      </c>
      <c r="DK1190" t="str">
        <f>""</f>
        <v/>
      </c>
      <c r="DL1190" t="str">
        <f>""</f>
        <v/>
      </c>
      <c r="DM1190" t="str">
        <f>""</f>
        <v/>
      </c>
      <c r="DN1190" t="str">
        <f>""</f>
        <v/>
      </c>
      <c r="DO1190" t="str">
        <f>""</f>
        <v/>
      </c>
      <c r="DP1190" t="str">
        <f>""</f>
        <v/>
      </c>
      <c r="DQ1190" t="str">
        <f>""</f>
        <v/>
      </c>
      <c r="DR1190" t="str">
        <f>""</f>
        <v/>
      </c>
      <c r="DS1190" t="str">
        <f>""</f>
        <v/>
      </c>
      <c r="DT1190" t="str">
        <f>""</f>
        <v/>
      </c>
      <c r="DU1190" t="str">
        <f>""</f>
        <v/>
      </c>
    </row>
    <row r="1191" spans="1:125" x14ac:dyDescent="0.25">
      <c r="A1191" t="str">
        <f>$A$531</f>
        <v xml:space="preserve">    Suzuki Motor Corp</v>
      </c>
      <c r="B1191" t="str">
        <f>$B$531</f>
        <v>7269 JP Equity</v>
      </c>
      <c r="C1191" t="str">
        <f>$C$531</f>
        <v>DV013</v>
      </c>
      <c r="D1191" t="str">
        <f>$D$531</f>
        <v>EQY_DVD_YLD_IND</v>
      </c>
      <c r="E1191" t="str">
        <f>$E$531</f>
        <v>Dynamic</v>
      </c>
      <c r="F1191" t="str">
        <f ca="1">_xll.BDH($B$531,$C$531,$B$675,$B$676,CONCATENATE("Per=",$B$673),"Dts=H","Dir=H",CONCATENATE("Points=",$B$674),"Sort=R","Days=A","Fill=B",CONCATENATE("FX=", $B$672) )</f>
        <v>#N/A Connection</v>
      </c>
      <c r="BN1191" t="str">
        <f>""</f>
        <v/>
      </c>
      <c r="BO1191" t="str">
        <f>""</f>
        <v/>
      </c>
      <c r="BP1191" t="str">
        <f>""</f>
        <v/>
      </c>
      <c r="BQ1191" t="str">
        <f>""</f>
        <v/>
      </c>
      <c r="BR1191" t="str">
        <f>""</f>
        <v/>
      </c>
      <c r="BS1191" t="str">
        <f>""</f>
        <v/>
      </c>
      <c r="BT1191" t="str">
        <f>""</f>
        <v/>
      </c>
      <c r="BU1191" t="str">
        <f>""</f>
        <v/>
      </c>
      <c r="BV1191" t="str">
        <f>""</f>
        <v/>
      </c>
      <c r="BW1191" t="str">
        <f>""</f>
        <v/>
      </c>
      <c r="BX1191" t="str">
        <f>""</f>
        <v/>
      </c>
      <c r="BY1191" t="str">
        <f>""</f>
        <v/>
      </c>
      <c r="BZ1191" t="str">
        <f>""</f>
        <v/>
      </c>
      <c r="CA1191" t="str">
        <f>""</f>
        <v/>
      </c>
      <c r="CB1191" t="str">
        <f>""</f>
        <v/>
      </c>
      <c r="CC1191" t="str">
        <f>""</f>
        <v/>
      </c>
      <c r="CD1191" t="str">
        <f>""</f>
        <v/>
      </c>
      <c r="CE1191" t="str">
        <f>""</f>
        <v/>
      </c>
      <c r="CF1191" t="str">
        <f>""</f>
        <v/>
      </c>
      <c r="CG1191" t="str">
        <f>""</f>
        <v/>
      </c>
      <c r="CH1191" t="str">
        <f>""</f>
        <v/>
      </c>
      <c r="CI1191" t="str">
        <f>""</f>
        <v/>
      </c>
      <c r="CJ1191" t="str">
        <f>""</f>
        <v/>
      </c>
      <c r="CK1191" t="str">
        <f>""</f>
        <v/>
      </c>
      <c r="CL1191" t="str">
        <f>""</f>
        <v/>
      </c>
      <c r="CM1191" t="str">
        <f>""</f>
        <v/>
      </c>
      <c r="CN1191" t="str">
        <f>""</f>
        <v/>
      </c>
      <c r="CO1191" t="str">
        <f>""</f>
        <v/>
      </c>
      <c r="CP1191" t="str">
        <f>""</f>
        <v/>
      </c>
      <c r="CQ1191" t="str">
        <f>""</f>
        <v/>
      </c>
      <c r="CR1191" t="str">
        <f>""</f>
        <v/>
      </c>
      <c r="CS1191" t="str">
        <f>""</f>
        <v/>
      </c>
      <c r="CT1191" t="str">
        <f>""</f>
        <v/>
      </c>
      <c r="CU1191" t="str">
        <f>""</f>
        <v/>
      </c>
      <c r="CV1191" t="str">
        <f>""</f>
        <v/>
      </c>
      <c r="CW1191" t="str">
        <f>""</f>
        <v/>
      </c>
      <c r="CX1191" t="str">
        <f>""</f>
        <v/>
      </c>
      <c r="CY1191" t="str">
        <f>""</f>
        <v/>
      </c>
      <c r="CZ1191" t="str">
        <f>""</f>
        <v/>
      </c>
      <c r="DA1191" t="str">
        <f>""</f>
        <v/>
      </c>
      <c r="DB1191" t="str">
        <f>""</f>
        <v/>
      </c>
      <c r="DC1191" t="str">
        <f>""</f>
        <v/>
      </c>
      <c r="DD1191" t="str">
        <f>""</f>
        <v/>
      </c>
      <c r="DE1191" t="str">
        <f>""</f>
        <v/>
      </c>
      <c r="DF1191" t="str">
        <f>""</f>
        <v/>
      </c>
      <c r="DG1191" t="str">
        <f>""</f>
        <v/>
      </c>
      <c r="DH1191" t="str">
        <f>""</f>
        <v/>
      </c>
      <c r="DI1191" t="str">
        <f>""</f>
        <v/>
      </c>
      <c r="DJ1191" t="str">
        <f>""</f>
        <v/>
      </c>
      <c r="DK1191" t="str">
        <f>""</f>
        <v/>
      </c>
      <c r="DL1191" t="str">
        <f>""</f>
        <v/>
      </c>
      <c r="DM1191" t="str">
        <f>""</f>
        <v/>
      </c>
      <c r="DN1191" t="str">
        <f>""</f>
        <v/>
      </c>
      <c r="DO1191" t="str">
        <f>""</f>
        <v/>
      </c>
      <c r="DP1191" t="str">
        <f>""</f>
        <v/>
      </c>
      <c r="DQ1191" t="str">
        <f>""</f>
        <v/>
      </c>
      <c r="DR1191" t="str">
        <f>""</f>
        <v/>
      </c>
      <c r="DS1191" t="str">
        <f>""</f>
        <v/>
      </c>
      <c r="DT1191" t="str">
        <f>""</f>
        <v/>
      </c>
      <c r="DU1191" t="str">
        <f>""</f>
        <v/>
      </c>
    </row>
    <row r="1192" spans="1:125" x14ac:dyDescent="0.25">
      <c r="A1192" t="str">
        <f>$A$532</f>
        <v xml:space="preserve">    Tata Motors Ltd</v>
      </c>
      <c r="B1192" t="str">
        <f>$B$532</f>
        <v>TTMT IN Equity</v>
      </c>
      <c r="C1192" t="str">
        <f>$C$532</f>
        <v>DV013</v>
      </c>
      <c r="D1192" t="str">
        <f>$D$532</f>
        <v>EQY_DVD_YLD_IND</v>
      </c>
      <c r="E1192" t="str">
        <f>$E$532</f>
        <v>Dynamic</v>
      </c>
      <c r="F1192" t="str">
        <f ca="1">_xll.BDH($B$532,$C$532,$B$675,$B$676,CONCATENATE("Per=",$B$673),"Dts=H","Dir=H",CONCATENATE("Points=",$B$674),"Sort=R","Days=A","Fill=B",CONCATENATE("FX=", $B$672) )</f>
        <v>#N/A Connection</v>
      </c>
      <c r="BN1192" t="str">
        <f>""</f>
        <v/>
      </c>
      <c r="BO1192" t="str">
        <f>""</f>
        <v/>
      </c>
      <c r="BP1192" t="str">
        <f>""</f>
        <v/>
      </c>
      <c r="BQ1192" t="str">
        <f>""</f>
        <v/>
      </c>
      <c r="BR1192" t="str">
        <f>""</f>
        <v/>
      </c>
      <c r="BS1192" t="str">
        <f>""</f>
        <v/>
      </c>
      <c r="BT1192" t="str">
        <f>""</f>
        <v/>
      </c>
      <c r="BU1192" t="str">
        <f>""</f>
        <v/>
      </c>
      <c r="BV1192" t="str">
        <f>""</f>
        <v/>
      </c>
      <c r="BW1192" t="str">
        <f>""</f>
        <v/>
      </c>
      <c r="BX1192" t="str">
        <f>""</f>
        <v/>
      </c>
      <c r="BY1192" t="str">
        <f>""</f>
        <v/>
      </c>
      <c r="BZ1192" t="str">
        <f>""</f>
        <v/>
      </c>
      <c r="CA1192" t="str">
        <f>""</f>
        <v/>
      </c>
      <c r="CB1192" t="str">
        <f>""</f>
        <v/>
      </c>
      <c r="CC1192" t="str">
        <f>""</f>
        <v/>
      </c>
      <c r="CD1192" t="str">
        <f>""</f>
        <v/>
      </c>
      <c r="CE1192" t="str">
        <f>""</f>
        <v/>
      </c>
      <c r="CF1192" t="str">
        <f>""</f>
        <v/>
      </c>
      <c r="CG1192" t="str">
        <f>""</f>
        <v/>
      </c>
      <c r="CH1192" t="str">
        <f>""</f>
        <v/>
      </c>
      <c r="CI1192" t="str">
        <f>""</f>
        <v/>
      </c>
      <c r="CJ1192" t="str">
        <f>""</f>
        <v/>
      </c>
      <c r="CK1192" t="str">
        <f>""</f>
        <v/>
      </c>
      <c r="CL1192" t="str">
        <f>""</f>
        <v/>
      </c>
      <c r="CM1192" t="str">
        <f>""</f>
        <v/>
      </c>
      <c r="CN1192" t="str">
        <f>""</f>
        <v/>
      </c>
      <c r="CO1192" t="str">
        <f>""</f>
        <v/>
      </c>
      <c r="CP1192" t="str">
        <f>""</f>
        <v/>
      </c>
      <c r="CQ1192" t="str">
        <f>""</f>
        <v/>
      </c>
      <c r="CR1192" t="str">
        <f>""</f>
        <v/>
      </c>
      <c r="CS1192" t="str">
        <f>""</f>
        <v/>
      </c>
      <c r="CT1192" t="str">
        <f>""</f>
        <v/>
      </c>
      <c r="CU1192" t="str">
        <f>""</f>
        <v/>
      </c>
      <c r="CV1192" t="str">
        <f>""</f>
        <v/>
      </c>
      <c r="CW1192" t="str">
        <f>""</f>
        <v/>
      </c>
      <c r="CX1192" t="str">
        <f>""</f>
        <v/>
      </c>
      <c r="CY1192" t="str">
        <f>""</f>
        <v/>
      </c>
      <c r="CZ1192" t="str">
        <f>""</f>
        <v/>
      </c>
      <c r="DA1192" t="str">
        <f>""</f>
        <v/>
      </c>
      <c r="DB1192" t="str">
        <f>""</f>
        <v/>
      </c>
      <c r="DC1192" t="str">
        <f>""</f>
        <v/>
      </c>
      <c r="DD1192" t="str">
        <f>""</f>
        <v/>
      </c>
      <c r="DE1192" t="str">
        <f>""</f>
        <v/>
      </c>
      <c r="DF1192" t="str">
        <f>""</f>
        <v/>
      </c>
      <c r="DG1192" t="str">
        <f>""</f>
        <v/>
      </c>
      <c r="DH1192" t="str">
        <f>""</f>
        <v/>
      </c>
      <c r="DI1192" t="str">
        <f>""</f>
        <v/>
      </c>
      <c r="DJ1192" t="str">
        <f>""</f>
        <v/>
      </c>
      <c r="DK1192" t="str">
        <f>""</f>
        <v/>
      </c>
      <c r="DL1192" t="str">
        <f>""</f>
        <v/>
      </c>
      <c r="DM1192" t="str">
        <f>""</f>
        <v/>
      </c>
      <c r="DN1192" t="str">
        <f>""</f>
        <v/>
      </c>
      <c r="DO1192" t="str">
        <f>""</f>
        <v/>
      </c>
      <c r="DP1192" t="str">
        <f>""</f>
        <v/>
      </c>
      <c r="DQ1192" t="str">
        <f>""</f>
        <v/>
      </c>
      <c r="DR1192" t="str">
        <f>""</f>
        <v/>
      </c>
      <c r="DS1192" t="str">
        <f>""</f>
        <v/>
      </c>
      <c r="DT1192" t="str">
        <f>""</f>
        <v/>
      </c>
      <c r="DU1192" t="str">
        <f>""</f>
        <v/>
      </c>
    </row>
    <row r="1193" spans="1:125" x14ac:dyDescent="0.25">
      <c r="A1193" t="str">
        <f>$A$533</f>
        <v xml:space="preserve">    Tesla Inc</v>
      </c>
      <c r="B1193" t="str">
        <f>$B$533</f>
        <v>TSLA US Equity</v>
      </c>
      <c r="C1193" t="str">
        <f>$C$533</f>
        <v>DV013</v>
      </c>
      <c r="D1193" t="str">
        <f>$D$533</f>
        <v>EQY_DVD_YLD_IND</v>
      </c>
      <c r="E1193" t="str">
        <f>$E$533</f>
        <v>Dynamic</v>
      </c>
      <c r="F1193" t="str">
        <f ca="1">_xll.BDH($B$533,$C$533,$B$675,$B$676,CONCATENATE("Per=",$B$673),"Dts=H","Dir=H",CONCATENATE("Points=",$B$674),"Sort=R","Days=A","Fill=B",CONCATENATE("FX=", $B$672) )</f>
        <v>#N/A Connection</v>
      </c>
      <c r="BN1193" t="str">
        <f>""</f>
        <v/>
      </c>
      <c r="BO1193" t="str">
        <f>""</f>
        <v/>
      </c>
      <c r="BP1193" t="str">
        <f>""</f>
        <v/>
      </c>
      <c r="BQ1193" t="str">
        <f>""</f>
        <v/>
      </c>
      <c r="BR1193" t="str">
        <f>""</f>
        <v/>
      </c>
      <c r="BS1193" t="str">
        <f>""</f>
        <v/>
      </c>
      <c r="BT1193" t="str">
        <f>""</f>
        <v/>
      </c>
      <c r="BU1193" t="str">
        <f>""</f>
        <v/>
      </c>
      <c r="BV1193" t="str">
        <f>""</f>
        <v/>
      </c>
      <c r="BW1193" t="str">
        <f>""</f>
        <v/>
      </c>
      <c r="BX1193" t="str">
        <f>""</f>
        <v/>
      </c>
      <c r="BY1193" t="str">
        <f>""</f>
        <v/>
      </c>
      <c r="BZ1193" t="str">
        <f>""</f>
        <v/>
      </c>
      <c r="CA1193" t="str">
        <f>""</f>
        <v/>
      </c>
      <c r="CB1193" t="str">
        <f>""</f>
        <v/>
      </c>
      <c r="CC1193" t="str">
        <f>""</f>
        <v/>
      </c>
      <c r="CD1193" t="str">
        <f>""</f>
        <v/>
      </c>
      <c r="CE1193" t="str">
        <f>""</f>
        <v/>
      </c>
      <c r="CF1193" t="str">
        <f>""</f>
        <v/>
      </c>
      <c r="CG1193" t="str">
        <f>""</f>
        <v/>
      </c>
      <c r="CH1193" t="str">
        <f>""</f>
        <v/>
      </c>
      <c r="CI1193" t="str">
        <f>""</f>
        <v/>
      </c>
      <c r="CJ1193" t="str">
        <f>""</f>
        <v/>
      </c>
      <c r="CK1193" t="str">
        <f>""</f>
        <v/>
      </c>
      <c r="CL1193" t="str">
        <f>""</f>
        <v/>
      </c>
      <c r="CM1193" t="str">
        <f>""</f>
        <v/>
      </c>
      <c r="CN1193" t="str">
        <f>""</f>
        <v/>
      </c>
      <c r="CO1193" t="str">
        <f>""</f>
        <v/>
      </c>
      <c r="CP1193" t="str">
        <f>""</f>
        <v/>
      </c>
      <c r="CQ1193" t="str">
        <f>""</f>
        <v/>
      </c>
      <c r="CR1193" t="str">
        <f>""</f>
        <v/>
      </c>
      <c r="CS1193" t="str">
        <f>""</f>
        <v/>
      </c>
      <c r="CT1193" t="str">
        <f>""</f>
        <v/>
      </c>
      <c r="CU1193" t="str">
        <f>""</f>
        <v/>
      </c>
      <c r="CV1193" t="str">
        <f>""</f>
        <v/>
      </c>
      <c r="CW1193" t="str">
        <f>""</f>
        <v/>
      </c>
      <c r="CX1193" t="str">
        <f>""</f>
        <v/>
      </c>
      <c r="CY1193" t="str">
        <f>""</f>
        <v/>
      </c>
      <c r="CZ1193" t="str">
        <f>""</f>
        <v/>
      </c>
      <c r="DA1193" t="str">
        <f>""</f>
        <v/>
      </c>
      <c r="DB1193" t="str">
        <f>""</f>
        <v/>
      </c>
      <c r="DC1193" t="str">
        <f>""</f>
        <v/>
      </c>
      <c r="DD1193" t="str">
        <f>""</f>
        <v/>
      </c>
      <c r="DE1193" t="str">
        <f>""</f>
        <v/>
      </c>
      <c r="DF1193" t="str">
        <f>""</f>
        <v/>
      </c>
      <c r="DG1193" t="str">
        <f>""</f>
        <v/>
      </c>
      <c r="DH1193" t="str">
        <f>""</f>
        <v/>
      </c>
      <c r="DI1193" t="str">
        <f>""</f>
        <v/>
      </c>
      <c r="DJ1193" t="str">
        <f>""</f>
        <v/>
      </c>
      <c r="DK1193" t="str">
        <f>""</f>
        <v/>
      </c>
      <c r="DL1193" t="str">
        <f>""</f>
        <v/>
      </c>
      <c r="DM1193" t="str">
        <f>""</f>
        <v/>
      </c>
      <c r="DN1193" t="str">
        <f>""</f>
        <v/>
      </c>
      <c r="DO1193" t="str">
        <f>""</f>
        <v/>
      </c>
      <c r="DP1193" t="str">
        <f>""</f>
        <v/>
      </c>
      <c r="DQ1193" t="str">
        <f>""</f>
        <v/>
      </c>
      <c r="DR1193" t="str">
        <f>""</f>
        <v/>
      </c>
      <c r="DS1193" t="str">
        <f>""</f>
        <v/>
      </c>
      <c r="DT1193" t="str">
        <f>""</f>
        <v/>
      </c>
      <c r="DU1193" t="str">
        <f>""</f>
        <v/>
      </c>
    </row>
    <row r="1194" spans="1:125" x14ac:dyDescent="0.25">
      <c r="A1194" t="str">
        <f>$A$534</f>
        <v xml:space="preserve">    Tianjin Faw Xiali Automobile Co Ltd</v>
      </c>
      <c r="B1194" t="str">
        <f>$B$534</f>
        <v>000927 CH Equity</v>
      </c>
      <c r="C1194" t="str">
        <f>$C$534</f>
        <v>DV013</v>
      </c>
      <c r="D1194" t="str">
        <f>$D$534</f>
        <v>EQY_DVD_YLD_IND</v>
      </c>
      <c r="E1194" t="str">
        <f>$E$534</f>
        <v>Dynamic</v>
      </c>
      <c r="F1194" t="str">
        <f ca="1">_xll.BDH($B$534,$C$534,$B$675,$B$676,CONCATENATE("Per=",$B$673),"Dts=H","Dir=H",CONCATENATE("Points=",$B$674),"Sort=R","Days=A","Fill=B",CONCATENATE("FX=", $B$672) )</f>
        <v>#N/A Connection</v>
      </c>
      <c r="BN1194" t="str">
        <f>""</f>
        <v/>
      </c>
      <c r="BO1194" t="str">
        <f>""</f>
        <v/>
      </c>
      <c r="BP1194" t="str">
        <f>""</f>
        <v/>
      </c>
      <c r="BQ1194" t="str">
        <f>""</f>
        <v/>
      </c>
      <c r="BR1194" t="str">
        <f>""</f>
        <v/>
      </c>
      <c r="BS1194" t="str">
        <f>""</f>
        <v/>
      </c>
      <c r="BT1194" t="str">
        <f>""</f>
        <v/>
      </c>
      <c r="BU1194" t="str">
        <f>""</f>
        <v/>
      </c>
      <c r="BV1194" t="str">
        <f>""</f>
        <v/>
      </c>
      <c r="BW1194" t="str">
        <f>""</f>
        <v/>
      </c>
      <c r="BX1194" t="str">
        <f>""</f>
        <v/>
      </c>
      <c r="BY1194" t="str">
        <f>""</f>
        <v/>
      </c>
      <c r="BZ1194" t="str">
        <f>""</f>
        <v/>
      </c>
      <c r="CA1194" t="str">
        <f>""</f>
        <v/>
      </c>
      <c r="CB1194" t="str">
        <f>""</f>
        <v/>
      </c>
      <c r="CC1194" t="str">
        <f>""</f>
        <v/>
      </c>
      <c r="CD1194" t="str">
        <f>""</f>
        <v/>
      </c>
      <c r="CE1194" t="str">
        <f>""</f>
        <v/>
      </c>
      <c r="CF1194" t="str">
        <f>""</f>
        <v/>
      </c>
      <c r="CG1194" t="str">
        <f>""</f>
        <v/>
      </c>
      <c r="CH1194" t="str">
        <f>""</f>
        <v/>
      </c>
      <c r="CI1194" t="str">
        <f>""</f>
        <v/>
      </c>
      <c r="CJ1194" t="str">
        <f>""</f>
        <v/>
      </c>
      <c r="CK1194" t="str">
        <f>""</f>
        <v/>
      </c>
      <c r="CL1194" t="str">
        <f>""</f>
        <v/>
      </c>
      <c r="CM1194" t="str">
        <f>""</f>
        <v/>
      </c>
      <c r="CN1194" t="str">
        <f>""</f>
        <v/>
      </c>
      <c r="CO1194" t="str">
        <f>""</f>
        <v/>
      </c>
      <c r="CP1194" t="str">
        <f>""</f>
        <v/>
      </c>
      <c r="CQ1194" t="str">
        <f>""</f>
        <v/>
      </c>
      <c r="CR1194" t="str">
        <f>""</f>
        <v/>
      </c>
      <c r="CS1194" t="str">
        <f>""</f>
        <v/>
      </c>
      <c r="CT1194" t="str">
        <f>""</f>
        <v/>
      </c>
      <c r="CU1194" t="str">
        <f>""</f>
        <v/>
      </c>
      <c r="CV1194" t="str">
        <f>""</f>
        <v/>
      </c>
      <c r="CW1194" t="str">
        <f>""</f>
        <v/>
      </c>
      <c r="CX1194" t="str">
        <f>""</f>
        <v/>
      </c>
      <c r="CY1194" t="str">
        <f>""</f>
        <v/>
      </c>
      <c r="CZ1194" t="str">
        <f>""</f>
        <v/>
      </c>
      <c r="DA1194" t="str">
        <f>""</f>
        <v/>
      </c>
      <c r="DB1194" t="str">
        <f>""</f>
        <v/>
      </c>
      <c r="DC1194" t="str">
        <f>""</f>
        <v/>
      </c>
      <c r="DD1194" t="str">
        <f>""</f>
        <v/>
      </c>
      <c r="DE1194" t="str">
        <f>""</f>
        <v/>
      </c>
      <c r="DF1194" t="str">
        <f>""</f>
        <v/>
      </c>
      <c r="DG1194" t="str">
        <f>""</f>
        <v/>
      </c>
      <c r="DH1194" t="str">
        <f>""</f>
        <v/>
      </c>
      <c r="DI1194" t="str">
        <f>""</f>
        <v/>
      </c>
      <c r="DJ1194" t="str">
        <f>""</f>
        <v/>
      </c>
      <c r="DK1194" t="str">
        <f>""</f>
        <v/>
      </c>
      <c r="DL1194" t="str">
        <f>""</f>
        <v/>
      </c>
      <c r="DM1194" t="str">
        <f>""</f>
        <v/>
      </c>
      <c r="DN1194" t="str">
        <f>""</f>
        <v/>
      </c>
      <c r="DO1194" t="str">
        <f>""</f>
        <v/>
      </c>
      <c r="DP1194" t="str">
        <f>""</f>
        <v/>
      </c>
      <c r="DQ1194" t="str">
        <f>""</f>
        <v/>
      </c>
      <c r="DR1194" t="str">
        <f>""</f>
        <v/>
      </c>
      <c r="DS1194" t="str">
        <f>""</f>
        <v/>
      </c>
      <c r="DT1194" t="str">
        <f>""</f>
        <v/>
      </c>
      <c r="DU1194" t="str">
        <f>""</f>
        <v/>
      </c>
    </row>
    <row r="1195" spans="1:125" x14ac:dyDescent="0.25">
      <c r="A1195" t="str">
        <f>$A$535</f>
        <v xml:space="preserve">    Tofas Turk Otomobil Fabrikasi AS</v>
      </c>
      <c r="B1195" t="str">
        <f>$B$535</f>
        <v>TOASOTRY EO Equity</v>
      </c>
      <c r="C1195" t="str">
        <f>$C$535</f>
        <v>DV013</v>
      </c>
      <c r="D1195" t="str">
        <f>$D$535</f>
        <v>EQY_DVD_YLD_IND</v>
      </c>
      <c r="E1195" t="str">
        <f>$E$535</f>
        <v>Dynamic</v>
      </c>
      <c r="F1195" t="str">
        <f ca="1">_xll.BDH($B$535,$C$535,$B$675,$B$676,CONCATENATE("Per=",$B$673),"Dts=H","Dir=H",CONCATENATE("Points=",$B$674),"Sort=R","Days=A","Fill=B",CONCATENATE("FX=", $B$672) )</f>
        <v>#N/A Connection</v>
      </c>
      <c r="BN1195" t="str">
        <f>""</f>
        <v/>
      </c>
      <c r="BO1195" t="str">
        <f>""</f>
        <v/>
      </c>
      <c r="BP1195" t="str">
        <f>""</f>
        <v/>
      </c>
      <c r="BQ1195" t="str">
        <f>""</f>
        <v/>
      </c>
      <c r="BR1195" t="str">
        <f>""</f>
        <v/>
      </c>
      <c r="BS1195" t="str">
        <f>""</f>
        <v/>
      </c>
      <c r="BT1195" t="str">
        <f>""</f>
        <v/>
      </c>
      <c r="BU1195" t="str">
        <f>""</f>
        <v/>
      </c>
      <c r="BV1195" t="str">
        <f>""</f>
        <v/>
      </c>
      <c r="BW1195" t="str">
        <f>""</f>
        <v/>
      </c>
      <c r="BX1195" t="str">
        <f>""</f>
        <v/>
      </c>
      <c r="BY1195" t="str">
        <f>""</f>
        <v/>
      </c>
      <c r="BZ1195" t="str">
        <f>""</f>
        <v/>
      </c>
      <c r="CA1195" t="str">
        <f>""</f>
        <v/>
      </c>
      <c r="CB1195" t="str">
        <f>""</f>
        <v/>
      </c>
      <c r="CC1195" t="str">
        <f>""</f>
        <v/>
      </c>
      <c r="CD1195" t="str">
        <f>""</f>
        <v/>
      </c>
      <c r="CE1195" t="str">
        <f>""</f>
        <v/>
      </c>
      <c r="CF1195" t="str">
        <f>""</f>
        <v/>
      </c>
      <c r="CG1195" t="str">
        <f>""</f>
        <v/>
      </c>
      <c r="CH1195" t="str">
        <f>""</f>
        <v/>
      </c>
      <c r="CI1195" t="str">
        <f>""</f>
        <v/>
      </c>
      <c r="CJ1195" t="str">
        <f>""</f>
        <v/>
      </c>
      <c r="CK1195" t="str">
        <f>""</f>
        <v/>
      </c>
      <c r="CL1195" t="str">
        <f>""</f>
        <v/>
      </c>
      <c r="CM1195" t="str">
        <f>""</f>
        <v/>
      </c>
      <c r="CN1195" t="str">
        <f>""</f>
        <v/>
      </c>
      <c r="CO1195" t="str">
        <f>""</f>
        <v/>
      </c>
      <c r="CP1195" t="str">
        <f>""</f>
        <v/>
      </c>
      <c r="CQ1195" t="str">
        <f>""</f>
        <v/>
      </c>
      <c r="CR1195" t="str">
        <f>""</f>
        <v/>
      </c>
      <c r="CS1195" t="str">
        <f>""</f>
        <v/>
      </c>
      <c r="CT1195" t="str">
        <f>""</f>
        <v/>
      </c>
      <c r="CU1195" t="str">
        <f>""</f>
        <v/>
      </c>
      <c r="CV1195" t="str">
        <f>""</f>
        <v/>
      </c>
      <c r="CW1195" t="str">
        <f>""</f>
        <v/>
      </c>
      <c r="CX1195" t="str">
        <f>""</f>
        <v/>
      </c>
      <c r="CY1195" t="str">
        <f>""</f>
        <v/>
      </c>
      <c r="CZ1195" t="str">
        <f>""</f>
        <v/>
      </c>
      <c r="DA1195" t="str">
        <f>""</f>
        <v/>
      </c>
      <c r="DB1195" t="str">
        <f>""</f>
        <v/>
      </c>
      <c r="DC1195" t="str">
        <f>""</f>
        <v/>
      </c>
      <c r="DD1195" t="str">
        <f>""</f>
        <v/>
      </c>
      <c r="DE1195" t="str">
        <f>""</f>
        <v/>
      </c>
      <c r="DF1195" t="str">
        <f>""</f>
        <v/>
      </c>
      <c r="DG1195" t="str">
        <f>""</f>
        <v/>
      </c>
      <c r="DH1195" t="str">
        <f>""</f>
        <v/>
      </c>
      <c r="DI1195" t="str">
        <f>""</f>
        <v/>
      </c>
      <c r="DJ1195" t="str">
        <f>""</f>
        <v/>
      </c>
      <c r="DK1195" t="str">
        <f>""</f>
        <v/>
      </c>
      <c r="DL1195" t="str">
        <f>""</f>
        <v/>
      </c>
      <c r="DM1195" t="str">
        <f>""</f>
        <v/>
      </c>
      <c r="DN1195" t="str">
        <f>""</f>
        <v/>
      </c>
      <c r="DO1195" t="str">
        <f>""</f>
        <v/>
      </c>
      <c r="DP1195" t="str">
        <f>""</f>
        <v/>
      </c>
      <c r="DQ1195" t="str">
        <f>""</f>
        <v/>
      </c>
      <c r="DR1195" t="str">
        <f>""</f>
        <v/>
      </c>
      <c r="DS1195" t="str">
        <f>""</f>
        <v/>
      </c>
      <c r="DT1195" t="str">
        <f>""</f>
        <v/>
      </c>
      <c r="DU1195" t="str">
        <f>""</f>
        <v/>
      </c>
    </row>
    <row r="1196" spans="1:125" x14ac:dyDescent="0.25">
      <c r="A1196" t="str">
        <f>$A$536</f>
        <v xml:space="preserve">    Toyota Motor Corp</v>
      </c>
      <c r="B1196" t="str">
        <f>$B$536</f>
        <v>7203 JP Equity</v>
      </c>
      <c r="C1196" t="str">
        <f>$C$536</f>
        <v>DV013</v>
      </c>
      <c r="D1196" t="str">
        <f>$D$536</f>
        <v>EQY_DVD_YLD_IND</v>
      </c>
      <c r="E1196" t="str">
        <f>$E$536</f>
        <v>Dynamic</v>
      </c>
      <c r="F1196" t="str">
        <f ca="1">_xll.BDH($B$536,$C$536,$B$675,$B$676,CONCATENATE("Per=",$B$673),"Dts=H","Dir=H",CONCATENATE("Points=",$B$674),"Sort=R","Days=A","Fill=B",CONCATENATE("FX=", $B$672) )</f>
        <v>#N/A Connection</v>
      </c>
      <c r="BN1196" t="str">
        <f>""</f>
        <v/>
      </c>
      <c r="BO1196" t="str">
        <f>""</f>
        <v/>
      </c>
      <c r="BP1196" t="str">
        <f>""</f>
        <v/>
      </c>
      <c r="BQ1196" t="str">
        <f>""</f>
        <v/>
      </c>
      <c r="BR1196" t="str">
        <f>""</f>
        <v/>
      </c>
      <c r="BS1196" t="str">
        <f>""</f>
        <v/>
      </c>
      <c r="BT1196" t="str">
        <f>""</f>
        <v/>
      </c>
      <c r="BU1196" t="str">
        <f>""</f>
        <v/>
      </c>
      <c r="BV1196" t="str">
        <f>""</f>
        <v/>
      </c>
      <c r="BW1196" t="str">
        <f>""</f>
        <v/>
      </c>
      <c r="BX1196" t="str">
        <f>""</f>
        <v/>
      </c>
      <c r="BY1196" t="str">
        <f>""</f>
        <v/>
      </c>
      <c r="BZ1196" t="str">
        <f>""</f>
        <v/>
      </c>
      <c r="CA1196" t="str">
        <f>""</f>
        <v/>
      </c>
      <c r="CB1196" t="str">
        <f>""</f>
        <v/>
      </c>
      <c r="CC1196" t="str">
        <f>""</f>
        <v/>
      </c>
      <c r="CD1196" t="str">
        <f>""</f>
        <v/>
      </c>
      <c r="CE1196" t="str">
        <f>""</f>
        <v/>
      </c>
      <c r="CF1196" t="str">
        <f>""</f>
        <v/>
      </c>
      <c r="CG1196" t="str">
        <f>""</f>
        <v/>
      </c>
      <c r="CH1196" t="str">
        <f>""</f>
        <v/>
      </c>
      <c r="CI1196" t="str">
        <f>""</f>
        <v/>
      </c>
      <c r="CJ1196" t="str">
        <f>""</f>
        <v/>
      </c>
      <c r="CK1196" t="str">
        <f>""</f>
        <v/>
      </c>
      <c r="CL1196" t="str">
        <f>""</f>
        <v/>
      </c>
      <c r="CM1196" t="str">
        <f>""</f>
        <v/>
      </c>
      <c r="CN1196" t="str">
        <f>""</f>
        <v/>
      </c>
      <c r="CO1196" t="str">
        <f>""</f>
        <v/>
      </c>
      <c r="CP1196" t="str">
        <f>""</f>
        <v/>
      </c>
      <c r="CQ1196" t="str">
        <f>""</f>
        <v/>
      </c>
      <c r="CR1196" t="str">
        <f>""</f>
        <v/>
      </c>
      <c r="CS1196" t="str">
        <f>""</f>
        <v/>
      </c>
      <c r="CT1196" t="str">
        <f>""</f>
        <v/>
      </c>
      <c r="CU1196" t="str">
        <f>""</f>
        <v/>
      </c>
      <c r="CV1196" t="str">
        <f>""</f>
        <v/>
      </c>
      <c r="CW1196" t="str">
        <f>""</f>
        <v/>
      </c>
      <c r="CX1196" t="str">
        <f>""</f>
        <v/>
      </c>
      <c r="CY1196" t="str">
        <f>""</f>
        <v/>
      </c>
      <c r="CZ1196" t="str">
        <f>""</f>
        <v/>
      </c>
      <c r="DA1196" t="str">
        <f>""</f>
        <v/>
      </c>
      <c r="DB1196" t="str">
        <f>""</f>
        <v/>
      </c>
      <c r="DC1196" t="str">
        <f>""</f>
        <v/>
      </c>
      <c r="DD1196" t="str">
        <f>""</f>
        <v/>
      </c>
      <c r="DE1196" t="str">
        <f>""</f>
        <v/>
      </c>
      <c r="DF1196" t="str">
        <f>""</f>
        <v/>
      </c>
      <c r="DG1196" t="str">
        <f>""</f>
        <v/>
      </c>
      <c r="DH1196" t="str">
        <f>""</f>
        <v/>
      </c>
      <c r="DI1196" t="str">
        <f>""</f>
        <v/>
      </c>
      <c r="DJ1196" t="str">
        <f>""</f>
        <v/>
      </c>
      <c r="DK1196" t="str">
        <f>""</f>
        <v/>
      </c>
      <c r="DL1196" t="str">
        <f>""</f>
        <v/>
      </c>
      <c r="DM1196" t="str">
        <f>""</f>
        <v/>
      </c>
      <c r="DN1196" t="str">
        <f>""</f>
        <v/>
      </c>
      <c r="DO1196" t="str">
        <f>""</f>
        <v/>
      </c>
      <c r="DP1196" t="str">
        <f>""</f>
        <v/>
      </c>
      <c r="DQ1196" t="str">
        <f>""</f>
        <v/>
      </c>
      <c r="DR1196" t="str">
        <f>""</f>
        <v/>
      </c>
      <c r="DS1196" t="str">
        <f>""</f>
        <v/>
      </c>
      <c r="DT1196" t="str">
        <f>""</f>
        <v/>
      </c>
      <c r="DU1196" t="str">
        <f>""</f>
        <v/>
      </c>
    </row>
    <row r="1197" spans="1:125" x14ac:dyDescent="0.25">
      <c r="A1197" t="str">
        <f>$A$537</f>
        <v xml:space="preserve">    Volkswagen AG</v>
      </c>
      <c r="B1197" t="str">
        <f>$B$537</f>
        <v>VOW GR Equity</v>
      </c>
      <c r="C1197" t="str">
        <f>$C$537</f>
        <v>DV013</v>
      </c>
      <c r="D1197" t="str">
        <f>$D$537</f>
        <v>EQY_DVD_YLD_IND</v>
      </c>
      <c r="E1197" t="str">
        <f>$E$537</f>
        <v>Dynamic</v>
      </c>
      <c r="F1197" t="str">
        <f ca="1">_xll.BDH($B$537,$C$537,$B$675,$B$676,CONCATENATE("Per=",$B$673),"Dts=H","Dir=H",CONCATENATE("Points=",$B$674),"Sort=R","Days=A","Fill=B",CONCATENATE("FX=", $B$672) )</f>
        <v>#N/A Connection</v>
      </c>
      <c r="BN1197" t="str">
        <f>""</f>
        <v/>
      </c>
      <c r="BO1197" t="str">
        <f>""</f>
        <v/>
      </c>
      <c r="BP1197" t="str">
        <f>""</f>
        <v/>
      </c>
      <c r="BQ1197" t="str">
        <f>""</f>
        <v/>
      </c>
      <c r="BR1197" t="str">
        <f>""</f>
        <v/>
      </c>
      <c r="BS1197" t="str">
        <f>""</f>
        <v/>
      </c>
      <c r="BT1197" t="str">
        <f>""</f>
        <v/>
      </c>
      <c r="BU1197" t="str">
        <f>""</f>
        <v/>
      </c>
      <c r="BV1197" t="str">
        <f>""</f>
        <v/>
      </c>
      <c r="BW1197" t="str">
        <f>""</f>
        <v/>
      </c>
      <c r="BX1197" t="str">
        <f>""</f>
        <v/>
      </c>
      <c r="BY1197" t="str">
        <f>""</f>
        <v/>
      </c>
      <c r="BZ1197" t="str">
        <f>""</f>
        <v/>
      </c>
      <c r="CA1197" t="str">
        <f>""</f>
        <v/>
      </c>
      <c r="CB1197" t="str">
        <f>""</f>
        <v/>
      </c>
      <c r="CC1197" t="str">
        <f>""</f>
        <v/>
      </c>
      <c r="CD1197" t="str">
        <f>""</f>
        <v/>
      </c>
      <c r="CE1197" t="str">
        <f>""</f>
        <v/>
      </c>
      <c r="CF1197" t="str">
        <f>""</f>
        <v/>
      </c>
      <c r="CG1197" t="str">
        <f>""</f>
        <v/>
      </c>
      <c r="CH1197" t="str">
        <f>""</f>
        <v/>
      </c>
      <c r="CI1197" t="str">
        <f>""</f>
        <v/>
      </c>
      <c r="CJ1197" t="str">
        <f>""</f>
        <v/>
      </c>
      <c r="CK1197" t="str">
        <f>""</f>
        <v/>
      </c>
      <c r="CL1197" t="str">
        <f>""</f>
        <v/>
      </c>
      <c r="CM1197" t="str">
        <f>""</f>
        <v/>
      </c>
      <c r="CN1197" t="str">
        <f>""</f>
        <v/>
      </c>
      <c r="CO1197" t="str">
        <f>""</f>
        <v/>
      </c>
      <c r="CP1197" t="str">
        <f>""</f>
        <v/>
      </c>
      <c r="CQ1197" t="str">
        <f>""</f>
        <v/>
      </c>
      <c r="CR1197" t="str">
        <f>""</f>
        <v/>
      </c>
      <c r="CS1197" t="str">
        <f>""</f>
        <v/>
      </c>
      <c r="CT1197" t="str">
        <f>""</f>
        <v/>
      </c>
      <c r="CU1197" t="str">
        <f>""</f>
        <v/>
      </c>
      <c r="CV1197" t="str">
        <f>""</f>
        <v/>
      </c>
      <c r="CW1197" t="str">
        <f>""</f>
        <v/>
      </c>
      <c r="CX1197" t="str">
        <f>""</f>
        <v/>
      </c>
      <c r="CY1197" t="str">
        <f>""</f>
        <v/>
      </c>
      <c r="CZ1197" t="str">
        <f>""</f>
        <v/>
      </c>
      <c r="DA1197" t="str">
        <f>""</f>
        <v/>
      </c>
      <c r="DB1197" t="str">
        <f>""</f>
        <v/>
      </c>
      <c r="DC1197" t="str">
        <f>""</f>
        <v/>
      </c>
      <c r="DD1197" t="str">
        <f>""</f>
        <v/>
      </c>
      <c r="DE1197" t="str">
        <f>""</f>
        <v/>
      </c>
      <c r="DF1197" t="str">
        <f>""</f>
        <v/>
      </c>
      <c r="DG1197" t="str">
        <f>""</f>
        <v/>
      </c>
      <c r="DH1197" t="str">
        <f>""</f>
        <v/>
      </c>
      <c r="DI1197" t="str">
        <f>""</f>
        <v/>
      </c>
      <c r="DJ1197" t="str">
        <f>""</f>
        <v/>
      </c>
      <c r="DK1197" t="str">
        <f>""</f>
        <v/>
      </c>
      <c r="DL1197" t="str">
        <f>""</f>
        <v/>
      </c>
      <c r="DM1197" t="str">
        <f>""</f>
        <v/>
      </c>
      <c r="DN1197" t="str">
        <f>""</f>
        <v/>
      </c>
      <c r="DO1197" t="str">
        <f>""</f>
        <v/>
      </c>
      <c r="DP1197" t="str">
        <f>""</f>
        <v/>
      </c>
      <c r="DQ1197" t="str">
        <f>""</f>
        <v/>
      </c>
      <c r="DR1197" t="str">
        <f>""</f>
        <v/>
      </c>
      <c r="DS1197" t="str">
        <f>""</f>
        <v/>
      </c>
      <c r="DT1197" t="str">
        <f>""</f>
        <v/>
      </c>
      <c r="DU1197" t="str">
        <f>""</f>
        <v/>
      </c>
    </row>
    <row r="1198" spans="1:125" x14ac:dyDescent="0.25">
      <c r="A1198" t="str">
        <f>$A$538</f>
        <v xml:space="preserve">    Yulon Motor Co Ltd</v>
      </c>
      <c r="B1198" t="str">
        <f>$B$538</f>
        <v>2201 TT Equity</v>
      </c>
      <c r="C1198" t="str">
        <f>$C$538</f>
        <v>DV013</v>
      </c>
      <c r="D1198" t="str">
        <f>$D$538</f>
        <v>EQY_DVD_YLD_IND</v>
      </c>
      <c r="E1198" t="str">
        <f>$E$538</f>
        <v>Dynamic</v>
      </c>
      <c r="F1198" t="str">
        <f ca="1">_xll.BDH($B$538,$C$538,$B$675,$B$676,CONCATENATE("Per=",$B$673),"Dts=H","Dir=H",CONCATENATE("Points=",$B$674),"Sort=R","Days=A","Fill=B",CONCATENATE("FX=", $B$672) )</f>
        <v>#N/A Connection</v>
      </c>
      <c r="BN1198" t="str">
        <f>""</f>
        <v/>
      </c>
      <c r="BO1198" t="str">
        <f>""</f>
        <v/>
      </c>
      <c r="BP1198" t="str">
        <f>""</f>
        <v/>
      </c>
      <c r="BQ1198" t="str">
        <f>""</f>
        <v/>
      </c>
      <c r="BR1198" t="str">
        <f>""</f>
        <v/>
      </c>
      <c r="BS1198" t="str">
        <f>""</f>
        <v/>
      </c>
      <c r="BT1198" t="str">
        <f>""</f>
        <v/>
      </c>
      <c r="BU1198" t="str">
        <f>""</f>
        <v/>
      </c>
      <c r="BV1198" t="str">
        <f>""</f>
        <v/>
      </c>
      <c r="BW1198" t="str">
        <f>""</f>
        <v/>
      </c>
      <c r="BX1198" t="str">
        <f>""</f>
        <v/>
      </c>
      <c r="BY1198" t="str">
        <f>""</f>
        <v/>
      </c>
      <c r="BZ1198" t="str">
        <f>""</f>
        <v/>
      </c>
      <c r="CA1198" t="str">
        <f>""</f>
        <v/>
      </c>
      <c r="CB1198" t="str">
        <f>""</f>
        <v/>
      </c>
      <c r="CC1198" t="str">
        <f>""</f>
        <v/>
      </c>
      <c r="CD1198" t="str">
        <f>""</f>
        <v/>
      </c>
      <c r="CE1198" t="str">
        <f>""</f>
        <v/>
      </c>
      <c r="CF1198" t="str">
        <f>""</f>
        <v/>
      </c>
      <c r="CG1198" t="str">
        <f>""</f>
        <v/>
      </c>
      <c r="CH1198" t="str">
        <f>""</f>
        <v/>
      </c>
      <c r="CI1198" t="str">
        <f>""</f>
        <v/>
      </c>
      <c r="CJ1198" t="str">
        <f>""</f>
        <v/>
      </c>
      <c r="CK1198" t="str">
        <f>""</f>
        <v/>
      </c>
      <c r="CL1198" t="str">
        <f>""</f>
        <v/>
      </c>
      <c r="CM1198" t="str">
        <f>""</f>
        <v/>
      </c>
      <c r="CN1198" t="str">
        <f>""</f>
        <v/>
      </c>
      <c r="CO1198" t="str">
        <f>""</f>
        <v/>
      </c>
      <c r="CP1198" t="str">
        <f>""</f>
        <v/>
      </c>
      <c r="CQ1198" t="str">
        <f>""</f>
        <v/>
      </c>
      <c r="CR1198" t="str">
        <f>""</f>
        <v/>
      </c>
      <c r="CS1198" t="str">
        <f>""</f>
        <v/>
      </c>
      <c r="CT1198" t="str">
        <f>""</f>
        <v/>
      </c>
      <c r="CU1198" t="str">
        <f>""</f>
        <v/>
      </c>
      <c r="CV1198" t="str">
        <f>""</f>
        <v/>
      </c>
      <c r="CW1198" t="str">
        <f>""</f>
        <v/>
      </c>
      <c r="CX1198" t="str">
        <f>""</f>
        <v/>
      </c>
      <c r="CY1198" t="str">
        <f>""</f>
        <v/>
      </c>
      <c r="CZ1198" t="str">
        <f>""</f>
        <v/>
      </c>
      <c r="DA1198" t="str">
        <f>""</f>
        <v/>
      </c>
      <c r="DB1198" t="str">
        <f>""</f>
        <v/>
      </c>
      <c r="DC1198" t="str">
        <f>""</f>
        <v/>
      </c>
      <c r="DD1198" t="str">
        <f>""</f>
        <v/>
      </c>
      <c r="DE1198" t="str">
        <f>""</f>
        <v/>
      </c>
      <c r="DF1198" t="str">
        <f>""</f>
        <v/>
      </c>
      <c r="DG1198" t="str">
        <f>""</f>
        <v/>
      </c>
      <c r="DH1198" t="str">
        <f>""</f>
        <v/>
      </c>
      <c r="DI1198" t="str">
        <f>""</f>
        <v/>
      </c>
      <c r="DJ1198" t="str">
        <f>""</f>
        <v/>
      </c>
      <c r="DK1198" t="str">
        <f>""</f>
        <v/>
      </c>
      <c r="DL1198" t="str">
        <f>""</f>
        <v/>
      </c>
      <c r="DM1198" t="str">
        <f>""</f>
        <v/>
      </c>
      <c r="DN1198" t="str">
        <f>""</f>
        <v/>
      </c>
      <c r="DO1198" t="str">
        <f>""</f>
        <v/>
      </c>
      <c r="DP1198" t="str">
        <f>""</f>
        <v/>
      </c>
      <c r="DQ1198" t="str">
        <f>""</f>
        <v/>
      </c>
      <c r="DR1198" t="str">
        <f>""</f>
        <v/>
      </c>
      <c r="DS1198" t="str">
        <f>""</f>
        <v/>
      </c>
      <c r="DT1198" t="str">
        <f>""</f>
        <v/>
      </c>
      <c r="DU1198" t="str">
        <f>""</f>
        <v/>
      </c>
    </row>
    <row r="1199" spans="1:125" x14ac:dyDescent="0.25">
      <c r="A1199" t="str">
        <f>$A$540</f>
        <v xml:space="preserve">    AUDI AG</v>
      </c>
      <c r="B1199" t="str">
        <f>$B$540</f>
        <v>NSU GR Equity</v>
      </c>
      <c r="C1199" t="str">
        <f>$C$540</f>
        <v>RX076</v>
      </c>
      <c r="D1199" t="str">
        <f>$D$540</f>
        <v>EBIT_YIELD</v>
      </c>
      <c r="E1199" t="str">
        <f>$E$540</f>
        <v>Dynamic</v>
      </c>
      <c r="F1199" t="str">
        <f ca="1">_xll.BDH($B$540,$C$540,$B$675,$B$676,CONCATENATE("Per=",$B$673),"Dts=H","Dir=H",CONCATENATE("Points=",$B$674),"Sort=R","Days=A","Fill=B",CONCATENATE("FX=", $B$672) )</f>
        <v>#N/A Connection</v>
      </c>
      <c r="BN1199" t="str">
        <f>""</f>
        <v/>
      </c>
      <c r="BO1199" t="str">
        <f>""</f>
        <v/>
      </c>
      <c r="BP1199" t="str">
        <f>""</f>
        <v/>
      </c>
      <c r="BQ1199" t="str">
        <f>""</f>
        <v/>
      </c>
      <c r="BR1199" t="str">
        <f>""</f>
        <v/>
      </c>
      <c r="BS1199" t="str">
        <f>""</f>
        <v/>
      </c>
      <c r="BT1199" t="str">
        <f>""</f>
        <v/>
      </c>
      <c r="BU1199" t="str">
        <f>""</f>
        <v/>
      </c>
      <c r="BV1199" t="str">
        <f>""</f>
        <v/>
      </c>
      <c r="BW1199" t="str">
        <f>""</f>
        <v/>
      </c>
      <c r="BX1199" t="str">
        <f>""</f>
        <v/>
      </c>
      <c r="BY1199" t="str">
        <f>""</f>
        <v/>
      </c>
      <c r="BZ1199" t="str">
        <f>""</f>
        <v/>
      </c>
      <c r="CA1199" t="str">
        <f>""</f>
        <v/>
      </c>
      <c r="CB1199" t="str">
        <f>""</f>
        <v/>
      </c>
      <c r="CC1199" t="str">
        <f>""</f>
        <v/>
      </c>
      <c r="CD1199" t="str">
        <f>""</f>
        <v/>
      </c>
      <c r="CE1199" t="str">
        <f>""</f>
        <v/>
      </c>
      <c r="CF1199" t="str">
        <f>""</f>
        <v/>
      </c>
      <c r="CG1199" t="str">
        <f>""</f>
        <v/>
      </c>
      <c r="CH1199" t="str">
        <f>""</f>
        <v/>
      </c>
      <c r="CI1199" t="str">
        <f>""</f>
        <v/>
      </c>
      <c r="CJ1199" t="str">
        <f>""</f>
        <v/>
      </c>
      <c r="CK1199" t="str">
        <f>""</f>
        <v/>
      </c>
      <c r="CL1199" t="str">
        <f>""</f>
        <v/>
      </c>
      <c r="CM1199" t="str">
        <f>""</f>
        <v/>
      </c>
      <c r="CN1199" t="str">
        <f>""</f>
        <v/>
      </c>
      <c r="CO1199" t="str">
        <f>""</f>
        <v/>
      </c>
      <c r="CP1199" t="str">
        <f>""</f>
        <v/>
      </c>
      <c r="CQ1199" t="str">
        <f>""</f>
        <v/>
      </c>
      <c r="CR1199" t="str">
        <f>""</f>
        <v/>
      </c>
      <c r="CS1199" t="str">
        <f>""</f>
        <v/>
      </c>
      <c r="CT1199" t="str">
        <f>""</f>
        <v/>
      </c>
      <c r="CU1199" t="str">
        <f>""</f>
        <v/>
      </c>
      <c r="CV1199" t="str">
        <f>""</f>
        <v/>
      </c>
      <c r="CW1199" t="str">
        <f>""</f>
        <v/>
      </c>
      <c r="CX1199" t="str">
        <f>""</f>
        <v/>
      </c>
      <c r="CY1199" t="str">
        <f>""</f>
        <v/>
      </c>
      <c r="CZ1199" t="str">
        <f>""</f>
        <v/>
      </c>
      <c r="DA1199" t="str">
        <f>""</f>
        <v/>
      </c>
      <c r="DB1199" t="str">
        <f>""</f>
        <v/>
      </c>
      <c r="DC1199" t="str">
        <f>""</f>
        <v/>
      </c>
      <c r="DD1199" t="str">
        <f>""</f>
        <v/>
      </c>
      <c r="DE1199" t="str">
        <f>""</f>
        <v/>
      </c>
      <c r="DF1199" t="str">
        <f>""</f>
        <v/>
      </c>
      <c r="DG1199" t="str">
        <f>""</f>
        <v/>
      </c>
      <c r="DH1199" t="str">
        <f>""</f>
        <v/>
      </c>
      <c r="DI1199" t="str">
        <f>""</f>
        <v/>
      </c>
      <c r="DJ1199" t="str">
        <f>""</f>
        <v/>
      </c>
      <c r="DK1199" t="str">
        <f>""</f>
        <v/>
      </c>
      <c r="DL1199" t="str">
        <f>""</f>
        <v/>
      </c>
      <c r="DM1199" t="str">
        <f>""</f>
        <v/>
      </c>
      <c r="DN1199" t="str">
        <f>""</f>
        <v/>
      </c>
      <c r="DO1199" t="str">
        <f>""</f>
        <v/>
      </c>
      <c r="DP1199" t="str">
        <f>""</f>
        <v/>
      </c>
      <c r="DQ1199" t="str">
        <f>""</f>
        <v/>
      </c>
      <c r="DR1199" t="str">
        <f>""</f>
        <v/>
      </c>
      <c r="DS1199" t="str">
        <f>""</f>
        <v/>
      </c>
      <c r="DT1199" t="str">
        <f>""</f>
        <v/>
      </c>
      <c r="DU1199" t="str">
        <f>""</f>
        <v/>
      </c>
    </row>
    <row r="1200" spans="1:125" x14ac:dyDescent="0.25">
      <c r="A1200" t="str">
        <f>$A$541</f>
        <v xml:space="preserve">    Avtovaz PJSC</v>
      </c>
      <c r="B1200" t="str">
        <f>$B$541</f>
        <v>AVAZ RM Equity</v>
      </c>
      <c r="C1200" t="str">
        <f>$C$541</f>
        <v>RX076</v>
      </c>
      <c r="D1200" t="str">
        <f>$D$541</f>
        <v>EBIT_YIELD</v>
      </c>
      <c r="E1200" t="str">
        <f>$E$541</f>
        <v>Dynamic</v>
      </c>
      <c r="F1200" t="str">
        <f ca="1">_xll.BDH($B$541,$C$541,$B$675,$B$676,CONCATENATE("Per=",$B$673),"Dts=H","Dir=H",CONCATENATE("Points=",$B$674),"Sort=R","Days=A","Fill=B",CONCATENATE("FX=", $B$672) )</f>
        <v>#N/A Connection</v>
      </c>
      <c r="BN1200" t="str">
        <f>""</f>
        <v/>
      </c>
      <c r="BO1200" t="str">
        <f>""</f>
        <v/>
      </c>
      <c r="BP1200" t="str">
        <f>""</f>
        <v/>
      </c>
      <c r="BQ1200" t="str">
        <f>""</f>
        <v/>
      </c>
      <c r="BR1200" t="str">
        <f>""</f>
        <v/>
      </c>
      <c r="BS1200" t="str">
        <f>""</f>
        <v/>
      </c>
      <c r="BT1200" t="str">
        <f>""</f>
        <v/>
      </c>
      <c r="BU1200" t="str">
        <f>""</f>
        <v/>
      </c>
      <c r="BV1200" t="str">
        <f>""</f>
        <v/>
      </c>
      <c r="BW1200" t="str">
        <f>""</f>
        <v/>
      </c>
      <c r="BX1200" t="str">
        <f>""</f>
        <v/>
      </c>
      <c r="BY1200" t="str">
        <f>""</f>
        <v/>
      </c>
      <c r="BZ1200" t="str">
        <f>""</f>
        <v/>
      </c>
      <c r="CA1200" t="str">
        <f>""</f>
        <v/>
      </c>
      <c r="CB1200" t="str">
        <f>""</f>
        <v/>
      </c>
      <c r="CC1200" t="str">
        <f>""</f>
        <v/>
      </c>
      <c r="CD1200" t="str">
        <f>""</f>
        <v/>
      </c>
      <c r="CE1200" t="str">
        <f>""</f>
        <v/>
      </c>
      <c r="CF1200" t="str">
        <f>""</f>
        <v/>
      </c>
      <c r="CG1200" t="str">
        <f>""</f>
        <v/>
      </c>
      <c r="CH1200" t="str">
        <f>""</f>
        <v/>
      </c>
      <c r="CI1200" t="str">
        <f>""</f>
        <v/>
      </c>
      <c r="CJ1200" t="str">
        <f>""</f>
        <v/>
      </c>
      <c r="CK1200" t="str">
        <f>""</f>
        <v/>
      </c>
      <c r="CL1200" t="str">
        <f>""</f>
        <v/>
      </c>
      <c r="CM1200" t="str">
        <f>""</f>
        <v/>
      </c>
      <c r="CN1200" t="str">
        <f>""</f>
        <v/>
      </c>
      <c r="CO1200" t="str">
        <f>""</f>
        <v/>
      </c>
      <c r="CP1200" t="str">
        <f>""</f>
        <v/>
      </c>
      <c r="CQ1200" t="str">
        <f>""</f>
        <v/>
      </c>
      <c r="CR1200" t="str">
        <f>""</f>
        <v/>
      </c>
      <c r="CS1200" t="str">
        <f>""</f>
        <v/>
      </c>
      <c r="CT1200" t="str">
        <f>""</f>
        <v/>
      </c>
      <c r="CU1200" t="str">
        <f>""</f>
        <v/>
      </c>
      <c r="CV1200" t="str">
        <f>""</f>
        <v/>
      </c>
      <c r="CW1200" t="str">
        <f>""</f>
        <v/>
      </c>
      <c r="CX1200" t="str">
        <f>""</f>
        <v/>
      </c>
      <c r="CY1200" t="str">
        <f>""</f>
        <v/>
      </c>
      <c r="CZ1200" t="str">
        <f>""</f>
        <v/>
      </c>
      <c r="DA1200" t="str">
        <f>""</f>
        <v/>
      </c>
      <c r="DB1200" t="str">
        <f>""</f>
        <v/>
      </c>
      <c r="DC1200" t="str">
        <f>""</f>
        <v/>
      </c>
      <c r="DD1200" t="str">
        <f>""</f>
        <v/>
      </c>
      <c r="DE1200" t="str">
        <f>""</f>
        <v/>
      </c>
      <c r="DF1200" t="str">
        <f>""</f>
        <v/>
      </c>
      <c r="DG1200" t="str">
        <f>""</f>
        <v/>
      </c>
      <c r="DH1200" t="str">
        <f>""</f>
        <v/>
      </c>
      <c r="DI1200" t="str">
        <f>""</f>
        <v/>
      </c>
      <c r="DJ1200" t="str">
        <f>""</f>
        <v/>
      </c>
      <c r="DK1200" t="str">
        <f>""</f>
        <v/>
      </c>
      <c r="DL1200" t="str">
        <f>""</f>
        <v/>
      </c>
      <c r="DM1200" t="str">
        <f>""</f>
        <v/>
      </c>
      <c r="DN1200" t="str">
        <f>""</f>
        <v/>
      </c>
      <c r="DO1200" t="str">
        <f>""</f>
        <v/>
      </c>
      <c r="DP1200" t="str">
        <f>""</f>
        <v/>
      </c>
      <c r="DQ1200" t="str">
        <f>""</f>
        <v/>
      </c>
      <c r="DR1200" t="str">
        <f>""</f>
        <v/>
      </c>
      <c r="DS1200" t="str">
        <f>""</f>
        <v/>
      </c>
      <c r="DT1200" t="str">
        <f>""</f>
        <v/>
      </c>
      <c r="DU1200" t="str">
        <f>""</f>
        <v/>
      </c>
    </row>
    <row r="1201" spans="1:125" x14ac:dyDescent="0.25">
      <c r="A1201" t="str">
        <f>$A$542</f>
        <v xml:space="preserve">    Bayerische Motoren Werke AG</v>
      </c>
      <c r="B1201" t="str">
        <f>$B$542</f>
        <v>BMW GR Equity</v>
      </c>
      <c r="C1201" t="str">
        <f>$C$542</f>
        <v>RX076</v>
      </c>
      <c r="D1201" t="str">
        <f>$D$542</f>
        <v>EBIT_YIELD</v>
      </c>
      <c r="E1201" t="str">
        <f>$E$542</f>
        <v>Dynamic</v>
      </c>
      <c r="F1201" t="str">
        <f ca="1">_xll.BDH($B$542,$C$542,$B$675,$B$676,CONCATENATE("Per=",$B$673),"Dts=H","Dir=H",CONCATENATE("Points=",$B$674),"Sort=R","Days=A","Fill=B",CONCATENATE("FX=", $B$672) )</f>
        <v>#N/A Connection</v>
      </c>
      <c r="BN1201" t="str">
        <f>""</f>
        <v/>
      </c>
      <c r="BO1201" t="str">
        <f>""</f>
        <v/>
      </c>
      <c r="BP1201" t="str">
        <f>""</f>
        <v/>
      </c>
      <c r="BQ1201" t="str">
        <f>""</f>
        <v/>
      </c>
      <c r="BR1201" t="str">
        <f>""</f>
        <v/>
      </c>
      <c r="BS1201" t="str">
        <f>""</f>
        <v/>
      </c>
      <c r="BT1201" t="str">
        <f>""</f>
        <v/>
      </c>
      <c r="BU1201" t="str">
        <f>""</f>
        <v/>
      </c>
      <c r="BV1201" t="str">
        <f>""</f>
        <v/>
      </c>
      <c r="BW1201" t="str">
        <f>""</f>
        <v/>
      </c>
      <c r="BX1201" t="str">
        <f>""</f>
        <v/>
      </c>
      <c r="BY1201" t="str">
        <f>""</f>
        <v/>
      </c>
      <c r="BZ1201" t="str">
        <f>""</f>
        <v/>
      </c>
      <c r="CA1201" t="str">
        <f>""</f>
        <v/>
      </c>
      <c r="CB1201" t="str">
        <f>""</f>
        <v/>
      </c>
      <c r="CC1201" t="str">
        <f>""</f>
        <v/>
      </c>
      <c r="CD1201" t="str">
        <f>""</f>
        <v/>
      </c>
      <c r="CE1201" t="str">
        <f>""</f>
        <v/>
      </c>
      <c r="CF1201" t="str">
        <f>""</f>
        <v/>
      </c>
      <c r="CG1201" t="str">
        <f>""</f>
        <v/>
      </c>
      <c r="CH1201" t="str">
        <f>""</f>
        <v/>
      </c>
      <c r="CI1201" t="str">
        <f>""</f>
        <v/>
      </c>
      <c r="CJ1201" t="str">
        <f>""</f>
        <v/>
      </c>
      <c r="CK1201" t="str">
        <f>""</f>
        <v/>
      </c>
      <c r="CL1201" t="str">
        <f>""</f>
        <v/>
      </c>
      <c r="CM1201" t="str">
        <f>""</f>
        <v/>
      </c>
      <c r="CN1201" t="str">
        <f>""</f>
        <v/>
      </c>
      <c r="CO1201" t="str">
        <f>""</f>
        <v/>
      </c>
      <c r="CP1201" t="str">
        <f>""</f>
        <v/>
      </c>
      <c r="CQ1201" t="str">
        <f>""</f>
        <v/>
      </c>
      <c r="CR1201" t="str">
        <f>""</f>
        <v/>
      </c>
      <c r="CS1201" t="str">
        <f>""</f>
        <v/>
      </c>
      <c r="CT1201" t="str">
        <f>""</f>
        <v/>
      </c>
      <c r="CU1201" t="str">
        <f>""</f>
        <v/>
      </c>
      <c r="CV1201" t="str">
        <f>""</f>
        <v/>
      </c>
      <c r="CW1201" t="str">
        <f>""</f>
        <v/>
      </c>
      <c r="CX1201" t="str">
        <f>""</f>
        <v/>
      </c>
      <c r="CY1201" t="str">
        <f>""</f>
        <v/>
      </c>
      <c r="CZ1201" t="str">
        <f>""</f>
        <v/>
      </c>
      <c r="DA1201" t="str">
        <f>""</f>
        <v/>
      </c>
      <c r="DB1201" t="str">
        <f>""</f>
        <v/>
      </c>
      <c r="DC1201" t="str">
        <f>""</f>
        <v/>
      </c>
      <c r="DD1201" t="str">
        <f>""</f>
        <v/>
      </c>
      <c r="DE1201" t="str">
        <f>""</f>
        <v/>
      </c>
      <c r="DF1201" t="str">
        <f>""</f>
        <v/>
      </c>
      <c r="DG1201" t="str">
        <f>""</f>
        <v/>
      </c>
      <c r="DH1201" t="str">
        <f>""</f>
        <v/>
      </c>
      <c r="DI1201" t="str">
        <f>""</f>
        <v/>
      </c>
      <c r="DJ1201" t="str">
        <f>""</f>
        <v/>
      </c>
      <c r="DK1201" t="str">
        <f>""</f>
        <v/>
      </c>
      <c r="DL1201" t="str">
        <f>""</f>
        <v/>
      </c>
      <c r="DM1201" t="str">
        <f>""</f>
        <v/>
      </c>
      <c r="DN1201" t="str">
        <f>""</f>
        <v/>
      </c>
      <c r="DO1201" t="str">
        <f>""</f>
        <v/>
      </c>
      <c r="DP1201" t="str">
        <f>""</f>
        <v/>
      </c>
      <c r="DQ1201" t="str">
        <f>""</f>
        <v/>
      </c>
      <c r="DR1201" t="str">
        <f>""</f>
        <v/>
      </c>
      <c r="DS1201" t="str">
        <f>""</f>
        <v/>
      </c>
      <c r="DT1201" t="str">
        <f>""</f>
        <v/>
      </c>
      <c r="DU1201" t="str">
        <f>""</f>
        <v/>
      </c>
    </row>
    <row r="1202" spans="1:125" x14ac:dyDescent="0.25">
      <c r="A1202" t="str">
        <f>$A$543</f>
        <v xml:space="preserve">    Brilliance China Automotive Holdings Ltd</v>
      </c>
      <c r="B1202" t="str">
        <f>$B$543</f>
        <v>1114 HK Equity</v>
      </c>
      <c r="C1202" t="str">
        <f>$C$543</f>
        <v>RX076</v>
      </c>
      <c r="D1202" t="str">
        <f>$D$543</f>
        <v>EBIT_YIELD</v>
      </c>
      <c r="E1202" t="str">
        <f>$E$543</f>
        <v>Dynamic</v>
      </c>
      <c r="F1202" t="str">
        <f ca="1">_xll.BDH($B$543,$C$543,$B$675,$B$676,CONCATENATE("Per=",$B$673),"Dts=H","Dir=H",CONCATENATE("Points=",$B$674),"Sort=R","Days=A","Fill=B",CONCATENATE("FX=", $B$672) )</f>
        <v>#N/A Connection</v>
      </c>
      <c r="BN1202" t="str">
        <f>""</f>
        <v/>
      </c>
      <c r="BO1202" t="str">
        <f>""</f>
        <v/>
      </c>
      <c r="BP1202" t="str">
        <f>""</f>
        <v/>
      </c>
      <c r="BQ1202" t="str">
        <f>""</f>
        <v/>
      </c>
      <c r="BR1202" t="str">
        <f>""</f>
        <v/>
      </c>
      <c r="BS1202" t="str">
        <f>""</f>
        <v/>
      </c>
      <c r="BT1202" t="str">
        <f>""</f>
        <v/>
      </c>
      <c r="BU1202" t="str">
        <f>""</f>
        <v/>
      </c>
      <c r="BV1202" t="str">
        <f>""</f>
        <v/>
      </c>
      <c r="BW1202" t="str">
        <f>""</f>
        <v/>
      </c>
      <c r="BX1202" t="str">
        <f>""</f>
        <v/>
      </c>
      <c r="BY1202" t="str">
        <f>""</f>
        <v/>
      </c>
      <c r="BZ1202" t="str">
        <f>""</f>
        <v/>
      </c>
      <c r="CA1202" t="str">
        <f>""</f>
        <v/>
      </c>
      <c r="CB1202" t="str">
        <f>""</f>
        <v/>
      </c>
      <c r="CC1202" t="str">
        <f>""</f>
        <v/>
      </c>
      <c r="CD1202" t="str">
        <f>""</f>
        <v/>
      </c>
      <c r="CE1202" t="str">
        <f>""</f>
        <v/>
      </c>
      <c r="CF1202" t="str">
        <f>""</f>
        <v/>
      </c>
      <c r="CG1202" t="str">
        <f>""</f>
        <v/>
      </c>
      <c r="CH1202" t="str">
        <f>""</f>
        <v/>
      </c>
      <c r="CI1202" t="str">
        <f>""</f>
        <v/>
      </c>
      <c r="CJ1202" t="str">
        <f>""</f>
        <v/>
      </c>
      <c r="CK1202" t="str">
        <f>""</f>
        <v/>
      </c>
      <c r="CL1202" t="str">
        <f>""</f>
        <v/>
      </c>
      <c r="CM1202" t="str">
        <f>""</f>
        <v/>
      </c>
      <c r="CN1202" t="str">
        <f>""</f>
        <v/>
      </c>
      <c r="CO1202" t="str">
        <f>""</f>
        <v/>
      </c>
      <c r="CP1202" t="str">
        <f>""</f>
        <v/>
      </c>
      <c r="CQ1202" t="str">
        <f>""</f>
        <v/>
      </c>
      <c r="CR1202" t="str">
        <f>""</f>
        <v/>
      </c>
      <c r="CS1202" t="str">
        <f>""</f>
        <v/>
      </c>
      <c r="CT1202" t="str">
        <f>""</f>
        <v/>
      </c>
      <c r="CU1202" t="str">
        <f>""</f>
        <v/>
      </c>
      <c r="CV1202" t="str">
        <f>""</f>
        <v/>
      </c>
      <c r="CW1202" t="str">
        <f>""</f>
        <v/>
      </c>
      <c r="CX1202" t="str">
        <f>""</f>
        <v/>
      </c>
      <c r="CY1202" t="str">
        <f>""</f>
        <v/>
      </c>
      <c r="CZ1202" t="str">
        <f>""</f>
        <v/>
      </c>
      <c r="DA1202" t="str">
        <f>""</f>
        <v/>
      </c>
      <c r="DB1202" t="str">
        <f>""</f>
        <v/>
      </c>
      <c r="DC1202" t="str">
        <f>""</f>
        <v/>
      </c>
      <c r="DD1202" t="str">
        <f>""</f>
        <v/>
      </c>
      <c r="DE1202" t="str">
        <f>""</f>
        <v/>
      </c>
      <c r="DF1202" t="str">
        <f>""</f>
        <v/>
      </c>
      <c r="DG1202" t="str">
        <f>""</f>
        <v/>
      </c>
      <c r="DH1202" t="str">
        <f>""</f>
        <v/>
      </c>
      <c r="DI1202" t="str">
        <f>""</f>
        <v/>
      </c>
      <c r="DJ1202" t="str">
        <f>""</f>
        <v/>
      </c>
      <c r="DK1202" t="str">
        <f>""</f>
        <v/>
      </c>
      <c r="DL1202" t="str">
        <f>""</f>
        <v/>
      </c>
      <c r="DM1202" t="str">
        <f>""</f>
        <v/>
      </c>
      <c r="DN1202" t="str">
        <f>""</f>
        <v/>
      </c>
      <c r="DO1202" t="str">
        <f>""</f>
        <v/>
      </c>
      <c r="DP1202" t="str">
        <f>""</f>
        <v/>
      </c>
      <c r="DQ1202" t="str">
        <f>""</f>
        <v/>
      </c>
      <c r="DR1202" t="str">
        <f>""</f>
        <v/>
      </c>
      <c r="DS1202" t="str">
        <f>""</f>
        <v/>
      </c>
      <c r="DT1202" t="str">
        <f>""</f>
        <v/>
      </c>
      <c r="DU1202" t="str">
        <f>""</f>
        <v/>
      </c>
    </row>
    <row r="1203" spans="1:125" x14ac:dyDescent="0.25">
      <c r="A1203" t="str">
        <f>$A$544</f>
        <v xml:space="preserve">    BYD Co Ltd</v>
      </c>
      <c r="B1203" t="str">
        <f>$B$544</f>
        <v>1211 HK Equity</v>
      </c>
      <c r="C1203" t="str">
        <f>$C$544</f>
        <v>RX076</v>
      </c>
      <c r="D1203" t="str">
        <f>$D$544</f>
        <v>EBIT_YIELD</v>
      </c>
      <c r="E1203" t="str">
        <f>$E$544</f>
        <v>Dynamic</v>
      </c>
      <c r="F1203" t="str">
        <f ca="1">_xll.BDH($B$544,$C$544,$B$675,$B$676,CONCATENATE("Per=",$B$673),"Dts=H","Dir=H",CONCATENATE("Points=",$B$674),"Sort=R","Days=A","Fill=B",CONCATENATE("FX=", $B$672) )</f>
        <v>#N/A Connection</v>
      </c>
      <c r="BN1203" t="str">
        <f>""</f>
        <v/>
      </c>
      <c r="BO1203" t="str">
        <f>""</f>
        <v/>
      </c>
      <c r="BP1203" t="str">
        <f>""</f>
        <v/>
      </c>
      <c r="BQ1203" t="str">
        <f>""</f>
        <v/>
      </c>
      <c r="BR1203" t="str">
        <f>""</f>
        <v/>
      </c>
      <c r="BS1203" t="str">
        <f>""</f>
        <v/>
      </c>
      <c r="BT1203" t="str">
        <f>""</f>
        <v/>
      </c>
      <c r="BU1203" t="str">
        <f>""</f>
        <v/>
      </c>
      <c r="BV1203" t="str">
        <f>""</f>
        <v/>
      </c>
      <c r="BW1203" t="str">
        <f>""</f>
        <v/>
      </c>
      <c r="BX1203" t="str">
        <f>""</f>
        <v/>
      </c>
      <c r="BY1203" t="str">
        <f>""</f>
        <v/>
      </c>
      <c r="BZ1203" t="str">
        <f>""</f>
        <v/>
      </c>
      <c r="CA1203" t="str">
        <f>""</f>
        <v/>
      </c>
      <c r="CB1203" t="str">
        <f>""</f>
        <v/>
      </c>
      <c r="CC1203" t="str">
        <f>""</f>
        <v/>
      </c>
      <c r="CD1203" t="str">
        <f>""</f>
        <v/>
      </c>
      <c r="CE1203" t="str">
        <f>""</f>
        <v/>
      </c>
      <c r="CF1203" t="str">
        <f>""</f>
        <v/>
      </c>
      <c r="CG1203" t="str">
        <f>""</f>
        <v/>
      </c>
      <c r="CH1203" t="str">
        <f>""</f>
        <v/>
      </c>
      <c r="CI1203" t="str">
        <f>""</f>
        <v/>
      </c>
      <c r="CJ1203" t="str">
        <f>""</f>
        <v/>
      </c>
      <c r="CK1203" t="str">
        <f>""</f>
        <v/>
      </c>
      <c r="CL1203" t="str">
        <f>""</f>
        <v/>
      </c>
      <c r="CM1203" t="str">
        <f>""</f>
        <v/>
      </c>
      <c r="CN1203" t="str">
        <f>""</f>
        <v/>
      </c>
      <c r="CO1203" t="str">
        <f>""</f>
        <v/>
      </c>
      <c r="CP1203" t="str">
        <f>""</f>
        <v/>
      </c>
      <c r="CQ1203" t="str">
        <f>""</f>
        <v/>
      </c>
      <c r="CR1203" t="str">
        <f>""</f>
        <v/>
      </c>
      <c r="CS1203" t="str">
        <f>""</f>
        <v/>
      </c>
      <c r="CT1203" t="str">
        <f>""</f>
        <v/>
      </c>
      <c r="CU1203" t="str">
        <f>""</f>
        <v/>
      </c>
      <c r="CV1203" t="str">
        <f>""</f>
        <v/>
      </c>
      <c r="CW1203" t="str">
        <f>""</f>
        <v/>
      </c>
      <c r="CX1203" t="str">
        <f>""</f>
        <v/>
      </c>
      <c r="CY1203" t="str">
        <f>""</f>
        <v/>
      </c>
      <c r="CZ1203" t="str">
        <f>""</f>
        <v/>
      </c>
      <c r="DA1203" t="str">
        <f>""</f>
        <v/>
      </c>
      <c r="DB1203" t="str">
        <f>""</f>
        <v/>
      </c>
      <c r="DC1203" t="str">
        <f>""</f>
        <v/>
      </c>
      <c r="DD1203" t="str">
        <f>""</f>
        <v/>
      </c>
      <c r="DE1203" t="str">
        <f>""</f>
        <v/>
      </c>
      <c r="DF1203" t="str">
        <f>""</f>
        <v/>
      </c>
      <c r="DG1203" t="str">
        <f>""</f>
        <v/>
      </c>
      <c r="DH1203" t="str">
        <f>""</f>
        <v/>
      </c>
      <c r="DI1203" t="str">
        <f>""</f>
        <v/>
      </c>
      <c r="DJ1203" t="str">
        <f>""</f>
        <v/>
      </c>
      <c r="DK1203" t="str">
        <f>""</f>
        <v/>
      </c>
      <c r="DL1203" t="str">
        <f>""</f>
        <v/>
      </c>
      <c r="DM1203" t="str">
        <f>""</f>
        <v/>
      </c>
      <c r="DN1203" t="str">
        <f>""</f>
        <v/>
      </c>
      <c r="DO1203" t="str">
        <f>""</f>
        <v/>
      </c>
      <c r="DP1203" t="str">
        <f>""</f>
        <v/>
      </c>
      <c r="DQ1203" t="str">
        <f>""</f>
        <v/>
      </c>
      <c r="DR1203" t="str">
        <f>""</f>
        <v/>
      </c>
      <c r="DS1203" t="str">
        <f>""</f>
        <v/>
      </c>
      <c r="DT1203" t="str">
        <f>""</f>
        <v/>
      </c>
      <c r="DU1203" t="str">
        <f>""</f>
        <v/>
      </c>
    </row>
    <row r="1204" spans="1:125" x14ac:dyDescent="0.25">
      <c r="A1204" t="str">
        <f>$A$545</f>
        <v xml:space="preserve">    Chongqing Changan Automobile Co Ltd</v>
      </c>
      <c r="B1204" t="str">
        <f>$B$545</f>
        <v>200625 CH Equity</v>
      </c>
      <c r="C1204" t="str">
        <f>$C$545</f>
        <v>RX076</v>
      </c>
      <c r="D1204" t="str">
        <f>$D$545</f>
        <v>EBIT_YIELD</v>
      </c>
      <c r="E1204" t="str">
        <f>$E$545</f>
        <v>Dynamic</v>
      </c>
      <c r="F1204" t="str">
        <f ca="1">_xll.BDH($B$545,$C$545,$B$675,$B$676,CONCATENATE("Per=",$B$673),"Dts=H","Dir=H",CONCATENATE("Points=",$B$674),"Sort=R","Days=A","Fill=B",CONCATENATE("FX=", $B$672) )</f>
        <v>#N/A Connection</v>
      </c>
      <c r="BN1204" t="str">
        <f>""</f>
        <v/>
      </c>
      <c r="BO1204" t="str">
        <f>""</f>
        <v/>
      </c>
      <c r="BP1204" t="str">
        <f>""</f>
        <v/>
      </c>
      <c r="BQ1204" t="str">
        <f>""</f>
        <v/>
      </c>
      <c r="BR1204" t="str">
        <f>""</f>
        <v/>
      </c>
      <c r="BS1204" t="str">
        <f>""</f>
        <v/>
      </c>
      <c r="BT1204" t="str">
        <f>""</f>
        <v/>
      </c>
      <c r="BU1204" t="str">
        <f>""</f>
        <v/>
      </c>
      <c r="BV1204" t="str">
        <f>""</f>
        <v/>
      </c>
      <c r="BW1204" t="str">
        <f>""</f>
        <v/>
      </c>
      <c r="BX1204" t="str">
        <f>""</f>
        <v/>
      </c>
      <c r="BY1204" t="str">
        <f>""</f>
        <v/>
      </c>
      <c r="BZ1204" t="str">
        <f>""</f>
        <v/>
      </c>
      <c r="CA1204" t="str">
        <f>""</f>
        <v/>
      </c>
      <c r="CB1204" t="str">
        <f>""</f>
        <v/>
      </c>
      <c r="CC1204" t="str">
        <f>""</f>
        <v/>
      </c>
      <c r="CD1204" t="str">
        <f>""</f>
        <v/>
      </c>
      <c r="CE1204" t="str">
        <f>""</f>
        <v/>
      </c>
      <c r="CF1204" t="str">
        <f>""</f>
        <v/>
      </c>
      <c r="CG1204" t="str">
        <f>""</f>
        <v/>
      </c>
      <c r="CH1204" t="str">
        <f>""</f>
        <v/>
      </c>
      <c r="CI1204" t="str">
        <f>""</f>
        <v/>
      </c>
      <c r="CJ1204" t="str">
        <f>""</f>
        <v/>
      </c>
      <c r="CK1204" t="str">
        <f>""</f>
        <v/>
      </c>
      <c r="CL1204" t="str">
        <f>""</f>
        <v/>
      </c>
      <c r="CM1204" t="str">
        <f>""</f>
        <v/>
      </c>
      <c r="CN1204" t="str">
        <f>""</f>
        <v/>
      </c>
      <c r="CO1204" t="str">
        <f>""</f>
        <v/>
      </c>
      <c r="CP1204" t="str">
        <f>""</f>
        <v/>
      </c>
      <c r="CQ1204" t="str">
        <f>""</f>
        <v/>
      </c>
      <c r="CR1204" t="str">
        <f>""</f>
        <v/>
      </c>
      <c r="CS1204" t="str">
        <f>""</f>
        <v/>
      </c>
      <c r="CT1204" t="str">
        <f>""</f>
        <v/>
      </c>
      <c r="CU1204" t="str">
        <f>""</f>
        <v/>
      </c>
      <c r="CV1204" t="str">
        <f>""</f>
        <v/>
      </c>
      <c r="CW1204" t="str">
        <f>""</f>
        <v/>
      </c>
      <c r="CX1204" t="str">
        <f>""</f>
        <v/>
      </c>
      <c r="CY1204" t="str">
        <f>""</f>
        <v/>
      </c>
      <c r="CZ1204" t="str">
        <f>""</f>
        <v/>
      </c>
      <c r="DA1204" t="str">
        <f>""</f>
        <v/>
      </c>
      <c r="DB1204" t="str">
        <f>""</f>
        <v/>
      </c>
      <c r="DC1204" t="str">
        <f>""</f>
        <v/>
      </c>
      <c r="DD1204" t="str">
        <f>""</f>
        <v/>
      </c>
      <c r="DE1204" t="str">
        <f>""</f>
        <v/>
      </c>
      <c r="DF1204" t="str">
        <f>""</f>
        <v/>
      </c>
      <c r="DG1204" t="str">
        <f>""</f>
        <v/>
      </c>
      <c r="DH1204" t="str">
        <f>""</f>
        <v/>
      </c>
      <c r="DI1204" t="str">
        <f>""</f>
        <v/>
      </c>
      <c r="DJ1204" t="str">
        <f>""</f>
        <v/>
      </c>
      <c r="DK1204" t="str">
        <f>""</f>
        <v/>
      </c>
      <c r="DL1204" t="str">
        <f>""</f>
        <v/>
      </c>
      <c r="DM1204" t="str">
        <f>""</f>
        <v/>
      </c>
      <c r="DN1204" t="str">
        <f>""</f>
        <v/>
      </c>
      <c r="DO1204" t="str">
        <f>""</f>
        <v/>
      </c>
      <c r="DP1204" t="str">
        <f>""</f>
        <v/>
      </c>
      <c r="DQ1204" t="str">
        <f>""</f>
        <v/>
      </c>
      <c r="DR1204" t="str">
        <f>""</f>
        <v/>
      </c>
      <c r="DS1204" t="str">
        <f>""</f>
        <v/>
      </c>
      <c r="DT1204" t="str">
        <f>""</f>
        <v/>
      </c>
      <c r="DU1204" t="str">
        <f>""</f>
        <v/>
      </c>
    </row>
    <row r="1205" spans="1:125" x14ac:dyDescent="0.25">
      <c r="A1205" t="str">
        <f>$A$546</f>
        <v xml:space="preserve">    Daihatsu Motor Co Ltd</v>
      </c>
      <c r="B1205" t="str">
        <f>$B$546</f>
        <v>7262 JP Equity</v>
      </c>
      <c r="C1205" t="str">
        <f>$C$546</f>
        <v>RX076</v>
      </c>
      <c r="D1205" t="str">
        <f>$D$546</f>
        <v>EBIT_YIELD</v>
      </c>
      <c r="E1205" t="str">
        <f>$E$546</f>
        <v>Dynamic</v>
      </c>
      <c r="F1205" t="str">
        <f ca="1">_xll.BDH($B$546,$C$546,$B$675,$B$676,CONCATENATE("Per=",$B$673),"Dts=H","Dir=H",CONCATENATE("Points=",$B$674),"Sort=R","Days=A","Fill=B",CONCATENATE("FX=", $B$672) )</f>
        <v>#N/A Connection</v>
      </c>
      <c r="BN1205" t="str">
        <f>""</f>
        <v/>
      </c>
      <c r="BO1205" t="str">
        <f>""</f>
        <v/>
      </c>
      <c r="BP1205" t="str">
        <f>""</f>
        <v/>
      </c>
      <c r="BQ1205" t="str">
        <f>""</f>
        <v/>
      </c>
      <c r="BR1205" t="str">
        <f>""</f>
        <v/>
      </c>
      <c r="BS1205" t="str">
        <f>""</f>
        <v/>
      </c>
      <c r="BT1205" t="str">
        <f>""</f>
        <v/>
      </c>
      <c r="BU1205" t="str">
        <f>""</f>
        <v/>
      </c>
      <c r="BV1205" t="str">
        <f>""</f>
        <v/>
      </c>
      <c r="BW1205" t="str">
        <f>""</f>
        <v/>
      </c>
      <c r="BX1205" t="str">
        <f>""</f>
        <v/>
      </c>
      <c r="BY1205" t="str">
        <f>""</f>
        <v/>
      </c>
      <c r="BZ1205" t="str">
        <f>""</f>
        <v/>
      </c>
      <c r="CA1205" t="str">
        <f>""</f>
        <v/>
      </c>
      <c r="CB1205" t="str">
        <f>""</f>
        <v/>
      </c>
      <c r="CC1205" t="str">
        <f>""</f>
        <v/>
      </c>
      <c r="CD1205" t="str">
        <f>""</f>
        <v/>
      </c>
      <c r="CE1205" t="str">
        <f>""</f>
        <v/>
      </c>
      <c r="CF1205" t="str">
        <f>""</f>
        <v/>
      </c>
      <c r="CG1205" t="str">
        <f>""</f>
        <v/>
      </c>
      <c r="CH1205" t="str">
        <f>""</f>
        <v/>
      </c>
      <c r="CI1205" t="str">
        <f>""</f>
        <v/>
      </c>
      <c r="CJ1205" t="str">
        <f>""</f>
        <v/>
      </c>
      <c r="CK1205" t="str">
        <f>""</f>
        <v/>
      </c>
      <c r="CL1205" t="str">
        <f>""</f>
        <v/>
      </c>
      <c r="CM1205" t="str">
        <f>""</f>
        <v/>
      </c>
      <c r="CN1205" t="str">
        <f>""</f>
        <v/>
      </c>
      <c r="CO1205" t="str">
        <f>""</f>
        <v/>
      </c>
      <c r="CP1205" t="str">
        <f>""</f>
        <v/>
      </c>
      <c r="CQ1205" t="str">
        <f>""</f>
        <v/>
      </c>
      <c r="CR1205" t="str">
        <f>""</f>
        <v/>
      </c>
      <c r="CS1205" t="str">
        <f>""</f>
        <v/>
      </c>
      <c r="CT1205" t="str">
        <f>""</f>
        <v/>
      </c>
      <c r="CU1205" t="str">
        <f>""</f>
        <v/>
      </c>
      <c r="CV1205" t="str">
        <f>""</f>
        <v/>
      </c>
      <c r="CW1205" t="str">
        <f>""</f>
        <v/>
      </c>
      <c r="CX1205" t="str">
        <f>""</f>
        <v/>
      </c>
      <c r="CY1205" t="str">
        <f>""</f>
        <v/>
      </c>
      <c r="CZ1205" t="str">
        <f>""</f>
        <v/>
      </c>
      <c r="DA1205" t="str">
        <f>""</f>
        <v/>
      </c>
      <c r="DB1205" t="str">
        <f>""</f>
        <v/>
      </c>
      <c r="DC1205" t="str">
        <f>""</f>
        <v/>
      </c>
      <c r="DD1205" t="str">
        <f>""</f>
        <v/>
      </c>
      <c r="DE1205" t="str">
        <f>""</f>
        <v/>
      </c>
      <c r="DF1205" t="str">
        <f>""</f>
        <v/>
      </c>
      <c r="DG1205" t="str">
        <f>""</f>
        <v/>
      </c>
      <c r="DH1205" t="str">
        <f>""</f>
        <v/>
      </c>
      <c r="DI1205" t="str">
        <f>""</f>
        <v/>
      </c>
      <c r="DJ1205" t="str">
        <f>""</f>
        <v/>
      </c>
      <c r="DK1205" t="str">
        <f>""</f>
        <v/>
      </c>
      <c r="DL1205" t="str">
        <f>""</f>
        <v/>
      </c>
      <c r="DM1205" t="str">
        <f>""</f>
        <v/>
      </c>
      <c r="DN1205" t="str">
        <f>""</f>
        <v/>
      </c>
      <c r="DO1205" t="str">
        <f>""</f>
        <v/>
      </c>
      <c r="DP1205" t="str">
        <f>""</f>
        <v/>
      </c>
      <c r="DQ1205" t="str">
        <f>""</f>
        <v/>
      </c>
      <c r="DR1205" t="str">
        <f>""</f>
        <v/>
      </c>
      <c r="DS1205" t="str">
        <f>""</f>
        <v/>
      </c>
      <c r="DT1205" t="str">
        <f>""</f>
        <v/>
      </c>
      <c r="DU1205" t="str">
        <f>""</f>
        <v/>
      </c>
    </row>
    <row r="1206" spans="1:125" x14ac:dyDescent="0.25">
      <c r="A1206" t="str">
        <f>$A$547</f>
        <v xml:space="preserve">    Daimler AG</v>
      </c>
      <c r="B1206" t="str">
        <f>$B$547</f>
        <v>DAI GR Equity</v>
      </c>
      <c r="C1206" t="str">
        <f>$C$547</f>
        <v>RX076</v>
      </c>
      <c r="D1206" t="str">
        <f>$D$547</f>
        <v>EBIT_YIELD</v>
      </c>
      <c r="E1206" t="str">
        <f>$E$547</f>
        <v>Dynamic</v>
      </c>
      <c r="F1206" t="str">
        <f ca="1">_xll.BDH($B$547,$C$547,$B$675,$B$676,CONCATENATE("Per=",$B$673),"Dts=H","Dir=H",CONCATENATE("Points=",$B$674),"Sort=R","Days=A","Fill=B",CONCATENATE("FX=", $B$672) )</f>
        <v>#N/A Connection</v>
      </c>
      <c r="BN1206" t="str">
        <f>""</f>
        <v/>
      </c>
      <c r="BO1206" t="str">
        <f>""</f>
        <v/>
      </c>
      <c r="BP1206" t="str">
        <f>""</f>
        <v/>
      </c>
      <c r="BQ1206" t="str">
        <f>""</f>
        <v/>
      </c>
      <c r="BR1206" t="str">
        <f>""</f>
        <v/>
      </c>
      <c r="BS1206" t="str">
        <f>""</f>
        <v/>
      </c>
      <c r="BT1206" t="str">
        <f>""</f>
        <v/>
      </c>
      <c r="BU1206" t="str">
        <f>""</f>
        <v/>
      </c>
      <c r="BV1206" t="str">
        <f>""</f>
        <v/>
      </c>
      <c r="BW1206" t="str">
        <f>""</f>
        <v/>
      </c>
      <c r="BX1206" t="str">
        <f>""</f>
        <v/>
      </c>
      <c r="BY1206" t="str">
        <f>""</f>
        <v/>
      </c>
      <c r="BZ1206" t="str">
        <f>""</f>
        <v/>
      </c>
      <c r="CA1206" t="str">
        <f>""</f>
        <v/>
      </c>
      <c r="CB1206" t="str">
        <f>""</f>
        <v/>
      </c>
      <c r="CC1206" t="str">
        <f>""</f>
        <v/>
      </c>
      <c r="CD1206" t="str">
        <f>""</f>
        <v/>
      </c>
      <c r="CE1206" t="str">
        <f>""</f>
        <v/>
      </c>
      <c r="CF1206" t="str">
        <f>""</f>
        <v/>
      </c>
      <c r="CG1206" t="str">
        <f>""</f>
        <v/>
      </c>
      <c r="CH1206" t="str">
        <f>""</f>
        <v/>
      </c>
      <c r="CI1206" t="str">
        <f>""</f>
        <v/>
      </c>
      <c r="CJ1206" t="str">
        <f>""</f>
        <v/>
      </c>
      <c r="CK1206" t="str">
        <f>""</f>
        <v/>
      </c>
      <c r="CL1206" t="str">
        <f>""</f>
        <v/>
      </c>
      <c r="CM1206" t="str">
        <f>""</f>
        <v/>
      </c>
      <c r="CN1206" t="str">
        <f>""</f>
        <v/>
      </c>
      <c r="CO1206" t="str">
        <f>""</f>
        <v/>
      </c>
      <c r="CP1206" t="str">
        <f>""</f>
        <v/>
      </c>
      <c r="CQ1206" t="str">
        <f>""</f>
        <v/>
      </c>
      <c r="CR1206" t="str">
        <f>""</f>
        <v/>
      </c>
      <c r="CS1206" t="str">
        <f>""</f>
        <v/>
      </c>
      <c r="CT1206" t="str">
        <f>""</f>
        <v/>
      </c>
      <c r="CU1206" t="str">
        <f>""</f>
        <v/>
      </c>
      <c r="CV1206" t="str">
        <f>""</f>
        <v/>
      </c>
      <c r="CW1206" t="str">
        <f>""</f>
        <v/>
      </c>
      <c r="CX1206" t="str">
        <f>""</f>
        <v/>
      </c>
      <c r="CY1206" t="str">
        <f>""</f>
        <v/>
      </c>
      <c r="CZ1206" t="str">
        <f>""</f>
        <v/>
      </c>
      <c r="DA1206" t="str">
        <f>""</f>
        <v/>
      </c>
      <c r="DB1206" t="str">
        <f>""</f>
        <v/>
      </c>
      <c r="DC1206" t="str">
        <f>""</f>
        <v/>
      </c>
      <c r="DD1206" t="str">
        <f>""</f>
        <v/>
      </c>
      <c r="DE1206" t="str">
        <f>""</f>
        <v/>
      </c>
      <c r="DF1206" t="str">
        <f>""</f>
        <v/>
      </c>
      <c r="DG1206" t="str">
        <f>""</f>
        <v/>
      </c>
      <c r="DH1206" t="str">
        <f>""</f>
        <v/>
      </c>
      <c r="DI1206" t="str">
        <f>""</f>
        <v/>
      </c>
      <c r="DJ1206" t="str">
        <f>""</f>
        <v/>
      </c>
      <c r="DK1206" t="str">
        <f>""</f>
        <v/>
      </c>
      <c r="DL1206" t="str">
        <f>""</f>
        <v/>
      </c>
      <c r="DM1206" t="str">
        <f>""</f>
        <v/>
      </c>
      <c r="DN1206" t="str">
        <f>""</f>
        <v/>
      </c>
      <c r="DO1206" t="str">
        <f>""</f>
        <v/>
      </c>
      <c r="DP1206" t="str">
        <f>""</f>
        <v/>
      </c>
      <c r="DQ1206" t="str">
        <f>""</f>
        <v/>
      </c>
      <c r="DR1206" t="str">
        <f>""</f>
        <v/>
      </c>
      <c r="DS1206" t="str">
        <f>""</f>
        <v/>
      </c>
      <c r="DT1206" t="str">
        <f>""</f>
        <v/>
      </c>
      <c r="DU1206" t="str">
        <f>""</f>
        <v/>
      </c>
    </row>
    <row r="1207" spans="1:125" x14ac:dyDescent="0.25">
      <c r="A1207" t="str">
        <f>$A$548</f>
        <v xml:space="preserve">    Dongfeng Motor Group Co Ltd</v>
      </c>
      <c r="B1207" t="str">
        <f>$B$548</f>
        <v>489 HK Equity</v>
      </c>
      <c r="C1207" t="str">
        <f>$C$548</f>
        <v>RX076</v>
      </c>
      <c r="D1207" t="str">
        <f>$D$548</f>
        <v>EBIT_YIELD</v>
      </c>
      <c r="E1207" t="str">
        <f>$E$548</f>
        <v>Dynamic</v>
      </c>
      <c r="F1207" t="str">
        <f ca="1">_xll.BDH($B$548,$C$548,$B$675,$B$676,CONCATENATE("Per=",$B$673),"Dts=H","Dir=H",CONCATENATE("Points=",$B$674),"Sort=R","Days=A","Fill=B",CONCATENATE("FX=", $B$672) )</f>
        <v>#N/A Connection</v>
      </c>
      <c r="BN1207" t="str">
        <f>""</f>
        <v/>
      </c>
      <c r="BO1207" t="str">
        <f>""</f>
        <v/>
      </c>
      <c r="BP1207" t="str">
        <f>""</f>
        <v/>
      </c>
      <c r="BQ1207" t="str">
        <f>""</f>
        <v/>
      </c>
      <c r="BR1207" t="str">
        <f>""</f>
        <v/>
      </c>
      <c r="BS1207" t="str">
        <f>""</f>
        <v/>
      </c>
      <c r="BT1207" t="str">
        <f>""</f>
        <v/>
      </c>
      <c r="BU1207" t="str">
        <f>""</f>
        <v/>
      </c>
      <c r="BV1207" t="str">
        <f>""</f>
        <v/>
      </c>
      <c r="BW1207" t="str">
        <f>""</f>
        <v/>
      </c>
      <c r="BX1207" t="str">
        <f>""</f>
        <v/>
      </c>
      <c r="BY1207" t="str">
        <f>""</f>
        <v/>
      </c>
      <c r="BZ1207" t="str">
        <f>""</f>
        <v/>
      </c>
      <c r="CA1207" t="str">
        <f>""</f>
        <v/>
      </c>
      <c r="CB1207" t="str">
        <f>""</f>
        <v/>
      </c>
      <c r="CC1207" t="str">
        <f>""</f>
        <v/>
      </c>
      <c r="CD1207" t="str">
        <f>""</f>
        <v/>
      </c>
      <c r="CE1207" t="str">
        <f>""</f>
        <v/>
      </c>
      <c r="CF1207" t="str">
        <f>""</f>
        <v/>
      </c>
      <c r="CG1207" t="str">
        <f>""</f>
        <v/>
      </c>
      <c r="CH1207" t="str">
        <f>""</f>
        <v/>
      </c>
      <c r="CI1207" t="str">
        <f>""</f>
        <v/>
      </c>
      <c r="CJ1207" t="str">
        <f>""</f>
        <v/>
      </c>
      <c r="CK1207" t="str">
        <f>""</f>
        <v/>
      </c>
      <c r="CL1207" t="str">
        <f>""</f>
        <v/>
      </c>
      <c r="CM1207" t="str">
        <f>""</f>
        <v/>
      </c>
      <c r="CN1207" t="str">
        <f>""</f>
        <v/>
      </c>
      <c r="CO1207" t="str">
        <f>""</f>
        <v/>
      </c>
      <c r="CP1207" t="str">
        <f>""</f>
        <v/>
      </c>
      <c r="CQ1207" t="str">
        <f>""</f>
        <v/>
      </c>
      <c r="CR1207" t="str">
        <f>""</f>
        <v/>
      </c>
      <c r="CS1207" t="str">
        <f>""</f>
        <v/>
      </c>
      <c r="CT1207" t="str">
        <f>""</f>
        <v/>
      </c>
      <c r="CU1207" t="str">
        <f>""</f>
        <v/>
      </c>
      <c r="CV1207" t="str">
        <f>""</f>
        <v/>
      </c>
      <c r="CW1207" t="str">
        <f>""</f>
        <v/>
      </c>
      <c r="CX1207" t="str">
        <f>""</f>
        <v/>
      </c>
      <c r="CY1207" t="str">
        <f>""</f>
        <v/>
      </c>
      <c r="CZ1207" t="str">
        <f>""</f>
        <v/>
      </c>
      <c r="DA1207" t="str">
        <f>""</f>
        <v/>
      </c>
      <c r="DB1207" t="str">
        <f>""</f>
        <v/>
      </c>
      <c r="DC1207" t="str">
        <f>""</f>
        <v/>
      </c>
      <c r="DD1207" t="str">
        <f>""</f>
        <v/>
      </c>
      <c r="DE1207" t="str">
        <f>""</f>
        <v/>
      </c>
      <c r="DF1207" t="str">
        <f>""</f>
        <v/>
      </c>
      <c r="DG1207" t="str">
        <f>""</f>
        <v/>
      </c>
      <c r="DH1207" t="str">
        <f>""</f>
        <v/>
      </c>
      <c r="DI1207" t="str">
        <f>""</f>
        <v/>
      </c>
      <c r="DJ1207" t="str">
        <f>""</f>
        <v/>
      </c>
      <c r="DK1207" t="str">
        <f>""</f>
        <v/>
      </c>
      <c r="DL1207" t="str">
        <f>""</f>
        <v/>
      </c>
      <c r="DM1207" t="str">
        <f>""</f>
        <v/>
      </c>
      <c r="DN1207" t="str">
        <f>""</f>
        <v/>
      </c>
      <c r="DO1207" t="str">
        <f>""</f>
        <v/>
      </c>
      <c r="DP1207" t="str">
        <f>""</f>
        <v/>
      </c>
      <c r="DQ1207" t="str">
        <f>""</f>
        <v/>
      </c>
      <c r="DR1207" t="str">
        <f>""</f>
        <v/>
      </c>
      <c r="DS1207" t="str">
        <f>""</f>
        <v/>
      </c>
      <c r="DT1207" t="str">
        <f>""</f>
        <v/>
      </c>
      <c r="DU1207" t="str">
        <f>""</f>
        <v/>
      </c>
    </row>
    <row r="1208" spans="1:125" x14ac:dyDescent="0.25">
      <c r="A1208" t="str">
        <f>$A$549</f>
        <v xml:space="preserve">    DRB-Hicom Bhd</v>
      </c>
      <c r="B1208" t="str">
        <f>$B$549</f>
        <v>DRB MK Equity</v>
      </c>
      <c r="C1208" t="str">
        <f>$C$549</f>
        <v>RX076</v>
      </c>
      <c r="D1208" t="str">
        <f>$D$549</f>
        <v>EBIT_YIELD</v>
      </c>
      <c r="E1208" t="str">
        <f>$E$549</f>
        <v>Dynamic</v>
      </c>
      <c r="F1208" t="str">
        <f ca="1">_xll.BDH($B$549,$C$549,$B$675,$B$676,CONCATENATE("Per=",$B$673),"Dts=H","Dir=H",CONCATENATE("Points=",$B$674),"Sort=R","Days=A","Fill=B",CONCATENATE("FX=", $B$672) )</f>
        <v>#N/A Connection</v>
      </c>
      <c r="BN1208" t="str">
        <f>""</f>
        <v/>
      </c>
      <c r="BO1208" t="str">
        <f>""</f>
        <v/>
      </c>
      <c r="BP1208" t="str">
        <f>""</f>
        <v/>
      </c>
      <c r="BQ1208" t="str">
        <f>""</f>
        <v/>
      </c>
      <c r="BR1208" t="str">
        <f>""</f>
        <v/>
      </c>
      <c r="BS1208" t="str">
        <f>""</f>
        <v/>
      </c>
      <c r="BT1208" t="str">
        <f>""</f>
        <v/>
      </c>
      <c r="BU1208" t="str">
        <f>""</f>
        <v/>
      </c>
      <c r="BV1208" t="str">
        <f>""</f>
        <v/>
      </c>
      <c r="BW1208" t="str">
        <f>""</f>
        <v/>
      </c>
      <c r="BX1208" t="str">
        <f>""</f>
        <v/>
      </c>
      <c r="BY1208" t="str">
        <f>""</f>
        <v/>
      </c>
      <c r="BZ1208" t="str">
        <f>""</f>
        <v/>
      </c>
      <c r="CA1208" t="str">
        <f>""</f>
        <v/>
      </c>
      <c r="CB1208" t="str">
        <f>""</f>
        <v/>
      </c>
      <c r="CC1208" t="str">
        <f>""</f>
        <v/>
      </c>
      <c r="CD1208" t="str">
        <f>""</f>
        <v/>
      </c>
      <c r="CE1208" t="str">
        <f>""</f>
        <v/>
      </c>
      <c r="CF1208" t="str">
        <f>""</f>
        <v/>
      </c>
      <c r="CG1208" t="str">
        <f>""</f>
        <v/>
      </c>
      <c r="CH1208" t="str">
        <f>""</f>
        <v/>
      </c>
      <c r="CI1208" t="str">
        <f>""</f>
        <v/>
      </c>
      <c r="CJ1208" t="str">
        <f>""</f>
        <v/>
      </c>
      <c r="CK1208" t="str">
        <f>""</f>
        <v/>
      </c>
      <c r="CL1208" t="str">
        <f>""</f>
        <v/>
      </c>
      <c r="CM1208" t="str">
        <f>""</f>
        <v/>
      </c>
      <c r="CN1208" t="str">
        <f>""</f>
        <v/>
      </c>
      <c r="CO1208" t="str">
        <f>""</f>
        <v/>
      </c>
      <c r="CP1208" t="str">
        <f>""</f>
        <v/>
      </c>
      <c r="CQ1208" t="str">
        <f>""</f>
        <v/>
      </c>
      <c r="CR1208" t="str">
        <f>""</f>
        <v/>
      </c>
      <c r="CS1208" t="str">
        <f>""</f>
        <v/>
      </c>
      <c r="CT1208" t="str">
        <f>""</f>
        <v/>
      </c>
      <c r="CU1208" t="str">
        <f>""</f>
        <v/>
      </c>
      <c r="CV1208" t="str">
        <f>""</f>
        <v/>
      </c>
      <c r="CW1208" t="str">
        <f>""</f>
        <v/>
      </c>
      <c r="CX1208" t="str">
        <f>""</f>
        <v/>
      </c>
      <c r="CY1208" t="str">
        <f>""</f>
        <v/>
      </c>
      <c r="CZ1208" t="str">
        <f>""</f>
        <v/>
      </c>
      <c r="DA1208" t="str">
        <f>""</f>
        <v/>
      </c>
      <c r="DB1208" t="str">
        <f>""</f>
        <v/>
      </c>
      <c r="DC1208" t="str">
        <f>""</f>
        <v/>
      </c>
      <c r="DD1208" t="str">
        <f>""</f>
        <v/>
      </c>
      <c r="DE1208" t="str">
        <f>""</f>
        <v/>
      </c>
      <c r="DF1208" t="str">
        <f>""</f>
        <v/>
      </c>
      <c r="DG1208" t="str">
        <f>""</f>
        <v/>
      </c>
      <c r="DH1208" t="str">
        <f>""</f>
        <v/>
      </c>
      <c r="DI1208" t="str">
        <f>""</f>
        <v/>
      </c>
      <c r="DJ1208" t="str">
        <f>""</f>
        <v/>
      </c>
      <c r="DK1208" t="str">
        <f>""</f>
        <v/>
      </c>
      <c r="DL1208" t="str">
        <f>""</f>
        <v/>
      </c>
      <c r="DM1208" t="str">
        <f>""</f>
        <v/>
      </c>
      <c r="DN1208" t="str">
        <f>""</f>
        <v/>
      </c>
      <c r="DO1208" t="str">
        <f>""</f>
        <v/>
      </c>
      <c r="DP1208" t="str">
        <f>""</f>
        <v/>
      </c>
      <c r="DQ1208" t="str">
        <f>""</f>
        <v/>
      </c>
      <c r="DR1208" t="str">
        <f>""</f>
        <v/>
      </c>
      <c r="DS1208" t="str">
        <f>""</f>
        <v/>
      </c>
      <c r="DT1208" t="str">
        <f>""</f>
        <v/>
      </c>
      <c r="DU1208" t="str">
        <f>""</f>
        <v/>
      </c>
    </row>
    <row r="1209" spans="1:125" x14ac:dyDescent="0.25">
      <c r="A1209" t="str">
        <f>$A$550</f>
        <v xml:space="preserve">    FAW CAR Co Ltd</v>
      </c>
      <c r="B1209" t="str">
        <f>$B$550</f>
        <v>000800 CH Equity</v>
      </c>
      <c r="C1209" t="str">
        <f>$C$550</f>
        <v>RX076</v>
      </c>
      <c r="D1209" t="str">
        <f>$D$550</f>
        <v>EBIT_YIELD</v>
      </c>
      <c r="E1209" t="str">
        <f>$E$550</f>
        <v>Dynamic</v>
      </c>
      <c r="F1209" t="str">
        <f ca="1">_xll.BDH($B$550,$C$550,$B$675,$B$676,CONCATENATE("Per=",$B$673),"Dts=H","Dir=H",CONCATENATE("Points=",$B$674),"Sort=R","Days=A","Fill=B",CONCATENATE("FX=", $B$672) )</f>
        <v>#N/A Connection</v>
      </c>
      <c r="BN1209" t="str">
        <f>""</f>
        <v/>
      </c>
      <c r="BO1209" t="str">
        <f>""</f>
        <v/>
      </c>
      <c r="BP1209" t="str">
        <f>""</f>
        <v/>
      </c>
      <c r="BQ1209" t="str">
        <f>""</f>
        <v/>
      </c>
      <c r="BR1209" t="str">
        <f>""</f>
        <v/>
      </c>
      <c r="BS1209" t="str">
        <f>""</f>
        <v/>
      </c>
      <c r="BT1209" t="str">
        <f>""</f>
        <v/>
      </c>
      <c r="BU1209" t="str">
        <f>""</f>
        <v/>
      </c>
      <c r="BV1209" t="str">
        <f>""</f>
        <v/>
      </c>
      <c r="BW1209" t="str">
        <f>""</f>
        <v/>
      </c>
      <c r="BX1209" t="str">
        <f>""</f>
        <v/>
      </c>
      <c r="BY1209" t="str">
        <f>""</f>
        <v/>
      </c>
      <c r="BZ1209" t="str">
        <f>""</f>
        <v/>
      </c>
      <c r="CA1209" t="str">
        <f>""</f>
        <v/>
      </c>
      <c r="CB1209" t="str">
        <f>""</f>
        <v/>
      </c>
      <c r="CC1209" t="str">
        <f>""</f>
        <v/>
      </c>
      <c r="CD1209" t="str">
        <f>""</f>
        <v/>
      </c>
      <c r="CE1209" t="str">
        <f>""</f>
        <v/>
      </c>
      <c r="CF1209" t="str">
        <f>""</f>
        <v/>
      </c>
      <c r="CG1209" t="str">
        <f>""</f>
        <v/>
      </c>
      <c r="CH1209" t="str">
        <f>""</f>
        <v/>
      </c>
      <c r="CI1209" t="str">
        <f>""</f>
        <v/>
      </c>
      <c r="CJ1209" t="str">
        <f>""</f>
        <v/>
      </c>
      <c r="CK1209" t="str">
        <f>""</f>
        <v/>
      </c>
      <c r="CL1209" t="str">
        <f>""</f>
        <v/>
      </c>
      <c r="CM1209" t="str">
        <f>""</f>
        <v/>
      </c>
      <c r="CN1209" t="str">
        <f>""</f>
        <v/>
      </c>
      <c r="CO1209" t="str">
        <f>""</f>
        <v/>
      </c>
      <c r="CP1209" t="str">
        <f>""</f>
        <v/>
      </c>
      <c r="CQ1209" t="str">
        <f>""</f>
        <v/>
      </c>
      <c r="CR1209" t="str">
        <f>""</f>
        <v/>
      </c>
      <c r="CS1209" t="str">
        <f>""</f>
        <v/>
      </c>
      <c r="CT1209" t="str">
        <f>""</f>
        <v/>
      </c>
      <c r="CU1209" t="str">
        <f>""</f>
        <v/>
      </c>
      <c r="CV1209" t="str">
        <f>""</f>
        <v/>
      </c>
      <c r="CW1209" t="str">
        <f>""</f>
        <v/>
      </c>
      <c r="CX1209" t="str">
        <f>""</f>
        <v/>
      </c>
      <c r="CY1209" t="str">
        <f>""</f>
        <v/>
      </c>
      <c r="CZ1209" t="str">
        <f>""</f>
        <v/>
      </c>
      <c r="DA1209" t="str">
        <f>""</f>
        <v/>
      </c>
      <c r="DB1209" t="str">
        <f>""</f>
        <v/>
      </c>
      <c r="DC1209" t="str">
        <f>""</f>
        <v/>
      </c>
      <c r="DD1209" t="str">
        <f>""</f>
        <v/>
      </c>
      <c r="DE1209" t="str">
        <f>""</f>
        <v/>
      </c>
      <c r="DF1209" t="str">
        <f>""</f>
        <v/>
      </c>
      <c r="DG1209" t="str">
        <f>""</f>
        <v/>
      </c>
      <c r="DH1209" t="str">
        <f>""</f>
        <v/>
      </c>
      <c r="DI1209" t="str">
        <f>""</f>
        <v/>
      </c>
      <c r="DJ1209" t="str">
        <f>""</f>
        <v/>
      </c>
      <c r="DK1209" t="str">
        <f>""</f>
        <v/>
      </c>
      <c r="DL1209" t="str">
        <f>""</f>
        <v/>
      </c>
      <c r="DM1209" t="str">
        <f>""</f>
        <v/>
      </c>
      <c r="DN1209" t="str">
        <f>""</f>
        <v/>
      </c>
      <c r="DO1209" t="str">
        <f>""</f>
        <v/>
      </c>
      <c r="DP1209" t="str">
        <f>""</f>
        <v/>
      </c>
      <c r="DQ1209" t="str">
        <f>""</f>
        <v/>
      </c>
      <c r="DR1209" t="str">
        <f>""</f>
        <v/>
      </c>
      <c r="DS1209" t="str">
        <f>""</f>
        <v/>
      </c>
      <c r="DT1209" t="str">
        <f>""</f>
        <v/>
      </c>
      <c r="DU1209" t="str">
        <f>""</f>
        <v/>
      </c>
    </row>
    <row r="1210" spans="1:125" x14ac:dyDescent="0.25">
      <c r="A1210" t="str">
        <f>$A$551</f>
        <v xml:space="preserve">    Fiat Chrysler Automobiles NV</v>
      </c>
      <c r="B1210" t="str">
        <f>$B$551</f>
        <v>FCAU US Equity</v>
      </c>
      <c r="C1210" t="str">
        <f>$C$551</f>
        <v>RX076</v>
      </c>
      <c r="D1210" t="str">
        <f>$D$551</f>
        <v>EBIT_YIELD</v>
      </c>
      <c r="E1210" t="str">
        <f>$E$551</f>
        <v>Dynamic</v>
      </c>
      <c r="F1210" t="str">
        <f ca="1">_xll.BDH($B$551,$C$551,$B$675,$B$676,CONCATENATE("Per=",$B$673),"Dts=H","Dir=H",CONCATENATE("Points=",$B$674),"Sort=R","Days=A","Fill=B",CONCATENATE("FX=", $B$672) )</f>
        <v>#N/A Connection</v>
      </c>
      <c r="BN1210" t="str">
        <f>""</f>
        <v/>
      </c>
      <c r="BO1210" t="str">
        <f>""</f>
        <v/>
      </c>
      <c r="BP1210" t="str">
        <f>""</f>
        <v/>
      </c>
      <c r="BQ1210" t="str">
        <f>""</f>
        <v/>
      </c>
      <c r="BR1210" t="str">
        <f>""</f>
        <v/>
      </c>
      <c r="BS1210" t="str">
        <f>""</f>
        <v/>
      </c>
      <c r="BT1210" t="str">
        <f>""</f>
        <v/>
      </c>
      <c r="BU1210" t="str">
        <f>""</f>
        <v/>
      </c>
      <c r="BV1210" t="str">
        <f>""</f>
        <v/>
      </c>
      <c r="BW1210" t="str">
        <f>""</f>
        <v/>
      </c>
      <c r="BX1210" t="str">
        <f>""</f>
        <v/>
      </c>
      <c r="BY1210" t="str">
        <f>""</f>
        <v/>
      </c>
      <c r="BZ1210" t="str">
        <f>""</f>
        <v/>
      </c>
      <c r="CA1210" t="str">
        <f>""</f>
        <v/>
      </c>
      <c r="CB1210" t="str">
        <f>""</f>
        <v/>
      </c>
      <c r="CC1210" t="str">
        <f>""</f>
        <v/>
      </c>
      <c r="CD1210" t="str">
        <f>""</f>
        <v/>
      </c>
      <c r="CE1210" t="str">
        <f>""</f>
        <v/>
      </c>
      <c r="CF1210" t="str">
        <f>""</f>
        <v/>
      </c>
      <c r="CG1210" t="str">
        <f>""</f>
        <v/>
      </c>
      <c r="CH1210" t="str">
        <f>""</f>
        <v/>
      </c>
      <c r="CI1210" t="str">
        <f>""</f>
        <v/>
      </c>
      <c r="CJ1210" t="str">
        <f>""</f>
        <v/>
      </c>
      <c r="CK1210" t="str">
        <f>""</f>
        <v/>
      </c>
      <c r="CL1210" t="str">
        <f>""</f>
        <v/>
      </c>
      <c r="CM1210" t="str">
        <f>""</f>
        <v/>
      </c>
      <c r="CN1210" t="str">
        <f>""</f>
        <v/>
      </c>
      <c r="CO1210" t="str">
        <f>""</f>
        <v/>
      </c>
      <c r="CP1210" t="str">
        <f>""</f>
        <v/>
      </c>
      <c r="CQ1210" t="str">
        <f>""</f>
        <v/>
      </c>
      <c r="CR1210" t="str">
        <f>""</f>
        <v/>
      </c>
      <c r="CS1210" t="str">
        <f>""</f>
        <v/>
      </c>
      <c r="CT1210" t="str">
        <f>""</f>
        <v/>
      </c>
      <c r="CU1210" t="str">
        <f>""</f>
        <v/>
      </c>
      <c r="CV1210" t="str">
        <f>""</f>
        <v/>
      </c>
      <c r="CW1210" t="str">
        <f>""</f>
        <v/>
      </c>
      <c r="CX1210" t="str">
        <f>""</f>
        <v/>
      </c>
      <c r="CY1210" t="str">
        <f>""</f>
        <v/>
      </c>
      <c r="CZ1210" t="str">
        <f>""</f>
        <v/>
      </c>
      <c r="DA1210" t="str">
        <f>""</f>
        <v/>
      </c>
      <c r="DB1210" t="str">
        <f>""</f>
        <v/>
      </c>
      <c r="DC1210" t="str">
        <f>""</f>
        <v/>
      </c>
      <c r="DD1210" t="str">
        <f>""</f>
        <v/>
      </c>
      <c r="DE1210" t="str">
        <f>""</f>
        <v/>
      </c>
      <c r="DF1210" t="str">
        <f>""</f>
        <v/>
      </c>
      <c r="DG1210" t="str">
        <f>""</f>
        <v/>
      </c>
      <c r="DH1210" t="str">
        <f>""</f>
        <v/>
      </c>
      <c r="DI1210" t="str">
        <f>""</f>
        <v/>
      </c>
      <c r="DJ1210" t="str">
        <f>""</f>
        <v/>
      </c>
      <c r="DK1210" t="str">
        <f>""</f>
        <v/>
      </c>
      <c r="DL1210" t="str">
        <f>""</f>
        <v/>
      </c>
      <c r="DM1210" t="str">
        <f>""</f>
        <v/>
      </c>
      <c r="DN1210" t="str">
        <f>""</f>
        <v/>
      </c>
      <c r="DO1210" t="str">
        <f>""</f>
        <v/>
      </c>
      <c r="DP1210" t="str">
        <f>""</f>
        <v/>
      </c>
      <c r="DQ1210" t="str">
        <f>""</f>
        <v/>
      </c>
      <c r="DR1210" t="str">
        <f>""</f>
        <v/>
      </c>
      <c r="DS1210" t="str">
        <f>""</f>
        <v/>
      </c>
      <c r="DT1210" t="str">
        <f>""</f>
        <v/>
      </c>
      <c r="DU1210" t="str">
        <f>""</f>
        <v/>
      </c>
    </row>
    <row r="1211" spans="1:125" x14ac:dyDescent="0.25">
      <c r="A1211" t="str">
        <f>$A$552</f>
        <v xml:space="preserve">    Ford Motor Co</v>
      </c>
      <c r="B1211" t="str">
        <f>$B$552</f>
        <v>F US Equity</v>
      </c>
      <c r="C1211" t="str">
        <f>$C$552</f>
        <v>RX076</v>
      </c>
      <c r="D1211" t="str">
        <f>$D$552</f>
        <v>EBIT_YIELD</v>
      </c>
      <c r="E1211" t="str">
        <f>$E$552</f>
        <v>Dynamic</v>
      </c>
      <c r="F1211" t="str">
        <f ca="1">_xll.BDH($B$552,$C$552,$B$675,$B$676,CONCATENATE("Per=",$B$673),"Dts=H","Dir=H",CONCATENATE("Points=",$B$674),"Sort=R","Days=A","Fill=B",CONCATENATE("FX=", $B$672) )</f>
        <v>#N/A Connection</v>
      </c>
      <c r="BN1211" t="str">
        <f>""</f>
        <v/>
      </c>
      <c r="BO1211" t="str">
        <f>""</f>
        <v/>
      </c>
      <c r="BP1211" t="str">
        <f>""</f>
        <v/>
      </c>
      <c r="BQ1211" t="str">
        <f>""</f>
        <v/>
      </c>
      <c r="BR1211" t="str">
        <f>""</f>
        <v/>
      </c>
      <c r="BS1211" t="str">
        <f>""</f>
        <v/>
      </c>
      <c r="BT1211" t="str">
        <f>""</f>
        <v/>
      </c>
      <c r="BU1211" t="str">
        <f>""</f>
        <v/>
      </c>
      <c r="BV1211" t="str">
        <f>""</f>
        <v/>
      </c>
      <c r="BW1211" t="str">
        <f>""</f>
        <v/>
      </c>
      <c r="BX1211" t="str">
        <f>""</f>
        <v/>
      </c>
      <c r="BY1211" t="str">
        <f>""</f>
        <v/>
      </c>
      <c r="BZ1211" t="str">
        <f>""</f>
        <v/>
      </c>
      <c r="CA1211" t="str">
        <f>""</f>
        <v/>
      </c>
      <c r="CB1211" t="str">
        <f>""</f>
        <v/>
      </c>
      <c r="CC1211" t="str">
        <f>""</f>
        <v/>
      </c>
      <c r="CD1211" t="str">
        <f>""</f>
        <v/>
      </c>
      <c r="CE1211" t="str">
        <f>""</f>
        <v/>
      </c>
      <c r="CF1211" t="str">
        <f>""</f>
        <v/>
      </c>
      <c r="CG1211" t="str">
        <f>""</f>
        <v/>
      </c>
      <c r="CH1211" t="str">
        <f>""</f>
        <v/>
      </c>
      <c r="CI1211" t="str">
        <f>""</f>
        <v/>
      </c>
      <c r="CJ1211" t="str">
        <f>""</f>
        <v/>
      </c>
      <c r="CK1211" t="str">
        <f>""</f>
        <v/>
      </c>
      <c r="CL1211" t="str">
        <f>""</f>
        <v/>
      </c>
      <c r="CM1211" t="str">
        <f>""</f>
        <v/>
      </c>
      <c r="CN1211" t="str">
        <f>""</f>
        <v/>
      </c>
      <c r="CO1211" t="str">
        <f>""</f>
        <v/>
      </c>
      <c r="CP1211" t="str">
        <f>""</f>
        <v/>
      </c>
      <c r="CQ1211" t="str">
        <f>""</f>
        <v/>
      </c>
      <c r="CR1211" t="str">
        <f>""</f>
        <v/>
      </c>
      <c r="CS1211" t="str">
        <f>""</f>
        <v/>
      </c>
      <c r="CT1211" t="str">
        <f>""</f>
        <v/>
      </c>
      <c r="CU1211" t="str">
        <f>""</f>
        <v/>
      </c>
      <c r="CV1211" t="str">
        <f>""</f>
        <v/>
      </c>
      <c r="CW1211" t="str">
        <f>""</f>
        <v/>
      </c>
      <c r="CX1211" t="str">
        <f>""</f>
        <v/>
      </c>
      <c r="CY1211" t="str">
        <f>""</f>
        <v/>
      </c>
      <c r="CZ1211" t="str">
        <f>""</f>
        <v/>
      </c>
      <c r="DA1211" t="str">
        <f>""</f>
        <v/>
      </c>
      <c r="DB1211" t="str">
        <f>""</f>
        <v/>
      </c>
      <c r="DC1211" t="str">
        <f>""</f>
        <v/>
      </c>
      <c r="DD1211" t="str">
        <f>""</f>
        <v/>
      </c>
      <c r="DE1211" t="str">
        <f>""</f>
        <v/>
      </c>
      <c r="DF1211" t="str">
        <f>""</f>
        <v/>
      </c>
      <c r="DG1211" t="str">
        <f>""</f>
        <v/>
      </c>
      <c r="DH1211" t="str">
        <f>""</f>
        <v/>
      </c>
      <c r="DI1211" t="str">
        <f>""</f>
        <v/>
      </c>
      <c r="DJ1211" t="str">
        <f>""</f>
        <v/>
      </c>
      <c r="DK1211" t="str">
        <f>""</f>
        <v/>
      </c>
      <c r="DL1211" t="str">
        <f>""</f>
        <v/>
      </c>
      <c r="DM1211" t="str">
        <f>""</f>
        <v/>
      </c>
      <c r="DN1211" t="str">
        <f>""</f>
        <v/>
      </c>
      <c r="DO1211" t="str">
        <f>""</f>
        <v/>
      </c>
      <c r="DP1211" t="str">
        <f>""</f>
        <v/>
      </c>
      <c r="DQ1211" t="str">
        <f>""</f>
        <v/>
      </c>
      <c r="DR1211" t="str">
        <f>""</f>
        <v/>
      </c>
      <c r="DS1211" t="str">
        <f>""</f>
        <v/>
      </c>
      <c r="DT1211" t="str">
        <f>""</f>
        <v/>
      </c>
      <c r="DU1211" t="str">
        <f>""</f>
        <v/>
      </c>
    </row>
    <row r="1212" spans="1:125" x14ac:dyDescent="0.25">
      <c r="A1212" t="str">
        <f>$A$553</f>
        <v xml:space="preserve">    Ford Otomotiv Sanayi AS</v>
      </c>
      <c r="B1212" t="str">
        <f>$B$553</f>
        <v>FROTOTRY EO Equity</v>
      </c>
      <c r="C1212" t="str">
        <f>$C$553</f>
        <v>RX076</v>
      </c>
      <c r="D1212" t="str">
        <f>$D$553</f>
        <v>EBIT_YIELD</v>
      </c>
      <c r="E1212" t="str">
        <f>$E$553</f>
        <v>Dynamic</v>
      </c>
      <c r="F1212" t="str">
        <f ca="1">_xll.BDH($B$553,$C$553,$B$675,$B$676,CONCATENATE("Per=",$B$673),"Dts=H","Dir=H",CONCATENATE("Points=",$B$674),"Sort=R","Days=A","Fill=B",CONCATENATE("FX=", $B$672) )</f>
        <v>#N/A Connection</v>
      </c>
      <c r="BN1212" t="str">
        <f>""</f>
        <v/>
      </c>
      <c r="BO1212" t="str">
        <f>""</f>
        <v/>
      </c>
      <c r="BP1212" t="str">
        <f>""</f>
        <v/>
      </c>
      <c r="BQ1212" t="str">
        <f>""</f>
        <v/>
      </c>
      <c r="BR1212" t="str">
        <f>""</f>
        <v/>
      </c>
      <c r="BS1212" t="str">
        <f>""</f>
        <v/>
      </c>
      <c r="BT1212" t="str">
        <f>""</f>
        <v/>
      </c>
      <c r="BU1212" t="str">
        <f>""</f>
        <v/>
      </c>
      <c r="BV1212" t="str">
        <f>""</f>
        <v/>
      </c>
      <c r="BW1212" t="str">
        <f>""</f>
        <v/>
      </c>
      <c r="BX1212" t="str">
        <f>""</f>
        <v/>
      </c>
      <c r="BY1212" t="str">
        <f>""</f>
        <v/>
      </c>
      <c r="BZ1212" t="str">
        <f>""</f>
        <v/>
      </c>
      <c r="CA1212" t="str">
        <f>""</f>
        <v/>
      </c>
      <c r="CB1212" t="str">
        <f>""</f>
        <v/>
      </c>
      <c r="CC1212" t="str">
        <f>""</f>
        <v/>
      </c>
      <c r="CD1212" t="str">
        <f>""</f>
        <v/>
      </c>
      <c r="CE1212" t="str">
        <f>""</f>
        <v/>
      </c>
      <c r="CF1212" t="str">
        <f>""</f>
        <v/>
      </c>
      <c r="CG1212" t="str">
        <f>""</f>
        <v/>
      </c>
      <c r="CH1212" t="str">
        <f>""</f>
        <v/>
      </c>
      <c r="CI1212" t="str">
        <f>""</f>
        <v/>
      </c>
      <c r="CJ1212" t="str">
        <f>""</f>
        <v/>
      </c>
      <c r="CK1212" t="str">
        <f>""</f>
        <v/>
      </c>
      <c r="CL1212" t="str">
        <f>""</f>
        <v/>
      </c>
      <c r="CM1212" t="str">
        <f>""</f>
        <v/>
      </c>
      <c r="CN1212" t="str">
        <f>""</f>
        <v/>
      </c>
      <c r="CO1212" t="str">
        <f>""</f>
        <v/>
      </c>
      <c r="CP1212" t="str">
        <f>""</f>
        <v/>
      </c>
      <c r="CQ1212" t="str">
        <f>""</f>
        <v/>
      </c>
      <c r="CR1212" t="str">
        <f>""</f>
        <v/>
      </c>
      <c r="CS1212" t="str">
        <f>""</f>
        <v/>
      </c>
      <c r="CT1212" t="str">
        <f>""</f>
        <v/>
      </c>
      <c r="CU1212" t="str">
        <f>""</f>
        <v/>
      </c>
      <c r="CV1212" t="str">
        <f>""</f>
        <v/>
      </c>
      <c r="CW1212" t="str">
        <f>""</f>
        <v/>
      </c>
      <c r="CX1212" t="str">
        <f>""</f>
        <v/>
      </c>
      <c r="CY1212" t="str">
        <f>""</f>
        <v/>
      </c>
      <c r="CZ1212" t="str">
        <f>""</f>
        <v/>
      </c>
      <c r="DA1212" t="str">
        <f>""</f>
        <v/>
      </c>
      <c r="DB1212" t="str">
        <f>""</f>
        <v/>
      </c>
      <c r="DC1212" t="str">
        <f>""</f>
        <v/>
      </c>
      <c r="DD1212" t="str">
        <f>""</f>
        <v/>
      </c>
      <c r="DE1212" t="str">
        <f>""</f>
        <v/>
      </c>
      <c r="DF1212" t="str">
        <f>""</f>
        <v/>
      </c>
      <c r="DG1212" t="str">
        <f>""</f>
        <v/>
      </c>
      <c r="DH1212" t="str">
        <f>""</f>
        <v/>
      </c>
      <c r="DI1212" t="str">
        <f>""</f>
        <v/>
      </c>
      <c r="DJ1212" t="str">
        <f>""</f>
        <v/>
      </c>
      <c r="DK1212" t="str">
        <f>""</f>
        <v/>
      </c>
      <c r="DL1212" t="str">
        <f>""</f>
        <v/>
      </c>
      <c r="DM1212" t="str">
        <f>""</f>
        <v/>
      </c>
      <c r="DN1212" t="str">
        <f>""</f>
        <v/>
      </c>
      <c r="DO1212" t="str">
        <f>""</f>
        <v/>
      </c>
      <c r="DP1212" t="str">
        <f>""</f>
        <v/>
      </c>
      <c r="DQ1212" t="str">
        <f>""</f>
        <v/>
      </c>
      <c r="DR1212" t="str">
        <f>""</f>
        <v/>
      </c>
      <c r="DS1212" t="str">
        <f>""</f>
        <v/>
      </c>
      <c r="DT1212" t="str">
        <f>""</f>
        <v/>
      </c>
      <c r="DU1212" t="str">
        <f>""</f>
        <v/>
      </c>
    </row>
    <row r="1213" spans="1:125" x14ac:dyDescent="0.25">
      <c r="A1213" t="str">
        <f>$A$554</f>
        <v xml:space="preserve">    GAZ PJSC</v>
      </c>
      <c r="B1213" t="str">
        <f>$B$554</f>
        <v>GAZA RM Equity</v>
      </c>
      <c r="C1213" t="str">
        <f>$C$554</f>
        <v>RX076</v>
      </c>
      <c r="D1213" t="str">
        <f>$D$554</f>
        <v>EBIT_YIELD</v>
      </c>
      <c r="E1213" t="str">
        <f>$E$554</f>
        <v>Dynamic</v>
      </c>
      <c r="F1213" t="str">
        <f ca="1">_xll.BDH($B$554,$C$554,$B$675,$B$676,CONCATENATE("Per=",$B$673),"Dts=H","Dir=H",CONCATENATE("Points=",$B$674),"Sort=R","Days=A","Fill=B",CONCATENATE("FX=", $B$672) )</f>
        <v>#N/A Connection</v>
      </c>
      <c r="BN1213" t="str">
        <f>""</f>
        <v/>
      </c>
      <c r="BO1213" t="str">
        <f>""</f>
        <v/>
      </c>
      <c r="BP1213" t="str">
        <f>""</f>
        <v/>
      </c>
      <c r="BQ1213" t="str">
        <f>""</f>
        <v/>
      </c>
      <c r="BR1213" t="str">
        <f>""</f>
        <v/>
      </c>
      <c r="BS1213" t="str">
        <f>""</f>
        <v/>
      </c>
      <c r="BT1213" t="str">
        <f>""</f>
        <v/>
      </c>
      <c r="BU1213" t="str">
        <f>""</f>
        <v/>
      </c>
      <c r="BV1213" t="str">
        <f>""</f>
        <v/>
      </c>
      <c r="BW1213" t="str">
        <f>""</f>
        <v/>
      </c>
      <c r="BX1213" t="str">
        <f>""</f>
        <v/>
      </c>
      <c r="BY1213" t="str">
        <f>""</f>
        <v/>
      </c>
      <c r="BZ1213" t="str">
        <f>""</f>
        <v/>
      </c>
      <c r="CA1213" t="str">
        <f>""</f>
        <v/>
      </c>
      <c r="CB1213" t="str">
        <f>""</f>
        <v/>
      </c>
      <c r="CC1213" t="str">
        <f>""</f>
        <v/>
      </c>
      <c r="CD1213" t="str">
        <f>""</f>
        <v/>
      </c>
      <c r="CE1213" t="str">
        <f>""</f>
        <v/>
      </c>
      <c r="CF1213" t="str">
        <f>""</f>
        <v/>
      </c>
      <c r="CG1213" t="str">
        <f>""</f>
        <v/>
      </c>
      <c r="CH1213" t="str">
        <f>""</f>
        <v/>
      </c>
      <c r="CI1213" t="str">
        <f>""</f>
        <v/>
      </c>
      <c r="CJ1213" t="str">
        <f>""</f>
        <v/>
      </c>
      <c r="CK1213" t="str">
        <f>""</f>
        <v/>
      </c>
      <c r="CL1213" t="str">
        <f>""</f>
        <v/>
      </c>
      <c r="CM1213" t="str">
        <f>""</f>
        <v/>
      </c>
      <c r="CN1213" t="str">
        <f>""</f>
        <v/>
      </c>
      <c r="CO1213" t="str">
        <f>""</f>
        <v/>
      </c>
      <c r="CP1213" t="str">
        <f>""</f>
        <v/>
      </c>
      <c r="CQ1213" t="str">
        <f>""</f>
        <v/>
      </c>
      <c r="CR1213" t="str">
        <f>""</f>
        <v/>
      </c>
      <c r="CS1213" t="str">
        <f>""</f>
        <v/>
      </c>
      <c r="CT1213" t="str">
        <f>""</f>
        <v/>
      </c>
      <c r="CU1213" t="str">
        <f>""</f>
        <v/>
      </c>
      <c r="CV1213" t="str">
        <f>""</f>
        <v/>
      </c>
      <c r="CW1213" t="str">
        <f>""</f>
        <v/>
      </c>
      <c r="CX1213" t="str">
        <f>""</f>
        <v/>
      </c>
      <c r="CY1213" t="str">
        <f>""</f>
        <v/>
      </c>
      <c r="CZ1213" t="str">
        <f>""</f>
        <v/>
      </c>
      <c r="DA1213" t="str">
        <f>""</f>
        <v/>
      </c>
      <c r="DB1213" t="str">
        <f>""</f>
        <v/>
      </c>
      <c r="DC1213" t="str">
        <f>""</f>
        <v/>
      </c>
      <c r="DD1213" t="str">
        <f>""</f>
        <v/>
      </c>
      <c r="DE1213" t="str">
        <f>""</f>
        <v/>
      </c>
      <c r="DF1213" t="str">
        <f>""</f>
        <v/>
      </c>
      <c r="DG1213" t="str">
        <f>""</f>
        <v/>
      </c>
      <c r="DH1213" t="str">
        <f>""</f>
        <v/>
      </c>
      <c r="DI1213" t="str">
        <f>""</f>
        <v/>
      </c>
      <c r="DJ1213" t="str">
        <f>""</f>
        <v/>
      </c>
      <c r="DK1213" t="str">
        <f>""</f>
        <v/>
      </c>
      <c r="DL1213" t="str">
        <f>""</f>
        <v/>
      </c>
      <c r="DM1213" t="str">
        <f>""</f>
        <v/>
      </c>
      <c r="DN1213" t="str">
        <f>""</f>
        <v/>
      </c>
      <c r="DO1213" t="str">
        <f>""</f>
        <v/>
      </c>
      <c r="DP1213" t="str">
        <f>""</f>
        <v/>
      </c>
      <c r="DQ1213" t="str">
        <f>""</f>
        <v/>
      </c>
      <c r="DR1213" t="str">
        <f>""</f>
        <v/>
      </c>
      <c r="DS1213" t="str">
        <f>""</f>
        <v/>
      </c>
      <c r="DT1213" t="str">
        <f>""</f>
        <v/>
      </c>
      <c r="DU1213" t="str">
        <f>""</f>
        <v/>
      </c>
    </row>
    <row r="1214" spans="1:125" x14ac:dyDescent="0.25">
      <c r="A1214" t="str">
        <f>$A$555</f>
        <v xml:space="preserve">    Geely Automobile Holdings Ltd</v>
      </c>
      <c r="B1214" t="str">
        <f>$B$555</f>
        <v>175 HK Equity</v>
      </c>
      <c r="C1214" t="str">
        <f>$C$555</f>
        <v>RX076</v>
      </c>
      <c r="D1214" t="str">
        <f>$D$555</f>
        <v>EBIT_YIELD</v>
      </c>
      <c r="E1214" t="str">
        <f>$E$555</f>
        <v>Dynamic</v>
      </c>
      <c r="F1214" t="str">
        <f ca="1">_xll.BDH($B$555,$C$555,$B$675,$B$676,CONCATENATE("Per=",$B$673),"Dts=H","Dir=H",CONCATENATE("Points=",$B$674),"Sort=R","Days=A","Fill=B",CONCATENATE("FX=", $B$672) )</f>
        <v>#N/A Connection</v>
      </c>
      <c r="BN1214" t="str">
        <f>""</f>
        <v/>
      </c>
      <c r="BO1214" t="str">
        <f>""</f>
        <v/>
      </c>
      <c r="BP1214" t="str">
        <f>""</f>
        <v/>
      </c>
      <c r="BQ1214" t="str">
        <f>""</f>
        <v/>
      </c>
      <c r="BR1214" t="str">
        <f>""</f>
        <v/>
      </c>
      <c r="BS1214" t="str">
        <f>""</f>
        <v/>
      </c>
      <c r="BT1214" t="str">
        <f>""</f>
        <v/>
      </c>
      <c r="BU1214" t="str">
        <f>""</f>
        <v/>
      </c>
      <c r="BV1214" t="str">
        <f>""</f>
        <v/>
      </c>
      <c r="BW1214" t="str">
        <f>""</f>
        <v/>
      </c>
      <c r="BX1214" t="str">
        <f>""</f>
        <v/>
      </c>
      <c r="BY1214" t="str">
        <f>""</f>
        <v/>
      </c>
      <c r="BZ1214" t="str">
        <f>""</f>
        <v/>
      </c>
      <c r="CA1214" t="str">
        <f>""</f>
        <v/>
      </c>
      <c r="CB1214" t="str">
        <f>""</f>
        <v/>
      </c>
      <c r="CC1214" t="str">
        <f>""</f>
        <v/>
      </c>
      <c r="CD1214" t="str">
        <f>""</f>
        <v/>
      </c>
      <c r="CE1214" t="str">
        <f>""</f>
        <v/>
      </c>
      <c r="CF1214" t="str">
        <f>""</f>
        <v/>
      </c>
      <c r="CG1214" t="str">
        <f>""</f>
        <v/>
      </c>
      <c r="CH1214" t="str">
        <f>""</f>
        <v/>
      </c>
      <c r="CI1214" t="str">
        <f>""</f>
        <v/>
      </c>
      <c r="CJ1214" t="str">
        <f>""</f>
        <v/>
      </c>
      <c r="CK1214" t="str">
        <f>""</f>
        <v/>
      </c>
      <c r="CL1214" t="str">
        <f>""</f>
        <v/>
      </c>
      <c r="CM1214" t="str">
        <f>""</f>
        <v/>
      </c>
      <c r="CN1214" t="str">
        <f>""</f>
        <v/>
      </c>
      <c r="CO1214" t="str">
        <f>""</f>
        <v/>
      </c>
      <c r="CP1214" t="str">
        <f>""</f>
        <v/>
      </c>
      <c r="CQ1214" t="str">
        <f>""</f>
        <v/>
      </c>
      <c r="CR1214" t="str">
        <f>""</f>
        <v/>
      </c>
      <c r="CS1214" t="str">
        <f>""</f>
        <v/>
      </c>
      <c r="CT1214" t="str">
        <f>""</f>
        <v/>
      </c>
      <c r="CU1214" t="str">
        <f>""</f>
        <v/>
      </c>
      <c r="CV1214" t="str">
        <f>""</f>
        <v/>
      </c>
      <c r="CW1214" t="str">
        <f>""</f>
        <v/>
      </c>
      <c r="CX1214" t="str">
        <f>""</f>
        <v/>
      </c>
      <c r="CY1214" t="str">
        <f>""</f>
        <v/>
      </c>
      <c r="CZ1214" t="str">
        <f>""</f>
        <v/>
      </c>
      <c r="DA1214" t="str">
        <f>""</f>
        <v/>
      </c>
      <c r="DB1214" t="str">
        <f>""</f>
        <v/>
      </c>
      <c r="DC1214" t="str">
        <f>""</f>
        <v/>
      </c>
      <c r="DD1214" t="str">
        <f>""</f>
        <v/>
      </c>
      <c r="DE1214" t="str">
        <f>""</f>
        <v/>
      </c>
      <c r="DF1214" t="str">
        <f>""</f>
        <v/>
      </c>
      <c r="DG1214" t="str">
        <f>""</f>
        <v/>
      </c>
      <c r="DH1214" t="str">
        <f>""</f>
        <v/>
      </c>
      <c r="DI1214" t="str">
        <f>""</f>
        <v/>
      </c>
      <c r="DJ1214" t="str">
        <f>""</f>
        <v/>
      </c>
      <c r="DK1214" t="str">
        <f>""</f>
        <v/>
      </c>
      <c r="DL1214" t="str">
        <f>""</f>
        <v/>
      </c>
      <c r="DM1214" t="str">
        <f>""</f>
        <v/>
      </c>
      <c r="DN1214" t="str">
        <f>""</f>
        <v/>
      </c>
      <c r="DO1214" t="str">
        <f>""</f>
        <v/>
      </c>
      <c r="DP1214" t="str">
        <f>""</f>
        <v/>
      </c>
      <c r="DQ1214" t="str">
        <f>""</f>
        <v/>
      </c>
      <c r="DR1214" t="str">
        <f>""</f>
        <v/>
      </c>
      <c r="DS1214" t="str">
        <f>""</f>
        <v/>
      </c>
      <c r="DT1214" t="str">
        <f>""</f>
        <v/>
      </c>
      <c r="DU1214" t="str">
        <f>""</f>
        <v/>
      </c>
    </row>
    <row r="1215" spans="1:125" x14ac:dyDescent="0.25">
      <c r="A1215" t="str">
        <f>$A$556</f>
        <v xml:space="preserve">    General Motors Co</v>
      </c>
      <c r="B1215" t="str">
        <f>$B$556</f>
        <v>GM US Equity</v>
      </c>
      <c r="C1215" t="str">
        <f>$C$556</f>
        <v>RX076</v>
      </c>
      <c r="D1215" t="str">
        <f>$D$556</f>
        <v>EBIT_YIELD</v>
      </c>
      <c r="E1215" t="str">
        <f>$E$556</f>
        <v>Dynamic</v>
      </c>
      <c r="F1215" t="str">
        <f ca="1">_xll.BDH($B$556,$C$556,$B$675,$B$676,CONCATENATE("Per=",$B$673),"Dts=H","Dir=H",CONCATENATE("Points=",$B$674),"Sort=R","Days=A","Fill=B",CONCATENATE("FX=", $B$672) )</f>
        <v>#N/A Connection</v>
      </c>
      <c r="BN1215" t="str">
        <f>""</f>
        <v/>
      </c>
      <c r="BO1215" t="str">
        <f>""</f>
        <v/>
      </c>
      <c r="BP1215" t="str">
        <f>""</f>
        <v/>
      </c>
      <c r="BQ1215" t="str">
        <f>""</f>
        <v/>
      </c>
      <c r="BR1215" t="str">
        <f>""</f>
        <v/>
      </c>
      <c r="BS1215" t="str">
        <f>""</f>
        <v/>
      </c>
      <c r="BT1215" t="str">
        <f>""</f>
        <v/>
      </c>
      <c r="BU1215" t="str">
        <f>""</f>
        <v/>
      </c>
      <c r="BV1215" t="str">
        <f>""</f>
        <v/>
      </c>
      <c r="BW1215" t="str">
        <f>""</f>
        <v/>
      </c>
      <c r="BX1215" t="str">
        <f>""</f>
        <v/>
      </c>
      <c r="BY1215" t="str">
        <f>""</f>
        <v/>
      </c>
      <c r="BZ1215" t="str">
        <f>""</f>
        <v/>
      </c>
      <c r="CA1215" t="str">
        <f>""</f>
        <v/>
      </c>
      <c r="CB1215" t="str">
        <f>""</f>
        <v/>
      </c>
      <c r="CC1215" t="str">
        <f>""</f>
        <v/>
      </c>
      <c r="CD1215" t="str">
        <f>""</f>
        <v/>
      </c>
      <c r="CE1215" t="str">
        <f>""</f>
        <v/>
      </c>
      <c r="CF1215" t="str">
        <f>""</f>
        <v/>
      </c>
      <c r="CG1215" t="str">
        <f>""</f>
        <v/>
      </c>
      <c r="CH1215" t="str">
        <f>""</f>
        <v/>
      </c>
      <c r="CI1215" t="str">
        <f>""</f>
        <v/>
      </c>
      <c r="CJ1215" t="str">
        <f>""</f>
        <v/>
      </c>
      <c r="CK1215" t="str">
        <f>""</f>
        <v/>
      </c>
      <c r="CL1215" t="str">
        <f>""</f>
        <v/>
      </c>
      <c r="CM1215" t="str">
        <f>""</f>
        <v/>
      </c>
      <c r="CN1215" t="str">
        <f>""</f>
        <v/>
      </c>
      <c r="CO1215" t="str">
        <f>""</f>
        <v/>
      </c>
      <c r="CP1215" t="str">
        <f>""</f>
        <v/>
      </c>
      <c r="CQ1215" t="str">
        <f>""</f>
        <v/>
      </c>
      <c r="CR1215" t="str">
        <f>""</f>
        <v/>
      </c>
      <c r="CS1215" t="str">
        <f>""</f>
        <v/>
      </c>
      <c r="CT1215" t="str">
        <f>""</f>
        <v/>
      </c>
      <c r="CU1215" t="str">
        <f>""</f>
        <v/>
      </c>
      <c r="CV1215" t="str">
        <f>""</f>
        <v/>
      </c>
      <c r="CW1215" t="str">
        <f>""</f>
        <v/>
      </c>
      <c r="CX1215" t="str">
        <f>""</f>
        <v/>
      </c>
      <c r="CY1215" t="str">
        <f>""</f>
        <v/>
      </c>
      <c r="CZ1215" t="str">
        <f>""</f>
        <v/>
      </c>
      <c r="DA1215" t="str">
        <f>""</f>
        <v/>
      </c>
      <c r="DB1215" t="str">
        <f>""</f>
        <v/>
      </c>
      <c r="DC1215" t="str">
        <f>""</f>
        <v/>
      </c>
      <c r="DD1215" t="str">
        <f>""</f>
        <v/>
      </c>
      <c r="DE1215" t="str">
        <f>""</f>
        <v/>
      </c>
      <c r="DF1215" t="str">
        <f>""</f>
        <v/>
      </c>
      <c r="DG1215" t="str">
        <f>""</f>
        <v/>
      </c>
      <c r="DH1215" t="str">
        <f>""</f>
        <v/>
      </c>
      <c r="DI1215" t="str">
        <f>""</f>
        <v/>
      </c>
      <c r="DJ1215" t="str">
        <f>""</f>
        <v/>
      </c>
      <c r="DK1215" t="str">
        <f>""</f>
        <v/>
      </c>
      <c r="DL1215" t="str">
        <f>""</f>
        <v/>
      </c>
      <c r="DM1215" t="str">
        <f>""</f>
        <v/>
      </c>
      <c r="DN1215" t="str">
        <f>""</f>
        <v/>
      </c>
      <c r="DO1215" t="str">
        <f>""</f>
        <v/>
      </c>
      <c r="DP1215" t="str">
        <f>""</f>
        <v/>
      </c>
      <c r="DQ1215" t="str">
        <f>""</f>
        <v/>
      </c>
      <c r="DR1215" t="str">
        <f>""</f>
        <v/>
      </c>
      <c r="DS1215" t="str">
        <f>""</f>
        <v/>
      </c>
      <c r="DT1215" t="str">
        <f>""</f>
        <v/>
      </c>
      <c r="DU1215" t="str">
        <f>""</f>
        <v/>
      </c>
    </row>
    <row r="1216" spans="1:125" x14ac:dyDescent="0.25">
      <c r="A1216" t="str">
        <f>$A$557</f>
        <v xml:space="preserve">    Great Wall Motor Co Ltd</v>
      </c>
      <c r="B1216" t="str">
        <f>$B$557</f>
        <v>2333 HK Equity</v>
      </c>
      <c r="C1216" t="str">
        <f>$C$557</f>
        <v>RX076</v>
      </c>
      <c r="D1216" t="str">
        <f>$D$557</f>
        <v>EBIT_YIELD</v>
      </c>
      <c r="E1216" t="str">
        <f>$E$557</f>
        <v>Dynamic</v>
      </c>
      <c r="F1216" t="str">
        <f ca="1">_xll.BDH($B$557,$C$557,$B$675,$B$676,CONCATENATE("Per=",$B$673),"Dts=H","Dir=H",CONCATENATE("Points=",$B$674),"Sort=R","Days=A","Fill=B",CONCATENATE("FX=", $B$672) )</f>
        <v>#N/A Connection</v>
      </c>
      <c r="BN1216" t="str">
        <f>""</f>
        <v/>
      </c>
      <c r="BO1216" t="str">
        <f>""</f>
        <v/>
      </c>
      <c r="BP1216" t="str">
        <f>""</f>
        <v/>
      </c>
      <c r="BQ1216" t="str">
        <f>""</f>
        <v/>
      </c>
      <c r="BR1216" t="str">
        <f>""</f>
        <v/>
      </c>
      <c r="BS1216" t="str">
        <f>""</f>
        <v/>
      </c>
      <c r="BT1216" t="str">
        <f>""</f>
        <v/>
      </c>
      <c r="BU1216" t="str">
        <f>""</f>
        <v/>
      </c>
      <c r="BV1216" t="str">
        <f>""</f>
        <v/>
      </c>
      <c r="BW1216" t="str">
        <f>""</f>
        <v/>
      </c>
      <c r="BX1216" t="str">
        <f>""</f>
        <v/>
      </c>
      <c r="BY1216" t="str">
        <f>""</f>
        <v/>
      </c>
      <c r="BZ1216" t="str">
        <f>""</f>
        <v/>
      </c>
      <c r="CA1216" t="str">
        <f>""</f>
        <v/>
      </c>
      <c r="CB1216" t="str">
        <f>""</f>
        <v/>
      </c>
      <c r="CC1216" t="str">
        <f>""</f>
        <v/>
      </c>
      <c r="CD1216" t="str">
        <f>""</f>
        <v/>
      </c>
      <c r="CE1216" t="str">
        <f>""</f>
        <v/>
      </c>
      <c r="CF1216" t="str">
        <f>""</f>
        <v/>
      </c>
      <c r="CG1216" t="str">
        <f>""</f>
        <v/>
      </c>
      <c r="CH1216" t="str">
        <f>""</f>
        <v/>
      </c>
      <c r="CI1216" t="str">
        <f>""</f>
        <v/>
      </c>
      <c r="CJ1216" t="str">
        <f>""</f>
        <v/>
      </c>
      <c r="CK1216" t="str">
        <f>""</f>
        <v/>
      </c>
      <c r="CL1216" t="str">
        <f>""</f>
        <v/>
      </c>
      <c r="CM1216" t="str">
        <f>""</f>
        <v/>
      </c>
      <c r="CN1216" t="str">
        <f>""</f>
        <v/>
      </c>
      <c r="CO1216" t="str">
        <f>""</f>
        <v/>
      </c>
      <c r="CP1216" t="str">
        <f>""</f>
        <v/>
      </c>
      <c r="CQ1216" t="str">
        <f>""</f>
        <v/>
      </c>
      <c r="CR1216" t="str">
        <f>""</f>
        <v/>
      </c>
      <c r="CS1216" t="str">
        <f>""</f>
        <v/>
      </c>
      <c r="CT1216" t="str">
        <f>""</f>
        <v/>
      </c>
      <c r="CU1216" t="str">
        <f>""</f>
        <v/>
      </c>
      <c r="CV1216" t="str">
        <f>""</f>
        <v/>
      </c>
      <c r="CW1216" t="str">
        <f>""</f>
        <v/>
      </c>
      <c r="CX1216" t="str">
        <f>""</f>
        <v/>
      </c>
      <c r="CY1216" t="str">
        <f>""</f>
        <v/>
      </c>
      <c r="CZ1216" t="str">
        <f>""</f>
        <v/>
      </c>
      <c r="DA1216" t="str">
        <f>""</f>
        <v/>
      </c>
      <c r="DB1216" t="str">
        <f>""</f>
        <v/>
      </c>
      <c r="DC1216" t="str">
        <f>""</f>
        <v/>
      </c>
      <c r="DD1216" t="str">
        <f>""</f>
        <v/>
      </c>
      <c r="DE1216" t="str">
        <f>""</f>
        <v/>
      </c>
      <c r="DF1216" t="str">
        <f>""</f>
        <v/>
      </c>
      <c r="DG1216" t="str">
        <f>""</f>
        <v/>
      </c>
      <c r="DH1216" t="str">
        <f>""</f>
        <v/>
      </c>
      <c r="DI1216" t="str">
        <f>""</f>
        <v/>
      </c>
      <c r="DJ1216" t="str">
        <f>""</f>
        <v/>
      </c>
      <c r="DK1216" t="str">
        <f>""</f>
        <v/>
      </c>
      <c r="DL1216" t="str">
        <f>""</f>
        <v/>
      </c>
      <c r="DM1216" t="str">
        <f>""</f>
        <v/>
      </c>
      <c r="DN1216" t="str">
        <f>""</f>
        <v/>
      </c>
      <c r="DO1216" t="str">
        <f>""</f>
        <v/>
      </c>
      <c r="DP1216" t="str">
        <f>""</f>
        <v/>
      </c>
      <c r="DQ1216" t="str">
        <f>""</f>
        <v/>
      </c>
      <c r="DR1216" t="str">
        <f>""</f>
        <v/>
      </c>
      <c r="DS1216" t="str">
        <f>""</f>
        <v/>
      </c>
      <c r="DT1216" t="str">
        <f>""</f>
        <v/>
      </c>
      <c r="DU1216" t="str">
        <f>""</f>
        <v/>
      </c>
    </row>
    <row r="1217" spans="1:125" x14ac:dyDescent="0.25">
      <c r="A1217" t="str">
        <f>$A$558</f>
        <v xml:space="preserve">    Guangzhou Automobile Group Co Ltd</v>
      </c>
      <c r="B1217" t="str">
        <f>$B$558</f>
        <v>2238 HK Equity</v>
      </c>
      <c r="C1217" t="str">
        <f>$C$558</f>
        <v>RX076</v>
      </c>
      <c r="D1217" t="str">
        <f>$D$558</f>
        <v>EBIT_YIELD</v>
      </c>
      <c r="E1217" t="str">
        <f>$E$558</f>
        <v>Dynamic</v>
      </c>
      <c r="F1217" t="str">
        <f ca="1">_xll.BDH($B$558,$C$558,$B$675,$B$676,CONCATENATE("Per=",$B$673),"Dts=H","Dir=H",CONCATENATE("Points=",$B$674),"Sort=R","Days=A","Fill=B",CONCATENATE("FX=", $B$672) )</f>
        <v>#N/A Connection</v>
      </c>
      <c r="BN1217" t="str">
        <f>""</f>
        <v/>
      </c>
      <c r="BO1217" t="str">
        <f>""</f>
        <v/>
      </c>
      <c r="BP1217" t="str">
        <f>""</f>
        <v/>
      </c>
      <c r="BQ1217" t="str">
        <f>""</f>
        <v/>
      </c>
      <c r="BR1217" t="str">
        <f>""</f>
        <v/>
      </c>
      <c r="BS1217" t="str">
        <f>""</f>
        <v/>
      </c>
      <c r="BT1217" t="str">
        <f>""</f>
        <v/>
      </c>
      <c r="BU1217" t="str">
        <f>""</f>
        <v/>
      </c>
      <c r="BV1217" t="str">
        <f>""</f>
        <v/>
      </c>
      <c r="BW1217" t="str">
        <f>""</f>
        <v/>
      </c>
      <c r="BX1217" t="str">
        <f>""</f>
        <v/>
      </c>
      <c r="BY1217" t="str">
        <f>""</f>
        <v/>
      </c>
      <c r="BZ1217" t="str">
        <f>""</f>
        <v/>
      </c>
      <c r="CA1217" t="str">
        <f>""</f>
        <v/>
      </c>
      <c r="CB1217" t="str">
        <f>""</f>
        <v/>
      </c>
      <c r="CC1217" t="str">
        <f>""</f>
        <v/>
      </c>
      <c r="CD1217" t="str">
        <f>""</f>
        <v/>
      </c>
      <c r="CE1217" t="str">
        <f>""</f>
        <v/>
      </c>
      <c r="CF1217" t="str">
        <f>""</f>
        <v/>
      </c>
      <c r="CG1217" t="str">
        <f>""</f>
        <v/>
      </c>
      <c r="CH1217" t="str">
        <f>""</f>
        <v/>
      </c>
      <c r="CI1217" t="str">
        <f>""</f>
        <v/>
      </c>
      <c r="CJ1217" t="str">
        <f>""</f>
        <v/>
      </c>
      <c r="CK1217" t="str">
        <f>""</f>
        <v/>
      </c>
      <c r="CL1217" t="str">
        <f>""</f>
        <v/>
      </c>
      <c r="CM1217" t="str">
        <f>""</f>
        <v/>
      </c>
      <c r="CN1217" t="str">
        <f>""</f>
        <v/>
      </c>
      <c r="CO1217" t="str">
        <f>""</f>
        <v/>
      </c>
      <c r="CP1217" t="str">
        <f>""</f>
        <v/>
      </c>
      <c r="CQ1217" t="str">
        <f>""</f>
        <v/>
      </c>
      <c r="CR1217" t="str">
        <f>""</f>
        <v/>
      </c>
      <c r="CS1217" t="str">
        <f>""</f>
        <v/>
      </c>
      <c r="CT1217" t="str">
        <f>""</f>
        <v/>
      </c>
      <c r="CU1217" t="str">
        <f>""</f>
        <v/>
      </c>
      <c r="CV1217" t="str">
        <f>""</f>
        <v/>
      </c>
      <c r="CW1217" t="str">
        <f>""</f>
        <v/>
      </c>
      <c r="CX1217" t="str">
        <f>""</f>
        <v/>
      </c>
      <c r="CY1217" t="str">
        <f>""</f>
        <v/>
      </c>
      <c r="CZ1217" t="str">
        <f>""</f>
        <v/>
      </c>
      <c r="DA1217" t="str">
        <f>""</f>
        <v/>
      </c>
      <c r="DB1217" t="str">
        <f>""</f>
        <v/>
      </c>
      <c r="DC1217" t="str">
        <f>""</f>
        <v/>
      </c>
      <c r="DD1217" t="str">
        <f>""</f>
        <v/>
      </c>
      <c r="DE1217" t="str">
        <f>""</f>
        <v/>
      </c>
      <c r="DF1217" t="str">
        <f>""</f>
        <v/>
      </c>
      <c r="DG1217" t="str">
        <f>""</f>
        <v/>
      </c>
      <c r="DH1217" t="str">
        <f>""</f>
        <v/>
      </c>
      <c r="DI1217" t="str">
        <f>""</f>
        <v/>
      </c>
      <c r="DJ1217" t="str">
        <f>""</f>
        <v/>
      </c>
      <c r="DK1217" t="str">
        <f>""</f>
        <v/>
      </c>
      <c r="DL1217" t="str">
        <f>""</f>
        <v/>
      </c>
      <c r="DM1217" t="str">
        <f>""</f>
        <v/>
      </c>
      <c r="DN1217" t="str">
        <f>""</f>
        <v/>
      </c>
      <c r="DO1217" t="str">
        <f>""</f>
        <v/>
      </c>
      <c r="DP1217" t="str">
        <f>""</f>
        <v/>
      </c>
      <c r="DQ1217" t="str">
        <f>""</f>
        <v/>
      </c>
      <c r="DR1217" t="str">
        <f>""</f>
        <v/>
      </c>
      <c r="DS1217" t="str">
        <f>""</f>
        <v/>
      </c>
      <c r="DT1217" t="str">
        <f>""</f>
        <v/>
      </c>
      <c r="DU1217" t="str">
        <f>""</f>
        <v/>
      </c>
    </row>
    <row r="1218" spans="1:125" x14ac:dyDescent="0.25">
      <c r="A1218" t="str">
        <f>$A$559</f>
        <v xml:space="preserve">    Honda Motor Co Ltd</v>
      </c>
      <c r="B1218" t="str">
        <f>$B$559</f>
        <v>7267 JP Equity</v>
      </c>
      <c r="C1218" t="str">
        <f>$C$559</f>
        <v>RX076</v>
      </c>
      <c r="D1218" t="str">
        <f>$D$559</f>
        <v>EBIT_YIELD</v>
      </c>
      <c r="E1218" t="str">
        <f>$E$559</f>
        <v>Dynamic</v>
      </c>
      <c r="F1218" t="str">
        <f ca="1">_xll.BDH($B$559,$C$559,$B$675,$B$676,CONCATENATE("Per=",$B$673),"Dts=H","Dir=H",CONCATENATE("Points=",$B$674),"Sort=R","Days=A","Fill=B",CONCATENATE("FX=", $B$672) )</f>
        <v>#N/A Connection</v>
      </c>
      <c r="BN1218" t="str">
        <f>""</f>
        <v/>
      </c>
      <c r="BO1218" t="str">
        <f>""</f>
        <v/>
      </c>
      <c r="BP1218" t="str">
        <f>""</f>
        <v/>
      </c>
      <c r="BQ1218" t="str">
        <f>""</f>
        <v/>
      </c>
      <c r="BR1218" t="str">
        <f>""</f>
        <v/>
      </c>
      <c r="BS1218" t="str">
        <f>""</f>
        <v/>
      </c>
      <c r="BT1218" t="str">
        <f>""</f>
        <v/>
      </c>
      <c r="BU1218" t="str">
        <f>""</f>
        <v/>
      </c>
      <c r="BV1218" t="str">
        <f>""</f>
        <v/>
      </c>
      <c r="BW1218" t="str">
        <f>""</f>
        <v/>
      </c>
      <c r="BX1218" t="str">
        <f>""</f>
        <v/>
      </c>
      <c r="BY1218" t="str">
        <f>""</f>
        <v/>
      </c>
      <c r="BZ1218" t="str">
        <f>""</f>
        <v/>
      </c>
      <c r="CA1218" t="str">
        <f>""</f>
        <v/>
      </c>
      <c r="CB1218" t="str">
        <f>""</f>
        <v/>
      </c>
      <c r="CC1218" t="str">
        <f>""</f>
        <v/>
      </c>
      <c r="CD1218" t="str">
        <f>""</f>
        <v/>
      </c>
      <c r="CE1218" t="str">
        <f>""</f>
        <v/>
      </c>
      <c r="CF1218" t="str">
        <f>""</f>
        <v/>
      </c>
      <c r="CG1218" t="str">
        <f>""</f>
        <v/>
      </c>
      <c r="CH1218" t="str">
        <f>""</f>
        <v/>
      </c>
      <c r="CI1218" t="str">
        <f>""</f>
        <v/>
      </c>
      <c r="CJ1218" t="str">
        <f>""</f>
        <v/>
      </c>
      <c r="CK1218" t="str">
        <f>""</f>
        <v/>
      </c>
      <c r="CL1218" t="str">
        <f>""</f>
        <v/>
      </c>
      <c r="CM1218" t="str">
        <f>""</f>
        <v/>
      </c>
      <c r="CN1218" t="str">
        <f>""</f>
        <v/>
      </c>
      <c r="CO1218" t="str">
        <f>""</f>
        <v/>
      </c>
      <c r="CP1218" t="str">
        <f>""</f>
        <v/>
      </c>
      <c r="CQ1218" t="str">
        <f>""</f>
        <v/>
      </c>
      <c r="CR1218" t="str">
        <f>""</f>
        <v/>
      </c>
      <c r="CS1218" t="str">
        <f>""</f>
        <v/>
      </c>
      <c r="CT1218" t="str">
        <f>""</f>
        <v/>
      </c>
      <c r="CU1218" t="str">
        <f>""</f>
        <v/>
      </c>
      <c r="CV1218" t="str">
        <f>""</f>
        <v/>
      </c>
      <c r="CW1218" t="str">
        <f>""</f>
        <v/>
      </c>
      <c r="CX1218" t="str">
        <f>""</f>
        <v/>
      </c>
      <c r="CY1218" t="str">
        <f>""</f>
        <v/>
      </c>
      <c r="CZ1218" t="str">
        <f>""</f>
        <v/>
      </c>
      <c r="DA1218" t="str">
        <f>""</f>
        <v/>
      </c>
      <c r="DB1218" t="str">
        <f>""</f>
        <v/>
      </c>
      <c r="DC1218" t="str">
        <f>""</f>
        <v/>
      </c>
      <c r="DD1218" t="str">
        <f>""</f>
        <v/>
      </c>
      <c r="DE1218" t="str">
        <f>""</f>
        <v/>
      </c>
      <c r="DF1218" t="str">
        <f>""</f>
        <v/>
      </c>
      <c r="DG1218" t="str">
        <f>""</f>
        <v/>
      </c>
      <c r="DH1218" t="str">
        <f>""</f>
        <v/>
      </c>
      <c r="DI1218" t="str">
        <f>""</f>
        <v/>
      </c>
      <c r="DJ1218" t="str">
        <f>""</f>
        <v/>
      </c>
      <c r="DK1218" t="str">
        <f>""</f>
        <v/>
      </c>
      <c r="DL1218" t="str">
        <f>""</f>
        <v/>
      </c>
      <c r="DM1218" t="str">
        <f>""</f>
        <v/>
      </c>
      <c r="DN1218" t="str">
        <f>""</f>
        <v/>
      </c>
      <c r="DO1218" t="str">
        <f>""</f>
        <v/>
      </c>
      <c r="DP1218" t="str">
        <f>""</f>
        <v/>
      </c>
      <c r="DQ1218" t="str">
        <f>""</f>
        <v/>
      </c>
      <c r="DR1218" t="str">
        <f>""</f>
        <v/>
      </c>
      <c r="DS1218" t="str">
        <f>""</f>
        <v/>
      </c>
      <c r="DT1218" t="str">
        <f>""</f>
        <v/>
      </c>
      <c r="DU1218" t="str">
        <f>""</f>
        <v/>
      </c>
    </row>
    <row r="1219" spans="1:125" x14ac:dyDescent="0.25">
      <c r="A1219" t="str">
        <f>$A$560</f>
        <v xml:space="preserve">    Hyundai Motor Co</v>
      </c>
      <c r="B1219" t="str">
        <f>$B$560</f>
        <v>005380 KS Equity</v>
      </c>
      <c r="C1219" t="str">
        <f>$C$560</f>
        <v>RX076</v>
      </c>
      <c r="D1219" t="str">
        <f>$D$560</f>
        <v>EBIT_YIELD</v>
      </c>
      <c r="E1219" t="str">
        <f>$E$560</f>
        <v>Dynamic</v>
      </c>
      <c r="F1219" t="str">
        <f ca="1">_xll.BDH($B$560,$C$560,$B$675,$B$676,CONCATENATE("Per=",$B$673),"Dts=H","Dir=H",CONCATENATE("Points=",$B$674),"Sort=R","Days=A","Fill=B",CONCATENATE("FX=", $B$672) )</f>
        <v>#N/A Connection</v>
      </c>
      <c r="BN1219" t="str">
        <f>""</f>
        <v/>
      </c>
      <c r="BO1219" t="str">
        <f>""</f>
        <v/>
      </c>
      <c r="BP1219" t="str">
        <f>""</f>
        <v/>
      </c>
      <c r="BQ1219" t="str">
        <f>""</f>
        <v/>
      </c>
      <c r="BR1219" t="str">
        <f>""</f>
        <v/>
      </c>
      <c r="BS1219" t="str">
        <f>""</f>
        <v/>
      </c>
      <c r="BT1219" t="str">
        <f>""</f>
        <v/>
      </c>
      <c r="BU1219" t="str">
        <f>""</f>
        <v/>
      </c>
      <c r="BV1219" t="str">
        <f>""</f>
        <v/>
      </c>
      <c r="BW1219" t="str">
        <f>""</f>
        <v/>
      </c>
      <c r="BX1219" t="str">
        <f>""</f>
        <v/>
      </c>
      <c r="BY1219" t="str">
        <f>""</f>
        <v/>
      </c>
      <c r="BZ1219" t="str">
        <f>""</f>
        <v/>
      </c>
      <c r="CA1219" t="str">
        <f>""</f>
        <v/>
      </c>
      <c r="CB1219" t="str">
        <f>""</f>
        <v/>
      </c>
      <c r="CC1219" t="str">
        <f>""</f>
        <v/>
      </c>
      <c r="CD1219" t="str">
        <f>""</f>
        <v/>
      </c>
      <c r="CE1219" t="str">
        <f>""</f>
        <v/>
      </c>
      <c r="CF1219" t="str">
        <f>""</f>
        <v/>
      </c>
      <c r="CG1219" t="str">
        <f>""</f>
        <v/>
      </c>
      <c r="CH1219" t="str">
        <f>""</f>
        <v/>
      </c>
      <c r="CI1219" t="str">
        <f>""</f>
        <v/>
      </c>
      <c r="CJ1219" t="str">
        <f>""</f>
        <v/>
      </c>
      <c r="CK1219" t="str">
        <f>""</f>
        <v/>
      </c>
      <c r="CL1219" t="str">
        <f>""</f>
        <v/>
      </c>
      <c r="CM1219" t="str">
        <f>""</f>
        <v/>
      </c>
      <c r="CN1219" t="str">
        <f>""</f>
        <v/>
      </c>
      <c r="CO1219" t="str">
        <f>""</f>
        <v/>
      </c>
      <c r="CP1219" t="str">
        <f>""</f>
        <v/>
      </c>
      <c r="CQ1219" t="str">
        <f>""</f>
        <v/>
      </c>
      <c r="CR1219" t="str">
        <f>""</f>
        <v/>
      </c>
      <c r="CS1219" t="str">
        <f>""</f>
        <v/>
      </c>
      <c r="CT1219" t="str">
        <f>""</f>
        <v/>
      </c>
      <c r="CU1219" t="str">
        <f>""</f>
        <v/>
      </c>
      <c r="CV1219" t="str">
        <f>""</f>
        <v/>
      </c>
      <c r="CW1219" t="str">
        <f>""</f>
        <v/>
      </c>
      <c r="CX1219" t="str">
        <f>""</f>
        <v/>
      </c>
      <c r="CY1219" t="str">
        <f>""</f>
        <v/>
      </c>
      <c r="CZ1219" t="str">
        <f>""</f>
        <v/>
      </c>
      <c r="DA1219" t="str">
        <f>""</f>
        <v/>
      </c>
      <c r="DB1219" t="str">
        <f>""</f>
        <v/>
      </c>
      <c r="DC1219" t="str">
        <f>""</f>
        <v/>
      </c>
      <c r="DD1219" t="str">
        <f>""</f>
        <v/>
      </c>
      <c r="DE1219" t="str">
        <f>""</f>
        <v/>
      </c>
      <c r="DF1219" t="str">
        <f>""</f>
        <v/>
      </c>
      <c r="DG1219" t="str">
        <f>""</f>
        <v/>
      </c>
      <c r="DH1219" t="str">
        <f>""</f>
        <v/>
      </c>
      <c r="DI1219" t="str">
        <f>""</f>
        <v/>
      </c>
      <c r="DJ1219" t="str">
        <f>""</f>
        <v/>
      </c>
      <c r="DK1219" t="str">
        <f>""</f>
        <v/>
      </c>
      <c r="DL1219" t="str">
        <f>""</f>
        <v/>
      </c>
      <c r="DM1219" t="str">
        <f>""</f>
        <v/>
      </c>
      <c r="DN1219" t="str">
        <f>""</f>
        <v/>
      </c>
      <c r="DO1219" t="str">
        <f>""</f>
        <v/>
      </c>
      <c r="DP1219" t="str">
        <f>""</f>
        <v/>
      </c>
      <c r="DQ1219" t="str">
        <f>""</f>
        <v/>
      </c>
      <c r="DR1219" t="str">
        <f>""</f>
        <v/>
      </c>
      <c r="DS1219" t="str">
        <f>""</f>
        <v/>
      </c>
      <c r="DT1219" t="str">
        <f>""</f>
        <v/>
      </c>
      <c r="DU1219" t="str">
        <f>""</f>
        <v/>
      </c>
    </row>
    <row r="1220" spans="1:125" x14ac:dyDescent="0.25">
      <c r="A1220" t="str">
        <f>$A$561</f>
        <v xml:space="preserve">    Kia Motors Corp</v>
      </c>
      <c r="B1220" t="str">
        <f>$B$561</f>
        <v>000270 KS Equity</v>
      </c>
      <c r="C1220" t="str">
        <f>$C$561</f>
        <v>RX076</v>
      </c>
      <c r="D1220" t="str">
        <f>$D$561</f>
        <v>EBIT_YIELD</v>
      </c>
      <c r="E1220" t="str">
        <f>$E$561</f>
        <v>Dynamic</v>
      </c>
      <c r="F1220" t="str">
        <f ca="1">_xll.BDH($B$561,$C$561,$B$675,$B$676,CONCATENATE("Per=",$B$673),"Dts=H","Dir=H",CONCATENATE("Points=",$B$674),"Sort=R","Days=A","Fill=B",CONCATENATE("FX=", $B$672) )</f>
        <v>#N/A Connection</v>
      </c>
      <c r="BN1220" t="str">
        <f>""</f>
        <v/>
      </c>
      <c r="BO1220" t="str">
        <f>""</f>
        <v/>
      </c>
      <c r="BP1220" t="str">
        <f>""</f>
        <v/>
      </c>
      <c r="BQ1220" t="str">
        <f>""</f>
        <v/>
      </c>
      <c r="BR1220" t="str">
        <f>""</f>
        <v/>
      </c>
      <c r="BS1220" t="str">
        <f>""</f>
        <v/>
      </c>
      <c r="BT1220" t="str">
        <f>""</f>
        <v/>
      </c>
      <c r="BU1220" t="str">
        <f>""</f>
        <v/>
      </c>
      <c r="BV1220" t="str">
        <f>""</f>
        <v/>
      </c>
      <c r="BW1220" t="str">
        <f>""</f>
        <v/>
      </c>
      <c r="BX1220" t="str">
        <f>""</f>
        <v/>
      </c>
      <c r="BY1220" t="str">
        <f>""</f>
        <v/>
      </c>
      <c r="BZ1220" t="str">
        <f>""</f>
        <v/>
      </c>
      <c r="CA1220" t="str">
        <f>""</f>
        <v/>
      </c>
      <c r="CB1220" t="str">
        <f>""</f>
        <v/>
      </c>
      <c r="CC1220" t="str">
        <f>""</f>
        <v/>
      </c>
      <c r="CD1220" t="str">
        <f>""</f>
        <v/>
      </c>
      <c r="CE1220" t="str">
        <f>""</f>
        <v/>
      </c>
      <c r="CF1220" t="str">
        <f>""</f>
        <v/>
      </c>
      <c r="CG1220" t="str">
        <f>""</f>
        <v/>
      </c>
      <c r="CH1220" t="str">
        <f>""</f>
        <v/>
      </c>
      <c r="CI1220" t="str">
        <f>""</f>
        <v/>
      </c>
      <c r="CJ1220" t="str">
        <f>""</f>
        <v/>
      </c>
      <c r="CK1220" t="str">
        <f>""</f>
        <v/>
      </c>
      <c r="CL1220" t="str">
        <f>""</f>
        <v/>
      </c>
      <c r="CM1220" t="str">
        <f>""</f>
        <v/>
      </c>
      <c r="CN1220" t="str">
        <f>""</f>
        <v/>
      </c>
      <c r="CO1220" t="str">
        <f>""</f>
        <v/>
      </c>
      <c r="CP1220" t="str">
        <f>""</f>
        <v/>
      </c>
      <c r="CQ1220" t="str">
        <f>""</f>
        <v/>
      </c>
      <c r="CR1220" t="str">
        <f>""</f>
        <v/>
      </c>
      <c r="CS1220" t="str">
        <f>""</f>
        <v/>
      </c>
      <c r="CT1220" t="str">
        <f>""</f>
        <v/>
      </c>
      <c r="CU1220" t="str">
        <f>""</f>
        <v/>
      </c>
      <c r="CV1220" t="str">
        <f>""</f>
        <v/>
      </c>
      <c r="CW1220" t="str">
        <f>""</f>
        <v/>
      </c>
      <c r="CX1220" t="str">
        <f>""</f>
        <v/>
      </c>
      <c r="CY1220" t="str">
        <f>""</f>
        <v/>
      </c>
      <c r="CZ1220" t="str">
        <f>""</f>
        <v/>
      </c>
      <c r="DA1220" t="str">
        <f>""</f>
        <v/>
      </c>
      <c r="DB1220" t="str">
        <f>""</f>
        <v/>
      </c>
      <c r="DC1220" t="str">
        <f>""</f>
        <v/>
      </c>
      <c r="DD1220" t="str">
        <f>""</f>
        <v/>
      </c>
      <c r="DE1220" t="str">
        <f>""</f>
        <v/>
      </c>
      <c r="DF1220" t="str">
        <f>""</f>
        <v/>
      </c>
      <c r="DG1220" t="str">
        <f>""</f>
        <v/>
      </c>
      <c r="DH1220" t="str">
        <f>""</f>
        <v/>
      </c>
      <c r="DI1220" t="str">
        <f>""</f>
        <v/>
      </c>
      <c r="DJ1220" t="str">
        <f>""</f>
        <v/>
      </c>
      <c r="DK1220" t="str">
        <f>""</f>
        <v/>
      </c>
      <c r="DL1220" t="str">
        <f>""</f>
        <v/>
      </c>
      <c r="DM1220" t="str">
        <f>""</f>
        <v/>
      </c>
      <c r="DN1220" t="str">
        <f>""</f>
        <v/>
      </c>
      <c r="DO1220" t="str">
        <f>""</f>
        <v/>
      </c>
      <c r="DP1220" t="str">
        <f>""</f>
        <v/>
      </c>
      <c r="DQ1220" t="str">
        <f>""</f>
        <v/>
      </c>
      <c r="DR1220" t="str">
        <f>""</f>
        <v/>
      </c>
      <c r="DS1220" t="str">
        <f>""</f>
        <v/>
      </c>
      <c r="DT1220" t="str">
        <f>""</f>
        <v/>
      </c>
      <c r="DU1220" t="str">
        <f>""</f>
        <v/>
      </c>
    </row>
    <row r="1221" spans="1:125" x14ac:dyDescent="0.25">
      <c r="A1221" t="str">
        <f>$A$562</f>
        <v xml:space="preserve">    Mazda Motor Corp</v>
      </c>
      <c r="B1221" t="str">
        <f>$B$562</f>
        <v>7261 JP Equity</v>
      </c>
      <c r="C1221" t="str">
        <f>$C$562</f>
        <v>RX076</v>
      </c>
      <c r="D1221" t="str">
        <f>$D$562</f>
        <v>EBIT_YIELD</v>
      </c>
      <c r="E1221" t="str">
        <f>$E$562</f>
        <v>Dynamic</v>
      </c>
      <c r="F1221" t="str">
        <f ca="1">_xll.BDH($B$562,$C$562,$B$675,$B$676,CONCATENATE("Per=",$B$673),"Dts=H","Dir=H",CONCATENATE("Points=",$B$674),"Sort=R","Days=A","Fill=B",CONCATENATE("FX=", $B$672) )</f>
        <v>#N/A Connection</v>
      </c>
      <c r="BN1221" t="str">
        <f>""</f>
        <v/>
      </c>
      <c r="BO1221" t="str">
        <f>""</f>
        <v/>
      </c>
      <c r="BP1221" t="str">
        <f>""</f>
        <v/>
      </c>
      <c r="BQ1221" t="str">
        <f>""</f>
        <v/>
      </c>
      <c r="BR1221" t="str">
        <f>""</f>
        <v/>
      </c>
      <c r="BS1221" t="str">
        <f>""</f>
        <v/>
      </c>
      <c r="BT1221" t="str">
        <f>""</f>
        <v/>
      </c>
      <c r="BU1221" t="str">
        <f>""</f>
        <v/>
      </c>
      <c r="BV1221" t="str">
        <f>""</f>
        <v/>
      </c>
      <c r="BW1221" t="str">
        <f>""</f>
        <v/>
      </c>
      <c r="BX1221" t="str">
        <f>""</f>
        <v/>
      </c>
      <c r="BY1221" t="str">
        <f>""</f>
        <v/>
      </c>
      <c r="BZ1221" t="str">
        <f>""</f>
        <v/>
      </c>
      <c r="CA1221" t="str">
        <f>""</f>
        <v/>
      </c>
      <c r="CB1221" t="str">
        <f>""</f>
        <v/>
      </c>
      <c r="CC1221" t="str">
        <f>""</f>
        <v/>
      </c>
      <c r="CD1221" t="str">
        <f>""</f>
        <v/>
      </c>
      <c r="CE1221" t="str">
        <f>""</f>
        <v/>
      </c>
      <c r="CF1221" t="str">
        <f>""</f>
        <v/>
      </c>
      <c r="CG1221" t="str">
        <f>""</f>
        <v/>
      </c>
      <c r="CH1221" t="str">
        <f>""</f>
        <v/>
      </c>
      <c r="CI1221" t="str">
        <f>""</f>
        <v/>
      </c>
      <c r="CJ1221" t="str">
        <f>""</f>
        <v/>
      </c>
      <c r="CK1221" t="str">
        <f>""</f>
        <v/>
      </c>
      <c r="CL1221" t="str">
        <f>""</f>
        <v/>
      </c>
      <c r="CM1221" t="str">
        <f>""</f>
        <v/>
      </c>
      <c r="CN1221" t="str">
        <f>""</f>
        <v/>
      </c>
      <c r="CO1221" t="str">
        <f>""</f>
        <v/>
      </c>
      <c r="CP1221" t="str">
        <f>""</f>
        <v/>
      </c>
      <c r="CQ1221" t="str">
        <f>""</f>
        <v/>
      </c>
      <c r="CR1221" t="str">
        <f>""</f>
        <v/>
      </c>
      <c r="CS1221" t="str">
        <f>""</f>
        <v/>
      </c>
      <c r="CT1221" t="str">
        <f>""</f>
        <v/>
      </c>
      <c r="CU1221" t="str">
        <f>""</f>
        <v/>
      </c>
      <c r="CV1221" t="str">
        <f>""</f>
        <v/>
      </c>
      <c r="CW1221" t="str">
        <f>""</f>
        <v/>
      </c>
      <c r="CX1221" t="str">
        <f>""</f>
        <v/>
      </c>
      <c r="CY1221" t="str">
        <f>""</f>
        <v/>
      </c>
      <c r="CZ1221" t="str">
        <f>""</f>
        <v/>
      </c>
      <c r="DA1221" t="str">
        <f>""</f>
        <v/>
      </c>
      <c r="DB1221" t="str">
        <f>""</f>
        <v/>
      </c>
      <c r="DC1221" t="str">
        <f>""</f>
        <v/>
      </c>
      <c r="DD1221" t="str">
        <f>""</f>
        <v/>
      </c>
      <c r="DE1221" t="str">
        <f>""</f>
        <v/>
      </c>
      <c r="DF1221" t="str">
        <f>""</f>
        <v/>
      </c>
      <c r="DG1221" t="str">
        <f>""</f>
        <v/>
      </c>
      <c r="DH1221" t="str">
        <f>""</f>
        <v/>
      </c>
      <c r="DI1221" t="str">
        <f>""</f>
        <v/>
      </c>
      <c r="DJ1221" t="str">
        <f>""</f>
        <v/>
      </c>
      <c r="DK1221" t="str">
        <f>""</f>
        <v/>
      </c>
      <c r="DL1221" t="str">
        <f>""</f>
        <v/>
      </c>
      <c r="DM1221" t="str">
        <f>""</f>
        <v/>
      </c>
      <c r="DN1221" t="str">
        <f>""</f>
        <v/>
      </c>
      <c r="DO1221" t="str">
        <f>""</f>
        <v/>
      </c>
      <c r="DP1221" t="str">
        <f>""</f>
        <v/>
      </c>
      <c r="DQ1221" t="str">
        <f>""</f>
        <v/>
      </c>
      <c r="DR1221" t="str">
        <f>""</f>
        <v/>
      </c>
      <c r="DS1221" t="str">
        <f>""</f>
        <v/>
      </c>
      <c r="DT1221" t="str">
        <f>""</f>
        <v/>
      </c>
      <c r="DU1221" t="str">
        <f>""</f>
        <v/>
      </c>
    </row>
    <row r="1222" spans="1:125" x14ac:dyDescent="0.25">
      <c r="A1222" t="str">
        <f>$A$563</f>
        <v xml:space="preserve">    Mitsubishi Motors Corp</v>
      </c>
      <c r="B1222" t="str">
        <f>$B$563</f>
        <v>7211 JP Equity</v>
      </c>
      <c r="C1222" t="str">
        <f>$C$563</f>
        <v>RX076</v>
      </c>
      <c r="D1222" t="str">
        <f>$D$563</f>
        <v>EBIT_YIELD</v>
      </c>
      <c r="E1222" t="str">
        <f>$E$563</f>
        <v>Dynamic</v>
      </c>
      <c r="F1222" t="str">
        <f ca="1">_xll.BDH($B$563,$C$563,$B$675,$B$676,CONCATENATE("Per=",$B$673),"Dts=H","Dir=H",CONCATENATE("Points=",$B$674),"Sort=R","Days=A","Fill=B",CONCATENATE("FX=", $B$672) )</f>
        <v>#N/A Connection</v>
      </c>
      <c r="BN1222" t="str">
        <f>""</f>
        <v/>
      </c>
      <c r="BO1222" t="str">
        <f>""</f>
        <v/>
      </c>
      <c r="BP1222" t="str">
        <f>""</f>
        <v/>
      </c>
      <c r="BQ1222" t="str">
        <f>""</f>
        <v/>
      </c>
      <c r="BR1222" t="str">
        <f>""</f>
        <v/>
      </c>
      <c r="BS1222" t="str">
        <f>""</f>
        <v/>
      </c>
      <c r="BT1222" t="str">
        <f>""</f>
        <v/>
      </c>
      <c r="BU1222" t="str">
        <f>""</f>
        <v/>
      </c>
      <c r="BV1222" t="str">
        <f>""</f>
        <v/>
      </c>
      <c r="BW1222" t="str">
        <f>""</f>
        <v/>
      </c>
      <c r="BX1222" t="str">
        <f>""</f>
        <v/>
      </c>
      <c r="BY1222" t="str">
        <f>""</f>
        <v/>
      </c>
      <c r="BZ1222" t="str">
        <f>""</f>
        <v/>
      </c>
      <c r="CA1222" t="str">
        <f>""</f>
        <v/>
      </c>
      <c r="CB1222" t="str">
        <f>""</f>
        <v/>
      </c>
      <c r="CC1222" t="str">
        <f>""</f>
        <v/>
      </c>
      <c r="CD1222" t="str">
        <f>""</f>
        <v/>
      </c>
      <c r="CE1222" t="str">
        <f>""</f>
        <v/>
      </c>
      <c r="CF1222" t="str">
        <f>""</f>
        <v/>
      </c>
      <c r="CG1222" t="str">
        <f>""</f>
        <v/>
      </c>
      <c r="CH1222" t="str">
        <f>""</f>
        <v/>
      </c>
      <c r="CI1222" t="str">
        <f>""</f>
        <v/>
      </c>
      <c r="CJ1222" t="str">
        <f>""</f>
        <v/>
      </c>
      <c r="CK1222" t="str">
        <f>""</f>
        <v/>
      </c>
      <c r="CL1222" t="str">
        <f>""</f>
        <v/>
      </c>
      <c r="CM1222" t="str">
        <f>""</f>
        <v/>
      </c>
      <c r="CN1222" t="str">
        <f>""</f>
        <v/>
      </c>
      <c r="CO1222" t="str">
        <f>""</f>
        <v/>
      </c>
      <c r="CP1222" t="str">
        <f>""</f>
        <v/>
      </c>
      <c r="CQ1222" t="str">
        <f>""</f>
        <v/>
      </c>
      <c r="CR1222" t="str">
        <f>""</f>
        <v/>
      </c>
      <c r="CS1222" t="str">
        <f>""</f>
        <v/>
      </c>
      <c r="CT1222" t="str">
        <f>""</f>
        <v/>
      </c>
      <c r="CU1222" t="str">
        <f>""</f>
        <v/>
      </c>
      <c r="CV1222" t="str">
        <f>""</f>
        <v/>
      </c>
      <c r="CW1222" t="str">
        <f>""</f>
        <v/>
      </c>
      <c r="CX1222" t="str">
        <f>""</f>
        <v/>
      </c>
      <c r="CY1222" t="str">
        <f>""</f>
        <v/>
      </c>
      <c r="CZ1222" t="str">
        <f>""</f>
        <v/>
      </c>
      <c r="DA1222" t="str">
        <f>""</f>
        <v/>
      </c>
      <c r="DB1222" t="str">
        <f>""</f>
        <v/>
      </c>
      <c r="DC1222" t="str">
        <f>""</f>
        <v/>
      </c>
      <c r="DD1222" t="str">
        <f>""</f>
        <v/>
      </c>
      <c r="DE1222" t="str">
        <f>""</f>
        <v/>
      </c>
      <c r="DF1222" t="str">
        <f>""</f>
        <v/>
      </c>
      <c r="DG1222" t="str">
        <f>""</f>
        <v/>
      </c>
      <c r="DH1222" t="str">
        <f>""</f>
        <v/>
      </c>
      <c r="DI1222" t="str">
        <f>""</f>
        <v/>
      </c>
      <c r="DJ1222" t="str">
        <f>""</f>
        <v/>
      </c>
      <c r="DK1222" t="str">
        <f>""</f>
        <v/>
      </c>
      <c r="DL1222" t="str">
        <f>""</f>
        <v/>
      </c>
      <c r="DM1222" t="str">
        <f>""</f>
        <v/>
      </c>
      <c r="DN1222" t="str">
        <f>""</f>
        <v/>
      </c>
      <c r="DO1222" t="str">
        <f>""</f>
        <v/>
      </c>
      <c r="DP1222" t="str">
        <f>""</f>
        <v/>
      </c>
      <c r="DQ1222" t="str">
        <f>""</f>
        <v/>
      </c>
      <c r="DR1222" t="str">
        <f>""</f>
        <v/>
      </c>
      <c r="DS1222" t="str">
        <f>""</f>
        <v/>
      </c>
      <c r="DT1222" t="str">
        <f>""</f>
        <v/>
      </c>
      <c r="DU1222" t="str">
        <f>""</f>
        <v/>
      </c>
    </row>
    <row r="1223" spans="1:125" x14ac:dyDescent="0.25">
      <c r="A1223" t="str">
        <f>$A$564</f>
        <v xml:space="preserve">    Nissan Motor Co Ltd</v>
      </c>
      <c r="B1223" t="str">
        <f>$B$564</f>
        <v>7201 JP Equity</v>
      </c>
      <c r="C1223" t="str">
        <f>$C$564</f>
        <v>RX076</v>
      </c>
      <c r="D1223" t="str">
        <f>$D$564</f>
        <v>EBIT_YIELD</v>
      </c>
      <c r="E1223" t="str">
        <f>$E$564</f>
        <v>Dynamic</v>
      </c>
      <c r="F1223" t="str">
        <f ca="1">_xll.BDH($B$564,$C$564,$B$675,$B$676,CONCATENATE("Per=",$B$673),"Dts=H","Dir=H",CONCATENATE("Points=",$B$674),"Sort=R","Days=A","Fill=B",CONCATENATE("FX=", $B$672) )</f>
        <v>#N/A Connection</v>
      </c>
      <c r="BN1223" t="str">
        <f>""</f>
        <v/>
      </c>
      <c r="BO1223" t="str">
        <f>""</f>
        <v/>
      </c>
      <c r="BP1223" t="str">
        <f>""</f>
        <v/>
      </c>
      <c r="BQ1223" t="str">
        <f>""</f>
        <v/>
      </c>
      <c r="BR1223" t="str">
        <f>""</f>
        <v/>
      </c>
      <c r="BS1223" t="str">
        <f>""</f>
        <v/>
      </c>
      <c r="BT1223" t="str">
        <f>""</f>
        <v/>
      </c>
      <c r="BU1223" t="str">
        <f>""</f>
        <v/>
      </c>
      <c r="BV1223" t="str">
        <f>""</f>
        <v/>
      </c>
      <c r="BW1223" t="str">
        <f>""</f>
        <v/>
      </c>
      <c r="BX1223" t="str">
        <f>""</f>
        <v/>
      </c>
      <c r="BY1223" t="str">
        <f>""</f>
        <v/>
      </c>
      <c r="BZ1223" t="str">
        <f>""</f>
        <v/>
      </c>
      <c r="CA1223" t="str">
        <f>""</f>
        <v/>
      </c>
      <c r="CB1223" t="str">
        <f>""</f>
        <v/>
      </c>
      <c r="CC1223" t="str">
        <f>""</f>
        <v/>
      </c>
      <c r="CD1223" t="str">
        <f>""</f>
        <v/>
      </c>
      <c r="CE1223" t="str">
        <f>""</f>
        <v/>
      </c>
      <c r="CF1223" t="str">
        <f>""</f>
        <v/>
      </c>
      <c r="CG1223" t="str">
        <f>""</f>
        <v/>
      </c>
      <c r="CH1223" t="str">
        <f>""</f>
        <v/>
      </c>
      <c r="CI1223" t="str">
        <f>""</f>
        <v/>
      </c>
      <c r="CJ1223" t="str">
        <f>""</f>
        <v/>
      </c>
      <c r="CK1223" t="str">
        <f>""</f>
        <v/>
      </c>
      <c r="CL1223" t="str">
        <f>""</f>
        <v/>
      </c>
      <c r="CM1223" t="str">
        <f>""</f>
        <v/>
      </c>
      <c r="CN1223" t="str">
        <f>""</f>
        <v/>
      </c>
      <c r="CO1223" t="str">
        <f>""</f>
        <v/>
      </c>
      <c r="CP1223" t="str">
        <f>""</f>
        <v/>
      </c>
      <c r="CQ1223" t="str">
        <f>""</f>
        <v/>
      </c>
      <c r="CR1223" t="str">
        <f>""</f>
        <v/>
      </c>
      <c r="CS1223" t="str">
        <f>""</f>
        <v/>
      </c>
      <c r="CT1223" t="str">
        <f>""</f>
        <v/>
      </c>
      <c r="CU1223" t="str">
        <f>""</f>
        <v/>
      </c>
      <c r="CV1223" t="str">
        <f>""</f>
        <v/>
      </c>
      <c r="CW1223" t="str">
        <f>""</f>
        <v/>
      </c>
      <c r="CX1223" t="str">
        <f>""</f>
        <v/>
      </c>
      <c r="CY1223" t="str">
        <f>""</f>
        <v/>
      </c>
      <c r="CZ1223" t="str">
        <f>""</f>
        <v/>
      </c>
      <c r="DA1223" t="str">
        <f>""</f>
        <v/>
      </c>
      <c r="DB1223" t="str">
        <f>""</f>
        <v/>
      </c>
      <c r="DC1223" t="str">
        <f>""</f>
        <v/>
      </c>
      <c r="DD1223" t="str">
        <f>""</f>
        <v/>
      </c>
      <c r="DE1223" t="str">
        <f>""</f>
        <v/>
      </c>
      <c r="DF1223" t="str">
        <f>""</f>
        <v/>
      </c>
      <c r="DG1223" t="str">
        <f>""</f>
        <v/>
      </c>
      <c r="DH1223" t="str">
        <f>""</f>
        <v/>
      </c>
      <c r="DI1223" t="str">
        <f>""</f>
        <v/>
      </c>
      <c r="DJ1223" t="str">
        <f>""</f>
        <v/>
      </c>
      <c r="DK1223" t="str">
        <f>""</f>
        <v/>
      </c>
      <c r="DL1223" t="str">
        <f>""</f>
        <v/>
      </c>
      <c r="DM1223" t="str">
        <f>""</f>
        <v/>
      </c>
      <c r="DN1223" t="str">
        <f>""</f>
        <v/>
      </c>
      <c r="DO1223" t="str">
        <f>""</f>
        <v/>
      </c>
      <c r="DP1223" t="str">
        <f>""</f>
        <v/>
      </c>
      <c r="DQ1223" t="str">
        <f>""</f>
        <v/>
      </c>
      <c r="DR1223" t="str">
        <f>""</f>
        <v/>
      </c>
      <c r="DS1223" t="str">
        <f>""</f>
        <v/>
      </c>
      <c r="DT1223" t="str">
        <f>""</f>
        <v/>
      </c>
      <c r="DU1223" t="str">
        <f>""</f>
        <v/>
      </c>
    </row>
    <row r="1224" spans="1:125" x14ac:dyDescent="0.25">
      <c r="A1224" t="str">
        <f>$A$565</f>
        <v xml:space="preserve">    Peugeot SA</v>
      </c>
      <c r="B1224" t="str">
        <f>$B$565</f>
        <v>UG FP Equity</v>
      </c>
      <c r="C1224" t="str">
        <f>$C$565</f>
        <v>RX076</v>
      </c>
      <c r="D1224" t="str">
        <f>$D$565</f>
        <v>EBIT_YIELD</v>
      </c>
      <c r="E1224" t="str">
        <f>$E$565</f>
        <v>Dynamic</v>
      </c>
      <c r="F1224" t="str">
        <f ca="1">_xll.BDH($B$565,$C$565,$B$675,$B$676,CONCATENATE("Per=",$B$673),"Dts=H","Dir=H",CONCATENATE("Points=",$B$674),"Sort=R","Days=A","Fill=B",CONCATENATE("FX=", $B$672) )</f>
        <v>#N/A Connection</v>
      </c>
      <c r="BN1224" t="str">
        <f>""</f>
        <v/>
      </c>
      <c r="BO1224" t="str">
        <f>""</f>
        <v/>
      </c>
      <c r="BP1224" t="str">
        <f>""</f>
        <v/>
      </c>
      <c r="BQ1224" t="str">
        <f>""</f>
        <v/>
      </c>
      <c r="BR1224" t="str">
        <f>""</f>
        <v/>
      </c>
      <c r="BS1224" t="str">
        <f>""</f>
        <v/>
      </c>
      <c r="BT1224" t="str">
        <f>""</f>
        <v/>
      </c>
      <c r="BU1224" t="str">
        <f>""</f>
        <v/>
      </c>
      <c r="BV1224" t="str">
        <f>""</f>
        <v/>
      </c>
      <c r="BW1224" t="str">
        <f>""</f>
        <v/>
      </c>
      <c r="BX1224" t="str">
        <f>""</f>
        <v/>
      </c>
      <c r="BY1224" t="str">
        <f>""</f>
        <v/>
      </c>
      <c r="BZ1224" t="str">
        <f>""</f>
        <v/>
      </c>
      <c r="CA1224" t="str">
        <f>""</f>
        <v/>
      </c>
      <c r="CB1224" t="str">
        <f>""</f>
        <v/>
      </c>
      <c r="CC1224" t="str">
        <f>""</f>
        <v/>
      </c>
      <c r="CD1224" t="str">
        <f>""</f>
        <v/>
      </c>
      <c r="CE1224" t="str">
        <f>""</f>
        <v/>
      </c>
      <c r="CF1224" t="str">
        <f>""</f>
        <v/>
      </c>
      <c r="CG1224" t="str">
        <f>""</f>
        <v/>
      </c>
      <c r="CH1224" t="str">
        <f>""</f>
        <v/>
      </c>
      <c r="CI1224" t="str">
        <f>""</f>
        <v/>
      </c>
      <c r="CJ1224" t="str">
        <f>""</f>
        <v/>
      </c>
      <c r="CK1224" t="str">
        <f>""</f>
        <v/>
      </c>
      <c r="CL1224" t="str">
        <f>""</f>
        <v/>
      </c>
      <c r="CM1224" t="str">
        <f>""</f>
        <v/>
      </c>
      <c r="CN1224" t="str">
        <f>""</f>
        <v/>
      </c>
      <c r="CO1224" t="str">
        <f>""</f>
        <v/>
      </c>
      <c r="CP1224" t="str">
        <f>""</f>
        <v/>
      </c>
      <c r="CQ1224" t="str">
        <f>""</f>
        <v/>
      </c>
      <c r="CR1224" t="str">
        <f>""</f>
        <v/>
      </c>
      <c r="CS1224" t="str">
        <f>""</f>
        <v/>
      </c>
      <c r="CT1224" t="str">
        <f>""</f>
        <v/>
      </c>
      <c r="CU1224" t="str">
        <f>""</f>
        <v/>
      </c>
      <c r="CV1224" t="str">
        <f>""</f>
        <v/>
      </c>
      <c r="CW1224" t="str">
        <f>""</f>
        <v/>
      </c>
      <c r="CX1224" t="str">
        <f>""</f>
        <v/>
      </c>
      <c r="CY1224" t="str">
        <f>""</f>
        <v/>
      </c>
      <c r="CZ1224" t="str">
        <f>""</f>
        <v/>
      </c>
      <c r="DA1224" t="str">
        <f>""</f>
        <v/>
      </c>
      <c r="DB1224" t="str">
        <f>""</f>
        <v/>
      </c>
      <c r="DC1224" t="str">
        <f>""</f>
        <v/>
      </c>
      <c r="DD1224" t="str">
        <f>""</f>
        <v/>
      </c>
      <c r="DE1224" t="str">
        <f>""</f>
        <v/>
      </c>
      <c r="DF1224" t="str">
        <f>""</f>
        <v/>
      </c>
      <c r="DG1224" t="str">
        <f>""</f>
        <v/>
      </c>
      <c r="DH1224" t="str">
        <f>""</f>
        <v/>
      </c>
      <c r="DI1224" t="str">
        <f>""</f>
        <v/>
      </c>
      <c r="DJ1224" t="str">
        <f>""</f>
        <v/>
      </c>
      <c r="DK1224" t="str">
        <f>""</f>
        <v/>
      </c>
      <c r="DL1224" t="str">
        <f>""</f>
        <v/>
      </c>
      <c r="DM1224" t="str">
        <f>""</f>
        <v/>
      </c>
      <c r="DN1224" t="str">
        <f>""</f>
        <v/>
      </c>
      <c r="DO1224" t="str">
        <f>""</f>
        <v/>
      </c>
      <c r="DP1224" t="str">
        <f>""</f>
        <v/>
      </c>
      <c r="DQ1224" t="str">
        <f>""</f>
        <v/>
      </c>
      <c r="DR1224" t="str">
        <f>""</f>
        <v/>
      </c>
      <c r="DS1224" t="str">
        <f>""</f>
        <v/>
      </c>
      <c r="DT1224" t="str">
        <f>""</f>
        <v/>
      </c>
      <c r="DU1224" t="str">
        <f>""</f>
        <v/>
      </c>
    </row>
    <row r="1225" spans="1:125" x14ac:dyDescent="0.25">
      <c r="A1225" t="str">
        <f>$A$566</f>
        <v xml:space="preserve">    Renault SA</v>
      </c>
      <c r="B1225" t="str">
        <f>$B$566</f>
        <v>RNO FP Equity</v>
      </c>
      <c r="C1225" t="str">
        <f>$C$566</f>
        <v>RX076</v>
      </c>
      <c r="D1225" t="str">
        <f>$D$566</f>
        <v>EBIT_YIELD</v>
      </c>
      <c r="E1225" t="str">
        <f>$E$566</f>
        <v>Dynamic</v>
      </c>
      <c r="F1225" t="str">
        <f ca="1">_xll.BDH($B$566,$C$566,$B$675,$B$676,CONCATENATE("Per=",$B$673),"Dts=H","Dir=H",CONCATENATE("Points=",$B$674),"Sort=R","Days=A","Fill=B",CONCATENATE("FX=", $B$672) )</f>
        <v>#N/A Connection</v>
      </c>
      <c r="BN1225" t="str">
        <f>""</f>
        <v/>
      </c>
      <c r="BO1225" t="str">
        <f>""</f>
        <v/>
      </c>
      <c r="BP1225" t="str">
        <f>""</f>
        <v/>
      </c>
      <c r="BQ1225" t="str">
        <f>""</f>
        <v/>
      </c>
      <c r="BR1225" t="str">
        <f>""</f>
        <v/>
      </c>
      <c r="BS1225" t="str">
        <f>""</f>
        <v/>
      </c>
      <c r="BT1225" t="str">
        <f>""</f>
        <v/>
      </c>
      <c r="BU1225" t="str">
        <f>""</f>
        <v/>
      </c>
      <c r="BV1225" t="str">
        <f>""</f>
        <v/>
      </c>
      <c r="BW1225" t="str">
        <f>""</f>
        <v/>
      </c>
      <c r="BX1225" t="str">
        <f>""</f>
        <v/>
      </c>
      <c r="BY1225" t="str">
        <f>""</f>
        <v/>
      </c>
      <c r="BZ1225" t="str">
        <f>""</f>
        <v/>
      </c>
      <c r="CA1225" t="str">
        <f>""</f>
        <v/>
      </c>
      <c r="CB1225" t="str">
        <f>""</f>
        <v/>
      </c>
      <c r="CC1225" t="str">
        <f>""</f>
        <v/>
      </c>
      <c r="CD1225" t="str">
        <f>""</f>
        <v/>
      </c>
      <c r="CE1225" t="str">
        <f>""</f>
        <v/>
      </c>
      <c r="CF1225" t="str">
        <f>""</f>
        <v/>
      </c>
      <c r="CG1225" t="str">
        <f>""</f>
        <v/>
      </c>
      <c r="CH1225" t="str">
        <f>""</f>
        <v/>
      </c>
      <c r="CI1225" t="str">
        <f>""</f>
        <v/>
      </c>
      <c r="CJ1225" t="str">
        <f>""</f>
        <v/>
      </c>
      <c r="CK1225" t="str">
        <f>""</f>
        <v/>
      </c>
      <c r="CL1225" t="str">
        <f>""</f>
        <v/>
      </c>
      <c r="CM1225" t="str">
        <f>""</f>
        <v/>
      </c>
      <c r="CN1225" t="str">
        <f>""</f>
        <v/>
      </c>
      <c r="CO1225" t="str">
        <f>""</f>
        <v/>
      </c>
      <c r="CP1225" t="str">
        <f>""</f>
        <v/>
      </c>
      <c r="CQ1225" t="str">
        <f>""</f>
        <v/>
      </c>
      <c r="CR1225" t="str">
        <f>""</f>
        <v/>
      </c>
      <c r="CS1225" t="str">
        <f>""</f>
        <v/>
      </c>
      <c r="CT1225" t="str">
        <f>""</f>
        <v/>
      </c>
      <c r="CU1225" t="str">
        <f>""</f>
        <v/>
      </c>
      <c r="CV1225" t="str">
        <f>""</f>
        <v/>
      </c>
      <c r="CW1225" t="str">
        <f>""</f>
        <v/>
      </c>
      <c r="CX1225" t="str">
        <f>""</f>
        <v/>
      </c>
      <c r="CY1225" t="str">
        <f>""</f>
        <v/>
      </c>
      <c r="CZ1225" t="str">
        <f>""</f>
        <v/>
      </c>
      <c r="DA1225" t="str">
        <f>""</f>
        <v/>
      </c>
      <c r="DB1225" t="str">
        <f>""</f>
        <v/>
      </c>
      <c r="DC1225" t="str">
        <f>""</f>
        <v/>
      </c>
      <c r="DD1225" t="str">
        <f>""</f>
        <v/>
      </c>
      <c r="DE1225" t="str">
        <f>""</f>
        <v/>
      </c>
      <c r="DF1225" t="str">
        <f>""</f>
        <v/>
      </c>
      <c r="DG1225" t="str">
        <f>""</f>
        <v/>
      </c>
      <c r="DH1225" t="str">
        <f>""</f>
        <v/>
      </c>
      <c r="DI1225" t="str">
        <f>""</f>
        <v/>
      </c>
      <c r="DJ1225" t="str">
        <f>""</f>
        <v/>
      </c>
      <c r="DK1225" t="str">
        <f>""</f>
        <v/>
      </c>
      <c r="DL1225" t="str">
        <f>""</f>
        <v/>
      </c>
      <c r="DM1225" t="str">
        <f>""</f>
        <v/>
      </c>
      <c r="DN1225" t="str">
        <f>""</f>
        <v/>
      </c>
      <c r="DO1225" t="str">
        <f>""</f>
        <v/>
      </c>
      <c r="DP1225" t="str">
        <f>""</f>
        <v/>
      </c>
      <c r="DQ1225" t="str">
        <f>""</f>
        <v/>
      </c>
      <c r="DR1225" t="str">
        <f>""</f>
        <v/>
      </c>
      <c r="DS1225" t="str">
        <f>""</f>
        <v/>
      </c>
      <c r="DT1225" t="str">
        <f>""</f>
        <v/>
      </c>
      <c r="DU1225" t="str">
        <f>""</f>
        <v/>
      </c>
    </row>
    <row r="1226" spans="1:125" x14ac:dyDescent="0.25">
      <c r="A1226" t="str">
        <f>$A$567</f>
        <v xml:space="preserve">    SAIC Motor Corp Ltd</v>
      </c>
      <c r="B1226" t="str">
        <f>$B$567</f>
        <v>600104 CH Equity</v>
      </c>
      <c r="C1226" t="str">
        <f>$C$567</f>
        <v>RX076</v>
      </c>
      <c r="D1226" t="str">
        <f>$D$567</f>
        <v>EBIT_YIELD</v>
      </c>
      <c r="E1226" t="str">
        <f>$E$567</f>
        <v>Dynamic</v>
      </c>
      <c r="F1226" t="str">
        <f ca="1">_xll.BDH($B$567,$C$567,$B$675,$B$676,CONCATENATE("Per=",$B$673),"Dts=H","Dir=H",CONCATENATE("Points=",$B$674),"Sort=R","Days=A","Fill=B",CONCATENATE("FX=", $B$672) )</f>
        <v>#N/A Connection</v>
      </c>
      <c r="BN1226" t="str">
        <f>""</f>
        <v/>
      </c>
      <c r="BO1226" t="str">
        <f>""</f>
        <v/>
      </c>
      <c r="BP1226" t="str">
        <f>""</f>
        <v/>
      </c>
      <c r="BQ1226" t="str">
        <f>""</f>
        <v/>
      </c>
      <c r="BR1226" t="str">
        <f>""</f>
        <v/>
      </c>
      <c r="BS1226" t="str">
        <f>""</f>
        <v/>
      </c>
      <c r="BT1226" t="str">
        <f>""</f>
        <v/>
      </c>
      <c r="BU1226" t="str">
        <f>""</f>
        <v/>
      </c>
      <c r="BV1226" t="str">
        <f>""</f>
        <v/>
      </c>
      <c r="BW1226" t="str">
        <f>""</f>
        <v/>
      </c>
      <c r="BX1226" t="str">
        <f>""</f>
        <v/>
      </c>
      <c r="BY1226" t="str">
        <f>""</f>
        <v/>
      </c>
      <c r="BZ1226" t="str">
        <f>""</f>
        <v/>
      </c>
      <c r="CA1226" t="str">
        <f>""</f>
        <v/>
      </c>
      <c r="CB1226" t="str">
        <f>""</f>
        <v/>
      </c>
      <c r="CC1226" t="str">
        <f>""</f>
        <v/>
      </c>
      <c r="CD1226" t="str">
        <f>""</f>
        <v/>
      </c>
      <c r="CE1226" t="str">
        <f>""</f>
        <v/>
      </c>
      <c r="CF1226" t="str">
        <f>""</f>
        <v/>
      </c>
      <c r="CG1226" t="str">
        <f>""</f>
        <v/>
      </c>
      <c r="CH1226" t="str">
        <f>""</f>
        <v/>
      </c>
      <c r="CI1226" t="str">
        <f>""</f>
        <v/>
      </c>
      <c r="CJ1226" t="str">
        <f>""</f>
        <v/>
      </c>
      <c r="CK1226" t="str">
        <f>""</f>
        <v/>
      </c>
      <c r="CL1226" t="str">
        <f>""</f>
        <v/>
      </c>
      <c r="CM1226" t="str">
        <f>""</f>
        <v/>
      </c>
      <c r="CN1226" t="str">
        <f>""</f>
        <v/>
      </c>
      <c r="CO1226" t="str">
        <f>""</f>
        <v/>
      </c>
      <c r="CP1226" t="str">
        <f>""</f>
        <v/>
      </c>
      <c r="CQ1226" t="str">
        <f>""</f>
        <v/>
      </c>
      <c r="CR1226" t="str">
        <f>""</f>
        <v/>
      </c>
      <c r="CS1226" t="str">
        <f>""</f>
        <v/>
      </c>
      <c r="CT1226" t="str">
        <f>""</f>
        <v/>
      </c>
      <c r="CU1226" t="str">
        <f>""</f>
        <v/>
      </c>
      <c r="CV1226" t="str">
        <f>""</f>
        <v/>
      </c>
      <c r="CW1226" t="str">
        <f>""</f>
        <v/>
      </c>
      <c r="CX1226" t="str">
        <f>""</f>
        <v/>
      </c>
      <c r="CY1226" t="str">
        <f>""</f>
        <v/>
      </c>
      <c r="CZ1226" t="str">
        <f>""</f>
        <v/>
      </c>
      <c r="DA1226" t="str">
        <f>""</f>
        <v/>
      </c>
      <c r="DB1226" t="str">
        <f>""</f>
        <v/>
      </c>
      <c r="DC1226" t="str">
        <f>""</f>
        <v/>
      </c>
      <c r="DD1226" t="str">
        <f>""</f>
        <v/>
      </c>
      <c r="DE1226" t="str">
        <f>""</f>
        <v/>
      </c>
      <c r="DF1226" t="str">
        <f>""</f>
        <v/>
      </c>
      <c r="DG1226" t="str">
        <f>""</f>
        <v/>
      </c>
      <c r="DH1226" t="str">
        <f>""</f>
        <v/>
      </c>
      <c r="DI1226" t="str">
        <f>""</f>
        <v/>
      </c>
      <c r="DJ1226" t="str">
        <f>""</f>
        <v/>
      </c>
      <c r="DK1226" t="str">
        <f>""</f>
        <v/>
      </c>
      <c r="DL1226" t="str">
        <f>""</f>
        <v/>
      </c>
      <c r="DM1226" t="str">
        <f>""</f>
        <v/>
      </c>
      <c r="DN1226" t="str">
        <f>""</f>
        <v/>
      </c>
      <c r="DO1226" t="str">
        <f>""</f>
        <v/>
      </c>
      <c r="DP1226" t="str">
        <f>""</f>
        <v/>
      </c>
      <c r="DQ1226" t="str">
        <f>""</f>
        <v/>
      </c>
      <c r="DR1226" t="str">
        <f>""</f>
        <v/>
      </c>
      <c r="DS1226" t="str">
        <f>""</f>
        <v/>
      </c>
      <c r="DT1226" t="str">
        <f>""</f>
        <v/>
      </c>
      <c r="DU1226" t="str">
        <f>""</f>
        <v/>
      </c>
    </row>
    <row r="1227" spans="1:125" x14ac:dyDescent="0.25">
      <c r="A1227" t="str">
        <f>$A$568</f>
        <v xml:space="preserve">    Sanyang Motor Co Ltd</v>
      </c>
      <c r="B1227" t="str">
        <f>$B$568</f>
        <v>2206 TT Equity</v>
      </c>
      <c r="C1227" t="str">
        <f>$C$568</f>
        <v>RX076</v>
      </c>
      <c r="D1227" t="str">
        <f>$D$568</f>
        <v>EBIT_YIELD</v>
      </c>
      <c r="E1227" t="str">
        <f>$E$568</f>
        <v>Dynamic</v>
      </c>
      <c r="F1227" t="str">
        <f ca="1">_xll.BDH($B$568,$C$568,$B$675,$B$676,CONCATENATE("Per=",$B$673),"Dts=H","Dir=H",CONCATENATE("Points=",$B$674),"Sort=R","Days=A","Fill=B",CONCATENATE("FX=", $B$672) )</f>
        <v>#N/A Connection</v>
      </c>
      <c r="BN1227" t="str">
        <f>""</f>
        <v/>
      </c>
      <c r="BO1227" t="str">
        <f>""</f>
        <v/>
      </c>
      <c r="BP1227" t="str">
        <f>""</f>
        <v/>
      </c>
      <c r="BQ1227" t="str">
        <f>""</f>
        <v/>
      </c>
      <c r="BR1227" t="str">
        <f>""</f>
        <v/>
      </c>
      <c r="BS1227" t="str">
        <f>""</f>
        <v/>
      </c>
      <c r="BT1227" t="str">
        <f>""</f>
        <v/>
      </c>
      <c r="BU1227" t="str">
        <f>""</f>
        <v/>
      </c>
      <c r="BV1227" t="str">
        <f>""</f>
        <v/>
      </c>
      <c r="BW1227" t="str">
        <f>""</f>
        <v/>
      </c>
      <c r="BX1227" t="str">
        <f>""</f>
        <v/>
      </c>
      <c r="BY1227" t="str">
        <f>""</f>
        <v/>
      </c>
      <c r="BZ1227" t="str">
        <f>""</f>
        <v/>
      </c>
      <c r="CA1227" t="str">
        <f>""</f>
        <v/>
      </c>
      <c r="CB1227" t="str">
        <f>""</f>
        <v/>
      </c>
      <c r="CC1227" t="str">
        <f>""</f>
        <v/>
      </c>
      <c r="CD1227" t="str">
        <f>""</f>
        <v/>
      </c>
      <c r="CE1227" t="str">
        <f>""</f>
        <v/>
      </c>
      <c r="CF1227" t="str">
        <f>""</f>
        <v/>
      </c>
      <c r="CG1227" t="str">
        <f>""</f>
        <v/>
      </c>
      <c r="CH1227" t="str">
        <f>""</f>
        <v/>
      </c>
      <c r="CI1227" t="str">
        <f>""</f>
        <v/>
      </c>
      <c r="CJ1227" t="str">
        <f>""</f>
        <v/>
      </c>
      <c r="CK1227" t="str">
        <f>""</f>
        <v/>
      </c>
      <c r="CL1227" t="str">
        <f>""</f>
        <v/>
      </c>
      <c r="CM1227" t="str">
        <f>""</f>
        <v/>
      </c>
      <c r="CN1227" t="str">
        <f>""</f>
        <v/>
      </c>
      <c r="CO1227" t="str">
        <f>""</f>
        <v/>
      </c>
      <c r="CP1227" t="str">
        <f>""</f>
        <v/>
      </c>
      <c r="CQ1227" t="str">
        <f>""</f>
        <v/>
      </c>
      <c r="CR1227" t="str">
        <f>""</f>
        <v/>
      </c>
      <c r="CS1227" t="str">
        <f>""</f>
        <v/>
      </c>
      <c r="CT1227" t="str">
        <f>""</f>
        <v/>
      </c>
      <c r="CU1227" t="str">
        <f>""</f>
        <v/>
      </c>
      <c r="CV1227" t="str">
        <f>""</f>
        <v/>
      </c>
      <c r="CW1227" t="str">
        <f>""</f>
        <v/>
      </c>
      <c r="CX1227" t="str">
        <f>""</f>
        <v/>
      </c>
      <c r="CY1227" t="str">
        <f>""</f>
        <v/>
      </c>
      <c r="CZ1227" t="str">
        <f>""</f>
        <v/>
      </c>
      <c r="DA1227" t="str">
        <f>""</f>
        <v/>
      </c>
      <c r="DB1227" t="str">
        <f>""</f>
        <v/>
      </c>
      <c r="DC1227" t="str">
        <f>""</f>
        <v/>
      </c>
      <c r="DD1227" t="str">
        <f>""</f>
        <v/>
      </c>
      <c r="DE1227" t="str">
        <f>""</f>
        <v/>
      </c>
      <c r="DF1227" t="str">
        <f>""</f>
        <v/>
      </c>
      <c r="DG1227" t="str">
        <f>""</f>
        <v/>
      </c>
      <c r="DH1227" t="str">
        <f>""</f>
        <v/>
      </c>
      <c r="DI1227" t="str">
        <f>""</f>
        <v/>
      </c>
      <c r="DJ1227" t="str">
        <f>""</f>
        <v/>
      </c>
      <c r="DK1227" t="str">
        <f>""</f>
        <v/>
      </c>
      <c r="DL1227" t="str">
        <f>""</f>
        <v/>
      </c>
      <c r="DM1227" t="str">
        <f>""</f>
        <v/>
      </c>
      <c r="DN1227" t="str">
        <f>""</f>
        <v/>
      </c>
      <c r="DO1227" t="str">
        <f>""</f>
        <v/>
      </c>
      <c r="DP1227" t="str">
        <f>""</f>
        <v/>
      </c>
      <c r="DQ1227" t="str">
        <f>""</f>
        <v/>
      </c>
      <c r="DR1227" t="str">
        <f>""</f>
        <v/>
      </c>
      <c r="DS1227" t="str">
        <f>""</f>
        <v/>
      </c>
      <c r="DT1227" t="str">
        <f>""</f>
        <v/>
      </c>
      <c r="DU1227" t="str">
        <f>""</f>
        <v/>
      </c>
    </row>
    <row r="1228" spans="1:125" x14ac:dyDescent="0.25">
      <c r="A1228" t="str">
        <f>$A$569</f>
        <v xml:space="preserve">    Sollers PJSC</v>
      </c>
      <c r="B1228" t="str">
        <f>$B$569</f>
        <v>SVAV RM Equity</v>
      </c>
      <c r="C1228" t="str">
        <f>$C$569</f>
        <v>RX076</v>
      </c>
      <c r="D1228" t="str">
        <f>$D$569</f>
        <v>EBIT_YIELD</v>
      </c>
      <c r="E1228" t="str">
        <f>$E$569</f>
        <v>Dynamic</v>
      </c>
      <c r="F1228" t="str">
        <f ca="1">_xll.BDH($B$569,$C$569,$B$675,$B$676,CONCATENATE("Per=",$B$673),"Dts=H","Dir=H",CONCATENATE("Points=",$B$674),"Sort=R","Days=A","Fill=B",CONCATENATE("FX=", $B$672) )</f>
        <v>#N/A Connection</v>
      </c>
      <c r="BN1228" t="str">
        <f>""</f>
        <v/>
      </c>
      <c r="BO1228" t="str">
        <f>""</f>
        <v/>
      </c>
      <c r="BP1228" t="str">
        <f>""</f>
        <v/>
      </c>
      <c r="BQ1228" t="str">
        <f>""</f>
        <v/>
      </c>
      <c r="BR1228" t="str">
        <f>""</f>
        <v/>
      </c>
      <c r="BS1228" t="str">
        <f>""</f>
        <v/>
      </c>
      <c r="BT1228" t="str">
        <f>""</f>
        <v/>
      </c>
      <c r="BU1228" t="str">
        <f>""</f>
        <v/>
      </c>
      <c r="BV1228" t="str">
        <f>""</f>
        <v/>
      </c>
      <c r="BW1228" t="str">
        <f>""</f>
        <v/>
      </c>
      <c r="BX1228" t="str">
        <f>""</f>
        <v/>
      </c>
      <c r="BY1228" t="str">
        <f>""</f>
        <v/>
      </c>
      <c r="BZ1228" t="str">
        <f>""</f>
        <v/>
      </c>
      <c r="CA1228" t="str">
        <f>""</f>
        <v/>
      </c>
      <c r="CB1228" t="str">
        <f>""</f>
        <v/>
      </c>
      <c r="CC1228" t="str">
        <f>""</f>
        <v/>
      </c>
      <c r="CD1228" t="str">
        <f>""</f>
        <v/>
      </c>
      <c r="CE1228" t="str">
        <f>""</f>
        <v/>
      </c>
      <c r="CF1228" t="str">
        <f>""</f>
        <v/>
      </c>
      <c r="CG1228" t="str">
        <f>""</f>
        <v/>
      </c>
      <c r="CH1228" t="str">
        <f>""</f>
        <v/>
      </c>
      <c r="CI1228" t="str">
        <f>""</f>
        <v/>
      </c>
      <c r="CJ1228" t="str">
        <f>""</f>
        <v/>
      </c>
      <c r="CK1228" t="str">
        <f>""</f>
        <v/>
      </c>
      <c r="CL1228" t="str">
        <f>""</f>
        <v/>
      </c>
      <c r="CM1228" t="str">
        <f>""</f>
        <v/>
      </c>
      <c r="CN1228" t="str">
        <f>""</f>
        <v/>
      </c>
      <c r="CO1228" t="str">
        <f>""</f>
        <v/>
      </c>
      <c r="CP1228" t="str">
        <f>""</f>
        <v/>
      </c>
      <c r="CQ1228" t="str">
        <f>""</f>
        <v/>
      </c>
      <c r="CR1228" t="str">
        <f>""</f>
        <v/>
      </c>
      <c r="CS1228" t="str">
        <f>""</f>
        <v/>
      </c>
      <c r="CT1228" t="str">
        <f>""</f>
        <v/>
      </c>
      <c r="CU1228" t="str">
        <f>""</f>
        <v/>
      </c>
      <c r="CV1228" t="str">
        <f>""</f>
        <v/>
      </c>
      <c r="CW1228" t="str">
        <f>""</f>
        <v/>
      </c>
      <c r="CX1228" t="str">
        <f>""</f>
        <v/>
      </c>
      <c r="CY1228" t="str">
        <f>""</f>
        <v/>
      </c>
      <c r="CZ1228" t="str">
        <f>""</f>
        <v/>
      </c>
      <c r="DA1228" t="str">
        <f>""</f>
        <v/>
      </c>
      <c r="DB1228" t="str">
        <f>""</f>
        <v/>
      </c>
      <c r="DC1228" t="str">
        <f>""</f>
        <v/>
      </c>
      <c r="DD1228" t="str">
        <f>""</f>
        <v/>
      </c>
      <c r="DE1228" t="str">
        <f>""</f>
        <v/>
      </c>
      <c r="DF1228" t="str">
        <f>""</f>
        <v/>
      </c>
      <c r="DG1228" t="str">
        <f>""</f>
        <v/>
      </c>
      <c r="DH1228" t="str">
        <f>""</f>
        <v/>
      </c>
      <c r="DI1228" t="str">
        <f>""</f>
        <v/>
      </c>
      <c r="DJ1228" t="str">
        <f>""</f>
        <v/>
      </c>
      <c r="DK1228" t="str">
        <f>""</f>
        <v/>
      </c>
      <c r="DL1228" t="str">
        <f>""</f>
        <v/>
      </c>
      <c r="DM1228" t="str">
        <f>""</f>
        <v/>
      </c>
      <c r="DN1228" t="str">
        <f>""</f>
        <v/>
      </c>
      <c r="DO1228" t="str">
        <f>""</f>
        <v/>
      </c>
      <c r="DP1228" t="str">
        <f>""</f>
        <v/>
      </c>
      <c r="DQ1228" t="str">
        <f>""</f>
        <v/>
      </c>
      <c r="DR1228" t="str">
        <f>""</f>
        <v/>
      </c>
      <c r="DS1228" t="str">
        <f>""</f>
        <v/>
      </c>
      <c r="DT1228" t="str">
        <f>""</f>
        <v/>
      </c>
      <c r="DU1228" t="str">
        <f>""</f>
        <v/>
      </c>
    </row>
    <row r="1229" spans="1:125" x14ac:dyDescent="0.25">
      <c r="A1229" t="str">
        <f>$A$570</f>
        <v xml:space="preserve">    Ssangyong Motor Co</v>
      </c>
      <c r="B1229" t="str">
        <f>$B$570</f>
        <v>003620 KS Equity</v>
      </c>
      <c r="C1229" t="str">
        <f>$C$570</f>
        <v>RX076</v>
      </c>
      <c r="D1229" t="str">
        <f>$D$570</f>
        <v>EBIT_YIELD</v>
      </c>
      <c r="E1229" t="str">
        <f>$E$570</f>
        <v>Dynamic</v>
      </c>
      <c r="F1229" t="str">
        <f ca="1">_xll.BDH($B$570,$C$570,$B$675,$B$676,CONCATENATE("Per=",$B$673),"Dts=H","Dir=H",CONCATENATE("Points=",$B$674),"Sort=R","Days=A","Fill=B",CONCATENATE("FX=", $B$672) )</f>
        <v>#N/A Connection</v>
      </c>
      <c r="BN1229" t="str">
        <f>""</f>
        <v/>
      </c>
      <c r="BO1229" t="str">
        <f>""</f>
        <v/>
      </c>
      <c r="BP1229" t="str">
        <f>""</f>
        <v/>
      </c>
      <c r="BQ1229" t="str">
        <f>""</f>
        <v/>
      </c>
      <c r="BR1229" t="str">
        <f>""</f>
        <v/>
      </c>
      <c r="BS1229" t="str">
        <f>""</f>
        <v/>
      </c>
      <c r="BT1229" t="str">
        <f>""</f>
        <v/>
      </c>
      <c r="BU1229" t="str">
        <f>""</f>
        <v/>
      </c>
      <c r="BV1229" t="str">
        <f>""</f>
        <v/>
      </c>
      <c r="BW1229" t="str">
        <f>""</f>
        <v/>
      </c>
      <c r="BX1229" t="str">
        <f>""</f>
        <v/>
      </c>
      <c r="BY1229" t="str">
        <f>""</f>
        <v/>
      </c>
      <c r="BZ1229" t="str">
        <f>""</f>
        <v/>
      </c>
      <c r="CA1229" t="str">
        <f>""</f>
        <v/>
      </c>
      <c r="CB1229" t="str">
        <f>""</f>
        <v/>
      </c>
      <c r="CC1229" t="str">
        <f>""</f>
        <v/>
      </c>
      <c r="CD1229" t="str">
        <f>""</f>
        <v/>
      </c>
      <c r="CE1229" t="str">
        <f>""</f>
        <v/>
      </c>
      <c r="CF1229" t="str">
        <f>""</f>
        <v/>
      </c>
      <c r="CG1229" t="str">
        <f>""</f>
        <v/>
      </c>
      <c r="CH1229" t="str">
        <f>""</f>
        <v/>
      </c>
      <c r="CI1229" t="str">
        <f>""</f>
        <v/>
      </c>
      <c r="CJ1229" t="str">
        <f>""</f>
        <v/>
      </c>
      <c r="CK1229" t="str">
        <f>""</f>
        <v/>
      </c>
      <c r="CL1229" t="str">
        <f>""</f>
        <v/>
      </c>
      <c r="CM1229" t="str">
        <f>""</f>
        <v/>
      </c>
      <c r="CN1229" t="str">
        <f>""</f>
        <v/>
      </c>
      <c r="CO1229" t="str">
        <f>""</f>
        <v/>
      </c>
      <c r="CP1229" t="str">
        <f>""</f>
        <v/>
      </c>
      <c r="CQ1229" t="str">
        <f>""</f>
        <v/>
      </c>
      <c r="CR1229" t="str">
        <f>""</f>
        <v/>
      </c>
      <c r="CS1229" t="str">
        <f>""</f>
        <v/>
      </c>
      <c r="CT1229" t="str">
        <f>""</f>
        <v/>
      </c>
      <c r="CU1229" t="str">
        <f>""</f>
        <v/>
      </c>
      <c r="CV1229" t="str">
        <f>""</f>
        <v/>
      </c>
      <c r="CW1229" t="str">
        <f>""</f>
        <v/>
      </c>
      <c r="CX1229" t="str">
        <f>""</f>
        <v/>
      </c>
      <c r="CY1229" t="str">
        <f>""</f>
        <v/>
      </c>
      <c r="CZ1229" t="str">
        <f>""</f>
        <v/>
      </c>
      <c r="DA1229" t="str">
        <f>""</f>
        <v/>
      </c>
      <c r="DB1229" t="str">
        <f>""</f>
        <v/>
      </c>
      <c r="DC1229" t="str">
        <f>""</f>
        <v/>
      </c>
      <c r="DD1229" t="str">
        <f>""</f>
        <v/>
      </c>
      <c r="DE1229" t="str">
        <f>""</f>
        <v/>
      </c>
      <c r="DF1229" t="str">
        <f>""</f>
        <v/>
      </c>
      <c r="DG1229" t="str">
        <f>""</f>
        <v/>
      </c>
      <c r="DH1229" t="str">
        <f>""</f>
        <v/>
      </c>
      <c r="DI1229" t="str">
        <f>""</f>
        <v/>
      </c>
      <c r="DJ1229" t="str">
        <f>""</f>
        <v/>
      </c>
      <c r="DK1229" t="str">
        <f>""</f>
        <v/>
      </c>
      <c r="DL1229" t="str">
        <f>""</f>
        <v/>
      </c>
      <c r="DM1229" t="str">
        <f>""</f>
        <v/>
      </c>
      <c r="DN1229" t="str">
        <f>""</f>
        <v/>
      </c>
      <c r="DO1229" t="str">
        <f>""</f>
        <v/>
      </c>
      <c r="DP1229" t="str">
        <f>""</f>
        <v/>
      </c>
      <c r="DQ1229" t="str">
        <f>""</f>
        <v/>
      </c>
      <c r="DR1229" t="str">
        <f>""</f>
        <v/>
      </c>
      <c r="DS1229" t="str">
        <f>""</f>
        <v/>
      </c>
      <c r="DT1229" t="str">
        <f>""</f>
        <v/>
      </c>
      <c r="DU1229" t="str">
        <f>""</f>
        <v/>
      </c>
    </row>
    <row r="1230" spans="1:125" x14ac:dyDescent="0.25">
      <c r="A1230" t="str">
        <f>$A$571</f>
        <v xml:space="preserve">    Subaru Corp</v>
      </c>
      <c r="B1230" t="str">
        <f>$B$571</f>
        <v>7270 JP Equity</v>
      </c>
      <c r="C1230" t="str">
        <f>$C$571</f>
        <v>RX076</v>
      </c>
      <c r="D1230" t="str">
        <f>$D$571</f>
        <v>EBIT_YIELD</v>
      </c>
      <c r="E1230" t="str">
        <f>$E$571</f>
        <v>Dynamic</v>
      </c>
      <c r="F1230" t="str">
        <f ca="1">_xll.BDH($B$571,$C$571,$B$675,$B$676,CONCATENATE("Per=",$B$673),"Dts=H","Dir=H",CONCATENATE("Points=",$B$674),"Sort=R","Days=A","Fill=B",CONCATENATE("FX=", $B$672) )</f>
        <v>#N/A Connection</v>
      </c>
      <c r="BN1230" t="str">
        <f>""</f>
        <v/>
      </c>
      <c r="BO1230" t="str">
        <f>""</f>
        <v/>
      </c>
      <c r="BP1230" t="str">
        <f>""</f>
        <v/>
      </c>
      <c r="BQ1230" t="str">
        <f>""</f>
        <v/>
      </c>
      <c r="BR1230" t="str">
        <f>""</f>
        <v/>
      </c>
      <c r="BS1230" t="str">
        <f>""</f>
        <v/>
      </c>
      <c r="BT1230" t="str">
        <f>""</f>
        <v/>
      </c>
      <c r="BU1230" t="str">
        <f>""</f>
        <v/>
      </c>
      <c r="BV1230" t="str">
        <f>""</f>
        <v/>
      </c>
      <c r="BW1230" t="str">
        <f>""</f>
        <v/>
      </c>
      <c r="BX1230" t="str">
        <f>""</f>
        <v/>
      </c>
      <c r="BY1230" t="str">
        <f>""</f>
        <v/>
      </c>
      <c r="BZ1230" t="str">
        <f>""</f>
        <v/>
      </c>
      <c r="CA1230" t="str">
        <f>""</f>
        <v/>
      </c>
      <c r="CB1230" t="str">
        <f>""</f>
        <v/>
      </c>
      <c r="CC1230" t="str">
        <f>""</f>
        <v/>
      </c>
      <c r="CD1230" t="str">
        <f>""</f>
        <v/>
      </c>
      <c r="CE1230" t="str">
        <f>""</f>
        <v/>
      </c>
      <c r="CF1230" t="str">
        <f>""</f>
        <v/>
      </c>
      <c r="CG1230" t="str">
        <f>""</f>
        <v/>
      </c>
      <c r="CH1230" t="str">
        <f>""</f>
        <v/>
      </c>
      <c r="CI1230" t="str">
        <f>""</f>
        <v/>
      </c>
      <c r="CJ1230" t="str">
        <f>""</f>
        <v/>
      </c>
      <c r="CK1230" t="str">
        <f>""</f>
        <v/>
      </c>
      <c r="CL1230" t="str">
        <f>""</f>
        <v/>
      </c>
      <c r="CM1230" t="str">
        <f>""</f>
        <v/>
      </c>
      <c r="CN1230" t="str">
        <f>""</f>
        <v/>
      </c>
      <c r="CO1230" t="str">
        <f>""</f>
        <v/>
      </c>
      <c r="CP1230" t="str">
        <f>""</f>
        <v/>
      </c>
      <c r="CQ1230" t="str">
        <f>""</f>
        <v/>
      </c>
      <c r="CR1230" t="str">
        <f>""</f>
        <v/>
      </c>
      <c r="CS1230" t="str">
        <f>""</f>
        <v/>
      </c>
      <c r="CT1230" t="str">
        <f>""</f>
        <v/>
      </c>
      <c r="CU1230" t="str">
        <f>""</f>
        <v/>
      </c>
      <c r="CV1230" t="str">
        <f>""</f>
        <v/>
      </c>
      <c r="CW1230" t="str">
        <f>""</f>
        <v/>
      </c>
      <c r="CX1230" t="str">
        <f>""</f>
        <v/>
      </c>
      <c r="CY1230" t="str">
        <f>""</f>
        <v/>
      </c>
      <c r="CZ1230" t="str">
        <f>""</f>
        <v/>
      </c>
      <c r="DA1230" t="str">
        <f>""</f>
        <v/>
      </c>
      <c r="DB1230" t="str">
        <f>""</f>
        <v/>
      </c>
      <c r="DC1230" t="str">
        <f>""</f>
        <v/>
      </c>
      <c r="DD1230" t="str">
        <f>""</f>
        <v/>
      </c>
      <c r="DE1230" t="str">
        <f>""</f>
        <v/>
      </c>
      <c r="DF1230" t="str">
        <f>""</f>
        <v/>
      </c>
      <c r="DG1230" t="str">
        <f>""</f>
        <v/>
      </c>
      <c r="DH1230" t="str">
        <f>""</f>
        <v/>
      </c>
      <c r="DI1230" t="str">
        <f>""</f>
        <v/>
      </c>
      <c r="DJ1230" t="str">
        <f>""</f>
        <v/>
      </c>
      <c r="DK1230" t="str">
        <f>""</f>
        <v/>
      </c>
      <c r="DL1230" t="str">
        <f>""</f>
        <v/>
      </c>
      <c r="DM1230" t="str">
        <f>""</f>
        <v/>
      </c>
      <c r="DN1230" t="str">
        <f>""</f>
        <v/>
      </c>
      <c r="DO1230" t="str">
        <f>""</f>
        <v/>
      </c>
      <c r="DP1230" t="str">
        <f>""</f>
        <v/>
      </c>
      <c r="DQ1230" t="str">
        <f>""</f>
        <v/>
      </c>
      <c r="DR1230" t="str">
        <f>""</f>
        <v/>
      </c>
      <c r="DS1230" t="str">
        <f>""</f>
        <v/>
      </c>
      <c r="DT1230" t="str">
        <f>""</f>
        <v/>
      </c>
      <c r="DU1230" t="str">
        <f>""</f>
        <v/>
      </c>
    </row>
    <row r="1231" spans="1:125" x14ac:dyDescent="0.25">
      <c r="A1231" t="str">
        <f>$A$572</f>
        <v xml:space="preserve">    Suzuki Motor Corp</v>
      </c>
      <c r="B1231" t="str">
        <f>$B$572</f>
        <v>7269 JP Equity</v>
      </c>
      <c r="C1231" t="str">
        <f>$C$572</f>
        <v>RX076</v>
      </c>
      <c r="D1231" t="str">
        <f>$D$572</f>
        <v>EBIT_YIELD</v>
      </c>
      <c r="E1231" t="str">
        <f>$E$572</f>
        <v>Dynamic</v>
      </c>
      <c r="F1231" t="str">
        <f ca="1">_xll.BDH($B$572,$C$572,$B$675,$B$676,CONCATENATE("Per=",$B$673),"Dts=H","Dir=H",CONCATENATE("Points=",$B$674),"Sort=R","Days=A","Fill=B",CONCATENATE("FX=", $B$672) )</f>
        <v>#N/A Connection</v>
      </c>
      <c r="BN1231" t="str">
        <f>""</f>
        <v/>
      </c>
      <c r="BO1231" t="str">
        <f>""</f>
        <v/>
      </c>
      <c r="BP1231" t="str">
        <f>""</f>
        <v/>
      </c>
      <c r="BQ1231" t="str">
        <f>""</f>
        <v/>
      </c>
      <c r="BR1231" t="str">
        <f>""</f>
        <v/>
      </c>
      <c r="BS1231" t="str">
        <f>""</f>
        <v/>
      </c>
      <c r="BT1231" t="str">
        <f>""</f>
        <v/>
      </c>
      <c r="BU1231" t="str">
        <f>""</f>
        <v/>
      </c>
      <c r="BV1231" t="str">
        <f>""</f>
        <v/>
      </c>
      <c r="BW1231" t="str">
        <f>""</f>
        <v/>
      </c>
      <c r="BX1231" t="str">
        <f>""</f>
        <v/>
      </c>
      <c r="BY1231" t="str">
        <f>""</f>
        <v/>
      </c>
      <c r="BZ1231" t="str">
        <f>""</f>
        <v/>
      </c>
      <c r="CA1231" t="str">
        <f>""</f>
        <v/>
      </c>
      <c r="CB1231" t="str">
        <f>""</f>
        <v/>
      </c>
      <c r="CC1231" t="str">
        <f>""</f>
        <v/>
      </c>
      <c r="CD1231" t="str">
        <f>""</f>
        <v/>
      </c>
      <c r="CE1231" t="str">
        <f>""</f>
        <v/>
      </c>
      <c r="CF1231" t="str">
        <f>""</f>
        <v/>
      </c>
      <c r="CG1231" t="str">
        <f>""</f>
        <v/>
      </c>
      <c r="CH1231" t="str">
        <f>""</f>
        <v/>
      </c>
      <c r="CI1231" t="str">
        <f>""</f>
        <v/>
      </c>
      <c r="CJ1231" t="str">
        <f>""</f>
        <v/>
      </c>
      <c r="CK1231" t="str">
        <f>""</f>
        <v/>
      </c>
      <c r="CL1231" t="str">
        <f>""</f>
        <v/>
      </c>
      <c r="CM1231" t="str">
        <f>""</f>
        <v/>
      </c>
      <c r="CN1231" t="str">
        <f>""</f>
        <v/>
      </c>
      <c r="CO1231" t="str">
        <f>""</f>
        <v/>
      </c>
      <c r="CP1231" t="str">
        <f>""</f>
        <v/>
      </c>
      <c r="CQ1231" t="str">
        <f>""</f>
        <v/>
      </c>
      <c r="CR1231" t="str">
        <f>""</f>
        <v/>
      </c>
      <c r="CS1231" t="str">
        <f>""</f>
        <v/>
      </c>
      <c r="CT1231" t="str">
        <f>""</f>
        <v/>
      </c>
      <c r="CU1231" t="str">
        <f>""</f>
        <v/>
      </c>
      <c r="CV1231" t="str">
        <f>""</f>
        <v/>
      </c>
      <c r="CW1231" t="str">
        <f>""</f>
        <v/>
      </c>
      <c r="CX1231" t="str">
        <f>""</f>
        <v/>
      </c>
      <c r="CY1231" t="str">
        <f>""</f>
        <v/>
      </c>
      <c r="CZ1231" t="str">
        <f>""</f>
        <v/>
      </c>
      <c r="DA1231" t="str">
        <f>""</f>
        <v/>
      </c>
      <c r="DB1231" t="str">
        <f>""</f>
        <v/>
      </c>
      <c r="DC1231" t="str">
        <f>""</f>
        <v/>
      </c>
      <c r="DD1231" t="str">
        <f>""</f>
        <v/>
      </c>
      <c r="DE1231" t="str">
        <f>""</f>
        <v/>
      </c>
      <c r="DF1231" t="str">
        <f>""</f>
        <v/>
      </c>
      <c r="DG1231" t="str">
        <f>""</f>
        <v/>
      </c>
      <c r="DH1231" t="str">
        <f>""</f>
        <v/>
      </c>
      <c r="DI1231" t="str">
        <f>""</f>
        <v/>
      </c>
      <c r="DJ1231" t="str">
        <f>""</f>
        <v/>
      </c>
      <c r="DK1231" t="str">
        <f>""</f>
        <v/>
      </c>
      <c r="DL1231" t="str">
        <f>""</f>
        <v/>
      </c>
      <c r="DM1231" t="str">
        <f>""</f>
        <v/>
      </c>
      <c r="DN1231" t="str">
        <f>""</f>
        <v/>
      </c>
      <c r="DO1231" t="str">
        <f>""</f>
        <v/>
      </c>
      <c r="DP1231" t="str">
        <f>""</f>
        <v/>
      </c>
      <c r="DQ1231" t="str">
        <f>""</f>
        <v/>
      </c>
      <c r="DR1231" t="str">
        <f>""</f>
        <v/>
      </c>
      <c r="DS1231" t="str">
        <f>""</f>
        <v/>
      </c>
      <c r="DT1231" t="str">
        <f>""</f>
        <v/>
      </c>
      <c r="DU1231" t="str">
        <f>""</f>
        <v/>
      </c>
    </row>
    <row r="1232" spans="1:125" x14ac:dyDescent="0.25">
      <c r="A1232" t="str">
        <f>$A$573</f>
        <v xml:space="preserve">    Tata Motors Ltd</v>
      </c>
      <c r="B1232" t="str">
        <f>$B$573</f>
        <v>TTMT IN Equity</v>
      </c>
      <c r="C1232" t="str">
        <f>$C$573</f>
        <v>RX076</v>
      </c>
      <c r="D1232" t="str">
        <f>$D$573</f>
        <v>EBIT_YIELD</v>
      </c>
      <c r="E1232" t="str">
        <f>$E$573</f>
        <v>Dynamic</v>
      </c>
      <c r="F1232" t="str">
        <f ca="1">_xll.BDH($B$573,$C$573,$B$675,$B$676,CONCATENATE("Per=",$B$673),"Dts=H","Dir=H",CONCATENATE("Points=",$B$674),"Sort=R","Days=A","Fill=B",CONCATENATE("FX=", $B$672) )</f>
        <v>#N/A Connection</v>
      </c>
      <c r="BN1232" t="str">
        <f>""</f>
        <v/>
      </c>
      <c r="BO1232" t="str">
        <f>""</f>
        <v/>
      </c>
      <c r="BP1232" t="str">
        <f>""</f>
        <v/>
      </c>
      <c r="BQ1232" t="str">
        <f>""</f>
        <v/>
      </c>
      <c r="BR1232" t="str">
        <f>""</f>
        <v/>
      </c>
      <c r="BS1232" t="str">
        <f>""</f>
        <v/>
      </c>
      <c r="BT1232" t="str">
        <f>""</f>
        <v/>
      </c>
      <c r="BU1232" t="str">
        <f>""</f>
        <v/>
      </c>
      <c r="BV1232" t="str">
        <f>""</f>
        <v/>
      </c>
      <c r="BW1232" t="str">
        <f>""</f>
        <v/>
      </c>
      <c r="BX1232" t="str">
        <f>""</f>
        <v/>
      </c>
      <c r="BY1232" t="str">
        <f>""</f>
        <v/>
      </c>
      <c r="BZ1232" t="str">
        <f>""</f>
        <v/>
      </c>
      <c r="CA1232" t="str">
        <f>""</f>
        <v/>
      </c>
      <c r="CB1232" t="str">
        <f>""</f>
        <v/>
      </c>
      <c r="CC1232" t="str">
        <f>""</f>
        <v/>
      </c>
      <c r="CD1232" t="str">
        <f>""</f>
        <v/>
      </c>
      <c r="CE1232" t="str">
        <f>""</f>
        <v/>
      </c>
      <c r="CF1232" t="str">
        <f>""</f>
        <v/>
      </c>
      <c r="CG1232" t="str">
        <f>""</f>
        <v/>
      </c>
      <c r="CH1232" t="str">
        <f>""</f>
        <v/>
      </c>
      <c r="CI1232" t="str">
        <f>""</f>
        <v/>
      </c>
      <c r="CJ1232" t="str">
        <f>""</f>
        <v/>
      </c>
      <c r="CK1232" t="str">
        <f>""</f>
        <v/>
      </c>
      <c r="CL1232" t="str">
        <f>""</f>
        <v/>
      </c>
      <c r="CM1232" t="str">
        <f>""</f>
        <v/>
      </c>
      <c r="CN1232" t="str">
        <f>""</f>
        <v/>
      </c>
      <c r="CO1232" t="str">
        <f>""</f>
        <v/>
      </c>
      <c r="CP1232" t="str">
        <f>""</f>
        <v/>
      </c>
      <c r="CQ1232" t="str">
        <f>""</f>
        <v/>
      </c>
      <c r="CR1232" t="str">
        <f>""</f>
        <v/>
      </c>
      <c r="CS1232" t="str">
        <f>""</f>
        <v/>
      </c>
      <c r="CT1232" t="str">
        <f>""</f>
        <v/>
      </c>
      <c r="CU1232" t="str">
        <f>""</f>
        <v/>
      </c>
      <c r="CV1232" t="str">
        <f>""</f>
        <v/>
      </c>
      <c r="CW1232" t="str">
        <f>""</f>
        <v/>
      </c>
      <c r="CX1232" t="str">
        <f>""</f>
        <v/>
      </c>
      <c r="CY1232" t="str">
        <f>""</f>
        <v/>
      </c>
      <c r="CZ1232" t="str">
        <f>""</f>
        <v/>
      </c>
      <c r="DA1232" t="str">
        <f>""</f>
        <v/>
      </c>
      <c r="DB1232" t="str">
        <f>""</f>
        <v/>
      </c>
      <c r="DC1232" t="str">
        <f>""</f>
        <v/>
      </c>
      <c r="DD1232" t="str">
        <f>""</f>
        <v/>
      </c>
      <c r="DE1232" t="str">
        <f>""</f>
        <v/>
      </c>
      <c r="DF1232" t="str">
        <f>""</f>
        <v/>
      </c>
      <c r="DG1232" t="str">
        <f>""</f>
        <v/>
      </c>
      <c r="DH1232" t="str">
        <f>""</f>
        <v/>
      </c>
      <c r="DI1232" t="str">
        <f>""</f>
        <v/>
      </c>
      <c r="DJ1232" t="str">
        <f>""</f>
        <v/>
      </c>
      <c r="DK1232" t="str">
        <f>""</f>
        <v/>
      </c>
      <c r="DL1232" t="str">
        <f>""</f>
        <v/>
      </c>
      <c r="DM1232" t="str">
        <f>""</f>
        <v/>
      </c>
      <c r="DN1232" t="str">
        <f>""</f>
        <v/>
      </c>
      <c r="DO1232" t="str">
        <f>""</f>
        <v/>
      </c>
      <c r="DP1232" t="str">
        <f>""</f>
        <v/>
      </c>
      <c r="DQ1232" t="str">
        <f>""</f>
        <v/>
      </c>
      <c r="DR1232" t="str">
        <f>""</f>
        <v/>
      </c>
      <c r="DS1232" t="str">
        <f>""</f>
        <v/>
      </c>
      <c r="DT1232" t="str">
        <f>""</f>
        <v/>
      </c>
      <c r="DU1232" t="str">
        <f>""</f>
        <v/>
      </c>
    </row>
    <row r="1233" spans="1:125" x14ac:dyDescent="0.25">
      <c r="A1233" t="str">
        <f>$A$574</f>
        <v xml:space="preserve">    Tesla Inc</v>
      </c>
      <c r="B1233" t="str">
        <f>$B$574</f>
        <v>TSLA US Equity</v>
      </c>
      <c r="C1233" t="str">
        <f>$C$574</f>
        <v>RX076</v>
      </c>
      <c r="D1233" t="str">
        <f>$D$574</f>
        <v>EBIT_YIELD</v>
      </c>
      <c r="E1233" t="str">
        <f>$E$574</f>
        <v>Dynamic</v>
      </c>
      <c r="F1233" t="str">
        <f ca="1">_xll.BDH($B$574,$C$574,$B$675,$B$676,CONCATENATE("Per=",$B$673),"Dts=H","Dir=H",CONCATENATE("Points=",$B$674),"Sort=R","Days=A","Fill=B",CONCATENATE("FX=", $B$672) )</f>
        <v>#N/A Connection</v>
      </c>
      <c r="BN1233" t="str">
        <f>""</f>
        <v/>
      </c>
      <c r="BO1233" t="str">
        <f>""</f>
        <v/>
      </c>
      <c r="BP1233" t="str">
        <f>""</f>
        <v/>
      </c>
      <c r="BQ1233" t="str">
        <f>""</f>
        <v/>
      </c>
      <c r="BR1233" t="str">
        <f>""</f>
        <v/>
      </c>
      <c r="BS1233" t="str">
        <f>""</f>
        <v/>
      </c>
      <c r="BT1233" t="str">
        <f>""</f>
        <v/>
      </c>
      <c r="BU1233" t="str">
        <f>""</f>
        <v/>
      </c>
      <c r="BV1233" t="str">
        <f>""</f>
        <v/>
      </c>
      <c r="BW1233" t="str">
        <f>""</f>
        <v/>
      </c>
      <c r="BX1233" t="str">
        <f>""</f>
        <v/>
      </c>
      <c r="BY1233" t="str">
        <f>""</f>
        <v/>
      </c>
      <c r="BZ1233" t="str">
        <f>""</f>
        <v/>
      </c>
      <c r="CA1233" t="str">
        <f>""</f>
        <v/>
      </c>
      <c r="CB1233" t="str">
        <f>""</f>
        <v/>
      </c>
      <c r="CC1233" t="str">
        <f>""</f>
        <v/>
      </c>
      <c r="CD1233" t="str">
        <f>""</f>
        <v/>
      </c>
      <c r="CE1233" t="str">
        <f>""</f>
        <v/>
      </c>
      <c r="CF1233" t="str">
        <f>""</f>
        <v/>
      </c>
      <c r="CG1233" t="str">
        <f>""</f>
        <v/>
      </c>
      <c r="CH1233" t="str">
        <f>""</f>
        <v/>
      </c>
      <c r="CI1233" t="str">
        <f>""</f>
        <v/>
      </c>
      <c r="CJ1233" t="str">
        <f>""</f>
        <v/>
      </c>
      <c r="CK1233" t="str">
        <f>""</f>
        <v/>
      </c>
      <c r="CL1233" t="str">
        <f>""</f>
        <v/>
      </c>
      <c r="CM1233" t="str">
        <f>""</f>
        <v/>
      </c>
      <c r="CN1233" t="str">
        <f>""</f>
        <v/>
      </c>
      <c r="CO1233" t="str">
        <f>""</f>
        <v/>
      </c>
      <c r="CP1233" t="str">
        <f>""</f>
        <v/>
      </c>
      <c r="CQ1233" t="str">
        <f>""</f>
        <v/>
      </c>
      <c r="CR1233" t="str">
        <f>""</f>
        <v/>
      </c>
      <c r="CS1233" t="str">
        <f>""</f>
        <v/>
      </c>
      <c r="CT1233" t="str">
        <f>""</f>
        <v/>
      </c>
      <c r="CU1233" t="str">
        <f>""</f>
        <v/>
      </c>
      <c r="CV1233" t="str">
        <f>""</f>
        <v/>
      </c>
      <c r="CW1233" t="str">
        <f>""</f>
        <v/>
      </c>
      <c r="CX1233" t="str">
        <f>""</f>
        <v/>
      </c>
      <c r="CY1233" t="str">
        <f>""</f>
        <v/>
      </c>
      <c r="CZ1233" t="str">
        <f>""</f>
        <v/>
      </c>
      <c r="DA1233" t="str">
        <f>""</f>
        <v/>
      </c>
      <c r="DB1233" t="str">
        <f>""</f>
        <v/>
      </c>
      <c r="DC1233" t="str">
        <f>""</f>
        <v/>
      </c>
      <c r="DD1233" t="str">
        <f>""</f>
        <v/>
      </c>
      <c r="DE1233" t="str">
        <f>""</f>
        <v/>
      </c>
      <c r="DF1233" t="str">
        <f>""</f>
        <v/>
      </c>
      <c r="DG1233" t="str">
        <f>""</f>
        <v/>
      </c>
      <c r="DH1233" t="str">
        <f>""</f>
        <v/>
      </c>
      <c r="DI1233" t="str">
        <f>""</f>
        <v/>
      </c>
      <c r="DJ1233" t="str">
        <f>""</f>
        <v/>
      </c>
      <c r="DK1233" t="str">
        <f>""</f>
        <v/>
      </c>
      <c r="DL1233" t="str">
        <f>""</f>
        <v/>
      </c>
      <c r="DM1233" t="str">
        <f>""</f>
        <v/>
      </c>
      <c r="DN1233" t="str">
        <f>""</f>
        <v/>
      </c>
      <c r="DO1233" t="str">
        <f>""</f>
        <v/>
      </c>
      <c r="DP1233" t="str">
        <f>""</f>
        <v/>
      </c>
      <c r="DQ1233" t="str">
        <f>""</f>
        <v/>
      </c>
      <c r="DR1233" t="str">
        <f>""</f>
        <v/>
      </c>
      <c r="DS1233" t="str">
        <f>""</f>
        <v/>
      </c>
      <c r="DT1233" t="str">
        <f>""</f>
        <v/>
      </c>
      <c r="DU1233" t="str">
        <f>""</f>
        <v/>
      </c>
    </row>
    <row r="1234" spans="1:125" x14ac:dyDescent="0.25">
      <c r="A1234" t="str">
        <f>$A$575</f>
        <v xml:space="preserve">    Tianjin Faw Xiali Automobile Co Ltd</v>
      </c>
      <c r="B1234" t="str">
        <f>$B$575</f>
        <v>000927 CH Equity</v>
      </c>
      <c r="C1234" t="str">
        <f>$C$575</f>
        <v>RX076</v>
      </c>
      <c r="D1234" t="str">
        <f>$D$575</f>
        <v>EBIT_YIELD</v>
      </c>
      <c r="E1234" t="str">
        <f>$E$575</f>
        <v>Dynamic</v>
      </c>
      <c r="F1234" t="str">
        <f ca="1">_xll.BDH($B$575,$C$575,$B$675,$B$676,CONCATENATE("Per=",$B$673),"Dts=H","Dir=H",CONCATENATE("Points=",$B$674),"Sort=R","Days=A","Fill=B",CONCATENATE("FX=", $B$672) )</f>
        <v>#N/A Connection</v>
      </c>
      <c r="BN1234" t="str">
        <f>""</f>
        <v/>
      </c>
      <c r="BO1234" t="str">
        <f>""</f>
        <v/>
      </c>
      <c r="BP1234" t="str">
        <f>""</f>
        <v/>
      </c>
      <c r="BQ1234" t="str">
        <f>""</f>
        <v/>
      </c>
      <c r="BR1234" t="str">
        <f>""</f>
        <v/>
      </c>
      <c r="BS1234" t="str">
        <f>""</f>
        <v/>
      </c>
      <c r="BT1234" t="str">
        <f>""</f>
        <v/>
      </c>
      <c r="BU1234" t="str">
        <f>""</f>
        <v/>
      </c>
      <c r="BV1234" t="str">
        <f>""</f>
        <v/>
      </c>
      <c r="BW1234" t="str">
        <f>""</f>
        <v/>
      </c>
      <c r="BX1234" t="str">
        <f>""</f>
        <v/>
      </c>
      <c r="BY1234" t="str">
        <f>""</f>
        <v/>
      </c>
      <c r="BZ1234" t="str">
        <f>""</f>
        <v/>
      </c>
      <c r="CA1234" t="str">
        <f>""</f>
        <v/>
      </c>
      <c r="CB1234" t="str">
        <f>""</f>
        <v/>
      </c>
      <c r="CC1234" t="str">
        <f>""</f>
        <v/>
      </c>
      <c r="CD1234" t="str">
        <f>""</f>
        <v/>
      </c>
      <c r="CE1234" t="str">
        <f>""</f>
        <v/>
      </c>
      <c r="CF1234" t="str">
        <f>""</f>
        <v/>
      </c>
      <c r="CG1234" t="str">
        <f>""</f>
        <v/>
      </c>
      <c r="CH1234" t="str">
        <f>""</f>
        <v/>
      </c>
      <c r="CI1234" t="str">
        <f>""</f>
        <v/>
      </c>
      <c r="CJ1234" t="str">
        <f>""</f>
        <v/>
      </c>
      <c r="CK1234" t="str">
        <f>""</f>
        <v/>
      </c>
      <c r="CL1234" t="str">
        <f>""</f>
        <v/>
      </c>
      <c r="CM1234" t="str">
        <f>""</f>
        <v/>
      </c>
      <c r="CN1234" t="str">
        <f>""</f>
        <v/>
      </c>
      <c r="CO1234" t="str">
        <f>""</f>
        <v/>
      </c>
      <c r="CP1234" t="str">
        <f>""</f>
        <v/>
      </c>
      <c r="CQ1234" t="str">
        <f>""</f>
        <v/>
      </c>
      <c r="CR1234" t="str">
        <f>""</f>
        <v/>
      </c>
      <c r="CS1234" t="str">
        <f>""</f>
        <v/>
      </c>
      <c r="CT1234" t="str">
        <f>""</f>
        <v/>
      </c>
      <c r="CU1234" t="str">
        <f>""</f>
        <v/>
      </c>
      <c r="CV1234" t="str">
        <f>""</f>
        <v/>
      </c>
      <c r="CW1234" t="str">
        <f>""</f>
        <v/>
      </c>
      <c r="CX1234" t="str">
        <f>""</f>
        <v/>
      </c>
      <c r="CY1234" t="str">
        <f>""</f>
        <v/>
      </c>
      <c r="CZ1234" t="str">
        <f>""</f>
        <v/>
      </c>
      <c r="DA1234" t="str">
        <f>""</f>
        <v/>
      </c>
      <c r="DB1234" t="str">
        <f>""</f>
        <v/>
      </c>
      <c r="DC1234" t="str">
        <f>""</f>
        <v/>
      </c>
      <c r="DD1234" t="str">
        <f>""</f>
        <v/>
      </c>
      <c r="DE1234" t="str">
        <f>""</f>
        <v/>
      </c>
      <c r="DF1234" t="str">
        <f>""</f>
        <v/>
      </c>
      <c r="DG1234" t="str">
        <f>""</f>
        <v/>
      </c>
      <c r="DH1234" t="str">
        <f>""</f>
        <v/>
      </c>
      <c r="DI1234" t="str">
        <f>""</f>
        <v/>
      </c>
      <c r="DJ1234" t="str">
        <f>""</f>
        <v/>
      </c>
      <c r="DK1234" t="str">
        <f>""</f>
        <v/>
      </c>
      <c r="DL1234" t="str">
        <f>""</f>
        <v/>
      </c>
      <c r="DM1234" t="str">
        <f>""</f>
        <v/>
      </c>
      <c r="DN1234" t="str">
        <f>""</f>
        <v/>
      </c>
      <c r="DO1234" t="str">
        <f>""</f>
        <v/>
      </c>
      <c r="DP1234" t="str">
        <f>""</f>
        <v/>
      </c>
      <c r="DQ1234" t="str">
        <f>""</f>
        <v/>
      </c>
      <c r="DR1234" t="str">
        <f>""</f>
        <v/>
      </c>
      <c r="DS1234" t="str">
        <f>""</f>
        <v/>
      </c>
      <c r="DT1234" t="str">
        <f>""</f>
        <v/>
      </c>
      <c r="DU1234" t="str">
        <f>""</f>
        <v/>
      </c>
    </row>
    <row r="1235" spans="1:125" x14ac:dyDescent="0.25">
      <c r="A1235" t="str">
        <f>$A$576</f>
        <v xml:space="preserve">    Tofas Turk Otomobil Fabrikasi AS</v>
      </c>
      <c r="B1235" t="str">
        <f>$B$576</f>
        <v>TOASOTRY EO Equity</v>
      </c>
      <c r="C1235" t="str">
        <f>$C$576</f>
        <v>RX076</v>
      </c>
      <c r="D1235" t="str">
        <f>$D$576</f>
        <v>EBIT_YIELD</v>
      </c>
      <c r="E1235" t="str">
        <f>$E$576</f>
        <v>Dynamic</v>
      </c>
      <c r="F1235" t="str">
        <f ca="1">_xll.BDH($B$576,$C$576,$B$675,$B$676,CONCATENATE("Per=",$B$673),"Dts=H","Dir=H",CONCATENATE("Points=",$B$674),"Sort=R","Days=A","Fill=B",CONCATENATE("FX=", $B$672) )</f>
        <v>#N/A Connection</v>
      </c>
      <c r="BN1235" t="str">
        <f>""</f>
        <v/>
      </c>
      <c r="BO1235" t="str">
        <f>""</f>
        <v/>
      </c>
      <c r="BP1235" t="str">
        <f>""</f>
        <v/>
      </c>
      <c r="BQ1235" t="str">
        <f>""</f>
        <v/>
      </c>
      <c r="BR1235" t="str">
        <f>""</f>
        <v/>
      </c>
      <c r="BS1235" t="str">
        <f>""</f>
        <v/>
      </c>
      <c r="BT1235" t="str">
        <f>""</f>
        <v/>
      </c>
      <c r="BU1235" t="str">
        <f>""</f>
        <v/>
      </c>
      <c r="BV1235" t="str">
        <f>""</f>
        <v/>
      </c>
      <c r="BW1235" t="str">
        <f>""</f>
        <v/>
      </c>
      <c r="BX1235" t="str">
        <f>""</f>
        <v/>
      </c>
      <c r="BY1235" t="str">
        <f>""</f>
        <v/>
      </c>
      <c r="BZ1235" t="str">
        <f>""</f>
        <v/>
      </c>
      <c r="CA1235" t="str">
        <f>""</f>
        <v/>
      </c>
      <c r="CB1235" t="str">
        <f>""</f>
        <v/>
      </c>
      <c r="CC1235" t="str">
        <f>""</f>
        <v/>
      </c>
      <c r="CD1235" t="str">
        <f>""</f>
        <v/>
      </c>
      <c r="CE1235" t="str">
        <f>""</f>
        <v/>
      </c>
      <c r="CF1235" t="str">
        <f>""</f>
        <v/>
      </c>
      <c r="CG1235" t="str">
        <f>""</f>
        <v/>
      </c>
      <c r="CH1235" t="str">
        <f>""</f>
        <v/>
      </c>
      <c r="CI1235" t="str">
        <f>""</f>
        <v/>
      </c>
      <c r="CJ1235" t="str">
        <f>""</f>
        <v/>
      </c>
      <c r="CK1235" t="str">
        <f>""</f>
        <v/>
      </c>
      <c r="CL1235" t="str">
        <f>""</f>
        <v/>
      </c>
      <c r="CM1235" t="str">
        <f>""</f>
        <v/>
      </c>
      <c r="CN1235" t="str">
        <f>""</f>
        <v/>
      </c>
      <c r="CO1235" t="str">
        <f>""</f>
        <v/>
      </c>
      <c r="CP1235" t="str">
        <f>""</f>
        <v/>
      </c>
      <c r="CQ1235" t="str">
        <f>""</f>
        <v/>
      </c>
      <c r="CR1235" t="str">
        <f>""</f>
        <v/>
      </c>
      <c r="CS1235" t="str">
        <f>""</f>
        <v/>
      </c>
      <c r="CT1235" t="str">
        <f>""</f>
        <v/>
      </c>
      <c r="CU1235" t="str">
        <f>""</f>
        <v/>
      </c>
      <c r="CV1235" t="str">
        <f>""</f>
        <v/>
      </c>
      <c r="CW1235" t="str">
        <f>""</f>
        <v/>
      </c>
      <c r="CX1235" t="str">
        <f>""</f>
        <v/>
      </c>
      <c r="CY1235" t="str">
        <f>""</f>
        <v/>
      </c>
      <c r="CZ1235" t="str">
        <f>""</f>
        <v/>
      </c>
      <c r="DA1235" t="str">
        <f>""</f>
        <v/>
      </c>
      <c r="DB1235" t="str">
        <f>""</f>
        <v/>
      </c>
      <c r="DC1235" t="str">
        <f>""</f>
        <v/>
      </c>
      <c r="DD1235" t="str">
        <f>""</f>
        <v/>
      </c>
      <c r="DE1235" t="str">
        <f>""</f>
        <v/>
      </c>
      <c r="DF1235" t="str">
        <f>""</f>
        <v/>
      </c>
      <c r="DG1235" t="str">
        <f>""</f>
        <v/>
      </c>
      <c r="DH1235" t="str">
        <f>""</f>
        <v/>
      </c>
      <c r="DI1235" t="str">
        <f>""</f>
        <v/>
      </c>
      <c r="DJ1235" t="str">
        <f>""</f>
        <v/>
      </c>
      <c r="DK1235" t="str">
        <f>""</f>
        <v/>
      </c>
      <c r="DL1235" t="str">
        <f>""</f>
        <v/>
      </c>
      <c r="DM1235" t="str">
        <f>""</f>
        <v/>
      </c>
      <c r="DN1235" t="str">
        <f>""</f>
        <v/>
      </c>
      <c r="DO1235" t="str">
        <f>""</f>
        <v/>
      </c>
      <c r="DP1235" t="str">
        <f>""</f>
        <v/>
      </c>
      <c r="DQ1235" t="str">
        <f>""</f>
        <v/>
      </c>
      <c r="DR1235" t="str">
        <f>""</f>
        <v/>
      </c>
      <c r="DS1235" t="str">
        <f>""</f>
        <v/>
      </c>
      <c r="DT1235" t="str">
        <f>""</f>
        <v/>
      </c>
      <c r="DU1235" t="str">
        <f>""</f>
        <v/>
      </c>
    </row>
    <row r="1236" spans="1:125" x14ac:dyDescent="0.25">
      <c r="A1236" t="str">
        <f>$A$577</f>
        <v xml:space="preserve">    Toyota Motor Corp</v>
      </c>
      <c r="B1236" t="str">
        <f>$B$577</f>
        <v>7203 JP Equity</v>
      </c>
      <c r="C1236" t="str">
        <f>$C$577</f>
        <v>RX076</v>
      </c>
      <c r="D1236" t="str">
        <f>$D$577</f>
        <v>EBIT_YIELD</v>
      </c>
      <c r="E1236" t="str">
        <f>$E$577</f>
        <v>Dynamic</v>
      </c>
      <c r="F1236" t="str">
        <f ca="1">_xll.BDH($B$577,$C$577,$B$675,$B$676,CONCATENATE("Per=",$B$673),"Dts=H","Dir=H",CONCATENATE("Points=",$B$674),"Sort=R","Days=A","Fill=B",CONCATENATE("FX=", $B$672) )</f>
        <v>#N/A Connection</v>
      </c>
      <c r="BN1236" t="str">
        <f>""</f>
        <v/>
      </c>
      <c r="BO1236" t="str">
        <f>""</f>
        <v/>
      </c>
      <c r="BP1236" t="str">
        <f>""</f>
        <v/>
      </c>
      <c r="BQ1236" t="str">
        <f>""</f>
        <v/>
      </c>
      <c r="BR1236" t="str">
        <f>""</f>
        <v/>
      </c>
      <c r="BS1236" t="str">
        <f>""</f>
        <v/>
      </c>
      <c r="BT1236" t="str">
        <f>""</f>
        <v/>
      </c>
      <c r="BU1236" t="str">
        <f>""</f>
        <v/>
      </c>
      <c r="BV1236" t="str">
        <f>""</f>
        <v/>
      </c>
      <c r="BW1236" t="str">
        <f>""</f>
        <v/>
      </c>
      <c r="BX1236" t="str">
        <f>""</f>
        <v/>
      </c>
      <c r="BY1236" t="str">
        <f>""</f>
        <v/>
      </c>
      <c r="BZ1236" t="str">
        <f>""</f>
        <v/>
      </c>
      <c r="CA1236" t="str">
        <f>""</f>
        <v/>
      </c>
      <c r="CB1236" t="str">
        <f>""</f>
        <v/>
      </c>
      <c r="CC1236" t="str">
        <f>""</f>
        <v/>
      </c>
      <c r="CD1236" t="str">
        <f>""</f>
        <v/>
      </c>
      <c r="CE1236" t="str">
        <f>""</f>
        <v/>
      </c>
      <c r="CF1236" t="str">
        <f>""</f>
        <v/>
      </c>
      <c r="CG1236" t="str">
        <f>""</f>
        <v/>
      </c>
      <c r="CH1236" t="str">
        <f>""</f>
        <v/>
      </c>
      <c r="CI1236" t="str">
        <f>""</f>
        <v/>
      </c>
      <c r="CJ1236" t="str">
        <f>""</f>
        <v/>
      </c>
      <c r="CK1236" t="str">
        <f>""</f>
        <v/>
      </c>
      <c r="CL1236" t="str">
        <f>""</f>
        <v/>
      </c>
      <c r="CM1236" t="str">
        <f>""</f>
        <v/>
      </c>
      <c r="CN1236" t="str">
        <f>""</f>
        <v/>
      </c>
      <c r="CO1236" t="str">
        <f>""</f>
        <v/>
      </c>
      <c r="CP1236" t="str">
        <f>""</f>
        <v/>
      </c>
      <c r="CQ1236" t="str">
        <f>""</f>
        <v/>
      </c>
      <c r="CR1236" t="str">
        <f>""</f>
        <v/>
      </c>
      <c r="CS1236" t="str">
        <f>""</f>
        <v/>
      </c>
      <c r="CT1236" t="str">
        <f>""</f>
        <v/>
      </c>
      <c r="CU1236" t="str">
        <f>""</f>
        <v/>
      </c>
      <c r="CV1236" t="str">
        <f>""</f>
        <v/>
      </c>
      <c r="CW1236" t="str">
        <f>""</f>
        <v/>
      </c>
      <c r="CX1236" t="str">
        <f>""</f>
        <v/>
      </c>
      <c r="CY1236" t="str">
        <f>""</f>
        <v/>
      </c>
      <c r="CZ1236" t="str">
        <f>""</f>
        <v/>
      </c>
      <c r="DA1236" t="str">
        <f>""</f>
        <v/>
      </c>
      <c r="DB1236" t="str">
        <f>""</f>
        <v/>
      </c>
      <c r="DC1236" t="str">
        <f>""</f>
        <v/>
      </c>
      <c r="DD1236" t="str">
        <f>""</f>
        <v/>
      </c>
      <c r="DE1236" t="str">
        <f>""</f>
        <v/>
      </c>
      <c r="DF1236" t="str">
        <f>""</f>
        <v/>
      </c>
      <c r="DG1236" t="str">
        <f>""</f>
        <v/>
      </c>
      <c r="DH1236" t="str">
        <f>""</f>
        <v/>
      </c>
      <c r="DI1236" t="str">
        <f>""</f>
        <v/>
      </c>
      <c r="DJ1236" t="str">
        <f>""</f>
        <v/>
      </c>
      <c r="DK1236" t="str">
        <f>""</f>
        <v/>
      </c>
      <c r="DL1236" t="str">
        <f>""</f>
        <v/>
      </c>
      <c r="DM1236" t="str">
        <f>""</f>
        <v/>
      </c>
      <c r="DN1236" t="str">
        <f>""</f>
        <v/>
      </c>
      <c r="DO1236" t="str">
        <f>""</f>
        <v/>
      </c>
      <c r="DP1236" t="str">
        <f>""</f>
        <v/>
      </c>
      <c r="DQ1236" t="str">
        <f>""</f>
        <v/>
      </c>
      <c r="DR1236" t="str">
        <f>""</f>
        <v/>
      </c>
      <c r="DS1236" t="str">
        <f>""</f>
        <v/>
      </c>
      <c r="DT1236" t="str">
        <f>""</f>
        <v/>
      </c>
      <c r="DU1236" t="str">
        <f>""</f>
        <v/>
      </c>
    </row>
    <row r="1237" spans="1:125" x14ac:dyDescent="0.25">
      <c r="A1237" t="str">
        <f>$A$578</f>
        <v xml:space="preserve">    Volkswagen AG</v>
      </c>
      <c r="B1237" t="str">
        <f>$B$578</f>
        <v>VOW GR Equity</v>
      </c>
      <c r="C1237" t="str">
        <f>$C$578</f>
        <v>RX076</v>
      </c>
      <c r="D1237" t="str">
        <f>$D$578</f>
        <v>EBIT_YIELD</v>
      </c>
      <c r="E1237" t="str">
        <f>$E$578</f>
        <v>Dynamic</v>
      </c>
      <c r="F1237" t="str">
        <f ca="1">_xll.BDH($B$578,$C$578,$B$675,$B$676,CONCATENATE("Per=",$B$673),"Dts=H","Dir=H",CONCATENATE("Points=",$B$674),"Sort=R","Days=A","Fill=B",CONCATENATE("FX=", $B$672) )</f>
        <v>#N/A Connection</v>
      </c>
      <c r="BN1237" t="str">
        <f>""</f>
        <v/>
      </c>
      <c r="BO1237" t="str">
        <f>""</f>
        <v/>
      </c>
      <c r="BP1237" t="str">
        <f>""</f>
        <v/>
      </c>
      <c r="BQ1237" t="str">
        <f>""</f>
        <v/>
      </c>
      <c r="BR1237" t="str">
        <f>""</f>
        <v/>
      </c>
      <c r="BS1237" t="str">
        <f>""</f>
        <v/>
      </c>
      <c r="BT1237" t="str">
        <f>""</f>
        <v/>
      </c>
      <c r="BU1237" t="str">
        <f>""</f>
        <v/>
      </c>
      <c r="BV1237" t="str">
        <f>""</f>
        <v/>
      </c>
      <c r="BW1237" t="str">
        <f>""</f>
        <v/>
      </c>
      <c r="BX1237" t="str">
        <f>""</f>
        <v/>
      </c>
      <c r="BY1237" t="str">
        <f>""</f>
        <v/>
      </c>
      <c r="BZ1237" t="str">
        <f>""</f>
        <v/>
      </c>
      <c r="CA1237" t="str">
        <f>""</f>
        <v/>
      </c>
      <c r="CB1237" t="str">
        <f>""</f>
        <v/>
      </c>
      <c r="CC1237" t="str">
        <f>""</f>
        <v/>
      </c>
      <c r="CD1237" t="str">
        <f>""</f>
        <v/>
      </c>
      <c r="CE1237" t="str">
        <f>""</f>
        <v/>
      </c>
      <c r="CF1237" t="str">
        <f>""</f>
        <v/>
      </c>
      <c r="CG1237" t="str">
        <f>""</f>
        <v/>
      </c>
      <c r="CH1237" t="str">
        <f>""</f>
        <v/>
      </c>
      <c r="CI1237" t="str">
        <f>""</f>
        <v/>
      </c>
      <c r="CJ1237" t="str">
        <f>""</f>
        <v/>
      </c>
      <c r="CK1237" t="str">
        <f>""</f>
        <v/>
      </c>
      <c r="CL1237" t="str">
        <f>""</f>
        <v/>
      </c>
      <c r="CM1237" t="str">
        <f>""</f>
        <v/>
      </c>
      <c r="CN1237" t="str">
        <f>""</f>
        <v/>
      </c>
      <c r="CO1237" t="str">
        <f>""</f>
        <v/>
      </c>
      <c r="CP1237" t="str">
        <f>""</f>
        <v/>
      </c>
      <c r="CQ1237" t="str">
        <f>""</f>
        <v/>
      </c>
      <c r="CR1237" t="str">
        <f>""</f>
        <v/>
      </c>
      <c r="CS1237" t="str">
        <f>""</f>
        <v/>
      </c>
      <c r="CT1237" t="str">
        <f>""</f>
        <v/>
      </c>
      <c r="CU1237" t="str">
        <f>""</f>
        <v/>
      </c>
      <c r="CV1237" t="str">
        <f>""</f>
        <v/>
      </c>
      <c r="CW1237" t="str">
        <f>""</f>
        <v/>
      </c>
      <c r="CX1237" t="str">
        <f>""</f>
        <v/>
      </c>
      <c r="CY1237" t="str">
        <f>""</f>
        <v/>
      </c>
      <c r="CZ1237" t="str">
        <f>""</f>
        <v/>
      </c>
      <c r="DA1237" t="str">
        <f>""</f>
        <v/>
      </c>
      <c r="DB1237" t="str">
        <f>""</f>
        <v/>
      </c>
      <c r="DC1237" t="str">
        <f>""</f>
        <v/>
      </c>
      <c r="DD1237" t="str">
        <f>""</f>
        <v/>
      </c>
      <c r="DE1237" t="str">
        <f>""</f>
        <v/>
      </c>
      <c r="DF1237" t="str">
        <f>""</f>
        <v/>
      </c>
      <c r="DG1237" t="str">
        <f>""</f>
        <v/>
      </c>
      <c r="DH1237" t="str">
        <f>""</f>
        <v/>
      </c>
      <c r="DI1237" t="str">
        <f>""</f>
        <v/>
      </c>
      <c r="DJ1237" t="str">
        <f>""</f>
        <v/>
      </c>
      <c r="DK1237" t="str">
        <f>""</f>
        <v/>
      </c>
      <c r="DL1237" t="str">
        <f>""</f>
        <v/>
      </c>
      <c r="DM1237" t="str">
        <f>""</f>
        <v/>
      </c>
      <c r="DN1237" t="str">
        <f>""</f>
        <v/>
      </c>
      <c r="DO1237" t="str">
        <f>""</f>
        <v/>
      </c>
      <c r="DP1237" t="str">
        <f>""</f>
        <v/>
      </c>
      <c r="DQ1237" t="str">
        <f>""</f>
        <v/>
      </c>
      <c r="DR1237" t="str">
        <f>""</f>
        <v/>
      </c>
      <c r="DS1237" t="str">
        <f>""</f>
        <v/>
      </c>
      <c r="DT1237" t="str">
        <f>""</f>
        <v/>
      </c>
      <c r="DU1237" t="str">
        <f>""</f>
        <v/>
      </c>
    </row>
    <row r="1238" spans="1:125" x14ac:dyDescent="0.25">
      <c r="A1238" t="str">
        <f>$A$579</f>
        <v xml:space="preserve">    Yulon Motor Co Ltd</v>
      </c>
      <c r="B1238" t="str">
        <f>$B$579</f>
        <v>2201 TT Equity</v>
      </c>
      <c r="C1238" t="str">
        <f>$C$579</f>
        <v>RX076</v>
      </c>
      <c r="D1238" t="str">
        <f>$D$579</f>
        <v>EBIT_YIELD</v>
      </c>
      <c r="E1238" t="str">
        <f>$E$579</f>
        <v>Dynamic</v>
      </c>
      <c r="F1238" t="str">
        <f ca="1">_xll.BDH($B$579,$C$579,$B$675,$B$676,CONCATENATE("Per=",$B$673),"Dts=H","Dir=H",CONCATENATE("Points=",$B$674),"Sort=R","Days=A","Fill=B",CONCATENATE("FX=", $B$672) )</f>
        <v>#N/A Connection</v>
      </c>
      <c r="BN1238" t="str">
        <f>""</f>
        <v/>
      </c>
      <c r="BO1238" t="str">
        <f>""</f>
        <v/>
      </c>
      <c r="BP1238" t="str">
        <f>""</f>
        <v/>
      </c>
      <c r="BQ1238" t="str">
        <f>""</f>
        <v/>
      </c>
      <c r="BR1238" t="str">
        <f>""</f>
        <v/>
      </c>
      <c r="BS1238" t="str">
        <f>""</f>
        <v/>
      </c>
      <c r="BT1238" t="str">
        <f>""</f>
        <v/>
      </c>
      <c r="BU1238" t="str">
        <f>""</f>
        <v/>
      </c>
      <c r="BV1238" t="str">
        <f>""</f>
        <v/>
      </c>
      <c r="BW1238" t="str">
        <f>""</f>
        <v/>
      </c>
      <c r="BX1238" t="str">
        <f>""</f>
        <v/>
      </c>
      <c r="BY1238" t="str">
        <f>""</f>
        <v/>
      </c>
      <c r="BZ1238" t="str">
        <f>""</f>
        <v/>
      </c>
      <c r="CA1238" t="str">
        <f>""</f>
        <v/>
      </c>
      <c r="CB1238" t="str">
        <f>""</f>
        <v/>
      </c>
      <c r="CC1238" t="str">
        <f>""</f>
        <v/>
      </c>
      <c r="CD1238" t="str">
        <f>""</f>
        <v/>
      </c>
      <c r="CE1238" t="str">
        <f>""</f>
        <v/>
      </c>
      <c r="CF1238" t="str">
        <f>""</f>
        <v/>
      </c>
      <c r="CG1238" t="str">
        <f>""</f>
        <v/>
      </c>
      <c r="CH1238" t="str">
        <f>""</f>
        <v/>
      </c>
      <c r="CI1238" t="str">
        <f>""</f>
        <v/>
      </c>
      <c r="CJ1238" t="str">
        <f>""</f>
        <v/>
      </c>
      <c r="CK1238" t="str">
        <f>""</f>
        <v/>
      </c>
      <c r="CL1238" t="str">
        <f>""</f>
        <v/>
      </c>
      <c r="CM1238" t="str">
        <f>""</f>
        <v/>
      </c>
      <c r="CN1238" t="str">
        <f>""</f>
        <v/>
      </c>
      <c r="CO1238" t="str">
        <f>""</f>
        <v/>
      </c>
      <c r="CP1238" t="str">
        <f>""</f>
        <v/>
      </c>
      <c r="CQ1238" t="str">
        <f>""</f>
        <v/>
      </c>
      <c r="CR1238" t="str">
        <f>""</f>
        <v/>
      </c>
      <c r="CS1238" t="str">
        <f>""</f>
        <v/>
      </c>
      <c r="CT1238" t="str">
        <f>""</f>
        <v/>
      </c>
      <c r="CU1238" t="str">
        <f>""</f>
        <v/>
      </c>
      <c r="CV1238" t="str">
        <f>""</f>
        <v/>
      </c>
      <c r="CW1238" t="str">
        <f>""</f>
        <v/>
      </c>
      <c r="CX1238" t="str">
        <f>""</f>
        <v/>
      </c>
      <c r="CY1238" t="str">
        <f>""</f>
        <v/>
      </c>
      <c r="CZ1238" t="str">
        <f>""</f>
        <v/>
      </c>
      <c r="DA1238" t="str">
        <f>""</f>
        <v/>
      </c>
      <c r="DB1238" t="str">
        <f>""</f>
        <v/>
      </c>
      <c r="DC1238" t="str">
        <f>""</f>
        <v/>
      </c>
      <c r="DD1238" t="str">
        <f>""</f>
        <v/>
      </c>
      <c r="DE1238" t="str">
        <f>""</f>
        <v/>
      </c>
      <c r="DF1238" t="str">
        <f>""</f>
        <v/>
      </c>
      <c r="DG1238" t="str">
        <f>""</f>
        <v/>
      </c>
      <c r="DH1238" t="str">
        <f>""</f>
        <v/>
      </c>
      <c r="DI1238" t="str">
        <f>""</f>
        <v/>
      </c>
      <c r="DJ1238" t="str">
        <f>""</f>
        <v/>
      </c>
      <c r="DK1238" t="str">
        <f>""</f>
        <v/>
      </c>
      <c r="DL1238" t="str">
        <f>""</f>
        <v/>
      </c>
      <c r="DM1238" t="str">
        <f>""</f>
        <v/>
      </c>
      <c r="DN1238" t="str">
        <f>""</f>
        <v/>
      </c>
      <c r="DO1238" t="str">
        <f>""</f>
        <v/>
      </c>
      <c r="DP1238" t="str">
        <f>""</f>
        <v/>
      </c>
      <c r="DQ1238" t="str">
        <f>""</f>
        <v/>
      </c>
      <c r="DR1238" t="str">
        <f>""</f>
        <v/>
      </c>
      <c r="DS1238" t="str">
        <f>""</f>
        <v/>
      </c>
      <c r="DT1238" t="str">
        <f>""</f>
        <v/>
      </c>
      <c r="DU1238" t="str">
        <f>""</f>
        <v/>
      </c>
    </row>
    <row r="1239" spans="1:125" x14ac:dyDescent="0.25">
      <c r="A1239" t="str">
        <f>$A$581</f>
        <v xml:space="preserve">    AUDI AG</v>
      </c>
      <c r="B1239" t="str">
        <f>$B$581</f>
        <v>NSU GR Equity</v>
      </c>
      <c r="C1239" t="str">
        <f>$C$581</f>
        <v>RX072</v>
      </c>
      <c r="D1239" t="str">
        <f>$D$581</f>
        <v>FREE_CASH_FLOW_YIELD</v>
      </c>
      <c r="E1239" t="str">
        <f>$E$581</f>
        <v>Dynamic</v>
      </c>
      <c r="F1239" t="str">
        <f ca="1">_xll.BDH($B$581,$C$581,$B$675,$B$676,CONCATENATE("Per=",$B$673),"Dts=H","Dir=H",CONCATENATE("Points=",$B$674),"Sort=R","Days=A","Fill=B",CONCATENATE("FX=", $B$672) )</f>
        <v>#N/A Connection</v>
      </c>
      <c r="BN1239" t="str">
        <f>""</f>
        <v/>
      </c>
      <c r="BO1239" t="str">
        <f>""</f>
        <v/>
      </c>
      <c r="BP1239" t="str">
        <f>""</f>
        <v/>
      </c>
      <c r="BQ1239" t="str">
        <f>""</f>
        <v/>
      </c>
      <c r="BR1239" t="str">
        <f>""</f>
        <v/>
      </c>
      <c r="BS1239" t="str">
        <f>""</f>
        <v/>
      </c>
      <c r="BT1239" t="str">
        <f>""</f>
        <v/>
      </c>
      <c r="BU1239" t="str">
        <f>""</f>
        <v/>
      </c>
      <c r="BV1239" t="str">
        <f>""</f>
        <v/>
      </c>
      <c r="BW1239" t="str">
        <f>""</f>
        <v/>
      </c>
      <c r="BX1239" t="str">
        <f>""</f>
        <v/>
      </c>
      <c r="BY1239" t="str">
        <f>""</f>
        <v/>
      </c>
      <c r="BZ1239" t="str">
        <f>""</f>
        <v/>
      </c>
      <c r="CA1239" t="str">
        <f>""</f>
        <v/>
      </c>
      <c r="CB1239" t="str">
        <f>""</f>
        <v/>
      </c>
      <c r="CC1239" t="str">
        <f>""</f>
        <v/>
      </c>
      <c r="CD1239" t="str">
        <f>""</f>
        <v/>
      </c>
      <c r="CE1239" t="str">
        <f>""</f>
        <v/>
      </c>
      <c r="CF1239" t="str">
        <f>""</f>
        <v/>
      </c>
      <c r="CG1239" t="str">
        <f>""</f>
        <v/>
      </c>
      <c r="CH1239" t="str">
        <f>""</f>
        <v/>
      </c>
      <c r="CI1239" t="str">
        <f>""</f>
        <v/>
      </c>
      <c r="CJ1239" t="str">
        <f>""</f>
        <v/>
      </c>
      <c r="CK1239" t="str">
        <f>""</f>
        <v/>
      </c>
      <c r="CL1239" t="str">
        <f>""</f>
        <v/>
      </c>
      <c r="CM1239" t="str">
        <f>""</f>
        <v/>
      </c>
      <c r="CN1239" t="str">
        <f>""</f>
        <v/>
      </c>
      <c r="CO1239" t="str">
        <f>""</f>
        <v/>
      </c>
      <c r="CP1239" t="str">
        <f>""</f>
        <v/>
      </c>
      <c r="CQ1239" t="str">
        <f>""</f>
        <v/>
      </c>
      <c r="CR1239" t="str">
        <f>""</f>
        <v/>
      </c>
      <c r="CS1239" t="str">
        <f>""</f>
        <v/>
      </c>
      <c r="CT1239" t="str">
        <f>""</f>
        <v/>
      </c>
      <c r="CU1239" t="str">
        <f>""</f>
        <v/>
      </c>
      <c r="CV1239" t="str">
        <f>""</f>
        <v/>
      </c>
      <c r="CW1239" t="str">
        <f>""</f>
        <v/>
      </c>
      <c r="CX1239" t="str">
        <f>""</f>
        <v/>
      </c>
      <c r="CY1239" t="str">
        <f>""</f>
        <v/>
      </c>
      <c r="CZ1239" t="str">
        <f>""</f>
        <v/>
      </c>
      <c r="DA1239" t="str">
        <f>""</f>
        <v/>
      </c>
      <c r="DB1239" t="str">
        <f>""</f>
        <v/>
      </c>
      <c r="DC1239" t="str">
        <f>""</f>
        <v/>
      </c>
      <c r="DD1239" t="str">
        <f>""</f>
        <v/>
      </c>
      <c r="DE1239" t="str">
        <f>""</f>
        <v/>
      </c>
      <c r="DF1239" t="str">
        <f>""</f>
        <v/>
      </c>
      <c r="DG1239" t="str">
        <f>""</f>
        <v/>
      </c>
      <c r="DH1239" t="str">
        <f>""</f>
        <v/>
      </c>
      <c r="DI1239" t="str">
        <f>""</f>
        <v/>
      </c>
      <c r="DJ1239" t="str">
        <f>""</f>
        <v/>
      </c>
      <c r="DK1239" t="str">
        <f>""</f>
        <v/>
      </c>
      <c r="DL1239" t="str">
        <f>""</f>
        <v/>
      </c>
      <c r="DM1239" t="str">
        <f>""</f>
        <v/>
      </c>
      <c r="DN1239" t="str">
        <f>""</f>
        <v/>
      </c>
      <c r="DO1239" t="str">
        <f>""</f>
        <v/>
      </c>
      <c r="DP1239" t="str">
        <f>""</f>
        <v/>
      </c>
      <c r="DQ1239" t="str">
        <f>""</f>
        <v/>
      </c>
      <c r="DR1239" t="str">
        <f>""</f>
        <v/>
      </c>
      <c r="DS1239" t="str">
        <f>""</f>
        <v/>
      </c>
      <c r="DT1239" t="str">
        <f>""</f>
        <v/>
      </c>
      <c r="DU1239" t="str">
        <f>""</f>
        <v/>
      </c>
    </row>
    <row r="1240" spans="1:125" x14ac:dyDescent="0.25">
      <c r="A1240" t="str">
        <f>$A$582</f>
        <v xml:space="preserve">    Avtovaz PJSC</v>
      </c>
      <c r="B1240" t="str">
        <f>$B$582</f>
        <v>AVAZ RM Equity</v>
      </c>
      <c r="C1240" t="str">
        <f>$C$582</f>
        <v>RX072</v>
      </c>
      <c r="D1240" t="str">
        <f>$D$582</f>
        <v>FREE_CASH_FLOW_YIELD</v>
      </c>
      <c r="E1240" t="str">
        <f>$E$582</f>
        <v>Dynamic</v>
      </c>
      <c r="F1240" t="str">
        <f ca="1">_xll.BDH($B$582,$C$582,$B$675,$B$676,CONCATENATE("Per=",$B$673),"Dts=H","Dir=H",CONCATENATE("Points=",$B$674),"Sort=R","Days=A","Fill=B",CONCATENATE("FX=", $B$672) )</f>
        <v>#N/A Connection</v>
      </c>
      <c r="BN1240" t="str">
        <f>""</f>
        <v/>
      </c>
      <c r="BO1240" t="str">
        <f>""</f>
        <v/>
      </c>
      <c r="BP1240" t="str">
        <f>""</f>
        <v/>
      </c>
      <c r="BQ1240" t="str">
        <f>""</f>
        <v/>
      </c>
      <c r="BR1240" t="str">
        <f>""</f>
        <v/>
      </c>
      <c r="BS1240" t="str">
        <f>""</f>
        <v/>
      </c>
      <c r="BT1240" t="str">
        <f>""</f>
        <v/>
      </c>
      <c r="BU1240" t="str">
        <f>""</f>
        <v/>
      </c>
      <c r="BV1240" t="str">
        <f>""</f>
        <v/>
      </c>
      <c r="BW1240" t="str">
        <f>""</f>
        <v/>
      </c>
      <c r="BX1240" t="str">
        <f>""</f>
        <v/>
      </c>
      <c r="BY1240" t="str">
        <f>""</f>
        <v/>
      </c>
      <c r="BZ1240" t="str">
        <f>""</f>
        <v/>
      </c>
      <c r="CA1240" t="str">
        <f>""</f>
        <v/>
      </c>
      <c r="CB1240" t="str">
        <f>""</f>
        <v/>
      </c>
      <c r="CC1240" t="str">
        <f>""</f>
        <v/>
      </c>
      <c r="CD1240" t="str">
        <f>""</f>
        <v/>
      </c>
      <c r="CE1240" t="str">
        <f>""</f>
        <v/>
      </c>
      <c r="CF1240" t="str">
        <f>""</f>
        <v/>
      </c>
      <c r="CG1240" t="str">
        <f>""</f>
        <v/>
      </c>
      <c r="CH1240" t="str">
        <f>""</f>
        <v/>
      </c>
      <c r="CI1240" t="str">
        <f>""</f>
        <v/>
      </c>
      <c r="CJ1240" t="str">
        <f>""</f>
        <v/>
      </c>
      <c r="CK1240" t="str">
        <f>""</f>
        <v/>
      </c>
      <c r="CL1240" t="str">
        <f>""</f>
        <v/>
      </c>
      <c r="CM1240" t="str">
        <f>""</f>
        <v/>
      </c>
      <c r="CN1240" t="str">
        <f>""</f>
        <v/>
      </c>
      <c r="CO1240" t="str">
        <f>""</f>
        <v/>
      </c>
      <c r="CP1240" t="str">
        <f>""</f>
        <v/>
      </c>
      <c r="CQ1240" t="str">
        <f>""</f>
        <v/>
      </c>
      <c r="CR1240" t="str">
        <f>""</f>
        <v/>
      </c>
      <c r="CS1240" t="str">
        <f>""</f>
        <v/>
      </c>
      <c r="CT1240" t="str">
        <f>""</f>
        <v/>
      </c>
      <c r="CU1240" t="str">
        <f>""</f>
        <v/>
      </c>
      <c r="CV1240" t="str">
        <f>""</f>
        <v/>
      </c>
      <c r="CW1240" t="str">
        <f>""</f>
        <v/>
      </c>
      <c r="CX1240" t="str">
        <f>""</f>
        <v/>
      </c>
      <c r="CY1240" t="str">
        <f>""</f>
        <v/>
      </c>
      <c r="CZ1240" t="str">
        <f>""</f>
        <v/>
      </c>
      <c r="DA1240" t="str">
        <f>""</f>
        <v/>
      </c>
      <c r="DB1240" t="str">
        <f>""</f>
        <v/>
      </c>
      <c r="DC1240" t="str">
        <f>""</f>
        <v/>
      </c>
      <c r="DD1240" t="str">
        <f>""</f>
        <v/>
      </c>
      <c r="DE1240" t="str">
        <f>""</f>
        <v/>
      </c>
      <c r="DF1240" t="str">
        <f>""</f>
        <v/>
      </c>
      <c r="DG1240" t="str">
        <f>""</f>
        <v/>
      </c>
      <c r="DH1240" t="str">
        <f>""</f>
        <v/>
      </c>
      <c r="DI1240" t="str">
        <f>""</f>
        <v/>
      </c>
      <c r="DJ1240" t="str">
        <f>""</f>
        <v/>
      </c>
      <c r="DK1240" t="str">
        <f>""</f>
        <v/>
      </c>
      <c r="DL1240" t="str">
        <f>""</f>
        <v/>
      </c>
      <c r="DM1240" t="str">
        <f>""</f>
        <v/>
      </c>
      <c r="DN1240" t="str">
        <f>""</f>
        <v/>
      </c>
      <c r="DO1240" t="str">
        <f>""</f>
        <v/>
      </c>
      <c r="DP1240" t="str">
        <f>""</f>
        <v/>
      </c>
      <c r="DQ1240" t="str">
        <f>""</f>
        <v/>
      </c>
      <c r="DR1240" t="str">
        <f>""</f>
        <v/>
      </c>
      <c r="DS1240" t="str">
        <f>""</f>
        <v/>
      </c>
      <c r="DT1240" t="str">
        <f>""</f>
        <v/>
      </c>
      <c r="DU1240" t="str">
        <f>""</f>
        <v/>
      </c>
    </row>
    <row r="1241" spans="1:125" x14ac:dyDescent="0.25">
      <c r="A1241" t="str">
        <f>$A$583</f>
        <v xml:space="preserve">    Bayerische Motoren Werke AG</v>
      </c>
      <c r="B1241" t="str">
        <f>$B$583</f>
        <v>BMW GR Equity</v>
      </c>
      <c r="C1241" t="str">
        <f>$C$583</f>
        <v>RX072</v>
      </c>
      <c r="D1241" t="str">
        <f>$D$583</f>
        <v>FREE_CASH_FLOW_YIELD</v>
      </c>
      <c r="E1241" t="str">
        <f>$E$583</f>
        <v>Dynamic</v>
      </c>
      <c r="F1241" t="str">
        <f ca="1">_xll.BDH($B$583,$C$583,$B$675,$B$676,CONCATENATE("Per=",$B$673),"Dts=H","Dir=H",CONCATENATE("Points=",$B$674),"Sort=R","Days=A","Fill=B",CONCATENATE("FX=", $B$672) )</f>
        <v>#N/A Connection</v>
      </c>
      <c r="BN1241" t="str">
        <f>""</f>
        <v/>
      </c>
      <c r="BO1241" t="str">
        <f>""</f>
        <v/>
      </c>
      <c r="BP1241" t="str">
        <f>""</f>
        <v/>
      </c>
      <c r="BQ1241" t="str">
        <f>""</f>
        <v/>
      </c>
      <c r="BR1241" t="str">
        <f>""</f>
        <v/>
      </c>
      <c r="BS1241" t="str">
        <f>""</f>
        <v/>
      </c>
      <c r="BT1241" t="str">
        <f>""</f>
        <v/>
      </c>
      <c r="BU1241" t="str">
        <f>""</f>
        <v/>
      </c>
      <c r="BV1241" t="str">
        <f>""</f>
        <v/>
      </c>
      <c r="BW1241" t="str">
        <f>""</f>
        <v/>
      </c>
      <c r="BX1241" t="str">
        <f>""</f>
        <v/>
      </c>
      <c r="BY1241" t="str">
        <f>""</f>
        <v/>
      </c>
      <c r="BZ1241" t="str">
        <f>""</f>
        <v/>
      </c>
      <c r="CA1241" t="str">
        <f>""</f>
        <v/>
      </c>
      <c r="CB1241" t="str">
        <f>""</f>
        <v/>
      </c>
      <c r="CC1241" t="str">
        <f>""</f>
        <v/>
      </c>
      <c r="CD1241" t="str">
        <f>""</f>
        <v/>
      </c>
      <c r="CE1241" t="str">
        <f>""</f>
        <v/>
      </c>
      <c r="CF1241" t="str">
        <f>""</f>
        <v/>
      </c>
      <c r="CG1241" t="str">
        <f>""</f>
        <v/>
      </c>
      <c r="CH1241" t="str">
        <f>""</f>
        <v/>
      </c>
      <c r="CI1241" t="str">
        <f>""</f>
        <v/>
      </c>
      <c r="CJ1241" t="str">
        <f>""</f>
        <v/>
      </c>
      <c r="CK1241" t="str">
        <f>""</f>
        <v/>
      </c>
      <c r="CL1241" t="str">
        <f>""</f>
        <v/>
      </c>
      <c r="CM1241" t="str">
        <f>""</f>
        <v/>
      </c>
      <c r="CN1241" t="str">
        <f>""</f>
        <v/>
      </c>
      <c r="CO1241" t="str">
        <f>""</f>
        <v/>
      </c>
      <c r="CP1241" t="str">
        <f>""</f>
        <v/>
      </c>
      <c r="CQ1241" t="str">
        <f>""</f>
        <v/>
      </c>
      <c r="CR1241" t="str">
        <f>""</f>
        <v/>
      </c>
      <c r="CS1241" t="str">
        <f>""</f>
        <v/>
      </c>
      <c r="CT1241" t="str">
        <f>""</f>
        <v/>
      </c>
      <c r="CU1241" t="str">
        <f>""</f>
        <v/>
      </c>
      <c r="CV1241" t="str">
        <f>""</f>
        <v/>
      </c>
      <c r="CW1241" t="str">
        <f>""</f>
        <v/>
      </c>
      <c r="CX1241" t="str">
        <f>""</f>
        <v/>
      </c>
      <c r="CY1241" t="str">
        <f>""</f>
        <v/>
      </c>
      <c r="CZ1241" t="str">
        <f>""</f>
        <v/>
      </c>
      <c r="DA1241" t="str">
        <f>""</f>
        <v/>
      </c>
      <c r="DB1241" t="str">
        <f>""</f>
        <v/>
      </c>
      <c r="DC1241" t="str">
        <f>""</f>
        <v/>
      </c>
      <c r="DD1241" t="str">
        <f>""</f>
        <v/>
      </c>
      <c r="DE1241" t="str">
        <f>""</f>
        <v/>
      </c>
      <c r="DF1241" t="str">
        <f>""</f>
        <v/>
      </c>
      <c r="DG1241" t="str">
        <f>""</f>
        <v/>
      </c>
      <c r="DH1241" t="str">
        <f>""</f>
        <v/>
      </c>
      <c r="DI1241" t="str">
        <f>""</f>
        <v/>
      </c>
      <c r="DJ1241" t="str">
        <f>""</f>
        <v/>
      </c>
      <c r="DK1241" t="str">
        <f>""</f>
        <v/>
      </c>
      <c r="DL1241" t="str">
        <f>""</f>
        <v/>
      </c>
      <c r="DM1241" t="str">
        <f>""</f>
        <v/>
      </c>
      <c r="DN1241" t="str">
        <f>""</f>
        <v/>
      </c>
      <c r="DO1241" t="str">
        <f>""</f>
        <v/>
      </c>
      <c r="DP1241" t="str">
        <f>""</f>
        <v/>
      </c>
      <c r="DQ1241" t="str">
        <f>""</f>
        <v/>
      </c>
      <c r="DR1241" t="str">
        <f>""</f>
        <v/>
      </c>
      <c r="DS1241" t="str">
        <f>""</f>
        <v/>
      </c>
      <c r="DT1241" t="str">
        <f>""</f>
        <v/>
      </c>
      <c r="DU1241" t="str">
        <f>""</f>
        <v/>
      </c>
    </row>
    <row r="1242" spans="1:125" x14ac:dyDescent="0.25">
      <c r="A1242" t="str">
        <f>$A$584</f>
        <v xml:space="preserve">    Brilliance China Automotive Holdings Ltd</v>
      </c>
      <c r="B1242" t="str">
        <f>$B$584</f>
        <v>1114 HK Equity</v>
      </c>
      <c r="C1242" t="str">
        <f>$C$584</f>
        <v>RX072</v>
      </c>
      <c r="D1242" t="str">
        <f>$D$584</f>
        <v>FREE_CASH_FLOW_YIELD</v>
      </c>
      <c r="E1242" t="str">
        <f>$E$584</f>
        <v>Dynamic</v>
      </c>
      <c r="F1242" t="str">
        <f ca="1">_xll.BDH($B$584,$C$584,$B$675,$B$676,CONCATENATE("Per=",$B$673),"Dts=H","Dir=H",CONCATENATE("Points=",$B$674),"Sort=R","Days=A","Fill=B",CONCATENATE("FX=", $B$672) )</f>
        <v>#N/A Connection</v>
      </c>
      <c r="BN1242" t="str">
        <f>""</f>
        <v/>
      </c>
      <c r="BO1242" t="str">
        <f>""</f>
        <v/>
      </c>
      <c r="BP1242" t="str">
        <f>""</f>
        <v/>
      </c>
      <c r="BQ1242" t="str">
        <f>""</f>
        <v/>
      </c>
      <c r="BR1242" t="str">
        <f>""</f>
        <v/>
      </c>
      <c r="BS1242" t="str">
        <f>""</f>
        <v/>
      </c>
      <c r="BT1242" t="str">
        <f>""</f>
        <v/>
      </c>
      <c r="BU1242" t="str">
        <f>""</f>
        <v/>
      </c>
      <c r="BV1242" t="str">
        <f>""</f>
        <v/>
      </c>
      <c r="BW1242" t="str">
        <f>""</f>
        <v/>
      </c>
      <c r="BX1242" t="str">
        <f>""</f>
        <v/>
      </c>
      <c r="BY1242" t="str">
        <f>""</f>
        <v/>
      </c>
      <c r="BZ1242" t="str">
        <f>""</f>
        <v/>
      </c>
      <c r="CA1242" t="str">
        <f>""</f>
        <v/>
      </c>
      <c r="CB1242" t="str">
        <f>""</f>
        <v/>
      </c>
      <c r="CC1242" t="str">
        <f>""</f>
        <v/>
      </c>
      <c r="CD1242" t="str">
        <f>""</f>
        <v/>
      </c>
      <c r="CE1242" t="str">
        <f>""</f>
        <v/>
      </c>
      <c r="CF1242" t="str">
        <f>""</f>
        <v/>
      </c>
      <c r="CG1242" t="str">
        <f>""</f>
        <v/>
      </c>
      <c r="CH1242" t="str">
        <f>""</f>
        <v/>
      </c>
      <c r="CI1242" t="str">
        <f>""</f>
        <v/>
      </c>
      <c r="CJ1242" t="str">
        <f>""</f>
        <v/>
      </c>
      <c r="CK1242" t="str">
        <f>""</f>
        <v/>
      </c>
      <c r="CL1242" t="str">
        <f>""</f>
        <v/>
      </c>
      <c r="CM1242" t="str">
        <f>""</f>
        <v/>
      </c>
      <c r="CN1242" t="str">
        <f>""</f>
        <v/>
      </c>
      <c r="CO1242" t="str">
        <f>""</f>
        <v/>
      </c>
      <c r="CP1242" t="str">
        <f>""</f>
        <v/>
      </c>
      <c r="CQ1242" t="str">
        <f>""</f>
        <v/>
      </c>
      <c r="CR1242" t="str">
        <f>""</f>
        <v/>
      </c>
      <c r="CS1242" t="str">
        <f>""</f>
        <v/>
      </c>
      <c r="CT1242" t="str">
        <f>""</f>
        <v/>
      </c>
      <c r="CU1242" t="str">
        <f>""</f>
        <v/>
      </c>
      <c r="CV1242" t="str">
        <f>""</f>
        <v/>
      </c>
      <c r="CW1242" t="str">
        <f>""</f>
        <v/>
      </c>
      <c r="CX1242" t="str">
        <f>""</f>
        <v/>
      </c>
      <c r="CY1242" t="str">
        <f>""</f>
        <v/>
      </c>
      <c r="CZ1242" t="str">
        <f>""</f>
        <v/>
      </c>
      <c r="DA1242" t="str">
        <f>""</f>
        <v/>
      </c>
      <c r="DB1242" t="str">
        <f>""</f>
        <v/>
      </c>
      <c r="DC1242" t="str">
        <f>""</f>
        <v/>
      </c>
      <c r="DD1242" t="str">
        <f>""</f>
        <v/>
      </c>
      <c r="DE1242" t="str">
        <f>""</f>
        <v/>
      </c>
      <c r="DF1242" t="str">
        <f>""</f>
        <v/>
      </c>
      <c r="DG1242" t="str">
        <f>""</f>
        <v/>
      </c>
      <c r="DH1242" t="str">
        <f>""</f>
        <v/>
      </c>
      <c r="DI1242" t="str">
        <f>""</f>
        <v/>
      </c>
      <c r="DJ1242" t="str">
        <f>""</f>
        <v/>
      </c>
      <c r="DK1242" t="str">
        <f>""</f>
        <v/>
      </c>
      <c r="DL1242" t="str">
        <f>""</f>
        <v/>
      </c>
      <c r="DM1242" t="str">
        <f>""</f>
        <v/>
      </c>
      <c r="DN1242" t="str">
        <f>""</f>
        <v/>
      </c>
      <c r="DO1242" t="str">
        <f>""</f>
        <v/>
      </c>
      <c r="DP1242" t="str">
        <f>""</f>
        <v/>
      </c>
      <c r="DQ1242" t="str">
        <f>""</f>
        <v/>
      </c>
      <c r="DR1242" t="str">
        <f>""</f>
        <v/>
      </c>
      <c r="DS1242" t="str">
        <f>""</f>
        <v/>
      </c>
      <c r="DT1242" t="str">
        <f>""</f>
        <v/>
      </c>
      <c r="DU1242" t="str">
        <f>""</f>
        <v/>
      </c>
    </row>
    <row r="1243" spans="1:125" x14ac:dyDescent="0.25">
      <c r="A1243" t="str">
        <f>$A$585</f>
        <v xml:space="preserve">    BYD Co Ltd</v>
      </c>
      <c r="B1243" t="str">
        <f>$B$585</f>
        <v>1211 HK Equity</v>
      </c>
      <c r="C1243" t="str">
        <f>$C$585</f>
        <v>RX072</v>
      </c>
      <c r="D1243" t="str">
        <f>$D$585</f>
        <v>FREE_CASH_FLOW_YIELD</v>
      </c>
      <c r="E1243" t="str">
        <f>$E$585</f>
        <v>Dynamic</v>
      </c>
      <c r="F1243" t="str">
        <f ca="1">_xll.BDH($B$585,$C$585,$B$675,$B$676,CONCATENATE("Per=",$B$673),"Dts=H","Dir=H",CONCATENATE("Points=",$B$674),"Sort=R","Days=A","Fill=B",CONCATENATE("FX=", $B$672) )</f>
        <v>#N/A Connection</v>
      </c>
      <c r="BN1243" t="str">
        <f>""</f>
        <v/>
      </c>
      <c r="BO1243" t="str">
        <f>""</f>
        <v/>
      </c>
      <c r="BP1243" t="str">
        <f>""</f>
        <v/>
      </c>
      <c r="BQ1243" t="str">
        <f>""</f>
        <v/>
      </c>
      <c r="BR1243" t="str">
        <f>""</f>
        <v/>
      </c>
      <c r="BS1243" t="str">
        <f>""</f>
        <v/>
      </c>
      <c r="BT1243" t="str">
        <f>""</f>
        <v/>
      </c>
      <c r="BU1243" t="str">
        <f>""</f>
        <v/>
      </c>
      <c r="BV1243" t="str">
        <f>""</f>
        <v/>
      </c>
      <c r="BW1243" t="str">
        <f>""</f>
        <v/>
      </c>
      <c r="BX1243" t="str">
        <f>""</f>
        <v/>
      </c>
      <c r="BY1243" t="str">
        <f>""</f>
        <v/>
      </c>
      <c r="BZ1243" t="str">
        <f>""</f>
        <v/>
      </c>
      <c r="CA1243" t="str">
        <f>""</f>
        <v/>
      </c>
      <c r="CB1243" t="str">
        <f>""</f>
        <v/>
      </c>
      <c r="CC1243" t="str">
        <f>""</f>
        <v/>
      </c>
      <c r="CD1243" t="str">
        <f>""</f>
        <v/>
      </c>
      <c r="CE1243" t="str">
        <f>""</f>
        <v/>
      </c>
      <c r="CF1243" t="str">
        <f>""</f>
        <v/>
      </c>
      <c r="CG1243" t="str">
        <f>""</f>
        <v/>
      </c>
      <c r="CH1243" t="str">
        <f>""</f>
        <v/>
      </c>
      <c r="CI1243" t="str">
        <f>""</f>
        <v/>
      </c>
      <c r="CJ1243" t="str">
        <f>""</f>
        <v/>
      </c>
      <c r="CK1243" t="str">
        <f>""</f>
        <v/>
      </c>
      <c r="CL1243" t="str">
        <f>""</f>
        <v/>
      </c>
      <c r="CM1243" t="str">
        <f>""</f>
        <v/>
      </c>
      <c r="CN1243" t="str">
        <f>""</f>
        <v/>
      </c>
      <c r="CO1243" t="str">
        <f>""</f>
        <v/>
      </c>
      <c r="CP1243" t="str">
        <f>""</f>
        <v/>
      </c>
      <c r="CQ1243" t="str">
        <f>""</f>
        <v/>
      </c>
      <c r="CR1243" t="str">
        <f>""</f>
        <v/>
      </c>
      <c r="CS1243" t="str">
        <f>""</f>
        <v/>
      </c>
      <c r="CT1243" t="str">
        <f>""</f>
        <v/>
      </c>
      <c r="CU1243" t="str">
        <f>""</f>
        <v/>
      </c>
      <c r="CV1243" t="str">
        <f>""</f>
        <v/>
      </c>
      <c r="CW1243" t="str">
        <f>""</f>
        <v/>
      </c>
      <c r="CX1243" t="str">
        <f>""</f>
        <v/>
      </c>
      <c r="CY1243" t="str">
        <f>""</f>
        <v/>
      </c>
      <c r="CZ1243" t="str">
        <f>""</f>
        <v/>
      </c>
      <c r="DA1243" t="str">
        <f>""</f>
        <v/>
      </c>
      <c r="DB1243" t="str">
        <f>""</f>
        <v/>
      </c>
      <c r="DC1243" t="str">
        <f>""</f>
        <v/>
      </c>
      <c r="DD1243" t="str">
        <f>""</f>
        <v/>
      </c>
      <c r="DE1243" t="str">
        <f>""</f>
        <v/>
      </c>
      <c r="DF1243" t="str">
        <f>""</f>
        <v/>
      </c>
      <c r="DG1243" t="str">
        <f>""</f>
        <v/>
      </c>
      <c r="DH1243" t="str">
        <f>""</f>
        <v/>
      </c>
      <c r="DI1243" t="str">
        <f>""</f>
        <v/>
      </c>
      <c r="DJ1243" t="str">
        <f>""</f>
        <v/>
      </c>
      <c r="DK1243" t="str">
        <f>""</f>
        <v/>
      </c>
      <c r="DL1243" t="str">
        <f>""</f>
        <v/>
      </c>
      <c r="DM1243" t="str">
        <f>""</f>
        <v/>
      </c>
      <c r="DN1243" t="str">
        <f>""</f>
        <v/>
      </c>
      <c r="DO1243" t="str">
        <f>""</f>
        <v/>
      </c>
      <c r="DP1243" t="str">
        <f>""</f>
        <v/>
      </c>
      <c r="DQ1243" t="str">
        <f>""</f>
        <v/>
      </c>
      <c r="DR1243" t="str">
        <f>""</f>
        <v/>
      </c>
      <c r="DS1243" t="str">
        <f>""</f>
        <v/>
      </c>
      <c r="DT1243" t="str">
        <f>""</f>
        <v/>
      </c>
      <c r="DU1243" t="str">
        <f>""</f>
        <v/>
      </c>
    </row>
    <row r="1244" spans="1:125" x14ac:dyDescent="0.25">
      <c r="A1244" t="str">
        <f>$A$586</f>
        <v xml:space="preserve">    Chongqing Changan Automobile Co Ltd</v>
      </c>
      <c r="B1244" t="str">
        <f>$B$586</f>
        <v>200625 CH Equity</v>
      </c>
      <c r="C1244" t="str">
        <f>$C$586</f>
        <v>RX072</v>
      </c>
      <c r="D1244" t="str">
        <f>$D$586</f>
        <v>FREE_CASH_FLOW_YIELD</v>
      </c>
      <c r="E1244" t="str">
        <f>$E$586</f>
        <v>Dynamic</v>
      </c>
      <c r="F1244" t="str">
        <f ca="1">_xll.BDH($B$586,$C$586,$B$675,$B$676,CONCATENATE("Per=",$B$673),"Dts=H","Dir=H",CONCATENATE("Points=",$B$674),"Sort=R","Days=A","Fill=B",CONCATENATE("FX=", $B$672) )</f>
        <v>#N/A Connection</v>
      </c>
      <c r="BN1244" t="str">
        <f>""</f>
        <v/>
      </c>
      <c r="BO1244" t="str">
        <f>""</f>
        <v/>
      </c>
      <c r="BP1244" t="str">
        <f>""</f>
        <v/>
      </c>
      <c r="BQ1244" t="str">
        <f>""</f>
        <v/>
      </c>
      <c r="BR1244" t="str">
        <f>""</f>
        <v/>
      </c>
      <c r="BS1244" t="str">
        <f>""</f>
        <v/>
      </c>
      <c r="BT1244" t="str">
        <f>""</f>
        <v/>
      </c>
      <c r="BU1244" t="str">
        <f>""</f>
        <v/>
      </c>
      <c r="BV1244" t="str">
        <f>""</f>
        <v/>
      </c>
      <c r="BW1244" t="str">
        <f>""</f>
        <v/>
      </c>
      <c r="BX1244" t="str">
        <f>""</f>
        <v/>
      </c>
      <c r="BY1244" t="str">
        <f>""</f>
        <v/>
      </c>
      <c r="BZ1244" t="str">
        <f>""</f>
        <v/>
      </c>
      <c r="CA1244" t="str">
        <f>""</f>
        <v/>
      </c>
      <c r="CB1244" t="str">
        <f>""</f>
        <v/>
      </c>
      <c r="CC1244" t="str">
        <f>""</f>
        <v/>
      </c>
      <c r="CD1244" t="str">
        <f>""</f>
        <v/>
      </c>
      <c r="CE1244" t="str">
        <f>""</f>
        <v/>
      </c>
      <c r="CF1244" t="str">
        <f>""</f>
        <v/>
      </c>
      <c r="CG1244" t="str">
        <f>""</f>
        <v/>
      </c>
      <c r="CH1244" t="str">
        <f>""</f>
        <v/>
      </c>
      <c r="CI1244" t="str">
        <f>""</f>
        <v/>
      </c>
      <c r="CJ1244" t="str">
        <f>""</f>
        <v/>
      </c>
      <c r="CK1244" t="str">
        <f>""</f>
        <v/>
      </c>
      <c r="CL1244" t="str">
        <f>""</f>
        <v/>
      </c>
      <c r="CM1244" t="str">
        <f>""</f>
        <v/>
      </c>
      <c r="CN1244" t="str">
        <f>""</f>
        <v/>
      </c>
      <c r="CO1244" t="str">
        <f>""</f>
        <v/>
      </c>
      <c r="CP1244" t="str">
        <f>""</f>
        <v/>
      </c>
      <c r="CQ1244" t="str">
        <f>""</f>
        <v/>
      </c>
      <c r="CR1244" t="str">
        <f>""</f>
        <v/>
      </c>
      <c r="CS1244" t="str">
        <f>""</f>
        <v/>
      </c>
      <c r="CT1244" t="str">
        <f>""</f>
        <v/>
      </c>
      <c r="CU1244" t="str">
        <f>""</f>
        <v/>
      </c>
      <c r="CV1244" t="str">
        <f>""</f>
        <v/>
      </c>
      <c r="CW1244" t="str">
        <f>""</f>
        <v/>
      </c>
      <c r="CX1244" t="str">
        <f>""</f>
        <v/>
      </c>
      <c r="CY1244" t="str">
        <f>""</f>
        <v/>
      </c>
      <c r="CZ1244" t="str">
        <f>""</f>
        <v/>
      </c>
      <c r="DA1244" t="str">
        <f>""</f>
        <v/>
      </c>
      <c r="DB1244" t="str">
        <f>""</f>
        <v/>
      </c>
      <c r="DC1244" t="str">
        <f>""</f>
        <v/>
      </c>
      <c r="DD1244" t="str">
        <f>""</f>
        <v/>
      </c>
      <c r="DE1244" t="str">
        <f>""</f>
        <v/>
      </c>
      <c r="DF1244" t="str">
        <f>""</f>
        <v/>
      </c>
      <c r="DG1244" t="str">
        <f>""</f>
        <v/>
      </c>
      <c r="DH1244" t="str">
        <f>""</f>
        <v/>
      </c>
      <c r="DI1244" t="str">
        <f>""</f>
        <v/>
      </c>
      <c r="DJ1244" t="str">
        <f>""</f>
        <v/>
      </c>
      <c r="DK1244" t="str">
        <f>""</f>
        <v/>
      </c>
      <c r="DL1244" t="str">
        <f>""</f>
        <v/>
      </c>
      <c r="DM1244" t="str">
        <f>""</f>
        <v/>
      </c>
      <c r="DN1244" t="str">
        <f>""</f>
        <v/>
      </c>
      <c r="DO1244" t="str">
        <f>""</f>
        <v/>
      </c>
      <c r="DP1244" t="str">
        <f>""</f>
        <v/>
      </c>
      <c r="DQ1244" t="str">
        <f>""</f>
        <v/>
      </c>
      <c r="DR1244" t="str">
        <f>""</f>
        <v/>
      </c>
      <c r="DS1244" t="str">
        <f>""</f>
        <v/>
      </c>
      <c r="DT1244" t="str">
        <f>""</f>
        <v/>
      </c>
      <c r="DU1244" t="str">
        <f>""</f>
        <v/>
      </c>
    </row>
    <row r="1245" spans="1:125" x14ac:dyDescent="0.25">
      <c r="A1245" t="str">
        <f>$A$587</f>
        <v xml:space="preserve">    Daihatsu Motor Co Ltd</v>
      </c>
      <c r="B1245" t="str">
        <f>$B$587</f>
        <v>7262 JP Equity</v>
      </c>
      <c r="C1245" t="str">
        <f>$C$587</f>
        <v>RX072</v>
      </c>
      <c r="D1245" t="str">
        <f>$D$587</f>
        <v>FREE_CASH_FLOW_YIELD</v>
      </c>
      <c r="E1245" t="str">
        <f>$E$587</f>
        <v>Dynamic</v>
      </c>
      <c r="F1245" t="str">
        <f ca="1">_xll.BDH($B$587,$C$587,$B$675,$B$676,CONCATENATE("Per=",$B$673),"Dts=H","Dir=H",CONCATENATE("Points=",$B$674),"Sort=R","Days=A","Fill=B",CONCATENATE("FX=", $B$672) )</f>
        <v>#N/A Connection</v>
      </c>
      <c r="BN1245" t="str">
        <f>""</f>
        <v/>
      </c>
      <c r="BO1245" t="str">
        <f>""</f>
        <v/>
      </c>
      <c r="BP1245" t="str">
        <f>""</f>
        <v/>
      </c>
      <c r="BQ1245" t="str">
        <f>""</f>
        <v/>
      </c>
      <c r="BR1245" t="str">
        <f>""</f>
        <v/>
      </c>
      <c r="BS1245" t="str">
        <f>""</f>
        <v/>
      </c>
      <c r="BT1245" t="str">
        <f>""</f>
        <v/>
      </c>
      <c r="BU1245" t="str">
        <f>""</f>
        <v/>
      </c>
      <c r="BV1245" t="str">
        <f>""</f>
        <v/>
      </c>
      <c r="BW1245" t="str">
        <f>""</f>
        <v/>
      </c>
      <c r="BX1245" t="str">
        <f>""</f>
        <v/>
      </c>
      <c r="BY1245" t="str">
        <f>""</f>
        <v/>
      </c>
      <c r="BZ1245" t="str">
        <f>""</f>
        <v/>
      </c>
      <c r="CA1245" t="str">
        <f>""</f>
        <v/>
      </c>
      <c r="CB1245" t="str">
        <f>""</f>
        <v/>
      </c>
      <c r="CC1245" t="str">
        <f>""</f>
        <v/>
      </c>
      <c r="CD1245" t="str">
        <f>""</f>
        <v/>
      </c>
      <c r="CE1245" t="str">
        <f>""</f>
        <v/>
      </c>
      <c r="CF1245" t="str">
        <f>""</f>
        <v/>
      </c>
      <c r="CG1245" t="str">
        <f>""</f>
        <v/>
      </c>
      <c r="CH1245" t="str">
        <f>""</f>
        <v/>
      </c>
      <c r="CI1245" t="str">
        <f>""</f>
        <v/>
      </c>
      <c r="CJ1245" t="str">
        <f>""</f>
        <v/>
      </c>
      <c r="CK1245" t="str">
        <f>""</f>
        <v/>
      </c>
      <c r="CL1245" t="str">
        <f>""</f>
        <v/>
      </c>
      <c r="CM1245" t="str">
        <f>""</f>
        <v/>
      </c>
      <c r="CN1245" t="str">
        <f>""</f>
        <v/>
      </c>
      <c r="CO1245" t="str">
        <f>""</f>
        <v/>
      </c>
      <c r="CP1245" t="str">
        <f>""</f>
        <v/>
      </c>
      <c r="CQ1245" t="str">
        <f>""</f>
        <v/>
      </c>
      <c r="CR1245" t="str">
        <f>""</f>
        <v/>
      </c>
      <c r="CS1245" t="str">
        <f>""</f>
        <v/>
      </c>
      <c r="CT1245" t="str">
        <f>""</f>
        <v/>
      </c>
      <c r="CU1245" t="str">
        <f>""</f>
        <v/>
      </c>
      <c r="CV1245" t="str">
        <f>""</f>
        <v/>
      </c>
      <c r="CW1245" t="str">
        <f>""</f>
        <v/>
      </c>
      <c r="CX1245" t="str">
        <f>""</f>
        <v/>
      </c>
      <c r="CY1245" t="str">
        <f>""</f>
        <v/>
      </c>
      <c r="CZ1245" t="str">
        <f>""</f>
        <v/>
      </c>
      <c r="DA1245" t="str">
        <f>""</f>
        <v/>
      </c>
      <c r="DB1245" t="str">
        <f>""</f>
        <v/>
      </c>
      <c r="DC1245" t="str">
        <f>""</f>
        <v/>
      </c>
      <c r="DD1245" t="str">
        <f>""</f>
        <v/>
      </c>
      <c r="DE1245" t="str">
        <f>""</f>
        <v/>
      </c>
      <c r="DF1245" t="str">
        <f>""</f>
        <v/>
      </c>
      <c r="DG1245" t="str">
        <f>""</f>
        <v/>
      </c>
      <c r="DH1245" t="str">
        <f>""</f>
        <v/>
      </c>
      <c r="DI1245" t="str">
        <f>""</f>
        <v/>
      </c>
      <c r="DJ1245" t="str">
        <f>""</f>
        <v/>
      </c>
      <c r="DK1245" t="str">
        <f>""</f>
        <v/>
      </c>
      <c r="DL1245" t="str">
        <f>""</f>
        <v/>
      </c>
      <c r="DM1245" t="str">
        <f>""</f>
        <v/>
      </c>
      <c r="DN1245" t="str">
        <f>""</f>
        <v/>
      </c>
      <c r="DO1245" t="str">
        <f>""</f>
        <v/>
      </c>
      <c r="DP1245" t="str">
        <f>""</f>
        <v/>
      </c>
      <c r="DQ1245" t="str">
        <f>""</f>
        <v/>
      </c>
      <c r="DR1245" t="str">
        <f>""</f>
        <v/>
      </c>
      <c r="DS1245" t="str">
        <f>""</f>
        <v/>
      </c>
      <c r="DT1245" t="str">
        <f>""</f>
        <v/>
      </c>
      <c r="DU1245" t="str">
        <f>""</f>
        <v/>
      </c>
    </row>
    <row r="1246" spans="1:125" x14ac:dyDescent="0.25">
      <c r="A1246" t="str">
        <f>$A$588</f>
        <v xml:space="preserve">    Daimler AG</v>
      </c>
      <c r="B1246" t="str">
        <f>$B$588</f>
        <v>DAI GR Equity</v>
      </c>
      <c r="C1246" t="str">
        <f>$C$588</f>
        <v>RX072</v>
      </c>
      <c r="D1246" t="str">
        <f>$D$588</f>
        <v>FREE_CASH_FLOW_YIELD</v>
      </c>
      <c r="E1246" t="str">
        <f>$E$588</f>
        <v>Dynamic</v>
      </c>
      <c r="F1246" t="str">
        <f ca="1">_xll.BDH($B$588,$C$588,$B$675,$B$676,CONCATENATE("Per=",$B$673),"Dts=H","Dir=H",CONCATENATE("Points=",$B$674),"Sort=R","Days=A","Fill=B",CONCATENATE("FX=", $B$672) )</f>
        <v>#N/A Connection</v>
      </c>
      <c r="BN1246" t="str">
        <f>""</f>
        <v/>
      </c>
      <c r="BO1246" t="str">
        <f>""</f>
        <v/>
      </c>
      <c r="BP1246" t="str">
        <f>""</f>
        <v/>
      </c>
      <c r="BQ1246" t="str">
        <f>""</f>
        <v/>
      </c>
      <c r="BR1246" t="str">
        <f>""</f>
        <v/>
      </c>
      <c r="BS1246" t="str">
        <f>""</f>
        <v/>
      </c>
      <c r="BT1246" t="str">
        <f>""</f>
        <v/>
      </c>
      <c r="BU1246" t="str">
        <f>""</f>
        <v/>
      </c>
      <c r="BV1246" t="str">
        <f>""</f>
        <v/>
      </c>
      <c r="BW1246" t="str">
        <f>""</f>
        <v/>
      </c>
      <c r="BX1246" t="str">
        <f>""</f>
        <v/>
      </c>
      <c r="BY1246" t="str">
        <f>""</f>
        <v/>
      </c>
      <c r="BZ1246" t="str">
        <f>""</f>
        <v/>
      </c>
      <c r="CA1246" t="str">
        <f>""</f>
        <v/>
      </c>
      <c r="CB1246" t="str">
        <f>""</f>
        <v/>
      </c>
      <c r="CC1246" t="str">
        <f>""</f>
        <v/>
      </c>
      <c r="CD1246" t="str">
        <f>""</f>
        <v/>
      </c>
      <c r="CE1246" t="str">
        <f>""</f>
        <v/>
      </c>
      <c r="CF1246" t="str">
        <f>""</f>
        <v/>
      </c>
      <c r="CG1246" t="str">
        <f>""</f>
        <v/>
      </c>
      <c r="CH1246" t="str">
        <f>""</f>
        <v/>
      </c>
      <c r="CI1246" t="str">
        <f>""</f>
        <v/>
      </c>
      <c r="CJ1246" t="str">
        <f>""</f>
        <v/>
      </c>
      <c r="CK1246" t="str">
        <f>""</f>
        <v/>
      </c>
      <c r="CL1246" t="str">
        <f>""</f>
        <v/>
      </c>
      <c r="CM1246" t="str">
        <f>""</f>
        <v/>
      </c>
      <c r="CN1246" t="str">
        <f>""</f>
        <v/>
      </c>
      <c r="CO1246" t="str">
        <f>""</f>
        <v/>
      </c>
      <c r="CP1246" t="str">
        <f>""</f>
        <v/>
      </c>
      <c r="CQ1246" t="str">
        <f>""</f>
        <v/>
      </c>
      <c r="CR1246" t="str">
        <f>""</f>
        <v/>
      </c>
      <c r="CS1246" t="str">
        <f>""</f>
        <v/>
      </c>
      <c r="CT1246" t="str">
        <f>""</f>
        <v/>
      </c>
      <c r="CU1246" t="str">
        <f>""</f>
        <v/>
      </c>
      <c r="CV1246" t="str">
        <f>""</f>
        <v/>
      </c>
      <c r="CW1246" t="str">
        <f>""</f>
        <v/>
      </c>
      <c r="CX1246" t="str">
        <f>""</f>
        <v/>
      </c>
      <c r="CY1246" t="str">
        <f>""</f>
        <v/>
      </c>
      <c r="CZ1246" t="str">
        <f>""</f>
        <v/>
      </c>
      <c r="DA1246" t="str">
        <f>""</f>
        <v/>
      </c>
      <c r="DB1246" t="str">
        <f>""</f>
        <v/>
      </c>
      <c r="DC1246" t="str">
        <f>""</f>
        <v/>
      </c>
      <c r="DD1246" t="str">
        <f>""</f>
        <v/>
      </c>
      <c r="DE1246" t="str">
        <f>""</f>
        <v/>
      </c>
      <c r="DF1246" t="str">
        <f>""</f>
        <v/>
      </c>
      <c r="DG1246" t="str">
        <f>""</f>
        <v/>
      </c>
      <c r="DH1246" t="str">
        <f>""</f>
        <v/>
      </c>
      <c r="DI1246" t="str">
        <f>""</f>
        <v/>
      </c>
      <c r="DJ1246" t="str">
        <f>""</f>
        <v/>
      </c>
      <c r="DK1246" t="str">
        <f>""</f>
        <v/>
      </c>
      <c r="DL1246" t="str">
        <f>""</f>
        <v/>
      </c>
      <c r="DM1246" t="str">
        <f>""</f>
        <v/>
      </c>
      <c r="DN1246" t="str">
        <f>""</f>
        <v/>
      </c>
      <c r="DO1246" t="str">
        <f>""</f>
        <v/>
      </c>
      <c r="DP1246" t="str">
        <f>""</f>
        <v/>
      </c>
      <c r="DQ1246" t="str">
        <f>""</f>
        <v/>
      </c>
      <c r="DR1246" t="str">
        <f>""</f>
        <v/>
      </c>
      <c r="DS1246" t="str">
        <f>""</f>
        <v/>
      </c>
      <c r="DT1246" t="str">
        <f>""</f>
        <v/>
      </c>
      <c r="DU1246" t="str">
        <f>""</f>
        <v/>
      </c>
    </row>
    <row r="1247" spans="1:125" x14ac:dyDescent="0.25">
      <c r="A1247" t="str">
        <f>$A$589</f>
        <v xml:space="preserve">    Dongfeng Motor Group Co Ltd</v>
      </c>
      <c r="B1247" t="str">
        <f>$B$589</f>
        <v>489 HK Equity</v>
      </c>
      <c r="C1247" t="str">
        <f>$C$589</f>
        <v>RX072</v>
      </c>
      <c r="D1247" t="str">
        <f>$D$589</f>
        <v>FREE_CASH_FLOW_YIELD</v>
      </c>
      <c r="E1247" t="str">
        <f>$E$589</f>
        <v>Dynamic</v>
      </c>
      <c r="F1247" t="str">
        <f ca="1">_xll.BDH($B$589,$C$589,$B$675,$B$676,CONCATENATE("Per=",$B$673),"Dts=H","Dir=H",CONCATENATE("Points=",$B$674),"Sort=R","Days=A","Fill=B",CONCATENATE("FX=", $B$672) )</f>
        <v>#N/A Connection</v>
      </c>
      <c r="BN1247" t="str">
        <f>""</f>
        <v/>
      </c>
      <c r="BO1247" t="str">
        <f>""</f>
        <v/>
      </c>
      <c r="BP1247" t="str">
        <f>""</f>
        <v/>
      </c>
      <c r="BQ1247" t="str">
        <f>""</f>
        <v/>
      </c>
      <c r="BR1247" t="str">
        <f>""</f>
        <v/>
      </c>
      <c r="BS1247" t="str">
        <f>""</f>
        <v/>
      </c>
      <c r="BT1247" t="str">
        <f>""</f>
        <v/>
      </c>
      <c r="BU1247" t="str">
        <f>""</f>
        <v/>
      </c>
      <c r="BV1247" t="str">
        <f>""</f>
        <v/>
      </c>
      <c r="BW1247" t="str">
        <f>""</f>
        <v/>
      </c>
      <c r="BX1247" t="str">
        <f>""</f>
        <v/>
      </c>
      <c r="BY1247" t="str">
        <f>""</f>
        <v/>
      </c>
      <c r="BZ1247" t="str">
        <f>""</f>
        <v/>
      </c>
      <c r="CA1247" t="str">
        <f>""</f>
        <v/>
      </c>
      <c r="CB1247" t="str">
        <f>""</f>
        <v/>
      </c>
      <c r="CC1247" t="str">
        <f>""</f>
        <v/>
      </c>
      <c r="CD1247" t="str">
        <f>""</f>
        <v/>
      </c>
      <c r="CE1247" t="str">
        <f>""</f>
        <v/>
      </c>
      <c r="CF1247" t="str">
        <f>""</f>
        <v/>
      </c>
      <c r="CG1247" t="str">
        <f>""</f>
        <v/>
      </c>
      <c r="CH1247" t="str">
        <f>""</f>
        <v/>
      </c>
      <c r="CI1247" t="str">
        <f>""</f>
        <v/>
      </c>
      <c r="CJ1247" t="str">
        <f>""</f>
        <v/>
      </c>
      <c r="CK1247" t="str">
        <f>""</f>
        <v/>
      </c>
      <c r="CL1247" t="str">
        <f>""</f>
        <v/>
      </c>
      <c r="CM1247" t="str">
        <f>""</f>
        <v/>
      </c>
      <c r="CN1247" t="str">
        <f>""</f>
        <v/>
      </c>
      <c r="CO1247" t="str">
        <f>""</f>
        <v/>
      </c>
      <c r="CP1247" t="str">
        <f>""</f>
        <v/>
      </c>
      <c r="CQ1247" t="str">
        <f>""</f>
        <v/>
      </c>
      <c r="CR1247" t="str">
        <f>""</f>
        <v/>
      </c>
      <c r="CS1247" t="str">
        <f>""</f>
        <v/>
      </c>
      <c r="CT1247" t="str">
        <f>""</f>
        <v/>
      </c>
      <c r="CU1247" t="str">
        <f>""</f>
        <v/>
      </c>
      <c r="CV1247" t="str">
        <f>""</f>
        <v/>
      </c>
      <c r="CW1247" t="str">
        <f>""</f>
        <v/>
      </c>
      <c r="CX1247" t="str">
        <f>""</f>
        <v/>
      </c>
      <c r="CY1247" t="str">
        <f>""</f>
        <v/>
      </c>
      <c r="CZ1247" t="str">
        <f>""</f>
        <v/>
      </c>
      <c r="DA1247" t="str">
        <f>""</f>
        <v/>
      </c>
      <c r="DB1247" t="str">
        <f>""</f>
        <v/>
      </c>
      <c r="DC1247" t="str">
        <f>""</f>
        <v/>
      </c>
      <c r="DD1247" t="str">
        <f>""</f>
        <v/>
      </c>
      <c r="DE1247" t="str">
        <f>""</f>
        <v/>
      </c>
      <c r="DF1247" t="str">
        <f>""</f>
        <v/>
      </c>
      <c r="DG1247" t="str">
        <f>""</f>
        <v/>
      </c>
      <c r="DH1247" t="str">
        <f>""</f>
        <v/>
      </c>
      <c r="DI1247" t="str">
        <f>""</f>
        <v/>
      </c>
      <c r="DJ1247" t="str">
        <f>""</f>
        <v/>
      </c>
      <c r="DK1247" t="str">
        <f>""</f>
        <v/>
      </c>
      <c r="DL1247" t="str">
        <f>""</f>
        <v/>
      </c>
      <c r="DM1247" t="str">
        <f>""</f>
        <v/>
      </c>
      <c r="DN1247" t="str">
        <f>""</f>
        <v/>
      </c>
      <c r="DO1247" t="str">
        <f>""</f>
        <v/>
      </c>
      <c r="DP1247" t="str">
        <f>""</f>
        <v/>
      </c>
      <c r="DQ1247" t="str">
        <f>""</f>
        <v/>
      </c>
      <c r="DR1247" t="str">
        <f>""</f>
        <v/>
      </c>
      <c r="DS1247" t="str">
        <f>""</f>
        <v/>
      </c>
      <c r="DT1247" t="str">
        <f>""</f>
        <v/>
      </c>
      <c r="DU1247" t="str">
        <f>""</f>
        <v/>
      </c>
    </row>
    <row r="1248" spans="1:125" x14ac:dyDescent="0.25">
      <c r="A1248" t="str">
        <f>$A$590</f>
        <v xml:space="preserve">    DRB-Hicom Bhd</v>
      </c>
      <c r="B1248" t="str">
        <f>$B$590</f>
        <v>DRB MK Equity</v>
      </c>
      <c r="C1248" t="str">
        <f>$C$590</f>
        <v>RX072</v>
      </c>
      <c r="D1248" t="str">
        <f>$D$590</f>
        <v>FREE_CASH_FLOW_YIELD</v>
      </c>
      <c r="E1248" t="str">
        <f>$E$590</f>
        <v>Dynamic</v>
      </c>
      <c r="F1248" t="str">
        <f ca="1">_xll.BDH($B$590,$C$590,$B$675,$B$676,CONCATENATE("Per=",$B$673),"Dts=H","Dir=H",CONCATENATE("Points=",$B$674),"Sort=R","Days=A","Fill=B",CONCATENATE("FX=", $B$672) )</f>
        <v>#N/A Connection</v>
      </c>
      <c r="BN1248" t="str">
        <f>""</f>
        <v/>
      </c>
      <c r="BO1248" t="str">
        <f>""</f>
        <v/>
      </c>
      <c r="BP1248" t="str">
        <f>""</f>
        <v/>
      </c>
      <c r="BQ1248" t="str">
        <f>""</f>
        <v/>
      </c>
      <c r="BR1248" t="str">
        <f>""</f>
        <v/>
      </c>
      <c r="BS1248" t="str">
        <f>""</f>
        <v/>
      </c>
      <c r="BT1248" t="str">
        <f>""</f>
        <v/>
      </c>
      <c r="BU1248" t="str">
        <f>""</f>
        <v/>
      </c>
      <c r="BV1248" t="str">
        <f>""</f>
        <v/>
      </c>
      <c r="BW1248" t="str">
        <f>""</f>
        <v/>
      </c>
      <c r="BX1248" t="str">
        <f>""</f>
        <v/>
      </c>
      <c r="BY1248" t="str">
        <f>""</f>
        <v/>
      </c>
      <c r="BZ1248" t="str">
        <f>""</f>
        <v/>
      </c>
      <c r="CA1248" t="str">
        <f>""</f>
        <v/>
      </c>
      <c r="CB1248" t="str">
        <f>""</f>
        <v/>
      </c>
      <c r="CC1248" t="str">
        <f>""</f>
        <v/>
      </c>
      <c r="CD1248" t="str">
        <f>""</f>
        <v/>
      </c>
      <c r="CE1248" t="str">
        <f>""</f>
        <v/>
      </c>
      <c r="CF1248" t="str">
        <f>""</f>
        <v/>
      </c>
      <c r="CG1248" t="str">
        <f>""</f>
        <v/>
      </c>
      <c r="CH1248" t="str">
        <f>""</f>
        <v/>
      </c>
      <c r="CI1248" t="str">
        <f>""</f>
        <v/>
      </c>
      <c r="CJ1248" t="str">
        <f>""</f>
        <v/>
      </c>
      <c r="CK1248" t="str">
        <f>""</f>
        <v/>
      </c>
      <c r="CL1248" t="str">
        <f>""</f>
        <v/>
      </c>
      <c r="CM1248" t="str">
        <f>""</f>
        <v/>
      </c>
      <c r="CN1248" t="str">
        <f>""</f>
        <v/>
      </c>
      <c r="CO1248" t="str">
        <f>""</f>
        <v/>
      </c>
      <c r="CP1248" t="str">
        <f>""</f>
        <v/>
      </c>
      <c r="CQ1248" t="str">
        <f>""</f>
        <v/>
      </c>
      <c r="CR1248" t="str">
        <f>""</f>
        <v/>
      </c>
      <c r="CS1248" t="str">
        <f>""</f>
        <v/>
      </c>
      <c r="CT1248" t="str">
        <f>""</f>
        <v/>
      </c>
      <c r="CU1248" t="str">
        <f>""</f>
        <v/>
      </c>
      <c r="CV1248" t="str">
        <f>""</f>
        <v/>
      </c>
      <c r="CW1248" t="str">
        <f>""</f>
        <v/>
      </c>
      <c r="CX1248" t="str">
        <f>""</f>
        <v/>
      </c>
      <c r="CY1248" t="str">
        <f>""</f>
        <v/>
      </c>
      <c r="CZ1248" t="str">
        <f>""</f>
        <v/>
      </c>
      <c r="DA1248" t="str">
        <f>""</f>
        <v/>
      </c>
      <c r="DB1248" t="str">
        <f>""</f>
        <v/>
      </c>
      <c r="DC1248" t="str">
        <f>""</f>
        <v/>
      </c>
      <c r="DD1248" t="str">
        <f>""</f>
        <v/>
      </c>
      <c r="DE1248" t="str">
        <f>""</f>
        <v/>
      </c>
      <c r="DF1248" t="str">
        <f>""</f>
        <v/>
      </c>
      <c r="DG1248" t="str">
        <f>""</f>
        <v/>
      </c>
      <c r="DH1248" t="str">
        <f>""</f>
        <v/>
      </c>
      <c r="DI1248" t="str">
        <f>""</f>
        <v/>
      </c>
      <c r="DJ1248" t="str">
        <f>""</f>
        <v/>
      </c>
      <c r="DK1248" t="str">
        <f>""</f>
        <v/>
      </c>
      <c r="DL1248" t="str">
        <f>""</f>
        <v/>
      </c>
      <c r="DM1248" t="str">
        <f>""</f>
        <v/>
      </c>
      <c r="DN1248" t="str">
        <f>""</f>
        <v/>
      </c>
      <c r="DO1248" t="str">
        <f>""</f>
        <v/>
      </c>
      <c r="DP1248" t="str">
        <f>""</f>
        <v/>
      </c>
      <c r="DQ1248" t="str">
        <f>""</f>
        <v/>
      </c>
      <c r="DR1248" t="str">
        <f>""</f>
        <v/>
      </c>
      <c r="DS1248" t="str">
        <f>""</f>
        <v/>
      </c>
      <c r="DT1248" t="str">
        <f>""</f>
        <v/>
      </c>
      <c r="DU1248" t="str">
        <f>""</f>
        <v/>
      </c>
    </row>
    <row r="1249" spans="1:125" x14ac:dyDescent="0.25">
      <c r="A1249" t="str">
        <f>$A$591</f>
        <v xml:space="preserve">    FAW CAR Co Ltd</v>
      </c>
      <c r="B1249" t="str">
        <f>$B$591</f>
        <v>000800 CH Equity</v>
      </c>
      <c r="C1249" t="str">
        <f>$C$591</f>
        <v>RX072</v>
      </c>
      <c r="D1249" t="str">
        <f>$D$591</f>
        <v>FREE_CASH_FLOW_YIELD</v>
      </c>
      <c r="E1249" t="str">
        <f>$E$591</f>
        <v>Dynamic</v>
      </c>
      <c r="F1249" t="str">
        <f ca="1">_xll.BDH($B$591,$C$591,$B$675,$B$676,CONCATENATE("Per=",$B$673),"Dts=H","Dir=H",CONCATENATE("Points=",$B$674),"Sort=R","Days=A","Fill=B",CONCATENATE("FX=", $B$672) )</f>
        <v>#N/A Connection</v>
      </c>
      <c r="BN1249" t="str">
        <f>""</f>
        <v/>
      </c>
      <c r="BO1249" t="str">
        <f>""</f>
        <v/>
      </c>
      <c r="BP1249" t="str">
        <f>""</f>
        <v/>
      </c>
      <c r="BQ1249" t="str">
        <f>""</f>
        <v/>
      </c>
      <c r="BR1249" t="str">
        <f>""</f>
        <v/>
      </c>
      <c r="BS1249" t="str">
        <f>""</f>
        <v/>
      </c>
      <c r="BT1249" t="str">
        <f>""</f>
        <v/>
      </c>
      <c r="BU1249" t="str">
        <f>""</f>
        <v/>
      </c>
      <c r="BV1249" t="str">
        <f>""</f>
        <v/>
      </c>
      <c r="BW1249" t="str">
        <f>""</f>
        <v/>
      </c>
      <c r="BX1249" t="str">
        <f>""</f>
        <v/>
      </c>
      <c r="BY1249" t="str">
        <f>""</f>
        <v/>
      </c>
      <c r="BZ1249" t="str">
        <f>""</f>
        <v/>
      </c>
      <c r="CA1249" t="str">
        <f>""</f>
        <v/>
      </c>
      <c r="CB1249" t="str">
        <f>""</f>
        <v/>
      </c>
      <c r="CC1249" t="str">
        <f>""</f>
        <v/>
      </c>
      <c r="CD1249" t="str">
        <f>""</f>
        <v/>
      </c>
      <c r="CE1249" t="str">
        <f>""</f>
        <v/>
      </c>
      <c r="CF1249" t="str">
        <f>""</f>
        <v/>
      </c>
      <c r="CG1249" t="str">
        <f>""</f>
        <v/>
      </c>
      <c r="CH1249" t="str">
        <f>""</f>
        <v/>
      </c>
      <c r="CI1249" t="str">
        <f>""</f>
        <v/>
      </c>
      <c r="CJ1249" t="str">
        <f>""</f>
        <v/>
      </c>
      <c r="CK1249" t="str">
        <f>""</f>
        <v/>
      </c>
      <c r="CL1249" t="str">
        <f>""</f>
        <v/>
      </c>
      <c r="CM1249" t="str">
        <f>""</f>
        <v/>
      </c>
      <c r="CN1249" t="str">
        <f>""</f>
        <v/>
      </c>
      <c r="CO1249" t="str">
        <f>""</f>
        <v/>
      </c>
      <c r="CP1249" t="str">
        <f>""</f>
        <v/>
      </c>
      <c r="CQ1249" t="str">
        <f>""</f>
        <v/>
      </c>
      <c r="CR1249" t="str">
        <f>""</f>
        <v/>
      </c>
      <c r="CS1249" t="str">
        <f>""</f>
        <v/>
      </c>
      <c r="CT1249" t="str">
        <f>""</f>
        <v/>
      </c>
      <c r="CU1249" t="str">
        <f>""</f>
        <v/>
      </c>
      <c r="CV1249" t="str">
        <f>""</f>
        <v/>
      </c>
      <c r="CW1249" t="str">
        <f>""</f>
        <v/>
      </c>
      <c r="CX1249" t="str">
        <f>""</f>
        <v/>
      </c>
      <c r="CY1249" t="str">
        <f>""</f>
        <v/>
      </c>
      <c r="CZ1249" t="str">
        <f>""</f>
        <v/>
      </c>
      <c r="DA1249" t="str">
        <f>""</f>
        <v/>
      </c>
      <c r="DB1249" t="str">
        <f>""</f>
        <v/>
      </c>
      <c r="DC1249" t="str">
        <f>""</f>
        <v/>
      </c>
      <c r="DD1249" t="str">
        <f>""</f>
        <v/>
      </c>
      <c r="DE1249" t="str">
        <f>""</f>
        <v/>
      </c>
      <c r="DF1249" t="str">
        <f>""</f>
        <v/>
      </c>
      <c r="DG1249" t="str">
        <f>""</f>
        <v/>
      </c>
      <c r="DH1249" t="str">
        <f>""</f>
        <v/>
      </c>
      <c r="DI1249" t="str">
        <f>""</f>
        <v/>
      </c>
      <c r="DJ1249" t="str">
        <f>""</f>
        <v/>
      </c>
      <c r="DK1249" t="str">
        <f>""</f>
        <v/>
      </c>
      <c r="DL1249" t="str">
        <f>""</f>
        <v/>
      </c>
      <c r="DM1249" t="str">
        <f>""</f>
        <v/>
      </c>
      <c r="DN1249" t="str">
        <f>""</f>
        <v/>
      </c>
      <c r="DO1249" t="str">
        <f>""</f>
        <v/>
      </c>
      <c r="DP1249" t="str">
        <f>""</f>
        <v/>
      </c>
      <c r="DQ1249" t="str">
        <f>""</f>
        <v/>
      </c>
      <c r="DR1249" t="str">
        <f>""</f>
        <v/>
      </c>
      <c r="DS1249" t="str">
        <f>""</f>
        <v/>
      </c>
      <c r="DT1249" t="str">
        <f>""</f>
        <v/>
      </c>
      <c r="DU1249" t="str">
        <f>""</f>
        <v/>
      </c>
    </row>
    <row r="1250" spans="1:125" x14ac:dyDescent="0.25">
      <c r="A1250" t="str">
        <f>$A$592</f>
        <v xml:space="preserve">    Fiat Chrysler Automobiles NV</v>
      </c>
      <c r="B1250" t="str">
        <f>$B$592</f>
        <v>FCAU US Equity</v>
      </c>
      <c r="C1250" t="str">
        <f>$C$592</f>
        <v>RX072</v>
      </c>
      <c r="D1250" t="str">
        <f>$D$592</f>
        <v>FREE_CASH_FLOW_YIELD</v>
      </c>
      <c r="E1250" t="str">
        <f>$E$592</f>
        <v>Dynamic</v>
      </c>
      <c r="F1250" t="str">
        <f ca="1">_xll.BDH($B$592,$C$592,$B$675,$B$676,CONCATENATE("Per=",$B$673),"Dts=H","Dir=H",CONCATENATE("Points=",$B$674),"Sort=R","Days=A","Fill=B",CONCATENATE("FX=", $B$672) )</f>
        <v>#N/A Connection</v>
      </c>
      <c r="BN1250" t="str">
        <f>""</f>
        <v/>
      </c>
      <c r="BO1250" t="str">
        <f>""</f>
        <v/>
      </c>
      <c r="BP1250" t="str">
        <f>""</f>
        <v/>
      </c>
      <c r="BQ1250" t="str">
        <f>""</f>
        <v/>
      </c>
      <c r="BR1250" t="str">
        <f>""</f>
        <v/>
      </c>
      <c r="BS1250" t="str">
        <f>""</f>
        <v/>
      </c>
      <c r="BT1250" t="str">
        <f>""</f>
        <v/>
      </c>
      <c r="BU1250" t="str">
        <f>""</f>
        <v/>
      </c>
      <c r="BV1250" t="str">
        <f>""</f>
        <v/>
      </c>
      <c r="BW1250" t="str">
        <f>""</f>
        <v/>
      </c>
      <c r="BX1250" t="str">
        <f>""</f>
        <v/>
      </c>
      <c r="BY1250" t="str">
        <f>""</f>
        <v/>
      </c>
      <c r="BZ1250" t="str">
        <f>""</f>
        <v/>
      </c>
      <c r="CA1250" t="str">
        <f>""</f>
        <v/>
      </c>
      <c r="CB1250" t="str">
        <f>""</f>
        <v/>
      </c>
      <c r="CC1250" t="str">
        <f>""</f>
        <v/>
      </c>
      <c r="CD1250" t="str">
        <f>""</f>
        <v/>
      </c>
      <c r="CE1250" t="str">
        <f>""</f>
        <v/>
      </c>
      <c r="CF1250" t="str">
        <f>""</f>
        <v/>
      </c>
      <c r="CG1250" t="str">
        <f>""</f>
        <v/>
      </c>
      <c r="CH1250" t="str">
        <f>""</f>
        <v/>
      </c>
      <c r="CI1250" t="str">
        <f>""</f>
        <v/>
      </c>
      <c r="CJ1250" t="str">
        <f>""</f>
        <v/>
      </c>
      <c r="CK1250" t="str">
        <f>""</f>
        <v/>
      </c>
      <c r="CL1250" t="str">
        <f>""</f>
        <v/>
      </c>
      <c r="CM1250" t="str">
        <f>""</f>
        <v/>
      </c>
      <c r="CN1250" t="str">
        <f>""</f>
        <v/>
      </c>
      <c r="CO1250" t="str">
        <f>""</f>
        <v/>
      </c>
      <c r="CP1250" t="str">
        <f>""</f>
        <v/>
      </c>
      <c r="CQ1250" t="str">
        <f>""</f>
        <v/>
      </c>
      <c r="CR1250" t="str">
        <f>""</f>
        <v/>
      </c>
      <c r="CS1250" t="str">
        <f>""</f>
        <v/>
      </c>
      <c r="CT1250" t="str">
        <f>""</f>
        <v/>
      </c>
      <c r="CU1250" t="str">
        <f>""</f>
        <v/>
      </c>
      <c r="CV1250" t="str">
        <f>""</f>
        <v/>
      </c>
      <c r="CW1250" t="str">
        <f>""</f>
        <v/>
      </c>
      <c r="CX1250" t="str">
        <f>""</f>
        <v/>
      </c>
      <c r="CY1250" t="str">
        <f>""</f>
        <v/>
      </c>
      <c r="CZ1250" t="str">
        <f>""</f>
        <v/>
      </c>
      <c r="DA1250" t="str">
        <f>""</f>
        <v/>
      </c>
      <c r="DB1250" t="str">
        <f>""</f>
        <v/>
      </c>
      <c r="DC1250" t="str">
        <f>""</f>
        <v/>
      </c>
      <c r="DD1250" t="str">
        <f>""</f>
        <v/>
      </c>
      <c r="DE1250" t="str">
        <f>""</f>
        <v/>
      </c>
      <c r="DF1250" t="str">
        <f>""</f>
        <v/>
      </c>
      <c r="DG1250" t="str">
        <f>""</f>
        <v/>
      </c>
      <c r="DH1250" t="str">
        <f>""</f>
        <v/>
      </c>
      <c r="DI1250" t="str">
        <f>""</f>
        <v/>
      </c>
      <c r="DJ1250" t="str">
        <f>""</f>
        <v/>
      </c>
      <c r="DK1250" t="str">
        <f>""</f>
        <v/>
      </c>
      <c r="DL1250" t="str">
        <f>""</f>
        <v/>
      </c>
      <c r="DM1250" t="str">
        <f>""</f>
        <v/>
      </c>
      <c r="DN1250" t="str">
        <f>""</f>
        <v/>
      </c>
      <c r="DO1250" t="str">
        <f>""</f>
        <v/>
      </c>
      <c r="DP1250" t="str">
        <f>""</f>
        <v/>
      </c>
      <c r="DQ1250" t="str">
        <f>""</f>
        <v/>
      </c>
      <c r="DR1250" t="str">
        <f>""</f>
        <v/>
      </c>
      <c r="DS1250" t="str">
        <f>""</f>
        <v/>
      </c>
      <c r="DT1250" t="str">
        <f>""</f>
        <v/>
      </c>
      <c r="DU1250" t="str">
        <f>""</f>
        <v/>
      </c>
    </row>
    <row r="1251" spans="1:125" x14ac:dyDescent="0.25">
      <c r="A1251" t="str">
        <f>$A$593</f>
        <v xml:space="preserve">    Ford Motor Co</v>
      </c>
      <c r="B1251" t="str">
        <f>$B$593</f>
        <v>F US Equity</v>
      </c>
      <c r="C1251" t="str">
        <f>$C$593</f>
        <v>RX072</v>
      </c>
      <c r="D1251" t="str">
        <f>$D$593</f>
        <v>FREE_CASH_FLOW_YIELD</v>
      </c>
      <c r="E1251" t="str">
        <f>$E$593</f>
        <v>Dynamic</v>
      </c>
      <c r="F1251" t="str">
        <f ca="1">_xll.BDH($B$593,$C$593,$B$675,$B$676,CONCATENATE("Per=",$B$673),"Dts=H","Dir=H",CONCATENATE("Points=",$B$674),"Sort=R","Days=A","Fill=B",CONCATENATE("FX=", $B$672) )</f>
        <v>#N/A Connection</v>
      </c>
      <c r="BN1251" t="str">
        <f>""</f>
        <v/>
      </c>
      <c r="BO1251" t="str">
        <f>""</f>
        <v/>
      </c>
      <c r="BP1251" t="str">
        <f>""</f>
        <v/>
      </c>
      <c r="BQ1251" t="str">
        <f>""</f>
        <v/>
      </c>
      <c r="BR1251" t="str">
        <f>""</f>
        <v/>
      </c>
      <c r="BS1251" t="str">
        <f>""</f>
        <v/>
      </c>
      <c r="BT1251" t="str">
        <f>""</f>
        <v/>
      </c>
      <c r="BU1251" t="str">
        <f>""</f>
        <v/>
      </c>
      <c r="BV1251" t="str">
        <f>""</f>
        <v/>
      </c>
      <c r="BW1251" t="str">
        <f>""</f>
        <v/>
      </c>
      <c r="BX1251" t="str">
        <f>""</f>
        <v/>
      </c>
      <c r="BY1251" t="str">
        <f>""</f>
        <v/>
      </c>
      <c r="BZ1251" t="str">
        <f>""</f>
        <v/>
      </c>
      <c r="CA1251" t="str">
        <f>""</f>
        <v/>
      </c>
      <c r="CB1251" t="str">
        <f>""</f>
        <v/>
      </c>
      <c r="CC1251" t="str">
        <f>""</f>
        <v/>
      </c>
      <c r="CD1251" t="str">
        <f>""</f>
        <v/>
      </c>
      <c r="CE1251" t="str">
        <f>""</f>
        <v/>
      </c>
      <c r="CF1251" t="str">
        <f>""</f>
        <v/>
      </c>
      <c r="CG1251" t="str">
        <f>""</f>
        <v/>
      </c>
      <c r="CH1251" t="str">
        <f>""</f>
        <v/>
      </c>
      <c r="CI1251" t="str">
        <f>""</f>
        <v/>
      </c>
      <c r="CJ1251" t="str">
        <f>""</f>
        <v/>
      </c>
      <c r="CK1251" t="str">
        <f>""</f>
        <v/>
      </c>
      <c r="CL1251" t="str">
        <f>""</f>
        <v/>
      </c>
      <c r="CM1251" t="str">
        <f>""</f>
        <v/>
      </c>
      <c r="CN1251" t="str">
        <f>""</f>
        <v/>
      </c>
      <c r="CO1251" t="str">
        <f>""</f>
        <v/>
      </c>
      <c r="CP1251" t="str">
        <f>""</f>
        <v/>
      </c>
      <c r="CQ1251" t="str">
        <f>""</f>
        <v/>
      </c>
      <c r="CR1251" t="str">
        <f>""</f>
        <v/>
      </c>
      <c r="CS1251" t="str">
        <f>""</f>
        <v/>
      </c>
      <c r="CT1251" t="str">
        <f>""</f>
        <v/>
      </c>
      <c r="CU1251" t="str">
        <f>""</f>
        <v/>
      </c>
      <c r="CV1251" t="str">
        <f>""</f>
        <v/>
      </c>
      <c r="CW1251" t="str">
        <f>""</f>
        <v/>
      </c>
      <c r="CX1251" t="str">
        <f>""</f>
        <v/>
      </c>
      <c r="CY1251" t="str">
        <f>""</f>
        <v/>
      </c>
      <c r="CZ1251" t="str">
        <f>""</f>
        <v/>
      </c>
      <c r="DA1251" t="str">
        <f>""</f>
        <v/>
      </c>
      <c r="DB1251" t="str">
        <f>""</f>
        <v/>
      </c>
      <c r="DC1251" t="str">
        <f>""</f>
        <v/>
      </c>
      <c r="DD1251" t="str">
        <f>""</f>
        <v/>
      </c>
      <c r="DE1251" t="str">
        <f>""</f>
        <v/>
      </c>
      <c r="DF1251" t="str">
        <f>""</f>
        <v/>
      </c>
      <c r="DG1251" t="str">
        <f>""</f>
        <v/>
      </c>
      <c r="DH1251" t="str">
        <f>""</f>
        <v/>
      </c>
      <c r="DI1251" t="str">
        <f>""</f>
        <v/>
      </c>
      <c r="DJ1251" t="str">
        <f>""</f>
        <v/>
      </c>
      <c r="DK1251" t="str">
        <f>""</f>
        <v/>
      </c>
      <c r="DL1251" t="str">
        <f>""</f>
        <v/>
      </c>
      <c r="DM1251" t="str">
        <f>""</f>
        <v/>
      </c>
      <c r="DN1251" t="str">
        <f>""</f>
        <v/>
      </c>
      <c r="DO1251" t="str">
        <f>""</f>
        <v/>
      </c>
      <c r="DP1251" t="str">
        <f>""</f>
        <v/>
      </c>
      <c r="DQ1251" t="str">
        <f>""</f>
        <v/>
      </c>
      <c r="DR1251" t="str">
        <f>""</f>
        <v/>
      </c>
      <c r="DS1251" t="str">
        <f>""</f>
        <v/>
      </c>
      <c r="DT1251" t="str">
        <f>""</f>
        <v/>
      </c>
      <c r="DU1251" t="str">
        <f>""</f>
        <v/>
      </c>
    </row>
    <row r="1252" spans="1:125" x14ac:dyDescent="0.25">
      <c r="A1252" t="str">
        <f>$A$594</f>
        <v xml:space="preserve">    Ford Otomotiv Sanayi AS</v>
      </c>
      <c r="B1252" t="str">
        <f>$B$594</f>
        <v>FROTOTRY EO Equity</v>
      </c>
      <c r="C1252" t="str">
        <f>$C$594</f>
        <v>RX072</v>
      </c>
      <c r="D1252" t="str">
        <f>$D$594</f>
        <v>FREE_CASH_FLOW_YIELD</v>
      </c>
      <c r="E1252" t="str">
        <f>$E$594</f>
        <v>Dynamic</v>
      </c>
      <c r="F1252" t="str">
        <f ca="1">_xll.BDH($B$594,$C$594,$B$675,$B$676,CONCATENATE("Per=",$B$673),"Dts=H","Dir=H",CONCATENATE("Points=",$B$674),"Sort=R","Days=A","Fill=B",CONCATENATE("FX=", $B$672) )</f>
        <v>#N/A Connection</v>
      </c>
      <c r="BN1252" t="str">
        <f>""</f>
        <v/>
      </c>
      <c r="BO1252" t="str">
        <f>""</f>
        <v/>
      </c>
      <c r="BP1252" t="str">
        <f>""</f>
        <v/>
      </c>
      <c r="BQ1252" t="str">
        <f>""</f>
        <v/>
      </c>
      <c r="BR1252" t="str">
        <f>""</f>
        <v/>
      </c>
      <c r="BS1252" t="str">
        <f>""</f>
        <v/>
      </c>
      <c r="BT1252" t="str">
        <f>""</f>
        <v/>
      </c>
      <c r="BU1252" t="str">
        <f>""</f>
        <v/>
      </c>
      <c r="BV1252" t="str">
        <f>""</f>
        <v/>
      </c>
      <c r="BW1252" t="str">
        <f>""</f>
        <v/>
      </c>
      <c r="BX1252" t="str">
        <f>""</f>
        <v/>
      </c>
      <c r="BY1252" t="str">
        <f>""</f>
        <v/>
      </c>
      <c r="BZ1252" t="str">
        <f>""</f>
        <v/>
      </c>
      <c r="CA1252" t="str">
        <f>""</f>
        <v/>
      </c>
      <c r="CB1252" t="str">
        <f>""</f>
        <v/>
      </c>
      <c r="CC1252" t="str">
        <f>""</f>
        <v/>
      </c>
      <c r="CD1252" t="str">
        <f>""</f>
        <v/>
      </c>
      <c r="CE1252" t="str">
        <f>""</f>
        <v/>
      </c>
      <c r="CF1252" t="str">
        <f>""</f>
        <v/>
      </c>
      <c r="CG1252" t="str">
        <f>""</f>
        <v/>
      </c>
      <c r="CH1252" t="str">
        <f>""</f>
        <v/>
      </c>
      <c r="CI1252" t="str">
        <f>""</f>
        <v/>
      </c>
      <c r="CJ1252" t="str">
        <f>""</f>
        <v/>
      </c>
      <c r="CK1252" t="str">
        <f>""</f>
        <v/>
      </c>
      <c r="CL1252" t="str">
        <f>""</f>
        <v/>
      </c>
      <c r="CM1252" t="str">
        <f>""</f>
        <v/>
      </c>
      <c r="CN1252" t="str">
        <f>""</f>
        <v/>
      </c>
      <c r="CO1252" t="str">
        <f>""</f>
        <v/>
      </c>
      <c r="CP1252" t="str">
        <f>""</f>
        <v/>
      </c>
      <c r="CQ1252" t="str">
        <f>""</f>
        <v/>
      </c>
      <c r="CR1252" t="str">
        <f>""</f>
        <v/>
      </c>
      <c r="CS1252" t="str">
        <f>""</f>
        <v/>
      </c>
      <c r="CT1252" t="str">
        <f>""</f>
        <v/>
      </c>
      <c r="CU1252" t="str">
        <f>""</f>
        <v/>
      </c>
      <c r="CV1252" t="str">
        <f>""</f>
        <v/>
      </c>
      <c r="CW1252" t="str">
        <f>""</f>
        <v/>
      </c>
      <c r="CX1252" t="str">
        <f>""</f>
        <v/>
      </c>
      <c r="CY1252" t="str">
        <f>""</f>
        <v/>
      </c>
      <c r="CZ1252" t="str">
        <f>""</f>
        <v/>
      </c>
      <c r="DA1252" t="str">
        <f>""</f>
        <v/>
      </c>
      <c r="DB1252" t="str">
        <f>""</f>
        <v/>
      </c>
      <c r="DC1252" t="str">
        <f>""</f>
        <v/>
      </c>
      <c r="DD1252" t="str">
        <f>""</f>
        <v/>
      </c>
      <c r="DE1252" t="str">
        <f>""</f>
        <v/>
      </c>
      <c r="DF1252" t="str">
        <f>""</f>
        <v/>
      </c>
      <c r="DG1252" t="str">
        <f>""</f>
        <v/>
      </c>
      <c r="DH1252" t="str">
        <f>""</f>
        <v/>
      </c>
      <c r="DI1252" t="str">
        <f>""</f>
        <v/>
      </c>
      <c r="DJ1252" t="str">
        <f>""</f>
        <v/>
      </c>
      <c r="DK1252" t="str">
        <f>""</f>
        <v/>
      </c>
      <c r="DL1252" t="str">
        <f>""</f>
        <v/>
      </c>
      <c r="DM1252" t="str">
        <f>""</f>
        <v/>
      </c>
      <c r="DN1252" t="str">
        <f>""</f>
        <v/>
      </c>
      <c r="DO1252" t="str">
        <f>""</f>
        <v/>
      </c>
      <c r="DP1252" t="str">
        <f>""</f>
        <v/>
      </c>
      <c r="DQ1252" t="str">
        <f>""</f>
        <v/>
      </c>
      <c r="DR1252" t="str">
        <f>""</f>
        <v/>
      </c>
      <c r="DS1252" t="str">
        <f>""</f>
        <v/>
      </c>
      <c r="DT1252" t="str">
        <f>""</f>
        <v/>
      </c>
      <c r="DU1252" t="str">
        <f>""</f>
        <v/>
      </c>
    </row>
    <row r="1253" spans="1:125" x14ac:dyDescent="0.25">
      <c r="A1253" t="str">
        <f>$A$595</f>
        <v xml:space="preserve">    GAZ PJSC</v>
      </c>
      <c r="B1253" t="str">
        <f>$B$595</f>
        <v>GAZA RM Equity</v>
      </c>
      <c r="C1253" t="str">
        <f>$C$595</f>
        <v>RX072</v>
      </c>
      <c r="D1253" t="str">
        <f>$D$595</f>
        <v>FREE_CASH_FLOW_YIELD</v>
      </c>
      <c r="E1253" t="str">
        <f>$E$595</f>
        <v>Dynamic</v>
      </c>
      <c r="F1253" t="str">
        <f ca="1">_xll.BDH($B$595,$C$595,$B$675,$B$676,CONCATENATE("Per=",$B$673),"Dts=H","Dir=H",CONCATENATE("Points=",$B$674),"Sort=R","Days=A","Fill=B",CONCATENATE("FX=", $B$672) )</f>
        <v>#N/A Connection</v>
      </c>
      <c r="BN1253" t="str">
        <f>""</f>
        <v/>
      </c>
      <c r="BO1253" t="str">
        <f>""</f>
        <v/>
      </c>
      <c r="BP1253" t="str">
        <f>""</f>
        <v/>
      </c>
      <c r="BQ1253" t="str">
        <f>""</f>
        <v/>
      </c>
      <c r="BR1253" t="str">
        <f>""</f>
        <v/>
      </c>
      <c r="BS1253" t="str">
        <f>""</f>
        <v/>
      </c>
      <c r="BT1253" t="str">
        <f>""</f>
        <v/>
      </c>
      <c r="BU1253" t="str">
        <f>""</f>
        <v/>
      </c>
      <c r="BV1253" t="str">
        <f>""</f>
        <v/>
      </c>
      <c r="BW1253" t="str">
        <f>""</f>
        <v/>
      </c>
      <c r="BX1253" t="str">
        <f>""</f>
        <v/>
      </c>
      <c r="BY1253" t="str">
        <f>""</f>
        <v/>
      </c>
      <c r="BZ1253" t="str">
        <f>""</f>
        <v/>
      </c>
      <c r="CA1253" t="str">
        <f>""</f>
        <v/>
      </c>
      <c r="CB1253" t="str">
        <f>""</f>
        <v/>
      </c>
      <c r="CC1253" t="str">
        <f>""</f>
        <v/>
      </c>
      <c r="CD1253" t="str">
        <f>""</f>
        <v/>
      </c>
      <c r="CE1253" t="str">
        <f>""</f>
        <v/>
      </c>
      <c r="CF1253" t="str">
        <f>""</f>
        <v/>
      </c>
      <c r="CG1253" t="str">
        <f>""</f>
        <v/>
      </c>
      <c r="CH1253" t="str">
        <f>""</f>
        <v/>
      </c>
      <c r="CI1253" t="str">
        <f>""</f>
        <v/>
      </c>
      <c r="CJ1253" t="str">
        <f>""</f>
        <v/>
      </c>
      <c r="CK1253" t="str">
        <f>""</f>
        <v/>
      </c>
      <c r="CL1253" t="str">
        <f>""</f>
        <v/>
      </c>
      <c r="CM1253" t="str">
        <f>""</f>
        <v/>
      </c>
      <c r="CN1253" t="str">
        <f>""</f>
        <v/>
      </c>
      <c r="CO1253" t="str">
        <f>""</f>
        <v/>
      </c>
      <c r="CP1253" t="str">
        <f>""</f>
        <v/>
      </c>
      <c r="CQ1253" t="str">
        <f>""</f>
        <v/>
      </c>
      <c r="CR1253" t="str">
        <f>""</f>
        <v/>
      </c>
      <c r="CS1253" t="str">
        <f>""</f>
        <v/>
      </c>
      <c r="CT1253" t="str">
        <f>""</f>
        <v/>
      </c>
      <c r="CU1253" t="str">
        <f>""</f>
        <v/>
      </c>
      <c r="CV1253" t="str">
        <f>""</f>
        <v/>
      </c>
      <c r="CW1253" t="str">
        <f>""</f>
        <v/>
      </c>
      <c r="CX1253" t="str">
        <f>""</f>
        <v/>
      </c>
      <c r="CY1253" t="str">
        <f>""</f>
        <v/>
      </c>
      <c r="CZ1253" t="str">
        <f>""</f>
        <v/>
      </c>
      <c r="DA1253" t="str">
        <f>""</f>
        <v/>
      </c>
      <c r="DB1253" t="str">
        <f>""</f>
        <v/>
      </c>
      <c r="DC1253" t="str">
        <f>""</f>
        <v/>
      </c>
      <c r="DD1253" t="str">
        <f>""</f>
        <v/>
      </c>
      <c r="DE1253" t="str">
        <f>""</f>
        <v/>
      </c>
      <c r="DF1253" t="str">
        <f>""</f>
        <v/>
      </c>
      <c r="DG1253" t="str">
        <f>""</f>
        <v/>
      </c>
      <c r="DH1253" t="str">
        <f>""</f>
        <v/>
      </c>
      <c r="DI1253" t="str">
        <f>""</f>
        <v/>
      </c>
      <c r="DJ1253" t="str">
        <f>""</f>
        <v/>
      </c>
      <c r="DK1253" t="str">
        <f>""</f>
        <v/>
      </c>
      <c r="DL1253" t="str">
        <f>""</f>
        <v/>
      </c>
      <c r="DM1253" t="str">
        <f>""</f>
        <v/>
      </c>
      <c r="DN1253" t="str">
        <f>""</f>
        <v/>
      </c>
      <c r="DO1253" t="str">
        <f>""</f>
        <v/>
      </c>
      <c r="DP1253" t="str">
        <f>""</f>
        <v/>
      </c>
      <c r="DQ1253" t="str">
        <f>""</f>
        <v/>
      </c>
      <c r="DR1253" t="str">
        <f>""</f>
        <v/>
      </c>
      <c r="DS1253" t="str">
        <f>""</f>
        <v/>
      </c>
      <c r="DT1253" t="str">
        <f>""</f>
        <v/>
      </c>
      <c r="DU1253" t="str">
        <f>""</f>
        <v/>
      </c>
    </row>
    <row r="1254" spans="1:125" x14ac:dyDescent="0.25">
      <c r="A1254" t="str">
        <f>$A$596</f>
        <v xml:space="preserve">    Geely Automobile Holdings Ltd</v>
      </c>
      <c r="B1254" t="str">
        <f>$B$596</f>
        <v>175 HK Equity</v>
      </c>
      <c r="C1254" t="str">
        <f>$C$596</f>
        <v>RX072</v>
      </c>
      <c r="D1254" t="str">
        <f>$D$596</f>
        <v>FREE_CASH_FLOW_YIELD</v>
      </c>
      <c r="E1254" t="str">
        <f>$E$596</f>
        <v>Dynamic</v>
      </c>
      <c r="F1254" t="str">
        <f ca="1">_xll.BDH($B$596,$C$596,$B$675,$B$676,CONCATENATE("Per=",$B$673),"Dts=H","Dir=H",CONCATENATE("Points=",$B$674),"Sort=R","Days=A","Fill=B",CONCATENATE("FX=", $B$672) )</f>
        <v>#N/A Connection</v>
      </c>
      <c r="BN1254" t="str">
        <f>""</f>
        <v/>
      </c>
      <c r="BO1254" t="str">
        <f>""</f>
        <v/>
      </c>
      <c r="BP1254" t="str">
        <f>""</f>
        <v/>
      </c>
      <c r="BQ1254" t="str">
        <f>""</f>
        <v/>
      </c>
      <c r="BR1254" t="str">
        <f>""</f>
        <v/>
      </c>
      <c r="BS1254" t="str">
        <f>""</f>
        <v/>
      </c>
      <c r="BT1254" t="str">
        <f>""</f>
        <v/>
      </c>
      <c r="BU1254" t="str">
        <f>""</f>
        <v/>
      </c>
      <c r="BV1254" t="str">
        <f>""</f>
        <v/>
      </c>
      <c r="BW1254" t="str">
        <f>""</f>
        <v/>
      </c>
      <c r="BX1254" t="str">
        <f>""</f>
        <v/>
      </c>
      <c r="BY1254" t="str">
        <f>""</f>
        <v/>
      </c>
      <c r="BZ1254" t="str">
        <f>""</f>
        <v/>
      </c>
      <c r="CA1254" t="str">
        <f>""</f>
        <v/>
      </c>
      <c r="CB1254" t="str">
        <f>""</f>
        <v/>
      </c>
      <c r="CC1254" t="str">
        <f>""</f>
        <v/>
      </c>
      <c r="CD1254" t="str">
        <f>""</f>
        <v/>
      </c>
      <c r="CE1254" t="str">
        <f>""</f>
        <v/>
      </c>
      <c r="CF1254" t="str">
        <f>""</f>
        <v/>
      </c>
      <c r="CG1254" t="str">
        <f>""</f>
        <v/>
      </c>
      <c r="CH1254" t="str">
        <f>""</f>
        <v/>
      </c>
      <c r="CI1254" t="str">
        <f>""</f>
        <v/>
      </c>
      <c r="CJ1254" t="str">
        <f>""</f>
        <v/>
      </c>
      <c r="CK1254" t="str">
        <f>""</f>
        <v/>
      </c>
      <c r="CL1254" t="str">
        <f>""</f>
        <v/>
      </c>
      <c r="CM1254" t="str">
        <f>""</f>
        <v/>
      </c>
      <c r="CN1254" t="str">
        <f>""</f>
        <v/>
      </c>
      <c r="CO1254" t="str">
        <f>""</f>
        <v/>
      </c>
      <c r="CP1254" t="str">
        <f>""</f>
        <v/>
      </c>
      <c r="CQ1254" t="str">
        <f>""</f>
        <v/>
      </c>
      <c r="CR1254" t="str">
        <f>""</f>
        <v/>
      </c>
      <c r="CS1254" t="str">
        <f>""</f>
        <v/>
      </c>
      <c r="CT1254" t="str">
        <f>""</f>
        <v/>
      </c>
      <c r="CU1254" t="str">
        <f>""</f>
        <v/>
      </c>
      <c r="CV1254" t="str">
        <f>""</f>
        <v/>
      </c>
      <c r="CW1254" t="str">
        <f>""</f>
        <v/>
      </c>
      <c r="CX1254" t="str">
        <f>""</f>
        <v/>
      </c>
      <c r="CY1254" t="str">
        <f>""</f>
        <v/>
      </c>
      <c r="CZ1254" t="str">
        <f>""</f>
        <v/>
      </c>
      <c r="DA1254" t="str">
        <f>""</f>
        <v/>
      </c>
      <c r="DB1254" t="str">
        <f>""</f>
        <v/>
      </c>
      <c r="DC1254" t="str">
        <f>""</f>
        <v/>
      </c>
      <c r="DD1254" t="str">
        <f>""</f>
        <v/>
      </c>
      <c r="DE1254" t="str">
        <f>""</f>
        <v/>
      </c>
      <c r="DF1254" t="str">
        <f>""</f>
        <v/>
      </c>
      <c r="DG1254" t="str">
        <f>""</f>
        <v/>
      </c>
      <c r="DH1254" t="str">
        <f>""</f>
        <v/>
      </c>
      <c r="DI1254" t="str">
        <f>""</f>
        <v/>
      </c>
      <c r="DJ1254" t="str">
        <f>""</f>
        <v/>
      </c>
      <c r="DK1254" t="str">
        <f>""</f>
        <v/>
      </c>
      <c r="DL1254" t="str">
        <f>""</f>
        <v/>
      </c>
      <c r="DM1254" t="str">
        <f>""</f>
        <v/>
      </c>
      <c r="DN1254" t="str">
        <f>""</f>
        <v/>
      </c>
      <c r="DO1254" t="str">
        <f>""</f>
        <v/>
      </c>
      <c r="DP1254" t="str">
        <f>""</f>
        <v/>
      </c>
      <c r="DQ1254" t="str">
        <f>""</f>
        <v/>
      </c>
      <c r="DR1254" t="str">
        <f>""</f>
        <v/>
      </c>
      <c r="DS1254" t="str">
        <f>""</f>
        <v/>
      </c>
      <c r="DT1254" t="str">
        <f>""</f>
        <v/>
      </c>
      <c r="DU1254" t="str">
        <f>""</f>
        <v/>
      </c>
    </row>
    <row r="1255" spans="1:125" x14ac:dyDescent="0.25">
      <c r="A1255" t="str">
        <f>$A$597</f>
        <v xml:space="preserve">    General Motors Co</v>
      </c>
      <c r="B1255" t="str">
        <f>$B$597</f>
        <v>GM US Equity</v>
      </c>
      <c r="C1255" t="str">
        <f>$C$597</f>
        <v>RX072</v>
      </c>
      <c r="D1255" t="str">
        <f>$D$597</f>
        <v>FREE_CASH_FLOW_YIELD</v>
      </c>
      <c r="E1255" t="str">
        <f>$E$597</f>
        <v>Dynamic</v>
      </c>
      <c r="F1255" t="str">
        <f ca="1">_xll.BDH($B$597,$C$597,$B$675,$B$676,CONCATENATE("Per=",$B$673),"Dts=H","Dir=H",CONCATENATE("Points=",$B$674),"Sort=R","Days=A","Fill=B",CONCATENATE("FX=", $B$672) )</f>
        <v>#N/A Connection</v>
      </c>
      <c r="BN1255" t="str">
        <f>""</f>
        <v/>
      </c>
      <c r="BO1255" t="str">
        <f>""</f>
        <v/>
      </c>
      <c r="BP1255" t="str">
        <f>""</f>
        <v/>
      </c>
      <c r="BQ1255" t="str">
        <f>""</f>
        <v/>
      </c>
      <c r="BR1255" t="str">
        <f>""</f>
        <v/>
      </c>
      <c r="BS1255" t="str">
        <f>""</f>
        <v/>
      </c>
      <c r="BT1255" t="str">
        <f>""</f>
        <v/>
      </c>
      <c r="BU1255" t="str">
        <f>""</f>
        <v/>
      </c>
      <c r="BV1255" t="str">
        <f>""</f>
        <v/>
      </c>
      <c r="BW1255" t="str">
        <f>""</f>
        <v/>
      </c>
      <c r="BX1255" t="str">
        <f>""</f>
        <v/>
      </c>
      <c r="BY1255" t="str">
        <f>""</f>
        <v/>
      </c>
      <c r="BZ1255" t="str">
        <f>""</f>
        <v/>
      </c>
      <c r="CA1255" t="str">
        <f>""</f>
        <v/>
      </c>
      <c r="CB1255" t="str">
        <f>""</f>
        <v/>
      </c>
      <c r="CC1255" t="str">
        <f>""</f>
        <v/>
      </c>
      <c r="CD1255" t="str">
        <f>""</f>
        <v/>
      </c>
      <c r="CE1255" t="str">
        <f>""</f>
        <v/>
      </c>
      <c r="CF1255" t="str">
        <f>""</f>
        <v/>
      </c>
      <c r="CG1255" t="str">
        <f>""</f>
        <v/>
      </c>
      <c r="CH1255" t="str">
        <f>""</f>
        <v/>
      </c>
      <c r="CI1255" t="str">
        <f>""</f>
        <v/>
      </c>
      <c r="CJ1255" t="str">
        <f>""</f>
        <v/>
      </c>
      <c r="CK1255" t="str">
        <f>""</f>
        <v/>
      </c>
      <c r="CL1255" t="str">
        <f>""</f>
        <v/>
      </c>
      <c r="CM1255" t="str">
        <f>""</f>
        <v/>
      </c>
      <c r="CN1255" t="str">
        <f>""</f>
        <v/>
      </c>
      <c r="CO1255" t="str">
        <f>""</f>
        <v/>
      </c>
      <c r="CP1255" t="str">
        <f>""</f>
        <v/>
      </c>
      <c r="CQ1255" t="str">
        <f>""</f>
        <v/>
      </c>
      <c r="CR1255" t="str">
        <f>""</f>
        <v/>
      </c>
      <c r="CS1255" t="str">
        <f>""</f>
        <v/>
      </c>
      <c r="CT1255" t="str">
        <f>""</f>
        <v/>
      </c>
      <c r="CU1255" t="str">
        <f>""</f>
        <v/>
      </c>
      <c r="CV1255" t="str">
        <f>""</f>
        <v/>
      </c>
      <c r="CW1255" t="str">
        <f>""</f>
        <v/>
      </c>
      <c r="CX1255" t="str">
        <f>""</f>
        <v/>
      </c>
      <c r="CY1255" t="str">
        <f>""</f>
        <v/>
      </c>
      <c r="CZ1255" t="str">
        <f>""</f>
        <v/>
      </c>
      <c r="DA1255" t="str">
        <f>""</f>
        <v/>
      </c>
      <c r="DB1255" t="str">
        <f>""</f>
        <v/>
      </c>
      <c r="DC1255" t="str">
        <f>""</f>
        <v/>
      </c>
      <c r="DD1255" t="str">
        <f>""</f>
        <v/>
      </c>
      <c r="DE1255" t="str">
        <f>""</f>
        <v/>
      </c>
      <c r="DF1255" t="str">
        <f>""</f>
        <v/>
      </c>
      <c r="DG1255" t="str">
        <f>""</f>
        <v/>
      </c>
      <c r="DH1255" t="str">
        <f>""</f>
        <v/>
      </c>
      <c r="DI1255" t="str">
        <f>""</f>
        <v/>
      </c>
      <c r="DJ1255" t="str">
        <f>""</f>
        <v/>
      </c>
      <c r="DK1255" t="str">
        <f>""</f>
        <v/>
      </c>
      <c r="DL1255" t="str">
        <f>""</f>
        <v/>
      </c>
      <c r="DM1255" t="str">
        <f>""</f>
        <v/>
      </c>
      <c r="DN1255" t="str">
        <f>""</f>
        <v/>
      </c>
      <c r="DO1255" t="str">
        <f>""</f>
        <v/>
      </c>
      <c r="DP1255" t="str">
        <f>""</f>
        <v/>
      </c>
      <c r="DQ1255" t="str">
        <f>""</f>
        <v/>
      </c>
      <c r="DR1255" t="str">
        <f>""</f>
        <v/>
      </c>
      <c r="DS1255" t="str">
        <f>""</f>
        <v/>
      </c>
      <c r="DT1255" t="str">
        <f>""</f>
        <v/>
      </c>
      <c r="DU1255" t="str">
        <f>""</f>
        <v/>
      </c>
    </row>
    <row r="1256" spans="1:125" x14ac:dyDescent="0.25">
      <c r="A1256" t="str">
        <f>$A$598</f>
        <v xml:space="preserve">    Great Wall Motor Co Ltd</v>
      </c>
      <c r="B1256" t="str">
        <f>$B$598</f>
        <v>2333 HK Equity</v>
      </c>
      <c r="C1256" t="str">
        <f>$C$598</f>
        <v>RX072</v>
      </c>
      <c r="D1256" t="str">
        <f>$D$598</f>
        <v>FREE_CASH_FLOW_YIELD</v>
      </c>
      <c r="E1256" t="str">
        <f>$E$598</f>
        <v>Dynamic</v>
      </c>
      <c r="F1256" t="str">
        <f ca="1">_xll.BDH($B$598,$C$598,$B$675,$B$676,CONCATENATE("Per=",$B$673),"Dts=H","Dir=H",CONCATENATE("Points=",$B$674),"Sort=R","Days=A","Fill=B",CONCATENATE("FX=", $B$672) )</f>
        <v>#N/A Connection</v>
      </c>
      <c r="BN1256" t="str">
        <f>""</f>
        <v/>
      </c>
      <c r="BO1256" t="str">
        <f>""</f>
        <v/>
      </c>
      <c r="BP1256" t="str">
        <f>""</f>
        <v/>
      </c>
      <c r="BQ1256" t="str">
        <f>""</f>
        <v/>
      </c>
      <c r="BR1256" t="str">
        <f>""</f>
        <v/>
      </c>
      <c r="BS1256" t="str">
        <f>""</f>
        <v/>
      </c>
      <c r="BT1256" t="str">
        <f>""</f>
        <v/>
      </c>
      <c r="BU1256" t="str">
        <f>""</f>
        <v/>
      </c>
      <c r="BV1256" t="str">
        <f>""</f>
        <v/>
      </c>
      <c r="BW1256" t="str">
        <f>""</f>
        <v/>
      </c>
      <c r="BX1256" t="str">
        <f>""</f>
        <v/>
      </c>
      <c r="BY1256" t="str">
        <f>""</f>
        <v/>
      </c>
      <c r="BZ1256" t="str">
        <f>""</f>
        <v/>
      </c>
      <c r="CA1256" t="str">
        <f>""</f>
        <v/>
      </c>
      <c r="CB1256" t="str">
        <f>""</f>
        <v/>
      </c>
      <c r="CC1256" t="str">
        <f>""</f>
        <v/>
      </c>
      <c r="CD1256" t="str">
        <f>""</f>
        <v/>
      </c>
      <c r="CE1256" t="str">
        <f>""</f>
        <v/>
      </c>
      <c r="CF1256" t="str">
        <f>""</f>
        <v/>
      </c>
      <c r="CG1256" t="str">
        <f>""</f>
        <v/>
      </c>
      <c r="CH1256" t="str">
        <f>""</f>
        <v/>
      </c>
      <c r="CI1256" t="str">
        <f>""</f>
        <v/>
      </c>
      <c r="CJ1256" t="str">
        <f>""</f>
        <v/>
      </c>
      <c r="CK1256" t="str">
        <f>""</f>
        <v/>
      </c>
      <c r="CL1256" t="str">
        <f>""</f>
        <v/>
      </c>
      <c r="CM1256" t="str">
        <f>""</f>
        <v/>
      </c>
      <c r="CN1256" t="str">
        <f>""</f>
        <v/>
      </c>
      <c r="CO1256" t="str">
        <f>""</f>
        <v/>
      </c>
      <c r="CP1256" t="str">
        <f>""</f>
        <v/>
      </c>
      <c r="CQ1256" t="str">
        <f>""</f>
        <v/>
      </c>
      <c r="CR1256" t="str">
        <f>""</f>
        <v/>
      </c>
      <c r="CS1256" t="str">
        <f>""</f>
        <v/>
      </c>
      <c r="CT1256" t="str">
        <f>""</f>
        <v/>
      </c>
      <c r="CU1256" t="str">
        <f>""</f>
        <v/>
      </c>
      <c r="CV1256" t="str">
        <f>""</f>
        <v/>
      </c>
      <c r="CW1256" t="str">
        <f>""</f>
        <v/>
      </c>
      <c r="CX1256" t="str">
        <f>""</f>
        <v/>
      </c>
      <c r="CY1256" t="str">
        <f>""</f>
        <v/>
      </c>
      <c r="CZ1256" t="str">
        <f>""</f>
        <v/>
      </c>
      <c r="DA1256" t="str">
        <f>""</f>
        <v/>
      </c>
      <c r="DB1256" t="str">
        <f>""</f>
        <v/>
      </c>
      <c r="DC1256" t="str">
        <f>""</f>
        <v/>
      </c>
      <c r="DD1256" t="str">
        <f>""</f>
        <v/>
      </c>
      <c r="DE1256" t="str">
        <f>""</f>
        <v/>
      </c>
      <c r="DF1256" t="str">
        <f>""</f>
        <v/>
      </c>
      <c r="DG1256" t="str">
        <f>""</f>
        <v/>
      </c>
      <c r="DH1256" t="str">
        <f>""</f>
        <v/>
      </c>
      <c r="DI1256" t="str">
        <f>""</f>
        <v/>
      </c>
      <c r="DJ1256" t="str">
        <f>""</f>
        <v/>
      </c>
      <c r="DK1256" t="str">
        <f>""</f>
        <v/>
      </c>
      <c r="DL1256" t="str">
        <f>""</f>
        <v/>
      </c>
      <c r="DM1256" t="str">
        <f>""</f>
        <v/>
      </c>
      <c r="DN1256" t="str">
        <f>""</f>
        <v/>
      </c>
      <c r="DO1256" t="str">
        <f>""</f>
        <v/>
      </c>
      <c r="DP1256" t="str">
        <f>""</f>
        <v/>
      </c>
      <c r="DQ1256" t="str">
        <f>""</f>
        <v/>
      </c>
      <c r="DR1256" t="str">
        <f>""</f>
        <v/>
      </c>
      <c r="DS1256" t="str">
        <f>""</f>
        <v/>
      </c>
      <c r="DT1256" t="str">
        <f>""</f>
        <v/>
      </c>
      <c r="DU1256" t="str">
        <f>""</f>
        <v/>
      </c>
    </row>
    <row r="1257" spans="1:125" x14ac:dyDescent="0.25">
      <c r="A1257" t="str">
        <f>$A$599</f>
        <v xml:space="preserve">    Guangzhou Automobile Group Co Ltd</v>
      </c>
      <c r="B1257" t="str">
        <f>$B$599</f>
        <v>2238 HK Equity</v>
      </c>
      <c r="C1257" t="str">
        <f>$C$599</f>
        <v>RX072</v>
      </c>
      <c r="D1257" t="str">
        <f>$D$599</f>
        <v>FREE_CASH_FLOW_YIELD</v>
      </c>
      <c r="E1257" t="str">
        <f>$E$599</f>
        <v>Dynamic</v>
      </c>
      <c r="F1257" t="str">
        <f ca="1">_xll.BDH($B$599,$C$599,$B$675,$B$676,CONCATENATE("Per=",$B$673),"Dts=H","Dir=H",CONCATENATE("Points=",$B$674),"Sort=R","Days=A","Fill=B",CONCATENATE("FX=", $B$672) )</f>
        <v>#N/A Connection</v>
      </c>
      <c r="BN1257" t="str">
        <f>""</f>
        <v/>
      </c>
      <c r="BO1257" t="str">
        <f>""</f>
        <v/>
      </c>
      <c r="BP1257" t="str">
        <f>""</f>
        <v/>
      </c>
      <c r="BQ1257" t="str">
        <f>""</f>
        <v/>
      </c>
      <c r="BR1257" t="str">
        <f>""</f>
        <v/>
      </c>
      <c r="BS1257" t="str">
        <f>""</f>
        <v/>
      </c>
      <c r="BT1257" t="str">
        <f>""</f>
        <v/>
      </c>
      <c r="BU1257" t="str">
        <f>""</f>
        <v/>
      </c>
      <c r="BV1257" t="str">
        <f>""</f>
        <v/>
      </c>
      <c r="BW1257" t="str">
        <f>""</f>
        <v/>
      </c>
      <c r="BX1257" t="str">
        <f>""</f>
        <v/>
      </c>
      <c r="BY1257" t="str">
        <f>""</f>
        <v/>
      </c>
      <c r="BZ1257" t="str">
        <f>""</f>
        <v/>
      </c>
      <c r="CA1257" t="str">
        <f>""</f>
        <v/>
      </c>
      <c r="CB1257" t="str">
        <f>""</f>
        <v/>
      </c>
      <c r="CC1257" t="str">
        <f>""</f>
        <v/>
      </c>
      <c r="CD1257" t="str">
        <f>""</f>
        <v/>
      </c>
      <c r="CE1257" t="str">
        <f>""</f>
        <v/>
      </c>
      <c r="CF1257" t="str">
        <f>""</f>
        <v/>
      </c>
      <c r="CG1257" t="str">
        <f>""</f>
        <v/>
      </c>
      <c r="CH1257" t="str">
        <f>""</f>
        <v/>
      </c>
      <c r="CI1257" t="str">
        <f>""</f>
        <v/>
      </c>
      <c r="CJ1257" t="str">
        <f>""</f>
        <v/>
      </c>
      <c r="CK1257" t="str">
        <f>""</f>
        <v/>
      </c>
      <c r="CL1257" t="str">
        <f>""</f>
        <v/>
      </c>
      <c r="CM1257" t="str">
        <f>""</f>
        <v/>
      </c>
      <c r="CN1257" t="str">
        <f>""</f>
        <v/>
      </c>
      <c r="CO1257" t="str">
        <f>""</f>
        <v/>
      </c>
      <c r="CP1257" t="str">
        <f>""</f>
        <v/>
      </c>
      <c r="CQ1257" t="str">
        <f>""</f>
        <v/>
      </c>
      <c r="CR1257" t="str">
        <f>""</f>
        <v/>
      </c>
      <c r="CS1257" t="str">
        <f>""</f>
        <v/>
      </c>
      <c r="CT1257" t="str">
        <f>""</f>
        <v/>
      </c>
      <c r="CU1257" t="str">
        <f>""</f>
        <v/>
      </c>
      <c r="CV1257" t="str">
        <f>""</f>
        <v/>
      </c>
      <c r="CW1257" t="str">
        <f>""</f>
        <v/>
      </c>
      <c r="CX1257" t="str">
        <f>""</f>
        <v/>
      </c>
      <c r="CY1257" t="str">
        <f>""</f>
        <v/>
      </c>
      <c r="CZ1257" t="str">
        <f>""</f>
        <v/>
      </c>
      <c r="DA1257" t="str">
        <f>""</f>
        <v/>
      </c>
      <c r="DB1257" t="str">
        <f>""</f>
        <v/>
      </c>
      <c r="DC1257" t="str">
        <f>""</f>
        <v/>
      </c>
      <c r="DD1257" t="str">
        <f>""</f>
        <v/>
      </c>
      <c r="DE1257" t="str">
        <f>""</f>
        <v/>
      </c>
      <c r="DF1257" t="str">
        <f>""</f>
        <v/>
      </c>
      <c r="DG1257" t="str">
        <f>""</f>
        <v/>
      </c>
      <c r="DH1257" t="str">
        <f>""</f>
        <v/>
      </c>
      <c r="DI1257" t="str">
        <f>""</f>
        <v/>
      </c>
      <c r="DJ1257" t="str">
        <f>""</f>
        <v/>
      </c>
      <c r="DK1257" t="str">
        <f>""</f>
        <v/>
      </c>
      <c r="DL1257" t="str">
        <f>""</f>
        <v/>
      </c>
      <c r="DM1257" t="str">
        <f>""</f>
        <v/>
      </c>
      <c r="DN1257" t="str">
        <f>""</f>
        <v/>
      </c>
      <c r="DO1257" t="str">
        <f>""</f>
        <v/>
      </c>
      <c r="DP1257" t="str">
        <f>""</f>
        <v/>
      </c>
      <c r="DQ1257" t="str">
        <f>""</f>
        <v/>
      </c>
      <c r="DR1257" t="str">
        <f>""</f>
        <v/>
      </c>
      <c r="DS1257" t="str">
        <f>""</f>
        <v/>
      </c>
      <c r="DT1257" t="str">
        <f>""</f>
        <v/>
      </c>
      <c r="DU1257" t="str">
        <f>""</f>
        <v/>
      </c>
    </row>
    <row r="1258" spans="1:125" x14ac:dyDescent="0.25">
      <c r="A1258" t="str">
        <f>$A$600</f>
        <v xml:space="preserve">    Honda Motor Co Ltd</v>
      </c>
      <c r="B1258" t="str">
        <f>$B$600</f>
        <v>7267 JP Equity</v>
      </c>
      <c r="C1258" t="str">
        <f>$C$600</f>
        <v>RX072</v>
      </c>
      <c r="D1258" t="str">
        <f>$D$600</f>
        <v>FREE_CASH_FLOW_YIELD</v>
      </c>
      <c r="E1258" t="str">
        <f>$E$600</f>
        <v>Dynamic</v>
      </c>
      <c r="F1258" t="str">
        <f ca="1">_xll.BDH($B$600,$C$600,$B$675,$B$676,CONCATENATE("Per=",$B$673),"Dts=H","Dir=H",CONCATENATE("Points=",$B$674),"Sort=R","Days=A","Fill=B",CONCATENATE("FX=", $B$672) )</f>
        <v>#N/A Connection</v>
      </c>
      <c r="BN1258" t="str">
        <f>""</f>
        <v/>
      </c>
      <c r="BO1258" t="str">
        <f>""</f>
        <v/>
      </c>
      <c r="BP1258" t="str">
        <f>""</f>
        <v/>
      </c>
      <c r="BQ1258" t="str">
        <f>""</f>
        <v/>
      </c>
      <c r="BR1258" t="str">
        <f>""</f>
        <v/>
      </c>
      <c r="BS1258" t="str">
        <f>""</f>
        <v/>
      </c>
      <c r="BT1258" t="str">
        <f>""</f>
        <v/>
      </c>
      <c r="BU1258" t="str">
        <f>""</f>
        <v/>
      </c>
      <c r="BV1258" t="str">
        <f>""</f>
        <v/>
      </c>
      <c r="BW1258" t="str">
        <f>""</f>
        <v/>
      </c>
      <c r="BX1258" t="str">
        <f>""</f>
        <v/>
      </c>
      <c r="BY1258" t="str">
        <f>""</f>
        <v/>
      </c>
      <c r="BZ1258" t="str">
        <f>""</f>
        <v/>
      </c>
      <c r="CA1258" t="str">
        <f>""</f>
        <v/>
      </c>
      <c r="CB1258" t="str">
        <f>""</f>
        <v/>
      </c>
      <c r="CC1258" t="str">
        <f>""</f>
        <v/>
      </c>
      <c r="CD1258" t="str">
        <f>""</f>
        <v/>
      </c>
      <c r="CE1258" t="str">
        <f>""</f>
        <v/>
      </c>
      <c r="CF1258" t="str">
        <f>""</f>
        <v/>
      </c>
      <c r="CG1258" t="str">
        <f>""</f>
        <v/>
      </c>
      <c r="CH1258" t="str">
        <f>""</f>
        <v/>
      </c>
      <c r="CI1258" t="str">
        <f>""</f>
        <v/>
      </c>
      <c r="CJ1258" t="str">
        <f>""</f>
        <v/>
      </c>
      <c r="CK1258" t="str">
        <f>""</f>
        <v/>
      </c>
      <c r="CL1258" t="str">
        <f>""</f>
        <v/>
      </c>
      <c r="CM1258" t="str">
        <f>""</f>
        <v/>
      </c>
      <c r="CN1258" t="str">
        <f>""</f>
        <v/>
      </c>
      <c r="CO1258" t="str">
        <f>""</f>
        <v/>
      </c>
      <c r="CP1258" t="str">
        <f>""</f>
        <v/>
      </c>
      <c r="CQ1258" t="str">
        <f>""</f>
        <v/>
      </c>
      <c r="CR1258" t="str">
        <f>""</f>
        <v/>
      </c>
      <c r="CS1258" t="str">
        <f>""</f>
        <v/>
      </c>
      <c r="CT1258" t="str">
        <f>""</f>
        <v/>
      </c>
      <c r="CU1258" t="str">
        <f>""</f>
        <v/>
      </c>
      <c r="CV1258" t="str">
        <f>""</f>
        <v/>
      </c>
      <c r="CW1258" t="str">
        <f>""</f>
        <v/>
      </c>
      <c r="CX1258" t="str">
        <f>""</f>
        <v/>
      </c>
      <c r="CY1258" t="str">
        <f>""</f>
        <v/>
      </c>
      <c r="CZ1258" t="str">
        <f>""</f>
        <v/>
      </c>
      <c r="DA1258" t="str">
        <f>""</f>
        <v/>
      </c>
      <c r="DB1258" t="str">
        <f>""</f>
        <v/>
      </c>
      <c r="DC1258" t="str">
        <f>""</f>
        <v/>
      </c>
      <c r="DD1258" t="str">
        <f>""</f>
        <v/>
      </c>
      <c r="DE1258" t="str">
        <f>""</f>
        <v/>
      </c>
      <c r="DF1258" t="str">
        <f>""</f>
        <v/>
      </c>
      <c r="DG1258" t="str">
        <f>""</f>
        <v/>
      </c>
      <c r="DH1258" t="str">
        <f>""</f>
        <v/>
      </c>
      <c r="DI1258" t="str">
        <f>""</f>
        <v/>
      </c>
      <c r="DJ1258" t="str">
        <f>""</f>
        <v/>
      </c>
      <c r="DK1258" t="str">
        <f>""</f>
        <v/>
      </c>
      <c r="DL1258" t="str">
        <f>""</f>
        <v/>
      </c>
      <c r="DM1258" t="str">
        <f>""</f>
        <v/>
      </c>
      <c r="DN1258" t="str">
        <f>""</f>
        <v/>
      </c>
      <c r="DO1258" t="str">
        <f>""</f>
        <v/>
      </c>
      <c r="DP1258" t="str">
        <f>""</f>
        <v/>
      </c>
      <c r="DQ1258" t="str">
        <f>""</f>
        <v/>
      </c>
      <c r="DR1258" t="str">
        <f>""</f>
        <v/>
      </c>
      <c r="DS1258" t="str">
        <f>""</f>
        <v/>
      </c>
      <c r="DT1258" t="str">
        <f>""</f>
        <v/>
      </c>
      <c r="DU1258" t="str">
        <f>""</f>
        <v/>
      </c>
    </row>
    <row r="1259" spans="1:125" x14ac:dyDescent="0.25">
      <c r="A1259" t="str">
        <f>$A$601</f>
        <v xml:space="preserve">    Hyundai Motor Co</v>
      </c>
      <c r="B1259" t="str">
        <f>$B$601</f>
        <v>005380 KS Equity</v>
      </c>
      <c r="C1259" t="str">
        <f>$C$601</f>
        <v>RX072</v>
      </c>
      <c r="D1259" t="str">
        <f>$D$601</f>
        <v>FREE_CASH_FLOW_YIELD</v>
      </c>
      <c r="E1259" t="str">
        <f>$E$601</f>
        <v>Dynamic</v>
      </c>
      <c r="F1259" t="str">
        <f ca="1">_xll.BDH($B$601,$C$601,$B$675,$B$676,CONCATENATE("Per=",$B$673),"Dts=H","Dir=H",CONCATENATE("Points=",$B$674),"Sort=R","Days=A","Fill=B",CONCATENATE("FX=", $B$672) )</f>
        <v>#N/A Connection</v>
      </c>
      <c r="BN1259" t="str">
        <f>""</f>
        <v/>
      </c>
      <c r="BO1259" t="str">
        <f>""</f>
        <v/>
      </c>
      <c r="BP1259" t="str">
        <f>""</f>
        <v/>
      </c>
      <c r="BQ1259" t="str">
        <f>""</f>
        <v/>
      </c>
      <c r="BR1259" t="str">
        <f>""</f>
        <v/>
      </c>
      <c r="BS1259" t="str">
        <f>""</f>
        <v/>
      </c>
      <c r="BT1259" t="str">
        <f>""</f>
        <v/>
      </c>
      <c r="BU1259" t="str">
        <f>""</f>
        <v/>
      </c>
      <c r="BV1259" t="str">
        <f>""</f>
        <v/>
      </c>
      <c r="BW1259" t="str">
        <f>""</f>
        <v/>
      </c>
      <c r="BX1259" t="str">
        <f>""</f>
        <v/>
      </c>
      <c r="BY1259" t="str">
        <f>""</f>
        <v/>
      </c>
      <c r="BZ1259" t="str">
        <f>""</f>
        <v/>
      </c>
      <c r="CA1259" t="str">
        <f>""</f>
        <v/>
      </c>
      <c r="CB1259" t="str">
        <f>""</f>
        <v/>
      </c>
      <c r="CC1259" t="str">
        <f>""</f>
        <v/>
      </c>
      <c r="CD1259" t="str">
        <f>""</f>
        <v/>
      </c>
      <c r="CE1259" t="str">
        <f>""</f>
        <v/>
      </c>
      <c r="CF1259" t="str">
        <f>""</f>
        <v/>
      </c>
      <c r="CG1259" t="str">
        <f>""</f>
        <v/>
      </c>
      <c r="CH1259" t="str">
        <f>""</f>
        <v/>
      </c>
      <c r="CI1259" t="str">
        <f>""</f>
        <v/>
      </c>
      <c r="CJ1259" t="str">
        <f>""</f>
        <v/>
      </c>
      <c r="CK1259" t="str">
        <f>""</f>
        <v/>
      </c>
      <c r="CL1259" t="str">
        <f>""</f>
        <v/>
      </c>
      <c r="CM1259" t="str">
        <f>""</f>
        <v/>
      </c>
      <c r="CN1259" t="str">
        <f>""</f>
        <v/>
      </c>
      <c r="CO1259" t="str">
        <f>""</f>
        <v/>
      </c>
      <c r="CP1259" t="str">
        <f>""</f>
        <v/>
      </c>
      <c r="CQ1259" t="str">
        <f>""</f>
        <v/>
      </c>
      <c r="CR1259" t="str">
        <f>""</f>
        <v/>
      </c>
      <c r="CS1259" t="str">
        <f>""</f>
        <v/>
      </c>
      <c r="CT1259" t="str">
        <f>""</f>
        <v/>
      </c>
      <c r="CU1259" t="str">
        <f>""</f>
        <v/>
      </c>
      <c r="CV1259" t="str">
        <f>""</f>
        <v/>
      </c>
      <c r="CW1259" t="str">
        <f>""</f>
        <v/>
      </c>
      <c r="CX1259" t="str">
        <f>""</f>
        <v/>
      </c>
      <c r="CY1259" t="str">
        <f>""</f>
        <v/>
      </c>
      <c r="CZ1259" t="str">
        <f>""</f>
        <v/>
      </c>
      <c r="DA1259" t="str">
        <f>""</f>
        <v/>
      </c>
      <c r="DB1259" t="str">
        <f>""</f>
        <v/>
      </c>
      <c r="DC1259" t="str">
        <f>""</f>
        <v/>
      </c>
      <c r="DD1259" t="str">
        <f>""</f>
        <v/>
      </c>
      <c r="DE1259" t="str">
        <f>""</f>
        <v/>
      </c>
      <c r="DF1259" t="str">
        <f>""</f>
        <v/>
      </c>
      <c r="DG1259" t="str">
        <f>""</f>
        <v/>
      </c>
      <c r="DH1259" t="str">
        <f>""</f>
        <v/>
      </c>
      <c r="DI1259" t="str">
        <f>""</f>
        <v/>
      </c>
      <c r="DJ1259" t="str">
        <f>""</f>
        <v/>
      </c>
      <c r="DK1259" t="str">
        <f>""</f>
        <v/>
      </c>
      <c r="DL1259" t="str">
        <f>""</f>
        <v/>
      </c>
      <c r="DM1259" t="str">
        <f>""</f>
        <v/>
      </c>
      <c r="DN1259" t="str">
        <f>""</f>
        <v/>
      </c>
      <c r="DO1259" t="str">
        <f>""</f>
        <v/>
      </c>
      <c r="DP1259" t="str">
        <f>""</f>
        <v/>
      </c>
      <c r="DQ1259" t="str">
        <f>""</f>
        <v/>
      </c>
      <c r="DR1259" t="str">
        <f>""</f>
        <v/>
      </c>
      <c r="DS1259" t="str">
        <f>""</f>
        <v/>
      </c>
      <c r="DT1259" t="str">
        <f>""</f>
        <v/>
      </c>
      <c r="DU1259" t="str">
        <f>""</f>
        <v/>
      </c>
    </row>
    <row r="1260" spans="1:125" x14ac:dyDescent="0.25">
      <c r="A1260" t="str">
        <f>$A$602</f>
        <v xml:space="preserve">    Kia Motors Corp</v>
      </c>
      <c r="B1260" t="str">
        <f>$B$602</f>
        <v>000270 KS Equity</v>
      </c>
      <c r="C1260" t="str">
        <f>$C$602</f>
        <v>RX072</v>
      </c>
      <c r="D1260" t="str">
        <f>$D$602</f>
        <v>FREE_CASH_FLOW_YIELD</v>
      </c>
      <c r="E1260" t="str">
        <f>$E$602</f>
        <v>Dynamic</v>
      </c>
      <c r="F1260" t="str">
        <f ca="1">_xll.BDH($B$602,$C$602,$B$675,$B$676,CONCATENATE("Per=",$B$673),"Dts=H","Dir=H",CONCATENATE("Points=",$B$674),"Sort=R","Days=A","Fill=B",CONCATENATE("FX=", $B$672) )</f>
        <v>#N/A Connection</v>
      </c>
      <c r="BN1260" t="str">
        <f>""</f>
        <v/>
      </c>
      <c r="BO1260" t="str">
        <f>""</f>
        <v/>
      </c>
      <c r="BP1260" t="str">
        <f>""</f>
        <v/>
      </c>
      <c r="BQ1260" t="str">
        <f>""</f>
        <v/>
      </c>
      <c r="BR1260" t="str">
        <f>""</f>
        <v/>
      </c>
      <c r="BS1260" t="str">
        <f>""</f>
        <v/>
      </c>
      <c r="BT1260" t="str">
        <f>""</f>
        <v/>
      </c>
      <c r="BU1260" t="str">
        <f>""</f>
        <v/>
      </c>
      <c r="BV1260" t="str">
        <f>""</f>
        <v/>
      </c>
      <c r="BW1260" t="str">
        <f>""</f>
        <v/>
      </c>
      <c r="BX1260" t="str">
        <f>""</f>
        <v/>
      </c>
      <c r="BY1260" t="str">
        <f>""</f>
        <v/>
      </c>
      <c r="BZ1260" t="str">
        <f>""</f>
        <v/>
      </c>
      <c r="CA1260" t="str">
        <f>""</f>
        <v/>
      </c>
      <c r="CB1260" t="str">
        <f>""</f>
        <v/>
      </c>
      <c r="CC1260" t="str">
        <f>""</f>
        <v/>
      </c>
      <c r="CD1260" t="str">
        <f>""</f>
        <v/>
      </c>
      <c r="CE1260" t="str">
        <f>""</f>
        <v/>
      </c>
      <c r="CF1260" t="str">
        <f>""</f>
        <v/>
      </c>
      <c r="CG1260" t="str">
        <f>""</f>
        <v/>
      </c>
      <c r="CH1260" t="str">
        <f>""</f>
        <v/>
      </c>
      <c r="CI1260" t="str">
        <f>""</f>
        <v/>
      </c>
      <c r="CJ1260" t="str">
        <f>""</f>
        <v/>
      </c>
      <c r="CK1260" t="str">
        <f>""</f>
        <v/>
      </c>
      <c r="CL1260" t="str">
        <f>""</f>
        <v/>
      </c>
      <c r="CM1260" t="str">
        <f>""</f>
        <v/>
      </c>
      <c r="CN1260" t="str">
        <f>""</f>
        <v/>
      </c>
      <c r="CO1260" t="str">
        <f>""</f>
        <v/>
      </c>
      <c r="CP1260" t="str">
        <f>""</f>
        <v/>
      </c>
      <c r="CQ1260" t="str">
        <f>""</f>
        <v/>
      </c>
      <c r="CR1260" t="str">
        <f>""</f>
        <v/>
      </c>
      <c r="CS1260" t="str">
        <f>""</f>
        <v/>
      </c>
      <c r="CT1260" t="str">
        <f>""</f>
        <v/>
      </c>
      <c r="CU1260" t="str">
        <f>""</f>
        <v/>
      </c>
      <c r="CV1260" t="str">
        <f>""</f>
        <v/>
      </c>
      <c r="CW1260" t="str">
        <f>""</f>
        <v/>
      </c>
      <c r="CX1260" t="str">
        <f>""</f>
        <v/>
      </c>
      <c r="CY1260" t="str">
        <f>""</f>
        <v/>
      </c>
      <c r="CZ1260" t="str">
        <f>""</f>
        <v/>
      </c>
      <c r="DA1260" t="str">
        <f>""</f>
        <v/>
      </c>
      <c r="DB1260" t="str">
        <f>""</f>
        <v/>
      </c>
      <c r="DC1260" t="str">
        <f>""</f>
        <v/>
      </c>
      <c r="DD1260" t="str">
        <f>""</f>
        <v/>
      </c>
      <c r="DE1260" t="str">
        <f>""</f>
        <v/>
      </c>
      <c r="DF1260" t="str">
        <f>""</f>
        <v/>
      </c>
      <c r="DG1260" t="str">
        <f>""</f>
        <v/>
      </c>
      <c r="DH1260" t="str">
        <f>""</f>
        <v/>
      </c>
      <c r="DI1260" t="str">
        <f>""</f>
        <v/>
      </c>
      <c r="DJ1260" t="str">
        <f>""</f>
        <v/>
      </c>
      <c r="DK1260" t="str">
        <f>""</f>
        <v/>
      </c>
      <c r="DL1260" t="str">
        <f>""</f>
        <v/>
      </c>
      <c r="DM1260" t="str">
        <f>""</f>
        <v/>
      </c>
      <c r="DN1260" t="str">
        <f>""</f>
        <v/>
      </c>
      <c r="DO1260" t="str">
        <f>""</f>
        <v/>
      </c>
      <c r="DP1260" t="str">
        <f>""</f>
        <v/>
      </c>
      <c r="DQ1260" t="str">
        <f>""</f>
        <v/>
      </c>
      <c r="DR1260" t="str">
        <f>""</f>
        <v/>
      </c>
      <c r="DS1260" t="str">
        <f>""</f>
        <v/>
      </c>
      <c r="DT1260" t="str">
        <f>""</f>
        <v/>
      </c>
      <c r="DU1260" t="str">
        <f>""</f>
        <v/>
      </c>
    </row>
    <row r="1261" spans="1:125" x14ac:dyDescent="0.25">
      <c r="A1261" t="str">
        <f>$A$603</f>
        <v xml:space="preserve">    Mazda Motor Corp</v>
      </c>
      <c r="B1261" t="str">
        <f>$B$603</f>
        <v>7261 JP Equity</v>
      </c>
      <c r="C1261" t="str">
        <f>$C$603</f>
        <v>RX072</v>
      </c>
      <c r="D1261" t="str">
        <f>$D$603</f>
        <v>FREE_CASH_FLOW_YIELD</v>
      </c>
      <c r="E1261" t="str">
        <f>$E$603</f>
        <v>Dynamic</v>
      </c>
      <c r="F1261" t="str">
        <f ca="1">_xll.BDH($B$603,$C$603,$B$675,$B$676,CONCATENATE("Per=",$B$673),"Dts=H","Dir=H",CONCATENATE("Points=",$B$674),"Sort=R","Days=A","Fill=B",CONCATENATE("FX=", $B$672) )</f>
        <v>#N/A Connection</v>
      </c>
      <c r="BN1261" t="str">
        <f>""</f>
        <v/>
      </c>
      <c r="BO1261" t="str">
        <f>""</f>
        <v/>
      </c>
      <c r="BP1261" t="str">
        <f>""</f>
        <v/>
      </c>
      <c r="BQ1261" t="str">
        <f>""</f>
        <v/>
      </c>
      <c r="BR1261" t="str">
        <f>""</f>
        <v/>
      </c>
      <c r="BS1261" t="str">
        <f>""</f>
        <v/>
      </c>
      <c r="BT1261" t="str">
        <f>""</f>
        <v/>
      </c>
      <c r="BU1261" t="str">
        <f>""</f>
        <v/>
      </c>
      <c r="BV1261" t="str">
        <f>""</f>
        <v/>
      </c>
      <c r="BW1261" t="str">
        <f>""</f>
        <v/>
      </c>
      <c r="BX1261" t="str">
        <f>""</f>
        <v/>
      </c>
      <c r="BY1261" t="str">
        <f>""</f>
        <v/>
      </c>
      <c r="BZ1261" t="str">
        <f>""</f>
        <v/>
      </c>
      <c r="CA1261" t="str">
        <f>""</f>
        <v/>
      </c>
      <c r="CB1261" t="str">
        <f>""</f>
        <v/>
      </c>
      <c r="CC1261" t="str">
        <f>""</f>
        <v/>
      </c>
      <c r="CD1261" t="str">
        <f>""</f>
        <v/>
      </c>
      <c r="CE1261" t="str">
        <f>""</f>
        <v/>
      </c>
      <c r="CF1261" t="str">
        <f>""</f>
        <v/>
      </c>
      <c r="CG1261" t="str">
        <f>""</f>
        <v/>
      </c>
      <c r="CH1261" t="str">
        <f>""</f>
        <v/>
      </c>
      <c r="CI1261" t="str">
        <f>""</f>
        <v/>
      </c>
      <c r="CJ1261" t="str">
        <f>""</f>
        <v/>
      </c>
      <c r="CK1261" t="str">
        <f>""</f>
        <v/>
      </c>
      <c r="CL1261" t="str">
        <f>""</f>
        <v/>
      </c>
      <c r="CM1261" t="str">
        <f>""</f>
        <v/>
      </c>
      <c r="CN1261" t="str">
        <f>""</f>
        <v/>
      </c>
      <c r="CO1261" t="str">
        <f>""</f>
        <v/>
      </c>
      <c r="CP1261" t="str">
        <f>""</f>
        <v/>
      </c>
      <c r="CQ1261" t="str">
        <f>""</f>
        <v/>
      </c>
      <c r="CR1261" t="str">
        <f>""</f>
        <v/>
      </c>
      <c r="CS1261" t="str">
        <f>""</f>
        <v/>
      </c>
      <c r="CT1261" t="str">
        <f>""</f>
        <v/>
      </c>
      <c r="CU1261" t="str">
        <f>""</f>
        <v/>
      </c>
      <c r="CV1261" t="str">
        <f>""</f>
        <v/>
      </c>
      <c r="CW1261" t="str">
        <f>""</f>
        <v/>
      </c>
      <c r="CX1261" t="str">
        <f>""</f>
        <v/>
      </c>
      <c r="CY1261" t="str">
        <f>""</f>
        <v/>
      </c>
      <c r="CZ1261" t="str">
        <f>""</f>
        <v/>
      </c>
      <c r="DA1261" t="str">
        <f>""</f>
        <v/>
      </c>
      <c r="DB1261" t="str">
        <f>""</f>
        <v/>
      </c>
      <c r="DC1261" t="str">
        <f>""</f>
        <v/>
      </c>
      <c r="DD1261" t="str">
        <f>""</f>
        <v/>
      </c>
      <c r="DE1261" t="str">
        <f>""</f>
        <v/>
      </c>
      <c r="DF1261" t="str">
        <f>""</f>
        <v/>
      </c>
      <c r="DG1261" t="str">
        <f>""</f>
        <v/>
      </c>
      <c r="DH1261" t="str">
        <f>""</f>
        <v/>
      </c>
      <c r="DI1261" t="str">
        <f>""</f>
        <v/>
      </c>
      <c r="DJ1261" t="str">
        <f>""</f>
        <v/>
      </c>
      <c r="DK1261" t="str">
        <f>""</f>
        <v/>
      </c>
      <c r="DL1261" t="str">
        <f>""</f>
        <v/>
      </c>
      <c r="DM1261" t="str">
        <f>""</f>
        <v/>
      </c>
      <c r="DN1261" t="str">
        <f>""</f>
        <v/>
      </c>
      <c r="DO1261" t="str">
        <f>""</f>
        <v/>
      </c>
      <c r="DP1261" t="str">
        <f>""</f>
        <v/>
      </c>
      <c r="DQ1261" t="str">
        <f>""</f>
        <v/>
      </c>
      <c r="DR1261" t="str">
        <f>""</f>
        <v/>
      </c>
      <c r="DS1261" t="str">
        <f>""</f>
        <v/>
      </c>
      <c r="DT1261" t="str">
        <f>""</f>
        <v/>
      </c>
      <c r="DU1261" t="str">
        <f>""</f>
        <v/>
      </c>
    </row>
    <row r="1262" spans="1:125" x14ac:dyDescent="0.25">
      <c r="A1262" t="str">
        <f>$A$604</f>
        <v xml:space="preserve">    Mitsubishi Motors Corp</v>
      </c>
      <c r="B1262" t="str">
        <f>$B$604</f>
        <v>7211 JP Equity</v>
      </c>
      <c r="C1262" t="str">
        <f>$C$604</f>
        <v>RX072</v>
      </c>
      <c r="D1262" t="str">
        <f>$D$604</f>
        <v>FREE_CASH_FLOW_YIELD</v>
      </c>
      <c r="E1262" t="str">
        <f>$E$604</f>
        <v>Dynamic</v>
      </c>
      <c r="F1262" t="str">
        <f ca="1">_xll.BDH($B$604,$C$604,$B$675,$B$676,CONCATENATE("Per=",$B$673),"Dts=H","Dir=H",CONCATENATE("Points=",$B$674),"Sort=R","Days=A","Fill=B",CONCATENATE("FX=", $B$672) )</f>
        <v>#N/A Connection</v>
      </c>
      <c r="BN1262" t="str">
        <f>""</f>
        <v/>
      </c>
      <c r="BO1262" t="str">
        <f>""</f>
        <v/>
      </c>
      <c r="BP1262" t="str">
        <f>""</f>
        <v/>
      </c>
      <c r="BQ1262" t="str">
        <f>""</f>
        <v/>
      </c>
      <c r="BR1262" t="str">
        <f>""</f>
        <v/>
      </c>
      <c r="BS1262" t="str">
        <f>""</f>
        <v/>
      </c>
      <c r="BT1262" t="str">
        <f>""</f>
        <v/>
      </c>
      <c r="BU1262" t="str">
        <f>""</f>
        <v/>
      </c>
      <c r="BV1262" t="str">
        <f>""</f>
        <v/>
      </c>
      <c r="BW1262" t="str">
        <f>""</f>
        <v/>
      </c>
      <c r="BX1262" t="str">
        <f>""</f>
        <v/>
      </c>
      <c r="BY1262" t="str">
        <f>""</f>
        <v/>
      </c>
      <c r="BZ1262" t="str">
        <f>""</f>
        <v/>
      </c>
      <c r="CA1262" t="str">
        <f>""</f>
        <v/>
      </c>
      <c r="CB1262" t="str">
        <f>""</f>
        <v/>
      </c>
      <c r="CC1262" t="str">
        <f>""</f>
        <v/>
      </c>
      <c r="CD1262" t="str">
        <f>""</f>
        <v/>
      </c>
      <c r="CE1262" t="str">
        <f>""</f>
        <v/>
      </c>
      <c r="CF1262" t="str">
        <f>""</f>
        <v/>
      </c>
      <c r="CG1262" t="str">
        <f>""</f>
        <v/>
      </c>
      <c r="CH1262" t="str">
        <f>""</f>
        <v/>
      </c>
      <c r="CI1262" t="str">
        <f>""</f>
        <v/>
      </c>
      <c r="CJ1262" t="str">
        <f>""</f>
        <v/>
      </c>
      <c r="CK1262" t="str">
        <f>""</f>
        <v/>
      </c>
      <c r="CL1262" t="str">
        <f>""</f>
        <v/>
      </c>
      <c r="CM1262" t="str">
        <f>""</f>
        <v/>
      </c>
      <c r="CN1262" t="str">
        <f>""</f>
        <v/>
      </c>
      <c r="CO1262" t="str">
        <f>""</f>
        <v/>
      </c>
      <c r="CP1262" t="str">
        <f>""</f>
        <v/>
      </c>
      <c r="CQ1262" t="str">
        <f>""</f>
        <v/>
      </c>
      <c r="CR1262" t="str">
        <f>""</f>
        <v/>
      </c>
      <c r="CS1262" t="str">
        <f>""</f>
        <v/>
      </c>
      <c r="CT1262" t="str">
        <f>""</f>
        <v/>
      </c>
      <c r="CU1262" t="str">
        <f>""</f>
        <v/>
      </c>
      <c r="CV1262" t="str">
        <f>""</f>
        <v/>
      </c>
      <c r="CW1262" t="str">
        <f>""</f>
        <v/>
      </c>
      <c r="CX1262" t="str">
        <f>""</f>
        <v/>
      </c>
      <c r="CY1262" t="str">
        <f>""</f>
        <v/>
      </c>
      <c r="CZ1262" t="str">
        <f>""</f>
        <v/>
      </c>
      <c r="DA1262" t="str">
        <f>""</f>
        <v/>
      </c>
      <c r="DB1262" t="str">
        <f>""</f>
        <v/>
      </c>
      <c r="DC1262" t="str">
        <f>""</f>
        <v/>
      </c>
      <c r="DD1262" t="str">
        <f>""</f>
        <v/>
      </c>
      <c r="DE1262" t="str">
        <f>""</f>
        <v/>
      </c>
      <c r="DF1262" t="str">
        <f>""</f>
        <v/>
      </c>
      <c r="DG1262" t="str">
        <f>""</f>
        <v/>
      </c>
      <c r="DH1262" t="str">
        <f>""</f>
        <v/>
      </c>
      <c r="DI1262" t="str">
        <f>""</f>
        <v/>
      </c>
      <c r="DJ1262" t="str">
        <f>""</f>
        <v/>
      </c>
      <c r="DK1262" t="str">
        <f>""</f>
        <v/>
      </c>
      <c r="DL1262" t="str">
        <f>""</f>
        <v/>
      </c>
      <c r="DM1262" t="str">
        <f>""</f>
        <v/>
      </c>
      <c r="DN1262" t="str">
        <f>""</f>
        <v/>
      </c>
      <c r="DO1262" t="str">
        <f>""</f>
        <v/>
      </c>
      <c r="DP1262" t="str">
        <f>""</f>
        <v/>
      </c>
      <c r="DQ1262" t="str">
        <f>""</f>
        <v/>
      </c>
      <c r="DR1262" t="str">
        <f>""</f>
        <v/>
      </c>
      <c r="DS1262" t="str">
        <f>""</f>
        <v/>
      </c>
      <c r="DT1262" t="str">
        <f>""</f>
        <v/>
      </c>
      <c r="DU1262" t="str">
        <f>""</f>
        <v/>
      </c>
    </row>
    <row r="1263" spans="1:125" x14ac:dyDescent="0.25">
      <c r="A1263" t="str">
        <f>$A$605</f>
        <v xml:space="preserve">    Nissan Motor Co Ltd</v>
      </c>
      <c r="B1263" t="str">
        <f>$B$605</f>
        <v>7201 JP Equity</v>
      </c>
      <c r="C1263" t="str">
        <f>$C$605</f>
        <v>RX072</v>
      </c>
      <c r="D1263" t="str">
        <f>$D$605</f>
        <v>FREE_CASH_FLOW_YIELD</v>
      </c>
      <c r="E1263" t="str">
        <f>$E$605</f>
        <v>Dynamic</v>
      </c>
      <c r="F1263" t="str">
        <f ca="1">_xll.BDH($B$605,$C$605,$B$675,$B$676,CONCATENATE("Per=",$B$673),"Dts=H","Dir=H",CONCATENATE("Points=",$B$674),"Sort=R","Days=A","Fill=B",CONCATENATE("FX=", $B$672) )</f>
        <v>#N/A Connection</v>
      </c>
      <c r="BN1263" t="str">
        <f>""</f>
        <v/>
      </c>
      <c r="BO1263" t="str">
        <f>""</f>
        <v/>
      </c>
      <c r="BP1263" t="str">
        <f>""</f>
        <v/>
      </c>
      <c r="BQ1263" t="str">
        <f>""</f>
        <v/>
      </c>
      <c r="BR1263" t="str">
        <f>""</f>
        <v/>
      </c>
      <c r="BS1263" t="str">
        <f>""</f>
        <v/>
      </c>
      <c r="BT1263" t="str">
        <f>""</f>
        <v/>
      </c>
      <c r="BU1263" t="str">
        <f>""</f>
        <v/>
      </c>
      <c r="BV1263" t="str">
        <f>""</f>
        <v/>
      </c>
      <c r="BW1263" t="str">
        <f>""</f>
        <v/>
      </c>
      <c r="BX1263" t="str">
        <f>""</f>
        <v/>
      </c>
      <c r="BY1263" t="str">
        <f>""</f>
        <v/>
      </c>
      <c r="BZ1263" t="str">
        <f>""</f>
        <v/>
      </c>
      <c r="CA1263" t="str">
        <f>""</f>
        <v/>
      </c>
      <c r="CB1263" t="str">
        <f>""</f>
        <v/>
      </c>
      <c r="CC1263" t="str">
        <f>""</f>
        <v/>
      </c>
      <c r="CD1263" t="str">
        <f>""</f>
        <v/>
      </c>
      <c r="CE1263" t="str">
        <f>""</f>
        <v/>
      </c>
      <c r="CF1263" t="str">
        <f>""</f>
        <v/>
      </c>
      <c r="CG1263" t="str">
        <f>""</f>
        <v/>
      </c>
      <c r="CH1263" t="str">
        <f>""</f>
        <v/>
      </c>
      <c r="CI1263" t="str">
        <f>""</f>
        <v/>
      </c>
      <c r="CJ1263" t="str">
        <f>""</f>
        <v/>
      </c>
      <c r="CK1263" t="str">
        <f>""</f>
        <v/>
      </c>
      <c r="CL1263" t="str">
        <f>""</f>
        <v/>
      </c>
      <c r="CM1263" t="str">
        <f>""</f>
        <v/>
      </c>
      <c r="CN1263" t="str">
        <f>""</f>
        <v/>
      </c>
      <c r="CO1263" t="str">
        <f>""</f>
        <v/>
      </c>
      <c r="CP1263" t="str">
        <f>""</f>
        <v/>
      </c>
      <c r="CQ1263" t="str">
        <f>""</f>
        <v/>
      </c>
      <c r="CR1263" t="str">
        <f>""</f>
        <v/>
      </c>
      <c r="CS1263" t="str">
        <f>""</f>
        <v/>
      </c>
      <c r="CT1263" t="str">
        <f>""</f>
        <v/>
      </c>
      <c r="CU1263" t="str">
        <f>""</f>
        <v/>
      </c>
      <c r="CV1263" t="str">
        <f>""</f>
        <v/>
      </c>
      <c r="CW1263" t="str">
        <f>""</f>
        <v/>
      </c>
      <c r="CX1263" t="str">
        <f>""</f>
        <v/>
      </c>
      <c r="CY1263" t="str">
        <f>""</f>
        <v/>
      </c>
      <c r="CZ1263" t="str">
        <f>""</f>
        <v/>
      </c>
      <c r="DA1263" t="str">
        <f>""</f>
        <v/>
      </c>
      <c r="DB1263" t="str">
        <f>""</f>
        <v/>
      </c>
      <c r="DC1263" t="str">
        <f>""</f>
        <v/>
      </c>
      <c r="DD1263" t="str">
        <f>""</f>
        <v/>
      </c>
      <c r="DE1263" t="str">
        <f>""</f>
        <v/>
      </c>
      <c r="DF1263" t="str">
        <f>""</f>
        <v/>
      </c>
      <c r="DG1263" t="str">
        <f>""</f>
        <v/>
      </c>
      <c r="DH1263" t="str">
        <f>""</f>
        <v/>
      </c>
      <c r="DI1263" t="str">
        <f>""</f>
        <v/>
      </c>
      <c r="DJ1263" t="str">
        <f>""</f>
        <v/>
      </c>
      <c r="DK1263" t="str">
        <f>""</f>
        <v/>
      </c>
      <c r="DL1263" t="str">
        <f>""</f>
        <v/>
      </c>
      <c r="DM1263" t="str">
        <f>""</f>
        <v/>
      </c>
      <c r="DN1263" t="str">
        <f>""</f>
        <v/>
      </c>
      <c r="DO1263" t="str">
        <f>""</f>
        <v/>
      </c>
      <c r="DP1263" t="str">
        <f>""</f>
        <v/>
      </c>
      <c r="DQ1263" t="str">
        <f>""</f>
        <v/>
      </c>
      <c r="DR1263" t="str">
        <f>""</f>
        <v/>
      </c>
      <c r="DS1263" t="str">
        <f>""</f>
        <v/>
      </c>
      <c r="DT1263" t="str">
        <f>""</f>
        <v/>
      </c>
      <c r="DU1263" t="str">
        <f>""</f>
        <v/>
      </c>
    </row>
    <row r="1264" spans="1:125" x14ac:dyDescent="0.25">
      <c r="A1264" t="str">
        <f>$A$606</f>
        <v xml:space="preserve">    Peugeot SA</v>
      </c>
      <c r="B1264" t="str">
        <f>$B$606</f>
        <v>UG FP Equity</v>
      </c>
      <c r="C1264" t="str">
        <f>$C$606</f>
        <v>RX072</v>
      </c>
      <c r="D1264" t="str">
        <f>$D$606</f>
        <v>FREE_CASH_FLOW_YIELD</v>
      </c>
      <c r="E1264" t="str">
        <f>$E$606</f>
        <v>Dynamic</v>
      </c>
      <c r="F1264" t="str">
        <f ca="1">_xll.BDH($B$606,$C$606,$B$675,$B$676,CONCATENATE("Per=",$B$673),"Dts=H","Dir=H",CONCATENATE("Points=",$B$674),"Sort=R","Days=A","Fill=B",CONCATENATE("FX=", $B$672) )</f>
        <v>#N/A Connection</v>
      </c>
      <c r="BN1264" t="str">
        <f>""</f>
        <v/>
      </c>
      <c r="BO1264" t="str">
        <f>""</f>
        <v/>
      </c>
      <c r="BP1264" t="str">
        <f>""</f>
        <v/>
      </c>
      <c r="BQ1264" t="str">
        <f>""</f>
        <v/>
      </c>
      <c r="BR1264" t="str">
        <f>""</f>
        <v/>
      </c>
      <c r="BS1264" t="str">
        <f>""</f>
        <v/>
      </c>
      <c r="BT1264" t="str">
        <f>""</f>
        <v/>
      </c>
      <c r="BU1264" t="str">
        <f>""</f>
        <v/>
      </c>
      <c r="BV1264" t="str">
        <f>""</f>
        <v/>
      </c>
      <c r="BW1264" t="str">
        <f>""</f>
        <v/>
      </c>
      <c r="BX1264" t="str">
        <f>""</f>
        <v/>
      </c>
      <c r="BY1264" t="str">
        <f>""</f>
        <v/>
      </c>
      <c r="BZ1264" t="str">
        <f>""</f>
        <v/>
      </c>
      <c r="CA1264" t="str">
        <f>""</f>
        <v/>
      </c>
      <c r="CB1264" t="str">
        <f>""</f>
        <v/>
      </c>
      <c r="CC1264" t="str">
        <f>""</f>
        <v/>
      </c>
      <c r="CD1264" t="str">
        <f>""</f>
        <v/>
      </c>
      <c r="CE1264" t="str">
        <f>""</f>
        <v/>
      </c>
      <c r="CF1264" t="str">
        <f>""</f>
        <v/>
      </c>
      <c r="CG1264" t="str">
        <f>""</f>
        <v/>
      </c>
      <c r="CH1264" t="str">
        <f>""</f>
        <v/>
      </c>
      <c r="CI1264" t="str">
        <f>""</f>
        <v/>
      </c>
      <c r="CJ1264" t="str">
        <f>""</f>
        <v/>
      </c>
      <c r="CK1264" t="str">
        <f>""</f>
        <v/>
      </c>
      <c r="CL1264" t="str">
        <f>""</f>
        <v/>
      </c>
      <c r="CM1264" t="str">
        <f>""</f>
        <v/>
      </c>
      <c r="CN1264" t="str">
        <f>""</f>
        <v/>
      </c>
      <c r="CO1264" t="str">
        <f>""</f>
        <v/>
      </c>
      <c r="CP1264" t="str">
        <f>""</f>
        <v/>
      </c>
      <c r="CQ1264" t="str">
        <f>""</f>
        <v/>
      </c>
      <c r="CR1264" t="str">
        <f>""</f>
        <v/>
      </c>
      <c r="CS1264" t="str">
        <f>""</f>
        <v/>
      </c>
      <c r="CT1264" t="str">
        <f>""</f>
        <v/>
      </c>
      <c r="CU1264" t="str">
        <f>""</f>
        <v/>
      </c>
      <c r="CV1264" t="str">
        <f>""</f>
        <v/>
      </c>
      <c r="CW1264" t="str">
        <f>""</f>
        <v/>
      </c>
      <c r="CX1264" t="str">
        <f>""</f>
        <v/>
      </c>
      <c r="CY1264" t="str">
        <f>""</f>
        <v/>
      </c>
      <c r="CZ1264" t="str">
        <f>""</f>
        <v/>
      </c>
      <c r="DA1264" t="str">
        <f>""</f>
        <v/>
      </c>
      <c r="DB1264" t="str">
        <f>""</f>
        <v/>
      </c>
      <c r="DC1264" t="str">
        <f>""</f>
        <v/>
      </c>
      <c r="DD1264" t="str">
        <f>""</f>
        <v/>
      </c>
      <c r="DE1264" t="str">
        <f>""</f>
        <v/>
      </c>
      <c r="DF1264" t="str">
        <f>""</f>
        <v/>
      </c>
      <c r="DG1264" t="str">
        <f>""</f>
        <v/>
      </c>
      <c r="DH1264" t="str">
        <f>""</f>
        <v/>
      </c>
      <c r="DI1264" t="str">
        <f>""</f>
        <v/>
      </c>
      <c r="DJ1264" t="str">
        <f>""</f>
        <v/>
      </c>
      <c r="DK1264" t="str">
        <f>""</f>
        <v/>
      </c>
      <c r="DL1264" t="str">
        <f>""</f>
        <v/>
      </c>
      <c r="DM1264" t="str">
        <f>""</f>
        <v/>
      </c>
      <c r="DN1264" t="str">
        <f>""</f>
        <v/>
      </c>
      <c r="DO1264" t="str">
        <f>""</f>
        <v/>
      </c>
      <c r="DP1264" t="str">
        <f>""</f>
        <v/>
      </c>
      <c r="DQ1264" t="str">
        <f>""</f>
        <v/>
      </c>
      <c r="DR1264" t="str">
        <f>""</f>
        <v/>
      </c>
      <c r="DS1264" t="str">
        <f>""</f>
        <v/>
      </c>
      <c r="DT1264" t="str">
        <f>""</f>
        <v/>
      </c>
      <c r="DU1264" t="str">
        <f>""</f>
        <v/>
      </c>
    </row>
    <row r="1265" spans="1:125" x14ac:dyDescent="0.25">
      <c r="A1265" t="str">
        <f>$A$607</f>
        <v xml:space="preserve">    Renault SA</v>
      </c>
      <c r="B1265" t="str">
        <f>$B$607</f>
        <v>RNO FP Equity</v>
      </c>
      <c r="C1265" t="str">
        <f>$C$607</f>
        <v>RX072</v>
      </c>
      <c r="D1265" t="str">
        <f>$D$607</f>
        <v>FREE_CASH_FLOW_YIELD</v>
      </c>
      <c r="E1265" t="str">
        <f>$E$607</f>
        <v>Dynamic</v>
      </c>
      <c r="F1265" t="str">
        <f ca="1">_xll.BDH($B$607,$C$607,$B$675,$B$676,CONCATENATE("Per=",$B$673),"Dts=H","Dir=H",CONCATENATE("Points=",$B$674),"Sort=R","Days=A","Fill=B",CONCATENATE("FX=", $B$672) )</f>
        <v>#N/A Connection</v>
      </c>
      <c r="BN1265" t="str">
        <f>""</f>
        <v/>
      </c>
      <c r="BO1265" t="str">
        <f>""</f>
        <v/>
      </c>
      <c r="BP1265" t="str">
        <f>""</f>
        <v/>
      </c>
      <c r="BQ1265" t="str">
        <f>""</f>
        <v/>
      </c>
      <c r="BR1265" t="str">
        <f>""</f>
        <v/>
      </c>
      <c r="BS1265" t="str">
        <f>""</f>
        <v/>
      </c>
      <c r="BT1265" t="str">
        <f>""</f>
        <v/>
      </c>
      <c r="BU1265" t="str">
        <f>""</f>
        <v/>
      </c>
      <c r="BV1265" t="str">
        <f>""</f>
        <v/>
      </c>
      <c r="BW1265" t="str">
        <f>""</f>
        <v/>
      </c>
      <c r="BX1265" t="str">
        <f>""</f>
        <v/>
      </c>
      <c r="BY1265" t="str">
        <f>""</f>
        <v/>
      </c>
      <c r="BZ1265" t="str">
        <f>""</f>
        <v/>
      </c>
      <c r="CA1265" t="str">
        <f>""</f>
        <v/>
      </c>
      <c r="CB1265" t="str">
        <f>""</f>
        <v/>
      </c>
      <c r="CC1265" t="str">
        <f>""</f>
        <v/>
      </c>
      <c r="CD1265" t="str">
        <f>""</f>
        <v/>
      </c>
      <c r="CE1265" t="str">
        <f>""</f>
        <v/>
      </c>
      <c r="CF1265" t="str">
        <f>""</f>
        <v/>
      </c>
      <c r="CG1265" t="str">
        <f>""</f>
        <v/>
      </c>
      <c r="CH1265" t="str">
        <f>""</f>
        <v/>
      </c>
      <c r="CI1265" t="str">
        <f>""</f>
        <v/>
      </c>
      <c r="CJ1265" t="str">
        <f>""</f>
        <v/>
      </c>
      <c r="CK1265" t="str">
        <f>""</f>
        <v/>
      </c>
      <c r="CL1265" t="str">
        <f>""</f>
        <v/>
      </c>
      <c r="CM1265" t="str">
        <f>""</f>
        <v/>
      </c>
      <c r="CN1265" t="str">
        <f>""</f>
        <v/>
      </c>
      <c r="CO1265" t="str">
        <f>""</f>
        <v/>
      </c>
      <c r="CP1265" t="str">
        <f>""</f>
        <v/>
      </c>
      <c r="CQ1265" t="str">
        <f>""</f>
        <v/>
      </c>
      <c r="CR1265" t="str">
        <f>""</f>
        <v/>
      </c>
      <c r="CS1265" t="str">
        <f>""</f>
        <v/>
      </c>
      <c r="CT1265" t="str">
        <f>""</f>
        <v/>
      </c>
      <c r="CU1265" t="str">
        <f>""</f>
        <v/>
      </c>
      <c r="CV1265" t="str">
        <f>""</f>
        <v/>
      </c>
      <c r="CW1265" t="str">
        <f>""</f>
        <v/>
      </c>
      <c r="CX1265" t="str">
        <f>""</f>
        <v/>
      </c>
      <c r="CY1265" t="str">
        <f>""</f>
        <v/>
      </c>
      <c r="CZ1265" t="str">
        <f>""</f>
        <v/>
      </c>
      <c r="DA1265" t="str">
        <f>""</f>
        <v/>
      </c>
      <c r="DB1265" t="str">
        <f>""</f>
        <v/>
      </c>
      <c r="DC1265" t="str">
        <f>""</f>
        <v/>
      </c>
      <c r="DD1265" t="str">
        <f>""</f>
        <v/>
      </c>
      <c r="DE1265" t="str">
        <f>""</f>
        <v/>
      </c>
      <c r="DF1265" t="str">
        <f>""</f>
        <v/>
      </c>
      <c r="DG1265" t="str">
        <f>""</f>
        <v/>
      </c>
      <c r="DH1265" t="str">
        <f>""</f>
        <v/>
      </c>
      <c r="DI1265" t="str">
        <f>""</f>
        <v/>
      </c>
      <c r="DJ1265" t="str">
        <f>""</f>
        <v/>
      </c>
      <c r="DK1265" t="str">
        <f>""</f>
        <v/>
      </c>
      <c r="DL1265" t="str">
        <f>""</f>
        <v/>
      </c>
      <c r="DM1265" t="str">
        <f>""</f>
        <v/>
      </c>
      <c r="DN1265" t="str">
        <f>""</f>
        <v/>
      </c>
      <c r="DO1265" t="str">
        <f>""</f>
        <v/>
      </c>
      <c r="DP1265" t="str">
        <f>""</f>
        <v/>
      </c>
      <c r="DQ1265" t="str">
        <f>""</f>
        <v/>
      </c>
      <c r="DR1265" t="str">
        <f>""</f>
        <v/>
      </c>
      <c r="DS1265" t="str">
        <f>""</f>
        <v/>
      </c>
      <c r="DT1265" t="str">
        <f>""</f>
        <v/>
      </c>
      <c r="DU1265" t="str">
        <f>""</f>
        <v/>
      </c>
    </row>
    <row r="1266" spans="1:125" x14ac:dyDescent="0.25">
      <c r="A1266" t="str">
        <f>$A$608</f>
        <v xml:space="preserve">    SAIC Motor Corp Ltd</v>
      </c>
      <c r="B1266" t="str">
        <f>$B$608</f>
        <v>600104 CH Equity</v>
      </c>
      <c r="C1266" t="str">
        <f>$C$608</f>
        <v>RX072</v>
      </c>
      <c r="D1266" t="str">
        <f>$D$608</f>
        <v>FREE_CASH_FLOW_YIELD</v>
      </c>
      <c r="E1266" t="str">
        <f>$E$608</f>
        <v>Dynamic</v>
      </c>
      <c r="F1266" t="str">
        <f ca="1">_xll.BDH($B$608,$C$608,$B$675,$B$676,CONCATENATE("Per=",$B$673),"Dts=H","Dir=H",CONCATENATE("Points=",$B$674),"Sort=R","Days=A","Fill=B",CONCATENATE("FX=", $B$672) )</f>
        <v>#N/A Connection</v>
      </c>
      <c r="BN1266" t="str">
        <f>""</f>
        <v/>
      </c>
      <c r="BO1266" t="str">
        <f>""</f>
        <v/>
      </c>
      <c r="BP1266" t="str">
        <f>""</f>
        <v/>
      </c>
      <c r="BQ1266" t="str">
        <f>""</f>
        <v/>
      </c>
      <c r="BR1266" t="str">
        <f>""</f>
        <v/>
      </c>
      <c r="BS1266" t="str">
        <f>""</f>
        <v/>
      </c>
      <c r="BT1266" t="str">
        <f>""</f>
        <v/>
      </c>
      <c r="BU1266" t="str">
        <f>""</f>
        <v/>
      </c>
      <c r="BV1266" t="str">
        <f>""</f>
        <v/>
      </c>
      <c r="BW1266" t="str">
        <f>""</f>
        <v/>
      </c>
      <c r="BX1266" t="str">
        <f>""</f>
        <v/>
      </c>
      <c r="BY1266" t="str">
        <f>""</f>
        <v/>
      </c>
      <c r="BZ1266" t="str">
        <f>""</f>
        <v/>
      </c>
      <c r="CA1266" t="str">
        <f>""</f>
        <v/>
      </c>
      <c r="CB1266" t="str">
        <f>""</f>
        <v/>
      </c>
      <c r="CC1266" t="str">
        <f>""</f>
        <v/>
      </c>
      <c r="CD1266" t="str">
        <f>""</f>
        <v/>
      </c>
      <c r="CE1266" t="str">
        <f>""</f>
        <v/>
      </c>
      <c r="CF1266" t="str">
        <f>""</f>
        <v/>
      </c>
      <c r="CG1266" t="str">
        <f>""</f>
        <v/>
      </c>
      <c r="CH1266" t="str">
        <f>""</f>
        <v/>
      </c>
      <c r="CI1266" t="str">
        <f>""</f>
        <v/>
      </c>
      <c r="CJ1266" t="str">
        <f>""</f>
        <v/>
      </c>
      <c r="CK1266" t="str">
        <f>""</f>
        <v/>
      </c>
      <c r="CL1266" t="str">
        <f>""</f>
        <v/>
      </c>
      <c r="CM1266" t="str">
        <f>""</f>
        <v/>
      </c>
      <c r="CN1266" t="str">
        <f>""</f>
        <v/>
      </c>
      <c r="CO1266" t="str">
        <f>""</f>
        <v/>
      </c>
      <c r="CP1266" t="str">
        <f>""</f>
        <v/>
      </c>
      <c r="CQ1266" t="str">
        <f>""</f>
        <v/>
      </c>
      <c r="CR1266" t="str">
        <f>""</f>
        <v/>
      </c>
      <c r="CS1266" t="str">
        <f>""</f>
        <v/>
      </c>
      <c r="CT1266" t="str">
        <f>""</f>
        <v/>
      </c>
      <c r="CU1266" t="str">
        <f>""</f>
        <v/>
      </c>
      <c r="CV1266" t="str">
        <f>""</f>
        <v/>
      </c>
      <c r="CW1266" t="str">
        <f>""</f>
        <v/>
      </c>
      <c r="CX1266" t="str">
        <f>""</f>
        <v/>
      </c>
      <c r="CY1266" t="str">
        <f>""</f>
        <v/>
      </c>
      <c r="CZ1266" t="str">
        <f>""</f>
        <v/>
      </c>
      <c r="DA1266" t="str">
        <f>""</f>
        <v/>
      </c>
      <c r="DB1266" t="str">
        <f>""</f>
        <v/>
      </c>
      <c r="DC1266" t="str">
        <f>""</f>
        <v/>
      </c>
      <c r="DD1266" t="str">
        <f>""</f>
        <v/>
      </c>
      <c r="DE1266" t="str">
        <f>""</f>
        <v/>
      </c>
      <c r="DF1266" t="str">
        <f>""</f>
        <v/>
      </c>
      <c r="DG1266" t="str">
        <f>""</f>
        <v/>
      </c>
      <c r="DH1266" t="str">
        <f>""</f>
        <v/>
      </c>
      <c r="DI1266" t="str">
        <f>""</f>
        <v/>
      </c>
      <c r="DJ1266" t="str">
        <f>""</f>
        <v/>
      </c>
      <c r="DK1266" t="str">
        <f>""</f>
        <v/>
      </c>
      <c r="DL1266" t="str">
        <f>""</f>
        <v/>
      </c>
      <c r="DM1266" t="str">
        <f>""</f>
        <v/>
      </c>
      <c r="DN1266" t="str">
        <f>""</f>
        <v/>
      </c>
      <c r="DO1266" t="str">
        <f>""</f>
        <v/>
      </c>
      <c r="DP1266" t="str">
        <f>""</f>
        <v/>
      </c>
      <c r="DQ1266" t="str">
        <f>""</f>
        <v/>
      </c>
      <c r="DR1266" t="str">
        <f>""</f>
        <v/>
      </c>
      <c r="DS1266" t="str">
        <f>""</f>
        <v/>
      </c>
      <c r="DT1266" t="str">
        <f>""</f>
        <v/>
      </c>
      <c r="DU1266" t="str">
        <f>""</f>
        <v/>
      </c>
    </row>
    <row r="1267" spans="1:125" x14ac:dyDescent="0.25">
      <c r="A1267" t="str">
        <f>$A$609</f>
        <v xml:space="preserve">    Sanyang Motor Co Ltd</v>
      </c>
      <c r="B1267" t="str">
        <f>$B$609</f>
        <v>2206 TT Equity</v>
      </c>
      <c r="C1267" t="str">
        <f>$C$609</f>
        <v>RX072</v>
      </c>
      <c r="D1267" t="str">
        <f>$D$609</f>
        <v>FREE_CASH_FLOW_YIELD</v>
      </c>
      <c r="E1267" t="str">
        <f>$E$609</f>
        <v>Dynamic</v>
      </c>
      <c r="F1267" t="str">
        <f ca="1">_xll.BDH($B$609,$C$609,$B$675,$B$676,CONCATENATE("Per=",$B$673),"Dts=H","Dir=H",CONCATENATE("Points=",$B$674),"Sort=R","Days=A","Fill=B",CONCATENATE("FX=", $B$672) )</f>
        <v>#N/A Connection</v>
      </c>
      <c r="BN1267" t="str">
        <f>""</f>
        <v/>
      </c>
      <c r="BO1267" t="str">
        <f>""</f>
        <v/>
      </c>
      <c r="BP1267" t="str">
        <f>""</f>
        <v/>
      </c>
      <c r="BQ1267" t="str">
        <f>""</f>
        <v/>
      </c>
      <c r="BR1267" t="str">
        <f>""</f>
        <v/>
      </c>
      <c r="BS1267" t="str">
        <f>""</f>
        <v/>
      </c>
      <c r="BT1267" t="str">
        <f>""</f>
        <v/>
      </c>
      <c r="BU1267" t="str">
        <f>""</f>
        <v/>
      </c>
      <c r="BV1267" t="str">
        <f>""</f>
        <v/>
      </c>
      <c r="BW1267" t="str">
        <f>""</f>
        <v/>
      </c>
      <c r="BX1267" t="str">
        <f>""</f>
        <v/>
      </c>
      <c r="BY1267" t="str">
        <f>""</f>
        <v/>
      </c>
      <c r="BZ1267" t="str">
        <f>""</f>
        <v/>
      </c>
      <c r="CA1267" t="str">
        <f>""</f>
        <v/>
      </c>
      <c r="CB1267" t="str">
        <f>""</f>
        <v/>
      </c>
      <c r="CC1267" t="str">
        <f>""</f>
        <v/>
      </c>
      <c r="CD1267" t="str">
        <f>""</f>
        <v/>
      </c>
      <c r="CE1267" t="str">
        <f>""</f>
        <v/>
      </c>
      <c r="CF1267" t="str">
        <f>""</f>
        <v/>
      </c>
      <c r="CG1267" t="str">
        <f>""</f>
        <v/>
      </c>
      <c r="CH1267" t="str">
        <f>""</f>
        <v/>
      </c>
      <c r="CI1267" t="str">
        <f>""</f>
        <v/>
      </c>
      <c r="CJ1267" t="str">
        <f>""</f>
        <v/>
      </c>
      <c r="CK1267" t="str">
        <f>""</f>
        <v/>
      </c>
      <c r="CL1267" t="str">
        <f>""</f>
        <v/>
      </c>
      <c r="CM1267" t="str">
        <f>""</f>
        <v/>
      </c>
      <c r="CN1267" t="str">
        <f>""</f>
        <v/>
      </c>
      <c r="CO1267" t="str">
        <f>""</f>
        <v/>
      </c>
      <c r="CP1267" t="str">
        <f>""</f>
        <v/>
      </c>
      <c r="CQ1267" t="str">
        <f>""</f>
        <v/>
      </c>
      <c r="CR1267" t="str">
        <f>""</f>
        <v/>
      </c>
      <c r="CS1267" t="str">
        <f>""</f>
        <v/>
      </c>
      <c r="CT1267" t="str">
        <f>""</f>
        <v/>
      </c>
      <c r="CU1267" t="str">
        <f>""</f>
        <v/>
      </c>
      <c r="CV1267" t="str">
        <f>""</f>
        <v/>
      </c>
      <c r="CW1267" t="str">
        <f>""</f>
        <v/>
      </c>
      <c r="CX1267" t="str">
        <f>""</f>
        <v/>
      </c>
      <c r="CY1267" t="str">
        <f>""</f>
        <v/>
      </c>
      <c r="CZ1267" t="str">
        <f>""</f>
        <v/>
      </c>
      <c r="DA1267" t="str">
        <f>""</f>
        <v/>
      </c>
      <c r="DB1267" t="str">
        <f>""</f>
        <v/>
      </c>
      <c r="DC1267" t="str">
        <f>""</f>
        <v/>
      </c>
      <c r="DD1267" t="str">
        <f>""</f>
        <v/>
      </c>
      <c r="DE1267" t="str">
        <f>""</f>
        <v/>
      </c>
      <c r="DF1267" t="str">
        <f>""</f>
        <v/>
      </c>
      <c r="DG1267" t="str">
        <f>""</f>
        <v/>
      </c>
      <c r="DH1267" t="str">
        <f>""</f>
        <v/>
      </c>
      <c r="DI1267" t="str">
        <f>""</f>
        <v/>
      </c>
      <c r="DJ1267" t="str">
        <f>""</f>
        <v/>
      </c>
      <c r="DK1267" t="str">
        <f>""</f>
        <v/>
      </c>
      <c r="DL1267" t="str">
        <f>""</f>
        <v/>
      </c>
      <c r="DM1267" t="str">
        <f>""</f>
        <v/>
      </c>
      <c r="DN1267" t="str">
        <f>""</f>
        <v/>
      </c>
      <c r="DO1267" t="str">
        <f>""</f>
        <v/>
      </c>
      <c r="DP1267" t="str">
        <f>""</f>
        <v/>
      </c>
      <c r="DQ1267" t="str">
        <f>""</f>
        <v/>
      </c>
      <c r="DR1267" t="str">
        <f>""</f>
        <v/>
      </c>
      <c r="DS1267" t="str">
        <f>""</f>
        <v/>
      </c>
      <c r="DT1267" t="str">
        <f>""</f>
        <v/>
      </c>
      <c r="DU1267" t="str">
        <f>""</f>
        <v/>
      </c>
    </row>
    <row r="1268" spans="1:125" x14ac:dyDescent="0.25">
      <c r="A1268" t="str">
        <f>$A$610</f>
        <v xml:space="preserve">    Sollers PJSC</v>
      </c>
      <c r="B1268" t="str">
        <f>$B$610</f>
        <v>SVAV RM Equity</v>
      </c>
      <c r="C1268" t="str">
        <f>$C$610</f>
        <v>RX072</v>
      </c>
      <c r="D1268" t="str">
        <f>$D$610</f>
        <v>FREE_CASH_FLOW_YIELD</v>
      </c>
      <c r="E1268" t="str">
        <f>$E$610</f>
        <v>Dynamic</v>
      </c>
      <c r="F1268" t="str">
        <f ca="1">_xll.BDH($B$610,$C$610,$B$675,$B$676,CONCATENATE("Per=",$B$673),"Dts=H","Dir=H",CONCATENATE("Points=",$B$674),"Sort=R","Days=A","Fill=B",CONCATENATE("FX=", $B$672) )</f>
        <v>#N/A Connection</v>
      </c>
      <c r="BN1268" t="str">
        <f>""</f>
        <v/>
      </c>
      <c r="BO1268" t="str">
        <f>""</f>
        <v/>
      </c>
      <c r="BP1268" t="str">
        <f>""</f>
        <v/>
      </c>
      <c r="BQ1268" t="str">
        <f>""</f>
        <v/>
      </c>
      <c r="BR1268" t="str">
        <f>""</f>
        <v/>
      </c>
      <c r="BS1268" t="str">
        <f>""</f>
        <v/>
      </c>
      <c r="BT1268" t="str">
        <f>""</f>
        <v/>
      </c>
      <c r="BU1268" t="str">
        <f>""</f>
        <v/>
      </c>
      <c r="BV1268" t="str">
        <f>""</f>
        <v/>
      </c>
      <c r="BW1268" t="str">
        <f>""</f>
        <v/>
      </c>
      <c r="BX1268" t="str">
        <f>""</f>
        <v/>
      </c>
      <c r="BY1268" t="str">
        <f>""</f>
        <v/>
      </c>
      <c r="BZ1268" t="str">
        <f>""</f>
        <v/>
      </c>
      <c r="CA1268" t="str">
        <f>""</f>
        <v/>
      </c>
      <c r="CB1268" t="str">
        <f>""</f>
        <v/>
      </c>
      <c r="CC1268" t="str">
        <f>""</f>
        <v/>
      </c>
      <c r="CD1268" t="str">
        <f>""</f>
        <v/>
      </c>
      <c r="CE1268" t="str">
        <f>""</f>
        <v/>
      </c>
      <c r="CF1268" t="str">
        <f>""</f>
        <v/>
      </c>
      <c r="CG1268" t="str">
        <f>""</f>
        <v/>
      </c>
      <c r="CH1268" t="str">
        <f>""</f>
        <v/>
      </c>
      <c r="CI1268" t="str">
        <f>""</f>
        <v/>
      </c>
      <c r="CJ1268" t="str">
        <f>""</f>
        <v/>
      </c>
      <c r="CK1268" t="str">
        <f>""</f>
        <v/>
      </c>
      <c r="CL1268" t="str">
        <f>""</f>
        <v/>
      </c>
      <c r="CM1268" t="str">
        <f>""</f>
        <v/>
      </c>
      <c r="CN1268" t="str">
        <f>""</f>
        <v/>
      </c>
      <c r="CO1268" t="str">
        <f>""</f>
        <v/>
      </c>
      <c r="CP1268" t="str">
        <f>""</f>
        <v/>
      </c>
      <c r="CQ1268" t="str">
        <f>""</f>
        <v/>
      </c>
      <c r="CR1268" t="str">
        <f>""</f>
        <v/>
      </c>
      <c r="CS1268" t="str">
        <f>""</f>
        <v/>
      </c>
      <c r="CT1268" t="str">
        <f>""</f>
        <v/>
      </c>
      <c r="CU1268" t="str">
        <f>""</f>
        <v/>
      </c>
      <c r="CV1268" t="str">
        <f>""</f>
        <v/>
      </c>
      <c r="CW1268" t="str">
        <f>""</f>
        <v/>
      </c>
      <c r="CX1268" t="str">
        <f>""</f>
        <v/>
      </c>
      <c r="CY1268" t="str">
        <f>""</f>
        <v/>
      </c>
      <c r="CZ1268" t="str">
        <f>""</f>
        <v/>
      </c>
      <c r="DA1268" t="str">
        <f>""</f>
        <v/>
      </c>
      <c r="DB1268" t="str">
        <f>""</f>
        <v/>
      </c>
      <c r="DC1268" t="str">
        <f>""</f>
        <v/>
      </c>
      <c r="DD1268" t="str">
        <f>""</f>
        <v/>
      </c>
      <c r="DE1268" t="str">
        <f>""</f>
        <v/>
      </c>
      <c r="DF1268" t="str">
        <f>""</f>
        <v/>
      </c>
      <c r="DG1268" t="str">
        <f>""</f>
        <v/>
      </c>
      <c r="DH1268" t="str">
        <f>""</f>
        <v/>
      </c>
      <c r="DI1268" t="str">
        <f>""</f>
        <v/>
      </c>
      <c r="DJ1268" t="str">
        <f>""</f>
        <v/>
      </c>
      <c r="DK1268" t="str">
        <f>""</f>
        <v/>
      </c>
      <c r="DL1268" t="str">
        <f>""</f>
        <v/>
      </c>
      <c r="DM1268" t="str">
        <f>""</f>
        <v/>
      </c>
      <c r="DN1268" t="str">
        <f>""</f>
        <v/>
      </c>
      <c r="DO1268" t="str">
        <f>""</f>
        <v/>
      </c>
      <c r="DP1268" t="str">
        <f>""</f>
        <v/>
      </c>
      <c r="DQ1268" t="str">
        <f>""</f>
        <v/>
      </c>
      <c r="DR1268" t="str">
        <f>""</f>
        <v/>
      </c>
      <c r="DS1268" t="str">
        <f>""</f>
        <v/>
      </c>
      <c r="DT1268" t="str">
        <f>""</f>
        <v/>
      </c>
      <c r="DU1268" t="str">
        <f>""</f>
        <v/>
      </c>
    </row>
    <row r="1269" spans="1:125" x14ac:dyDescent="0.25">
      <c r="A1269" t="str">
        <f>$A$611</f>
        <v xml:space="preserve">    Ssangyong Motor Co</v>
      </c>
      <c r="B1269" t="str">
        <f>$B$611</f>
        <v>003620 KS Equity</v>
      </c>
      <c r="C1269" t="str">
        <f>$C$611</f>
        <v>RX072</v>
      </c>
      <c r="D1269" t="str">
        <f>$D$611</f>
        <v>FREE_CASH_FLOW_YIELD</v>
      </c>
      <c r="E1269" t="str">
        <f>$E$611</f>
        <v>Dynamic</v>
      </c>
      <c r="F1269" t="str">
        <f ca="1">_xll.BDH($B$611,$C$611,$B$675,$B$676,CONCATENATE("Per=",$B$673),"Dts=H","Dir=H",CONCATENATE("Points=",$B$674),"Sort=R","Days=A","Fill=B",CONCATENATE("FX=", $B$672) )</f>
        <v>#N/A Connection</v>
      </c>
      <c r="BN1269" t="str">
        <f>""</f>
        <v/>
      </c>
      <c r="BO1269" t="str">
        <f>""</f>
        <v/>
      </c>
      <c r="BP1269" t="str">
        <f>""</f>
        <v/>
      </c>
      <c r="BQ1269" t="str">
        <f>""</f>
        <v/>
      </c>
      <c r="BR1269" t="str">
        <f>""</f>
        <v/>
      </c>
      <c r="BS1269" t="str">
        <f>""</f>
        <v/>
      </c>
      <c r="BT1269" t="str">
        <f>""</f>
        <v/>
      </c>
      <c r="BU1269" t="str">
        <f>""</f>
        <v/>
      </c>
      <c r="BV1269" t="str">
        <f>""</f>
        <v/>
      </c>
      <c r="BW1269" t="str">
        <f>""</f>
        <v/>
      </c>
      <c r="BX1269" t="str">
        <f>""</f>
        <v/>
      </c>
      <c r="BY1269" t="str">
        <f>""</f>
        <v/>
      </c>
      <c r="BZ1269" t="str">
        <f>""</f>
        <v/>
      </c>
      <c r="CA1269" t="str">
        <f>""</f>
        <v/>
      </c>
      <c r="CB1269" t="str">
        <f>""</f>
        <v/>
      </c>
      <c r="CC1269" t="str">
        <f>""</f>
        <v/>
      </c>
      <c r="CD1269" t="str">
        <f>""</f>
        <v/>
      </c>
      <c r="CE1269" t="str">
        <f>""</f>
        <v/>
      </c>
      <c r="CF1269" t="str">
        <f>""</f>
        <v/>
      </c>
      <c r="CG1269" t="str">
        <f>""</f>
        <v/>
      </c>
      <c r="CH1269" t="str">
        <f>""</f>
        <v/>
      </c>
      <c r="CI1269" t="str">
        <f>""</f>
        <v/>
      </c>
      <c r="CJ1269" t="str">
        <f>""</f>
        <v/>
      </c>
      <c r="CK1269" t="str">
        <f>""</f>
        <v/>
      </c>
      <c r="CL1269" t="str">
        <f>""</f>
        <v/>
      </c>
      <c r="CM1269" t="str">
        <f>""</f>
        <v/>
      </c>
      <c r="CN1269" t="str">
        <f>""</f>
        <v/>
      </c>
      <c r="CO1269" t="str">
        <f>""</f>
        <v/>
      </c>
      <c r="CP1269" t="str">
        <f>""</f>
        <v/>
      </c>
      <c r="CQ1269" t="str">
        <f>""</f>
        <v/>
      </c>
      <c r="CR1269" t="str">
        <f>""</f>
        <v/>
      </c>
      <c r="CS1269" t="str">
        <f>""</f>
        <v/>
      </c>
      <c r="CT1269" t="str">
        <f>""</f>
        <v/>
      </c>
      <c r="CU1269" t="str">
        <f>""</f>
        <v/>
      </c>
      <c r="CV1269" t="str">
        <f>""</f>
        <v/>
      </c>
      <c r="CW1269" t="str">
        <f>""</f>
        <v/>
      </c>
      <c r="CX1269" t="str">
        <f>""</f>
        <v/>
      </c>
      <c r="CY1269" t="str">
        <f>""</f>
        <v/>
      </c>
      <c r="CZ1269" t="str">
        <f>""</f>
        <v/>
      </c>
      <c r="DA1269" t="str">
        <f>""</f>
        <v/>
      </c>
      <c r="DB1269" t="str">
        <f>""</f>
        <v/>
      </c>
      <c r="DC1269" t="str">
        <f>""</f>
        <v/>
      </c>
      <c r="DD1269" t="str">
        <f>""</f>
        <v/>
      </c>
      <c r="DE1269" t="str">
        <f>""</f>
        <v/>
      </c>
      <c r="DF1269" t="str">
        <f>""</f>
        <v/>
      </c>
      <c r="DG1269" t="str">
        <f>""</f>
        <v/>
      </c>
      <c r="DH1269" t="str">
        <f>""</f>
        <v/>
      </c>
      <c r="DI1269" t="str">
        <f>""</f>
        <v/>
      </c>
      <c r="DJ1269" t="str">
        <f>""</f>
        <v/>
      </c>
      <c r="DK1269" t="str">
        <f>""</f>
        <v/>
      </c>
      <c r="DL1269" t="str">
        <f>""</f>
        <v/>
      </c>
      <c r="DM1269" t="str">
        <f>""</f>
        <v/>
      </c>
      <c r="DN1269" t="str">
        <f>""</f>
        <v/>
      </c>
      <c r="DO1269" t="str">
        <f>""</f>
        <v/>
      </c>
      <c r="DP1269" t="str">
        <f>""</f>
        <v/>
      </c>
      <c r="DQ1269" t="str">
        <f>""</f>
        <v/>
      </c>
      <c r="DR1269" t="str">
        <f>""</f>
        <v/>
      </c>
      <c r="DS1269" t="str">
        <f>""</f>
        <v/>
      </c>
      <c r="DT1269" t="str">
        <f>""</f>
        <v/>
      </c>
      <c r="DU1269" t="str">
        <f>""</f>
        <v/>
      </c>
    </row>
    <row r="1270" spans="1:125" x14ac:dyDescent="0.25">
      <c r="A1270" t="str">
        <f>$A$612</f>
        <v xml:space="preserve">    Subaru Corp</v>
      </c>
      <c r="B1270" t="str">
        <f>$B$612</f>
        <v>7270 JP Equity</v>
      </c>
      <c r="C1270" t="str">
        <f>$C$612</f>
        <v>RX072</v>
      </c>
      <c r="D1270" t="str">
        <f>$D$612</f>
        <v>FREE_CASH_FLOW_YIELD</v>
      </c>
      <c r="E1270" t="str">
        <f>$E$612</f>
        <v>Dynamic</v>
      </c>
      <c r="F1270" t="str">
        <f ca="1">_xll.BDH($B$612,$C$612,$B$675,$B$676,CONCATENATE("Per=",$B$673),"Dts=H","Dir=H",CONCATENATE("Points=",$B$674),"Sort=R","Days=A","Fill=B",CONCATENATE("FX=", $B$672) )</f>
        <v>#N/A Connection</v>
      </c>
      <c r="BN1270" t="str">
        <f>""</f>
        <v/>
      </c>
      <c r="BO1270" t="str">
        <f>""</f>
        <v/>
      </c>
      <c r="BP1270" t="str">
        <f>""</f>
        <v/>
      </c>
      <c r="BQ1270" t="str">
        <f>""</f>
        <v/>
      </c>
      <c r="BR1270" t="str">
        <f>""</f>
        <v/>
      </c>
      <c r="BS1270" t="str">
        <f>""</f>
        <v/>
      </c>
      <c r="BT1270" t="str">
        <f>""</f>
        <v/>
      </c>
      <c r="BU1270" t="str">
        <f>""</f>
        <v/>
      </c>
      <c r="BV1270" t="str">
        <f>""</f>
        <v/>
      </c>
      <c r="BW1270" t="str">
        <f>""</f>
        <v/>
      </c>
      <c r="BX1270" t="str">
        <f>""</f>
        <v/>
      </c>
      <c r="BY1270" t="str">
        <f>""</f>
        <v/>
      </c>
      <c r="BZ1270" t="str">
        <f>""</f>
        <v/>
      </c>
      <c r="CA1270" t="str">
        <f>""</f>
        <v/>
      </c>
      <c r="CB1270" t="str">
        <f>""</f>
        <v/>
      </c>
      <c r="CC1270" t="str">
        <f>""</f>
        <v/>
      </c>
      <c r="CD1270" t="str">
        <f>""</f>
        <v/>
      </c>
      <c r="CE1270" t="str">
        <f>""</f>
        <v/>
      </c>
      <c r="CF1270" t="str">
        <f>""</f>
        <v/>
      </c>
      <c r="CG1270" t="str">
        <f>""</f>
        <v/>
      </c>
      <c r="CH1270" t="str">
        <f>""</f>
        <v/>
      </c>
      <c r="CI1270" t="str">
        <f>""</f>
        <v/>
      </c>
      <c r="CJ1270" t="str">
        <f>""</f>
        <v/>
      </c>
      <c r="CK1270" t="str">
        <f>""</f>
        <v/>
      </c>
      <c r="CL1270" t="str">
        <f>""</f>
        <v/>
      </c>
      <c r="CM1270" t="str">
        <f>""</f>
        <v/>
      </c>
      <c r="CN1270" t="str">
        <f>""</f>
        <v/>
      </c>
      <c r="CO1270" t="str">
        <f>""</f>
        <v/>
      </c>
      <c r="CP1270" t="str">
        <f>""</f>
        <v/>
      </c>
      <c r="CQ1270" t="str">
        <f>""</f>
        <v/>
      </c>
      <c r="CR1270" t="str">
        <f>""</f>
        <v/>
      </c>
      <c r="CS1270" t="str">
        <f>""</f>
        <v/>
      </c>
      <c r="CT1270" t="str">
        <f>""</f>
        <v/>
      </c>
      <c r="CU1270" t="str">
        <f>""</f>
        <v/>
      </c>
      <c r="CV1270" t="str">
        <f>""</f>
        <v/>
      </c>
      <c r="CW1270" t="str">
        <f>""</f>
        <v/>
      </c>
      <c r="CX1270" t="str">
        <f>""</f>
        <v/>
      </c>
      <c r="CY1270" t="str">
        <f>""</f>
        <v/>
      </c>
      <c r="CZ1270" t="str">
        <f>""</f>
        <v/>
      </c>
      <c r="DA1270" t="str">
        <f>""</f>
        <v/>
      </c>
      <c r="DB1270" t="str">
        <f>""</f>
        <v/>
      </c>
      <c r="DC1270" t="str">
        <f>""</f>
        <v/>
      </c>
      <c r="DD1270" t="str">
        <f>""</f>
        <v/>
      </c>
      <c r="DE1270" t="str">
        <f>""</f>
        <v/>
      </c>
      <c r="DF1270" t="str">
        <f>""</f>
        <v/>
      </c>
      <c r="DG1270" t="str">
        <f>""</f>
        <v/>
      </c>
      <c r="DH1270" t="str">
        <f>""</f>
        <v/>
      </c>
      <c r="DI1270" t="str">
        <f>""</f>
        <v/>
      </c>
      <c r="DJ1270" t="str">
        <f>""</f>
        <v/>
      </c>
      <c r="DK1270" t="str">
        <f>""</f>
        <v/>
      </c>
      <c r="DL1270" t="str">
        <f>""</f>
        <v/>
      </c>
      <c r="DM1270" t="str">
        <f>""</f>
        <v/>
      </c>
      <c r="DN1270" t="str">
        <f>""</f>
        <v/>
      </c>
      <c r="DO1270" t="str">
        <f>""</f>
        <v/>
      </c>
      <c r="DP1270" t="str">
        <f>""</f>
        <v/>
      </c>
      <c r="DQ1270" t="str">
        <f>""</f>
        <v/>
      </c>
      <c r="DR1270" t="str">
        <f>""</f>
        <v/>
      </c>
      <c r="DS1270" t="str">
        <f>""</f>
        <v/>
      </c>
      <c r="DT1270" t="str">
        <f>""</f>
        <v/>
      </c>
      <c r="DU1270" t="str">
        <f>""</f>
        <v/>
      </c>
    </row>
    <row r="1271" spans="1:125" x14ac:dyDescent="0.25">
      <c r="A1271" t="str">
        <f>$A$613</f>
        <v xml:space="preserve">    Suzuki Motor Corp</v>
      </c>
      <c r="B1271" t="str">
        <f>$B$613</f>
        <v>7269 JP Equity</v>
      </c>
      <c r="C1271" t="str">
        <f>$C$613</f>
        <v>RX072</v>
      </c>
      <c r="D1271" t="str">
        <f>$D$613</f>
        <v>FREE_CASH_FLOW_YIELD</v>
      </c>
      <c r="E1271" t="str">
        <f>$E$613</f>
        <v>Dynamic</v>
      </c>
      <c r="F1271" t="str">
        <f ca="1">_xll.BDH($B$613,$C$613,$B$675,$B$676,CONCATENATE("Per=",$B$673),"Dts=H","Dir=H",CONCATENATE("Points=",$B$674),"Sort=R","Days=A","Fill=B",CONCATENATE("FX=", $B$672) )</f>
        <v>#N/A Connection</v>
      </c>
      <c r="BN1271" t="str">
        <f>""</f>
        <v/>
      </c>
      <c r="BO1271" t="str">
        <f>""</f>
        <v/>
      </c>
      <c r="BP1271" t="str">
        <f>""</f>
        <v/>
      </c>
      <c r="BQ1271" t="str">
        <f>""</f>
        <v/>
      </c>
      <c r="BR1271" t="str">
        <f>""</f>
        <v/>
      </c>
      <c r="BS1271" t="str">
        <f>""</f>
        <v/>
      </c>
      <c r="BT1271" t="str">
        <f>""</f>
        <v/>
      </c>
      <c r="BU1271" t="str">
        <f>""</f>
        <v/>
      </c>
      <c r="BV1271" t="str">
        <f>""</f>
        <v/>
      </c>
      <c r="BW1271" t="str">
        <f>""</f>
        <v/>
      </c>
      <c r="BX1271" t="str">
        <f>""</f>
        <v/>
      </c>
      <c r="BY1271" t="str">
        <f>""</f>
        <v/>
      </c>
      <c r="BZ1271" t="str">
        <f>""</f>
        <v/>
      </c>
      <c r="CA1271" t="str">
        <f>""</f>
        <v/>
      </c>
      <c r="CB1271" t="str">
        <f>""</f>
        <v/>
      </c>
      <c r="CC1271" t="str">
        <f>""</f>
        <v/>
      </c>
      <c r="CD1271" t="str">
        <f>""</f>
        <v/>
      </c>
      <c r="CE1271" t="str">
        <f>""</f>
        <v/>
      </c>
      <c r="CF1271" t="str">
        <f>""</f>
        <v/>
      </c>
      <c r="CG1271" t="str">
        <f>""</f>
        <v/>
      </c>
      <c r="CH1271" t="str">
        <f>""</f>
        <v/>
      </c>
      <c r="CI1271" t="str">
        <f>""</f>
        <v/>
      </c>
      <c r="CJ1271" t="str">
        <f>""</f>
        <v/>
      </c>
      <c r="CK1271" t="str">
        <f>""</f>
        <v/>
      </c>
      <c r="CL1271" t="str">
        <f>""</f>
        <v/>
      </c>
      <c r="CM1271" t="str">
        <f>""</f>
        <v/>
      </c>
      <c r="CN1271" t="str">
        <f>""</f>
        <v/>
      </c>
      <c r="CO1271" t="str">
        <f>""</f>
        <v/>
      </c>
      <c r="CP1271" t="str">
        <f>""</f>
        <v/>
      </c>
      <c r="CQ1271" t="str">
        <f>""</f>
        <v/>
      </c>
      <c r="CR1271" t="str">
        <f>""</f>
        <v/>
      </c>
      <c r="CS1271" t="str">
        <f>""</f>
        <v/>
      </c>
      <c r="CT1271" t="str">
        <f>""</f>
        <v/>
      </c>
      <c r="CU1271" t="str">
        <f>""</f>
        <v/>
      </c>
      <c r="CV1271" t="str">
        <f>""</f>
        <v/>
      </c>
      <c r="CW1271" t="str">
        <f>""</f>
        <v/>
      </c>
      <c r="CX1271" t="str">
        <f>""</f>
        <v/>
      </c>
      <c r="CY1271" t="str">
        <f>""</f>
        <v/>
      </c>
      <c r="CZ1271" t="str">
        <f>""</f>
        <v/>
      </c>
      <c r="DA1271" t="str">
        <f>""</f>
        <v/>
      </c>
      <c r="DB1271" t="str">
        <f>""</f>
        <v/>
      </c>
      <c r="DC1271" t="str">
        <f>""</f>
        <v/>
      </c>
      <c r="DD1271" t="str">
        <f>""</f>
        <v/>
      </c>
      <c r="DE1271" t="str">
        <f>""</f>
        <v/>
      </c>
      <c r="DF1271" t="str">
        <f>""</f>
        <v/>
      </c>
      <c r="DG1271" t="str">
        <f>""</f>
        <v/>
      </c>
      <c r="DH1271" t="str">
        <f>""</f>
        <v/>
      </c>
      <c r="DI1271" t="str">
        <f>""</f>
        <v/>
      </c>
      <c r="DJ1271" t="str">
        <f>""</f>
        <v/>
      </c>
      <c r="DK1271" t="str">
        <f>""</f>
        <v/>
      </c>
      <c r="DL1271" t="str">
        <f>""</f>
        <v/>
      </c>
      <c r="DM1271" t="str">
        <f>""</f>
        <v/>
      </c>
      <c r="DN1271" t="str">
        <f>""</f>
        <v/>
      </c>
      <c r="DO1271" t="str">
        <f>""</f>
        <v/>
      </c>
      <c r="DP1271" t="str">
        <f>""</f>
        <v/>
      </c>
      <c r="DQ1271" t="str">
        <f>""</f>
        <v/>
      </c>
      <c r="DR1271" t="str">
        <f>""</f>
        <v/>
      </c>
      <c r="DS1271" t="str">
        <f>""</f>
        <v/>
      </c>
      <c r="DT1271" t="str">
        <f>""</f>
        <v/>
      </c>
      <c r="DU1271" t="str">
        <f>""</f>
        <v/>
      </c>
    </row>
    <row r="1272" spans="1:125" x14ac:dyDescent="0.25">
      <c r="A1272" t="str">
        <f>$A$614</f>
        <v xml:space="preserve">    Tata Motors Ltd</v>
      </c>
      <c r="B1272" t="str">
        <f>$B$614</f>
        <v>TTMT IN Equity</v>
      </c>
      <c r="C1272" t="str">
        <f>$C$614</f>
        <v>RX072</v>
      </c>
      <c r="D1272" t="str">
        <f>$D$614</f>
        <v>FREE_CASH_FLOW_YIELD</v>
      </c>
      <c r="E1272" t="str">
        <f>$E$614</f>
        <v>Dynamic</v>
      </c>
      <c r="F1272" t="str">
        <f ca="1">_xll.BDH($B$614,$C$614,$B$675,$B$676,CONCATENATE("Per=",$B$673),"Dts=H","Dir=H",CONCATENATE("Points=",$B$674),"Sort=R","Days=A","Fill=B",CONCATENATE("FX=", $B$672) )</f>
        <v>#N/A Connection</v>
      </c>
      <c r="BN1272" t="str">
        <f>""</f>
        <v/>
      </c>
      <c r="BO1272" t="str">
        <f>""</f>
        <v/>
      </c>
      <c r="BP1272" t="str">
        <f>""</f>
        <v/>
      </c>
      <c r="BQ1272" t="str">
        <f>""</f>
        <v/>
      </c>
      <c r="BR1272" t="str">
        <f>""</f>
        <v/>
      </c>
      <c r="BS1272" t="str">
        <f>""</f>
        <v/>
      </c>
      <c r="BT1272" t="str">
        <f>""</f>
        <v/>
      </c>
      <c r="BU1272" t="str">
        <f>""</f>
        <v/>
      </c>
      <c r="BV1272" t="str">
        <f>""</f>
        <v/>
      </c>
      <c r="BW1272" t="str">
        <f>""</f>
        <v/>
      </c>
      <c r="BX1272" t="str">
        <f>""</f>
        <v/>
      </c>
      <c r="BY1272" t="str">
        <f>""</f>
        <v/>
      </c>
      <c r="BZ1272" t="str">
        <f>""</f>
        <v/>
      </c>
      <c r="CA1272" t="str">
        <f>""</f>
        <v/>
      </c>
      <c r="CB1272" t="str">
        <f>""</f>
        <v/>
      </c>
      <c r="CC1272" t="str">
        <f>""</f>
        <v/>
      </c>
      <c r="CD1272" t="str">
        <f>""</f>
        <v/>
      </c>
      <c r="CE1272" t="str">
        <f>""</f>
        <v/>
      </c>
      <c r="CF1272" t="str">
        <f>""</f>
        <v/>
      </c>
      <c r="CG1272" t="str">
        <f>""</f>
        <v/>
      </c>
      <c r="CH1272" t="str">
        <f>""</f>
        <v/>
      </c>
      <c r="CI1272" t="str">
        <f>""</f>
        <v/>
      </c>
      <c r="CJ1272" t="str">
        <f>""</f>
        <v/>
      </c>
      <c r="CK1272" t="str">
        <f>""</f>
        <v/>
      </c>
      <c r="CL1272" t="str">
        <f>""</f>
        <v/>
      </c>
      <c r="CM1272" t="str">
        <f>""</f>
        <v/>
      </c>
      <c r="CN1272" t="str">
        <f>""</f>
        <v/>
      </c>
      <c r="CO1272" t="str">
        <f>""</f>
        <v/>
      </c>
      <c r="CP1272" t="str">
        <f>""</f>
        <v/>
      </c>
      <c r="CQ1272" t="str">
        <f>""</f>
        <v/>
      </c>
      <c r="CR1272" t="str">
        <f>""</f>
        <v/>
      </c>
      <c r="CS1272" t="str">
        <f>""</f>
        <v/>
      </c>
      <c r="CT1272" t="str">
        <f>""</f>
        <v/>
      </c>
      <c r="CU1272" t="str">
        <f>""</f>
        <v/>
      </c>
      <c r="CV1272" t="str">
        <f>""</f>
        <v/>
      </c>
      <c r="CW1272" t="str">
        <f>""</f>
        <v/>
      </c>
      <c r="CX1272" t="str">
        <f>""</f>
        <v/>
      </c>
      <c r="CY1272" t="str">
        <f>""</f>
        <v/>
      </c>
      <c r="CZ1272" t="str">
        <f>""</f>
        <v/>
      </c>
      <c r="DA1272" t="str">
        <f>""</f>
        <v/>
      </c>
      <c r="DB1272" t="str">
        <f>""</f>
        <v/>
      </c>
      <c r="DC1272" t="str">
        <f>""</f>
        <v/>
      </c>
      <c r="DD1272" t="str">
        <f>""</f>
        <v/>
      </c>
      <c r="DE1272" t="str">
        <f>""</f>
        <v/>
      </c>
      <c r="DF1272" t="str">
        <f>""</f>
        <v/>
      </c>
      <c r="DG1272" t="str">
        <f>""</f>
        <v/>
      </c>
      <c r="DH1272" t="str">
        <f>""</f>
        <v/>
      </c>
      <c r="DI1272" t="str">
        <f>""</f>
        <v/>
      </c>
      <c r="DJ1272" t="str">
        <f>""</f>
        <v/>
      </c>
      <c r="DK1272" t="str">
        <f>""</f>
        <v/>
      </c>
      <c r="DL1272" t="str">
        <f>""</f>
        <v/>
      </c>
      <c r="DM1272" t="str">
        <f>""</f>
        <v/>
      </c>
      <c r="DN1272" t="str">
        <f>""</f>
        <v/>
      </c>
      <c r="DO1272" t="str">
        <f>""</f>
        <v/>
      </c>
      <c r="DP1272" t="str">
        <f>""</f>
        <v/>
      </c>
      <c r="DQ1272" t="str">
        <f>""</f>
        <v/>
      </c>
      <c r="DR1272" t="str">
        <f>""</f>
        <v/>
      </c>
      <c r="DS1272" t="str">
        <f>""</f>
        <v/>
      </c>
      <c r="DT1272" t="str">
        <f>""</f>
        <v/>
      </c>
      <c r="DU1272" t="str">
        <f>""</f>
        <v/>
      </c>
    </row>
    <row r="1273" spans="1:125" x14ac:dyDescent="0.25">
      <c r="A1273" t="str">
        <f>$A$615</f>
        <v xml:space="preserve">    Tesla Inc</v>
      </c>
      <c r="B1273" t="str">
        <f>$B$615</f>
        <v>TSLA US Equity</v>
      </c>
      <c r="C1273" t="str">
        <f>$C$615</f>
        <v>RX072</v>
      </c>
      <c r="D1273" t="str">
        <f>$D$615</f>
        <v>FREE_CASH_FLOW_YIELD</v>
      </c>
      <c r="E1273" t="str">
        <f>$E$615</f>
        <v>Dynamic</v>
      </c>
      <c r="F1273" t="str">
        <f ca="1">_xll.BDH($B$615,$C$615,$B$675,$B$676,CONCATENATE("Per=",$B$673),"Dts=H","Dir=H",CONCATENATE("Points=",$B$674),"Sort=R","Days=A","Fill=B",CONCATENATE("FX=", $B$672) )</f>
        <v>#N/A Connection</v>
      </c>
      <c r="BN1273" t="str">
        <f>""</f>
        <v/>
      </c>
      <c r="BO1273" t="str">
        <f>""</f>
        <v/>
      </c>
      <c r="BP1273" t="str">
        <f>""</f>
        <v/>
      </c>
      <c r="BQ1273" t="str">
        <f>""</f>
        <v/>
      </c>
      <c r="BR1273" t="str">
        <f>""</f>
        <v/>
      </c>
      <c r="BS1273" t="str">
        <f>""</f>
        <v/>
      </c>
      <c r="BT1273" t="str">
        <f>""</f>
        <v/>
      </c>
      <c r="BU1273" t="str">
        <f>""</f>
        <v/>
      </c>
      <c r="BV1273" t="str">
        <f>""</f>
        <v/>
      </c>
      <c r="BW1273" t="str">
        <f>""</f>
        <v/>
      </c>
      <c r="BX1273" t="str">
        <f>""</f>
        <v/>
      </c>
      <c r="BY1273" t="str">
        <f>""</f>
        <v/>
      </c>
      <c r="BZ1273" t="str">
        <f>""</f>
        <v/>
      </c>
      <c r="CA1273" t="str">
        <f>""</f>
        <v/>
      </c>
      <c r="CB1273" t="str">
        <f>""</f>
        <v/>
      </c>
      <c r="CC1273" t="str">
        <f>""</f>
        <v/>
      </c>
      <c r="CD1273" t="str">
        <f>""</f>
        <v/>
      </c>
      <c r="CE1273" t="str">
        <f>""</f>
        <v/>
      </c>
      <c r="CF1273" t="str">
        <f>""</f>
        <v/>
      </c>
      <c r="CG1273" t="str">
        <f>""</f>
        <v/>
      </c>
      <c r="CH1273" t="str">
        <f>""</f>
        <v/>
      </c>
      <c r="CI1273" t="str">
        <f>""</f>
        <v/>
      </c>
      <c r="CJ1273" t="str">
        <f>""</f>
        <v/>
      </c>
      <c r="CK1273" t="str">
        <f>""</f>
        <v/>
      </c>
      <c r="CL1273" t="str">
        <f>""</f>
        <v/>
      </c>
      <c r="CM1273" t="str">
        <f>""</f>
        <v/>
      </c>
      <c r="CN1273" t="str">
        <f>""</f>
        <v/>
      </c>
      <c r="CO1273" t="str">
        <f>""</f>
        <v/>
      </c>
      <c r="CP1273" t="str">
        <f>""</f>
        <v/>
      </c>
      <c r="CQ1273" t="str">
        <f>""</f>
        <v/>
      </c>
      <c r="CR1273" t="str">
        <f>""</f>
        <v/>
      </c>
      <c r="CS1273" t="str">
        <f>""</f>
        <v/>
      </c>
      <c r="CT1273" t="str">
        <f>""</f>
        <v/>
      </c>
      <c r="CU1273" t="str">
        <f>""</f>
        <v/>
      </c>
      <c r="CV1273" t="str">
        <f>""</f>
        <v/>
      </c>
      <c r="CW1273" t="str">
        <f>""</f>
        <v/>
      </c>
      <c r="CX1273" t="str">
        <f>""</f>
        <v/>
      </c>
      <c r="CY1273" t="str">
        <f>""</f>
        <v/>
      </c>
      <c r="CZ1273" t="str">
        <f>""</f>
        <v/>
      </c>
      <c r="DA1273" t="str">
        <f>""</f>
        <v/>
      </c>
      <c r="DB1273" t="str">
        <f>""</f>
        <v/>
      </c>
      <c r="DC1273" t="str">
        <f>""</f>
        <v/>
      </c>
      <c r="DD1273" t="str">
        <f>""</f>
        <v/>
      </c>
      <c r="DE1273" t="str">
        <f>""</f>
        <v/>
      </c>
      <c r="DF1273" t="str">
        <f>""</f>
        <v/>
      </c>
      <c r="DG1273" t="str">
        <f>""</f>
        <v/>
      </c>
      <c r="DH1273" t="str">
        <f>""</f>
        <v/>
      </c>
      <c r="DI1273" t="str">
        <f>""</f>
        <v/>
      </c>
      <c r="DJ1273" t="str">
        <f>""</f>
        <v/>
      </c>
      <c r="DK1273" t="str">
        <f>""</f>
        <v/>
      </c>
      <c r="DL1273" t="str">
        <f>""</f>
        <v/>
      </c>
      <c r="DM1273" t="str">
        <f>""</f>
        <v/>
      </c>
      <c r="DN1273" t="str">
        <f>""</f>
        <v/>
      </c>
      <c r="DO1273" t="str">
        <f>""</f>
        <v/>
      </c>
      <c r="DP1273" t="str">
        <f>""</f>
        <v/>
      </c>
      <c r="DQ1273" t="str">
        <f>""</f>
        <v/>
      </c>
      <c r="DR1273" t="str">
        <f>""</f>
        <v/>
      </c>
      <c r="DS1273" t="str">
        <f>""</f>
        <v/>
      </c>
      <c r="DT1273" t="str">
        <f>""</f>
        <v/>
      </c>
      <c r="DU1273" t="str">
        <f>""</f>
        <v/>
      </c>
    </row>
    <row r="1274" spans="1:125" x14ac:dyDescent="0.25">
      <c r="A1274" t="str">
        <f>$A$616</f>
        <v xml:space="preserve">    Tianjin Faw Xiali Automobile Co Ltd</v>
      </c>
      <c r="B1274" t="str">
        <f>$B$616</f>
        <v>000927 CH Equity</v>
      </c>
      <c r="C1274" t="str">
        <f>$C$616</f>
        <v>RX072</v>
      </c>
      <c r="D1274" t="str">
        <f>$D$616</f>
        <v>FREE_CASH_FLOW_YIELD</v>
      </c>
      <c r="E1274" t="str">
        <f>$E$616</f>
        <v>Dynamic</v>
      </c>
      <c r="F1274" t="str">
        <f ca="1">_xll.BDH($B$616,$C$616,$B$675,$B$676,CONCATENATE("Per=",$B$673),"Dts=H","Dir=H",CONCATENATE("Points=",$B$674),"Sort=R","Days=A","Fill=B",CONCATENATE("FX=", $B$672) )</f>
        <v>#N/A Connection</v>
      </c>
      <c r="BN1274" t="str">
        <f>""</f>
        <v/>
      </c>
      <c r="BO1274" t="str">
        <f>""</f>
        <v/>
      </c>
      <c r="BP1274" t="str">
        <f>""</f>
        <v/>
      </c>
      <c r="BQ1274" t="str">
        <f>""</f>
        <v/>
      </c>
      <c r="BR1274" t="str">
        <f>""</f>
        <v/>
      </c>
      <c r="BS1274" t="str">
        <f>""</f>
        <v/>
      </c>
      <c r="BT1274" t="str">
        <f>""</f>
        <v/>
      </c>
      <c r="BU1274" t="str">
        <f>""</f>
        <v/>
      </c>
      <c r="BV1274" t="str">
        <f>""</f>
        <v/>
      </c>
      <c r="BW1274" t="str">
        <f>""</f>
        <v/>
      </c>
      <c r="BX1274" t="str">
        <f>""</f>
        <v/>
      </c>
      <c r="BY1274" t="str">
        <f>""</f>
        <v/>
      </c>
      <c r="BZ1274" t="str">
        <f>""</f>
        <v/>
      </c>
      <c r="CA1274" t="str">
        <f>""</f>
        <v/>
      </c>
      <c r="CB1274" t="str">
        <f>""</f>
        <v/>
      </c>
      <c r="CC1274" t="str">
        <f>""</f>
        <v/>
      </c>
      <c r="CD1274" t="str">
        <f>""</f>
        <v/>
      </c>
      <c r="CE1274" t="str">
        <f>""</f>
        <v/>
      </c>
      <c r="CF1274" t="str">
        <f>""</f>
        <v/>
      </c>
      <c r="CG1274" t="str">
        <f>""</f>
        <v/>
      </c>
      <c r="CH1274" t="str">
        <f>""</f>
        <v/>
      </c>
      <c r="CI1274" t="str">
        <f>""</f>
        <v/>
      </c>
      <c r="CJ1274" t="str">
        <f>""</f>
        <v/>
      </c>
      <c r="CK1274" t="str">
        <f>""</f>
        <v/>
      </c>
      <c r="CL1274" t="str">
        <f>""</f>
        <v/>
      </c>
      <c r="CM1274" t="str">
        <f>""</f>
        <v/>
      </c>
      <c r="CN1274" t="str">
        <f>""</f>
        <v/>
      </c>
      <c r="CO1274" t="str">
        <f>""</f>
        <v/>
      </c>
      <c r="CP1274" t="str">
        <f>""</f>
        <v/>
      </c>
      <c r="CQ1274" t="str">
        <f>""</f>
        <v/>
      </c>
      <c r="CR1274" t="str">
        <f>""</f>
        <v/>
      </c>
      <c r="CS1274" t="str">
        <f>""</f>
        <v/>
      </c>
      <c r="CT1274" t="str">
        <f>""</f>
        <v/>
      </c>
      <c r="CU1274" t="str">
        <f>""</f>
        <v/>
      </c>
      <c r="CV1274" t="str">
        <f>""</f>
        <v/>
      </c>
      <c r="CW1274" t="str">
        <f>""</f>
        <v/>
      </c>
      <c r="CX1274" t="str">
        <f>""</f>
        <v/>
      </c>
      <c r="CY1274" t="str">
        <f>""</f>
        <v/>
      </c>
      <c r="CZ1274" t="str">
        <f>""</f>
        <v/>
      </c>
      <c r="DA1274" t="str">
        <f>""</f>
        <v/>
      </c>
      <c r="DB1274" t="str">
        <f>""</f>
        <v/>
      </c>
      <c r="DC1274" t="str">
        <f>""</f>
        <v/>
      </c>
      <c r="DD1274" t="str">
        <f>""</f>
        <v/>
      </c>
      <c r="DE1274" t="str">
        <f>""</f>
        <v/>
      </c>
      <c r="DF1274" t="str">
        <f>""</f>
        <v/>
      </c>
      <c r="DG1274" t="str">
        <f>""</f>
        <v/>
      </c>
      <c r="DH1274" t="str">
        <f>""</f>
        <v/>
      </c>
      <c r="DI1274" t="str">
        <f>""</f>
        <v/>
      </c>
      <c r="DJ1274" t="str">
        <f>""</f>
        <v/>
      </c>
      <c r="DK1274" t="str">
        <f>""</f>
        <v/>
      </c>
      <c r="DL1274" t="str">
        <f>""</f>
        <v/>
      </c>
      <c r="DM1274" t="str">
        <f>""</f>
        <v/>
      </c>
      <c r="DN1274" t="str">
        <f>""</f>
        <v/>
      </c>
      <c r="DO1274" t="str">
        <f>""</f>
        <v/>
      </c>
      <c r="DP1274" t="str">
        <f>""</f>
        <v/>
      </c>
      <c r="DQ1274" t="str">
        <f>""</f>
        <v/>
      </c>
      <c r="DR1274" t="str">
        <f>""</f>
        <v/>
      </c>
      <c r="DS1274" t="str">
        <f>""</f>
        <v/>
      </c>
      <c r="DT1274" t="str">
        <f>""</f>
        <v/>
      </c>
      <c r="DU1274" t="str">
        <f>""</f>
        <v/>
      </c>
    </row>
    <row r="1275" spans="1:125" x14ac:dyDescent="0.25">
      <c r="A1275" t="str">
        <f>$A$617</f>
        <v xml:space="preserve">    Tofas Turk Otomobil Fabrikasi AS</v>
      </c>
      <c r="B1275" t="str">
        <f>$B$617</f>
        <v>TOASOTRY EO Equity</v>
      </c>
      <c r="C1275" t="str">
        <f>$C$617</f>
        <v>RX072</v>
      </c>
      <c r="D1275" t="str">
        <f>$D$617</f>
        <v>FREE_CASH_FLOW_YIELD</v>
      </c>
      <c r="E1275" t="str">
        <f>$E$617</f>
        <v>Dynamic</v>
      </c>
      <c r="F1275" t="str">
        <f ca="1">_xll.BDH($B$617,$C$617,$B$675,$B$676,CONCATENATE("Per=",$B$673),"Dts=H","Dir=H",CONCATENATE("Points=",$B$674),"Sort=R","Days=A","Fill=B",CONCATENATE("FX=", $B$672) )</f>
        <v>#N/A Connection</v>
      </c>
      <c r="BN1275" t="str">
        <f>""</f>
        <v/>
      </c>
      <c r="BO1275" t="str">
        <f>""</f>
        <v/>
      </c>
      <c r="BP1275" t="str">
        <f>""</f>
        <v/>
      </c>
      <c r="BQ1275" t="str">
        <f>""</f>
        <v/>
      </c>
      <c r="BR1275" t="str">
        <f>""</f>
        <v/>
      </c>
      <c r="BS1275" t="str">
        <f>""</f>
        <v/>
      </c>
      <c r="BT1275" t="str">
        <f>""</f>
        <v/>
      </c>
      <c r="BU1275" t="str">
        <f>""</f>
        <v/>
      </c>
      <c r="BV1275" t="str">
        <f>""</f>
        <v/>
      </c>
      <c r="BW1275" t="str">
        <f>""</f>
        <v/>
      </c>
      <c r="BX1275" t="str">
        <f>""</f>
        <v/>
      </c>
      <c r="BY1275" t="str">
        <f>""</f>
        <v/>
      </c>
      <c r="BZ1275" t="str">
        <f>""</f>
        <v/>
      </c>
      <c r="CA1275" t="str">
        <f>""</f>
        <v/>
      </c>
      <c r="CB1275" t="str">
        <f>""</f>
        <v/>
      </c>
      <c r="CC1275" t="str">
        <f>""</f>
        <v/>
      </c>
      <c r="CD1275" t="str">
        <f>""</f>
        <v/>
      </c>
      <c r="CE1275" t="str">
        <f>""</f>
        <v/>
      </c>
      <c r="CF1275" t="str">
        <f>""</f>
        <v/>
      </c>
      <c r="CG1275" t="str">
        <f>""</f>
        <v/>
      </c>
      <c r="CH1275" t="str">
        <f>""</f>
        <v/>
      </c>
      <c r="CI1275" t="str">
        <f>""</f>
        <v/>
      </c>
      <c r="CJ1275" t="str">
        <f>""</f>
        <v/>
      </c>
      <c r="CK1275" t="str">
        <f>""</f>
        <v/>
      </c>
      <c r="CL1275" t="str">
        <f>""</f>
        <v/>
      </c>
      <c r="CM1275" t="str">
        <f>""</f>
        <v/>
      </c>
      <c r="CN1275" t="str">
        <f>""</f>
        <v/>
      </c>
      <c r="CO1275" t="str">
        <f>""</f>
        <v/>
      </c>
      <c r="CP1275" t="str">
        <f>""</f>
        <v/>
      </c>
      <c r="CQ1275" t="str">
        <f>""</f>
        <v/>
      </c>
      <c r="CR1275" t="str">
        <f>""</f>
        <v/>
      </c>
      <c r="CS1275" t="str">
        <f>""</f>
        <v/>
      </c>
      <c r="CT1275" t="str">
        <f>""</f>
        <v/>
      </c>
      <c r="CU1275" t="str">
        <f>""</f>
        <v/>
      </c>
      <c r="CV1275" t="str">
        <f>""</f>
        <v/>
      </c>
      <c r="CW1275" t="str">
        <f>""</f>
        <v/>
      </c>
      <c r="CX1275" t="str">
        <f>""</f>
        <v/>
      </c>
      <c r="CY1275" t="str">
        <f>""</f>
        <v/>
      </c>
      <c r="CZ1275" t="str">
        <f>""</f>
        <v/>
      </c>
      <c r="DA1275" t="str">
        <f>""</f>
        <v/>
      </c>
      <c r="DB1275" t="str">
        <f>""</f>
        <v/>
      </c>
      <c r="DC1275" t="str">
        <f>""</f>
        <v/>
      </c>
      <c r="DD1275" t="str">
        <f>""</f>
        <v/>
      </c>
      <c r="DE1275" t="str">
        <f>""</f>
        <v/>
      </c>
      <c r="DF1275" t="str">
        <f>""</f>
        <v/>
      </c>
      <c r="DG1275" t="str">
        <f>""</f>
        <v/>
      </c>
      <c r="DH1275" t="str">
        <f>""</f>
        <v/>
      </c>
      <c r="DI1275" t="str">
        <f>""</f>
        <v/>
      </c>
      <c r="DJ1275" t="str">
        <f>""</f>
        <v/>
      </c>
      <c r="DK1275" t="str">
        <f>""</f>
        <v/>
      </c>
      <c r="DL1275" t="str">
        <f>""</f>
        <v/>
      </c>
      <c r="DM1275" t="str">
        <f>""</f>
        <v/>
      </c>
      <c r="DN1275" t="str">
        <f>""</f>
        <v/>
      </c>
      <c r="DO1275" t="str">
        <f>""</f>
        <v/>
      </c>
      <c r="DP1275" t="str">
        <f>""</f>
        <v/>
      </c>
      <c r="DQ1275" t="str">
        <f>""</f>
        <v/>
      </c>
      <c r="DR1275" t="str">
        <f>""</f>
        <v/>
      </c>
      <c r="DS1275" t="str">
        <f>""</f>
        <v/>
      </c>
      <c r="DT1275" t="str">
        <f>""</f>
        <v/>
      </c>
      <c r="DU1275" t="str">
        <f>""</f>
        <v/>
      </c>
    </row>
    <row r="1276" spans="1:125" x14ac:dyDescent="0.25">
      <c r="A1276" t="str">
        <f>$A$618</f>
        <v xml:space="preserve">    Toyota Motor Corp</v>
      </c>
      <c r="B1276" t="str">
        <f>$B$618</f>
        <v>7203 JP Equity</v>
      </c>
      <c r="C1276" t="str">
        <f>$C$618</f>
        <v>RX072</v>
      </c>
      <c r="D1276" t="str">
        <f>$D$618</f>
        <v>FREE_CASH_FLOW_YIELD</v>
      </c>
      <c r="E1276" t="str">
        <f>$E$618</f>
        <v>Dynamic</v>
      </c>
      <c r="F1276" t="str">
        <f ca="1">_xll.BDH($B$618,$C$618,$B$675,$B$676,CONCATENATE("Per=",$B$673),"Dts=H","Dir=H",CONCATENATE("Points=",$B$674),"Sort=R","Days=A","Fill=B",CONCATENATE("FX=", $B$672) )</f>
        <v>#N/A Connection</v>
      </c>
      <c r="BN1276" t="str">
        <f>""</f>
        <v/>
      </c>
      <c r="BO1276" t="str">
        <f>""</f>
        <v/>
      </c>
      <c r="BP1276" t="str">
        <f>""</f>
        <v/>
      </c>
      <c r="BQ1276" t="str">
        <f>""</f>
        <v/>
      </c>
      <c r="BR1276" t="str">
        <f>""</f>
        <v/>
      </c>
      <c r="BS1276" t="str">
        <f>""</f>
        <v/>
      </c>
      <c r="BT1276" t="str">
        <f>""</f>
        <v/>
      </c>
      <c r="BU1276" t="str">
        <f>""</f>
        <v/>
      </c>
      <c r="BV1276" t="str">
        <f>""</f>
        <v/>
      </c>
      <c r="BW1276" t="str">
        <f>""</f>
        <v/>
      </c>
      <c r="BX1276" t="str">
        <f>""</f>
        <v/>
      </c>
      <c r="BY1276" t="str">
        <f>""</f>
        <v/>
      </c>
      <c r="BZ1276" t="str">
        <f>""</f>
        <v/>
      </c>
      <c r="CA1276" t="str">
        <f>""</f>
        <v/>
      </c>
      <c r="CB1276" t="str">
        <f>""</f>
        <v/>
      </c>
      <c r="CC1276" t="str">
        <f>""</f>
        <v/>
      </c>
      <c r="CD1276" t="str">
        <f>""</f>
        <v/>
      </c>
      <c r="CE1276" t="str">
        <f>""</f>
        <v/>
      </c>
      <c r="CF1276" t="str">
        <f>""</f>
        <v/>
      </c>
      <c r="CG1276" t="str">
        <f>""</f>
        <v/>
      </c>
      <c r="CH1276" t="str">
        <f>""</f>
        <v/>
      </c>
      <c r="CI1276" t="str">
        <f>""</f>
        <v/>
      </c>
      <c r="CJ1276" t="str">
        <f>""</f>
        <v/>
      </c>
      <c r="CK1276" t="str">
        <f>""</f>
        <v/>
      </c>
      <c r="CL1276" t="str">
        <f>""</f>
        <v/>
      </c>
      <c r="CM1276" t="str">
        <f>""</f>
        <v/>
      </c>
      <c r="CN1276" t="str">
        <f>""</f>
        <v/>
      </c>
      <c r="CO1276" t="str">
        <f>""</f>
        <v/>
      </c>
      <c r="CP1276" t="str">
        <f>""</f>
        <v/>
      </c>
      <c r="CQ1276" t="str">
        <f>""</f>
        <v/>
      </c>
      <c r="CR1276" t="str">
        <f>""</f>
        <v/>
      </c>
      <c r="CS1276" t="str">
        <f>""</f>
        <v/>
      </c>
      <c r="CT1276" t="str">
        <f>""</f>
        <v/>
      </c>
      <c r="CU1276" t="str">
        <f>""</f>
        <v/>
      </c>
      <c r="CV1276" t="str">
        <f>""</f>
        <v/>
      </c>
      <c r="CW1276" t="str">
        <f>""</f>
        <v/>
      </c>
      <c r="CX1276" t="str">
        <f>""</f>
        <v/>
      </c>
      <c r="CY1276" t="str">
        <f>""</f>
        <v/>
      </c>
      <c r="CZ1276" t="str">
        <f>""</f>
        <v/>
      </c>
      <c r="DA1276" t="str">
        <f>""</f>
        <v/>
      </c>
      <c r="DB1276" t="str">
        <f>""</f>
        <v/>
      </c>
      <c r="DC1276" t="str">
        <f>""</f>
        <v/>
      </c>
      <c r="DD1276" t="str">
        <f>""</f>
        <v/>
      </c>
      <c r="DE1276" t="str">
        <f>""</f>
        <v/>
      </c>
      <c r="DF1276" t="str">
        <f>""</f>
        <v/>
      </c>
      <c r="DG1276" t="str">
        <f>""</f>
        <v/>
      </c>
      <c r="DH1276" t="str">
        <f>""</f>
        <v/>
      </c>
      <c r="DI1276" t="str">
        <f>""</f>
        <v/>
      </c>
      <c r="DJ1276" t="str">
        <f>""</f>
        <v/>
      </c>
      <c r="DK1276" t="str">
        <f>""</f>
        <v/>
      </c>
      <c r="DL1276" t="str">
        <f>""</f>
        <v/>
      </c>
      <c r="DM1276" t="str">
        <f>""</f>
        <v/>
      </c>
      <c r="DN1276" t="str">
        <f>""</f>
        <v/>
      </c>
      <c r="DO1276" t="str">
        <f>""</f>
        <v/>
      </c>
      <c r="DP1276" t="str">
        <f>""</f>
        <v/>
      </c>
      <c r="DQ1276" t="str">
        <f>""</f>
        <v/>
      </c>
      <c r="DR1276" t="str">
        <f>""</f>
        <v/>
      </c>
      <c r="DS1276" t="str">
        <f>""</f>
        <v/>
      </c>
      <c r="DT1276" t="str">
        <f>""</f>
        <v/>
      </c>
      <c r="DU1276" t="str">
        <f>""</f>
        <v/>
      </c>
    </row>
    <row r="1277" spans="1:125" x14ac:dyDescent="0.25">
      <c r="A1277" t="str">
        <f>$A$619</f>
        <v xml:space="preserve">    Volkswagen AG</v>
      </c>
      <c r="B1277" t="str">
        <f>$B$619</f>
        <v>VOW GR Equity</v>
      </c>
      <c r="C1277" t="str">
        <f>$C$619</f>
        <v>RX072</v>
      </c>
      <c r="D1277" t="str">
        <f>$D$619</f>
        <v>FREE_CASH_FLOW_YIELD</v>
      </c>
      <c r="E1277" t="str">
        <f>$E$619</f>
        <v>Dynamic</v>
      </c>
      <c r="F1277" t="str">
        <f ca="1">_xll.BDH($B$619,$C$619,$B$675,$B$676,CONCATENATE("Per=",$B$673),"Dts=H","Dir=H",CONCATENATE("Points=",$B$674),"Sort=R","Days=A","Fill=B",CONCATENATE("FX=", $B$672) )</f>
        <v>#N/A Connection</v>
      </c>
      <c r="BN1277" t="str">
        <f>""</f>
        <v/>
      </c>
      <c r="BO1277" t="str">
        <f>""</f>
        <v/>
      </c>
      <c r="BP1277" t="str">
        <f>""</f>
        <v/>
      </c>
      <c r="BQ1277" t="str">
        <f>""</f>
        <v/>
      </c>
      <c r="BR1277" t="str">
        <f>""</f>
        <v/>
      </c>
      <c r="BS1277" t="str">
        <f>""</f>
        <v/>
      </c>
      <c r="BT1277" t="str">
        <f>""</f>
        <v/>
      </c>
      <c r="BU1277" t="str">
        <f>""</f>
        <v/>
      </c>
      <c r="BV1277" t="str">
        <f>""</f>
        <v/>
      </c>
      <c r="BW1277" t="str">
        <f>""</f>
        <v/>
      </c>
      <c r="BX1277" t="str">
        <f>""</f>
        <v/>
      </c>
      <c r="BY1277" t="str">
        <f>""</f>
        <v/>
      </c>
      <c r="BZ1277" t="str">
        <f>""</f>
        <v/>
      </c>
      <c r="CA1277" t="str">
        <f>""</f>
        <v/>
      </c>
      <c r="CB1277" t="str">
        <f>""</f>
        <v/>
      </c>
      <c r="CC1277" t="str">
        <f>""</f>
        <v/>
      </c>
      <c r="CD1277" t="str">
        <f>""</f>
        <v/>
      </c>
      <c r="CE1277" t="str">
        <f>""</f>
        <v/>
      </c>
      <c r="CF1277" t="str">
        <f>""</f>
        <v/>
      </c>
      <c r="CG1277" t="str">
        <f>""</f>
        <v/>
      </c>
      <c r="CH1277" t="str">
        <f>""</f>
        <v/>
      </c>
      <c r="CI1277" t="str">
        <f>""</f>
        <v/>
      </c>
      <c r="CJ1277" t="str">
        <f>""</f>
        <v/>
      </c>
      <c r="CK1277" t="str">
        <f>""</f>
        <v/>
      </c>
      <c r="CL1277" t="str">
        <f>""</f>
        <v/>
      </c>
      <c r="CM1277" t="str">
        <f>""</f>
        <v/>
      </c>
      <c r="CN1277" t="str">
        <f>""</f>
        <v/>
      </c>
      <c r="CO1277" t="str">
        <f>""</f>
        <v/>
      </c>
      <c r="CP1277" t="str">
        <f>""</f>
        <v/>
      </c>
      <c r="CQ1277" t="str">
        <f>""</f>
        <v/>
      </c>
      <c r="CR1277" t="str">
        <f>""</f>
        <v/>
      </c>
      <c r="CS1277" t="str">
        <f>""</f>
        <v/>
      </c>
      <c r="CT1277" t="str">
        <f>""</f>
        <v/>
      </c>
      <c r="CU1277" t="str">
        <f>""</f>
        <v/>
      </c>
      <c r="CV1277" t="str">
        <f>""</f>
        <v/>
      </c>
      <c r="CW1277" t="str">
        <f>""</f>
        <v/>
      </c>
      <c r="CX1277" t="str">
        <f>""</f>
        <v/>
      </c>
      <c r="CY1277" t="str">
        <f>""</f>
        <v/>
      </c>
      <c r="CZ1277" t="str">
        <f>""</f>
        <v/>
      </c>
      <c r="DA1277" t="str">
        <f>""</f>
        <v/>
      </c>
      <c r="DB1277" t="str">
        <f>""</f>
        <v/>
      </c>
      <c r="DC1277" t="str">
        <f>""</f>
        <v/>
      </c>
      <c r="DD1277" t="str">
        <f>""</f>
        <v/>
      </c>
      <c r="DE1277" t="str">
        <f>""</f>
        <v/>
      </c>
      <c r="DF1277" t="str">
        <f>""</f>
        <v/>
      </c>
      <c r="DG1277" t="str">
        <f>""</f>
        <v/>
      </c>
      <c r="DH1277" t="str">
        <f>""</f>
        <v/>
      </c>
      <c r="DI1277" t="str">
        <f>""</f>
        <v/>
      </c>
      <c r="DJ1277" t="str">
        <f>""</f>
        <v/>
      </c>
      <c r="DK1277" t="str">
        <f>""</f>
        <v/>
      </c>
      <c r="DL1277" t="str">
        <f>""</f>
        <v/>
      </c>
      <c r="DM1277" t="str">
        <f>""</f>
        <v/>
      </c>
      <c r="DN1277" t="str">
        <f>""</f>
        <v/>
      </c>
      <c r="DO1277" t="str">
        <f>""</f>
        <v/>
      </c>
      <c r="DP1277" t="str">
        <f>""</f>
        <v/>
      </c>
      <c r="DQ1277" t="str">
        <f>""</f>
        <v/>
      </c>
      <c r="DR1277" t="str">
        <f>""</f>
        <v/>
      </c>
      <c r="DS1277" t="str">
        <f>""</f>
        <v/>
      </c>
      <c r="DT1277" t="str">
        <f>""</f>
        <v/>
      </c>
      <c r="DU1277" t="str">
        <f>""</f>
        <v/>
      </c>
    </row>
    <row r="1278" spans="1:125" x14ac:dyDescent="0.25">
      <c r="A1278" t="str">
        <f>$A$620</f>
        <v xml:space="preserve">    Yulon Motor Co Ltd</v>
      </c>
      <c r="B1278" t="str">
        <f>$B$620</f>
        <v>2201 TT Equity</v>
      </c>
      <c r="C1278" t="str">
        <f>$C$620</f>
        <v>RX072</v>
      </c>
      <c r="D1278" t="str">
        <f>$D$620</f>
        <v>FREE_CASH_FLOW_YIELD</v>
      </c>
      <c r="E1278" t="str">
        <f>$E$620</f>
        <v>Dynamic</v>
      </c>
      <c r="F1278" t="str">
        <f ca="1">_xll.BDH($B$620,$C$620,$B$675,$B$676,CONCATENATE("Per=",$B$673),"Dts=H","Dir=H",CONCATENATE("Points=",$B$674),"Sort=R","Days=A","Fill=B",CONCATENATE("FX=", $B$672) )</f>
        <v>#N/A Connection</v>
      </c>
      <c r="BN1278" t="str">
        <f>""</f>
        <v/>
      </c>
      <c r="BO1278" t="str">
        <f>""</f>
        <v/>
      </c>
      <c r="BP1278" t="str">
        <f>""</f>
        <v/>
      </c>
      <c r="BQ1278" t="str">
        <f>""</f>
        <v/>
      </c>
      <c r="BR1278" t="str">
        <f>""</f>
        <v/>
      </c>
      <c r="BS1278" t="str">
        <f>""</f>
        <v/>
      </c>
      <c r="BT1278" t="str">
        <f>""</f>
        <v/>
      </c>
      <c r="BU1278" t="str">
        <f>""</f>
        <v/>
      </c>
      <c r="BV1278" t="str">
        <f>""</f>
        <v/>
      </c>
      <c r="BW1278" t="str">
        <f>""</f>
        <v/>
      </c>
      <c r="BX1278" t="str">
        <f>""</f>
        <v/>
      </c>
      <c r="BY1278" t="str">
        <f>""</f>
        <v/>
      </c>
      <c r="BZ1278" t="str">
        <f>""</f>
        <v/>
      </c>
      <c r="CA1278" t="str">
        <f>""</f>
        <v/>
      </c>
      <c r="CB1278" t="str">
        <f>""</f>
        <v/>
      </c>
      <c r="CC1278" t="str">
        <f>""</f>
        <v/>
      </c>
      <c r="CD1278" t="str">
        <f>""</f>
        <v/>
      </c>
      <c r="CE1278" t="str">
        <f>""</f>
        <v/>
      </c>
      <c r="CF1278" t="str">
        <f>""</f>
        <v/>
      </c>
      <c r="CG1278" t="str">
        <f>""</f>
        <v/>
      </c>
      <c r="CH1278" t="str">
        <f>""</f>
        <v/>
      </c>
      <c r="CI1278" t="str">
        <f>""</f>
        <v/>
      </c>
      <c r="CJ1278" t="str">
        <f>""</f>
        <v/>
      </c>
      <c r="CK1278" t="str">
        <f>""</f>
        <v/>
      </c>
      <c r="CL1278" t="str">
        <f>""</f>
        <v/>
      </c>
      <c r="CM1278" t="str">
        <f>""</f>
        <v/>
      </c>
      <c r="CN1278" t="str">
        <f>""</f>
        <v/>
      </c>
      <c r="CO1278" t="str">
        <f>""</f>
        <v/>
      </c>
      <c r="CP1278" t="str">
        <f>""</f>
        <v/>
      </c>
      <c r="CQ1278" t="str">
        <f>""</f>
        <v/>
      </c>
      <c r="CR1278" t="str">
        <f>""</f>
        <v/>
      </c>
      <c r="CS1278" t="str">
        <f>""</f>
        <v/>
      </c>
      <c r="CT1278" t="str">
        <f>""</f>
        <v/>
      </c>
      <c r="CU1278" t="str">
        <f>""</f>
        <v/>
      </c>
      <c r="CV1278" t="str">
        <f>""</f>
        <v/>
      </c>
      <c r="CW1278" t="str">
        <f>""</f>
        <v/>
      </c>
      <c r="CX1278" t="str">
        <f>""</f>
        <v/>
      </c>
      <c r="CY1278" t="str">
        <f>""</f>
        <v/>
      </c>
      <c r="CZ1278" t="str">
        <f>""</f>
        <v/>
      </c>
      <c r="DA1278" t="str">
        <f>""</f>
        <v/>
      </c>
      <c r="DB1278" t="str">
        <f>""</f>
        <v/>
      </c>
      <c r="DC1278" t="str">
        <f>""</f>
        <v/>
      </c>
      <c r="DD1278" t="str">
        <f>""</f>
        <v/>
      </c>
      <c r="DE1278" t="str">
        <f>""</f>
        <v/>
      </c>
      <c r="DF1278" t="str">
        <f>""</f>
        <v/>
      </c>
      <c r="DG1278" t="str">
        <f>""</f>
        <v/>
      </c>
      <c r="DH1278" t="str">
        <f>""</f>
        <v/>
      </c>
      <c r="DI1278" t="str">
        <f>""</f>
        <v/>
      </c>
      <c r="DJ1278" t="str">
        <f>""</f>
        <v/>
      </c>
      <c r="DK1278" t="str">
        <f>""</f>
        <v/>
      </c>
      <c r="DL1278" t="str">
        <f>""</f>
        <v/>
      </c>
      <c r="DM1278" t="str">
        <f>""</f>
        <v/>
      </c>
      <c r="DN1278" t="str">
        <f>""</f>
        <v/>
      </c>
      <c r="DO1278" t="str">
        <f>""</f>
        <v/>
      </c>
      <c r="DP1278" t="str">
        <f>""</f>
        <v/>
      </c>
      <c r="DQ1278" t="str">
        <f>""</f>
        <v/>
      </c>
      <c r="DR1278" t="str">
        <f>""</f>
        <v/>
      </c>
      <c r="DS1278" t="str">
        <f>""</f>
        <v/>
      </c>
      <c r="DT1278" t="str">
        <f>""</f>
        <v/>
      </c>
      <c r="DU1278" t="str">
        <f>""</f>
        <v/>
      </c>
    </row>
    <row r="1279" spans="1:125" x14ac:dyDescent="0.25">
      <c r="A1279" t="str">
        <f>$A$622</f>
        <v xml:space="preserve">    AUDI AG</v>
      </c>
      <c r="B1279" t="str">
        <f>$B$622</f>
        <v>NSU GR Equity</v>
      </c>
      <c r="C1279" t="str">
        <f>$C$622</f>
        <v>RX539</v>
      </c>
      <c r="D1279" t="str">
        <f>$D$622</f>
        <v>T12_FCF_YIELD</v>
      </c>
      <c r="E1279" t="str">
        <f>$E$622</f>
        <v>Dynamic</v>
      </c>
      <c r="F1279" t="str">
        <f ca="1">_xll.BDH($B$622,$C$622,$B$675,$B$676,CONCATENATE("Per=",$B$673),"Dts=H","Dir=H",CONCATENATE("Points=",$B$674),"Sort=R","Days=A","Fill=B",CONCATENATE("FX=", $B$672) )</f>
        <v>#N/A Connection</v>
      </c>
      <c r="BN1279" t="str">
        <f>""</f>
        <v/>
      </c>
      <c r="BO1279" t="str">
        <f>""</f>
        <v/>
      </c>
      <c r="BP1279" t="str">
        <f>""</f>
        <v/>
      </c>
      <c r="BQ1279" t="str">
        <f>""</f>
        <v/>
      </c>
      <c r="BR1279" t="str">
        <f>""</f>
        <v/>
      </c>
      <c r="BS1279" t="str">
        <f>""</f>
        <v/>
      </c>
      <c r="BT1279" t="str">
        <f>""</f>
        <v/>
      </c>
      <c r="BU1279" t="str">
        <f>""</f>
        <v/>
      </c>
      <c r="BV1279" t="str">
        <f>""</f>
        <v/>
      </c>
      <c r="BW1279" t="str">
        <f>""</f>
        <v/>
      </c>
      <c r="BX1279" t="str">
        <f>""</f>
        <v/>
      </c>
      <c r="BY1279" t="str">
        <f>""</f>
        <v/>
      </c>
      <c r="BZ1279" t="str">
        <f>""</f>
        <v/>
      </c>
      <c r="CA1279" t="str">
        <f>""</f>
        <v/>
      </c>
      <c r="CB1279" t="str">
        <f>""</f>
        <v/>
      </c>
      <c r="CC1279" t="str">
        <f>""</f>
        <v/>
      </c>
      <c r="CD1279" t="str">
        <f>""</f>
        <v/>
      </c>
      <c r="CE1279" t="str">
        <f>""</f>
        <v/>
      </c>
      <c r="CF1279" t="str">
        <f>""</f>
        <v/>
      </c>
      <c r="CG1279" t="str">
        <f>""</f>
        <v/>
      </c>
      <c r="CH1279" t="str">
        <f>""</f>
        <v/>
      </c>
      <c r="CI1279" t="str">
        <f>""</f>
        <v/>
      </c>
      <c r="CJ1279" t="str">
        <f>""</f>
        <v/>
      </c>
      <c r="CK1279" t="str">
        <f>""</f>
        <v/>
      </c>
      <c r="CL1279" t="str">
        <f>""</f>
        <v/>
      </c>
      <c r="CM1279" t="str">
        <f>""</f>
        <v/>
      </c>
      <c r="CN1279" t="str">
        <f>""</f>
        <v/>
      </c>
      <c r="CO1279" t="str">
        <f>""</f>
        <v/>
      </c>
      <c r="CP1279" t="str">
        <f>""</f>
        <v/>
      </c>
      <c r="CQ1279" t="str">
        <f>""</f>
        <v/>
      </c>
      <c r="CR1279" t="str">
        <f>""</f>
        <v/>
      </c>
      <c r="CS1279" t="str">
        <f>""</f>
        <v/>
      </c>
      <c r="CT1279" t="str">
        <f>""</f>
        <v/>
      </c>
      <c r="CU1279" t="str">
        <f>""</f>
        <v/>
      </c>
      <c r="CV1279" t="str">
        <f>""</f>
        <v/>
      </c>
      <c r="CW1279" t="str">
        <f>""</f>
        <v/>
      </c>
      <c r="CX1279" t="str">
        <f>""</f>
        <v/>
      </c>
      <c r="CY1279" t="str">
        <f>""</f>
        <v/>
      </c>
      <c r="CZ1279" t="str">
        <f>""</f>
        <v/>
      </c>
      <c r="DA1279" t="str">
        <f>""</f>
        <v/>
      </c>
      <c r="DB1279" t="str">
        <f>""</f>
        <v/>
      </c>
      <c r="DC1279" t="str">
        <f>""</f>
        <v/>
      </c>
      <c r="DD1279" t="str">
        <f>""</f>
        <v/>
      </c>
      <c r="DE1279" t="str">
        <f>""</f>
        <v/>
      </c>
      <c r="DF1279" t="str">
        <f>""</f>
        <v/>
      </c>
      <c r="DG1279" t="str">
        <f>""</f>
        <v/>
      </c>
      <c r="DH1279" t="str">
        <f>""</f>
        <v/>
      </c>
      <c r="DI1279" t="str">
        <f>""</f>
        <v/>
      </c>
      <c r="DJ1279" t="str">
        <f>""</f>
        <v/>
      </c>
      <c r="DK1279" t="str">
        <f>""</f>
        <v/>
      </c>
      <c r="DL1279" t="str">
        <f>""</f>
        <v/>
      </c>
      <c r="DM1279" t="str">
        <f>""</f>
        <v/>
      </c>
      <c r="DN1279" t="str">
        <f>""</f>
        <v/>
      </c>
      <c r="DO1279" t="str">
        <f>""</f>
        <v/>
      </c>
      <c r="DP1279" t="str">
        <f>""</f>
        <v/>
      </c>
      <c r="DQ1279" t="str">
        <f>""</f>
        <v/>
      </c>
      <c r="DR1279" t="str">
        <f>""</f>
        <v/>
      </c>
      <c r="DS1279" t="str">
        <f>""</f>
        <v/>
      </c>
      <c r="DT1279" t="str">
        <f>""</f>
        <v/>
      </c>
      <c r="DU1279" t="str">
        <f>""</f>
        <v/>
      </c>
    </row>
    <row r="1280" spans="1:125" x14ac:dyDescent="0.25">
      <c r="A1280" t="str">
        <f>$A$623</f>
        <v xml:space="preserve">    Avtovaz PJSC</v>
      </c>
      <c r="B1280" t="str">
        <f>$B$623</f>
        <v>AVAZ RM Equity</v>
      </c>
      <c r="C1280" t="str">
        <f>$C$623</f>
        <v>RX539</v>
      </c>
      <c r="D1280" t="str">
        <f>$D$623</f>
        <v>T12_FCF_YIELD</v>
      </c>
      <c r="E1280" t="str">
        <f>$E$623</f>
        <v>Dynamic</v>
      </c>
      <c r="F1280" t="str">
        <f ca="1">_xll.BDH($B$623,$C$623,$B$675,$B$676,CONCATENATE("Per=",$B$673),"Dts=H","Dir=H",CONCATENATE("Points=",$B$674),"Sort=R","Days=A","Fill=B",CONCATENATE("FX=", $B$672) )</f>
        <v>#N/A Connection</v>
      </c>
      <c r="BN1280" t="str">
        <f>""</f>
        <v/>
      </c>
      <c r="BO1280" t="str">
        <f>""</f>
        <v/>
      </c>
      <c r="BP1280" t="str">
        <f>""</f>
        <v/>
      </c>
      <c r="BQ1280" t="str">
        <f>""</f>
        <v/>
      </c>
      <c r="BR1280" t="str">
        <f>""</f>
        <v/>
      </c>
      <c r="BS1280" t="str">
        <f>""</f>
        <v/>
      </c>
      <c r="BT1280" t="str">
        <f>""</f>
        <v/>
      </c>
      <c r="BU1280" t="str">
        <f>""</f>
        <v/>
      </c>
      <c r="BV1280" t="str">
        <f>""</f>
        <v/>
      </c>
      <c r="BW1280" t="str">
        <f>""</f>
        <v/>
      </c>
      <c r="BX1280" t="str">
        <f>""</f>
        <v/>
      </c>
      <c r="BY1280" t="str">
        <f>""</f>
        <v/>
      </c>
      <c r="BZ1280" t="str">
        <f>""</f>
        <v/>
      </c>
      <c r="CA1280" t="str">
        <f>""</f>
        <v/>
      </c>
      <c r="CB1280" t="str">
        <f>""</f>
        <v/>
      </c>
      <c r="CC1280" t="str">
        <f>""</f>
        <v/>
      </c>
      <c r="CD1280" t="str">
        <f>""</f>
        <v/>
      </c>
      <c r="CE1280" t="str">
        <f>""</f>
        <v/>
      </c>
      <c r="CF1280" t="str">
        <f>""</f>
        <v/>
      </c>
      <c r="CG1280" t="str">
        <f>""</f>
        <v/>
      </c>
      <c r="CH1280" t="str">
        <f>""</f>
        <v/>
      </c>
      <c r="CI1280" t="str">
        <f>""</f>
        <v/>
      </c>
      <c r="CJ1280" t="str">
        <f>""</f>
        <v/>
      </c>
      <c r="CK1280" t="str">
        <f>""</f>
        <v/>
      </c>
      <c r="CL1280" t="str">
        <f>""</f>
        <v/>
      </c>
      <c r="CM1280" t="str">
        <f>""</f>
        <v/>
      </c>
      <c r="CN1280" t="str">
        <f>""</f>
        <v/>
      </c>
      <c r="CO1280" t="str">
        <f>""</f>
        <v/>
      </c>
      <c r="CP1280" t="str">
        <f>""</f>
        <v/>
      </c>
      <c r="CQ1280" t="str">
        <f>""</f>
        <v/>
      </c>
      <c r="CR1280" t="str">
        <f>""</f>
        <v/>
      </c>
      <c r="CS1280" t="str">
        <f>""</f>
        <v/>
      </c>
      <c r="CT1280" t="str">
        <f>""</f>
        <v/>
      </c>
      <c r="CU1280" t="str">
        <f>""</f>
        <v/>
      </c>
      <c r="CV1280" t="str">
        <f>""</f>
        <v/>
      </c>
      <c r="CW1280" t="str">
        <f>""</f>
        <v/>
      </c>
      <c r="CX1280" t="str">
        <f>""</f>
        <v/>
      </c>
      <c r="CY1280" t="str">
        <f>""</f>
        <v/>
      </c>
      <c r="CZ1280" t="str">
        <f>""</f>
        <v/>
      </c>
      <c r="DA1280" t="str">
        <f>""</f>
        <v/>
      </c>
      <c r="DB1280" t="str">
        <f>""</f>
        <v/>
      </c>
      <c r="DC1280" t="str">
        <f>""</f>
        <v/>
      </c>
      <c r="DD1280" t="str">
        <f>""</f>
        <v/>
      </c>
      <c r="DE1280" t="str">
        <f>""</f>
        <v/>
      </c>
      <c r="DF1280" t="str">
        <f>""</f>
        <v/>
      </c>
      <c r="DG1280" t="str">
        <f>""</f>
        <v/>
      </c>
      <c r="DH1280" t="str">
        <f>""</f>
        <v/>
      </c>
      <c r="DI1280" t="str">
        <f>""</f>
        <v/>
      </c>
      <c r="DJ1280" t="str">
        <f>""</f>
        <v/>
      </c>
      <c r="DK1280" t="str">
        <f>""</f>
        <v/>
      </c>
      <c r="DL1280" t="str">
        <f>""</f>
        <v/>
      </c>
      <c r="DM1280" t="str">
        <f>""</f>
        <v/>
      </c>
      <c r="DN1280" t="str">
        <f>""</f>
        <v/>
      </c>
      <c r="DO1280" t="str">
        <f>""</f>
        <v/>
      </c>
      <c r="DP1280" t="str">
        <f>""</f>
        <v/>
      </c>
      <c r="DQ1280" t="str">
        <f>""</f>
        <v/>
      </c>
      <c r="DR1280" t="str">
        <f>""</f>
        <v/>
      </c>
      <c r="DS1280" t="str">
        <f>""</f>
        <v/>
      </c>
      <c r="DT1280" t="str">
        <f>""</f>
        <v/>
      </c>
      <c r="DU1280" t="str">
        <f>""</f>
        <v/>
      </c>
    </row>
    <row r="1281" spans="1:125" x14ac:dyDescent="0.25">
      <c r="A1281" t="str">
        <f>$A$624</f>
        <v xml:space="preserve">    Bayerische Motoren Werke AG</v>
      </c>
      <c r="B1281" t="str">
        <f>$B$624</f>
        <v>BMW GR Equity</v>
      </c>
      <c r="C1281" t="str">
        <f>$C$624</f>
        <v>RX539</v>
      </c>
      <c r="D1281" t="str">
        <f>$D$624</f>
        <v>T12_FCF_YIELD</v>
      </c>
      <c r="E1281" t="str">
        <f>$E$624</f>
        <v>Dynamic</v>
      </c>
      <c r="F1281" t="str">
        <f ca="1">_xll.BDH($B$624,$C$624,$B$675,$B$676,CONCATENATE("Per=",$B$673),"Dts=H","Dir=H",CONCATENATE("Points=",$B$674),"Sort=R","Days=A","Fill=B",CONCATENATE("FX=", $B$672) )</f>
        <v>#N/A Connection</v>
      </c>
      <c r="BN1281" t="str">
        <f>""</f>
        <v/>
      </c>
      <c r="BO1281" t="str">
        <f>""</f>
        <v/>
      </c>
      <c r="BP1281" t="str">
        <f>""</f>
        <v/>
      </c>
      <c r="BQ1281" t="str">
        <f>""</f>
        <v/>
      </c>
      <c r="BR1281" t="str">
        <f>""</f>
        <v/>
      </c>
      <c r="BS1281" t="str">
        <f>""</f>
        <v/>
      </c>
      <c r="BT1281" t="str">
        <f>""</f>
        <v/>
      </c>
      <c r="BU1281" t="str">
        <f>""</f>
        <v/>
      </c>
      <c r="BV1281" t="str">
        <f>""</f>
        <v/>
      </c>
      <c r="BW1281" t="str">
        <f>""</f>
        <v/>
      </c>
      <c r="BX1281" t="str">
        <f>""</f>
        <v/>
      </c>
      <c r="BY1281" t="str">
        <f>""</f>
        <v/>
      </c>
      <c r="BZ1281" t="str">
        <f>""</f>
        <v/>
      </c>
      <c r="CA1281" t="str">
        <f>""</f>
        <v/>
      </c>
      <c r="CB1281" t="str">
        <f>""</f>
        <v/>
      </c>
      <c r="CC1281" t="str">
        <f>""</f>
        <v/>
      </c>
      <c r="CD1281" t="str">
        <f>""</f>
        <v/>
      </c>
      <c r="CE1281" t="str">
        <f>""</f>
        <v/>
      </c>
      <c r="CF1281" t="str">
        <f>""</f>
        <v/>
      </c>
      <c r="CG1281" t="str">
        <f>""</f>
        <v/>
      </c>
      <c r="CH1281" t="str">
        <f>""</f>
        <v/>
      </c>
      <c r="CI1281" t="str">
        <f>""</f>
        <v/>
      </c>
      <c r="CJ1281" t="str">
        <f>""</f>
        <v/>
      </c>
      <c r="CK1281" t="str">
        <f>""</f>
        <v/>
      </c>
      <c r="CL1281" t="str">
        <f>""</f>
        <v/>
      </c>
      <c r="CM1281" t="str">
        <f>""</f>
        <v/>
      </c>
      <c r="CN1281" t="str">
        <f>""</f>
        <v/>
      </c>
      <c r="CO1281" t="str">
        <f>""</f>
        <v/>
      </c>
      <c r="CP1281" t="str">
        <f>""</f>
        <v/>
      </c>
      <c r="CQ1281" t="str">
        <f>""</f>
        <v/>
      </c>
      <c r="CR1281" t="str">
        <f>""</f>
        <v/>
      </c>
      <c r="CS1281" t="str">
        <f>""</f>
        <v/>
      </c>
      <c r="CT1281" t="str">
        <f>""</f>
        <v/>
      </c>
      <c r="CU1281" t="str">
        <f>""</f>
        <v/>
      </c>
      <c r="CV1281" t="str">
        <f>""</f>
        <v/>
      </c>
      <c r="CW1281" t="str">
        <f>""</f>
        <v/>
      </c>
      <c r="CX1281" t="str">
        <f>""</f>
        <v/>
      </c>
      <c r="CY1281" t="str">
        <f>""</f>
        <v/>
      </c>
      <c r="CZ1281" t="str">
        <f>""</f>
        <v/>
      </c>
      <c r="DA1281" t="str">
        <f>""</f>
        <v/>
      </c>
      <c r="DB1281" t="str">
        <f>""</f>
        <v/>
      </c>
      <c r="DC1281" t="str">
        <f>""</f>
        <v/>
      </c>
      <c r="DD1281" t="str">
        <f>""</f>
        <v/>
      </c>
      <c r="DE1281" t="str">
        <f>""</f>
        <v/>
      </c>
      <c r="DF1281" t="str">
        <f>""</f>
        <v/>
      </c>
      <c r="DG1281" t="str">
        <f>""</f>
        <v/>
      </c>
      <c r="DH1281" t="str">
        <f>""</f>
        <v/>
      </c>
      <c r="DI1281" t="str">
        <f>""</f>
        <v/>
      </c>
      <c r="DJ1281" t="str">
        <f>""</f>
        <v/>
      </c>
      <c r="DK1281" t="str">
        <f>""</f>
        <v/>
      </c>
      <c r="DL1281" t="str">
        <f>""</f>
        <v/>
      </c>
      <c r="DM1281" t="str">
        <f>""</f>
        <v/>
      </c>
      <c r="DN1281" t="str">
        <f>""</f>
        <v/>
      </c>
      <c r="DO1281" t="str">
        <f>""</f>
        <v/>
      </c>
      <c r="DP1281" t="str">
        <f>""</f>
        <v/>
      </c>
      <c r="DQ1281" t="str">
        <f>""</f>
        <v/>
      </c>
      <c r="DR1281" t="str">
        <f>""</f>
        <v/>
      </c>
      <c r="DS1281" t="str">
        <f>""</f>
        <v/>
      </c>
      <c r="DT1281" t="str">
        <f>""</f>
        <v/>
      </c>
      <c r="DU1281" t="str">
        <f>""</f>
        <v/>
      </c>
    </row>
    <row r="1282" spans="1:125" x14ac:dyDescent="0.25">
      <c r="A1282" t="str">
        <f>$A$625</f>
        <v xml:space="preserve">    Brilliance China Automotive Holdings Ltd</v>
      </c>
      <c r="B1282" t="str">
        <f>$B$625</f>
        <v>1114 HK Equity</v>
      </c>
      <c r="C1282" t="str">
        <f>$C$625</f>
        <v>RX539</v>
      </c>
      <c r="D1282" t="str">
        <f>$D$625</f>
        <v>T12_FCF_YIELD</v>
      </c>
      <c r="E1282" t="str">
        <f>$E$625</f>
        <v>Dynamic</v>
      </c>
      <c r="F1282" t="str">
        <f ca="1">_xll.BDH($B$625,$C$625,$B$675,$B$676,CONCATENATE("Per=",$B$673),"Dts=H","Dir=H",CONCATENATE("Points=",$B$674),"Sort=R","Days=A","Fill=B",CONCATENATE("FX=", $B$672) )</f>
        <v>#N/A Connection</v>
      </c>
      <c r="BN1282" t="str">
        <f>""</f>
        <v/>
      </c>
      <c r="BO1282" t="str">
        <f>""</f>
        <v/>
      </c>
      <c r="BP1282" t="str">
        <f>""</f>
        <v/>
      </c>
      <c r="BQ1282" t="str">
        <f>""</f>
        <v/>
      </c>
      <c r="BR1282" t="str">
        <f>""</f>
        <v/>
      </c>
      <c r="BS1282" t="str">
        <f>""</f>
        <v/>
      </c>
      <c r="BT1282" t="str">
        <f>""</f>
        <v/>
      </c>
      <c r="BU1282" t="str">
        <f>""</f>
        <v/>
      </c>
      <c r="BV1282" t="str">
        <f>""</f>
        <v/>
      </c>
      <c r="BW1282" t="str">
        <f>""</f>
        <v/>
      </c>
      <c r="BX1282" t="str">
        <f>""</f>
        <v/>
      </c>
      <c r="BY1282" t="str">
        <f>""</f>
        <v/>
      </c>
      <c r="BZ1282" t="str">
        <f>""</f>
        <v/>
      </c>
      <c r="CA1282" t="str">
        <f>""</f>
        <v/>
      </c>
      <c r="CB1282" t="str">
        <f>""</f>
        <v/>
      </c>
      <c r="CC1282" t="str">
        <f>""</f>
        <v/>
      </c>
      <c r="CD1282" t="str">
        <f>""</f>
        <v/>
      </c>
      <c r="CE1282" t="str">
        <f>""</f>
        <v/>
      </c>
      <c r="CF1282" t="str">
        <f>""</f>
        <v/>
      </c>
      <c r="CG1282" t="str">
        <f>""</f>
        <v/>
      </c>
      <c r="CH1282" t="str">
        <f>""</f>
        <v/>
      </c>
      <c r="CI1282" t="str">
        <f>""</f>
        <v/>
      </c>
      <c r="CJ1282" t="str">
        <f>""</f>
        <v/>
      </c>
      <c r="CK1282" t="str">
        <f>""</f>
        <v/>
      </c>
      <c r="CL1282" t="str">
        <f>""</f>
        <v/>
      </c>
      <c r="CM1282" t="str">
        <f>""</f>
        <v/>
      </c>
      <c r="CN1282" t="str">
        <f>""</f>
        <v/>
      </c>
      <c r="CO1282" t="str">
        <f>""</f>
        <v/>
      </c>
      <c r="CP1282" t="str">
        <f>""</f>
        <v/>
      </c>
      <c r="CQ1282" t="str">
        <f>""</f>
        <v/>
      </c>
      <c r="CR1282" t="str">
        <f>""</f>
        <v/>
      </c>
      <c r="CS1282" t="str">
        <f>""</f>
        <v/>
      </c>
      <c r="CT1282" t="str">
        <f>""</f>
        <v/>
      </c>
      <c r="CU1282" t="str">
        <f>""</f>
        <v/>
      </c>
      <c r="CV1282" t="str">
        <f>""</f>
        <v/>
      </c>
      <c r="CW1282" t="str">
        <f>""</f>
        <v/>
      </c>
      <c r="CX1282" t="str">
        <f>""</f>
        <v/>
      </c>
      <c r="CY1282" t="str">
        <f>""</f>
        <v/>
      </c>
      <c r="CZ1282" t="str">
        <f>""</f>
        <v/>
      </c>
      <c r="DA1282" t="str">
        <f>""</f>
        <v/>
      </c>
      <c r="DB1282" t="str">
        <f>""</f>
        <v/>
      </c>
      <c r="DC1282" t="str">
        <f>""</f>
        <v/>
      </c>
      <c r="DD1282" t="str">
        <f>""</f>
        <v/>
      </c>
      <c r="DE1282" t="str">
        <f>""</f>
        <v/>
      </c>
      <c r="DF1282" t="str">
        <f>""</f>
        <v/>
      </c>
      <c r="DG1282" t="str">
        <f>""</f>
        <v/>
      </c>
      <c r="DH1282" t="str">
        <f>""</f>
        <v/>
      </c>
      <c r="DI1282" t="str">
        <f>""</f>
        <v/>
      </c>
      <c r="DJ1282" t="str">
        <f>""</f>
        <v/>
      </c>
      <c r="DK1282" t="str">
        <f>""</f>
        <v/>
      </c>
      <c r="DL1282" t="str">
        <f>""</f>
        <v/>
      </c>
      <c r="DM1282" t="str">
        <f>""</f>
        <v/>
      </c>
      <c r="DN1282" t="str">
        <f>""</f>
        <v/>
      </c>
      <c r="DO1282" t="str">
        <f>""</f>
        <v/>
      </c>
      <c r="DP1282" t="str">
        <f>""</f>
        <v/>
      </c>
      <c r="DQ1282" t="str">
        <f>""</f>
        <v/>
      </c>
      <c r="DR1282" t="str">
        <f>""</f>
        <v/>
      </c>
      <c r="DS1282" t="str">
        <f>""</f>
        <v/>
      </c>
      <c r="DT1282" t="str">
        <f>""</f>
        <v/>
      </c>
      <c r="DU1282" t="str">
        <f>""</f>
        <v/>
      </c>
    </row>
    <row r="1283" spans="1:125" x14ac:dyDescent="0.25">
      <c r="A1283" t="str">
        <f>$A$626</f>
        <v xml:space="preserve">    BYD Co Ltd</v>
      </c>
      <c r="B1283" t="str">
        <f>$B$626</f>
        <v>1211 HK Equity</v>
      </c>
      <c r="C1283" t="str">
        <f>$C$626</f>
        <v>RX539</v>
      </c>
      <c r="D1283" t="str">
        <f>$D$626</f>
        <v>T12_FCF_YIELD</v>
      </c>
      <c r="E1283" t="str">
        <f>$E$626</f>
        <v>Dynamic</v>
      </c>
      <c r="F1283" t="str">
        <f ca="1">_xll.BDH($B$626,$C$626,$B$675,$B$676,CONCATENATE("Per=",$B$673),"Dts=H","Dir=H",CONCATENATE("Points=",$B$674),"Sort=R","Days=A","Fill=B",CONCATENATE("FX=", $B$672) )</f>
        <v>#N/A Connection</v>
      </c>
      <c r="BN1283" t="str">
        <f>""</f>
        <v/>
      </c>
      <c r="BO1283" t="str">
        <f>""</f>
        <v/>
      </c>
      <c r="BP1283" t="str">
        <f>""</f>
        <v/>
      </c>
      <c r="BQ1283" t="str">
        <f>""</f>
        <v/>
      </c>
      <c r="BR1283" t="str">
        <f>""</f>
        <v/>
      </c>
      <c r="BS1283" t="str">
        <f>""</f>
        <v/>
      </c>
      <c r="BT1283" t="str">
        <f>""</f>
        <v/>
      </c>
      <c r="BU1283" t="str">
        <f>""</f>
        <v/>
      </c>
      <c r="BV1283" t="str">
        <f>""</f>
        <v/>
      </c>
      <c r="BW1283" t="str">
        <f>""</f>
        <v/>
      </c>
      <c r="BX1283" t="str">
        <f>""</f>
        <v/>
      </c>
      <c r="BY1283" t="str">
        <f>""</f>
        <v/>
      </c>
      <c r="BZ1283" t="str">
        <f>""</f>
        <v/>
      </c>
      <c r="CA1283" t="str">
        <f>""</f>
        <v/>
      </c>
      <c r="CB1283" t="str">
        <f>""</f>
        <v/>
      </c>
      <c r="CC1283" t="str">
        <f>""</f>
        <v/>
      </c>
      <c r="CD1283" t="str">
        <f>""</f>
        <v/>
      </c>
      <c r="CE1283" t="str">
        <f>""</f>
        <v/>
      </c>
      <c r="CF1283" t="str">
        <f>""</f>
        <v/>
      </c>
      <c r="CG1283" t="str">
        <f>""</f>
        <v/>
      </c>
      <c r="CH1283" t="str">
        <f>""</f>
        <v/>
      </c>
      <c r="CI1283" t="str">
        <f>""</f>
        <v/>
      </c>
      <c r="CJ1283" t="str">
        <f>""</f>
        <v/>
      </c>
      <c r="CK1283" t="str">
        <f>""</f>
        <v/>
      </c>
      <c r="CL1283" t="str">
        <f>""</f>
        <v/>
      </c>
      <c r="CM1283" t="str">
        <f>""</f>
        <v/>
      </c>
      <c r="CN1283" t="str">
        <f>""</f>
        <v/>
      </c>
      <c r="CO1283" t="str">
        <f>""</f>
        <v/>
      </c>
      <c r="CP1283" t="str">
        <f>""</f>
        <v/>
      </c>
      <c r="CQ1283" t="str">
        <f>""</f>
        <v/>
      </c>
      <c r="CR1283" t="str">
        <f>""</f>
        <v/>
      </c>
      <c r="CS1283" t="str">
        <f>""</f>
        <v/>
      </c>
      <c r="CT1283" t="str">
        <f>""</f>
        <v/>
      </c>
      <c r="CU1283" t="str">
        <f>""</f>
        <v/>
      </c>
      <c r="CV1283" t="str">
        <f>""</f>
        <v/>
      </c>
      <c r="CW1283" t="str">
        <f>""</f>
        <v/>
      </c>
      <c r="CX1283" t="str">
        <f>""</f>
        <v/>
      </c>
      <c r="CY1283" t="str">
        <f>""</f>
        <v/>
      </c>
      <c r="CZ1283" t="str">
        <f>""</f>
        <v/>
      </c>
      <c r="DA1283" t="str">
        <f>""</f>
        <v/>
      </c>
      <c r="DB1283" t="str">
        <f>""</f>
        <v/>
      </c>
      <c r="DC1283" t="str">
        <f>""</f>
        <v/>
      </c>
      <c r="DD1283" t="str">
        <f>""</f>
        <v/>
      </c>
      <c r="DE1283" t="str">
        <f>""</f>
        <v/>
      </c>
      <c r="DF1283" t="str">
        <f>""</f>
        <v/>
      </c>
      <c r="DG1283" t="str">
        <f>""</f>
        <v/>
      </c>
      <c r="DH1283" t="str">
        <f>""</f>
        <v/>
      </c>
      <c r="DI1283" t="str">
        <f>""</f>
        <v/>
      </c>
      <c r="DJ1283" t="str">
        <f>""</f>
        <v/>
      </c>
      <c r="DK1283" t="str">
        <f>""</f>
        <v/>
      </c>
      <c r="DL1283" t="str">
        <f>""</f>
        <v/>
      </c>
      <c r="DM1283" t="str">
        <f>""</f>
        <v/>
      </c>
      <c r="DN1283" t="str">
        <f>""</f>
        <v/>
      </c>
      <c r="DO1283" t="str">
        <f>""</f>
        <v/>
      </c>
      <c r="DP1283" t="str">
        <f>""</f>
        <v/>
      </c>
      <c r="DQ1283" t="str">
        <f>""</f>
        <v/>
      </c>
      <c r="DR1283" t="str">
        <f>""</f>
        <v/>
      </c>
      <c r="DS1283" t="str">
        <f>""</f>
        <v/>
      </c>
      <c r="DT1283" t="str">
        <f>""</f>
        <v/>
      </c>
      <c r="DU1283" t="str">
        <f>""</f>
        <v/>
      </c>
    </row>
    <row r="1284" spans="1:125" x14ac:dyDescent="0.25">
      <c r="A1284" t="str">
        <f>$A$627</f>
        <v xml:space="preserve">    Chongqing Changan Automobile Co Ltd</v>
      </c>
      <c r="B1284" t="str">
        <f>$B$627</f>
        <v>200625 CH Equity</v>
      </c>
      <c r="C1284" t="str">
        <f>$C$627</f>
        <v>RX539</v>
      </c>
      <c r="D1284" t="str">
        <f>$D$627</f>
        <v>T12_FCF_YIELD</v>
      </c>
      <c r="E1284" t="str">
        <f>$E$627</f>
        <v>Dynamic</v>
      </c>
      <c r="F1284" t="str">
        <f ca="1">_xll.BDH($B$627,$C$627,$B$675,$B$676,CONCATENATE("Per=",$B$673),"Dts=H","Dir=H",CONCATENATE("Points=",$B$674),"Sort=R","Days=A","Fill=B",CONCATENATE("FX=", $B$672) )</f>
        <v>#N/A Connection</v>
      </c>
      <c r="BN1284" t="str">
        <f>""</f>
        <v/>
      </c>
      <c r="BO1284" t="str">
        <f>""</f>
        <v/>
      </c>
      <c r="BP1284" t="str">
        <f>""</f>
        <v/>
      </c>
      <c r="BQ1284" t="str">
        <f>""</f>
        <v/>
      </c>
      <c r="BR1284" t="str">
        <f>""</f>
        <v/>
      </c>
      <c r="BS1284" t="str">
        <f>""</f>
        <v/>
      </c>
      <c r="BT1284" t="str">
        <f>""</f>
        <v/>
      </c>
      <c r="BU1284" t="str">
        <f>""</f>
        <v/>
      </c>
      <c r="BV1284" t="str">
        <f>""</f>
        <v/>
      </c>
      <c r="BW1284" t="str">
        <f>""</f>
        <v/>
      </c>
      <c r="BX1284" t="str">
        <f>""</f>
        <v/>
      </c>
      <c r="BY1284" t="str">
        <f>""</f>
        <v/>
      </c>
      <c r="BZ1284" t="str">
        <f>""</f>
        <v/>
      </c>
      <c r="CA1284" t="str">
        <f>""</f>
        <v/>
      </c>
      <c r="CB1284" t="str">
        <f>""</f>
        <v/>
      </c>
      <c r="CC1284" t="str">
        <f>""</f>
        <v/>
      </c>
      <c r="CD1284" t="str">
        <f>""</f>
        <v/>
      </c>
      <c r="CE1284" t="str">
        <f>""</f>
        <v/>
      </c>
      <c r="CF1284" t="str">
        <f>""</f>
        <v/>
      </c>
      <c r="CG1284" t="str">
        <f>""</f>
        <v/>
      </c>
      <c r="CH1284" t="str">
        <f>""</f>
        <v/>
      </c>
      <c r="CI1284" t="str">
        <f>""</f>
        <v/>
      </c>
      <c r="CJ1284" t="str">
        <f>""</f>
        <v/>
      </c>
      <c r="CK1284" t="str">
        <f>""</f>
        <v/>
      </c>
      <c r="CL1284" t="str">
        <f>""</f>
        <v/>
      </c>
      <c r="CM1284" t="str">
        <f>""</f>
        <v/>
      </c>
      <c r="CN1284" t="str">
        <f>""</f>
        <v/>
      </c>
      <c r="CO1284" t="str">
        <f>""</f>
        <v/>
      </c>
      <c r="CP1284" t="str">
        <f>""</f>
        <v/>
      </c>
      <c r="CQ1284" t="str">
        <f>""</f>
        <v/>
      </c>
      <c r="CR1284" t="str">
        <f>""</f>
        <v/>
      </c>
      <c r="CS1284" t="str">
        <f>""</f>
        <v/>
      </c>
      <c r="CT1284" t="str">
        <f>""</f>
        <v/>
      </c>
      <c r="CU1284" t="str">
        <f>""</f>
        <v/>
      </c>
      <c r="CV1284" t="str">
        <f>""</f>
        <v/>
      </c>
      <c r="CW1284" t="str">
        <f>""</f>
        <v/>
      </c>
      <c r="CX1284" t="str">
        <f>""</f>
        <v/>
      </c>
      <c r="CY1284" t="str">
        <f>""</f>
        <v/>
      </c>
      <c r="CZ1284" t="str">
        <f>""</f>
        <v/>
      </c>
      <c r="DA1284" t="str">
        <f>""</f>
        <v/>
      </c>
      <c r="DB1284" t="str">
        <f>""</f>
        <v/>
      </c>
      <c r="DC1284" t="str">
        <f>""</f>
        <v/>
      </c>
      <c r="DD1284" t="str">
        <f>""</f>
        <v/>
      </c>
      <c r="DE1284" t="str">
        <f>""</f>
        <v/>
      </c>
      <c r="DF1284" t="str">
        <f>""</f>
        <v/>
      </c>
      <c r="DG1284" t="str">
        <f>""</f>
        <v/>
      </c>
      <c r="DH1284" t="str">
        <f>""</f>
        <v/>
      </c>
      <c r="DI1284" t="str">
        <f>""</f>
        <v/>
      </c>
      <c r="DJ1284" t="str">
        <f>""</f>
        <v/>
      </c>
      <c r="DK1284" t="str">
        <f>""</f>
        <v/>
      </c>
      <c r="DL1284" t="str">
        <f>""</f>
        <v/>
      </c>
      <c r="DM1284" t="str">
        <f>""</f>
        <v/>
      </c>
      <c r="DN1284" t="str">
        <f>""</f>
        <v/>
      </c>
      <c r="DO1284" t="str">
        <f>""</f>
        <v/>
      </c>
      <c r="DP1284" t="str">
        <f>""</f>
        <v/>
      </c>
      <c r="DQ1284" t="str">
        <f>""</f>
        <v/>
      </c>
      <c r="DR1284" t="str">
        <f>""</f>
        <v/>
      </c>
      <c r="DS1284" t="str">
        <f>""</f>
        <v/>
      </c>
      <c r="DT1284" t="str">
        <f>""</f>
        <v/>
      </c>
      <c r="DU1284" t="str">
        <f>""</f>
        <v/>
      </c>
    </row>
    <row r="1285" spans="1:125" x14ac:dyDescent="0.25">
      <c r="A1285" t="str">
        <f>$A$628</f>
        <v xml:space="preserve">    Daihatsu Motor Co Ltd</v>
      </c>
      <c r="B1285" t="str">
        <f>$B$628</f>
        <v>7262 JP Equity</v>
      </c>
      <c r="C1285" t="str">
        <f>$C$628</f>
        <v>RX539</v>
      </c>
      <c r="D1285" t="str">
        <f>$D$628</f>
        <v>T12_FCF_YIELD</v>
      </c>
      <c r="E1285" t="str">
        <f>$E$628</f>
        <v>Dynamic</v>
      </c>
      <c r="F1285" t="str">
        <f ca="1">_xll.BDH($B$628,$C$628,$B$675,$B$676,CONCATENATE("Per=",$B$673),"Dts=H","Dir=H",CONCATENATE("Points=",$B$674),"Sort=R","Days=A","Fill=B",CONCATENATE("FX=", $B$672) )</f>
        <v>#N/A Connection</v>
      </c>
      <c r="BN1285" t="str">
        <f>""</f>
        <v/>
      </c>
      <c r="BO1285" t="str">
        <f>""</f>
        <v/>
      </c>
      <c r="BP1285" t="str">
        <f>""</f>
        <v/>
      </c>
      <c r="BQ1285" t="str">
        <f>""</f>
        <v/>
      </c>
      <c r="BR1285" t="str">
        <f>""</f>
        <v/>
      </c>
      <c r="BS1285" t="str">
        <f>""</f>
        <v/>
      </c>
      <c r="BT1285" t="str">
        <f>""</f>
        <v/>
      </c>
      <c r="BU1285" t="str">
        <f>""</f>
        <v/>
      </c>
      <c r="BV1285" t="str">
        <f>""</f>
        <v/>
      </c>
      <c r="BW1285" t="str">
        <f>""</f>
        <v/>
      </c>
      <c r="BX1285" t="str">
        <f>""</f>
        <v/>
      </c>
      <c r="BY1285" t="str">
        <f>""</f>
        <v/>
      </c>
      <c r="BZ1285" t="str">
        <f>""</f>
        <v/>
      </c>
      <c r="CA1285" t="str">
        <f>""</f>
        <v/>
      </c>
      <c r="CB1285" t="str">
        <f>""</f>
        <v/>
      </c>
      <c r="CC1285" t="str">
        <f>""</f>
        <v/>
      </c>
      <c r="CD1285" t="str">
        <f>""</f>
        <v/>
      </c>
      <c r="CE1285" t="str">
        <f>""</f>
        <v/>
      </c>
      <c r="CF1285" t="str">
        <f>""</f>
        <v/>
      </c>
      <c r="CG1285" t="str">
        <f>""</f>
        <v/>
      </c>
      <c r="CH1285" t="str">
        <f>""</f>
        <v/>
      </c>
      <c r="CI1285" t="str">
        <f>""</f>
        <v/>
      </c>
      <c r="CJ1285" t="str">
        <f>""</f>
        <v/>
      </c>
      <c r="CK1285" t="str">
        <f>""</f>
        <v/>
      </c>
      <c r="CL1285" t="str">
        <f>""</f>
        <v/>
      </c>
      <c r="CM1285" t="str">
        <f>""</f>
        <v/>
      </c>
      <c r="CN1285" t="str">
        <f>""</f>
        <v/>
      </c>
      <c r="CO1285" t="str">
        <f>""</f>
        <v/>
      </c>
      <c r="CP1285" t="str">
        <f>""</f>
        <v/>
      </c>
      <c r="CQ1285" t="str">
        <f>""</f>
        <v/>
      </c>
      <c r="CR1285" t="str">
        <f>""</f>
        <v/>
      </c>
      <c r="CS1285" t="str">
        <f>""</f>
        <v/>
      </c>
      <c r="CT1285" t="str">
        <f>""</f>
        <v/>
      </c>
      <c r="CU1285" t="str">
        <f>""</f>
        <v/>
      </c>
      <c r="CV1285" t="str">
        <f>""</f>
        <v/>
      </c>
      <c r="CW1285" t="str">
        <f>""</f>
        <v/>
      </c>
      <c r="CX1285" t="str">
        <f>""</f>
        <v/>
      </c>
      <c r="CY1285" t="str">
        <f>""</f>
        <v/>
      </c>
      <c r="CZ1285" t="str">
        <f>""</f>
        <v/>
      </c>
      <c r="DA1285" t="str">
        <f>""</f>
        <v/>
      </c>
      <c r="DB1285" t="str">
        <f>""</f>
        <v/>
      </c>
      <c r="DC1285" t="str">
        <f>""</f>
        <v/>
      </c>
      <c r="DD1285" t="str">
        <f>""</f>
        <v/>
      </c>
      <c r="DE1285" t="str">
        <f>""</f>
        <v/>
      </c>
      <c r="DF1285" t="str">
        <f>""</f>
        <v/>
      </c>
      <c r="DG1285" t="str">
        <f>""</f>
        <v/>
      </c>
      <c r="DH1285" t="str">
        <f>""</f>
        <v/>
      </c>
      <c r="DI1285" t="str">
        <f>""</f>
        <v/>
      </c>
      <c r="DJ1285" t="str">
        <f>""</f>
        <v/>
      </c>
      <c r="DK1285" t="str">
        <f>""</f>
        <v/>
      </c>
      <c r="DL1285" t="str">
        <f>""</f>
        <v/>
      </c>
      <c r="DM1285" t="str">
        <f>""</f>
        <v/>
      </c>
      <c r="DN1285" t="str">
        <f>""</f>
        <v/>
      </c>
      <c r="DO1285" t="str">
        <f>""</f>
        <v/>
      </c>
      <c r="DP1285" t="str">
        <f>""</f>
        <v/>
      </c>
      <c r="DQ1285" t="str">
        <f>""</f>
        <v/>
      </c>
      <c r="DR1285" t="str">
        <f>""</f>
        <v/>
      </c>
      <c r="DS1285" t="str">
        <f>""</f>
        <v/>
      </c>
      <c r="DT1285" t="str">
        <f>""</f>
        <v/>
      </c>
      <c r="DU1285" t="str">
        <f>""</f>
        <v/>
      </c>
    </row>
    <row r="1286" spans="1:125" x14ac:dyDescent="0.25">
      <c r="A1286" t="str">
        <f>$A$629</f>
        <v xml:space="preserve">    Daimler AG</v>
      </c>
      <c r="B1286" t="str">
        <f>$B$629</f>
        <v>DAI GR Equity</v>
      </c>
      <c r="C1286" t="str">
        <f>$C$629</f>
        <v>RX539</v>
      </c>
      <c r="D1286" t="str">
        <f>$D$629</f>
        <v>T12_FCF_YIELD</v>
      </c>
      <c r="E1286" t="str">
        <f>$E$629</f>
        <v>Dynamic</v>
      </c>
      <c r="F1286" t="str">
        <f ca="1">_xll.BDH($B$629,$C$629,$B$675,$B$676,CONCATENATE("Per=",$B$673),"Dts=H","Dir=H",CONCATENATE("Points=",$B$674),"Sort=R","Days=A","Fill=B",CONCATENATE("FX=", $B$672) )</f>
        <v>#N/A Connection</v>
      </c>
      <c r="BN1286" t="str">
        <f>""</f>
        <v/>
      </c>
      <c r="BO1286" t="str">
        <f>""</f>
        <v/>
      </c>
      <c r="BP1286" t="str">
        <f>""</f>
        <v/>
      </c>
      <c r="BQ1286" t="str">
        <f>""</f>
        <v/>
      </c>
      <c r="BR1286" t="str">
        <f>""</f>
        <v/>
      </c>
      <c r="BS1286" t="str">
        <f>""</f>
        <v/>
      </c>
      <c r="BT1286" t="str">
        <f>""</f>
        <v/>
      </c>
      <c r="BU1286" t="str">
        <f>""</f>
        <v/>
      </c>
      <c r="BV1286" t="str">
        <f>""</f>
        <v/>
      </c>
      <c r="BW1286" t="str">
        <f>""</f>
        <v/>
      </c>
      <c r="BX1286" t="str">
        <f>""</f>
        <v/>
      </c>
      <c r="BY1286" t="str">
        <f>""</f>
        <v/>
      </c>
      <c r="BZ1286" t="str">
        <f>""</f>
        <v/>
      </c>
      <c r="CA1286" t="str">
        <f>""</f>
        <v/>
      </c>
      <c r="CB1286" t="str">
        <f>""</f>
        <v/>
      </c>
      <c r="CC1286" t="str">
        <f>""</f>
        <v/>
      </c>
      <c r="CD1286" t="str">
        <f>""</f>
        <v/>
      </c>
      <c r="CE1286" t="str">
        <f>""</f>
        <v/>
      </c>
      <c r="CF1286" t="str">
        <f>""</f>
        <v/>
      </c>
      <c r="CG1286" t="str">
        <f>""</f>
        <v/>
      </c>
      <c r="CH1286" t="str">
        <f>""</f>
        <v/>
      </c>
      <c r="CI1286" t="str">
        <f>""</f>
        <v/>
      </c>
      <c r="CJ1286" t="str">
        <f>""</f>
        <v/>
      </c>
      <c r="CK1286" t="str">
        <f>""</f>
        <v/>
      </c>
      <c r="CL1286" t="str">
        <f>""</f>
        <v/>
      </c>
      <c r="CM1286" t="str">
        <f>""</f>
        <v/>
      </c>
      <c r="CN1286" t="str">
        <f>""</f>
        <v/>
      </c>
      <c r="CO1286" t="str">
        <f>""</f>
        <v/>
      </c>
      <c r="CP1286" t="str">
        <f>""</f>
        <v/>
      </c>
      <c r="CQ1286" t="str">
        <f>""</f>
        <v/>
      </c>
      <c r="CR1286" t="str">
        <f>""</f>
        <v/>
      </c>
      <c r="CS1286" t="str">
        <f>""</f>
        <v/>
      </c>
      <c r="CT1286" t="str">
        <f>""</f>
        <v/>
      </c>
      <c r="CU1286" t="str">
        <f>""</f>
        <v/>
      </c>
      <c r="CV1286" t="str">
        <f>""</f>
        <v/>
      </c>
      <c r="CW1286" t="str">
        <f>""</f>
        <v/>
      </c>
      <c r="CX1286" t="str">
        <f>""</f>
        <v/>
      </c>
      <c r="CY1286" t="str">
        <f>""</f>
        <v/>
      </c>
      <c r="CZ1286" t="str">
        <f>""</f>
        <v/>
      </c>
      <c r="DA1286" t="str">
        <f>""</f>
        <v/>
      </c>
      <c r="DB1286" t="str">
        <f>""</f>
        <v/>
      </c>
      <c r="DC1286" t="str">
        <f>""</f>
        <v/>
      </c>
      <c r="DD1286" t="str">
        <f>""</f>
        <v/>
      </c>
      <c r="DE1286" t="str">
        <f>""</f>
        <v/>
      </c>
      <c r="DF1286" t="str">
        <f>""</f>
        <v/>
      </c>
      <c r="DG1286" t="str">
        <f>""</f>
        <v/>
      </c>
      <c r="DH1286" t="str">
        <f>""</f>
        <v/>
      </c>
      <c r="DI1286" t="str">
        <f>""</f>
        <v/>
      </c>
      <c r="DJ1286" t="str">
        <f>""</f>
        <v/>
      </c>
      <c r="DK1286" t="str">
        <f>""</f>
        <v/>
      </c>
      <c r="DL1286" t="str">
        <f>""</f>
        <v/>
      </c>
      <c r="DM1286" t="str">
        <f>""</f>
        <v/>
      </c>
      <c r="DN1286" t="str">
        <f>""</f>
        <v/>
      </c>
      <c r="DO1286" t="str">
        <f>""</f>
        <v/>
      </c>
      <c r="DP1286" t="str">
        <f>""</f>
        <v/>
      </c>
      <c r="DQ1286" t="str">
        <f>""</f>
        <v/>
      </c>
      <c r="DR1286" t="str">
        <f>""</f>
        <v/>
      </c>
      <c r="DS1286" t="str">
        <f>""</f>
        <v/>
      </c>
      <c r="DT1286" t="str">
        <f>""</f>
        <v/>
      </c>
      <c r="DU1286" t="str">
        <f>""</f>
        <v/>
      </c>
    </row>
    <row r="1287" spans="1:125" x14ac:dyDescent="0.25">
      <c r="A1287" t="str">
        <f>$A$630</f>
        <v xml:space="preserve">    Dongfeng Motor Group Co Ltd</v>
      </c>
      <c r="B1287" t="str">
        <f>$B$630</f>
        <v>489 HK Equity</v>
      </c>
      <c r="C1287" t="str">
        <f>$C$630</f>
        <v>RX539</v>
      </c>
      <c r="D1287" t="str">
        <f>$D$630</f>
        <v>T12_FCF_YIELD</v>
      </c>
      <c r="E1287" t="str">
        <f>$E$630</f>
        <v>Dynamic</v>
      </c>
      <c r="F1287" t="str">
        <f ca="1">_xll.BDH($B$630,$C$630,$B$675,$B$676,CONCATENATE("Per=",$B$673),"Dts=H","Dir=H",CONCATENATE("Points=",$B$674),"Sort=R","Days=A","Fill=B",CONCATENATE("FX=", $B$672) )</f>
        <v>#N/A Connection</v>
      </c>
      <c r="BN1287" t="str">
        <f>""</f>
        <v/>
      </c>
      <c r="BO1287" t="str">
        <f>""</f>
        <v/>
      </c>
      <c r="BP1287" t="str">
        <f>""</f>
        <v/>
      </c>
      <c r="BQ1287" t="str">
        <f>""</f>
        <v/>
      </c>
      <c r="BR1287" t="str">
        <f>""</f>
        <v/>
      </c>
      <c r="BS1287" t="str">
        <f>""</f>
        <v/>
      </c>
      <c r="BT1287" t="str">
        <f>""</f>
        <v/>
      </c>
      <c r="BU1287" t="str">
        <f>""</f>
        <v/>
      </c>
      <c r="BV1287" t="str">
        <f>""</f>
        <v/>
      </c>
      <c r="BW1287" t="str">
        <f>""</f>
        <v/>
      </c>
      <c r="BX1287" t="str">
        <f>""</f>
        <v/>
      </c>
      <c r="BY1287" t="str">
        <f>""</f>
        <v/>
      </c>
      <c r="BZ1287" t="str">
        <f>""</f>
        <v/>
      </c>
      <c r="CA1287" t="str">
        <f>""</f>
        <v/>
      </c>
      <c r="CB1287" t="str">
        <f>""</f>
        <v/>
      </c>
      <c r="CC1287" t="str">
        <f>""</f>
        <v/>
      </c>
      <c r="CD1287" t="str">
        <f>""</f>
        <v/>
      </c>
      <c r="CE1287" t="str">
        <f>""</f>
        <v/>
      </c>
      <c r="CF1287" t="str">
        <f>""</f>
        <v/>
      </c>
      <c r="CG1287" t="str">
        <f>""</f>
        <v/>
      </c>
      <c r="CH1287" t="str">
        <f>""</f>
        <v/>
      </c>
      <c r="CI1287" t="str">
        <f>""</f>
        <v/>
      </c>
      <c r="CJ1287" t="str">
        <f>""</f>
        <v/>
      </c>
      <c r="CK1287" t="str">
        <f>""</f>
        <v/>
      </c>
      <c r="CL1287" t="str">
        <f>""</f>
        <v/>
      </c>
      <c r="CM1287" t="str">
        <f>""</f>
        <v/>
      </c>
      <c r="CN1287" t="str">
        <f>""</f>
        <v/>
      </c>
      <c r="CO1287" t="str">
        <f>""</f>
        <v/>
      </c>
      <c r="CP1287" t="str">
        <f>""</f>
        <v/>
      </c>
      <c r="CQ1287" t="str">
        <f>""</f>
        <v/>
      </c>
      <c r="CR1287" t="str">
        <f>""</f>
        <v/>
      </c>
      <c r="CS1287" t="str">
        <f>""</f>
        <v/>
      </c>
      <c r="CT1287" t="str">
        <f>""</f>
        <v/>
      </c>
      <c r="CU1287" t="str">
        <f>""</f>
        <v/>
      </c>
      <c r="CV1287" t="str">
        <f>""</f>
        <v/>
      </c>
      <c r="CW1287" t="str">
        <f>""</f>
        <v/>
      </c>
      <c r="CX1287" t="str">
        <f>""</f>
        <v/>
      </c>
      <c r="CY1287" t="str">
        <f>""</f>
        <v/>
      </c>
      <c r="CZ1287" t="str">
        <f>""</f>
        <v/>
      </c>
      <c r="DA1287" t="str">
        <f>""</f>
        <v/>
      </c>
      <c r="DB1287" t="str">
        <f>""</f>
        <v/>
      </c>
      <c r="DC1287" t="str">
        <f>""</f>
        <v/>
      </c>
      <c r="DD1287" t="str">
        <f>""</f>
        <v/>
      </c>
      <c r="DE1287" t="str">
        <f>""</f>
        <v/>
      </c>
      <c r="DF1287" t="str">
        <f>""</f>
        <v/>
      </c>
      <c r="DG1287" t="str">
        <f>""</f>
        <v/>
      </c>
      <c r="DH1287" t="str">
        <f>""</f>
        <v/>
      </c>
      <c r="DI1287" t="str">
        <f>""</f>
        <v/>
      </c>
      <c r="DJ1287" t="str">
        <f>""</f>
        <v/>
      </c>
      <c r="DK1287" t="str">
        <f>""</f>
        <v/>
      </c>
      <c r="DL1287" t="str">
        <f>""</f>
        <v/>
      </c>
      <c r="DM1287" t="str">
        <f>""</f>
        <v/>
      </c>
      <c r="DN1287" t="str">
        <f>""</f>
        <v/>
      </c>
      <c r="DO1287" t="str">
        <f>""</f>
        <v/>
      </c>
      <c r="DP1287" t="str">
        <f>""</f>
        <v/>
      </c>
      <c r="DQ1287" t="str">
        <f>""</f>
        <v/>
      </c>
      <c r="DR1287" t="str">
        <f>""</f>
        <v/>
      </c>
      <c r="DS1287" t="str">
        <f>""</f>
        <v/>
      </c>
      <c r="DT1287" t="str">
        <f>""</f>
        <v/>
      </c>
      <c r="DU1287" t="str">
        <f>""</f>
        <v/>
      </c>
    </row>
    <row r="1288" spans="1:125" x14ac:dyDescent="0.25">
      <c r="A1288" t="str">
        <f>$A$631</f>
        <v xml:space="preserve">    DRB-Hicom Bhd</v>
      </c>
      <c r="B1288" t="str">
        <f>$B$631</f>
        <v>DRB MK Equity</v>
      </c>
      <c r="C1288" t="str">
        <f>$C$631</f>
        <v>RX539</v>
      </c>
      <c r="D1288" t="str">
        <f>$D$631</f>
        <v>T12_FCF_YIELD</v>
      </c>
      <c r="E1288" t="str">
        <f>$E$631</f>
        <v>Dynamic</v>
      </c>
      <c r="F1288" t="str">
        <f ca="1">_xll.BDH($B$631,$C$631,$B$675,$B$676,CONCATENATE("Per=",$B$673),"Dts=H","Dir=H",CONCATENATE("Points=",$B$674),"Sort=R","Days=A","Fill=B",CONCATENATE("FX=", $B$672) )</f>
        <v>#N/A Connection</v>
      </c>
      <c r="BN1288" t="str">
        <f>""</f>
        <v/>
      </c>
      <c r="BO1288" t="str">
        <f>""</f>
        <v/>
      </c>
      <c r="BP1288" t="str">
        <f>""</f>
        <v/>
      </c>
      <c r="BQ1288" t="str">
        <f>""</f>
        <v/>
      </c>
      <c r="BR1288" t="str">
        <f>""</f>
        <v/>
      </c>
      <c r="BS1288" t="str">
        <f>""</f>
        <v/>
      </c>
      <c r="BT1288" t="str">
        <f>""</f>
        <v/>
      </c>
      <c r="BU1288" t="str">
        <f>""</f>
        <v/>
      </c>
      <c r="BV1288" t="str">
        <f>""</f>
        <v/>
      </c>
      <c r="BW1288" t="str">
        <f>""</f>
        <v/>
      </c>
      <c r="BX1288" t="str">
        <f>""</f>
        <v/>
      </c>
      <c r="BY1288" t="str">
        <f>""</f>
        <v/>
      </c>
      <c r="BZ1288" t="str">
        <f>""</f>
        <v/>
      </c>
      <c r="CA1288" t="str">
        <f>""</f>
        <v/>
      </c>
      <c r="CB1288" t="str">
        <f>""</f>
        <v/>
      </c>
      <c r="CC1288" t="str">
        <f>""</f>
        <v/>
      </c>
      <c r="CD1288" t="str">
        <f>""</f>
        <v/>
      </c>
      <c r="CE1288" t="str">
        <f>""</f>
        <v/>
      </c>
      <c r="CF1288" t="str">
        <f>""</f>
        <v/>
      </c>
      <c r="CG1288" t="str">
        <f>""</f>
        <v/>
      </c>
      <c r="CH1288" t="str">
        <f>""</f>
        <v/>
      </c>
      <c r="CI1288" t="str">
        <f>""</f>
        <v/>
      </c>
      <c r="CJ1288" t="str">
        <f>""</f>
        <v/>
      </c>
      <c r="CK1288" t="str">
        <f>""</f>
        <v/>
      </c>
      <c r="CL1288" t="str">
        <f>""</f>
        <v/>
      </c>
      <c r="CM1288" t="str">
        <f>""</f>
        <v/>
      </c>
      <c r="CN1288" t="str">
        <f>""</f>
        <v/>
      </c>
      <c r="CO1288" t="str">
        <f>""</f>
        <v/>
      </c>
      <c r="CP1288" t="str">
        <f>""</f>
        <v/>
      </c>
      <c r="CQ1288" t="str">
        <f>""</f>
        <v/>
      </c>
      <c r="CR1288" t="str">
        <f>""</f>
        <v/>
      </c>
      <c r="CS1288" t="str">
        <f>""</f>
        <v/>
      </c>
      <c r="CT1288" t="str">
        <f>""</f>
        <v/>
      </c>
      <c r="CU1288" t="str">
        <f>""</f>
        <v/>
      </c>
      <c r="CV1288" t="str">
        <f>""</f>
        <v/>
      </c>
      <c r="CW1288" t="str">
        <f>""</f>
        <v/>
      </c>
      <c r="CX1288" t="str">
        <f>""</f>
        <v/>
      </c>
      <c r="CY1288" t="str">
        <f>""</f>
        <v/>
      </c>
      <c r="CZ1288" t="str">
        <f>""</f>
        <v/>
      </c>
      <c r="DA1288" t="str">
        <f>""</f>
        <v/>
      </c>
      <c r="DB1288" t="str">
        <f>""</f>
        <v/>
      </c>
      <c r="DC1288" t="str">
        <f>""</f>
        <v/>
      </c>
      <c r="DD1288" t="str">
        <f>""</f>
        <v/>
      </c>
      <c r="DE1288" t="str">
        <f>""</f>
        <v/>
      </c>
      <c r="DF1288" t="str">
        <f>""</f>
        <v/>
      </c>
      <c r="DG1288" t="str">
        <f>""</f>
        <v/>
      </c>
      <c r="DH1288" t="str">
        <f>""</f>
        <v/>
      </c>
      <c r="DI1288" t="str">
        <f>""</f>
        <v/>
      </c>
      <c r="DJ1288" t="str">
        <f>""</f>
        <v/>
      </c>
      <c r="DK1288" t="str">
        <f>""</f>
        <v/>
      </c>
      <c r="DL1288" t="str">
        <f>""</f>
        <v/>
      </c>
      <c r="DM1288" t="str">
        <f>""</f>
        <v/>
      </c>
      <c r="DN1288" t="str">
        <f>""</f>
        <v/>
      </c>
      <c r="DO1288" t="str">
        <f>""</f>
        <v/>
      </c>
      <c r="DP1288" t="str">
        <f>""</f>
        <v/>
      </c>
      <c r="DQ1288" t="str">
        <f>""</f>
        <v/>
      </c>
      <c r="DR1288" t="str">
        <f>""</f>
        <v/>
      </c>
      <c r="DS1288" t="str">
        <f>""</f>
        <v/>
      </c>
      <c r="DT1288" t="str">
        <f>""</f>
        <v/>
      </c>
      <c r="DU1288" t="str">
        <f>""</f>
        <v/>
      </c>
    </row>
    <row r="1289" spans="1:125" x14ac:dyDescent="0.25">
      <c r="A1289" t="str">
        <f>$A$632</f>
        <v xml:space="preserve">    FAW CAR Co Ltd</v>
      </c>
      <c r="B1289" t="str">
        <f>$B$632</f>
        <v>000800 CH Equity</v>
      </c>
      <c r="C1289" t="str">
        <f>$C$632</f>
        <v>RX539</v>
      </c>
      <c r="D1289" t="str">
        <f>$D$632</f>
        <v>T12_FCF_YIELD</v>
      </c>
      <c r="E1289" t="str">
        <f>$E$632</f>
        <v>Dynamic</v>
      </c>
      <c r="F1289" t="str">
        <f ca="1">_xll.BDH($B$632,$C$632,$B$675,$B$676,CONCATENATE("Per=",$B$673),"Dts=H","Dir=H",CONCATENATE("Points=",$B$674),"Sort=R","Days=A","Fill=B",CONCATENATE("FX=", $B$672) )</f>
        <v>#N/A Connection</v>
      </c>
      <c r="BN1289" t="str">
        <f>""</f>
        <v/>
      </c>
      <c r="BO1289" t="str">
        <f>""</f>
        <v/>
      </c>
      <c r="BP1289" t="str">
        <f>""</f>
        <v/>
      </c>
      <c r="BQ1289" t="str">
        <f>""</f>
        <v/>
      </c>
      <c r="BR1289" t="str">
        <f>""</f>
        <v/>
      </c>
      <c r="BS1289" t="str">
        <f>""</f>
        <v/>
      </c>
      <c r="BT1289" t="str">
        <f>""</f>
        <v/>
      </c>
      <c r="BU1289" t="str">
        <f>""</f>
        <v/>
      </c>
      <c r="BV1289" t="str">
        <f>""</f>
        <v/>
      </c>
      <c r="BW1289" t="str">
        <f>""</f>
        <v/>
      </c>
      <c r="BX1289" t="str">
        <f>""</f>
        <v/>
      </c>
      <c r="BY1289" t="str">
        <f>""</f>
        <v/>
      </c>
      <c r="BZ1289" t="str">
        <f>""</f>
        <v/>
      </c>
      <c r="CA1289" t="str">
        <f>""</f>
        <v/>
      </c>
      <c r="CB1289" t="str">
        <f>""</f>
        <v/>
      </c>
      <c r="CC1289" t="str">
        <f>""</f>
        <v/>
      </c>
      <c r="CD1289" t="str">
        <f>""</f>
        <v/>
      </c>
      <c r="CE1289" t="str">
        <f>""</f>
        <v/>
      </c>
      <c r="CF1289" t="str">
        <f>""</f>
        <v/>
      </c>
      <c r="CG1289" t="str">
        <f>""</f>
        <v/>
      </c>
      <c r="CH1289" t="str">
        <f>""</f>
        <v/>
      </c>
      <c r="CI1289" t="str">
        <f>""</f>
        <v/>
      </c>
      <c r="CJ1289" t="str">
        <f>""</f>
        <v/>
      </c>
      <c r="CK1289" t="str">
        <f>""</f>
        <v/>
      </c>
      <c r="CL1289" t="str">
        <f>""</f>
        <v/>
      </c>
      <c r="CM1289" t="str">
        <f>""</f>
        <v/>
      </c>
      <c r="CN1289" t="str">
        <f>""</f>
        <v/>
      </c>
      <c r="CO1289" t="str">
        <f>""</f>
        <v/>
      </c>
      <c r="CP1289" t="str">
        <f>""</f>
        <v/>
      </c>
      <c r="CQ1289" t="str">
        <f>""</f>
        <v/>
      </c>
      <c r="CR1289" t="str">
        <f>""</f>
        <v/>
      </c>
      <c r="CS1289" t="str">
        <f>""</f>
        <v/>
      </c>
      <c r="CT1289" t="str">
        <f>""</f>
        <v/>
      </c>
      <c r="CU1289" t="str">
        <f>""</f>
        <v/>
      </c>
      <c r="CV1289" t="str">
        <f>""</f>
        <v/>
      </c>
      <c r="CW1289" t="str">
        <f>""</f>
        <v/>
      </c>
      <c r="CX1289" t="str">
        <f>""</f>
        <v/>
      </c>
      <c r="CY1289" t="str">
        <f>""</f>
        <v/>
      </c>
      <c r="CZ1289" t="str">
        <f>""</f>
        <v/>
      </c>
      <c r="DA1289" t="str">
        <f>""</f>
        <v/>
      </c>
      <c r="DB1289" t="str">
        <f>""</f>
        <v/>
      </c>
      <c r="DC1289" t="str">
        <f>""</f>
        <v/>
      </c>
      <c r="DD1289" t="str">
        <f>""</f>
        <v/>
      </c>
      <c r="DE1289" t="str">
        <f>""</f>
        <v/>
      </c>
      <c r="DF1289" t="str">
        <f>""</f>
        <v/>
      </c>
      <c r="DG1289" t="str">
        <f>""</f>
        <v/>
      </c>
      <c r="DH1289" t="str">
        <f>""</f>
        <v/>
      </c>
      <c r="DI1289" t="str">
        <f>""</f>
        <v/>
      </c>
      <c r="DJ1289" t="str">
        <f>""</f>
        <v/>
      </c>
      <c r="DK1289" t="str">
        <f>""</f>
        <v/>
      </c>
      <c r="DL1289" t="str">
        <f>""</f>
        <v/>
      </c>
      <c r="DM1289" t="str">
        <f>""</f>
        <v/>
      </c>
      <c r="DN1289" t="str">
        <f>""</f>
        <v/>
      </c>
      <c r="DO1289" t="str">
        <f>""</f>
        <v/>
      </c>
      <c r="DP1289" t="str">
        <f>""</f>
        <v/>
      </c>
      <c r="DQ1289" t="str">
        <f>""</f>
        <v/>
      </c>
      <c r="DR1289" t="str">
        <f>""</f>
        <v/>
      </c>
      <c r="DS1289" t="str">
        <f>""</f>
        <v/>
      </c>
      <c r="DT1289" t="str">
        <f>""</f>
        <v/>
      </c>
      <c r="DU1289" t="str">
        <f>""</f>
        <v/>
      </c>
    </row>
    <row r="1290" spans="1:125" x14ac:dyDescent="0.25">
      <c r="A1290" t="str">
        <f>$A$633</f>
        <v xml:space="preserve">    Fiat Chrysler Automobiles NV</v>
      </c>
      <c r="B1290" t="str">
        <f>$B$633</f>
        <v>FCAU US Equity</v>
      </c>
      <c r="C1290" t="str">
        <f>$C$633</f>
        <v>RX539</v>
      </c>
      <c r="D1290" t="str">
        <f>$D$633</f>
        <v>T12_FCF_YIELD</v>
      </c>
      <c r="E1290" t="str">
        <f>$E$633</f>
        <v>Dynamic</v>
      </c>
      <c r="F1290" t="str">
        <f ca="1">_xll.BDH($B$633,$C$633,$B$675,$B$676,CONCATENATE("Per=",$B$673),"Dts=H","Dir=H",CONCATENATE("Points=",$B$674),"Sort=R","Days=A","Fill=B",CONCATENATE("FX=", $B$672) )</f>
        <v>#N/A Connection</v>
      </c>
      <c r="BN1290" t="str">
        <f>""</f>
        <v/>
      </c>
      <c r="BO1290" t="str">
        <f>""</f>
        <v/>
      </c>
      <c r="BP1290" t="str">
        <f>""</f>
        <v/>
      </c>
      <c r="BQ1290" t="str">
        <f>""</f>
        <v/>
      </c>
      <c r="BR1290" t="str">
        <f>""</f>
        <v/>
      </c>
      <c r="BS1290" t="str">
        <f>""</f>
        <v/>
      </c>
      <c r="BT1290" t="str">
        <f>""</f>
        <v/>
      </c>
      <c r="BU1290" t="str">
        <f>""</f>
        <v/>
      </c>
      <c r="BV1290" t="str">
        <f>""</f>
        <v/>
      </c>
      <c r="BW1290" t="str">
        <f>""</f>
        <v/>
      </c>
      <c r="BX1290" t="str">
        <f>""</f>
        <v/>
      </c>
      <c r="BY1290" t="str">
        <f>""</f>
        <v/>
      </c>
      <c r="BZ1290" t="str">
        <f>""</f>
        <v/>
      </c>
      <c r="CA1290" t="str">
        <f>""</f>
        <v/>
      </c>
      <c r="CB1290" t="str">
        <f>""</f>
        <v/>
      </c>
      <c r="CC1290" t="str">
        <f>""</f>
        <v/>
      </c>
      <c r="CD1290" t="str">
        <f>""</f>
        <v/>
      </c>
      <c r="CE1290" t="str">
        <f>""</f>
        <v/>
      </c>
      <c r="CF1290" t="str">
        <f>""</f>
        <v/>
      </c>
      <c r="CG1290" t="str">
        <f>""</f>
        <v/>
      </c>
      <c r="CH1290" t="str">
        <f>""</f>
        <v/>
      </c>
      <c r="CI1290" t="str">
        <f>""</f>
        <v/>
      </c>
      <c r="CJ1290" t="str">
        <f>""</f>
        <v/>
      </c>
      <c r="CK1290" t="str">
        <f>""</f>
        <v/>
      </c>
      <c r="CL1290" t="str">
        <f>""</f>
        <v/>
      </c>
      <c r="CM1290" t="str">
        <f>""</f>
        <v/>
      </c>
      <c r="CN1290" t="str">
        <f>""</f>
        <v/>
      </c>
      <c r="CO1290" t="str">
        <f>""</f>
        <v/>
      </c>
      <c r="CP1290" t="str">
        <f>""</f>
        <v/>
      </c>
      <c r="CQ1290" t="str">
        <f>""</f>
        <v/>
      </c>
      <c r="CR1290" t="str">
        <f>""</f>
        <v/>
      </c>
      <c r="CS1290" t="str">
        <f>""</f>
        <v/>
      </c>
      <c r="CT1290" t="str">
        <f>""</f>
        <v/>
      </c>
      <c r="CU1290" t="str">
        <f>""</f>
        <v/>
      </c>
      <c r="CV1290" t="str">
        <f>""</f>
        <v/>
      </c>
      <c r="CW1290" t="str">
        <f>""</f>
        <v/>
      </c>
      <c r="CX1290" t="str">
        <f>""</f>
        <v/>
      </c>
      <c r="CY1290" t="str">
        <f>""</f>
        <v/>
      </c>
      <c r="CZ1290" t="str">
        <f>""</f>
        <v/>
      </c>
      <c r="DA1290" t="str">
        <f>""</f>
        <v/>
      </c>
      <c r="DB1290" t="str">
        <f>""</f>
        <v/>
      </c>
      <c r="DC1290" t="str">
        <f>""</f>
        <v/>
      </c>
      <c r="DD1290" t="str">
        <f>""</f>
        <v/>
      </c>
      <c r="DE1290" t="str">
        <f>""</f>
        <v/>
      </c>
      <c r="DF1290" t="str">
        <f>""</f>
        <v/>
      </c>
      <c r="DG1290" t="str">
        <f>""</f>
        <v/>
      </c>
      <c r="DH1290" t="str">
        <f>""</f>
        <v/>
      </c>
      <c r="DI1290" t="str">
        <f>""</f>
        <v/>
      </c>
      <c r="DJ1290" t="str">
        <f>""</f>
        <v/>
      </c>
      <c r="DK1290" t="str">
        <f>""</f>
        <v/>
      </c>
      <c r="DL1290" t="str">
        <f>""</f>
        <v/>
      </c>
      <c r="DM1290" t="str">
        <f>""</f>
        <v/>
      </c>
      <c r="DN1290" t="str">
        <f>""</f>
        <v/>
      </c>
      <c r="DO1290" t="str">
        <f>""</f>
        <v/>
      </c>
      <c r="DP1290" t="str">
        <f>""</f>
        <v/>
      </c>
      <c r="DQ1290" t="str">
        <f>""</f>
        <v/>
      </c>
      <c r="DR1290" t="str">
        <f>""</f>
        <v/>
      </c>
      <c r="DS1290" t="str">
        <f>""</f>
        <v/>
      </c>
      <c r="DT1290" t="str">
        <f>""</f>
        <v/>
      </c>
      <c r="DU1290" t="str">
        <f>""</f>
        <v/>
      </c>
    </row>
    <row r="1291" spans="1:125" x14ac:dyDescent="0.25">
      <c r="A1291" t="str">
        <f>$A$634</f>
        <v xml:space="preserve">    Ford Motor Co</v>
      </c>
      <c r="B1291" t="str">
        <f>$B$634</f>
        <v>F US Equity</v>
      </c>
      <c r="C1291" t="str">
        <f>$C$634</f>
        <v>RX539</v>
      </c>
      <c r="D1291" t="str">
        <f>$D$634</f>
        <v>T12_FCF_YIELD</v>
      </c>
      <c r="E1291" t="str">
        <f>$E$634</f>
        <v>Dynamic</v>
      </c>
      <c r="F1291" t="str">
        <f ca="1">_xll.BDH($B$634,$C$634,$B$675,$B$676,CONCATENATE("Per=",$B$673),"Dts=H","Dir=H",CONCATENATE("Points=",$B$674),"Sort=R","Days=A","Fill=B",CONCATENATE("FX=", $B$672) )</f>
        <v>#N/A Connection</v>
      </c>
      <c r="BN1291" t="str">
        <f>""</f>
        <v/>
      </c>
      <c r="BO1291" t="str">
        <f>""</f>
        <v/>
      </c>
      <c r="BP1291" t="str">
        <f>""</f>
        <v/>
      </c>
      <c r="BQ1291" t="str">
        <f>""</f>
        <v/>
      </c>
      <c r="BR1291" t="str">
        <f>""</f>
        <v/>
      </c>
      <c r="BS1291" t="str">
        <f>""</f>
        <v/>
      </c>
      <c r="BT1291" t="str">
        <f>""</f>
        <v/>
      </c>
      <c r="BU1291" t="str">
        <f>""</f>
        <v/>
      </c>
      <c r="BV1291" t="str">
        <f>""</f>
        <v/>
      </c>
      <c r="BW1291" t="str">
        <f>""</f>
        <v/>
      </c>
      <c r="BX1291" t="str">
        <f>""</f>
        <v/>
      </c>
      <c r="BY1291" t="str">
        <f>""</f>
        <v/>
      </c>
      <c r="BZ1291" t="str">
        <f>""</f>
        <v/>
      </c>
      <c r="CA1291" t="str">
        <f>""</f>
        <v/>
      </c>
      <c r="CB1291" t="str">
        <f>""</f>
        <v/>
      </c>
      <c r="CC1291" t="str">
        <f>""</f>
        <v/>
      </c>
      <c r="CD1291" t="str">
        <f>""</f>
        <v/>
      </c>
      <c r="CE1291" t="str">
        <f>""</f>
        <v/>
      </c>
      <c r="CF1291" t="str">
        <f>""</f>
        <v/>
      </c>
      <c r="CG1291" t="str">
        <f>""</f>
        <v/>
      </c>
      <c r="CH1291" t="str">
        <f>""</f>
        <v/>
      </c>
      <c r="CI1291" t="str">
        <f>""</f>
        <v/>
      </c>
      <c r="CJ1291" t="str">
        <f>""</f>
        <v/>
      </c>
      <c r="CK1291" t="str">
        <f>""</f>
        <v/>
      </c>
      <c r="CL1291" t="str">
        <f>""</f>
        <v/>
      </c>
      <c r="CM1291" t="str">
        <f>""</f>
        <v/>
      </c>
      <c r="CN1291" t="str">
        <f>""</f>
        <v/>
      </c>
      <c r="CO1291" t="str">
        <f>""</f>
        <v/>
      </c>
      <c r="CP1291" t="str">
        <f>""</f>
        <v/>
      </c>
      <c r="CQ1291" t="str">
        <f>""</f>
        <v/>
      </c>
      <c r="CR1291" t="str">
        <f>""</f>
        <v/>
      </c>
      <c r="CS1291" t="str">
        <f>""</f>
        <v/>
      </c>
      <c r="CT1291" t="str">
        <f>""</f>
        <v/>
      </c>
      <c r="CU1291" t="str">
        <f>""</f>
        <v/>
      </c>
      <c r="CV1291" t="str">
        <f>""</f>
        <v/>
      </c>
      <c r="CW1291" t="str">
        <f>""</f>
        <v/>
      </c>
      <c r="CX1291" t="str">
        <f>""</f>
        <v/>
      </c>
      <c r="CY1291" t="str">
        <f>""</f>
        <v/>
      </c>
      <c r="CZ1291" t="str">
        <f>""</f>
        <v/>
      </c>
      <c r="DA1291" t="str">
        <f>""</f>
        <v/>
      </c>
      <c r="DB1291" t="str">
        <f>""</f>
        <v/>
      </c>
      <c r="DC1291" t="str">
        <f>""</f>
        <v/>
      </c>
      <c r="DD1291" t="str">
        <f>""</f>
        <v/>
      </c>
      <c r="DE1291" t="str">
        <f>""</f>
        <v/>
      </c>
      <c r="DF1291" t="str">
        <f>""</f>
        <v/>
      </c>
      <c r="DG1291" t="str">
        <f>""</f>
        <v/>
      </c>
      <c r="DH1291" t="str">
        <f>""</f>
        <v/>
      </c>
      <c r="DI1291" t="str">
        <f>""</f>
        <v/>
      </c>
      <c r="DJ1291" t="str">
        <f>""</f>
        <v/>
      </c>
      <c r="DK1291" t="str">
        <f>""</f>
        <v/>
      </c>
      <c r="DL1291" t="str">
        <f>""</f>
        <v/>
      </c>
      <c r="DM1291" t="str">
        <f>""</f>
        <v/>
      </c>
      <c r="DN1291" t="str">
        <f>""</f>
        <v/>
      </c>
      <c r="DO1291" t="str">
        <f>""</f>
        <v/>
      </c>
      <c r="DP1291" t="str">
        <f>""</f>
        <v/>
      </c>
      <c r="DQ1291" t="str">
        <f>""</f>
        <v/>
      </c>
      <c r="DR1291" t="str">
        <f>""</f>
        <v/>
      </c>
      <c r="DS1291" t="str">
        <f>""</f>
        <v/>
      </c>
      <c r="DT1291" t="str">
        <f>""</f>
        <v/>
      </c>
      <c r="DU1291" t="str">
        <f>""</f>
        <v/>
      </c>
    </row>
    <row r="1292" spans="1:125" x14ac:dyDescent="0.25">
      <c r="A1292" t="str">
        <f>$A$635</f>
        <v xml:space="preserve">    Ford Otomotiv Sanayi AS</v>
      </c>
      <c r="B1292" t="str">
        <f>$B$635</f>
        <v>FROTOTRY EO Equity</v>
      </c>
      <c r="C1292" t="str">
        <f>$C$635</f>
        <v>RX539</v>
      </c>
      <c r="D1292" t="str">
        <f>$D$635</f>
        <v>T12_FCF_YIELD</v>
      </c>
      <c r="E1292" t="str">
        <f>$E$635</f>
        <v>Dynamic</v>
      </c>
      <c r="F1292" t="str">
        <f ca="1">_xll.BDH($B$635,$C$635,$B$675,$B$676,CONCATENATE("Per=",$B$673),"Dts=H","Dir=H",CONCATENATE("Points=",$B$674),"Sort=R","Days=A","Fill=B",CONCATENATE("FX=", $B$672) )</f>
        <v>#N/A Connection</v>
      </c>
      <c r="BN1292" t="str">
        <f>""</f>
        <v/>
      </c>
      <c r="BO1292" t="str">
        <f>""</f>
        <v/>
      </c>
      <c r="BP1292" t="str">
        <f>""</f>
        <v/>
      </c>
      <c r="BQ1292" t="str">
        <f>""</f>
        <v/>
      </c>
      <c r="BR1292" t="str">
        <f>""</f>
        <v/>
      </c>
      <c r="BS1292" t="str">
        <f>""</f>
        <v/>
      </c>
      <c r="BT1292" t="str">
        <f>""</f>
        <v/>
      </c>
      <c r="BU1292" t="str">
        <f>""</f>
        <v/>
      </c>
      <c r="BV1292" t="str">
        <f>""</f>
        <v/>
      </c>
      <c r="BW1292" t="str">
        <f>""</f>
        <v/>
      </c>
      <c r="BX1292" t="str">
        <f>""</f>
        <v/>
      </c>
      <c r="BY1292" t="str">
        <f>""</f>
        <v/>
      </c>
      <c r="BZ1292" t="str">
        <f>""</f>
        <v/>
      </c>
      <c r="CA1292" t="str">
        <f>""</f>
        <v/>
      </c>
      <c r="CB1292" t="str">
        <f>""</f>
        <v/>
      </c>
      <c r="CC1292" t="str">
        <f>""</f>
        <v/>
      </c>
      <c r="CD1292" t="str">
        <f>""</f>
        <v/>
      </c>
      <c r="CE1292" t="str">
        <f>""</f>
        <v/>
      </c>
      <c r="CF1292" t="str">
        <f>""</f>
        <v/>
      </c>
      <c r="CG1292" t="str">
        <f>""</f>
        <v/>
      </c>
      <c r="CH1292" t="str">
        <f>""</f>
        <v/>
      </c>
      <c r="CI1292" t="str">
        <f>""</f>
        <v/>
      </c>
      <c r="CJ1292" t="str">
        <f>""</f>
        <v/>
      </c>
      <c r="CK1292" t="str">
        <f>""</f>
        <v/>
      </c>
      <c r="CL1292" t="str">
        <f>""</f>
        <v/>
      </c>
      <c r="CM1292" t="str">
        <f>""</f>
        <v/>
      </c>
      <c r="CN1292" t="str">
        <f>""</f>
        <v/>
      </c>
      <c r="CO1292" t="str">
        <f>""</f>
        <v/>
      </c>
      <c r="CP1292" t="str">
        <f>""</f>
        <v/>
      </c>
      <c r="CQ1292" t="str">
        <f>""</f>
        <v/>
      </c>
      <c r="CR1292" t="str">
        <f>""</f>
        <v/>
      </c>
      <c r="CS1292" t="str">
        <f>""</f>
        <v/>
      </c>
      <c r="CT1292" t="str">
        <f>""</f>
        <v/>
      </c>
      <c r="CU1292" t="str">
        <f>""</f>
        <v/>
      </c>
      <c r="CV1292" t="str">
        <f>""</f>
        <v/>
      </c>
      <c r="CW1292" t="str">
        <f>""</f>
        <v/>
      </c>
      <c r="CX1292" t="str">
        <f>""</f>
        <v/>
      </c>
      <c r="CY1292" t="str">
        <f>""</f>
        <v/>
      </c>
      <c r="CZ1292" t="str">
        <f>""</f>
        <v/>
      </c>
      <c r="DA1292" t="str">
        <f>""</f>
        <v/>
      </c>
      <c r="DB1292" t="str">
        <f>""</f>
        <v/>
      </c>
      <c r="DC1292" t="str">
        <f>""</f>
        <v/>
      </c>
      <c r="DD1292" t="str">
        <f>""</f>
        <v/>
      </c>
      <c r="DE1292" t="str">
        <f>""</f>
        <v/>
      </c>
      <c r="DF1292" t="str">
        <f>""</f>
        <v/>
      </c>
      <c r="DG1292" t="str">
        <f>""</f>
        <v/>
      </c>
      <c r="DH1292" t="str">
        <f>""</f>
        <v/>
      </c>
      <c r="DI1292" t="str">
        <f>""</f>
        <v/>
      </c>
      <c r="DJ1292" t="str">
        <f>""</f>
        <v/>
      </c>
      <c r="DK1292" t="str">
        <f>""</f>
        <v/>
      </c>
      <c r="DL1292" t="str">
        <f>""</f>
        <v/>
      </c>
      <c r="DM1292" t="str">
        <f>""</f>
        <v/>
      </c>
      <c r="DN1292" t="str">
        <f>""</f>
        <v/>
      </c>
      <c r="DO1292" t="str">
        <f>""</f>
        <v/>
      </c>
      <c r="DP1292" t="str">
        <f>""</f>
        <v/>
      </c>
      <c r="DQ1292" t="str">
        <f>""</f>
        <v/>
      </c>
      <c r="DR1292" t="str">
        <f>""</f>
        <v/>
      </c>
      <c r="DS1292" t="str">
        <f>""</f>
        <v/>
      </c>
      <c r="DT1292" t="str">
        <f>""</f>
        <v/>
      </c>
      <c r="DU1292" t="str">
        <f>""</f>
        <v/>
      </c>
    </row>
    <row r="1293" spans="1:125" x14ac:dyDescent="0.25">
      <c r="A1293" t="str">
        <f>$A$636</f>
        <v xml:space="preserve">    GAZ PJSC</v>
      </c>
      <c r="B1293" t="str">
        <f>$B$636</f>
        <v>GAZA RM Equity</v>
      </c>
      <c r="C1293" t="str">
        <f>$C$636</f>
        <v>RX539</v>
      </c>
      <c r="D1293" t="str">
        <f>$D$636</f>
        <v>T12_FCF_YIELD</v>
      </c>
      <c r="E1293" t="str">
        <f>$E$636</f>
        <v>Dynamic</v>
      </c>
      <c r="F1293" t="str">
        <f ca="1">_xll.BDH($B$636,$C$636,$B$675,$B$676,CONCATENATE("Per=",$B$673),"Dts=H","Dir=H",CONCATENATE("Points=",$B$674),"Sort=R","Days=A","Fill=B",CONCATENATE("FX=", $B$672) )</f>
        <v>#N/A Connection</v>
      </c>
      <c r="BN1293" t="str">
        <f>""</f>
        <v/>
      </c>
      <c r="BO1293" t="str">
        <f>""</f>
        <v/>
      </c>
      <c r="BP1293" t="str">
        <f>""</f>
        <v/>
      </c>
      <c r="BQ1293" t="str">
        <f>""</f>
        <v/>
      </c>
      <c r="BR1293" t="str">
        <f>""</f>
        <v/>
      </c>
      <c r="BS1293" t="str">
        <f>""</f>
        <v/>
      </c>
      <c r="BT1293" t="str">
        <f>""</f>
        <v/>
      </c>
      <c r="BU1293" t="str">
        <f>""</f>
        <v/>
      </c>
      <c r="BV1293" t="str">
        <f>""</f>
        <v/>
      </c>
      <c r="BW1293" t="str">
        <f>""</f>
        <v/>
      </c>
      <c r="BX1293" t="str">
        <f>""</f>
        <v/>
      </c>
      <c r="BY1293" t="str">
        <f>""</f>
        <v/>
      </c>
      <c r="BZ1293" t="str">
        <f>""</f>
        <v/>
      </c>
      <c r="CA1293" t="str">
        <f>""</f>
        <v/>
      </c>
      <c r="CB1293" t="str">
        <f>""</f>
        <v/>
      </c>
      <c r="CC1293" t="str">
        <f>""</f>
        <v/>
      </c>
      <c r="CD1293" t="str">
        <f>""</f>
        <v/>
      </c>
      <c r="CE1293" t="str">
        <f>""</f>
        <v/>
      </c>
      <c r="CF1293" t="str">
        <f>""</f>
        <v/>
      </c>
      <c r="CG1293" t="str">
        <f>""</f>
        <v/>
      </c>
      <c r="CH1293" t="str">
        <f>""</f>
        <v/>
      </c>
      <c r="CI1293" t="str">
        <f>""</f>
        <v/>
      </c>
      <c r="CJ1293" t="str">
        <f>""</f>
        <v/>
      </c>
      <c r="CK1293" t="str">
        <f>""</f>
        <v/>
      </c>
      <c r="CL1293" t="str">
        <f>""</f>
        <v/>
      </c>
      <c r="CM1293" t="str">
        <f>""</f>
        <v/>
      </c>
      <c r="CN1293" t="str">
        <f>""</f>
        <v/>
      </c>
      <c r="CO1293" t="str">
        <f>""</f>
        <v/>
      </c>
      <c r="CP1293" t="str">
        <f>""</f>
        <v/>
      </c>
      <c r="CQ1293" t="str">
        <f>""</f>
        <v/>
      </c>
      <c r="CR1293" t="str">
        <f>""</f>
        <v/>
      </c>
      <c r="CS1293" t="str">
        <f>""</f>
        <v/>
      </c>
      <c r="CT1293" t="str">
        <f>""</f>
        <v/>
      </c>
      <c r="CU1293" t="str">
        <f>""</f>
        <v/>
      </c>
      <c r="CV1293" t="str">
        <f>""</f>
        <v/>
      </c>
      <c r="CW1293" t="str">
        <f>""</f>
        <v/>
      </c>
      <c r="CX1293" t="str">
        <f>""</f>
        <v/>
      </c>
      <c r="CY1293" t="str">
        <f>""</f>
        <v/>
      </c>
      <c r="CZ1293" t="str">
        <f>""</f>
        <v/>
      </c>
      <c r="DA1293" t="str">
        <f>""</f>
        <v/>
      </c>
      <c r="DB1293" t="str">
        <f>""</f>
        <v/>
      </c>
      <c r="DC1293" t="str">
        <f>""</f>
        <v/>
      </c>
      <c r="DD1293" t="str">
        <f>""</f>
        <v/>
      </c>
      <c r="DE1293" t="str">
        <f>""</f>
        <v/>
      </c>
      <c r="DF1293" t="str">
        <f>""</f>
        <v/>
      </c>
      <c r="DG1293" t="str">
        <f>""</f>
        <v/>
      </c>
      <c r="DH1293" t="str">
        <f>""</f>
        <v/>
      </c>
      <c r="DI1293" t="str">
        <f>""</f>
        <v/>
      </c>
      <c r="DJ1293" t="str">
        <f>""</f>
        <v/>
      </c>
      <c r="DK1293" t="str">
        <f>""</f>
        <v/>
      </c>
      <c r="DL1293" t="str">
        <f>""</f>
        <v/>
      </c>
      <c r="DM1293" t="str">
        <f>""</f>
        <v/>
      </c>
      <c r="DN1293" t="str">
        <f>""</f>
        <v/>
      </c>
      <c r="DO1293" t="str">
        <f>""</f>
        <v/>
      </c>
      <c r="DP1293" t="str">
        <f>""</f>
        <v/>
      </c>
      <c r="DQ1293" t="str">
        <f>""</f>
        <v/>
      </c>
      <c r="DR1293" t="str">
        <f>""</f>
        <v/>
      </c>
      <c r="DS1293" t="str">
        <f>""</f>
        <v/>
      </c>
      <c r="DT1293" t="str">
        <f>""</f>
        <v/>
      </c>
      <c r="DU1293" t="str">
        <f>""</f>
        <v/>
      </c>
    </row>
    <row r="1294" spans="1:125" x14ac:dyDescent="0.25">
      <c r="A1294" t="str">
        <f>$A$637</f>
        <v xml:space="preserve">    Geely Automobile Holdings Ltd</v>
      </c>
      <c r="B1294" t="str">
        <f>$B$637</f>
        <v>175 HK Equity</v>
      </c>
      <c r="C1294" t="str">
        <f>$C$637</f>
        <v>RX539</v>
      </c>
      <c r="D1294" t="str">
        <f>$D$637</f>
        <v>T12_FCF_YIELD</v>
      </c>
      <c r="E1294" t="str">
        <f>$E$637</f>
        <v>Dynamic</v>
      </c>
      <c r="F1294" t="str">
        <f ca="1">_xll.BDH($B$637,$C$637,$B$675,$B$676,CONCATENATE("Per=",$B$673),"Dts=H","Dir=H",CONCATENATE("Points=",$B$674),"Sort=R","Days=A","Fill=B",CONCATENATE("FX=", $B$672) )</f>
        <v>#N/A Connection</v>
      </c>
      <c r="BN1294" t="str">
        <f>""</f>
        <v/>
      </c>
      <c r="BO1294" t="str">
        <f>""</f>
        <v/>
      </c>
      <c r="BP1294" t="str">
        <f>""</f>
        <v/>
      </c>
      <c r="BQ1294" t="str">
        <f>""</f>
        <v/>
      </c>
      <c r="BR1294" t="str">
        <f>""</f>
        <v/>
      </c>
      <c r="BS1294" t="str">
        <f>""</f>
        <v/>
      </c>
      <c r="BT1294" t="str">
        <f>""</f>
        <v/>
      </c>
      <c r="BU1294" t="str">
        <f>""</f>
        <v/>
      </c>
      <c r="BV1294" t="str">
        <f>""</f>
        <v/>
      </c>
      <c r="BW1294" t="str">
        <f>""</f>
        <v/>
      </c>
      <c r="BX1294" t="str">
        <f>""</f>
        <v/>
      </c>
      <c r="BY1294" t="str">
        <f>""</f>
        <v/>
      </c>
      <c r="BZ1294" t="str">
        <f>""</f>
        <v/>
      </c>
      <c r="CA1294" t="str">
        <f>""</f>
        <v/>
      </c>
      <c r="CB1294" t="str">
        <f>""</f>
        <v/>
      </c>
      <c r="CC1294" t="str">
        <f>""</f>
        <v/>
      </c>
      <c r="CD1294" t="str">
        <f>""</f>
        <v/>
      </c>
      <c r="CE1294" t="str">
        <f>""</f>
        <v/>
      </c>
      <c r="CF1294" t="str">
        <f>""</f>
        <v/>
      </c>
      <c r="CG1294" t="str">
        <f>""</f>
        <v/>
      </c>
      <c r="CH1294" t="str">
        <f>""</f>
        <v/>
      </c>
      <c r="CI1294" t="str">
        <f>""</f>
        <v/>
      </c>
      <c r="CJ1294" t="str">
        <f>""</f>
        <v/>
      </c>
      <c r="CK1294" t="str">
        <f>""</f>
        <v/>
      </c>
      <c r="CL1294" t="str">
        <f>""</f>
        <v/>
      </c>
      <c r="CM1294" t="str">
        <f>""</f>
        <v/>
      </c>
      <c r="CN1294" t="str">
        <f>""</f>
        <v/>
      </c>
      <c r="CO1294" t="str">
        <f>""</f>
        <v/>
      </c>
      <c r="CP1294" t="str">
        <f>""</f>
        <v/>
      </c>
      <c r="CQ1294" t="str">
        <f>""</f>
        <v/>
      </c>
      <c r="CR1294" t="str">
        <f>""</f>
        <v/>
      </c>
      <c r="CS1294" t="str">
        <f>""</f>
        <v/>
      </c>
      <c r="CT1294" t="str">
        <f>""</f>
        <v/>
      </c>
      <c r="CU1294" t="str">
        <f>""</f>
        <v/>
      </c>
      <c r="CV1294" t="str">
        <f>""</f>
        <v/>
      </c>
      <c r="CW1294" t="str">
        <f>""</f>
        <v/>
      </c>
      <c r="CX1294" t="str">
        <f>""</f>
        <v/>
      </c>
      <c r="CY1294" t="str">
        <f>""</f>
        <v/>
      </c>
      <c r="CZ1294" t="str">
        <f>""</f>
        <v/>
      </c>
      <c r="DA1294" t="str">
        <f>""</f>
        <v/>
      </c>
      <c r="DB1294" t="str">
        <f>""</f>
        <v/>
      </c>
      <c r="DC1294" t="str">
        <f>""</f>
        <v/>
      </c>
      <c r="DD1294" t="str">
        <f>""</f>
        <v/>
      </c>
      <c r="DE1294" t="str">
        <f>""</f>
        <v/>
      </c>
      <c r="DF1294" t="str">
        <f>""</f>
        <v/>
      </c>
      <c r="DG1294" t="str">
        <f>""</f>
        <v/>
      </c>
      <c r="DH1294" t="str">
        <f>""</f>
        <v/>
      </c>
      <c r="DI1294" t="str">
        <f>""</f>
        <v/>
      </c>
      <c r="DJ1294" t="str">
        <f>""</f>
        <v/>
      </c>
      <c r="DK1294" t="str">
        <f>""</f>
        <v/>
      </c>
      <c r="DL1294" t="str">
        <f>""</f>
        <v/>
      </c>
      <c r="DM1294" t="str">
        <f>""</f>
        <v/>
      </c>
      <c r="DN1294" t="str">
        <f>""</f>
        <v/>
      </c>
      <c r="DO1294" t="str">
        <f>""</f>
        <v/>
      </c>
      <c r="DP1294" t="str">
        <f>""</f>
        <v/>
      </c>
      <c r="DQ1294" t="str">
        <f>""</f>
        <v/>
      </c>
      <c r="DR1294" t="str">
        <f>""</f>
        <v/>
      </c>
      <c r="DS1294" t="str">
        <f>""</f>
        <v/>
      </c>
      <c r="DT1294" t="str">
        <f>""</f>
        <v/>
      </c>
      <c r="DU1294" t="str">
        <f>""</f>
        <v/>
      </c>
    </row>
    <row r="1295" spans="1:125" x14ac:dyDescent="0.25">
      <c r="A1295" t="str">
        <f>$A$638</f>
        <v xml:space="preserve">    General Motors Co</v>
      </c>
      <c r="B1295" t="str">
        <f>$B$638</f>
        <v>GM US Equity</v>
      </c>
      <c r="C1295" t="str">
        <f>$C$638</f>
        <v>RX539</v>
      </c>
      <c r="D1295" t="str">
        <f>$D$638</f>
        <v>T12_FCF_YIELD</v>
      </c>
      <c r="E1295" t="str">
        <f>$E$638</f>
        <v>Dynamic</v>
      </c>
      <c r="F1295" t="str">
        <f ca="1">_xll.BDH($B$638,$C$638,$B$675,$B$676,CONCATENATE("Per=",$B$673),"Dts=H","Dir=H",CONCATENATE("Points=",$B$674),"Sort=R","Days=A","Fill=B",CONCATENATE("FX=", $B$672) )</f>
        <v>#N/A Connection</v>
      </c>
      <c r="BN1295" t="str">
        <f>""</f>
        <v/>
      </c>
      <c r="BO1295" t="str">
        <f>""</f>
        <v/>
      </c>
      <c r="BP1295" t="str">
        <f>""</f>
        <v/>
      </c>
      <c r="BQ1295" t="str">
        <f>""</f>
        <v/>
      </c>
      <c r="BR1295" t="str">
        <f>""</f>
        <v/>
      </c>
      <c r="BS1295" t="str">
        <f>""</f>
        <v/>
      </c>
      <c r="BT1295" t="str">
        <f>""</f>
        <v/>
      </c>
      <c r="BU1295" t="str">
        <f>""</f>
        <v/>
      </c>
      <c r="BV1295" t="str">
        <f>""</f>
        <v/>
      </c>
      <c r="BW1295" t="str">
        <f>""</f>
        <v/>
      </c>
      <c r="BX1295" t="str">
        <f>""</f>
        <v/>
      </c>
      <c r="BY1295" t="str">
        <f>""</f>
        <v/>
      </c>
      <c r="BZ1295" t="str">
        <f>""</f>
        <v/>
      </c>
      <c r="CA1295" t="str">
        <f>""</f>
        <v/>
      </c>
      <c r="CB1295" t="str">
        <f>""</f>
        <v/>
      </c>
      <c r="CC1295" t="str">
        <f>""</f>
        <v/>
      </c>
      <c r="CD1295" t="str">
        <f>""</f>
        <v/>
      </c>
      <c r="CE1295" t="str">
        <f>""</f>
        <v/>
      </c>
      <c r="CF1295" t="str">
        <f>""</f>
        <v/>
      </c>
      <c r="CG1295" t="str">
        <f>""</f>
        <v/>
      </c>
      <c r="CH1295" t="str">
        <f>""</f>
        <v/>
      </c>
      <c r="CI1295" t="str">
        <f>""</f>
        <v/>
      </c>
      <c r="CJ1295" t="str">
        <f>""</f>
        <v/>
      </c>
      <c r="CK1295" t="str">
        <f>""</f>
        <v/>
      </c>
      <c r="CL1295" t="str">
        <f>""</f>
        <v/>
      </c>
      <c r="CM1295" t="str">
        <f>""</f>
        <v/>
      </c>
      <c r="CN1295" t="str">
        <f>""</f>
        <v/>
      </c>
      <c r="CO1295" t="str">
        <f>""</f>
        <v/>
      </c>
      <c r="CP1295" t="str">
        <f>""</f>
        <v/>
      </c>
      <c r="CQ1295" t="str">
        <f>""</f>
        <v/>
      </c>
      <c r="CR1295" t="str">
        <f>""</f>
        <v/>
      </c>
      <c r="CS1295" t="str">
        <f>""</f>
        <v/>
      </c>
      <c r="CT1295" t="str">
        <f>""</f>
        <v/>
      </c>
      <c r="CU1295" t="str">
        <f>""</f>
        <v/>
      </c>
      <c r="CV1295" t="str">
        <f>""</f>
        <v/>
      </c>
      <c r="CW1295" t="str">
        <f>""</f>
        <v/>
      </c>
      <c r="CX1295" t="str">
        <f>""</f>
        <v/>
      </c>
      <c r="CY1295" t="str">
        <f>""</f>
        <v/>
      </c>
      <c r="CZ1295" t="str">
        <f>""</f>
        <v/>
      </c>
      <c r="DA1295" t="str">
        <f>""</f>
        <v/>
      </c>
      <c r="DB1295" t="str">
        <f>""</f>
        <v/>
      </c>
      <c r="DC1295" t="str">
        <f>""</f>
        <v/>
      </c>
      <c r="DD1295" t="str">
        <f>""</f>
        <v/>
      </c>
      <c r="DE1295" t="str">
        <f>""</f>
        <v/>
      </c>
      <c r="DF1295" t="str">
        <f>""</f>
        <v/>
      </c>
      <c r="DG1295" t="str">
        <f>""</f>
        <v/>
      </c>
      <c r="DH1295" t="str">
        <f>""</f>
        <v/>
      </c>
      <c r="DI1295" t="str">
        <f>""</f>
        <v/>
      </c>
      <c r="DJ1295" t="str">
        <f>""</f>
        <v/>
      </c>
      <c r="DK1295" t="str">
        <f>""</f>
        <v/>
      </c>
      <c r="DL1295" t="str">
        <f>""</f>
        <v/>
      </c>
      <c r="DM1295" t="str">
        <f>""</f>
        <v/>
      </c>
      <c r="DN1295" t="str">
        <f>""</f>
        <v/>
      </c>
      <c r="DO1295" t="str">
        <f>""</f>
        <v/>
      </c>
      <c r="DP1295" t="str">
        <f>""</f>
        <v/>
      </c>
      <c r="DQ1295" t="str">
        <f>""</f>
        <v/>
      </c>
      <c r="DR1295" t="str">
        <f>""</f>
        <v/>
      </c>
      <c r="DS1295" t="str">
        <f>""</f>
        <v/>
      </c>
      <c r="DT1295" t="str">
        <f>""</f>
        <v/>
      </c>
      <c r="DU1295" t="str">
        <f>""</f>
        <v/>
      </c>
    </row>
    <row r="1296" spans="1:125" x14ac:dyDescent="0.25">
      <c r="A1296" t="str">
        <f>$A$639</f>
        <v xml:space="preserve">    Great Wall Motor Co Ltd</v>
      </c>
      <c r="B1296" t="str">
        <f>$B$639</f>
        <v>2333 HK Equity</v>
      </c>
      <c r="C1296" t="str">
        <f>$C$639</f>
        <v>RX539</v>
      </c>
      <c r="D1296" t="str">
        <f>$D$639</f>
        <v>T12_FCF_YIELD</v>
      </c>
      <c r="E1296" t="str">
        <f>$E$639</f>
        <v>Dynamic</v>
      </c>
      <c r="F1296" t="str">
        <f ca="1">_xll.BDH($B$639,$C$639,$B$675,$B$676,CONCATENATE("Per=",$B$673),"Dts=H","Dir=H",CONCATENATE("Points=",$B$674),"Sort=R","Days=A","Fill=B",CONCATENATE("FX=", $B$672) )</f>
        <v>#N/A Connection</v>
      </c>
      <c r="BN1296" t="str">
        <f>""</f>
        <v/>
      </c>
      <c r="BO1296" t="str">
        <f>""</f>
        <v/>
      </c>
      <c r="BP1296" t="str">
        <f>""</f>
        <v/>
      </c>
      <c r="BQ1296" t="str">
        <f>""</f>
        <v/>
      </c>
      <c r="BR1296" t="str">
        <f>""</f>
        <v/>
      </c>
      <c r="BS1296" t="str">
        <f>""</f>
        <v/>
      </c>
      <c r="BT1296" t="str">
        <f>""</f>
        <v/>
      </c>
      <c r="BU1296" t="str">
        <f>""</f>
        <v/>
      </c>
      <c r="BV1296" t="str">
        <f>""</f>
        <v/>
      </c>
      <c r="BW1296" t="str">
        <f>""</f>
        <v/>
      </c>
      <c r="BX1296" t="str">
        <f>""</f>
        <v/>
      </c>
      <c r="BY1296" t="str">
        <f>""</f>
        <v/>
      </c>
      <c r="BZ1296" t="str">
        <f>""</f>
        <v/>
      </c>
      <c r="CA1296" t="str">
        <f>""</f>
        <v/>
      </c>
      <c r="CB1296" t="str">
        <f>""</f>
        <v/>
      </c>
      <c r="CC1296" t="str">
        <f>""</f>
        <v/>
      </c>
      <c r="CD1296" t="str">
        <f>""</f>
        <v/>
      </c>
      <c r="CE1296" t="str">
        <f>""</f>
        <v/>
      </c>
      <c r="CF1296" t="str">
        <f>""</f>
        <v/>
      </c>
      <c r="CG1296" t="str">
        <f>""</f>
        <v/>
      </c>
      <c r="CH1296" t="str">
        <f>""</f>
        <v/>
      </c>
      <c r="CI1296" t="str">
        <f>""</f>
        <v/>
      </c>
      <c r="CJ1296" t="str">
        <f>""</f>
        <v/>
      </c>
      <c r="CK1296" t="str">
        <f>""</f>
        <v/>
      </c>
      <c r="CL1296" t="str">
        <f>""</f>
        <v/>
      </c>
      <c r="CM1296" t="str">
        <f>""</f>
        <v/>
      </c>
      <c r="CN1296" t="str">
        <f>""</f>
        <v/>
      </c>
      <c r="CO1296" t="str">
        <f>""</f>
        <v/>
      </c>
      <c r="CP1296" t="str">
        <f>""</f>
        <v/>
      </c>
      <c r="CQ1296" t="str">
        <f>""</f>
        <v/>
      </c>
      <c r="CR1296" t="str">
        <f>""</f>
        <v/>
      </c>
      <c r="CS1296" t="str">
        <f>""</f>
        <v/>
      </c>
      <c r="CT1296" t="str">
        <f>""</f>
        <v/>
      </c>
      <c r="CU1296" t="str">
        <f>""</f>
        <v/>
      </c>
      <c r="CV1296" t="str">
        <f>""</f>
        <v/>
      </c>
      <c r="CW1296" t="str">
        <f>""</f>
        <v/>
      </c>
      <c r="CX1296" t="str">
        <f>""</f>
        <v/>
      </c>
      <c r="CY1296" t="str">
        <f>""</f>
        <v/>
      </c>
      <c r="CZ1296" t="str">
        <f>""</f>
        <v/>
      </c>
      <c r="DA1296" t="str">
        <f>""</f>
        <v/>
      </c>
      <c r="DB1296" t="str">
        <f>""</f>
        <v/>
      </c>
      <c r="DC1296" t="str">
        <f>""</f>
        <v/>
      </c>
      <c r="DD1296" t="str">
        <f>""</f>
        <v/>
      </c>
      <c r="DE1296" t="str">
        <f>""</f>
        <v/>
      </c>
      <c r="DF1296" t="str">
        <f>""</f>
        <v/>
      </c>
      <c r="DG1296" t="str">
        <f>""</f>
        <v/>
      </c>
      <c r="DH1296" t="str">
        <f>""</f>
        <v/>
      </c>
      <c r="DI1296" t="str">
        <f>""</f>
        <v/>
      </c>
      <c r="DJ1296" t="str">
        <f>""</f>
        <v/>
      </c>
      <c r="DK1296" t="str">
        <f>""</f>
        <v/>
      </c>
      <c r="DL1296" t="str">
        <f>""</f>
        <v/>
      </c>
      <c r="DM1296" t="str">
        <f>""</f>
        <v/>
      </c>
      <c r="DN1296" t="str">
        <f>""</f>
        <v/>
      </c>
      <c r="DO1296" t="str">
        <f>""</f>
        <v/>
      </c>
      <c r="DP1296" t="str">
        <f>""</f>
        <v/>
      </c>
      <c r="DQ1296" t="str">
        <f>""</f>
        <v/>
      </c>
      <c r="DR1296" t="str">
        <f>""</f>
        <v/>
      </c>
      <c r="DS1296" t="str">
        <f>""</f>
        <v/>
      </c>
      <c r="DT1296" t="str">
        <f>""</f>
        <v/>
      </c>
      <c r="DU1296" t="str">
        <f>""</f>
        <v/>
      </c>
    </row>
    <row r="1297" spans="1:125" x14ac:dyDescent="0.25">
      <c r="A1297" t="str">
        <f>$A$640</f>
        <v xml:space="preserve">    Guangzhou Automobile Group Co Ltd</v>
      </c>
      <c r="B1297" t="str">
        <f>$B$640</f>
        <v>2238 HK Equity</v>
      </c>
      <c r="C1297" t="str">
        <f>$C$640</f>
        <v>RX539</v>
      </c>
      <c r="D1297" t="str">
        <f>$D$640</f>
        <v>T12_FCF_YIELD</v>
      </c>
      <c r="E1297" t="str">
        <f>$E$640</f>
        <v>Dynamic</v>
      </c>
      <c r="F1297" t="str">
        <f ca="1">_xll.BDH($B$640,$C$640,$B$675,$B$676,CONCATENATE("Per=",$B$673),"Dts=H","Dir=H",CONCATENATE("Points=",$B$674),"Sort=R","Days=A","Fill=B",CONCATENATE("FX=", $B$672) )</f>
        <v>#N/A Connection</v>
      </c>
      <c r="BN1297" t="str">
        <f>""</f>
        <v/>
      </c>
      <c r="BO1297" t="str">
        <f>""</f>
        <v/>
      </c>
      <c r="BP1297" t="str">
        <f>""</f>
        <v/>
      </c>
      <c r="BQ1297" t="str">
        <f>""</f>
        <v/>
      </c>
      <c r="BR1297" t="str">
        <f>""</f>
        <v/>
      </c>
      <c r="BS1297" t="str">
        <f>""</f>
        <v/>
      </c>
      <c r="BT1297" t="str">
        <f>""</f>
        <v/>
      </c>
      <c r="BU1297" t="str">
        <f>""</f>
        <v/>
      </c>
      <c r="BV1297" t="str">
        <f>""</f>
        <v/>
      </c>
      <c r="BW1297" t="str">
        <f>""</f>
        <v/>
      </c>
      <c r="BX1297" t="str">
        <f>""</f>
        <v/>
      </c>
      <c r="BY1297" t="str">
        <f>""</f>
        <v/>
      </c>
      <c r="BZ1297" t="str">
        <f>""</f>
        <v/>
      </c>
      <c r="CA1297" t="str">
        <f>""</f>
        <v/>
      </c>
      <c r="CB1297" t="str">
        <f>""</f>
        <v/>
      </c>
      <c r="CC1297" t="str">
        <f>""</f>
        <v/>
      </c>
      <c r="CD1297" t="str">
        <f>""</f>
        <v/>
      </c>
      <c r="CE1297" t="str">
        <f>""</f>
        <v/>
      </c>
      <c r="CF1297" t="str">
        <f>""</f>
        <v/>
      </c>
      <c r="CG1297" t="str">
        <f>""</f>
        <v/>
      </c>
      <c r="CH1297" t="str">
        <f>""</f>
        <v/>
      </c>
      <c r="CI1297" t="str">
        <f>""</f>
        <v/>
      </c>
      <c r="CJ1297" t="str">
        <f>""</f>
        <v/>
      </c>
      <c r="CK1297" t="str">
        <f>""</f>
        <v/>
      </c>
      <c r="CL1297" t="str">
        <f>""</f>
        <v/>
      </c>
      <c r="CM1297" t="str">
        <f>""</f>
        <v/>
      </c>
      <c r="CN1297" t="str">
        <f>""</f>
        <v/>
      </c>
      <c r="CO1297" t="str">
        <f>""</f>
        <v/>
      </c>
      <c r="CP1297" t="str">
        <f>""</f>
        <v/>
      </c>
      <c r="CQ1297" t="str">
        <f>""</f>
        <v/>
      </c>
      <c r="CR1297" t="str">
        <f>""</f>
        <v/>
      </c>
      <c r="CS1297" t="str">
        <f>""</f>
        <v/>
      </c>
      <c r="CT1297" t="str">
        <f>""</f>
        <v/>
      </c>
      <c r="CU1297" t="str">
        <f>""</f>
        <v/>
      </c>
      <c r="CV1297" t="str">
        <f>""</f>
        <v/>
      </c>
      <c r="CW1297" t="str">
        <f>""</f>
        <v/>
      </c>
      <c r="CX1297" t="str">
        <f>""</f>
        <v/>
      </c>
      <c r="CY1297" t="str">
        <f>""</f>
        <v/>
      </c>
      <c r="CZ1297" t="str">
        <f>""</f>
        <v/>
      </c>
      <c r="DA1297" t="str">
        <f>""</f>
        <v/>
      </c>
      <c r="DB1297" t="str">
        <f>""</f>
        <v/>
      </c>
      <c r="DC1297" t="str">
        <f>""</f>
        <v/>
      </c>
      <c r="DD1297" t="str">
        <f>""</f>
        <v/>
      </c>
      <c r="DE1297" t="str">
        <f>""</f>
        <v/>
      </c>
      <c r="DF1297" t="str">
        <f>""</f>
        <v/>
      </c>
      <c r="DG1297" t="str">
        <f>""</f>
        <v/>
      </c>
      <c r="DH1297" t="str">
        <f>""</f>
        <v/>
      </c>
      <c r="DI1297" t="str">
        <f>""</f>
        <v/>
      </c>
      <c r="DJ1297" t="str">
        <f>""</f>
        <v/>
      </c>
      <c r="DK1297" t="str">
        <f>""</f>
        <v/>
      </c>
      <c r="DL1297" t="str">
        <f>""</f>
        <v/>
      </c>
      <c r="DM1297" t="str">
        <f>""</f>
        <v/>
      </c>
      <c r="DN1297" t="str">
        <f>""</f>
        <v/>
      </c>
      <c r="DO1297" t="str">
        <f>""</f>
        <v/>
      </c>
      <c r="DP1297" t="str">
        <f>""</f>
        <v/>
      </c>
      <c r="DQ1297" t="str">
        <f>""</f>
        <v/>
      </c>
      <c r="DR1297" t="str">
        <f>""</f>
        <v/>
      </c>
      <c r="DS1297" t="str">
        <f>""</f>
        <v/>
      </c>
      <c r="DT1297" t="str">
        <f>""</f>
        <v/>
      </c>
      <c r="DU1297" t="str">
        <f>""</f>
        <v/>
      </c>
    </row>
    <row r="1298" spans="1:125" x14ac:dyDescent="0.25">
      <c r="A1298" t="str">
        <f>$A$641</f>
        <v xml:space="preserve">    Honda Motor Co Ltd</v>
      </c>
      <c r="B1298" t="str">
        <f>$B$641</f>
        <v>7267 JP Equity</v>
      </c>
      <c r="C1298" t="str">
        <f>$C$641</f>
        <v>RX539</v>
      </c>
      <c r="D1298" t="str">
        <f>$D$641</f>
        <v>T12_FCF_YIELD</v>
      </c>
      <c r="E1298" t="str">
        <f>$E$641</f>
        <v>Dynamic</v>
      </c>
      <c r="F1298" t="str">
        <f ca="1">_xll.BDH($B$641,$C$641,$B$675,$B$676,CONCATENATE("Per=",$B$673),"Dts=H","Dir=H",CONCATENATE("Points=",$B$674),"Sort=R","Days=A","Fill=B",CONCATENATE("FX=", $B$672) )</f>
        <v>#N/A Connection</v>
      </c>
      <c r="BN1298" t="str">
        <f>""</f>
        <v/>
      </c>
      <c r="BO1298" t="str">
        <f>""</f>
        <v/>
      </c>
      <c r="BP1298" t="str">
        <f>""</f>
        <v/>
      </c>
      <c r="BQ1298" t="str">
        <f>""</f>
        <v/>
      </c>
      <c r="BR1298" t="str">
        <f>""</f>
        <v/>
      </c>
      <c r="BS1298" t="str">
        <f>""</f>
        <v/>
      </c>
      <c r="BT1298" t="str">
        <f>""</f>
        <v/>
      </c>
      <c r="BU1298" t="str">
        <f>""</f>
        <v/>
      </c>
      <c r="BV1298" t="str">
        <f>""</f>
        <v/>
      </c>
      <c r="BW1298" t="str">
        <f>""</f>
        <v/>
      </c>
      <c r="BX1298" t="str">
        <f>""</f>
        <v/>
      </c>
      <c r="BY1298" t="str">
        <f>""</f>
        <v/>
      </c>
      <c r="BZ1298" t="str">
        <f>""</f>
        <v/>
      </c>
      <c r="CA1298" t="str">
        <f>""</f>
        <v/>
      </c>
      <c r="CB1298" t="str">
        <f>""</f>
        <v/>
      </c>
      <c r="CC1298" t="str">
        <f>""</f>
        <v/>
      </c>
      <c r="CD1298" t="str">
        <f>""</f>
        <v/>
      </c>
      <c r="CE1298" t="str">
        <f>""</f>
        <v/>
      </c>
      <c r="CF1298" t="str">
        <f>""</f>
        <v/>
      </c>
      <c r="CG1298" t="str">
        <f>""</f>
        <v/>
      </c>
      <c r="CH1298" t="str">
        <f>""</f>
        <v/>
      </c>
      <c r="CI1298" t="str">
        <f>""</f>
        <v/>
      </c>
      <c r="CJ1298" t="str">
        <f>""</f>
        <v/>
      </c>
      <c r="CK1298" t="str">
        <f>""</f>
        <v/>
      </c>
      <c r="CL1298" t="str">
        <f>""</f>
        <v/>
      </c>
      <c r="CM1298" t="str">
        <f>""</f>
        <v/>
      </c>
      <c r="CN1298" t="str">
        <f>""</f>
        <v/>
      </c>
      <c r="CO1298" t="str">
        <f>""</f>
        <v/>
      </c>
      <c r="CP1298" t="str">
        <f>""</f>
        <v/>
      </c>
      <c r="CQ1298" t="str">
        <f>""</f>
        <v/>
      </c>
      <c r="CR1298" t="str">
        <f>""</f>
        <v/>
      </c>
      <c r="CS1298" t="str">
        <f>""</f>
        <v/>
      </c>
      <c r="CT1298" t="str">
        <f>""</f>
        <v/>
      </c>
      <c r="CU1298" t="str">
        <f>""</f>
        <v/>
      </c>
      <c r="CV1298" t="str">
        <f>""</f>
        <v/>
      </c>
      <c r="CW1298" t="str">
        <f>""</f>
        <v/>
      </c>
      <c r="CX1298" t="str">
        <f>""</f>
        <v/>
      </c>
      <c r="CY1298" t="str">
        <f>""</f>
        <v/>
      </c>
      <c r="CZ1298" t="str">
        <f>""</f>
        <v/>
      </c>
      <c r="DA1298" t="str">
        <f>""</f>
        <v/>
      </c>
      <c r="DB1298" t="str">
        <f>""</f>
        <v/>
      </c>
      <c r="DC1298" t="str">
        <f>""</f>
        <v/>
      </c>
      <c r="DD1298" t="str">
        <f>""</f>
        <v/>
      </c>
      <c r="DE1298" t="str">
        <f>""</f>
        <v/>
      </c>
      <c r="DF1298" t="str">
        <f>""</f>
        <v/>
      </c>
      <c r="DG1298" t="str">
        <f>""</f>
        <v/>
      </c>
      <c r="DH1298" t="str">
        <f>""</f>
        <v/>
      </c>
      <c r="DI1298" t="str">
        <f>""</f>
        <v/>
      </c>
      <c r="DJ1298" t="str">
        <f>""</f>
        <v/>
      </c>
      <c r="DK1298" t="str">
        <f>""</f>
        <v/>
      </c>
      <c r="DL1298" t="str">
        <f>""</f>
        <v/>
      </c>
      <c r="DM1298" t="str">
        <f>""</f>
        <v/>
      </c>
      <c r="DN1298" t="str">
        <f>""</f>
        <v/>
      </c>
      <c r="DO1298" t="str">
        <f>""</f>
        <v/>
      </c>
      <c r="DP1298" t="str">
        <f>""</f>
        <v/>
      </c>
      <c r="DQ1298" t="str">
        <f>""</f>
        <v/>
      </c>
      <c r="DR1298" t="str">
        <f>""</f>
        <v/>
      </c>
      <c r="DS1298" t="str">
        <f>""</f>
        <v/>
      </c>
      <c r="DT1298" t="str">
        <f>""</f>
        <v/>
      </c>
      <c r="DU1298" t="str">
        <f>""</f>
        <v/>
      </c>
    </row>
    <row r="1299" spans="1:125" x14ac:dyDescent="0.25">
      <c r="A1299" t="str">
        <f>$A$642</f>
        <v xml:space="preserve">    Hyundai Motor Co</v>
      </c>
      <c r="B1299" t="str">
        <f>$B$642</f>
        <v>005380 KS Equity</v>
      </c>
      <c r="C1299" t="str">
        <f>$C$642</f>
        <v>RX539</v>
      </c>
      <c r="D1299" t="str">
        <f>$D$642</f>
        <v>T12_FCF_YIELD</v>
      </c>
      <c r="E1299" t="str">
        <f>$E$642</f>
        <v>Dynamic</v>
      </c>
      <c r="F1299" t="str">
        <f ca="1">_xll.BDH($B$642,$C$642,$B$675,$B$676,CONCATENATE("Per=",$B$673),"Dts=H","Dir=H",CONCATENATE("Points=",$B$674),"Sort=R","Days=A","Fill=B",CONCATENATE("FX=", $B$672) )</f>
        <v>#N/A Connection</v>
      </c>
      <c r="BN1299" t="str">
        <f>""</f>
        <v/>
      </c>
      <c r="BO1299" t="str">
        <f>""</f>
        <v/>
      </c>
      <c r="BP1299" t="str">
        <f>""</f>
        <v/>
      </c>
      <c r="BQ1299" t="str">
        <f>""</f>
        <v/>
      </c>
      <c r="BR1299" t="str">
        <f>""</f>
        <v/>
      </c>
      <c r="BS1299" t="str">
        <f>""</f>
        <v/>
      </c>
      <c r="BT1299" t="str">
        <f>""</f>
        <v/>
      </c>
      <c r="BU1299" t="str">
        <f>""</f>
        <v/>
      </c>
      <c r="BV1299" t="str">
        <f>""</f>
        <v/>
      </c>
      <c r="BW1299" t="str">
        <f>""</f>
        <v/>
      </c>
      <c r="BX1299" t="str">
        <f>""</f>
        <v/>
      </c>
      <c r="BY1299" t="str">
        <f>""</f>
        <v/>
      </c>
      <c r="BZ1299" t="str">
        <f>""</f>
        <v/>
      </c>
      <c r="CA1299" t="str">
        <f>""</f>
        <v/>
      </c>
      <c r="CB1299" t="str">
        <f>""</f>
        <v/>
      </c>
      <c r="CC1299" t="str">
        <f>""</f>
        <v/>
      </c>
      <c r="CD1299" t="str">
        <f>""</f>
        <v/>
      </c>
      <c r="CE1299" t="str">
        <f>""</f>
        <v/>
      </c>
      <c r="CF1299" t="str">
        <f>""</f>
        <v/>
      </c>
      <c r="CG1299" t="str">
        <f>""</f>
        <v/>
      </c>
      <c r="CH1299" t="str">
        <f>""</f>
        <v/>
      </c>
      <c r="CI1299" t="str">
        <f>""</f>
        <v/>
      </c>
      <c r="CJ1299" t="str">
        <f>""</f>
        <v/>
      </c>
      <c r="CK1299" t="str">
        <f>""</f>
        <v/>
      </c>
      <c r="CL1299" t="str">
        <f>""</f>
        <v/>
      </c>
      <c r="CM1299" t="str">
        <f>""</f>
        <v/>
      </c>
      <c r="CN1299" t="str">
        <f>""</f>
        <v/>
      </c>
      <c r="CO1299" t="str">
        <f>""</f>
        <v/>
      </c>
      <c r="CP1299" t="str">
        <f>""</f>
        <v/>
      </c>
      <c r="CQ1299" t="str">
        <f>""</f>
        <v/>
      </c>
      <c r="CR1299" t="str">
        <f>""</f>
        <v/>
      </c>
      <c r="CS1299" t="str">
        <f>""</f>
        <v/>
      </c>
      <c r="CT1299" t="str">
        <f>""</f>
        <v/>
      </c>
      <c r="CU1299" t="str">
        <f>""</f>
        <v/>
      </c>
      <c r="CV1299" t="str">
        <f>""</f>
        <v/>
      </c>
      <c r="CW1299" t="str">
        <f>""</f>
        <v/>
      </c>
      <c r="CX1299" t="str">
        <f>""</f>
        <v/>
      </c>
      <c r="CY1299" t="str">
        <f>""</f>
        <v/>
      </c>
      <c r="CZ1299" t="str">
        <f>""</f>
        <v/>
      </c>
      <c r="DA1299" t="str">
        <f>""</f>
        <v/>
      </c>
      <c r="DB1299" t="str">
        <f>""</f>
        <v/>
      </c>
      <c r="DC1299" t="str">
        <f>""</f>
        <v/>
      </c>
      <c r="DD1299" t="str">
        <f>""</f>
        <v/>
      </c>
      <c r="DE1299" t="str">
        <f>""</f>
        <v/>
      </c>
      <c r="DF1299" t="str">
        <f>""</f>
        <v/>
      </c>
      <c r="DG1299" t="str">
        <f>""</f>
        <v/>
      </c>
      <c r="DH1299" t="str">
        <f>""</f>
        <v/>
      </c>
      <c r="DI1299" t="str">
        <f>""</f>
        <v/>
      </c>
      <c r="DJ1299" t="str">
        <f>""</f>
        <v/>
      </c>
      <c r="DK1299" t="str">
        <f>""</f>
        <v/>
      </c>
      <c r="DL1299" t="str">
        <f>""</f>
        <v/>
      </c>
      <c r="DM1299" t="str">
        <f>""</f>
        <v/>
      </c>
      <c r="DN1299" t="str">
        <f>""</f>
        <v/>
      </c>
      <c r="DO1299" t="str">
        <f>""</f>
        <v/>
      </c>
      <c r="DP1299" t="str">
        <f>""</f>
        <v/>
      </c>
      <c r="DQ1299" t="str">
        <f>""</f>
        <v/>
      </c>
      <c r="DR1299" t="str">
        <f>""</f>
        <v/>
      </c>
      <c r="DS1299" t="str">
        <f>""</f>
        <v/>
      </c>
      <c r="DT1299" t="str">
        <f>""</f>
        <v/>
      </c>
      <c r="DU1299" t="str">
        <f>""</f>
        <v/>
      </c>
    </row>
    <row r="1300" spans="1:125" x14ac:dyDescent="0.25">
      <c r="A1300" t="str">
        <f>$A$643</f>
        <v xml:space="preserve">    Kia Motors Corp</v>
      </c>
      <c r="B1300" t="str">
        <f>$B$643</f>
        <v>000270 KS Equity</v>
      </c>
      <c r="C1300" t="str">
        <f>$C$643</f>
        <v>RX539</v>
      </c>
      <c r="D1300" t="str">
        <f>$D$643</f>
        <v>T12_FCF_YIELD</v>
      </c>
      <c r="E1300" t="str">
        <f>$E$643</f>
        <v>Dynamic</v>
      </c>
      <c r="F1300" t="str">
        <f ca="1">_xll.BDH($B$643,$C$643,$B$675,$B$676,CONCATENATE("Per=",$B$673),"Dts=H","Dir=H",CONCATENATE("Points=",$B$674),"Sort=R","Days=A","Fill=B",CONCATENATE("FX=", $B$672) )</f>
        <v>#N/A Connection</v>
      </c>
      <c r="BN1300" t="str">
        <f>""</f>
        <v/>
      </c>
      <c r="BO1300" t="str">
        <f>""</f>
        <v/>
      </c>
      <c r="BP1300" t="str">
        <f>""</f>
        <v/>
      </c>
      <c r="BQ1300" t="str">
        <f>""</f>
        <v/>
      </c>
      <c r="BR1300" t="str">
        <f>""</f>
        <v/>
      </c>
      <c r="BS1300" t="str">
        <f>""</f>
        <v/>
      </c>
      <c r="BT1300" t="str">
        <f>""</f>
        <v/>
      </c>
      <c r="BU1300" t="str">
        <f>""</f>
        <v/>
      </c>
      <c r="BV1300" t="str">
        <f>""</f>
        <v/>
      </c>
      <c r="BW1300" t="str">
        <f>""</f>
        <v/>
      </c>
      <c r="BX1300" t="str">
        <f>""</f>
        <v/>
      </c>
      <c r="BY1300" t="str">
        <f>""</f>
        <v/>
      </c>
      <c r="BZ1300" t="str">
        <f>""</f>
        <v/>
      </c>
      <c r="CA1300" t="str">
        <f>""</f>
        <v/>
      </c>
      <c r="CB1300" t="str">
        <f>""</f>
        <v/>
      </c>
      <c r="CC1300" t="str">
        <f>""</f>
        <v/>
      </c>
      <c r="CD1300" t="str">
        <f>""</f>
        <v/>
      </c>
      <c r="CE1300" t="str">
        <f>""</f>
        <v/>
      </c>
      <c r="CF1300" t="str">
        <f>""</f>
        <v/>
      </c>
      <c r="CG1300" t="str">
        <f>""</f>
        <v/>
      </c>
      <c r="CH1300" t="str">
        <f>""</f>
        <v/>
      </c>
      <c r="CI1300" t="str">
        <f>""</f>
        <v/>
      </c>
      <c r="CJ1300" t="str">
        <f>""</f>
        <v/>
      </c>
      <c r="CK1300" t="str">
        <f>""</f>
        <v/>
      </c>
      <c r="CL1300" t="str">
        <f>""</f>
        <v/>
      </c>
      <c r="CM1300" t="str">
        <f>""</f>
        <v/>
      </c>
      <c r="CN1300" t="str">
        <f>""</f>
        <v/>
      </c>
      <c r="CO1300" t="str">
        <f>""</f>
        <v/>
      </c>
      <c r="CP1300" t="str">
        <f>""</f>
        <v/>
      </c>
      <c r="CQ1300" t="str">
        <f>""</f>
        <v/>
      </c>
      <c r="CR1300" t="str">
        <f>""</f>
        <v/>
      </c>
      <c r="CS1300" t="str">
        <f>""</f>
        <v/>
      </c>
      <c r="CT1300" t="str">
        <f>""</f>
        <v/>
      </c>
      <c r="CU1300" t="str">
        <f>""</f>
        <v/>
      </c>
      <c r="CV1300" t="str">
        <f>""</f>
        <v/>
      </c>
      <c r="CW1300" t="str">
        <f>""</f>
        <v/>
      </c>
      <c r="CX1300" t="str">
        <f>""</f>
        <v/>
      </c>
      <c r="CY1300" t="str">
        <f>""</f>
        <v/>
      </c>
      <c r="CZ1300" t="str">
        <f>""</f>
        <v/>
      </c>
      <c r="DA1300" t="str">
        <f>""</f>
        <v/>
      </c>
      <c r="DB1300" t="str">
        <f>""</f>
        <v/>
      </c>
      <c r="DC1300" t="str">
        <f>""</f>
        <v/>
      </c>
      <c r="DD1300" t="str">
        <f>""</f>
        <v/>
      </c>
      <c r="DE1300" t="str">
        <f>""</f>
        <v/>
      </c>
      <c r="DF1300" t="str">
        <f>""</f>
        <v/>
      </c>
      <c r="DG1300" t="str">
        <f>""</f>
        <v/>
      </c>
      <c r="DH1300" t="str">
        <f>""</f>
        <v/>
      </c>
      <c r="DI1300" t="str">
        <f>""</f>
        <v/>
      </c>
      <c r="DJ1300" t="str">
        <f>""</f>
        <v/>
      </c>
      <c r="DK1300" t="str">
        <f>""</f>
        <v/>
      </c>
      <c r="DL1300" t="str">
        <f>""</f>
        <v/>
      </c>
      <c r="DM1300" t="str">
        <f>""</f>
        <v/>
      </c>
      <c r="DN1300" t="str">
        <f>""</f>
        <v/>
      </c>
      <c r="DO1300" t="str">
        <f>""</f>
        <v/>
      </c>
      <c r="DP1300" t="str">
        <f>""</f>
        <v/>
      </c>
      <c r="DQ1300" t="str">
        <f>""</f>
        <v/>
      </c>
      <c r="DR1300" t="str">
        <f>""</f>
        <v/>
      </c>
      <c r="DS1300" t="str">
        <f>""</f>
        <v/>
      </c>
      <c r="DT1300" t="str">
        <f>""</f>
        <v/>
      </c>
      <c r="DU1300" t="str">
        <f>""</f>
        <v/>
      </c>
    </row>
    <row r="1301" spans="1:125" x14ac:dyDescent="0.25">
      <c r="A1301" t="str">
        <f>$A$644</f>
        <v xml:space="preserve">    Mazda Motor Corp</v>
      </c>
      <c r="B1301" t="str">
        <f>$B$644</f>
        <v>7261 JP Equity</v>
      </c>
      <c r="C1301" t="str">
        <f>$C$644</f>
        <v>RX539</v>
      </c>
      <c r="D1301" t="str">
        <f>$D$644</f>
        <v>T12_FCF_YIELD</v>
      </c>
      <c r="E1301" t="str">
        <f>$E$644</f>
        <v>Dynamic</v>
      </c>
      <c r="F1301" t="str">
        <f ca="1">_xll.BDH($B$644,$C$644,$B$675,$B$676,CONCATENATE("Per=",$B$673),"Dts=H","Dir=H",CONCATENATE("Points=",$B$674),"Sort=R","Days=A","Fill=B",CONCATENATE("FX=", $B$672) )</f>
        <v>#N/A Connection</v>
      </c>
      <c r="BN1301" t="str">
        <f>""</f>
        <v/>
      </c>
      <c r="BO1301" t="str">
        <f>""</f>
        <v/>
      </c>
      <c r="BP1301" t="str">
        <f>""</f>
        <v/>
      </c>
      <c r="BQ1301" t="str">
        <f>""</f>
        <v/>
      </c>
      <c r="BR1301" t="str">
        <f>""</f>
        <v/>
      </c>
      <c r="BS1301" t="str">
        <f>""</f>
        <v/>
      </c>
      <c r="BT1301" t="str">
        <f>""</f>
        <v/>
      </c>
      <c r="BU1301" t="str">
        <f>""</f>
        <v/>
      </c>
      <c r="BV1301" t="str">
        <f>""</f>
        <v/>
      </c>
      <c r="BW1301" t="str">
        <f>""</f>
        <v/>
      </c>
      <c r="BX1301" t="str">
        <f>""</f>
        <v/>
      </c>
      <c r="BY1301" t="str">
        <f>""</f>
        <v/>
      </c>
      <c r="BZ1301" t="str">
        <f>""</f>
        <v/>
      </c>
      <c r="CA1301" t="str">
        <f>""</f>
        <v/>
      </c>
      <c r="CB1301" t="str">
        <f>""</f>
        <v/>
      </c>
      <c r="CC1301" t="str">
        <f>""</f>
        <v/>
      </c>
      <c r="CD1301" t="str">
        <f>""</f>
        <v/>
      </c>
      <c r="CE1301" t="str">
        <f>""</f>
        <v/>
      </c>
      <c r="CF1301" t="str">
        <f>""</f>
        <v/>
      </c>
      <c r="CG1301" t="str">
        <f>""</f>
        <v/>
      </c>
      <c r="CH1301" t="str">
        <f>""</f>
        <v/>
      </c>
      <c r="CI1301" t="str">
        <f>""</f>
        <v/>
      </c>
      <c r="CJ1301" t="str">
        <f>""</f>
        <v/>
      </c>
      <c r="CK1301" t="str">
        <f>""</f>
        <v/>
      </c>
      <c r="CL1301" t="str">
        <f>""</f>
        <v/>
      </c>
      <c r="CM1301" t="str">
        <f>""</f>
        <v/>
      </c>
      <c r="CN1301" t="str">
        <f>""</f>
        <v/>
      </c>
      <c r="CO1301" t="str">
        <f>""</f>
        <v/>
      </c>
      <c r="CP1301" t="str">
        <f>""</f>
        <v/>
      </c>
      <c r="CQ1301" t="str">
        <f>""</f>
        <v/>
      </c>
      <c r="CR1301" t="str">
        <f>""</f>
        <v/>
      </c>
      <c r="CS1301" t="str">
        <f>""</f>
        <v/>
      </c>
      <c r="CT1301" t="str">
        <f>""</f>
        <v/>
      </c>
      <c r="CU1301" t="str">
        <f>""</f>
        <v/>
      </c>
      <c r="CV1301" t="str">
        <f>""</f>
        <v/>
      </c>
      <c r="CW1301" t="str">
        <f>""</f>
        <v/>
      </c>
      <c r="CX1301" t="str">
        <f>""</f>
        <v/>
      </c>
      <c r="CY1301" t="str">
        <f>""</f>
        <v/>
      </c>
      <c r="CZ1301" t="str">
        <f>""</f>
        <v/>
      </c>
      <c r="DA1301" t="str">
        <f>""</f>
        <v/>
      </c>
      <c r="DB1301" t="str">
        <f>""</f>
        <v/>
      </c>
      <c r="DC1301" t="str">
        <f>""</f>
        <v/>
      </c>
      <c r="DD1301" t="str">
        <f>""</f>
        <v/>
      </c>
      <c r="DE1301" t="str">
        <f>""</f>
        <v/>
      </c>
      <c r="DF1301" t="str">
        <f>""</f>
        <v/>
      </c>
      <c r="DG1301" t="str">
        <f>""</f>
        <v/>
      </c>
      <c r="DH1301" t="str">
        <f>""</f>
        <v/>
      </c>
      <c r="DI1301" t="str">
        <f>""</f>
        <v/>
      </c>
      <c r="DJ1301" t="str">
        <f>""</f>
        <v/>
      </c>
      <c r="DK1301" t="str">
        <f>""</f>
        <v/>
      </c>
      <c r="DL1301" t="str">
        <f>""</f>
        <v/>
      </c>
      <c r="DM1301" t="str">
        <f>""</f>
        <v/>
      </c>
      <c r="DN1301" t="str">
        <f>""</f>
        <v/>
      </c>
      <c r="DO1301" t="str">
        <f>""</f>
        <v/>
      </c>
      <c r="DP1301" t="str">
        <f>""</f>
        <v/>
      </c>
      <c r="DQ1301" t="str">
        <f>""</f>
        <v/>
      </c>
      <c r="DR1301" t="str">
        <f>""</f>
        <v/>
      </c>
      <c r="DS1301" t="str">
        <f>""</f>
        <v/>
      </c>
      <c r="DT1301" t="str">
        <f>""</f>
        <v/>
      </c>
      <c r="DU1301" t="str">
        <f>""</f>
        <v/>
      </c>
    </row>
    <row r="1302" spans="1:125" x14ac:dyDescent="0.25">
      <c r="A1302" t="str">
        <f>$A$645</f>
        <v xml:space="preserve">    Mitsubishi Motors Corp</v>
      </c>
      <c r="B1302" t="str">
        <f>$B$645</f>
        <v>7211 JP Equity</v>
      </c>
      <c r="C1302" t="str">
        <f>$C$645</f>
        <v>RX539</v>
      </c>
      <c r="D1302" t="str">
        <f>$D$645</f>
        <v>T12_FCF_YIELD</v>
      </c>
      <c r="E1302" t="str">
        <f>$E$645</f>
        <v>Dynamic</v>
      </c>
      <c r="F1302" t="str">
        <f ca="1">_xll.BDH($B$645,$C$645,$B$675,$B$676,CONCATENATE("Per=",$B$673),"Dts=H","Dir=H",CONCATENATE("Points=",$B$674),"Sort=R","Days=A","Fill=B",CONCATENATE("FX=", $B$672) )</f>
        <v>#N/A Connection</v>
      </c>
      <c r="BN1302" t="str">
        <f>""</f>
        <v/>
      </c>
      <c r="BO1302" t="str">
        <f>""</f>
        <v/>
      </c>
      <c r="BP1302" t="str">
        <f>""</f>
        <v/>
      </c>
      <c r="BQ1302" t="str">
        <f>""</f>
        <v/>
      </c>
      <c r="BR1302" t="str">
        <f>""</f>
        <v/>
      </c>
      <c r="BS1302" t="str">
        <f>""</f>
        <v/>
      </c>
      <c r="BT1302" t="str">
        <f>""</f>
        <v/>
      </c>
      <c r="BU1302" t="str">
        <f>""</f>
        <v/>
      </c>
      <c r="BV1302" t="str">
        <f>""</f>
        <v/>
      </c>
      <c r="BW1302" t="str">
        <f>""</f>
        <v/>
      </c>
      <c r="BX1302" t="str">
        <f>""</f>
        <v/>
      </c>
      <c r="BY1302" t="str">
        <f>""</f>
        <v/>
      </c>
      <c r="BZ1302" t="str">
        <f>""</f>
        <v/>
      </c>
      <c r="CA1302" t="str">
        <f>""</f>
        <v/>
      </c>
      <c r="CB1302" t="str">
        <f>""</f>
        <v/>
      </c>
      <c r="CC1302" t="str">
        <f>""</f>
        <v/>
      </c>
      <c r="CD1302" t="str">
        <f>""</f>
        <v/>
      </c>
      <c r="CE1302" t="str">
        <f>""</f>
        <v/>
      </c>
      <c r="CF1302" t="str">
        <f>""</f>
        <v/>
      </c>
      <c r="CG1302" t="str">
        <f>""</f>
        <v/>
      </c>
      <c r="CH1302" t="str">
        <f>""</f>
        <v/>
      </c>
      <c r="CI1302" t="str">
        <f>""</f>
        <v/>
      </c>
      <c r="CJ1302" t="str">
        <f>""</f>
        <v/>
      </c>
      <c r="CK1302" t="str">
        <f>""</f>
        <v/>
      </c>
      <c r="CL1302" t="str">
        <f>""</f>
        <v/>
      </c>
      <c r="CM1302" t="str">
        <f>""</f>
        <v/>
      </c>
      <c r="CN1302" t="str">
        <f>""</f>
        <v/>
      </c>
      <c r="CO1302" t="str">
        <f>""</f>
        <v/>
      </c>
      <c r="CP1302" t="str">
        <f>""</f>
        <v/>
      </c>
      <c r="CQ1302" t="str">
        <f>""</f>
        <v/>
      </c>
      <c r="CR1302" t="str">
        <f>""</f>
        <v/>
      </c>
      <c r="CS1302" t="str">
        <f>""</f>
        <v/>
      </c>
      <c r="CT1302" t="str">
        <f>""</f>
        <v/>
      </c>
      <c r="CU1302" t="str">
        <f>""</f>
        <v/>
      </c>
      <c r="CV1302" t="str">
        <f>""</f>
        <v/>
      </c>
      <c r="CW1302" t="str">
        <f>""</f>
        <v/>
      </c>
      <c r="CX1302" t="str">
        <f>""</f>
        <v/>
      </c>
      <c r="CY1302" t="str">
        <f>""</f>
        <v/>
      </c>
      <c r="CZ1302" t="str">
        <f>""</f>
        <v/>
      </c>
      <c r="DA1302" t="str">
        <f>""</f>
        <v/>
      </c>
      <c r="DB1302" t="str">
        <f>""</f>
        <v/>
      </c>
      <c r="DC1302" t="str">
        <f>""</f>
        <v/>
      </c>
      <c r="DD1302" t="str">
        <f>""</f>
        <v/>
      </c>
      <c r="DE1302" t="str">
        <f>""</f>
        <v/>
      </c>
      <c r="DF1302" t="str">
        <f>""</f>
        <v/>
      </c>
      <c r="DG1302" t="str">
        <f>""</f>
        <v/>
      </c>
      <c r="DH1302" t="str">
        <f>""</f>
        <v/>
      </c>
      <c r="DI1302" t="str">
        <f>""</f>
        <v/>
      </c>
      <c r="DJ1302" t="str">
        <f>""</f>
        <v/>
      </c>
      <c r="DK1302" t="str">
        <f>""</f>
        <v/>
      </c>
      <c r="DL1302" t="str">
        <f>""</f>
        <v/>
      </c>
      <c r="DM1302" t="str">
        <f>""</f>
        <v/>
      </c>
      <c r="DN1302" t="str">
        <f>""</f>
        <v/>
      </c>
      <c r="DO1302" t="str">
        <f>""</f>
        <v/>
      </c>
      <c r="DP1302" t="str">
        <f>""</f>
        <v/>
      </c>
      <c r="DQ1302" t="str">
        <f>""</f>
        <v/>
      </c>
      <c r="DR1302" t="str">
        <f>""</f>
        <v/>
      </c>
      <c r="DS1302" t="str">
        <f>""</f>
        <v/>
      </c>
      <c r="DT1302" t="str">
        <f>""</f>
        <v/>
      </c>
      <c r="DU1302" t="str">
        <f>""</f>
        <v/>
      </c>
    </row>
    <row r="1303" spans="1:125" x14ac:dyDescent="0.25">
      <c r="A1303" t="str">
        <f>$A$646</f>
        <v xml:space="preserve">    Nissan Motor Co Ltd</v>
      </c>
      <c r="B1303" t="str">
        <f>$B$646</f>
        <v>7201 JP Equity</v>
      </c>
      <c r="C1303" t="str">
        <f>$C$646</f>
        <v>RX539</v>
      </c>
      <c r="D1303" t="str">
        <f>$D$646</f>
        <v>T12_FCF_YIELD</v>
      </c>
      <c r="E1303" t="str">
        <f>$E$646</f>
        <v>Dynamic</v>
      </c>
      <c r="F1303" t="str">
        <f ca="1">_xll.BDH($B$646,$C$646,$B$675,$B$676,CONCATENATE("Per=",$B$673),"Dts=H","Dir=H",CONCATENATE("Points=",$B$674),"Sort=R","Days=A","Fill=B",CONCATENATE("FX=", $B$672) )</f>
        <v>#N/A Connection</v>
      </c>
      <c r="BN1303" t="str">
        <f>""</f>
        <v/>
      </c>
      <c r="BO1303" t="str">
        <f>""</f>
        <v/>
      </c>
      <c r="BP1303" t="str">
        <f>""</f>
        <v/>
      </c>
      <c r="BQ1303" t="str">
        <f>""</f>
        <v/>
      </c>
      <c r="BR1303" t="str">
        <f>""</f>
        <v/>
      </c>
      <c r="BS1303" t="str">
        <f>""</f>
        <v/>
      </c>
      <c r="BT1303" t="str">
        <f>""</f>
        <v/>
      </c>
      <c r="BU1303" t="str">
        <f>""</f>
        <v/>
      </c>
      <c r="BV1303" t="str">
        <f>""</f>
        <v/>
      </c>
      <c r="BW1303" t="str">
        <f>""</f>
        <v/>
      </c>
      <c r="BX1303" t="str">
        <f>""</f>
        <v/>
      </c>
      <c r="BY1303" t="str">
        <f>""</f>
        <v/>
      </c>
      <c r="BZ1303" t="str">
        <f>""</f>
        <v/>
      </c>
      <c r="CA1303" t="str">
        <f>""</f>
        <v/>
      </c>
      <c r="CB1303" t="str">
        <f>""</f>
        <v/>
      </c>
      <c r="CC1303" t="str">
        <f>""</f>
        <v/>
      </c>
      <c r="CD1303" t="str">
        <f>""</f>
        <v/>
      </c>
      <c r="CE1303" t="str">
        <f>""</f>
        <v/>
      </c>
      <c r="CF1303" t="str">
        <f>""</f>
        <v/>
      </c>
      <c r="CG1303" t="str">
        <f>""</f>
        <v/>
      </c>
      <c r="CH1303" t="str">
        <f>""</f>
        <v/>
      </c>
      <c r="CI1303" t="str">
        <f>""</f>
        <v/>
      </c>
      <c r="CJ1303" t="str">
        <f>""</f>
        <v/>
      </c>
      <c r="CK1303" t="str">
        <f>""</f>
        <v/>
      </c>
      <c r="CL1303" t="str">
        <f>""</f>
        <v/>
      </c>
      <c r="CM1303" t="str">
        <f>""</f>
        <v/>
      </c>
      <c r="CN1303" t="str">
        <f>""</f>
        <v/>
      </c>
      <c r="CO1303" t="str">
        <f>""</f>
        <v/>
      </c>
      <c r="CP1303" t="str">
        <f>""</f>
        <v/>
      </c>
      <c r="CQ1303" t="str">
        <f>""</f>
        <v/>
      </c>
      <c r="CR1303" t="str">
        <f>""</f>
        <v/>
      </c>
      <c r="CS1303" t="str">
        <f>""</f>
        <v/>
      </c>
      <c r="CT1303" t="str">
        <f>""</f>
        <v/>
      </c>
      <c r="CU1303" t="str">
        <f>""</f>
        <v/>
      </c>
      <c r="CV1303" t="str">
        <f>""</f>
        <v/>
      </c>
      <c r="CW1303" t="str">
        <f>""</f>
        <v/>
      </c>
      <c r="CX1303" t="str">
        <f>""</f>
        <v/>
      </c>
      <c r="CY1303" t="str">
        <f>""</f>
        <v/>
      </c>
      <c r="CZ1303" t="str">
        <f>""</f>
        <v/>
      </c>
      <c r="DA1303" t="str">
        <f>""</f>
        <v/>
      </c>
      <c r="DB1303" t="str">
        <f>""</f>
        <v/>
      </c>
      <c r="DC1303" t="str">
        <f>""</f>
        <v/>
      </c>
      <c r="DD1303" t="str">
        <f>""</f>
        <v/>
      </c>
      <c r="DE1303" t="str">
        <f>""</f>
        <v/>
      </c>
      <c r="DF1303" t="str">
        <f>""</f>
        <v/>
      </c>
      <c r="DG1303" t="str">
        <f>""</f>
        <v/>
      </c>
      <c r="DH1303" t="str">
        <f>""</f>
        <v/>
      </c>
      <c r="DI1303" t="str">
        <f>""</f>
        <v/>
      </c>
      <c r="DJ1303" t="str">
        <f>""</f>
        <v/>
      </c>
      <c r="DK1303" t="str">
        <f>""</f>
        <v/>
      </c>
      <c r="DL1303" t="str">
        <f>""</f>
        <v/>
      </c>
      <c r="DM1303" t="str">
        <f>""</f>
        <v/>
      </c>
      <c r="DN1303" t="str">
        <f>""</f>
        <v/>
      </c>
      <c r="DO1303" t="str">
        <f>""</f>
        <v/>
      </c>
      <c r="DP1303" t="str">
        <f>""</f>
        <v/>
      </c>
      <c r="DQ1303" t="str">
        <f>""</f>
        <v/>
      </c>
      <c r="DR1303" t="str">
        <f>""</f>
        <v/>
      </c>
      <c r="DS1303" t="str">
        <f>""</f>
        <v/>
      </c>
      <c r="DT1303" t="str">
        <f>""</f>
        <v/>
      </c>
      <c r="DU1303" t="str">
        <f>""</f>
        <v/>
      </c>
    </row>
    <row r="1304" spans="1:125" x14ac:dyDescent="0.25">
      <c r="A1304" t="str">
        <f>$A$647</f>
        <v xml:space="preserve">    Peugeot SA</v>
      </c>
      <c r="B1304" t="str">
        <f>$B$647</f>
        <v>UG FP Equity</v>
      </c>
      <c r="C1304" t="str">
        <f>$C$647</f>
        <v>RX539</v>
      </c>
      <c r="D1304" t="str">
        <f>$D$647</f>
        <v>T12_FCF_YIELD</v>
      </c>
      <c r="E1304" t="str">
        <f>$E$647</f>
        <v>Dynamic</v>
      </c>
      <c r="F1304" t="str">
        <f ca="1">_xll.BDH($B$647,$C$647,$B$675,$B$676,CONCATENATE("Per=",$B$673),"Dts=H","Dir=H",CONCATENATE("Points=",$B$674),"Sort=R","Days=A","Fill=B",CONCATENATE("FX=", $B$672) )</f>
        <v>#N/A Connection</v>
      </c>
      <c r="BN1304" t="str">
        <f>""</f>
        <v/>
      </c>
      <c r="BO1304" t="str">
        <f>""</f>
        <v/>
      </c>
      <c r="BP1304" t="str">
        <f>""</f>
        <v/>
      </c>
      <c r="BQ1304" t="str">
        <f>""</f>
        <v/>
      </c>
      <c r="BR1304" t="str">
        <f>""</f>
        <v/>
      </c>
      <c r="BS1304" t="str">
        <f>""</f>
        <v/>
      </c>
      <c r="BT1304" t="str">
        <f>""</f>
        <v/>
      </c>
      <c r="BU1304" t="str">
        <f>""</f>
        <v/>
      </c>
      <c r="BV1304" t="str">
        <f>""</f>
        <v/>
      </c>
      <c r="BW1304" t="str">
        <f>""</f>
        <v/>
      </c>
      <c r="BX1304" t="str">
        <f>""</f>
        <v/>
      </c>
      <c r="BY1304" t="str">
        <f>""</f>
        <v/>
      </c>
      <c r="BZ1304" t="str">
        <f>""</f>
        <v/>
      </c>
      <c r="CA1304" t="str">
        <f>""</f>
        <v/>
      </c>
      <c r="CB1304" t="str">
        <f>""</f>
        <v/>
      </c>
      <c r="CC1304" t="str">
        <f>""</f>
        <v/>
      </c>
      <c r="CD1304" t="str">
        <f>""</f>
        <v/>
      </c>
      <c r="CE1304" t="str">
        <f>""</f>
        <v/>
      </c>
      <c r="CF1304" t="str">
        <f>""</f>
        <v/>
      </c>
      <c r="CG1304" t="str">
        <f>""</f>
        <v/>
      </c>
      <c r="CH1304" t="str">
        <f>""</f>
        <v/>
      </c>
      <c r="CI1304" t="str">
        <f>""</f>
        <v/>
      </c>
      <c r="CJ1304" t="str">
        <f>""</f>
        <v/>
      </c>
      <c r="CK1304" t="str">
        <f>""</f>
        <v/>
      </c>
      <c r="CL1304" t="str">
        <f>""</f>
        <v/>
      </c>
      <c r="CM1304" t="str">
        <f>""</f>
        <v/>
      </c>
      <c r="CN1304" t="str">
        <f>""</f>
        <v/>
      </c>
      <c r="CO1304" t="str">
        <f>""</f>
        <v/>
      </c>
      <c r="CP1304" t="str">
        <f>""</f>
        <v/>
      </c>
      <c r="CQ1304" t="str">
        <f>""</f>
        <v/>
      </c>
      <c r="CR1304" t="str">
        <f>""</f>
        <v/>
      </c>
      <c r="CS1304" t="str">
        <f>""</f>
        <v/>
      </c>
      <c r="CT1304" t="str">
        <f>""</f>
        <v/>
      </c>
      <c r="CU1304" t="str">
        <f>""</f>
        <v/>
      </c>
      <c r="CV1304" t="str">
        <f>""</f>
        <v/>
      </c>
      <c r="CW1304" t="str">
        <f>""</f>
        <v/>
      </c>
      <c r="CX1304" t="str">
        <f>""</f>
        <v/>
      </c>
      <c r="CY1304" t="str">
        <f>""</f>
        <v/>
      </c>
      <c r="CZ1304" t="str">
        <f>""</f>
        <v/>
      </c>
      <c r="DA1304" t="str">
        <f>""</f>
        <v/>
      </c>
      <c r="DB1304" t="str">
        <f>""</f>
        <v/>
      </c>
      <c r="DC1304" t="str">
        <f>""</f>
        <v/>
      </c>
      <c r="DD1304" t="str">
        <f>""</f>
        <v/>
      </c>
      <c r="DE1304" t="str">
        <f>""</f>
        <v/>
      </c>
      <c r="DF1304" t="str">
        <f>""</f>
        <v/>
      </c>
      <c r="DG1304" t="str">
        <f>""</f>
        <v/>
      </c>
      <c r="DH1304" t="str">
        <f>""</f>
        <v/>
      </c>
      <c r="DI1304" t="str">
        <f>""</f>
        <v/>
      </c>
      <c r="DJ1304" t="str">
        <f>""</f>
        <v/>
      </c>
      <c r="DK1304" t="str">
        <f>""</f>
        <v/>
      </c>
      <c r="DL1304" t="str">
        <f>""</f>
        <v/>
      </c>
      <c r="DM1304" t="str">
        <f>""</f>
        <v/>
      </c>
      <c r="DN1304" t="str">
        <f>""</f>
        <v/>
      </c>
      <c r="DO1304" t="str">
        <f>""</f>
        <v/>
      </c>
      <c r="DP1304" t="str">
        <f>""</f>
        <v/>
      </c>
      <c r="DQ1304" t="str">
        <f>""</f>
        <v/>
      </c>
      <c r="DR1304" t="str">
        <f>""</f>
        <v/>
      </c>
      <c r="DS1304" t="str">
        <f>""</f>
        <v/>
      </c>
      <c r="DT1304" t="str">
        <f>""</f>
        <v/>
      </c>
      <c r="DU1304" t="str">
        <f>""</f>
        <v/>
      </c>
    </row>
    <row r="1305" spans="1:125" x14ac:dyDescent="0.25">
      <c r="A1305" t="str">
        <f>$A$648</f>
        <v xml:space="preserve">    Renault SA</v>
      </c>
      <c r="B1305" t="str">
        <f>$B$648</f>
        <v>RNO FP Equity</v>
      </c>
      <c r="C1305" t="str">
        <f>$C$648</f>
        <v>RX539</v>
      </c>
      <c r="D1305" t="str">
        <f>$D$648</f>
        <v>T12_FCF_YIELD</v>
      </c>
      <c r="E1305" t="str">
        <f>$E$648</f>
        <v>Dynamic</v>
      </c>
      <c r="F1305" t="str">
        <f ca="1">_xll.BDH($B$648,$C$648,$B$675,$B$676,CONCATENATE("Per=",$B$673),"Dts=H","Dir=H",CONCATENATE("Points=",$B$674),"Sort=R","Days=A","Fill=B",CONCATENATE("FX=", $B$672) )</f>
        <v>#N/A Connection</v>
      </c>
      <c r="BN1305" t="str">
        <f>""</f>
        <v/>
      </c>
      <c r="BO1305" t="str">
        <f>""</f>
        <v/>
      </c>
      <c r="BP1305" t="str">
        <f>""</f>
        <v/>
      </c>
      <c r="BQ1305" t="str">
        <f>""</f>
        <v/>
      </c>
      <c r="BR1305" t="str">
        <f>""</f>
        <v/>
      </c>
      <c r="BS1305" t="str">
        <f>""</f>
        <v/>
      </c>
      <c r="BT1305" t="str">
        <f>""</f>
        <v/>
      </c>
      <c r="BU1305" t="str">
        <f>""</f>
        <v/>
      </c>
      <c r="BV1305" t="str">
        <f>""</f>
        <v/>
      </c>
      <c r="BW1305" t="str">
        <f>""</f>
        <v/>
      </c>
      <c r="BX1305" t="str">
        <f>""</f>
        <v/>
      </c>
      <c r="BY1305" t="str">
        <f>""</f>
        <v/>
      </c>
      <c r="BZ1305" t="str">
        <f>""</f>
        <v/>
      </c>
      <c r="CA1305" t="str">
        <f>""</f>
        <v/>
      </c>
      <c r="CB1305" t="str">
        <f>""</f>
        <v/>
      </c>
      <c r="CC1305" t="str">
        <f>""</f>
        <v/>
      </c>
      <c r="CD1305" t="str">
        <f>""</f>
        <v/>
      </c>
      <c r="CE1305" t="str">
        <f>""</f>
        <v/>
      </c>
      <c r="CF1305" t="str">
        <f>""</f>
        <v/>
      </c>
      <c r="CG1305" t="str">
        <f>""</f>
        <v/>
      </c>
      <c r="CH1305" t="str">
        <f>""</f>
        <v/>
      </c>
      <c r="CI1305" t="str">
        <f>""</f>
        <v/>
      </c>
      <c r="CJ1305" t="str">
        <f>""</f>
        <v/>
      </c>
      <c r="CK1305" t="str">
        <f>""</f>
        <v/>
      </c>
      <c r="CL1305" t="str">
        <f>""</f>
        <v/>
      </c>
      <c r="CM1305" t="str">
        <f>""</f>
        <v/>
      </c>
      <c r="CN1305" t="str">
        <f>""</f>
        <v/>
      </c>
      <c r="CO1305" t="str">
        <f>""</f>
        <v/>
      </c>
      <c r="CP1305" t="str">
        <f>""</f>
        <v/>
      </c>
      <c r="CQ1305" t="str">
        <f>""</f>
        <v/>
      </c>
      <c r="CR1305" t="str">
        <f>""</f>
        <v/>
      </c>
      <c r="CS1305" t="str">
        <f>""</f>
        <v/>
      </c>
      <c r="CT1305" t="str">
        <f>""</f>
        <v/>
      </c>
      <c r="CU1305" t="str">
        <f>""</f>
        <v/>
      </c>
      <c r="CV1305" t="str">
        <f>""</f>
        <v/>
      </c>
      <c r="CW1305" t="str">
        <f>""</f>
        <v/>
      </c>
      <c r="CX1305" t="str">
        <f>""</f>
        <v/>
      </c>
      <c r="CY1305" t="str">
        <f>""</f>
        <v/>
      </c>
      <c r="CZ1305" t="str">
        <f>""</f>
        <v/>
      </c>
      <c r="DA1305" t="str">
        <f>""</f>
        <v/>
      </c>
      <c r="DB1305" t="str">
        <f>""</f>
        <v/>
      </c>
      <c r="DC1305" t="str">
        <f>""</f>
        <v/>
      </c>
      <c r="DD1305" t="str">
        <f>""</f>
        <v/>
      </c>
      <c r="DE1305" t="str">
        <f>""</f>
        <v/>
      </c>
      <c r="DF1305" t="str">
        <f>""</f>
        <v/>
      </c>
      <c r="DG1305" t="str">
        <f>""</f>
        <v/>
      </c>
      <c r="DH1305" t="str">
        <f>""</f>
        <v/>
      </c>
      <c r="DI1305" t="str">
        <f>""</f>
        <v/>
      </c>
      <c r="DJ1305" t="str">
        <f>""</f>
        <v/>
      </c>
      <c r="DK1305" t="str">
        <f>""</f>
        <v/>
      </c>
      <c r="DL1305" t="str">
        <f>""</f>
        <v/>
      </c>
      <c r="DM1305" t="str">
        <f>""</f>
        <v/>
      </c>
      <c r="DN1305" t="str">
        <f>""</f>
        <v/>
      </c>
      <c r="DO1305" t="str">
        <f>""</f>
        <v/>
      </c>
      <c r="DP1305" t="str">
        <f>""</f>
        <v/>
      </c>
      <c r="DQ1305" t="str">
        <f>""</f>
        <v/>
      </c>
      <c r="DR1305" t="str">
        <f>""</f>
        <v/>
      </c>
      <c r="DS1305" t="str">
        <f>""</f>
        <v/>
      </c>
      <c r="DT1305" t="str">
        <f>""</f>
        <v/>
      </c>
      <c r="DU1305" t="str">
        <f>""</f>
        <v/>
      </c>
    </row>
    <row r="1306" spans="1:125" x14ac:dyDescent="0.25">
      <c r="A1306" t="str">
        <f>$A$649</f>
        <v xml:space="preserve">    SAIC Motor Corp Ltd</v>
      </c>
      <c r="B1306" t="str">
        <f>$B$649</f>
        <v>600104 CH Equity</v>
      </c>
      <c r="C1306" t="str">
        <f>$C$649</f>
        <v>RX539</v>
      </c>
      <c r="D1306" t="str">
        <f>$D$649</f>
        <v>T12_FCF_YIELD</v>
      </c>
      <c r="E1306" t="str">
        <f>$E$649</f>
        <v>Dynamic</v>
      </c>
      <c r="F1306" t="str">
        <f ca="1">_xll.BDH($B$649,$C$649,$B$675,$B$676,CONCATENATE("Per=",$B$673),"Dts=H","Dir=H",CONCATENATE("Points=",$B$674),"Sort=R","Days=A","Fill=B",CONCATENATE("FX=", $B$672) )</f>
        <v>#N/A Connection</v>
      </c>
      <c r="BN1306" t="str">
        <f>""</f>
        <v/>
      </c>
      <c r="BO1306" t="str">
        <f>""</f>
        <v/>
      </c>
      <c r="BP1306" t="str">
        <f>""</f>
        <v/>
      </c>
      <c r="BQ1306" t="str">
        <f>""</f>
        <v/>
      </c>
      <c r="BR1306" t="str">
        <f>""</f>
        <v/>
      </c>
      <c r="BS1306" t="str">
        <f>""</f>
        <v/>
      </c>
      <c r="BT1306" t="str">
        <f>""</f>
        <v/>
      </c>
      <c r="BU1306" t="str">
        <f>""</f>
        <v/>
      </c>
      <c r="BV1306" t="str">
        <f>""</f>
        <v/>
      </c>
      <c r="BW1306" t="str">
        <f>""</f>
        <v/>
      </c>
      <c r="BX1306" t="str">
        <f>""</f>
        <v/>
      </c>
      <c r="BY1306" t="str">
        <f>""</f>
        <v/>
      </c>
      <c r="BZ1306" t="str">
        <f>""</f>
        <v/>
      </c>
      <c r="CA1306" t="str">
        <f>""</f>
        <v/>
      </c>
      <c r="CB1306" t="str">
        <f>""</f>
        <v/>
      </c>
      <c r="CC1306" t="str">
        <f>""</f>
        <v/>
      </c>
      <c r="CD1306" t="str">
        <f>""</f>
        <v/>
      </c>
      <c r="CE1306" t="str">
        <f>""</f>
        <v/>
      </c>
      <c r="CF1306" t="str">
        <f>""</f>
        <v/>
      </c>
      <c r="CG1306" t="str">
        <f>""</f>
        <v/>
      </c>
      <c r="CH1306" t="str">
        <f>""</f>
        <v/>
      </c>
      <c r="CI1306" t="str">
        <f>""</f>
        <v/>
      </c>
      <c r="CJ1306" t="str">
        <f>""</f>
        <v/>
      </c>
      <c r="CK1306" t="str">
        <f>""</f>
        <v/>
      </c>
      <c r="CL1306" t="str">
        <f>""</f>
        <v/>
      </c>
      <c r="CM1306" t="str">
        <f>""</f>
        <v/>
      </c>
      <c r="CN1306" t="str">
        <f>""</f>
        <v/>
      </c>
      <c r="CO1306" t="str">
        <f>""</f>
        <v/>
      </c>
      <c r="CP1306" t="str">
        <f>""</f>
        <v/>
      </c>
      <c r="CQ1306" t="str">
        <f>""</f>
        <v/>
      </c>
      <c r="CR1306" t="str">
        <f>""</f>
        <v/>
      </c>
      <c r="CS1306" t="str">
        <f>""</f>
        <v/>
      </c>
      <c r="CT1306" t="str">
        <f>""</f>
        <v/>
      </c>
      <c r="CU1306" t="str">
        <f>""</f>
        <v/>
      </c>
      <c r="CV1306" t="str">
        <f>""</f>
        <v/>
      </c>
      <c r="CW1306" t="str">
        <f>""</f>
        <v/>
      </c>
      <c r="CX1306" t="str">
        <f>""</f>
        <v/>
      </c>
      <c r="CY1306" t="str">
        <f>""</f>
        <v/>
      </c>
      <c r="CZ1306" t="str">
        <f>""</f>
        <v/>
      </c>
      <c r="DA1306" t="str">
        <f>""</f>
        <v/>
      </c>
      <c r="DB1306" t="str">
        <f>""</f>
        <v/>
      </c>
      <c r="DC1306" t="str">
        <f>""</f>
        <v/>
      </c>
      <c r="DD1306" t="str">
        <f>""</f>
        <v/>
      </c>
      <c r="DE1306" t="str">
        <f>""</f>
        <v/>
      </c>
      <c r="DF1306" t="str">
        <f>""</f>
        <v/>
      </c>
      <c r="DG1306" t="str">
        <f>""</f>
        <v/>
      </c>
      <c r="DH1306" t="str">
        <f>""</f>
        <v/>
      </c>
      <c r="DI1306" t="str">
        <f>""</f>
        <v/>
      </c>
      <c r="DJ1306" t="str">
        <f>""</f>
        <v/>
      </c>
      <c r="DK1306" t="str">
        <f>""</f>
        <v/>
      </c>
      <c r="DL1306" t="str">
        <f>""</f>
        <v/>
      </c>
      <c r="DM1306" t="str">
        <f>""</f>
        <v/>
      </c>
      <c r="DN1306" t="str">
        <f>""</f>
        <v/>
      </c>
      <c r="DO1306" t="str">
        <f>""</f>
        <v/>
      </c>
      <c r="DP1306" t="str">
        <f>""</f>
        <v/>
      </c>
      <c r="DQ1306" t="str">
        <f>""</f>
        <v/>
      </c>
      <c r="DR1306" t="str">
        <f>""</f>
        <v/>
      </c>
      <c r="DS1306" t="str">
        <f>""</f>
        <v/>
      </c>
      <c r="DT1306" t="str">
        <f>""</f>
        <v/>
      </c>
      <c r="DU1306" t="str">
        <f>""</f>
        <v/>
      </c>
    </row>
    <row r="1307" spans="1:125" x14ac:dyDescent="0.25">
      <c r="A1307" t="str">
        <f>$A$650</f>
        <v xml:space="preserve">    Sanyang Motor Co Ltd</v>
      </c>
      <c r="B1307" t="str">
        <f>$B$650</f>
        <v>2206 TT Equity</v>
      </c>
      <c r="C1307" t="str">
        <f>$C$650</f>
        <v>RX539</v>
      </c>
      <c r="D1307" t="str">
        <f>$D$650</f>
        <v>T12_FCF_YIELD</v>
      </c>
      <c r="E1307" t="str">
        <f>$E$650</f>
        <v>Dynamic</v>
      </c>
      <c r="F1307" t="str">
        <f ca="1">_xll.BDH($B$650,$C$650,$B$675,$B$676,CONCATENATE("Per=",$B$673),"Dts=H","Dir=H",CONCATENATE("Points=",$B$674),"Sort=R","Days=A","Fill=B",CONCATENATE("FX=", $B$672) )</f>
        <v>#N/A Connection</v>
      </c>
      <c r="BN1307" t="str">
        <f>""</f>
        <v/>
      </c>
      <c r="BO1307" t="str">
        <f>""</f>
        <v/>
      </c>
      <c r="BP1307" t="str">
        <f>""</f>
        <v/>
      </c>
      <c r="BQ1307" t="str">
        <f>""</f>
        <v/>
      </c>
      <c r="BR1307" t="str">
        <f>""</f>
        <v/>
      </c>
      <c r="BS1307" t="str">
        <f>""</f>
        <v/>
      </c>
      <c r="BT1307" t="str">
        <f>""</f>
        <v/>
      </c>
      <c r="BU1307" t="str">
        <f>""</f>
        <v/>
      </c>
      <c r="BV1307" t="str">
        <f>""</f>
        <v/>
      </c>
      <c r="BW1307" t="str">
        <f>""</f>
        <v/>
      </c>
      <c r="BX1307" t="str">
        <f>""</f>
        <v/>
      </c>
      <c r="BY1307" t="str">
        <f>""</f>
        <v/>
      </c>
      <c r="BZ1307" t="str">
        <f>""</f>
        <v/>
      </c>
      <c r="CA1307" t="str">
        <f>""</f>
        <v/>
      </c>
      <c r="CB1307" t="str">
        <f>""</f>
        <v/>
      </c>
      <c r="CC1307" t="str">
        <f>""</f>
        <v/>
      </c>
      <c r="CD1307" t="str">
        <f>""</f>
        <v/>
      </c>
      <c r="CE1307" t="str">
        <f>""</f>
        <v/>
      </c>
      <c r="CF1307" t="str">
        <f>""</f>
        <v/>
      </c>
      <c r="CG1307" t="str">
        <f>""</f>
        <v/>
      </c>
      <c r="CH1307" t="str">
        <f>""</f>
        <v/>
      </c>
      <c r="CI1307" t="str">
        <f>""</f>
        <v/>
      </c>
      <c r="CJ1307" t="str">
        <f>""</f>
        <v/>
      </c>
      <c r="CK1307" t="str">
        <f>""</f>
        <v/>
      </c>
      <c r="CL1307" t="str">
        <f>""</f>
        <v/>
      </c>
      <c r="CM1307" t="str">
        <f>""</f>
        <v/>
      </c>
      <c r="CN1307" t="str">
        <f>""</f>
        <v/>
      </c>
      <c r="CO1307" t="str">
        <f>""</f>
        <v/>
      </c>
      <c r="CP1307" t="str">
        <f>""</f>
        <v/>
      </c>
      <c r="CQ1307" t="str">
        <f>""</f>
        <v/>
      </c>
      <c r="CR1307" t="str">
        <f>""</f>
        <v/>
      </c>
      <c r="CS1307" t="str">
        <f>""</f>
        <v/>
      </c>
      <c r="CT1307" t="str">
        <f>""</f>
        <v/>
      </c>
      <c r="CU1307" t="str">
        <f>""</f>
        <v/>
      </c>
      <c r="CV1307" t="str">
        <f>""</f>
        <v/>
      </c>
      <c r="CW1307" t="str">
        <f>""</f>
        <v/>
      </c>
      <c r="CX1307" t="str">
        <f>""</f>
        <v/>
      </c>
      <c r="CY1307" t="str">
        <f>""</f>
        <v/>
      </c>
      <c r="CZ1307" t="str">
        <f>""</f>
        <v/>
      </c>
      <c r="DA1307" t="str">
        <f>""</f>
        <v/>
      </c>
      <c r="DB1307" t="str">
        <f>""</f>
        <v/>
      </c>
      <c r="DC1307" t="str">
        <f>""</f>
        <v/>
      </c>
      <c r="DD1307" t="str">
        <f>""</f>
        <v/>
      </c>
      <c r="DE1307" t="str">
        <f>""</f>
        <v/>
      </c>
      <c r="DF1307" t="str">
        <f>""</f>
        <v/>
      </c>
      <c r="DG1307" t="str">
        <f>""</f>
        <v/>
      </c>
      <c r="DH1307" t="str">
        <f>""</f>
        <v/>
      </c>
      <c r="DI1307" t="str">
        <f>""</f>
        <v/>
      </c>
      <c r="DJ1307" t="str">
        <f>""</f>
        <v/>
      </c>
      <c r="DK1307" t="str">
        <f>""</f>
        <v/>
      </c>
      <c r="DL1307" t="str">
        <f>""</f>
        <v/>
      </c>
      <c r="DM1307" t="str">
        <f>""</f>
        <v/>
      </c>
      <c r="DN1307" t="str">
        <f>""</f>
        <v/>
      </c>
      <c r="DO1307" t="str">
        <f>""</f>
        <v/>
      </c>
      <c r="DP1307" t="str">
        <f>""</f>
        <v/>
      </c>
      <c r="DQ1307" t="str">
        <f>""</f>
        <v/>
      </c>
      <c r="DR1307" t="str">
        <f>""</f>
        <v/>
      </c>
      <c r="DS1307" t="str">
        <f>""</f>
        <v/>
      </c>
      <c r="DT1307" t="str">
        <f>""</f>
        <v/>
      </c>
      <c r="DU1307" t="str">
        <f>""</f>
        <v/>
      </c>
    </row>
    <row r="1308" spans="1:125" x14ac:dyDescent="0.25">
      <c r="A1308" t="str">
        <f>$A$651</f>
        <v xml:space="preserve">    Sollers PJSC</v>
      </c>
      <c r="B1308" t="str">
        <f>$B$651</f>
        <v>SVAV RM Equity</v>
      </c>
      <c r="C1308" t="str">
        <f>$C$651</f>
        <v>RX539</v>
      </c>
      <c r="D1308" t="str">
        <f>$D$651</f>
        <v>T12_FCF_YIELD</v>
      </c>
      <c r="E1308" t="str">
        <f>$E$651</f>
        <v>Dynamic</v>
      </c>
      <c r="F1308" t="str">
        <f ca="1">_xll.BDH($B$651,$C$651,$B$675,$B$676,CONCATENATE("Per=",$B$673),"Dts=H","Dir=H",CONCATENATE("Points=",$B$674),"Sort=R","Days=A","Fill=B",CONCATENATE("FX=", $B$672) )</f>
        <v>#N/A Connection</v>
      </c>
      <c r="BN1308" t="str">
        <f>""</f>
        <v/>
      </c>
      <c r="BO1308" t="str">
        <f>""</f>
        <v/>
      </c>
      <c r="BP1308" t="str">
        <f>""</f>
        <v/>
      </c>
      <c r="BQ1308" t="str">
        <f>""</f>
        <v/>
      </c>
      <c r="BR1308" t="str">
        <f>""</f>
        <v/>
      </c>
      <c r="BS1308" t="str">
        <f>""</f>
        <v/>
      </c>
      <c r="BT1308" t="str">
        <f>""</f>
        <v/>
      </c>
      <c r="BU1308" t="str">
        <f>""</f>
        <v/>
      </c>
      <c r="BV1308" t="str">
        <f>""</f>
        <v/>
      </c>
      <c r="BW1308" t="str">
        <f>""</f>
        <v/>
      </c>
      <c r="BX1308" t="str">
        <f>""</f>
        <v/>
      </c>
      <c r="BY1308" t="str">
        <f>""</f>
        <v/>
      </c>
      <c r="BZ1308" t="str">
        <f>""</f>
        <v/>
      </c>
      <c r="CA1308" t="str">
        <f>""</f>
        <v/>
      </c>
      <c r="CB1308" t="str">
        <f>""</f>
        <v/>
      </c>
      <c r="CC1308" t="str">
        <f>""</f>
        <v/>
      </c>
      <c r="CD1308" t="str">
        <f>""</f>
        <v/>
      </c>
      <c r="CE1308" t="str">
        <f>""</f>
        <v/>
      </c>
      <c r="CF1308" t="str">
        <f>""</f>
        <v/>
      </c>
      <c r="CG1308" t="str">
        <f>""</f>
        <v/>
      </c>
      <c r="CH1308" t="str">
        <f>""</f>
        <v/>
      </c>
      <c r="CI1308" t="str">
        <f>""</f>
        <v/>
      </c>
      <c r="CJ1308" t="str">
        <f>""</f>
        <v/>
      </c>
      <c r="CK1308" t="str">
        <f>""</f>
        <v/>
      </c>
      <c r="CL1308" t="str">
        <f>""</f>
        <v/>
      </c>
      <c r="CM1308" t="str">
        <f>""</f>
        <v/>
      </c>
      <c r="CN1308" t="str">
        <f>""</f>
        <v/>
      </c>
      <c r="CO1308" t="str">
        <f>""</f>
        <v/>
      </c>
      <c r="CP1308" t="str">
        <f>""</f>
        <v/>
      </c>
      <c r="CQ1308" t="str">
        <f>""</f>
        <v/>
      </c>
      <c r="CR1308" t="str">
        <f>""</f>
        <v/>
      </c>
      <c r="CS1308" t="str">
        <f>""</f>
        <v/>
      </c>
      <c r="CT1308" t="str">
        <f>""</f>
        <v/>
      </c>
      <c r="CU1308" t="str">
        <f>""</f>
        <v/>
      </c>
      <c r="CV1308" t="str">
        <f>""</f>
        <v/>
      </c>
      <c r="CW1308" t="str">
        <f>""</f>
        <v/>
      </c>
      <c r="CX1308" t="str">
        <f>""</f>
        <v/>
      </c>
      <c r="CY1308" t="str">
        <f>""</f>
        <v/>
      </c>
      <c r="CZ1308" t="str">
        <f>""</f>
        <v/>
      </c>
      <c r="DA1308" t="str">
        <f>""</f>
        <v/>
      </c>
      <c r="DB1308" t="str">
        <f>""</f>
        <v/>
      </c>
      <c r="DC1308" t="str">
        <f>""</f>
        <v/>
      </c>
      <c r="DD1308" t="str">
        <f>""</f>
        <v/>
      </c>
      <c r="DE1308" t="str">
        <f>""</f>
        <v/>
      </c>
      <c r="DF1308" t="str">
        <f>""</f>
        <v/>
      </c>
      <c r="DG1308" t="str">
        <f>""</f>
        <v/>
      </c>
      <c r="DH1308" t="str">
        <f>""</f>
        <v/>
      </c>
      <c r="DI1308" t="str">
        <f>""</f>
        <v/>
      </c>
      <c r="DJ1308" t="str">
        <f>""</f>
        <v/>
      </c>
      <c r="DK1308" t="str">
        <f>""</f>
        <v/>
      </c>
      <c r="DL1308" t="str">
        <f>""</f>
        <v/>
      </c>
      <c r="DM1308" t="str">
        <f>""</f>
        <v/>
      </c>
      <c r="DN1308" t="str">
        <f>""</f>
        <v/>
      </c>
      <c r="DO1308" t="str">
        <f>""</f>
        <v/>
      </c>
      <c r="DP1308" t="str">
        <f>""</f>
        <v/>
      </c>
      <c r="DQ1308" t="str">
        <f>""</f>
        <v/>
      </c>
      <c r="DR1308" t="str">
        <f>""</f>
        <v/>
      </c>
      <c r="DS1308" t="str">
        <f>""</f>
        <v/>
      </c>
      <c r="DT1308" t="str">
        <f>""</f>
        <v/>
      </c>
      <c r="DU1308" t="str">
        <f>""</f>
        <v/>
      </c>
    </row>
    <row r="1309" spans="1:125" x14ac:dyDescent="0.25">
      <c r="A1309" t="str">
        <f>$A$652</f>
        <v xml:space="preserve">    Ssangyong Motor Co</v>
      </c>
      <c r="B1309" t="str">
        <f>$B$652</f>
        <v>003620 KS Equity</v>
      </c>
      <c r="C1309" t="str">
        <f>$C$652</f>
        <v>RX539</v>
      </c>
      <c r="D1309" t="str">
        <f>$D$652</f>
        <v>T12_FCF_YIELD</v>
      </c>
      <c r="E1309" t="str">
        <f>$E$652</f>
        <v>Dynamic</v>
      </c>
      <c r="F1309" t="str">
        <f ca="1">_xll.BDH($B$652,$C$652,$B$675,$B$676,CONCATENATE("Per=",$B$673),"Dts=H","Dir=H",CONCATENATE("Points=",$B$674),"Sort=R","Days=A","Fill=B",CONCATENATE("FX=", $B$672) )</f>
        <v>#N/A Connection</v>
      </c>
      <c r="BN1309" t="str">
        <f>""</f>
        <v/>
      </c>
      <c r="BO1309" t="str">
        <f>""</f>
        <v/>
      </c>
      <c r="BP1309" t="str">
        <f>""</f>
        <v/>
      </c>
      <c r="BQ1309" t="str">
        <f>""</f>
        <v/>
      </c>
      <c r="BR1309" t="str">
        <f>""</f>
        <v/>
      </c>
      <c r="BS1309" t="str">
        <f>""</f>
        <v/>
      </c>
      <c r="BT1309" t="str">
        <f>""</f>
        <v/>
      </c>
      <c r="BU1309" t="str">
        <f>""</f>
        <v/>
      </c>
      <c r="BV1309" t="str">
        <f>""</f>
        <v/>
      </c>
      <c r="BW1309" t="str">
        <f>""</f>
        <v/>
      </c>
      <c r="BX1309" t="str">
        <f>""</f>
        <v/>
      </c>
      <c r="BY1309" t="str">
        <f>""</f>
        <v/>
      </c>
      <c r="BZ1309" t="str">
        <f>""</f>
        <v/>
      </c>
      <c r="CA1309" t="str">
        <f>""</f>
        <v/>
      </c>
      <c r="CB1309" t="str">
        <f>""</f>
        <v/>
      </c>
      <c r="CC1309" t="str">
        <f>""</f>
        <v/>
      </c>
      <c r="CD1309" t="str">
        <f>""</f>
        <v/>
      </c>
      <c r="CE1309" t="str">
        <f>""</f>
        <v/>
      </c>
      <c r="CF1309" t="str">
        <f>""</f>
        <v/>
      </c>
      <c r="CG1309" t="str">
        <f>""</f>
        <v/>
      </c>
      <c r="CH1309" t="str">
        <f>""</f>
        <v/>
      </c>
      <c r="CI1309" t="str">
        <f>""</f>
        <v/>
      </c>
      <c r="CJ1309" t="str">
        <f>""</f>
        <v/>
      </c>
      <c r="CK1309" t="str">
        <f>""</f>
        <v/>
      </c>
      <c r="CL1309" t="str">
        <f>""</f>
        <v/>
      </c>
      <c r="CM1309" t="str">
        <f>""</f>
        <v/>
      </c>
      <c r="CN1309" t="str">
        <f>""</f>
        <v/>
      </c>
      <c r="CO1309" t="str">
        <f>""</f>
        <v/>
      </c>
      <c r="CP1309" t="str">
        <f>""</f>
        <v/>
      </c>
      <c r="CQ1309" t="str">
        <f>""</f>
        <v/>
      </c>
      <c r="CR1309" t="str">
        <f>""</f>
        <v/>
      </c>
      <c r="CS1309" t="str">
        <f>""</f>
        <v/>
      </c>
      <c r="CT1309" t="str">
        <f>""</f>
        <v/>
      </c>
      <c r="CU1309" t="str">
        <f>""</f>
        <v/>
      </c>
      <c r="CV1309" t="str">
        <f>""</f>
        <v/>
      </c>
      <c r="CW1309" t="str">
        <f>""</f>
        <v/>
      </c>
      <c r="CX1309" t="str">
        <f>""</f>
        <v/>
      </c>
      <c r="CY1309" t="str">
        <f>""</f>
        <v/>
      </c>
      <c r="CZ1309" t="str">
        <f>""</f>
        <v/>
      </c>
      <c r="DA1309" t="str">
        <f>""</f>
        <v/>
      </c>
      <c r="DB1309" t="str">
        <f>""</f>
        <v/>
      </c>
      <c r="DC1309" t="str">
        <f>""</f>
        <v/>
      </c>
      <c r="DD1309" t="str">
        <f>""</f>
        <v/>
      </c>
      <c r="DE1309" t="str">
        <f>""</f>
        <v/>
      </c>
      <c r="DF1309" t="str">
        <f>""</f>
        <v/>
      </c>
      <c r="DG1309" t="str">
        <f>""</f>
        <v/>
      </c>
      <c r="DH1309" t="str">
        <f>""</f>
        <v/>
      </c>
      <c r="DI1309" t="str">
        <f>""</f>
        <v/>
      </c>
      <c r="DJ1309" t="str">
        <f>""</f>
        <v/>
      </c>
      <c r="DK1309" t="str">
        <f>""</f>
        <v/>
      </c>
      <c r="DL1309" t="str">
        <f>""</f>
        <v/>
      </c>
      <c r="DM1309" t="str">
        <f>""</f>
        <v/>
      </c>
      <c r="DN1309" t="str">
        <f>""</f>
        <v/>
      </c>
      <c r="DO1309" t="str">
        <f>""</f>
        <v/>
      </c>
      <c r="DP1309" t="str">
        <f>""</f>
        <v/>
      </c>
      <c r="DQ1309" t="str">
        <f>""</f>
        <v/>
      </c>
      <c r="DR1309" t="str">
        <f>""</f>
        <v/>
      </c>
      <c r="DS1309" t="str">
        <f>""</f>
        <v/>
      </c>
      <c r="DT1309" t="str">
        <f>""</f>
        <v/>
      </c>
      <c r="DU1309" t="str">
        <f>""</f>
        <v/>
      </c>
    </row>
    <row r="1310" spans="1:125" x14ac:dyDescent="0.25">
      <c r="A1310" t="str">
        <f>$A$653</f>
        <v xml:space="preserve">    Subaru Corp</v>
      </c>
      <c r="B1310" t="str">
        <f>$B$653</f>
        <v>7270 JP Equity</v>
      </c>
      <c r="C1310" t="str">
        <f>$C$653</f>
        <v>RX539</v>
      </c>
      <c r="D1310" t="str">
        <f>$D$653</f>
        <v>T12_FCF_YIELD</v>
      </c>
      <c r="E1310" t="str">
        <f>$E$653</f>
        <v>Dynamic</v>
      </c>
      <c r="F1310" t="str">
        <f ca="1">_xll.BDH($B$653,$C$653,$B$675,$B$676,CONCATENATE("Per=",$B$673),"Dts=H","Dir=H",CONCATENATE("Points=",$B$674),"Sort=R","Days=A","Fill=B",CONCATENATE("FX=", $B$672) )</f>
        <v>#N/A Connection</v>
      </c>
      <c r="BN1310" t="str">
        <f>""</f>
        <v/>
      </c>
      <c r="BO1310" t="str">
        <f>""</f>
        <v/>
      </c>
      <c r="BP1310" t="str">
        <f>""</f>
        <v/>
      </c>
      <c r="BQ1310" t="str">
        <f>""</f>
        <v/>
      </c>
      <c r="BR1310" t="str">
        <f>""</f>
        <v/>
      </c>
      <c r="BS1310" t="str">
        <f>""</f>
        <v/>
      </c>
      <c r="BT1310" t="str">
        <f>""</f>
        <v/>
      </c>
      <c r="BU1310" t="str">
        <f>""</f>
        <v/>
      </c>
      <c r="BV1310" t="str">
        <f>""</f>
        <v/>
      </c>
      <c r="BW1310" t="str">
        <f>""</f>
        <v/>
      </c>
      <c r="BX1310" t="str">
        <f>""</f>
        <v/>
      </c>
      <c r="BY1310" t="str">
        <f>""</f>
        <v/>
      </c>
      <c r="BZ1310" t="str">
        <f>""</f>
        <v/>
      </c>
      <c r="CA1310" t="str">
        <f>""</f>
        <v/>
      </c>
      <c r="CB1310" t="str">
        <f>""</f>
        <v/>
      </c>
      <c r="CC1310" t="str">
        <f>""</f>
        <v/>
      </c>
      <c r="CD1310" t="str">
        <f>""</f>
        <v/>
      </c>
      <c r="CE1310" t="str">
        <f>""</f>
        <v/>
      </c>
      <c r="CF1310" t="str">
        <f>""</f>
        <v/>
      </c>
      <c r="CG1310" t="str">
        <f>""</f>
        <v/>
      </c>
      <c r="CH1310" t="str">
        <f>""</f>
        <v/>
      </c>
      <c r="CI1310" t="str">
        <f>""</f>
        <v/>
      </c>
      <c r="CJ1310" t="str">
        <f>""</f>
        <v/>
      </c>
      <c r="CK1310" t="str">
        <f>""</f>
        <v/>
      </c>
      <c r="CL1310" t="str">
        <f>""</f>
        <v/>
      </c>
      <c r="CM1310" t="str">
        <f>""</f>
        <v/>
      </c>
      <c r="CN1310" t="str">
        <f>""</f>
        <v/>
      </c>
      <c r="CO1310" t="str">
        <f>""</f>
        <v/>
      </c>
      <c r="CP1310" t="str">
        <f>""</f>
        <v/>
      </c>
      <c r="CQ1310" t="str">
        <f>""</f>
        <v/>
      </c>
      <c r="CR1310" t="str">
        <f>""</f>
        <v/>
      </c>
      <c r="CS1310" t="str">
        <f>""</f>
        <v/>
      </c>
      <c r="CT1310" t="str">
        <f>""</f>
        <v/>
      </c>
      <c r="CU1310" t="str">
        <f>""</f>
        <v/>
      </c>
      <c r="CV1310" t="str">
        <f>""</f>
        <v/>
      </c>
      <c r="CW1310" t="str">
        <f>""</f>
        <v/>
      </c>
      <c r="CX1310" t="str">
        <f>""</f>
        <v/>
      </c>
      <c r="CY1310" t="str">
        <f>""</f>
        <v/>
      </c>
      <c r="CZ1310" t="str">
        <f>""</f>
        <v/>
      </c>
      <c r="DA1310" t="str">
        <f>""</f>
        <v/>
      </c>
      <c r="DB1310" t="str">
        <f>""</f>
        <v/>
      </c>
      <c r="DC1310" t="str">
        <f>""</f>
        <v/>
      </c>
      <c r="DD1310" t="str">
        <f>""</f>
        <v/>
      </c>
      <c r="DE1310" t="str">
        <f>""</f>
        <v/>
      </c>
      <c r="DF1310" t="str">
        <f>""</f>
        <v/>
      </c>
      <c r="DG1310" t="str">
        <f>""</f>
        <v/>
      </c>
      <c r="DH1310" t="str">
        <f>""</f>
        <v/>
      </c>
      <c r="DI1310" t="str">
        <f>""</f>
        <v/>
      </c>
      <c r="DJ1310" t="str">
        <f>""</f>
        <v/>
      </c>
      <c r="DK1310" t="str">
        <f>""</f>
        <v/>
      </c>
      <c r="DL1310" t="str">
        <f>""</f>
        <v/>
      </c>
      <c r="DM1310" t="str">
        <f>""</f>
        <v/>
      </c>
      <c r="DN1310" t="str">
        <f>""</f>
        <v/>
      </c>
      <c r="DO1310" t="str">
        <f>""</f>
        <v/>
      </c>
      <c r="DP1310" t="str">
        <f>""</f>
        <v/>
      </c>
      <c r="DQ1310" t="str">
        <f>""</f>
        <v/>
      </c>
      <c r="DR1310" t="str">
        <f>""</f>
        <v/>
      </c>
      <c r="DS1310" t="str">
        <f>""</f>
        <v/>
      </c>
      <c r="DT1310" t="str">
        <f>""</f>
        <v/>
      </c>
      <c r="DU1310" t="str">
        <f>""</f>
        <v/>
      </c>
    </row>
    <row r="1311" spans="1:125" x14ac:dyDescent="0.25">
      <c r="A1311" t="str">
        <f>$A$654</f>
        <v xml:space="preserve">    Suzuki Motor Corp</v>
      </c>
      <c r="B1311" t="str">
        <f>$B$654</f>
        <v>7269 JP Equity</v>
      </c>
      <c r="C1311" t="str">
        <f>$C$654</f>
        <v>RX539</v>
      </c>
      <c r="D1311" t="str">
        <f>$D$654</f>
        <v>T12_FCF_YIELD</v>
      </c>
      <c r="E1311" t="str">
        <f>$E$654</f>
        <v>Dynamic</v>
      </c>
      <c r="F1311" t="str">
        <f ca="1">_xll.BDH($B$654,$C$654,$B$675,$B$676,CONCATENATE("Per=",$B$673),"Dts=H","Dir=H",CONCATENATE("Points=",$B$674),"Sort=R","Days=A","Fill=B",CONCATENATE("FX=", $B$672) )</f>
        <v>#N/A Connection</v>
      </c>
      <c r="BN1311" t="str">
        <f>""</f>
        <v/>
      </c>
      <c r="BO1311" t="str">
        <f>""</f>
        <v/>
      </c>
      <c r="BP1311" t="str">
        <f>""</f>
        <v/>
      </c>
      <c r="BQ1311" t="str">
        <f>""</f>
        <v/>
      </c>
      <c r="BR1311" t="str">
        <f>""</f>
        <v/>
      </c>
      <c r="BS1311" t="str">
        <f>""</f>
        <v/>
      </c>
      <c r="BT1311" t="str">
        <f>""</f>
        <v/>
      </c>
      <c r="BU1311" t="str">
        <f>""</f>
        <v/>
      </c>
      <c r="BV1311" t="str">
        <f>""</f>
        <v/>
      </c>
      <c r="BW1311" t="str">
        <f>""</f>
        <v/>
      </c>
      <c r="BX1311" t="str">
        <f>""</f>
        <v/>
      </c>
      <c r="BY1311" t="str">
        <f>""</f>
        <v/>
      </c>
      <c r="BZ1311" t="str">
        <f>""</f>
        <v/>
      </c>
      <c r="CA1311" t="str">
        <f>""</f>
        <v/>
      </c>
      <c r="CB1311" t="str">
        <f>""</f>
        <v/>
      </c>
      <c r="CC1311" t="str">
        <f>""</f>
        <v/>
      </c>
      <c r="CD1311" t="str">
        <f>""</f>
        <v/>
      </c>
      <c r="CE1311" t="str">
        <f>""</f>
        <v/>
      </c>
      <c r="CF1311" t="str">
        <f>""</f>
        <v/>
      </c>
      <c r="CG1311" t="str">
        <f>""</f>
        <v/>
      </c>
      <c r="CH1311" t="str">
        <f>""</f>
        <v/>
      </c>
      <c r="CI1311" t="str">
        <f>""</f>
        <v/>
      </c>
      <c r="CJ1311" t="str">
        <f>""</f>
        <v/>
      </c>
      <c r="CK1311" t="str">
        <f>""</f>
        <v/>
      </c>
      <c r="CL1311" t="str">
        <f>""</f>
        <v/>
      </c>
      <c r="CM1311" t="str">
        <f>""</f>
        <v/>
      </c>
      <c r="CN1311" t="str">
        <f>""</f>
        <v/>
      </c>
      <c r="CO1311" t="str">
        <f>""</f>
        <v/>
      </c>
      <c r="CP1311" t="str">
        <f>""</f>
        <v/>
      </c>
      <c r="CQ1311" t="str">
        <f>""</f>
        <v/>
      </c>
      <c r="CR1311" t="str">
        <f>""</f>
        <v/>
      </c>
      <c r="CS1311" t="str">
        <f>""</f>
        <v/>
      </c>
      <c r="CT1311" t="str">
        <f>""</f>
        <v/>
      </c>
      <c r="CU1311" t="str">
        <f>""</f>
        <v/>
      </c>
      <c r="CV1311" t="str">
        <f>""</f>
        <v/>
      </c>
      <c r="CW1311" t="str">
        <f>""</f>
        <v/>
      </c>
      <c r="CX1311" t="str">
        <f>""</f>
        <v/>
      </c>
      <c r="CY1311" t="str">
        <f>""</f>
        <v/>
      </c>
      <c r="CZ1311" t="str">
        <f>""</f>
        <v/>
      </c>
      <c r="DA1311" t="str">
        <f>""</f>
        <v/>
      </c>
      <c r="DB1311" t="str">
        <f>""</f>
        <v/>
      </c>
      <c r="DC1311" t="str">
        <f>""</f>
        <v/>
      </c>
      <c r="DD1311" t="str">
        <f>""</f>
        <v/>
      </c>
      <c r="DE1311" t="str">
        <f>""</f>
        <v/>
      </c>
      <c r="DF1311" t="str">
        <f>""</f>
        <v/>
      </c>
      <c r="DG1311" t="str">
        <f>""</f>
        <v/>
      </c>
      <c r="DH1311" t="str">
        <f>""</f>
        <v/>
      </c>
      <c r="DI1311" t="str">
        <f>""</f>
        <v/>
      </c>
      <c r="DJ1311" t="str">
        <f>""</f>
        <v/>
      </c>
      <c r="DK1311" t="str">
        <f>""</f>
        <v/>
      </c>
      <c r="DL1311" t="str">
        <f>""</f>
        <v/>
      </c>
      <c r="DM1311" t="str">
        <f>""</f>
        <v/>
      </c>
      <c r="DN1311" t="str">
        <f>""</f>
        <v/>
      </c>
      <c r="DO1311" t="str">
        <f>""</f>
        <v/>
      </c>
      <c r="DP1311" t="str">
        <f>""</f>
        <v/>
      </c>
      <c r="DQ1311" t="str">
        <f>""</f>
        <v/>
      </c>
      <c r="DR1311" t="str">
        <f>""</f>
        <v/>
      </c>
      <c r="DS1311" t="str">
        <f>""</f>
        <v/>
      </c>
      <c r="DT1311" t="str">
        <f>""</f>
        <v/>
      </c>
      <c r="DU1311" t="str">
        <f>""</f>
        <v/>
      </c>
    </row>
    <row r="1312" spans="1:125" x14ac:dyDescent="0.25">
      <c r="A1312" t="str">
        <f>$A$655</f>
        <v xml:space="preserve">    Tata Motors Ltd</v>
      </c>
      <c r="B1312" t="str">
        <f>$B$655</f>
        <v>TTMT IN Equity</v>
      </c>
      <c r="C1312" t="str">
        <f>$C$655</f>
        <v>RX539</v>
      </c>
      <c r="D1312" t="str">
        <f>$D$655</f>
        <v>T12_FCF_YIELD</v>
      </c>
      <c r="E1312" t="str">
        <f>$E$655</f>
        <v>Dynamic</v>
      </c>
      <c r="F1312" t="str">
        <f ca="1">_xll.BDH($B$655,$C$655,$B$675,$B$676,CONCATENATE("Per=",$B$673),"Dts=H","Dir=H",CONCATENATE("Points=",$B$674),"Sort=R","Days=A","Fill=B",CONCATENATE("FX=", $B$672) )</f>
        <v>#N/A Connection</v>
      </c>
      <c r="BN1312" t="str">
        <f>""</f>
        <v/>
      </c>
      <c r="BO1312" t="str">
        <f>""</f>
        <v/>
      </c>
      <c r="BP1312" t="str">
        <f>""</f>
        <v/>
      </c>
      <c r="BQ1312" t="str">
        <f>""</f>
        <v/>
      </c>
      <c r="BR1312" t="str">
        <f>""</f>
        <v/>
      </c>
      <c r="BS1312" t="str">
        <f>""</f>
        <v/>
      </c>
      <c r="BT1312" t="str">
        <f>""</f>
        <v/>
      </c>
      <c r="BU1312" t="str">
        <f>""</f>
        <v/>
      </c>
      <c r="BV1312" t="str">
        <f>""</f>
        <v/>
      </c>
      <c r="BW1312" t="str">
        <f>""</f>
        <v/>
      </c>
      <c r="BX1312" t="str">
        <f>""</f>
        <v/>
      </c>
      <c r="BY1312" t="str">
        <f>""</f>
        <v/>
      </c>
      <c r="BZ1312" t="str">
        <f>""</f>
        <v/>
      </c>
      <c r="CA1312" t="str">
        <f>""</f>
        <v/>
      </c>
      <c r="CB1312" t="str">
        <f>""</f>
        <v/>
      </c>
      <c r="CC1312" t="str">
        <f>""</f>
        <v/>
      </c>
      <c r="CD1312" t="str">
        <f>""</f>
        <v/>
      </c>
      <c r="CE1312" t="str">
        <f>""</f>
        <v/>
      </c>
      <c r="CF1312" t="str">
        <f>""</f>
        <v/>
      </c>
      <c r="CG1312" t="str">
        <f>""</f>
        <v/>
      </c>
      <c r="CH1312" t="str">
        <f>""</f>
        <v/>
      </c>
      <c r="CI1312" t="str">
        <f>""</f>
        <v/>
      </c>
      <c r="CJ1312" t="str">
        <f>""</f>
        <v/>
      </c>
      <c r="CK1312" t="str">
        <f>""</f>
        <v/>
      </c>
      <c r="CL1312" t="str">
        <f>""</f>
        <v/>
      </c>
      <c r="CM1312" t="str">
        <f>""</f>
        <v/>
      </c>
      <c r="CN1312" t="str">
        <f>""</f>
        <v/>
      </c>
      <c r="CO1312" t="str">
        <f>""</f>
        <v/>
      </c>
      <c r="CP1312" t="str">
        <f>""</f>
        <v/>
      </c>
      <c r="CQ1312" t="str">
        <f>""</f>
        <v/>
      </c>
      <c r="CR1312" t="str">
        <f>""</f>
        <v/>
      </c>
      <c r="CS1312" t="str">
        <f>""</f>
        <v/>
      </c>
      <c r="CT1312" t="str">
        <f>""</f>
        <v/>
      </c>
      <c r="CU1312" t="str">
        <f>""</f>
        <v/>
      </c>
      <c r="CV1312" t="str">
        <f>""</f>
        <v/>
      </c>
      <c r="CW1312" t="str">
        <f>""</f>
        <v/>
      </c>
      <c r="CX1312" t="str">
        <f>""</f>
        <v/>
      </c>
      <c r="CY1312" t="str">
        <f>""</f>
        <v/>
      </c>
      <c r="CZ1312" t="str">
        <f>""</f>
        <v/>
      </c>
      <c r="DA1312" t="str">
        <f>""</f>
        <v/>
      </c>
      <c r="DB1312" t="str">
        <f>""</f>
        <v/>
      </c>
      <c r="DC1312" t="str">
        <f>""</f>
        <v/>
      </c>
      <c r="DD1312" t="str">
        <f>""</f>
        <v/>
      </c>
      <c r="DE1312" t="str">
        <f>""</f>
        <v/>
      </c>
      <c r="DF1312" t="str">
        <f>""</f>
        <v/>
      </c>
      <c r="DG1312" t="str">
        <f>""</f>
        <v/>
      </c>
      <c r="DH1312" t="str">
        <f>""</f>
        <v/>
      </c>
      <c r="DI1312" t="str">
        <f>""</f>
        <v/>
      </c>
      <c r="DJ1312" t="str">
        <f>""</f>
        <v/>
      </c>
      <c r="DK1312" t="str">
        <f>""</f>
        <v/>
      </c>
      <c r="DL1312" t="str">
        <f>""</f>
        <v/>
      </c>
      <c r="DM1312" t="str">
        <f>""</f>
        <v/>
      </c>
      <c r="DN1312" t="str">
        <f>""</f>
        <v/>
      </c>
      <c r="DO1312" t="str">
        <f>""</f>
        <v/>
      </c>
      <c r="DP1312" t="str">
        <f>""</f>
        <v/>
      </c>
      <c r="DQ1312" t="str">
        <f>""</f>
        <v/>
      </c>
      <c r="DR1312" t="str">
        <f>""</f>
        <v/>
      </c>
      <c r="DS1312" t="str">
        <f>""</f>
        <v/>
      </c>
      <c r="DT1312" t="str">
        <f>""</f>
        <v/>
      </c>
      <c r="DU1312" t="str">
        <f>""</f>
        <v/>
      </c>
    </row>
    <row r="1313" spans="1:125" x14ac:dyDescent="0.25">
      <c r="A1313" t="str">
        <f>$A$656</f>
        <v xml:space="preserve">    Tesla Inc</v>
      </c>
      <c r="B1313" t="str">
        <f>$B$656</f>
        <v>TSLA US Equity</v>
      </c>
      <c r="C1313" t="str">
        <f>$C$656</f>
        <v>RX539</v>
      </c>
      <c r="D1313" t="str">
        <f>$D$656</f>
        <v>T12_FCF_YIELD</v>
      </c>
      <c r="E1313" t="str">
        <f>$E$656</f>
        <v>Dynamic</v>
      </c>
      <c r="F1313" t="str">
        <f ca="1">_xll.BDH($B$656,$C$656,$B$675,$B$676,CONCATENATE("Per=",$B$673),"Dts=H","Dir=H",CONCATENATE("Points=",$B$674),"Sort=R","Days=A","Fill=B",CONCATENATE("FX=", $B$672) )</f>
        <v>#N/A Connection</v>
      </c>
      <c r="BN1313" t="str">
        <f>""</f>
        <v/>
      </c>
      <c r="BO1313" t="str">
        <f>""</f>
        <v/>
      </c>
      <c r="BP1313" t="str">
        <f>""</f>
        <v/>
      </c>
      <c r="BQ1313" t="str">
        <f>""</f>
        <v/>
      </c>
      <c r="BR1313" t="str">
        <f>""</f>
        <v/>
      </c>
      <c r="BS1313" t="str">
        <f>""</f>
        <v/>
      </c>
      <c r="BT1313" t="str">
        <f>""</f>
        <v/>
      </c>
      <c r="BU1313" t="str">
        <f>""</f>
        <v/>
      </c>
      <c r="BV1313" t="str">
        <f>""</f>
        <v/>
      </c>
      <c r="BW1313" t="str">
        <f>""</f>
        <v/>
      </c>
      <c r="BX1313" t="str">
        <f>""</f>
        <v/>
      </c>
      <c r="BY1313" t="str">
        <f>""</f>
        <v/>
      </c>
      <c r="BZ1313" t="str">
        <f>""</f>
        <v/>
      </c>
      <c r="CA1313" t="str">
        <f>""</f>
        <v/>
      </c>
      <c r="CB1313" t="str">
        <f>""</f>
        <v/>
      </c>
      <c r="CC1313" t="str">
        <f>""</f>
        <v/>
      </c>
      <c r="CD1313" t="str">
        <f>""</f>
        <v/>
      </c>
      <c r="CE1313" t="str">
        <f>""</f>
        <v/>
      </c>
      <c r="CF1313" t="str">
        <f>""</f>
        <v/>
      </c>
      <c r="CG1313" t="str">
        <f>""</f>
        <v/>
      </c>
      <c r="CH1313" t="str">
        <f>""</f>
        <v/>
      </c>
      <c r="CI1313" t="str">
        <f>""</f>
        <v/>
      </c>
      <c r="CJ1313" t="str">
        <f>""</f>
        <v/>
      </c>
      <c r="CK1313" t="str">
        <f>""</f>
        <v/>
      </c>
      <c r="CL1313" t="str">
        <f>""</f>
        <v/>
      </c>
      <c r="CM1313" t="str">
        <f>""</f>
        <v/>
      </c>
      <c r="CN1313" t="str">
        <f>""</f>
        <v/>
      </c>
      <c r="CO1313" t="str">
        <f>""</f>
        <v/>
      </c>
      <c r="CP1313" t="str">
        <f>""</f>
        <v/>
      </c>
      <c r="CQ1313" t="str">
        <f>""</f>
        <v/>
      </c>
      <c r="CR1313" t="str">
        <f>""</f>
        <v/>
      </c>
      <c r="CS1313" t="str">
        <f>""</f>
        <v/>
      </c>
      <c r="CT1313" t="str">
        <f>""</f>
        <v/>
      </c>
      <c r="CU1313" t="str">
        <f>""</f>
        <v/>
      </c>
      <c r="CV1313" t="str">
        <f>""</f>
        <v/>
      </c>
      <c r="CW1313" t="str">
        <f>""</f>
        <v/>
      </c>
      <c r="CX1313" t="str">
        <f>""</f>
        <v/>
      </c>
      <c r="CY1313" t="str">
        <f>""</f>
        <v/>
      </c>
      <c r="CZ1313" t="str">
        <f>""</f>
        <v/>
      </c>
      <c r="DA1313" t="str">
        <f>""</f>
        <v/>
      </c>
      <c r="DB1313" t="str">
        <f>""</f>
        <v/>
      </c>
      <c r="DC1313" t="str">
        <f>""</f>
        <v/>
      </c>
      <c r="DD1313" t="str">
        <f>""</f>
        <v/>
      </c>
      <c r="DE1313" t="str">
        <f>""</f>
        <v/>
      </c>
      <c r="DF1313" t="str">
        <f>""</f>
        <v/>
      </c>
      <c r="DG1313" t="str">
        <f>""</f>
        <v/>
      </c>
      <c r="DH1313" t="str">
        <f>""</f>
        <v/>
      </c>
      <c r="DI1313" t="str">
        <f>""</f>
        <v/>
      </c>
      <c r="DJ1313" t="str">
        <f>""</f>
        <v/>
      </c>
      <c r="DK1313" t="str">
        <f>""</f>
        <v/>
      </c>
      <c r="DL1313" t="str">
        <f>""</f>
        <v/>
      </c>
      <c r="DM1313" t="str">
        <f>""</f>
        <v/>
      </c>
      <c r="DN1313" t="str">
        <f>""</f>
        <v/>
      </c>
      <c r="DO1313" t="str">
        <f>""</f>
        <v/>
      </c>
      <c r="DP1313" t="str">
        <f>""</f>
        <v/>
      </c>
      <c r="DQ1313" t="str">
        <f>""</f>
        <v/>
      </c>
      <c r="DR1313" t="str">
        <f>""</f>
        <v/>
      </c>
      <c r="DS1313" t="str">
        <f>""</f>
        <v/>
      </c>
      <c r="DT1313" t="str">
        <f>""</f>
        <v/>
      </c>
      <c r="DU1313" t="str">
        <f>""</f>
        <v/>
      </c>
    </row>
    <row r="1314" spans="1:125" x14ac:dyDescent="0.25">
      <c r="A1314" t="str">
        <f>$A$657</f>
        <v xml:space="preserve">    Tianjin Faw Xiali Automobile Co Ltd</v>
      </c>
      <c r="B1314" t="str">
        <f>$B$657</f>
        <v>000927 CH Equity</v>
      </c>
      <c r="C1314" t="str">
        <f>$C$657</f>
        <v>RX539</v>
      </c>
      <c r="D1314" t="str">
        <f>$D$657</f>
        <v>T12_FCF_YIELD</v>
      </c>
      <c r="E1314" t="str">
        <f>$E$657</f>
        <v>Dynamic</v>
      </c>
      <c r="F1314" t="str">
        <f ca="1">_xll.BDH($B$657,$C$657,$B$675,$B$676,CONCATENATE("Per=",$B$673),"Dts=H","Dir=H",CONCATENATE("Points=",$B$674),"Sort=R","Days=A","Fill=B",CONCATENATE("FX=", $B$672) )</f>
        <v>#N/A Connection</v>
      </c>
      <c r="BN1314" t="str">
        <f>""</f>
        <v/>
      </c>
      <c r="BO1314" t="str">
        <f>""</f>
        <v/>
      </c>
      <c r="BP1314" t="str">
        <f>""</f>
        <v/>
      </c>
      <c r="BQ1314" t="str">
        <f>""</f>
        <v/>
      </c>
      <c r="BR1314" t="str">
        <f>""</f>
        <v/>
      </c>
      <c r="BS1314" t="str">
        <f>""</f>
        <v/>
      </c>
      <c r="BT1314" t="str">
        <f>""</f>
        <v/>
      </c>
      <c r="BU1314" t="str">
        <f>""</f>
        <v/>
      </c>
      <c r="BV1314" t="str">
        <f>""</f>
        <v/>
      </c>
      <c r="BW1314" t="str">
        <f>""</f>
        <v/>
      </c>
      <c r="BX1314" t="str">
        <f>""</f>
        <v/>
      </c>
      <c r="BY1314" t="str">
        <f>""</f>
        <v/>
      </c>
      <c r="BZ1314" t="str">
        <f>""</f>
        <v/>
      </c>
      <c r="CA1314" t="str">
        <f>""</f>
        <v/>
      </c>
      <c r="CB1314" t="str">
        <f>""</f>
        <v/>
      </c>
      <c r="CC1314" t="str">
        <f>""</f>
        <v/>
      </c>
      <c r="CD1314" t="str">
        <f>""</f>
        <v/>
      </c>
      <c r="CE1314" t="str">
        <f>""</f>
        <v/>
      </c>
      <c r="CF1314" t="str">
        <f>""</f>
        <v/>
      </c>
      <c r="CG1314" t="str">
        <f>""</f>
        <v/>
      </c>
      <c r="CH1314" t="str">
        <f>""</f>
        <v/>
      </c>
      <c r="CI1314" t="str">
        <f>""</f>
        <v/>
      </c>
      <c r="CJ1314" t="str">
        <f>""</f>
        <v/>
      </c>
      <c r="CK1314" t="str">
        <f>""</f>
        <v/>
      </c>
      <c r="CL1314" t="str">
        <f>""</f>
        <v/>
      </c>
      <c r="CM1314" t="str">
        <f>""</f>
        <v/>
      </c>
      <c r="CN1314" t="str">
        <f>""</f>
        <v/>
      </c>
      <c r="CO1314" t="str">
        <f>""</f>
        <v/>
      </c>
      <c r="CP1314" t="str">
        <f>""</f>
        <v/>
      </c>
      <c r="CQ1314" t="str">
        <f>""</f>
        <v/>
      </c>
      <c r="CR1314" t="str">
        <f>""</f>
        <v/>
      </c>
      <c r="CS1314" t="str">
        <f>""</f>
        <v/>
      </c>
      <c r="CT1314" t="str">
        <f>""</f>
        <v/>
      </c>
      <c r="CU1314" t="str">
        <f>""</f>
        <v/>
      </c>
      <c r="CV1314" t="str">
        <f>""</f>
        <v/>
      </c>
      <c r="CW1314" t="str">
        <f>""</f>
        <v/>
      </c>
      <c r="CX1314" t="str">
        <f>""</f>
        <v/>
      </c>
      <c r="CY1314" t="str">
        <f>""</f>
        <v/>
      </c>
      <c r="CZ1314" t="str">
        <f>""</f>
        <v/>
      </c>
      <c r="DA1314" t="str">
        <f>""</f>
        <v/>
      </c>
      <c r="DB1314" t="str">
        <f>""</f>
        <v/>
      </c>
      <c r="DC1314" t="str">
        <f>""</f>
        <v/>
      </c>
      <c r="DD1314" t="str">
        <f>""</f>
        <v/>
      </c>
      <c r="DE1314" t="str">
        <f>""</f>
        <v/>
      </c>
      <c r="DF1314" t="str">
        <f>""</f>
        <v/>
      </c>
      <c r="DG1314" t="str">
        <f>""</f>
        <v/>
      </c>
      <c r="DH1314" t="str">
        <f>""</f>
        <v/>
      </c>
      <c r="DI1314" t="str">
        <f>""</f>
        <v/>
      </c>
      <c r="DJ1314" t="str">
        <f>""</f>
        <v/>
      </c>
      <c r="DK1314" t="str">
        <f>""</f>
        <v/>
      </c>
      <c r="DL1314" t="str">
        <f>""</f>
        <v/>
      </c>
      <c r="DM1314" t="str">
        <f>""</f>
        <v/>
      </c>
      <c r="DN1314" t="str">
        <f>""</f>
        <v/>
      </c>
      <c r="DO1314" t="str">
        <f>""</f>
        <v/>
      </c>
      <c r="DP1314" t="str">
        <f>""</f>
        <v/>
      </c>
      <c r="DQ1314" t="str">
        <f>""</f>
        <v/>
      </c>
      <c r="DR1314" t="str">
        <f>""</f>
        <v/>
      </c>
      <c r="DS1314" t="str">
        <f>""</f>
        <v/>
      </c>
      <c r="DT1314" t="str">
        <f>""</f>
        <v/>
      </c>
      <c r="DU1314" t="str">
        <f>""</f>
        <v/>
      </c>
    </row>
    <row r="1315" spans="1:125" x14ac:dyDescent="0.25">
      <c r="A1315" t="str">
        <f>$A$658</f>
        <v xml:space="preserve">    Tofas Turk Otomobil Fabrikasi AS</v>
      </c>
      <c r="B1315" t="str">
        <f>$B$658</f>
        <v>TOASOTRY EO Equity</v>
      </c>
      <c r="C1315" t="str">
        <f>$C$658</f>
        <v>RX539</v>
      </c>
      <c r="D1315" t="str">
        <f>$D$658</f>
        <v>T12_FCF_YIELD</v>
      </c>
      <c r="E1315" t="str">
        <f>$E$658</f>
        <v>Dynamic</v>
      </c>
      <c r="F1315" t="str">
        <f ca="1">_xll.BDH($B$658,$C$658,$B$675,$B$676,CONCATENATE("Per=",$B$673),"Dts=H","Dir=H",CONCATENATE("Points=",$B$674),"Sort=R","Days=A","Fill=B",CONCATENATE("FX=", $B$672) )</f>
        <v>#N/A Connection</v>
      </c>
      <c r="BN1315" t="str">
        <f>""</f>
        <v/>
      </c>
      <c r="BO1315" t="str">
        <f>""</f>
        <v/>
      </c>
      <c r="BP1315" t="str">
        <f>""</f>
        <v/>
      </c>
      <c r="BQ1315" t="str">
        <f>""</f>
        <v/>
      </c>
      <c r="BR1315" t="str">
        <f>""</f>
        <v/>
      </c>
      <c r="BS1315" t="str">
        <f>""</f>
        <v/>
      </c>
      <c r="BT1315" t="str">
        <f>""</f>
        <v/>
      </c>
      <c r="BU1315" t="str">
        <f>""</f>
        <v/>
      </c>
      <c r="BV1315" t="str">
        <f>""</f>
        <v/>
      </c>
      <c r="BW1315" t="str">
        <f>""</f>
        <v/>
      </c>
      <c r="BX1315" t="str">
        <f>""</f>
        <v/>
      </c>
      <c r="BY1315" t="str">
        <f>""</f>
        <v/>
      </c>
      <c r="BZ1315" t="str">
        <f>""</f>
        <v/>
      </c>
      <c r="CA1315" t="str">
        <f>""</f>
        <v/>
      </c>
      <c r="CB1315" t="str">
        <f>""</f>
        <v/>
      </c>
      <c r="CC1315" t="str">
        <f>""</f>
        <v/>
      </c>
      <c r="CD1315" t="str">
        <f>""</f>
        <v/>
      </c>
      <c r="CE1315" t="str">
        <f>""</f>
        <v/>
      </c>
      <c r="CF1315" t="str">
        <f>""</f>
        <v/>
      </c>
      <c r="CG1315" t="str">
        <f>""</f>
        <v/>
      </c>
      <c r="CH1315" t="str">
        <f>""</f>
        <v/>
      </c>
      <c r="CI1315" t="str">
        <f>""</f>
        <v/>
      </c>
      <c r="CJ1315" t="str">
        <f>""</f>
        <v/>
      </c>
      <c r="CK1315" t="str">
        <f>""</f>
        <v/>
      </c>
      <c r="CL1315" t="str">
        <f>""</f>
        <v/>
      </c>
      <c r="CM1315" t="str">
        <f>""</f>
        <v/>
      </c>
      <c r="CN1315" t="str">
        <f>""</f>
        <v/>
      </c>
      <c r="CO1315" t="str">
        <f>""</f>
        <v/>
      </c>
      <c r="CP1315" t="str">
        <f>""</f>
        <v/>
      </c>
      <c r="CQ1315" t="str">
        <f>""</f>
        <v/>
      </c>
      <c r="CR1315" t="str">
        <f>""</f>
        <v/>
      </c>
      <c r="CS1315" t="str">
        <f>""</f>
        <v/>
      </c>
      <c r="CT1315" t="str">
        <f>""</f>
        <v/>
      </c>
      <c r="CU1315" t="str">
        <f>""</f>
        <v/>
      </c>
      <c r="CV1315" t="str">
        <f>""</f>
        <v/>
      </c>
      <c r="CW1315" t="str">
        <f>""</f>
        <v/>
      </c>
      <c r="CX1315" t="str">
        <f>""</f>
        <v/>
      </c>
      <c r="CY1315" t="str">
        <f>""</f>
        <v/>
      </c>
      <c r="CZ1315" t="str">
        <f>""</f>
        <v/>
      </c>
      <c r="DA1315" t="str">
        <f>""</f>
        <v/>
      </c>
      <c r="DB1315" t="str">
        <f>""</f>
        <v/>
      </c>
      <c r="DC1315" t="str">
        <f>""</f>
        <v/>
      </c>
      <c r="DD1315" t="str">
        <f>""</f>
        <v/>
      </c>
      <c r="DE1315" t="str">
        <f>""</f>
        <v/>
      </c>
      <c r="DF1315" t="str">
        <f>""</f>
        <v/>
      </c>
      <c r="DG1315" t="str">
        <f>""</f>
        <v/>
      </c>
      <c r="DH1315" t="str">
        <f>""</f>
        <v/>
      </c>
      <c r="DI1315" t="str">
        <f>""</f>
        <v/>
      </c>
      <c r="DJ1315" t="str">
        <f>""</f>
        <v/>
      </c>
      <c r="DK1315" t="str">
        <f>""</f>
        <v/>
      </c>
      <c r="DL1315" t="str">
        <f>""</f>
        <v/>
      </c>
      <c r="DM1315" t="str">
        <f>""</f>
        <v/>
      </c>
      <c r="DN1315" t="str">
        <f>""</f>
        <v/>
      </c>
      <c r="DO1315" t="str">
        <f>""</f>
        <v/>
      </c>
      <c r="DP1315" t="str">
        <f>""</f>
        <v/>
      </c>
      <c r="DQ1315" t="str">
        <f>""</f>
        <v/>
      </c>
      <c r="DR1315" t="str">
        <f>""</f>
        <v/>
      </c>
      <c r="DS1315" t="str">
        <f>""</f>
        <v/>
      </c>
      <c r="DT1315" t="str">
        <f>""</f>
        <v/>
      </c>
      <c r="DU1315" t="str">
        <f>""</f>
        <v/>
      </c>
    </row>
    <row r="1316" spans="1:125" x14ac:dyDescent="0.25">
      <c r="A1316" t="str">
        <f>$A$659</f>
        <v xml:space="preserve">    Toyota Motor Corp</v>
      </c>
      <c r="B1316" t="str">
        <f>$B$659</f>
        <v>7203 JP Equity</v>
      </c>
      <c r="C1316" t="str">
        <f>$C$659</f>
        <v>RX539</v>
      </c>
      <c r="D1316" t="str">
        <f>$D$659</f>
        <v>T12_FCF_YIELD</v>
      </c>
      <c r="E1316" t="str">
        <f>$E$659</f>
        <v>Dynamic</v>
      </c>
      <c r="F1316" t="str">
        <f ca="1">_xll.BDH($B$659,$C$659,$B$675,$B$676,CONCATENATE("Per=",$B$673),"Dts=H","Dir=H",CONCATENATE("Points=",$B$674),"Sort=R","Days=A","Fill=B",CONCATENATE("FX=", $B$672) )</f>
        <v>#N/A Connection</v>
      </c>
      <c r="BN1316" t="str">
        <f>""</f>
        <v/>
      </c>
      <c r="BO1316" t="str">
        <f>""</f>
        <v/>
      </c>
      <c r="BP1316" t="str">
        <f>""</f>
        <v/>
      </c>
      <c r="BQ1316" t="str">
        <f>""</f>
        <v/>
      </c>
      <c r="BR1316" t="str">
        <f>""</f>
        <v/>
      </c>
      <c r="BS1316" t="str">
        <f>""</f>
        <v/>
      </c>
      <c r="BT1316" t="str">
        <f>""</f>
        <v/>
      </c>
      <c r="BU1316" t="str">
        <f>""</f>
        <v/>
      </c>
      <c r="BV1316" t="str">
        <f>""</f>
        <v/>
      </c>
      <c r="BW1316" t="str">
        <f>""</f>
        <v/>
      </c>
      <c r="BX1316" t="str">
        <f>""</f>
        <v/>
      </c>
      <c r="BY1316" t="str">
        <f>""</f>
        <v/>
      </c>
      <c r="BZ1316" t="str">
        <f>""</f>
        <v/>
      </c>
      <c r="CA1316" t="str">
        <f>""</f>
        <v/>
      </c>
      <c r="CB1316" t="str">
        <f>""</f>
        <v/>
      </c>
      <c r="CC1316" t="str">
        <f>""</f>
        <v/>
      </c>
      <c r="CD1316" t="str">
        <f>""</f>
        <v/>
      </c>
      <c r="CE1316" t="str">
        <f>""</f>
        <v/>
      </c>
      <c r="CF1316" t="str">
        <f>""</f>
        <v/>
      </c>
      <c r="CG1316" t="str">
        <f>""</f>
        <v/>
      </c>
      <c r="CH1316" t="str">
        <f>""</f>
        <v/>
      </c>
      <c r="CI1316" t="str">
        <f>""</f>
        <v/>
      </c>
      <c r="CJ1316" t="str">
        <f>""</f>
        <v/>
      </c>
      <c r="CK1316" t="str">
        <f>""</f>
        <v/>
      </c>
      <c r="CL1316" t="str">
        <f>""</f>
        <v/>
      </c>
      <c r="CM1316" t="str">
        <f>""</f>
        <v/>
      </c>
      <c r="CN1316" t="str">
        <f>""</f>
        <v/>
      </c>
      <c r="CO1316" t="str">
        <f>""</f>
        <v/>
      </c>
      <c r="CP1316" t="str">
        <f>""</f>
        <v/>
      </c>
      <c r="CQ1316" t="str">
        <f>""</f>
        <v/>
      </c>
      <c r="CR1316" t="str">
        <f>""</f>
        <v/>
      </c>
      <c r="CS1316" t="str">
        <f>""</f>
        <v/>
      </c>
      <c r="CT1316" t="str">
        <f>""</f>
        <v/>
      </c>
      <c r="CU1316" t="str">
        <f>""</f>
        <v/>
      </c>
      <c r="CV1316" t="str">
        <f>""</f>
        <v/>
      </c>
      <c r="CW1316" t="str">
        <f>""</f>
        <v/>
      </c>
      <c r="CX1316" t="str">
        <f>""</f>
        <v/>
      </c>
      <c r="CY1316" t="str">
        <f>""</f>
        <v/>
      </c>
      <c r="CZ1316" t="str">
        <f>""</f>
        <v/>
      </c>
      <c r="DA1316" t="str">
        <f>""</f>
        <v/>
      </c>
      <c r="DB1316" t="str">
        <f>""</f>
        <v/>
      </c>
      <c r="DC1316" t="str">
        <f>""</f>
        <v/>
      </c>
      <c r="DD1316" t="str">
        <f>""</f>
        <v/>
      </c>
      <c r="DE1316" t="str">
        <f>""</f>
        <v/>
      </c>
      <c r="DF1316" t="str">
        <f>""</f>
        <v/>
      </c>
      <c r="DG1316" t="str">
        <f>""</f>
        <v/>
      </c>
      <c r="DH1316" t="str">
        <f>""</f>
        <v/>
      </c>
      <c r="DI1316" t="str">
        <f>""</f>
        <v/>
      </c>
      <c r="DJ1316" t="str">
        <f>""</f>
        <v/>
      </c>
      <c r="DK1316" t="str">
        <f>""</f>
        <v/>
      </c>
      <c r="DL1316" t="str">
        <f>""</f>
        <v/>
      </c>
      <c r="DM1316" t="str">
        <f>""</f>
        <v/>
      </c>
      <c r="DN1316" t="str">
        <f>""</f>
        <v/>
      </c>
      <c r="DO1316" t="str">
        <f>""</f>
        <v/>
      </c>
      <c r="DP1316" t="str">
        <f>""</f>
        <v/>
      </c>
      <c r="DQ1316" t="str">
        <f>""</f>
        <v/>
      </c>
      <c r="DR1316" t="str">
        <f>""</f>
        <v/>
      </c>
      <c r="DS1316" t="str">
        <f>""</f>
        <v/>
      </c>
      <c r="DT1316" t="str">
        <f>""</f>
        <v/>
      </c>
      <c r="DU1316" t="str">
        <f>""</f>
        <v/>
      </c>
    </row>
    <row r="1317" spans="1:125" x14ac:dyDescent="0.25">
      <c r="A1317" t="str">
        <f>$A$660</f>
        <v xml:space="preserve">    Volkswagen AG</v>
      </c>
      <c r="B1317" t="str">
        <f>$B$660</f>
        <v>VOW GR Equity</v>
      </c>
      <c r="C1317" t="str">
        <f>$C$660</f>
        <v>RX539</v>
      </c>
      <c r="D1317" t="str">
        <f>$D$660</f>
        <v>T12_FCF_YIELD</v>
      </c>
      <c r="E1317" t="str">
        <f>$E$660</f>
        <v>Dynamic</v>
      </c>
      <c r="F1317" t="str">
        <f ca="1">_xll.BDH($B$660,$C$660,$B$675,$B$676,CONCATENATE("Per=",$B$673),"Dts=H","Dir=H",CONCATENATE("Points=",$B$674),"Sort=R","Days=A","Fill=B",CONCATENATE("FX=", $B$672) )</f>
        <v>#N/A Connection</v>
      </c>
      <c r="BN1317" t="str">
        <f>""</f>
        <v/>
      </c>
      <c r="BO1317" t="str">
        <f>""</f>
        <v/>
      </c>
      <c r="BP1317" t="str">
        <f>""</f>
        <v/>
      </c>
      <c r="BQ1317" t="str">
        <f>""</f>
        <v/>
      </c>
      <c r="BR1317" t="str">
        <f>""</f>
        <v/>
      </c>
      <c r="BS1317" t="str">
        <f>""</f>
        <v/>
      </c>
      <c r="BT1317" t="str">
        <f>""</f>
        <v/>
      </c>
      <c r="BU1317" t="str">
        <f>""</f>
        <v/>
      </c>
      <c r="BV1317" t="str">
        <f>""</f>
        <v/>
      </c>
      <c r="BW1317" t="str">
        <f>""</f>
        <v/>
      </c>
      <c r="BX1317" t="str">
        <f>""</f>
        <v/>
      </c>
      <c r="BY1317" t="str">
        <f>""</f>
        <v/>
      </c>
      <c r="BZ1317" t="str">
        <f>""</f>
        <v/>
      </c>
      <c r="CA1317" t="str">
        <f>""</f>
        <v/>
      </c>
      <c r="CB1317" t="str">
        <f>""</f>
        <v/>
      </c>
      <c r="CC1317" t="str">
        <f>""</f>
        <v/>
      </c>
      <c r="CD1317" t="str">
        <f>""</f>
        <v/>
      </c>
      <c r="CE1317" t="str">
        <f>""</f>
        <v/>
      </c>
      <c r="CF1317" t="str">
        <f>""</f>
        <v/>
      </c>
      <c r="CG1317" t="str">
        <f>""</f>
        <v/>
      </c>
      <c r="CH1317" t="str">
        <f>""</f>
        <v/>
      </c>
      <c r="CI1317" t="str">
        <f>""</f>
        <v/>
      </c>
      <c r="CJ1317" t="str">
        <f>""</f>
        <v/>
      </c>
      <c r="CK1317" t="str">
        <f>""</f>
        <v/>
      </c>
      <c r="CL1317" t="str">
        <f>""</f>
        <v/>
      </c>
      <c r="CM1317" t="str">
        <f>""</f>
        <v/>
      </c>
      <c r="CN1317" t="str">
        <f>""</f>
        <v/>
      </c>
      <c r="CO1317" t="str">
        <f>""</f>
        <v/>
      </c>
      <c r="CP1317" t="str">
        <f>""</f>
        <v/>
      </c>
      <c r="CQ1317" t="str">
        <f>""</f>
        <v/>
      </c>
      <c r="CR1317" t="str">
        <f>""</f>
        <v/>
      </c>
      <c r="CS1317" t="str">
        <f>""</f>
        <v/>
      </c>
      <c r="CT1317" t="str">
        <f>""</f>
        <v/>
      </c>
      <c r="CU1317" t="str">
        <f>""</f>
        <v/>
      </c>
      <c r="CV1317" t="str">
        <f>""</f>
        <v/>
      </c>
      <c r="CW1317" t="str">
        <f>""</f>
        <v/>
      </c>
      <c r="CX1317" t="str">
        <f>""</f>
        <v/>
      </c>
      <c r="CY1317" t="str">
        <f>""</f>
        <v/>
      </c>
      <c r="CZ1317" t="str">
        <f>""</f>
        <v/>
      </c>
      <c r="DA1317" t="str">
        <f>""</f>
        <v/>
      </c>
      <c r="DB1317" t="str">
        <f>""</f>
        <v/>
      </c>
      <c r="DC1317" t="str">
        <f>""</f>
        <v/>
      </c>
      <c r="DD1317" t="str">
        <f>""</f>
        <v/>
      </c>
      <c r="DE1317" t="str">
        <f>""</f>
        <v/>
      </c>
      <c r="DF1317" t="str">
        <f>""</f>
        <v/>
      </c>
      <c r="DG1317" t="str">
        <f>""</f>
        <v/>
      </c>
      <c r="DH1317" t="str">
        <f>""</f>
        <v/>
      </c>
      <c r="DI1317" t="str">
        <f>""</f>
        <v/>
      </c>
      <c r="DJ1317" t="str">
        <f>""</f>
        <v/>
      </c>
      <c r="DK1317" t="str">
        <f>""</f>
        <v/>
      </c>
      <c r="DL1317" t="str">
        <f>""</f>
        <v/>
      </c>
      <c r="DM1317" t="str">
        <f>""</f>
        <v/>
      </c>
      <c r="DN1317" t="str">
        <f>""</f>
        <v/>
      </c>
      <c r="DO1317" t="str">
        <f>""</f>
        <v/>
      </c>
      <c r="DP1317" t="str">
        <f>""</f>
        <v/>
      </c>
      <c r="DQ1317" t="str">
        <f>""</f>
        <v/>
      </c>
      <c r="DR1317" t="str">
        <f>""</f>
        <v/>
      </c>
      <c r="DS1317" t="str">
        <f>""</f>
        <v/>
      </c>
      <c r="DT1317" t="str">
        <f>""</f>
        <v/>
      </c>
      <c r="DU1317" t="str">
        <f>""</f>
        <v/>
      </c>
    </row>
    <row r="1318" spans="1:125" x14ac:dyDescent="0.25">
      <c r="A1318" t="str">
        <f>$A$661</f>
        <v xml:space="preserve">    Yulon Motor Co Ltd</v>
      </c>
      <c r="B1318" t="str">
        <f>$B$661</f>
        <v>2201 TT Equity</v>
      </c>
      <c r="C1318" t="str">
        <f>$C$661</f>
        <v>RX539</v>
      </c>
      <c r="D1318" t="str">
        <f>$D$661</f>
        <v>T12_FCF_YIELD</v>
      </c>
      <c r="E1318" t="str">
        <f>$E$661</f>
        <v>Dynamic</v>
      </c>
      <c r="F1318" t="str">
        <f ca="1">_xll.BDH($B$661,$C$661,$B$675,$B$676,CONCATENATE("Per=",$B$673),"Dts=H","Dir=H",CONCATENATE("Points=",$B$674),"Sort=R","Days=A","Fill=B",CONCATENATE("FX=", $B$672) )</f>
        <v>#N/A Connection</v>
      </c>
      <c r="BN1318" t="str">
        <f>""</f>
        <v/>
      </c>
      <c r="BO1318" t="str">
        <f>""</f>
        <v/>
      </c>
      <c r="BP1318" t="str">
        <f>""</f>
        <v/>
      </c>
      <c r="BQ1318" t="str">
        <f>""</f>
        <v/>
      </c>
      <c r="BR1318" t="str">
        <f>""</f>
        <v/>
      </c>
      <c r="BS1318" t="str">
        <f>""</f>
        <v/>
      </c>
      <c r="BT1318" t="str">
        <f>""</f>
        <v/>
      </c>
      <c r="BU1318" t="str">
        <f>""</f>
        <v/>
      </c>
      <c r="BV1318" t="str">
        <f>""</f>
        <v/>
      </c>
      <c r="BW1318" t="str">
        <f>""</f>
        <v/>
      </c>
      <c r="BX1318" t="str">
        <f>""</f>
        <v/>
      </c>
      <c r="BY1318" t="str">
        <f>""</f>
        <v/>
      </c>
      <c r="BZ1318" t="str">
        <f>""</f>
        <v/>
      </c>
      <c r="CA1318" t="str">
        <f>""</f>
        <v/>
      </c>
      <c r="CB1318" t="str">
        <f>""</f>
        <v/>
      </c>
      <c r="CC1318" t="str">
        <f>""</f>
        <v/>
      </c>
      <c r="CD1318" t="str">
        <f>""</f>
        <v/>
      </c>
      <c r="CE1318" t="str">
        <f>""</f>
        <v/>
      </c>
      <c r="CF1318" t="str">
        <f>""</f>
        <v/>
      </c>
      <c r="CG1318" t="str">
        <f>""</f>
        <v/>
      </c>
      <c r="CH1318" t="str">
        <f>""</f>
        <v/>
      </c>
      <c r="CI1318" t="str">
        <f>""</f>
        <v/>
      </c>
      <c r="CJ1318" t="str">
        <f>""</f>
        <v/>
      </c>
      <c r="CK1318" t="str">
        <f>""</f>
        <v/>
      </c>
      <c r="CL1318" t="str">
        <f>""</f>
        <v/>
      </c>
      <c r="CM1318" t="str">
        <f>""</f>
        <v/>
      </c>
      <c r="CN1318" t="str">
        <f>""</f>
        <v/>
      </c>
      <c r="CO1318" t="str">
        <f>""</f>
        <v/>
      </c>
      <c r="CP1318" t="str">
        <f>""</f>
        <v/>
      </c>
      <c r="CQ1318" t="str">
        <f>""</f>
        <v/>
      </c>
      <c r="CR1318" t="str">
        <f>""</f>
        <v/>
      </c>
      <c r="CS1318" t="str">
        <f>""</f>
        <v/>
      </c>
      <c r="CT1318" t="str">
        <f>""</f>
        <v/>
      </c>
      <c r="CU1318" t="str">
        <f>""</f>
        <v/>
      </c>
      <c r="CV1318" t="str">
        <f>""</f>
        <v/>
      </c>
      <c r="CW1318" t="str">
        <f>""</f>
        <v/>
      </c>
      <c r="CX1318" t="str">
        <f>""</f>
        <v/>
      </c>
      <c r="CY1318" t="str">
        <f>""</f>
        <v/>
      </c>
      <c r="CZ1318" t="str">
        <f>""</f>
        <v/>
      </c>
      <c r="DA1318" t="str">
        <f>""</f>
        <v/>
      </c>
      <c r="DB1318" t="str">
        <f>""</f>
        <v/>
      </c>
      <c r="DC1318" t="str">
        <f>""</f>
        <v/>
      </c>
      <c r="DD1318" t="str">
        <f>""</f>
        <v/>
      </c>
      <c r="DE1318" t="str">
        <f>""</f>
        <v/>
      </c>
      <c r="DF1318" t="str">
        <f>""</f>
        <v/>
      </c>
      <c r="DG1318" t="str">
        <f>""</f>
        <v/>
      </c>
      <c r="DH1318" t="str">
        <f>""</f>
        <v/>
      </c>
      <c r="DI1318" t="str">
        <f>""</f>
        <v/>
      </c>
      <c r="DJ1318" t="str">
        <f>""</f>
        <v/>
      </c>
      <c r="DK1318" t="str">
        <f>""</f>
        <v/>
      </c>
      <c r="DL1318" t="str">
        <f>""</f>
        <v/>
      </c>
      <c r="DM1318" t="str">
        <f>""</f>
        <v/>
      </c>
      <c r="DN1318" t="str">
        <f>""</f>
        <v/>
      </c>
      <c r="DO1318" t="str">
        <f>""</f>
        <v/>
      </c>
      <c r="DP1318" t="str">
        <f>""</f>
        <v/>
      </c>
      <c r="DQ1318" t="str">
        <f>""</f>
        <v/>
      </c>
      <c r="DR1318" t="str">
        <f>""</f>
        <v/>
      </c>
      <c r="DS1318" t="str">
        <f>""</f>
        <v/>
      </c>
      <c r="DT1318" t="str">
        <f>""</f>
        <v/>
      </c>
      <c r="DU1318" t="str">
        <f>""</f>
        <v/>
      </c>
    </row>
    <row r="1319" spans="1:125" x14ac:dyDescent="0.25">
      <c r="A1319" t="str">
        <f>""</f>
        <v/>
      </c>
      <c r="B1319" t="str">
        <f>""</f>
        <v/>
      </c>
      <c r="C1319" t="str">
        <f>""</f>
        <v/>
      </c>
      <c r="D1319" t="str">
        <f>""</f>
        <v/>
      </c>
      <c r="E1319" t="str">
        <f>""</f>
        <v/>
      </c>
      <c r="BN1319" t="str">
        <f>""</f>
        <v/>
      </c>
      <c r="BO1319" t="str">
        <f>""</f>
        <v/>
      </c>
      <c r="BP1319" t="str">
        <f>""</f>
        <v/>
      </c>
      <c r="BQ1319" t="str">
        <f>""</f>
        <v/>
      </c>
      <c r="BR1319" t="str">
        <f>""</f>
        <v/>
      </c>
      <c r="BS1319" t="str">
        <f>""</f>
        <v/>
      </c>
      <c r="BT1319" t="str">
        <f>""</f>
        <v/>
      </c>
      <c r="BU1319" t="str">
        <f>""</f>
        <v/>
      </c>
      <c r="BV1319" t="str">
        <f>""</f>
        <v/>
      </c>
      <c r="BW1319" t="str">
        <f>""</f>
        <v/>
      </c>
      <c r="BX1319" t="str">
        <f>""</f>
        <v/>
      </c>
      <c r="BY1319" t="str">
        <f>""</f>
        <v/>
      </c>
      <c r="BZ1319" t="str">
        <f>""</f>
        <v/>
      </c>
      <c r="CA1319" t="str">
        <f>""</f>
        <v/>
      </c>
      <c r="CB1319" t="str">
        <f>""</f>
        <v/>
      </c>
      <c r="CC1319" t="str">
        <f>""</f>
        <v/>
      </c>
      <c r="CD1319" t="str">
        <f>""</f>
        <v/>
      </c>
      <c r="CE1319" t="str">
        <f>""</f>
        <v/>
      </c>
      <c r="CF1319" t="str">
        <f>""</f>
        <v/>
      </c>
      <c r="CG1319" t="str">
        <f>""</f>
        <v/>
      </c>
      <c r="CH1319" t="str">
        <f>""</f>
        <v/>
      </c>
      <c r="CI1319" t="str">
        <f>""</f>
        <v/>
      </c>
      <c r="CJ1319" t="str">
        <f>""</f>
        <v/>
      </c>
      <c r="CK1319" t="str">
        <f>""</f>
        <v/>
      </c>
      <c r="CL1319" t="str">
        <f>""</f>
        <v/>
      </c>
      <c r="CM1319" t="str">
        <f>""</f>
        <v/>
      </c>
      <c r="CN1319" t="str">
        <f>""</f>
        <v/>
      </c>
      <c r="CO1319" t="str">
        <f>""</f>
        <v/>
      </c>
      <c r="CP1319" t="str">
        <f>""</f>
        <v/>
      </c>
      <c r="CQ1319" t="str">
        <f>""</f>
        <v/>
      </c>
      <c r="CR1319" t="str">
        <f>""</f>
        <v/>
      </c>
      <c r="CS1319" t="str">
        <f>""</f>
        <v/>
      </c>
      <c r="CT1319" t="str">
        <f>""</f>
        <v/>
      </c>
      <c r="CU1319" t="str">
        <f>""</f>
        <v/>
      </c>
      <c r="CV1319" t="str">
        <f>""</f>
        <v/>
      </c>
      <c r="CW1319" t="str">
        <f>""</f>
        <v/>
      </c>
      <c r="CX1319" t="str">
        <f>""</f>
        <v/>
      </c>
      <c r="CY1319" t="str">
        <f>""</f>
        <v/>
      </c>
      <c r="CZ1319" t="str">
        <f>""</f>
        <v/>
      </c>
      <c r="DA1319" t="str">
        <f>""</f>
        <v/>
      </c>
      <c r="DB1319" t="str">
        <f>""</f>
        <v/>
      </c>
      <c r="DC1319" t="str">
        <f>""</f>
        <v/>
      </c>
      <c r="DD1319" t="str">
        <f>""</f>
        <v/>
      </c>
      <c r="DE1319" t="str">
        <f>""</f>
        <v/>
      </c>
      <c r="DF1319" t="str">
        <f>""</f>
        <v/>
      </c>
      <c r="DG1319" t="str">
        <f>""</f>
        <v/>
      </c>
      <c r="DH1319" t="str">
        <f>""</f>
        <v/>
      </c>
      <c r="DI1319" t="str">
        <f>""</f>
        <v/>
      </c>
      <c r="DJ1319" t="str">
        <f>""</f>
        <v/>
      </c>
      <c r="DK1319" t="str">
        <f>""</f>
        <v/>
      </c>
      <c r="DL1319" t="str">
        <f>""</f>
        <v/>
      </c>
      <c r="DM1319" t="str">
        <f>""</f>
        <v/>
      </c>
      <c r="DN1319" t="str">
        <f>""</f>
        <v/>
      </c>
      <c r="DO1319" t="str">
        <f>""</f>
        <v/>
      </c>
      <c r="DP1319" t="str">
        <f>""</f>
        <v/>
      </c>
      <c r="DQ1319" t="str">
        <f>""</f>
        <v/>
      </c>
      <c r="DR1319" t="str">
        <f>""</f>
        <v/>
      </c>
      <c r="DS1319" t="str">
        <f>""</f>
        <v/>
      </c>
      <c r="DT1319" t="str">
        <f>""</f>
        <v/>
      </c>
      <c r="DU1319" t="str">
        <f>""</f>
        <v/>
      </c>
    </row>
    <row r="1320" spans="1:125" x14ac:dyDescent="0.25">
      <c r="A1320" t="str">
        <f>""</f>
        <v/>
      </c>
      <c r="B1320" t="str">
        <f>""</f>
        <v/>
      </c>
      <c r="C1320" t="str">
        <f>""</f>
        <v/>
      </c>
      <c r="D1320" t="str">
        <f>""</f>
        <v/>
      </c>
      <c r="E1320" t="str">
        <f>""</f>
        <v/>
      </c>
      <c r="BN1320" t="str">
        <f>""</f>
        <v/>
      </c>
      <c r="BO1320" t="str">
        <f>""</f>
        <v/>
      </c>
      <c r="BP1320" t="str">
        <f>""</f>
        <v/>
      </c>
      <c r="BQ1320" t="str">
        <f>""</f>
        <v/>
      </c>
      <c r="BR1320" t="str">
        <f>""</f>
        <v/>
      </c>
      <c r="BS1320" t="str">
        <f>""</f>
        <v/>
      </c>
      <c r="BT1320" t="str">
        <f>""</f>
        <v/>
      </c>
      <c r="BU1320" t="str">
        <f>""</f>
        <v/>
      </c>
      <c r="BV1320" t="str">
        <f>""</f>
        <v/>
      </c>
      <c r="BW1320" t="str">
        <f>""</f>
        <v/>
      </c>
      <c r="BX1320" t="str">
        <f>""</f>
        <v/>
      </c>
      <c r="BY1320" t="str">
        <f>""</f>
        <v/>
      </c>
      <c r="BZ1320" t="str">
        <f>""</f>
        <v/>
      </c>
      <c r="CA1320" t="str">
        <f>""</f>
        <v/>
      </c>
      <c r="CB1320" t="str">
        <f>""</f>
        <v/>
      </c>
      <c r="CC1320" t="str">
        <f>""</f>
        <v/>
      </c>
      <c r="CD1320" t="str">
        <f>""</f>
        <v/>
      </c>
      <c r="CE1320" t="str">
        <f>""</f>
        <v/>
      </c>
      <c r="CF1320" t="str">
        <f>""</f>
        <v/>
      </c>
      <c r="CG1320" t="str">
        <f>""</f>
        <v/>
      </c>
      <c r="CH1320" t="str">
        <f>""</f>
        <v/>
      </c>
      <c r="CI1320" t="str">
        <f>""</f>
        <v/>
      </c>
      <c r="CJ1320" t="str">
        <f>""</f>
        <v/>
      </c>
      <c r="CK1320" t="str">
        <f>""</f>
        <v/>
      </c>
      <c r="CL1320" t="str">
        <f>""</f>
        <v/>
      </c>
      <c r="CM1320" t="str">
        <f>""</f>
        <v/>
      </c>
      <c r="CN1320" t="str">
        <f>""</f>
        <v/>
      </c>
      <c r="CO1320" t="str">
        <f>""</f>
        <v/>
      </c>
      <c r="CP1320" t="str">
        <f>""</f>
        <v/>
      </c>
      <c r="CQ1320" t="str">
        <f>""</f>
        <v/>
      </c>
      <c r="CR1320" t="str">
        <f>""</f>
        <v/>
      </c>
      <c r="CS1320" t="str">
        <f>""</f>
        <v/>
      </c>
      <c r="CT1320" t="str">
        <f>""</f>
        <v/>
      </c>
      <c r="CU1320" t="str">
        <f>""</f>
        <v/>
      </c>
      <c r="CV1320" t="str">
        <f>""</f>
        <v/>
      </c>
      <c r="CW1320" t="str">
        <f>""</f>
        <v/>
      </c>
      <c r="CX1320" t="str">
        <f>""</f>
        <v/>
      </c>
      <c r="CY1320" t="str">
        <f>""</f>
        <v/>
      </c>
      <c r="CZ1320" t="str">
        <f>""</f>
        <v/>
      </c>
      <c r="DA1320" t="str">
        <f>""</f>
        <v/>
      </c>
      <c r="DB1320" t="str">
        <f>""</f>
        <v/>
      </c>
      <c r="DC1320" t="str">
        <f>""</f>
        <v/>
      </c>
      <c r="DD1320" t="str">
        <f>""</f>
        <v/>
      </c>
      <c r="DE1320" t="str">
        <f>""</f>
        <v/>
      </c>
      <c r="DF1320" t="str">
        <f>""</f>
        <v/>
      </c>
      <c r="DG1320" t="str">
        <f>""</f>
        <v/>
      </c>
      <c r="DH1320" t="str">
        <f>""</f>
        <v/>
      </c>
      <c r="DI1320" t="str">
        <f>""</f>
        <v/>
      </c>
      <c r="DJ1320" t="str">
        <f>""</f>
        <v/>
      </c>
      <c r="DK1320" t="str">
        <f>""</f>
        <v/>
      </c>
      <c r="DL1320" t="str">
        <f>""</f>
        <v/>
      </c>
      <c r="DM1320" t="str">
        <f>""</f>
        <v/>
      </c>
      <c r="DN1320" t="str">
        <f>""</f>
        <v/>
      </c>
      <c r="DO1320" t="str">
        <f>""</f>
        <v/>
      </c>
      <c r="DP1320" t="str">
        <f>""</f>
        <v/>
      </c>
      <c r="DQ1320" t="str">
        <f>""</f>
        <v/>
      </c>
      <c r="DR1320" t="str">
        <f>""</f>
        <v/>
      </c>
      <c r="DS1320" t="str">
        <f>""</f>
        <v/>
      </c>
      <c r="DT1320" t="str">
        <f>""</f>
        <v/>
      </c>
      <c r="DU1320" t="str">
        <f>""</f>
        <v/>
      </c>
    </row>
    <row r="1321" spans="1:125" x14ac:dyDescent="0.25">
      <c r="A1321" t="str">
        <f>""</f>
        <v/>
      </c>
      <c r="B1321" t="str">
        <f>""</f>
        <v/>
      </c>
      <c r="C1321" t="str">
        <f>""</f>
        <v/>
      </c>
      <c r="D1321" t="str">
        <f>""</f>
        <v/>
      </c>
      <c r="E1321" t="str">
        <f>""</f>
        <v/>
      </c>
      <c r="BN1321" t="str">
        <f>""</f>
        <v/>
      </c>
      <c r="BO1321" t="str">
        <f>""</f>
        <v/>
      </c>
      <c r="BP1321" t="str">
        <f>""</f>
        <v/>
      </c>
      <c r="BQ1321" t="str">
        <f>""</f>
        <v/>
      </c>
      <c r="BR1321" t="str">
        <f>""</f>
        <v/>
      </c>
      <c r="BS1321" t="str">
        <f>""</f>
        <v/>
      </c>
      <c r="BT1321" t="str">
        <f>""</f>
        <v/>
      </c>
      <c r="BU1321" t="str">
        <f>""</f>
        <v/>
      </c>
      <c r="BV1321" t="str">
        <f>""</f>
        <v/>
      </c>
      <c r="BW1321" t="str">
        <f>""</f>
        <v/>
      </c>
      <c r="BX1321" t="str">
        <f>""</f>
        <v/>
      </c>
      <c r="BY1321" t="str">
        <f>""</f>
        <v/>
      </c>
      <c r="BZ1321" t="str">
        <f>""</f>
        <v/>
      </c>
      <c r="CA1321" t="str">
        <f>""</f>
        <v/>
      </c>
      <c r="CB1321" t="str">
        <f>""</f>
        <v/>
      </c>
      <c r="CC1321" t="str">
        <f>""</f>
        <v/>
      </c>
      <c r="CD1321" t="str">
        <f>""</f>
        <v/>
      </c>
      <c r="CE1321" t="str">
        <f>""</f>
        <v/>
      </c>
      <c r="CF1321" t="str">
        <f>""</f>
        <v/>
      </c>
      <c r="CG1321" t="str">
        <f>""</f>
        <v/>
      </c>
      <c r="CH1321" t="str">
        <f>""</f>
        <v/>
      </c>
      <c r="CI1321" t="str">
        <f>""</f>
        <v/>
      </c>
      <c r="CJ1321" t="str">
        <f>""</f>
        <v/>
      </c>
      <c r="CK1321" t="str">
        <f>""</f>
        <v/>
      </c>
      <c r="CL1321" t="str">
        <f>""</f>
        <v/>
      </c>
      <c r="CM1321" t="str">
        <f>""</f>
        <v/>
      </c>
      <c r="CN1321" t="str">
        <f>""</f>
        <v/>
      </c>
      <c r="CO1321" t="str">
        <f>""</f>
        <v/>
      </c>
      <c r="CP1321" t="str">
        <f>""</f>
        <v/>
      </c>
      <c r="CQ1321" t="str">
        <f>""</f>
        <v/>
      </c>
      <c r="CR1321" t="str">
        <f>""</f>
        <v/>
      </c>
      <c r="CS1321" t="str">
        <f>""</f>
        <v/>
      </c>
      <c r="CT1321" t="str">
        <f>""</f>
        <v/>
      </c>
      <c r="CU1321" t="str">
        <f>""</f>
        <v/>
      </c>
      <c r="CV1321" t="str">
        <f>""</f>
        <v/>
      </c>
      <c r="CW1321" t="str">
        <f>""</f>
        <v/>
      </c>
      <c r="CX1321" t="str">
        <f>""</f>
        <v/>
      </c>
      <c r="CY1321" t="str">
        <f>""</f>
        <v/>
      </c>
      <c r="CZ1321" t="str">
        <f>""</f>
        <v/>
      </c>
      <c r="DA1321" t="str">
        <f>""</f>
        <v/>
      </c>
      <c r="DB1321" t="str">
        <f>""</f>
        <v/>
      </c>
      <c r="DC1321" t="str">
        <f>""</f>
        <v/>
      </c>
      <c r="DD1321" t="str">
        <f>""</f>
        <v/>
      </c>
      <c r="DE1321" t="str">
        <f>""</f>
        <v/>
      </c>
      <c r="DF1321" t="str">
        <f>""</f>
        <v/>
      </c>
      <c r="DG1321" t="str">
        <f>""</f>
        <v/>
      </c>
      <c r="DH1321" t="str">
        <f>""</f>
        <v/>
      </c>
      <c r="DI1321" t="str">
        <f>""</f>
        <v/>
      </c>
      <c r="DJ1321" t="str">
        <f>""</f>
        <v/>
      </c>
      <c r="DK1321" t="str">
        <f>""</f>
        <v/>
      </c>
      <c r="DL1321" t="str">
        <f>""</f>
        <v/>
      </c>
      <c r="DM1321" t="str">
        <f>""</f>
        <v/>
      </c>
      <c r="DN1321" t="str">
        <f>""</f>
        <v/>
      </c>
      <c r="DO1321" t="str">
        <f>""</f>
        <v/>
      </c>
      <c r="DP1321" t="str">
        <f>""</f>
        <v/>
      </c>
      <c r="DQ1321" t="str">
        <f>""</f>
        <v/>
      </c>
      <c r="DR1321" t="str">
        <f>""</f>
        <v/>
      </c>
      <c r="DS1321" t="str">
        <f>""</f>
        <v/>
      </c>
      <c r="DT1321" t="str">
        <f>""</f>
        <v/>
      </c>
      <c r="DU1321" t="str">
        <f>""</f>
        <v/>
      </c>
    </row>
    <row r="1322" spans="1:125" x14ac:dyDescent="0.25">
      <c r="A1322" t="str">
        <f>""</f>
        <v/>
      </c>
      <c r="B1322" t="str">
        <f>""</f>
        <v/>
      </c>
      <c r="C1322" t="str">
        <f>""</f>
        <v/>
      </c>
      <c r="D1322" t="str">
        <f>""</f>
        <v/>
      </c>
      <c r="E1322" t="str">
        <f>""</f>
        <v/>
      </c>
      <c r="BN1322" t="str">
        <f>""</f>
        <v/>
      </c>
      <c r="BO1322" t="str">
        <f>""</f>
        <v/>
      </c>
      <c r="BP1322" t="str">
        <f>""</f>
        <v/>
      </c>
      <c r="BQ1322" t="str">
        <f>""</f>
        <v/>
      </c>
      <c r="BR1322" t="str">
        <f>""</f>
        <v/>
      </c>
      <c r="BS1322" t="str">
        <f>""</f>
        <v/>
      </c>
      <c r="BT1322" t="str">
        <f>""</f>
        <v/>
      </c>
      <c r="BU1322" t="str">
        <f>""</f>
        <v/>
      </c>
      <c r="BV1322" t="str">
        <f>""</f>
        <v/>
      </c>
      <c r="BW1322" t="str">
        <f>""</f>
        <v/>
      </c>
      <c r="BX1322" t="str">
        <f>""</f>
        <v/>
      </c>
      <c r="BY1322" t="str">
        <f>""</f>
        <v/>
      </c>
      <c r="BZ1322" t="str">
        <f>""</f>
        <v/>
      </c>
      <c r="CA1322" t="str">
        <f>""</f>
        <v/>
      </c>
      <c r="CB1322" t="str">
        <f>""</f>
        <v/>
      </c>
      <c r="CC1322" t="str">
        <f>""</f>
        <v/>
      </c>
      <c r="CD1322" t="str">
        <f>""</f>
        <v/>
      </c>
      <c r="CE1322" t="str">
        <f>""</f>
        <v/>
      </c>
      <c r="CF1322" t="str">
        <f>""</f>
        <v/>
      </c>
      <c r="CG1322" t="str">
        <f>""</f>
        <v/>
      </c>
      <c r="CH1322" t="str">
        <f>""</f>
        <v/>
      </c>
      <c r="CI1322" t="str">
        <f>""</f>
        <v/>
      </c>
      <c r="CJ1322" t="str">
        <f>""</f>
        <v/>
      </c>
      <c r="CK1322" t="str">
        <f>""</f>
        <v/>
      </c>
      <c r="CL1322" t="str">
        <f>""</f>
        <v/>
      </c>
      <c r="CM1322" t="str">
        <f>""</f>
        <v/>
      </c>
      <c r="CN1322" t="str">
        <f>""</f>
        <v/>
      </c>
      <c r="CO1322" t="str">
        <f>""</f>
        <v/>
      </c>
      <c r="CP1322" t="str">
        <f>""</f>
        <v/>
      </c>
      <c r="CQ1322" t="str">
        <f>""</f>
        <v/>
      </c>
      <c r="CR1322" t="str">
        <f>""</f>
        <v/>
      </c>
      <c r="CS1322" t="str">
        <f>""</f>
        <v/>
      </c>
      <c r="CT1322" t="str">
        <f>""</f>
        <v/>
      </c>
      <c r="CU1322" t="str">
        <f>""</f>
        <v/>
      </c>
      <c r="CV1322" t="str">
        <f>""</f>
        <v/>
      </c>
      <c r="CW1322" t="str">
        <f>""</f>
        <v/>
      </c>
      <c r="CX1322" t="str">
        <f>""</f>
        <v/>
      </c>
      <c r="CY1322" t="str">
        <f>""</f>
        <v/>
      </c>
      <c r="CZ1322" t="str">
        <f>""</f>
        <v/>
      </c>
      <c r="DA1322" t="str">
        <f>""</f>
        <v/>
      </c>
      <c r="DB1322" t="str">
        <f>""</f>
        <v/>
      </c>
      <c r="DC1322" t="str">
        <f>""</f>
        <v/>
      </c>
      <c r="DD1322" t="str">
        <f>""</f>
        <v/>
      </c>
      <c r="DE1322" t="str">
        <f>""</f>
        <v/>
      </c>
      <c r="DF1322" t="str">
        <f>""</f>
        <v/>
      </c>
      <c r="DG1322" t="str">
        <f>""</f>
        <v/>
      </c>
      <c r="DH1322" t="str">
        <f>""</f>
        <v/>
      </c>
      <c r="DI1322" t="str">
        <f>""</f>
        <v/>
      </c>
      <c r="DJ1322" t="str">
        <f>""</f>
        <v/>
      </c>
      <c r="DK1322" t="str">
        <f>""</f>
        <v/>
      </c>
      <c r="DL1322" t="str">
        <f>""</f>
        <v/>
      </c>
      <c r="DM1322" t="str">
        <f>""</f>
        <v/>
      </c>
      <c r="DN1322" t="str">
        <f>""</f>
        <v/>
      </c>
      <c r="DO1322" t="str">
        <f>""</f>
        <v/>
      </c>
      <c r="DP1322" t="str">
        <f>""</f>
        <v/>
      </c>
      <c r="DQ1322" t="str">
        <f>""</f>
        <v/>
      </c>
      <c r="DR1322" t="str">
        <f>""</f>
        <v/>
      </c>
      <c r="DS1322" t="str">
        <f>""</f>
        <v/>
      </c>
      <c r="DT1322" t="str">
        <f>""</f>
        <v/>
      </c>
      <c r="DU1322" t="str">
        <f>""</f>
        <v/>
      </c>
    </row>
    <row r="1323" spans="1:125" x14ac:dyDescent="0.25">
      <c r="A1323" t="str">
        <f>""</f>
        <v/>
      </c>
      <c r="B1323" t="str">
        <f>""</f>
        <v/>
      </c>
      <c r="C1323" t="str">
        <f>""</f>
        <v/>
      </c>
      <c r="D1323" t="str">
        <f>""</f>
        <v/>
      </c>
      <c r="E1323" t="str">
        <f>""</f>
        <v/>
      </c>
      <c r="BN1323" t="str">
        <f>""</f>
        <v/>
      </c>
      <c r="BO1323" t="str">
        <f>""</f>
        <v/>
      </c>
      <c r="BP1323" t="str">
        <f>""</f>
        <v/>
      </c>
      <c r="BQ1323" t="str">
        <f>""</f>
        <v/>
      </c>
      <c r="BR1323" t="str">
        <f>""</f>
        <v/>
      </c>
      <c r="BS1323" t="str">
        <f>""</f>
        <v/>
      </c>
      <c r="BT1323" t="str">
        <f>""</f>
        <v/>
      </c>
      <c r="BU1323" t="str">
        <f>""</f>
        <v/>
      </c>
      <c r="BV1323" t="str">
        <f>""</f>
        <v/>
      </c>
      <c r="BW1323" t="str">
        <f>""</f>
        <v/>
      </c>
      <c r="BX1323" t="str">
        <f>""</f>
        <v/>
      </c>
      <c r="BY1323" t="str">
        <f>""</f>
        <v/>
      </c>
      <c r="BZ1323" t="str">
        <f>""</f>
        <v/>
      </c>
      <c r="CA1323" t="str">
        <f>""</f>
        <v/>
      </c>
      <c r="CB1323" t="str">
        <f>""</f>
        <v/>
      </c>
      <c r="CC1323" t="str">
        <f>""</f>
        <v/>
      </c>
      <c r="CD1323" t="str">
        <f>""</f>
        <v/>
      </c>
      <c r="CE1323" t="str">
        <f>""</f>
        <v/>
      </c>
      <c r="CF1323" t="str">
        <f>""</f>
        <v/>
      </c>
      <c r="CG1323" t="str">
        <f>""</f>
        <v/>
      </c>
      <c r="CH1323" t="str">
        <f>""</f>
        <v/>
      </c>
      <c r="CI1323" t="str">
        <f>""</f>
        <v/>
      </c>
      <c r="CJ1323" t="str">
        <f>""</f>
        <v/>
      </c>
      <c r="CK1323" t="str">
        <f>""</f>
        <v/>
      </c>
      <c r="CL1323" t="str">
        <f>""</f>
        <v/>
      </c>
      <c r="CM1323" t="str">
        <f>""</f>
        <v/>
      </c>
      <c r="CN1323" t="str">
        <f>""</f>
        <v/>
      </c>
      <c r="CO1323" t="str">
        <f>""</f>
        <v/>
      </c>
      <c r="CP1323" t="str">
        <f>""</f>
        <v/>
      </c>
      <c r="CQ1323" t="str">
        <f>""</f>
        <v/>
      </c>
      <c r="CR1323" t="str">
        <f>""</f>
        <v/>
      </c>
      <c r="CS1323" t="str">
        <f>""</f>
        <v/>
      </c>
      <c r="CT1323" t="str">
        <f>""</f>
        <v/>
      </c>
      <c r="CU1323" t="str">
        <f>""</f>
        <v/>
      </c>
      <c r="CV1323" t="str">
        <f>""</f>
        <v/>
      </c>
      <c r="CW1323" t="str">
        <f>""</f>
        <v/>
      </c>
      <c r="CX1323" t="str">
        <f>""</f>
        <v/>
      </c>
      <c r="CY1323" t="str">
        <f>""</f>
        <v/>
      </c>
      <c r="CZ1323" t="str">
        <f>""</f>
        <v/>
      </c>
      <c r="DA1323" t="str">
        <f>""</f>
        <v/>
      </c>
      <c r="DB1323" t="str">
        <f>""</f>
        <v/>
      </c>
      <c r="DC1323" t="str">
        <f>""</f>
        <v/>
      </c>
      <c r="DD1323" t="str">
        <f>""</f>
        <v/>
      </c>
      <c r="DE1323" t="str">
        <f>""</f>
        <v/>
      </c>
      <c r="DF1323" t="str">
        <f>""</f>
        <v/>
      </c>
      <c r="DG1323" t="str">
        <f>""</f>
        <v/>
      </c>
      <c r="DH1323" t="str">
        <f>""</f>
        <v/>
      </c>
      <c r="DI1323" t="str">
        <f>""</f>
        <v/>
      </c>
      <c r="DJ1323" t="str">
        <f>""</f>
        <v/>
      </c>
      <c r="DK1323" t="str">
        <f>""</f>
        <v/>
      </c>
      <c r="DL1323" t="str">
        <f>""</f>
        <v/>
      </c>
      <c r="DM1323" t="str">
        <f>""</f>
        <v/>
      </c>
      <c r="DN1323" t="str">
        <f>""</f>
        <v/>
      </c>
      <c r="DO1323" t="str">
        <f>""</f>
        <v/>
      </c>
      <c r="DP1323" t="str">
        <f>""</f>
        <v/>
      </c>
      <c r="DQ1323" t="str">
        <f>""</f>
        <v/>
      </c>
      <c r="DR1323" t="str">
        <f>""</f>
        <v/>
      </c>
      <c r="DS1323" t="str">
        <f>""</f>
        <v/>
      </c>
      <c r="DT1323" t="str">
        <f>""</f>
        <v/>
      </c>
      <c r="DU1323" t="str">
        <f>""</f>
        <v/>
      </c>
    </row>
    <row r="1324" spans="1:125" x14ac:dyDescent="0.25">
      <c r="A1324" t="str">
        <f>"~~~~~~~~~~~~~~~~~~~~~"</f>
        <v>~~~~~~~~~~~~~~~~~~~~~</v>
      </c>
      <c r="B1324" t="str">
        <f>"~~~~~~~~~~~~~~~~~~~~~"</f>
        <v>~~~~~~~~~~~~~~~~~~~~~</v>
      </c>
      <c r="C1324" t="str">
        <f>"~~~~~~~~~~~~~~~~~~~~~"</f>
        <v>~~~~~~~~~~~~~~~~~~~~~</v>
      </c>
      <c r="D1324" t="str">
        <f>"~~~~~~~~~~~~~~~~~~~~~"</f>
        <v>~~~~~~~~~~~~~~~~~~~~~</v>
      </c>
      <c r="E1324" t="str">
        <f>"~~~~~~~~~~~~~~~~~~~~~"</f>
        <v>~~~~~~~~~~~~~~~~~~~~~</v>
      </c>
      <c r="BN1324" t="str">
        <f>""</f>
        <v/>
      </c>
      <c r="BO1324" t="str">
        <f>""</f>
        <v/>
      </c>
      <c r="BP1324" t="str">
        <f>""</f>
        <v/>
      </c>
      <c r="BQ1324" t="str">
        <f>""</f>
        <v/>
      </c>
      <c r="BR1324" t="str">
        <f>""</f>
        <v/>
      </c>
      <c r="BS1324" t="str">
        <f>""</f>
        <v/>
      </c>
      <c r="BT1324" t="str">
        <f>""</f>
        <v/>
      </c>
      <c r="BU1324" t="str">
        <f>""</f>
        <v/>
      </c>
      <c r="BV1324" t="str">
        <f>""</f>
        <v/>
      </c>
      <c r="BW1324" t="str">
        <f>""</f>
        <v/>
      </c>
      <c r="BX1324" t="str">
        <f>""</f>
        <v/>
      </c>
      <c r="BY1324" t="str">
        <f>""</f>
        <v/>
      </c>
      <c r="BZ1324" t="str">
        <f>""</f>
        <v/>
      </c>
      <c r="CA1324" t="str">
        <f>""</f>
        <v/>
      </c>
      <c r="CB1324" t="str">
        <f>""</f>
        <v/>
      </c>
      <c r="CC1324" t="str">
        <f>""</f>
        <v/>
      </c>
      <c r="CD1324" t="str">
        <f>""</f>
        <v/>
      </c>
      <c r="CE1324" t="str">
        <f>""</f>
        <v/>
      </c>
      <c r="CF1324" t="str">
        <f>""</f>
        <v/>
      </c>
      <c r="CG1324" t="str">
        <f>""</f>
        <v/>
      </c>
      <c r="CH1324" t="str">
        <f>""</f>
        <v/>
      </c>
      <c r="CI1324" t="str">
        <f>""</f>
        <v/>
      </c>
      <c r="CJ1324" t="str">
        <f>""</f>
        <v/>
      </c>
      <c r="CK1324" t="str">
        <f>""</f>
        <v/>
      </c>
      <c r="CL1324" t="str">
        <f>""</f>
        <v/>
      </c>
      <c r="CM1324" t="str">
        <f>""</f>
        <v/>
      </c>
      <c r="CN1324" t="str">
        <f>""</f>
        <v/>
      </c>
      <c r="CO1324" t="str">
        <f>""</f>
        <v/>
      </c>
      <c r="CP1324" t="str">
        <f>""</f>
        <v/>
      </c>
      <c r="CQ1324" t="str">
        <f>""</f>
        <v/>
      </c>
      <c r="CR1324" t="str">
        <f>""</f>
        <v/>
      </c>
      <c r="CS1324" t="str">
        <f>""</f>
        <v/>
      </c>
      <c r="CT1324" t="str">
        <f>""</f>
        <v/>
      </c>
      <c r="CU1324" t="str">
        <f>""</f>
        <v/>
      </c>
      <c r="CV1324" t="str">
        <f>""</f>
        <v/>
      </c>
      <c r="CW1324" t="str">
        <f>""</f>
        <v/>
      </c>
      <c r="CX1324" t="str">
        <f>""</f>
        <v/>
      </c>
      <c r="CY1324" t="str">
        <f>""</f>
        <v/>
      </c>
      <c r="CZ1324" t="str">
        <f>""</f>
        <v/>
      </c>
      <c r="DA1324" t="str">
        <f>""</f>
        <v/>
      </c>
      <c r="DB1324" t="str">
        <f>""</f>
        <v/>
      </c>
      <c r="DC1324" t="str">
        <f>""</f>
        <v/>
      </c>
      <c r="DD1324" t="str">
        <f>""</f>
        <v/>
      </c>
      <c r="DE1324" t="str">
        <f>""</f>
        <v/>
      </c>
      <c r="DF1324" t="str">
        <f>""</f>
        <v/>
      </c>
      <c r="DG1324" t="str">
        <f>""</f>
        <v/>
      </c>
      <c r="DH1324" t="str">
        <f>""</f>
        <v/>
      </c>
      <c r="DI1324" t="str">
        <f>""</f>
        <v/>
      </c>
      <c r="DJ1324" t="str">
        <f>""</f>
        <v/>
      </c>
      <c r="DK1324" t="str">
        <f>""</f>
        <v/>
      </c>
      <c r="DL1324" t="str">
        <f>""</f>
        <v/>
      </c>
      <c r="DM1324" t="str">
        <f>""</f>
        <v/>
      </c>
      <c r="DN1324" t="str">
        <f>""</f>
        <v/>
      </c>
      <c r="DO1324" t="str">
        <f>""</f>
        <v/>
      </c>
      <c r="DP1324" t="str">
        <f>""</f>
        <v/>
      </c>
      <c r="DQ1324" t="str">
        <f>""</f>
        <v/>
      </c>
      <c r="DR1324" t="str">
        <f>""</f>
        <v/>
      </c>
      <c r="DS1324" t="str">
        <f>""</f>
        <v/>
      </c>
      <c r="DT1324" t="str">
        <f>""</f>
        <v/>
      </c>
      <c r="DU1324" t="str">
        <f>""</f>
        <v/>
      </c>
    </row>
    <row r="1325" spans="1:125" x14ac:dyDescent="0.25">
      <c r="A1325" t="str">
        <f>"Rows below for column date calculation"</f>
        <v>Rows below for column date calculation</v>
      </c>
      <c r="BN1325" t="str">
        <f>""</f>
        <v/>
      </c>
      <c r="BO1325" t="str">
        <f>""</f>
        <v/>
      </c>
      <c r="BP1325" t="str">
        <f>""</f>
        <v/>
      </c>
      <c r="BQ1325" t="str">
        <f>""</f>
        <v/>
      </c>
      <c r="BR1325" t="str">
        <f>""</f>
        <v/>
      </c>
      <c r="BS1325" t="str">
        <f>""</f>
        <v/>
      </c>
      <c r="BT1325" t="str">
        <f>""</f>
        <v/>
      </c>
      <c r="BU1325" t="str">
        <f>""</f>
        <v/>
      </c>
      <c r="BV1325" t="str">
        <f>""</f>
        <v/>
      </c>
      <c r="BW1325" t="str">
        <f>""</f>
        <v/>
      </c>
      <c r="BX1325" t="str">
        <f>""</f>
        <v/>
      </c>
      <c r="BY1325" t="str">
        <f>""</f>
        <v/>
      </c>
      <c r="BZ1325" t="str">
        <f>""</f>
        <v/>
      </c>
      <c r="CA1325" t="str">
        <f>""</f>
        <v/>
      </c>
      <c r="CB1325" t="str">
        <f>""</f>
        <v/>
      </c>
      <c r="CC1325" t="str">
        <f>""</f>
        <v/>
      </c>
      <c r="CD1325" t="str">
        <f>""</f>
        <v/>
      </c>
      <c r="CE1325" t="str">
        <f>""</f>
        <v/>
      </c>
      <c r="CF1325" t="str">
        <f>""</f>
        <v/>
      </c>
      <c r="CG1325" t="str">
        <f>""</f>
        <v/>
      </c>
      <c r="CH1325" t="str">
        <f>""</f>
        <v/>
      </c>
      <c r="CI1325" t="str">
        <f>""</f>
        <v/>
      </c>
      <c r="CJ1325" t="str">
        <f>""</f>
        <v/>
      </c>
      <c r="CK1325" t="str">
        <f>""</f>
        <v/>
      </c>
      <c r="CL1325" t="str">
        <f>""</f>
        <v/>
      </c>
      <c r="CM1325" t="str">
        <f>""</f>
        <v/>
      </c>
      <c r="CN1325" t="str">
        <f>""</f>
        <v/>
      </c>
      <c r="CO1325" t="str">
        <f>""</f>
        <v/>
      </c>
      <c r="CP1325" t="str">
        <f>""</f>
        <v/>
      </c>
      <c r="CQ1325" t="str">
        <f>""</f>
        <v/>
      </c>
      <c r="CR1325" t="str">
        <f>""</f>
        <v/>
      </c>
      <c r="CS1325" t="str">
        <f>""</f>
        <v/>
      </c>
      <c r="CT1325" t="str">
        <f>""</f>
        <v/>
      </c>
      <c r="CU1325" t="str">
        <f>""</f>
        <v/>
      </c>
      <c r="CV1325" t="str">
        <f>""</f>
        <v/>
      </c>
      <c r="CW1325" t="str">
        <f>""</f>
        <v/>
      </c>
      <c r="CX1325" t="str">
        <f>""</f>
        <v/>
      </c>
      <c r="CY1325" t="str">
        <f>""</f>
        <v/>
      </c>
      <c r="CZ1325" t="str">
        <f>""</f>
        <v/>
      </c>
      <c r="DA1325" t="str">
        <f>""</f>
        <v/>
      </c>
      <c r="DB1325" t="str">
        <f>""</f>
        <v/>
      </c>
      <c r="DC1325" t="str">
        <f>""</f>
        <v/>
      </c>
      <c r="DD1325" t="str">
        <f>""</f>
        <v/>
      </c>
      <c r="DE1325" t="str">
        <f>""</f>
        <v/>
      </c>
      <c r="DF1325" t="str">
        <f>""</f>
        <v/>
      </c>
      <c r="DG1325" t="str">
        <f>""</f>
        <v/>
      </c>
      <c r="DH1325" t="str">
        <f>""</f>
        <v/>
      </c>
      <c r="DI1325" t="str">
        <f>""</f>
        <v/>
      </c>
      <c r="DJ1325" t="str">
        <f>""</f>
        <v/>
      </c>
      <c r="DK1325" t="str">
        <f>""</f>
        <v/>
      </c>
      <c r="DL1325" t="str">
        <f>""</f>
        <v/>
      </c>
      <c r="DM1325" t="str">
        <f>""</f>
        <v/>
      </c>
      <c r="DN1325" t="str">
        <f>""</f>
        <v/>
      </c>
      <c r="DO1325" t="str">
        <f>""</f>
        <v/>
      </c>
      <c r="DP1325" t="str">
        <f>""</f>
        <v/>
      </c>
      <c r="DQ1325" t="str">
        <f>""</f>
        <v/>
      </c>
      <c r="DR1325" t="str">
        <f>""</f>
        <v/>
      </c>
      <c r="DS1325" t="str">
        <f>""</f>
        <v/>
      </c>
      <c r="DT1325" t="str">
        <f>""</f>
        <v/>
      </c>
      <c r="DU1325" t="str">
        <f>""</f>
        <v/>
      </c>
    </row>
    <row r="1326" spans="1:125" x14ac:dyDescent="0.25">
      <c r="A1326" t="str">
        <f>"Downloaded at"</f>
        <v>Downloaded at</v>
      </c>
      <c r="B1326">
        <f>DATE(2019, 2,28)</f>
        <v>43524</v>
      </c>
      <c r="C1326" t="str">
        <f>""</f>
        <v/>
      </c>
      <c r="D1326" t="str">
        <f>""</f>
        <v/>
      </c>
      <c r="E1326" t="str">
        <f>""</f>
        <v/>
      </c>
      <c r="BN1326" t="str">
        <f>""</f>
        <v/>
      </c>
      <c r="BO1326" t="str">
        <f>""</f>
        <v/>
      </c>
      <c r="BP1326" t="str">
        <f>""</f>
        <v/>
      </c>
      <c r="BQ1326" t="str">
        <f>""</f>
        <v/>
      </c>
      <c r="BR1326" t="str">
        <f>""</f>
        <v/>
      </c>
      <c r="BS1326" t="str">
        <f>""</f>
        <v/>
      </c>
      <c r="BT1326" t="str">
        <f>""</f>
        <v/>
      </c>
      <c r="BU1326" t="str">
        <f>""</f>
        <v/>
      </c>
      <c r="BV1326" t="str">
        <f>""</f>
        <v/>
      </c>
      <c r="BW1326" t="str">
        <f>""</f>
        <v/>
      </c>
      <c r="BX1326" t="str">
        <f>""</f>
        <v/>
      </c>
      <c r="BY1326" t="str">
        <f>""</f>
        <v/>
      </c>
      <c r="BZ1326" t="str">
        <f>""</f>
        <v/>
      </c>
      <c r="CA1326" t="str">
        <f>""</f>
        <v/>
      </c>
      <c r="CB1326" t="str">
        <f>""</f>
        <v/>
      </c>
      <c r="CC1326" t="str">
        <f>""</f>
        <v/>
      </c>
      <c r="CD1326" t="str">
        <f>""</f>
        <v/>
      </c>
      <c r="CE1326" t="str">
        <f>""</f>
        <v/>
      </c>
      <c r="CF1326" t="str">
        <f>""</f>
        <v/>
      </c>
      <c r="CG1326" t="str">
        <f>""</f>
        <v/>
      </c>
      <c r="CH1326" t="str">
        <f>""</f>
        <v/>
      </c>
      <c r="CI1326" t="str">
        <f>""</f>
        <v/>
      </c>
      <c r="CJ1326" t="str">
        <f>""</f>
        <v/>
      </c>
      <c r="CK1326" t="str">
        <f>""</f>
        <v/>
      </c>
      <c r="CL1326" t="str">
        <f>""</f>
        <v/>
      </c>
      <c r="CM1326" t="str">
        <f>""</f>
        <v/>
      </c>
      <c r="CN1326" t="str">
        <f>""</f>
        <v/>
      </c>
      <c r="CO1326" t="str">
        <f>""</f>
        <v/>
      </c>
      <c r="CP1326" t="str">
        <f>""</f>
        <v/>
      </c>
      <c r="CQ1326" t="str">
        <f>""</f>
        <v/>
      </c>
      <c r="CR1326" t="str">
        <f>""</f>
        <v/>
      </c>
      <c r="CS1326" t="str">
        <f>""</f>
        <v/>
      </c>
      <c r="CT1326" t="str">
        <f>""</f>
        <v/>
      </c>
      <c r="CU1326" t="str">
        <f>""</f>
        <v/>
      </c>
      <c r="CV1326" t="str">
        <f>""</f>
        <v/>
      </c>
      <c r="CW1326" t="str">
        <f>""</f>
        <v/>
      </c>
      <c r="CX1326" t="str">
        <f>""</f>
        <v/>
      </c>
      <c r="CY1326" t="str">
        <f>""</f>
        <v/>
      </c>
      <c r="CZ1326" t="str">
        <f>""</f>
        <v/>
      </c>
      <c r="DA1326" t="str">
        <f>""</f>
        <v/>
      </c>
      <c r="DB1326" t="str">
        <f>""</f>
        <v/>
      </c>
      <c r="DC1326" t="str">
        <f>""</f>
        <v/>
      </c>
      <c r="DD1326" t="str">
        <f>""</f>
        <v/>
      </c>
      <c r="DE1326" t="str">
        <f>""</f>
        <v/>
      </c>
      <c r="DF1326" t="str">
        <f>""</f>
        <v/>
      </c>
      <c r="DG1326" t="str">
        <f>""</f>
        <v/>
      </c>
      <c r="DH1326" t="str">
        <f>""</f>
        <v/>
      </c>
      <c r="DI1326" t="str">
        <f>""</f>
        <v/>
      </c>
      <c r="DJ1326" t="str">
        <f>""</f>
        <v/>
      </c>
      <c r="DK1326" t="str">
        <f>""</f>
        <v/>
      </c>
      <c r="DL1326" t="str">
        <f>""</f>
        <v/>
      </c>
      <c r="DM1326" t="str">
        <f>""</f>
        <v/>
      </c>
      <c r="DN1326" t="str">
        <f>""</f>
        <v/>
      </c>
      <c r="DO1326" t="str">
        <f>""</f>
        <v/>
      </c>
      <c r="DP1326" t="str">
        <f>""</f>
        <v/>
      </c>
      <c r="DQ1326" t="str">
        <f>""</f>
        <v/>
      </c>
      <c r="DR1326" t="str">
        <f>""</f>
        <v/>
      </c>
      <c r="DS1326" t="str">
        <f>""</f>
        <v/>
      </c>
      <c r="DT1326" t="str">
        <f>""</f>
        <v/>
      </c>
      <c r="DU1326" t="str">
        <f>""</f>
        <v/>
      </c>
    </row>
    <row r="1327" spans="1:125" x14ac:dyDescent="0.25">
      <c r="A1327" t="str">
        <f>"This is End Date"</f>
        <v>This is End Date</v>
      </c>
      <c r="B1327">
        <f ca="1">$B$676</f>
        <v>43555</v>
      </c>
      <c r="C1327" t="str">
        <f>""</f>
        <v/>
      </c>
      <c r="D1327" t="str">
        <f>""</f>
        <v/>
      </c>
      <c r="E1327" t="str">
        <f>""</f>
        <v/>
      </c>
      <c r="BN1327" t="str">
        <f>""</f>
        <v/>
      </c>
      <c r="BO1327" t="str">
        <f>""</f>
        <v/>
      </c>
      <c r="BP1327" t="str">
        <f>""</f>
        <v/>
      </c>
      <c r="BQ1327" t="str">
        <f>""</f>
        <v/>
      </c>
      <c r="BR1327" t="str">
        <f>""</f>
        <v/>
      </c>
      <c r="BS1327" t="str">
        <f>""</f>
        <v/>
      </c>
      <c r="BT1327" t="str">
        <f>""</f>
        <v/>
      </c>
      <c r="BU1327" t="str">
        <f>""</f>
        <v/>
      </c>
      <c r="BV1327" t="str">
        <f>""</f>
        <v/>
      </c>
      <c r="BW1327" t="str">
        <f>""</f>
        <v/>
      </c>
      <c r="BX1327" t="str">
        <f>""</f>
        <v/>
      </c>
      <c r="BY1327" t="str">
        <f>""</f>
        <v/>
      </c>
      <c r="BZ1327" t="str">
        <f>""</f>
        <v/>
      </c>
      <c r="CA1327" t="str">
        <f>""</f>
        <v/>
      </c>
      <c r="CB1327" t="str">
        <f>""</f>
        <v/>
      </c>
      <c r="CC1327" t="str">
        <f>""</f>
        <v/>
      </c>
      <c r="CD1327" t="str">
        <f>""</f>
        <v/>
      </c>
      <c r="CE1327" t="str">
        <f>""</f>
        <v/>
      </c>
      <c r="CF1327" t="str">
        <f>""</f>
        <v/>
      </c>
      <c r="CG1327" t="str">
        <f>""</f>
        <v/>
      </c>
      <c r="CH1327" t="str">
        <f>""</f>
        <v/>
      </c>
      <c r="CI1327" t="str">
        <f>""</f>
        <v/>
      </c>
      <c r="CJ1327" t="str">
        <f>""</f>
        <v/>
      </c>
      <c r="CK1327" t="str">
        <f>""</f>
        <v/>
      </c>
      <c r="CL1327" t="str">
        <f>""</f>
        <v/>
      </c>
      <c r="CM1327" t="str">
        <f>""</f>
        <v/>
      </c>
      <c r="CN1327" t="str">
        <f>""</f>
        <v/>
      </c>
      <c r="CO1327" t="str">
        <f>""</f>
        <v/>
      </c>
      <c r="CP1327" t="str">
        <f>""</f>
        <v/>
      </c>
      <c r="CQ1327" t="str">
        <f>""</f>
        <v/>
      </c>
      <c r="CR1327" t="str">
        <f>""</f>
        <v/>
      </c>
      <c r="CS1327" t="str">
        <f>""</f>
        <v/>
      </c>
      <c r="CT1327" t="str">
        <f>""</f>
        <v/>
      </c>
      <c r="CU1327" t="str">
        <f>""</f>
        <v/>
      </c>
      <c r="CV1327" t="str">
        <f>""</f>
        <v/>
      </c>
      <c r="CW1327" t="str">
        <f>""</f>
        <v/>
      </c>
      <c r="CX1327" t="str">
        <f>""</f>
        <v/>
      </c>
      <c r="CY1327" t="str">
        <f>""</f>
        <v/>
      </c>
      <c r="CZ1327" t="str">
        <f>""</f>
        <v/>
      </c>
      <c r="DA1327" t="str">
        <f>""</f>
        <v/>
      </c>
      <c r="DB1327" t="str">
        <f>""</f>
        <v/>
      </c>
      <c r="DC1327" t="str">
        <f>""</f>
        <v/>
      </c>
      <c r="DD1327" t="str">
        <f>""</f>
        <v/>
      </c>
      <c r="DE1327" t="str">
        <f>""</f>
        <v/>
      </c>
      <c r="DF1327" t="str">
        <f>""</f>
        <v/>
      </c>
      <c r="DG1327" t="str">
        <f>""</f>
        <v/>
      </c>
      <c r="DH1327" t="str">
        <f>""</f>
        <v/>
      </c>
      <c r="DI1327" t="str">
        <f>""</f>
        <v/>
      </c>
      <c r="DJ1327" t="str">
        <f>""</f>
        <v/>
      </c>
      <c r="DK1327" t="str">
        <f>""</f>
        <v/>
      </c>
      <c r="DL1327" t="str">
        <f>""</f>
        <v/>
      </c>
      <c r="DM1327" t="str">
        <f>""</f>
        <v/>
      </c>
      <c r="DN1327" t="str">
        <f>""</f>
        <v/>
      </c>
      <c r="DO1327" t="str">
        <f>""</f>
        <v/>
      </c>
      <c r="DP1327" t="str">
        <f>""</f>
        <v/>
      </c>
      <c r="DQ1327" t="str">
        <f>""</f>
        <v/>
      </c>
      <c r="DR1327" t="str">
        <f>""</f>
        <v/>
      </c>
      <c r="DS1327" t="str">
        <f>""</f>
        <v/>
      </c>
      <c r="DT1327" t="str">
        <f>""</f>
        <v/>
      </c>
      <c r="DU1327" t="str">
        <f>""</f>
        <v/>
      </c>
    </row>
    <row r="1328" spans="1:125" x14ac:dyDescent="0.25">
      <c r="A1328" t="str">
        <f>"Description"</f>
        <v>Description</v>
      </c>
      <c r="B1328" t="str">
        <f>"Ticker"</f>
        <v>Ticker</v>
      </c>
      <c r="C1328" t="str">
        <f>"Field ID"</f>
        <v>Field ID</v>
      </c>
      <c r="D1328" t="str">
        <f>"Field Mnemonic"</f>
        <v>Field Mnemonic</v>
      </c>
      <c r="E1328" t="str">
        <f>"Data State"</f>
        <v>Data State</v>
      </c>
      <c r="BN1328" t="str">
        <f>""</f>
        <v/>
      </c>
      <c r="BO1328" t="str">
        <f>""</f>
        <v/>
      </c>
      <c r="BP1328" t="str">
        <f>""</f>
        <v/>
      </c>
      <c r="BQ1328" t="str">
        <f>""</f>
        <v/>
      </c>
      <c r="BR1328" t="str">
        <f>""</f>
        <v/>
      </c>
      <c r="BS1328" t="str">
        <f>""</f>
        <v/>
      </c>
      <c r="BT1328" t="str">
        <f>""</f>
        <v/>
      </c>
      <c r="BU1328" t="str">
        <f>""</f>
        <v/>
      </c>
      <c r="BV1328" t="str">
        <f>""</f>
        <v/>
      </c>
      <c r="BW1328" t="str">
        <f>""</f>
        <v/>
      </c>
      <c r="BX1328" t="str">
        <f>""</f>
        <v/>
      </c>
      <c r="BY1328" t="str">
        <f>""</f>
        <v/>
      </c>
      <c r="BZ1328" t="str">
        <f>""</f>
        <v/>
      </c>
      <c r="CA1328" t="str">
        <f>""</f>
        <v/>
      </c>
      <c r="CB1328" t="str">
        <f>""</f>
        <v/>
      </c>
      <c r="CC1328" t="str">
        <f>""</f>
        <v/>
      </c>
      <c r="CD1328" t="str">
        <f>""</f>
        <v/>
      </c>
      <c r="CE1328" t="str">
        <f>""</f>
        <v/>
      </c>
      <c r="CF1328" t="str">
        <f>""</f>
        <v/>
      </c>
      <c r="CG1328" t="str">
        <f>""</f>
        <v/>
      </c>
      <c r="CH1328" t="str">
        <f>""</f>
        <v/>
      </c>
      <c r="CI1328" t="str">
        <f>""</f>
        <v/>
      </c>
      <c r="CJ1328" t="str">
        <f>""</f>
        <v/>
      </c>
      <c r="CK1328" t="str">
        <f>""</f>
        <v/>
      </c>
      <c r="CL1328" t="str">
        <f>""</f>
        <v/>
      </c>
      <c r="CM1328" t="str">
        <f>""</f>
        <v/>
      </c>
      <c r="CN1328" t="str">
        <f>""</f>
        <v/>
      </c>
      <c r="CO1328" t="str">
        <f>""</f>
        <v/>
      </c>
      <c r="CP1328" t="str">
        <f>""</f>
        <v/>
      </c>
      <c r="CQ1328" t="str">
        <f>""</f>
        <v/>
      </c>
      <c r="CR1328" t="str">
        <f>""</f>
        <v/>
      </c>
      <c r="CS1328" t="str">
        <f>""</f>
        <v/>
      </c>
      <c r="CT1328" t="str">
        <f>""</f>
        <v/>
      </c>
      <c r="CU1328" t="str">
        <f>""</f>
        <v/>
      </c>
      <c r="CV1328" t="str">
        <f>""</f>
        <v/>
      </c>
      <c r="CW1328" t="str">
        <f>""</f>
        <v/>
      </c>
      <c r="CX1328" t="str">
        <f>""</f>
        <v/>
      </c>
      <c r="CY1328" t="str">
        <f>""</f>
        <v/>
      </c>
      <c r="CZ1328" t="str">
        <f>""</f>
        <v/>
      </c>
      <c r="DA1328" t="str">
        <f>""</f>
        <v/>
      </c>
      <c r="DB1328" t="str">
        <f>""</f>
        <v/>
      </c>
      <c r="DC1328" t="str">
        <f>""</f>
        <v/>
      </c>
      <c r="DD1328" t="str">
        <f>""</f>
        <v/>
      </c>
      <c r="DE1328" t="str">
        <f>""</f>
        <v/>
      </c>
      <c r="DF1328" t="str">
        <f>""</f>
        <v/>
      </c>
      <c r="DG1328" t="str">
        <f>""</f>
        <v/>
      </c>
      <c r="DH1328" t="str">
        <f>""</f>
        <v/>
      </c>
      <c r="DI1328" t="str">
        <f>""</f>
        <v/>
      </c>
      <c r="DJ1328" t="str">
        <f>""</f>
        <v/>
      </c>
      <c r="DK1328" t="str">
        <f>""</f>
        <v/>
      </c>
      <c r="DL1328" t="str">
        <f>""</f>
        <v/>
      </c>
      <c r="DM1328" t="str">
        <f>""</f>
        <v/>
      </c>
      <c r="DN1328" t="str">
        <f>""</f>
        <v/>
      </c>
      <c r="DO1328" t="str">
        <f>""</f>
        <v/>
      </c>
      <c r="DP1328" t="str">
        <f>""</f>
        <v/>
      </c>
      <c r="DQ1328" t="str">
        <f>""</f>
        <v/>
      </c>
      <c r="DR1328" t="str">
        <f>""</f>
        <v/>
      </c>
      <c r="DS1328" t="str">
        <f>""</f>
        <v/>
      </c>
      <c r="DT1328" t="str">
        <f>""</f>
        <v/>
      </c>
      <c r="DU1328" t="str">
        <f>""</f>
        <v/>
      </c>
    </row>
    <row r="1329" spans="1:125" x14ac:dyDescent="0.25">
      <c r="A1329" t="str">
        <f>"Snapshot Date"</f>
        <v>Snapshot Date</v>
      </c>
      <c r="B1329">
        <f>DATE(2019, 3,31)</f>
        <v>43555</v>
      </c>
      <c r="C1329" t="str">
        <f>""</f>
        <v/>
      </c>
      <c r="D1329" t="str">
        <f>""</f>
        <v/>
      </c>
      <c r="E1329" t="str">
        <f>""</f>
        <v/>
      </c>
      <c r="BN1329" t="str">
        <f>""</f>
        <v/>
      </c>
      <c r="BO1329" t="str">
        <f>""</f>
        <v/>
      </c>
      <c r="BP1329" t="str">
        <f>""</f>
        <v/>
      </c>
      <c r="BQ1329" t="str">
        <f>""</f>
        <v/>
      </c>
      <c r="BR1329" t="str">
        <f>""</f>
        <v/>
      </c>
      <c r="BS1329" t="str">
        <f>""</f>
        <v/>
      </c>
      <c r="BT1329" t="str">
        <f>""</f>
        <v/>
      </c>
      <c r="BU1329" t="str">
        <f>""</f>
        <v/>
      </c>
      <c r="BV1329" t="str">
        <f>""</f>
        <v/>
      </c>
      <c r="BW1329" t="str">
        <f>""</f>
        <v/>
      </c>
      <c r="BX1329" t="str">
        <f>""</f>
        <v/>
      </c>
      <c r="BY1329" t="str">
        <f>""</f>
        <v/>
      </c>
      <c r="BZ1329" t="str">
        <f>""</f>
        <v/>
      </c>
      <c r="CA1329" t="str">
        <f>""</f>
        <v/>
      </c>
      <c r="CB1329" t="str">
        <f>""</f>
        <v/>
      </c>
      <c r="CC1329" t="str">
        <f>""</f>
        <v/>
      </c>
      <c r="CD1329" t="str">
        <f>""</f>
        <v/>
      </c>
      <c r="CE1329" t="str">
        <f>""</f>
        <v/>
      </c>
      <c r="CF1329" t="str">
        <f>""</f>
        <v/>
      </c>
      <c r="CG1329" t="str">
        <f>""</f>
        <v/>
      </c>
      <c r="CH1329" t="str">
        <f>""</f>
        <v/>
      </c>
      <c r="CI1329" t="str">
        <f>""</f>
        <v/>
      </c>
      <c r="CJ1329" t="str">
        <f>""</f>
        <v/>
      </c>
      <c r="CK1329" t="str">
        <f>""</f>
        <v/>
      </c>
      <c r="CL1329" t="str">
        <f>""</f>
        <v/>
      </c>
      <c r="CM1329" t="str">
        <f>""</f>
        <v/>
      </c>
      <c r="CN1329" t="str">
        <f>""</f>
        <v/>
      </c>
      <c r="CO1329" t="str">
        <f>""</f>
        <v/>
      </c>
      <c r="CP1329" t="str">
        <f>""</f>
        <v/>
      </c>
      <c r="CQ1329" t="str">
        <f>""</f>
        <v/>
      </c>
      <c r="CR1329" t="str">
        <f>""</f>
        <v/>
      </c>
      <c r="CS1329" t="str">
        <f>""</f>
        <v/>
      </c>
      <c r="CT1329" t="str">
        <f>""</f>
        <v/>
      </c>
      <c r="CU1329" t="str">
        <f>""</f>
        <v/>
      </c>
      <c r="CV1329" t="str">
        <f>""</f>
        <v/>
      </c>
      <c r="CW1329" t="str">
        <f>""</f>
        <v/>
      </c>
      <c r="CX1329" t="str">
        <f>""</f>
        <v/>
      </c>
      <c r="CY1329" t="str">
        <f>""</f>
        <v/>
      </c>
      <c r="CZ1329" t="str">
        <f>""</f>
        <v/>
      </c>
      <c r="DA1329" t="str">
        <f>""</f>
        <v/>
      </c>
      <c r="DB1329" t="str">
        <f>""</f>
        <v/>
      </c>
      <c r="DC1329" t="str">
        <f>""</f>
        <v/>
      </c>
      <c r="DD1329" t="str">
        <f>""</f>
        <v/>
      </c>
      <c r="DE1329" t="str">
        <f>""</f>
        <v/>
      </c>
      <c r="DF1329" t="str">
        <f>""</f>
        <v/>
      </c>
      <c r="DG1329" t="str">
        <f>""</f>
        <v/>
      </c>
      <c r="DH1329" t="str">
        <f>""</f>
        <v/>
      </c>
      <c r="DI1329" t="str">
        <f>""</f>
        <v/>
      </c>
      <c r="DJ1329" t="str">
        <f>""</f>
        <v/>
      </c>
      <c r="DK1329" t="str">
        <f>""</f>
        <v/>
      </c>
      <c r="DL1329" t="str">
        <f>""</f>
        <v/>
      </c>
      <c r="DM1329" t="str">
        <f>""</f>
        <v/>
      </c>
      <c r="DN1329" t="str">
        <f>""</f>
        <v/>
      </c>
      <c r="DO1329" t="str">
        <f>""</f>
        <v/>
      </c>
      <c r="DP1329" t="str">
        <f>""</f>
        <v/>
      </c>
      <c r="DQ1329" t="str">
        <f>""</f>
        <v/>
      </c>
      <c r="DR1329" t="str">
        <f>""</f>
        <v/>
      </c>
      <c r="DS1329" t="str">
        <f>""</f>
        <v/>
      </c>
      <c r="DT1329" t="str">
        <f>""</f>
        <v/>
      </c>
      <c r="DU1329" t="str">
        <f>""</f>
        <v/>
      </c>
    </row>
    <row r="1330" spans="1:125" x14ac:dyDescent="0.25">
      <c r="A1330" t="str">
        <f>"Snapshot header"</f>
        <v>Snapshot header</v>
      </c>
      <c r="B1330">
        <f>2</f>
        <v>2</v>
      </c>
      <c r="C1330" t="str">
        <f>"2019 Q1"</f>
        <v>2019 Q1</v>
      </c>
      <c r="D1330" t="str">
        <f>"2018 Q4"</f>
        <v>2018 Q4</v>
      </c>
      <c r="E1330" t="str">
        <f>"2018 Q3"</f>
        <v>2018 Q3</v>
      </c>
      <c r="F1330" t="str">
        <f>"2018 Q2"</f>
        <v>2018 Q2</v>
      </c>
      <c r="G1330" t="str">
        <f>"2018 Q1"</f>
        <v>2018 Q1</v>
      </c>
      <c r="H1330" t="str">
        <f>"2017 Q4"</f>
        <v>2017 Q4</v>
      </c>
      <c r="I1330" t="str">
        <f>"2017 Q3"</f>
        <v>2017 Q3</v>
      </c>
      <c r="J1330" t="str">
        <f>"2017 Q2"</f>
        <v>2017 Q2</v>
      </c>
      <c r="K1330" t="str">
        <f>"2017 Q1"</f>
        <v>2017 Q1</v>
      </c>
      <c r="L1330" t="str">
        <f>"2016 Q4"</f>
        <v>2016 Q4</v>
      </c>
      <c r="M1330" t="str">
        <f>"2016 Q3"</f>
        <v>2016 Q3</v>
      </c>
      <c r="N1330" t="str">
        <f>"2016 Q2"</f>
        <v>2016 Q2</v>
      </c>
      <c r="O1330" t="str">
        <f>"2016 Q1"</f>
        <v>2016 Q1</v>
      </c>
      <c r="P1330" t="str">
        <f>"2015 Q4"</f>
        <v>2015 Q4</v>
      </c>
      <c r="Q1330" t="str">
        <f>"2015 Q3"</f>
        <v>2015 Q3</v>
      </c>
      <c r="R1330" t="str">
        <f>"2015 Q2"</f>
        <v>2015 Q2</v>
      </c>
      <c r="S1330" t="str">
        <f>"2015 Q1"</f>
        <v>2015 Q1</v>
      </c>
      <c r="T1330" t="str">
        <f>"2014 Q4"</f>
        <v>2014 Q4</v>
      </c>
      <c r="U1330" t="str">
        <f>"2014 Q3"</f>
        <v>2014 Q3</v>
      </c>
      <c r="V1330" t="str">
        <f>"2014 Q2"</f>
        <v>2014 Q2</v>
      </c>
      <c r="W1330" t="str">
        <f>"2014 Q1"</f>
        <v>2014 Q1</v>
      </c>
      <c r="X1330" t="str">
        <f>"2013 Q4"</f>
        <v>2013 Q4</v>
      </c>
      <c r="Y1330" t="str">
        <f>"2013 Q3"</f>
        <v>2013 Q3</v>
      </c>
      <c r="Z1330" t="str">
        <f>"2013 Q2"</f>
        <v>2013 Q2</v>
      </c>
      <c r="AA1330" t="str">
        <f>"2013 Q1"</f>
        <v>2013 Q1</v>
      </c>
      <c r="AB1330" t="str">
        <f>"2012 Q4"</f>
        <v>2012 Q4</v>
      </c>
      <c r="AC1330" t="str">
        <f>"2012 Q3"</f>
        <v>2012 Q3</v>
      </c>
      <c r="AD1330" t="str">
        <f>"2012 Q2"</f>
        <v>2012 Q2</v>
      </c>
      <c r="AE1330" t="str">
        <f>"2012 Q1"</f>
        <v>2012 Q1</v>
      </c>
      <c r="AF1330" t="str">
        <f>"2011 Q4"</f>
        <v>2011 Q4</v>
      </c>
      <c r="AG1330" t="str">
        <f>"2011 Q3"</f>
        <v>2011 Q3</v>
      </c>
      <c r="AH1330" t="str">
        <f>"2011 Q2"</f>
        <v>2011 Q2</v>
      </c>
      <c r="AI1330" t="str">
        <f>"2011 Q1"</f>
        <v>2011 Q1</v>
      </c>
      <c r="AJ1330" t="str">
        <f>"2010 Q4"</f>
        <v>2010 Q4</v>
      </c>
      <c r="AK1330" t="str">
        <f>"2010 Q3"</f>
        <v>2010 Q3</v>
      </c>
      <c r="AL1330" t="str">
        <f>"2010 Q2"</f>
        <v>2010 Q2</v>
      </c>
      <c r="AM1330" t="str">
        <f>"2010 Q1"</f>
        <v>2010 Q1</v>
      </c>
      <c r="AN1330" t="str">
        <f>"2009 Q4"</f>
        <v>2009 Q4</v>
      </c>
      <c r="AO1330" t="str">
        <f>"2009 Q3"</f>
        <v>2009 Q3</v>
      </c>
      <c r="AP1330" t="str">
        <f>"2009 Q2"</f>
        <v>2009 Q2</v>
      </c>
      <c r="AQ1330" t="str">
        <f>"2009 Q1"</f>
        <v>2009 Q1</v>
      </c>
      <c r="AR1330" t="str">
        <f>"2008 Q4"</f>
        <v>2008 Q4</v>
      </c>
      <c r="AS1330" t="str">
        <f>"2008 Q3"</f>
        <v>2008 Q3</v>
      </c>
      <c r="AT1330" t="str">
        <f>"2008 Q2"</f>
        <v>2008 Q2</v>
      </c>
      <c r="AU1330" t="str">
        <f>"2008 Q1"</f>
        <v>2008 Q1</v>
      </c>
      <c r="AV1330" t="str">
        <f>"2007 Q4"</f>
        <v>2007 Q4</v>
      </c>
      <c r="AW1330" t="str">
        <f>"2007 Q3"</f>
        <v>2007 Q3</v>
      </c>
      <c r="AX1330" t="str">
        <f>"2007 Q2"</f>
        <v>2007 Q2</v>
      </c>
      <c r="AY1330" t="str">
        <f>"2007 Q1"</f>
        <v>2007 Q1</v>
      </c>
      <c r="AZ1330" t="str">
        <f>"2006 Q4"</f>
        <v>2006 Q4</v>
      </c>
      <c r="BA1330" t="str">
        <f>"2006 Q3"</f>
        <v>2006 Q3</v>
      </c>
      <c r="BB1330" t="str">
        <f>"2006 Q2"</f>
        <v>2006 Q2</v>
      </c>
      <c r="BC1330" t="str">
        <f>"2006 Q1"</f>
        <v>2006 Q1</v>
      </c>
      <c r="BD1330" t="str">
        <f>"2005 Q4"</f>
        <v>2005 Q4</v>
      </c>
      <c r="BE1330" t="str">
        <f>"2005 Q3"</f>
        <v>2005 Q3</v>
      </c>
      <c r="BF1330" t="str">
        <f>"2005 Q2"</f>
        <v>2005 Q2</v>
      </c>
      <c r="BG1330" t="str">
        <f>"2005 Q1"</f>
        <v>2005 Q1</v>
      </c>
      <c r="BH1330" t="str">
        <f>"2004 Q4"</f>
        <v>2004 Q4</v>
      </c>
      <c r="BI1330" t="str">
        <f>"2004 Q3"</f>
        <v>2004 Q3</v>
      </c>
      <c r="BJ1330" t="str">
        <f>"2004 Q2"</f>
        <v>2004 Q2</v>
      </c>
      <c r="BN1330" t="str">
        <f>""</f>
        <v/>
      </c>
      <c r="BO1330" t="str">
        <f>""</f>
        <v/>
      </c>
      <c r="BP1330" t="str">
        <f>""</f>
        <v/>
      </c>
      <c r="BQ1330" t="str">
        <f>""</f>
        <v/>
      </c>
      <c r="BR1330" t="str">
        <f>""</f>
        <v/>
      </c>
      <c r="BS1330" t="str">
        <f>""</f>
        <v/>
      </c>
      <c r="BT1330" t="str">
        <f>""</f>
        <v/>
      </c>
      <c r="BU1330" t="str">
        <f>""</f>
        <v/>
      </c>
      <c r="BV1330" t="str">
        <f>""</f>
        <v/>
      </c>
      <c r="BW1330" t="str">
        <f>""</f>
        <v/>
      </c>
      <c r="BX1330" t="str">
        <f>""</f>
        <v/>
      </c>
      <c r="BY1330" t="str">
        <f>""</f>
        <v/>
      </c>
      <c r="BZ1330" t="str">
        <f>""</f>
        <v/>
      </c>
      <c r="CA1330" t="str">
        <f>""</f>
        <v/>
      </c>
      <c r="CB1330" t="str">
        <f>""</f>
        <v/>
      </c>
      <c r="CC1330" t="str">
        <f>""</f>
        <v/>
      </c>
      <c r="CD1330" t="str">
        <f>""</f>
        <v/>
      </c>
      <c r="CE1330" t="str">
        <f>""</f>
        <v/>
      </c>
      <c r="CF1330" t="str">
        <f>""</f>
        <v/>
      </c>
      <c r="CG1330" t="str">
        <f>""</f>
        <v/>
      </c>
      <c r="CH1330" t="str">
        <f>""</f>
        <v/>
      </c>
      <c r="CI1330" t="str">
        <f>""</f>
        <v/>
      </c>
      <c r="CJ1330" t="str">
        <f>""</f>
        <v/>
      </c>
      <c r="CK1330" t="str">
        <f>""</f>
        <v/>
      </c>
      <c r="CL1330" t="str">
        <f>""</f>
        <v/>
      </c>
      <c r="CM1330" t="str">
        <f>""</f>
        <v/>
      </c>
      <c r="CN1330" t="str">
        <f>""</f>
        <v/>
      </c>
      <c r="CO1330" t="str">
        <f>""</f>
        <v/>
      </c>
      <c r="CP1330" t="str">
        <f>""</f>
        <v/>
      </c>
      <c r="CQ1330" t="str">
        <f>""</f>
        <v/>
      </c>
      <c r="CR1330" t="str">
        <f>""</f>
        <v/>
      </c>
      <c r="CS1330" t="str">
        <f>""</f>
        <v/>
      </c>
      <c r="CT1330" t="str">
        <f>""</f>
        <v/>
      </c>
      <c r="CU1330" t="str">
        <f>""</f>
        <v/>
      </c>
      <c r="CV1330" t="str">
        <f>""</f>
        <v/>
      </c>
      <c r="CW1330" t="str">
        <f>""</f>
        <v/>
      </c>
      <c r="CX1330" t="str">
        <f>""</f>
        <v/>
      </c>
      <c r="CY1330" t="str">
        <f>""</f>
        <v/>
      </c>
      <c r="CZ1330" t="str">
        <f>""</f>
        <v/>
      </c>
      <c r="DA1330" t="str">
        <f>""</f>
        <v/>
      </c>
      <c r="DB1330" t="str">
        <f>""</f>
        <v/>
      </c>
      <c r="DC1330" t="str">
        <f>""</f>
        <v/>
      </c>
      <c r="DD1330" t="str">
        <f>""</f>
        <v/>
      </c>
      <c r="DE1330" t="str">
        <f>""</f>
        <v/>
      </c>
      <c r="DF1330" t="str">
        <f>""</f>
        <v/>
      </c>
      <c r="DG1330" t="str">
        <f>""</f>
        <v/>
      </c>
      <c r="DH1330" t="str">
        <f>""</f>
        <v/>
      </c>
      <c r="DI1330" t="str">
        <f>""</f>
        <v/>
      </c>
      <c r="DJ1330" t="str">
        <f>""</f>
        <v/>
      </c>
      <c r="DK1330" t="str">
        <f>""</f>
        <v/>
      </c>
      <c r="DL1330" t="str">
        <f>""</f>
        <v/>
      </c>
      <c r="DM1330" t="str">
        <f>""</f>
        <v/>
      </c>
      <c r="DN1330" t="str">
        <f>""</f>
        <v/>
      </c>
      <c r="DO1330" t="str">
        <f>""</f>
        <v/>
      </c>
      <c r="DP1330" t="str">
        <f>""</f>
        <v/>
      </c>
      <c r="DQ1330" t="str">
        <f>""</f>
        <v/>
      </c>
      <c r="DR1330" t="str">
        <f>""</f>
        <v/>
      </c>
      <c r="DS1330" t="str">
        <f>""</f>
        <v/>
      </c>
      <c r="DT1330" t="str">
        <f>""</f>
        <v/>
      </c>
      <c r="DU1330" t="str">
        <f>""</f>
        <v/>
      </c>
    </row>
    <row r="1331" spans="1:125" x14ac:dyDescent="0.25">
      <c r="A1331" t="str">
        <f>"BDH snapshot header0"</f>
        <v>BDH snapshot header0</v>
      </c>
      <c r="B1331">
        <f>IF(OR(ISERROR($C$1331),ISBLANK($C$1331),ISNUMBER(SEARCH("N/A",$C$1331) ),ISERROR($C$1332),ISBLANK($C$1332)),0,1)</f>
        <v>0</v>
      </c>
      <c r="C1331" t="str">
        <f>_xll.BDH($B$5,$C$5,$B$675,$B$1329,"PER=CQ","Dts=S","DtFmt=FI", "rows=2","Dir=H","Points=60","Sort=R","Days=A","Fill=B","FX=USD" )</f>
        <v>#N/A Connection</v>
      </c>
      <c r="BN1331" t="str">
        <f>""</f>
        <v/>
      </c>
      <c r="BO1331" t="str">
        <f>""</f>
        <v/>
      </c>
      <c r="BP1331" t="str">
        <f>""</f>
        <v/>
      </c>
      <c r="BQ1331" t="str">
        <f>""</f>
        <v/>
      </c>
      <c r="BR1331" t="str">
        <f>""</f>
        <v/>
      </c>
      <c r="BS1331" t="str">
        <f>""</f>
        <v/>
      </c>
      <c r="BT1331" t="str">
        <f>""</f>
        <v/>
      </c>
      <c r="BU1331" t="str">
        <f>""</f>
        <v/>
      </c>
      <c r="BV1331" t="str">
        <f>""</f>
        <v/>
      </c>
      <c r="BW1331" t="str">
        <f>""</f>
        <v/>
      </c>
      <c r="BX1331" t="str">
        <f>""</f>
        <v/>
      </c>
      <c r="BY1331" t="str">
        <f>""</f>
        <v/>
      </c>
      <c r="BZ1331" t="str">
        <f>""</f>
        <v/>
      </c>
      <c r="CA1331" t="str">
        <f>""</f>
        <v/>
      </c>
      <c r="CB1331" t="str">
        <f>""</f>
        <v/>
      </c>
      <c r="CC1331" t="str">
        <f>""</f>
        <v/>
      </c>
      <c r="CD1331" t="str">
        <f>""</f>
        <v/>
      </c>
      <c r="CE1331" t="str">
        <f>""</f>
        <v/>
      </c>
      <c r="CF1331" t="str">
        <f>""</f>
        <v/>
      </c>
      <c r="CG1331" t="str">
        <f>""</f>
        <v/>
      </c>
      <c r="CH1331" t="str">
        <f>""</f>
        <v/>
      </c>
      <c r="CI1331" t="str">
        <f>""</f>
        <v/>
      </c>
      <c r="CJ1331" t="str">
        <f>""</f>
        <v/>
      </c>
      <c r="CK1331" t="str">
        <f>""</f>
        <v/>
      </c>
      <c r="CL1331" t="str">
        <f>""</f>
        <v/>
      </c>
      <c r="CM1331" t="str">
        <f>""</f>
        <v/>
      </c>
      <c r="CN1331" t="str">
        <f>""</f>
        <v/>
      </c>
      <c r="CO1331" t="str">
        <f>""</f>
        <v/>
      </c>
      <c r="CP1331" t="str">
        <f>""</f>
        <v/>
      </c>
      <c r="CQ1331" t="str">
        <f>""</f>
        <v/>
      </c>
      <c r="CR1331" t="str">
        <f>""</f>
        <v/>
      </c>
      <c r="CS1331" t="str">
        <f>""</f>
        <v/>
      </c>
      <c r="CT1331" t="str">
        <f>""</f>
        <v/>
      </c>
      <c r="CU1331" t="str">
        <f>""</f>
        <v/>
      </c>
      <c r="CV1331" t="str">
        <f>""</f>
        <v/>
      </c>
      <c r="CW1331" t="str">
        <f>""</f>
        <v/>
      </c>
      <c r="CX1331" t="str">
        <f>""</f>
        <v/>
      </c>
      <c r="CY1331" t="str">
        <f>""</f>
        <v/>
      </c>
      <c r="CZ1331" t="str">
        <f>""</f>
        <v/>
      </c>
      <c r="DA1331" t="str">
        <f>""</f>
        <v/>
      </c>
      <c r="DB1331" t="str">
        <f>""</f>
        <v/>
      </c>
      <c r="DC1331" t="str">
        <f>""</f>
        <v/>
      </c>
      <c r="DD1331" t="str">
        <f>""</f>
        <v/>
      </c>
      <c r="DE1331" t="str">
        <f>""</f>
        <v/>
      </c>
      <c r="DF1331" t="str">
        <f>""</f>
        <v/>
      </c>
      <c r="DG1331" t="str">
        <f>""</f>
        <v/>
      </c>
      <c r="DH1331" t="str">
        <f>""</f>
        <v/>
      </c>
      <c r="DI1331" t="str">
        <f>""</f>
        <v/>
      </c>
      <c r="DJ1331" t="str">
        <f>""</f>
        <v/>
      </c>
      <c r="DK1331" t="str">
        <f>""</f>
        <v/>
      </c>
      <c r="DL1331" t="str">
        <f>""</f>
        <v/>
      </c>
      <c r="DM1331" t="str">
        <f>""</f>
        <v/>
      </c>
      <c r="DN1331" t="str">
        <f>""</f>
        <v/>
      </c>
      <c r="DO1331" t="str">
        <f>""</f>
        <v/>
      </c>
      <c r="DP1331" t="str">
        <f>""</f>
        <v/>
      </c>
      <c r="DQ1331" t="str">
        <f>""</f>
        <v/>
      </c>
      <c r="DR1331" t="str">
        <f>""</f>
        <v/>
      </c>
      <c r="DS1331" t="str">
        <f>""</f>
        <v/>
      </c>
      <c r="DT1331" t="str">
        <f>""</f>
        <v/>
      </c>
      <c r="DU1331" t="str">
        <f>""</f>
        <v/>
      </c>
    </row>
    <row r="1332" spans="1:125" x14ac:dyDescent="0.25">
      <c r="A1332" t="str">
        <f>"BDH snapshot result0"</f>
        <v>BDH snapshot result0</v>
      </c>
      <c r="BN1332" t="str">
        <f>""</f>
        <v/>
      </c>
      <c r="BO1332" t="str">
        <f>""</f>
        <v/>
      </c>
      <c r="BP1332" t="str">
        <f>""</f>
        <v/>
      </c>
      <c r="BQ1332" t="str">
        <f>""</f>
        <v/>
      </c>
      <c r="BR1332" t="str">
        <f>""</f>
        <v/>
      </c>
      <c r="BS1332" t="str">
        <f>""</f>
        <v/>
      </c>
      <c r="BT1332" t="str">
        <f>""</f>
        <v/>
      </c>
      <c r="BU1332" t="str">
        <f>""</f>
        <v/>
      </c>
      <c r="BV1332" t="str">
        <f>""</f>
        <v/>
      </c>
      <c r="BW1332" t="str">
        <f>""</f>
        <v/>
      </c>
      <c r="BX1332" t="str">
        <f>""</f>
        <v/>
      </c>
      <c r="BY1332" t="str">
        <f>""</f>
        <v/>
      </c>
      <c r="BZ1332" t="str">
        <f>""</f>
        <v/>
      </c>
      <c r="CA1332" t="str">
        <f>""</f>
        <v/>
      </c>
      <c r="CB1332" t="str">
        <f>""</f>
        <v/>
      </c>
      <c r="CC1332" t="str">
        <f>""</f>
        <v/>
      </c>
      <c r="CD1332" t="str">
        <f>""</f>
        <v/>
      </c>
      <c r="CE1332" t="str">
        <f>""</f>
        <v/>
      </c>
      <c r="CF1332" t="str">
        <f>""</f>
        <v/>
      </c>
      <c r="CG1332" t="str">
        <f>""</f>
        <v/>
      </c>
      <c r="CH1332" t="str">
        <f>""</f>
        <v/>
      </c>
      <c r="CI1332" t="str">
        <f>""</f>
        <v/>
      </c>
      <c r="CJ1332" t="str">
        <f>""</f>
        <v/>
      </c>
      <c r="CK1332" t="str">
        <f>""</f>
        <v/>
      </c>
      <c r="CL1332" t="str">
        <f>""</f>
        <v/>
      </c>
      <c r="CM1332" t="str">
        <f>""</f>
        <v/>
      </c>
      <c r="CN1332" t="str">
        <f>""</f>
        <v/>
      </c>
      <c r="CO1332" t="str">
        <f>""</f>
        <v/>
      </c>
      <c r="CP1332" t="str">
        <f>""</f>
        <v/>
      </c>
      <c r="CQ1332" t="str">
        <f>""</f>
        <v/>
      </c>
      <c r="CR1332" t="str">
        <f>""</f>
        <v/>
      </c>
      <c r="CS1332" t="str">
        <f>""</f>
        <v/>
      </c>
      <c r="CT1332" t="str">
        <f>""</f>
        <v/>
      </c>
      <c r="CU1332" t="str">
        <f>""</f>
        <v/>
      </c>
      <c r="CV1332" t="str">
        <f>""</f>
        <v/>
      </c>
      <c r="CW1332" t="str">
        <f>""</f>
        <v/>
      </c>
      <c r="CX1332" t="str">
        <f>""</f>
        <v/>
      </c>
      <c r="CY1332" t="str">
        <f>""</f>
        <v/>
      </c>
      <c r="CZ1332" t="str">
        <f>""</f>
        <v/>
      </c>
      <c r="DA1332" t="str">
        <f>""</f>
        <v/>
      </c>
      <c r="DB1332" t="str">
        <f>""</f>
        <v/>
      </c>
      <c r="DC1332" t="str">
        <f>""</f>
        <v/>
      </c>
      <c r="DD1332" t="str">
        <f>""</f>
        <v/>
      </c>
      <c r="DE1332" t="str">
        <f>""</f>
        <v/>
      </c>
      <c r="DF1332" t="str">
        <f>""</f>
        <v/>
      </c>
      <c r="DG1332" t="str">
        <f>""</f>
        <v/>
      </c>
      <c r="DH1332" t="str">
        <f>""</f>
        <v/>
      </c>
      <c r="DI1332" t="str">
        <f>""</f>
        <v/>
      </c>
      <c r="DJ1332" t="str">
        <f>""</f>
        <v/>
      </c>
      <c r="DK1332" t="str">
        <f>""</f>
        <v/>
      </c>
      <c r="DL1332" t="str">
        <f>""</f>
        <v/>
      </c>
      <c r="DM1332" t="str">
        <f>""</f>
        <v/>
      </c>
      <c r="DN1332" t="str">
        <f>""</f>
        <v/>
      </c>
      <c r="DO1332" t="str">
        <f>""</f>
        <v/>
      </c>
      <c r="DP1332" t="str">
        <f>""</f>
        <v/>
      </c>
      <c r="DQ1332" t="str">
        <f>""</f>
        <v/>
      </c>
      <c r="DR1332" t="str">
        <f>""</f>
        <v/>
      </c>
      <c r="DS1332" t="str">
        <f>""</f>
        <v/>
      </c>
      <c r="DT1332" t="str">
        <f>""</f>
        <v/>
      </c>
      <c r="DU1332" t="str">
        <f>""</f>
        <v/>
      </c>
    </row>
    <row r="1333" spans="1:125" x14ac:dyDescent="0.25">
      <c r="A1333" t="str">
        <f>"BDH snapshot header1"</f>
        <v>BDH snapshot header1</v>
      </c>
      <c r="B1333">
        <f>IF(OR(ISERROR($C$1333),ISBLANK($C$1333),ISNUMBER(SEARCH("N/A",$C$1333) ),ISERROR($C$1334),ISBLANK($C$1334)),0,1)</f>
        <v>0</v>
      </c>
      <c r="C1333" t="str">
        <f>_xll.BDH($B$6,$C$6,$B$675,$B$1329,"PER=CQ","Dts=S","DtFmt=FI", "rows=2","Dir=H","Points=60","Sort=R","Days=A","Fill=B","FX=USD" )</f>
        <v>#N/A Connection</v>
      </c>
      <c r="BN1333" t="str">
        <f>""</f>
        <v/>
      </c>
      <c r="BO1333" t="str">
        <f>""</f>
        <v/>
      </c>
      <c r="BP1333" t="str">
        <f>""</f>
        <v/>
      </c>
      <c r="BQ1333" t="str">
        <f>""</f>
        <v/>
      </c>
      <c r="BR1333" t="str">
        <f>""</f>
        <v/>
      </c>
      <c r="BS1333" t="str">
        <f>""</f>
        <v/>
      </c>
      <c r="BT1333" t="str">
        <f>""</f>
        <v/>
      </c>
      <c r="BU1333" t="str">
        <f>""</f>
        <v/>
      </c>
      <c r="BV1333" t="str">
        <f>""</f>
        <v/>
      </c>
      <c r="BW1333" t="str">
        <f>""</f>
        <v/>
      </c>
      <c r="BX1333" t="str">
        <f>""</f>
        <v/>
      </c>
      <c r="BY1333" t="str">
        <f>""</f>
        <v/>
      </c>
      <c r="BZ1333" t="str">
        <f>""</f>
        <v/>
      </c>
      <c r="CA1333" t="str">
        <f>""</f>
        <v/>
      </c>
      <c r="CB1333" t="str">
        <f>""</f>
        <v/>
      </c>
      <c r="CC1333" t="str">
        <f>""</f>
        <v/>
      </c>
      <c r="CD1333" t="str">
        <f>""</f>
        <v/>
      </c>
      <c r="CE1333" t="str">
        <f>""</f>
        <v/>
      </c>
      <c r="CF1333" t="str">
        <f>""</f>
        <v/>
      </c>
      <c r="CG1333" t="str">
        <f>""</f>
        <v/>
      </c>
      <c r="CH1333" t="str">
        <f>""</f>
        <v/>
      </c>
      <c r="CI1333" t="str">
        <f>""</f>
        <v/>
      </c>
      <c r="CJ1333" t="str">
        <f>""</f>
        <v/>
      </c>
      <c r="CK1333" t="str">
        <f>""</f>
        <v/>
      </c>
      <c r="CL1333" t="str">
        <f>""</f>
        <v/>
      </c>
      <c r="CM1333" t="str">
        <f>""</f>
        <v/>
      </c>
      <c r="CN1333" t="str">
        <f>""</f>
        <v/>
      </c>
      <c r="CO1333" t="str">
        <f>""</f>
        <v/>
      </c>
      <c r="CP1333" t="str">
        <f>""</f>
        <v/>
      </c>
      <c r="CQ1333" t="str">
        <f>""</f>
        <v/>
      </c>
      <c r="CR1333" t="str">
        <f>""</f>
        <v/>
      </c>
      <c r="CS1333" t="str">
        <f>""</f>
        <v/>
      </c>
      <c r="CT1333" t="str">
        <f>""</f>
        <v/>
      </c>
      <c r="CU1333" t="str">
        <f>""</f>
        <v/>
      </c>
      <c r="CV1333" t="str">
        <f>""</f>
        <v/>
      </c>
      <c r="CW1333" t="str">
        <f>""</f>
        <v/>
      </c>
      <c r="CX1333" t="str">
        <f>""</f>
        <v/>
      </c>
      <c r="CY1333" t="str">
        <f>""</f>
        <v/>
      </c>
      <c r="CZ1333" t="str">
        <f>""</f>
        <v/>
      </c>
      <c r="DA1333" t="str">
        <f>""</f>
        <v/>
      </c>
      <c r="DB1333" t="str">
        <f>""</f>
        <v/>
      </c>
      <c r="DC1333" t="str">
        <f>""</f>
        <v/>
      </c>
      <c r="DD1333" t="str">
        <f>""</f>
        <v/>
      </c>
      <c r="DE1333" t="str">
        <f>""</f>
        <v/>
      </c>
      <c r="DF1333" t="str">
        <f>""</f>
        <v/>
      </c>
      <c r="DG1333" t="str">
        <f>""</f>
        <v/>
      </c>
      <c r="DH1333" t="str">
        <f>""</f>
        <v/>
      </c>
      <c r="DI1333" t="str">
        <f>""</f>
        <v/>
      </c>
      <c r="DJ1333" t="str">
        <f>""</f>
        <v/>
      </c>
      <c r="DK1333" t="str">
        <f>""</f>
        <v/>
      </c>
      <c r="DL1333" t="str">
        <f>""</f>
        <v/>
      </c>
      <c r="DM1333" t="str">
        <f>""</f>
        <v/>
      </c>
      <c r="DN1333" t="str">
        <f>""</f>
        <v/>
      </c>
      <c r="DO1333" t="str">
        <f>""</f>
        <v/>
      </c>
      <c r="DP1333" t="str">
        <f>""</f>
        <v/>
      </c>
      <c r="DQ1333" t="str">
        <f>""</f>
        <v/>
      </c>
      <c r="DR1333" t="str">
        <f>""</f>
        <v/>
      </c>
      <c r="DS1333" t="str">
        <f>""</f>
        <v/>
      </c>
      <c r="DT1333" t="str">
        <f>""</f>
        <v/>
      </c>
      <c r="DU1333" t="str">
        <f>""</f>
        <v/>
      </c>
    </row>
    <row r="1334" spans="1:125" x14ac:dyDescent="0.25">
      <c r="A1334" t="str">
        <f>"BDH snapshot result1"</f>
        <v>BDH snapshot result1</v>
      </c>
      <c r="BN1334" t="str">
        <f>""</f>
        <v/>
      </c>
      <c r="BO1334" t="str">
        <f>""</f>
        <v/>
      </c>
      <c r="BP1334" t="str">
        <f>""</f>
        <v/>
      </c>
      <c r="BQ1334" t="str">
        <f>""</f>
        <v/>
      </c>
      <c r="BR1334" t="str">
        <f>""</f>
        <v/>
      </c>
      <c r="BS1334" t="str">
        <f>""</f>
        <v/>
      </c>
      <c r="BT1334" t="str">
        <f>""</f>
        <v/>
      </c>
      <c r="BU1334" t="str">
        <f>""</f>
        <v/>
      </c>
      <c r="BV1334" t="str">
        <f>""</f>
        <v/>
      </c>
      <c r="BW1334" t="str">
        <f>""</f>
        <v/>
      </c>
      <c r="BX1334" t="str">
        <f>""</f>
        <v/>
      </c>
      <c r="BY1334" t="str">
        <f>""</f>
        <v/>
      </c>
      <c r="BZ1334" t="str">
        <f>""</f>
        <v/>
      </c>
      <c r="CA1334" t="str">
        <f>""</f>
        <v/>
      </c>
      <c r="CB1334" t="str">
        <f>""</f>
        <v/>
      </c>
      <c r="CC1334" t="str">
        <f>""</f>
        <v/>
      </c>
      <c r="CD1334" t="str">
        <f>""</f>
        <v/>
      </c>
      <c r="CE1334" t="str">
        <f>""</f>
        <v/>
      </c>
      <c r="CF1334" t="str">
        <f>""</f>
        <v/>
      </c>
      <c r="CG1334" t="str">
        <f>""</f>
        <v/>
      </c>
      <c r="CH1334" t="str">
        <f>""</f>
        <v/>
      </c>
      <c r="CI1334" t="str">
        <f>""</f>
        <v/>
      </c>
      <c r="CJ1334" t="str">
        <f>""</f>
        <v/>
      </c>
      <c r="CK1334" t="str">
        <f>""</f>
        <v/>
      </c>
      <c r="CL1334" t="str">
        <f>""</f>
        <v/>
      </c>
      <c r="CM1334" t="str">
        <f>""</f>
        <v/>
      </c>
      <c r="CN1334" t="str">
        <f>""</f>
        <v/>
      </c>
      <c r="CO1334" t="str">
        <f>""</f>
        <v/>
      </c>
      <c r="CP1334" t="str">
        <f>""</f>
        <v/>
      </c>
      <c r="CQ1334" t="str">
        <f>""</f>
        <v/>
      </c>
      <c r="CR1334" t="str">
        <f>""</f>
        <v/>
      </c>
      <c r="CS1334" t="str">
        <f>""</f>
        <v/>
      </c>
      <c r="CT1334" t="str">
        <f>""</f>
        <v/>
      </c>
      <c r="CU1334" t="str">
        <f>""</f>
        <v/>
      </c>
      <c r="CV1334" t="str">
        <f>""</f>
        <v/>
      </c>
      <c r="CW1334" t="str">
        <f>""</f>
        <v/>
      </c>
      <c r="CX1334" t="str">
        <f>""</f>
        <v/>
      </c>
      <c r="CY1334" t="str">
        <f>""</f>
        <v/>
      </c>
      <c r="CZ1334" t="str">
        <f>""</f>
        <v/>
      </c>
      <c r="DA1334" t="str">
        <f>""</f>
        <v/>
      </c>
      <c r="DB1334" t="str">
        <f>""</f>
        <v/>
      </c>
      <c r="DC1334" t="str">
        <f>""</f>
        <v/>
      </c>
      <c r="DD1334" t="str">
        <f>""</f>
        <v/>
      </c>
      <c r="DE1334" t="str">
        <f>""</f>
        <v/>
      </c>
      <c r="DF1334" t="str">
        <f>""</f>
        <v/>
      </c>
      <c r="DG1334" t="str">
        <f>""</f>
        <v/>
      </c>
      <c r="DH1334" t="str">
        <f>""</f>
        <v/>
      </c>
      <c r="DI1334" t="str">
        <f>""</f>
        <v/>
      </c>
      <c r="DJ1334" t="str">
        <f>""</f>
        <v/>
      </c>
      <c r="DK1334" t="str">
        <f>""</f>
        <v/>
      </c>
      <c r="DL1334" t="str">
        <f>""</f>
        <v/>
      </c>
      <c r="DM1334" t="str">
        <f>""</f>
        <v/>
      </c>
      <c r="DN1334" t="str">
        <f>""</f>
        <v/>
      </c>
      <c r="DO1334" t="str">
        <f>""</f>
        <v/>
      </c>
      <c r="DP1334" t="str">
        <f>""</f>
        <v/>
      </c>
      <c r="DQ1334" t="str">
        <f>""</f>
        <v/>
      </c>
      <c r="DR1334" t="str">
        <f>""</f>
        <v/>
      </c>
      <c r="DS1334" t="str">
        <f>""</f>
        <v/>
      </c>
      <c r="DT1334" t="str">
        <f>""</f>
        <v/>
      </c>
      <c r="DU1334" t="str">
        <f>""</f>
        <v/>
      </c>
    </row>
    <row r="1335" spans="1:125" x14ac:dyDescent="0.25">
      <c r="A1335" t="str">
        <f>"BDH snapshot header2"</f>
        <v>BDH snapshot header2</v>
      </c>
      <c r="B1335">
        <f>IF(OR(ISERROR($C$1335),ISBLANK($C$1335),ISNUMBER(SEARCH("N/A",$C$1335) ),ISERROR($C$1336),ISBLANK($C$1336)),0,1)</f>
        <v>0</v>
      </c>
      <c r="C1335" t="str">
        <f>_xll.BDH($B$7,$C$7,$B$675,$B$1329,"PER=CQ","Dts=S","DtFmt=FI", "rows=2","Dir=H","Points=60","Sort=R","Days=A","Fill=B","FX=USD" )</f>
        <v>#N/A Connection</v>
      </c>
      <c r="BN1335" t="str">
        <f>""</f>
        <v/>
      </c>
      <c r="BO1335" t="str">
        <f>""</f>
        <v/>
      </c>
      <c r="BP1335" t="str">
        <f>""</f>
        <v/>
      </c>
      <c r="BQ1335" t="str">
        <f>""</f>
        <v/>
      </c>
      <c r="BR1335" t="str">
        <f>""</f>
        <v/>
      </c>
      <c r="BS1335" t="str">
        <f>""</f>
        <v/>
      </c>
      <c r="BT1335" t="str">
        <f>""</f>
        <v/>
      </c>
      <c r="BU1335" t="str">
        <f>""</f>
        <v/>
      </c>
      <c r="BV1335" t="str">
        <f>""</f>
        <v/>
      </c>
      <c r="BW1335" t="str">
        <f>""</f>
        <v/>
      </c>
      <c r="BX1335" t="str">
        <f>""</f>
        <v/>
      </c>
      <c r="BY1335" t="str">
        <f>""</f>
        <v/>
      </c>
      <c r="BZ1335" t="str">
        <f>""</f>
        <v/>
      </c>
      <c r="CA1335" t="str">
        <f>""</f>
        <v/>
      </c>
      <c r="CB1335" t="str">
        <f>""</f>
        <v/>
      </c>
      <c r="CC1335" t="str">
        <f>""</f>
        <v/>
      </c>
      <c r="CD1335" t="str">
        <f>""</f>
        <v/>
      </c>
      <c r="CE1335" t="str">
        <f>""</f>
        <v/>
      </c>
      <c r="CF1335" t="str">
        <f>""</f>
        <v/>
      </c>
      <c r="CG1335" t="str">
        <f>""</f>
        <v/>
      </c>
      <c r="CH1335" t="str">
        <f>""</f>
        <v/>
      </c>
      <c r="CI1335" t="str">
        <f>""</f>
        <v/>
      </c>
      <c r="CJ1335" t="str">
        <f>""</f>
        <v/>
      </c>
      <c r="CK1335" t="str">
        <f>""</f>
        <v/>
      </c>
      <c r="CL1335" t="str">
        <f>""</f>
        <v/>
      </c>
      <c r="CM1335" t="str">
        <f>""</f>
        <v/>
      </c>
      <c r="CN1335" t="str">
        <f>""</f>
        <v/>
      </c>
      <c r="CO1335" t="str">
        <f>""</f>
        <v/>
      </c>
      <c r="CP1335" t="str">
        <f>""</f>
        <v/>
      </c>
      <c r="CQ1335" t="str">
        <f>""</f>
        <v/>
      </c>
      <c r="CR1335" t="str">
        <f>""</f>
        <v/>
      </c>
      <c r="CS1335" t="str">
        <f>""</f>
        <v/>
      </c>
      <c r="CT1335" t="str">
        <f>""</f>
        <v/>
      </c>
      <c r="CU1335" t="str">
        <f>""</f>
        <v/>
      </c>
      <c r="CV1335" t="str">
        <f>""</f>
        <v/>
      </c>
      <c r="CW1335" t="str">
        <f>""</f>
        <v/>
      </c>
      <c r="CX1335" t="str">
        <f>""</f>
        <v/>
      </c>
      <c r="CY1335" t="str">
        <f>""</f>
        <v/>
      </c>
      <c r="CZ1335" t="str">
        <f>""</f>
        <v/>
      </c>
      <c r="DA1335" t="str">
        <f>""</f>
        <v/>
      </c>
      <c r="DB1335" t="str">
        <f>""</f>
        <v/>
      </c>
      <c r="DC1335" t="str">
        <f>""</f>
        <v/>
      </c>
      <c r="DD1335" t="str">
        <f>""</f>
        <v/>
      </c>
      <c r="DE1335" t="str">
        <f>""</f>
        <v/>
      </c>
      <c r="DF1335" t="str">
        <f>""</f>
        <v/>
      </c>
      <c r="DG1335" t="str">
        <f>""</f>
        <v/>
      </c>
      <c r="DH1335" t="str">
        <f>""</f>
        <v/>
      </c>
      <c r="DI1335" t="str">
        <f>""</f>
        <v/>
      </c>
      <c r="DJ1335" t="str">
        <f>""</f>
        <v/>
      </c>
      <c r="DK1335" t="str">
        <f>""</f>
        <v/>
      </c>
      <c r="DL1335" t="str">
        <f>""</f>
        <v/>
      </c>
      <c r="DM1335" t="str">
        <f>""</f>
        <v/>
      </c>
      <c r="DN1335" t="str">
        <f>""</f>
        <v/>
      </c>
      <c r="DO1335" t="str">
        <f>""</f>
        <v/>
      </c>
      <c r="DP1335" t="str">
        <f>""</f>
        <v/>
      </c>
      <c r="DQ1335" t="str">
        <f>""</f>
        <v/>
      </c>
      <c r="DR1335" t="str">
        <f>""</f>
        <v/>
      </c>
      <c r="DS1335" t="str">
        <f>""</f>
        <v/>
      </c>
      <c r="DT1335" t="str">
        <f>""</f>
        <v/>
      </c>
      <c r="DU1335" t="str">
        <f>""</f>
        <v/>
      </c>
    </row>
    <row r="1336" spans="1:125" x14ac:dyDescent="0.25">
      <c r="A1336" t="str">
        <f>"BDH snapshot result2"</f>
        <v>BDH snapshot result2</v>
      </c>
      <c r="BN1336" t="str">
        <f>""</f>
        <v/>
      </c>
      <c r="BO1336" t="str">
        <f>""</f>
        <v/>
      </c>
      <c r="BP1336" t="str">
        <f>""</f>
        <v/>
      </c>
      <c r="BQ1336" t="str">
        <f>""</f>
        <v/>
      </c>
      <c r="BR1336" t="str">
        <f>""</f>
        <v/>
      </c>
      <c r="BS1336" t="str">
        <f>""</f>
        <v/>
      </c>
      <c r="BT1336" t="str">
        <f>""</f>
        <v/>
      </c>
      <c r="BU1336" t="str">
        <f>""</f>
        <v/>
      </c>
      <c r="BV1336" t="str">
        <f>""</f>
        <v/>
      </c>
      <c r="BW1336" t="str">
        <f>""</f>
        <v/>
      </c>
      <c r="BX1336" t="str">
        <f>""</f>
        <v/>
      </c>
      <c r="BY1336" t="str">
        <f>""</f>
        <v/>
      </c>
      <c r="BZ1336" t="str">
        <f>""</f>
        <v/>
      </c>
      <c r="CA1336" t="str">
        <f>""</f>
        <v/>
      </c>
      <c r="CB1336" t="str">
        <f>""</f>
        <v/>
      </c>
      <c r="CC1336" t="str">
        <f>""</f>
        <v/>
      </c>
      <c r="CD1336" t="str">
        <f>""</f>
        <v/>
      </c>
      <c r="CE1336" t="str">
        <f>""</f>
        <v/>
      </c>
      <c r="CF1336" t="str">
        <f>""</f>
        <v/>
      </c>
      <c r="CG1336" t="str">
        <f>""</f>
        <v/>
      </c>
      <c r="CH1336" t="str">
        <f>""</f>
        <v/>
      </c>
      <c r="CI1336" t="str">
        <f>""</f>
        <v/>
      </c>
      <c r="CJ1336" t="str">
        <f>""</f>
        <v/>
      </c>
      <c r="CK1336" t="str">
        <f>""</f>
        <v/>
      </c>
      <c r="CL1336" t="str">
        <f>""</f>
        <v/>
      </c>
      <c r="CM1336" t="str">
        <f>""</f>
        <v/>
      </c>
      <c r="CN1336" t="str">
        <f>""</f>
        <v/>
      </c>
      <c r="CO1336" t="str">
        <f>""</f>
        <v/>
      </c>
      <c r="CP1336" t="str">
        <f>""</f>
        <v/>
      </c>
      <c r="CQ1336" t="str">
        <f>""</f>
        <v/>
      </c>
      <c r="CR1336" t="str">
        <f>""</f>
        <v/>
      </c>
      <c r="CS1336" t="str">
        <f>""</f>
        <v/>
      </c>
      <c r="CT1336" t="str">
        <f>""</f>
        <v/>
      </c>
      <c r="CU1336" t="str">
        <f>""</f>
        <v/>
      </c>
      <c r="CV1336" t="str">
        <f>""</f>
        <v/>
      </c>
      <c r="CW1336" t="str">
        <f>""</f>
        <v/>
      </c>
      <c r="CX1336" t="str">
        <f>""</f>
        <v/>
      </c>
      <c r="CY1336" t="str">
        <f>""</f>
        <v/>
      </c>
      <c r="CZ1336" t="str">
        <f>""</f>
        <v/>
      </c>
      <c r="DA1336" t="str">
        <f>""</f>
        <v/>
      </c>
      <c r="DB1336" t="str">
        <f>""</f>
        <v/>
      </c>
      <c r="DC1336" t="str">
        <f>""</f>
        <v/>
      </c>
      <c r="DD1336" t="str">
        <f>""</f>
        <v/>
      </c>
      <c r="DE1336" t="str">
        <f>""</f>
        <v/>
      </c>
      <c r="DF1336" t="str">
        <f>""</f>
        <v/>
      </c>
      <c r="DG1336" t="str">
        <f>""</f>
        <v/>
      </c>
      <c r="DH1336" t="str">
        <f>""</f>
        <v/>
      </c>
      <c r="DI1336" t="str">
        <f>""</f>
        <v/>
      </c>
      <c r="DJ1336" t="str">
        <f>""</f>
        <v/>
      </c>
      <c r="DK1336" t="str">
        <f>""</f>
        <v/>
      </c>
      <c r="DL1336" t="str">
        <f>""</f>
        <v/>
      </c>
      <c r="DM1336" t="str">
        <f>""</f>
        <v/>
      </c>
      <c r="DN1336" t="str">
        <f>""</f>
        <v/>
      </c>
      <c r="DO1336" t="str">
        <f>""</f>
        <v/>
      </c>
      <c r="DP1336" t="str">
        <f>""</f>
        <v/>
      </c>
      <c r="DQ1336" t="str">
        <f>""</f>
        <v/>
      </c>
      <c r="DR1336" t="str">
        <f>""</f>
        <v/>
      </c>
      <c r="DS1336" t="str">
        <f>""</f>
        <v/>
      </c>
      <c r="DT1336" t="str">
        <f>""</f>
        <v/>
      </c>
      <c r="DU1336" t="str">
        <f>""</f>
        <v/>
      </c>
    </row>
    <row r="1337" spans="1:125" x14ac:dyDescent="0.25">
      <c r="A1337" t="str">
        <f>"BDH snapshot"</f>
        <v>BDH snapshot</v>
      </c>
      <c r="B1337">
        <f>IF($B$1331&gt;=1,$B$1331,IF($B$1333&gt;=1,$B$1333,IF($B$1335&gt;=1,$B$1335,$B$1330)))</f>
        <v>2</v>
      </c>
      <c r="C1337" t="str">
        <f>IF($B$1331&gt;=1,$C$1331,IF($B$1333&gt;=1,$C$1333,IF($B$1335&gt;=1,$C$1335,$C$1330)))</f>
        <v>2019 Q1</v>
      </c>
      <c r="D1337" t="str">
        <f>IF($B$1331&gt;=1,$D$1331,IF($B$1333&gt;=1,$D$1333,IF($B$1335&gt;=1,$D$1335,$D$1330)))</f>
        <v>2018 Q4</v>
      </c>
      <c r="E1337" t="str">
        <f>IF($B$1331&gt;=1,$E$1331,IF($B$1333&gt;=1,$E$1333,IF($B$1335&gt;=1,$E$1335,$E$1330)))</f>
        <v>2018 Q3</v>
      </c>
      <c r="F1337" t="str">
        <f>IF($B$1331&gt;=1,$F$1331,IF($B$1333&gt;=1,$F$1333,IF($B$1335&gt;=1,$F$1335,$F$1330)))</f>
        <v>2018 Q2</v>
      </c>
      <c r="G1337" t="str">
        <f>IF($B$1331&gt;=1,$G$1331,IF($B$1333&gt;=1,$G$1333,IF($B$1335&gt;=1,$G$1335,$G$1330)))</f>
        <v>2018 Q1</v>
      </c>
      <c r="H1337" t="str">
        <f>IF($B$1331&gt;=1,$H$1331,IF($B$1333&gt;=1,$H$1333,IF($B$1335&gt;=1,$H$1335,$H$1330)))</f>
        <v>2017 Q4</v>
      </c>
      <c r="I1337" t="str">
        <f>IF($B$1331&gt;=1,$I$1331,IF($B$1333&gt;=1,$I$1333,IF($B$1335&gt;=1,$I$1335,$I$1330)))</f>
        <v>2017 Q3</v>
      </c>
      <c r="J1337" t="str">
        <f>IF($B$1331&gt;=1,$J$1331,IF($B$1333&gt;=1,$J$1333,IF($B$1335&gt;=1,$J$1335,$J$1330)))</f>
        <v>2017 Q2</v>
      </c>
      <c r="K1337" t="str">
        <f>IF($B$1331&gt;=1,$K$1331,IF($B$1333&gt;=1,$K$1333,IF($B$1335&gt;=1,$K$1335,$K$1330)))</f>
        <v>2017 Q1</v>
      </c>
      <c r="L1337" t="str">
        <f>IF($B$1331&gt;=1,$L$1331,IF($B$1333&gt;=1,$L$1333,IF($B$1335&gt;=1,$L$1335,$L$1330)))</f>
        <v>2016 Q4</v>
      </c>
      <c r="M1337" t="str">
        <f>IF($B$1331&gt;=1,$M$1331,IF($B$1333&gt;=1,$M$1333,IF($B$1335&gt;=1,$M$1335,$M$1330)))</f>
        <v>2016 Q3</v>
      </c>
      <c r="N1337" t="str">
        <f>IF($B$1331&gt;=1,$N$1331,IF($B$1333&gt;=1,$N$1333,IF($B$1335&gt;=1,$N$1335,$N$1330)))</f>
        <v>2016 Q2</v>
      </c>
      <c r="O1337" t="str">
        <f>IF($B$1331&gt;=1,$O$1331,IF($B$1333&gt;=1,$O$1333,IF($B$1335&gt;=1,$O$1335,$O$1330)))</f>
        <v>2016 Q1</v>
      </c>
      <c r="P1337" t="str">
        <f>IF($B$1331&gt;=1,$P$1331,IF($B$1333&gt;=1,$P$1333,IF($B$1335&gt;=1,$P$1335,$P$1330)))</f>
        <v>2015 Q4</v>
      </c>
      <c r="Q1337" t="str">
        <f>IF($B$1331&gt;=1,$Q$1331,IF($B$1333&gt;=1,$Q$1333,IF($B$1335&gt;=1,$Q$1335,$Q$1330)))</f>
        <v>2015 Q3</v>
      </c>
      <c r="R1337" t="str">
        <f>IF($B$1331&gt;=1,$R$1331,IF($B$1333&gt;=1,$R$1333,IF($B$1335&gt;=1,$R$1335,$R$1330)))</f>
        <v>2015 Q2</v>
      </c>
      <c r="S1337" t="str">
        <f>IF($B$1331&gt;=1,$S$1331,IF($B$1333&gt;=1,$S$1333,IF($B$1335&gt;=1,$S$1335,$S$1330)))</f>
        <v>2015 Q1</v>
      </c>
      <c r="T1337" t="str">
        <f>IF($B$1331&gt;=1,$T$1331,IF($B$1333&gt;=1,$T$1333,IF($B$1335&gt;=1,$T$1335,$T$1330)))</f>
        <v>2014 Q4</v>
      </c>
      <c r="U1337" t="str">
        <f>IF($B$1331&gt;=1,$U$1331,IF($B$1333&gt;=1,$U$1333,IF($B$1335&gt;=1,$U$1335,$U$1330)))</f>
        <v>2014 Q3</v>
      </c>
      <c r="V1337" t="str">
        <f>IF($B$1331&gt;=1,$V$1331,IF($B$1333&gt;=1,$V$1333,IF($B$1335&gt;=1,$V$1335,$V$1330)))</f>
        <v>2014 Q2</v>
      </c>
      <c r="W1337" t="str">
        <f>IF($B$1331&gt;=1,$W$1331,IF($B$1333&gt;=1,$W$1333,IF($B$1335&gt;=1,$W$1335,$W$1330)))</f>
        <v>2014 Q1</v>
      </c>
      <c r="X1337" t="str">
        <f>IF($B$1331&gt;=1,$X$1331,IF($B$1333&gt;=1,$X$1333,IF($B$1335&gt;=1,$X$1335,$X$1330)))</f>
        <v>2013 Q4</v>
      </c>
      <c r="Y1337" t="str">
        <f>IF($B$1331&gt;=1,$Y$1331,IF($B$1333&gt;=1,$Y$1333,IF($B$1335&gt;=1,$Y$1335,$Y$1330)))</f>
        <v>2013 Q3</v>
      </c>
      <c r="Z1337" t="str">
        <f>IF($B$1331&gt;=1,$Z$1331,IF($B$1333&gt;=1,$Z$1333,IF($B$1335&gt;=1,$Z$1335,$Z$1330)))</f>
        <v>2013 Q2</v>
      </c>
      <c r="AA1337" t="str">
        <f>IF($B$1331&gt;=1,$AA$1331,IF($B$1333&gt;=1,$AA$1333,IF($B$1335&gt;=1,$AA$1335,$AA$1330)))</f>
        <v>2013 Q1</v>
      </c>
      <c r="AB1337" t="str">
        <f>IF($B$1331&gt;=1,$AB$1331,IF($B$1333&gt;=1,$AB$1333,IF($B$1335&gt;=1,$AB$1335,$AB$1330)))</f>
        <v>2012 Q4</v>
      </c>
      <c r="AC1337" t="str">
        <f>IF($B$1331&gt;=1,$AC$1331,IF($B$1333&gt;=1,$AC$1333,IF($B$1335&gt;=1,$AC$1335,$AC$1330)))</f>
        <v>2012 Q3</v>
      </c>
      <c r="AD1337" t="str">
        <f>IF($B$1331&gt;=1,$AD$1331,IF($B$1333&gt;=1,$AD$1333,IF($B$1335&gt;=1,$AD$1335,$AD$1330)))</f>
        <v>2012 Q2</v>
      </c>
      <c r="AE1337" t="str">
        <f>IF($B$1331&gt;=1,$AE$1331,IF($B$1333&gt;=1,$AE$1333,IF($B$1335&gt;=1,$AE$1335,$AE$1330)))</f>
        <v>2012 Q1</v>
      </c>
      <c r="AF1337" t="str">
        <f>IF($B$1331&gt;=1,$AF$1331,IF($B$1333&gt;=1,$AF$1333,IF($B$1335&gt;=1,$AF$1335,$AF$1330)))</f>
        <v>2011 Q4</v>
      </c>
      <c r="AG1337" t="str">
        <f>IF($B$1331&gt;=1,$AG$1331,IF($B$1333&gt;=1,$AG$1333,IF($B$1335&gt;=1,$AG$1335,$AG$1330)))</f>
        <v>2011 Q3</v>
      </c>
      <c r="AH1337" t="str">
        <f>IF($B$1331&gt;=1,$AH$1331,IF($B$1333&gt;=1,$AH$1333,IF($B$1335&gt;=1,$AH$1335,$AH$1330)))</f>
        <v>2011 Q2</v>
      </c>
      <c r="AI1337" t="str">
        <f>IF($B$1331&gt;=1,$AI$1331,IF($B$1333&gt;=1,$AI$1333,IF($B$1335&gt;=1,$AI$1335,$AI$1330)))</f>
        <v>2011 Q1</v>
      </c>
      <c r="AJ1337" t="str">
        <f>IF($B$1331&gt;=1,$AJ$1331,IF($B$1333&gt;=1,$AJ$1333,IF($B$1335&gt;=1,$AJ$1335,$AJ$1330)))</f>
        <v>2010 Q4</v>
      </c>
      <c r="AK1337" t="str">
        <f>IF($B$1331&gt;=1,$AK$1331,IF($B$1333&gt;=1,$AK$1333,IF($B$1335&gt;=1,$AK$1335,$AK$1330)))</f>
        <v>2010 Q3</v>
      </c>
      <c r="AL1337" t="str">
        <f>IF($B$1331&gt;=1,$AL$1331,IF($B$1333&gt;=1,$AL$1333,IF($B$1335&gt;=1,$AL$1335,$AL$1330)))</f>
        <v>2010 Q2</v>
      </c>
      <c r="AM1337" t="str">
        <f>IF($B$1331&gt;=1,$AM$1331,IF($B$1333&gt;=1,$AM$1333,IF($B$1335&gt;=1,$AM$1335,$AM$1330)))</f>
        <v>2010 Q1</v>
      </c>
      <c r="AN1337" t="str">
        <f>IF($B$1331&gt;=1,$AN$1331,IF($B$1333&gt;=1,$AN$1333,IF($B$1335&gt;=1,$AN$1335,$AN$1330)))</f>
        <v>2009 Q4</v>
      </c>
      <c r="AO1337" t="str">
        <f>IF($B$1331&gt;=1,$AO$1331,IF($B$1333&gt;=1,$AO$1333,IF($B$1335&gt;=1,$AO$1335,$AO$1330)))</f>
        <v>2009 Q3</v>
      </c>
      <c r="AP1337" t="str">
        <f>IF($B$1331&gt;=1,$AP$1331,IF($B$1333&gt;=1,$AP$1333,IF($B$1335&gt;=1,$AP$1335,$AP$1330)))</f>
        <v>2009 Q2</v>
      </c>
      <c r="AQ1337" t="str">
        <f>IF($B$1331&gt;=1,$AQ$1331,IF($B$1333&gt;=1,$AQ$1333,IF($B$1335&gt;=1,$AQ$1335,$AQ$1330)))</f>
        <v>2009 Q1</v>
      </c>
      <c r="AR1337" t="str">
        <f>IF($B$1331&gt;=1,$AR$1331,IF($B$1333&gt;=1,$AR$1333,IF($B$1335&gt;=1,$AR$1335,$AR$1330)))</f>
        <v>2008 Q4</v>
      </c>
      <c r="AS1337" t="str">
        <f>IF($B$1331&gt;=1,$AS$1331,IF($B$1333&gt;=1,$AS$1333,IF($B$1335&gt;=1,$AS$1335,$AS$1330)))</f>
        <v>2008 Q3</v>
      </c>
      <c r="AT1337" t="str">
        <f>IF($B$1331&gt;=1,$AT$1331,IF($B$1333&gt;=1,$AT$1333,IF($B$1335&gt;=1,$AT$1335,$AT$1330)))</f>
        <v>2008 Q2</v>
      </c>
      <c r="AU1337" t="str">
        <f>IF($B$1331&gt;=1,$AU$1331,IF($B$1333&gt;=1,$AU$1333,IF($B$1335&gt;=1,$AU$1335,$AU$1330)))</f>
        <v>2008 Q1</v>
      </c>
      <c r="AV1337" t="str">
        <f>IF($B$1331&gt;=1,$AV$1331,IF($B$1333&gt;=1,$AV$1333,IF($B$1335&gt;=1,$AV$1335,$AV$1330)))</f>
        <v>2007 Q4</v>
      </c>
      <c r="AW1337" t="str">
        <f>IF($B$1331&gt;=1,$AW$1331,IF($B$1333&gt;=1,$AW$1333,IF($B$1335&gt;=1,$AW$1335,$AW$1330)))</f>
        <v>2007 Q3</v>
      </c>
      <c r="AX1337" t="str">
        <f>IF($B$1331&gt;=1,$AX$1331,IF($B$1333&gt;=1,$AX$1333,IF($B$1335&gt;=1,$AX$1335,$AX$1330)))</f>
        <v>2007 Q2</v>
      </c>
      <c r="AY1337" t="str">
        <f>IF($B$1331&gt;=1,$AY$1331,IF($B$1333&gt;=1,$AY$1333,IF($B$1335&gt;=1,$AY$1335,$AY$1330)))</f>
        <v>2007 Q1</v>
      </c>
      <c r="AZ1337" t="str">
        <f>IF($B$1331&gt;=1,$AZ$1331,IF($B$1333&gt;=1,$AZ$1333,IF($B$1335&gt;=1,$AZ$1335,$AZ$1330)))</f>
        <v>2006 Q4</v>
      </c>
      <c r="BA1337" t="str">
        <f>IF($B$1331&gt;=1,$BA$1331,IF($B$1333&gt;=1,$BA$1333,IF($B$1335&gt;=1,$BA$1335,$BA$1330)))</f>
        <v>2006 Q3</v>
      </c>
      <c r="BB1337" t="str">
        <f>IF($B$1331&gt;=1,$BB$1331,IF($B$1333&gt;=1,$BB$1333,IF($B$1335&gt;=1,$BB$1335,$BB$1330)))</f>
        <v>2006 Q2</v>
      </c>
      <c r="BC1337" t="str">
        <f>IF($B$1331&gt;=1,$BC$1331,IF($B$1333&gt;=1,$BC$1333,IF($B$1335&gt;=1,$BC$1335,$BC$1330)))</f>
        <v>2006 Q1</v>
      </c>
      <c r="BD1337" t="str">
        <f>IF($B$1331&gt;=1,$BD$1331,IF($B$1333&gt;=1,$BD$1333,IF($B$1335&gt;=1,$BD$1335,$BD$1330)))</f>
        <v>2005 Q4</v>
      </c>
      <c r="BE1337" t="str">
        <f>IF($B$1331&gt;=1,$BE$1331,IF($B$1333&gt;=1,$BE$1333,IF($B$1335&gt;=1,$BE$1335,$BE$1330)))</f>
        <v>2005 Q3</v>
      </c>
      <c r="BF1337" t="str">
        <f>IF($B$1331&gt;=1,$BF$1331,IF($B$1333&gt;=1,$BF$1333,IF($B$1335&gt;=1,$BF$1335,$BF$1330)))</f>
        <v>2005 Q2</v>
      </c>
      <c r="BG1337" t="str">
        <f>IF($B$1331&gt;=1,$BG$1331,IF($B$1333&gt;=1,$BG$1333,IF($B$1335&gt;=1,$BG$1335,$BG$1330)))</f>
        <v>2005 Q1</v>
      </c>
      <c r="BH1337" t="str">
        <f>IF($B$1331&gt;=1,$BH$1331,IF($B$1333&gt;=1,$BH$1333,IF($B$1335&gt;=1,$BH$1335,$BH$1330)))</f>
        <v>2004 Q4</v>
      </c>
      <c r="BI1337" t="str">
        <f>IF($B$1331&gt;=1,$BI$1331,IF($B$1333&gt;=1,$BI$1333,IF($B$1335&gt;=1,$BI$1335,$BI$1330)))</f>
        <v>2004 Q3</v>
      </c>
      <c r="BJ1337" t="str">
        <f>IF($B$1331&gt;=1,$BJ$1331,IF($B$1333&gt;=1,$BJ$1333,IF($B$1335&gt;=1,$BJ$1335,$BJ$1330)))</f>
        <v>2004 Q2</v>
      </c>
      <c r="BN1337" t="str">
        <f>""</f>
        <v/>
      </c>
      <c r="BO1337" t="str">
        <f>""</f>
        <v/>
      </c>
      <c r="BP1337" t="str">
        <f>""</f>
        <v/>
      </c>
      <c r="BQ1337" t="str">
        <f>""</f>
        <v/>
      </c>
      <c r="BR1337" t="str">
        <f>""</f>
        <v/>
      </c>
      <c r="BS1337" t="str">
        <f>""</f>
        <v/>
      </c>
      <c r="BT1337" t="str">
        <f>""</f>
        <v/>
      </c>
      <c r="BU1337" t="str">
        <f>""</f>
        <v/>
      </c>
      <c r="BV1337" t="str">
        <f>""</f>
        <v/>
      </c>
      <c r="BW1337" t="str">
        <f>""</f>
        <v/>
      </c>
      <c r="BX1337" t="str">
        <f>""</f>
        <v/>
      </c>
      <c r="BY1337" t="str">
        <f>""</f>
        <v/>
      </c>
      <c r="BZ1337" t="str">
        <f>""</f>
        <v/>
      </c>
      <c r="CA1337" t="str">
        <f>""</f>
        <v/>
      </c>
      <c r="CB1337" t="str">
        <f>""</f>
        <v/>
      </c>
      <c r="CC1337" t="str">
        <f>""</f>
        <v/>
      </c>
      <c r="CD1337" t="str">
        <f>""</f>
        <v/>
      </c>
      <c r="CE1337" t="str">
        <f>""</f>
        <v/>
      </c>
      <c r="CF1337" t="str">
        <f>""</f>
        <v/>
      </c>
      <c r="CG1337" t="str">
        <f>""</f>
        <v/>
      </c>
      <c r="CH1337" t="str">
        <f>""</f>
        <v/>
      </c>
      <c r="CI1337" t="str">
        <f>""</f>
        <v/>
      </c>
      <c r="CJ1337" t="str">
        <f>""</f>
        <v/>
      </c>
      <c r="CK1337" t="str">
        <f>""</f>
        <v/>
      </c>
      <c r="CL1337" t="str">
        <f>""</f>
        <v/>
      </c>
      <c r="CM1337" t="str">
        <f>""</f>
        <v/>
      </c>
      <c r="CN1337" t="str">
        <f>""</f>
        <v/>
      </c>
      <c r="CO1337" t="str">
        <f>""</f>
        <v/>
      </c>
      <c r="CP1337" t="str">
        <f>""</f>
        <v/>
      </c>
      <c r="CQ1337" t="str">
        <f>""</f>
        <v/>
      </c>
      <c r="CR1337" t="str">
        <f>""</f>
        <v/>
      </c>
      <c r="CS1337" t="str">
        <f>""</f>
        <v/>
      </c>
      <c r="CT1337" t="str">
        <f>""</f>
        <v/>
      </c>
      <c r="CU1337" t="str">
        <f>""</f>
        <v/>
      </c>
      <c r="CV1337" t="str">
        <f>""</f>
        <v/>
      </c>
      <c r="CW1337" t="str">
        <f>""</f>
        <v/>
      </c>
      <c r="CX1337" t="str">
        <f>""</f>
        <v/>
      </c>
      <c r="CY1337" t="str">
        <f>""</f>
        <v/>
      </c>
      <c r="CZ1337" t="str">
        <f>""</f>
        <v/>
      </c>
      <c r="DA1337" t="str">
        <f>""</f>
        <v/>
      </c>
      <c r="DB1337" t="str">
        <f>""</f>
        <v/>
      </c>
      <c r="DC1337" t="str">
        <f>""</f>
        <v/>
      </c>
      <c r="DD1337" t="str">
        <f>""</f>
        <v/>
      </c>
      <c r="DE1337" t="str">
        <f>""</f>
        <v/>
      </c>
      <c r="DF1337" t="str">
        <f>""</f>
        <v/>
      </c>
      <c r="DG1337" t="str">
        <f>""</f>
        <v/>
      </c>
      <c r="DH1337" t="str">
        <f>""</f>
        <v/>
      </c>
      <c r="DI1337" t="str">
        <f>""</f>
        <v/>
      </c>
      <c r="DJ1337" t="str">
        <f>""</f>
        <v/>
      </c>
      <c r="DK1337" t="str">
        <f>""</f>
        <v/>
      </c>
      <c r="DL1337" t="str">
        <f>""</f>
        <v/>
      </c>
      <c r="DM1337" t="str">
        <f>""</f>
        <v/>
      </c>
      <c r="DN1337" t="str">
        <f>""</f>
        <v/>
      </c>
      <c r="DO1337" t="str">
        <f>""</f>
        <v/>
      </c>
      <c r="DP1337" t="str">
        <f>""</f>
        <v/>
      </c>
      <c r="DQ1337" t="str">
        <f>""</f>
        <v/>
      </c>
      <c r="DR1337" t="str">
        <f>""</f>
        <v/>
      </c>
      <c r="DS1337" t="str">
        <f>""</f>
        <v/>
      </c>
      <c r="DT1337" t="str">
        <f>""</f>
        <v/>
      </c>
      <c r="DU1337" t="str">
        <f>""</f>
        <v/>
      </c>
    </row>
    <row r="1338" spans="1:125" x14ac:dyDescent="0.25">
      <c r="A1338" t="str">
        <f>"BDH snapshot title"</f>
        <v>BDH snapshot title</v>
      </c>
      <c r="B1338">
        <f>$B$1337</f>
        <v>2</v>
      </c>
      <c r="C1338" t="str">
        <f>IF(LEN($C$1337)&lt;&gt;8,$C$1337,RIGHT($C$1337,4)&amp;" "&amp;MID($C$1337,3,1)&amp;LEFT($C$1337,1))</f>
        <v>2019 Q1</v>
      </c>
      <c r="D1338" t="str">
        <f>IF(LEN($D$1337)&lt;&gt;8,$D$1337,RIGHT($D$1337,4)&amp;" "&amp;MID($D$1337,3,1)&amp;LEFT($D$1337,1))</f>
        <v>2018 Q4</v>
      </c>
      <c r="E1338" t="str">
        <f>IF(LEN($E$1337)&lt;&gt;8,$E$1337,RIGHT($E$1337,4)&amp;" "&amp;MID($E$1337,3,1)&amp;LEFT($E$1337,1))</f>
        <v>2018 Q3</v>
      </c>
      <c r="F1338" t="str">
        <f>IF(LEN($F$1337)&lt;&gt;8,$F$1337,RIGHT($F$1337,4)&amp;" "&amp;MID($F$1337,3,1)&amp;LEFT($F$1337,1))</f>
        <v>2018 Q2</v>
      </c>
      <c r="G1338" t="str">
        <f>IF(LEN($G$1337)&lt;&gt;8,$G$1337,RIGHT($G$1337,4)&amp;" "&amp;MID($G$1337,3,1)&amp;LEFT($G$1337,1))</f>
        <v>2018 Q1</v>
      </c>
      <c r="H1338" t="str">
        <f>IF(LEN($H$1337)&lt;&gt;8,$H$1337,RIGHT($H$1337,4)&amp;" "&amp;MID($H$1337,3,1)&amp;LEFT($H$1337,1))</f>
        <v>2017 Q4</v>
      </c>
      <c r="I1338" t="str">
        <f>IF(LEN($I$1337)&lt;&gt;8,$I$1337,RIGHT($I$1337,4)&amp;" "&amp;MID($I$1337,3,1)&amp;LEFT($I$1337,1))</f>
        <v>2017 Q3</v>
      </c>
      <c r="J1338" t="str">
        <f>IF(LEN($J$1337)&lt;&gt;8,$J$1337,RIGHT($J$1337,4)&amp;" "&amp;MID($J$1337,3,1)&amp;LEFT($J$1337,1))</f>
        <v>2017 Q2</v>
      </c>
      <c r="K1338" t="str">
        <f>IF(LEN($K$1337)&lt;&gt;8,$K$1337,RIGHT($K$1337,4)&amp;" "&amp;MID($K$1337,3,1)&amp;LEFT($K$1337,1))</f>
        <v>2017 Q1</v>
      </c>
      <c r="L1338" t="str">
        <f>IF(LEN($L$1337)&lt;&gt;8,$L$1337,RIGHT($L$1337,4)&amp;" "&amp;MID($L$1337,3,1)&amp;LEFT($L$1337,1))</f>
        <v>2016 Q4</v>
      </c>
      <c r="M1338" t="str">
        <f>IF(LEN($M$1337)&lt;&gt;8,$M$1337,RIGHT($M$1337,4)&amp;" "&amp;MID($M$1337,3,1)&amp;LEFT($M$1337,1))</f>
        <v>2016 Q3</v>
      </c>
      <c r="N1338" t="str">
        <f>IF(LEN($N$1337)&lt;&gt;8,$N$1337,RIGHT($N$1337,4)&amp;" "&amp;MID($N$1337,3,1)&amp;LEFT($N$1337,1))</f>
        <v>2016 Q2</v>
      </c>
      <c r="O1338" t="str">
        <f>IF(LEN($O$1337)&lt;&gt;8,$O$1337,RIGHT($O$1337,4)&amp;" "&amp;MID($O$1337,3,1)&amp;LEFT($O$1337,1))</f>
        <v>2016 Q1</v>
      </c>
      <c r="P1338" t="str">
        <f>IF(LEN($P$1337)&lt;&gt;8,$P$1337,RIGHT($P$1337,4)&amp;" "&amp;MID($P$1337,3,1)&amp;LEFT($P$1337,1))</f>
        <v>2015 Q4</v>
      </c>
      <c r="Q1338" t="str">
        <f>IF(LEN($Q$1337)&lt;&gt;8,$Q$1337,RIGHT($Q$1337,4)&amp;" "&amp;MID($Q$1337,3,1)&amp;LEFT($Q$1337,1))</f>
        <v>2015 Q3</v>
      </c>
      <c r="R1338" t="str">
        <f>IF(LEN($R$1337)&lt;&gt;8,$R$1337,RIGHT($R$1337,4)&amp;" "&amp;MID($R$1337,3,1)&amp;LEFT($R$1337,1))</f>
        <v>2015 Q2</v>
      </c>
      <c r="S1338" t="str">
        <f>IF(LEN($S$1337)&lt;&gt;8,$S$1337,RIGHT($S$1337,4)&amp;" "&amp;MID($S$1337,3,1)&amp;LEFT($S$1337,1))</f>
        <v>2015 Q1</v>
      </c>
      <c r="T1338" t="str">
        <f>IF(LEN($T$1337)&lt;&gt;8,$T$1337,RIGHT($T$1337,4)&amp;" "&amp;MID($T$1337,3,1)&amp;LEFT($T$1337,1))</f>
        <v>2014 Q4</v>
      </c>
      <c r="U1338" t="str">
        <f>IF(LEN($U$1337)&lt;&gt;8,$U$1337,RIGHT($U$1337,4)&amp;" "&amp;MID($U$1337,3,1)&amp;LEFT($U$1337,1))</f>
        <v>2014 Q3</v>
      </c>
      <c r="V1338" t="str">
        <f>IF(LEN($V$1337)&lt;&gt;8,$V$1337,RIGHT($V$1337,4)&amp;" "&amp;MID($V$1337,3,1)&amp;LEFT($V$1337,1))</f>
        <v>2014 Q2</v>
      </c>
      <c r="W1338" t="str">
        <f>IF(LEN($W$1337)&lt;&gt;8,$W$1337,RIGHT($W$1337,4)&amp;" "&amp;MID($W$1337,3,1)&amp;LEFT($W$1337,1))</f>
        <v>2014 Q1</v>
      </c>
      <c r="X1338" t="str">
        <f>IF(LEN($X$1337)&lt;&gt;8,$X$1337,RIGHT($X$1337,4)&amp;" "&amp;MID($X$1337,3,1)&amp;LEFT($X$1337,1))</f>
        <v>2013 Q4</v>
      </c>
      <c r="Y1338" t="str">
        <f>IF(LEN($Y$1337)&lt;&gt;8,$Y$1337,RIGHT($Y$1337,4)&amp;" "&amp;MID($Y$1337,3,1)&amp;LEFT($Y$1337,1))</f>
        <v>2013 Q3</v>
      </c>
      <c r="Z1338" t="str">
        <f>IF(LEN($Z$1337)&lt;&gt;8,$Z$1337,RIGHT($Z$1337,4)&amp;" "&amp;MID($Z$1337,3,1)&amp;LEFT($Z$1337,1))</f>
        <v>2013 Q2</v>
      </c>
      <c r="AA1338" t="str">
        <f>IF(LEN($AA$1337)&lt;&gt;8,$AA$1337,RIGHT($AA$1337,4)&amp;" "&amp;MID($AA$1337,3,1)&amp;LEFT($AA$1337,1))</f>
        <v>2013 Q1</v>
      </c>
      <c r="AB1338" t="str">
        <f>IF(LEN($AB$1337)&lt;&gt;8,$AB$1337,RIGHT($AB$1337,4)&amp;" "&amp;MID($AB$1337,3,1)&amp;LEFT($AB$1337,1))</f>
        <v>2012 Q4</v>
      </c>
      <c r="AC1338" t="str">
        <f>IF(LEN($AC$1337)&lt;&gt;8,$AC$1337,RIGHT($AC$1337,4)&amp;" "&amp;MID($AC$1337,3,1)&amp;LEFT($AC$1337,1))</f>
        <v>2012 Q3</v>
      </c>
      <c r="AD1338" t="str">
        <f>IF(LEN($AD$1337)&lt;&gt;8,$AD$1337,RIGHT($AD$1337,4)&amp;" "&amp;MID($AD$1337,3,1)&amp;LEFT($AD$1337,1))</f>
        <v>2012 Q2</v>
      </c>
      <c r="AE1338" t="str">
        <f>IF(LEN($AE$1337)&lt;&gt;8,$AE$1337,RIGHT($AE$1337,4)&amp;" "&amp;MID($AE$1337,3,1)&amp;LEFT($AE$1337,1))</f>
        <v>2012 Q1</v>
      </c>
      <c r="AF1338" t="str">
        <f>IF(LEN($AF$1337)&lt;&gt;8,$AF$1337,RIGHT($AF$1337,4)&amp;" "&amp;MID($AF$1337,3,1)&amp;LEFT($AF$1337,1))</f>
        <v>2011 Q4</v>
      </c>
      <c r="AG1338" t="str">
        <f>IF(LEN($AG$1337)&lt;&gt;8,$AG$1337,RIGHT($AG$1337,4)&amp;" "&amp;MID($AG$1337,3,1)&amp;LEFT($AG$1337,1))</f>
        <v>2011 Q3</v>
      </c>
      <c r="AH1338" t="str">
        <f>IF(LEN($AH$1337)&lt;&gt;8,$AH$1337,RIGHT($AH$1337,4)&amp;" "&amp;MID($AH$1337,3,1)&amp;LEFT($AH$1337,1))</f>
        <v>2011 Q2</v>
      </c>
      <c r="AI1338" t="str">
        <f>IF(LEN($AI$1337)&lt;&gt;8,$AI$1337,RIGHT($AI$1337,4)&amp;" "&amp;MID($AI$1337,3,1)&amp;LEFT($AI$1337,1))</f>
        <v>2011 Q1</v>
      </c>
      <c r="AJ1338" t="str">
        <f>IF(LEN($AJ$1337)&lt;&gt;8,$AJ$1337,RIGHT($AJ$1337,4)&amp;" "&amp;MID($AJ$1337,3,1)&amp;LEFT($AJ$1337,1))</f>
        <v>2010 Q4</v>
      </c>
      <c r="AK1338" t="str">
        <f>IF(LEN($AK$1337)&lt;&gt;8,$AK$1337,RIGHT($AK$1337,4)&amp;" "&amp;MID($AK$1337,3,1)&amp;LEFT($AK$1337,1))</f>
        <v>2010 Q3</v>
      </c>
      <c r="AL1338" t="str">
        <f>IF(LEN($AL$1337)&lt;&gt;8,$AL$1337,RIGHT($AL$1337,4)&amp;" "&amp;MID($AL$1337,3,1)&amp;LEFT($AL$1337,1))</f>
        <v>2010 Q2</v>
      </c>
      <c r="AM1338" t="str">
        <f>IF(LEN($AM$1337)&lt;&gt;8,$AM$1337,RIGHT($AM$1337,4)&amp;" "&amp;MID($AM$1337,3,1)&amp;LEFT($AM$1337,1))</f>
        <v>2010 Q1</v>
      </c>
      <c r="AN1338" t="str">
        <f>IF(LEN($AN$1337)&lt;&gt;8,$AN$1337,RIGHT($AN$1337,4)&amp;" "&amp;MID($AN$1337,3,1)&amp;LEFT($AN$1337,1))</f>
        <v>2009 Q4</v>
      </c>
      <c r="AO1338" t="str">
        <f>IF(LEN($AO$1337)&lt;&gt;8,$AO$1337,RIGHT($AO$1337,4)&amp;" "&amp;MID($AO$1337,3,1)&amp;LEFT($AO$1337,1))</f>
        <v>2009 Q3</v>
      </c>
      <c r="AP1338" t="str">
        <f>IF(LEN($AP$1337)&lt;&gt;8,$AP$1337,RIGHT($AP$1337,4)&amp;" "&amp;MID($AP$1337,3,1)&amp;LEFT($AP$1337,1))</f>
        <v>2009 Q2</v>
      </c>
      <c r="AQ1338" t="str">
        <f>IF(LEN($AQ$1337)&lt;&gt;8,$AQ$1337,RIGHT($AQ$1337,4)&amp;" "&amp;MID($AQ$1337,3,1)&amp;LEFT($AQ$1337,1))</f>
        <v>2009 Q1</v>
      </c>
      <c r="AR1338" t="str">
        <f>IF(LEN($AR$1337)&lt;&gt;8,$AR$1337,RIGHT($AR$1337,4)&amp;" "&amp;MID($AR$1337,3,1)&amp;LEFT($AR$1337,1))</f>
        <v>2008 Q4</v>
      </c>
      <c r="AS1338" t="str">
        <f>IF(LEN($AS$1337)&lt;&gt;8,$AS$1337,RIGHT($AS$1337,4)&amp;" "&amp;MID($AS$1337,3,1)&amp;LEFT($AS$1337,1))</f>
        <v>2008 Q3</v>
      </c>
      <c r="AT1338" t="str">
        <f>IF(LEN($AT$1337)&lt;&gt;8,$AT$1337,RIGHT($AT$1337,4)&amp;" "&amp;MID($AT$1337,3,1)&amp;LEFT($AT$1337,1))</f>
        <v>2008 Q2</v>
      </c>
      <c r="AU1338" t="str">
        <f>IF(LEN($AU$1337)&lt;&gt;8,$AU$1337,RIGHT($AU$1337,4)&amp;" "&amp;MID($AU$1337,3,1)&amp;LEFT($AU$1337,1))</f>
        <v>2008 Q1</v>
      </c>
      <c r="AV1338" t="str">
        <f>IF(LEN($AV$1337)&lt;&gt;8,$AV$1337,RIGHT($AV$1337,4)&amp;" "&amp;MID($AV$1337,3,1)&amp;LEFT($AV$1337,1))</f>
        <v>2007 Q4</v>
      </c>
      <c r="AW1338" t="str">
        <f>IF(LEN($AW$1337)&lt;&gt;8,$AW$1337,RIGHT($AW$1337,4)&amp;" "&amp;MID($AW$1337,3,1)&amp;LEFT($AW$1337,1))</f>
        <v>2007 Q3</v>
      </c>
      <c r="AX1338" t="str">
        <f>IF(LEN($AX$1337)&lt;&gt;8,$AX$1337,RIGHT($AX$1337,4)&amp;" "&amp;MID($AX$1337,3,1)&amp;LEFT($AX$1337,1))</f>
        <v>2007 Q2</v>
      </c>
      <c r="AY1338" t="str">
        <f>IF(LEN($AY$1337)&lt;&gt;8,$AY$1337,RIGHT($AY$1337,4)&amp;" "&amp;MID($AY$1337,3,1)&amp;LEFT($AY$1337,1))</f>
        <v>2007 Q1</v>
      </c>
      <c r="AZ1338" t="str">
        <f>IF(LEN($AZ$1337)&lt;&gt;8,$AZ$1337,RIGHT($AZ$1337,4)&amp;" "&amp;MID($AZ$1337,3,1)&amp;LEFT($AZ$1337,1))</f>
        <v>2006 Q4</v>
      </c>
      <c r="BA1338" t="str">
        <f>IF(LEN($BA$1337)&lt;&gt;8,$BA$1337,RIGHT($BA$1337,4)&amp;" "&amp;MID($BA$1337,3,1)&amp;LEFT($BA$1337,1))</f>
        <v>2006 Q3</v>
      </c>
      <c r="BB1338" t="str">
        <f>IF(LEN($BB$1337)&lt;&gt;8,$BB$1337,RIGHT($BB$1337,4)&amp;" "&amp;MID($BB$1337,3,1)&amp;LEFT($BB$1337,1))</f>
        <v>2006 Q2</v>
      </c>
      <c r="BC1338" t="str">
        <f>IF(LEN($BC$1337)&lt;&gt;8,$BC$1337,RIGHT($BC$1337,4)&amp;" "&amp;MID($BC$1337,3,1)&amp;LEFT($BC$1337,1))</f>
        <v>2006 Q1</v>
      </c>
      <c r="BD1338" t="str">
        <f>IF(LEN($BD$1337)&lt;&gt;8,$BD$1337,RIGHT($BD$1337,4)&amp;" "&amp;MID($BD$1337,3,1)&amp;LEFT($BD$1337,1))</f>
        <v>2005 Q4</v>
      </c>
      <c r="BE1338" t="str">
        <f>IF(LEN($BE$1337)&lt;&gt;8,$BE$1337,RIGHT($BE$1337,4)&amp;" "&amp;MID($BE$1337,3,1)&amp;LEFT($BE$1337,1))</f>
        <v>2005 Q3</v>
      </c>
      <c r="BF1338" t="str">
        <f>IF(LEN($BF$1337)&lt;&gt;8,$BF$1337,RIGHT($BF$1337,4)&amp;" "&amp;MID($BF$1337,3,1)&amp;LEFT($BF$1337,1))</f>
        <v>2005 Q2</v>
      </c>
      <c r="BG1338" t="str">
        <f>IF(LEN($BG$1337)&lt;&gt;8,$BG$1337,RIGHT($BG$1337,4)&amp;" "&amp;MID($BG$1337,3,1)&amp;LEFT($BG$1337,1))</f>
        <v>2005 Q1</v>
      </c>
      <c r="BH1338" t="str">
        <f>IF(LEN($BH$1337)&lt;&gt;8,$BH$1337,RIGHT($BH$1337,4)&amp;" "&amp;MID($BH$1337,3,1)&amp;LEFT($BH$1337,1))</f>
        <v>2004 Q4</v>
      </c>
      <c r="BI1338" t="str">
        <f>IF(LEN($BI$1337)&lt;&gt;8,$BI$1337,RIGHT($BI$1337,4)&amp;" "&amp;MID($BI$1337,3,1)&amp;LEFT($BI$1337,1))</f>
        <v>2004 Q3</v>
      </c>
      <c r="BJ1338" t="str">
        <f>IF(LEN($BJ$1337)&lt;&gt;8,$BJ$1337,RIGHT($BJ$1337,4)&amp;" "&amp;MID($BJ$1337,3,1)&amp;LEFT($BJ$1337,1))</f>
        <v>2004 Q2</v>
      </c>
      <c r="BN1338" t="str">
        <f>""</f>
        <v/>
      </c>
      <c r="BO1338" t="str">
        <f>""</f>
        <v/>
      </c>
      <c r="BP1338" t="str">
        <f>""</f>
        <v/>
      </c>
      <c r="BQ1338" t="str">
        <f>""</f>
        <v/>
      </c>
      <c r="BR1338" t="str">
        <f>""</f>
        <v/>
      </c>
      <c r="BS1338" t="str">
        <f>""</f>
        <v/>
      </c>
      <c r="BT1338" t="str">
        <f>""</f>
        <v/>
      </c>
      <c r="BU1338" t="str">
        <f>""</f>
        <v/>
      </c>
      <c r="BV1338" t="str">
        <f>""</f>
        <v/>
      </c>
      <c r="BW1338" t="str">
        <f>""</f>
        <v/>
      </c>
      <c r="BX1338" t="str">
        <f>""</f>
        <v/>
      </c>
      <c r="BY1338" t="str">
        <f>""</f>
        <v/>
      </c>
      <c r="BZ1338" t="str">
        <f>""</f>
        <v/>
      </c>
      <c r="CA1338" t="str">
        <f>""</f>
        <v/>
      </c>
      <c r="CB1338" t="str">
        <f>""</f>
        <v/>
      </c>
      <c r="CC1338" t="str">
        <f>""</f>
        <v/>
      </c>
      <c r="CD1338" t="str">
        <f>""</f>
        <v/>
      </c>
      <c r="CE1338" t="str">
        <f>""</f>
        <v/>
      </c>
      <c r="CF1338" t="str">
        <f>""</f>
        <v/>
      </c>
      <c r="CG1338" t="str">
        <f>""</f>
        <v/>
      </c>
      <c r="CH1338" t="str">
        <f>""</f>
        <v/>
      </c>
      <c r="CI1338" t="str">
        <f>""</f>
        <v/>
      </c>
      <c r="CJ1338" t="str">
        <f>""</f>
        <v/>
      </c>
      <c r="CK1338" t="str">
        <f>""</f>
        <v/>
      </c>
      <c r="CL1338" t="str">
        <f>""</f>
        <v/>
      </c>
      <c r="CM1338" t="str">
        <f>""</f>
        <v/>
      </c>
      <c r="CN1338" t="str">
        <f>""</f>
        <v/>
      </c>
      <c r="CO1338" t="str">
        <f>""</f>
        <v/>
      </c>
      <c r="CP1338" t="str">
        <f>""</f>
        <v/>
      </c>
      <c r="CQ1338" t="str">
        <f>""</f>
        <v/>
      </c>
      <c r="CR1338" t="str">
        <f>""</f>
        <v/>
      </c>
      <c r="CS1338" t="str">
        <f>""</f>
        <v/>
      </c>
      <c r="CT1338" t="str">
        <f>""</f>
        <v/>
      </c>
      <c r="CU1338" t="str">
        <f>""</f>
        <v/>
      </c>
      <c r="CV1338" t="str">
        <f>""</f>
        <v/>
      </c>
      <c r="CW1338" t="str">
        <f>""</f>
        <v/>
      </c>
      <c r="CX1338" t="str">
        <f>""</f>
        <v/>
      </c>
      <c r="CY1338" t="str">
        <f>""</f>
        <v/>
      </c>
      <c r="CZ1338" t="str">
        <f>""</f>
        <v/>
      </c>
      <c r="DA1338" t="str">
        <f>""</f>
        <v/>
      </c>
      <c r="DB1338" t="str">
        <f>""</f>
        <v/>
      </c>
      <c r="DC1338" t="str">
        <f>""</f>
        <v/>
      </c>
      <c r="DD1338" t="str">
        <f>""</f>
        <v/>
      </c>
      <c r="DE1338" t="str">
        <f>""</f>
        <v/>
      </c>
      <c r="DF1338" t="str">
        <f>""</f>
        <v/>
      </c>
      <c r="DG1338" t="str">
        <f>""</f>
        <v/>
      </c>
      <c r="DH1338" t="str">
        <f>""</f>
        <v/>
      </c>
      <c r="DI1338" t="str">
        <f>""</f>
        <v/>
      </c>
      <c r="DJ1338" t="str">
        <f>""</f>
        <v/>
      </c>
      <c r="DK1338" t="str">
        <f>""</f>
        <v/>
      </c>
      <c r="DL1338" t="str">
        <f>""</f>
        <v/>
      </c>
      <c r="DM1338" t="str">
        <f>""</f>
        <v/>
      </c>
      <c r="DN1338" t="str">
        <f>""</f>
        <v/>
      </c>
      <c r="DO1338" t="str">
        <f>""</f>
        <v/>
      </c>
      <c r="DP1338" t="str">
        <f>""</f>
        <v/>
      </c>
      <c r="DQ1338" t="str">
        <f>""</f>
        <v/>
      </c>
      <c r="DR1338" t="str">
        <f>""</f>
        <v/>
      </c>
      <c r="DS1338" t="str">
        <f>""</f>
        <v/>
      </c>
      <c r="DT1338" t="str">
        <f>""</f>
        <v/>
      </c>
      <c r="DU1338" t="str">
        <f>""</f>
        <v/>
      </c>
    </row>
    <row r="1339" spans="1:125" x14ac:dyDescent="0.25">
      <c r="A1339" t="str">
        <f>"BDH dynamic header0"</f>
        <v>BDH dynamic header0</v>
      </c>
      <c r="B1339">
        <f ca="1">IF(OR(ISERROR($C$1339),ISBLANK($C$1339),ISNUMBER(SEARCH("N/A",$C$1339) ),ISERROR($C$1340),ISBLANK($C$1340)),0,1)</f>
        <v>0</v>
      </c>
      <c r="C1339" t="str">
        <f ca="1">_xll.BDH($B$5,$C$5,$B$675,$B$676,"PER=CQ","Dts=S","DtFmt=FI", "rows=2","Dir=H","Points=60","Sort=R","Days=A","Fill=B","FX=USD" )</f>
        <v>#N/A Connection</v>
      </c>
      <c r="BN1339" t="str">
        <f>""</f>
        <v/>
      </c>
      <c r="BO1339" t="str">
        <f>""</f>
        <v/>
      </c>
      <c r="BP1339" t="str">
        <f>""</f>
        <v/>
      </c>
      <c r="BQ1339" t="str">
        <f>""</f>
        <v/>
      </c>
      <c r="BR1339" t="str">
        <f>""</f>
        <v/>
      </c>
      <c r="BS1339" t="str">
        <f>""</f>
        <v/>
      </c>
      <c r="BT1339" t="str">
        <f>""</f>
        <v/>
      </c>
      <c r="BU1339" t="str">
        <f>""</f>
        <v/>
      </c>
      <c r="BV1339" t="str">
        <f>""</f>
        <v/>
      </c>
      <c r="BW1339" t="str">
        <f>""</f>
        <v/>
      </c>
      <c r="BX1339" t="str">
        <f>""</f>
        <v/>
      </c>
      <c r="BY1339" t="str">
        <f>""</f>
        <v/>
      </c>
      <c r="BZ1339" t="str">
        <f>""</f>
        <v/>
      </c>
      <c r="CA1339" t="str">
        <f>""</f>
        <v/>
      </c>
      <c r="CB1339" t="str">
        <f>""</f>
        <v/>
      </c>
      <c r="CC1339" t="str">
        <f>""</f>
        <v/>
      </c>
      <c r="CD1339" t="str">
        <f>""</f>
        <v/>
      </c>
      <c r="CE1339" t="str">
        <f>""</f>
        <v/>
      </c>
      <c r="CF1339" t="str">
        <f>""</f>
        <v/>
      </c>
      <c r="CG1339" t="str">
        <f>""</f>
        <v/>
      </c>
      <c r="CH1339" t="str">
        <f>""</f>
        <v/>
      </c>
      <c r="CI1339" t="str">
        <f>""</f>
        <v/>
      </c>
      <c r="CJ1339" t="str">
        <f>""</f>
        <v/>
      </c>
      <c r="CK1339" t="str">
        <f>""</f>
        <v/>
      </c>
      <c r="CL1339" t="str">
        <f>""</f>
        <v/>
      </c>
      <c r="CM1339" t="str">
        <f>""</f>
        <v/>
      </c>
      <c r="CN1339" t="str">
        <f>""</f>
        <v/>
      </c>
      <c r="CO1339" t="str">
        <f>""</f>
        <v/>
      </c>
      <c r="CP1339" t="str">
        <f>""</f>
        <v/>
      </c>
      <c r="CQ1339" t="str">
        <f>""</f>
        <v/>
      </c>
      <c r="CR1339" t="str">
        <f>""</f>
        <v/>
      </c>
      <c r="CS1339" t="str">
        <f>""</f>
        <v/>
      </c>
      <c r="CT1339" t="str">
        <f>""</f>
        <v/>
      </c>
      <c r="CU1339" t="str">
        <f>""</f>
        <v/>
      </c>
      <c r="CV1339" t="str">
        <f>""</f>
        <v/>
      </c>
      <c r="CW1339" t="str">
        <f>""</f>
        <v/>
      </c>
      <c r="CX1339" t="str">
        <f>""</f>
        <v/>
      </c>
      <c r="CY1339" t="str">
        <f>""</f>
        <v/>
      </c>
      <c r="CZ1339" t="str">
        <f>""</f>
        <v/>
      </c>
      <c r="DA1339" t="str">
        <f>""</f>
        <v/>
      </c>
      <c r="DB1339" t="str">
        <f>""</f>
        <v/>
      </c>
      <c r="DC1339" t="str">
        <f>""</f>
        <v/>
      </c>
      <c r="DD1339" t="str">
        <f>""</f>
        <v/>
      </c>
      <c r="DE1339" t="str">
        <f>""</f>
        <v/>
      </c>
      <c r="DF1339" t="str">
        <f>""</f>
        <v/>
      </c>
      <c r="DG1339" t="str">
        <f>""</f>
        <v/>
      </c>
      <c r="DH1339" t="str">
        <f>""</f>
        <v/>
      </c>
      <c r="DI1339" t="str">
        <f>""</f>
        <v/>
      </c>
      <c r="DJ1339" t="str">
        <f>""</f>
        <v/>
      </c>
      <c r="DK1339" t="str">
        <f>""</f>
        <v/>
      </c>
      <c r="DL1339" t="str">
        <f>""</f>
        <v/>
      </c>
      <c r="DM1339" t="str">
        <f>""</f>
        <v/>
      </c>
      <c r="DN1339" t="str">
        <f>""</f>
        <v/>
      </c>
      <c r="DO1339" t="str">
        <f>""</f>
        <v/>
      </c>
      <c r="DP1339" t="str">
        <f>""</f>
        <v/>
      </c>
      <c r="DQ1339" t="str">
        <f>""</f>
        <v/>
      </c>
      <c r="DR1339" t="str">
        <f>""</f>
        <v/>
      </c>
      <c r="DS1339" t="str">
        <f>""</f>
        <v/>
      </c>
      <c r="DT1339" t="str">
        <f>""</f>
        <v/>
      </c>
      <c r="DU1339" t="str">
        <f>""</f>
        <v/>
      </c>
    </row>
    <row r="1340" spans="1:125" x14ac:dyDescent="0.25">
      <c r="A1340" t="str">
        <f>"BDH dynamic result0"</f>
        <v>BDH dynamic result0</v>
      </c>
      <c r="BN1340" t="str">
        <f>""</f>
        <v/>
      </c>
      <c r="BO1340" t="str">
        <f>""</f>
        <v/>
      </c>
      <c r="BP1340" t="str">
        <f>""</f>
        <v/>
      </c>
      <c r="BQ1340" t="str">
        <f>""</f>
        <v/>
      </c>
      <c r="BR1340" t="str">
        <f>""</f>
        <v/>
      </c>
      <c r="BS1340" t="str">
        <f>""</f>
        <v/>
      </c>
      <c r="BT1340" t="str">
        <f>""</f>
        <v/>
      </c>
      <c r="BU1340" t="str">
        <f>""</f>
        <v/>
      </c>
      <c r="BV1340" t="str">
        <f>""</f>
        <v/>
      </c>
      <c r="BW1340" t="str">
        <f>""</f>
        <v/>
      </c>
      <c r="BX1340" t="str">
        <f>""</f>
        <v/>
      </c>
      <c r="BY1340" t="str">
        <f>""</f>
        <v/>
      </c>
      <c r="BZ1340" t="str">
        <f>""</f>
        <v/>
      </c>
      <c r="CA1340" t="str">
        <f>""</f>
        <v/>
      </c>
      <c r="CB1340" t="str">
        <f>""</f>
        <v/>
      </c>
      <c r="CC1340" t="str">
        <f>""</f>
        <v/>
      </c>
      <c r="CD1340" t="str">
        <f>""</f>
        <v/>
      </c>
      <c r="CE1340" t="str">
        <f>""</f>
        <v/>
      </c>
      <c r="CF1340" t="str">
        <f>""</f>
        <v/>
      </c>
      <c r="CG1340" t="str">
        <f>""</f>
        <v/>
      </c>
      <c r="CH1340" t="str">
        <f>""</f>
        <v/>
      </c>
      <c r="CI1340" t="str">
        <f>""</f>
        <v/>
      </c>
      <c r="CJ1340" t="str">
        <f>""</f>
        <v/>
      </c>
      <c r="CK1340" t="str">
        <f>""</f>
        <v/>
      </c>
      <c r="CL1340" t="str">
        <f>""</f>
        <v/>
      </c>
      <c r="CM1340" t="str">
        <f>""</f>
        <v/>
      </c>
      <c r="CN1340" t="str">
        <f>""</f>
        <v/>
      </c>
      <c r="CO1340" t="str">
        <f>""</f>
        <v/>
      </c>
      <c r="CP1340" t="str">
        <f>""</f>
        <v/>
      </c>
      <c r="CQ1340" t="str">
        <f>""</f>
        <v/>
      </c>
      <c r="CR1340" t="str">
        <f>""</f>
        <v/>
      </c>
      <c r="CS1340" t="str">
        <f>""</f>
        <v/>
      </c>
      <c r="CT1340" t="str">
        <f>""</f>
        <v/>
      </c>
      <c r="CU1340" t="str">
        <f>""</f>
        <v/>
      </c>
      <c r="CV1340" t="str">
        <f>""</f>
        <v/>
      </c>
      <c r="CW1340" t="str">
        <f>""</f>
        <v/>
      </c>
      <c r="CX1340" t="str">
        <f>""</f>
        <v/>
      </c>
      <c r="CY1340" t="str">
        <f>""</f>
        <v/>
      </c>
      <c r="CZ1340" t="str">
        <f>""</f>
        <v/>
      </c>
      <c r="DA1340" t="str">
        <f>""</f>
        <v/>
      </c>
      <c r="DB1340" t="str">
        <f>""</f>
        <v/>
      </c>
      <c r="DC1340" t="str">
        <f>""</f>
        <v/>
      </c>
      <c r="DD1340" t="str">
        <f>""</f>
        <v/>
      </c>
      <c r="DE1340" t="str">
        <f>""</f>
        <v/>
      </c>
      <c r="DF1340" t="str">
        <f>""</f>
        <v/>
      </c>
      <c r="DG1340" t="str">
        <f>""</f>
        <v/>
      </c>
      <c r="DH1340" t="str">
        <f>""</f>
        <v/>
      </c>
      <c r="DI1340" t="str">
        <f>""</f>
        <v/>
      </c>
      <c r="DJ1340" t="str">
        <f>""</f>
        <v/>
      </c>
      <c r="DK1340" t="str">
        <f>""</f>
        <v/>
      </c>
      <c r="DL1340" t="str">
        <f>""</f>
        <v/>
      </c>
      <c r="DM1340" t="str">
        <f>""</f>
        <v/>
      </c>
      <c r="DN1340" t="str">
        <f>""</f>
        <v/>
      </c>
      <c r="DO1340" t="str">
        <f>""</f>
        <v/>
      </c>
      <c r="DP1340" t="str">
        <f>""</f>
        <v/>
      </c>
      <c r="DQ1340" t="str">
        <f>""</f>
        <v/>
      </c>
      <c r="DR1340" t="str">
        <f>""</f>
        <v/>
      </c>
      <c r="DS1340" t="str">
        <f>""</f>
        <v/>
      </c>
      <c r="DT1340" t="str">
        <f>""</f>
        <v/>
      </c>
      <c r="DU1340" t="str">
        <f>""</f>
        <v/>
      </c>
    </row>
    <row r="1341" spans="1:125" x14ac:dyDescent="0.25">
      <c r="A1341" t="str">
        <f>"BDH dynamic header1"</f>
        <v>BDH dynamic header1</v>
      </c>
      <c r="B1341">
        <f ca="1">IF(OR(ISERROR($C$1341),ISBLANK($C$1341),ISNUMBER(SEARCH("N/A",$C$1341) ),ISERROR($C$1342),ISBLANK($C$1342)),0,1)</f>
        <v>0</v>
      </c>
      <c r="C1341" t="str">
        <f ca="1">_xll.BDH($B$6,$C$6,$B$675,$B$676,"PER=CQ","Dts=S","DtFmt=FI", "rows=2","Dir=H","Points=60","Sort=R","Days=A","Fill=B","FX=USD" )</f>
        <v>#N/A Connection</v>
      </c>
      <c r="BN1341" t="str">
        <f>""</f>
        <v/>
      </c>
      <c r="BO1341" t="str">
        <f>""</f>
        <v/>
      </c>
      <c r="BP1341" t="str">
        <f>""</f>
        <v/>
      </c>
      <c r="BQ1341" t="str">
        <f>""</f>
        <v/>
      </c>
      <c r="BR1341" t="str">
        <f>""</f>
        <v/>
      </c>
      <c r="BS1341" t="str">
        <f>""</f>
        <v/>
      </c>
      <c r="BT1341" t="str">
        <f>""</f>
        <v/>
      </c>
      <c r="BU1341" t="str">
        <f>""</f>
        <v/>
      </c>
      <c r="BV1341" t="str">
        <f>""</f>
        <v/>
      </c>
      <c r="BW1341" t="str">
        <f>""</f>
        <v/>
      </c>
      <c r="BX1341" t="str">
        <f>""</f>
        <v/>
      </c>
      <c r="BY1341" t="str">
        <f>""</f>
        <v/>
      </c>
      <c r="BZ1341" t="str">
        <f>""</f>
        <v/>
      </c>
      <c r="CA1341" t="str">
        <f>""</f>
        <v/>
      </c>
      <c r="CB1341" t="str">
        <f>""</f>
        <v/>
      </c>
      <c r="CC1341" t="str">
        <f>""</f>
        <v/>
      </c>
      <c r="CD1341" t="str">
        <f>""</f>
        <v/>
      </c>
      <c r="CE1341" t="str">
        <f>""</f>
        <v/>
      </c>
      <c r="CF1341" t="str">
        <f>""</f>
        <v/>
      </c>
      <c r="CG1341" t="str">
        <f>""</f>
        <v/>
      </c>
      <c r="CH1341" t="str">
        <f>""</f>
        <v/>
      </c>
      <c r="CI1341" t="str">
        <f>""</f>
        <v/>
      </c>
      <c r="CJ1341" t="str">
        <f>""</f>
        <v/>
      </c>
      <c r="CK1341" t="str">
        <f>""</f>
        <v/>
      </c>
      <c r="CL1341" t="str">
        <f>""</f>
        <v/>
      </c>
      <c r="CM1341" t="str">
        <f>""</f>
        <v/>
      </c>
      <c r="CN1341" t="str">
        <f>""</f>
        <v/>
      </c>
      <c r="CO1341" t="str">
        <f>""</f>
        <v/>
      </c>
      <c r="CP1341" t="str">
        <f>""</f>
        <v/>
      </c>
      <c r="CQ1341" t="str">
        <f>""</f>
        <v/>
      </c>
      <c r="CR1341" t="str">
        <f>""</f>
        <v/>
      </c>
      <c r="CS1341" t="str">
        <f>""</f>
        <v/>
      </c>
      <c r="CT1341" t="str">
        <f>""</f>
        <v/>
      </c>
      <c r="CU1341" t="str">
        <f>""</f>
        <v/>
      </c>
      <c r="CV1341" t="str">
        <f>""</f>
        <v/>
      </c>
      <c r="CW1341" t="str">
        <f>""</f>
        <v/>
      </c>
      <c r="CX1341" t="str">
        <f>""</f>
        <v/>
      </c>
      <c r="CY1341" t="str">
        <f>""</f>
        <v/>
      </c>
      <c r="CZ1341" t="str">
        <f>""</f>
        <v/>
      </c>
      <c r="DA1341" t="str">
        <f>""</f>
        <v/>
      </c>
      <c r="DB1341" t="str">
        <f>""</f>
        <v/>
      </c>
      <c r="DC1341" t="str">
        <f>""</f>
        <v/>
      </c>
      <c r="DD1341" t="str">
        <f>""</f>
        <v/>
      </c>
      <c r="DE1341" t="str">
        <f>""</f>
        <v/>
      </c>
      <c r="DF1341" t="str">
        <f>""</f>
        <v/>
      </c>
      <c r="DG1341" t="str">
        <f>""</f>
        <v/>
      </c>
      <c r="DH1341" t="str">
        <f>""</f>
        <v/>
      </c>
      <c r="DI1341" t="str">
        <f>""</f>
        <v/>
      </c>
      <c r="DJ1341" t="str">
        <f>""</f>
        <v/>
      </c>
      <c r="DK1341" t="str">
        <f>""</f>
        <v/>
      </c>
      <c r="DL1341" t="str">
        <f>""</f>
        <v/>
      </c>
      <c r="DM1341" t="str">
        <f>""</f>
        <v/>
      </c>
      <c r="DN1341" t="str">
        <f>""</f>
        <v/>
      </c>
      <c r="DO1341" t="str">
        <f>""</f>
        <v/>
      </c>
      <c r="DP1341" t="str">
        <f>""</f>
        <v/>
      </c>
      <c r="DQ1341" t="str">
        <f>""</f>
        <v/>
      </c>
      <c r="DR1341" t="str">
        <f>""</f>
        <v/>
      </c>
      <c r="DS1341" t="str">
        <f>""</f>
        <v/>
      </c>
      <c r="DT1341" t="str">
        <f>""</f>
        <v/>
      </c>
      <c r="DU1341" t="str">
        <f>""</f>
        <v/>
      </c>
    </row>
    <row r="1342" spans="1:125" x14ac:dyDescent="0.25">
      <c r="A1342" t="str">
        <f>"BDH dynamic result1"</f>
        <v>BDH dynamic result1</v>
      </c>
      <c r="BN1342" t="str">
        <f>""</f>
        <v/>
      </c>
      <c r="BO1342" t="str">
        <f>""</f>
        <v/>
      </c>
      <c r="BP1342" t="str">
        <f>""</f>
        <v/>
      </c>
      <c r="BQ1342" t="str">
        <f>""</f>
        <v/>
      </c>
      <c r="BR1342" t="str">
        <f>""</f>
        <v/>
      </c>
      <c r="BS1342" t="str">
        <f>""</f>
        <v/>
      </c>
      <c r="BT1342" t="str">
        <f>""</f>
        <v/>
      </c>
      <c r="BU1342" t="str">
        <f>""</f>
        <v/>
      </c>
      <c r="BV1342" t="str">
        <f>""</f>
        <v/>
      </c>
      <c r="BW1342" t="str">
        <f>""</f>
        <v/>
      </c>
      <c r="BX1342" t="str">
        <f>""</f>
        <v/>
      </c>
      <c r="BY1342" t="str">
        <f>""</f>
        <v/>
      </c>
      <c r="BZ1342" t="str">
        <f>""</f>
        <v/>
      </c>
      <c r="CA1342" t="str">
        <f>""</f>
        <v/>
      </c>
      <c r="CB1342" t="str">
        <f>""</f>
        <v/>
      </c>
      <c r="CC1342" t="str">
        <f>""</f>
        <v/>
      </c>
      <c r="CD1342" t="str">
        <f>""</f>
        <v/>
      </c>
      <c r="CE1342" t="str">
        <f>""</f>
        <v/>
      </c>
      <c r="CF1342" t="str">
        <f>""</f>
        <v/>
      </c>
      <c r="CG1342" t="str">
        <f>""</f>
        <v/>
      </c>
      <c r="CH1342" t="str">
        <f>""</f>
        <v/>
      </c>
      <c r="CI1342" t="str">
        <f>""</f>
        <v/>
      </c>
      <c r="CJ1342" t="str">
        <f>""</f>
        <v/>
      </c>
      <c r="CK1342" t="str">
        <f>""</f>
        <v/>
      </c>
      <c r="CL1342" t="str">
        <f>""</f>
        <v/>
      </c>
      <c r="CM1342" t="str">
        <f>""</f>
        <v/>
      </c>
      <c r="CN1342" t="str">
        <f>""</f>
        <v/>
      </c>
      <c r="CO1342" t="str">
        <f>""</f>
        <v/>
      </c>
      <c r="CP1342" t="str">
        <f>""</f>
        <v/>
      </c>
      <c r="CQ1342" t="str">
        <f>""</f>
        <v/>
      </c>
      <c r="CR1342" t="str">
        <f>""</f>
        <v/>
      </c>
      <c r="CS1342" t="str">
        <f>""</f>
        <v/>
      </c>
      <c r="CT1342" t="str">
        <f>""</f>
        <v/>
      </c>
      <c r="CU1342" t="str">
        <f>""</f>
        <v/>
      </c>
      <c r="CV1342" t="str">
        <f>""</f>
        <v/>
      </c>
      <c r="CW1342" t="str">
        <f>""</f>
        <v/>
      </c>
      <c r="CX1342" t="str">
        <f>""</f>
        <v/>
      </c>
      <c r="CY1342" t="str">
        <f>""</f>
        <v/>
      </c>
      <c r="CZ1342" t="str">
        <f>""</f>
        <v/>
      </c>
      <c r="DA1342" t="str">
        <f>""</f>
        <v/>
      </c>
      <c r="DB1342" t="str">
        <f>""</f>
        <v/>
      </c>
      <c r="DC1342" t="str">
        <f>""</f>
        <v/>
      </c>
      <c r="DD1342" t="str">
        <f>""</f>
        <v/>
      </c>
      <c r="DE1342" t="str">
        <f>""</f>
        <v/>
      </c>
      <c r="DF1342" t="str">
        <f>""</f>
        <v/>
      </c>
      <c r="DG1342" t="str">
        <f>""</f>
        <v/>
      </c>
      <c r="DH1342" t="str">
        <f>""</f>
        <v/>
      </c>
      <c r="DI1342" t="str">
        <f>""</f>
        <v/>
      </c>
      <c r="DJ1342" t="str">
        <f>""</f>
        <v/>
      </c>
      <c r="DK1342" t="str">
        <f>""</f>
        <v/>
      </c>
      <c r="DL1342" t="str">
        <f>""</f>
        <v/>
      </c>
      <c r="DM1342" t="str">
        <f>""</f>
        <v/>
      </c>
      <c r="DN1342" t="str">
        <f>""</f>
        <v/>
      </c>
      <c r="DO1342" t="str">
        <f>""</f>
        <v/>
      </c>
      <c r="DP1342" t="str">
        <f>""</f>
        <v/>
      </c>
      <c r="DQ1342" t="str">
        <f>""</f>
        <v/>
      </c>
      <c r="DR1342" t="str">
        <f>""</f>
        <v/>
      </c>
      <c r="DS1342" t="str">
        <f>""</f>
        <v/>
      </c>
      <c r="DT1342" t="str">
        <f>""</f>
        <v/>
      </c>
      <c r="DU1342" t="str">
        <f>""</f>
        <v/>
      </c>
    </row>
    <row r="1343" spans="1:125" x14ac:dyDescent="0.25">
      <c r="A1343" t="str">
        <f>"BDH dynamic header2"</f>
        <v>BDH dynamic header2</v>
      </c>
      <c r="B1343">
        <f ca="1">IF(OR(ISERROR($C$1343),ISBLANK($C$1343),ISNUMBER(SEARCH("N/A",$C$1343) ),ISERROR($C$1344),ISBLANK($C$1344)),0,1)</f>
        <v>0</v>
      </c>
      <c r="C1343" t="str">
        <f ca="1">_xll.BDH($B$7,$C$7,$B$675,$B$676,"PER=CQ","Dts=S","DtFmt=FI", "rows=2","Dir=H","Points=60","Sort=R","Days=A","Fill=B","FX=USD" )</f>
        <v>#N/A Connection</v>
      </c>
      <c r="BN1343" t="str">
        <f>""</f>
        <v/>
      </c>
      <c r="BO1343" t="str">
        <f>""</f>
        <v/>
      </c>
      <c r="BP1343" t="str">
        <f>""</f>
        <v/>
      </c>
      <c r="BQ1343" t="str">
        <f>""</f>
        <v/>
      </c>
      <c r="BR1343" t="str">
        <f>""</f>
        <v/>
      </c>
      <c r="BS1343" t="str">
        <f>""</f>
        <v/>
      </c>
      <c r="BT1343" t="str">
        <f>""</f>
        <v/>
      </c>
      <c r="BU1343" t="str">
        <f>""</f>
        <v/>
      </c>
      <c r="BV1343" t="str">
        <f>""</f>
        <v/>
      </c>
      <c r="BW1343" t="str">
        <f>""</f>
        <v/>
      </c>
      <c r="BX1343" t="str">
        <f>""</f>
        <v/>
      </c>
      <c r="BY1343" t="str">
        <f>""</f>
        <v/>
      </c>
      <c r="BZ1343" t="str">
        <f>""</f>
        <v/>
      </c>
      <c r="CA1343" t="str">
        <f>""</f>
        <v/>
      </c>
      <c r="CB1343" t="str">
        <f>""</f>
        <v/>
      </c>
      <c r="CC1343" t="str">
        <f>""</f>
        <v/>
      </c>
      <c r="CD1343" t="str">
        <f>""</f>
        <v/>
      </c>
      <c r="CE1343" t="str">
        <f>""</f>
        <v/>
      </c>
      <c r="CF1343" t="str">
        <f>""</f>
        <v/>
      </c>
      <c r="CG1343" t="str">
        <f>""</f>
        <v/>
      </c>
      <c r="CH1343" t="str">
        <f>""</f>
        <v/>
      </c>
      <c r="CI1343" t="str">
        <f>""</f>
        <v/>
      </c>
      <c r="CJ1343" t="str">
        <f>""</f>
        <v/>
      </c>
      <c r="CK1343" t="str">
        <f>""</f>
        <v/>
      </c>
      <c r="CL1343" t="str">
        <f>""</f>
        <v/>
      </c>
      <c r="CM1343" t="str">
        <f>""</f>
        <v/>
      </c>
      <c r="CN1343" t="str">
        <f>""</f>
        <v/>
      </c>
      <c r="CO1343" t="str">
        <f>""</f>
        <v/>
      </c>
      <c r="CP1343" t="str">
        <f>""</f>
        <v/>
      </c>
      <c r="CQ1343" t="str">
        <f>""</f>
        <v/>
      </c>
      <c r="CR1343" t="str">
        <f>""</f>
        <v/>
      </c>
      <c r="CS1343" t="str">
        <f>""</f>
        <v/>
      </c>
      <c r="CT1343" t="str">
        <f>""</f>
        <v/>
      </c>
      <c r="CU1343" t="str">
        <f>""</f>
        <v/>
      </c>
      <c r="CV1343" t="str">
        <f>""</f>
        <v/>
      </c>
      <c r="CW1343" t="str">
        <f>""</f>
        <v/>
      </c>
      <c r="CX1343" t="str">
        <f>""</f>
        <v/>
      </c>
      <c r="CY1343" t="str">
        <f>""</f>
        <v/>
      </c>
      <c r="CZ1343" t="str">
        <f>""</f>
        <v/>
      </c>
      <c r="DA1343" t="str">
        <f>""</f>
        <v/>
      </c>
      <c r="DB1343" t="str">
        <f>""</f>
        <v/>
      </c>
      <c r="DC1343" t="str">
        <f>""</f>
        <v/>
      </c>
      <c r="DD1343" t="str">
        <f>""</f>
        <v/>
      </c>
      <c r="DE1343" t="str">
        <f>""</f>
        <v/>
      </c>
      <c r="DF1343" t="str">
        <f>""</f>
        <v/>
      </c>
      <c r="DG1343" t="str">
        <f>""</f>
        <v/>
      </c>
      <c r="DH1343" t="str">
        <f>""</f>
        <v/>
      </c>
      <c r="DI1343" t="str">
        <f>""</f>
        <v/>
      </c>
      <c r="DJ1343" t="str">
        <f>""</f>
        <v/>
      </c>
      <c r="DK1343" t="str">
        <f>""</f>
        <v/>
      </c>
      <c r="DL1343" t="str">
        <f>""</f>
        <v/>
      </c>
      <c r="DM1343" t="str">
        <f>""</f>
        <v/>
      </c>
      <c r="DN1343" t="str">
        <f>""</f>
        <v/>
      </c>
      <c r="DO1343" t="str">
        <f>""</f>
        <v/>
      </c>
      <c r="DP1343" t="str">
        <f>""</f>
        <v/>
      </c>
      <c r="DQ1343" t="str">
        <f>""</f>
        <v/>
      </c>
      <c r="DR1343" t="str">
        <f>""</f>
        <v/>
      </c>
      <c r="DS1343" t="str">
        <f>""</f>
        <v/>
      </c>
      <c r="DT1343" t="str">
        <f>""</f>
        <v/>
      </c>
      <c r="DU1343" t="str">
        <f>""</f>
        <v/>
      </c>
    </row>
    <row r="1344" spans="1:125" x14ac:dyDescent="0.25">
      <c r="A1344" t="str">
        <f>"BDH dynamic result2"</f>
        <v>BDH dynamic result2</v>
      </c>
      <c r="BN1344" t="str">
        <f>""</f>
        <v/>
      </c>
      <c r="BO1344" t="str">
        <f>""</f>
        <v/>
      </c>
      <c r="BP1344" t="str">
        <f>""</f>
        <v/>
      </c>
      <c r="BQ1344" t="str">
        <f>""</f>
        <v/>
      </c>
      <c r="BR1344" t="str">
        <f>""</f>
        <v/>
      </c>
      <c r="BS1344" t="str">
        <f>""</f>
        <v/>
      </c>
      <c r="BT1344" t="str">
        <f>""</f>
        <v/>
      </c>
      <c r="BU1344" t="str">
        <f>""</f>
        <v/>
      </c>
      <c r="BV1344" t="str">
        <f>""</f>
        <v/>
      </c>
      <c r="BW1344" t="str">
        <f>""</f>
        <v/>
      </c>
      <c r="BX1344" t="str">
        <f>""</f>
        <v/>
      </c>
      <c r="BY1344" t="str">
        <f>""</f>
        <v/>
      </c>
      <c r="BZ1344" t="str">
        <f>""</f>
        <v/>
      </c>
      <c r="CA1344" t="str">
        <f>""</f>
        <v/>
      </c>
      <c r="CB1344" t="str">
        <f>""</f>
        <v/>
      </c>
      <c r="CC1344" t="str">
        <f>""</f>
        <v/>
      </c>
      <c r="CD1344" t="str">
        <f>""</f>
        <v/>
      </c>
      <c r="CE1344" t="str">
        <f>""</f>
        <v/>
      </c>
      <c r="CF1344" t="str">
        <f>""</f>
        <v/>
      </c>
      <c r="CG1344" t="str">
        <f>""</f>
        <v/>
      </c>
      <c r="CH1344" t="str">
        <f>""</f>
        <v/>
      </c>
      <c r="CI1344" t="str">
        <f>""</f>
        <v/>
      </c>
      <c r="CJ1344" t="str">
        <f>""</f>
        <v/>
      </c>
      <c r="CK1344" t="str">
        <f>""</f>
        <v/>
      </c>
      <c r="CL1344" t="str">
        <f>""</f>
        <v/>
      </c>
      <c r="CM1344" t="str">
        <f>""</f>
        <v/>
      </c>
      <c r="CN1344" t="str">
        <f>""</f>
        <v/>
      </c>
      <c r="CO1344" t="str">
        <f>""</f>
        <v/>
      </c>
      <c r="CP1344" t="str">
        <f>""</f>
        <v/>
      </c>
      <c r="CQ1344" t="str">
        <f>""</f>
        <v/>
      </c>
      <c r="CR1344" t="str">
        <f>""</f>
        <v/>
      </c>
      <c r="CS1344" t="str">
        <f>""</f>
        <v/>
      </c>
      <c r="CT1344" t="str">
        <f>""</f>
        <v/>
      </c>
      <c r="CU1344" t="str">
        <f>""</f>
        <v/>
      </c>
      <c r="CV1344" t="str">
        <f>""</f>
        <v/>
      </c>
      <c r="CW1344" t="str">
        <f>""</f>
        <v/>
      </c>
      <c r="CX1344" t="str">
        <f>""</f>
        <v/>
      </c>
      <c r="CY1344" t="str">
        <f>""</f>
        <v/>
      </c>
      <c r="CZ1344" t="str">
        <f>""</f>
        <v/>
      </c>
      <c r="DA1344" t="str">
        <f>""</f>
        <v/>
      </c>
      <c r="DB1344" t="str">
        <f>""</f>
        <v/>
      </c>
      <c r="DC1344" t="str">
        <f>""</f>
        <v/>
      </c>
      <c r="DD1344" t="str">
        <f>""</f>
        <v/>
      </c>
      <c r="DE1344" t="str">
        <f>""</f>
        <v/>
      </c>
      <c r="DF1344" t="str">
        <f>""</f>
        <v/>
      </c>
      <c r="DG1344" t="str">
        <f>""</f>
        <v/>
      </c>
      <c r="DH1344" t="str">
        <f>""</f>
        <v/>
      </c>
      <c r="DI1344" t="str">
        <f>""</f>
        <v/>
      </c>
      <c r="DJ1344" t="str">
        <f>""</f>
        <v/>
      </c>
      <c r="DK1344" t="str">
        <f>""</f>
        <v/>
      </c>
      <c r="DL1344" t="str">
        <f>""</f>
        <v/>
      </c>
      <c r="DM1344" t="str">
        <f>""</f>
        <v/>
      </c>
      <c r="DN1344" t="str">
        <f>""</f>
        <v/>
      </c>
      <c r="DO1344" t="str">
        <f>""</f>
        <v/>
      </c>
      <c r="DP1344" t="str">
        <f>""</f>
        <v/>
      </c>
      <c r="DQ1344" t="str">
        <f>""</f>
        <v/>
      </c>
      <c r="DR1344" t="str">
        <f>""</f>
        <v/>
      </c>
      <c r="DS1344" t="str">
        <f>""</f>
        <v/>
      </c>
      <c r="DT1344" t="str">
        <f>""</f>
        <v/>
      </c>
      <c r="DU1344" t="str">
        <f>""</f>
        <v/>
      </c>
    </row>
    <row r="1345" spans="1:125" x14ac:dyDescent="0.25">
      <c r="A1345" t="str">
        <f>"BDH dynamic"</f>
        <v>BDH dynamic</v>
      </c>
      <c r="B1345">
        <f ca="1">IF($B$1339&gt;=1,$B$1339,IF($B$1341&gt;=1,$B$1341,IF($B$1343&gt;=1,$B$1343,$B$1330)))</f>
        <v>2</v>
      </c>
      <c r="C1345" t="str">
        <f ca="1">IF($B$1339&gt;=1,$C$1339,IF($B$1341&gt;=1,$C$1341,IF($B$1343&gt;=1,$C$1343,$C$1330)))</f>
        <v>2019 Q1</v>
      </c>
      <c r="D1345" t="str">
        <f ca="1">IF($B$1339&gt;=1,$D$1339,IF($B$1341&gt;=1,$D$1341,IF($B$1343&gt;=1,$D$1343,$D$1330)))</f>
        <v>2018 Q4</v>
      </c>
      <c r="E1345" t="str">
        <f ca="1">IF($B$1339&gt;=1,$E$1339,IF($B$1341&gt;=1,$E$1341,IF($B$1343&gt;=1,$E$1343,$E$1330)))</f>
        <v>2018 Q3</v>
      </c>
      <c r="F1345" t="str">
        <f ca="1">IF($B$1339&gt;=1,$F$1339,IF($B$1341&gt;=1,$F$1341,IF($B$1343&gt;=1,$F$1343,$F$1330)))</f>
        <v>2018 Q2</v>
      </c>
      <c r="G1345" t="str">
        <f ca="1">IF($B$1339&gt;=1,$G$1339,IF($B$1341&gt;=1,$G$1341,IF($B$1343&gt;=1,$G$1343,$G$1330)))</f>
        <v>2018 Q1</v>
      </c>
      <c r="H1345" t="str">
        <f ca="1">IF($B$1339&gt;=1,$H$1339,IF($B$1341&gt;=1,$H$1341,IF($B$1343&gt;=1,$H$1343,$H$1330)))</f>
        <v>2017 Q4</v>
      </c>
      <c r="I1345" t="str">
        <f ca="1">IF($B$1339&gt;=1,$I$1339,IF($B$1341&gt;=1,$I$1341,IF($B$1343&gt;=1,$I$1343,$I$1330)))</f>
        <v>2017 Q3</v>
      </c>
      <c r="J1345" t="str">
        <f ca="1">IF($B$1339&gt;=1,$J$1339,IF($B$1341&gt;=1,$J$1341,IF($B$1343&gt;=1,$J$1343,$J$1330)))</f>
        <v>2017 Q2</v>
      </c>
      <c r="K1345" t="str">
        <f ca="1">IF($B$1339&gt;=1,$K$1339,IF($B$1341&gt;=1,$K$1341,IF($B$1343&gt;=1,$K$1343,$K$1330)))</f>
        <v>2017 Q1</v>
      </c>
      <c r="L1345" t="str">
        <f ca="1">IF($B$1339&gt;=1,$L$1339,IF($B$1341&gt;=1,$L$1341,IF($B$1343&gt;=1,$L$1343,$L$1330)))</f>
        <v>2016 Q4</v>
      </c>
      <c r="M1345" t="str">
        <f ca="1">IF($B$1339&gt;=1,$M$1339,IF($B$1341&gt;=1,$M$1341,IF($B$1343&gt;=1,$M$1343,$M$1330)))</f>
        <v>2016 Q3</v>
      </c>
      <c r="N1345" t="str">
        <f ca="1">IF($B$1339&gt;=1,$N$1339,IF($B$1341&gt;=1,$N$1341,IF($B$1343&gt;=1,$N$1343,$N$1330)))</f>
        <v>2016 Q2</v>
      </c>
      <c r="O1345" t="str">
        <f ca="1">IF($B$1339&gt;=1,$O$1339,IF($B$1341&gt;=1,$O$1341,IF($B$1343&gt;=1,$O$1343,$O$1330)))</f>
        <v>2016 Q1</v>
      </c>
      <c r="P1345" t="str">
        <f ca="1">IF($B$1339&gt;=1,$P$1339,IF($B$1341&gt;=1,$P$1341,IF($B$1343&gt;=1,$P$1343,$P$1330)))</f>
        <v>2015 Q4</v>
      </c>
      <c r="Q1345" t="str">
        <f ca="1">IF($B$1339&gt;=1,$Q$1339,IF($B$1341&gt;=1,$Q$1341,IF($B$1343&gt;=1,$Q$1343,$Q$1330)))</f>
        <v>2015 Q3</v>
      </c>
      <c r="R1345" t="str">
        <f ca="1">IF($B$1339&gt;=1,$R$1339,IF($B$1341&gt;=1,$R$1341,IF($B$1343&gt;=1,$R$1343,$R$1330)))</f>
        <v>2015 Q2</v>
      </c>
      <c r="S1345" t="str">
        <f ca="1">IF($B$1339&gt;=1,$S$1339,IF($B$1341&gt;=1,$S$1341,IF($B$1343&gt;=1,$S$1343,$S$1330)))</f>
        <v>2015 Q1</v>
      </c>
      <c r="T1345" t="str">
        <f ca="1">IF($B$1339&gt;=1,$T$1339,IF($B$1341&gt;=1,$T$1341,IF($B$1343&gt;=1,$T$1343,$T$1330)))</f>
        <v>2014 Q4</v>
      </c>
      <c r="U1345" t="str">
        <f ca="1">IF($B$1339&gt;=1,$U$1339,IF($B$1341&gt;=1,$U$1341,IF($B$1343&gt;=1,$U$1343,$U$1330)))</f>
        <v>2014 Q3</v>
      </c>
      <c r="V1345" t="str">
        <f ca="1">IF($B$1339&gt;=1,$V$1339,IF($B$1341&gt;=1,$V$1341,IF($B$1343&gt;=1,$V$1343,$V$1330)))</f>
        <v>2014 Q2</v>
      </c>
      <c r="W1345" t="str">
        <f ca="1">IF($B$1339&gt;=1,$W$1339,IF($B$1341&gt;=1,$W$1341,IF($B$1343&gt;=1,$W$1343,$W$1330)))</f>
        <v>2014 Q1</v>
      </c>
      <c r="X1345" t="str">
        <f ca="1">IF($B$1339&gt;=1,$X$1339,IF($B$1341&gt;=1,$X$1341,IF($B$1343&gt;=1,$X$1343,$X$1330)))</f>
        <v>2013 Q4</v>
      </c>
      <c r="Y1345" t="str">
        <f ca="1">IF($B$1339&gt;=1,$Y$1339,IF($B$1341&gt;=1,$Y$1341,IF($B$1343&gt;=1,$Y$1343,$Y$1330)))</f>
        <v>2013 Q3</v>
      </c>
      <c r="Z1345" t="str">
        <f ca="1">IF($B$1339&gt;=1,$Z$1339,IF($B$1341&gt;=1,$Z$1341,IF($B$1343&gt;=1,$Z$1343,$Z$1330)))</f>
        <v>2013 Q2</v>
      </c>
      <c r="AA1345" t="str">
        <f ca="1">IF($B$1339&gt;=1,$AA$1339,IF($B$1341&gt;=1,$AA$1341,IF($B$1343&gt;=1,$AA$1343,$AA$1330)))</f>
        <v>2013 Q1</v>
      </c>
      <c r="AB1345" t="str">
        <f ca="1">IF($B$1339&gt;=1,$AB$1339,IF($B$1341&gt;=1,$AB$1341,IF($B$1343&gt;=1,$AB$1343,$AB$1330)))</f>
        <v>2012 Q4</v>
      </c>
      <c r="AC1345" t="str">
        <f ca="1">IF($B$1339&gt;=1,$AC$1339,IF($B$1341&gt;=1,$AC$1341,IF($B$1343&gt;=1,$AC$1343,$AC$1330)))</f>
        <v>2012 Q3</v>
      </c>
      <c r="AD1345" t="str">
        <f ca="1">IF($B$1339&gt;=1,$AD$1339,IF($B$1341&gt;=1,$AD$1341,IF($B$1343&gt;=1,$AD$1343,$AD$1330)))</f>
        <v>2012 Q2</v>
      </c>
      <c r="AE1345" t="str">
        <f ca="1">IF($B$1339&gt;=1,$AE$1339,IF($B$1341&gt;=1,$AE$1341,IF($B$1343&gt;=1,$AE$1343,$AE$1330)))</f>
        <v>2012 Q1</v>
      </c>
      <c r="AF1345" t="str">
        <f ca="1">IF($B$1339&gt;=1,$AF$1339,IF($B$1341&gt;=1,$AF$1341,IF($B$1343&gt;=1,$AF$1343,$AF$1330)))</f>
        <v>2011 Q4</v>
      </c>
      <c r="AG1345" t="str">
        <f ca="1">IF($B$1339&gt;=1,$AG$1339,IF($B$1341&gt;=1,$AG$1341,IF($B$1343&gt;=1,$AG$1343,$AG$1330)))</f>
        <v>2011 Q3</v>
      </c>
      <c r="AH1345" t="str">
        <f ca="1">IF($B$1339&gt;=1,$AH$1339,IF($B$1341&gt;=1,$AH$1341,IF($B$1343&gt;=1,$AH$1343,$AH$1330)))</f>
        <v>2011 Q2</v>
      </c>
      <c r="AI1345" t="str">
        <f ca="1">IF($B$1339&gt;=1,$AI$1339,IF($B$1341&gt;=1,$AI$1341,IF($B$1343&gt;=1,$AI$1343,$AI$1330)))</f>
        <v>2011 Q1</v>
      </c>
      <c r="AJ1345" t="str">
        <f ca="1">IF($B$1339&gt;=1,$AJ$1339,IF($B$1341&gt;=1,$AJ$1341,IF($B$1343&gt;=1,$AJ$1343,$AJ$1330)))</f>
        <v>2010 Q4</v>
      </c>
      <c r="AK1345" t="str">
        <f ca="1">IF($B$1339&gt;=1,$AK$1339,IF($B$1341&gt;=1,$AK$1341,IF($B$1343&gt;=1,$AK$1343,$AK$1330)))</f>
        <v>2010 Q3</v>
      </c>
      <c r="AL1345" t="str">
        <f ca="1">IF($B$1339&gt;=1,$AL$1339,IF($B$1341&gt;=1,$AL$1341,IF($B$1343&gt;=1,$AL$1343,$AL$1330)))</f>
        <v>2010 Q2</v>
      </c>
      <c r="AM1345" t="str">
        <f ca="1">IF($B$1339&gt;=1,$AM$1339,IF($B$1341&gt;=1,$AM$1341,IF($B$1343&gt;=1,$AM$1343,$AM$1330)))</f>
        <v>2010 Q1</v>
      </c>
      <c r="AN1345" t="str">
        <f ca="1">IF($B$1339&gt;=1,$AN$1339,IF($B$1341&gt;=1,$AN$1341,IF($B$1343&gt;=1,$AN$1343,$AN$1330)))</f>
        <v>2009 Q4</v>
      </c>
      <c r="AO1345" t="str">
        <f ca="1">IF($B$1339&gt;=1,$AO$1339,IF($B$1341&gt;=1,$AO$1341,IF($B$1343&gt;=1,$AO$1343,$AO$1330)))</f>
        <v>2009 Q3</v>
      </c>
      <c r="AP1345" t="str">
        <f ca="1">IF($B$1339&gt;=1,$AP$1339,IF($B$1341&gt;=1,$AP$1341,IF($B$1343&gt;=1,$AP$1343,$AP$1330)))</f>
        <v>2009 Q2</v>
      </c>
      <c r="AQ1345" t="str">
        <f ca="1">IF($B$1339&gt;=1,$AQ$1339,IF($B$1341&gt;=1,$AQ$1341,IF($B$1343&gt;=1,$AQ$1343,$AQ$1330)))</f>
        <v>2009 Q1</v>
      </c>
      <c r="AR1345" t="str">
        <f ca="1">IF($B$1339&gt;=1,$AR$1339,IF($B$1341&gt;=1,$AR$1341,IF($B$1343&gt;=1,$AR$1343,$AR$1330)))</f>
        <v>2008 Q4</v>
      </c>
      <c r="AS1345" t="str">
        <f ca="1">IF($B$1339&gt;=1,$AS$1339,IF($B$1341&gt;=1,$AS$1341,IF($B$1343&gt;=1,$AS$1343,$AS$1330)))</f>
        <v>2008 Q3</v>
      </c>
      <c r="AT1345" t="str">
        <f ca="1">IF($B$1339&gt;=1,$AT$1339,IF($B$1341&gt;=1,$AT$1341,IF($B$1343&gt;=1,$AT$1343,$AT$1330)))</f>
        <v>2008 Q2</v>
      </c>
      <c r="AU1345" t="str">
        <f ca="1">IF($B$1339&gt;=1,$AU$1339,IF($B$1341&gt;=1,$AU$1341,IF($B$1343&gt;=1,$AU$1343,$AU$1330)))</f>
        <v>2008 Q1</v>
      </c>
      <c r="AV1345" t="str">
        <f ca="1">IF($B$1339&gt;=1,$AV$1339,IF($B$1341&gt;=1,$AV$1341,IF($B$1343&gt;=1,$AV$1343,$AV$1330)))</f>
        <v>2007 Q4</v>
      </c>
      <c r="AW1345" t="str">
        <f ca="1">IF($B$1339&gt;=1,$AW$1339,IF($B$1341&gt;=1,$AW$1341,IF($B$1343&gt;=1,$AW$1343,$AW$1330)))</f>
        <v>2007 Q3</v>
      </c>
      <c r="AX1345" t="str">
        <f ca="1">IF($B$1339&gt;=1,$AX$1339,IF($B$1341&gt;=1,$AX$1341,IF($B$1343&gt;=1,$AX$1343,$AX$1330)))</f>
        <v>2007 Q2</v>
      </c>
      <c r="AY1345" t="str">
        <f ca="1">IF($B$1339&gt;=1,$AY$1339,IF($B$1341&gt;=1,$AY$1341,IF($B$1343&gt;=1,$AY$1343,$AY$1330)))</f>
        <v>2007 Q1</v>
      </c>
      <c r="AZ1345" t="str">
        <f ca="1">IF($B$1339&gt;=1,$AZ$1339,IF($B$1341&gt;=1,$AZ$1341,IF($B$1343&gt;=1,$AZ$1343,$AZ$1330)))</f>
        <v>2006 Q4</v>
      </c>
      <c r="BA1345" t="str">
        <f ca="1">IF($B$1339&gt;=1,$BA$1339,IF($B$1341&gt;=1,$BA$1341,IF($B$1343&gt;=1,$BA$1343,$BA$1330)))</f>
        <v>2006 Q3</v>
      </c>
      <c r="BB1345" t="str">
        <f ca="1">IF($B$1339&gt;=1,$BB$1339,IF($B$1341&gt;=1,$BB$1341,IF($B$1343&gt;=1,$BB$1343,$BB$1330)))</f>
        <v>2006 Q2</v>
      </c>
      <c r="BC1345" t="str">
        <f ca="1">IF($B$1339&gt;=1,$BC$1339,IF($B$1341&gt;=1,$BC$1341,IF($B$1343&gt;=1,$BC$1343,$BC$1330)))</f>
        <v>2006 Q1</v>
      </c>
      <c r="BD1345" t="str">
        <f ca="1">IF($B$1339&gt;=1,$BD$1339,IF($B$1341&gt;=1,$BD$1341,IF($B$1343&gt;=1,$BD$1343,$BD$1330)))</f>
        <v>2005 Q4</v>
      </c>
      <c r="BE1345" t="str">
        <f ca="1">IF($B$1339&gt;=1,$BE$1339,IF($B$1341&gt;=1,$BE$1341,IF($B$1343&gt;=1,$BE$1343,$BE$1330)))</f>
        <v>2005 Q3</v>
      </c>
      <c r="BF1345" t="str">
        <f ca="1">IF($B$1339&gt;=1,$BF$1339,IF($B$1341&gt;=1,$BF$1341,IF($B$1343&gt;=1,$BF$1343,$BF$1330)))</f>
        <v>2005 Q2</v>
      </c>
      <c r="BG1345" t="str">
        <f ca="1">IF($B$1339&gt;=1,$BG$1339,IF($B$1341&gt;=1,$BG$1341,IF($B$1343&gt;=1,$BG$1343,$BG$1330)))</f>
        <v>2005 Q1</v>
      </c>
      <c r="BH1345" t="str">
        <f ca="1">IF($B$1339&gt;=1,$BH$1339,IF($B$1341&gt;=1,$BH$1341,IF($B$1343&gt;=1,$BH$1343,$BH$1330)))</f>
        <v>2004 Q4</v>
      </c>
      <c r="BI1345" t="str">
        <f ca="1">IF($B$1339&gt;=1,$BI$1339,IF($B$1341&gt;=1,$BI$1341,IF($B$1343&gt;=1,$BI$1343,$BI$1330)))</f>
        <v>2004 Q3</v>
      </c>
      <c r="BJ1345" t="str">
        <f ca="1">IF($B$1339&gt;=1,$BJ$1339,IF($B$1341&gt;=1,$BJ$1341,IF($B$1343&gt;=1,$BJ$1343,$BJ$1330)))</f>
        <v>2004 Q2</v>
      </c>
      <c r="BN1345" t="str">
        <f>""</f>
        <v/>
      </c>
      <c r="BO1345" t="str">
        <f>""</f>
        <v/>
      </c>
      <c r="BP1345" t="str">
        <f>""</f>
        <v/>
      </c>
      <c r="BQ1345" t="str">
        <f>""</f>
        <v/>
      </c>
      <c r="BR1345" t="str">
        <f>""</f>
        <v/>
      </c>
      <c r="BS1345" t="str">
        <f>""</f>
        <v/>
      </c>
      <c r="BT1345" t="str">
        <f>""</f>
        <v/>
      </c>
      <c r="BU1345" t="str">
        <f>""</f>
        <v/>
      </c>
      <c r="BV1345" t="str">
        <f>""</f>
        <v/>
      </c>
      <c r="BW1345" t="str">
        <f>""</f>
        <v/>
      </c>
      <c r="BX1345" t="str">
        <f>""</f>
        <v/>
      </c>
      <c r="BY1345" t="str">
        <f>""</f>
        <v/>
      </c>
      <c r="BZ1345" t="str">
        <f>""</f>
        <v/>
      </c>
      <c r="CA1345" t="str">
        <f>""</f>
        <v/>
      </c>
      <c r="CB1345" t="str">
        <f>""</f>
        <v/>
      </c>
      <c r="CC1345" t="str">
        <f>""</f>
        <v/>
      </c>
      <c r="CD1345" t="str">
        <f>""</f>
        <v/>
      </c>
      <c r="CE1345" t="str">
        <f>""</f>
        <v/>
      </c>
      <c r="CF1345" t="str">
        <f>""</f>
        <v/>
      </c>
      <c r="CG1345" t="str">
        <f>""</f>
        <v/>
      </c>
      <c r="CH1345" t="str">
        <f>""</f>
        <v/>
      </c>
      <c r="CI1345" t="str">
        <f>""</f>
        <v/>
      </c>
      <c r="CJ1345" t="str">
        <f>""</f>
        <v/>
      </c>
      <c r="CK1345" t="str">
        <f>""</f>
        <v/>
      </c>
      <c r="CL1345" t="str">
        <f>""</f>
        <v/>
      </c>
      <c r="CM1345" t="str">
        <f>""</f>
        <v/>
      </c>
      <c r="CN1345" t="str">
        <f>""</f>
        <v/>
      </c>
      <c r="CO1345" t="str">
        <f>""</f>
        <v/>
      </c>
      <c r="CP1345" t="str">
        <f>""</f>
        <v/>
      </c>
      <c r="CQ1345" t="str">
        <f>""</f>
        <v/>
      </c>
      <c r="CR1345" t="str">
        <f>""</f>
        <v/>
      </c>
      <c r="CS1345" t="str">
        <f>""</f>
        <v/>
      </c>
      <c r="CT1345" t="str">
        <f>""</f>
        <v/>
      </c>
      <c r="CU1345" t="str">
        <f>""</f>
        <v/>
      </c>
      <c r="CV1345" t="str">
        <f>""</f>
        <v/>
      </c>
      <c r="CW1345" t="str">
        <f>""</f>
        <v/>
      </c>
      <c r="CX1345" t="str">
        <f>""</f>
        <v/>
      </c>
      <c r="CY1345" t="str">
        <f>""</f>
        <v/>
      </c>
      <c r="CZ1345" t="str">
        <f>""</f>
        <v/>
      </c>
      <c r="DA1345" t="str">
        <f>""</f>
        <v/>
      </c>
      <c r="DB1345" t="str">
        <f>""</f>
        <v/>
      </c>
      <c r="DC1345" t="str">
        <f>""</f>
        <v/>
      </c>
      <c r="DD1345" t="str">
        <f>""</f>
        <v/>
      </c>
      <c r="DE1345" t="str">
        <f>""</f>
        <v/>
      </c>
      <c r="DF1345" t="str">
        <f>""</f>
        <v/>
      </c>
      <c r="DG1345" t="str">
        <f>""</f>
        <v/>
      </c>
      <c r="DH1345" t="str">
        <f>""</f>
        <v/>
      </c>
      <c r="DI1345" t="str">
        <f>""</f>
        <v/>
      </c>
      <c r="DJ1345" t="str">
        <f>""</f>
        <v/>
      </c>
      <c r="DK1345" t="str">
        <f>""</f>
        <v/>
      </c>
      <c r="DL1345" t="str">
        <f>""</f>
        <v/>
      </c>
      <c r="DM1345" t="str">
        <f>""</f>
        <v/>
      </c>
      <c r="DN1345" t="str">
        <f>""</f>
        <v/>
      </c>
      <c r="DO1345" t="str">
        <f>""</f>
        <v/>
      </c>
      <c r="DP1345" t="str">
        <f>""</f>
        <v/>
      </c>
      <c r="DQ1345" t="str">
        <f>""</f>
        <v/>
      </c>
      <c r="DR1345" t="str">
        <f>""</f>
        <v/>
      </c>
      <c r="DS1345" t="str">
        <f>""</f>
        <v/>
      </c>
      <c r="DT1345" t="str">
        <f>""</f>
        <v/>
      </c>
      <c r="DU1345" t="str">
        <f>""</f>
        <v/>
      </c>
    </row>
    <row r="1346" spans="1:125" x14ac:dyDescent="0.25">
      <c r="A1346" t="str">
        <f>"BDH dynamic title"</f>
        <v>BDH dynamic title</v>
      </c>
      <c r="B1346">
        <f ca="1">$B$1345</f>
        <v>2</v>
      </c>
      <c r="C1346" t="str">
        <f ca="1">IF(LEN($C$1345)&lt;&gt;8,$C$1345,RIGHT($C$1345,4)&amp;" "&amp;MID($C$1345,3,1)&amp;LEFT($C$1345,1))</f>
        <v>2019 Q1</v>
      </c>
      <c r="D1346" t="str">
        <f ca="1">IF(LEN($D$1345)&lt;&gt;8,$D$1345,RIGHT($D$1345,4)&amp;" "&amp;MID($D$1345,3,1)&amp;LEFT($D$1345,1))</f>
        <v>2018 Q4</v>
      </c>
      <c r="E1346" t="str">
        <f ca="1">IF(LEN($E$1345)&lt;&gt;8,$E$1345,RIGHT($E$1345,4)&amp;" "&amp;MID($E$1345,3,1)&amp;LEFT($E$1345,1))</f>
        <v>2018 Q3</v>
      </c>
      <c r="F1346" t="str">
        <f ca="1">IF(LEN($F$1345)&lt;&gt;8,$F$1345,RIGHT($F$1345,4)&amp;" "&amp;MID($F$1345,3,1)&amp;LEFT($F$1345,1))</f>
        <v>2018 Q2</v>
      </c>
      <c r="G1346" t="str">
        <f ca="1">IF(LEN($G$1345)&lt;&gt;8,$G$1345,RIGHT($G$1345,4)&amp;" "&amp;MID($G$1345,3,1)&amp;LEFT($G$1345,1))</f>
        <v>2018 Q1</v>
      </c>
      <c r="H1346" t="str">
        <f ca="1">IF(LEN($H$1345)&lt;&gt;8,$H$1345,RIGHT($H$1345,4)&amp;" "&amp;MID($H$1345,3,1)&amp;LEFT($H$1345,1))</f>
        <v>2017 Q4</v>
      </c>
      <c r="I1346" t="str">
        <f ca="1">IF(LEN($I$1345)&lt;&gt;8,$I$1345,RIGHT($I$1345,4)&amp;" "&amp;MID($I$1345,3,1)&amp;LEFT($I$1345,1))</f>
        <v>2017 Q3</v>
      </c>
      <c r="J1346" t="str">
        <f ca="1">IF(LEN($J$1345)&lt;&gt;8,$J$1345,RIGHT($J$1345,4)&amp;" "&amp;MID($J$1345,3,1)&amp;LEFT($J$1345,1))</f>
        <v>2017 Q2</v>
      </c>
      <c r="K1346" t="str">
        <f ca="1">IF(LEN($K$1345)&lt;&gt;8,$K$1345,RIGHT($K$1345,4)&amp;" "&amp;MID($K$1345,3,1)&amp;LEFT($K$1345,1))</f>
        <v>2017 Q1</v>
      </c>
      <c r="L1346" t="str">
        <f ca="1">IF(LEN($L$1345)&lt;&gt;8,$L$1345,RIGHT($L$1345,4)&amp;" "&amp;MID($L$1345,3,1)&amp;LEFT($L$1345,1))</f>
        <v>2016 Q4</v>
      </c>
      <c r="M1346" t="str">
        <f ca="1">IF(LEN($M$1345)&lt;&gt;8,$M$1345,RIGHT($M$1345,4)&amp;" "&amp;MID($M$1345,3,1)&amp;LEFT($M$1345,1))</f>
        <v>2016 Q3</v>
      </c>
      <c r="N1346" t="str">
        <f ca="1">IF(LEN($N$1345)&lt;&gt;8,$N$1345,RIGHT($N$1345,4)&amp;" "&amp;MID($N$1345,3,1)&amp;LEFT($N$1345,1))</f>
        <v>2016 Q2</v>
      </c>
      <c r="O1346" t="str">
        <f ca="1">IF(LEN($O$1345)&lt;&gt;8,$O$1345,RIGHT($O$1345,4)&amp;" "&amp;MID($O$1345,3,1)&amp;LEFT($O$1345,1))</f>
        <v>2016 Q1</v>
      </c>
      <c r="P1346" t="str">
        <f ca="1">IF(LEN($P$1345)&lt;&gt;8,$P$1345,RIGHT($P$1345,4)&amp;" "&amp;MID($P$1345,3,1)&amp;LEFT($P$1345,1))</f>
        <v>2015 Q4</v>
      </c>
      <c r="Q1346" t="str">
        <f ca="1">IF(LEN($Q$1345)&lt;&gt;8,$Q$1345,RIGHT($Q$1345,4)&amp;" "&amp;MID($Q$1345,3,1)&amp;LEFT($Q$1345,1))</f>
        <v>2015 Q3</v>
      </c>
      <c r="R1346" t="str">
        <f ca="1">IF(LEN($R$1345)&lt;&gt;8,$R$1345,RIGHT($R$1345,4)&amp;" "&amp;MID($R$1345,3,1)&amp;LEFT($R$1345,1))</f>
        <v>2015 Q2</v>
      </c>
      <c r="S1346" t="str">
        <f ca="1">IF(LEN($S$1345)&lt;&gt;8,$S$1345,RIGHT($S$1345,4)&amp;" "&amp;MID($S$1345,3,1)&amp;LEFT($S$1345,1))</f>
        <v>2015 Q1</v>
      </c>
      <c r="T1346" t="str">
        <f ca="1">IF(LEN($T$1345)&lt;&gt;8,$T$1345,RIGHT($T$1345,4)&amp;" "&amp;MID($T$1345,3,1)&amp;LEFT($T$1345,1))</f>
        <v>2014 Q4</v>
      </c>
      <c r="U1346" t="str">
        <f ca="1">IF(LEN($U$1345)&lt;&gt;8,$U$1345,RIGHT($U$1345,4)&amp;" "&amp;MID($U$1345,3,1)&amp;LEFT($U$1345,1))</f>
        <v>2014 Q3</v>
      </c>
      <c r="V1346" t="str">
        <f ca="1">IF(LEN($V$1345)&lt;&gt;8,$V$1345,RIGHT($V$1345,4)&amp;" "&amp;MID($V$1345,3,1)&amp;LEFT($V$1345,1))</f>
        <v>2014 Q2</v>
      </c>
      <c r="W1346" t="str">
        <f ca="1">IF(LEN($W$1345)&lt;&gt;8,$W$1345,RIGHT($W$1345,4)&amp;" "&amp;MID($W$1345,3,1)&amp;LEFT($W$1345,1))</f>
        <v>2014 Q1</v>
      </c>
      <c r="X1346" t="str">
        <f ca="1">IF(LEN($X$1345)&lt;&gt;8,$X$1345,RIGHT($X$1345,4)&amp;" "&amp;MID($X$1345,3,1)&amp;LEFT($X$1345,1))</f>
        <v>2013 Q4</v>
      </c>
      <c r="Y1346" t="str">
        <f ca="1">IF(LEN($Y$1345)&lt;&gt;8,$Y$1345,RIGHT($Y$1345,4)&amp;" "&amp;MID($Y$1345,3,1)&amp;LEFT($Y$1345,1))</f>
        <v>2013 Q3</v>
      </c>
      <c r="Z1346" t="str">
        <f ca="1">IF(LEN($Z$1345)&lt;&gt;8,$Z$1345,RIGHT($Z$1345,4)&amp;" "&amp;MID($Z$1345,3,1)&amp;LEFT($Z$1345,1))</f>
        <v>2013 Q2</v>
      </c>
      <c r="AA1346" t="str">
        <f ca="1">IF(LEN($AA$1345)&lt;&gt;8,$AA$1345,RIGHT($AA$1345,4)&amp;" "&amp;MID($AA$1345,3,1)&amp;LEFT($AA$1345,1))</f>
        <v>2013 Q1</v>
      </c>
      <c r="AB1346" t="str">
        <f ca="1">IF(LEN($AB$1345)&lt;&gt;8,$AB$1345,RIGHT($AB$1345,4)&amp;" "&amp;MID($AB$1345,3,1)&amp;LEFT($AB$1345,1))</f>
        <v>2012 Q4</v>
      </c>
      <c r="AC1346" t="str">
        <f ca="1">IF(LEN($AC$1345)&lt;&gt;8,$AC$1345,RIGHT($AC$1345,4)&amp;" "&amp;MID($AC$1345,3,1)&amp;LEFT($AC$1345,1))</f>
        <v>2012 Q3</v>
      </c>
      <c r="AD1346" t="str">
        <f ca="1">IF(LEN($AD$1345)&lt;&gt;8,$AD$1345,RIGHT($AD$1345,4)&amp;" "&amp;MID($AD$1345,3,1)&amp;LEFT($AD$1345,1))</f>
        <v>2012 Q2</v>
      </c>
      <c r="AE1346" t="str">
        <f ca="1">IF(LEN($AE$1345)&lt;&gt;8,$AE$1345,RIGHT($AE$1345,4)&amp;" "&amp;MID($AE$1345,3,1)&amp;LEFT($AE$1345,1))</f>
        <v>2012 Q1</v>
      </c>
      <c r="AF1346" t="str">
        <f ca="1">IF(LEN($AF$1345)&lt;&gt;8,$AF$1345,RIGHT($AF$1345,4)&amp;" "&amp;MID($AF$1345,3,1)&amp;LEFT($AF$1345,1))</f>
        <v>2011 Q4</v>
      </c>
      <c r="AG1346" t="str">
        <f ca="1">IF(LEN($AG$1345)&lt;&gt;8,$AG$1345,RIGHT($AG$1345,4)&amp;" "&amp;MID($AG$1345,3,1)&amp;LEFT($AG$1345,1))</f>
        <v>2011 Q3</v>
      </c>
      <c r="AH1346" t="str">
        <f ca="1">IF(LEN($AH$1345)&lt;&gt;8,$AH$1345,RIGHT($AH$1345,4)&amp;" "&amp;MID($AH$1345,3,1)&amp;LEFT($AH$1345,1))</f>
        <v>2011 Q2</v>
      </c>
      <c r="AI1346" t="str">
        <f ca="1">IF(LEN($AI$1345)&lt;&gt;8,$AI$1345,RIGHT($AI$1345,4)&amp;" "&amp;MID($AI$1345,3,1)&amp;LEFT($AI$1345,1))</f>
        <v>2011 Q1</v>
      </c>
      <c r="AJ1346" t="str">
        <f ca="1">IF(LEN($AJ$1345)&lt;&gt;8,$AJ$1345,RIGHT($AJ$1345,4)&amp;" "&amp;MID($AJ$1345,3,1)&amp;LEFT($AJ$1345,1))</f>
        <v>2010 Q4</v>
      </c>
      <c r="AK1346" t="str">
        <f ca="1">IF(LEN($AK$1345)&lt;&gt;8,$AK$1345,RIGHT($AK$1345,4)&amp;" "&amp;MID($AK$1345,3,1)&amp;LEFT($AK$1345,1))</f>
        <v>2010 Q3</v>
      </c>
      <c r="AL1346" t="str">
        <f ca="1">IF(LEN($AL$1345)&lt;&gt;8,$AL$1345,RIGHT($AL$1345,4)&amp;" "&amp;MID($AL$1345,3,1)&amp;LEFT($AL$1345,1))</f>
        <v>2010 Q2</v>
      </c>
      <c r="AM1346" t="str">
        <f ca="1">IF(LEN($AM$1345)&lt;&gt;8,$AM$1345,RIGHT($AM$1345,4)&amp;" "&amp;MID($AM$1345,3,1)&amp;LEFT($AM$1345,1))</f>
        <v>2010 Q1</v>
      </c>
      <c r="AN1346" t="str">
        <f ca="1">IF(LEN($AN$1345)&lt;&gt;8,$AN$1345,RIGHT($AN$1345,4)&amp;" "&amp;MID($AN$1345,3,1)&amp;LEFT($AN$1345,1))</f>
        <v>2009 Q4</v>
      </c>
      <c r="AO1346" t="str">
        <f ca="1">IF(LEN($AO$1345)&lt;&gt;8,$AO$1345,RIGHT($AO$1345,4)&amp;" "&amp;MID($AO$1345,3,1)&amp;LEFT($AO$1345,1))</f>
        <v>2009 Q3</v>
      </c>
      <c r="AP1346" t="str">
        <f ca="1">IF(LEN($AP$1345)&lt;&gt;8,$AP$1345,RIGHT($AP$1345,4)&amp;" "&amp;MID($AP$1345,3,1)&amp;LEFT($AP$1345,1))</f>
        <v>2009 Q2</v>
      </c>
      <c r="AQ1346" t="str">
        <f ca="1">IF(LEN($AQ$1345)&lt;&gt;8,$AQ$1345,RIGHT($AQ$1345,4)&amp;" "&amp;MID($AQ$1345,3,1)&amp;LEFT($AQ$1345,1))</f>
        <v>2009 Q1</v>
      </c>
      <c r="AR1346" t="str">
        <f ca="1">IF(LEN($AR$1345)&lt;&gt;8,$AR$1345,RIGHT($AR$1345,4)&amp;" "&amp;MID($AR$1345,3,1)&amp;LEFT($AR$1345,1))</f>
        <v>2008 Q4</v>
      </c>
      <c r="AS1346" t="str">
        <f ca="1">IF(LEN($AS$1345)&lt;&gt;8,$AS$1345,RIGHT($AS$1345,4)&amp;" "&amp;MID($AS$1345,3,1)&amp;LEFT($AS$1345,1))</f>
        <v>2008 Q3</v>
      </c>
      <c r="AT1346" t="str">
        <f ca="1">IF(LEN($AT$1345)&lt;&gt;8,$AT$1345,RIGHT($AT$1345,4)&amp;" "&amp;MID($AT$1345,3,1)&amp;LEFT($AT$1345,1))</f>
        <v>2008 Q2</v>
      </c>
      <c r="AU1346" t="str">
        <f ca="1">IF(LEN($AU$1345)&lt;&gt;8,$AU$1345,RIGHT($AU$1345,4)&amp;" "&amp;MID($AU$1345,3,1)&amp;LEFT($AU$1345,1))</f>
        <v>2008 Q1</v>
      </c>
      <c r="AV1346" t="str">
        <f ca="1">IF(LEN($AV$1345)&lt;&gt;8,$AV$1345,RIGHT($AV$1345,4)&amp;" "&amp;MID($AV$1345,3,1)&amp;LEFT($AV$1345,1))</f>
        <v>2007 Q4</v>
      </c>
      <c r="AW1346" t="str">
        <f ca="1">IF(LEN($AW$1345)&lt;&gt;8,$AW$1345,RIGHT($AW$1345,4)&amp;" "&amp;MID($AW$1345,3,1)&amp;LEFT($AW$1345,1))</f>
        <v>2007 Q3</v>
      </c>
      <c r="AX1346" t="str">
        <f ca="1">IF(LEN($AX$1345)&lt;&gt;8,$AX$1345,RIGHT($AX$1345,4)&amp;" "&amp;MID($AX$1345,3,1)&amp;LEFT($AX$1345,1))</f>
        <v>2007 Q2</v>
      </c>
      <c r="AY1346" t="str">
        <f ca="1">IF(LEN($AY$1345)&lt;&gt;8,$AY$1345,RIGHT($AY$1345,4)&amp;" "&amp;MID($AY$1345,3,1)&amp;LEFT($AY$1345,1))</f>
        <v>2007 Q1</v>
      </c>
      <c r="AZ1346" t="str">
        <f ca="1">IF(LEN($AZ$1345)&lt;&gt;8,$AZ$1345,RIGHT($AZ$1345,4)&amp;" "&amp;MID($AZ$1345,3,1)&amp;LEFT($AZ$1345,1))</f>
        <v>2006 Q4</v>
      </c>
      <c r="BA1346" t="str">
        <f ca="1">IF(LEN($BA$1345)&lt;&gt;8,$BA$1345,RIGHT($BA$1345,4)&amp;" "&amp;MID($BA$1345,3,1)&amp;LEFT($BA$1345,1))</f>
        <v>2006 Q3</v>
      </c>
      <c r="BB1346" t="str">
        <f ca="1">IF(LEN($BB$1345)&lt;&gt;8,$BB$1345,RIGHT($BB$1345,4)&amp;" "&amp;MID($BB$1345,3,1)&amp;LEFT($BB$1345,1))</f>
        <v>2006 Q2</v>
      </c>
      <c r="BC1346" t="str">
        <f ca="1">IF(LEN($BC$1345)&lt;&gt;8,$BC$1345,RIGHT($BC$1345,4)&amp;" "&amp;MID($BC$1345,3,1)&amp;LEFT($BC$1345,1))</f>
        <v>2006 Q1</v>
      </c>
      <c r="BD1346" t="str">
        <f ca="1">IF(LEN($BD$1345)&lt;&gt;8,$BD$1345,RIGHT($BD$1345,4)&amp;" "&amp;MID($BD$1345,3,1)&amp;LEFT($BD$1345,1))</f>
        <v>2005 Q4</v>
      </c>
      <c r="BE1346" t="str">
        <f ca="1">IF(LEN($BE$1345)&lt;&gt;8,$BE$1345,RIGHT($BE$1345,4)&amp;" "&amp;MID($BE$1345,3,1)&amp;LEFT($BE$1345,1))</f>
        <v>2005 Q3</v>
      </c>
      <c r="BF1346" t="str">
        <f ca="1">IF(LEN($BF$1345)&lt;&gt;8,$BF$1345,RIGHT($BF$1345,4)&amp;" "&amp;MID($BF$1345,3,1)&amp;LEFT($BF$1345,1))</f>
        <v>2005 Q2</v>
      </c>
      <c r="BG1346" t="str">
        <f ca="1">IF(LEN($BG$1345)&lt;&gt;8,$BG$1345,RIGHT($BG$1345,4)&amp;" "&amp;MID($BG$1345,3,1)&amp;LEFT($BG$1345,1))</f>
        <v>2005 Q1</v>
      </c>
      <c r="BH1346" t="str">
        <f ca="1">IF(LEN($BH$1345)&lt;&gt;8,$BH$1345,RIGHT($BH$1345,4)&amp;" "&amp;MID($BH$1345,3,1)&amp;LEFT($BH$1345,1))</f>
        <v>2004 Q4</v>
      </c>
      <c r="BI1346" t="str">
        <f ca="1">IF(LEN($BI$1345)&lt;&gt;8,$BI$1345,RIGHT($BI$1345,4)&amp;" "&amp;MID($BI$1345,3,1)&amp;LEFT($BI$1345,1))</f>
        <v>2004 Q3</v>
      </c>
      <c r="BJ1346" t="str">
        <f ca="1">IF(LEN($BJ$1345)&lt;&gt;8,$BJ$1345,RIGHT($BJ$1345,4)&amp;" "&amp;MID($BJ$1345,3,1)&amp;LEFT($BJ$1345,1))</f>
        <v>2004 Q2</v>
      </c>
      <c r="BN1346" t="str">
        <f>""</f>
        <v/>
      </c>
      <c r="BO1346" t="str">
        <f>""</f>
        <v/>
      </c>
      <c r="BP1346" t="str">
        <f>""</f>
        <v/>
      </c>
      <c r="BQ1346" t="str">
        <f>""</f>
        <v/>
      </c>
      <c r="BR1346" t="str">
        <f>""</f>
        <v/>
      </c>
      <c r="BS1346" t="str">
        <f>""</f>
        <v/>
      </c>
      <c r="BT1346" t="str">
        <f>""</f>
        <v/>
      </c>
      <c r="BU1346" t="str">
        <f>""</f>
        <v/>
      </c>
      <c r="BV1346" t="str">
        <f>""</f>
        <v/>
      </c>
      <c r="BW1346" t="str">
        <f>""</f>
        <v/>
      </c>
      <c r="BX1346" t="str">
        <f>""</f>
        <v/>
      </c>
      <c r="BY1346" t="str">
        <f>""</f>
        <v/>
      </c>
      <c r="BZ1346" t="str">
        <f>""</f>
        <v/>
      </c>
      <c r="CA1346" t="str">
        <f>""</f>
        <v/>
      </c>
      <c r="CB1346" t="str">
        <f>""</f>
        <v/>
      </c>
      <c r="CC1346" t="str">
        <f>""</f>
        <v/>
      </c>
      <c r="CD1346" t="str">
        <f>""</f>
        <v/>
      </c>
      <c r="CE1346" t="str">
        <f>""</f>
        <v/>
      </c>
      <c r="CF1346" t="str">
        <f>""</f>
        <v/>
      </c>
      <c r="CG1346" t="str">
        <f>""</f>
        <v/>
      </c>
      <c r="CH1346" t="str">
        <f>""</f>
        <v/>
      </c>
      <c r="CI1346" t="str">
        <f>""</f>
        <v/>
      </c>
      <c r="CJ1346" t="str">
        <f>""</f>
        <v/>
      </c>
      <c r="CK1346" t="str">
        <f>""</f>
        <v/>
      </c>
      <c r="CL1346" t="str">
        <f>""</f>
        <v/>
      </c>
      <c r="CM1346" t="str">
        <f>""</f>
        <v/>
      </c>
      <c r="CN1346" t="str">
        <f>""</f>
        <v/>
      </c>
      <c r="CO1346" t="str">
        <f>""</f>
        <v/>
      </c>
      <c r="CP1346" t="str">
        <f>""</f>
        <v/>
      </c>
      <c r="CQ1346" t="str">
        <f>""</f>
        <v/>
      </c>
      <c r="CR1346" t="str">
        <f>""</f>
        <v/>
      </c>
      <c r="CS1346" t="str">
        <f>""</f>
        <v/>
      </c>
      <c r="CT1346" t="str">
        <f>""</f>
        <v/>
      </c>
      <c r="CU1346" t="str">
        <f>""</f>
        <v/>
      </c>
      <c r="CV1346" t="str">
        <f>""</f>
        <v/>
      </c>
      <c r="CW1346" t="str">
        <f>""</f>
        <v/>
      </c>
      <c r="CX1346" t="str">
        <f>""</f>
        <v/>
      </c>
      <c r="CY1346" t="str">
        <f>""</f>
        <v/>
      </c>
      <c r="CZ1346" t="str">
        <f>""</f>
        <v/>
      </c>
      <c r="DA1346" t="str">
        <f>""</f>
        <v/>
      </c>
      <c r="DB1346" t="str">
        <f>""</f>
        <v/>
      </c>
      <c r="DC1346" t="str">
        <f>""</f>
        <v/>
      </c>
      <c r="DD1346" t="str">
        <f>""</f>
        <v/>
      </c>
      <c r="DE1346" t="str">
        <f>""</f>
        <v/>
      </c>
      <c r="DF1346" t="str">
        <f>""</f>
        <v/>
      </c>
      <c r="DG1346" t="str">
        <f>""</f>
        <v/>
      </c>
      <c r="DH1346" t="str">
        <f>""</f>
        <v/>
      </c>
      <c r="DI1346" t="str">
        <f>""</f>
        <v/>
      </c>
      <c r="DJ1346" t="str">
        <f>""</f>
        <v/>
      </c>
      <c r="DK1346" t="str">
        <f>""</f>
        <v/>
      </c>
      <c r="DL1346" t="str">
        <f>""</f>
        <v/>
      </c>
      <c r="DM1346" t="str">
        <f>""</f>
        <v/>
      </c>
      <c r="DN1346" t="str">
        <f>""</f>
        <v/>
      </c>
      <c r="DO1346" t="str">
        <f>""</f>
        <v/>
      </c>
      <c r="DP1346" t="str">
        <f>""</f>
        <v/>
      </c>
      <c r="DQ1346" t="str">
        <f>""</f>
        <v/>
      </c>
      <c r="DR1346" t="str">
        <f>""</f>
        <v/>
      </c>
      <c r="DS1346" t="str">
        <f>""</f>
        <v/>
      </c>
      <c r="DT1346" t="str">
        <f>""</f>
        <v/>
      </c>
      <c r="DU1346" t="str">
        <f>""</f>
        <v/>
      </c>
    </row>
    <row r="1347" spans="1:125" x14ac:dyDescent="0.25">
      <c r="A1347" t="str">
        <f>"No error found"</f>
        <v>No error found</v>
      </c>
      <c r="B1347" t="str">
        <f>""</f>
        <v/>
      </c>
      <c r="C1347" t="str">
        <f>""</f>
        <v/>
      </c>
      <c r="D1347" t="str">
        <f>""</f>
        <v/>
      </c>
      <c r="E1347" t="str">
        <f>""</f>
        <v/>
      </c>
      <c r="BN1347" t="str">
        <f>""</f>
        <v/>
      </c>
      <c r="BO1347" t="str">
        <f>""</f>
        <v/>
      </c>
      <c r="BP1347" t="str">
        <f>""</f>
        <v/>
      </c>
      <c r="BQ1347" t="str">
        <f>""</f>
        <v/>
      </c>
      <c r="BR1347" t="str">
        <f>""</f>
        <v/>
      </c>
      <c r="BS1347" t="str">
        <f>""</f>
        <v/>
      </c>
      <c r="BT1347" t="str">
        <f>""</f>
        <v/>
      </c>
      <c r="BU1347" t="str">
        <f>""</f>
        <v/>
      </c>
      <c r="BV1347" t="str">
        <f>""</f>
        <v/>
      </c>
      <c r="BW1347" t="str">
        <f>""</f>
        <v/>
      </c>
      <c r="BX1347" t="str">
        <f>""</f>
        <v/>
      </c>
      <c r="BY1347" t="str">
        <f>""</f>
        <v/>
      </c>
      <c r="BZ1347" t="str">
        <f>""</f>
        <v/>
      </c>
      <c r="CA1347" t="str">
        <f>""</f>
        <v/>
      </c>
      <c r="CB1347" t="str">
        <f>""</f>
        <v/>
      </c>
      <c r="CC1347" t="str">
        <f>""</f>
        <v/>
      </c>
      <c r="CD1347" t="str">
        <f>""</f>
        <v/>
      </c>
      <c r="CE1347" t="str">
        <f>""</f>
        <v/>
      </c>
      <c r="CF1347" t="str">
        <f>""</f>
        <v/>
      </c>
      <c r="CG1347" t="str">
        <f>""</f>
        <v/>
      </c>
      <c r="CH1347" t="str">
        <f>""</f>
        <v/>
      </c>
      <c r="CI1347" t="str">
        <f>""</f>
        <v/>
      </c>
      <c r="CJ1347" t="str">
        <f>""</f>
        <v/>
      </c>
      <c r="CK1347" t="str">
        <f>""</f>
        <v/>
      </c>
      <c r="CL1347" t="str">
        <f>""</f>
        <v/>
      </c>
      <c r="CM1347" t="str">
        <f>""</f>
        <v/>
      </c>
      <c r="CN1347" t="str">
        <f>""</f>
        <v/>
      </c>
      <c r="CO1347" t="str">
        <f>""</f>
        <v/>
      </c>
      <c r="CP1347" t="str">
        <f>""</f>
        <v/>
      </c>
      <c r="CQ1347" t="str">
        <f>""</f>
        <v/>
      </c>
      <c r="CR1347" t="str">
        <f>""</f>
        <v/>
      </c>
      <c r="CS1347" t="str">
        <f>""</f>
        <v/>
      </c>
      <c r="CT1347" t="str">
        <f>""</f>
        <v/>
      </c>
      <c r="CU1347" t="str">
        <f>""</f>
        <v/>
      </c>
      <c r="CV1347" t="str">
        <f>""</f>
        <v/>
      </c>
      <c r="CW1347" t="str">
        <f>""</f>
        <v/>
      </c>
      <c r="CX1347" t="str">
        <f>""</f>
        <v/>
      </c>
      <c r="CY1347" t="str">
        <f>""</f>
        <v/>
      </c>
      <c r="CZ1347" t="str">
        <f>""</f>
        <v/>
      </c>
      <c r="DA1347" t="str">
        <f>""</f>
        <v/>
      </c>
      <c r="DB1347" t="str">
        <f>""</f>
        <v/>
      </c>
      <c r="DC1347" t="str">
        <f>""</f>
        <v/>
      </c>
      <c r="DD1347" t="str">
        <f>""</f>
        <v/>
      </c>
      <c r="DE1347" t="str">
        <f>""</f>
        <v/>
      </c>
      <c r="DF1347" t="str">
        <f>""</f>
        <v/>
      </c>
      <c r="DG1347" t="str">
        <f>""</f>
        <v/>
      </c>
      <c r="DH1347" t="str">
        <f>""</f>
        <v/>
      </c>
      <c r="DI1347" t="str">
        <f>""</f>
        <v/>
      </c>
      <c r="DJ1347" t="str">
        <f>""</f>
        <v/>
      </c>
      <c r="DK1347" t="str">
        <f>""</f>
        <v/>
      </c>
      <c r="DL1347" t="str">
        <f>""</f>
        <v/>
      </c>
      <c r="DM1347" t="str">
        <f>""</f>
        <v/>
      </c>
      <c r="DN1347" t="str">
        <f>""</f>
        <v/>
      </c>
      <c r="DO1347" t="str">
        <f>""</f>
        <v/>
      </c>
      <c r="DP1347" t="str">
        <f>""</f>
        <v/>
      </c>
      <c r="DQ1347" t="str">
        <f>""</f>
        <v/>
      </c>
      <c r="DR1347" t="str">
        <f>""</f>
        <v/>
      </c>
      <c r="DS1347" t="str">
        <f>""</f>
        <v/>
      </c>
      <c r="DT1347" t="str">
        <f>""</f>
        <v/>
      </c>
      <c r="DU1347" t="str">
        <f>""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"/>
  <sheetViews>
    <sheetView workbookViewId="0"/>
  </sheetViews>
  <sheetFormatPr defaultRowHeight="15" x14ac:dyDescent="0.25"/>
  <cols>
    <col min="1" max="1" width="9.140625" bestFit="1" customWidth="1"/>
  </cols>
  <sheetData>
    <row r="1" spans="1:1" x14ac:dyDescent="0.25">
      <c r="A1" s="1"/>
    </row>
    <row r="2" spans="1:1" x14ac:dyDescent="0.25">
      <c r="A2" t="s">
        <v>0</v>
      </c>
    </row>
    <row r="3" spans="1:1" x14ac:dyDescent="0.25">
      <c r="A3" t="s">
        <v>1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4</v>
      </c>
    </row>
    <row r="8" spans="1:1" x14ac:dyDescent="0.25">
      <c r="A8" t="s">
        <v>5</v>
      </c>
    </row>
    <row r="9" spans="1:1" x14ac:dyDescent="0.25">
      <c r="A9" t="s">
        <v>6</v>
      </c>
    </row>
    <row r="11" spans="1:1" x14ac:dyDescent="0.25">
      <c r="A11" t="s">
        <v>7</v>
      </c>
    </row>
    <row r="12" spans="1:1" x14ac:dyDescent="0.25">
      <c r="A12" t="s">
        <v>8</v>
      </c>
    </row>
    <row r="13" spans="1:1" x14ac:dyDescent="0.25">
      <c r="A13" t="s">
        <v>9</v>
      </c>
    </row>
    <row r="14" spans="1:1" x14ac:dyDescent="0.25">
      <c r="A14" t="s">
        <v>10</v>
      </c>
    </row>
    <row r="15" spans="1:1" x14ac:dyDescent="0.25">
      <c r="A15" t="s">
        <v>11</v>
      </c>
    </row>
    <row r="16" spans="1:1" x14ac:dyDescent="0.25">
      <c r="A16" t="s">
        <v>12</v>
      </c>
    </row>
    <row r="17" spans="1:1" x14ac:dyDescent="0.25">
      <c r="A17" t="s">
        <v>13</v>
      </c>
    </row>
    <row r="18" spans="1:1" x14ac:dyDescent="0.25">
      <c r="A18" t="s">
        <v>14</v>
      </c>
    </row>
    <row r="20" spans="1:1" x14ac:dyDescent="0.25">
      <c r="A20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18</v>
      </c>
    </row>
    <row r="24" spans="1:1" x14ac:dyDescent="0.25">
      <c r="A24" t="s">
        <v>19</v>
      </c>
    </row>
    <row r="25" spans="1:1" x14ac:dyDescent="0.25">
      <c r="A25" t="s">
        <v>20</v>
      </c>
    </row>
    <row r="26" spans="1:1" x14ac:dyDescent="0.25">
      <c r="A26" t="s">
        <v>21</v>
      </c>
    </row>
    <row r="27" spans="1:1" x14ac:dyDescent="0.25">
      <c r="A27" t="s">
        <v>22</v>
      </c>
    </row>
    <row r="28" spans="1:1" x14ac:dyDescent="0.25">
      <c r="A28" t="s">
        <v>23</v>
      </c>
    </row>
    <row r="29" spans="1:1" x14ac:dyDescent="0.25">
      <c r="A29" t="s">
        <v>24</v>
      </c>
    </row>
    <row r="30" spans="1:1" x14ac:dyDescent="0.25">
      <c r="A30" t="s">
        <v>25</v>
      </c>
    </row>
    <row r="31" spans="1:1" x14ac:dyDescent="0.25">
      <c r="A31" t="s">
        <v>2</v>
      </c>
    </row>
    <row r="32" spans="1:1" x14ac:dyDescent="0.25">
      <c r="A32" t="s">
        <v>26</v>
      </c>
    </row>
    <row r="33" spans="1:1" x14ac:dyDescent="0.25">
      <c r="A33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BIData</vt:lpstr>
      <vt:lpstr>ReferenceData</vt:lpstr>
      <vt:lpstr>Help-Reference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cb3441</cp:lastModifiedBy>
  <dcterms:created xsi:type="dcterms:W3CDTF">2013-04-03T15:49:21Z</dcterms:created>
  <dcterms:modified xsi:type="dcterms:W3CDTF">2019-03-01T00:31:49Z</dcterms:modified>
</cp:coreProperties>
</file>